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 sheetId="1" r:id="rId4"/>
    <sheet state="visible" name="Status" sheetId="2" r:id="rId5"/>
    <sheet state="visible" name="batches" sheetId="3" r:id="rId6"/>
    <sheet state="visible" name="Legend" sheetId="4" r:id="rId7"/>
    <sheet state="visible" name="ISSUES" sheetId="5" r:id="rId8"/>
    <sheet state="visible" name="2.1.clean" sheetId="6" r:id="rId9"/>
    <sheet state="visible" name="2.2.clean" sheetId="7" r:id="rId10"/>
    <sheet state="visible" name="2.4.clean" sheetId="8" r:id="rId11"/>
    <sheet state="visible" name="3.1.clean" sheetId="9" r:id="rId12"/>
    <sheet state="visible" name="3.2.clean" sheetId="10" r:id="rId13"/>
    <sheet state="visible" name="3.3.clean" sheetId="11" r:id="rId14"/>
    <sheet state="visible" name="3.4.clean" sheetId="12" r:id="rId15"/>
    <sheet state="visible" name="3.5.clean" sheetId="13" r:id="rId16"/>
    <sheet state="visible" name="pcr manual" sheetId="14" r:id="rId17"/>
    <sheet state="visible" name="2.1.raw" sheetId="15" r:id="rId18"/>
    <sheet state="visible" name="2.2.raw" sheetId="16" r:id="rId19"/>
    <sheet state="visible" name="2.4.raw" sheetId="17" r:id="rId20"/>
    <sheet state="visible" name="3.1.raw" sheetId="18" r:id="rId21"/>
    <sheet state="visible" name="3.2.raw" sheetId="19" r:id="rId22"/>
    <sheet state="visible" name="3.3.raw" sheetId="20" r:id="rId23"/>
    <sheet state="visible" name="3.4.raw" sheetId="21" r:id="rId24"/>
    <sheet state="visible" name="3.5.raw" sheetId="22" r:id="rId25"/>
    <sheet state="visible" name="sample size" sheetId="23" r:id="rId26"/>
    <sheet state="visible" name="Copy of 2.4.raw" sheetId="24" r:id="rId27"/>
  </sheets>
  <definedNames>
    <definedName hidden="1" localSheetId="1" name="_xlnm._FilterDatabase">Status!$A$1:$X$1955</definedName>
  </definedNames>
  <calcPr/>
</workbook>
</file>

<file path=xl/sharedStrings.xml><?xml version="1.0" encoding="utf-8"?>
<sst xmlns="http://schemas.openxmlformats.org/spreadsheetml/2006/main" count="82529" uniqueCount="29772">
  <si>
    <t>Batch</t>
  </si>
  <si>
    <t>Form</t>
  </si>
  <si>
    <t>Form Name</t>
  </si>
  <si>
    <t>Last Manual Data Update</t>
  </si>
  <si>
    <t>Last Date available</t>
  </si>
  <si>
    <t>Number</t>
  </si>
  <si>
    <t>Total Number of Submissions</t>
  </si>
  <si>
    <t>2.1.</t>
  </si>
  <si>
    <t>ID</t>
  </si>
  <si>
    <t>pos</t>
  </si>
  <si>
    <t>Date</t>
  </si>
  <si>
    <t>SPT Sample Collection</t>
  </si>
  <si>
    <t>MF</t>
  </si>
  <si>
    <t>ecoli</t>
  </si>
  <si>
    <t>tc</t>
  </si>
  <si>
    <t>MST</t>
  </si>
  <si>
    <t>DNA</t>
  </si>
  <si>
    <t>PCR</t>
  </si>
  <si>
    <t>ENR</t>
  </si>
  <si>
    <t>% completed</t>
  </si>
  <si>
    <t>done</t>
  </si>
  <si>
    <t>mst</t>
  </si>
  <si>
    <t>Enr</t>
  </si>
  <si>
    <t>PL</t>
  </si>
  <si>
    <t>PLc</t>
  </si>
  <si>
    <t>MO</t>
  </si>
  <si>
    <t>CO</t>
  </si>
  <si>
    <t>FP</t>
  </si>
  <si>
    <t>FB</t>
  </si>
  <si>
    <t>FB*UP</t>
  </si>
  <si>
    <t>UPNC</t>
  </si>
  <si>
    <t>EC</t>
  </si>
  <si>
    <t>NCEC</t>
  </si>
  <si>
    <t>UF</t>
  </si>
  <si>
    <t>DW</t>
  </si>
  <si>
    <t>BW</t>
  </si>
  <si>
    <t>OD</t>
  </si>
  <si>
    <t>SW</t>
  </si>
  <si>
    <t>FW</t>
  </si>
  <si>
    <t>SF</t>
  </si>
  <si>
    <t>RP</t>
  </si>
  <si>
    <t>LS</t>
  </si>
  <si>
    <t>SL</t>
  </si>
  <si>
    <t># samples</t>
  </si>
  <si>
    <t>sum</t>
  </si>
  <si>
    <t>B081</t>
  </si>
  <si>
    <t>turbid</t>
  </si>
  <si>
    <t>Note</t>
  </si>
  <si>
    <t>missing data</t>
  </si>
  <si>
    <t>SPT/ ES</t>
  </si>
  <si>
    <t>complete data?</t>
  </si>
  <si>
    <t>dup id?</t>
  </si>
  <si>
    <t>B077</t>
  </si>
  <si>
    <t>PL1001old</t>
  </si>
  <si>
    <t>2.2.</t>
  </si>
  <si>
    <t>HH Sample Collection</t>
  </si>
  <si>
    <t>2.4.</t>
  </si>
  <si>
    <t>ES Sample Collection</t>
  </si>
  <si>
    <t>3.1.</t>
  </si>
  <si>
    <t>Lab MF</t>
  </si>
  <si>
    <t>3.2.</t>
  </si>
  <si>
    <t>Lab MST</t>
  </si>
  <si>
    <t>3.3.</t>
  </si>
  <si>
    <t>Lab DNA</t>
  </si>
  <si>
    <t>ES</t>
  </si>
  <si>
    <t>3.4.</t>
  </si>
  <si>
    <t>Lab PCR</t>
  </si>
  <si>
    <t>form + email</t>
  </si>
  <si>
    <t>LS1001old</t>
  </si>
  <si>
    <t>3.5.</t>
  </si>
  <si>
    <t>Lab Enrichment</t>
  </si>
  <si>
    <t>sum of all samples</t>
  </si>
  <si>
    <t>count all potential samples</t>
  </si>
  <si>
    <t>count all collected samples</t>
  </si>
  <si>
    <t>How to Update Data:</t>
  </si>
  <si>
    <t>count all collected samples - FBs</t>
  </si>
  <si>
    <t>Select approprate survey (e.g. 3.5)</t>
  </si>
  <si>
    <t>count all FB, FBUP</t>
  </si>
  <si>
    <t>Download data from manage.sanipath.org. choose "XML Values and Headers" NOT "Labels"</t>
  </si>
  <si>
    <t>special formula for PL and FB</t>
  </si>
  <si>
    <t>B082</t>
  </si>
  <si>
    <t>count FB</t>
  </si>
  <si>
    <t>Compare index column for survey with downloaded file</t>
  </si>
  <si>
    <t>SPT</t>
  </si>
  <si>
    <t>count FBUP</t>
  </si>
  <si>
    <t>Copy from excel to google doc into corresponding raw tab (e.g. 3.5 raw)</t>
  </si>
  <si>
    <t>Check corresponding "clean" tab to see if data is pulled from raw (e.g. 3.5 clean)</t>
  </si>
  <si>
    <t>Copy ids from clean to status tab, and copy corresponding rows for same sample types (to get correct formulas)</t>
  </si>
  <si>
    <t>Sort samples by nr, batch, then date</t>
  </si>
  <si>
    <t>Add batch nr and sample nr</t>
  </si>
  <si>
    <t>Voila</t>
  </si>
  <si>
    <t>special case for form 2.2. samples COb</t>
  </si>
  <si>
    <t>ID is HH id and sample IDs follow</t>
  </si>
  <si>
    <t>to get final sorting order; sort by</t>
  </si>
  <si>
    <t>number</t>
  </si>
  <si>
    <t>batch</t>
  </si>
  <si>
    <t>date</t>
  </si>
  <si>
    <t>MO1001old</t>
  </si>
  <si>
    <t>Sample IDs</t>
  </si>
  <si>
    <t>id</t>
  </si>
  <si>
    <t>sample_type_name</t>
  </si>
  <si>
    <t>testing</t>
  </si>
  <si>
    <t>Open Drains</t>
  </si>
  <si>
    <t>od</t>
  </si>
  <si>
    <t>mf, mst, dna, pcr</t>
  </si>
  <si>
    <t>Nr.</t>
  </si>
  <si>
    <t>Raw Produce</t>
  </si>
  <si>
    <t>rp</t>
  </si>
  <si>
    <t>Drinking Water</t>
  </si>
  <si>
    <t>DWa</t>
  </si>
  <si>
    <t>DWb</t>
  </si>
  <si>
    <t>MO1002old</t>
  </si>
  <si>
    <t>DWc</t>
  </si>
  <si>
    <t>Surface water</t>
  </si>
  <si>
    <t>sw</t>
  </si>
  <si>
    <t>Floodwater</t>
  </si>
  <si>
    <t>fw</t>
  </si>
  <si>
    <t>Public Latrine swabs</t>
  </si>
  <si>
    <t>ls</t>
  </si>
  <si>
    <t>Particulate/ Soil</t>
  </si>
  <si>
    <t>sl</t>
  </si>
  <si>
    <t>Bathing water</t>
  </si>
  <si>
    <t>bw</t>
  </si>
  <si>
    <t>Street food</t>
  </si>
  <si>
    <t>sf</t>
  </si>
  <si>
    <t>Sewage - Pooled Latrine</t>
  </si>
  <si>
    <t>pl</t>
  </si>
  <si>
    <t>enr, dna, pcr</t>
  </si>
  <si>
    <t>mf, mst</t>
  </si>
  <si>
    <t>sewage, when case occured</t>
  </si>
  <si>
    <t>plc</t>
  </si>
  <si>
    <t>Moore swab</t>
  </si>
  <si>
    <t>ms</t>
  </si>
  <si>
    <t>Dairy</t>
  </si>
  <si>
    <t>da</t>
  </si>
  <si>
    <t>-</t>
  </si>
  <si>
    <t>Food Preparation</t>
  </si>
  <si>
    <t>fp</t>
  </si>
  <si>
    <t>all tests</t>
  </si>
  <si>
    <t>Food Preparation ‘Cutting /Grinding Surface’ (FPa)</t>
  </si>
  <si>
    <t>RP2001old</t>
  </si>
  <si>
    <t>FPa</t>
  </si>
  <si>
    <t>Food Preparation ‘Storage/Preparation Bowl’ (FPb)</t>
  </si>
  <si>
    <t>FPb</t>
  </si>
  <si>
    <t>Food Preparation ‘Food Preparation Area’ (FPc)</t>
  </si>
  <si>
    <t>FPc</t>
  </si>
  <si>
    <t>Food Preparation ‘Cooking/Preparation Water’ (FPd)</t>
  </si>
  <si>
    <t>FPd</t>
  </si>
  <si>
    <t>Food Preparation ‘Cooking/Preparation Utensil’ (FPe)</t>
  </si>
  <si>
    <t>FPe</t>
  </si>
  <si>
    <t>Field Blank</t>
  </si>
  <si>
    <t>Child Observation</t>
  </si>
  <si>
    <t>Child Observation ‘Floor Surface' (COa)</t>
  </si>
  <si>
    <t>COa</t>
  </si>
  <si>
    <t xml:space="preserve">    PL=PL-PLc ... FB=FB-FBUP</t>
  </si>
  <si>
    <t>Child Observation ‘Off ground’ (COb)</t>
  </si>
  <si>
    <t>B083</t>
  </si>
  <si>
    <t>COb</t>
  </si>
  <si>
    <t>Pumping Station Large</t>
  </si>
  <si>
    <t>Positive Control</t>
  </si>
  <si>
    <t>Negative Control</t>
  </si>
  <si>
    <t>NC</t>
  </si>
  <si>
    <t>Controls</t>
  </si>
  <si>
    <t>Field Control</t>
  </si>
  <si>
    <t>mf, dna, pcr</t>
  </si>
  <si>
    <t>sample collection</t>
  </si>
  <si>
    <t>control per sample (only one per batch for Food Prep and Child Observation)</t>
  </si>
  <si>
    <t>Field Blank UP Broth</t>
  </si>
  <si>
    <t>FBUP</t>
  </si>
  <si>
    <t>manual date entry</t>
  </si>
  <si>
    <t>control per sample</t>
  </si>
  <si>
    <t>contanination determined by note column in 3.5</t>
  </si>
  <si>
    <t>Lab Control</t>
  </si>
  <si>
    <t>UP Broth Negative Control</t>
  </si>
  <si>
    <r>
      <t>enr,</t>
    </r>
    <r>
      <rPr>
        <strike/>
      </rPr>
      <t xml:space="preserve"> dna, pcr</t>
    </r>
  </si>
  <si>
    <t>one control per day</t>
  </si>
  <si>
    <t>Negative Control Ecoli</t>
  </si>
  <si>
    <t>mf</t>
  </si>
  <si>
    <t>RP2002old</t>
  </si>
  <si>
    <t>Extraction Control (for DNA extraction)</t>
  </si>
  <si>
    <t>dna, pcr</t>
  </si>
  <si>
    <t>one control per day (per 10 samples)</t>
  </si>
  <si>
    <t>Pathway</t>
  </si>
  <si>
    <t>Code</t>
  </si>
  <si>
    <t>Number of Samples</t>
  </si>
  <si>
    <t>Notes</t>
  </si>
  <si>
    <t>Drinking Water (source) – Public tap</t>
  </si>
  <si>
    <t>Collect directly from the public tap (large volume samples)</t>
  </si>
  <si>
    <t>Drinking Water – Household Stored</t>
  </si>
  <si>
    <t>Collect directly from the household stored water – ask the household to pour into the sample collection bag the way that they would serve water for drinking</t>
  </si>
  <si>
    <t>Drinking Water (source) – Tanker Truck</t>
  </si>
  <si>
    <t>Collect directly from the water tanker trucks</t>
  </si>
  <si>
    <t>Bathing Water (source) – Borewell tap</t>
  </si>
  <si>
    <t>Collect directly from the borewell taps used for bathing</t>
  </si>
  <si>
    <t>Open Drain</t>
  </si>
  <si>
    <t>Collect from the drains within the community</t>
  </si>
  <si>
    <t>Surface Water</t>
  </si>
  <si>
    <t>SL2001old</t>
  </si>
  <si>
    <t>Collect from the canal along the edge of the community</t>
  </si>
  <si>
    <t>Flood Water (if it rains and it is water logged)</t>
  </si>
  <si>
    <t>Collect from any flooded or water logged area (if available after rain)</t>
  </si>
  <si>
    <t>Street Food</t>
  </si>
  <si>
    <t>Collect only Fuchka, Cut Fruit, Shaved Ice with approximately equal numbers of samples per type</t>
  </si>
  <si>
    <t>Collect only Coriander, Cucumber, Tomato with approximately equal numbers of samples per type</t>
  </si>
  <si>
    <t>Latrine Swabs</t>
  </si>
  <si>
    <t>Collect from shared latrines and at least one sample from the pay-per-use toilet</t>
  </si>
  <si>
    <t>Soil</t>
  </si>
  <si>
    <t>Collect from areas with soil where people would gather/play</t>
  </si>
  <si>
    <t>SL2001olda</t>
  </si>
  <si>
    <t>B084</t>
  </si>
  <si>
    <t>SL2002old</t>
  </si>
  <si>
    <t>new ID</t>
  </si>
  <si>
    <t>old ID</t>
  </si>
  <si>
    <t>reason</t>
  </si>
  <si>
    <t>solution</t>
  </si>
  <si>
    <t>COb1003</t>
  </si>
  <si>
    <t>COa1003</t>
  </si>
  <si>
    <t>wrong ID</t>
  </si>
  <si>
    <t>renamed</t>
  </si>
  <si>
    <t>FB1068</t>
  </si>
  <si>
    <t>FB1067</t>
  </si>
  <si>
    <t>FB1068UP</t>
  </si>
  <si>
    <t>FB1067UP</t>
  </si>
  <si>
    <t>FPa1003</t>
  </si>
  <si>
    <t>FPa1103</t>
  </si>
  <si>
    <t>FPb1003</t>
  </si>
  <si>
    <t>FPb1103</t>
  </si>
  <si>
    <t>FPc1003</t>
  </si>
  <si>
    <t>FPc1103</t>
  </si>
  <si>
    <t>FPd1003</t>
  </si>
  <si>
    <t>FPd1103</t>
  </si>
  <si>
    <t>FPe1003</t>
  </si>
  <si>
    <t>FPe1103</t>
  </si>
  <si>
    <t>FB1086</t>
  </si>
  <si>
    <t>FB1086 &amp; FB1086UP</t>
  </si>
  <si>
    <t>wrong ID two samples entered as 1</t>
  </si>
  <si>
    <t>FB1086UP</t>
  </si>
  <si>
    <t>FB1087</t>
  </si>
  <si>
    <t>FB1087&amp;FB1087UP</t>
  </si>
  <si>
    <t>FB1087UP</t>
  </si>
  <si>
    <t>FB1088</t>
  </si>
  <si>
    <t>FB1088&amp; FB1088UP</t>
  </si>
  <si>
    <t>FB1088UP</t>
  </si>
  <si>
    <t>FB1089</t>
  </si>
  <si>
    <t>SL2002olda</t>
  </si>
  <si>
    <t>FB1089&amp;FB1089UP</t>
  </si>
  <si>
    <t>FB1089UP</t>
  </si>
  <si>
    <t>FB1090</t>
  </si>
  <si>
    <t>FB1090&amp;FB1090UP</t>
  </si>
  <si>
    <t>FB1090UP</t>
  </si>
  <si>
    <t>FB1091</t>
  </si>
  <si>
    <t>FB1091&amp;FB1091UP</t>
  </si>
  <si>
    <t>FB1091UP</t>
  </si>
  <si>
    <t>FB1092</t>
  </si>
  <si>
    <t>FB1092&amp;FB1092UP</t>
  </si>
  <si>
    <t>FB1092UP</t>
  </si>
  <si>
    <t>FB1093</t>
  </si>
  <si>
    <t>FB1093&amp;FB1093UP</t>
  </si>
  <si>
    <t>FB1093UP</t>
  </si>
  <si>
    <t>FB1094</t>
  </si>
  <si>
    <t>FB1094&amp;FB1094UP</t>
  </si>
  <si>
    <t>FB1094UP</t>
  </si>
  <si>
    <t>FB1095</t>
  </si>
  <si>
    <t>FB1095&amp;FB1095UP</t>
  </si>
  <si>
    <t>FB1095UP</t>
  </si>
  <si>
    <t>FB1096</t>
  </si>
  <si>
    <t>FB1096&amp;FB1096UP</t>
  </si>
  <si>
    <t>FB1096UP</t>
  </si>
  <si>
    <t>FB1117UP</t>
  </si>
  <si>
    <t>FB1117</t>
  </si>
  <si>
    <t>FB1056UP</t>
  </si>
  <si>
    <t>FB1056</t>
  </si>
  <si>
    <t>FB1111UP</t>
  </si>
  <si>
    <t>FB111UP</t>
  </si>
  <si>
    <t>FB1120UP</t>
  </si>
  <si>
    <t>FB1120</t>
  </si>
  <si>
    <t>FB1126UP</t>
  </si>
  <si>
    <t>FB1126</t>
  </si>
  <si>
    <t>FB1127UP</t>
  </si>
  <si>
    <t>FB1127</t>
  </si>
  <si>
    <t>MO1003</t>
  </si>
  <si>
    <t>FB1129UP</t>
  </si>
  <si>
    <t>FB1129</t>
  </si>
  <si>
    <t>UPNC48a</t>
  </si>
  <si>
    <t>UPNC48</t>
  </si>
  <si>
    <t>two upnc48 samples</t>
  </si>
  <si>
    <t>FB1142UP</t>
  </si>
  <si>
    <t>FB1142</t>
  </si>
  <si>
    <t>wrong id</t>
  </si>
  <si>
    <t>FB1143UP</t>
  </si>
  <si>
    <t>FB1143</t>
  </si>
  <si>
    <t>FB1144UP</t>
  </si>
  <si>
    <t>FB1144</t>
  </si>
  <si>
    <t>FB1145UP</t>
  </si>
  <si>
    <t>FB1145</t>
  </si>
  <si>
    <t>FB1146UP</t>
  </si>
  <si>
    <t>FB1146</t>
  </si>
  <si>
    <t>FB1150UP</t>
  </si>
  <si>
    <t>FB1150</t>
  </si>
  <si>
    <t>FB1151UP</t>
  </si>
  <si>
    <t>FB1151</t>
  </si>
  <si>
    <t>FB1152UP</t>
  </si>
  <si>
    <t>FB1152</t>
  </si>
  <si>
    <t>FB1153UP</t>
  </si>
  <si>
    <t>FB1153</t>
  </si>
  <si>
    <t>FB1148UP</t>
  </si>
  <si>
    <t>FB1148</t>
  </si>
  <si>
    <t>FB1154UP</t>
  </si>
  <si>
    <t>FB1154</t>
  </si>
  <si>
    <t>FB1155UP</t>
  </si>
  <si>
    <t>FB1155</t>
  </si>
  <si>
    <t>FB1156UP</t>
  </si>
  <si>
    <t>FB1156</t>
  </si>
  <si>
    <t>FB1165UP</t>
  </si>
  <si>
    <t>FB1165</t>
  </si>
  <si>
    <t>FB1166UP</t>
  </si>
  <si>
    <t>FB1166</t>
  </si>
  <si>
    <t>FB1167UP</t>
  </si>
  <si>
    <t>FB1167</t>
  </si>
  <si>
    <t>FB1168UP</t>
  </si>
  <si>
    <t>FB1168</t>
  </si>
  <si>
    <t>PLc1111</t>
  </si>
  <si>
    <t>B085</t>
  </si>
  <si>
    <t>PLc111</t>
  </si>
  <si>
    <t>MO1004</t>
  </si>
  <si>
    <t>SF1001</t>
  </si>
  <si>
    <t>double entry</t>
  </si>
  <si>
    <t>deleted</t>
  </si>
  <si>
    <t>2019-06-19T15:57:50.000-07:00</t>
  </si>
  <si>
    <t>all</t>
  </si>
  <si>
    <t>SL2001</t>
  </si>
  <si>
    <t>old entry from may 2019</t>
  </si>
  <si>
    <t>renamed in raw</t>
  </si>
  <si>
    <t>RP2001</t>
  </si>
  <si>
    <t>PLc1158</t>
  </si>
  <si>
    <t>PLc2258</t>
  </si>
  <si>
    <t>FB1315UP</t>
  </si>
  <si>
    <t>FB1215UP</t>
  </si>
  <si>
    <t>UPNC88a</t>
  </si>
  <si>
    <t>UPNC88</t>
  </si>
  <si>
    <t>FB1311UP</t>
  </si>
  <si>
    <t>FB1131UP</t>
  </si>
  <si>
    <t>FB1310UP</t>
  </si>
  <si>
    <t>FB1301UP</t>
  </si>
  <si>
    <t>UF1012F</t>
  </si>
  <si>
    <t>UF1012</t>
  </si>
  <si>
    <t>RP2003old</t>
  </si>
  <si>
    <t>RP2003</t>
  </si>
  <si>
    <t>old entry</t>
  </si>
  <si>
    <t>RP2002</t>
  </si>
  <si>
    <t>RP2002A</t>
  </si>
  <si>
    <t>changing to match sample ID</t>
  </si>
  <si>
    <t>renamed in clean</t>
  </si>
  <si>
    <t>SL2004old</t>
  </si>
  <si>
    <t>SL2004</t>
  </si>
  <si>
    <t>DWa2002old</t>
  </si>
  <si>
    <t>DWa2002</t>
  </si>
  <si>
    <t>RP2004old</t>
  </si>
  <si>
    <t>RP2004</t>
  </si>
  <si>
    <t>PLc8122</t>
  </si>
  <si>
    <t>PLc1122</t>
  </si>
  <si>
    <t>duplicate ID but valid data</t>
  </si>
  <si>
    <t>renamed in raw for dec sample</t>
  </si>
  <si>
    <t>PLc8123</t>
  </si>
  <si>
    <t>PLc1123</t>
  </si>
  <si>
    <t>BW2001old</t>
  </si>
  <si>
    <t>SF2001old</t>
  </si>
  <si>
    <t>col_id_fix</t>
  </si>
  <si>
    <t>col_id</t>
  </si>
  <si>
    <t>col_sample_type</t>
  </si>
  <si>
    <t>form</t>
  </si>
  <si>
    <t>note</t>
  </si>
  <si>
    <t>id in status page?</t>
  </si>
  <si>
    <t>B086</t>
  </si>
  <si>
    <t>SW2001old</t>
  </si>
  <si>
    <t>LS2001old</t>
  </si>
  <si>
    <t>DWa2001old</t>
  </si>
  <si>
    <t>MO1005</t>
  </si>
  <si>
    <t>MO1006</t>
  </si>
  <si>
    <t>B087</t>
  </si>
  <si>
    <t>SL2003old</t>
  </si>
  <si>
    <t>PLc1001</t>
  </si>
  <si>
    <t>pcr</t>
  </si>
  <si>
    <t>B088</t>
  </si>
  <si>
    <t>MO1008</t>
  </si>
  <si>
    <t>DWb1001</t>
  </si>
  <si>
    <t>B089</t>
  </si>
  <si>
    <t>MO1007</t>
  </si>
  <si>
    <t>lost</t>
  </si>
  <si>
    <t>OD1001</t>
  </si>
  <si>
    <t>B090</t>
  </si>
  <si>
    <t>3x</t>
  </si>
  <si>
    <t>SF1002</t>
  </si>
  <si>
    <t>4x</t>
  </si>
  <si>
    <t>SW1001</t>
  </si>
  <si>
    <t>FB1002a</t>
  </si>
  <si>
    <t>PL1002</t>
  </si>
  <si>
    <t>date from mf</t>
  </si>
  <si>
    <t>B091</t>
  </si>
  <si>
    <t>DWa2003</t>
  </si>
  <si>
    <t>LS1002</t>
  </si>
  <si>
    <t>LS1003</t>
  </si>
  <si>
    <t>B092</t>
  </si>
  <si>
    <t>LS1004</t>
  </si>
  <si>
    <t>MO1009</t>
  </si>
  <si>
    <t>no date available, taken from 3.1</t>
  </si>
  <si>
    <t>MO1010</t>
  </si>
  <si>
    <t>B093</t>
  </si>
  <si>
    <t>PLc1002</t>
  </si>
  <si>
    <t>PLc1003</t>
  </si>
  <si>
    <t>DWb1002</t>
  </si>
  <si>
    <t>OD1002</t>
  </si>
  <si>
    <t>B094</t>
  </si>
  <si>
    <t>RP1001</t>
  </si>
  <si>
    <t>RP1002</t>
  </si>
  <si>
    <t>SF1003</t>
  </si>
  <si>
    <t>B095</t>
  </si>
  <si>
    <t>SF1004</t>
  </si>
  <si>
    <t>SW1002</t>
  </si>
  <si>
    <t>PL1003</t>
  </si>
  <si>
    <t>B096</t>
  </si>
  <si>
    <t>DWa1001</t>
  </si>
  <si>
    <t>manual entry</t>
  </si>
  <si>
    <t>collected as SF1014</t>
  </si>
  <si>
    <t>DWa1001(UF)</t>
  </si>
  <si>
    <t>LS1005</t>
  </si>
  <si>
    <t>B097</t>
  </si>
  <si>
    <t>LS1006</t>
  </si>
  <si>
    <t>LS1007</t>
  </si>
  <si>
    <t>PLc1004</t>
  </si>
  <si>
    <t>B098</t>
  </si>
  <si>
    <t>PL1004</t>
  </si>
  <si>
    <t>PLc1005</t>
  </si>
  <si>
    <t>RP1003</t>
  </si>
  <si>
    <t>B099</t>
  </si>
  <si>
    <t>RP1004</t>
  </si>
  <si>
    <t>SL1001</t>
  </si>
  <si>
    <t>SL1001(CONTROL)</t>
  </si>
  <si>
    <t>SL1001R</t>
  </si>
  <si>
    <t>B100</t>
  </si>
  <si>
    <t>SL1002</t>
  </si>
  <si>
    <t>SL1002B</t>
  </si>
  <si>
    <t>MO1011</t>
  </si>
  <si>
    <t>B101</t>
  </si>
  <si>
    <t>MO1012</t>
  </si>
  <si>
    <t>BW1001</t>
  </si>
  <si>
    <t>DWb1003</t>
  </si>
  <si>
    <t>B102</t>
  </si>
  <si>
    <t>SF1005</t>
  </si>
  <si>
    <t>SF1006</t>
  </si>
  <si>
    <t>SW1003</t>
  </si>
  <si>
    <t>B103</t>
  </si>
  <si>
    <t>PL1005</t>
  </si>
  <si>
    <t>DWa1002</t>
  </si>
  <si>
    <t>DWa1002(UF)</t>
  </si>
  <si>
    <t>B104</t>
  </si>
  <si>
    <t>LS1008</t>
  </si>
  <si>
    <t>LS1009</t>
  </si>
  <si>
    <t>B078</t>
  </si>
  <si>
    <t>FB1001</t>
  </si>
  <si>
    <t>B104a</t>
  </si>
  <si>
    <t>MO1013</t>
  </si>
  <si>
    <t>MO1014</t>
  </si>
  <si>
    <t>B105</t>
  </si>
  <si>
    <t>PLc1006</t>
  </si>
  <si>
    <t>B079</t>
  </si>
  <si>
    <t>B105a</t>
  </si>
  <si>
    <t>FB1002</t>
  </si>
  <si>
    <t>PL1006</t>
  </si>
  <si>
    <t>B106</t>
  </si>
  <si>
    <t>RP1005</t>
  </si>
  <si>
    <t>RP1006</t>
  </si>
  <si>
    <t>B106a</t>
  </si>
  <si>
    <t>SL1003</t>
  </si>
  <si>
    <t>duplicate in 3.3</t>
  </si>
  <si>
    <t>SL1004</t>
  </si>
  <si>
    <t>B080</t>
  </si>
  <si>
    <t>MO1015</t>
  </si>
  <si>
    <t>B107</t>
  </si>
  <si>
    <t>MO1015A</t>
  </si>
  <si>
    <t>MO1015B</t>
  </si>
  <si>
    <t>MO1016</t>
  </si>
  <si>
    <t>MO1016A</t>
  </si>
  <si>
    <t>MO1016B</t>
  </si>
  <si>
    <t>B107a</t>
  </si>
  <si>
    <t>DWb1004</t>
  </si>
  <si>
    <t>OD1003</t>
  </si>
  <si>
    <t>B107b</t>
  </si>
  <si>
    <t>SF1007</t>
  </si>
  <si>
    <t>SF1008</t>
  </si>
  <si>
    <t>duplicate in 3.2</t>
  </si>
  <si>
    <t>SF1008 (AL BUFFER)</t>
  </si>
  <si>
    <t>B108</t>
  </si>
  <si>
    <t>SW1004</t>
  </si>
  <si>
    <t>MO1017</t>
  </si>
  <si>
    <t>MO1017(DUPLICATE)</t>
  </si>
  <si>
    <t>MO1018</t>
  </si>
  <si>
    <t>B109</t>
  </si>
  <si>
    <t>MO1018D</t>
  </si>
  <si>
    <t>PL1007</t>
  </si>
  <si>
    <t>B110</t>
  </si>
  <si>
    <t>PL1007(D)</t>
  </si>
  <si>
    <t>PL1007FL</t>
  </si>
  <si>
    <t>dna</t>
  </si>
  <si>
    <t>PLc1007</t>
  </si>
  <si>
    <t>PLc1007(D)</t>
  </si>
  <si>
    <t>B111</t>
  </si>
  <si>
    <t>PLc1007D</t>
  </si>
  <si>
    <t>PLc1007F</t>
  </si>
  <si>
    <t>MO1019</t>
  </si>
  <si>
    <t>lost sample</t>
  </si>
  <si>
    <t>MO1020</t>
  </si>
  <si>
    <t>MO1020(D)</t>
  </si>
  <si>
    <t>B112</t>
  </si>
  <si>
    <t>MO1020D</t>
  </si>
  <si>
    <t>MO1021</t>
  </si>
  <si>
    <t>MO1021(D)</t>
  </si>
  <si>
    <t>MO1021D</t>
  </si>
  <si>
    <t>MO1022</t>
  </si>
  <si>
    <t>B113</t>
  </si>
  <si>
    <t>MO1022(D)</t>
  </si>
  <si>
    <t>MO1022D</t>
  </si>
  <si>
    <t>PL1008</t>
  </si>
  <si>
    <t>start</t>
  </si>
  <si>
    <t>hh_id</t>
  </si>
  <si>
    <t>col_id_prefix</t>
  </si>
  <si>
    <t>sample_type</t>
  </si>
  <si>
    <t>2019-11-27T10:57:39.415+05:30</t>
  </si>
  <si>
    <t>FPd1006</t>
  </si>
  <si>
    <t>PL1008(D)</t>
  </si>
  <si>
    <t>FPb1006</t>
  </si>
  <si>
    <t>PL1008FL</t>
  </si>
  <si>
    <t>FPa1006</t>
  </si>
  <si>
    <t>FPc1006</t>
  </si>
  <si>
    <t>MO1023</t>
  </si>
  <si>
    <t>FPe1006</t>
  </si>
  <si>
    <t>2019-08-21T11:32:55.121+05:30</t>
  </si>
  <si>
    <t>FPa1001</t>
  </si>
  <si>
    <t>2019-08-21T11:50:38.313+05:30</t>
  </si>
  <si>
    <t>FPb1001</t>
  </si>
  <si>
    <t>MO1023(D)</t>
  </si>
  <si>
    <t>2019-08-21T11:44:01.564+05:30</t>
  </si>
  <si>
    <t>B114</t>
  </si>
  <si>
    <t>FPc1001</t>
  </si>
  <si>
    <t>2019-08-21T12:00:11.386+05:30</t>
  </si>
  <si>
    <t>FPd1001</t>
  </si>
  <si>
    <t>MO1023D</t>
  </si>
  <si>
    <t>2019-08-21T11:55:43.283+05:30</t>
  </si>
  <si>
    <t>FPe1001</t>
  </si>
  <si>
    <t>2019-08-22T11:08:01.152+05:30</t>
  </si>
  <si>
    <t>MO1024</t>
  </si>
  <si>
    <t>COa1001</t>
  </si>
  <si>
    <t>2019-08-22T11:49:05.508+05:30</t>
  </si>
  <si>
    <t>COa1002</t>
  </si>
  <si>
    <t>MO1024(D)</t>
  </si>
  <si>
    <t>2019-08-22T11:18:12.357+05:30</t>
  </si>
  <si>
    <t>COb1001</t>
  </si>
  <si>
    <t>2019-08-22T11:22:41.663+05:30</t>
  </si>
  <si>
    <t>COb1002</t>
  </si>
  <si>
    <t>MO1024D</t>
  </si>
  <si>
    <t>2019-08-22T11:27:46.943+05:30</t>
  </si>
  <si>
    <t>2019-08-22T11:58:12.502+05:30</t>
  </si>
  <si>
    <t>COb1004</t>
  </si>
  <si>
    <t>2019-08-22T12:05:15.179+05:30</t>
  </si>
  <si>
    <t>MO1025</t>
  </si>
  <si>
    <t>COb1005</t>
  </si>
  <si>
    <t>2019-08-22T12:14:31.910+05:30</t>
  </si>
  <si>
    <t>COb1006</t>
  </si>
  <si>
    <t>2019-09-17T10:52:11.305+05:30</t>
  </si>
  <si>
    <t>2019-09-17T10:58:50.954+05:30</t>
  </si>
  <si>
    <t>MO1025(D)</t>
  </si>
  <si>
    <t>B115</t>
  </si>
  <si>
    <t>COb1007</t>
  </si>
  <si>
    <t>COb1008</t>
  </si>
  <si>
    <t>MO1025D</t>
  </si>
  <si>
    <t>COb1009</t>
  </si>
  <si>
    <t>MO1026</t>
  </si>
  <si>
    <t>2019-09-17T11:33:56.236+05:30</t>
  </si>
  <si>
    <t>COa1004</t>
  </si>
  <si>
    <t>2019-09-17T11:40:05.914+05:30</t>
  </si>
  <si>
    <t>COb1010</t>
  </si>
  <si>
    <t>MO1026(D)</t>
  </si>
  <si>
    <t>COb1011</t>
  </si>
  <si>
    <t>MO1026D</t>
  </si>
  <si>
    <t>COb1012</t>
  </si>
  <si>
    <t>2019-09-17T12:33:17.330+05:30</t>
  </si>
  <si>
    <t>PLc1008</t>
  </si>
  <si>
    <t>COb1013</t>
  </si>
  <si>
    <t>2019-11-06T11:26:08.702+05:30</t>
  </si>
  <si>
    <t>FPa1004</t>
  </si>
  <si>
    <t>2019-11-06T11:16:21.333+05:30</t>
  </si>
  <si>
    <t>FPb1004</t>
  </si>
  <si>
    <t>2019-11-06T11:20:55.128+05:30</t>
  </si>
  <si>
    <t>duplicate 3.3</t>
  </si>
  <si>
    <t>FPc1004</t>
  </si>
  <si>
    <t>B116</t>
  </si>
  <si>
    <t>PLc1008(D)</t>
  </si>
  <si>
    <t>2019-11-06T11:00:54.241+05:30</t>
  </si>
  <si>
    <t>FPd1004</t>
  </si>
  <si>
    <t>PLc1008D</t>
  </si>
  <si>
    <t>2019-11-06T11:12:56.088+05:30</t>
  </si>
  <si>
    <t>FPe1004</t>
  </si>
  <si>
    <t>2019-10-23T10:45:18.395+05:30</t>
  </si>
  <si>
    <t>FB1084</t>
  </si>
  <si>
    <t>PLc1008FL</t>
  </si>
  <si>
    <t>2019-11-01T12:33:04.578+05:30</t>
  </si>
  <si>
    <t>COb1014</t>
  </si>
  <si>
    <t>PLc1009</t>
  </si>
  <si>
    <t>2019-11-01T12:42:05.709+05:30</t>
  </si>
  <si>
    <t>COa1005</t>
  </si>
  <si>
    <t>COb1015</t>
  </si>
  <si>
    <t>PLc1009(D)</t>
  </si>
  <si>
    <t>COb1016</t>
  </si>
  <si>
    <t>2019-11-01T13:01:31.564+05:30</t>
  </si>
  <si>
    <t>FB1108</t>
  </si>
  <si>
    <t>PLc1009D</t>
  </si>
  <si>
    <t>2019-11-06T11:33:13.097+05:30</t>
  </si>
  <si>
    <t>FB1118</t>
  </si>
  <si>
    <t>B117</t>
  </si>
  <si>
    <t>PLc1009F</t>
  </si>
  <si>
    <t>2019-10-23T10:09:57.776+05:30</t>
  </si>
  <si>
    <t>2019-10-23T10:20:04.217+05:30</t>
  </si>
  <si>
    <t>PLc1010</t>
  </si>
  <si>
    <t>2019-10-23T10:25:24.416+05:30</t>
  </si>
  <si>
    <t>2019-10-23T10:33:02.541+05:30</t>
  </si>
  <si>
    <t>2019-10-23T10:39:29.718+05:30</t>
  </si>
  <si>
    <t>PLc1010(D)</t>
  </si>
  <si>
    <t>2019-11-08T10:44:32.931+05:30</t>
  </si>
  <si>
    <t>COa1006</t>
  </si>
  <si>
    <t>PLc1010FL</t>
  </si>
  <si>
    <t>2019-11-08T10:48:03.309+05:30</t>
  </si>
  <si>
    <t>COb1017</t>
  </si>
  <si>
    <t>PLc1011</t>
  </si>
  <si>
    <t>COb1018</t>
  </si>
  <si>
    <t>COb1019</t>
  </si>
  <si>
    <t>2019-11-08T10:56:09.948+05:30</t>
  </si>
  <si>
    <t>2019-09-12T10:45:11.431+05:30</t>
  </si>
  <si>
    <t>PLc1012</t>
  </si>
  <si>
    <t>FPa1002</t>
  </si>
  <si>
    <t>B118</t>
  </si>
  <si>
    <t>2019-09-12T10:27:39.205+05:30</t>
  </si>
  <si>
    <t>FPb1002</t>
  </si>
  <si>
    <t>PLc1013</t>
  </si>
  <si>
    <t>2019-09-12T10:14:31.698+05:30</t>
  </si>
  <si>
    <t>FPc1002</t>
  </si>
  <si>
    <t>2019-09-12T10:40:06.329+05:30</t>
  </si>
  <si>
    <t>FPd1002</t>
  </si>
  <si>
    <t>MO1027</t>
  </si>
  <si>
    <t>2019-09-12T10:35:51.158+05:30</t>
  </si>
  <si>
    <t>FPe1002</t>
  </si>
  <si>
    <t>2019-11-15T10:29:25.091+05:30</t>
  </si>
  <si>
    <t>FB1137</t>
  </si>
  <si>
    <t>MO1028</t>
  </si>
  <si>
    <t>2019-11-20T11:07:26.837+05:30</t>
  </si>
  <si>
    <t>COa1007</t>
  </si>
  <si>
    <t>MO1029</t>
  </si>
  <si>
    <t>2019-11-20T11:11:49.449+05:30</t>
  </si>
  <si>
    <t>COb1020</t>
  </si>
  <si>
    <t>MO1030</t>
  </si>
  <si>
    <t>COb1021</t>
  </si>
  <si>
    <t>B119</t>
  </si>
  <si>
    <t>COb1022</t>
  </si>
  <si>
    <t>MO1031</t>
  </si>
  <si>
    <t>2019-11-20T11:27:47.846+05:30</t>
  </si>
  <si>
    <t>FB1147</t>
  </si>
  <si>
    <t>MO1032</t>
  </si>
  <si>
    <t>FPa1005</t>
  </si>
  <si>
    <t>FPb1005</t>
  </si>
  <si>
    <t>MO1033</t>
  </si>
  <si>
    <t>FPc1005</t>
  </si>
  <si>
    <t>MO1034</t>
  </si>
  <si>
    <t>FPd1005</t>
  </si>
  <si>
    <t>PLc1014</t>
  </si>
  <si>
    <t>FPe1005</t>
  </si>
  <si>
    <t>FB1164</t>
  </si>
  <si>
    <t>2020-01-15T11:12:06.142+05:30</t>
  </si>
  <si>
    <t>COa2001</t>
  </si>
  <si>
    <t>2020-01-15T11:18:26.673+05:30</t>
  </si>
  <si>
    <t>COb2001</t>
  </si>
  <si>
    <t>COb2002</t>
  </si>
  <si>
    <t>PLc1015</t>
  </si>
  <si>
    <t>COb2003</t>
  </si>
  <si>
    <t>B120</t>
  </si>
  <si>
    <t>2020-01-15T11:27:57.726+05:30</t>
  </si>
  <si>
    <t>FB1275</t>
  </si>
  <si>
    <t>2020-01-15T11:37:54.770+05:30</t>
  </si>
  <si>
    <t>COa2002</t>
  </si>
  <si>
    <t>2020-01-15T11:41:16.857+05:30</t>
  </si>
  <si>
    <t>COb2004</t>
  </si>
  <si>
    <t>PLc1016</t>
  </si>
  <si>
    <t>COb2005</t>
  </si>
  <si>
    <t>COb2006</t>
  </si>
  <si>
    <t>PLc1017</t>
  </si>
  <si>
    <t>2020-01-15T11:56:37.097+05:30</t>
  </si>
  <si>
    <t>FB1276</t>
  </si>
  <si>
    <t>2020-01-22T11:08:55.686+05:30</t>
  </si>
  <si>
    <t>FPd2001</t>
  </si>
  <si>
    <t>PLc1018</t>
  </si>
  <si>
    <t>2020-01-22T11:26:07.024+05:30</t>
  </si>
  <si>
    <t>FPb2001</t>
  </si>
  <si>
    <t>2020-01-22T11:32:28.927+05:30</t>
  </si>
  <si>
    <t>FPe2001</t>
  </si>
  <si>
    <t>PLc1019</t>
  </si>
  <si>
    <t>2020-01-22T11:40:10.815+05:30</t>
  </si>
  <si>
    <t>FPa2001</t>
  </si>
  <si>
    <t>2020-01-22T11:42:43.596+05:30</t>
  </si>
  <si>
    <t>FPc2001</t>
  </si>
  <si>
    <t>2020-01-22T11:50:54.814+05:30</t>
  </si>
  <si>
    <t>FB1290</t>
  </si>
  <si>
    <t>2020-02-05T10:43:24.972+05:30</t>
  </si>
  <si>
    <t>COa2003</t>
  </si>
  <si>
    <t>MO1035</t>
  </si>
  <si>
    <t>2020-02-05T10:50:23.187+05:30</t>
  </si>
  <si>
    <t>COb2007</t>
  </si>
  <si>
    <t>B121</t>
  </si>
  <si>
    <t>COb2008</t>
  </si>
  <si>
    <t>MO1036</t>
  </si>
  <si>
    <t>COb2009</t>
  </si>
  <si>
    <t>2020-02-05T11:06:03.086+05:30</t>
  </si>
  <si>
    <t>FB1309</t>
  </si>
  <si>
    <t>2020-02-05T11:17:42.598+05:30</t>
  </si>
  <si>
    <t>COa2004</t>
  </si>
  <si>
    <t>MO1037</t>
  </si>
  <si>
    <t>2020-02-05T11:24:57.310+05:30</t>
  </si>
  <si>
    <t>COb2010</t>
  </si>
  <si>
    <t>COb2011</t>
  </si>
  <si>
    <t>COb2012</t>
  </si>
  <si>
    <t>2020-02-05T11:34:35.744+05:30</t>
  </si>
  <si>
    <t>FB1311</t>
  </si>
  <si>
    <t>MO1038</t>
  </si>
  <si>
    <t>2020-02-06T10:57:54.451+05:30</t>
  </si>
  <si>
    <t>COa2005</t>
  </si>
  <si>
    <t>2020-02-06T11:00:36.846+05:30</t>
  </si>
  <si>
    <t>COb2013</t>
  </si>
  <si>
    <t>COb2014</t>
  </si>
  <si>
    <t>COb2015</t>
  </si>
  <si>
    <t>2020-02-06T11:13:00.530+05:30</t>
  </si>
  <si>
    <t>FB1002UP</t>
  </si>
  <si>
    <t>FB1314</t>
  </si>
  <si>
    <t>2020-02-06T11:19:43.246+05:30</t>
  </si>
  <si>
    <t>COa2006</t>
  </si>
  <si>
    <t>B122</t>
  </si>
  <si>
    <t>2020-02-06T11:24:39.478+05:30</t>
  </si>
  <si>
    <t>COb2016</t>
  </si>
  <si>
    <t>FB1003</t>
  </si>
  <si>
    <t>COb2017</t>
  </si>
  <si>
    <t>COb2018</t>
  </si>
  <si>
    <t>2020-02-06T11:38:24.035+05:30</t>
  </si>
  <si>
    <t>FB1315</t>
  </si>
  <si>
    <t>2020-02-13T11:24:20.417+05:30</t>
  </si>
  <si>
    <t>COb2019</t>
  </si>
  <si>
    <t>FB1003UP</t>
  </si>
  <si>
    <t>2020-02-13T11:34:35.100+05:30</t>
  </si>
  <si>
    <t>FB1335</t>
  </si>
  <si>
    <t>2020-02-13T11:47:12.864+05:30</t>
  </si>
  <si>
    <t>FPa2002</t>
  </si>
  <si>
    <t>2020-02-13T11:50:40.801+05:30</t>
  </si>
  <si>
    <t>FPc2002</t>
  </si>
  <si>
    <t>2020-02-13T11:57:23.797+05:30</t>
  </si>
  <si>
    <t>FPb2002</t>
  </si>
  <si>
    <t>MO1039</t>
  </si>
  <si>
    <t>2020-02-13T11:59:51.924+05:30</t>
  </si>
  <si>
    <t>FPd2002</t>
  </si>
  <si>
    <t>2020-02-13T12:04:08.852+05:30</t>
  </si>
  <si>
    <t>FPe2002</t>
  </si>
  <si>
    <t>2020-02-13T12:12:22.907+05:30</t>
  </si>
  <si>
    <t>MO1040</t>
  </si>
  <si>
    <t>FB1336</t>
  </si>
  <si>
    <t>2020-02-13T12:34:37.327+05:30</t>
  </si>
  <si>
    <t>FPa2003</t>
  </si>
  <si>
    <t>MO1040a</t>
  </si>
  <si>
    <t>2020-02-13T12:37:00.705+05:30</t>
  </si>
  <si>
    <t>FPc2003</t>
  </si>
  <si>
    <t>B123</t>
  </si>
  <si>
    <t>MO1041</t>
  </si>
  <si>
    <t>2020-02-13T12:38:31.585+05:30</t>
  </si>
  <si>
    <t>FPd2003</t>
  </si>
  <si>
    <t>2020-02-13T12:40:27.015+05:30</t>
  </si>
  <si>
    <t>FPb2003</t>
  </si>
  <si>
    <t>2020-02-13T12:41:47.094+05:30</t>
  </si>
  <si>
    <t>FPe2003</t>
  </si>
  <si>
    <t>MO1042</t>
  </si>
  <si>
    <t>2020-02-13T13:01:12.444+05:30</t>
  </si>
  <si>
    <t>FB1337</t>
  </si>
  <si>
    <t>2020-02-13T11:20:43.896+05:30</t>
  </si>
  <si>
    <t>COa2007</t>
  </si>
  <si>
    <t>2020-02-20T11:16:00.000+05:30</t>
  </si>
  <si>
    <t>PLc1020</t>
  </si>
  <si>
    <t>FPa2004</t>
  </si>
  <si>
    <t>FPc2004</t>
  </si>
  <si>
    <t>FPd2004</t>
  </si>
  <si>
    <t>PLc1021</t>
  </si>
  <si>
    <t>FPb2004</t>
  </si>
  <si>
    <t>FPe2004</t>
  </si>
  <si>
    <t>FB????</t>
  </si>
  <si>
    <t>PLc1022</t>
  </si>
  <si>
    <t>2020-02-27T11:06:01.676+05:30</t>
  </si>
  <si>
    <t>FPa2005</t>
  </si>
  <si>
    <t>B124</t>
  </si>
  <si>
    <t>2020-02-27T11:10:11.613+05:30</t>
  </si>
  <si>
    <t>FPc2005</t>
  </si>
  <si>
    <t>NCEC1</t>
  </si>
  <si>
    <t>2020-02-27T11:11:50.339+05:30</t>
  </si>
  <si>
    <t>FPb2005</t>
  </si>
  <si>
    <t>2020-02-27T11:13:32.950+05:30</t>
  </si>
  <si>
    <t>FPd2005</t>
  </si>
  <si>
    <t>2020-02-27T11:15:04.591+05:30</t>
  </si>
  <si>
    <t>FPe2005</t>
  </si>
  <si>
    <t>2020-02-27T11:28:18.808+05:30</t>
  </si>
  <si>
    <t>PLc1023</t>
  </si>
  <si>
    <t>PLc1023a</t>
  </si>
  <si>
    <t>PLc1024</t>
  </si>
  <si>
    <t>B125</t>
  </si>
  <si>
    <t>FB1004</t>
  </si>
  <si>
    <t>?</t>
  </si>
  <si>
    <t>FB1004UP</t>
  </si>
  <si>
    <t>MO1043</t>
  </si>
  <si>
    <t>B126</t>
  </si>
  <si>
    <t>MO1043D</t>
  </si>
  <si>
    <t>MO1044</t>
  </si>
  <si>
    <t>MO1044D</t>
  </si>
  <si>
    <t>B127</t>
  </si>
  <si>
    <t>MO1045</t>
  </si>
  <si>
    <t>MO1045D</t>
  </si>
  <si>
    <t>MO1046</t>
  </si>
  <si>
    <t>B128</t>
  </si>
  <si>
    <t>MO1046D</t>
  </si>
  <si>
    <t>UPNC1</t>
  </si>
  <si>
    <t>B129</t>
  </si>
  <si>
    <t>enr</t>
  </si>
  <si>
    <t>FB1005</t>
  </si>
  <si>
    <t>FB1005UP</t>
  </si>
  <si>
    <t>B130</t>
  </si>
  <si>
    <t>MO1047</t>
  </si>
  <si>
    <t>MO1048</t>
  </si>
  <si>
    <t>duplicate 3.5.</t>
  </si>
  <si>
    <t>MO1049</t>
  </si>
  <si>
    <t>B131</t>
  </si>
  <si>
    <t>MO1050</t>
  </si>
  <si>
    <t>UPNC2</t>
  </si>
  <si>
    <t>PL1009</t>
  </si>
  <si>
    <t>B132</t>
  </si>
  <si>
    <t>NCEC2</t>
  </si>
  <si>
    <t>UPNC3</t>
  </si>
  <si>
    <t>B133</t>
  </si>
  <si>
    <t>PL1009F</t>
  </si>
  <si>
    <t>MO1051</t>
  </si>
  <si>
    <t>MO1052</t>
  </si>
  <si>
    <t>B134</t>
  </si>
  <si>
    <t>MO1053</t>
  </si>
  <si>
    <t>MO1054</t>
  </si>
  <si>
    <t>FB1006</t>
  </si>
  <si>
    <t>B135</t>
  </si>
  <si>
    <t>FB1006UP</t>
  </si>
  <si>
    <t>UPNC4</t>
  </si>
  <si>
    <t>PL1010</t>
  </si>
  <si>
    <t>B136</t>
  </si>
  <si>
    <t>PL1010F</t>
  </si>
  <si>
    <t>FB1007</t>
  </si>
  <si>
    <t>B137</t>
  </si>
  <si>
    <t>FB1007a</t>
  </si>
  <si>
    <t>FB1007UP</t>
  </si>
  <si>
    <t>B138</t>
  </si>
  <si>
    <t>NCEC3</t>
  </si>
  <si>
    <t>UPNC5</t>
  </si>
  <si>
    <t>PL1010FL</t>
  </si>
  <si>
    <t>B139</t>
  </si>
  <si>
    <t>MO1055</t>
  </si>
  <si>
    <t>MO1055(D)</t>
  </si>
  <si>
    <t>MO1056</t>
  </si>
  <si>
    <t>B140</t>
  </si>
  <si>
    <t>MO1056(D)</t>
  </si>
  <si>
    <t>MO1057</t>
  </si>
  <si>
    <t>MO1057(D)</t>
  </si>
  <si>
    <t>B141</t>
  </si>
  <si>
    <t>MO1058</t>
  </si>
  <si>
    <t>MO1058(D)</t>
  </si>
  <si>
    <t>UPNC6</t>
  </si>
  <si>
    <t>B142</t>
  </si>
  <si>
    <t>MO1055D</t>
  </si>
  <si>
    <t>MO1056D</t>
  </si>
  <si>
    <t>MO1057D</t>
  </si>
  <si>
    <t>MO1058D</t>
  </si>
  <si>
    <t>B143</t>
  </si>
  <si>
    <t>PL1011</t>
  </si>
  <si>
    <t>PL1011F</t>
  </si>
  <si>
    <t>NCEC4</t>
  </si>
  <si>
    <t>B144</t>
  </si>
  <si>
    <t>UPNC7</t>
  </si>
  <si>
    <t>MO1059</t>
  </si>
  <si>
    <t>MO1059(D)</t>
  </si>
  <si>
    <t>B145</t>
  </si>
  <si>
    <t>MO1060</t>
  </si>
  <si>
    <t>MO1060(D)</t>
  </si>
  <si>
    <t>MO1061</t>
  </si>
  <si>
    <t>MO1061(D)</t>
  </si>
  <si>
    <t>B146</t>
  </si>
  <si>
    <t>MO1062</t>
  </si>
  <si>
    <t>FB1008</t>
  </si>
  <si>
    <t>B147</t>
  </si>
  <si>
    <t>duplicate</t>
  </si>
  <si>
    <t>FB1008UP</t>
  </si>
  <si>
    <t>UPNC8</t>
  </si>
  <si>
    <t>MO1059D</t>
  </si>
  <si>
    <t>B148</t>
  </si>
  <si>
    <t>MO1060D</t>
  </si>
  <si>
    <t>MO1061D</t>
  </si>
  <si>
    <t>PL1012</t>
  </si>
  <si>
    <t>B149</t>
  </si>
  <si>
    <t>PL1012F</t>
  </si>
  <si>
    <t>FB1009</t>
  </si>
  <si>
    <t>B150</t>
  </si>
  <si>
    <t>FB1009UP</t>
  </si>
  <si>
    <t>NCEC5</t>
  </si>
  <si>
    <t>UPNC9</t>
  </si>
  <si>
    <t>B151</t>
  </si>
  <si>
    <t>MO1063</t>
  </si>
  <si>
    <t>no FB</t>
  </si>
  <si>
    <t>MO1064</t>
  </si>
  <si>
    <t>B152</t>
  </si>
  <si>
    <t>MO1065</t>
  </si>
  <si>
    <t>MO1066</t>
  </si>
  <si>
    <t>UPNC10</t>
  </si>
  <si>
    <t>B153</t>
  </si>
  <si>
    <t>PL1013</t>
  </si>
  <si>
    <t>PL1013F</t>
  </si>
  <si>
    <t>NCEC6</t>
  </si>
  <si>
    <t>B154</t>
  </si>
  <si>
    <t>UPNC11</t>
  </si>
  <si>
    <t>MO1067</t>
  </si>
  <si>
    <t>MO1067(D)</t>
  </si>
  <si>
    <t>MO1068</t>
  </si>
  <si>
    <t>B154a</t>
  </si>
  <si>
    <t>MO1068(D)</t>
  </si>
  <si>
    <t>MO1069</t>
  </si>
  <si>
    <t>MO1069(D)</t>
  </si>
  <si>
    <t>B155</t>
  </si>
  <si>
    <t>MO1070</t>
  </si>
  <si>
    <t>MO1070(D)</t>
  </si>
  <si>
    <t>FB1010</t>
  </si>
  <si>
    <t>B156</t>
  </si>
  <si>
    <t>FB1010UP</t>
  </si>
  <si>
    <t>SL1005</t>
  </si>
  <si>
    <t>B157</t>
  </si>
  <si>
    <t>SL1006</t>
  </si>
  <si>
    <t>UPNC12</t>
  </si>
  <si>
    <t>NCEC7</t>
  </si>
  <si>
    <t>B158</t>
  </si>
  <si>
    <t>MO1067D</t>
  </si>
  <si>
    <t>MO1068D</t>
  </si>
  <si>
    <t>MO1069D</t>
  </si>
  <si>
    <t>MO1070D</t>
  </si>
  <si>
    <t>B158a</t>
  </si>
  <si>
    <t>PL1014</t>
  </si>
  <si>
    <t>UF1001</t>
  </si>
  <si>
    <t>FB1011</t>
  </si>
  <si>
    <t>B159</t>
  </si>
  <si>
    <t>FB1011UP</t>
  </si>
  <si>
    <t>SF1009</t>
  </si>
  <si>
    <t>SF1010</t>
  </si>
  <si>
    <t>B160</t>
  </si>
  <si>
    <t>NCEC8</t>
  </si>
  <si>
    <t>UPNC13</t>
  </si>
  <si>
    <t>B161</t>
  </si>
  <si>
    <t>x</t>
  </si>
  <si>
    <t>PL1014FL</t>
  </si>
  <si>
    <t>MO1071</t>
  </si>
  <si>
    <t>MO1072</t>
  </si>
  <si>
    <t>B162</t>
  </si>
  <si>
    <t>MO1073</t>
  </si>
  <si>
    <t>MO1074</t>
  </si>
  <si>
    <t>B163</t>
  </si>
  <si>
    <t>UPNC14</t>
  </si>
  <si>
    <t>PL1015</t>
  </si>
  <si>
    <t>B164</t>
  </si>
  <si>
    <t>FB1012</t>
  </si>
  <si>
    <t>FB1012UP</t>
  </si>
  <si>
    <t>B164a</t>
  </si>
  <si>
    <t>RP1007</t>
  </si>
  <si>
    <t>RP1008</t>
  </si>
  <si>
    <t>B165</t>
  </si>
  <si>
    <t>RP1009</t>
  </si>
  <si>
    <t>UPNC15</t>
  </si>
  <si>
    <t>NCEC9</t>
  </si>
  <si>
    <t>B166</t>
  </si>
  <si>
    <t>FB1013</t>
  </si>
  <si>
    <t>FB1013UP</t>
  </si>
  <si>
    <t>FB1014</t>
  </si>
  <si>
    <t>B167</t>
  </si>
  <si>
    <t>FB1014UP</t>
  </si>
  <si>
    <t>MO1075</t>
  </si>
  <si>
    <t>B167a</t>
  </si>
  <si>
    <t>MO1076</t>
  </si>
  <si>
    <t>MO1077</t>
  </si>
  <si>
    <t>FB1085</t>
  </si>
  <si>
    <t>MO1078</t>
  </si>
  <si>
    <t>B168</t>
  </si>
  <si>
    <t>NCEC10</t>
  </si>
  <si>
    <t>SW1005</t>
  </si>
  <si>
    <t>SW1006</t>
  </si>
  <si>
    <t>B169</t>
  </si>
  <si>
    <t>UPNC16</t>
  </si>
  <si>
    <t>PL1016</t>
  </si>
  <si>
    <t>FB1015</t>
  </si>
  <si>
    <t>B170</t>
  </si>
  <si>
    <t>FB1015UP</t>
  </si>
  <si>
    <t>SL1007</t>
  </si>
  <si>
    <t>B171</t>
  </si>
  <si>
    <t>SL1008</t>
  </si>
  <si>
    <t>NCEC11</t>
  </si>
  <si>
    <t>UPNC17</t>
  </si>
  <si>
    <t>B172</t>
  </si>
  <si>
    <t>MO1079</t>
  </si>
  <si>
    <t>MO1080</t>
  </si>
  <si>
    <t>MO1081</t>
  </si>
  <si>
    <t>B173</t>
  </si>
  <si>
    <t>MO1082</t>
  </si>
  <si>
    <t>FB1016</t>
  </si>
  <si>
    <t>FB1016UP</t>
  </si>
  <si>
    <t>B174</t>
  </si>
  <si>
    <t>NCEC12</t>
  </si>
  <si>
    <t>UPNC18</t>
  </si>
  <si>
    <t>B175</t>
  </si>
  <si>
    <t>SW1007</t>
  </si>
  <si>
    <t>mst, dna, pcr</t>
  </si>
  <si>
    <t>FB1018</t>
  </si>
  <si>
    <t>FB1018UP</t>
  </si>
  <si>
    <t>B176</t>
  </si>
  <si>
    <t>PL1017</t>
  </si>
  <si>
    <t>PL1017F</t>
  </si>
  <si>
    <t>FB1017</t>
  </si>
  <si>
    <t>B177</t>
  </si>
  <si>
    <t>FB1017UP</t>
  </si>
  <si>
    <t>SL1009</t>
  </si>
  <si>
    <t>B178</t>
  </si>
  <si>
    <t>UPNC19</t>
  </si>
  <si>
    <t>NCEC13</t>
  </si>
  <si>
    <t>MO1083</t>
  </si>
  <si>
    <t>B179</t>
  </si>
  <si>
    <t>FB1019</t>
  </si>
  <si>
    <t>FB1019UP</t>
  </si>
  <si>
    <t>B180</t>
  </si>
  <si>
    <t>MO1084</t>
  </si>
  <si>
    <t>FB1020</t>
  </si>
  <si>
    <t>FB1020UP</t>
  </si>
  <si>
    <t>B181</t>
  </si>
  <si>
    <t>MO1085</t>
  </si>
  <si>
    <t>MO1086</t>
  </si>
  <si>
    <t>FW1001</t>
  </si>
  <si>
    <t>B182</t>
  </si>
  <si>
    <t>OD1004</t>
  </si>
  <si>
    <t>OD1005</t>
  </si>
  <si>
    <t>NCEC14</t>
  </si>
  <si>
    <t>B183</t>
  </si>
  <si>
    <t>UPNC20</t>
  </si>
  <si>
    <t>PL1018</t>
  </si>
  <si>
    <t>B184</t>
  </si>
  <si>
    <t>FB1021</t>
  </si>
  <si>
    <t>FB1021UP</t>
  </si>
  <si>
    <t>FW1002</t>
  </si>
  <si>
    <t>B185</t>
  </si>
  <si>
    <t>FB1022</t>
  </si>
  <si>
    <t>FB1022UP</t>
  </si>
  <si>
    <t>B186</t>
  </si>
  <si>
    <t>NCEC15</t>
  </si>
  <si>
    <t>UPNC21</t>
  </si>
  <si>
    <t>MO1087</t>
  </si>
  <si>
    <t>B187</t>
  </si>
  <si>
    <t>MO1088</t>
  </si>
  <si>
    <t>MO1089</t>
  </si>
  <si>
    <t>MO1090</t>
  </si>
  <si>
    <t>FB1023</t>
  </si>
  <si>
    <t>B188</t>
  </si>
  <si>
    <t>FB1023UP</t>
  </si>
  <si>
    <t>FW1003</t>
  </si>
  <si>
    <t>B189</t>
  </si>
  <si>
    <t>NCEC16</t>
  </si>
  <si>
    <t>UPNC22</t>
  </si>
  <si>
    <t>NCEC17</t>
  </si>
  <si>
    <t>B190</t>
  </si>
  <si>
    <t>FB1024</t>
  </si>
  <si>
    <t>FB1024UP</t>
  </si>
  <si>
    <t>B191</t>
  </si>
  <si>
    <t>unknown field sample</t>
  </si>
  <si>
    <t xml:space="preserve">for training </t>
  </si>
  <si>
    <t>NCEC18</t>
  </si>
  <si>
    <t>B192</t>
  </si>
  <si>
    <t>PL1019</t>
  </si>
  <si>
    <t>FB1025</t>
  </si>
  <si>
    <t>B193</t>
  </si>
  <si>
    <t>FB1025UP</t>
  </si>
  <si>
    <t>B194</t>
  </si>
  <si>
    <t>SL1010</t>
  </si>
  <si>
    <t>SW1008</t>
  </si>
  <si>
    <t>FB1026</t>
  </si>
  <si>
    <t>B195</t>
  </si>
  <si>
    <t>FB1026UP</t>
  </si>
  <si>
    <t>NCEC19</t>
  </si>
  <si>
    <t>B196</t>
  </si>
  <si>
    <t>UPNC23</t>
  </si>
  <si>
    <t>FB1027</t>
  </si>
  <si>
    <t>B197</t>
  </si>
  <si>
    <t>duplicates 3.3</t>
  </si>
  <si>
    <t>FB1027UP</t>
  </si>
  <si>
    <t>FB1028</t>
  </si>
  <si>
    <t>FB1028UP</t>
  </si>
  <si>
    <t>B198</t>
  </si>
  <si>
    <t>B199</t>
  </si>
  <si>
    <t>B200</t>
  </si>
  <si>
    <t>NCEC20</t>
  </si>
  <si>
    <t>UF1002</t>
  </si>
  <si>
    <t>B201</t>
  </si>
  <si>
    <t>B202</t>
  </si>
  <si>
    <t>B203</t>
  </si>
  <si>
    <t>FB1029</t>
  </si>
  <si>
    <t>B204</t>
  </si>
  <si>
    <t>FB1029UP</t>
  </si>
  <si>
    <t>B205</t>
  </si>
  <si>
    <t>B206</t>
  </si>
  <si>
    <t>FB1030</t>
  </si>
  <si>
    <t>FB1030UP</t>
  </si>
  <si>
    <t>B207</t>
  </si>
  <si>
    <t>NCEC21</t>
  </si>
  <si>
    <t>OD1006</t>
  </si>
  <si>
    <t>B208</t>
  </si>
  <si>
    <t>FB1031</t>
  </si>
  <si>
    <t>FB1031UP</t>
  </si>
  <si>
    <t>B209</t>
  </si>
  <si>
    <t>RP1010</t>
  </si>
  <si>
    <t>FB1032</t>
  </si>
  <si>
    <t>B210</t>
  </si>
  <si>
    <t>FB1032UP</t>
  </si>
  <si>
    <t>DWa1003</t>
  </si>
  <si>
    <t>B211</t>
  </si>
  <si>
    <t>FB1033</t>
  </si>
  <si>
    <t>B212</t>
  </si>
  <si>
    <t>FB1033UP</t>
  </si>
  <si>
    <t>UF1003</t>
  </si>
  <si>
    <t>NCEC22</t>
  </si>
  <si>
    <t>B213</t>
  </si>
  <si>
    <t>MO1091</t>
  </si>
  <si>
    <t>FB1035</t>
  </si>
  <si>
    <t>B214</t>
  </si>
  <si>
    <t>FB1035UP</t>
  </si>
  <si>
    <t>PL1020</t>
  </si>
  <si>
    <t>B215</t>
  </si>
  <si>
    <t>PL1020F</t>
  </si>
  <si>
    <t>FB1034</t>
  </si>
  <si>
    <t>B216</t>
  </si>
  <si>
    <t>FB1034UP</t>
  </si>
  <si>
    <t>UF1004</t>
  </si>
  <si>
    <t>B217</t>
  </si>
  <si>
    <t>NCEC23</t>
  </si>
  <si>
    <t>SF1011</t>
  </si>
  <si>
    <t>B218</t>
  </si>
  <si>
    <t>FB1036</t>
  </si>
  <si>
    <t>FB1036UP</t>
  </si>
  <si>
    <t>B219</t>
  </si>
  <si>
    <t>SF1012</t>
  </si>
  <si>
    <t>SF1012A</t>
  </si>
  <si>
    <t>B220</t>
  </si>
  <si>
    <t>SF1012B</t>
  </si>
  <si>
    <t>FB1037</t>
  </si>
  <si>
    <t>B221</t>
  </si>
  <si>
    <t>FB1037UP</t>
  </si>
  <si>
    <t>SL1011</t>
  </si>
  <si>
    <t>B222</t>
  </si>
  <si>
    <t>NCEC24</t>
  </si>
  <si>
    <t>DWa1004</t>
  </si>
  <si>
    <t>FB1038</t>
  </si>
  <si>
    <t>B223</t>
  </si>
  <si>
    <t>FB1038UP</t>
  </si>
  <si>
    <t>SL1012</t>
  </si>
  <si>
    <t>B224</t>
  </si>
  <si>
    <t>FB1039</t>
  </si>
  <si>
    <t>FB1039UP</t>
  </si>
  <si>
    <t>B225</t>
  </si>
  <si>
    <t>SW1009</t>
  </si>
  <si>
    <t>FB1040</t>
  </si>
  <si>
    <t>B226</t>
  </si>
  <si>
    <t>FB1040UP</t>
  </si>
  <si>
    <t>LS1010</t>
  </si>
  <si>
    <t>B227</t>
  </si>
  <si>
    <t>LS1011</t>
  </si>
  <si>
    <t>LS1012</t>
  </si>
  <si>
    <t>B228</t>
  </si>
  <si>
    <t>FB1041</t>
  </si>
  <si>
    <t>FB1041UP</t>
  </si>
  <si>
    <t>B229</t>
  </si>
  <si>
    <t>UF1005</t>
  </si>
  <si>
    <t>NCEC25</t>
  </si>
  <si>
    <t>B230</t>
  </si>
  <si>
    <t>MO1092</t>
  </si>
  <si>
    <t>MO1092D</t>
  </si>
  <si>
    <t>B231</t>
  </si>
  <si>
    <t>FB1043</t>
  </si>
  <si>
    <t>FB1043UP</t>
  </si>
  <si>
    <t>B232</t>
  </si>
  <si>
    <t>PL1021</t>
  </si>
  <si>
    <t>PL1022</t>
  </si>
  <si>
    <t>FB1042</t>
  </si>
  <si>
    <t>B233</t>
  </si>
  <si>
    <t>FB1042UP</t>
  </si>
  <si>
    <t>UF1006</t>
  </si>
  <si>
    <t>B234</t>
  </si>
  <si>
    <t>NCEC26</t>
  </si>
  <si>
    <t>B235</t>
  </si>
  <si>
    <t>MO1093</t>
  </si>
  <si>
    <t>FB1047</t>
  </si>
  <si>
    <t>FB1047UP</t>
  </si>
  <si>
    <t>B236</t>
  </si>
  <si>
    <t>PL1023</t>
  </si>
  <si>
    <t>FB1044</t>
  </si>
  <si>
    <t>B237</t>
  </si>
  <si>
    <t>FB1044UP</t>
  </si>
  <si>
    <t>SF1014</t>
  </si>
  <si>
    <t>B238</t>
  </si>
  <si>
    <t>FB1045</t>
  </si>
  <si>
    <t>FB1045UP</t>
  </si>
  <si>
    <t>RP1011</t>
  </si>
  <si>
    <t>B239</t>
  </si>
  <si>
    <t>RP1012</t>
  </si>
  <si>
    <t>FB1046</t>
  </si>
  <si>
    <t>B240</t>
  </si>
  <si>
    <t>FB1046UP</t>
  </si>
  <si>
    <t>SF1013</t>
  </si>
  <si>
    <t>B241</t>
  </si>
  <si>
    <t>SF1014A</t>
  </si>
  <si>
    <t>SF1014B</t>
  </si>
  <si>
    <t>B242</t>
  </si>
  <si>
    <t>UF1007</t>
  </si>
  <si>
    <t>NCEC27</t>
  </si>
  <si>
    <t>B243</t>
  </si>
  <si>
    <t>SL1013</t>
  </si>
  <si>
    <t>FB1049</t>
  </si>
  <si>
    <t>B244</t>
  </si>
  <si>
    <t>FB1049UP</t>
  </si>
  <si>
    <t>SW1010</t>
  </si>
  <si>
    <t>B245</t>
  </si>
  <si>
    <t>FB1048</t>
  </si>
  <si>
    <t>FB1048UP</t>
  </si>
  <si>
    <t>B246</t>
  </si>
  <si>
    <t>NCEC28</t>
  </si>
  <si>
    <t>B247</t>
  </si>
  <si>
    <t>B248</t>
  </si>
  <si>
    <t>B249</t>
  </si>
  <si>
    <t>FB1050</t>
  </si>
  <si>
    <t>B250</t>
  </si>
  <si>
    <t>FB1050UP</t>
  </si>
  <si>
    <t>NCEC29</t>
  </si>
  <si>
    <t>PLc1025</t>
  </si>
  <si>
    <t>B251</t>
  </si>
  <si>
    <t>PLc1025FL</t>
  </si>
  <si>
    <t>FB1051</t>
  </si>
  <si>
    <t>B252</t>
  </si>
  <si>
    <t>FB1051UP</t>
  </si>
  <si>
    <t>NCEC30</t>
  </si>
  <si>
    <t>B253</t>
  </si>
  <si>
    <t>MO1094</t>
  </si>
  <si>
    <t>FB1054</t>
  </si>
  <si>
    <t>B254</t>
  </si>
  <si>
    <t>FB1054UP</t>
  </si>
  <si>
    <t>B255</t>
  </si>
  <si>
    <t>B256</t>
  </si>
  <si>
    <t>FB1052</t>
  </si>
  <si>
    <t>FB1052UP</t>
  </si>
  <si>
    <t>B257</t>
  </si>
  <si>
    <t>B258</t>
  </si>
  <si>
    <t>B259</t>
  </si>
  <si>
    <t>FB1053</t>
  </si>
  <si>
    <t>B260</t>
  </si>
  <si>
    <t>FB1053UP</t>
  </si>
  <si>
    <t>UPNC24</t>
  </si>
  <si>
    <t>lab_id_fix</t>
  </si>
  <si>
    <t>lab_id</t>
  </si>
  <si>
    <t>sample_id</t>
  </si>
  <si>
    <t>any ecoli detected</t>
  </si>
  <si>
    <t>any tc detected (red)</t>
  </si>
  <si>
    <t>notes</t>
  </si>
  <si>
    <t>B261</t>
  </si>
  <si>
    <t>NCEC31</t>
  </si>
  <si>
    <t>MO1095</t>
  </si>
  <si>
    <t>B262</t>
  </si>
  <si>
    <t>B263</t>
  </si>
  <si>
    <t>PLc1026</t>
  </si>
  <si>
    <t>PLc1026FL</t>
  </si>
  <si>
    <t>FB1055</t>
  </si>
  <si>
    <t>B264</t>
  </si>
  <si>
    <t>FB1055UP</t>
  </si>
  <si>
    <t>UPNC25</t>
  </si>
  <si>
    <t>B265</t>
  </si>
  <si>
    <t>NCEC32</t>
  </si>
  <si>
    <t>PLc1027</t>
  </si>
  <si>
    <t>B266</t>
  </si>
  <si>
    <t>PLc1027FL</t>
  </si>
  <si>
    <t>FB1057</t>
  </si>
  <si>
    <t>B267</t>
  </si>
  <si>
    <t>FB1057UP</t>
  </si>
  <si>
    <t>UPNC26</t>
  </si>
  <si>
    <t>B268</t>
  </si>
  <si>
    <t>NCEC33</t>
  </si>
  <si>
    <t>MO1096</t>
  </si>
  <si>
    <t>B269</t>
  </si>
  <si>
    <t>FB1058</t>
  </si>
  <si>
    <t>FB1058UP</t>
  </si>
  <si>
    <t>B270</t>
  </si>
  <si>
    <t>MO1097</t>
  </si>
  <si>
    <t>FB1059</t>
  </si>
  <si>
    <t>B271</t>
  </si>
  <si>
    <t>FB1059UP</t>
  </si>
  <si>
    <t>UPNC27</t>
  </si>
  <si>
    <t>B272</t>
  </si>
  <si>
    <t>NCEC34</t>
  </si>
  <si>
    <t>MO1098</t>
  </si>
  <si>
    <t>B273</t>
  </si>
  <si>
    <t>MO1098D</t>
  </si>
  <si>
    <t>FB1061</t>
  </si>
  <si>
    <t>FB1061UP</t>
  </si>
  <si>
    <t>B274</t>
  </si>
  <si>
    <t>MO1099</t>
  </si>
  <si>
    <t>MO1099D</t>
  </si>
  <si>
    <t>FB1062</t>
  </si>
  <si>
    <t>B275</t>
  </si>
  <si>
    <t>FB1062UP</t>
  </si>
  <si>
    <t>B276</t>
  </si>
  <si>
    <t>PLc1028</t>
  </si>
  <si>
    <t>PLc1028F</t>
  </si>
  <si>
    <t>FB1060</t>
  </si>
  <si>
    <t>B277</t>
  </si>
  <si>
    <t>FB1060UP</t>
  </si>
  <si>
    <t>B278</t>
  </si>
  <si>
    <t>UPNC28</t>
  </si>
  <si>
    <t>NCEC35</t>
  </si>
  <si>
    <t>B279</t>
  </si>
  <si>
    <t>EC5</t>
  </si>
  <si>
    <t>PLc1029</t>
  </si>
  <si>
    <t>B280</t>
  </si>
  <si>
    <t>PLc1029F</t>
  </si>
  <si>
    <t>FB1063</t>
  </si>
  <si>
    <t>FB1063UP</t>
  </si>
  <si>
    <t>B281</t>
  </si>
  <si>
    <t>PLc1030</t>
  </si>
  <si>
    <t>PLc1030F</t>
  </si>
  <si>
    <t>B282</t>
  </si>
  <si>
    <t>FB1064</t>
  </si>
  <si>
    <t>FB1064UP</t>
  </si>
  <si>
    <t>PLc1031</t>
  </si>
  <si>
    <t>B283</t>
  </si>
  <si>
    <t>PLc1031F</t>
  </si>
  <si>
    <t>FB1065</t>
  </si>
  <si>
    <t>B284</t>
  </si>
  <si>
    <t>FB1065UP</t>
  </si>
  <si>
    <t>UPNC29</t>
  </si>
  <si>
    <t>NCEC36</t>
  </si>
  <si>
    <t>B285</t>
  </si>
  <si>
    <t>EC6</t>
  </si>
  <si>
    <t>PLc1032</t>
  </si>
  <si>
    <t>PLc1032F</t>
  </si>
  <si>
    <t>FB1066</t>
  </si>
  <si>
    <t>B286</t>
  </si>
  <si>
    <t>FB1066UP</t>
  </si>
  <si>
    <t>PLc1033</t>
  </si>
  <si>
    <t>B287</t>
  </si>
  <si>
    <t>B288</t>
  </si>
  <si>
    <t>PLc1034</t>
  </si>
  <si>
    <t>PLc1034F</t>
  </si>
  <si>
    <t>B289</t>
  </si>
  <si>
    <t>UPNC30</t>
  </si>
  <si>
    <t>B290</t>
  </si>
  <si>
    <t>NCEC37</t>
  </si>
  <si>
    <t>EC7</t>
  </si>
  <si>
    <t>PLc1035</t>
  </si>
  <si>
    <t>B291</t>
  </si>
  <si>
    <t>PLc1035F</t>
  </si>
  <si>
    <t>FB1069</t>
  </si>
  <si>
    <t>FB1069UP</t>
  </si>
  <si>
    <t>B292</t>
  </si>
  <si>
    <t>PLc1036</t>
  </si>
  <si>
    <t>PLc1036F</t>
  </si>
  <si>
    <t>FB1070</t>
  </si>
  <si>
    <t>B293</t>
  </si>
  <si>
    <t>FB1070UP</t>
  </si>
  <si>
    <t>UPNC31</t>
  </si>
  <si>
    <t>B294</t>
  </si>
  <si>
    <t>NCEC38</t>
  </si>
  <si>
    <t>EC8</t>
  </si>
  <si>
    <t>MO1100</t>
  </si>
  <si>
    <t>FB1071</t>
  </si>
  <si>
    <t>B295</t>
  </si>
  <si>
    <t>FB1071UP</t>
  </si>
  <si>
    <t>MO1101</t>
  </si>
  <si>
    <t>B296</t>
  </si>
  <si>
    <t>FB1072</t>
  </si>
  <si>
    <t>FB1072UP</t>
  </si>
  <si>
    <t>UPNC32</t>
  </si>
  <si>
    <t>NCEC39</t>
  </si>
  <si>
    <t>B297</t>
  </si>
  <si>
    <t>EC9</t>
  </si>
  <si>
    <t>MO1102</t>
  </si>
  <si>
    <t>FB1076</t>
  </si>
  <si>
    <t>B298</t>
  </si>
  <si>
    <t>FB1076UP</t>
  </si>
  <si>
    <t>MO1103</t>
  </si>
  <si>
    <t>B299</t>
  </si>
  <si>
    <t>FB1075</t>
  </si>
  <si>
    <t>FB1075UP</t>
  </si>
  <si>
    <t>PLc1037</t>
  </si>
  <si>
    <t>B300</t>
  </si>
  <si>
    <t>PLc1037F</t>
  </si>
  <si>
    <t>FB1073</t>
  </si>
  <si>
    <t>FB1073UP</t>
  </si>
  <si>
    <t>B301</t>
  </si>
  <si>
    <t>PLc1038</t>
  </si>
  <si>
    <t>B302</t>
  </si>
  <si>
    <t>PLc1038F</t>
  </si>
  <si>
    <t>FB1074</t>
  </si>
  <si>
    <t>FB1074UP</t>
  </si>
  <si>
    <t>B303</t>
  </si>
  <si>
    <t>UPNC33</t>
  </si>
  <si>
    <t>NCEC40</t>
  </si>
  <si>
    <t>B304</t>
  </si>
  <si>
    <t>EC10</t>
  </si>
  <si>
    <t>PLc1039</t>
  </si>
  <si>
    <t>B305</t>
  </si>
  <si>
    <t>FB1077</t>
  </si>
  <si>
    <t>FB1077UP</t>
  </si>
  <si>
    <t>PLc1040</t>
  </si>
  <si>
    <t>B306</t>
  </si>
  <si>
    <t>FB1078</t>
  </si>
  <si>
    <t>FB1078UP</t>
  </si>
  <si>
    <t>PLc1041</t>
  </si>
  <si>
    <t>B307</t>
  </si>
  <si>
    <t>FB1079</t>
  </si>
  <si>
    <t>FB1079UP</t>
  </si>
  <si>
    <t>PLc1042</t>
  </si>
  <si>
    <t>FB1080</t>
  </si>
  <si>
    <t>B308</t>
  </si>
  <si>
    <t>FB1080UP</t>
  </si>
  <si>
    <t>PLc1043</t>
  </si>
  <si>
    <t>FB1081</t>
  </si>
  <si>
    <t>B309</t>
  </si>
  <si>
    <t>FB1081UP</t>
  </si>
  <si>
    <t>UPNC34</t>
  </si>
  <si>
    <t>NCEC41</t>
  </si>
  <si>
    <t>B310</t>
  </si>
  <si>
    <t>EC11</t>
  </si>
  <si>
    <t>MO1104</t>
  </si>
  <si>
    <t>MO1104D</t>
  </si>
  <si>
    <t>FB1082</t>
  </si>
  <si>
    <t>B311</t>
  </si>
  <si>
    <t>FB1082UP</t>
  </si>
  <si>
    <t>MO1105</t>
  </si>
  <si>
    <t>NCEC68a</t>
  </si>
  <si>
    <t>MO1105D</t>
  </si>
  <si>
    <t>B312</t>
  </si>
  <si>
    <t>FB1083</t>
  </si>
  <si>
    <t>FB1083UP</t>
  </si>
  <si>
    <t>B313</t>
  </si>
  <si>
    <t>UPNC35</t>
  </si>
  <si>
    <t>NCEC42</t>
  </si>
  <si>
    <t>B314</t>
  </si>
  <si>
    <t>B315</t>
  </si>
  <si>
    <t>FB1084UP</t>
  </si>
  <si>
    <t>B316</t>
  </si>
  <si>
    <t>UPNC36</t>
  </si>
  <si>
    <t>NCEC43</t>
  </si>
  <si>
    <t>B317</t>
  </si>
  <si>
    <t>EC12</t>
  </si>
  <si>
    <t>MO1106</t>
  </si>
  <si>
    <t>B318</t>
  </si>
  <si>
    <t>FB1085UP</t>
  </si>
  <si>
    <t>MO1107</t>
  </si>
  <si>
    <t>B319</t>
  </si>
  <si>
    <t>PLc1044</t>
  </si>
  <si>
    <t>PLc1044F</t>
  </si>
  <si>
    <t>B320</t>
  </si>
  <si>
    <t>PLc1045</t>
  </si>
  <si>
    <t>B321</t>
  </si>
  <si>
    <t>B322</t>
  </si>
  <si>
    <t>PLc1046</t>
  </si>
  <si>
    <t>B323</t>
  </si>
  <si>
    <t>PLc1047</t>
  </si>
  <si>
    <t>B324</t>
  </si>
  <si>
    <t>PLc1048</t>
  </si>
  <si>
    <t>UPNC37</t>
  </si>
  <si>
    <t>NCEC44</t>
  </si>
  <si>
    <t>PLC1049</t>
  </si>
  <si>
    <t>PLC1050</t>
  </si>
  <si>
    <t>PLC1051</t>
  </si>
  <si>
    <t>PLC1052</t>
  </si>
  <si>
    <t>PLC1053</t>
  </si>
  <si>
    <t>PLC1053F</t>
  </si>
  <si>
    <t>UPNC38</t>
  </si>
  <si>
    <t>NCEC45</t>
  </si>
  <si>
    <t>MO1108</t>
  </si>
  <si>
    <t>FB1097</t>
  </si>
  <si>
    <t>FB1097UP</t>
  </si>
  <si>
    <t>MO1109</t>
  </si>
  <si>
    <t>FB1098</t>
  </si>
  <si>
    <t>FB1098UP</t>
  </si>
  <si>
    <t>UPNC39</t>
  </si>
  <si>
    <t>NCEC46</t>
  </si>
  <si>
    <t>MO1110</t>
  </si>
  <si>
    <t>FB1105</t>
  </si>
  <si>
    <t>FB1105UP</t>
  </si>
  <si>
    <t>MO1111</t>
  </si>
  <si>
    <t>FB1104</t>
  </si>
  <si>
    <t>FB1104UP</t>
  </si>
  <si>
    <t>PLc1054</t>
  </si>
  <si>
    <t>FB1099</t>
  </si>
  <si>
    <t>FB1099UP</t>
  </si>
  <si>
    <t>PLc1055</t>
  </si>
  <si>
    <t>FB1100</t>
  </si>
  <si>
    <t>FB1100UP</t>
  </si>
  <si>
    <t>PLc1056</t>
  </si>
  <si>
    <t>FB1101</t>
  </si>
  <si>
    <t>FB1101UP</t>
  </si>
  <si>
    <t>PLc1057</t>
  </si>
  <si>
    <t>FB1102</t>
  </si>
  <si>
    <t>FB1102UP</t>
  </si>
  <si>
    <t>PLc1058</t>
  </si>
  <si>
    <t>FB1103</t>
  </si>
  <si>
    <t>FB1103UP</t>
  </si>
  <si>
    <t>UPNC40</t>
  </si>
  <si>
    <t>NCEC47</t>
  </si>
  <si>
    <t>PLc1059</t>
  </si>
  <si>
    <t>FB1106</t>
  </si>
  <si>
    <t>FB1106UP</t>
  </si>
  <si>
    <t>PLc1060</t>
  </si>
  <si>
    <t>FB1107</t>
  </si>
  <si>
    <t>FB1107UP</t>
  </si>
  <si>
    <t>FB1108UP</t>
  </si>
  <si>
    <t>UPNC41</t>
  </si>
  <si>
    <t>NCEC48</t>
  </si>
  <si>
    <t>EC15</t>
  </si>
  <si>
    <t>PLc1061</t>
  </si>
  <si>
    <t>FB1109</t>
  </si>
  <si>
    <t>FB1109UP</t>
  </si>
  <si>
    <t>PLc1062</t>
  </si>
  <si>
    <t>FB1110</t>
  </si>
  <si>
    <t>FB1110UP</t>
  </si>
  <si>
    <t>PLc1063</t>
  </si>
  <si>
    <t>FB1111</t>
  </si>
  <si>
    <t>lab_sample_id</t>
  </si>
  <si>
    <t>sample type</t>
  </si>
  <si>
    <t>sample type based on id</t>
  </si>
  <si>
    <t>matching?</t>
  </si>
  <si>
    <t>PLc1064</t>
  </si>
  <si>
    <t>FB1112</t>
  </si>
  <si>
    <t>FB1112UP</t>
  </si>
  <si>
    <t>PLc1065</t>
  </si>
  <si>
    <t>FB1113</t>
  </si>
  <si>
    <t>FB1132</t>
  </si>
  <si>
    <t>FB1113UP</t>
  </si>
  <si>
    <t>UPNC42</t>
  </si>
  <si>
    <t>NCEC49</t>
  </si>
  <si>
    <t>EC16</t>
  </si>
  <si>
    <t>MO1112</t>
  </si>
  <si>
    <t>MO1113</t>
  </si>
  <si>
    <t>FB1116</t>
  </si>
  <si>
    <t>FB1116UP</t>
  </si>
  <si>
    <t>PLc1066</t>
  </si>
  <si>
    <t>FB1114</t>
  </si>
  <si>
    <t>FB1114UP</t>
  </si>
  <si>
    <t>PLc1067</t>
  </si>
  <si>
    <t>FB1115</t>
  </si>
  <si>
    <t>FB1115UP</t>
  </si>
  <si>
    <t>UPNC43</t>
  </si>
  <si>
    <t>NCEC50</t>
  </si>
  <si>
    <t>FB1118UP</t>
  </si>
  <si>
    <t>UPNC44</t>
  </si>
  <si>
    <t>NCEC51</t>
  </si>
  <si>
    <t>EC17</t>
  </si>
  <si>
    <t>MO1114</t>
  </si>
  <si>
    <t>FB1125</t>
  </si>
  <si>
    <t>FB1125UP</t>
  </si>
  <si>
    <t>MO1115</t>
  </si>
  <si>
    <t>FB1124</t>
  </si>
  <si>
    <t>FB1124UP</t>
  </si>
  <si>
    <t>PLc1068</t>
  </si>
  <si>
    <t>FB1119</t>
  </si>
  <si>
    <t>FB1119UP</t>
  </si>
  <si>
    <t>PLc1069</t>
  </si>
  <si>
    <t>PLc1070</t>
  </si>
  <si>
    <t>FB1121</t>
  </si>
  <si>
    <t>FB1121UP</t>
  </si>
  <si>
    <t>PLc1071</t>
  </si>
  <si>
    <t>FB1122</t>
  </si>
  <si>
    <t>FB1122UP</t>
  </si>
  <si>
    <t>PLc1072</t>
  </si>
  <si>
    <t>FB1123</t>
  </si>
  <si>
    <t>FB1123UP</t>
  </si>
  <si>
    <t>UPNC45</t>
  </si>
  <si>
    <t>NCEC52</t>
  </si>
  <si>
    <t>EC18</t>
  </si>
  <si>
    <t>PLc1073</t>
  </si>
  <si>
    <t>PLc1074</t>
  </si>
  <si>
    <t>FB1128</t>
  </si>
  <si>
    <t>FB1128UP</t>
  </si>
  <si>
    <t>PLc1075</t>
  </si>
  <si>
    <t>UPNC46</t>
  </si>
  <si>
    <t>NCEC53</t>
  </si>
  <si>
    <t>EC19</t>
  </si>
  <si>
    <t>MO1116</t>
  </si>
  <si>
    <t>FB1130</t>
  </si>
  <si>
    <t>FB1130UP</t>
  </si>
  <si>
    <t>MO1117</t>
  </si>
  <si>
    <t>FB1131</t>
  </si>
  <si>
    <t>UPNC47</t>
  </si>
  <si>
    <t>NCEC54</t>
  </si>
  <si>
    <t>EC20</t>
  </si>
  <si>
    <t>PLc1076</t>
  </si>
  <si>
    <t>FB1132UP</t>
  </si>
  <si>
    <t>PLc1077</t>
  </si>
  <si>
    <t>FB1133</t>
  </si>
  <si>
    <t>FB1133UP</t>
  </si>
  <si>
    <t>PLc1078</t>
  </si>
  <si>
    <t>FB1134</t>
  </si>
  <si>
    <t>FB1134UP</t>
  </si>
  <si>
    <t>PLc1079</t>
  </si>
  <si>
    <t>FB1135</t>
  </si>
  <si>
    <t>FB1135UP</t>
  </si>
  <si>
    <t>PLc1080</t>
  </si>
  <si>
    <t>FB1136</t>
  </si>
  <si>
    <t>FB1136UP</t>
  </si>
  <si>
    <t>FB1137UP</t>
  </si>
  <si>
    <t>NCEC55</t>
  </si>
  <si>
    <t>EC21</t>
  </si>
  <si>
    <t>PLc1081</t>
  </si>
  <si>
    <t>FB1138</t>
  </si>
  <si>
    <t>FB1138UP</t>
  </si>
  <si>
    <t>PLc1082</t>
  </si>
  <si>
    <t>FB1139</t>
  </si>
  <si>
    <t>FB1139UP</t>
  </si>
  <si>
    <t>PLc1083</t>
  </si>
  <si>
    <t>FB1140</t>
  </si>
  <si>
    <t>FB1140UP</t>
  </si>
  <si>
    <t>PLc1084</t>
  </si>
  <si>
    <t>FB1141</t>
  </si>
  <si>
    <t>FB1141UP</t>
  </si>
  <si>
    <t>NCEC56</t>
  </si>
  <si>
    <t>MO1118</t>
  </si>
  <si>
    <t>MO1119</t>
  </si>
  <si>
    <t>PLc1085</t>
  </si>
  <si>
    <t>PLc1086</t>
  </si>
  <si>
    <t>PLc1087</t>
  </si>
  <si>
    <t>UPNC49</t>
  </si>
  <si>
    <t>NCEC57</t>
  </si>
  <si>
    <t>EC22</t>
  </si>
  <si>
    <t>FB1147UP</t>
  </si>
  <si>
    <t>UPNC50</t>
  </si>
  <si>
    <t>NCEC58</t>
  </si>
  <si>
    <t>EC23</t>
  </si>
  <si>
    <t>UF1008</t>
  </si>
  <si>
    <t>MO1120</t>
  </si>
  <si>
    <t>MO1121</t>
  </si>
  <si>
    <t>FB1149</t>
  </si>
  <si>
    <t>PLc1088</t>
  </si>
  <si>
    <t>PLc1089</t>
  </si>
  <si>
    <t>PLc1090</t>
  </si>
  <si>
    <t>PLc1091</t>
  </si>
  <si>
    <t>UPNC51</t>
  </si>
  <si>
    <t>NCEC59</t>
  </si>
  <si>
    <t>EC24</t>
  </si>
  <si>
    <t>PLc1092</t>
  </si>
  <si>
    <t>PLc1093</t>
  </si>
  <si>
    <t>PLc1094</t>
  </si>
  <si>
    <t>UPNC52</t>
  </si>
  <si>
    <t>NCEC60</t>
  </si>
  <si>
    <t>EC25</t>
  </si>
  <si>
    <t>PLc1095</t>
  </si>
  <si>
    <t>FB1157</t>
  </si>
  <si>
    <t>FB1157UP</t>
  </si>
  <si>
    <t>PLc1096</t>
  </si>
  <si>
    <t>FB1158</t>
  </si>
  <si>
    <t>FB1158UP</t>
  </si>
  <si>
    <t>UPNC53</t>
  </si>
  <si>
    <t>NCEC61</t>
  </si>
  <si>
    <t>MO1122</t>
  </si>
  <si>
    <t>FB1163</t>
  </si>
  <si>
    <t>FB1163UP</t>
  </si>
  <si>
    <t>MO1123</t>
  </si>
  <si>
    <t>FB1162</t>
  </si>
  <si>
    <t>FB1162UP</t>
  </si>
  <si>
    <t>PLc1097</t>
  </si>
  <si>
    <t>FB1159</t>
  </si>
  <si>
    <t>FB1159UP</t>
  </si>
  <si>
    <t>PLc1098</t>
  </si>
  <si>
    <t>FB1160</t>
  </si>
  <si>
    <t>FB1160UP</t>
  </si>
  <si>
    <t>PLc1099</t>
  </si>
  <si>
    <t>FB1161</t>
  </si>
  <si>
    <t>FB1161UP</t>
  </si>
  <si>
    <t>UPNC54</t>
  </si>
  <si>
    <t>NCEC62</t>
  </si>
  <si>
    <t>EC26</t>
  </si>
  <si>
    <t>FB1164UP</t>
  </si>
  <si>
    <t>UPNC55</t>
  </si>
  <si>
    <t>NCEC63</t>
  </si>
  <si>
    <t>UF1009</t>
  </si>
  <si>
    <t>MO1124</t>
  </si>
  <si>
    <t>MO1125</t>
  </si>
  <si>
    <t>lab_sample_id_fp</t>
  </si>
  <si>
    <t>lab_sample_id_co</t>
  </si>
  <si>
    <t>PLc1100</t>
  </si>
  <si>
    <t>PLc1101</t>
  </si>
  <si>
    <t>NCEC64</t>
  </si>
  <si>
    <t>UPNC56</t>
  </si>
  <si>
    <t>EC27</t>
  </si>
  <si>
    <t>PLc1102</t>
  </si>
  <si>
    <t>FB1169</t>
  </si>
  <si>
    <t>FB1169UP</t>
  </si>
  <si>
    <t>PLc1103</t>
  </si>
  <si>
    <t>FB1170</t>
  </si>
  <si>
    <t>FB1170UP</t>
  </si>
  <si>
    <t>PLc1104</t>
  </si>
  <si>
    <t>FB1171</t>
  </si>
  <si>
    <t>FB1171UP</t>
  </si>
  <si>
    <t>NCEC65</t>
  </si>
  <si>
    <t>UPNC57</t>
  </si>
  <si>
    <t>PLc1105</t>
  </si>
  <si>
    <t>FB1172</t>
  </si>
  <si>
    <t>FB1172UP</t>
  </si>
  <si>
    <t>PLc1106</t>
  </si>
  <si>
    <t>FB1173</t>
  </si>
  <si>
    <t>FB1173UP</t>
  </si>
  <si>
    <t>NCEC66</t>
  </si>
  <si>
    <t>UPNC58</t>
  </si>
  <si>
    <t>EC28</t>
  </si>
  <si>
    <t>MO1126</t>
  </si>
  <si>
    <t>FB1174</t>
  </si>
  <si>
    <t>FB1174UP</t>
  </si>
  <si>
    <t>MO1127</t>
  </si>
  <si>
    <t>FB1175</t>
  </si>
  <si>
    <t>FB1175UP</t>
  </si>
  <si>
    <t>PLc1107</t>
  </si>
  <si>
    <t>FB1176</t>
  </si>
  <si>
    <t>FB1176UP</t>
  </si>
  <si>
    <t>PLc1108</t>
  </si>
  <si>
    <t>FB1177</t>
  </si>
  <si>
    <t>FB1177UP</t>
  </si>
  <si>
    <t>PLc1109</t>
  </si>
  <si>
    <t>FB1178</t>
  </si>
  <si>
    <t>FB1178UP</t>
  </si>
  <si>
    <t>UPNC59</t>
  </si>
  <si>
    <t>NCEC67</t>
  </si>
  <si>
    <t>EC29</t>
  </si>
  <si>
    <t>UF1010</t>
  </si>
  <si>
    <t>UF1010F</t>
  </si>
  <si>
    <t>NCEC68</t>
  </si>
  <si>
    <t>MO1128</t>
  </si>
  <si>
    <t>FB1179</t>
  </si>
  <si>
    <t>FB1179UP</t>
  </si>
  <si>
    <t>MO1129</t>
  </si>
  <si>
    <t>FB1180</t>
  </si>
  <si>
    <t>FB1180UP</t>
  </si>
  <si>
    <t>PLc1110</t>
  </si>
  <si>
    <t>FB1181</t>
  </si>
  <si>
    <t>FB1181UP</t>
  </si>
  <si>
    <t>FB1182</t>
  </si>
  <si>
    <t>FB1182UP</t>
  </si>
  <si>
    <t>PLc1112</t>
  </si>
  <si>
    <t>FB1183</t>
  </si>
  <si>
    <t>FB1183UP</t>
  </si>
  <si>
    <t>PLc1113</t>
  </si>
  <si>
    <t>FB1184</t>
  </si>
  <si>
    <t>FB1184UP</t>
  </si>
  <si>
    <t>UPNC60</t>
  </si>
  <si>
    <t>EC30</t>
  </si>
  <si>
    <t>PLc1115</t>
  </si>
  <si>
    <t>FB1186</t>
  </si>
  <si>
    <t>FB1186UP</t>
  </si>
  <si>
    <t>PLc1116</t>
  </si>
  <si>
    <t>FB1187</t>
  </si>
  <si>
    <t>FB1187UP</t>
  </si>
  <si>
    <t>PLc1114</t>
  </si>
  <si>
    <t>FB1185</t>
  </si>
  <si>
    <t>FB1185UP</t>
  </si>
  <si>
    <t>PLc1117</t>
  </si>
  <si>
    <t>FB1188</t>
  </si>
  <si>
    <t>FB1188UP</t>
  </si>
  <si>
    <t>UPNC61</t>
  </si>
  <si>
    <t>NCEC69</t>
  </si>
  <si>
    <t>PLc1118</t>
  </si>
  <si>
    <t>FB1189</t>
  </si>
  <si>
    <t>FB1189UP</t>
  </si>
  <si>
    <t>PLc1119</t>
  </si>
  <si>
    <t>FB1190</t>
  </si>
  <si>
    <t>FB1190UP</t>
  </si>
  <si>
    <t>PLc1120</t>
  </si>
  <si>
    <t>FB1191</t>
  </si>
  <si>
    <t>FB1191UP</t>
  </si>
  <si>
    <t>PLc1121</t>
  </si>
  <si>
    <t>FB1192</t>
  </si>
  <si>
    <t>FB1192UP</t>
  </si>
  <si>
    <t>UPNC62</t>
  </si>
  <si>
    <t>NCEC70</t>
  </si>
  <si>
    <t>MO1130</t>
  </si>
  <si>
    <t>FB1197</t>
  </si>
  <si>
    <t>FB1197UP</t>
  </si>
  <si>
    <t>MO1131</t>
  </si>
  <si>
    <t>FB1198</t>
  </si>
  <si>
    <t>FB1198UP</t>
  </si>
  <si>
    <t>FB1193</t>
  </si>
  <si>
    <t>FB1193UP</t>
  </si>
  <si>
    <t>FB1194</t>
  </si>
  <si>
    <t>FB1194UP</t>
  </si>
  <si>
    <t>PLc1124</t>
  </si>
  <si>
    <t>FB1195</t>
  </si>
  <si>
    <t>FB1195UP</t>
  </si>
  <si>
    <t>PLc1125</t>
  </si>
  <si>
    <t>FB1196</t>
  </si>
  <si>
    <t>FB1196UP</t>
  </si>
  <si>
    <t>UPNC63</t>
  </si>
  <si>
    <t>NCEC71</t>
  </si>
  <si>
    <t>EC31</t>
  </si>
  <si>
    <t>UF1011</t>
  </si>
  <si>
    <t>UF1011D</t>
  </si>
  <si>
    <t>UF1011F</t>
  </si>
  <si>
    <t>NCEC72</t>
  </si>
  <si>
    <t>EC32</t>
  </si>
  <si>
    <t>PLc1126</t>
  </si>
  <si>
    <t>FB1201</t>
  </si>
  <si>
    <t>FB1201UP</t>
  </si>
  <si>
    <t>PLc1127</t>
  </si>
  <si>
    <t>FB1202</t>
  </si>
  <si>
    <t>FB1202UP</t>
  </si>
  <si>
    <t>PLc1128</t>
  </si>
  <si>
    <t>FB1203</t>
  </si>
  <si>
    <t>FB1203UP</t>
  </si>
  <si>
    <t>PLc1129</t>
  </si>
  <si>
    <t>FB1204</t>
  </si>
  <si>
    <t>b909c31a-6b32-4dca-a0d2-42c69b6071b5</t>
  </si>
  <si>
    <t>FB1204UP</t>
  </si>
  <si>
    <t>PLc1130</t>
  </si>
  <si>
    <t>FB1205</t>
  </si>
  <si>
    <t>FB1205UP</t>
  </si>
  <si>
    <t>MO1132</t>
  </si>
  <si>
    <t>FB1199</t>
  </si>
  <si>
    <t>FB1199UP</t>
  </si>
  <si>
    <t>MO1133</t>
  </si>
  <si>
    <t>FB1200</t>
  </si>
  <si>
    <t>FB1200UP</t>
  </si>
  <si>
    <t>NCEC73</t>
  </si>
  <si>
    <t>UPNC64</t>
  </si>
  <si>
    <t>PLc1131</t>
  </si>
  <si>
    <t>FB1206</t>
  </si>
  <si>
    <t>FB1206UP</t>
  </si>
  <si>
    <t>PLc1132</t>
  </si>
  <si>
    <t>FB1207</t>
  </si>
  <si>
    <t>FB1207UP</t>
  </si>
  <si>
    <t>PLc1133</t>
  </si>
  <si>
    <t>FB1208</t>
  </si>
  <si>
    <t>FB1208UP</t>
  </si>
  <si>
    <t>PLc1134</t>
  </si>
  <si>
    <t>FB1209</t>
  </si>
  <si>
    <t>FB1209UP</t>
  </si>
  <si>
    <t>NCEC74</t>
  </si>
  <si>
    <t>UPNC65</t>
  </si>
  <si>
    <t>EC33</t>
  </si>
  <si>
    <t>PLc1135</t>
  </si>
  <si>
    <t>FB1210</t>
  </si>
  <si>
    <t>FB1210UP</t>
  </si>
  <si>
    <t>PLc1136</t>
  </si>
  <si>
    <t>FB1211</t>
  </si>
  <si>
    <t>FB1211UP</t>
  </si>
  <si>
    <t>PLc1137</t>
  </si>
  <si>
    <t>FB1212</t>
  </si>
  <si>
    <t>FB1212UP</t>
  </si>
  <si>
    <t>PLc1138</t>
  </si>
  <si>
    <t>FB1213</t>
  </si>
  <si>
    <t>FB1213UP</t>
  </si>
  <si>
    <t>PLc1139</t>
  </si>
  <si>
    <t>FB1214</t>
  </si>
  <si>
    <t>FB1214UP</t>
  </si>
  <si>
    <t>UPNC66</t>
  </si>
  <si>
    <t>NCEC75</t>
  </si>
  <si>
    <t>MO1134</t>
  </si>
  <si>
    <t>FB1215</t>
  </si>
  <si>
    <t>MO1135</t>
  </si>
  <si>
    <t>FB1216</t>
  </si>
  <si>
    <t>FB1216UP</t>
  </si>
  <si>
    <t>PLc1140</t>
  </si>
  <si>
    <t>FB1217</t>
  </si>
  <si>
    <t>PLc1141</t>
  </si>
  <si>
    <t>FB1218</t>
  </si>
  <si>
    <t>PLc1142</t>
  </si>
  <si>
    <t>FB1219</t>
  </si>
  <si>
    <t>FB1219UP</t>
  </si>
  <si>
    <t>PLc1143</t>
  </si>
  <si>
    <t>FB1220</t>
  </si>
  <si>
    <t>FB1220UP</t>
  </si>
  <si>
    <t>UPNC67</t>
  </si>
  <si>
    <t>NCEC76</t>
  </si>
  <si>
    <t>EC34</t>
  </si>
  <si>
    <t>MO1136</t>
  </si>
  <si>
    <t>FB1221</t>
  </si>
  <si>
    <t>FB1221UP</t>
  </si>
  <si>
    <t>MO1137</t>
  </si>
  <si>
    <t>FB1222</t>
  </si>
  <si>
    <t>FB1222UP</t>
  </si>
  <si>
    <t>PLc1144</t>
  </si>
  <si>
    <t>FB1223</t>
  </si>
  <si>
    <t>FB1223UP</t>
  </si>
  <si>
    <t>PLc1145</t>
  </si>
  <si>
    <t>FB1224</t>
  </si>
  <si>
    <t>FB1224UP</t>
  </si>
  <si>
    <t>PLc1146</t>
  </si>
  <si>
    <t>FB1225</t>
  </si>
  <si>
    <t>FB1225UP</t>
  </si>
  <si>
    <t>PLc1147</t>
  </si>
  <si>
    <t>FB1226</t>
  </si>
  <si>
    <t>FB1226UP</t>
  </si>
  <si>
    <t>PLc1148</t>
  </si>
  <si>
    <t>FB1227</t>
  </si>
  <si>
    <t>FB1227UP</t>
  </si>
  <si>
    <t>PLc1149</t>
  </si>
  <si>
    <t>FB1228</t>
  </si>
  <si>
    <t>FB1228UP</t>
  </si>
  <si>
    <t>UPNC68</t>
  </si>
  <si>
    <t>PLc1150</t>
  </si>
  <si>
    <t>FB1229</t>
  </si>
  <si>
    <t>FB1229UP</t>
  </si>
  <si>
    <t>PLc1151</t>
  </si>
  <si>
    <t>FB1230</t>
  </si>
  <si>
    <t>FB1230UP</t>
  </si>
  <si>
    <t>PLc1152</t>
  </si>
  <si>
    <t>FB1231</t>
  </si>
  <si>
    <t>FB1231UP</t>
  </si>
  <si>
    <t>PLc1153</t>
  </si>
  <si>
    <t>FB1232</t>
  </si>
  <si>
    <t>FB1232UP</t>
  </si>
  <si>
    <t>EC35</t>
  </si>
  <si>
    <t>UPNC67a</t>
  </si>
  <si>
    <t>PLc1154</t>
  </si>
  <si>
    <t>FB1233</t>
  </si>
  <si>
    <t>FB1233UP</t>
  </si>
  <si>
    <t>PLc1155</t>
  </si>
  <si>
    <t>FB1234</t>
  </si>
  <si>
    <t>FB1234UP</t>
  </si>
  <si>
    <t>PLc1156</t>
  </si>
  <si>
    <t>FB1235</t>
  </si>
  <si>
    <t>FB1235UP</t>
  </si>
  <si>
    <t>PLc1157</t>
  </si>
  <si>
    <t>FB1236</t>
  </si>
  <si>
    <t>FB1236UP</t>
  </si>
  <si>
    <t>EC36</t>
  </si>
  <si>
    <t>UPNC68a</t>
  </si>
  <si>
    <t>FB1239</t>
  </si>
  <si>
    <t>FB1239UP</t>
  </si>
  <si>
    <t>PLc1159</t>
  </si>
  <si>
    <t>FB1238</t>
  </si>
  <si>
    <t>FB1238UP</t>
  </si>
  <si>
    <t>MO1138</t>
  </si>
  <si>
    <t>FB1237</t>
  </si>
  <si>
    <t>FB1237UP</t>
  </si>
  <si>
    <t>MO1139</t>
  </si>
  <si>
    <t>FB1240</t>
  </si>
  <si>
    <t>FB1240UP</t>
  </si>
  <si>
    <t>UPNC69</t>
  </si>
  <si>
    <t>PLc1160</t>
  </si>
  <si>
    <t>FB1241</t>
  </si>
  <si>
    <t>FB1241UP</t>
  </si>
  <si>
    <t>PLc1161</t>
  </si>
  <si>
    <t>FB1242</t>
  </si>
  <si>
    <t>FB1242UP</t>
  </si>
  <si>
    <t>PLc1162</t>
  </si>
  <si>
    <t>FB1243</t>
  </si>
  <si>
    <t>FB1243UP</t>
  </si>
  <si>
    <t>PLc1163</t>
  </si>
  <si>
    <t>FB1244</t>
  </si>
  <si>
    <t>FB1244UP</t>
  </si>
  <si>
    <t>UPNC70</t>
  </si>
  <si>
    <t>MO1140</t>
  </si>
  <si>
    <t>FB1245</t>
  </si>
  <si>
    <t>FB1245UP</t>
  </si>
  <si>
    <t>MO1141</t>
  </si>
  <si>
    <t>FB1246</t>
  </si>
  <si>
    <t>FB1246UP</t>
  </si>
  <si>
    <t>MO1142</t>
  </si>
  <si>
    <t>FB1247</t>
  </si>
  <si>
    <t>FB1247UP</t>
  </si>
  <si>
    <t>UF1013</t>
  </si>
  <si>
    <t>UF1013F</t>
  </si>
  <si>
    <t>UPNC71</t>
  </si>
  <si>
    <t>DWa1003uf</t>
  </si>
  <si>
    <t>FB1248</t>
  </si>
  <si>
    <t>UPNC72</t>
  </si>
  <si>
    <t>PLc1164</t>
  </si>
  <si>
    <t>FB1252</t>
  </si>
  <si>
    <t>FB1252UP</t>
  </si>
  <si>
    <t>PLc1165</t>
  </si>
  <si>
    <t>FB1253</t>
  </si>
  <si>
    <t>FB1253UP</t>
  </si>
  <si>
    <t>PLc1166</t>
  </si>
  <si>
    <t>FB1254</t>
  </si>
  <si>
    <t>FB1254UP</t>
  </si>
  <si>
    <t>PLc1167</t>
  </si>
  <si>
    <t>FB1255</t>
  </si>
  <si>
    <t>FB1255UP</t>
  </si>
  <si>
    <t>PLc1168</t>
  </si>
  <si>
    <t>FB1256</t>
  </si>
  <si>
    <t>FB1256UP</t>
  </si>
  <si>
    <t>MO1143</t>
  </si>
  <si>
    <t>FB1249</t>
  </si>
  <si>
    <t>FB1249UP</t>
  </si>
  <si>
    <t>MO1144</t>
  </si>
  <si>
    <t>FB1250</t>
  </si>
  <si>
    <t>FB1250UP</t>
  </si>
  <si>
    <t>MO1145</t>
  </si>
  <si>
    <t>FB1251</t>
  </si>
  <si>
    <t>FB1251UP</t>
  </si>
  <si>
    <t>UPNC73</t>
  </si>
  <si>
    <t>EC37</t>
  </si>
  <si>
    <t>PLc1169</t>
  </si>
  <si>
    <t>FB1257</t>
  </si>
  <si>
    <t>RP2002oldb</t>
  </si>
  <si>
    <t>PLc1169R</t>
  </si>
  <si>
    <t>FB1257UP</t>
  </si>
  <si>
    <t>PLc1170</t>
  </si>
  <si>
    <t>FB1258</t>
  </si>
  <si>
    <t>PLc1170R</t>
  </si>
  <si>
    <t>FB1258UP</t>
  </si>
  <si>
    <t>PLc1171</t>
  </si>
  <si>
    <t>FB1259</t>
  </si>
  <si>
    <t>PLc1171R</t>
  </si>
  <si>
    <t>FB1259UP</t>
  </si>
  <si>
    <t>PLc1172</t>
  </si>
  <si>
    <t>FB1260</t>
  </si>
  <si>
    <t>PLc1172R</t>
  </si>
  <si>
    <t>FB1260UP</t>
  </si>
  <si>
    <t>UPNC74</t>
  </si>
  <si>
    <t>MO1146</t>
  </si>
  <si>
    <t>FB1261</t>
  </si>
  <si>
    <t>FB1261UP</t>
  </si>
  <si>
    <t>MO1147</t>
  </si>
  <si>
    <t>FB1262</t>
  </si>
  <si>
    <t>FB1262UP</t>
  </si>
  <si>
    <t>MO1148</t>
  </si>
  <si>
    <t>FB1263</t>
  </si>
  <si>
    <t>FB1263UP</t>
  </si>
  <si>
    <t>UF1014</t>
  </si>
  <si>
    <t>UF1014R</t>
  </si>
  <si>
    <t>UPNC75</t>
  </si>
  <si>
    <t>EC38</t>
  </si>
  <si>
    <t>DWa1004uf</t>
  </si>
  <si>
    <t>DWa1004ufR</t>
  </si>
  <si>
    <t>FB1264</t>
  </si>
  <si>
    <t>FB1264UP</t>
  </si>
  <si>
    <t>UPNC75a</t>
  </si>
  <si>
    <t>PLc1173R</t>
  </si>
  <si>
    <t>MO1149</t>
  </si>
  <si>
    <t>FB1265</t>
  </si>
  <si>
    <t>FB1265UP</t>
  </si>
  <si>
    <t>MO1150</t>
  </si>
  <si>
    <t>FB1266</t>
  </si>
  <si>
    <t>FB1266UP</t>
  </si>
  <si>
    <t>PLc1173</t>
  </si>
  <si>
    <t>FB1267</t>
  </si>
  <si>
    <t>FB1267UP</t>
  </si>
  <si>
    <t>UPNC76</t>
  </si>
  <si>
    <t>NCEC79</t>
  </si>
  <si>
    <t>EC39</t>
  </si>
  <si>
    <t>PLc1174</t>
  </si>
  <si>
    <t>FB1268</t>
  </si>
  <si>
    <t>FB1268UP</t>
  </si>
  <si>
    <t>PLc1175</t>
  </si>
  <si>
    <t>FB1269</t>
  </si>
  <si>
    <t>FB1269UP</t>
  </si>
  <si>
    <t>PLc1176</t>
  </si>
  <si>
    <t>FB1270</t>
  </si>
  <si>
    <t>FB1270UP</t>
  </si>
  <si>
    <t>PLc1177</t>
  </si>
  <si>
    <t>FB1271</t>
  </si>
  <si>
    <t>FB1271UP</t>
  </si>
  <si>
    <t>UPNC77</t>
  </si>
  <si>
    <t>NCEC80</t>
  </si>
  <si>
    <t>MO1152</t>
  </si>
  <si>
    <t>FB1273</t>
  </si>
  <si>
    <t>FB1273UP</t>
  </si>
  <si>
    <t>MO1153</t>
  </si>
  <si>
    <t>FB1274</t>
  </si>
  <si>
    <t>FB1274UP</t>
  </si>
  <si>
    <t>MO1154</t>
  </si>
  <si>
    <t>FB1272</t>
  </si>
  <si>
    <t>FB1272UP</t>
  </si>
  <si>
    <t>UF1015</t>
  </si>
  <si>
    <t>UPNC78</t>
  </si>
  <si>
    <t>EC40</t>
  </si>
  <si>
    <t>FB1275UP</t>
  </si>
  <si>
    <t>FB1276UP</t>
  </si>
  <si>
    <t>FB1277</t>
  </si>
  <si>
    <t>FB1277UP</t>
  </si>
  <si>
    <t>FB1278</t>
  </si>
  <si>
    <t>FB1278UP</t>
  </si>
  <si>
    <t>in status page</t>
  </si>
  <si>
    <t>Entered through forms already?</t>
  </si>
  <si>
    <t>this the manual file, which was provided to Renuka, before data entry on the forms was performed.</t>
  </si>
  <si>
    <t>DW2002</t>
  </si>
  <si>
    <t>UPNC79</t>
  </si>
  <si>
    <t>NCEC81</t>
  </si>
  <si>
    <t>EC41</t>
  </si>
  <si>
    <t>MO1155</t>
  </si>
  <si>
    <t>FB1282</t>
  </si>
  <si>
    <t>FB1282UP</t>
  </si>
  <si>
    <t>MO1156</t>
  </si>
  <si>
    <t>FB1283</t>
  </si>
  <si>
    <t>FB1283UP</t>
  </si>
  <si>
    <t>PLc1178</t>
  </si>
  <si>
    <t>FB1280</t>
  </si>
  <si>
    <t>FB1280UP</t>
  </si>
  <si>
    <t>PLc1179</t>
  </si>
  <si>
    <t>FB1281</t>
  </si>
  <si>
    <t>FB1281UP</t>
  </si>
  <si>
    <t>DWa1005</t>
  </si>
  <si>
    <t>DWa1005uf</t>
  </si>
  <si>
    <t>DWa1005F</t>
  </si>
  <si>
    <t>FB1279</t>
  </si>
  <si>
    <t>FB1279UP</t>
  </si>
  <si>
    <t>UPNC80</t>
  </si>
  <si>
    <t>NCEC82</t>
  </si>
  <si>
    <t>EC42</t>
  </si>
  <si>
    <t>PLc1180</t>
  </si>
  <si>
    <t>FB1284</t>
  </si>
  <si>
    <t>FB1284UP</t>
  </si>
  <si>
    <t>PLc1181</t>
  </si>
  <si>
    <t>FB1285</t>
  </si>
  <si>
    <t>FB1285UP</t>
  </si>
  <si>
    <t>PLc1182</t>
  </si>
  <si>
    <t>NO Control tested for these samples</t>
  </si>
  <si>
    <t>FB1286</t>
  </si>
  <si>
    <t>FB1286UP</t>
  </si>
  <si>
    <t>NCEC83</t>
  </si>
  <si>
    <t>UPNC81</t>
  </si>
  <si>
    <t>MO1157</t>
  </si>
  <si>
    <t>FB1289</t>
  </si>
  <si>
    <t>FB1289UP</t>
  </si>
  <si>
    <t>MO1158</t>
  </si>
  <si>
    <t>COa9901</t>
  </si>
  <si>
    <t>COa9902</t>
  </si>
  <si>
    <t>FB1288</t>
  </si>
  <si>
    <t>FB1288UP</t>
  </si>
  <si>
    <t>COb9901</t>
  </si>
  <si>
    <t>COb9902</t>
  </si>
  <si>
    <t>MO1159</t>
  </si>
  <si>
    <t>DW1004</t>
  </si>
  <si>
    <t>FB1287</t>
  </si>
  <si>
    <t>FB1287UP</t>
  </si>
  <si>
    <t>UF1016</t>
  </si>
  <si>
    <t>UF1016F</t>
  </si>
  <si>
    <t>NCEC84</t>
  </si>
  <si>
    <t>UPNC82</t>
  </si>
  <si>
    <t>MO1160</t>
  </si>
  <si>
    <t>FB1293</t>
  </si>
  <si>
    <t>FB1293UP</t>
  </si>
  <si>
    <t>MO1161</t>
  </si>
  <si>
    <t>FB1294</t>
  </si>
  <si>
    <t>FB1294UP</t>
  </si>
  <si>
    <t>MO1162</t>
  </si>
  <si>
    <t>FB1295</t>
  </si>
  <si>
    <t>FB1295UP</t>
  </si>
  <si>
    <t>wrong numbering</t>
  </si>
  <si>
    <t>FPa9901</t>
  </si>
  <si>
    <t>SF2001</t>
  </si>
  <si>
    <t>FPb9902</t>
  </si>
  <si>
    <t>FPc9901</t>
  </si>
  <si>
    <t>FPc9902</t>
  </si>
  <si>
    <t>FB1292</t>
  </si>
  <si>
    <t>FPd9901</t>
  </si>
  <si>
    <t>FPe9901</t>
  </si>
  <si>
    <t>FB1292UP</t>
  </si>
  <si>
    <t>SW2001</t>
  </si>
  <si>
    <t>FB1291</t>
  </si>
  <si>
    <t>FB1291UP</t>
  </si>
  <si>
    <t>UF1017</t>
  </si>
  <si>
    <t>FB1290UP</t>
  </si>
  <si>
    <t>NCEC85</t>
  </si>
  <si>
    <t>UPNC83</t>
  </si>
  <si>
    <t>EC43</t>
  </si>
  <si>
    <t>EC44</t>
  </si>
  <si>
    <t>BW2001</t>
  </si>
  <si>
    <t>FB1296</t>
  </si>
  <si>
    <t>FB1296UP</t>
  </si>
  <si>
    <t>SL2002</t>
  </si>
  <si>
    <t>typo was SF011</t>
  </si>
  <si>
    <t>col_start_dt</t>
  </si>
  <si>
    <t>col_end_dt</t>
  </si>
  <si>
    <t>subscriberid</t>
  </si>
  <si>
    <t>simserial</t>
  </si>
  <si>
    <t>deviceid</t>
  </si>
  <si>
    <t>col_ward</t>
  </si>
  <si>
    <t>col_neighborhood</t>
  </si>
  <si>
    <t>col_id_val</t>
  </si>
  <si>
    <t>col_start</t>
  </si>
  <si>
    <t>col_location</t>
  </si>
  <si>
    <t>_col_location_latitude</t>
  </si>
  <si>
    <t>_col_location_longitude</t>
  </si>
  <si>
    <t>_col_location_altitude</t>
  </si>
  <si>
    <t>_col_location_precision</t>
  </si>
  <si>
    <t>col_weather</t>
  </si>
  <si>
    <t>col_rainyest</t>
  </si>
  <si>
    <t>col_rainweek</t>
  </si>
  <si>
    <t>col_rainmon</t>
  </si>
  <si>
    <t>col_pa_group</t>
  </si>
  <si>
    <t>col_pa_prox</t>
  </si>
  <si>
    <t>col_pa_type</t>
  </si>
  <si>
    <t>col_pa_type_other</t>
  </si>
  <si>
    <t>col_pa_latrine_distance</t>
  </si>
  <si>
    <t>col_bw_group</t>
  </si>
  <si>
    <t>col_bw_type</t>
  </si>
  <si>
    <t>col_bw_type_other</t>
  </si>
  <si>
    <t>col_bw_container</t>
  </si>
  <si>
    <t>col_bw_container_lid</t>
  </si>
  <si>
    <t>col_bw_cl_free</t>
  </si>
  <si>
    <t>col_bw_cl_total</t>
  </si>
  <si>
    <t>col_f_group</t>
  </si>
  <si>
    <t>col_f_latrine_distance</t>
  </si>
  <si>
    <t>col_p_group</t>
  </si>
  <si>
    <t>col_p_type</t>
  </si>
  <si>
    <t>col_p_type_other</t>
  </si>
  <si>
    <t>col_p_num_note</t>
  </si>
  <si>
    <t>col_p_num</t>
  </si>
  <si>
    <t>col_dw_group</t>
  </si>
  <si>
    <t>col_dw_type</t>
  </si>
  <si>
    <t>col_dw_type_other</t>
  </si>
  <si>
    <t>col_dw_container</t>
  </si>
  <si>
    <t>col_dw_container_lid</t>
  </si>
  <si>
    <t>col_dw_id</t>
  </si>
  <si>
    <t>col_dw_cl_free</t>
  </si>
  <si>
    <t>col_dw_cl_total</t>
  </si>
  <si>
    <t>col_l_group</t>
  </si>
  <si>
    <t>col_l_toilet_type</t>
  </si>
  <si>
    <t>col_l_toilet_type_other</t>
  </si>
  <si>
    <t>col_l_toilet_stalls</t>
  </si>
  <si>
    <t>col_l_toilet_feces</t>
  </si>
  <si>
    <t>col_l_toilet_users</t>
  </si>
  <si>
    <t>col_l_toilet_hw</t>
  </si>
  <si>
    <t>col_s_group</t>
  </si>
  <si>
    <t>col_s_type</t>
  </si>
  <si>
    <t>col_s_type_other</t>
  </si>
  <si>
    <t>col_d_group</t>
  </si>
  <si>
    <t>col_d_water_level</t>
  </si>
  <si>
    <t>FB1297</t>
  </si>
  <si>
    <t>col_d_water_flow</t>
  </si>
  <si>
    <t>col_d_size</t>
  </si>
  <si>
    <t>col_d_lining</t>
  </si>
  <si>
    <t>col_d_lining_oth</t>
  </si>
  <si>
    <t>col_d_prompt</t>
  </si>
  <si>
    <t>col_d_feces</t>
  </si>
  <si>
    <t>col_d_animals</t>
  </si>
  <si>
    <t>col_d_schools</t>
  </si>
  <si>
    <t>col_d_urban_ag</t>
  </si>
  <si>
    <t>col_d_public_latrines</t>
  </si>
  <si>
    <t>col_d_hh_latrines</t>
  </si>
  <si>
    <t>col_d_shops</t>
  </si>
  <si>
    <t>col_d_hh</t>
  </si>
  <si>
    <t>col_d_hh_num</t>
  </si>
  <si>
    <t>col_sf_type</t>
  </si>
  <si>
    <t>col_sf_type_other</t>
  </si>
  <si>
    <t>col_da_type</t>
  </si>
  <si>
    <t>col_da_type_other</t>
  </si>
  <si>
    <t>col_o_type</t>
  </si>
  <si>
    <t>col_o_type_other</t>
  </si>
  <si>
    <t>col_close</t>
  </si>
  <si>
    <t>col_notes</t>
  </si>
  <si>
    <t>col_enum</t>
  </si>
  <si>
    <t>col_photo</t>
  </si>
  <si>
    <t>__version__</t>
  </si>
  <si>
    <t>_id</t>
  </si>
  <si>
    <t>_uuid</t>
  </si>
  <si>
    <t>_submission_time</t>
  </si>
  <si>
    <t>_index</t>
  </si>
  <si>
    <t>2019-05-01T13:08:05.158+05:30</t>
  </si>
  <si>
    <t>2019-05-01T15:01:50.597+05:30</t>
  </si>
  <si>
    <t>LS1001</t>
  </si>
  <si>
    <t>2019-05-01T13:09:00.000+05:30</t>
  </si>
  <si>
    <t>22.5538005 88.397343 -46.900001525878906 4.5</t>
  </si>
  <si>
    <t>FB1297UP</t>
  </si>
  <si>
    <t>Suvankar Mandal</t>
  </si>
  <si>
    <t>vCBEYpWiADaf9jeVAqWewv</t>
  </si>
  <si>
    <t>948fa498-d412-45b3-9fdf-ef54fcf2ea2f</t>
  </si>
  <si>
    <t>2019-05-01T09:34:38</t>
  </si>
  <si>
    <t>2019-05-06T09:52:36.210+05:30</t>
  </si>
  <si>
    <t>2019-05-13T14:51:57.904+05:30</t>
  </si>
  <si>
    <t>2019-05-06T09:53:00.000+05:30</t>
  </si>
  <si>
    <t>22.5494298 88.3970872 -41.29999923706055 5.0</t>
  </si>
  <si>
    <t>Somnath Sarkar</t>
  </si>
  <si>
    <t>8ac696ab-c882-445a-ade5-14b9148e054f</t>
  </si>
  <si>
    <t>2019-05-13T09:32:22</t>
  </si>
  <si>
    <t>2019-05-06T09:59:50.499+05:30</t>
  </si>
  <si>
    <t>2019-05-13T15:05:04.897+05:30</t>
  </si>
  <si>
    <t>PLc1183</t>
  </si>
  <si>
    <t>2019-05-06T10:00:00.000+05:30</t>
  </si>
  <si>
    <t>22.5494469 88.3970871 -52.599998474121094 5.0</t>
  </si>
  <si>
    <t>6058abc6-9063-451c-9df9-fab713a03e08</t>
  </si>
  <si>
    <t>2019-05-13T09:35:12</t>
  </si>
  <si>
    <t>2019-05-13T09:47:27.249+05:30</t>
  </si>
  <si>
    <t>2019-05-13T15:07:09.300+05:30</t>
  </si>
  <si>
    <t>RP 2003</t>
  </si>
  <si>
    <t>2019-05-13T09:49:00.000+05:30</t>
  </si>
  <si>
    <t>22.5493661 88.3968868 -40.099998474121094 4.5</t>
  </si>
  <si>
    <t>FB1298</t>
  </si>
  <si>
    <t>Biplab Jash</t>
  </si>
  <si>
    <t>41795f54-13a2-4f40-b5c4-b4efbd52a7bd</t>
  </si>
  <si>
    <t>2019-05-13T09:37:19</t>
  </si>
  <si>
    <t>2019-05-06T10:05:50.128+05:30</t>
  </si>
  <si>
    <t>2019-05-13T15:10:51.668+05:30</t>
  </si>
  <si>
    <t>2019-05-06T10:06:00.000+05:30</t>
  </si>
  <si>
    <t>22.5491531 88.3971487 -47.5 5.0</t>
  </si>
  <si>
    <t>Children park</t>
  </si>
  <si>
    <t>Biplab jash</t>
  </si>
  <si>
    <t>05a416d6-5465-4190-869c-9305a7295bf3</t>
  </si>
  <si>
    <t>2019-05-13T09:40:59</t>
  </si>
  <si>
    <t>2019-05-06T10:17:00.055+05:30</t>
  </si>
  <si>
    <t>2019-05-13T15:12:45.771+05:30</t>
  </si>
  <si>
    <t>2019-05-06T10:17:00.000+05:30</t>
  </si>
  <si>
    <t>22.5491209 88.3971315 -33.400001525878906 5.0</t>
  </si>
  <si>
    <t>FB1298UP</t>
  </si>
  <si>
    <t>Somnath sarkar</t>
  </si>
  <si>
    <t>a8fffc8b-4bbf-420b-98e6-4ea03c67c2f9</t>
  </si>
  <si>
    <t>2019-05-13T09:42:53</t>
  </si>
  <si>
    <t>2019-05-07T09:43:59.778+05:30</t>
  </si>
  <si>
    <t>2019-05-13T15:23:53.475+05:30</t>
  </si>
  <si>
    <t>BW 2001</t>
  </si>
  <si>
    <t>2019-05-07T09:46:00.000+05:30</t>
  </si>
  <si>
    <t>22.5500434 88.3966413 -52.70000076293945 5.0</t>
  </si>
  <si>
    <t>NCEC86</t>
  </si>
  <si>
    <t>Buddhadeb Samaddar</t>
  </si>
  <si>
    <t>d951a9ab-de2c-4e16-9c6a-e35df57c211e</t>
  </si>
  <si>
    <t>2019-05-13T09:54:00</t>
  </si>
  <si>
    <t>2019-05-07T09:32:28.242+05:30</t>
  </si>
  <si>
    <t>2019-05-13T15:27:15.677+05:30</t>
  </si>
  <si>
    <t>2019-05-07T09:33:00.000+05:30</t>
  </si>
  <si>
    <t>22.5500758 88.3965813 -31.899999618530273 5.0</t>
  </si>
  <si>
    <t>UPNC84</t>
  </si>
  <si>
    <t>07811873-59df-4b10-955f-b7b0bcab0105</t>
  </si>
  <si>
    <t>2019-05-13T09:57:34</t>
  </si>
  <si>
    <t>2019-05-06T11:16:50.866+05:30</t>
  </si>
  <si>
    <t>2019-05-13T15:32:22.194+05:30</t>
  </si>
  <si>
    <t>DWa2001</t>
  </si>
  <si>
    <t>2019-05-06T11:23:00.000+05:30</t>
  </si>
  <si>
    <t>22.5499108 88.396909 -50.599998474121094 5.0</t>
  </si>
  <si>
    <t>40 Ltr municipal drinking water supply</t>
  </si>
  <si>
    <t>7cf435bd-a83d-425c-92df-2c3dd9c254a7</t>
  </si>
  <si>
    <t>2019-05-13T10:03:19</t>
  </si>
  <si>
    <t>2019-05-07T13:56:26.321+05:30</t>
  </si>
  <si>
    <t>2019-05-13T15:37:29.810+05:30</t>
  </si>
  <si>
    <t>MO1163</t>
  </si>
  <si>
    <t>2019-05-07T13:57:00.000+05:30</t>
  </si>
  <si>
    <t>22.5514256 88.3959025 -69.5 4.5</t>
  </si>
  <si>
    <t>Chanamasla</t>
  </si>
  <si>
    <t>81800d0a-47cc-45bd-9875-3fe85341cad7</t>
  </si>
  <si>
    <t>2019-05-13T10:07:37</t>
  </si>
  <si>
    <t>2019-05-07T10:02:51.450+05:30</t>
  </si>
  <si>
    <t>2019-05-13T15:39:11.714+05:30</t>
  </si>
  <si>
    <t>SW 2001</t>
  </si>
  <si>
    <t>2019-05-07T10:03:00.000+05:30</t>
  </si>
  <si>
    <t>22.5472498 88.3964645 -57.79999923706055 5.0</t>
  </si>
  <si>
    <t>FB1299</t>
  </si>
  <si>
    <t>Lots of people's swimming and many fishes in the pond</t>
  </si>
  <si>
    <t>7868f7e8-4022-44b1-b3e9-d162a5830bf0</t>
  </si>
  <si>
    <t>2019-05-13T10:09:18</t>
  </si>
  <si>
    <t>2019-05-08T10:44:53.427+05:30</t>
  </si>
  <si>
    <t>2019-05-13T15:43:02.626+05:30</t>
  </si>
  <si>
    <t>2019-05-08T10:45:00.000+05:30</t>
  </si>
  <si>
    <t>22.5491881 88.3977246 -14.5 5.0</t>
  </si>
  <si>
    <t>6d1af861-940d-414f-9c75-a3ace6e975b9</t>
  </si>
  <si>
    <t>FB1299UP</t>
  </si>
  <si>
    <t>2019-05-13T10:13:08</t>
  </si>
  <si>
    <t>2019-05-13T09:28:25.131+05:30</t>
  </si>
  <si>
    <t>2019-05-13T15:44:24.400+05:30</t>
  </si>
  <si>
    <t>2019-05-13T09:29:00.000+05:30</t>
  </si>
  <si>
    <t>22.5496374 88.3968076 -67.0 5.0</t>
  </si>
  <si>
    <t>b8751aa1-f010-43ca-b0bc-73d9e158c550</t>
  </si>
  <si>
    <t>2019-05-13T10:14:36</t>
  </si>
  <si>
    <t>2019-05-13T09:55:28.003+05:30</t>
  </si>
  <si>
    <t>2019-05-13T15:45:36.220+05:30</t>
  </si>
  <si>
    <t>2019-05-13T09:56:00.000+05:30</t>
  </si>
  <si>
    <t>22.5493671 88.3968905 -42.0 5.0</t>
  </si>
  <si>
    <t>MO1164</t>
  </si>
  <si>
    <t>8adf5cf0-7194-4e9e-9fe2-b96a222f7849</t>
  </si>
  <si>
    <t>2019-05-13T10:15:43</t>
  </si>
  <si>
    <t>2019-05-13T12:43:22.855+05:30</t>
  </si>
  <si>
    <t>2019-05-13T15:47:29.676+05:30</t>
  </si>
  <si>
    <t>SL2003</t>
  </si>
  <si>
    <t>2019-05-13T12:44:00.000+05:30</t>
  </si>
  <si>
    <t>22.5508444 88.3957485 -42.599998474121094 4.5</t>
  </si>
  <si>
    <t>FB1300</t>
  </si>
  <si>
    <t>Poltry</t>
  </si>
  <si>
    <t>1b2f4e13-ec74-4d05-99e7-7552ed204115</t>
  </si>
  <si>
    <t>2019-05-13T10:17:35</t>
  </si>
  <si>
    <t>2019-05-13T13:03:05.297+05:30</t>
  </si>
  <si>
    <t>2019-05-13T15:49:45.574+05:30</t>
  </si>
  <si>
    <t>2019-05-13T13:04:00.000+05:30</t>
  </si>
  <si>
    <t>22.5508748 88.3957038 -49.29999923706055 5.0</t>
  </si>
  <si>
    <t>8eaf285b-2f9a-49d2-bac6-00ccb107a431</t>
  </si>
  <si>
    <t>2019-05-13T10:19:54</t>
  </si>
  <si>
    <t>2019-05-14T09:28:21.615+05:30</t>
  </si>
  <si>
    <t>2019-05-14T15:33:45.621+05:30</t>
  </si>
  <si>
    <t>FB1300UP</t>
  </si>
  <si>
    <t>2019-05-14T09:29:00.000+05:30</t>
  </si>
  <si>
    <t>22.5538041 88.3973965 -7.400000095367432 4.5</t>
  </si>
  <si>
    <t>5c116c5d-4f7d-4398-86f5-f129af35bced</t>
  </si>
  <si>
    <t>2019-05-14T10:04:04</t>
  </si>
  <si>
    <t>2019-05-14T09:38:29.199+05:30</t>
  </si>
  <si>
    <t>2019-05-14T15:35:38.462+05:30</t>
  </si>
  <si>
    <t>2019-05-14T09:38:00.000+05:30</t>
  </si>
  <si>
    <t>22.5536256 88.3979549 -48.400001525878906 5.0</t>
  </si>
  <si>
    <t>MO1165</t>
  </si>
  <si>
    <t>c1e5f557-f2a6-46a8-9eea-181cdd905c99</t>
  </si>
  <si>
    <t>2019-05-14T10:05:49</t>
  </si>
  <si>
    <t>2019-05-14T09:42:05.749+05:30</t>
  </si>
  <si>
    <t>2019-05-14T15:37:17.518+05:30</t>
  </si>
  <si>
    <t>2019-05-14T09:42:00.000+05:30</t>
  </si>
  <si>
    <t>22.5535655 88.397867 -41.29999923706055 5.0</t>
  </si>
  <si>
    <t>FB1301</t>
  </si>
  <si>
    <t>Veg puri</t>
  </si>
  <si>
    <t>c07b58eb-12f3-4d69-8d6a-c84bed721ab2</t>
  </si>
  <si>
    <t>2019-05-14T10:07:23</t>
  </si>
  <si>
    <t>2019-05-14T09:24:49.253+05:30</t>
  </si>
  <si>
    <t>2019-05-14T15:38:36.822+05:30</t>
  </si>
  <si>
    <t>2019-05-14T09:25:00.000+05:30</t>
  </si>
  <si>
    <t>22.553719 88.3973382 -39.20000076293945 4.5</t>
  </si>
  <si>
    <t>83261b34-99ce-4cf7-8bd6-00ed797d0846</t>
  </si>
  <si>
    <t>2019-05-14T10:08:43</t>
  </si>
  <si>
    <t>2019-05-14T14:27:58.512+05:30</t>
  </si>
  <si>
    <t>2019-05-14T15:39:54.925+05:30</t>
  </si>
  <si>
    <t>2019-05-14T14:28:00.000+05:30</t>
  </si>
  <si>
    <t>22.5540082 88.3953089 -44.5 4.5</t>
  </si>
  <si>
    <t>4d35675c-54da-42f3-81aa-40e1a28078a6</t>
  </si>
  <si>
    <t>2019-05-14T10:10:01</t>
  </si>
  <si>
    <t>2019-05-15T09:29:50.112+05:30</t>
  </si>
  <si>
    <t>2019-05-15T14:49:23.688+05:30</t>
  </si>
  <si>
    <t>2019-05-15T09:30:00.000+05:30</t>
  </si>
  <si>
    <t>22.5504867 88.3968648 -49.5 5.0</t>
  </si>
  <si>
    <t>UF1018</t>
  </si>
  <si>
    <t>40 Ltr municipal water</t>
  </si>
  <si>
    <t>434fbd79-5b76-41e2-a1a1-a7558c0e9a1a</t>
  </si>
  <si>
    <t>2019-05-15T09:19:29</t>
  </si>
  <si>
    <t>2019-05-15T12:01:41.051+05:30</t>
  </si>
  <si>
    <t>2019-05-15T14:51:05.613+05:30</t>
  </si>
  <si>
    <t>2019-05-15T12:02:00.000+05:30</t>
  </si>
  <si>
    <t>22.5531633 88.3982627 -44.900001525878906 5.0</t>
  </si>
  <si>
    <t>4ffd4655-820b-4365-b332-4beafb418921</t>
  </si>
  <si>
    <t>2019-05-15T09:21:12</t>
  </si>
  <si>
    <t>2019-05-15T12:25:18.233+05:30</t>
  </si>
  <si>
    <t>2019-05-15T14:52:31.946+05:30</t>
  </si>
  <si>
    <t>2019-05-15T12:26:00.000+05:30</t>
  </si>
  <si>
    <t>UPNC85</t>
  </si>
  <si>
    <t>22.5535471 88.3980474 -46.70000076293945 5.0</t>
  </si>
  <si>
    <t>de2d009e-83a1-4099-ae8d-0ec65975a75a</t>
  </si>
  <si>
    <t>2019-05-15T09:22:37</t>
  </si>
  <si>
    <t>2019-05-15T12:38:10.715+05:30</t>
  </si>
  <si>
    <t>2019-05-15T14:53:35.915+05:30</t>
  </si>
  <si>
    <t>2019-05-15T12:39:00.000+05:30</t>
  </si>
  <si>
    <t>22.5538131 88.3977158 -47.900001525878906 5.0</t>
  </si>
  <si>
    <t>NCEC87</t>
  </si>
  <si>
    <t>Beside the canal</t>
  </si>
  <si>
    <t>a65c9e51-e9e8-48c0-86e9-2999a3662232</t>
  </si>
  <si>
    <t>2019-05-15T09:23:42</t>
  </si>
  <si>
    <t>2019-05-21T08:54:26.922+05:30</t>
  </si>
  <si>
    <t>2019-05-21T14:39:17.337+05:30</t>
  </si>
  <si>
    <t>2019-05-21T08:55:00.000+05:30</t>
  </si>
  <si>
    <t>22.5536147 88.397833 -67.30000305175781 5.0</t>
  </si>
  <si>
    <t>EC45</t>
  </si>
  <si>
    <t>7e568bfc-f891-4b60-a71b-2d9c51d2c45c</t>
  </si>
  <si>
    <t>2019-05-21T09:09:25</t>
  </si>
  <si>
    <t>2019-05-21T09:20:30.774+05:30</t>
  </si>
  <si>
    <t>2019-05-21T14:40:47.848+05:30</t>
  </si>
  <si>
    <t>2019-05-21T09:20:00.000+05:30</t>
  </si>
  <si>
    <t>22.5535533 88.3978297 -23.600000381469727 5.0</t>
  </si>
  <si>
    <t>PLc1184</t>
  </si>
  <si>
    <t>Debabrata Maity</t>
  </si>
  <si>
    <t>5e889c12-ab38-4e7e-ab06-c730636cf6db</t>
  </si>
  <si>
    <t>2019-05-21T09:10:54</t>
  </si>
  <si>
    <t>2019-05-21T09:06:13.655+05:30</t>
  </si>
  <si>
    <t>2019-05-21T14:42:09.873+05:30</t>
  </si>
  <si>
    <t>2019-05-21T09:06:00.000+05:30</t>
  </si>
  <si>
    <t>22.5536622 88.3977933 -49.599998474121094 5.0</t>
  </si>
  <si>
    <t>12479a63-6018-4471-a84c-814779cf62bc</t>
  </si>
  <si>
    <t>2019-05-21T09:12:17</t>
  </si>
  <si>
    <t>2019-05-21T09:11:08.431+05:30</t>
  </si>
  <si>
    <t>2019-05-21T14:43:19.736+05:30</t>
  </si>
  <si>
    <t>2019-05-21T09:11:00.000+05:30</t>
  </si>
  <si>
    <t>22.5536509 88.3977911 -45.70000076293945 4.5</t>
  </si>
  <si>
    <t>PLc1184R</t>
  </si>
  <si>
    <t>34415b6d-2953-4820-8e9d-34f6e189314e</t>
  </si>
  <si>
    <t>2019-05-21T09:13:26</t>
  </si>
  <si>
    <t>2019-05-21T09:29:43.898+05:30</t>
  </si>
  <si>
    <t>2019-05-21T14:45:30.928+05:30</t>
  </si>
  <si>
    <t>FB1302</t>
  </si>
  <si>
    <t>2019-05-21T09:30:00.000+05:30</t>
  </si>
  <si>
    <t>22.5536053 88.397933 -37.900001525878906 5.0</t>
  </si>
  <si>
    <t>Cut fruit</t>
  </si>
  <si>
    <t>Abhijit Guha</t>
  </si>
  <si>
    <t>ceeb198c-fd92-42b0-8e4e-a3277aa26c78</t>
  </si>
  <si>
    <t>2019-05-21T09:16:13</t>
  </si>
  <si>
    <t>2019-05-21T13:53:06.741+05:30</t>
  </si>
  <si>
    <t>2019-05-21T14:45:17.299+05:30</t>
  </si>
  <si>
    <t>2019-05-21T13:54:00.000+05:30</t>
  </si>
  <si>
    <t>22.5535582 88.3972241 -13.600000381469727 5.0</t>
  </si>
  <si>
    <t>FB1302UP</t>
  </si>
  <si>
    <t>33be0f67-97aa-44a2-84d9-c9dc92d8e72b</t>
  </si>
  <si>
    <t>2019-05-21T09:16:15</t>
  </si>
  <si>
    <t>2019-05-21T09:43:50.716+05:30</t>
  </si>
  <si>
    <t>2019-05-21T14:47:55.952+05:30</t>
  </si>
  <si>
    <t>2019-05-21T09:44:00.000+05:30</t>
  </si>
  <si>
    <t>22.553249 88.3997622 -54.29999923706055 5.0</t>
  </si>
  <si>
    <t>Well</t>
  </si>
  <si>
    <t>d611074d-31d1-4d30-8227-f135dee12a60</t>
  </si>
  <si>
    <t>2019-05-21T09:18:02</t>
  </si>
  <si>
    <t>2019-05-22T08:32:24.480+05:30</t>
  </si>
  <si>
    <t>2019-05-22T13:28:07.596+05:30</t>
  </si>
  <si>
    <t>2019-05-22T08:33:00.000+05:30</t>
  </si>
  <si>
    <t>22.5535377 88.3971777 -53.0 4.5</t>
  </si>
  <si>
    <t>PLc1185</t>
  </si>
  <si>
    <t>631b7404-33f0-432a-9d5c-65c64be121c1</t>
  </si>
  <si>
    <t>2019-05-22T07:59:29</t>
  </si>
  <si>
    <t>2019-05-22T08:38:49.939+05:30</t>
  </si>
  <si>
    <t>2019-05-22T13:27:12.152+05:30</t>
  </si>
  <si>
    <t>2019-05-22T08:39:00.000+05:30</t>
  </si>
  <si>
    <t>22.5535795 88.3972626 -49.0 5.0</t>
  </si>
  <si>
    <t>PLc1185R</t>
  </si>
  <si>
    <t>88d11cc8-afbf-4105-98be-1e3d459af30a</t>
  </si>
  <si>
    <t>2019-05-22T07:59:32</t>
  </si>
  <si>
    <t>2019-05-22T12:11:40.136+05:30</t>
  </si>
  <si>
    <t>2019-05-22T13:28:24.504+05:30</t>
  </si>
  <si>
    <t>2019-05-22T12:12:00.000+05:30</t>
  </si>
  <si>
    <t>22.5532585 88.4001923 -49.29999923706055 5.0</t>
  </si>
  <si>
    <t>FB1303</t>
  </si>
  <si>
    <t>4095a568-977e-44a6-a7e2-19d691cf4053</t>
  </si>
  <si>
    <t>2019-05-22T07:59:34</t>
  </si>
  <si>
    <t>2019-05-22T12:28:12.615+05:30</t>
  </si>
  <si>
    <t>2019-05-22T13:28:45.395+05:30</t>
  </si>
  <si>
    <t>2019-05-22T12:28:00.000+05:30</t>
  </si>
  <si>
    <t>22.552978 88.3999784 -101.9000015258789 5.0</t>
  </si>
  <si>
    <t>5bfe99f5-1675-4183-b0d4-d2dba9f1d69c</t>
  </si>
  <si>
    <t>2019-05-22T07:59:36</t>
  </si>
  <si>
    <t>2019-05-22T12:41:23.779+05:30</t>
  </si>
  <si>
    <t>2019-05-22T13:29:11.284+05:30</t>
  </si>
  <si>
    <t>2019-05-22T12:42:00.000+05:30</t>
  </si>
  <si>
    <t>22.5526557 88.3995038 -50.400001525878906 4.5</t>
  </si>
  <si>
    <t>FB1303UP</t>
  </si>
  <si>
    <t>7ae45a05-7ffe-4e60-8bc6-f5310d4861e9</t>
  </si>
  <si>
    <t>2019-05-22T07:59:38</t>
  </si>
  <si>
    <t>2019-05-27T09:34:20.382+05:30</t>
  </si>
  <si>
    <t>2019-05-27T12:21:24.340+05:30</t>
  </si>
  <si>
    <t>2019-05-27T09:37:00.000+05:30</t>
  </si>
  <si>
    <t>22.5536485 88.3980518 -54.20000076293945 5.0</t>
  </si>
  <si>
    <t>PLc1186</t>
  </si>
  <si>
    <t>Coriander</t>
  </si>
  <si>
    <t>1abe0716-2fe7-4ee0-94ef-bb7ad6366638</t>
  </si>
  <si>
    <t>2019-05-27T06:52:14</t>
  </si>
  <si>
    <t>2019-05-27T09:43:17.576+05:30</t>
  </si>
  <si>
    <t>2019-05-27T12:21:40.818+05:30</t>
  </si>
  <si>
    <t>2019-05-27T09:43:00.000+05:30</t>
  </si>
  <si>
    <t>22.5537083 88.3980373 -53.20000076293945 5.0</t>
  </si>
  <si>
    <t>PLc1186R</t>
  </si>
  <si>
    <t>Tamatar</t>
  </si>
  <si>
    <t>4699d956-9a2f-483e-bd8d-cf7fae1fa254</t>
  </si>
  <si>
    <t>2019-05-27T06:52:16</t>
  </si>
  <si>
    <t>2019-05-27T09:45:30.227+05:30</t>
  </si>
  <si>
    <t>FB1304</t>
  </si>
  <si>
    <t>2019-05-27T12:21:47.294+05:30</t>
  </si>
  <si>
    <t>2019-05-27T09:46:00.000+05:30</t>
  </si>
  <si>
    <t>22.5536818 88.3980723 -52.599998474121094 5.0</t>
  </si>
  <si>
    <t>In the market</t>
  </si>
  <si>
    <t>FB1304UP</t>
  </si>
  <si>
    <t>d2387419-5e01-4038-a4bb-b189e0ff4ba3</t>
  </si>
  <si>
    <t>2019-05-27T06:52:18</t>
  </si>
  <si>
    <t>2019-05-27T09:54:56.174+05:30</t>
  </si>
  <si>
    <t>2019-05-27T12:21:54.726+05:30</t>
  </si>
  <si>
    <t>2019-05-27T09:55:00.000+05:30</t>
  </si>
  <si>
    <t>22.5536715 88.3982788 -47.70000076293945 5.0</t>
  </si>
  <si>
    <t>NCEC88</t>
  </si>
  <si>
    <t>Beside the canal and road</t>
  </si>
  <si>
    <t>40e7588a-23a7-4ac9-aae4-112d48b2dcef</t>
  </si>
  <si>
    <t>2019-05-27T06:52:20</t>
  </si>
  <si>
    <t>2019-05-28T09:17:37.101+05:30</t>
  </si>
  <si>
    <t>2019-05-28T16:00:24.281+05:30</t>
  </si>
  <si>
    <t>2019-05-28T09:18:00.000+05:30</t>
  </si>
  <si>
    <t>22.5536805 88.3983293 -53.79999923706055 5.0</t>
  </si>
  <si>
    <t>UPNC86</t>
  </si>
  <si>
    <t>Canal</t>
  </si>
  <si>
    <t>795c425b-005e-4fbe-8419-2e9e68f5f9f0</t>
  </si>
  <si>
    <t>2019-05-28T10:30:53</t>
  </si>
  <si>
    <t>2019-05-28T09:30:47.114+05:30</t>
  </si>
  <si>
    <t>2019-05-28T15:58:51.805+05:30</t>
  </si>
  <si>
    <t>2019-05-28T09:31:00.000+05:30</t>
  </si>
  <si>
    <t>22.5535868 88.3983759 -22.100000381469727 5.0</t>
  </si>
  <si>
    <t>PLc1187</t>
  </si>
  <si>
    <t>7f23f133-493f-431d-beb1-62d52d24ce4c</t>
  </si>
  <si>
    <t>2019-05-28T10:30:55</t>
  </si>
  <si>
    <t>2019-05-28T09:38:40.269+05:30</t>
  </si>
  <si>
    <t>2019-05-28T15:59:09.296+05:30</t>
  </si>
  <si>
    <t>2019-05-28T09:39:00.000+05:30</t>
  </si>
  <si>
    <t>22.5535172 88.3984525 -27.200000762939453 5.0</t>
  </si>
  <si>
    <t>Ashis saha</t>
  </si>
  <si>
    <t>095c9f0c-211c-4965-9c1b-94455cedf272</t>
  </si>
  <si>
    <t>2019-05-28T10:30:58</t>
  </si>
  <si>
    <t>PLc1187R</t>
  </si>
  <si>
    <t>2019-05-28T12:35:41.814+05:30</t>
  </si>
  <si>
    <t>2019-05-28T15:59:30.306+05:30</t>
  </si>
  <si>
    <t>2019-05-28T12:36:00.000+05:30</t>
  </si>
  <si>
    <t>22.5535785 88.3978338 -60.400001525878906 5.0</t>
  </si>
  <si>
    <t>Cut fruits</t>
  </si>
  <si>
    <t>114ce445-08fc-4ae4-9d90-036af1c497e7</t>
  </si>
  <si>
    <t>FB1310</t>
  </si>
  <si>
    <t>2019-05-28T10:31:00</t>
  </si>
  <si>
    <t>2019-05-28T15:28:53.341+05:30</t>
  </si>
  <si>
    <t>2019-05-28T16:00:02.702+05:30</t>
  </si>
  <si>
    <t>2019-05-28T15:30:00.000+05:30</t>
  </si>
  <si>
    <t>22.5535186 88.3972298 -19.799999237060547 5.0</t>
  </si>
  <si>
    <t>7f29a4b5-6392-4132-a178-f0c175242bff</t>
  </si>
  <si>
    <t>2019-05-28T10:31:03</t>
  </si>
  <si>
    <t>2019-05-29T08:40:01.249+05:30</t>
  </si>
  <si>
    <t>2019-05-29T14:55:48.924+05:30</t>
  </si>
  <si>
    <t>2019-05-29T08:40:00.000+05:30</t>
  </si>
  <si>
    <t>22.5538048 88.3969145 -40.400001525878906 4.5</t>
  </si>
  <si>
    <t>2c181ec9-6ce6-44a3-a329-37469de55e3a</t>
  </si>
  <si>
    <t>2019-05-29T09:26:38</t>
  </si>
  <si>
    <t>2019-05-29T08:44:32.409+05:30</t>
  </si>
  <si>
    <t>2019-05-29T14:56:00.722+05:30</t>
  </si>
  <si>
    <t>2019-05-29T08:45:00.000+05:30</t>
  </si>
  <si>
    <t>22.5538356 88.3970368 -56.599998474121094 5.0</t>
  </si>
  <si>
    <t>LS2001</t>
  </si>
  <si>
    <t>b829023f-b36b-4bed-91ca-f1570f2f21a2</t>
  </si>
  <si>
    <t>2019-05-29T09:26:42</t>
  </si>
  <si>
    <t>2019-05-29T11:56:14.202+05:30</t>
  </si>
  <si>
    <t>2019-05-29T14:56:14.953+05:30</t>
  </si>
  <si>
    <t>2019-05-29T11:57:00.000+05:30</t>
  </si>
  <si>
    <t>22.552936 88.3989422 -21.299999237060547 5.0</t>
  </si>
  <si>
    <t>FB1305</t>
  </si>
  <si>
    <t>adbbb26b-c299-4aba-b671-26addbd643bd</t>
  </si>
  <si>
    <t>2019-05-29T09:26:44</t>
  </si>
  <si>
    <t>2019-05-29T12:20:26.534+05:30</t>
  </si>
  <si>
    <t>2019-05-29T14:56:28.300+05:30</t>
  </si>
  <si>
    <t>2019-05-29T12:20:00.000+05:30</t>
  </si>
  <si>
    <t>22.5523529 88.3988441 -46.79999923706055 5.0</t>
  </si>
  <si>
    <t>6bad7594-8c7a-4985-9ae3-de4126ed5a67</t>
  </si>
  <si>
    <t>2019-05-29T09:26:46</t>
  </si>
  <si>
    <t>2019-06-03T11:10:16.148+05:30</t>
  </si>
  <si>
    <t>2019-06-03T13:28:30.578+05:30</t>
  </si>
  <si>
    <t>2019-06-03T11:10:00.000+05:30</t>
  </si>
  <si>
    <t>22.5520671 88.3998121 -35.79999923706055 4.5</t>
  </si>
  <si>
    <t>FB1305UP</t>
  </si>
  <si>
    <t>Tomato</t>
  </si>
  <si>
    <t>830bb3c6-712d-4384-9ab7-fd57f9fa5bec</t>
  </si>
  <si>
    <t>2019-06-03T07:59:01</t>
  </si>
  <si>
    <t>2019-06-03T11:15:53.302+05:30</t>
  </si>
  <si>
    <t>2019-06-03T13:28:36.826+05:30</t>
  </si>
  <si>
    <t>2019-06-03T11:19:00.000+05:30</t>
  </si>
  <si>
    <t>22.5536275 88.3981761 -66.9000015258789 5.0</t>
  </si>
  <si>
    <t>MO1166</t>
  </si>
  <si>
    <t>Cucumber</t>
  </si>
  <si>
    <t>38632cbf-026c-457d-8aaa-42bf64f709fb</t>
  </si>
  <si>
    <t>2019-06-03T07:59:03</t>
  </si>
  <si>
    <t>2019-06-03T11:40:31.085+05:30</t>
  </si>
  <si>
    <t>2019-06-03T13:28:44.395+05:30</t>
  </si>
  <si>
    <t>2019-06-03T11:40:00.000+05:30</t>
  </si>
  <si>
    <t>22.5519591 88.4002217 -7.0 5.0</t>
  </si>
  <si>
    <t>FB1306</t>
  </si>
  <si>
    <t>Playground beside open drain</t>
  </si>
  <si>
    <t>c6d6509e-7dd4-4198-a820-2adaae3ffc84</t>
  </si>
  <si>
    <t>2019-06-03T07:59:06</t>
  </si>
  <si>
    <t>2019-06-03T12:14:43.748+05:30</t>
  </si>
  <si>
    <t>2019-06-03T13:28:53.374+05:30</t>
  </si>
  <si>
    <t>2019-06-03T12:15:00.000+05:30</t>
  </si>
  <si>
    <t>22.5536815 88.3980886 -46.0 5.0</t>
  </si>
  <si>
    <t>Market beside canal</t>
  </si>
  <si>
    <t>43cc6661-4e81-48d6-bce8-f5340e205723</t>
  </si>
  <si>
    <t>2019-06-03T07:59:08</t>
  </si>
  <si>
    <t>2019-06-03T12:29:04.828+05:30</t>
  </si>
  <si>
    <t>2019-06-03T13:28:00.222+05:30</t>
  </si>
  <si>
    <t>FB1306UP</t>
  </si>
  <si>
    <t>51869573-f5de-468a-8106-b10e9e3401df</t>
  </si>
  <si>
    <t>2019-06-03T07:59:10</t>
  </si>
  <si>
    <t>2019-06-04T09:18:24.216+05:30</t>
  </si>
  <si>
    <t>2019-06-04T16:06:38.178+05:30</t>
  </si>
  <si>
    <t>2019-06-04T09:18:00.000+05:30</t>
  </si>
  <si>
    <t>22.5521384 88.3997316 -47.900001525878906 5.0</t>
  </si>
  <si>
    <t>MO1167</t>
  </si>
  <si>
    <t>346bc31b-e760-43e8-b5b0-405b293d2b94</t>
  </si>
  <si>
    <t>2019-06-04T10:38:41</t>
  </si>
  <si>
    <t>2019-06-04T09:28:55.648+05:30</t>
  </si>
  <si>
    <t>2019-06-04T16:06:57.570+05:30</t>
  </si>
  <si>
    <t>2019-06-04T09:29:00.000+05:30</t>
  </si>
  <si>
    <t>22.5521335 88.399686 -47.29999923706055 5.0</t>
  </si>
  <si>
    <t>FB1307</t>
  </si>
  <si>
    <t>aaea0952-a0a4-4988-946b-8f1c16f705ac</t>
  </si>
  <si>
    <t>2019-06-04T10:38:44</t>
  </si>
  <si>
    <t>2019-06-04T09:44:28.965+05:30</t>
  </si>
  <si>
    <t>2019-06-04T16:08:17.067+05:30</t>
  </si>
  <si>
    <t>2019-06-04T09:45:00.000+05:30</t>
  </si>
  <si>
    <t>22.5533324 88.4011386 -49.20000076293945 5.0</t>
  </si>
  <si>
    <t>Canal beside agricultural site</t>
  </si>
  <si>
    <t>Somnath Sarkar, Biplab Jash</t>
  </si>
  <si>
    <t>84c1b0d8-b242-4743-9609-517ebccffbc7</t>
  </si>
  <si>
    <t>2019-06-04T10:38:46</t>
  </si>
  <si>
    <t>2019-06-04T12:58:55.138+05:30</t>
  </si>
  <si>
    <t>2019-06-04T16:07:28.709+05:30</t>
  </si>
  <si>
    <t>FB1307UP</t>
  </si>
  <si>
    <t>2019-06-04T13:00:00.000+05:30</t>
  </si>
  <si>
    <t>22.5535632 88.3990572 -27.700000762939453 5.0</t>
  </si>
  <si>
    <t>a980498e-d328-4808-869b-bb40893c29a5</t>
  </si>
  <si>
    <t>2019-06-04T10:38:48</t>
  </si>
  <si>
    <t>2019-06-04T15:46:21.893+05:30</t>
  </si>
  <si>
    <t>2019-06-04T16:07:51.972+05:30</t>
  </si>
  <si>
    <t>MO1168</t>
  </si>
  <si>
    <t>2019-06-04T15:49:00.000+05:30</t>
  </si>
  <si>
    <t>22.5526713 88.397331 -31.299999237060547 5.0</t>
  </si>
  <si>
    <t>23b2c2cf-afae-4b69-b30d-71956feacc11</t>
  </si>
  <si>
    <t>2019-06-04T10:38:51</t>
  </si>
  <si>
    <t>2019-06-25T11:42:53.969+05:30</t>
  </si>
  <si>
    <t>2019-06-25T14:39:55.758+05:30</t>
  </si>
  <si>
    <t>FB1308</t>
  </si>
  <si>
    <t>vJC2q6zdixcwQpj5tcNsoV</t>
  </si>
  <si>
    <t>ec09bfb3-9d2d-448b-8b96-bbd8b00660dc</t>
  </si>
  <si>
    <t>2019-06-25T09:10:10</t>
  </si>
  <si>
    <t>2019-06-27T13:35:15.649+05:30</t>
  </si>
  <si>
    <t>2019-06-27T17:13:19.199+05:30</t>
  </si>
  <si>
    <t>f7640a09-86e5-410c-aa95-911497c92fe1</t>
  </si>
  <si>
    <t>2019-06-27T11:44:57</t>
  </si>
  <si>
    <t>2019-07-02T13:20:49.851+05:30</t>
  </si>
  <si>
    <t>FB1308UP</t>
  </si>
  <si>
    <t>2019-07-02T13:50:54.694+05:30</t>
  </si>
  <si>
    <t>797602c9-2012-42c5-a95c-e375a3cf420f</t>
  </si>
  <si>
    <t>2019-07-02T08:21:30</t>
  </si>
  <si>
    <t>2019-07-04T12:48:01.147+05:30</t>
  </si>
  <si>
    <t>2019-07-04T15:59:21.201+05:30</t>
  </si>
  <si>
    <t>UF1019</t>
  </si>
  <si>
    <t>dc0bc473-99a6-4320-be31-7b21694acc14</t>
  </si>
  <si>
    <t>2019-07-04T10:29:46</t>
  </si>
  <si>
    <t>2019-07-23T12:18:32.613+05:30</t>
  </si>
  <si>
    <t>2019-07-23T15:36:34.360+05:30</t>
  </si>
  <si>
    <t>2019-07-23T12:19:00.000+05:30</t>
  </si>
  <si>
    <t>22.5519546 88.4000336 -59.900001525878906 5.0</t>
  </si>
  <si>
    <t>Beside Agricultural Land</t>
  </si>
  <si>
    <t>UF1019R</t>
  </si>
  <si>
    <t>a58c2079-6e0c-4a49-a1ed-bc9dd4651e80</t>
  </si>
  <si>
    <t>2019-07-23T10:05:33</t>
  </si>
  <si>
    <t>2019-07-23T12:37:57.903+05:30</t>
  </si>
  <si>
    <t>2019-07-23T15:36:39.543+05:30</t>
  </si>
  <si>
    <t>2019-07-23T12:38:00.000+05:30</t>
  </si>
  <si>
    <t>22.551636 88.3985388 -48.400001525878906 5.0</t>
  </si>
  <si>
    <t>Beside Friends of Calcutta School</t>
  </si>
  <si>
    <t>fa5d539b-ef1f-42b3-8a46-7094d95e37ed</t>
  </si>
  <si>
    <t>2019-07-23T10:05:34</t>
  </si>
  <si>
    <t>2019-07-24T13:41:55.721+05:30</t>
  </si>
  <si>
    <t>NCEC89</t>
  </si>
  <si>
    <t>2019-07-24T17:04:15.765+05:30</t>
  </si>
  <si>
    <t>2019-07-24T13:42:00.000+05:30</t>
  </si>
  <si>
    <t>22.5535205 88.3972171 -65.0 5.0</t>
  </si>
  <si>
    <t>830d913e-69c5-470f-9f67-8d879be12c0f</t>
  </si>
  <si>
    <t>2019-07-24T11:33:19</t>
  </si>
  <si>
    <t>2019-07-24T16:02:00.553+05:30</t>
  </si>
  <si>
    <t>2019-07-24T17:04:23.504+05:30</t>
  </si>
  <si>
    <t>UPNC87</t>
  </si>
  <si>
    <t>2019-07-24T16:02:00.000+05:30</t>
  </si>
  <si>
    <t>22.5536762 88.39836 -30.799999237060547 5.0</t>
  </si>
  <si>
    <t>3793a45d-63dd-4878-b7e9-9de5c784a89e</t>
  </si>
  <si>
    <t>2019-07-24T11:33:21</t>
  </si>
  <si>
    <t>2019-07-29T11:49:46.006+05:30</t>
  </si>
  <si>
    <t>2019-07-30T14:53:15.196+05:30</t>
  </si>
  <si>
    <t>2019-07-29T11:50:00.000+05:30</t>
  </si>
  <si>
    <t>22.5536632 88.3975398 -30.799999237060547 5.0</t>
  </si>
  <si>
    <t>EC46</t>
  </si>
  <si>
    <t>9dde7770-c7c3-4578-9728-0f72a765919d</t>
  </si>
  <si>
    <t>2019-07-30T09:23:31</t>
  </si>
  <si>
    <t>2019-07-29T11:53:23.019+05:30</t>
  </si>
  <si>
    <t>2019-07-30T14:53:20.259+05:30</t>
  </si>
  <si>
    <t>2019-07-29T11:53:00.000+05:30</t>
  </si>
  <si>
    <t>22.5536741 88.3975039 -47.400001525878906 5.0</t>
  </si>
  <si>
    <t>FB1303UPa</t>
  </si>
  <si>
    <t>4571caf6-237d-4d95-9cb4-898065ef9739</t>
  </si>
  <si>
    <t>2019-07-30T09:23:32</t>
  </si>
  <si>
    <t>2019-07-29T11:58:29.248+05:30</t>
  </si>
  <si>
    <t>2019-07-30T14:53:26.959+05:30</t>
  </si>
  <si>
    <t>2019-07-29T11:58:00.000+05:30</t>
  </si>
  <si>
    <t>22.5536837 88.3980461 -38.900001525878906 5.0</t>
  </si>
  <si>
    <t>ba4a9281-3de6-483d-a40b-f112d3e7e22e</t>
  </si>
  <si>
    <t>2019-07-30T09:23:33</t>
  </si>
  <si>
    <t>2019-07-30T12:11:14.273+05:30</t>
  </si>
  <si>
    <t>2019-07-30T14:57:55.123+05:30</t>
  </si>
  <si>
    <t>2019-07-30T12:12:00.000+05:30</t>
  </si>
  <si>
    <t>22.5543512 88.3969368 -46.599998474121094 4.5</t>
  </si>
  <si>
    <t>5f5e9c4e-a3f0-4aff-abab-2c61b4a798d0</t>
  </si>
  <si>
    <t>2019-07-30T09:28:05</t>
  </si>
  <si>
    <t>2019-07-30T12:29:26.144+05:30</t>
  </si>
  <si>
    <t>2019-07-30T14:58:01.481+05:30</t>
  </si>
  <si>
    <t>2019-07-30T12:29:00.000+05:30</t>
  </si>
  <si>
    <t>22.5533632 88.4008363 -51.70000076293945 5.0</t>
  </si>
  <si>
    <t>0597a877-7e93-4694-91a3-825624b188bd</t>
  </si>
  <si>
    <t>2019-07-30T09:28:06</t>
  </si>
  <si>
    <t>2019-07-30T12:37:14.459+05:30</t>
  </si>
  <si>
    <t>2019-07-30T14:57:48.707+05:30</t>
  </si>
  <si>
    <t>Field blank on surface water site</t>
  </si>
  <si>
    <t>569cd46a-67b2-4a68-8797-8c127eae7ab4</t>
  </si>
  <si>
    <t>2019-07-30T09:28:08</t>
  </si>
  <si>
    <t>2019-07-31T13:47:10.606+05:30</t>
  </si>
  <si>
    <t>2019-07-31T16:43:54.755+05:30</t>
  </si>
  <si>
    <t>2019-07-31T13:47:00.000+05:30</t>
  </si>
  <si>
    <t>22.5538502 88.3977902 -93.69999694824219 5.0</t>
  </si>
  <si>
    <t>3ace0f80-cea7-4eb5-897c-4039a64b637f</t>
  </si>
  <si>
    <t>2019-07-31T12:10:26</t>
  </si>
  <si>
    <t>2019-07-31T13:55:06.884+05:30</t>
  </si>
  <si>
    <t>2019-07-31T16:44:00.871+05:30</t>
  </si>
  <si>
    <t>2019-07-31T13:55:00.000+05:30</t>
  </si>
  <si>
    <t>22.5536089 88.3982576 -29.799999237060547 4.5</t>
  </si>
  <si>
    <t>d2ad5c69-67f9-4cc9-86da-eaacd597bc53</t>
  </si>
  <si>
    <t>2019-07-31T12:10:27</t>
  </si>
  <si>
    <t>2019-08-05T10:27:27.745+05:30</t>
  </si>
  <si>
    <t>2019-08-06T14:49:28.112+05:30</t>
  </si>
  <si>
    <t>2019-08-05T10:28:00.000+05:30</t>
  </si>
  <si>
    <t>22.553668 88.3978611 -50.599998474121094 4.5</t>
  </si>
  <si>
    <t>01dbd15d-3f35-4059-8334-556e485f9888</t>
  </si>
  <si>
    <t>2019-08-06T09:20:46</t>
  </si>
  <si>
    <t>2019-08-05T13:17:48.699+05:30</t>
  </si>
  <si>
    <t>2019-08-06T14:48:32.662+05:30</t>
  </si>
  <si>
    <t>FB1309UP</t>
  </si>
  <si>
    <t>2553d364-a344-4c57-b9e1-c124de68130b</t>
  </si>
  <si>
    <t>2019-08-06T09:20:51</t>
  </si>
  <si>
    <t>2019-08-05T13:25:57.503+05:30</t>
  </si>
  <si>
    <t>2019-08-06T14:49:47.483+05:30</t>
  </si>
  <si>
    <t>2019-08-05T13:27:00.000+05:30</t>
  </si>
  <si>
    <t>22.5536366 88.3987074 -43.79999923706055 5.0</t>
  </si>
  <si>
    <t>Suvankar Mondal</t>
  </si>
  <si>
    <t>e5f349d3-d881-43ae-a80e-b8311e0069f1</t>
  </si>
  <si>
    <t>2019-08-06T09:20:52</t>
  </si>
  <si>
    <t>2019-08-06T12:20:51.296+05:30</t>
  </si>
  <si>
    <t>2019-08-06T14:55:57.477+05:30</t>
  </si>
  <si>
    <t>2019-08-06T12:21:00.000+05:30</t>
  </si>
  <si>
    <t>22.5522829 88.3994065 -59.79999923706055 5.0</t>
  </si>
  <si>
    <t>f6543dba-7a6a-4400-afc6-1d7f861c3912</t>
  </si>
  <si>
    <t>2019-08-06T09:26:09</t>
  </si>
  <si>
    <t>2019-08-06T12:34:44.573+05:30</t>
  </si>
  <si>
    <t>2019-08-06T14:55:50.176+05:30</t>
  </si>
  <si>
    <t>2019-08-06T12:35:00.000+05:30</t>
  </si>
  <si>
    <t>22.5525751 88.399036 -49.900001525878906 5.0</t>
  </si>
  <si>
    <t>22e5a37f-12d0-442d-b674-0452a9308444</t>
  </si>
  <si>
    <t>2019-08-06T09:26:11</t>
  </si>
  <si>
    <t>2019-08-06T12:50:45.844+05:30</t>
  </si>
  <si>
    <t>2019-08-06T14:56:04.141+05:30</t>
  </si>
  <si>
    <t>2019-08-06T12:51:00.000+05:30</t>
  </si>
  <si>
    <t>22.5522215 88.3998342 -55.5 5.0</t>
  </si>
  <si>
    <t>9c98e5bd-d674-45cc-93ec-8a53866f3b38</t>
  </si>
  <si>
    <t>2019-08-06T09:26:13</t>
  </si>
  <si>
    <t>2019-08-08T13:10:19.958+05:30</t>
  </si>
  <si>
    <t>2019-08-08T13:52:36.205+05:30</t>
  </si>
  <si>
    <t>2019-08-08T13:10:00.000+05:30</t>
  </si>
  <si>
    <t>22.553486 88.3985921 -42.70000076293945 5.0</t>
  </si>
  <si>
    <t>ac8871b0-b56a-42ad-9042-461e36e5b95c</t>
  </si>
  <si>
    <t>2019-08-08T08:22:56</t>
  </si>
  <si>
    <t>2019-08-07T13:29:05.614+05:30</t>
  </si>
  <si>
    <t>2019-08-07T15:37:22.193+05:30</t>
  </si>
  <si>
    <t>2019-08-07T13:29:00.000+05:30</t>
  </si>
  <si>
    <t>22.5529452 88.3988671 -55.70000076293945 5.0</t>
  </si>
  <si>
    <t>54dcd17f-ea5b-4590-adb3-5b3950cd6f5b</t>
  </si>
  <si>
    <t>2019-08-08T08:28:02</t>
  </si>
  <si>
    <t>2019-08-07T14:42:39.407+05:30</t>
  </si>
  <si>
    <t>2019-08-07T15:37:11.595+05:30</t>
  </si>
  <si>
    <t>Field blank on structure observations so site</t>
  </si>
  <si>
    <t>bfeb9346-aa5b-4c98-b055-0a5f3bf6cd66</t>
  </si>
  <si>
    <t>2019-08-08T08:28:17</t>
  </si>
  <si>
    <t>2019-08-20T12:12:28.102+05:30</t>
  </si>
  <si>
    <t>2019-08-20T16:01:42.004+05:30</t>
  </si>
  <si>
    <t>2019-08-20T12:13:00.000+05:30</t>
  </si>
  <si>
    <t>22.5535834 88.3987553 -22.600000381469727 4.5</t>
  </si>
  <si>
    <t>collected by somnath Sarkar</t>
  </si>
  <si>
    <t>vUmJbr8NFmqNo58UvPQcTV</t>
  </si>
  <si>
    <t>7800c6ae-f36d-4c90-b357-12be0d748d50</t>
  </si>
  <si>
    <t>2019-08-20T10:32:27</t>
  </si>
  <si>
    <t>2019-08-20T12:25:48.193+05:30</t>
  </si>
  <si>
    <t>2019-08-20T16:01:27.535+05:30</t>
  </si>
  <si>
    <t>2019-08-20T12:26:00.000+05:30</t>
  </si>
  <si>
    <t>22.5535948 88.3986593 -61.400001525878906 4.5</t>
  </si>
  <si>
    <t>At sw site Collected by suvankar Mandal</t>
  </si>
  <si>
    <t>c840fec6-10e5-4e8a-afe0-ab7a270f3b20</t>
  </si>
  <si>
    <t>2019-08-20T10:32:28</t>
  </si>
  <si>
    <t>2019-08-20T13:05:24.025+05:30</t>
  </si>
  <si>
    <t>2019-08-20T16:01:34.804+05:30</t>
  </si>
  <si>
    <t>2019-08-20T13:06:00.000+05:30</t>
  </si>
  <si>
    <t>22.5536098 88.39807 -58.099998474121094 5.0</t>
  </si>
  <si>
    <t>Sample collected by buddhadeb Samaddar</t>
  </si>
  <si>
    <t>533be926-8980-4099-8483-44806bac146b</t>
  </si>
  <si>
    <t>2019-08-20T10:32:30</t>
  </si>
  <si>
    <t>2019-08-21T12:14:24.141+05:30</t>
  </si>
  <si>
    <t>2019-08-21T13:59:50.202+05:30</t>
  </si>
  <si>
    <t>2019-08-21T12:17:00.000+05:30</t>
  </si>
  <si>
    <t>22.553318 88.3984337 -29.899999618530273 5.0</t>
  </si>
  <si>
    <t>Sample collected by Debabrata</t>
  </si>
  <si>
    <t>efd6533c-98aa-4868-96b3-9bff00fe79a3</t>
  </si>
  <si>
    <t>2019-08-21T08:32:03</t>
  </si>
  <si>
    <t>2019-08-21T12:22:11.274+05:30</t>
  </si>
  <si>
    <t>2019-08-21T14:00:00.419+05:30</t>
  </si>
  <si>
    <t>UF1020</t>
  </si>
  <si>
    <t>2019-08-21T12:24:00.000+05:30</t>
  </si>
  <si>
    <t>22.5533723 88.398392 -33.0 5.0</t>
  </si>
  <si>
    <t>Sample by Sarah</t>
  </si>
  <si>
    <t>Abhijit</t>
  </si>
  <si>
    <t>b2b7f772-3bb9-4404-bae2-24053eb75dd1</t>
  </si>
  <si>
    <t>2019-08-21T08:32:04</t>
  </si>
  <si>
    <t>2019-08-21T13:02:10.239+05:30</t>
  </si>
  <si>
    <t>2019-08-21T14:02:49.845+05:30</t>
  </si>
  <si>
    <t>2019-08-09T12:17:00.000+05:30</t>
  </si>
  <si>
    <t>22.5535999 88.3971825 -44.400001525878906 5.0</t>
  </si>
  <si>
    <t>NCEC90</t>
  </si>
  <si>
    <t>GPS Accuracy Not Available due to Duplicate Entry
 Sample collected by Somnath, Suvankar at Food Preparation Site</t>
  </si>
  <si>
    <t>Debabrata</t>
  </si>
  <si>
    <t>ec877cb3-3c4d-4ce4-b6fd-eac8b9a51715</t>
  </si>
  <si>
    <t>2019-08-21T08:32:33</t>
  </si>
  <si>
    <t>2019-08-22T11:33:49.911+05:30</t>
  </si>
  <si>
    <t>2019-08-26T13:29:05.976+05:30</t>
  </si>
  <si>
    <t>2019-08-22T11:34:00.000+05:30</t>
  </si>
  <si>
    <t>22.5526645 88.3987237 -71.30000305175781 5.0</t>
  </si>
  <si>
    <t>FB at HH I'd 1035 . Sample Collected by Somnath</t>
  </si>
  <si>
    <t>Debobrata</t>
  </si>
  <si>
    <t>6b7b0469-d2d5-43e7-81da-73a120d53e58</t>
  </si>
  <si>
    <t>2019-08-26T08:02:36</t>
  </si>
  <si>
    <t>2019-08-22T12:21:58.101+05:30</t>
  </si>
  <si>
    <t>2019-08-26T13:29:16.460+05:30</t>
  </si>
  <si>
    <t>2019-08-22T12:23:00.000+05:30</t>
  </si>
  <si>
    <t>22.5521487 88.3999061 -27.899999618530273 5.0</t>
  </si>
  <si>
    <t>FB at HH id 1067. Sample collected by Biplab</t>
  </si>
  <si>
    <t>Buddhadeb</t>
  </si>
  <si>
    <t>12104648-977a-4f49-b9ed-db58898708d1</t>
  </si>
  <si>
    <t>2019-08-26T08:02:43</t>
  </si>
  <si>
    <t>2019-08-26T09:22:43.882+05:30</t>
  </si>
  <si>
    <t>2019-08-26T13:31:23.048+05:30</t>
  </si>
  <si>
    <t>2019-08-26T09:24:00.000+05:30</t>
  </si>
  <si>
    <t>22.5534746 88.3981469 -62.599998474121094 5.0</t>
  </si>
  <si>
    <t>EC47</t>
  </si>
  <si>
    <t>Sample collected by biplab Jash</t>
  </si>
  <si>
    <t>a322cecb-f086-41e9-9f75-8a3997eb49fe</t>
  </si>
  <si>
    <t>2019-08-26T08:02:44</t>
  </si>
  <si>
    <t>2019-08-26T09:37:35.344+05:30</t>
  </si>
  <si>
    <t>2019-08-26T13:30:52.478+05:30</t>
  </si>
  <si>
    <t>2019-08-26T09:38:00.000+05:30</t>
  </si>
  <si>
    <t>22.5535606 88.3980567 -43.900001525878906 5.0</t>
  </si>
  <si>
    <t>MO1169</t>
  </si>
  <si>
    <t>FB at raw produce site .sample Collected by Debabrata Maity</t>
  </si>
  <si>
    <t>3211b5d5-1c70-4013-ad4d-26129671c0c8</t>
  </si>
  <si>
    <t>2019-08-26T08:02:46</t>
  </si>
  <si>
    <t>2019-08-26T09:51:30.647+05:30</t>
  </si>
  <si>
    <t>2019-08-26T13:31:17.090+05:30</t>
  </si>
  <si>
    <t>2019-08-26T09:52:00.000+05:30</t>
  </si>
  <si>
    <t>22.5533635 88.3988853 -50.70000076293945 5.0</t>
  </si>
  <si>
    <t>FB1312</t>
  </si>
  <si>
    <t>Brick</t>
  </si>
  <si>
    <t>Sample collected by Buddhadeb Samaddar</t>
  </si>
  <si>
    <t>9db28c92-ea49-4b96-acfc-05edc8a2adc3</t>
  </si>
  <si>
    <t>2019-08-26T08:02:47</t>
  </si>
  <si>
    <t>2019-08-26T10:00:02.454+05:30</t>
  </si>
  <si>
    <t>2019-08-26T13:31:11.106+05:30</t>
  </si>
  <si>
    <t>2019-08-26T10:00:00.000+05:30</t>
  </si>
  <si>
    <t>22.5533735 88.3988322 -63.70000076293945 5.0</t>
  </si>
  <si>
    <t>FB1312UP</t>
  </si>
  <si>
    <t>FB at OD Sample collected by suvankar Mandal</t>
  </si>
  <si>
    <t>2f12fa3f-4566-4f9c-ac67-9a45ee67f32b</t>
  </si>
  <si>
    <t>2019-08-26T08:02:48</t>
  </si>
  <si>
    <t>2019-08-26T16:13:38.012+05:30</t>
  </si>
  <si>
    <t>2019-08-26T17:24:24.810+05:30</t>
  </si>
  <si>
    <t>2019-08-26T16:14:00.000+05:30</t>
  </si>
  <si>
    <t>22.5537787 88.3971047 -25.899999618530273 4.5</t>
  </si>
  <si>
    <t>MO1170</t>
  </si>
  <si>
    <t>a06b3d55-cc8d-4099-acc7-36595ba14965</t>
  </si>
  <si>
    <t>2019-08-26T11:54:36</t>
  </si>
  <si>
    <t>2019-08-26T16:22:11.867+05:30</t>
  </si>
  <si>
    <t>2019-08-26T17:24:31.197+05:30</t>
  </si>
  <si>
    <t>2019-08-26T16:22:00.000+05:30</t>
  </si>
  <si>
    <t>22.5537273 88.3971653 -50.0 5.0</t>
  </si>
  <si>
    <t>Fb at DWa site . Sample collected by Debabrata Maity</t>
  </si>
  <si>
    <t>FB1313</t>
  </si>
  <si>
    <t>cf888e73-5b34-455b-8803-2438df18555b</t>
  </si>
  <si>
    <t>2019-08-26T11:54:38</t>
  </si>
  <si>
    <t>2019-08-29T12:11:38.802+05:30</t>
  </si>
  <si>
    <t>2019-08-29T14:15:27.924+05:30</t>
  </si>
  <si>
    <t>2019-08-29T12:12:00.000+05:30</t>
  </si>
  <si>
    <t>22.5520598 88.4000242 -50.5 5.0</t>
  </si>
  <si>
    <t>Sample collected by Debabrata Maity</t>
  </si>
  <si>
    <t>e7f4a3ac-9848-4f89-a2ef-ec651df98bd5</t>
  </si>
  <si>
    <t>2019-08-29T08:45:30</t>
  </si>
  <si>
    <t>2019-08-29T12:27:32.848+05:30</t>
  </si>
  <si>
    <t>2019-08-29T14:15:00.390+05:30</t>
  </si>
  <si>
    <t>2019-08-29T12:29:00.000+05:30</t>
  </si>
  <si>
    <t>22.5520287 88.4000559 -33.599998474121094 4.5</t>
  </si>
  <si>
    <t>FB at sl site.Sample collected by suvankar Mandal</t>
  </si>
  <si>
    <t>6b477c8f-6376-486e-9f26-52c0e6b1010a</t>
  </si>
  <si>
    <t>2019-08-29T08:45:31</t>
  </si>
  <si>
    <t>2019-08-29T12:55:57.563+05:30</t>
  </si>
  <si>
    <t>FB1313UP</t>
  </si>
  <si>
    <t>2019-08-29T14:15:12.885+05:30</t>
  </si>
  <si>
    <t>2019-08-29T12:58:00.000+05:30</t>
  </si>
  <si>
    <t>22.5536168 88.3978769 -37.900001525878906 5.0</t>
  </si>
  <si>
    <t>Sample collected by ashis saha</t>
  </si>
  <si>
    <t>0316888a-6e76-4396-b520-0e54c75adf63</t>
  </si>
  <si>
    <t>2019-08-29T08:45:33</t>
  </si>
  <si>
    <t>2019-08-29T13:05:51.120+05:30</t>
  </si>
  <si>
    <t>2019-08-29T14:15:06.542+05:30</t>
  </si>
  <si>
    <t>2019-08-29T13:06:00.000+05:30</t>
  </si>
  <si>
    <t>22.5536032 88.3979104 -39.5 5.0</t>
  </si>
  <si>
    <t>MO1171</t>
  </si>
  <si>
    <t>ed2710a4-fba8-4418-80bb-0b750e763615</t>
  </si>
  <si>
    <t>2019-08-29T08:45:34</t>
  </si>
  <si>
    <t>2019-08-29T13:25:28.910+05:30</t>
  </si>
  <si>
    <t>2019-08-29T14:15:21.201+05:30</t>
  </si>
  <si>
    <t>2019-08-29T13:26:00.000+05:30</t>
  </si>
  <si>
    <t>22.5533444 88.3972372 -57.099998474121094 4.5</t>
  </si>
  <si>
    <t>6aa40333-c3c0-4a41-bfca-4565508e8ac1</t>
  </si>
  <si>
    <t>2019-08-29T08:45:35</t>
  </si>
  <si>
    <t>2019-09-02T09:03:05.164+05:30</t>
  </si>
  <si>
    <t>2019-09-02T16:24:18.682+05:30</t>
  </si>
  <si>
    <t>2019-09-02T08:58:00.000+05:30</t>
  </si>
  <si>
    <t>22.5534937 88.3971554 -42.900001525878906 5.0</t>
  </si>
  <si>
    <t>Practice Sample collected by Biplab Jash</t>
  </si>
  <si>
    <t>d10e4768-4a20-4872-be8b-08966dd5c8ad</t>
  </si>
  <si>
    <t>2019-09-02T10:55:15</t>
  </si>
  <si>
    <t>2019-09-02T09:08:49.102+05:30</t>
  </si>
  <si>
    <t>2019-09-02T16:24:25.315+05:30</t>
  </si>
  <si>
    <t>2019-09-02T09:09:00.000+05:30</t>
  </si>
  <si>
    <t>22.5535824 88.3972149 -37.20000076293945 4.0</t>
  </si>
  <si>
    <t>Practice Sample, FB at DWa site, collected by BIPLAB</t>
  </si>
  <si>
    <t>DEBABRATA</t>
  </si>
  <si>
    <t>FB1314UP</t>
  </si>
  <si>
    <t>4b1ea701-8b5a-4a2e-9ab2-399d2a289d45</t>
  </si>
  <si>
    <t>2019-09-02T10:55:16</t>
  </si>
  <si>
    <t>2019-09-02T09:19:30.346+05:30</t>
  </si>
  <si>
    <t>2019-09-02T16:25:12.012+05:30</t>
  </si>
  <si>
    <t>2019-09-02T09:20:00.000+05:30</t>
  </si>
  <si>
    <t>22.5536743 88.3978805 -30.5 4.5</t>
  </si>
  <si>
    <t>Practice Sample, collected by Biplab</t>
  </si>
  <si>
    <t>37d5cba8-2369-4a4b-bf4d-7715547925f0</t>
  </si>
  <si>
    <t>2019-09-02T10:55:18</t>
  </si>
  <si>
    <t>2019-09-02T09:34:39.105+05:30</t>
  </si>
  <si>
    <t>2019-09-02T16:24:30.844+05:30</t>
  </si>
  <si>
    <t>2019-09-02T09:35:00.000+05:30</t>
  </si>
  <si>
    <t>22.5536826 88.397903 -38.400001525878906 5.0</t>
  </si>
  <si>
    <t>PLc1188</t>
  </si>
  <si>
    <t>Practice Sample, FB at soil site, collected by Biplab</t>
  </si>
  <si>
    <t>SUVANKAR</t>
  </si>
  <si>
    <t>255a0929-9d83-4a04-9b1c-d1c8fdd92726</t>
  </si>
  <si>
    <t>2019-09-02T10:55:19</t>
  </si>
  <si>
    <t>2019-09-02T12:24:26.779+05:30</t>
  </si>
  <si>
    <t>2019-09-02T16:25:19.860+05:30</t>
  </si>
  <si>
    <t>2019-09-02T12:25:00.000+05:30</t>
  </si>
  <si>
    <t>22.5535421 88.4004459 -48.099998474121094 5.0</t>
  </si>
  <si>
    <t>Practice Sample. Sample collected by Abhijit Guha</t>
  </si>
  <si>
    <t>598d13e7-3c49-47f2-a1b6-6bc336aa0d1d</t>
  </si>
  <si>
    <t>2019-09-02T10:55:20</t>
  </si>
  <si>
    <t>2019-09-02T12:33:32.329+05:30</t>
  </si>
  <si>
    <t>FB1317</t>
  </si>
  <si>
    <t>2019-09-02T16:24:36.215+05:30</t>
  </si>
  <si>
    <t>2019-09-02T12:34:00.000+05:30</t>
  </si>
  <si>
    <t>22.5535234 88.4004351 -40.099998474121094 5.0</t>
  </si>
  <si>
    <t>Practice Sample.FB at SW site collected by Suvankar and Abhijit</t>
  </si>
  <si>
    <t>e1ec3528-0b8f-4a58-9564-eaaddbe8b217</t>
  </si>
  <si>
    <t>2019-09-02T10:55:22</t>
  </si>
  <si>
    <t>2019-09-02T12:58:41.807+05:30</t>
  </si>
  <si>
    <t>2019-09-02T16:24:48.212+05:30</t>
  </si>
  <si>
    <t>2019-09-02T12:59:00.000+05:30</t>
  </si>
  <si>
    <t>22.5521835 88.3998579 -55.599998474121094 5.0</t>
  </si>
  <si>
    <t>Practice Sample, Sample Collected by Suvankar Mandal</t>
  </si>
  <si>
    <t>caa3f699-d80c-4d38-9234-147fe1939f79</t>
  </si>
  <si>
    <t>2019-09-02T10:55:23</t>
  </si>
  <si>
    <t>2019-09-02T13:10:43.698+05:30</t>
  </si>
  <si>
    <t>2019-09-02T16:24:42.576+05:30</t>
  </si>
  <si>
    <t>2019-09-02T13:11:00.000+05:30</t>
  </si>
  <si>
    <t>22.5521769 88.3999028 -56.400001525878906 5.0</t>
  </si>
  <si>
    <t>FB1317UP</t>
  </si>
  <si>
    <t>Practice Sample, FB at LS site, Sample collected by Buddhadeb and Suvankar</t>
  </si>
  <si>
    <t>dd0f8ea3-25d5-444f-ba35-b1a7484fd716</t>
  </si>
  <si>
    <t>2019-09-02T10:55:24</t>
  </si>
  <si>
    <t>2019-09-02T13:21:14.186+05:30</t>
  </si>
  <si>
    <t>2019-09-02T16:24:53.907+05:30</t>
  </si>
  <si>
    <t>2019-09-02T13:22:00.000+05:30</t>
  </si>
  <si>
    <t>22.5521755 88.3999297 -56.0 5.0</t>
  </si>
  <si>
    <t>Practice Sample, Sample collected by Suvankar</t>
  </si>
  <si>
    <t>BUDDHADEB</t>
  </si>
  <si>
    <t>4dc416ee-d40e-46fa-a937-d4127974deee</t>
  </si>
  <si>
    <t>2019-09-02T10:55:26</t>
  </si>
  <si>
    <t>2019-09-02T13:32:50.787+05:30</t>
  </si>
  <si>
    <t>2019-09-02T16:25:00.487+05:30</t>
  </si>
  <si>
    <t>2019-09-02T13:34:00.000+05:30</t>
  </si>
  <si>
    <t>22.5523901 88.3999566 -43.0 5.0</t>
  </si>
  <si>
    <t>Practice Sample, Sample collected by Biplab</t>
  </si>
  <si>
    <t>ABHIJIT</t>
  </si>
  <si>
    <t>0b4eb1ae-9343-44ce-b301-f209476e96d0</t>
  </si>
  <si>
    <t>2019-09-02T10:55:28</t>
  </si>
  <si>
    <t>2019-09-04T13:00:50.894+05:30</t>
  </si>
  <si>
    <t>2019-09-04T16:39:34.178+05:30</t>
  </si>
  <si>
    <t>2019-09-04T13:01:00.000+05:30</t>
  </si>
  <si>
    <t>22.5535553 88.3981236 -39.20000076293945 5.0</t>
  </si>
  <si>
    <t>Practice Sample, Collected by Somnath Sarkar</t>
  </si>
  <si>
    <t>45fbe52e-c1a7-4192-bd66-9219de15fa8e</t>
  </si>
  <si>
    <t>2019-09-04T11:09:35</t>
  </si>
  <si>
    <t>2019-09-04T13:08:07.141+05:30</t>
  </si>
  <si>
    <t>2019-09-04T16:38:51.968+05:30</t>
  </si>
  <si>
    <t>2019-09-04T13:10:00.000+05:30</t>
  </si>
  <si>
    <t>22.5536095 88.3981091 -43.20000076293945 5.0</t>
  </si>
  <si>
    <t>Practice Sample, Collected by Suvankar Mandal at SF Site</t>
  </si>
  <si>
    <t>92233d35-93ef-4b42-a9ca-72ec42ee5ef9</t>
  </si>
  <si>
    <t>2019-09-04T11:09:38</t>
  </si>
  <si>
    <t>2019-09-04T13:18:05.410+05:30</t>
  </si>
  <si>
    <t>2019-09-04T16:39:06.672+05:30</t>
  </si>
  <si>
    <t>2019-09-04T13:19:00.000+05:30</t>
  </si>
  <si>
    <t>22.5535727 88.3980008 -60.5 5.0</t>
  </si>
  <si>
    <t>Practice Sample, Collected by Biplab Jash</t>
  </si>
  <si>
    <t>d2cd799a-42a1-40d0-8e5c-c505b27eb2c5</t>
  </si>
  <si>
    <t>2019-09-04T11:09:41</t>
  </si>
  <si>
    <t>2019-09-04T13:22:29.034+05:30</t>
  </si>
  <si>
    <t>2019-09-04T16:39:14.421+05:30</t>
  </si>
  <si>
    <t>2019-09-04T13:23:00.000+05:30</t>
  </si>
  <si>
    <t>22.5536437 88.3980013 -37.29999923706055 5.0</t>
  </si>
  <si>
    <t>Practice Sample, Collected by Buddhadeb Samaddar</t>
  </si>
  <si>
    <t>0efa9bcc-f55d-4c1c-a5ec-50b4afcad9c8</t>
  </si>
  <si>
    <t>2019-09-04T11:09:43</t>
  </si>
  <si>
    <t>2019-09-04T13:29:56.870+05:30</t>
  </si>
  <si>
    <t>2019-09-04T16:39:00.101+05:30</t>
  </si>
  <si>
    <t>2019-09-04T13:31:00.000+05:30</t>
  </si>
  <si>
    <t>22.5535941 88.3979482 -43.5 5.0</t>
  </si>
  <si>
    <t>Practice Sample collected by Buddhadeb Samaddar at SF site, Handcart vendor</t>
  </si>
  <si>
    <t>253be843-6b6c-42bf-b376-76f0502911d2</t>
  </si>
  <si>
    <t>2019-09-04T11:09:46</t>
  </si>
  <si>
    <t>2019-09-04T15:56:24.273+05:30</t>
  </si>
  <si>
    <t>2019-09-04T16:39:41.776+05:30</t>
  </si>
  <si>
    <t>2019-09-04T15:57:00.000+05:30</t>
  </si>
  <si>
    <t>22.5532201 88.3971988 -42.0 5.0</t>
  </si>
  <si>
    <t>Practice Sample, collected by Somnath Sarkar</t>
  </si>
  <si>
    <t>95a706f0-9651-4daa-bfde-047c9474542c</t>
  </si>
  <si>
    <t>2019-09-04T11:09:49</t>
  </si>
  <si>
    <t>2019-09-11T12:04:20.900+05:30</t>
  </si>
  <si>
    <t>2019-09-12T12:18:34.404+05:30</t>
  </si>
  <si>
    <t>2019-09-11T12:04:00.000+05:30</t>
  </si>
  <si>
    <t>22.5536492 88.3987818 -45.79999923706055 5.0</t>
  </si>
  <si>
    <t>Sample collected by Ashis Saha</t>
  </si>
  <si>
    <t>4d5d745f-7631-45fa-85bd-92abc29806d3</t>
  </si>
  <si>
    <t>2019-09-12T06:49:28</t>
  </si>
  <si>
    <t>2019-09-11T12:17:07.103+05:30</t>
  </si>
  <si>
    <t>2019-09-12T12:16:28.260+05:30</t>
  </si>
  <si>
    <t>2019-09-11T12:17:00.000+05:30</t>
  </si>
  <si>
    <t>22.5536833 88.3986959 -29.0 5.0</t>
  </si>
  <si>
    <t>FB at SW site collected by Biplab Jash</t>
  </si>
  <si>
    <t>Ashis Saha</t>
  </si>
  <si>
    <t>9d894277-bb57-4ff8-913a-6a5f6aac8eaa</t>
  </si>
  <si>
    <t>2019-09-12T06:49:31</t>
  </si>
  <si>
    <t>2019-09-11T12:32:57.566+05:30</t>
  </si>
  <si>
    <t>2019-09-12T12:18:28.198+05:30</t>
  </si>
  <si>
    <t>2019-09-11T12:33:00.000+05:30</t>
  </si>
  <si>
    <t>22.5535881 88.3981032 -44.099998474121094 5.0</t>
  </si>
  <si>
    <t>Sample collected by Somnath Sarkar</t>
  </si>
  <si>
    <t>e1a8b68e-050c-4398-aa1f-37f410b34015</t>
  </si>
  <si>
    <t>2019-09-12T06:49:34</t>
  </si>
  <si>
    <t>2019-09-11T12:39:25.041+05:30</t>
  </si>
  <si>
    <t>2019-09-12T12:18:17.486+05:30</t>
  </si>
  <si>
    <t>2019-09-11T12:44:00.000+05:30</t>
  </si>
  <si>
    <t>22.5536444 88.3981594 -31.399999618530273 5.0</t>
  </si>
  <si>
    <t>FB at SL Site, Sample collected by Debabrata</t>
  </si>
  <si>
    <t>4d88d098-c456-4b94-9814-2ae1ad1e62ae</t>
  </si>
  <si>
    <t>2019-09-12T06:49:38</t>
  </si>
  <si>
    <t>2019-09-12T10:52:34.744+05:30</t>
  </si>
  <si>
    <t>2019-09-12T12:18:23.051+05:30</t>
  </si>
  <si>
    <t>2019-09-12T10:53:00.000+05:30</t>
  </si>
  <si>
    <t>22.5513656 88.3993772 -82.4000015258789 5.0</t>
  </si>
  <si>
    <t>FB at FP site, Sample collected by Somnath Sarkar</t>
  </si>
  <si>
    <t>17427a31-1c52-4f0c-a386-9c7eb8f87ca7</t>
  </si>
  <si>
    <t>2019-09-12T06:49:57</t>
  </si>
  <si>
    <t>2019-09-17T11:20:33.629+05:30</t>
  </si>
  <si>
    <t>2019-09-17T16:34:59.038+05:30</t>
  </si>
  <si>
    <t>2019-09-17T11:21:00.000+05:30</t>
  </si>
  <si>
    <t>22.5530152 88.3989189 -66.30000305175781 5.0</t>
  </si>
  <si>
    <t>Sample collected by Suvankar &amp; Debabrata</t>
  </si>
  <si>
    <t>2264dd05-4fa0-4305-8cdc-e3c04ba49d30</t>
  </si>
  <si>
    <t>2019-09-17T11:05:39</t>
  </si>
  <si>
    <t>2019-09-17T12:00:24.109+05:30</t>
  </si>
  <si>
    <t>2019-09-17T16:35:04.007+05:30</t>
  </si>
  <si>
    <t>2019-09-17T12:00:00.000+05:30</t>
  </si>
  <si>
    <t>22.5521494 88.3992043 -26.299999237060547 5.0</t>
  </si>
  <si>
    <t>FB at HH id 1039. Sample collected by Buddhadeb &amp; Biplab</t>
  </si>
  <si>
    <t>26d8c06b-b13f-4564-92db-0fb454a7b665</t>
  </si>
  <si>
    <t>2019-09-17T11:05:44</t>
  </si>
  <si>
    <t>2020-01-01T08:55:10.786+05:30</t>
  </si>
  <si>
    <t>2020-01-02T15:11:38.621+05:30</t>
  </si>
  <si>
    <t>FB1316</t>
  </si>
  <si>
    <t>2020-01-01T08:55:00.000+05:30</t>
  </si>
  <si>
    <t>22.5414809 88.3753886 -46.599998474121094 4.5</t>
  </si>
  <si>
    <t>Sample collected by Suvankar Mandal</t>
  </si>
  <si>
    <t>c607f803-43f5-433e-9dca-5379efa7d921</t>
  </si>
  <si>
    <t>2020-01-02T09:42:35</t>
  </si>
  <si>
    <t>2020-01-01T09:07:20.030+05:30</t>
  </si>
  <si>
    <t>2020-01-02T15:11:43.065+05:30</t>
  </si>
  <si>
    <t>2020-01-01T09:08:00.000+05:30</t>
  </si>
  <si>
    <t>22.5414901 88.3753782 -48.5 5.0</t>
  </si>
  <si>
    <t>FB1316UP</t>
  </si>
  <si>
    <t>Sample collected by Suvankar</t>
  </si>
  <si>
    <t>fa701bf4-3aa0-4aaa-96b8-32b92f54f655</t>
  </si>
  <si>
    <t>2020-01-02T09:42:38</t>
  </si>
  <si>
    <t>2020-01-08T08:54:07.327+05:30</t>
  </si>
  <si>
    <t>2020-01-09T17:15:08.813+05:30</t>
  </si>
  <si>
    <t>2020-01-08T08:55:00.000+05:30</t>
  </si>
  <si>
    <t>22.5416015 88.3762257 17.5 5.0</t>
  </si>
  <si>
    <t>Sample collected by Biplab Jash</t>
  </si>
  <si>
    <t>79e3d5bd-800e-490d-a79e-15fc965aa5a9</t>
  </si>
  <si>
    <t>2020-01-09T11:45:50</t>
  </si>
  <si>
    <t>2020-01-08T08:58:35.538+05:30</t>
  </si>
  <si>
    <t>2020-01-09T17:15:15.575+05:30</t>
  </si>
  <si>
    <t>NCEC91</t>
  </si>
  <si>
    <t>2020-01-08T08:59:00.000+05:30</t>
  </si>
  <si>
    <t>22.5416773 88.3762262 -26.600000381469727 5.0</t>
  </si>
  <si>
    <t>Sample collected by Abhijit, FB at DWa1004uf</t>
  </si>
  <si>
    <t>27b1e182-57e9-4feb-9dae-77d161441a54</t>
  </si>
  <si>
    <t>2020-01-09T11:45:52</t>
  </si>
  <si>
    <t>2020-01-15T12:05:15.206+05:30</t>
  </si>
  <si>
    <t>2020-01-15T17:03:26.360+05:30</t>
  </si>
  <si>
    <t>2020-01-15T12:05:00.000+05:30</t>
  </si>
  <si>
    <t>22.5494049 88.3968896 -64.19999694824219 5.0</t>
  </si>
  <si>
    <t>3074ec8d-6528-4cc5-b67d-be22baa0a467</t>
  </si>
  <si>
    <t>2020-01-15T11:34:35</t>
  </si>
  <si>
    <t>2020-01-15T12:10:18.798+05:30</t>
  </si>
  <si>
    <t>2020-01-15T17:03:17.279+05:30</t>
  </si>
  <si>
    <t>2020-01-15T12:10:00.000+05:30</t>
  </si>
  <si>
    <t>22.5493915 88.3968599 -56.099998474121094 4.5</t>
  </si>
  <si>
    <t>Sample collected by Suvankar Mandal, FB at RP2001 site</t>
  </si>
  <si>
    <t>39b917ab-9c70-4780-9978-672ac609888a</t>
  </si>
  <si>
    <t>2020-01-15T11:34:38</t>
  </si>
  <si>
    <t>2020-01-15T12:16:59.181+05:30</t>
  </si>
  <si>
    <t>2020-01-15T17:03:33.255+05:30</t>
  </si>
  <si>
    <t>PLc1189</t>
  </si>
  <si>
    <t>2020-01-15T12:20:00.000+05:30</t>
  </si>
  <si>
    <t>22.548963 88.3971814 -66.0 5.0</t>
  </si>
  <si>
    <t>0321303d-6a18-4ccb-94db-cf1ba1b7ad8e</t>
  </si>
  <si>
    <t>2020-01-15T11:34:42</t>
  </si>
  <si>
    <t>2020-01-15T12:24:55.467+05:30</t>
  </si>
  <si>
    <t>2020-01-15T17:03:21.864+05:30</t>
  </si>
  <si>
    <t>2020-01-15T12:29:00.000+05:30</t>
  </si>
  <si>
    <t>22.5489168 88.3970861 -58.20000076293945 4.5</t>
  </si>
  <si>
    <t>FB1318</t>
  </si>
  <si>
    <t>Sample collected by Buddhadeb, FB at SL2001 site</t>
  </si>
  <si>
    <t>09d02b6f-494e-4465-aeae-f05d24135d7a</t>
  </si>
  <si>
    <t>2020-01-15T11:34:46</t>
  </si>
  <si>
    <t>2020-01-16T08:57:04.154+05:30</t>
  </si>
  <si>
    <t>2020-01-20T10:44:24.788+05:30</t>
  </si>
  <si>
    <t>2020-01-16T08:57:00.000+05:30</t>
  </si>
  <si>
    <t>22.5412137 88.3751007 10.600000381469727 5.0</t>
  </si>
  <si>
    <t>Sample collected by Asish Saha</t>
  </si>
  <si>
    <t>a69d2019-1a16-4bc0-b996-536bcf0ea5e0</t>
  </si>
  <si>
    <t>2020-01-20T05:15:21</t>
  </si>
  <si>
    <t>2020-01-16T09:03:37.008+05:30</t>
  </si>
  <si>
    <t>2020-01-20T10:44:30.368+05:30</t>
  </si>
  <si>
    <t>2020-01-16T09:04:00.000+05:30</t>
  </si>
  <si>
    <t>22.5412142 88.3750852 20.100000381469727 5.0</t>
  </si>
  <si>
    <t>FB1318UP</t>
  </si>
  <si>
    <t>Sample collected by Asish Saha, FB at DWa1005uf</t>
  </si>
  <si>
    <t>d9aea15a-5cfb-4842-aa80-9830980c097e</t>
  </si>
  <si>
    <t>2020-01-20T05:15:22</t>
  </si>
  <si>
    <t>2020-01-22T11:56:05.819+05:30</t>
  </si>
  <si>
    <t>2020-01-22T17:08:10.927+05:30</t>
  </si>
  <si>
    <t>2020-01-22T12:05:00.000+05:30</t>
  </si>
  <si>
    <t>22.5482774 88.3966096 -51.099998474121094 5.0</t>
  </si>
  <si>
    <t>Sample collected by Buddhadeb</t>
  </si>
  <si>
    <t>500790b5-07f7-4b57-8b90-29a9f10cd1f3</t>
  </si>
  <si>
    <t>2020-01-22T11:39:06</t>
  </si>
  <si>
    <t>2020-01-22T12:14:42.358+05:30</t>
  </si>
  <si>
    <t>2020-01-22T17:07:54.351+05:30</t>
  </si>
  <si>
    <t>PLc1190</t>
  </si>
  <si>
    <t>2020-01-22T12:15:00.000+05:30</t>
  </si>
  <si>
    <t>22.5482746 88.3966392 -52.599998474121094 5.0</t>
  </si>
  <si>
    <t>4b1cf13f-2d8c-49db-b467-2524f86d8d86</t>
  </si>
  <si>
    <t>2020-01-22T11:39:09</t>
  </si>
  <si>
    <t>2020-01-22T12:29:18.279+05:30</t>
  </si>
  <si>
    <t>2020-01-22T17:08:04.751+05:30</t>
  </si>
  <si>
    <t>2020-01-22T12:30:00.000+05:30</t>
  </si>
  <si>
    <t>22.5508483 88.3963961 -42.79999923706055 5.0</t>
  </si>
  <si>
    <t>FB1319</t>
  </si>
  <si>
    <t>Pakora (Chicken)</t>
  </si>
  <si>
    <t>7e44c720-b62c-4f90-83eb-201d00c16bdc</t>
  </si>
  <si>
    <t>2020-01-22T11:39:13</t>
  </si>
  <si>
    <t>2020-01-22T12:32:53.744+05:30</t>
  </si>
  <si>
    <t>2020-01-22T17:08:00.114+05:30</t>
  </si>
  <si>
    <t>2020-01-22T12:33:00.000+05:30</t>
  </si>
  <si>
    <t>22.5508513 88.3963712 -48.599998474121094 5.0</t>
  </si>
  <si>
    <t>FB1319UP</t>
  </si>
  <si>
    <t>50166c2b-ff5b-4e8c-b2d9-634622c0f209</t>
  </si>
  <si>
    <t>2020-01-22T11:39:16</t>
  </si>
  <si>
    <t>2020-01-27T12:34:08.082+05:30</t>
  </si>
  <si>
    <t>2020-01-27T14:53:16.443+05:30</t>
  </si>
  <si>
    <t>2020-01-27T12:34:00.000+05:30</t>
  </si>
  <si>
    <t>22.550603 88.3970107 -49.20000076293945 5.0</t>
  </si>
  <si>
    <t>NCEC92</t>
  </si>
  <si>
    <t>d6aa33d3-d0be-40f9-bb0f-e3f8f4732614</t>
  </si>
  <si>
    <t>2020-01-27T09:23:51</t>
  </si>
  <si>
    <t>2020-01-27T12:41:41.597+05:30</t>
  </si>
  <si>
    <t>2020-01-27T14:53:33.236+05:30</t>
  </si>
  <si>
    <t>2020-01-27T12:42:00.000+05:30</t>
  </si>
  <si>
    <t>22.5506052 88.3970819 -57.20000076293945 5.0</t>
  </si>
  <si>
    <t>PLc1191</t>
  </si>
  <si>
    <t>Sample collected by Suvankar Mandal, FB at BW2001 site</t>
  </si>
  <si>
    <t>4c932ee8-8012-47e0-ab83-f20c754c462a</t>
  </si>
  <si>
    <t>2020-01-27T09:23:56</t>
  </si>
  <si>
    <t>2020-01-27T12:45:10.937+05:30</t>
  </si>
  <si>
    <t>2020-01-27T14:53:43.355+05:30</t>
  </si>
  <si>
    <t>2020-01-27T12:46:00.000+05:30</t>
  </si>
  <si>
    <t>22.5506522 88.3970162 -55.099998474121094 5.0</t>
  </si>
  <si>
    <t>FB1320</t>
  </si>
  <si>
    <t>31d370a4-03b9-48b7-a2b9-41ddb23900ab</t>
  </si>
  <si>
    <t>2020-01-27T09:24:00</t>
  </si>
  <si>
    <t>2020-01-27T12:51:08.966+05:30</t>
  </si>
  <si>
    <t>2020-01-27T14:53:38.669+05:30</t>
  </si>
  <si>
    <t>2020-01-27T12:51:00.000+05:30</t>
  </si>
  <si>
    <t>22.5507268 88.3971243 -44.400001525878906 5.0</t>
  </si>
  <si>
    <t>Sample collected by Biplab Jash, FB at SL2002 site</t>
  </si>
  <si>
    <t>4090d867-c607-4218-ae35-549770a675c2</t>
  </si>
  <si>
    <t>2020-01-27T09:24:04</t>
  </si>
  <si>
    <t>2020-02-04T11:05:50.880+05:30</t>
  </si>
  <si>
    <t>2020-02-04T14:22:10.327+05:30</t>
  </si>
  <si>
    <t>FB1320UP</t>
  </si>
  <si>
    <t>2020-02-04T11:06:00.000+05:30</t>
  </si>
  <si>
    <t>22.5516375 88.3960454 -49.79999923706055 5.0</t>
  </si>
  <si>
    <t>8ec3c566-226a-49c5-a1b3-42acc4b880ff</t>
  </si>
  <si>
    <t>2020-02-04T08:52:04</t>
  </si>
  <si>
    <t>2020-02-04T11:19:40.668+05:30</t>
  </si>
  <si>
    <t>2020-02-04T14:21:52.167+05:30</t>
  </si>
  <si>
    <t>2020-02-04T11:21:00.000+05:30</t>
  </si>
  <si>
    <t>22.5516056 88.3960506 -39.20000076293945 5.0</t>
  </si>
  <si>
    <t>PLc1192</t>
  </si>
  <si>
    <t>Sample collected by Biplab Jash, FB at LS2001 site</t>
  </si>
  <si>
    <t>bf75a046-f292-4be8-9add-995dd86c09ab</t>
  </si>
  <si>
    <t>2020-02-04T08:52:08</t>
  </si>
  <si>
    <t>2020-02-11T11:02:36.931+05:30</t>
  </si>
  <si>
    <t>2020-02-11T14:24:23.732+05:30</t>
  </si>
  <si>
    <t>2020-02-11T11:03:00.000+05:30</t>
  </si>
  <si>
    <t>22.5505692 88.3968551 -46.599998474121094 5.0</t>
  </si>
  <si>
    <t>FB1321</t>
  </si>
  <si>
    <t>2c6cd820-977b-48ca-89c2-599accc2bf94</t>
  </si>
  <si>
    <t>2020-02-11T08:54:41</t>
  </si>
  <si>
    <t>2020-02-11T11:11:28.039+05:30</t>
  </si>
  <si>
    <t>2020-02-11T14:24:12.274+05:30</t>
  </si>
  <si>
    <t>FB1329</t>
  </si>
  <si>
    <t>2020-02-11T11:11:00.000+05:30</t>
  </si>
  <si>
    <t>22.5505545 88.3968138 -52.599998474121094 4.5</t>
  </si>
  <si>
    <t>Sample collected by Somnath Sarkar, FB at RP2002 site</t>
  </si>
  <si>
    <t>FB1321UP</t>
  </si>
  <si>
    <t>229c6649-295d-4370-af48-d1898404ddde</t>
  </si>
  <si>
    <t>2020-02-11T08:54:45</t>
  </si>
  <si>
    <t>2020-02-11T11:16:22.999+05:30</t>
  </si>
  <si>
    <t>2020-02-11T14:24:30.661+05:30</t>
  </si>
  <si>
    <t>SF2002</t>
  </si>
  <si>
    <t>2020-02-11T11:17:00.000+05:30</t>
  </si>
  <si>
    <t>22.5504309 88.3970895 -44.900001525878906 4.5</t>
  </si>
  <si>
    <t>Puri Sabji</t>
  </si>
  <si>
    <t>05141473-19ba-4e98-8f3d-6612c11a3882</t>
  </si>
  <si>
    <t>2020-02-11T08:54:52</t>
  </si>
  <si>
    <t>2020-02-11T11:19:36.273+05:30</t>
  </si>
  <si>
    <t>2020-02-11T14:24:18.623+05:30</t>
  </si>
  <si>
    <t>FB1330</t>
  </si>
  <si>
    <t>2020-02-11T11:24:00.000+05:30</t>
  </si>
  <si>
    <t>22.5504144 88.396995 -51.79999923706055 5.0</t>
  </si>
  <si>
    <t>PLc1193</t>
  </si>
  <si>
    <t>Sample collected by Buddhadeb, FB at SF2002 site</t>
  </si>
  <si>
    <t>4a049bd8-e176-4d68-8ec3-d1ec003f5ff3</t>
  </si>
  <si>
    <t>2020-02-11T08:55:16</t>
  </si>
  <si>
    <t>2020-02-18T10:53:31.708+05:30</t>
  </si>
  <si>
    <t>2020-02-18T16:22:01.839+05:30</t>
  </si>
  <si>
    <t>SW2002</t>
  </si>
  <si>
    <t>2020-02-18T10:54:00.000+05:30</t>
  </si>
  <si>
    <t>22.5473987 88.3964896 -41.599998474121094 5.0</t>
  </si>
  <si>
    <t>FB1322</t>
  </si>
  <si>
    <t>ca642528-9464-4392-85ae-d92b74af510d</t>
  </si>
  <si>
    <t>2020-02-18T10:52:58</t>
  </si>
  <si>
    <t>2020-02-18T11:00:54.434+05:30</t>
  </si>
  <si>
    <t>2020-02-18T16:21:48.202+05:30</t>
  </si>
  <si>
    <t>FB1349</t>
  </si>
  <si>
    <t>2020-02-18T11:01:00.000+05:30</t>
  </si>
  <si>
    <t>22.5472438 88.3965026 -65.69999694824219 5.0</t>
  </si>
  <si>
    <t>FB1322UP</t>
  </si>
  <si>
    <t>a5dafc68-5c58-443e-a438-b3c7a1bab679</t>
  </si>
  <si>
    <t>2020-02-18T10:53:01</t>
  </si>
  <si>
    <t>2020-02-18T11:10:44.387+05:30</t>
  </si>
  <si>
    <t>2020-02-18T16:21:57.098+05:30</t>
  </si>
  <si>
    <t>2020-02-18T11:11:00.000+05:30</t>
  </si>
  <si>
    <t>22.5508076 88.396988 -27.399999618530273 5.0</t>
  </si>
  <si>
    <t>PLc1194</t>
  </si>
  <si>
    <t>69a00981-f43b-43ab-93bb-8cd15c60435a</t>
  </si>
  <si>
    <t>2020-02-18T10:53:05</t>
  </si>
  <si>
    <t>2020-02-18T11:16:22.767+05:30</t>
  </si>
  <si>
    <t>2020-02-18T16:21:52.716+05:30</t>
  </si>
  <si>
    <t>FB1350</t>
  </si>
  <si>
    <t>2020-02-18T11:16:00.000+05:30</t>
  </si>
  <si>
    <t>22.5507547 88.3970828 -34.29999923706055 5.0</t>
  </si>
  <si>
    <t>Sample collected by Biplab</t>
  </si>
  <si>
    <t>831ba877-7472-43a4-8843-641439eee1cc</t>
  </si>
  <si>
    <t>2020-02-18T10:53:09</t>
  </si>
  <si>
    <t>2020-02-25T08:48:21.905+05:30</t>
  </si>
  <si>
    <t>2020-02-25T13:16:13.232+05:30</t>
  </si>
  <si>
    <t>2020-02-25T08:48:00.000+05:30</t>
  </si>
  <si>
    <t>22.5516403 88.3956865 -51.5 5.0</t>
  </si>
  <si>
    <t>FB1323</t>
  </si>
  <si>
    <t>edd44f5a-8f1e-4949-a57f-9a16e300a96e</t>
  </si>
  <si>
    <t>2020-02-25T07:46:39</t>
  </si>
  <si>
    <t>2020-02-25T09:03:13.775+05:30</t>
  </si>
  <si>
    <t>2020-02-25T13:16:18.220+05:30</t>
  </si>
  <si>
    <t>FB1378</t>
  </si>
  <si>
    <t>2020-02-25T09:04:00.000+05:30</t>
  </si>
  <si>
    <t>22.5518259 88.3956346 -64.9000015258789 5.0</t>
  </si>
  <si>
    <t>FB1323UP</t>
  </si>
  <si>
    <t>Sample collected by Biplab Jash, FB at DWa2001 site</t>
  </si>
  <si>
    <t>455da488-2257-4a7d-8063-8241d938d08f</t>
  </si>
  <si>
    <t>2020-02-25T07:46:43</t>
  </si>
  <si>
    <t>2020-02-25T14:01:31.129+05:30</t>
  </si>
  <si>
    <t>2020-02-26T14:54:44.864+05:30</t>
  </si>
  <si>
    <t>SF2003</t>
  </si>
  <si>
    <t>2020-02-25T14:01:00.000+05:30</t>
  </si>
  <si>
    <t>22.5505051 88.3969294 -53.20000076293945 5.0</t>
  </si>
  <si>
    <t>PLc1195</t>
  </si>
  <si>
    <t>Chowmin</t>
  </si>
  <si>
    <t>86f1a9ac-79c5-4132-84c4-a26e9bd74c5a</t>
  </si>
  <si>
    <t>2020-02-26T09:27:05</t>
  </si>
  <si>
    <t>2020-02-25T14:08:04.934+05:30</t>
  </si>
  <si>
    <t>2020-02-26T14:54:40.237+05:30</t>
  </si>
  <si>
    <t>FB1379</t>
  </si>
  <si>
    <t>2020-02-25T14:09:00.000+05:30</t>
  </si>
  <si>
    <t>22.5504922 88.3969126 -43.599998474121094 5.0</t>
  </si>
  <si>
    <t>FB1324</t>
  </si>
  <si>
    <t>Sample collected by Biplab Jash, FB at SF2003 site</t>
  </si>
  <si>
    <t>2b250edf-9a37-4cce-82aa-7d53531fb5ee</t>
  </si>
  <si>
    <t>2020-02-26T09:27:10</t>
  </si>
  <si>
    <t>2020-03-03T10:13:14.724+05:30</t>
  </si>
  <si>
    <t>2020-03-03T15:31:35.138+05:30</t>
  </si>
  <si>
    <t>BW2002</t>
  </si>
  <si>
    <t>2020-03-03T10:13:00.000+05:30</t>
  </si>
  <si>
    <t>22.5517759 88.3955874 -45.5 5.0</t>
  </si>
  <si>
    <t>vbPSTZSrVFcUL4XdGCBGwn</t>
  </si>
  <si>
    <t>a5e8a469-0af1-4a1f-b6eb-23867a51b6b5</t>
  </si>
  <si>
    <t>2020-03-03T10:03:19</t>
  </si>
  <si>
    <t>2020-03-03T10:17:14.786+05:30</t>
  </si>
  <si>
    <t>2020-03-03T15:31:39.930+05:30</t>
  </si>
  <si>
    <t>FB1397</t>
  </si>
  <si>
    <t>2020-03-03T10:19:00.000+05:30</t>
  </si>
  <si>
    <t>22.5517338 88.3956455 -35.400001525878906 5.0</t>
  </si>
  <si>
    <t>FB1324UP</t>
  </si>
  <si>
    <t>Sample collected by Suvankar Mandal, FB at BW2002 site</t>
  </si>
  <si>
    <t>80f3fa59-e5df-46bc-8484-beb9afd01f95</t>
  </si>
  <si>
    <t>2020-03-03T10:03:22</t>
  </si>
  <si>
    <t>2020-03-03T10:23:28.498+05:30</t>
  </si>
  <si>
    <t>2020-03-03T15:31:49.237+05:30</t>
  </si>
  <si>
    <t>2020-03-03T10:23:00.000+05:30</t>
  </si>
  <si>
    <t>22.5504874 88.3967528 -51.79999923706055 4.0</t>
  </si>
  <si>
    <t>NCEC93</t>
  </si>
  <si>
    <t>90a9a4ee-9c45-4a01-8d63-f4855a619b14</t>
  </si>
  <si>
    <t>2020-03-03T10:03:25</t>
  </si>
  <si>
    <t>2020-03-03T10:25:57.982+05:30</t>
  </si>
  <si>
    <t>2020-03-03T15:31:44.583+05:30</t>
  </si>
  <si>
    <t>FB1398</t>
  </si>
  <si>
    <t>2020-03-03T10:27:00.000+05:30</t>
  </si>
  <si>
    <t>22.5504787 88.3967936 -59.29999923706055 5.0</t>
  </si>
  <si>
    <t>UPNC89</t>
  </si>
  <si>
    <t>Sample collected by Somnath Sarkar, FB at RP2003 site</t>
  </si>
  <si>
    <t>d5512821-5701-42d9-9c17-d0168bbc8a2a</t>
  </si>
  <si>
    <t>2020-03-03T10:03:28</t>
  </si>
  <si>
    <t>2020-03-11T10:38:30.853+05:30</t>
  </si>
  <si>
    <t>2020-03-13T17:18:28.694+05:30</t>
  </si>
  <si>
    <t>BW2003</t>
  </si>
  <si>
    <t>2020-03-11T10:38:00.000+05:30</t>
  </si>
  <si>
    <t>22.5489594 88.3971732 -41.099998474121094 5.0</t>
  </si>
  <si>
    <t>MO1175</t>
  </si>
  <si>
    <t>f850958a-7bb1-4496-9727-fb3709ef51ec</t>
  </si>
  <si>
    <t>2020-03-13T11:50:47</t>
  </si>
  <si>
    <t>2020-03-11T10:44:17.871+05:30</t>
  </si>
  <si>
    <t>2020-03-13T17:18:47.746+05:30</t>
  </si>
  <si>
    <t>SW2003</t>
  </si>
  <si>
    <t>2020-03-11T10:46:00.000+05:30</t>
  </si>
  <si>
    <t>22.548824 88.3970594 -58.900001525878906 5.0</t>
  </si>
  <si>
    <t>094436d1-cd5a-4324-80ca-220de1eb7887</t>
  </si>
  <si>
    <t>2020-03-13T11:50:50</t>
  </si>
  <si>
    <t>2020-03-11T10:47:57.453+05:30</t>
  </si>
  <si>
    <t>2020-03-13T17:18:43.068+05:30</t>
  </si>
  <si>
    <t>2020-03-11T10:52:00.000+05:30</t>
  </si>
  <si>
    <t>22.5490784 88.3972005 -67.0999984741211 5.0</t>
  </si>
  <si>
    <t>2cf9ca71-7ff7-477e-af84-07b271bf0d78</t>
  </si>
  <si>
    <t>2020-03-13T11:50:52</t>
  </si>
  <si>
    <t>2020-03-11T10:58:54.615+05:30</t>
  </si>
  <si>
    <t>2020-03-13T17:18:38.118+05:30</t>
  </si>
  <si>
    <t>2020-03-11T11:00:00.000+05:30</t>
  </si>
  <si>
    <t>22.5500462 88.3968189 -25.299999237060547 5.0</t>
  </si>
  <si>
    <t>FB1325</t>
  </si>
  <si>
    <t>dd560b26-3639-4d1a-9ab5-1bdf39aae33a</t>
  </si>
  <si>
    <t>2020-03-13T11:50:54</t>
  </si>
  <si>
    <t>2020-03-11T11:01:44.253+05:30</t>
  </si>
  <si>
    <t>2020-03-13T17:18:33.584+05:30</t>
  </si>
  <si>
    <t>FB1415</t>
  </si>
  <si>
    <t>2020-03-11T11:07:00.000+05:30</t>
  </si>
  <si>
    <t>22.5501261 88.3968284 -37.29999923706055 5.0</t>
  </si>
  <si>
    <t>54703860-1e93-4a32-bb5a-55358ea30f7e</t>
  </si>
  <si>
    <t>2020-03-13T11:50:57</t>
  </si>
  <si>
    <t>2020-03-16T09:47:03.153+05:30</t>
  </si>
  <si>
    <t>2020-03-16T17:15:51.396+05:30</t>
  </si>
  <si>
    <t>SF2004</t>
  </si>
  <si>
    <t>2020-03-16T09:47:00.000+05:30</t>
  </si>
  <si>
    <t>22.5495081 88.3968522 -57.5 5.0</t>
  </si>
  <si>
    <t>Puri &amp; sabji</t>
  </si>
  <si>
    <t>04f45592-ea00-4598-b243-c3ae46d5ee48</t>
  </si>
  <si>
    <t>2020-03-16T11:46:21</t>
  </si>
  <si>
    <t>2020-03-16T09:52:05.418+05:30</t>
  </si>
  <si>
    <t>2020-03-16T17:15:42.422+05:30</t>
  </si>
  <si>
    <t>RP2005</t>
  </si>
  <si>
    <t>2020-03-16T09:52:00.000+05:30</t>
  </si>
  <si>
    <t>22.5494015 88.3969174 -50.0 5.0</t>
  </si>
  <si>
    <t>861ef924-bc25-42ab-9917-1fadbdde3bf8</t>
  </si>
  <si>
    <t>2020-03-16T11:46:24</t>
  </si>
  <si>
    <t>2020-03-16T09:55:19.804+05:30</t>
  </si>
  <si>
    <t>2020-03-16T17:15:46.800+05:30</t>
  </si>
  <si>
    <t>RP2006</t>
  </si>
  <si>
    <t>2020-03-16T09:55:00.000+05:30</t>
  </si>
  <si>
    <t>22.5494719 88.3970026 -65.5999984741211 5.0</t>
  </si>
  <si>
    <t>554c4c6c-ccd5-41d4-b3de-2c6b41f6fd57</t>
  </si>
  <si>
    <t>2020-03-16T11:46:27</t>
  </si>
  <si>
    <t>2020-03-16T10:01:52.540+05:30</t>
  </si>
  <si>
    <t>2020-03-16T17:15:56.019+05:30</t>
  </si>
  <si>
    <t>SL2005</t>
  </si>
  <si>
    <t>FB1325UP</t>
  </si>
  <si>
    <t>2020-03-16T10:02:00.000+05:30</t>
  </si>
  <si>
    <t>22.5506978 88.397004 -43.70000076293945 4.5</t>
  </si>
  <si>
    <t>d41ef048-1b17-4164-b257-c7a45ce59c40</t>
  </si>
  <si>
    <t>2020-03-16T11:46:32</t>
  </si>
  <si>
    <t>2020-03-16T10:06:16.743+05:30</t>
  </si>
  <si>
    <t>2020-03-16T17:15:37.829+05:30</t>
  </si>
  <si>
    <t>FB1419</t>
  </si>
  <si>
    <t>2020-03-16T10:06:00.000+05:30</t>
  </si>
  <si>
    <t>22.5507068 88.3971228 -75.5 5.0</t>
  </si>
  <si>
    <t>dca4e307-b0e4-4283-83a2-20c3ea4ee442</t>
  </si>
  <si>
    <t>2020-03-16T11:46:35</t>
  </si>
  <si>
    <t>2020-03-16T11:54:27.218+05:30</t>
  </si>
  <si>
    <t>2020-03-16T17:19:26.668+05:30</t>
  </si>
  <si>
    <t>LS2002</t>
  </si>
  <si>
    <t>2020-03-16T11:56:00.000+05:30</t>
  </si>
  <si>
    <t>22.5516596 88.3960072 -45.29999923706055 4.5</t>
  </si>
  <si>
    <t>918c0548-af56-4562-bc9f-9236d266ab52</t>
  </si>
  <si>
    <t>2020-03-16T11:49:57</t>
  </si>
  <si>
    <t>2020-03-16T12:12:10.816+05:30</t>
  </si>
  <si>
    <t>2020-03-16T17:19:31.152+05:30</t>
  </si>
  <si>
    <t>LS2003</t>
  </si>
  <si>
    <t>2020-03-16T12:12:00.000+05:30</t>
  </si>
  <si>
    <t>MO1174</t>
  </si>
  <si>
    <t>22.5516033 88.3962774 -44.599998474121094 5.0</t>
  </si>
  <si>
    <t>e02ae81d-1221-4fcf-be11-f3111f4566f0</t>
  </si>
  <si>
    <t>2020-03-16T11:50:00</t>
  </si>
  <si>
    <t>2020-03-16T12:17:45.646+05:30</t>
  </si>
  <si>
    <t>2020-03-16T17:19:21.966+05:30</t>
  </si>
  <si>
    <t>FB1421</t>
  </si>
  <si>
    <t>2020-03-16T12:18:00.000+05:30</t>
  </si>
  <si>
    <t>22.5516435 88.3962224 -52.70000076293945 5.0</t>
  </si>
  <si>
    <t>19f6e193-f2cf-4eb8-b095-4aef7e9aab25</t>
  </si>
  <si>
    <t>2020-03-16T11:50:03</t>
  </si>
  <si>
    <t>2020-03-19T09:02:34.173+05:30</t>
  </si>
  <si>
    <t>2020-03-19T17:08:55.451+05:30</t>
  </si>
  <si>
    <t>2020-03-19T09:03:00.000+05:30</t>
  </si>
  <si>
    <t>22.5507332 88.3974974 -13.600000381469727 4.5</t>
  </si>
  <si>
    <t>FB1326</t>
  </si>
  <si>
    <t>7b76f98e-2073-43e3-b33a-eadf3fdf8df5</t>
  </si>
  <si>
    <t>2020-03-19T11:40:30</t>
  </si>
  <si>
    <t>2020-03-19T09:22:43.138+05:30</t>
  </si>
  <si>
    <t>2020-03-19T17:09:00.293+05:30</t>
  </si>
  <si>
    <t>DWb2001</t>
  </si>
  <si>
    <t>2020-03-19T09:23:00.000+05:30</t>
  </si>
  <si>
    <t>22.5498126 88.3974676 -46.599998474121094 5.0</t>
  </si>
  <si>
    <t>f0f7c50a-0f0d-4987-b23f-4ea1b4db79d3</t>
  </si>
  <si>
    <t>2020-03-19T11:40:32</t>
  </si>
  <si>
    <t>2020-03-19T09:30:06.822+05:30</t>
  </si>
  <si>
    <t>2020-03-19T17:09:09.384+05:30</t>
  </si>
  <si>
    <t>SW2004</t>
  </si>
  <si>
    <t>2020-03-19T09:32:00.000+05:30</t>
  </si>
  <si>
    <t>22.5485339 88.3969119 -53.79999923706055 5.0</t>
  </si>
  <si>
    <t>5f6201f3-43c3-4df0-b9da-0807401598e1</t>
  </si>
  <si>
    <t>2020-03-19T11:40:33</t>
  </si>
  <si>
    <t>2020-03-19T11:32:27.802+05:30</t>
  </si>
  <si>
    <t>2020-03-19T17:08:50.275+05:30</t>
  </si>
  <si>
    <t>BW2004</t>
  </si>
  <si>
    <t>2020-03-19T11:32:00.000+05:30</t>
  </si>
  <si>
    <t>22.5507049 88.3966862 -42.099998474121094 5.0</t>
  </si>
  <si>
    <t>0e7088d7-8928-4fea-a7c1-b743f536828c</t>
  </si>
  <si>
    <t>2020-03-19T11:40:39</t>
  </si>
  <si>
    <t>2020-03-19T11:36:15.197+05:30</t>
  </si>
  <si>
    <t>2020-03-19T17:09:04.865+05:30</t>
  </si>
  <si>
    <t>FB1425</t>
  </si>
  <si>
    <t>2020-03-19T11:37:00.000+05:30</t>
  </si>
  <si>
    <t>22.5506235 88.3966519 -53.20000076293945 5.0</t>
  </si>
  <si>
    <t>2129df5e-4b49-4ab9-b54a-30c0ec06c954</t>
  </si>
  <si>
    <t>2020-03-19T11:40:41</t>
  </si>
  <si>
    <t>FB1326UP</t>
  </si>
  <si>
    <t>MO1173</t>
  </si>
  <si>
    <t>FB1327</t>
  </si>
  <si>
    <t>col_sample_type_fp</t>
  </si>
  <si>
    <t>col_sample_type_fp/144</t>
  </si>
  <si>
    <t>col_sample_type_fp/145</t>
  </si>
  <si>
    <t>col_sample_type_fp/142</t>
  </si>
  <si>
    <t>col_sample_type_fp/143</t>
  </si>
  <si>
    <t>col_sample_type_fp/141</t>
  </si>
  <si>
    <t>col_sample_type_fp/149</t>
  </si>
  <si>
    <t>col_sample_type_co</t>
  </si>
  <si>
    <t>col_sample_type_co/151</t>
  </si>
  <si>
    <t>col_sample_type_co/159</t>
  </si>
  <si>
    <t>col_sample_type_co/152</t>
  </si>
  <si>
    <t>col_fpa_id</t>
  </si>
  <si>
    <t>col_fpa</t>
  </si>
  <si>
    <t>col_fpa/1</t>
  </si>
  <si>
    <t>col_fpa/3</t>
  </si>
  <si>
    <t>col_fpa/2</t>
  </si>
  <si>
    <t>col_fpa/4</t>
  </si>
  <si>
    <t>col_fpa/88</t>
  </si>
  <si>
    <t>col_fpa_other</t>
  </si>
  <si>
    <t>col_fpa1</t>
  </si>
  <si>
    <t>col_fpa1/88</t>
  </si>
  <si>
    <t>col_fpa1/1</t>
  </si>
  <si>
    <t>col_fpa1/3</t>
  </si>
  <si>
    <t>col_fpa1/2</t>
  </si>
  <si>
    <t>col_fpa1/5</t>
  </si>
  <si>
    <t>col_fpa1/4</t>
  </si>
  <si>
    <t>col_fpa1/6</t>
  </si>
  <si>
    <t>col_fpa1_other</t>
  </si>
  <si>
    <t>col_pfb_id</t>
  </si>
  <si>
    <t>col_fpb</t>
  </si>
  <si>
    <t>col_fpb/1</t>
  </si>
  <si>
    <t>col_fpb/3</t>
  </si>
  <si>
    <t>col_fpb/2</t>
  </si>
  <si>
    <t>col_fpb/4</t>
  </si>
  <si>
    <t>col_fpb/88</t>
  </si>
  <si>
    <t>col_fpb_other</t>
  </si>
  <si>
    <t>col_fpc_id</t>
  </si>
  <si>
    <t>col_fpc</t>
  </si>
  <si>
    <t>col_fpc/1</t>
  </si>
  <si>
    <t>col_fpc/3</t>
  </si>
  <si>
    <t>col_fpc/2</t>
  </si>
  <si>
    <t>col_fpc/88</t>
  </si>
  <si>
    <t>col_fpc_other</t>
  </si>
  <si>
    <t>col_fpc1</t>
  </si>
  <si>
    <t>col_fpc1/88</t>
  </si>
  <si>
    <t>col_fpc1/1</t>
  </si>
  <si>
    <t>col_fpc1/3</t>
  </si>
  <si>
    <t>col_fpc1/2</t>
  </si>
  <si>
    <t>col_fpc1/5</t>
  </si>
  <si>
    <t>col_fpc1/4</t>
  </si>
  <si>
    <t>col_fpc1/6</t>
  </si>
  <si>
    <t>col_fpc1_other</t>
  </si>
  <si>
    <t>col_fpd_id</t>
  </si>
  <si>
    <t>col_fpd_type</t>
  </si>
  <si>
    <t>FB1327UP</t>
  </si>
  <si>
    <t>col_fpd_type_other</t>
  </si>
  <si>
    <t>col_fpd_container</t>
  </si>
  <si>
    <t>col_fpd_container_lid</t>
  </si>
  <si>
    <t>col_fpd_id_001</t>
  </si>
  <si>
    <t>col_fpd_cl_free</t>
  </si>
  <si>
    <t>col_fpd_cl_total</t>
  </si>
  <si>
    <t>col_fpe_id</t>
  </si>
  <si>
    <t>col_fpe</t>
  </si>
  <si>
    <t>col_fpe/88</t>
  </si>
  <si>
    <t>col_fpe/1</t>
  </si>
  <si>
    <t>col_fpe/3</t>
  </si>
  <si>
    <t>col_fpe/2</t>
  </si>
  <si>
    <t>col_fpe/5</t>
  </si>
  <si>
    <t>col_fpe/4</t>
  </si>
  <si>
    <t>col_fpe_other</t>
  </si>
  <si>
    <t>col_fpe1</t>
  </si>
  <si>
    <t>col_fpe1/1</t>
  </si>
  <si>
    <t>col_fpe1/3</t>
  </si>
  <si>
    <t>col_fpe1/2</t>
  </si>
  <si>
    <t>col_fpe1/88</t>
  </si>
  <si>
    <t>col_fpe1_other</t>
  </si>
  <si>
    <t>col_coa_id</t>
  </si>
  <si>
    <t>col_coa_floor</t>
  </si>
  <si>
    <t>col_coa_floorother</t>
  </si>
  <si>
    <t>col_coa_dirt</t>
  </si>
  <si>
    <t>col_coa_child</t>
  </si>
  <si>
    <t>col_cob_nr</t>
  </si>
  <si>
    <t>col_cob_note1</t>
  </si>
  <si>
    <t>col_cob_ids</t>
  </si>
  <si>
    <t>col_cob</t>
  </si>
  <si>
    <t>col_cob_other</t>
  </si>
  <si>
    <t>col_cob1</t>
  </si>
  <si>
    <t>col_cob1_other</t>
  </si>
  <si>
    <t>col_cob_col2</t>
  </si>
  <si>
    <t>col_cob_ids2</t>
  </si>
  <si>
    <t>col_cob2</t>
  </si>
  <si>
    <t>col_cob_other2</t>
  </si>
  <si>
    <t>col_cob12</t>
  </si>
  <si>
    <t>col_cob1_other2</t>
  </si>
  <si>
    <t>col_cob_col3</t>
  </si>
  <si>
    <t>col_cob_ids3</t>
  </si>
  <si>
    <t>col_cob3</t>
  </si>
  <si>
    <t>col_cob_other3</t>
  </si>
  <si>
    <t>col_cob13</t>
  </si>
  <si>
    <t>col_cob1_other3</t>
  </si>
  <si>
    <t>col_animals</t>
  </si>
  <si>
    <t>col_animaltype</t>
  </si>
  <si>
    <t>col_animaltype/10</t>
  </si>
  <si>
    <t>col_animaltype/88</t>
  </si>
  <si>
    <t>col_animaltype/1</t>
  </si>
  <si>
    <t>col_animaltype/3</t>
  </si>
  <si>
    <t>col_animaltype/2</t>
  </si>
  <si>
    <t>col_animaltype/5</t>
  </si>
  <si>
    <t>col_animaltype/4</t>
  </si>
  <si>
    <t>col_animaltype/7</t>
  </si>
  <si>
    <t>col_animaltype/6</t>
  </si>
  <si>
    <t>col_animaltype/9</t>
  </si>
  <si>
    <t>col_animaltype/8</t>
  </si>
  <si>
    <t>col_animalother</t>
  </si>
  <si>
    <t>col_animalnr</t>
  </si>
  <si>
    <t>2019-05-01T13:18:21.525+05:30</t>
  </si>
  <si>
    <t>2019-05-13T15:22:41.816+05:30</t>
  </si>
  <si>
    <t>FP1001</t>
  </si>
  <si>
    <t>2019-05-01T13:19:00.000+05:30</t>
  </si>
  <si>
    <t>MO1172</t>
  </si>
  <si>
    <t>FPC1001, FPc1002</t>
  </si>
  <si>
    <t>FB1328</t>
  </si>
  <si>
    <t>vGghqfaJrwMUhAWPdBqkGa</t>
  </si>
  <si>
    <t>516d4c0c-92a5-4503-9c10-4499c2494fbe</t>
  </si>
  <si>
    <t>2019-05-13T09:52:50</t>
  </si>
  <si>
    <t>2019-08-07T14:05:28.128+05:30</t>
  </si>
  <si>
    <t>2019-08-07T15:37:40.801+05:30</t>
  </si>
  <si>
    <t>2019-08-07T14:09:00.000+05:30</t>
  </si>
  <si>
    <t>FB1328UP</t>
  </si>
  <si>
    <t>2f1cb90e-5bda-4f57-b2ff-fc41a06b021a</t>
  </si>
  <si>
    <t>2019-08-08T08:28:06</t>
  </si>
  <si>
    <t>2019-08-07T14:18:44.604+05:30</t>
  </si>
  <si>
    <t>2019-08-07T15:37:54.177+05:30</t>
  </si>
  <si>
    <t>2019-08-07T14:19:00.000+05:30</t>
  </si>
  <si>
    <t>Concrete</t>
  </si>
  <si>
    <t>0dfe6641-30ca-4277-93d7-40a6c1619e5f</t>
  </si>
  <si>
    <t>2019-08-08T08:28:09</t>
  </si>
  <si>
    <t>2019-08-07T14:31:30.464+05:30</t>
  </si>
  <si>
    <t>2019-08-07T15:37:46.940+05:30</t>
  </si>
  <si>
    <t>2019-08-07T14:32:00.000+05:30</t>
  </si>
  <si>
    <t>f4e8d210-664d-4ed9-b1d7-3d0d33dcacc6</t>
  </si>
  <si>
    <t>2019-08-08T08:28:11</t>
  </si>
  <si>
    <t>2019-08-07T14:35:47.388+05:30</t>
  </si>
  <si>
    <t>2019-08-07T15:38:00.563+05:30</t>
  </si>
  <si>
    <t>2019-08-07T14:36:00.000+05:30</t>
  </si>
  <si>
    <t>FB1329UP</t>
  </si>
  <si>
    <t>Door frame</t>
  </si>
  <si>
    <t>2ff828da-5c2d-4905-b8de-c5da0b211fa4</t>
  </si>
  <si>
    <t>2019-08-08T08:28:14</t>
  </si>
  <si>
    <t>2019-08-09T11:20:09.956+05:30</t>
  </si>
  <si>
    <t>2019-08-09T14:02:58.179+05:30</t>
  </si>
  <si>
    <t>2019-08-09T11:21:00.000+05:30</t>
  </si>
  <si>
    <t>House of mapping mistri</t>
  </si>
  <si>
    <t>981af9e9-a79d-4410-901d-9bf605a70416</t>
  </si>
  <si>
    <t>2019-08-09T08:34:05</t>
  </si>
  <si>
    <t>2019-08-09T11:26:07.141+05:30</t>
  </si>
  <si>
    <t>2019-08-09T14:03:10.963+05:30</t>
  </si>
  <si>
    <t>2019-08-09T11:26:00.000+05:30</t>
  </si>
  <si>
    <t>FB1330UP</t>
  </si>
  <si>
    <t>HH mampi mistri</t>
  </si>
  <si>
    <t>56f6a3ca-05ce-4612-82d7-78d60744d2ec</t>
  </si>
  <si>
    <t>2019-08-09T08:34:07</t>
  </si>
  <si>
    <t>2019-08-09T11:28:56.926+05:30</t>
  </si>
  <si>
    <t>2019-08-09T14:03:25.542+05:30</t>
  </si>
  <si>
    <t>2019-08-09T11:31:00.000+05:30</t>
  </si>
  <si>
    <t>UF1021</t>
  </si>
  <si>
    <t>716ce45b-de65-4180-96ab-07f42f630eee</t>
  </si>
  <si>
    <t>2019-08-09T08:34:08</t>
  </si>
  <si>
    <t>2019-08-09T11:35:54.088+05:30</t>
  </si>
  <si>
    <t>2019-08-09T14:03:38.433+05:30</t>
  </si>
  <si>
    <t>2019-08-09T11:36:00.000+05:30</t>
  </si>
  <si>
    <t>UPNC90</t>
  </si>
  <si>
    <t>NCEC94</t>
  </si>
  <si>
    <t>c3b400dc-9b55-4d90-a7be-c4478940c076</t>
  </si>
  <si>
    <t>2019-08-09T08:34:10</t>
  </si>
  <si>
    <t>2019-08-09T11:57:54.353+05:30</t>
  </si>
  <si>
    <t>2019-08-09T14:03:19.063+05:30</t>
  </si>
  <si>
    <t>2019-08-09T11:58:00.000+05:30</t>
  </si>
  <si>
    <t>MO1176</t>
  </si>
  <si>
    <t>House of Swati Gunin</t>
  </si>
  <si>
    <t>9310f809-dc33-4d68-8c00-36640a6e6045</t>
  </si>
  <si>
    <t>2019-08-09T08:34:11</t>
  </si>
  <si>
    <t>2019-08-09T12:03:27.756+05:30</t>
  </si>
  <si>
    <t>2019-08-09T14:03:32.152+05:30</t>
  </si>
  <si>
    <t>FB1331</t>
  </si>
  <si>
    <t>142 144</t>
  </si>
  <si>
    <t>FPd9902</t>
  </si>
  <si>
    <t>2019-08-09T12:05:00.000+05:30</t>
  </si>
  <si>
    <t>FB1331UP</t>
  </si>
  <si>
    <t>HH Swati Gunin</t>
  </si>
  <si>
    <t>8041f88c-3842-4b24-a2fa-c2976c19c9e7</t>
  </si>
  <si>
    <t>2019-08-09T08:34:13</t>
  </si>
  <si>
    <t>2019-08-09T12:08:03.529+05:30</t>
  </si>
  <si>
    <t>2019-08-09T14:03:04.815+05:30</t>
  </si>
  <si>
    <t>2019-08-09T12:08:00.000+05:30</t>
  </si>
  <si>
    <t>MO1177</t>
  </si>
  <si>
    <t>HH Swati Swati Gunin</t>
  </si>
  <si>
    <t>3c2d3f52-4824-43f5-9e89-f09efe3a592e</t>
  </si>
  <si>
    <t>2019-08-09T08:34:14</t>
  </si>
  <si>
    <t>2019-08-21T14:01:32.442+05:30</t>
  </si>
  <si>
    <t>22.5532224 88.3984986 -57.70000076293945 5.0</t>
  </si>
  <si>
    <t>2019-08-21T11:37:00.000+05:30</t>
  </si>
  <si>
    <t>FB1332</t>
  </si>
  <si>
    <t>Suvankar Mandol</t>
  </si>
  <si>
    <t>v4b25iaRzrPMkey35XgBep</t>
  </si>
  <si>
    <t>b47a24d4-db98-4b26-958d-594285054840</t>
  </si>
  <si>
    <t>2019-08-21T08:31:55</t>
  </si>
  <si>
    <t>2019-08-21T14:01:46.572+05:30</t>
  </si>
  <si>
    <t>22.5533175 88.3984231 -42.5 4.5</t>
  </si>
  <si>
    <t>2019-08-21T11:45:00.000+05:30</t>
  </si>
  <si>
    <t>FB1332UP</t>
  </si>
  <si>
    <t>1db53aa6-d937-4406-9a30-bd05cbbdec30</t>
  </si>
  <si>
    <t>2019-08-21T08:31:56</t>
  </si>
  <si>
    <t>2019-08-21T14:01:39.494+05:30</t>
  </si>
  <si>
    <t>22.5532794 88.3984784 -56.599998474121094 4.5</t>
  </si>
  <si>
    <t>PL1024</t>
  </si>
  <si>
    <t>2019-08-21T11:51:00.000+05:30</t>
  </si>
  <si>
    <t>Sample collected by Buddhadeb (PBST)</t>
  </si>
  <si>
    <t>e02aeb9d-f43e-4e8b-8f5f-5839a48aea09</t>
  </si>
  <si>
    <t>2019-08-21T08:31:58</t>
  </si>
  <si>
    <t>2019-08-21T14:02:03.422+05:30</t>
  </si>
  <si>
    <t>22.5532373 88.3984423 -53.0 4.0</t>
  </si>
  <si>
    <t>FB1333</t>
  </si>
  <si>
    <t>2019-08-21T11:57:00.000+05:30</t>
  </si>
  <si>
    <t>Sample Collected by Buddhadev (PBST)</t>
  </si>
  <si>
    <t>1f51f3e1-9bb3-4d22-a69f-7dfcff61e345</t>
  </si>
  <si>
    <t>2019-08-21T08:32:00</t>
  </si>
  <si>
    <t>FB1333UP</t>
  </si>
  <si>
    <t>2019-08-21T14:01:57.172+05:30</t>
  </si>
  <si>
    <t>22.5534442 88.3985161 -55.0 5.0</t>
  </si>
  <si>
    <t>2019-08-21T12:03:00.000+05:30</t>
  </si>
  <si>
    <t>PL1025</t>
  </si>
  <si>
    <t>310ec8da-c9fb-4945-9299-2b9753f22792</t>
  </si>
  <si>
    <t>2019-08-21T08:32:01</t>
  </si>
  <si>
    <t>2019-08-26T13:31:28.603+05:30</t>
  </si>
  <si>
    <t>22.5526337 88.398741 -60.70000076293945 5.0</t>
  </si>
  <si>
    <t>2019-08-22T11:11:00.000+05:30</t>
  </si>
  <si>
    <t>FB1334</t>
  </si>
  <si>
    <t>a4e9f8ec-a788-494a-856f-d05cb8cecb0d</t>
  </si>
  <si>
    <t>2019-08-26T08:02:30</t>
  </si>
  <si>
    <t>2019-08-26T13:31:40.553+05:30</t>
  </si>
  <si>
    <t>22.5527175 88.3986995 -44.79999923706055 5.0</t>
  </si>
  <si>
    <t>2019-08-22T11:19:00.000+05:30</t>
  </si>
  <si>
    <t>FB1334UP</t>
  </si>
  <si>
    <t>72906242-976a-4305-9a94-25de4d20b354</t>
  </si>
  <si>
    <t>2019-08-26T08:02:32</t>
  </si>
  <si>
    <t>2019-08-26T13:31:46.213+05:30</t>
  </si>
  <si>
    <t>22.5526928 88.3987278 -36.900001525878906 5.0</t>
  </si>
  <si>
    <t>UF1022</t>
  </si>
  <si>
    <t>2019-08-22T11:24:00.000+05:30</t>
  </si>
  <si>
    <t>Plastic</t>
  </si>
  <si>
    <t>UPNC91</t>
  </si>
  <si>
    <t>Sample collected by Debobrata</t>
  </si>
  <si>
    <t>Somnath</t>
  </si>
  <si>
    <t>97ab32c2-acbf-43ea-a4e1-b44f7d1023bd</t>
  </si>
  <si>
    <t>2019-08-26T08:02:33</t>
  </si>
  <si>
    <t>2019-08-26T13:31:52.297+05:30</t>
  </si>
  <si>
    <t>22.5526577 88.3987366 -52.79999923706055 5.0</t>
  </si>
  <si>
    <t>2019-08-22T11:28:00.000+05:30</t>
  </si>
  <si>
    <t>NCEC95</t>
  </si>
  <si>
    <t>28f309ce-5f09-479d-bd9a-7093d996322c</t>
  </si>
  <si>
    <t>2019-08-26T08:02:35</t>
  </si>
  <si>
    <t>2019-08-26T13:31:33.618+05:30</t>
  </si>
  <si>
    <t>22.5521442 88.3998329 -58.0 5.0</t>
  </si>
  <si>
    <t>MO1178</t>
  </si>
  <si>
    <t>2019-08-22T11:50:00.000+05:30</t>
  </si>
  <si>
    <t>FB1338</t>
  </si>
  <si>
    <t>2f2cbbb6-8fe6-4466-81f4-8ff60b8ddd8b</t>
  </si>
  <si>
    <t>2019-08-26T08:02:37</t>
  </si>
  <si>
    <t>2019-08-26T13:31:58.524+05:30</t>
  </si>
  <si>
    <t>22.5521928 88.3998679 -55.29999923706055 5.0</t>
  </si>
  <si>
    <t>2019-08-22T11:59:00.000+05:30</t>
  </si>
  <si>
    <t>FB1338UP</t>
  </si>
  <si>
    <t>Cotton Cloth</t>
  </si>
  <si>
    <t>771c2e03-ecfd-43e9-a309-e6c9d9e8130d</t>
  </si>
  <si>
    <t>2019-08-26T08:02:39</t>
  </si>
  <si>
    <t>2019-08-26T13:32:04.880+05:30</t>
  </si>
  <si>
    <t>22.5521542 88.3998855 -57.099998474121094 4.5</t>
  </si>
  <si>
    <t>MO1179</t>
  </si>
  <si>
    <t>2019-08-22T12:06:00.000+05:30</t>
  </si>
  <si>
    <t>Fibre, Plastic</t>
  </si>
  <si>
    <t>DTH Disk</t>
  </si>
  <si>
    <t>FB1339</t>
  </si>
  <si>
    <t>c8809e79-6b95-44af-844a-a22d4a6ac5f6</t>
  </si>
  <si>
    <t>2019-08-26T08:02:40</t>
  </si>
  <si>
    <t>2019-08-26T13:32:13.360+05:30</t>
  </si>
  <si>
    <t>22.5521732 88.3999188 -66.0 5.0</t>
  </si>
  <si>
    <t>2019-08-22T12:15:00.000+05:30</t>
  </si>
  <si>
    <t>FB1339UP</t>
  </si>
  <si>
    <t>Toys</t>
  </si>
  <si>
    <t>b9d44eca-818f-4403-9b25-72ccade4bc11</t>
  </si>
  <si>
    <t>2019-08-26T08:02:42</t>
  </si>
  <si>
    <t>2019-09-12T12:18:54.602+05:30</t>
  </si>
  <si>
    <t>22.5513227 88.399452 -59.5 5.0</t>
  </si>
  <si>
    <t>MO1180</t>
  </si>
  <si>
    <t>2019-09-12T10:23:00.000+05:30</t>
  </si>
  <si>
    <t>FB1340</t>
  </si>
  <si>
    <t>a1191541-87e7-4b1e-8004-09e7b48746c7</t>
  </si>
  <si>
    <t>2019-09-12T06:49:40</t>
  </si>
  <si>
    <t>2019-09-12T12:18:48.807+05:30</t>
  </si>
  <si>
    <t>22.5513942 88.3992999 -54.400001525878906 5.0</t>
  </si>
  <si>
    <t>2019-09-12T10:29:00.000+05:30</t>
  </si>
  <si>
    <t>FB1340UP</t>
  </si>
  <si>
    <t>29e30733-72d0-4025-9655-379b048a642a</t>
  </si>
  <si>
    <t>2019-09-12T06:49:43</t>
  </si>
  <si>
    <t>2019-09-12T12:19:04.788+05:30</t>
  </si>
  <si>
    <t>PLc1196</t>
  </si>
  <si>
    <t>22.5514185 88.3992801 -56.79999923706055 5.0</t>
  </si>
  <si>
    <t>2019-09-12T10:36:00.000+05:30</t>
  </si>
  <si>
    <t>FB1341</t>
  </si>
  <si>
    <t>541c73f8-e2bf-4d3a-be38-ebe07d3120e7</t>
  </si>
  <si>
    <t>2019-09-12T06:49:46</t>
  </si>
  <si>
    <t>2019-09-12T12:18:59.686+05:30</t>
  </si>
  <si>
    <t>22.5513541 88.3993612 -11.600000381469727 5.0</t>
  </si>
  <si>
    <t>2019-09-12T10:42:00.000+05:30</t>
  </si>
  <si>
    <t>FB1341UP</t>
  </si>
  <si>
    <t>9a439813-54ab-46b7-a491-35dee14ad5c7</t>
  </si>
  <si>
    <t>2019-09-12T06:49:50</t>
  </si>
  <si>
    <t>2019-09-12T12:18:42.585+05:30</t>
  </si>
  <si>
    <t>22.5513774 88.3993761 -35.099998474121094 5.0</t>
  </si>
  <si>
    <t>2019-09-12T10:46:00.000+05:30</t>
  </si>
  <si>
    <t>PLc1197</t>
  </si>
  <si>
    <t>700f5914-3b1f-4b3c-ba63-c82edfb34144</t>
  </si>
  <si>
    <t>2019-09-12T06:49:54</t>
  </si>
  <si>
    <t>2019-09-17T16:35:08.983+05:30</t>
  </si>
  <si>
    <t>22.5530486 88.3988539 -68.4000015258789 4.5</t>
  </si>
  <si>
    <t>FB1342</t>
  </si>
  <si>
    <t>2019-09-17T10:54:00.000+05:30</t>
  </si>
  <si>
    <t>f34f312f-d93e-4abc-9362-0ed10a088d59</t>
  </si>
  <si>
    <t>2019-09-17T11:05:36</t>
  </si>
  <si>
    <t>2019-09-17T16:35:20.925+05:30</t>
  </si>
  <si>
    <t>22.5530611 88.3989044 -67.4000015258789 4.5</t>
  </si>
  <si>
    <t>FB1342UP</t>
  </si>
  <si>
    <t>2019-09-17T10:59:00.000+05:30</t>
  </si>
  <si>
    <t>Cycle</t>
  </si>
  <si>
    <t>Linen</t>
  </si>
  <si>
    <t>Bed Cover</t>
  </si>
  <si>
    <t>b5bc81cf-e1d1-4948-ab07-8559561515dc</t>
  </si>
  <si>
    <t>2019-09-17T11:05:38</t>
  </si>
  <si>
    <t>2019-09-17T16:35:13.947+05:30</t>
  </si>
  <si>
    <t>22.5521197 88.3990847 -36.900001525878906 5.0</t>
  </si>
  <si>
    <t>PLc1198</t>
  </si>
  <si>
    <t>2019-09-17T11:35:00.000+05:30</t>
  </si>
  <si>
    <t>6f9eec19-622b-4589-8d38-9ac482908102</t>
  </si>
  <si>
    <t>2019-09-17T11:05:41</t>
  </si>
  <si>
    <t>2019-09-17T16:35:27.038+05:30</t>
  </si>
  <si>
    <t>22.5521039 88.3991786 -45.5 4.5</t>
  </si>
  <si>
    <t>2019-09-17T11:42:00.000+05:30</t>
  </si>
  <si>
    <t>FB1343</t>
  </si>
  <si>
    <t>581629e4-168d-4130-a88a-8c3df31910ce</t>
  </si>
  <si>
    <t>2019-09-17T11:05:43</t>
  </si>
  <si>
    <t>2019-09-17T16:35:31.784+05:30</t>
  </si>
  <si>
    <t>22.5521368 88.3991378 -49.79999923706055 5.0</t>
  </si>
  <si>
    <t>FB1343UP</t>
  </si>
  <si>
    <t>2019-09-17T12:35:00.000+05:30</t>
  </si>
  <si>
    <t>f9ee0ca8-3217-4472-a76c-e20e9467aa4a</t>
  </si>
  <si>
    <t>2019-09-17T11:05:46</t>
  </si>
  <si>
    <t>2019-10-23T13:08:38.247+05:30</t>
  </si>
  <si>
    <t>22.5517324 88.399115 -44.70000076293945 5.0</t>
  </si>
  <si>
    <t>2019-10-23T10:12:00.000+05:30</t>
  </si>
  <si>
    <t>vntmPzUZE9dnWTCy2cMMgv</t>
  </si>
  <si>
    <t>3c27af76-c22b-4526-bf04-526432c1defc</t>
  </si>
  <si>
    <t>2019-10-23T07:39:08</t>
  </si>
  <si>
    <t>2019-10-23T13:08:52.243+05:30</t>
  </si>
  <si>
    <t>22.5516146 88.399194 -23.600000381469727 5.0</t>
  </si>
  <si>
    <t>2019-10-23T10:21:00.000+05:30</t>
  </si>
  <si>
    <t>35120d0b-3b1e-4072-ab39-44d50449784a</t>
  </si>
  <si>
    <t>2019-10-23T07:39:12</t>
  </si>
  <si>
    <t>2019-10-23T13:08:57.969+05:30</t>
  </si>
  <si>
    <t>22.5516396 88.3991781 -50.400001525878906 5.0</t>
  </si>
  <si>
    <t>2019-10-23T10:26:00.000+05:30</t>
  </si>
  <si>
    <t>92014982-89a2-4f1d-8d68-dd31d661092c</t>
  </si>
  <si>
    <t>2019-10-23T07:39:16</t>
  </si>
  <si>
    <t>2019-10-23T13:08:45.501+05:30</t>
  </si>
  <si>
    <t>22.5516375 88.3993372 -51.599998474121094 5.0</t>
  </si>
  <si>
    <t>2019-10-23T10:34:00.000+05:30</t>
  </si>
  <si>
    <t>8d9d1492-53bc-424f-b13a-c5eb52949929</t>
  </si>
  <si>
    <t>2019-10-23T07:39:19</t>
  </si>
  <si>
    <t>2019-10-23T13:09:03.977+05:30</t>
  </si>
  <si>
    <t>22.5516479 88.3992463 -20.200000762939453 5.0</t>
  </si>
  <si>
    <t>2019-10-23T10:40:00.000+05:30</t>
  </si>
  <si>
    <t>cb9e51d2-1f15-4925-9d36-53c9a9567d63</t>
  </si>
  <si>
    <t>2019-10-23T07:39:22</t>
  </si>
  <si>
    <t>2019-10-23T13:08:27.169+05:30</t>
  </si>
  <si>
    <t>22.5516498 88.3992834 -57.5 5.0</t>
  </si>
  <si>
    <t>2019-10-23T10:46:00.000+05:30</t>
  </si>
  <si>
    <t>1dea7ac0-a526-49ba-9aef-a1028615eb9e</t>
  </si>
  <si>
    <t>2019-10-23T07:39:25</t>
  </si>
  <si>
    <t>2019-11-01T15:24:39.561+05:30</t>
  </si>
  <si>
    <t>22.55356 88.3987232 -38.0 5.0</t>
  </si>
  <si>
    <t>2019-11-01T12:35:00.000+05:30</t>
  </si>
  <si>
    <t>226d9bf6-d555-44bf-b5d0-e7d16ac8928d</t>
  </si>
  <si>
    <t>2019-11-01T09:55:25</t>
  </si>
  <si>
    <t>2019-11-01T15:25:07.468+05:30</t>
  </si>
  <si>
    <t>22.5534872 88.3987469 -71.5999984741211 5.0</t>
  </si>
  <si>
    <t>2019-11-01T12:46:00.000+05:30</t>
  </si>
  <si>
    <t>Window</t>
  </si>
  <si>
    <t>79c09f9d-c1f6-410b-bdf6-84100b3106c9</t>
  </si>
  <si>
    <t>2019-11-01T09:55:27</t>
  </si>
  <si>
    <t>2019-11-01T15:25:20.377+05:30</t>
  </si>
  <si>
    <t>22.553548 88.3986156 -33.400001525878906 5.0</t>
  </si>
  <si>
    <t>2019-11-01T13:02:00.000+05:30</t>
  </si>
  <si>
    <t>Sample collected by Buddhadeb Samaddar, FB at CO site</t>
  </si>
  <si>
    <t>b32b31ec-caa9-4fd1-b058-db0b248fd518</t>
  </si>
  <si>
    <t>2019-11-01T09:55:29</t>
  </si>
  <si>
    <t>NCEC96</t>
  </si>
  <si>
    <t>2019-11-06T14:05:31.765+05:30</t>
  </si>
  <si>
    <t>UPNC92</t>
  </si>
  <si>
    <t>22.5522777 88.399039 -53.70000076293945 5.0</t>
  </si>
  <si>
    <t>2019-11-06T11:04:00.000+05:30</t>
  </si>
  <si>
    <t>PLc1199</t>
  </si>
  <si>
    <t>FB1344</t>
  </si>
  <si>
    <t>Stored Drinking Water, Sample collected by Buddhadeb Samaddar</t>
  </si>
  <si>
    <t>54afd552-cc6c-4088-9685-92556924de7e</t>
  </si>
  <si>
    <t>2019-11-06T08:35:42</t>
  </si>
  <si>
    <t>2019-11-06T14:05:36.718+05:30</t>
  </si>
  <si>
    <t>22.5523613 88.3991034 -50.79999923706055 5.0</t>
  </si>
  <si>
    <t>2019-11-06T11:13:00.000+05:30</t>
  </si>
  <si>
    <t>FB1344UP</t>
  </si>
  <si>
    <t>PLc1200</t>
  </si>
  <si>
    <t>1944d934-5ebc-4d73-8acd-87259b256023</t>
  </si>
  <si>
    <t>2019-11-06T08:35:44</t>
  </si>
  <si>
    <t>2019-11-06T14:05:21.410+05:30</t>
  </si>
  <si>
    <t>22.5522651 88.3991336 -41.79999923706055 5.0</t>
  </si>
  <si>
    <t>2019-11-06T11:17:00.000+05:30</t>
  </si>
  <si>
    <t>FB1345</t>
  </si>
  <si>
    <t>FB1345UP</t>
  </si>
  <si>
    <t>c0d72e34-1654-4c71-bb7e-c48973763f9f</t>
  </si>
  <si>
    <t>2019-11-06T08:35:46</t>
  </si>
  <si>
    <t>2019-11-06T14:05:26.296+05:30</t>
  </si>
  <si>
    <t>22.5522383 88.399144 -61.70000076293945 5.0</t>
  </si>
  <si>
    <t>2019-11-06T11:21:00.000+05:30</t>
  </si>
  <si>
    <t>PLc1201</t>
  </si>
  <si>
    <t>19983bec-e29d-4179-a0fa-adffa9cd6b09</t>
  </si>
  <si>
    <t>2019-11-06T08:35:48</t>
  </si>
  <si>
    <t>2019-11-06T14:05:15.819+05:30</t>
  </si>
  <si>
    <t>22.5521867 88.3990944 -56.70000076293945 5.0</t>
  </si>
  <si>
    <t>FB1346</t>
  </si>
  <si>
    <t>2019-11-06T11:27:00.000+05:30</t>
  </si>
  <si>
    <t>FB1346UP</t>
  </si>
  <si>
    <t>324fa2ca-4d1b-445f-8ed1-7fb99418e5e8</t>
  </si>
  <si>
    <t>2019-11-06T08:35:49</t>
  </si>
  <si>
    <t>2019-11-06T14:05:02.489+05:30</t>
  </si>
  <si>
    <t>22.5522512 88.3990577 -59.79999923706055 5.0</t>
  </si>
  <si>
    <t>2019-11-06T11:34:00.000+05:30</t>
  </si>
  <si>
    <t>PLc1202</t>
  </si>
  <si>
    <t>Sample collected by Somnath Sarkar, FB at SO Food Prep site HH ID 1064</t>
  </si>
  <si>
    <t>13239eca-74de-49fe-9d2c-f1ad8d8710ee</t>
  </si>
  <si>
    <t>2019-11-06T08:35:51</t>
  </si>
  <si>
    <t>2019-11-11T15:24:37.264+05:30</t>
  </si>
  <si>
    <t>22.5521096 88.3996874 -52.20000076293945 5.0</t>
  </si>
  <si>
    <t>2019-11-08T10:46:00.000+05:30</t>
  </si>
  <si>
    <t>FB1347</t>
  </si>
  <si>
    <t>fdcbc62d-2f93-4b56-9e58-0ab1737a26e7</t>
  </si>
  <si>
    <t>2019-11-11T09:54:48</t>
  </si>
  <si>
    <t>2019-11-11T15:24:42.561+05:30</t>
  </si>
  <si>
    <t>22.5521003 88.3997142 -46.599998474121094 5.0</t>
  </si>
  <si>
    <t>FB1347UP</t>
  </si>
  <si>
    <t>2019-11-08T10:51:00.000+05:30</t>
  </si>
  <si>
    <t>Bed cover</t>
  </si>
  <si>
    <t>PLc1203</t>
  </si>
  <si>
    <t>ede2d969-e19b-4a26-8268-ad8dffb19d1b</t>
  </si>
  <si>
    <t>2019-11-11T09:54:52</t>
  </si>
  <si>
    <t>2019-11-11T15:24:47.602+05:30</t>
  </si>
  <si>
    <t>22.552073 88.399703 -36.900001525878906 5.0</t>
  </si>
  <si>
    <t>2019-11-08T10:58:00.000+05:30</t>
  </si>
  <si>
    <t>FB1348</t>
  </si>
  <si>
    <t>Sample collected by Somnath Sarkar,HH ID 1046</t>
  </si>
  <si>
    <t>ac02df9c-0c7b-4a92-9b03-6b4af6ed6ff9</t>
  </si>
  <si>
    <t>2019-11-11T09:54:56</t>
  </si>
  <si>
    <t>2019-11-15T17:14:49.598+05:30</t>
  </si>
  <si>
    <t>FB1348UP</t>
  </si>
  <si>
    <t>22.5515061 88.3996342 3.200000047683716 5.0</t>
  </si>
  <si>
    <t>2019-11-15T10:31:00.000+05:30</t>
  </si>
  <si>
    <t>NCEC97</t>
  </si>
  <si>
    <t>09cf1db7-2936-4b17-8a62-9bdf4d740e91</t>
  </si>
  <si>
    <t>2019-11-15T11:45:43</t>
  </si>
  <si>
    <t>2019-11-15T10:34:15.026+05:30</t>
  </si>
  <si>
    <t>2019-11-15T17:14:39.215+05:30</t>
  </si>
  <si>
    <t>22.5516738 88.3996363 -37.20000076293945 5.0</t>
  </si>
  <si>
    <t>2019-11-15T10:37:00.000+05:30</t>
  </si>
  <si>
    <t>UPNC93</t>
  </si>
  <si>
    <t>37f2d7a1-cc59-431e-9018-23fc73b7abe5</t>
  </si>
  <si>
    <t>2019-11-15T11:45:45</t>
  </si>
  <si>
    <t>2019-11-15T10:45:20.998+05:30</t>
  </si>
  <si>
    <t>2019-11-15T17:14:54.726+05:30</t>
  </si>
  <si>
    <t>22.5517135 88.3996701 -48.099998474121094 5.0</t>
  </si>
  <si>
    <t>EC49</t>
  </si>
  <si>
    <t>2019-11-15T10:46:00.000+05:30</t>
  </si>
  <si>
    <t>EC50</t>
  </si>
  <si>
    <t>9f901036-69be-4320-9271-56a00d6eea78</t>
  </si>
  <si>
    <t>2019-11-15T11:45:50</t>
  </si>
  <si>
    <t>2019-11-15T10:49:30.666+05:30</t>
  </si>
  <si>
    <t>2019-11-15T17:14:34.323+05:30</t>
  </si>
  <si>
    <t>22.5517916 88.3996426 -39.400001525878906 5.0</t>
  </si>
  <si>
    <t>MO1181</t>
  </si>
  <si>
    <t>2019-11-15T10:50:00.000+05:30</t>
  </si>
  <si>
    <t>FB1351</t>
  </si>
  <si>
    <t>d64a8bc4-c6f3-40b9-9185-7fdad8e0f8de</t>
  </si>
  <si>
    <t>2019-11-15T11:45:52</t>
  </si>
  <si>
    <t>2019-11-15T10:53:04.968+05:30</t>
  </si>
  <si>
    <t>2019-11-15T17:14:44.843+05:30</t>
  </si>
  <si>
    <t>22.5517654 88.3996069 -62.599998474121094 5.0</t>
  </si>
  <si>
    <t>2019-11-15T10:53:00.000+05:30</t>
  </si>
  <si>
    <t>FB1351UP</t>
  </si>
  <si>
    <t>126683c5-b1dd-4fc5-b4e7-ee6b9259e131</t>
  </si>
  <si>
    <t>2019-11-15T11:45:54</t>
  </si>
  <si>
    <t>2019-11-15T10:57:07.114+05:30</t>
  </si>
  <si>
    <t>2019-11-15T17:14:29.146+05:30</t>
  </si>
  <si>
    <t>22.5517085 88.3996718 -43.79999923706055 5.0</t>
  </si>
  <si>
    <t>2019-11-15T10:57:00.000+05:30</t>
  </si>
  <si>
    <t>MO1182</t>
  </si>
  <si>
    <t>FB1352</t>
  </si>
  <si>
    <t>5357bc2f-1a7b-4eef-8a23-c576e30ef373</t>
  </si>
  <si>
    <t>2019-11-15T11:45:57</t>
  </si>
  <si>
    <t>2019-11-20T17:01:22.554+05:30</t>
  </si>
  <si>
    <t>22.5516295 88.3997269 -26.200000762939453 5.0</t>
  </si>
  <si>
    <t>2019-11-20T11:09:00.000+05:30</t>
  </si>
  <si>
    <t>FB1352UP</t>
  </si>
  <si>
    <t>2e256200-864f-4175-bce5-c60bece7746a</t>
  </si>
  <si>
    <t>2019-11-20T11:31:37</t>
  </si>
  <si>
    <t>2019-11-20T17:01:27.438+05:30</t>
  </si>
  <si>
    <t>22.5516267 88.3997337 -51.599998474121094 4.5</t>
  </si>
  <si>
    <t>2019-11-20T11:25:00.000+05:30</t>
  </si>
  <si>
    <t>MO1183</t>
  </si>
  <si>
    <t>Sitting board</t>
  </si>
  <si>
    <t>Cloth</t>
  </si>
  <si>
    <t>22a82de7-3309-406b-aaac-7e95180abaf0</t>
  </si>
  <si>
    <t>2019-11-20T11:31:41</t>
  </si>
  <si>
    <t>2019-11-20T17:01:31.980+05:30</t>
  </si>
  <si>
    <t>22.5515943 88.3997178 -55.900001525878906 5.0</t>
  </si>
  <si>
    <t>2019-11-20T11:32:00.000+05:30</t>
  </si>
  <si>
    <t>FB1353</t>
  </si>
  <si>
    <t>Sample collected by Somnath Sarkar, HH id 1098</t>
  </si>
  <si>
    <t>fa7deda5-7a65-47fd-8595-df8b757b264d</t>
  </si>
  <si>
    <t>2019-11-20T11:31:44</t>
  </si>
  <si>
    <t>2019-11-28T17:16:32.606+05:30</t>
  </si>
  <si>
    <t>22.5529303 88.3988971 -62.099998474121094 5.0</t>
  </si>
  <si>
    <t>FB1353UP</t>
  </si>
  <si>
    <t>2019-11-27T11:00:00.000+05:30</t>
  </si>
  <si>
    <t>MO1184</t>
  </si>
  <si>
    <t>f4e934f0-d345-4ec4-984a-3703a99a709a</t>
  </si>
  <si>
    <t>2019-11-28T11:46:52</t>
  </si>
  <si>
    <t>2019-11-27T11:03:14.491+05:30</t>
  </si>
  <si>
    <t>2019-11-28T17:16:22.678+05:30</t>
  </si>
  <si>
    <t>22.5529278 88.3988194 -63.0 5.0</t>
  </si>
  <si>
    <t>2019-11-27T11:03:00.000+05:30</t>
  </si>
  <si>
    <t>FB1354</t>
  </si>
  <si>
    <t>81bbcc52-7b69-4ba0-b94d-da585ead48f1</t>
  </si>
  <si>
    <t>2019-11-28T11:46:55</t>
  </si>
  <si>
    <t>2019-11-27T11:07:11.366+05:30</t>
  </si>
  <si>
    <t>2019-11-28T17:16:37.380+05:30</t>
  </si>
  <si>
    <t>22.5528693 88.3988208 -74.80000305175781 5.0</t>
  </si>
  <si>
    <t>2019-11-27T11:08:00.000+05:30</t>
  </si>
  <si>
    <t>FB1354UP</t>
  </si>
  <si>
    <t>5c29e917-89ef-4086-aee2-60bd6ea6c683</t>
  </si>
  <si>
    <t>2019-11-28T11:46:58</t>
  </si>
  <si>
    <t>2019-11-27T11:10:24.357+05:30</t>
  </si>
  <si>
    <t>2019-11-28T17:16:17.641+05:30</t>
  </si>
  <si>
    <t>22.5529145 88.3988056 -60.0 5.0</t>
  </si>
  <si>
    <t>2019-11-27T11:12:00.000+05:30</t>
  </si>
  <si>
    <t>ddd1afdd-fe07-4498-b2c4-60d86d961299</t>
  </si>
  <si>
    <t>2019-11-28T11:47:02</t>
  </si>
  <si>
    <t>2019-11-27T11:15:47.911+05:30</t>
  </si>
  <si>
    <t>2019-11-28T17:16:27.704+05:30</t>
  </si>
  <si>
    <t>22.5528677 88.3988329 -48.29999923706055 5.0</t>
  </si>
  <si>
    <t>2019-11-27T11:16:00.000+05:30</t>
  </si>
  <si>
    <t>8e35926d-b22b-4227-91bd-89ae25222837</t>
  </si>
  <si>
    <t>2019-11-28T11:47:05</t>
  </si>
  <si>
    <t>2019-11-27T11:26:03.988+05:30</t>
  </si>
  <si>
    <t>2019-11-28T17:16:11.499+05:30</t>
  </si>
  <si>
    <t>22.5529219 88.398816 -60.0 5.0</t>
  </si>
  <si>
    <t>2019-11-27T11:26:00.000+05:30</t>
  </si>
  <si>
    <t>abcf0432-9909-4b1d-9df7-1ea81261c3dd</t>
  </si>
  <si>
    <t>2019-11-28T11:47:09</t>
  </si>
  <si>
    <t>2020-01-15T17:03:38.765+05:30</t>
  </si>
  <si>
    <t>22.551699 88.3961732 -44.5 5.0</t>
  </si>
  <si>
    <t>2020-01-15T11:13:00.000+05:30</t>
  </si>
  <si>
    <t>UF1023</t>
  </si>
  <si>
    <t>9dd1d46b-c734-439c-86e6-73971c426dfb</t>
  </si>
  <si>
    <t>2020-01-15T11:34:12</t>
  </si>
  <si>
    <t>2020-01-15T17:03:49.166+05:30</t>
  </si>
  <si>
    <t>22.5517365 88.3961228 -60.0 5.0</t>
  </si>
  <si>
    <t>NCEC98</t>
  </si>
  <si>
    <t>2020-01-15T11:19:00.000+05:30</t>
  </si>
  <si>
    <t>Bed Linen</t>
  </si>
  <si>
    <t>Mould/Solid Plastic</t>
  </si>
  <si>
    <t>Walker Toy</t>
  </si>
  <si>
    <t>UPNC94</t>
  </si>
  <si>
    <t>Hard Plastic</t>
  </si>
  <si>
    <t>8232bbb8-10cf-49dc-b89a-613ed53963ec</t>
  </si>
  <si>
    <t>2020-01-15T11:34:16</t>
  </si>
  <si>
    <t>2020-01-15T17:03:58.894+05:30</t>
  </si>
  <si>
    <t>22.5517086 88.3961435 -67.69999694824219 4.5</t>
  </si>
  <si>
    <t>2020-01-15T11:28:00.000+05:30</t>
  </si>
  <si>
    <t>MO1185</t>
  </si>
  <si>
    <t>Sample collected by Somnath Sarkar, FB at SO Child HH Id 2011 site</t>
  </si>
  <si>
    <t>6c923714-b34f-464d-b51c-c6512c91dd94</t>
  </si>
  <si>
    <t>2020-01-15T11:34:20</t>
  </si>
  <si>
    <t>2020-01-15T17:03:43.597+05:30</t>
  </si>
  <si>
    <t>22.5503254 88.3967612 -68.30000305175781 5.0</t>
  </si>
  <si>
    <t>2020-01-15T11:39:00.000+05:30</t>
  </si>
  <si>
    <t>FB1357</t>
  </si>
  <si>
    <t>4911c504-4e6c-4ade-97f4-41d2d8d23a8b</t>
  </si>
  <si>
    <t>2020-01-15T11:34:23</t>
  </si>
  <si>
    <t>2020-01-15T17:03:54.053+05:30</t>
  </si>
  <si>
    <t>22.5503105 88.3968655 -33.599998474121094 5.0</t>
  </si>
  <si>
    <t>2020-01-15T11:46:00.000+05:30</t>
  </si>
  <si>
    <t>FB1357UP</t>
  </si>
  <si>
    <t>Wood &amp; Leather Sheet</t>
  </si>
  <si>
    <t>Small Seat</t>
  </si>
  <si>
    <t>Box</t>
  </si>
  <si>
    <t>de8c4431-172b-4480-a833-c6d853c9089e</t>
  </si>
  <si>
    <t>2020-01-15T11:34:27</t>
  </si>
  <si>
    <t>2020-01-15T17:04:03.842+05:30</t>
  </si>
  <si>
    <t>22.550228 88.396725 -7.900000095367432 5.0</t>
  </si>
  <si>
    <t>MO1186</t>
  </si>
  <si>
    <t>2020-01-15T11:57:00.000+05:30</t>
  </si>
  <si>
    <t>FB1358</t>
  </si>
  <si>
    <t>Sample collected by Buddhadeb Samaddar, FB at SO Child HH Id 2099 site</t>
  </si>
  <si>
    <t>c8affdf9-2d5c-43e8-b51f-3596efd11e18</t>
  </si>
  <si>
    <t>2020-01-15T11:34:31</t>
  </si>
  <si>
    <t>2020-01-22T17:08:36.813+05:30</t>
  </si>
  <si>
    <t>22.5516195 88.3960772 -53.29999923706055 5.0</t>
  </si>
  <si>
    <t>2020-01-22T11:16:00.000+05:30</t>
  </si>
  <si>
    <t>FB1358UP</t>
  </si>
  <si>
    <t>e83efe05-0342-40d9-8ed7-a2d42b9fca44</t>
  </si>
  <si>
    <t>2020-01-22T11:38:44</t>
  </si>
  <si>
    <t>2020-01-22T17:08:26.675+05:30</t>
  </si>
  <si>
    <t>22.5517137 88.3960723 -31.700000762939453 5.0</t>
  </si>
  <si>
    <t>2020-01-22T11:27:00.000+05:30</t>
  </si>
  <si>
    <t>MO1187</t>
  </si>
  <si>
    <t>f18682c4-0125-470b-b387-7633adebeb87</t>
  </si>
  <si>
    <t>2020-01-22T11:38:49</t>
  </si>
  <si>
    <t>FB1359</t>
  </si>
  <si>
    <t>2020-01-22T17:08:41.435+05:30</t>
  </si>
  <si>
    <t>22.5517183 88.3960433 -15.899999618530273 5.0</t>
  </si>
  <si>
    <t>2020-01-22T11:33:00.000+05:30</t>
  </si>
  <si>
    <t>4 88</t>
  </si>
  <si>
    <t>Lentil Stirrer (wood)</t>
  </si>
  <si>
    <t>FB1359UP</t>
  </si>
  <si>
    <t>a5089fdb-61a6-470a-bb18-eb1a1e0dbb2e</t>
  </si>
  <si>
    <t>2020-01-22T11:38:52</t>
  </si>
  <si>
    <t>2020-01-22T17:08:21.514+05:30</t>
  </si>
  <si>
    <t>22.5516938 88.3960262 -30.100000381469727 5.0</t>
  </si>
  <si>
    <t>2020-01-22T11:41:00.000+05:30</t>
  </si>
  <si>
    <t>PL1026</t>
  </si>
  <si>
    <t>FB1355</t>
  </si>
  <si>
    <t>bc4d2ffc-231d-4342-9ba1-b68cda64e316</t>
  </si>
  <si>
    <t>2020-01-22T11:38:56</t>
  </si>
  <si>
    <t>2020-01-22T17:08:31.702+05:30</t>
  </si>
  <si>
    <t>22.5516019 88.396004 -60.79999923706055 5.0</t>
  </si>
  <si>
    <t>2020-01-22T11:43:00.000+05:30</t>
  </si>
  <si>
    <t>FB1355UP</t>
  </si>
  <si>
    <t>PL1027</t>
  </si>
  <si>
    <t>698cdb5e-b2d9-4c24-8e0a-016e5f6ac0ae</t>
  </si>
  <si>
    <t>2020-01-22T11:39:00</t>
  </si>
  <si>
    <t>2020-01-22T17:08:16.310+05:30</t>
  </si>
  <si>
    <t>22.5517188 88.3959997 -42.0 4.5</t>
  </si>
  <si>
    <t>2020-01-22T11:52:00.000+05:30</t>
  </si>
  <si>
    <t>FB1356</t>
  </si>
  <si>
    <t>cc36802a-b964-424c-8e92-1a275f383695</t>
  </si>
  <si>
    <t>2020-01-22T11:39:03</t>
  </si>
  <si>
    <t>2020-02-05T14:52:23.498+05:30</t>
  </si>
  <si>
    <t>22.5511202 88.3963921 -84.0 5.0</t>
  </si>
  <si>
    <t>2020-02-05T10:45:00.000+05:30</t>
  </si>
  <si>
    <t>FB1356UP</t>
  </si>
  <si>
    <t>9386a515-c6c0-44b5-8e16-a478b5fe38c1</t>
  </si>
  <si>
    <t>2020-02-05T09:23:02</t>
  </si>
  <si>
    <t>2020-02-05T14:52:34.332+05:30</t>
  </si>
  <si>
    <t>UF1024</t>
  </si>
  <si>
    <t>22.5510921 88.3964997 -66.4000015258789 5.0</t>
  </si>
  <si>
    <t>2020-02-05T10:51:00.000+05:30</t>
  </si>
  <si>
    <t>Solid Plastic</t>
  </si>
  <si>
    <t>Toy</t>
  </si>
  <si>
    <t>UPNC95</t>
  </si>
  <si>
    <t>eb404ede-9e4e-41c7-911c-27034c6cae1e</t>
  </si>
  <si>
    <t>2020-02-05T09:23:06</t>
  </si>
  <si>
    <t>2020-02-05T14:52:51.699+05:30</t>
  </si>
  <si>
    <t>22.5510855 88.3965546 -57.20000076293945 5.0</t>
  </si>
  <si>
    <t>2020-02-05T11:07:00.000+05:30</t>
  </si>
  <si>
    <t>NCEC99</t>
  </si>
  <si>
    <t>e3c96ad2-d1ed-4cce-89f3-f60c282b3917</t>
  </si>
  <si>
    <t>2020-02-05T09:23:10</t>
  </si>
  <si>
    <t>2020-02-05T14:52:29.679+05:30</t>
  </si>
  <si>
    <t>22.5509691 88.3971344 -61.099998474121094 5.0</t>
  </si>
  <si>
    <t>2020-02-05T11:19:00.000+05:30</t>
  </si>
  <si>
    <t>MO1189</t>
  </si>
  <si>
    <t>db61348c-ebb1-4f07-a329-87d2ab6ea625</t>
  </si>
  <si>
    <t>2020-02-05T09:23:14</t>
  </si>
  <si>
    <t>2020-02-05T14:52:40.193+05:30</t>
  </si>
  <si>
    <t>22.5509933 88.3971988 -26.5 5.0</t>
  </si>
  <si>
    <t>FB1360</t>
  </si>
  <si>
    <t>2020-02-05T11:26:00.000+05:30</t>
  </si>
  <si>
    <t>Small sitting stool</t>
  </si>
  <si>
    <t>cbe0df29-a41e-4d36-aae6-2810468c9af4</t>
  </si>
  <si>
    <t>2020-02-05T09:23:18</t>
  </si>
  <si>
    <t>2020-02-05T14:52:56.053+05:30</t>
  </si>
  <si>
    <t>22.5508536 88.3970876 -52.5 5.0</t>
  </si>
  <si>
    <t>FB1360UP</t>
  </si>
  <si>
    <t>2020-02-05T11:35:00.000+05:30</t>
  </si>
  <si>
    <t>MO1188</t>
  </si>
  <si>
    <t>bf54e679-046b-4eb5-bef6-cd510739c20b</t>
  </si>
  <si>
    <t>2020-02-05T09:23:21</t>
  </si>
  <si>
    <t>2020-02-06T14:06:23.811+05:30</t>
  </si>
  <si>
    <t>22.5517987 88.3965664 -37.5 4.5</t>
  </si>
  <si>
    <t>2020-02-06T10:58:00.000+05:30</t>
  </si>
  <si>
    <t>FB1361</t>
  </si>
  <si>
    <t>e34a0a28-b0e4-4020-b738-fecea78828da</t>
  </si>
  <si>
    <t>2020-02-06T08:37:02</t>
  </si>
  <si>
    <t>2020-02-06T14:06:33.193+05:30</t>
  </si>
  <si>
    <t>22.5517952 88.3966089 -34.5 4.5</t>
  </si>
  <si>
    <t>2020-02-06T11:05:00.000+05:30</t>
  </si>
  <si>
    <t>Wooden Storage Box</t>
  </si>
  <si>
    <t>Stool (Lower Height)</t>
  </si>
  <si>
    <t>FB1361UP</t>
  </si>
  <si>
    <t>f1c9e7fd-b2aa-4500-a8b3-687ec306b78f</t>
  </si>
  <si>
    <t>2020-02-06T08:37:06</t>
  </si>
  <si>
    <t>2020-02-06T14:06:43.615+05:30</t>
  </si>
  <si>
    <t>22.5517638 88.3965492 -49.099998474121094 4.5</t>
  </si>
  <si>
    <t>2020-02-06T11:14:00.000+05:30</t>
  </si>
  <si>
    <t>MO1190</t>
  </si>
  <si>
    <t>Sample collected by Suvankar Mandal, FB at SO HH ID 2006</t>
  </si>
  <si>
    <t>ab3afbc4-8bc6-4e62-b319-b14946519906</t>
  </si>
  <si>
    <t>2020-02-06T08:37:10</t>
  </si>
  <si>
    <t>2020-02-06T14:06:28.236+05:30</t>
  </si>
  <si>
    <t>22.551764 88.3962386 -43.29999923706055 5.0</t>
  </si>
  <si>
    <t>2020-02-06T11:21:00.000+05:30</t>
  </si>
  <si>
    <t>FB1362</t>
  </si>
  <si>
    <t>f2f8113b-8e42-40d9-aa2d-6dc0bf8c15b5</t>
  </si>
  <si>
    <t>2020-02-06T08:37:14</t>
  </si>
  <si>
    <t>2020-02-06T14:06:39.255+05:30</t>
  </si>
  <si>
    <t>22.5517507 88.396297 -46.5 5.0</t>
  </si>
  <si>
    <t>FB1362UP</t>
  </si>
  <si>
    <t>2020-02-06T11:28:00.000+05:30</t>
  </si>
  <si>
    <t>Mat</t>
  </si>
  <si>
    <t>16b96aa2-4813-4a35-b6c8-571927dc3d3f</t>
  </si>
  <si>
    <t>MO1191</t>
  </si>
  <si>
    <t>2020-02-06T08:37:18</t>
  </si>
  <si>
    <t>2020-02-06T14:06:48.439+05:30</t>
  </si>
  <si>
    <t>22.5517309 88.3962713 -43.400001525878906 5.0</t>
  </si>
  <si>
    <t>2020-02-06T11:40:00.000+05:30</t>
  </si>
  <si>
    <t>FB1363</t>
  </si>
  <si>
    <t>Sample collected by Somnath Sarkar, FB at SO HH ID 2010</t>
  </si>
  <si>
    <t>549dd059-e752-40e9-a97f-5b126c1e511d</t>
  </si>
  <si>
    <t>2020-02-06T08:37:22</t>
  </si>
  <si>
    <t>2020-02-14T15:19:44.052+05:30</t>
  </si>
  <si>
    <t>22.5504941 88.3965771 -54.20000076293945 4.5</t>
  </si>
  <si>
    <t>2020-02-13T11:28:00.000+05:30</t>
  </si>
  <si>
    <t>FB1363UP</t>
  </si>
  <si>
    <t>7996066b-704d-4852-9acf-59e87f1f511e</t>
  </si>
  <si>
    <t>2020-02-14T09:51:21</t>
  </si>
  <si>
    <t>2020-02-14T15:19:50.466+05:30</t>
  </si>
  <si>
    <t>MO1192</t>
  </si>
  <si>
    <t>22.5504594 88.3965635 -58.29999923706055 5.0</t>
  </si>
  <si>
    <t>2020-02-13T11:35:00.000+05:30</t>
  </si>
  <si>
    <t>FB1364</t>
  </si>
  <si>
    <t>Sample collected by Buddhadeb, FB at HH ID 2074 SO Child</t>
  </si>
  <si>
    <t>22cede6d-4afc-480a-acd9-994e22e7fb7f</t>
  </si>
  <si>
    <t>2020-02-14T09:51:25</t>
  </si>
  <si>
    <t>2020-02-14T15:20:10.414+05:30</t>
  </si>
  <si>
    <t>22.5488068 88.3981321 -45.400001525878906 5.0</t>
  </si>
  <si>
    <t>2020-02-13T11:49:00.000+05:30</t>
  </si>
  <si>
    <t>FB1364UP</t>
  </si>
  <si>
    <t>PLc1204</t>
  </si>
  <si>
    <t>3303e899-d0bc-42d0-943c-177ba050e59f</t>
  </si>
  <si>
    <t>2020-02-14T09:51:29</t>
  </si>
  <si>
    <t>2020-02-14T15:20:43.291+05:30</t>
  </si>
  <si>
    <t>22.5489135 88.3981346 -40.0 5.0</t>
  </si>
  <si>
    <t>2020-02-13T11:53:00.000+05:30</t>
  </si>
  <si>
    <t>FB1366</t>
  </si>
  <si>
    <t>a13941c2-62d0-4a80-8c1e-c1b2cc78da4f</t>
  </si>
  <si>
    <t>2020-02-14T09:51:32</t>
  </si>
  <si>
    <t>2020-02-14T15:20:25.357+05:30</t>
  </si>
  <si>
    <t>22.5487971 88.3980988 -41.70000076293945 5.0</t>
  </si>
  <si>
    <t>2020-02-13T11:58:00.000+05:30</t>
  </si>
  <si>
    <t>FB1366UP</t>
  </si>
  <si>
    <t>fae09c56-54b1-4ee1-b2ae-1555f802b32d</t>
  </si>
  <si>
    <t>2020-02-14T09:51:36</t>
  </si>
  <si>
    <t>2020-02-14T15:20:55.182+05:30</t>
  </si>
  <si>
    <t>22.54886 88.3981021 -48.0 5.0</t>
  </si>
  <si>
    <t>2020-02-13T12:00:00.000+05:30</t>
  </si>
  <si>
    <t>PLc1205</t>
  </si>
  <si>
    <t>c66ebfe9-9118-458c-9d7e-7decb4ad5d88</t>
  </si>
  <si>
    <t>2020-02-14T09:51:39</t>
  </si>
  <si>
    <t>2020-02-14T15:21:08.964+05:30</t>
  </si>
  <si>
    <t>22.5487949 88.3981153 -36.79999923706055 5.0</t>
  </si>
  <si>
    <t>2020-02-13T12:05:00.000+05:30</t>
  </si>
  <si>
    <t>FB1367</t>
  </si>
  <si>
    <t>3ed2edd5-6808-42ee-b3b8-12ca72539bb5</t>
  </si>
  <si>
    <t>2020-02-14T09:51:43</t>
  </si>
  <si>
    <t>2020-02-14T15:19:58.010+05:30</t>
  </si>
  <si>
    <t>22.5488995 88.3981576 -46.20000076293945 5.0</t>
  </si>
  <si>
    <t>2020-02-13T12:13:00.000+05:30</t>
  </si>
  <si>
    <t>FB1367UP</t>
  </si>
  <si>
    <t>Sample collected by Buddhadeb, FB at HH ID 2088 Food Prep site</t>
  </si>
  <si>
    <t>74429a09-bfa5-4fd0-9e34-1129d2b098b7</t>
  </si>
  <si>
    <t>2020-02-14T09:51:47</t>
  </si>
  <si>
    <t>2020-02-14T15:20:18.722+05:30</t>
  </si>
  <si>
    <t>22.5509846 88.3967661 -52.400001525878906 5.0</t>
  </si>
  <si>
    <t>2020-02-13T12:35:00.000+05:30</t>
  </si>
  <si>
    <t>PLc1206</t>
  </si>
  <si>
    <t>079f93d1-d2e1-4d13-966c-260027ab628e</t>
  </si>
  <si>
    <t>2020-02-14T09:51:50</t>
  </si>
  <si>
    <t>2020-02-14T15:20:49.166+05:30</t>
  </si>
  <si>
    <t>22.550949 88.3966657 -47.099998474121094 5.0</t>
  </si>
  <si>
    <t>2020-02-13T12:39:00.000+05:30</t>
  </si>
  <si>
    <t>FB1368</t>
  </si>
  <si>
    <t>c10d3503-52d6-4553-875a-2bb534f28d69</t>
  </si>
  <si>
    <t>2020-02-14T09:51:54</t>
  </si>
  <si>
    <t>2020-02-14T15:21:01.858+05:30</t>
  </si>
  <si>
    <t>22.5509319 88.3967745 -52.900001525878906 4.5</t>
  </si>
  <si>
    <t>2020-02-13T12:43:00.000+05:30</t>
  </si>
  <si>
    <t>FB1368UP</t>
  </si>
  <si>
    <t>a67d5009-e1a5-462a-8057-1807c4e97bbb</t>
  </si>
  <si>
    <t>2020-02-14T09:51:59</t>
  </si>
  <si>
    <t>2020-02-14T15:20:34.001+05:30</t>
  </si>
  <si>
    <t>22.5509797 88.396646 -51.29999923706055 5.0</t>
  </si>
  <si>
    <t>2020-02-13T12:46:00.000+05:30</t>
  </si>
  <si>
    <t>8e2e4059-d8b2-47b7-8880-0d962bbf9127</t>
  </si>
  <si>
    <t>2020-02-14T09:52:03</t>
  </si>
  <si>
    <t>2020-02-14T15:21:15.634+05:30</t>
  </si>
  <si>
    <t>22.5509703 88.3966468 -51.70000076293945 5.0</t>
  </si>
  <si>
    <t>2020-02-13T12:49:00.000+05:30</t>
  </si>
  <si>
    <t>74869319-bacf-4aa4-a10f-6ea2bd0bf0ec</t>
  </si>
  <si>
    <t>2020-02-14T09:52:07</t>
  </si>
  <si>
    <t>2020-02-14T15:20:04.190+05:30</t>
  </si>
  <si>
    <t>22.5509593 88.396686 -62.29999923706055 5.0</t>
  </si>
  <si>
    <t>2020-02-13T13:02:00.000+05:30</t>
  </si>
  <si>
    <t>Sample collected by Buddhadeb, FB at HH ID 2072 Food Prep site</t>
  </si>
  <si>
    <t>6d2f5884-75d5-4b58-ba8c-a5bdf501a9b4</t>
  </si>
  <si>
    <t>2020-02-14T09:52:11</t>
  </si>
  <si>
    <t>2020-02-14T15:22:34.894+05:30</t>
  </si>
  <si>
    <t>22.5504404 88.3965627 -61.79999923706055 5.0</t>
  </si>
  <si>
    <t>2020-02-13T11:23:00.000+05:30</t>
  </si>
  <si>
    <t>5cc50625-20de-4c65-a304-8a6016a9f557</t>
  </si>
  <si>
    <t>2020-02-14T09:52:43</t>
  </si>
  <si>
    <t>2020-02-20T11:10:45.883+05:30</t>
  </si>
  <si>
    <t>2020-02-20T15:23:19.200+05:30</t>
  </si>
  <si>
    <t>22.5517692 88.3961316 -27.700000762939453 5.0</t>
  </si>
  <si>
    <t>FB1365</t>
  </si>
  <si>
    <t>27c9bc85-c5c4-472b-8c01-ac01ad84e462</t>
  </si>
  <si>
    <t>2020-02-20T09:54:14</t>
  </si>
  <si>
    <t>2020-02-20T11:17:52.835+05:30</t>
  </si>
  <si>
    <t>2020-02-20T15:23:27.871+05:30</t>
  </si>
  <si>
    <t>22.5518628 88.3961998 -54.79999923706055 5.0</t>
  </si>
  <si>
    <t>2020-02-20T11:21:00.000+05:30</t>
  </si>
  <si>
    <t>NCEC100</t>
  </si>
  <si>
    <t>1de249ef-daa8-4dd5-9d58-8aa6563e29aa</t>
  </si>
  <si>
    <t>2020-02-20T09:54:17</t>
  </si>
  <si>
    <t>2020-02-20T11:20:21.747+05:30</t>
  </si>
  <si>
    <t>2020-02-20T15:23:32.297+05:30</t>
  </si>
  <si>
    <t>22.5518327 88.3961716 -47.79999923706055 5.0</t>
  </si>
  <si>
    <t>2020-02-20T11:26:00.000+05:30</t>
  </si>
  <si>
    <t>UPNC96</t>
  </si>
  <si>
    <t>d2ec36b0-bae8-4778-aecf-3fe8143397d3</t>
  </si>
  <si>
    <t>2020-02-20T09:54:20</t>
  </si>
  <si>
    <t>2020-02-20T11:23:06.721+05:30</t>
  </si>
  <si>
    <t>2020-02-20T15:23:23.653+05:30</t>
  </si>
  <si>
    <t>22.5518603 88.3961433 -52.099998474121094 5.0</t>
  </si>
  <si>
    <t>2020-02-20T11:30:00.000+05:30</t>
  </si>
  <si>
    <t>PLc1207</t>
  </si>
  <si>
    <t>FB1369</t>
  </si>
  <si>
    <t>b7427cf0-0e05-44f3-af64-fba0c4c3ccaf</t>
  </si>
  <si>
    <t>2020-02-20T09:54:24</t>
  </si>
  <si>
    <t>2020-02-20T11:24:55.131+05:30</t>
  </si>
  <si>
    <t>2020-02-20T15:23:36.999+05:30</t>
  </si>
  <si>
    <t>22.5518223 88.3961537 -42.400001525878906 5.0</t>
  </si>
  <si>
    <t>2020-02-20T11:35:00.000+05:30</t>
  </si>
  <si>
    <t>FB1369UP</t>
  </si>
  <si>
    <t>774318db-f446-4c0c-a46d-ebf37d714cdc</t>
  </si>
  <si>
    <t>2020-02-20T09:54:28</t>
  </si>
  <si>
    <t>2020-02-20T11:36:26.844+05:30</t>
  </si>
  <si>
    <t>2020-02-20T15:23:14.200+05:30</t>
  </si>
  <si>
    <t>22.5518273 88.3961057 -54.29999923706055 5.0</t>
  </si>
  <si>
    <t>2020-02-20T11:40:00.000+05:30</t>
  </si>
  <si>
    <t>PLc1208</t>
  </si>
  <si>
    <t>c889fe30-39e9-4217-9027-fbf744eb82e1</t>
  </si>
  <si>
    <t>2020-02-20T09:54:31</t>
  </si>
  <si>
    <t>FB1370</t>
  </si>
  <si>
    <t>2020-02-27T17:12:34.940+05:30</t>
  </si>
  <si>
    <t>22.5511508 88.39654 -63.599998474121094 5.0</t>
  </si>
  <si>
    <t>2020-02-27T11:08:00.000+05:30</t>
  </si>
  <si>
    <t>FB1370UP</t>
  </si>
  <si>
    <t>f0d3a690-7eb2-4fa8-aaa1-f735a845b1e6</t>
  </si>
  <si>
    <t>2020-02-27T11:43:31</t>
  </si>
  <si>
    <t>2020-02-27T17:12:46.613+05:30</t>
  </si>
  <si>
    <t>22.5511749 88.3963909 -76.9000015258789 5.0</t>
  </si>
  <si>
    <t>2020-02-27T11:13:00.000+05:30</t>
  </si>
  <si>
    <t>PLc1209</t>
  </si>
  <si>
    <t>be2e8aac-bc4e-43f0-9b3c-b11dc3fd8882</t>
  </si>
  <si>
    <t>2020-02-27T11:43:35</t>
  </si>
  <si>
    <t>2020-02-27T17:12:39.640+05:30</t>
  </si>
  <si>
    <t>22.5511165 88.3965272 -45.599998474121094 5.0</t>
  </si>
  <si>
    <t>FB1371</t>
  </si>
  <si>
    <t>2020-02-27T11:18:00.000+05:30</t>
  </si>
  <si>
    <t>FB1371UP</t>
  </si>
  <si>
    <t>74a1c58e-d00e-4c1a-8fcd-7f25df303432</t>
  </si>
  <si>
    <t>2020-02-27T11:43:38</t>
  </si>
  <si>
    <t>2020-02-27T17:12:52.102+05:30</t>
  </si>
  <si>
    <t>22.5511645 88.3964197 -77.4000015258789 5.0</t>
  </si>
  <si>
    <t>2020-02-27T11:22:00.000+05:30</t>
  </si>
  <si>
    <t>PLc1210</t>
  </si>
  <si>
    <t>cdf8ee1b-8ad4-4b48-b2d7-831750e39837</t>
  </si>
  <si>
    <t>2020-02-27T11:43:42</t>
  </si>
  <si>
    <t>2020-02-27T17:12:56.727+05:30</t>
  </si>
  <si>
    <t>22.551202 88.3964122 -71.69999694824219 5.0</t>
  </si>
  <si>
    <t>2020-02-27T11:28:00.000+05:30</t>
  </si>
  <si>
    <t>FB1372</t>
  </si>
  <si>
    <t>44a5e141-162b-41f1-bca6-2486dba0a12e</t>
  </si>
  <si>
    <t>2020-02-27T11:43:45</t>
  </si>
  <si>
    <t>FB1372UP</t>
  </si>
  <si>
    <t>2020-02-27T17:12:30.152+05:30</t>
  </si>
  <si>
    <t>22.5511258 88.3965032 -45.5 5.0</t>
  </si>
  <si>
    <t>2020-02-27T11:31:00.000+05:30</t>
  </si>
  <si>
    <t>PLc1211</t>
  </si>
  <si>
    <t>a696fb25-1122-4a83-95da-79fe144adb48</t>
  </si>
  <si>
    <t>2020-02-27T11:43:48</t>
  </si>
  <si>
    <t>FB1373</t>
  </si>
  <si>
    <t>FB1373UP</t>
  </si>
  <si>
    <t>col_sw_type</t>
  </si>
  <si>
    <t>col_sw_trigger</t>
  </si>
  <si>
    <t>col_sw_trigger_nr</t>
  </si>
  <si>
    <t>col_fb_loc</t>
  </si>
  <si>
    <t>col_ms_psid</t>
  </si>
  <si>
    <t>col_ms_in</t>
  </si>
  <si>
    <t>UPNC97</t>
  </si>
  <si>
    <t>col_sw</t>
  </si>
  <si>
    <t>col_sw_flow</t>
  </si>
  <si>
    <t>col_sw_lining</t>
  </si>
  <si>
    <t>col_sw_lining_other</t>
  </si>
  <si>
    <t>col_ms</t>
  </si>
  <si>
    <t>col_ms_water_level</t>
  </si>
  <si>
    <t>col_ms_water_flow</t>
  </si>
  <si>
    <t>col_ms_size</t>
  </si>
  <si>
    <t>col_ms_lining</t>
  </si>
  <si>
    <t>col_ms_lining_oth</t>
  </si>
  <si>
    <t>col_surfw</t>
  </si>
  <si>
    <t>col_surfw_flow</t>
  </si>
  <si>
    <t>col_dw</t>
  </si>
  <si>
    <t>col_dw_interm</t>
  </si>
  <si>
    <t>2019-05-01T12:27:57.826+05:30</t>
  </si>
  <si>
    <t>2019-05-01T15:24:46.973+05:30</t>
  </si>
  <si>
    <t>PL1001</t>
  </si>
  <si>
    <t>2019-05-01T12:29:00.000+05:30</t>
  </si>
  <si>
    <t>22.5538176 88.3973782 -45.099998474121094 5.0</t>
  </si>
  <si>
    <t>NCEC101</t>
  </si>
  <si>
    <t>vrMZ4a5AmacCeKoBvXPFEu</t>
  </si>
  <si>
    <t>3bb350e2-c45c-4d17-b451-4a88bc0d0216</t>
  </si>
  <si>
    <t>2019-05-01T09:55:29</t>
  </si>
  <si>
    <t>2019-05-02T13:30:22.893+05:30</t>
  </si>
  <si>
    <t>2019-05-02T16:26:39.622+05:30</t>
  </si>
  <si>
    <t>MO1001</t>
  </si>
  <si>
    <t>2019-05-02T12:10:00.000+05:30</t>
  </si>
  <si>
    <t>22.5563502 88.3920594 -69.9000015258789 5.0</t>
  </si>
  <si>
    <t>b1c8a2c3-49c5-4736-8c98-7b829e2bdc28</t>
  </si>
  <si>
    <t>2019-05-02T11:00:15</t>
  </si>
  <si>
    <t>2019-05-02T13:43:34.932+05:30</t>
  </si>
  <si>
    <t>2019-05-02T16:04:32.703+05:30</t>
  </si>
  <si>
    <t>MO1193</t>
  </si>
  <si>
    <t>MO1002</t>
  </si>
  <si>
    <t>2019-05-02T12:37:00.000+05:30</t>
  </si>
  <si>
    <t>22.5629355 88.3777423 -4.300000190734863 5.0</t>
  </si>
  <si>
    <t>Latrine and a dog beside the place</t>
  </si>
  <si>
    <t>d070119c-4ac9-4cd9-b1ba-753e06fd7223</t>
  </si>
  <si>
    <t>2019-05-02T11:00:17</t>
  </si>
  <si>
    <t>2019-05-07T10:45:26.035+05:30</t>
  </si>
  <si>
    <t>2019-05-13T15:19:04.860+05:30</t>
  </si>
  <si>
    <t>MO 1003</t>
  </si>
  <si>
    <t>2019-05-07T10:47:00.000+05:30</t>
  </si>
  <si>
    <t>22.5578924 88.4108726 -44.900001525878906 5.0</t>
  </si>
  <si>
    <t>FB1374</t>
  </si>
  <si>
    <t>b1f8b5ca-403f-4090-a3ea-1f150ca38e9d</t>
  </si>
  <si>
    <t>2019-05-13T09:49:40</t>
  </si>
  <si>
    <t>2019-05-07T11:05:03.234+05:30</t>
  </si>
  <si>
    <t>2019-05-13T15:19:15.720+05:30</t>
  </si>
  <si>
    <t>2019-05-07T11:05:00.000+05:30</t>
  </si>
  <si>
    <t>22.554334 88.3966835 -38.400001525878906 5.0</t>
  </si>
  <si>
    <t>30026bf2-d9ed-4984-be23-9a7e67070a07</t>
  </si>
  <si>
    <t>2019-05-13T09:49:43</t>
  </si>
  <si>
    <t>2019-05-09T13:04:44.617+05:30</t>
  </si>
  <si>
    <t>2019-05-13T15:19:23.438+05:30</t>
  </si>
  <si>
    <t>2019-05-09T13:05:00.000+05:30</t>
  </si>
  <si>
    <t>22.5563651 88.3922004 -55.29999923706055 4.5</t>
  </si>
  <si>
    <t>FB1374UP</t>
  </si>
  <si>
    <t>Dog</t>
  </si>
  <si>
    <t>8b5ab91f-fa00-41ac-85f8-256d6de3fe43</t>
  </si>
  <si>
    <t>2019-05-13T09:49:45</t>
  </si>
  <si>
    <t>2019-05-09T13:24:59.508+05:30</t>
  </si>
  <si>
    <t>2019-05-13T15:19:30.862+05:30</t>
  </si>
  <si>
    <t>2019-05-09T13:25:00.000+05:30</t>
  </si>
  <si>
    <t>22.5635552 88.3771778 -31.600000381469727 5.0</t>
  </si>
  <si>
    <t>latrine and Toilet</t>
  </si>
  <si>
    <t>bbc7ca23-a490-4ea7-9327-9c67b8f2e4b3</t>
  </si>
  <si>
    <t>2019-05-13T09:49:47</t>
  </si>
  <si>
    <t>2019-05-06T11:30:49.068+05:30</t>
  </si>
  <si>
    <t>2019-05-07T15:03:48.685+05:30</t>
  </si>
  <si>
    <t>PL2001</t>
  </si>
  <si>
    <t>2019-05-06T11:31:00.000+05:30</t>
  </si>
  <si>
    <t>22.550148 88.3965586 -53.099998474121094 5.0</t>
  </si>
  <si>
    <t>MO1194</t>
  </si>
  <si>
    <t>7eedded0-3e31-4605-8f64-27c4b44a4339</t>
  </si>
  <si>
    <t>2019-05-13T10:10:53</t>
  </si>
  <si>
    <t>2019-05-08T10:32:55.024+05:30</t>
  </si>
  <si>
    <t>2019-05-13T15:40:38.045+05:30</t>
  </si>
  <si>
    <t>PL2002</t>
  </si>
  <si>
    <t>2019-05-08T10:33:00.000+05:30</t>
  </si>
  <si>
    <t>22.5491061 88.3976895 -23.299999237060547 5.0</t>
  </si>
  <si>
    <t>18be190f-58e3-43d1-87c1-ca28178de989</t>
  </si>
  <si>
    <t>2019-05-13T10:10:54</t>
  </si>
  <si>
    <t>2019-05-13T12:00:28.235+05:30</t>
  </si>
  <si>
    <t>2019-05-13T15:53:02.505+05:30</t>
  </si>
  <si>
    <t>FB1375</t>
  </si>
  <si>
    <t>2019-05-13T12:01:00.000+05:30</t>
  </si>
  <si>
    <t>22.540996 88.3742637 -44.400001525878906 5.0</t>
  </si>
  <si>
    <t>6c630428-e0bf-482b-89e1-76c603a97f4d</t>
  </si>
  <si>
    <t>2019-05-13T10:23:08</t>
  </si>
  <si>
    <t>2019-05-13T13:16:23.290+05:30</t>
  </si>
  <si>
    <t>2019-05-13T15:54:44.551+05:30</t>
  </si>
  <si>
    <t>PL2003</t>
  </si>
  <si>
    <t>2019-05-13T13:17:00.000+05:30</t>
  </si>
  <si>
    <t>22.5513954 88.3963646 -23.799999237060547 5.0</t>
  </si>
  <si>
    <t>FB1375UP</t>
  </si>
  <si>
    <t>9cf70fd3-ab97-4e02-9739-a7f6416e7b7f</t>
  </si>
  <si>
    <t>2019-05-13T10:24:51</t>
  </si>
  <si>
    <t>2019-05-14T11:49:06.359+05:30</t>
  </si>
  <si>
    <t>2019-05-14T15:44:17.515+05:30</t>
  </si>
  <si>
    <t>2019-05-14T11:51:00.000+05:30</t>
  </si>
  <si>
    <t>22.5543626 88.3967447 -36.70000076293945 4.5</t>
  </si>
  <si>
    <t>v5MsRynbZdYEnCwnAJAotS</t>
  </si>
  <si>
    <t>675d6c11-2468-40f9-b053-82f96e708e91</t>
  </si>
  <si>
    <t>2019-05-14T10:15:33</t>
  </si>
  <si>
    <t>2019-05-14T12:13:55.706+05:30</t>
  </si>
  <si>
    <t>2019-05-14T15:44:07.580+05:30</t>
  </si>
  <si>
    <t>2019-05-14T12:14:00.000+05:30</t>
  </si>
  <si>
    <t>22.5579092 88.4108149 -75.4000015258789 5.0</t>
  </si>
  <si>
    <t>MO1195</t>
  </si>
  <si>
    <t>Moore Swabs not collected due to washed away.</t>
  </si>
  <si>
    <t>2d847894-a4c4-4af3-94f0-070772b2c9f3</t>
  </si>
  <si>
    <t>2019-05-14T10:15:36</t>
  </si>
  <si>
    <t>2019-05-15T12:11:37.516+05:30</t>
  </si>
  <si>
    <t>2019-05-15T14:57:06.251+05:30</t>
  </si>
  <si>
    <t>2019-05-15T12:12:00.000+05:30</t>
  </si>
  <si>
    <t>22.5531595 88.3984599 -19.0 5.0</t>
  </si>
  <si>
    <t>FB1376</t>
  </si>
  <si>
    <t>c27df37a-bc8a-4261-8471-4df130f9f524</t>
  </si>
  <si>
    <t>2019-05-15T09:27:12</t>
  </si>
  <si>
    <t>2019-05-16T11:20:24.464+05:30</t>
  </si>
  <si>
    <t>2019-05-16T13:22:26.602+05:30</t>
  </si>
  <si>
    <t>2019-05-16T11:21:00.000+05:30</t>
  </si>
  <si>
    <t>22.5563309 88.392182 -46.599998474121094 5.0</t>
  </si>
  <si>
    <t>402b9c8c-3e11-4521-98c9-752d04a18a34</t>
  </si>
  <si>
    <t>2019-05-16T07:53:30</t>
  </si>
  <si>
    <t>2019-05-16T11:41:34.239+05:30</t>
  </si>
  <si>
    <t>2019-05-16T13:22:38.048+05:30</t>
  </si>
  <si>
    <t>2019-05-16T11:42:00.000+05:30</t>
  </si>
  <si>
    <t>22.5636877 88.3772106 -42.400001525878906 5.0</t>
  </si>
  <si>
    <t>FB1376UP</t>
  </si>
  <si>
    <t>Bathroom and Toilet</t>
  </si>
  <si>
    <t>cf433beb-8848-4e21-9d4c-0413f788735a</t>
  </si>
  <si>
    <t>2019-05-16T07:53:33</t>
  </si>
  <si>
    <t>2019-05-16T12:19:47.236+05:30</t>
  </si>
  <si>
    <t>2019-05-16T13:23:57.739+05:30</t>
  </si>
  <si>
    <t>K22014</t>
  </si>
  <si>
    <t>2019-05-16T12:21:00.000+05:30</t>
  </si>
  <si>
    <t>22.5411175 88.3743468 -47.5 5.0</t>
  </si>
  <si>
    <t>96f0b839-9f16-4785-b2d3-f6376d7e743c</t>
  </si>
  <si>
    <t>2019-05-16T07:54:03</t>
  </si>
  <si>
    <t>2019-05-20T10:50:11.200+05:30</t>
  </si>
  <si>
    <t>2019-05-20T12:19:09.778+05:30</t>
  </si>
  <si>
    <t>2019-05-20T10:51:00.000+05:30</t>
  </si>
  <si>
    <t>22.5410313 88.3743882 -60.20000076293945 5.0</t>
  </si>
  <si>
    <t>MO1196</t>
  </si>
  <si>
    <t>8b963976-b8cf-455f-ad36-2fb8fb798bb8</t>
  </si>
  <si>
    <t>2019-05-20T06:50:01</t>
  </si>
  <si>
    <t>2019-05-22T11:43:41.159+05:30</t>
  </si>
  <si>
    <t>2019-05-22T13:41:21.523+05:30</t>
  </si>
  <si>
    <t>2019-05-22T11:45:00.000+05:30</t>
  </si>
  <si>
    <t>22.5532395 88.4001653 -57.70000076293945 5.0</t>
  </si>
  <si>
    <t>Beside Canel</t>
  </si>
  <si>
    <t>FB1377</t>
  </si>
  <si>
    <t>3e147843-8783-4502-b550-ca5f9dc98225</t>
  </si>
  <si>
    <t>2019-05-22T08:11:31</t>
  </si>
  <si>
    <t>2019-05-23T11:24:59.275+05:30</t>
  </si>
  <si>
    <t>2019-05-23T12:38:47.657+05:30</t>
  </si>
  <si>
    <t>2019-05-23T11:26:00.000+05:30</t>
  </si>
  <si>
    <t>22.541005 88.3743089 -48.79999923706055 5.0</t>
  </si>
  <si>
    <t>351a5964-1e9d-459c-8670-6d581c5cb4a4</t>
  </si>
  <si>
    <t>2019-05-24T05:55:36</t>
  </si>
  <si>
    <t>2019-05-27T10:06:38.211+05:30</t>
  </si>
  <si>
    <t>2019-05-27T12:17:37.404+05:30</t>
  </si>
  <si>
    <t>2019-05-27T10:07:00.000+05:30</t>
  </si>
  <si>
    <t>22.5529452 88.4000052 -37.5 5.0</t>
  </si>
  <si>
    <t>FB1377UP</t>
  </si>
  <si>
    <t>e3d856a8-84f4-4b25-bbb0-80433783ae02</t>
  </si>
  <si>
    <t>2019-05-27T06:47:46</t>
  </si>
  <si>
    <t>2019-05-27T10:52:53.527+05:30</t>
  </si>
  <si>
    <t>2019-05-27T12:19:10.991+05:30</t>
  </si>
  <si>
    <t>2019-05-27T10:53:00.000+05:30</t>
  </si>
  <si>
    <t>22.5410628 88.374244 -46.20000076293945 5.0</t>
  </si>
  <si>
    <t>9a0f4770-6532-447f-b928-09502095922b</t>
  </si>
  <si>
    <t>2019-05-27T06:49:17</t>
  </si>
  <si>
    <t>2019-05-28T11:42:30.557+05:30</t>
  </si>
  <si>
    <t>2019-05-28T16:06:02.270+05:30</t>
  </si>
  <si>
    <t>2019-05-28T11:43:00.000+05:30</t>
  </si>
  <si>
    <t>22.5579634 88.4108756 -55.599998474121094 4.5</t>
  </si>
  <si>
    <t>UF1025</t>
  </si>
  <si>
    <t>Biplab Jàsh</t>
  </si>
  <si>
    <t>6cd6e5ef-39a9-4b0d-a508-d55149af04ee</t>
  </si>
  <si>
    <t>2019-05-28T10:37:04</t>
  </si>
  <si>
    <t>2019-05-28T12:08:14.934+05:30</t>
  </si>
  <si>
    <t>2019-05-28T16:06:31.642+05:30</t>
  </si>
  <si>
    <t>2019-05-28T12:08:00.000+05:30</t>
  </si>
  <si>
    <t>22.5543076 88.3966561 -42.70000076293945 5.0</t>
  </si>
  <si>
    <t>c7715ae0-9256-4a8a-892d-6ca7144ac704</t>
  </si>
  <si>
    <t>2019-05-28T10:37:05</t>
  </si>
  <si>
    <t>2019-05-29T12:08:22.230+05:30</t>
  </si>
  <si>
    <t>2019-05-29T15:04:07.217+05:30</t>
  </si>
  <si>
    <t>2019-05-29T12:09:00.000+05:30</t>
  </si>
  <si>
    <t>22.5529957 88.3990001 -54.5 5.0</t>
  </si>
  <si>
    <t>9d30c18a-8a84-435e-a8d4-428b2695467c</t>
  </si>
  <si>
    <t>2019-05-29T09:34:28</t>
  </si>
  <si>
    <t>2019-05-30T13:49:55.763+05:30</t>
  </si>
  <si>
    <t>2019-05-30T15:12:17.451+05:30</t>
  </si>
  <si>
    <t>4a131aeb-962e-4c22-aa42-e022381988e4</t>
  </si>
  <si>
    <t>2019-05-30T09:42:26</t>
  </si>
  <si>
    <t>2019-05-30T12:46:58.251+05:30</t>
  </si>
  <si>
    <t>2019-05-30T15:14:19.798+05:30</t>
  </si>
  <si>
    <t>2019-05-30T12:47:00.000+05:30</t>
  </si>
  <si>
    <t>22.5563193 88.3922302 -70.80000305175781 4.5</t>
  </si>
  <si>
    <t>1b300f02-50c0-4740-9272-e4e4b978f83a</t>
  </si>
  <si>
    <t>2019-05-30T09:45:10</t>
  </si>
  <si>
    <t>2019-05-30T13:04:16.494+05:30</t>
  </si>
  <si>
    <t>2019-05-30T15:14:29.807+05:30</t>
  </si>
  <si>
    <t>2019-05-30T13:04:00.000+05:30</t>
  </si>
  <si>
    <t>22.5635771 88.3772079 -38.5 5.0</t>
  </si>
  <si>
    <t>1e951094-2511-4494-ba89-6e53b144f677</t>
  </si>
  <si>
    <t>2019-05-30T09:45:12</t>
  </si>
  <si>
    <t>2019-05-30T13:36:40.135+05:30</t>
  </si>
  <si>
    <t>2019-05-30T15:15:01.102+05:30</t>
  </si>
  <si>
    <t>2019-05-30T13:37:00.000+05:30</t>
  </si>
  <si>
    <t>22.5410999 88.3743499 -16.399999618530273 4.5</t>
  </si>
  <si>
    <t>c1396d06-427a-4235-975f-b4aa5f90447f</t>
  </si>
  <si>
    <t>2019-05-30T09:45:14</t>
  </si>
  <si>
    <t>2019-06-03T11:54:33.063+05:30</t>
  </si>
  <si>
    <t>2019-06-03T13:24:35.678+05:30</t>
  </si>
  <si>
    <t>2019-06-03T11:58:00.000+05:30</t>
  </si>
  <si>
    <t>22.5519786 88.3998715 -31.700000762939453 5.0</t>
  </si>
  <si>
    <t>Latrine beside open drain</t>
  </si>
  <si>
    <t>5d32c42c-1b78-495f-a4c5-c8503fb94064</t>
  </si>
  <si>
    <t>2019-06-03T07:54:56</t>
  </si>
  <si>
    <t>2019-06-04T10:06:19.736+05:30</t>
  </si>
  <si>
    <t>2019-06-04T16:18:42.176+05:30</t>
  </si>
  <si>
    <t>2019-06-04T10:07:00.000+05:30</t>
  </si>
  <si>
    <t>22.554248 88.3968287 -20.200000762939453 5.0</t>
  </si>
  <si>
    <t>1833770d-b169-44c7-b298-a5badc4165b2</t>
  </si>
  <si>
    <t>2019-06-04T10:48:49</t>
  </si>
  <si>
    <t>2019-06-04T10:31:19.639+05:30</t>
  </si>
  <si>
    <t>2019-06-04T16:18:35.193+05:30</t>
  </si>
  <si>
    <t>2019-06-04T10:31:00.000+05:30</t>
  </si>
  <si>
    <t>22.557804 88.4108036 -45.70000076293945 5.0</t>
  </si>
  <si>
    <t>NCEC102</t>
  </si>
  <si>
    <t>c65cbb79-33e4-4161-a2b0-c3eff63be22a</t>
  </si>
  <si>
    <t>2019-06-04T10:48:51</t>
  </si>
  <si>
    <t>2019-06-06T12:02:50.508+05:30</t>
  </si>
  <si>
    <t>2019-06-06T14:57:18.328+05:30</t>
  </si>
  <si>
    <t>2019-06-06T12:03:00.000+05:30</t>
  </si>
  <si>
    <t>22.5564118 88.3922271 -101.4000015258789 5.0</t>
  </si>
  <si>
    <t>UPNC98</t>
  </si>
  <si>
    <t>b057a580-b088-4078-8620-a1514326e332</t>
  </si>
  <si>
    <t>2019-06-06T09:27:39</t>
  </si>
  <si>
    <t>2019-06-06T12:26:05.881+05:30</t>
  </si>
  <si>
    <t>2019-06-06T14:57:23.762+05:30</t>
  </si>
  <si>
    <t>2019-06-06T12:27:00.000+05:30</t>
  </si>
  <si>
    <t>22.563502 88.3772082 -53.29999923706055 5.0</t>
  </si>
  <si>
    <t>AshisSaha</t>
  </si>
  <si>
    <t>f5343bcf-8bfc-4eab-b3e0-2f20637082a2</t>
  </si>
  <si>
    <t>2019-06-06T09:27:42</t>
  </si>
  <si>
    <t>2019-06-10T11:43:46.081+05:30</t>
  </si>
  <si>
    <t>2019-06-10T13:54:38.078+05:30</t>
  </si>
  <si>
    <t>K20139</t>
  </si>
  <si>
    <t>2019-06-10T11:45:00.000+05:30</t>
  </si>
  <si>
    <t>22.5403386 88.3748553 -24.700000762939453 5.0</t>
  </si>
  <si>
    <t>Pt. Nousin Farhen</t>
  </si>
  <si>
    <t>81de25e4-1fcb-4638-9809-7f2ea205ad8a</t>
  </si>
  <si>
    <t>2019-06-10T08:25:02</t>
  </si>
  <si>
    <t>MO1197</t>
  </si>
  <si>
    <t>2019-06-10T12:31:46.920+05:30</t>
  </si>
  <si>
    <t>2019-06-10T13:54:26.374+05:30</t>
  </si>
  <si>
    <t>2019-06-10T12:33:00.000+05:30</t>
  </si>
  <si>
    <t>22.5539482 88.3971632 -18.600000381469727 5.0</t>
  </si>
  <si>
    <t>1e6f24bd-648d-45f8-bcc5-3c0b4d13c6b6</t>
  </si>
  <si>
    <t>2019-06-10T08:25:05</t>
  </si>
  <si>
    <t>2019-06-11T12:21:59.157+05:30</t>
  </si>
  <si>
    <t>2019-06-11T15:02:15.422+05:30</t>
  </si>
  <si>
    <t>FB1380</t>
  </si>
  <si>
    <t>2019-06-11T12:22:00.000+05:30</t>
  </si>
  <si>
    <t>22.5578322 88.4108159 -28.899999618530273 4.5</t>
  </si>
  <si>
    <t>Moore could not be collected as both the Swabs were torn off and drowned in water</t>
  </si>
  <si>
    <t>18dacf1f-dff0-4076-8bc8-5f0b6aa99a7c</t>
  </si>
  <si>
    <t>2019-06-11T09:32:42</t>
  </si>
  <si>
    <t>2019-06-11T12:40:39.127+05:30</t>
  </si>
  <si>
    <t>2019-06-11T15:02:23.706+05:30</t>
  </si>
  <si>
    <t>2019-06-11T12:41:00.000+05:30</t>
  </si>
  <si>
    <t>22.5345247 88.3959228 -17.899999618530273 4.5</t>
  </si>
  <si>
    <t>FB1380UP</t>
  </si>
  <si>
    <t>bfe48fb1-758e-403f-9d59-dbb7e47d4796</t>
  </si>
  <si>
    <t>2019-06-11T09:32:43</t>
  </si>
  <si>
    <t>2019-06-11T12:55:40.847+05:30</t>
  </si>
  <si>
    <t>2019-06-11T15:02:31.244+05:30</t>
  </si>
  <si>
    <t>2019-06-11T12:56:00.000+05:30</t>
  </si>
  <si>
    <t>22.5399972 88.3872837 -75.5 4.5</t>
  </si>
  <si>
    <t>c3f82250-fc93-448d-aa4a-0fd27b6cc123</t>
  </si>
  <si>
    <t>2019-06-11T09:32:45</t>
  </si>
  <si>
    <t>2019-06-11T13:34:51.498+05:30</t>
  </si>
  <si>
    <t>2019-06-11T15:02:37.511+05:30</t>
  </si>
  <si>
    <t>2019-06-11T13:35:00.000+05:30</t>
  </si>
  <si>
    <t>MO1198</t>
  </si>
  <si>
    <t>22.5541993 88.3967317 -51.900001525878906 5.0</t>
  </si>
  <si>
    <t>38d55a9c-c077-4fe3-89aa-e13fa7faf772</t>
  </si>
  <si>
    <t>2019-06-11T09:32:47</t>
  </si>
  <si>
    <t>2019-06-12T11:51:23.221+05:30</t>
  </si>
  <si>
    <t>2019-06-12T13:35:39.582+05:30</t>
  </si>
  <si>
    <t>2019-06-12T11:52:00.000+05:30</t>
  </si>
  <si>
    <t>22.5403866 88.3746099 -19.799999237060547 4.5</t>
  </si>
  <si>
    <t>FB1381</t>
  </si>
  <si>
    <t>0aeaa13c-e55a-4a96-8ea0-8b47752934c0</t>
  </si>
  <si>
    <t>2019-06-12T09:31:30</t>
  </si>
  <si>
    <t>2019-06-13T10:47:21.786+05:30</t>
  </si>
  <si>
    <t>2019-06-13T16:16:51.156+05:30</t>
  </si>
  <si>
    <t>2019-06-13T10:47:00.000+05:30</t>
  </si>
  <si>
    <t>22.5563567 88.3920838 -51.29999923706055 5.0</t>
  </si>
  <si>
    <t>769daa96-ecaf-45ba-afae-abcd90a78553</t>
  </si>
  <si>
    <t>2019-06-13T10:48:40</t>
  </si>
  <si>
    <t>2019-06-13T11:10:23.432+05:30</t>
  </si>
  <si>
    <t>2019-06-13T16:16:57.370+05:30</t>
  </si>
  <si>
    <t>2019-06-13T11:11:00.000+05:30</t>
  </si>
  <si>
    <t>22.5635979 88.3771659 -74.0 5.0</t>
  </si>
  <si>
    <t>FB1381UP</t>
  </si>
  <si>
    <t>7fabff42-e395-4b44-b0fb-e6bd48d3bbf3</t>
  </si>
  <si>
    <t>2019-06-13T10:48:42</t>
  </si>
  <si>
    <t>2019-06-13T11:40:30.641+05:30</t>
  </si>
  <si>
    <t>2019-06-13T16:17:17.936+05:30</t>
  </si>
  <si>
    <t>2019-06-13T11:41:00.000+05:30</t>
  </si>
  <si>
    <t>22.5404102 88.3747911 -38.400001525878906 5.0</t>
  </si>
  <si>
    <t>9709a8d0-d0af-4821-82eb-23d441d23c5e</t>
  </si>
  <si>
    <t>2019-06-13T10:48:43</t>
  </si>
  <si>
    <t>2019-06-13T11:54:31.676+05:30</t>
  </si>
  <si>
    <t>2019-06-13T16:17:33.500+05:30</t>
  </si>
  <si>
    <t>K22004</t>
  </si>
  <si>
    <t>2019-06-13T11:59:00.000+05:30</t>
  </si>
  <si>
    <t>22.5410234 88.3741927 -47.79999923706055 5.0</t>
  </si>
  <si>
    <t>MO1199</t>
  </si>
  <si>
    <t>a35f5254-19a7-4d4c-9c09-74bf1aaaf392</t>
  </si>
  <si>
    <t>2019-06-13T10:48:45</t>
  </si>
  <si>
    <t>2019-06-13T12:26:29.761+05:30</t>
  </si>
  <si>
    <t>2019-06-13T16:17:09.221+05:30</t>
  </si>
  <si>
    <t>2019-06-13T12:27:00.000+05:30</t>
  </si>
  <si>
    <t>22.5360152 88.3746296 -44.599998474121094 5.0</t>
  </si>
  <si>
    <t>FB1382</t>
  </si>
  <si>
    <t>Dogs are moving, only one Swab can be collected</t>
  </si>
  <si>
    <t>3137ea41-109a-469c-be99-15368f3e58d9</t>
  </si>
  <si>
    <t>2019-06-13T10:48:46</t>
  </si>
  <si>
    <t>2019-06-13T13:25:32.653+05:30</t>
  </si>
  <si>
    <t>2019-06-13T16:17:03.038+05:30</t>
  </si>
  <si>
    <t>2019-06-13T13:27:00.000+05:30</t>
  </si>
  <si>
    <t>22.5578939 88.3896676 -52.900001525878906 5.0</t>
  </si>
  <si>
    <t>3b0222a5-eb45-49c7-9a9b-c2b62ff9f2f6</t>
  </si>
  <si>
    <t>2019-06-13T10:48:48</t>
  </si>
  <si>
    <t>2019-06-13T14:08:00.139+05:30</t>
  </si>
  <si>
    <t>2019-06-13T16:17:59.043+05:30</t>
  </si>
  <si>
    <t>K17041</t>
  </si>
  <si>
    <t>2019-06-13T14:09:00.000+05:30</t>
  </si>
  <si>
    <t>22.5517007 88.3956583 -38.70000076293945 5.0</t>
  </si>
  <si>
    <t>FB1382UP</t>
  </si>
  <si>
    <t>7eb43648-54f9-42d7-81c3-f9ea93017fcb</t>
  </si>
  <si>
    <t>2019-06-13T10:48:49</t>
  </si>
  <si>
    <t>2019-06-17T10:55:01.034+05:30</t>
  </si>
  <si>
    <t>2019-06-17T12:59:26.777+05:30</t>
  </si>
  <si>
    <t>2019-06-17T10:56:00.000+05:30</t>
  </si>
  <si>
    <t>22.5403225 88.3748545 -88.5 5.0</t>
  </si>
  <si>
    <t>Nousin Farhen</t>
  </si>
  <si>
    <t>6d82fc83-a8ca-4b95-9c62-fdc0f71fe0b9</t>
  </si>
  <si>
    <t>2019-06-17T07:29:55</t>
  </si>
  <si>
    <t>2019-06-17T11:08:39.870+05:30</t>
  </si>
  <si>
    <t>2019-06-17T12:59:38.968+05:30</t>
  </si>
  <si>
    <t>PL1028</t>
  </si>
  <si>
    <t>2019-06-17T11:10:00.000+05:30</t>
  </si>
  <si>
    <t>22.5410057 88.3741951 -39.0 5.0</t>
  </si>
  <si>
    <t>e3c96832-20ea-4e96-9def-16ce85edf24b</t>
  </si>
  <si>
    <t>2019-06-17T07:29:57</t>
  </si>
  <si>
    <t>2019-06-17T11:50:15.267+05:30</t>
  </si>
  <si>
    <t>2019-06-17T12:59:52.059+05:30</t>
  </si>
  <si>
    <t>2019-06-17T11:51:00.000+05:30</t>
  </si>
  <si>
    <t>22.5518591 88.3958616 -22.399999618530273 4.5</t>
  </si>
  <si>
    <t>29ae0124-7768-4c10-90ed-af48ed232c02</t>
  </si>
  <si>
    <t>2019-06-17T07:29:58</t>
  </si>
  <si>
    <t>2019-06-18T10:30:23.822+05:30</t>
  </si>
  <si>
    <t>2019-06-18T16:17:29.105+05:30</t>
  </si>
  <si>
    <t>2019-06-18T10:31:00.000+05:30</t>
  </si>
  <si>
    <t>22.5578997 88.4107542 -30.299999237060547 5.0</t>
  </si>
  <si>
    <t>FB1383</t>
  </si>
  <si>
    <t>2fb9cd59-d41b-4511-8c02-5c907524222e</t>
  </si>
  <si>
    <t>2019-06-18T10:47:44</t>
  </si>
  <si>
    <t>2019-06-18T10:55:42.527+05:30</t>
  </si>
  <si>
    <t>2019-06-18T16:17:34.800+05:30</t>
  </si>
  <si>
    <t>2019-06-18T10:56:00.000+05:30</t>
  </si>
  <si>
    <t>22.5543645 88.3966567 -43.0 5.0</t>
  </si>
  <si>
    <t>807db10d-ebd0-47b4-a316-228aefdf1029</t>
  </si>
  <si>
    <t>2019-06-18T10:47:46</t>
  </si>
  <si>
    <t>2019-06-18T11:32:19.696+05:30</t>
  </si>
  <si>
    <t>2019-06-18T16:17:42.029+05:30</t>
  </si>
  <si>
    <t>2019-06-18T11:33:00.000+05:30</t>
  </si>
  <si>
    <t>22.5346165 88.3960025 -37.599998474121094 4.5</t>
  </si>
  <si>
    <t>FB1383UP</t>
  </si>
  <si>
    <t>7846f2b0-7f32-423c-b8a8-51ed4762cee7</t>
  </si>
  <si>
    <t>2019-06-18T10:47:47</t>
  </si>
  <si>
    <t>2019-06-18T11:51:50.776+05:30</t>
  </si>
  <si>
    <t>2019-06-18T16:17:47.258+05:30</t>
  </si>
  <si>
    <t>2019-06-18T11:52:00.000+05:30</t>
  </si>
  <si>
    <t>22.5401122 88.3872773 -2.4000000953674316 4.5</t>
  </si>
  <si>
    <t>95dfccc3-8397-406a-bdbe-bc45e2d6e960</t>
  </si>
  <si>
    <t>2019-06-18T10:47:49</t>
  </si>
  <si>
    <t>2019-06-20T10:36:35.437+05:30</t>
  </si>
  <si>
    <t>2019-06-20T15:15:09.959+05:30</t>
  </si>
  <si>
    <t>PL1029</t>
  </si>
  <si>
    <t>2019-06-20T10:37:00.000+05:30</t>
  </si>
  <si>
    <t>22.5517449 88.3957162 -31.0 5.0</t>
  </si>
  <si>
    <t>Subject Name - Deb Bauri</t>
  </si>
  <si>
    <t>9bceb81f-5437-44fe-b75c-4b2938a618d3</t>
  </si>
  <si>
    <t>2019-06-20T09:45:33</t>
  </si>
  <si>
    <t>2019-06-20T10:59:40.260+05:30</t>
  </si>
  <si>
    <t>2019-06-20T15:14:40.937+05:30</t>
  </si>
  <si>
    <t>2019-06-20T11:00:00.000+05:30</t>
  </si>
  <si>
    <t>22.5563536 88.3922463 -48.20000076293945 5.0</t>
  </si>
  <si>
    <t>a91d0717-6149-48da-941d-ce12d56efa1e</t>
  </si>
  <si>
    <t>2019-06-20T09:45:34</t>
  </si>
  <si>
    <t>2019-06-20T11:10:42.234+05:30</t>
  </si>
  <si>
    <t>2019-06-20T15:14:48.123+05:30</t>
  </si>
  <si>
    <t>2019-06-20T11:11:00.000+05:30</t>
  </si>
  <si>
    <t>FB1384</t>
  </si>
  <si>
    <t>22.5580197 88.3895676 -33.900001525878906 5.0</t>
  </si>
  <si>
    <t>d6f74f2a-a74a-43a5-b863-f4f1d86bd36f</t>
  </si>
  <si>
    <t>2019-06-20T09:45:38</t>
  </si>
  <si>
    <t>2019-06-20T11:33:12.060+05:30</t>
  </si>
  <si>
    <t>2019-06-20T15:14:54.515+05:30</t>
  </si>
  <si>
    <t>2019-06-20T11:33:00.000+05:30</t>
  </si>
  <si>
    <t>22.563632 88.3772701 -44.20000076293945 5.0</t>
  </si>
  <si>
    <t>7fc48de0-4357-45f6-a258-20e1edc04e73</t>
  </si>
  <si>
    <t>2019-06-20T09:45:40</t>
  </si>
  <si>
    <t>2019-06-20T12:05:06.343+05:30</t>
  </si>
  <si>
    <t>2019-06-20T15:15:18.947+05:30</t>
  </si>
  <si>
    <t>FB1384UP</t>
  </si>
  <si>
    <t>2019-06-20T12:06:00.000+05:30</t>
  </si>
  <si>
    <t>22.5403602 88.3748768 -40.599998474121094 5.0</t>
  </si>
  <si>
    <t>Subject Name - Nousin Farhen</t>
  </si>
  <si>
    <t>0a9384fd-b0b7-4536-acd5-755b81a2710f</t>
  </si>
  <si>
    <t>2019-06-20T09:45:42</t>
  </si>
  <si>
    <t>2019-06-20T12:18:48.827+05:30</t>
  </si>
  <si>
    <t>2019-06-20T15:15:26.797+05:30</t>
  </si>
  <si>
    <t>2019-06-20T12:22:00.000+05:30</t>
  </si>
  <si>
    <t>22.5410763 88.374222 -38.29999923706055 4.5</t>
  </si>
  <si>
    <t>Subject Name - ReyaKhatun</t>
  </si>
  <si>
    <t>cf165f8c-fcae-4ac2-8962-0eb0f9c2e63f</t>
  </si>
  <si>
    <t>2019-06-20T09:45:43</t>
  </si>
  <si>
    <t>2019-06-20T12:41:17.446+05:30</t>
  </si>
  <si>
    <t>2019-06-20T15:15:00.898+05:30</t>
  </si>
  <si>
    <t>UF1026</t>
  </si>
  <si>
    <t>2019-06-20T12:43:00.000+05:30</t>
  </si>
  <si>
    <t>22.5361609 88.3745297 -35.400001525878906 4.0</t>
  </si>
  <si>
    <t>Moore was not collected as both the swabs were torn off and drowned in water</t>
  </si>
  <si>
    <t>dcae6f23-2571-42a6-aaa4-b16b42b67a48</t>
  </si>
  <si>
    <t>2019-06-20T09:45:45</t>
  </si>
  <si>
    <t>2019-06-24T10:55:05.408+05:30</t>
  </si>
  <si>
    <t>2019-06-24T13:04:14.591+05:30</t>
  </si>
  <si>
    <t>2019-06-24T10:56:00.000+05:30</t>
  </si>
  <si>
    <t>22.5404395 88.3747251 31.899999618530273 5.0</t>
  </si>
  <si>
    <t>222af1ad-c8f5-4618-87e6-f153666f2dde</t>
  </si>
  <si>
    <t>2019-06-24T07:34:47</t>
  </si>
  <si>
    <t>2019-06-24T11:13:16.860+05:30</t>
  </si>
  <si>
    <t>2019-06-24T13:04:24.317+05:30</t>
  </si>
  <si>
    <t>NCEC103</t>
  </si>
  <si>
    <t>2019-06-24T11:14:00.000+05:30</t>
  </si>
  <si>
    <t>22.541076 88.3741598 -56.900001525878906 5.0</t>
  </si>
  <si>
    <t>House of Reya Khatun</t>
  </si>
  <si>
    <t>6ddaf021-e1de-4bc6-b467-3446d9af5cf7</t>
  </si>
  <si>
    <t>2019-06-24T07:34:48</t>
  </si>
  <si>
    <t>2019-06-24T11:41:54.899+05:30</t>
  </si>
  <si>
    <t>2019-06-24T13:04:31.315+05:30</t>
  </si>
  <si>
    <t>UPNC99</t>
  </si>
  <si>
    <t>2019-06-24T11:43:00.000+05:30</t>
  </si>
  <si>
    <t>22.5518199 88.3958267 -20.799999237060547 5.0</t>
  </si>
  <si>
    <t>House of Deb Bauri</t>
  </si>
  <si>
    <t>Biplab Jashi</t>
  </si>
  <si>
    <t>16f5a5f2-8b02-4f60-a260-4d0dc004431e</t>
  </si>
  <si>
    <t>2019-06-24T07:34:50</t>
  </si>
  <si>
    <t>2019-06-25T11:31:36.702+05:30</t>
  </si>
  <si>
    <t>2019-06-25T14:39:06.214+05:30</t>
  </si>
  <si>
    <t>2019-06-25T11:32:00.000+05:30</t>
  </si>
  <si>
    <t>22.5541259 88.3967229 -2.0999999046325684 5.0</t>
  </si>
  <si>
    <t>974df910-c1c7-4c8e-906e-07a5ae8c800b</t>
  </si>
  <si>
    <t>2019-06-25T09:10:08</t>
  </si>
  <si>
    <t>2019-06-25T11:59:51.471+05:30</t>
  </si>
  <si>
    <t>2019-06-25T14:39:14.000+05:30</t>
  </si>
  <si>
    <t>2019-06-25T12:00:00.000+05:30</t>
  </si>
  <si>
    <t>22.5578651 88.4108012 -49.5 5.0</t>
  </si>
  <si>
    <t>PLc1212</t>
  </si>
  <si>
    <t>58d217e9-63f7-4fc3-9265-cb3340bddeba</t>
  </si>
  <si>
    <t>2019-06-25T09:10:11</t>
  </si>
  <si>
    <t>2019-06-25T12:22:00.101+05:30</t>
  </si>
  <si>
    <t>2019-06-25T14:39:23.576+05:30</t>
  </si>
  <si>
    <t>2019-06-25T12:22:00.000+05:30</t>
  </si>
  <si>
    <t>22.5346373 88.3958444 -66.80000305175781 5.0</t>
  </si>
  <si>
    <t>f8b51d26-b165-44ee-a764-8702fd1dce51</t>
  </si>
  <si>
    <t>2019-06-25T09:10:13</t>
  </si>
  <si>
    <t>2019-06-25T12:36:50.506+05:30</t>
  </si>
  <si>
    <t>2019-06-25T14:39:29.666+05:30</t>
  </si>
  <si>
    <t>2019-06-25T12:37:00.000+05:30</t>
  </si>
  <si>
    <t>22.5399605 88.3872589 -27.299999237060547 5.0</t>
  </si>
  <si>
    <t>FB1386</t>
  </si>
  <si>
    <t>538abe64-99df-46b9-bd1e-3710e16b63ed</t>
  </si>
  <si>
    <t>2019-06-25T09:10:14</t>
  </si>
  <si>
    <t>2019-06-27T10:10:08.246+05:30</t>
  </si>
  <si>
    <t>2019-06-27T17:14:08.376+05:30</t>
  </si>
  <si>
    <t>2019-06-27T10:11:00.000+05:30</t>
  </si>
  <si>
    <t>22.5517513 88.3957228 -37.20000076293945 4.5</t>
  </si>
  <si>
    <t>Subject Name Deb Bauri</t>
  </si>
  <si>
    <t>4c7da40e-e9cd-4d8a-ad57-385ac02799fc</t>
  </si>
  <si>
    <t>2019-06-27T11:44:47</t>
  </si>
  <si>
    <t>2019-06-27T10:53:18.917+05:30</t>
  </si>
  <si>
    <t>2019-06-27T17:14:22.479+05:30</t>
  </si>
  <si>
    <t>2019-06-27T10:53:00.000+05:30</t>
  </si>
  <si>
    <t>22.5404612 88.374875 84.9000015258789 5.0</t>
  </si>
  <si>
    <t>FB1386UP</t>
  </si>
  <si>
    <t>Subject Name Nousin Farhen</t>
  </si>
  <si>
    <t>a5a6ea01-4ec4-448d-b41f-25d422ffc007</t>
  </si>
  <si>
    <t>2019-06-27T11:44:48</t>
  </si>
  <si>
    <t>2019-06-27T11:12:22.474+05:30</t>
  </si>
  <si>
    <t>2019-06-27T17:14:36.795+05:30</t>
  </si>
  <si>
    <t>2019-06-27T11:12:00.000+05:30</t>
  </si>
  <si>
    <t>22.5409419 88.3741582 -78.0 5.0</t>
  </si>
  <si>
    <t>Subject Name Ria Khatun</t>
  </si>
  <si>
    <t>4c660995-8bf3-4d67-972c-ad21f6c1d6c2</t>
  </si>
  <si>
    <t>2019-06-27T11:44:50</t>
  </si>
  <si>
    <t>2019-06-27T11:47:31.387+05:30</t>
  </si>
  <si>
    <t>2019-06-27T17:13:28.955+05:30</t>
  </si>
  <si>
    <t>2019-06-27T11:48:00.000+05:30</t>
  </si>
  <si>
    <t>22.5563939 88.3922223 -51.400001525878906 5.0</t>
  </si>
  <si>
    <t>PLc1213</t>
  </si>
  <si>
    <t>21bc5245-0a04-4b73-b9c0-97e1ba513c76</t>
  </si>
  <si>
    <t>2019-06-27T11:44:51</t>
  </si>
  <si>
    <t>2019-06-27T12:00:38.977+05:30</t>
  </si>
  <si>
    <t>2019-06-27T17:13:36.257+05:30</t>
  </si>
  <si>
    <t>2019-06-27T12:01:00.000+05:30</t>
  </si>
  <si>
    <t>22.5579642 88.3896327 -38.70000076293945 5.0</t>
  </si>
  <si>
    <t>dd40339f-abc7-4067-935d-f3967a6dbce1</t>
  </si>
  <si>
    <t>2019-06-27T11:44:53</t>
  </si>
  <si>
    <t>2019-06-27T12:19:20.128+05:30</t>
  </si>
  <si>
    <t>2019-06-27T17:13:43.615+05:30</t>
  </si>
  <si>
    <t>2019-06-27T12:19:00.000+05:30</t>
  </si>
  <si>
    <t>22.563642 88.3772124 -54.400001525878906 5.0</t>
  </si>
  <si>
    <t>FB1387</t>
  </si>
  <si>
    <t>a0855980-7947-4665-866a-4eb1cff96ebb</t>
  </si>
  <si>
    <t>2019-06-27T11:44:55</t>
  </si>
  <si>
    <t>2019-06-27T12:46:05.129+05:30</t>
  </si>
  <si>
    <t>2019-06-27T17:13:50.608+05:30</t>
  </si>
  <si>
    <t>2019-06-27T12:46:00.000+05:30</t>
  </si>
  <si>
    <t>22.5360568 88.3745925 -23.299999237060547 5.0</t>
  </si>
  <si>
    <t>a4fd2bd1-92a1-4cf7-9022-1795c0eee897</t>
  </si>
  <si>
    <t>2019-06-27T11:44:56</t>
  </si>
  <si>
    <t>2019-07-01T11:04:11.223+05:30</t>
  </si>
  <si>
    <t>2019-07-01T12:42:28.277+05:30</t>
  </si>
  <si>
    <t>2019-07-01T11:05:00.000+05:30</t>
  </si>
  <si>
    <t>22.5410349 88.374217 -31.899999618530273 4.5</t>
  </si>
  <si>
    <t>FB1387UP</t>
  </si>
  <si>
    <t>House Of Reya Khatun</t>
  </si>
  <si>
    <t>c93d21e5-f88a-430d-beb1-93838ae297be</t>
  </si>
  <si>
    <t>2019-07-01T07:12:36</t>
  </si>
  <si>
    <t>2019-07-01T11:36:58.618+05:30</t>
  </si>
  <si>
    <t>2019-07-01T12:42:34.181+05:30</t>
  </si>
  <si>
    <t>2019-07-01T11:39:00.000+05:30</t>
  </si>
  <si>
    <t>22.5518356 88.3958275 -18.899999618530273 5.0</t>
  </si>
  <si>
    <t>House Of Deb Bauri</t>
  </si>
  <si>
    <t>ba5426f4-403a-4130-8c38-cd4b0af13371</t>
  </si>
  <si>
    <t>2019-07-01T07:12:38</t>
  </si>
  <si>
    <t>2019-07-02T11:11:43.578+05:30</t>
  </si>
  <si>
    <t>2019-07-02T13:51:01.842+05:30</t>
  </si>
  <si>
    <t>2019-07-02T11:12:00.000+05:30</t>
  </si>
  <si>
    <t>22.5542489 88.396744 -41.099998474121094 5.0</t>
  </si>
  <si>
    <t>PLc1214</t>
  </si>
  <si>
    <t>1715d9cf-b177-49d7-8562-082be0f53eb2</t>
  </si>
  <si>
    <t>2019-07-02T08:21:23</t>
  </si>
  <si>
    <t>2019-07-02T11:41:27.401+05:30</t>
  </si>
  <si>
    <t>2019-07-02T13:51:09.600+05:30</t>
  </si>
  <si>
    <t>2019-07-02T11:42:00.000+05:30</t>
  </si>
  <si>
    <t>22.5578161 88.4113363 -21.100000381469727 5.0</t>
  </si>
  <si>
    <t>86369045-b832-43bc-977b-bccac2c52ee1</t>
  </si>
  <si>
    <t>2019-07-02T08:21:25</t>
  </si>
  <si>
    <t>2019-07-02T12:06:16.032+05:30</t>
  </si>
  <si>
    <t>2019-07-02T13:51:16.810+05:30</t>
  </si>
  <si>
    <t>2019-07-02T12:06:00.000+05:30</t>
  </si>
  <si>
    <t>22.5345131 88.39599 -1.2000000476837158 5.0</t>
  </si>
  <si>
    <t>Dogs are moving</t>
  </si>
  <si>
    <t>Debabrata Adhikari</t>
  </si>
  <si>
    <t>65e80720-f5b4-48e8-93c0-301ffff3963c</t>
  </si>
  <si>
    <t>2019-07-02T08:21:26</t>
  </si>
  <si>
    <t>2019-07-02T12:24:54.841+05:30</t>
  </si>
  <si>
    <t>2019-07-02T13:51:24.576+05:30</t>
  </si>
  <si>
    <t>FB1388</t>
  </si>
  <si>
    <t>2019-07-02T12:25:00.000+05:30</t>
  </si>
  <si>
    <t>22.5399891 88.3873552 -17.100000381469727 5.0</t>
  </si>
  <si>
    <t>aeb2e414-947d-43c3-85be-36e16edc295e</t>
  </si>
  <si>
    <t>2019-07-02T08:21:28</t>
  </si>
  <si>
    <t>2019-07-04T10:38:49.644+05:30</t>
  </si>
  <si>
    <t>2019-07-04T15:59:28.064+05:30</t>
  </si>
  <si>
    <t>2019-07-04T10:39:00.000+05:30</t>
  </si>
  <si>
    <t>22.5563724 88.3921925 -43.29999923706055 5.0</t>
  </si>
  <si>
    <t>Dogs and Hens</t>
  </si>
  <si>
    <t>7f84bfc8-02eb-495c-8f9f-825719614b15</t>
  </si>
  <si>
    <t>2019-07-04T10:29:40</t>
  </si>
  <si>
    <t>2019-07-04T10:49:49.968+05:30</t>
  </si>
  <si>
    <t>2019-07-04T15:59:33.247+05:30</t>
  </si>
  <si>
    <t>FB1388UP</t>
  </si>
  <si>
    <t>2019-07-04T10:50:00.000+05:30</t>
  </si>
  <si>
    <t>22.5579411 88.389639 -36.79999923706055 5.0</t>
  </si>
  <si>
    <t>2ec401a8-c36b-4880-9517-e591ee42f42b</t>
  </si>
  <si>
    <t>2019-07-04T10:29:42</t>
  </si>
  <si>
    <t>2019-07-04T11:07:06.274+05:30</t>
  </si>
  <si>
    <t>2019-07-04T15:59:39.772+05:30</t>
  </si>
  <si>
    <t>2019-07-04T11:08:00.000+05:30</t>
  </si>
  <si>
    <t>22.5636382 88.3772313 -25.600000381469727 5.0</t>
  </si>
  <si>
    <t>e8630cb9-9913-45fe-a1b4-2740b4c914f0</t>
  </si>
  <si>
    <t>2019-07-04T10:29:43</t>
  </si>
  <si>
    <t>2019-07-04T11:53:49.917+05:30</t>
  </si>
  <si>
    <t>2019-07-04T15:59:47.410+05:30</t>
  </si>
  <si>
    <t>MO1200</t>
  </si>
  <si>
    <t>2019-07-04T11:54:00.000+05:30</t>
  </si>
  <si>
    <t>22.5361019 88.3745469 -57.0 5.0</t>
  </si>
  <si>
    <t>Dogs</t>
  </si>
  <si>
    <t>4e660758-a213-4693-bcb7-179883cf5b28</t>
  </si>
  <si>
    <t>2019-07-04T10:29:45</t>
  </si>
  <si>
    <t>2019-07-08T12:37:53.946+05:30</t>
  </si>
  <si>
    <t>2019-07-08T15:01:06.198+05:30</t>
  </si>
  <si>
    <t>2019-07-08T12:38:00.000+05:30</t>
  </si>
  <si>
    <t>22.5529024 88.3985045 -57.20000076293945 5.0</t>
  </si>
  <si>
    <t>f16c2ce6-49e8-4b0f-99e8-1e3046dd3dd7</t>
  </si>
  <si>
    <t>FB1389</t>
  </si>
  <si>
    <t>2019-07-08T09:31:17</t>
  </si>
  <si>
    <t>2019-07-09T10:59:06.713+05:30</t>
  </si>
  <si>
    <t>2019-07-09T15:02:51.533+05:30</t>
  </si>
  <si>
    <t>2019-07-09T10:59:00.000+05:30</t>
  </si>
  <si>
    <t>22.5578807 88.4109951 -57.599998474121094 5.0</t>
  </si>
  <si>
    <t>b05a0ea5-2b9d-4551-88c8-b37358eb3365</t>
  </si>
  <si>
    <t>2019-07-09T11:40:34</t>
  </si>
  <si>
    <t>2019-07-09T11:18:02.203+05:30</t>
  </si>
  <si>
    <t>2019-07-09T15:02:57.649+05:30</t>
  </si>
  <si>
    <t>2019-07-09T11:18:00.000+05:30</t>
  </si>
  <si>
    <t>22.5346849 88.3958435 -27.299999237060547 5.0</t>
  </si>
  <si>
    <t>faf03f3d-b620-40e3-a691-4dff54eacc7c</t>
  </si>
  <si>
    <t>2019-07-09T11:40:37</t>
  </si>
  <si>
    <t>2019-07-09T11:32:06.284+05:30</t>
  </si>
  <si>
    <t>2019-07-09T15:03:05.868+05:30</t>
  </si>
  <si>
    <t>2019-07-09T11:32:00.000+05:30</t>
  </si>
  <si>
    <t>22.5399724 88.3873135 -40.20000076293945 4.5</t>
  </si>
  <si>
    <t>FB1389UP</t>
  </si>
  <si>
    <t>75d29f33-2cf0-4a9f-bf42-cebe94c027ce</t>
  </si>
  <si>
    <t>2019-07-09T11:40:38</t>
  </si>
  <si>
    <t>2019-07-09T10:36:49.649+05:30</t>
  </si>
  <si>
    <t>2019-07-09T15:02:45.301+05:30</t>
  </si>
  <si>
    <t>2019-07-09T10:37:00.000+05:30</t>
  </si>
  <si>
    <t>22.554234 88.3967059 -53.29999923706055 5.0</t>
  </si>
  <si>
    <t>f98a07e1-84b9-495f-a9e8-65b86a6578dd</t>
  </si>
  <si>
    <t>2019-07-09T11:41:49</t>
  </si>
  <si>
    <t>2019-07-09T10:41:52.208+05:30</t>
  </si>
  <si>
    <t>2019-07-09T15:02:38.675+05:30</t>
  </si>
  <si>
    <t>MO1201</t>
  </si>
  <si>
    <t>625f77dc-7cfe-4311-81e3-194254e72547</t>
  </si>
  <si>
    <t>2019-07-09T11:41:50</t>
  </si>
  <si>
    <t>2019-07-10T12:07:56.950+05:30</t>
  </si>
  <si>
    <t>2019-07-10T16:29:39.807+05:30</t>
  </si>
  <si>
    <t>2019-07-10T12:08:00.000+05:30</t>
  </si>
  <si>
    <t>22.5409115 88.3742909 -45.79999923706055 5.0</t>
  </si>
  <si>
    <t>FB1390</t>
  </si>
  <si>
    <t>e378fe1b-4cfd-4990-8c9c-2a3e34bf9fa9</t>
  </si>
  <si>
    <t>2019-07-10T10:59:55</t>
  </si>
  <si>
    <t>2019-07-10T12:22:21.749+05:30</t>
  </si>
  <si>
    <t>2019-07-10T16:29:28.794+05:30</t>
  </si>
  <si>
    <t>6a6eda4a-97bf-49b0-b5b8-30e84954b02f</t>
  </si>
  <si>
    <t>2019-07-10T10:59:56</t>
  </si>
  <si>
    <t>2019-07-11T11:05:31.972+05:30</t>
  </si>
  <si>
    <t>2019-07-11T17:48:39.556+05:30</t>
  </si>
  <si>
    <t>2019-07-11T11:06:00.000+05:30</t>
  </si>
  <si>
    <t>22.5562695 88.3921993 -59.5 5.0</t>
  </si>
  <si>
    <t>9a151276-0d10-48eb-8fd7-9b8092b26422</t>
  </si>
  <si>
    <t>2019-07-11T12:19:02</t>
  </si>
  <si>
    <t>FB1390UP</t>
  </si>
  <si>
    <t>2019-07-11T11:15:29.385+05:30</t>
  </si>
  <si>
    <t>2019-07-11T17:48:50.219+05:30</t>
  </si>
  <si>
    <t>2019-07-11T11:16:00.000+05:30</t>
  </si>
  <si>
    <t>22.5578611 88.3896616 -26.5 5.0</t>
  </si>
  <si>
    <t>601a3f01-a584-45cc-9a58-1d89b705e3fc</t>
  </si>
  <si>
    <t>2019-07-11T12:19:04</t>
  </si>
  <si>
    <t>2019-07-11T11:33:10.286+05:30</t>
  </si>
  <si>
    <t>2019-07-11T17:48:28.434+05:30</t>
  </si>
  <si>
    <t>2019-07-11T11:33:00.000+05:30</t>
  </si>
  <si>
    <t>22.5635342 88.3771127 -45.79999923706055 5.0</t>
  </si>
  <si>
    <t>e4c2e934-b2a2-4ffc-9e2c-72a43dee8132</t>
  </si>
  <si>
    <t>2019-07-11T12:19:07</t>
  </si>
  <si>
    <t>MO1202</t>
  </si>
  <si>
    <t>2019-07-11T12:17:01.610+05:30</t>
  </si>
  <si>
    <t>2019-07-11T17:48:57.290+05:30</t>
  </si>
  <si>
    <t>2019-07-11T12:17:00.000+05:30</t>
  </si>
  <si>
    <t>22.536146 88.3745556 -74.30000305175781 5.0</t>
  </si>
  <si>
    <t>3e3f01f1-cd64-490d-a8bb-05c97c6381cc</t>
  </si>
  <si>
    <t>2019-07-11T12:19:09</t>
  </si>
  <si>
    <t>2019-07-15T11:31:25.793+05:30</t>
  </si>
  <si>
    <t>2019-07-15T17:11:33.298+05:30</t>
  </si>
  <si>
    <t>2019-07-15T11:33:00.000+05:30</t>
  </si>
  <si>
    <t>22.5520273 88.3992725 -51.099998474121094 5.0</t>
  </si>
  <si>
    <t>FB1391</t>
  </si>
  <si>
    <t>House of Swastika Orao</t>
  </si>
  <si>
    <t>dbfabb42-17c9-4868-a2bb-dbeff18a8307</t>
  </si>
  <si>
    <t>2019-07-15T11:41:34</t>
  </si>
  <si>
    <t>2019-07-16T11:03:04.292+05:30</t>
  </si>
  <si>
    <t>2019-07-16T18:20:37.430+05:30</t>
  </si>
  <si>
    <t>2019-07-16T11:03:00.000+05:30</t>
  </si>
  <si>
    <t>22.554189 88.3967372 -46.29999923706055 5.0</t>
  </si>
  <si>
    <t>75bf8ae9-c40f-457a-942d-2bf25e2a49e2</t>
  </si>
  <si>
    <t>2019-07-17T09:59:21</t>
  </si>
  <si>
    <t>2019-07-16T11:24:21.833+05:30</t>
  </si>
  <si>
    <t>2019-07-16T18:20:42.473+05:30</t>
  </si>
  <si>
    <t>FB1391UP</t>
  </si>
  <si>
    <t>2019-07-16T11:25:00.000+05:30</t>
  </si>
  <si>
    <t>22.5578927 88.4110411 -20.399999618530273 5.0</t>
  </si>
  <si>
    <t>edace53a-fc59-4817-853a-aa368f643ce2</t>
  </si>
  <si>
    <t>2019-07-17T09:59:22</t>
  </si>
  <si>
    <t>2019-07-16T11:34:01.586+05:30</t>
  </si>
  <si>
    <t>2019-07-16T18:20:32.421+05:30</t>
  </si>
  <si>
    <t>MO1203</t>
  </si>
  <si>
    <t>22591ec4-6324-4b42-9f8e-bdd452718202</t>
  </si>
  <si>
    <t>2019-07-17T09:59:23</t>
  </si>
  <si>
    <t>2019-07-16T11:52:38.287+05:30</t>
  </si>
  <si>
    <t>2019-07-16T18:20:49.306+05:30</t>
  </si>
  <si>
    <t>2019-07-16T11:53:00.000+05:30</t>
  </si>
  <si>
    <t>22.5346295 88.3958381 -68.5999984741211 5.0</t>
  </si>
  <si>
    <t>FB1392</t>
  </si>
  <si>
    <t>59a6dbcd-087a-45d8-bce2-9038a2750b76</t>
  </si>
  <si>
    <t>2019-07-17T09:59:25</t>
  </si>
  <si>
    <t>2019-07-16T12:09:34.319+05:30</t>
  </si>
  <si>
    <t>2019-07-16T18:20:54.671+05:30</t>
  </si>
  <si>
    <t>2019-07-16T12:10:00.000+05:30</t>
  </si>
  <si>
    <t>22.5400459 88.3872868 -46.70000076293945 5.0</t>
  </si>
  <si>
    <t>FB1392UP</t>
  </si>
  <si>
    <t>2c5ea8f0-04a9-4220-9733-dc829db05793</t>
  </si>
  <si>
    <t>2019-07-17T09:59:26</t>
  </si>
  <si>
    <t>2019-07-17T11:49:00.644+05:30</t>
  </si>
  <si>
    <t>2019-07-17T15:32:57.725+05:30</t>
  </si>
  <si>
    <t>2019-07-17T11:49:00.000+05:30</t>
  </si>
  <si>
    <t>22.5449612 88.3823034 -53.400001525878906 5.0</t>
  </si>
  <si>
    <t>Diameter 39.5 cm</t>
  </si>
  <si>
    <t>47a03bb7-4ae4-49cf-afd7-38cf71271047</t>
  </si>
  <si>
    <t>2019-07-17T10:03:11</t>
  </si>
  <si>
    <t>2019-07-17T12:01:58.625+05:30</t>
  </si>
  <si>
    <t>2019-07-17T15:32:52.309+05:30</t>
  </si>
  <si>
    <t>MO1204</t>
  </si>
  <si>
    <t>5e5cb7ec-b3d4-4cfb-b1d6-51151ca50804</t>
  </si>
  <si>
    <t>2019-07-17T10:03:13</t>
  </si>
  <si>
    <t>2019-07-18T10:43:18.453+05:30</t>
  </si>
  <si>
    <t>2019-07-18T16:42:31.371+05:30</t>
  </si>
  <si>
    <t>2019-07-18T10:43:00.000+05:30</t>
  </si>
  <si>
    <t>22.5563209 88.3920956 -38.0 5.0</t>
  </si>
  <si>
    <t>FB1393</t>
  </si>
  <si>
    <t>0e3708f4-b874-4fc3-9db8-8682c4d9c165</t>
  </si>
  <si>
    <t>2019-07-18T11:12:59</t>
  </si>
  <si>
    <t>2019-07-18T11:01:04.866+05:30</t>
  </si>
  <si>
    <t>2019-07-18T16:42:38.187+05:30</t>
  </si>
  <si>
    <t>2019-07-18T11:01:00.000+05:30</t>
  </si>
  <si>
    <t>22.5579505 88.389605 -69.0999984741211 5.0</t>
  </si>
  <si>
    <t>FB1393UP</t>
  </si>
  <si>
    <t>7212bb90-bf51-4827-99cb-f092d8702626</t>
  </si>
  <si>
    <t>2019-07-18T11:13:01</t>
  </si>
  <si>
    <t>2019-07-18T11:20:31.987+05:30</t>
  </si>
  <si>
    <t>2019-07-18T16:42:45.145+05:30</t>
  </si>
  <si>
    <t>2019-07-18T11:21:00.000+05:30</t>
  </si>
  <si>
    <t>22.563536 88.3771761 -32.29999923706055 5.0</t>
  </si>
  <si>
    <t>82f61a98-c613-4925-b438-f912e39d9d45</t>
  </si>
  <si>
    <t>2019-07-18T11:13:03</t>
  </si>
  <si>
    <t>2019-07-18T13:55:55.121+05:30</t>
  </si>
  <si>
    <t>2019-07-18T16:42:52.166+05:30</t>
  </si>
  <si>
    <t>2019-07-18T13:57:00.000+05:30</t>
  </si>
  <si>
    <t>22.5361817 88.3746017 -43.79999923706055 5.0</t>
  </si>
  <si>
    <t>afb54f3f-bfc9-4571-bbf4-d9044ed78181</t>
  </si>
  <si>
    <t>2019-07-18T11:13:05</t>
  </si>
  <si>
    <t>2019-07-22T11:57:58.276+05:30</t>
  </si>
  <si>
    <t>2019-07-22T16:38:16.571+05:30</t>
  </si>
  <si>
    <t>2019-07-22T11:58:00.000+05:30</t>
  </si>
  <si>
    <t>22.5532739 88.3977935 -7.300000190734863 5.0</t>
  </si>
  <si>
    <t>Diameter 40 cm</t>
  </si>
  <si>
    <t>65cd08cc-0325-4729-9f72-693693fa03c5</t>
  </si>
  <si>
    <t>2019-07-22T11:08:17</t>
  </si>
  <si>
    <t>2019-07-23T10:49:24.499+05:30</t>
  </si>
  <si>
    <t>2019-07-23T15:33:02.797+05:30</t>
  </si>
  <si>
    <t>2019-07-23T10:50:00.000+05:30</t>
  </si>
  <si>
    <t>22.5541423 88.3967662 -42.0 5.0</t>
  </si>
  <si>
    <t>9cd60e5d-dbe7-4411-816a-439f39c5fa53</t>
  </si>
  <si>
    <t>2019-07-23T10:03:29</t>
  </si>
  <si>
    <t>2019-07-23T11:10:15.409+05:30</t>
  </si>
  <si>
    <t>2019-07-23T15:33:08.752+05:30</t>
  </si>
  <si>
    <t>2019-07-23T11:11:00.000+05:30</t>
  </si>
  <si>
    <t>22.5578923 88.4108167 -55.599998474121094 5.0</t>
  </si>
  <si>
    <t>d83d0cf6-0b0d-4aa2-987c-5e36f2f04e41</t>
  </si>
  <si>
    <t>2019-07-23T10:03:31</t>
  </si>
  <si>
    <t>2019-07-23T11:28:33.863+05:30</t>
  </si>
  <si>
    <t>2019-07-23T15:33:14.466+05:30</t>
  </si>
  <si>
    <t>2019-07-23T11:29:00.000+05:30</t>
  </si>
  <si>
    <t>22.5343778 88.3959301 7.199999809265137 5.0</t>
  </si>
  <si>
    <t>Dogs were moving</t>
  </si>
  <si>
    <t>7324f2c5-3cdf-4be4-abba-8e400e0e18ec</t>
  </si>
  <si>
    <t>2019-07-23T10:03:32</t>
  </si>
  <si>
    <t>2019-07-23T11:35:30.751+05:30</t>
  </si>
  <si>
    <t>2019-07-23T15:33:28.457+05:30</t>
  </si>
  <si>
    <t>FB1385</t>
  </si>
  <si>
    <t>6f2dc5a1-3109-414f-8f8d-085917d017b7</t>
  </si>
  <si>
    <t>2019-07-23T10:03:34</t>
  </si>
  <si>
    <t>2019-07-23T11:49:43.921+05:30</t>
  </si>
  <si>
    <t>2019-07-23T15:33:21.557+05:30</t>
  </si>
  <si>
    <t>2019-07-23T11:50:00.000+05:30</t>
  </si>
  <si>
    <t>22.54003 88.3872367 -44.0 5.0</t>
  </si>
  <si>
    <t>FB1385UP</t>
  </si>
  <si>
    <t>a708bea2-2da8-4b5d-83cb-bfc485948bec</t>
  </si>
  <si>
    <t>2019-07-23T10:03:35</t>
  </si>
  <si>
    <t>2019-07-24T12:25:47.593+05:30</t>
  </si>
  <si>
    <t>2019-07-24T17:07:31.115+05:30</t>
  </si>
  <si>
    <t>2019-07-24T12:26:00.000+05:30</t>
  </si>
  <si>
    <t>22.5445657 88.383093 -45.400001525878906 5.0</t>
  </si>
  <si>
    <t>Diameter 41 cm</t>
  </si>
  <si>
    <t>de08ccea-ba0d-466d-94fd-f57e33a1906d</t>
  </si>
  <si>
    <t>2019-07-24T11:37:41</t>
  </si>
  <si>
    <t>2019-07-24T12:58:09.391+05:30</t>
  </si>
  <si>
    <t>2019-07-24T17:07:24.604+05:30</t>
  </si>
  <si>
    <t>32ec8e44-e3f8-4936-a267-b8de6e4f524d</t>
  </si>
  <si>
    <t>2019-07-24T11:37:43</t>
  </si>
  <si>
    <t>NCEC104</t>
  </si>
  <si>
    <t>2019-07-25T11:01:41.667+05:30</t>
  </si>
  <si>
    <t>2019-07-25T15:01:43.106+05:30</t>
  </si>
  <si>
    <t>2019-07-25T11:01:00.000+05:30</t>
  </si>
  <si>
    <t>22.5563621 88.3921377 -56.20000076293945 5.0</t>
  </si>
  <si>
    <t>6cfcc3b4-fbeb-4cc7-9dd9-85807f227383</t>
  </si>
  <si>
    <t>2019-07-25T09:32:13</t>
  </si>
  <si>
    <t>UPNC100</t>
  </si>
  <si>
    <t>2019-07-25T11:14:43.144+05:30</t>
  </si>
  <si>
    <t>2019-07-25T15:01:49.242+05:30</t>
  </si>
  <si>
    <t>2019-07-25T11:15:00.000+05:30</t>
  </si>
  <si>
    <t>22.5579811 88.3896394 -42.20000076293945 5.0</t>
  </si>
  <si>
    <t>a01bca1c-c7bf-4b86-a674-2279733f8948</t>
  </si>
  <si>
    <t>2019-07-25T09:32:15</t>
  </si>
  <si>
    <t>2019-07-25T11:35:05.078+05:30</t>
  </si>
  <si>
    <t>2019-07-25T15:01:55.445+05:30</t>
  </si>
  <si>
    <t>2019-07-25T11:35:00.000+05:30</t>
  </si>
  <si>
    <t>22.5636091 88.3773141 -33.29999923706055 5.0</t>
  </si>
  <si>
    <t>PLc1215</t>
  </si>
  <si>
    <t>a42f82cd-fa77-4c45-bd00-9ac3340246a9</t>
  </si>
  <si>
    <t>2019-07-25T09:32:16</t>
  </si>
  <si>
    <t>2019-07-25T12:07:04.605+05:30</t>
  </si>
  <si>
    <t>2019-07-25T15:02:03.219+05:30</t>
  </si>
  <si>
    <t>2019-07-25T12:07:00.000+05:30</t>
  </si>
  <si>
    <t>22.5361554 88.3743713 -75.4000015258789 5.0</t>
  </si>
  <si>
    <t>6a287346-aff1-46be-81d8-76a202951d3b</t>
  </si>
  <si>
    <t>2019-07-25T09:32:18</t>
  </si>
  <si>
    <t>2019-07-29T11:45:52.507+05:30</t>
  </si>
  <si>
    <t>2019-07-30T14:49:57.910+05:30</t>
  </si>
  <si>
    <t>2019-07-29T12:04:00.000+05:30</t>
  </si>
  <si>
    <t>22.5529652 88.3984056 -40.29999923706055 5.0</t>
  </si>
  <si>
    <t>FB1394</t>
  </si>
  <si>
    <t>Diameter 44 cm</t>
  </si>
  <si>
    <t>7d2b8b3f-dc51-4282-8fd0-645e540fe84c</t>
  </si>
  <si>
    <t>2019-07-30T09:20:02</t>
  </si>
  <si>
    <t>2019-07-29T12:21:46.059+05:30</t>
  </si>
  <si>
    <t>2019-07-30T14:49:24.683+05:30</t>
  </si>
  <si>
    <t>de6ff003-730d-4497-92a0-37d3811d0c11</t>
  </si>
  <si>
    <t>2019-07-30T09:20:03</t>
  </si>
  <si>
    <t>2019-07-30T11:01:35.266+05:30</t>
  </si>
  <si>
    <t>2019-07-30T14:49:35.170+05:30</t>
  </si>
  <si>
    <t>2019-07-30T11:02:00.000+05:30</t>
  </si>
  <si>
    <t>22.5345865 88.3958848 -35.599998474121094 5.0</t>
  </si>
  <si>
    <t>7288b14a-862a-48c6-91bb-18b6d33e8c00</t>
  </si>
  <si>
    <t>2019-07-30T09:20:05</t>
  </si>
  <si>
    <t>2019-07-30T11:16:35.559+05:30</t>
  </si>
  <si>
    <t>PLc1216</t>
  </si>
  <si>
    <t>2019-07-30T14:49:42.517+05:30</t>
  </si>
  <si>
    <t>2019-07-30T11:17:00.000+05:30</t>
  </si>
  <si>
    <t>22.5400493 88.3872547 -60.20000076293945 5.0</t>
  </si>
  <si>
    <t>410e7573-b96d-4c4a-83a8-0b46318d0520</t>
  </si>
  <si>
    <t>2019-07-30T09:20:06</t>
  </si>
  <si>
    <t>2019-07-30T11:24:57.480+05:30</t>
  </si>
  <si>
    <t>2019-07-30T14:49:30.288+05:30</t>
  </si>
  <si>
    <t>Fild blank on Moore Swab site</t>
  </si>
  <si>
    <t>20b6a3df-b41d-41a5-a7f1-99f14924df92</t>
  </si>
  <si>
    <t>2019-07-30T09:20:08</t>
  </si>
  <si>
    <t>2019-07-30T11:50:27.101+05:30</t>
  </si>
  <si>
    <t>2019-07-30T14:49:52.909+05:30</t>
  </si>
  <si>
    <t>2019-07-30T11:50:00.000+05:30</t>
  </si>
  <si>
    <t>22.5578984 88.4110022 -22.399999618530273 5.0</t>
  </si>
  <si>
    <t>FB1395</t>
  </si>
  <si>
    <t>bcaeab81-e9e0-4b90-b1f3-08b85cd4085a</t>
  </si>
  <si>
    <t>2019-07-30T09:20:09</t>
  </si>
  <si>
    <t>2019-07-30T12:04:50.721+05:30</t>
  </si>
  <si>
    <t>2019-07-30T14:49:47.904+05:30</t>
  </si>
  <si>
    <t>2019-07-30T12:05:00.000+05:30</t>
  </si>
  <si>
    <t>22.5541961 88.3966929 -53.0 5.0</t>
  </si>
  <si>
    <t>9f3c12e3-0847-4b94-bfb6-b06f2ce06db8</t>
  </si>
  <si>
    <t>2019-07-30T09:20:11</t>
  </si>
  <si>
    <t>2019-07-31T12:55:53.298+05:30</t>
  </si>
  <si>
    <t>2019-07-31T16:50:47.580+05:30</t>
  </si>
  <si>
    <t>2019-07-31T12:57:00.000+05:30</t>
  </si>
  <si>
    <t>22.5426942 88.3834215 -48.400001525878906 5.0</t>
  </si>
  <si>
    <t>PLc1217</t>
  </si>
  <si>
    <t>0221291d-7fc5-47e8-a70a-b9d5398034fe</t>
  </si>
  <si>
    <t>2019-07-31T12:12:51</t>
  </si>
  <si>
    <t>2019-07-31T13:18:14.295+05:30</t>
  </si>
  <si>
    <t>2019-07-31T16:50:41.509+05:30</t>
  </si>
  <si>
    <t>d1e66285-f326-4423-be27-dca476f8177d</t>
  </si>
  <si>
    <t>2019-07-31T12:12:52</t>
  </si>
  <si>
    <t>2019-08-01T11:18:23.868+05:30</t>
  </si>
  <si>
    <t>2019-08-01T13:56:19.228+05:30</t>
  </si>
  <si>
    <t>2019-08-01T11:19:00.000+05:30</t>
  </si>
  <si>
    <t>22.5580381 88.389694 -10.5 5.0</t>
  </si>
  <si>
    <t>FB1396</t>
  </si>
  <si>
    <t>83eee10f-899e-44ca-af5c-8a22864eb93e</t>
  </si>
  <si>
    <t>2019-08-01T08:26:55</t>
  </si>
  <si>
    <t>2019-08-01T11:39:02.599+05:30</t>
  </si>
  <si>
    <t>2019-08-01T13:56:27.785+05:30</t>
  </si>
  <si>
    <t>2019-08-01T11:39:00.000+05:30</t>
  </si>
  <si>
    <t>22.5637088 88.3772761 -16.5 5.0</t>
  </si>
  <si>
    <t>20c26ee5-1911-49c9-97b1-a3ac79f7b9f9</t>
  </si>
  <si>
    <t>2019-08-01T08:26:56</t>
  </si>
  <si>
    <t>2019-08-01T12:09:03.981+05:30</t>
  </si>
  <si>
    <t>2019-08-01T13:56:35.791+05:30</t>
  </si>
  <si>
    <t>2019-08-01T12:09:00.000+05:30</t>
  </si>
  <si>
    <t>22.5362509 88.3747723 -11.5 5.0</t>
  </si>
  <si>
    <t>NCEC105</t>
  </si>
  <si>
    <t>a4dd4767-4406-4075-aa61-1de3bb97755d</t>
  </si>
  <si>
    <t>2019-08-01T08:26:58</t>
  </si>
  <si>
    <t>2019-08-01T12:36:28.846+05:30</t>
  </si>
  <si>
    <t>2019-08-01T13:56:07.735+05:30</t>
  </si>
  <si>
    <t>At Pumping Station Site #3</t>
  </si>
  <si>
    <t>c54e931c-45c7-4707-8ecf-5fc6645c621f</t>
  </si>
  <si>
    <t>2019-08-01T08:26:59</t>
  </si>
  <si>
    <t>MO1205</t>
  </si>
  <si>
    <t>2019-08-01T12:39:39.324+05:30</t>
  </si>
  <si>
    <t>2019-08-01T13:56:12.284+05:30</t>
  </si>
  <si>
    <t>2019-08-01T12:40:00.000+05:30</t>
  </si>
  <si>
    <t>22.5563173 88.3921073 -41.900001525878906 5.0</t>
  </si>
  <si>
    <t>ba188cd4-4e8c-4a8b-9202-fab846c3d558</t>
  </si>
  <si>
    <t>2019-08-01T08:27:00</t>
  </si>
  <si>
    <t>2019-08-06T12:59:12.581+05:30</t>
  </si>
  <si>
    <t>2019-08-06T13:16:31.618+05:30</t>
  </si>
  <si>
    <t>Open Drain Site</t>
  </si>
  <si>
    <t>efb0bbb6-9785-47a2-a6a4-eb7bf502f7d8</t>
  </si>
  <si>
    <t>2019-08-06T09:11:18</t>
  </si>
  <si>
    <t>2019-08-06T10:51:15.923+05:30</t>
  </si>
  <si>
    <t>2019-08-06T14:41:34.789+05:30</t>
  </si>
  <si>
    <t>2019-08-06T10:52:00.000+05:30</t>
  </si>
  <si>
    <t>22.5579258 88.4107771 -13.5 5.0</t>
  </si>
  <si>
    <t>dc0adf40-7206-4804-aa4f-c482fd639e2b</t>
  </si>
  <si>
    <t>2019-08-06T09:14:57</t>
  </si>
  <si>
    <t>2019-08-06T11:10:43.505+05:30</t>
  </si>
  <si>
    <t>2019-08-06T14:41:41.517+05:30</t>
  </si>
  <si>
    <t>2019-08-06T11:11:00.000+05:30</t>
  </si>
  <si>
    <t>22.534629 88.395896 -25.600000381469727 5.0</t>
  </si>
  <si>
    <t>35d90736-d0ae-42d5-b6e0-6eabb91d99a5</t>
  </si>
  <si>
    <t>2019-08-06T09:14:58</t>
  </si>
  <si>
    <t>2019-08-06T11:17:45.830+05:30</t>
  </si>
  <si>
    <t>2019-08-06T14:42:08.971+05:30</t>
  </si>
  <si>
    <t>MO1206</t>
  </si>
  <si>
    <t>50d88c4e-7949-4470-b07c-2bff49e66a41</t>
  </si>
  <si>
    <t>2019-08-06T09:15:00</t>
  </si>
  <si>
    <t>2019-08-06T11:33:51.469+05:30</t>
  </si>
  <si>
    <t>2019-08-06T14:41:46.647+05:30</t>
  </si>
  <si>
    <t>2019-08-06T11:35:00.000+05:30</t>
  </si>
  <si>
    <t>22.5400289 88.3872753 -63.099998474121094 5.0</t>
  </si>
  <si>
    <t>b0a5ad4c-2dba-49b8-a76f-d9d890c010c6</t>
  </si>
  <si>
    <t>2019-08-06T09:15:01</t>
  </si>
  <si>
    <t>2019-08-06T13:16:37.171+05:30</t>
  </si>
  <si>
    <t>2019-08-06T14:41:51.364+05:30</t>
  </si>
  <si>
    <t>2019-08-06T13:17:00.000+05:30</t>
  </si>
  <si>
    <t>22.5542301 88.3966706 -52.5 5.0</t>
  </si>
  <si>
    <t>99f948e5-7328-4a76-acd1-c9b8c1f02f15</t>
  </si>
  <si>
    <t>2019-08-06T09:15:03</t>
  </si>
  <si>
    <t>2019-08-05T12:43:47.705+05:30</t>
  </si>
  <si>
    <t>2019-08-06T14:50:23.467+05:30</t>
  </si>
  <si>
    <t>2019-08-05T12:33:00.000+05:30</t>
  </si>
  <si>
    <t>22.5525754 88.3984623 -52.900001525878906 5.0</t>
  </si>
  <si>
    <t>Size of Square Pit 62cm×62cm</t>
  </si>
  <si>
    <t>bf15da76-3979-453a-96e7-ea39984eb92d</t>
  </si>
  <si>
    <t>2019-08-06T09:20:47</t>
  </si>
  <si>
    <t>2019-08-05T13:12:35.485+05:30</t>
  </si>
  <si>
    <t>2019-08-06T14:50:07.530+05:30</t>
  </si>
  <si>
    <t>Field blank on poold Latrine site</t>
  </si>
  <si>
    <t>6537a24d-f422-4d26-9a40-ec862736fd36</t>
  </si>
  <si>
    <t>2019-08-06T09:20:49</t>
  </si>
  <si>
    <t>2019-08-07T12:26:09.394+05:30</t>
  </si>
  <si>
    <t>2019-08-07T15:46:22.113+05:30</t>
  </si>
  <si>
    <t>MO1207</t>
  </si>
  <si>
    <t>2019-08-07T12:26:00.000+05:30</t>
  </si>
  <si>
    <t>22.5436696 88.3800574 -52.400001525878906 5.0</t>
  </si>
  <si>
    <t>e3143612-fa6e-425a-9049-e51c4cab8c8e</t>
  </si>
  <si>
    <t>2019-08-08T08:18:18</t>
  </si>
  <si>
    <t>2019-08-07T12:45:03.762+05:30</t>
  </si>
  <si>
    <t>2019-08-07T15:46:17.207+05:30</t>
  </si>
  <si>
    <t>Field blank on poold latrine site</t>
  </si>
  <si>
    <t>2b10bff0-db2d-4394-b830-1d59669c26c7</t>
  </si>
  <si>
    <t>2019-08-08T08:18:19</t>
  </si>
  <si>
    <t>2019-08-08T09:39:34.321+05:30</t>
  </si>
  <si>
    <t>2019-08-08T13:51:34.033+05:30</t>
  </si>
  <si>
    <t>2019-08-08T09:40:00.000+05:30</t>
  </si>
  <si>
    <t>22.5635884 88.3773059 -56.20000076293945 5.0</t>
  </si>
  <si>
    <t>FB1399</t>
  </si>
  <si>
    <t>841d729e-acd5-44b8-bbeb-b2153b1f9f15</t>
  </si>
  <si>
    <t>2019-08-08T08:22:49</t>
  </si>
  <si>
    <t>2019-08-08T10:08:42.237+05:30</t>
  </si>
  <si>
    <t>2019-08-08T13:51:39.891+05:30</t>
  </si>
  <si>
    <t>2019-08-08T10:09:00.000+05:30</t>
  </si>
  <si>
    <t>22.5361995 88.3745445 -32.900001525878906 4.5</t>
  </si>
  <si>
    <t>508f3597-3f24-4d7d-b143-f2bad28298a5</t>
  </si>
  <si>
    <t>2019-08-08T08:22:51</t>
  </si>
  <si>
    <t>2019-08-08T12:19:17.985+05:30</t>
  </si>
  <si>
    <t>2019-08-08T13:51:45.301+05:30</t>
  </si>
  <si>
    <t>MO1208</t>
  </si>
  <si>
    <t>2019-08-08T12:21:00.000+05:30</t>
  </si>
  <si>
    <t>22.5564173 88.39203 -25.600000381469727 5.0</t>
  </si>
  <si>
    <t>Dog inside the Pumping Station</t>
  </si>
  <si>
    <t>51dc7fc7-b0c3-41f7-9abf-cd267349acd6</t>
  </si>
  <si>
    <t>2019-08-08T08:22:52</t>
  </si>
  <si>
    <t>2019-08-08T12:34:06.294+05:30</t>
  </si>
  <si>
    <t>2019-08-08T13:51:51.119+05:30</t>
  </si>
  <si>
    <t>2019-08-08T12:35:00.000+05:30</t>
  </si>
  <si>
    <t>22.5579938 88.3896168 -57.900001525878906 5.0</t>
  </si>
  <si>
    <t>FB1400</t>
  </si>
  <si>
    <t>c6aa3332-c697-4edf-999f-465e834c071a</t>
  </si>
  <si>
    <t>2019-08-08T08:22:54</t>
  </si>
  <si>
    <t>2019-08-08T12:45:15.176+05:30</t>
  </si>
  <si>
    <t>2019-08-08T13:52:43.868+05:30</t>
  </si>
  <si>
    <t>91d35e01-2594-4daa-9785-b53ed9a4596a</t>
  </si>
  <si>
    <t>2019-08-08T08:22:55</t>
  </si>
  <si>
    <t>2019-08-19T11:52:11.892+05:30</t>
  </si>
  <si>
    <t>2019-08-19T12:48:00.401+05:30</t>
  </si>
  <si>
    <t>2019-08-19T11:52:00.000+05:30</t>
  </si>
  <si>
    <t>22.5564528 88.392092 -48.099998474121094 5.0</t>
  </si>
  <si>
    <t>Sample collected by suvankar Mandal</t>
  </si>
  <si>
    <t>vE4SKU9CYkRLMcog6XWGph</t>
  </si>
  <si>
    <t>e5aa4591-67c8-4eb3-98e1-e54a0bfee482</t>
  </si>
  <si>
    <t>2019-08-19T07:18:09</t>
  </si>
  <si>
    <t>2019-08-20T11:28:54.853+05:30</t>
  </si>
  <si>
    <t>2019-08-20T16:07:53.478+05:30</t>
  </si>
  <si>
    <t>2019-08-20T11:29:00.000+05:30</t>
  </si>
  <si>
    <t>22.5535414 88.3987593 -37.900001525878906 5.0</t>
  </si>
  <si>
    <t>FB1401</t>
  </si>
  <si>
    <t>HH Id 1057, Sample collected by Asish</t>
  </si>
  <si>
    <t>fa44834c-47b2-47fa-8978-f21b68b715f2</t>
  </si>
  <si>
    <t>2019-08-20T10:38:12</t>
  </si>
  <si>
    <t>2019-08-20T11:56:25.199+05:30</t>
  </si>
  <si>
    <t>2019-08-20T16:07:44.950+05:30</t>
  </si>
  <si>
    <t>2019-08-20T12:02:00.000+05:30</t>
  </si>
  <si>
    <t>22.553546 88.3987253 -54.0 5.0</t>
  </si>
  <si>
    <t>PL Site, Sample Collected by Asish</t>
  </si>
  <si>
    <t>c53decb6-888d-4780-930d-66d140e52e1a</t>
  </si>
  <si>
    <t>2019-08-20T10:38:14</t>
  </si>
  <si>
    <t>2019-08-21T16:07:21.786+05:30</t>
  </si>
  <si>
    <t>2019-08-21T17:19:07.996+05:30</t>
  </si>
  <si>
    <t>2019-08-21T16:07:00.000+05:30</t>
  </si>
  <si>
    <t>22.5542172 88.3967227 -53.5 5.0</t>
  </si>
  <si>
    <t>Sample collected by somnath sarkar</t>
  </si>
  <si>
    <t>78bfcdbd-df32-410e-8584-b14a5872a91e</t>
  </si>
  <si>
    <t>2019-08-21T11:49:11</t>
  </si>
  <si>
    <t>2019-08-26T12:30:34.222+05:30</t>
  </si>
  <si>
    <t>2019-08-26T15:53:13.399+05:30</t>
  </si>
  <si>
    <t>2019-08-26T12:32:00.000+05:30</t>
  </si>
  <si>
    <t>22.5362377 88.3749907 -99.4000015258789 5.0</t>
  </si>
  <si>
    <t>FB1402</t>
  </si>
  <si>
    <t>Sample Collected by somnath sarkar</t>
  </si>
  <si>
    <t>c58c2807-fc1a-444b-b426-9cb9690e7679</t>
  </si>
  <si>
    <t>2019-08-26T10:23:17</t>
  </si>
  <si>
    <t>2019-08-27T12:05:38.297+05:30</t>
  </si>
  <si>
    <t>2019-08-27T16:17:46.425+05:30</t>
  </si>
  <si>
    <t>2019-08-27T12:06:00.000+05:30</t>
  </si>
  <si>
    <t>22.5451726 88.3820583 -41.5 5.0</t>
  </si>
  <si>
    <t>UF1027</t>
  </si>
  <si>
    <t>Diameter 39 cm. Sample collected by somnath sarkar</t>
  </si>
  <si>
    <t>fc66a23e-3e1b-458f-ad9f-0b9d8dc585e9</t>
  </si>
  <si>
    <t>2019-08-27T10:47:57</t>
  </si>
  <si>
    <t>2019-08-27T12:23:16.343+05:30</t>
  </si>
  <si>
    <t>2019-08-27T16:17:25.256+05:30</t>
  </si>
  <si>
    <t>2019-08-27T12:23:00.000+05:30</t>
  </si>
  <si>
    <t>22.545166 88.3820943 -26.0 5.0</t>
  </si>
  <si>
    <t>FB at poold latrine site.Sample collected by debabrata Maity</t>
  </si>
  <si>
    <t>0a42e501-2c7a-4710-ba65-e92251b40625</t>
  </si>
  <si>
    <t>2019-08-27T10:47:59</t>
  </si>
  <si>
    <t>2019-08-27T12:57:55.148+05:30</t>
  </si>
  <si>
    <t>NCEC106</t>
  </si>
  <si>
    <t>2019-08-27T16:17:36.502+05:30</t>
  </si>
  <si>
    <t>2019-08-27T12:58:00.000+05:30</t>
  </si>
  <si>
    <t>22.5579535 88.4108818 -48.400001525878906 4.5</t>
  </si>
  <si>
    <t>PL1030</t>
  </si>
  <si>
    <t>7606068e-39a9-455b-bc9d-b6ae51a17403</t>
  </si>
  <si>
    <t>2019-08-27T10:48:00</t>
  </si>
  <si>
    <t>2019-08-27T13:02:17.930+05:30</t>
  </si>
  <si>
    <t>2019-08-27T16:17:30.097+05:30</t>
  </si>
  <si>
    <t>2019-08-27T13:11:00.000+05:30</t>
  </si>
  <si>
    <t>22.5579701 88.4107398 -47.400001525878906 5.0</t>
  </si>
  <si>
    <t>FB at mo site . Sample collected by buddhadeb Samaddar</t>
  </si>
  <si>
    <t>78d3fc99-4067-4562-8a40-03fcda3d97da</t>
  </si>
  <si>
    <t>2019-08-27T10:48:02</t>
  </si>
  <si>
    <t>2019-08-27T15:40:52.902+05:30</t>
  </si>
  <si>
    <t>2019-08-27T16:17:51.880+05:30</t>
  </si>
  <si>
    <t>2019-08-27T15:41:00.000+05:30</t>
  </si>
  <si>
    <t>22.5399927 88.3872502 -62.599998474121094 5.0</t>
  </si>
  <si>
    <t>73b1424b-4ef5-4c1a-8495-b1f8949a6d3b</t>
  </si>
  <si>
    <t>2019-08-27T10:48:03</t>
  </si>
  <si>
    <t>FB1406</t>
  </si>
  <si>
    <t>2019-09-02T11:42:36.455+05:30</t>
  </si>
  <si>
    <t>2019-09-02T13:47:14.710+05:30</t>
  </si>
  <si>
    <t>2019-09-02T11:43:00.000+05:30</t>
  </si>
  <si>
    <t>22.556453 88.3920675 -29.5 5.0</t>
  </si>
  <si>
    <t>Practice Sample. sample collected by Buddhadeb Samaddar</t>
  </si>
  <si>
    <t>ASHIS SAHA</t>
  </si>
  <si>
    <t>90f33971-15ef-4270-8eac-64cc1fb63f25</t>
  </si>
  <si>
    <t>2019-09-02T08:17:14</t>
  </si>
  <si>
    <t>2019-09-03T12:23:05.711+05:30</t>
  </si>
  <si>
    <t>2019-09-03T16:07:06.484+05:30</t>
  </si>
  <si>
    <t>2019-09-03T12:24:00.000+05:30</t>
  </si>
  <si>
    <t>22.5551432 88.3863778 -13.600000381469727 5.0</t>
  </si>
  <si>
    <t>2bdd3b70-d850-4717-b7dc-85a94baf7cfb</t>
  </si>
  <si>
    <t>2019-09-03T10:37:19</t>
  </si>
  <si>
    <t>2019-09-03T12:38:12.765+05:30</t>
  </si>
  <si>
    <t>2019-09-03T16:06:50.619+05:30</t>
  </si>
  <si>
    <t>2019-09-03T12:39:00.000+05:30</t>
  </si>
  <si>
    <t>22.5552036 88.3863916 -27.600000381469727 5.0</t>
  </si>
  <si>
    <t>PL1031</t>
  </si>
  <si>
    <t>8a428013-c29b-428b-affb-c477487b0970</t>
  </si>
  <si>
    <t>2019-09-03T10:37:24</t>
  </si>
  <si>
    <t>2019-09-03T13:18:30.236+05:30</t>
  </si>
  <si>
    <t>2019-09-03T16:07:13.112+05:30</t>
  </si>
  <si>
    <t>2019-09-03T13:20:00.000+05:30</t>
  </si>
  <si>
    <t>22.5409046 88.3748445 -21.700000762939453 5.0</t>
  </si>
  <si>
    <t>Practice Sample, Sample Collected by Debabrata Maity</t>
  </si>
  <si>
    <t>37bd84f9-ec08-4a2a-8d22-cef9ef6f039d</t>
  </si>
  <si>
    <t>2019-09-03T10:37:27</t>
  </si>
  <si>
    <t>2019-09-03T14:16:40.531+05:30</t>
  </si>
  <si>
    <t>2019-09-03T16:06:59.928+05:30</t>
  </si>
  <si>
    <t>2019-09-03T14:17:00.000+05:30</t>
  </si>
  <si>
    <t>22.5563153 88.3920869 -47.79999923706055 5.0</t>
  </si>
  <si>
    <t>FB1407</t>
  </si>
  <si>
    <t>72f710d3-c05a-4289-a282-0e1a9e8e14f4</t>
  </si>
  <si>
    <t>2019-09-03T10:37:31</t>
  </si>
  <si>
    <t>2019-09-03T14:21:52.509+05:30</t>
  </si>
  <si>
    <t>2019-09-03T16:07:22.140+05:30</t>
  </si>
  <si>
    <t>2019-09-03T14:23:00.000+05:30</t>
  </si>
  <si>
    <t>22.556334 88.3922888 -86.0 5.0</t>
  </si>
  <si>
    <t>Practice Sample, Collected by Suvankar Mandal</t>
  </si>
  <si>
    <t>BUDDHADEB SAMADDAR</t>
  </si>
  <si>
    <t>6c68c06a-2814-467a-8e8c-162d1713086b</t>
  </si>
  <si>
    <t>2019-09-03T10:37:34</t>
  </si>
  <si>
    <t>2019-09-03T14:26:09.702+05:30</t>
  </si>
  <si>
    <t>2019-09-03T16:06:55.443+05:30</t>
  </si>
  <si>
    <t>2019-09-03T14:27:00.000+05:30</t>
  </si>
  <si>
    <t>22.5563255 88.3922064 -47.0 5.0</t>
  </si>
  <si>
    <t>46247f89-1d3c-4b92-bef7-5375eafd76bb</t>
  </si>
  <si>
    <t>2019-09-03T10:37:37</t>
  </si>
  <si>
    <t>2019-09-04T11:38:46.526+05:30</t>
  </si>
  <si>
    <t>2019-09-04T16:34:19.484+05:30</t>
  </si>
  <si>
    <t>MO1209</t>
  </si>
  <si>
    <t>2019-09-04T11:39:00.000+05:30</t>
  </si>
  <si>
    <t>22.556797 88.3835026 -49.599998474121094 4.0</t>
  </si>
  <si>
    <t>420189cd-f814-4c1c-bca9-4dca5dc0f3b8</t>
  </si>
  <si>
    <t>2019-09-04T11:04:39</t>
  </si>
  <si>
    <t>2019-09-04T11:54:26.479+05:30</t>
  </si>
  <si>
    <t>2019-09-04T16:32:56.133+05:30</t>
  </si>
  <si>
    <t>2019-09-04T11:56:00.000+05:30</t>
  </si>
  <si>
    <t>22.5566781 88.3834705 -22.899999618530273 5.0</t>
  </si>
  <si>
    <t>Practice Sample collected by Somnath Sarkar</t>
  </si>
  <si>
    <t>22fbe808-8689-4456-abdc-9770c432e22d</t>
  </si>
  <si>
    <t>2019-09-04T11:04:43</t>
  </si>
  <si>
    <t>2019-09-04T12:20:18.976+05:30</t>
  </si>
  <si>
    <t>2019-09-04T16:34:30.920+05:30</t>
  </si>
  <si>
    <t>FB1403</t>
  </si>
  <si>
    <t>2019-09-04T12:21:00.000+05:30</t>
  </si>
  <si>
    <t>22.5563624 88.3919453 -42.599998474121094 5.0</t>
  </si>
  <si>
    <t>40 Ltr,Collected by Suvankar, Buddhadeb</t>
  </si>
  <si>
    <t>c2b5815e-209d-4c0c-8fc6-ae4af21e77ca</t>
  </si>
  <si>
    <t>2019-09-04T11:04:45</t>
  </si>
  <si>
    <t>2019-09-04T15:21:08.189+05:30</t>
  </si>
  <si>
    <t>2019-09-04T16:33:47.014+05:30</t>
  </si>
  <si>
    <t>2019-09-04T15:21:00.000+05:30</t>
  </si>
  <si>
    <t>22.5563138 88.3920983 -14.399999618530273 5.0</t>
  </si>
  <si>
    <t>420a67f1-c31c-4207-8283-49cae910b5f4</t>
  </si>
  <si>
    <t>2019-09-04T11:04:48</t>
  </si>
  <si>
    <t>MO1210</t>
  </si>
  <si>
    <t>2019-09-04T15:26:49.335+05:30</t>
  </si>
  <si>
    <t>2019-09-04T16:32:49.775+05:30</t>
  </si>
  <si>
    <t>2019-09-04T15:28:00.000+05:30</t>
  </si>
  <si>
    <t>22.5563504 88.3921844 -51.099998474121094 5.0</t>
  </si>
  <si>
    <t>Practice Sample, collected by suvankar Mandal</t>
  </si>
  <si>
    <t>60f1d4af-a6d3-44d9-8856-b48d04352413</t>
  </si>
  <si>
    <t>2019-09-04T11:04:51</t>
  </si>
  <si>
    <t>2019-09-16T11:37:24.396+05:30</t>
  </si>
  <si>
    <t>2019-09-16T13:42:09.109+05:30</t>
  </si>
  <si>
    <t>K21231</t>
  </si>
  <si>
    <t>2019-09-16T11:38:00.000+05:30</t>
  </si>
  <si>
    <t>22.5411093 88.3753429 -56.400001525878906 6.5</t>
  </si>
  <si>
    <t>4fd8b4ea-ace4-42d8-a88b-340aa957207b</t>
  </si>
  <si>
    <t>2019-09-16T08:12:20</t>
  </si>
  <si>
    <t>2019-09-16T11:51:50.556+05:30</t>
  </si>
  <si>
    <t>2019-09-16T13:42:01.686+05:30</t>
  </si>
  <si>
    <t>FB1404</t>
  </si>
  <si>
    <t>2019-09-16T11:53:00.000+05:30</t>
  </si>
  <si>
    <t>22.541282 88.3752932 -39.79999923706055 5.0</t>
  </si>
  <si>
    <t>FB at PLc Site</t>
  </si>
  <si>
    <t>1a0f3152-b57f-46f0-820c-72c8dc7c6d8a</t>
  </si>
  <si>
    <t>2019-09-16T08:12:22</t>
  </si>
  <si>
    <t>2019-09-17T12:49:31.195+05:30</t>
  </si>
  <si>
    <t>2019-09-17T16:33:07.908+05:30</t>
  </si>
  <si>
    <t>2019-09-17T12:50:00.000+05:30</t>
  </si>
  <si>
    <t>22.554211 88.3967646 -46.599998474121094 5.0</t>
  </si>
  <si>
    <t>3876a3f1-25dd-4df6-9cc2-22f2fb56a36c</t>
  </si>
  <si>
    <t>2019-09-17T11:03:15</t>
  </si>
  <si>
    <t>2019-09-17T12:58:56.508+05:30</t>
  </si>
  <si>
    <t>2019-09-17T16:33:02.321+05:30</t>
  </si>
  <si>
    <t>2019-09-17T12:59:00.000+05:30</t>
  </si>
  <si>
    <t>22.5542792 88.3967686 -59.70000076293945 5.0</t>
  </si>
  <si>
    <t>FB at MO site, Sample collected by Biplab Jash</t>
  </si>
  <si>
    <t>5caf52f6-8a19-4a98-9578-c97355bb1d9f</t>
  </si>
  <si>
    <t>2019-09-17T11:03:18</t>
  </si>
  <si>
    <t>MO1211</t>
  </si>
  <si>
    <t>2019-09-19T11:48:40.175+05:30</t>
  </si>
  <si>
    <t>2019-09-19T15:05:31.900+05:30</t>
  </si>
  <si>
    <t>2019-09-19T11:50:00.000+05:30</t>
  </si>
  <si>
    <t>22.5412064 88.3751996 -46.79999923706055 5.0</t>
  </si>
  <si>
    <t>621ce77f-d09b-4526-9ceb-6a235fd39354</t>
  </si>
  <si>
    <t>2019-09-19T09:35:43</t>
  </si>
  <si>
    <t>2019-09-19T12:08:21.457+05:30</t>
  </si>
  <si>
    <t>2019-09-19T15:05:21.327+05:30</t>
  </si>
  <si>
    <t>2019-09-19T12:09:00.000+05:30</t>
  </si>
  <si>
    <t>22.5411804 88.3752267 -50.0 5.0</t>
  </si>
  <si>
    <t>Sample collected by Suvankar Mandal, at FB at PLC site</t>
  </si>
  <si>
    <t>db1f7bf7-a341-480c-b288-28376e32fa5e</t>
  </si>
  <si>
    <t>2019-09-19T09:35:44</t>
  </si>
  <si>
    <t>2019-09-19T12:56:20.585+05:30</t>
  </si>
  <si>
    <t>2019-09-19T15:05:36.729+05:30</t>
  </si>
  <si>
    <t>2019-09-19T12:57:00.000+05:30</t>
  </si>
  <si>
    <t>FB1405</t>
  </si>
  <si>
    <t>22.5564048 88.3922011 -71.69999694824219 5.0</t>
  </si>
  <si>
    <t>07e3f7dc-500f-4ab7-bbf3-7ad7d9c14206</t>
  </si>
  <si>
    <t>2019-09-19T09:35:46</t>
  </si>
  <si>
    <t>2019-09-19T13:07:52.443+05:30</t>
  </si>
  <si>
    <t>2019-09-19T15:05:26.952+05:30</t>
  </si>
  <si>
    <t>2019-09-19T13:08:00.000+05:30</t>
  </si>
  <si>
    <t>22.5563874 88.3922131 -60.70000076293945 5.0</t>
  </si>
  <si>
    <t>Sample collected by Biplab Jash, FB at MO Site.</t>
  </si>
  <si>
    <t>da04b784-d2e8-4e0d-8089-5d31ce3f1e83</t>
  </si>
  <si>
    <t>2019-09-19T09:35:47</t>
  </si>
  <si>
    <t>2019-09-23T12:16:03.549+05:30</t>
  </si>
  <si>
    <t>2019-09-23T16:03:22.580+05:30</t>
  </si>
  <si>
    <t>2019-09-23T12:17:00.000+05:30</t>
  </si>
  <si>
    <t>22.5411749 88.3753974 -51.5 6.0</t>
  </si>
  <si>
    <t>Semple collected by Buddhadeb Samaddar</t>
  </si>
  <si>
    <t>8ae58a36-e049-4db1-af60-4ecaa293b3bb</t>
  </si>
  <si>
    <t>2019-09-23T12:12:30</t>
  </si>
  <si>
    <t>2019-09-23T12:38:04.392+05:30</t>
  </si>
  <si>
    <t>2019-09-23T16:03:15.912+05:30</t>
  </si>
  <si>
    <t>2019-09-23T12:40:00.000+05:30</t>
  </si>
  <si>
    <t>22.5411861 88.3752513 -36.900001525878906 5.0</t>
  </si>
  <si>
    <t>UF1028</t>
  </si>
  <si>
    <t>Semple collected by Suvankar Mandal</t>
  </si>
  <si>
    <t>cce8dea0-17e9-4e9d-9627-756d53480a83</t>
  </si>
  <si>
    <t>2019-09-23T12:12:33</t>
  </si>
  <si>
    <t>2019-09-24T11:57:33.466+05:30</t>
  </si>
  <si>
    <t>2019-09-24T15:55:56.858+05:30</t>
  </si>
  <si>
    <t>2019-09-24T11:58:00.000+05:30</t>
  </si>
  <si>
    <t>22.5541004 88.3967755 -54.599998474121094 5.0</t>
  </si>
  <si>
    <t>6d6dea69-c0a6-4cb0-9e2a-5d8086d6dc8a</t>
  </si>
  <si>
    <t>2019-09-24T10:27:29</t>
  </si>
  <si>
    <t>2019-09-24T12:06:51.040+05:30</t>
  </si>
  <si>
    <t>2019-09-24T15:55:46.493+05:30</t>
  </si>
  <si>
    <t>2019-09-24T12:07:00.000+05:30</t>
  </si>
  <si>
    <t>22.5541799 88.3967703 -32.900001525878906 5.0</t>
  </si>
  <si>
    <t>Semple collected by Debabrata Maity</t>
  </si>
  <si>
    <t>7cc5b744-8959-48ea-bb3a-a62508cabcfd</t>
  </si>
  <si>
    <t>2019-09-24T10:27:34</t>
  </si>
  <si>
    <t>2019-09-24T12:50:58.713+05:30</t>
  </si>
  <si>
    <t>2019-09-24T15:56:01.266+05:30</t>
  </si>
  <si>
    <t>NCEC107</t>
  </si>
  <si>
    <t>2019-09-24T12:52:00.000+05:30</t>
  </si>
  <si>
    <t>22.5635809 88.3772008 -55.5 5.0</t>
  </si>
  <si>
    <t>Sample collected by Somnath sarkar</t>
  </si>
  <si>
    <t>53d31554-c5d4-4a17-8160-66028d881efb</t>
  </si>
  <si>
    <t>2019-09-24T10:27:38</t>
  </si>
  <si>
    <t>2019-09-24T13:01:02.169+05:30</t>
  </si>
  <si>
    <t>2019-09-24T15:55:52.268+05:30</t>
  </si>
  <si>
    <t>2019-09-24T13:01:00.000+05:30</t>
  </si>
  <si>
    <t>22.5635751 88.3772861 -47.400001525878906 4.5</t>
  </si>
  <si>
    <t>4f87aa89-633a-4086-85b4-d7412a49f933</t>
  </si>
  <si>
    <t>2019-09-24T10:27:42</t>
  </si>
  <si>
    <t>2019-09-26T11:20:01.864+05:30</t>
  </si>
  <si>
    <t>2019-09-26T15:13:12.479+05:30</t>
  </si>
  <si>
    <t>PLc1218</t>
  </si>
  <si>
    <t>2019-09-26T11:22:00.000+05:30</t>
  </si>
  <si>
    <t>22.5413012 88.375326 23.5 5.0</t>
  </si>
  <si>
    <t>d45d49bd-18bc-4500-9727-79b5467ca39d</t>
  </si>
  <si>
    <t>2019-09-26T09:43:25</t>
  </si>
  <si>
    <t>2019-09-26T11:34:44.246+05:30</t>
  </si>
  <si>
    <t>2019-09-26T15:12:48.995+05:30</t>
  </si>
  <si>
    <t>2019-09-26T11:36:00.000+05:30</t>
  </si>
  <si>
    <t>22.5413229 88.3751825 -35.79999923706055 7.0</t>
  </si>
  <si>
    <t>FB at PLc site, Sample collected by Suvankar Mandal</t>
  </si>
  <si>
    <t>f3e612cb-0c22-4b7d-8d12-91b1fd9903a9</t>
  </si>
  <si>
    <t>2019-09-26T09:43:27</t>
  </si>
  <si>
    <t>2019-09-26T12:07:40.045+05:30</t>
  </si>
  <si>
    <t>2019-09-26T15:13:03.098+05:30</t>
  </si>
  <si>
    <t>2019-09-26T12:09:00.000+05:30</t>
  </si>
  <si>
    <t>22.5346779 88.3958497 -62.400001525878906 5.0</t>
  </si>
  <si>
    <t>dd146229-6200-4264-bde7-fe56ee42cc24</t>
  </si>
  <si>
    <t>2019-09-26T09:43:30</t>
  </si>
  <si>
    <t>2019-09-26T12:12:07.432+05:30</t>
  </si>
  <si>
    <t>2019-09-26T15:12:53.418+05:30</t>
  </si>
  <si>
    <t>2019-09-26T12:12:00.000+05:30</t>
  </si>
  <si>
    <t>22.5346368 88.3959667 -48.0 4.5</t>
  </si>
  <si>
    <t>FB1413</t>
  </si>
  <si>
    <t>a04fa5c9-8bff-48bd-816f-e1ed4cc2d7b3</t>
  </si>
  <si>
    <t>2019-09-26T09:43:32</t>
  </si>
  <si>
    <t>2019-09-26T12:28:53.624+05:30</t>
  </si>
  <si>
    <t>2019-09-26T15:13:07.806+05:30</t>
  </si>
  <si>
    <t>2019-09-26T12:30:00.000+05:30</t>
  </si>
  <si>
    <t>22.5400743 88.3871636 -29.5 5.0</t>
  </si>
  <si>
    <t>2cbf7e7e-92cd-4a33-b04c-79f502738703</t>
  </si>
  <si>
    <t>2019-09-26T09:43:35</t>
  </si>
  <si>
    <t>2019-09-26T12:32:09.185+05:30</t>
  </si>
  <si>
    <t>2019-09-26T15:12:58.371+05:30</t>
  </si>
  <si>
    <t>2019-09-26T12:33:00.000+05:30</t>
  </si>
  <si>
    <t>22.539998 88.3872337 -46.29999923706055 5.0</t>
  </si>
  <si>
    <t>d097265e-206a-4025-8dd8-fa5cc1190d4e</t>
  </si>
  <si>
    <t>2019-09-26T09:43:37</t>
  </si>
  <si>
    <t>2019-09-30T10:57:01.741+05:30</t>
  </si>
  <si>
    <t>2019-09-30T16:16:17.128+05:30</t>
  </si>
  <si>
    <t>2019-09-30T10:58:00.000+05:30</t>
  </si>
  <si>
    <t>22.541338 88.3751603 -32.400001525878906 8.5</t>
  </si>
  <si>
    <t>PLc1219</t>
  </si>
  <si>
    <t>Sample collected by Buddhadeb,</t>
  </si>
  <si>
    <t>8749f3b0-f2e7-49a8-9025-0b26fe94874a</t>
  </si>
  <si>
    <t>2019-09-30T10:46:35</t>
  </si>
  <si>
    <t>2019-09-30T11:11:33.445+05:30</t>
  </si>
  <si>
    <t>2019-09-30T16:16:00.167+05:30</t>
  </si>
  <si>
    <t>2019-09-30T11:13:00.000+05:30</t>
  </si>
  <si>
    <t>22.5413135 88.3752776 -29.5 7.5</t>
  </si>
  <si>
    <t>Sample collected by Buddhadeb at PLC102 site</t>
  </si>
  <si>
    <t>5eaa0a41-9c4f-47fc-857e-6f81e0ce1715</t>
  </si>
  <si>
    <t>2019-09-30T10:46:39</t>
  </si>
  <si>
    <t>2019-09-30T11:41:15.619+05:30</t>
  </si>
  <si>
    <t>2019-09-30T16:16:22.388+05:30</t>
  </si>
  <si>
    <t>FB1414</t>
  </si>
  <si>
    <t>K24151</t>
  </si>
  <si>
    <t>2019-09-30T11:42:00.000+05:30</t>
  </si>
  <si>
    <t>22.5429727 88.3834329 -32.900001525878906 5.0</t>
  </si>
  <si>
    <t>Sample collected by Suvankar (#2 Family)</t>
  </si>
  <si>
    <t>4a3acfb2-4043-4e52-b91d-01a999a2f3f7</t>
  </si>
  <si>
    <t>2019-09-30T10:46:42</t>
  </si>
  <si>
    <t>2019-09-30T11:50:14.548+05:30</t>
  </si>
  <si>
    <t>2019-09-30T16:16:05.340+05:30</t>
  </si>
  <si>
    <t>2019-09-30T11:50:00.000+05:30</t>
  </si>
  <si>
    <t>22.5428777 88.3834161 -34.900001525878906 5.0</t>
  </si>
  <si>
    <t>051bc1f3-054f-4beb-9ee7-9477966255b2</t>
  </si>
  <si>
    <t>2019-09-30T10:46:44</t>
  </si>
  <si>
    <t>2019-09-30T12:01:44.277+05:30</t>
  </si>
  <si>
    <t>2019-09-30T16:16:27.437+05:30</t>
  </si>
  <si>
    <t>K24152</t>
  </si>
  <si>
    <t>2019-09-30T12:03:00.000+05:30</t>
  </si>
  <si>
    <t>22.5430752 88.3835892 -63.599998474121094 5.0</t>
  </si>
  <si>
    <t>MO1212</t>
  </si>
  <si>
    <t>Sample collected by Suvankar, Diameter 40 cm</t>
  </si>
  <si>
    <t>9e568744-0c84-4272-b79d-44249b0185e7</t>
  </si>
  <si>
    <t>2019-09-30T10:46:47</t>
  </si>
  <si>
    <t>2019-09-30T12:09:43.698+05:30</t>
  </si>
  <si>
    <t>2019-09-30T16:16:10.420+05:30</t>
  </si>
  <si>
    <t>2019-09-30T12:10:00.000+05:30</t>
  </si>
  <si>
    <t>22.5430411 88.383624 -60.5 5.0</t>
  </si>
  <si>
    <t>66a214ad-5cfe-44c1-bfe9-6c3c9274f767</t>
  </si>
  <si>
    <t>2019-09-30T10:46:49</t>
  </si>
  <si>
    <t>2019-10-03T11:30:16.438+05:30</t>
  </si>
  <si>
    <t>2019-10-03T14:15:18.627+05:30</t>
  </si>
  <si>
    <t>2019-10-03T11:32:00.000+05:30</t>
  </si>
  <si>
    <t>22.5411757 88.3752039 -45.70000076293945 5.0</t>
  </si>
  <si>
    <t>6e946d04-b700-4dd7-a935-f5a1e241046c</t>
  </si>
  <si>
    <t>2019-10-03T08:45:28</t>
  </si>
  <si>
    <t>2019-10-03T11:46:33.899+05:30</t>
  </si>
  <si>
    <t>2019-10-03T14:15:02.256+05:30</t>
  </si>
  <si>
    <t>2019-10-03T11:47:00.000+05:30</t>
  </si>
  <si>
    <t>22.5410574 88.3752694 -69.4000015258789 5.0</t>
  </si>
  <si>
    <t>FB1408</t>
  </si>
  <si>
    <t>be17d0fe-dadc-4dd8-8a1c-a797db0ff551</t>
  </si>
  <si>
    <t>2019-10-03T08:45:29</t>
  </si>
  <si>
    <t>2019-10-03T12:10:57.006+05:30</t>
  </si>
  <si>
    <t>2019-10-03T14:15:23.093+05:30</t>
  </si>
  <si>
    <t>2019-10-03T12:13:00.000+05:30</t>
  </si>
  <si>
    <t>22.5427667 88.3834291 -45.5 5.0</t>
  </si>
  <si>
    <t>8553ed7e-f77c-4f4d-b6e7-96214e7a9e8c</t>
  </si>
  <si>
    <t>2019-10-03T08:45:30</t>
  </si>
  <si>
    <t>2019-10-03T12:20:26.688+05:30</t>
  </si>
  <si>
    <t>2019-10-03T14:15:07.384+05:30</t>
  </si>
  <si>
    <t>2019-10-03T12:21:00.000+05:30</t>
  </si>
  <si>
    <t>22.542838 88.3834836 -33.79999923706055 5.0</t>
  </si>
  <si>
    <t>f5614ffa-9dc1-4ddf-804a-46a25b89703a</t>
  </si>
  <si>
    <t>2019-10-03T08:45:32</t>
  </si>
  <si>
    <t>2019-10-03T12:32:09.899+05:30</t>
  </si>
  <si>
    <t>2019-10-03T14:15:28.900+05:30</t>
  </si>
  <si>
    <t>K24252</t>
  </si>
  <si>
    <t>2019-10-03T12:33:00.000+05:30</t>
  </si>
  <si>
    <t>22.5431755 88.3835282 -86.0 5.0</t>
  </si>
  <si>
    <t>542799fd-625c-41c4-bf33-451506419f04</t>
  </si>
  <si>
    <t>2019-10-03T08:45:33</t>
  </si>
  <si>
    <t>MO1213</t>
  </si>
  <si>
    <t>2019-10-03T12:39:28.200+05:30</t>
  </si>
  <si>
    <t>2019-10-03T14:15:13.657+05:30</t>
  </si>
  <si>
    <t>2019-10-03T12:42:00.000+05:30</t>
  </si>
  <si>
    <t>22.5432029 88.3833412 -104.5 5.0</t>
  </si>
  <si>
    <t>5fd0ed50-457a-457d-b1ad-3c556b62ae5a</t>
  </si>
  <si>
    <t>2019-10-03T08:45:35</t>
  </si>
  <si>
    <t>2019-10-14T12:24:15.042+05:30</t>
  </si>
  <si>
    <t>2019-10-14T16:23:19.227+05:30</t>
  </si>
  <si>
    <t>2019-10-14T12:25:00.000+05:30</t>
  </si>
  <si>
    <t>22.5428316 88.3834919 1.5 5.0</t>
  </si>
  <si>
    <t>FB1409</t>
  </si>
  <si>
    <t>aadbda1d-ec61-4ef4-ac1d-e107eb6ea40c</t>
  </si>
  <si>
    <t>2019-10-14T10:53:38</t>
  </si>
  <si>
    <t>2019-10-14T12:36:45.780+05:30</t>
  </si>
  <si>
    <t>2019-10-14T16:23:09.495+05:30</t>
  </si>
  <si>
    <t>2019-10-14T12:37:00.000+05:30</t>
  </si>
  <si>
    <t>22.5429847 88.3833862 -36.0 5.0</t>
  </si>
  <si>
    <t>c187f977-6fe8-4584-a976-ba472f9ed20e</t>
  </si>
  <si>
    <t>2019-10-14T10:53:41</t>
  </si>
  <si>
    <t>2019-10-14T12:44:45.938+05:30</t>
  </si>
  <si>
    <t>2019-10-14T16:23:23.795+05:30</t>
  </si>
  <si>
    <t>2019-10-14T12:45:00.000+05:30</t>
  </si>
  <si>
    <t>22.5431591 88.3835946 -49.79999923706055 5.0</t>
  </si>
  <si>
    <t>MO1214</t>
  </si>
  <si>
    <t>132c53e7-9acc-4eb0-a9d1-ad1ad9d3f890</t>
  </si>
  <si>
    <t>2019-10-14T10:53:43</t>
  </si>
  <si>
    <t>2019-10-14T13:00:50.775+05:30</t>
  </si>
  <si>
    <t>2019-10-14T16:23:14.404+05:30</t>
  </si>
  <si>
    <t>2019-10-14T13:01:00.000+05:30</t>
  </si>
  <si>
    <t>22.5431657 88.3836686 -54.900001525878906 5.0</t>
  </si>
  <si>
    <t>f8970224-822b-422a-9ceb-1ac92aae4dd0</t>
  </si>
  <si>
    <t>2019-10-14T10:53:46</t>
  </si>
  <si>
    <t>2019-10-15T11:49:34.379+05:30</t>
  </si>
  <si>
    <t>2019-10-17T13:35:38.748+05:30</t>
  </si>
  <si>
    <t>2019-10-15T11:51:00.000+05:30</t>
  </si>
  <si>
    <t>22.5541826 88.3967586 -48.70000076293945 5.0</t>
  </si>
  <si>
    <t>FB1410</t>
  </si>
  <si>
    <t>d6279524-248b-47a6-9759-7f352d15b9ff</t>
  </si>
  <si>
    <t>2019-10-17T08:05:50</t>
  </si>
  <si>
    <t>2019-10-15T12:30:50.317+05:30</t>
  </si>
  <si>
    <t>2019-10-17T13:35:46.318+05:30</t>
  </si>
  <si>
    <t>2019-10-15T12:32:00.000+05:30</t>
  </si>
  <si>
    <t>22.5637313 88.3773001 -65.80000305175781 5.0</t>
  </si>
  <si>
    <t>5ce25395-9c5a-4752-9c8c-93960ef47d5a</t>
  </si>
  <si>
    <t>2019-10-17T08:05:53</t>
  </si>
  <si>
    <t>2019-10-15T12:08:40.084+05:30</t>
  </si>
  <si>
    <t>2019-10-17T13:37:25.133+05:30</t>
  </si>
  <si>
    <t>2019-10-15T12:09:00.000+05:30</t>
  </si>
  <si>
    <t>22.5542315 88.3966932 -57.099998474121094 5.0</t>
  </si>
  <si>
    <t>MO1215</t>
  </si>
  <si>
    <t>FB at MO site, Sample collected by Buddhadeb Samaddar</t>
  </si>
  <si>
    <t>210bd12c-4cab-4c1a-ab11-7117582dd01c</t>
  </si>
  <si>
    <t>2019-10-17T08:08:27</t>
  </si>
  <si>
    <t>2019-10-15T12:35:02.548+05:30</t>
  </si>
  <si>
    <t>2019-10-17T13:37:30.259+05:30</t>
  </si>
  <si>
    <t>2019-10-15T12:35:00.000+05:30</t>
  </si>
  <si>
    <t>22.5637377 88.3772093 -59.099998474121094 4.5</t>
  </si>
  <si>
    <t>cd8f1018-a5c4-40fe-aa9e-a53765a8950e</t>
  </si>
  <si>
    <t>2019-10-17T08:08:30</t>
  </si>
  <si>
    <t>2019-10-17T11:02:25.015+05:30</t>
  </si>
  <si>
    <t>2019-10-17T13:38:16.386+05:30</t>
  </si>
  <si>
    <t>2019-10-17T11:03:00.000+05:30</t>
  </si>
  <si>
    <t>22.5428438 88.3836746 -85.0 5.0</t>
  </si>
  <si>
    <t>FB1411</t>
  </si>
  <si>
    <t>b66ee3db-ab15-437f-a7dc-ea1e4c944d15</t>
  </si>
  <si>
    <t>2019-10-17T08:08:37</t>
  </si>
  <si>
    <t>2019-10-17T11:12:18.140+05:30</t>
  </si>
  <si>
    <t>2019-10-17T13:37:35.338+05:30</t>
  </si>
  <si>
    <t>2019-10-17T11:13:00.000+05:30</t>
  </si>
  <si>
    <t>22.5428179 88.3834577 -2.5999999046325684 4.5</t>
  </si>
  <si>
    <t>3fd0508e-981b-4672-9e79-9881dbd165f8</t>
  </si>
  <si>
    <t>2019-10-17T08:08:39</t>
  </si>
  <si>
    <t>2019-10-17T11:24:24.761+05:30</t>
  </si>
  <si>
    <t>2019-10-17T13:38:21.790+05:30</t>
  </si>
  <si>
    <t>2019-10-17T11:25:00.000+05:30</t>
  </si>
  <si>
    <t>22.543216 88.3835802 -132.0 5.0</t>
  </si>
  <si>
    <t>1064681e-e9ff-4362-9803-5e0dd1ab3a1a</t>
  </si>
  <si>
    <t>2019-10-17T08:08:42</t>
  </si>
  <si>
    <t>2019-10-17T11:33:23.555+05:30</t>
  </si>
  <si>
    <t>2019-10-17T13:37:41.238+05:30</t>
  </si>
  <si>
    <t>2019-10-17T11:34:00.000+05:30</t>
  </si>
  <si>
    <t>22.543176 88.3835317 -68.30000305175781 5.0</t>
  </si>
  <si>
    <t>MO1216</t>
  </si>
  <si>
    <t>78e97c3e-8101-4566-9eeb-cf2212199b7e</t>
  </si>
  <si>
    <t>2019-10-17T08:08:45</t>
  </si>
  <si>
    <t>2019-10-17T11:56:29.043+05:30</t>
  </si>
  <si>
    <t>2019-10-17T13:38:10.705+05:30</t>
  </si>
  <si>
    <t>2019-10-17T11:57:00.000+05:30</t>
  </si>
  <si>
    <t>22.5400187 88.3872862 -56.70000076293945 4.5</t>
  </si>
  <si>
    <t>4c51db14-3a65-40ac-93b6-8613026b5bbb</t>
  </si>
  <si>
    <t>2019-10-17T08:08:47</t>
  </si>
  <si>
    <t>2019-10-17T12:00:27.476+05:30</t>
  </si>
  <si>
    <t>2019-10-17T13:37:47.161+05:30</t>
  </si>
  <si>
    <t>2019-10-17T12:04:00.000+05:30</t>
  </si>
  <si>
    <t>22.5400802 88.3872564 -60.79999923706055 5.0</t>
  </si>
  <si>
    <t>FB1412</t>
  </si>
  <si>
    <t>e61f57e0-8e35-4baf-9ad7-81aaa4b082b5</t>
  </si>
  <si>
    <t>2019-10-17T08:08:50</t>
  </si>
  <si>
    <t>2019-10-17T12:16:29.900+05:30</t>
  </si>
  <si>
    <t>2019-10-17T13:38:03.257+05:30</t>
  </si>
  <si>
    <t>2019-10-17T12:19:00.000+05:30</t>
  </si>
  <si>
    <t>22.5345887 88.3959132 -32.20000076293945 5.0</t>
  </si>
  <si>
    <t>de8a1c04-f7aa-4cfa-a8b5-6fa7d57e37e8</t>
  </si>
  <si>
    <t>2019-10-17T08:08:53</t>
  </si>
  <si>
    <t>2019-10-17T12:21:53.616+05:30</t>
  </si>
  <si>
    <t>2019-10-17T13:37:53.570+05:30</t>
  </si>
  <si>
    <t>2019-10-17T12:28:00.000+05:30</t>
  </si>
  <si>
    <t>22.5346038 88.3960788 -45.0 5.0</t>
  </si>
  <si>
    <t>b6db8a8e-96c9-4860-9d6c-42ef2d748cce</t>
  </si>
  <si>
    <t>2019-10-17T08:08:56</t>
  </si>
  <si>
    <t>2019-10-21T11:30:57.116+05:30</t>
  </si>
  <si>
    <t>2019-10-21T15:29:47.710+05:30</t>
  </si>
  <si>
    <t>K24070</t>
  </si>
  <si>
    <t>2019-10-21T11:33:00.000+05:30</t>
  </si>
  <si>
    <t>22.5451616 88.3821088 -46.0 5.0</t>
  </si>
  <si>
    <t>NCEC108</t>
  </si>
  <si>
    <t>d89adda5-538a-45d0-9eda-90399089fa81</t>
  </si>
  <si>
    <t>2019-10-21T09:59:58</t>
  </si>
  <si>
    <t>2019-10-21T11:39:04.825+05:30</t>
  </si>
  <si>
    <t>2019-10-21T15:29:42.999+05:30</t>
  </si>
  <si>
    <t>2019-10-21T11:39:00.000+05:30</t>
  </si>
  <si>
    <t>22.5452256 88.3820944 -68.0999984741211 5.0</t>
  </si>
  <si>
    <t>FB at PLc site, Sample collected by Biplab Jash</t>
  </si>
  <si>
    <t>1604ee9f-d325-4a58-af17-6f1748c3ca17</t>
  </si>
  <si>
    <t>2019-10-21T10:00:00</t>
  </si>
  <si>
    <t>2019-10-21T11:04:29.930+05:30</t>
  </si>
  <si>
    <t>2019-10-21T15:32:54.696+05:30</t>
  </si>
  <si>
    <t>K24073</t>
  </si>
  <si>
    <t>2019-10-21T11:08:00.000+05:30</t>
  </si>
  <si>
    <t>22.5453347 88.3820889 -65.80000305175781 5.0</t>
  </si>
  <si>
    <t>73e4a1c5-e66a-4e49-8cca-4f498c6bc114</t>
  </si>
  <si>
    <t>2019-10-21T10:03:19</t>
  </si>
  <si>
    <t>2019-10-21T11:17:36.924+05:30</t>
  </si>
  <si>
    <t>2019-10-21T15:32:30.891+05:30</t>
  </si>
  <si>
    <t>2019-10-21T11:20:00.000+05:30</t>
  </si>
  <si>
    <t>22.5451666 88.3820568 -38.29999923706055 5.0</t>
  </si>
  <si>
    <t>FB at PLc site, Sample collected by Buddhadeb Samaddar</t>
  </si>
  <si>
    <t>1ee231cd-313a-4c51-88e4-66f056f42f16</t>
  </si>
  <si>
    <t>2019-10-21T10:03:21</t>
  </si>
  <si>
    <t>2019-10-21T11:56:10.729+05:30</t>
  </si>
  <si>
    <t>2019-10-21T15:33:00.340+05:30</t>
  </si>
  <si>
    <t>K24021</t>
  </si>
  <si>
    <t>2019-10-21T12:00:00.000+05:30</t>
  </si>
  <si>
    <t>22.5439575 88.3818758 -19.700000762939453 5.0</t>
  </si>
  <si>
    <t>931c11bf-ceb8-42a8-a58c-b82ea81af0db</t>
  </si>
  <si>
    <t>2019-10-21T10:03:24</t>
  </si>
  <si>
    <t>2019-10-21T12:19:44.237+05:30</t>
  </si>
  <si>
    <t>2019-10-21T15:32:36.490+05:30</t>
  </si>
  <si>
    <t>2019-10-21T12:20:00.000+05:30</t>
  </si>
  <si>
    <t>22.5440291 88.3819827 -38.29999923706055 5.0</t>
  </si>
  <si>
    <t>b4161958-48a2-46bf-aaf1-3dc1b9a10f49</t>
  </si>
  <si>
    <t>2019-10-21T10:03:27</t>
  </si>
  <si>
    <t>2019-10-21T12:57:31.104+05:30</t>
  </si>
  <si>
    <t>2019-10-21T15:33:06.165+05:30</t>
  </si>
  <si>
    <t>K22279</t>
  </si>
  <si>
    <t>2019-10-21T12:59:00.000+05:30</t>
  </si>
  <si>
    <t>22.5431026 88.3754615 -35.599998474121094 5.0</t>
  </si>
  <si>
    <t>fb5e950f-3fc3-4d9f-8082-017630bd4e69</t>
  </si>
  <si>
    <t>2019-10-21T10:03:29</t>
  </si>
  <si>
    <t>2019-10-21T13:05:19.232+05:30</t>
  </si>
  <si>
    <t>2019-10-21T15:32:42.148+05:30</t>
  </si>
  <si>
    <t>2019-10-21T13:06:00.000+05:30</t>
  </si>
  <si>
    <t>22.5430497 88.3755472 -41.900001525878906 5.0</t>
  </si>
  <si>
    <t>570cc0e8-3123-40b3-bd1b-1a47b5914dad</t>
  </si>
  <si>
    <t>2019-10-21T10:03:32</t>
  </si>
  <si>
    <t>2019-10-21T13:23:29.854+05:30</t>
  </si>
  <si>
    <t>2019-10-21T15:33:11.948+05:30</t>
  </si>
  <si>
    <t>K20002</t>
  </si>
  <si>
    <t>2019-10-21T13:25:00.000+05:30</t>
  </si>
  <si>
    <t>22.5409731 88.3742327 -49.900001525878906 4.5</t>
  </si>
  <si>
    <t>2ffd39d4-e6d2-4f6c-a6ba-364eea864495</t>
  </si>
  <si>
    <t>2019-10-21T10:03:34</t>
  </si>
  <si>
    <t>2019-10-21T13:30:21.855+05:30</t>
  </si>
  <si>
    <t>2019-10-21T15:32:47.593+05:30</t>
  </si>
  <si>
    <t>2019-10-21T13:32:00.000+05:30</t>
  </si>
  <si>
    <t>22.5410215 88.374286 -33.0 4.5</t>
  </si>
  <si>
    <t>d8466ee7-3612-43b0-bd53-40da6831de8a</t>
  </si>
  <si>
    <t>2019-10-21T10:03:36</t>
  </si>
  <si>
    <t>2019-10-22T10:57:04.958+05:30</t>
  </si>
  <si>
    <t>2019-10-22T16:04:44.136+05:30</t>
  </si>
  <si>
    <t>2019-10-22T10:57:00.000+05:30</t>
  </si>
  <si>
    <t>22.5542205 88.3966888 -54.400001525878906 5.0</t>
  </si>
  <si>
    <t>9d3db902-0db1-42a8-a6c0-c7598d0a9b9b</t>
  </si>
  <si>
    <t>2019-10-22T10:34:58</t>
  </si>
  <si>
    <t>2019-10-22T11:10:39.248+05:30</t>
  </si>
  <si>
    <t>2019-10-22T16:04:28.680+05:30</t>
  </si>
  <si>
    <t>2019-10-22T11:11:00.000+05:30</t>
  </si>
  <si>
    <t>22.5542098 88.3967659 -63.400001525878906 5.0</t>
  </si>
  <si>
    <t>Sample Collected by Suvankar Mandal, FB at MO Site MO1104</t>
  </si>
  <si>
    <t>0808ae87-9fd7-4ad3-9ae5-af17a47ccba9</t>
  </si>
  <si>
    <t>2019-10-22T10:35:02</t>
  </si>
  <si>
    <t>2019-10-22T11:38:43.181+05:30</t>
  </si>
  <si>
    <t>2019-10-22T16:04:50.229+05:30</t>
  </si>
  <si>
    <t>2019-10-22T11:40:00.000+05:30</t>
  </si>
  <si>
    <t>22.5636318 88.3772599 -25.100000381469727 5.0</t>
  </si>
  <si>
    <t>8e8bdeaa-a6e0-48d5-8b0b-1f6a3a4173c8</t>
  </si>
  <si>
    <t>2019-10-22T10:35:04</t>
  </si>
  <si>
    <t>2019-10-22T11:44:18.810+05:30</t>
  </si>
  <si>
    <t>2019-10-22T16:04:35.341+05:30</t>
  </si>
  <si>
    <t>2019-10-22T11:52:00.000+05:30</t>
  </si>
  <si>
    <t>22.5636836 88.3772566 -54.79999923706055 5.0</t>
  </si>
  <si>
    <t>Sample collected by Buddhadeb Samaddar, FB at MO site MO1105</t>
  </si>
  <si>
    <t>a72b46a2-3524-4ba1-8cdb-2df38dd4b13f</t>
  </si>
  <si>
    <t>2019-10-22T10:35:06</t>
  </si>
  <si>
    <t>2019-10-24T09:11:53.431+05:30</t>
  </si>
  <si>
    <t>2019-10-24T15:19:07.673+05:30</t>
  </si>
  <si>
    <t>2019-10-24T09:16:00.000+05:30</t>
  </si>
  <si>
    <t>22.5407695 88.3741625 -55.29999923706055 5.0</t>
  </si>
  <si>
    <t>56f04932-3a9f-4a74-a893-6ffdea4a99df</t>
  </si>
  <si>
    <t>2019-10-24T09:49:40</t>
  </si>
  <si>
    <t>2019-10-24T09:24:49.312+05:30</t>
  </si>
  <si>
    <t>2019-10-24T15:18:31.941+05:30</t>
  </si>
  <si>
    <t>2019-10-24T09:25:00.000+05:30</t>
  </si>
  <si>
    <t>22.5409409 88.3742366 -56.099998474121094 5.0</t>
  </si>
  <si>
    <t>PL1032</t>
  </si>
  <si>
    <t>Sample collected by Somnath</t>
  </si>
  <si>
    <t>09e97e38-0b62-4523-ac92-2de72e1d34a1</t>
  </si>
  <si>
    <t>2019-10-24T09:49:44</t>
  </si>
  <si>
    <t>2019-10-24T09:42:32.204+05:30</t>
  </si>
  <si>
    <t>2019-10-24T15:19:13.861+05:30</t>
  </si>
  <si>
    <t>2019-10-24T09:43:00.000+05:30</t>
  </si>
  <si>
    <t>22.5429622 88.3755219 -70.80000305175781 5.0</t>
  </si>
  <si>
    <t>ae12320f-8fab-40a3-84cb-e8d55250ea72</t>
  </si>
  <si>
    <t>2019-10-24T09:49:47</t>
  </si>
  <si>
    <t>2019-10-24T09:52:13.563+05:30</t>
  </si>
  <si>
    <t>2019-10-24T15:18:39.264+05:30</t>
  </si>
  <si>
    <t>2019-10-24T09:53:00.000+05:30</t>
  </si>
  <si>
    <t>22.5428522 88.3754913 -86.0 5.0</t>
  </si>
  <si>
    <t>PL1033</t>
  </si>
  <si>
    <t>2329499a-db60-4f01-b784-e378fe268a22</t>
  </si>
  <si>
    <t>2019-10-24T09:49:49</t>
  </si>
  <si>
    <t>2019-10-24T10:12:14.261+05:30</t>
  </si>
  <si>
    <t>2019-10-24T15:19:20.315+05:30</t>
  </si>
  <si>
    <t>2019-10-24T10:13:00.000+05:30</t>
  </si>
  <si>
    <t>22.5439621 88.3819472 -98.19999694824219 5.0</t>
  </si>
  <si>
    <t>FB1416</t>
  </si>
  <si>
    <t>2399fe8a-5aa2-4935-8aa4-e546db8c9f72</t>
  </si>
  <si>
    <t>2019-10-24T09:49:52</t>
  </si>
  <si>
    <t>2019-10-24T10:23:46.362+05:30</t>
  </si>
  <si>
    <t>2019-10-24T15:18:45.300+05:30</t>
  </si>
  <si>
    <t>2019-10-24T10:24:00.000+05:30</t>
  </si>
  <si>
    <t>22.5439776 88.3819666 -89.5999984741211 5.0</t>
  </si>
  <si>
    <t>0e6accd8-a190-4456-945e-b9eb82ed05d2</t>
  </si>
  <si>
    <t>2019-10-24T09:49:55</t>
  </si>
  <si>
    <t>2019-10-24T10:49:57.075+05:30</t>
  </si>
  <si>
    <t>2019-10-24T15:19:26.686+05:30</t>
  </si>
  <si>
    <t>2019-10-24T10:58:00.000+05:30</t>
  </si>
  <si>
    <t>22.5451414 88.3821307 -44.20000076293945 5.0</t>
  </si>
  <si>
    <t>NCEC109</t>
  </si>
  <si>
    <t>5b871d03-b03e-42d1-a5e5-249ad85c90f5</t>
  </si>
  <si>
    <t>2019-10-24T09:49:57</t>
  </si>
  <si>
    <t>2019-10-24T11:11:53.211+05:30</t>
  </si>
  <si>
    <t>2019-10-24T15:19:33.498+05:30</t>
  </si>
  <si>
    <t>2019-10-24T11:30:00.000+05:30</t>
  </si>
  <si>
    <t>22.5452112 88.3820726 -65.69999694824219 5.0</t>
  </si>
  <si>
    <t>MO1217</t>
  </si>
  <si>
    <t>b850a4e1-bab4-466b-b2ee-bf78eaac2367</t>
  </si>
  <si>
    <t>2019-10-24T09:50:00</t>
  </si>
  <si>
    <t>2019-10-24T11:16:09.669+05:30</t>
  </si>
  <si>
    <t>2019-10-24T15:18:53.908+05:30</t>
  </si>
  <si>
    <t>2019-10-24T11:16:00.000+05:30</t>
  </si>
  <si>
    <t>22.5452466 88.3821195 -24.299999237060547 5.0</t>
  </si>
  <si>
    <t>55132671-f406-46c8-8efc-3a2172ee7013</t>
  </si>
  <si>
    <t>2019-10-24T09:50:03</t>
  </si>
  <si>
    <t>2019-10-24T11:25:39.458+05:30</t>
  </si>
  <si>
    <t>2019-10-24T15:19:00.597+05:30</t>
  </si>
  <si>
    <t>2019-10-24T11:35:00.000+05:30</t>
  </si>
  <si>
    <t>22.5452716 88.3821708 -62.900001525878906 5.0</t>
  </si>
  <si>
    <t>3d752ef4-d298-4e47-8249-9fc5d0958b4b</t>
  </si>
  <si>
    <t>2019-10-24T09:50:06</t>
  </si>
  <si>
    <t>2019-10-24T10:56:04.149+05:30</t>
  </si>
  <si>
    <t>2019-10-24T15:25:08.897+05:30</t>
  </si>
  <si>
    <t>MO1218</t>
  </si>
  <si>
    <t>2019-10-24T11:01:00.000+05:30</t>
  </si>
  <si>
    <t>22.5346224 88.3960513 -55.79999923706055 5.0</t>
  </si>
  <si>
    <t>Sample collected by Ashis saha</t>
  </si>
  <si>
    <t>238e8093-fd40-4aca-8af5-22c67089769b</t>
  </si>
  <si>
    <t>2019-10-24T09:55:15</t>
  </si>
  <si>
    <t>2019-10-24T11:14:19.263+05:30</t>
  </si>
  <si>
    <t>2019-10-24T15:24:54.287+05:30</t>
  </si>
  <si>
    <t>MO1219</t>
  </si>
  <si>
    <t>22.5347572 88.3960086 -10.5 5.0</t>
  </si>
  <si>
    <t>Sample collected by Ashis saha at PS Site No 5</t>
  </si>
  <si>
    <t>5eabbaa1-8559-4a1f-a646-8a087af63bcd</t>
  </si>
  <si>
    <t>2019-10-24T09:55:17</t>
  </si>
  <si>
    <t>2019-10-24T11:30:04.702+05:30</t>
  </si>
  <si>
    <t>2019-10-24T15:25:13.932+05:30</t>
  </si>
  <si>
    <t>2019-10-24T11:36:00.000+05:30</t>
  </si>
  <si>
    <t>MO1220</t>
  </si>
  <si>
    <t>22.5400438 88.3873001 -62.0 5.0</t>
  </si>
  <si>
    <t>ddb5c587-8a4c-4e27-8560-bb89dd9758be</t>
  </si>
  <si>
    <t>2019-10-24T09:55:18</t>
  </si>
  <si>
    <t>2019-10-24T11:47:04.934+05:30</t>
  </si>
  <si>
    <t>2019-10-24T15:25:02.730+05:30</t>
  </si>
  <si>
    <t>2019-10-24T11:47:00.000+05:30</t>
  </si>
  <si>
    <t>22.539985 88.3872609 -42.900001525878906 5.0</t>
  </si>
  <si>
    <t>MO1221</t>
  </si>
  <si>
    <t>Sample collected by Buddhadeb Samaddar at PS site No 6</t>
  </si>
  <si>
    <t>375665e9-1bc2-4dfd-9fb8-2f73f14c756b</t>
  </si>
  <si>
    <t>2019-10-24T09:55:19</t>
  </si>
  <si>
    <t>2019-10-28T09:37:12.938+05:30</t>
  </si>
  <si>
    <t>2019-10-30T14:36:22.537+05:30</t>
  </si>
  <si>
    <t>PLc1049</t>
  </si>
  <si>
    <t>2019-10-28T10:11:00.000+05:30</t>
  </si>
  <si>
    <t>22.5452839 88.3820567 -44.099998474121094 5.0</t>
  </si>
  <si>
    <t>FB1417</t>
  </si>
  <si>
    <t>34218c51-b678-470e-8c03-37027f812346</t>
  </si>
  <si>
    <t>2019-10-30T09:07:20</t>
  </si>
  <si>
    <t>2019-10-28T10:17:04.680+05:30</t>
  </si>
  <si>
    <t>2019-10-30T14:36:30.155+05:30</t>
  </si>
  <si>
    <t>PLc1050</t>
  </si>
  <si>
    <t>2019-10-28T10:20:00.000+05:30</t>
  </si>
  <si>
    <t>22.5453104 88.3820615 -46.5 5.0</t>
  </si>
  <si>
    <t>d1395df9-debc-46ff-b6f0-062d69532b99</t>
  </si>
  <si>
    <t>2019-10-30T09:07:23</t>
  </si>
  <si>
    <t>2019-10-28T10:26:39.455+05:30</t>
  </si>
  <si>
    <t>2019-10-30T14:33:16.114+05:30</t>
  </si>
  <si>
    <t>2019-10-28T10:17:00.000+05:30</t>
  </si>
  <si>
    <t>22.5453354 88.3820927 -68.19999694824219 5.0</t>
  </si>
  <si>
    <t>PLc1220</t>
  </si>
  <si>
    <t>0b83dbfd-4858-44d4-a370-0b7a7ccb4eb8</t>
  </si>
  <si>
    <t>2019-10-30T09:07:25</t>
  </si>
  <si>
    <t>2019-10-28T10:31:57.831+05:30</t>
  </si>
  <si>
    <t>2019-10-30T14:33:28.456+05:30</t>
  </si>
  <si>
    <t>2019-10-28T10:32:00.000+05:30</t>
  </si>
  <si>
    <t>22.5452993 88.3820589 -24.100000381469727 4.5</t>
  </si>
  <si>
    <t>84f1737c-1ad7-4dc0-907c-84c08545bfc2</t>
  </si>
  <si>
    <t>2019-10-30T09:07:28</t>
  </si>
  <si>
    <t>2019-10-28T10:42:15.488+05:30</t>
  </si>
  <si>
    <t>2019-10-30T14:36:37.324+05:30</t>
  </si>
  <si>
    <t>PLc1051</t>
  </si>
  <si>
    <t>2019-10-28T10:44:00.000+05:30</t>
  </si>
  <si>
    <t>22.544077 88.3819531 -37.900001525878906 5.0</t>
  </si>
  <si>
    <t>PLc1221</t>
  </si>
  <si>
    <t>e9489139-af2c-4648-ade4-13f5d731e7b2</t>
  </si>
  <si>
    <t>2019-10-30T09:07:31</t>
  </si>
  <si>
    <t>2019-10-28T10:51:12.153+05:30</t>
  </si>
  <si>
    <t>2019-10-30T14:33:39.917+05:30</t>
  </si>
  <si>
    <t>2019-10-28T10:51:00.000+05:30</t>
  </si>
  <si>
    <t>22.5440244 88.3819514 -35.599998474121094 5.0</t>
  </si>
  <si>
    <t>FB1418</t>
  </si>
  <si>
    <t>78fac66e-a638-4474-bbf4-3c3874181b3e</t>
  </si>
  <si>
    <t>2019-10-30T09:07:33</t>
  </si>
  <si>
    <t>2019-10-28T11:12:15.224+05:30</t>
  </si>
  <si>
    <t>2019-10-30T14:36:43.784+05:30</t>
  </si>
  <si>
    <t>PLc1052</t>
  </si>
  <si>
    <t>2019-10-28T11:13:00.000+05:30</t>
  </si>
  <si>
    <t>22.5431576 88.375508 -49.0 5.0</t>
  </si>
  <si>
    <t>587ab0a4-ce83-42a6-991a-abe4e7658014</t>
  </si>
  <si>
    <t>2019-10-30T09:07:36</t>
  </si>
  <si>
    <t>2019-10-28T11:15:40.503+05:30</t>
  </si>
  <si>
    <t>2019-10-30T14:33:51.768+05:30</t>
  </si>
  <si>
    <t>UF1029</t>
  </si>
  <si>
    <t>2019-10-28T11:19:00.000+05:30</t>
  </si>
  <si>
    <t>22.543179 88.3754553 -34.70000076293945 5.0</t>
  </si>
  <si>
    <t>Sample collected by Buddhadeb at PLc1052 site</t>
  </si>
  <si>
    <t>0c7096ed-89bf-425d-b7d6-f23f1db3d511</t>
  </si>
  <si>
    <t>2019-10-30T09:07:38</t>
  </si>
  <si>
    <t>2019-10-28T11:50:07.449+05:30</t>
  </si>
  <si>
    <t>2019-10-30T14:36:50.570+05:30</t>
  </si>
  <si>
    <t>PLc1053</t>
  </si>
  <si>
    <t>2019-10-28T11:51:00.000+05:30</t>
  </si>
  <si>
    <t>22.5409663 88.3742275 -56.0 5.0</t>
  </si>
  <si>
    <t>NCEC110</t>
  </si>
  <si>
    <t>8f287e66-ed4b-494c-8fe4-72a87550ccac</t>
  </si>
  <si>
    <t>2019-10-30T09:07:41</t>
  </si>
  <si>
    <t>2019-10-28T11:57:45.222+05:30</t>
  </si>
  <si>
    <t>2019-10-30T14:34:08.313+05:30</t>
  </si>
  <si>
    <t>2019-10-28T11:59:00.000+05:30</t>
  </si>
  <si>
    <t>22.5408995 88.374247 -33.599998474121094 5.0</t>
  </si>
  <si>
    <t>3f84bc08-9fa6-4eb5-840b-35bdc936c662</t>
  </si>
  <si>
    <t>2019-10-30T09:07:43</t>
  </si>
  <si>
    <t>2019-10-29T10:47:39.252+05:30</t>
  </si>
  <si>
    <t>2019-10-30T14:35:26.137+05:30</t>
  </si>
  <si>
    <t>2019-10-29T10:48:00.000+05:30</t>
  </si>
  <si>
    <t>22.5542267 88.3967597 -43.5 5.0</t>
  </si>
  <si>
    <t>785c3b99-a745-43b6-a140-5b8fa46a7dd7</t>
  </si>
  <si>
    <t>2019-10-30T09:07:46</t>
  </si>
  <si>
    <t>2019-10-29T10:59:55.850+05:30</t>
  </si>
  <si>
    <t>2019-10-30T14:34:21.262+05:30</t>
  </si>
  <si>
    <t>2019-10-29T11:00:00.000+05:30</t>
  </si>
  <si>
    <t>22.5542018 88.396725 -38.099998474121094 5.0</t>
  </si>
  <si>
    <t>Sample collected by Suvankar Mandal . FB at MO site MO1108.</t>
  </si>
  <si>
    <t>06097037-fe1c-493a-8d34-51ed88ae20e3</t>
  </si>
  <si>
    <t>2019-10-30T09:07:48</t>
  </si>
  <si>
    <t>2019-10-29T11:20:53.187+05:30</t>
  </si>
  <si>
    <t>2019-10-30T14:35:44.505+05:30</t>
  </si>
  <si>
    <t>2019-10-29T11:21:00.000+05:30</t>
  </si>
  <si>
    <t>22.5636232 88.377188 -43.099998474121094 4.5</t>
  </si>
  <si>
    <t>8377e0ab-7c57-4a44-921d-ebacca1e9c6e</t>
  </si>
  <si>
    <t>2019-10-30T09:07:51</t>
  </si>
  <si>
    <t>2019-10-29T11:29:03.274+05:30</t>
  </si>
  <si>
    <t>2019-10-30T14:34:34.825+05:30</t>
  </si>
  <si>
    <t>2019-10-29T11:29:00.000+05:30</t>
  </si>
  <si>
    <t>22.5636506 88.377279 -59.79999923706055 5.0</t>
  </si>
  <si>
    <t>Sample collected by Debabrata Maity. FB at MO site MO1109</t>
  </si>
  <si>
    <t>afcb6cf6-fadd-4403-bad8-27a88cb8f9d3</t>
  </si>
  <si>
    <t>2019-10-30T09:07:56</t>
  </si>
  <si>
    <t>2019-10-31T09:22:18.359+05:30</t>
  </si>
  <si>
    <t>2019-10-31T15:07:12.661+05:30</t>
  </si>
  <si>
    <t>2019-10-31T09:24:00.000+05:30</t>
  </si>
  <si>
    <t>22.5410518 88.3741855 -45.599998474121094 5.0</t>
  </si>
  <si>
    <t>ef4e3427-2cd2-4342-9b79-0e757082bc2b</t>
  </si>
  <si>
    <t>2019-10-31T09:38:30</t>
  </si>
  <si>
    <t>2019-10-31T09:31:53.211+05:30</t>
  </si>
  <si>
    <t>2019-10-31T15:05:13.461+05:30</t>
  </si>
  <si>
    <t>2019-10-31T09:32:00.000+05:30</t>
  </si>
  <si>
    <t>22.5409574 88.3741391 -50.599998474121094 5.0</t>
  </si>
  <si>
    <t>Sample collected by Suvankar Mandal, FB at PLc1054 site</t>
  </si>
  <si>
    <t>3a2c62fc-28d7-4f23-8ea9-301d1aec7673</t>
  </si>
  <si>
    <t>2019-10-31T09:38:33</t>
  </si>
  <si>
    <t>2019-10-31T09:46:26.937+05:30</t>
  </si>
  <si>
    <t>2019-10-31T15:07:29.185+05:30</t>
  </si>
  <si>
    <t>2019-10-31T09:47:00.000+05:30</t>
  </si>
  <si>
    <t>22.5430807 88.3755293 -53.5 5.0</t>
  </si>
  <si>
    <t>d77fe808-8164-40ae-8563-4cbc196d220f</t>
  </si>
  <si>
    <t>2019-10-31T09:38:36</t>
  </si>
  <si>
    <t>2019-10-31T09:53:53.576+05:30</t>
  </si>
  <si>
    <t>2019-10-31T15:05:25.077+05:30</t>
  </si>
  <si>
    <t>2019-10-31T09:54:00.000+05:30</t>
  </si>
  <si>
    <t>22.5431195 88.3755188 -32.5 5.0</t>
  </si>
  <si>
    <t>Sample collected by Buddhadeb Samaddar, FB at PLc1055 site</t>
  </si>
  <si>
    <t>f93d426c-29cf-4dc3-92e0-f8cdb4acaa89</t>
  </si>
  <si>
    <t>2019-10-31T09:38:39</t>
  </si>
  <si>
    <t>2019-10-31T10:30:23.988+05:30</t>
  </si>
  <si>
    <t>2019-10-31T15:07:43.924+05:30</t>
  </si>
  <si>
    <t>2019-10-31T10:31:00.000+05:30</t>
  </si>
  <si>
    <t>22.5440545 88.3819205 -52.20000076293945 4.5</t>
  </si>
  <si>
    <t>a103fe6a-b251-460b-abca-65d6f273af5b</t>
  </si>
  <si>
    <t>2019-10-31T09:38:41</t>
  </si>
  <si>
    <t>2019-10-31T10:36:47.707+05:30</t>
  </si>
  <si>
    <t>2019-10-31T15:05:35.969+05:30</t>
  </si>
  <si>
    <t>2019-10-31T10:37:00.000+05:30</t>
  </si>
  <si>
    <t>22.5440302 88.3819915 -133.10000610351563 4.5</t>
  </si>
  <si>
    <t>Sample collected by Somnath Sarkar, FB at PLc1056 site</t>
  </si>
  <si>
    <t>005a4bfb-1b92-411b-94ba-ad9e979e39d8</t>
  </si>
  <si>
    <t>2019-10-31T09:38:44</t>
  </si>
  <si>
    <t>2019-10-31T10:51:21.812+05:30</t>
  </si>
  <si>
    <t>2019-10-31T15:07:59.528+05:30</t>
  </si>
  <si>
    <t>2019-10-31T10:52:00.000+05:30</t>
  </si>
  <si>
    <t>22.5453157 88.3820958 -55.900001525878906 5.0</t>
  </si>
  <si>
    <t>0af94641-08bd-4edd-a62c-dfade5c30b12</t>
  </si>
  <si>
    <t>2019-10-31T09:38:48</t>
  </si>
  <si>
    <t>2019-10-31T10:58:40.417+05:30</t>
  </si>
  <si>
    <t>2019-10-31T15:05:46.810+05:30</t>
  </si>
  <si>
    <t>2019-10-31T10:59:00.000+05:30</t>
  </si>
  <si>
    <t>22.5453038 88.3820958 -57.599998474121094 5.0</t>
  </si>
  <si>
    <t>Sample collected by Somnath Sarkar, FB at PLc1057 site</t>
  </si>
  <si>
    <t>166390a5-5b3b-4b32-9063-1bd7b46d2236</t>
  </si>
  <si>
    <t>2019-10-31T09:38:50</t>
  </si>
  <si>
    <t>2019-10-31T11:05:13.319+05:30</t>
  </si>
  <si>
    <t>2019-10-31T15:08:11.942+05:30</t>
  </si>
  <si>
    <t>2019-10-31T11:06:00.000+05:30</t>
  </si>
  <si>
    <t>22.5453167 88.3821566 -44.099998474121094 5.0</t>
  </si>
  <si>
    <t>PLc1222</t>
  </si>
  <si>
    <t>f8ed36ff-4fa6-43dc-95b7-ec843c0d8b47</t>
  </si>
  <si>
    <t>2019-10-31T09:38:53</t>
  </si>
  <si>
    <t>2019-10-31T11:12:01.022+05:30</t>
  </si>
  <si>
    <t>2019-10-31T15:05:57.283+05:30</t>
  </si>
  <si>
    <t>2019-10-31T11:15:00.000+05:30</t>
  </si>
  <si>
    <t>22.545233 88.3822 -36.400001525878906 5.0</t>
  </si>
  <si>
    <t>Sample collected by Suvankar Mandal, FB at PLc1058 site</t>
  </si>
  <si>
    <t>8127aff9-7d1f-431a-9613-db61e191210d</t>
  </si>
  <si>
    <t>2019-10-31T09:38:55</t>
  </si>
  <si>
    <t>2019-10-31T12:00:40.745+05:30</t>
  </si>
  <si>
    <t>2019-10-31T15:06:57.445+05:30</t>
  </si>
  <si>
    <t>2019-10-31T12:01:00.000+05:30</t>
  </si>
  <si>
    <t>22.5399822 88.3872065 -49.400001525878906 5.0</t>
  </si>
  <si>
    <t>PLc1223</t>
  </si>
  <si>
    <t>da1a12c7-0296-4593-ab47-2c7380f8b3b7</t>
  </si>
  <si>
    <t>2019-10-31T09:38:58</t>
  </si>
  <si>
    <t>2019-10-31T12:08:12.894+05:30</t>
  </si>
  <si>
    <t>2019-10-31T15:06:07.991+05:30</t>
  </si>
  <si>
    <t>2019-10-31T12:08:00.000+05:30</t>
  </si>
  <si>
    <t>22.5400229 88.3872598 -51.0 5.0</t>
  </si>
  <si>
    <t>Sample collected by Suvankar Mandal, FB at MO1111 site</t>
  </si>
  <si>
    <t>71b895b2-6527-48ba-9117-7f27292733ef</t>
  </si>
  <si>
    <t>2019-10-31T09:39:01</t>
  </si>
  <si>
    <t>2019-10-31T12:22:15.608+05:30</t>
  </si>
  <si>
    <t>2019-10-31T15:06:51.586+05:30</t>
  </si>
  <si>
    <t>2019-10-31T12:23:00.000+05:30</t>
  </si>
  <si>
    <t>22.5346684 88.3957491 -32.900001525878906 5.0</t>
  </si>
  <si>
    <t>FB1420</t>
  </si>
  <si>
    <t>6b2ec1c2-4e90-4022-903b-19ab47bc9cf8</t>
  </si>
  <si>
    <t>2019-10-31T09:39:04</t>
  </si>
  <si>
    <t>2019-10-31T12:26:57.814+05:30</t>
  </si>
  <si>
    <t>2019-10-31T15:06:18.630+05:30</t>
  </si>
  <si>
    <t>2019-10-31T12:27:00.000+05:30</t>
  </si>
  <si>
    <t>22.5346023 88.3959158 -54.099998474121094 5.0</t>
  </si>
  <si>
    <t>Sample collected by Buddhadeb Samaddar, FB at MO1110 site</t>
  </si>
  <si>
    <t>984ce5ae-bb45-46e4-b1c2-33cdee0852dc</t>
  </si>
  <si>
    <t>2019-10-31T09:39:07</t>
  </si>
  <si>
    <t>2019-11-01T10:02:42.093+05:30</t>
  </si>
  <si>
    <t>2019-11-01T15:21:30.714+05:30</t>
  </si>
  <si>
    <t>K24049</t>
  </si>
  <si>
    <t>2019-11-01T10:04:00.000+05:30</t>
  </si>
  <si>
    <t>22.5430944 88.3820063 -63.400001525878906 5.0</t>
  </si>
  <si>
    <t>2405fa86-9237-45a7-b1d3-49d69ae99e31</t>
  </si>
  <si>
    <t>2019-11-01T09:52:03</t>
  </si>
  <si>
    <t>MO1222</t>
  </si>
  <si>
    <t>2019-11-01T10:23:57.953+05:30</t>
  </si>
  <si>
    <t>2019-11-01T15:21:04.247+05:30</t>
  </si>
  <si>
    <t>2019-11-01T10:24:00.000+05:30</t>
  </si>
  <si>
    <t>22.5431684 88.3817237 -33.900001525878906 7.0</t>
  </si>
  <si>
    <t>Sample collected by Somnath Sarkar, FB at PLc1059 site</t>
  </si>
  <si>
    <t>eec7a79e-eb8b-4c7d-8646-8c492adced16</t>
  </si>
  <si>
    <t>2019-11-01T09:52:07</t>
  </si>
  <si>
    <t>2019-11-01T11:29:13.263+05:30</t>
  </si>
  <si>
    <t>2019-11-01T15:21:47.053+05:30</t>
  </si>
  <si>
    <t>K22316</t>
  </si>
  <si>
    <t>2019-11-01T11:30:00.000+05:30</t>
  </si>
  <si>
    <t>22.541079 88.3758851 -58.0 5.0</t>
  </si>
  <si>
    <t>MO1223</t>
  </si>
  <si>
    <t>d08bf2f9-17b5-498e-ad4a-642dfcd25c55</t>
  </si>
  <si>
    <t>2019-11-01T09:52:10</t>
  </si>
  <si>
    <t>2019-11-01T11:47:17.398+05:30</t>
  </si>
  <si>
    <t>2019-11-01T15:21:14.525+05:30</t>
  </si>
  <si>
    <t>2019-11-01T11:48:00.000+05:30</t>
  </si>
  <si>
    <t>22.5410065 88.3758104 -51.599998474121094 5.0</t>
  </si>
  <si>
    <t>Sample collected by Suvankar Mandal, FB at PLc1060 site</t>
  </si>
  <si>
    <t>d40df231-fa51-4092-a63b-511ff51e5ca3</t>
  </si>
  <si>
    <t>2019-11-01T09:52:12</t>
  </si>
  <si>
    <t>2019-11-04T10:28:56.701+05:30</t>
  </si>
  <si>
    <t>2019-11-04T15:27:39.230+05:30</t>
  </si>
  <si>
    <t>MO1224</t>
  </si>
  <si>
    <t>2019-11-04T10:29:00.000+05:30</t>
  </si>
  <si>
    <t>22.5452309 88.3821248 -47.20000076293945 5.0</t>
  </si>
  <si>
    <t>MO1225</t>
  </si>
  <si>
    <t>fd93c062-492b-44ee-a9aa-5256af35b027</t>
  </si>
  <si>
    <t>2019-11-04T09:59:01</t>
  </si>
  <si>
    <t>2019-11-04T10:35:11.441+05:30</t>
  </si>
  <si>
    <t>2019-11-04T15:26:47.141+05:30</t>
  </si>
  <si>
    <t>2019-11-04T10:35:00.000+05:30</t>
  </si>
  <si>
    <t>22.5453237 88.3821855 -48.900001525878906 5.0</t>
  </si>
  <si>
    <t>Sample collected by Somnath Sarkar, FB at PLc1061 site</t>
  </si>
  <si>
    <t>UF1030</t>
  </si>
  <si>
    <t>cb687376-55db-4d06-a396-8217eaf389e2</t>
  </si>
  <si>
    <t>2019-11-04T09:59:04</t>
  </si>
  <si>
    <t>2019-11-04T10:38:40.119+05:30</t>
  </si>
  <si>
    <t>2019-11-04T15:28:15.937+05:30</t>
  </si>
  <si>
    <t>2019-11-04T10:39:00.000+05:30</t>
  </si>
  <si>
    <t>22.5452895 88.3821094 -55.79999923706055 5.0</t>
  </si>
  <si>
    <t>ba5c27a3-9e58-4c3b-816f-5a738c30a61d</t>
  </si>
  <si>
    <t>2019-11-04T09:59:06</t>
  </si>
  <si>
    <t>2019-11-04T10:42:47.081+05:30</t>
  </si>
  <si>
    <t>2019-11-04T15:26:56.447+05:30</t>
  </si>
  <si>
    <t>2019-11-04T10:43:00.000+05:30</t>
  </si>
  <si>
    <t>22.5452692 88.3820995 -67.30000305175781 5.0</t>
  </si>
  <si>
    <t>FB1422</t>
  </si>
  <si>
    <t>Sample collected by Suvankar Mandal, FB at PLc1062 site</t>
  </si>
  <si>
    <t>37dd2bf8-a32a-4d91-a6b0-547409b945a1</t>
  </si>
  <si>
    <t>2019-11-04T09:59:09</t>
  </si>
  <si>
    <t>2019-11-04T10:53:26.071+05:30</t>
  </si>
  <si>
    <t>2019-11-04T15:28:26.343+05:30</t>
  </si>
  <si>
    <t>2019-11-04T10:54:00.000+05:30</t>
  </si>
  <si>
    <t>22.5440908 88.3820142 -63.70000076293945 5.0</t>
  </si>
  <si>
    <t>4777eb19-0144-41fb-86a0-3a5c29808571</t>
  </si>
  <si>
    <t>2019-11-04T09:59:12</t>
  </si>
  <si>
    <t>2019-11-04T10:56:48.323+05:30</t>
  </si>
  <si>
    <t>2019-11-04T15:27:06.638+05:30</t>
  </si>
  <si>
    <t>2019-11-04T10:57:00.000+05:30</t>
  </si>
  <si>
    <t>22.5440264 88.3819138 -47.400001525878906 5.0</t>
  </si>
  <si>
    <t>MO1226</t>
  </si>
  <si>
    <t>Sample collected by Suvankar Mandal, FB at PLc1063 site</t>
  </si>
  <si>
    <t>084a377b-e522-42e4-8073-18fcf3273d1b</t>
  </si>
  <si>
    <t>2019-11-04T09:59:14</t>
  </si>
  <si>
    <t>2019-11-04T11:12:15.317+05:30</t>
  </si>
  <si>
    <t>2019-11-04T15:28:36.978+05:30</t>
  </si>
  <si>
    <t>2019-11-04T11:13:00.000+05:30</t>
  </si>
  <si>
    <t>22.5430596 88.3755666 -60.0 5.0</t>
  </si>
  <si>
    <t>d96e4e59-9325-420b-a996-80049d602723</t>
  </si>
  <si>
    <t>2019-11-04T09:59:17</t>
  </si>
  <si>
    <t>2019-11-04T11:16:38.554+05:30</t>
  </si>
  <si>
    <t>2019-11-04T15:27:18.277+05:30</t>
  </si>
  <si>
    <t>MO1227</t>
  </si>
  <si>
    <t>2019-11-04T11:17:00.000+05:30</t>
  </si>
  <si>
    <t>22.5430344 88.3755403 -65.4000015258789 5.0</t>
  </si>
  <si>
    <t>Sample collected byBiplab Jash, FB at PLc1064 site</t>
  </si>
  <si>
    <t>26602d6b-4bdc-4cca-8382-6c0e8b7c7999</t>
  </si>
  <si>
    <t>2019-11-04T09:59:19</t>
  </si>
  <si>
    <t>2019-11-04T11:29:04.221+05:30</t>
  </si>
  <si>
    <t>2019-11-04T15:28:47.811+05:30</t>
  </si>
  <si>
    <t>2019-11-04T11:29:00.000+05:30</t>
  </si>
  <si>
    <t>22.5410453 88.3742742 -45.79999923706055 4.5</t>
  </si>
  <si>
    <t>d5cf1822-c29a-4fb5-a8de-998168baa677</t>
  </si>
  <si>
    <t>2019-11-04T09:59:22</t>
  </si>
  <si>
    <t>2019-11-04T11:34:33.571+05:30</t>
  </si>
  <si>
    <t>2019-11-04T15:27:28.152+05:30</t>
  </si>
  <si>
    <t>2019-11-04T11:36:00.000+05:30</t>
  </si>
  <si>
    <t>22.5410234 88.3742585 -48.0 5.0</t>
  </si>
  <si>
    <t>MO1228</t>
  </si>
  <si>
    <t>Sample collected by Debabrata Maity, FB at PLc1065 site</t>
  </si>
  <si>
    <t>3cb44907-59b5-4a2e-803b-bfdc8809727c</t>
  </si>
  <si>
    <t>2019-11-04T09:59:25</t>
  </si>
  <si>
    <t>2019-11-05T11:35:37.647+05:30</t>
  </si>
  <si>
    <t>2019-11-05T17:32:51.444+05:30</t>
  </si>
  <si>
    <t>2019-11-05T11:37:00.000+05:30</t>
  </si>
  <si>
    <t>22.5432257 88.3817828 -34.900001525878906 5.0</t>
  </si>
  <si>
    <t>FB1423</t>
  </si>
  <si>
    <t>a0a38ff1-52b7-40a0-9d08-450e4905f3c1</t>
  </si>
  <si>
    <t>2019-11-05T12:03:02</t>
  </si>
  <si>
    <t>2019-11-05T11:44:24.039+05:30</t>
  </si>
  <si>
    <t>2019-11-05T17:31:05.292+05:30</t>
  </si>
  <si>
    <t>2019-11-05T11:44:00.000+05:30</t>
  </si>
  <si>
    <t>22.5431644 88.3819255 -53.20000076293945 5.0</t>
  </si>
  <si>
    <t>Sample collected by Suvankar Mandal!,FB at PLc1066</t>
  </si>
  <si>
    <t>840261c8-b08c-408f-b452-52c93ce8c624</t>
  </si>
  <si>
    <t>2019-11-05T12:03:05</t>
  </si>
  <si>
    <t>2019-11-05T12:01:44.034+05:30</t>
  </si>
  <si>
    <t>2019-11-05T17:32:56.044+05:30</t>
  </si>
  <si>
    <t>2019-11-05T12:02:00.000+05:30</t>
  </si>
  <si>
    <t>22.5410424 88.3758093 -37.400001525878906 5.5</t>
  </si>
  <si>
    <t>2587075b-30fb-4d2e-ab10-b0648629ffd7</t>
  </si>
  <si>
    <t>2019-11-05T12:03:08</t>
  </si>
  <si>
    <t>2019-11-05T12:15:52.432+05:30</t>
  </si>
  <si>
    <t>PL1034</t>
  </si>
  <si>
    <t>2019-11-05T17:31:16.209+05:30</t>
  </si>
  <si>
    <t>2019-11-05T12:16:00.000+05:30</t>
  </si>
  <si>
    <t>22.5409699 88.3758421 -35.79999923706055 5.0</t>
  </si>
  <si>
    <t>Sample collected by Somnath Sarkar .FB at PLc 1067</t>
  </si>
  <si>
    <t>SUVANKAR MANDAL</t>
  </si>
  <si>
    <t>a4095867-639f-45ef-ade7-2451d420fa84</t>
  </si>
  <si>
    <t>2019-11-05T12:03:11</t>
  </si>
  <si>
    <t>2019-11-05T12:40:10.916+05:30</t>
  </si>
  <si>
    <t>2019-11-05T17:32:26.944+05:30</t>
  </si>
  <si>
    <t>2019-11-05T12:46:00.000+05:30</t>
  </si>
  <si>
    <t>22.5636348 88.3773717 -44.5 5.0</t>
  </si>
  <si>
    <t>PL1035</t>
  </si>
  <si>
    <t>cddb1fbc-f620-4ac3-8ee9-254443c84613</t>
  </si>
  <si>
    <t>2019-11-05T12:03:13</t>
  </si>
  <si>
    <t>2019-11-05T12:47:58.110+05:30</t>
  </si>
  <si>
    <t>2019-11-05T17:31:25.942+05:30</t>
  </si>
  <si>
    <t>2019-11-05T12:53:00.000+05:30</t>
  </si>
  <si>
    <t>22.5636571 88.3774255 -67.80000305175781 5.0</t>
  </si>
  <si>
    <t>Sample collected by Somnath Sarkar , FB at MO1113</t>
  </si>
  <si>
    <t>a40ad564-9e46-4f32-890c-f7f8d24c162d</t>
  </si>
  <si>
    <t>2019-11-05T12:03:15</t>
  </si>
  <si>
    <t>2019-11-05T13:09:17.617+05:30</t>
  </si>
  <si>
    <t>2019-11-05T17:32:21.940+05:30</t>
  </si>
  <si>
    <t>2019-11-05T13:09:00.000+05:30</t>
  </si>
  <si>
    <t>22.5541951 88.3967103 -32.5 5.0</t>
  </si>
  <si>
    <t>FB1424</t>
  </si>
  <si>
    <t>7ef32a85-2b7d-4ae1-8dc9-942efdbc3475</t>
  </si>
  <si>
    <t>2019-11-05T12:03:18</t>
  </si>
  <si>
    <t>2019-11-05T13:10:46.633+05:30</t>
  </si>
  <si>
    <t>2019-11-05T17:31:31.368+05:30</t>
  </si>
  <si>
    <t>2019-11-05T13:18:00.000+05:30</t>
  </si>
  <si>
    <t>22.5542001 88.3967643 -73.80000305175781 5.0</t>
  </si>
  <si>
    <t>Sample collected by Buddhadeb Samaddar, FB at MO1112</t>
  </si>
  <si>
    <t>1b7c882c-0d12-427d-84fd-cd015daa40bb</t>
  </si>
  <si>
    <t>2019-11-05T12:03:20</t>
  </si>
  <si>
    <t>2019-11-07T10:09:15.685+05:30</t>
  </si>
  <si>
    <t>UF1031</t>
  </si>
  <si>
    <t>2019-11-07T17:14:38.734+05:30</t>
  </si>
  <si>
    <t>2019-11-07T10:10:00.000+05:30</t>
  </si>
  <si>
    <t>22.5440217 88.3819502 -60.5 5.0</t>
  </si>
  <si>
    <t>f92b770f-f572-4a7c-8922-7ef298ce05dc</t>
  </si>
  <si>
    <t>2019-11-07T11:45:41</t>
  </si>
  <si>
    <t>2019-11-07T10:14:29.617+05:30</t>
  </si>
  <si>
    <t>2019-11-07T17:05:39.668+05:30</t>
  </si>
  <si>
    <t>2019-11-07T10:15:00.000+05:30</t>
  </si>
  <si>
    <t>22.5440238 88.3819542 -45.5 5.0</t>
  </si>
  <si>
    <t>Sample collected by Suvankar Mandal, FB at PLc1068 site</t>
  </si>
  <si>
    <t>c54a6cc9-8bf1-433a-a7ce-da7cd668f7a8</t>
  </si>
  <si>
    <t>2019-11-07T11:45:42</t>
  </si>
  <si>
    <t>2019-11-07T10:23:16.312+05:30</t>
  </si>
  <si>
    <t>2019-11-07T17:14:52.906+05:30</t>
  </si>
  <si>
    <t>2019-11-07T10:23:00.000+05:30</t>
  </si>
  <si>
    <t>22.5452227 88.3821187 -45.400001525878906 5.0</t>
  </si>
  <si>
    <t>a4282266-5e7a-4799-b8f2-b14d1e9fa836</t>
  </si>
  <si>
    <t>2019-11-07T11:45:44</t>
  </si>
  <si>
    <t>2019-11-07T10:27:02.047+05:30</t>
  </si>
  <si>
    <t>2019-11-07T17:05:48.781+05:30</t>
  </si>
  <si>
    <t>2019-11-07T10:27:00.000+05:30</t>
  </si>
  <si>
    <t>22.5452959 88.3821179 -44.20000076293945 5.0</t>
  </si>
  <si>
    <t>Sample collected by Somnath Sarkar, FB at PLc1069 site</t>
  </si>
  <si>
    <t>874af82e-b50a-44e3-8cdb-63d4023285eb</t>
  </si>
  <si>
    <t>2019-11-07T11:45:45</t>
  </si>
  <si>
    <t>2019-11-07T10:31:10.694+05:30</t>
  </si>
  <si>
    <t>2019-11-07T17:15:05.126+05:30</t>
  </si>
  <si>
    <t>2019-11-07T10:31:00.000+05:30</t>
  </si>
  <si>
    <t>22.545243 88.382054 -51.20000076293945 4.5</t>
  </si>
  <si>
    <t>8002b28a-0e0f-48d5-a624-bd1ae0cf0e6a</t>
  </si>
  <si>
    <t>2019-11-07T11:45:47</t>
  </si>
  <si>
    <t>2019-11-07T10:34:34.498+05:30</t>
  </si>
  <si>
    <t>2019-11-07T17:05:54.412+05:30</t>
  </si>
  <si>
    <t>2019-11-07T10:34:00.000+05:30</t>
  </si>
  <si>
    <t>22.5452618 88.3821291 -57.900001525878906 5.0</t>
  </si>
  <si>
    <t>Sample collected by Buddhadeb Samaddar, FB at PLc1070 site</t>
  </si>
  <si>
    <t>5768342f-20b6-4889-8dfe-0cd707ee101b</t>
  </si>
  <si>
    <t>2019-11-07T11:45:48</t>
  </si>
  <si>
    <t>2019-11-07T10:48:45.411+05:30</t>
  </si>
  <si>
    <t>2019-11-07T17:15:16.017+05:30</t>
  </si>
  <si>
    <t>2019-11-07T10:49:00.000+05:30</t>
  </si>
  <si>
    <t>22.5430311 88.3755003 -46.20000076293945 5.0</t>
  </si>
  <si>
    <t>0d2589c9-59f8-4f97-8f2a-128a42938b95</t>
  </si>
  <si>
    <t>2019-11-07T11:45:50</t>
  </si>
  <si>
    <t>2019-11-07T10:52:46.304+05:30</t>
  </si>
  <si>
    <t>2019-11-07T17:06:02.933+05:30</t>
  </si>
  <si>
    <t>2019-11-07T10:53:00.000+05:30</t>
  </si>
  <si>
    <t>22.5430304 88.3755734 -49.79999923706055 5.0</t>
  </si>
  <si>
    <t>Sample collected by Biplab Jash, FB at PLc1071 site</t>
  </si>
  <si>
    <t>97f0e68a-6f2c-42ac-a7e3-de9949ebcdfa</t>
  </si>
  <si>
    <t>2019-11-07T11:45:51</t>
  </si>
  <si>
    <t>2019-11-07T11:05:28.945+05:30</t>
  </si>
  <si>
    <t>2019-11-07T17:15:27.114+05:30</t>
  </si>
  <si>
    <t>2019-11-07T11:06:00.000+05:30</t>
  </si>
  <si>
    <t>22.5410391 88.3742754 -65.4000015258789 5.0</t>
  </si>
  <si>
    <t>88c29a3c-7acb-441a-8b15-825ad71be305</t>
  </si>
  <si>
    <t>2019-11-07T11:45:53</t>
  </si>
  <si>
    <t>2019-11-07T11:07:22.161+05:30</t>
  </si>
  <si>
    <t>2019-11-07T17:13:13.474+05:30</t>
  </si>
  <si>
    <t>2019-11-07T11:17:00.000+05:30</t>
  </si>
  <si>
    <t>22.5411531 88.3742595 -50.099998474121094 5.0</t>
  </si>
  <si>
    <t>PLc1224</t>
  </si>
  <si>
    <t>Sample collected by Somnath Sarkar, FB at PLc1072 site</t>
  </si>
  <si>
    <t>2cd26bd3-e1cc-4d0e-ba47-c384f602260a</t>
  </si>
  <si>
    <t>2019-11-07T11:45:55</t>
  </si>
  <si>
    <t>2019-11-07T11:32:59.156+05:30</t>
  </si>
  <si>
    <t>2019-11-07T17:14:27.437+05:30</t>
  </si>
  <si>
    <t>2019-11-07T11:33:00.000+05:30</t>
  </si>
  <si>
    <t>22.5399961 88.3872925 -45.70000076293945 4.5</t>
  </si>
  <si>
    <t>PLc1225</t>
  </si>
  <si>
    <t>780cab75-b025-4629-9852-b45ad558eae3</t>
  </si>
  <si>
    <t>2019-11-07T11:45:57</t>
  </si>
  <si>
    <t>2019-11-07T11:35:21.622+05:30</t>
  </si>
  <si>
    <t>2019-11-07T17:13:50.894+05:30</t>
  </si>
  <si>
    <t>2019-11-07T11:40:00.000+05:30</t>
  </si>
  <si>
    <t>22.5400099 88.3871859 -56.099998474121094 5.0</t>
  </si>
  <si>
    <t>Sample collected by Debabrata Maity, FB at MO1115 site</t>
  </si>
  <si>
    <t>df4ca1e9-da8e-49b4-9232-7e3d0d8cf4e8</t>
  </si>
  <si>
    <t>FB1426</t>
  </si>
  <si>
    <t>2019-11-07T11:45:59</t>
  </si>
  <si>
    <t>2019-11-07T11:48:33.032+05:30</t>
  </si>
  <si>
    <t>2019-11-07T17:14:20.601+05:30</t>
  </si>
  <si>
    <t>2019-11-07T11:49:00.000+05:30</t>
  </si>
  <si>
    <t>22.5346126 88.3958818 -51.400001525878906 4.5</t>
  </si>
  <si>
    <t>e6a4d86c-bc8e-4845-8117-1cef00bd44aa</t>
  </si>
  <si>
    <t>2019-11-07T11:46:02</t>
  </si>
  <si>
    <t>2019-11-07T11:50:23.943+05:30</t>
  </si>
  <si>
    <t>2019-11-07T17:14:06.095+05:30</t>
  </si>
  <si>
    <t>MO1229</t>
  </si>
  <si>
    <t>2019-11-07T11:55:00.000+05:30</t>
  </si>
  <si>
    <t>22.5345833 88.3960044 -56.79999923706055 5.0</t>
  </si>
  <si>
    <t>Sample collected by Biplab Jash, FB at MO1114 site</t>
  </si>
  <si>
    <t>9698d0d3-faf4-418a-ae17-2dfb4540bc3a</t>
  </si>
  <si>
    <t>2019-11-07T11:46:04</t>
  </si>
  <si>
    <t>2019-11-08T11:34:46.349+05:30</t>
  </si>
  <si>
    <t>2019-11-11T15:18:20.393+05:30</t>
  </si>
  <si>
    <t>MO1230</t>
  </si>
  <si>
    <t>2019-11-08T11:35:00.000+05:30</t>
  </si>
  <si>
    <t>22.5431584 88.3818802 -53.900001525878906 6.0</t>
  </si>
  <si>
    <t>62f36edb-2f6b-4226-8516-29627c376e2c</t>
  </si>
  <si>
    <t>2019-11-11T09:48:31</t>
  </si>
  <si>
    <t>2019-11-08T11:40:02.845+05:30</t>
  </si>
  <si>
    <t>2019-11-11T15:18:05.560+05:30</t>
  </si>
  <si>
    <t>2019-11-08T11:42:00.000+05:30</t>
  </si>
  <si>
    <t>22.5432015 88.3818367 -42.29999923706055 6.0</t>
  </si>
  <si>
    <t>MO1231</t>
  </si>
  <si>
    <t>Sample collected by Suvankar Mandal, FB at PLc1073 site</t>
  </si>
  <si>
    <t>38793cf4-5de3-4d89-9aed-eac52b1e2eed</t>
  </si>
  <si>
    <t>2019-11-11T09:48:34</t>
  </si>
  <si>
    <t>2019-11-08T11:53:10.380+05:30</t>
  </si>
  <si>
    <t>2019-11-11T15:18:26.192+05:30</t>
  </si>
  <si>
    <t>2019-11-08T11:53:00.000+05:30</t>
  </si>
  <si>
    <t>22.5409918 88.3757673 -26.899999618530273 5.0</t>
  </si>
  <si>
    <t>MO1232</t>
  </si>
  <si>
    <t>f4f1c177-2c10-44fb-8290-c3d1f3e5907b</t>
  </si>
  <si>
    <t>2019-11-11T09:48:36</t>
  </si>
  <si>
    <t>2019-11-08T11:57:04.155+05:30</t>
  </si>
  <si>
    <t>2019-11-11T15:18:10.668+05:30</t>
  </si>
  <si>
    <t>2019-11-08T12:04:00.000+05:30</t>
  </si>
  <si>
    <t>22.5410474 88.3757108 -52.5 5.0</t>
  </si>
  <si>
    <t>Sample collected by Somnath Sarkar, FB at PLc1074 site</t>
  </si>
  <si>
    <t>MO1233</t>
  </si>
  <si>
    <t>6039283b-9d38-44c3-a57c-a1f6dd1cde93</t>
  </si>
  <si>
    <t>2019-11-11T09:48:39</t>
  </si>
  <si>
    <t>2019-11-08T12:35:18.202+05:30</t>
  </si>
  <si>
    <t>2019-11-11T15:18:30.812+05:30</t>
  </si>
  <si>
    <t>K15132</t>
  </si>
  <si>
    <t>2019-11-08T12:35:00.000+05:30</t>
  </si>
  <si>
    <t>22.5536182 88.3851639 -68.80000305175781 5.0</t>
  </si>
  <si>
    <t>FB1427</t>
  </si>
  <si>
    <t>1d44bfd0-d6cf-426d-8c90-67fac4bba9bb</t>
  </si>
  <si>
    <t>2019-11-11T09:48:41</t>
  </si>
  <si>
    <t>2019-11-08T12:46:58.116+05:30</t>
  </si>
  <si>
    <t>2019-11-11T15:18:15.568+05:30</t>
  </si>
  <si>
    <t>2019-11-08T12:47:00.000+05:30</t>
  </si>
  <si>
    <t>22.553546 88.385161 -41.599998474121094 5.0</t>
  </si>
  <si>
    <t>Sample collected by Suvankar Mandal, FB at PLc1075 site</t>
  </si>
  <si>
    <t>91b057aa-6715-49b5-8317-c84ee39cdd1b</t>
  </si>
  <si>
    <t>2019-11-11T09:48:44</t>
  </si>
  <si>
    <t>2019-11-14T11:26:54.385+05:30</t>
  </si>
  <si>
    <t>2019-11-14T16:58:38.919+05:30</t>
  </si>
  <si>
    <t>2019-11-14T11:27:00.000+05:30</t>
  </si>
  <si>
    <t>22.5346001 88.3958808 -45.29999923706055 5.0</t>
  </si>
  <si>
    <t>EC53</t>
  </si>
  <si>
    <t>a4c09aaf-eea3-4362-9f72-1830e295eff7</t>
  </si>
  <si>
    <t>2019-11-14T11:28:54</t>
  </si>
  <si>
    <t>2019-11-14T11:37:38.327+05:30</t>
  </si>
  <si>
    <t>2019-11-14T16:58:41.455+05:30</t>
  </si>
  <si>
    <t>2019-11-14T11:38:00.000+05:30</t>
  </si>
  <si>
    <t>22.5346967 88.3958303 -44.400001525878906 5.0</t>
  </si>
  <si>
    <t>a31a5259-8b7c-490c-92e8-5449c082a374</t>
  </si>
  <si>
    <t>2019-11-14T11:28:57</t>
  </si>
  <si>
    <t>EC52</t>
  </si>
  <si>
    <t>2019-11-14T11:51:03.231+05:30</t>
  </si>
  <si>
    <t>2019-11-14T16:58:43.471+05:30</t>
  </si>
  <si>
    <t>2019-11-14T11:52:00.000+05:30</t>
  </si>
  <si>
    <t>22.5400055 88.3872169 -55.900001525878906 5.0</t>
  </si>
  <si>
    <t>527f1e22-5f36-4313-81cf-047909c7c166</t>
  </si>
  <si>
    <t>2019-11-14T11:29:00</t>
  </si>
  <si>
    <t>2019-11-14T11:55:52.559+05:30</t>
  </si>
  <si>
    <t>2019-11-14T16:58:34.360+05:30</t>
  </si>
  <si>
    <t>2019-11-14T11:56:00.000+05:30</t>
  </si>
  <si>
    <t>22.5400288 88.3872602 -37.29999923706055 5.0</t>
  </si>
  <si>
    <t>14d97268-960c-40dc-91de-8f10827e5145</t>
  </si>
  <si>
    <t>2019-11-14T11:29:02</t>
  </si>
  <si>
    <t>2019-11-15T09:35:59.022+05:30</t>
  </si>
  <si>
    <t>2019-11-15T17:05:29.979+05:30</t>
  </si>
  <si>
    <t>2019-11-15T09:39:00.000+05:30</t>
  </si>
  <si>
    <t>22.5433217 88.3821485 -25.100000381469727 8.0</t>
  </si>
  <si>
    <t>eebf54b8-831d-40bd-9b9e-233cda70c8b8</t>
  </si>
  <si>
    <t>2019-11-15T11:36:07</t>
  </si>
  <si>
    <t>2019-11-15T10:08:26.276+05:30</t>
  </si>
  <si>
    <t>2019-11-15T17:05:05.077+05:30</t>
  </si>
  <si>
    <t>2019-11-15T10:09:00.000+05:30</t>
  </si>
  <si>
    <t>22.5434039 88.3820085 -44.0 7.0</t>
  </si>
  <si>
    <t>61bd71dc-8ce8-4e64-adf2-ce692452c00f</t>
  </si>
  <si>
    <t>2019-11-15T11:36:09</t>
  </si>
  <si>
    <t>2019-11-15T10:27:23.370+05:30</t>
  </si>
  <si>
    <t>2019-11-15T17:05:35.043+05:30</t>
  </si>
  <si>
    <t>2019-11-15T10:28:00.000+05:30</t>
  </si>
  <si>
    <t>22.541025 88.3757319 -16.899999618530273 5.5</t>
  </si>
  <si>
    <t>a918dfcf-1763-45af-993f-f94b84576b3d</t>
  </si>
  <si>
    <t>2019-11-15T11:36:12</t>
  </si>
  <si>
    <t>2019-11-15T10:44:24.486+05:30</t>
  </si>
  <si>
    <t>2019-11-15T17:05:10.933+05:30</t>
  </si>
  <si>
    <t>2019-11-15T10:45:00.000+05:30</t>
  </si>
  <si>
    <t>22.5409801 88.3757569 -46.900001525878906 6.0</t>
  </si>
  <si>
    <t>cffa5d04-cd70-49ec-aee5-35e4dbde8293</t>
  </si>
  <si>
    <t>2019-11-15T11:36:15</t>
  </si>
  <si>
    <t>2019-11-15T10:55:53.634+05:30</t>
  </si>
  <si>
    <t>2019-11-15T17:05:39.915+05:30</t>
  </si>
  <si>
    <t>K22119</t>
  </si>
  <si>
    <t>2019-11-15T11:30:00.000+05:30</t>
  </si>
  <si>
    <t>22.5415203 88.374789 -57.5 5.0</t>
  </si>
  <si>
    <t>394756b4-e26a-41f8-8c2f-b73614dc8206</t>
  </si>
  <si>
    <t>2019-11-15T11:36:17</t>
  </si>
  <si>
    <t>2019-11-15T11:31:28.351+05:30</t>
  </si>
  <si>
    <t>2019-11-15T17:05:15.692+05:30</t>
  </si>
  <si>
    <t>2019-11-15T11:33:00.000+05:30</t>
  </si>
  <si>
    <t>22.5418147 88.3747806 -49.599998474121094 4.5</t>
  </si>
  <si>
    <t>Sample collected by Biplab Jash, FB at PLc1078 site</t>
  </si>
  <si>
    <t>e511ba01-523b-4c22-9158-ddef09917271</t>
  </si>
  <si>
    <t>2019-11-15T11:36:20</t>
  </si>
  <si>
    <t>2019-11-15T11:59:48.251+05:30</t>
  </si>
  <si>
    <t>2019-11-15T17:05:44.858+05:30</t>
  </si>
  <si>
    <t>K26070</t>
  </si>
  <si>
    <t>2019-11-15T12:00:00.000+05:30</t>
  </si>
  <si>
    <t>22.5412401 88.3762118 -38.79999923706055 6.0</t>
  </si>
  <si>
    <t>89666fcc-6ebb-4e90-ac51-02fce723b5eb</t>
  </si>
  <si>
    <t>2019-11-15T11:36:22</t>
  </si>
  <si>
    <t>2019-11-15T12:06:52.947+05:30</t>
  </si>
  <si>
    <t>2019-11-15T17:05:20.211+05:30</t>
  </si>
  <si>
    <t>2019-11-15T12:07:00.000+05:30</t>
  </si>
  <si>
    <t>22.5412604 88.3761823 -45.5 6.0</t>
  </si>
  <si>
    <t>Sample collected by Suvankar Mandal, FB at PLc1079 site</t>
  </si>
  <si>
    <t>efb94e81-fe47-48c5-af37-1b4eb7a934ff</t>
  </si>
  <si>
    <t>2019-11-15T11:36:24</t>
  </si>
  <si>
    <t>2019-11-15T12:27:04.127+05:30</t>
  </si>
  <si>
    <t>2019-11-15T17:05:49.401+05:30</t>
  </si>
  <si>
    <t>2019-11-15T12:28:00.000+05:30</t>
  </si>
  <si>
    <t>22.5535163 88.385248 -41.099998474121094 5.0</t>
  </si>
  <si>
    <t>d555316e-05eb-4876-a5d9-b87e430f6dc5</t>
  </si>
  <si>
    <t>2019-11-15T11:36:27</t>
  </si>
  <si>
    <t>2019-11-15T12:30:06.807+05:30</t>
  </si>
  <si>
    <t>2019-11-15T17:05:25.086+05:30</t>
  </si>
  <si>
    <t>2019-11-15T12:39:00.000+05:30</t>
  </si>
  <si>
    <t>22.5534864 88.385206 -40.70000076293945 5.0</t>
  </si>
  <si>
    <t>Sample collected by Suvankar Mandal, FB at PLc1080 site</t>
  </si>
  <si>
    <t>573b7aae-1d52-4226-8a26-77341ac30457</t>
  </si>
  <si>
    <t>2019-11-15T11:36:30</t>
  </si>
  <si>
    <t>2019-11-18T11:14:10.800+05:30</t>
  </si>
  <si>
    <t>2019-11-18T16:33:50.598+05:30</t>
  </si>
  <si>
    <t>2019-11-18T11:14:00.000+05:30</t>
  </si>
  <si>
    <t>22.5409688 88.3758631 31.200000762939453 5.0</t>
  </si>
  <si>
    <t>01310ec5-f01a-4a21-8dc2-2f5743819284</t>
  </si>
  <si>
    <t>2019-11-18T11:04:17</t>
  </si>
  <si>
    <t>2019-11-18T11:25:20.969+05:30</t>
  </si>
  <si>
    <t>2019-11-18T16:33:29.096+05:30</t>
  </si>
  <si>
    <t>2019-11-18T11:25:00.000+05:30</t>
  </si>
  <si>
    <t>22.5409409 88.3758288 3.299999952316284 5.0</t>
  </si>
  <si>
    <t>Sample collected by Asish Saha, FB at PLc1081 site</t>
  </si>
  <si>
    <t>35b7348e-390d-4602-9be3-4c3d4e743ebb</t>
  </si>
  <si>
    <t>2019-11-18T11:04:20</t>
  </si>
  <si>
    <t>2019-11-18T11:35:22.336+05:30</t>
  </si>
  <si>
    <t>2019-11-18T16:33:55.759+05:30</t>
  </si>
  <si>
    <t>2019-11-18T11:36:00.000+05:30</t>
  </si>
  <si>
    <t>22.5418188 88.374797 -38.400001525878906 5.0</t>
  </si>
  <si>
    <t>22d0cc1b-4901-4218-af7f-c74ec499b278</t>
  </si>
  <si>
    <t>2019-11-18T11:04:23</t>
  </si>
  <si>
    <t>2019-11-18T11:42:28.242+05:30</t>
  </si>
  <si>
    <t>2019-11-18T16:33:34.192+05:30</t>
  </si>
  <si>
    <t>2019-11-18T11:42:00.000+05:30</t>
  </si>
  <si>
    <t>22.5418254 88.3747742 -44.79999923706055 5.0</t>
  </si>
  <si>
    <t>Sample collected by Suvankar Mandal, FB at PLc1082 site</t>
  </si>
  <si>
    <t>1d29741f-29bd-402f-851f-19f0a79a980b</t>
  </si>
  <si>
    <t>2019-11-18T11:04:25</t>
  </si>
  <si>
    <t>2019-11-18T12:01:15.045+05:30</t>
  </si>
  <si>
    <t>2019-11-18T16:34:00.882+05:30</t>
  </si>
  <si>
    <t>2019-11-18T12:02:00.000+05:30</t>
  </si>
  <si>
    <t>22.5431799 88.3819221 -25.299999237060547 5.0</t>
  </si>
  <si>
    <t>ba81e4b1-6f27-4e16-b42e-d1e3387a150a</t>
  </si>
  <si>
    <t>2019-11-18T11:04:29</t>
  </si>
  <si>
    <t>2019-11-18T12:07:53.113+05:30</t>
  </si>
  <si>
    <t>2019-11-18T16:33:38.845+05:30</t>
  </si>
  <si>
    <t>lab_start_dt</t>
  </si>
  <si>
    <t>2019-11-18T12:08:00.000+05:30</t>
  </si>
  <si>
    <t>22.5432066 88.3818535 -20.299999237060547 5.0</t>
  </si>
  <si>
    <t>today</t>
  </si>
  <si>
    <t>lab_end_dt</t>
  </si>
  <si>
    <t>lab_ward</t>
  </si>
  <si>
    <t>Sample collected by Buddhadeb Samaddar, FB at PLc1083 site</t>
  </si>
  <si>
    <t>lab_neighborhood</t>
  </si>
  <si>
    <t>lab_sample_type</t>
  </si>
  <si>
    <t>8be5ba5e-98db-4537-bc57-ab1aacf5c09c</t>
  </si>
  <si>
    <t>2019-11-18T11:04:31</t>
  </si>
  <si>
    <t>lab_sample_type_fp</t>
  </si>
  <si>
    <t>lab_sample_type_co</t>
  </si>
  <si>
    <t>2019-11-18T12:31:32.668+05:30</t>
  </si>
  <si>
    <t>2019-11-18T16:34:05.325+05:30</t>
  </si>
  <si>
    <t>lab_id_val</t>
  </si>
  <si>
    <t>lab_received</t>
  </si>
  <si>
    <t>lab_processing</t>
  </si>
  <si>
    <t>lab_incubator_placed</t>
  </si>
  <si>
    <t>lab_incubator_removed</t>
  </si>
  <si>
    <t>lab_p_weight</t>
  </si>
  <si>
    <t>lab_sf_weight</t>
  </si>
  <si>
    <t>2019-11-18T12:32:00.000+05:30</t>
  </si>
  <si>
    <t>lab_da_weight</t>
  </si>
  <si>
    <t>22.5534318 88.3852626 -51.900001525878906 5.0</t>
  </si>
  <si>
    <t>lab_pa_weight</t>
  </si>
  <si>
    <t>lab_1_note</t>
  </si>
  <si>
    <t>lab_1_dil_tested</t>
  </si>
  <si>
    <t>lab_1_volume</t>
  </si>
  <si>
    <t>lab_1_ecoli_reading_membrane</t>
  </si>
  <si>
    <t>lab_1_ecoli_membrane</t>
  </si>
  <si>
    <t>lab_2_dil_tested</t>
  </si>
  <si>
    <t>lab_2_volume</t>
  </si>
  <si>
    <t>lab_2_ecoli_reading_membrane</t>
  </si>
  <si>
    <t>lab_2_ecoli_membrane</t>
  </si>
  <si>
    <t>lab_3_dilution_performed</t>
  </si>
  <si>
    <t>lab_3_dil_tested</t>
  </si>
  <si>
    <t>lab_3_volume</t>
  </si>
  <si>
    <t>lab_3_ecoli_reading_membrane</t>
  </si>
  <si>
    <t>lab_3_ecoli_membrane</t>
  </si>
  <si>
    <t>lab_closing</t>
  </si>
  <si>
    <t>lab_notes</t>
  </si>
  <si>
    <t>lab_enum</t>
  </si>
  <si>
    <t>0447cb03-2af5-4e63-866e-3509e05d62cc</t>
  </si>
  <si>
    <t>lab_photo</t>
  </si>
  <si>
    <t>2019-11-18T11:04:34</t>
  </si>
  <si>
    <t>2019-11-18T12:44:32.540+05:30</t>
  </si>
  <si>
    <t>2019-11-18T16:33:44.548+05:30</t>
  </si>
  <si>
    <t>2019-05-03T15:51:44.000-07:00</t>
  </si>
  <si>
    <t>subscriberid not found</t>
  </si>
  <si>
    <t>simserial not found</t>
  </si>
  <si>
    <t>enketo.sanipath.org:KwUl3nmJ1FH1Ta6G</t>
  </si>
  <si>
    <t>2019-11-18T12:45:00.000+05:30</t>
  </si>
  <si>
    <t>22.5535131 88.3851118 -2.5 5.0</t>
  </si>
  <si>
    <t>Sample collected by Suvankar Mandal, FB at PLc1084 site</t>
  </si>
  <si>
    <t>7fd330db-f0ed-41e6-bf50-5dbde8ed3019</t>
  </si>
  <si>
    <t>2019-11-18T11:04:36</t>
  </si>
  <si>
    <t>2019-11-19T10:57:48.567+05:30</t>
  </si>
  <si>
    <t>2019-11-19T16:08:26.803+05:30</t>
  </si>
  <si>
    <t>K20162</t>
  </si>
  <si>
    <t>2019-11-19T10:58:00.000+05:30</t>
  </si>
  <si>
    <t>2019-05-03T16:10:45.000-07:00</t>
  </si>
  <si>
    <t>22.5402288 88.3755463 -81.19999694824219 5.0</t>
  </si>
  <si>
    <t>PL 1001</t>
  </si>
  <si>
    <t>2019-05-01T14:00:00.000-07:00</t>
  </si>
  <si>
    <t>2019-05-01T15:30:00.000-07:00</t>
  </si>
  <si>
    <t>2019-05-01T16:10:00.000-07:00</t>
  </si>
  <si>
    <t>2019-05-02T16:10:00.000-07:00</t>
  </si>
  <si>
    <t>9df7282f-4cb3-4d3c-8d97-511bc4720199</t>
  </si>
  <si>
    <t>2019-11-19T10:38:45</t>
  </si>
  <si>
    <t>2019-11-19T11:08:18.112+05:30</t>
  </si>
  <si>
    <t>2019-11-19T16:07:48.105+05:30</t>
  </si>
  <si>
    <t>30 and 3 red colonies found for 10^3 and 10^4 dilution, respectively.</t>
  </si>
  <si>
    <t>1, 2 &amp; 3</t>
  </si>
  <si>
    <t>vGuxuKRNcJh7oUGHdmQvJP</t>
  </si>
  <si>
    <t>2019-11-19T11:08:00.000+05:30</t>
  </si>
  <si>
    <t>f0c43841-7f5c-4dfb-9e2f-eb150d1ada7e</t>
  </si>
  <si>
    <t>22.5403774 88.3754173 -58.900001525878906 5.0</t>
  </si>
  <si>
    <t>2019-05-03T10:41:02</t>
  </si>
  <si>
    <t>2019-05-13T13:26:00.000+06:30</t>
  </si>
  <si>
    <t>enketo.sanipath.org:LtT0SCbULZaZ3pbc</t>
  </si>
  <si>
    <t>2019-05-13T13:41:51.000+06:30</t>
  </si>
  <si>
    <t>Sample collected by Suvankar Mandal, FB at PLc1085 site</t>
  </si>
  <si>
    <t>e1f9c30f-c380-43d1-85c8-64dbf584ae44</t>
  </si>
  <si>
    <t>2019-11-19T10:38:48</t>
  </si>
  <si>
    <t>2019-05-06T12:09:00.000+06:30</t>
  </si>
  <si>
    <t>2019-05-06T14:22:00.000+06:30</t>
  </si>
  <si>
    <t>2019-11-19T11:23:47.476+05:30</t>
  </si>
  <si>
    <t>2019-11-19T16:08:33.883+05:30</t>
  </si>
  <si>
    <t>2019-05-06T15:41:00.000+06:30</t>
  </si>
  <si>
    <t>2019-05-07T15:40:00.000+06:30</t>
  </si>
  <si>
    <t>K21003</t>
  </si>
  <si>
    <t>2019-11-19T11:24:00.000+05:30</t>
  </si>
  <si>
    <t>22.541067 88.3744202 -63.79999923706055 5.0</t>
  </si>
  <si>
    <t>Red colonied were TDTC for the dilution of 10 ml and 1 ml, and TNTC for 10^1 dilution</t>
  </si>
  <si>
    <t>1,3</t>
  </si>
  <si>
    <t>0cf1bda3-cbf5-4067-af1f-45f981d03f57</t>
  </si>
  <si>
    <t>2019-05-13T08:12:04</t>
  </si>
  <si>
    <t>1bd6e8f3-978c-44f1-84ec-de0a24115fd6</t>
  </si>
  <si>
    <t>2019-11-19T10:38:50</t>
  </si>
  <si>
    <t>2019-05-13T15:01:43.000-07:00</t>
  </si>
  <si>
    <t>2019-11-19T11:29:50.762+05:30</t>
  </si>
  <si>
    <t>2019-11-19T16:07:53.802+05:30</t>
  </si>
  <si>
    <t>2019-05-13T15:09:59.000-07:00</t>
  </si>
  <si>
    <t>2019-11-19T11:30:00.000+05:30</t>
  </si>
  <si>
    <t>22.5411084 88.3743329 -66.0999984741211 5.0</t>
  </si>
  <si>
    <t>2019-05-06T12:10:00.000-07:00</t>
  </si>
  <si>
    <t>2019-05-06T14:22:00.000-07:00</t>
  </si>
  <si>
    <t>2019-05-06T15:41:00.000-07:00</t>
  </si>
  <si>
    <t>2019-05-07T15:40:00.000-07:00</t>
  </si>
  <si>
    <t>Sample collected by Somnath Sarkar, FB at PLc1086 site</t>
  </si>
  <si>
    <t>78 RED COLONIES WERE DETECTED FOR 10^1 DILUTION, WHERE 'TNTC' FOR OTHER DILUTIONS.</t>
  </si>
  <si>
    <t>3a1ff888-c94f-4b4a-96a2-d0e05a3526bb</t>
  </si>
  <si>
    <t>2019-11-19T10:38:53</t>
  </si>
  <si>
    <t>4021bb63-c514-4a09-831a-04fdefb31fb9</t>
  </si>
  <si>
    <t>2019-05-13T09:40:18</t>
  </si>
  <si>
    <t>2019-11-19T11:41:09.600+05:30</t>
  </si>
  <si>
    <t>2019-11-19T16:08:38.795+05:30</t>
  </si>
  <si>
    <t>2019-05-13T15:10:00.000-07:00</t>
  </si>
  <si>
    <t>2019-11-19T11:41:00.000+05:30</t>
  </si>
  <si>
    <t>22.5413159 88.3761562 -19.5 5.0</t>
  </si>
  <si>
    <t>2019-05-13T15:24:11.000-07:00</t>
  </si>
  <si>
    <t>2019-05-06T10:06:00.000-07:00</t>
  </si>
  <si>
    <t>2019-05-06T15:20:00.000-07:00</t>
  </si>
  <si>
    <t>231e7a3c-db96-4388-8198-8094644675eb</t>
  </si>
  <si>
    <t>2019-11-19T10:38:55</t>
  </si>
  <si>
    <t>2019-11-19T11:47:35.208+05:30</t>
  </si>
  <si>
    <t>2019-11-19T16:07:59.027+05:30</t>
  </si>
  <si>
    <t>FOR 10^2 DILUTION 100 RED COLONIES DETECTED</t>
  </si>
  <si>
    <t>2019-11-19T11:48:00.000+05:30</t>
  </si>
  <si>
    <t>25b509c3-c808-4db7-800e-d6647ba71ad1</t>
  </si>
  <si>
    <t>22.5413261 88.3761567 -59.29999923706055 5.0</t>
  </si>
  <si>
    <t>2019-05-13T09:54:30</t>
  </si>
  <si>
    <t>2019-05-13T15:24:12.000-07:00</t>
  </si>
  <si>
    <t>2019-05-13T15:33:37.000-07:00</t>
  </si>
  <si>
    <t>Sample collected by Suvankar Mandal, FB at PLc1087 site</t>
  </si>
  <si>
    <t>3f3a3a59-38b2-4882-bec4-63db4915b48c</t>
  </si>
  <si>
    <t>2019-05-06T12:15:00.000-07:00</t>
  </si>
  <si>
    <t>2019-11-19T10:38:58</t>
  </si>
  <si>
    <t>2019-11-19T12:15:43.626+05:30</t>
  </si>
  <si>
    <t>2019-11-19T16:08:16.109+05:30</t>
  </si>
  <si>
    <t>2019-11-19T12:16:00.000+05:30</t>
  </si>
  <si>
    <t>22.5635836 88.377219 -39.599998474121094 5.0</t>
  </si>
  <si>
    <t>SOIL WT WAS APPROXIMATELY 40 G. RED COLONIES FOR1 ML AND 10^1 DILUTION WERE TDTC, AND FOR 10^2 IS 112.</t>
  </si>
  <si>
    <t>35055ba9-af08-4b81-9944-7b46758d0eff</t>
  </si>
  <si>
    <t>2019-05-13T10:03:56</t>
  </si>
  <si>
    <t>2019-05-13T15:33:38.000-07:00</t>
  </si>
  <si>
    <t>76ad5180-2ceb-41f2-82af-f50928e67ff0</t>
  </si>
  <si>
    <t>2019-11-19T10:39:01</t>
  </si>
  <si>
    <t>2019-11-19T12:25:44.367+05:30</t>
  </si>
  <si>
    <t>2019-11-19T16:08:04.524+05:30</t>
  </si>
  <si>
    <t>2019-05-13T16:09:09.000-07:00</t>
  </si>
  <si>
    <t>2019-11-19T12:26:00.000+05:30</t>
  </si>
  <si>
    <t>22.5634993 88.3772654 -25.799999237060547 5.0</t>
  </si>
  <si>
    <t>2019-05-07T11:35:00.000-07:00</t>
  </si>
  <si>
    <t>2019-05-07T12:00:00.000-07:00</t>
  </si>
  <si>
    <t>2019-05-07T12:30:00.000-07:00</t>
  </si>
  <si>
    <t>2019-05-08T12:40:00.000-07:00</t>
  </si>
  <si>
    <t>Sample collected by Biplab Jash, FB at MO1118 site</t>
  </si>
  <si>
    <t>9f19aaf7-ce91-45bb-817a-2f602e91511f</t>
  </si>
  <si>
    <t>2019-11-19T10:39:04</t>
  </si>
  <si>
    <t>2019-11-19T12:48:44.243+05:30</t>
  </si>
  <si>
    <t>2019-11-19T16:08:21.152+05:30</t>
  </si>
  <si>
    <t>3 RED COLONIES FOUND FOR 100 ML UNDILUTED DW SAMPLE</t>
  </si>
  <si>
    <t>1,4</t>
  </si>
  <si>
    <t>da4348ad-f6f3-4b2f-be2f-5f7bf57a199f</t>
  </si>
  <si>
    <t>2019-05-13T10:39:28</t>
  </si>
  <si>
    <t>2019-11-19T12:49:00.000+05:30</t>
  </si>
  <si>
    <t>22.5542001 88.3966987 -42.70000076293945 4.5</t>
  </si>
  <si>
    <t>2019-05-13T16:14:10.000-07:00</t>
  </si>
  <si>
    <t>2019-05-07T11:40:00.000-07:00</t>
  </si>
  <si>
    <t>2019-05-07T12:05:00.000-07:00</t>
  </si>
  <si>
    <t>aa76e07e-7253-46b1-91d5-3e5ae3aaddc9</t>
  </si>
  <si>
    <t>2019-11-19T10:39:06</t>
  </si>
  <si>
    <t>2019-11-19T12:51:45.980+05:30</t>
  </si>
  <si>
    <t>2019-11-19T16:08:10.557+05:30</t>
  </si>
  <si>
    <t>2019-11-19T13:01:00.000+05:30</t>
  </si>
  <si>
    <t>22.5542067 88.3968364 19.600000381469727 5.0</t>
  </si>
  <si>
    <t>30 RED COLONIES DETECTED FOR 10 ML UNDILUTED SAMPLE, AND TNTC FOR 100 ML</t>
  </si>
  <si>
    <t>d3e27748-51c0-4709-a5a5-2cee2c2187f3</t>
  </si>
  <si>
    <t>2019-05-13T10:44:29</t>
  </si>
  <si>
    <t>2019-05-13T16:18:16.000-07:00</t>
  </si>
  <si>
    <t>Sample collected by Buddhadeb Samaddar, FB at MO1119 site</t>
  </si>
  <si>
    <t>d721b6b7-70ca-4ab6-a0bb-91ddd96c4d9f</t>
  </si>
  <si>
    <t>2019-11-19T10:39:09</t>
  </si>
  <si>
    <t>2019-11-20T09:36:42.812+05:30</t>
  </si>
  <si>
    <t>2019-11-20T16:59:06.067+05:30</t>
  </si>
  <si>
    <t>2019-05-07T11:45:00.000-07:00</t>
  </si>
  <si>
    <t>2019-05-07T12:10:00.000-07:00</t>
  </si>
  <si>
    <t>2019-11-20T09:37:00.000+05:30</t>
  </si>
  <si>
    <t>22.5346787 88.3959667 -61.900001525878906 5.0</t>
  </si>
  <si>
    <t>a6d3b096-814a-42ca-8270-33bbc656a680</t>
  </si>
  <si>
    <t>8b7692b4-cb2c-414b-ae81-32d5642894b6</t>
  </si>
  <si>
    <t>2019-11-20T11:29:17</t>
  </si>
  <si>
    <t>2019-05-13T10:48:35</t>
  </si>
  <si>
    <t>2019-11-21T10:01:07.830+05:30</t>
  </si>
  <si>
    <t>2019-11-21T16:22:40.402+05:30</t>
  </si>
  <si>
    <t>2019-05-13T16:18:17.000-07:00</t>
  </si>
  <si>
    <t>2019-05-13T16:28:09.000-07:00</t>
  </si>
  <si>
    <t>2019-11-21T10:01:00.000+05:30</t>
  </si>
  <si>
    <t>22.5345702 88.3958235 -55.20000076293945 5.0</t>
  </si>
  <si>
    <t>2019-05-07T14:26:00.000-07:00</t>
  </si>
  <si>
    <t>2019-05-07T15:00:00.000-07:00</t>
  </si>
  <si>
    <t>2019-05-07T15:10:00.000-07:00</t>
  </si>
  <si>
    <t>2019-05-08T15:30:00.000-07:00</t>
  </si>
  <si>
    <t>ef117918-ade5-4a83-b06b-aa7b1c39caef</t>
  </si>
  <si>
    <t>2019-11-21T10:53:17</t>
  </si>
  <si>
    <t>2019-11-21T10:03:20.078+05:30</t>
  </si>
  <si>
    <t>2019-11-21T16:21:37.354+05:30</t>
  </si>
  <si>
    <t>SAMPLE WT WAS APPROXIMATELY 120 G. THE RED COLONIES COUNT WAS 'TNTC' FOR EACH CASE.</t>
  </si>
  <si>
    <t>7dfc5926-6ff8-493d-8ec2-3cf5f5b878a4</t>
  </si>
  <si>
    <t>2019-11-21T10:11:00.000+05:30</t>
  </si>
  <si>
    <t>2019-05-13T10:58:28</t>
  </si>
  <si>
    <t>22.5346082 88.3958867 -47.599998474121094 4.5</t>
  </si>
  <si>
    <t>2019-05-13T16:28:10.000-07:00</t>
  </si>
  <si>
    <t>2019-05-13T18:13:53.000-07:00</t>
  </si>
  <si>
    <t>Sample collected by Suvankar Mandal,FB at MO1120 site</t>
  </si>
  <si>
    <t>2019-05-08T11:20:00.000-07:00</t>
  </si>
  <si>
    <t>2019-05-08T13:10:00.000-07:00</t>
  </si>
  <si>
    <t>be754ac3-8ed9-4aff-86ef-ae7e5a20205b</t>
  </si>
  <si>
    <t>2019-05-08T13:20:00.000-07:00</t>
  </si>
  <si>
    <t>2019-11-21T10:53:20</t>
  </si>
  <si>
    <t>2019-05-09T13:30:00.000-07:00</t>
  </si>
  <si>
    <t>2019-11-21T10:19:55.131+05:30</t>
  </si>
  <si>
    <t>2019-11-21T16:22:46.579+05:30</t>
  </si>
  <si>
    <t>2019-11-21T10:20:00.000+05:30</t>
  </si>
  <si>
    <t>22.5400519 88.3872428 -54.599998474121094 5.0</t>
  </si>
  <si>
    <t>af5b0475-f8dd-4614-bdee-45d4837cb74d</t>
  </si>
  <si>
    <t>2019-05-13T12:44:12</t>
  </si>
  <si>
    <t>2019-05-13T18:13:54.000-07:00</t>
  </si>
  <si>
    <t>2019-05-13T18:23:00.000-07:00</t>
  </si>
  <si>
    <t>245a5f5d-e61e-4fbb-b4ec-432371ee5e5d</t>
  </si>
  <si>
    <t>2019-11-21T10:53:22</t>
  </si>
  <si>
    <t>2019-11-21T10:21:46.337+05:30</t>
  </si>
  <si>
    <t>2019-11-21T16:21:43.367+05:30</t>
  </si>
  <si>
    <t>2019-05-08T11:10:00.000-07:00</t>
  </si>
  <si>
    <t>2019-11-21T10:31:00.000+05:30</t>
  </si>
  <si>
    <t>22.5398201 88.3872706 -12.199999809265137 5.0</t>
  </si>
  <si>
    <t>Sample collected by Somnath Sarkar, FB at MO1121 site</t>
  </si>
  <si>
    <t>RED COLONIES: TDTC FOR NO DIL 10 ML SAMPLE, AND TNTC FOR 10^1 DIL 1ML</t>
  </si>
  <si>
    <t>cf3f3068-b3a8-46b5-bad2-350b357ce6d8</t>
  </si>
  <si>
    <t>2019-11-21T10:53:25</t>
  </si>
  <si>
    <t>98b2e2b9-adaf-44b9-9479-dfe764f4e48a</t>
  </si>
  <si>
    <t>2019-11-21T10:40:11.451+05:30</t>
  </si>
  <si>
    <t>2019-05-13T12:53:19</t>
  </si>
  <si>
    <t>2019-11-21T16:22:52.546+05:30</t>
  </si>
  <si>
    <t>2019-05-15T15:11:01.000-07:00</t>
  </si>
  <si>
    <t>2019-05-15T15:21:34.000-07:00</t>
  </si>
  <si>
    <t>2019-11-21T10:40:00.000+05:30</t>
  </si>
  <si>
    <t>22.5409505 88.3757255 -23.799999237060547 4.5</t>
  </si>
  <si>
    <t>2019-05-02T16:15:00.000-07:00</t>
  </si>
  <si>
    <t>10 ML UNDILUTED SAMPLE SHOWS 3 RED AND TDTC FOR BLUE AND RED COLONIES, RESPECTIVELY. WHEREAS,1 ML OF 1:10 DILUTION SHOWS NO BLUE COLONIES AND 10 RED COLONIES, RESPECTIVELY.</t>
  </si>
  <si>
    <t>4a7260bd-6605-4c07-bbe6-dbe5cc09232e</t>
  </si>
  <si>
    <t>3,4</t>
  </si>
  <si>
    <t>2019-11-21T10:53:28</t>
  </si>
  <si>
    <t>2019-11-21T10:45:11.836+05:30</t>
  </si>
  <si>
    <t>2019-11-21T16:21:49.269+05:30</t>
  </si>
  <si>
    <t>3e7f4fba-bf20-4eca-99dc-1f76d23b4c9b</t>
  </si>
  <si>
    <t>2019-05-15T09:51:54</t>
  </si>
  <si>
    <t>2019-05-15T15:55:04.000-07:00</t>
  </si>
  <si>
    <t>2019-11-21T10:45:00.000+05:30</t>
  </si>
  <si>
    <t>2019-05-15T16:03:19.000-07:00</t>
  </si>
  <si>
    <t>22.540551 88.3755342 -58.5 5.0</t>
  </si>
  <si>
    <t>2019-05-13T10:56:00.000-07:00</t>
  </si>
  <si>
    <t>2019-05-13T12:51:00.000-07:00</t>
  </si>
  <si>
    <t>2019-05-13T13:15:00.000-07:00</t>
  </si>
  <si>
    <t>2019-05-14T14:30:00.000-07:00</t>
  </si>
  <si>
    <t>Sample collected by Suvankar Mandal, FB at PLc1088 site</t>
  </si>
  <si>
    <t>2ab6f2cc-298c-4b70-a516-20f8d2453a20</t>
  </si>
  <si>
    <t>2019-11-21T10:53:30</t>
  </si>
  <si>
    <t>2019-11-21T10:53:49.980+05:30</t>
  </si>
  <si>
    <t>2019-11-21T16:22:58.107+05:30</t>
  </si>
  <si>
    <t>OBSERVATION FOR RED COLONIES: 10 ML (UNDILUTED)-TNTC, 1 ML (UNDILUTED)-59, AND 1:10 (1 ML)- 11</t>
  </si>
  <si>
    <t>93162598-4c4f-43ef-a43e-fb6f4e110476</t>
  </si>
  <si>
    <t>2019-11-21T10:54:00.000+05:30</t>
  </si>
  <si>
    <t>2019-05-15T10:33:39</t>
  </si>
  <si>
    <t>22.5417578 88.3747665 -74.19999694824219 5.0</t>
  </si>
  <si>
    <t>2019-05-15T16:03:20.000-07:00</t>
  </si>
  <si>
    <t>2019-05-15T16:14:37.000-07:00</t>
  </si>
  <si>
    <t>2019-05-13T10:59:00.000-07:00</t>
  </si>
  <si>
    <t>522cb00c-9496-4d91-aa98-fa27dbcffab7</t>
  </si>
  <si>
    <t>2019-11-21T10:53:33</t>
  </si>
  <si>
    <t>2019-05-14T13:30:00.000-07:00</t>
  </si>
  <si>
    <t>2019-11-21T10:58:43.752+05:30</t>
  </si>
  <si>
    <t>2019-11-21T16:21:55.897+05:30</t>
  </si>
  <si>
    <t>2019-11-21T10:59:00.000+05:30</t>
  </si>
  <si>
    <t>22.5417852 88.3747734 -64.0 5.0</t>
  </si>
  <si>
    <t>FOR RED COLONIES , ALL ARE NOTED "TDTC"</t>
  </si>
  <si>
    <t>3bb98549-d893-4252-80fc-db42a8d576e3</t>
  </si>
  <si>
    <t>2019-05-15T10:44:56</t>
  </si>
  <si>
    <t>Sample collected by Somnath Sarkar, FB at PLc1089 site</t>
  </si>
  <si>
    <t>2019-05-15T16:40:50.000-07:00</t>
  </si>
  <si>
    <t>630ebc79-be2c-4b1f-a4ff-acaca5b52265</t>
  </si>
  <si>
    <t>2019-11-21T10:53:36</t>
  </si>
  <si>
    <t>2019-11-21T11:16:01.872+05:30</t>
  </si>
  <si>
    <t>2019-11-21T16:23:04.797+05:30</t>
  </si>
  <si>
    <t>2019-05-13T13:50:00.000-07:00</t>
  </si>
  <si>
    <t>2019-05-13T14:00:00.000-07:00</t>
  </si>
  <si>
    <t>2019-05-13T15:15:00.000-07:00</t>
  </si>
  <si>
    <t>2019-11-21T11:16:00.000+05:30</t>
  </si>
  <si>
    <t>22.5431392 88.3817978 -51.900001525878906 5.0</t>
  </si>
  <si>
    <t>RED COLONIES: 1 ML (UNDILUTED)- 58 , 1ML (1:10 DILUTION)-18 COLONIES, 1 ML (1:100 DILUTION)- 10 COLONIES. IN EVERY CASES SMUDGED RED COLONIES FOUND.</t>
  </si>
  <si>
    <t>4c3acf01-5459-4153-9b0e-ff89f0d74a87</t>
  </si>
  <si>
    <t>2019-05-15T11:11:10</t>
  </si>
  <si>
    <t>e034f67a-c74f-45ba-8450-e1cf8ce5315c</t>
  </si>
  <si>
    <t>2019-11-21T10:53:38</t>
  </si>
  <si>
    <t>2019-11-21T11:20:38.661+05:30</t>
  </si>
  <si>
    <t>2019-11-21T16:22:01.507+05:30</t>
  </si>
  <si>
    <t>2019-05-15T16:50:14.000-07:00</t>
  </si>
  <si>
    <t>2019-11-21T11:21:00.000+05:30</t>
  </si>
  <si>
    <t>22.5431001 88.3819075 -57.29999923706055 5.5</t>
  </si>
  <si>
    <t>2019-05-13T13:52:00.000-07:00</t>
  </si>
  <si>
    <t>Sample collected by Biplab Jash, FB at PLc1090 site</t>
  </si>
  <si>
    <t>89f386f2-fcd1-4d22-bead-96b9d7b266bc</t>
  </si>
  <si>
    <t>SHORTAGE IN SAMPLE AMOUNT. 3 G SOIL WAS MIXED WITH 30 ML OF BEEF EXTRACT FOR MST ASSAY. 28 (WITH SMUDGED COLONIES), 24 AND A SINGLE RED COLONIES WERE NOTED FOR UNDILUTED, 1:10 AND 1:100 DILUTION, RESPECTIVELY</t>
  </si>
  <si>
    <t>2019-11-21T10:53:41</t>
  </si>
  <si>
    <t>2019-11-21T11:54:25.148+05:30</t>
  </si>
  <si>
    <t>2019-11-21T16:23:10.215+05:30</t>
  </si>
  <si>
    <t>f738d933-7707-4764-a460-c06f012aeeb6</t>
  </si>
  <si>
    <t>2019-05-15T11:20:34</t>
  </si>
  <si>
    <t>2019-05-15T16:50:15.000-07:00</t>
  </si>
  <si>
    <t>2019-11-21T11:54:00.000+05:30</t>
  </si>
  <si>
    <t>22.553567 88.3851556 -63.5 5.0</t>
  </si>
  <si>
    <t>2019-05-15T17:15:57.000-07:00</t>
  </si>
  <si>
    <t>2019-05-13T13:48:00.000-07:00</t>
  </si>
  <si>
    <t>2019-05-13T15:30:00.000-07:00</t>
  </si>
  <si>
    <t>2019-05-13T16:00:00.000-07:00</t>
  </si>
  <si>
    <t>2019-05-14T16:10:00.000-07:00</t>
  </si>
  <si>
    <t>871d79e6-8475-41b7-a39b-9e4f50451804</t>
  </si>
  <si>
    <t>2019-11-21T10:53:44</t>
  </si>
  <si>
    <t>2019-11-21T12:04:27.889+05:30</t>
  </si>
  <si>
    <t>2019-11-21T16:22:07.151+05:30</t>
  </si>
  <si>
    <t>114 AND 14 RED COLONIES WERE DETECTED FOR 1:1000 AND 1:10000 DILUTION, RESPECTIVELY.</t>
  </si>
  <si>
    <t>2019-11-21T12:04:00.000+05:30</t>
  </si>
  <si>
    <t>ed929c3e-12da-4062-b1d8-5fb8fdc96732</t>
  </si>
  <si>
    <t>22.5534802 88.385181 -38.599998474121094 5.0</t>
  </si>
  <si>
    <t>2019-05-15T11:46:16</t>
  </si>
  <si>
    <t>2019-05-15T17:21:32.000-07:00</t>
  </si>
  <si>
    <t>Sample collected by Debabrata Maity, FB at PLc1091 site</t>
  </si>
  <si>
    <t>2019-05-13T13:55:00.000-07:00</t>
  </si>
  <si>
    <t>328b687c-61f6-4409-a35f-f41fa08ec528</t>
  </si>
  <si>
    <t>2019-11-21T10:53:47</t>
  </si>
  <si>
    <t>2019-11-22T12:19:54.626+05:30</t>
  </si>
  <si>
    <t>2019-11-22T15:28:09.314+05:30</t>
  </si>
  <si>
    <t>2019-11-22T12:21:00.000+05:30</t>
  </si>
  <si>
    <t>22.5410988 88.3742648 -30.899999618530273 5.0</t>
  </si>
  <si>
    <t>2 AND NONE RED COLONIES WERE DETECTED FOR 1:1000 AND 1: 10000 DILUTIONS, RESPECTIVELY.</t>
  </si>
  <si>
    <t>5a2058ed-537b-4975-a63a-f894ff6f8222</t>
  </si>
  <si>
    <t>2019-05-15T11:51:51</t>
  </si>
  <si>
    <t>f83b9024-0d41-496c-9ad7-bb25039840b3</t>
  </si>
  <si>
    <t>2019-05-15T17:26:13.000-07:00</t>
  </si>
  <si>
    <t>2019-11-22T09:58:31</t>
  </si>
  <si>
    <t>2019-11-22T12:27:42.918+05:30</t>
  </si>
  <si>
    <t>2019-11-22T15:27:54.909+05:30</t>
  </si>
  <si>
    <t>2019-05-14T11:23:00.000-07:00</t>
  </si>
  <si>
    <t>2019-11-22T12:28:00.000+05:30</t>
  </si>
  <si>
    <t>22.5411823 88.3744327 -46.70000076293945 5.0</t>
  </si>
  <si>
    <t>2019-05-14T12:30:00.000-07:00</t>
  </si>
  <si>
    <t>2019-05-14T15:40:00.000-07:00</t>
  </si>
  <si>
    <t>2019-05-15T15:00:00.000-07:00</t>
  </si>
  <si>
    <t>d7a7a92c-af9d-45b4-aaac-a388719d0044</t>
  </si>
  <si>
    <t>2019-11-22T09:58:35</t>
  </si>
  <si>
    <t>2019-11-22T12:36:17.269+05:30</t>
  </si>
  <si>
    <t>2019-11-22T15:28:13.925+05:30</t>
  </si>
  <si>
    <t>17 AND 5 NUMBER OF RED COLONIES WERE DETECTED FOR 100 ML AND 10 ML OF SAMPLE, RESPECTIVELY.</t>
  </si>
  <si>
    <t>69dfd0df-19ac-4300-91b6-be0d2717a44a</t>
  </si>
  <si>
    <t>2019-05-15T11:56:33</t>
  </si>
  <si>
    <t>2019-11-22T12:37:00.000+05:30</t>
  </si>
  <si>
    <t>2019-05-15T17:31:49.000-07:00</t>
  </si>
  <si>
    <t>22.5404564 88.3753721 -27.899999618530273 5.0</t>
  </si>
  <si>
    <t>19247ab4-3fe4-414c-8144-65fd2ec62476</t>
  </si>
  <si>
    <t>2019-11-22T09:58:38</t>
  </si>
  <si>
    <t>2019-11-22T12:44:15.056+05:30</t>
  </si>
  <si>
    <t>2019-11-22T15:27:59.469+05:30</t>
  </si>
  <si>
    <t>62+ AND 25 RED COLONIES WERE DETECTED FOR 1:1000 AND 1:10000 DILUTION, RESPECTIVELY.</t>
  </si>
  <si>
    <t>f4f32d3e-fed0-49db-9971-359d930c166e</t>
  </si>
  <si>
    <t>2019-05-15T12:02:09</t>
  </si>
  <si>
    <t>2019-11-22T12:44:00.000+05:30</t>
  </si>
  <si>
    <t>22.5404743 88.3753757 -17.899999618530273 5.0</t>
  </si>
  <si>
    <t>2019-05-15T17:41:12.000-07:00</t>
  </si>
  <si>
    <t>2019-05-14T11:24:00.000-07:00</t>
  </si>
  <si>
    <t>afb36648-c2b7-4420-a420-6d06a86c104f</t>
  </si>
  <si>
    <t>2019-11-22T09:58:41</t>
  </si>
  <si>
    <t>2019-11-22T12:52:54.396+05:30</t>
  </si>
  <si>
    <t>2019-11-22T15:28:18.382+05:30</t>
  </si>
  <si>
    <t>2019-11-22T12:54:00.000+05:30</t>
  </si>
  <si>
    <t>22.5414097 88.3760418 -46.400001525878906 5.0</t>
  </si>
  <si>
    <t>70 BLUE COLONIES WERE DETECTED FOR 1ML SAMPLE OF 1:100 DILUTION. ALL OF THE CASES ABUNDANCE OF RED COLONIES WERE TNTC.</t>
  </si>
  <si>
    <t>7d3a5441-f3b5-4653-96c3-75cf45d7fbcf</t>
  </si>
  <si>
    <t>2019-05-15T12:11:32</t>
  </si>
  <si>
    <t>2019-05-15T17:56:55.000-07:00</t>
  </si>
  <si>
    <t>Semple collected by Somnath Sarkar</t>
  </si>
  <si>
    <t>832af9e6-f2d2-4f61-9600-61417a1a4c2e</t>
  </si>
  <si>
    <t>2019-11-22T09:58:44</t>
  </si>
  <si>
    <t>2019-05-14T11:25:00.000-07:00</t>
  </si>
  <si>
    <t>2019-11-22T13:02:45.146+05:30</t>
  </si>
  <si>
    <t>2019-11-22T15:28:03.870+05:30</t>
  </si>
  <si>
    <t>2019-11-22T13:03:00.000+05:30</t>
  </si>
  <si>
    <t>22.5413618 88.3761211 -9.399999618530273 5.0</t>
  </si>
  <si>
    <t>6 ml of sample used instead of 10 ml for undiluted sample WHERE SOME SMUDGED BLUE COLONIES FOUND ALONG WITH 3 DISTINCT BLUE COLONIES. FOR RED COLONIES: 9, 1 AND 0, NUMBER OF COLONIES WERE NOTED FOR 6 ML-UNDILUTED, 1 ML-UNDILUTED AND 1ML-1:10 DILUTION, RESPECTIVELY.</t>
  </si>
  <si>
    <t>7b5cfaff-766c-4de0-94aa-17d532773d65</t>
  </si>
  <si>
    <t>2019-05-15T12:27:15</t>
  </si>
  <si>
    <t>34c73eec-8ebb-49a0-aae9-c8236a43a0b5</t>
  </si>
  <si>
    <t>2019-11-22T09:58:47</t>
  </si>
  <si>
    <t>2019-11-25T11:01:57.793+05:30</t>
  </si>
  <si>
    <t>2019-11-25T15:38:50.766+05:30</t>
  </si>
  <si>
    <t>2019-05-15T18:07:39.000-07:00</t>
  </si>
  <si>
    <t>2019-11-25T11:03:00.000+05:30</t>
  </si>
  <si>
    <t>2019-05-14T14:46:00.000-07:00</t>
  </si>
  <si>
    <t>22.5535386 88.3851565 -41.79999923706055 5.0</t>
  </si>
  <si>
    <t>2019-05-14T16:00:00.000-07:00</t>
  </si>
  <si>
    <t>2019-05-15T15:30:00.000-07:00</t>
  </si>
  <si>
    <t>d4216ce0-b765-4f26-9a69-ee5967ee7271</t>
  </si>
  <si>
    <t>2019-11-25T10:09:06</t>
  </si>
  <si>
    <t>APPEARANCE OF RED COLONIES WERE TDTC FOR ALL OF THE CASES.</t>
  </si>
  <si>
    <t>2019-11-25T11:13:05.655+05:30</t>
  </si>
  <si>
    <t>2019-11-25T15:38:39.967+05:30</t>
  </si>
  <si>
    <t>f755bdf0-d82f-4742-a553-26a4800dd9cd</t>
  </si>
  <si>
    <t>2019-05-15T12:37:59</t>
  </si>
  <si>
    <t>2019-05-24T16:21:17.000-07:00</t>
  </si>
  <si>
    <t>2019-11-25T11:13:00.000+05:30</t>
  </si>
  <si>
    <t>22.5536301 88.3851892 -26.600000381469727 5.0</t>
  </si>
  <si>
    <t>2019-05-24T16:28:42.000-07:00</t>
  </si>
  <si>
    <t>2019-05-15T14:10:00.000-07:00</t>
  </si>
  <si>
    <t>2019-05-15T14:45:00.000-07:00</t>
  </si>
  <si>
    <t>2019-05-15T15:40:00.000-07:00</t>
  </si>
  <si>
    <t>Sample collected by Suvankar Mandal, FB at PLc1095 site</t>
  </si>
  <si>
    <t>2019-05-16T15:45:00.000-07:00</t>
  </si>
  <si>
    <t>5555e082-d438-4f6f-b410-fe706f4e9091</t>
  </si>
  <si>
    <t>2019-11-25T10:09:09</t>
  </si>
  <si>
    <t>2019-11-25T11:59:55.486+05:30</t>
  </si>
  <si>
    <t>2019-11-25T15:38:55.722+05:30</t>
  </si>
  <si>
    <t>2019-11-25T12:00:00.000+05:30</t>
  </si>
  <si>
    <t>22.5416828 88.3747429 -6.099999904632568 4.5</t>
  </si>
  <si>
    <t>7 AND 2 RED COLONIES, FOR 1:1000 AND 1:10000 DILUTION, RESPECTIVELY</t>
  </si>
  <si>
    <t>07020299-e218-4e0a-96ea-22d1f09e27c6</t>
  </si>
  <si>
    <t>2019-05-24T10:59:04</t>
  </si>
  <si>
    <t>a5cf2627-677b-47c6-9d10-b48b12459eb4</t>
  </si>
  <si>
    <t>2019-11-25T10:09:11</t>
  </si>
  <si>
    <t>2019-05-24T16:33:59.000-07:00</t>
  </si>
  <si>
    <t>2019-11-25T12:04:50.645+05:30</t>
  </si>
  <si>
    <t>2019-11-25T15:38:45.671+05:30</t>
  </si>
  <si>
    <t>2019-11-25T12:07:00.000+05:30</t>
  </si>
  <si>
    <t>22.5416923 88.3747316 -18.600000381469727 5.0</t>
  </si>
  <si>
    <t>12 AND 1 RED COLONIES, FOR UNDILUTED (10ML) AND 1 ML OF 1:10 DILUTION, RESPECTIVELY</t>
  </si>
  <si>
    <t>Sample collected by Somnath Sarkar, FB at PLc1096 site</t>
  </si>
  <si>
    <t>debb77e9-e626-4890-a6a1-cc9268851660</t>
  </si>
  <si>
    <t>2019-05-24T11:04:21</t>
  </si>
  <si>
    <t>27b993f3-b227-42a5-ae56-d39f6d3ebca9</t>
  </si>
  <si>
    <t>2019-11-25T10:09:14</t>
  </si>
  <si>
    <t>2019-11-26T10:24:23.174+05:30</t>
  </si>
  <si>
    <t>2019-11-26T16:27:35.224+05:30</t>
  </si>
  <si>
    <t>2019-05-24T16:38:28.000-07:00</t>
  </si>
  <si>
    <t>2019-11-26T10:26:00.000+05:30</t>
  </si>
  <si>
    <t>22.5411381 88.3742701 -28.700000762939453 5.0</t>
  </si>
  <si>
    <t>c799a4bf-4f4f-4cd7-93ce-21faa9a9e264</t>
  </si>
  <si>
    <t>2019-11-26T10:57:52</t>
  </si>
  <si>
    <t>2019-11-26T10:41:51.581+05:30</t>
  </si>
  <si>
    <t>2019-11-26T16:27:17.873+05:30</t>
  </si>
  <si>
    <t>38+ AND 14 RED COLONIES, FOR 10 ML UNDILUTED AND 1 ML OF 1:10 DILUTION, RESPECTIVELY</t>
  </si>
  <si>
    <t>a8348b0e-0ec3-47e0-a029-2f9bc908590d</t>
  </si>
  <si>
    <t>2019-05-24T11:08:49</t>
  </si>
  <si>
    <t>2019-11-26T10:43:00.000+05:30</t>
  </si>
  <si>
    <t>22.5411169 88.3743638 -26.700000762939453 5.0</t>
  </si>
  <si>
    <t>2019-05-24T16:45:02.000-07:00</t>
  </si>
  <si>
    <t>Sample collected by Somnath Sarkar ,FB at PLc1097</t>
  </si>
  <si>
    <t>2d8de6fd-d7bb-453b-a5f3-7018fa74054b</t>
  </si>
  <si>
    <t>2019-11-26T10:57:55</t>
  </si>
  <si>
    <t>2019-11-26T10:55:03.189+05:30</t>
  </si>
  <si>
    <t>10+ WITH LARGE COLONIES AND 23 RED SMALL COLONIES FOUND, FOR 10 ML UNDILUTED AND 1 ML OF 1:10 DILUTION, RESPECTIVELY.</t>
  </si>
  <si>
    <t>2019-11-26T16:27:39.956+05:30</t>
  </si>
  <si>
    <t>497fcc57-0497-42e3-a0e6-106677fc536b</t>
  </si>
  <si>
    <t>2019-05-24T11:15:23</t>
  </si>
  <si>
    <t>2019-11-26T10:55:00.000+05:30</t>
  </si>
  <si>
    <t>22.5404816 88.3753127 -34.099998474121094 5.0</t>
  </si>
  <si>
    <t>2019-05-24T16:49:19.000-07:00</t>
  </si>
  <si>
    <t>2019-05-16T13:50:00.000-07:00</t>
  </si>
  <si>
    <t>2019-05-16T16:00:00.000-07:00</t>
  </si>
  <si>
    <t>2019-05-16T16:45:00.000-07:00</t>
  </si>
  <si>
    <t>2019-05-17T16:45:00.000-07:00</t>
  </si>
  <si>
    <t>d645889c-ca4f-42de-beb6-a29b1249b4bf</t>
  </si>
  <si>
    <t>32 AND 16 RED COLONIES, FOR 1:1000 AND 1:10000 DILUTION, RESPECTIVELY</t>
  </si>
  <si>
    <t>2019-11-26T10:57:57</t>
  </si>
  <si>
    <t>2019-11-26T11:02:45.066+05:30</t>
  </si>
  <si>
    <t>2019-11-26T16:27:23.313+05:30</t>
  </si>
  <si>
    <t>4fc4b263-1a92-40d7-b22c-ac59098c61af</t>
  </si>
  <si>
    <t>2019-05-24T11:19:41</t>
  </si>
  <si>
    <t>2019-05-24T16:49:20.000-07:00</t>
  </si>
  <si>
    <t>2019-05-24T16:54:16.000-07:00</t>
  </si>
  <si>
    <t>2019-11-26T11:03:00.000+05:30</t>
  </si>
  <si>
    <t>22.5404956 88.3753142 -38.400001525878906 5.0</t>
  </si>
  <si>
    <t>2019-05-20T11:55:00.000-07:00</t>
  </si>
  <si>
    <t>2019-05-20T13:00:00.000-07:00</t>
  </si>
  <si>
    <t>2019-05-20T13:20:00.000-07:00</t>
  </si>
  <si>
    <t>2019-05-21T13:20:00.000-07:00</t>
  </si>
  <si>
    <t>Sample collected by Suvankar Mandal, FB at PLc1098</t>
  </si>
  <si>
    <t>83 AND 2 RED COLONIES, FOR 1:1000 AND 1:10000 DILUTION, RESPECTIVELY</t>
  </si>
  <si>
    <t>03ec4c15-1074-4cd3-beff-e214801beaa2</t>
  </si>
  <si>
    <t>9e36506b-f9d6-443f-8c1d-cacc5afa229e</t>
  </si>
  <si>
    <t>2019-05-24T11:24:38</t>
  </si>
  <si>
    <t>2019-11-26T10:58:00</t>
  </si>
  <si>
    <t>2019-11-26T11:13:38.416+05:30</t>
  </si>
  <si>
    <t>2019-11-26T16:27:46.208+05:30</t>
  </si>
  <si>
    <t>2019-05-24T16:59:28.000-07:00</t>
  </si>
  <si>
    <t>2019-05-21T11:26:00.000-07:00</t>
  </si>
  <si>
    <t>2019-05-21T12:00:00.000-07:00</t>
  </si>
  <si>
    <t>2019-05-21T13:00:00.000-07:00</t>
  </si>
  <si>
    <t>2019-11-26T11:14:00.000+05:30</t>
  </si>
  <si>
    <t>2019-05-22T16:00:00.000-07:00</t>
  </si>
  <si>
    <t>22.54122 88.3762209 -24.5 4.5</t>
  </si>
  <si>
    <t>13 AND 3 RED COLONIES FOUND, FOR 100 ML AND 10 ML, RESPECTIVELY</t>
  </si>
  <si>
    <t>d30d3eae-b934-4931-90b8-4255e4f3d170</t>
  </si>
  <si>
    <t>2019-05-24T11:29:50</t>
  </si>
  <si>
    <t>2019-05-24T17:03:15.000+06:30</t>
  </si>
  <si>
    <t>2019-05-24T17:09:43.000+06:30</t>
  </si>
  <si>
    <t>0b6d47aa-cb53-431a-b817-fc54db190c93</t>
  </si>
  <si>
    <t>2019-11-26T10:58:03</t>
  </si>
  <si>
    <t>2019-05-21T11:26:00.000+06:30</t>
  </si>
  <si>
    <t>2019-05-21T12:00:00.000+06:30</t>
  </si>
  <si>
    <t>2019-11-26T11:26:03.377+05:30</t>
  </si>
  <si>
    <t>2019-05-21T13:00:00.000+06:30</t>
  </si>
  <si>
    <t>2019-11-26T16:27:28.990+05:30</t>
  </si>
  <si>
    <t>2019-05-22T16:00:00.000+06:30</t>
  </si>
  <si>
    <t>2019-11-26T11:26:00.000+05:30</t>
  </si>
  <si>
    <t>22.5411848 88.3761533 -83.4000015258789 4.5</t>
  </si>
  <si>
    <t>FOR RED COLONIES: TDTC FOR 10 ML UNDILUTED, TNTC FOR 1 ML UNDILUTED AND TNTC FOR 1 ML 1:10 DILUTION</t>
  </si>
  <si>
    <t>cca697b3-4a3e-4fcd-a67f-312a8d89a6a5</t>
  </si>
  <si>
    <t>2019-05-24T11:39:58</t>
  </si>
  <si>
    <t>2019-05-24T17:18:51.000+06:30</t>
  </si>
  <si>
    <t>Sample collected by Somnath Sarkar, FB at PLc1099</t>
  </si>
  <si>
    <t>9024a357-0591-41db-87a0-34d05665f227</t>
  </si>
  <si>
    <t>2019-11-26T10:58:06</t>
  </si>
  <si>
    <t>2019-11-26T10:48:39.479+05:30</t>
  </si>
  <si>
    <t>2019-11-26T16:32:23.171+05:30</t>
  </si>
  <si>
    <t>72, 60 AND 35 RED COLONIES DETECTED FOR 10 ML (UNDILUTED), 1 ML (UNDILUTED) AND 1ML OF 1:10 DILUTION, RESPECTIVELY</t>
  </si>
  <si>
    <t>2019-11-26T10:49:00.000+05:30</t>
  </si>
  <si>
    <t>10e1dbc3-ad86-496a-9885-a570b3386505</t>
  </si>
  <si>
    <t>2019-05-24T11:49:06</t>
  </si>
  <si>
    <t>22.554206 88.3968022 -33.79999923706055 5.0</t>
  </si>
  <si>
    <t>2019-05-24T17:23:09.000+06:30</t>
  </si>
  <si>
    <t>f7737ba9-e268-4a9c-96bc-0b6a881888b7</t>
  </si>
  <si>
    <t>2019-11-26T11:02:20</t>
  </si>
  <si>
    <t>98 AND 46 RED COLONIES FOUND WITH 1:1000 AND 1:10000 DILUTION, RESPECTIVELY.</t>
  </si>
  <si>
    <t>2019-11-26T10:52:49.658+05:30</t>
  </si>
  <si>
    <t>2019-11-26T16:32:09.825+05:30</t>
  </si>
  <si>
    <t>49071ef5-f2ed-431a-8d51-75a651f8ac78</t>
  </si>
  <si>
    <t>2019-05-24T11:53:24</t>
  </si>
  <si>
    <t>2019-05-24T17:29:41.000+06:30</t>
  </si>
  <si>
    <t>2019-11-26T10:53:00.000+05:30</t>
  </si>
  <si>
    <t>22.5542403 88.3967797 -71.4000015258789 5.0</t>
  </si>
  <si>
    <t>Sample collected by Abhijit</t>
  </si>
  <si>
    <t>OBSERVED RED COLONIES NUMBERS ARE- (10 ML UNDILUTED -TDTC), (1ML UNDILUTED-85), (1 ML 1:10 DILUTION-25), AND (1ML 1:100 DILUTION-2)</t>
  </si>
  <si>
    <t>Biplab</t>
  </si>
  <si>
    <t>5143cd79-82a6-4293-9cd6-4a36adb0c0ed</t>
  </si>
  <si>
    <t>3d65ab00-4127-4832-9e31-438f6185e737</t>
  </si>
  <si>
    <t>2019-11-26T11:02:22</t>
  </si>
  <si>
    <t>2019-05-24T11:59:56</t>
  </si>
  <si>
    <t>2019-11-26T11:22:23.334+05:30</t>
  </si>
  <si>
    <t>2019-05-27T12:04:56.000-07:00</t>
  </si>
  <si>
    <t>2019-11-26T16:32:18.815+05:30</t>
  </si>
  <si>
    <t>2019-05-27T12:11:08.000-07:00</t>
  </si>
  <si>
    <t>2019-05-21T11:27:00.000-07:00</t>
  </si>
  <si>
    <t>2019-11-26T11:23:00.000+05:30</t>
  </si>
  <si>
    <t>22.563379 88.3772265 -26.200000762939453 5.0</t>
  </si>
  <si>
    <t>THE RED COLONIES WERE TNTC AND 71 FOR 10 ML AND 1 ML OF UNDILUTED SAMPLE, RESPECTIVELY</t>
  </si>
  <si>
    <t>05f8490c-f9d4-4f57-91bb-19e6a2a34242</t>
  </si>
  <si>
    <t>2019-05-27T06:41:30</t>
  </si>
  <si>
    <t>7a5bbc61-7fca-4cbe-9863-2e1306a3c28e</t>
  </si>
  <si>
    <t>2019-11-26T11:02:25</t>
  </si>
  <si>
    <t>2019-11-26T11:26:16.640+05:30</t>
  </si>
  <si>
    <t>2019-05-27T12:26:35.000-07:00</t>
  </si>
  <si>
    <t>2019-11-26T16:32:14.437+05:30</t>
  </si>
  <si>
    <t>2019-05-21T14:58:00.000-07:00</t>
  </si>
  <si>
    <t>2019-05-21T15:30:00.000-07:00</t>
  </si>
  <si>
    <t>2019-05-21T16:30:00.000-07:00</t>
  </si>
  <si>
    <t>22.563357 88.377086 -74.4000015258789 5.0</t>
  </si>
  <si>
    <t>10 ML UNDILUTED SAMPLE WILL BE CONSIDERED TO BE 6 ML. APART FROM THE MENTIONED DILUTION, THERE WAS NO RED OR BLUE COLONIES FOUND FOR 1 ML AT 1:100 DILUTION. 21 AND 10 RED COLONIES FOUND AT 6 ML AND 1 ML UNDILUTED SAMPLE.</t>
  </si>
  <si>
    <t>5368d0df-6af0-4613-bee1-f8acbf4d5984</t>
  </si>
  <si>
    <t>2019-05-27T06:56:57</t>
  </si>
  <si>
    <t>713f6b6e-edc5-4b32-a416-c793c0cd8a5c</t>
  </si>
  <si>
    <t>2019-05-27T12:35:13.000-07:00</t>
  </si>
  <si>
    <t>2019-11-26T11:02:27</t>
  </si>
  <si>
    <t>2019-11-27T12:20:29.233+05:30</t>
  </si>
  <si>
    <t>2019-11-28T14:56:40.812+05:30</t>
  </si>
  <si>
    <t>2019-05-22T11:00:00.000-07:00</t>
  </si>
  <si>
    <t>2019-05-22T15:50:00.000-07:00</t>
  </si>
  <si>
    <t>2019-05-22T16:05:00.000-07:00</t>
  </si>
  <si>
    <t>2019-05-23T16:05:00.000-07:00</t>
  </si>
  <si>
    <t>2019-11-27T12:21:00.000+05:30</t>
  </si>
  <si>
    <t>22.5346171 88.3959253 -34.900001525878906 5.0</t>
  </si>
  <si>
    <t>39 AND 2 RED COLONIES FOUND FOR 100 ML AND 10 ML OF UNDILUTED SAMPLE, RESPECTIVELY.</t>
  </si>
  <si>
    <t>f2aa0b09-a6f0-4507-8c7f-5f891b3bbf23</t>
  </si>
  <si>
    <t>2019-05-27T07:05:35</t>
  </si>
  <si>
    <t>2019-05-27T12:50:22.000-07:00</t>
  </si>
  <si>
    <t>2019-05-22T14:00:00.000-07:00</t>
  </si>
  <si>
    <t>c2a273c5-614b-4099-8479-341c03a6bd10</t>
  </si>
  <si>
    <t>2019-11-28T09:26:54</t>
  </si>
  <si>
    <t>2019-11-28T11:01:02.121+05:30</t>
  </si>
  <si>
    <t>2019-11-28T14:56:30.217+05:30</t>
  </si>
  <si>
    <t>AT 10 ML (UNDILUTED) AND 1 ML (1:10 DILUTION) OF SAMPLE, THENUMBER/APPEARANCE OF RED COLONIES WERE TDTC AND TNTC, RESPECTIVELY.</t>
  </si>
  <si>
    <t>3df024e2-c2e8-4acb-a8f7-9cbcc995e69c</t>
  </si>
  <si>
    <t>2019-05-27T07:20:43</t>
  </si>
  <si>
    <t>2019-11-28T11:01:00.000+05:30</t>
  </si>
  <si>
    <t>22.5535747 88.3851147 -36.099998474121094 4.5</t>
  </si>
  <si>
    <t>2019-05-27T13:08:11.000-07:00</t>
  </si>
  <si>
    <t>859d9ec0-7a1e-4e60-a78e-37af2979e232</t>
  </si>
  <si>
    <t>2019-11-28T09:27:01</t>
  </si>
  <si>
    <t>AT 10 MLUNDILUTED SAMPLE AND 1 ML SAMPLE OF 1:10 DILUTION, THE APPEARANCE/NUMBER OF RED COLONIES WERE TNTC AND 92, RESPECTIVELY.</t>
  </si>
  <si>
    <t>2019-11-28T11:04:24.046+05:30</t>
  </si>
  <si>
    <t>2019-11-28T14:55:43.084+05:30</t>
  </si>
  <si>
    <t>4621773b-70ba-400f-8889-d0ae4c3913fb</t>
  </si>
  <si>
    <t>2019-05-27T07:38:33</t>
  </si>
  <si>
    <t>2019-05-27T13:44:29.000-07:00</t>
  </si>
  <si>
    <t>2019-11-28T11:13:00.000+05:30</t>
  </si>
  <si>
    <t>22.5535338 88.3851945 -32.20000076293945 5.0</t>
  </si>
  <si>
    <t>AT 10 ML UNDILUTED AND 1 ML 1:10 DILUTION THE APPEARANCE/NUMBER OF RED COLONIES WERE TDTC AND TNTC, RESPECTIVELY.</t>
  </si>
  <si>
    <t>Sample collected by Suvankar Mandal, FB at PLc1100 site</t>
  </si>
  <si>
    <t>3e0efd34-eb61-42c9-bc2b-e60d839f1e03</t>
  </si>
  <si>
    <t>2019-05-27T08:14:51</t>
  </si>
  <si>
    <t>2019-05-27T15:20:21.000-07:00</t>
  </si>
  <si>
    <t>9a91581d-038e-4e02-b816-7af8daeca380</t>
  </si>
  <si>
    <t>2019-11-28T09:27:04</t>
  </si>
  <si>
    <t>2019-05-27T15:29:23.000-07:00</t>
  </si>
  <si>
    <t>2019-11-28T11:58:11.832+05:30</t>
  </si>
  <si>
    <t>2019-11-28T14:56:35.408+05:30</t>
  </si>
  <si>
    <t>2019-05-22T15:00:00.000-07:00</t>
  </si>
  <si>
    <t>2019-11-28T11:59:00.000+05:30</t>
  </si>
  <si>
    <t>22.5417338 88.3747261 -44.29999923706055 5.0</t>
  </si>
  <si>
    <t>OBSERVATION FOR RED COLONIES: 1:10000 (1 ML)-13 COLONIES, 1:100000 (1 ML)-SINGLE COLONY, 1:1000000 (1 ML)-SINGLE COLONY</t>
  </si>
  <si>
    <t>760e5df9-1c0a-412d-98aa-097086e3cc54</t>
  </si>
  <si>
    <t>2019-05-27T09:59:44</t>
  </si>
  <si>
    <t>2019-05-27T15:35:27.000-07:00</t>
  </si>
  <si>
    <t>NEGATIVE CONTROL</t>
  </si>
  <si>
    <t>2019-05-22T13:50:00.000-07:00</t>
  </si>
  <si>
    <t>4382caac-ca43-4af6-beac-6485e6d8f4c8</t>
  </si>
  <si>
    <t>2019-11-28T09:27:06</t>
  </si>
  <si>
    <t>2019-11-28T12:03:12.345+05:30</t>
  </si>
  <si>
    <t>2019-11-28T14:55:58.563+05:30</t>
  </si>
  <si>
    <t>STERILE WATER USED AS NEGATIVE CONTROL</t>
  </si>
  <si>
    <t>126f9829-cb9c-4e2d-a103-dba40c3f61e0</t>
  </si>
  <si>
    <t>2019-05-27T10:05:48</t>
  </si>
  <si>
    <t>2019-11-28T12:04:00.000+05:30</t>
  </si>
  <si>
    <t>22.5418138 88.3748682 -65.19999694824219 5.0</t>
  </si>
  <si>
    <t>2019-05-27T15:53:57.000-07:00</t>
  </si>
  <si>
    <t>2019-05-23T12:30:00.000-07:00</t>
  </si>
  <si>
    <t>2019-05-23T14:40:00.000-07:00</t>
  </si>
  <si>
    <t>2019-05-23T15:00:00.000-07:00</t>
  </si>
  <si>
    <t>2019-05-24T15:00:00.000-07:00</t>
  </si>
  <si>
    <t>Sample collected by Somnath Sarkar, FB at PLc1101 site</t>
  </si>
  <si>
    <t>RED COLONIES FOUND FOR: 1:10^4 (1 ML)-56, 1:10^5 (1 ML)-14, AND 1:10^6 (1 ML)-3</t>
  </si>
  <si>
    <t>64698e7f-5e45-445a-9ac3-9fd68e824f57</t>
  </si>
  <si>
    <t>2019-05-27T10:24:19</t>
  </si>
  <si>
    <t>7cd04d1a-00e4-4d34-9515-e4695fd3d8f2</t>
  </si>
  <si>
    <t>2019-06-04T12:22:54.000-07:00</t>
  </si>
  <si>
    <t>2019-11-28T09:27:09</t>
  </si>
  <si>
    <t>2019-11-28T12:33:23.118+05:30</t>
  </si>
  <si>
    <t>2019-06-04T12:38:15.000-07:00</t>
  </si>
  <si>
    <t>2019-11-28T14:56:17.577+05:30</t>
  </si>
  <si>
    <t>2019-05-27T10:53:00.000-07:00</t>
  </si>
  <si>
    <t>2019-05-27T12:05:00.000-07:00</t>
  </si>
  <si>
    <t>2019-05-27T15:50:00.000-07:00</t>
  </si>
  <si>
    <t>2019-05-28T15:50:00.000-07:00</t>
  </si>
  <si>
    <t>2019-11-28T12:34:00.000+05:30</t>
  </si>
  <si>
    <t>22.5345837 88.3960211 -36.70000076293945 4.0</t>
  </si>
  <si>
    <t>Red colonies 1:1000-TDTC, 1:10000-34, 1:100000-3 AND 1:1000000-0 COLONIES FOUND. NO BLUE COLONIES FOUND AT1:1000000 DILUTION</t>
  </si>
  <si>
    <t>5de40b4a-9e31-4296-8aa8-2594d08bc07e</t>
  </si>
  <si>
    <t>2019-06-04T07:08:37</t>
  </si>
  <si>
    <t>2019-06-04T14:00:48.000-07:00</t>
  </si>
  <si>
    <t>2019-06-04T14:13:23.000-07:00</t>
  </si>
  <si>
    <t>6f738f7d-b9ec-4d13-921e-7c52edfdcea3</t>
  </si>
  <si>
    <t>2019-11-28T09:27:12</t>
  </si>
  <si>
    <t>2019-05-27T12:20:00.000-07:00</t>
  </si>
  <si>
    <t>2019-05-27T12:30:00.000-07:00</t>
  </si>
  <si>
    <t>2019-11-28T12:36:33.793+05:30</t>
  </si>
  <si>
    <t>2019-11-28T14:56:04.477+05:30</t>
  </si>
  <si>
    <t>2019-11-28T12:38:00.000+05:30</t>
  </si>
  <si>
    <t>22.5345623 88.3959964 -43.29999923706055 5.0</t>
  </si>
  <si>
    <t>TDTC, TNTC AND 49 NUMBER OF RED COLONIES FOUND, RESPECTIVELY.</t>
  </si>
  <si>
    <t>a9d1e6f5-87a5-49a1-9f79-ceb80b1988be</t>
  </si>
  <si>
    <t>2019-06-04T08:43:44</t>
  </si>
  <si>
    <t>2019-06-04T15:01:50.000-07:00</t>
  </si>
  <si>
    <t>33f8d97f-5539-41e2-93cb-f0f11ed9aa70</t>
  </si>
  <si>
    <t>2019-11-28T09:27:15</t>
  </si>
  <si>
    <t>2019-05-27T12:23:00.000-07:00</t>
  </si>
  <si>
    <t>2019-11-28T12:51:51.147+05:30</t>
  </si>
  <si>
    <t>2019-11-28T14:56:25.298+05:30</t>
  </si>
  <si>
    <t>2019-05-28T15:30:00.000-07:00</t>
  </si>
  <si>
    <t>2019-11-28T12:52:00.000+05:30</t>
  </si>
  <si>
    <t>22.5400679 88.3872913 -36.400001525878906 5.0</t>
  </si>
  <si>
    <t>For red colonies, the observations were TDTC, TDTC, TNTC, respectively</t>
  </si>
  <si>
    <t>92bad748-e935-483d-98d4-0020c19ec52b</t>
  </si>
  <si>
    <t>2019-06-04T09:32:12</t>
  </si>
  <si>
    <t>2019-06-04T15:01:51.000-07:00</t>
  </si>
  <si>
    <t>2019-06-04T15:26:31.000-07:00</t>
  </si>
  <si>
    <t>e34b8b97-2c5a-479f-92f4-5fbdc16c73d0</t>
  </si>
  <si>
    <t>2019-11-28T09:27:18</t>
  </si>
  <si>
    <t>2019-11-28T12:55:14.345+05:30</t>
  </si>
  <si>
    <t>2019-11-28T14:56:09.942+05:30</t>
  </si>
  <si>
    <t>2019-11-28T12:55:00.000+05:30</t>
  </si>
  <si>
    <t>22.5399586 88.38708 -90.5 5.0</t>
  </si>
  <si>
    <t>OBSERVATION FOR RED COLONIES: TDTC FOR ALL OF THE CASES</t>
  </si>
  <si>
    <t>6999580d-39b0-4d9e-bc34-afd2b963338b</t>
  </si>
  <si>
    <t>2019-06-04T09:56:52</t>
  </si>
  <si>
    <t>97e4029b-a278-4edc-b016-143bb0cc49b6</t>
  </si>
  <si>
    <t>2019-11-28T09:27:21</t>
  </si>
  <si>
    <t>2019-11-29T11:17:39.520+05:30</t>
  </si>
  <si>
    <t>2019-11-29T13:32:06.722+05:30</t>
  </si>
  <si>
    <t>2019-06-04T15:33:38.000-07:00</t>
  </si>
  <si>
    <t>2019-05-27T12:25:00.000-07:00</t>
  </si>
  <si>
    <t>2019-11-29T11:18:00.000+05:30</t>
  </si>
  <si>
    <t>22.5413283 88.3761617 -8.899999618530273 5.0</t>
  </si>
  <si>
    <t>FOR RED COLONIES THE OBSERVATION WERE TNTC, 34 AND 09. RESPECTIVELY.</t>
  </si>
  <si>
    <t>3c862640-c6b8-4e44-9840-491398739300</t>
  </si>
  <si>
    <t>2019-11-29T08:02:23</t>
  </si>
  <si>
    <t>1a78627e-b87c-43ad-969a-d0843e50c897</t>
  </si>
  <si>
    <t>2019-06-04T10:04:00</t>
  </si>
  <si>
    <t>2019-11-29T11:23:40.187+05:30</t>
  </si>
  <si>
    <t>2019-11-29T13:31:49.566+05:30</t>
  </si>
  <si>
    <t>2019-06-04T15:33:39.000-07:00</t>
  </si>
  <si>
    <t>2019-06-04T17:04:00.000-07:00</t>
  </si>
  <si>
    <t>2019-11-29T11:24:00.000+05:30</t>
  </si>
  <si>
    <t>22.5411961 88.3761601 -15.300000190734863 5.0</t>
  </si>
  <si>
    <t>2019-05-27T12:31:00.000-07:00</t>
  </si>
  <si>
    <t>Sample collected by Buddhadeb Samaddar, FB at PLc1102 site</t>
  </si>
  <si>
    <t>1:10^6- 1 BLUE COLONY; OBSERVATION FOR RED COLONIES: TNTC, 68, 13, 02, RESPECTIVELY.</t>
  </si>
  <si>
    <t>d0dfb695-221b-4ebe-bf3d-7d18dc8c1054</t>
  </si>
  <si>
    <t>a724aab6-0662-4bb9-8b69-fee0aa0d0c56</t>
  </si>
  <si>
    <t>2019-11-29T08:02:25</t>
  </si>
  <si>
    <t>2019-06-04T11:34:21</t>
  </si>
  <si>
    <t>2019-11-29T11:32:48.984+05:30</t>
  </si>
  <si>
    <t>2019-11-29T13:32:12.094+05:30</t>
  </si>
  <si>
    <t>2019-06-04T17:09:03.000-07:00</t>
  </si>
  <si>
    <t>2019-11-29T11:34:00.000+05:30</t>
  </si>
  <si>
    <t>2019-05-28T10:15:00.000-07:00</t>
  </si>
  <si>
    <t>22.5404286 88.3753038 -3.0 5.0</t>
  </si>
  <si>
    <t>2019-05-28T11:00:00.000-07:00</t>
  </si>
  <si>
    <t>2019-05-28T12:15:00.000-07:00</t>
  </si>
  <si>
    <t>2019-05-29T12:15:00.000-07:00</t>
  </si>
  <si>
    <t>RED COLONIES: TDTC AND TNTC, RESPECTIVELY.</t>
  </si>
  <si>
    <t>9f9cb3b2-f879-4edb-8501-7600bf0a0a44</t>
  </si>
  <si>
    <t>2019-06-04T11:39:25</t>
  </si>
  <si>
    <t>2019-06-04T17:09:04.000-07:00</t>
  </si>
  <si>
    <t>eca27d3a-32cc-46e6-aa09-e7a7fd07ed4d</t>
  </si>
  <si>
    <t>2019-11-29T08:02:27</t>
  </si>
  <si>
    <t>2019-11-29T11:38:38.634+05:30</t>
  </si>
  <si>
    <t>2019-06-04T17:13:11.000-07:00</t>
  </si>
  <si>
    <t>2019-11-29T13:31:55.505+05:30</t>
  </si>
  <si>
    <t>2019-05-28T10:17:00.000-07:00</t>
  </si>
  <si>
    <t>2019-11-29T11:39:00.000+05:30</t>
  </si>
  <si>
    <t>22.5404641 88.375381 -32.0 5.0</t>
  </si>
  <si>
    <t>RED COLONIES: 3 AND NIL, RESPECTIVELY.</t>
  </si>
  <si>
    <t>49ab78b1-8c60-4f56-b84e-d48c909d853b</t>
  </si>
  <si>
    <t>2019-06-04T11:43:33</t>
  </si>
  <si>
    <t>2019-06-04T17:13:12.000-07:00</t>
  </si>
  <si>
    <t>2019-06-04T17:19:45.000-07:00</t>
  </si>
  <si>
    <t>Sample collected by Somnath Sarkar, FB at PLc1103 site</t>
  </si>
  <si>
    <t>2019-05-28T10:20:00.000-07:00</t>
  </si>
  <si>
    <t>0a4b86c5-5809-4596-84c9-3763b16bcd98</t>
  </si>
  <si>
    <t>2019-11-29T08:02:30</t>
  </si>
  <si>
    <t>2019-11-29T11:51:43.789+05:30</t>
  </si>
  <si>
    <t>2019-11-29T13:32:16.634+05:30</t>
  </si>
  <si>
    <t>19 AND 2, RESPECTIVELY FOR RED COLONIES</t>
  </si>
  <si>
    <t>27763e64-2ed3-4f81-8f66-dc36a9a8393c</t>
  </si>
  <si>
    <t>2019-11-29T11:52:00.000+05:30</t>
  </si>
  <si>
    <t>2019-06-04T11:50:07</t>
  </si>
  <si>
    <t>22.5411071 88.3743094 -50.099998474121094 5.0</t>
  </si>
  <si>
    <t>2019-06-04T17:19:46.000-07:00</t>
  </si>
  <si>
    <t>2019-06-04T17:32:58.000-07:00</t>
  </si>
  <si>
    <t>2019-05-28T13:42:00.000-07:00</t>
  </si>
  <si>
    <t>2019-05-28T14:30:00.000-07:00</t>
  </si>
  <si>
    <t>2019-05-28T15:25:00.000-07:00</t>
  </si>
  <si>
    <t>2019-05-29T15:25:00.000-07:00</t>
  </si>
  <si>
    <t>5bfe2e3b-323a-441a-9f6c-5ecc6c660b0c</t>
  </si>
  <si>
    <t>2019-11-29T08:02:33</t>
  </si>
  <si>
    <t>2019-11-29T12:00:42.297+05:30</t>
  </si>
  <si>
    <t>2019-11-29T13:32:01.483+05:30</t>
  </si>
  <si>
    <t>RED COLONIES FOUND 85, 55 AND 0, RESPECTIVELY.</t>
  </si>
  <si>
    <t>ce7290cb-dd33-4a93-b243-006ea1c73b9a</t>
  </si>
  <si>
    <t>2019-06-04T12:03:20</t>
  </si>
  <si>
    <t>2019-11-29T12:01:00.000+05:30</t>
  </si>
  <si>
    <t>22.5411039 88.3743109 -50.900001525878906 4.5</t>
  </si>
  <si>
    <t>2019-06-04T17:32:59.000-07:00</t>
  </si>
  <si>
    <t>2019-06-04T17:37:02.000-07:00</t>
  </si>
  <si>
    <t>Sample collected by Somnath Sarkar, FB at PLc1104 site</t>
  </si>
  <si>
    <t>eda09c1e-cf4b-4ca2-94b8-1d6b840d7227</t>
  </si>
  <si>
    <t>2019-11-29T08:02:36</t>
  </si>
  <si>
    <t>NO REDC COLONIES FOUND</t>
  </si>
  <si>
    <t>2019-12-02T11:27:03.618+05:30</t>
  </si>
  <si>
    <t>2019-12-02T15:57:40.165+05:30</t>
  </si>
  <si>
    <t>cf064cb6-a53f-408b-8bc2-f6e54db47b9c</t>
  </si>
  <si>
    <t>2019-06-04T12:07:24</t>
  </si>
  <si>
    <t>2019-06-05T12:00:50.000+06:30</t>
  </si>
  <si>
    <t>K21001</t>
  </si>
  <si>
    <t>2019-06-05T12:13:04.000+06:30</t>
  </si>
  <si>
    <t>2019-12-02T11:28:00.000+05:30</t>
  </si>
  <si>
    <t>22.5410835 88.3742969 -43.5 5.0</t>
  </si>
  <si>
    <t>2019-05-28T16:03:00.000+06:30</t>
  </si>
  <si>
    <t>2019-05-29T11:00:00.000+06:30</t>
  </si>
  <si>
    <t>2019-05-29T12:25:00.000+06:30</t>
  </si>
  <si>
    <t>2019-05-30T12:25:00.000+06:30</t>
  </si>
  <si>
    <t>PANI PURI SAMPLE. BLUE COLONY AT 1:100 DIL (1ML)-2, NO RED COLONIES FOUND AT ANY DILUTIONS.</t>
  </si>
  <si>
    <t>a6d45719-3352-4602-9d2c-233742c1558b</t>
  </si>
  <si>
    <t>2019-06-05T06:43:21</t>
  </si>
  <si>
    <t>2019-06-05T12:13:05.000+06:30</t>
  </si>
  <si>
    <t>c002cdbc-e2ce-419b-b6ea-4df053ba6189</t>
  </si>
  <si>
    <t>2019-06-05T12:23:22.000+06:30</t>
  </si>
  <si>
    <t>2019-12-02T10:27:57</t>
  </si>
  <si>
    <t>2019-12-02T11:42:50.072+05:30</t>
  </si>
  <si>
    <t>2019-12-02T15:57:28.907+05:30</t>
  </si>
  <si>
    <t>2019-05-29T12:30:00.000+06:30</t>
  </si>
  <si>
    <t>2019-05-29T12:45:00.000+06:30</t>
  </si>
  <si>
    <t>2019-05-30T12:45:00.000+06:30</t>
  </si>
  <si>
    <t>2019-12-02T11:43:00.000+05:30</t>
  </si>
  <si>
    <t>22.541039 88.3742987 -21.0 5.0</t>
  </si>
  <si>
    <t>NO RED COLONIES FOUND AT ANY CASES.</t>
  </si>
  <si>
    <t>6d003fda-07d5-4bfa-b84a-f305bf794629</t>
  </si>
  <si>
    <t>2019-06-05T06:53:38</t>
  </si>
  <si>
    <t>f0e150a5-a1b3-4951-a3e3-96e11d947ac8</t>
  </si>
  <si>
    <t>2019-06-05T12:33:16.000+06:30</t>
  </si>
  <si>
    <t>2019-12-02T10:28:00</t>
  </si>
  <si>
    <t>2019-12-02T12:07:30.313+05:30</t>
  </si>
  <si>
    <t>2019-12-02T15:57:45.733+05:30</t>
  </si>
  <si>
    <t>2019-05-29T13:37:00.000+06:30</t>
  </si>
  <si>
    <t>2019-05-29T14:32:00.000+06:30</t>
  </si>
  <si>
    <t>2019-05-29T15:50:00.000+06:30</t>
  </si>
  <si>
    <t>2019-05-30T15:50:00.000+06:30</t>
  </si>
  <si>
    <t>K26351</t>
  </si>
  <si>
    <t>2019-12-02T12:08:00.000+05:30</t>
  </si>
  <si>
    <t>22.540663 88.3763782 -27.899999618530273 5.0</t>
  </si>
  <si>
    <t>22 AND 4 RED COLONIES FOUND, RESPECTIVELY.</t>
  </si>
  <si>
    <t>66f05723-3ef8-4b86-8b82-1d16ace2f4e3</t>
  </si>
  <si>
    <t>2019-06-05T07:03:31</t>
  </si>
  <si>
    <t>2019-06-05T12:40:37.000+06:30</t>
  </si>
  <si>
    <t>a2d0c13c-54f4-4be7-bae1-5a87e8e71979</t>
  </si>
  <si>
    <t>2019-12-02T10:28:02</t>
  </si>
  <si>
    <t>TNTC AND 4 RED COLONIES FOUND, RESPECTIVELY.</t>
  </si>
  <si>
    <t>2019-12-02T12:15:59.118+05:30</t>
  </si>
  <si>
    <t>2019-12-02T15:57:33.712+05:30</t>
  </si>
  <si>
    <t>6db8af49-cba0-43a5-bb12-3b091918c2b9</t>
  </si>
  <si>
    <t>2019-06-05T07:10:53</t>
  </si>
  <si>
    <t>2019-06-05T12:50:02.000+06:30</t>
  </si>
  <si>
    <t>2019-12-02T12:17:00.000+05:30</t>
  </si>
  <si>
    <t>22.5406298 88.3763851 -4.300000190734863 5.0</t>
  </si>
  <si>
    <t>AT 1:10^6 DIL (1ML): NO BLUE COLONY FOUND.THE OBSERVATION FOR RED COLONIES WERE TNTC, 39, 6 AND NIL, RESPECTIVELY.</t>
  </si>
  <si>
    <t>0cfd0783-8781-4067-85e0-d1a8f7a1922e</t>
  </si>
  <si>
    <t>Sample collected collected by Biplab Jash</t>
  </si>
  <si>
    <t>2019-06-05T07:20:18</t>
  </si>
  <si>
    <t>2019-06-05T13:03:48.000+06:30</t>
  </si>
  <si>
    <t>d8b0356e-2803-4fc6-9426-e800c51e0666</t>
  </si>
  <si>
    <t>2019-12-02T10:28:05</t>
  </si>
  <si>
    <t>2019-12-03T11:54:39.446+05:30</t>
  </si>
  <si>
    <t>2019-12-04T15:51:28.188+05:30</t>
  </si>
  <si>
    <t>2019-05-30T14:50:00.000+06:30</t>
  </si>
  <si>
    <t>2019-05-30T15:00:00.000+06:30</t>
  </si>
  <si>
    <t>2019-05-31T15:50:00.000+06:30</t>
  </si>
  <si>
    <t>2019-12-03T11:55:00.000+05:30</t>
  </si>
  <si>
    <t>22.5404624 88.3753363 -40.400001525878906 5.0</t>
  </si>
  <si>
    <t>FOR 10^6 DIL (1 ML)-8 BLUE COLONIES FOUND. THERE WERE 63, 39, 18 AND 3 RED COLONIES FOUND, RESPECTIVELY.</t>
  </si>
  <si>
    <t>d9aae68f-c5b0-4a37-8198-ea5fff456617</t>
  </si>
  <si>
    <t>2019-06-05T07:34:04</t>
  </si>
  <si>
    <t>2019-06-05T13:10:47.000+06:30</t>
  </si>
  <si>
    <t>a15e3b5e-9ca5-4884-87b3-cb4a4a73c958</t>
  </si>
  <si>
    <t>2019-12-04T10:21:50</t>
  </si>
  <si>
    <t>2019-12-03T12:02:04.691+05:30</t>
  </si>
  <si>
    <t>2019-12-04T15:51:08.826+05:30</t>
  </si>
  <si>
    <t>2019-12-03T12:03:00.000+05:30</t>
  </si>
  <si>
    <t>22.5405217 88.3752944 -65.80000305175781 5.0</t>
  </si>
  <si>
    <t>NO BLUE OR RED COLONIES ARE FOUND AT 10 ML AND 100 ML APPLICATION OF UNDILUTED FIELD BLANK SAMPLE.</t>
  </si>
  <si>
    <t>1df6f100-1118-48cd-b29a-471da856aad5</t>
  </si>
  <si>
    <t>2019-06-05T07:41:00</t>
  </si>
  <si>
    <t>2019-06-19T13:27:44.000-07:00</t>
  </si>
  <si>
    <t>2019-06-19T13:49:46.000-07:00</t>
  </si>
  <si>
    <t>Sample collected by Suvankar Mandal, FB at PLc1107 site</t>
  </si>
  <si>
    <t>4e1543db-3bf2-422b-82cc-e79aabf1bb78</t>
  </si>
  <si>
    <t>2019-06-03T11:58:00.000-07:00</t>
  </si>
  <si>
    <t>2019-12-04T10:21:52</t>
  </si>
  <si>
    <t>2019-06-03T14:00:00.000-07:00</t>
  </si>
  <si>
    <t>2019-06-03T17:00:00.000-07:00</t>
  </si>
  <si>
    <t>2019-12-03T12:09:43.079+05:30</t>
  </si>
  <si>
    <t>2019-06-04T17:00:00.000-07:00</t>
  </si>
  <si>
    <t>2019-12-04T15:51:33.237+05:30</t>
  </si>
  <si>
    <t>K20285 ,K20286</t>
  </si>
  <si>
    <t>2019-12-03T12:10:00.000+05:30</t>
  </si>
  <si>
    <t>22.5404013 88.3753269 -34.900001525878906 5.0</t>
  </si>
  <si>
    <t>NO BLUE COLONIES FOUND AT 10^6 DILUTION. OBSERVATION FOR RED COLONIES AT VARIOUS DILUTIONWAS 51, SMUDGE, NIL, NIL FOR 10^3, 10^4, 10^5 AND 10^6 DILUTION, RESPECTIVELY.</t>
  </si>
  <si>
    <t>03507181-8c80-4369-8fcb-babc7ad62cd8</t>
  </si>
  <si>
    <t>2019-06-19T08:20:08</t>
  </si>
  <si>
    <t>2019-06-19T13:49:47.000-07:00</t>
  </si>
  <si>
    <t>fefb3b6e-55f1-40ac-83f1-a14af8ed4aad</t>
  </si>
  <si>
    <t>2019-12-04T10:21:55</t>
  </si>
  <si>
    <t>2019-12-03T12:17:24.145+05:30</t>
  </si>
  <si>
    <t>2019-12-04T15:51:16.118+05:30</t>
  </si>
  <si>
    <t>2019-06-19T13:57:02.000-07:00</t>
  </si>
  <si>
    <t>2019-12-03T12:18:00.000+05:30</t>
  </si>
  <si>
    <t>2019-06-03T12:30:00.000-07:00</t>
  </si>
  <si>
    <t>22.5403487 88.3752097 -41.70000076293945 5.0</t>
  </si>
  <si>
    <t>Sample collected by Buddhadeb Samaddar, FB at PLc1108 site</t>
  </si>
  <si>
    <t>NO LUE OR RED COLONIES FOUND FOR 10 ml AND 100 ml APPLICATION OF SAMPLES.</t>
  </si>
  <si>
    <t>a08d6d6a-519c-4db2-84a0-a266696db900</t>
  </si>
  <si>
    <t>2019-12-04T10:21:58</t>
  </si>
  <si>
    <t>2019-12-03T12:35:27.246+05:30</t>
  </si>
  <si>
    <t>94b7a983-fba2-490a-ad0b-88f8dbeb60e9</t>
  </si>
  <si>
    <t>2019-12-04T15:51:38.940+05:30</t>
  </si>
  <si>
    <t>2019-06-19T08:27:25</t>
  </si>
  <si>
    <t>2019-06-19T13:57:03.000-07:00</t>
  </si>
  <si>
    <t>K19307</t>
  </si>
  <si>
    <t>2019-06-19T14:07:13.000-07:00</t>
  </si>
  <si>
    <t>2019-12-03T12:36:00.000+05:30</t>
  </si>
  <si>
    <t>22.5401128 88.3766756 -51.79999923706055 5.0</t>
  </si>
  <si>
    <t>2019-06-03T11:40:00.000-07:00</t>
  </si>
  <si>
    <t>2019-06-03T15:20:00.000-07:00</t>
  </si>
  <si>
    <t>OBSERVATION FOR RED COLONIES WERE TDTC, TNTC AND 71, RESPECTIVELY</t>
  </si>
  <si>
    <t>8377b039-7479-48ab-a585-8bc2e4099c3d</t>
  </si>
  <si>
    <t>2019-12-04T10:22:02</t>
  </si>
  <si>
    <t>2019-12-03T12:44:12.736+05:30</t>
  </si>
  <si>
    <t>fedc0dcb-9b97-443c-b0ae-cf08af099cfc</t>
  </si>
  <si>
    <t>2019-12-04T15:51:21.465+05:30</t>
  </si>
  <si>
    <t>2019-06-19T08:37:35</t>
  </si>
  <si>
    <t>2019-06-19T14:14:57.000-07:00</t>
  </si>
  <si>
    <t>2019-12-03T12:44:00.000+05:30</t>
  </si>
  <si>
    <t>22.540034 88.3766533 -46.900001525878906 5.0</t>
  </si>
  <si>
    <t>2019-06-03T12:15:00.000-07:00</t>
  </si>
  <si>
    <t>Sample collected by Somnath Sarkar, FB at PLc1109 site</t>
  </si>
  <si>
    <t>87b8311d-7890-4535-b06b-d45dea98b5dd</t>
  </si>
  <si>
    <t>2019-12-04T10:22:05</t>
  </si>
  <si>
    <t>2019-12-04T10:55:41.548+05:30</t>
  </si>
  <si>
    <t>OBSERVATION FOR RED COLONIES WERE TDTC, TDTC AND TNTC, RESPECTIVELY.</t>
  </si>
  <si>
    <t>2019-12-04T15:51:44.231+05:30</t>
  </si>
  <si>
    <t>cfa9609f-01ea-4d51-9035-6dee2a10df77</t>
  </si>
  <si>
    <t>2019-06-19T08:45:19</t>
  </si>
  <si>
    <t>2019-12-04T10:56:00.000+05:30</t>
  </si>
  <si>
    <t>22.539957 88.3872598 -52.79999923706055 5.0</t>
  </si>
  <si>
    <t>2019-06-19T14:27:28.000-07:00</t>
  </si>
  <si>
    <t>2019-06-03T13:35:00.000-07:00</t>
  </si>
  <si>
    <t>269153ec-5d28-401a-8361-7d640109ed1d</t>
  </si>
  <si>
    <t>2019-12-04T10:22:12</t>
  </si>
  <si>
    <t>2019-12-03T10:53:33.302+05:30</t>
  </si>
  <si>
    <t>2019-12-04T17:05:53.577+05:30</t>
  </si>
  <si>
    <t>2019-12-03T10:54:00.000+05:30</t>
  </si>
  <si>
    <t>RAW PRODUCE WAS 1 PC TOMATO; THE OBSERVATION FOR RED COLONIES WAS TDTC, TDTC AND TNTC, RESPECTIVELY.</t>
  </si>
  <si>
    <t>22.5541924 88.3966468 -66.30000305175781 5.0</t>
  </si>
  <si>
    <t>454eaae6-daa2-417a-8e62-a0ad7b92d08b</t>
  </si>
  <si>
    <t>2019-06-19T08:57:50</t>
  </si>
  <si>
    <t>2019-06-19T14:59:48.000-07:00</t>
  </si>
  <si>
    <t>356938ad-2139-46ac-99e0-fa8998380a12</t>
  </si>
  <si>
    <t>2019-12-04T11:35:58</t>
  </si>
  <si>
    <t>2019-12-03T11:01:02.807+05:30</t>
  </si>
  <si>
    <t>2019-12-04T17:05:34.555+05:30</t>
  </si>
  <si>
    <t>SAMPLE WAS CUCUMBER (1 PC).</t>
  </si>
  <si>
    <t>FOR RED COLONIES THE OBSERVATION WAS TDTC, 120 AND 10, RESPECTIVELY. "SOME SMUDGE BLUE COLONIES" WERE NOTED FOR 10 ML UNDILUTED SAMPLE.</t>
  </si>
  <si>
    <t>2019-12-03T11:01:00.000+05:30</t>
  </si>
  <si>
    <t>22.5542733 88.3966676 -21.600000381469727 5.0</t>
  </si>
  <si>
    <t>601a9862-048e-4828-aa84-38231b76c83d</t>
  </si>
  <si>
    <t>2019-06-19T09:30:11</t>
  </si>
  <si>
    <t>2019-06-19T14:59:49.000-07:00</t>
  </si>
  <si>
    <t>2019-06-19T15:04:54.000-07:00</t>
  </si>
  <si>
    <t>2019-06-04T11:20:00.000-07:00</t>
  </si>
  <si>
    <t>2019-06-04T14:30:00.000-07:00</t>
  </si>
  <si>
    <t>cc8c997d-d027-4b2e-b184-00591ce2e0cc</t>
  </si>
  <si>
    <t>2019-06-04T15:40:00.000-07:00</t>
  </si>
  <si>
    <t>2019-12-04T11:36:01</t>
  </si>
  <si>
    <t>2019-06-05T15:40:00.000-07:00</t>
  </si>
  <si>
    <t>2019-12-03T11:37:37.566+05:30</t>
  </si>
  <si>
    <t>2019-12-04T17:06:01.811+05:30</t>
  </si>
  <si>
    <t>2019-12-03T11:38:00.000+05:30</t>
  </si>
  <si>
    <t>22.563674 88.3772227 -75.19999694824219 5.0</t>
  </si>
  <si>
    <t>THE OBSERVATION FOR RED COLONIES WERE 8 AND 4, RESPECTIVELY.</t>
  </si>
  <si>
    <t>87468bbc-adf0-4415-b96c-87dca2ca4886</t>
  </si>
  <si>
    <t>2019-06-19T09:35:16</t>
  </si>
  <si>
    <t>2019-06-19T15:04:55.000-07:00</t>
  </si>
  <si>
    <t>2019-06-19T15:15:16.000-07:00</t>
  </si>
  <si>
    <t>b7694c82-9b35-44af-ae24-ed8deaac7259</t>
  </si>
  <si>
    <t>2019-12-04T11:36:04</t>
  </si>
  <si>
    <t>2019-12-03T11:48:58.900+05:30</t>
  </si>
  <si>
    <t>2019-12-04T17:05:44.295+05:30</t>
  </si>
  <si>
    <t>FOR RED COLONIES THE OBSERVATION WAS TNTC AND 116, RESPECTIVELY.</t>
  </si>
  <si>
    <t>2019-12-03T11:49:00.000+05:30</t>
  </si>
  <si>
    <t>22.5636614 88.3771878 -30.200000762939453 5.0</t>
  </si>
  <si>
    <t>e304984c-d751-4cba-8b0b-ce9e1be45930</t>
  </si>
  <si>
    <t>2019-06-19T09:45:38</t>
  </si>
  <si>
    <t>2019-06-19T15:15:17.000-07:00</t>
  </si>
  <si>
    <t>2019-06-19T15:40:29.000-07:00</t>
  </si>
  <si>
    <t>2019-06-04T14:40:00.000-07:00</t>
  </si>
  <si>
    <t>5090d0c1-3376-4819-b341-bb943a57eb9e</t>
  </si>
  <si>
    <t>2019-12-04T11:36:07</t>
  </si>
  <si>
    <t>2019-12-05T10:55:04.003+05:30</t>
  </si>
  <si>
    <t>2019-12-05T14:19:26.742+05:30</t>
  </si>
  <si>
    <t>FOR 10 ML 5 DISTINCT BLUE COLONIES FOUND WITH SMUDGED BLUE COLONIES. FOR RED COLONIES, APPEARANCE WASTDTC IN BOTH CASES.</t>
  </si>
  <si>
    <t>1a67edfd-f3be-435d-9f32-29ddddd7a6de</t>
  </si>
  <si>
    <t>2019-12-05T10:55:00.000+05:30</t>
  </si>
  <si>
    <t>2019-06-19T10:10:51</t>
  </si>
  <si>
    <t>22.5348058 88.3958993 -112.5 5.0</t>
  </si>
  <si>
    <t>2019-06-19T15:40:30.000-07:00</t>
  </si>
  <si>
    <t>2019-06-19T16:36:52.000-07:00</t>
  </si>
  <si>
    <t>b740aed7-88a7-4397-9cc8-b4c88623068e</t>
  </si>
  <si>
    <t>2019-12-05T08:49:25</t>
  </si>
  <si>
    <t>2019-12-05T11:01:59.281+05:30</t>
  </si>
  <si>
    <t>2019-12-05T14:19:17.696+05:30</t>
  </si>
  <si>
    <t>CUT PIECES OF WATERMELON, WEIGHT WAS 150 GM. FOR 1:100 DIL (1 ML) NO BLUE COLONY FOUND. THE OBSERVATION FOR RED COLONIES WERE TDTC, 47, 13 AND 1, RESPECTIVELY.</t>
  </si>
  <si>
    <t>671362c0-96bf-4567-ac77-289d59f96aba</t>
  </si>
  <si>
    <t>2019-06-19T11:07:14</t>
  </si>
  <si>
    <t>2019-12-05T11:02:00.000+05:30</t>
  </si>
  <si>
    <t>22.5347072 88.3958061 -61.900001525878906 5.0</t>
  </si>
  <si>
    <t>2019-07-04T10:19:57.000-07:00</t>
  </si>
  <si>
    <t>enketo.sanipath.org:PjOHYUg3oaPOibDP</t>
  </si>
  <si>
    <t>2019-07-04T10:39:47.000-07:00</t>
  </si>
  <si>
    <t>2019-07-01T12:35:00.000-07:00</t>
  </si>
  <si>
    <t>2019-07-01T14:00:00.000-07:00</t>
  </si>
  <si>
    <t>2019-07-01T16:00:00.000-07:00</t>
  </si>
  <si>
    <t>2019-07-02T16:00:00.000-07:00</t>
  </si>
  <si>
    <t>a40bf827-c8f4-406c-bdd0-c144e1abb447</t>
  </si>
  <si>
    <t>2019-12-05T08:49:27</t>
  </si>
  <si>
    <t>2019-12-05T11:26:42.389+05:30</t>
  </si>
  <si>
    <t>2019-12-05T14:19:33.150+05:30</t>
  </si>
  <si>
    <t>BLUE COLONY COUNT : 1:10^6- NIL; &amp; RED COLONY COUNT - 1:10^3-TNTC; 1:10^4 - 47; 1:10^5- 2 ;1:10^6 - 01.VOLUME TESTED - 1 ML.</t>
  </si>
  <si>
    <t>9f7e67d3-f049-423a-881d-3faed7bfe3e1</t>
  </si>
  <si>
    <t>2019-07-04T05:10:11</t>
  </si>
  <si>
    <t>2019-12-05T11:27:00.000+05:30</t>
  </si>
  <si>
    <t>22.5399573 88.3872257 -21.200000762939453 5.0</t>
  </si>
  <si>
    <t>2019-07-04T10:39:48.000-07:00</t>
  </si>
  <si>
    <t>2019-07-04T10:52:25.000-07:00</t>
  </si>
  <si>
    <t>PLc 1024</t>
  </si>
  <si>
    <t>2019-07-01T12:40:00.000-07:00</t>
  </si>
  <si>
    <t>12f57817-bebd-4ac0-8fd8-991ef8c2cc63</t>
  </si>
  <si>
    <t>2019-12-05T08:49:30</t>
  </si>
  <si>
    <t>2019-12-05T11:31:58.311+05:30</t>
  </si>
  <si>
    <t>2019-12-05T14:19:22.101+05:30</t>
  </si>
  <si>
    <t>BLUE COLONY COUNT -1:10^6- 0 ; &amp; RED COLONY COUNT : 1:10^3- 43; 1:10^4 - 05; 1:10^5- 0; 1:10^6- 0 ;VOLUME TESTED 1ML.</t>
  </si>
  <si>
    <t>ce57e39b-4593-40cd-896b-0896f32c5feb</t>
  </si>
  <si>
    <t>2019-07-04T05:22:48</t>
  </si>
  <si>
    <t>2019-07-10T10:49:31.000-07:00</t>
  </si>
  <si>
    <t>2019-12-05T11:32:00.000+05:30</t>
  </si>
  <si>
    <t>22.5399707 88.387237 -10.399999618530273 5.0</t>
  </si>
  <si>
    <t>2019-07-10T11:01:17.000-07:00</t>
  </si>
  <si>
    <t>2019-07-08T14:00:00.000-07:00</t>
  </si>
  <si>
    <t>2019-07-08T14:15:00.000-07:00</t>
  </si>
  <si>
    <t>2019-07-08T15:30:00.000-07:00</t>
  </si>
  <si>
    <t>2019-07-09T15:30:00.000-07:00</t>
  </si>
  <si>
    <t>d28f4bb6-7fb6-4cc1-acdf-200512cefa61</t>
  </si>
  <si>
    <t>2019-12-05T08:49:32</t>
  </si>
  <si>
    <t>2019-12-05T11:49:31.494+05:30</t>
  </si>
  <si>
    <t>BLUE COLONY COUNT IN 1:10^6- NIL;&amp; RED COLONY COUNT : 1:10^3- 25; 1:10^4- 02; 1:10^5- NIL; 1:10^6- NIL.</t>
  </si>
  <si>
    <t>2019-12-05T14:48:17.827+05:30</t>
  </si>
  <si>
    <t>ba03eed0-aa02-4915-b2aa-c2ae97f7faf6</t>
  </si>
  <si>
    <t>2019-07-10T05:31:42</t>
  </si>
  <si>
    <t>K15193</t>
  </si>
  <si>
    <t>2019-07-12T11:10:33.000+06:30</t>
  </si>
  <si>
    <t>2019-12-05T11:51:00.000+05:30</t>
  </si>
  <si>
    <t>2019-07-12T11:23:40.000+06:30</t>
  </si>
  <si>
    <t>22.5534882 88.3856134 -53.5 5.0</t>
  </si>
  <si>
    <t>2019-07-10T13:40:00.000+06:30</t>
  </si>
  <si>
    <t>2019-07-10T15:00:00.000+06:30</t>
  </si>
  <si>
    <t>2019-07-10T16:00:00.000+06:30</t>
  </si>
  <si>
    <t>2019-07-11T16:00:00.000+06:30</t>
  </si>
  <si>
    <t>BLUE COLONY COUNT FOR DILUTION 1:10^6-NIL; &amp; RED COLONYCOUNT-1:10^3-148; 1:10^4-20; 1:10^5-3 ; 1:10^6 - NIL; VOLUME TESTED BY 1ML.</t>
  </si>
  <si>
    <t>8a1b7510-1daf-48ab-978b-05fb14dd07cb</t>
  </si>
  <si>
    <t>2019-12-05T09:18:47</t>
  </si>
  <si>
    <t>2019-12-05T11:56:52.148+05:30</t>
  </si>
  <si>
    <t>2019-12-05T14:47:53.939+05:30</t>
  </si>
  <si>
    <t>93c4b0bd-55a1-4169-ba63-6ee90c0d0135</t>
  </si>
  <si>
    <t>2019-07-12T05:53:59</t>
  </si>
  <si>
    <t>2019-07-12T11:24:46.000+06:30</t>
  </si>
  <si>
    <t>2019-07-12T11:37:15.000+06:30</t>
  </si>
  <si>
    <t>2019-12-05T11:57:00.000+05:30</t>
  </si>
  <si>
    <t>22.5535107 88.3856259 -45.099998474121094 4.5</t>
  </si>
  <si>
    <t>2019-07-10T14:30:00.000+06:30</t>
  </si>
  <si>
    <t>2019-07-10T15:10:00.000+06:30</t>
  </si>
  <si>
    <t>2019-07-11T15:10:00.000+06:30</t>
  </si>
  <si>
    <t>Sample collected by Suvankar Mandal, FB at PLc1110 site</t>
  </si>
  <si>
    <t>THIS SAMPLE(FB1007) IS COLLECTED FROM POOLED LATRINE SITE.</t>
  </si>
  <si>
    <t>b1a9f7b5-2eee-475d-b8e9-131945332d91</t>
  </si>
  <si>
    <t>2019-12-05T09:18:50</t>
  </si>
  <si>
    <t>2019-12-05T12:52:49.298+05:30</t>
  </si>
  <si>
    <t>8b60f2b3-301e-4495-8dfd-41487936cdb9</t>
  </si>
  <si>
    <t>2019-12-05T14:48:23.626+05:30</t>
  </si>
  <si>
    <t>2019-07-12T06:07:33</t>
  </si>
  <si>
    <t>2019-07-12T11:45:40.000+06:30</t>
  </si>
  <si>
    <t>2019-12-05T12:53:00.000+05:30</t>
  </si>
  <si>
    <t>22.5407242 88.3761585 -83.0 5.0</t>
  </si>
  <si>
    <t>2019-07-09T13:00:00.000+06:30</t>
  </si>
  <si>
    <t>2019-07-09T14:15:00.000+06:30</t>
  </si>
  <si>
    <t>2019-07-09T15:00:00.000+06:30</t>
  </si>
  <si>
    <t>THIS SAMPLE(FB1006) IS COLLECTED FROM DRAINAGE PUMPINGSTATION SITE.</t>
  </si>
  <si>
    <t>c04b3c05-b366-435a-807c-9d835a70fd6b</t>
  </si>
  <si>
    <t>ebdb30ad-bf61-4559-81f3-1713081a3ced</t>
  </si>
  <si>
    <t>2019-07-12T06:15:58</t>
  </si>
  <si>
    <t>2019-12-05T09:18:53</t>
  </si>
  <si>
    <t>2019-12-05T13:00:43.758+05:30</t>
  </si>
  <si>
    <t>2019-07-17T12:27:49.000+06:30</t>
  </si>
  <si>
    <t>2019-12-05T14:47:59.256+05:30</t>
  </si>
  <si>
    <t>2019-07-17T12:39:55.000+06:30</t>
  </si>
  <si>
    <t>2019-07-15T12:30:00.000+06:30</t>
  </si>
  <si>
    <t>2019-07-15T16:30:00.000+06:30</t>
  </si>
  <si>
    <t>2019-12-05T13:02:00.000+05:30</t>
  </si>
  <si>
    <t>2019-07-15T17:00:00.000+06:30</t>
  </si>
  <si>
    <t>22.5406864 88.3762005 -53.400001525878906 5.0</t>
  </si>
  <si>
    <t>2019-07-16T17:00:00.000+06:30</t>
  </si>
  <si>
    <t>Blue(10^-6=0) ,Red(10^-3=16, 10^-4=4, 10^-5=0, 10^-6=0)</t>
  </si>
  <si>
    <t>Sample collected by Somnath Sarkar, FB at PLc1111 site</t>
  </si>
  <si>
    <t>e075089c-9487-41e5-b0e2-58564d8c2ea9</t>
  </si>
  <si>
    <t>2019-07-17T07:10:14</t>
  </si>
  <si>
    <t>c569868b-ace5-48a7-9f3c-2972cb79a355</t>
  </si>
  <si>
    <t>2019-12-05T09:18:55</t>
  </si>
  <si>
    <t>2019-12-05T13:13:11.663+05:30</t>
  </si>
  <si>
    <t>2019-12-05T14:48:28.954+05:30</t>
  </si>
  <si>
    <t>2019-07-18T11:57:09.000-07:00</t>
  </si>
  <si>
    <t>K22117</t>
  </si>
  <si>
    <t>2019-12-05T13:13:00.000+05:30</t>
  </si>
  <si>
    <t>22.5417554 88.3747726 -58.099998474121094 5.0</t>
  </si>
  <si>
    <t>2019-07-16T14:00:00.000-07:00</t>
  </si>
  <si>
    <t>2019-07-16T15:30:00.000-07:00</t>
  </si>
  <si>
    <t>2019-07-16T16:00:00.000-07:00</t>
  </si>
  <si>
    <t>2019-07-17T16:00:00.000-07:00</t>
  </si>
  <si>
    <t>COLLECTED FROM DRAINAGE PUMPING SITE , RED COLONY(100ml-0)</t>
  </si>
  <si>
    <t>c28d8585-a484-4bc6-80cf-42a752f03b04</t>
  </si>
  <si>
    <t>2019-07-18T06:27:36</t>
  </si>
  <si>
    <t>cc30e727-ad26-46a2-ae55-7a2aca6ad6ac</t>
  </si>
  <si>
    <t>2019-12-05T09:18:58</t>
  </si>
  <si>
    <t>2019-07-19T13:35:41.000-07:00</t>
  </si>
  <si>
    <t>2019-12-05T13:17:26.317+05:30</t>
  </si>
  <si>
    <t>2019-12-05T14:48:06.654+05:30</t>
  </si>
  <si>
    <t>2019-07-19T13:43:20.000-07:00</t>
  </si>
  <si>
    <t>2019-07-17T13:45:00.000-07:00</t>
  </si>
  <si>
    <t>2019-07-17T15:00:00.000-07:00</t>
  </si>
  <si>
    <t>2019-12-05T13:17:00.000+05:30</t>
  </si>
  <si>
    <t>2019-07-18T16:00:00.000-07:00</t>
  </si>
  <si>
    <t>22.5418042 88.3747321 -30.100000381469727 5.0</t>
  </si>
  <si>
    <t>BLUE COLONIES (10^6=0), RED COLONIES(10^3=30,10^4=4,10^5=1,10^6=0)</t>
  </si>
  <si>
    <t>Sample collected by Suvankar Mandal, FB at PLc1112 site</t>
  </si>
  <si>
    <t>248cf2d5-8e66-4ae0-a471-fb73a7d85980</t>
  </si>
  <si>
    <t>2019-07-19T08:13:47</t>
  </si>
  <si>
    <t>91141ce6-10e3-48c5-a467-13316f121092</t>
  </si>
  <si>
    <t>2019-12-05T09:19:00</t>
  </si>
  <si>
    <t>2019-12-05T13:27:41.833+05:30</t>
  </si>
  <si>
    <t>2019-12-05T14:48:34.080+05:30</t>
  </si>
  <si>
    <t>2019-07-19T13:46:51.000-07:00</t>
  </si>
  <si>
    <t>2019-12-05T13:28:00.000+05:30</t>
  </si>
  <si>
    <t>22.5411241 88.3743372 -54.900001525878906 5.0</t>
  </si>
  <si>
    <t>RED COLONY (100ml=3)</t>
  </si>
  <si>
    <t>33c4ec7b-409c-4199-9f00-13d60c550e7f</t>
  </si>
  <si>
    <t>2019-07-19T08:17:18</t>
  </si>
  <si>
    <t>2019-07-22T11:48:27.000-07:00</t>
  </si>
  <si>
    <t>2019-07-22T12:01:58.000-07:00</t>
  </si>
  <si>
    <t>9cbf6e23-c286-45f4-9481-ae3466af486d</t>
  </si>
  <si>
    <t>2019-12-05T09:19:03</t>
  </si>
  <si>
    <t>2019-12-05T13:33:08.727+05:30</t>
  </si>
  <si>
    <t>2019-12-05T14:48:11.242+05:30</t>
  </si>
  <si>
    <t>2019-12-05T13:33:00.000+05:30</t>
  </si>
  <si>
    <t>22.5411325 88.3743485 -54.5 5.0</t>
  </si>
  <si>
    <t>THERE ARE NO RECEIVED TIME ,SO I HAVE GIVEN THE PROCESSING TINE IN THE PLACE OF THE RECEIVED TIME.</t>
  </si>
  <si>
    <t>761b200f-8ab4-4246-a4ee-e0bcb2fdac3b</t>
  </si>
  <si>
    <t>2019-07-22T06:32:25</t>
  </si>
  <si>
    <t>2019-07-22T12:01:59.000-07:00</t>
  </si>
  <si>
    <t>Sample collected by Somnath Sarkar, FB at PLc1113 site</t>
  </si>
  <si>
    <t>dde22876-79db-4c99-8bc0-d872f7ae7792</t>
  </si>
  <si>
    <t>2019-12-05T09:19:06</t>
  </si>
  <si>
    <t>2019-07-22T12:09:31.000-07:00</t>
  </si>
  <si>
    <t>2019-12-06T11:09:25.508+05:30</t>
  </si>
  <si>
    <t>2019-12-06T17:18:09.270+05:30</t>
  </si>
  <si>
    <t>2019-07-08T15:00:00.000-07:00</t>
  </si>
  <si>
    <t>2019-12-06T11:10:00.000+05:30</t>
  </si>
  <si>
    <t>2019-07-08T16:00:00.000-07:00</t>
  </si>
  <si>
    <t>22.5401824 88.3766289 -67.30000305175781 5.0</t>
  </si>
  <si>
    <t>2019-07-09T16:00:00.000-07:00</t>
  </si>
  <si>
    <t>THERE IS NO RECEIVING TIME SO, I HAVE GIVEN THE PROCESSING TIME IN THE PLACE OF THE RECEIVING TME ,</t>
  </si>
  <si>
    <t>ed71c801-cbfe-4d83-be6c-dc2d93db2795</t>
  </si>
  <si>
    <t>e4fac225-6b64-4512-b41d-2ae49781b72f</t>
  </si>
  <si>
    <t>2019-07-22T06:39:59</t>
  </si>
  <si>
    <t>2019-12-06T11:48:32</t>
  </si>
  <si>
    <t>2019-12-06T11:16:17.232+05:30</t>
  </si>
  <si>
    <t>2019-07-22T12:09:32.000-07:00</t>
  </si>
  <si>
    <t>2019-12-06T17:17:45.738+05:30</t>
  </si>
  <si>
    <t>2019-07-22T12:12:46.000-07:00</t>
  </si>
  <si>
    <t>2019-12-06T11:17:00.000+05:30</t>
  </si>
  <si>
    <t>22.5402384 88.3765722 -80.69999694824219 5.0</t>
  </si>
  <si>
    <t>2019-07-10T14:30:00.000-07:00</t>
  </si>
  <si>
    <t>2019-07-10T16:00:00.000-07:00</t>
  </si>
  <si>
    <t>2019-07-11T16:00:00.000-07:00</t>
  </si>
  <si>
    <t>Sample collected by Buddhadeb, FB at PLc1114 site</t>
  </si>
  <si>
    <t>69ebc683-f80c-483f-bcc1-4144f193cfcd</t>
  </si>
  <si>
    <t>2019-12-06T11:48:35</t>
  </si>
  <si>
    <t>2019-12-06T11:40:11.587+05:30</t>
  </si>
  <si>
    <t>2019-12-06T17:18:14.352+05:30</t>
  </si>
  <si>
    <t>268bc1de-2c44-4102-86ae-a5c95e96a07a</t>
  </si>
  <si>
    <t>2019-07-22T06:43:14</t>
  </si>
  <si>
    <t>2019-12-06T11:40:00.000+05:30</t>
  </si>
  <si>
    <t>22.5404939 88.3753108 -45.400001525878906 5.0</t>
  </si>
  <si>
    <t>2019-07-22T12:12:47.000-07:00</t>
  </si>
  <si>
    <t>2019-07-22T12:16:08.000-07:00</t>
  </si>
  <si>
    <t>2019-07-15T16:30:00.000-07:00</t>
  </si>
  <si>
    <t>2019-07-15T17:00:00.000-07:00</t>
  </si>
  <si>
    <t>2019-07-16T17:00:00.000-07:00</t>
  </si>
  <si>
    <t>51bcdd58-63dc-4ef7-818c-f5959509dd79</t>
  </si>
  <si>
    <t>2019-12-06T11:48:39</t>
  </si>
  <si>
    <t>2019-12-06T11:46:29.109+05:30</t>
  </si>
  <si>
    <t>2019-12-06T17:17:51.718+05:30</t>
  </si>
  <si>
    <t>2019-12-06T11:47:00.000+05:30</t>
  </si>
  <si>
    <t>22.5404879 88.3752798 -69.0999984741211 5.0</t>
  </si>
  <si>
    <t>f21e93c4-f969-47a7-a1ab-38643cb734c6</t>
  </si>
  <si>
    <t>2019-07-22T06:46:35</t>
  </si>
  <si>
    <t>Sample collected by Somnath Sarkar, FB at PLc1115 site</t>
  </si>
  <si>
    <t>4c263bdd-3622-4e55-be9c-385900368039</t>
  </si>
  <si>
    <t>2019-12-06T11:48:41</t>
  </si>
  <si>
    <t>2019-07-22T12:21:58.000-07:00</t>
  </si>
  <si>
    <t>2019-12-06T11:53:21.336+05:30</t>
  </si>
  <si>
    <t>2019-12-06T17:18:20.082+05:30</t>
  </si>
  <si>
    <t>2019-12-06T11:54:00.000+05:30</t>
  </si>
  <si>
    <t>22.5403512 88.3751865 -36.70000076293945 5.0</t>
  </si>
  <si>
    <t>e07223b5-ed06-4ddd-bad9-f52904342dda</t>
  </si>
  <si>
    <t>2019-07-22T06:52:25</t>
  </si>
  <si>
    <t>2019-07-24T11:20:19.000-07:00</t>
  </si>
  <si>
    <t>19f632cd-5c04-4a24-97e0-ef258faabf55</t>
  </si>
  <si>
    <t>2019-12-06T11:48:44</t>
  </si>
  <si>
    <t>2019-12-06T11:59:24.693+05:30</t>
  </si>
  <si>
    <t>2019-12-06T17:17:58.287+05:30</t>
  </si>
  <si>
    <t>2019-07-24T11:26:08.000-07:00</t>
  </si>
  <si>
    <t>2019-07-22T13:26:00.000-07:00</t>
  </si>
  <si>
    <t>2019-12-06T11:59:00.000+05:30</t>
  </si>
  <si>
    <t>2019-07-22T15:00:00.000-07:00</t>
  </si>
  <si>
    <t>22.5402418 88.3752263 7.199999809265137 5.0</t>
  </si>
  <si>
    <t>2019-07-22T16:10:00.000-07:00</t>
  </si>
  <si>
    <t>2019-07-23T16:10:00.000-07:00</t>
  </si>
  <si>
    <t>NO BLUE COLONOLY WAS OBSERVED AT 10^6 DILUTION AND RED COLONY WAS FOUND TO BE 45 AT 10^3, 3 RED COLONIES AT 10^4 AND NO RED COLONIES WERE OBSERVED AT 10^5 AND 10^6 DILUTIONS</t>
  </si>
  <si>
    <t>Sample collected by Biplab Jash, FB at PLc1116 site</t>
  </si>
  <si>
    <t>b4f4f7ba-517f-4e89-aa8f-3940aaddaad4</t>
  </si>
  <si>
    <t>2019-07-24T05:56:36</t>
  </si>
  <si>
    <t>225d8ec6-80b6-4939-b869-ddf43537b51d</t>
  </si>
  <si>
    <t>2019-12-06T11:48:47</t>
  </si>
  <si>
    <t>2019-12-06T12:59:23.214+05:30</t>
  </si>
  <si>
    <t>2019-12-06T17:18:24.904+05:30</t>
  </si>
  <si>
    <t>2019-07-24T11:27:53.000-07:00</t>
  </si>
  <si>
    <t>K24127</t>
  </si>
  <si>
    <t>2019-07-22T14:30:00.000-07:00</t>
  </si>
  <si>
    <t>2019-12-06T13:00:00.000+05:30</t>
  </si>
  <si>
    <t>2019-07-22T14:45:00.000-07:00</t>
  </si>
  <si>
    <t>22.5451529 88.3833641 -62.70000076293945 5.0</t>
  </si>
  <si>
    <t>2019-07-23T14:45:00.000-07:00</t>
  </si>
  <si>
    <t>b4b5dba7-2279-4b24-87f7-f026b272a21f</t>
  </si>
  <si>
    <t>2019-07-24T05:58:21</t>
  </si>
  <si>
    <t>2019-07-25T11:29:54.000-07:00</t>
  </si>
  <si>
    <t>081bb6d5-623a-4932-9f41-25b5ce1d0c51</t>
  </si>
  <si>
    <t>2019-12-06T11:48:49</t>
  </si>
  <si>
    <t>enketo.sanipath.org:SnPnsLr2hWdrImgk</t>
  </si>
  <si>
    <t>2019-12-06T13:06:46.177+05:30</t>
  </si>
  <si>
    <t>2019-07-25T11:43:55.000-07:00</t>
  </si>
  <si>
    <t>2019-12-06T17:18:03.756+05:30</t>
  </si>
  <si>
    <t>2019-07-23T14:00:00.000-07:00</t>
  </si>
  <si>
    <t>2019-07-23T14:30:00.000-07:00</t>
  </si>
  <si>
    <t>2019-07-23T16:30:00.000-07:00</t>
  </si>
  <si>
    <t>2019-12-06T13:07:00.000+05:30</t>
  </si>
  <si>
    <t>22.5451178 88.3834455 -61.20000076293945 5.0</t>
  </si>
  <si>
    <t>2019-07-24T16:30:00.000-07:00</t>
  </si>
  <si>
    <t>RED COLONY (1ml=3,10^1=1,10^2=6)</t>
  </si>
  <si>
    <t>Sample collected by Somnath Sarkar, FB at PLc1117 site</t>
  </si>
  <si>
    <t>a8fa38ce-71ef-4aed-a90c-1f7f3f99600f</t>
  </si>
  <si>
    <t>2019-07-25T06:14:23</t>
  </si>
  <si>
    <t>877a5aac-17be-47e5-a64a-2e26c55f501c</t>
  </si>
  <si>
    <t>2019-12-06T11:48:52</t>
  </si>
  <si>
    <t>2019-12-09T11:32:22.418+05:30</t>
  </si>
  <si>
    <t>2019-07-25T11:49:56.000-07:00</t>
  </si>
  <si>
    <t>2019-12-09T15:56:44.439+05:30</t>
  </si>
  <si>
    <t>2019-12-09T11:36:00.000+05:30</t>
  </si>
  <si>
    <t>22.5534724 88.3855818 -28.5 5.0</t>
  </si>
  <si>
    <t>RED COLONY (1ml=TNTC,10^1=44,10^2=6)</t>
  </si>
  <si>
    <t>b6363a14-4928-4082-8a54-7077f8f32b38</t>
  </si>
  <si>
    <t>2019-07-25T06:20:24</t>
  </si>
  <si>
    <t>2019-07-25T11:49:57.000-07:00</t>
  </si>
  <si>
    <t>16f6e5fb-2a71-432f-bcff-ec978c0d6c7d</t>
  </si>
  <si>
    <t>2019-12-09T10:27:13</t>
  </si>
  <si>
    <t>2019-07-25T11:54:37.000-07:00</t>
  </si>
  <si>
    <t>2019-12-09T11:43:37.461+05:30</t>
  </si>
  <si>
    <t>2019-12-09T15:56:22.014+05:30</t>
  </si>
  <si>
    <t>2019-07-23T15:00:00.000-07:00</t>
  </si>
  <si>
    <t>2019-12-09T11:43:00.000+05:30</t>
  </si>
  <si>
    <t>RED COLONY (100ml=1)</t>
  </si>
  <si>
    <t>22.5534439 88.3856869 -92.5999984741211 4.5</t>
  </si>
  <si>
    <t>c6a7eb75-441e-43fa-8dea-7c5d55ea2525</t>
  </si>
  <si>
    <t>2019-07-25T06:25:05</t>
  </si>
  <si>
    <t>2019-07-25T11:58:26.000-07:00</t>
  </si>
  <si>
    <t>2019-07-23T15:30:00.000-07:00</t>
  </si>
  <si>
    <t>Sample collected by Biplab Jash, FB at PLc1118 site</t>
  </si>
  <si>
    <t>RED COLONY(100mL=0)</t>
  </si>
  <si>
    <t>779adcb1-586b-4567-96db-ed1622904c98</t>
  </si>
  <si>
    <t>2019-12-09T10:27:15</t>
  </si>
  <si>
    <t>f309e4e8-bbc4-485e-8e0e-deff78525fed</t>
  </si>
  <si>
    <t>2019-07-25T06:28:55</t>
  </si>
  <si>
    <t>2019-12-09T12:18:02.809+05:30</t>
  </si>
  <si>
    <t>2019-12-09T15:56:50.245+05:30</t>
  </si>
  <si>
    <t>2019-07-26T11:22:12.000-07:00</t>
  </si>
  <si>
    <t>2019-07-26T11:30:07.000-07:00</t>
  </si>
  <si>
    <t>2019-07-24T14:15:00.000-07:00</t>
  </si>
  <si>
    <t>2019-07-24T15:00:00.000-07:00</t>
  </si>
  <si>
    <t>2019-07-25T16:30:00.000-07:00</t>
  </si>
  <si>
    <t>2019-12-09T12:20:00.000+05:30</t>
  </si>
  <si>
    <t>22.541095 88.3743291 -65.0999984741211 5.0</t>
  </si>
  <si>
    <t>SAMPLE TYPE -PINEAPPLE,BLUE COLONY(10^2=0), RED COLONY(10ml=73,1mL=5,10^1=4,10^2=0)</t>
  </si>
  <si>
    <t>9d63b4cb-e1ea-4740-b78b-54d4d654a46b</t>
  </si>
  <si>
    <t>2019-07-26T06:00:36</t>
  </si>
  <si>
    <t>2019-07-26T11:30:08.000-07:00</t>
  </si>
  <si>
    <t>2019-07-26T11:39:15.000-07:00</t>
  </si>
  <si>
    <t>2019-07-24T16:40:00.000-07:00</t>
  </si>
  <si>
    <t>2019-07-24T17:00:00.000-07:00</t>
  </si>
  <si>
    <t>2019-07-24T17:40:00.000-07:00</t>
  </si>
  <si>
    <t>2019-07-25T17:40:00.000-07:00</t>
  </si>
  <si>
    <t>10544bc6-e342-47c8-846b-523acdc4e290</t>
  </si>
  <si>
    <t>2019-12-09T10:27:17</t>
  </si>
  <si>
    <t>SAMPLE TYPE- PANIPURI,BLUE COLONY (1ml=SMASHED,10^2=1),RED COLONY(10ml=TNTC,1ml=52,10^1=38,10^2=3)</t>
  </si>
  <si>
    <t>2019-12-09T12:27:49.018+05:30</t>
  </si>
  <si>
    <t>2019-12-09T15:56:27.506+05:30</t>
  </si>
  <si>
    <t>5e79ae74-e1ef-4998-9af0-bf5cabda9750</t>
  </si>
  <si>
    <t>2019-07-26T06:09:44</t>
  </si>
  <si>
    <t>2019-07-26T11:45:36.000-07:00</t>
  </si>
  <si>
    <t>2019-07-24T14:18:00.000-07:00</t>
  </si>
  <si>
    <t>2019-12-09T12:28:00.000+05:30</t>
  </si>
  <si>
    <t>2019-07-24T15:15:00.000-07:00</t>
  </si>
  <si>
    <t>22.541127 88.3741885 -62.400001525878906 5.0</t>
  </si>
  <si>
    <t>BLUE COLONY(10^6=0) RED COLONY(10^3=84,10^4=9,10^5=1,10^6=1)</t>
  </si>
  <si>
    <t>902d1676-b75b-465a-94e2-c7be820941a6</t>
  </si>
  <si>
    <t>2019-07-26T06:16:04</t>
  </si>
  <si>
    <t>2019-07-26T11:48:44.000-07:00</t>
  </si>
  <si>
    <t>2019-07-24T14:20:00.000-07:00</t>
  </si>
  <si>
    <t>669070f8-e42f-41ee-ab79-0184b7b3c181</t>
  </si>
  <si>
    <t>2019-12-09T10:27:19</t>
  </si>
  <si>
    <t>2019-12-09T12:36:42.995+05:30</t>
  </si>
  <si>
    <t>2019-12-09T15:56:56.369+05:30</t>
  </si>
  <si>
    <t>192abb9c-2bda-4c71-b811-1763639f9524</t>
  </si>
  <si>
    <t>2019-07-26T06:19:13</t>
  </si>
  <si>
    <t>2019-07-26T11:51:57.000-07:00</t>
  </si>
  <si>
    <t>2019-12-09T12:38:00.000+05:30</t>
  </si>
  <si>
    <t>22.5418196 88.3749114 -36.900001525878906 5.0</t>
  </si>
  <si>
    <t>RED COLONY-(100mL=0)</t>
  </si>
  <si>
    <t>c46d82c0-e564-4e97-9d18-bcc03045523f</t>
  </si>
  <si>
    <t>2019-07-26T06:22:26</t>
  </si>
  <si>
    <t>2019-07-31T10:18:25.000-07:00</t>
  </si>
  <si>
    <t>enketo.sanipath.org:9yr8NLdMlTOnfPL5</t>
  </si>
  <si>
    <t>2019-07-31T10:32:23.000-07:00</t>
  </si>
  <si>
    <t>2019-07-29T13:20:00.000-07:00</t>
  </si>
  <si>
    <t>6df873e5-2129-4f50-8fab-a2aeb7bf2102</t>
  </si>
  <si>
    <t>2019-07-29T14:30:00.000-07:00</t>
  </si>
  <si>
    <t>2019-07-29T16:00:00.000-07:00</t>
  </si>
  <si>
    <t>2019-12-09T10:27:22</t>
  </si>
  <si>
    <t>2019-07-30T16:00:00.000-07:00</t>
  </si>
  <si>
    <t>2019-12-09T12:42:48.206+05:30</t>
  </si>
  <si>
    <t>2019-12-09T15:56:33.337+05:30</t>
  </si>
  <si>
    <t>sample type- tometo, blue colony(1ml=4 with smashed,10^1=3 with smashed), red colony(10ml=TDTC, 1ml=TNTC,10^1=104)</t>
  </si>
  <si>
    <t>56e960ca-3ec8-4719-ba25-3572d2e4ebb8</t>
  </si>
  <si>
    <t>2019-07-31T05:02:53</t>
  </si>
  <si>
    <t>2019-12-09T12:43:00.000+05:30</t>
  </si>
  <si>
    <t>22.5417155 88.374669 -80.30000305175781 5.0</t>
  </si>
  <si>
    <t>2019-07-31T10:32:24.000-07:00</t>
  </si>
  <si>
    <t>2019-07-31T10:42:11.000-07:00</t>
  </si>
  <si>
    <t>sample type-coriender leaves, blue colony(10^1=8 with smashed),red colony(10ml=TDTC,1ml=TDTC,10^1=TNTC)</t>
  </si>
  <si>
    <t>bcc98394-c9a7-4a31-8ef6-a220054a7c68</t>
  </si>
  <si>
    <t>2a2b8ce4-1e11-4bc3-802f-c7ee3da78005</t>
  </si>
  <si>
    <t>2019-07-31T05:12:41</t>
  </si>
  <si>
    <t>2019-12-09T10:27:25</t>
  </si>
  <si>
    <t>2019-12-09T12:58:00.706+05:30</t>
  </si>
  <si>
    <t>2019-12-09T15:57:01.833+05:30</t>
  </si>
  <si>
    <t>2019-07-31T10:50:46.000-07:00</t>
  </si>
  <si>
    <t>2019-12-09T12:59:00.000+05:30</t>
  </si>
  <si>
    <t>22.5407257 88.3762608 -51.900001525878906 5.0</t>
  </si>
  <si>
    <t>sample type-1 pec cucumber, blue colony(10^1=4 with smashed) red colony(10ml=TDTC,1ml=TNTC,10^1=232)</t>
  </si>
  <si>
    <t>f7172d1a-04d2-4ae2-bdbd-949858f6bc37</t>
  </si>
  <si>
    <t>2019-07-31T05:21:16</t>
  </si>
  <si>
    <t>2019-07-31T10:56:50.000-07:00</t>
  </si>
  <si>
    <t>2019-07-29T15:00:00.000-07:00</t>
  </si>
  <si>
    <t>5282b2c6-5dda-4b94-95ea-36a05b61c5bb</t>
  </si>
  <si>
    <t>2019-12-09T10:27:28</t>
  </si>
  <si>
    <t>2019-12-09T13:07:25.700+05:30</t>
  </si>
  <si>
    <t>BLUE COLONY(10^6=0),RED COLONY(10^3=64,10^4=8,10^5=1,10^6=0)</t>
  </si>
  <si>
    <t>2019-12-09T15:56:38.414+05:30</t>
  </si>
  <si>
    <t>e3867c1f-06bd-4e6f-a672-14df8ebce381</t>
  </si>
  <si>
    <t>2019-07-31T05:27:20</t>
  </si>
  <si>
    <t>2019-07-31T10:56:51.000-07:00</t>
  </si>
  <si>
    <t>2019-07-31T11:02:07.000-07:00</t>
  </si>
  <si>
    <t>2019-12-09T13:09:00.000+05:30</t>
  </si>
  <si>
    <t>22.5406896 88.3762099 -44.599998474121094 5.0</t>
  </si>
  <si>
    <t>RED COLONY (100ml=TNTC)</t>
  </si>
  <si>
    <t>b8ced3e0-d3f7-4fd0-ae19-3f54a4a63d86</t>
  </si>
  <si>
    <t>2019-07-31T05:32:37</t>
  </si>
  <si>
    <t>2019-07-31T11:05:05.000-07:00</t>
  </si>
  <si>
    <t>Sample collected by Debabrata Maity, FB At PLc1121 site</t>
  </si>
  <si>
    <t>814645d6-a1a5-45c6-98c3-8e3f95c4a6d6</t>
  </si>
  <si>
    <t>2019-12-09T10:27:30</t>
  </si>
  <si>
    <t>2019-12-10T10:39:54.839+05:30</t>
  </si>
  <si>
    <t>2019-12-10T13:09:29.343+05:30</t>
  </si>
  <si>
    <t>RED COLONY(100ml=0)</t>
  </si>
  <si>
    <t>938565a7-6f18-493b-89d0-f919add7b617</t>
  </si>
  <si>
    <t>2019-07-31T05:35:35</t>
  </si>
  <si>
    <t>2019-12-10T10:40:00.000+05:30</t>
  </si>
  <si>
    <t>2019-08-01T11:57:45.000-07:00</t>
  </si>
  <si>
    <t>22.554252 88.3966414 -54.599998474121094 5.0</t>
  </si>
  <si>
    <t>2019-08-01T12:01:13.000-07:00</t>
  </si>
  <si>
    <t>2019-07-30T14:00:00.000-07:00</t>
  </si>
  <si>
    <t>2019-07-30T15:00:00.000-07:00</t>
  </si>
  <si>
    <t>2019-07-30T15:15:00.000-07:00</t>
  </si>
  <si>
    <t>2019-07-31T15:15:00.000-07:00</t>
  </si>
  <si>
    <t>RED COLONY(100ml=61)</t>
  </si>
  <si>
    <t>d2f2765b-d700-4558-bf6c-2c4262de65e7</t>
  </si>
  <si>
    <t>2019-08-01T06:31:42</t>
  </si>
  <si>
    <t>5808e4c9-1484-428e-8186-d03f4b8c677f</t>
  </si>
  <si>
    <t>2019-12-10T07:39:21</t>
  </si>
  <si>
    <t>2019-08-01T12:06:03.000-07:00</t>
  </si>
  <si>
    <t>2019-12-10T10:49:23.437+05:30</t>
  </si>
  <si>
    <t>2019-12-10T13:09:18.068+05:30</t>
  </si>
  <si>
    <t>2019-12-10T10:50:00.000+05:30</t>
  </si>
  <si>
    <t>22.5542791 88.3966909 -59.099998474121094 5.0</t>
  </si>
  <si>
    <t>SITE-(DHAPA DHIPI RAJARGHAT ,NATUNPARA),RED COLONY(100ml=7)</t>
  </si>
  <si>
    <t>debf66d5-a246-442f-961a-7da38cf0a169</t>
  </si>
  <si>
    <t>2019-08-01T06:36:33</t>
  </si>
  <si>
    <t>2019-08-01T12:06:04.000-07:00</t>
  </si>
  <si>
    <t>2019-08-01T12:09:05.000-07:00</t>
  </si>
  <si>
    <t>2019-07-30T16:25:00.000-07:00</t>
  </si>
  <si>
    <t>2019-07-31T16:25:00.000-07:00</t>
  </si>
  <si>
    <t>90fcb3a6-5bc1-4454-9c6f-cda981135eda</t>
  </si>
  <si>
    <t>2019-12-10T07:39:23</t>
  </si>
  <si>
    <t>2019-12-10T11:47:28.034+05:30</t>
  </si>
  <si>
    <t>2019-12-10T13:09:34.376+05:30</t>
  </si>
  <si>
    <t>22734de6-71de-4e73-9958-6fcb935dfe32</t>
  </si>
  <si>
    <t>2019-08-01T06:39:35</t>
  </si>
  <si>
    <t>2019-08-01T12:12:05.000-07:00</t>
  </si>
  <si>
    <t>2019-07-30T15:18:00.000-07:00</t>
  </si>
  <si>
    <t>2019-12-10T11:48:00.000+05:30</t>
  </si>
  <si>
    <t>2019-07-30T16:35:00.000-07:00</t>
  </si>
  <si>
    <t>2019-07-31T16:35:00.000-07:00</t>
  </si>
  <si>
    <t>22.5637064 88.3772561 -47.400001525878906 5.0</t>
  </si>
  <si>
    <t>c7050ba2-87ca-4538-9e3e-8faef2e3bd0e</t>
  </si>
  <si>
    <t>2019-08-01T06:42:35</t>
  </si>
  <si>
    <t>2019-08-01T12:14:22.000-07:00</t>
  </si>
  <si>
    <t>925fe9b4-35c5-4428-b2f0-c6489921a2da</t>
  </si>
  <si>
    <t>2019-12-10T07:39:26</t>
  </si>
  <si>
    <t>2019-12-10T12:01:13.615+05:30</t>
  </si>
  <si>
    <t>RED COLONY (100ml=0)</t>
  </si>
  <si>
    <t>2019-12-10T13:09:24.241+05:30</t>
  </si>
  <si>
    <t>036d327e-e644-4f79-ac06-ee2dd6544153</t>
  </si>
  <si>
    <t>2019-08-01T06:44:52</t>
  </si>
  <si>
    <t>2019-08-02T13:21:26.000-07:00</t>
  </si>
  <si>
    <t>2019-08-02T13:29:18.000-07:00</t>
  </si>
  <si>
    <t>2019-07-31T14:45:00.000-07:00</t>
  </si>
  <si>
    <t>2019-07-31T15:10:00.000-07:00</t>
  </si>
  <si>
    <t>2019-07-31T17:00:00.000-07:00</t>
  </si>
  <si>
    <t>2019-12-10T12:02:00.000+05:30</t>
  </si>
  <si>
    <t>2019-08-01T17:00:00.000-07:00</t>
  </si>
  <si>
    <t>22.5637361 88.3772806 -36.900001525878906 5.0</t>
  </si>
  <si>
    <t>RED COLONY(1ml=TDTC,10^1=TDTC,10^2=132)</t>
  </si>
  <si>
    <t>29d57919-d8c6-4372-b023-3bb06297cd3a</t>
  </si>
  <si>
    <t>2019-08-02T07:59:49</t>
  </si>
  <si>
    <t>2019-08-02T13:35:59.000-07:00</t>
  </si>
  <si>
    <t>dbcb2feb-4ac5-4215-9d85-4b307ab3c90a</t>
  </si>
  <si>
    <t>2019-12-10T07:39:28</t>
  </si>
  <si>
    <t>2019-12-10T10:32:01.601+05:30</t>
  </si>
  <si>
    <t>2019-12-10T13:11:10.954+05:30</t>
  </si>
  <si>
    <t>RED COLONY (1ml=TNTC,10^1=210,10^2=38)</t>
  </si>
  <si>
    <t>6c901bb0-9f36-40d2-94bb-27f8f6a8ae0e</t>
  </si>
  <si>
    <t>2019-08-02T08:06:30</t>
  </si>
  <si>
    <t>2019-08-02T13:39:10.000-07:00</t>
  </si>
  <si>
    <t>2019-12-10T10:32:00.000+05:30</t>
  </si>
  <si>
    <t>22.5400648 88.3766173 -24.100000381469727 5.0</t>
  </si>
  <si>
    <t>2019-07-31T14:50:00.000-07:00</t>
  </si>
  <si>
    <t>2019-07-31T15:00:00.000-07:00</t>
  </si>
  <si>
    <t>2019-08-01T15:15:00.000-07:00</t>
  </si>
  <si>
    <t>RED COLONY (100ml=TDTC)</t>
  </si>
  <si>
    <t>6cb42d59-ef9f-4e8d-9457-740991f2c822</t>
  </si>
  <si>
    <t>2019-08-02T08:09:41</t>
  </si>
  <si>
    <t>2019-08-02T13:44:03.000-07:00</t>
  </si>
  <si>
    <t>2019-07-31T15:40:00.000-07:00</t>
  </si>
  <si>
    <t>2019-08-01T15:40:00.000-07:00</t>
  </si>
  <si>
    <t>d2a4804a-c286-4a19-b708-f8dde010ec58</t>
  </si>
  <si>
    <t>2019-12-10T07:42:49</t>
  </si>
  <si>
    <t>2019-12-10T10:40:22.134+05:30</t>
  </si>
  <si>
    <t>2019-12-10T13:10:47.579+05:30</t>
  </si>
  <si>
    <t>BLUE COLONY(10^6=0) RED COLONY(10^3=12,10^4=1,10^5=2,10^6=0)</t>
  </si>
  <si>
    <t>85e69b3b-54f9-4d19-b992-99d2e1d7b2f4</t>
  </si>
  <si>
    <t>2019-08-02T08:14:34</t>
  </si>
  <si>
    <t>2019-08-02T13:47:04.000-07:00</t>
  </si>
  <si>
    <t>22.5401362 88.376595 -35.099998474121094 5.5</t>
  </si>
  <si>
    <t>2019-07-31T15:20:00.000-07:00</t>
  </si>
  <si>
    <t>2019-08-01T15:20:00.000-07:00</t>
  </si>
  <si>
    <t>ef69bb5f-3f29-4686-a2a0-9c9db5e872c5</t>
  </si>
  <si>
    <t>Sample collected by Suvankar Mandal, FB at PLc1122 site</t>
  </si>
  <si>
    <t>2019-08-02T08:17:35</t>
  </si>
  <si>
    <t>2019-08-05T11:09:43.000-07:00</t>
  </si>
  <si>
    <t>92f97544-552d-4d6b-9962-d810e21146dd</t>
  </si>
  <si>
    <t>enketo.sanipath.org:nPUhU2YnbXYFLT0k</t>
  </si>
  <si>
    <t>2019-12-10T07:43:06</t>
  </si>
  <si>
    <t>2019-08-05T11:15:08.000-07:00</t>
  </si>
  <si>
    <t>2019-12-10T10:55:39.145+05:30</t>
  </si>
  <si>
    <t>2019-12-10T13:11:16.458+05:30</t>
  </si>
  <si>
    <t>2019-08-01T13:30:00.000-07:00</t>
  </si>
  <si>
    <t>2019-08-01T14:30:00.000-07:00</t>
  </si>
  <si>
    <t>2019-08-01T15:00:00.000-07:00</t>
  </si>
  <si>
    <t>2019-08-02T15:00:00.000-07:00</t>
  </si>
  <si>
    <t>K20285, K20286</t>
  </si>
  <si>
    <t>2019-12-10T10:56:00.000+05:30</t>
  </si>
  <si>
    <t>22.540449 88.3752663 -75.5999984741211 5.0</t>
  </si>
  <si>
    <t>CHINGRIGHATA DRAINAGE PUMPING STATION</t>
  </si>
  <si>
    <t>3e0b9916-82b7-4fd3-aec7-514db9575554</t>
  </si>
  <si>
    <t>2019-08-05T05:45:38</t>
  </si>
  <si>
    <t>2019-08-05T11:18:02.000-07:00</t>
  </si>
  <si>
    <t>7548981f-b3e3-444b-8ff0-4fa6c0e48cbf</t>
  </si>
  <si>
    <t>2019-12-10T07:43:19</t>
  </si>
  <si>
    <t>2019-12-10T11:02:44.840+05:30</t>
  </si>
  <si>
    <t>2019-12-10T13:10:54.218+05:30</t>
  </si>
  <si>
    <t>7ce0ed5f-6c24-44ed-86b7-4dca028e6396</t>
  </si>
  <si>
    <t>2019-08-05T05:48:32</t>
  </si>
  <si>
    <t>2019-08-08T11:51:06.000-07:00</t>
  </si>
  <si>
    <t>2019-08-08T11:57:01.000-07:00</t>
  </si>
  <si>
    <t>2019-12-10T11:03:00.000+05:30</t>
  </si>
  <si>
    <t>22.5404074 88.3751712 -54.400001525878906 5.0</t>
  </si>
  <si>
    <t>2019-08-05T11:40:00.000-07:00</t>
  </si>
  <si>
    <t>2019-08-05T12:10:00.000-07:00</t>
  </si>
  <si>
    <t>2019-08-05T15:15:00.000-07:00</t>
  </si>
  <si>
    <t>2019-08-06T15:15:00.000-07:00</t>
  </si>
  <si>
    <t>Sample collected by Asish Saha, FB at PLc1123 site</t>
  </si>
  <si>
    <t>d2615062-bb21-40d0-b4fd-372ca2716af3</t>
  </si>
  <si>
    <t>2019-12-10T07:44:11</t>
  </si>
  <si>
    <t>RED COLONY (1ml=TDTC,10^1=TDTC,10^2=TDTC)</t>
  </si>
  <si>
    <t>2019-12-10T11:15:01.473+05:30</t>
  </si>
  <si>
    <t>2019-12-10T13:11:22.915+05:30</t>
  </si>
  <si>
    <t>87b6d65c-e979-4258-b8a6-659286651d3b</t>
  </si>
  <si>
    <t>2019-08-08T06:27:31</t>
  </si>
  <si>
    <t>K22207</t>
  </si>
  <si>
    <t>2019-08-08T12:02:50.000-07:00</t>
  </si>
  <si>
    <t>2019-12-10T11:15:00.000+05:30</t>
  </si>
  <si>
    <t>22.5415074 88.3753299 -59.29999923706055 5.0</t>
  </si>
  <si>
    <t>2019-08-05T14:30:00.000-07:00</t>
  </si>
  <si>
    <t>2019-08-05T15:25:00.000-07:00</t>
  </si>
  <si>
    <t>2019-08-05T16:20:00.000-07:00</t>
  </si>
  <si>
    <t>2019-08-06T16:20:00.000-07:00</t>
  </si>
  <si>
    <t>BLUE COLONY(10^6=0) RED COLONY(10^3=58,10^4=3,10^5=0,10^6=0)</t>
  </si>
  <si>
    <t>660b07c6-fe3a-4675-b653-eb3ea1c4d0ac</t>
  </si>
  <si>
    <t>2019-12-10T07:44:33</t>
  </si>
  <si>
    <t>bdf90102-a576-45f3-ad73-fd0b0d9bba4c</t>
  </si>
  <si>
    <t>2019-08-08T06:33:21</t>
  </si>
  <si>
    <t>2019-12-10T11:20:41.302+05:30</t>
  </si>
  <si>
    <t>2019-12-10T13:10:59.426+05:30</t>
  </si>
  <si>
    <t>2019-08-08T12:02:51.000-07:00</t>
  </si>
  <si>
    <t>2019-08-08T12:09:01.000-07:00</t>
  </si>
  <si>
    <t>2019-12-10T11:21:00.000+05:30</t>
  </si>
  <si>
    <t>22.5414264 88.3753127 -44.0 5.0</t>
  </si>
  <si>
    <t>2019-08-05T15:00:00.000-07:00</t>
  </si>
  <si>
    <t>DHAPA DHIPI ,RAJARGHAT, ( WITH PL1017) REDCOLONY(100ml=0)</t>
  </si>
  <si>
    <t>Sample collected by Somnath Sarkar, FB at PLc1124 site</t>
  </si>
  <si>
    <t>9742be07-1958-4b17-8f65-1461c74f4004</t>
  </si>
  <si>
    <t>2019-08-08T06:39:32</t>
  </si>
  <si>
    <t>a1e643fc-1b89-4698-aac2-5d80b5a1be3d</t>
  </si>
  <si>
    <t>2019-08-08T12:09:02.000-07:00</t>
  </si>
  <si>
    <t>2019-12-10T07:44:46</t>
  </si>
  <si>
    <t>2019-12-10T11:41:57.496+05:30</t>
  </si>
  <si>
    <t>2019-12-10T13:11:28.047+05:30</t>
  </si>
  <si>
    <t>2019-08-08T12:14:18.000-07:00</t>
  </si>
  <si>
    <t>2019-08-05T14:32:00.000-07:00</t>
  </si>
  <si>
    <t>2019-08-05T15:18:00.000-07:00</t>
  </si>
  <si>
    <t>2019-08-05T16:00:00.000-07:00</t>
  </si>
  <si>
    <t>2019-08-06T16:00:00.000-07:00</t>
  </si>
  <si>
    <t>2019-12-10T11:43:00.000+05:30</t>
  </si>
  <si>
    <t>22.5452041 88.3834546 -19.399999618530273 4.5</t>
  </si>
  <si>
    <t>RED COLONY(10ml=TDTC,1mL=TDTC )</t>
  </si>
  <si>
    <t>98320793-5d46-4609-902a-16069a0c6fe4</t>
  </si>
  <si>
    <t>2019-08-08T06:44:49</t>
  </si>
  <si>
    <t>2019-08-08T12:14:19.000-07:00</t>
  </si>
  <si>
    <t>2019-08-08T12:28:27.000-07:00</t>
  </si>
  <si>
    <t>c0dde781-c523-4ae1-99b7-2437de603e52</t>
  </si>
  <si>
    <t>2019-12-10T07:44:59</t>
  </si>
  <si>
    <t>2019-12-10T11:50:46.294+05:30</t>
  </si>
  <si>
    <t>2019-12-10T13:11:04.807+05:30</t>
  </si>
  <si>
    <t>2019-08-05T15:05:00.000-07:00</t>
  </si>
  <si>
    <t>2019-08-05T15:17:00.000-07:00</t>
  </si>
  <si>
    <t>2019-08-06T15:17:00.000-07:00</t>
  </si>
  <si>
    <t>2019-12-10T11:51:00.000+05:30</t>
  </si>
  <si>
    <t>22.5452053 88.3834411 -42.5 5.0</t>
  </si>
  <si>
    <t>DHAPA DHIPI (MARKET) RAJARGHAT,(WITH SW1007),RED COLONY(100ml=1)</t>
  </si>
  <si>
    <t>90668ea4-0f95-4fec-9438-94e95e16e96d</t>
  </si>
  <si>
    <t>2019-08-08T06:58:58</t>
  </si>
  <si>
    <t>2019-08-08T12:28:28.000-07:00</t>
  </si>
  <si>
    <t>2019-08-08T12:30:54.000-07:00</t>
  </si>
  <si>
    <t>Sample collected by Asish Saha, FB at PLc1125 site</t>
  </si>
  <si>
    <t>c7dec7e7-5a27-4d13-9b83-76a22ad40f6a</t>
  </si>
  <si>
    <t>2019-12-10T07:45:24</t>
  </si>
  <si>
    <t>2019-12-12T11:16:51.968+05:30</t>
  </si>
  <si>
    <t>2019-12-12T15:55:06.625+05:30</t>
  </si>
  <si>
    <t>2019-12-12T11:18:00.000+05:30</t>
  </si>
  <si>
    <t>22.5535192 88.3856621 -28.200000762939453 5.0</t>
  </si>
  <si>
    <t>f7e83c5a-6a02-4f86-b78d-454040ea62d9</t>
  </si>
  <si>
    <t>2019-08-08T07:01:25</t>
  </si>
  <si>
    <t>2019-08-08T12:35:08.000-07:00</t>
  </si>
  <si>
    <t>2019-08-06T14:21:00.000-07:00</t>
  </si>
  <si>
    <t>2019-08-06T15:10:00.000-07:00</t>
  </si>
  <si>
    <t>2019-08-06T15:25:00.000-07:00</t>
  </si>
  <si>
    <t>2019-08-07T15:25:00.000-07:00</t>
  </si>
  <si>
    <t>c9646381-8091-4851-be5b-42e9e084b65b</t>
  </si>
  <si>
    <t>2019-12-12T10:25:49</t>
  </si>
  <si>
    <t>2019-12-12T11:23:01.261+05:30</t>
  </si>
  <si>
    <t>2019-12-12T15:55:44.312+05:30</t>
  </si>
  <si>
    <t>AMBEDKAR DRAINAGE PUMPING STATION, RED COLONY(100ml=0)</t>
  </si>
  <si>
    <t>a55c2532-ccb8-4807-8dba-d11ce99e1f21</t>
  </si>
  <si>
    <t>2019-12-12T11:23:00.000+05:30</t>
  </si>
  <si>
    <t>22.5535275 88.3856991 -36.20000076293945 5.0</t>
  </si>
  <si>
    <t>2019-08-08T07:05:39</t>
  </si>
  <si>
    <t>2019-08-08T12:40:46.000-07:00</t>
  </si>
  <si>
    <t>Sample collected by Suvankar Mandal, FB at PLc1126</t>
  </si>
  <si>
    <t>2019-08-06T14:25:00.000-07:00</t>
  </si>
  <si>
    <t>2019-08-06T15:40:00.000-07:00</t>
  </si>
  <si>
    <t>2019-08-06T16:48:00.000-07:00</t>
  </si>
  <si>
    <t>2019-08-07T16:48:00.000-07:00</t>
  </si>
  <si>
    <t>b27f4191-bfea-445f-b770-7528cabe7cef</t>
  </si>
  <si>
    <t>2019-12-12T10:25:51</t>
  </si>
  <si>
    <t>2019-12-12T11:53:54.301+05:30</t>
  </si>
  <si>
    <t>2019-12-12T15:55:11.649+05:30</t>
  </si>
  <si>
    <t>RED COLONY(1ml=TDTC,10^1=TDTC,10^2=TDTC )</t>
  </si>
  <si>
    <t>2019-12-12T11:54:00.000+05:30</t>
  </si>
  <si>
    <t>22.5407345 88.3765387 -28.399999618530273 5.0</t>
  </si>
  <si>
    <t>76a99daa-ca49-4832-8e59-a475e01f0cf4</t>
  </si>
  <si>
    <t>2019-08-08T07:11:16</t>
  </si>
  <si>
    <t>2019-08-08T12:46:13.000-07:00</t>
  </si>
  <si>
    <t>2019-08-06T15:45:00.000-07:00</t>
  </si>
  <si>
    <t>2019-08-06T17:25:00.000-07:00</t>
  </si>
  <si>
    <t>2019-08-07T17:25:00.000-07:00</t>
  </si>
  <si>
    <t>14c99187-b20c-465f-beb7-293346f8f2f5</t>
  </si>
  <si>
    <t>2019-12-12T10:25:53</t>
  </si>
  <si>
    <t>2019-12-12T12:00:21.242+05:30</t>
  </si>
  <si>
    <t>2019-12-12T15:54:43.575+05:30</t>
  </si>
  <si>
    <t>RED COLONY(10^3=TDTC,10^4=162</t>
  </si>
  <si>
    <t>2019-12-12T12:00:00.000+05:30</t>
  </si>
  <si>
    <t>22.5407806 88.3763234 -48.20000076293945 5.0</t>
  </si>
  <si>
    <t>552f632e-018a-4ebf-8b4c-477f6fadcf21</t>
  </si>
  <si>
    <t>2019-08-08T07:16:44</t>
  </si>
  <si>
    <t>2019-08-08T12:46:14.000-07:00</t>
  </si>
  <si>
    <t>2019-08-08T12:54:27.000-07:00</t>
  </si>
  <si>
    <t>Sample collected by Somnath Sarkar, FB at PLc1127</t>
  </si>
  <si>
    <t>2019-08-06T15:47:00.000-07:00</t>
  </si>
  <si>
    <t>2019-08-06T17:00:00.000-07:00</t>
  </si>
  <si>
    <t>2019-08-07T17:00:00.000-07:00</t>
  </si>
  <si>
    <t>36b93c5d-9a4d-4bd4-8c39-74d7da4691a3</t>
  </si>
  <si>
    <t>2019-12-12T10:25:54</t>
  </si>
  <si>
    <t>2019-12-12T12:10:11.733+05:30</t>
  </si>
  <si>
    <t>2019-12-12T15:55:17.986+05:30</t>
  </si>
  <si>
    <t>K22345</t>
  </si>
  <si>
    <t>RED COLONY(10^3=TDTC,10^4=84</t>
  </si>
  <si>
    <t>2019-12-12T12:10:00.000+05:30</t>
  </si>
  <si>
    <t>22.5409488 88.3758426 -41.900001525878906 5.0</t>
  </si>
  <si>
    <t>d0983726-2fd2-484f-8267-d49db072bb7f</t>
  </si>
  <si>
    <t>2019-08-08T07:24:58</t>
  </si>
  <si>
    <t>2019-08-08T12:58:17.000-07:00</t>
  </si>
  <si>
    <t>2019-08-06T15:12:00.000-07:00</t>
  </si>
  <si>
    <t>b417adde-842e-490d-9b4e-2dabf8783eb2</t>
  </si>
  <si>
    <t>2019-12-12T10:25:56</t>
  </si>
  <si>
    <t>2019-12-12T12:16:07.085+05:30</t>
  </si>
  <si>
    <t>2019-12-12T15:54:49.866+05:30</t>
  </si>
  <si>
    <t>DHAPA DHIPI RAJARGHAT NATUNPARA, RED COLONY(100ml=0)</t>
  </si>
  <si>
    <t>93106858-9225-41b8-b7d7-038a27d2b283</t>
  </si>
  <si>
    <t>2019-08-08T07:28:48</t>
  </si>
  <si>
    <t>2019-12-12T12:16:00.000+05:30</t>
  </si>
  <si>
    <t>2019-08-08T12:58:18.000-07:00</t>
  </si>
  <si>
    <t>22.5410094 88.3757645 -40.599998474121094 5.0</t>
  </si>
  <si>
    <t>2019-08-08T13:01:42.000-07:00</t>
  </si>
  <si>
    <t>2019-08-06T15:00:00.000-07:00</t>
  </si>
  <si>
    <t>2019-08-07T15:15:00.000-07:00</t>
  </si>
  <si>
    <t>Sample collected by Somnath Sarkar ,FB at PLc1128</t>
  </si>
  <si>
    <t>8f0a2d99-b58e-458d-8b14-5766820fdddc</t>
  </si>
  <si>
    <t>555d8668-8f65-4246-8d07-6703b8563c31</t>
  </si>
  <si>
    <t>2019-08-08T07:32:13</t>
  </si>
  <si>
    <t>2019-12-12T10:25:58</t>
  </si>
  <si>
    <t>2019-08-09T01:57:36.000+06:30</t>
  </si>
  <si>
    <t>2019-12-12T12:24:35.907+05:30</t>
  </si>
  <si>
    <t>2019-12-12T15:55:23.686+05:30</t>
  </si>
  <si>
    <t>enketo.sanipath.org:HXEPOfgufaBx6rX4</t>
  </si>
  <si>
    <t>2019-08-09T02:02:26.000+06:30</t>
  </si>
  <si>
    <t>2019-08-07T15:40:00.000+06:30</t>
  </si>
  <si>
    <t>2019-08-07T16:10:00.000+06:30</t>
  </si>
  <si>
    <t>2019-08-07T17:16:00.000+06:30</t>
  </si>
  <si>
    <t>2019-12-12T12:25:00.000+05:30</t>
  </si>
  <si>
    <t>2019-08-08T17:16:00.000+06:30</t>
  </si>
  <si>
    <t>22.54184 88.3748227 -48.5 5.0</t>
  </si>
  <si>
    <t>BLUE COLONY(10^6=0),RED COLONY(10^3=3,10^4=0,10^5=1,10^6=0)</t>
  </si>
  <si>
    <t>986c010e-444a-4d50-af69-23c7a53057b0</t>
  </si>
  <si>
    <t>2019-08-09T08:30:29</t>
  </si>
  <si>
    <t>2019-08-09T02:07:05.000+06:30</t>
  </si>
  <si>
    <t>5bb66632-b434-4f9f-b191-c534a088a36d</t>
  </si>
  <si>
    <t>2019-12-12T10:26:01</t>
  </si>
  <si>
    <t>2019-08-07T15:55:00.000+06:30</t>
  </si>
  <si>
    <t>2019-08-07T16:05:00.000+06:30</t>
  </si>
  <si>
    <t>2019-12-12T12:29:37.339+05:30</t>
  </si>
  <si>
    <t>2019-08-08T16:05:00.000+06:30</t>
  </si>
  <si>
    <t>2019-12-12T15:54:55.645+05:30</t>
  </si>
  <si>
    <t>RED COLONY(100ml=2)</t>
  </si>
  <si>
    <t>2019-12-12T12:30:00.000+05:30</t>
  </si>
  <si>
    <t>22.5417312 88.3747122 -89.5999984741211 5.0</t>
  </si>
  <si>
    <t>25d3f0e6-d767-4b1c-a75b-ea240ffc26f9</t>
  </si>
  <si>
    <t>2019-08-09T08:35:07</t>
  </si>
  <si>
    <t>2019-08-09T02:12:46.000+06:30</t>
  </si>
  <si>
    <t>2019-08-07T15:42:00.000+06:30</t>
  </si>
  <si>
    <t>2019-08-07T16:18:00.000+06:30</t>
  </si>
  <si>
    <t>2019-08-07T17:20:00.000+06:30</t>
  </si>
  <si>
    <t>2019-08-08T17:20:00.000+06:30</t>
  </si>
  <si>
    <t>RED COLONY(1ml=TDTC,10^1=TDTC,10^2=TNTC)</t>
  </si>
  <si>
    <t>Sample collected by Debabrata Maity, FB at PLc1129</t>
  </si>
  <si>
    <t>4dea8f39-dc43-4099-8965-65f3e2d83cd5</t>
  </si>
  <si>
    <t>2019-08-09T08:40:49</t>
  </si>
  <si>
    <t>8d055a00-1fc6-4d59-8153-89f1a35a81cb</t>
  </si>
  <si>
    <t>2019-12-12T10:26:03</t>
  </si>
  <si>
    <t>2019-08-09T02:15:53.000+06:30</t>
  </si>
  <si>
    <t>2019-12-12T12:37:57.249+05:30</t>
  </si>
  <si>
    <t>2019-12-12T15:55:28.779+05:30</t>
  </si>
  <si>
    <t>2019-08-07T16:15:00.000+06:30</t>
  </si>
  <si>
    <t>2019-08-07T16:20:00.000+06:30</t>
  </si>
  <si>
    <t>2019-08-08T16:20:00.000+06:30</t>
  </si>
  <si>
    <t>2019-12-12T12:38:00.000+05:30</t>
  </si>
  <si>
    <t>22.5411176 88.3743348 -61.0 4.0</t>
  </si>
  <si>
    <t>DHAPA DHIPI RAJARGHAT, RED COLONY(100ml=TNTC)</t>
  </si>
  <si>
    <t>822e8995-8ce8-4407-9515-db4b909be868</t>
  </si>
  <si>
    <t>2019-08-09T08:43:56</t>
  </si>
  <si>
    <t>2019-08-09T02:21:22.000+06:30</t>
  </si>
  <si>
    <t>2019-08-07T17:12:00.000+06:30</t>
  </si>
  <si>
    <t>2019-08-07T18:00:00.000+06:30</t>
  </si>
  <si>
    <t>2019-08-08T18:00:00.000+06:30</t>
  </si>
  <si>
    <t>4241503a-65e7-493e-9df5-63b3248a0fea</t>
  </si>
  <si>
    <t>2019-12-12T10:26:06</t>
  </si>
  <si>
    <t>bc3353d2-1c68-4683-b131-d13b2a484bbe</t>
  </si>
  <si>
    <t>2019-08-09T08:49:25</t>
  </si>
  <si>
    <t>2019-12-12T12:44:26.791+05:30</t>
  </si>
  <si>
    <t>2019-12-12T15:55:00.992+05:30</t>
  </si>
  <si>
    <t>2019-08-09T02:25:45.000+06:30</t>
  </si>
  <si>
    <t>2019-12-12T12:45:00.000+05:30</t>
  </si>
  <si>
    <t>22.541089 88.3745077 -48.099998474121094 5.0</t>
  </si>
  <si>
    <t>2019-08-07T18:18:00.000+06:30</t>
  </si>
  <si>
    <t>Sample collected by Suvankar Mandal, FB at PLc1130</t>
  </si>
  <si>
    <t>RED COLONY(10ml=TDTC,10^1ml=TNTC)</t>
  </si>
  <si>
    <t>5c26a92b-ab32-4c78-b7ee-d95996b5b676</t>
  </si>
  <si>
    <t>d5cf7aaa-e921-49ae-a49a-e30fdf033a4e</t>
  </si>
  <si>
    <t>2019-12-12T10:26:08</t>
  </si>
  <si>
    <t>2019-08-09T08:53:48</t>
  </si>
  <si>
    <t>2019-12-11T11:26:31.388+05:30</t>
  </si>
  <si>
    <t>2019-12-12T16:01:13.123+05:30</t>
  </si>
  <si>
    <t>2019-08-09T02:29:21.000+06:30</t>
  </si>
  <si>
    <t>2019-12-11T11:27:00.000+05:30</t>
  </si>
  <si>
    <t>22.5400593 88.3872532 -43.599998474121094 4.0</t>
  </si>
  <si>
    <t>RED COLONY(10ml=26,10^1=14)</t>
  </si>
  <si>
    <t>72a585e0-e40d-43b2-8a59-8c328be61094</t>
  </si>
  <si>
    <t>2019-12-12T10:30:58</t>
  </si>
  <si>
    <t>2019-12-12T11:44:25.845+05:30</t>
  </si>
  <si>
    <t>6f8cabdf-828e-476d-8533-89be8053d457</t>
  </si>
  <si>
    <t>2019-12-12T16:01:00.509+05:30</t>
  </si>
  <si>
    <t>2019-08-09T08:57:23</t>
  </si>
  <si>
    <t>2019-08-09T02:32:27.000+06:30</t>
  </si>
  <si>
    <t>2019-12-12T11:46:00.000+05:30</t>
  </si>
  <si>
    <t>22.5346324 88.3959165 -31.600000381469727 5.0</t>
  </si>
  <si>
    <t>2019-08-07T18:16:00.000+06:30</t>
  </si>
  <si>
    <t>1099ef5e-eb70-4e92-ab60-7bef61019440</t>
  </si>
  <si>
    <t>2019-12-12T10:31:00</t>
  </si>
  <si>
    <t>2019-12-12T12:02:10.356+05:30</t>
  </si>
  <si>
    <t>RED COLONY(10ml=TNTC,10^1=2)</t>
  </si>
  <si>
    <t>2019-12-12T16:00:48.516+05:30</t>
  </si>
  <si>
    <t>d02dd7d3-5e51-4b11-bf59-c2b35b250898</t>
  </si>
  <si>
    <t>2019-08-09T09:00:29</t>
  </si>
  <si>
    <t>2019-12-12T12:04:00.000+05:30</t>
  </si>
  <si>
    <t>22.5345583 88.3958106 -51.79999923706055 5.0</t>
  </si>
  <si>
    <t>2019-08-09T02:34:44.000+06:30</t>
  </si>
  <si>
    <t>Sample collected by Ashis saha, FB at MO1132</t>
  </si>
  <si>
    <t>2019-08-07T16:00:00.000+06:30</t>
  </si>
  <si>
    <t>4063e746-d75c-4a9e-bd4b-f43e42641d14</t>
  </si>
  <si>
    <t>2019-12-12T10:31:03</t>
  </si>
  <si>
    <t>2019-12-12T12:23:14.513+05:30</t>
  </si>
  <si>
    <t>2019-12-12T16:01:07.041+05:30</t>
  </si>
  <si>
    <t>2019-12-12T12:26:00.000+05:30</t>
  </si>
  <si>
    <t>22.5401154 88.3872489 -64.0 5.0</t>
  </si>
  <si>
    <t>01015701-d318-43ca-ad2e-599abb337b33</t>
  </si>
  <si>
    <t>2019-08-09T09:02:47</t>
  </si>
  <si>
    <t>Sample collected by Buddhadeb Samaddar, 1 large &amp; 1 extra large</t>
  </si>
  <si>
    <t>2019-08-14T10:54:23.000-07:00</t>
  </si>
  <si>
    <t>2980d69e-f76c-40fe-8bc8-ef9df11da106</t>
  </si>
  <si>
    <t>2019-12-12T10:31:06</t>
  </si>
  <si>
    <t>2019-12-12T12:39:01.297+05:30</t>
  </si>
  <si>
    <t>2019-12-12T16:00:54.753+05:30</t>
  </si>
  <si>
    <t>2019-08-14T10:58:31.000-07:00</t>
  </si>
  <si>
    <t>2019-12-12T12:39:00.000+05:30</t>
  </si>
  <si>
    <t>22.540127 88.3873105 -43.20000076293945 5.0</t>
  </si>
  <si>
    <t>2019-08-08T13:58:00.000-07:00</t>
  </si>
  <si>
    <t>2019-08-08T15:00:00.000-07:00</t>
  </si>
  <si>
    <t>2019-08-08T15:15:00.000-07:00</t>
  </si>
  <si>
    <t>2019-08-09T15:15:00.000-07:00</t>
  </si>
  <si>
    <t>KULIA TANGRA DRAINAGE PUMPING STATION , RED COLONY(100ml=0)</t>
  </si>
  <si>
    <t>Sample collected by Buddhadeb Samaddar, FB at MO1133</t>
  </si>
  <si>
    <t>c46c5f17-8b01-4a81-aa7c-aa8e66eb20eb</t>
  </si>
  <si>
    <t>739f67d2-a426-4436-bc43-6be804428198</t>
  </si>
  <si>
    <t>2019-08-14T05:29:03</t>
  </si>
  <si>
    <t>2019-12-12T10:31:09</t>
  </si>
  <si>
    <t>2019-12-13T12:36:26.860+05:30</t>
  </si>
  <si>
    <t>2019-12-13T16:01:37.686+05:30</t>
  </si>
  <si>
    <t>2019-08-14T11:02:50.000-07:00</t>
  </si>
  <si>
    <t>2019-08-08T14:00:00.000-07:00</t>
  </si>
  <si>
    <t>2019-08-08T15:20:00.000-07:00</t>
  </si>
  <si>
    <t>2019-12-13T12:37:00.000+05:30</t>
  </si>
  <si>
    <t>22.5400045 88.3766533 -40.900001525878906 5.0</t>
  </si>
  <si>
    <t>2019-08-08T16:35:00.000-07:00</t>
  </si>
  <si>
    <t>2019-08-09T16:35:00.000-07:00</t>
  </si>
  <si>
    <t>RED COLONY (1ml=TDTC,10^1=TDTC,10^2=120)</t>
  </si>
  <si>
    <t>587e7a81-408e-45e4-a4e4-f510255ba570</t>
  </si>
  <si>
    <t>2019-08-14T05:33:22</t>
  </si>
  <si>
    <t>607688c9-a586-476b-8fa8-2a130db55fef</t>
  </si>
  <si>
    <t>2019-12-13T10:31:59</t>
  </si>
  <si>
    <t>2019-12-13T12:43:56.693+05:30</t>
  </si>
  <si>
    <t>2019-08-14T11:05:41.000-07:00</t>
  </si>
  <si>
    <t>2019-12-13T16:01:15.009+05:30</t>
  </si>
  <si>
    <t>2019-08-08T14:50:00.000-07:00</t>
  </si>
  <si>
    <t>2019-08-08T15:05:00.000-07:00</t>
  </si>
  <si>
    <t>2019-08-09T15:05:00.000-07:00</t>
  </si>
  <si>
    <t>2019-12-13T12:44:00.000+05:30</t>
  </si>
  <si>
    <t>22.5399654 88.3766544 -40.400001525878906 5.0</t>
  </si>
  <si>
    <t>18555f6d-2401-4261-84a8-8952e606ae03</t>
  </si>
  <si>
    <t>2019-08-14T05:36:13</t>
  </si>
  <si>
    <t>Sample collected by Somnath Sarkar, FB at PLc1131</t>
  </si>
  <si>
    <t>2019-08-14T11:05:42.000-07:00</t>
  </si>
  <si>
    <t>f2df99ae-0808-425a-b027-55f9ff8f2e78</t>
  </si>
  <si>
    <t>2019-12-13T10:32:02</t>
  </si>
  <si>
    <t>2019-08-14T11:10:31.000-07:00</t>
  </si>
  <si>
    <t>2019-12-13T12:57:15.577+05:30</t>
  </si>
  <si>
    <t>2019-12-13T16:01:42.222+05:30</t>
  </si>
  <si>
    <t>2019-08-09T12:46:00.000-07:00</t>
  </si>
  <si>
    <t>2019-08-09T14:30:00.000-07:00</t>
  </si>
  <si>
    <t>K20285 k20286</t>
  </si>
  <si>
    <t>2019-08-09T16:30:00.000-07:00</t>
  </si>
  <si>
    <t>2019-08-10T16:30:00.000-07:00</t>
  </si>
  <si>
    <t>2019-12-13T12:59:00.000+05:30</t>
  </si>
  <si>
    <t>22.540334 88.3753215 -37.79999923706055 5.0</t>
  </si>
  <si>
    <t>2SWAB SAMPLE. RED COLONY(10ml=TDTC,10^1=TNTC)</t>
  </si>
  <si>
    <t>2f456f05-6b91-44c4-adc7-29ac71b10fd2</t>
  </si>
  <si>
    <t>2019-08-14T05:41:03</t>
  </si>
  <si>
    <t>03168b72-e1fe-4481-9913-9ad48f717d46</t>
  </si>
  <si>
    <t>2019-12-13T10:32:04</t>
  </si>
  <si>
    <t>2019-12-13T13:05:10.573+05:30</t>
  </si>
  <si>
    <t>2019-12-13T16:01:20.624+05:30</t>
  </si>
  <si>
    <t>2019-08-14T11:15:13.000-07:00</t>
  </si>
  <si>
    <t>2019-12-13T13:06:00.000+05:30</t>
  </si>
  <si>
    <t>22.5403337 88.3753751 -39.29999923706055 5.0</t>
  </si>
  <si>
    <t>Sample collected by Biplab Jash ,FB at PLc1132</t>
  </si>
  <si>
    <t>2019-08-09T12:50:00.000-07:00</t>
  </si>
  <si>
    <t>db095ac2-d463-4fa1-afb3-3359c02bbe51</t>
  </si>
  <si>
    <t>2019-12-13T10:32:07</t>
  </si>
  <si>
    <t>2019-12-13T13:15:00.329+05:30</t>
  </si>
  <si>
    <t>2019-12-13T16:01:47.383+05:30</t>
  </si>
  <si>
    <t>2019-12-13T13:15:00.000+05:30</t>
  </si>
  <si>
    <t>22.541352 88.3752744 -73.5 5.0</t>
  </si>
  <si>
    <t>2 SWAB SAMPLE, RED COLONY(10ml=TDTC 10^1=115)</t>
  </si>
  <si>
    <t>1ab025a3-d27a-476e-91d5-5222b8346d56</t>
  </si>
  <si>
    <t>2019-08-14T05:45:44</t>
  </si>
  <si>
    <t>2019-08-14T11:23:04.000-07:00</t>
  </si>
  <si>
    <t>f1bf5088-97b9-4b72-b53a-1f14f027b7eb</t>
  </si>
  <si>
    <t>2019-12-13T10:32:10</t>
  </si>
  <si>
    <t>2019-12-13T13:20:09.474+05:30</t>
  </si>
  <si>
    <t>2019-12-13T16:01:27.005+05:30</t>
  </si>
  <si>
    <t>2 SWAB SAMPLE, RED COLONY(10ml=TDTC,10^1=120)</t>
  </si>
  <si>
    <t>2019-12-13T13:21:00.000+05:30</t>
  </si>
  <si>
    <t>43619473-be56-466f-bc3d-c818b3bfe232</t>
  </si>
  <si>
    <t>22.5414757 88.3753471 -58.400001525878906 5.0</t>
  </si>
  <si>
    <t>2019-08-14T05:53:36</t>
  </si>
  <si>
    <t>2019-08-14T11:26:39.000-07:00</t>
  </si>
  <si>
    <t>Sample collected by Biplab Jash, FB at PLc1133</t>
  </si>
  <si>
    <t>42662f06-7001-46cd-860b-7ca3b9d8796a</t>
  </si>
  <si>
    <t>2019-12-13T10:32:13</t>
  </si>
  <si>
    <t>DHAPA DHIPI, RAJAR GHAT, NATUNPARA. RED COLONY(100ml=0)</t>
  </si>
  <si>
    <t>2019-12-13T13:44:16.948+05:30</t>
  </si>
  <si>
    <t>2019-12-13T16:01:51.818+05:30</t>
  </si>
  <si>
    <t>90f27cd5-6f2c-4054-8c34-95fbe00e3957</t>
  </si>
  <si>
    <t>2019-08-14T05:57:11</t>
  </si>
  <si>
    <t>2019-08-14T11:29:03.000-07:00</t>
  </si>
  <si>
    <t>2019-12-13T13:44:00.000+05:30</t>
  </si>
  <si>
    <t>22.5451475 88.383434 -69.69999694824219 5.0</t>
  </si>
  <si>
    <t>cf267070-c62a-46d5-a1db-006cb8e97133</t>
  </si>
  <si>
    <t>2019-12-13T10:32:15</t>
  </si>
  <si>
    <t>2a62d549-4b38-485c-8b96-f00095bd1736</t>
  </si>
  <si>
    <t>2019-12-13T13:49:38.393+05:30</t>
  </si>
  <si>
    <t>2019-12-13T16:01:31.969+05:30</t>
  </si>
  <si>
    <t>2019-08-14T05:59:35</t>
  </si>
  <si>
    <t>2019-08-22T00:00:53.000+06:30</t>
  </si>
  <si>
    <t>2019-12-13T13:50:00.000+05:30</t>
  </si>
  <si>
    <t>22.5451173 88.383452 -58.70000076293945 5.0</t>
  </si>
  <si>
    <t>2019-08-22T00:03:31.000+06:30</t>
  </si>
  <si>
    <t>2019-08-19T14:00:00.000+06:30</t>
  </si>
  <si>
    <t>2019-08-19T14:15:00.000+06:30</t>
  </si>
  <si>
    <t>2019-08-20T14:15:00.000+06:30</t>
  </si>
  <si>
    <t>Sample collected by Debabrata Maity, FB at PLc1134</t>
  </si>
  <si>
    <t>9d6d9e93-a6ca-4cab-bdb8-1115e7ad7abd</t>
  </si>
  <si>
    <t>2019-12-13T10:32:18</t>
  </si>
  <si>
    <t>2019-12-16T11:10:38.043+05:30</t>
  </si>
  <si>
    <t>2019-12-16T14:09:41.824+05:30</t>
  </si>
  <si>
    <t>8c3492b1-2256-4b56-bdcc-c8faa8fe8b9f</t>
  </si>
  <si>
    <t>2019-08-22T06:31:24</t>
  </si>
  <si>
    <t>2019-12-16T11:12:00.000+05:30</t>
  </si>
  <si>
    <t>22.5407403 88.3764453 -15.699999809265137 5.0</t>
  </si>
  <si>
    <t>2019-08-22T00:08:15.000+06:30</t>
  </si>
  <si>
    <t>2019-08-20T14:25:00.000+06:30</t>
  </si>
  <si>
    <t>2019-08-20T16:30:00.000+06:30</t>
  </si>
  <si>
    <t>2019-08-20T17:15:00.000+06:30</t>
  </si>
  <si>
    <t>2019-08-21T17:15:00.000+06:30</t>
  </si>
  <si>
    <t>RED COLONY(10ml=TDTC,1ml=TDTC)</t>
  </si>
  <si>
    <t>8751cda7-035a-407b-a2bf-ed70bd2608b6</t>
  </si>
  <si>
    <t>2019-12-16T08:40:07</t>
  </si>
  <si>
    <t>2019-12-16T11:24:28.674+05:30</t>
  </si>
  <si>
    <t>691afd15-0c90-4bd3-9f37-46083ba3f833</t>
  </si>
  <si>
    <t>2019-12-16T14:09:11.298+05:30</t>
  </si>
  <si>
    <t>2019-08-22T06:36:08</t>
  </si>
  <si>
    <t>2019-08-22T00:14:37.000+06:30</t>
  </si>
  <si>
    <t>2019-08-20T14:58:00.000+06:30</t>
  </si>
  <si>
    <t>2019-08-20T17:05:00.000+06:30</t>
  </si>
  <si>
    <t>2019-12-16T11:25:00.000+05:30</t>
  </si>
  <si>
    <t>2019-08-21T17:05:00.000+06:30</t>
  </si>
  <si>
    <t>22.5407446 88.3760113 -73.80000305175781 5.0</t>
  </si>
  <si>
    <t>Sample collected by Suvankar Mandal, FB at PLc1135 site</t>
  </si>
  <si>
    <t>7072bb68-a6d9-4e9e-9e06-88df9fb1f011</t>
  </si>
  <si>
    <t>2019-08-22T06:42:30</t>
  </si>
  <si>
    <t>c0ef3855-6fa2-487f-9f60-31d6b6044996</t>
  </si>
  <si>
    <t>2019-12-16T08:40:08</t>
  </si>
  <si>
    <t>2019-12-16T11:31:51.532+05:30</t>
  </si>
  <si>
    <t>2019-08-22T00:17:47.000+06:30</t>
  </si>
  <si>
    <t>2019-12-16T14:09:46.901+05:30</t>
  </si>
  <si>
    <t>2019-08-20T14:35:00.000+06:30</t>
  </si>
  <si>
    <t>2019-08-20T14:45:00.000+06:30</t>
  </si>
  <si>
    <t>2019-08-21T14:45:00.000+06:30</t>
  </si>
  <si>
    <t>2019-12-16T11:32:00.000+05:30</t>
  </si>
  <si>
    <t>22.5409646 88.3757202 3.200000047683716 5.0</t>
  </si>
  <si>
    <t>e1c6f9a8-fe6b-44ed-871b-81aff442ad5e</t>
  </si>
  <si>
    <t>2019-08-22T06:45:40</t>
  </si>
  <si>
    <t>2019-08-22T00:23:14.000+06:30</t>
  </si>
  <si>
    <t>2019-08-20T14:26:00.000+06:30</t>
  </si>
  <si>
    <t>83ce91f9-fcd9-4ad6-ae9d-6b6684c78671</t>
  </si>
  <si>
    <t>2019-08-20T15:45:00.000+06:30</t>
  </si>
  <si>
    <t>2019-12-16T08:40:09</t>
  </si>
  <si>
    <t>2019-08-20T16:25:00.000+06:30</t>
  </si>
  <si>
    <t>2019-08-21T16:25:00.000+06:30</t>
  </si>
  <si>
    <t>2019-12-16T11:37:14.629+05:30</t>
  </si>
  <si>
    <t>2019-12-16T14:09:18.999+05:30</t>
  </si>
  <si>
    <t>2019-12-16T11:38:00.000+05:30</t>
  </si>
  <si>
    <t>BLUE COLONY(10^6=5),RED COLONY(10^3=TNTC,10^4=TNTC,10^5=29,10^6=7)</t>
  </si>
  <si>
    <t>22.5409625 88.3757985 -42.0 5.0</t>
  </si>
  <si>
    <t>4f072098-bd71-47b3-b234-f34a8e250d92</t>
  </si>
  <si>
    <t>2019-08-22T06:51:07</t>
  </si>
  <si>
    <t>2019-08-22T00:27:10.000+06:30</t>
  </si>
  <si>
    <t>Sample collected by Somnath Sarkar, FB at PLc1136 site</t>
  </si>
  <si>
    <t>2019-08-20T14:46:00.000+06:30</t>
  </si>
  <si>
    <t>2019-08-21T14:46:00.000+06:30</t>
  </si>
  <si>
    <t>7146af5a-89d0-4c7d-91fc-c0d085f7290a</t>
  </si>
  <si>
    <t>2019-12-16T08:40:11</t>
  </si>
  <si>
    <t>2019-12-16T11:50:01.912+05:30</t>
  </si>
  <si>
    <t>2019-12-16T14:09:51.999+05:30</t>
  </si>
  <si>
    <t>DHAPADHIPI,RAJARGHAT NATUNPARA,(PL1019). RED COLCONY(100ml=0)</t>
  </si>
  <si>
    <t>86433b6c-647a-468b-b997-70761b4c5a2c</t>
  </si>
  <si>
    <t>2019-08-22T06:55:03</t>
  </si>
  <si>
    <t>2019-12-16T11:50:00.000+05:30</t>
  </si>
  <si>
    <t>22.5418295 88.3748233 -42.5 4.0</t>
  </si>
  <si>
    <t>2019-08-22T00:30:24.000+06:30</t>
  </si>
  <si>
    <t>2019-08-20T14:30:00.000+06:30</t>
  </si>
  <si>
    <t>c732cc87-751d-468e-852d-6c2621f7fca6</t>
  </si>
  <si>
    <t>2019-12-16T08:40:12</t>
  </si>
  <si>
    <t>2019-12-16T11:55:15.724+05:30</t>
  </si>
  <si>
    <t>2019-12-16T14:09:23.664+05:30</t>
  </si>
  <si>
    <t>c100148e-f345-40f0-92f1-4c01e8de44d6</t>
  </si>
  <si>
    <t>2019-08-22T06:58:17</t>
  </si>
  <si>
    <t>2019-08-25T22:36:49.000+06:30</t>
  </si>
  <si>
    <t>2019-08-25T22:42:11.000+06:30</t>
  </si>
  <si>
    <t>2019-12-16T11:55:00.000+05:30</t>
  </si>
  <si>
    <t>22.5418382 88.3747961 -59.900001525878906 5.0</t>
  </si>
  <si>
    <t>2019-08-21T13:55:00.000+06:30</t>
  </si>
  <si>
    <t>2019-08-21T17:10:00.000+06:30</t>
  </si>
  <si>
    <t>2019-08-22T17:10:00.000+06:30</t>
  </si>
  <si>
    <t>Sample collected by Buddhadeb Samaddar, FB at PLc1137 site</t>
  </si>
  <si>
    <t>8a6e4155-fe93-4bc3-b3ac-8307678bea14</t>
  </si>
  <si>
    <t>2019-12-16T08:40:14</t>
  </si>
  <si>
    <t>2019-12-16T12:02:46.442+05:30</t>
  </si>
  <si>
    <t>2019-12-16T14:10:02.163+05:30</t>
  </si>
  <si>
    <t>RED COLONY(10ml=TDTC,10^1=TDTC)</t>
  </si>
  <si>
    <t>edf5e103-4d48-4c10-82dd-ee9bee88cd0e</t>
  </si>
  <si>
    <t>2019-08-26T05:10:00</t>
  </si>
  <si>
    <t>2019-12-16T12:03:00.000+05:30</t>
  </si>
  <si>
    <t>2019-08-25T22:45:23.000+06:30</t>
  </si>
  <si>
    <t>22.5411203 88.3742476 -56.79999923706055 5.0</t>
  </si>
  <si>
    <t>4c0cd3b3-4fd4-45ff-ac5b-ff6b36f2f908</t>
  </si>
  <si>
    <t>2019-12-16T08:40:15</t>
  </si>
  <si>
    <t>2019-12-16T12:07:55.126+05:30</t>
  </si>
  <si>
    <t>2019-12-16T14:09:30.560+05:30</t>
  </si>
  <si>
    <t>RED COLONY(10ml=TDTC,10^1=TNTC)</t>
  </si>
  <si>
    <t>a1f7faf2-6d1f-4771-b769-89931c8eef23</t>
  </si>
  <si>
    <t>2019-08-26T05:13:13</t>
  </si>
  <si>
    <t>2019-12-16T12:08:00.000+05:30</t>
  </si>
  <si>
    <t>22.5411009 88.3743474 -57.400001525878906 5.0</t>
  </si>
  <si>
    <t>2019-08-25T22:48:52.000+06:30</t>
  </si>
  <si>
    <t>2019-08-21T15:10:00.000+06:30</t>
  </si>
  <si>
    <t>2019-08-21T17:00:00.000+06:30</t>
  </si>
  <si>
    <t>2019-08-22T17:00:00.000+06:30</t>
  </si>
  <si>
    <t>Sample collected by Debabrata Maity, FB at PLc1138 site</t>
  </si>
  <si>
    <t>548fd640-d348-4e51-899d-e88368714760</t>
  </si>
  <si>
    <t>2019-12-16T08:40:17</t>
  </si>
  <si>
    <t>2019-12-16T12:49:33.208+05:30</t>
  </si>
  <si>
    <t>2019-12-16T14:09:57.288+05:30</t>
  </si>
  <si>
    <t>RED COLONY(10ml=51,10^1=12)</t>
  </si>
  <si>
    <t>0ee1b62f-50e8-4473-9e3d-b7b38ccfce8b</t>
  </si>
  <si>
    <t>2019-08-26T05:16:42</t>
  </si>
  <si>
    <t>2019-08-25T22:53:45.000+06:30</t>
  </si>
  <si>
    <t>2019-12-16T12:50:00.000+05:30</t>
  </si>
  <si>
    <t>22.5533837 88.3856304 -60.599998474121094 5.0</t>
  </si>
  <si>
    <t>2019-08-21T15:20:00.000+06:30</t>
  </si>
  <si>
    <t>2019-08-22T17:05:00.000+06:30</t>
  </si>
  <si>
    <t>WITH 3 BLUE COLONY ARE SMUDGED, RED COLONY (10ml=TDTC,10^1=TNTC)</t>
  </si>
  <si>
    <t>c047ee64-09af-4183-abb1-4daa2f98ebe0</t>
  </si>
  <si>
    <t>f3a94c07-9a7f-40e4-8713-653552482720</t>
  </si>
  <si>
    <t>2019-08-26T05:21:35</t>
  </si>
  <si>
    <t>2019-12-16T08:40:18</t>
  </si>
  <si>
    <t>2019-12-16T12:56:10.659+05:30</t>
  </si>
  <si>
    <t>2019-12-16T14:09:36.895+05:30</t>
  </si>
  <si>
    <t>2019-08-25T22:57:12.000+06:30</t>
  </si>
  <si>
    <t>2019-08-21T15:15:00.000+06:30</t>
  </si>
  <si>
    <t>2019-12-16T12:56:00.000+05:30</t>
  </si>
  <si>
    <t>22.5535021 88.3856288 -59.5 5.0</t>
  </si>
  <si>
    <t>RED COLONY (10ml=64,10^1=9)</t>
  </si>
  <si>
    <t>Sample collected by Debabrata, FB at PLc1139 site</t>
  </si>
  <si>
    <t>03f5f25c-6c4e-4c1c-a5c2-4cca419a0c88</t>
  </si>
  <si>
    <t>6711bdf0-7556-4b04-ac56-f5f8c33705cf</t>
  </si>
  <si>
    <t>2019-08-26T05:25:01</t>
  </si>
  <si>
    <t>2019-12-16T08:40:19</t>
  </si>
  <si>
    <t>2019-08-25T23:00:22.000+06:30</t>
  </si>
  <si>
    <t>2019-12-17T11:13:22.586+05:30</t>
  </si>
  <si>
    <t>2019-12-17T15:13:38.572+05:30</t>
  </si>
  <si>
    <t>2019-08-21T14:40:00.000+06:30</t>
  </si>
  <si>
    <t>2019-08-22T14:45:00.000+06:30</t>
  </si>
  <si>
    <t>2019-12-17T11:15:00.000+05:30</t>
  </si>
  <si>
    <t>22.5400821 88.3767205 -36.70000076293945 5.0</t>
  </si>
  <si>
    <t>ad287b6d-abfa-4cdc-a92c-5ac5d500f35b</t>
  </si>
  <si>
    <t>2019-08-26T05:28:12</t>
  </si>
  <si>
    <t>2019-08-25T23:04:03.000+06:30</t>
  </si>
  <si>
    <t>4ddeaa48-e397-40a3-957f-dad16752ad97</t>
  </si>
  <si>
    <t>2019-12-17T09:43:58</t>
  </si>
  <si>
    <t>2019-12-17T11:29:11.854+05:30</t>
  </si>
  <si>
    <t>2019-12-17T15:13:16.521+05:30</t>
  </si>
  <si>
    <t>2019-12-17T11:30:00.000+05:30</t>
  </si>
  <si>
    <t>22.540155 88.3766326 -67.5999984741211 5.0</t>
  </si>
  <si>
    <t>655408cb-63f5-4462-9559-5ff8c7c2daa6</t>
  </si>
  <si>
    <t>2019-08-26T05:31:52</t>
  </si>
  <si>
    <t>2019-08-25T23:07:24.000+06:30</t>
  </si>
  <si>
    <t>Sample collected by Suvankar Mandal, at PLc1140 site</t>
  </si>
  <si>
    <t>2019-08-21T14:35:00.000+06:30</t>
  </si>
  <si>
    <t>99fef780-2d0e-4f7d-98b0-afeda8013e20</t>
  </si>
  <si>
    <t>2019-12-17T09:44:02</t>
  </si>
  <si>
    <t>2019-12-17T11:44:06.327+05:30</t>
  </si>
  <si>
    <t>2019-12-17T15:13:43.357+05:30</t>
  </si>
  <si>
    <t>K20285, 286</t>
  </si>
  <si>
    <t>2019-12-17T11:45:00.000+05:30</t>
  </si>
  <si>
    <t>22.5403196 88.3751934 -49.0 5.0</t>
  </si>
  <si>
    <t>63f4a60f-2665-47d7-b04e-e3f8718a52f4</t>
  </si>
  <si>
    <t>2019-08-26T05:35:14</t>
  </si>
  <si>
    <t>2019-08-25T23:07:25.000+06:30</t>
  </si>
  <si>
    <t>2019-08-25T23:18:15.000+06:30</t>
  </si>
  <si>
    <t>2019-08-22T13:30:00.000+06:30</t>
  </si>
  <si>
    <t>2019-08-22T14:32:00.000+06:30</t>
  </si>
  <si>
    <t>c445d7b1-9bf2-49fa-8e7d-dcaf76b40316</t>
  </si>
  <si>
    <t>2019-12-17T09:44:05</t>
  </si>
  <si>
    <t>2019-08-23T17:00:00.000+06:30</t>
  </si>
  <si>
    <t>2019-12-17T11:53:10.638+05:30</t>
  </si>
  <si>
    <t>2019-12-17T15:13:21.920+05:30</t>
  </si>
  <si>
    <t>2019-12-17T11:53:00.000+05:30</t>
  </si>
  <si>
    <t>22.5403252 88.3752813 -31.0 5.0</t>
  </si>
  <si>
    <t>5c8f8eb5-c666-4b72-973d-e37a8b2b4a51</t>
  </si>
  <si>
    <t>2019-08-26T05:46:05</t>
  </si>
  <si>
    <t>2019-08-25T23:30:29.000+06:30</t>
  </si>
  <si>
    <t>2019-08-25T23:33:45.000+06:30</t>
  </si>
  <si>
    <t>Semple collected by Buddhadeb Samaddar, FB at PLc1141 site</t>
  </si>
  <si>
    <t>05acadfe-e9f1-4699-9fd0-acc2137312c4</t>
  </si>
  <si>
    <t>2019-12-17T09:44:07</t>
  </si>
  <si>
    <t>2019-12-17T12:05:44.378+05:30</t>
  </si>
  <si>
    <t>2019-12-17T15:13:47.845+05:30</t>
  </si>
  <si>
    <t>2019-12-17T12:07:00.000+05:30</t>
  </si>
  <si>
    <t>22.5414243 88.3753556 -63.20000076293945 5.0</t>
  </si>
  <si>
    <t>504d213c-9eb4-435a-83c3-76cddc5da760</t>
  </si>
  <si>
    <t>2019-08-26T06:01:34</t>
  </si>
  <si>
    <t>2019-08-25T23:38:09.000+06:30</t>
  </si>
  <si>
    <t>b41c14a4-1664-46c4-b818-af07d68042b0</t>
  </si>
  <si>
    <t>2019-08-22T14:30:00.000+06:30</t>
  </si>
  <si>
    <t>2019-12-17T09:44:10</t>
  </si>
  <si>
    <t>2019-08-22T16:50:00.000+06:30</t>
  </si>
  <si>
    <t>2019-12-17T12:16:30.860+05:30</t>
  </si>
  <si>
    <t>2019-08-23T16:50:00.000+06:30</t>
  </si>
  <si>
    <t>2019-12-17T15:13:28.078+05:30</t>
  </si>
  <si>
    <t>2019-12-17T12:17:00.000+05:30</t>
  </si>
  <si>
    <t>22.5415326 88.3754159 -33.900001525878906 5.0</t>
  </si>
  <si>
    <t>RED COLONY(10ml=TDTC,10^1=37)</t>
  </si>
  <si>
    <t>729c02cd-a6aa-4b7c-a351-c08687c7ae7c</t>
  </si>
  <si>
    <t>2019-08-26T06:05:58</t>
  </si>
  <si>
    <t>2019-08-25T23:43:23.000+06:30</t>
  </si>
  <si>
    <t>Sample collected by Buddhadeb Samaddar, FB at PLc1142 site</t>
  </si>
  <si>
    <t>1ff80b09-a37d-4a4d-a90e-057c605d61d5</t>
  </si>
  <si>
    <t>2019-12-17T09:44:13</t>
  </si>
  <si>
    <t>2019-12-17T12:41:55.209+05:30</t>
  </si>
  <si>
    <t>2019-12-17T15:13:52.154+05:30</t>
  </si>
  <si>
    <t>3c3537eb-df73-4443-84f7-198277d7347c</t>
  </si>
  <si>
    <t>2019-12-17T12:43:00.000+05:30</t>
  </si>
  <si>
    <t>2019-08-26T06:11:13</t>
  </si>
  <si>
    <t>22.5451897 88.383436 -52.29999923706055 5.0</t>
  </si>
  <si>
    <t>2019-08-25T23:51:08.000+06:30</t>
  </si>
  <si>
    <t>2019-08-22T14:20:00.000+06:30</t>
  </si>
  <si>
    <t>2019-08-23T14:30:00.000+06:30</t>
  </si>
  <si>
    <t>c7302fa7-e666-43c4-a40b-f03d05f7e3c1</t>
  </si>
  <si>
    <t>2019-12-17T09:44:16</t>
  </si>
  <si>
    <t>2019-12-17T12:48:29.868+05:30</t>
  </si>
  <si>
    <t>2019-12-17T15:13:33.235+05:30</t>
  </si>
  <si>
    <t>90868e19-883e-49b8-adb7-a091992037e5</t>
  </si>
  <si>
    <t>2019-08-26T06:18:57</t>
  </si>
  <si>
    <t>2019-08-26T00:03:56.000+06:30</t>
  </si>
  <si>
    <t>2019-08-26T00:06:40.000+06:30</t>
  </si>
  <si>
    <t>2019-12-17T12:50:00.000+05:30</t>
  </si>
  <si>
    <t>22.5451547 88.3834018 -67.5999984741211 5.0</t>
  </si>
  <si>
    <t>2019-08-22T16:55:00.000+06:30</t>
  </si>
  <si>
    <t>2019-08-23T16:55:00.000+06:30</t>
  </si>
  <si>
    <t>Sample collected by Somnath Sarkar, FB at PLc1143 site</t>
  </si>
  <si>
    <t>a2c9ca8d-ada7-4106-853a-a7e374a7a668</t>
  </si>
  <si>
    <t>2019-08-26T06:34:30</t>
  </si>
  <si>
    <t>90c75015-c7d4-4c5a-9d04-dcdecd250eb2</t>
  </si>
  <si>
    <t>2019-12-17T09:44:18</t>
  </si>
  <si>
    <t>2019-12-17T11:26:59.024+05:30</t>
  </si>
  <si>
    <t>2019-12-17T15:18:16.692+05:30</t>
  </si>
  <si>
    <t>2019-08-26T00:10:02.000+06:30</t>
  </si>
  <si>
    <t>2019-12-17T11:28:00.000+05:30</t>
  </si>
  <si>
    <t>2019-08-22T15:05:00.000+06:30</t>
  </si>
  <si>
    <t>2019-08-22T17:25:00.000+06:30</t>
  </si>
  <si>
    <t>22.5634322 88.3772646 -77.0 5.0</t>
  </si>
  <si>
    <t>2019-08-23T17:25:00.000+06:30</t>
  </si>
  <si>
    <t>d4d784bb-c42f-4349-9225-2ba88f42f96a</t>
  </si>
  <si>
    <t>2019-08-26T06:37:52</t>
  </si>
  <si>
    <t>cb1e8227-3f3f-4a00-a92e-8f811b97a8ef</t>
  </si>
  <si>
    <t>2019-12-17T09:47:58</t>
  </si>
  <si>
    <t>2019-08-26T00:13:01.000+06:30</t>
  </si>
  <si>
    <t>2019-12-17T11:38:03.270+05:30</t>
  </si>
  <si>
    <t>2019-12-17T15:18:05.561+05:30</t>
  </si>
  <si>
    <t>2019-08-22T17:28:00.000+06:30</t>
  </si>
  <si>
    <t>2019-08-23T17:28:00.000+06:30</t>
  </si>
  <si>
    <t>2019-12-17T11:38:00.000+05:30</t>
  </si>
  <si>
    <t>22.563527 88.377207 -60.599998474121094 5.0</t>
  </si>
  <si>
    <t>RED COLONY (10ml=TDTC,10^1=TNTC)</t>
  </si>
  <si>
    <t>4c13e2e3-e643-4851-a89e-df8dc56dc25a</t>
  </si>
  <si>
    <t>2019-08-26T06:40:51</t>
  </si>
  <si>
    <t>66c54a73-e51a-4acf-8852-21b10b6f8b63</t>
  </si>
  <si>
    <t>2019-12-17T09:48:01</t>
  </si>
  <si>
    <t>2019-08-26T00:16:05.000+06:30</t>
  </si>
  <si>
    <t>2019-12-17T12:09:21.910+05:30</t>
  </si>
  <si>
    <t>2019-12-17T15:18:22.249+05:30</t>
  </si>
  <si>
    <t>2019-12-17T12:10:00.000+05:30</t>
  </si>
  <si>
    <t>22.5543278 88.3967415 -35.5 5.0</t>
  </si>
  <si>
    <t>RED COLONY(10ml=TDTC,10^1=39)</t>
  </si>
  <si>
    <t>20ff5b94-ddfe-491f-8fb2-9f79799009a9</t>
  </si>
  <si>
    <t>2019-08-26T06:43:54</t>
  </si>
  <si>
    <t>2019-08-26T00:18:54.000+06:30</t>
  </si>
  <si>
    <t>7157daae-890d-41ef-9bc8-2dcc9f3f5b9a</t>
  </si>
  <si>
    <t>2019-12-17T09:48:04</t>
  </si>
  <si>
    <t>2019-12-17T12:22:05.441+05:30</t>
  </si>
  <si>
    <t>2019-12-17T15:18:10.881+05:30</t>
  </si>
  <si>
    <t>2019-08-22T15:08:00.000+06:30</t>
  </si>
  <si>
    <t>2019-08-22T17:30:00.000+06:30</t>
  </si>
  <si>
    <t>2019-08-23T17:30:00.000+06:30</t>
  </si>
  <si>
    <t>2019-12-17T12:22:00.000+05:30</t>
  </si>
  <si>
    <t>22.5542724 88.3966312 -60.29999923706055 5.0</t>
  </si>
  <si>
    <t>8802c362-7715-4d96-b9f6-5f22536cf225</t>
  </si>
  <si>
    <t>2019-08-26T06:46:41</t>
  </si>
  <si>
    <t>2019-08-26T00:20:43.000+06:30</t>
  </si>
  <si>
    <t>2019-08-22T14:10:00.000+06:30</t>
  </si>
  <si>
    <t>2019-08-23T14:20:00.000+06:30</t>
  </si>
  <si>
    <t>25cf1cb7-ee17-43e6-87d2-ae69e7c772a8</t>
  </si>
  <si>
    <t>2019-12-17T09:48:06</t>
  </si>
  <si>
    <t>2019-12-18T11:56:18.389+05:30</t>
  </si>
  <si>
    <t>2019-12-18T16:15:22.152+05:30</t>
  </si>
  <si>
    <t>244f4ef1-c10e-4982-82a4-901605186b0f</t>
  </si>
  <si>
    <t>2019-08-26T06:48:32</t>
  </si>
  <si>
    <t>2019-12-18T11:57:00.000+05:30</t>
  </si>
  <si>
    <t>2019-09-11T23:48:50.000+06:30</t>
  </si>
  <si>
    <t>22.5400276 88.3872342 -54.79999923706055 5.0</t>
  </si>
  <si>
    <t>2019-09-12T00:00:59.000+06:30</t>
  </si>
  <si>
    <t>2019-08-26T16:55:00.000+06:30</t>
  </si>
  <si>
    <t>2019-08-26T17:00:00.000+06:30</t>
  </si>
  <si>
    <t>2019-08-26T17:40:00.000+06:30</t>
  </si>
  <si>
    <t>2019-08-27T17:40:00.000+06:30</t>
  </si>
  <si>
    <t>a56ee8da-5863-4f91-980b-73e481c7fd70</t>
  </si>
  <si>
    <t>2019-12-18T10:46:15</t>
  </si>
  <si>
    <t>2019-12-19T11:51:22.173+05:30</t>
  </si>
  <si>
    <t>2019-12-19T17:07:14.906+05:30</t>
  </si>
  <si>
    <t>RED COLONY(100ml=0,10ml=0)</t>
  </si>
  <si>
    <t>98395894-9522-4845-b17e-d0895dcb42f6</t>
  </si>
  <si>
    <t>2019-09-12T06:28:39</t>
  </si>
  <si>
    <t>2019-12-19T11:52:00.000+05:30</t>
  </si>
  <si>
    <t>2019-09-12T00:03:39.000+06:30</t>
  </si>
  <si>
    <t>22.5345853 88.3958428 -36.099998474121094 5.0</t>
  </si>
  <si>
    <t>327dadd8-c89f-457f-8fe7-6e367cfad36b</t>
  </si>
  <si>
    <t>2019-09-12T06:31:18</t>
  </si>
  <si>
    <t>2019-09-12T00:03:40.000+06:30</t>
  </si>
  <si>
    <t>846f63af-57ce-47b8-bfb0-29fd8e96ae52</t>
  </si>
  <si>
    <t>2019-12-19T11:37:24</t>
  </si>
  <si>
    <t>2019-12-19T12:01:07.916+05:30</t>
  </si>
  <si>
    <t>2019-09-12T00:06:40.000+06:30</t>
  </si>
  <si>
    <t>2019-12-19T17:07:00.810+05:30</t>
  </si>
  <si>
    <t>2019-12-19T12:02:00.000+05:30</t>
  </si>
  <si>
    <t>22.5346694 88.3959048 -26.700000762939453 5.0</t>
  </si>
  <si>
    <t>red colony(100ml=0)</t>
  </si>
  <si>
    <t>999c970c-9a5c-48bc-ab52-8f49f63b2e8f</t>
  </si>
  <si>
    <t>2019-09-12T06:34:18</t>
  </si>
  <si>
    <t>f7910b14-2871-49a9-8159-f048ae42d982</t>
  </si>
  <si>
    <t>2019-12-19T11:37:28</t>
  </si>
  <si>
    <t>2019-09-12T00:12:37.000+06:30</t>
  </si>
  <si>
    <t>2019-12-19T12:23:14.078+05:30</t>
  </si>
  <si>
    <t>2019-12-19T17:07:20.715+05:30</t>
  </si>
  <si>
    <t>2019-08-27T13:55:00.000+06:30</t>
  </si>
  <si>
    <t>2019-08-27T15:15:00.000+06:30</t>
  </si>
  <si>
    <t>2019-08-27T16:45:00.000+06:30</t>
  </si>
  <si>
    <t>2019-08-28T16:45:00.000+06:30</t>
  </si>
  <si>
    <t>2019-12-19T12:23:00.000+05:30</t>
  </si>
  <si>
    <t>22.5400558 88.3873157 -47.099998474121094 4.5</t>
  </si>
  <si>
    <t>89df0173-3165-4d41-afce-0a70d5de52b0</t>
  </si>
  <si>
    <t>2019-12-19T11:37:31</t>
  </si>
  <si>
    <t>2019-12-19T12:30:11.563+05:30</t>
  </si>
  <si>
    <t>2019-12-19T17:07:09.015+05:30</t>
  </si>
  <si>
    <t>BLUE COLONY(10^6=1),RED COLONY(10^3=TDTC,10^4=TNTC,10^5=30,10^6=8)</t>
  </si>
  <si>
    <t>29791917-7335-49a1-ab75-ba296796e41a</t>
  </si>
  <si>
    <t>2019-09-12T06:40:14</t>
  </si>
  <si>
    <t>2019-12-19T12:31:00.000+05:30</t>
  </si>
  <si>
    <t>22.5400054 88.3872515 -48.79999923706055 5.0</t>
  </si>
  <si>
    <t>2019-09-12T00:14:56.000+06:30</t>
  </si>
  <si>
    <t>2019-08-27T14:50:00.000+06:30</t>
  </si>
  <si>
    <t>2019-08-27T15:05:00.000+06:30</t>
  </si>
  <si>
    <t>2019-08-28T15:05:00.000+06:30</t>
  </si>
  <si>
    <t>115c994f-4c11-4d66-8324-7eb3f23b1fc8</t>
  </si>
  <si>
    <t>2019-12-19T11:37:33</t>
  </si>
  <si>
    <t>2019-12-19T11:37:11.181+05:30</t>
  </si>
  <si>
    <t>2019-12-19T17:09:40.965+05:30</t>
  </si>
  <si>
    <t>96c45f0c-acfb-4e78-9a73-2e5e1a1b7fbd</t>
  </si>
  <si>
    <t>2019-09-12T06:42:35</t>
  </si>
  <si>
    <t>2019-09-12T00:33:02.000+06:30</t>
  </si>
  <si>
    <t>2019-12-19T11:38:00.000+05:30</t>
  </si>
  <si>
    <t>22.5407145 88.3764334 -27.5 4.5</t>
  </si>
  <si>
    <t>Sample collected by Suvankar Mondal</t>
  </si>
  <si>
    <t>WITH MO1091. RED COLONY(100ml=0)</t>
  </si>
  <si>
    <t>037c8d50-5b2e-4d53-90cf-2c9eb88371ee</t>
  </si>
  <si>
    <t>2019-12-19T11:41:11</t>
  </si>
  <si>
    <t>2019-12-19T11:48:05.408+05:30</t>
  </si>
  <si>
    <t>dfc89043-9b3e-408f-a84c-a2b4e0ef6bf0</t>
  </si>
  <si>
    <t>2019-12-19T17:09:02.961+05:30</t>
  </si>
  <si>
    <t>2019-09-12T07:00:39</t>
  </si>
  <si>
    <t>2019-09-12T00:36:12.000+06:30</t>
  </si>
  <si>
    <t>2019-12-19T11:48:00.000+05:30</t>
  </si>
  <si>
    <t>22.540568 88.3762374 -74.69999694824219 5.0</t>
  </si>
  <si>
    <t>2019-08-27T14:35:00.000+06:30</t>
  </si>
  <si>
    <t>2019-08-27T14:42:00.000+06:30</t>
  </si>
  <si>
    <t>2019-08-28T14:42:00.000+06:30</t>
  </si>
  <si>
    <t>Sample collected by Suvankar Mondal , FB at PLc1144</t>
  </si>
  <si>
    <t>RD COLONY (100mL=0)</t>
  </si>
  <si>
    <t>fccbcb86-4ec8-409c-b7ef-119f70a225e3</t>
  </si>
  <si>
    <t>2019-12-19T11:41:14</t>
  </si>
  <si>
    <t>371b645d-32f6-4bb8-902c-96e48cf82f0c</t>
  </si>
  <si>
    <t>2019-12-19T11:55:57.489+05:30</t>
  </si>
  <si>
    <t>2019-09-12T07:03:50</t>
  </si>
  <si>
    <t>2019-12-19T17:09:49.455+05:30</t>
  </si>
  <si>
    <t>2019-09-12T00:49:47.000+06:30</t>
  </si>
  <si>
    <t>K22345 ,46</t>
  </si>
  <si>
    <t>2019-08-29T14:22:00.000+06:30</t>
  </si>
  <si>
    <t>2019-08-29T15:50:00.000+06:30</t>
  </si>
  <si>
    <t>2019-12-19T11:56:00.000+05:30</t>
  </si>
  <si>
    <t>2019-08-29T17:45:00.000+06:30</t>
  </si>
  <si>
    <t>2019-08-30T17:45:00.000+06:30</t>
  </si>
  <si>
    <t>22.5409723 88.3758442 -42.900001525878906 5.0</t>
  </si>
  <si>
    <t>SAMPLE TYPE-GUAVA CUT FRUIT, BLUE COLONY(10^2=0),RED COLONY(10ml=TNTC,1ml=88,10^1=26,10^2=0)</t>
  </si>
  <si>
    <t>9635ab02-d2b5-4095-9b1b-868bdc32626d</t>
  </si>
  <si>
    <t>2019-09-12T07:17:25</t>
  </si>
  <si>
    <t>bf935de8-87cb-4e6e-9cb9-8517ca970154</t>
  </si>
  <si>
    <t>2019-12-19T11:41:17</t>
  </si>
  <si>
    <t>2019-12-19T12:02:29.837+05:30</t>
  </si>
  <si>
    <t>2019-09-12T00:57:25.000+06:30</t>
  </si>
  <si>
    <t>2019-12-19T17:09:08.892+05:30</t>
  </si>
  <si>
    <t>SF1012(A)</t>
  </si>
  <si>
    <t>2019-12-19T12:03:00.000+05:30</t>
  </si>
  <si>
    <t>22.5409435 88.3757143 -37.099998474121094 5.0</t>
  </si>
  <si>
    <t>SAMPLE TYPE-POTATO MIX OF PANIPURI, BLUE COLONY(10^2=0),RED COLONY(10ml=TDTC,1ml=TDTC,10^1=84,10^2=35)</t>
  </si>
  <si>
    <t>ab342390-0c44-4d13-bf12-1268321001ec</t>
  </si>
  <si>
    <t>2019-09-12T07:25:03</t>
  </si>
  <si>
    <t>Sample collected by Somnath Sarkar, FB at PLc1145</t>
  </si>
  <si>
    <t>2019-09-12T01:03:08.000+06:30</t>
  </si>
  <si>
    <t>4b29bbbb-92cc-4bb6-bcee-b71b096cc176</t>
  </si>
  <si>
    <t>2019-12-19T11:41:20</t>
  </si>
  <si>
    <t>SF1012(B)</t>
  </si>
  <si>
    <t>2019-12-19T12:29:35.031+05:30</t>
  </si>
  <si>
    <t>2019-12-19T17:09:53.977+05:30</t>
  </si>
  <si>
    <t>K21351</t>
  </si>
  <si>
    <t>2019-12-19T12:30:00.000+05:30</t>
  </si>
  <si>
    <t>22.5413836 88.376075 -62.70000076293945 5.0</t>
  </si>
  <si>
    <t>SAMPLE TYPE- PANI OF PANI PURI, BLUE COLONY(10^2=0), RED COLONY(10ml=TDTC,1ml=0,10^1=4,10^2=0)</t>
  </si>
  <si>
    <t>aaf6112a-e4df-4766-9a0b-70e4feb07819</t>
  </si>
  <si>
    <t>2019-09-12T07:30:45</t>
  </si>
  <si>
    <t>2019-09-12T01:07:01.000+06:30</t>
  </si>
  <si>
    <t>fdeecd55-ee63-4496-ab29-687f2d47d4fd</t>
  </si>
  <si>
    <t>2019-12-19T11:41:30</t>
  </si>
  <si>
    <t>2019-12-19T12:32:59.950+05:30</t>
  </si>
  <si>
    <t>2019-12-19T17:09:13.935+05:30</t>
  </si>
  <si>
    <t>RED COLONY(10^=7,10^3=0)</t>
  </si>
  <si>
    <t>9ecaf61f-233a-4c71-9381-65081d24671c</t>
  </si>
  <si>
    <t>2019-09-12T07:34:39</t>
  </si>
  <si>
    <t>2019-12-19T12:33:00.000+05:30</t>
  </si>
  <si>
    <t>22.5414006 88.3760415 -49.79999923706055 5.0</t>
  </si>
  <si>
    <t>2019-09-12T01:11:58.000+06:30</t>
  </si>
  <si>
    <t>2019-08-29T15:00:00.000+06:30</t>
  </si>
  <si>
    <t>2019-08-29T15:15:00.000+06:30</t>
  </si>
  <si>
    <t>2019-08-30T15:15:00.000+06:30</t>
  </si>
  <si>
    <t>Sample collected by Buddhadeb Samaddar, FB at PLc1146</t>
  </si>
  <si>
    <t>b89e8a2e-f0fa-4338-8722-aa39ac2013b3</t>
  </si>
  <si>
    <t>2019-12-19T11:41:36</t>
  </si>
  <si>
    <t>2019-12-19T12:40:24.500+05:30</t>
  </si>
  <si>
    <t>WITH SL1011,DHAPA DHIPI ,RAJARGHAT,NATUNPARA,NEAR AGRICULTURE GROUND. RED COLONY(100ml=0)</t>
  </si>
  <si>
    <t>2019-12-19T17:09:58.464+05:30</t>
  </si>
  <si>
    <t>bf5abb3c-0085-42f1-ba41-49d451e10b33</t>
  </si>
  <si>
    <t>2019-09-12T07:39:36</t>
  </si>
  <si>
    <t>2019-12-19T12:40:00.000+05:30</t>
  </si>
  <si>
    <t>2019-09-12T01:17:30.000+06:30</t>
  </si>
  <si>
    <t>22.5416874 88.3747756 -62.099998474121094 5.0</t>
  </si>
  <si>
    <t>2019-08-29T15:18:00.000+06:30</t>
  </si>
  <si>
    <t>2019-08-30T15:18:00.000+06:30</t>
  </si>
  <si>
    <t>WITH SF1011&amp;SF1012, DHAPA DHIPI RAJARGHAT NATUN PARA , RED COLONY(100ml=0)</t>
  </si>
  <si>
    <t>f56bbec7-7536-4090-a304-6821f869ed13</t>
  </si>
  <si>
    <t>2019-12-19T11:41:45</t>
  </si>
  <si>
    <t>2019-12-19T12:45:47.545+05:30</t>
  </si>
  <si>
    <t>155f8058-f26c-49ac-a226-abd020f00d10</t>
  </si>
  <si>
    <t>2019-12-19T17:09:20.893+05:30</t>
  </si>
  <si>
    <t>2019-09-12T07:45:08</t>
  </si>
  <si>
    <t>2019-09-12T01:17:31.000+06:30</t>
  </si>
  <si>
    <t>2019-09-12T01:20:40.000+06:30</t>
  </si>
  <si>
    <t>2019-12-19T12:46:00.000+05:30</t>
  </si>
  <si>
    <t>22.5417424 88.3748193 -46.599998474121094 5.0</t>
  </si>
  <si>
    <t>2019-08-29T14:45:00.000+06:30</t>
  </si>
  <si>
    <t>2019-08-30T15:00:00.000+06:30</t>
  </si>
  <si>
    <t>Sample collected by Debabrata Maity ,FB at PLc1147</t>
  </si>
  <si>
    <t>ec561e75-90ab-4ccd-b619-22a1a5aa008e</t>
  </si>
  <si>
    <t>2019-12-19T11:41:50</t>
  </si>
  <si>
    <t>2019-12-19T12:53:17.087+05:30</t>
  </si>
  <si>
    <t>2019-12-19T17:10:03.003+05:30</t>
  </si>
  <si>
    <t>7ba799b9-20b8-4f47-a7e3-542a88cb00b0</t>
  </si>
  <si>
    <t>2019-09-12T07:48:18</t>
  </si>
  <si>
    <t>2019-09-12T01:20:41.000+06:30</t>
  </si>
  <si>
    <t>K21001 ,02</t>
  </si>
  <si>
    <t>2019-09-12T01:34:17.000+06:30</t>
  </si>
  <si>
    <t>2019-12-19T12:53:00.000+05:30</t>
  </si>
  <si>
    <t>22.5410869 88.374388 -36.79999923706055 5.0</t>
  </si>
  <si>
    <t>2019-09-02T10:40:00.000+06:30</t>
  </si>
  <si>
    <t>2019-09-02T16:15:00.000+06:30</t>
  </si>
  <si>
    <t>2019-09-02T17:30:00.000+06:30</t>
  </si>
  <si>
    <t>2019-09-03T17:30:00.000+06:30</t>
  </si>
  <si>
    <t>(RAJARSHI LAB OPERATOR NO-6) RED COLONY(100ml=1,10ml=0)</t>
  </si>
  <si>
    <t>fa9e0645-700f-4ffc-a80b-0525c43784d1</t>
  </si>
  <si>
    <t>2019-12-19T11:41:56</t>
  </si>
  <si>
    <t>0234a42d-4fa1-4e9d-a744-366761e8a701</t>
  </si>
  <si>
    <t>2019-09-12T08:01:55</t>
  </si>
  <si>
    <t>2019-12-19T13:08:45.369+05:30</t>
  </si>
  <si>
    <t>2019-12-19T17:09:25.415+05:30</t>
  </si>
  <si>
    <t>2019-09-12T01:39:14.000+06:30</t>
  </si>
  <si>
    <t>2019-12-19T13:09:00.000+05:30</t>
  </si>
  <si>
    <t>22.5411111 88.3744066 -40.900001525878906 5.0</t>
  </si>
  <si>
    <t>SAMPLE WITH DWa1004,DHAPA DHIPI RAJAR GHAT NATUN PAARA , RED COLONY (100ml=0)</t>
  </si>
  <si>
    <t>Sample collected by Suvankar Mondal ,FB at PLc1148</t>
  </si>
  <si>
    <t>31ebd10f-a215-4a10-b28a-43699128cfd5</t>
  </si>
  <si>
    <t>2019-09-12T08:06:51</t>
  </si>
  <si>
    <t>9d798ee4-8c97-4ebc-882f-08813dd9efa5</t>
  </si>
  <si>
    <t>2019-12-19T11:42:02</t>
  </si>
  <si>
    <t>2019-12-19T13:50:40.267+05:30</t>
  </si>
  <si>
    <t>2019-12-19T17:10:07.273+05:30</t>
  </si>
  <si>
    <t>2019-09-12T01:47:01.000+06:30</t>
  </si>
  <si>
    <t>2019-09-02T10:41:00.000+06:30</t>
  </si>
  <si>
    <t>2019-09-02T17:45:00.000+06:30</t>
  </si>
  <si>
    <t>2019-09-03T17:45:00.000+06:30</t>
  </si>
  <si>
    <t>2019-12-19T13:51:00.000+05:30</t>
  </si>
  <si>
    <t>22.5535227 88.3856469 -55.20000076293945 5.0</t>
  </si>
  <si>
    <t>(SISTI LAB OPERATOR NO -7)RED COLONY(10^2=55,10^3=9)</t>
  </si>
  <si>
    <t>33df402f-8939-428c-a7ea-0f6a6cc508cb</t>
  </si>
  <si>
    <t>2019-09-12T08:14:39</t>
  </si>
  <si>
    <t>2019-09-12T01:51:13.000+06:30</t>
  </si>
  <si>
    <t>a64b4bce-a002-46a5-a69d-d196d9ec2cea</t>
  </si>
  <si>
    <t>2019-12-19T11:42:05</t>
  </si>
  <si>
    <t>2019-12-19T13:57:08.660+05:30</t>
  </si>
  <si>
    <t>2019-12-19T17:09:45.216+05:30</t>
  </si>
  <si>
    <t>2019-09-02T17:00:00.000+06:30</t>
  </si>
  <si>
    <t>2019-09-03T17:00:00.000+06:30</t>
  </si>
  <si>
    <t>2019-12-19T13:57:00.000+05:30</t>
  </si>
  <si>
    <t>22.5535516 88.3856411 -56.400001525878906 5.0</t>
  </si>
  <si>
    <t>SAMPLE WITH SL1012, DHAPA DHIPI RAJAR GHAT NATUN PARA, RED COLONY(100ml=0)</t>
  </si>
  <si>
    <t>c3ec79c5-279e-4de1-be4e-4dae0709652e</t>
  </si>
  <si>
    <t>2019-09-12T08:18:51</t>
  </si>
  <si>
    <t>2019-09-12T01:55:07.000+06:30</t>
  </si>
  <si>
    <t>Sample collected by Buddhadeb Samaddar, FB at PLc 1149</t>
  </si>
  <si>
    <t>9df1f7cb-6610-4e6a-b76a-1f6769546c08</t>
  </si>
  <si>
    <t>2019-12-19T11:42:11</t>
  </si>
  <si>
    <t>2019-09-02T13:15:00.000+06:30</t>
  </si>
  <si>
    <t>2019-09-02T16:30:00.000+06:30</t>
  </si>
  <si>
    <t>2019-12-23T11:36:50.405+05:30</t>
  </si>
  <si>
    <t>2019-09-02T17:40:00.000+06:30</t>
  </si>
  <si>
    <t>2019-12-23T14:52:04.267+05:30</t>
  </si>
  <si>
    <t>2019-09-03T17:40:00.000+06:30</t>
  </si>
  <si>
    <t>2019-12-23T11:37:00.000+05:30</t>
  </si>
  <si>
    <t>22.5413885 88.3760497 -53.5 5.0</t>
  </si>
  <si>
    <t>RED COLONY (10^3=8,10^4=2)</t>
  </si>
  <si>
    <t>9a5ac4c3-f6c7-4164-aad2-48f1d71e2d5b</t>
  </si>
  <si>
    <t>2019-09-12T08:22:45</t>
  </si>
  <si>
    <t>2019-09-12T01:58:51.000+06:30</t>
  </si>
  <si>
    <t>2019-09-02T15:55:00.000+06:30</t>
  </si>
  <si>
    <t>2019-09-02T16:40:00.000+06:30</t>
  </si>
  <si>
    <t>2019-09-02T17:50:00.000+06:30</t>
  </si>
  <si>
    <t>0bf23309-d1fd-4f67-a440-b3e39ceb8df5</t>
  </si>
  <si>
    <t>2019-09-03T17:50:00.000+06:30</t>
  </si>
  <si>
    <t>2019-12-23T09:22:26</t>
  </si>
  <si>
    <t>2019-12-23T11:43:07.923+05:30</t>
  </si>
  <si>
    <t>2019-12-23T14:51:45.568+05:30</t>
  </si>
  <si>
    <t>2019-12-23T11:43:00.000+05:30</t>
  </si>
  <si>
    <t>22.541324 88.3760673 -40.70000076293945 5.0</t>
  </si>
  <si>
    <t>RED COLONY(10^2=TDTC,10^3=190)</t>
  </si>
  <si>
    <t>33081834-e2cf-4b12-97d3-a39f904a0d5a</t>
  </si>
  <si>
    <t>2019-09-12T08:26:28</t>
  </si>
  <si>
    <t>2019-09-12T04:42:57.000+06:30</t>
  </si>
  <si>
    <t>2019-09-12T05:00:16.000+06:30</t>
  </si>
  <si>
    <t>Sample collected by Suvankar Mandal, FB at PLc1150 site</t>
  </si>
  <si>
    <t>2019-09-02T16:20:00.000+06:30</t>
  </si>
  <si>
    <t>afc087da-6fbb-4fbb-bcff-1e953abac06c</t>
  </si>
  <si>
    <t>2019-12-23T09:22:29</t>
  </si>
  <si>
    <t>2019-12-23T11:50:11.119+05:30</t>
  </si>
  <si>
    <t>2019-12-23T14:52:08.786+05:30</t>
  </si>
  <si>
    <t>(SAMPLE WITH SW1009) , DHAPA DHIPI RAJARGHAT NATUN PARA ,RED COLONY(100ml=0)</t>
  </si>
  <si>
    <t>K22345 &amp; K22346</t>
  </si>
  <si>
    <t>cf45f655-188d-4876-9f51-2297c834362b</t>
  </si>
  <si>
    <t>2019-12-23T11:51:00.000+05:30</t>
  </si>
  <si>
    <t>2019-09-12T11:27:54</t>
  </si>
  <si>
    <t>22.5409209 88.3758066 -49.5 5.0</t>
  </si>
  <si>
    <t>2019-09-12T05:06:54.000+06:30</t>
  </si>
  <si>
    <t>d7a78b9a-feba-403e-93f3-ecb0b118406a</t>
  </si>
  <si>
    <t>2019-12-23T09:22:31</t>
  </si>
  <si>
    <t>2019-12-23T11:55:49.570+05:30</t>
  </si>
  <si>
    <t>RED COLONY(10ml=TDTC,10^1=45)</t>
  </si>
  <si>
    <t>2019-12-23T14:51:50.047+05:30</t>
  </si>
  <si>
    <t>02ff357b-677d-46a9-988e-15da259c1436</t>
  </si>
  <si>
    <t>2019-12-23T11:56:00.000+05:30</t>
  </si>
  <si>
    <t>2019-09-12T11:34:32</t>
  </si>
  <si>
    <t>22.5409626 88.3757566 -58.79999923706055 5.0</t>
  </si>
  <si>
    <t>2019-09-12T05:16:37.000+06:30</t>
  </si>
  <si>
    <t>2019-09-02T16:10:00.000+06:30</t>
  </si>
  <si>
    <t>Sample collected by Somnath Sarkar, FB at PLc1151 site</t>
  </si>
  <si>
    <t>5bb0ad26-fca5-49f5-9812-d0e6cf37a2fd</t>
  </si>
  <si>
    <t>2019-12-23T09:22:33</t>
  </si>
  <si>
    <t>2019-12-23T12:06:25.556+05:30</t>
  </si>
  <si>
    <t>2019-12-23T14:52:13.100+05:30</t>
  </si>
  <si>
    <t>SAMPLE PROCESSED WITH LS1010,LS1011,LS1012 RED COLONY(100mL=0)</t>
  </si>
  <si>
    <t>7161ce6d-f3b6-46eb-a0e3-81945eb42475</t>
  </si>
  <si>
    <t>2019-09-12T11:44:15</t>
  </si>
  <si>
    <t>K21002</t>
  </si>
  <si>
    <t>2019-09-12T05:16:38.000+06:30</t>
  </si>
  <si>
    <t>2019-12-23T12:21:00.000+05:30</t>
  </si>
  <si>
    <t>22.5411321 88.3742883 -41.29999923706055 5.0</t>
  </si>
  <si>
    <t>2019-09-12T05:20:13.000+06:30</t>
  </si>
  <si>
    <t>RED COLONY(10ml=TDTC,10^1=53)</t>
  </si>
  <si>
    <t>e20c3b5a-cbf4-423f-8c56-5d818d779a61</t>
  </si>
  <si>
    <t>6b52b866-d8f0-4f07-8258-91f6852f9546</t>
  </si>
  <si>
    <t>2019-12-23T09:22:36</t>
  </si>
  <si>
    <t>2019-09-12T11:47:50</t>
  </si>
  <si>
    <t>2019-12-23T12:26:56.234+05:30</t>
  </si>
  <si>
    <t>2019-12-23T14:51:54.547+05:30</t>
  </si>
  <si>
    <t>2019-09-12T05:24:07.000+06:30</t>
  </si>
  <si>
    <t>2019-12-23T12:27:00.000+05:30</t>
  </si>
  <si>
    <t>22.5410939 88.3743551 -51.599998474121094 5.0</t>
  </si>
  <si>
    <t>RED COLONY(10ml=TNTC,10^1=TNTC)</t>
  </si>
  <si>
    <t>cf439d95-18f4-4db3-83b4-1f24a843219b</t>
  </si>
  <si>
    <t>2019-09-12T11:51:45</t>
  </si>
  <si>
    <t>Sample collected by Buddhadeb Samaddar, FB at PLc1152 site</t>
  </si>
  <si>
    <t>2019-09-12T05:27:25.000+06:30</t>
  </si>
  <si>
    <t>2b46ec78-4621-483a-a955-8a479dc800aa</t>
  </si>
  <si>
    <t>2019-12-23T09:22:38</t>
  </si>
  <si>
    <t>2019-12-23T12:33:43.428+05:30</t>
  </si>
  <si>
    <t>2019-12-23T14:52:19.145+05:30</t>
  </si>
  <si>
    <t>2019-12-23T12:34:00.000+05:30</t>
  </si>
  <si>
    <t>22.5414785 88.3753743 -40.70000076293945 5.0</t>
  </si>
  <si>
    <t>ab220550-b766-4d43-8163-e9c769ce3a24</t>
  </si>
  <si>
    <t>2019-09-12T11:55:03</t>
  </si>
  <si>
    <t>2019-09-12T05:38:10.000+06:30</t>
  </si>
  <si>
    <t>2019-09-03T15:15:00.000+06:30</t>
  </si>
  <si>
    <t>a5e9218a-9dc4-4469-9fac-60f703781666</t>
  </si>
  <si>
    <t>2019-09-03T15:30:00.000+06:30</t>
  </si>
  <si>
    <t>2019-12-23T09:22:41</t>
  </si>
  <si>
    <t>2019-09-03T16:00:00.000+06:30</t>
  </si>
  <si>
    <t>2019-09-04T16:00:00.000+06:30</t>
  </si>
  <si>
    <t>2019-12-23T12:37:40.829+05:30</t>
  </si>
  <si>
    <t>2019-12-23T14:51:59.349+05:30</t>
  </si>
  <si>
    <t>2019-12-23T12:38:00.000+05:30</t>
  </si>
  <si>
    <t>22.5414194 88.3755709 -57.20000076293945 5.0</t>
  </si>
  <si>
    <t>SAMPLE WITH MO1092, CHINGRIGHATA DPS RANI RASMONI GARDEN,REDCOLONY(100ml=0)</t>
  </si>
  <si>
    <t>59b47bee-b76d-4fc4-a7c2-6df65f1fc013</t>
  </si>
  <si>
    <t>2019-09-12T12:05:47</t>
  </si>
  <si>
    <t>2019-09-12T05:41:34.000+06:30</t>
  </si>
  <si>
    <t>2019-09-12T05:46:37.000+06:30</t>
  </si>
  <si>
    <t>Sample collected by Debabrata Maity, FB at PLc1153 site</t>
  </si>
  <si>
    <t>2019-09-03T15:35:00.000+06:30</t>
  </si>
  <si>
    <t>57c4f354-7b52-49e7-b483-30e0bb08c938</t>
  </si>
  <si>
    <t>2019-12-23T09:22:44</t>
  </si>
  <si>
    <t>2019-09-03T16:40:00.000+06:30</t>
  </si>
  <si>
    <t>2019-09-04T16:40:00.000+06:30</t>
  </si>
  <si>
    <t>2019-12-27T11:14:26.480+05:30</t>
  </si>
  <si>
    <t>2019-12-30T14:49:09.346+05:30</t>
  </si>
  <si>
    <t>2019-12-27T11:15:00.000+05:30</t>
  </si>
  <si>
    <t>22.5345909 88.3960658 -42.599998474121094 5.0</t>
  </si>
  <si>
    <t>RED COLONY(10^2=TDTC,10^3=TDTC,10^4=45)</t>
  </si>
  <si>
    <t>928eaaa9-83ea-46d5-87e3-8d415222aaae</t>
  </si>
  <si>
    <t>2019-09-12T12:14:15</t>
  </si>
  <si>
    <t>2019-09-12T05:51:22.000+06:30</t>
  </si>
  <si>
    <t>2019-09-03T15:45:00.000+06:30</t>
  </si>
  <si>
    <t>2019-09-03T16:50:00.000+06:30</t>
  </si>
  <si>
    <t>2019-09-04T16:50:00.000+06:30</t>
  </si>
  <si>
    <t>52edc968-8100-4e50-bfed-fbca739d8c77</t>
  </si>
  <si>
    <t>2019-12-30T09:19:24</t>
  </si>
  <si>
    <t>2019-12-27T11:18:08.373+05:30</t>
  </si>
  <si>
    <t>2019-12-30T14:48:59.733+05:30</t>
  </si>
  <si>
    <t>RED COLONY(10^4=11,10^5=7,10^6=4)</t>
  </si>
  <si>
    <t>2019-12-27T11:19:00.000+05:30</t>
  </si>
  <si>
    <t>513c46aa-7f2e-46e5-bd98-9f644438f036</t>
  </si>
  <si>
    <t>22.5345535 88.3958884 -41.099998474121094 5.0</t>
  </si>
  <si>
    <t>2019-09-12T12:18:59</t>
  </si>
  <si>
    <t>2019-09-12T22:44:51.000+06:30</t>
  </si>
  <si>
    <t>2019-09-12T23:04:41.000+06:30</t>
  </si>
  <si>
    <t>2019-09-11T13:45:00.000+06:30</t>
  </si>
  <si>
    <t>2019-09-11T14:35:00.000+06:30</t>
  </si>
  <si>
    <t>b4047310-bd74-4549-a1e0-395ff7b83087</t>
  </si>
  <si>
    <t>2019-12-30T09:19:28</t>
  </si>
  <si>
    <t>2019-09-11T16:20:00.000+06:30</t>
  </si>
  <si>
    <t>2019-12-27T11:32:58.428+05:30</t>
  </si>
  <si>
    <t>2019-09-12T16:20:00.000+06:30</t>
  </si>
  <si>
    <t>2019-12-30T14:49:14.207+05:30</t>
  </si>
  <si>
    <t>2019-12-27T11:34:00.000+05:30</t>
  </si>
  <si>
    <t>22.539997 88.387201 -53.20000076293945 5.0</t>
  </si>
  <si>
    <t>RED COLONY(10^2=TNTC,10^3=TNTC)</t>
  </si>
  <si>
    <t>2e3414e0-d228-402e-80fb-996330d493e5</t>
  </si>
  <si>
    <t>2019-09-13T05:32:19</t>
  </si>
  <si>
    <t>b52b7839-3c65-42e8-90d9-0ea486112c47</t>
  </si>
  <si>
    <t>2019-12-30T09:19:30</t>
  </si>
  <si>
    <t>2019-12-27T11:36:56.473+05:30</t>
  </si>
  <si>
    <t>2019-12-30T14:49:04.659+05:30</t>
  </si>
  <si>
    <t>2019-09-12T23:07:46.000+06:30</t>
  </si>
  <si>
    <t>2019-09-11T14:00:00.000+06:30</t>
  </si>
  <si>
    <t>2019-12-27T11:37:00.000+05:30</t>
  </si>
  <si>
    <t>2019-09-11T14:20:00.000+06:30</t>
  </si>
  <si>
    <t>22.5400312 88.3872133 -54.5 5.0</t>
  </si>
  <si>
    <t>2019-09-12T14:20:00.000+06:30</t>
  </si>
  <si>
    <t>SAMPLE WITH SL1013,DHAPA DHIPI RAGARGHT NATUNPARA,RED COLONY(100ml=1)</t>
  </si>
  <si>
    <t>516431e5-db5b-41ab-b3f4-4635173b7728</t>
  </si>
  <si>
    <t>2019-09-13T05:35:23</t>
  </si>
  <si>
    <t>aae53fc7-73bf-465b-926c-27da6fcabd53</t>
  </si>
  <si>
    <t>2019-09-12T23:07:47.000+06:30</t>
  </si>
  <si>
    <t>2019-12-30T09:19:32</t>
  </si>
  <si>
    <t>2019-12-26T11:33:07.569+05:30</t>
  </si>
  <si>
    <t>2019-12-30T14:52:36.909+05:30</t>
  </si>
  <si>
    <t>2019-09-12T23:12:04.000+06:30</t>
  </si>
  <si>
    <t>2019-09-11T14:40:00.000+06:30</t>
  </si>
  <si>
    <t>2019-12-26T11:34:00.000+05:30</t>
  </si>
  <si>
    <t>22.541348 88.3760346 -44.79999923706055 5.0</t>
  </si>
  <si>
    <t>RED COLONY(10^2=TDTC,10^3=TDTC)</t>
  </si>
  <si>
    <t>7b3f0223-c2f6-48ca-9f70-a3455b7052f6</t>
  </si>
  <si>
    <t>2019-09-13T05:39:42</t>
  </si>
  <si>
    <t>03e6d769-30df-4881-95f8-07dd6fbf2a25</t>
  </si>
  <si>
    <t>2019-09-12T23:16:11.000+06:30</t>
  </si>
  <si>
    <t>2019-12-30T09:24:38</t>
  </si>
  <si>
    <t>2019-12-26T11:38:41.255+05:30</t>
  </si>
  <si>
    <t>2019-12-30T14:51:27.924+05:30</t>
  </si>
  <si>
    <t>2019-09-11T14:25:00.000+06:30</t>
  </si>
  <si>
    <t>2019-09-12T14:25:00.000+06:30</t>
  </si>
  <si>
    <t>2019-12-26T11:39:00.000+05:30</t>
  </si>
  <si>
    <t>22.5413831 88.3761267 -34.0 5.0</t>
  </si>
  <si>
    <t>(SAMPLE WITH SW1010),DHAPA DHIPI RAJAR GHAT NATUN PARA,</t>
  </si>
  <si>
    <t>832edcf9-be44-4fec-a79a-c44b39d18aa9</t>
  </si>
  <si>
    <t>2019-09-13T05:43:49</t>
  </si>
  <si>
    <t>Sample collected by Buddhadeb Samaddar, FB at PLc1154 site</t>
  </si>
  <si>
    <t>c9774cb5-8153-4702-8032-8495481f73ac</t>
  </si>
  <si>
    <t>2019-12-30T09:24:43</t>
  </si>
  <si>
    <t>2019-09-12T23:28:39.000+06:30</t>
  </si>
  <si>
    <t>2019-12-26T11:44:26.564+05:30</t>
  </si>
  <si>
    <t>2019-12-30T14:52:46.677+05:30</t>
  </si>
  <si>
    <t>2019-09-11T14:10:00.000+06:30</t>
  </si>
  <si>
    <t>2019-09-12T14:10:00.000+06:30</t>
  </si>
  <si>
    <t>K22345, K22346</t>
  </si>
  <si>
    <t>2019-12-26T11:45:00.000+05:30</t>
  </si>
  <si>
    <t>22.5409122 88.3757935 -47.5 5.0</t>
  </si>
  <si>
    <t>9186ecb6-1355-4412-aa7b-a61590d8e8f5</t>
  </si>
  <si>
    <t>2019-09-13T05:56:17</t>
  </si>
  <si>
    <t>2019-09-13T04:28:10.000+06:30</t>
  </si>
  <si>
    <t>2019-09-13T04:32:43.000+06:30</t>
  </si>
  <si>
    <t>327458b0-0798-4fd5-9841-594fb4226d76</t>
  </si>
  <si>
    <t>2019-12-30T09:24:49</t>
  </si>
  <si>
    <t>2019-09-04T17:00:00.000+06:30</t>
  </si>
  <si>
    <t>2019-12-26T11:50:13.009+05:30</t>
  </si>
  <si>
    <t>2019-12-30T14:51:36.226+05:30</t>
  </si>
  <si>
    <t>RED COLONY(10^4=5,10^5=2,10^6=0)</t>
  </si>
  <si>
    <t>2019-12-26T11:51:00.000+05:30</t>
  </si>
  <si>
    <t>22.5409767 88.3758671 -55.400001525878906 5.0</t>
  </si>
  <si>
    <t>2e93deb2-f2b2-481e-bd77-a4828d7b3544</t>
  </si>
  <si>
    <t>2019-09-13T11:00:19</t>
  </si>
  <si>
    <t>2019-09-13T04:36:27.000+06:30</t>
  </si>
  <si>
    <t>2019-09-03T15:55:00.000+06:30</t>
  </si>
  <si>
    <t>2019-09-03T16:15:00.000+06:30</t>
  </si>
  <si>
    <t>2019-09-04T16:15:00.000+06:30</t>
  </si>
  <si>
    <t>Sample collected by Somnath Sarkar, FB at PLc1155 site</t>
  </si>
  <si>
    <t>b7a2c511-8506-46ab-8dff-7a70cd651264</t>
  </si>
  <si>
    <t>2019-12-30T09:25:00</t>
  </si>
  <si>
    <t>2019-12-26T11:56:46.725+05:30</t>
  </si>
  <si>
    <t>2019-12-30T14:52:56.929+05:30</t>
  </si>
  <si>
    <t>SAMPLE WITH PL1022,42B TILJALA ROOD , RED COLONY(100ml=0)</t>
  </si>
  <si>
    <t>4040a445-9b7e-4e3d-941b-8bbe34aba86a</t>
  </si>
  <si>
    <t>2019-09-13T11:04:04</t>
  </si>
  <si>
    <t>2019-12-26T11:57:00.000+05:30</t>
  </si>
  <si>
    <t>22.5413604 88.3751857 -83.5 4.0</t>
  </si>
  <si>
    <t>2019-09-13T04:38:44.000+06:30</t>
  </si>
  <si>
    <t>2019-09-04T15:45:00.000+06:30</t>
  </si>
  <si>
    <t>fd7a8960-a53c-4b1b-9c88-7d942dc5804a</t>
  </si>
  <si>
    <t>2019-12-30T09:25:10</t>
  </si>
  <si>
    <t>2019-12-26T12:02:22.320+05:30</t>
  </si>
  <si>
    <t>2019-12-30T14:51:45.509+05:30</t>
  </si>
  <si>
    <t>50e8bf25-d2e6-4d76-b943-d6787c2b5bfe</t>
  </si>
  <si>
    <t>2019-09-13T11:06:21</t>
  </si>
  <si>
    <t>2019-09-13T04:42:21.000+06:30</t>
  </si>
  <si>
    <t>2019-12-26T12:02:00.000+05:30</t>
  </si>
  <si>
    <t>22.5412682 88.3750998 -99.5 5.0</t>
  </si>
  <si>
    <t>2019-09-04T14:50:00.000+06:30</t>
  </si>
  <si>
    <t>2019-09-04T15:25:00.000+06:30</t>
  </si>
  <si>
    <t>2019-09-04T17:15:00.000+06:30</t>
  </si>
  <si>
    <t>2019-09-05T17:15:00.000+06:30</t>
  </si>
  <si>
    <t>SAMPLE TYPE -TOMATO, RED COLONY(10^1=20,10^2=9)</t>
  </si>
  <si>
    <t>eb136359-2d8c-4273-86d5-37a8f9e87419</t>
  </si>
  <si>
    <t>2019-09-13T11:09:58</t>
  </si>
  <si>
    <t>Sample collected by Biplab Jash, FB at PLc1156 site</t>
  </si>
  <si>
    <t>b09d0bec-c105-465d-8c33-d15745bc9e97</t>
  </si>
  <si>
    <t>2019-12-30T09:25:11</t>
  </si>
  <si>
    <t>2019-09-13T04:45:41.000+06:30</t>
  </si>
  <si>
    <t>2019-12-26T12:11:05.710+05:30</t>
  </si>
  <si>
    <t>2019-12-30T14:53:06.749+05:30</t>
  </si>
  <si>
    <t>2019-12-26T12:11:00.000+05:30</t>
  </si>
  <si>
    <t>22.5410753 88.3743655 -35.599998474121094 5.0</t>
  </si>
  <si>
    <t>sample type-coriander, red colony(10^1=TDTC,10^2=TNTC)</t>
  </si>
  <si>
    <t>d938f72c-226d-4d92-a67c-37083cdb2d3b</t>
  </si>
  <si>
    <t>2019-09-13T11:13:18</t>
  </si>
  <si>
    <t>2019-09-13T04:49:10.000+06:30</t>
  </si>
  <si>
    <t>df63d9f3-596d-44f5-8f5a-e1dbb87453c6</t>
  </si>
  <si>
    <t>2019-12-30T09:25:13</t>
  </si>
  <si>
    <t>2019-09-04T15:00:00.000+06:30</t>
  </si>
  <si>
    <t>2019-09-04T15:15:00.000+06:30</t>
  </si>
  <si>
    <t>2019-09-05T15:15:00.000+06:30</t>
  </si>
  <si>
    <t>2019-12-26T12:18:38.530+05:30</t>
  </si>
  <si>
    <t>2019-12-30T14:51:54.784+05:30</t>
  </si>
  <si>
    <t>SAMPLE WITH RP1011&amp;RP1012, DHAPA DHIPI RAJARGHAT NATUN PARA RED COLONY(100ml=0)</t>
  </si>
  <si>
    <t>2019-12-26T12:19:00.000+05:30</t>
  </si>
  <si>
    <t>22.5411131 88.3743038 -70.5 5.0</t>
  </si>
  <si>
    <t>468807de-678c-4221-b4e1-589b4371d03f</t>
  </si>
  <si>
    <t>2019-09-13T11:16:46</t>
  </si>
  <si>
    <t>2019-09-13T04:55:30.000+06:30</t>
  </si>
  <si>
    <t>2019-09-04T14:55:00.000+06:30</t>
  </si>
  <si>
    <t>Sample collected by Debabrata Maity, FB at PLc1157 site</t>
  </si>
  <si>
    <t>2019-09-04T15:10:00.000+06:30</t>
  </si>
  <si>
    <t>2019-09-04T17:30:00.000+06:30</t>
  </si>
  <si>
    <t>2019-09-05T17:30:00.000+06:30</t>
  </si>
  <si>
    <t>42e32e50-c685-4e2f-a324-9d2fdfb77d05</t>
  </si>
  <si>
    <t>2019-12-30T09:25:14</t>
  </si>
  <si>
    <t>2019-12-27T11:51:03.165+05:30</t>
  </si>
  <si>
    <t>2019-12-30T14:53:17.454+05:30</t>
  </si>
  <si>
    <t>SAPLE TYPE -(GAUVA+PINE APPLE) CUT FRUIT,RED COLONY(1ml=TDTC,10^1=TNTC,10^2=200)</t>
  </si>
  <si>
    <t>fe60db27-34f4-43d4-b694-12fe96c2f1d7</t>
  </si>
  <si>
    <t>2019-09-13T11:23:08</t>
  </si>
  <si>
    <t>2019-12-27T11:51:00.000+05:30</t>
  </si>
  <si>
    <t>22.5399645 88.3767263 3.0 5.0</t>
  </si>
  <si>
    <t>2019-09-13T04:59:20.000+06:30</t>
  </si>
  <si>
    <t>2019-09-04T15:12:00.000+06:30</t>
  </si>
  <si>
    <t>2019-09-04T15:40:00.000+06:30</t>
  </si>
  <si>
    <t>2019-09-05T15:40:00.000+06:30</t>
  </si>
  <si>
    <t>SAMPLE WITH SF1013, DHAPA DHIPI RAJAR GHAT NAATUN PARA ,RED COLONY (100ml=0)</t>
  </si>
  <si>
    <t>a7992980-c91d-4f12-ba3e-5816b3c8310a</t>
  </si>
  <si>
    <t>4eaf67c2-88eb-4de4-9bcf-f35a8a54abda</t>
  </si>
  <si>
    <t>2019-12-30T09:25:16</t>
  </si>
  <si>
    <t>2019-12-27T11:56:11.946+05:30</t>
  </si>
  <si>
    <t>2019-09-13T11:26:57</t>
  </si>
  <si>
    <t>2019-12-30T14:52:06.767+05:30</t>
  </si>
  <si>
    <t>2019-09-13T05:02:59.000+06:30</t>
  </si>
  <si>
    <t>2019-09-04T16:05:00.000+06:30</t>
  </si>
  <si>
    <t>2019-12-27T11:56:00.000+05:30</t>
  </si>
  <si>
    <t>2019-09-04T17:45:00.000+06:30</t>
  </si>
  <si>
    <t>22.54002 88.3768409 -34.70000076293945 5.0</t>
  </si>
  <si>
    <t>2019-09-05T17:45:00.000+06:30</t>
  </si>
  <si>
    <t>RED COLONY(10^4=18,10^5=40,10^6=0)</t>
  </si>
  <si>
    <t>4e225298-135a-443c-aed0-1504c317a1ff</t>
  </si>
  <si>
    <t>Sample collected by Buddhadeb Samaddar, FB at PLc1158 site</t>
  </si>
  <si>
    <t>2019-09-13T11:30:35</t>
  </si>
  <si>
    <t>6d1e2006-d6c4-4946-a0a6-5f7a03003187</t>
  </si>
  <si>
    <t>2019-12-30T09:25:17</t>
  </si>
  <si>
    <t>2019-09-13T05:06:17.000+06:30</t>
  </si>
  <si>
    <t>2019-12-27T12:08:09.592+05:30</t>
  </si>
  <si>
    <t>2019-12-30T14:53:31.741+05:30</t>
  </si>
  <si>
    <t>2019-09-05T15:45:00.000+06:30</t>
  </si>
  <si>
    <t>2019-12-27T12:35:00.000+05:30</t>
  </si>
  <si>
    <t>22.5451688 88.3834561 -58.70000076293945 4.5</t>
  </si>
  <si>
    <t>sample with PL1023, GOBINDO KHATIK ROOD, RED COLONY (100ml=TNTC)</t>
  </si>
  <si>
    <t>fbd6d6fe-5513-458b-a350-807d79444131</t>
  </si>
  <si>
    <t>2019-09-13T11:33:54</t>
  </si>
  <si>
    <t>2019-09-13T05:09:25.000+06:30</t>
  </si>
  <si>
    <t>2019-09-04T16:10:00.000+06:30</t>
  </si>
  <si>
    <t>2019-09-04T17:48:00.000+06:30</t>
  </si>
  <si>
    <t>77ad2cea-ada2-4ad2-84ae-ce6a420105b7</t>
  </si>
  <si>
    <t>2019-09-05T17:48:00.000+06:30</t>
  </si>
  <si>
    <t>2019-12-30T09:25:19</t>
  </si>
  <si>
    <t>2019-12-27T12:40:29.480+05:30</t>
  </si>
  <si>
    <t>2019-12-30T14:52:17.815+05:30</t>
  </si>
  <si>
    <t>2019-12-27T12:41:00.000+05:30</t>
  </si>
  <si>
    <t>22.5451681 88.3834668 -63.400001525878906 5.0</t>
  </si>
  <si>
    <t>RED COLONY (10^3=TDTC,10^4=120,10^5=17)</t>
  </si>
  <si>
    <t>fc734b6f-98bf-4250-a0bd-06918de17b8f</t>
  </si>
  <si>
    <t>2019-09-13T11:37:02</t>
  </si>
  <si>
    <t>Sample collected by Somnath Sarkar, FB at PLc1159 site</t>
  </si>
  <si>
    <t>2019-09-13T05:11:20.000+06:30</t>
  </si>
  <si>
    <t>1a12e503-5f4e-4f18-aff8-024cf33ba734</t>
  </si>
  <si>
    <t>2019-12-30T09:25:20</t>
  </si>
  <si>
    <t>2019-12-30T11:44:14.060+05:30</t>
  </si>
  <si>
    <t>2019-12-30T14:53:44.668+05:30</t>
  </si>
  <si>
    <t>2019-12-30T11:46:00.000+05:30</t>
  </si>
  <si>
    <t>22.5414331 88.3761543 -65.4000015258789 7.5</t>
  </si>
  <si>
    <t>4f5aba61-692e-4a8d-8cec-047d68edfd53</t>
  </si>
  <si>
    <t>2019-09-13T11:38:57</t>
  </si>
  <si>
    <t>2019-09-13T05:16:27.000+06:30</t>
  </si>
  <si>
    <t>2019-09-04T16:45:00.000+06:30</t>
  </si>
  <si>
    <t>2019-09-05T15:20:00.000+06:30</t>
  </si>
  <si>
    <t>2019-09-05T16:25:00.000+06:30</t>
  </si>
  <si>
    <t>2019-09-06T16:25:00.000+06:30</t>
  </si>
  <si>
    <t>ac56ace0-4b73-4ce6-917c-3eddb2b203b5</t>
  </si>
  <si>
    <t>2019-12-30T09:26:19</t>
  </si>
  <si>
    <t>2019-12-30T12:00:28.246+05:30</t>
  </si>
  <si>
    <t>2019-12-30T14:52:27.227+05:30</t>
  </si>
  <si>
    <t>2019-12-30T12:01:00.000+05:30</t>
  </si>
  <si>
    <t>22.5412847 88.3761649 -44.400001525878906 7.0</t>
  </si>
  <si>
    <t>SAMPLE TYPE -ALU+ PURI OF PANI PURI RED COLONY(1ml=TNTC,10^1=70,10^2=27)</t>
  </si>
  <si>
    <t>1a2829bf-aebb-4706-b76d-d69ba9d3dec8</t>
  </si>
  <si>
    <t>2019-09-13T11:44:04</t>
  </si>
  <si>
    <t>2019-09-13T05:16:28.000+06:30</t>
  </si>
  <si>
    <t>2019-09-13T05:20:43.000+06:30</t>
  </si>
  <si>
    <t>75007dd5-4d7b-47f3-a6d9-68b1cb5aa375</t>
  </si>
  <si>
    <t>2019-12-30T09:26:51</t>
  </si>
  <si>
    <t>2019-12-30T12:07:16.887+05:30</t>
  </si>
  <si>
    <t>2019-12-30T15:18:13.771+05:30</t>
  </si>
  <si>
    <t>SAMPLE TYPE- PANI OF PANI PURI, RED COLONY(1ml=0,10^1=9,10^2=0)</t>
  </si>
  <si>
    <t>3b9084ff-027a-403f-b16c-c27df5367f8e</t>
  </si>
  <si>
    <t>2019-09-13T11:48:21</t>
  </si>
  <si>
    <t>2019-12-30T12:17:00.000+05:30</t>
  </si>
  <si>
    <t>22.5409504 88.3758742 -72.5999984741211 5.0</t>
  </si>
  <si>
    <t>2019-09-13T05:24:48.000+06:30</t>
  </si>
  <si>
    <t>92da1ddd-20f4-48a1-979b-b148a93ee617</t>
  </si>
  <si>
    <t>2019-12-30T09:49:06</t>
  </si>
  <si>
    <t>2019-12-30T12:27:30.246+05:30</t>
  </si>
  <si>
    <t>2019-12-30T15:17:58.338+05:30</t>
  </si>
  <si>
    <t>SAMPLE WITH MO1093, CHINGRIGHATA,DPS, RED COLONY(100ml=0)</t>
  </si>
  <si>
    <t>dceadda5-ce31-475d-9508-6ea41ed1ea6e</t>
  </si>
  <si>
    <t>2019-09-13T11:52:24</t>
  </si>
  <si>
    <t>2019-09-13T05:27:28.000+06:30</t>
  </si>
  <si>
    <t>2019-12-30T12:28:00.000+05:30</t>
  </si>
  <si>
    <t>22.5408945 88.3758237 -64.5 5.0</t>
  </si>
  <si>
    <t>2019-09-13T05:33:21.000+06:30</t>
  </si>
  <si>
    <t>2019-08-26T11:20:00.000+06:30</t>
  </si>
  <si>
    <t>2019-08-26T15:00:00.000+06:30</t>
  </si>
  <si>
    <t>2019-08-26T17:30:00.000+06:30</t>
  </si>
  <si>
    <t>2019-08-27T17:30:00.000+06:30</t>
  </si>
  <si>
    <t>4a868612-4062-47aa-8cca-0182db750212</t>
  </si>
  <si>
    <t>2019-12-30T09:49:09</t>
  </si>
  <si>
    <t>2019-12-30T12:46:28.114+05:30</t>
  </si>
  <si>
    <t>2019-12-30T15:18:18.702+05:30</t>
  </si>
  <si>
    <t>SAMPLE WITH RP1010, DHAPA DHIPI RAJAR GHAT NATUN PARA, RED COLONY(100ml=0)</t>
  </si>
  <si>
    <t>9fad5fc7-5eaa-48df-92f9-67f3ad3ee68a</t>
  </si>
  <si>
    <t>2019-09-13T12:00:57</t>
  </si>
  <si>
    <t>2019-12-30T12:47:00.000+05:30</t>
  </si>
  <si>
    <t>22.5411262 88.3744416 -40.0 5.0</t>
  </si>
  <si>
    <t>2019-09-13T05:36:45.000+06:30</t>
  </si>
  <si>
    <t>cfcb2782-a093-451c-a3ac-37e7300a9f66</t>
  </si>
  <si>
    <t>2019-12-30T09:49:12</t>
  </si>
  <si>
    <t>2019-12-30T12:50:15.428+05:30</t>
  </si>
  <si>
    <t>2019-12-30T15:18:04.103+05:30</t>
  </si>
  <si>
    <t>ARA , REDCOLONY(100mL=0)SAMPLE WITH OD1006, DHAPA DHIPI RAJAR GHAT NATUN P</t>
  </si>
  <si>
    <t>e5dc1282-9763-4938-891a-3a32b257aa92</t>
  </si>
  <si>
    <t>2019-12-30T12:50:00.000+05:30</t>
  </si>
  <si>
    <t>2019-09-13T12:04:22</t>
  </si>
  <si>
    <t>22.5411057 88.3743545 -57.70000076293945 5.0</t>
  </si>
  <si>
    <t>2019-09-16T03:46:37.000+06:30</t>
  </si>
  <si>
    <t>2019-09-16T03:52:58.000+06:30</t>
  </si>
  <si>
    <t>2019-09-12T12:15:00.000+06:30</t>
  </si>
  <si>
    <t>2019-09-12T12:45:00.000+06:30</t>
  </si>
  <si>
    <t>2019-09-12T13:00:00.000+06:30</t>
  </si>
  <si>
    <t>2019-09-13T13:00:00.000+06:30</t>
  </si>
  <si>
    <t>0bd03888-0ee7-4626-b15a-340448264631</t>
  </si>
  <si>
    <t>2019-12-30T09:49:15</t>
  </si>
  <si>
    <t>2019-12-30T12:59:33.126+05:30</t>
  </si>
  <si>
    <t>2019-12-30T15:18:23.602+05:30</t>
  </si>
  <si>
    <t>HOUSE OF MS KALI RAM/BIKASH SARDAR, RED COLONY (100ml=100)</t>
  </si>
  <si>
    <t>2e64a380-b624-41f5-9e5a-2c30e9899d52</t>
  </si>
  <si>
    <t>2019-09-16T10:20:31</t>
  </si>
  <si>
    <t>2019-12-30T13:00:00.000+05:30</t>
  </si>
  <si>
    <t>22.5414908 88.3753265 -56.20000076293945 5.0</t>
  </si>
  <si>
    <t>2019-09-16T03:57:27.000+06:30</t>
  </si>
  <si>
    <t>RED COLONY(10ml=TDTC,10^1=80)</t>
  </si>
  <si>
    <t>6bbaead8-7598-4ab8-9617-4e5836044c94</t>
  </si>
  <si>
    <t>2019-09-16T10:25:02</t>
  </si>
  <si>
    <t>f34c2689-10aa-4707-81b3-7567a2f559c4</t>
  </si>
  <si>
    <t>2019-12-30T09:49:17</t>
  </si>
  <si>
    <t>2019-12-30T13:05:51.962+05:30</t>
  </si>
  <si>
    <t>2019-12-30T15:18:09.008+05:30</t>
  </si>
  <si>
    <t>2019-09-16T04:01:26.000+06:30</t>
  </si>
  <si>
    <t>2019-09-12T14:45:00.000+06:30</t>
  </si>
  <si>
    <t>2019-09-13T14:45:00.000+06:30</t>
  </si>
  <si>
    <t>2019-12-30T13:06:00.000+05:30</t>
  </si>
  <si>
    <t>22.5414977 88.3753189 -58.5 4.5</t>
  </si>
  <si>
    <t>RED COLONY(10ml=TNTC,10^1=45)</t>
  </si>
  <si>
    <t>69384da0-fbaf-4e48-ac98-434eca3e74f4</t>
  </si>
  <si>
    <t>2019-09-16T10:29:01</t>
  </si>
  <si>
    <t>2019-09-16T04:04:51.000+06:30</t>
  </si>
  <si>
    <t>9f49e79f-7797-440e-bfd8-7818f26662e1</t>
  </si>
  <si>
    <t>2019-12-30T09:49:20</t>
  </si>
  <si>
    <t>2019-12-31T11:32:25.902+05:30</t>
  </si>
  <si>
    <t>2020-01-02T15:02:09.087+05:30</t>
  </si>
  <si>
    <t>2019-12-31T11:33:00.000+05:30</t>
  </si>
  <si>
    <t>22.5636705 88.3772848 -24.600000381469727 4.5</t>
  </si>
  <si>
    <t>1b4cbe8d-aa31-405a-a4d2-4e23a88660b6</t>
  </si>
  <si>
    <t>2019-09-16T10:32:25</t>
  </si>
  <si>
    <t>2019-09-16T04:10:01.000+06:30</t>
  </si>
  <si>
    <t>029da47d-136b-4d89-b51e-ce5dc282bb23</t>
  </si>
  <si>
    <t>2020-01-02T09:32:57</t>
  </si>
  <si>
    <t>2019-12-31T11:36:35.406+05:30</t>
  </si>
  <si>
    <t>2020-01-02T15:01:28.632+05:30</t>
  </si>
  <si>
    <t>2019-12-31T11:37:00.000+05:30</t>
  </si>
  <si>
    <t>22.5636762 88.3772576 -32.400001525878906 3.5</t>
  </si>
  <si>
    <t>RED COLONY(10ml=TNTC,10^1=18)</t>
  </si>
  <si>
    <t>19100949-fff3-420a-bd6f-1c6929b0899a</t>
  </si>
  <si>
    <t>2019-09-16T10:37:36</t>
  </si>
  <si>
    <t>2019-09-16T04:16:46.000+06:30</t>
  </si>
  <si>
    <t>7d92743f-a3a0-4c46-8822-8f8b973b59d3</t>
  </si>
  <si>
    <t>2020-01-02T09:33:00</t>
  </si>
  <si>
    <t>2019-12-31T12:06:59.457+05:30</t>
  </si>
  <si>
    <t>2020-01-02T15:02:14.042+05:30</t>
  </si>
  <si>
    <t>2019-12-31T12:07:00.000+05:30</t>
  </si>
  <si>
    <t>RED COLONY(10ml=TDTC,10^1=33)</t>
  </si>
  <si>
    <t>22.5576826 88.3896352 -99.0 4.5</t>
  </si>
  <si>
    <t>92f3e457-3ba6-4995-bdef-323fa2cdabd9</t>
  </si>
  <si>
    <t>2019-09-16T10:44:20</t>
  </si>
  <si>
    <t>2019-09-16T04:18:29.000+06:30</t>
  </si>
  <si>
    <t>010281f2-30b2-4eea-8557-2d7ab149c17f</t>
  </si>
  <si>
    <t>2020-01-02T09:33:03</t>
  </si>
  <si>
    <t>2019-12-31T12:10:33.941+05:30</t>
  </si>
  <si>
    <t>2020-01-02T15:01:33.049+05:30</t>
  </si>
  <si>
    <t>b85bad05-6395-4088-949c-1ee17be2d244</t>
  </si>
  <si>
    <t>2019-09-16T10:46:05</t>
  </si>
  <si>
    <t>2019-09-17T23:19:39.000+06:30</t>
  </si>
  <si>
    <t>2019-12-31T12:11:00.000+05:30</t>
  </si>
  <si>
    <t>22.5579494 88.3896445 -48.900001525878906 4.5</t>
  </si>
  <si>
    <t>2019-09-17T23:31:43.000+06:30</t>
  </si>
  <si>
    <t>2019-09-16T12:00:00.000+06:30</t>
  </si>
  <si>
    <t>2019-09-16T15:00:00.000+06:30</t>
  </si>
  <si>
    <t>2019-09-16T16:50:00.000+06:30</t>
  </si>
  <si>
    <t>2019-09-17T16:50:00.000+06:30</t>
  </si>
  <si>
    <t>37d77fa4-6922-4884-83d7-d7b7e415ecf4</t>
  </si>
  <si>
    <t>2020-01-02T09:33:06</t>
  </si>
  <si>
    <t>RED COLONY(10^4=61,10^5=12,10^6=0)</t>
  </si>
  <si>
    <t>2019-12-31T12:13:51.693+05:30</t>
  </si>
  <si>
    <t>2020-01-02T15:02:51.176+05:30</t>
  </si>
  <si>
    <t>b7c8cbce-02c2-4de6-9ec6-9fa442654c38</t>
  </si>
  <si>
    <t>2019-09-18T05:59:18</t>
  </si>
  <si>
    <t>2019-09-17T23:36:51.000+06:30</t>
  </si>
  <si>
    <t>2019-12-31T12:14:00.000+05:30</t>
  </si>
  <si>
    <t>22.5579185 88.3896187 -64.5999984741211 5.0</t>
  </si>
  <si>
    <t>2019-09-16T14:40:00.000+06:30</t>
  </si>
  <si>
    <t>2019-09-17T15:00:00.000+06:30</t>
  </si>
  <si>
    <t>(SAMPLE WITH PLc1025), TALAT PARVEEN,53/8A TILJALA ROOD, RED COLONY (100ml=1)</t>
  </si>
  <si>
    <t>31e16e1f-1026-484c-8df3-511672e08aa4</t>
  </si>
  <si>
    <t>2020-01-02T09:33:09</t>
  </si>
  <si>
    <t>3e2d563e-fa8a-458e-8571-780fe2a8e220</t>
  </si>
  <si>
    <t>2019-12-31T12:26:33.560+05:30</t>
  </si>
  <si>
    <t>2019-09-18T06:04:26</t>
  </si>
  <si>
    <t>2020-01-02T15:02:18.648+05:30</t>
  </si>
  <si>
    <t>2019-09-17T23:39:02.000+06:30</t>
  </si>
  <si>
    <t>2019-12-31T12:27:00.000+05:30</t>
  </si>
  <si>
    <t>22.5541816 88.3967178 -52.400001525878906 5.0</t>
  </si>
  <si>
    <t>2019-09-16T14:25:00.000+06:30</t>
  </si>
  <si>
    <t>545c2de5-34ec-49fa-9ab6-02bad779bfbe</t>
  </si>
  <si>
    <t>2019-09-18T06:06:36</t>
  </si>
  <si>
    <t>22bffe90-c56f-4d36-b35c-8f425c1f548f</t>
  </si>
  <si>
    <t>2020-01-02T09:33:12</t>
  </si>
  <si>
    <t>2019-09-18T22:19:36.000+06:30</t>
  </si>
  <si>
    <t>2019-12-31T12:29:16.606+05:30</t>
  </si>
  <si>
    <t>2020-01-02T15:01:37.676+05:30</t>
  </si>
  <si>
    <t>2019-09-18T22:22:56.000+06:30</t>
  </si>
  <si>
    <t>2019-09-17T14:00:00.000+06:30</t>
  </si>
  <si>
    <t>2019-09-17T14:30:00.000+06:30</t>
  </si>
  <si>
    <t>2019-09-17T17:30:00.000+06:30</t>
  </si>
  <si>
    <t>2019-12-31T12:30:00.000+05:30</t>
  </si>
  <si>
    <t>2019-09-18T17:30:00.000+06:30</t>
  </si>
  <si>
    <t>22.5542331 88.3967413 -34.599998474121094 5.0</t>
  </si>
  <si>
    <t>RED COLONY(10^1=TDTC,10^2=80,10^3=30)</t>
  </si>
  <si>
    <t>9faaa1d9-e27d-4d74-bd24-451a193be458</t>
  </si>
  <si>
    <t>2020-01-02T09:33:14</t>
  </si>
  <si>
    <t>2020-01-02T11:28:39.936+05:30</t>
  </si>
  <si>
    <t>36b03a46-5ae8-4c81-9e4f-466c61358f46</t>
  </si>
  <si>
    <t>2020-01-02T15:02:23.372+05:30</t>
  </si>
  <si>
    <t>2019-09-19T04:50:29</t>
  </si>
  <si>
    <t>2019-09-18T22:26:06.000+06:30</t>
  </si>
  <si>
    <t>2020-01-02T11:30:00.000+05:30</t>
  </si>
  <si>
    <t>22.5451346 88.3833951 -52.400001525878906 5.0</t>
  </si>
  <si>
    <t>1ee8d029-3cd1-4455-9ba7-e048b7b9756c</t>
  </si>
  <si>
    <t>2020-01-02T09:33:17</t>
  </si>
  <si>
    <t>2020-01-02T11:37:15.723+05:30</t>
  </si>
  <si>
    <t>RED COLONY(10^1=5,10^2=0,10^3=0)</t>
  </si>
  <si>
    <t>2020-01-02T15:01:43.103+05:30</t>
  </si>
  <si>
    <t>f66ceca4-6443-49dd-992b-136a1978e64f</t>
  </si>
  <si>
    <t>2019-09-19T04:53:41</t>
  </si>
  <si>
    <t>2019-09-18T22:26:07.000+06:30</t>
  </si>
  <si>
    <t>2019-09-18T22:30:17.000+06:30</t>
  </si>
  <si>
    <t>2020-01-02T11:38:00.000+05:30</t>
  </si>
  <si>
    <t>22.5451365 88.3834043 -49.70000076293945 5.0</t>
  </si>
  <si>
    <t>Sample collected by Suvankar Mandal, FB at PLc1164</t>
  </si>
  <si>
    <t>5684a92b-9408-4cf8-9382-2339a99b98d2</t>
  </si>
  <si>
    <t>2020-01-02T09:33:20</t>
  </si>
  <si>
    <t>2020-01-02T11:57:13.224+05:30</t>
  </si>
  <si>
    <t>RED COLONY(10^1=32,10^2=17,10^3=30)</t>
  </si>
  <si>
    <t>2020-01-02T15:02:29.065+05:30</t>
  </si>
  <si>
    <t>5826cd3a-afaf-4b1b-8253-31039e50c3c2</t>
  </si>
  <si>
    <t>2019-09-19T04:57:51</t>
  </si>
  <si>
    <t>2020-01-02T11:58:00.000+05:30</t>
  </si>
  <si>
    <t>2019-09-18T22:33:25.000+06:30</t>
  </si>
  <si>
    <t>22.5412892 88.3759717 -17.600000381469727 5.0</t>
  </si>
  <si>
    <t>f2873f8a-f9a0-4a9e-8329-69a1f00cc92b</t>
  </si>
  <si>
    <t>RED COLONY(10^1=10,10^2=1,10^3=0)</t>
  </si>
  <si>
    <t>2020-01-02T09:33:23</t>
  </si>
  <si>
    <t>2020-01-02T12:01:02.770+05:30</t>
  </si>
  <si>
    <t>2020-01-02T15:01:48.324+05:30</t>
  </si>
  <si>
    <t>19f22150-cbf4-4ec6-a994-cb9c6486cf6a</t>
  </si>
  <si>
    <t>2019-09-19T05:00:59</t>
  </si>
  <si>
    <t>2019-09-18T22:37:23.000+06:30</t>
  </si>
  <si>
    <t>2020-01-02T12:01:00.000+05:30</t>
  </si>
  <si>
    <t>22.5413262 88.3759776 -66.9000015258789 5.0</t>
  </si>
  <si>
    <t>2019-09-17T17:00:00.000+06:30</t>
  </si>
  <si>
    <t>2019-09-18T17:00:00.000+06:30</t>
  </si>
  <si>
    <t>SAMPLE WITH (COa1003,COb1007,COb1008,COb1009), DHAPA DHIPI, RAJARGHAT, NATUN PARA, RED COLONY(100ml=0)</t>
  </si>
  <si>
    <t>Sample collected by Buddhadeb Samaddar, FB at PLc1165</t>
  </si>
  <si>
    <t>7f1b438d-c7ea-4efd-91dc-c4bea90f8c7b</t>
  </si>
  <si>
    <t>2019-09-19T05:04:56</t>
  </si>
  <si>
    <t>73505ba7-2a55-4d20-88a2-9a9cb473241b</t>
  </si>
  <si>
    <t>2020-01-02T09:33:25</t>
  </si>
  <si>
    <t>2020-01-02T12:07:54.923+05:30</t>
  </si>
  <si>
    <t>2019-09-18T22:41:47.000+06:30</t>
  </si>
  <si>
    <t>2020-01-02T15:02:34.857+05:30</t>
  </si>
  <si>
    <t>2020-01-02T12:08:00.000+05:30</t>
  </si>
  <si>
    <t>22.5409096 88.3759857 -98.5999984741211 4.5</t>
  </si>
  <si>
    <t>RED COLONY(10^1=TNTC,10^2=TNTC,10^3=48)</t>
  </si>
  <si>
    <t>5366959a-1f9b-4ee9-a4c7-7a93c0ff500b</t>
  </si>
  <si>
    <t>2019-09-19T05:09:20</t>
  </si>
  <si>
    <t>c5737e41-11af-42aa-bf11-d339b8e42390</t>
  </si>
  <si>
    <t>2020-01-02T09:33:27</t>
  </si>
  <si>
    <t>2020-01-02T12:13:08.144+05:30</t>
  </si>
  <si>
    <t>2020-01-02T15:01:53.962+05:30</t>
  </si>
  <si>
    <t>2019-09-18T22:45:15.000+06:30</t>
  </si>
  <si>
    <t>2020-01-02T12:14:00.000+05:30</t>
  </si>
  <si>
    <t>22.5408345 88.3757358 -19.5 5.0</t>
  </si>
  <si>
    <t>RED COLONY(10^1=31,10^2=10,10^3=1)</t>
  </si>
  <si>
    <t>Sample collected by Asish Saha, FB at PLc1166</t>
  </si>
  <si>
    <t>bf3c4172-5203-4002-9e1f-18390cc87fbe</t>
  </si>
  <si>
    <t>2019-09-19T05:12:49</t>
  </si>
  <si>
    <t>2cdf702e-0cc8-48dc-93fb-1629d46f2d31</t>
  </si>
  <si>
    <t>2020-01-02T09:33:30</t>
  </si>
  <si>
    <t>2020-01-02T12:24:56.802+05:30</t>
  </si>
  <si>
    <t>2020-01-02T15:02:40.263+05:30</t>
  </si>
  <si>
    <t>2019-09-18T22:48:45.000+06:30</t>
  </si>
  <si>
    <t>2020-01-02T12:26:00.000+05:30</t>
  </si>
  <si>
    <t>22.5415415 88.3753921 -70.0 5.0</t>
  </si>
  <si>
    <t>RED COLONY(10^1=TNTC,10^2=64,10^3=2)</t>
  </si>
  <si>
    <t>dc6d17cc-635f-4d7a-9ec1-aa13e892fa27</t>
  </si>
  <si>
    <t>2020-01-02T09:33:33</t>
  </si>
  <si>
    <t>2020-01-02T12:31:50.345+05:30</t>
  </si>
  <si>
    <t>2020-01-02T15:01:58.770+05:30</t>
  </si>
  <si>
    <t>305ffca5-be53-4841-a117-8747e04ef1b2</t>
  </si>
  <si>
    <t>2019-09-19T05:16:18</t>
  </si>
  <si>
    <t>2020-01-02T12:32:00.000+05:30</t>
  </si>
  <si>
    <t>2019-09-18T22:55:38.000+06:30</t>
  </si>
  <si>
    <t>22.5414966 88.3753817 -58.20000076293945 5.0</t>
  </si>
  <si>
    <t>Sample collected Debabrata Maity, FB at PLc1167</t>
  </si>
  <si>
    <t>caef4bfe-8f6d-4ac6-89a7-644679a38b39</t>
  </si>
  <si>
    <t>2020-01-02T09:33:36</t>
  </si>
  <si>
    <t>RED COLONY(10^1=6,10^2=3,10^3=0), BLUE COLONY(10^1=7 WITH SOME SMUDGE COLONY)</t>
  </si>
  <si>
    <t>2020-01-02T12:42:14.185+05:30</t>
  </si>
  <si>
    <t>2020-01-02T15:02:45.695+05:30</t>
  </si>
  <si>
    <t>0b670c96-ad73-4622-943c-6fcebbbc985a</t>
  </si>
  <si>
    <t>2019-09-19T05:23:12</t>
  </si>
  <si>
    <t>2020-01-02T12:43:00.000+05:30</t>
  </si>
  <si>
    <t>2019-09-18T22:59:05.000+06:30</t>
  </si>
  <si>
    <t>22.5411259 88.374347 -45.79999923706055 5.0</t>
  </si>
  <si>
    <t>decca839-1a0f-484a-84e9-97e69760d7c1</t>
  </si>
  <si>
    <t>2020-01-02T09:33:39</t>
  </si>
  <si>
    <t>2020-01-02T12:53:33.387+05:30</t>
  </si>
  <si>
    <t>2020-01-02T15:02:04.017+05:30</t>
  </si>
  <si>
    <t>RED COLONY(10^1=TNTC,10^2=20,10^3=19)</t>
  </si>
  <si>
    <t>a594cc45-fcdf-4123-be7c-4d5f4298b981</t>
  </si>
  <si>
    <t>2019-09-19T05:26:38</t>
  </si>
  <si>
    <t>2020-01-02T12:55:00.000+05:30</t>
  </si>
  <si>
    <t>22.5411561 88.3743062 -62.599998474121094 5.0</t>
  </si>
  <si>
    <t>2019-09-18T23:03:41.000+06:30</t>
  </si>
  <si>
    <t>Sample collected by Suvankar Mandal, FB at PLc1168</t>
  </si>
  <si>
    <t>0c7cec27-2194-4ef4-9f91-931c60745ad5</t>
  </si>
  <si>
    <t>2020-01-02T09:33:41</t>
  </si>
  <si>
    <t>SAMPLE WITH (COa1004,COb1010,COb1011,COb1012,COb1013), RAJAR GHAT, NATUN PARA,DHAPA DHIPI,RED COLONY(100ml=2)</t>
  </si>
  <si>
    <t>2020-01-02T11:17:41.011+05:30</t>
  </si>
  <si>
    <t>2020-01-02T15:12:17.309+05:30</t>
  </si>
  <si>
    <t>128a10dd-d013-4bb7-8ea6-0eb040da2fcd</t>
  </si>
  <si>
    <t>2019-09-19T05:31:14</t>
  </si>
  <si>
    <t>2019-09-18T23:06:18.000+06:30</t>
  </si>
  <si>
    <t>2020-01-02T11:18:00.000+05:30</t>
  </si>
  <si>
    <t>22.5345947 88.3959418 -56.400001525878906 5.0</t>
  </si>
  <si>
    <t>(SAMPLE WITH MO1094), PAGLADANGA ,DPS, RED COLONY(100ml=0)</t>
  </si>
  <si>
    <t>22eed423-7c8f-4462-a7bf-c61555d3da85</t>
  </si>
  <si>
    <t>2020-01-02T09:42:47</t>
  </si>
  <si>
    <t>2020-01-02T11:22:45.341+05:30</t>
  </si>
  <si>
    <t>544f668b-4166-4f4d-bca9-48c87a0aa07b</t>
  </si>
  <si>
    <t>2020-01-02T15:12:02.976+05:30</t>
  </si>
  <si>
    <t>2019-09-19T05:33:51</t>
  </si>
  <si>
    <t>2019-09-18T23:08:06.000+06:30</t>
  </si>
  <si>
    <t>2020-01-02T11:23:00.000+05:30</t>
  </si>
  <si>
    <t>22.5346722 88.3958914 -53.5 4.5</t>
  </si>
  <si>
    <t>09482a15-213a-4a2a-a94e-eb5ac4eb0f33</t>
  </si>
  <si>
    <t>2019-09-19T05:35:39</t>
  </si>
  <si>
    <t>2019-09-23T10:47:50.000+06:30</t>
  </si>
  <si>
    <t>061de5e6-03d1-4f91-bce1-7b47747c783c</t>
  </si>
  <si>
    <t>2020-01-02T09:42:50</t>
  </si>
  <si>
    <t>2020-01-02T11:47:10.290+05:30</t>
  </si>
  <si>
    <t>2020-01-02T15:12:24.299+05:30</t>
  </si>
  <si>
    <t>2019-09-23T10:51:19.000+06:30</t>
  </si>
  <si>
    <t>2019-09-19T14:00:00.000+06:30</t>
  </si>
  <si>
    <t>2019-09-19T15:00:00.000+06:30</t>
  </si>
  <si>
    <t>2019-09-19T16:00:00.000+06:30</t>
  </si>
  <si>
    <t>2019-09-20T16:00:00.000+06:30</t>
  </si>
  <si>
    <t>2020-01-02T11:48:00.000+05:30</t>
  </si>
  <si>
    <t>22.5401048 88.3872131 -39.099998474121094 5.0</t>
  </si>
  <si>
    <t>REC COLONY(10^4=98,10^5=5,10^6=1)</t>
  </si>
  <si>
    <t>69330d42-a9bd-4b2f-b5be-ae5c5ddc8898</t>
  </si>
  <si>
    <t>2019-09-23T05:19:01</t>
  </si>
  <si>
    <t>4e45dd42-2728-43af-a9fc-59cc9d506689</t>
  </si>
  <si>
    <t>2019-09-23T10:54:40.000+06:30</t>
  </si>
  <si>
    <t>2020-01-02T09:42:53</t>
  </si>
  <si>
    <t>2020-01-02T11:50:24.786+05:30</t>
  </si>
  <si>
    <t>2020-01-02T15:12:07.486+05:30</t>
  </si>
  <si>
    <t>2019-09-19T14:30:00.000+06:30</t>
  </si>
  <si>
    <t>2020-01-02T11:51:00.000+05:30</t>
  </si>
  <si>
    <t>22.5400497 88.3873063 -75.80000305175781 5.0</t>
  </si>
  <si>
    <t>(SAMPLE WITH PLc1026), TALAT PARVEEN,52/84 TILJALA ROOD,RED COLONY(100ml=1)</t>
  </si>
  <si>
    <t>47489d05-a09c-4b73-b832-67cb37b82ce3</t>
  </si>
  <si>
    <t>2019-09-23T05:22:23</t>
  </si>
  <si>
    <t>b58d6d8b-4be7-4048-ba41-560f355bbde8</t>
  </si>
  <si>
    <t>2019-09-23T10:57:46.000+06:30</t>
  </si>
  <si>
    <t>2020-01-02T09:42:55</t>
  </si>
  <si>
    <t>2020-01-02T12:07:28.724+05:30</t>
  </si>
  <si>
    <t>2020-01-02T15:12:29.338+05:30</t>
  </si>
  <si>
    <t>22.5361419 88.3745476 -61.5 5.0</t>
  </si>
  <si>
    <t>(SAMPLE WITH MO1095), CHINGRIGHATA, DPS, RANI RASHMANI GARDEN, RED COLONY(100ml=0)</t>
  </si>
  <si>
    <t>ae0e541b-dfbc-4fb1-af49-5bdef416b656</t>
  </si>
  <si>
    <t>2019-09-23T05:25:26</t>
  </si>
  <si>
    <t>2019-09-23T10:57:47.000+06:30</t>
  </si>
  <si>
    <t>03ae61f2-12ad-4785-bf07-978c20125554</t>
  </si>
  <si>
    <t>2020-01-02T09:42:58</t>
  </si>
  <si>
    <t>2020-01-02T12:10:20.359+05:30</t>
  </si>
  <si>
    <t>2020-01-02T15:12:11.893+05:30</t>
  </si>
  <si>
    <t>2019-09-23T10:59:35.000+06:30</t>
  </si>
  <si>
    <t>2020-01-02T12:10:00.000+05:30</t>
  </si>
  <si>
    <t>22.5362388 88.3745401 -54.099998474121094 5.0</t>
  </si>
  <si>
    <t>RED COLONY(100=0)</t>
  </si>
  <si>
    <t>9e686e52-78f8-493f-92fb-3b5d4ab529d4</t>
  </si>
  <si>
    <t>2019-09-23T05:27:17</t>
  </si>
  <si>
    <t>2019-09-25T10:11:39.000+06:30</t>
  </si>
  <si>
    <t>f04e128e-53a6-4c76-9216-8c1054c34920</t>
  </si>
  <si>
    <t>2020-01-02T09:43:01</t>
  </si>
  <si>
    <t>2020-01-06T12:02:40.767+05:30</t>
  </si>
  <si>
    <t>2020-01-06T17:07:38.800+05:30</t>
  </si>
  <si>
    <t>2019-09-25T10:15:20.000+06:30</t>
  </si>
  <si>
    <t>2019-09-23T14:00:00.000+06:30</t>
  </si>
  <si>
    <t>2019-09-23T14:25:00.000+06:30</t>
  </si>
  <si>
    <t>2019-09-23T14:50:00.000+06:30</t>
  </si>
  <si>
    <t>2019-09-24T14:50:00.000+06:30</t>
  </si>
  <si>
    <t>2020-01-06T12:03:00.000+05:30</t>
  </si>
  <si>
    <t>22.5413135 88.3760988 -50.900001525878906 5.0</t>
  </si>
  <si>
    <t>SAMPLE WITH PLc1027, PAGLADANGA,DPS, RED COLONY(100ml=0)</t>
  </si>
  <si>
    <t>5f33b5c9-2fc5-4eb7-b84b-92aba77287cc</t>
  </si>
  <si>
    <t>2019-09-25T04:43:01</t>
  </si>
  <si>
    <t>578f88e2-7de3-41d1-a383-4dce58f1c78e</t>
  </si>
  <si>
    <t>2020-01-06T11:38:01</t>
  </si>
  <si>
    <t>2020-01-06T12:08:40.209+05:30</t>
  </si>
  <si>
    <t>2020-01-06T17:07:18.200+05:30</t>
  </si>
  <si>
    <t>2019-09-25T10:19:17.000+06:30</t>
  </si>
  <si>
    <t>2019-09-23T14:55:00.000+06:30</t>
  </si>
  <si>
    <t>2020-01-06T12:09:00.000+05:30</t>
  </si>
  <si>
    <t>22.5413594 88.3761244 -50.599998474121094 5.0</t>
  </si>
  <si>
    <t>2019-09-23T15:45:00.000+06:30</t>
  </si>
  <si>
    <t>2019-09-24T15:45:00.000+06:30</t>
  </si>
  <si>
    <t>Sample collected by Buddhadeb Samaddar, FB at PLc1169 site</t>
  </si>
  <si>
    <t>RED COLONY (10^4=184,10^5=31,10^6=2)</t>
  </si>
  <si>
    <t>7a7bde24-7272-4fc7-b3ad-c0384d8aedfe</t>
  </si>
  <si>
    <t>2020-01-06T11:38:05</t>
  </si>
  <si>
    <t>03a19682-2e8c-45f6-aca2-ab669fcb5014</t>
  </si>
  <si>
    <t>2019-09-25T04:46:58</t>
  </si>
  <si>
    <t>2020-01-06T12:16:13.834+05:30</t>
  </si>
  <si>
    <t>2020-01-06T17:07:43.855+05:30</t>
  </si>
  <si>
    <t>2019-09-25T10:19:18.000+06:30</t>
  </si>
  <si>
    <t>2019-09-25T10:21:56.000+06:30</t>
  </si>
  <si>
    <t>K22345, 24346</t>
  </si>
  <si>
    <t>lab_sw_type</t>
  </si>
  <si>
    <t>lab_wg5_note</t>
  </si>
  <si>
    <t>lab_1_wg5_note</t>
  </si>
  <si>
    <t>2020-01-06T12:17:00.000+05:30</t>
  </si>
  <si>
    <t>2019-09-23T14:20:00.000+06:30</t>
  </si>
  <si>
    <t>lab_1_wg5_dil_tested</t>
  </si>
  <si>
    <t>22.5408567 88.3757745 -57.400001525878906 5.0</t>
  </si>
  <si>
    <t>lab_1_wg5_volume</t>
  </si>
  <si>
    <t>2019-09-23T14:35:00.000+06:30</t>
  </si>
  <si>
    <t>lab_1_wg5_plaque_reading_mst</t>
  </si>
  <si>
    <t>2019-09-24T14:35:00.000+06:30</t>
  </si>
  <si>
    <t>lab_1_wg5_plaque_mst</t>
  </si>
  <si>
    <t>lab_2_wg5_dil_tested</t>
  </si>
  <si>
    <t>lab_2_wg5_volume</t>
  </si>
  <si>
    <t>lab_2_wg5_plaque_reading_mst</t>
  </si>
  <si>
    <t>lab_2_wg5_plaque_mst</t>
  </si>
  <si>
    <t>lab_3_wg5_dilution_performed</t>
  </si>
  <si>
    <t>lab_3_wg5_dil_tested</t>
  </si>
  <si>
    <t>lab_3_wg5_volume</t>
  </si>
  <si>
    <t>lab_3_wg5_plaque_reading_mst</t>
  </si>
  <si>
    <t>lab_3_wg5_plaque_mst</t>
  </si>
  <si>
    <t>lab_gb124_note</t>
  </si>
  <si>
    <t>lab_1_gb124_note</t>
  </si>
  <si>
    <t>lab_1_gb124_dil_tested</t>
  </si>
  <si>
    <t>lab_1_gb124_volume</t>
  </si>
  <si>
    <t>lab_1_gb124_plaque_reading_mst</t>
  </si>
  <si>
    <t>lab_1_gb124_plaque_mst</t>
  </si>
  <si>
    <t>lab_2_gb124_dil_tested</t>
  </si>
  <si>
    <t>lab_2_gb124_volume</t>
  </si>
  <si>
    <t>lab_2_gb124_plaque_reading_mst</t>
  </si>
  <si>
    <t>lab_2_gb124_plaque_mst</t>
  </si>
  <si>
    <t>lab_3_gb124_dilution_performed</t>
  </si>
  <si>
    <t>cbbd13f7-f244-45d6-9534-031420c4f7b6</t>
  </si>
  <si>
    <t>lab_3_gb124_dil_tested</t>
  </si>
  <si>
    <t>2019-09-25T04:49:37</t>
  </si>
  <si>
    <t>lab_3_gb124_volume</t>
  </si>
  <si>
    <t>lab_3_gb124_plaque_reading_mst</t>
  </si>
  <si>
    <t>bf295b52-1029-4bc3-acfb-e9c363c746a3</t>
  </si>
  <si>
    <t>2019-09-26T10:22:32.000+06:30</t>
  </si>
  <si>
    <t>lab_3_gb124_plaque_mst</t>
  </si>
  <si>
    <t>2020-01-06T11:38:08</t>
  </si>
  <si>
    <t>lab_enrichment</t>
  </si>
  <si>
    <t>lab_enr_inc_placed</t>
  </si>
  <si>
    <t>lab_enr_inc_removed</t>
  </si>
  <si>
    <t>2020-01-06T12:21:34.481+05:30</t>
  </si>
  <si>
    <t>lab_wg5_enr_note</t>
  </si>
  <si>
    <t>2019-09-26T10:25:24.000+06:30</t>
  </si>
  <si>
    <t>2020-01-06T17:07:24.682+05:30</t>
  </si>
  <si>
    <t>lab_1_wg5_enr_enr_note</t>
  </si>
  <si>
    <t>lab_1_wg5_enr_dil_tested</t>
  </si>
  <si>
    <t>lab_1_wg5_enr_volume</t>
  </si>
  <si>
    <t>2019-09-24T14:00:00.000+06:30</t>
  </si>
  <si>
    <t>lab_1_wg5_enr_plaque_reading_mst</t>
  </si>
  <si>
    <t>2019-09-24T14:40:00.000+06:30</t>
  </si>
  <si>
    <t>lab_1_wg5_enr_plaque_mst</t>
  </si>
  <si>
    <t>2019-09-24T15:30:00.000+06:30</t>
  </si>
  <si>
    <t>lab_2_wg5_enr_dil_tested</t>
  </si>
  <si>
    <t>2019-09-25T15:30:00.000+06:30</t>
  </si>
  <si>
    <t>lab_2_wg5_enr_volume</t>
  </si>
  <si>
    <t>lab_2_wg5_enr_plaque_reading_mst</t>
  </si>
  <si>
    <t>2020-01-06T12:22:00.000+05:30</t>
  </si>
  <si>
    <t>lab_2_wg5_enr_plaque_mst</t>
  </si>
  <si>
    <t>22.5409563 88.3759035 -33.29999923706055 5.0</t>
  </si>
  <si>
    <t>lab_3_wg5_enr_dilution_performed</t>
  </si>
  <si>
    <t>lab_3_wg5_enr_dil_tested</t>
  </si>
  <si>
    <t>lab_3_wg5_enr_volume</t>
  </si>
  <si>
    <t>lab_3_wg5_enr_plaque_reading_mst</t>
  </si>
  <si>
    <t>lab_3_wg5_enr_plaque_mst</t>
  </si>
  <si>
    <t>lab_gb124_enr_enr_note</t>
  </si>
  <si>
    <t>lab_1_gb124_enr_note</t>
  </si>
  <si>
    <t>lab_1_gb124_enr_dil_tested</t>
  </si>
  <si>
    <t>SAMPLE WITH MO1096, PAGLADANGA,DPS, RED COLONY (100ml=0)</t>
  </si>
  <si>
    <t>lab_1_gb124_enr_volume</t>
  </si>
  <si>
    <t>lab_1_gb124_enr_plaque_reading_mst</t>
  </si>
  <si>
    <t>lab_1_gb124_enr_plaque_mst</t>
  </si>
  <si>
    <t>2d587d2b-2c55-4c05-afc5-6c8710e87d51</t>
  </si>
  <si>
    <t>lab_2_gb124_enr_dil_tested</t>
  </si>
  <si>
    <t>Sample collected by Somnath Sarkar, FB at PLc1170 site</t>
  </si>
  <si>
    <t>2019-09-26T04:53:04</t>
  </si>
  <si>
    <t>lab_2_gb124_enr_volume</t>
  </si>
  <si>
    <t>lab_2_gb124_enr_plaque_reading_mst</t>
  </si>
  <si>
    <t>lab_2_gb124_enr_plaque_mst</t>
  </si>
  <si>
    <t>ab83467e-5f75-4ca5-9cbe-3bab45b218cd</t>
  </si>
  <si>
    <t>lab_3_gb124_enr_dilution_performed</t>
  </si>
  <si>
    <t>2020-01-06T11:38:10</t>
  </si>
  <si>
    <t>lab_3_gb124_enr_dil_tested</t>
  </si>
  <si>
    <t>2019-09-26T10:28:14.000+06:30</t>
  </si>
  <si>
    <t>lab_3_gb124_enr_volume</t>
  </si>
  <si>
    <t>2020-01-06T12:32:34.702+05:30</t>
  </si>
  <si>
    <t>lab_3_gb124_enr_plaque_reading_mst</t>
  </si>
  <si>
    <t>2020-01-06T17:07:48.449+05:30</t>
  </si>
  <si>
    <t>lab_3_gb124_enr_plaque_mst</t>
  </si>
  <si>
    <t>2019-05-15T12:34:59.000-07:00</t>
  </si>
  <si>
    <t>2020-01-06T12:33:00.000+05:30</t>
  </si>
  <si>
    <t>22.5410933 88.374545 -36.900001525878906 5.0</t>
  </si>
  <si>
    <t>2019-05-15T12:46:49.000-07:00</t>
  </si>
  <si>
    <t>SAMPLE WITH MO1059, PALMAR BAZAR,DPS, RED COLONY(100ml=0)</t>
  </si>
  <si>
    <t>86a2c917-f8f2-4f30-a218-0ed591eecfa2</t>
  </si>
  <si>
    <t>2019-09-26T04:55:53</t>
  </si>
  <si>
    <t>2019-05-07T15:08:00.000-07:00</t>
  </si>
  <si>
    <t>2019-05-07T15:15:00.000-07:00</t>
  </si>
  <si>
    <t>2019-09-26T10:29:54.000+06:30</t>
  </si>
  <si>
    <t>2019-05-08T12:00:00.000-07:00</t>
  </si>
  <si>
    <t>ef03527f-f56d-41ad-bc5e-44d3488f836c</t>
  </si>
  <si>
    <t>2020-01-06T11:38:13</t>
  </si>
  <si>
    <t>2020-01-06T12:39:40.387+05:30</t>
  </si>
  <si>
    <t>2020-01-06T17:07:29.100+05:30</t>
  </si>
  <si>
    <t>2020-01-06T12:40:00.000+05:30</t>
  </si>
  <si>
    <t>22.5409881 88.3743073 -69.30000305175781 5.0</t>
  </si>
  <si>
    <t>40bfe87b-dd43-4d3e-84ac-54825edf621c</t>
  </si>
  <si>
    <t>2019-09-26T04:57:34</t>
  </si>
  <si>
    <t>2019-09-30T10:45:21.000+06:30</t>
  </si>
  <si>
    <t>2019-09-30T10:50:03.000+06:30</t>
  </si>
  <si>
    <t>2019-09-26T14:10:00.000+06:30</t>
  </si>
  <si>
    <t>2019-05-07T15:25:00.000-07:00</t>
  </si>
  <si>
    <t>2019-09-26T15:10:00.000+06:30</t>
  </si>
  <si>
    <t>2019-09-26T15:55:00.000+06:30</t>
  </si>
  <si>
    <t>Sample collected by Suvankar Mandal, FB at PLc1171 site</t>
  </si>
  <si>
    <t>2019-09-27T15:55:00.000+06:30</t>
  </si>
  <si>
    <t>844e0336-5d3d-4771-a43e-1deb8d2160f1</t>
  </si>
  <si>
    <t>2020-01-06T11:38:16</t>
  </si>
  <si>
    <t>2020-01-06T12:46:00.244+05:30</t>
  </si>
  <si>
    <t>2020-01-06T17:07:54.901+05:30</t>
  </si>
  <si>
    <t>RED COLONY(10^4=TNTC,10^5=28,10^6=4)</t>
  </si>
  <si>
    <t>2b626064-bcac-4fc1-9e22-725a02b966f0</t>
  </si>
  <si>
    <t>2019-09-30T05:17:40</t>
  </si>
  <si>
    <t>2020-01-06T12:46:00.000+05:30</t>
  </si>
  <si>
    <t>22.541428 88.3752943 -62.900001525878906 5.0</t>
  </si>
  <si>
    <t>2019-09-30T10:56:15.000+06:30</t>
  </si>
  <si>
    <t>CONTAMINATION FOUND FOR WG5</t>
  </si>
  <si>
    <t>1,2,3</t>
  </si>
  <si>
    <t>2019-09-26T14:40:00.000+06:30</t>
  </si>
  <si>
    <t>2019-09-26T14:52:00.000+06:30</t>
  </si>
  <si>
    <t>2019-09-27T14:52:00.000+06:30</t>
  </si>
  <si>
    <t>vzLptgfwYgZks8EPQLoK9p</t>
  </si>
  <si>
    <t>fe2386aa-3142-4129-82cf-eeff97467d19</t>
  </si>
  <si>
    <t>2019-05-15T07:17:09</t>
  </si>
  <si>
    <t>Sample collected Debabrata Maity</t>
  </si>
  <si>
    <t>2019-05-15T12:57:32.000-07:00</t>
  </si>
  <si>
    <t>SAMPLE WITH PLc1028,TALAT PARVEEN53/8A TILJALA ROOD, RED COLONY(100=0)</t>
  </si>
  <si>
    <t>dcde71e8-72b2-4a71-896f-76624f95b8ef</t>
  </si>
  <si>
    <t>2020-01-06T11:38:19</t>
  </si>
  <si>
    <t>2020-01-06T12:51:33.762+05:30</t>
  </si>
  <si>
    <t>2019-05-07T13:08:00.000-07:00</t>
  </si>
  <si>
    <t>afea5477-3e23-4417-bb6e-ed48f20bc047</t>
  </si>
  <si>
    <t>2020-01-06T17:07:34.054+05:30</t>
  </si>
  <si>
    <t>2019-09-30T05:23:51</t>
  </si>
  <si>
    <t>2019-09-30T10:59:59.000+06:30</t>
  </si>
  <si>
    <t>2020-01-06T12:51:00.000+05:30</t>
  </si>
  <si>
    <t>22.5413875 88.3753242 -72.9000015258789 5.0</t>
  </si>
  <si>
    <t>Sample collected by Debabrata Maity, FB at PLc1172 site</t>
  </si>
  <si>
    <t>SAMPLE WITH MO1098,AMBEDKAR BRIGDE,DPS, RED COLONY(100ml=0)</t>
  </si>
  <si>
    <t>134e462b-7b70-4e02-920d-df70e0e5ba13</t>
  </si>
  <si>
    <t>2020-01-06T11:38:21</t>
  </si>
  <si>
    <t>2020-01-07T11:19:49.535+05:30</t>
  </si>
  <si>
    <t>c52df179-d693-4dcd-80fc-8ad6a2b37655</t>
  </si>
  <si>
    <t>2020-01-07T17:07:41.073+05:30</t>
  </si>
  <si>
    <t>2019-09-30T05:27:35</t>
  </si>
  <si>
    <t>2019-09-30T11:02:35.000+06:30</t>
  </si>
  <si>
    <t>2020-01-07T11:20:00.000+05:30</t>
  </si>
  <si>
    <t>22.5542969 88.3967931 -27.899999618530273 5.0</t>
  </si>
  <si>
    <t>WG5 PLATES WERE CONTAMONATED</t>
  </si>
  <si>
    <t>1,2,3,4</t>
  </si>
  <si>
    <t>SAMPLE WITH MO1099, TOPSIA, OLD DPS, RED COLONY(100ml=0)</t>
  </si>
  <si>
    <t>c0e8819f-dc39-4e8f-a003-7369f9a2c5cd</t>
  </si>
  <si>
    <t>2019-05-15T07:27:53</t>
  </si>
  <si>
    <t>93de2409-87c6-429d-a87e-7c3c917a6e49</t>
  </si>
  <si>
    <t>2019-09-30T05:30:11</t>
  </si>
  <si>
    <t>74849b14-70b0-4d1d-8a65-59d278590210</t>
  </si>
  <si>
    <t>2019-05-15T12:57:33.000-07:00</t>
  </si>
  <si>
    <t>2020-01-07T11:37:59</t>
  </si>
  <si>
    <t>2020-01-07T11:27:18.761+05:30</t>
  </si>
  <si>
    <t>2019-05-15T13:06:54.000-07:00</t>
  </si>
  <si>
    <t>2020-01-07T17:07:27.413+05:30</t>
  </si>
  <si>
    <t>2019-09-30T11:04:20.000+06:30</t>
  </si>
  <si>
    <t>2019-05-07T15:20:00.000-07:00</t>
  </si>
  <si>
    <t>2019-09-26T14:35:00.000+06:30</t>
  </si>
  <si>
    <t>2020-01-07T11:28:00.000+05:30</t>
  </si>
  <si>
    <t>22.5541778 88.3967949 -60.0 5.0</t>
  </si>
  <si>
    <t>2019-09-27T14:40:00.000+06:30</t>
  </si>
  <si>
    <t>0c7d7a78-2909-4587-a199-01f7ca55f80a</t>
  </si>
  <si>
    <t>2019-09-30T05:31:57</t>
  </si>
  <si>
    <t>2019-10-03T12:52:08.000+06:30</t>
  </si>
  <si>
    <t>26995e99-2db4-4fc8-b059-e240cffd2ca2</t>
  </si>
  <si>
    <t>2020-01-07T11:38:02</t>
  </si>
  <si>
    <t>2020-01-07T11:42:33.460+05:30</t>
  </si>
  <si>
    <t>2019-10-03T13:02:20.000+06:30</t>
  </si>
  <si>
    <t>2020-01-07T17:07:45.654+05:30</t>
  </si>
  <si>
    <t>2019-05-08T15:10:00.000-07:00</t>
  </si>
  <si>
    <t>2020-01-07T11:43:00.000+05:30</t>
  </si>
  <si>
    <t>22.5579238 88.3896205 -59.5 5.0</t>
  </si>
  <si>
    <t>2019-09-30T13:05:00.000+06:30</t>
  </si>
  <si>
    <t>2019-09-30T14:45:00.000+06:30</t>
  </si>
  <si>
    <t>2019-09-30T16:30:00.000+06:30</t>
  </si>
  <si>
    <t>2019-10-01T16:30:00.000+06:30</t>
  </si>
  <si>
    <t>353b10d1-3da2-4f38-af24-343e6e4d5253</t>
  </si>
  <si>
    <t>2020-01-07T11:38:04</t>
  </si>
  <si>
    <t>2020-01-07T11:46:58.382+05:30</t>
  </si>
  <si>
    <t>RED COLONY(10^4=TNTC,10^5=57,10^6=3)</t>
  </si>
  <si>
    <t>2020-01-07T17:07:31.856+05:30</t>
  </si>
  <si>
    <t>09411abe-44ed-4c30-92fc-fc2bfe0dfcbe</t>
  </si>
  <si>
    <t>2019-05-15T07:37:15</t>
  </si>
  <si>
    <t>e2304eaa-80a2-44c4-98ff-66c883509b89</t>
  </si>
  <si>
    <t>2019-10-03T07:29:54</t>
  </si>
  <si>
    <t>2020-01-07T11:47:00.000+05:30</t>
  </si>
  <si>
    <t>22.5579807 88.3895998 -49.900001525878906 5.0</t>
  </si>
  <si>
    <t>2019-05-15T13:06:55.000-07:00</t>
  </si>
  <si>
    <t>2019-10-03T13:05:43.000+06:30</t>
  </si>
  <si>
    <t>2019-05-15T13:13:50.000-07:00</t>
  </si>
  <si>
    <t>2019-09-30T14:15:00.000+06:30</t>
  </si>
  <si>
    <t>2019-09-30T14:30:00.000+06:30</t>
  </si>
  <si>
    <t>2019-10-01T14:30:00.000+06:30</t>
  </si>
  <si>
    <t>6c66b41b-0475-4bc1-834a-2af280aae0c8</t>
  </si>
  <si>
    <t>2020-01-07T11:38:07</t>
  </si>
  <si>
    <t>2020-01-07T11:53:54.586+05:30</t>
  </si>
  <si>
    <t>2020-01-07T17:07:55.005+05:30</t>
  </si>
  <si>
    <t>2020-01-07T11:55:00.000+05:30</t>
  </si>
  <si>
    <t>sample with PLc1029, talat parveen,53/8A, tiljala rood, red colony(100ml=0)</t>
  </si>
  <si>
    <t>22.5580139 88.3895938 -51.400001525878906 5.0</t>
  </si>
  <si>
    <t>790451e5-ce70-49ed-9748-235eb9524eee</t>
  </si>
  <si>
    <t>2019-10-03T07:33:18</t>
  </si>
  <si>
    <t>2019-10-03T13:10:58.000+06:30</t>
  </si>
  <si>
    <t>480b1a89-7dae-48bd-9569-078bdbc1e7d8</t>
  </si>
  <si>
    <t>2020-01-07T11:38:09</t>
  </si>
  <si>
    <t>2020-01-07T12:10:51.687+05:30</t>
  </si>
  <si>
    <t>2020-01-07T17:07:50.245+05:30</t>
  </si>
  <si>
    <t>2020-01-07T12:11:00.000+05:30</t>
  </si>
  <si>
    <t>22.5635056 88.3772499 -48.099998474121094 5.0</t>
  </si>
  <si>
    <t>sample with PLc1030, 13/2 mahendra roy lane, red colony(10^4=12,10^5=1,10^6=1))</t>
  </si>
  <si>
    <t>1313055e-a0c5-4eb5-82be-9431a0aa78d6</t>
  </si>
  <si>
    <t>2020-01-07T11:38:12</t>
  </si>
  <si>
    <t>2020-01-07T12:13:24.088+05:30</t>
  </si>
  <si>
    <t>WG5 PLATES WERE CONTAMINATED</t>
  </si>
  <si>
    <t>2020-01-07T17:07:36.356+05:30</t>
  </si>
  <si>
    <t>4281c4e2-976c-4a6d-9468-ac851a533ad5</t>
  </si>
  <si>
    <t>2019-10-03T07:38:32</t>
  </si>
  <si>
    <t>38680afc-fedc-40e2-a424-4e158bebb190</t>
  </si>
  <si>
    <t>2019-05-15T07:44:12</t>
  </si>
  <si>
    <t>2019-05-15T13:13:51.000-07:00</t>
  </si>
  <si>
    <t>2019-10-03T13:16:30.000+06:30</t>
  </si>
  <si>
    <t>2019-05-15T13:21:51.000-07:00</t>
  </si>
  <si>
    <t>2020-01-07T12:14:00.000+05:30</t>
  </si>
  <si>
    <t>22.5636376 88.3772939 -37.400001525878906 5.0</t>
  </si>
  <si>
    <t>2019-05-08T15:00:00.000-07:00</t>
  </si>
  <si>
    <t>2019-05-08T15:15:00.000-07:00</t>
  </si>
  <si>
    <t>2019-05-09T15:00:00.000-07:00</t>
  </si>
  <si>
    <t>sample with PLc1030, 13/2 mahendra roy lane, red colony(100ml=0)</t>
  </si>
  <si>
    <t>207381be-1838-46cc-827e-80c52d76f14a</t>
  </si>
  <si>
    <t>2020-01-07T11:38:15</t>
  </si>
  <si>
    <t>b1b6c3a5-92a5-4792-a990-b2ba9e22baaf</t>
  </si>
  <si>
    <t>2020-01-09T12:55:43.046+05:30</t>
  </si>
  <si>
    <t>2019-10-03T07:44:04</t>
  </si>
  <si>
    <t>2020-01-09T17:10:33.276+05:30</t>
  </si>
  <si>
    <t>2019-05-08T15:20:00.000-07:00</t>
  </si>
  <si>
    <t>2019-05-09T14:00:00.000-07:00</t>
  </si>
  <si>
    <t>2019-10-03T13:19:08.000+06:30</t>
  </si>
  <si>
    <t>2020-01-09T12:56:00.000+05:30</t>
  </si>
  <si>
    <t>2019-09-30T14:50:00.000+06:30</t>
  </si>
  <si>
    <t>2019-09-30T16:35:00.000+06:30</t>
  </si>
  <si>
    <t>22.5412435 88.3760708 -67.30000305175781 5.0</t>
  </si>
  <si>
    <t>2019-10-01T16:35:00.000+06:30</t>
  </si>
  <si>
    <t>RED COLONY(10^4=13,10^5=0,10^6=0)</t>
  </si>
  <si>
    <t>828145f8-8a09-4e27-8bd9-6ed4cd7f261a</t>
  </si>
  <si>
    <t>2019-10-03T07:46:43</t>
  </si>
  <si>
    <t>2019-10-03T13:21:46.000+06:30</t>
  </si>
  <si>
    <t>e9a22277-9e79-4eb9-bc4e-aa1cf5eb3646</t>
  </si>
  <si>
    <t>2019-05-15T07:52:12</t>
  </si>
  <si>
    <t>68737ea3-cf57-4c53-b25d-f5108e208205</t>
  </si>
  <si>
    <t>2019-09-30T14:16:00.000+06:30</t>
  </si>
  <si>
    <t>2020-01-09T11:40:39</t>
  </si>
  <si>
    <t>2019-05-15T13:21:52.000-07:00</t>
  </si>
  <si>
    <t>2020-01-09T13:04:30.871+05:30</t>
  </si>
  <si>
    <t>2020-01-09T17:10:28.383+05:30</t>
  </si>
  <si>
    <t>2019-05-15T13:27:56.000-07:00</t>
  </si>
  <si>
    <t>sample with PLc1031, 13/2 mahendra roy lane, red colony(100ml=0)</t>
  </si>
  <si>
    <t>2020-01-09T13:04:00.000+05:30</t>
  </si>
  <si>
    <t>545bf8f2-e1cc-4321-b642-d6da5ba44c64</t>
  </si>
  <si>
    <t>22.541335 88.3760477 -66.69999694824219 5.0</t>
  </si>
  <si>
    <t>2019-10-03T07:49:21</t>
  </si>
  <si>
    <t>2019-10-03T13:23:14.000+06:30</t>
  </si>
  <si>
    <t>2019-09-30T14:00:00.000+06:30</t>
  </si>
  <si>
    <t>2019-09-30T14:10:00.000+06:30</t>
  </si>
  <si>
    <t>2019-10-01T14:10:00.000+06:30</t>
  </si>
  <si>
    <t>Sample collected by Suvankar Mandal, FB at PLc1173 site</t>
  </si>
  <si>
    <t>29bb6027-9b2f-4d3e-b830-093f80951f89</t>
  </si>
  <si>
    <t>1ec81007-8af7-473f-be67-7f0f10d43d42</t>
  </si>
  <si>
    <t>2019-10-03T07:50:48</t>
  </si>
  <si>
    <t>2020-01-09T11:40:40</t>
  </si>
  <si>
    <t>2019-10-09T11:40:33.000+06:30</t>
  </si>
  <si>
    <t>2020-01-09T12:09:36.818+05:30</t>
  </si>
  <si>
    <t>2020-01-09T17:15:47.473+05:30</t>
  </si>
  <si>
    <t>2019-10-09T11:45:55.000+06:30</t>
  </si>
  <si>
    <t>2019-10-03T14:12:00.000+06:30</t>
  </si>
  <si>
    <t>2019-10-03T15:00:00.000+06:30</t>
  </si>
  <si>
    <t>2019-10-03T17:00:00.000+06:30</t>
  </si>
  <si>
    <t>2019-10-04T17:00:00.000+06:30</t>
  </si>
  <si>
    <t>2020-01-09T12:10:00.000+05:30</t>
  </si>
  <si>
    <t>22.5400225 88.3873002 -74.30000305175781 5.0</t>
  </si>
  <si>
    <t>RED COLONY(10^4=180,10^5=98,10^6=17)</t>
  </si>
  <si>
    <t>2b502797-1851-4689-955b-44ed7abccacb</t>
  </si>
  <si>
    <t>2019-10-09T06:13:25</t>
  </si>
  <si>
    <t>2019-10-09T11:49:04.000+06:30</t>
  </si>
  <si>
    <t>e7ee9fd4-5e5a-4378-828d-a00b9f0c4620</t>
  </si>
  <si>
    <t>2019-05-15T07:58:18</t>
  </si>
  <si>
    <t>2019-05-15T13:27:57.000-07:00</t>
  </si>
  <si>
    <t>2019-10-03T14:10:00.000+06:30</t>
  </si>
  <si>
    <t>2019-10-03T14:30:00.000+06:30</t>
  </si>
  <si>
    <t>2019-10-03T15:30:00.000+06:30</t>
  </si>
  <si>
    <t>2019-10-04T15:30:00.000+06:30</t>
  </si>
  <si>
    <t>d167dbb1-81e3-4f63-97be-e9ab6919e052</t>
  </si>
  <si>
    <t>2020-01-09T11:45:59</t>
  </si>
  <si>
    <t>2020-01-09T12:12:58.572+05:30</t>
  </si>
  <si>
    <t>2020-01-09T17:15:33.822+05:30</t>
  </si>
  <si>
    <t>2019-05-15T13:36:01.000-07:00</t>
  </si>
  <si>
    <t>SAMPLE WITH PLc1032, TALAT PARVEEN,53/8A TILJALA ROOD, RED COLONY(100ml=0)</t>
  </si>
  <si>
    <t>2020-01-09T12:14:00.000+05:30</t>
  </si>
  <si>
    <t>22.5401327 88.3873119 -40.900001525878906 4.5</t>
  </si>
  <si>
    <t>37ad931a-8be9-427d-99c6-14538e53d923</t>
  </si>
  <si>
    <t>2019-10-09T06:16:34</t>
  </si>
  <si>
    <t>2019-10-09T11:52:59.000+06:30</t>
  </si>
  <si>
    <t>a4327db3-4076-4344-a5ee-730f8e07a43c</t>
  </si>
  <si>
    <t>2020-01-09T11:46:01</t>
  </si>
  <si>
    <t>2020-01-09T12:34:11.495+05:30</t>
  </si>
  <si>
    <t>2020-01-09T17:15:43.238+05:30</t>
  </si>
  <si>
    <t>RED COLONY(10^4=36,10^5=18,10^6=0)</t>
  </si>
  <si>
    <t>b6892fbb-3df0-4c01-b9fc-701e6a2cca66</t>
  </si>
  <si>
    <t>2019-10-09T06:20:28</t>
  </si>
  <si>
    <t>2020-01-09T12:35:00.000+05:30</t>
  </si>
  <si>
    <t>2019-10-09T12:24:10.000+06:30</t>
  </si>
  <si>
    <t>22.5360794 88.3746028 -58.900001525878906 4.5</t>
  </si>
  <si>
    <t>SAMPLE WITH PLc1033, SUMIT KUMAR PRASAD,13/2 MAHENDRA ROY LANE, RED COLONY(100ml=0)</t>
  </si>
  <si>
    <t>1c30a309-3998-41be-afa2-700f8e1c9aed</t>
  </si>
  <si>
    <t>2019-10-09T06:51:41</t>
  </si>
  <si>
    <t>22a8b324-be7f-4bf7-9ef5-561b5e4bdf62</t>
  </si>
  <si>
    <t>2019-05-15T08:06:22</t>
  </si>
  <si>
    <t>2019-05-15T14:29:02.000-07:00</t>
  </si>
  <si>
    <t>2019-10-09T12:28:00.000+06:30</t>
  </si>
  <si>
    <t>1e5ac660-5d45-4294-bcb4-dbafa494982a</t>
  </si>
  <si>
    <t>2019-05-15T14:40:17.000-07:00</t>
  </si>
  <si>
    <t>2020-01-09T11:46:03</t>
  </si>
  <si>
    <t>2020-01-09T12:36:40.580+05:30</t>
  </si>
  <si>
    <t>2020-01-09T17:15:38.530+05:30</t>
  </si>
  <si>
    <t>REDCOLONY(10^4=28,10^5=10,10^6=4)</t>
  </si>
  <si>
    <t>3ac4b369-c386-4196-af72-62d0d68b359e</t>
  </si>
  <si>
    <t>2019-10-09T06:55:30</t>
  </si>
  <si>
    <t>2019-10-09T12:31:43.000+06:30</t>
  </si>
  <si>
    <t>2020-01-09T12:37:00.000+05:30</t>
  </si>
  <si>
    <t>22.5361136 88.3745707 -55.0 5.0</t>
  </si>
  <si>
    <t>SAMPLE WITH PLc1034, SHRUTI HAZRA, MAHENDRA ROY LANE, RED COLONY(100ml=0)</t>
  </si>
  <si>
    <t>7de1b443-891e-4a27-b965-71b9bb1a0a6a</t>
  </si>
  <si>
    <t>2019-10-09T06:59:13</t>
  </si>
  <si>
    <t>0182489b-76c1-4593-a64d-f6a52791f487</t>
  </si>
  <si>
    <t>2020-01-09T11:46:06</t>
  </si>
  <si>
    <t>2019-10-09T12:36:06.000+06:30</t>
  </si>
  <si>
    <t>2020-01-13T11:29:47.866+05:30</t>
  </si>
  <si>
    <t>2020-01-13T16:29:39.285+05:30</t>
  </si>
  <si>
    <t>2019-10-04T14:30:00.000+06:30</t>
  </si>
  <si>
    <t>2020-01-13T11:30:00.000+05:30</t>
  </si>
  <si>
    <t>22.541337 88.3761603 -56.599998474121094 5.0</t>
  </si>
  <si>
    <t>2494975d-573b-4c5c-ad58-87c1b1446c38</t>
  </si>
  <si>
    <t>2019-10-09T07:03:37</t>
  </si>
  <si>
    <t>3ccaadd5-c82a-4ae8-8e15-84bcbf3f1949</t>
  </si>
  <si>
    <t>2019-10-16T10:57:57.000+06:30</t>
  </si>
  <si>
    <t>2019-05-15T09:10:37</t>
  </si>
  <si>
    <t>2019-10-16T11:06:08.000+06:30</t>
  </si>
  <si>
    <t>2019-05-15T14:54:08.000-07:00</t>
  </si>
  <si>
    <t>2019-10-14T13:50:00.000+06:30</t>
  </si>
  <si>
    <t>2019-10-14T14:45:00.000+06:30</t>
  </si>
  <si>
    <t>2019-10-14T16:10:00.000+06:30</t>
  </si>
  <si>
    <t>2019-10-15T16:10:00.000+06:30</t>
  </si>
  <si>
    <t>BLUE COLONY (10^4=270), RED COLONY(10^4=52,10^5=8,10^6=1)</t>
  </si>
  <si>
    <t>0f3d524f-c5a6-490e-9f39-dcc3a73eb706</t>
  </si>
  <si>
    <t>2020-01-13T10:59:59</t>
  </si>
  <si>
    <t>11965cce-9124-43e8-8342-3a2d011448bb</t>
  </si>
  <si>
    <t>2020-01-13T11:37:32.158+05:30</t>
  </si>
  <si>
    <t>2019-10-16T05:33:33</t>
  </si>
  <si>
    <t>2020-01-13T16:29:15.747+05:30</t>
  </si>
  <si>
    <t>2019-10-16T11:09:55.000+06:30</t>
  </si>
  <si>
    <t>2019-10-14T14:25:00.000+06:30</t>
  </si>
  <si>
    <t>2019-10-14T14:40:00.000+06:30</t>
  </si>
  <si>
    <t>2019-10-15T14:40:00.000+06:30</t>
  </si>
  <si>
    <t>2020-01-13T11:37:00.000+05:30</t>
  </si>
  <si>
    <t>22.5413372 88.3760625 -56.20000076293945 5.0</t>
  </si>
  <si>
    <t>SAMPLE WITH PLc1035, SUMIT Kr. PRASAD, 3/2 MAHENDRA RAY LANE,RED COLONY(100ml=0)</t>
  </si>
  <si>
    <t>74ea83c0-0917-4050-a4bc-de6bfe41ec32</t>
  </si>
  <si>
    <t>2019-10-16T05:37:20</t>
  </si>
  <si>
    <t>2019-10-16T11:14:07.000+06:30</t>
  </si>
  <si>
    <t>PLC1036</t>
  </si>
  <si>
    <t>Sample collected by Buddhadeb Samaddar, FB at PLc1174 site</t>
  </si>
  <si>
    <t>2019-10-14T14:55:00.000+06:30</t>
  </si>
  <si>
    <t>2019-10-14T16:20:00.000+06:30</t>
  </si>
  <si>
    <t>2019-10-15T16:20:00.000+06:30</t>
  </si>
  <si>
    <t>cfc4c578-a3b5-453d-9007-1aff3c27c239</t>
  </si>
  <si>
    <t>2020-01-13T11:00:02</t>
  </si>
  <si>
    <t>2020-01-13T11:43:56.579+05:30</t>
  </si>
  <si>
    <t>2020-01-13T16:29:43.559+05:30</t>
  </si>
  <si>
    <t>RED COLONY(10^4=3,10^5=1,10^6=0)</t>
  </si>
  <si>
    <t>1ecf1f8b-dceb-4f0c-bee7-8b6f03087553</t>
  </si>
  <si>
    <t>2019-05-15T09:24:29</t>
  </si>
  <si>
    <t>0013da46-dfa4-419d-9714-41d33993daef</t>
  </si>
  <si>
    <t>2019-10-16T05:41:33</t>
  </si>
  <si>
    <t>2019-05-15T14:54:09.000-07:00</t>
  </si>
  <si>
    <t>2019-10-16T11:14:08.000+06:30</t>
  </si>
  <si>
    <t>2019-10-16T11:17:14.000+06:30</t>
  </si>
  <si>
    <t>2019-05-15T14:57:58.000-07:00</t>
  </si>
  <si>
    <t>2020-01-13T11:45:00.000+05:30</t>
  </si>
  <si>
    <t>22.5409542 88.3758443 -64.80000305175781 5.0</t>
  </si>
  <si>
    <t>2019-10-14T14:30:00.000+06:30</t>
  </si>
  <si>
    <t>2019-05-02T15:00:00.000-07:00</t>
  </si>
  <si>
    <t>2019-10-14T14:42:00.000+06:30</t>
  </si>
  <si>
    <t>2019-10-15T14:42:00.000+06:30</t>
  </si>
  <si>
    <t>2019-05-02T16:50:00.000-07:00</t>
  </si>
  <si>
    <t>2019-05-03T16:30:00.000-07:00</t>
  </si>
  <si>
    <t>SAMPLE WITH PLC1036,SRUTI HAZRA,13/2 MAHENDRA ROY LANE, RED COLONY(100ml=0)</t>
  </si>
  <si>
    <t>eb713d2d-ab10-402f-98e4-32e6d9efb7a2</t>
  </si>
  <si>
    <t>2019-10-16T05:44:38</t>
  </si>
  <si>
    <t>2019-10-16T11:19:35.000+06:30</t>
  </si>
  <si>
    <t>2019-10-14T14:20:00.000+06:30</t>
  </si>
  <si>
    <t>c8613446-95cb-4033-bcd8-67e7bc68e7a1</t>
  </si>
  <si>
    <t>2020-01-13T11:00:06</t>
  </si>
  <si>
    <t>2019-10-15T14:30:00.000+06:30</t>
  </si>
  <si>
    <t>2020-01-13T11:47:36.079+05:30</t>
  </si>
  <si>
    <t>2020-01-13T16:29:21.304+05:30</t>
  </si>
  <si>
    <t>2020-01-13T11:48:00.000+05:30</t>
  </si>
  <si>
    <t>8245fad1-7302-44f6-b323-5e30f1f0aec4</t>
  </si>
  <si>
    <t>22.5409444 88.3758371 -64.0 5.0</t>
  </si>
  <si>
    <t>2019-10-16T05:47:01</t>
  </si>
  <si>
    <t>2019-10-17T10:46:34.000+06:30</t>
  </si>
  <si>
    <t>2019-10-17T10:50:15.000+06:30</t>
  </si>
  <si>
    <t>2019-10-15T13:20:00.000+06:30</t>
  </si>
  <si>
    <t>2,3</t>
  </si>
  <si>
    <t>2019-10-15T14:00:00.000+06:30</t>
  </si>
  <si>
    <t>2019-10-16T14:30:00.000+06:30</t>
  </si>
  <si>
    <t>72b7d783-d8be-4e8b-87ff-a523d0a0be52</t>
  </si>
  <si>
    <t>2019-05-15T09:28:19</t>
  </si>
  <si>
    <t>2019-05-23T10:08:31.000-07:00</t>
  </si>
  <si>
    <t>Sample collected by Somnath Sarkar, FB at PLc1175 site</t>
  </si>
  <si>
    <t>SAMPLE WITH MO1100, PAGLADANGA, DPS, 1 NO PAGLADANGA ROOD, RED COLONY(100ml=0)</t>
  </si>
  <si>
    <t>2019-05-23T10:53:56.000-07:00</t>
  </si>
  <si>
    <t>d9565cf2-4ef6-43e4-861a-7765d65dd6db</t>
  </si>
  <si>
    <t>a469d49e-cd7d-4f13-856e-fddb8da412a1</t>
  </si>
  <si>
    <t>2020-01-13T11:00:08</t>
  </si>
  <si>
    <t>2019-10-17T05:17:38</t>
  </si>
  <si>
    <t>2020-01-13T11:56:20.512+05:30</t>
  </si>
  <si>
    <t>2020-01-13T16:29:47.997+05:30</t>
  </si>
  <si>
    <t>RP2002-R</t>
  </si>
  <si>
    <t>2019-10-17T10:53:46.000+06:30</t>
  </si>
  <si>
    <t>2019-05-16T16:30:00.000-07:00</t>
  </si>
  <si>
    <t>2019-05-16T17:30:00.000-07:00</t>
  </si>
  <si>
    <t>2019-05-17T17:30:00.000-07:00</t>
  </si>
  <si>
    <t>2020-01-13T11:57:00.000+05:30</t>
  </si>
  <si>
    <t>22.5414915 88.3754044 -42.20000076293945 5.0</t>
  </si>
  <si>
    <t>SAMPLE WITH MO1101, PALMAR BAZAR,DPS,0/1 PALMAR BAZAR ROOD, RED COLONY(100=0)</t>
  </si>
  <si>
    <t>a34ed35f-bc40-49ca-977a-f5e503b88225</t>
  </si>
  <si>
    <t>2019-10-17T05:21:09</t>
  </si>
  <si>
    <t>2019-10-17T10:55:59.000+06:30</t>
  </si>
  <si>
    <t>2a7b5634-30b1-448b-8c45-33a0dd309631</t>
  </si>
  <si>
    <t>2020-01-13T11:00:11</t>
  </si>
  <si>
    <t>2020-01-13T12:01:19.266+05:30</t>
  </si>
  <si>
    <t>2020-01-13T16:29:25.867+05:30</t>
  </si>
  <si>
    <t>2020-01-13T12:01:00.000+05:30</t>
  </si>
  <si>
    <t>22.5414634 88.375359 -50.099998474121094 5.0</t>
  </si>
  <si>
    <t>07e39c40-05d8-49bf-bd9b-f13ec29c0e37</t>
  </si>
  <si>
    <t>2019-10-17T05:23:23</t>
  </si>
  <si>
    <t>2019-10-21T10:39:17.000+06:30</t>
  </si>
  <si>
    <t>"R" denoting repeat testing; Repeat test in response to contamination seen on 08.05.19. Since the portal not allows submitting data only for WG5, a value with GB124 has also been added to make possible the submission. But no need to consider GB124 data mentioned here, since the detail findings with GB124 are already submitted previously.</t>
  </si>
  <si>
    <t>2019-10-21T10:46:30.000+06:30</t>
  </si>
  <si>
    <t>5b683956-04c1-40e0-a2b7-4525b8a6cae9</t>
  </si>
  <si>
    <t>2019-05-23T05:24:18</t>
  </si>
  <si>
    <t>2019-10-17T13:50:00.000+06:30</t>
  </si>
  <si>
    <t>2019-10-17T14:40:00.000+06:30</t>
  </si>
  <si>
    <t>2019-10-17T16:00:00.000+06:30</t>
  </si>
  <si>
    <t>2019-05-23T11:01:43.000-07:00</t>
  </si>
  <si>
    <t>2019-10-18T16:00:00.000+06:30</t>
  </si>
  <si>
    <t>Sample collected by Suvankar Mandal, FB at PLc1176 site</t>
  </si>
  <si>
    <t>24e32e1f-2ca0-4435-9f09-3883beded524</t>
  </si>
  <si>
    <t>RP2001-R</t>
  </si>
  <si>
    <t>2020-01-13T11:00:12</t>
  </si>
  <si>
    <t>2020-01-13T12:09:04.734+05:30</t>
  </si>
  <si>
    <t>2020-01-13T16:29:52.656+05:30</t>
  </si>
  <si>
    <t>RED COLONY (10^4=10,10^5=1,10^6=0)</t>
  </si>
  <si>
    <t>b8631832-2ee2-41ae-b121-575b862859c0</t>
  </si>
  <si>
    <t>2019-10-21T05:16:33</t>
  </si>
  <si>
    <t>2020-01-13T12:09:00.000+05:30</t>
  </si>
  <si>
    <t>22.5410746 88.3743336 -57.599998474121094 5.0</t>
  </si>
  <si>
    <t>2019-10-21T10:50:58.000+06:30</t>
  </si>
  <si>
    <t>2019-10-17T14:15:00.000+06:30</t>
  </si>
  <si>
    <t>2019-10-17T14:25:00.000+06:30</t>
  </si>
  <si>
    <t>2019-10-18T14:25:00.000+06:30</t>
  </si>
  <si>
    <t>SAMPLE WITH PLc1037, SUMIT Kr. PRASAD,13/2 MAHENDRA ROY LANE, RED COLONY(100ml=0)</t>
  </si>
  <si>
    <t>13b1c54b-eae7-4c8e-a555-5cbd04e42d96</t>
  </si>
  <si>
    <t>679bff97-dd84-4bc0-b1ba-51e817cdaaaa</t>
  </si>
  <si>
    <t>2020-01-13T11:00:14</t>
  </si>
  <si>
    <t>2019-10-21T05:18:19</t>
  </si>
  <si>
    <t>2020-01-13T12:18:15.217+05:30</t>
  </si>
  <si>
    <t>2020-01-13T16:29:34.507+05:30</t>
  </si>
  <si>
    <t>2019-10-21T10:55:28.000+06:30</t>
  </si>
  <si>
    <t>2019-10-17T14:42:00.000+06:30</t>
  </si>
  <si>
    <t>2020-01-13T12:18:00.000+05:30</t>
  </si>
  <si>
    <t>22.5410569 88.3742908 -67.80000305175781 5.0</t>
  </si>
  <si>
    <t>eedc54bc-7ee4-46da-98f3-505e30fda0c2</t>
  </si>
  <si>
    <t>2019-05-23T05:32:06</t>
  </si>
  <si>
    <t>2019-05-23T11:01:44.000-07:00</t>
  </si>
  <si>
    <t>2019-05-23T11:07:52.000-07:00</t>
  </si>
  <si>
    <t>RED COLONY(10^4=108,10^5=8,10^6=1)</t>
  </si>
  <si>
    <t>SL2001-R</t>
  </si>
  <si>
    <t>2e3dc7f2-3e26-4e33-9e98-7289746b9916</t>
  </si>
  <si>
    <t>2019-10-21T05:22:49</t>
  </si>
  <si>
    <t>Sample collected by Debabrata Maity, FB at PLc1177 site</t>
  </si>
  <si>
    <t>2019-10-21T11:06:01.000+06:30</t>
  </si>
  <si>
    <t>1ee69dcc-537b-4e43-ae04-657cdc582345</t>
  </si>
  <si>
    <t>2020-01-13T11:00:16</t>
  </si>
  <si>
    <t>2020-01-14T11:43:53.934+05:30</t>
  </si>
  <si>
    <t>2020-01-14T17:07:09.708+05:30</t>
  </si>
  <si>
    <t>2019-10-17T14:27:00.000+06:30</t>
  </si>
  <si>
    <t>2019-10-18T14:27:00.000+06:30</t>
  </si>
  <si>
    <t>2020-01-14T11:44:00.000+05:30</t>
  </si>
  <si>
    <t>22.5636002 88.3772296 -60.79999923706055 5.0</t>
  </si>
  <si>
    <t>SAMPE WITH PLc1038,SHRUTI HAZRA,13/2 MAHENDRA ROY LANE, RED COLONY(100ml=0)</t>
  </si>
  <si>
    <t>e24d8d48-54f8-426e-a892-db536e39906b</t>
  </si>
  <si>
    <t>2019-10-21T05:33:22</t>
  </si>
  <si>
    <t>2019-10-21T11:08:51.000+06:30</t>
  </si>
  <si>
    <t>2019-10-17T14:17:00.000+06:30</t>
  </si>
  <si>
    <t>2019-10-17T14:30:00.000+06:30</t>
  </si>
  <si>
    <t>2019-10-18T14:30:00.000+06:30</t>
  </si>
  <si>
    <t>0b38fc57-7d23-444c-a633-a006602031a9</t>
  </si>
  <si>
    <t>2020-01-14T11:37:29</t>
  </si>
  <si>
    <t>2020-01-14T11:48:21.855+05:30</t>
  </si>
  <si>
    <t>2020-01-14T17:06:46.238+05:30</t>
  </si>
  <si>
    <t>SAMPLE WITH MO1103, TOPSIA OLD DPS, RED COLONY(100ml=0)</t>
  </si>
  <si>
    <t>3c327a1c-4e6d-447a-9fb0-40699ad65f7e</t>
  </si>
  <si>
    <t>4ffce681-772d-4654-97d1-3311ccdb6d55</t>
  </si>
  <si>
    <t>2019-05-23T05:38:14</t>
  </si>
  <si>
    <t>2019-10-21T05:36:12</t>
  </si>
  <si>
    <t>2019-10-21T11:08:52.000+06:30</t>
  </si>
  <si>
    <t>2019-05-23T11:07:53.000-07:00</t>
  </si>
  <si>
    <t>2020-01-14T11:53:00.000+05:30</t>
  </si>
  <si>
    <t>22.5636111 88.3773276 -66.30000305175781 5.0</t>
  </si>
  <si>
    <t>2019-10-21T11:11:52.000+06:30</t>
  </si>
  <si>
    <t>2019-05-23T11:33:41.000-07:00</t>
  </si>
  <si>
    <t>SL2002-R</t>
  </si>
  <si>
    <t>2019-05-16T15:15:00.000-07:00</t>
  </si>
  <si>
    <t>2019-05-16T15:20:00.000-07:00</t>
  </si>
  <si>
    <t>Sample collected by Suvankar Mandal, FB at MO1154</t>
  </si>
  <si>
    <t>SAMPLE WITH MO1102, AMBEDKAR BRIDGE,DPS, RED COLONY(100ml=0)</t>
  </si>
  <si>
    <t>1ef94446-8248-453b-bad3-0f7bc9f27237</t>
  </si>
  <si>
    <t>033c42d9-3d57-4879-9f49-5142780b11f7</t>
  </si>
  <si>
    <t>2020-01-14T11:37:32</t>
  </si>
  <si>
    <t>2019-10-21T05:39:13</t>
  </si>
  <si>
    <t>2020-01-14T12:11:58.914+05:30</t>
  </si>
  <si>
    <t>2020-01-14T17:07:00.456+05:30</t>
  </si>
  <si>
    <t>2019-10-21T11:13:21.000+06:30</t>
  </si>
  <si>
    <t>2019-10-17T14:05:00.000+06:30</t>
  </si>
  <si>
    <t>2019-10-17T14:10:00.000+06:30</t>
  </si>
  <si>
    <t>2019-10-18T14:10:00.000+06:30</t>
  </si>
  <si>
    <t>2020-01-14T12:12:00.000+05:30</t>
  </si>
  <si>
    <t>22.5542177 88.3967588 -57.79999923706055 5.0</t>
  </si>
  <si>
    <t>0c7497c5-042d-4c77-b60e-c2ee99699929</t>
  </si>
  <si>
    <t>2019-10-21T05:40:41</t>
  </si>
  <si>
    <t>2019-10-23T10:58:40.000+06:30</t>
  </si>
  <si>
    <t>2019-10-23T11:05:05.000+06:30</t>
  </si>
  <si>
    <t>2019-10-21T14:40:00.000+06:30</t>
  </si>
  <si>
    <t>2019-10-21T15:00:00.000+06:30</t>
  </si>
  <si>
    <t>2019-10-21T18:00:00.000+06:30</t>
  </si>
  <si>
    <t>33215d79-10d5-4733-bafe-2c7731b98858</t>
  </si>
  <si>
    <t>2019-10-22T18:00:00.000+06:30</t>
  </si>
  <si>
    <t>2019-05-23T06:04:04</t>
  </si>
  <si>
    <t>5a502bc8-76b6-4140-a0c5-0ca1d411091a</t>
  </si>
  <si>
    <t>2020-01-14T11:37:35</t>
  </si>
  <si>
    <t>2019-05-23T16:56:54.000-07:00</t>
  </si>
  <si>
    <t>2020-01-14T12:13:48.283+05:30</t>
  </si>
  <si>
    <t>2020-01-14T17:06:50.683+05:30</t>
  </si>
  <si>
    <t>2019-05-23T17:04:34.000-07:00</t>
  </si>
  <si>
    <t>RED COLONY(10^4=44,10^5=7,10^6=1)</t>
  </si>
  <si>
    <t>DW2002-R</t>
  </si>
  <si>
    <t>2519a4f9-8256-4c4c-a680-e6373f1a13ac</t>
  </si>
  <si>
    <t>2019-10-23T05:32:24</t>
  </si>
  <si>
    <t>2019-10-23T11:09:20.000+06:30</t>
  </si>
  <si>
    <t>2020-01-14T12:21:00.000+05:30</t>
  </si>
  <si>
    <t>22.5542033 88.3967331 -57.5 4.5</t>
  </si>
  <si>
    <t>2019-10-23T11:15:49.000+06:30</t>
  </si>
  <si>
    <t>Sample collected by Somnath Sarkar, FB at MO1152</t>
  </si>
  <si>
    <t>SAMPLE WITH PLc1039, SAGARTA,14A MAHENDRA RAY LANE,RED COLONY(100ml=0) DASGUP</t>
  </si>
  <si>
    <t>fe50c129-0ad0-4a3e-a0b1-80996306f47d</t>
  </si>
  <si>
    <t>2020-01-14T11:37:38</t>
  </si>
  <si>
    <t>4440d437-0ec5-450d-8511-c7f7d4368cec</t>
  </si>
  <si>
    <t>2019-10-23T05:46:41</t>
  </si>
  <si>
    <t>2020-01-14T12:36:02.341+05:30</t>
  </si>
  <si>
    <t>2020-01-14T17:07:05.148+05:30</t>
  </si>
  <si>
    <t>2019-10-23T11:24:16.000+06:30</t>
  </si>
  <si>
    <t>2019-10-23T11:44:38.000+06:30</t>
  </si>
  <si>
    <t>2020-01-14T12:36:00.000+05:30</t>
  </si>
  <si>
    <t>22.5580276 88.389527 -43.599998474121094 5.0</t>
  </si>
  <si>
    <t>RED COLONY(10^4=40,10^5=2,10^6=0)</t>
  </si>
  <si>
    <t>d2325eb6-3f7e-4429-8afe-804e6d80ecc7</t>
  </si>
  <si>
    <t>2019-10-23T06:11:58</t>
  </si>
  <si>
    <t>6aa93b38-d358-412b-923d-40b4bc551ce8</t>
  </si>
  <si>
    <t>2019-05-23T11:34:56</t>
  </si>
  <si>
    <t>2019-10-23T11:50:53.000+06:30</t>
  </si>
  <si>
    <t>2019-05-23T17:04:35.000-07:00</t>
  </si>
  <si>
    <t>2019-05-23T17:09:35.000-07:00</t>
  </si>
  <si>
    <t>BW2001-R</t>
  </si>
  <si>
    <t>e6b10aff-b2de-4b89-88f4-4ce0b3984943</t>
  </si>
  <si>
    <t>2020-01-14T11:37:45</t>
  </si>
  <si>
    <t>2020-01-14T12:45:52.782+05:30</t>
  </si>
  <si>
    <t>2020-01-14T17:06:55.476+05:30</t>
  </si>
  <si>
    <t>SAMPLE WITH PLc1040, ADITYA DAS, 14A/MAHENDRA ROY LANE, RED COLONY(100ml=0)</t>
  </si>
  <si>
    <t>55de62a4-d293-43be-af68-73cceee973a4</t>
  </si>
  <si>
    <t>2019-10-23T06:18:13</t>
  </si>
  <si>
    <t>2019-10-23T11:50:54.000+06:30</t>
  </si>
  <si>
    <t>2020-01-14T12:46:00.000+05:30</t>
  </si>
  <si>
    <t>22.5580006 88.3895571 -51.5 5.0</t>
  </si>
  <si>
    <t>2019-10-23T11:55:08.000+06:30</t>
  </si>
  <si>
    <t>Sample collected by Suvankar Mandal, FB at MO1153</t>
  </si>
  <si>
    <t>e1291828-f729-4e41-b4a5-56f742e35a26</t>
  </si>
  <si>
    <t>RED COLONY(10^4=19,10^5=3,10^6=1)</t>
  </si>
  <si>
    <t>2020-01-14T11:37:47</t>
  </si>
  <si>
    <t>2020-01-14T12:50:44.686+05:30</t>
  </si>
  <si>
    <t>26cff387-e95b-42ec-b09d-286eef5add1c</t>
  </si>
  <si>
    <t>2019-10-23T06:22:27</t>
  </si>
  <si>
    <t>2020-01-14T17:07:14.218+05:30</t>
  </si>
  <si>
    <t>2019-10-23T12:00:30.000+06:30</t>
  </si>
  <si>
    <t>2020-01-14T12:55:00.000+05:30</t>
  </si>
  <si>
    <t>22.5580045 88.3895931 -54.20000076293945 5.0</t>
  </si>
  <si>
    <t>13fae31d-1c70-40cd-aefc-5905bd15ecf7</t>
  </si>
  <si>
    <t>2019-05-23T11:39:59</t>
  </si>
  <si>
    <t>2019-05-23T17:09:36.000-07:00</t>
  </si>
  <si>
    <t>2019-05-23T17:23:17.000-07:00</t>
  </si>
  <si>
    <t>SW2001-R</t>
  </si>
  <si>
    <t>SAMPLE WITH PLc1041, SARMISTHA DHALI, 10D MAHENDRA ROY LANE, RED COLONY(100ml=0)</t>
  </si>
  <si>
    <t>2019-05-17T18:30:00.000-07:00</t>
  </si>
  <si>
    <t>ce200f16-a218-4cc5-83e1-e619e96b2ef3</t>
  </si>
  <si>
    <t>2019-10-23T06:27:50</t>
  </si>
  <si>
    <t>9e01c388-2de9-4583-8d15-801d5173bcf3</t>
  </si>
  <si>
    <t>2020-01-14T11:37:50</t>
  </si>
  <si>
    <t>2020-01-16T09:19:06.618+05:30</t>
  </si>
  <si>
    <t>2019-10-23T12:07:56.000+06:30</t>
  </si>
  <si>
    <t>2020-01-20T10:45:15.032+05:30</t>
  </si>
  <si>
    <t>2019-10-21T14:20:00.000+06:30</t>
  </si>
  <si>
    <t>K22061</t>
  </si>
  <si>
    <t>2020-01-16T09:20:00.000+05:30</t>
  </si>
  <si>
    <t>22.5412228 88.3743853 -44.5 4.5</t>
  </si>
  <si>
    <t>RED COLONY(10^4=21,10^5=0,10^6=0)</t>
  </si>
  <si>
    <t>0c2a5541-319b-43a8-986e-f1b91aef991b</t>
  </si>
  <si>
    <t>2019-10-23T06:35:14</t>
  </si>
  <si>
    <t>2019-10-23T12:10:29.000+06:30</t>
  </si>
  <si>
    <t>3fcd1377-2059-4825-bd4c-e78a05b0977e</t>
  </si>
  <si>
    <t>2020-01-20T05:15:24</t>
  </si>
  <si>
    <t>2020-01-16T09:28:40.464+05:30</t>
  </si>
  <si>
    <t>2020-01-20T10:44:44.321+05:30</t>
  </si>
  <si>
    <t>SAMPLE WITH PLc1042, ARADHYA DAS,11B RAICHARAM PAL LANE, RED COLONY(100ml=0)</t>
  </si>
  <si>
    <t>34300dcf-0708-4769-8f70-976f89971cb6</t>
  </si>
  <si>
    <t>2019-10-23T06:37:48</t>
  </si>
  <si>
    <t>4757c8da-fa08-4e76-a6a0-632cf396b92d</t>
  </si>
  <si>
    <t>2019-05-23T11:53:39</t>
  </si>
  <si>
    <t>2019-10-23T12:15:28.000+06:30</t>
  </si>
  <si>
    <t>2019-05-23T17:23:18.000-07:00</t>
  </si>
  <si>
    <t>2020-01-16T09:29:00.000+05:30</t>
  </si>
  <si>
    <t>22.5412623 88.3743815 -48.0 5.0</t>
  </si>
  <si>
    <t>2019-05-23T17:32:29.000-07:00</t>
  </si>
  <si>
    <t>SF2001-R</t>
  </si>
  <si>
    <t>2019-05-16T16:20:00.000-07:00</t>
  </si>
  <si>
    <t>RED COLONY(10^4=50,10^5=16,10^6=1)</t>
  </si>
  <si>
    <t>2e633621-a217-46db-9d31-654a8c365a69</t>
  </si>
  <si>
    <t>2019-10-23T06:42:48</t>
  </si>
  <si>
    <t>2019-10-23T12:17:51.000+06:30</t>
  </si>
  <si>
    <t>Sample collected by Suvankar Mandal, FB at PLc1178</t>
  </si>
  <si>
    <t>6d18c2bb-27ef-44f3-a6ea-b6b7cd060102</t>
  </si>
  <si>
    <t>2020-01-20T05:15:26</t>
  </si>
  <si>
    <t>2020-01-16T09:39:12.060+05:30</t>
  </si>
  <si>
    <t>2020-01-20T10:45:19.514+05:30</t>
  </si>
  <si>
    <t>SAMPLE WITH PLc1043, REHAN SK,45, TILJALA ROOD, RED COLONY(100ml=0)</t>
  </si>
  <si>
    <t>83bb5b65-d52b-478a-aaf6-508f0e8a256a</t>
  </si>
  <si>
    <t>2019-10-23T06:45:10</t>
  </si>
  <si>
    <t>2019-10-23T12:22:14.000+06:30</t>
  </si>
  <si>
    <t>2020-01-16T09:39:00.000+05:30</t>
  </si>
  <si>
    <t>22.5413268 88.3760589 -66.0999984741211 5.0</t>
  </si>
  <si>
    <t>c508eac0-a07d-439c-9a36-983ce36aadb1</t>
  </si>
  <si>
    <t>2019-05-23T12:02:51</t>
  </si>
  <si>
    <t>1f401fb4-8df8-4cee-9921-201c10b02f51</t>
  </si>
  <si>
    <t>2019-10-23T06:49:35</t>
  </si>
  <si>
    <t>2019-05-23T17:32:30.000-07:00</t>
  </si>
  <si>
    <t>2019-10-24T10:16:53.000+06:30</t>
  </si>
  <si>
    <t>2019-05-23T17:42:52.000-07:00</t>
  </si>
  <si>
    <t>2019-10-24T10:20:48.000+06:30</t>
  </si>
  <si>
    <t>8f7d36ce-a54a-4549-a92d-ec423b16dd53</t>
  </si>
  <si>
    <t>2020-01-20T05:15:28</t>
  </si>
  <si>
    <t>2020-01-16T09:43:20.588+05:30</t>
  </si>
  <si>
    <t>LS2001-R</t>
  </si>
  <si>
    <t>2020-01-20T10:44:50.313+05:30</t>
  </si>
  <si>
    <t>2019-10-22T12:47:00.000+06:30</t>
  </si>
  <si>
    <t>2019-10-22T14:00:00.000+06:30</t>
  </si>
  <si>
    <t>2019-10-22T15:00:00.000+06:30</t>
  </si>
  <si>
    <t>2019-10-23T15:00:00.000+06:30</t>
  </si>
  <si>
    <t>2020-01-16T09:45:00.000+05:30</t>
  </si>
  <si>
    <t>22.5413246 88.3760426 -50.0 5.0</t>
  </si>
  <si>
    <t>SAMPLE WITH MO1104, KMC, PAGLADANGA ROOD, RED COLONY(100ml=0)</t>
  </si>
  <si>
    <t>vWNdHeMtQ9ziuCJ2zngErs</t>
  </si>
  <si>
    <t>f1cf6c70-63a7-4a74-ad7d-2e7c3c586d94</t>
  </si>
  <si>
    <t>2019-10-24T04:48:09</t>
  </si>
  <si>
    <t>2019-10-24T10:23:20.000+06:30</t>
  </si>
  <si>
    <t>Sample collected by Suvankar Mandal, FB at PLc1179</t>
  </si>
  <si>
    <t>8ac59c38-941b-458a-a4c6-53eaaeb5df99</t>
  </si>
  <si>
    <t>2020-01-20T05:15:29</t>
  </si>
  <si>
    <t>2020-01-16T13:11:02.300+05:30</t>
  </si>
  <si>
    <t>2020-01-20T10:45:05.440+05:30</t>
  </si>
  <si>
    <t>SAMPLE WITH MO1105, PALMAR BAZAR, DPS, RED COLONY(100ml=0)</t>
  </si>
  <si>
    <t>f2756df8-01ef-40be-a042-f0b9ac0d3b12</t>
  </si>
  <si>
    <t>2019-10-24T04:50:37</t>
  </si>
  <si>
    <t>2020-01-16T13:12:00.000+05:30</t>
  </si>
  <si>
    <t>22.5346615 88.3958123 -67.30000305175781 5.0</t>
  </si>
  <si>
    <t>2019-10-24T10:24:42.000+06:30</t>
  </si>
  <si>
    <t>43918a63-8359-4246-b846-9fd58092af91</t>
  </si>
  <si>
    <t>2019-05-23T12:13:14</t>
  </si>
  <si>
    <t>2019-05-24T12:43:11.000-07:00</t>
  </si>
  <si>
    <t>2019-05-24T12:49:55.000-07:00</t>
  </si>
  <si>
    <t>1e279fa2-4019-4506-9e89-e6f1eb951f90</t>
  </si>
  <si>
    <t>2019-05-16T17:20:00.000-07:00</t>
  </si>
  <si>
    <t>2019-10-24T04:52:02</t>
  </si>
  <si>
    <t>2019-10-25T11:37:11.000+06:30</t>
  </si>
  <si>
    <t>8932071d-24be-401e-adb8-d73f830a1e7e</t>
  </si>
  <si>
    <t>2020-01-20T05:15:31</t>
  </si>
  <si>
    <t>2020-01-16T13:15:58.191+05:30</t>
  </si>
  <si>
    <t>2019-10-25T11:46:26.000+06:30</t>
  </si>
  <si>
    <t>2020-01-20T10:44:55.593+05:30</t>
  </si>
  <si>
    <t>2019-10-23T11:35:00.000+06:30</t>
  </si>
  <si>
    <t>2019-10-23T12:00:00.000+06:30</t>
  </si>
  <si>
    <t>2019-10-23T14:00:00.000+06:30</t>
  </si>
  <si>
    <t>2019-10-24T14:00:00.000+06:30</t>
  </si>
  <si>
    <t>2020-01-16T13:21:00.000+05:30</t>
  </si>
  <si>
    <t>22.5346875 88.3959497 -50.900001525878906 5.0</t>
  </si>
  <si>
    <t>RED COLONY(10^1=125,10^2=13,10^3=1)</t>
  </si>
  <si>
    <t>2019-05-15T14:30:00.000-07:00</t>
  </si>
  <si>
    <t>0323abc0-2503-4b1e-b8f8-d00185e4990b</t>
  </si>
  <si>
    <t>2019-10-25T06:13:44</t>
  </si>
  <si>
    <t>f5902a82-a896-42d9-b22f-12591857457f</t>
  </si>
  <si>
    <t>2020-01-20T05:15:32</t>
  </si>
  <si>
    <t>2020-01-16T13:46:41.271+05:30</t>
  </si>
  <si>
    <t>2020-01-20T10:45:09.885+05:30</t>
  </si>
  <si>
    <t>2019-10-25T11:50:34.000+06:30</t>
  </si>
  <si>
    <t>2020-01-16T13:48:00.000+05:30</t>
  </si>
  <si>
    <t>22.5361349 88.3746364 -26.100000381469727 5.0</t>
  </si>
  <si>
    <t>7f965e51-dd27-4f18-87fb-b8ea840599ff</t>
  </si>
  <si>
    <t>2019-05-24T07:20:18</t>
  </si>
  <si>
    <t>RED COLONY(100ml=TDTC,10ml=23,10^1=6)</t>
  </si>
  <si>
    <t>2019-05-24T12:49:56.000-07:00</t>
  </si>
  <si>
    <t>4ee4d5ef-1105-438c-9823-5ced4f722e3e</t>
  </si>
  <si>
    <t>2019-10-25T06:17:52</t>
  </si>
  <si>
    <t>12cd63ad-18bb-4cd9-9ec9-fe8638e86b1d</t>
  </si>
  <si>
    <t>2019-05-24T13:07:32.000-07:00</t>
  </si>
  <si>
    <t>2020-01-20T05:15:34</t>
  </si>
  <si>
    <t>2020-01-16T13:51:24.792+05:30</t>
  </si>
  <si>
    <t>2019-10-25T11:53:48.000+06:30</t>
  </si>
  <si>
    <t>2020-01-20T10:45:00.368+05:30</t>
  </si>
  <si>
    <t>2020-01-16T13:51:00.000+05:30</t>
  </si>
  <si>
    <t>22.5361061 88.3746118 -51.0 5.0</t>
  </si>
  <si>
    <t>RED COLONY(10^1=TDTC,10^2=184,10^3=44)</t>
  </si>
  <si>
    <t>9a984bf8-02b9-4abd-b2fe-6b0e6ba59844</t>
  </si>
  <si>
    <t>2019-10-25T06:21:06</t>
  </si>
  <si>
    <t>2019-10-25T11:53:49.000+06:30</t>
  </si>
  <si>
    <t>2019-10-25T11:56:54.000+06:30</t>
  </si>
  <si>
    <t>f753a63b-6e31-4381-8bae-193fcd5e4d8b</t>
  </si>
  <si>
    <t>2020-01-20T05:15:36</t>
  </si>
  <si>
    <t>2020-01-20T12:24:51.736+05:30</t>
  </si>
  <si>
    <t>2020-01-20T16:15:37.788+05:30</t>
  </si>
  <si>
    <t>2020-01-20T12:25:00.000+05:30</t>
  </si>
  <si>
    <t>22.5413465 88.3760438 -36.0 5.0</t>
  </si>
  <si>
    <t>RED COLONY(100ml=86,10ml=21,10^1=1)</t>
  </si>
  <si>
    <t>6062379a-9297-4333-b85c-b4c9f718831f</t>
  </si>
  <si>
    <t>2019-10-25T06:24:12</t>
  </si>
  <si>
    <t>0fa9b58a-8c93-4e04-83cb-7dd20034487f</t>
  </si>
  <si>
    <t>2019-05-24T07:37:55</t>
  </si>
  <si>
    <t>2019-10-25T12:00:42.000+06:30</t>
  </si>
  <si>
    <t>2019-05-24T13:14:50.000-07:00</t>
  </si>
  <si>
    <t>0361a853-37dd-473f-b7db-1ec1436f00fc</t>
  </si>
  <si>
    <t>2020-01-20T10:45:52</t>
  </si>
  <si>
    <t>2020-01-20T12:29:53.116+05:30</t>
  </si>
  <si>
    <t>2020-01-20T16:15:24.432+05:30</t>
  </si>
  <si>
    <t>2019-05-17T17:20:00.000-07:00</t>
  </si>
  <si>
    <t>2020-01-20T12:30:00.000+05:30</t>
  </si>
  <si>
    <t>22.5413146 88.3760942 -45.70000076293945 4.5</t>
  </si>
  <si>
    <t>RED COLONY(100ml=87,10ml=10,10^1=2)</t>
  </si>
  <si>
    <t>f7dea190-9940-49e9-823e-b1a556167010</t>
  </si>
  <si>
    <t>2019-10-25T06:28:02</t>
  </si>
  <si>
    <t>2019-10-25T12:04:41.000+06:30</t>
  </si>
  <si>
    <t>Sample collected by Somnath Sarkar, FB at PLc1180 site</t>
  </si>
  <si>
    <t>f3fb0051-75f9-4653-a20b-84d2d718f87e</t>
  </si>
  <si>
    <t>2020-01-20T10:45:54</t>
  </si>
  <si>
    <t>2020-01-20T12:39:09.415+05:30</t>
  </si>
  <si>
    <t>2020-01-20T16:15:42.195+05:30</t>
  </si>
  <si>
    <t>2020-01-20T12:40:00.000+05:30</t>
  </si>
  <si>
    <t>SAMPLE WITH FPa1003,FPb1003,FPc1003,FPd1003,FPe1003, RED COLONY(100ml=0)</t>
  </si>
  <si>
    <t>22.5412381 88.37436 -56.0 5.0</t>
  </si>
  <si>
    <t>9c459ec2-df1c-4cd7-b9ae-d4598d40f889</t>
  </si>
  <si>
    <t>2019-10-25T06:31:58</t>
  </si>
  <si>
    <t>5cb83f2e-a40e-498d-ad61-c514cc0c61d9</t>
  </si>
  <si>
    <t>2019-05-24T07:45:12</t>
  </si>
  <si>
    <t>2019-10-25T12:06:41.000+06:30</t>
  </si>
  <si>
    <t>2019-05-24T13:25:56.000-07:00</t>
  </si>
  <si>
    <t>c6812f37-ff73-4a2b-95ad-04cceb851c5f</t>
  </si>
  <si>
    <t>2020-01-20T10:45:56</t>
  </si>
  <si>
    <t>2020-01-20T12:42:51.216+05:30</t>
  </si>
  <si>
    <t>2020-01-20T16:15:28.964+05:30</t>
  </si>
  <si>
    <t>179abf25-04b4-4efb-a4ef-10d57195bdfb</t>
  </si>
  <si>
    <t>2019-10-25T06:33:59</t>
  </si>
  <si>
    <t>2019-10-30T12:26:10.000+06:30</t>
  </si>
  <si>
    <t>2020-01-20T12:43:00.000+05:30</t>
  </si>
  <si>
    <t>22.5412027 88.3743852 -42.900001525878906 4.5</t>
  </si>
  <si>
    <t>2019-10-30T12:30:00.000+06:30</t>
  </si>
  <si>
    <t>2019-10-24T12:45:00.000+06:30</t>
  </si>
  <si>
    <t>2019-10-24T15:00:00.000+06:30</t>
  </si>
  <si>
    <t>2019-10-24T16:30:00.000+06:30</t>
  </si>
  <si>
    <t>2019-10-25T16:30:00.000+06:30</t>
  </si>
  <si>
    <t>Sample collected by Buddhadeb Samaddar, FB at PLc1181 site</t>
  </si>
  <si>
    <t>a45035e7-46e8-4416-ae0b-4ea135ccbfa1</t>
  </si>
  <si>
    <t>2020-01-20T10:45:58</t>
  </si>
  <si>
    <t>2020-01-20T12:48:59.515+05:30</t>
  </si>
  <si>
    <t>2020-01-20T16:15:46.916+05:30</t>
  </si>
  <si>
    <t>SAMPLE WITH MO1106, RED COLONY(100ml=0)</t>
  </si>
  <si>
    <t>1cf75f80-4757-4eb2-88ff-a1c471332e11</t>
  </si>
  <si>
    <t>2019-10-30T06:57:13</t>
  </si>
  <si>
    <t>2020-01-20T12:49:00.000+05:30</t>
  </si>
  <si>
    <t>22.541384 88.3753704 -69.19999694824219 5.0</t>
  </si>
  <si>
    <t>USED AS POSITIVE CONTROL FOR BOTH WG5 AND GB124 TESTS FOR MST.</t>
  </si>
  <si>
    <t>2019-10-30T12:31:35.000+06:30</t>
  </si>
  <si>
    <t>f64d3fdd-62e9-492f-b695-4f19b0170fce</t>
  </si>
  <si>
    <t>2019-05-24T07:56:19</t>
  </si>
  <si>
    <t>2019-05-24T13:25:57.000-07:00</t>
  </si>
  <si>
    <t>2019-05-24T13:33:20.000-07:00</t>
  </si>
  <si>
    <t>7f3dc542-9aa6-416b-bb16-35185d95ce17</t>
  </si>
  <si>
    <t>2020-01-20T10:46:01</t>
  </si>
  <si>
    <t>2020-01-20T12:53:34.849+05:30</t>
  </si>
  <si>
    <t>2020-01-20T16:15:33.361+05:30</t>
  </si>
  <si>
    <t>2019-05-16T14:30:00.000-07:00</t>
  </si>
  <si>
    <t>2020-01-20T12:54:00.000+05:30</t>
  </si>
  <si>
    <t>22.5413722 88.3754687 -67.0 5.0</t>
  </si>
  <si>
    <t>SAMPLE WITH MO1107, RED COLONY(100ml=0)</t>
  </si>
  <si>
    <t>3d32383b-7601-4312-8ca4-9dae3f7e7861</t>
  </si>
  <si>
    <t>2019-10-30T06:58:49</t>
  </si>
  <si>
    <t>2019-10-30T12:34:52.000+06:30</t>
  </si>
  <si>
    <t>Sample collected by Ashis Saha, FB at PLc1182 site</t>
  </si>
  <si>
    <t>8af4f042-f406-411c-9d87-3e9c43af3c60</t>
  </si>
  <si>
    <t>2020-01-20T10:46:04</t>
  </si>
  <si>
    <t>2020-01-21T12:49:29.178+05:30</t>
  </si>
  <si>
    <t>2020-01-21T15:38:47.031+05:30</t>
  </si>
  <si>
    <t>2020-01-21T12:50:00.000+05:30</t>
  </si>
  <si>
    <t>SAMPLE WITH FB1087, RED COLONY (10^4=23,10^5=2,10^6=0)</t>
  </si>
  <si>
    <t>22.563603 88.3773199 -39.5 5.0</t>
  </si>
  <si>
    <t>9fcbc444-ceec-4b2d-8b58-82045ddbee4f</t>
  </si>
  <si>
    <t>2019-10-30T07:02:05</t>
  </si>
  <si>
    <t>88057629-cc83-4ee9-beb2-193f54d8def0</t>
  </si>
  <si>
    <t>2019-05-24T08:03:43</t>
  </si>
  <si>
    <t>2019-05-24T15:30:38.000-07:00</t>
  </si>
  <si>
    <t>2019-10-30T12:45:24.000+06:30</t>
  </si>
  <si>
    <t>2019-05-24T15:43:13.000-07:00</t>
  </si>
  <si>
    <t>dc5b062c-ca67-4c99-9bf4-c816ac439bf1</t>
  </si>
  <si>
    <t>2020-01-21T10:09:16</t>
  </si>
  <si>
    <t>2020-01-21T12:55:59.252+05:30</t>
  </si>
  <si>
    <t>2020-01-21T15:38:22.248+05:30</t>
  </si>
  <si>
    <t>2020-01-21T12:56:00.000+05:30</t>
  </si>
  <si>
    <t>22.5636552 88.3773385 -64.9000015258789 5.0</t>
  </si>
  <si>
    <t>SAMPLE WITH PLc1044,RED COLONY(100ml=0)</t>
  </si>
  <si>
    <t>d56a2b31-5c5c-4bf6-a5e4-49f0d46c09d4</t>
  </si>
  <si>
    <t>2019-10-30T07:12:36</t>
  </si>
  <si>
    <t>2019-10-30T12:50:55.000+06:30</t>
  </si>
  <si>
    <t>Sample collected by Suvankar Mandal, FB at MO1159 site</t>
  </si>
  <si>
    <t>da6a5224-9146-4905-9e9a-f17e8d8b6d2c</t>
  </si>
  <si>
    <t>2020-01-21T10:09:19</t>
  </si>
  <si>
    <t>2020-01-21T13:07:37.924+05:30</t>
  </si>
  <si>
    <t>2020-01-21T15:38:41.792+05:30</t>
  </si>
  <si>
    <t>2020-01-21T13:08:00.000+05:30</t>
  </si>
  <si>
    <t>22.5579426 88.3896292 -50.5 5.0</t>
  </si>
  <si>
    <t>SAMPLE WITH FB1088, RED COLONY(10^4=5,10^5=0,10^6=0)</t>
  </si>
  <si>
    <t>fc591f04-4cb8-432e-bf26-0c90cc60d3b9</t>
  </si>
  <si>
    <t>2019-05-24T10:13:35</t>
  </si>
  <si>
    <t>bafa4b6a-dfd8-40a3-a54e-ac1c5542b135</t>
  </si>
  <si>
    <t>2019-10-30T07:18:08</t>
  </si>
  <si>
    <t>2019-05-24T15:43:14.000-07:00</t>
  </si>
  <si>
    <t>2019-05-24T15:48:25.000-07:00</t>
  </si>
  <si>
    <t>2019-10-30T12:53:09.000+06:30</t>
  </si>
  <si>
    <t>f184881a-4683-4fd6-a298-a4b22846719f</t>
  </si>
  <si>
    <t>2020-01-21T10:09:22</t>
  </si>
  <si>
    <t>2020-01-21T13:10:34.062+05:30</t>
  </si>
  <si>
    <t>2020-01-21T15:38:26.915+05:30</t>
  </si>
  <si>
    <t>2020-01-21T13:17:00.000+05:30</t>
  </si>
  <si>
    <t>22.5579602 88.3896268 -56.5 5.0</t>
  </si>
  <si>
    <t>SAMPLE WITH PLc1045, RED COLONY(100ml=0)</t>
  </si>
  <si>
    <t>0aada07d-4938-4e6c-9618-c30e95e5cd61</t>
  </si>
  <si>
    <t>2019-10-30T07:20:21</t>
  </si>
  <si>
    <t>Sample collected by Buddhadeb Samaddar, FB at MO1158 site</t>
  </si>
  <si>
    <t>9a234441-6c70-4c6d-b3ef-8b158cc6de17</t>
  </si>
  <si>
    <t>2020-01-21T10:09:25</t>
  </si>
  <si>
    <t>2019-10-30T12:55:52.000+06:30</t>
  </si>
  <si>
    <t>2020-01-21T13:13:19.744+05:30</t>
  </si>
  <si>
    <t>2020-01-21T15:38:53.840+05:30</t>
  </si>
  <si>
    <t>2020-01-21T13:25:00.000+05:30</t>
  </si>
  <si>
    <t>22.5579552 88.3896759 -61.599998474121094 5.0</t>
  </si>
  <si>
    <t>SAMPLE WITH FB1089, RED COLONY(10^4=7,10^5=0,10^6=0)</t>
  </si>
  <si>
    <t>2d9c3d46-859e-4305-93e1-6ea70e2aef15</t>
  </si>
  <si>
    <t>c7a95c1c-fa8e-412b-8a25-c08773bade12</t>
  </si>
  <si>
    <t>2019-05-24T10:18:48</t>
  </si>
  <si>
    <t>2019-10-30T07:23:04</t>
  </si>
  <si>
    <t>2019-05-24T15:48:26.000-07:00</t>
  </si>
  <si>
    <t>2019-05-24T15:53:49.000-07:00</t>
  </si>
  <si>
    <t>2019-10-30T13:00:16.000+06:30</t>
  </si>
  <si>
    <t>7f9b6039-c4db-4b7f-9ce7-0a2d83305d8e</t>
  </si>
  <si>
    <t>2020-01-21T10:09:28</t>
  </si>
  <si>
    <t>2020-01-21T13:31:40.949+05:30</t>
  </si>
  <si>
    <t>2020-01-21T15:38:37.336+05:30</t>
  </si>
  <si>
    <t>2020-01-21T13:33:00.000+05:30</t>
  </si>
  <si>
    <t>22.5541924 88.3968199 -63.099998474121094 5.0</t>
  </si>
  <si>
    <t>SAMPLE WITH PLc1046, RED COLONY( 100ml=0)</t>
  </si>
  <si>
    <t>7de6bf40-d237-4731-a282-dbf06c028a84</t>
  </si>
  <si>
    <t>2019-10-30T07:27:28</t>
  </si>
  <si>
    <t>2019-10-30T13:05:21.000+06:30</t>
  </si>
  <si>
    <t>aca86be5-4814-4f27-a35e-7775eed82510</t>
  </si>
  <si>
    <t>2020-01-21T10:09:32</t>
  </si>
  <si>
    <t>2020-01-21T13:35:24.790+05:30</t>
  </si>
  <si>
    <t>2020-01-21T15:38:31.533+05:30</t>
  </si>
  <si>
    <t>SAMPLEWITH FB1090, RED COLONY(10^4=TNTC,10^5=86,10^6=6)</t>
  </si>
  <si>
    <t>2020-01-21T13:41:00.000+05:30</t>
  </si>
  <si>
    <t>9cccc849-a92a-4dbf-9365-9e530c54b304</t>
  </si>
  <si>
    <t>22.5542164 88.3967509 -54.099998474121094 5.0</t>
  </si>
  <si>
    <t>2019-10-30T07:32:34</t>
  </si>
  <si>
    <t>2019-10-30T13:05:22.000+06:30</t>
  </si>
  <si>
    <t>2019-10-30T13:07:59.000+06:30</t>
  </si>
  <si>
    <t>Sample collected by Buddhadeb Samaddar, FB at MO1157 site</t>
  </si>
  <si>
    <t>5e26b98d-f6fb-4e01-b481-001c13504002</t>
  </si>
  <si>
    <t>15ae7457-cc70-4999-90ec-b8a67fa6cee7</t>
  </si>
  <si>
    <t>2020-01-21T10:09:35</t>
  </si>
  <si>
    <t>2019-05-24T10:24:11</t>
  </si>
  <si>
    <t>2020-01-22T11:22:52.855+05:30</t>
  </si>
  <si>
    <t>2020-01-22T17:04:29.773+05:30</t>
  </si>
  <si>
    <t>SAMPLE WITH PLc1047, RED COLONY(100ml=0)</t>
  </si>
  <si>
    <t>2019-05-24T15:58:15.000-07:00</t>
  </si>
  <si>
    <t>0631cb7c-c849-49e9-b104-4e3bad30ad6e</t>
  </si>
  <si>
    <t>2020-01-22T11:23:00.000+05:30</t>
  </si>
  <si>
    <t>2019-10-30T07:35:11</t>
  </si>
  <si>
    <t>22.5346443 88.3959663 -53.5 4.0</t>
  </si>
  <si>
    <t>2019-05-16T17:50:00.000-07:00</t>
  </si>
  <si>
    <t>2019-05-17T17:50:00.000-07:00</t>
  </si>
  <si>
    <t>2019-10-30T13:18:08.000+06:30</t>
  </si>
  <si>
    <t>42c57988-d13f-45f1-a2df-8fdd34167dc0</t>
  </si>
  <si>
    <t>SAMPLE WITH FB1091, RED COLONY(10^4=110,10^5=12,10^6=0)</t>
  </si>
  <si>
    <t>2020-01-22T11:34:53</t>
  </si>
  <si>
    <t>2020-01-22T11:26:35.294+05:30</t>
  </si>
  <si>
    <t>2020-01-22T17:04:14.166+05:30</t>
  </si>
  <si>
    <t>8eee95ab-438b-4641-b65c-2034edf0251b</t>
  </si>
  <si>
    <t>2019-10-30T07:45:20</t>
  </si>
  <si>
    <t>2019-10-30T13:18:09.000+06:30</t>
  </si>
  <si>
    <t>2019-10-30T13:27:11.000+06:30</t>
  </si>
  <si>
    <t>22.5346685 88.3959393 -39.099998474121094 5.0</t>
  </si>
  <si>
    <t>2019-05-14T16:30:00.000-07:00</t>
  </si>
  <si>
    <t>SAMPLE WITH PLc1049,RED COLONY(100ml=0)</t>
  </si>
  <si>
    <t>7803f8dd-802c-4dba-bedf-74436cf8154f</t>
  </si>
  <si>
    <t>e01389a2-0372-4bd2-ad1e-2dc945203b19</t>
  </si>
  <si>
    <t>2020-01-22T11:34:57</t>
  </si>
  <si>
    <t>2019-10-30T07:54:23</t>
  </si>
  <si>
    <t>2020-01-22T11:41:52.314+05:30</t>
  </si>
  <si>
    <t>2020-01-22T17:04:34.642+05:30</t>
  </si>
  <si>
    <t>2019-10-30T13:29:52.000+06:30</t>
  </si>
  <si>
    <t>2020-01-22T11:42:00.000+05:30</t>
  </si>
  <si>
    <t>22.5399995 88.3872355 -74.19999694824219 5.0</t>
  </si>
  <si>
    <t>446586bf-58f1-46d4-9c9d-fb12322dbfb1</t>
  </si>
  <si>
    <t>2019-05-24T10:28:37</t>
  </si>
  <si>
    <t>2019-05-24T15:58:16.000-07:00</t>
  </si>
  <si>
    <t>83bdbe46-212e-4758-a444-9f1300beef41</t>
  </si>
  <si>
    <t>2019-10-30T07:57:05</t>
  </si>
  <si>
    <t>2ea8576b-cb0d-45c6-bd4e-07c58e215640</t>
  </si>
  <si>
    <t>2019-05-24T16:07:33.000-07:00</t>
  </si>
  <si>
    <t>2020-01-22T11:35:00</t>
  </si>
  <si>
    <t>2020-01-22T11:44:11.444+05:30</t>
  </si>
  <si>
    <t>2019-10-30T13:37:42.000+06:30</t>
  </si>
  <si>
    <t>2020-01-22T17:04:18.963+05:30</t>
  </si>
  <si>
    <t>2019-10-28T13:10:00.000+06:30</t>
  </si>
  <si>
    <t>2019-10-28T14:20:00.000+06:30</t>
  </si>
  <si>
    <t>2019-10-28T16:00:00.000+06:30</t>
  </si>
  <si>
    <t>2019-10-29T16:00:00.000+06:30</t>
  </si>
  <si>
    <t>2020-01-22T11:45:00.000+05:30</t>
  </si>
  <si>
    <t>22.5399901 88.3872599 -42.900001525878906 5.0</t>
  </si>
  <si>
    <t>SAMPLE WITH FB1092,RED COLONY(10^4=7,10^5=0,10^6=0)</t>
  </si>
  <si>
    <t>3f864db4-f81f-4445-8cc8-6fcc55f37d1a</t>
  </si>
  <si>
    <t>2019-10-30T08:04:55</t>
  </si>
  <si>
    <t>ae0ff624-c3ab-427f-b0b0-2bfcb3ff7043</t>
  </si>
  <si>
    <t>2020-01-22T11:35:04</t>
  </si>
  <si>
    <t>2019-10-31T10:27:14.000+06:30</t>
  </si>
  <si>
    <t>2020-01-22T12:11:21.065+05:30</t>
  </si>
  <si>
    <t>2020-01-22T17:04:39.167+05:30</t>
  </si>
  <si>
    <t>2019-10-31T10:30:34.000+06:30</t>
  </si>
  <si>
    <t>2019-10-28T13:45:00.000+06:30</t>
  </si>
  <si>
    <t>2019-10-28T14:00:00.000+06:30</t>
  </si>
  <si>
    <t>2019-10-29T14:00:00.000+06:30</t>
  </si>
  <si>
    <t>2020-01-22T12:12:00.000+05:30</t>
  </si>
  <si>
    <t>22.5360583 88.3744562 -82.5999984741211 5.0</t>
  </si>
  <si>
    <t>RED COLONY COUNT:- 100ml-00</t>
  </si>
  <si>
    <t>f9a0ad96-efef-452f-a044-d4efdbcc4f3b</t>
  </si>
  <si>
    <t>2019-10-31T04:57:47</t>
  </si>
  <si>
    <t>fbaf0fc2-f694-429d-b771-73ce404e553a</t>
  </si>
  <si>
    <t>2020-01-22T11:35:06</t>
  </si>
  <si>
    <t>2020-01-22T12:25:47.306+05:30</t>
  </si>
  <si>
    <t>2019-10-31T10:34:58.000+06:30</t>
  </si>
  <si>
    <t>2020-01-22T17:04:45.597+05:30</t>
  </si>
  <si>
    <t>a2d35cf7-69b7-4b82-b67b-7c21fd2a768b</t>
  </si>
  <si>
    <t>2019-05-24T10:37:56</t>
  </si>
  <si>
    <t>2019-05-24T16:07:34.000-07:00</t>
  </si>
  <si>
    <t>2019-05-24T16:11:30.000-07:00</t>
  </si>
  <si>
    <t>2020-01-22T12:26:00.000+05:30</t>
  </si>
  <si>
    <t>22.5360801 88.3745694 -58.20000076293945 5.0</t>
  </si>
  <si>
    <t>RED COLONY COUNT:- 1:10^4- TDTC; 1:10^5- 44; 1:10^6- 01</t>
  </si>
  <si>
    <t>4fec37c5-5a99-4bf3-91e4-3acc7aa889ef</t>
  </si>
  <si>
    <t>2019-10-31T05:02:09</t>
  </si>
  <si>
    <t>3b38052f-c296-46aa-b17c-f975cf527454</t>
  </si>
  <si>
    <t>2020-01-22T11:35:08</t>
  </si>
  <si>
    <t>2019-10-31T10:38:32.000+06:30</t>
  </si>
  <si>
    <t>2020-01-22T12:34:03.410+05:30</t>
  </si>
  <si>
    <t>2020-01-22T17:04:23.792+05:30</t>
  </si>
  <si>
    <t>2020-01-22T12:35:00.000+05:30</t>
  </si>
  <si>
    <t>22.5361533 88.3745978 -51.900001525878906 5.0</t>
  </si>
  <si>
    <t>RED COLONY COUNT :-UNDILUTED - 100ml -00</t>
  </si>
  <si>
    <t>3d9e0447-f3c5-404e-b4bb-67d8db214cb8</t>
  </si>
  <si>
    <t>2019-10-31T05:05:44</t>
  </si>
  <si>
    <t>1,2</t>
  </si>
  <si>
    <t>2019-10-31T10:38:33.000+06:30</t>
  </si>
  <si>
    <t>dfa61f6e-07c7-4c0b-96c3-1acf55cd6a22</t>
  </si>
  <si>
    <t>2019-05-24T10:41:52</t>
  </si>
  <si>
    <t>2019-10-31T10:43:55.000+06:30</t>
  </si>
  <si>
    <t>2019-05-24T16:11:31.000-07:00</t>
  </si>
  <si>
    <t>2019-05-24T16:15:52.000-07:00</t>
  </si>
  <si>
    <t>2019-10-28T14:25:00.000+06:30</t>
  </si>
  <si>
    <t>9bc911c5-a82d-4188-80b5-0e287fd867d6</t>
  </si>
  <si>
    <t>2020-01-22T11:35:10</t>
  </si>
  <si>
    <t>2020-01-27T13:29:38.279+05:30</t>
  </si>
  <si>
    <t>2020-01-27T14:58:20.653+05:30</t>
  </si>
  <si>
    <t>2020-01-27T13:30:00.000+05:30</t>
  </si>
  <si>
    <t>22.5412104 88.3743538 -47.5 5.0</t>
  </si>
  <si>
    <t>RED COLONY COUNT :- 1:10^4- TNTC; 1:10^5-36; 1:10^6- 06</t>
  </si>
  <si>
    <t>f0cc4c16-44cd-4eef-a822-cd129a7ca5bd</t>
  </si>
  <si>
    <t>2019-10-31T05:11:06</t>
  </si>
  <si>
    <t>2019-10-31T10:49:14.000+06:30</t>
  </si>
  <si>
    <t>2019-10-28T14:10:00.000+06:30</t>
  </si>
  <si>
    <t>2019-10-29T14:10:00.000+06:30</t>
  </si>
  <si>
    <t>3563cb2a-610e-4b02-9542-edb8abe24e54</t>
  </si>
  <si>
    <t>2020-01-27T09:28:24</t>
  </si>
  <si>
    <t>2020-01-27T13:57:05.315+05:30</t>
  </si>
  <si>
    <t>2020-01-27T14:58:15.961+05:30</t>
  </si>
  <si>
    <t>SAMPLE WITH PLc 1051&amp; RED COLONY COUNT:-UNDILUTED -100ml-00</t>
  </si>
  <si>
    <t>2020-01-27T13:57:00.000+05:30</t>
  </si>
  <si>
    <t>20149533-8f0b-405c-b2dc-8fd7a093dba9</t>
  </si>
  <si>
    <t>22.5412478 88.3744125 -33.0 5.0</t>
  </si>
  <si>
    <t>2019-10-31T05:16:27</t>
  </si>
  <si>
    <t>2019-10-31T10:49:15.000+06:30</t>
  </si>
  <si>
    <t>09d70c6d-2e53-4720-8bb9-56ef975294bc</t>
  </si>
  <si>
    <t>2019-05-24T10:46:15</t>
  </si>
  <si>
    <t>2019-10-31T10:53:43.000+06:30</t>
  </si>
  <si>
    <t>2019-05-24T16:15:53.000-07:00</t>
  </si>
  <si>
    <t>2019-05-24T16:19:35.000-07:00</t>
  </si>
  <si>
    <t>2019-10-28T14:30:00.000+06:30</t>
  </si>
  <si>
    <t>Sample collected by Biplab Jash, FB at PLc1183 site</t>
  </si>
  <si>
    <t>569fb659-056b-463e-bc25-55432784e699</t>
  </si>
  <si>
    <t>2020-01-27T09:28:27</t>
  </si>
  <si>
    <t>2020-01-28T12:45:38.428+05:30</t>
  </si>
  <si>
    <t>2020-01-28T14:21:20.425+05:30</t>
  </si>
  <si>
    <t>RED COLONY COUNT:- 1:10^4- 04; 1:10^5- 00; 1:10^6- 00</t>
  </si>
  <si>
    <t>ba889ee0-70ad-43b1-95d4-0f2880862d54</t>
  </si>
  <si>
    <t>2020-01-28T12:46:00.000+05:30</t>
  </si>
  <si>
    <t>2019-10-31T05:20:54</t>
  </si>
  <si>
    <t>22.56364 88.3773417 -52.599998474121094 5.0</t>
  </si>
  <si>
    <t>2019-10-31T10:56:57.000+06:30</t>
  </si>
  <si>
    <t>67ce8db8-df50-4676-959a-d566cb6a0bf7</t>
  </si>
  <si>
    <t>2020-01-28T08:51:33</t>
  </si>
  <si>
    <t>2020-01-28T12:52:24.952+05:30</t>
  </si>
  <si>
    <t>2020-01-28T14:21:01.197+05:30</t>
  </si>
  <si>
    <t>SAMPLE WITH PLc 1052; &amp;RED COLONY COUNT :- UNDILUTED-100ml -00</t>
  </si>
  <si>
    <t>36250dab-ec47-4997-903e-175207885c96</t>
  </si>
  <si>
    <t>2019-05-24T10:49:58</t>
  </si>
  <si>
    <t>2019-05-27T17:32:02.000+06:30</t>
  </si>
  <si>
    <t>53383536-4f94-4125-af87-3b3b08799362</t>
  </si>
  <si>
    <t>2019-10-31T05:24:10</t>
  </si>
  <si>
    <t>2019-05-27T17:42:27.000+06:30</t>
  </si>
  <si>
    <t>2020-01-28T12:58:00.000+05:30</t>
  </si>
  <si>
    <t>22.5636885 88.3774091 -40.29999923706055 5.0</t>
  </si>
  <si>
    <t>2019-10-31T11:01:00.000+06:30</t>
  </si>
  <si>
    <t>POSITIVE CONTROL</t>
  </si>
  <si>
    <t>2019-05-22T15:20:00.000+06:30</t>
  </si>
  <si>
    <t>2019-05-23T16:30:00.000+06:30</t>
  </si>
  <si>
    <t>2019-05-24T16:30:00.000+06:30</t>
  </si>
  <si>
    <t>Sample collected by Buddhadeb Samaddar, FB at MO1163 site</t>
  </si>
  <si>
    <t>18a82b70-aede-4dd7-b3f4-3fab6d33e801</t>
  </si>
  <si>
    <t>2020-01-28T08:51:36</t>
  </si>
  <si>
    <t>RED COLONY COUNT :- 1:10^4- 00; 1:10^5-00;1:10^6-00</t>
  </si>
  <si>
    <t>2020-01-28T13:14:36.084+05:30</t>
  </si>
  <si>
    <t>2020-01-28T14:21:25.971+05:30</t>
  </si>
  <si>
    <t>016b060d-c4dd-4bde-a3d8-e4bd521dfa21</t>
  </si>
  <si>
    <t>2019-10-31T05:28:12</t>
  </si>
  <si>
    <t>2019-10-31T11:04:58.000+06:30</t>
  </si>
  <si>
    <t>2020-01-28T13:15:00.000+05:30</t>
  </si>
  <si>
    <t>22.5580005 88.3895944 -27.5 5.0</t>
  </si>
  <si>
    <t>SW2001 HAS BEEN TAKEN AS POSITIVE CONTROL</t>
  </si>
  <si>
    <t>68753983-f870-4dfd-8ffa-7e6fd3c8815e</t>
  </si>
  <si>
    <t>2019-05-27T12:12:42</t>
  </si>
  <si>
    <t>SAMPLE WITH PLc1053 &amp; RED COLONY COUNT -UNDILUTED -100 ml- 00</t>
  </si>
  <si>
    <t>da39cdf6-6129-4706-85c7-bdc1d4b3a1f4</t>
  </si>
  <si>
    <t>2020-01-28T08:51:38</t>
  </si>
  <si>
    <t>2019-05-27T17:50:43.000+06:30</t>
  </si>
  <si>
    <t>5c181665-9869-4d5a-82cb-6973e21e2312</t>
  </si>
  <si>
    <t>2020-01-28T13:16:53.848+05:30</t>
  </si>
  <si>
    <t>2019-10-31T05:32:11</t>
  </si>
  <si>
    <t>2020-01-28T14:21:06.536+05:30</t>
  </si>
  <si>
    <t>2019-10-31T11:04:59.000+06:30</t>
  </si>
  <si>
    <t>2019-10-31T11:12:44.000+06:30</t>
  </si>
  <si>
    <t>2020-01-28T13:21:00.000+05:30</t>
  </si>
  <si>
    <t>22.5580158 88.3895687 -29.100000381469727 5.0</t>
  </si>
  <si>
    <t>2019-10-29T12:20:00.000+06:30</t>
  </si>
  <si>
    <t>2019-10-29T12:45:00.000+06:30</t>
  </si>
  <si>
    <t>2019-10-29T13:00:00.000+06:30</t>
  </si>
  <si>
    <t>2019-10-30T13:00:00.000+06:30</t>
  </si>
  <si>
    <t>Sample collected by Suvankar Mandal, FB at MO1164 site</t>
  </si>
  <si>
    <t>2019-05-22T15:00:00.000+06:30</t>
  </si>
  <si>
    <t>SAMPLE WITH MO1108; &amp; RED COLONY COUNT:- UNDILUTED - 100ml :00</t>
  </si>
  <si>
    <t>2019-05-23T14:30:00.000+06:30</t>
  </si>
  <si>
    <t>138c29c7-b18b-4b75-9c7b-253d0191e6ea</t>
  </si>
  <si>
    <t>2020-01-28T08:51:42</t>
  </si>
  <si>
    <t>93716b1a-0bbd-4a60-92b5-2c9cc9e278b3</t>
  </si>
  <si>
    <t>2020-01-28T13:20:37.648+05:30</t>
  </si>
  <si>
    <t>2019-10-31T05:39:56</t>
  </si>
  <si>
    <t>2020-01-28T14:21:37.576+05:30</t>
  </si>
  <si>
    <t>2019-10-31T11:17:35.000+06:30</t>
  </si>
  <si>
    <t>2020-01-28T13:29:00.000+05:30</t>
  </si>
  <si>
    <t>22.5579987 88.3896003 -50.400001525878906 5.0</t>
  </si>
  <si>
    <t>008e96e1-f069-4aa8-a25c-0be3a945cc1a</t>
  </si>
  <si>
    <t>2019-05-27T12:20:58</t>
  </si>
  <si>
    <t>SAMPLE WITH MO1109&amp; RED COLONY COUNT:- UNDILUTRD ; 100ml-00</t>
  </si>
  <si>
    <t>2019-05-27T18:01:48.000+06:30</t>
  </si>
  <si>
    <t>4b9bdfda-512f-42cc-a086-79209e5db162</t>
  </si>
  <si>
    <t>2019-10-31T05:44:47</t>
  </si>
  <si>
    <t>2019-10-31T11:20:12.000+06:30</t>
  </si>
  <si>
    <t>7a505eb8-507f-43a1-80b4-9640a1ad787b</t>
  </si>
  <si>
    <t>2020-01-28T08:51:45</t>
  </si>
  <si>
    <t>2019-10-28T13:35:00.000+06:30</t>
  </si>
  <si>
    <t>2019-10-29T13:45:00.000+06:30</t>
  </si>
  <si>
    <t>2020-01-28T13:48:02.714+05:30</t>
  </si>
  <si>
    <t>2020-01-28T14:21:31.701+05:30</t>
  </si>
  <si>
    <t>RED COLONY COUNT - UNDILUTED : 100ml-00</t>
  </si>
  <si>
    <t>0c25368b-4557-4035-8b64-1b37f190f8b2</t>
  </si>
  <si>
    <t>2019-10-31T05:47:24</t>
  </si>
  <si>
    <t>2019-10-31T11:23:22.000+06:30</t>
  </si>
  <si>
    <t>2020-01-28T13:48:00.000+05:30</t>
  </si>
  <si>
    <t>22.5542156 88.3967052 -50.29999923706055 4.5</t>
  </si>
  <si>
    <t>2019-10-29T12:40:00.000+06:30</t>
  </si>
  <si>
    <t>2019-10-30T12:45:00.000+06:30</t>
  </si>
  <si>
    <t>RED COLONY COUNT : -UNDILUTED -100ml -00</t>
  </si>
  <si>
    <t>dc10423e-aba4-46eb-b26a-5013dad07f83</t>
  </si>
  <si>
    <t>2019-10-31T05:50:33</t>
  </si>
  <si>
    <t>2019-11-04T11:36:46.000+06:30</t>
  </si>
  <si>
    <t>2019-11-04T11:42:58.000+06:30</t>
  </si>
  <si>
    <t>4e2bcbb6-cff0-47b7-a477-ea71ae491bea</t>
  </si>
  <si>
    <t>2020-01-28T08:51:48</t>
  </si>
  <si>
    <t>8a939a1f-70c9-44ef-ab9e-99b65d3755de</t>
  </si>
  <si>
    <t>2019-05-27T12:32:03</t>
  </si>
  <si>
    <t>2019-10-31T13:30:00.000+06:30</t>
  </si>
  <si>
    <t>2020-01-28T13:49:36.352+05:30</t>
  </si>
  <si>
    <t>2019-10-31T14:00:00.000+06:30</t>
  </si>
  <si>
    <t>2019-10-31T15:30:00.000+06:30</t>
  </si>
  <si>
    <t>2019-05-28T14:47:25.000-07:00</t>
  </si>
  <si>
    <t>2020-01-28T14:21:12.728+05:30</t>
  </si>
  <si>
    <t>2019-11-01T15:30:00.000+06:30</t>
  </si>
  <si>
    <t>2019-05-28T15:02:57.000-07:00</t>
  </si>
  <si>
    <t>Red Colony Count: 1:10^4 - 60; 1:10^5 - 06; 1:10^6 - 00 Each dilution volume tested 1ml</t>
  </si>
  <si>
    <t>2019-05-22T15:20:00.000-07:00</t>
  </si>
  <si>
    <t>8a5dd1d7-6214-46eb-bf8c-299793737288</t>
  </si>
  <si>
    <t>2019-05-23T16:30:00.000-07:00</t>
  </si>
  <si>
    <t>2019-11-04T06:10:07</t>
  </si>
  <si>
    <t>2019-05-24T16:30:00.000-07:00</t>
  </si>
  <si>
    <t>2020-01-28T13:50:00.000+05:30</t>
  </si>
  <si>
    <t>2019-11-04T11:46:53.000+06:30</t>
  </si>
  <si>
    <t>22.5542083 88.3967189 -51.900001525878906 5.0</t>
  </si>
  <si>
    <t>Red colony count: Undiluted volume tested 100ml - 00</t>
  </si>
  <si>
    <t>6f1053c5-e147-4334-ac87-4b4815ac4538</t>
  </si>
  <si>
    <t>2019-11-04T06:14:02</t>
  </si>
  <si>
    <t>Sample collected by Suvankar Mandal, FB at MO1165 site</t>
  </si>
  <si>
    <t>2019-05-23T14:30:00.000-07:00</t>
  </si>
  <si>
    <t>2019-11-04T11:57:21.000+06:30</t>
  </si>
  <si>
    <t>ae1469f3-0cb7-463e-bdee-c6f058ae6ce4</t>
  </si>
  <si>
    <t>2020-01-28T08:51:51</t>
  </si>
  <si>
    <t>2019-10-31T15:00:00.000+06:30</t>
  </si>
  <si>
    <t>2020-02-03T11:34:05.259+05:30</t>
  </si>
  <si>
    <t>2019-11-01T15:00:00.000+06:30</t>
  </si>
  <si>
    <t>2020-02-03T15:37:30.744+05:30</t>
  </si>
  <si>
    <t>Red colony count: 1:10^4 -1; 1:10^5 - 6; 1:10^6 -00</t>
  </si>
  <si>
    <t>2020-02-03T11:34:00.000+05:30</t>
  </si>
  <si>
    <t>fbc7d5c1-e5db-48c8-95b2-f1dd14a8cdd4</t>
  </si>
  <si>
    <t>22.5412898 88.3760479 -43.5 5.0</t>
  </si>
  <si>
    <t>2019-11-04T06:24:30</t>
  </si>
  <si>
    <t>2019-11-04T11:57:22.000+06:30</t>
  </si>
  <si>
    <t>2019-11-04T11:59:54.000+06:30</t>
  </si>
  <si>
    <t>28987786-804a-4623-91b8-9932a3af2c1e</t>
  </si>
  <si>
    <t>2019-05-28T09:33:19</t>
  </si>
  <si>
    <t>2019-05-28T15:02:58.000-07:00</t>
  </si>
  <si>
    <t>2019-05-28T15:23:37.000-07:00</t>
  </si>
  <si>
    <t>Red colony count: 1:10^4 -00; 1:10^5 - 00; 1:10^6 -00</t>
  </si>
  <si>
    <t>d55be3c8-8b9a-4507-8280-361c0356392c</t>
  </si>
  <si>
    <t>2019-11-04T06:27:08</t>
  </si>
  <si>
    <t>345f6d5d-f7bd-4aab-ab85-31bae81c4be4</t>
  </si>
  <si>
    <t>2020-02-03T10:07:55</t>
  </si>
  <si>
    <t>2019-11-04T12:02:37.000+06:30</t>
  </si>
  <si>
    <t>2020-02-03T11:39:53.419+05:30</t>
  </si>
  <si>
    <t>2020-02-03T15:37:15.445+05:30</t>
  </si>
  <si>
    <t>2020-02-03T11:42:00.000+05:30</t>
  </si>
  <si>
    <t>22.5413391 88.3760017 -61.70000076293945 5.0</t>
  </si>
  <si>
    <t>Samplewith PLc1056, Red Colony Count: Undiluted volume tested 100 ml - 00</t>
  </si>
  <si>
    <t>9925d22f-ad93-48c0-8cbf-71fc6ccd1a01</t>
  </si>
  <si>
    <t>2019-11-04T06:29:46</t>
  </si>
  <si>
    <t>Sample collected by Somnath Sarkar, FB at PLc1184 site</t>
  </si>
  <si>
    <t>2357636b-aa4f-4601-abdf-24eb2ad6f1f0</t>
  </si>
  <si>
    <t>2019-11-04T12:07:19.000+06:30</t>
  </si>
  <si>
    <t>2020-02-03T10:07:58</t>
  </si>
  <si>
    <t>2020-02-03T11:46:10.077+05:30</t>
  </si>
  <si>
    <t>2020-02-03T15:37:35.602+05:30</t>
  </si>
  <si>
    <t>2020-02-03T11:46:00.000+05:30</t>
  </si>
  <si>
    <t>22.5414694 88.3754008 -50.099998474121094 5.0</t>
  </si>
  <si>
    <t>f51125b7-e456-4be7-8d73-4d6958d25f65</t>
  </si>
  <si>
    <t>Red colony count: 1:10^4 -12; 1:10^5 - 5; 1:10^6 -00</t>
  </si>
  <si>
    <t>2019-05-28T09:53:59</t>
  </si>
  <si>
    <t>2019-05-28T15:23:38.000-07:00</t>
  </si>
  <si>
    <t>ad820c05-4dea-4ae1-8165-857ee9fe2da8</t>
  </si>
  <si>
    <t>2019-11-04T06:34:28</t>
  </si>
  <si>
    <t>2019-11-04T12:12:25.000+06:30</t>
  </si>
  <si>
    <t>2019-05-28T15:39:27.000-07:00</t>
  </si>
  <si>
    <t>2019-11-04T12:16:45.000+06:30</t>
  </si>
  <si>
    <t>abce8431-bf10-4919-83ec-5f6f07b3d004</t>
  </si>
  <si>
    <t>2020-02-03T10:08:01</t>
  </si>
  <si>
    <t>2020-02-03T11:51:00.408+05:30</t>
  </si>
  <si>
    <t>2020-02-03T15:37:21.329+05:30</t>
  </si>
  <si>
    <t>Samplewith PLc1057, Red Colony Count: Undiluted volume tested 100 ml - 00</t>
  </si>
  <si>
    <t>3bba3e1b-2408-4bae-a603-4a36e89c0004</t>
  </si>
  <si>
    <t>2019-11-04T06:43:54</t>
  </si>
  <si>
    <t>2020-02-03T11:52:00.000+05:30</t>
  </si>
  <si>
    <t>22.5414399 88.3753728 -55.79999923706055 5.0</t>
  </si>
  <si>
    <t>2019-11-04T12:19:15.000+06:30</t>
  </si>
  <si>
    <t>Sample collected by Suvankar Mandal, FB at PLc1185 site</t>
  </si>
  <si>
    <t>51afc93f-eb36-4faa-a36d-8fcc2f1e403f</t>
  </si>
  <si>
    <t>2020-02-03T10:08:05</t>
  </si>
  <si>
    <t>2020-02-03T11:58:27.572+05:30</t>
  </si>
  <si>
    <t>2020-02-03T15:37:40.179+05:30</t>
  </si>
  <si>
    <t>Red colony count: 1:10^4 -05; 1:10^5 - 01; 1:10^6 -00</t>
  </si>
  <si>
    <t>cd371b47-8b32-4ace-9a02-73714e554c4a</t>
  </si>
  <si>
    <t>2019-11-04T06:46:24</t>
  </si>
  <si>
    <t>2020-02-03T12:00:00.000+05:30</t>
  </si>
  <si>
    <t>22.5412663 88.3743736 -47.79999923706055 5.0</t>
  </si>
  <si>
    <t>2019-11-04T12:21:21.000+06:30</t>
  </si>
  <si>
    <t>34465d5c-3dd7-4c7f-b1e8-73e5450be2f2</t>
  </si>
  <si>
    <t>2019-05-28T10:09:48</t>
  </si>
  <si>
    <t>2019-05-28T15:39:28.000-07:00</t>
  </si>
  <si>
    <t>2019-05-28T15:57:48.000-07:00</t>
  </si>
  <si>
    <t>43da9cfe-f9b8-4fff-80b1-f5cc233a66fd</t>
  </si>
  <si>
    <t>2020-02-03T10:08:08</t>
  </si>
  <si>
    <t>2020-02-03T12:05:54.739+05:30</t>
  </si>
  <si>
    <t>2020-02-03T15:37:26.220+05:30</t>
  </si>
  <si>
    <t>Samplewith PLc1058, Red Colony Count: Undiluted volume tested 100 ml - 00</t>
  </si>
  <si>
    <t>2020-02-03T12:06:00.000+05:30</t>
  </si>
  <si>
    <t>22.5412431 88.3743765 -45.79999923706055 4.0</t>
  </si>
  <si>
    <t>cbf11315-6dd5-4cab-b617-8ba7300afd43</t>
  </si>
  <si>
    <t>2019-11-04T06:48:30</t>
  </si>
  <si>
    <t>2019-11-04T12:33:18.000+06:30</t>
  </si>
  <si>
    <t>Sample collected by Buddhadeb, FB at PLc1186 site</t>
  </si>
  <si>
    <t>63d743af-2e2a-4079-b44c-ba438276f429</t>
  </si>
  <si>
    <t>2020-02-03T10:08:11</t>
  </si>
  <si>
    <t>2020-02-04T12:34:04.612+05:30</t>
  </si>
  <si>
    <t>2020-02-04T14:27:29.652+05:30</t>
  </si>
  <si>
    <t>Samplewith MO1110, Red Colony Count: Undiluted volume tested 100 ml - 00</t>
  </si>
  <si>
    <t>K24003</t>
  </si>
  <si>
    <t>2020-02-04T12:35:00.000+05:30</t>
  </si>
  <si>
    <t>e414881b-284a-424a-b7b7-350d4bff4ec5</t>
  </si>
  <si>
    <t>22.5454542 88.3810779 -45.599998474121094 5.0</t>
  </si>
  <si>
    <t>2019-11-04T07:00:25</t>
  </si>
  <si>
    <t>2019-11-04T12:34:57.000+06:30</t>
  </si>
  <si>
    <t>f3ebe756-6987-44b8-b6d0-3631cf1130f9</t>
  </si>
  <si>
    <t>2019-05-28T10:28:10</t>
  </si>
  <si>
    <t>2019-06-03T16:03:08.000-07:00</t>
  </si>
  <si>
    <t>830c5438-85c4-442d-9511-278378221688</t>
  </si>
  <si>
    <t>2020-02-04T08:57:02</t>
  </si>
  <si>
    <t>2020-02-04T12:52:19.826+05:30</t>
  </si>
  <si>
    <t>2020-02-04T14:27:22.692+05:30</t>
  </si>
  <si>
    <t>2019-06-03T16:17:14.000-07:00</t>
  </si>
  <si>
    <t>2020-02-04T12:53:00.000+05:30</t>
  </si>
  <si>
    <t>22.545397 88.3810729 -48.400001525878906 5.0</t>
  </si>
  <si>
    <t>Samplewith MO1111, Red Colony Count: Undiluted volume tested 100 ml - 00</t>
  </si>
  <si>
    <t>7e7b851f-7721-450a-a052-54e75baa87fe</t>
  </si>
  <si>
    <t>2019-11-04T07:02:06</t>
  </si>
  <si>
    <t>Sample collected by Suvankar Mondal, FB at PLc1187 site</t>
  </si>
  <si>
    <t>2019-11-04T12:36:59.000+06:30</t>
  </si>
  <si>
    <t>7306d0fe-963e-4cda-85e1-aff29059aed1</t>
  </si>
  <si>
    <t>2020-02-04T08:57:06</t>
  </si>
  <si>
    <t>2020-02-04T11:59:58.287+05:30</t>
  </si>
  <si>
    <t>2020-02-04T14:48:45.332+05:30</t>
  </si>
  <si>
    <t>2020-02-04T12:00:00.000+05:30</t>
  </si>
  <si>
    <t>22.5543082 88.3966641 -22.200000762939453 5.0</t>
  </si>
  <si>
    <t>Red Colony Count: Undiluted Volume Tested 100ml - 00</t>
  </si>
  <si>
    <t>4bd82664-b74c-4c4c-9b9f-bfb28fafe905</t>
  </si>
  <si>
    <t>2019-11-04T07:04:08</t>
  </si>
  <si>
    <t>2019-11-04T12:39:51.000+06:30</t>
  </si>
  <si>
    <t>4a5d2726-9c16-4573-9987-330a576d5af0</t>
  </si>
  <si>
    <t>69282a3d-f563-4dd7-9cad-9ad275c71588</t>
  </si>
  <si>
    <t>2019-06-03T10:47:36</t>
  </si>
  <si>
    <t>2020-02-04T09:19:11</t>
  </si>
  <si>
    <t>2020-02-04T12:04:59.992+05:30</t>
  </si>
  <si>
    <t>2019-06-03T16:17:15.000-07:00</t>
  </si>
  <si>
    <t>2020-02-04T14:48:11.417+05:30</t>
  </si>
  <si>
    <t>2019-11-01T14:08:00.000+06:30</t>
  </si>
  <si>
    <t>2019-06-03T16:29:27.000-07:00</t>
  </si>
  <si>
    <t>2019-11-01T18:00:00.000+06:30</t>
  </si>
  <si>
    <t>2019-11-02T18:00:00.000+06:30</t>
  </si>
  <si>
    <t>2020-02-04T12:05:00.000+05:30</t>
  </si>
  <si>
    <t>22.5542464 88.3966836 -21.0 5.0</t>
  </si>
  <si>
    <t>Red colony count: 1:10^1 -8; 1:10^2 - 2; 1:10^3 -1</t>
  </si>
  <si>
    <t>f172b584-0c86-4dae-8497-5a645ed5efd3</t>
  </si>
  <si>
    <t>2020-02-04T09:19:14</t>
  </si>
  <si>
    <t>2020-02-04T12:25:01.160+05:30</t>
  </si>
  <si>
    <t>2020-02-04T14:48:50.644+05:30</t>
  </si>
  <si>
    <t>491cf6b1-0020-4512-8e00-ea1fee85ace8</t>
  </si>
  <si>
    <t>2019-11-04T07:07:00</t>
  </si>
  <si>
    <t>2020-02-04T12:25:00.000+05:30</t>
  </si>
  <si>
    <t>22.5579508 88.3896249 -42.5 5.0</t>
  </si>
  <si>
    <t>2019-11-04T12:44:33.000+06:30</t>
  </si>
  <si>
    <t>09937571-f80d-4855-8c23-32df622696d9</t>
  </si>
  <si>
    <t>2020-02-04T09:19:17</t>
  </si>
  <si>
    <t>2020-02-04T12:31:05.115+05:30</t>
  </si>
  <si>
    <t>2020-02-04T14:48:19.414+05:30</t>
  </si>
  <si>
    <t>2020-02-04T12:31:00.000+05:30</t>
  </si>
  <si>
    <t>22.5580241 88.3895843 -58.29999923706055 5.0</t>
  </si>
  <si>
    <t>Red colony count: 1:10^1 -176; 1:10^2 - 72; 1:10^3 -2</t>
  </si>
  <si>
    <t>0c7a170c-78dd-442f-af2d-3150c3e671e4</t>
  </si>
  <si>
    <t>2019-11-04T07:11:42</t>
  </si>
  <si>
    <t>PURI SABJI, RECORDED WEIGHT WAS 200 GM APPROX</t>
  </si>
  <si>
    <t>b0dcaa3b-0729-4b8a-bad1-6431a765dce9</t>
  </si>
  <si>
    <t>2019-06-03T10:59:49</t>
  </si>
  <si>
    <t>2019-11-04T12:46:45.000+06:30</t>
  </si>
  <si>
    <t>9a8cf3c7-21c0-48a0-b40a-62c59151cfbd</t>
  </si>
  <si>
    <t>2019-06-10T15:58:46.000-07:00</t>
  </si>
  <si>
    <t>2020-02-04T09:19:20</t>
  </si>
  <si>
    <t>2020-02-04T12:34:35.916+05:30</t>
  </si>
  <si>
    <t>2020-02-04T14:49:04.925+05:30</t>
  </si>
  <si>
    <t>2019-06-10T16:11:01.000-07:00</t>
  </si>
  <si>
    <t>22.5580027 88.3896111 -44.099998474121094 5.0</t>
  </si>
  <si>
    <t>2019-05-23T16:20:00.000-07:00</t>
  </si>
  <si>
    <t>2019-05-24T16:20:00.000-07:00</t>
  </si>
  <si>
    <t>Red colony count: 1:10^1 -6; 1:10^2 - 2; 1:10^3 -1</t>
  </si>
  <si>
    <t>7c98e784-ecf4-48ef-ae51-5aff14292799</t>
  </si>
  <si>
    <t>2020-02-04T09:19:23</t>
  </si>
  <si>
    <t>2020-02-04T12:50:32.411+05:30</t>
  </si>
  <si>
    <t>2020-02-04T14:48:56.110+05:30</t>
  </si>
  <si>
    <t>8c319ae6-e567-4303-84aa-a9732d730d1f</t>
  </si>
  <si>
    <t>2019-11-04T07:13:55</t>
  </si>
  <si>
    <t>2020-02-04T12:51:00.000+05:30</t>
  </si>
  <si>
    <t>22.5635031 88.3773112 -19.700000762939453 5.0</t>
  </si>
  <si>
    <t>2019-11-04T12:49:14.000+06:30</t>
  </si>
  <si>
    <t>9831acfe-c197-4032-9fda-71c8a6fbb487</t>
  </si>
  <si>
    <t>2020-02-04T09:19:27</t>
  </si>
  <si>
    <t>2020-02-04T12:53:13.890+05:30</t>
  </si>
  <si>
    <t>2020-02-04T14:48:26.802+05:30</t>
  </si>
  <si>
    <t>2020-02-04T12:54:00.000+05:30</t>
  </si>
  <si>
    <t>22.5635691 88.3772849 -36.5 5.0</t>
  </si>
  <si>
    <t>Red colony count: 1:10^1 -17; 1:10^2 - 4; 1:10^3 -00</t>
  </si>
  <si>
    <t>dc3e0f36-27fd-41e0-9abd-a9bd8ee47648</t>
  </si>
  <si>
    <t>2019-11-04T07:16:23</t>
  </si>
  <si>
    <t>351a548a-ef27-4cba-a6f7-ceda6a5082ad</t>
  </si>
  <si>
    <t>2019-06-10T10:41:21</t>
  </si>
  <si>
    <t>2019-11-04T12:49:15.000+06:30</t>
  </si>
  <si>
    <t>2019-06-10T16:11:02.000-07:00</t>
  </si>
  <si>
    <t>2019-11-04T12:51:16.000+06:30</t>
  </si>
  <si>
    <t>2019-06-10T16:16:41.000-07:00</t>
  </si>
  <si>
    <t>2f9386e1-9654-4e95-aa16-7a633ed3624b</t>
  </si>
  <si>
    <t>2020-02-04T09:19:30</t>
  </si>
  <si>
    <t>2020-02-05T09:47:43.359+05:30</t>
  </si>
  <si>
    <t>2020-02-06T14:02:34.140+05:30</t>
  </si>
  <si>
    <t>2019-05-25T16:30:00.000-07:00</t>
  </si>
  <si>
    <t>2020-02-05T09:59:00.000+05:30</t>
  </si>
  <si>
    <t>22.5361757 88.3749698 -59.79999923706055 5.0</t>
  </si>
  <si>
    <t>Samplewith COa1005, COb1014, COb1015, COb1016, Red Colony Count: Undiluted volume tested 100 ml - 00</t>
  </si>
  <si>
    <t>Asish</t>
  </si>
  <si>
    <t>c070281a-7863-43a6-813b-6845125afde4</t>
  </si>
  <si>
    <t>404060e0-05cf-41bd-8fbd-ed66f2445954</t>
  </si>
  <si>
    <t>2020-02-06T08:32:48</t>
  </si>
  <si>
    <t>2019-11-04T07:18:25</t>
  </si>
  <si>
    <t>2020-02-06T09:44:00.331+05:30</t>
  </si>
  <si>
    <t>2020-02-06T14:01:59.802+05:30</t>
  </si>
  <si>
    <t>2019-11-04T12:53:08.000+06:30</t>
  </si>
  <si>
    <t>2020-02-06T09:44:00.000+05:30</t>
  </si>
  <si>
    <t>22.5346913 88.3959524 -28.399999618530273 5.0</t>
  </si>
  <si>
    <t>Red colony count: 1:10^4 -21; 1:10^5 - 11; 1:10^6 -01</t>
  </si>
  <si>
    <t>fa29a8d8-f63b-487b-a3fa-2d9ac3c0b9cc</t>
  </si>
  <si>
    <t>9ebf3360-462b-49ff-878f-15a5feb3fe34</t>
  </si>
  <si>
    <t>06565286-134b-43e3-85af-f885f88c9bd0</t>
  </si>
  <si>
    <t>2019-06-10T10:47:01</t>
  </si>
  <si>
    <t>2020-02-06T08:32:51</t>
  </si>
  <si>
    <t>2019-11-04T07:20:15</t>
  </si>
  <si>
    <t>2019-06-10T16:16:42.000-07:00</t>
  </si>
  <si>
    <t>2020-02-06T10:02:18.436+05:30</t>
  </si>
  <si>
    <t>2020-02-06T14:01:38.801+05:30</t>
  </si>
  <si>
    <t>2019-06-10T16:22:08.000-07:00</t>
  </si>
  <si>
    <t>2019-11-04T12:54:42.000+06:30</t>
  </si>
  <si>
    <t>2020-02-06T10:02:00.000+05:30</t>
  </si>
  <si>
    <t>22.5346668 88.396052 -45.400001525878906 5.0</t>
  </si>
  <si>
    <t>52d4bb20-93be-4fc2-9971-487b6137f0de</t>
  </si>
  <si>
    <t>2020-02-06T08:32:55</t>
  </si>
  <si>
    <t>Samplewith PLc1059, Red Colony Count: Undiluted volume tested 100 ml - 00</t>
  </si>
  <si>
    <t>2020-02-06T10:05:00.638+05:30</t>
  </si>
  <si>
    <t>2020-02-06T14:02:09.254+05:30</t>
  </si>
  <si>
    <t>c0a1c52c-5f85-432b-8fb9-52cf231a1ff2</t>
  </si>
  <si>
    <t>2019-11-04T07:21:51</t>
  </si>
  <si>
    <t>2020-02-06T10:11:00.000+05:30</t>
  </si>
  <si>
    <t>22.540037 88.3872449 -57.29999923706055 5.0</t>
  </si>
  <si>
    <t>2019-11-04T12:56:35.000+06:30</t>
  </si>
  <si>
    <t>1868439e-f754-4377-8a33-85934b98b5ef</t>
  </si>
  <si>
    <t>2020-02-06T08:32:58</t>
  </si>
  <si>
    <t>Red colony count: 1:10^4 -94; 1:10^5 - 16; 1:10^6 -02</t>
  </si>
  <si>
    <t>2020-02-06T10:18:30.067+05:30</t>
  </si>
  <si>
    <t>2020-02-06T14:01:44.804+05:30</t>
  </si>
  <si>
    <t>58be7528-c1e5-4f77-96c5-7ea4841da7fb</t>
  </si>
  <si>
    <t>2019-11-04T07:23:44</t>
  </si>
  <si>
    <t>2019-11-04T12:56:36.000+06:30</t>
  </si>
  <si>
    <t>85f57f9b-fe58-4598-a165-4702c9ff1958</t>
  </si>
  <si>
    <t>2019-06-10T10:52:28</t>
  </si>
  <si>
    <t>2020-02-06T10:28:00.000+05:30</t>
  </si>
  <si>
    <t>22.5400719 88.3871686 -41.70000076293945 5.0</t>
  </si>
  <si>
    <t>2019-06-10T16:22:09.000-07:00</t>
  </si>
  <si>
    <t>2019-11-04T12:57:55.000+06:30</t>
  </si>
  <si>
    <t>2019-06-10T16:52:47.000-07:00</t>
  </si>
  <si>
    <t>64ffcca5-cfe9-4183-b27d-0278183da45f</t>
  </si>
  <si>
    <t>2020-02-06T08:33:01</t>
  </si>
  <si>
    <t>2020-02-06T10:39:50.086+05:30</t>
  </si>
  <si>
    <t>2020-02-06T14:02:21.927+05:30</t>
  </si>
  <si>
    <t>Samplewith PLc1060, Red Colony Count: Undiluted volume tested 100 ml - 00</t>
  </si>
  <si>
    <t>2020-02-06T10:40:00.000+05:30</t>
  </si>
  <si>
    <t>22.5361059 88.3745743 -45.29999923706055 5.0</t>
  </si>
  <si>
    <t>e0ae47cb-c843-4567-949a-bb91cff9f485</t>
  </si>
  <si>
    <t>2019-11-04T07:25:04</t>
  </si>
  <si>
    <t>2019-11-04T12:59:59.000+06:30</t>
  </si>
  <si>
    <t>545b931f-174a-42cb-bbab-355d50b1ab63</t>
  </si>
  <si>
    <t>2020-02-06T08:33:05</t>
  </si>
  <si>
    <t>2020-02-06T10:55:29.910+05:30</t>
  </si>
  <si>
    <t>2020-02-06T14:01:54.253+05:30</t>
  </si>
  <si>
    <t>2020-02-06T10:56:00.000+05:30</t>
  </si>
  <si>
    <t>22.5360505 88.3745546 -42.0 5.0</t>
  </si>
  <si>
    <t>Red Colony Count: Undiluted volume tested 100 ml - 00</t>
  </si>
  <si>
    <t>bcda050e-d13a-4c54-a5b6-0b2633fb2e6f</t>
  </si>
  <si>
    <t>2019-11-04T07:27:08</t>
  </si>
  <si>
    <t>2019-11-07T10:14:53.000-08:00</t>
  </si>
  <si>
    <t>13fda059-4133-4ee6-bf8b-ec8c7823c879</t>
  </si>
  <si>
    <t>2019-06-10T11:23:07</t>
  </si>
  <si>
    <t>2019-11-07T10:19:39.000-08:00</t>
  </si>
  <si>
    <t>2019-06-10T16:52:48.000-07:00</t>
  </si>
  <si>
    <t>3af49fcd-a8ab-4fa3-ae8b-2e4147a2d871</t>
  </si>
  <si>
    <t>2020-02-06T08:33:08</t>
  </si>
  <si>
    <t>2019-06-10T16:56:12.000-07:00</t>
  </si>
  <si>
    <t>2020-02-06T12:12:59.772+05:30</t>
  </si>
  <si>
    <t>2019-11-04T13:18:00.000-08:00</t>
  </si>
  <si>
    <t>2020-02-06T14:06:57.112+05:30</t>
  </si>
  <si>
    <t>2019-11-04T15:00:00.000-08:00</t>
  </si>
  <si>
    <t>2019-11-04T16:30:00.000-08:00</t>
  </si>
  <si>
    <t>2019-11-05T16:30:00.000-08:00</t>
  </si>
  <si>
    <t>2020-02-06T12:14:00.000+05:30</t>
  </si>
  <si>
    <t>22.5412348 88.3743734 -48.400001525878906 5.0</t>
  </si>
  <si>
    <t>Red colony count: 1:10^4 -105; 1:10^5 - 13; 1:10^6 -01, each dilution vol tested 1ml</t>
  </si>
  <si>
    <t>da8fcf68-abc6-458d-8107-f953c93bf543</t>
  </si>
  <si>
    <t>2019-11-07T05:50:04</t>
  </si>
  <si>
    <t>2019-11-07T10:23:06.000-08:00</t>
  </si>
  <si>
    <t>2019-11-04T14:45:00.000-08:00</t>
  </si>
  <si>
    <t>2019-11-05T15:00:00.000-08:00</t>
  </si>
  <si>
    <t>46d4d792-f3d9-47b0-b8c1-211732171efe</t>
  </si>
  <si>
    <t>2020-02-06T08:37:25</t>
  </si>
  <si>
    <t>2020-02-06T12:21:51.769+05:30</t>
  </si>
  <si>
    <t>2020-02-06T14:06:52.788+05:30</t>
  </si>
  <si>
    <t>Samplewith PLc1061, Red Colony Count: Undiluted volume tested 100 ml - 00</t>
  </si>
  <si>
    <t>2020-02-06T12:22:00.000+05:30</t>
  </si>
  <si>
    <t>0588a476-0324-44f9-b53e-cc86c09829b7</t>
  </si>
  <si>
    <t>22.5412683 88.3743618 -59.400001525878906 5.0</t>
  </si>
  <si>
    <t>2019-11-07T05:53:31</t>
  </si>
  <si>
    <t>84574f4b-0ee5-42aa-a13f-292eecbd437c</t>
  </si>
  <si>
    <t>2019-11-07T10:26:50.000-08:00</t>
  </si>
  <si>
    <t>2019-06-10T11:26:33</t>
  </si>
  <si>
    <t>2019-06-10T16:56:13.000-07:00</t>
  </si>
  <si>
    <t>2019-06-10T17:02:27.000-07:00</t>
  </si>
  <si>
    <t>Sample collected by Buddhadeb, FB at PLc1188 site</t>
  </si>
  <si>
    <t>2019-05-29T15:00:00.000-07:00</t>
  </si>
  <si>
    <t>0f9dd2cd-f0b1-47fd-97e4-980bf7f1b55b</t>
  </si>
  <si>
    <t>2019-05-30T17:00:00.000-07:00</t>
  </si>
  <si>
    <t>2019-05-31T17:00:00.000-07:00</t>
  </si>
  <si>
    <t>2020-02-06T08:37:28</t>
  </si>
  <si>
    <t>2020-02-07T10:15:07.088+05:30</t>
  </si>
  <si>
    <t>2020-02-07T16:26:23.881+05:30</t>
  </si>
  <si>
    <t>Red colony count: 1:10^4 -35; 1:10^5 - 5; 1:10^6 -00, each dilution vol tested 1ml</t>
  </si>
  <si>
    <t>f273dc33-743b-43fd-aa57-5ce1995e5c6e</t>
  </si>
  <si>
    <t>K20029</t>
  </si>
  <si>
    <t>2019-11-07T05:57:15</t>
  </si>
  <si>
    <t>2019-11-07T10:26:51.000-08:00</t>
  </si>
  <si>
    <t>2020-02-07T10:16:00.000+05:30</t>
  </si>
  <si>
    <t>22.5408121 88.3743453 -53.5 5.0</t>
  </si>
  <si>
    <t>2019-11-07T10:29:10.000-08:00</t>
  </si>
  <si>
    <t>2019-05-30T12:30:00.000-07:00</t>
  </si>
  <si>
    <t>8f3ca2a1-b8aa-46d5-bf42-2a9c025f9331</t>
  </si>
  <si>
    <t>2020-02-07T10:56:36</t>
  </si>
  <si>
    <t>Samplewith PLc1062, Red Colony Count: Undiluted volume tested 100 ml - 00</t>
  </si>
  <si>
    <t>2020-02-07T10:28:24.991+05:30</t>
  </si>
  <si>
    <t>2020-02-07T16:26:13.038+05:30</t>
  </si>
  <si>
    <t>09e3b409-331c-49fa-818d-100f00dd997c</t>
  </si>
  <si>
    <t>2019-11-07T05:59:34</t>
  </si>
  <si>
    <t>2019-11-07T10:33:18.000-08:00</t>
  </si>
  <si>
    <t>0fde618d-6360-4899-9be0-2a63ff504830</t>
  </si>
  <si>
    <t>2019-06-10T11:32:47</t>
  </si>
  <si>
    <t>2020-02-07T10:28:00.000+05:30</t>
  </si>
  <si>
    <t>22.5407787 88.3744072 -55.29999923706055 5.0</t>
  </si>
  <si>
    <t>2019-06-10T17:02:28.000-07:00</t>
  </si>
  <si>
    <t>2019-06-10T17:13:41.000-07:00</t>
  </si>
  <si>
    <t>Red colony count: 1:10^4 -76; 1:10^5 - 8; 1:10^6 -02, each dilution vol tested 1ml</t>
  </si>
  <si>
    <t>cc005c4b-f886-41a3-9e86-b367b93dcd2f</t>
  </si>
  <si>
    <t>2019-11-07T06:03:43</t>
  </si>
  <si>
    <t>2019-11-07T10:33:19.000-08:00</t>
  </si>
  <si>
    <t>2019-11-07T10:35:23.000-08:00</t>
  </si>
  <si>
    <t>Sample collected by Somnath, FB at PLc1189 site</t>
  </si>
  <si>
    <t>aa045c3e-e15c-44be-bfc0-1959b222dfd9</t>
  </si>
  <si>
    <t>2020-02-07T10:56:39</t>
  </si>
  <si>
    <t>2020-02-07T10:47:37.549+05:30</t>
  </si>
  <si>
    <t>2020-02-07T16:26:28.460+05:30</t>
  </si>
  <si>
    <t>Samplewith PLc1063, Red Colony Count: Undiluted volume tested 100 ml - 00</t>
  </si>
  <si>
    <t>2019-05-29T15:20:00.000-07:00</t>
  </si>
  <si>
    <t>13089f02-8cfc-4827-b3f1-4dc2a9339d5a</t>
  </si>
  <si>
    <t>2019-11-07T06:05:46</t>
  </si>
  <si>
    <t>2019-11-07T10:38:01.000-08:00</t>
  </si>
  <si>
    <t>2020-02-07T10:48:00.000+05:30</t>
  </si>
  <si>
    <t>22.5453443 88.381067 -48.099998474121094 5.0</t>
  </si>
  <si>
    <t>Red colony count: 1:10^4 -1; 1:10^5 - 00; 1:10^6 -00, each dilution vol tested 1 ml</t>
  </si>
  <si>
    <t>TOMATO (1 PC), WEIGHT WAS 57.8 GM</t>
  </si>
  <si>
    <t>051b8c3e-e8d5-4753-9d74-a09eaa995271</t>
  </si>
  <si>
    <t>2019-11-07T06:08:26</t>
  </si>
  <si>
    <t>f4cc16fd-86a4-4afb-8ea9-5f2aca9895de</t>
  </si>
  <si>
    <t>2019-11-07T10:41:21.000-08:00</t>
  </si>
  <si>
    <t>2019-06-10T11:43:58</t>
  </si>
  <si>
    <t>f6a35642-f216-406b-afa8-51f311eae5be</t>
  </si>
  <si>
    <t>2019-06-10T17:13:43.000-07:00</t>
  </si>
  <si>
    <t>2019-06-10T17:25:02.000-07:00</t>
  </si>
  <si>
    <t>2020-02-07T10:56:42</t>
  </si>
  <si>
    <t>2020-02-07T10:51:54.763+05:30</t>
  </si>
  <si>
    <t>2020-02-07T16:26:17.930+05:30</t>
  </si>
  <si>
    <t>Samplewith PLc1064, Red Colony Count: Undiluted volume tested 100 ml - 00</t>
  </si>
  <si>
    <t>0cd24c0a-0dca-4de5-8061-625b674314cb</t>
  </si>
  <si>
    <t>2019-11-07T06:11:46</t>
  </si>
  <si>
    <t>2019-11-07T10:41:22.000-08:00</t>
  </si>
  <si>
    <t>2019-11-07T10:46:03.000-08:00</t>
  </si>
  <si>
    <t>2020-02-07T10:52:00.000+05:30</t>
  </si>
  <si>
    <t>22.5452366 88.3810165 -81.5 5.0</t>
  </si>
  <si>
    <t>Red colony count: 1:10^4 -TNTC; 1:10^5 - 89; 1:10^6 -11, each dilution vol tested 1 ml</t>
  </si>
  <si>
    <t>d5b1cf3a-3108-4d87-94bb-5b12c68981a5</t>
  </si>
  <si>
    <t>Sample collected by Biplab Jash, FB at PLc1190 site</t>
  </si>
  <si>
    <t>2019-11-07T06:16:28</t>
  </si>
  <si>
    <t>2019-05-29T15:30:00.000-07:00</t>
  </si>
  <si>
    <t>115ef3f7-f3c7-410c-9cf1-24c1bcf36dc8</t>
  </si>
  <si>
    <t>2019-11-07T10:48:18.000-08:00</t>
  </si>
  <si>
    <t>2020-02-07T10:56:45</t>
  </si>
  <si>
    <t>2020-02-10T10:59:40.527+05:30</t>
  </si>
  <si>
    <t>2020-02-10T15:58:53.541+05:30</t>
  </si>
  <si>
    <t>2020-02-10T11:01:00.000+05:30</t>
  </si>
  <si>
    <t>22.5454509 88.3810045 -48.099998474121094 5.0</t>
  </si>
  <si>
    <t>Samplewith PLc1065, Red Colony Count: Undiluted volume tested 100 ml - 00</t>
  </si>
  <si>
    <t>c953d597-2480-49c2-9d97-a213298cda03</t>
  </si>
  <si>
    <t>cabee4cc-75d3-4fad-9c79-d4eeba56397a</t>
  </si>
  <si>
    <t>2019-11-07T06:18:43</t>
  </si>
  <si>
    <t>2019-06-10T11:55:24</t>
  </si>
  <si>
    <t>2019-11-07T10:48:19.000-08:00</t>
  </si>
  <si>
    <t>2019-06-10T17:25:04.000-07:00</t>
  </si>
  <si>
    <t>2019-06-10T18:10:19.000-07:00</t>
  </si>
  <si>
    <t>2019-11-07T10:56:14.000-08:00</t>
  </si>
  <si>
    <t>b4ea32ee-ab93-48d4-ab31-fd21cefdd078</t>
  </si>
  <si>
    <t>2020-02-10T10:29:20</t>
  </si>
  <si>
    <t>2019-11-04T14:30:00.000-08:00</t>
  </si>
  <si>
    <t>2019-11-05T14:45:00.000-08:00</t>
  </si>
  <si>
    <t>2020-02-10T11:07:24.783+05:30</t>
  </si>
  <si>
    <t>2020-02-10T15:58:31.158+05:30</t>
  </si>
  <si>
    <t>2020-02-10T11:08:00.000+05:30</t>
  </si>
  <si>
    <t>22.5455094 88.3810272 -40.79999923706055 5.0</t>
  </si>
  <si>
    <t>Red Colony count: Undiluted Vol tested 100ml - 00</t>
  </si>
  <si>
    <t>26dc7ffe-91aa-413d-afea-afe6ad39f12c</t>
  </si>
  <si>
    <t>Sample collected by Somnath Sarkar, FB at PLc1191 site</t>
  </si>
  <si>
    <t>2019-11-07T06:26:42</t>
  </si>
  <si>
    <t>5154830a-d156-4bea-a15b-b6dfb5692f2c</t>
  </si>
  <si>
    <t>2020-02-10T10:29:22</t>
  </si>
  <si>
    <t>2020-02-10T11:30:07.245+05:30</t>
  </si>
  <si>
    <t>2020-02-10T15:58:58.181+05:30</t>
  </si>
  <si>
    <t>2019-11-07T10:59:37.000-08:00</t>
  </si>
  <si>
    <t>2020-02-10T11:30:00.000+05:30</t>
  </si>
  <si>
    <t>22.5408541 88.374401 -33.0 5.0</t>
  </si>
  <si>
    <t>2019-11-05T13:55:00.000-08:00</t>
  </si>
  <si>
    <t>2019-11-05T16:00:00.000-08:00</t>
  </si>
  <si>
    <t>2019-11-06T16:00:00.000-08:00</t>
  </si>
  <si>
    <t>IN 5 ML W/O ENRICHMENT PLATE WAS CLEAR. SOIL WT WAS 143 GM.</t>
  </si>
  <si>
    <t>35f0ab0f-2ed8-4947-b6e0-90dcf8db5037</t>
  </si>
  <si>
    <t>2019-06-10T12:40:41</t>
  </si>
  <si>
    <t>2019-06-10T18:10:21.000-07:00</t>
  </si>
  <si>
    <t>Red colony count: 1:10^4 -110; 1:10^5 - 16; 1:10^6 -01, Each sample vol tested 1ml</t>
  </si>
  <si>
    <t>7769d142-817f-4092-b94f-1465fff6297d</t>
  </si>
  <si>
    <t>2019-06-10T18:20:48.000-07:00</t>
  </si>
  <si>
    <t>2020-02-10T10:29:26</t>
  </si>
  <si>
    <t>603882b6-cc55-495f-ab37-1255fbaf94f9</t>
  </si>
  <si>
    <t>2020-02-10T11:32:28.141+05:30</t>
  </si>
  <si>
    <t>2019-11-07T06:30:04</t>
  </si>
  <si>
    <t>2020-02-10T15:58:35.662+05:30</t>
  </si>
  <si>
    <t>2019-11-07T11:01:57.000-08:00</t>
  </si>
  <si>
    <t>2020-02-10T11:40:00.000+05:30</t>
  </si>
  <si>
    <t>22.5408367 88.3743432 -58.20000076293945 5.0</t>
  </si>
  <si>
    <t>2019-11-05T14:20:00.000-08:00</t>
  </si>
  <si>
    <t>2019-11-06T14:45:00.000-08:00</t>
  </si>
  <si>
    <t>Sample collected by Buddhadeb, FB at PLc1192 site</t>
  </si>
  <si>
    <t>Samplewith PLc1066, Red Colony Count: Undiluted volume tested 100 ml - 00</t>
  </si>
  <si>
    <t>c5663f50-2f27-44ec-9319-0f54bdb2d614</t>
  </si>
  <si>
    <t>a21c6fa3-c94b-4ce7-ac25-fdd796e51b9d</t>
  </si>
  <si>
    <t>2020-02-10T10:29:29</t>
  </si>
  <si>
    <t>2019-11-07T06:32:22</t>
  </si>
  <si>
    <t>2020-02-10T11:55:21.755+05:30</t>
  </si>
  <si>
    <t>2020-02-10T15:59:03.188+05:30</t>
  </si>
  <si>
    <t>2019-11-07T11:05:15.000-08:00</t>
  </si>
  <si>
    <t>K22169</t>
  </si>
  <si>
    <t>2020-02-10T12:00:00.000+05:30</t>
  </si>
  <si>
    <t>22.5416022 88.374872 -55.5 5.0</t>
  </si>
  <si>
    <t>CHANA MIX, 150 GM</t>
  </si>
  <si>
    <t>96df3c10-6744-442a-ab12-8c83b775bba4</t>
  </si>
  <si>
    <t>2019-06-10T12:51:09</t>
  </si>
  <si>
    <t>9e98ffd8-abe8-4cc6-b37d-31c4f79e5b32</t>
  </si>
  <si>
    <t>2020-02-10T10:29:32</t>
  </si>
  <si>
    <t>2019-06-11T15:32:09.000+06:30</t>
  </si>
  <si>
    <t>2020-02-10T12:04:00.580+05:30</t>
  </si>
  <si>
    <t>2020-02-10T15:58:40.100+05:30</t>
  </si>
  <si>
    <t>Red colony count: 1:10^4 -54; 1:10^5 - 05; 1:10^6 -00, Each sample vol tested 1ml</t>
  </si>
  <si>
    <t>2019-06-11T15:42:23.000+06:30</t>
  </si>
  <si>
    <t>1e6c23ee-f819-435b-8ebc-2409c6a41c56</t>
  </si>
  <si>
    <t>2019-11-07T06:35:39</t>
  </si>
  <si>
    <t>2019-05-16T16:00:00.000+06:30</t>
  </si>
  <si>
    <t>2019-05-16T17:30:00.000+06:30</t>
  </si>
  <si>
    <t>2019-11-07T11:05:16.000-08:00</t>
  </si>
  <si>
    <t>2019-05-17T17:30:00.000+06:30</t>
  </si>
  <si>
    <t>2020-02-10T12:06:00.000+05:30</t>
  </si>
  <si>
    <t>22.5415222 88.3749635 -60.099998474121094 5.0</t>
  </si>
  <si>
    <t>2019-11-07T11:09:19.000-08:00</t>
  </si>
  <si>
    <t>Sample collected by Somnath Sarkar, FB at PLc1193 site</t>
  </si>
  <si>
    <t>22f58824-ed13-4b87-9858-47ae4cdf8425</t>
  </si>
  <si>
    <t>2020-02-10T10:29:35</t>
  </si>
  <si>
    <t>2019-05-14T14:30:00.000+06:30</t>
  </si>
  <si>
    <t>2019-05-15T14:30:00.000+06:30</t>
  </si>
  <si>
    <t>Samplewith PLc1067, Red Colony Count: Undiluted volume tested 100 ml - 00</t>
  </si>
  <si>
    <t>2020-02-10T12:11:20.371+05:30</t>
  </si>
  <si>
    <t>2020-02-10T15:59:07.585+05:30</t>
  </si>
  <si>
    <t>15618762-34ea-44fe-9def-c39f14cf293e</t>
  </si>
  <si>
    <t>2019-11-07T06:39:45</t>
  </si>
  <si>
    <t>2019-11-07T11:09:20.000-08:00</t>
  </si>
  <si>
    <t>2019-11-07T11:14:25.000-08:00</t>
  </si>
  <si>
    <t>2020-02-10T12:12:00.000+05:30</t>
  </si>
  <si>
    <t>22.5415874 88.375361 -54.400001525878906 5.0</t>
  </si>
  <si>
    <t>CHANA MASALA, 150 GM</t>
  </si>
  <si>
    <t>Samplewith MO1112, Red Colony Count: Undiluted volume tested 100 ml - 00</t>
  </si>
  <si>
    <t>76808d8d-7291-4327-8376-901f0e946f65</t>
  </si>
  <si>
    <t>2019-06-11T10:12:38</t>
  </si>
  <si>
    <t>ef490727-82e3-489d-b4d3-1bef82d8c7e4</t>
  </si>
  <si>
    <t>2019-11-07T06:44:50</t>
  </si>
  <si>
    <t>2019-06-11T15:50:44.000+06:30</t>
  </si>
  <si>
    <t>813f25a7-d9cc-4f76-8ce0-999752852d83</t>
  </si>
  <si>
    <t>2020-02-10T10:29:38</t>
  </si>
  <si>
    <t>2019-11-07T11:16:12.000-08:00</t>
  </si>
  <si>
    <t>2020-02-10T12:15:55.120+05:30</t>
  </si>
  <si>
    <t>2020-02-10T15:58:44.441+05:30</t>
  </si>
  <si>
    <t>2020-02-10T12:16:00.000+05:30</t>
  </si>
  <si>
    <t>22.5415905 88.3752394 -59.400001525878906 5.0</t>
  </si>
  <si>
    <t>Samplewith MO1113, Red Colony Count: Undiluted volume tested 100 ml - 00</t>
  </si>
  <si>
    <t>301696c3-24ec-4a6f-8c3c-21058a228d5c</t>
  </si>
  <si>
    <t>2019-11-07T06:46:38</t>
  </si>
  <si>
    <t>2019-11-07T11:16:13.000-08:00</t>
  </si>
  <si>
    <t>Sample collected by Buddhadeb, FB at PLc1194 site</t>
  </si>
  <si>
    <t>2019-11-07T11:18:18.000-08:00</t>
  </si>
  <si>
    <t>0d9839e4-90ff-4f22-82db-c37f7e9a7d01</t>
  </si>
  <si>
    <t>2020-02-10T10:29:42</t>
  </si>
  <si>
    <t>2020-02-10T12:25:42.157+05:30</t>
  </si>
  <si>
    <t>2020-02-10T15:59:12.480+05:30</t>
  </si>
  <si>
    <t>2019-11-05T14:10:00.000-08:00</t>
  </si>
  <si>
    <t>2020-02-10T12:26:00.000+05:30</t>
  </si>
  <si>
    <t>22.541354 88.3760916 -60.400001525878906 5.0</t>
  </si>
  <si>
    <t>PURI SABJI, 200 GM</t>
  </si>
  <si>
    <t>5c417322-2815-4a8f-ab98-6c507291c9df</t>
  </si>
  <si>
    <t>2019-06-11T10:20:59</t>
  </si>
  <si>
    <t>2019-06-11T16:58:37.000+06:30</t>
  </si>
  <si>
    <t>0b6570e2-6804-435f-b08f-b6553e0aa5b8</t>
  </si>
  <si>
    <t>2019-06-11T17:10:51.000+06:30</t>
  </si>
  <si>
    <t>2019-11-07T06:48:44</t>
  </si>
  <si>
    <t>2019-11-19T11:33:05.000-07:00</t>
  </si>
  <si>
    <t>enketo.sanipath.org:hSyuNcpgwTIMP2tW</t>
  </si>
  <si>
    <t>2019-05-29T15:00:00.000+06:30</t>
  </si>
  <si>
    <t>2019-11-19T11:45:00.000-07:00</t>
  </si>
  <si>
    <t>2019-05-30T17:00:00.000+06:30</t>
  </si>
  <si>
    <t>2019-05-31T17:00:00.000+06:30</t>
  </si>
  <si>
    <t>3394753b-ad02-46ba-9748-4789c57baece</t>
  </si>
  <si>
    <t>2020-02-10T10:29:45</t>
  </si>
  <si>
    <t>2019-11-06T12:45:00.000-07:00</t>
  </si>
  <si>
    <t>2020-02-10T12:30:01.819+05:30</t>
  </si>
  <si>
    <t>2019-11-06T14:55:00.000-07:00</t>
  </si>
  <si>
    <t>2020-02-10T15:58:48.838+05:30</t>
  </si>
  <si>
    <t>2019-11-06T15:20:00.000-07:00</t>
  </si>
  <si>
    <t>2019-11-07T15:20:00.000-07:00</t>
  </si>
  <si>
    <t>2020-02-10T12:30:00.000+05:30</t>
  </si>
  <si>
    <t>22.5413232 88.3760427 -48.20000076293945 5.0</t>
  </si>
  <si>
    <t>2019-05-29T15:30:00.000+06:30</t>
  </si>
  <si>
    <t>Red colony count: Undiluted 100ml - TNTC, Undiluted 10ml - 360, 1:10^1 - 50 sample vol tested 1ml</t>
  </si>
  <si>
    <t>2019-05-30T12:30:00.000+06:30</t>
  </si>
  <si>
    <t>b4301d0d-3129-4fe1-9bc7-ea07c4a92c95</t>
  </si>
  <si>
    <t>2019-11-19T06:12:21</t>
  </si>
  <si>
    <t>Sample collected by Debabrata Maity, FB at PLc1195 site</t>
  </si>
  <si>
    <t>2019-11-19T11:48:57.000-07:00</t>
  </si>
  <si>
    <t>f97ea97c-631c-45b9-b443-11835277afd7</t>
  </si>
  <si>
    <t>2020-02-10T10:29:48</t>
  </si>
  <si>
    <t>2020-02-11T10:30:56.217+05:30</t>
  </si>
  <si>
    <t>2020-02-11T14:21:27.803+05:30</t>
  </si>
  <si>
    <t>2020-02-11T10:31:00.000+05:30</t>
  </si>
  <si>
    <t>22.56364 88.377326 -53.79999923706055 5.0</t>
  </si>
  <si>
    <t>41493b81-2431-4f13-8251-897b02f22bc2</t>
  </si>
  <si>
    <t>2019-06-11T11:41:06</t>
  </si>
  <si>
    <t>2019-06-11T17:10:52.000+06:30</t>
  </si>
  <si>
    <t>2019-06-11T17:16:58.000+06:30</t>
  </si>
  <si>
    <t>Red colony count: Undiluted 100ml - 4, Undiluted 10ml - 0, 1:10^1 - 0 sample vol tested 1ml</t>
  </si>
  <si>
    <t>14aa954a-db14-43f5-ac9f-d22f1ed68e0c</t>
  </si>
  <si>
    <t>2019-11-19T06:16:17</t>
  </si>
  <si>
    <t>f238df09-4c3c-43a3-9d50-2d5674acd9bb</t>
  </si>
  <si>
    <t>2020-02-11T08:52:04</t>
  </si>
  <si>
    <t>2020-02-11T10:34:46.893+05:30</t>
  </si>
  <si>
    <t>2020-02-11T14:20:51.535+05:30</t>
  </si>
  <si>
    <t>2019-11-19T11:50:53.000-07:00</t>
  </si>
  <si>
    <t>2020-02-11T10:35:00.000+05:30</t>
  </si>
  <si>
    <t>22.5635385 88.3772473 -20.5 5.0</t>
  </si>
  <si>
    <t>Sample collected by Suvankar, FB at MO1175 site</t>
  </si>
  <si>
    <t>ad08b4a6-6c2a-4455-945a-c2ee98e6ea07</t>
  </si>
  <si>
    <t>2020-02-11T08:52:07</t>
  </si>
  <si>
    <t>2020-02-11T10:57:09.385+05:30</t>
  </si>
  <si>
    <t>2020-02-11T14:21:22.619+05:30</t>
  </si>
  <si>
    <t>Red colony count: Undiluted 100ml - TNTC, Undiluted 10ml - 12, 1:10^1 - 1 sample vol tested 1ml</t>
  </si>
  <si>
    <t>2020-02-11T10:57:00.000+05:30</t>
  </si>
  <si>
    <t>9e189bf0-1937-440a-8f12-0abb5001e10a</t>
  </si>
  <si>
    <t>22.558025 88.3896824 -34.79999923706055 5.0</t>
  </si>
  <si>
    <t>2019-11-19T06:18:13</t>
  </si>
  <si>
    <t>2019-11-19T11:53:44.000-07:00</t>
  </si>
  <si>
    <t>2019-11-06T15:00:00.000-07:00</t>
  </si>
  <si>
    <t>2019-11-06T15:45:00.000-07:00</t>
  </si>
  <si>
    <t>2019-11-07T15:45:00.000-07:00</t>
  </si>
  <si>
    <t>b2982499-562f-4182-a920-d42235521211</t>
  </si>
  <si>
    <t>2019-06-11T11:47:13</t>
  </si>
  <si>
    <t>Sample collected by Asish</t>
  </si>
  <si>
    <t>2019-06-11T17:23:49.000+06:30</t>
  </si>
  <si>
    <t>43f01826-8d9c-4b0c-92b2-d5693bcea609</t>
  </si>
  <si>
    <t>2020-02-11T08:52:13</t>
  </si>
  <si>
    <t>2020-02-11T11:02:42.608+05:30</t>
  </si>
  <si>
    <t>2020-02-11T14:20:56.528+05:30</t>
  </si>
  <si>
    <t>Red colony count: 1:10^1 - 17; 1:10^2 - 6; 1:10^3 -2, Each sample vol tested 1ml</t>
  </si>
  <si>
    <t>5f8a2129-2cf9-48fd-bda2-a286350e361c</t>
  </si>
  <si>
    <t>2019-11-19T06:21:04</t>
  </si>
  <si>
    <t>22.5579776 88.3896365 -38.70000076293945 4.5</t>
  </si>
  <si>
    <t>2019-11-19T11:55:34.000-07:00</t>
  </si>
  <si>
    <t>Sample collected by Asish FB at MO1174 site</t>
  </si>
  <si>
    <t>c19d8545-018a-464a-ae37-551e0a06e448</t>
  </si>
  <si>
    <t>2020-02-11T08:52:16</t>
  </si>
  <si>
    <t>Red colony count: 1:10^1 - 31; 1:10^2 - 3; 1:10^3 -00, Each sample vol tested 1ml</t>
  </si>
  <si>
    <t>2020-02-11T11:05:34.620+05:30</t>
  </si>
  <si>
    <t>2020-02-11T14:21:35.054+05:30</t>
  </si>
  <si>
    <t>6083effa-9e6d-40ba-93c7-ee736586c486</t>
  </si>
  <si>
    <t>2019-11-19T06:22:55</t>
  </si>
  <si>
    <t>2019-11-19T11:57:56.000-07:00</t>
  </si>
  <si>
    <t>2020-02-11T11:06:00.000+05:30</t>
  </si>
  <si>
    <t>22.558006 88.3895825 -41.79999923706055 5.0</t>
  </si>
  <si>
    <t>2019-11-06T14:15:00.000-07:00</t>
  </si>
  <si>
    <t>2019-11-06T14:30:00.000-07:00</t>
  </si>
  <si>
    <t>2019-11-07T14:30:00.000-07:00</t>
  </si>
  <si>
    <t>274a0efb-f19b-4047-9492-cf9f6c5f28ca</t>
  </si>
  <si>
    <t>2019-06-11T11:54:04</t>
  </si>
  <si>
    <t>2019-06-11T17:32:54.000+06:30</t>
  </si>
  <si>
    <t>Samplewith FPa1004, FPb1004, FPc1004, FPd1004, FPe1004, Red Colony Count: Undiluted volume tested 100 ml - 00</t>
  </si>
  <si>
    <t>521d3c8e-d399-42c6-9529-f2cb89a3ed13</t>
  </si>
  <si>
    <t>2020-02-11T08:52:18</t>
  </si>
  <si>
    <t>460eac12-a4ab-47fa-a15b-93691758ceaa</t>
  </si>
  <si>
    <t>2020-02-11T11:19:59.011+05:30</t>
  </si>
  <si>
    <t>2019-11-19T06:25:15</t>
  </si>
  <si>
    <t>2020-02-11T14:21:17.125+05:30</t>
  </si>
  <si>
    <t>2019-11-19T11:59:22.000-07:00</t>
  </si>
  <si>
    <t>2020-02-11T11:20:00.000+05:30</t>
  </si>
  <si>
    <t>22.556361 88.3921806 -5.599999904632568 5.0</t>
  </si>
  <si>
    <t>Suvankar</t>
  </si>
  <si>
    <t>954f46b0-1da2-4551-9678-137516455527</t>
  </si>
  <si>
    <t>5e8678aa-c204-4971-ae50-2ce46d2fc9da</t>
  </si>
  <si>
    <t>2020-02-11T08:52:22</t>
  </si>
  <si>
    <t>2019-11-19T06:26:44</t>
  </si>
  <si>
    <t>2020-02-11T11:22:23.584+05:30</t>
  </si>
  <si>
    <t>2020-02-11T14:21:01.080+05:30</t>
  </si>
  <si>
    <t>2019-11-19T12:00:54.000-07:00</t>
  </si>
  <si>
    <t>2019-11-07T12:45:00.000-07:00</t>
  </si>
  <si>
    <t>2019-11-07T14:20:00.000-07:00</t>
  </si>
  <si>
    <t>CUT FRUIT (WATER MELON), WT 135 GM. FOR WG5: 1 ML(W/O ENRICHMENT)-72 COLONIES WITH CLEAR ZONE, AND 1 ML (WITH ENRICHMENT)-COMPLETELY CLEAR ZONE OBSERVED</t>
  </si>
  <si>
    <t>2019-11-07T14:45:00.000-07:00</t>
  </si>
  <si>
    <t>22.5563011 88.3922497 -45.5 5.0</t>
  </si>
  <si>
    <t>2019-11-08T14:45:00.000-07:00</t>
  </si>
  <si>
    <t>704e4178-a08e-4dc0-a198-9f020c926a08</t>
  </si>
  <si>
    <t>2019-06-11T12:03:09</t>
  </si>
  <si>
    <t>2019-06-11T17:32:55.000+06:30</t>
  </si>
  <si>
    <t>2019-06-11T17:43:42.000+06:30</t>
  </si>
  <si>
    <t>Samplewith MO1114, Red Colony Count: Undiluted volume tested 100 ml - 00</t>
  </si>
  <si>
    <t>Sample collected by Abhijit, FB at MO1173 site</t>
  </si>
  <si>
    <t>1a89e83f-09c9-4ee0-a794-08378f893505</t>
  </si>
  <si>
    <t>2019-11-19T06:28:15</t>
  </si>
  <si>
    <t>ded057a1-8ba2-418d-a7a7-0c025efdb0a3</t>
  </si>
  <si>
    <t>2020-02-11T08:52:28</t>
  </si>
  <si>
    <t>2020-02-11T11:49:51.226+05:30</t>
  </si>
  <si>
    <t>2019-11-19T12:02:20.000-07:00</t>
  </si>
  <si>
    <t>2020-02-11T14:21:10.805+05:30</t>
  </si>
  <si>
    <t>2020-02-11T11:50:00.000+05:30</t>
  </si>
  <si>
    <t>22.5577304 88.4112386 -46.70000076293945 5.0</t>
  </si>
  <si>
    <t>Samplewith MO1115, Red Colony Count: Undiluted volume tested 100 ml - 00</t>
  </si>
  <si>
    <t>a2cf1358-c6ae-4daa-b6ea-52d513cc9829</t>
  </si>
  <si>
    <t>2019-11-19T06:29:40</t>
  </si>
  <si>
    <t>Sample collected by Biplab, only one Moore was collected</t>
  </si>
  <si>
    <t>2019-11-19T12:04:18.000-07:00</t>
  </si>
  <si>
    <t>005d9b15-5e2b-4be7-94cc-fef6d17db47d</t>
  </si>
  <si>
    <t>2020-02-11T08:52:31</t>
  </si>
  <si>
    <t>2020-02-11T11:54:02.678+05:30</t>
  </si>
  <si>
    <t>PANIPURI, WT 250 GM. FOR WG05: 1 ML W/OAND WITH ENRICHMENT SHOW COMPLETELY CLEAR LAWN</t>
  </si>
  <si>
    <t>2020-02-11T14:21:05.509+05:30</t>
  </si>
  <si>
    <t>2019-11-07T15:15:00.000-07:00</t>
  </si>
  <si>
    <t>2019-11-07T16:00:00.000-07:00</t>
  </si>
  <si>
    <t>5be4dac6-2495-4575-a9b4-e8f6fe98d240</t>
  </si>
  <si>
    <t>2019-11-08T16:00:00.000-07:00</t>
  </si>
  <si>
    <t>2019-06-11T12:13:58</t>
  </si>
  <si>
    <t>2019-06-11T17:43:43.000+06:30</t>
  </si>
  <si>
    <t>2020-02-11T11:54:00.000+05:30</t>
  </si>
  <si>
    <t>2019-06-11T17:57:11.000+06:30</t>
  </si>
  <si>
    <t>22.5579841 88.4107754 -61.29999923706055 5.0</t>
  </si>
  <si>
    <t>Red colony count: 1:10^4 - 42; 1:10^5 - 8; 1:10^6 -00, Each sample vol tested 1ml</t>
  </si>
  <si>
    <t>a3bf288c-8981-4f20-9a66-c461ded76a2d</t>
  </si>
  <si>
    <t>2019-11-19T06:31:40</t>
  </si>
  <si>
    <t>Sample collected by Biplab, FB at MO1172 site</t>
  </si>
  <si>
    <t>2019-11-19T12:05:41.000-07:00</t>
  </si>
  <si>
    <t>330a2674-e847-4a82-bae9-8790b1996aba</t>
  </si>
  <si>
    <t>2020-02-11T08:52:34</t>
  </si>
  <si>
    <t>2020-02-12T11:39:29.819+05:30</t>
  </si>
  <si>
    <t>2020-02-12T15:19:34.120+05:30</t>
  </si>
  <si>
    <t>2020-02-12T11:40:00.000+05:30</t>
  </si>
  <si>
    <t>22.555647 88.3823328 -41.29999923706055 5.0</t>
  </si>
  <si>
    <t>Samplewith PLc1068, Red Colony Count: Undiluted volume tested 100 ml - 00</t>
  </si>
  <si>
    <t>370ae670-8b5b-4824-b16f-8a09a8386bbf</t>
  </si>
  <si>
    <t>2019-11-19T06:33:02</t>
  </si>
  <si>
    <t>2019-11-19T12:07:48.000-07:00</t>
  </si>
  <si>
    <t>896ae599-eb75-48fb-8d88-00d61e7b1d1c</t>
  </si>
  <si>
    <t>2019-06-11T12:27:26</t>
  </si>
  <si>
    <t>305e80cd-ae7f-4a69-b178-3678bcac3ceb</t>
  </si>
  <si>
    <t>2020-02-12T09:49:48</t>
  </si>
  <si>
    <t>2019-06-11T17:57:12.000+06:30</t>
  </si>
  <si>
    <t>2019-06-11T18:02:43.000+06:30</t>
  </si>
  <si>
    <t>2020-02-12T11:48:24.529+05:30</t>
  </si>
  <si>
    <t>2020-02-12T15:19:25.312+05:30</t>
  </si>
  <si>
    <t>Red colony count: 1:10^4 - 8; 1:10^5 - 3; 1:10^6 -00, Each sample vol tested 1ml</t>
  </si>
  <si>
    <t>2020-02-12T11:48:00.000+05:30</t>
  </si>
  <si>
    <t>22.5556066 88.382352 -44.0 5.0</t>
  </si>
  <si>
    <t>8be5ff91-8318-4b98-bfd6-ab1d731d828d</t>
  </si>
  <si>
    <t>2019-11-19T06:35:08</t>
  </si>
  <si>
    <t>2019-11-19T12:09:10.000-07:00</t>
  </si>
  <si>
    <t>Sample collected by Somnath Sarkar, FB at PL1024</t>
  </si>
  <si>
    <t>d2de54a2-80a6-4c26-827d-d591c5e4cdc2</t>
  </si>
  <si>
    <t>2020-02-12T09:49:52</t>
  </si>
  <si>
    <t>2020-02-12T11:56:24.923+05:30</t>
  </si>
  <si>
    <t>Samplewith PLc1069, Red Colony Count: Undiluted volume tested 100 ml - 01</t>
  </si>
  <si>
    <t>2020-02-12T15:19:40.549+05:30</t>
  </si>
  <si>
    <t>2b0b3362-26be-4717-ad95-df43de3c1475</t>
  </si>
  <si>
    <t>2019-11-19T06:36:31</t>
  </si>
  <si>
    <t>2020-02-12T11:57:00.000+05:30</t>
  </si>
  <si>
    <t>22.5562066 88.3832123 -52.599998474121094 5.0</t>
  </si>
  <si>
    <t>65f83656-9f2a-46b2-bbdc-9cf6e5f56591</t>
  </si>
  <si>
    <t>2019-06-11T12:32:59</t>
  </si>
  <si>
    <t>2019-11-19T12:10:54.000-07:00</t>
  </si>
  <si>
    <t>2019-06-11T18:02:44.000+06:30</t>
  </si>
  <si>
    <t>2019-06-11T18:07:48.000+06:30</t>
  </si>
  <si>
    <t>67f440e0-5f9c-49a7-9bbe-68e2a9502dad</t>
  </si>
  <si>
    <t>2020-02-12T09:49:55</t>
  </si>
  <si>
    <t>2020-02-12T12:03:03.333+05:30</t>
  </si>
  <si>
    <t>2020-02-12T15:19:29.596+05:30</t>
  </si>
  <si>
    <t>2020-02-12T12:03:00.000+05:30</t>
  </si>
  <si>
    <t>22.5562808 88.3831966 -74.19999694824219 5.0</t>
  </si>
  <si>
    <t>Red colony count: 1:10^4 - 28; 1:10^5 - 2; 1:10^6 -00, Each sample vol tested 1ml</t>
  </si>
  <si>
    <t>52725655-6cdf-4813-b48d-da1ed77c9d2a</t>
  </si>
  <si>
    <t>2019-11-19T06:38:15</t>
  </si>
  <si>
    <t>Sample collected by Buddhadeb Samaddar, FB at PL1025</t>
  </si>
  <si>
    <t>1e3ce4c9-077a-4c73-9bc2-34f7cde67415</t>
  </si>
  <si>
    <t>2020-02-12T09:49:58</t>
  </si>
  <si>
    <t>2019-11-19T12:12:25.000-07:00</t>
  </si>
  <si>
    <t>2020-02-12T09:55:59.592+05:30</t>
  </si>
  <si>
    <t>2020-02-12T15:25:00.719+05:30</t>
  </si>
  <si>
    <t>2020-02-12T09:56:00.000+05:30</t>
  </si>
  <si>
    <t>22.536171 88.3745919 -29.100000381469727 5.0</t>
  </si>
  <si>
    <t>Samplewith PLc1070, Red Colony Count: Undiluted volume tested 100 ml - 00</t>
  </si>
  <si>
    <t>402c1ec4-dd8d-4d2c-8a84-e3500dc6ba85</t>
  </si>
  <si>
    <t>d12b74e9-90ee-4c35-ad6c-39f74e095a8c</t>
  </si>
  <si>
    <t>2019-06-11T12:38:04</t>
  </si>
  <si>
    <t>2019-11-19T06:39:45</t>
  </si>
  <si>
    <t>2019-06-21T17:26:32.000+06:30</t>
  </si>
  <si>
    <t>f19d7a9c-0565-4de7-8147-2e01674d77ad</t>
  </si>
  <si>
    <t>2020-02-12T09:55:10</t>
  </si>
  <si>
    <t>2019-06-21T17:32:16.000+06:30</t>
  </si>
  <si>
    <t>2019-11-19T12:14:02.000-07:00</t>
  </si>
  <si>
    <t>2020-02-12T10:47:03.032+05:30</t>
  </si>
  <si>
    <t>2020-02-12T15:24:51.629+05:30</t>
  </si>
  <si>
    <t>2019-06-03T13:35:00.000+06:30</t>
  </si>
  <si>
    <t>2019-06-06T17:00:00.000+06:30</t>
  </si>
  <si>
    <t>2019-06-07T17:00:00.000+06:30</t>
  </si>
  <si>
    <t>2020-02-12T10:47:00.000+05:30</t>
  </si>
  <si>
    <t>22.604295 88.4166844 -42.29999923706055 5.0</t>
  </si>
  <si>
    <t>Sample collected by Suvankar, Ward 29 SDDM</t>
  </si>
  <si>
    <t>Red colony count: 1:10^4 - 2; 1:10^5 - 00; 1:10^6 -00, Each sample vol tested 1ml</t>
  </si>
  <si>
    <t>30c2a8fe-2640-4f13-a178-880fde66b094</t>
  </si>
  <si>
    <t>2020-02-12T09:55:14</t>
  </si>
  <si>
    <t>5da578ab-5664-4943-a539-e205db34796d</t>
  </si>
  <si>
    <t>2020-02-12T10:53:24.908+05:30</t>
  </si>
  <si>
    <t>2020-02-12T15:24:41.583+05:30</t>
  </si>
  <si>
    <t>2019-11-19T06:41:22</t>
  </si>
  <si>
    <t>2019-06-05T16:00:00.000+06:30</t>
  </si>
  <si>
    <t>2019-06-06T16:00:00.000+06:30</t>
  </si>
  <si>
    <t>2020-02-12T10:54:00.000+05:30</t>
  </si>
  <si>
    <t>2019-11-19T12:15:29.000-07:00</t>
  </si>
  <si>
    <t>22.6043084 88.416645 -38.5 5.0</t>
  </si>
  <si>
    <t>e4d76667-a7eb-4a9a-a00c-4fb14205afae</t>
  </si>
  <si>
    <t>2020-02-12T09:55:15</t>
  </si>
  <si>
    <t>2020-02-12T11:10:50.997+05:30</t>
  </si>
  <si>
    <t>2020-02-12T15:24:56.450+05:30</t>
  </si>
  <si>
    <t>Samplewith PLc1071, Red Colony Count: Undiluted volume tested 100 ml - 00</t>
  </si>
  <si>
    <t>04fcb766-5cfd-41e4-9c03-eb5fb9a64539</t>
  </si>
  <si>
    <t>2020-02-12T11:11:00.000+05:30</t>
  </si>
  <si>
    <t>2019-06-21T12:02:31</t>
  </si>
  <si>
    <t>22.6075334 88.3926163 -33.099998474121094 5.0</t>
  </si>
  <si>
    <t>e392e3b9-b021-4d58-856b-667be3eb6d17</t>
  </si>
  <si>
    <t>2019-11-19T06:42:50</t>
  </si>
  <si>
    <t>2019-06-21T17:42:26.000+06:30</t>
  </si>
  <si>
    <t>2019-11-19T12:17:19.000-07:00</t>
  </si>
  <si>
    <t>485c91ea-43ab-40fe-ae66-811b6f19fd99</t>
  </si>
  <si>
    <t>2020-02-12T09:55:17</t>
  </si>
  <si>
    <t>2020-02-12T11:15:25.507+05:30</t>
  </si>
  <si>
    <t>2020-02-12T15:24:46.011+05:30</t>
  </si>
  <si>
    <t>Red colony count: 1:10^4 - 00; 1:10^5 - 00; 1:10^6 -00, Each sample vol tested 1ml</t>
  </si>
  <si>
    <t>fddad1fd-a813-4223-a4aa-e03c6642c969</t>
  </si>
  <si>
    <t>2019-11-19T06:44:40</t>
  </si>
  <si>
    <t>2019-11-19T12:17:20.000-07:00</t>
  </si>
  <si>
    <t>2020-02-12T11:15:00.000+05:30</t>
  </si>
  <si>
    <t>22.6076549 88.392551 -19.799999237060547 4.5</t>
  </si>
  <si>
    <t>2019-11-19T12:18:35.000-07:00</t>
  </si>
  <si>
    <t>Sample collected by Suvankar, FB at MO1177 site</t>
  </si>
  <si>
    <t>a33b0ff3-8e09-46ea-b9c1-cc8dd3f6edf5</t>
  </si>
  <si>
    <t>2020-02-12T09:55:19</t>
  </si>
  <si>
    <t>2020-02-13T10:09:14.353+05:30</t>
  </si>
  <si>
    <t>2020-02-14T15:13:02.776+05:30</t>
  </si>
  <si>
    <t>EXACT PLAQUE COUNT FOR THE LAST OCCASION WAS 215.</t>
  </si>
  <si>
    <t>Samplewith PLc1072, Red Colony Count: Undiluted volume tested 100 ml - 00</t>
  </si>
  <si>
    <t>fde6922b-b7ac-4fe3-84df-3eb5d9254c4e</t>
  </si>
  <si>
    <t>2019-06-21T12:12:41</t>
  </si>
  <si>
    <t>2020-02-13T10:09:00.000+05:30</t>
  </si>
  <si>
    <t>3a43790e-9680-47a1-8ea0-9049a0c47448</t>
  </si>
  <si>
    <t>22.5347134 88.3960117 -65.80000305175781 5.0</t>
  </si>
  <si>
    <t>2019-11-19T06:45:55</t>
  </si>
  <si>
    <t>2019-06-21T17:50:58.000+06:30</t>
  </si>
  <si>
    <t>2019-11-19T12:19:44.000-07:00</t>
  </si>
  <si>
    <t>Sample collected by Suvankar, One Moore was collected</t>
  </si>
  <si>
    <t>adccb307-33ec-47e4-b8d6-4b469bc06caa</t>
  </si>
  <si>
    <t>2019-11-07T14:10:00.000-07:00</t>
  </si>
  <si>
    <t>2020-02-14T09:43:32</t>
  </si>
  <si>
    <t>2020-02-13T10:12:01.732+05:30</t>
  </si>
  <si>
    <t>2019-11-08T14:20:00.000-07:00</t>
  </si>
  <si>
    <t>2020-02-14T15:12:22.463+05:30</t>
  </si>
  <si>
    <t>2020-02-13T10:12:00.000+05:30</t>
  </si>
  <si>
    <t>22.5346488 88.3960567 -30.0 4.5</t>
  </si>
  <si>
    <t>9ff57c79-f7a1-402c-b9fa-fc0a18cfb189</t>
  </si>
  <si>
    <t>2019-11-19T06:47:07</t>
  </si>
  <si>
    <t>Sample collected by Suvankar, FB at MO1178 site</t>
  </si>
  <si>
    <t>ccac0cb8-d753-4f01-a3c3-ddbd285b6e9f</t>
  </si>
  <si>
    <t>2020-02-14T09:43:35</t>
  </si>
  <si>
    <t>2020-02-13T10:33:02.828+05:30</t>
  </si>
  <si>
    <t>2020-02-14T15:13:09.114+05:30</t>
  </si>
  <si>
    <t>2019-11-19T12:24:56.000-07:00</t>
  </si>
  <si>
    <t>2019-11-08T13:50:00.000-07:00</t>
  </si>
  <si>
    <t>2019-11-08T15:15:00.000-07:00</t>
  </si>
  <si>
    <t>2020-02-13T10:33:00.000+05:30</t>
  </si>
  <si>
    <t>2019-11-09T16:00:00.000-07:00</t>
  </si>
  <si>
    <t>22.5403541 88.3870714 -42.0 4.5</t>
  </si>
  <si>
    <t>TOMATO. WT. WAS 103 GM</t>
  </si>
  <si>
    <t>760158d5-a742-49aa-ba5c-5792239ee241</t>
  </si>
  <si>
    <t>2019-06-21T12:21:13</t>
  </si>
  <si>
    <t>For 3.1: Red colony count: 1:10^1 - TDTC; 1:10^2 - 30; 1:10^3-6, Each sample vol tested 1ml</t>
  </si>
  <si>
    <t>2019-06-21T17:56:50.000+06:30</t>
  </si>
  <si>
    <t>48a5a5d4-2277-438e-80df-8cb8f1615c47</t>
  </si>
  <si>
    <t>2019-11-19T06:52:17</t>
  </si>
  <si>
    <t>ad8994ce-989c-4020-81df-09a401877508</t>
  </si>
  <si>
    <t>2020-02-14T09:43:38</t>
  </si>
  <si>
    <t>2019-11-19T12:42:37.000-07:00</t>
  </si>
  <si>
    <t>2020-02-13T10:40:07.963+05:30</t>
  </si>
  <si>
    <t>2020-02-14T15:12:29.164+05:30</t>
  </si>
  <si>
    <t>2019-11-08T15:20:00.000-07:00</t>
  </si>
  <si>
    <t>2020-02-13T10:41:00.000+05:30</t>
  </si>
  <si>
    <t>22.5400161 88.3873707 -42.900001525878906 4.5</t>
  </si>
  <si>
    <t>Red colony count: 1:10^1 - 5; 1:10^2 - 3; 1:10^3 -00, Each sample vol tested 1ml</t>
  </si>
  <si>
    <t>3e33f29f-c8e3-403f-947c-2892bb5dd17b</t>
  </si>
  <si>
    <t>2019-11-19T06:55:02</t>
  </si>
  <si>
    <t>Sample collected by Asish, FB at MO1179 site</t>
  </si>
  <si>
    <t>2019-11-19T12:27:40.000-07:00</t>
  </si>
  <si>
    <t>9fa3b84e-fdff-4ed3-ab40-203650e4bc1c</t>
  </si>
  <si>
    <t>2020-02-14T09:43:41</t>
  </si>
  <si>
    <t>2020-02-13T11:00:15.442+05:30</t>
  </si>
  <si>
    <t>2020-02-14T15:13:14.531+05:30</t>
  </si>
  <si>
    <t>2019-11-19T12:43:08.000-07:00</t>
  </si>
  <si>
    <t>2020-02-13T11:00:00.000+05:30</t>
  </si>
  <si>
    <t>22.536179 88.3745749 -51.0 5.0</t>
  </si>
  <si>
    <t>2019-11-08T15:25:00.000-07:00</t>
  </si>
  <si>
    <t>CUCUMBER, 57.5 GM</t>
  </si>
  <si>
    <t>2adc7661-47de-4df2-bc37-27b5a7e3f1e0</t>
  </si>
  <si>
    <t>2019-06-21T12:27:06</t>
  </si>
  <si>
    <t>2019-06-21T17:56:51.000+06:30</t>
  </si>
  <si>
    <t>2019-06-21T18:02:13.000+06:30</t>
  </si>
  <si>
    <t>cb2f9aa5-d410-4c83-8a56-0de82cb43695</t>
  </si>
  <si>
    <t>2020-02-14T09:43:45</t>
  </si>
  <si>
    <t>2020-02-13T11:03:06.203+05:30</t>
  </si>
  <si>
    <t>2020-02-14T15:12:35.803+05:30</t>
  </si>
  <si>
    <t>Red colony count: 1:10^1 -20; 1:10^2 - 2; 1:10^3 -00, Each sample vol tested 1ml</t>
  </si>
  <si>
    <t>2019-06-04T11:20:00.000+06:30</t>
  </si>
  <si>
    <t>e102d9b4-bcee-434a-bf45-2a72efa9a22a</t>
  </si>
  <si>
    <t>2019-11-19T06:57:18</t>
  </si>
  <si>
    <t>2020-02-13T11:03:00.000+05:30</t>
  </si>
  <si>
    <t>2019-11-19T12:29:58.000-07:00</t>
  </si>
  <si>
    <t>22.5361365 88.3746341 -46.20000076293945 5.0</t>
  </si>
  <si>
    <t>2019-11-19T12:32:48.000-07:00</t>
  </si>
  <si>
    <t>2019-11-08T15:30:00.000-07:00</t>
  </si>
  <si>
    <t>Sample collected by Biplab, FB at MO1180 site</t>
  </si>
  <si>
    <t>ef49faf9-9088-460b-88a8-c4e1080107f2</t>
  </si>
  <si>
    <t>2020-02-14T09:43:48</t>
  </si>
  <si>
    <t>2020-02-13T11:05:59.419+05:30</t>
  </si>
  <si>
    <t>2020-02-14T15:13:19.757+05:30</t>
  </si>
  <si>
    <t>2020-02-13T11:26:00.000+05:30</t>
  </si>
  <si>
    <t>22.5408475 88.374439 -33.20000076293945 5.0</t>
  </si>
  <si>
    <t>Red colony count: 1:10^1 - 80; 1:10^2 - 18; 1:10^3 -01, Each sample vol tested 1ml</t>
  </si>
  <si>
    <t>29515fd7-c515-4fc2-aa59-6613624042d7</t>
  </si>
  <si>
    <t>2019-11-19T07:00:08</t>
  </si>
  <si>
    <t>af5945eb-5741-4345-bf49-af7bcf2b9462</t>
  </si>
  <si>
    <t>2020-02-14T09:43:51</t>
  </si>
  <si>
    <t>2019-11-19T12:35:09.000-07:00</t>
  </si>
  <si>
    <t>2020-02-13T11:34:01.398+05:30</t>
  </si>
  <si>
    <t>2020-02-14T15:12:42.072+05:30</t>
  </si>
  <si>
    <t>2020-02-13T11:34:00.000+05:30</t>
  </si>
  <si>
    <t>22.5407759 88.3745771 41.900001525878906 4.5</t>
  </si>
  <si>
    <t>7c91274e-7375-448c-a9e3-3b9d82ef9c8d</t>
  </si>
  <si>
    <t>2019-11-09T14:45:00.000-07:00</t>
  </si>
  <si>
    <t>2019-06-21T12:32:29</t>
  </si>
  <si>
    <t>2019-06-21T18:02:14.000+06:30</t>
  </si>
  <si>
    <t>2019-06-21T18:11:44.000+06:30</t>
  </si>
  <si>
    <t>Sample collected by Asish, FB at PLc1196 site</t>
  </si>
  <si>
    <t>2019-06-05T15:00:00.000+06:30</t>
  </si>
  <si>
    <t>Sample with COa1006, COb1017, COb1018, COb1019, Red Colony Count: Undiluted volume tested 100 ml - 00</t>
  </si>
  <si>
    <t>86cfb8fa-89b8-4045-a0b5-35c55f3c6898</t>
  </si>
  <si>
    <t>2020-02-14T09:43:54</t>
  </si>
  <si>
    <t>63f7d2ff-7f6d-47b7-862c-c4e2d684c03d</t>
  </si>
  <si>
    <t>2019-11-19T07:02:30</t>
  </si>
  <si>
    <t>2020-02-13T11:48:20.999+05:30</t>
  </si>
  <si>
    <t>2020-02-14T15:13:24.476+05:30</t>
  </si>
  <si>
    <t>2019-11-19T12:43:52.000-07:00</t>
  </si>
  <si>
    <t>K22161</t>
  </si>
  <si>
    <t>2020-02-13T11:51:00.000+05:30</t>
  </si>
  <si>
    <t>22.5412257 88.3749982 -20.5 5.0</t>
  </si>
  <si>
    <t>2019-11-08T15:35:00.000-07:00</t>
  </si>
  <si>
    <t>2019-11-08T16:10:00.000-07:00</t>
  </si>
  <si>
    <t>2019-11-09T16:10:00.000-07:00</t>
  </si>
  <si>
    <t>Red colony count: 1:10^4 - 90; 1:10^5 - 30; 1:10^6 -5, Each sample vol tested 1ml</t>
  </si>
  <si>
    <t>aef1180a-56f5-434a-bc89-b57647bca814</t>
  </si>
  <si>
    <t>2019-11-19T07:06:27</t>
  </si>
  <si>
    <t>2019-11-19T12:39:07.000-07:00</t>
  </si>
  <si>
    <t>272bf880-ed53-4a48-97a5-d6f3cd6f80a9</t>
  </si>
  <si>
    <t>2019-11-19T12:40:41.000-07:00</t>
  </si>
  <si>
    <t>FOR WG5 (ENRICHMENT) "CLEAN" LAWN OBSERVED AT 1ML OF SAMPLE</t>
  </si>
  <si>
    <t>2020-02-14T09:43:58</t>
  </si>
  <si>
    <t>2020-02-13T11:56:19.775+05:30</t>
  </si>
  <si>
    <t>2020-02-14T15:12:49.086+05:30</t>
  </si>
  <si>
    <t>f18a1a0c-edef-4dc2-82e6-dfb45920ddc3</t>
  </si>
  <si>
    <t>2019-06-21T12:41:59</t>
  </si>
  <si>
    <t>2019-06-21T18:11:45.000+06:30</t>
  </si>
  <si>
    <t>2019-06-21T18:20:00.000+06:30</t>
  </si>
  <si>
    <t>2020-02-13T11:56:00.000+05:30</t>
  </si>
  <si>
    <t>22.5410235 88.3750898 50.400001525878906 5.0</t>
  </si>
  <si>
    <t>Sample with PLc1073, Red Colony Count: Undiluted volume tested 100 ml - 00</t>
  </si>
  <si>
    <t>11648b88-5129-4575-baf2-ddf85be72deb</t>
  </si>
  <si>
    <t>2019-11-19T07:08:02</t>
  </si>
  <si>
    <t>2019-11-19T12:40:42.000-07:00</t>
  </si>
  <si>
    <t>2019-11-19T12:46:36.000-07:00</t>
  </si>
  <si>
    <t>d1d8730f-46f3-44a0-bf99-f212c3815448</t>
  </si>
  <si>
    <t>2020-02-14T09:44:01</t>
  </si>
  <si>
    <t>2019-11-08T15:40:00.000-07:00</t>
  </si>
  <si>
    <t>2020-02-13T12:12:45.719+05:30</t>
  </si>
  <si>
    <t>2020-02-14T15:13:29.292+05:30</t>
  </si>
  <si>
    <t>Red colony count: 1:10^4 - 43; 1:10^5 - 5; 1:10^6 -1, Each sample vol tested 1ml</t>
  </si>
  <si>
    <t>1fb9ba33-b962-4f24-a647-62c592db3505</t>
  </si>
  <si>
    <t>2019-11-19T07:24:54</t>
  </si>
  <si>
    <t>22.545502 88.3809633 -52.79999923706055 5.0</t>
  </si>
  <si>
    <t>2019-11-19T12:47:58.000-07:00</t>
  </si>
  <si>
    <t>"CLEAR" LAWN FOUND WITH 1 ML OF SAMPLE AFTER ENRICHMENT FOR GB124.</t>
  </si>
  <si>
    <t>7d99a739-2a2c-4d9d-998d-c8c23f6a956c</t>
  </si>
  <si>
    <t>2019-06-21T12:50:16</t>
  </si>
  <si>
    <t>2019-06-21T18:20:01.000+06:30</t>
  </si>
  <si>
    <t>270e3bfd-378c-4bf4-b717-f776808efc56</t>
  </si>
  <si>
    <t>Sample with PLc1074, Red Colony Count: Undiluted volume tested 100 ml - 00</t>
  </si>
  <si>
    <t>2020-02-14T09:44:04</t>
  </si>
  <si>
    <t>2019-06-21T18:26:11.000+06:30</t>
  </si>
  <si>
    <t>1fbf9b5a-6098-4b12-882f-79f819d53800</t>
  </si>
  <si>
    <t>2019-11-19T07:24:56</t>
  </si>
  <si>
    <t>2020-02-13T12:18:40.657+05:30</t>
  </si>
  <si>
    <t>2020-02-14T15:12:56.326+05:30</t>
  </si>
  <si>
    <t>2019-11-19T12:51:43.000-07:00</t>
  </si>
  <si>
    <t>2019-11-08T15:45:00.000-07:00</t>
  </si>
  <si>
    <t>2020-02-13T12:19:00.000+05:30</t>
  </si>
  <si>
    <t>22.5454136 88.3809533 -31.100000381469727 5.0</t>
  </si>
  <si>
    <t>Red colony count: 1:10^4 - 22; 1:10^5 - 4; 1:10^6 -1, Each sample vol tested 1ml</t>
  </si>
  <si>
    <t>662e2a30-8a38-4821-b422-8759b4a47c20</t>
  </si>
  <si>
    <t>2019-11-19T07:24:58</t>
  </si>
  <si>
    <t>2019-11-19T12:51:44.000-07:00</t>
  </si>
  <si>
    <t>2019-11-19T12:53:44.000-07:00</t>
  </si>
  <si>
    <t>Sample collected by Biplab, FB at PLc1198 site</t>
  </si>
  <si>
    <t>d3b52d96-a866-4654-a236-618172a6e9f5</t>
  </si>
  <si>
    <t>2020-02-14T09:44:08</t>
  </si>
  <si>
    <t>2020-02-17T11:17:12.654+05:30</t>
  </si>
  <si>
    <t>2020-02-17T15:50:45.163+05:30</t>
  </si>
  <si>
    <t>Sample with PLc1075, Red Colony Count: Undiluted volume tested 100 ml - 00</t>
  </si>
  <si>
    <t>8905f5a9-3d6d-4159-89fb-828bf703303c</t>
  </si>
  <si>
    <t>2019-11-19T07:25:00</t>
  </si>
  <si>
    <t>2019-11-19T12:57:33.000-07:00</t>
  </si>
  <si>
    <t>2019-11-19T13:00:16.000-07:00</t>
  </si>
  <si>
    <t>2020-02-17T11:17:00.000+05:30</t>
  </si>
  <si>
    <t>22.5454356 88.3810412 -46.099998474121094 5.0</t>
  </si>
  <si>
    <t>SINCE IT IS A POSITIVE CONTROL, KINDLY NEGLECT THE MENTION OF WARD NO, AND OTHER DATES AND TIMES.</t>
  </si>
  <si>
    <t>c56381cb-bd0b-464e-b212-ea6ec9b116af</t>
  </si>
  <si>
    <t>2019-06-21T12:56:26</t>
  </si>
  <si>
    <t>2019-06-21T18:26:12.000+06:30</t>
  </si>
  <si>
    <t>2019-06-21T18:31:24.000+06:30</t>
  </si>
  <si>
    <t>03a5a575-e7b1-4799-bdf2-59e63e61d6ef</t>
  </si>
  <si>
    <t>2020-02-17T10:21:13</t>
  </si>
  <si>
    <t>2020-02-17T11:23:40.160+05:30</t>
  </si>
  <si>
    <t>2020-02-17T15:50:20.240+05:30</t>
  </si>
  <si>
    <t>28b89403-10e5-4257-9c4c-f4177185fa75</t>
  </si>
  <si>
    <t>2019-11-19T07:27:37</t>
  </si>
  <si>
    <t>2019-11-19T13:00:17.000-07:00</t>
  </si>
  <si>
    <t>2019-11-19T13:03:25.000-07:00</t>
  </si>
  <si>
    <t>2020-02-17T11:24:00.000+05:30</t>
  </si>
  <si>
    <t>22.5454394 88.3810072 -72.0 5.0</t>
  </si>
  <si>
    <t>2019-11-14T14:30:00.000-07:00</t>
  </si>
  <si>
    <t>2019-11-14T15:20:00.000-07:00</t>
  </si>
  <si>
    <t>2019-11-14T15:45:00.000-07:00</t>
  </si>
  <si>
    <t>2019-11-15T15:45:00.000-07:00</t>
  </si>
  <si>
    <t>Sample collected by Somnath Sarkar, FB at PLc1199 site</t>
  </si>
  <si>
    <t>Sample with MO1116, Red Colony Count: Undiluted volume tested 100 ml - 00</t>
  </si>
  <si>
    <t>fc227a39-d934-4368-84ea-f7392790262b</t>
  </si>
  <si>
    <t>2020-02-17T10:21:16</t>
  </si>
  <si>
    <t>2020-02-17T11:42:09.097+05:30</t>
  </si>
  <si>
    <t>2020-02-17T15:50:49.785+05:30</t>
  </si>
  <si>
    <t>d7d05287-28e3-470e-bc67-0a4cb535947c</t>
  </si>
  <si>
    <t>2019-11-19T07:30:45</t>
  </si>
  <si>
    <t>2019-11-19T13:03:26.000-07:00</t>
  </si>
  <si>
    <t>2020-02-17T11:42:00.000+05:30</t>
  </si>
  <si>
    <t>22.54089 88.3743978 -67.80000305175781 5.0</t>
  </si>
  <si>
    <t>2019-11-19T13:05:05.000-07:00</t>
  </si>
  <si>
    <t>WATERMELON, 150 GM OF WT.</t>
  </si>
  <si>
    <t>98a18d84-ba3f-46ab-8aff-1892e12e2f39</t>
  </si>
  <si>
    <t>2019-06-21T13:01:40</t>
  </si>
  <si>
    <t>2019-06-21T18:31:25.000+06:30</t>
  </si>
  <si>
    <t>2019-06-21T18:36:07.000+06:30</t>
  </si>
  <si>
    <t>15112142-ac76-4b15-aecf-8c38af9d7f3b</t>
  </si>
  <si>
    <t>2020-02-17T10:21:19</t>
  </si>
  <si>
    <t>2020-02-17T11:44:54.200+05:30</t>
  </si>
  <si>
    <t>2020-02-17T15:50:25.016+05:30</t>
  </si>
  <si>
    <t>2020-02-17T11:50:00.000+05:30</t>
  </si>
  <si>
    <t>22.5409232 88.3743987 -55.29999923706055 5.0</t>
  </si>
  <si>
    <t>Sample with MO1117, Red Colony Count: Undiluted volume tested 100 ml - 00</t>
  </si>
  <si>
    <t>f51e5d8f-49d5-49c5-840e-d6db12da53d2</t>
  </si>
  <si>
    <t>2019-11-19T07:32:25</t>
  </si>
  <si>
    <t>Sample collected by Buddhadeb Samaddar, FB at PLc1200 site</t>
  </si>
  <si>
    <t>37a87d8e-a6e2-43ce-b39e-d48f27fd7a33</t>
  </si>
  <si>
    <t>2020-02-17T10:21:21</t>
  </si>
  <si>
    <t>2020-02-17T11:59:26.362+05:30</t>
  </si>
  <si>
    <t>2019-11-19T13:06:35.000-07:00</t>
  </si>
  <si>
    <t>2020-02-17T15:50:54.528+05:30</t>
  </si>
  <si>
    <t>2019-11-14T15:00:00.000-07:00</t>
  </si>
  <si>
    <t>2019-11-14T15:15:00.000-07:00</t>
  </si>
  <si>
    <t>2020-02-17T12:00:00.000+05:30</t>
  </si>
  <si>
    <t>2019-11-15T15:15:00.000-07:00</t>
  </si>
  <si>
    <t>22.5415947 88.3753668 -44.099998474121094 5.0</t>
  </si>
  <si>
    <t>4ca9d534-d5dc-48c5-b667-e5563fd4c095</t>
  </si>
  <si>
    <t>2020-02-17T10:21:24</t>
  </si>
  <si>
    <t>93bd991e-63df-44a1-92f2-500e74ebbd81</t>
  </si>
  <si>
    <t>2019-11-19T07:33:55</t>
  </si>
  <si>
    <t>2020-02-17T12:01:49.529+05:30</t>
  </si>
  <si>
    <t>2020-02-17T15:50:29.395+05:30</t>
  </si>
  <si>
    <t>PANIPURI, 250 GM</t>
  </si>
  <si>
    <t>2019-11-19T13:11:29.000-07:00</t>
  </si>
  <si>
    <t>2020-02-17T12:06:00.000+05:30</t>
  </si>
  <si>
    <t>22.5415199 88.3754156 -53.400001525878906 5.0</t>
  </si>
  <si>
    <t>b47207c8-c69a-4b3d-b685-b96199142a3a</t>
  </si>
  <si>
    <t>2019-11-15T14:00:00.000-07:00</t>
  </si>
  <si>
    <t>2019-11-15T14:40:00.000-07:00</t>
  </si>
  <si>
    <t>2019-11-15T15:50:00.000-07:00</t>
  </si>
  <si>
    <t>2019-06-21T13:06:23</t>
  </si>
  <si>
    <t>2019-11-16T15:50:00.000-07:00</t>
  </si>
  <si>
    <t>2019-06-26T16:17:03.000-07:00</t>
  </si>
  <si>
    <t>Sample collected by Somnath Sarkar, FB at PLc1201 site</t>
  </si>
  <si>
    <t>b8e2004e-c8f8-4015-b49f-fa795e89e583</t>
  </si>
  <si>
    <t>2020-02-17T10:21:27</t>
  </si>
  <si>
    <t>2019-06-26T16:25:39.000-07:00</t>
  </si>
  <si>
    <t>2020-02-17T12:12:30.203+05:30</t>
  </si>
  <si>
    <t>2020-02-17T15:50:59.237+05:30</t>
  </si>
  <si>
    <t>2019-06-05T15:00:00.000-07:00</t>
  </si>
  <si>
    <t>2019-06-06T17:00:00.000-07:00</t>
  </si>
  <si>
    <t>2019-06-07T17:00:00.000-07:00</t>
  </si>
  <si>
    <t>2020-02-17T12:14:00.000+05:30</t>
  </si>
  <si>
    <t>22.5414973 88.3748862 -48.20000076293945 5.0</t>
  </si>
  <si>
    <t>Red colony count: 1:10^1 -15; 1:10^2 - 8; 1:10^3 -00, Each sample vol tested 1ml</t>
  </si>
  <si>
    <t>065d7902-fa14-45ae-b8d5-a636e911fd70</t>
  </si>
  <si>
    <t>2019-11-19T07:38:50</t>
  </si>
  <si>
    <t>2019-11-19T13:14:20.000-07:00</t>
  </si>
  <si>
    <t>4f28837e-d9d1-439a-a677-0ae5851a7597</t>
  </si>
  <si>
    <t>2020-02-17T10:21:30</t>
  </si>
  <si>
    <t>2020-02-17T12:19:33.658+05:30</t>
  </si>
  <si>
    <t>2020-02-17T15:50:36.000+05:30</t>
  </si>
  <si>
    <t>2019-06-05T16:00:00.000-07:00</t>
  </si>
  <si>
    <t>2019-06-06T16:00:00.000-07:00</t>
  </si>
  <si>
    <t>2020-02-17T12:19:00.000+05:30</t>
  </si>
  <si>
    <t>22.5415258 88.3749105 -59.0 5.0</t>
  </si>
  <si>
    <t>Red colony count: Undiluted 100ml - TDTC, Undiluted 10ml - 22, 1:10^1 - 02 sample vol tested 1ml</t>
  </si>
  <si>
    <t>Sample collected by Biplab Jash, FB at PLc1202 site</t>
  </si>
  <si>
    <t>5ab3b765-5e0d-4427-95e6-787b4176a4e0</t>
  </si>
  <si>
    <t>2019-11-19T07:41:41</t>
  </si>
  <si>
    <t>0be17ead-800d-444e-9ea1-763ce4915c96</t>
  </si>
  <si>
    <t>2020-02-17T10:21:33</t>
  </si>
  <si>
    <t>2019-11-19T13:14:21.000-07:00</t>
  </si>
  <si>
    <t>2020-02-17T12:27:24.702+05:30</t>
  </si>
  <si>
    <t>2020-02-17T15:51:04.896+05:30</t>
  </si>
  <si>
    <t>AFTER ENRICHMENT, CLEAR LAWN OBSERVED AT 1 ML OF SAMPLE FOR WG5 HOST.</t>
  </si>
  <si>
    <t>2019-11-19T13:17:34.000-07:00</t>
  </si>
  <si>
    <t>d0d00c06-aaac-4308-9b22-7d0558b674fa</t>
  </si>
  <si>
    <t>2019-06-26T10:56:02</t>
  </si>
  <si>
    <t>2020-02-17T12:28:00.000+05:30</t>
  </si>
  <si>
    <t>22.5413657 88.3758792 -1.5 5.0</t>
  </si>
  <si>
    <t>2019-06-26T16:25:40.000-07:00</t>
  </si>
  <si>
    <t>2019-06-26T16:43:55.000-07:00</t>
  </si>
  <si>
    <t>464e1f52-2611-4b04-9692-37dcafdd4fae</t>
  </si>
  <si>
    <t>2020-02-17T10:21:36</t>
  </si>
  <si>
    <t>2020-02-17T12:30:48.520+05:30</t>
  </si>
  <si>
    <t>2020-02-17T15:50:40.310+05:30</t>
  </si>
  <si>
    <t>Red colony count: 1:10^1 -65; 1:10^2 - 40; 1:10^3 -08, Each sample vol tested 1ml</t>
  </si>
  <si>
    <t>8038c645-247e-4caf-8046-a0d810f62b37</t>
  </si>
  <si>
    <t>2019-11-19T07:44:54</t>
  </si>
  <si>
    <t>2020-02-17T12:33:00.000+05:30</t>
  </si>
  <si>
    <t>22.5413934 88.3760228 -72.5999984741211 5.0</t>
  </si>
  <si>
    <t>2019-11-19T13:38:57.000-07:00</t>
  </si>
  <si>
    <t>Sample collected by Debabrata Maity, FB at PLc1203 site</t>
  </si>
  <si>
    <t>ca29b845-a256-4748-8471-6c39b787cdc9</t>
  </si>
  <si>
    <t>2020-02-17T10:21:39</t>
  </si>
  <si>
    <t>2020-02-18T10:48:25.288+05:30</t>
  </si>
  <si>
    <t>2020-02-18T16:18:07.996+05:30</t>
  </si>
  <si>
    <t>2020-02-18T10:49:00.000+05:30</t>
  </si>
  <si>
    <t>22.563638 88.3772049 -76.30000305175781 5.0</t>
  </si>
  <si>
    <t>Red colony count: Undiluted 100ml - TNTC, Undiluted 10ml - 68, 1:10^1 - 12 sample vol tested 1ml</t>
  </si>
  <si>
    <t>74198dd1-ba16-4af3-aa19-cd6009b90bf0</t>
  </si>
  <si>
    <t>2019-11-19T08:06:18</t>
  </si>
  <si>
    <t>2019-11-19T13:40:47.000-07:00</t>
  </si>
  <si>
    <t>pani puri, 250 gm.</t>
  </si>
  <si>
    <t>882e47a8-be26-4b0f-bdb6-fa94ab907801</t>
  </si>
  <si>
    <t>2020-02-18T10:48:32</t>
  </si>
  <si>
    <t>2020-02-18T10:51:48.853+05:30</t>
  </si>
  <si>
    <t>2020-02-18T16:17:46.453+05:30</t>
  </si>
  <si>
    <t>cee31e46-f04f-4b9f-bddb-6c1571ee8da3</t>
  </si>
  <si>
    <t>2019-06-26T11:14:18</t>
  </si>
  <si>
    <t>2019-07-27T13:27:32.000-07:00</t>
  </si>
  <si>
    <t>22.5636745 88.3773134 -42.0 5.0</t>
  </si>
  <si>
    <t>enketo.sanipath.org:mc8n7J7WPNzNK2NK</t>
  </si>
  <si>
    <t>2019-07-27T14:11:02.000-07:00</t>
  </si>
  <si>
    <t>2019-07-25T16:00:00.000-07:00</t>
  </si>
  <si>
    <t>2019-07-25T17:00:00.000-07:00</t>
  </si>
  <si>
    <t>2019-07-26T17:00:00.000-07:00</t>
  </si>
  <si>
    <t>Red colony count: Undiluted 100ml - 15, Undiluted 10ml - 01, 1:10^1 - 00 sample vol tested 1ml</t>
  </si>
  <si>
    <t>3ea59692-5d83-465e-81a0-d3fd254984ab</t>
  </si>
  <si>
    <t>Sample collected by Somnath Sarkar, FB at MO1181 site</t>
  </si>
  <si>
    <t>2019-11-19T08:08:08</t>
  </si>
  <si>
    <t>7a24d12b-bfc8-4170-b08a-42f9bf133d4e</t>
  </si>
  <si>
    <t>2020-02-18T10:48:35</t>
  </si>
  <si>
    <t>2020-02-18T11:09:11.372+05:30</t>
  </si>
  <si>
    <t>2020-02-18T16:18:12.396+05:30</t>
  </si>
  <si>
    <t>2019-11-19T13:42:57.000-07:00</t>
  </si>
  <si>
    <t>2020-02-18T11:09:00.000+05:30</t>
  </si>
  <si>
    <t>22.5580842 88.3895917 -39.79999923706055 5.0</t>
  </si>
  <si>
    <t>2019-11-15T16:25:00.000-07:00</t>
  </si>
  <si>
    <t>2019-11-16T16:25:00.000-07:00</t>
  </si>
  <si>
    <t>75ef44ac-bb26-4a2c-8c03-37d3ef14bb74</t>
  </si>
  <si>
    <t>2020-02-18T10:48:37</t>
  </si>
  <si>
    <t>Red colony count: 1:10^4 - 82; 1:10^5 - 8; 1:10^6 -00, Each sample vol tested 1ml</t>
  </si>
  <si>
    <t>2020-02-18T11:10:53.542+05:30</t>
  </si>
  <si>
    <t>2020-02-18T16:17:53.487+05:30</t>
  </si>
  <si>
    <t>58fb69d2-465c-4c36-8343-e182a89c53d5</t>
  </si>
  <si>
    <t>2019-11-19T08:10:17</t>
  </si>
  <si>
    <t>2019-11-19T13:42:58.000-07:00</t>
  </si>
  <si>
    <t>2020-02-18T11:15:00.000+05:30</t>
  </si>
  <si>
    <t>2019-11-19T13:44:54.000-07:00</t>
  </si>
  <si>
    <t>22.5580126 88.3896729 -39.70000076293945 5.0</t>
  </si>
  <si>
    <t>98a5592e-95f2-4db9-b9a5-6a475fefdb39</t>
  </si>
  <si>
    <t>2019-07-27T08:41:31</t>
  </si>
  <si>
    <t>Sample collected by Buddhadeb Samaddar, FB at MO1182 site</t>
  </si>
  <si>
    <t>2019-07-27T14:11:03.000-07:00</t>
  </si>
  <si>
    <t>eef6242d-893f-47f9-9d01-e6d9133e4579</t>
  </si>
  <si>
    <t>2020-02-18T10:48:40</t>
  </si>
  <si>
    <t>2019-07-27T14:21:20.000-07:00</t>
  </si>
  <si>
    <t>2020-02-18T11:13:15.267+05:30</t>
  </si>
  <si>
    <t>2020-02-18T16:18:25.624+05:30</t>
  </si>
  <si>
    <t>Red colony count: 1:10^4 - 89; 1:10^5 - 18; 1:10^6 -02, Each sample vol tested 1ml</t>
  </si>
  <si>
    <t>2020-02-18T11:23:00.000+05:30</t>
  </si>
  <si>
    <t>22.5580345 88.3895744 -43.5 4.5</t>
  </si>
  <si>
    <t>0101669e-fca1-4ca8-882e-6987185df8c1</t>
  </si>
  <si>
    <t>2019-11-19T08:12:15</t>
  </si>
  <si>
    <t>2019-11-19T13:47:15.000-07:00</t>
  </si>
  <si>
    <t>ab1e8bb0-a406-4706-994a-e2bbf0026ce5</t>
  </si>
  <si>
    <t>2020-02-18T10:48:43</t>
  </si>
  <si>
    <t>2020-02-18T11:43:55.498+05:30</t>
  </si>
  <si>
    <t>2020-02-18T16:18:16.848+05:30</t>
  </si>
  <si>
    <t>2019-07-24T16:00:00.000-07:00</t>
  </si>
  <si>
    <t>2020-02-18T11:44:00.000+05:30</t>
  </si>
  <si>
    <t>22.5563608 88.3921584 -52.099998474121094 5.0</t>
  </si>
  <si>
    <t>Red colony count: 1:10^4 -TDTC; 1:10^5 - 68; 1:10^6 -15, Each sample vol tested 1ml</t>
  </si>
  <si>
    <t>7d39a57e-58fe-408a-b0f0-e4fd8ac6a4f3</t>
  </si>
  <si>
    <t>2019-11-19T08:14:36</t>
  </si>
  <si>
    <t>2019-11-19T13:49:01.000-07:00</t>
  </si>
  <si>
    <t>75a860a0-de85-4ea3-ae46-6ed40d5cc4bc</t>
  </si>
  <si>
    <t>2020-02-18T10:48:47</t>
  </si>
  <si>
    <t>2020-02-18T11:45:49.877+05:30</t>
  </si>
  <si>
    <t>1682e56a-bbfb-4cf5-929b-89f1c7266a87</t>
  </si>
  <si>
    <t>2020-02-18T16:17:58.631+05:30</t>
  </si>
  <si>
    <t>2019-07-27T08:51:49</t>
  </si>
  <si>
    <t>2019-07-27T14:21:21.000-07:00</t>
  </si>
  <si>
    <t>2019-07-27T14:37:09.000-07:00</t>
  </si>
  <si>
    <t>2020-02-18T11:51:00.000+05:30</t>
  </si>
  <si>
    <t>22.5563849 88.392241 -50.20000076293945 5.0</t>
  </si>
  <si>
    <t>2323ccf3-095a-404f-96f3-2ddd93582d9a</t>
  </si>
  <si>
    <t>2019-11-19T08:16:22</t>
  </si>
  <si>
    <t>Sample collected by Debabrata Maity, FB at MO1183 site</t>
  </si>
  <si>
    <t>ea8b3f06-9d8c-49d3-ab24-e919dae9dd0f</t>
  </si>
  <si>
    <t>2019-11-19T13:51:04.000-07:00</t>
  </si>
  <si>
    <t>2020-02-18T10:48:49</t>
  </si>
  <si>
    <t>2020-02-18T12:10:55.942+05:30</t>
  </si>
  <si>
    <t>2020-02-18T16:18:21.090+05:30</t>
  </si>
  <si>
    <t>2020-02-18T12:11:00.000+05:30</t>
  </si>
  <si>
    <t>22.5579048 88.4109464 -33.0 5.0</t>
  </si>
  <si>
    <t>64ed97d4-0b65-49d8-a9bc-643b0fb4fe22</t>
  </si>
  <si>
    <t>Red colony count: 1:10^4 - 91; 1:10^5 - 9; 1:10^6 -01, Each sample vol tested 1ml</t>
  </si>
  <si>
    <t>2019-07-27T09:07:39</t>
  </si>
  <si>
    <t>2019-07-27T14:37:10.000-07:00</t>
  </si>
  <si>
    <t>660eef80-f74b-414f-961b-eb41ff532ca8</t>
  </si>
  <si>
    <t>2019-07-27T15:05:35.000-07:00</t>
  </si>
  <si>
    <t>2019-11-19T08:18:24</t>
  </si>
  <si>
    <t>2019-11-19T13:52:58.000-07:00</t>
  </si>
  <si>
    <t>85d2f962-ff9e-446f-b8f1-021e0048390d</t>
  </si>
  <si>
    <t>2020-02-18T10:48:52</t>
  </si>
  <si>
    <t>FB11332</t>
  </si>
  <si>
    <t>2020-02-18T12:12:57.732+05:30</t>
  </si>
  <si>
    <t>2019-11-15T14:20:00.000-07:00</t>
  </si>
  <si>
    <t>2020-02-18T16:18:03.354+05:30</t>
  </si>
  <si>
    <t>2019-11-15T14:55:00.000-07:00</t>
  </si>
  <si>
    <t>2019-11-16T14:55:00.000-07:00</t>
  </si>
  <si>
    <t>2020-02-18T12:20:00.000+05:30</t>
  </si>
  <si>
    <t>22.5579321 88.4109778 -63.0 5.0</t>
  </si>
  <si>
    <t>Sample with PLc1076, Red Colony Count: Undiluted volume tested 100 ml - 00</t>
  </si>
  <si>
    <t>5dd930d7-37e2-4b5d-af60-17a6e9a58d1b</t>
  </si>
  <si>
    <t>2019-11-19T08:20:18</t>
  </si>
  <si>
    <t>2019-11-19T13:52:59.000-07:00</t>
  </si>
  <si>
    <t>2019-11-19T13:54:16.000-07:00</t>
  </si>
  <si>
    <t>Sample collected by Buddhadeb Samaddar, FB at MO1184 site</t>
  </si>
  <si>
    <t>7951db1a-3eab-4657-b52a-5b73ac33fcf1</t>
  </si>
  <si>
    <t>Sample with PLc1077, Red Colony Count: Undiluted volume tested 100 ml - 00</t>
  </si>
  <si>
    <t>2020-02-18T10:48:55</t>
  </si>
  <si>
    <t>2020-02-19T10:48:15.181+05:30</t>
  </si>
  <si>
    <t>546ce5a7-07c7-4bf7-ae66-21b79dd5ae9a</t>
  </si>
  <si>
    <t>2020-02-19T14:55:52.499+05:30</t>
  </si>
  <si>
    <t>2019-11-19T08:21:37</t>
  </si>
  <si>
    <t>cc2711c7-e93e-42cc-bc83-4d3a584ff673</t>
  </si>
  <si>
    <t>2019-07-27T09:36:04</t>
  </si>
  <si>
    <t>2019-08-05T11:53:08.000-07:00</t>
  </si>
  <si>
    <t>2019-11-19T14:11:52.000-07:00</t>
  </si>
  <si>
    <t>2019-08-05T11:59:06.000-07:00</t>
  </si>
  <si>
    <t>2020-02-19T10:49:00.000+05:30</t>
  </si>
  <si>
    <t>22.606078 88.3734794 -55.5 5.0</t>
  </si>
  <si>
    <t>2019-08-01T16:00:00.000-07:00</t>
  </si>
  <si>
    <t>2019-08-02T17:00:00.000-07:00</t>
  </si>
  <si>
    <t>Sample with PLc1078, Red Colony Count: Undiluted volume tested 100 ml - 00</t>
  </si>
  <si>
    <t>b9b4e13a-e145-4f8c-b56a-f9b33d80610c</t>
  </si>
  <si>
    <t>2019-11-19T08:39:13</t>
  </si>
  <si>
    <t>2019-11-19T14:13:37.000-07:00</t>
  </si>
  <si>
    <t>2019-07-31T16:20:00.000-07:00</t>
  </si>
  <si>
    <t>aec22181-b17d-4ac3-b6a1-19d3b7f8a6ab</t>
  </si>
  <si>
    <t>2019-08-01T16:20:00.000-07:00</t>
  </si>
  <si>
    <t>2020-02-19T09:26:35</t>
  </si>
  <si>
    <t>2020-02-19T10:52:46.018+05:30</t>
  </si>
  <si>
    <t>2020-02-19T14:54:42.820+05:30</t>
  </si>
  <si>
    <t>2019-11-15T14:56:00.000-07:00</t>
  </si>
  <si>
    <t>Sample with PLc1079, Red Colony Count: Undiluted volume tested 100 ml - 00</t>
  </si>
  <si>
    <t>2020-02-19T10:53:00.000+05:30</t>
  </si>
  <si>
    <t>22.6061232 88.3735651 -50.5 5.0</t>
  </si>
  <si>
    <t>e29a6042-8f8b-4e2e-816c-79f02c1d448e</t>
  </si>
  <si>
    <t>2019-11-19T08:40:57</t>
  </si>
  <si>
    <t>3be95d7c-5dac-404b-9bd5-7b6339a183c6</t>
  </si>
  <si>
    <t>2019-11-19T14:13:38.000-07:00</t>
  </si>
  <si>
    <t>2019-11-19T14:14:54.000-07:00</t>
  </si>
  <si>
    <t>2019-08-05T06:29:37</t>
  </si>
  <si>
    <t>2019-08-05T11:59:07.000-07:00</t>
  </si>
  <si>
    <t>2019-08-05T12:05:26.000-07:00</t>
  </si>
  <si>
    <t>Sample collected by Biplab Jash, FB at MO1185 site</t>
  </si>
  <si>
    <t>b35789ee-349f-4d41-8bf3-b9932f89ebb5</t>
  </si>
  <si>
    <t>2020-02-19T09:26:38</t>
  </si>
  <si>
    <t>2020-02-19T11:12:26.285+05:30</t>
  </si>
  <si>
    <t>2020-02-19T14:55:57.542+05:30</t>
  </si>
  <si>
    <t>Sample with PLc1080, Red Colony Count: Undiluted volume tested 100 ml - 00</t>
  </si>
  <si>
    <t>ba75c5c9-5a1e-41ec-b46e-bacee54d5b7d</t>
  </si>
  <si>
    <t>2019-11-19T08:42:15</t>
  </si>
  <si>
    <t>2019-11-19T14:14:55.000-07:00</t>
  </si>
  <si>
    <t>2020-02-19T11:13:00.000+05:30</t>
  </si>
  <si>
    <t>22.6075881 88.3923679 -50.70000076293945 5.0</t>
  </si>
  <si>
    <t>2019-11-19T14:16:04.000-07:00</t>
  </si>
  <si>
    <t>2d86610f-954e-4c3e-9629-6d66084f65b2</t>
  </si>
  <si>
    <t>c36135e9-a1b9-40a4-af06-7ffd949a468d</t>
  </si>
  <si>
    <t>2019-11-19T08:43:25</t>
  </si>
  <si>
    <t>2020-02-19T09:26:41</t>
  </si>
  <si>
    <t>2020-02-19T11:15:43.610+05:30</t>
  </si>
  <si>
    <t>860a8ec5-e3dc-410e-b6e4-305d4a787962</t>
  </si>
  <si>
    <t>2020-02-19T14:54:47.298+05:30</t>
  </si>
  <si>
    <t>2019-08-05T06:35:57</t>
  </si>
  <si>
    <t>2019-11-19T14:18:06.000-07:00</t>
  </si>
  <si>
    <t>2019-08-05T12:05:27.000-07:00</t>
  </si>
  <si>
    <t>2019-08-05T12:13:30.000-07:00</t>
  </si>
  <si>
    <t>2020-02-19T11:16:00.000+05:30</t>
  </si>
  <si>
    <t>22.6076073 88.3923517 -58.5 5.0</t>
  </si>
  <si>
    <t>Sample with FPd1005, FPb1005, FPe1005, FPa1005, FPc1005, Red Colony Count: Undiluted volume tested 100 ml - 00</t>
  </si>
  <si>
    <t>8f7de89e-81e9-4413-b64c-40d1a29060a9</t>
  </si>
  <si>
    <t>2019-11-19T08:45:25</t>
  </si>
  <si>
    <t>Sample collected by Somnath Sarkar, FB at MO1186 site</t>
  </si>
  <si>
    <t>2019-11-25T10:59:58.000-07:00</t>
  </si>
  <si>
    <t>e7d6dc47-56ca-4225-9940-f61faaf63056</t>
  </si>
  <si>
    <t>2020-02-19T09:26:44</t>
  </si>
  <si>
    <t>2019-11-25T11:10:11.000-07:00</t>
  </si>
  <si>
    <t>2020-02-19T11:34:33.138+05:30</t>
  </si>
  <si>
    <t>2020-02-19T14:56:03.156+05:30</t>
  </si>
  <si>
    <t>2019-11-18T14:10:00.000-07:00</t>
  </si>
  <si>
    <t>2019-11-18T15:15:00.000-07:00</t>
  </si>
  <si>
    <t>2019-11-18T16:00:00.000-07:00</t>
  </si>
  <si>
    <t>2019-11-19T16:00:00.000-07:00</t>
  </si>
  <si>
    <t>2020-02-19T11:35:00.000+05:30</t>
  </si>
  <si>
    <t>22.6041576 88.4165914 -41.29999923706055 5.0</t>
  </si>
  <si>
    <t>Red colony count: 1:10^4 - TNTC; 1:10^5 - 61; 1:10^6 - 06, Each sample vol tested 1ml</t>
  </si>
  <si>
    <t>0153f840-24a4-467b-baa6-52de29d3bf14</t>
  </si>
  <si>
    <t>2019-11-25T05:37:27</t>
  </si>
  <si>
    <t>28841a23-2792-4168-86e2-91d56b0a8d5f</t>
  </si>
  <si>
    <t>Sample collected by Biplab Jash, PS at SDDM</t>
  </si>
  <si>
    <t>2019-08-05T06:44:01</t>
  </si>
  <si>
    <t>2019-08-05T12:13:31.000-07:00</t>
  </si>
  <si>
    <t>7ef55eb4-e2f4-4e08-8604-71f45727991a</t>
  </si>
  <si>
    <t>2020-02-19T09:26:47</t>
  </si>
  <si>
    <t>2019-11-25T11:12:10.000-07:00</t>
  </si>
  <si>
    <t>2019-08-05T12:26:41.000-07:00</t>
  </si>
  <si>
    <t>2020-02-19T11:37:52.948+05:30</t>
  </si>
  <si>
    <t>2020-02-19T14:55:43.740+05:30</t>
  </si>
  <si>
    <t>2019-11-18T14:50:00.000-07:00</t>
  </si>
  <si>
    <t>2019-11-18T15:00:00.000-07:00</t>
  </si>
  <si>
    <t>2019-11-19T15:00:00.000-07:00</t>
  </si>
  <si>
    <t>2020-02-19T11:38:00.000+05:30</t>
  </si>
  <si>
    <t>22.6041829 88.4167196 -53.400001525878906 5.0</t>
  </si>
  <si>
    <t>Sample with PLc1081, Red Colony Count: Undiluted volume tested 100 ml - 00</t>
  </si>
  <si>
    <t>8735e2d4-c5cb-430f-9593-b7da4238a297</t>
  </si>
  <si>
    <t>2019-11-25T05:39:26</t>
  </si>
  <si>
    <t>2019-11-25T11:13:58.000-07:00</t>
  </si>
  <si>
    <t>Sample collected by Biplab Jash, FB at MO1187 site at ward no SDDM 29</t>
  </si>
  <si>
    <t>08d5d5c9-ecf8-49a2-812b-ac2efe49ceaf</t>
  </si>
  <si>
    <t>2020-02-19T09:26:50</t>
  </si>
  <si>
    <t>2020-02-19T12:33:17.239+05:30</t>
  </si>
  <si>
    <t>2020-02-19T14:56:08.430+05:30</t>
  </si>
  <si>
    <t>2020-02-19T12:34:00.000+05:30</t>
  </si>
  <si>
    <t>22.5541096 88.3868101 -38.099998474121094 5.0</t>
  </si>
  <si>
    <t>Red colony count: 1:10^4 -190; 1:10^5 - 38; 1:10^6 - 04, Each sample vol tested 1ml</t>
  </si>
  <si>
    <t>AFTER ENRICHMENT GB124 (1ml=CLEAR, 5ml=CLEAR)</t>
  </si>
  <si>
    <t>81ceede8-f229-4089-aa4a-72c78d800874</t>
  </si>
  <si>
    <t>2019-11-25T05:41:14</t>
  </si>
  <si>
    <t>5317cf1b-596c-444d-87f4-8a8a96934897</t>
  </si>
  <si>
    <t>2019-08-05T06:58:34</t>
  </si>
  <si>
    <t>2019-08-05T12:48:59.000-07:00</t>
  </si>
  <si>
    <t>bad412ef-a62d-488a-888d-c2018cf584e6</t>
  </si>
  <si>
    <t>2019-08-05T13:02:26.000-07:00</t>
  </si>
  <si>
    <t>2020-02-19T09:26:53</t>
  </si>
  <si>
    <t>2020-02-19T12:46:18.351+05:30</t>
  </si>
  <si>
    <t>2020-02-19T14:54:32.283+05:30</t>
  </si>
  <si>
    <t>2019-11-25T11:15:08.000-07:00</t>
  </si>
  <si>
    <t>2020-02-19T12:47:00.000+05:30</t>
  </si>
  <si>
    <t>22.5541134 88.3867416 -42.099998474121094 5.0</t>
  </si>
  <si>
    <t>Sample collected by Somnath Sarkar, FB at PL1026 site</t>
  </si>
  <si>
    <t>Sample with PLc1082, Red Colony Count: Undiluted volume tested 100 ml - 00</t>
  </si>
  <si>
    <t>551f943e-e78d-49c1-a394-2602665e8965</t>
  </si>
  <si>
    <t>2020-02-19T09:26:55</t>
  </si>
  <si>
    <t>cd02b04c-f075-4e60-933d-74887e89d456</t>
  </si>
  <si>
    <t>2019-11-25T05:42:25</t>
  </si>
  <si>
    <t>2020-02-19T12:59:41.886+05:30</t>
  </si>
  <si>
    <t>2020-02-19T14:56:13.395+05:30</t>
  </si>
  <si>
    <t>2019-11-25T11:15:09.000-07:00</t>
  </si>
  <si>
    <t>2019-11-25T11:16:48.000-07:00</t>
  </si>
  <si>
    <t>2020-02-19T13:00:00.000+05:30</t>
  </si>
  <si>
    <t>22.5571937 88.3833974 -50.70000076293945 5.0</t>
  </si>
  <si>
    <t>AFTER ENRICHMENT GB124 (1ml=CLEAR,5ml=CLEAR)</t>
  </si>
  <si>
    <t>f8915bd5-3278-4e77-870f-f82d644379b3</t>
  </si>
  <si>
    <t>2019-08-05T07:32:57</t>
  </si>
  <si>
    <t>2019-08-05T13:02:27.000-07:00</t>
  </si>
  <si>
    <t>Red colony count: 1:10^4 - 156; 1:10^5 - 14; 1:10^6 - 04, Each sample vol tested 1ml</t>
  </si>
  <si>
    <t>b6289e0d-a8a5-44df-b1ce-63eb7be63602</t>
  </si>
  <si>
    <t>2020-02-19T09:26:59</t>
  </si>
  <si>
    <t>2019-08-05T13:10:42.000-07:00</t>
  </si>
  <si>
    <t>2020-02-19T13:13:36.485+05:30</t>
  </si>
  <si>
    <t>3f664446-af83-429a-af81-f61182c36094</t>
  </si>
  <si>
    <t>2020-02-19T14:54:36.991+05:30</t>
  </si>
  <si>
    <t>2019-11-25T05:44:04</t>
  </si>
  <si>
    <t>2020-02-19T13:14:00.000+05:30</t>
  </si>
  <si>
    <t>22.5572014 88.3833502 -52.900001525878906 5.0</t>
  </si>
  <si>
    <t>2019-11-25T11:19:38.000-07:00</t>
  </si>
  <si>
    <t>Sample collected by Biplab Jash, FB at PL1027 site</t>
  </si>
  <si>
    <t>1eeda309-1318-40ae-a667-fe363e186961</t>
  </si>
  <si>
    <t>2020-02-19T09:27:01</t>
  </si>
  <si>
    <t>2020-02-19T11:57:25.307+05:30</t>
  </si>
  <si>
    <t>2020-02-20T15:20:47.334+05:30</t>
  </si>
  <si>
    <t>2020-02-19T11:59:00.000+05:30</t>
  </si>
  <si>
    <t>22.5362158 88.3749347 -47.79999923706055 4.5</t>
  </si>
  <si>
    <t>Sample with PLc1083, Red Colony Count: Undiluted volume tested 100 ml - 00</t>
  </si>
  <si>
    <t>d916dc9c-de5e-4741-afce-5e6652416070</t>
  </si>
  <si>
    <t>2019-11-25T05:46:54</t>
  </si>
  <si>
    <t>2019-11-25T11:21:15.000-07:00</t>
  </si>
  <si>
    <t>b5875dae-f302-49f5-aa0e-7b7e508a218d</t>
  </si>
  <si>
    <t>2020-02-20T09:51:07</t>
  </si>
  <si>
    <t>2020-02-20T11:19:49.649+05:30</t>
  </si>
  <si>
    <t>2020-02-20T15:20:26.161+05:30</t>
  </si>
  <si>
    <t>2020-02-20T11:24:00.000+05:30</t>
  </si>
  <si>
    <t>22.4742567 88.3927587 -74.0999984741211 5.0</t>
  </si>
  <si>
    <t>a4a828bc-8d29-4873-acb2-683bd4900cea</t>
  </si>
  <si>
    <t>2019-08-05T07:41:13</t>
  </si>
  <si>
    <t>2019-08-05T13:17:03.000-07:00</t>
  </si>
  <si>
    <t>Red colony count: 1:10^4 -168; 1:10^5 - 21; 1:10^6 - 07, Each sample vol tested 1ml</t>
  </si>
  <si>
    <t>Sample collected by Subhankar Mondal, KMC Ward No 110</t>
  </si>
  <si>
    <t>e2b3ad46-1445-41ad-8412-ab2b2d20fe83</t>
  </si>
  <si>
    <t>2020-02-20T09:51:10</t>
  </si>
  <si>
    <t>9564d54a-28ac-408f-8fd5-eb5ab5bcebec</t>
  </si>
  <si>
    <t>2020-02-20T11:32:27.894+05:30</t>
  </si>
  <si>
    <t>2020-02-20T15:19:54.956+05:30</t>
  </si>
  <si>
    <t>2019-11-25T05:48:32</t>
  </si>
  <si>
    <t>2019-11-25T11:22:29.000-07:00</t>
  </si>
  <si>
    <t>2020-02-20T11:33:00.000+05:30</t>
  </si>
  <si>
    <t>22.4742442 88.3927737 -55.099998474121094 5.0</t>
  </si>
  <si>
    <t>Sample collected by Suvankar Mandal, FB at MO1189 site</t>
  </si>
  <si>
    <t>Sample with PLc1084, Red Colony Count: Undiluted volume tested 100 ml - 00</t>
  </si>
  <si>
    <t>d3d85062-2b9b-4ff0-a716-8445bc890a2c</t>
  </si>
  <si>
    <t>2020-02-20T09:51:12</t>
  </si>
  <si>
    <t>2020-02-20T12:16:27.548+05:30</t>
  </si>
  <si>
    <t>2020-02-20T15:20:20.613+05:30</t>
  </si>
  <si>
    <t>9632d0ac-307a-4f61-97ad-b8a895170c85</t>
  </si>
  <si>
    <t>2019-11-25T05:49:46</t>
  </si>
  <si>
    <t>2020-02-20T12:18:00.000+05:30</t>
  </si>
  <si>
    <t>22.4956147 88.3915216 -51.599998474121094 5.0</t>
  </si>
  <si>
    <t>2019-11-25T11:24:36.000-07:00</t>
  </si>
  <si>
    <t>Sample collected by Buddhadeb Samaddar, KMC Ward No 104</t>
  </si>
  <si>
    <t>97f0b151-733b-4e6a-ae62-ecca3f042f23</t>
  </si>
  <si>
    <t>2020-02-20T09:51:16</t>
  </si>
  <si>
    <t>7238a1be-9f45-495e-afb5-94f5187247b2</t>
  </si>
  <si>
    <t>2020-02-20T12:21:53.685+05:30</t>
  </si>
  <si>
    <t>2019-08-05T07:47:35</t>
  </si>
  <si>
    <t>2020-02-20T15:19:59.410+05:30</t>
  </si>
  <si>
    <t>2019-08-16T10:57:04.000-07:00</t>
  </si>
  <si>
    <t>2019-08-16T11:19:10.000-07:00</t>
  </si>
  <si>
    <t>2020-02-20T12:23:00.000+05:30</t>
  </si>
  <si>
    <t>22.4955309 88.3915539 -43.099998474121094 4.0</t>
  </si>
  <si>
    <t>2019-08-08T16:30:00.000-07:00</t>
  </si>
  <si>
    <t>c053b539-95cc-46e2-bfdc-d00fa53dfd6f</t>
  </si>
  <si>
    <t>2019-08-08T17:30:00.000-07:00</t>
  </si>
  <si>
    <t>2019-11-25T05:51:52</t>
  </si>
  <si>
    <t>2019-08-09T17:30:00.000-07:00</t>
  </si>
  <si>
    <t>Sample collected by Buddhadeb Samaddar, FB at MO1188 site</t>
  </si>
  <si>
    <t>Subhankar Mondal</t>
  </si>
  <si>
    <t>2019-11-25T11:26:21.000-07:00</t>
  </si>
  <si>
    <t>526d9426-11a1-4994-a653-58f6aa40a2f1</t>
  </si>
  <si>
    <t>2020-02-20T09:51:20</t>
  </si>
  <si>
    <t>2020-02-20T12:50:17.517+05:30</t>
  </si>
  <si>
    <t>2020-02-20T15:20:31.503+05:30</t>
  </si>
  <si>
    <t>2019-11-19T12:50:00.000-07:00</t>
  </si>
  <si>
    <t>2019-11-19T14:20:00.000-07:00</t>
  </si>
  <si>
    <t>2019-11-19T15:15:00.000-07:00</t>
  </si>
  <si>
    <t>2019-11-20T15:15:00.000-07:00</t>
  </si>
  <si>
    <t>2020-02-20T12:51:00.000+05:30</t>
  </si>
  <si>
    <t>22.5346613 88.3959272 -30.700000762939453 5.0</t>
  </si>
  <si>
    <t>2019-08-08T16:00:00.000-07:00</t>
  </si>
  <si>
    <t>2019-08-09T16:00:00.000-07:00</t>
  </si>
  <si>
    <t>Red colony count: 1:10^4 -50; 1:10^5 - 5; 1:10^6 - 04, Each sample vol tested 1ml</t>
  </si>
  <si>
    <t>0716a63e-717e-46be-901b-aa484b6bd424</t>
  </si>
  <si>
    <t>2019-11-25T05:53:37</t>
  </si>
  <si>
    <t>43a65fea-5284-4533-8715-a4016698b8a6</t>
  </si>
  <si>
    <t>2020-02-20T09:51:23</t>
  </si>
  <si>
    <t>2020-02-20T12:53:34.521+05:30</t>
  </si>
  <si>
    <t>2020-02-20T15:20:04.066+05:30</t>
  </si>
  <si>
    <t>2019-11-25T11:28:01.000-07:00</t>
  </si>
  <si>
    <t>2020-02-20T12:54:00.000+05:30</t>
  </si>
  <si>
    <t>2019-11-19T13:25:00.000-07:00</t>
  </si>
  <si>
    <t>22.5346728 88.3959119 -44.70000076293945 5.0</t>
  </si>
  <si>
    <t>2019-11-19T13:50:00.000-07:00</t>
  </si>
  <si>
    <t>WITH OUT ENRICHMENT WG5(1ml=CLEAR), ENRICHMENT GB124(1ml=CLEAR,5ml=CLEAR)</t>
  </si>
  <si>
    <t>2019-11-20T13:50:00.000-07:00</t>
  </si>
  <si>
    <t>4f1f0fed-fb07-4c5b-a93c-7c93bb053b83</t>
  </si>
  <si>
    <t>2019-08-16T05:49:43</t>
  </si>
  <si>
    <t>2019-08-16T11:19:11.000-07:00</t>
  </si>
  <si>
    <t>Sample collected by Suvankar Mandal, FB at MO1190 site</t>
  </si>
  <si>
    <t>2019-08-16T11:45:47.000-07:00</t>
  </si>
  <si>
    <t>3922b533-9e23-4d56-9307-66713598ff22</t>
  </si>
  <si>
    <t>Sample with PLc1085, Red Colony Count: Undiluted volume tested 100 ml - 00</t>
  </si>
  <si>
    <t>2020-02-20T09:51:25</t>
  </si>
  <si>
    <t>2020-02-20T13:02:48.464+05:30</t>
  </si>
  <si>
    <t>2020-02-20T15:20:36.760+05:30</t>
  </si>
  <si>
    <t>1c2bbb9f-6436-4448-bf8e-511285a92442</t>
  </si>
  <si>
    <t>2019-11-25T05:55:16</t>
  </si>
  <si>
    <t>2020-02-20T13:09:00.000+05:30</t>
  </si>
  <si>
    <t>22.5400738 88.3872291 -26.100000381469727 5.0</t>
  </si>
  <si>
    <t>2019-11-25T11:30:57.000-07:00</t>
  </si>
  <si>
    <t>64cfe9ad-0271-435d-a47e-76eb418ec415</t>
  </si>
  <si>
    <t>2020-02-20T09:51:28</t>
  </si>
  <si>
    <t>2020-02-20T13:13:10.346+05:30</t>
  </si>
  <si>
    <t>Red colony count: 1:10^4 - TNTC; 1:10^5 - 210; 1:10^6 - 46, Each sample vol tested 1ml</t>
  </si>
  <si>
    <t>2020-02-20T15:20:08.555+05:30</t>
  </si>
  <si>
    <t>d4ff3032-0d87-47f8-bf95-eba5f1324776</t>
  </si>
  <si>
    <t>2019-11-25T05:58:13</t>
  </si>
  <si>
    <t>2019-08-08T16:20:00.000-07:00</t>
  </si>
  <si>
    <t>2019-08-09T16:20:00.000-07:00</t>
  </si>
  <si>
    <t>2020-02-20T13:14:00.000+05:30</t>
  </si>
  <si>
    <t>22.5400882 88.3872552 -51.70000076293945 4.5</t>
  </si>
  <si>
    <t>2019-11-25T11:32:14.000-07:00</t>
  </si>
  <si>
    <t>2019-11-19T13:30:00.000-07:00</t>
  </si>
  <si>
    <t>2019-11-19T13:55:00.000-07:00</t>
  </si>
  <si>
    <t>2019-11-20T13:55:00.000-07:00</t>
  </si>
  <si>
    <t>Sample collected by Suvankar Mandal, FB at MO1191 site</t>
  </si>
  <si>
    <t>7a13c29e-3ca2-4b16-aa13-39ad14c5f9bf</t>
  </si>
  <si>
    <t>2020-02-20T09:51:31</t>
  </si>
  <si>
    <t>2020-02-20T13:34:00.726+05:30</t>
  </si>
  <si>
    <t>FOR ENRISHMENT WG5(1ml=CLEAR), ENRICHMENT GB124(1ml-CLEAR,5ml=CLEAR)</t>
  </si>
  <si>
    <t>2020-02-20T15:20:14.570+05:30</t>
  </si>
  <si>
    <t>494d6dcd-34f5-463e-9883-ac137cba4c48</t>
  </si>
  <si>
    <t>2019-08-16T06:16:20</t>
  </si>
  <si>
    <t>Sample with PLc1086, Red Colony Count: Undiluted volume tested 100 ml - 00</t>
  </si>
  <si>
    <t>2020-02-20T13:35:00.000+05:30</t>
  </si>
  <si>
    <t>2019-08-16T11:45:48.000-07:00</t>
  </si>
  <si>
    <t>22.5362239 88.3746683 -36.599998474121094 5.0</t>
  </si>
  <si>
    <t>6c867a83-d41e-4d6f-9edd-eea4ae3d0e31</t>
  </si>
  <si>
    <t>2019-11-25T05:59:31</t>
  </si>
  <si>
    <t>2019-08-16T11:54:09.000-07:00</t>
  </si>
  <si>
    <t>2019-11-25T11:32:15.000-07:00</t>
  </si>
  <si>
    <t>2019-11-25T11:34:02.000-07:00</t>
  </si>
  <si>
    <t>Sample collected by Buddhadeb Samaddar, FB at MO1192 site</t>
  </si>
  <si>
    <t>91472d41-6b38-482f-94fd-fe9ca717926a</t>
  </si>
  <si>
    <t>2020-02-20T09:51:34</t>
  </si>
  <si>
    <t>2020-02-20T13:40:00.027+05:30</t>
  </si>
  <si>
    <t>2020-02-20T15:20:41.927+05:30</t>
  </si>
  <si>
    <t>2020-02-20T13:26:00.000+05:30</t>
  </si>
  <si>
    <t>22.536118 88.374925 50.20000076293945 5.0</t>
  </si>
  <si>
    <t>fef87c18-3b54-4163-9bd5-9c251e7f289d</t>
  </si>
  <si>
    <t>2020-02-20T09:51:37</t>
  </si>
  <si>
    <t>2020-02-20T12:06:39.923+05:30</t>
  </si>
  <si>
    <t>2020-02-20T15:23:55.544+05:30</t>
  </si>
  <si>
    <t>Red colony count: 1:10^4 - 01; 1:10^5 - 00; 1:10^6 - 00, Each sample vol tested 1ml</t>
  </si>
  <si>
    <t>2020-02-20T12:08:00.000+05:30</t>
  </si>
  <si>
    <t>114fdd59-4fb6-4cc6-bc3e-fb7a36d681d8</t>
  </si>
  <si>
    <t>22.5453698 88.3808896 -67.30000305175781 5.0</t>
  </si>
  <si>
    <t>2019-11-25T06:01:18</t>
  </si>
  <si>
    <t>2019-11-25T11:35:32.000-07:00</t>
  </si>
  <si>
    <t>FOR ENRICHMENT WG5(1ml=CLEAR) ENRICHMENT GB124(1ml=CLEAR, 5ml=CLEAR)</t>
  </si>
  <si>
    <t>2b387de9-3b47-4f52-a868-112f4af51ed5</t>
  </si>
  <si>
    <t>30c2c51d-1f3d-4515-9623-d25c1f66333f</t>
  </si>
  <si>
    <t>2019-08-16T06:24:42</t>
  </si>
  <si>
    <t>2020-02-20T09:54:34</t>
  </si>
  <si>
    <t>2020-02-20T12:14:28.743+05:30</t>
  </si>
  <si>
    <t>2019-08-16T11:54:10.000-07:00</t>
  </si>
  <si>
    <t>2020-02-20T15:23:41.988+05:30</t>
  </si>
  <si>
    <t>2019-08-16T12:02:05.000-07:00</t>
  </si>
  <si>
    <t>2020-02-20T12:15:00.000+05:30</t>
  </si>
  <si>
    <t>22.5454912 88.3810515 -42.20000076293945 5.0</t>
  </si>
  <si>
    <t>Sample with PLc1087, Red Colony Count: Undiluted volume tested 100 ml - 00</t>
  </si>
  <si>
    <t>50db33b5-7b3c-4e9c-b10f-ec394627b96e</t>
  </si>
  <si>
    <t>2019-11-25T06:02:48</t>
  </si>
  <si>
    <t>Sample collected by Somnath Sarkar, FB at PLc1204 site</t>
  </si>
  <si>
    <t>c19e945e-fea7-445f-9d97-f9cfa4c6fbfa</t>
  </si>
  <si>
    <t>2020-02-20T09:54:37</t>
  </si>
  <si>
    <t>2019-11-25T11:36:52.000-07:00</t>
  </si>
  <si>
    <t>2020-02-20T12:34:41.441+05:30</t>
  </si>
  <si>
    <t>2020-02-20T15:24:00.302+05:30</t>
  </si>
  <si>
    <t>2019-11-19T14:00:00.000-07:00</t>
  </si>
  <si>
    <t>2019-11-20T14:00:00.000-07:00</t>
  </si>
  <si>
    <t>2020-02-20T12:35:00.000+05:30</t>
  </si>
  <si>
    <t>22.5407558 88.3743278 -41.099998474121094 5.0</t>
  </si>
  <si>
    <t>Sample with MO1118, Red Colony Count: Undiluted volume tested 100 ml - 00</t>
  </si>
  <si>
    <t>668e37e9-c462-4d45-b005-c80127a043b0</t>
  </si>
  <si>
    <t>2019-11-25T06:04:08</t>
  </si>
  <si>
    <t>2019-11-25T11:38:08.000-07:00</t>
  </si>
  <si>
    <t>23028589-64dd-40df-90cd-35fbb2e47af8</t>
  </si>
  <si>
    <t>2020-02-20T09:54:40</t>
  </si>
  <si>
    <t>2020-02-20T12:39:02.875+05:30</t>
  </si>
  <si>
    <t>2020-02-20T15:23:46.342+05:30</t>
  </si>
  <si>
    <t>ENRICHMENT WG5(1ml=CLEAR), ENRICHMENT GB124(1ml=CLEAR,5ml=CLEAR)</t>
  </si>
  <si>
    <t>6076f74a-017e-4fca-abd0-9fae1f545ee7</t>
  </si>
  <si>
    <t>Sample with MO1119, Red Colony Count: Undiluted volume tested 100 ml - 00</t>
  </si>
  <si>
    <t>2020-02-20T12:44:00.000+05:30</t>
  </si>
  <si>
    <t>2019-08-16T06:32:38</t>
  </si>
  <si>
    <t>22.540773 88.3743926 -48.400001525878906 5.0</t>
  </si>
  <si>
    <t>2019-08-16T12:02:06.000-07:00</t>
  </si>
  <si>
    <t>7252cdd2-6722-48eb-bfba-5cf5aa7bd0fb</t>
  </si>
  <si>
    <t>2019-11-25T06:05:23</t>
  </si>
  <si>
    <t>2019-08-16T12:17:20.000-07:00</t>
  </si>
  <si>
    <t>2019-11-25T11:39:12.000-07:00</t>
  </si>
  <si>
    <t>Sample collected by Biplab Jash, FB at PLc1205 site</t>
  </si>
  <si>
    <t>c8e00233-4177-4ddc-81dc-1791f27516b0</t>
  </si>
  <si>
    <t>2020-02-20T09:54:43</t>
  </si>
  <si>
    <t>2020-02-20T13:07:29.850+05:30</t>
  </si>
  <si>
    <t>2020-02-20T15:24:05.531+05:30</t>
  </si>
  <si>
    <t>eb271cb1-2b39-4545-9d7d-0844e18394b3</t>
  </si>
  <si>
    <t>2019-11-25T06:06:28</t>
  </si>
  <si>
    <t>2019-11-25T11:43:19.000-07:00</t>
  </si>
  <si>
    <t>2020-02-20T13:08:00.000+05:30</t>
  </si>
  <si>
    <t>2019-11-20T13:15:00.000-07:00</t>
  </si>
  <si>
    <t>22.5416496 88.3750049 -28.399999618530273 5.0</t>
  </si>
  <si>
    <t>2019-11-20T15:00:00.000-07:00</t>
  </si>
  <si>
    <t>2019-11-20T16:15:00.000-07:00</t>
  </si>
  <si>
    <t>2019-11-21T16:15:00.000-07:00</t>
  </si>
  <si>
    <t>Blue Colony Count: 1:10^6 - 00 vol tested 1ml, Red colony count: 1:10^3 - 196, 1:10^4 -58; 1:10^5 - 03; 1:10^6 - 00, Each sample vol tested 1ml</t>
  </si>
  <si>
    <t>e7478256-9552-4290-85e1-42b854e474b2</t>
  </si>
  <si>
    <t>2019-11-25T06:10:34</t>
  </si>
  <si>
    <t>1db5890a-e32d-408c-8a97-ba1a9c404b58</t>
  </si>
  <si>
    <t>2019-11-25T11:43:20.000-07:00</t>
  </si>
  <si>
    <t>2020-02-20T09:54:46</t>
  </si>
  <si>
    <t>2020-02-20T13:12:07.185+05:30</t>
  </si>
  <si>
    <t>2020-02-20T15:23:50.705+05:30</t>
  </si>
  <si>
    <t>2019-11-25T11:45:30.000-07:00</t>
  </si>
  <si>
    <t>2020-02-20T13:18:00.000+05:30</t>
  </si>
  <si>
    <t>22.541573 88.374956 -26.600000381469727 5.0</t>
  </si>
  <si>
    <t>Red colony count: 1:10^1 - TNTC; 1:10^2 - 69; 1:10^3 - 06, Each sample vol tested 1ml</t>
  </si>
  <si>
    <t>ENRICHMENT GB124(5ml=CLEAR)</t>
  </si>
  <si>
    <t>2;3</t>
  </si>
  <si>
    <t>717de0d0-6f5c-4018-a863-5dae6ee0003f</t>
  </si>
  <si>
    <t>2019-11-25T06:12:47</t>
  </si>
  <si>
    <t>401aef91-0ca5-4fe7-aa55-84fd5cb0bd99</t>
  </si>
  <si>
    <t>Sample collected by Somnath Sarkar, FB at PLc1206 site</t>
  </si>
  <si>
    <t>2019-08-16T06:47:52</t>
  </si>
  <si>
    <t>2019-11-25T11:47:19.000-07:00</t>
  </si>
  <si>
    <t>2019-08-16T12:17:21.000-07:00</t>
  </si>
  <si>
    <t>c5fa3d65-5c12-4a28-8cf5-403adb79107e</t>
  </si>
  <si>
    <t>2020-02-20T09:54:49</t>
  </si>
  <si>
    <t>2020-02-24T11:13:25.028+05:30</t>
  </si>
  <si>
    <t>2020-02-24T13:52:51.545+05:30</t>
  </si>
  <si>
    <t>2019-08-16T12:22:01.000-07:00</t>
  </si>
  <si>
    <t>2019-11-20T16:28:00.000-07:00</t>
  </si>
  <si>
    <t>2019-11-21T16:28:00.000-07:00</t>
  </si>
  <si>
    <t>K26037</t>
  </si>
  <si>
    <t>Coa9901</t>
  </si>
  <si>
    <t>2020-02-24T11:15:00.000+05:30</t>
  </si>
  <si>
    <t>22.5415116 88.3760111 -55.0 4.5</t>
  </si>
  <si>
    <t>Red colony count: 1:10^1 - 78; 1:10^2 - 12; 1:10^2 - 01, Each sample vol tested 1ml</t>
  </si>
  <si>
    <t>39202326-971a-4a01-aac9-e696cb134935</t>
  </si>
  <si>
    <t>2019-11-25T06:14:36</t>
  </si>
  <si>
    <t>2019-11-25T11:48:52.000-07:00</t>
  </si>
  <si>
    <t>cbc3acdd-c8d3-438c-8b1d-f590d08dfa08</t>
  </si>
  <si>
    <t>2020-02-24T08:23:18</t>
  </si>
  <si>
    <t>2020-02-24T11:26:24.061+05:30</t>
  </si>
  <si>
    <t>2020-02-24T13:52:28.712+05:30</t>
  </si>
  <si>
    <t>2020-02-24T11:26:00.000+05:30</t>
  </si>
  <si>
    <t>Red colony count: 1:10^1 - 26; 1:10^2 - 02; 1:10^3 - 00, Each sample vol tested 1ml</t>
  </si>
  <si>
    <t>22.5414893 88.3758479 -57.29999923706055 5.0</t>
  </si>
  <si>
    <t>13bb01ae-b05c-4096-82f9-2173972c49c1</t>
  </si>
  <si>
    <t>2019-11-25T06:16:09</t>
  </si>
  <si>
    <t>2019-11-25T11:48:53.000-07:00</t>
  </si>
  <si>
    <t>2019-11-25T11:50:46.000-07:00</t>
  </si>
  <si>
    <t>2019-11-20T16:30:00.000-07:00</t>
  </si>
  <si>
    <t>2019-11-21T16:30:00.000-07:00</t>
  </si>
  <si>
    <t>Sample collected by Somnath Sarkar, FB at PLc1207 site</t>
  </si>
  <si>
    <t>d08aeaaf-3523-4c18-9d86-9d2f65453479</t>
  </si>
  <si>
    <t>2020-02-24T08:23:21</t>
  </si>
  <si>
    <t>Red colony count: 1:10^1 - 30; 1:10^2 - 03; 1:10^3 - 00, Each sample vol tested 1ml</t>
  </si>
  <si>
    <t>9e1ba761-5e6b-4c2d-a370-c191875c9a4d</t>
  </si>
  <si>
    <t>4aaecc65-35d6-4fdb-af48-9028c68a0b7f</t>
  </si>
  <si>
    <t>2019-08-16T06:52:34</t>
  </si>
  <si>
    <t>2019-11-25T06:18:02</t>
  </si>
  <si>
    <t>2020-02-24T11:34:45.224+05:30</t>
  </si>
  <si>
    <t>2020-02-24T13:52:55.941+05:30</t>
  </si>
  <si>
    <t>2019-08-16T12:22:02.000-07:00</t>
  </si>
  <si>
    <t>2019-11-25T11:52:18.000-07:00</t>
  </si>
  <si>
    <t>2019-08-16T12:25:23.000-07:00</t>
  </si>
  <si>
    <t>2020-02-24T11:35:00.000+05:30</t>
  </si>
  <si>
    <t>Cob9901</t>
  </si>
  <si>
    <t>2019-11-20T14:20:00.000-07:00</t>
  </si>
  <si>
    <t>22.5408417 88.3743654 -56.5 5.0</t>
  </si>
  <si>
    <t>2019-11-21T14:20:00.000-07:00</t>
  </si>
  <si>
    <t>Sample with COa1007, COb1020, COb1021, COb1022, Red Colony Count: Undiluted volume tested 100 ml - 00</t>
  </si>
  <si>
    <t>8f20da2b-85ea-41bd-bbc1-b6eb9244e8fe</t>
  </si>
  <si>
    <t>2019-11-25T06:19:34</t>
  </si>
  <si>
    <t>470478e2-cfa9-4a8f-aa38-2d0f4e679028</t>
  </si>
  <si>
    <t>2020-02-24T08:23:24</t>
  </si>
  <si>
    <t>2019-11-25T11:53:21.000-07:00</t>
  </si>
  <si>
    <t>2020-02-24T11:36:12.457+05:30</t>
  </si>
  <si>
    <t>2020-02-24T13:52:33.754+05:30</t>
  </si>
  <si>
    <t>2020-02-24T11:42:00.000+05:30</t>
  </si>
  <si>
    <t>22.5408684 88.3743852 -42.70000076293945 5.0</t>
  </si>
  <si>
    <t>07510506-f95e-4045-9c4d-06026b254e0b</t>
  </si>
  <si>
    <t>2019-11-25T06:20:36</t>
  </si>
  <si>
    <t>2019-11-25T11:53:22.000-07:00</t>
  </si>
  <si>
    <t>Sample collected by Buddhadeb Samaddar, FB at PLc1208 site</t>
  </si>
  <si>
    <t>2019-11-25T11:55:16.000-07:00</t>
  </si>
  <si>
    <t>f86b9b10-84f2-4752-b400-812fbf30be63</t>
  </si>
  <si>
    <t>2020-02-24T08:23:26</t>
  </si>
  <si>
    <t>2019-11-21T13:05:00.000-07:00</t>
  </si>
  <si>
    <t>2020-02-24T11:50:21.090+05:30</t>
  </si>
  <si>
    <t>2019-11-21T15:20:00.000-07:00</t>
  </si>
  <si>
    <t>2020-02-24T13:53:00.371+05:30</t>
  </si>
  <si>
    <t>2019-11-21T16:10:00.000-07:00</t>
  </si>
  <si>
    <t>2019-11-22T16:10:00.000-07:00</t>
  </si>
  <si>
    <t>2020-02-24T11:50:00.000+05:30</t>
  </si>
  <si>
    <t>d78be432-84d5-40d3-9bba-53ad9138d9fe</t>
  </si>
  <si>
    <t>22.5414972 88.3750801 -52.79999923706055 5.0</t>
  </si>
  <si>
    <t>2019-08-16T06:55:57</t>
  </si>
  <si>
    <t>2019-08-16T12:25:25.000-07:00</t>
  </si>
  <si>
    <t>Red colony count: 1:10^4 - 110; 1:10^5 - 19; 1:10^6 - 03, Each sample vol tested 1ml</t>
  </si>
  <si>
    <t>2f5901fb-5daf-461f-aa6d-9e598e6f4eb4</t>
  </si>
  <si>
    <t>2019-08-16T12:29:17.000-07:00</t>
  </si>
  <si>
    <t>2019-11-25T06:22:33</t>
  </si>
  <si>
    <t>2019-11-25T11:55:17.000-07:00</t>
  </si>
  <si>
    <t>Coa9902</t>
  </si>
  <si>
    <t>2019-11-25T11:56:25.000-07:00</t>
  </si>
  <si>
    <t>a026c8db-eb18-4735-9057-22faab90c3d1</t>
  </si>
  <si>
    <t>2020-02-24T08:23:29</t>
  </si>
  <si>
    <t>2020-02-24T11:56:56.640+05:30</t>
  </si>
  <si>
    <t>2020-02-24T13:52:37.982+05:30</t>
  </si>
  <si>
    <t>2019-11-21T14:00:00.000-07:00</t>
  </si>
  <si>
    <t>2019-11-21T14:25:00.000-07:00</t>
  </si>
  <si>
    <t>2019-11-22T14:25:00.000-07:00</t>
  </si>
  <si>
    <t>2020-02-24T11:57:00.000+05:30</t>
  </si>
  <si>
    <t>22.5416523 88.3750187 -31.600000381469727 5.0</t>
  </si>
  <si>
    <t>Sample with PLc1088, Red Colony Count: Undiluted volume tested 100 ml - 00</t>
  </si>
  <si>
    <t>41bbce8b-1933-4273-8567-56a5cb43bda9</t>
  </si>
  <si>
    <t>2019-11-25T06:23:42</t>
  </si>
  <si>
    <t>2019-11-25T11:56:26.000-07:00</t>
  </si>
  <si>
    <t>2019-11-25T11:58:26.000-07:00</t>
  </si>
  <si>
    <t>Sample collected by Buddhadeb Samaddar, FB at PLc1209 site</t>
  </si>
  <si>
    <t>b15498b1-af3d-434f-955b-80375c02fa53</t>
  </si>
  <si>
    <t>2020-02-24T08:23:31</t>
  </si>
  <si>
    <t>2020-02-24T12:06:10.774+05:30</t>
  </si>
  <si>
    <t>2020-02-24T13:53:05.166+05:30</t>
  </si>
  <si>
    <t>62233ef0-4d41-4298-b273-d8e8ee1ac7af</t>
  </si>
  <si>
    <t>2019-08-16T06:59:51</t>
  </si>
  <si>
    <t>Red colony count: 1:10^4 - 33; 1:10^5 - 02; 1:10^6 - 00, Each sample vol tested 1ml</t>
  </si>
  <si>
    <t>2019-08-16T12:29:18.000-07:00</t>
  </si>
  <si>
    <t>2020-02-24T12:06:00.000+05:30</t>
  </si>
  <si>
    <t>22.5414916 88.3753442 -46.79999923706055 5.0</t>
  </si>
  <si>
    <t>2019-08-16T12:32:49.000-07:00</t>
  </si>
  <si>
    <t>564fce28-2abb-4512-ae6b-4137e24966dc</t>
  </si>
  <si>
    <t>2019-11-25T06:25:42</t>
  </si>
  <si>
    <t>Cob9902</t>
  </si>
  <si>
    <t>2019-11-25T11:59:44.000-07:00</t>
  </si>
  <si>
    <t>8cefe48d-5b4f-407d-9c08-46ebcb46f042</t>
  </si>
  <si>
    <t>2020-02-24T08:23:37</t>
  </si>
  <si>
    <t>2020-02-24T12:08:50.702+05:30</t>
  </si>
  <si>
    <t>2020-02-24T13:52:42.091+05:30</t>
  </si>
  <si>
    <t>Sample with PLc1089, Red Colony Count: Undiluted volume tested 100 ml - 00</t>
  </si>
  <si>
    <t>087d8604-8f7d-4f5a-a58b-280c08800030</t>
  </si>
  <si>
    <t>2019-11-25T06:27:01</t>
  </si>
  <si>
    <t>2019-11-25T12:01:47.000-07:00</t>
  </si>
  <si>
    <t>2020-02-24T12:13:00.000+05:30</t>
  </si>
  <si>
    <t>22.5415721 88.3753247 -43.900001525878906 5.0</t>
  </si>
  <si>
    <t>Red colony count: 1:10^4 - 30; 1:10^5 - 03; 1:10^6 - 00, Each sample vol tested 1ml</t>
  </si>
  <si>
    <t>3da14455-541b-4d45-bc04-87190aebb39a</t>
  </si>
  <si>
    <t>2019-11-25T06:29:05</t>
  </si>
  <si>
    <t>2019-11-25T12:01:48.000-07:00</t>
  </si>
  <si>
    <t>2019-11-25T12:03:23.000-07:00</t>
  </si>
  <si>
    <t>Sample collected by Debabrata Maity, FB at PLc1210 site</t>
  </si>
  <si>
    <t>9dac322a-db16-43f8-8ada-e969603cb926</t>
  </si>
  <si>
    <t>2019-08-16T07:03:22</t>
  </si>
  <si>
    <t>cf33a364-7565-452c-bd0c-85a3f67eeefd</t>
  </si>
  <si>
    <t>2020-02-24T08:23:40</t>
  </si>
  <si>
    <t>2019-08-26T03:45:47.000+06:30</t>
  </si>
  <si>
    <t>2020-02-24T12:18:34.742+05:30</t>
  </si>
  <si>
    <t>2020-02-24T13:53:09.632+05:30</t>
  </si>
  <si>
    <t>2019-08-26T04:02:12.000+06:30</t>
  </si>
  <si>
    <t>Sample with PLc1090, Red Colony Count: Undiluted volume tested 100 ml - 00</t>
  </si>
  <si>
    <t>e541ab1e-59e6-48fd-8e5f-f70544f15a53</t>
  </si>
  <si>
    <t>2019-11-25T06:30:38</t>
  </si>
  <si>
    <t>2019-08-20T16:00:00.000+06:30</t>
  </si>
  <si>
    <t>2019-08-20T17:30:00.000+06:30</t>
  </si>
  <si>
    <t>2019-11-25T12:05:14.000-07:00</t>
  </si>
  <si>
    <t>2019-08-21T17:30:00.000+06:30</t>
  </si>
  <si>
    <t>2020-02-24T12:19:00.000+05:30</t>
  </si>
  <si>
    <t>22.5413584 88.3760472 -55.599998474121094 5.0</t>
  </si>
  <si>
    <t>Red colony count: 1:10^4 - 06; 1:10^5 - 00; 1:10^6 - 00, Each sample vol tested 1ml</t>
  </si>
  <si>
    <t>33dce2ac-0622-4066-bccb-21311eea7361</t>
  </si>
  <si>
    <t>2019-11-25T06:32:31</t>
  </si>
  <si>
    <t>2019-11-25T12:05:15.000-07:00</t>
  </si>
  <si>
    <t>2019-11-25T12:07:00.000-07:00</t>
  </si>
  <si>
    <t>2019-08-21T16:30:00.000+06:30</t>
  </si>
  <si>
    <t>2019-08-22T16:30:00.000+06:30</t>
  </si>
  <si>
    <t>565ac432-7c06-4d0f-aed7-3c14ff2cf102</t>
  </si>
  <si>
    <t>2020-02-24T08:23:43</t>
  </si>
  <si>
    <t>2020-02-24T12:22:21.541+05:30</t>
  </si>
  <si>
    <t>2020-02-24T13:52:46.974+05:30</t>
  </si>
  <si>
    <t>Sample with PLc1091, Red Colony Count: Undiluted volume tested 100 ml - 00</t>
  </si>
  <si>
    <t>9f1432b0-ba7d-46b4-a0f3-e5ffd26414d3</t>
  </si>
  <si>
    <t>2019-11-25T06:34:17</t>
  </si>
  <si>
    <t>2019-11-25T12:07:01.000-07:00</t>
  </si>
  <si>
    <t>2020-02-24T12:22:00.000+05:30</t>
  </si>
  <si>
    <t>2019-11-25T12:08:36.000-07:00</t>
  </si>
  <si>
    <t>22.5413757 88.3760331 -65.30000305175781 5.0</t>
  </si>
  <si>
    <t>WITHOUT ENRICHMENT WG5 (1ml=CLEAR),GB124(5ml=CLEAR). WITH ENRICHMENT WG5(1ml=CLEAR)</t>
  </si>
  <si>
    <t>a46fe301-fb40-4997-b925-98692f3639dc</t>
  </si>
  <si>
    <t>2019-08-26T10:30:02</t>
  </si>
  <si>
    <t>Sample with MO1120, Red Colony Count: Undiluted volume tested 100 ml - 00</t>
  </si>
  <si>
    <t>7b11d1ff-81fd-4951-bac9-94be8d7460fb</t>
  </si>
  <si>
    <t>2019-11-25T06:35:52</t>
  </si>
  <si>
    <t>2019-08-26T04:09:49.000+06:30</t>
  </si>
  <si>
    <t>Sample collected by Suvankar Mandal, FB at PLc1211 site</t>
  </si>
  <si>
    <t>2019-11-25T12:08:37.000-07:00</t>
  </si>
  <si>
    <t>2019-11-25T12:14:24.000-07:00</t>
  </si>
  <si>
    <t>dd62fe2e-dab6-4ef8-8040-eb7dfeabac45</t>
  </si>
  <si>
    <t>2020-02-24T08:23:45</t>
  </si>
  <si>
    <t>2020-02-25T11:32:14.366+05:30</t>
  </si>
  <si>
    <t>2020-02-25T13:20:46.289+05:30</t>
  </si>
  <si>
    <t>2020-02-25T11:33:00.000+05:30</t>
  </si>
  <si>
    <t>2d324fc7-799b-4ff4-bd72-3bd9815f5610</t>
  </si>
  <si>
    <t>22.5579457 88.3895737 -30.0 5.0</t>
  </si>
  <si>
    <t>2019-11-25T06:41:41</t>
  </si>
  <si>
    <t>2019-11-25T12:14:25.000-07:00</t>
  </si>
  <si>
    <t>2019-11-25T12:18:04.000-07:00</t>
  </si>
  <si>
    <t>2019-11-22T13:05:00.000-07:00</t>
  </si>
  <si>
    <t>2019-11-22T15:20:00.000-07:00</t>
  </si>
  <si>
    <t>2019-11-23T16:10:00.000-07:00</t>
  </si>
  <si>
    <t>Sample collected by Suvankar Mandal, FB at MO1195 site</t>
  </si>
  <si>
    <t>97df8594-3875-4f43-947c-48e7e607918f</t>
  </si>
  <si>
    <t>2020-02-25T07:51:33</t>
  </si>
  <si>
    <t>2020-02-25T11:51:13.330+05:30</t>
  </si>
  <si>
    <t>2020-02-25T13:21:13.738+05:30</t>
  </si>
  <si>
    <t>2020-02-25T11:52:00.000+05:30</t>
  </si>
  <si>
    <t>Red colony count: 1:10^4 - 00; 1:10^5 - 00; 1:10^6 - 05, Each sample vol tested 1ml</t>
  </si>
  <si>
    <t>22.5635785 88.3773225 -33.0 5.0</t>
  </si>
  <si>
    <t>3b6c4d99-4fa9-4cd1-9f1c-4d300c1f39e8</t>
  </si>
  <si>
    <t>2019-11-25T06:45:20</t>
  </si>
  <si>
    <t>2019-11-25T12:18:05.000-07:00</t>
  </si>
  <si>
    <t>WITH OUT ENRICHMENT WG5(1mL=CLEAR),GB124(5ml=CLEAR). ENRICHMENT GB124(5ml=CLEAR)</t>
  </si>
  <si>
    <t>2019-11-25T12:19:46.000-07:00</t>
  </si>
  <si>
    <t>72193994-3c24-472e-8d51-a32311716eb6</t>
  </si>
  <si>
    <t>2019-08-26T10:37:39</t>
  </si>
  <si>
    <t>2019-11-22T14:00:00.000-07:00</t>
  </si>
  <si>
    <t>4d4850c6-760e-4acb-829e-262763095c03</t>
  </si>
  <si>
    <t>2020-02-25T07:51:36</t>
  </si>
  <si>
    <t>2019-11-23T14:25:00.000-07:00</t>
  </si>
  <si>
    <t>2020-02-25T11:56:03.182+05:30</t>
  </si>
  <si>
    <t>2020-02-25T13:20:50.775+05:30</t>
  </si>
  <si>
    <t>2019-08-26T04:17:56.000+06:30</t>
  </si>
  <si>
    <t>2020-02-25T11:56:00.000+05:30</t>
  </si>
  <si>
    <t>22.563623 88.3772951 -50.5 5.0</t>
  </si>
  <si>
    <t>Sample with PLc1092, Red Colony Count: Undiluted volume tested 100 ml - 00</t>
  </si>
  <si>
    <t>6ade98fd-1ff8-4d43-977c-f10b9b947a54</t>
  </si>
  <si>
    <t>2019-11-25T06:47:03</t>
  </si>
  <si>
    <t>2019-08-20T17:40:00.000+06:30</t>
  </si>
  <si>
    <t>2019-08-21T17:40:00.000+06:30</t>
  </si>
  <si>
    <t>2019-11-25T12:19:47.000-07:00</t>
  </si>
  <si>
    <t>2019-11-25T12:22:44.000-07:00</t>
  </si>
  <si>
    <t>Sample collected by Suvankar Mandal, FB at MO1196 site</t>
  </si>
  <si>
    <t>2019-11-23T16:20:00.000-07:00</t>
  </si>
  <si>
    <t>Asish Saha</t>
  </si>
  <si>
    <t>c23a2289-1115-4027-85ee-ba670b6a3cac</t>
  </si>
  <si>
    <t>2020-02-25T07:51:39</t>
  </si>
  <si>
    <t>2020-02-25T10:35:09.506+05:30</t>
  </si>
  <si>
    <t>2020-02-25T13:20:55.584+05:30</t>
  </si>
  <si>
    <t>Red colony count: 1:10^4 -16; 1:10^5 - 3; 1:10^6 - 01, Each sample vol tested 1ml</t>
  </si>
  <si>
    <t>2020-02-25T10:37:00.000+05:30</t>
  </si>
  <si>
    <t>92160f7b-2810-4fab-934c-7c2d50daef76</t>
  </si>
  <si>
    <t>2019-11-25T06:50:01</t>
  </si>
  <si>
    <t>22.5579197 88.4107422 -21.899999618530273 5.0</t>
  </si>
  <si>
    <t>2019-11-25T12:22:45.000-07:00</t>
  </si>
  <si>
    <t>2019-11-25T12:28:29.000-07:00</t>
  </si>
  <si>
    <t>e2a55187-5264-415f-b394-4c853d78d572</t>
  </si>
  <si>
    <t>2020-02-25T07:52:10</t>
  </si>
  <si>
    <t>Sample with PLc1093, Red Colony Count: Undiluted volume tested 100 ml - 00</t>
  </si>
  <si>
    <t>2020-02-25T10:44:27.387+05:30</t>
  </si>
  <si>
    <t>2020-02-25T13:20:36.736+05:30</t>
  </si>
  <si>
    <t>c09331ad-ae01-482b-b0d8-63fb8ec46290</t>
  </si>
  <si>
    <t>2019-11-25T06:55:45</t>
  </si>
  <si>
    <t>2019-11-25T12:28:30.000-07:00</t>
  </si>
  <si>
    <t>2019-11-25T12:31:56.000-07:00</t>
  </si>
  <si>
    <t>WITH OUT ENRICHMENT GB124 (5ml=CLEAR). WITH ENRICHMENT GB124 (1ml=CLEAR,5ml=CLEAR)</t>
  </si>
  <si>
    <t>2020-02-25T10:45:00.000+05:30</t>
  </si>
  <si>
    <t>22.5579546 88.4108486 -22.799999237060547 5.0</t>
  </si>
  <si>
    <t>6fa41d82-0d95-47ec-8b3f-2fbcabdddb73</t>
  </si>
  <si>
    <t>2019-08-26T10:45:46</t>
  </si>
  <si>
    <t>2019-08-26T04:24:44.000+06:30</t>
  </si>
  <si>
    <t>Sample collected by Suvankar Mandal, FB at MO1193 site</t>
  </si>
  <si>
    <t>Red colony count: 1:10^4 - 00; 1:10^5 - 03; 1:10^6 - 00, Each sample vol tested 1ml</t>
  </si>
  <si>
    <t>62d474b1-1557-47ae-b720-86cdce7bcf61</t>
  </si>
  <si>
    <t>2020-02-25T07:52:40</t>
  </si>
  <si>
    <t>04c1644b-c8e0-49e2-aab8-aa8383b39151</t>
  </si>
  <si>
    <t>2020-02-25T11:10:25.807+05:30</t>
  </si>
  <si>
    <t>2019-08-21T16:00:00.000+06:30</t>
  </si>
  <si>
    <t>2019-11-25T06:59:12</t>
  </si>
  <si>
    <t>2020-02-25T13:21:02.825+05:30</t>
  </si>
  <si>
    <t>2019-08-22T17:20:00.000+06:30</t>
  </si>
  <si>
    <t>2019-11-25T12:33:05.000-07:00</t>
  </si>
  <si>
    <t>2020-02-25T11:11:00.000+05:30</t>
  </si>
  <si>
    <t>22.5563588 88.3921979 -45.5 5.0</t>
  </si>
  <si>
    <t>d0a4f553-a0f5-4f2e-a36b-282a8270cbd0</t>
  </si>
  <si>
    <t>2019-11-25T07:00:20</t>
  </si>
  <si>
    <t>2019-11-25T12:34:09.000-07:00</t>
  </si>
  <si>
    <t>31b91cab-634b-4f49-a18a-d2015d3b2724</t>
  </si>
  <si>
    <t>2020-02-25T07:52:44</t>
  </si>
  <si>
    <t>2020-02-25T11:14:51.056+05:30</t>
  </si>
  <si>
    <t>2020-02-25T13:20:41.541+05:30</t>
  </si>
  <si>
    <t>2020-02-25T11:15:00.000+05:30</t>
  </si>
  <si>
    <t>22.5563431 88.3922431 -27.899999618530273 5.0</t>
  </si>
  <si>
    <t>60ff49ff-dd4a-4d12-abbd-53edd795cfef</t>
  </si>
  <si>
    <t>2019-11-25T07:01:25</t>
  </si>
  <si>
    <t>2019-11-29T11:03:18.000-07:00</t>
  </si>
  <si>
    <t>2019-11-29T11:06:14.000-07:00</t>
  </si>
  <si>
    <t>2019-11-25T13:30:00.000-07:00</t>
  </si>
  <si>
    <t>2019-11-25T14:40:00.000-07:00</t>
  </si>
  <si>
    <t>2019-11-25T15:30:00.000-07:00</t>
  </si>
  <si>
    <t>2019-11-26T15:30:00.000-07:00</t>
  </si>
  <si>
    <t>Sample collected by Asish Saha, FB at MO1194 site</t>
  </si>
  <si>
    <t>Red colony count: 1:10^4 -00; 1:10^5 - 00; 1:10^6 - 00, Each sample vol tested 1ml</t>
  </si>
  <si>
    <t>9723d31a-500a-4b5d-a045-7d2f5b9e66e9</t>
  </si>
  <si>
    <t>2019-08-26T10:52:34</t>
  </si>
  <si>
    <t>0788eb2b-ec4d-459f-847d-10e70060b1a3</t>
  </si>
  <si>
    <t>71f4db96-d4d2-400d-88c1-85b6f8ddb068</t>
  </si>
  <si>
    <t>2019-11-29T05:33:27</t>
  </si>
  <si>
    <t>2020-02-25T07:52:46</t>
  </si>
  <si>
    <t>2019-08-26T04:36:48.000+06:30</t>
  </si>
  <si>
    <t>2020-02-25T11:23:43.413+05:30</t>
  </si>
  <si>
    <t>2020-02-25T13:21:08.071+05:30</t>
  </si>
  <si>
    <t>2019-11-29T11:07:36.000-07:00</t>
  </si>
  <si>
    <t>2019-08-26T04:47:50.000+06:30</t>
  </si>
  <si>
    <t>2020-02-25T11:24:00.000+05:30</t>
  </si>
  <si>
    <t>2019-11-25T14:00:00.000-07:00</t>
  </si>
  <si>
    <t>2019-11-25T14:20:00.000-07:00</t>
  </si>
  <si>
    <t>22.558138 88.3894525 -55.900001525878906 5.0</t>
  </si>
  <si>
    <t>2019-11-26T14:20:00.000-07:00</t>
  </si>
  <si>
    <t>2019-08-22T17:40:00.000+06:30</t>
  </si>
  <si>
    <t>Sample with PLc1095, Red Colony Count: Undiluted volume tested 100 ml - 00</t>
  </si>
  <si>
    <t>763bed96-262f-4090-82cb-58ce5108eec1</t>
  </si>
  <si>
    <t>2020-02-25T07:52:50</t>
  </si>
  <si>
    <t>a6eee2b8-4256-4709-bc6c-38813e6060e5</t>
  </si>
  <si>
    <t>2019-11-29T05:34:49</t>
  </si>
  <si>
    <t>2020-02-25T11:28:04.553+05:30</t>
  </si>
  <si>
    <t>2020-02-25T13:21:19.052+05:30</t>
  </si>
  <si>
    <t>2019-11-29T11:09:23.000-07:00</t>
  </si>
  <si>
    <t>2020-02-25T11:29:00.000+05:30</t>
  </si>
  <si>
    <t>22.5579842 88.3896172 -49.5 5.0</t>
  </si>
  <si>
    <t>Red colony count: 1:10^4 - TNTC; 1:10^5 - 88; 1:10^6 - 06, Each sample vol tested 1ml</t>
  </si>
  <si>
    <t>8968993c-102a-46fb-9505-38fef94868c0</t>
  </si>
  <si>
    <t>2020-02-25T07:52:54</t>
  </si>
  <si>
    <t>2020-02-26T12:23:52.885+05:30</t>
  </si>
  <si>
    <t>2020-02-26T14:55:28.549+05:30</t>
  </si>
  <si>
    <t>43e0287e-09d2-4f51-84d5-2e50529d5f2c</t>
  </si>
  <si>
    <t>2019-11-29T05:36:36</t>
  </si>
  <si>
    <t>2020-02-26T12:24:00.000+05:30</t>
  </si>
  <si>
    <t>22.5359862 88.3746372 -56.099998474121094 5.0</t>
  </si>
  <si>
    <t>2019-11-29T11:10:26.000-07:00</t>
  </si>
  <si>
    <t>79120875-7636-45f1-8fa3-7bca5e6c97c6</t>
  </si>
  <si>
    <t>2019-08-26T11:15:40</t>
  </si>
  <si>
    <t>2019-08-26T04:47:51.000+06:30</t>
  </si>
  <si>
    <t>bc7e3001-0e25-4cca-b4a4-423c02b36540</t>
  </si>
  <si>
    <t>2020-02-26T09:27:50</t>
  </si>
  <si>
    <t>2019-08-26T04:52:26.000+06:30</t>
  </si>
  <si>
    <t>Sample with PLc1056, Red Colony Count: Undiluted volume tested 100 ml - 00</t>
  </si>
  <si>
    <t>2020-02-26T11:02:03.145+05:30</t>
  </si>
  <si>
    <t>2020-02-26T15:00:49.959+05:30</t>
  </si>
  <si>
    <t>7c0ed751-e367-4828-8a25-11f8429a795c</t>
  </si>
  <si>
    <t>2019-11-29T05:37:38</t>
  </si>
  <si>
    <t>2020-02-26T11:03:00.000+05:30</t>
  </si>
  <si>
    <t>2019-11-29T11:12:28.000-07:00</t>
  </si>
  <si>
    <t>22.6061021 88.3734421 -54.0 5.0</t>
  </si>
  <si>
    <t>2adceb0e-b0b9-44a8-aba9-c825d2f1aa40</t>
  </si>
  <si>
    <t>2020-02-26T09:31:13</t>
  </si>
  <si>
    <t>d9eb1fcd-9be3-4c36-a48d-27f733fad602</t>
  </si>
  <si>
    <t>2020-02-26T11:10:49.851+05:30</t>
  </si>
  <si>
    <t>2019-11-29T05:39:41</t>
  </si>
  <si>
    <t>2020-02-26T15:00:36.643+05:30</t>
  </si>
  <si>
    <t>2019-11-29T11:13:52.000-07:00</t>
  </si>
  <si>
    <t>2019-11-26T12:15:00.000-07:00</t>
  </si>
  <si>
    <t>2019-11-26T14:30:00.000-07:00</t>
  </si>
  <si>
    <t>2019-11-26T14:50:00.000-07:00</t>
  </si>
  <si>
    <t>2019-11-27T14:50:00.000-07:00</t>
  </si>
  <si>
    <t>2020-02-26T11:12:00.000+05:30</t>
  </si>
  <si>
    <t>22.6060444 88.3735423 -41.900001525878906 5.0</t>
  </si>
  <si>
    <t>Sample with MO1122, Red Colony Count: Undiluted volume tested 100 ml - 00</t>
  </si>
  <si>
    <t>Sample collected by Suvankar Mandal, FB at MO1197 site</t>
  </si>
  <si>
    <t>070e3b1d-a6d1-446f-b7d5-8f7c3c4ff70e</t>
  </si>
  <si>
    <t>088701ee-dcd0-4735-a7f6-d3ac075b9ef6</t>
  </si>
  <si>
    <t>2019-11-29T05:41:06</t>
  </si>
  <si>
    <t>2020-02-26T09:31:16</t>
  </si>
  <si>
    <t>2019-11-29T11:13:53.000-07:00</t>
  </si>
  <si>
    <t>2020-02-26T11:29:57.714+05:30</t>
  </si>
  <si>
    <t>2020-02-26T15:00:54.448+05:30</t>
  </si>
  <si>
    <t>2019-11-29T11:15:06.000-07:00</t>
  </si>
  <si>
    <t>e47963c7-9328-4f05-b292-fcf3dc372ba3</t>
  </si>
  <si>
    <t>2019-08-26T11:20:17</t>
  </si>
  <si>
    <t>2020-02-26T11:32:00.000+05:30</t>
  </si>
  <si>
    <t>22.607595 88.3925137 -39.0 5.0</t>
  </si>
  <si>
    <t>2019-08-26T04:52:27.000+06:30</t>
  </si>
  <si>
    <t>2019-08-26T04:56:43.000+06:30</t>
  </si>
  <si>
    <t>Sample with MO1123, Red Colony Count: Undiluted volume tested 100 ml - 00</t>
  </si>
  <si>
    <t>046425f4-7254-498c-b67e-f8de3362132a</t>
  </si>
  <si>
    <t>2019-11-29T05:42:19</t>
  </si>
  <si>
    <t>2019-11-29T11:35:05.000-07:00</t>
  </si>
  <si>
    <t>f2eaa928-37c2-415b-83bc-b86dd530d4c9</t>
  </si>
  <si>
    <t>2020-02-26T09:31:19</t>
  </si>
  <si>
    <t>2020-02-26T11:35:40.728+05:30</t>
  </si>
  <si>
    <t>2019-11-29T11:37:34.000-07:00</t>
  </si>
  <si>
    <t>2020-02-26T15:00:40.997+05:30</t>
  </si>
  <si>
    <t>2019-11-26T11:32:00.000-07:00</t>
  </si>
  <si>
    <t>2019-11-26T14:45:00.000-07:00</t>
  </si>
  <si>
    <t>2019-11-26T15:15:00.000-07:00</t>
  </si>
  <si>
    <t>2019-11-27T15:15:00.000-07:00</t>
  </si>
  <si>
    <t>2020-02-26T11:36:00.000+05:30</t>
  </si>
  <si>
    <t>22.6076054 88.3925297 -36.5 5.0</t>
  </si>
  <si>
    <t>Red colony count: 1:10^4 - TNTC; 1:10^5 - TNTC; 1:10^6 - 45, Each sample vol tested 1ml</t>
  </si>
  <si>
    <t>b50a483d-6c61-4679-8a12-8d450f1c8852</t>
  </si>
  <si>
    <t>2019-11-29T06:04:47</t>
  </si>
  <si>
    <t>2019-11-29T11:38:57.000-07:00</t>
  </si>
  <si>
    <t>Sample collected by Asish Saha, FB at MO1198 site</t>
  </si>
  <si>
    <t>2019-11-26T13:32:00.000-07:00</t>
  </si>
  <si>
    <t>d3d94a18-e979-42b8-935a-138d6768f62a</t>
  </si>
  <si>
    <t>2020-02-26T09:31:22</t>
  </si>
  <si>
    <t>2020-02-26T12:00:42.719+05:30</t>
  </si>
  <si>
    <t>2020-02-26T15:00:58.936+05:30</t>
  </si>
  <si>
    <t>Sample with PLc1097, Red Colony Count: Undiluted volume tested 100 ml - 00</t>
  </si>
  <si>
    <t>2020-02-26T12:03:00.000+05:30</t>
  </si>
  <si>
    <t>22.6042123 88.4165554 -42.0 5.0</t>
  </si>
  <si>
    <t>1dfb5830-fc4c-43d5-b69f-1cb83d531591</t>
  </si>
  <si>
    <t>2019-11-29T06:06:10</t>
  </si>
  <si>
    <t>2019-11-29T11:41:53.000-07:00</t>
  </si>
  <si>
    <t>Sample collected by Suvankar Mandal, Ward no 29 under SDDM</t>
  </si>
  <si>
    <t>778230e9-9c0f-4109-ba7c-2b23852e7ac5</t>
  </si>
  <si>
    <t>2019-08-26T11:24:33</t>
  </si>
  <si>
    <t>527d7959-3d72-4d92-b3ff-e28d2dc62e34</t>
  </si>
  <si>
    <t>2020-02-26T09:31:24</t>
  </si>
  <si>
    <t>2020-02-26T12:06:22.100+05:30</t>
  </si>
  <si>
    <t>2020-02-26T15:00:45.320+05:30</t>
  </si>
  <si>
    <t>2019-08-26T05:01:50.000+06:30</t>
  </si>
  <si>
    <t>2020-02-26T12:07:00.000+05:30</t>
  </si>
  <si>
    <t>22.604241 88.4165834 -54.0 5.0</t>
  </si>
  <si>
    <t>Red colony count: 1:10^4 - 110; 1:10^5 - 20; 1:10^6 - 1, Each sample vol tested 1ml</t>
  </si>
  <si>
    <t>33d8e6a1-f609-4c05-8cb6-5837bff9b3d4</t>
  </si>
  <si>
    <t>2019-11-29T06:09:06</t>
  </si>
  <si>
    <t>2019-11-29T11:43:21.000-07:00</t>
  </si>
  <si>
    <t>Sample collected by Suvankar Mandal, FB at MO1199 site</t>
  </si>
  <si>
    <t>21ea9ad1-dd2a-4ee7-9572-63f86ad4d095</t>
  </si>
  <si>
    <t>2020-02-26T09:31:26</t>
  </si>
  <si>
    <t>2020-02-26T12:56:33.471+05:30</t>
  </si>
  <si>
    <t>2020-02-26T15:01:03.624+05:30</t>
  </si>
  <si>
    <t>Sample with PLc1098, Red Colony Count: Undiluted volume tested 100 ml - 00</t>
  </si>
  <si>
    <t>c90e96bb-fc67-45cf-83cc-6f418edf12e7</t>
  </si>
  <si>
    <t>2019-11-29T06:10:33</t>
  </si>
  <si>
    <t>2020-02-26T12:57:00.000+05:30</t>
  </si>
  <si>
    <t>22.5517916 88.3849062 60.5 5.0</t>
  </si>
  <si>
    <t>2019-11-29T11:45:32.000-07:00</t>
  </si>
  <si>
    <t>Red colony count: 1:10^4 -12; 1:10^5 - 00; 1:10^6 - 00, Each sample vol tested 1ml</t>
  </si>
  <si>
    <t>9e65a12d-b15e-4c0d-bdc7-cb8a8b230a37</t>
  </si>
  <si>
    <t>2020-02-26T09:31:29</t>
  </si>
  <si>
    <t>7fdb74f4-cd74-4e4a-8557-064229dd2003</t>
  </si>
  <si>
    <t>2020-02-26T13:04:29.770+05:30</t>
  </si>
  <si>
    <t>2019-11-29T06:12:45</t>
  </si>
  <si>
    <t>2020-02-26T15:00:27.867+05:30</t>
  </si>
  <si>
    <t>04500431-2018-4c37-9ecc-a2920b75caa2</t>
  </si>
  <si>
    <t>2019-08-26T11:29:41</t>
  </si>
  <si>
    <t>2019-11-29T11:46:37.000-07:00</t>
  </si>
  <si>
    <t>2019-09-14T01:53:08.000+06:30</t>
  </si>
  <si>
    <t>2020-02-26T13:04:00.000+05:30</t>
  </si>
  <si>
    <t>22.5517947 88.3850717 96.5 5.0</t>
  </si>
  <si>
    <t>2019-09-14T01:57:30.000+06:30</t>
  </si>
  <si>
    <t>9b40761c-d092-4c8b-87e8-b8ec28d56ecf</t>
  </si>
  <si>
    <t>2019-11-29T06:13:49</t>
  </si>
  <si>
    <t>fc4718d4-5dda-40e3-8599-83cc04a9e582</t>
  </si>
  <si>
    <t>2020-02-26T09:31:31</t>
  </si>
  <si>
    <t>2019-11-29T11:47:42.000-07:00</t>
  </si>
  <si>
    <t>2020-02-26T13:10:21.485+05:30</t>
  </si>
  <si>
    <t>2020-02-26T15:01:09.272+05:30</t>
  </si>
  <si>
    <t>2020-02-26T13:11:00.000+05:30</t>
  </si>
  <si>
    <t>22.5518062 88.3845086 -62.0 4.5</t>
  </si>
  <si>
    <t>29da4789-b67f-471a-a2b4-c91953467910</t>
  </si>
  <si>
    <t>2019-11-29T06:14:55</t>
  </si>
  <si>
    <t>2019-11-29T11:49:44.000-07:00</t>
  </si>
  <si>
    <t>2019-11-27T13:30:00.000-07:00</t>
  </si>
  <si>
    <t>2019-11-27T15:00:00.000-07:00</t>
  </si>
  <si>
    <t>2019-11-27T16:20:00.000-07:00</t>
  </si>
  <si>
    <t>2019-11-28T16:20:00.000-07:00</t>
  </si>
  <si>
    <t>e02fd314-2746-4faf-8387-12bad57f405d</t>
  </si>
  <si>
    <t>2020-02-26T09:31:35</t>
  </si>
  <si>
    <t>Red colony count: 1:10^1 -00; 1:10^2 - 00; 1:10^3 - 00, Each sample vol tested 1ml</t>
  </si>
  <si>
    <t>2020-02-26T13:19:09.892+05:30</t>
  </si>
  <si>
    <t>9ffeb398-911a-4422-bf43-2e8b77a034c9</t>
  </si>
  <si>
    <t>2020-02-26T15:00:32.291+05:30</t>
  </si>
  <si>
    <t>2019-09-14T08:25:06</t>
  </si>
  <si>
    <t>e0039338-3e00-4323-a5f4-861601e17ef0</t>
  </si>
  <si>
    <t>2019-11-29T06:16:57</t>
  </si>
  <si>
    <t>2019-09-14T02:04:33.000+06:30</t>
  </si>
  <si>
    <t>2019-11-29T11:51:36.000-07:00</t>
  </si>
  <si>
    <t>2020-02-26T13:19:00.000+05:30</t>
  </si>
  <si>
    <t>22.5518463 88.3844848 -36.900001525878906 5.0</t>
  </si>
  <si>
    <t>2019-08-23T16:30:00.000+06:30</t>
  </si>
  <si>
    <t>2019-08-23T18:45:00.000+06:30</t>
  </si>
  <si>
    <t>2019-08-24T18:45:00.000+06:30</t>
  </si>
  <si>
    <t>Red colony count: Undiluted 100ml - 00, Undiluted 10ml - 00, 1:10^1 - 00 sample vol tested 1ml,</t>
  </si>
  <si>
    <t>5e3f6805-68df-41c9-b8fb-ac320e463044</t>
  </si>
  <si>
    <t>2019-11-29T06:18:49</t>
  </si>
  <si>
    <t>2019-11-29T11:53:13.000-07:00</t>
  </si>
  <si>
    <t>39edc93d-e4ab-457f-bacc-7a2c22ee3e4f</t>
  </si>
  <si>
    <t>2020-02-26T09:31:37</t>
  </si>
  <si>
    <t>2020-02-27T11:27:00.088+05:30</t>
  </si>
  <si>
    <t>2020-02-27T17:07:09.792+05:30</t>
  </si>
  <si>
    <t>Red colony count: 1:10^1 -02; 1:10^2 - 00; 1:10^3 - 00, Each sample vol tested 1ml</t>
  </si>
  <si>
    <t>2020-02-27T11:27:00.000+05:30</t>
  </si>
  <si>
    <t>22.4743415 88.3928038 -61.20000076293945 5.0</t>
  </si>
  <si>
    <t>fe229fd4-4103-4f51-befa-dd407ab060ab</t>
  </si>
  <si>
    <t>2019-11-29T06:20:25</t>
  </si>
  <si>
    <t>2019-11-29T11:54:57.000-07:00</t>
  </si>
  <si>
    <t>Sample collected by Biplab Jash, KMC Ward No 110</t>
  </si>
  <si>
    <t>d944d182-0074-4106-a30c-ac10f47c7b2d</t>
  </si>
  <si>
    <t>2019-09-14T08:32:11</t>
  </si>
  <si>
    <t>4a5d7326-9f6b-47e0-89ef-14cd0f0d39bc</t>
  </si>
  <si>
    <t>2020-02-27T11:37:29</t>
  </si>
  <si>
    <t>2020-02-27T11:33:49.707+05:30</t>
  </si>
  <si>
    <t>2020-02-27T17:06:44.094+05:30</t>
  </si>
  <si>
    <t>2019-09-14T02:27:15.000+06:30</t>
  </si>
  <si>
    <t>d45b6dd8-e03b-4137-b433-b41f7749628b</t>
  </si>
  <si>
    <t>2019-11-29T06:22:11</t>
  </si>
  <si>
    <t>2019-11-29T11:54:58.000-07:00</t>
  </si>
  <si>
    <t>2019-11-29T11:56:45.000-07:00</t>
  </si>
  <si>
    <t>2020-02-27T11:34:00.000+05:30</t>
  </si>
  <si>
    <t>22.4742646 88.3927593 -52.599998474121094 5.0</t>
  </si>
  <si>
    <t>9f498170-dd2c-4818-866b-fc842614f74f</t>
  </si>
  <si>
    <t>2019-11-29T06:23:59</t>
  </si>
  <si>
    <t>2019-11-29T11:56:46.000-07:00</t>
  </si>
  <si>
    <t>2019-11-29T11:58:18.000-07:00</t>
  </si>
  <si>
    <t>3c6ba5cc-499c-4b81-ada9-b1720493ffd8</t>
  </si>
  <si>
    <t>2019-11-27T14:45:00.000-07:00</t>
  </si>
  <si>
    <t>2020-02-27T11:37:40</t>
  </si>
  <si>
    <t>2019-11-28T15:00:00.000-07:00</t>
  </si>
  <si>
    <t>2020-02-27T11:56:10.869+05:30</t>
  </si>
  <si>
    <t>2020-02-27T17:07:14.265+05:30</t>
  </si>
  <si>
    <t>Sample with FPa1006, FPb1006, FPc1006, FPd1006, FPe1006, Red Colony Count: Undiluted volume tested 100 ml - 00</t>
  </si>
  <si>
    <t>17478d60-b3f0-4cbf-aa5f-e0c850144b5c</t>
  </si>
  <si>
    <t>2019-11-29T06:25:30</t>
  </si>
  <si>
    <t>2020-02-27T11:59:00.000+05:30</t>
  </si>
  <si>
    <t>22.4956148 88.3916815 -53.599998474121094 5.0</t>
  </si>
  <si>
    <t>2019-11-29T12:01:45.000-07:00</t>
  </si>
  <si>
    <t>2019-11-27T16:30:00.000-07:00</t>
  </si>
  <si>
    <t>2019-11-28T16:30:00.000-07:00</t>
  </si>
  <si>
    <t>28a7ef1a-f155-4d5f-b0fd-56ff7a2a38ee</t>
  </si>
  <si>
    <t>2019-09-14T08:54:52</t>
  </si>
  <si>
    <t>2019-09-14T02:31:33.000+06:30</t>
  </si>
  <si>
    <t>Blue Colony: 1:10^6 - 00 volume tested 1ml, Red colony count: 1:10^3 - 28, 1:10^4 -13; 1:10^5 - 00; 1:10^6 - 00, Each sample vol tested 1ml</t>
  </si>
  <si>
    <t>4c5dab05-3a84-41c5-ab48-18f1106c4358</t>
  </si>
  <si>
    <t>2019-11-29T06:29:00</t>
  </si>
  <si>
    <t>2019-11-29T12:03:09.000-07:00</t>
  </si>
  <si>
    <t>a3b55e84-86ca-4e97-9bc6-8b9b7ae248a1</t>
  </si>
  <si>
    <t>2020-02-27T11:37:43</t>
  </si>
  <si>
    <t>2020-02-27T12:02:05.659+05:30</t>
  </si>
  <si>
    <t>2020-02-27T17:06:49.704+05:30</t>
  </si>
  <si>
    <t>e78c6ed2-9146-482a-b53e-b40427840f43</t>
  </si>
  <si>
    <t>2019-11-29T06:30:21</t>
  </si>
  <si>
    <t>2019-12-02T10:22:16.000-07:00</t>
  </si>
  <si>
    <t>2019-12-02T10:35:44.000-07:00</t>
  </si>
  <si>
    <t>2020-02-27T12:03:00.000+05:30</t>
  </si>
  <si>
    <t>22.4956268 88.3916883 -60.400001525878906 5.0</t>
  </si>
  <si>
    <t>2019-11-28T14:10:00.000-07:00</t>
  </si>
  <si>
    <t>2019-11-28T15:45:00.000-07:00</t>
  </si>
  <si>
    <t>2019-11-29T15:45:00.000-07:00</t>
  </si>
  <si>
    <t>Red colony count: 1:10^4 - 18; 1:10^5 - 2; 1:10^6 - 01, Each sample vol tested 1ml</t>
  </si>
  <si>
    <t>e66506cc-3f51-4262-be11-8cac85766840</t>
  </si>
  <si>
    <t>2019-12-02T04:52:08</t>
  </si>
  <si>
    <t>2019-12-02T10:24:58.000-07:00</t>
  </si>
  <si>
    <t>2019-12-02T10:36:25.000-07:00</t>
  </si>
  <si>
    <t>d13e7a4e-71f7-4dfa-9990-c636edfe3745</t>
  </si>
  <si>
    <t>2019-11-28T14:40:00.000-07:00</t>
  </si>
  <si>
    <t>2019-09-14T08:59:10</t>
  </si>
  <si>
    <t>2019-11-29T15:00:00.000-07:00</t>
  </si>
  <si>
    <t>2019-09-14T02:33:45.000+06:30</t>
  </si>
  <si>
    <t>aac2e762-dbce-4b2d-a176-d6ca97842a22</t>
  </si>
  <si>
    <t>2020-02-27T11:37:45</t>
  </si>
  <si>
    <t>Sample with PLc1100, Red Colony Count: Undiluted volume tested 100 ml - 00</t>
  </si>
  <si>
    <t>2020-02-27T12:46:12.489+05:30</t>
  </si>
  <si>
    <t>2020-02-27T17:07:18.720+05:30</t>
  </si>
  <si>
    <t>1502137e-602b-45a2-ab88-4318ad264392</t>
  </si>
  <si>
    <t>2019-12-02T04:53:25</t>
  </si>
  <si>
    <t>2019-12-02T10:26:15.000-07:00</t>
  </si>
  <si>
    <t>2019-12-02T10:37:21.000-07:00</t>
  </si>
  <si>
    <t>2020-02-27T12:47:00.000+05:30</t>
  </si>
  <si>
    <t>22.5345807 88.3959696 -46.099998474121094 5.0</t>
  </si>
  <si>
    <t>Red colony count: 1:10^4 -68; 1:10^5 - 10; 1:10^6 - 02, Each sample vol tested 1ml</t>
  </si>
  <si>
    <t>ab5067c1-9536-41a0-8387-0dfa8ff9c71c</t>
  </si>
  <si>
    <t>2019-12-02T04:55:05</t>
  </si>
  <si>
    <t>2019-12-02T10:27:56.000-07:00</t>
  </si>
  <si>
    <t>2019-12-02T10:38:00.000-07:00</t>
  </si>
  <si>
    <t>232c2434-0406-4200-a7ea-0dc5ba9b83a5</t>
  </si>
  <si>
    <t>2020-02-27T11:37:48</t>
  </si>
  <si>
    <t>2020-02-27T12:49:57.081+05:30</t>
  </si>
  <si>
    <t>2020-02-27T17:06:54.141+05:30</t>
  </si>
  <si>
    <t>Sample with PLc1101, Red Colony Count: Undiluted volume tested 100 ml - 00</t>
  </si>
  <si>
    <t>7c80965e-ea8e-4828-a3e5-0a1b75abdd91</t>
  </si>
  <si>
    <t>2019-12-02T04:56:22</t>
  </si>
  <si>
    <t>2019-12-02T10:29:12.000-07:00</t>
  </si>
  <si>
    <t>7955f332-42eb-4611-be13-208d472c0016</t>
  </si>
  <si>
    <t>2019-09-14T09:01:22</t>
  </si>
  <si>
    <t>2019-12-02T10:38:37.000-07:00</t>
  </si>
  <si>
    <t>2019-09-14T02:33:46.000+06:30</t>
  </si>
  <si>
    <t>2020-02-27T12:50:00.000+05:30</t>
  </si>
  <si>
    <t>22.5346184 88.3958901 -48.0 5.0</t>
  </si>
  <si>
    <t>2019-09-14T02:36:43.000+06:30</t>
  </si>
  <si>
    <t>Sample with MO1124, Red Colony Count: Undiluted volume tested 100 ml - 00</t>
  </si>
  <si>
    <t>5a6989f7-9a8c-4be8-b865-706e3072c102</t>
  </si>
  <si>
    <t>2019-12-02T04:57:51</t>
  </si>
  <si>
    <t>2019-12-02T10:30:41.000-07:00</t>
  </si>
  <si>
    <t>216c281b-b087-447c-a0ab-043a575dede4</t>
  </si>
  <si>
    <t>2020-02-27T11:37:51</t>
  </si>
  <si>
    <t>2019-12-02T10:39:18.000-07:00</t>
  </si>
  <si>
    <t>2020-02-27T12:55:51.589+05:30</t>
  </si>
  <si>
    <t>2020-02-27T17:07:22.786+05:30</t>
  </si>
  <si>
    <t>2020-02-27T12:59:00.000+05:30</t>
  </si>
  <si>
    <t>22.540051 88.3872117 -50.400001525878906 5.0</t>
  </si>
  <si>
    <t>Sample with MO1125, Red Colony Count: Undiluted volume tested 100 ml - 00</t>
  </si>
  <si>
    <t>c32f109c-e11d-4aea-9eb3-429f9b8abeeb</t>
  </si>
  <si>
    <t>2019-09-14T09:04:20</t>
  </si>
  <si>
    <t>24273928-4ef4-4c24-9835-ad40a1a5b01d</t>
  </si>
  <si>
    <t>2019-12-02T04:59:06</t>
  </si>
  <si>
    <t>2019-09-14T02:38:45.000+06:30</t>
  </si>
  <si>
    <t>2019-12-02T10:31:55.000-07:00</t>
  </si>
  <si>
    <t>2019-12-02T10:34:41.000-07:00</t>
  </si>
  <si>
    <t>f7fb250b-0bb4-430d-a301-8cd9130ab29e</t>
  </si>
  <si>
    <t>2020-02-27T11:37:55</t>
  </si>
  <si>
    <t>2019-11-28T14:20:00.000-07:00</t>
  </si>
  <si>
    <t>2020-02-27T13:02:52.150+05:30</t>
  </si>
  <si>
    <t>2019-11-28T14:35:00.000-07:00</t>
  </si>
  <si>
    <t>2020-02-27T17:07:00.697+05:30</t>
  </si>
  <si>
    <t>2019-11-29T14:35:00.000-07:00</t>
  </si>
  <si>
    <t>2020-02-27T13:03:00.000+05:30</t>
  </si>
  <si>
    <t>22.5400413 88.3872416 -61.70000076293945 5.0</t>
  </si>
  <si>
    <t>998080a2-f955-4813-9cab-c5425d334811</t>
  </si>
  <si>
    <t>2019-12-02T05:01:52</t>
  </si>
  <si>
    <t>2019-12-02T11:29:01.000-07:00</t>
  </si>
  <si>
    <t>2019-12-02T11:30:55.000-07:00</t>
  </si>
  <si>
    <t>2019-11-29T13:15:00.000-07:00</t>
  </si>
  <si>
    <t>2019-11-29T14:05:00.000-07:00</t>
  </si>
  <si>
    <t>d2ca08fc-9439-4618-9ac2-c5bdb48c3b63</t>
  </si>
  <si>
    <t>2019-09-14T09:06:22</t>
  </si>
  <si>
    <t>2019-11-30T15:00:00.000-07:00</t>
  </si>
  <si>
    <t>2019-09-14T02:40:36.000+06:30</t>
  </si>
  <si>
    <t>80c4f720-78f2-4d9f-9ddb-79199e25bebb</t>
  </si>
  <si>
    <t>2020-02-27T11:37:58</t>
  </si>
  <si>
    <t>2020-02-27T13:12:11.689+05:30</t>
  </si>
  <si>
    <t>2020-02-27T17:07:27.474+05:30</t>
  </si>
  <si>
    <t>Red colony count: 1:10^4 - 00; 1:10^5 - 00; 1:10^6 - 00, Each sample vol tested 1ml</t>
  </si>
  <si>
    <t>57d2bb5d-e77d-475f-8de1-7570d17f9750</t>
  </si>
  <si>
    <t>2019-12-02T05:58:06</t>
  </si>
  <si>
    <t>2019-12-02T11:32:21.000-07:00</t>
  </si>
  <si>
    <t>2020-02-27T13:12:00.000+05:30</t>
  </si>
  <si>
    <t>22.536067 88.3746792 -42.20000076293945 5.0</t>
  </si>
  <si>
    <t>2019-11-29T13:40:00.000-07:00</t>
  </si>
  <si>
    <t>2019-11-29T14:00:00.000-07:00</t>
  </si>
  <si>
    <t>2019-11-30T14:00:00.000-07:00</t>
  </si>
  <si>
    <t>a8dea0e0-22cf-486a-b8de-ff6df40722a0</t>
  </si>
  <si>
    <t>2019-09-14T09:08:14</t>
  </si>
  <si>
    <t>2019-09-14T02:40:37.000+06:30</t>
  </si>
  <si>
    <t>2019-09-14T02:42:31.000+06:30</t>
  </si>
  <si>
    <t>Sample with PLc1102, Red Colony Count: Undiluted volume tested 100 ml - 00</t>
  </si>
  <si>
    <t>cc6a2b5f-493d-49a0-bf73-5f55087cf0ed</t>
  </si>
  <si>
    <t>2019-12-02T05:59:31</t>
  </si>
  <si>
    <t>1df555cb-1c34-4a89-8ab9-18a779c1b05b</t>
  </si>
  <si>
    <t>2020-02-27T11:38:01</t>
  </si>
  <si>
    <t>2020-02-27T13:14:17.646+05:30</t>
  </si>
  <si>
    <t>2020-02-27T17:07:05.352+05:30</t>
  </si>
  <si>
    <t>2019-12-02T11:34:01.000-07:00</t>
  </si>
  <si>
    <t>2020-02-27T13:14:00.000+05:30</t>
  </si>
  <si>
    <t>22.5361221 88.3746732 -41.400001525878906 5.0</t>
  </si>
  <si>
    <t>7129854a-dff2-4e9d-83ef-95a079556e19</t>
  </si>
  <si>
    <t>2019-12-02T06:01:12</t>
  </si>
  <si>
    <t>2019-12-02T11:35:13.000-07:00</t>
  </si>
  <si>
    <t>3976d1b7-d2fb-4c65-a915-9bc94eb5d0b1</t>
  </si>
  <si>
    <t>2019-09-14T09:10:08</t>
  </si>
  <si>
    <t>b6b820ac-e4a7-4b28-9e99-4e829c8703eb</t>
  </si>
  <si>
    <t>2020-02-27T11:38:03</t>
  </si>
  <si>
    <t>2019-09-16T04:44:11.000+06:30</t>
  </si>
  <si>
    <t>2020-02-27T12:01:32.238+05:30</t>
  </si>
  <si>
    <t>2019-09-16T04:50:33.000+06:30</t>
  </si>
  <si>
    <t>2020-02-27T17:13:15.875+05:30</t>
  </si>
  <si>
    <t>2019-07-27T16:00:00.000+06:30</t>
  </si>
  <si>
    <t>2019-07-27T17:00:00.000+06:30</t>
  </si>
  <si>
    <t>2019-08-28T17:00:00.000+06:30</t>
  </si>
  <si>
    <t>Sample with PLc1103, Red Colony Count: Undiluted volume tested 100 ml - 00</t>
  </si>
  <si>
    <t>22.5408067 88.3744432 -54.0 5.0</t>
  </si>
  <si>
    <t>4e93cf16-02fd-4a26-9904-c0c02abb088b</t>
  </si>
  <si>
    <t>2019-12-02T06:02:23</t>
  </si>
  <si>
    <t>2019-12-02T11:36:51.000-07:00</t>
  </si>
  <si>
    <t>2019-08-27T17:00:00.000+06:30</t>
  </si>
  <si>
    <t>Red colony count: 1:10^4 -7; 1:10^5 - 3; 1:10^6 - 00, Each sample vol tested 1ml</t>
  </si>
  <si>
    <t>e56fad5f-507f-471b-9447-965a1b930c44</t>
  </si>
  <si>
    <t>2019-12-02T06:04:01</t>
  </si>
  <si>
    <t>2,5</t>
  </si>
  <si>
    <t>f980036a-ff2e-4d28-b98b-36de4c9e17fa</t>
  </si>
  <si>
    <t>2020-02-27T11:43:52</t>
  </si>
  <si>
    <t>95dd1993-5331-402a-bcb8-42e15763c073</t>
  </si>
  <si>
    <t>2019-09-16T11:18:08</t>
  </si>
  <si>
    <t>2020-02-27T12:07:51.575+05:30</t>
  </si>
  <si>
    <t>2020-02-27T17:13:01.959+05:30</t>
  </si>
  <si>
    <t>2019-12-02T11:38:23.000-07:00</t>
  </si>
  <si>
    <t>2019-09-16T04:55:55.000+06:30</t>
  </si>
  <si>
    <t>2019-08-27T16:00:00.000+06:30</t>
  </si>
  <si>
    <t>2020-02-27T12:14:00.000+05:30</t>
  </si>
  <si>
    <t>22.5408445 88.3744364 -50.5 5.0</t>
  </si>
  <si>
    <t>Sample with PLc1104, Red Colony Count: Undiluted volume tested 100 ml - 00</t>
  </si>
  <si>
    <t>2e2f1d3b-c580-40e3-bc7e-0604b1bda074</t>
  </si>
  <si>
    <t>2019-12-02T06:05:33</t>
  </si>
  <si>
    <t>2019-12-02T11:39:34.000-07:00</t>
  </si>
  <si>
    <t>2019-11-29T13:25:00.000-07:00</t>
  </si>
  <si>
    <t>2019-11-29T13:30:00.000-07:00</t>
  </si>
  <si>
    <t>2019-11-30T13:30:00.000-07:00</t>
  </si>
  <si>
    <t>Sample collected by Suvankar Mandal, FB at PLc1212 site</t>
  </si>
  <si>
    <t>f1ee0b5e-49c6-46f6-8dad-a23d3aa30fdf</t>
  </si>
  <si>
    <t>2020-02-27T11:43:54</t>
  </si>
  <si>
    <t>2020-02-27T12:25:32.695+05:30</t>
  </si>
  <si>
    <t>2020-02-27T17:13:20.335+05:30</t>
  </si>
  <si>
    <t>3d9e8f4e-5bca-483c-b79b-783806251845</t>
  </si>
  <si>
    <t>2019-12-02T06:06:44</t>
  </si>
  <si>
    <t>2019-12-05T11:00:29.000-07:00</t>
  </si>
  <si>
    <t>2019-12-05T11:08:05.000-07:00</t>
  </si>
  <si>
    <t>2020-02-27T12:25:00.000+05:30</t>
  </si>
  <si>
    <t>2019-12-02T13:15:00.000-07:00</t>
  </si>
  <si>
    <t>2019-12-02T14:00:00.000-07:00</t>
  </si>
  <si>
    <t>22.5415052 88.3749423 -46.70000076293945 5.0</t>
  </si>
  <si>
    <t>2019-12-02T15:00:00.000-07:00</t>
  </si>
  <si>
    <t>2019-12-03T15:00:00.000-07:00</t>
  </si>
  <si>
    <t>9a59f35f-2d74-4a49-ab52-ef0e67e09068</t>
  </si>
  <si>
    <t>2019-09-16T11:23:31</t>
  </si>
  <si>
    <t>2019-09-16T05:03:00.000+06:30</t>
  </si>
  <si>
    <t>Red colony count: 1:10^4 -13; 1:10^5 - 1; 1:10^6 - 1, Each sample vol tested 1ml</t>
  </si>
  <si>
    <t>c39627b4-9c72-4066-a806-0ea242412f2d</t>
  </si>
  <si>
    <t>2019-12-05T05:35:12</t>
  </si>
  <si>
    <t>2019-12-05T11:09:23.000-07:00</t>
  </si>
  <si>
    <t>2019-12-02T13:45:00.000-07:00</t>
  </si>
  <si>
    <t>2019-12-02T14:10:00.000-07:00</t>
  </si>
  <si>
    <t>2019-12-03T14:10:00.000-07:00</t>
  </si>
  <si>
    <t>436fccc7-a71f-4141-80ce-a891d4d54239</t>
  </si>
  <si>
    <t>2020-02-27T11:43:57</t>
  </si>
  <si>
    <t>2020-02-27T12:31:05.126+05:30</t>
  </si>
  <si>
    <t>2020-02-27T17:13:06.577+05:30</t>
  </si>
  <si>
    <t>Sample with PLc1105, Red Colony Count: Undiluted volume tested 100 ml - 00</t>
  </si>
  <si>
    <t>f414bdd5-cb10-4cd9-98db-56ffebd18aa2</t>
  </si>
  <si>
    <t>2019-12-05T05:36:31</t>
  </si>
  <si>
    <t>2020-02-27T12:34:00.000+05:30</t>
  </si>
  <si>
    <t>22.5418723 88.3748995 9.100000381469727 5.0</t>
  </si>
  <si>
    <t>2019-12-05T11:11:06.000-07:00</t>
  </si>
  <si>
    <t>Sample collected by Somnath Sarkar, FB at PLc1213 site</t>
  </si>
  <si>
    <t>Red colony count: 1:10^4 - TDTC; 1:10^5 - TNTC; 1:10^6 - 35, Each sample vol tested 1ml</t>
  </si>
  <si>
    <t>0a7eb5e2-8429-43d4-b877-db0b1ed237f2</t>
  </si>
  <si>
    <t>2020-02-27T11:43:59</t>
  </si>
  <si>
    <t>db5d9119-6195-476f-af93-676266178bc6</t>
  </si>
  <si>
    <t>2019-12-05T05:38:14</t>
  </si>
  <si>
    <t>2020-02-27T12:45:36.774+05:30</t>
  </si>
  <si>
    <t>2019-12-05T11:11:07.000-07:00</t>
  </si>
  <si>
    <t>3479c3ce-97c3-4006-bbe8-4602a43e42a8</t>
  </si>
  <si>
    <t>2020-02-27T17:13:24.658+05:30</t>
  </si>
  <si>
    <t>2019-09-16T11:30:34</t>
  </si>
  <si>
    <t>2019-09-16T22:48:03.000+06:30</t>
  </si>
  <si>
    <t>2019-12-05T11:12:22.000-07:00</t>
  </si>
  <si>
    <t>2019-09-16T22:57:01.000+06:30</t>
  </si>
  <si>
    <t>2020-02-27T12:46:00.000+05:30</t>
  </si>
  <si>
    <t>2019-09-12T15:00:00.000+06:30</t>
  </si>
  <si>
    <t>2019-09-12T17:00:00.000+06:30</t>
  </si>
  <si>
    <t>22.5415817 88.3759194 -21.700000762939453 5.0</t>
  </si>
  <si>
    <t>2019-09-13T17:00:00.000+06:30</t>
  </si>
  <si>
    <t>Sample with PLc1106, Red Colony Count: Undiluted volume tested 100 ml - 00</t>
  </si>
  <si>
    <t>57b261fe-2ea7-45ce-b006-9d37e8126446</t>
  </si>
  <si>
    <t>2019-12-05T05:39:30</t>
  </si>
  <si>
    <t>2e2ac27f-d6f5-48b3-aa37-e76ec3128e79</t>
  </si>
  <si>
    <t>2019-12-05T11:13:27.000-07:00</t>
  </si>
  <si>
    <t>2020-02-27T11:44:02</t>
  </si>
  <si>
    <t>2020-02-27T12:52:28.652+05:30</t>
  </si>
  <si>
    <t>2020-02-27T17:13:11.384+05:30</t>
  </si>
  <si>
    <t>2019-12-03T14:00:00.000-07:00</t>
  </si>
  <si>
    <t>FOR WG5(1ml=conta), GB124(1ml=CLEAR,100µl=385)</t>
  </si>
  <si>
    <t>e3eaa2c2-3258-4796-9526-b91598a9fa98</t>
  </si>
  <si>
    <t>2019-09-17T05:24:36</t>
  </si>
  <si>
    <t>2020-02-27T12:55:00.000+05:30</t>
  </si>
  <si>
    <t>22.541583 88.3758862 -43.599998474121094 5.0</t>
  </si>
  <si>
    <t>2019-09-16T23:00:05.000+06:30</t>
  </si>
  <si>
    <t>62b4ed51-957c-4567-ba96-4dcad6f94409</t>
  </si>
  <si>
    <t>2019-12-05T05:40:33</t>
  </si>
  <si>
    <t>2019-12-05T11:17:31.000-07:00</t>
  </si>
  <si>
    <t>2019-12-03T13:15:00.000-07:00</t>
  </si>
  <si>
    <t>2019-12-03T14:30:00.000-07:00</t>
  </si>
  <si>
    <t>2019-12-04T15:00:00.000-07:00</t>
  </si>
  <si>
    <t>Sample collected by Suvankar Mandal, FB at PLc1214 site</t>
  </si>
  <si>
    <t>0487064b-ee0b-4bb4-a1d5-f6723c7c069e</t>
  </si>
  <si>
    <t>Sample with MO1126, Red Colony Count: Undiluted volume tested 100 ml - 00</t>
  </si>
  <si>
    <t>2020-02-27T11:44:05</t>
  </si>
  <si>
    <t>2020-03-02T10:33:50.233+05:30</t>
  </si>
  <si>
    <t>749120ac-a4d0-4399-96b5-85905b4b21aa</t>
  </si>
  <si>
    <t>2019-12-05T05:44:40</t>
  </si>
  <si>
    <t>2020-03-03T15:25:24.597+05:30</t>
  </si>
  <si>
    <t>2019-12-05T11:17:32.000-07:00</t>
  </si>
  <si>
    <t>2019-12-05T11:19:19.000-07:00</t>
  </si>
  <si>
    <t>FOR GB124 (1ml=CLEAR)</t>
  </si>
  <si>
    <t>2019-12-03T11:15:00.000-07:00</t>
  </si>
  <si>
    <t>2020-03-02T10:34:00.000+05:30</t>
  </si>
  <si>
    <t>d6e59ae9-8248-4ce1-aebb-6e57f012cf4c</t>
  </si>
  <si>
    <t>22.5413302 88.3762045 -28.799999237060547 5.0</t>
  </si>
  <si>
    <t>2019-09-17T05:27:40</t>
  </si>
  <si>
    <t>2019-09-16T23:04:34.000+06:30</t>
  </si>
  <si>
    <t>Sample with MO1127, Red Colony Count: Undiluted volume tested 100 ml - 00</t>
  </si>
  <si>
    <t>e66af55f-e0f3-4da2-92f3-b5b6c2acbaf4</t>
  </si>
  <si>
    <t>2019-12-05T05:46:26</t>
  </si>
  <si>
    <t>2019-12-05T11:21:38.000-07:00</t>
  </si>
  <si>
    <t>2019-12-03T14:45:00.000-07:00</t>
  </si>
  <si>
    <t>2019-12-03T15:15:00.000-07:00</t>
  </si>
  <si>
    <t>2019-12-04T15:15:00.000-07:00</t>
  </si>
  <si>
    <t>v5nERfiZELE2eNeXyKSnJy</t>
  </si>
  <si>
    <t>11559c9b-ccf0-4575-9096-0a757c15f545</t>
  </si>
  <si>
    <t>2020-03-03T09:55:53</t>
  </si>
  <si>
    <t>2020-03-02T10:44:59.323+05:30</t>
  </si>
  <si>
    <t>2020-03-03T15:25:10.907+05:30</t>
  </si>
  <si>
    <t>FOR WG5(1ml=conta,100µl=conta), GB124(1ml=CLEAR)</t>
  </si>
  <si>
    <t>Red colony count: 1:10^4 - 7; 1:10^5 - 00; 1:10^6 - 00, Each sample vol tested 1ml</t>
  </si>
  <si>
    <t>9b150235-4127-493d-8750-cef2fd60ee20</t>
  </si>
  <si>
    <t>bc54117c-f6f7-4754-b872-a043f1f2ad4e</t>
  </si>
  <si>
    <t>2019-09-17T05:32:09</t>
  </si>
  <si>
    <t>2019-12-05T05:48:46</t>
  </si>
  <si>
    <t>2020-03-02T10:45:00.000+05:30</t>
  </si>
  <si>
    <t>2019-12-05T11:23:13.000-07:00</t>
  </si>
  <si>
    <t>2019-09-16T23:09:18.000+06:30</t>
  </si>
  <si>
    <t>22.5414031 88.375925 -90.30000305175781 5.0</t>
  </si>
  <si>
    <t>Sample with PLc1107, Red Colony Count: Undiluted volume tested 100 ml - 00</t>
  </si>
  <si>
    <t>83d15caf-1851-48fc-b42a-544b5671b600</t>
  </si>
  <si>
    <t>Sample collected by Somnath Sarkar, FB at PLc1215 site</t>
  </si>
  <si>
    <t>2019-12-05T05:50:20</t>
  </si>
  <si>
    <t>c4376cd9-feed-45ba-9ebc-8109247314a2</t>
  </si>
  <si>
    <t>2020-03-03T09:55:55</t>
  </si>
  <si>
    <t>2019-12-05T11:24:52.000-07:00</t>
  </si>
  <si>
    <t>2020-03-02T10:49:42.272+05:30</t>
  </si>
  <si>
    <t>2020-03-03T15:25:31.505+05:30</t>
  </si>
  <si>
    <t>2020-03-02T10:50:00.000+05:30</t>
  </si>
  <si>
    <t>22.541507 88.3753575 -54.79999923706055 4.5</t>
  </si>
  <si>
    <t>FOR WG5(100µl=contamination)</t>
  </si>
  <si>
    <t>0f2edbc0-369a-4f60-ba9f-5bed02360886</t>
  </si>
  <si>
    <t>2019-09-17T05:36:53</t>
  </si>
  <si>
    <t>Red colony count: 1:10^4 -10; 1:10^5 - 1; 1:10^6 - 00, Each sample vol tested 1ml</t>
  </si>
  <si>
    <t>2019-09-16T23:12:58.000+06:30</t>
  </si>
  <si>
    <t>2a6d9640-3873-4568-a279-adf0da04c3a6</t>
  </si>
  <si>
    <t>2019-12-05T05:52:00</t>
  </si>
  <si>
    <t>e725b7dc-9602-496c-8a9f-47803ea26a79</t>
  </si>
  <si>
    <t>2020-03-03T09:55:57</t>
  </si>
  <si>
    <t>2020-03-02T10:51:24.328+05:30</t>
  </si>
  <si>
    <t>2019-12-05T11:26:04.000-07:00</t>
  </si>
  <si>
    <t>2020-03-03T15:25:15.598+05:30</t>
  </si>
  <si>
    <t>2020-03-02T10:58:00.000+05:30</t>
  </si>
  <si>
    <t>22.5414935 88.3753131 -66.5 5.0</t>
  </si>
  <si>
    <t>Sample with PLc1108, Red Colony Count: Undiluted volume tested 100 ml - 00</t>
  </si>
  <si>
    <t>f7e516a8-ca4d-4bc2-96b4-8c3f92fe4aae</t>
  </si>
  <si>
    <t>2019-12-05T05:53:12</t>
  </si>
  <si>
    <t>2019-12-05T11:27:37.000-07:00</t>
  </si>
  <si>
    <t>Sample collected by Buddhadeb Samaddar, FB at PLc1216 site</t>
  </si>
  <si>
    <t>a8490a15-51cf-48e5-bbdc-46b2a860ed23</t>
  </si>
  <si>
    <t>397725fd-ca7c-45aa-bc46-ad09b7d66751</t>
  </si>
  <si>
    <t>2020-03-03T09:56:01</t>
  </si>
  <si>
    <t>2019-09-17T05:40:28</t>
  </si>
  <si>
    <t>2020-03-02T11:03:28.758+05:30</t>
  </si>
  <si>
    <t>2020-03-03T15:25:36.378+05:30</t>
  </si>
  <si>
    <t>2019-09-16T23:16:50.000+06:30</t>
  </si>
  <si>
    <t>Red colony count: 1:10^4 -88; 1:10^5 - 8; 1:10^6 - 00, Each sample vol tested 1ml</t>
  </si>
  <si>
    <t>f0fdced2-2ba4-43c8-8c54-9adf73e3b5c1</t>
  </si>
  <si>
    <t>2019-12-05T05:54:44</t>
  </si>
  <si>
    <t>2020-03-02T11:03:00.000+05:30</t>
  </si>
  <si>
    <t>22.5414987 88.3759245 -67.4000015258789 5.0</t>
  </si>
  <si>
    <t>2019-12-05T11:28:44.000-07:00</t>
  </si>
  <si>
    <t>Sample with PLc1109, Red Colony Count: Undiluted volume tested 100 ml - 00</t>
  </si>
  <si>
    <t>7307948f-2fbb-4f86-9519-40a4f8990b21</t>
  </si>
  <si>
    <t>2020-03-03T09:56:04</t>
  </si>
  <si>
    <t>beb1676d-429f-48a6-892d-31901760be8b</t>
  </si>
  <si>
    <t>2019-12-05T05:55:51</t>
  </si>
  <si>
    <t>2020-03-02T11:06:58.309+05:30</t>
  </si>
  <si>
    <t>2019-12-05T11:28:45.000-07:00</t>
  </si>
  <si>
    <t>2020-03-03T15:25:20.155+05:30</t>
  </si>
  <si>
    <t>2019-12-05T11:29:45.000-07:00</t>
  </si>
  <si>
    <t>2020-03-02T11:10:00.000+05:30</t>
  </si>
  <si>
    <t>22.5415851 88.3758412 -81.0 5.0</t>
  </si>
  <si>
    <t>Sample collected by Debabrata Maity, FB at PLc1217 site</t>
  </si>
  <si>
    <t>1e66a224-a444-4fbd-a511-46e2cf83d2b2</t>
  </si>
  <si>
    <t>2020-03-03T09:56:06</t>
  </si>
  <si>
    <t>2020-03-03T10:41:47.931+05:30</t>
  </si>
  <si>
    <t>2020-03-03T15:32:39.734+05:30</t>
  </si>
  <si>
    <t>70a3b61a-7436-41c7-8310-84c2248c7dc6</t>
  </si>
  <si>
    <t>2019-12-05T05:56:52</t>
  </si>
  <si>
    <t>d9caaa8a-90eb-4ff8-9bff-e92729eb7aeb</t>
  </si>
  <si>
    <t>2019-09-17T05:44:25</t>
  </si>
  <si>
    <t>2019-12-09T11:21:30.000-07:00</t>
  </si>
  <si>
    <t>2020-03-03T10:42:00.000+05:30</t>
  </si>
  <si>
    <t>2019-09-16T23:16:51.000+06:30</t>
  </si>
  <si>
    <t>22.5578815 88.4108882 -54.0 5.0</t>
  </si>
  <si>
    <t>2019-12-09T11:26:57.000-07:00</t>
  </si>
  <si>
    <t>2019-09-16T23:22:30.000+06:30</t>
  </si>
  <si>
    <t>2019-12-04T12:55:00.000-07:00</t>
  </si>
  <si>
    <t>2019-12-04T15:10:00.000-07:00</t>
  </si>
  <si>
    <t>2019-12-04T16:00:00.000-07:00</t>
  </si>
  <si>
    <t>2019-12-05T16:00:00.000-07:00</t>
  </si>
  <si>
    <t>e4c302eb-f76d-4eee-9f1b-7aaeca60bba4</t>
  </si>
  <si>
    <t>2020-03-03T10:03:32</t>
  </si>
  <si>
    <t>2020-03-03T10:44:06.061+05:30</t>
  </si>
  <si>
    <t>2020-03-03T15:32:14.351+05:30</t>
  </si>
  <si>
    <t>Blue Colony Count: 1:10^6 - 00, volume tested 1ml, Red colony count: 1:10^3 - TNTC 1:10^4 -58; 1:10^5 - 9; 1:10^6 - 00, Each sample vol tested 1ml</t>
  </si>
  <si>
    <t>ac5ff10e-cc79-4fdf-a039-590e198aed53</t>
  </si>
  <si>
    <t>2019-12-09T05:54:02</t>
  </si>
  <si>
    <t>2020-03-03T10:46:00.000+05:30</t>
  </si>
  <si>
    <t>22.5578214 88.4109346 -13.899999618530273 5.0</t>
  </si>
  <si>
    <t>2019-12-09T12:12:14.000-07:00</t>
  </si>
  <si>
    <t>2019-12-05T15:10:00.000-07:00</t>
  </si>
  <si>
    <t>Sample collected by Debabrata Maity, FB at MO1205 site</t>
  </si>
  <si>
    <t>27282d98-6d26-4fce-936d-aac71b954802</t>
  </si>
  <si>
    <t>2020-03-03T10:03:34</t>
  </si>
  <si>
    <t>2020-03-03T10:59:20.184+05:30</t>
  </si>
  <si>
    <t>2020-03-03T15:32:44.869+05:30</t>
  </si>
  <si>
    <t>a2897033-c46c-4451-8597-a780e9d17c54</t>
  </si>
  <si>
    <t>2019-12-09T06:39:19</t>
  </si>
  <si>
    <t>FOR GB124(1ml=CLEAR), POSITIVE CONTROL(SL1001) WG5(1ml=168) GB124(10^5=29)</t>
  </si>
  <si>
    <t>2019-12-09T12:13:50.000-07:00</t>
  </si>
  <si>
    <t>2020-03-03T10:59:00.000+05:30</t>
  </si>
  <si>
    <t>22.5563521 88.3921885 -55.599998474121094 5.0</t>
  </si>
  <si>
    <t>840c512f-8014-44a8-a3fd-71f23fbf9e30</t>
  </si>
  <si>
    <t>2019-09-17T05:50:05</t>
  </si>
  <si>
    <t>2019-12-05T13:15:00.000-07:00</t>
  </si>
  <si>
    <t>2019-12-05T14:30:00.000-07:00</t>
  </si>
  <si>
    <t>2019-12-05T15:00:00.000-07:00</t>
  </si>
  <si>
    <t>2019-09-19T12:25:31.000+06:30</t>
  </si>
  <si>
    <t>2019-12-06T15:00:00.000-07:00</t>
  </si>
  <si>
    <t>2019-09-19T12:29:31.000+06:30</t>
  </si>
  <si>
    <t>5b747e7b-4eac-4d14-bac7-54f7afdedd56</t>
  </si>
  <si>
    <t>2020-03-03T10:03:37</t>
  </si>
  <si>
    <t>2020-03-03T11:02:05.441+05:30</t>
  </si>
  <si>
    <t>Sample with MO1128, Red Colony Count: Undiluted volume tested 100 ml - 00</t>
  </si>
  <si>
    <t>2020-03-03T15:32:19.023+05:30</t>
  </si>
  <si>
    <t>6539bb18-877c-4611-8321-8c1750941fcb</t>
  </si>
  <si>
    <t>2019-12-09T06:40:54</t>
  </si>
  <si>
    <t>2020-03-03T11:06:00.000+05:30</t>
  </si>
  <si>
    <t>22.5563407 88.3922699 -46.099998474121094 5.0</t>
  </si>
  <si>
    <t>2019-12-09T12:15:07.000-07:00</t>
  </si>
  <si>
    <t>Sample collected by Suvankar Mandal, FB at MO1206 site</t>
  </si>
  <si>
    <t>Sample with MO1129, Red Colony Count: Undiluted volume tested 100 ml - 00</t>
  </si>
  <si>
    <t>69dc49d3-6e91-4e6b-8a73-8d495e97bdc4</t>
  </si>
  <si>
    <t>2020-03-03T10:03:39</t>
  </si>
  <si>
    <t>2020-03-03T11:21:59.809+05:30</t>
  </si>
  <si>
    <t>1fe85c2d-9237-4309-8e55-c5e0f8c792f8</t>
  </si>
  <si>
    <t>2020-03-03T15:32:50.620+05:30</t>
  </si>
  <si>
    <t>2019-12-09T06:42:11</t>
  </si>
  <si>
    <t>2,6</t>
  </si>
  <si>
    <t>2b51a64a-4a32-475f-8c33-71fd8a444c83</t>
  </si>
  <si>
    <t>2019-09-19T06:57:25</t>
  </si>
  <si>
    <t>2020-03-03T11:22:00.000+05:30</t>
  </si>
  <si>
    <t>22.557955 88.3896151 -33.79999923706055 5.0</t>
  </si>
  <si>
    <t>2019-12-09T12:16:44.000-07:00</t>
  </si>
  <si>
    <t>2019-09-19T12:32:22.000+06:30</t>
  </si>
  <si>
    <t>2019-12-05T14:45:00.000-07:00</t>
  </si>
  <si>
    <t>2019-12-05T15:15:00.000-07:00</t>
  </si>
  <si>
    <t>2019-12-06T15:15:00.000-07:00</t>
  </si>
  <si>
    <t>a9075d70-51a5-4f38-a6a7-7ff9b43544ca</t>
  </si>
  <si>
    <t>2020-03-03T10:03:42</t>
  </si>
  <si>
    <t>Red colony count: 1:10^4 -15; 1:10^5 - 2; 1:10^6 - 00, Each sample vol tested 1ml</t>
  </si>
  <si>
    <t>2020-03-03T11:24:39.205+05:30</t>
  </si>
  <si>
    <t>2020-03-03T15:32:25.394+05:30</t>
  </si>
  <si>
    <t>b6a8b8fd-23c6-42f7-b38c-d7e3cbf48f5e</t>
  </si>
  <si>
    <t>2019-12-09T06:43:48</t>
  </si>
  <si>
    <t>2019-12-09T12:19:14.000-07:00</t>
  </si>
  <si>
    <t>2020-03-03T11:29:00.000+05:30</t>
  </si>
  <si>
    <t>22.5579798 88.3895942 -48.099998474121094 5.0</t>
  </si>
  <si>
    <t>Sample with PLc1110, Red Colony Count: Undiluted volume tested 100 ml - 00</t>
  </si>
  <si>
    <t>Sample collected by Somnath Sarkar, FB at MO1207 site</t>
  </si>
  <si>
    <t>4ab4dc52-06c2-437d-9d27-b4dc62a52a9f</t>
  </si>
  <si>
    <t>2019-12-09T06:46:18</t>
  </si>
  <si>
    <t>6e82f705-136f-48c8-865c-65001fef400e</t>
  </si>
  <si>
    <t>2020-03-03T10:03:44</t>
  </si>
  <si>
    <t>93fee9e1-f02f-49b6-a70c-33d8524e662d</t>
  </si>
  <si>
    <t>2020-03-03T11:26:47.373+05:30</t>
  </si>
  <si>
    <t>2019-09-19T07:00:07</t>
  </si>
  <si>
    <t>2020-03-03T15:33:02.734+05:30</t>
  </si>
  <si>
    <t>2019-12-09T12:21:01.000-07:00</t>
  </si>
  <si>
    <t>2019-09-19T12:34:41.000+06:30</t>
  </si>
  <si>
    <t>2020-03-03T11:37:00.000+05:30</t>
  </si>
  <si>
    <t>22.5578801 88.389743 -61.20000076293945 5.0</t>
  </si>
  <si>
    <t>0446af96-0384-4160-8b8b-00a90c332842</t>
  </si>
  <si>
    <t>2019-12-09T06:48:05</t>
  </si>
  <si>
    <t>518d6733-cb86-4817-ace8-25a1389c5d6c</t>
  </si>
  <si>
    <t>2020-03-03T10:03:48</t>
  </si>
  <si>
    <t>2020-03-03T11:58:32.234+05:30</t>
  </si>
  <si>
    <t>2019-12-09T12:22:43.000-07:00</t>
  </si>
  <si>
    <t>2020-03-03T15:32:57.288+05:30</t>
  </si>
  <si>
    <t>2020-03-03T11:59:00.000+05:30</t>
  </si>
  <si>
    <t>22.5635459 88.3772675 -47.099998474121094 5.0</t>
  </si>
  <si>
    <t>Sample with PLc1111, Red Colony Count: Undiluted volume tested 100 ml - 00</t>
  </si>
  <si>
    <t>40a5c730-98fb-4324-bfb7-1efa4a1e8384</t>
  </si>
  <si>
    <t>84c23fc7-5a83-4bd2-80d2-5ba11746205a</t>
  </si>
  <si>
    <t>2019-09-19T07:02:27</t>
  </si>
  <si>
    <t>2019-12-09T06:49:50</t>
  </si>
  <si>
    <t>b630a65c-494a-46d3-85cd-fc0d7b6ff0c0</t>
  </si>
  <si>
    <t>2019-09-19T12:38:36.000+06:30</t>
  </si>
  <si>
    <t>2019-12-09T12:25:44.000-07:00</t>
  </si>
  <si>
    <t>2020-03-03T10:03:50</t>
  </si>
  <si>
    <t>2020-03-03T12:01:06.052+05:30</t>
  </si>
  <si>
    <t>2020-03-03T15:32:31.265+05:30</t>
  </si>
  <si>
    <t>2020-03-03T12:05:00.000+05:30</t>
  </si>
  <si>
    <t>22.5634915 88.3772549 -73.5999984741211 5.0</t>
  </si>
  <si>
    <t>Red colony count: 1:10^4 - 12; 1:10^5 - 1; 1:10^6 - 00, Each sample vol tested 1ml</t>
  </si>
  <si>
    <t>c26bba2e-1909-4450-9f42-a2e1ffaf1e30</t>
  </si>
  <si>
    <t>2019-12-09T06:52:50</t>
  </si>
  <si>
    <t>Sample collected by Somnath Sarkar, FB at MO1208 site</t>
  </si>
  <si>
    <t>2019-12-09T12:27:51.000-07:00</t>
  </si>
  <si>
    <t>8ae3000a-1ea0-4156-9417-92aff90ee406</t>
  </si>
  <si>
    <t>2020-03-03T10:03:53</t>
  </si>
  <si>
    <t>2020-03-04T09:46:11.888+05:30</t>
  </si>
  <si>
    <t>2020-03-04T15:45:13.066+05:30</t>
  </si>
  <si>
    <t>2020-03-04T09:47:00.000+05:30</t>
  </si>
  <si>
    <t>22.6061423 88.3734771 -36.20000076293945 5.0</t>
  </si>
  <si>
    <t>Sample with PLc1112, Red Colony Count: Undiluted volume tested 100 ml - 00</t>
  </si>
  <si>
    <t>27da7956-af5d-4129-89f6-cd3ad7410255</t>
  </si>
  <si>
    <t>2019-09-19T07:06:22</t>
  </si>
  <si>
    <t>547c4a78-f33b-4624-a386-d18cd626c799</t>
  </si>
  <si>
    <t>2019-09-23T13:11:29.000+06:30</t>
  </si>
  <si>
    <t>2019-12-09T06:54:55</t>
  </si>
  <si>
    <t>2019-09-23T13:17:08.000+06:30</t>
  </si>
  <si>
    <t>2019-12-09T12:29:26.000-07:00</t>
  </si>
  <si>
    <t>41dc9cca-50a9-4a66-9a3e-d435c67442ce</t>
  </si>
  <si>
    <t>2020-03-04T10:15:29</t>
  </si>
  <si>
    <t>2020-03-04T09:51:38.304+05:30</t>
  </si>
  <si>
    <t>2020-03-04T15:44:59.329+05:30</t>
  </si>
  <si>
    <t>Red colony count: 1:10^4 - 65; 1:10^5 - 4; 1:10^6 - 00, Each sample vol tested 1ml</t>
  </si>
  <si>
    <t>2020-03-04T09:52:00.000+05:30</t>
  </si>
  <si>
    <t>22.6060679 88.373532 -32.70000076293945 5.0</t>
  </si>
  <si>
    <t>4ff462d8-c7e6-4cd7-85e2-16a1120d7ca4</t>
  </si>
  <si>
    <t>2019-12-09T06:56:29</t>
  </si>
  <si>
    <t>2019-12-09T12:30:51.000-07:00</t>
  </si>
  <si>
    <t>52b47134-b116-4df4-b98f-b5c010ca52c7</t>
  </si>
  <si>
    <t>2020-03-04T10:15:30</t>
  </si>
  <si>
    <t>2020-03-04T10:16:36.676+05:30</t>
  </si>
  <si>
    <t>2020-03-04T15:45:17.170+05:30</t>
  </si>
  <si>
    <t>b7811ff5-893e-4e40-b8b6-b4f756e3ab14</t>
  </si>
  <si>
    <t>2019-09-23T07:44:51</t>
  </si>
  <si>
    <t>2019-09-23T13:22:58.000+06:30</t>
  </si>
  <si>
    <t>2020-03-04T10:17:00.000+05:30</t>
  </si>
  <si>
    <t>Sample with PLc1113, Red Colony Count: Undiluted volume tested 100 ml - 00</t>
  </si>
  <si>
    <t>22.6074963 88.3925019 -40.70000076293945 4.5</t>
  </si>
  <si>
    <t>fb0e93c2-938d-439f-8e85-5f927c3de128</t>
  </si>
  <si>
    <t>2019-12-09T06:57:55</t>
  </si>
  <si>
    <t>2019-12-09T12:31:59.000-07:00</t>
  </si>
  <si>
    <t>bcde303f-690e-4885-9461-e07cabc1c95d</t>
  </si>
  <si>
    <t>2020-03-04T10:15:32</t>
  </si>
  <si>
    <t>2020-03-04T10:21:52.666+05:30</t>
  </si>
  <si>
    <t>2020-03-04T15:45:04.051+05:30</t>
  </si>
  <si>
    <t>2020-03-04T10:22:00.000+05:30</t>
  </si>
  <si>
    <t>22.6076328 88.3924226 -68.0999984741211 5.0</t>
  </si>
  <si>
    <t>0503195c-8325-4a79-99cf-4ce22b17a96e</t>
  </si>
  <si>
    <t>2019-12-09T06:59:03</t>
  </si>
  <si>
    <t>GB124(1ml=275)</t>
  </si>
  <si>
    <t>2019-12-09T12:34:11.000-07:00</t>
  </si>
  <si>
    <t>ae2dde1b-b047-4326-8a3d-58a07962284e</t>
  </si>
  <si>
    <t>2019-09-23T07:50:39</t>
  </si>
  <si>
    <t>2019-12-06T14:04:00.000-07:00</t>
  </si>
  <si>
    <t>2019-12-06T14:45:00.000-07:00</t>
  </si>
  <si>
    <t>2019-12-07T15:15:00.000-07:00</t>
  </si>
  <si>
    <t>2019-09-23T13:26:11.000+06:30</t>
  </si>
  <si>
    <t>a3f86178-b45c-4de3-a1fe-060bbb7c93a8</t>
  </si>
  <si>
    <t>2020-03-04T10:15:33</t>
  </si>
  <si>
    <t>2020-03-04T10:45:18.547+05:30</t>
  </si>
  <si>
    <t>2020-03-04T15:45:22.543+05:30</t>
  </si>
  <si>
    <t>Red colony count: 1:10^4 - 2; 1:10^5 - 1; 1:10^6 - 00, Each sample vol tested 1ml</t>
  </si>
  <si>
    <t>70c4525a-cf0c-4b5d-b4d3-2db7c854148e</t>
  </si>
  <si>
    <t>2019-12-09T07:01:16</t>
  </si>
  <si>
    <t>2020-03-04T10:46:00.000+05:30</t>
  </si>
  <si>
    <t>2019-12-09T12:34:12.000-07:00</t>
  </si>
  <si>
    <t>22.6041599 88.4166484 -31.799999237060547 5.0</t>
  </si>
  <si>
    <t>2019-12-09T12:35:35.000-07:00</t>
  </si>
  <si>
    <t>2019-12-06T14:30:00.000-07:00</t>
  </si>
  <si>
    <t>2019-12-07T15:00:00.000-07:00</t>
  </si>
  <si>
    <t>Sample with PLc1115, Red Colony Count: Undiluted volume tested 100 ml - 00</t>
  </si>
  <si>
    <t>Sample collected by Biplab Jash, at Ward No 29 under SDDM</t>
  </si>
  <si>
    <t>11a635c1-6974-42b6-96ad-a0de07bf2c2d</t>
  </si>
  <si>
    <t>461f09dc-9826-487f-84ab-f58c7422c7c3</t>
  </si>
  <si>
    <t>2019-12-09T07:02:39</t>
  </si>
  <si>
    <t>2020-03-04T10:15:35</t>
  </si>
  <si>
    <t>2020-03-04T10:49:21.867+05:30</t>
  </si>
  <si>
    <t>2020-03-04T15:45:08.423+05:30</t>
  </si>
  <si>
    <t>2019-12-09T12:38:54.000-07:00</t>
  </si>
  <si>
    <t>GB124(1ml=264)</t>
  </si>
  <si>
    <t>31ea7e9c-f24d-4e9f-bd50-eaa3dece4765</t>
  </si>
  <si>
    <t>2019-09-23T07:53:55</t>
  </si>
  <si>
    <t>2019-09-23T13:26:12.000+06:30</t>
  </si>
  <si>
    <t>2020-03-04T10:50:00.000+05:30</t>
  </si>
  <si>
    <t>22.6041742 88.4167365 -43.0 5.0</t>
  </si>
  <si>
    <t>2019-09-23T13:30:10.000+06:30</t>
  </si>
  <si>
    <t>Red colony count: 1:10^4 -TDTC; 1:10^5 - TDTC; 1:10^6 - 65, Each sample vol tested 1ml</t>
  </si>
  <si>
    <t>6f41dcfd-1ebb-4abd-87cf-bb82a58aad51</t>
  </si>
  <si>
    <t>f2dd3d4c-f388-4555-afe0-a509093868cc</t>
  </si>
  <si>
    <t>2020-03-04T10:15:36</t>
  </si>
  <si>
    <t>2019-12-09T07:05:58</t>
  </si>
  <si>
    <t>2020-03-04T11:54:13.475+05:30</t>
  </si>
  <si>
    <t>2020-03-04T15:47:46.242+05:30</t>
  </si>
  <si>
    <t>2019-12-09T12:40:14.000-07:00</t>
  </si>
  <si>
    <t>2020-03-04T11:59:00.000+05:30</t>
  </si>
  <si>
    <t>22.5362056 88.3746492 -83.5 5.0</t>
  </si>
  <si>
    <t>Sample with PLc1116, Red Colony Count: Undiluted volume tested 100 ml - 00</t>
  </si>
  <si>
    <t>eb0a8656-e520-4242-884c-8ef10e87cb7b</t>
  </si>
  <si>
    <t>2019-12-09T07:07:18</t>
  </si>
  <si>
    <t>80583774-bced-4ffa-925e-25f319e39074</t>
  </si>
  <si>
    <t>2019-09-23T07:57:53</t>
  </si>
  <si>
    <t>31a97500-9c70-4e3c-8aa2-a70b3e18d703</t>
  </si>
  <si>
    <t>2019-09-26T10:52:40.000+06:30</t>
  </si>
  <si>
    <t>2020-03-04T10:18:04</t>
  </si>
  <si>
    <t>2020-03-04T12:42:08.370+05:30</t>
  </si>
  <si>
    <t>2019-09-26T11:03:51.000+06:30</t>
  </si>
  <si>
    <t>2020-03-04T15:47:36.126+05:30</t>
  </si>
  <si>
    <t>2019-12-09T12:42:12.000-07:00</t>
  </si>
  <si>
    <t>2019-09-24T13:00:00.000+06:30</t>
  </si>
  <si>
    <t>2019-09-25T14:00:00.000+06:30</t>
  </si>
  <si>
    <t>2020-03-04T12:42:00.000+05:30</t>
  </si>
  <si>
    <t>22.5526791 88.3851663 -40.79999923706055 5.0</t>
  </si>
  <si>
    <t>Red colony count: 1:10^4 -28; 1:10^5 - 7; 1:10^6 - 1, Each sample vol tested 1ml</t>
  </si>
  <si>
    <t>5508a12e-b20a-425a-98bc-5deec56784a4</t>
  </si>
  <si>
    <t>2019-12-09T07:09:16</t>
  </si>
  <si>
    <t>2019-12-09T12:43:28.000-07:00</t>
  </si>
  <si>
    <t>FOE WG5(1ml=CLEAR), GB124(1ml=CLEAR)</t>
  </si>
  <si>
    <t>2a7f4c47-2c88-4028-8b95-5322b3b51d37</t>
  </si>
  <si>
    <t>2020-03-04T10:18:07</t>
  </si>
  <si>
    <t>3a05c3dc-8b80-4c54-aa04-6b20b0561398</t>
  </si>
  <si>
    <t>2019-09-26T05:31:32</t>
  </si>
  <si>
    <t>2020-03-04T12:44:24.449+05:30</t>
  </si>
  <si>
    <t>2019-09-30T11:23:03.000+06:30</t>
  </si>
  <si>
    <t>2020-03-04T15:47:17.358+05:30</t>
  </si>
  <si>
    <t>2019-09-30T11:32:21.000+06:30</t>
  </si>
  <si>
    <t>Sample with PLc1114, Red Colony Count: Undiluted volume tested 100 ml - 00</t>
  </si>
  <si>
    <t>2019-09-26T14:30:00.000+06:30</t>
  </si>
  <si>
    <t>2019-09-26T15:00:00.000+06:30</t>
  </si>
  <si>
    <t>2019-09-27T15:00:00.000+06:30</t>
  </si>
  <si>
    <t>f983d05b-adf9-447d-a86c-5cd030f99e32</t>
  </si>
  <si>
    <t>2019-12-09T07:10:32</t>
  </si>
  <si>
    <t>2020-03-04T12:50:00.000+05:30</t>
  </si>
  <si>
    <t>22.5525749 88.3851603 -79.4000015258789 5.0</t>
  </si>
  <si>
    <t>2019-12-09T12:43:29.000-07:00</t>
  </si>
  <si>
    <t>2019-12-09T12:45:17.000-07:00</t>
  </si>
  <si>
    <t>Sample collected by Suvankar Mandal, FB at PL1030 site</t>
  </si>
  <si>
    <t>8312ce65-25d5-4542-a2d3-0de543df93a5</t>
  </si>
  <si>
    <t>2020-03-04T10:18:10</t>
  </si>
  <si>
    <t>2020-03-04T12:54:34.727+05:30</t>
  </si>
  <si>
    <t>2020-03-04T15:47:40.954+05:30</t>
  </si>
  <si>
    <t>FOR WG5 (1ml-CLEAR,10^4=6)</t>
  </si>
  <si>
    <t>Red colony count: 1:10^4 - 27; 1:10^5 - 4; 1:10^6 - 1, Each sample vol tested 1ml</t>
  </si>
  <si>
    <t>33d234af-2147-4d2b-b19e-94015ef46362</t>
  </si>
  <si>
    <t>2019-09-30T05:59:57</t>
  </si>
  <si>
    <t>2e2a5fa7-faf9-4c48-ab51-33b3503a518c</t>
  </si>
  <si>
    <t>2019-12-09T07:12:22</t>
  </si>
  <si>
    <t>2019-09-30T11:36:03.000+06:30</t>
  </si>
  <si>
    <t>2020-03-04T12:54:00.000+05:30</t>
  </si>
  <si>
    <t>22.5525544 88.3852307 -63.79999923706055 5.0</t>
  </si>
  <si>
    <t>2019-09-30T11:42:38.000+06:30</t>
  </si>
  <si>
    <t>2019-12-09T12:45:18.000-07:00</t>
  </si>
  <si>
    <t>2019-09-26T13:00:00.000+06:30</t>
  </si>
  <si>
    <t>2019-12-09T12:46:49.000-07:00</t>
  </si>
  <si>
    <t>Sample with PLc1117, Red Colony Count: Undiluted volume tested 100 ml - 00</t>
  </si>
  <si>
    <t>8e756db0-a379-44ca-96c6-8563a8a1b1ff</t>
  </si>
  <si>
    <t>dd901521-83f0-40e8-8782-31b2a0335143</t>
  </si>
  <si>
    <t>2020-03-04T10:18:13</t>
  </si>
  <si>
    <t>2019-12-09T07:13:53</t>
  </si>
  <si>
    <t>2019-12-12T11:51:54.000-07:00</t>
  </si>
  <si>
    <t>2020-03-04T12:59:15.410+05:30</t>
  </si>
  <si>
    <t>2020-03-04T15:47:21.902+05:30</t>
  </si>
  <si>
    <t>2019-12-12T11:53:27.000-07:00</t>
  </si>
  <si>
    <t>2020-03-04T12:59:00.000+05:30</t>
  </si>
  <si>
    <t>22.5525824 88.3852087 -65.69999694824219 4.5</t>
  </si>
  <si>
    <t>c5109e59-19a8-4c51-9d01-a2124477e689</t>
  </si>
  <si>
    <t>2019-12-12T06:20:28</t>
  </si>
  <si>
    <t>2019-12-12T11:53:28.000-07:00</t>
  </si>
  <si>
    <t>FOR WG5(10^4=0)</t>
  </si>
  <si>
    <t>2019-12-12T11:57:14.000-07:00</t>
  </si>
  <si>
    <t>Sample collected by Somnath Sarkar, FB at PL1031 site</t>
  </si>
  <si>
    <t>4a8ee08d-afca-46b1-bd09-56d353407299</t>
  </si>
  <si>
    <t>2019-09-30T06:10:13</t>
  </si>
  <si>
    <t>c8f6dfd7-3ac3-42b7-83dd-8526a5de450f</t>
  </si>
  <si>
    <t>2019-10-09T13:07:43.000+06:30</t>
  </si>
  <si>
    <t>2020-03-04T10:18:16</t>
  </si>
  <si>
    <t>2019-10-09T13:18:29.000+06:30</t>
  </si>
  <si>
    <t>2019-12-09T14:20:00.000-07:00</t>
  </si>
  <si>
    <t>2019-12-09T15:00:00.000-07:00</t>
  </si>
  <si>
    <t>2019-12-09T15:48:00.000-07:00</t>
  </si>
  <si>
    <t>2019-12-10T15:48:00.000-07:00</t>
  </si>
  <si>
    <t>2020-03-05T12:41:15.707+05:30</t>
  </si>
  <si>
    <t>2020-03-13T17:10:50.697+05:30</t>
  </si>
  <si>
    <t>2020-03-05T12:44:00.000+05:30</t>
  </si>
  <si>
    <t>22.5415153 88.3760407 -35.599998474121094 5.0</t>
  </si>
  <si>
    <t>Red colony count: 1:10^4 - 4; 1:10^5 - 0; 1:10^6 - 00, Each sample vol tested 1ml</t>
  </si>
  <si>
    <t>44182287-2cd3-47ea-ae81-c8be1df9c7d3</t>
  </si>
  <si>
    <t>2019-12-12T06:24:16</t>
  </si>
  <si>
    <t>0a917211-c1f1-421e-891f-cac1bb15f7d4</t>
  </si>
  <si>
    <t>2019-12-12T11:58:40.000-07:00</t>
  </si>
  <si>
    <t>2020-03-13T11:41:05</t>
  </si>
  <si>
    <t>2020-03-05T12:50:41.084+05:30</t>
  </si>
  <si>
    <t>2020-03-13T17:10:15.733+05:30</t>
  </si>
  <si>
    <t>2019-12-09T14:40:00.000-07:00</t>
  </si>
  <si>
    <t>2020-03-05T12:59:00.000+05:30</t>
  </si>
  <si>
    <t>2019-12-09T14:55:00.000-07:00</t>
  </si>
  <si>
    <t>FOR WG5(1ml=CLEAR,100µl=CLEAR,10^4=2)</t>
  </si>
  <si>
    <t>22.5414216 88.3759058 -53.400001525878906 5.0</t>
  </si>
  <si>
    <t>2019-12-10T14:55:00.000-07:00</t>
  </si>
  <si>
    <t>050978da-b729-4346-a056-c3de23df259e</t>
  </si>
  <si>
    <t>2019-10-09T07:46:00</t>
  </si>
  <si>
    <t>Sample collected by Somnath Sarkar, FB at PLc1218 site</t>
  </si>
  <si>
    <t>2019-10-09T13:23:34.000+06:30</t>
  </si>
  <si>
    <t>94aaacb1-7174-4c6c-b3b1-7b7882b70e6f</t>
  </si>
  <si>
    <t>2020-03-13T11:41:08</t>
  </si>
  <si>
    <t>Sample with PLc1118, Red Colony Count: Undiluted volume tested 100 ml - 00</t>
  </si>
  <si>
    <t>2020-03-05T13:14:45.895+05:30</t>
  </si>
  <si>
    <t>2020-03-13T17:10:56.403+05:30</t>
  </si>
  <si>
    <t>cee3cd76-be83-4e68-a4ce-a578117721b7</t>
  </si>
  <si>
    <t>2019-12-12T06:25:40</t>
  </si>
  <si>
    <t>K22018</t>
  </si>
  <si>
    <t>2019-12-12T12:00:17.000-07:00</t>
  </si>
  <si>
    <t>2020-03-05T13:15:00.000+05:30</t>
  </si>
  <si>
    <t>22.5418185 88.3747339 -57.400001525878906 5.0</t>
  </si>
  <si>
    <t>bf669945-1c30-41d2-8d8a-ab5327ae27fa</t>
  </si>
  <si>
    <t>2020-03-13T11:41:11</t>
  </si>
  <si>
    <t>2020-03-05T13:22:25.116+05:30</t>
  </si>
  <si>
    <t>2020-03-13T17:10:20.161+05:30</t>
  </si>
  <si>
    <t>Red colony count: 1:10^4 - TNTC; 1:10^5 - 123; 1:10^6 - 30, Each sample vol tested 1ml</t>
  </si>
  <si>
    <t>f727ce5d-27c5-4ebe-b076-a072c8949c8c</t>
  </si>
  <si>
    <t>2019-12-12T06:27:22</t>
  </si>
  <si>
    <t>2020-03-05T13:23:00.000+05:30</t>
  </si>
  <si>
    <t>22.541833 88.3746682 -48.599998474121094 5.0</t>
  </si>
  <si>
    <t>2019-12-12T12:01:27.000-07:00</t>
  </si>
  <si>
    <t>Sample collected by Suvankar Mandal, FB at PLc1219 site</t>
  </si>
  <si>
    <t>69d1fbb1-45a0-4ea5-ae8d-bdbe67ae835d</t>
  </si>
  <si>
    <t>2020-03-13T11:41:14</t>
  </si>
  <si>
    <t>2020-03-12T11:10:00.830+05:30</t>
  </si>
  <si>
    <t>2020-03-13T17:10:29.796+05:30</t>
  </si>
  <si>
    <t>2020-03-12T11:10:00.000+05:30</t>
  </si>
  <si>
    <t>22.4955518 88.3915189 -54.099998474121094 4.5</t>
  </si>
  <si>
    <t>FOR WG5(1ml=CLEAR,100µl=CLEAR,10^4=56)</t>
  </si>
  <si>
    <t>Sample with PLc1119, Red Colony Count: Undiluted volume tested 100 ml - 00</t>
  </si>
  <si>
    <t>cc872e5f-a303-442a-88c2-19e461a0d16d</t>
  </si>
  <si>
    <t>7e5e3f41-d1e7-4a23-9fe6-2eaf9f3ecebd</t>
  </si>
  <si>
    <t>Sample collected by Biplab Jash, KMC Ward No 104</t>
  </si>
  <si>
    <t>2019-12-12T06:28:28</t>
  </si>
  <si>
    <t>2019-10-09T07:51:05</t>
  </si>
  <si>
    <t>e938ea8c-89bc-4bcd-a26f-4b868ba45521</t>
  </si>
  <si>
    <t>2020-03-13T11:41:34</t>
  </si>
  <si>
    <t>2019-12-12T12:03:09.000-07:00</t>
  </si>
  <si>
    <t>2020-03-12T11:41:02.084+05:30</t>
  </si>
  <si>
    <t>2020-03-13T17:10:34.888+05:30</t>
  </si>
  <si>
    <t>2019-10-09T13:29:14.000+06:30</t>
  </si>
  <si>
    <t>2020-03-12T11:41:00.000+05:30</t>
  </si>
  <si>
    <t>22.5345725 88.3960966 -48.400001525878906 5.0</t>
  </si>
  <si>
    <t>a507c07f-41eb-4ef0-b57b-2992cf6352b3</t>
  </si>
  <si>
    <t>2020-03-13T11:41:37</t>
  </si>
  <si>
    <t>2020-03-12T11:58:07.933+05:30</t>
  </si>
  <si>
    <t>2020-03-13T17:10:40.325+05:30</t>
  </si>
  <si>
    <t>Red colony count: 1:10^4 - 0; 1:10^5 - 0; 1:10^6 - 00, Each sample vol tested 1ml</t>
  </si>
  <si>
    <t>2020-03-12T11:58:00.000+05:30</t>
  </si>
  <si>
    <t>22.5400851 88.3872442 -40.0 5.0</t>
  </si>
  <si>
    <t>1326490c-debb-4d54-aa84-61999239ab8e</t>
  </si>
  <si>
    <t>2019-12-12T06:30:09</t>
  </si>
  <si>
    <t>2019-12-12T12:04:25.000-07:00</t>
  </si>
  <si>
    <t>deb80737-e85c-4f6f-a972-681768e354eb</t>
  </si>
  <si>
    <t>2020-03-13T11:41:40</t>
  </si>
  <si>
    <t>2020-03-12T12:13:12.041+05:30</t>
  </si>
  <si>
    <t>2020-03-13T17:10:45.303+05:30</t>
  </si>
  <si>
    <t>2020-03-12T12:13:00.000+05:30</t>
  </si>
  <si>
    <t>22.5361596 88.374499 -23.399999618530273 5.0</t>
  </si>
  <si>
    <t>Sample with PLc1120, Red Colony Count: Undiluted volume tested 100 ml - 00</t>
  </si>
  <si>
    <t>1fe24af6-900f-4da0-9220-4c657e977ead</t>
  </si>
  <si>
    <t>7cc1e53a-3f78-4acc-9b0f-d4f098321e99</t>
  </si>
  <si>
    <t>2019-10-09T07:56:45</t>
  </si>
  <si>
    <t>2019-12-12T06:31:26</t>
  </si>
  <si>
    <t>c0ebb845-9831-48e8-9e74-5a9b8878ca5b</t>
  </si>
  <si>
    <t>2020-03-13T11:41:43</t>
  </si>
  <si>
    <t>2020-03-12T12:19:57.994+05:30</t>
  </si>
  <si>
    <t>2019-12-12T12:06:17.000-07:00</t>
  </si>
  <si>
    <t>2019-10-09T13:37:07.000+06:30</t>
  </si>
  <si>
    <t>2020-03-13T17:10:25.152+05:30</t>
  </si>
  <si>
    <t>2020-03-12T12:20:00.000+05:30</t>
  </si>
  <si>
    <t>22.5362686 88.3746782 -14.600000381469727 5.0</t>
  </si>
  <si>
    <t>Sample collected by Biplab Jash, FB at MO1221 site</t>
  </si>
  <si>
    <t>1df1920d-5862-49bc-90eb-97c981267703</t>
  </si>
  <si>
    <t>2020-03-13T11:41:47</t>
  </si>
  <si>
    <t>2020-03-12T10:37:27.731+05:30</t>
  </si>
  <si>
    <t>2020-03-13T17:11:59.460+05:30</t>
  </si>
  <si>
    <t>Red colony count: 1:10^4 - TNTC; 1:10^5 - 129; 1:10^6 - 85, Each sample vol tested 1ml</t>
  </si>
  <si>
    <t>2020-03-12T10:38:00.000+05:30</t>
  </si>
  <si>
    <t>22.4742807 88.3927219 -61.099998474121094 5.0</t>
  </si>
  <si>
    <t>03ed87fc-ce40-4c14-9c6a-1f73553caa07</t>
  </si>
  <si>
    <t>2019-12-12T06:33:18</t>
  </si>
  <si>
    <t>2019-12-12T12:07:21.000-07:00</t>
  </si>
  <si>
    <t>aa8e7db3-f6ce-47f8-8353-8cb1470e44b4</t>
  </si>
  <si>
    <t>2020-03-13T11:42:06</t>
  </si>
  <si>
    <t>2020-03-05T10:26:51.062+05:30</t>
  </si>
  <si>
    <t>2020-03-13T17:19:26.178+05:30</t>
  </si>
  <si>
    <t>2020-03-05T10:27:00.000+05:30</t>
  </si>
  <si>
    <t>22.4742088 88.392837 -38.599998474121094 5.0</t>
  </si>
  <si>
    <t>FOR WG5(1ml=CLEAR,100µl=TDTC,10^4=4)</t>
  </si>
  <si>
    <t>Sample with PLc1121, Red Colony Count: Undiluted volume tested 100 ml - 00</t>
  </si>
  <si>
    <t>70db3fd6-12b2-4307-92a3-88ada3267832</t>
  </si>
  <si>
    <t>2019-10-09T08:04:38</t>
  </si>
  <si>
    <t>18a83de0-d71e-455e-b8f5-0ebe9d362f16</t>
  </si>
  <si>
    <t>2019-12-12T06:34:21</t>
  </si>
  <si>
    <t>2019-10-09T13:41:34.000+06:30</t>
  </si>
  <si>
    <t>cd8eed38-e7dd-4357-a445-03da84ea52f8</t>
  </si>
  <si>
    <t>2020-03-13T11:50:27</t>
  </si>
  <si>
    <t>2020-03-05T10:28:38.751+05:30</t>
  </si>
  <si>
    <t>2020-03-13T17:18:52.609+05:30</t>
  </si>
  <si>
    <t>2019-12-12T12:08:19.000-07:00</t>
  </si>
  <si>
    <t>2020-03-05T10:35:00.000+05:30</t>
  </si>
  <si>
    <t>22.4742463 88.3927786 -55.900001525878906 5.0</t>
  </si>
  <si>
    <t>Sample collected by Biplab Jash, FB at MO1212 site, KMC Ward No 110</t>
  </si>
  <si>
    <t>896d204d-5435-48fd-8c06-70f3ed1d1cfd</t>
  </si>
  <si>
    <t>2020-03-13T11:50:29</t>
  </si>
  <si>
    <t>2020-03-05T10:53:59.405+05:30</t>
  </si>
  <si>
    <t>2020-03-13T17:19:31.609+05:30</t>
  </si>
  <si>
    <t>c926ed57-4605-4d3e-8ffd-9a4d5912452c</t>
  </si>
  <si>
    <t>2019-12-12T06:35:19</t>
  </si>
  <si>
    <t>2020-03-05T10:54:00.000+05:30</t>
  </si>
  <si>
    <t>22.4955994 88.3916006 -48.400001525878906 5.0</t>
  </si>
  <si>
    <t>2019-12-12T12:09:55.000-07:00</t>
  </si>
  <si>
    <t>2019-12-10T12:59:00.000-07:00</t>
  </si>
  <si>
    <t>2019-12-10T14:00:00.000-07:00</t>
  </si>
  <si>
    <t>2019-12-10T14:30:00.000-07:00</t>
  </si>
  <si>
    <t>2019-12-11T14:30:00.000-07:00</t>
  </si>
  <si>
    <t>Sample collected by Debabrata Maity, KMC Ward No 104</t>
  </si>
  <si>
    <t>f7c7e608-2be2-4718-ac83-c9daaa327f97</t>
  </si>
  <si>
    <t>2020-03-13T11:50:30</t>
  </si>
  <si>
    <t>2020-03-05T10:56:08.592+05:30</t>
  </si>
  <si>
    <t>2020-03-13T17:18:57.422+05:30</t>
  </si>
  <si>
    <t>Sample with MO1130, Red Colony Count: Undiluted volume tested 100 ml - 00</t>
  </si>
  <si>
    <t>773021f4-b562-48b5-91cb-2b4b987ca356</t>
  </si>
  <si>
    <t>2019-12-12T06:36:59</t>
  </si>
  <si>
    <t>FOR WG5(1ml=CLEAR,100µl=TDTC)</t>
  </si>
  <si>
    <t>2020-03-05T11:01:00.000+05:30</t>
  </si>
  <si>
    <t>22.4956158 88.3915537 -53.099998474121094 4.5</t>
  </si>
  <si>
    <t>2019-12-12T12:10:56.000-07:00</t>
  </si>
  <si>
    <t>b3658c8d-9de9-4e4f-bd07-ee1c1c8a39cf</t>
  </si>
  <si>
    <t>2019-10-09T08:09:05</t>
  </si>
  <si>
    <t>Sample collected by Debabrata Maity, FB at MO1213 site, KMC Ward No104</t>
  </si>
  <si>
    <t>2019-10-09T13:41:35.000+06:30</t>
  </si>
  <si>
    <t>6a14a63c-024e-4a4e-9458-3523c7e37bd9</t>
  </si>
  <si>
    <t>2019-10-09T13:45:57.000+06:30</t>
  </si>
  <si>
    <t>2020-03-13T11:50:34</t>
  </si>
  <si>
    <t>2020-03-05T11:33:08.911+05:30</t>
  </si>
  <si>
    <t>2020-03-13T17:19:37.016+05:30</t>
  </si>
  <si>
    <t>Sample with MO1131, Red Colony Count: Undiluted volume tested 100 ml - 00</t>
  </si>
  <si>
    <t>2020-03-05T11:34:00.000+05:30</t>
  </si>
  <si>
    <t>22.5345939 88.3959969 -38.599998474121094 5.0</t>
  </si>
  <si>
    <t>b9f58729-f1a1-4a60-966c-ef340eee1660</t>
  </si>
  <si>
    <t>2019-12-12T06:37:58</t>
  </si>
  <si>
    <t>2019-12-12T12:10:57.000-07:00</t>
  </si>
  <si>
    <t>2019-12-12T12:12:30.000-07:00</t>
  </si>
  <si>
    <t>bb512af2-d836-4e88-b1fe-edd13e5f31d6</t>
  </si>
  <si>
    <t>2020-03-13T11:50:36</t>
  </si>
  <si>
    <t>2019-12-10T14:20:00.000-07:00</t>
  </si>
  <si>
    <t>2019-12-10T15:10:00.000-07:00</t>
  </si>
  <si>
    <t>2019-12-11T15:00:00.000-07:00</t>
  </si>
  <si>
    <t>2020-03-05T11:36:17.982+05:30</t>
  </si>
  <si>
    <t>2020-03-13T17:19:02.420+05:30</t>
  </si>
  <si>
    <t>2020-03-05T11:39:00.000+05:30</t>
  </si>
  <si>
    <t>22.5346549 88.3959576 -31.100000381469727 5.0</t>
  </si>
  <si>
    <t>Red colony count: 1:10^4 - TNTC; 1:10^5 - 68; 1:10^6 - 46, Each sample vol tested 1ml</t>
  </si>
  <si>
    <t>Sample collected by Biplab Jash, FB at MO1214 site</t>
  </si>
  <si>
    <t>f60a9c5c-8518-452a-af87-7a96321e361e</t>
  </si>
  <si>
    <t>2020-03-13T11:50:38</t>
  </si>
  <si>
    <t>2020-03-05T12:00:37.262+05:30</t>
  </si>
  <si>
    <t>2020-03-13T17:19:42.741+05:30</t>
  </si>
  <si>
    <t>ac330e29-3efd-4e49-86f5-08469cd99562</t>
  </si>
  <si>
    <t>2019-12-12T06:39:31</t>
  </si>
  <si>
    <t>2020-03-05T12:01:00.000+05:30</t>
  </si>
  <si>
    <t>22.5401431 88.3872741 -38.400001525878906 5.0</t>
  </si>
  <si>
    <t>2019-12-12T12:12:31.000-07:00</t>
  </si>
  <si>
    <t>FOE WG5(1ml=CLEAR)</t>
  </si>
  <si>
    <t>2019-12-12T12:13:58.000-07:00</t>
  </si>
  <si>
    <t>16877b48-558e-4d7a-b9e3-3ba66773bbd0</t>
  </si>
  <si>
    <t>2019-10-09T08:13:27</t>
  </si>
  <si>
    <t>c506c148-479f-461b-a445-b2a9363458df</t>
  </si>
  <si>
    <t>2020-03-13T11:50:40</t>
  </si>
  <si>
    <t>2019-10-17T11:12:54.000+06:30</t>
  </si>
  <si>
    <t>2020-03-05T12:02:22.037+05:30</t>
  </si>
  <si>
    <t>2020-03-13T17:19:07.049+05:30</t>
  </si>
  <si>
    <t>2019-10-17T11:24:40.000+06:30</t>
  </si>
  <si>
    <t>2020-03-05T12:08:00.000+05:30</t>
  </si>
  <si>
    <t>22.5400993 88.3872519 -43.099998474121094 4.5</t>
  </si>
  <si>
    <t>2019-10-15T15:00:00.000+06:30</t>
  </si>
  <si>
    <t>2019-10-15T16:00:00.000+06:30</t>
  </si>
  <si>
    <t>2019-10-16T16:00:00.000+06:30</t>
  </si>
  <si>
    <t>Sample collected by Debabrata Maity, FB at MO1215 site</t>
  </si>
  <si>
    <t>75d8655b-ef0e-4134-9985-3d2e9d89a7e9</t>
  </si>
  <si>
    <t>2020-03-13T11:50:42</t>
  </si>
  <si>
    <t>2020-03-05T12:20:04.857+05:30</t>
  </si>
  <si>
    <t>2020-03-13T17:19:48.278+05:30</t>
  </si>
  <si>
    <t>Sample with PLc1122, Red Colony Count: Undiluted volume tested 100 ml - 00</t>
  </si>
  <si>
    <t>98e897b1-f3f2-49f2-bcf3-1c448f821c48</t>
  </si>
  <si>
    <t>2019-12-12T06:41:00</t>
  </si>
  <si>
    <t>2020-03-05T12:20:00.000+05:30</t>
  </si>
  <si>
    <t>2019-12-12T12:13:59.000-07:00</t>
  </si>
  <si>
    <t>22.5362017 88.3746091 -43.70000076293945 5.0</t>
  </si>
  <si>
    <t>2019-12-12T12:15:29.000-07:00</t>
  </si>
  <si>
    <t>540e18a9-dbee-49c0-ae68-d1ac71692505</t>
  </si>
  <si>
    <t>2020-03-13T11:50:44</t>
  </si>
  <si>
    <t>2020-03-05T12:23:55.673+05:30</t>
  </si>
  <si>
    <t>2020-03-13T17:19:11.514+05:30</t>
  </si>
  <si>
    <t>2020-03-05T12:32:00.000+05:30</t>
  </si>
  <si>
    <t>22.5361852 88.3745379 -52.0 5.0</t>
  </si>
  <si>
    <t>FOR WG5 (1ml=CLEAR, 10^4=3)</t>
  </si>
  <si>
    <t>2,7</t>
  </si>
  <si>
    <t>05f4ae49-757f-435c-bf2c-eccce8fe0336</t>
  </si>
  <si>
    <t>Red colony count: 1:10^4 - TNTC; 1:10^5 - TNTC; 1:10^6 - 75, Each sample vol tested 1ml</t>
  </si>
  <si>
    <t>Sample collected by Biplab Jash, FB at MO1216 site</t>
  </si>
  <si>
    <t>2019-10-17T05:52:05</t>
  </si>
  <si>
    <t>2019-10-17T11:27:14.000+06:30</t>
  </si>
  <si>
    <t>dbb514bd-7a97-4ca6-a2c1-a1370c0ee18e</t>
  </si>
  <si>
    <t>fc936e3a-e5ae-44e7-8ffa-fa30c415a506</t>
  </si>
  <si>
    <t>2020-03-13T11:50:45</t>
  </si>
  <si>
    <t>2019-12-12T06:42:30</t>
  </si>
  <si>
    <t>2020-03-11T11:36:21.224+05:30</t>
  </si>
  <si>
    <t>2019-10-17T11:30:54.000+06:30</t>
  </si>
  <si>
    <t>2020-03-13T17:19:54.427+05:30</t>
  </si>
  <si>
    <t>2019-12-12T12:16:48.000-07:00</t>
  </si>
  <si>
    <t>2020-03-11T11:37:00.000+05:30</t>
  </si>
  <si>
    <t>22.5540729 88.3865684 -40.70000076293945 5.0</t>
  </si>
  <si>
    <t>c52ac77e-2e77-49c2-8169-3f8860ca80c5</t>
  </si>
  <si>
    <t>2020-03-13T11:50:59</t>
  </si>
  <si>
    <t>2020-03-11T11:52:33.793+05:30</t>
  </si>
  <si>
    <t>2020-03-13T17:20:00.959+05:30</t>
  </si>
  <si>
    <t>2020-03-11T11:52:00.000+05:30</t>
  </si>
  <si>
    <t>22.5525009 88.3855496 -42.099998474121094 5.0</t>
  </si>
  <si>
    <t>Sample with PLc1123, Red Colony Count: Undiluted volume tested 100 ml - 00</t>
  </si>
  <si>
    <t>15d4a69b-ef50-49cc-a8f4-f71a90735458</t>
  </si>
  <si>
    <t>2019-12-12T06:43:50</t>
  </si>
  <si>
    <t>f32bb80f-1b92-4fe9-a0f8-e011daa0286c</t>
  </si>
  <si>
    <t>2020-03-13T11:51:03</t>
  </si>
  <si>
    <t>2019-12-12T12:16:49.000-07:00</t>
  </si>
  <si>
    <t>2020-03-11T11:58:51.550+05:30</t>
  </si>
  <si>
    <t>2020-03-13T17:19:16.404+05:30</t>
  </si>
  <si>
    <t>2019-12-12T12:18:24.000-07:00</t>
  </si>
  <si>
    <t>FOR WG5(1ml=CLEAR,10^4=27)</t>
  </si>
  <si>
    <t>94699a0a-d338-45cf-941c-29d7e6c3396d</t>
  </si>
  <si>
    <t>2019-10-17T05:58:17</t>
  </si>
  <si>
    <t>2020-03-11T11:59:00.000+05:30</t>
  </si>
  <si>
    <t>2019-10-21T12:36:58.000+06:30</t>
  </si>
  <si>
    <t>22.5525392 88.3855249 -53.599998474121094 5.0</t>
  </si>
  <si>
    <t>2019-10-21T12:41:37.000+06:30</t>
  </si>
  <si>
    <t>2019-10-17T15:00:00.000+06:30</t>
  </si>
  <si>
    <t>ad1f695a-d335-4c1c-864a-e93296c50365</t>
  </si>
  <si>
    <t>2020-03-13T11:51:06</t>
  </si>
  <si>
    <t>2020-03-12T11:19:40.595+05:30</t>
  </si>
  <si>
    <t>2020-03-13T17:20:08.365+05:30</t>
  </si>
  <si>
    <t>2020-03-12T11:20:00.000+05:30</t>
  </si>
  <si>
    <t>22.5415126 88.3759375 -54.70000076293945 5.0</t>
  </si>
  <si>
    <t>Red colony count: 1:10^4 - TNTC; 1:10^5 - 52; 1:10^6 - 5, Each sample vol tested 1ml</t>
  </si>
  <si>
    <t>b1b847e5-b87a-41d1-af12-529f895fed92</t>
  </si>
  <si>
    <t>2019-12-12T06:45:25</t>
  </si>
  <si>
    <t>de4bb849-994c-4b89-b17c-6920de7a967b</t>
  </si>
  <si>
    <t>2020-03-13T11:51:09</t>
  </si>
  <si>
    <t>2019-12-12T12:19:37.000-07:00</t>
  </si>
  <si>
    <t>2020-03-12T11:30:57.448+05:30</t>
  </si>
  <si>
    <t>2020-03-13T17:20:15.660+05:30</t>
  </si>
  <si>
    <t>2020-03-12T11:31:00.000+05:30</t>
  </si>
  <si>
    <t>22.5418391 88.3748166 -38.099998474121094 5.0</t>
  </si>
  <si>
    <t>5b10160b-4fe1-4a9e-ad95-57b810a22f7e</t>
  </si>
  <si>
    <t>2020-03-13T11:51:13</t>
  </si>
  <si>
    <t>2020-03-12T11:35:58.509+05:30</t>
  </si>
  <si>
    <t>2020-03-13T17:19:21.202+05:30</t>
  </si>
  <si>
    <t>2020-03-12T11:39:00.000+05:30</t>
  </si>
  <si>
    <t>22.5416988 88.3747859 -78.5 5.0</t>
  </si>
  <si>
    <t>4292896e-5e33-41db-b006-dc5bf27e890b</t>
  </si>
  <si>
    <t>Sample with PLc1124, Red Colony Count: Undiluted volume tested 100 ml - 00</t>
  </si>
  <si>
    <t>2019-10-21T07:08:58</t>
  </si>
  <si>
    <t>db6469fe-c359-4afa-8560-95776646f2b8</t>
  </si>
  <si>
    <t>2019-12-12T06:46:38</t>
  </si>
  <si>
    <t>bbc40992-2240-497d-acd7-a8e2b7ffa03c</t>
  </si>
  <si>
    <t>2020-03-13T11:51:17</t>
  </si>
  <si>
    <t>2019-10-21T12:46:38.000+06:30</t>
  </si>
  <si>
    <t>2020-03-12T11:59:24.846+05:30</t>
  </si>
  <si>
    <t>2020-03-13T17:20:22.694+05:30</t>
  </si>
  <si>
    <t>2019-12-12T12:20:55.000-07:00</t>
  </si>
  <si>
    <t>2020-03-12T12:00:00.000+05:30</t>
  </si>
  <si>
    <t>22.5361075 88.3747197 -67.19999694824219 5.0</t>
  </si>
  <si>
    <t>5f5927c0-249d-4d8c-bf4c-7ceca4cbfaf7</t>
  </si>
  <si>
    <t>2020-03-13T11:51:20</t>
  </si>
  <si>
    <t>2020-03-16T10:46:33.429+05:30</t>
  </si>
  <si>
    <t>2020-03-16T17:19:40.294+05:30</t>
  </si>
  <si>
    <t>2020-03-16T10:47:00.000+05:30</t>
  </si>
  <si>
    <t>22.5416525 88.3760006 -43.400001525878906 4.5</t>
  </si>
  <si>
    <t>Red colony count: 1:10^4 -110; 1:10^5 - 15; 1:10^6 - 2, Each sample vol tested 1ml</t>
  </si>
  <si>
    <t>925eb96c-35be-4af8-9cab-f57cff106bf8</t>
  </si>
  <si>
    <t>2020-03-16T11:49:50</t>
  </si>
  <si>
    <t>2020-03-16T10:59:36.012+05:30</t>
  </si>
  <si>
    <t>2020-03-16T17:19:44.644+05:30</t>
  </si>
  <si>
    <t>3004eb21-4d42-483b-95fd-9075a079b11a</t>
  </si>
  <si>
    <t>2020-03-16T11:00:00.000+05:30</t>
  </si>
  <si>
    <t>2019-12-12T06:47:57</t>
  </si>
  <si>
    <t>22.5418402 88.3748337 -23.799999237060547 5.0</t>
  </si>
  <si>
    <t>2019-12-12T12:21:54.000-07:00</t>
  </si>
  <si>
    <t>64183834-67ab-4d6f-90c0-c23b6e9787fc</t>
  </si>
  <si>
    <t>2020-03-16T11:49:53</t>
  </si>
  <si>
    <t>2020-03-16T12:29:23.980+05:30</t>
  </si>
  <si>
    <t>2020-03-16T17:19:35.581+05:30</t>
  </si>
  <si>
    <t>2020-03-16T11:19:00.000+05:30</t>
  </si>
  <si>
    <t>22.5419342 88.3761541 -28.299999237060547 5.0</t>
  </si>
  <si>
    <t>1a0f8a42-c95e-4770-8cee-3d8ef1a55ff7</t>
  </si>
  <si>
    <t>2020-03-16T11:50:06</t>
  </si>
  <si>
    <t>2020-03-17T10:41:19.669+05:30</t>
  </si>
  <si>
    <t>2020-03-17T16:02:30.934+05:30</t>
  </si>
  <si>
    <t>Sample with PLc1125, Red Colony Count: Undiluted volume tested 100 ml - 00</t>
  </si>
  <si>
    <t>b6798afd-a905-4183-8666-a8dc68e88f4a</t>
  </si>
  <si>
    <t>01022080-a709-4dc6-9c2e-9f5d080a9830</t>
  </si>
  <si>
    <t>2019-10-21T07:13:59</t>
  </si>
  <si>
    <t>2020-03-17T10:42:00.000+05:30</t>
  </si>
  <si>
    <t>2019-12-12T06:48:56</t>
  </si>
  <si>
    <t>22.5563355 88.3921736 -30.5 5.0</t>
  </si>
  <si>
    <t>2019-10-25T12:27:23.000+06:30</t>
  </si>
  <si>
    <t>2019-12-12T12:23:49.000-07:00</t>
  </si>
  <si>
    <t>2019-10-25T12:33:50.000+06:30</t>
  </si>
  <si>
    <t>bdc18e23-d3fc-43f7-ab15-22f121179e4f</t>
  </si>
  <si>
    <t>2020-03-17T10:32:53</t>
  </si>
  <si>
    <t>2019-10-22T14:30:00.000+06:30</t>
  </si>
  <si>
    <t>2020-03-17T10:53:01.982+05:30</t>
  </si>
  <si>
    <t>2020-03-17T16:02:35.701+05:30</t>
  </si>
  <si>
    <t>2019-10-22T15:30:00.000+06:30</t>
  </si>
  <si>
    <t>2019-10-23T15:30:00.000+06:30</t>
  </si>
  <si>
    <t>2020-03-17T10:53:00.000+05:30</t>
  </si>
  <si>
    <t>22.5580188 88.3895929 -55.20000076293945 5.0</t>
  </si>
  <si>
    <t>0fcbeea5-4aeb-4360-88e1-7cddbb13e58c</t>
  </si>
  <si>
    <t>2019-12-12T06:50:51</t>
  </si>
  <si>
    <t>2019-12-16T10:49:53.000-07:00</t>
  </si>
  <si>
    <t>e63267f6-2bc5-45ec-96f0-7736d009438d</t>
  </si>
  <si>
    <t>2020-03-17T10:32:56</t>
  </si>
  <si>
    <t>2020-03-17T10:54:44.598+05:30</t>
  </si>
  <si>
    <t>2020-03-17T16:02:49.720+05:30</t>
  </si>
  <si>
    <t>2019-12-16T10:53:01.000-07:00</t>
  </si>
  <si>
    <t>2020-03-17T11:01:00.000+05:30</t>
  </si>
  <si>
    <t>22.5580029 88.3896592 -46.099998474121094 5.0</t>
  </si>
  <si>
    <t>2019-12-11T13:01:00.000-07:00</t>
  </si>
  <si>
    <t>2019-12-11T14:42:00.000-07:00</t>
  </si>
  <si>
    <t>2019-12-11T14:55:00.000-07:00</t>
  </si>
  <si>
    <t>2019-12-12T15:00:00.000-07:00</t>
  </si>
  <si>
    <t>1b9df53d-ed42-4cb6-8979-749a69aa3352</t>
  </si>
  <si>
    <t>2020-03-17T10:32:59</t>
  </si>
  <si>
    <t>2020-03-17T11:17:16.634+05:30</t>
  </si>
  <si>
    <t>2020-03-17T16:02:40.447+05:30</t>
  </si>
  <si>
    <t>Blue Colony Count: 1:10^6 - 00 vol tested 1ml, Red colony count: 1:10^3 - TNTC 1:10^4 -102; 1:10^5 - 11; 1:10^6 - 01, Each sample vol tested 1ml</t>
  </si>
  <si>
    <t>2020-03-17T11:17:00.000+05:30</t>
  </si>
  <si>
    <t>3cb352ce-4715-412a-ae46-1a1e143c65dd</t>
  </si>
  <si>
    <t>22.5636022 88.3772972 -35.20000076293945 5.0</t>
  </si>
  <si>
    <t>2019-12-16T05:19:59</t>
  </si>
  <si>
    <t>2019-12-16T10:54:15.000-07:00</t>
  </si>
  <si>
    <t>91ac417f-8cfa-4d9a-926a-470c1b4fd8e6</t>
  </si>
  <si>
    <t>2019-12-11T14:00:00.000-07:00</t>
  </si>
  <si>
    <t>2020-03-17T10:33:03</t>
  </si>
  <si>
    <t>2019-12-12T14:30:00.000-07:00</t>
  </si>
  <si>
    <t>2020-03-17T11:36:52.893+05:30</t>
  </si>
  <si>
    <t>2020-03-17T16:02:44.923+05:30</t>
  </si>
  <si>
    <t>(SAMPLE WITH FB1077) FOR WG5 READING (10^4=0)</t>
  </si>
  <si>
    <t>2020-03-17T11:37:00.000+05:30</t>
  </si>
  <si>
    <t>22.5578795 88.4109037 -42.79999923706055 5.0</t>
  </si>
  <si>
    <t>vWhJp6W2ktHgs7kEUUWxyv</t>
  </si>
  <si>
    <t>47b78d09-74c8-403b-b90f-d2a32ca5f206</t>
  </si>
  <si>
    <t>2019-10-25T07:01:08</t>
  </si>
  <si>
    <t>ea383d5c-0144-42ff-97b4-bf252473dd55</t>
  </si>
  <si>
    <t>2019-12-16T05:21:13</t>
  </si>
  <si>
    <t>24098adb-ada3-448b-bc11-7e94b38ef0e2</t>
  </si>
  <si>
    <t>2020-03-17T10:33:06</t>
  </si>
  <si>
    <t>2019-10-25T12:48:51.000+06:30</t>
  </si>
  <si>
    <t>2020-03-17T11:39:06.557+05:30</t>
  </si>
  <si>
    <t>2020-03-17T16:02:24.911+05:30</t>
  </si>
  <si>
    <t>2019-12-16T10:58:46.000-07:00</t>
  </si>
  <si>
    <t>2020-03-17T11:44:00.000+05:30</t>
  </si>
  <si>
    <t>22.557885 88.4108253 -67.9000015258789 5.0</t>
  </si>
  <si>
    <t>2019-12-12T14:15:00.000-07:00</t>
  </si>
  <si>
    <t>2019-12-12T15:40:00.000-07:00</t>
  </si>
  <si>
    <t>2019-12-13T15:40:00.000-07:00</t>
  </si>
  <si>
    <t>2b7f9010-8cd8-4b8c-be73-c6663fe6c3e1</t>
  </si>
  <si>
    <t>2020-03-17T10:33:09</t>
  </si>
  <si>
    <t>2020-03-18T11:11:58.427+05:30</t>
  </si>
  <si>
    <t>2020-03-19T17:10:11.063+05:30</t>
  </si>
  <si>
    <t>Red colony count: 1:10^4 -04; 1:10^5 - 01; 1:10^6 - 00, Each sample vol tested 1ml</t>
  </si>
  <si>
    <t>834777a5-589f-4f42-a654-5a3a52389bc4</t>
  </si>
  <si>
    <t>2020-03-18T11:18:00.000+05:30</t>
  </si>
  <si>
    <t>22.536128 88.3746935 -18.100000381469727 5.0</t>
  </si>
  <si>
    <t>2019-12-16T05:25:42</t>
  </si>
  <si>
    <t>2019-12-16T11:18:49.000-07:00</t>
  </si>
  <si>
    <t>752730b6-ec41-4ffb-a688-3d5211e715fe</t>
  </si>
  <si>
    <t>2020-03-19T11:40:29</t>
  </si>
  <si>
    <t>2019-12-12T14:25:00.000-07:00</t>
  </si>
  <si>
    <t>2019-12-12T14:45:00.000-07:00</t>
  </si>
  <si>
    <t>2020-03-19T10:53:03.508+05:30</t>
  </si>
  <si>
    <t>2019-12-13T14:45:00.000-07:00</t>
  </si>
  <si>
    <t>2020-03-19T17:10:00.109+05:30</t>
  </si>
  <si>
    <t>2020-03-19T10:53:00.000+05:30</t>
  </si>
  <si>
    <t>22.5419003 88.3748513 -18.899999618530273 5.0</t>
  </si>
  <si>
    <t>Sample with PLc1126, Red Colony Count: Undiluted volume tested 100 ml - 00</t>
  </si>
  <si>
    <t>601bbfe0-9252-4a1f-8054-49e79ba12710</t>
  </si>
  <si>
    <t>2019-12-16T05:45:46</t>
  </si>
  <si>
    <t>2019-12-16T11:20:31.000-07:00</t>
  </si>
  <si>
    <t>9618eacd-8137-4c5e-aeb7-e861d2711916</t>
  </si>
  <si>
    <t>(SAMPLE WITH FB1078), FOR WG5 READING (10^4=1)</t>
  </si>
  <si>
    <t>2020-03-19T11:40:35</t>
  </si>
  <si>
    <t>2020-03-19T11:04:30.632+05:30</t>
  </si>
  <si>
    <t>2020-03-19T17:10:06.111+05:30</t>
  </si>
  <si>
    <t>f8117c7c-b8e9-4780-8414-ab3a161e865b</t>
  </si>
  <si>
    <t>2019-10-25T07:16:08</t>
  </si>
  <si>
    <t>K22043, K22044</t>
  </si>
  <si>
    <t>2020-03-19T11:05:00.000+05:30</t>
  </si>
  <si>
    <t>22.5414364 88.3742006 -53.29999923706055 5.0</t>
  </si>
  <si>
    <t>2019-10-25T12:56:39.000+06:30</t>
  </si>
  <si>
    <t>Red colony count: 1:10^4 -TNTC; 1:10^5 - 50; 1:10^6 - 05, Each sample vol tested 1ml</t>
  </si>
  <si>
    <t>9153d438-1e40-4c44-8700-77e3a2d0b33e</t>
  </si>
  <si>
    <t>2019-12-16T05:47:29</t>
  </si>
  <si>
    <t>1d6cc6ef-f86a-47ef-88b4-defd8e73107d</t>
  </si>
  <si>
    <t>2020-03-19T11:40:36</t>
  </si>
  <si>
    <t>2019-12-16T11:21:39.000-07:00</t>
  </si>
  <si>
    <t>2020-03-19T11:11:12.909+05:30</t>
  </si>
  <si>
    <t>2020-03-19T17:09:54.302+05:30</t>
  </si>
  <si>
    <t>2020-03-19T11:12:00.000+05:30</t>
  </si>
  <si>
    <t>22.5414538 88.3742341 -39.099998474121094 5.0</t>
  </si>
  <si>
    <t>Sample with PLc1202, Red Colony Count: Undiluted volume tested 100 ml - 00</t>
  </si>
  <si>
    <t>f1c8ceba-cd21-435a-bf00-e2f0a2d22b53</t>
  </si>
  <si>
    <t>2020-03-19T11:40:38</t>
  </si>
  <si>
    <t>381f8b6b-a057-4c5f-bc90-4ab8aadf4bc9</t>
  </si>
  <si>
    <t>2019-12-16T05:48:36</t>
  </si>
  <si>
    <t>2020-03-18T09:46:23.602+05:30</t>
  </si>
  <si>
    <t>2019-12-16T11:21:40.000-07:00</t>
  </si>
  <si>
    <t>2020-03-19T17:20:19.374+05:30</t>
  </si>
  <si>
    <t>2020-03-18T09:47:00.000+05:30</t>
  </si>
  <si>
    <t>22.6061183 88.3734336 -57.70000076293945 5.0</t>
  </si>
  <si>
    <t>2019-12-16T11:23:12.000-07:00</t>
  </si>
  <si>
    <t>333c2978-2692-443e-965c-1fd6e2df5f22</t>
  </si>
  <si>
    <t>2020-03-19T11:51:25</t>
  </si>
  <si>
    <t>2020-03-18T10:02:17.748+05:30</t>
  </si>
  <si>
    <t>2020-03-19T17:20:24.165+05:30</t>
  </si>
  <si>
    <t>2020-03-18T10:03:00.000+05:30</t>
  </si>
  <si>
    <t>22.6076073 88.3925341 -37.29999923706055 5.0</t>
  </si>
  <si>
    <t>(SAMPLE WITH FB1079),WG5 READIND(10^4=0)</t>
  </si>
  <si>
    <t>Red colony count: 1:10^4 - TNTC; 1:10^5 - 42; 1:10^6 - 11, Each sample vol tested 1ml</t>
  </si>
  <si>
    <t>c02c6d1a-96f5-4e8b-a1de-017cb71784d2</t>
  </si>
  <si>
    <t>2020-03-19T11:51:28</t>
  </si>
  <si>
    <t>66be41e4-74bc-4c6a-8e6e-a252ac42b03a</t>
  </si>
  <si>
    <t>2020-03-18T10:25:48.027+05:30</t>
  </si>
  <si>
    <t>2019-12-16T05:50:08</t>
  </si>
  <si>
    <t>2020-03-19T17:20:28.713+05:30</t>
  </si>
  <si>
    <t>44a7681a-030b-4f62-a390-4d90057b6b7c</t>
  </si>
  <si>
    <t>2019-10-25T07:23:57</t>
  </si>
  <si>
    <t>2020-03-18T10:26:00.000+05:30</t>
  </si>
  <si>
    <t>2019-10-25T12:56:40.000+06:30</t>
  </si>
  <si>
    <t>22.6041232 88.4166462 -56.400001525878906 5.0</t>
  </si>
  <si>
    <t>2019-12-16T11:24:15.000-07:00</t>
  </si>
  <si>
    <t>2019-10-25T13:12:04.000+06:30</t>
  </si>
  <si>
    <t>Sample collected by Biplab Jash, at SDDM ward no 29</t>
  </si>
  <si>
    <t>9178802e-c296-420f-bc2e-dc3e6575cdb3</t>
  </si>
  <si>
    <t>Sample with PLc1128, Red Colony Count: Undiluted volume tested 100 ml - 00</t>
  </si>
  <si>
    <t>2020-03-19T11:51:32</t>
  </si>
  <si>
    <t>2020-03-18T10:28:48.746+05:30</t>
  </si>
  <si>
    <t>2020-03-19T17:20:05.774+05:30</t>
  </si>
  <si>
    <t>941ba389-d55f-4fda-a1f9-54d15036b1ae</t>
  </si>
  <si>
    <t>2019-12-16T05:51:12</t>
  </si>
  <si>
    <t>2020-03-18T10:29:00.000+05:30</t>
  </si>
  <si>
    <t>2019-12-16T11:25:43.000-07:00</t>
  </si>
  <si>
    <t>22.6040723 88.4166492 -29.100000381469727 4.5</t>
  </si>
  <si>
    <t>Sample collected by Biplab Jash at MO1228 site</t>
  </si>
  <si>
    <t>c95ee9c8-ced1-4178-a11a-e5507679b024</t>
  </si>
  <si>
    <t>2020-03-19T11:51:34</t>
  </si>
  <si>
    <t>2020-03-18T11:47:18.978+05:30</t>
  </si>
  <si>
    <t>2020-03-19T17:20:56.187+05:30</t>
  </si>
  <si>
    <t>2020-03-18T11:47:00.000+05:30</t>
  </si>
  <si>
    <t>22.5566007 88.3828154 -50.0 5.0</t>
  </si>
  <si>
    <t>Red colony count: 1:10^4 -TNTC; 1:10^5 - 52; 1:10^6 - 06, Each sample vol tested 1ml</t>
  </si>
  <si>
    <t>d19dc2d6-72af-4e77-922e-62bf2a8f253d</t>
  </si>
  <si>
    <t>2019-12-16T05:52:41</t>
  </si>
  <si>
    <t>669f235b-74de-49cb-80bc-43f4216bf654</t>
  </si>
  <si>
    <t>2020-03-19T11:51:37</t>
  </si>
  <si>
    <t>2019-12-16T11:26:48.000-07:00</t>
  </si>
  <si>
    <t>2020-03-18T11:57:48.945+05:30</t>
  </si>
  <si>
    <t>2020-03-19T17:21:01.076+05:30</t>
  </si>
  <si>
    <t>SAMPLE WITH FB1080, WG5 READING(1ml=CLEAR,10^4=0)</t>
  </si>
  <si>
    <t>2020-03-18T11:58:00.000+05:30</t>
  </si>
  <si>
    <t>22.5568457 88.382829 -51.099998474121094 5.0</t>
  </si>
  <si>
    <t>f9210290-0d96-49ac-b0b7-4e3f7e5f44e0</t>
  </si>
  <si>
    <t>2019-10-25T07:39:23</t>
  </si>
  <si>
    <t>2019-10-25T13:12:05.000+06:30</t>
  </si>
  <si>
    <t>Sample with PLc1129, Red Colony Count: Undiluted volume tested 100 ml - 00</t>
  </si>
  <si>
    <t>2019-10-25T13:14:59.000+06:30</t>
  </si>
  <si>
    <t>9db69f31-61af-4a6a-9571-6b265f81d458</t>
  </si>
  <si>
    <t>2020-03-19T11:51:40</t>
  </si>
  <si>
    <t>d2358917-178b-4d56-ba5d-9bc22f328644</t>
  </si>
  <si>
    <t>2019-12-16T05:53:44</t>
  </si>
  <si>
    <t>2020-03-18T12:00:57.934+05:30</t>
  </si>
  <si>
    <t>2020-03-19T17:20:10.404+05:30</t>
  </si>
  <si>
    <t>2020-03-18T12:03:00.000+05:30</t>
  </si>
  <si>
    <t>22.5568596 88.3828281 -42.5 5.0</t>
  </si>
  <si>
    <t>2019-12-16T11:28:08.000-07:00</t>
  </si>
  <si>
    <t>PLC1130</t>
  </si>
  <si>
    <t>8136396c-f991-45ae-99c4-91fa8361e70f</t>
  </si>
  <si>
    <t>2020-03-19T11:51:43</t>
  </si>
  <si>
    <t>2020-03-19T10:12:09.722+05:30</t>
  </si>
  <si>
    <t>2020-03-19T17:20:33.418+05:30</t>
  </si>
  <si>
    <t>2020-03-19T10:13:00.000+05:30</t>
  </si>
  <si>
    <t>22.4742538 88.3928121 -20.600000381469727 5.0</t>
  </si>
  <si>
    <t>Sample collected by Biplab Jash at KMC Ward No 110</t>
  </si>
  <si>
    <t>1de2948b-f375-461b-a4b8-5ead35adbb47</t>
  </si>
  <si>
    <t>2020-03-19T11:51:46</t>
  </si>
  <si>
    <t>2020-03-19T10:36:51.630+05:30</t>
  </si>
  <si>
    <t>2020-03-19T17:20:37.975+05:30</t>
  </si>
  <si>
    <t>Red colony count: 1:10^4 - 68; 1:10^5 - 6; 1:10^6 - 00, Each sample vol tested 1ml</t>
  </si>
  <si>
    <t>2020-03-19T10:37:00.000+05:30</t>
  </si>
  <si>
    <t>22.49555 88.3915927 -34.79999923706055 5.0</t>
  </si>
  <si>
    <t>61c50387-4af9-48f5-a491-08103e4454ed</t>
  </si>
  <si>
    <t>2019-12-16T05:55:06</t>
  </si>
  <si>
    <t>2019-12-16T11:28:09.000-07:00</t>
  </si>
  <si>
    <t>2019-12-16T11:29:18.000-07:00</t>
  </si>
  <si>
    <t>Sample collected by Asish Saha at KMC Ward no 104</t>
  </si>
  <si>
    <t>94cc3bc1-c017-4773-8919-a06080e2d6d4</t>
  </si>
  <si>
    <t>2020-03-19T11:51:49</t>
  </si>
  <si>
    <t>2020-03-19T11:03:32.030+05:30</t>
  </si>
  <si>
    <t>2020-03-19T17:20:42.538+05:30</t>
  </si>
  <si>
    <t>2020-03-19T11:04:00.000+05:30</t>
  </si>
  <si>
    <t>22.5347101 88.3959052 -35.79999923706055 5.0</t>
  </si>
  <si>
    <t>SAMPLE WITH FB1081, WG5 READING (1ml=CLEAR,10^4=0)</t>
  </si>
  <si>
    <t>Sample with PLc1130, Red Colony Count: Undiluted volume tested 100 ml - 00</t>
  </si>
  <si>
    <t>955e82d1-74b5-4be1-b6ec-07c62a1f74d5</t>
  </si>
  <si>
    <t>2019-10-25T07:42:17</t>
  </si>
  <si>
    <t>7afbe0cc-314d-48bc-a1c8-8da168f80d37</t>
  </si>
  <si>
    <t>2019-12-16T05:56:16</t>
  </si>
  <si>
    <t>479ab6a4-461f-4e68-92ac-1ba39a1a008b</t>
  </si>
  <si>
    <t>2020-03-19T11:51:52</t>
  </si>
  <si>
    <t>2019-11-05T11:50:56.000+06:30</t>
  </si>
  <si>
    <t>2020-03-19T11:17:41.952+05:30</t>
  </si>
  <si>
    <t>2020-03-19T17:20:46.970+05:30</t>
  </si>
  <si>
    <t>2019-12-16T11:30:39.000-07:00</t>
  </si>
  <si>
    <t>2019-11-05T12:03:17.000+06:30</t>
  </si>
  <si>
    <t>2020-03-19T11:18:00.000+05:30</t>
  </si>
  <si>
    <t>22.5400898 88.3872008 -41.400001525878906 5.0</t>
  </si>
  <si>
    <t>2019-12-12T14:20:00.000-07:00</t>
  </si>
  <si>
    <t>2019-12-12T14:50:00.000-07:00</t>
  </si>
  <si>
    <t>2019-12-13T14:50:00.000-07:00</t>
  </si>
  <si>
    <t>2019-11-24T15:00:00.000+06:30</t>
  </si>
  <si>
    <t>2019-11-25T15:30:00.000+06:30</t>
  </si>
  <si>
    <t>8b2ed21b-9da2-40f0-a77c-671c0b5ee75c</t>
  </si>
  <si>
    <t>2020-03-19T11:51:55</t>
  </si>
  <si>
    <t>Sample with MO1132, Red Colony Count: Undiluted volume tested 100 ml - 00</t>
  </si>
  <si>
    <t>2020-03-19T11:33:00.858+05:30</t>
  </si>
  <si>
    <t>2020-03-19T17:20:51.545+05:30</t>
  </si>
  <si>
    <t>a1653c32-651e-4eec-acc2-ea667cdedc77</t>
  </si>
  <si>
    <t>2019-12-16T05:57:35</t>
  </si>
  <si>
    <t>2020-03-19T11:34:00.000+05:30</t>
  </si>
  <si>
    <t>22.5360327 88.3746146 -41.70000076293945 5.0</t>
  </si>
  <si>
    <t>2019-12-16T11:31:41.000-07:00</t>
  </si>
  <si>
    <t>4a18556c-bd9b-49bd-8c9a-2cb14e273b24</t>
  </si>
  <si>
    <t>2020-03-19T11:51:57</t>
  </si>
  <si>
    <t>2020-03-19T11:37:13.427+05:30</t>
  </si>
  <si>
    <t>2020-03-19T17:20:14.716+05:30</t>
  </si>
  <si>
    <t>Sample with MO1133, Red Colony Count: Undiluted volume tested 100 ml - 00</t>
  </si>
  <si>
    <t>d28ff63f-78c2-4497-8e98-315fc5d46ce4</t>
  </si>
  <si>
    <t>2019-12-16T05:58:37</t>
  </si>
  <si>
    <t>22.5361319 88.3745877 -36.900001525878906 5.0</t>
  </si>
  <si>
    <t>2019-12-16T11:32:41.000-07:00</t>
  </si>
  <si>
    <t>Sample collected by Biplab Jash at MO1233 Site</t>
  </si>
  <si>
    <t>2ef0ff76-a290-4580-a646-c84d37ba2efb</t>
  </si>
  <si>
    <t>2020-03-19T11:52:01</t>
  </si>
  <si>
    <t>2455f1d8-f613-4178-9d9e-42e1662b1908</t>
  </si>
  <si>
    <t>2019-11-05T06:30:25</t>
  </si>
  <si>
    <t>2019-11-05T12:03:18.000+06:30</t>
  </si>
  <si>
    <t>2019-11-05T12:06:13.000+06:30</t>
  </si>
  <si>
    <t>b3b70799-db11-4d6e-b1a4-8f9d7e2d9b80</t>
  </si>
  <si>
    <t>2019-12-16T05:59:38</t>
  </si>
  <si>
    <t>2019-12-16T11:32:42.000-07:00</t>
  </si>
  <si>
    <t>2019-11-24T14:00:00.000+06:30</t>
  </si>
  <si>
    <t>2019-12-16T11:34:14.000-07:00</t>
  </si>
  <si>
    <t>2019-12-13T15:25:00.000-07:00</t>
  </si>
  <si>
    <t>2019-12-13T16:00:00.000-07:00</t>
  </si>
  <si>
    <t>2019-12-14T14:00:00.000-07:00</t>
  </si>
  <si>
    <t>Red colony count: 1:10^4 -122; 1:10^5 - 14; 1:10^6 - 00, Each sample vol tested 1ml</t>
  </si>
  <si>
    <t>1973eb68-d353-4c05-9aa2-455627ebf8c9</t>
  </si>
  <si>
    <t>2019-12-16T06:01:11</t>
  </si>
  <si>
    <t>2019-12-16T11:35:19.000-07:00</t>
  </si>
  <si>
    <t>2019-12-13T15:00:00.000-07:00</t>
  </si>
  <si>
    <t>2019-12-13T15:20:00.000-07:00</t>
  </si>
  <si>
    <t>Sample with PLc1131, Red Colony Count: Undiluted volume tested 100 ml - 00</t>
  </si>
  <si>
    <t>e7041cc6-b234-41a4-a51e-11199598b672</t>
  </si>
  <si>
    <t>2019-12-16T06:02:16</t>
  </si>
  <si>
    <t>2019-12-16T11:36:49.000-07:00</t>
  </si>
  <si>
    <t>b87e0e84-7024-43ca-99c0-ddd8dd233844</t>
  </si>
  <si>
    <t>2019-11-05T06:33:22</t>
  </si>
  <si>
    <t>2019-11-05T12:13:34.000+06:30</t>
  </si>
  <si>
    <t>Red colony count: 1:10^4 -10; 1:10^5 - 4; 1:10^6 - 2, Each sample vol tested 1ml</t>
  </si>
  <si>
    <t>2019-10-25T15:30:00.000+06:30</t>
  </si>
  <si>
    <t>e6ea3929-5e6c-4c17-9ac1-ede91f10d02d</t>
  </si>
  <si>
    <t>2019-12-16T06:03:47</t>
  </si>
  <si>
    <t>2019-12-16T11:38:11.000-07:00</t>
  </si>
  <si>
    <t>Sample with PLc1132, Red Colony Count: Undiluted volume tested 100 ml - 00</t>
  </si>
  <si>
    <t>lab_dna_yn</t>
  </si>
  <si>
    <t>c6b23fb3-9e74-40bc-bebf-4713d4add197</t>
  </si>
  <si>
    <t>2019-12-16T06:05:08</t>
  </si>
  <si>
    <t>lab_dna_date</t>
  </si>
  <si>
    <t>2019-12-16T11:40:02.000-07:00</t>
  </si>
  <si>
    <t>MSA 1:10^4- 0, vol. 1ml</t>
  </si>
  <si>
    <t>2019-05-15T15:00:16.000-07:00</t>
  </si>
  <si>
    <t>dcedde2a-5447-45ea-b9fc-dff11ab3b1c9</t>
  </si>
  <si>
    <t>2019-11-05T06:40:41</t>
  </si>
  <si>
    <t>2019-05-15T15:01:53.000-07:00</t>
  </si>
  <si>
    <t>2019-11-05T12:56:12.000+06:30</t>
  </si>
  <si>
    <t>2019-05-03T11:30:00.000-07:00</t>
  </si>
  <si>
    <t>2019-11-05T12:58:59.000+06:30</t>
  </si>
  <si>
    <t>Red colony count: 1:10^4 -TNTC; 1:10^5 - TNTC; 1:10^6 - 92, Each sample vol tested 1ml</t>
  </si>
  <si>
    <t>vYUAu4yKSJkdYShNqiUtiB</t>
  </si>
  <si>
    <t>e11eb083-aaab-4d70-9688-daa86d28028e</t>
  </si>
  <si>
    <t>6095fc80-5ab6-407d-a359-e754e072bc59</t>
  </si>
  <si>
    <t>2019-05-15T09:32:12</t>
  </si>
  <si>
    <t>2019-12-16T06:06:59</t>
  </si>
  <si>
    <t>2019-05-15T15:06:47.000-07:00</t>
  </si>
  <si>
    <t>2019-12-16T11:41:32.000-07:00</t>
  </si>
  <si>
    <t>2019-05-09T10:40:00.000-07:00</t>
  </si>
  <si>
    <t>eb8414f6-a3ad-43b3-8612-9948f30c0f0b</t>
  </si>
  <si>
    <t>2019-05-15T09:37:07</t>
  </si>
  <si>
    <t>Sample with PLc1133, Red Colony Count: Undiluted volume tested 100 ml - 00</t>
  </si>
  <si>
    <t>2019-05-15T15:09:14.000-07:00</t>
  </si>
  <si>
    <t>35c3b80c-c287-4514-a9a1-8b38d7561696</t>
  </si>
  <si>
    <t>2019-12-16T06:08:30</t>
  </si>
  <si>
    <t>2019-12-16T11:43:26.000-07:00</t>
  </si>
  <si>
    <t>65f45bfd-e8d2-4a70-bef5-4d33b82b27e2</t>
  </si>
  <si>
    <t>2019-05-15T09:39:34</t>
  </si>
  <si>
    <t>2019-05-15T15:25:39.000-07:00</t>
  </si>
  <si>
    <t>Red colony count: 1:10^4 -101; 1:10^5 - 10; 1:10^6 - 02, Each sample vol tested 1ml</t>
  </si>
  <si>
    <t>0bd35c53-8976-4b8c-9eb7-c984c9351903</t>
  </si>
  <si>
    <t>2019-12-16T06:10:23</t>
  </si>
  <si>
    <t>2019-12-16T11:43:27.000-07:00</t>
  </si>
  <si>
    <t>2019-12-16T11:45:09.000-07:00</t>
  </si>
  <si>
    <t>f26d11bd-8397-4239-b609-f42fde93e0a7</t>
  </si>
  <si>
    <t>2019-05-15T09:55:58</t>
  </si>
  <si>
    <t>2019-05-15T15:28:47.000-07:00</t>
  </si>
  <si>
    <t>Sample with PLc1134, Red Colony Count: Undiluted volume tested 100 ml - 00</t>
  </si>
  <si>
    <t>4eef80c8-f41b-486f-90bb-9a4157396dbf</t>
  </si>
  <si>
    <t>2019-12-16T06:12:07</t>
  </si>
  <si>
    <t>4c321d0b-052e-425d-a5e3-8f4fad35da96</t>
  </si>
  <si>
    <t>2019-05-15T09:59:06</t>
  </si>
  <si>
    <t>2019-12-16T11:46:12.000-07:00</t>
  </si>
  <si>
    <t>2019-05-15T15:40:33.000-07:00</t>
  </si>
  <si>
    <t>67a609f1-df3c-40bd-9c09-754f8ef05e5c</t>
  </si>
  <si>
    <t>2019-11-05T07:26:07</t>
  </si>
  <si>
    <t>2019-11-05T13:00:58.000+06:30</t>
  </si>
  <si>
    <t>87b5c73e-6a47-48ee-8f9f-e668a77ce184</t>
  </si>
  <si>
    <t>2019-05-15T10:10:52</t>
  </si>
  <si>
    <t>3c971a31-adf9-4540-9049-94f221c131f1</t>
  </si>
  <si>
    <t>2019-12-16T06:13:09</t>
  </si>
  <si>
    <t>2019-12-19T11:29:40.000-07:00</t>
  </si>
  <si>
    <t>2019-12-19T11:35:18.000-07:00</t>
  </si>
  <si>
    <t>2019-05-15T15:42:27.000-07:00</t>
  </si>
  <si>
    <t>2019-12-16T13:45:00.000-07:00</t>
  </si>
  <si>
    <t>2019-12-16T14:30:00.000-07:00</t>
  </si>
  <si>
    <t>2019-12-16T15:00:00.000-07:00</t>
  </si>
  <si>
    <t>2019-12-17T15:00:00.000-07:00</t>
  </si>
  <si>
    <t>0e185f2c-eb6b-4d4f-a0ab-83bb1530c74b</t>
  </si>
  <si>
    <t>2019-05-15T10:12:47</t>
  </si>
  <si>
    <t>Red colony count: 1:10^4 -60; 1:10^5 - 5; 1:10^6 - 02, Each sample vol tested 1ml</t>
  </si>
  <si>
    <t>a49d03fb-c0d6-446a-a70f-ce3d448c5822</t>
  </si>
  <si>
    <t>2019-12-19T06:02:14</t>
  </si>
  <si>
    <t>2019-05-15T15:44:24.000-07:00</t>
  </si>
  <si>
    <t>2019-12-19T11:42:57.000-07:00</t>
  </si>
  <si>
    <t>2019-12-16T14:00:00.000-07:00</t>
  </si>
  <si>
    <t>36e8857d-0e86-4466-ab89-f878338be9c0</t>
  </si>
  <si>
    <t>2019-05-15T10:14:43</t>
  </si>
  <si>
    <t>Sample with PLc1135, Red Colony Count: Undiluted volume tested 100 ml - 00</t>
  </si>
  <si>
    <t>2019-05-23T17:54:02.000-07:00</t>
  </si>
  <si>
    <t>6f29acda-b9c0-4795-aad7-63a49cca7175</t>
  </si>
  <si>
    <t>c8e536d1-94e8-4ef7-a5e9-5b47334441fe</t>
  </si>
  <si>
    <t>2019-11-05T07:28:07</t>
  </si>
  <si>
    <t>2019-12-19T06:09:53</t>
  </si>
  <si>
    <t>2019-12-19T11:42:58.000-07:00</t>
  </si>
  <si>
    <t>2019-05-23T17:56:37.000-07:00</t>
  </si>
  <si>
    <t>2019-12-19T11:44:34.000-07:00</t>
  </si>
  <si>
    <t>2019-11-05T13:02:47.000+06:30</t>
  </si>
  <si>
    <t>2019-05-16T11:00:00.000-07:00</t>
  </si>
  <si>
    <t>1fff95c6-ca8f-413d-9a08-3260c797a245</t>
  </si>
  <si>
    <t>2019-05-23T12:26:58</t>
  </si>
  <si>
    <t>2019-05-23T18:00:49.000-07:00</t>
  </si>
  <si>
    <t>Red colony count: 1:10^4 -TNTC; 1:10^5 - 37; 1:10^6 - 04, Each sample vol tested 1ml</t>
  </si>
  <si>
    <t>8b652df5-d0ec-463a-bae4-2f5efd987c2f</t>
  </si>
  <si>
    <t>2019-12-19T06:11:30</t>
  </si>
  <si>
    <t>eded3918-57bf-4cb4-a9f8-a485be628f17</t>
  </si>
  <si>
    <t>2019-12-19T11:45:40.000-07:00</t>
  </si>
  <si>
    <t>2019-05-23T12:31:10</t>
  </si>
  <si>
    <t>2019-05-23T18:04:41.000-07:00</t>
  </si>
  <si>
    <t>Sample with PLc1136, Red Colony Count: Undiluted volume tested 100 ml - 00</t>
  </si>
  <si>
    <t>3518c029-54d7-4dcb-a833-7940d26b35c5</t>
  </si>
  <si>
    <t>758f6750-bddb-48d8-8d6e-677a2f1a60be</t>
  </si>
  <si>
    <t>2019-12-19T06:12:35</t>
  </si>
  <si>
    <t>2019-05-23T12:35:02</t>
  </si>
  <si>
    <t>34d93a37-fa61-417c-bf29-b7e5342f4b4e</t>
  </si>
  <si>
    <t>2019-11-05T07:29:55</t>
  </si>
  <si>
    <t>2019-12-19T11:47:10.000-07:00</t>
  </si>
  <si>
    <t>2019-11-05T14:58:20.000+06:30</t>
  </si>
  <si>
    <t>2019-05-23T18:07:44.000-07:00</t>
  </si>
  <si>
    <t>4145a464-0b73-4768-b0ba-044d07fe6784</t>
  </si>
  <si>
    <t>Red colony count: 1:10^4 -60; 1:10^5 - 17; 1:10^6 - 01, Each sample vol tested 1ml</t>
  </si>
  <si>
    <t>2019-05-23T12:38:05</t>
  </si>
  <si>
    <t>98b940e0-c89f-4abd-b62d-5b663491c652</t>
  </si>
  <si>
    <t>2019-12-19T06:14:06</t>
  </si>
  <si>
    <t>2019-12-19T11:48:15.000-07:00</t>
  </si>
  <si>
    <t>2019-05-23T18:31:08.000-07:00</t>
  </si>
  <si>
    <t>Sample with PLc1137, Red Colony Count: Undiluted volume tested 100 ml - 00</t>
  </si>
  <si>
    <t>MSA 1:10^4 - 00, vol. 1ml, WG5 1ml plaque count - CL</t>
  </si>
  <si>
    <t>a3079990-4596-4bf5-a29b-dd8e881beb0d</t>
  </si>
  <si>
    <t>1b29f2c5-de5b-459e-8249-7c69a41dc80a</t>
  </si>
  <si>
    <t>2019-05-23T13:01:29</t>
  </si>
  <si>
    <t>2019-12-19T06:15:09</t>
  </si>
  <si>
    <t>f1a7e197-d0ad-4bf1-b791-d8c75262eea0</t>
  </si>
  <si>
    <t>2019-11-05T09:25:28</t>
  </si>
  <si>
    <t>2019-11-05T14:58:21.000+06:30</t>
  </si>
  <si>
    <t>2019-12-19T11:49:44.000-07:00</t>
  </si>
  <si>
    <t>2019-11-05T15:07:31.000+06:30</t>
  </si>
  <si>
    <t>2019-05-23T18:32:55.000-07:00</t>
  </si>
  <si>
    <t>Red colony count: 1:10^4 -80; 1:10^5 - 13; 1:10^6 - 01, Each sample vol tested 1ml</t>
  </si>
  <si>
    <t>fd8f8769-7387-4dde-9129-8a25cb3cebcb</t>
  </si>
  <si>
    <t>2019-05-23T13:03:15</t>
  </si>
  <si>
    <t>1aacff15-8d76-4408-a76e-8d25954d64ee</t>
  </si>
  <si>
    <t>2019-12-19T06:16:39</t>
  </si>
  <si>
    <t>2019-05-23T18:35:44.000-07:00</t>
  </si>
  <si>
    <t>2019-12-19T11:50:58.000-07:00</t>
  </si>
  <si>
    <t>8e2a9d41-09dc-4163-8099-4eb4d75a65e5</t>
  </si>
  <si>
    <t>2019-05-23T13:06:04</t>
  </si>
  <si>
    <t>MSA 1:10^4 - 18, vol. 1ml, WG5 1ml plaque count - CL</t>
  </si>
  <si>
    <t>2019-05-23T18:37:25.000-07:00</t>
  </si>
  <si>
    <t>a230d710-e339-4860-a06f-5cf2584bb02d</t>
  </si>
  <si>
    <t>2019-11-05T09:34:40</t>
  </si>
  <si>
    <t>Sample with PLc1138, Red Colony Count: Undiluted volume tested 100 ml - 00</t>
  </si>
  <si>
    <t>2019-11-05T15:11:01.000+06:30</t>
  </si>
  <si>
    <t>4f78a578-99d6-4db1-a23c-6b23e89d836c</t>
  </si>
  <si>
    <t>2019-12-19T06:17:54</t>
  </si>
  <si>
    <t>19655023-419c-4955-808a-a56d61edd6a8</t>
  </si>
  <si>
    <t>2019-05-23T13:07:45</t>
  </si>
  <si>
    <t>2019-12-19T11:50:59.000-07:00</t>
  </si>
  <si>
    <t>2019-12-19T11:52:25.000-07:00</t>
  </si>
  <si>
    <t>2019-05-23T18:39:30.000-07:00</t>
  </si>
  <si>
    <t>9fa89f45-41f6-4b27-8131-3657dcaca2a2</t>
  </si>
  <si>
    <t>2019-05-23T13:09:51</t>
  </si>
  <si>
    <t>Red colony count: 1:10^4 -4; 1:10^5 - 2; 1:10^6 - 01, Each sample vol tested 1ml</t>
  </si>
  <si>
    <t>2019-06-19T16:01:29.000-07:00</t>
  </si>
  <si>
    <t>66c99f09-48b9-48a3-bd44-828a801a39ed</t>
  </si>
  <si>
    <t>2019-12-19T06:19:20</t>
  </si>
  <si>
    <t>2019-06-19T16:03:29.000-07:00</t>
  </si>
  <si>
    <t>2019-12-19T11:53:58.000-07:00</t>
  </si>
  <si>
    <t>2019-06-06T12:00:00.000-07:00</t>
  </si>
  <si>
    <t>5f5bc63b-d829-424a-bdc5-219f25742b4f</t>
  </si>
  <si>
    <t>2019-06-19T10:33:50</t>
  </si>
  <si>
    <t>MSA 1:10^4 - 3, vol. 1ml, WG5 1ml plaque count - CL</t>
  </si>
  <si>
    <t>Sample with PLc1139, Red Colony Count: Undiluted volume tested 100 ml - 00</t>
  </si>
  <si>
    <t>283b16db-7387-4955-bba4-8b0a555bcb8a</t>
  </si>
  <si>
    <t>2019-06-19T16:05:57.000-07:00</t>
  </si>
  <si>
    <t>2019-11-05T09:38:10</t>
  </si>
  <si>
    <t>f4d60a40-3274-46e3-af9a-3ee6d2d1ddcd</t>
  </si>
  <si>
    <t>2019-12-19T06:20:53</t>
  </si>
  <si>
    <t>2019-11-05T15:14:11.000+06:30</t>
  </si>
  <si>
    <t>2019-12-19T11:55:02.000-07:00</t>
  </si>
  <si>
    <t>33e2ca03-c7ba-4c2c-a2e4-35460847ca97</t>
  </si>
  <si>
    <t>2019-06-19T10:36:18</t>
  </si>
  <si>
    <t>2019-06-19T16:08:34.000-07:00</t>
  </si>
  <si>
    <t>13c90cc4-4d7f-473a-95ed-d2cef1c1f1a2</t>
  </si>
  <si>
    <t>2019-12-19T06:21:57</t>
  </si>
  <si>
    <t>175958ec-a68c-4cf9-ad43-a30251995d14</t>
  </si>
  <si>
    <t>2019-06-19T10:38:55</t>
  </si>
  <si>
    <t>2019-06-19T16:08:35.000-07:00</t>
  </si>
  <si>
    <t>2019-12-19T11:56:51.000-07:00</t>
  </si>
  <si>
    <t>2019-06-19T16:10:52.000-07:00</t>
  </si>
  <si>
    <t>2019-12-17T12:45:00.000-07:00</t>
  </si>
  <si>
    <t>2019-12-17T14:00:00.000-07:00</t>
  </si>
  <si>
    <t>2019-12-18T15:00:00.000-07:00</t>
  </si>
  <si>
    <t>MSA 1:10^4 - 1, vol. 1ml</t>
  </si>
  <si>
    <t>7d50ab2b-b302-455f-882d-cae2a59fcaf9</t>
  </si>
  <si>
    <t>Sample with MO1134, Red Colony Count: Undiluted volume tested 100 ml - 1</t>
  </si>
  <si>
    <t>2019-06-19T10:41:13</t>
  </si>
  <si>
    <t>14337ba0-ffa2-45c1-8e63-aacc58e6c6b2</t>
  </si>
  <si>
    <t>2019-11-05T09:41:20</t>
  </si>
  <si>
    <t>d9ec9c5f-6412-4437-8dc2-a0a1efa9d208</t>
  </si>
  <si>
    <t>2019-12-19T06:23:46</t>
  </si>
  <si>
    <t>2019-06-19T16:12:22.000-07:00</t>
  </si>
  <si>
    <t>2019-12-19T11:58:00.000-07:00</t>
  </si>
  <si>
    <t>26f44ef6-dc3d-472f-ad7a-f392a30624bc</t>
  </si>
  <si>
    <t>2019-11-05T15:23:11.000+06:30</t>
  </si>
  <si>
    <t>2019-06-19T10:42:43</t>
  </si>
  <si>
    <t>2019-10-30T11:00:00.000+06:30</t>
  </si>
  <si>
    <t>2019-06-19T16:14:44.000-07:00</t>
  </si>
  <si>
    <t>2019-10-31T13:00:00.000+06:30</t>
  </si>
  <si>
    <t>Sample with MO1135, Red Colony Count: Undiluted volume tested 100 ml - 00</t>
  </si>
  <si>
    <t>3648c40b-ba22-4ef4-bf69-7fd4d15a0712</t>
  </si>
  <si>
    <t>2019-12-19T06:24:56</t>
  </si>
  <si>
    <t>4703800c-982b-48dc-88cc-127a377f1e6a</t>
  </si>
  <si>
    <t>2019-06-19T10:45:05</t>
  </si>
  <si>
    <t>2019-12-19T12:00:03.000-07:00</t>
  </si>
  <si>
    <t>2019-06-19T16:16:09.000-07:00</t>
  </si>
  <si>
    <t>2019-12-17T14:30:00.000-07:00</t>
  </si>
  <si>
    <t>1d1aae04-ca00-4a93-8afb-53f3b9bcbc01</t>
  </si>
  <si>
    <t>2019-06-19T10:46:29</t>
  </si>
  <si>
    <t>2019-06-19T16:17:41.000-07:00</t>
  </si>
  <si>
    <t>WG5 1ml plaque count - CL, MSA 1:10^4 - 0, vol. 1ml</t>
  </si>
  <si>
    <t>Red colony count: 1:10^4 -TNTC; 1:10^5 - 55; 1:10^6 - 30, Each sample vol tested 1ml</t>
  </si>
  <si>
    <t>8e9b57ad-b64c-4d23-a26f-82362f6bb26f</t>
  </si>
  <si>
    <t>2019-12-19T06:27:01</t>
  </si>
  <si>
    <t>3fdfcc88-4f75-498a-8b2b-8692b0c22402</t>
  </si>
  <si>
    <t>bc317044-de8e-487a-be39-52ff14108f32</t>
  </si>
  <si>
    <t>2019-11-05T09:47:37</t>
  </si>
  <si>
    <t>2019-06-19T10:48:02</t>
  </si>
  <si>
    <t>2019-12-19T12:01:16.000-07:00</t>
  </si>
  <si>
    <t>2019-11-05T15:20:28.000+06:30</t>
  </si>
  <si>
    <t>2019-11-05T15:28:28.000+06:30</t>
  </si>
  <si>
    <t>2019-06-19T16:20:01.000-07:00</t>
  </si>
  <si>
    <t>0e1b84da-a63c-439f-ade7-4e346443d149</t>
  </si>
  <si>
    <t>2019-06-19T10:50:22</t>
  </si>
  <si>
    <t>Sample with PLc1142, Red Colony Count: Undiluted volume tested 100 ml - 00</t>
  </si>
  <si>
    <t>0ef56720-815a-4f04-bc45-d9b8dc33bf08</t>
  </si>
  <si>
    <t>2019-12-19T06:28:12</t>
  </si>
  <si>
    <t>2019-06-19T16:21:25.000-07:00</t>
  </si>
  <si>
    <t>2019-12-19T12:02:55.000-07:00</t>
  </si>
  <si>
    <t>MSA 1:10^4 - 0, vol. 1ml</t>
  </si>
  <si>
    <t>2ffe26fe-de79-4f27-bd89-baadd2317735</t>
  </si>
  <si>
    <t>2019-06-19T10:51:46</t>
  </si>
  <si>
    <t>ef0d842a-2c9e-49f1-b336-2d217b041e58</t>
  </si>
  <si>
    <t>2019-11-05T09:55:36</t>
  </si>
  <si>
    <t>2019-11-05T15:40:18.000+06:30</t>
  </si>
  <si>
    <t>Red colony count: 1:10^4 -5; 1:10^5 - 00; 1:10^6 - 00, Each sample vol tested 1ml</t>
  </si>
  <si>
    <t>b39da84c-805c-4d2b-aef9-bf9b4266f41d</t>
  </si>
  <si>
    <t>2019-12-19T06:29:51</t>
  </si>
  <si>
    <t>2019-06-19T16:24:08.000-07:00</t>
  </si>
  <si>
    <t>2019-12-19T12:02:56.000-07:00</t>
  </si>
  <si>
    <t>2019-12-19T12:04:06.000-07:00</t>
  </si>
  <si>
    <t>WATERMELON, WT 150 GM OF WEIGHT</t>
  </si>
  <si>
    <t>1d7f1fbf-85fe-40fc-82a6-1341be36536c</t>
  </si>
  <si>
    <t>2019-06-19T10:54:29</t>
  </si>
  <si>
    <t>Sample with PLc1143, Red Colony Count: Undiluted volume tested 100 ml - 00</t>
  </si>
  <si>
    <t>5104c3e2-232d-4a03-93af-d90da3125054</t>
  </si>
  <si>
    <t>2019-12-19T06:31:01</t>
  </si>
  <si>
    <t>MSA 1:10^4 - 0 vol. 1ml, WG5 1ml plaque count - CL</t>
  </si>
  <si>
    <t>2019-06-19T16:29:56.000-07:00</t>
  </si>
  <si>
    <t>2019-12-19T12:05:20.000-07:00</t>
  </si>
  <si>
    <t>f6a33b09-1d17-4842-ba08-964b2e0f281b</t>
  </si>
  <si>
    <t>2019-11-05T10:07:28</t>
  </si>
  <si>
    <t>2019-11-05T15:55:41.000+06:30</t>
  </si>
  <si>
    <t>PANIPURI SAMPLE, WT WAS 250 GM</t>
  </si>
  <si>
    <t>c22b2671-73f7-4149-99f2-d7502d3a3411</t>
  </si>
  <si>
    <t>2019-06-19T11:00:17</t>
  </si>
  <si>
    <t>2019-06-20T12:47:03.000-07:00</t>
  </si>
  <si>
    <t>09211276-c0a1-4539-85bf-915efa40f1fa</t>
  </si>
  <si>
    <t>2019-12-19T06:32:16</t>
  </si>
  <si>
    <t>2020-01-13T11:31:20.000+06:30</t>
  </si>
  <si>
    <t>2019-06-20T12:49:06.000-07:00</t>
  </si>
  <si>
    <t>2019-06-13T15:30:00.000-07:00</t>
  </si>
  <si>
    <t>a9c4443a-bc7d-41ad-8f75-923ad1eb65f6</t>
  </si>
  <si>
    <t>2019-06-20T07:19:28</t>
  </si>
  <si>
    <t>MSA 1:10^4 - 0, vol. 1ml, WG5 1ml plaque count - CL</t>
  </si>
  <si>
    <t>41aaf3fe-38c4-4d73-8a7c-c148827ae45c</t>
  </si>
  <si>
    <t>2019-11-05T10:22:51</t>
  </si>
  <si>
    <t>2019-06-20T12:51:37.000-07:00</t>
  </si>
  <si>
    <t>2019-11-05T15:55:42.000+06:30</t>
  </si>
  <si>
    <t>2019-11-05T16:02:00.000+06:30</t>
  </si>
  <si>
    <t>2020-01-13T11:48:19.000+06:30</t>
  </si>
  <si>
    <t>48f9f9bc-ce18-48d8-bc29-5ecae7c5a129</t>
  </si>
  <si>
    <t>2019-06-20T07:21:59</t>
  </si>
  <si>
    <t>2019-12-18T13:15:00.000+06:30</t>
  </si>
  <si>
    <t>2019-06-20T12:53:14.000-07:00</t>
  </si>
  <si>
    <t>2019-12-18T14:30:00.000+06:30</t>
  </si>
  <si>
    <t>2019-12-18T15:00:00.000+06:30</t>
  </si>
  <si>
    <t>2020-01-19T15:00:00.000+06:30</t>
  </si>
  <si>
    <t>00f49152-4070-4f0d-9bde-812226ba0233</t>
  </si>
  <si>
    <t>2019-06-20T07:23:35</t>
  </si>
  <si>
    <t>Blue Colony Count: 1:10^6 - 0, Red colony count: 1:10^3 - 260; 1:10^4 - 52; 1:10^5 - 13; 1:10^6 - 00, Each sample vol tested 1ml</t>
  </si>
  <si>
    <t>2019-06-20T12:55:01.000-07:00</t>
  </si>
  <si>
    <t>363d1178-55ce-45ce-8ad8-94da504c09dc</t>
  </si>
  <si>
    <t>2020-01-13T06:14:53</t>
  </si>
  <si>
    <t>2020-01-13T11:50:45.000+06:30</t>
  </si>
  <si>
    <t>MSA 1:10^4 - 1 vol. 1ml, WG5 1ml plaque count - CL</t>
  </si>
  <si>
    <t>11cdd76a-2899-4a7e-9d05-f6be8d8c63d1</t>
  </si>
  <si>
    <t>NCEC77</t>
  </si>
  <si>
    <t>9dde5788-8a59-4767-913d-b3b03809a36d</t>
  </si>
  <si>
    <t>2019-06-20T07:25:22</t>
  </si>
  <si>
    <t>2019-11-05T10:29:10</t>
  </si>
  <si>
    <t>2019-11-05T16:02:01.000+06:30</t>
  </si>
  <si>
    <t>2019-12-18T14:20:00.000+06:30</t>
  </si>
  <si>
    <t>2019-12-19T15:00:00.000+06:30</t>
  </si>
  <si>
    <t>2019-11-05T16:06:08.000+06:30</t>
  </si>
  <si>
    <t>2019-06-20T12:56:21.000-07:00</t>
  </si>
  <si>
    <t>2019-10-31T14:30:00.000+06:30</t>
  </si>
  <si>
    <t>2019-10-31T16:00:00.000+06:30</t>
  </si>
  <si>
    <t>Red Colony Count - 0 volume tested 100ml</t>
  </si>
  <si>
    <t>9547d35f-6f77-490b-9859-7f11141eac1e</t>
  </si>
  <si>
    <t>2019-06-20T07:26:43</t>
  </si>
  <si>
    <t>54df2180-ddd3-4716-8b83-ded133225410</t>
  </si>
  <si>
    <t>2020-01-13T06:17:18</t>
  </si>
  <si>
    <t>2019-06-20T12:57:43.000-07:00</t>
  </si>
  <si>
    <t>2020-01-13T11:52:25.000+06:30</t>
  </si>
  <si>
    <t>2019-12-19T15:30:00.000+06:30</t>
  </si>
  <si>
    <t>2019-12-19T16:00:00.000+06:30</t>
  </si>
  <si>
    <t>48ca07cf-b552-47f2-a935-c52f18750a33</t>
  </si>
  <si>
    <t>2019-12-20T16:00:00.000+06:30</t>
  </si>
  <si>
    <t>2019-06-20T07:28:05</t>
  </si>
  <si>
    <t>MSA 1:10^4 - 0 vol. 1ml</t>
  </si>
  <si>
    <t>2019-06-20T12:57:44.000-07:00</t>
  </si>
  <si>
    <t>f88db744-46ba-4276-8e82-b441a7af5bf6</t>
  </si>
  <si>
    <t>2019-06-20T12:59:02.000-07:00</t>
  </si>
  <si>
    <t>2019-11-05T10:33:19</t>
  </si>
  <si>
    <t>2019-11-05T16:06:09.000+06:30</t>
  </si>
  <si>
    <t>2019-11-05T16:09:53.000+06:30</t>
  </si>
  <si>
    <t>Red colony count: 1:10^4 - 7; 1:10^5 - 2; 1:10^6 - 00, Each sample vol tested 1ml</t>
  </si>
  <si>
    <t>cb2802fb-15cd-4f6d-be59-6177c8487375</t>
  </si>
  <si>
    <t>2020-01-13T06:18:59</t>
  </si>
  <si>
    <t>f24aefb8-c981-4d13-9500-ca944fbf9e11</t>
  </si>
  <si>
    <t>2019-06-20T07:29:24</t>
  </si>
  <si>
    <t>2020-01-13T11:53:47.000+06:30</t>
  </si>
  <si>
    <t>2019-06-20T13:00:28.000-07:00</t>
  </si>
  <si>
    <t>2019-12-19T15:15:00.000+06:30</t>
  </si>
  <si>
    <t>6f47dc72-bb03-4a10-a2d8-bf86fe070ee9</t>
  </si>
  <si>
    <t>2019-06-20T07:30:49</t>
  </si>
  <si>
    <t>Sample with PLc1144, Red Colony Count: Undiluted volume tested 100 ml - 00</t>
  </si>
  <si>
    <t>2019-06-20T13:02:27.000-07:00</t>
  </si>
  <si>
    <t>36353382-fc20-4b7c-99f7-8ea0022e5b7c</t>
  </si>
  <si>
    <t>2020-01-13T06:20:20</t>
  </si>
  <si>
    <t>a7caad01-7618-4904-9da6-d60f68374592</t>
  </si>
  <si>
    <t>26206ecc-e722-4325-9550-7d2d112228bb</t>
  </si>
  <si>
    <t>2019-06-20T07:32:49</t>
  </si>
  <si>
    <t>2019-11-05T10:37:02</t>
  </si>
  <si>
    <t>2020-01-13T11:55:26.000+06:30</t>
  </si>
  <si>
    <t>2019-11-05T16:12:47.000+06:30</t>
  </si>
  <si>
    <t>2019-06-20T13:03:40.000-07:00</t>
  </si>
  <si>
    <t>Red colony count: 1:10^4 -6; 1:10^5 - 2; 1:10^6 - 00, Each sample vol tested 1ml</t>
  </si>
  <si>
    <t>330deb80-40d5-4a55-806e-ec3a5ee0c722</t>
  </si>
  <si>
    <t>2019-06-20T07:34:01</t>
  </si>
  <si>
    <t>884226a0-424c-4dd8-9aa4-7395f2c9b804</t>
  </si>
  <si>
    <t>2020-01-13T06:22:01</t>
  </si>
  <si>
    <t>2020-01-13T11:56:56.000+06:30</t>
  </si>
  <si>
    <t>2019-06-20T13:04:54.000-07:00</t>
  </si>
  <si>
    <t>3d6ea260-46c5-4cbe-a04f-83495e8e420f</t>
  </si>
  <si>
    <t>2019-06-20T07:35:16</t>
  </si>
  <si>
    <t>2019-06-20T13:06:55.000-07:00</t>
  </si>
  <si>
    <t>2d70d8d5-bd13-4494-a886-0f1b88e88181</t>
  </si>
  <si>
    <t>2019-11-05T10:39:58</t>
  </si>
  <si>
    <t>Sample with PLc1145, Red Colony Count: Undiluted volume tested 100 ml - 00</t>
  </si>
  <si>
    <t>2019-11-05T16:12:48.000+06:30</t>
  </si>
  <si>
    <t>2019-11-05T16:16:35.000+06:30</t>
  </si>
  <si>
    <t>53e3d2be-311c-4ffe-9985-c3f827e20fc7</t>
  </si>
  <si>
    <t>2020-01-13T06:23:31</t>
  </si>
  <si>
    <t>2020-01-13T11:56:57.000+06:30</t>
  </si>
  <si>
    <t>2020-01-13T11:59:20.000+06:30</t>
  </si>
  <si>
    <t>9543c7ec-68a9-4087-95c8-ebbbad058686</t>
  </si>
  <si>
    <t>2019-06-20T07:37:17</t>
  </si>
  <si>
    <t>2020-01-08T10:37:00.000+06:30</t>
  </si>
  <si>
    <t>2020-01-08T12:10:00.000+06:30</t>
  </si>
  <si>
    <t>2020-01-08T12:20:00.000+06:30</t>
  </si>
  <si>
    <t>2020-01-09T12:20:00.000+06:30</t>
  </si>
  <si>
    <t>2019-06-20T13:09:38.000-07:00</t>
  </si>
  <si>
    <t>2019-06-12T14:45:00.000-07:00</t>
  </si>
  <si>
    <t>TOMATO (1 PC), WT 57.8 GM.</t>
  </si>
  <si>
    <t>Red colony count: 1:10^3 -1; 1:10^4 - 0; 1:10^5 - 0, Each sample vol tested 1ml</t>
  </si>
  <si>
    <t>d972366d-4073-45be-8342-586f2d5893ac</t>
  </si>
  <si>
    <t>2019-06-20T07:40:00</t>
  </si>
  <si>
    <t>b82aa1d3-6c44-4e71-b0f4-379ea8f00971</t>
  </si>
  <si>
    <t>2020-01-13T06:25:55</t>
  </si>
  <si>
    <t>2019-06-20T13:12:28.000-07:00</t>
  </si>
  <si>
    <t>2020-01-13T12:00:41.000+06:30</t>
  </si>
  <si>
    <t>eb32b5a7-61cd-467e-812c-2c0e0b7c16d1</t>
  </si>
  <si>
    <t>2019-11-05T10:43:44</t>
  </si>
  <si>
    <t>2019-11-05T16:16:36.000+06:30</t>
  </si>
  <si>
    <t>2019-11-05T16:23:12.000+06:30</t>
  </si>
  <si>
    <t>d3e1eb7a-7744-4e04-a941-aec446c67b22</t>
  </si>
  <si>
    <t>2019-06-20T07:42:50</t>
  </si>
  <si>
    <t>2020-01-08T12:15:00.000+06:30</t>
  </si>
  <si>
    <t>2019-06-20T13:12:29.000-07:00</t>
  </si>
  <si>
    <t>2020-01-09T12:15:00.000+06:30</t>
  </si>
  <si>
    <t>2019-06-20T13:19:01.000-07:00</t>
  </si>
  <si>
    <t>2019-06-12T14:30:00.000-07:00</t>
  </si>
  <si>
    <t>78c809d0-6c84-4d35-a61d-5d17e80310f3</t>
  </si>
  <si>
    <t>Sample with DWa1004uf, Red Colony Count: Undiluted volume tested 100 ml - 00</t>
  </si>
  <si>
    <t>2019-06-20T07:49:22</t>
  </si>
  <si>
    <t>2019-06-20T13:22:36.000-07:00</t>
  </si>
  <si>
    <t>d11a6488-3f05-4bf5-a87e-47dc41f45998</t>
  </si>
  <si>
    <t>2020-01-13T06:27:17</t>
  </si>
  <si>
    <t>2020-01-13T12:02:09.000+06:30</t>
  </si>
  <si>
    <t>e914b58d-0462-4c69-a2f0-3f61c73f72ca</t>
  </si>
  <si>
    <t>2019-06-20T07:56:30</t>
  </si>
  <si>
    <t>5ec9c56b-d86b-4e6c-bfe3-0e94f654de33</t>
  </si>
  <si>
    <t>NCEC78</t>
  </si>
  <si>
    <t>2019-11-05T10:50:20</t>
  </si>
  <si>
    <t>2019-11-05T16:23:13.000+06:30</t>
  </si>
  <si>
    <t>2020-01-08T12:00:00.000+06:30</t>
  </si>
  <si>
    <t>2019-11-05T16:29:40.000+06:30</t>
  </si>
  <si>
    <t>2020-01-08T12:05:00.000+06:30</t>
  </si>
  <si>
    <t>2019-06-20T13:26:09.000-07:00</t>
  </si>
  <si>
    <t>2020-01-09T12:05:00.000+06:30</t>
  </si>
  <si>
    <t>2019-11-01T14:30:00.000+06:30</t>
  </si>
  <si>
    <t>2019-11-01T16:00:00.000+06:30</t>
  </si>
  <si>
    <t>2019-11-02T15:00:00.000+06:30</t>
  </si>
  <si>
    <t>CORIANDER LEAVES (2 PCS.), 29.4 GM</t>
  </si>
  <si>
    <t>1cff37c6-c26d-4333-906f-5147a7ae3009</t>
  </si>
  <si>
    <t>2019-06-20T07:56:31</t>
  </si>
  <si>
    <t>Red Colony Count - 00, Undiluted volume tested 100ml</t>
  </si>
  <si>
    <t>2019-06-20T13:28:56.000-07:00</t>
  </si>
  <si>
    <t>b5b2b1e7-468c-406b-b674-4a11a592d8b0</t>
  </si>
  <si>
    <t>2020-01-13T06:28:45</t>
  </si>
  <si>
    <t>2020-01-13T12:03:38.000+06:30</t>
  </si>
  <si>
    <t>5f8781c2-ed6c-41d0-a0f8-5bb56592675c</t>
  </si>
  <si>
    <t>2019-06-20T07:59:17</t>
  </si>
  <si>
    <t>2020-01-09T15:00:00.000+06:30</t>
  </si>
  <si>
    <t>2019-06-20T13:32:37.000-07:00</t>
  </si>
  <si>
    <t>2020-01-09T15:10:00.000+06:30</t>
  </si>
  <si>
    <t>2020-01-09T15:30:00.000+06:30</t>
  </si>
  <si>
    <t>795736db-c9aa-4a67-9521-432d3904711e</t>
  </si>
  <si>
    <t>2020-01-10T15:30:00.000+06:30</t>
  </si>
  <si>
    <t>2019-11-05T10:56:49</t>
  </si>
  <si>
    <t>2019-11-08T16:05:30.000-07:00</t>
  </si>
  <si>
    <t>2019-11-08T16:11:03.000-07:00</t>
  </si>
  <si>
    <t>2019-11-01T15:00:00.000-07:00</t>
  </si>
  <si>
    <t>2019-11-01T16:00:00.000-07:00</t>
  </si>
  <si>
    <t>2019-11-02T15:00:00.000-07:00</t>
  </si>
  <si>
    <t>cd796893-2ff2-4dca-9553-bd009e53d1f6</t>
  </si>
  <si>
    <t>Sample with MO1149, Red Colony Count: Undiluted volume tested 100 ml - 00</t>
  </si>
  <si>
    <t>2019-06-20T08:02:59</t>
  </si>
  <si>
    <t>2019-06-20T13:32:38.000-07:00</t>
  </si>
  <si>
    <t>5c219639-8f7e-46e5-802b-37ee04539896</t>
  </si>
  <si>
    <t>2020-01-13T06:30:11</t>
  </si>
  <si>
    <t>2019-06-20T13:38:45.000-07:00</t>
  </si>
  <si>
    <t>CUT FRUITS (WATER MELON), 135 GM</t>
  </si>
  <si>
    <t>2020-01-13T12:04:55.000+06:30</t>
  </si>
  <si>
    <t>6c5cd675-052e-4859-9d36-6cbd37aef1c9</t>
  </si>
  <si>
    <t>2019-06-20T08:09:06</t>
  </si>
  <si>
    <t>2019-06-20T13:44:47.000-07:00</t>
  </si>
  <si>
    <t>MSA 1:10^4 - 0 vol. 1ml, WG5 1ml and 100µl plaque count - CL</t>
  </si>
  <si>
    <t>vjMccmtNWTH5Vx4uycNuGk</t>
  </si>
  <si>
    <t>75d8db0b-6c8d-49e4-83ff-a1c7d853f616</t>
  </si>
  <si>
    <t>3ba5dc8f-8cf1-49c0-8082-6a5abf597a9b</t>
  </si>
  <si>
    <t>2019-06-20T08:15:09</t>
  </si>
  <si>
    <t>2019-11-08T10:38:33</t>
  </si>
  <si>
    <t>2019-06-20T15:11:12.000-07:00</t>
  </si>
  <si>
    <t>Sample with MO1150, Red Colony Count: Undiluted volume tested 100 ml - 00</t>
  </si>
  <si>
    <t>2019-11-08T16:20:28.000-07:00</t>
  </si>
  <si>
    <t>2019-06-20T15:15:04.000-07:00</t>
  </si>
  <si>
    <t>fe8da74c-9be6-4931-82c5-8b9316d8f0f1</t>
  </si>
  <si>
    <t>2020-01-13T06:31:30</t>
  </si>
  <si>
    <t>2019-11-05T15:00:00.000-07:00</t>
  </si>
  <si>
    <t>2019-11-05T16:00:00.000-07:00</t>
  </si>
  <si>
    <t>2020-01-13T12:04:56.000+06:30</t>
  </si>
  <si>
    <t>2019-11-06T16:00:00.000-07:00</t>
  </si>
  <si>
    <t>2020-01-13T12:06:37.000+06:30</t>
  </si>
  <si>
    <t>cucumber (1 pc.), wt. 175.3 gm</t>
  </si>
  <si>
    <t>75f57075-808b-4f12-8607-9dd35a36c811</t>
  </si>
  <si>
    <t>2019-06-20T09:45:26</t>
  </si>
  <si>
    <t>2019-06-20T15:15:05.000-07:00</t>
  </si>
  <si>
    <t>2019-06-20T15:31:57.000-07:00</t>
  </si>
  <si>
    <t>PANIPURI, WT. 250 GM.</t>
  </si>
  <si>
    <t>Red colony count: 1:10^4 - 82; 1:10^5 - 8; 1:10^6 - 00, Each sample vol tested 1ml</t>
  </si>
  <si>
    <t>MSA 1:10^4 - 1 vol. 1ml</t>
  </si>
  <si>
    <t>8ddf5237-9ac6-464b-893b-0d09bf6dcdb3</t>
  </si>
  <si>
    <t>2019-06-20T10:02:18</t>
  </si>
  <si>
    <t>504b361a-a132-4fb9-8407-aa73d36c3d96</t>
  </si>
  <si>
    <t>7139405a-ff54-4c50-90a9-c84a31327cfd</t>
  </si>
  <si>
    <t>2019-11-08T10:47:59</t>
  </si>
  <si>
    <t>2020-01-13T06:33:12</t>
  </si>
  <si>
    <t>2019-11-14T11:21:49.000-07:00</t>
  </si>
  <si>
    <t>2020-01-13T12:06:38.000+06:30</t>
  </si>
  <si>
    <t>2019-11-14T11:39:18.000-07:00</t>
  </si>
  <si>
    <t>2019-06-20T15:36:09.000-07:00</t>
  </si>
  <si>
    <t>2020-01-13T12:07:58.000+06:30</t>
  </si>
  <si>
    <t>2019-10-24T14:00:00.000-07:00</t>
  </si>
  <si>
    <t>2019-10-24T15:00:00.000-07:00</t>
  </si>
  <si>
    <t>2019-10-25T15:30:00.000-07:00</t>
  </si>
  <si>
    <t>66af978e-2b9f-4c84-91b8-83fcb9322e89</t>
  </si>
  <si>
    <t>2019-06-20T10:06:26</t>
  </si>
  <si>
    <t>Sample with PLc1173, Red Colony Count: Undiluted volume tested 100 ml - 00</t>
  </si>
  <si>
    <t>2019-06-20T15:40:02.000-07:00</t>
  </si>
  <si>
    <t>b52e5ac5-50bc-4c7d-8899-a83457bc0b67</t>
  </si>
  <si>
    <t>2020-01-13T06:34:32</t>
  </si>
  <si>
    <t>2020-01-13T12:07:59.000+06:30</t>
  </si>
  <si>
    <t>2020-01-13T12:09:25.000+06:30</t>
  </si>
  <si>
    <t>Associated Sample FPa1003, FPb1003, FPc1003, FPd1003, FPe1003</t>
  </si>
  <si>
    <t>95d881f4-74cf-4953-969b-7b4bea0d2e2c</t>
  </si>
  <si>
    <t>vQ3mKf9mqkiZbWrQExJY87</t>
  </si>
  <si>
    <t>2019-06-20T10:10:24</t>
  </si>
  <si>
    <t>b83beaee-08a0-489a-b1d3-13857c84c732</t>
  </si>
  <si>
    <t>2019-11-14T06:06:44</t>
  </si>
  <si>
    <t>2019-11-14T11:39:19.000-07:00</t>
  </si>
  <si>
    <t>2019-06-20T16:08:42.000-07:00</t>
  </si>
  <si>
    <t>2019-11-14T11:42:49.000-07:00</t>
  </si>
  <si>
    <t>Red Colony Count - 0, Undiluted volume tested 100ml</t>
  </si>
  <si>
    <t>16004ed6-961c-4357-997d-8dabf50ab4cb</t>
  </si>
  <si>
    <t>2020-01-13T06:35:59</t>
  </si>
  <si>
    <t>a3163bf9-f386-47d2-bc42-120e2bbbcd41</t>
  </si>
  <si>
    <t>2019-06-20T10:39:03</t>
  </si>
  <si>
    <t>2020-01-20T11:04:22.000+06:30</t>
  </si>
  <si>
    <t>2020-01-20T11:06:40.000+06:30</t>
  </si>
  <si>
    <t>2019-06-20T16:14:50.000-07:00</t>
  </si>
  <si>
    <t>2020-01-13T14:05:00.000+06:30</t>
  </si>
  <si>
    <t>2020-01-13T14:30:00.000+06:30</t>
  </si>
  <si>
    <t>2020-01-13T15:00:00.000+06:30</t>
  </si>
  <si>
    <t>2020-01-14T15:00:00.000+06:30</t>
  </si>
  <si>
    <t>79b97e53-3761-498d-a09f-ca1661acc8cc</t>
  </si>
  <si>
    <t>2019-06-20T10:45:11</t>
  </si>
  <si>
    <t>2019-06-20T16:14:51.000-07:00</t>
  </si>
  <si>
    <t>2019-06-20T16:15:54.000-07:00</t>
  </si>
  <si>
    <t>Red colony count: 1:10^4 -22; 1:10^5 - 2; 1:10^6 - 00, Each sample vol tested 1ml</t>
  </si>
  <si>
    <t>5d2b61e8-a564-439b-9d50-1dfa881bbe2e</t>
  </si>
  <si>
    <t>2020-01-20T05:33:09</t>
  </si>
  <si>
    <t>Associated Sample MO1106</t>
  </si>
  <si>
    <t>89870853-b728-4dcc-a2ab-55c8f8a44c8a</t>
  </si>
  <si>
    <t>2019-06-20T10:46:14</t>
  </si>
  <si>
    <t>2020-01-20T11:08:56.000+06:30</t>
  </si>
  <si>
    <t>79407cd3-2d6e-43a6-ac63-7637e4937fea</t>
  </si>
  <si>
    <t>2019-11-14T06:10:14</t>
  </si>
  <si>
    <t>2019-06-20T16:17:03.000-07:00</t>
  </si>
  <si>
    <t>2020-01-13T14:15:00.000+06:30</t>
  </si>
  <si>
    <t>2019-11-14T11:44:27.000-07:00</t>
  </si>
  <si>
    <t>0d3961bf-9950-4e0e-b80b-920b8f29b0ae</t>
  </si>
  <si>
    <t>2019-06-20T10:47:24</t>
  </si>
  <si>
    <t>Sample with PLc1174, Red Colony Count: Undiluted volume tested 100 ml - 00</t>
  </si>
  <si>
    <t>2019-06-20T16:22:14.000-07:00</t>
  </si>
  <si>
    <t>9e5c1801-4fa1-484e-aa7e-00fe58cf0aaf</t>
  </si>
  <si>
    <t>2020-01-20T05:35:24</t>
  </si>
  <si>
    <t>2020-01-20T11:08:57.000+06:30</t>
  </si>
  <si>
    <t>2019-06-05T13:00:00.000-07:00</t>
  </si>
  <si>
    <t>2020-01-20T11:10:30.000+06:30</t>
  </si>
  <si>
    <t>8de4fc6d-7523-4b11-ae1e-57bd737be09b</t>
  </si>
  <si>
    <t>2019-06-20T10:52:36</t>
  </si>
  <si>
    <t>2019-06-20T16:22:15.000-07:00</t>
  </si>
  <si>
    <t>2019-06-20T16:24:32.000-07:00</t>
  </si>
  <si>
    <t>BW2001(DUPLICATE)</t>
  </si>
  <si>
    <t>Associated Sample MO1107</t>
  </si>
  <si>
    <t>90b9ab04-e0f2-43fd-82e2-de2c2bba3d83</t>
  </si>
  <si>
    <t>033ca5f2-7c10-4302-9161-206880a4b05f</t>
  </si>
  <si>
    <t>2019-11-14T06:11:53</t>
  </si>
  <si>
    <t>Red colony count: 1:10^4 -16; 1:10^5 - 1; 1:10^6 - 00, Each sample vol tested 1ml</t>
  </si>
  <si>
    <t>2019-06-20T10:54:53</t>
  </si>
  <si>
    <t>2019-11-14T11:46:19.000-07:00</t>
  </si>
  <si>
    <t>c511ebf3-657e-4c78-8b57-76a57781601c</t>
  </si>
  <si>
    <t>2020-01-20T05:36:59</t>
  </si>
  <si>
    <t>2019-06-20T16:26:11.000-07:00</t>
  </si>
  <si>
    <t>2020-01-20T11:10:31.000+06:30</t>
  </si>
  <si>
    <t>DW2002(DUPLICATE)</t>
  </si>
  <si>
    <t>2020-01-20T11:11:47.000+06:30</t>
  </si>
  <si>
    <t>8527f10f-41c5-4dd5-9e3f-b3fa06724344</t>
  </si>
  <si>
    <t>2019-06-20T10:56:32</t>
  </si>
  <si>
    <t>2019-06-20T16:27:39.000-07:00</t>
  </si>
  <si>
    <t>SW2001(DUPLICATE)</t>
  </si>
  <si>
    <t>1fd5a5cf-d37c-4069-b42d-9dbbbe8f0c9c</t>
  </si>
  <si>
    <t>Sample with PLc1175, Red Colony Count: Undiluted volume tested 100 ml - 00</t>
  </si>
  <si>
    <t>2019-06-20T10:58:01</t>
  </si>
  <si>
    <t>2019-06-20T16:27:40.000-07:00</t>
  </si>
  <si>
    <t>Associated Sample PLc1044</t>
  </si>
  <si>
    <t>2019-06-20T16:29:53.000-07:00</t>
  </si>
  <si>
    <t>05392694-4a43-40c2-b34b-54a8f8ef04eb</t>
  </si>
  <si>
    <t>2020-01-20T05:38:15</t>
  </si>
  <si>
    <t>18e87a15-c27d-43ca-9897-88c63a210e4d</t>
  </si>
  <si>
    <t>2019-11-14T06:13:45</t>
  </si>
  <si>
    <t>2019-11-14T11:47:45.000-07:00</t>
  </si>
  <si>
    <t>2020-01-20T11:13:23.000+06:30</t>
  </si>
  <si>
    <t>6449eaf5-0f6d-4c5b-8173-b5b65d709959</t>
  </si>
  <si>
    <t>2019-06-20T11:00:14</t>
  </si>
  <si>
    <t>2019-06-20T16:32:12.000-07:00</t>
  </si>
  <si>
    <t>TOMATO (1 PC.), 103 GM</t>
  </si>
  <si>
    <t>e7a30fa8-578a-4b16-a5fb-747a1c209c57</t>
  </si>
  <si>
    <t>2019-06-20T11:02:33</t>
  </si>
  <si>
    <t>2019-06-20T16:33:29.000-07:00</t>
  </si>
  <si>
    <t>Red colony count: 1:10^4 -TNTC; 1:10^5 - 11; 1:10^6 - 2, Each sample vol tested 1ml</t>
  </si>
  <si>
    <t>Associated Sample PLc1045</t>
  </si>
  <si>
    <t>32d6b9bb-8233-4c02-b0a2-3973a08ea871</t>
  </si>
  <si>
    <t>2019-06-20T11:03:50</t>
  </si>
  <si>
    <t>566c5a76-47b4-4bc8-b1b8-548a26260168</t>
  </si>
  <si>
    <t>d4c8bf3e-c221-44b1-8ff7-a6877cf33788</t>
  </si>
  <si>
    <t>2019-11-14T06:15:10</t>
  </si>
  <si>
    <t>2020-01-20T05:39:51</t>
  </si>
  <si>
    <t>2019-11-14T11:47:46.000-07:00</t>
  </si>
  <si>
    <t>2019-06-20T16:34:52.000-07:00</t>
  </si>
  <si>
    <t>2019-11-14T11:48:57.000-07:00</t>
  </si>
  <si>
    <t>2020-01-20T11:14:31.000+06:30</t>
  </si>
  <si>
    <t>CUCUMBER (1 PC), WT. 57.5 GM</t>
  </si>
  <si>
    <t>5f1bcc09-9db4-4aef-9f2f-f609e9f4881b</t>
  </si>
  <si>
    <t>2019-06-20T11:05:13</t>
  </si>
  <si>
    <t>2019-06-20T16:36:48.000-07:00</t>
  </si>
  <si>
    <t>2c2b5093-b421-46e0-a389-ed965044e6ae</t>
  </si>
  <si>
    <t>2019-06-20T11:07:10</t>
  </si>
  <si>
    <t>2019-06-20T16:36:49.000-07:00</t>
  </si>
  <si>
    <t>2019-06-20T16:40:14.000-07:00</t>
  </si>
  <si>
    <t>Associated Sample PLc1046</t>
  </si>
  <si>
    <t>f8e62968-d0c1-4c9b-b101-ba940a23fb13</t>
  </si>
  <si>
    <t>2019-11-14T06:16:23</t>
  </si>
  <si>
    <t>Sample with PLc1176, Red Colony Count: Undiluted volume tested 100 ml - 00</t>
  </si>
  <si>
    <t>b98408dc-3331-427a-9de2-ab1d59570614</t>
  </si>
  <si>
    <t>2019-11-14T11:48:58.000-07:00</t>
  </si>
  <si>
    <t>2019-06-20T11:10:35</t>
  </si>
  <si>
    <t>2019-11-14T11:51:29.000-07:00</t>
  </si>
  <si>
    <t>2019-06-20T16:41:20.000-07:00</t>
  </si>
  <si>
    <t>3c86249b-9826-476d-92ab-57a1381d0ed9</t>
  </si>
  <si>
    <t>2020-01-20T05:40:57</t>
  </si>
  <si>
    <t>0fc82136-6d65-4581-bd5d-db9722f3ae90</t>
  </si>
  <si>
    <t>2020-01-20T11:15:58.000+06:30</t>
  </si>
  <si>
    <t>2019-06-20T11:11:40</t>
  </si>
  <si>
    <t>2019-06-20T16:42:40.000-07:00</t>
  </si>
  <si>
    <t>f3b2442e-17b0-466f-8e0b-8a1ecc688b81</t>
  </si>
  <si>
    <t>2019-06-20T11:13:01</t>
  </si>
  <si>
    <t>2019-06-20T16:44:49.000-07:00</t>
  </si>
  <si>
    <t>Red colony count: 1:10^4 -10; 1:10^5 - 0; 1:10^6 - 00, Each sample vol tested 1ml</t>
  </si>
  <si>
    <t>8268c534-7a13-4ceb-ad98-4214a94938a8</t>
  </si>
  <si>
    <t>Associated Sample PLc1047</t>
  </si>
  <si>
    <t>CHICKEN MOMO WITH SOUP, WT. WAS 243 GM.</t>
  </si>
  <si>
    <t>2020-01-20T05:42:26</t>
  </si>
  <si>
    <t>3c02975c-338d-4d87-83b1-08da86ad22bb</t>
  </si>
  <si>
    <t>d415ca43-a081-428c-9c2c-2e902023afaf</t>
  </si>
  <si>
    <t>2019-06-20T11:15:11</t>
  </si>
  <si>
    <t>2019-11-14T06:18:53</t>
  </si>
  <si>
    <t>2020-01-20T11:17:06.000+06:30</t>
  </si>
  <si>
    <t>2019-11-14T11:51:30.000-07:00</t>
  </si>
  <si>
    <t>2019-06-20T16:47:16.000-07:00</t>
  </si>
  <si>
    <t>2019-11-14T11:52:48.000-07:00</t>
  </si>
  <si>
    <t>TOMATO (1 PC), WT. 78.9 GM</t>
  </si>
  <si>
    <t>0f472b27-68d4-4137-ae42-432d58e468de</t>
  </si>
  <si>
    <t>2019-06-20T11:17:37</t>
  </si>
  <si>
    <t>Sample with PLc1177, Red Colony Count: Undiluted volume tested 100 ml - 00</t>
  </si>
  <si>
    <t>2019-06-20T16:48:25.000-07:00</t>
  </si>
  <si>
    <t>b2dde38d-842f-4fd1-ae69-73e084d5bea4</t>
  </si>
  <si>
    <t>2020-01-20T05:43:33</t>
  </si>
  <si>
    <t>2020-01-20T11:18:21.000+06:30</t>
  </si>
  <si>
    <t>503e7595-d8eb-4cde-9b6c-855a35e1b07c</t>
  </si>
  <si>
    <t>2019-06-20T11:18:46</t>
  </si>
  <si>
    <t>2019-06-20T16:50:00.000-07:00</t>
  </si>
  <si>
    <t>2 PC. WATERMELON. WT 300 GM</t>
  </si>
  <si>
    <t>d895db4b-ef0d-4710-ad35-236e1756ce61</t>
  </si>
  <si>
    <t>Associated Sample PLc1048</t>
  </si>
  <si>
    <t>2019-06-20T11:20:21</t>
  </si>
  <si>
    <t>d45e3b03-5c49-4d3f-8b07-035125eff80c</t>
  </si>
  <si>
    <t>2019-11-14T06:20:13</t>
  </si>
  <si>
    <t>2019-06-20T17:08:30.000-07:00</t>
  </si>
  <si>
    <t>2019-11-14T11:58:15.000-07:00</t>
  </si>
  <si>
    <t>f584cd78-71ad-4b24-a430-1ca3f9fc626a</t>
  </si>
  <si>
    <t>2020-01-20T05:44:49</t>
  </si>
  <si>
    <t>2020-01-20T11:18:22.000+06:30</t>
  </si>
  <si>
    <t>2019-11-14T12:00:03.000-07:00</t>
  </si>
  <si>
    <t>2020-01-20T11:19:59.000+06:30</t>
  </si>
  <si>
    <t>2019-10-30T11:00:00.000-07:00</t>
  </si>
  <si>
    <t>2019-10-30T13:00:00.000-07:00</t>
  </si>
  <si>
    <t>2019-06-10T13:00:00.000-07:00</t>
  </si>
  <si>
    <t>2019-10-31T13:00:00.000-07:00</t>
  </si>
  <si>
    <t>DNA EXTRACTED BY BISWAJIT DAFOR DUPLICATION</t>
  </si>
  <si>
    <t>2020-01-14T13:56:00.000+06:30</t>
  </si>
  <si>
    <t>2020-01-14T14:30:00.000+06:30</t>
  </si>
  <si>
    <t>01031607-bcb5-4148-a047-01a0793d11d8</t>
  </si>
  <si>
    <t>2020-01-15T15:00:00.000+06:30</t>
  </si>
  <si>
    <t>2019-06-20T11:38:51</t>
  </si>
  <si>
    <t>2019-06-20T17:09:18.000-07:00</t>
  </si>
  <si>
    <t>Sample with MO1152, Red Colony Count: Undiluted volume tested 100 ml - 00</t>
  </si>
  <si>
    <t>1d7c44c1-fb43-4ee0-9ac1-e7eb5a798be4</t>
  </si>
  <si>
    <t>2020-01-20T05:46:28</t>
  </si>
  <si>
    <t>95309f5e-604e-4a54-9609-05f4f5db13eb</t>
  </si>
  <si>
    <t>2020-01-20T11:21:04.000+06:30</t>
  </si>
  <si>
    <t>2019-06-20T11:39:38</t>
  </si>
  <si>
    <t>2019-06-20T17:11:39.000-07:00</t>
  </si>
  <si>
    <t>MO1018 (DUPLICATE)</t>
  </si>
  <si>
    <t>Associated Sample PLc1049</t>
  </si>
  <si>
    <t>DNA EXTRACTION PERFORMED BY BISWAJIT DA FOR DUPLICATION PURPOSE</t>
  </si>
  <si>
    <t>Sample with MO1153, Red Colony Count: Undiluted volume tested 100 ml - 00</t>
  </si>
  <si>
    <t>b3fff1b8-dc21-47d5-88e3-52cbedb44354</t>
  </si>
  <si>
    <t>2019-06-20T11:41:59</t>
  </si>
  <si>
    <t>8c919d83-8cd5-45f2-a60a-580d263e3a4f</t>
  </si>
  <si>
    <t>2e73b767-e5b7-4ed9-8a70-41bd13a14692</t>
  </si>
  <si>
    <t>2019-11-14T06:27:33</t>
  </si>
  <si>
    <t>2020-01-20T05:47:31</t>
  </si>
  <si>
    <t>2019-11-14T12:01:19.000-07:00</t>
  </si>
  <si>
    <t>2019-06-20T17:12:33.000-07:00</t>
  </si>
  <si>
    <t>2020-01-20T11:22:06.000+06:30</t>
  </si>
  <si>
    <t>0fa5a896-0680-49f8-8aae-df8be73662e3</t>
  </si>
  <si>
    <t>2019-06-20T11:42:53</t>
  </si>
  <si>
    <t>2019-06-20T17:22:22.000-07:00</t>
  </si>
  <si>
    <t>2019-06-06T15:45:00.000-07:00</t>
  </si>
  <si>
    <t>DNA EXTRACTED WITH "AL BUFFER", SAMPLE WAS PANIPURI HAVING WT. OF 250 GM</t>
  </si>
  <si>
    <t>Sample with MO1154, Red Colony Count: Undiluted volume tested 100 ml - 00</t>
  </si>
  <si>
    <t>5faebc7e-3837-4c21-8ffd-309e78fd1e2e</t>
  </si>
  <si>
    <t>2019-06-20T11:52:43</t>
  </si>
  <si>
    <t>c31518bd-8642-43e1-8b8d-67465f50487b</t>
  </si>
  <si>
    <t>2020-01-20T05:48:34</t>
  </si>
  <si>
    <t>Associated Sample PLc1050</t>
  </si>
  <si>
    <t>2019-06-26T15:05:41.000+06:30</t>
  </si>
  <si>
    <t>2020-01-20T11:22:07.000+06:30</t>
  </si>
  <si>
    <t>9736d315-a538-4fb6-8b7b-a5b6250d6cef</t>
  </si>
  <si>
    <t>2019-11-14T06:28:46</t>
  </si>
  <si>
    <t>2019-06-26T15:07:15.000+06:30</t>
  </si>
  <si>
    <t>2020-01-20T11:27:16.000+06:30</t>
  </si>
  <si>
    <t>2019-11-14T12:02:30.000-07:00</t>
  </si>
  <si>
    <t>2020-01-14T13:50:00.000+06:30</t>
  </si>
  <si>
    <t>2020-01-14T14:45:00.000+06:30</t>
  </si>
  <si>
    <t>2019-06-05T13:00:00.000+06:30</t>
  </si>
  <si>
    <t>0c4c1f7e-7df9-48b2-b1d4-70bd70bbe9ac</t>
  </si>
  <si>
    <t>2019-06-26T09:37:31</t>
  </si>
  <si>
    <t>2019-07-17T11:37:53.000+06:30</t>
  </si>
  <si>
    <t>2019-07-17T11:40:34.000+06:30</t>
  </si>
  <si>
    <t>Red colony count: 1:10^4 -57; 1:10^5 - 0; 1:10^6 - 00, Each sample vol tested 1ml</t>
  </si>
  <si>
    <t>2019-07-16T11:00:00.000+06:30</t>
  </si>
  <si>
    <t>c1bc2e95-50d5-4300-b6a1-07c196aabd30</t>
  </si>
  <si>
    <t>2020-01-20T05:53:45</t>
  </si>
  <si>
    <t>e367f50a-d858-4ded-9a76-d43d0d894932</t>
  </si>
  <si>
    <t>2019-07-17T06:10:52</t>
  </si>
  <si>
    <t>2020-01-20T11:32:13.000+06:30</t>
  </si>
  <si>
    <t>Associated Sample PLc1051</t>
  </si>
  <si>
    <t>2019-07-17T11:41:31.000+06:30</t>
  </si>
  <si>
    <t>b22db8f2-0087-4872-a8d7-f879e9591029</t>
  </si>
  <si>
    <t>2019-11-14T06:29:59</t>
  </si>
  <si>
    <t>2019-11-14T12:02:31.000-07:00</t>
  </si>
  <si>
    <t>2020-01-15T14:00:00.000+06:30</t>
  </si>
  <si>
    <t>2020-01-15T14:10:00.000+06:30</t>
  </si>
  <si>
    <t>2019-11-14T12:07:05.000-07:00</t>
  </si>
  <si>
    <t>2020-01-15T15:30:00.000+06:30</t>
  </si>
  <si>
    <t>2020-01-16T15:30:00.000+06:30</t>
  </si>
  <si>
    <t>b4c19351-6a7a-4f81-8d97-84645a23c7aa</t>
  </si>
  <si>
    <t>2019-07-17T06:11:48</t>
  </si>
  <si>
    <t>Red colony count: 1:10^1 -92; 1:10^2 - 34; 1:10^3 - 11, Each sample vol tested 1ml</t>
  </si>
  <si>
    <t>2019-07-17T11:42:24.000+06:30</t>
  </si>
  <si>
    <t>614ffe83-c76f-4c2f-aaa2-b969724aa054</t>
  </si>
  <si>
    <t>2020-01-20T05:58:41</t>
  </si>
  <si>
    <t>2020-01-20T11:33:48.000+06:30</t>
  </si>
  <si>
    <t>8bcef8d4-03be-41dd-b7f3-432837162da5</t>
  </si>
  <si>
    <t>2019-07-17T06:12:42</t>
  </si>
  <si>
    <t>Associated Sample PLc1052</t>
  </si>
  <si>
    <t>2019-07-17T11:43:22.000+06:30</t>
  </si>
  <si>
    <t>9abf34e9-dcfc-4b55-8d61-8c77da7fac39</t>
  </si>
  <si>
    <t>2019-11-14T06:34:33</t>
  </si>
  <si>
    <t>2019-11-14T12:07:06.000-07:00</t>
  </si>
  <si>
    <t>Red colony count: 1:10^1 -6; 1:10^2 - 0; 1:10^3 - 00, Each sample vol tested 1ml</t>
  </si>
  <si>
    <t>2019-11-14T12:08:20.000-07:00</t>
  </si>
  <si>
    <t>f43c015e-857c-44c4-a922-b626b6b10101</t>
  </si>
  <si>
    <t>2020-01-20T06:00:15</t>
  </si>
  <si>
    <t>810a3959-f55e-4dac-93a1-9e0a7e2463f7</t>
  </si>
  <si>
    <t>2019-07-17T06:13:39</t>
  </si>
  <si>
    <t>2020-01-20T11:35:38.000+06:30</t>
  </si>
  <si>
    <t>2019-07-17T11:44:17.000+06:30</t>
  </si>
  <si>
    <t>34d3873a-9c73-46d0-ac53-02feb13a1d6f</t>
  </si>
  <si>
    <t>2019-07-17T06:14:35</t>
  </si>
  <si>
    <t>2019-07-17T11:45:28.000+06:30</t>
  </si>
  <si>
    <t>Red colony count: 1:10^1 -22; 1:10^2 - 2; 1:10^3 - 00, Each sample vol tested 1ml</t>
  </si>
  <si>
    <t>67a64dcb-ad44-4e08-8d58-388db91904a7</t>
  </si>
  <si>
    <t>2020-01-20T06:02:06</t>
  </si>
  <si>
    <t>Associated Sample PLc1053</t>
  </si>
  <si>
    <t>bade1f96-715a-4efe-8c4d-5465ac68ed57</t>
  </si>
  <si>
    <t>2019-07-17T06:15:46</t>
  </si>
  <si>
    <t>c9cd7e86-acf4-476a-a839-af9661793b94</t>
  </si>
  <si>
    <t>2020-01-20T11:37:21.000+06:30</t>
  </si>
  <si>
    <t>2019-11-14T06:35:45</t>
  </si>
  <si>
    <t>2019-07-17T11:47:50.000+06:30</t>
  </si>
  <si>
    <t>2019-11-14T12:09:32.000-07:00</t>
  </si>
  <si>
    <t>d822ffe3-6542-4406-a19e-f21289521783</t>
  </si>
  <si>
    <t>2019-07-17T06:18:06</t>
  </si>
  <si>
    <t>Red colony count: 1:10^1 - 80; 1:10^2 - 10; 1:10^3 - 01, Each sample vol tested 1ml</t>
  </si>
  <si>
    <t>2019-07-17T11:49:04.000+06:30</t>
  </si>
  <si>
    <t>04a526d9-c9d7-43a3-8bd9-84b6baba44de</t>
  </si>
  <si>
    <t>2020-01-20T06:03:49</t>
  </si>
  <si>
    <t>abca5bc5-6c8d-4e76-ba6f-a5f3d1e61ef8</t>
  </si>
  <si>
    <t>2019-07-17T06:19:23</t>
  </si>
  <si>
    <t>2020-01-20T11:38:46.000+06:30</t>
  </si>
  <si>
    <t>2019-07-17T11:49:05.000+06:30</t>
  </si>
  <si>
    <t>2019-07-17T11:52:50.000+06:30</t>
  </si>
  <si>
    <t>0969c909-134f-49d5-a378-8530e2c4ffb9</t>
  </si>
  <si>
    <t>2019-07-17T06:23:06</t>
  </si>
  <si>
    <t>2019-07-17T11:54:30.000+06:30</t>
  </si>
  <si>
    <t>Associated Sample MO1108</t>
  </si>
  <si>
    <t>7d976fc0-b466-424b-9c24-2ba22b3942a1</t>
  </si>
  <si>
    <t>2019-11-14T06:36:58</t>
  </si>
  <si>
    <t>Sample with COa2001, COb2001, COb2002, COb2003, Red Colony Count: Undiluted volume tested 100 ml - 00</t>
  </si>
  <si>
    <t>612dd100-7c29-4576-b9f8-d4f7196309ed</t>
  </si>
  <si>
    <t>2019-11-14T12:10:49.000-07:00</t>
  </si>
  <si>
    <t>2019-07-17T06:24:49</t>
  </si>
  <si>
    <t>eca36916-d18a-4b92-a39d-8cfdc9b4b59a</t>
  </si>
  <si>
    <t>2020-01-20T06:05:13</t>
  </si>
  <si>
    <t>2020-01-20T11:40:24.000+06:30</t>
  </si>
  <si>
    <t>2019-07-17T11:55:53.000+06:30</t>
  </si>
  <si>
    <t>ac23ea33-d47e-453f-8ce2-30845bf09f7e</t>
  </si>
  <si>
    <t>Red colony count: 1:10^1 - 44; 1:10^2 - 4; 1:10^3 - 00, Each sample vol tested 1ml</t>
  </si>
  <si>
    <t>2019-07-17T06:26:11</t>
  </si>
  <si>
    <t>bd67d7bb-b6ea-4b7a-94e9-f95510e634e3</t>
  </si>
  <si>
    <t>2020-01-20T06:06:52</t>
  </si>
  <si>
    <t>2019-07-17T12:01:21.000+06:30</t>
  </si>
  <si>
    <t>2020-01-20T11:41:51.000+06:30</t>
  </si>
  <si>
    <t>Associated Sample MO1109</t>
  </si>
  <si>
    <t>4c9923aa-2748-48db-88c1-bcbebcd04e64</t>
  </si>
  <si>
    <t>2019-11-14T06:38:16</t>
  </si>
  <si>
    <t>2019-07-16T14:00:00.000+06:30</t>
  </si>
  <si>
    <t>2019-11-14T12:12:54.000-07:00</t>
  </si>
  <si>
    <t>06eebd06-0324-4501-9b21-de589bcdcae0</t>
  </si>
  <si>
    <t>2019-07-17T06:31:40</t>
  </si>
  <si>
    <t>2019-10-31T14:30:00.000-07:00</t>
  </si>
  <si>
    <t>2019-10-31T16:00:00.000-07:00</t>
  </si>
  <si>
    <t>Red colony count: 1:10^1 - 30; 1:10^2 - 3; 1:10^3 - 00, Each sample vol tested 1ml</t>
  </si>
  <si>
    <t>2019-07-17T12:04:22.000+06:30</t>
  </si>
  <si>
    <t>88a6c1fe-1dc3-41e5-9482-e7cb6da55a78</t>
  </si>
  <si>
    <t>2020-01-20T06:08:20</t>
  </si>
  <si>
    <t>2020-01-20T11:43:18.000+06:30</t>
  </si>
  <si>
    <t>50fd9f4b-b7ff-4c47-bc58-5a8308d88333</t>
  </si>
  <si>
    <t>2019-07-17T06:34:41</t>
  </si>
  <si>
    <t>2019-07-17T12:05:35.000+06:30</t>
  </si>
  <si>
    <t>Associated Sample PLc1054</t>
  </si>
  <si>
    <t>e44ff58d-8b09-4217-9b1a-9ca121a34afd</t>
  </si>
  <si>
    <t>2019-11-14T06:40:19</t>
  </si>
  <si>
    <t>Red colony count: 1:10^1 - 21; 1:10^2 - 2; 1:10^3 - 00, Each sample vol tested 1ml</t>
  </si>
  <si>
    <t>2019-11-14T12:12:55.000-07:00</t>
  </si>
  <si>
    <t>2019-11-14T12:14:28.000-07:00</t>
  </si>
  <si>
    <t>47df971e-3ce2-4bb3-a1db-963086bdb85f</t>
  </si>
  <si>
    <t>2020-01-20T06:09:46</t>
  </si>
  <si>
    <t>60d0a7dc-7bda-4a30-bb65-6e9803bbb380</t>
  </si>
  <si>
    <t>2019-07-17T06:35:53</t>
  </si>
  <si>
    <t>2020-01-20T11:44:49.000+06:30</t>
  </si>
  <si>
    <t>2019-07-17T12:06:23.000+06:30</t>
  </si>
  <si>
    <t>63726651-d00c-40d6-b963-6757a613933c</t>
  </si>
  <si>
    <t>Red colony count: 1:10^1 - 50; 1:10^2 - 5; 1:10^3 - 2, Each sample vol tested 1ml</t>
  </si>
  <si>
    <t>2019-07-17T06:36:40</t>
  </si>
  <si>
    <t>58dfa160-846e-4ba9-b4ac-c81b7ecf2406</t>
  </si>
  <si>
    <t>2020-01-20T06:11:17</t>
  </si>
  <si>
    <t>2020-01-20T11:44:50.000+06:30</t>
  </si>
  <si>
    <t>2019-07-17T12:07:56.000+06:30</t>
  </si>
  <si>
    <t>2020-01-20T11:46:12.000+06:30</t>
  </si>
  <si>
    <t>c3980b14-f6d3-4df2-8530-49588000aad3</t>
  </si>
  <si>
    <t>2019-07-17T06:38:14</t>
  </si>
  <si>
    <t>Associated Sample PLc1055</t>
  </si>
  <si>
    <t>2019-07-17T12:09:24.000+06:30</t>
  </si>
  <si>
    <t>bbf9ea7b-19d1-409c-8933-426a71b6c42e</t>
  </si>
  <si>
    <t>2019-11-14T06:41:56</t>
  </si>
  <si>
    <t>2019-11-14T12:15:50.000-07:00</t>
  </si>
  <si>
    <t>Sample with COa2002, COb2004, COb2005, COb2006, Red Colony Count: Undiluted volume tested 100 ml - 00</t>
  </si>
  <si>
    <t>11d8c056-ff97-468e-81f8-0555349fa709</t>
  </si>
  <si>
    <t>2019-07-17T06:39:42</t>
  </si>
  <si>
    <t>35c7682e-bb7b-4fe4-a89d-b586f347efe4</t>
  </si>
  <si>
    <t>2020-01-20T06:12:40</t>
  </si>
  <si>
    <t>2019-07-17T12:14:25.000+06:30</t>
  </si>
  <si>
    <t>2020-01-20T11:53:42.000+06:30</t>
  </si>
  <si>
    <t>dfaf9189-b7e8-4033-8826-c75c51bc068e</t>
  </si>
  <si>
    <t>2019-07-17T06:44:43</t>
  </si>
  <si>
    <t>2019-07-17T12:15:30.000+06:30</t>
  </si>
  <si>
    <t>Red colony count: Undiluted 10ml - 30; 1:10^1 - 3; 1:10^2 - 00, sample vol tested 1ml</t>
  </si>
  <si>
    <t>f58e4b50-ce04-40c9-a2b7-57ab0a9605f3</t>
  </si>
  <si>
    <t>8ebb2f6a-208f-4d6c-98d8-ac590ade91f5</t>
  </si>
  <si>
    <t>2019-07-17T06:45:47</t>
  </si>
  <si>
    <t>2020-01-20T06:20:10</t>
  </si>
  <si>
    <t>2019-07-17T12:17:31.000+06:30</t>
  </si>
  <si>
    <t>2020-01-20T11:53:43.000+06:30</t>
  </si>
  <si>
    <t>2019-07-17T12:22:18.000+06:30</t>
  </si>
  <si>
    <t>2020-01-20T11:55:00.000+06:30</t>
  </si>
  <si>
    <t>Associated Sample PLc1056</t>
  </si>
  <si>
    <t>2019-07-09T16:00:00.000+06:30</t>
  </si>
  <si>
    <t>d51e1874-a99f-4bb9-98df-46f09c636718</t>
  </si>
  <si>
    <t>3f92ac5c-4199-4033-8eab-4fa75b9ec6d3</t>
  </si>
  <si>
    <t>2019-11-14T06:43:18</t>
  </si>
  <si>
    <t>2019-07-17T06:52:36</t>
  </si>
  <si>
    <t>2019-11-14T12:15:51.000-07:00</t>
  </si>
  <si>
    <t>2019-11-14T12:18:56.000-07:00</t>
  </si>
  <si>
    <t>2019-07-17T12:23:26.000+06:30</t>
  </si>
  <si>
    <t>Sample with RP2001, Red Colony Count: Undiluted volume tested 100 ml - 00</t>
  </si>
  <si>
    <t>cd15d01f-ec31-4c60-8a38-3831d58c53c7</t>
  </si>
  <si>
    <t>2019-07-17T06:53:45</t>
  </si>
  <si>
    <t>37118f2e-32e4-4dac-9840-cbee68d223c0</t>
  </si>
  <si>
    <t>2020-01-20T06:21:28</t>
  </si>
  <si>
    <t>2019-07-17T12:26:43.000+06:30</t>
  </si>
  <si>
    <t>2020-01-20T11:57:38.000+06:30</t>
  </si>
  <si>
    <t>2019-07-16T16:30:00.000+06:30</t>
  </si>
  <si>
    <t>acb06af5-76ee-4a3b-a71f-9fc5393f545f</t>
  </si>
  <si>
    <t>2019-07-17T06:57:01</t>
  </si>
  <si>
    <t>2019-07-16T11:38:46.000-07:00</t>
  </si>
  <si>
    <t>2019-07-16T11:58:10.000-07:00</t>
  </si>
  <si>
    <t>Associated Sample PLc1057</t>
  </si>
  <si>
    <t>Red colony count: 1:10^2 -106; 1:10^3 - 10; 1:10^4 - 00, Each sample vol tested 1ml</t>
  </si>
  <si>
    <t>2019-07-15T11:00:00.000-07:00</t>
  </si>
  <si>
    <t>0f461b8c-7b67-4d02-9288-037ea0ac735f</t>
  </si>
  <si>
    <t>2019-11-14T06:46:23</t>
  </si>
  <si>
    <t>9469eea0-ff81-4010-aef9-3b5c1833bd5c</t>
  </si>
  <si>
    <t>74f0b43f-4adf-416c-afb6-694fc4cc4e9c</t>
  </si>
  <si>
    <t>2020-01-20T06:24:06</t>
  </si>
  <si>
    <t>2019-07-18T05:23:14</t>
  </si>
  <si>
    <t>2020-01-20T11:58:47.000+06:30</t>
  </si>
  <si>
    <t>2019-11-14T12:21:11.000-07:00</t>
  </si>
  <si>
    <t>2019-07-16T12:00:36.000-07:00</t>
  </si>
  <si>
    <t>4e37ee24-4bb2-4f79-b08e-920599eae601</t>
  </si>
  <si>
    <t>2019-07-18T05:23:15</t>
  </si>
  <si>
    <t>Sample with SL2001, Red Colony Count: Undiluted volume tested 100 ml - 00</t>
  </si>
  <si>
    <t>59c74900-ca5b-428c-91d0-df3b605c106b</t>
  </si>
  <si>
    <t>2020-01-20T06:25:14</t>
  </si>
  <si>
    <t>2019-07-16T12:01:39.000-07:00</t>
  </si>
  <si>
    <t>2020-01-20T11:58:48.000+06:30</t>
  </si>
  <si>
    <t>2020-01-20T11:59:46.000+06:30</t>
  </si>
  <si>
    <t>dec0750e-2eaf-4512-9754-8b7a83c1d4e5</t>
  </si>
  <si>
    <t>2019-07-16T12:01:40.000-07:00</t>
  </si>
  <si>
    <t>2019-07-16T12:06:49.000-07:00</t>
  </si>
  <si>
    <t>Associated Sample PLc1058</t>
  </si>
  <si>
    <t>36293e29-6596-4886-9d21-bd7d4c28d3ba</t>
  </si>
  <si>
    <t>7e84b3ca-d82e-4d16-9be7-bd9e3e6df1cd</t>
  </si>
  <si>
    <t>2020-01-20T06:26:15</t>
  </si>
  <si>
    <t>2019-11-14T06:48:39</t>
  </si>
  <si>
    <t>2020-01-20T11:59:47.000+06:30</t>
  </si>
  <si>
    <t>2019-11-14T12:21:12.000-07:00</t>
  </si>
  <si>
    <t>ead27113-017a-4121-85a0-127abe377458</t>
  </si>
  <si>
    <t>2019-11-14T12:22:39.000-07:00</t>
  </si>
  <si>
    <t>2020-01-20T12:01:25.000+06:30</t>
  </si>
  <si>
    <t>2019-07-16T12:08:05.000-07:00</t>
  </si>
  <si>
    <t>2020-01-16T10:45:00.000+06:30</t>
  </si>
  <si>
    <t>2020-01-16T12:05:00.000+06:30</t>
  </si>
  <si>
    <t>2020-01-16T13:00:00.000+06:30</t>
  </si>
  <si>
    <t>2020-01-17T13:00:00.000+06:30</t>
  </si>
  <si>
    <t>c5f453d5-e954-4a52-a498-4f67d655f41b</t>
  </si>
  <si>
    <t>Red colony count: 1:10^4 -7; 1:10^5 - 0; 1:10^6 - 00, Each sample vol tested 1ml</t>
  </si>
  <si>
    <t>2019-07-18T05:23:16</t>
  </si>
  <si>
    <t>b8237d6a-54cd-47ee-be1e-c739c7b16934</t>
  </si>
  <si>
    <t>2020-01-20T06:27:56</t>
  </si>
  <si>
    <t>2020-01-20T12:02:51.000+06:30</t>
  </si>
  <si>
    <t>2019-07-16T12:09:00.000-07:00</t>
  </si>
  <si>
    <t>Associated Sample MO1110</t>
  </si>
  <si>
    <t>1799ae05-3c83-4d91-99fd-8084670ddf1e</t>
  </si>
  <si>
    <t>ad8a1818-38ae-4cef-8fa9-a1e59cb6d277</t>
  </si>
  <si>
    <t>2019-11-14T06:50:05</t>
  </si>
  <si>
    <t>2019-11-14T12:22:40.000-07:00</t>
  </si>
  <si>
    <t>Sample with PLc1178, Red Colony Count: Undiluted volume tested 100 ml - 00</t>
  </si>
  <si>
    <t>2019-11-14T12:23:56.000-07:00</t>
  </si>
  <si>
    <t>2019-07-16T12:10:01.000-07:00</t>
  </si>
  <si>
    <t>63272236-795e-4b83-9bde-7cfc08cdc2f1</t>
  </si>
  <si>
    <t>2020-01-20T06:29:22</t>
  </si>
  <si>
    <t>2020-01-20T12:02:52.000+06:30</t>
  </si>
  <si>
    <t>2020-01-20T12:04:39.000+06:30</t>
  </si>
  <si>
    <t>c7f6940a-3cb8-461f-b917-cdb7b6af06fa</t>
  </si>
  <si>
    <t>2019-07-18T05:23:17</t>
  </si>
  <si>
    <t>2019-07-16T12:10:59.000-07:00</t>
  </si>
  <si>
    <t>Red colony count: 1:10^4 - 54; 1:10^5 - 5; 1:10^6 - 3, Each sample vol tested 1ml</t>
  </si>
  <si>
    <t>a34a479b-3899-42f0-ba45-0ba9bbeb7b83</t>
  </si>
  <si>
    <t>2020-01-20T06:31:08</t>
  </si>
  <si>
    <t>2020-01-20T12:05:47.000+06:30</t>
  </si>
  <si>
    <t>117fe15c-ed16-479c-b721-7fa635954924</t>
  </si>
  <si>
    <t>Associated Sample MO1111</t>
  </si>
  <si>
    <t>b858dfbb-e146-41f6-96ff-8ceb4012ea47</t>
  </si>
  <si>
    <t>2019-11-14T06:51:23</t>
  </si>
  <si>
    <t>2019-11-14T12:23:57.000-07:00</t>
  </si>
  <si>
    <t>2019-11-14T12:32:38.000-07:00</t>
  </si>
  <si>
    <t>2019-07-16T12:12:56.000-07:00</t>
  </si>
  <si>
    <t>Sample with PLc1179, Red Colony Count: Undiluted volume tested 100 ml - 00</t>
  </si>
  <si>
    <t>10c86e34-0153-45d4-9653-1a0bf00d5594</t>
  </si>
  <si>
    <t>2020-01-20T06:32:16</t>
  </si>
  <si>
    <t>2020-01-20T12:08:37.000+06:30</t>
  </si>
  <si>
    <t>1aa36904-1ffa-4f20-a78c-7439b4af937a</t>
  </si>
  <si>
    <t>2019-07-16T12:13:53.000-07:00</t>
  </si>
  <si>
    <t>2535fb30-768e-482e-9266-dd76d4e8d970</t>
  </si>
  <si>
    <t>2019-07-18T05:23:18</t>
  </si>
  <si>
    <t>Red colony count: Undiluted 100ml - 01 and 10ml - 00; 1:10^1 - 00 sample vol tested 1ml</t>
  </si>
  <si>
    <t>624b3ca8-d8e5-4cb6-a60b-0ac1e8b88a5f</t>
  </si>
  <si>
    <t>2020-01-20T06:35:05</t>
  </si>
  <si>
    <t>2019-07-16T12:15:17.000-07:00</t>
  </si>
  <si>
    <t>90584040-0077-4bee-bca0-bc17844c7529</t>
  </si>
  <si>
    <t>2019-11-14T07:00:05</t>
  </si>
  <si>
    <t>2019-11-14T12:32:39.000-07:00</t>
  </si>
  <si>
    <t>2020-01-20T12:09:51.000+06:30</t>
  </si>
  <si>
    <t>2019-11-14T12:34:47.000-07:00</t>
  </si>
  <si>
    <t>d1c44848-9079-4642-9cab-701d0c12e22f</t>
  </si>
  <si>
    <t>2019-07-16T12:16:37.000-07:00</t>
  </si>
  <si>
    <t>Sample with DWa1005uf, Red Colony Count: Undiluted volume tested 100 ml - 00</t>
  </si>
  <si>
    <t>fada8213-b64b-41bd-85b6-24df3963def9</t>
  </si>
  <si>
    <t>2020-01-20T06:36:20</t>
  </si>
  <si>
    <t>aeb596a7-29da-447e-9dae-86b6aef44db2</t>
  </si>
  <si>
    <t>2019-07-18T05:23:19</t>
  </si>
  <si>
    <t>2020-01-20T12:09:52.000+06:30</t>
  </si>
  <si>
    <t>2020-01-20T12:10:58.000+06:30</t>
  </si>
  <si>
    <t>2019-07-16T12:21:49.000-07:00</t>
  </si>
  <si>
    <t>bdea7fb2-7dc0-4014-be93-559be286c473</t>
  </si>
  <si>
    <t>2019-11-14T07:02:14</t>
  </si>
  <si>
    <t>2019-11-14T12:34:48.000-07:00</t>
  </si>
  <si>
    <t>2020-01-16T14:50:00.000+06:30</t>
  </si>
  <si>
    <t>2019-11-14T12:36:38.000-07:00</t>
  </si>
  <si>
    <t>2020-01-16T15:00:00.000+06:30</t>
  </si>
  <si>
    <t>3f5f96f7-69c3-4e7a-a0f2-286bd39b15f0</t>
  </si>
  <si>
    <t>2020-01-16T15:10:00.000+06:30</t>
  </si>
  <si>
    <t>2020-01-17T15:10:00.000+06:30</t>
  </si>
  <si>
    <t>2019-07-16T12:23:40.000-07:00</t>
  </si>
  <si>
    <t>Sample with MO1155, Red Colony Count: Undiluted volume tested 100 ml - 00</t>
  </si>
  <si>
    <t>b5d60977-b604-4989-8d16-0a19b791b6b0</t>
  </si>
  <si>
    <t>2020-01-20T06:37:25</t>
  </si>
  <si>
    <t>a5a8a83d-e5ac-4dec-b65c-7971347f4946</t>
  </si>
  <si>
    <t>2019-07-18T05:23:20</t>
  </si>
  <si>
    <t>2020-01-20T12:12:04.000+06:30</t>
  </si>
  <si>
    <t>2019-07-18T10:55:32.000-07:00</t>
  </si>
  <si>
    <t>56a7e105-215c-44c2-a5c6-f99ab326004b</t>
  </si>
  <si>
    <t>2019-11-14T07:04:05</t>
  </si>
  <si>
    <t>2019-11-14T12:36:39.000-07:00</t>
  </si>
  <si>
    <t>c55fb602-df31-49cd-9fe9-c04046e7759a</t>
  </si>
  <si>
    <t>2019-07-18T05:25:58</t>
  </si>
  <si>
    <t>2019-11-14T12:38:00.000-07:00</t>
  </si>
  <si>
    <t>Sample with MO1156, Red Colony Count: Undiluted volume tested 100 ml - 00</t>
  </si>
  <si>
    <t>2019-07-18T11:07:49.000-07:00</t>
  </si>
  <si>
    <t>27dbfc07-4507-4569-9b3d-7d058d05e0ec</t>
  </si>
  <si>
    <t>2020-01-20T06:38:32</t>
  </si>
  <si>
    <t>2020-01-20T12:12:05.000+06:30</t>
  </si>
  <si>
    <t>2019-07-17T11:30:00.000-07:00</t>
  </si>
  <si>
    <t>eb7e2c35-924f-4acb-bea7-beefecbd0568</t>
  </si>
  <si>
    <t>2019-07-18T05:38:15</t>
  </si>
  <si>
    <t>2020-01-20T12:12:59.000+06:30</t>
  </si>
  <si>
    <t>2019-07-18T11:09:11.000-07:00</t>
  </si>
  <si>
    <t>fce267e1-77da-4cb9-a99b-1c6095407fd1</t>
  </si>
  <si>
    <t>2019-07-18T05:39:37</t>
  </si>
  <si>
    <t>3f88bf04-51c5-4623-90fb-3e7dfe55e36e</t>
  </si>
  <si>
    <t>2020-01-20T06:39:27</t>
  </si>
  <si>
    <t>2020-01-24T11:29:00.000+06:30</t>
  </si>
  <si>
    <t>2019-07-18T11:12:07.000-07:00</t>
  </si>
  <si>
    <t>aa92a2fb-fcdb-486e-b69a-9dd5ab44b922</t>
  </si>
  <si>
    <t>2019-11-14T07:05:25</t>
  </si>
  <si>
    <t>2020-01-24T11:31:15.000+06:30</t>
  </si>
  <si>
    <t>2019-11-14T12:38:01.000-07:00</t>
  </si>
  <si>
    <t>2019-11-14T12:39:54.000-07:00</t>
  </si>
  <si>
    <t>2020-01-20T13:49:00.000+06:30</t>
  </si>
  <si>
    <t>2020-01-20T14:30:00.000+06:30</t>
  </si>
  <si>
    <t>2020-01-20T15:00:00.000+06:30</t>
  </si>
  <si>
    <t>2020-01-21T15:00:00.000+06:30</t>
  </si>
  <si>
    <t>91a1346b-b839-41d0-92eb-1ea1fc202088</t>
  </si>
  <si>
    <t>2019-07-18T05:42:33</t>
  </si>
  <si>
    <t>2019-07-18T11:18:05.000-07:00</t>
  </si>
  <si>
    <t>79eebb5c-3ced-4c2c-afed-ad5ff165f221</t>
  </si>
  <si>
    <t>2019-07-18T05:48:31</t>
  </si>
  <si>
    <t>2019-07-18T11:20:41.000-07:00</t>
  </si>
  <si>
    <t>Red colony count: 1:10^4 -100; 1:10^5 - 5; 1:10^6 - 2, Each sample vol tested 1ml</t>
  </si>
  <si>
    <t>141dac3f-7f4c-474a-8c0e-eb07c2a24bf4</t>
  </si>
  <si>
    <t>2019-07-18T05:51:07</t>
  </si>
  <si>
    <t>c14fa8f3-005f-4e4d-8901-2540d5f6b721</t>
  </si>
  <si>
    <t>2020-01-24T05:57:40</t>
  </si>
  <si>
    <t>2019-07-18T11:22:20.000-07:00</t>
  </si>
  <si>
    <t>2020-01-24T11:32:24.000+06:30</t>
  </si>
  <si>
    <t>Associated Sample COa1005, COb1014, COb1015, COb1016</t>
  </si>
  <si>
    <t>f769d94f-362c-4249-91ff-e3054267e73f</t>
  </si>
  <si>
    <t>2020-01-20T14:15:00.000+06:30</t>
  </si>
  <si>
    <t>2019-07-18T05:52:45</t>
  </si>
  <si>
    <t>3e653f3f-ba83-4347-b9c2-831f453dab81</t>
  </si>
  <si>
    <t>2019-11-14T07:07:21</t>
  </si>
  <si>
    <t>2019-07-18T11:23:28.000-07:00</t>
  </si>
  <si>
    <t>2019-11-14T12:39:55.000-07:00</t>
  </si>
  <si>
    <t>2019-11-14T12:42:45.000-07:00</t>
  </si>
  <si>
    <t>Sample with PLc1180, Red Colony Count: Undiluted volume tested 100 ml - 00</t>
  </si>
  <si>
    <t>3844ad52-3a69-44dc-aeea-6760b801680e</t>
  </si>
  <si>
    <t>2019-07-18T05:53:54</t>
  </si>
  <si>
    <t>bb937445-281c-44ff-b76a-f60ad0de79df</t>
  </si>
  <si>
    <t>2020-01-24T05:58:48</t>
  </si>
  <si>
    <t>2019-07-18T11:27:33.000-07:00</t>
  </si>
  <si>
    <t>2020-01-24T11:33:43.000+06:30</t>
  </si>
  <si>
    <t>e5bc77f7-6142-4f5e-aa92-679f3c2834a2</t>
  </si>
  <si>
    <t>2019-07-18T05:57:59</t>
  </si>
  <si>
    <t>2019-07-18T11:41:37.000-07:00</t>
  </si>
  <si>
    <t>Red colony count: 1:10^4 -45; 1:10^5 - 3; 1:10^6 - 00, Each sample vol tested 1ml</t>
  </si>
  <si>
    <t>a4e8e493-c3c0-4f31-b9ad-cc9d416a70e9</t>
  </si>
  <si>
    <t>2020-01-24T06:00:08</t>
  </si>
  <si>
    <t>e9c37677-85af-4205-acea-cddf3e00ec31</t>
  </si>
  <si>
    <t>2019-07-18T06:12:04</t>
  </si>
  <si>
    <t>2020-01-24T11:34:48.000+06:30</t>
  </si>
  <si>
    <t>2019-07-18T11:42:40.000-07:00</t>
  </si>
  <si>
    <t>Associated Sample PLc1059</t>
  </si>
  <si>
    <t>e4852051-c04a-4192-a8ee-332a6c3a96fd</t>
  </si>
  <si>
    <t>2019-11-14T07:10:11</t>
  </si>
  <si>
    <t>f55e6309-e124-4d5c-b192-be3aff624b16</t>
  </si>
  <si>
    <t>2019-07-18T06:13:05</t>
  </si>
  <si>
    <t>2019-11-14T12:42:46.000-07:00</t>
  </si>
  <si>
    <t>Sample with PLc1181, Red Colony Count: Undiluted volume tested 100 ml - 00</t>
  </si>
  <si>
    <t>2019-11-14T12:44:37.000-07:00</t>
  </si>
  <si>
    <t>2019-07-18T11:43:49.000-07:00</t>
  </si>
  <si>
    <t>3edf18a7-a1ba-4a38-8271-54059cb04b8c</t>
  </si>
  <si>
    <t>2020-01-24T06:01:12</t>
  </si>
  <si>
    <t>2020-01-24T11:36:14.000+06:30</t>
  </si>
  <si>
    <t>62adb82e-bea7-46df-be8d-652e29dd9a53</t>
  </si>
  <si>
    <t>2019-07-18T06:14:15</t>
  </si>
  <si>
    <t>2019-07-18T11:44:58.000-07:00</t>
  </si>
  <si>
    <t>Red colony count: 1:10^4 -33; 1:10^5 - 1; 1:10^6 - 00, Each sample vol tested 1ml</t>
  </si>
  <si>
    <t>c8dad16e-22b0-455e-9a9a-3fcd9fc7aeec</t>
  </si>
  <si>
    <t>99e80853-e1ec-4e21-a9c9-7d1631436f2f</t>
  </si>
  <si>
    <t>2020-01-24T06:02:39</t>
  </si>
  <si>
    <t>2020-01-24T11:36:15.000+06:30</t>
  </si>
  <si>
    <t>2019-07-18T06:15:24</t>
  </si>
  <si>
    <t>2020-01-24T11:37:14.000+06:30</t>
  </si>
  <si>
    <t>2019-07-19T11:08:44.000-07:00</t>
  </si>
  <si>
    <t>2019-07-19T11:15:49.000-07:00</t>
  </si>
  <si>
    <t>Sample with PLc1182, Red Colony Count: Undiluted volume tested 100 ml - 00</t>
  </si>
  <si>
    <t>Associated Sample PLc1060</t>
  </si>
  <si>
    <t>553506b7-f498-48ee-8f30-59025523b2ac</t>
  </si>
  <si>
    <t>2019-07-19T05:46:16</t>
  </si>
  <si>
    <t>2019-07-19T11:15:50.000-07:00</t>
  </si>
  <si>
    <t>1d5011a4-cd04-4723-a904-5b5aa1aabd21</t>
  </si>
  <si>
    <t>afed3f2f-a653-43f7-8b8b-1cc5ffeb02d0</t>
  </si>
  <si>
    <t>2019-11-14T07:12:05</t>
  </si>
  <si>
    <t>2020-01-24T06:03:37</t>
  </si>
  <si>
    <t>2019-07-19T11:20:33.000-07:00</t>
  </si>
  <si>
    <t>2019-11-15T11:31:46.000-07:00</t>
  </si>
  <si>
    <t>2020-01-24T11:38:23.000+06:30</t>
  </si>
  <si>
    <t>2019-11-15T11:33:11.000-07:00</t>
  </si>
  <si>
    <t>65f6bb7f-d10a-45fe-9a40-c60bc3a51c83</t>
  </si>
  <si>
    <t>2019-07-19T05:50:59</t>
  </si>
  <si>
    <t>2019-07-19T11:26:04.000-07:00</t>
  </si>
  <si>
    <t>2019-06-06T11:00:00.000-07:00</t>
  </si>
  <si>
    <t>5b2469d8-bf8c-4380-bcbd-a89468d0eb34</t>
  </si>
  <si>
    <t>2019-07-19T05:56:30</t>
  </si>
  <si>
    <t>f871fee4-72d0-44cd-ba10-57d5cdb0f243</t>
  </si>
  <si>
    <t>2019-07-19T11:34:05.000-07:00</t>
  </si>
  <si>
    <t>2020-01-24T06:04:47</t>
  </si>
  <si>
    <t>2020-01-24T11:39:32.000+06:30</t>
  </si>
  <si>
    <t>6df16d80-9867-4586-995a-72f4e351d3a7</t>
  </si>
  <si>
    <t>2019-07-19T06:04:31</t>
  </si>
  <si>
    <t>2020-01-21T14:22:00.000+06:30</t>
  </si>
  <si>
    <t>2020-01-21T15:17:00.000+06:30</t>
  </si>
  <si>
    <t>2020-01-21T15:30:00.000+06:30</t>
  </si>
  <si>
    <t>2020-01-22T15:30:00.000+06:30</t>
  </si>
  <si>
    <t>2019-07-19T11:43:45.000-07:00</t>
  </si>
  <si>
    <t>4,1</t>
  </si>
  <si>
    <t>Sample with MO1157, Red Colony Count: Undiluted volume tested 100 ml - 00</t>
  </si>
  <si>
    <t>9c10867b-e019-4bf5-b405-cb8ae9570184</t>
  </si>
  <si>
    <t>2019-07-19T06:14:12</t>
  </si>
  <si>
    <t>0a623742-7e68-4c5f-9baf-820a5b10e0d2</t>
  </si>
  <si>
    <t>2019-07-19T11:43:46.000-07:00</t>
  </si>
  <si>
    <t>2020-01-24T06:05:56</t>
  </si>
  <si>
    <t>2020-01-24T11:39:33.000+06:30</t>
  </si>
  <si>
    <t>2019-07-19T11:53:53.000-07:00</t>
  </si>
  <si>
    <t>2020-01-24T11:40:40.000+06:30</t>
  </si>
  <si>
    <t>vEoStdkkxjbTLCeg9T5L4r</t>
  </si>
  <si>
    <t>4ed9769b-aeda-4988-9925-179d2bb9128f</t>
  </si>
  <si>
    <t>2019-06-18T11:00:00.000-07:00</t>
  </si>
  <si>
    <t>2019-11-15T06:00:34</t>
  </si>
  <si>
    <t>3169e99c-9840-42c9-8bbd-78475834aac4</t>
  </si>
  <si>
    <t>2019-07-19T06:24:20</t>
  </si>
  <si>
    <t>2019-11-15T11:34:15.000-07:00</t>
  </si>
  <si>
    <t>2019-07-19T11:53:54.000-07:00</t>
  </si>
  <si>
    <t>2019-07-19T11:57:37.000-07:00</t>
  </si>
  <si>
    <t>Sample with MO1158, Red Colony Count: Undiluted volume tested 100 ml - 00</t>
  </si>
  <si>
    <t>B124-21</t>
  </si>
  <si>
    <t>a91ac243-dfac-448f-b7e9-48fee009a935</t>
  </si>
  <si>
    <t>2020-01-24T06:07:04</t>
  </si>
  <si>
    <t>2020-01-24T11:41:42.000+06:30</t>
  </si>
  <si>
    <t>a36d7d6a-0022-4912-8fa1-7cf4aa0cfd96</t>
  </si>
  <si>
    <t>2019-07-19T06:28:04</t>
  </si>
  <si>
    <t>2019-07-19T12:00:39.000-07:00</t>
  </si>
  <si>
    <t>Sample with MO1159, Red Colony Count: Undiluted volume tested 100 ml - 00</t>
  </si>
  <si>
    <t>4631b277-11b5-4fd8-9a62-7dec06e459c7</t>
  </si>
  <si>
    <t>2020-01-24T06:08:06</t>
  </si>
  <si>
    <t>2020-01-24T11:41:43.000+06:30</t>
  </si>
  <si>
    <t>2020-01-24T11:43:09.000+06:30</t>
  </si>
  <si>
    <t>c2950adb-87d3-46c6-bba6-ea7d06dfd566</t>
  </si>
  <si>
    <t>2019-07-19T06:31:06</t>
  </si>
  <si>
    <t>2020-01-21T15:20:00.000+06:30</t>
  </si>
  <si>
    <t>2020-01-21T15:45:00.000+06:30</t>
  </si>
  <si>
    <t>2020-01-22T15:45:00.000+06:30</t>
  </si>
  <si>
    <t>2019-07-19T12:03:23.000-07:00</t>
  </si>
  <si>
    <t>Red colony count: 1:10^4 -68; 1:10^5 - 6; 1:10^6 - 00, Each sample vol tested 1ml</t>
  </si>
  <si>
    <t>05f5759b-eb81-4def-bd14-36c757da1d3b</t>
  </si>
  <si>
    <t>2020-01-24T06:09:33</t>
  </si>
  <si>
    <t>7e1f7a05-18e6-4efd-b425-1c93ad905a4e</t>
  </si>
  <si>
    <t>2019-11-15T06:01:39</t>
  </si>
  <si>
    <t>2019-11-15T11:34:16.000-07:00</t>
  </si>
  <si>
    <t>ea885361-2f1f-4e43-921e-9a7237b0739e</t>
  </si>
  <si>
    <t>2019-07-19T06:33:50</t>
  </si>
  <si>
    <t>2020-01-24T11:44:05.000+06:30</t>
  </si>
  <si>
    <t>2019-11-15T11:35:26.000-07:00</t>
  </si>
  <si>
    <t>2019-07-19T12:06:24.000-07:00</t>
  </si>
  <si>
    <t>2020-01-21T15:10:00.000+06:30</t>
  </si>
  <si>
    <t>2020-01-21T15:15:00.000+06:30</t>
  </si>
  <si>
    <t>2020-01-22T15:15:00.000+06:30</t>
  </si>
  <si>
    <t>3a3351d5-3bfe-494d-bc1c-72d3c4cdb3a5</t>
  </si>
  <si>
    <t>2019-07-19T06:36:51</t>
  </si>
  <si>
    <t>2019-07-19T12:08:46.000-07:00</t>
  </si>
  <si>
    <t>a47e56ad-5658-4a7a-84bc-4436851d01ba</t>
  </si>
  <si>
    <t>eb2f4ef5-7186-4775-ac39-bd3765768234</t>
  </si>
  <si>
    <t>2019-07-19T06:39:12</t>
  </si>
  <si>
    <t>2020-01-24T06:10:27</t>
  </si>
  <si>
    <t>2019-07-19T12:11:44.000-07:00</t>
  </si>
  <si>
    <t>2020-01-24T11:45:24.000+06:30</t>
  </si>
  <si>
    <t>2019-07-16T11:00:00.000-07:00</t>
  </si>
  <si>
    <t>c98bac39-f2a2-4c86-8b9c-c3ef51bfafaa</t>
  </si>
  <si>
    <t>2019-07-19T06:42:11</t>
  </si>
  <si>
    <t>2020-01-22T13:46:00.000+06:30</t>
  </si>
  <si>
    <t>2020-01-22T14:10:00.000+06:30</t>
  </si>
  <si>
    <t>2020-01-22T14:30:00.000+06:30</t>
  </si>
  <si>
    <t>2020-01-23T14:30:00.000+06:30</t>
  </si>
  <si>
    <t>2019-07-19T12:13:21.000-07:00</t>
  </si>
  <si>
    <t>df873bfe-cbd5-4475-b944-859b9c419d5d</t>
  </si>
  <si>
    <t>2019-11-15T06:02:51</t>
  </si>
  <si>
    <t>e3c0a17c-2e78-43e5-9f33-0578a5dd4a7a</t>
  </si>
  <si>
    <t>2019-07-19T06:43:47</t>
  </si>
  <si>
    <t>Sample with MO1160, Red Colony Count: Undiluted volume tested 100 ml - 00</t>
  </si>
  <si>
    <t>2019-11-15T11:41:00.000-07:00</t>
  </si>
  <si>
    <t>2019-11-15T11:41:54.000-07:00</t>
  </si>
  <si>
    <t>3755da69-d27d-4659-b2df-b7a690792709</t>
  </si>
  <si>
    <t>2020-01-24T06:11:48</t>
  </si>
  <si>
    <t>2019-07-19T12:20:58.000-07:00</t>
  </si>
  <si>
    <t>2020-01-24T11:45:25.000+06:30</t>
  </si>
  <si>
    <t>2020-01-24T11:46:32.000+06:30</t>
  </si>
  <si>
    <t>b0cba682-94d5-43ae-aba0-519f7a8df18f</t>
  </si>
  <si>
    <t>2019-07-19T06:51:24</t>
  </si>
  <si>
    <t>2019-07-19T12:27:07.000-07:00</t>
  </si>
  <si>
    <t>87016360-097e-4663-9ab0-19f8319fe427</t>
  </si>
  <si>
    <t>2019-07-19T06:57:34</t>
  </si>
  <si>
    <t>2019-07-19T12:49:57.000-07:00</t>
  </si>
  <si>
    <t>2019-07-19T12:52:36.000-07:00</t>
  </si>
  <si>
    <t>Sample with MO1161, Red Colony Count: Undiluted volume tested 100 ml - 00</t>
  </si>
  <si>
    <t>2019-07-18T14:00:00.000-07:00</t>
  </si>
  <si>
    <t>656477ad-483a-40d1-a71e-c934d9aee865</t>
  </si>
  <si>
    <t>eef5904b-a306-4a39-8980-881118e13f5e</t>
  </si>
  <si>
    <t>2020-01-24T06:12:56</t>
  </si>
  <si>
    <t>2019-07-19T07:23:03</t>
  </si>
  <si>
    <t>2020-01-24T11:46:33.000+06:30</t>
  </si>
  <si>
    <t>2019-07-19T12:54:03.000-07:00</t>
  </si>
  <si>
    <t>2020-01-24T11:47:50.000+06:30</t>
  </si>
  <si>
    <t>c25f2a55-d3ac-4dc7-a6d0-ad1bb293bf26</t>
  </si>
  <si>
    <t>2019-07-19T07:24:30</t>
  </si>
  <si>
    <t>2019-07-19T12:55:10.000-07:00</t>
  </si>
  <si>
    <t>a33e0428-b23a-46a2-8a32-7337a8fabc9d</t>
  </si>
  <si>
    <t>2019-11-15T06:09:19</t>
  </si>
  <si>
    <t>2019-11-15T11:41:55.000-07:00</t>
  </si>
  <si>
    <t>Sample with MO1162, Red Colony Count: Undiluted volume tested 100 ml - 00</t>
  </si>
  <si>
    <t>2019-11-15T11:42:41.000-07:00</t>
  </si>
  <si>
    <t>36c79bff-2f57-4eb9-b3af-bdce37889b7f</t>
  </si>
  <si>
    <t>c8c30b77-cefd-4c47-b124-abd36c65ef5b</t>
  </si>
  <si>
    <t>2019-07-19T07:25:37</t>
  </si>
  <si>
    <t>2020-01-24T06:14:14</t>
  </si>
  <si>
    <t>2019-07-19T12:55:53.000-07:00</t>
  </si>
  <si>
    <t>2020-01-24T11:49:18.000+06:30</t>
  </si>
  <si>
    <t>2020-01-22T14:45:00.000+06:30</t>
  </si>
  <si>
    <t>2020-01-23T15:15:00.000+06:30</t>
  </si>
  <si>
    <t>4ccd42e2-d815-44e7-8fcf-b01e36533681</t>
  </si>
  <si>
    <t>2019-07-19T07:26:18</t>
  </si>
  <si>
    <t>2019-07-19T12:57:40.000-07:00</t>
  </si>
  <si>
    <t>fb4823e4-60d0-4f75-b897-b7c17cec61f0</t>
  </si>
  <si>
    <t>Red colony count: 1:10^4 -46; 1:10^5 - 12; 1:10^6 - 00, Each sample vol tested 1ml</t>
  </si>
  <si>
    <t>2019-07-19T07:28:06</t>
  </si>
  <si>
    <t>8b07280a-218b-47ef-8e17-013a5907dcfa</t>
  </si>
  <si>
    <t>2020-01-24T06:15:40</t>
  </si>
  <si>
    <t>2019-07-19T12:58:33.000-07:00</t>
  </si>
  <si>
    <t>2020-01-24T11:55:26.000+06:30</t>
  </si>
  <si>
    <t>f65143f4-11fd-415d-9000-3b75b71a5d0a</t>
  </si>
  <si>
    <t>2019-11-15T06:10:05</t>
  </si>
  <si>
    <t>0ea24b07-660a-43e2-8aa3-1c0d22d57663</t>
  </si>
  <si>
    <t>2019-07-19T07:28:59</t>
  </si>
  <si>
    <t>2019-11-15T11:45:01.000-07:00</t>
  </si>
  <si>
    <t>2019-07-19T13:00:18.000-07:00</t>
  </si>
  <si>
    <t>Red colony count: Undiluted 100ml - 2; Undiluted 10 ml - 1; 1:10^1 - 0 Volume tested 1ml</t>
  </si>
  <si>
    <t>920d4b4c-c974-440d-b150-3223825dda32</t>
  </si>
  <si>
    <t>2020-01-24T06:18:32</t>
  </si>
  <si>
    <t>2020-01-24T11:52:07.000+06:30</t>
  </si>
  <si>
    <t>37a4f905-ece0-4586-b8a0-91a9131b3c4a</t>
  </si>
  <si>
    <t>2019-07-19T07:30:44</t>
  </si>
  <si>
    <t>2020-01-24T11:55:48.000+06:30</t>
  </si>
  <si>
    <t>2019-07-19T13:01:20.000-07:00</t>
  </si>
  <si>
    <t>bc2dd17b-af79-467c-9b1a-1da667fc0ef3</t>
  </si>
  <si>
    <t>2019-07-19T07:31:46</t>
  </si>
  <si>
    <t>2019-07-19T13:02:39.000-07:00</t>
  </si>
  <si>
    <t>04d8dadb-b099-42b2-8990-678cb8181305</t>
  </si>
  <si>
    <t>Red colony count: Undiluted 100ml - TDTC; Undiluted 10 ml - 46; 1:10^1 - 0 Volume tested 1ml</t>
  </si>
  <si>
    <t>2019-07-19T07:33:06</t>
  </si>
  <si>
    <t>3ee2c1cb-017f-44a4-a17f-d4d69cb72f8e</t>
  </si>
  <si>
    <t>2020-01-24T06:22:12</t>
  </si>
  <si>
    <t>2019-07-19T13:06:04.000-07:00</t>
  </si>
  <si>
    <t>2020-01-24T11:55:49.000+06:30</t>
  </si>
  <si>
    <t>2020-01-24T11:57:23.000+06:30</t>
  </si>
  <si>
    <t>Associated Sample PLc1061</t>
  </si>
  <si>
    <t>da8cc292-06c2-4047-8678-8f09cecdbdd6</t>
  </si>
  <si>
    <t>2019-11-15T06:12:26</t>
  </si>
  <si>
    <t>200d9ba8-386e-46ea-8fb4-5aae65120d44</t>
  </si>
  <si>
    <t>2019-07-19T07:36:30</t>
  </si>
  <si>
    <t>2019-11-15T11:47:53.000-07:00</t>
  </si>
  <si>
    <t>2019-07-23T10:27:01.000-07:00</t>
  </si>
  <si>
    <t>2019-07-23T10:30:01.000-07:00</t>
  </si>
  <si>
    <t>ABHISHEK DAS LAB OPERATOR NO.=1</t>
  </si>
  <si>
    <t>Red colony count: Undiluted 100ml - TDTC; Undiluted 10 ml - 6; 1:10^1 - 1 Volume tested 1ml</t>
  </si>
  <si>
    <t>5da755c4-ca8b-4aea-8834-1cbf163b4b36</t>
  </si>
  <si>
    <t>2019-07-23T05:00:28</t>
  </si>
  <si>
    <t>14d23ed6-a364-489c-8bf5-9120fda1b083</t>
  </si>
  <si>
    <t>2020-01-24T06:23:47</t>
  </si>
  <si>
    <t>2019-07-23T10:31:59.000-07:00</t>
  </si>
  <si>
    <t>2020-01-24T11:59:03.000+06:30</t>
  </si>
  <si>
    <t>6f349966-d5ae-47a7-89c8-a24b06429208</t>
  </si>
  <si>
    <t>2019-07-23T05:02:26</t>
  </si>
  <si>
    <t>2020-01-22T15:20:00.000+06:30</t>
  </si>
  <si>
    <t>2020-01-23T15:20:00.000+06:30</t>
  </si>
  <si>
    <t>2019-07-23T10:34:14.000-07:00</t>
  </si>
  <si>
    <t>Red colony count: 1:10^1 -11; 1:10^2 - 2; 1:10^3 - 00, Each sample vol tested 1ml</t>
  </si>
  <si>
    <t>41687a05-b279-44f7-99ec-8d726839b154</t>
  </si>
  <si>
    <t>2019-07-23T05:04:41</t>
  </si>
  <si>
    <t>a52e4dd9-17b3-4a1f-ba63-fda03caf7218</t>
  </si>
  <si>
    <t>2020-01-24T06:25:26</t>
  </si>
  <si>
    <t>2019-07-23T10:35:15.000-07:00</t>
  </si>
  <si>
    <t>712f95af-8169-4742-a4bf-8a3f3cd72f5d</t>
  </si>
  <si>
    <t>2019-11-15T06:15:16</t>
  </si>
  <si>
    <t>2020-01-24T12:00:33.000+06:30</t>
  </si>
  <si>
    <t>2019-11-15T11:49:03.000-07:00</t>
  </si>
  <si>
    <t>90aa919a-7e82-4702-a0a1-81a2ba9ad593</t>
  </si>
  <si>
    <t>2019-07-23T05:05:41</t>
  </si>
  <si>
    <t>2019-07-23T10:36:34.000-07:00</t>
  </si>
  <si>
    <t>Red colony count: 1:10^1 -19; 1:10^2 - 4; 1:10^3 - 2, Each sample vol tested 1ml</t>
  </si>
  <si>
    <t>ceac2387-7b9e-4346-afad-9cd10071af37</t>
  </si>
  <si>
    <t>2019-07-23T05:07:01</t>
  </si>
  <si>
    <t>9639eb36-9298-4606-88be-4d0bb8c0c6e7</t>
  </si>
  <si>
    <t>2020-01-24T06:27:00</t>
  </si>
  <si>
    <t>2019-07-23T10:38:55.000-07:00</t>
  </si>
  <si>
    <t>2020-01-24T12:02:22.000+06:30</t>
  </si>
  <si>
    <t>WITH PROCESSED PL1012FL</t>
  </si>
  <si>
    <t>36d303f3-4944-4c0b-a6dc-a560055645da</t>
  </si>
  <si>
    <t>2019-07-23T05:09:22</t>
  </si>
  <si>
    <t>2, 7 Associated Sample PLc1062</t>
  </si>
  <si>
    <t>06893031-821e-47f9-bc58-863f0d2a1421</t>
  </si>
  <si>
    <t>2019-07-23T10:43:57.000-07:00</t>
  </si>
  <si>
    <t>2019-11-15T06:16:29</t>
  </si>
  <si>
    <t>2019-11-15T11:49:04.000-07:00</t>
  </si>
  <si>
    <t>Sample with FPd2001, FPe2001, FPb2001, FPa2001, FPc2001, Red Colony Count: Undiluted volume tested 100 ml - 00</t>
  </si>
  <si>
    <t>2019-11-15T11:52:04.000-07:00</t>
  </si>
  <si>
    <t>1a933bad-9a7e-4554-a8a7-501f76524782</t>
  </si>
  <si>
    <t>2020-01-24T06:28:50</t>
  </si>
  <si>
    <t>2020-01-24T12:02:23.000+06:30</t>
  </si>
  <si>
    <t>d76705e3-f457-4c37-a0a4-63f36c061eed</t>
  </si>
  <si>
    <t>2020-01-24T12:04:01.000+06:30</t>
  </si>
  <si>
    <t>2019-07-23T05:14:24</t>
  </si>
  <si>
    <t>2019-07-23T10:45:01.000-07:00</t>
  </si>
  <si>
    <t>523305c3-8def-4ea3-99c6-bfb64fdec131</t>
  </si>
  <si>
    <t>2019-07-23T05:15:27</t>
  </si>
  <si>
    <t>2019-07-23T10:46:32.000-07:00</t>
  </si>
  <si>
    <t>Red colony count: 1:10^2 -22; 1:10^3 - 00; 1:10^4 - 00, Each sample vol tested 1ml</t>
  </si>
  <si>
    <t>edec189b-2b64-4862-9fd5-9fb1d8addc34</t>
  </si>
  <si>
    <t>2020-01-24T06:30:24</t>
  </si>
  <si>
    <t>2019-07-22T14:00:00.000-07:00</t>
  </si>
  <si>
    <t>2020-01-24T12:05:23.000+06:30</t>
  </si>
  <si>
    <t>acb9f4d5-7428-49bb-af2f-a1491617148e</t>
  </si>
  <si>
    <t>2019-07-23T05:16:59</t>
  </si>
  <si>
    <t>2019-07-23T10:47:42.000-07:00</t>
  </si>
  <si>
    <t>MSA 1:10^4 - 3 vol. 1ml, WG5 1ml plaque count - CL</t>
  </si>
  <si>
    <t>1290cf48-df50-42d6-ba56-115d07ed1ba6</t>
  </si>
  <si>
    <t>2019-11-15T06:19:29</t>
  </si>
  <si>
    <t>2019-11-15T11:52:05.000-07:00</t>
  </si>
  <si>
    <t>660c65ec-200a-49f2-bf31-a2681d750d78</t>
  </si>
  <si>
    <t>Sample with SW2001, Red Colony Count: Undiluted volume tested 100 ml - 00</t>
  </si>
  <si>
    <t>2019-07-23T05:18:08</t>
  </si>
  <si>
    <t>2019-11-15T11:53:19.000-07:00</t>
  </si>
  <si>
    <t>2019-07-24T10:39:40.000-07:00</t>
  </si>
  <si>
    <t>c6a5e793-e25d-4379-9226-53ce319249b9</t>
  </si>
  <si>
    <t>2020-01-24T06:31:48</t>
  </si>
  <si>
    <t>2020-01-24T12:05:24.000+06:30</t>
  </si>
  <si>
    <t>2019-07-24T10:41:21.000-07:00</t>
  </si>
  <si>
    <t>2020-01-24T12:07:20.000+06:30</t>
  </si>
  <si>
    <t>01fbeb55-9dbd-4dee-9b5a-96b75ba4baaa</t>
  </si>
  <si>
    <t>2019-07-24T05:11:48</t>
  </si>
  <si>
    <t>2020-01-23T15:30:00.000+06:30</t>
  </si>
  <si>
    <t>2019-07-24T10:43:08.000-07:00</t>
  </si>
  <si>
    <t>Red colony count: 1:10^1 -0; 1:10^2 - 0; 1:10^3 - 0, Each sample vol tested 1ml</t>
  </si>
  <si>
    <t>c91052dd-8b9d-4e3d-a351-eec8385ff465</t>
  </si>
  <si>
    <t>70a19e27-dbfb-4774-ad8f-c564a27a012c</t>
  </si>
  <si>
    <t>2020-01-24T06:33:44</t>
  </si>
  <si>
    <t>2019-07-24T05:13:36</t>
  </si>
  <si>
    <t>2019-07-24T10:43:09.000-07:00</t>
  </si>
  <si>
    <t>2019-07-24T10:44:33.000-07:00</t>
  </si>
  <si>
    <t>2020-01-24T12:08:28.000+06:30</t>
  </si>
  <si>
    <t>2019-07-23T11:30:00.000-07:00</t>
  </si>
  <si>
    <t>Associated Sample PLc1063</t>
  </si>
  <si>
    <t>0fba22c0-9f3a-4564-8c3c-041fc27b4f0c</t>
  </si>
  <si>
    <t>2019-07-24T05:15:01</t>
  </si>
  <si>
    <t>8f27ddae-1db7-436d-a17d-7630ccf152de</t>
  </si>
  <si>
    <t>2019-11-15T06:20:42</t>
  </si>
  <si>
    <t>2019-07-24T10:45:41.000-07:00</t>
  </si>
  <si>
    <t>2019-11-15T11:55:48.000-07:00</t>
  </si>
  <si>
    <t>9087e24e-9289-4d6b-a754-c890ca3352ac</t>
  </si>
  <si>
    <t>2019-07-24T05:16:09</t>
  </si>
  <si>
    <t>2019-07-24T10:46:32.000-07:00</t>
  </si>
  <si>
    <t>Sample with SF2001, Red Colony Count: Undiluted volume tested 100 ml - 00</t>
  </si>
  <si>
    <t>11b2412f-bd8d-46c7-9773-66563ebafff2</t>
  </si>
  <si>
    <t>2019-07-24T05:16:59</t>
  </si>
  <si>
    <t>d877760d-4ff0-446e-bc29-4f400144edcb</t>
  </si>
  <si>
    <t>2020-01-24T06:34:52</t>
  </si>
  <si>
    <t>2019-07-24T10:46:33.000-07:00</t>
  </si>
  <si>
    <t>2019-07-24T10:47:35.000-07:00</t>
  </si>
  <si>
    <t>2020-01-24T12:09:23.000+06:30</t>
  </si>
  <si>
    <t>2020-01-22T14:00:00.000+06:30</t>
  </si>
  <si>
    <t>2020-01-22T14:05:00.000+06:30</t>
  </si>
  <si>
    <t>cee92f13-c4bf-413b-8198-619696a2053f</t>
  </si>
  <si>
    <t>2019-07-24T05:18:01</t>
  </si>
  <si>
    <t>2020-01-23T14:05:00.000+06:30</t>
  </si>
  <si>
    <t>2019-07-24T10:48:51.000-07:00</t>
  </si>
  <si>
    <t>217a628a-a15b-4d8c-be1c-1c7f88250e35</t>
  </si>
  <si>
    <t>2019-07-24T05:19:19</t>
  </si>
  <si>
    <t>2019-07-24T10:48:52.000-07:00</t>
  </si>
  <si>
    <t>2019-07-24T10:49:45.000-07:00</t>
  </si>
  <si>
    <t>511a2231-54f4-4c4d-8bbe-ad527aafc4b5</t>
  </si>
  <si>
    <t>2020-01-24T06:35:45</t>
  </si>
  <si>
    <t>2020-02-03T11:38:52.000+06:30</t>
  </si>
  <si>
    <t>0c8fd5ba-97c7-4cb4-b220-0afe73cf2dc5</t>
  </si>
  <si>
    <t>2019-11-15T06:23:13</t>
  </si>
  <si>
    <t>4f3e4d7e-ff0c-4369-9146-ea5a4560d6fa</t>
  </si>
  <si>
    <t>2019-07-24T05:20:11</t>
  </si>
  <si>
    <t>2020-02-03T11:43:44.000+06:30</t>
  </si>
  <si>
    <t>2019-07-24T10:51:05.000-07:00</t>
  </si>
  <si>
    <t>2019-11-15T11:58:01.000-07:00</t>
  </si>
  <si>
    <t>2020-01-27T15:18:00.000+06:30</t>
  </si>
  <si>
    <t>2020-01-27T15:40:00.000+06:30</t>
  </si>
  <si>
    <t>2020-01-28T15:40:00.000+06:30</t>
  </si>
  <si>
    <t>ba47a07c-256b-45e7-a2ee-b39df36f716e</t>
  </si>
  <si>
    <t>2019-07-24T05:21:33</t>
  </si>
  <si>
    <t>2019-07-24T10:52:49.000-07:00</t>
  </si>
  <si>
    <t>5df58c28-0003-4e3b-912d-211fa1742e62</t>
  </si>
  <si>
    <t>2019-07-24T05:23:16</t>
  </si>
  <si>
    <t>2019-07-24T10:57:31.000-07:00</t>
  </si>
  <si>
    <t>0c9a4fb5-0270-42ec-8538-28645a1c2b27</t>
  </si>
  <si>
    <t>2020-02-03T06:10:00</t>
  </si>
  <si>
    <t>WITHFB1002UP</t>
  </si>
  <si>
    <t>Associated Sample PLc1064</t>
  </si>
  <si>
    <t>04158c65-9d95-43cf-9798-482ed69d6d29</t>
  </si>
  <si>
    <t>2020-02-03T11:45:14.000+06:30</t>
  </si>
  <si>
    <t>2019-07-24T05:27:58</t>
  </si>
  <si>
    <t>29bc4328-2734-483e-a819-8397a0682ca3</t>
  </si>
  <si>
    <t>2019-11-15T06:25:25</t>
  </si>
  <si>
    <t>2019-07-24T10:59:47.000-07:00</t>
  </si>
  <si>
    <t>2019-11-15T12:00:02.000-07:00</t>
  </si>
  <si>
    <t>3c0244e9-07e7-4e00-923e-fb901a3a7fca</t>
  </si>
  <si>
    <t>2019-07-24T05:30:14</t>
  </si>
  <si>
    <t>2019-07-24T11:01:27.000-07:00</t>
  </si>
  <si>
    <t>Sample with PLc1183, Red Colony Count: Undiluted volume tested 100 ml - 00</t>
  </si>
  <si>
    <t>16b21f45-a48b-448c-b863-6113f5b02aa9</t>
  </si>
  <si>
    <t>2020-02-03T06:11:30</t>
  </si>
  <si>
    <t>5bfdc0ae-0686-44e6-9fa7-e3c3ef72bd8d</t>
  </si>
  <si>
    <t>2019-07-24T05:31:54</t>
  </si>
  <si>
    <t>2019-07-24T11:04:15.000-07:00</t>
  </si>
  <si>
    <t>2020-02-03T11:47:21.000+06:30</t>
  </si>
  <si>
    <t>WITH FB1004UP</t>
  </si>
  <si>
    <t>MSA 1:10^4 - 33 vol. 1ml, WG5 1ml plaque count - CL</t>
  </si>
  <si>
    <t>982baa37-e0c1-4cde-a245-fd927a2c2a74</t>
  </si>
  <si>
    <t>2019-07-24T05:34:42</t>
  </si>
  <si>
    <t>2f7a704d-cb87-4e03-8713-a8953c6d3cd0</t>
  </si>
  <si>
    <t>2019-11-15T06:27:33</t>
  </si>
  <si>
    <t>2019-11-15T12:00:03.000-07:00</t>
  </si>
  <si>
    <t>2019-07-24T11:05:34.000-07:00</t>
  </si>
  <si>
    <t>2019-11-15T12:01:09.000-07:00</t>
  </si>
  <si>
    <t>Red colony count: Undiluted 100ml - 11, Undiluted 10ml - 1</t>
  </si>
  <si>
    <t>f70f1578-b5e2-4f49-b670-82967917f365</t>
  </si>
  <si>
    <t>2020-02-03T06:13:36</t>
  </si>
  <si>
    <t>WITH FB1005UP</t>
  </si>
  <si>
    <t>06536f4e-7ede-4643-af06-04d6c8c87570</t>
  </si>
  <si>
    <t>2019-07-24T05:36:02</t>
  </si>
  <si>
    <t>2020-02-03T11:48:46.000+06:30</t>
  </si>
  <si>
    <t>2019-07-24T11:07:02.000-07:00</t>
  </si>
  <si>
    <t>WITH FB1006UP</t>
  </si>
  <si>
    <t>4d8c9d7f-8b27-48a8-ad5d-efd26864486a</t>
  </si>
  <si>
    <t>2019-07-24T05:37:29</t>
  </si>
  <si>
    <t>Sample with BW2001, Red Colony Count: Undiluted volume tested 100 ml - 00</t>
  </si>
  <si>
    <t>2019-07-24T11:09:45.000-07:00</t>
  </si>
  <si>
    <t>796a57bc-9149-402f-af46-c5fa0fb4d636</t>
  </si>
  <si>
    <t>2020-02-03T06:15:02</t>
  </si>
  <si>
    <t>2020-02-03T11:48:47.000+06:30</t>
  </si>
  <si>
    <t>Associated Sample PLc1065</t>
  </si>
  <si>
    <t>WITHFB1006UP</t>
  </si>
  <si>
    <t>2020-02-03T11:51:34.000+06:30</t>
  </si>
  <si>
    <t>a7dfad6a-9385-4cb9-a304-61e06899953b</t>
  </si>
  <si>
    <t>10442a41-eda7-4474-af20-1000d712d701</t>
  </si>
  <si>
    <t>2019-07-24T05:40:12</t>
  </si>
  <si>
    <t>2019-11-15T06:28:33</t>
  </si>
  <si>
    <t>2019-11-15T12:03:50.000-07:00</t>
  </si>
  <si>
    <t>2019-07-24T11:10:54.000-07:00</t>
  </si>
  <si>
    <t>WITHFB1007UP</t>
  </si>
  <si>
    <t>d7588d37-3800-4e4d-91c3-91ed5882c0bf</t>
  </si>
  <si>
    <t>2019-07-24T05:41:21</t>
  </si>
  <si>
    <t>Red colony count: 1:10^2 - 50; 1:10^3 - 2; 1:10^4 - 1, Each sample vol tested 1ml</t>
  </si>
  <si>
    <t>2019-07-24T11:11:56.000-07:00</t>
  </si>
  <si>
    <t>296b75c9-52d1-4a30-9657-2999f1817753</t>
  </si>
  <si>
    <t>2020-02-03T06:17:50</t>
  </si>
  <si>
    <t>WITHFB1008</t>
  </si>
  <si>
    <t>2020-02-03T11:53:03.000+06:30</t>
  </si>
  <si>
    <t>b907ffcf-43ca-4379-aa29-fc90e8f8b938</t>
  </si>
  <si>
    <t>2019-07-24T05:42:23</t>
  </si>
  <si>
    <t>2019-07-24T11:13:12.000-07:00</t>
  </si>
  <si>
    <t>WITHFB1009UP</t>
  </si>
  <si>
    <t>286e3bec-1a69-4420-8a5f-45581f506f91</t>
  </si>
  <si>
    <t>2019-07-24T05:43:39</t>
  </si>
  <si>
    <t>2019-07-26T11:03:15.000-07:00</t>
  </si>
  <si>
    <t>65ea4bce-46af-44fc-b6a2-737ecf47777a</t>
  </si>
  <si>
    <t>2019-11-15T06:31:15</t>
  </si>
  <si>
    <t>Sample with SL2002, Red Colony Count: Undiluted volume tested 100 ml - 00</t>
  </si>
  <si>
    <t>2019-07-26T11:04:51.000-07:00</t>
  </si>
  <si>
    <t>2019-11-15T12:03:51.000-07:00</t>
  </si>
  <si>
    <t>b7bbcfaf-4e96-450c-afff-b151b27bcdd0</t>
  </si>
  <si>
    <t>2019-11-15T12:06:52.000-07:00</t>
  </si>
  <si>
    <t>2020-02-03T06:19:19</t>
  </si>
  <si>
    <t>2019-07-25T14:00:00.000-07:00</t>
  </si>
  <si>
    <t>WITH PL1013FL</t>
  </si>
  <si>
    <t>2020-02-03T11:53:04.000+06:30</t>
  </si>
  <si>
    <t>90463710-98a4-4aa9-b444-ffcdde03d75f</t>
  </si>
  <si>
    <t>2019-07-26T05:35:20</t>
  </si>
  <si>
    <t>2020-02-03T11:54:12.000+06:30</t>
  </si>
  <si>
    <t>2019-07-26T11:05:48.000-07:00</t>
  </si>
  <si>
    <t>6c4018af-7785-42a9-8d97-d2b08d1fbff6</t>
  </si>
  <si>
    <t>2019-07-26T05:36:15</t>
  </si>
  <si>
    <t>2019-07-26T11:07:30.000-07:00</t>
  </si>
  <si>
    <t>101c5b69-b6c1-450f-89d2-4c2af17268af</t>
  </si>
  <si>
    <t>2019-07-26T05:37:58</t>
  </si>
  <si>
    <t>2019-07-26T11:08:31.000-07:00</t>
  </si>
  <si>
    <t>fd6aa50f-1d38-4d1e-9de8-2b412f081b3c</t>
  </si>
  <si>
    <t>2020-02-03T06:20:27</t>
  </si>
  <si>
    <t>2020-02-03T11:54:13.000+06:30</t>
  </si>
  <si>
    <t>15341233-8685-4d6b-ac3f-dfbf42e92845</t>
  </si>
  <si>
    <t>2019-07-26T05:38:59</t>
  </si>
  <si>
    <t>2019-07-26T11:09:29.000-07:00</t>
  </si>
  <si>
    <t>2020-02-03T11:56:43.000+06:30</t>
  </si>
  <si>
    <t>Associated Sample PLc1066</t>
  </si>
  <si>
    <t>2020-01-28T14:27:00.000+06:30</t>
  </si>
  <si>
    <t>2020-01-28T14:35:00.000+06:30</t>
  </si>
  <si>
    <t>2020-01-28T14:45:00.000+06:30</t>
  </si>
  <si>
    <t>fe21d324-13f3-44f0-99a6-bfa5cc200f38</t>
  </si>
  <si>
    <t>12de2651-e511-454c-9565-159bf7eb33ca</t>
  </si>
  <si>
    <t>2019-07-26T05:39:57</t>
  </si>
  <si>
    <t>2020-01-29T14:45:00.000+06:30</t>
  </si>
  <si>
    <t>2019-11-15T06:34:17</t>
  </si>
  <si>
    <t>2019-11-15T12:06:53.000-07:00</t>
  </si>
  <si>
    <t>2019-07-26T11:10:24.000-07:00</t>
  </si>
  <si>
    <t>2019-11-15T12:09:02.000-07:00</t>
  </si>
  <si>
    <t>c4391c6d-e1b7-4e27-bf41-15579859fdd1</t>
  </si>
  <si>
    <t>2019-07-26T05:40:52</t>
  </si>
  <si>
    <t>Sample with MO1163, Red Colony Count: Undiluted volume tested 100 ml - 00</t>
  </si>
  <si>
    <t>132d4f4e-a71e-4a23-b105-c73a53977758</t>
  </si>
  <si>
    <t>2019-07-26T11:11:11.000-07:00</t>
  </si>
  <si>
    <t>2020-02-03T06:22:59</t>
  </si>
  <si>
    <t>2020-02-03T11:56:44.000+06:30</t>
  </si>
  <si>
    <t>ef27ea4b-cd05-42a2-afeb-e3233c829032</t>
  </si>
  <si>
    <t>2020-02-03T11:58:14.000+06:30</t>
  </si>
  <si>
    <t>2019-07-26T05:41:39</t>
  </si>
  <si>
    <t>2019-07-26T11:12:48.000-07:00</t>
  </si>
  <si>
    <t>WITH FB1010UP</t>
  </si>
  <si>
    <t>b12557b0-975b-4f8d-b08e-3abb0727496e</t>
  </si>
  <si>
    <t>2019-07-26T05:43:16</t>
  </si>
  <si>
    <t>2019-07-26T11:15:04.000-07:00</t>
  </si>
  <si>
    <t>Sample with MO1164, Red Colony Count: Undiluted volume tested 100 ml - 00</t>
  </si>
  <si>
    <t>cededf7a-23d3-42ec-90ce-38326b6a6ea8</t>
  </si>
  <si>
    <t>2020-02-03T06:24:29</t>
  </si>
  <si>
    <t>0fb89687-3daf-4a5e-8ad7-aef2453fabe1</t>
  </si>
  <si>
    <t>2019-11-15T06:36:28</t>
  </si>
  <si>
    <t>2019-11-15T12:09:03.000-07:00</t>
  </si>
  <si>
    <t>2020-02-03T11:59:43.000+06:30</t>
  </si>
  <si>
    <t>2019-11-15T12:10:13.000-07:00</t>
  </si>
  <si>
    <t>6335b860-b358-4d27-b84e-23f98b497d55</t>
  </si>
  <si>
    <t>2019-07-26T05:45:33</t>
  </si>
  <si>
    <t>Sample with MO1165, Red Colony Count: Undiluted volume tested 100 ml - 00</t>
  </si>
  <si>
    <t>3b9d7dd6-ec88-4ae1-991a-08ab9596e205</t>
  </si>
  <si>
    <t>2020-02-03T06:26:00</t>
  </si>
  <si>
    <t>2019-07-26T11:16:25.000-07:00</t>
  </si>
  <si>
    <t>2020-02-03T12:01:34.000+06:30</t>
  </si>
  <si>
    <t>2020-01-28T14:48:00.000+06:30</t>
  </si>
  <si>
    <t>2020-01-28T15:00:00.000+06:30</t>
  </si>
  <si>
    <t>2020-01-29T15:00:00.000+06:30</t>
  </si>
  <si>
    <t>Associated Sample PLc1067</t>
  </si>
  <si>
    <t>8f1b6e49-c8db-4227-9ff8-1193974ab42e</t>
  </si>
  <si>
    <t>2019-07-26T05:46:54</t>
  </si>
  <si>
    <t>34f9e5ab-492c-45bc-9c9d-440469f65fe4</t>
  </si>
  <si>
    <t>2019-11-15T06:37:39</t>
  </si>
  <si>
    <t>2019-07-29T16:49:50.000-07:00</t>
  </si>
  <si>
    <t>2019-11-15T12:10:14.000-07:00</t>
  </si>
  <si>
    <t>2019-11-15T12:11:30.000-07:00</t>
  </si>
  <si>
    <t>Red colony count: 1:10^4 - 90; 1:10^5 - 16; 1:10^6 - 2, Each sample vol tested 1ml</t>
  </si>
  <si>
    <t>2019-07-30T10:19:07.000-07:00</t>
  </si>
  <si>
    <t>b09a2fcc-4ec8-4895-b108-b583df7b1d8e</t>
  </si>
  <si>
    <t>2019-07-29T11:00:00.000-07:00</t>
  </si>
  <si>
    <t>2020-02-03T06:27:51</t>
  </si>
  <si>
    <t>2020-02-03T12:01:35.000+06:30</t>
  </si>
  <si>
    <t>be1954da-e96f-4e5d-a427-3e3f0c94d953</t>
  </si>
  <si>
    <t>2019-07-30T04:49:35</t>
  </si>
  <si>
    <t>2020-02-03T12:02:42.000+06:30</t>
  </si>
  <si>
    <t>2019-07-30T10:20:53.000-07:00</t>
  </si>
  <si>
    <t>90fb6044-7e3a-48f2-bb5a-e57ec8e3db83</t>
  </si>
  <si>
    <t>2019-07-30T04:51:22</t>
  </si>
  <si>
    <t>3163ffef-fc06-4fcc-8f4d-44f9c9081b62</t>
  </si>
  <si>
    <t>2020-02-03T06:28:57</t>
  </si>
  <si>
    <t>Associated Sample MO1112</t>
  </si>
  <si>
    <t>2019-07-30T10:23:07.000-07:00</t>
  </si>
  <si>
    <t>2020-02-05T12:25:35.000+06:30</t>
  </si>
  <si>
    <t>7c4e432a-de34-4586-9cb1-e7a6fb6e79ee</t>
  </si>
  <si>
    <t>2019-11-15T06:38:56</t>
  </si>
  <si>
    <t>2020-02-05T12:27:36.000+06:30</t>
  </si>
  <si>
    <t>WITH FB1011UP</t>
  </si>
  <si>
    <t>2019-11-15T12:12:31.000-07:00</t>
  </si>
  <si>
    <t>2020-02-03T13:15:00.000+06:30</t>
  </si>
  <si>
    <t>2020-02-03T15:16:00.000+06:30</t>
  </si>
  <si>
    <t>b1acf788-2a47-4438-a4a4-8c23e6adcfb5</t>
  </si>
  <si>
    <t>2020-02-03T16:00:00.000+06:30</t>
  </si>
  <si>
    <t>2019-07-30T04:53:36</t>
  </si>
  <si>
    <t>2020-02-04T16:00:00.000+06:30</t>
  </si>
  <si>
    <t>2019-07-30T10:24:17.000-07:00</t>
  </si>
  <si>
    <t>Red colony count: 1:10^4 -53; 1:10^5 - 23; 1:10^6 - 2, Each sample vol tested 10 ml</t>
  </si>
  <si>
    <t>87680f0e-7ec6-4cd0-8dd8-d39372340d85</t>
  </si>
  <si>
    <t>2019-07-30T04:54:46</t>
  </si>
  <si>
    <t>217c1b35-8e76-4136-965e-290bbe22fb3d</t>
  </si>
  <si>
    <t>2020-02-05T06:53:50</t>
  </si>
  <si>
    <t>2020-02-05T12:28:40.000+06:30</t>
  </si>
  <si>
    <t>2019-07-30T10:25:04.000-07:00</t>
  </si>
  <si>
    <t>Associated Sample MO1113</t>
  </si>
  <si>
    <t>4280c5ab-310e-4e84-acd3-7abc024d9934</t>
  </si>
  <si>
    <t>2019-11-15T06:39:56</t>
  </si>
  <si>
    <t>2019-11-15T12:12:32.000-07:00</t>
  </si>
  <si>
    <t>2ab93f37-23b6-4890-9b13-493314ace7e5</t>
  </si>
  <si>
    <t>2019-07-30T04:55:32</t>
  </si>
  <si>
    <t>2019-11-15T12:13:25.000-07:00</t>
  </si>
  <si>
    <t>Sample with PLc1184, Red Colony Count: Undiluted volume tested 100 ml - 00</t>
  </si>
  <si>
    <t>ef3aa227-9c80-40be-8880-41d422efe87c</t>
  </si>
  <si>
    <t>2019-07-30T10:26:08.000-07:00</t>
  </si>
  <si>
    <t>2020-02-05T06:54:54</t>
  </si>
  <si>
    <t>2020-02-05T12:28:41.000+06:30</t>
  </si>
  <si>
    <t>2020-02-05T12:30:11.000+06:30</t>
  </si>
  <si>
    <t>9092822e-7650-4778-a4d1-2077653ca1f7</t>
  </si>
  <si>
    <t>2019-07-30T04:56:36</t>
  </si>
  <si>
    <t>2019-07-30T10:27:05.000-07:00</t>
  </si>
  <si>
    <t>Red colony count: 1:10^4 -73; 1:10^5 - 16; 1:10^6 - 00, Each sample vol tested 10 ml</t>
  </si>
  <si>
    <t>9a39db71-5e0b-4429-b2bb-34f007573f4a</t>
  </si>
  <si>
    <t>2019-07-30T04:57:34</t>
  </si>
  <si>
    <t>a7cc35c4-0fd1-41cc-b18c-b742707521ca</t>
  </si>
  <si>
    <t>2020-02-05T06:56:24</t>
  </si>
  <si>
    <t>2020-02-05T12:31:19.000+06:30</t>
  </si>
  <si>
    <t>2019-07-30T10:27:58.000-07:00</t>
  </si>
  <si>
    <t>64c5ff8a-b27d-4d68-86d8-1773bd0248ae</t>
  </si>
  <si>
    <t>2019-11-15T06:40:49</t>
  </si>
  <si>
    <t>2019-11-15T12:13:26.000-07:00</t>
  </si>
  <si>
    <t>2019-11-15T12:14:10.000-07:00</t>
  </si>
  <si>
    <t>f28e1cb8-13fa-41cb-ba24-818d5b7e1be1</t>
  </si>
  <si>
    <t>2019-07-30T04:58:27</t>
  </si>
  <si>
    <t>2019-07-30T10:27:59.000-07:00</t>
  </si>
  <si>
    <t>Sample with PLc1185, Red Colony Count: Undiluted volume tested 100 ml - 00</t>
  </si>
  <si>
    <t>2019-07-30T10:29:00.000-07:00</t>
  </si>
  <si>
    <t>0c7c5c23-cb96-4f33-a3e4-27869e9db464</t>
  </si>
  <si>
    <t>2020-02-05T06:57:32</t>
  </si>
  <si>
    <t>2020-02-05T12:32:48.000+06:30</t>
  </si>
  <si>
    <t>92418f58-d011-4b14-8d60-8b9bfbec9e78</t>
  </si>
  <si>
    <t>2019-07-30T04:59:28</t>
  </si>
  <si>
    <t>2019-07-30T10:30:09.000-07:00</t>
  </si>
  <si>
    <t>Red colony count: 1:10^4 -TNTC; 1:10^5 - 67; 1:10^6 - 28, Each sample vol tested 10 ml</t>
  </si>
  <si>
    <t>1e3d532e-2fe8-4a17-bf92-f6b3d29027c5</t>
  </si>
  <si>
    <t>2020-02-05T06:59:01</t>
  </si>
  <si>
    <t>a806a5a8-0fa4-4482-8206-15658433efeb</t>
  </si>
  <si>
    <t>81e2b12b-16d1-473c-8ae1-7ca14fcd3a23</t>
  </si>
  <si>
    <t>2019-11-15T06:41:35</t>
  </si>
  <si>
    <t>2019-07-30T05:00:38</t>
  </si>
  <si>
    <t>2019-11-15T12:14:11.000-07:00</t>
  </si>
  <si>
    <t>2019-08-01T11:38:25.000-07:00</t>
  </si>
  <si>
    <t>2020-02-05T12:34:03.000+06:30</t>
  </si>
  <si>
    <t>2019-08-01T11:39:49.000-07:00</t>
  </si>
  <si>
    <t>2019-11-15T12:16:21.000-07:00</t>
  </si>
  <si>
    <t>2019-11-07T13:45:00.000-07:00</t>
  </si>
  <si>
    <t>2019-11-07T15:00:00.000-07:00</t>
  </si>
  <si>
    <t>2019-07-31T11:00:00.000-07:00</t>
  </si>
  <si>
    <t>2019-11-08T15:00:00.000-07:00</t>
  </si>
  <si>
    <t>74aac1ec-8adf-4395-b4a4-4b7b9c720d66</t>
  </si>
  <si>
    <t>2019-08-01T06:10:19</t>
  </si>
  <si>
    <t>Sample with PLc1186, Red Colony Count: Undiluted volume tested 100 ml - 00</t>
  </si>
  <si>
    <t>2019-08-01T11:40:44.000-07:00</t>
  </si>
  <si>
    <t>a401384e-fe12-439a-be51-c5331574514c</t>
  </si>
  <si>
    <t>2020-02-05T07:00:16</t>
  </si>
  <si>
    <t>2020-02-05T12:34:04.000+06:30</t>
  </si>
  <si>
    <t>2020-02-05T12:35:06.000+06:30</t>
  </si>
  <si>
    <t>fdb4d114-d5a7-4b27-9796-23e3d1a0a046</t>
  </si>
  <si>
    <t>2019-08-01T06:11:13</t>
  </si>
  <si>
    <t>2020-02-03T16:05:00.000+06:30</t>
  </si>
  <si>
    <t>2019-08-01T11:41:44.000-07:00</t>
  </si>
  <si>
    <t>4cffef31-ac94-4847-8ad6-7a1efec7d1aa</t>
  </si>
  <si>
    <t>2019-11-15T06:43:47</t>
  </si>
  <si>
    <t>2019-11-15T12:16:22.000-07:00</t>
  </si>
  <si>
    <t>508c7420-cd69-41ff-a50f-c8ab8e58b8fc</t>
  </si>
  <si>
    <t>d3c49ddc-42f0-416a-a283-72040edcecba</t>
  </si>
  <si>
    <t>2020-02-05T07:01:20</t>
  </si>
  <si>
    <t>2019-08-01T06:12:12</t>
  </si>
  <si>
    <t>2019-11-15T12:17:48.000-07:00</t>
  </si>
  <si>
    <t>2020-02-07T11:58:37.000+06:30</t>
  </si>
  <si>
    <t>2020-02-07T12:00:30.000+06:30</t>
  </si>
  <si>
    <t>2019-08-01T11:42:57.000-07:00</t>
  </si>
  <si>
    <t>2020-02-04T13:19:00.000+06:30</t>
  </si>
  <si>
    <t>2020-02-04T14:35:00.000+06:30</t>
  </si>
  <si>
    <t>2020-02-04T15:30:00.000+06:30</t>
  </si>
  <si>
    <t>2020-02-05T15:30:00.000+06:30</t>
  </si>
  <si>
    <t>WITH PL1015FL</t>
  </si>
  <si>
    <t>7b57de2e-e4d9-4edf-8eb3-2bc542b644d8</t>
  </si>
  <si>
    <t>2019-08-01T06:13:26</t>
  </si>
  <si>
    <t>Sample with MO1166, Red Colony Count: Undiluted volume tested 100 ml - 00</t>
  </si>
  <si>
    <t>2019-08-01T11:43:55.000-07:00</t>
  </si>
  <si>
    <t>9086afaf-9594-4988-9389-8f1389e8f3bb</t>
  </si>
  <si>
    <t>2020-02-07T06:26:43</t>
  </si>
  <si>
    <t>2020-02-07T12:01:43.000+06:30</t>
  </si>
  <si>
    <t>f44dc846-034d-4822-8604-c01ea43c1f17</t>
  </si>
  <si>
    <t>2019-08-01T06:14:23</t>
  </si>
  <si>
    <t>25353e7b-960c-43ce-89b9-26a2895fe9cb</t>
  </si>
  <si>
    <t>2019-11-15T06:45:12</t>
  </si>
  <si>
    <t>2019-08-01T11:45:14.000-07:00</t>
  </si>
  <si>
    <t>2019-11-15T12:17:49.000-07:00</t>
  </si>
  <si>
    <t>2019-11-15T12:19:31.000-07:00</t>
  </si>
  <si>
    <t>Sample with MO1167, Red Colony Count: Undiluted volume tested 100 ml - 00</t>
  </si>
  <si>
    <t>WITH FB1012UP</t>
  </si>
  <si>
    <t>67a0114e-6d8e-4b25-b26a-0088ae580353</t>
  </si>
  <si>
    <t>bdab8665-16a6-406d-aa5b-ed863ff11397</t>
  </si>
  <si>
    <t>2020-02-07T06:27:56</t>
  </si>
  <si>
    <t>2019-08-01T06:15:43</t>
  </si>
  <si>
    <t>2019-08-09T01:18:36.000+06:30</t>
  </si>
  <si>
    <t>2020-02-07T12:02:52.000+06:30</t>
  </si>
  <si>
    <t>2019-08-09T01:20:19.000+06:30</t>
  </si>
  <si>
    <t>2019-08-06T11:00:00.000+06:30</t>
  </si>
  <si>
    <t>db32d67e-8f7a-4bb3-bd18-998138aa087b</t>
  </si>
  <si>
    <t>2019-08-09T07:48:22</t>
  </si>
  <si>
    <t>Sample with MO1168, Red Colony Count: Undiluted volume tested 100 ml - 00</t>
  </si>
  <si>
    <t>ca67d59c-013e-4f86-b517-211b625d38c4</t>
  </si>
  <si>
    <t>2020-02-07T06:29:07</t>
  </si>
  <si>
    <t>2019-08-09T01:21:17.000+06:30</t>
  </si>
  <si>
    <t>2020-02-07T12:04:25.000+06:30</t>
  </si>
  <si>
    <t>d727f7e1-5dc4-4347-903f-a4e6d288a6d7</t>
  </si>
  <si>
    <t>2019-11-15T06:46:56</t>
  </si>
  <si>
    <t>2019-11-15T12:19:32.000-07:00</t>
  </si>
  <si>
    <t>c798e5a8-2bf5-480c-ab0a-d37941f4e530</t>
  </si>
  <si>
    <t>2020-02-04T14:50:00.000+06:30</t>
  </si>
  <si>
    <t>2019-08-09T07:49:18</t>
  </si>
  <si>
    <t>2019-11-15T12:20:47.000-07:00</t>
  </si>
  <si>
    <t>2019-08-09T01:22:00.000+06:30</t>
  </si>
  <si>
    <t>Red colony count: 1:10^4 - 5; 1:10^5 - 3; 1:10^6 - 00, Each sample vol tested 1ml</t>
  </si>
  <si>
    <t>babe6fa4-f6fe-4d62-80d5-5d00650a8f41</t>
  </si>
  <si>
    <t>d770f057-cabd-4c20-b62e-f8590f328dad</t>
  </si>
  <si>
    <t>2020-02-07T06:30:36</t>
  </si>
  <si>
    <t>2019-08-09T07:50:02</t>
  </si>
  <si>
    <t>2020-02-07T12:11:50.000+06:30</t>
  </si>
  <si>
    <t>2019-08-09T01:22:55.000+06:30</t>
  </si>
  <si>
    <t>2020-02-04T15:05:00.000+06:30</t>
  </si>
  <si>
    <t>419dcabd-2980-4d9c-b36f-de015b4213b4</t>
  </si>
  <si>
    <t>2019-08-09T07:50:56</t>
  </si>
  <si>
    <t>Red Colony Count: Undiluted 10 ml - 26; 1:10^1 - 0 Volume tested 1ml</t>
  </si>
  <si>
    <t>2019-08-09T01:23:37.000+06:30</t>
  </si>
  <si>
    <t>8aa80809-b34c-4942-921f-6d3294e4fc79</t>
  </si>
  <si>
    <t>2019-11-15T06:48:13</t>
  </si>
  <si>
    <t>1b2e634f-15b4-4010-a707-cabfcb8e0373</t>
  </si>
  <si>
    <t>2019-11-15T12:20:48.000-07:00</t>
  </si>
  <si>
    <t>2020-02-07T06:35:35</t>
  </si>
  <si>
    <t>2020-02-07T12:09:24.000+06:30</t>
  </si>
  <si>
    <t>2019-11-15T12:22:00.000-07:00</t>
  </si>
  <si>
    <t>2020-02-07T12:10:41.000+06:30</t>
  </si>
  <si>
    <t>8e488267-ed06-4bd8-9a67-4198293c4b08</t>
  </si>
  <si>
    <t>2019-08-09T07:51:39</t>
  </si>
  <si>
    <t>2019-08-09T01:43:04.000+06:30</t>
  </si>
  <si>
    <t>Sample with LS2001, Red Colony Count: Undiluted volume tested 100 ml - 00</t>
  </si>
  <si>
    <t>9c69391c-f78e-4a60-8929-178bb3424390</t>
  </si>
  <si>
    <t>2019-08-09T08:11:07</t>
  </si>
  <si>
    <t>d24ed3bc-df69-48a6-9f49-2fc19b858004</t>
  </si>
  <si>
    <t>2020-02-07T06:36:52</t>
  </si>
  <si>
    <t>2020-02-07T12:13:24.000+06:30</t>
  </si>
  <si>
    <t>2019-08-09T01:44:54.000+06:30</t>
  </si>
  <si>
    <t>2020-02-04T15:15:00.000+06:30</t>
  </si>
  <si>
    <t>WITH PL1017FL</t>
  </si>
  <si>
    <t>2300d2fd-cf48-4004-80ae-bd615069a5f8</t>
  </si>
  <si>
    <t>2019-11-15T06:49:27</t>
  </si>
  <si>
    <t>e733eaf1-a558-40e3-a604-1d51a5493009</t>
  </si>
  <si>
    <t>2019-08-09T08:12:56</t>
  </si>
  <si>
    <t>2019-11-15T12:22:01.000-07:00</t>
  </si>
  <si>
    <t>2019-11-15T12:23:33.000-07:00</t>
  </si>
  <si>
    <t>2019-08-09T01:45:39.000+06:30</t>
  </si>
  <si>
    <t>Red colony count: 1:10^4 -35; 1:10^5 - 5; 1:10^6 - 2, Each sample vol tested 1ml</t>
  </si>
  <si>
    <t>cb260dca-e7bc-4a1d-a693-72e3cbe521e8</t>
  </si>
  <si>
    <t>2020-02-07T06:39:36</t>
  </si>
  <si>
    <t>cc8b50e8-ae3b-4d64-895c-529bc6420767</t>
  </si>
  <si>
    <t>2019-08-09T08:13:40</t>
  </si>
  <si>
    <t>2020-02-07T12:14:40.000+06:30</t>
  </si>
  <si>
    <t>2019-08-09T01:46:37.000+06:30</t>
  </si>
  <si>
    <t>WITH FB1017UP</t>
  </si>
  <si>
    <t>09e602dc-5a07-4048-9f08-7c85749fd10d</t>
  </si>
  <si>
    <t>2019-08-09T08:14:39</t>
  </si>
  <si>
    <t>Sample with PLc1187, Red Colony Count: Undiluted volume tested 100 ml - 00</t>
  </si>
  <si>
    <t>2019-08-09T01:47:33.000+06:30</t>
  </si>
  <si>
    <t>b6ffc176-bef9-445f-8341-43aec440045a</t>
  </si>
  <si>
    <t>2020-02-07T06:40:51</t>
  </si>
  <si>
    <t>Associated Sample FPa1004, FPb1004, FPc1004, FPd1004, FPe1004</t>
  </si>
  <si>
    <t>2019-08-08T12:00:00.000+06:30</t>
  </si>
  <si>
    <t>2020-02-07T12:16:14.000+06:30</t>
  </si>
  <si>
    <t>53f27672-0959-46b4-a351-1f8506f78d91</t>
  </si>
  <si>
    <t>2019-11-15T06:51:00</t>
  </si>
  <si>
    <t>2019-11-15T12:23:35.000-07:00</t>
  </si>
  <si>
    <t>8a952215-8a27-4f23-9759-2646bfcde3bd</t>
  </si>
  <si>
    <t>2019-08-09T08:15:35</t>
  </si>
  <si>
    <t>2019-11-15T12:25:11.000-07:00</t>
  </si>
  <si>
    <t>2020-02-04T14:30:00.000+06:30</t>
  </si>
  <si>
    <t>2019-08-09T01:48:13.000+06:30</t>
  </si>
  <si>
    <t>c1ae47ec-9b7d-4f8a-8e52-d06c53ef16ca</t>
  </si>
  <si>
    <t>2019-08-09T08:16:15</t>
  </si>
  <si>
    <t>2019-08-09T01:48:14.000+06:30</t>
  </si>
  <si>
    <t>2019-08-09T01:48:56.000+06:30</t>
  </si>
  <si>
    <t>4fd34390-cafe-4f7e-9502-c6585da1fbca</t>
  </si>
  <si>
    <t>2020-02-07T06:42:26</t>
  </si>
  <si>
    <t>2020-02-07T12:18:51.000+06:30</t>
  </si>
  <si>
    <t>22fe0fb7-4845-4dd7-984a-d817d5b548d8</t>
  </si>
  <si>
    <t>2019-08-09T08:16:58</t>
  </si>
  <si>
    <t>2020-02-05T12:30:00.000+06:30</t>
  </si>
  <si>
    <t>2020-02-05T14:45:00.000+06:30</t>
  </si>
  <si>
    <t>2020-02-06T15:30:00.000+06:30</t>
  </si>
  <si>
    <t>Associated Sample MO1114</t>
  </si>
  <si>
    <t>2019-08-09T01:49:36.000+06:30</t>
  </si>
  <si>
    <t>0f6d0883-660c-4aa6-82e3-ff43ea7907b8</t>
  </si>
  <si>
    <t>2019-11-15T06:52:38</t>
  </si>
  <si>
    <t>2019-11-15T12:25:12.000-07:00</t>
  </si>
  <si>
    <t>2019-11-15T12:26:15.000-07:00</t>
  </si>
  <si>
    <t>Red colony count: 1:10^4 -162; 1:10^5 - 14; 1:10^6 - 1, Each sample vol tested 1ml</t>
  </si>
  <si>
    <t>09f6f494-5dcf-47cc-8861-51edcc3eda3a</t>
  </si>
  <si>
    <t>2019-08-09T08:17:38</t>
  </si>
  <si>
    <t>202d427b-ddaf-4d8a-9efd-80e69281d60c</t>
  </si>
  <si>
    <t>2020-02-07T06:45:03</t>
  </si>
  <si>
    <t>2019-08-09T01:50:16.000+06:30</t>
  </si>
  <si>
    <t>2020-02-07T12:20:55.000+06:30</t>
  </si>
  <si>
    <t>4a848ca1-c9e5-4a8c-a010-76fb744a359f</t>
  </si>
  <si>
    <t>2019-08-09T08:18:18</t>
  </si>
  <si>
    <t>2019-08-09T01:51:08.000+06:30</t>
  </si>
  <si>
    <t>Red colony count: 1:10^1 - TNTC; 1:10^2 - 144; 1:10^3 - 12, Each sample vol tested 1ml</t>
  </si>
  <si>
    <t>776be2ea-6d32-4365-9248-b17240ddcc01</t>
  </si>
  <si>
    <t>2020-02-07T06:47:07</t>
  </si>
  <si>
    <t>WITH FB1019UP</t>
  </si>
  <si>
    <t>Associated Sample MO1115</t>
  </si>
  <si>
    <t>2020-02-07T12:23:13.000+06:30</t>
  </si>
  <si>
    <t>848a2f33-0b1b-46d7-8b60-b19343e8258d</t>
  </si>
  <si>
    <t>a0570bdb-0050-44f5-ba86-188c2e504fe6</t>
  </si>
  <si>
    <t>2019-08-09T08:19:10</t>
  </si>
  <si>
    <t>2019-11-15T06:53:41</t>
  </si>
  <si>
    <t>2019-11-15T12:26:16.000-07:00</t>
  </si>
  <si>
    <t>2019-11-15T12:28:29.000-07:00</t>
  </si>
  <si>
    <t>2019-08-09T01:52:26.000+06:30</t>
  </si>
  <si>
    <t>Red colony count: 1:10^1 - 70; 1:10^2 - 8; 1:10^3 - 6, Each sample vol tested 1ml</t>
  </si>
  <si>
    <t>1d86eebc-c260-4959-be5b-05cf7d767bbb</t>
  </si>
  <si>
    <t>2019-08-09T08:20:28</t>
  </si>
  <si>
    <t>d90412a9-ef68-4003-ae1b-e95411b8f63d</t>
  </si>
  <si>
    <t>2020-02-07T06:49:25</t>
  </si>
  <si>
    <t>2019-08-09T01:53:06.000+06:30</t>
  </si>
  <si>
    <t>2020-02-07T12:26:05.000+06:30</t>
  </si>
  <si>
    <t>70651924-6ef4-40f8-8113-aaf137e07b1a</t>
  </si>
  <si>
    <t>2019-08-09T08:21:07</t>
  </si>
  <si>
    <t>MSA 1:10^4 - 12 vol. 1ml, WG5 1ml plaque count - CL</t>
  </si>
  <si>
    <t>0cfb1086-2865-4cab-bfe6-68d338a5055f</t>
  </si>
  <si>
    <t>2019-11-15T06:55:54</t>
  </si>
  <si>
    <t>2019-11-15T12:28:31.000-07:00</t>
  </si>
  <si>
    <t>2019-08-09T01:53:46.000+06:30</t>
  </si>
  <si>
    <t>2019-11-15T12:30:10.000-07:00</t>
  </si>
  <si>
    <t>Red colony count: 1:10^1 -TNTC; 1:10^2 - 36; 1:10^3 - 5, Each sample vol tested 1ml</t>
  </si>
  <si>
    <t>3ce2a8b4-91df-47b5-a5ca-3c918ceb299a</t>
  </si>
  <si>
    <t>2020-02-07T06:52:19</t>
  </si>
  <si>
    <t>f1a9d637-c7b0-4218-a5e6-a9a0d74aad02</t>
  </si>
  <si>
    <t>2019-08-09T08:21:47</t>
  </si>
  <si>
    <t>2020-02-07T12:27:46.000+06:30</t>
  </si>
  <si>
    <t>2019-08-09T01:54:38.000+06:30</t>
  </si>
  <si>
    <t>Associated Sample PLc1068</t>
  </si>
  <si>
    <t>d703d21a-47f2-44c2-8af7-681292aad048</t>
  </si>
  <si>
    <t>WITH FB1020UP</t>
  </si>
  <si>
    <t>2019-11-15T06:57:36</t>
  </si>
  <si>
    <t>2019-11-15T12:30:11.000-07:00</t>
  </si>
  <si>
    <t>c3d7b0ec-ec91-4a86-a87f-34f0c27ec6c8</t>
  </si>
  <si>
    <t>2019-11-15T12:33:02.000-07:00</t>
  </si>
  <si>
    <t>2019-08-09T08:22:39</t>
  </si>
  <si>
    <t>2019-08-22T00:31:06.000+06:30</t>
  </si>
  <si>
    <t>4046a881-9077-4c61-8af0-8baf930b247b</t>
  </si>
  <si>
    <t>2020-02-07T06:54:00</t>
  </si>
  <si>
    <t>2019-08-22T00:34:04.000+06:30</t>
  </si>
  <si>
    <t>2020-02-07T12:29:29.000+06:30</t>
  </si>
  <si>
    <t>2019-08-09T11:00:00.000+06:30</t>
  </si>
  <si>
    <t>bb9844b1-7066-4897-9e15-2d325ff2dded</t>
  </si>
  <si>
    <t>2019-08-22T07:01:56</t>
  </si>
  <si>
    <t>2019-08-22T00:34:45.000+06:30</t>
  </si>
  <si>
    <t>Sample with COa2003, COb2007, COb2008, COb2009, Red Colony Count: Undiluted volume tested 100 ml - 00</t>
  </si>
  <si>
    <t>b6590cef-975f-4801-982b-93cd3caf4662</t>
  </si>
  <si>
    <t>2020-02-07T06:55:40</t>
  </si>
  <si>
    <t>2020-02-07T12:31:52.000+06:30</t>
  </si>
  <si>
    <t>4a5aa17b-4084-4ceb-ab09-69f14ab24a80</t>
  </si>
  <si>
    <t>2019-08-22T07:02:37</t>
  </si>
  <si>
    <t>b008ae35-8264-4aeb-9f3d-761eed22f2a0</t>
  </si>
  <si>
    <t>2019-11-15T07:00:27</t>
  </si>
  <si>
    <t>2019-08-22T00:36:04.000+06:30</t>
  </si>
  <si>
    <t>2019-11-15T12:33:03.000-07:00</t>
  </si>
  <si>
    <t>2019-11-15T12:34:10.000-07:00</t>
  </si>
  <si>
    <t>WITH FB1021UP</t>
  </si>
  <si>
    <t>e5db9a58-3160-4d81-b2cb-ae07e26e87df</t>
  </si>
  <si>
    <t>2019-08-22T07:03:54</t>
  </si>
  <si>
    <t>Red colony count: 1:10^1 -TDTC; 1:10^2 - 106; 1:10^3 - 1, Each sample vol tested 1ml</t>
  </si>
  <si>
    <t>2f81f92a-4b1a-4aa9-a6c9-86436ee9d2ca</t>
  </si>
  <si>
    <t>2020-02-07T06:58:04</t>
  </si>
  <si>
    <t>2019-08-22T00:37:23.000+06:30</t>
  </si>
  <si>
    <t>2020-02-07T12:33:26.000+06:30</t>
  </si>
  <si>
    <t>87486571-fa8a-4938-84d6-566d3ddabd3b</t>
  </si>
  <si>
    <t>2019-08-22T07:05:15</t>
  </si>
  <si>
    <t>Associated Sample PLc1069</t>
  </si>
  <si>
    <t>9dde36fd-1312-46cf-8491-b258f425f82e</t>
  </si>
  <si>
    <t>2019-11-15T07:01:36</t>
  </si>
  <si>
    <t>2019-08-22T00:38:15.000+06:30</t>
  </si>
  <si>
    <t>2019-11-15T12:34:12.000-07:00</t>
  </si>
  <si>
    <t>2019-11-15T12:35:54.000-07:00</t>
  </si>
  <si>
    <t>Red colony count: 1:10^1 -92; 1:10^2 - 14; 1:10^3 - 2, Each sample vol tested 1ml</t>
  </si>
  <si>
    <t>fcdc3ea4-b5f2-4044-957d-5b3b0c52d7c7</t>
  </si>
  <si>
    <t>2020-02-07T06:59:38</t>
  </si>
  <si>
    <t>2916ca83-4585-4f09-b377-e9c0ae3dae87</t>
  </si>
  <si>
    <t>2019-08-22T07:06:07</t>
  </si>
  <si>
    <t>2020-02-07T12:35:08.000+06:30</t>
  </si>
  <si>
    <t>2019-08-22T00:39:13.000+06:30</t>
  </si>
  <si>
    <t>b2093cc8-dbcb-4483-83c0-36998c469846</t>
  </si>
  <si>
    <t>2019-08-22T07:07:04</t>
  </si>
  <si>
    <t>07aa6fdb-412c-4b5f-801f-e9bc26c848c7</t>
  </si>
  <si>
    <t>2019-11-15T07:03:19</t>
  </si>
  <si>
    <t>2019-08-22T00:40:08.000+06:30</t>
  </si>
  <si>
    <t>2019-11-15T12:35:56.000-07:00</t>
  </si>
  <si>
    <t>Red colony count: 1:10^1 - 48; 1:10^2 - 0; 1:10^3 - 0, Each sample vol tested 1ml</t>
  </si>
  <si>
    <t>2019-11-15T12:37:22.000-07:00</t>
  </si>
  <si>
    <t>569602da-7b6f-4891-9c5a-a61c9ad6954f</t>
  </si>
  <si>
    <t>2020-02-07T07:01:20</t>
  </si>
  <si>
    <t>2020-02-07T12:37:18.000+06:30</t>
  </si>
  <si>
    <t>a3eb7b27-f3a4-4677-8ad2-59a25b095437</t>
  </si>
  <si>
    <t>2019-08-22T07:07:59</t>
  </si>
  <si>
    <t>2019-08-22T00:52:21.000+06:30</t>
  </si>
  <si>
    <t>2019-08-13T11:30:00.000+06:30</t>
  </si>
  <si>
    <t>7a17f535-ce3e-4be1-9709-70eea2701585</t>
  </si>
  <si>
    <t>Associated Sample PLc1070</t>
  </si>
  <si>
    <t>2019-08-22T07:20:13</t>
  </si>
  <si>
    <t>Red colony count: 1:10^1 -TNTC; 1:10^2 - 78; 1:10^3 - 0, Each sample vol tested 1ml</t>
  </si>
  <si>
    <t>cf6801e0-dde5-4534-94b9-ed4612dc46b3</t>
  </si>
  <si>
    <t>2019-11-15T07:04:49</t>
  </si>
  <si>
    <t>2019-11-15T12:37:24.000-07:00</t>
  </si>
  <si>
    <t>4565e6d7-5b6a-4699-9bc7-e00b3f9e2dc9</t>
  </si>
  <si>
    <t>2019-11-15T12:39:27.000-07:00</t>
  </si>
  <si>
    <t>2020-02-07T07:03:30</t>
  </si>
  <si>
    <t>2019-08-22T00:53:46.000+06:30</t>
  </si>
  <si>
    <t>2020-02-07T12:37:19.000+06:30</t>
  </si>
  <si>
    <t>2020-02-07T12:38:53.000+06:30</t>
  </si>
  <si>
    <t>9836724e-67f4-4a28-be21-efc5a2c6064a</t>
  </si>
  <si>
    <t>2019-08-22T07:21:37</t>
  </si>
  <si>
    <t>2019-08-22T00:54:53.000+06:30</t>
  </si>
  <si>
    <t>Sample with COa2004, COb2010, COb2011, COb2012, Red Colony Count: Undiluted volume tested 100 ml - 00</t>
  </si>
  <si>
    <t>77ec5a64-e5e0-40b5-b0b0-f5eb797d9edd</t>
  </si>
  <si>
    <t>2020-02-07T07:05:04</t>
  </si>
  <si>
    <t>2020-02-07T12:39:53.000+06:30</t>
  </si>
  <si>
    <t>726875b6-c7c0-4418-904e-7e74cc9f7e15</t>
  </si>
  <si>
    <t>2019-08-22T07:22:45</t>
  </si>
  <si>
    <t>a1618f92-bcb6-4b63-852d-b36f294b1c4a</t>
  </si>
  <si>
    <t>2019-11-15T07:06:54</t>
  </si>
  <si>
    <t>2019-11-15T12:39:29.000-07:00</t>
  </si>
  <si>
    <t>2019-11-15T12:45:22.000-07:00</t>
  </si>
  <si>
    <t>2019-08-22T00:55:40.000+06:30</t>
  </si>
  <si>
    <t>d0ca995e-3aed-47a5-abc2-5dbf727c5218</t>
  </si>
  <si>
    <t>f5fcd76b-86f6-4c5b-a77d-580c0085c4cb</t>
  </si>
  <si>
    <t>2019-08-22T07:23:31</t>
  </si>
  <si>
    <t>2020-02-07T07:06:05</t>
  </si>
  <si>
    <t>2020-02-12T11:34:38.000+06:30</t>
  </si>
  <si>
    <t>2020-02-12T11:37:39.000+06:30</t>
  </si>
  <si>
    <t>2019-08-22T00:56:40.000+06:30</t>
  </si>
  <si>
    <t>2020-02-06T12:15:00.000+06:30</t>
  </si>
  <si>
    <t>2020-02-06T15:00:00.000+06:30</t>
  </si>
  <si>
    <t>2020-02-06T16:00:00.000+06:30</t>
  </si>
  <si>
    <t>2020-02-07T16:00:00.000+06:30</t>
  </si>
  <si>
    <t>Associated Sample PLc1071</t>
  </si>
  <si>
    <t>WITH FB1023UP</t>
  </si>
  <si>
    <t>170435da-dbe6-44a2-9ffd-421343cf0ae7</t>
  </si>
  <si>
    <t>2019-11-15T07:12:49</t>
  </si>
  <si>
    <t>ee92506d-b44a-4a2c-a113-24757e701fe4</t>
  </si>
  <si>
    <t>2019-11-15T12:45:24.000-07:00</t>
  </si>
  <si>
    <t>2019-08-22T07:24:32</t>
  </si>
  <si>
    <t>2019-11-15T12:46:58.000-07:00</t>
  </si>
  <si>
    <t>2019-08-22T00:57:32.000+06:30</t>
  </si>
  <si>
    <t>Sample with MO1169, Red Colony Count: Undiluted volume tested 100 ml - 00</t>
  </si>
  <si>
    <t>8bb37bc4-91f8-46db-875e-fda9412f91e0</t>
  </si>
  <si>
    <t>2020-02-12T06:03:47</t>
  </si>
  <si>
    <t>2020-02-12T11:38:50.000+06:30</t>
  </si>
  <si>
    <t>f8704bd7-a462-40e1-ad0c-aedd148ece7a</t>
  </si>
  <si>
    <t>2019-08-22T07:25:24</t>
  </si>
  <si>
    <t>2019-08-22T00:58:35.000+06:30</t>
  </si>
  <si>
    <t>Sample with MO1170, Red Colony Count: Undiluted volume tested 100 ml - 00</t>
  </si>
  <si>
    <t>ab9cec86-dc8d-4b01-8492-b518dadaa808</t>
  </si>
  <si>
    <t>2020-02-12T06:04:57</t>
  </si>
  <si>
    <t>d1a17c51-bcef-4f8b-b5b8-ace5d8c8fc82</t>
  </si>
  <si>
    <t>2019-08-22T07:26:27</t>
  </si>
  <si>
    <t>c7489599-1720-490a-b8a5-0b6d379af710</t>
  </si>
  <si>
    <t>2019-11-15T07:14:26</t>
  </si>
  <si>
    <t>2020-02-12T11:40:30.000+06:30</t>
  </si>
  <si>
    <t>2019-11-15T12:47:00.000-07:00</t>
  </si>
  <si>
    <t>2019-08-22T01:01:19.000+06:30</t>
  </si>
  <si>
    <t>2019-11-15T12:48:01.000-07:00</t>
  </si>
  <si>
    <t>af717311-aa89-4182-94c7-4b599a501eba</t>
  </si>
  <si>
    <t>2019-08-22T07:29:11</t>
  </si>
  <si>
    <t>Sample with MO1171, Red Colony Count: Undiluted volume tested 100 ml - 00</t>
  </si>
  <si>
    <t>2019-08-22T01:02:39.000+06:30</t>
  </si>
  <si>
    <t>f282ce42-dfef-4b06-9ecf-4f63a44925e3</t>
  </si>
  <si>
    <t>2020-02-12T06:06:37</t>
  </si>
  <si>
    <t>2020-02-12T11:43:59.000+06:30</t>
  </si>
  <si>
    <t>96ad50ba-e670-4a9e-9bd5-30a2c0a327e9</t>
  </si>
  <si>
    <t>2020-02-06T13:35:00.000+06:30</t>
  </si>
  <si>
    <t>2019-08-22T07:30:31</t>
  </si>
  <si>
    <t>2019-08-22T01:03:33.000+06:30</t>
  </si>
  <si>
    <t>Red colony count: 1:10^4 -0; 1:10^5 - 3; 1:10^6 - 00, Each sample vol tested 1ml; Greenish circular zones.; Zone radius decreases from 1:10^4 --&gt; 1:10^6</t>
  </si>
  <si>
    <t>0bbd5bce-1e9a-47b3-ad7b-581c84103b2f</t>
  </si>
  <si>
    <t>2020-02-12T06:10:06</t>
  </si>
  <si>
    <t>Associated Sample PLc1072</t>
  </si>
  <si>
    <t>ad2ea86c-81de-47c5-8b6c-46eec4dc38bb</t>
  </si>
  <si>
    <t>2019-08-22T07:31:25</t>
  </si>
  <si>
    <t>2020-02-12T11:45:18.000+06:30</t>
  </si>
  <si>
    <t>7a133345-e9b8-40b7-8374-e78db62b1d21</t>
  </si>
  <si>
    <t>2019-11-15T07:15:26</t>
  </si>
  <si>
    <t>2019-11-15T12:48:03.000-07:00</t>
  </si>
  <si>
    <t>2019-08-22T01:04:21.000+06:30</t>
  </si>
  <si>
    <t>2019-11-15T12:49:07.000-07:00</t>
  </si>
  <si>
    <t>645755df-8ea5-4bac-86cd-24414b0c3731</t>
  </si>
  <si>
    <t>2019-08-22T07:32:13</t>
  </si>
  <si>
    <t>Sample with PLc1188, Red Colony Count: Undiluted volume tested 100 ml - 1</t>
  </si>
  <si>
    <t>6321518f-2119-425b-b500-ba26abdef1d8</t>
  </si>
  <si>
    <t>2020-02-12T06:11:26</t>
  </si>
  <si>
    <t>2019-08-22T01:05:45.000+06:30</t>
  </si>
  <si>
    <t>2020-02-12T11:45:19.000+06:30</t>
  </si>
  <si>
    <t>2020-02-12T11:47:06.000+06:30</t>
  </si>
  <si>
    <t>c2c19af1-5afe-4c9a-adc1-67dde1c3340b</t>
  </si>
  <si>
    <t>2019-08-22T07:33:38</t>
  </si>
  <si>
    <t>2019-08-22T01:06:57.000+06:30</t>
  </si>
  <si>
    <t>Red colony count: 1:10^1 - 22; 1:10^2 - 2; 1:10^3 - 1, Each sample vol tested 1ml</t>
  </si>
  <si>
    <t>57cda596-340d-4c6c-9be2-b9983bdac185</t>
  </si>
  <si>
    <t>2019-08-22T07:34:50</t>
  </si>
  <si>
    <t>18100d8b-a924-47f1-906a-408e972bb8f3</t>
  </si>
  <si>
    <t>2020-02-12T06:13:13</t>
  </si>
  <si>
    <t>d3b08e33-b45f-4a26-a8ad-e290aaf2f149</t>
  </si>
  <si>
    <t>2019-11-15T07:16:34</t>
  </si>
  <si>
    <t>2020-02-12T11:48:46.000+06:30</t>
  </si>
  <si>
    <t>2019-08-22T01:09:58.000+06:30</t>
  </si>
  <si>
    <t>2019-11-15T12:49:09.000-07:00</t>
  </si>
  <si>
    <t>2019-11-15T12:49:57.000-07:00</t>
  </si>
  <si>
    <t>2f33255f-1b4b-4c8a-a336-04a28cd900ea</t>
  </si>
  <si>
    <t>2019-08-22T07:37:50</t>
  </si>
  <si>
    <t>2019-08-22T01:11:09.000+06:30</t>
  </si>
  <si>
    <t>Red colony count: 1:10^1 - 145; 1:10^2 - 25; 1:10^3 - 5, Each sample vol tested 1ml</t>
  </si>
  <si>
    <t>f7f5bc34-2560-45e1-929a-16b84009d87f</t>
  </si>
  <si>
    <t>2020-02-12T06:14:54</t>
  </si>
  <si>
    <t>WITH FB1024UP</t>
  </si>
  <si>
    <t>2020-02-12T11:50:12.000+06:30</t>
  </si>
  <si>
    <t>cef036a3-7dba-45d9-8089-7a1959650115</t>
  </si>
  <si>
    <t>2019-08-22T07:39:01</t>
  </si>
  <si>
    <t>2019-08-22T01:12:20.000+06:30</t>
  </si>
  <si>
    <t>2019-08-21T11:00:00.000+06:30</t>
  </si>
  <si>
    <t>98fb52bb-14cd-485b-9404-c4a5a01cf909</t>
  </si>
  <si>
    <t>2019-08-22T07:40:12</t>
  </si>
  <si>
    <t>b1892ce3-f088-46f2-a575-3b7ccc2b8fcc</t>
  </si>
  <si>
    <t>2019-11-15T07:17:24</t>
  </si>
  <si>
    <t>2019-11-15T12:49:59.000-07:00</t>
  </si>
  <si>
    <t>Red colony count: 1:10^1 - 9; 1:10^2 - 0; 1:10^3 - 0, Each sample vol tested 1ml</t>
  </si>
  <si>
    <t>2019-08-22T01:13:04.000+06:30</t>
  </si>
  <si>
    <t>2019-11-15T12:51:36.000-07:00</t>
  </si>
  <si>
    <t>1701c87d-e47d-4c32-8df8-af56a206f59d</t>
  </si>
  <si>
    <t>2020-02-12T06:16:19</t>
  </si>
  <si>
    <t>2020-02-12T11:50:13.000+06:30</t>
  </si>
  <si>
    <t>2020-02-12T11:51:41.000+06:30</t>
  </si>
  <si>
    <t>a6aba7b4-33b9-4b22-ad81-e95ed2f8d9b6</t>
  </si>
  <si>
    <t>2019-08-22T07:40:56</t>
  </si>
  <si>
    <t>2019-08-22T01:14:49.000+06:30</t>
  </si>
  <si>
    <t>Red colony count: 1:10^1 - TNTC; 1:10^2 - 67; 1:10^3 - 4, Each sample vol tested 1ml</t>
  </si>
  <si>
    <t>5f4ff840-5a3c-4ce8-9c8c-7f5602861afb</t>
  </si>
  <si>
    <t>2020-02-12T06:17:49</t>
  </si>
  <si>
    <t>9c1bc1af-cb78-42a5-a688-3b2af6c43660</t>
  </si>
  <si>
    <t>2020-02-12T11:53:26.000+06:30</t>
  </si>
  <si>
    <t>2019-08-22T07:42:41</t>
  </si>
  <si>
    <t>2019-09-15T22:38:20.000+06:30</t>
  </si>
  <si>
    <t>2019-09-15T22:41:06.000+06:30</t>
  </si>
  <si>
    <t>7ee318a5-d714-426b-a107-c1b2d1a7f553</t>
  </si>
  <si>
    <t>2019-11-15T07:19:03</t>
  </si>
  <si>
    <t>2019-11-15T12:51:38.000-07:00</t>
  </si>
  <si>
    <t>2019-11-15T12:53:41.000-07:00</t>
  </si>
  <si>
    <t>8c28d372-a982-41f1-9add-24a06d6e4575</t>
  </si>
  <si>
    <t>Sample with COa2005, COb2013, COb2014, COb2015, Red Colony Count: Undiluted volume tested 100 ml - 00</t>
  </si>
  <si>
    <t>2019-09-16T05:08:41</t>
  </si>
  <si>
    <t>2848f2b9-da85-43d0-8e24-d3e26d06d8d8</t>
  </si>
  <si>
    <t>2020-02-12T06:19:33</t>
  </si>
  <si>
    <t>2019-09-15T22:42:06.000+06:30</t>
  </si>
  <si>
    <t>2020-02-12T11:54:55.000+06:30</t>
  </si>
  <si>
    <t>fdf99ed6-87d5-4d79-9492-633dfd29e99c</t>
  </si>
  <si>
    <t>2019-09-16T05:09:42</t>
  </si>
  <si>
    <t>Red colony count: 1:10^1 - 49; 1:10^2 - 5; 1:10^3 - 1, Each sample vol tested 1ml</t>
  </si>
  <si>
    <t>2019-09-15T22:42:07.000+06:30</t>
  </si>
  <si>
    <t>b9a2bd05-b8ec-490b-91a3-8746eb6eae28</t>
  </si>
  <si>
    <t>2020-02-12T06:21:02</t>
  </si>
  <si>
    <t>2020-02-12T11:56:33.000+06:30</t>
  </si>
  <si>
    <t>2019-09-15T22:43:53.000+06:30</t>
  </si>
  <si>
    <t>PL1019FL NOT PROCESSED ,</t>
  </si>
  <si>
    <t>128e8dc5-06ea-402c-84c1-3e7b8ba3845a</t>
  </si>
  <si>
    <t>2019-09-16T05:11:28</t>
  </si>
  <si>
    <t>2019-09-15T22:44:56.000+06:30</t>
  </si>
  <si>
    <t>0d6587f0-fe88-4198-ac2f-038b538ecccd</t>
  </si>
  <si>
    <t>Red colony count: 1:10^1 - 20; 1:10^2 - 2; 1:10^3 - 1, Each sample vol tested 1ml</t>
  </si>
  <si>
    <t>2019-11-15T07:21:09</t>
  </si>
  <si>
    <t>2019-11-15T12:53:43.000-07:00</t>
  </si>
  <si>
    <t>4df34040-0299-460f-9293-e96ddbf90c57</t>
  </si>
  <si>
    <t>2020-02-12T06:22:40</t>
  </si>
  <si>
    <t>2019-11-15T12:57:10.000-07:00</t>
  </si>
  <si>
    <t>0e2abf4f-a760-4c25-be6d-4b1bb46c0ba0</t>
  </si>
  <si>
    <t>2020-02-12T11:57:57.000+06:30</t>
  </si>
  <si>
    <t>2019-09-16T05:12:30</t>
  </si>
  <si>
    <t>2019-09-15T22:45:38.000+06:30</t>
  </si>
  <si>
    <t>a6054481-91f8-4f5d-956a-569bb0b0e937</t>
  </si>
  <si>
    <t>2019-09-16T05:13:12</t>
  </si>
  <si>
    <t>Red colony count: 1:10^1 - 85; 1:10^2 - 18; 1:10^3 - 0, Each sample vol tested 1ml</t>
  </si>
  <si>
    <t>5788eb3f-8cd4-4e0c-bd83-ec6a35b7d759</t>
  </si>
  <si>
    <t>2020-02-12T06:24:04</t>
  </si>
  <si>
    <t>2019-09-15T22:48:10.000+06:30</t>
  </si>
  <si>
    <t>2020-02-12T11:59:16.000+06:30</t>
  </si>
  <si>
    <t>2019-08-23T12:00:00.000+06:30</t>
  </si>
  <si>
    <t>008f5106-550e-4aea-8315-20a499f7fcd2</t>
  </si>
  <si>
    <t>2019-09-16T05:15:44</t>
  </si>
  <si>
    <t>594fabd0-59d4-433a-b7c1-355278b201a9</t>
  </si>
  <si>
    <t>2019-11-15T07:24:38</t>
  </si>
  <si>
    <t>Red colony count: 1:10^1 - 26; 1:10^2 - 5; 1:10^3 - 5, Each sample vol tested 1ml</t>
  </si>
  <si>
    <t>2019-11-15T12:57:13.000-07:00</t>
  </si>
  <si>
    <t>2019-09-15T22:49:41.000+06:30</t>
  </si>
  <si>
    <t>4973c52a-d209-4035-ab4e-efd8dac5b067</t>
  </si>
  <si>
    <t>2019-11-15T12:59:08.000-07:00</t>
  </si>
  <si>
    <t>2020-02-12T06:25:23</t>
  </si>
  <si>
    <t>2020-02-12T12:00:42.000+06:30</t>
  </si>
  <si>
    <t>96e730c2-a4af-45a3-b614-592e9ee62b32</t>
  </si>
  <si>
    <t>2019-09-16T05:17:16</t>
  </si>
  <si>
    <t>2019-09-15T22:50:33.000+06:30</t>
  </si>
  <si>
    <t>Sample with COa2006, COb2016, COb2017, COb2018, Red Colony Count: Undiluted volume tested 100 ml - 00</t>
  </si>
  <si>
    <t>bd006e5f-18dc-4375-9c21-7c13e7f37da6</t>
  </si>
  <si>
    <t>2020-02-12T06:26:52</t>
  </si>
  <si>
    <t>2020-02-12T12:00:43.000+06:30</t>
  </si>
  <si>
    <t>2020-02-12T12:01:43.000+06:30</t>
  </si>
  <si>
    <t>d68c6c79-96f7-470c-9a60-b3b93c3b1540</t>
  </si>
  <si>
    <t>2019-09-16T05:18:07</t>
  </si>
  <si>
    <t>2019-09-15T22:51:23.000+06:30</t>
  </si>
  <si>
    <t>1c29f2b3-182c-4dc1-b5ba-12e15c9ac7ac</t>
  </si>
  <si>
    <t>2020-02-12T06:27:51</t>
  </si>
  <si>
    <t>2020-02-12T12:03:28.000+06:30</t>
  </si>
  <si>
    <t>bf3f47c9-46cc-4263-bca4-6bef8d7ed9f2</t>
  </si>
  <si>
    <t>2019-09-16T05:18:57</t>
  </si>
  <si>
    <t>acbfcdcd-9d77-4039-8dda-d4aabc110475</t>
  </si>
  <si>
    <t>2020-02-07T11:42:00.000+06:30</t>
  </si>
  <si>
    <t>2019-11-15T07:26:35</t>
  </si>
  <si>
    <t>2020-02-07T13:00:00.000+06:30</t>
  </si>
  <si>
    <t>2020-02-07T14:00:00.000+06:30</t>
  </si>
  <si>
    <t>2020-02-08T14:00:00.000+06:30</t>
  </si>
  <si>
    <t>2019-11-15T12:59:11.000-07:00</t>
  </si>
  <si>
    <t>2019-11-15T13:01:17.000-07:00</t>
  </si>
  <si>
    <t>2019-09-15T22:52:09.000+06:30</t>
  </si>
  <si>
    <t>Red colony count: 1:10^4 -6; 1:10^5 - 0; 1:10^6 - 0, Each sample vol tested 1ml</t>
  </si>
  <si>
    <t>6b1674a1-589b-44fc-9281-7af981ff89d8</t>
  </si>
  <si>
    <t>30b4fb92-36c1-4c87-9d37-cf2f7b444706</t>
  </si>
  <si>
    <t>2020-02-12T06:29:36</t>
  </si>
  <si>
    <t>2019-09-16T05:19:43</t>
  </si>
  <si>
    <t>2019-09-15T22:53:27.000+06:30</t>
  </si>
  <si>
    <t>2020-02-12T12:04:31.000+06:30</t>
  </si>
  <si>
    <t>24402b1c-dd0b-46ed-95cc-21fed8bbf73c</t>
  </si>
  <si>
    <t>2019-09-16T05:21:02</t>
  </si>
  <si>
    <t>2019-09-15T22:54:02.000+06:30</t>
  </si>
  <si>
    <t>Sample with PLc1189, Red Colony Count: Undiluted volume tested 100 ml - 00</t>
  </si>
  <si>
    <t>f319b028-1741-4e01-bf22-97e6dc02a9bb</t>
  </si>
  <si>
    <t>45a89439-9129-4dae-a127-0c95fe680c61</t>
  </si>
  <si>
    <t>2019-09-16T05:21:36</t>
  </si>
  <si>
    <t>2020-02-12T06:30:36</t>
  </si>
  <si>
    <t>Associated Sample COa1006, COb1017, COb1018, COb1019</t>
  </si>
  <si>
    <t>2020-02-12T12:06:00.000+06:30</t>
  </si>
  <si>
    <t>51f977c5-539a-4cef-801e-6e4885ff495c</t>
  </si>
  <si>
    <t>2019-11-15T07:28:44</t>
  </si>
  <si>
    <t>2019-09-15T22:55:25.000+06:30</t>
  </si>
  <si>
    <t>2019-11-15T13:01:19.000-07:00</t>
  </si>
  <si>
    <t>2019-11-15T13:03:20.000-07:00</t>
  </si>
  <si>
    <t>47d2e2ac-3e0b-4af1-a8c1-6ff9217a5694</t>
  </si>
  <si>
    <t>2019-09-16T05:23:00</t>
  </si>
  <si>
    <t>Red colony count: 1:10^4 -5; 1:10^5 - 1; 1:10^6 - 00, Each sample vol tested 1ml</t>
  </si>
  <si>
    <t>2019-09-15T22:56:10.000+06:30</t>
  </si>
  <si>
    <t>fb545544-8903-4947-9f63-4482a4c2a5cb</t>
  </si>
  <si>
    <t>2020-02-12T06:32:08</t>
  </si>
  <si>
    <t>2020-02-12T12:06:01.000+06:30</t>
  </si>
  <si>
    <t>dca6488e-43f4-4171-8ca2-1edc0ea5fce0</t>
  </si>
  <si>
    <t>2019-09-16T05:23:44</t>
  </si>
  <si>
    <t>2020-02-12T12:07:12.000+06:30</t>
  </si>
  <si>
    <t>2019-09-15T22:56:44.000+06:30</t>
  </si>
  <si>
    <t>6771ba3c-e27b-4028-b9af-afa4e1cc94b9</t>
  </si>
  <si>
    <t>2019-09-16T05:24:18</t>
  </si>
  <si>
    <t>Sample with PLc1190, Red Colony Count: Undiluted volume tested 100 ml - 1</t>
  </si>
  <si>
    <t>36900050-23bf-48f9-a36d-1f01899b3344</t>
  </si>
  <si>
    <t>2020-02-12T06:33:19</t>
  </si>
  <si>
    <t>2019-09-15T23:01:35.000+06:30</t>
  </si>
  <si>
    <t>c252d91a-5fa8-4d48-ac65-ed22c837126a</t>
  </si>
  <si>
    <t>2019-11-15T07:30:46</t>
  </si>
  <si>
    <t>2020-02-12T12:08:10.000+06:30</t>
  </si>
  <si>
    <t>2019-11-15T13:03:23.000-07:00</t>
  </si>
  <si>
    <t>2019-11-15T13:04:38.000-07:00</t>
  </si>
  <si>
    <t>e08abc1a-7339-48e4-a8fb-64afd7390bcc</t>
  </si>
  <si>
    <t>2019-09-16T05:29:10</t>
  </si>
  <si>
    <t>2019-09-15T23:02:41.000+06:30</t>
  </si>
  <si>
    <t>6a31add6-031f-49b5-9003-0f2ab14ca83d</t>
  </si>
  <si>
    <t>2020-02-12T06:34:16</t>
  </si>
  <si>
    <t>2020-02-12T12:10:08.000+06:30</t>
  </si>
  <si>
    <t>3204e125-6b87-464b-8c07-f087a7b6015e</t>
  </si>
  <si>
    <t>2019-09-16T05:30:15</t>
  </si>
  <si>
    <t>2020-02-10T13:30:00.000+06:30</t>
  </si>
  <si>
    <t>2019-09-15T23:03:20.000+06:30</t>
  </si>
  <si>
    <t>2020-02-10T15:00:00.000+06:30</t>
  </si>
  <si>
    <t>2020-02-10T15:55:00.000+06:30</t>
  </si>
  <si>
    <t>2020-02-11T15:55:00.000+06:30</t>
  </si>
  <si>
    <t>9e4f1357-b8af-4871-b3e7-d78451ac190a</t>
  </si>
  <si>
    <t>Associated Sample PLc1073</t>
  </si>
  <si>
    <t>2019-09-16T05:30:49</t>
  </si>
  <si>
    <t>Red colony count: 1:10^4 - 39; 1:10^5 - 3; 1:10^6 - 2, Each sample vol tested 1ml</t>
  </si>
  <si>
    <t>ca9c8e49-48f0-48db-b160-0d9b3eb9f9c9</t>
  </si>
  <si>
    <t>2019-11-15T07:32:05</t>
  </si>
  <si>
    <t>9ae54ec9-7075-4aa1-8b9e-99e908c67875</t>
  </si>
  <si>
    <t>2019-09-15T23:04:01.000+06:30</t>
  </si>
  <si>
    <t>2020-02-12T06:36:16</t>
  </si>
  <si>
    <t>2019-11-15T13:04:40.000-07:00</t>
  </si>
  <si>
    <t>2019-11-15T13:06:19.000-07:00</t>
  </si>
  <si>
    <t>2020-02-12T12:12:07.000+06:30</t>
  </si>
  <si>
    <t>323b71ff-27cf-431c-b581-eb3f316f35d7</t>
  </si>
  <si>
    <t>2019-09-16T05:31:36</t>
  </si>
  <si>
    <t>2019-09-15T23:07:45.000+06:30</t>
  </si>
  <si>
    <t>Sample with PLc1191, Red Colony Count: Undiluted volume tested 100 ml - 00</t>
  </si>
  <si>
    <t>226e7a18-187f-4761-8f71-cf504e290a9b</t>
  </si>
  <si>
    <t>2020-02-12T06:38:15</t>
  </si>
  <si>
    <t>2020-02-12T12:12:08.000+06:30</t>
  </si>
  <si>
    <t>c72692f4-126e-433c-ba64-b1665a394d68</t>
  </si>
  <si>
    <t>2019-09-16T05:35:20</t>
  </si>
  <si>
    <t>2020-02-12T12:13:38.000+06:30</t>
  </si>
  <si>
    <t>2019-09-15T23:07:46.000+06:30</t>
  </si>
  <si>
    <t>2019-09-15T23:08:53.000+06:30</t>
  </si>
  <si>
    <t>45f4fc6d-49e2-48b4-9ba4-f20b5b4cb2ed</t>
  </si>
  <si>
    <t>2019-09-16T05:36:28</t>
  </si>
  <si>
    <t>Red colony count: 1:10^4 - 67; 1:10^5 - 6; 1:10^6 - 1, Each sample vol tested 1ml</t>
  </si>
  <si>
    <t>f7298f09-06b0-43eb-ab09-f09c89d41856</t>
  </si>
  <si>
    <t>2020-02-12T06:39:49</t>
  </si>
  <si>
    <t>2019-09-15T23:10:22.000+06:30</t>
  </si>
  <si>
    <t>2020-02-12T12:13:39.000+06:30</t>
  </si>
  <si>
    <t>MSA 1:10^4 - 2 vol. 1ml, WG5 1ml plaque count - CL</t>
  </si>
  <si>
    <t>2020-02-12T12:14:51.000+06:30</t>
  </si>
  <si>
    <t>1843cadb-b9aa-483c-98e4-fc2fc2fa58b5</t>
  </si>
  <si>
    <t>2019-11-15T07:33:46</t>
  </si>
  <si>
    <t>2019-08-28T11:00:00.000+06:30</t>
  </si>
  <si>
    <t>2019-11-15T13:06:22.000-07:00</t>
  </si>
  <si>
    <t>a4b8ce2e-52e7-4eae-992a-fff4014dd1eb</t>
  </si>
  <si>
    <t>2019-09-16T05:37:57</t>
  </si>
  <si>
    <t>2019-11-15T13:07:18.000-07:00</t>
  </si>
  <si>
    <t>Sample with PLc1192, Red Colony Count: Undiluted volume tested 100 ml - 00</t>
  </si>
  <si>
    <t>f883221c-f702-4f29-ac34-6b1c73d11798</t>
  </si>
  <si>
    <t>2019-09-15T23:11:28.000+06:30</t>
  </si>
  <si>
    <t>2020-02-12T06:40:57</t>
  </si>
  <si>
    <t>2020-02-12T12:16:18.000+06:30</t>
  </si>
  <si>
    <t>f6b86657-7be6-422c-9742-fea9dee464a2</t>
  </si>
  <si>
    <t>Red colony count: 1:10^4 - 17; 1:10^5 - 3; 1:10^6 - 1, Each sample vol tested 1ml</t>
  </si>
  <si>
    <t>2019-09-16T05:39:02</t>
  </si>
  <si>
    <t>228b65e7-208a-48bc-9394-8606187cc76b</t>
  </si>
  <si>
    <t>2020-02-12T06:42:26</t>
  </si>
  <si>
    <t>2020-02-12T12:16:19.000+06:30</t>
  </si>
  <si>
    <t>2020-02-12T12:17:27.000+06:30</t>
  </si>
  <si>
    <t>2019-09-15T23:12:19.000+06:30</t>
  </si>
  <si>
    <t>1aae8429-6d5c-4f40-a954-5e04630c1cf6</t>
  </si>
  <si>
    <t>Sample with PLc1193, Red Colony Count: Undiluted volume tested 100 ml - 00</t>
  </si>
  <si>
    <t>2019-09-16T05:39:53</t>
  </si>
  <si>
    <t>Associated Sample PLc1074</t>
  </si>
  <si>
    <t>855d17b8-f72e-4b37-887b-b6d3e916b62d</t>
  </si>
  <si>
    <t>2020-02-12T06:43:34</t>
  </si>
  <si>
    <t>d61ae344-9129-4ef4-8b9a-d13817dc215f</t>
  </si>
  <si>
    <t>2019-11-15T07:34:45</t>
  </si>
  <si>
    <t>2020-02-12T12:18:51.000+06:30</t>
  </si>
  <si>
    <t>2019-09-15T23:13:34.000+06:30</t>
  </si>
  <si>
    <t>2019-11-15T13:07:21.000-07:00</t>
  </si>
  <si>
    <t>2019-11-15T13:09:23.000-07:00</t>
  </si>
  <si>
    <t>7bef39d4-efa0-456e-acdb-89ec534291cb</t>
  </si>
  <si>
    <t>2019-09-16T05:41:09</t>
  </si>
  <si>
    <t>Red colony count: 1:10^4 - 14; 1:10^5 - 10; 1:10^6 - 00, Each sample vol tested 1ml</t>
  </si>
  <si>
    <t>f0fc33b3-6237-4906-983b-48a917a1825e</t>
  </si>
  <si>
    <t>2020-02-12T06:44:59</t>
  </si>
  <si>
    <t>2019-09-15T23:14:47.000+06:30</t>
  </si>
  <si>
    <t>2020-02-12T12:19:52.000+06:30</t>
  </si>
  <si>
    <t>c0bb7f69-7d01-437c-be6c-f7f5c1d6eed0</t>
  </si>
  <si>
    <t>2019-09-16T05:42:23</t>
  </si>
  <si>
    <t>Sample with PLc1194, Red Colony Count: Undiluted volume tested 100 ml - 00</t>
  </si>
  <si>
    <t>0ac9457a-5732-4b00-b86d-7d4178ba0fd9</t>
  </si>
  <si>
    <t>2020-02-12T06:45:59</t>
  </si>
  <si>
    <t>2020-02-12T12:19:53.000+06:30</t>
  </si>
  <si>
    <t>2019-09-15T23:16:05.000+06:30</t>
  </si>
  <si>
    <t>2020-02-12T12:21:20.000+06:30</t>
  </si>
  <si>
    <t>41633d05-e005-429f-b30c-1f2508ce29a4</t>
  </si>
  <si>
    <t>2019-11-15T07:36:50</t>
  </si>
  <si>
    <t>2019-11-15T13:09:26.000-07:00</t>
  </si>
  <si>
    <t>2019-11-15T13:10:26.000-07:00</t>
  </si>
  <si>
    <t>199f659f-e0ab-4eb6-a077-5ba9fd209705</t>
  </si>
  <si>
    <t>2019-09-16T05:43:40</t>
  </si>
  <si>
    <t>2019-09-15T23:18:08.000+06:30</t>
  </si>
  <si>
    <t>Red colony count: 1:10^4 - 22; 1:10^5 - 1; 1:10^6 - 00, Each sample vol tested 1ml</t>
  </si>
  <si>
    <t>1532a7f3-2411-45f5-8112-a992008f67f8</t>
  </si>
  <si>
    <t>2019-08-23T11:00:00.000+06:30</t>
  </si>
  <si>
    <t>2020-02-12T06:47:30</t>
  </si>
  <si>
    <t>2020-02-12T12:21:21.000+06:30</t>
  </si>
  <si>
    <t>5ce8db54-f1d4-4d9b-b67b-fe492366e616</t>
  </si>
  <si>
    <t>2019-09-16T05:45:42</t>
  </si>
  <si>
    <t>2020-02-12T12:22:36.000+06:30</t>
  </si>
  <si>
    <t>2019-09-15T23:25:50.000+06:30</t>
  </si>
  <si>
    <t>Associated Sample PLc1075</t>
  </si>
  <si>
    <t>ee738bc8-ccae-499e-8c2b-f34716eedccd</t>
  </si>
  <si>
    <t>2019-09-16T05:53:25</t>
  </si>
  <si>
    <t>c579087f-42b5-4c66-a407-47bde4739b11</t>
  </si>
  <si>
    <t>Sample with PLc1195, Red Colony Count: Undiluted volume tested 100 ml - 00</t>
  </si>
  <si>
    <t>2019-11-15T07:37:53</t>
  </si>
  <si>
    <t>2019-11-26T12:53:47.000-07:00</t>
  </si>
  <si>
    <t>2019-11-26T13:03:57.000-07:00</t>
  </si>
  <si>
    <t>d0cbc137-81b7-42f5-bc3f-299ee7e94ea9</t>
  </si>
  <si>
    <t>2020-02-12T06:48:44</t>
  </si>
  <si>
    <t>2019-09-15T23:26:41.000+06:30</t>
  </si>
  <si>
    <t>2020-02-12T12:22:37.000+06:30</t>
  </si>
  <si>
    <t>2019-11-15T15:00:00.000-07:00</t>
  </si>
  <si>
    <t>2019-11-15T16:00:00.000-07:00</t>
  </si>
  <si>
    <t>2019-11-16T16:00:00.000-07:00</t>
  </si>
  <si>
    <t>2020-02-12T12:23:50.000+06:30</t>
  </si>
  <si>
    <t>8d59a290-d025-4bf5-a17c-4296eea22e48</t>
  </si>
  <si>
    <t>2019-09-16T05:54:15</t>
  </si>
  <si>
    <t>2019-09-15T23:27:32.000+06:30</t>
  </si>
  <si>
    <t>2d122b1c-b349-46ab-99c2-56495fec956a</t>
  </si>
  <si>
    <t>2019-09-16T05:55:06</t>
  </si>
  <si>
    <t>WG5 1ml plaque count - CL, MSA 1:10^4 - 02 vol. 1ml.</t>
  </si>
  <si>
    <t>4a4070d0-0cb0-4296-af13-bbc863e923a4</t>
  </si>
  <si>
    <t>2020-02-12T06:49:58</t>
  </si>
  <si>
    <t>6cdbc860-f866-40ea-a958-1bbcc15a2bc9</t>
  </si>
  <si>
    <t>2019-11-26T07:31:13</t>
  </si>
  <si>
    <t>2020-02-20T11:39:14.000+06:30</t>
  </si>
  <si>
    <t>2019-09-15T23:28:21.000+06:30</t>
  </si>
  <si>
    <t>2019-11-26T13:03:58.000-07:00</t>
  </si>
  <si>
    <t>2020-02-20T11:41:59.000+06:30</t>
  </si>
  <si>
    <t>2019-11-26T13:06:20.000-07:00</t>
  </si>
  <si>
    <t>f5e51dac-cf43-431b-8faa-e07ca1fe24fc</t>
  </si>
  <si>
    <t>2019-09-16T05:55:54</t>
  </si>
  <si>
    <t>2020-02-11T12:23:00.000+06:30</t>
  </si>
  <si>
    <t>2020-02-11T15:00:00.000+06:30</t>
  </si>
  <si>
    <t>2019-09-15T23:29:09.000+06:30</t>
  </si>
  <si>
    <t>2020-02-11T17:45:00.000+06:30</t>
  </si>
  <si>
    <t>2020-02-12T17:45:00.000+06:30</t>
  </si>
  <si>
    <t>93c5d779-7f4d-4df1-9872-a14ce62ac12c</t>
  </si>
  <si>
    <t>2019-09-16T05:56:44</t>
  </si>
  <si>
    <t>2019-09-15T23:31:10.000+06:30</t>
  </si>
  <si>
    <t>Sample with MO1172, Red Colony Count: Undiluted volume tested 100 ml - 00</t>
  </si>
  <si>
    <t>2019-08-28T12:30:00.000+06:30</t>
  </si>
  <si>
    <t>5e6903e3-235a-41e1-8fa5-9fa12ac370a7</t>
  </si>
  <si>
    <t>2020-02-20T06:07:59</t>
  </si>
  <si>
    <t>2a3e828b-aa95-4557-8ded-2772d478a1a4</t>
  </si>
  <si>
    <t>2019-09-16T05:58:45</t>
  </si>
  <si>
    <t>2020-02-20T11:42:00.000+06:30</t>
  </si>
  <si>
    <t>2019-09-15T23:32:18.000+06:30</t>
  </si>
  <si>
    <t>2020-02-20T11:43:04.000+06:30</t>
  </si>
  <si>
    <t>f1001301-f170-4037-b6af-dfdfe0db9ff8</t>
  </si>
  <si>
    <t>2019-09-16T05:59:53</t>
  </si>
  <si>
    <t>MSA 1:10^4 - 97 vol. 1ml., WG5 1ml plaque count - CL</t>
  </si>
  <si>
    <t>2019-09-15T23:33:59.000+06:30</t>
  </si>
  <si>
    <t>31119b10-e535-43c3-9245-add02782ab1c</t>
  </si>
  <si>
    <t>Sample with MO1173, Red Colony Count: Undiluted volume tested 100 ml - 00</t>
  </si>
  <si>
    <t>2019-11-26T07:33:35</t>
  </si>
  <si>
    <t>a1f1fe6b-51c2-46b1-aaf1-263a158ba3f5</t>
  </si>
  <si>
    <t>2019-09-16T06:01:34</t>
  </si>
  <si>
    <t>991161f8-4e6e-4ae7-a563-2eca9418de81</t>
  </si>
  <si>
    <t>2020-02-20T06:09:03</t>
  </si>
  <si>
    <t>2019-11-26T13:08:20.000-07:00</t>
  </si>
  <si>
    <t>2019-09-15T23:34:51.000+06:30</t>
  </si>
  <si>
    <t>2020-02-20T11:44:16.000+06:30</t>
  </si>
  <si>
    <t>04ee2ba2-73b0-4183-af3c-02a1a1f9b84d</t>
  </si>
  <si>
    <t>2019-09-16T06:02:25</t>
  </si>
  <si>
    <t>2019-09-15T23:54:59.000+06:30</t>
  </si>
  <si>
    <t>2019-08-29T11:00:00.000+06:30</t>
  </si>
  <si>
    <t>ce9c8850-7930-450e-a054-9a319b2f000e</t>
  </si>
  <si>
    <t>2019-09-16T06:22:34</t>
  </si>
  <si>
    <t>2019-09-15T23:56:07.000+06:30</t>
  </si>
  <si>
    <t>Sample with MO1174, Red Colony Count: Undiluted volume tested 100 ml - 00</t>
  </si>
  <si>
    <t>2019-08-28T13:30:00.000+06:30</t>
  </si>
  <si>
    <t>8f1f439f-9eac-41aa-8a6f-2245feb56de7</t>
  </si>
  <si>
    <t>2019-09-16T06:23:43</t>
  </si>
  <si>
    <t>2019-09-15T23:56:55.000+06:30</t>
  </si>
  <si>
    <t>e7815d3d-027e-4817-a081-72940ed30750</t>
  </si>
  <si>
    <t>2020-02-20T06:10:14</t>
  </si>
  <si>
    <t>dd858017-184d-4954-b9c2-e3766931c9ba</t>
  </si>
  <si>
    <t>2019-09-16T06:24:29</t>
  </si>
  <si>
    <t>2020-02-20T11:45:19.000+06:30</t>
  </si>
  <si>
    <t>WG5 1ml plaque count - CL, MSA 1:10^4 - 0 vol. 1ml.</t>
  </si>
  <si>
    <t>2019-09-15T23:57:50.000+06:30</t>
  </si>
  <si>
    <t>7308ad68-c433-4623-970e-6b320d3b3b05</t>
  </si>
  <si>
    <t>2019-11-26T07:35:34</t>
  </si>
  <si>
    <t>16327a9c-ae88-4ac2-adfe-c6a609b8faf3</t>
  </si>
  <si>
    <t>2019-09-16T06:25:24</t>
  </si>
  <si>
    <t>2019-09-16T01:26:23.000+06:30</t>
  </si>
  <si>
    <t>2019-11-26T13:10:23.000-07:00</t>
  </si>
  <si>
    <t>2019-09-16T01:30:06.000+06:30</t>
  </si>
  <si>
    <t>Sample with MO1175, Red Colony Count: Undiluted volume tested 100 ml - 00</t>
  </si>
  <si>
    <t>63009c84-70bb-473b-8a10-6c7867949d78</t>
  </si>
  <si>
    <t>2019-09-02T11:00:00.000+06:30</t>
  </si>
  <si>
    <t>2020-02-20T06:11:17</t>
  </si>
  <si>
    <t>64992eef-bbab-4f99-b6a5-7e2ffa81db1e</t>
  </si>
  <si>
    <t>2019-09-16T07:57:41</t>
  </si>
  <si>
    <t>2020-02-20T11:47:13.000+06:30</t>
  </si>
  <si>
    <t>2019-09-16T01:30:42.000+06:30</t>
  </si>
  <si>
    <t>1982fc04-bfe0-4e9a-b958-c79f2eb608c5</t>
  </si>
  <si>
    <t>2019-09-16T07:58:16</t>
  </si>
  <si>
    <t>2019-09-16T01:31:40.000+06:30</t>
  </si>
  <si>
    <t>Red colony count: 1:10^4 -40; 1:10^5 - 8; 1:10^6 - 00, Each sample vol tested 1ml</t>
  </si>
  <si>
    <t>67989c94-a962-4de7-94df-2019774bd654</t>
  </si>
  <si>
    <t>2020-02-20T06:13:12</t>
  </si>
  <si>
    <t>2019-08-29T12:30:00.000+06:30</t>
  </si>
  <si>
    <t>07a581eb-f49c-43fc-9e18-c7c40cb012d3</t>
  </si>
  <si>
    <t>2019-09-16T07:59:14</t>
  </si>
  <si>
    <t>MSA 1:10^4 - 0 vol. 1ml., WG5 1ml plaque count - CL</t>
  </si>
  <si>
    <t>2020-02-20T11:50:30.000+06:30</t>
  </si>
  <si>
    <t>2019-09-16T01:33:23.000+06:30</t>
  </si>
  <si>
    <t>2f88267f-22ec-4e52-8108-4c728403713e</t>
  </si>
  <si>
    <t>2019-11-26T07:37:39</t>
  </si>
  <si>
    <t>2019-11-26T13:10:24.000-07:00</t>
  </si>
  <si>
    <t>2019-11-26T13:12:02.000-07:00</t>
  </si>
  <si>
    <t>ad00ad46-241b-4fe4-b8b7-6ebf37d43adc</t>
  </si>
  <si>
    <t>2019-09-16T08:00:57</t>
  </si>
  <si>
    <t>2019-09-16T01:34:14.000+06:30</t>
  </si>
  <si>
    <t>Red colony count: Undiluted 10ml - TNTC, 1:10^1 - 16, 1:10^2 - 4 sample vol tested 1ml,</t>
  </si>
  <si>
    <t>208446b5-6305-470f-878e-2c58e130a731</t>
  </si>
  <si>
    <t>2020-02-20T06:16:30</t>
  </si>
  <si>
    <t>2020-02-20T11:50:31.000+06:30</t>
  </si>
  <si>
    <t>7e4fb2d5-71cf-4328-9965-6fdd1749f283</t>
  </si>
  <si>
    <t>2019-09-16T08:01:48</t>
  </si>
  <si>
    <t>2020-02-20T11:53:00.000+06:30</t>
  </si>
  <si>
    <t>RP2002B</t>
  </si>
  <si>
    <t>2019-09-16T01:34:51.000+06:30</t>
  </si>
  <si>
    <t>3aeda8d8-f2ae-46c9-bbc1-12776e333b8b</t>
  </si>
  <si>
    <t>2019-09-16T08:02:25</t>
  </si>
  <si>
    <t>Red colony count: Undiluted 10ml - TDTC, 1:10^1 - TDTC, 1:10^2 - TNTC sample vol tested 1ml</t>
  </si>
  <si>
    <t>2019-09-16T01:36:30.000+06:30</t>
  </si>
  <si>
    <t>1c9d4c33-733c-47c6-8f0a-4c3d47f8d00e</t>
  </si>
  <si>
    <t>2020-02-20T06:18:59</t>
  </si>
  <si>
    <t>2020-02-20T11:54:10.000+06:30</t>
  </si>
  <si>
    <t>SF1012A-ALU+PURI OF PANIPURI</t>
  </si>
  <si>
    <t>b64d01e9-fa63-412f-bfd5-3a742a1c367f</t>
  </si>
  <si>
    <t>2019-09-16T08:04:04</t>
  </si>
  <si>
    <t>2019-09-16T01:38:37.000+06:30</t>
  </si>
  <si>
    <t>MSA 1:10^4 - 0 vol. 1ml.</t>
  </si>
  <si>
    <t>Sample with RP2002, Red Colony Count: Undiluted volume tested 100 ml - 00</t>
  </si>
  <si>
    <t>SF1012B-PANI OF PANIPURI</t>
  </si>
  <si>
    <t>62805e75-176b-4019-9ef9-51c4234cf6b3</t>
  </si>
  <si>
    <t>2019-11-26T07:39:17</t>
  </si>
  <si>
    <t>68e05b8f-9cd3-43f1-8fd0-3ea420e2a624</t>
  </si>
  <si>
    <t>2019-09-16T08:06:11</t>
  </si>
  <si>
    <t>18b3ea9d-75f6-40c0-a1b4-f42d6cf4ca73</t>
  </si>
  <si>
    <t>2019-09-16T02:22:41.000+06:30</t>
  </si>
  <si>
    <t>2020-02-20T06:20:07</t>
  </si>
  <si>
    <t>2019-09-16T02:23:32.000+06:30</t>
  </si>
  <si>
    <t>2019-11-26T13:13:50.000-07:00</t>
  </si>
  <si>
    <t>2020-02-20T12:03:09.000+06:30</t>
  </si>
  <si>
    <t>69cbe0f2-4679-4979-bb9a-c1140ad3f239</t>
  </si>
  <si>
    <t>2019-09-16T08:51:05</t>
  </si>
  <si>
    <t>2019-09-16T02:24:21.000+06:30</t>
  </si>
  <si>
    <t>Red colony count: 1:10^1 - 0; 1:10^2 - 0; 1:10^3 - 0, Each sample vol tested 1ml</t>
  </si>
  <si>
    <t>7b6df7bc-e727-479d-b898-e1555fd7f621</t>
  </si>
  <si>
    <t>2020-02-20T06:22:27</t>
  </si>
  <si>
    <t>33959705-059f-4bd7-87db-dafa057dd2ac</t>
  </si>
  <si>
    <t>2020-02-20T11:56:28.000+06:30</t>
  </si>
  <si>
    <t>2019-09-16T08:51:55</t>
  </si>
  <si>
    <t>2020-02-20T11:57:36.000+06:30</t>
  </si>
  <si>
    <t>2019-09-16T02:24:56.000+06:30</t>
  </si>
  <si>
    <t>51235d5b-81b3-4094-a6b2-620aa4029c5c</t>
  </si>
  <si>
    <t>2019-09-16T08:52:29</t>
  </si>
  <si>
    <t>Sample with SF2002, Red Colony Count: Undiluted volume tested 100 ml - 00</t>
  </si>
  <si>
    <t>5bdc31f8-f274-4cfa-8ec3-28f1aa3a97f5</t>
  </si>
  <si>
    <t>2019-09-16T02:27:39.000+06:30</t>
  </si>
  <si>
    <t>2020-02-20T06:23:36</t>
  </si>
  <si>
    <t>2020-02-20T11:58:30.000+06:30</t>
  </si>
  <si>
    <t>2019-09-03T12:00:00.000+06:30</t>
  </si>
  <si>
    <t>2021f21f-358c-450d-aae9-4a040a8c7ba2</t>
  </si>
  <si>
    <t>2019-09-16T08:55:09</t>
  </si>
  <si>
    <t>bbf771a3-2595-48f2-a6d6-9a0037e32013</t>
  </si>
  <si>
    <t>2019-11-26T07:41:04</t>
  </si>
  <si>
    <t>2019-09-16T02:28:52.000+06:30</t>
  </si>
  <si>
    <t>2019-11-26T13:15:06.000-07:00</t>
  </si>
  <si>
    <t>5969100a-0d4d-4498-b2b1-a70232827444</t>
  </si>
  <si>
    <t>2020-02-20T06:24:29</t>
  </si>
  <si>
    <t>2020-02-20T11:58:31.000+06:30</t>
  </si>
  <si>
    <t>2019-09-06T11:30:00.000+06:30</t>
  </si>
  <si>
    <t>2020-02-20T12:00:04.000+06:30</t>
  </si>
  <si>
    <t>bba76757-dff3-424d-9a63-b26923df1e15</t>
  </si>
  <si>
    <t>2019-09-16T08:56:26</t>
  </si>
  <si>
    <t>2020-02-12T12:47:00.000+06:30</t>
  </si>
  <si>
    <t>2020-02-12T15:00:00.000+06:30</t>
  </si>
  <si>
    <t>2020-02-12T15:30:00.000+06:30</t>
  </si>
  <si>
    <t>2020-02-13T15:30:00.000+06:30</t>
  </si>
  <si>
    <t>2019-09-16T02:29:36.000+06:30</t>
  </si>
  <si>
    <t>Sample with MO1176, Red Colony Count: Undiluted volume tested 100 ml - 00</t>
  </si>
  <si>
    <t>61d448ef-c5fb-4288-a896-001a355aad06</t>
  </si>
  <si>
    <t>2020-02-20T06:26:05</t>
  </si>
  <si>
    <t>d2c2929a-4a3b-4aa0-9cf7-2edb8b568c2e</t>
  </si>
  <si>
    <t>2019-09-16T08:57:10</t>
  </si>
  <si>
    <t>2020-02-20T12:01:25.000+06:30</t>
  </si>
  <si>
    <t>2019-09-16T02:30:32.000+06:30</t>
  </si>
  <si>
    <t>55fa618a-ef78-450b-94a5-c5823b2bf1b2</t>
  </si>
  <si>
    <t>2019-09-16T08:58:06</t>
  </si>
  <si>
    <t>2019-09-16T02:31:22.000+06:30</t>
  </si>
  <si>
    <t>Sample with MO1177, Red Colony Count: Undiluted volume tested 100 ml - 00</t>
  </si>
  <si>
    <t>07760073-073d-4a20-b314-38190044d452</t>
  </si>
  <si>
    <t>2020-02-20T06:27:25</t>
  </si>
  <si>
    <t>a58d8b32-aea0-433a-898c-b2e1516f732f</t>
  </si>
  <si>
    <t>2019-09-16T08:58:56</t>
  </si>
  <si>
    <t>eb68f731-4414-4c05-8142-fb45be9a5f58</t>
  </si>
  <si>
    <t>2020-02-20T12:04:44.000+06:30</t>
  </si>
  <si>
    <t>2019-11-26T07:42:21</t>
  </si>
  <si>
    <t>2019-09-16T02:32:00.000+06:30</t>
  </si>
  <si>
    <t>2019-11-26T13:16:16.000-07:00</t>
  </si>
  <si>
    <t>06207c55-b672-474f-aee0-0dca5248b3ef</t>
  </si>
  <si>
    <t>2019-09-16T08:59:33</t>
  </si>
  <si>
    <t>2019-09-16T02:33:17.000+06:30</t>
  </si>
  <si>
    <t>Red colony count: 1:10^4 -82; 1:10^5 - 11; Each sample vol tested 1ml</t>
  </si>
  <si>
    <t>70ccb4b7-74b8-4359-ba95-236961e71d43</t>
  </si>
  <si>
    <t>2020-02-20T06:30:42</t>
  </si>
  <si>
    <t>2019-09-04T11:00:00.000+06:30</t>
  </si>
  <si>
    <t>2020-02-20T12:06:19.000+06:30</t>
  </si>
  <si>
    <t>6a1be4ad-262d-448a-94fd-bc38035948f6</t>
  </si>
  <si>
    <t>2019-09-16T09:00:50</t>
  </si>
  <si>
    <t>2019-09-16T02:34:01.000+06:30</t>
  </si>
  <si>
    <t>Red colony count: 1:10^4 -1; 1:10^5 - 0; Each sample vol tested 1ml</t>
  </si>
  <si>
    <t>3372b3f9-70a5-4fe4-9105-70ff34ad02c1</t>
  </si>
  <si>
    <t>2020-02-20T06:32:18</t>
  </si>
  <si>
    <t>2020-02-20T12:07:31.000+06:30</t>
  </si>
  <si>
    <t>7e7c9b22-d3a6-43ba-a6f6-1d484b1e35d3</t>
  </si>
  <si>
    <t>2019-09-16T09:01:34</t>
  </si>
  <si>
    <t>2019-09-16T02:35:00.000+06:30</t>
  </si>
  <si>
    <t>Sample with PL1024, Red Colony Count: Undiluted volume tested 100 ml - 00</t>
  </si>
  <si>
    <t>ee76b3aa-9fa7-4616-823c-03ad685a09dc</t>
  </si>
  <si>
    <t>2020-02-20T06:33:33</t>
  </si>
  <si>
    <t>2020-02-20T12:07:32.000+06:30</t>
  </si>
  <si>
    <t>cf2b2497-7695-44cc-8bcf-4cdea000b4f3</t>
  </si>
  <si>
    <t>2020-02-20T12:08:49.000+06:30</t>
  </si>
  <si>
    <t>2019-11-26T07:43:32</t>
  </si>
  <si>
    <t>562b0a6a-ee5c-43bd-852f-492738010a50</t>
  </si>
  <si>
    <t>2019-09-16T09:02:34</t>
  </si>
  <si>
    <t>2019-09-16T02:35:01.000+06:30</t>
  </si>
  <si>
    <t>2019-11-26T13:17:23.000-07:00</t>
  </si>
  <si>
    <t>2019-09-16T02:35:49.000+06:30</t>
  </si>
  <si>
    <t>Red colony count: 1:10^4 -0; 1:10^5 - 0; Each sample vol tested 1ml</t>
  </si>
  <si>
    <t>8aca4e6a-b737-47b0-8cb2-2b2b84a8eea2</t>
  </si>
  <si>
    <t>2020-02-20T06:34:50</t>
  </si>
  <si>
    <t>2020-02-20T12:08:50.000+06:30</t>
  </si>
  <si>
    <t>14161640-1c77-4029-a75b-7a6279e7cc29</t>
  </si>
  <si>
    <t>2019-09-16T09:03:23</t>
  </si>
  <si>
    <t>2020-02-20T12:09:52.000+06:30</t>
  </si>
  <si>
    <t>2019-09-16T02:35:50.000+06:30</t>
  </si>
  <si>
    <t>2019-09-16T02:41:12.000+06:30</t>
  </si>
  <si>
    <t>Sample with PL1025, Red Colony Count: Undiluted volume tested 100 ml - 00</t>
  </si>
  <si>
    <t>ebc5e75a-eae5-4c47-b301-c712a649adeb</t>
  </si>
  <si>
    <t>68596b34-f08f-47c5-9b6a-8d3a450933c0</t>
  </si>
  <si>
    <t>2020-02-20T06:35:50</t>
  </si>
  <si>
    <t>2019-09-16T09:08:46</t>
  </si>
  <si>
    <t>2020-02-20T12:10:43.000+06:30</t>
  </si>
  <si>
    <t>2019-09-16T02:42:56.000+06:30</t>
  </si>
  <si>
    <t>87e4c667-8ef7-44a4-a9cb-ca132b28f49f</t>
  </si>
  <si>
    <t>7007056f-5c45-40be-a784-123c9bae2942</t>
  </si>
  <si>
    <t>2019-11-26T07:44:39</t>
  </si>
  <si>
    <t>2019-09-16T09:10:29</t>
  </si>
  <si>
    <t>2019-11-26T13:17:24.000-07:00</t>
  </si>
  <si>
    <t>2019-11-26T13:18:29.000-07:00</t>
  </si>
  <si>
    <t>2019-09-16T02:43:37.000+06:30</t>
  </si>
  <si>
    <t>af5785e3-4e59-4b0a-9724-6bcba4a664e3</t>
  </si>
  <si>
    <t>2020-02-20T06:36:43</t>
  </si>
  <si>
    <t>2020-02-20T12:12:17.000+06:30</t>
  </si>
  <si>
    <t>c360a942-857d-4b77-a509-52814f751e59</t>
  </si>
  <si>
    <t>2019-09-16T09:11:10</t>
  </si>
  <si>
    <t>2020-02-13T13:12:00.000+06:30</t>
  </si>
  <si>
    <t>2020-02-13T14:00:00.000+06:30</t>
  </si>
  <si>
    <t>2020-02-13T16:10:00.000+06:30</t>
  </si>
  <si>
    <t>2020-02-14T16:10:00.000+06:30</t>
  </si>
  <si>
    <t>2019-09-16T02:44:34.000+06:30</t>
  </si>
  <si>
    <t>Red colony count: 1:10^4 -7; 1:10^5 - 0; Each sample vol tested 1ml</t>
  </si>
  <si>
    <t>6ff6c686-5cbd-4034-ac0b-3a6854bdc81a</t>
  </si>
  <si>
    <t>2019-09-16T09:12:07</t>
  </si>
  <si>
    <t>46969c67-ae33-496e-8f61-695301f660d8</t>
  </si>
  <si>
    <t>2020-02-20T06:38:26</t>
  </si>
  <si>
    <t>2020-02-20T12:12:18.000+06:30</t>
  </si>
  <si>
    <t>2019-09-16T02:45:13.000+06:30</t>
  </si>
  <si>
    <t>2020-02-20T12:13:26.000+06:30</t>
  </si>
  <si>
    <t>993d4062-4f40-4eba-b096-3aab8cfef6a0</t>
  </si>
  <si>
    <t>95e44232-e0fa-4030-8cca-7a9ed216d248</t>
  </si>
  <si>
    <t>2019-11-26T07:45:43</t>
  </si>
  <si>
    <t>2019-09-16T09:12:46</t>
  </si>
  <si>
    <t>2019-11-26T13:18:30.000-07:00</t>
  </si>
  <si>
    <t>2019-11-26T13:20:01.000-07:00</t>
  </si>
  <si>
    <t>2019-09-16T02:53:24.000+06:30</t>
  </si>
  <si>
    <t>Sample with PLc1196, Red Colony Count: Undiluted volume tested 100 ml - 00</t>
  </si>
  <si>
    <t>e9d52444-05c9-4cdf-97ad-cffcb262d2d6</t>
  </si>
  <si>
    <t>2020-02-20T06:39:27</t>
  </si>
  <si>
    <t>12d23572-ad1a-45f9-a567-c057f36ff841</t>
  </si>
  <si>
    <t>2019-09-16T09:20:57</t>
  </si>
  <si>
    <t>2020-02-20T12:14:42.000+06:30</t>
  </si>
  <si>
    <t>2019-09-16T02:55:11.000+06:30</t>
  </si>
  <si>
    <t>8a45bd98-eda8-4c53-a730-b95bd94c7e6a</t>
  </si>
  <si>
    <t>2019-09-16T09:22:45</t>
  </si>
  <si>
    <t>14e35201-3b04-41e6-a07b-be8b7e18bcc3</t>
  </si>
  <si>
    <t>2020-02-20T06:40:41</t>
  </si>
  <si>
    <t>2019-09-16T02:56:02.000+06:30</t>
  </si>
  <si>
    <t>2020-02-20T12:15:47.000+06:30</t>
  </si>
  <si>
    <t>Associated Sample FPa1005, FPb1005, FPc1005, FPd1005, FPe1005</t>
  </si>
  <si>
    <t>c0f06b80-4884-4fcd-a5e7-b2f83f03f539</t>
  </si>
  <si>
    <t>2019-11-26T07:47:18</t>
  </si>
  <si>
    <t>2019-11-26T13:20:02.000-07:00</t>
  </si>
  <si>
    <t>2019-11-26T13:22:03.000-07:00</t>
  </si>
  <si>
    <t>ee4cca9b-3f8c-46a4-9cf8-3f0c4101b4b9</t>
  </si>
  <si>
    <t>2019-09-16T09:23:36</t>
  </si>
  <si>
    <t>Sample with PLc1197, Red Colony Count: Undiluted volume tested 100 ml - 00</t>
  </si>
  <si>
    <t>Sl1001</t>
  </si>
  <si>
    <t>055898c0-63e5-4ddc-afd0-19d8be0c23a5</t>
  </si>
  <si>
    <t>2020-02-20T06:41:46</t>
  </si>
  <si>
    <t>2020-02-20T12:15:48.000+06:30</t>
  </si>
  <si>
    <t>2019-09-16T02:56:49.000+06:30</t>
  </si>
  <si>
    <t>2020-02-20T12:17:11.000+06:30</t>
  </si>
  <si>
    <t>2019-09-05T12:00:00.000+06:30</t>
  </si>
  <si>
    <t>5a649ea4-8f41-4fb6-a736-ea79eba01938</t>
  </si>
  <si>
    <t>2019-09-16T09:24:22</t>
  </si>
  <si>
    <t>Red colony count: 1:10^4 -8; 1:10^5 - 2; Each sample vol tested 1ml</t>
  </si>
  <si>
    <t>2019-09-16T02:58:57.000+06:30</t>
  </si>
  <si>
    <t>d93f2d10-342a-444a-93e1-138bdcbe70a4</t>
  </si>
  <si>
    <t>2020-02-20T06:43:11</t>
  </si>
  <si>
    <t>2020-02-20T12:18:12.000+06:30</t>
  </si>
  <si>
    <t>f081bd78-6635-4a14-9b8b-ba6e24e815cc</t>
  </si>
  <si>
    <t>2019-09-16T09:26:31</t>
  </si>
  <si>
    <t>2019-09-16T03:00:28.000+06:30</t>
  </si>
  <si>
    <t>77222d45-cbdb-4487-b11c-9151e4dcf60d</t>
  </si>
  <si>
    <t>Sample with PLc1198, Red Colony Count: Undiluted volume tested 100 ml - 00</t>
  </si>
  <si>
    <t>3dd46604-a0f4-48fd-a677-14a923ff2c8e</t>
  </si>
  <si>
    <t>2019-11-26T07:49:20</t>
  </si>
  <si>
    <t>c55d6be4-d5a7-4369-af8a-4b303797d970</t>
  </si>
  <si>
    <t>2019-09-16T09:28:02</t>
  </si>
  <si>
    <t>2020-02-20T06:44:11</t>
  </si>
  <si>
    <t>2019-11-26T13:22:04.000-07:00</t>
  </si>
  <si>
    <t>2020-02-20T12:19:18.000+06:30</t>
  </si>
  <si>
    <t>2019-11-26T13:22:55.000-07:00</t>
  </si>
  <si>
    <t>2019-09-16T03:01:27.000+06:30</t>
  </si>
  <si>
    <t>2ad61e8c-4c97-44a1-8ca7-74977a3d7c15</t>
  </si>
  <si>
    <t>2019-09-16T09:29:00</t>
  </si>
  <si>
    <t>Sample with MO1178, Red Colony Count: Undiluted volume tested 100 ml - 00</t>
  </si>
  <si>
    <t>2019-09-16T03:02:20.000+06:30</t>
  </si>
  <si>
    <t>e21a647f-2f0e-476e-bf4c-2eea870fbfd0</t>
  </si>
  <si>
    <t>2020-02-20T06:45:16</t>
  </si>
  <si>
    <t>2020-02-20T12:20:18.000+06:30</t>
  </si>
  <si>
    <t>a2275d49-88d4-4429-8fef-fa72a786a9cf</t>
  </si>
  <si>
    <t>2019-09-16T09:29:54</t>
  </si>
  <si>
    <t>2019-09-16T03:02:21.000+06:30</t>
  </si>
  <si>
    <t>2019-09-16T03:03:17.000+06:30</t>
  </si>
  <si>
    <t>Sample with MO1179, Red Colony Count: Undiluted volume tested 100 ml - 00</t>
  </si>
  <si>
    <t>ec97175b-0a8c-47dd-9759-eb299ff4cea0</t>
  </si>
  <si>
    <t>2020-02-20T06:46:18</t>
  </si>
  <si>
    <t>2020-02-20T12:20:19.000+06:30</t>
  </si>
  <si>
    <t>d3fda82a-88e9-4635-8324-938ad75d23fb</t>
  </si>
  <si>
    <t>2019-09-16T09:30:50</t>
  </si>
  <si>
    <t>2020-02-20T12:21:16.000+06:30</t>
  </si>
  <si>
    <t>2010ca96-5781-42ce-aa50-1f7d163b82e3</t>
  </si>
  <si>
    <t>2019-11-26T07:50:09</t>
  </si>
  <si>
    <t>2019-09-16T03:03:53.000+06:30</t>
  </si>
  <si>
    <t>2019-11-26T13:22:56.000-07:00</t>
  </si>
  <si>
    <t>Sample with MO1180, Red Colony Count: Undiluted volume tested 100 ml - 00</t>
  </si>
  <si>
    <t>db8441c5-5bb7-46e7-b6a5-66e73385bde7</t>
  </si>
  <si>
    <t>0bf13cb1-347a-46fa-bf48-06f0d51df8ec</t>
  </si>
  <si>
    <t>2019-11-26T13:25:04.000-07:00</t>
  </si>
  <si>
    <t>2020-02-20T06:47:15</t>
  </si>
  <si>
    <t>2019-09-16T09:31:27</t>
  </si>
  <si>
    <t>2020-02-20T12:23:45.000+06:30</t>
  </si>
  <si>
    <t>2019-11-19T14:30:00.000-07:00</t>
  </si>
  <si>
    <t>2019-09-16T03:04:52.000+06:30</t>
  </si>
  <si>
    <t>2019-11-19T15:30:00.000-07:00</t>
  </si>
  <si>
    <t>2019-11-20T15:30:00.000-07:00</t>
  </si>
  <si>
    <t>2020-02-13T14:07:00.000+06:30</t>
  </si>
  <si>
    <t>2020-02-13T14:30:00.000+06:30</t>
  </si>
  <si>
    <t>2020-02-13T16:30:00.000+06:30</t>
  </si>
  <si>
    <t>2020-02-14T16:30:00.000+06:30</t>
  </si>
  <si>
    <t>92a83f02-5a62-4f97-ba71-d8f3900d10e0</t>
  </si>
  <si>
    <t>2019-09-16T09:32:25</t>
  </si>
  <si>
    <t>2019-09-16T03:05:49.000+06:30</t>
  </si>
  <si>
    <t>Red colony count: Undiluted 100ml - TNTC, Undiluted 10ml - 128, 1:10^1 - 5 sample vol tested 1ml</t>
  </si>
  <si>
    <t>1fcd6939-e79c-45fd-aa68-a08ac3fa5dc6</t>
  </si>
  <si>
    <t>2020-02-20T06:49:46</t>
  </si>
  <si>
    <t>2020-02-20T12:23:46.000+06:30</t>
  </si>
  <si>
    <t>2020-02-20T12:27:29.000+06:30</t>
  </si>
  <si>
    <t>86b73584-36fa-485d-bbaf-770827329655</t>
  </si>
  <si>
    <t>2019-09-16T09:33:23</t>
  </si>
  <si>
    <t>2019-09-16T03:07:10.000+06:30</t>
  </si>
  <si>
    <t>MSA 1:10^4 - 12 vol. 1ml.</t>
  </si>
  <si>
    <t>2019-09-14T11:30:00.000+06:30</t>
  </si>
  <si>
    <t>5428b535-cb95-4443-a630-f94b5915384e</t>
  </si>
  <si>
    <t>286a4e27-696f-4b55-9899-378b60ec4d03</t>
  </si>
  <si>
    <t>Red colony count: Undiluted 100ml - 44, Undiluted 10ml - 22, 1:10^1 - 02 sample vol tested 1ml,</t>
  </si>
  <si>
    <t>2019-11-26T07:52:20</t>
  </si>
  <si>
    <t>2019-09-16T09:34:45</t>
  </si>
  <si>
    <t>a3bdc792-59bb-4843-998a-a35941eaab96</t>
  </si>
  <si>
    <t>2019-11-26T13:26:46.000-07:00</t>
  </si>
  <si>
    <t>2019-09-16T03:08:10.000+06:30</t>
  </si>
  <si>
    <t>2020-02-20T06:53:29</t>
  </si>
  <si>
    <t>2020-02-20T12:27:30.000+06:30</t>
  </si>
  <si>
    <t>2019-09-06T14:30:00.000+06:30</t>
  </si>
  <si>
    <t>2020-02-20T12:29:06.000+06:30</t>
  </si>
  <si>
    <t>9441147b-8d07-41e0-9243-564aa7315439</t>
  </si>
  <si>
    <t>2019-09-16T09:35:42</t>
  </si>
  <si>
    <t>2019-09-16T03:08:54.000+06:30</t>
  </si>
  <si>
    <t>Red colony count: Undiluted 100ml - TNTC, Undiluted 10ml - 22, 1:10^1 - 01 sample vol tested 1ml,</t>
  </si>
  <si>
    <t>4ac6c622-5bee-43e7-a27b-0d76bcb15a81</t>
  </si>
  <si>
    <t>8e71a4f8-81d8-42a3-ae1d-c3d2fd264318</t>
  </si>
  <si>
    <t>2020-02-20T06:55:05</t>
  </si>
  <si>
    <t>2019-09-16T09:36:27</t>
  </si>
  <si>
    <t>2020-02-20T12:29:07.000+06:30</t>
  </si>
  <si>
    <t>2020-02-20T12:30:44.000+06:30</t>
  </si>
  <si>
    <t>2019-09-16T03:09:38.000+06:30</t>
  </si>
  <si>
    <t>MSA 1:10^4 - 2 vol. 1ml.</t>
  </si>
  <si>
    <t>9e607bb4-6f95-4c03-89cc-51a5a5409c07</t>
  </si>
  <si>
    <t>0d306797-f2e5-4ae3-8c76-a739006e29f2</t>
  </si>
  <si>
    <t>2019-11-26T07:54:03</t>
  </si>
  <si>
    <t>2019-09-16T09:37:12</t>
  </si>
  <si>
    <t>Red colony count: 1:10^1 - 11; 1:10^2 - 05; Each sample vol tested 1ml</t>
  </si>
  <si>
    <t>2019-11-26T13:26:47.000-07:00</t>
  </si>
  <si>
    <t>754cab42-1182-447f-9c8a-9c76da8b4b6d</t>
  </si>
  <si>
    <t>2020-02-20T06:56:44</t>
  </si>
  <si>
    <t>2019-11-26T13:29:28.000-07:00</t>
  </si>
  <si>
    <t>2019-09-16T03:10:16.000+06:30</t>
  </si>
  <si>
    <t>2020-02-20T12:32:00.000+06:30</t>
  </si>
  <si>
    <t>b49a50c3-2f50-4fdf-b0ea-dca8b33f2e1e</t>
  </si>
  <si>
    <t>2019-09-16T09:37:50</t>
  </si>
  <si>
    <t>2019-09-16T03:11:04.000+06:30</t>
  </si>
  <si>
    <t>Red colony count: 1:10^1 - 58; 1:10^2 - 5; Each sample vol tested 1ml</t>
  </si>
  <si>
    <t>74c36642-e1c0-46a1-9814-871f28beb04f</t>
  </si>
  <si>
    <t>2020-02-20T06:58:00</t>
  </si>
  <si>
    <t>3d0ca392-e7f6-4f9b-89c4-3cf4bb9381f4</t>
  </si>
  <si>
    <t>2019-09-16T09:38:37</t>
  </si>
  <si>
    <t>2020-02-20T12:33:50.000+06:30</t>
  </si>
  <si>
    <t>2019-09-16T03:12:05.000+06:30</t>
  </si>
  <si>
    <t>2019-09-06T12:30:00.000+06:30</t>
  </si>
  <si>
    <t>566ba608-d441-4226-a4b6-80cdb8c50af5</t>
  </si>
  <si>
    <t>2019-09-16T09:39:38</t>
  </si>
  <si>
    <t>WG5 1ml plaque count - CL, 100µl plaque count - CL, MSA 1:10^4 - 18 vol. 1ml.</t>
  </si>
  <si>
    <t>f213f417-fd8d-4980-8ac8-b2bfbb198802</t>
  </si>
  <si>
    <t>2019-11-26T07:56:44</t>
  </si>
  <si>
    <t>Sample with FPa2002, FPb2002, FPc2002, FPd2002, FPe2002, Red Colony Count: Undiluted volume tested 100 ml - 00</t>
  </si>
  <si>
    <t>2019-09-16T03:13:55.000+06:30</t>
  </si>
  <si>
    <t>2019-11-26T13:29:29.000-07:00</t>
  </si>
  <si>
    <t>17f6c5cc-7cab-4d1b-b029-9db573e870f5</t>
  </si>
  <si>
    <t>2019-11-26T13:31:01.000-07:00</t>
  </si>
  <si>
    <t>2020-02-20T06:59:50</t>
  </si>
  <si>
    <t>2020-02-20T12:33:51.000+06:30</t>
  </si>
  <si>
    <t>SF1014A-ALU+PURI OF PANIPURI</t>
  </si>
  <si>
    <t>2020-02-20T12:35:28.000+06:30</t>
  </si>
  <si>
    <t>9099c7f0-5c26-499f-98aa-5247507ca4da</t>
  </si>
  <si>
    <t>2019-09-16T09:41:29</t>
  </si>
  <si>
    <t>2019-09-16T03:15:11.000+06:30</t>
  </si>
  <si>
    <t>Red colony count: Undiluted 100ml - 32, Undiluted 10ml - 4, 1:10^1 - 0 sample vol tested 1ml,</t>
  </si>
  <si>
    <t>SF1014B-PANI OF PANIPURI</t>
  </si>
  <si>
    <t>7ef66c94-efd5-41ff-a804-94c7307d5817</t>
  </si>
  <si>
    <t>2020-02-20T07:01:28</t>
  </si>
  <si>
    <t>2e30458e-7c4f-4e1c-94dd-427d26eedf6a</t>
  </si>
  <si>
    <t>2019-09-16T09:42:45</t>
  </si>
  <si>
    <t>2020-02-20T12:37:08.000+06:30</t>
  </si>
  <si>
    <t>2019-09-16T03:17:04.000+06:30</t>
  </si>
  <si>
    <t>4c6c5338-1e06-431f-967e-0a3f060317c4</t>
  </si>
  <si>
    <t>2019-09-16T09:44:39</t>
  </si>
  <si>
    <t>12747e46-cccf-431f-9fa8-3cc19f3c522c</t>
  </si>
  <si>
    <t>Red colony count: Undiluted 100ml - 152, Undiluted 10ml - 22, 1:10^1 - 07 sample vol tested 1ml</t>
  </si>
  <si>
    <t>2019-11-26T07:58:18</t>
  </si>
  <si>
    <t>112f7b18-6390-4c05-aeb0-a2b486b9d8d8</t>
  </si>
  <si>
    <t>2019-09-16T03:19:07.000+06:30</t>
  </si>
  <si>
    <t>2020-02-20T07:03:08</t>
  </si>
  <si>
    <t>2019-11-26T13:31:02.000-07:00</t>
  </si>
  <si>
    <t>2020-02-20T12:37:09.000+06:30</t>
  </si>
  <si>
    <t>2020-02-20T12:38:33.000+06:30</t>
  </si>
  <si>
    <t>2019-11-26T13:32:48.000-07:00</t>
  </si>
  <si>
    <t>83775269-8c66-4eb3-93f3-42817b663777</t>
  </si>
  <si>
    <t>2019-09-16T09:46:41</t>
  </si>
  <si>
    <t>Red colony count: Undiluted 100ml - 138, Undiluted 10ml - 11, 1:10^1 - 5 sample vol tested 1ml,</t>
  </si>
  <si>
    <t>2019-09-16T03:21:10.000+06:30</t>
  </si>
  <si>
    <t>b8ee10c1-f3bd-458a-8a6c-9ecbae24eede</t>
  </si>
  <si>
    <t>2020-02-20T07:04:33</t>
  </si>
  <si>
    <t>2020-02-20T12:38:34.000+06:30</t>
  </si>
  <si>
    <t>2020-02-20T12:40:11.000+06:30</t>
  </si>
  <si>
    <t>d0846304-8875-4647-8bff-99cf1478cec1</t>
  </si>
  <si>
    <t>2019-09-16T09:48:43</t>
  </si>
  <si>
    <t>2019-09-16T03:22:33.000+06:30</t>
  </si>
  <si>
    <t>Red colony count: 1:10^1 - 4; 1:10^2 - 0; Each sample vol tested 1ml</t>
  </si>
  <si>
    <t>47beabbc-6bab-492a-8c04-76e7ea67a8a2</t>
  </si>
  <si>
    <t>2020-02-20T07:06:11</t>
  </si>
  <si>
    <t>2019-09-13T11:00:00.000+06:30</t>
  </si>
  <si>
    <t>2020-02-20T12:40:12.000+06:30</t>
  </si>
  <si>
    <t>2020-02-20T12:41:29.000+06:30</t>
  </si>
  <si>
    <t>e52d436e-c42e-4cbc-90a1-1a67539418b0</t>
  </si>
  <si>
    <t>2019-09-16T09:50:07</t>
  </si>
  <si>
    <t>2019-09-16T03:23:33.000+06:30</t>
  </si>
  <si>
    <t>642e543b-3100-4239-a8d6-2dbf6094f5de</t>
  </si>
  <si>
    <t>2019-11-26T08:00:05</t>
  </si>
  <si>
    <t>2019-11-26T13:32:49.000-07:00</t>
  </si>
  <si>
    <t>2019-11-26T13:35:20.000-07:00</t>
  </si>
  <si>
    <t>3785b88c-a375-44ac-b936-b3c0d58e831c</t>
  </si>
  <si>
    <t>2019-09-16T09:51:06</t>
  </si>
  <si>
    <t>Red colony count: 1:10^1 - 101; 1:10^2 - 13; Each sample vol tested 1ml</t>
  </si>
  <si>
    <t>145f659e-e132-4417-b710-d582f95f797c</t>
  </si>
  <si>
    <t>2019-09-16T03:25:32.000+06:30</t>
  </si>
  <si>
    <t>2020-02-20T07:07:29</t>
  </si>
  <si>
    <t>2020-02-20T12:43:06.000+06:30</t>
  </si>
  <si>
    <t>acc21455-0ed0-4cb8-bc59-988646b0afd3</t>
  </si>
  <si>
    <t>2019-09-16T09:53:06</t>
  </si>
  <si>
    <t>2019-09-16T03:28:11.000+06:30</t>
  </si>
  <si>
    <t>ce8010be-5031-4f35-afac-aa1de8eb3344</t>
  </si>
  <si>
    <t>Sample with FPa2003, FPb2003, FPc2003, FPd2003, FPe2003, Red Colony Count: Undiluted volume tested 100 ml - 00</t>
  </si>
  <si>
    <t>2019-09-16T09:55:45</t>
  </si>
  <si>
    <t>WG5 1ml plaque count - CL, 100µl plaque count - CL, MSA 1:10^4 - 86 vol. 1ml.</t>
  </si>
  <si>
    <t>2019-09-16T03:28:12.000+06:30</t>
  </si>
  <si>
    <t>ab93c79d-f68b-494b-bb8b-4cf2b397fbcd</t>
  </si>
  <si>
    <t>2020-02-20T07:09:06</t>
  </si>
  <si>
    <t>2612ebff-c262-4c13-8fdb-234f004d06cc</t>
  </si>
  <si>
    <t>2019-11-26T08:02:37</t>
  </si>
  <si>
    <t>2019-09-16T03:29:16.000+06:30</t>
  </si>
  <si>
    <t>2019-11-26T13:35:21.000-07:00</t>
  </si>
  <si>
    <t>2019-11-26T13:44:22.000-07:00</t>
  </si>
  <si>
    <t>2020-02-20T12:44:34.000+06:30</t>
  </si>
  <si>
    <t>9ccb2df0-c557-409a-95c6-bbb6c438b704</t>
  </si>
  <si>
    <t>2019-09-16T09:56:49</t>
  </si>
  <si>
    <t>2019-09-16T03:30:16.000+06:30</t>
  </si>
  <si>
    <t>151b90d1-c442-4d2d-baa2-d77fe035c5e1</t>
  </si>
  <si>
    <t>2019-09-16T09:57:50</t>
  </si>
  <si>
    <t>Red colony count: 1:10^1 - TNTC; 1:10^2 - 46; Each sample vol tested 1ml</t>
  </si>
  <si>
    <t>db39a49f-d465-4324-9261-0f1743f5d327</t>
  </si>
  <si>
    <t>2020-02-20T07:10:33</t>
  </si>
  <si>
    <t>2019-09-16T03:31:35.000+06:30</t>
  </si>
  <si>
    <t>2020-02-20T12:45:51.000+06:30</t>
  </si>
  <si>
    <t>0eab4401-8fbf-4313-b3e2-5e7470a50585</t>
  </si>
  <si>
    <t>2019-09-16T09:59:09</t>
  </si>
  <si>
    <t>2019-09-16T03:33:14.000+06:30</t>
  </si>
  <si>
    <t>Red colony count: 1:10^1 - 20; 1:10^2 - 2; Each sample vol tested 1ml</t>
  </si>
  <si>
    <t>2019-09-13T14:00:00.000+06:30</t>
  </si>
  <si>
    <t>12cdebeb-f589-4cc7-9e3d-a1c3e5f788c6</t>
  </si>
  <si>
    <t>2019-11-26T08:11:39</t>
  </si>
  <si>
    <t>9f591f5f-2e35-4f52-a6e4-cbf7b9d723a4</t>
  </si>
  <si>
    <t>2019-11-26T13:44:23.000-07:00</t>
  </si>
  <si>
    <t>2020-02-20T07:11:51</t>
  </si>
  <si>
    <t>7a4a8179-196b-451c-a909-d2910df46eef</t>
  </si>
  <si>
    <t>2019-09-16T10:00:48</t>
  </si>
  <si>
    <t>2020-02-20T12:45:52.000+06:30</t>
  </si>
  <si>
    <t>2019-11-26T13:45:14.000-07:00</t>
  </si>
  <si>
    <t>2020-02-20T12:47:24.000+06:30</t>
  </si>
  <si>
    <t>2019-09-16T03:35:14.000+06:30</t>
  </si>
  <si>
    <t>d0f577a6-ff0e-4ac8-83f8-673fbfadcfda</t>
  </si>
  <si>
    <t>2019-09-16T10:02:48</t>
  </si>
  <si>
    <t>Sample with COa2007, COb2019, Red Colony Count: Undiluted volume tested 100 ml - 00</t>
  </si>
  <si>
    <t>2019-09-16T03:38:08.000+06:30</t>
  </si>
  <si>
    <t>c0d87829-239d-49ea-b141-d84a4397cfe6</t>
  </si>
  <si>
    <t>2020-02-20T07:13:25</t>
  </si>
  <si>
    <t>2020-02-20T12:47:25.000+06:30</t>
  </si>
  <si>
    <t>2020-02-20T12:48:18.000+06:30</t>
  </si>
  <si>
    <t>9577016b-0fa3-4d99-a1ec-78e67d7854e5</t>
  </si>
  <si>
    <t>2019-09-16T10:05:42</t>
  </si>
  <si>
    <t>2019-09-16T03:39:17.000+06:30</t>
  </si>
  <si>
    <t>ecfdb396-1e84-4755-806b-18fd47893c40</t>
  </si>
  <si>
    <t>2020-02-20T07:14:17</t>
  </si>
  <si>
    <t>7cc23535-0e75-4562-9399-3774272e8964</t>
  </si>
  <si>
    <t>2020-02-20T12:51:19.000+06:30</t>
  </si>
  <si>
    <t>2261b452-db9e-4265-abe1-cf9b3af377a4</t>
  </si>
  <si>
    <t>2019-11-26T08:12:30</t>
  </si>
  <si>
    <t>2019-09-16T10:06:52</t>
  </si>
  <si>
    <t>2019-11-26T13:45:15.000-07:00</t>
  </si>
  <si>
    <t>2020-02-17T13:30:00.000+06:30</t>
  </si>
  <si>
    <t>2020-02-17T14:15:00.000+06:30</t>
  </si>
  <si>
    <t>2020-02-17T15:30:00.000+06:30</t>
  </si>
  <si>
    <t>2019-11-26T13:46:30.000-07:00</t>
  </si>
  <si>
    <t>2020-02-18T15:30:00.000+06:30</t>
  </si>
  <si>
    <t>2019-09-16T03:40:28.000+06:30</t>
  </si>
  <si>
    <t>Red colony count: 1:10^3 -82; 1:10^4 - 5; 1:10^5 - 1, Each sample vol tested 1ml</t>
  </si>
  <si>
    <t>b5e707e3-9192-4984-944e-b3d7041e94f9</t>
  </si>
  <si>
    <t>b378ba86-e29e-45f7-af92-b7aab4c2c147</t>
  </si>
  <si>
    <t>2019-09-16T10:08:03</t>
  </si>
  <si>
    <t>2020-02-20T07:17:19</t>
  </si>
  <si>
    <t>2019-09-16T03:40:29.000+06:30</t>
  </si>
  <si>
    <t>2020-02-20T12:52:19.000+06:30</t>
  </si>
  <si>
    <t>2019-09-16T03:41:23.000+06:30</t>
  </si>
  <si>
    <t>e3eb1065-c7f6-4afe-95b7-6bc66ae12a85</t>
  </si>
  <si>
    <t>2019-09-16T10:08:57</t>
  </si>
  <si>
    <t>Sample with PLc1199, Red Colony Count: Undiluted volume tested 100 ml - 00</t>
  </si>
  <si>
    <t>2019-09-16T03:42:45.000+06:30</t>
  </si>
  <si>
    <t>3c70f400-35d9-4fbb-8dd3-6f387b6072b1</t>
  </si>
  <si>
    <t>2020-02-20T07:18:18</t>
  </si>
  <si>
    <t>2020-02-20T12:53:43.000+06:30</t>
  </si>
  <si>
    <t>52031218-170f-474a-a991-6791c054f708</t>
  </si>
  <si>
    <t>2019-09-16T10:10:17</t>
  </si>
  <si>
    <t>2019-09-18T23:21:58.000+06:30</t>
  </si>
  <si>
    <t>2019-09-19T11:30:25.000+06:30</t>
  </si>
  <si>
    <t>8ada91ea-9445-4832-b2e8-2121459f0836</t>
  </si>
  <si>
    <t>2019-11-26T08:13:47</t>
  </si>
  <si>
    <t>2019-11-26T13:46:31.000-07:00</t>
  </si>
  <si>
    <t>2019-11-26T13:48:23.000-07:00</t>
  </si>
  <si>
    <t>2019-09-18T12:00:00.000+06:30</t>
  </si>
  <si>
    <t>Red colony count: 1:10^3 -TNTC; 1:10^4 - TNTC; 1:10^5 - 150, Each sample vol tested 1ml</t>
  </si>
  <si>
    <t>WITH PLc1025FL</t>
  </si>
  <si>
    <t>2184f0fd-c952-4b1a-84f1-e4a9c3866a3e</t>
  </si>
  <si>
    <t>ad1c0986-48c0-4bec-b4c0-9d8e1aef9d5b</t>
  </si>
  <si>
    <t>2020-02-20T07:19:44</t>
  </si>
  <si>
    <t>2019-09-19T05:58:09</t>
  </si>
  <si>
    <t>2020-02-20T12:53:44.000+06:30</t>
  </si>
  <si>
    <t>2019-11-22T16:00:00.000-07:00</t>
  </si>
  <si>
    <t>2019-11-23T16:00:00.000-07:00</t>
  </si>
  <si>
    <t>2020-02-20T12:54:39.000+06:30</t>
  </si>
  <si>
    <t>2019-09-19T11:32:37.000+06:30</t>
  </si>
  <si>
    <t>WITH FB1051UP, AND WITH EXTRACTION CONTROL</t>
  </si>
  <si>
    <t>a540d346-1c7b-48e2-9bf5-92fa67726285</t>
  </si>
  <si>
    <t>2019-09-19T06:00:21</t>
  </si>
  <si>
    <t>Sample with PLc1200, Red Colony Count: Undiluted volume tested 100 ml - 00</t>
  </si>
  <si>
    <t>2019-09-20T10:23:33.000+06:30</t>
  </si>
  <si>
    <t>5257b19b-6571-4f9a-8f1b-8ba46365ed5f</t>
  </si>
  <si>
    <t>2020-02-20T07:20:38</t>
  </si>
  <si>
    <t>2020-02-20T12:54:40.000+06:30</t>
  </si>
  <si>
    <t>2019-09-20T10:26:01.000+06:30</t>
  </si>
  <si>
    <t>2020-02-20T13:02:28.000+06:30</t>
  </si>
  <si>
    <t>2019-09-19T11:00:00.000+06:30</t>
  </si>
  <si>
    <t>bf48f966-9f4d-414d-bea4-2807e6d63d45</t>
  </si>
  <si>
    <t>2019-09-20T04:53:45</t>
  </si>
  <si>
    <t>Red colony count: 1:10^3 -TNTC; 1:10^4 - 136; 1:10^5 - 14, Each sample vol tested 1ml</t>
  </si>
  <si>
    <t>0ac8c1ae-1216-4b46-a7ab-b9cd5ae8d11e</t>
  </si>
  <si>
    <t>2020-02-20T07:28:29</t>
  </si>
  <si>
    <t>2019-09-20T10:27:04.000+06:30</t>
  </si>
  <si>
    <t>2020-02-20T13:02:29.000+06:30</t>
  </si>
  <si>
    <t>2020-02-20T13:03:26.000+06:30</t>
  </si>
  <si>
    <t>28cb94a0-1f6a-49de-9ef1-260bfb8ca5e2</t>
  </si>
  <si>
    <t>2019-11-26T08:15:38</t>
  </si>
  <si>
    <t>2019-11-26T13:48:25.000-07:00</t>
  </si>
  <si>
    <t>2019-09-20T04:54:48</t>
  </si>
  <si>
    <t>2019-11-26T13:50:48.000-07:00</t>
  </si>
  <si>
    <t>Sample with PLc1201, Red Colony Count: Undiluted volume tested 100 ml - 00</t>
  </si>
  <si>
    <t>b039bb9e-ca9d-4abd-9acc-902f4f313d9c</t>
  </si>
  <si>
    <t>2019-09-20T10:28:36.000+06:30</t>
  </si>
  <si>
    <t>2020-02-20T07:29:26</t>
  </si>
  <si>
    <t>2020-02-20T13:04:52.000+06:30</t>
  </si>
  <si>
    <t>a4bc95c8-8430-408b-82ee-9fd563438188</t>
  </si>
  <si>
    <t>2019-09-20T04:56:20</t>
  </si>
  <si>
    <t>Red colony count: 1:10^3 -4; 1:10^4 - 0; 1:10^5 - 0, Each sample vol tested 1ml</t>
  </si>
  <si>
    <t>2019-09-20T10:29:14.000+06:30</t>
  </si>
  <si>
    <t>64d69b6e-fd96-41bb-889d-b4c264dfa2bb</t>
  </si>
  <si>
    <t>2020-02-20T07:30:51</t>
  </si>
  <si>
    <t>2020-02-20T13:05:56.000+06:30</t>
  </si>
  <si>
    <t>05878540-e56b-48a8-8e0c-5cd8096d6c28</t>
  </si>
  <si>
    <t>2019-09-20T04:56:57</t>
  </si>
  <si>
    <t>2019-09-20T10:29:15.000+06:30</t>
  </si>
  <si>
    <t>2019-09-20T10:30:32.000+06:30</t>
  </si>
  <si>
    <t>4ae4eb4b-8df1-4a0f-ad19-837351e48c37</t>
  </si>
  <si>
    <t>2020-02-20T07:31:55</t>
  </si>
  <si>
    <t>2020-02-20T13:07:16.000+06:30</t>
  </si>
  <si>
    <t>96cd2bba-d73d-46f5-8095-b12ad34a7dca</t>
  </si>
  <si>
    <t>2019-11-26T08:18:05</t>
  </si>
  <si>
    <t>16218d70-3d96-403e-b8f3-1224ca161d02</t>
  </si>
  <si>
    <t>2019-11-26T13:50:50.000-07:00</t>
  </si>
  <si>
    <t>2019-09-20T04:58:16</t>
  </si>
  <si>
    <t>2019-09-20T10:30:33.000+06:30</t>
  </si>
  <si>
    <t>2019-11-26T13:52:26.000-07:00</t>
  </si>
  <si>
    <t>Red colony count: 1:10^3 -120; 1:10^4 - 16; 1:10^5 - 1, Each sample vol tested 1ml</t>
  </si>
  <si>
    <t>2019-09-20T10:31:48.000+06:30</t>
  </si>
  <si>
    <t>4627b009-95e9-4a33-9402-dcd65960b125</t>
  </si>
  <si>
    <t>2020-02-20T07:33:16</t>
  </si>
  <si>
    <t>2020-02-20T13:09:06.000+06:30</t>
  </si>
  <si>
    <t>WITH FB1052UP</t>
  </si>
  <si>
    <t>9fe78caa-8eaa-49cb-88ce-9c1adc356eea</t>
  </si>
  <si>
    <t>2019-09-20T04:59:32</t>
  </si>
  <si>
    <t>2019-09-20T10:33:07.000+06:30</t>
  </si>
  <si>
    <t>Sample with PLc1203, Red Colony Count: Undiluted volume tested 100 ml - 00</t>
  </si>
  <si>
    <t>c778a71c-05b6-4746-8ee0-4668e572302c</t>
  </si>
  <si>
    <t>2020-02-20T07:35:06</t>
  </si>
  <si>
    <t>2020-02-20T13:09:07.000+06:30</t>
  </si>
  <si>
    <t>2020-02-20T13:09:57.000+06:30</t>
  </si>
  <si>
    <t>0855f512-2014-40f6-96bc-e444ad347cc2</t>
  </si>
  <si>
    <t>2019-09-20T05:00:50</t>
  </si>
  <si>
    <t>2019-09-20T10:34:59.000+06:30</t>
  </si>
  <si>
    <t>2d4806d2-af37-470f-bbae-dbecc097da67</t>
  </si>
  <si>
    <t>2020-02-20T07:35:57</t>
  </si>
  <si>
    <t>2f9ba040-4efe-4ecb-99d0-cfed7047f8dd</t>
  </si>
  <si>
    <t>2020-02-20T13:09:58.000+06:30</t>
  </si>
  <si>
    <t>2019-11-26T08:19:43</t>
  </si>
  <si>
    <t>WITH FB1054UP</t>
  </si>
  <si>
    <t>2019-11-26T13:52:28.000-07:00</t>
  </si>
  <si>
    <t>2020-02-20T13:12:21.000+06:30</t>
  </si>
  <si>
    <t>bd3002cc-bc1a-4e91-b415-4b9a07ab2555</t>
  </si>
  <si>
    <t>2019-09-20T05:02:42</t>
  </si>
  <si>
    <t>2019-11-26T13:54:08.000-07:00</t>
  </si>
  <si>
    <t>2020-02-18T12:00:00.000+06:30</t>
  </si>
  <si>
    <t>2020-02-18T12:15:00.000+06:30</t>
  </si>
  <si>
    <t>2020-02-18T12:50:00.000+06:30</t>
  </si>
  <si>
    <t>2020-02-19T12:50:00.000+06:30</t>
  </si>
  <si>
    <t>2019-09-20T10:38:34.000+06:30</t>
  </si>
  <si>
    <t>Red colony count: Undiluted 1ml - TNTC, 1:10^1 - 57, 1:10^2 - 6; sample vol tested 1ml</t>
  </si>
  <si>
    <t>83441bab-9b7d-4f45-8843-ab203c5b8fdd</t>
  </si>
  <si>
    <t>2020-02-20T07:38:21</t>
  </si>
  <si>
    <t>2020-02-20T13:12:22.000+06:30</t>
  </si>
  <si>
    <t>c07f849e-494b-48b1-adc6-a04d1e38b627</t>
  </si>
  <si>
    <t>2019-09-25T10:05:38</t>
  </si>
  <si>
    <t>2020-02-20T13:13:32.000+06:30</t>
  </si>
  <si>
    <t>2019-09-25T15:37:35.000+06:30</t>
  </si>
  <si>
    <t>2019-09-25T15:39:51.000+06:30</t>
  </si>
  <si>
    <t>Sample with SW2002, Red Colony Count: Undiluted volume tested 100 ml - 00</t>
  </si>
  <si>
    <t>0bfb8b01-d822-437e-9458-7d83c7fc920f</t>
  </si>
  <si>
    <t>2020-02-20T07:39:32</t>
  </si>
  <si>
    <t>abba3fc1-030d-43c5-a2bb-f8ae8e6b4062</t>
  </si>
  <si>
    <t>2019-09-25T10:07:31</t>
  </si>
  <si>
    <t>2020-02-20T13:14:33.000+06:30</t>
  </si>
  <si>
    <t>2019-09-25T15:40:41.000+06:30</t>
  </si>
  <si>
    <t>8e8f3270-7c50-44c1-95f8-12330bcafc36</t>
  </si>
  <si>
    <t>2019-11-26T08:21:24</t>
  </si>
  <si>
    <t>2019-11-26T13:54:09.000-07:00</t>
  </si>
  <si>
    <t>Sample with SL2003, Red Colony Count: Undiluted volume tested 100 ml - 00</t>
  </si>
  <si>
    <t>407101f2-340a-4daa-86fa-a76125d0a66c</t>
  </si>
  <si>
    <t>2019-09-25T10:08:21</t>
  </si>
  <si>
    <t>4812fc35-e3dd-46cb-a8b4-99e84c29e3d5</t>
  </si>
  <si>
    <t>2020-02-20T07:40:32</t>
  </si>
  <si>
    <t>2019-11-26T13:57:32.000-07:00</t>
  </si>
  <si>
    <t>2019-09-25T15:40:42.000+06:30</t>
  </si>
  <si>
    <t>2020-02-20T13:14:34.000+06:30</t>
  </si>
  <si>
    <t>2020-02-20T13:15:34.000+06:30</t>
  </si>
  <si>
    <t>2019-09-25T15:41:28.000+06:30</t>
  </si>
  <si>
    <t>2020-02-18T13:00:00.000+06:30</t>
  </si>
  <si>
    <t>2020-02-18T13:10:00.000+06:30</t>
  </si>
  <si>
    <t>2020-02-18T13:30:00.000+06:30</t>
  </si>
  <si>
    <t>2020-02-19T13:30:00.000+06:30</t>
  </si>
  <si>
    <t>ff5e73ef-f546-45f4-9049-20816545b696</t>
  </si>
  <si>
    <t>2019-09-25T10:09:07</t>
  </si>
  <si>
    <t>Sample with MO1181, Red Colony Count: Undiluted volume tested 100 ml - 00</t>
  </si>
  <si>
    <t>6b414355-eedd-4d32-a21b-3f32bd8b996f</t>
  </si>
  <si>
    <t>2020-02-20T07:41:34</t>
  </si>
  <si>
    <t>2020-02-20T13:15:35.000+06:30</t>
  </si>
  <si>
    <t>2019-09-25T15:42:07.000+06:30</t>
  </si>
  <si>
    <t>2020-02-20T13:16:32.000+06:30</t>
  </si>
  <si>
    <t>e6476302-95af-4b91-93fa-37043765cebe</t>
  </si>
  <si>
    <t>2019-09-25T10:09:46</t>
  </si>
  <si>
    <t>Sample with MO1182, Red Colony Count: Undiluted volume tested 100 ml - 00</t>
  </si>
  <si>
    <t>36fb8a64-2db4-4be1-a743-d9295b16714e</t>
  </si>
  <si>
    <t>2020-02-20T07:42:31</t>
  </si>
  <si>
    <t>2020-02-20T13:16:33.000+06:30</t>
  </si>
  <si>
    <t>2019-09-25T15:42:45.000+06:30</t>
  </si>
  <si>
    <t>2020-02-20T13:17:38.000+06:30</t>
  </si>
  <si>
    <t>ba2fb334-dbeb-4025-b532-7aabfbdb5398</t>
  </si>
  <si>
    <t>2019-11-26T08:24:49</t>
  </si>
  <si>
    <t>2019-11-28T12:40:04.000-07:00</t>
  </si>
  <si>
    <t>2019-11-28T12:44:37.000-07:00</t>
  </si>
  <si>
    <t>84da600f-c423-4f9d-ab5e-c8ed28269742</t>
  </si>
  <si>
    <t>Sample with MO1183, Red Colony Count: Undiluted volume tested 100 ml - 00</t>
  </si>
  <si>
    <t>2019-09-25T10:10:24</t>
  </si>
  <si>
    <t>1a00b559-ddf6-4767-b41d-555a7cdc803b</t>
  </si>
  <si>
    <t>2020-02-20T07:43:37</t>
  </si>
  <si>
    <t>2020-02-20T13:17:39.000+06:30</t>
  </si>
  <si>
    <t>2019-09-25T15:43:38.000+06:30</t>
  </si>
  <si>
    <t>2020-02-20T13:18:34.000+06:30</t>
  </si>
  <si>
    <t>WITH FB1053UP</t>
  </si>
  <si>
    <t>11b3bf65-3d23-47cc-8e87-2baa78c6b10e</t>
  </si>
  <si>
    <t>2019-09-25T10:11:17</t>
  </si>
  <si>
    <t>Sample with MO1184, Red Colony Count: Undiluted volume tested 100 ml - 00</t>
  </si>
  <si>
    <t>d3b88d2c-9a13-4fc8-929a-ea0c599773d5</t>
  </si>
  <si>
    <t>2020-02-20T07:44:34</t>
  </si>
  <si>
    <t>2019-09-25T15:44:21.000+06:30</t>
  </si>
  <si>
    <t>2020-02-20T13:18:35.000+06:30</t>
  </si>
  <si>
    <t>2020-02-20T13:19:26.000+06:30</t>
  </si>
  <si>
    <t>3595c6b5-4529-4f8a-a76f-2a3081bb17ac</t>
  </si>
  <si>
    <t>2019-09-25T10:12:00</t>
  </si>
  <si>
    <t>2019-09-25T15:47:46.000+06:30</t>
  </si>
  <si>
    <t>2019-09-23T11:00:00.000+06:30</t>
  </si>
  <si>
    <t>WITH PLc1026FL</t>
  </si>
  <si>
    <t>2366bc7c-6a27-4e7e-ac59-eaef6403da57</t>
  </si>
  <si>
    <t>0b52c63b-5ff8-4029-ae91-ed8be16970ec</t>
  </si>
  <si>
    <t>2019-09-25T10:15:25</t>
  </si>
  <si>
    <t>2020-02-20T07:45:24</t>
  </si>
  <si>
    <t>d9bc1d44-9a7d-4190-96d1-dceb042daddf</t>
  </si>
  <si>
    <t>2020-02-20T13:19:27.000+06:30</t>
  </si>
  <si>
    <t>2019-11-28T07:11:51</t>
  </si>
  <si>
    <t>2019-11-28T12:44:38.000-07:00</t>
  </si>
  <si>
    <t>2020-02-20T13:21:09.000+06:30</t>
  </si>
  <si>
    <t>2019-09-25T15:48:58.000+06:30</t>
  </si>
  <si>
    <t>2019-11-28T12:46:40.000-07:00</t>
  </si>
  <si>
    <t>2020-02-18T14:00:00.000+06:30</t>
  </si>
  <si>
    <t>2020-02-18T15:45:00.000+06:30</t>
  </si>
  <si>
    <t>2020-02-19T15:45:00.000+06:30</t>
  </si>
  <si>
    <t>edbc7986-538a-4e95-9896-9777a1000138</t>
  </si>
  <si>
    <t>2019-09-25T10:16:38</t>
  </si>
  <si>
    <t>2019-09-25T15:49:37.000+06:30</t>
  </si>
  <si>
    <t>Red colony count: 1:10^1 - TNTC; 1:10^2 - 86; 1:10^3 - 5, Each sample vol tested 1ml</t>
  </si>
  <si>
    <t>13aba9a3-fd2d-4c63-b543-53ee401da675</t>
  </si>
  <si>
    <t>15a32790-3615-42d3-a4c6-86442df4f062</t>
  </si>
  <si>
    <t>2019-09-25T10:17:17</t>
  </si>
  <si>
    <t>2020-02-20T07:47:10</t>
  </si>
  <si>
    <t>2019-09-25T15:51:17.000+06:30</t>
  </si>
  <si>
    <t>2020-02-20T13:21:10.000+06:30</t>
  </si>
  <si>
    <t>2020-02-20T13:22:36.000+06:30</t>
  </si>
  <si>
    <t>ad14ab5d-2cd1-41c4-a560-525d1f278c1c</t>
  </si>
  <si>
    <t>2019-09-25T10:18:57</t>
  </si>
  <si>
    <t>MSA 1:10^4 - 3 vol. 1ml., WG5 1ml plaque count - CL</t>
  </si>
  <si>
    <t>2019-09-25T15:52:14.000+06:30</t>
  </si>
  <si>
    <t>26094a92-a529-48d4-b781-550c1a4b856d</t>
  </si>
  <si>
    <t>2019-11-28T07:13:54</t>
  </si>
  <si>
    <t>2019-11-28T12:48:37.000-07:00</t>
  </si>
  <si>
    <t>Red colony count: 1:10^3 -82; 1:10^4 - 10; 1:10^5 - 01, Each sample vol tested 1ml</t>
  </si>
  <si>
    <t>f6ab655d-b362-44cb-a6b8-26533d157b9f</t>
  </si>
  <si>
    <t>2020-02-20T07:48:36</t>
  </si>
  <si>
    <t>bdfc5015-9501-43dc-85c5-49f6ae9924ab</t>
  </si>
  <si>
    <t>2019-09-25T10:19:53</t>
  </si>
  <si>
    <t>2020-02-26T12:07:52.000+06:30</t>
  </si>
  <si>
    <t>2020-02-26T12:09:14.000+06:30</t>
  </si>
  <si>
    <t>2019-09-25T15:52:51.000+06:30</t>
  </si>
  <si>
    <t>2020-02-19T14:04:00.000+06:30</t>
  </si>
  <si>
    <t>2020-02-19T14:15:00.000+06:30</t>
  </si>
  <si>
    <t>2020-02-19T15:00:00.000+06:30</t>
  </si>
  <si>
    <t>2020-02-20T15:00:00.000+06:30</t>
  </si>
  <si>
    <t>dd72930f-0769-4f48-a8ec-6121716cb2b8</t>
  </si>
  <si>
    <t>2019-09-25T10:20:30</t>
  </si>
  <si>
    <t>2019-09-25T15:52:52.000+06:30</t>
  </si>
  <si>
    <t>2019-09-25T15:53:30.000+06:30</t>
  </si>
  <si>
    <t>Sample with MO1185, Red Colony Count: Undiluted volume tested 100 ml - 00</t>
  </si>
  <si>
    <t>12c6bcfd-e43f-4fe7-a3ff-fd3af30f7a6f</t>
  </si>
  <si>
    <t>59bc47a1-3fc1-4175-9f89-0eb041fd5f9a</t>
  </si>
  <si>
    <t>2020-02-26T06:35:09</t>
  </si>
  <si>
    <t>2019-09-25T10:21:09</t>
  </si>
  <si>
    <t>2019-09-26T10:33:54.000+06:30</t>
  </si>
  <si>
    <t>2020-02-26T12:10:16.000+06:30</t>
  </si>
  <si>
    <t>97850ef2-f9ac-463f-bcfb-136b2b41b89a</t>
  </si>
  <si>
    <t>2019-11-28T07:15:50</t>
  </si>
  <si>
    <t>2019-09-26T10:35:11.000+06:30</t>
  </si>
  <si>
    <t>2019-11-28T12:51:21.000-07:00</t>
  </si>
  <si>
    <t>2019-09-25T11:00:00.000+06:30</t>
  </si>
  <si>
    <t>f90a85c8-3ca3-4999-9c0c-a91d01474b10</t>
  </si>
  <si>
    <t>Sample with MO1186, Red Colony Count: Undiluted volume tested 100 ml - 00</t>
  </si>
  <si>
    <t>2019-09-26T05:04:47</t>
  </si>
  <si>
    <t>406231f5-9201-44c2-8a95-bb77c4f574b6</t>
  </si>
  <si>
    <t>2020-02-26T06:36:10</t>
  </si>
  <si>
    <t>2020-02-26T12:10:17.000+06:30</t>
  </si>
  <si>
    <t>2019-09-26T10:35:57.000+06:30</t>
  </si>
  <si>
    <t>2020-02-26T12:11:24.000+06:30</t>
  </si>
  <si>
    <t>39a1446b-20f9-49e0-af2f-7179c74114a2</t>
  </si>
  <si>
    <t>2019-09-26T05:04:50</t>
  </si>
  <si>
    <t>MSA 1:10^4 - 0 vol. 1ml., GB124 5ml plaque count - CL</t>
  </si>
  <si>
    <t>13a383c6-e207-4f51-84c1-8c8888936bba</t>
  </si>
  <si>
    <t>2019-11-28T07:18:35</t>
  </si>
  <si>
    <t>2019-09-26T10:37:07.000+06:30</t>
  </si>
  <si>
    <t>2019-11-28T12:55:42.000-07:00</t>
  </si>
  <si>
    <t>WITH PLc1027FL</t>
  </si>
  <si>
    <t>Sample with MO1187, Red Colony Count: Undiluted volume tested 100 ml - 00</t>
  </si>
  <si>
    <t>0fcf7cf4-8230-4402-a55e-92c215cff9e9</t>
  </si>
  <si>
    <t>2019-09-26T05:04:51</t>
  </si>
  <si>
    <t>5ad5ccf2-0830-4fc2-8a20-86e92dc6c620</t>
  </si>
  <si>
    <t>2020-02-26T06:37:17</t>
  </si>
  <si>
    <t>2019-09-26T10:38:50.000+06:30</t>
  </si>
  <si>
    <t>2020-02-26T12:13:11.000+06:30</t>
  </si>
  <si>
    <t>WG5 1ml and 100µl plaque count - CL, MSA 1:10^4 - 23 vol. 1ml.</t>
  </si>
  <si>
    <t>WITH EXTRACTION CONTROL(E.C)</t>
  </si>
  <si>
    <t>705580b7-f858-4ad7-b44a-a9247ad6d7db</t>
  </si>
  <si>
    <t>2019-11-28T07:22:57</t>
  </si>
  <si>
    <t>a5527ce9-0a74-463e-a1e3-1a8717cc73c7</t>
  </si>
  <si>
    <t>2019-09-26T05:06:28</t>
  </si>
  <si>
    <t>2019-09-30T11:43:07.000+06:30</t>
  </si>
  <si>
    <t>2019-11-28T13:00:37.000-07:00</t>
  </si>
  <si>
    <t>2019-09-30T11:44:36.000+06:30</t>
  </si>
  <si>
    <t>2019-09-27T17:00:00.000+06:30</t>
  </si>
  <si>
    <t>WITH PLc1028FL</t>
  </si>
  <si>
    <t>1a5f2c85-70d6-4fca-afeb-ce8b7fabb7f0</t>
  </si>
  <si>
    <t>2019-09-30T06:12:12</t>
  </si>
  <si>
    <t>Red colony count: 1:10^3 - 80; 1:10^4 - 18; 1:10^5 - 1, Each sample vol tested 1ml</t>
  </si>
  <si>
    <t>7370d672-0246-4766-9310-444dd0247f01</t>
  </si>
  <si>
    <t>2020-02-26T06:39:04</t>
  </si>
  <si>
    <t>2019-09-30T11:45:20.000+06:30</t>
  </si>
  <si>
    <t>2020-02-26T12:14:46.000+06:30</t>
  </si>
  <si>
    <t>a3942ca3-61ec-415a-97ca-4badfa78f964</t>
  </si>
  <si>
    <t>2020-02-20T15:30:00.000+06:30</t>
  </si>
  <si>
    <t>2019-09-30T06:12:55</t>
  </si>
  <si>
    <t>2019-09-30T11:45:51.000+06:30</t>
  </si>
  <si>
    <t>MSA 1:10^4 - 0 vol. 1ml., GB124 1ml and 5ml plaque count - CL</t>
  </si>
  <si>
    <t>41589c95-f19a-40f7-8ad1-524e65515ee2</t>
  </si>
  <si>
    <t>Red colony count: 1:10^3 -15; 1:10^4 - 0; 1:10^5 - 00, Each sample vol tested 1ml</t>
  </si>
  <si>
    <t>2019-11-28T07:27:51</t>
  </si>
  <si>
    <t>2019-11-28T13:00:38.000-07:00</t>
  </si>
  <si>
    <t>f83ce8d4-ea16-43f1-b7d6-1845094e4f07</t>
  </si>
  <si>
    <t>2019-09-30T06:13:26</t>
  </si>
  <si>
    <t>2019-11-28T13:03:30.000-07:00</t>
  </si>
  <si>
    <t>c3e4f273-3b86-4347-89fc-5713274bcebe</t>
  </si>
  <si>
    <t>2020-02-26T06:40:39</t>
  </si>
  <si>
    <t>2020-02-26T12:14:47.000+06:30</t>
  </si>
  <si>
    <t>2019-09-30T11:47:47.000+06:30</t>
  </si>
  <si>
    <t>2020-02-26T12:15:47.000+06:30</t>
  </si>
  <si>
    <t>WITH MO1098D</t>
  </si>
  <si>
    <t>ed0d53fe-ec4e-4fbf-ba06-7b630040652f</t>
  </si>
  <si>
    <t>2019-09-30T06:15:22</t>
  </si>
  <si>
    <t>2019-09-30T11:48:43.000+06:30</t>
  </si>
  <si>
    <t>Sample with PL1026, Red Colony Count: Undiluted volume tested 100 ml - 00</t>
  </si>
  <si>
    <t>6a0e3c79-9ddf-49a4-a533-66bb9f155168</t>
  </si>
  <si>
    <t>2019-09-30T06:16:18</t>
  </si>
  <si>
    <t>47ec6362-6804-4702-a2e5-9d06e9d8b5d9</t>
  </si>
  <si>
    <t>2020-02-26T06:41:41</t>
  </si>
  <si>
    <t>9fa2efd6-c5d4-4b8a-95c8-49732451fb36</t>
  </si>
  <si>
    <t>2019-11-28T07:30:43</t>
  </si>
  <si>
    <t>2019-09-30T11:49:14.000+06:30</t>
  </si>
  <si>
    <t>2019-11-28T13:03:31.000-07:00</t>
  </si>
  <si>
    <t>2020-02-26T12:17:04.000+06:30</t>
  </si>
  <si>
    <t>2019-11-28T13:06:24.000-07:00</t>
  </si>
  <si>
    <t>2bdf89ab-e5c7-40bc-8fb4-7e0d0bc21849</t>
  </si>
  <si>
    <t>2019-09-30T06:16:49</t>
  </si>
  <si>
    <t>Red colony count: 1:10^3 -16; 1:10^4 - 1; 1:10^5 - 00, Each sample vol tested 1ml</t>
  </si>
  <si>
    <t>a4ad2179-b0cf-4cc2-8740-d61388231022</t>
  </si>
  <si>
    <t>2020-02-26T06:42:58</t>
  </si>
  <si>
    <t>2019-09-30T11:50:31.000+06:30</t>
  </si>
  <si>
    <t>2020-02-26T12:17:05.000+06:30</t>
  </si>
  <si>
    <t>2020-02-26T12:18:07.000+06:30</t>
  </si>
  <si>
    <t>WITH MO1099D</t>
  </si>
  <si>
    <t>20edc3ce-e4a7-42af-9e3f-78d67f93a79c</t>
  </si>
  <si>
    <t>2019-09-30T06:18:07</t>
  </si>
  <si>
    <t>2019-09-30T11:51:34.000+06:30</t>
  </si>
  <si>
    <t>ccd68359-7b4c-4906-be4f-7cf5b759277a</t>
  </si>
  <si>
    <t>2019-11-28T07:33:38</t>
  </si>
  <si>
    <t>Sample with PL1027, Red Colony Count: Undiluted volume tested 100 ml - 00</t>
  </si>
  <si>
    <t>2019-11-28T13:07:31.000-07:00</t>
  </si>
  <si>
    <t>b3696e22-0b57-4c8d-aaa8-e83b782bf0df</t>
  </si>
  <si>
    <t>2020-02-26T06:44:01</t>
  </si>
  <si>
    <t>7af86565-fd48-4ccb-977d-2d665d4284e1</t>
  </si>
  <si>
    <t>2019-09-30T06:19:09</t>
  </si>
  <si>
    <t>2020-02-26T12:19:00.000+06:30</t>
  </si>
  <si>
    <t>2019-09-30T11:52:14.000+06:30</t>
  </si>
  <si>
    <t>9a140d2d-bd2b-4f06-aed9-4cdc7a1927a1</t>
  </si>
  <si>
    <t>2019-09-30T06:19:49</t>
  </si>
  <si>
    <t>2019-09-30T11:52:48.000+06:30</t>
  </si>
  <si>
    <t>63f3ddae-8eec-467e-8420-254817c8d273</t>
  </si>
  <si>
    <t>2020-02-26T06:44:53</t>
  </si>
  <si>
    <t>d6ed1d7a-139d-4cc8-abef-1c7bba3b4910</t>
  </si>
  <si>
    <t>2020-02-26T12:20:59.000+06:30</t>
  </si>
  <si>
    <t>2019-09-30T06:20:22</t>
  </si>
  <si>
    <t>2019-09-30T11:53:53.000+06:30</t>
  </si>
  <si>
    <t>2020-02-20T14:15:00.000+06:30</t>
  </si>
  <si>
    <t>2020-02-20T15:45:00.000+06:30</t>
  </si>
  <si>
    <t>2020-02-20T16:30:00.000+06:30</t>
  </si>
  <si>
    <t>2020-02-21T16:30:00.000+06:30</t>
  </si>
  <si>
    <t>0accfad2-e766-4186-8fd2-3e5687894ff9</t>
  </si>
  <si>
    <t>2019-11-28T07:34:45</t>
  </si>
  <si>
    <t>E.C-EXTRACTION CONTROL</t>
  </si>
  <si>
    <t>2019-11-29T11:18:18.000-07:00</t>
  </si>
  <si>
    <t>c44fb60e-bdc1-4ff3-a0f5-77caba41c19c</t>
  </si>
  <si>
    <t>2019-12-02T11:53:05.000-07:00</t>
  </si>
  <si>
    <t>2019-09-30T06:21:28</t>
  </si>
  <si>
    <t>2019-10-09T14:44:58.000+06:30</t>
  </si>
  <si>
    <t>Red colony count: Undiluted 100ml - TDTC, Undiluted 10ml - TDTC, 1:10^1 - 8 sample vol tested 1ml</t>
  </si>
  <si>
    <t>2019-10-09T14:47:01.000+06:30</t>
  </si>
  <si>
    <t>f49c2db2-961c-47b1-936d-df60e6819532</t>
  </si>
  <si>
    <t>2020-02-26T06:46:54</t>
  </si>
  <si>
    <t>2020-02-26T12:21:00.000+06:30</t>
  </si>
  <si>
    <t>2019-10-03T11:00:00.000+06:30</t>
  </si>
  <si>
    <t>WITH PLc1029FL</t>
  </si>
  <si>
    <t>2020-02-26T12:22:26.000+06:30</t>
  </si>
  <si>
    <t>f016f951-64e7-4526-857f-616aaaa8ffbc</t>
  </si>
  <si>
    <t>2019-10-09T09:14:31</t>
  </si>
  <si>
    <t>2019-10-09T14:47:02.000+06:30</t>
  </si>
  <si>
    <t>2019-10-09T14:48:30.000+06:30</t>
  </si>
  <si>
    <t>MSA 1:10^4 - 0 vol. 1ml.,</t>
  </si>
  <si>
    <t>981087a6-f438-4360-8056-415decdec83a</t>
  </si>
  <si>
    <t>2019-11-29T05:49:22</t>
  </si>
  <si>
    <t>WITH FB1063UP</t>
  </si>
  <si>
    <t>2019-11-29T11:22:07.000-07:00</t>
  </si>
  <si>
    <t>98adc0bf-3caa-446b-bf15-d1a517d715f3</t>
  </si>
  <si>
    <t>2019-12-02T11:53:43.000-07:00</t>
  </si>
  <si>
    <t>2019-10-09T09:16:00</t>
  </si>
  <si>
    <t>Red colony count: Undiluted 100ml - 17, Undiluted 10ml - 1, 1:10^1 - 0 sample vol tested 1ml</t>
  </si>
  <si>
    <t>5dd542b0-d6ac-4d62-9f19-dd15e0ac428c</t>
  </si>
  <si>
    <t>2020-02-26T06:48:21</t>
  </si>
  <si>
    <t>2019-10-09T14:49:26.000+06:30</t>
  </si>
  <si>
    <t>2020-02-26T12:23:50.000+06:30</t>
  </si>
  <si>
    <t>WITH PLc1030FL</t>
  </si>
  <si>
    <t>2a64d0dc-8620-4095-8fe3-cb1d75c2b5bd</t>
  </si>
  <si>
    <t>2019-10-09T09:16:55</t>
  </si>
  <si>
    <t>Red colony count: Undiluted 100ml - 82, Undiluted 10ml - 39, 1:10^1 - 0 sample vol tested 1ml</t>
  </si>
  <si>
    <t>2019-10-09T14:50:24.000+06:30</t>
  </si>
  <si>
    <t>4e19aeef-7291-4dfd-9b2a-78c494228409</t>
  </si>
  <si>
    <t>2020-02-26T06:49:45</t>
  </si>
  <si>
    <t>2020-02-26T12:25:31.000+06:30</t>
  </si>
  <si>
    <t>WITH FB1064UP</t>
  </si>
  <si>
    <t>MSA 1:10^4 - 0 vol. 1ml.,MSA Undiluted 1ml - TDTC</t>
  </si>
  <si>
    <t>9aae57b1-017c-402c-8f57-d70df2272985</t>
  </si>
  <si>
    <t>1077d974-1ba2-4f61-8651-6a23a100565c</t>
  </si>
  <si>
    <t>2019-10-09T09:17:53</t>
  </si>
  <si>
    <t>2019-11-29T05:53:14</t>
  </si>
  <si>
    <t>2019-12-02T11:54:06.000-07:00</t>
  </si>
  <si>
    <t>2019-12-02T11:57:55.000-07:00</t>
  </si>
  <si>
    <t>2019-10-09T14:51:30.000+06:30</t>
  </si>
  <si>
    <t>Red colony count: 1:10^1 - TNTC; 1:10^2 - 55; 1:10^3 - 3, Each sample vol tested 1ml</t>
  </si>
  <si>
    <t>4ae6e61d-f8fe-4224-9dc3-efa8a2690123</t>
  </si>
  <si>
    <t>2020-02-26T06:51:25</t>
  </si>
  <si>
    <t>WITH PLc1031FL</t>
  </si>
  <si>
    <t>2020-02-26T12:26:47.000+06:30</t>
  </si>
  <si>
    <t>266f55aa-b407-48ad-9cb2-07e710173885</t>
  </si>
  <si>
    <t>2019-10-09T09:18:59</t>
  </si>
  <si>
    <t>2019-10-09T14:51:31.000+06:30</t>
  </si>
  <si>
    <t>2019-10-09T14:52:19.000+06:30</t>
  </si>
  <si>
    <t>Red colony count: 1:10^1 - TNTC; 1:10^2 - 75; 1:10^3 - 0, Each sample vol tested 1ml</t>
  </si>
  <si>
    <t>WITH FB1065UP</t>
  </si>
  <si>
    <t>854349f8-aa14-4501-9f65-c04c0d5ef2f5</t>
  </si>
  <si>
    <t>2020-02-26T06:52:41</t>
  </si>
  <si>
    <t>897d2a22-c32b-467c-85d2-403f07d1cd29</t>
  </si>
  <si>
    <t>WG5 1ml plaque count - CL, GB124 1ml plaque count - CL, MSA 1:10^4 - 36 vol. 1ml.</t>
  </si>
  <si>
    <t>2019-10-09T09:19:49</t>
  </si>
  <si>
    <t>53c57c60-92ef-456e-989d-97e66c666d29</t>
  </si>
  <si>
    <t>2019-10-09T14:52:20.000+06:30</t>
  </si>
  <si>
    <t>2019-12-02T06:25:05</t>
  </si>
  <si>
    <t>2020-02-26T12:28:05.000+06:30</t>
  </si>
  <si>
    <t>2019-12-02T12:00:34.000-07:00</t>
  </si>
  <si>
    <t>2019-10-09T14:55:17.000+06:30</t>
  </si>
  <si>
    <t>29bc7452-a2ed-41c6-bd07-9610b8804e3d</t>
  </si>
  <si>
    <t>2019-10-09T09:22:47</t>
  </si>
  <si>
    <t>2019-10-09T14:55:56.000+06:30</t>
  </si>
  <si>
    <t>Sample with FPa2004, FPb2004, FPc2004, FPd2004, FPe2004, Red Colony Count: Undiluted volume tested 100 ml - 00</t>
  </si>
  <si>
    <t>9a123252-cdef-49b8-9518-03590ddbe2eb</t>
  </si>
  <si>
    <t>2020-02-26T06:53:58</t>
  </si>
  <si>
    <t>3465c123-ed9c-4fd7-a61b-856794b09de0</t>
  </si>
  <si>
    <t>2019-10-09T09:23:25</t>
  </si>
  <si>
    <t>2020-02-26T12:29:35.000+06:30</t>
  </si>
  <si>
    <t>2019-10-11T10:29:00.000+06:30</t>
  </si>
  <si>
    <t>d8f1ad4d-798b-4042-ba31-8cd6b66e849c</t>
  </si>
  <si>
    <t>2019-12-02T06:27:45</t>
  </si>
  <si>
    <t>2019-10-11T10:30:42.000+06:30</t>
  </si>
  <si>
    <t>2019-12-02T12:06:58.000-07:00</t>
  </si>
  <si>
    <t>2019-11-29T16:30:00.000-07:00</t>
  </si>
  <si>
    <t>2019-10-10T11:00:00.000+06:30</t>
  </si>
  <si>
    <t>WITH PLc1032FL</t>
  </si>
  <si>
    <t>9aae2e85-0788-4ced-be37-64ad80a1a8fa</t>
  </si>
  <si>
    <t>2019-10-11T04:58:10</t>
  </si>
  <si>
    <t>Red colony count: 1:10^3 -17; 1:10^4 - 8; 1:10^5 - 3, Each sample vol tested 1ml</t>
  </si>
  <si>
    <t>6fe73a34-9367-4d97-9dab-0c67d7b53d3f</t>
  </si>
  <si>
    <t>2019-10-11T10:31:29.000+06:30</t>
  </si>
  <si>
    <t>2020-02-26T06:55:28</t>
  </si>
  <si>
    <t>2020-02-26T12:29:36.000+06:30</t>
  </si>
  <si>
    <t>2020-02-26T12:30:40.000+06:30</t>
  </si>
  <si>
    <t>d5243357-30be-4324-a923-5b831df0487e</t>
  </si>
  <si>
    <t>2019-10-11T04:58:57</t>
  </si>
  <si>
    <t>0ade05e2-79e0-4024-a26b-adb25e1bf81c</t>
  </si>
  <si>
    <t>2019-12-02T06:34:12</t>
  </si>
  <si>
    <t>2019-10-11T10:32:12.000+06:30</t>
  </si>
  <si>
    <t>2019-12-02T12:39:21.000-07:00</t>
  </si>
  <si>
    <t>Sample with PLc1204, Red Colony Count: Undiluted volume tested 100 ml - 00</t>
  </si>
  <si>
    <t>26705a50-0d14-4ff6-85cf-b3f15e8d70d4</t>
  </si>
  <si>
    <t>2020-02-26T06:56:33</t>
  </si>
  <si>
    <t>2020-02-26T12:31:59.000+06:30</t>
  </si>
  <si>
    <t>a3d16ffa-cab5-4a79-bf12-6ce5c9379e0b</t>
  </si>
  <si>
    <t>2019-10-11T04:59:39</t>
  </si>
  <si>
    <t>2019-10-11T10:36:09.000+06:30</t>
  </si>
  <si>
    <t>ef1aea64-5e98-4d17-9cbf-ab00a57a1e28</t>
  </si>
  <si>
    <t>2019-12-02T07:06:34</t>
  </si>
  <si>
    <t>FOR PLc1033FL NOT PROCESSED</t>
  </si>
  <si>
    <t>2019-12-02T12:39:22.000-07:00</t>
  </si>
  <si>
    <t>Red colony count: 1:10^3 -140; 1:10^4 - 10; 1:10^5 - 00, Each sample vol tested 1ml</t>
  </si>
  <si>
    <t>263bbdd7-9b8e-49d7-8d26-e0e3c2e84089</t>
  </si>
  <si>
    <t>2019-12-02T12:40:44.000-07:00</t>
  </si>
  <si>
    <t>2019-10-11T05:03:37</t>
  </si>
  <si>
    <t>92c1016d-7388-442c-bb75-af7845a6c668</t>
  </si>
  <si>
    <t>2020-02-26T06:57:54</t>
  </si>
  <si>
    <t>2020-02-26T12:32:00.000+06:30</t>
  </si>
  <si>
    <t>2019-10-11T10:37:11.000+06:30</t>
  </si>
  <si>
    <t>2020-02-26T12:32:58.000+06:30</t>
  </si>
  <si>
    <t>f68317bf-d862-488d-892e-1f91d6f6a77f</t>
  </si>
  <si>
    <t>2019-10-11T05:04:38</t>
  </si>
  <si>
    <t>2019-10-11T10:38:15.000+06:30</t>
  </si>
  <si>
    <t>Sample with PLc1205, Red Colony Count: Undiluted volume tested 100 ml - 00</t>
  </si>
  <si>
    <t>4b015db3-018b-4020-84ad-e2f74524b35f</t>
  </si>
  <si>
    <t>2019-10-11T05:05:42</t>
  </si>
  <si>
    <t>a27d3f44-d11c-4b3f-be2b-686dd742cab1</t>
  </si>
  <si>
    <t>2020-02-26T06:58:52</t>
  </si>
  <si>
    <t>78bcc575-22ac-41f9-8def-289019de0505</t>
  </si>
  <si>
    <t>2019-12-02T07:07:55</t>
  </si>
  <si>
    <t>2020-02-26T12:32:59.000+06:30</t>
  </si>
  <si>
    <t>2019-10-11T10:39:39.000+06:30</t>
  </si>
  <si>
    <t>2019-12-02T12:42:13.000-07:00</t>
  </si>
  <si>
    <t>2020-02-26T12:38:33.000+06:30</t>
  </si>
  <si>
    <t>WITH PLc1034FL</t>
  </si>
  <si>
    <t>592b06ca-3558-4320-93d4-e99ed5dda64d</t>
  </si>
  <si>
    <t>2019-10-11T05:07:07</t>
  </si>
  <si>
    <t>2019-10-11T10:40:26.000+06:30</t>
  </si>
  <si>
    <t>Red colony count: 1:10^3 -2; 1:10^4 - 1; 1:10^5 - 00, Each sample vol tested 1ml</t>
  </si>
  <si>
    <t>ebfd8986-b523-4741-bbf8-d07d143698b0</t>
  </si>
  <si>
    <t>a1832c30-828a-4cf7-a612-11febffee4c8</t>
  </si>
  <si>
    <t>2020-02-26T07:04:27</t>
  </si>
  <si>
    <t>2019-10-11T05:07:53</t>
  </si>
  <si>
    <t>2020-02-26T12:38:34.000+06:30</t>
  </si>
  <si>
    <t>2020-02-26T12:39:37.000+06:30</t>
  </si>
  <si>
    <t>2019-10-11T10:40:59.000+06:30</t>
  </si>
  <si>
    <t>dd5fa0a5-3c66-4a4d-ac6e-c2c24a089f20</t>
  </si>
  <si>
    <t>2019-12-02T07:09:24</t>
  </si>
  <si>
    <t>2019-12-02T12:43:30.000-07:00</t>
  </si>
  <si>
    <t>8ddc111c-6ac2-4cb9-b305-38b51ebe3432</t>
  </si>
  <si>
    <t>2019-10-11T05:08:26</t>
  </si>
  <si>
    <t>2019-10-11T10:41:32.000+06:30</t>
  </si>
  <si>
    <t>Sample with PLc1206, Red Colony Count: Undiluted volume tested 100 ml - 00</t>
  </si>
  <si>
    <t>e1d7a827-bf40-40d6-9bc6-cc4097d6d7d1</t>
  </si>
  <si>
    <t>2020-02-26T07:05:29</t>
  </si>
  <si>
    <t>2020-02-26T12:41:10.000+06:30</t>
  </si>
  <si>
    <t>ac610863-12a8-4abe-90fc-5d6689ebefdf</t>
  </si>
  <si>
    <t>2019-10-11T05:08:59</t>
  </si>
  <si>
    <t>2019-10-11T10:42:15.000+06:30</t>
  </si>
  <si>
    <t>b0f6fa5c-2427-4334-bc64-8130addb6797</t>
  </si>
  <si>
    <t>2019-12-02T07:10:39</t>
  </si>
  <si>
    <t>2019-12-02T12:45:01.000-07:00</t>
  </si>
  <si>
    <t>fe659b8d-8263-45ea-baf1-780fc4a1e018</t>
  </si>
  <si>
    <t>2019-10-11T05:09:43</t>
  </si>
  <si>
    <t>Sample with MO1188, Red Colony Count: Undiluted volume tested 100 ml - 00</t>
  </si>
  <si>
    <t>2019-10-17T14:55:21.000+06:30</t>
  </si>
  <si>
    <t>c89f71fc-d134-4877-900b-48f7153c8add</t>
  </si>
  <si>
    <t>2020-02-26T07:07:04</t>
  </si>
  <si>
    <t>2019-10-17T14:58:32.000+06:30</t>
  </si>
  <si>
    <t>2020-02-26T12:42:20.000+06:30</t>
  </si>
  <si>
    <t>2019-10-16T11:30:00.000+06:30</t>
  </si>
  <si>
    <t>WITH PLc1035FL</t>
  </si>
  <si>
    <t>1948792c-b4b8-406c-a2b3-142f6f9d8cd9</t>
  </si>
  <si>
    <t>2019-10-17T09:25:56</t>
  </si>
  <si>
    <t>2019-10-17T15:00:43.000+06:30</t>
  </si>
  <si>
    <t>Sample with MO1189, Red Colony Count: Undiluted volume tested 100 ml - 00</t>
  </si>
  <si>
    <t>2c5b17f0-fdd0-4919-961b-03637612b3de</t>
  </si>
  <si>
    <t>2019-12-02T07:12:13</t>
  </si>
  <si>
    <t>2019-12-02T12:45:02.000-07:00</t>
  </si>
  <si>
    <t>26d78d7f-775e-48d0-aebd-03b9af9cbf97</t>
  </si>
  <si>
    <t>2019-12-02T12:47:04.000-07:00</t>
  </si>
  <si>
    <t>2020-02-26T07:08:14</t>
  </si>
  <si>
    <t>78a14792-5e0b-400e-aad5-22b74ba4dd3e</t>
  </si>
  <si>
    <t>2019-10-17T09:28:06</t>
  </si>
  <si>
    <t>2020-02-26T12:42:21.000+06:30</t>
  </si>
  <si>
    <t>2020-02-26T12:43:34.000+06:30</t>
  </si>
  <si>
    <t>2019-10-17T15:02:52.000+06:30</t>
  </si>
  <si>
    <t>ba2c5474-9415-4cde-8e7e-908236868e17</t>
  </si>
  <si>
    <t>2019-10-17T09:30:14</t>
  </si>
  <si>
    <t>2019-10-17T15:04:23.000+06:30</t>
  </si>
  <si>
    <t>Sample with MO1190, Red Colony Count: Undiluted volume tested 100 ml - 00</t>
  </si>
  <si>
    <t>91536cdb-9f2e-4761-8723-009c335ea884</t>
  </si>
  <si>
    <t>2020-02-26T07:09:28</t>
  </si>
  <si>
    <t>837fb7f8-d11f-419a-b88a-11211eb32c94</t>
  </si>
  <si>
    <t>WITH PLc1036FL</t>
  </si>
  <si>
    <t>2019-12-02T07:14:15</t>
  </si>
  <si>
    <t>3d0cce25-a966-44ea-b43f-a8b5865d5ee8</t>
  </si>
  <si>
    <t>2019-12-02T12:48:06.000-07:00</t>
  </si>
  <si>
    <t>2019-10-17T09:31:46</t>
  </si>
  <si>
    <t>2020-02-26T12:44:45.000+06:30</t>
  </si>
  <si>
    <t>2019-10-17T15:08:37.000+06:30</t>
  </si>
  <si>
    <t>dcd39fc1-dde6-48c5-836a-ef95d016a633</t>
  </si>
  <si>
    <t>2019-10-17T09:36:01</t>
  </si>
  <si>
    <t>2019-10-17T15:08:38.000+06:30</t>
  </si>
  <si>
    <t>Sample with MO1191, Red Colony Count: Undiluted volume tested 100 ml - 00</t>
  </si>
  <si>
    <t>2019-10-17T15:10:08.000+06:30</t>
  </si>
  <si>
    <t>62659e36-5f4b-464b-8017-6af24b8a0621</t>
  </si>
  <si>
    <t>2020-02-26T07:10:37</t>
  </si>
  <si>
    <t>f0bcf7c3-c0ac-45dd-ab89-b9da37905ff6</t>
  </si>
  <si>
    <t>2020-02-26T12:45:57.000+06:30</t>
  </si>
  <si>
    <t>2019-12-02T07:15:15</t>
  </si>
  <si>
    <t>32fd3051-c767-47b5-8dd1-5f9dae3f2d67</t>
  </si>
  <si>
    <t>2019-10-17T09:37:31</t>
  </si>
  <si>
    <t>2019-12-02T12:49:57.000-07:00</t>
  </si>
  <si>
    <t>2019-10-17T15:19:02.000+06:30</t>
  </si>
  <si>
    <t>e6029aec-3dd6-43e9-8db4-5da125a2d299</t>
  </si>
  <si>
    <t>Sample with MO1192, Red Colony Count: Undiluted volume tested 100 ml - 00</t>
  </si>
  <si>
    <t>2019-10-17T09:46:26</t>
  </si>
  <si>
    <t>2019-10-21T12:55:47.000+06:30</t>
  </si>
  <si>
    <t>9f2ca408-fdca-4abf-a544-faca22ea3f88</t>
  </si>
  <si>
    <t>2020-02-26T07:11:50</t>
  </si>
  <si>
    <t>2019-10-21T12:57:18.000+06:30</t>
  </si>
  <si>
    <t>2020-02-26T12:47:18.000+06:30</t>
  </si>
  <si>
    <t>Associated Sample FPa1006, FPb1006, FPc1006, FPd1006, FPe1006</t>
  </si>
  <si>
    <t>2019-10-17T12:00:00.000+06:30</t>
  </si>
  <si>
    <t>d120db2e-ce19-43bf-a460-ba28f21af506</t>
  </si>
  <si>
    <t>2019-12-02T07:17:09</t>
  </si>
  <si>
    <t>2019-12-02T12:49:58.000-07:00</t>
  </si>
  <si>
    <t>492d6670-bed0-47d4-bc5d-0c897d6be015</t>
  </si>
  <si>
    <t>2019-10-21T07:24:38</t>
  </si>
  <si>
    <t>2019-12-02T12:51:55.000-07:00</t>
  </si>
  <si>
    <t>2019-10-21T12:58:53.000+06:30</t>
  </si>
  <si>
    <t>ead19ebc-9ded-4aea-b1e0-883322bcb6eb</t>
  </si>
  <si>
    <t>2019-10-21T07:26:13</t>
  </si>
  <si>
    <t>c534e1ca-0fee-4b39-b449-7f28a83d8d0e</t>
  </si>
  <si>
    <t>2020-02-26T07:13:11</t>
  </si>
  <si>
    <t>2019-10-21T12:59:29.000+06:30</t>
  </si>
  <si>
    <t>2020-02-26T12:49:29.000+06:30</t>
  </si>
  <si>
    <t>2020-02-24T13:41:00.000+06:30</t>
  </si>
  <si>
    <t>2020-02-24T15:15:00.000+06:30</t>
  </si>
  <si>
    <t>2020-02-24T15:45:00.000+06:30</t>
  </si>
  <si>
    <t>2020-02-25T01:54:00.000+06:30</t>
  </si>
  <si>
    <t>afe8f3af-bae7-405c-96c1-cd1cde58162b</t>
  </si>
  <si>
    <t>2019-10-21T07:26:48</t>
  </si>
  <si>
    <t>a29f35d7-7ff4-48d7-b74b-481ad151978c</t>
  </si>
  <si>
    <t>2019-12-02T07:19:06</t>
  </si>
  <si>
    <t>2019-12-02T12:51:56.000-07:00</t>
  </si>
  <si>
    <t>2019-10-21T13:00:20.000+06:30</t>
  </si>
  <si>
    <t>2019-12-02T12:53:45.000-07:00</t>
  </si>
  <si>
    <t>Red colony count: 1:10^3 - 71; 1:10^4 - 38; 1:10^5 - 00, Each sample vol tested 1ml</t>
  </si>
  <si>
    <t>94964f05-2ea8-410f-b516-7414ca8723b0</t>
  </si>
  <si>
    <t>2019-11-29T15:10:00.000-07:00</t>
  </si>
  <si>
    <t>2020-02-26T07:15:22</t>
  </si>
  <si>
    <t>2019-11-30T16:30:00.000-07:00</t>
  </si>
  <si>
    <t>8d2f2e83-2eb9-4d86-80b8-551eebd9e82c</t>
  </si>
  <si>
    <t>2019-10-21T07:27:39</t>
  </si>
  <si>
    <t>2020-02-26T12:51:50.000+06:30</t>
  </si>
  <si>
    <t>2019-10-21T13:01:08.000+06:30</t>
  </si>
  <si>
    <t>2020-02-25T15:45:00.000+06:30</t>
  </si>
  <si>
    <t>fb64b29a-957e-44b0-83c7-24fbf3bfe608</t>
  </si>
  <si>
    <t>2019-10-21T07:28:27</t>
  </si>
  <si>
    <t>2019-10-21T13:01:55.000+06:30</t>
  </si>
  <si>
    <t>Sample with PLc1207, Red Colony Count: Undiluted volume tested 100 ml - 00</t>
  </si>
  <si>
    <t>a4676fa7-73ac-4958-80e1-9985692b5a9c</t>
  </si>
  <si>
    <t>2019-10-21T07:29:14</t>
  </si>
  <si>
    <t>bd99df2f-105c-435b-92c4-c42b5f771696</t>
  </si>
  <si>
    <t>2020-02-26T07:17:44</t>
  </si>
  <si>
    <t>2020-03-16T11:07:02.000+06:30</t>
  </si>
  <si>
    <t>2019-10-21T13:03:47.000+06:30</t>
  </si>
  <si>
    <t>0508d342-4786-4174-861c-b91eacbf2773</t>
  </si>
  <si>
    <t>2019-12-02T07:20:57</t>
  </si>
  <si>
    <t>2019-12-02T12:53:46.000-07:00</t>
  </si>
  <si>
    <t>2019-12-02T12:56:05.000-07:00</t>
  </si>
  <si>
    <t>ccb67e36-b9ba-40d1-a378-9e0025b01036</t>
  </si>
  <si>
    <t>2019-10-21T07:31:07</t>
  </si>
  <si>
    <t>2019-10-22T11:01:00.000+06:30</t>
  </si>
  <si>
    <t>2019-10-22T11:08:56.000+06:30</t>
  </si>
  <si>
    <t>445ee378-51e8-40e3-b0c9-31d4ec4aeaaa</t>
  </si>
  <si>
    <t>2020-03-16T11:09:25.000+06:30</t>
  </si>
  <si>
    <t>2019-10-22T05:36:15</t>
  </si>
  <si>
    <t>2019-10-22T11:10:39.000+06:30</t>
  </si>
  <si>
    <t>8033c03f-5be9-4a51-9647-8d4264cc36c1</t>
  </si>
  <si>
    <t>2019-10-22T05:37:58</t>
  </si>
  <si>
    <t>Red colony count: 1:10^3 -TNTC; 1:10^4 - 63; 1:10^5 - 09, Each sample vol tested 1ml</t>
  </si>
  <si>
    <t>WG5 1ml plaque count - CL, MSA 1:10^4 - 13 vol. 1ml.</t>
  </si>
  <si>
    <t>db10fdde-4dbb-44c2-ae7d-8ecdd2a7fbde</t>
  </si>
  <si>
    <t>becc687a-1b94-4196-875a-50e0ebd14622</t>
  </si>
  <si>
    <t>2020-03-16T05:35:02</t>
  </si>
  <si>
    <t>2019-10-22T11:14:28.000+06:30</t>
  </si>
  <si>
    <t>2019-12-02T07:23:16</t>
  </si>
  <si>
    <t>2019-12-02T12:58:10.000-07:00</t>
  </si>
  <si>
    <t>2020-03-16T11:10:31.000+06:30</t>
  </si>
  <si>
    <t>2019-10-21T12:30:00.000+06:30</t>
  </si>
  <si>
    <t>WITH PL1037FL</t>
  </si>
  <si>
    <t>75192a5c-82cd-4d8e-9dc7-c6f20b1cee1a</t>
  </si>
  <si>
    <t>2019-10-22T05:41:47</t>
  </si>
  <si>
    <t>Sample with PLc1208, Red Colony Count: Undiluted volume tested 100 ml - 00</t>
  </si>
  <si>
    <t>2019-10-22T11:16:22.000+06:30</t>
  </si>
  <si>
    <t>124179a7-4486-4dad-bc9d-023c5ed60442</t>
  </si>
  <si>
    <t>2020-03-16T05:36:06</t>
  </si>
  <si>
    <t>2020-03-16T11:11:59.000+06:30</t>
  </si>
  <si>
    <t>0d1126e1-466e-4130-abb8-27af6a0b53fe</t>
  </si>
  <si>
    <t>2019-10-22T05:43:41</t>
  </si>
  <si>
    <t>MSA 1:10^4 - 3 vol. 1ml.</t>
  </si>
  <si>
    <t>2019-10-22T11:17:07.000+06:30</t>
  </si>
  <si>
    <t>f3beeee9-2086-4d21-853e-e857c947ae23</t>
  </si>
  <si>
    <t>2019-12-02T07:25:20</t>
  </si>
  <si>
    <t>Red colony count: 1:10^3 -72; 1:10^4 - 02; 1:10^5 - 00, Each sample vol tested 1ml</t>
  </si>
  <si>
    <t>2019-12-02T13:00:07.000-07:00</t>
  </si>
  <si>
    <t>67360bbb-32a8-4b2a-a3ee-462788c7a102</t>
  </si>
  <si>
    <t>2020-03-16T05:37:34</t>
  </si>
  <si>
    <t>78165b0f-37cc-402f-8c61-6ec4d86ab288</t>
  </si>
  <si>
    <t>2019-10-22T05:44:25</t>
  </si>
  <si>
    <t>2020-03-16T11:13:01.000+06:30</t>
  </si>
  <si>
    <t>2019-10-22T11:18:09.000+06:30</t>
  </si>
  <si>
    <t>Sample with PLc1209, Red Colony Count: Undiluted volume tested 100 ml - 00</t>
  </si>
  <si>
    <t>16a0c767-1cd8-457e-8845-01fc6238c68b</t>
  </si>
  <si>
    <t>WITH PLc1038FL</t>
  </si>
  <si>
    <t>2020-03-16T05:38:36</t>
  </si>
  <si>
    <t>8533162e-5c0d-40cb-9714-ab595d265774</t>
  </si>
  <si>
    <t>2019-10-22T05:45:27</t>
  </si>
  <si>
    <t>2020-03-16T11:14:27.000+06:30</t>
  </si>
  <si>
    <t>2019-10-22T11:19:14.000+06:30</t>
  </si>
  <si>
    <t>2020-02-25T16:00:00.000+06:30</t>
  </si>
  <si>
    <t>Red colony count: 1:10^3 -TNTC; 1:10^4 - 20; 1:10^5 - 11, Each sample vol tested 1ml</t>
  </si>
  <si>
    <t>3d87ba8b-cb57-4c3b-9eb2-d318eaecef1c</t>
  </si>
  <si>
    <t>2019-10-22T05:46:32</t>
  </si>
  <si>
    <t>e8d4ce29-785c-4f05-a72c-44772ec7379c</t>
  </si>
  <si>
    <t>2020-03-16T05:40:03</t>
  </si>
  <si>
    <t>2019-10-22T11:30:27.000+06:30</t>
  </si>
  <si>
    <t>a5ba458a-0d6f-4011-9654-e19cf6887797</t>
  </si>
  <si>
    <t>2019-12-02T07:27:18</t>
  </si>
  <si>
    <t>2019-10-22T11:31:09.000+06:30</t>
  </si>
  <si>
    <t>2020-03-16T11:15:29.000+06:30</t>
  </si>
  <si>
    <t>2019-12-02T13:00:08.000-07:00</t>
  </si>
  <si>
    <t>2019-12-02T13:02:20.000-07:00</t>
  </si>
  <si>
    <t>Sample with PLc1210, Red Colony Count: Undiluted volume tested 100 ml - 00</t>
  </si>
  <si>
    <t>498a3807-fc3f-4710-8344-7c61609cbd8f</t>
  </si>
  <si>
    <t>2019-10-22T05:58:27</t>
  </si>
  <si>
    <t>729e4de6-bcb7-4514-baab-cc6efae35d40</t>
  </si>
  <si>
    <t>2019-10-22T11:42:01.000+06:30</t>
  </si>
  <si>
    <t>2020-03-16T05:41:05</t>
  </si>
  <si>
    <t>2019-10-22T11:43:53.000+06:30</t>
  </si>
  <si>
    <t>2020-03-16T11:19:30.000+06:30</t>
  </si>
  <si>
    <t>67a036fa-34a5-4df0-b355-9f02f64bcac4</t>
  </si>
  <si>
    <t>2019-10-22T06:11:12</t>
  </si>
  <si>
    <t>Red colony count: 1:10^3 -TNTC; 1:10^4 - 35; 1:10^5 - 07, Each sample vol tested 1ml</t>
  </si>
  <si>
    <t>2019-10-22T11:45:07.000+06:30</t>
  </si>
  <si>
    <t>7fbc13ca-ba43-4fad-a1ee-1330aeb97f4a</t>
  </si>
  <si>
    <t>2020-03-16T05:45:07</t>
  </si>
  <si>
    <t>2020-03-16T11:20:37.000+06:30</t>
  </si>
  <si>
    <t>d70d8748-eb7c-47db-bc7c-d3129855ac7f</t>
  </si>
  <si>
    <t>2019-10-22T06:12:26</t>
  </si>
  <si>
    <t>2019-10-22T11:45:55.000+06:30</t>
  </si>
  <si>
    <t>Sample with PLc1211, Red Colony Count: Undiluted volume tested 100 ml - 00</t>
  </si>
  <si>
    <t>d9c50dd8-d9ff-4fa6-bbd3-aa9aaa664c8c</t>
  </si>
  <si>
    <t>2020-03-16T05:46:13</t>
  </si>
  <si>
    <t>MSA 1:10^4 - 43 vol. 1ml.</t>
  </si>
  <si>
    <t>2020-03-16T11:21:35.000+06:30</t>
  </si>
  <si>
    <t>d6de59c4-7d50-420c-9d95-367c49cf73bc</t>
  </si>
  <si>
    <t>2019-10-22T06:13:13</t>
  </si>
  <si>
    <t>f0fea739-34f3-40b6-83b2-6c835cbb47ec</t>
  </si>
  <si>
    <t>2019-12-02T07:29:32</t>
  </si>
  <si>
    <t>2019-12-02T13:02:21.000-07:00</t>
  </si>
  <si>
    <t>2019-10-22T11:46:24.000+06:30</t>
  </si>
  <si>
    <t>2019-12-02T13:06:03.000-07:00</t>
  </si>
  <si>
    <t>2760d473-b466-40b6-b6f9-328f1f470eec</t>
  </si>
  <si>
    <t>2020-03-16T05:47:12</t>
  </si>
  <si>
    <t>2020-03-16T11:21:36.000+06:30</t>
  </si>
  <si>
    <t>4b510e59-0161-40a4-8b93-9ee194e17f2a</t>
  </si>
  <si>
    <t>2020-03-16T11:23:47.000+06:30</t>
  </si>
  <si>
    <t>2019-10-22T06:13:42</t>
  </si>
  <si>
    <t>2020-02-25T14:45:00.000+06:30</t>
  </si>
  <si>
    <t>2020-02-25T15:00:00.000+06:30</t>
  </si>
  <si>
    <t>2020-02-26T15:45:00.000+06:30</t>
  </si>
  <si>
    <t>2019-10-22T11:47:05.000+06:30</t>
  </si>
  <si>
    <t>Red colony count: Undiluted 100ml - 0, Undiluted 10ml - 0</t>
  </si>
  <si>
    <t>7facf865-85ce-455d-b5eb-17a95c2ebab2</t>
  </si>
  <si>
    <t>2020-03-16T05:49:24</t>
  </si>
  <si>
    <t>1ef35de3-d67a-4894-8087-909bc1be182b</t>
  </si>
  <si>
    <t>2019-10-22T06:14:23</t>
  </si>
  <si>
    <t>2020-03-16T11:24:54.000+06:30</t>
  </si>
  <si>
    <t>478e4aaf-aaa6-4c76-96d0-fed93f337332</t>
  </si>
  <si>
    <t>2019-10-22T11:47:32.000+06:30</t>
  </si>
  <si>
    <t>2019-12-02T07:33:14</t>
  </si>
  <si>
    <t>2019-12-02T13:06:04.000-07:00</t>
  </si>
  <si>
    <t>2019-12-02T13:06:58.000-07:00</t>
  </si>
  <si>
    <t>Sample with DWa2001, Red Colony Count: Undiluted volume tested 100 ml - 00</t>
  </si>
  <si>
    <t>a5decc1f-499f-4ef9-b610-70084750c986</t>
  </si>
  <si>
    <t>7639f3d0-ca93-416c-a9cb-e1b70158c672</t>
  </si>
  <si>
    <t>2019-10-22T06:14:51</t>
  </si>
  <si>
    <t>2020-03-16T05:50:29</t>
  </si>
  <si>
    <t>2019-10-22T11:47:33.000+06:30</t>
  </si>
  <si>
    <t>2019-10-22T11:48:02.000+06:30</t>
  </si>
  <si>
    <t>2020-03-16T11:26:25.000+06:30</t>
  </si>
  <si>
    <t>4a8e5b2a-b50f-4c75-9d8d-33a30418e6dc</t>
  </si>
  <si>
    <t>2019-10-22T06:15:20</t>
  </si>
  <si>
    <t>Red colony count: 1:10^3 -24; 1:10^4 - 3; 1:10^5 - 01, Each sample vol tested 1ml</t>
  </si>
  <si>
    <t>4e2373f2-b495-43bc-9bb9-b46ccc617d60</t>
  </si>
  <si>
    <t>2020-03-16T05:52:02</t>
  </si>
  <si>
    <t>677e4fbd-600d-4793-8a01-a5f8aaaa3297</t>
  </si>
  <si>
    <t>2019-12-02T07:34:11</t>
  </si>
  <si>
    <t>2019-10-22T11:48:29.000+06:30</t>
  </si>
  <si>
    <t>2019-12-06T11:27:55.000-07:00</t>
  </si>
  <si>
    <t>2020-03-16T11:28:12.000+06:30</t>
  </si>
  <si>
    <t>2019-12-06T12:01:04.000-07:00</t>
  </si>
  <si>
    <t>e11e5761-f7bb-4b02-bed4-562283e8b4ec</t>
  </si>
  <si>
    <t>2019-10-22T06:15:47</t>
  </si>
  <si>
    <t>2019-10-24T11:49:40.000+06:30</t>
  </si>
  <si>
    <t>Red colony count: 1:10^1 - 6; 1:10^2 - 3; 1:10^3 - 0, Each sample vol tested 1ml</t>
  </si>
  <si>
    <t>2019-10-24T11:50:50.000+06:30</t>
  </si>
  <si>
    <t>903b1588-95f8-486e-a3fe-2e8a51ae0bbb</t>
  </si>
  <si>
    <t>2020-03-16T05:53:48</t>
  </si>
  <si>
    <t>2020-03-16T11:29:13.000+06:30</t>
  </si>
  <si>
    <t>vZuNQT2A5qaSmAjh3k5sZF</t>
  </si>
  <si>
    <t>0ff105dc-e6eb-4083-84b0-1a4567a1b10b</t>
  </si>
  <si>
    <t>2019-10-24T06:18:07</t>
  </si>
  <si>
    <t>Sample with SF2003, Red Colony Count: Undiluted volume tested 100 ml - 00</t>
  </si>
  <si>
    <t>2019-10-24T11:51:32.000+06:30</t>
  </si>
  <si>
    <t>fcc5350a-4722-4d51-a2b6-24367f120f81</t>
  </si>
  <si>
    <t>2020-03-16T05:54:50</t>
  </si>
  <si>
    <t>2020-03-16T11:29:14.000+06:30</t>
  </si>
  <si>
    <t>fc32ccce-1782-41f5-8e0c-04d51d8793cf</t>
  </si>
  <si>
    <t>2019-12-06T06:28:12</t>
  </si>
  <si>
    <t>2020-03-16T11:30:15.000+06:30</t>
  </si>
  <si>
    <t>2019-12-06T12:03:43.000-07:00</t>
  </si>
  <si>
    <t>5dcb4c5c-c54b-41d5-b3be-8f613fcc6df1</t>
  </si>
  <si>
    <t>2019-10-24T06:18:49</t>
  </si>
  <si>
    <t>2019-10-24T11:51:33.000+06:30</t>
  </si>
  <si>
    <t>66d65860-56b7-4735-afd8-5e794e396893</t>
  </si>
  <si>
    <t>2020-03-16T05:55:51</t>
  </si>
  <si>
    <t>2020-03-16T11:30:16.000+06:30</t>
  </si>
  <si>
    <t>2019-10-24T11:52:06.000+06:30</t>
  </si>
  <si>
    <t>2020-03-16T11:32:14.000+06:30</t>
  </si>
  <si>
    <t>66d5aaf4-2842-4525-9df6-bf9750cda869</t>
  </si>
  <si>
    <t>2019-10-24T06:19:25</t>
  </si>
  <si>
    <t>2019-10-24T11:52:43.000+06:30</t>
  </si>
  <si>
    <t>Red colony count: 1:10^3 -84; 1:10^4 - 19; 1:10^5 - 01, Each sample vol tested 1ml</t>
  </si>
  <si>
    <t>957c8657-f327-4970-a1e5-63ba5f557656</t>
  </si>
  <si>
    <t>2020-03-16T05:57:51</t>
  </si>
  <si>
    <t>MSA 1:10^4 - 20 vol. 1ml., WG5 1ml and 100 µl plaque count - CL</t>
  </si>
  <si>
    <t>acaea3dc-2a71-4113-9c43-ec3dd4c22e00</t>
  </si>
  <si>
    <t>2020-03-16T11:35:24.000+06:30</t>
  </si>
  <si>
    <t>2019-12-06T06:30:50</t>
  </si>
  <si>
    <t>64e48b49-4431-442b-a301-d8fee30fe96b</t>
  </si>
  <si>
    <t>2019-10-24T06:19:59</t>
  </si>
  <si>
    <t>2020-02-26T14:00:00.000+06:30</t>
  </si>
  <si>
    <t>2020-02-26T15:00:00.000+06:30</t>
  </si>
  <si>
    <t>2020-02-26T15:41:00.000+06:30</t>
  </si>
  <si>
    <t>2019-12-06T12:05:32.000-07:00</t>
  </si>
  <si>
    <t>2020-02-27T15:41:00.000+06:30</t>
  </si>
  <si>
    <t>2019-10-24T11:53:32.000+06:30</t>
  </si>
  <si>
    <t>Red colony count: 1:10^3 -98; 1:10^4 - 13; 1:10^5 - 02, Each sample vol tested 1ml</t>
  </si>
  <si>
    <t>d7d6f21e-76f8-4f98-8b13-546a23ab4cc1</t>
  </si>
  <si>
    <t>2020-03-16T06:01:01</t>
  </si>
  <si>
    <t>371af822-6f4d-444b-8c61-212998823d36</t>
  </si>
  <si>
    <t>2019-10-24T06:20:49</t>
  </si>
  <si>
    <t>2020-03-16T11:36:43.000+06:30</t>
  </si>
  <si>
    <t>2019-10-24T11:54:07.000+06:30</t>
  </si>
  <si>
    <t>Red colony count: 1:10^3 -13; 1:10^4 - 1; 1:10^5 - 00, Each sample vol tested 1ml</t>
  </si>
  <si>
    <t>191a17a8-458a-4de6-9d5f-3630f6601990</t>
  </si>
  <si>
    <t>f1afdd27-11be-4364-8928-4f9db02bc3a5</t>
  </si>
  <si>
    <t>2020-03-16T06:02:20</t>
  </si>
  <si>
    <t>2019-12-06T06:32:40</t>
  </si>
  <si>
    <t>e2f13234-afe0-4368-871c-a917bfca0943</t>
  </si>
  <si>
    <t>2019-10-24T06:21:23</t>
  </si>
  <si>
    <t>2020-03-16T11:36:44.000+06:30</t>
  </si>
  <si>
    <t>2019-12-06T12:07:23.000-07:00</t>
  </si>
  <si>
    <t>2020-03-16T11:38:11.000+06:30</t>
  </si>
  <si>
    <t>2019-10-24T11:54:37.000+06:30</t>
  </si>
  <si>
    <t>Sample with PL1028, Red Colony Count: Undiluted volume tested 100 ml - 00</t>
  </si>
  <si>
    <t>dfe7a7e9-e72e-4420-993c-278bcf5592cc</t>
  </si>
  <si>
    <t>2020-03-16T06:03:48</t>
  </si>
  <si>
    <t>e03094d4-b007-4f47-a03b-5dfa41006284</t>
  </si>
  <si>
    <t>2020-03-16T11:39:11.000+06:30</t>
  </si>
  <si>
    <t>2019-10-24T06:21:48</t>
  </si>
  <si>
    <t>2019-10-24T11:55:35.000+06:30</t>
  </si>
  <si>
    <t>Sample with PL1029, Red Colony Count: Undiluted volume tested 100 ml - 00</t>
  </si>
  <si>
    <t>608ca2d2-8318-42a2-8ced-bc5a8cd56c7e</t>
  </si>
  <si>
    <t>2020-03-16T06:04:47</t>
  </si>
  <si>
    <t>44b70b65-0c25-4f51-9314-be2d0a45d240</t>
  </si>
  <si>
    <t>2019-12-06T06:34:31</t>
  </si>
  <si>
    <t>2020-03-16T11:40:07.000+06:30</t>
  </si>
  <si>
    <t>67960eb6-cf49-4c3b-bf34-1ac1a53a4b1a</t>
  </si>
  <si>
    <t>2019-12-06T12:08:56.000-07:00</t>
  </si>
  <si>
    <t>2019-10-24T06:22:52</t>
  </si>
  <si>
    <t>2019-10-24T11:55:36.000+06:30</t>
  </si>
  <si>
    <t>2019-10-24T11:56:11.000+06:30</t>
  </si>
  <si>
    <t>bfb62e6f-cdcd-42fb-b252-c4863ee327d1</t>
  </si>
  <si>
    <t>2020-03-16T06:05:43</t>
  </si>
  <si>
    <t>2020-03-16T11:41:42.000+06:30</t>
  </si>
  <si>
    <t>032d8f54-a76c-4b30-a2b9-bd8cf2ab382d</t>
  </si>
  <si>
    <t>2019-10-24T06:23:27</t>
  </si>
  <si>
    <t>2020-02-27T13:50:00.000+06:30</t>
  </si>
  <si>
    <t>2020-02-27T14:10:00.000+06:30</t>
  </si>
  <si>
    <t>2020-02-27T15:00:00.000+06:30</t>
  </si>
  <si>
    <t>2020-02-28T15:00:00.000+06:30</t>
  </si>
  <si>
    <t>2019-10-24T11:56:37.000+06:30</t>
  </si>
  <si>
    <t>Red colony count: 1:10^3 -TNTC; 1:10^4 - 6; 1:10^5 - 3, Each sample vol tested 1ml</t>
  </si>
  <si>
    <t>c1bd83e8-960b-4db7-8cd1-b33f5c983681</t>
  </si>
  <si>
    <t>2020-03-16T06:07:19</t>
  </si>
  <si>
    <t>2020-03-16T11:41:43.000+06:30</t>
  </si>
  <si>
    <t>2020-03-16T11:42:47.000+06:30</t>
  </si>
  <si>
    <t>3d1e6d7a-70b8-4d37-ae9f-e5739ecc8737</t>
  </si>
  <si>
    <t>2019-10-24T06:23:53</t>
  </si>
  <si>
    <t>2019-10-24T11:57:26.000+06:30</t>
  </si>
  <si>
    <t>Sample with PLc1212, Red Colony Count: Undiluted volume tested 100 ml - 00</t>
  </si>
  <si>
    <t>35784c7c-1838-4f10-b180-07ae44287ac7</t>
  </si>
  <si>
    <t>2019-12-06T06:36:05</t>
  </si>
  <si>
    <t>e271781e-6f89-47a8-a0d0-0462b5e73d69</t>
  </si>
  <si>
    <t>2020-03-16T06:08:24</t>
  </si>
  <si>
    <t>2019-12-06T12:10:48.000-07:00</t>
  </si>
  <si>
    <t>2020-03-16T11:44:09.000+06:30</t>
  </si>
  <si>
    <t>2326ce21-2a3e-4953-9d27-0b2f283d41d6</t>
  </si>
  <si>
    <t>2019-10-24T06:24:43</t>
  </si>
  <si>
    <t>2019-10-24T11:58:07.000+06:30</t>
  </si>
  <si>
    <t>Red colony count: 1:10^3 -106; 1:10^4 - 12; 1:10^5 - 01, Each sample vol tested 1ml</t>
  </si>
  <si>
    <t>2513a001-a854-47cc-8b3a-d666a7a219f0</t>
  </si>
  <si>
    <t>b56ffed3-4dca-4517-aa49-137f64417ae6</t>
  </si>
  <si>
    <t>2020-03-16T06:09:46</t>
  </si>
  <si>
    <t>2019-10-24T06:25:23</t>
  </si>
  <si>
    <t>2020-03-16T11:44:10.000+06:30</t>
  </si>
  <si>
    <t>2020-03-16T11:45:07.000+06:30</t>
  </si>
  <si>
    <t>2019-10-24T11:58:38.000+06:30</t>
  </si>
  <si>
    <t>Sample with PLc1213, Red Colony Count: Undiluted volume tested 100 ml - 00</t>
  </si>
  <si>
    <t>2019-10-23T03:00:00.000+06:30</t>
  </si>
  <si>
    <t>5f35d713-caab-460b-b6a3-a7fe1376439a</t>
  </si>
  <si>
    <t>2020-03-16T06:10:43</t>
  </si>
  <si>
    <t>bc42250c-9a3a-481b-87fb-a77330d60240</t>
  </si>
  <si>
    <t>2020-03-16T11:45:08.000+06:30</t>
  </si>
  <si>
    <t>2019-10-24T06:25:56</t>
  </si>
  <si>
    <t>2020-03-16T11:46:30.000+06:30</t>
  </si>
  <si>
    <t>2019-10-24T11:59:25.000+06:30</t>
  </si>
  <si>
    <t>WG5 1ml and 100µl plaque count - CL</t>
  </si>
  <si>
    <t>08561c84-075e-4fe3-89bf-6c64b74b8d4d</t>
  </si>
  <si>
    <t>2019-12-06T06:37:57</t>
  </si>
  <si>
    <t>2019-12-06T12:10:49.000-07:00</t>
  </si>
  <si>
    <t>Red colony count: 1:10^3 -21; 1:10^4 - 00; 1:10^5 - 00, Each sample vol tested 1ml</t>
  </si>
  <si>
    <t>71e5fabc-f6f2-43f9-8ce2-a7790e44bf1d</t>
  </si>
  <si>
    <t>2019-10-24T06:26:42</t>
  </si>
  <si>
    <t>2019-12-06T12:19:13.000-07:00</t>
  </si>
  <si>
    <t>9ab51e14-9dbc-402b-b763-d9859345541e</t>
  </si>
  <si>
    <t>2020-03-16T06:12:07</t>
  </si>
  <si>
    <t>2019-10-24T11:59:26.000+06:30</t>
  </si>
  <si>
    <t>2020-03-16T11:46:31.000+06:30</t>
  </si>
  <si>
    <t>2019-10-24T12:00:03.000+06:30</t>
  </si>
  <si>
    <t>2020-03-16T11:47:27.000+06:30</t>
  </si>
  <si>
    <t>Sample with PLc1214, Red Colony Count: Undiluted volume tested 100 ml - 00</t>
  </si>
  <si>
    <t>e3baee9f-11b2-44a3-970c-f01586aabeb3</t>
  </si>
  <si>
    <t>2020-03-16T06:13:04</t>
  </si>
  <si>
    <t>899e7e6a-61d5-4642-acf8-467a2774ba67</t>
  </si>
  <si>
    <t>2019-10-24T06:27:20</t>
  </si>
  <si>
    <t>2019-10-24T12:00:33.000+06:30</t>
  </si>
  <si>
    <t>2020-03-16T11:48:51.000+06:30</t>
  </si>
  <si>
    <t>66dff5b0-1177-4de3-9e93-72848a59dd53</t>
  </si>
  <si>
    <t>2019-10-24T06:27:49</t>
  </si>
  <si>
    <t>Red colony count: 1:10^1 -651; 1:10^2 - 3; 1:10^3 - 0, Each sample vol tested 1ml</t>
  </si>
  <si>
    <t>e4443b6a-28fe-4027-868a-8e1cd1f92d91</t>
  </si>
  <si>
    <t>2020-03-16T06:14:29</t>
  </si>
  <si>
    <t>2020-03-16T11:48:52.000+06:30</t>
  </si>
  <si>
    <t>cac2ddfe-5a68-4e2a-9ed3-950660aed95d</t>
  </si>
  <si>
    <t>2019-12-06T06:46:21</t>
  </si>
  <si>
    <t>2019-10-24T12:01:07.000+06:30</t>
  </si>
  <si>
    <t>2020-03-16T11:50:43.000+06:30</t>
  </si>
  <si>
    <t>2019-12-06T12:20:10.000-07:00</t>
  </si>
  <si>
    <t>124-21</t>
  </si>
  <si>
    <t>3de92101-4edb-4302-adcd-3f2b96bd65b0</t>
  </si>
  <si>
    <t>2019-10-24T06:28:24</t>
  </si>
  <si>
    <t>2019-10-25T16:45:09.000+06:30</t>
  </si>
  <si>
    <t>Red colony count: Undiluted 100ml - 3, Undiluted 10ml - 0, 1:10^1 - 0, sample vol tested 1ml</t>
  </si>
  <si>
    <t>2019-10-25T16:47:42.000+06:30</t>
  </si>
  <si>
    <t>67a18710-fab4-4b60-9e1e-96835fc0f0b3</t>
  </si>
  <si>
    <t>2020-03-16T06:16:20</t>
  </si>
  <si>
    <t>2020-03-16T11:50:44.000+06:30</t>
  </si>
  <si>
    <t>2020-03-16T11:52:18.000+06:30</t>
  </si>
  <si>
    <t>SAMPLE WITH FB1082</t>
  </si>
  <si>
    <t>e47445e5-b449-4f31-8127-272aba9c90ad</t>
  </si>
  <si>
    <t>2019-10-25T11:14:59</t>
  </si>
  <si>
    <t>2019-10-25T16:57:20.000+06:30</t>
  </si>
  <si>
    <t>2019-10-25T16:58:46.000+06:30</t>
  </si>
  <si>
    <t>Red colony count: 1:10^1 - TNTC; 1:10^2 - 21; 1:10^3 - 00, Each sample vol tested 1ml</t>
  </si>
  <si>
    <t>f4a8a8ce-f797-4d2a-8487-dcbac407ee95</t>
  </si>
  <si>
    <t>2020-03-16T06:17:55</t>
  </si>
  <si>
    <t>2020-03-16T11:52:19.000+06:30</t>
  </si>
  <si>
    <t>FB1082&amp;FB1082UP SAMPLE WITH MO1104</t>
  </si>
  <si>
    <t>2020-03-16T11:53:52.000+06:30</t>
  </si>
  <si>
    <t>c638534b-86de-48b8-80bb-7b58a3b09abf</t>
  </si>
  <si>
    <t>2019-10-25T11:26:03</t>
  </si>
  <si>
    <t>2019-10-25T17:00:03.000+06:30</t>
  </si>
  <si>
    <t>Red colony count: Undiluted 100ml - 1, Undiluted 10ml - 0, 1:10^1 - 0, sample vol tested 1ml</t>
  </si>
  <si>
    <t>fb181489-5d9a-4134-bc23-96a6b08a0313</t>
  </si>
  <si>
    <t>2019-12-06T06:47:17</t>
  </si>
  <si>
    <t>490014a2-97cf-4ba6-a4aa-e4886e40c5a7</t>
  </si>
  <si>
    <t>2020-03-16T06:19:29</t>
  </si>
  <si>
    <t>SAMPLE WITH FB1083</t>
  </si>
  <si>
    <t>2019-12-11T11:31:21.000-07:00</t>
  </si>
  <si>
    <t>0200f6b3-01ed-409e-996d-310ca4f27f89</t>
  </si>
  <si>
    <t>2019-10-25T11:27:20</t>
  </si>
  <si>
    <t>2020-03-16T11:55:18.000+06:30</t>
  </si>
  <si>
    <t>2019-12-11T11:41:41.000-07:00</t>
  </si>
  <si>
    <t>2019-10-25T17:01:16.000+06:30</t>
  </si>
  <si>
    <t>2019-12-06T16:00:00.000-07:00</t>
  </si>
  <si>
    <t>2019-12-07T16:00:00.000-07:00</t>
  </si>
  <si>
    <t>Red colony count: Undiluted 100ml - 2, Undiluted 10ml - 1, 1:10^1 - 0, sample vol tested 1ml</t>
  </si>
  <si>
    <t>3b19c93a-a5ac-4c18-910b-3fe5280a44ec</t>
  </si>
  <si>
    <t>FB1083&amp;FB1083up sample with MO1105</t>
  </si>
  <si>
    <t>2020-03-16T06:20:54</t>
  </si>
  <si>
    <t>cac7f97d-3091-4bb8-8c76-30ba132eec64</t>
  </si>
  <si>
    <t>2019-10-25T11:28:32</t>
  </si>
  <si>
    <t>2020-03-16T11:56:51.000+06:30</t>
  </si>
  <si>
    <t>2019-10-25T17:01:54.000+06:30</t>
  </si>
  <si>
    <t>Sample with FPa2005, FPb2005, FPc2005, FPd2005, FPe2005, Red Colony Count: Undiluted volume tested 100 ml - 00</t>
  </si>
  <si>
    <t>80a9cc9e-fb85-4b8d-89ec-cd95a6898c7c</t>
  </si>
  <si>
    <t>2020-03-16T06:22:28</t>
  </si>
  <si>
    <t>2020-03-16T11:56:52.000+06:30</t>
  </si>
  <si>
    <t>2020-03-16T11:57:50.000+06:30</t>
  </si>
  <si>
    <t>045f7a94-6a47-4e06-be90-b793f4f00a83</t>
  </si>
  <si>
    <t>2019-10-25T11:29:10</t>
  </si>
  <si>
    <t>645a220d-bd6f-4236-bd7b-a6484ba2448a</t>
  </si>
  <si>
    <t>2019-12-11T06:08:45</t>
  </si>
  <si>
    <t>2019-12-11T11:43:20.000-07:00</t>
  </si>
  <si>
    <t>2019-10-25T17:03:01.000+06:30</t>
  </si>
  <si>
    <t>97190edb-6df1-4795-8fdb-dc2c7839e034</t>
  </si>
  <si>
    <t>2020-03-16T06:23:26</t>
  </si>
  <si>
    <t>2020-03-16T11:58:57.000+06:30</t>
  </si>
  <si>
    <t>SAMPLE WITH FB1084</t>
  </si>
  <si>
    <t>2020-03-02T12:15:00.000+06:30</t>
  </si>
  <si>
    <t>81f9cd50-d4b9-4ebc-abef-1ed808144b12</t>
  </si>
  <si>
    <t>2020-03-02T14:10:00.000+06:30</t>
  </si>
  <si>
    <t>2019-10-25T11:30:17</t>
  </si>
  <si>
    <t>2020-03-02T15:00:00.000+06:30</t>
  </si>
  <si>
    <t>2020-03-03T15:00:00.000+06:30</t>
  </si>
  <si>
    <t>2019-10-25T17:04:16.000+06:30</t>
  </si>
  <si>
    <t>d6acd84e-74a1-4cc5-aacd-2febad2db8e1</t>
  </si>
  <si>
    <t>2020-03-16T06:24:34</t>
  </si>
  <si>
    <t>2020-03-16T11:58:58.000+06:30</t>
  </si>
  <si>
    <t>2020-03-16T12:00:26.000+06:30</t>
  </si>
  <si>
    <t>d0d3fa3b-28ea-4d96-a454-291e35ee254d</t>
  </si>
  <si>
    <t>2019-10-25T11:31:33</t>
  </si>
  <si>
    <t>088ecf01-75fa-4e9e-b5d5-e8835f0015d7</t>
  </si>
  <si>
    <t>2019-12-11T06:10:22</t>
  </si>
  <si>
    <t>2019-10-25T17:04:57.000+06:30</t>
  </si>
  <si>
    <t>2019-12-11T11:45:29.000-07:00</t>
  </si>
  <si>
    <t>Red colony count: 1:10^3 -TNTC; 1:10^4 - 56; 1:10^5 - 06, Each sample vol tested 1ml</t>
  </si>
  <si>
    <t>763cc7dd-6378-4703-bf3b-be326f61fe66</t>
  </si>
  <si>
    <t>2020-03-16T06:26:06</t>
  </si>
  <si>
    <t>2020-03-16T12:00:27.000+06:30</t>
  </si>
  <si>
    <t>0f722ae2-78ad-48f0-a5d3-99bcead0aad3</t>
  </si>
  <si>
    <t>2019-10-25T11:32:12</t>
  </si>
  <si>
    <t>2020-03-16T12:01:28.000+06:30</t>
  </si>
  <si>
    <t>2019-10-25T17:06:01.000+06:30</t>
  </si>
  <si>
    <t>Sample with PLc1215, Red Colony Count: Undiluted volume tested 100 ml - 00</t>
  </si>
  <si>
    <t>940e2cb9-d644-4a41-985a-f525386767c5</t>
  </si>
  <si>
    <t>162e55b0-737e-437e-a7d6-1a2ab9732d36</t>
  </si>
  <si>
    <t>2020-03-16T06:27:05</t>
  </si>
  <si>
    <t>2019-10-25T11:33:17</t>
  </si>
  <si>
    <t>2020-03-16T12:01:29.000+06:30</t>
  </si>
  <si>
    <t>2019-10-25T17:06:48.000+06:30</t>
  </si>
  <si>
    <t>2020-03-16T12:02:59.000+06:30</t>
  </si>
  <si>
    <t>WG5 1ml plaque count - CL, MSA 1:10^4 - 1 vol. 1ml.</t>
  </si>
  <si>
    <t>0c128f64-aa6c-43fb-b926-b9d1f8b4d745</t>
  </si>
  <si>
    <t>2019-10-25T11:34:04</t>
  </si>
  <si>
    <t>551ec773-48e8-41ab-94b2-7323ae4c76fb</t>
  </si>
  <si>
    <t>2019-12-11T06:12:32</t>
  </si>
  <si>
    <t>Red colony count: 1:10^3 -182; 1:10^4 - 55; 1:10^5 - 03, Each sample vol tested 1ml</t>
  </si>
  <si>
    <t>af06a204-fd12-46d5-aee3-9b51f737b2e1</t>
  </si>
  <si>
    <t>2019-10-25T17:09:01.000+06:30</t>
  </si>
  <si>
    <t>2019-12-11T11:47:25.000-07:00</t>
  </si>
  <si>
    <t>2020-03-16T06:28:37</t>
  </si>
  <si>
    <t>2020-03-16T12:03:00.000+06:30</t>
  </si>
  <si>
    <t>2020-03-16T12:03:56.000+06:30</t>
  </si>
  <si>
    <t>FB1084&amp;FB1084UP WITH SAMPLE( FPa1003,FPb1003,FPc1003,FPd1003,FPe1003)</t>
  </si>
  <si>
    <t>929e7385-83fa-4f40-a624-239ac894a41d</t>
  </si>
  <si>
    <t>2019-10-25T11:36:18</t>
  </si>
  <si>
    <t>2019-10-25T17:09:02.000+06:30</t>
  </si>
  <si>
    <t>2019-10-25T17:09:36.000+06:30</t>
  </si>
  <si>
    <t>Sample with PLc1216, Red Colony Count: Undiluted volume tested 100 ml - 00</t>
  </si>
  <si>
    <t>c503a30c-69b9-4281-800c-1c5d1a8ee77e</t>
  </si>
  <si>
    <t>2020-03-16T06:29:32</t>
  </si>
  <si>
    <t>2020-03-16T12:03:57.000+06:30</t>
  </si>
  <si>
    <t>b2ccb586-c401-489a-be77-bde5d53226d9</t>
  </si>
  <si>
    <t>2019-10-25T11:36:52</t>
  </si>
  <si>
    <t>2020-03-16T12:05:18.000+06:30</t>
  </si>
  <si>
    <t>2019-10-25T17:10:03.000+06:30</t>
  </si>
  <si>
    <t>MSA 1:10^4 - 6 vol. 1ml.</t>
  </si>
  <si>
    <t>934726c5-9763-4c4c-b21e-8ba9a9a3bf86</t>
  </si>
  <si>
    <t>Red colony count: 1:10^3 -72; 1:10^4 - 7; 1:10^5 - 4, Each sample vol tested 1ml</t>
  </si>
  <si>
    <t>2019-10-25T11:37:19</t>
  </si>
  <si>
    <t>2019-11-01T10:42:34.000+06:30</t>
  </si>
  <si>
    <t>3782e6bf-998c-44f6-bdb3-456b07a8ce12</t>
  </si>
  <si>
    <t>2020-03-16T06:30:55</t>
  </si>
  <si>
    <t>a0712d60-48d3-4aa4-9302-976f79b7e219</t>
  </si>
  <si>
    <t>2019-11-01T10:49:26.000+06:30</t>
  </si>
  <si>
    <t>2019-12-11T06:14:28</t>
  </si>
  <si>
    <t>2020-03-16T12:06:49.000+06:30</t>
  </si>
  <si>
    <t>2019-12-11T11:49:36.000-07:00</t>
  </si>
  <si>
    <t>2019-10-28T11:00:00.000+06:30</t>
  </si>
  <si>
    <t>6ed18832-3847-408e-abe0-8c4a892ca0e0</t>
  </si>
  <si>
    <t>2019-11-01T05:16:38</t>
  </si>
  <si>
    <t>Sample with PLc1217, Red Colony Count: Undiluted volume tested 100 ml - 00</t>
  </si>
  <si>
    <t>affe80b4-496f-4bb5-a481-d1b0bdcf04ec</t>
  </si>
  <si>
    <t>2020-03-16T06:32:26</t>
  </si>
  <si>
    <t>2019-11-01T10:50:42.000+06:30</t>
  </si>
  <si>
    <t>SAMPLE WITH MO1106</t>
  </si>
  <si>
    <t>2020-03-16T12:09:09.000+06:30</t>
  </si>
  <si>
    <t>78fdff16-d1e1-4839-bee9-e4b8d98b96e0</t>
  </si>
  <si>
    <t>2019-11-01T05:17:53</t>
  </si>
  <si>
    <t>MSA 1:10^4 - 1 vol. 1ml.</t>
  </si>
  <si>
    <t>2019-11-01T10:53:37.000+06:30</t>
  </si>
  <si>
    <t>2020-03-03T14:00:00.000+06:30</t>
  </si>
  <si>
    <t>2020-03-03T14:20:00.000+06:30</t>
  </si>
  <si>
    <t>2020-03-03T15:30:00.000+06:30</t>
  </si>
  <si>
    <t>a258b78b-7814-4e19-af6d-22fe510e7534</t>
  </si>
  <si>
    <t>2020-03-04T15:30:00.000+06:30</t>
  </si>
  <si>
    <t>2019-12-11T06:16:40</t>
  </si>
  <si>
    <t>Red colony count: 1:10^3 -TNTC; 1:10^4 - 69; 1:10^5 - 10, Each sample vol tested 1ml</t>
  </si>
  <si>
    <t>2019-12-11T11:51:26.000-07:00</t>
  </si>
  <si>
    <t>78277cd5-fe60-430d-91c4-c5826532cd01</t>
  </si>
  <si>
    <t>2d684370-9293-4700-9ac7-3ea3bdc8058d</t>
  </si>
  <si>
    <t>2020-03-16T06:34:47</t>
  </si>
  <si>
    <t>2019-11-01T05:20:48</t>
  </si>
  <si>
    <t>2020-03-16T12:12:11.000+06:30</t>
  </si>
  <si>
    <t>2019-11-01T10:54:40.000+06:30</t>
  </si>
  <si>
    <t>Red colony count: Undiluted 100ml - 2, Undiluted 10ml - 3; No colonies/medium blue spots seen in 10ml and in 100ml, no growth.</t>
  </si>
  <si>
    <t>cdf30c13-b6f4-4146-8c6c-d27766f5054d</t>
  </si>
  <si>
    <t>2019-11-01T05:21:51</t>
  </si>
  <si>
    <t>6c611e55-baaa-4a0b-b700-ec709089055f</t>
  </si>
  <si>
    <t>2020-03-16T06:37:49</t>
  </si>
  <si>
    <t>2019-11-01T10:56:36.000+06:30</t>
  </si>
  <si>
    <t>2020-03-16T12:13:15.000+06:30</t>
  </si>
  <si>
    <t>6c033c05-5b3c-4910-ad55-06614b66c2dd</t>
  </si>
  <si>
    <t>2019-12-11T06:18:29</t>
  </si>
  <si>
    <t>Sample with BW2002, Red Colony Count: Undiluted volume tested 100 ml - 00</t>
  </si>
  <si>
    <t>2019-12-11T11:51:27.000-07:00</t>
  </si>
  <si>
    <t>SAMPLE WITH MO1107</t>
  </si>
  <si>
    <t>2019-12-11T11:53:12.000-07:00</t>
  </si>
  <si>
    <t>0a31157b-7461-4f4c-b81d-bb2b1e9e2af3</t>
  </si>
  <si>
    <t>a23f34ed-f911-4355-9fd4-8da9ebe5a2b8</t>
  </si>
  <si>
    <t>2020-03-16T06:38:52</t>
  </si>
  <si>
    <t>2019-11-01T05:23:47</t>
  </si>
  <si>
    <t>2020-03-16T12:16:31.000+06:30</t>
  </si>
  <si>
    <t>2019-11-01T10:58:55.000+06:30</t>
  </si>
  <si>
    <t>f20b5a17-f4a9-4169-8783-3129675502cd</t>
  </si>
  <si>
    <t>2019-11-01T05:26:07</t>
  </si>
  <si>
    <t>Red colony count: Undiluted 10ml - TDTC, 1:10^1 - TNTC, 1:10^2 -159, sample vol tested 1ml; Red colonies diffused/smudged.</t>
  </si>
  <si>
    <t>2019-11-01T10:58:56.000+06:30</t>
  </si>
  <si>
    <t>981e9d31-3ad5-4fe1-8939-762f36357e13</t>
  </si>
  <si>
    <t>2020-03-16T06:45:29</t>
  </si>
  <si>
    <t>2019-11-01T11:01:05.000+06:30</t>
  </si>
  <si>
    <t>2020-03-16T12:17:27.000+06:30</t>
  </si>
  <si>
    <t>SAMPLE WITH PLc1044</t>
  </si>
  <si>
    <t>4b8e4e69-2d38-4620-adc2-39b6841b7566</t>
  </si>
  <si>
    <t>2019-11-01T05:28:16</t>
  </si>
  <si>
    <t>Sample with RP2003, Red Colony Count: Undiluted volume tested 100 ml - 00</t>
  </si>
  <si>
    <t>db9d0ad4-8144-4ac4-a864-e9adf4914cc0</t>
  </si>
  <si>
    <t>2019-12-11T06:20:14</t>
  </si>
  <si>
    <t>2019-11-01T11:02:22.000+06:30</t>
  </si>
  <si>
    <t>bfc68b0c-fb61-41b2-a73f-bef4c6f97fd5</t>
  </si>
  <si>
    <t>2019-12-11T11:53:13.000-07:00</t>
  </si>
  <si>
    <t>2020-03-16T06:45:30</t>
  </si>
  <si>
    <t>2020-03-16T12:17:28.000+06:30</t>
  </si>
  <si>
    <t>2019-12-11T11:54:57.000-07:00</t>
  </si>
  <si>
    <t>2020-03-16T12:18:18.000+06:30</t>
  </si>
  <si>
    <t>31a7b3a1-83fc-4bcb-abcb-042b3fd65256</t>
  </si>
  <si>
    <t>2019-11-01T05:29:34</t>
  </si>
  <si>
    <t>2019-11-01T11:03:32.000+06:30</t>
  </si>
  <si>
    <t>701d3d71-48e4-423b-b973-46b5b9ce4cf6</t>
  </si>
  <si>
    <t>2020-03-16T06:45:31</t>
  </si>
  <si>
    <t>2020-03-16T12:18:19.000+06:30</t>
  </si>
  <si>
    <t>0c3f1cfe-94ff-4e41-bc53-5b13e5fd058f</t>
  </si>
  <si>
    <t>2019-11-01T05:30:42</t>
  </si>
  <si>
    <t>2020-03-16T12:19:52.000+06:30</t>
  </si>
  <si>
    <t>2020-03-04T13:10:00.000+06:30</t>
  </si>
  <si>
    <t>2020-03-04T14:00:00.000+06:30</t>
  </si>
  <si>
    <t>2019-11-01T11:04:40.000+06:30</t>
  </si>
  <si>
    <t>2020-03-04T15:00:00.000+06:30</t>
  </si>
  <si>
    <t>2020-03-05T15:00:00.000+06:30</t>
  </si>
  <si>
    <t>Red colony count: 1:10^3 -TNTC; 1:10^4 - 55; 1:10^5 - 5, Each sample vol tested 1ml</t>
  </si>
  <si>
    <t>7f6a6933-8b66-46c7-80df-3a73e5c0f3ca</t>
  </si>
  <si>
    <t>2019-11-01T05:31:51</t>
  </si>
  <si>
    <t>c2970be1-0e7b-4d82-964c-87f23671c94b</t>
  </si>
  <si>
    <t>2020-03-16T06:45:32</t>
  </si>
  <si>
    <t>2020-03-16T12:19:53.000+06:30</t>
  </si>
  <si>
    <t>2019-11-01T11:06:28.000+06:30</t>
  </si>
  <si>
    <t>2020-03-16T12:21:17.000+06:30</t>
  </si>
  <si>
    <t>289ee9cb-70d7-4be3-8cb9-f487ff22e87d</t>
  </si>
  <si>
    <t>2019-12-11T06:22:02</t>
  </si>
  <si>
    <t>2019-12-11T11:54:58.000-07:00</t>
  </si>
  <si>
    <t>b657df15-5886-4f7a-ae6b-a38100f85af0</t>
  </si>
  <si>
    <t>2019-12-11T11:56:50.000-07:00</t>
  </si>
  <si>
    <t>2019-11-01T05:33:40</t>
  </si>
  <si>
    <t>2019-11-01T11:07:34.000+06:30</t>
  </si>
  <si>
    <t>90bfe902-890c-4d9b-be27-eb17dad15b92</t>
  </si>
  <si>
    <t>2020-03-16T06:46:54</t>
  </si>
  <si>
    <t>2020-03-16T12:21:18.000+06:30</t>
  </si>
  <si>
    <t>2020-03-16T12:22:17.000+06:30</t>
  </si>
  <si>
    <t>9c7bfbad-505a-40db-9d8d-cb3d77bbdebb</t>
  </si>
  <si>
    <t>2019-11-01T05:34:45</t>
  </si>
  <si>
    <t>2019-11-01T11:09:12.000+06:30</t>
  </si>
  <si>
    <t>Sample with PL1030, Red Colony Count: Undiluted volume tested 100 ml - 00</t>
  </si>
  <si>
    <t>346ab668-632e-4aa7-b422-a0bf72f2820c</t>
  </si>
  <si>
    <t>2020-03-16T06:47:54</t>
  </si>
  <si>
    <t>2020-03-16T12:22:18.000+06:30</t>
  </si>
  <si>
    <t>2020-03-16T12:24:43.000+06:30</t>
  </si>
  <si>
    <t>3b3794b4-6c82-4432-939c-729e5c2b23b2</t>
  </si>
  <si>
    <t>2019-11-01T05:36:24</t>
  </si>
  <si>
    <t>2019-11-01T11:11:20.000+06:30</t>
  </si>
  <si>
    <t>30167e96-ff6d-455c-9bc7-314b71d39b18</t>
  </si>
  <si>
    <t>2019-12-11T06:23:54</t>
  </si>
  <si>
    <t>2019-12-11T11:56:51.000-07:00</t>
  </si>
  <si>
    <t>2019-12-11T11:57:49.000-07:00</t>
  </si>
  <si>
    <t>Red colony count: 1:10^3 -51; 1:10^4 - 23; 1:10^5 - 1, Each sample vol tested 1ml; 11 green colonies.</t>
  </si>
  <si>
    <t>62388e96-4150-4216-b88e-63daa1bd3ece</t>
  </si>
  <si>
    <t>2019-11-01T05:38:31</t>
  </si>
  <si>
    <t>bcd31a04-f3f4-440d-8f30-57ad44c78e9e</t>
  </si>
  <si>
    <t>2020-03-16T06:50:19</t>
  </si>
  <si>
    <t>2020-03-16T12:24:44.000+06:30</t>
  </si>
  <si>
    <t>2020-03-16T12:25:37.000+06:30</t>
  </si>
  <si>
    <t>2019-11-01T11:14:35.000+06:30</t>
  </si>
  <si>
    <t>Sample with PL1031, Red Colony Count: Undiluted volume tested 100 ml - 00</t>
  </si>
  <si>
    <t>SAMPLE WITH PLc1048</t>
  </si>
  <si>
    <t>2b5dec4b-beed-48fe-ac2e-f18c5279d756</t>
  </si>
  <si>
    <t>2020-03-16T06:51:15</t>
  </si>
  <si>
    <t>829c3b22-d358-4171-b800-071f04783529</t>
  </si>
  <si>
    <t>2020-03-16T12:25:38.000+06:30</t>
  </si>
  <si>
    <t>2019-11-01T05:41:47</t>
  </si>
  <si>
    <t>2019-11-01T11:14:36.000+06:30</t>
  </si>
  <si>
    <t>2020-03-16T12:26:22.000+06:30</t>
  </si>
  <si>
    <t>bcf96b4d-89f4-40d8-a029-563e8f6e701d</t>
  </si>
  <si>
    <t>2019-12-11T06:24:52</t>
  </si>
  <si>
    <t>2019-12-13T12:13:08.000-07:00</t>
  </si>
  <si>
    <t>2019-11-01T11:16:49.000+06:30</t>
  </si>
  <si>
    <t>2019-12-13T12:16:44.000-07:00</t>
  </si>
  <si>
    <t>2019-12-11T15:30:00.000-07:00</t>
  </si>
  <si>
    <t>5c5e762e-ec45-4f96-97b3-a0f9814ba324</t>
  </si>
  <si>
    <t>2020-03-16T06:51:59</t>
  </si>
  <si>
    <t>2020-03-16T12:26:23.000+06:30</t>
  </si>
  <si>
    <t>39bb20a2-77e3-4550-8cf7-e01e0952a74c</t>
  </si>
  <si>
    <t>2019-11-01T05:44:00</t>
  </si>
  <si>
    <t>2020-03-16T12:28:47.000+06:30</t>
  </si>
  <si>
    <t>2019-11-01T11:18:34.000+06:30</t>
  </si>
  <si>
    <t>2020-03-05T14:00:00.000+06:30</t>
  </si>
  <si>
    <t>2020-03-05T16:00:00.000+06:30</t>
  </si>
  <si>
    <t>2020-03-06T16:00:00.000+06:30</t>
  </si>
  <si>
    <t>Red colony count: 1:10^3 - 55; 1:10^4 - 4; 1:10^5 - 00, Each sample vol tested 1ml</t>
  </si>
  <si>
    <t>88344118-9101-4fb7-b67b-87aa1c48e39f</t>
  </si>
  <si>
    <t>2020-03-16T06:54:25</t>
  </si>
  <si>
    <t>29b75158-ba06-4360-b485-80b7a7a26c26</t>
  </si>
  <si>
    <t>2019-11-01T05:45:44</t>
  </si>
  <si>
    <t>2020-03-16T12:28:48.000+06:30</t>
  </si>
  <si>
    <t>2020-03-16T12:29:46.000+06:30</t>
  </si>
  <si>
    <t>09109efd-036b-4f3a-8674-9da0a525c006</t>
  </si>
  <si>
    <t>2019-12-13T06:43:48</t>
  </si>
  <si>
    <t>2019-11-01T11:20:43.000+06:30</t>
  </si>
  <si>
    <t>2019-12-13T12:19:07.000-07:00</t>
  </si>
  <si>
    <t>Sample with PLc1218, Red Colony Count: Undiluted volume tested 100 ml - 00</t>
  </si>
  <si>
    <t>a4c65d3a-d26a-4246-9ebb-0d6a54857e46</t>
  </si>
  <si>
    <t>2020-03-16T06:55:22</t>
  </si>
  <si>
    <t>c9aab16a-413f-48d7-b62f-2eed91981f41</t>
  </si>
  <si>
    <t>2020-03-16T12:29:47.000+06:30</t>
  </si>
  <si>
    <t>2019-11-01T05:47:54</t>
  </si>
  <si>
    <t>2020-03-16T12:31:06.000+06:30</t>
  </si>
  <si>
    <t>2019-11-01T11:23:43.000+06:30</t>
  </si>
  <si>
    <t>bd3d81cc-8656-4e1b-86bc-0965f6c76eba</t>
  </si>
  <si>
    <t>2019-11-01T05:50:53</t>
  </si>
  <si>
    <t>Red colony count: 1:10^3 -150; 1:10^4 - 16; 1:10^5 - 00, Each sample vol tested 1ml</t>
  </si>
  <si>
    <t>2019-11-01T11:25:59.000+06:30</t>
  </si>
  <si>
    <t>9c776247-ca6a-4003-b0e4-4a76bbc3659a</t>
  </si>
  <si>
    <t>2020-03-16T06:56:44</t>
  </si>
  <si>
    <t>2020-03-16T12:31:07.000+06:30</t>
  </si>
  <si>
    <t>SAMPLE WITH PLc1050</t>
  </si>
  <si>
    <t>2020-03-16T12:32:00.000+06:30</t>
  </si>
  <si>
    <t>7753dabd-e37d-41f5-b5fe-060e748df52a</t>
  </si>
  <si>
    <t>2019-11-01T05:53:11</t>
  </si>
  <si>
    <t>Sample with PLc1219, Red Colony Count: Undiluted volume tested 100 ml - 00</t>
  </si>
  <si>
    <t>2019-11-01T11:28:33.000+06:30</t>
  </si>
  <si>
    <t>fd8cb334-4442-4b4a-9df2-c35c6ce41986</t>
  </si>
  <si>
    <t>2020-03-16T06:57:32</t>
  </si>
  <si>
    <t>2020-03-16T12:32:01.000+06:30</t>
  </si>
  <si>
    <t>2020-03-16T12:32:52.000+06:30</t>
  </si>
  <si>
    <t>0dbe2438-0267-40cc-affa-83708816ccfe</t>
  </si>
  <si>
    <t>2019-12-13T06:46:10</t>
  </si>
  <si>
    <t>758ded43-cb17-49a0-a9f9-589483982f61</t>
  </si>
  <si>
    <t>2019-11-01T05:55:44</t>
  </si>
  <si>
    <t>2019-12-13T12:19:08.000-07:00</t>
  </si>
  <si>
    <t>2019-12-13T12:21:05.000-07:00</t>
  </si>
  <si>
    <t>2019-11-01T11:30:53.000+06:30</t>
  </si>
  <si>
    <t>8ed73f97-0b7b-4083-8c1c-8976a0a790ae</t>
  </si>
  <si>
    <t>2020-03-16T06:58:28</t>
  </si>
  <si>
    <t>2020-03-16T12:32:53.000+06:30</t>
  </si>
  <si>
    <t>2020-03-16T12:35:32.000+06:30</t>
  </si>
  <si>
    <t>SAMPLE WITH PLc1051</t>
  </si>
  <si>
    <t>068b4cbb-b55b-4353-b657-e50acf091443</t>
  </si>
  <si>
    <t>2020-03-11T13:00:00.000+06:30</t>
  </si>
  <si>
    <t>2019-11-01T05:58:04</t>
  </si>
  <si>
    <t>2020-03-11T15:00:00.000+06:30</t>
  </si>
  <si>
    <t>2020-03-11T16:00:00.000+06:30</t>
  </si>
  <si>
    <t>2020-03-12T16:00:00.000+06:30</t>
  </si>
  <si>
    <t>2019-11-01T11:32:36.000+06:30</t>
  </si>
  <si>
    <t>Red colony count: Undiluted 1ml - 110, 1:10^1 - 17, 1:10^2 - 02, sample vol tested 1ml</t>
  </si>
  <si>
    <t>248cb07b-5d53-4217-941c-f5c7d977100f</t>
  </si>
  <si>
    <t>8f0e31fd-190b-43ee-bb03-3629633f00d0</t>
  </si>
  <si>
    <t>2019-11-01T05:59:48</t>
  </si>
  <si>
    <t>2020-03-16T07:01:09</t>
  </si>
  <si>
    <t>5c8365c5-1e9a-47dc-944e-8701d03d1a83</t>
  </si>
  <si>
    <t>2020-03-16T12:37:07.000+06:30</t>
  </si>
  <si>
    <t>2019-12-13T06:48:07</t>
  </si>
  <si>
    <t>2019-11-01T11:35:17.000+06:30</t>
  </si>
  <si>
    <t>2019-12-13T12:23:14.000-07:00</t>
  </si>
  <si>
    <t>SAMPLE WITH PLc1052</t>
  </si>
  <si>
    <t>3d720ca8-8a05-4c49-8abe-23f6ab824e0a</t>
  </si>
  <si>
    <t>2019-11-01T06:02:29</t>
  </si>
  <si>
    <t>Red colony count: 1:10^1 - 2; 1:10^2 - 01; 1:10^3 - 00, Each sample vol tested 1ml</t>
  </si>
  <si>
    <t>663538b9-9f68-45d5-9cbc-ce73ef549430</t>
  </si>
  <si>
    <t>2020-03-16T07:02:45</t>
  </si>
  <si>
    <t>2019-11-01T11:37:54.000+06:30</t>
  </si>
  <si>
    <t>2020-03-16T12:38:27.000+06:30</t>
  </si>
  <si>
    <t>bdaf21b1-68b3-4548-9f65-3d5a7d165ed8</t>
  </si>
  <si>
    <t>2019-11-01T06:05:05</t>
  </si>
  <si>
    <t>Red colony count: Undiluted 100ml - TNTC, Undiluted 10ml - TNTC</t>
  </si>
  <si>
    <t>f756cdbd-64f0-459c-b877-ee57ba37f1aa</t>
  </si>
  <si>
    <t>2019-11-01T11:39:45.000+06:30</t>
  </si>
  <si>
    <t>2020-03-16T07:04:05</t>
  </si>
  <si>
    <t>2020-03-16T12:38:28.000+06:30</t>
  </si>
  <si>
    <t>0771e03a-bc4f-4584-89b3-732df4e9b2b5</t>
  </si>
  <si>
    <t>2019-12-13T06:50:14</t>
  </si>
  <si>
    <t>2020-03-16T12:41:04.000+06:30</t>
  </si>
  <si>
    <t>SAMPLE WITH PLc1053</t>
  </si>
  <si>
    <t>2019-12-13T12:26:18.000-07:00</t>
  </si>
  <si>
    <t>ed3b05a4-ca26-4df7-8afd-04b12ab37fcb</t>
  </si>
  <si>
    <t>2019-11-01T06:06:57</t>
  </si>
  <si>
    <t>2019-11-01T11:40:42.000+06:30</t>
  </si>
  <si>
    <t>Red colony count: Undiluted 10ml - TDTC, Undiluted 1ml - TNTC, 1:10^1 - 155 sample vol tested 1ml</t>
  </si>
  <si>
    <t>a51b83dc-8e37-4c5c-abd1-f9b4890fc151</t>
  </si>
  <si>
    <t>2020-03-16T07:06:41</t>
  </si>
  <si>
    <t>7bb10eda-fa7f-4d43-9ef7-a4a6d732e047</t>
  </si>
  <si>
    <t>2019-11-01T06:07:52</t>
  </si>
  <si>
    <t>2020-03-16T12:42:02.000+06:30</t>
  </si>
  <si>
    <t>2019-11-07T11:33:44.000-08:00</t>
  </si>
  <si>
    <t>2019-11-07T11:35:20.000-08:00</t>
  </si>
  <si>
    <t>Sample with RP2004, Red Colony Count: Undiluted volume tested 100 ml - 00</t>
  </si>
  <si>
    <t>280ee49f-bbc7-4672-a96e-20abd1908ac9</t>
  </si>
  <si>
    <t>2020-03-16T07:07:39</t>
  </si>
  <si>
    <t>2020-03-16T12:42:03.000+06:30</t>
  </si>
  <si>
    <t>ad6e14c5-3cec-4829-ae0c-71ecb371d011</t>
  </si>
  <si>
    <t>2020-03-16T12:42:52.000+06:30</t>
  </si>
  <si>
    <t>2019-11-07T07:05:43</t>
  </si>
  <si>
    <t>2019-11-07T12:42:51.000-08:00</t>
  </si>
  <si>
    <t>2019-11-07T12:47:59.000-08:00</t>
  </si>
  <si>
    <t>0df56532-62e9-42eb-a6ef-2a9ed2dc377a</t>
  </si>
  <si>
    <t>MSA 1:10^4 - 8 vol. 1ml., WG5 1ml plaque count - CL, GB124 5ml plaque count - CL</t>
  </si>
  <si>
    <t>2020-03-16T07:08:29</t>
  </si>
  <si>
    <t>1396e7ca-b3d0-4d78-ab61-cd38c19e5431</t>
  </si>
  <si>
    <t>b09b4b08-d7b9-47fc-b26a-b900057111e7</t>
  </si>
  <si>
    <t>2019-12-13T06:53:19</t>
  </si>
  <si>
    <t>2020-03-16T12:42:53.000+06:30</t>
  </si>
  <si>
    <t>2019-11-07T08:18:23</t>
  </si>
  <si>
    <t>2020-03-16T12:44:48.000+06:30</t>
  </si>
  <si>
    <t>2019-12-13T12:33:05.000-07:00</t>
  </si>
  <si>
    <t>2019-11-07T12:49:54.000-08:00</t>
  </si>
  <si>
    <t>30b272cc-238d-4c13-ab76-17c943996720</t>
  </si>
  <si>
    <t>2019-11-07T08:20:17</t>
  </si>
  <si>
    <t>Red colony count: 1:10^2 - 98; 1:10^3 - 4; 1:10^4 - 0, Each sample vol tested 1ml</t>
  </si>
  <si>
    <t>2019-11-07T12:56:36.000-08:00</t>
  </si>
  <si>
    <t>ebc8e7f9-8a8f-4f6c-9633-c90d8c20685f</t>
  </si>
  <si>
    <t>2020-03-16T07:10:24</t>
  </si>
  <si>
    <t>2020-03-16T12:44:49.000+06:30</t>
  </si>
  <si>
    <t>2020-03-16T12:46:38.000+06:30</t>
  </si>
  <si>
    <t>9e9fc885-cf26-44d4-8de1-5aa3ec7fb801</t>
  </si>
  <si>
    <t>2019-11-07T08:27:00</t>
  </si>
  <si>
    <t>2019-11-07T12:57:42.000-08:00</t>
  </si>
  <si>
    <t>Red colony count: 1:10^2 - 90; 1:10^3 - 12; 1:10^4 - 2, Each sample vol tested 1ml</t>
  </si>
  <si>
    <t>ba4c00d5-f8b9-425d-a435-8019dbb328c5</t>
  </si>
  <si>
    <t>2019-11-07T08:28:05</t>
  </si>
  <si>
    <t>e693ee35-07b5-4355-a770-6141c9fbfdd5</t>
  </si>
  <si>
    <t>2020-03-16T07:12:15</t>
  </si>
  <si>
    <t>MSA 1:10^4 - 23 vol. 1ml., WG5 1ml plaque count - CL, GB124 5ml plaque count - CL</t>
  </si>
  <si>
    <t>2019-11-07T12:58:25.000-08:00</t>
  </si>
  <si>
    <t>773919b0-9e19-4683-8646-92961027b01f</t>
  </si>
  <si>
    <t>2020-03-16T12:47:38.000+06:30</t>
  </si>
  <si>
    <t>2019-12-13T06:56:06</t>
  </si>
  <si>
    <t>2019-12-13T12:29:05.000-07:00</t>
  </si>
  <si>
    <t>2019-12-13T12:33:13.000-07:00</t>
  </si>
  <si>
    <t>0d8dbda7-8270-46cb-b4a3-d95d465b8f4f</t>
  </si>
  <si>
    <t>2019-11-07T08:28:48</t>
  </si>
  <si>
    <t>Sample with PL1033, Red Colony Count: Undiluted volume tested 100 ml - 00</t>
  </si>
  <si>
    <t>2019-11-07T12:59:39.000-08:00</t>
  </si>
  <si>
    <t>30fa1b5f-f28f-48cf-aa47-ff920adeda64</t>
  </si>
  <si>
    <t>2020-03-16T07:13:14</t>
  </si>
  <si>
    <t>2020-03-16T12:47:39.000+06:30</t>
  </si>
  <si>
    <t>2020-03-16T12:49:03.000+06:30</t>
  </si>
  <si>
    <t>9e2e4ebb-6d61-401c-a7a2-a01381464a28</t>
  </si>
  <si>
    <t>2019-11-07T08:30:03</t>
  </si>
  <si>
    <t>2020-03-12T13:00:00.000+06:30</t>
  </si>
  <si>
    <t>2020-03-12T14:00:00.000+06:30</t>
  </si>
  <si>
    <t>2020-03-12T14:45:00.000+06:30</t>
  </si>
  <si>
    <t>2020-03-13T14:45:00.000+06:30</t>
  </si>
  <si>
    <t>2019-11-07T13:00:49.000-08:00</t>
  </si>
  <si>
    <t>Red colony count: 1:10^3 -110; 1:10^4 - 14; 1:10^5 - 00, Each sample vol tested 1ml</t>
  </si>
  <si>
    <t>9498c6a6-61ca-4370-9cd2-c663c0a5c647</t>
  </si>
  <si>
    <t>2020-03-16T07:14:41</t>
  </si>
  <si>
    <t>91a54db2-e388-487d-8d74-0b808af6fda2</t>
  </si>
  <si>
    <t>2019-11-07T08:31:13</t>
  </si>
  <si>
    <t>2020-03-16T12:49:04.000+06:30</t>
  </si>
  <si>
    <t>2020-03-16T12:50:32.000+06:30</t>
  </si>
  <si>
    <t>2019-11-07T13:01:39.000-08:00</t>
  </si>
  <si>
    <t>ec0ca917-b9d3-4065-bd33-109629fbd134</t>
  </si>
  <si>
    <t>2019-12-13T07:00:13</t>
  </si>
  <si>
    <t>0103066d-ca41-46ae-9860-02eb422035bf</t>
  </si>
  <si>
    <t>2019-11-07T08:32:02</t>
  </si>
  <si>
    <t>2019-12-13T12:33:14.000-07:00</t>
  </si>
  <si>
    <t>Red colony count: 1:10^3 -147; 1:10^4 - 30; 1:10^5 - 03, Each sample vol tested 1ml</t>
  </si>
  <si>
    <t>2019-11-07T13:02:19.000-08:00</t>
  </si>
  <si>
    <t>2019-12-13T12:35:03.000-07:00</t>
  </si>
  <si>
    <t>5a6f9b8d-9fd2-454d-8209-3c1f9301dcac</t>
  </si>
  <si>
    <t>2020-03-16T07:16:09</t>
  </si>
  <si>
    <t>2020-03-16T12:50:33.000+06:30</t>
  </si>
  <si>
    <t>961a932c-70d4-4017-87b3-8abe50ae0cd5</t>
  </si>
  <si>
    <t>2019-11-07T08:32:42</t>
  </si>
  <si>
    <t>2020-03-16T12:51:28.000+06:30</t>
  </si>
  <si>
    <t>2019-11-07T13:02:20.000-08:00</t>
  </si>
  <si>
    <t>2019-11-07T13:02:59.000-08:00</t>
  </si>
  <si>
    <t>Sample with PLc1221, Red Colony Count: Undiluted volume tested 100 ml - 00</t>
  </si>
  <si>
    <t>8e7434b8-11d4-409d-a3b7-c500fc785050</t>
  </si>
  <si>
    <t>2020-03-16T07:17:05</t>
  </si>
  <si>
    <t>2020-03-16T12:51:29.000+06:30</t>
  </si>
  <si>
    <t>417ff3a5-c401-450a-8522-5ab8264e904d</t>
  </si>
  <si>
    <t>2019-11-07T08:33:22</t>
  </si>
  <si>
    <t>2020-03-16T12:53:06.000+06:30</t>
  </si>
  <si>
    <t>2019-11-07T13:03:39.000-08:00</t>
  </si>
  <si>
    <t>708a69cc-72c7-458f-a843-509490accfdd</t>
  </si>
  <si>
    <t>Red colony count: 1:10^3 -169; 1:10^4 - 21; 1:10^5 - 07, Each sample vol tested 1ml</t>
  </si>
  <si>
    <t>2019-11-07T08:34:02</t>
  </si>
  <si>
    <t>764f3e36-5d88-4731-8370-7d2fa9c99bb5</t>
  </si>
  <si>
    <t>2020-03-16T07:22:33</t>
  </si>
  <si>
    <t>2020-03-16T12:53:07.000+06:30</t>
  </si>
  <si>
    <t>f53c7944-e3e5-4fd7-b7d7-29e2b6dbb7da</t>
  </si>
  <si>
    <t>2019-12-13T07:02:05</t>
  </si>
  <si>
    <t>2020-03-16T12:53:56.000+06:30</t>
  </si>
  <si>
    <t>2019-12-13T12:35:04.000-07:00</t>
  </si>
  <si>
    <t>2019-11-07T13:04:19.000-08:00</t>
  </si>
  <si>
    <t>2019-12-13T12:36:54.000-07:00</t>
  </si>
  <si>
    <t>5a786b09-6167-47bc-bd90-6b793e212d79</t>
  </si>
  <si>
    <t>2019-11-07T08:34:42</t>
  </si>
  <si>
    <t>50a750a3-8de5-4ece-9c5d-0e150d2f5ab1</t>
  </si>
  <si>
    <t>2020-03-16T07:22:35</t>
  </si>
  <si>
    <t>2019-11-07T13:05:08.000-08:00</t>
  </si>
  <si>
    <t>2020-03-16T12:53:57.000+06:30</t>
  </si>
  <si>
    <t>2020-03-16T12:55:07.000+06:30</t>
  </si>
  <si>
    <t>c81f3bc4-0e4c-457e-9fb3-0e93a5af4e0a</t>
  </si>
  <si>
    <t>2019-11-07T08:35:30</t>
  </si>
  <si>
    <t>2019-11-07T13:05:53.000-08:00</t>
  </si>
  <si>
    <t>Sample with MO1221, Red Colony Count: Undiluted volume tested 100 ml - 00</t>
  </si>
  <si>
    <t>f44701e3-087c-4f7c-a70b-73f209756b40</t>
  </si>
  <si>
    <t>8ee442d8-2a80-474c-9dee-a0e899606ee3</t>
  </si>
  <si>
    <t>2020-03-16T07:22:39</t>
  </si>
  <si>
    <t>2019-12-13T07:03:57</t>
  </si>
  <si>
    <t>2019-12-13T12:38:17.000-07:00</t>
  </si>
  <si>
    <t>7ca6ea65-cfdd-4351-9826-7a586d8995a5</t>
  </si>
  <si>
    <t>2019-11-07T08:36:16</t>
  </si>
  <si>
    <t>2019-11-07T13:05:54.000-08:00</t>
  </si>
  <si>
    <t>2019-11-07T13:06:29.000-08:00</t>
  </si>
  <si>
    <t>7142e765-28e4-4f2d-af75-7b17f57d7a4d</t>
  </si>
  <si>
    <t>2019-11-07T08:36:52</t>
  </si>
  <si>
    <t>2019-11-07T13:07:42.000-08:00</t>
  </si>
  <si>
    <t>59aeac09-a943-4a1e-8787-83e135fcc2d2</t>
  </si>
  <si>
    <t>2019-11-07T08:38:06</t>
  </si>
  <si>
    <t>2019-11-07T13:08:32.000-08:00</t>
  </si>
  <si>
    <t>83d9c10d-bc89-4801-ade7-f0c2241d6b37</t>
  </si>
  <si>
    <t>7dd2a236-2ea0-4615-a986-bd8a1544e34a</t>
  </si>
  <si>
    <t>2019-11-07T08:38:55</t>
  </si>
  <si>
    <t>2019-12-13T07:05:18</t>
  </si>
  <si>
    <t>2019-12-13T12:38:18.000-07:00</t>
  </si>
  <si>
    <t>2019-11-07T13:09:42.000-08:00</t>
  </si>
  <si>
    <t>2019-12-13T12:39:12.000-07:00</t>
  </si>
  <si>
    <t>35d55cb2-0e62-46ec-b969-37e78f60cce8</t>
  </si>
  <si>
    <t>2019-11-07T08:40:06</t>
  </si>
  <si>
    <t>2019-11-07T13:10:22.000-08:00</t>
  </si>
  <si>
    <t>1a9b12da-dc33-4f5a-becf-bf10558e0de2</t>
  </si>
  <si>
    <t>2019-11-07T08:40:44</t>
  </si>
  <si>
    <t>2019-11-07T13:11:01.000-08:00</t>
  </si>
  <si>
    <t>17a2dfa3-2c81-4acf-bcfe-bc51b0fd0ee0</t>
  </si>
  <si>
    <t>2019-11-07T08:41:24</t>
  </si>
  <si>
    <t>2019-11-07T13:11:39.000-08:00</t>
  </si>
  <si>
    <t>89dfa3e8-5175-4790-93bf-d69f1cc59ab8</t>
  </si>
  <si>
    <t>2019-11-07T08:42:02</t>
  </si>
  <si>
    <t>05c99719-50f9-41f1-b2fb-dce90b1d2367</t>
  </si>
  <si>
    <t>2019-12-13T07:06:13</t>
  </si>
  <si>
    <t>2019-12-17T10:48:14.000-07:00</t>
  </si>
  <si>
    <t>2019-11-07T13:12:36.000-08:00</t>
  </si>
  <si>
    <t>2019-12-17T10:54:53.000-07:00</t>
  </si>
  <si>
    <t>2019-12-13T14:30:00.000-07:00</t>
  </si>
  <si>
    <t>2019-12-14T16:00:00.000-07:00</t>
  </si>
  <si>
    <t>b4011e61-8050-415a-8ea3-b434b417fc14</t>
  </si>
  <si>
    <t>2019-11-07T08:42:59</t>
  </si>
  <si>
    <t>2019-11-07T13:13:26.000-08:00</t>
  </si>
  <si>
    <t>ad307191-de8a-464f-808b-48ab19d4400e</t>
  </si>
  <si>
    <t>2019-11-07T08:43:49</t>
  </si>
  <si>
    <t>2019-11-07T13:13:27.000-08:00</t>
  </si>
  <si>
    <t>2019-11-07T13:30:03.000-08:00</t>
  </si>
  <si>
    <t>9f8bb584-2e7b-47a1-8531-0819ce9fc72a</t>
  </si>
  <si>
    <t>2019-11-07T09:00:26</t>
  </si>
  <si>
    <t>2019-11-07T13:31:36.000-08:00</t>
  </si>
  <si>
    <t>Associated Sample MO111</t>
  </si>
  <si>
    <t>23dd283b-aecc-499d-9dc3-1f458c2d21f3</t>
  </si>
  <si>
    <t>2019-11-07T09:02:00</t>
  </si>
  <si>
    <t>28875bb6-4f82-44e8-9938-a2dab88cf484</t>
  </si>
  <si>
    <t>2019-12-17T05:21:51</t>
  </si>
  <si>
    <t>2019-11-07T13:32:14.000-08:00</t>
  </si>
  <si>
    <t>lab_pcr_type</t>
  </si>
  <si>
    <t>lab_pcr_type/1</t>
  </si>
  <si>
    <t>lab_pcr_type/2</t>
  </si>
  <si>
    <t>lab_pcr_note</t>
  </si>
  <si>
    <t>2019-12-17T10:56:45.000-07:00</t>
  </si>
  <si>
    <t>lab_pcr_filename</t>
  </si>
  <si>
    <t>e2acfcbe-a9e7-47c1-ab2e-9230aeb9ac10</t>
  </si>
  <si>
    <t>lab_pcr_ty_note2</t>
  </si>
  <si>
    <t>2019-11-07T09:02:37</t>
  </si>
  <si>
    <t>lab_pcr_ty_date</t>
  </si>
  <si>
    <t>lab_pcr_ty_results1</t>
  </si>
  <si>
    <t>lab_pcr_ty_results2</t>
  </si>
  <si>
    <t>lab_pcr_ty_results3</t>
  </si>
  <si>
    <t>2019-11-07T13:33:01.000-08:00</t>
  </si>
  <si>
    <t>lab_pcr_para_note2</t>
  </si>
  <si>
    <t>lab_pcr_para_date</t>
  </si>
  <si>
    <t>lab_pcr_para_results1</t>
  </si>
  <si>
    <t>lab_pcr_para_results2</t>
  </si>
  <si>
    <t>lab_pcr_para_results3</t>
  </si>
  <si>
    <t>3219a14b-a6c2-4bbb-96fa-b283f818cb43</t>
  </si>
  <si>
    <t>2019-11-07T09:03:24</t>
  </si>
  <si>
    <t>2019-05-21T12:41:19.000+06:30</t>
  </si>
  <si>
    <t>2019-11-07T14:16:36.000-08:00</t>
  </si>
  <si>
    <t>2019-05-21T12:50:09.000+06:30</t>
  </si>
  <si>
    <t>b5f566d4-b888-4abf-b6a8-19d3c2ef9d95</t>
  </si>
  <si>
    <t>2019-11-07T09:47:00</t>
  </si>
  <si>
    <t>ST &amp; SPT 10.05.19</t>
  </si>
  <si>
    <t>2019-11-07T14:17:15.000-08:00</t>
  </si>
  <si>
    <t>v7LUap6MY4SxDVTfKNcy2m</t>
  </si>
  <si>
    <t>77c887dc-eb2b-4ca0-b58e-d35dfcb3dff1</t>
  </si>
  <si>
    <t>2019-05-21T07:20:24</t>
  </si>
  <si>
    <t>4e5e694e-96e1-483a-907d-3f6091fa1237</t>
  </si>
  <si>
    <t>2019-11-07T09:47:38</t>
  </si>
  <si>
    <t>2019-05-21T12:54:23.000+06:30</t>
  </si>
  <si>
    <t>157f09af-9d73-4853-9512-b60fb5e47893</t>
  </si>
  <si>
    <t>2019-11-07T14:17:55.000-08:00</t>
  </si>
  <si>
    <t>2019-12-17T05:23:43</t>
  </si>
  <si>
    <t>2019-12-17T10:58:40.000-07:00</t>
  </si>
  <si>
    <t>3793c505-b66f-492d-b3dc-f8cf57503380</t>
  </si>
  <si>
    <t>2019-11-07T09:48:18</t>
  </si>
  <si>
    <t>2019-11-07T14:18:31.000-08:00</t>
  </si>
  <si>
    <t>564cbbb8-987f-4b8e-9a96-a8b400a1d9fb</t>
  </si>
  <si>
    <t>2019-05-21T07:24:37</t>
  </si>
  <si>
    <t>c76f7a3d-3dd0-46e6-b126-e0dab8b1ff95</t>
  </si>
  <si>
    <t>2019-11-07T09:48:54</t>
  </si>
  <si>
    <t>2019-11-07T14:18:32.000-08:00</t>
  </si>
  <si>
    <t>2019-05-21T12:58:39.000+06:30</t>
  </si>
  <si>
    <t>2019-11-07T14:19:52.000-08:00</t>
  </si>
  <si>
    <t>4f7e5ce4-4932-4181-a0fd-bc8615e096a6</t>
  </si>
  <si>
    <t>2019-11-07T09:50:15</t>
  </si>
  <si>
    <t>2019-11-07T14:19:53.000-08:00</t>
  </si>
  <si>
    <t>2019-11-07T14:20:38.000-08:00</t>
  </si>
  <si>
    <t>c4ddf02d-f7d6-4092-8593-fed27b404b8b</t>
  </si>
  <si>
    <t>2019-12-17T05:25:37</t>
  </si>
  <si>
    <t>2019-12-17T11:00:54.000-07:00</t>
  </si>
  <si>
    <t>497a8c61-cff4-4e3f-96a0-0b124d5fbd69</t>
  </si>
  <si>
    <t>2af65dfa-4f78-4880-9e87-7690422331a7</t>
  </si>
  <si>
    <t>2019-05-21T07:28:54</t>
  </si>
  <si>
    <t>2019-11-07T09:51:01</t>
  </si>
  <si>
    <t>2019-11-07T14:21:53.000-08:00</t>
  </si>
  <si>
    <t>2019-05-21T13:17:01.000+06:30</t>
  </si>
  <si>
    <t>319dbe0c-d6a0-4f81-849d-0de402f337f1</t>
  </si>
  <si>
    <t>2019-11-07T09:52:16</t>
  </si>
  <si>
    <t>2019-11-07T14:22:28.000-08:00</t>
  </si>
  <si>
    <t>f6b5a6b7-7295-4514-844d-d7e8ceef3984</t>
  </si>
  <si>
    <t>2019-05-21T07:47:16</t>
  </si>
  <si>
    <t>2019-05-21T13:23:24.000+06:30</t>
  </si>
  <si>
    <t>a541ff46-eea1-43f2-a277-6873b724907b</t>
  </si>
  <si>
    <t>2019-11-07T09:52:50</t>
  </si>
  <si>
    <t>2019-11-07T14:23:23.000-08:00</t>
  </si>
  <si>
    <t>WG5 1ml plaque count - CL, MSA 1:10^4 - 18 vol. 1ml.</t>
  </si>
  <si>
    <t>6e30d782-b50b-4685-82d7-a3c588498488</t>
  </si>
  <si>
    <t>2019-05-21T07:53:38</t>
  </si>
  <si>
    <t>2019-05-21T13:27:22.000+06:30</t>
  </si>
  <si>
    <t>045ee21a-f408-4926-a286-98e003f66c7e</t>
  </si>
  <si>
    <t>2019-11-07T09:53:46</t>
  </si>
  <si>
    <t>649c28e2-e40b-4bbd-9dd2-5f2930b800a8</t>
  </si>
  <si>
    <t>2019-12-17T05:27:52</t>
  </si>
  <si>
    <t>2019-11-07T14:24:05.000-08:00</t>
  </si>
  <si>
    <t>2019-12-17T11:03:37.000-07:00</t>
  </si>
  <si>
    <t>b06be753-1559-4e25-bf04-b9bbe80a470a</t>
  </si>
  <si>
    <t>341eb243-6a64-4f4b-b123-89aa5a9065f5</t>
  </si>
  <si>
    <t>2019-11-07T09:54:28</t>
  </si>
  <si>
    <t>2019-05-21T07:57:36</t>
  </si>
  <si>
    <t>2019-05-21T13:32:44.000+06:30</t>
  </si>
  <si>
    <t>2019-11-07T14:24:39.000-08:00</t>
  </si>
  <si>
    <t>2c523e64-2c96-4e23-9742-b5ffa0b28241</t>
  </si>
  <si>
    <t>2019-11-07T09:55:02</t>
  </si>
  <si>
    <t>3766f47f-0bfe-4686-825c-fa13079f26af</t>
  </si>
  <si>
    <t>2019-05-21T08:02:59</t>
  </si>
  <si>
    <t>2019-11-07T14:25:17.000-08:00</t>
  </si>
  <si>
    <t>2019-05-21T13:36:34.000+06:30</t>
  </si>
  <si>
    <t>953b278a-a8c7-415e-a716-e7b62b18720b</t>
  </si>
  <si>
    <t>2019-11-07T09:55:39</t>
  </si>
  <si>
    <t>2019-11-07T14:25:58.000-08:00</t>
  </si>
  <si>
    <t>b9869633-52ee-4060-84e6-29ed48231654</t>
  </si>
  <si>
    <t>2019-05-21T08:06:48</t>
  </si>
  <si>
    <t>2019-05-21T13:40:42.000+06:30</t>
  </si>
  <si>
    <t>WG5 1ml plaque count - CL, MSA 1:10^4 - 17 vol. 1ml., GB124 5ml plaque count - CL</t>
  </si>
  <si>
    <t>500e7ea3-153f-4195-91f9-852bbcdbda53</t>
  </si>
  <si>
    <t>2019-11-07T09:56:21</t>
  </si>
  <si>
    <t>2019-11-07T14:25:59.000-08:00</t>
  </si>
  <si>
    <t>c0921033-766d-4517-a3b8-2a7d7fc46c80</t>
  </si>
  <si>
    <t>2019-12-17T05:30:33</t>
  </si>
  <si>
    <t>2019-11-07T14:26:31.000-08:00</t>
  </si>
  <si>
    <t>2019-12-17T11:06:48.000-07:00</t>
  </si>
  <si>
    <t>defd9951-2ada-4782-9eeb-d925224911c4</t>
  </si>
  <si>
    <t>2019-11-07T09:56:54</t>
  </si>
  <si>
    <t>b8104c86-4fd1-4e85-afdd-deae1754f653</t>
  </si>
  <si>
    <t>2019-05-21T08:10:56</t>
  </si>
  <si>
    <t>2019-05-21T15:11:28.000+06:30</t>
  </si>
  <si>
    <t>2019-11-07T14:30:04.000-08:00</t>
  </si>
  <si>
    <t>2019-05-21T15:27:22.000+06:30</t>
  </si>
  <si>
    <t>079bcf74-a3ca-444c-a024-7fa71dd98209</t>
  </si>
  <si>
    <t>2019-11-07T10:00:26</t>
  </si>
  <si>
    <t>2019-11-07T14:30:57.000-08:00</t>
  </si>
  <si>
    <t>5b00bdb7-a915-4b01-8acd-edd005dcd905</t>
  </si>
  <si>
    <t>2019-11-06T15:00:00.000-08:00</t>
  </si>
  <si>
    <t>2019-05-21T09:57:36</t>
  </si>
  <si>
    <t>fc79f749-ce6f-4244-9810-95f946de56a4</t>
  </si>
  <si>
    <t>2019-05-21T15:33:25.000+06:30</t>
  </si>
  <si>
    <t>2019-11-07T10:01:20</t>
  </si>
  <si>
    <t>2019-11-07T14:32:19.000-08:00</t>
  </si>
  <si>
    <t>812d55d4-d644-4c96-bf10-e650d1f87971</t>
  </si>
  <si>
    <t>2019-05-21T10:03:38</t>
  </si>
  <si>
    <t>2019-05-21T16:17:54.000+06:30</t>
  </si>
  <si>
    <t>faabf036-029d-47e8-ad1f-1370fca305d6</t>
  </si>
  <si>
    <t>2019-11-07T10:02:43</t>
  </si>
  <si>
    <t>2019-11-07T14:32:57.000-08:00</t>
  </si>
  <si>
    <t>e916bdca-0c2a-4dff-8470-9fb09602d04d</t>
  </si>
  <si>
    <t>2019-05-21T10:48:08</t>
  </si>
  <si>
    <t>3743af04-1811-4587-8964-b677b38de5d6</t>
  </si>
  <si>
    <t>09f5725a-450b-4ca7-960d-b06a38d3d1b0</t>
  </si>
  <si>
    <t>2019-12-17T05:33:46</t>
  </si>
  <si>
    <t>2019-11-07T10:03:20</t>
  </si>
  <si>
    <t>2019-05-21T16:24:12.000+06:30</t>
  </si>
  <si>
    <t>2019-11-07T14:35:53.000-08:00</t>
  </si>
  <si>
    <t>2019-12-17T11:08:41.000-07:00</t>
  </si>
  <si>
    <t>bd0ba645-6bf0-4e1c-8ee3-0c60675a116e</t>
  </si>
  <si>
    <t>2019-11-07T10:06:16</t>
  </si>
  <si>
    <t>56647d74-ef64-49e0-ba39-216202b6c505</t>
  </si>
  <si>
    <t>2019-05-21T10:54:26</t>
  </si>
  <si>
    <t>2019-11-08T11:27:08.000-08:00</t>
  </si>
  <si>
    <t>2019-11-07T14:38:22.000-08:00</t>
  </si>
  <si>
    <t>2019-11-08T12:03:02.000-08:00</t>
  </si>
  <si>
    <t>Associated Sample PLc1062</t>
  </si>
  <si>
    <t>29ba3042-0582-4f13-b52c-9c9ec3576858</t>
  </si>
  <si>
    <t>S.typhi 1.11.2019, s.paratyphi 1.11.2019</t>
  </si>
  <si>
    <t>2019-11-07T10:08:45</t>
  </si>
  <si>
    <t>2019-11-07T14:39:09.000-08:00</t>
  </si>
  <si>
    <t>vR2ww2c5aM6KfCRDC3LGaH</t>
  </si>
  <si>
    <t>aa28e5e0-85ed-4b2a-bfea-50333e2ea691</t>
  </si>
  <si>
    <t>2019-11-08T07:33:26</t>
  </si>
  <si>
    <t>276c8afc-db62-449b-ba55-306c16520b86</t>
  </si>
  <si>
    <t>2019-11-07T10:09:32</t>
  </si>
  <si>
    <t>2019-11-08T12:05:23.000-08:00</t>
  </si>
  <si>
    <t>2019-11-07T14:40:08.000-08:00</t>
  </si>
  <si>
    <t>265dd718-fa9a-497d-9d69-78bd9aa7651b</t>
  </si>
  <si>
    <t>2019-11-08T07:35:46</t>
  </si>
  <si>
    <t>2843f463-251f-48c1-9570-64aff2c55375</t>
  </si>
  <si>
    <t>2019-11-07T10:10:30</t>
  </si>
  <si>
    <t>2019-11-08T12:06:42.000-08:00</t>
  </si>
  <si>
    <t>2019-11-07T14:41:09.000-08:00</t>
  </si>
  <si>
    <t>166bf66f-1792-4219-9b49-3798c13bb149</t>
  </si>
  <si>
    <t>2019-12-17T05:35:38</t>
  </si>
  <si>
    <t>2019-12-17T11:08:42.000-07:00</t>
  </si>
  <si>
    <t>2019-12-17T11:10:31.000-07:00</t>
  </si>
  <si>
    <t>895a0dbb-dfdf-4556-be05-93913ab8c812</t>
  </si>
  <si>
    <t>2019-11-08T07:37:06</t>
  </si>
  <si>
    <t>f677c615-ee04-4753-978a-4b14e6ef1712</t>
  </si>
  <si>
    <t>2019-11-07T10:11:31</t>
  </si>
  <si>
    <t>2019-11-08T12:08:44.000-08:00</t>
  </si>
  <si>
    <t>2019-11-07T14:42:41.000-08:00</t>
  </si>
  <si>
    <t>9ee7a94e-0912-43b9-8e56-9db23f43dd23</t>
  </si>
  <si>
    <t>2019-11-07T10:13:05</t>
  </si>
  <si>
    <t>95cc767d-980b-4b82-ac72-e433861f195b</t>
  </si>
  <si>
    <t>2019-11-08T07:39:08</t>
  </si>
  <si>
    <t>2019-11-07T14:43:32.000-08:00</t>
  </si>
  <si>
    <t>2019-11-08T12:09:56.000-08:00</t>
  </si>
  <si>
    <t>37e56c99-f866-48c1-9c17-4906b80b38b0</t>
  </si>
  <si>
    <t>2019-11-07T10:13:54</t>
  </si>
  <si>
    <t>2019-11-07T14:44:47.000-08:00</t>
  </si>
  <si>
    <t>194433b5-604d-49fe-b386-f73a91053428</t>
  </si>
  <si>
    <t>2019-11-08T07:40:19</t>
  </si>
  <si>
    <t>2019-11-08T12:11:09.000-08:00</t>
  </si>
  <si>
    <t>adfcc7aa-7aca-414d-89fc-585b5d8e641d</t>
  </si>
  <si>
    <t>2019-11-07T10:15:09</t>
  </si>
  <si>
    <t>bb972c8c-b5cb-475e-ae6b-f4f1800a7395</t>
  </si>
  <si>
    <t>2019-11-07T14:45:16.000-08:00</t>
  </si>
  <si>
    <t>2019-12-17T05:37:30</t>
  </si>
  <si>
    <t>2019-12-17T11:10:32.000-07:00</t>
  </si>
  <si>
    <t>1b735902-129f-4e81-91fa-686f6786801a</t>
  </si>
  <si>
    <t>2019-11-08T07:41:34</t>
  </si>
  <si>
    <t>2019-11-08T12:11:10.000-08:00</t>
  </si>
  <si>
    <t>2019-12-17T11:12:28.000-07:00</t>
  </si>
  <si>
    <t>2019-11-08T12:12:47.000-08:00</t>
  </si>
  <si>
    <t>177929be-c1dd-4ad9-b338-de80beed1825</t>
  </si>
  <si>
    <t>2019-11-07T10:15:38</t>
  </si>
  <si>
    <t>2019-11-07T14:46:01.000-08:00</t>
  </si>
  <si>
    <t>65263c75-7ede-4d83-9226-9923387d2c97</t>
  </si>
  <si>
    <t>2019-11-08T07:43:11</t>
  </si>
  <si>
    <t>2019-11-08T12:12:48.000-08:00</t>
  </si>
  <si>
    <t>df816177-30b6-4f21-98d4-6cf0643cff88</t>
  </si>
  <si>
    <t>2019-11-07T10:16:23</t>
  </si>
  <si>
    <t>2019-11-08T12:16:05.000-08:00</t>
  </si>
  <si>
    <t>2019-11-07T14:47:00.000-08:00</t>
  </si>
  <si>
    <t>62bbc413-f626-4e5e-96ec-ca3c107f6d27</t>
  </si>
  <si>
    <t>2019-11-08T07:46:29</t>
  </si>
  <si>
    <t>2019-11-08T12:16:06.000-08:00</t>
  </si>
  <si>
    <t>fffaff98-63c4-4b6d-a3ea-f3233d7c0430</t>
  </si>
  <si>
    <t>2019-11-07T10:17:23</t>
  </si>
  <si>
    <t>2019-11-08T12:17:26.000-08:00</t>
  </si>
  <si>
    <t>2019-11-07T14:47:01.000-08:00</t>
  </si>
  <si>
    <t>2019-11-07T14:47:32.000-08:00</t>
  </si>
  <si>
    <t>6fcd895c-4db7-456c-8d8e-b220c8340dc6</t>
  </si>
  <si>
    <t>43ea8ec0-5a38-43f6-8783-c3c16a8680ee</t>
  </si>
  <si>
    <t>2019-12-17T05:39:27</t>
  </si>
  <si>
    <t>2019-11-07T10:17:55</t>
  </si>
  <si>
    <t>26a30c09-4852-4295-8a80-46c89f29f05f</t>
  </si>
  <si>
    <t>2019-11-08T07:47:50</t>
  </si>
  <si>
    <t>2019-12-17T11:12:29.000-07:00</t>
  </si>
  <si>
    <t>2019-11-07T14:49:19.000-08:00</t>
  </si>
  <si>
    <t>2019-12-17T11:14:25.000-07:00</t>
  </si>
  <si>
    <t>2019-11-08T12:19:55.000-08:00</t>
  </si>
  <si>
    <t>c9b8f7ae-7897-475e-bf00-f56016acedfd</t>
  </si>
  <si>
    <t>2019-11-07T10:19:42</t>
  </si>
  <si>
    <t>2019-11-07T14:49:51.000-08:00</t>
  </si>
  <si>
    <t>8534e204-b8c0-4c7d-8db0-708a428ca782</t>
  </si>
  <si>
    <t>2019-11-08T07:50:18</t>
  </si>
  <si>
    <t>2019-11-08T12:21:32.000-08:00</t>
  </si>
  <si>
    <t>39f65450-7dd1-47c8-ac3d-e83ac48986e4</t>
  </si>
  <si>
    <t>2019-11-07T10:20:13</t>
  </si>
  <si>
    <t>2019-11-07T14:50:46.000-08:00</t>
  </si>
  <si>
    <t>e1984705-2006-4495-bc8f-8c45f7e1c475</t>
  </si>
  <si>
    <t>2019-11-08T07:51:56</t>
  </si>
  <si>
    <t>3f3275a5-ff31-4ccb-afdc-2daa12de7a2d</t>
  </si>
  <si>
    <t>2019-11-08T12:23:18.000-08:00</t>
  </si>
  <si>
    <t>2019-11-07T10:21:09</t>
  </si>
  <si>
    <t>54882521-4a3a-4f7c-acda-c7336bb3bfcb</t>
  </si>
  <si>
    <t>2019-12-17T05:41:24</t>
  </si>
  <si>
    <t>2019-11-07T14:51:30.000-08:00</t>
  </si>
  <si>
    <t>2019-12-17T11:14:26.000-07:00</t>
  </si>
  <si>
    <t>2019-12-17T11:15:24.000-07:00</t>
  </si>
  <si>
    <t>cc47c5ce-7d70-4bc1-a9f4-136b8cc3fad8</t>
  </si>
  <si>
    <t>2019-11-08T07:53:42</t>
  </si>
  <si>
    <t>8478ca99-077a-4679-93ae-e107d7f51e1f</t>
  </si>
  <si>
    <t>2019-11-07T10:21:53</t>
  </si>
  <si>
    <t>2019-11-07T14:51:31.000-08:00</t>
  </si>
  <si>
    <t>2019-11-08T12:25:09.000-08:00</t>
  </si>
  <si>
    <t>2019-11-07T14:52:31.000-08:00</t>
  </si>
  <si>
    <t>71ebf46a-0c43-4bad-9945-417778191c29</t>
  </si>
  <si>
    <t>ee1ccdd8-5196-47d1-8337-32011cb0d3a7</t>
  </si>
  <si>
    <t>2019-11-07T10:22:53</t>
  </si>
  <si>
    <t>2019-11-08T07:55:32</t>
  </si>
  <si>
    <t>2019-11-08T12:27:13.000-08:00</t>
  </si>
  <si>
    <t>2019-11-07T14:54:12.000-08:00</t>
  </si>
  <si>
    <t>94116356-4c02-4dba-b6a4-4f79cdc6197f</t>
  </si>
  <si>
    <t>2019-12-17T05:42:22</t>
  </si>
  <si>
    <t>2019-12-23T12:24:59.000-07:00</t>
  </si>
  <si>
    <t>911745a9-e3af-414f-ada5-c40e94db6302</t>
  </si>
  <si>
    <t>2019-11-07T10:24:36</t>
  </si>
  <si>
    <t>2019-12-23T12:28:17.000-07:00</t>
  </si>
  <si>
    <t>c3defdd4-7a30-4d21-a319-6b0bb53a3a63</t>
  </si>
  <si>
    <t>2019-11-08T07:57:36</t>
  </si>
  <si>
    <t>2019-11-07T14:55:28.000-08:00</t>
  </si>
  <si>
    <t>2019-12-18T14:30:00.000-07:00</t>
  </si>
  <si>
    <t>2019-12-18T15:45:00.000-07:00</t>
  </si>
  <si>
    <t>2019-12-18T16:00:00.000-07:00</t>
  </si>
  <si>
    <t>2019-11-08T12:28:53.000-08:00</t>
  </si>
  <si>
    <t>1423a264-7d46-4cce-96d7-834937e70207</t>
  </si>
  <si>
    <t>2019-11-07T10:25:51</t>
  </si>
  <si>
    <t>2019-11-21T11:01:23.000-07:00</t>
  </si>
  <si>
    <t>S.typhi 2.11.2019, s.paratyphi 2.11.2019</t>
  </si>
  <si>
    <t>2019-11-21T11:03:45.000-07:00</t>
  </si>
  <si>
    <t>41e04b74-27b4-4658-85bd-2cbffa07d841</t>
  </si>
  <si>
    <t>2019-11-08T07:59:17</t>
  </si>
  <si>
    <t>2019-11-08T12:31:05.000-08:00</t>
  </si>
  <si>
    <t>4a55686c-b71d-41c6-ac6b-81c9a8f2ebc7</t>
  </si>
  <si>
    <t>2019-11-21T05:31:04</t>
  </si>
  <si>
    <t>2019-11-21T11:04:17.000-07:00</t>
  </si>
  <si>
    <t>7747354c-f6ed-4eac-82d8-d443ccdcceae</t>
  </si>
  <si>
    <t>2019-11-21T05:31:36</t>
  </si>
  <si>
    <t>6c5f2182-fb18-45d5-9ea4-9d11ce36c342</t>
  </si>
  <si>
    <t>2019-11-08T08:01:29</t>
  </si>
  <si>
    <t>2019-11-21T11:04:18.000-07:00</t>
  </si>
  <si>
    <t>2019-11-08T12:33:45.000-08:00</t>
  </si>
  <si>
    <t>2019-11-21T11:04:44.000-07:00</t>
  </si>
  <si>
    <t>33e36f50-e6cd-46a9-875a-eda46d664730</t>
  </si>
  <si>
    <t>2019-11-21T05:32:02</t>
  </si>
  <si>
    <t>6c8be7a8-6935-44e3-adf7-926ad21b214e</t>
  </si>
  <si>
    <t>ba3b107f-a36b-4a83-bc08-2112a61bf46a</t>
  </si>
  <si>
    <t>2019-11-08T08:04:09</t>
  </si>
  <si>
    <t>2019-12-23T06:55:11</t>
  </si>
  <si>
    <t>2019-11-08T12:35:19.000-08:00</t>
  </si>
  <si>
    <t>2019-12-23T12:30:09.000-07:00</t>
  </si>
  <si>
    <t>2019-11-21T11:05:08.000-07:00</t>
  </si>
  <si>
    <t>256c9057-4c38-4b41-af48-8faf0b3ea1db</t>
  </si>
  <si>
    <t>ae335109-139f-417f-b688-6be5f130bb5b</t>
  </si>
  <si>
    <t>2019-11-21T05:32:26</t>
  </si>
  <si>
    <t>2019-11-08T08:05:42</t>
  </si>
  <si>
    <t>2019-11-08T12:36:43.000-08:00</t>
  </si>
  <si>
    <t>2019-11-21T11:05:32.000-07:00</t>
  </si>
  <si>
    <t>41b81021-cf76-4bb0-8ea8-b4829303c6b2</t>
  </si>
  <si>
    <t>2019-11-21T05:32:50</t>
  </si>
  <si>
    <t>9d040bb5-ff89-4183-a171-bad05e31e694</t>
  </si>
  <si>
    <t>2019-11-08T08:07:07</t>
  </si>
  <si>
    <t>2019-11-21T11:06:46.000-07:00</t>
  </si>
  <si>
    <t>2019-11-08T12:38:01.000-08:00</t>
  </si>
  <si>
    <t>MSA 1:10^4 - 2 vol. 1ml., WG5 1ml plaque count - CL</t>
  </si>
  <si>
    <t>Associated Sample FPa1004. FPb1004, FPc1004, FPd1004, FPe1004</t>
  </si>
  <si>
    <t>ea1cf113-ba6b-4dc6-b627-590105e019c4</t>
  </si>
  <si>
    <t>2019-12-23T06:57:03</t>
  </si>
  <si>
    <t>68969db5-6ee3-4b36-84d8-fdae1cfc909e</t>
  </si>
  <si>
    <t>2019-11-21T05:34:06</t>
  </si>
  <si>
    <t>2019-12-23T12:30:10.000-07:00</t>
  </si>
  <si>
    <t>46ecfd83-f603-4110-a189-de09e998c4d1</t>
  </si>
  <si>
    <t>2019-11-08T08:08:24</t>
  </si>
  <si>
    <t>2019-12-23T12:32:11.000-07:00</t>
  </si>
  <si>
    <t>2019-11-08T12:39:06.000-08:00</t>
  </si>
  <si>
    <t>2019-11-21T11:07:29.000-07:00</t>
  </si>
  <si>
    <t>dec195c8-c476-45f0-ade4-2e009d9b23a6</t>
  </si>
  <si>
    <t>2019-11-08T08:09:29</t>
  </si>
  <si>
    <t>7545cf68-0ffa-4829-80fe-1d2f836e2a2d</t>
  </si>
  <si>
    <t>2019-11-21T05:34:47</t>
  </si>
  <si>
    <t>2019-11-08T12:40:15.000-08:00</t>
  </si>
  <si>
    <t>2019-11-21T11:08:19.000-07:00</t>
  </si>
  <si>
    <t>3ce6cc85-6698-4e36-92df-342a80b3d065</t>
  </si>
  <si>
    <t>2019-11-08T08:10:38</t>
  </si>
  <si>
    <t>2019-11-08T12:40:16.000-08:00</t>
  </si>
  <si>
    <t>3cbabdc9-9596-4c97-ae52-3fbbf2f116bc</t>
  </si>
  <si>
    <t>2019-12-23T06:59:04</t>
  </si>
  <si>
    <t>777e1365-4020-47b2-bbcb-a06a3f0d11bd</t>
  </si>
  <si>
    <t>2019-11-08T12:41:17.000-08:00</t>
  </si>
  <si>
    <t>2019-11-21T05:35:37</t>
  </si>
  <si>
    <t>2019-12-23T12:33:58.000-07:00</t>
  </si>
  <si>
    <t>2019-11-21T11:08:20.000-07:00</t>
  </si>
  <si>
    <t>2019-11-21T11:08:58.000-07:00</t>
  </si>
  <si>
    <t>c0463613-e9da-4c4f-b969-6b8bca746154</t>
  </si>
  <si>
    <t>2019-11-08T08:11:40</t>
  </si>
  <si>
    <t>2019-11-08T12:42:28.000-08:00</t>
  </si>
  <si>
    <t>c05f3ded-da73-4d9e-81a0-a37fd0f74ad1</t>
  </si>
  <si>
    <t>2019-11-21T05:36:17</t>
  </si>
  <si>
    <t>2019-11-21T11:08:59.000-07:00</t>
  </si>
  <si>
    <t>2019-11-21T11:09:26.000-07:00</t>
  </si>
  <si>
    <t>2e117ea2-2a8b-4485-8918-3bb0138b49aa</t>
  </si>
  <si>
    <t>2019-11-08T08:12:52</t>
  </si>
  <si>
    <t>5bff4220-e74d-4867-adb6-8e8bed196c87</t>
  </si>
  <si>
    <t>a7b9d144-470a-4d74-abac-89c45a8a3a3d</t>
  </si>
  <si>
    <t>2019-11-21T05:36:44</t>
  </si>
  <si>
    <t>2019-12-23T07:00:49</t>
  </si>
  <si>
    <t>2019-11-08T12:43:39.000-08:00</t>
  </si>
  <si>
    <t>2019-12-23T12:35:36.000-07:00</t>
  </si>
  <si>
    <t>2019-11-21T11:10:10.000-07:00</t>
  </si>
  <si>
    <t>c9df2507-29e5-4482-9557-7a46b3107fe5</t>
  </si>
  <si>
    <t>2019-11-08T08:14:03</t>
  </si>
  <si>
    <t>b52d60cb-efc3-4bab-aa0d-68ae8cb78128</t>
  </si>
  <si>
    <t>2019-11-08T12:45:30.000-08:00</t>
  </si>
  <si>
    <t>2019-11-21T05:37:28</t>
  </si>
  <si>
    <t>2019-11-21T11:10:42.000-07:00</t>
  </si>
  <si>
    <t>86a39b16-b1c4-4b25-810e-790cb7556f33</t>
  </si>
  <si>
    <t>2019-11-08T08:15:54</t>
  </si>
  <si>
    <t>2019-11-08T12:45:31.000-08:00</t>
  </si>
  <si>
    <t>91b6fbfe-819d-4192-bc76-344db50314bb</t>
  </si>
  <si>
    <t>2019-11-08T12:47:05.000-08:00</t>
  </si>
  <si>
    <t>2019-11-21T05:38:01</t>
  </si>
  <si>
    <t>S.typhi 6.11.2019, s.paratyphi 6.11.2019</t>
  </si>
  <si>
    <t>2019-11-21T11:11:23.000-07:00</t>
  </si>
  <si>
    <t>bc854aa4-870b-4152-8e5e-244c263622a9</t>
  </si>
  <si>
    <t>2019-11-08T08:17:25</t>
  </si>
  <si>
    <t>2019-11-08T12:49:20.000-08:00</t>
  </si>
  <si>
    <t>5085b3f1-839b-420b-95ae-13eb3cececf7</t>
  </si>
  <si>
    <t>2019-11-21T05:38:41</t>
  </si>
  <si>
    <t>a7ee58ac-cf46-43b5-9d5a-abe2cce01463</t>
  </si>
  <si>
    <t>2019-12-23T07:02:28</t>
  </si>
  <si>
    <t>2019-11-21T11:11:47.000-07:00</t>
  </si>
  <si>
    <t>2019-12-23T12:37:11.000-07:00</t>
  </si>
  <si>
    <t>54309820-7058-47a3-b931-e2c065393570</t>
  </si>
  <si>
    <t>2019-11-08T08:19:44</t>
  </si>
  <si>
    <t>2019-11-08T12:50:58.000-08:00</t>
  </si>
  <si>
    <t>ce62c7eb-2f56-48c0-a995-af4d292c1976</t>
  </si>
  <si>
    <t>2019-11-21T05:39:05</t>
  </si>
  <si>
    <t>2019-11-21T11:12:46.000-07:00</t>
  </si>
  <si>
    <t>7eae540c-b9fe-43d0-838d-b83414f1ede1</t>
  </si>
  <si>
    <t>2019-11-08T08:21:22</t>
  </si>
  <si>
    <t>2019-11-08T12:52:06.000-08:00</t>
  </si>
  <si>
    <t>MO1109D</t>
  </si>
  <si>
    <t>7376f845-f086-4bd6-93fd-8f2e1f28297e</t>
  </si>
  <si>
    <t>2019-11-21T05:40:04</t>
  </si>
  <si>
    <t>9b180d79-9953-4c4a-b6fd-48912737d389</t>
  </si>
  <si>
    <t>2019-11-08T08:22:24</t>
  </si>
  <si>
    <t>2019-11-08T12:53:35.000-08:00</t>
  </si>
  <si>
    <t>2019-11-21T11:13:36.000-07:00</t>
  </si>
  <si>
    <t>MSA 1:10^4 - 4 vol. 1ml.</t>
  </si>
  <si>
    <t>9efdb06a-0e32-4583-bc4e-4fe93b4c7128</t>
  </si>
  <si>
    <t>Associated Sample MO1109, MO1109D</t>
  </si>
  <si>
    <t>2019-12-23T07:04:04</t>
  </si>
  <si>
    <t>4b12727e-c64b-48a9-b3b7-e273b850c5c9</t>
  </si>
  <si>
    <t>bb697bbc-51e9-4871-9be1-7415f42b2c0f</t>
  </si>
  <si>
    <t>2019-11-08T08:23:59</t>
  </si>
  <si>
    <t>2019-11-21T05:40:56</t>
  </si>
  <si>
    <t>2019-12-23T12:37:12.000-07:00</t>
  </si>
  <si>
    <t>2019-11-11T11:28:18.000-07:00</t>
  </si>
  <si>
    <t>2019-11-21T11:13:37.000-07:00</t>
  </si>
  <si>
    <t>2019-12-23T12:38:52.000-07:00</t>
  </si>
  <si>
    <t>2019-11-11T11:39:46.000-07:00</t>
  </si>
  <si>
    <t>2019-11-21T11:14:22.000-07:00</t>
  </si>
  <si>
    <t>5562440d-5db9-40d4-a964-1c2e70966b48</t>
  </si>
  <si>
    <t>2019-11-21T05:41:41</t>
  </si>
  <si>
    <t>ade2acdb-d0e7-4a38-814c-edc57fd46886</t>
  </si>
  <si>
    <t>2019-11-21T11:14:23.000-07:00</t>
  </si>
  <si>
    <t>2019-11-11T06:07:13</t>
  </si>
  <si>
    <t>2019-11-21T11:15:19.000-07:00</t>
  </si>
  <si>
    <t>2019-11-11T11:40:48.000-07:00</t>
  </si>
  <si>
    <t>PLc1054F</t>
  </si>
  <si>
    <t>13da5fa3-4eb9-4b28-b618-ed63e6ad408b</t>
  </si>
  <si>
    <t>2019-11-21T05:42:37</t>
  </si>
  <si>
    <t>2019-11-21T11:16:01.000-07:00</t>
  </si>
  <si>
    <t>a8f9ff32-18b9-4b81-955e-4014778168e4</t>
  </si>
  <si>
    <t>2019-11-11T06:08:14</t>
  </si>
  <si>
    <t>2019-11-11T11:42:03.000-07:00</t>
  </si>
  <si>
    <t>f5fb0110-2bc6-41dd-8ecc-dadda389d9c9</t>
  </si>
  <si>
    <t>2019-12-23T07:05:43</t>
  </si>
  <si>
    <t>a82d99f5-c098-4ca3-96b5-5d57911bf2a2</t>
  </si>
  <si>
    <t>2019-11-21T05:43:20</t>
  </si>
  <si>
    <t>2019-12-23T12:40:24.000-07:00</t>
  </si>
  <si>
    <t>759f243c-8552-4e1c-908b-43809129d3c8</t>
  </si>
  <si>
    <t>2019-11-21T11:16:31.000-07:00</t>
  </si>
  <si>
    <t>2019-11-11T06:09:31</t>
  </si>
  <si>
    <t>2019-12-19T16:00:00.000-07:00</t>
  </si>
  <si>
    <t>2019-11-11T11:42:56.000-07:00</t>
  </si>
  <si>
    <t>021ffc22-4ec8-4749-9512-88cd62286264</t>
  </si>
  <si>
    <t>2019-11-21T05:43:49</t>
  </si>
  <si>
    <t>c35fe1ed-7c4c-4e59-abd5-82f6438b2b50</t>
  </si>
  <si>
    <t>2019-11-11T06:10:21</t>
  </si>
  <si>
    <t>2019-11-21T11:17:10.000-07:00</t>
  </si>
  <si>
    <t>2019-11-11T11:44:08.000-07:00</t>
  </si>
  <si>
    <t>4fdc8dca-8e98-44ee-86f6-b07233ef1d9d</t>
  </si>
  <si>
    <t>2019-11-21T05:44:28</t>
  </si>
  <si>
    <t>2019-11-21T11:17:36.000-07:00</t>
  </si>
  <si>
    <t>90e221de-d527-4d6e-9326-b215a43deee2</t>
  </si>
  <si>
    <t>2019-11-11T06:11:35</t>
  </si>
  <si>
    <t>f2c1ab12-66df-44d1-879d-d33baad51508</t>
  </si>
  <si>
    <t>2019-11-11T11:45:08.000-07:00</t>
  </si>
  <si>
    <t>2019-12-23T07:07:18</t>
  </si>
  <si>
    <t>ab1134d4-e125-4217-af43-75c898044523</t>
  </si>
  <si>
    <t>2019-12-23T12:40:25.000-07:00</t>
  </si>
  <si>
    <t>2019-11-21T05:44:54</t>
  </si>
  <si>
    <t>2019-12-23T12:41:59.000-07:00</t>
  </si>
  <si>
    <t>2019-11-21T11:18:13.000-07:00</t>
  </si>
  <si>
    <t>2019-11-11T11:00:00.000-07:00</t>
  </si>
  <si>
    <t>8421b899-d5c9-41ac-9009-9be27c956d7a</t>
  </si>
  <si>
    <t>2019-11-11T06:12:35</t>
  </si>
  <si>
    <t>c787d910-99d2-45cd-84c8-2cfac9ffb463</t>
  </si>
  <si>
    <t>2019-11-21T05:45:31</t>
  </si>
  <si>
    <t>2019-11-11T11:46:26.000-07:00</t>
  </si>
  <si>
    <t>2019-11-21T11:18:46.000-07:00</t>
  </si>
  <si>
    <t>2019-11-11T15:00:00.000-07:00</t>
  </si>
  <si>
    <t>e2dcc384-fd64-40c6-933d-9539338e03c1</t>
  </si>
  <si>
    <t>2019-11-21T05:46:04</t>
  </si>
  <si>
    <t>43b1b96e-9481-4b14-90e7-3f94d74df8e4</t>
  </si>
  <si>
    <t>2019-11-11T06:13:54</t>
  </si>
  <si>
    <t>2019-11-21T11:19:16.000-07:00</t>
  </si>
  <si>
    <t>2019-11-11T11:47:34.000-07:00</t>
  </si>
  <si>
    <t>b7ee594e-e9b4-434e-8372-7cf6912ec6db</t>
  </si>
  <si>
    <t>2019-12-23T07:08:54</t>
  </si>
  <si>
    <t>5ff7ea0d-6493-490a-99b0-ede8f4f058f7</t>
  </si>
  <si>
    <t>2019-11-21T05:46:35</t>
  </si>
  <si>
    <t>2019-12-23T12:42:00.000-07:00</t>
  </si>
  <si>
    <t>2019-12-23T12:44:19.000-07:00</t>
  </si>
  <si>
    <t>def9d092-ae44-4ba9-96d7-cb156122ff24</t>
  </si>
  <si>
    <t>2019-11-11T06:15:00</t>
  </si>
  <si>
    <t>2019-11-21T11:19:41.000-07:00</t>
  </si>
  <si>
    <t>2019-11-11T11:48:41.000-07:00</t>
  </si>
  <si>
    <t>007609bc-7aaf-4c13-8083-32c40abbba71</t>
  </si>
  <si>
    <t>2019-11-21T05:46:58</t>
  </si>
  <si>
    <t>2019-11-21T11:20:16.000-07:00</t>
  </si>
  <si>
    <t>47b99a34-641b-4534-8f25-1ec229847d12</t>
  </si>
  <si>
    <t>2019-11-21T05:47:34</t>
  </si>
  <si>
    <t>bdb00fce-89fe-456b-b848-5dd303cdc138</t>
  </si>
  <si>
    <t>2019-11-11T06:16:07</t>
  </si>
  <si>
    <t>2019-11-21T11:20:46.000-07:00</t>
  </si>
  <si>
    <t>2019-11-11T11:49:30.000-07:00</t>
  </si>
  <si>
    <t>ded99639-bb3d-4d61-9d6e-3a3f6789f5b0</t>
  </si>
  <si>
    <t>2019-11-21T05:48:04</t>
  </si>
  <si>
    <t>2019-11-21T11:21:21.000-07:00</t>
  </si>
  <si>
    <t>ec482a63-bf6c-4c57-be8a-57e5febf95e4</t>
  </si>
  <si>
    <t>2019-11-11T06:16:57</t>
  </si>
  <si>
    <t>MSA 1:10^4 - 3 vol. 1ml. WG5 1ml and 100µl plaque count - CL</t>
  </si>
  <si>
    <t>1a32495c-417f-4e62-87da-f9abf62209c2</t>
  </si>
  <si>
    <t>2019-11-21T05:48:36</t>
  </si>
  <si>
    <t>2019-11-11T11:50:20.000-07:00</t>
  </si>
  <si>
    <t>1cc5870a-ac05-4f6c-b6ea-be17b45e2b88</t>
  </si>
  <si>
    <t>2019-12-23T07:11:12</t>
  </si>
  <si>
    <t>2019-11-21T11:21:57.000-07:00</t>
  </si>
  <si>
    <t>2019-12-23T12:47:11.000-07:00</t>
  </si>
  <si>
    <t>d1cc6062-8fb6-42ee-a665-cfec2ff1e9b4</t>
  </si>
  <si>
    <t>2019-11-21T05:49:16</t>
  </si>
  <si>
    <t>2019-11-21T11:22:20.000-07:00</t>
  </si>
  <si>
    <t>9ac40e78-e301-4d4a-9cdc-a176cac661d5</t>
  </si>
  <si>
    <t>2019-11-11T06:17:47</t>
  </si>
  <si>
    <t>3a87b876-5426-46bc-a75a-e9e6ce0cc4b4</t>
  </si>
  <si>
    <t>2019-11-21T05:49:38</t>
  </si>
  <si>
    <t>2019-11-21T11:22:57.000-07:00</t>
  </si>
  <si>
    <t>2019-11-15T12:30:00.000-07:00</t>
  </si>
  <si>
    <t>2019-11-11T11:51:29.000-07:00</t>
  </si>
  <si>
    <t>807a1bfc-a8b3-49b3-8980-1e5b31a330dd</t>
  </si>
  <si>
    <t>2019-11-21T05:50:14</t>
  </si>
  <si>
    <t>2019-11-21T11:23:30.000-07:00</t>
  </si>
  <si>
    <t>8dacffbc-3006-46df-96fa-59b4df5d4baf</t>
  </si>
  <si>
    <t>2019-11-11T06:18:56</t>
  </si>
  <si>
    <t>2019-11-11T11:54:15.000-07:00</t>
  </si>
  <si>
    <t>e35b167c-95e3-4501-a82e-0fa5a06319f7</t>
  </si>
  <si>
    <t>2019-12-23T07:14:03</t>
  </si>
  <si>
    <t>2019-12-23T12:47:12.000-07:00</t>
  </si>
  <si>
    <t>e4429785-3175-4869-8e34-383aac9ff4c4</t>
  </si>
  <si>
    <t>2019-11-21T05:50:47</t>
  </si>
  <si>
    <t>2019-12-23T12:47:58.000-07:00</t>
  </si>
  <si>
    <t>2019-11-21T11:25:47.000-07:00</t>
  </si>
  <si>
    <t>b76fcc71-e191-4b45-9cf6-bbb0a33c1d70</t>
  </si>
  <si>
    <t>Associated Sample MO1117</t>
  </si>
  <si>
    <t>2019-11-11T06:21:43</t>
  </si>
  <si>
    <t>2019-11-11T11:54:16.000-07:00</t>
  </si>
  <si>
    <t>82f613a4-1596-4b7c-b164-3308c7ca24cc</t>
  </si>
  <si>
    <t>2019-11-21T05:53:06</t>
  </si>
  <si>
    <t>2019-11-11T11:55:23.000-07:00</t>
  </si>
  <si>
    <t>2019-11-21T11:26:38.000-07:00</t>
  </si>
  <si>
    <t>2019-11-16T12:30:00.000-07:00</t>
  </si>
  <si>
    <t>40a997b2-5eba-4a3b-b930-d26f62ef89b2</t>
  </si>
  <si>
    <t>1be38232-aaf9-4dca-bdcf-4f2de5813307</t>
  </si>
  <si>
    <t>2019-11-11T06:22:49</t>
  </si>
  <si>
    <t>2019-11-21T05:53:56</t>
  </si>
  <si>
    <t>2019-11-11T11:56:20.000-07:00</t>
  </si>
  <si>
    <t>2019-11-21T11:27:09.000-07:00</t>
  </si>
  <si>
    <t>30fbf06f-22f4-4052-80cf-052b3fc1b461</t>
  </si>
  <si>
    <t>2019-12-23T07:14:50</t>
  </si>
  <si>
    <t>2019-12-23T12:49:37.000-07:00</t>
  </si>
  <si>
    <t>81917812-4f76-471d-b132-b9612b31f24d</t>
  </si>
  <si>
    <t>2019-11-21T05:54:27</t>
  </si>
  <si>
    <t>2019-12-19T15:30:00.000-07:00</t>
  </si>
  <si>
    <t>2019-12-19T16:45:00.000-07:00</t>
  </si>
  <si>
    <t>21391914-2c62-4426-91b2-e243a552b62d</t>
  </si>
  <si>
    <t>2019-12-20T16:45:00.000-07:00</t>
  </si>
  <si>
    <t>2019-11-21T11:27:39.000-07:00</t>
  </si>
  <si>
    <t>2019-11-11T06:23:47</t>
  </si>
  <si>
    <t>2019-11-11T12:04:24.000-07:00</t>
  </si>
  <si>
    <t>86b2932b-08ce-4c4f-981e-001de639fd60</t>
  </si>
  <si>
    <t>2019-11-21T05:54:57</t>
  </si>
  <si>
    <t>S.typhi 8.11.2019, s.paratyphi 8.11.2019</t>
  </si>
  <si>
    <t>2019-11-21T11:28:21.000-07:00</t>
  </si>
  <si>
    <t>76d56a17-ad34-4895-990e-7301e012959a</t>
  </si>
  <si>
    <t>2019-11-11T06:25:13</t>
  </si>
  <si>
    <t>2019-11-11T11:57:47.000-07:00</t>
  </si>
  <si>
    <t>56494000-52fb-4d28-a441-ddb7dc3476eb</t>
  </si>
  <si>
    <t>2019-11-21T05:55:39</t>
  </si>
  <si>
    <t>2019-11-11T12:03:48.000-07:00</t>
  </si>
  <si>
    <t>2019-11-21T11:28:50.000-07:00</t>
  </si>
  <si>
    <t>c88f8474-fc61-4cdd-839d-ff29ae05d783</t>
  </si>
  <si>
    <t>2019-12-23T07:16:31</t>
  </si>
  <si>
    <t>fec3db91-ea65-4c4b-85b3-0d65e16da648</t>
  </si>
  <si>
    <t>2019-11-21T05:56:09</t>
  </si>
  <si>
    <t>2019-12-23T12:49:38.000-07:00</t>
  </si>
  <si>
    <t>23ba2555-f664-4a92-9519-f115335af21a</t>
  </si>
  <si>
    <t>2019-11-11T06:26:30</t>
  </si>
  <si>
    <t>2019-12-23T12:50:58.000-07:00</t>
  </si>
  <si>
    <t>2019-11-11T11:59:02.000-07:00</t>
  </si>
  <si>
    <t>2019-11-21T11:29:39.000-07:00</t>
  </si>
  <si>
    <t>2019-11-11T12:03:23.000-07:00</t>
  </si>
  <si>
    <t>Associated Sample PLc1080</t>
  </si>
  <si>
    <t>b9cef9f0-b488-46bb-8a53-3328b5c69f8d</t>
  </si>
  <si>
    <t>2019-11-21T05:56:57</t>
  </si>
  <si>
    <t>2019-11-21T11:30:32.000-07:00</t>
  </si>
  <si>
    <t>bf24ae10-c6c5-4c23-90d7-9c0a986460cb</t>
  </si>
  <si>
    <t>0b567e8f-a61b-4727-8299-beabeceebe57</t>
  </si>
  <si>
    <t>2019-11-21T05:57:50</t>
  </si>
  <si>
    <t>2019-11-11T06:27:57</t>
  </si>
  <si>
    <t>2019-11-11T12:00:29.000-07:00</t>
  </si>
  <si>
    <t>2019-11-21T11:30:57.000-07:00</t>
  </si>
  <si>
    <t>2019-11-11T12:05:16.000-07:00</t>
  </si>
  <si>
    <t>afd3d568-d29a-4b23-9a18-9d84efdf1352</t>
  </si>
  <si>
    <t>2019-11-21T05:58:15</t>
  </si>
  <si>
    <t>2019-11-21T11:31:19.000-07:00</t>
  </si>
  <si>
    <t>2553f5f7-4752-4b45-bf7f-26f863320e71</t>
  </si>
  <si>
    <t>2019-11-21T05:58:36</t>
  </si>
  <si>
    <t>f980d864-b607-4357-8698-e2696cb88fa0</t>
  </si>
  <si>
    <t>2019-11-11T06:32:43</t>
  </si>
  <si>
    <t>1af004d2-282a-475d-b3f9-069117788d80</t>
  </si>
  <si>
    <t>2019-11-11T12:05:17.000-07:00</t>
  </si>
  <si>
    <t>2019-12-23T07:17:52</t>
  </si>
  <si>
    <t>2019-11-21T11:31:45.000-07:00</t>
  </si>
  <si>
    <t>2019-12-23T12:50:59.000-07:00</t>
  </si>
  <si>
    <t>2019-11-11T12:06:48.000-07:00</t>
  </si>
  <si>
    <t>2019-12-23T12:52:35.000-07:00</t>
  </si>
  <si>
    <t>ccc6f6ca-0f5e-441f-a053-6c8ad5370985</t>
  </si>
  <si>
    <t>2019-11-21T05:59:04</t>
  </si>
  <si>
    <t>2019-11-21T11:32:09.000-07:00</t>
  </si>
  <si>
    <t>35519434-e394-4463-96a7-66cfb4d24026</t>
  </si>
  <si>
    <t>2019-11-11T06:34:16</t>
  </si>
  <si>
    <t>ebf3e158-0175-4f2b-826b-30cff684eaee</t>
  </si>
  <si>
    <t>2019-11-21T05:59:27</t>
  </si>
  <si>
    <t>2019-11-11T12:07:49.000-07:00</t>
  </si>
  <si>
    <t>2019-11-21T11:32:49.000-07:00</t>
  </si>
  <si>
    <t>ecadc987-30bb-4ba0-a95e-f56f034ea581</t>
  </si>
  <si>
    <t>2019-11-21T06:00:07</t>
  </si>
  <si>
    <t>4aae93c2-3278-44af-bbde-12c050de403a</t>
  </si>
  <si>
    <t>2019-11-21T11:34:31.000-07:00</t>
  </si>
  <si>
    <t>2019-11-11T06:35:15</t>
  </si>
  <si>
    <t>2019-11-11T12:07:50.000-07:00</t>
  </si>
  <si>
    <t>MSA 1:10^4 - 1 vol. 1ml., WG5 1ml plaque count - CL</t>
  </si>
  <si>
    <t>2019-11-20T12:30:00.000-07:00</t>
  </si>
  <si>
    <t>2019-11-11T12:08:45.000-07:00</t>
  </si>
  <si>
    <t>64dfe066-bd6e-4245-8458-0c4e956d8ea3</t>
  </si>
  <si>
    <t>2019-12-23T07:19:29</t>
  </si>
  <si>
    <t>09d3cdcb-ab75-4582-9384-8d791e563631</t>
  </si>
  <si>
    <t>2019-11-21T06:01:50</t>
  </si>
  <si>
    <t>2019-12-23T12:52:36.000-07:00</t>
  </si>
  <si>
    <t>2019-12-23T12:54:18.000-07:00</t>
  </si>
  <si>
    <t>2019-11-21T11:35:21.000-07:00</t>
  </si>
  <si>
    <t>Associated Sample PLc1081</t>
  </si>
  <si>
    <t>8f38e370-664a-4871-aed1-baa1af955b8c</t>
  </si>
  <si>
    <t>2019-11-11T06:36:12</t>
  </si>
  <si>
    <t>bb6ecb61-b05e-4f7a-8093-96949b50c876</t>
  </si>
  <si>
    <t>2019-11-21T06:02:40</t>
  </si>
  <si>
    <t>2019-11-11T12:09:52.000-07:00</t>
  </si>
  <si>
    <t>2019-11-21T11:35:48.000-07:00</t>
  </si>
  <si>
    <t>6f666bcd-4391-49be-aa54-f9342359f6c1</t>
  </si>
  <si>
    <t>2019-11-21T06:03:07</t>
  </si>
  <si>
    <t>b4507d79-d050-4c85-9a91-a05d2c1303e1</t>
  </si>
  <si>
    <t>2019-11-11T06:37:20</t>
  </si>
  <si>
    <t>2019-11-21T11:36:16.000-07:00</t>
  </si>
  <si>
    <t>MSA 1:10^4 - 7 vol. 1ml.</t>
  </si>
  <si>
    <t>2019-11-11T12:11:03.000-07:00</t>
  </si>
  <si>
    <t>ec968e04-4ecc-48eb-83de-4addc9f5fca1</t>
  </si>
  <si>
    <t>2019-12-23T07:21:13</t>
  </si>
  <si>
    <t>2019-12-23T12:54:19.000-07:00</t>
  </si>
  <si>
    <t>2019-12-23T12:55:54.000-07:00</t>
  </si>
  <si>
    <t>fa5e4386-4bcd-4a80-9fa7-f00500352e21</t>
  </si>
  <si>
    <t>2019-11-21T06:03:34</t>
  </si>
  <si>
    <t>2019-11-21T11:37:42.000-07:00</t>
  </si>
  <si>
    <t>60e03a0c-5891-490d-b225-734dded0a55a</t>
  </si>
  <si>
    <t>2019-11-11T06:38:30</t>
  </si>
  <si>
    <t>f11dc1de-418a-4826-9ab2-f8906fcd3843</t>
  </si>
  <si>
    <t>2019-11-21T06:05:01</t>
  </si>
  <si>
    <t>2019-11-11T12:12:14.000-07:00</t>
  </si>
  <si>
    <t>2019-11-21T11:38:14.000-07:00</t>
  </si>
  <si>
    <t>MSA 1:10^4 - 78 vol. 1ml., WG5 1ml plaque count - CL</t>
  </si>
  <si>
    <t>f818b77e-be26-41de-95c4-d6952d2d68e7</t>
  </si>
  <si>
    <t>a0a0eb08-eef5-4b77-8618-88b9cfa3e5e5</t>
  </si>
  <si>
    <t>2019-11-21T06:05:31</t>
  </si>
  <si>
    <t>2019-12-23T07:22:48</t>
  </si>
  <si>
    <t>2019-12-23T12:55:55.000-07:00</t>
  </si>
  <si>
    <t>e9b80d9c-30b5-493e-9e3a-17799e9bae0e</t>
  </si>
  <si>
    <t>2019-12-23T12:57:26.000-07:00</t>
  </si>
  <si>
    <t>2019-11-11T06:39:42</t>
  </si>
  <si>
    <t>2019-11-21T11:38:56.000-07:00</t>
  </si>
  <si>
    <t>2019-11-11T12:13:45.000-07:00</t>
  </si>
  <si>
    <t>2019-11-11T12:15:33.000-07:00</t>
  </si>
  <si>
    <t>7e81da32-f2fd-46cd-84c6-03d8f2bb7c57</t>
  </si>
  <si>
    <t>2019-11-21T06:06:15</t>
  </si>
  <si>
    <t>2019-11-21T11:38:57.000-07:00</t>
  </si>
  <si>
    <t>2019-11-21T11:39:32.000-07:00</t>
  </si>
  <si>
    <t>8fcd4f41-b542-4e0e-b9f6-ee74c6c3e04b</t>
  </si>
  <si>
    <t>2019-11-11T06:43:02</t>
  </si>
  <si>
    <t>d84ba271-a330-4585-b9cf-d48848d5a01f</t>
  </si>
  <si>
    <t>2019-11-21T06:06:50</t>
  </si>
  <si>
    <t>12323a4d-6df5-46e4-9b48-c1be445246e5</t>
  </si>
  <si>
    <t>2019-12-23T07:24:20</t>
  </si>
  <si>
    <t>2019-11-21T11:39:59.000-07:00</t>
  </si>
  <si>
    <t>2019-11-11T12:21:29.000-07:00</t>
  </si>
  <si>
    <t>2019-12-23T12:57:27.000-07:00</t>
  </si>
  <si>
    <t>2019-12-23T12:58:13.000-07:00</t>
  </si>
  <si>
    <t>b1a9ab80-553e-4abb-ab9c-656f5002b248</t>
  </si>
  <si>
    <t>2019-11-21T06:07:17</t>
  </si>
  <si>
    <t>2019-11-21T11:40:42.000-07:00</t>
  </si>
  <si>
    <t>f504efb9-b317-4a20-bcea-ad1d4dc7348a</t>
  </si>
  <si>
    <t>2019-11-11T06:48:57</t>
  </si>
  <si>
    <t>Associated Sample MO1118</t>
  </si>
  <si>
    <t>fa458ead-0956-44b1-a6ac-e1549da4a84e</t>
  </si>
  <si>
    <t>2019-11-21T06:08:00</t>
  </si>
  <si>
    <t>2019-11-11T12:22:32.000-07:00</t>
  </si>
  <si>
    <t>2019-11-21T11:41:13.000-07:00</t>
  </si>
  <si>
    <t>90190f01-499d-4dc1-9cac-871c515c2463</t>
  </si>
  <si>
    <t>2019-12-23T07:25:06</t>
  </si>
  <si>
    <t>2019-12-23T12:58:14.000-07:00</t>
  </si>
  <si>
    <t>13ea0bb3-cc1e-4eab-b1e6-6be1d94295ad</t>
  </si>
  <si>
    <t>2019-12-23T12:58:58.000-07:00</t>
  </si>
  <si>
    <t>2019-11-21T06:08:32</t>
  </si>
  <si>
    <t>2019-11-28T10:56:03.000-07:00</t>
  </si>
  <si>
    <t>2019-11-28T11:02:58.000-07:00</t>
  </si>
  <si>
    <t>49a9d4a2-c524-4ee1-a624-d34bfc5f8357</t>
  </si>
  <si>
    <t>2019-11-11T06:49:58</t>
  </si>
  <si>
    <t>659e2ddd-92ec-452a-a720-bea3206cacef</t>
  </si>
  <si>
    <t>2019-11-28T05:30:10</t>
  </si>
  <si>
    <t>2019-11-11T12:23:45.000-07:00</t>
  </si>
  <si>
    <t>2019-11-28T11:04:03.000-07:00</t>
  </si>
  <si>
    <t>648d2c59-a497-409d-aacc-9d442cceb01b</t>
  </si>
  <si>
    <t>2019-11-28T05:31:15</t>
  </si>
  <si>
    <t>2019-11-28T11:05:00.000-07:00</t>
  </si>
  <si>
    <t>8c7cff0f-2d07-428b-92b4-5886b8e47c3f</t>
  </si>
  <si>
    <t>fe97d209-0b73-434f-8c7e-412f8ad856b8</t>
  </si>
  <si>
    <t>2019-11-11T06:51:12</t>
  </si>
  <si>
    <t>2019-12-23T07:25:49</t>
  </si>
  <si>
    <t>2020-01-02T11:02:13.000+06:30</t>
  </si>
  <si>
    <t>cbc1a5f4-9bca-4890-8310-2be93b1fc1aa</t>
  </si>
  <si>
    <t>2019-11-28T05:32:12</t>
  </si>
  <si>
    <t>2020-01-02T11:05:49.000+06:30</t>
  </si>
  <si>
    <t>2019-11-11T12:24:38.000-07:00</t>
  </si>
  <si>
    <t>2019-12-31T14:00:00.000+06:30</t>
  </si>
  <si>
    <t>2019-12-31T15:00:00.000+06:30</t>
  </si>
  <si>
    <t>2020-01-01T15:00:00.000+06:30</t>
  </si>
  <si>
    <t>2019-11-28T11:05:53.000-07:00</t>
  </si>
  <si>
    <t>136cb92d-34af-4100-92fd-04524da44f02</t>
  </si>
  <si>
    <t>2019-11-28T05:33:05</t>
  </si>
  <si>
    <t>605a9468-33eb-4f6d-ad09-012393064636</t>
  </si>
  <si>
    <t>2019-11-11T06:52:04</t>
  </si>
  <si>
    <t>2019-11-28T11:07:01.000-07:00</t>
  </si>
  <si>
    <t>2019-11-11T12:25:38.000-07:00</t>
  </si>
  <si>
    <t>WG5 1ml and 100µl plaque count - CL, MSA 1:10^4 - 4 vol. 1ml.</t>
  </si>
  <si>
    <t>6e674f37-8ac2-4688-9f9e-bb520e7a5d92</t>
  </si>
  <si>
    <t>8da22ac9-0491-46e0-8fa0-318b0281480e</t>
  </si>
  <si>
    <t>2019-11-28T05:34:14</t>
  </si>
  <si>
    <t>2020-01-02T05:32:33</t>
  </si>
  <si>
    <t>2020-01-02T11:05:50.000+06:30</t>
  </si>
  <si>
    <t>2020-01-02T11:07:59.000+06:30</t>
  </si>
  <si>
    <t>2019-11-28T11:07:47.000-07:00</t>
  </si>
  <si>
    <t>158f1e4e-76a2-4c31-a0ab-6164dfb8cc6a</t>
  </si>
  <si>
    <t>2019-11-11T06:53:05</t>
  </si>
  <si>
    <t>c810f29b-2da8-48b6-a772-5949dbfe0a63</t>
  </si>
  <si>
    <t>2019-11-28T05:34:59</t>
  </si>
  <si>
    <t>2019-11-11T12:26:37.000-07:00</t>
  </si>
  <si>
    <t>2019-11-28T11:10:42.000-07:00</t>
  </si>
  <si>
    <t>2019-11-21T11:30:00.000-07:00</t>
  </si>
  <si>
    <t>e66d4d1e-f3b1-44d9-9221-f9f403bac036</t>
  </si>
  <si>
    <t>2019-11-28T05:37:55</t>
  </si>
  <si>
    <t>baeebbb4-b59c-4b3d-82cc-d0956e4e5a63</t>
  </si>
  <si>
    <t>2019-11-11T06:54:03</t>
  </si>
  <si>
    <t>2019-11-28T11:11:18.000-07:00</t>
  </si>
  <si>
    <t>5cc601a3-6aab-48df-9555-5e889ae57671</t>
  </si>
  <si>
    <t>2020-01-02T05:34:42</t>
  </si>
  <si>
    <t>2019-11-11T12:27:55.000-07:00</t>
  </si>
  <si>
    <t>UF1008D</t>
  </si>
  <si>
    <t>2020-01-02T11:10:04.000+06:30</t>
  </si>
  <si>
    <t>fe8dcc1b-e827-4cb8-b1b9-d2cde77c809d</t>
  </si>
  <si>
    <t>2019-11-28T05:38:30</t>
  </si>
  <si>
    <t>2019-11-28T11:11:52.000-07:00</t>
  </si>
  <si>
    <t>d64294c6-bf9f-41ed-88bb-e0d30fea556a</t>
  </si>
  <si>
    <t>2019-11-11T06:55:21</t>
  </si>
  <si>
    <t>e43d1d7f-4591-426d-a67a-6b96a5370220</t>
  </si>
  <si>
    <t>2019-11-28T05:39:03</t>
  </si>
  <si>
    <t>2019-11-11T12:28:53.000-07:00</t>
  </si>
  <si>
    <t>2019-11-28T11:12:28.000-07:00</t>
  </si>
  <si>
    <t>9cdd8cf4-a69a-4f7d-bf32-4490f8db751f</t>
  </si>
  <si>
    <t>2019-11-28T05:39:40</t>
  </si>
  <si>
    <t>baa66ccf-280c-4143-9f83-773ed635ba90</t>
  </si>
  <si>
    <t>2019-11-11T06:56:19</t>
  </si>
  <si>
    <t>WG5 1ml and 100µl plaque count - CL, MSA 1:10^4 - 0 vol. 1ml.</t>
  </si>
  <si>
    <t>2019-11-11T12:30:05.000-07:00</t>
  </si>
  <si>
    <t>f97bd063-9289-432c-b75a-8d367d15f3ff</t>
  </si>
  <si>
    <t>2019-11-28T11:12:54.000-07:00</t>
  </si>
  <si>
    <t>2020-01-02T05:36:48</t>
  </si>
  <si>
    <t>2020-01-02T11:12:07.000+06:30</t>
  </si>
  <si>
    <t>5362b653-97b0-4f28-ab90-3c15d7acfb53</t>
  </si>
  <si>
    <t>2019-11-28T05:40:06</t>
  </si>
  <si>
    <t>2019-11-28T11:13:25.000-07:00</t>
  </si>
  <si>
    <t>0a5717d4-fd51-4ae1-b057-ca6d04a59ed9</t>
  </si>
  <si>
    <t>2019-11-11T06:57:32</t>
  </si>
  <si>
    <t>024c9244-c683-4f39-9f9e-134871ca1698</t>
  </si>
  <si>
    <t>2019-11-28T05:40:36</t>
  </si>
  <si>
    <t>2019-11-11T12:31:08.000-07:00</t>
  </si>
  <si>
    <t>2019-11-28T11:21:37.000-07:00</t>
  </si>
  <si>
    <t>Associated Sample COa1007, COb1020, COb1022, COb1021</t>
  </si>
  <si>
    <t>bd391bd8-0a90-4b59-ad21-5d92c867c9b5</t>
  </si>
  <si>
    <t>2019-11-28T05:48:49</t>
  </si>
  <si>
    <t>a38c6b32-d993-4267-84ce-4627d1c67af6</t>
  </si>
  <si>
    <t>2019-11-11T06:58:34</t>
  </si>
  <si>
    <t>2019-11-28T11:25:55.000-07:00</t>
  </si>
  <si>
    <t>b388a274-1740-4472-83be-b83e5f43299e</t>
  </si>
  <si>
    <t>2020-01-02T05:38:51</t>
  </si>
  <si>
    <t>2019-11-11T12:32:18.000-07:00</t>
  </si>
  <si>
    <t>2020-01-02T11:13:51.000+06:30</t>
  </si>
  <si>
    <t>8c0b5355-2581-4fdd-beb8-0419f927c06c</t>
  </si>
  <si>
    <t>2019-11-28T05:53:08</t>
  </si>
  <si>
    <t>2019-11-28T11:26:50.000-07:00</t>
  </si>
  <si>
    <t>2019-11-22T13:00:00.000-07:00</t>
  </si>
  <si>
    <t>6693fde2-61de-41c5-adcb-b84fdabe9439</t>
  </si>
  <si>
    <t>2019-11-11T06:59:46</t>
  </si>
  <si>
    <t>009a04ab-2e77-4357-a34c-b8405d48f5fd</t>
  </si>
  <si>
    <t>2019-11-11T12:32:19.000-07:00</t>
  </si>
  <si>
    <t>2019-11-28T05:54:03</t>
  </si>
  <si>
    <t>2019-11-11T12:33:44.000-07:00</t>
  </si>
  <si>
    <t>2019-11-28T11:30:53.000-07:00</t>
  </si>
  <si>
    <t>f6eaeb0d-1c85-4569-8a79-2a992cc4343f</t>
  </si>
  <si>
    <t>2020-01-02T05:40:34</t>
  </si>
  <si>
    <t>Associated Sample PLc1088</t>
  </si>
  <si>
    <t>2020-01-02T11:13:52.000+06:30</t>
  </si>
  <si>
    <t>2020-01-02T11:16:58.000+06:30</t>
  </si>
  <si>
    <t>b53b127b-65c4-49e8-a148-d511bd3f7074</t>
  </si>
  <si>
    <t>2019-11-28T05:54:37</t>
  </si>
  <si>
    <t>de09839f-e935-4a2e-b1db-1b55f524b2a6</t>
  </si>
  <si>
    <t>2019-11-11T07:01:12</t>
  </si>
  <si>
    <t>2019-11-28T11:27:25.000-07:00</t>
  </si>
  <si>
    <t>2019-11-28T11:29:55.000-07:00</t>
  </si>
  <si>
    <t>2019-11-11T12:34:48.000-07:00</t>
  </si>
  <si>
    <t>2e6c3304-3a16-4be3-b756-043837f4bd95</t>
  </si>
  <si>
    <t>2019-11-28T05:57:09</t>
  </si>
  <si>
    <t>2019-11-28T11:29:56.000-07:00</t>
  </si>
  <si>
    <t>2019-11-28T11:35:44.000-07:00</t>
  </si>
  <si>
    <t>Associated Sample PLc1089</t>
  </si>
  <si>
    <t>732c4d0b-3336-475f-bd44-a900e75956d7</t>
  </si>
  <si>
    <t>ca7b8111-bc20-45f7-ad67-05deab79fb67</t>
  </si>
  <si>
    <t>2019-11-28T05:58:52</t>
  </si>
  <si>
    <t>2019-11-11T07:02:15</t>
  </si>
  <si>
    <t>2019-11-28T11:31:39.000-07:00</t>
  </si>
  <si>
    <t>2019-11-11T12:34:49.000-07:00</t>
  </si>
  <si>
    <t>2019-11-28T11:36:30.000-07:00</t>
  </si>
  <si>
    <t>2019-11-11T12:35:48.000-07:00</t>
  </si>
  <si>
    <t>8e444a05-8546-4036-9dbb-7c257a2fa9c0</t>
  </si>
  <si>
    <t>2019-11-28T06:03:42</t>
  </si>
  <si>
    <t>2019-11-28T11:37:07.000-07:00</t>
  </si>
  <si>
    <t>33d252f6-8e8d-4587-b4dc-a6c7740f41f7</t>
  </si>
  <si>
    <t>2020-01-02T05:43:43</t>
  </si>
  <si>
    <t>2020-01-02T11:16:59.000+06:30</t>
  </si>
  <si>
    <t>Associated Sample PLc1090</t>
  </si>
  <si>
    <t>2020-01-02T11:19:34.000+06:30</t>
  </si>
  <si>
    <t>1dbbada0-2159-4440-9392-af12ae23ebdb</t>
  </si>
  <si>
    <t>2019-11-28T06:04:19</t>
  </si>
  <si>
    <t>2019-11-28T11:37:40.000-07:00</t>
  </si>
  <si>
    <t>50ea6ab9-541d-45a6-90ae-cd342c936f6c</t>
  </si>
  <si>
    <t>2019-11-11T07:03:16</t>
  </si>
  <si>
    <t>d11869d5-36e8-46ec-b485-68dc13bf0190</t>
  </si>
  <si>
    <t>2019-11-28T06:04:52</t>
  </si>
  <si>
    <t>2019-11-11T12:36:42.000-07:00</t>
  </si>
  <si>
    <t>2019-11-28T11:39:13.000-07:00</t>
  </si>
  <si>
    <t>Associated Sample PLc1091</t>
  </si>
  <si>
    <t>6749ff13-4c17-4252-a94c-56562dcccd56</t>
  </si>
  <si>
    <t>2019-11-28T06:06:26</t>
  </si>
  <si>
    <t>WG5 1ml and 100µl plaque count - CL, MSA 1:10^4 - 3 vol. 1ml.</t>
  </si>
  <si>
    <t>2019-11-28T11:41:21.000-07:00</t>
  </si>
  <si>
    <t>1ad4c430-cd11-4344-875f-7ff42d66539c</t>
  </si>
  <si>
    <t>2020-01-02T05:46:18</t>
  </si>
  <si>
    <t>0e91460d-b0a6-4d4b-b126-4da1a234c8b7</t>
  </si>
  <si>
    <t>2020-01-02T11:21:25.000+06:30</t>
  </si>
  <si>
    <t>2019-11-11T07:04:09</t>
  </si>
  <si>
    <t>8284749a-a5f4-430d-a509-cb53d41c22bd</t>
  </si>
  <si>
    <t>2019-11-11T12:36:43.000-07:00</t>
  </si>
  <si>
    <t>2019-11-28T06:08:33</t>
  </si>
  <si>
    <t>2019-11-28T11:42:00.000-07:00</t>
  </si>
  <si>
    <t>2019-11-11T12:37:39.000-07:00</t>
  </si>
  <si>
    <t>Associated Sample MO1120</t>
  </si>
  <si>
    <t>ad9ec2a7-09e2-470c-8295-77913db817aa</t>
  </si>
  <si>
    <t>2019-11-28T06:09:12</t>
  </si>
  <si>
    <t>2019-11-28T11:43:55.000-07:00</t>
  </si>
  <si>
    <t>eb495e5e-ef41-437c-8f9a-1a84002fce83</t>
  </si>
  <si>
    <t>3ad78ae5-7af7-4eaa-b578-e409ae30f1f9</t>
  </si>
  <si>
    <t>2019-11-28T06:11:08</t>
  </si>
  <si>
    <t>2019-11-11T07:05:06</t>
  </si>
  <si>
    <t>2019-11-28T11:44:35.000-07:00</t>
  </si>
  <si>
    <t>2019-11-11T12:38:38.000-07:00</t>
  </si>
  <si>
    <t>e396bffe-34a4-49b5-964c-80cdd274e7ec</t>
  </si>
  <si>
    <t>2020-01-02T05:48:06</t>
  </si>
  <si>
    <t>Associated Sample MO1121</t>
  </si>
  <si>
    <t>0726f21e-e214-4465-a82c-e95d95545689</t>
  </si>
  <si>
    <t>2019-11-28T06:11:47</t>
  </si>
  <si>
    <t>2020-01-02T11:23:13.000+06:30</t>
  </si>
  <si>
    <t>2019-11-28T11:45:07.000-07:00</t>
  </si>
  <si>
    <t>5f6c8e80-194d-4261-939f-ee6e6b9d5823</t>
  </si>
  <si>
    <t>2019-11-28T06:12:19</t>
  </si>
  <si>
    <t>b2e6ad4f-941f-47d4-a033-08e752bde3fe</t>
  </si>
  <si>
    <t>2019-11-11T07:06:05</t>
  </si>
  <si>
    <t>2019-11-20T11:01:20.000-07:00</t>
  </si>
  <si>
    <t>2019-11-28T12:06:06.000-07:00</t>
  </si>
  <si>
    <t>2019-11-20T11:02:15.000-07:00</t>
  </si>
  <si>
    <t>2019-11-25T15:00:00.000-07:00</t>
  </si>
  <si>
    <t>S.typhi 18.11.2019, s.paratyphi 18.11.2019</t>
  </si>
  <si>
    <t>1ad8590a-d0f6-4ddd-9a66-6f9cf1474810</t>
  </si>
  <si>
    <t>2019-11-28T06:33:20</t>
  </si>
  <si>
    <t>f0173a28-21ac-4432-b598-60294fdf0ab2</t>
  </si>
  <si>
    <t>2020-01-02T05:49:57</t>
  </si>
  <si>
    <t>fb585d37-365f-4b27-8d29-d0978def5f06</t>
  </si>
  <si>
    <t>2019-11-20T05:29:34</t>
  </si>
  <si>
    <t>2020-01-02T11:23:14.000+06:30</t>
  </si>
  <si>
    <t>2019-11-28T12:06:36.000-07:00</t>
  </si>
  <si>
    <t>2020-01-02T11:25:00.000+06:30</t>
  </si>
  <si>
    <t>2019-11-20T11:03:07.000-07:00</t>
  </si>
  <si>
    <t>26f89554-2452-4ec7-b839-3499ac76aa08</t>
  </si>
  <si>
    <t>2019-11-28T06:33:48</t>
  </si>
  <si>
    <t>2019-11-28T12:07:10.000-07:00</t>
  </si>
  <si>
    <t>82e01fc3-a2f3-4de2-aa2b-2228dc86efb9</t>
  </si>
  <si>
    <t>2019-11-28T06:34:22</t>
  </si>
  <si>
    <t>01e75e17-674a-477c-97f3-45ff4dfff986</t>
  </si>
  <si>
    <t>2019-11-28T12:07:55.000-07:00</t>
  </si>
  <si>
    <t>2019-11-20T05:30:25</t>
  </si>
  <si>
    <t>Associated Sample PLc1094</t>
  </si>
  <si>
    <t>51d4406b-6d41-4dc1-a7cd-5983b0013361</t>
  </si>
  <si>
    <t>2019-11-20T11:04:13.000-07:00</t>
  </si>
  <si>
    <t>2019-11-28T06:35:07</t>
  </si>
  <si>
    <t>2019-11-28T12:08:25.000-07:00</t>
  </si>
  <si>
    <t>22725974-9d68-4d3d-a26b-53df8de67de8</t>
  </si>
  <si>
    <t>2019-11-28T06:35:36</t>
  </si>
  <si>
    <t>2019-11-28T12:08:57.000-07:00</t>
  </si>
  <si>
    <t>2019-11-27T13:00:00.000-07:00</t>
  </si>
  <si>
    <t>c38f8d19-cedb-4d74-b904-22aeb2b816c4</t>
  </si>
  <si>
    <t>2019-11-28T06:36:09</t>
  </si>
  <si>
    <t>2019-11-28T12:09:27.000-07:00</t>
  </si>
  <si>
    <t>5c81066b-3fec-4b45-9405-ee4ed66b4b34</t>
  </si>
  <si>
    <t>2019-11-20T05:31:31</t>
  </si>
  <si>
    <t>5b1512ff-0dcb-44ab-93ac-555c933e0e92</t>
  </si>
  <si>
    <t>2019-11-20T11:06:43.000-07:00</t>
  </si>
  <si>
    <t>2019-11-28T06:36:39</t>
  </si>
  <si>
    <t>d8f0f8ee-c094-47e2-ab4e-89632b4bb3cb</t>
  </si>
  <si>
    <t>2019-11-28T12:10:11.000-07:00</t>
  </si>
  <si>
    <t>2020-01-02T05:51:44</t>
  </si>
  <si>
    <t>2020-01-02T11:26:59.000+06:30</t>
  </si>
  <si>
    <t>Associated Sample PLc1096</t>
  </si>
  <si>
    <t>ea1ab373-76b5-4f03-94e4-1c29eb8fe899</t>
  </si>
  <si>
    <t>2019-11-28T06:37:23</t>
  </si>
  <si>
    <t>Associated Sample FPd1004, FPe1004, FPa1004, FPb1004, FPc1004</t>
  </si>
  <si>
    <t>2019-11-28T12:10:46.000-07:00</t>
  </si>
  <si>
    <t>4994209d-d73f-4540-ab63-03462d07dbe0</t>
  </si>
  <si>
    <t>2019-11-20T05:32:28</t>
  </si>
  <si>
    <t>2019-11-20T11:07:45.000-07:00</t>
  </si>
  <si>
    <t>37b45208-7d41-4e6e-829a-856eb3185a51</t>
  </si>
  <si>
    <t>2019-11-28T06:37:58</t>
  </si>
  <si>
    <t>2019-11-28T12:10:47.000-07:00</t>
  </si>
  <si>
    <t>2019-11-20T11:08:36.000-07:00</t>
  </si>
  <si>
    <t>2019-11-28T12:11:22.000-07:00</t>
  </si>
  <si>
    <t>90375b92-5a13-45d9-a7db-d4ae60951073</t>
  </si>
  <si>
    <t>2019-11-28T06:38:36</t>
  </si>
  <si>
    <t>2019-11-28T12:12:01.000-07:00</t>
  </si>
  <si>
    <t>Associated Sample MO1123</t>
  </si>
  <si>
    <t>80d5eb5d-7f56-49e5-9690-515c399ed956</t>
  </si>
  <si>
    <t>9af7c9f2-4c97-4c06-a653-10923eb2e692</t>
  </si>
  <si>
    <t>2019-11-20T05:35:55</t>
  </si>
  <si>
    <t>2019-11-28T06:39:15</t>
  </si>
  <si>
    <t>2019-11-20T11:08:37.000-07:00</t>
  </si>
  <si>
    <t>2019-11-28T12:12:36.000-07:00</t>
  </si>
  <si>
    <t>2019-11-20T11:09:31.000-07:00</t>
  </si>
  <si>
    <t>8fe63e4f-4fe6-4fe3-8cf9-c806bc99350a</t>
  </si>
  <si>
    <t>2019-11-28T06:39:49</t>
  </si>
  <si>
    <t>2019-11-28T12:13:05.000-07:00</t>
  </si>
  <si>
    <t>de92042d-28b9-4046-94a1-bb8d2889dec9</t>
  </si>
  <si>
    <t>2019-11-28T06:40:17</t>
  </si>
  <si>
    <t>WG5 1ml and 100µl plaque count - CL, MSA 1:10^4 - 7 vol. 1ml.</t>
  </si>
  <si>
    <t>2019-11-28T12:13:36.000-07:00</t>
  </si>
  <si>
    <t>e62b4366-a764-4a06-ad3f-28efdf0834dd</t>
  </si>
  <si>
    <t>5d175bc5-7591-48a1-9ae6-dccf94b8b546</t>
  </si>
  <si>
    <t>2020-01-02T05:53:43</t>
  </si>
  <si>
    <t>2019-11-20T05:36:50</t>
  </si>
  <si>
    <t>2020-01-02T11:27:00.000+06:30</t>
  </si>
  <si>
    <t>d42f34cf-5492-4f78-8577-25157db318ef</t>
  </si>
  <si>
    <t>2019-11-28T06:40:48</t>
  </si>
  <si>
    <t>2020-01-02T11:28:46.000+06:30</t>
  </si>
  <si>
    <t>2019-11-20T11:10:54.000-07:00</t>
  </si>
  <si>
    <t>2019-11-28T12:14:03.000-07:00</t>
  </si>
  <si>
    <t>832ce9ff-6de9-4d13-ade9-58ff888b4697</t>
  </si>
  <si>
    <t>2019-11-28T06:41:15</t>
  </si>
  <si>
    <t>2019-12-04T11:23:07.000-07:00</t>
  </si>
  <si>
    <t>2019-12-04T11:24:45.000-07:00</t>
  </si>
  <si>
    <t>2019-11-29T10:00:00.000-07:00</t>
  </si>
  <si>
    <t>b04af645-3b5c-4d62-8240-82e43714fbd0</t>
  </si>
  <si>
    <t>2019-11-20T05:38:14</t>
  </si>
  <si>
    <t>fb158252-d3ae-4b58-b5e1-583f39e9bce6</t>
  </si>
  <si>
    <t>2019-12-04T05:51:54</t>
  </si>
  <si>
    <t>2019-11-20T11:10:55.000-07:00</t>
  </si>
  <si>
    <t>2019-12-04T11:25:15.000-07:00</t>
  </si>
  <si>
    <t>2019-11-20T11:11:52.000-07:00</t>
  </si>
  <si>
    <t>322a3d4e-c936-4966-8934-c9179cc9a5ca</t>
  </si>
  <si>
    <t>2019-12-04T05:52:23</t>
  </si>
  <si>
    <t>2019-12-04T11:25:16.000-07:00</t>
  </si>
  <si>
    <t>2019-12-04T11:25:43.000-07:00</t>
  </si>
  <si>
    <t>Associatedsample PLc1068</t>
  </si>
  <si>
    <t>d12220b7-720b-4521-9e42-110d88963ee2</t>
  </si>
  <si>
    <t>2019-12-04T05:52:50</t>
  </si>
  <si>
    <t>f1595213-9f32-4929-9ee9-239e62191c48</t>
  </si>
  <si>
    <t>2019-11-20T05:39:12</t>
  </si>
  <si>
    <t>2019-12-04T11:26:09.000-07:00</t>
  </si>
  <si>
    <t>2019-11-20T11:11:53.000-07:00</t>
  </si>
  <si>
    <t>a6fec02a-8166-4a37-aa46-9bedf2ac85a8</t>
  </si>
  <si>
    <t>2020-01-02T05:55:29</t>
  </si>
  <si>
    <t>2019-11-20T11:13:41.000-07:00</t>
  </si>
  <si>
    <t>2020-01-02T11:28:47.000+06:30</t>
  </si>
  <si>
    <t>f98963ff-f459-427f-b375-4bf878e789de</t>
  </si>
  <si>
    <t>2019-12-04T05:53:16</t>
  </si>
  <si>
    <t>2020-01-02T11:30:29.000+06:30</t>
  </si>
  <si>
    <t>2019-12-04T11:26:34.000-07:00</t>
  </si>
  <si>
    <t>793d1bb5-b37b-4a3f-9443-24a33297da2f</t>
  </si>
  <si>
    <t>2019-12-04T05:53:42</t>
  </si>
  <si>
    <t>2019-12-04T11:27:39.000-07:00</t>
  </si>
  <si>
    <t>c88749d8-ba39-44e0-9c34-5aaf2f9ffed8</t>
  </si>
  <si>
    <t>2019-11-20T05:41:01</t>
  </si>
  <si>
    <t>42510f9b-7bee-473f-b4a4-ab9064d9a66f</t>
  </si>
  <si>
    <t>2019-12-04T05:54:46</t>
  </si>
  <si>
    <t>2019-12-04T11:28:15.000-07:00</t>
  </si>
  <si>
    <t>2019-11-20T11:15:44.000-07:00</t>
  </si>
  <si>
    <t>2adf3a94-622e-4fd6-b66a-74372678567c</t>
  </si>
  <si>
    <t>2019-12-04T05:55:22</t>
  </si>
  <si>
    <t>2019-12-04T11:28:44.000-07:00</t>
  </si>
  <si>
    <t>Associated sample PLc1069</t>
  </si>
  <si>
    <t>8e2249dc-dbbc-4bda-88f7-6f88fe83457a</t>
  </si>
  <si>
    <t>2019-12-04T05:55:51</t>
  </si>
  <si>
    <t>5e5bb174-cd2c-4ae4-bcd0-eb06804edd89</t>
  </si>
  <si>
    <t>2019-11-20T05:42:08</t>
  </si>
  <si>
    <t>2019-11-20T11:14:49.000-07:00</t>
  </si>
  <si>
    <t>4e71e73e-cf3b-48bb-90da-c986d82004d0</t>
  </si>
  <si>
    <t>2019-12-04T11:29:15.000-07:00</t>
  </si>
  <si>
    <t>2020-01-02T05:57:13</t>
  </si>
  <si>
    <t>2019-11-20T11:16:54.000-07:00</t>
  </si>
  <si>
    <t>2020-01-02T11:33:57.000+06:30</t>
  </si>
  <si>
    <t>7a3600f6-f192-4298-8fbd-4b87ec1bb31a</t>
  </si>
  <si>
    <t>2019-12-04T05:56:22</t>
  </si>
  <si>
    <t>2019-12-04T11:29:54.000-07:00</t>
  </si>
  <si>
    <t>13069b89-e862-41d7-9159-66472bfef226</t>
  </si>
  <si>
    <t>2019-11-20T05:44:14</t>
  </si>
  <si>
    <t>d9ada6c5-5ccf-4984-98e8-10649455ec3e</t>
  </si>
  <si>
    <t>2019-12-04T05:57:02</t>
  </si>
  <si>
    <t>2019-11-20T11:17:44.000-07:00</t>
  </si>
  <si>
    <t>2019-12-04T11:30:20.000-07:00</t>
  </si>
  <si>
    <t>af72237c-25ea-4b42-918c-8712f3beb53a</t>
  </si>
  <si>
    <t>2019-12-04T05:57:27</t>
  </si>
  <si>
    <t>2019-12-04T11:30:58.000-07:00</t>
  </si>
  <si>
    <t>Associated Sample MO1125</t>
  </si>
  <si>
    <t>ef4a402a-b18a-43e9-a12e-92133990d0c5</t>
  </si>
  <si>
    <t>02612b45-48a2-4dcd-9e14-389bafcb6574</t>
  </si>
  <si>
    <t>2019-12-04T05:58:05</t>
  </si>
  <si>
    <t>2019-11-20T05:45:03</t>
  </si>
  <si>
    <t>2019-12-04T11:31:31.000-07:00</t>
  </si>
  <si>
    <t>GB124 1ml plaque count - CL, GB124 1:10^2 - 72 vol. 1ml.</t>
  </si>
  <si>
    <t>2019-11-20T11:18:42.000-07:00</t>
  </si>
  <si>
    <t>b297debf-1433-464b-9ca4-ab535da5b4d2</t>
  </si>
  <si>
    <t>2020-01-02T06:00:40</t>
  </si>
  <si>
    <t>2020-01-02T11:33:58.000+06:30</t>
  </si>
  <si>
    <t>d1319370-4f86-458f-81a4-d825d87c41a3</t>
  </si>
  <si>
    <t>2019-12-04T05:58:38</t>
  </si>
  <si>
    <t>2020-01-02T11:37:20.000+06:30</t>
  </si>
  <si>
    <t>2019-12-04T11:32:10.000-07:00</t>
  </si>
  <si>
    <t>2019-12-03T13:00:00.000-07:00</t>
  </si>
  <si>
    <t>1585cd77-33b7-4e66-95dd-4debc6e45f2f</t>
  </si>
  <si>
    <t>2019-12-04T05:59:18</t>
  </si>
  <si>
    <t>dabfbfaa-bdd7-45fe-9395-1cf8d2536f79</t>
  </si>
  <si>
    <t>2019-11-20T05:46:01</t>
  </si>
  <si>
    <t>2019-12-04T11:32:35.000-07:00</t>
  </si>
  <si>
    <t>2019-11-20T11:20:09.000-07:00</t>
  </si>
  <si>
    <t>8ca9fde8-dc07-4131-84fb-a6fb14ee01db</t>
  </si>
  <si>
    <t>2019-12-04T05:59:42</t>
  </si>
  <si>
    <t>2019-12-04T11:33:15.000-07:00</t>
  </si>
  <si>
    <t>40232fb5-f0d3-4c35-b198-79eebd62ef50</t>
  </si>
  <si>
    <t>2020-01-02T06:04:06</t>
  </si>
  <si>
    <t>2020-01-02T11:37:21.000+06:30</t>
  </si>
  <si>
    <t>2020-01-02T11:39:33.000+06:30</t>
  </si>
  <si>
    <t>a6ffdad3-e2f7-4e72-b714-969c3b6ea56b</t>
  </si>
  <si>
    <t>Associated Sample PLc1103</t>
  </si>
  <si>
    <t>2019-11-20T05:47:28</t>
  </si>
  <si>
    <t>6bb19ada-2d6e-4da8-8f69-f94bad228794</t>
  </si>
  <si>
    <t>2019-12-04T06:00:22</t>
  </si>
  <si>
    <t>2019-11-20T11:20:58.000-07:00</t>
  </si>
  <si>
    <t>2019-12-04T11:33:48.000-07:00</t>
  </si>
  <si>
    <t>b28abfca-6162-4a98-92eb-73b1bafd89b1</t>
  </si>
  <si>
    <t>2019-12-04T06:00:55</t>
  </si>
  <si>
    <t>2019-12-04T11:34:14.000-07:00</t>
  </si>
  <si>
    <t>6bcdeddd-7906-4874-bdae-c14fb79dac82</t>
  </si>
  <si>
    <t>2019-11-20T05:48:17</t>
  </si>
  <si>
    <t>f9b05aae-544c-460f-b7e1-875ef57a154d</t>
  </si>
  <si>
    <t>2019-11-20T11:20:59.000-07:00</t>
  </si>
  <si>
    <t>2019-12-04T06:01:21</t>
  </si>
  <si>
    <t>2019-11-20T11:21:46.000-07:00</t>
  </si>
  <si>
    <t>b70fdde4-3401-4a2a-89cc-23818e45bdcb</t>
  </si>
  <si>
    <t>2019-12-04T11:35:02.000-07:00</t>
  </si>
  <si>
    <t>2020-01-02T06:06:18</t>
  </si>
  <si>
    <t>2020-01-02T11:39:34.000+06:30</t>
  </si>
  <si>
    <t>2020-01-02T11:40:24.000+06:30</t>
  </si>
  <si>
    <t>Associated Sample PLc1105</t>
  </si>
  <si>
    <t>9960e748-1c58-4477-a137-3485aed71b34</t>
  </si>
  <si>
    <t>2019-12-04T06:02:09</t>
  </si>
  <si>
    <t>f360a1f1-8805-4163-814e-763bb2df0514</t>
  </si>
  <si>
    <t>2019-12-04T11:35:27.000-07:00</t>
  </si>
  <si>
    <t>2019-11-20T05:49:05</t>
  </si>
  <si>
    <t>2019-11-20T11:22:35.000-07:00</t>
  </si>
  <si>
    <t>d2a15819-78ea-470c-b5e8-0dd6eb7a0cc9</t>
  </si>
  <si>
    <t>2019-12-04T06:02:34</t>
  </si>
  <si>
    <t>2019-12-04T11:35:52.000-07:00</t>
  </si>
  <si>
    <t>de6cd5c0-a85c-4738-bcf8-8252bae26771</t>
  </si>
  <si>
    <t>2019-11-20T05:49:54</t>
  </si>
  <si>
    <t>cd723190-8c34-4d98-808d-aa5c01c15c5b</t>
  </si>
  <si>
    <t>2019-12-04T06:02:59</t>
  </si>
  <si>
    <t>2019-12-10T12:10:44.000-07:00</t>
  </si>
  <si>
    <t>81ca7add-4f72-49d1-b200-40816fa9b22d</t>
  </si>
  <si>
    <t>2020-01-02T06:07:08</t>
  </si>
  <si>
    <t>2019-11-20T11:23:31.000-07:00</t>
  </si>
  <si>
    <t>2020-01-02T11:40:25.000+06:30</t>
  </si>
  <si>
    <t>2019-12-10T12:11:30.000-07:00</t>
  </si>
  <si>
    <t>2020-01-02T11:42:44.000+06:30</t>
  </si>
  <si>
    <t>2019-12-05T10:00:00.000-07:00</t>
  </si>
  <si>
    <t>2020-01-01T14:00:00.000+06:30</t>
  </si>
  <si>
    <t>2020-01-02T15:30:00.000+06:30</t>
  </si>
  <si>
    <t>8f6b8afa-e33a-43f6-af0d-edd332786ffe</t>
  </si>
  <si>
    <t>2019-12-10T06:38:34</t>
  </si>
  <si>
    <t>30699dea-d009-4aa9-80a9-f3b7bc73f2ba</t>
  </si>
  <si>
    <t>2019-11-20T05:50:49</t>
  </si>
  <si>
    <t>2019-12-10T12:12:01.000-07:00</t>
  </si>
  <si>
    <t>2019-11-20T11:24:25.000-07:00</t>
  </si>
  <si>
    <t>a4924d5a-6743-41ad-80ac-ed0b7f158543</t>
  </si>
  <si>
    <t>2019-12-10T06:39:06</t>
  </si>
  <si>
    <t>2019-12-10T12:12:33.000-07:00</t>
  </si>
  <si>
    <t>bc495ab8-1f7a-443f-ab63-09851e26fbb0</t>
  </si>
  <si>
    <t>2019-11-20T05:51:44</t>
  </si>
  <si>
    <t>2019-11-20T11:24:26.000-07:00</t>
  </si>
  <si>
    <t>3d6518c3-50af-4189-b60f-3ac867121f8f</t>
  </si>
  <si>
    <t>2019-11-20T11:25:20.000-07:00</t>
  </si>
  <si>
    <t>2019-12-10T06:39:37</t>
  </si>
  <si>
    <t>3dce4b6d-1302-488d-bf59-1c8e26b7102c</t>
  </si>
  <si>
    <t>2020-01-02T06:09:29</t>
  </si>
  <si>
    <t>2020-01-13T12:11:23.000+06:30</t>
  </si>
  <si>
    <t>2019-12-10T12:13:04.000-07:00</t>
  </si>
  <si>
    <t>2020-01-13T12:14:18.000+06:30</t>
  </si>
  <si>
    <t>2020-01-02T14:30:00.000+06:30</t>
  </si>
  <si>
    <t>2020-01-03T15:30:00.000+06:30</t>
  </si>
  <si>
    <t>e9759633-f7d8-4026-aaad-e46247435ba0</t>
  </si>
  <si>
    <t>2019-11-20T05:52:39</t>
  </si>
  <si>
    <t>e5939a7f-b3e2-4fd7-8cd6-33b7cad09191</t>
  </si>
  <si>
    <t>2019-12-10T06:40:06</t>
  </si>
  <si>
    <t>2019-11-20T11:26:27.000-07:00</t>
  </si>
  <si>
    <t>2019-12-10T12:13:27.000-07:00</t>
  </si>
  <si>
    <t>9dc62ed2-783a-4990-8c84-4f32c3a46f75</t>
  </si>
  <si>
    <t>2019-12-10T06:40:28</t>
  </si>
  <si>
    <t>Associated sample PLc1075</t>
  </si>
  <si>
    <t>fd52a688-3c7a-4fe2-90ad-b3011d0e3090</t>
  </si>
  <si>
    <t>2019-11-20T05:53:46</t>
  </si>
  <si>
    <t>2019-12-10T12:14:11.000-07:00</t>
  </si>
  <si>
    <t>2019-11-20T11:27:08.000-07:00</t>
  </si>
  <si>
    <t>2019-11-20T11:28:10.000-07:00</t>
  </si>
  <si>
    <t>Associated Sample PLc1109</t>
  </si>
  <si>
    <t>46613226-7c0d-476c-a3db-8d57c7a76527</t>
  </si>
  <si>
    <t>2020-01-13T06:40:52</t>
  </si>
  <si>
    <t>808cd6d0-e5a2-4337-8ab8-ab52346dfc93</t>
  </si>
  <si>
    <t>2019-12-10T06:41:13</t>
  </si>
  <si>
    <t>2020-01-13T12:16:30.000+06:30</t>
  </si>
  <si>
    <t>2019-12-10T12:14:45.000-07:00</t>
  </si>
  <si>
    <t>5f864d95-50fd-4c37-a3c6-e289fe0efd9f</t>
  </si>
  <si>
    <t>2019-11-20T05:55:28</t>
  </si>
  <si>
    <t>2019-11-20T11:28:51.000-07:00</t>
  </si>
  <si>
    <t>2311458b-a0b2-43bd-8ab0-e33dac0392ba</t>
  </si>
  <si>
    <t>2019-12-10T06:41:47</t>
  </si>
  <si>
    <t>2019-12-10T12:15:12.000-07:00</t>
  </si>
  <si>
    <t>ae63fac8-56c4-4afe-a4e2-fd141409235a</t>
  </si>
  <si>
    <t>2019-12-10T06:42:14</t>
  </si>
  <si>
    <t>0d415357-3767-4ae9-8e23-56ab0cac2cb4</t>
  </si>
  <si>
    <t>2019-11-20T05:56:10</t>
  </si>
  <si>
    <t>2019-12-10T12:16:39.000-07:00</t>
  </si>
  <si>
    <t>2019-11-20T11:30:08.000-07:00</t>
  </si>
  <si>
    <t>8866f1d5-8603-45fe-a025-358791bd12b1</t>
  </si>
  <si>
    <t>6c29a16e-973d-4784-8a7d-335962282961</t>
  </si>
  <si>
    <t>2019-12-10T06:43:42</t>
  </si>
  <si>
    <t>2020-01-13T06:43:08</t>
  </si>
  <si>
    <t>2020-01-13T12:16:31.000+06:30</t>
  </si>
  <si>
    <t>2020-01-13T12:18:31.000+06:30</t>
  </si>
  <si>
    <t>Associated sample MO1117</t>
  </si>
  <si>
    <t>2019-12-10T12:17:09.000-07:00</t>
  </si>
  <si>
    <t>c85b6454-eed6-4b19-892e-b608d9d72a30</t>
  </si>
  <si>
    <t>2019-11-20T05:57:28</t>
  </si>
  <si>
    <t>2019-12-09T10:00:00.000-07:00</t>
  </si>
  <si>
    <t>2019-11-20T11:37:17.000-07:00</t>
  </si>
  <si>
    <t>4d2ab41f-949f-4c9e-9577-9623362c4edc</t>
  </si>
  <si>
    <t>2019-12-10T06:44:11</t>
  </si>
  <si>
    <t>S.typhi 19.11.2019, s.paratyphi 19.11.2019</t>
  </si>
  <si>
    <t>2019-12-10T12:17:36.000-07:00</t>
  </si>
  <si>
    <t>276085d3-bc8c-4d8c-8ecc-5cfb9e44b08b</t>
  </si>
  <si>
    <t>215fe969-ddfa-46b7-81a1-f1bb2a0ec3f6</t>
  </si>
  <si>
    <t>2019-11-20T06:04:37</t>
  </si>
  <si>
    <t>2019-12-10T06:44:39</t>
  </si>
  <si>
    <t>2019-11-20T11:38:01.000-07:00</t>
  </si>
  <si>
    <t>2019-12-10T12:18:10.000-07:00</t>
  </si>
  <si>
    <t>Associated Sample MO1129</t>
  </si>
  <si>
    <t>3af61bde-5c3b-4d16-bc70-a31c950a50e9</t>
  </si>
  <si>
    <t>2019-12-10T06:45:11</t>
  </si>
  <si>
    <t>c4151ae8-030a-45ac-910d-c692efec0333</t>
  </si>
  <si>
    <t>2020-01-13T06:45:06</t>
  </si>
  <si>
    <t>063c659a-b7e1-49f7-9d9e-bf9842e71aff</t>
  </si>
  <si>
    <t>2019-11-20T06:05:19</t>
  </si>
  <si>
    <t>2020-01-13T12:20:28.000+06:30</t>
  </si>
  <si>
    <t>2019-12-10T12:19:08.000-07:00</t>
  </si>
  <si>
    <t>2019-11-20T11:38:54.000-07:00</t>
  </si>
  <si>
    <t>a8e95696-19c7-4d2c-a166-7533d454aca4</t>
  </si>
  <si>
    <t>2019-12-10T06:46:12</t>
  </si>
  <si>
    <t>2019-12-10T12:19:32.000-07:00</t>
  </si>
  <si>
    <t>b333ded0-55b1-4789-a0a7-73bef6490684</t>
  </si>
  <si>
    <t>2019-11-20T06:06:14</t>
  </si>
  <si>
    <t>7f9dc069-c9f7-4742-8c1f-211a946e22f5</t>
  </si>
  <si>
    <t>2019-12-10T06:46:34</t>
  </si>
  <si>
    <t>2019-11-20T11:39:48.000-07:00</t>
  </si>
  <si>
    <t>2019-12-10T12:19:56.000-07:00</t>
  </si>
  <si>
    <t>797ccf00-79bf-4eda-b8a8-3d728dc4cfb1</t>
  </si>
  <si>
    <t>2019-11-20T06:07:07</t>
  </si>
  <si>
    <t>184401d4-7af7-482e-8c19-b49427688e60</t>
  </si>
  <si>
    <t>2020-01-13T06:47:03</t>
  </si>
  <si>
    <t>2020-01-13T12:20:29.000+06:30</t>
  </si>
  <si>
    <t>6895496c-4775-44e9-9bce-77f5bd06b80a</t>
  </si>
  <si>
    <t>2020-01-13T12:22:36.000+06:30</t>
  </si>
  <si>
    <t>2019-11-20T11:40:37.000-07:00</t>
  </si>
  <si>
    <t>2019-12-10T06:46:59</t>
  </si>
  <si>
    <t>2019-12-10T12:20:19.000-07:00</t>
  </si>
  <si>
    <t>15fd0d45-3a6d-4e56-9f13-c8f01a6cbf93</t>
  </si>
  <si>
    <t>2019-11-20T06:07:56</t>
  </si>
  <si>
    <t>7e56c63d-8924-4eb7-9883-64286bf44889</t>
  </si>
  <si>
    <t>2019-12-10T06:47:21</t>
  </si>
  <si>
    <t>2019-11-20T11:43:07.000-07:00</t>
  </si>
  <si>
    <t>2019-12-10T12:20:41.000-07:00</t>
  </si>
  <si>
    <t>bde9d43d-953e-4cf3-a22b-44ac4664d34d</t>
  </si>
  <si>
    <t>2020-01-13T06:49:11</t>
  </si>
  <si>
    <t>2020-01-13T12:23:42.000+06:30</t>
  </si>
  <si>
    <t>c50e629d-4fe9-428d-8174-33dc8a48a9e9</t>
  </si>
  <si>
    <t>2019-12-10T06:47:41</t>
  </si>
  <si>
    <t>cfc1f2b8-5f17-422d-ba91-ceebfb3586eb</t>
  </si>
  <si>
    <t>2019-11-20T06:10:26</t>
  </si>
  <si>
    <t>2019-12-10T12:21:06.000-07:00</t>
  </si>
  <si>
    <t>2019-11-20T11:43:51.000-07:00</t>
  </si>
  <si>
    <t>67fcb62d-92c2-462d-9bd8-fdd1adcd3d11</t>
  </si>
  <si>
    <t>2020-01-13T06:50:15</t>
  </si>
  <si>
    <t>f1772b65-701c-4995-8e8b-00468551f074</t>
  </si>
  <si>
    <t>aa24a708-c52d-4ef8-a8f4-7a1e7ce31bc0</t>
  </si>
  <si>
    <t>2019-11-20T06:11:11</t>
  </si>
  <si>
    <t>2020-01-13T12:23:43.000+06:30</t>
  </si>
  <si>
    <t>2019-12-10T06:48:08</t>
  </si>
  <si>
    <t>2019-11-20T11:43:52.000-07:00</t>
  </si>
  <si>
    <t>2020-01-13T12:24:45.000+06:30</t>
  </si>
  <si>
    <t>2019-11-20T11:44:39.000-07:00</t>
  </si>
  <si>
    <t>2019-12-10T12:21:28.000-07:00</t>
  </si>
  <si>
    <t>120da155-f4e8-469f-be5e-f6b7e75b426a</t>
  </si>
  <si>
    <t>34b53586-cf10-461c-b08b-bbf41a52b7e8</t>
  </si>
  <si>
    <t>2019-12-10T06:48:30</t>
  </si>
  <si>
    <t>2019-11-20T06:11:58</t>
  </si>
  <si>
    <t>2019-11-20T11:45:20.000-07:00</t>
  </si>
  <si>
    <t>2019-12-10T12:21:53.000-07:00</t>
  </si>
  <si>
    <t>86f3e5aa-be29-440e-a9d6-601acef0698a</t>
  </si>
  <si>
    <t>2020-01-13T06:51:20</t>
  </si>
  <si>
    <t>2020-01-13T12:27:09.000+06:30</t>
  </si>
  <si>
    <t>54cc9bb8-4a98-414a-b42f-45839cbea107</t>
  </si>
  <si>
    <t>2019-12-10T06:48:55</t>
  </si>
  <si>
    <t>2020-01-09T16:00:00.000+06:30</t>
  </si>
  <si>
    <t>2020-01-10T16:00:00.000+06:30</t>
  </si>
  <si>
    <t>caa42fdf-b692-45f0-b5d5-047e1008de0b</t>
  </si>
  <si>
    <t>2019-11-26T05:57:04</t>
  </si>
  <si>
    <t>2019-12-10T12:22:25.000-07:00</t>
  </si>
  <si>
    <t>2019-11-20T11:46:03.000-07:00</t>
  </si>
  <si>
    <t>Associated Sample PLc1114</t>
  </si>
  <si>
    <t>ffa35296-d906-4d9f-9205-6475bcae810d</t>
  </si>
  <si>
    <t>2019-12-10T06:49:27</t>
  </si>
  <si>
    <t>2019-12-10T12:22:53.000-07:00</t>
  </si>
  <si>
    <t>116fa07c-9a86-4e54-b162-4c54d32c250a</t>
  </si>
  <si>
    <t>2019-11-26T05:57:08</t>
  </si>
  <si>
    <t>e749d8a2-49e4-44b0-a577-d125c31fc22d</t>
  </si>
  <si>
    <t>2020-01-13T06:55:25</t>
  </si>
  <si>
    <t>02a5112c-2998-4ab4-a9f0-a6a06cea1a1b</t>
  </si>
  <si>
    <t>2019-12-10T06:49:55</t>
  </si>
  <si>
    <t>2020-01-13T12:27:10.000+06:30</t>
  </si>
  <si>
    <t>2019-12-13T12:46:41.000-07:00</t>
  </si>
  <si>
    <t>2019-11-20T11:48:32.000-07:00</t>
  </si>
  <si>
    <t>2020-01-13T12:28:51.000+06:30</t>
  </si>
  <si>
    <t>2019-12-13T12:47:33.000-07:00</t>
  </si>
  <si>
    <t>2019-12-11T10:00:00.000-07:00</t>
  </si>
  <si>
    <t>Associated sample PLc1080</t>
  </si>
  <si>
    <t>e90e5643-e7c1-4a1d-8c7f-99e3f85f1777</t>
  </si>
  <si>
    <t>a40c2d2a-95ce-4aae-a5f7-11a0dec5c13b</t>
  </si>
  <si>
    <t>2019-11-26T05:57:10</t>
  </si>
  <si>
    <t>2019-11-26T11:29:26.000-07:00</t>
  </si>
  <si>
    <t>2019-12-13T07:14:32</t>
  </si>
  <si>
    <t>2019-11-26T11:31:52.000-07:00</t>
  </si>
  <si>
    <t>2019-12-13T12:48:28.000-07:00</t>
  </si>
  <si>
    <t>Associated sample PLc1118</t>
  </si>
  <si>
    <t>d1595fb5-d191-4ee4-9371-fe58b599e252</t>
  </si>
  <si>
    <t>2019-12-13T07:15:26</t>
  </si>
  <si>
    <t>bcf37a68-e30e-4425-973e-a106b550ffb0</t>
  </si>
  <si>
    <t>2019-11-26T05:59:08</t>
  </si>
  <si>
    <t>2ddbe5eb-9d6b-4fa1-b9d8-5bb0528517fd</t>
  </si>
  <si>
    <t>2020-01-13T06:55:26</t>
  </si>
  <si>
    <t>2020-01-13T12:28:52.000+06:30</t>
  </si>
  <si>
    <t>2019-12-13T12:49:11.000-07:00</t>
  </si>
  <si>
    <t>2020-01-13T12:30:31.000+06:30</t>
  </si>
  <si>
    <t>2019-11-26T11:41:24.000-07:00</t>
  </si>
  <si>
    <t>02173728-79ff-48d0-ae92-7fa13cda5de8</t>
  </si>
  <si>
    <t>2019-12-13T07:16:10</t>
  </si>
  <si>
    <t>2019-12-13T12:49:44.000-07:00</t>
  </si>
  <si>
    <t>fe56ae0e-ac9f-4887-bb9d-cce0bb2d8b43</t>
  </si>
  <si>
    <t>2019-11-26T06:08:38</t>
  </si>
  <si>
    <t>2019-11-26T11:44:05.000-07:00</t>
  </si>
  <si>
    <t>ac9a3337-6bfd-4786-9497-582ebe565915</t>
  </si>
  <si>
    <t>2019-12-13T07:16:43</t>
  </si>
  <si>
    <t>2019-12-13T12:50:12.000-07:00</t>
  </si>
  <si>
    <t>587756f3-8673-4b38-b685-3b33d800a06b</t>
  </si>
  <si>
    <t>2020-01-13T06:57:06</t>
  </si>
  <si>
    <t>2020-01-13T12:30:32.000+06:30</t>
  </si>
  <si>
    <t>2020-01-13T12:32:27.000+06:30</t>
  </si>
  <si>
    <t>424a2628-422c-4cb7-92aa-d763c2882ecb</t>
  </si>
  <si>
    <t>2019-12-13T07:17:11</t>
  </si>
  <si>
    <t>2019-12-13T12:50:45.000-07:00</t>
  </si>
  <si>
    <t>88a14fcf-dd3f-4fe9-98db-e65ce167c6c1</t>
  </si>
  <si>
    <t>2019-11-26T06:11:20</t>
  </si>
  <si>
    <t>3f4e0ffc-3f1f-43d3-a2d4-06dc9f569117</t>
  </si>
  <si>
    <t>2019-11-26T11:52:18.000-07:00</t>
  </si>
  <si>
    <t>2019-12-13T07:17:43</t>
  </si>
  <si>
    <t>2019-12-13T12:51:16.000-07:00</t>
  </si>
  <si>
    <t>S.typhi 22.11.2019, s.paratyphi 22.11.2019</t>
  </si>
  <si>
    <t>f066984e-b886-4480-bf6f-0e0cc4c52651</t>
  </si>
  <si>
    <t>2019-12-13T07:18:14</t>
  </si>
  <si>
    <t>2019-12-13T12:51:44.000-07:00</t>
  </si>
  <si>
    <t>20a66e09-96e9-4ead-a8d9-30f43fa1e3ce</t>
  </si>
  <si>
    <t>2019-11-26T06:19:32</t>
  </si>
  <si>
    <t>ed066a8b-c384-4d1b-a5ae-622e445ff0a7</t>
  </si>
  <si>
    <t>2020-01-13T06:59:02</t>
  </si>
  <si>
    <t>0bad2fc2-435e-4a6b-b329-80d9f63e397e</t>
  </si>
  <si>
    <t>2019-12-13T07:18:43</t>
  </si>
  <si>
    <t>2020-01-13T12:34:43.000+06:30</t>
  </si>
  <si>
    <t>2019-11-26T11:53:09.000-07:00</t>
  </si>
  <si>
    <t>2019-12-13T12:52:12.000-07:00</t>
  </si>
  <si>
    <t>5653a488-dc85-4745-b6ec-de5a65118f79</t>
  </si>
  <si>
    <t>2019-12-13T07:19:11</t>
  </si>
  <si>
    <t>2019-12-13T12:52:41.000-07:00</t>
  </si>
  <si>
    <t>08c7f409-89c6-4eaf-93ac-727d927bae23</t>
  </si>
  <si>
    <t>2019-11-26T06:20:22</t>
  </si>
  <si>
    <t>2019-11-26T11:54:21.000-07:00</t>
  </si>
  <si>
    <t>580ae4b6-bd73-4424-83d3-00ec134b07de</t>
  </si>
  <si>
    <t>2019-12-13T07:19:40</t>
  </si>
  <si>
    <t>2019-12-13T12:53:16.000-07:00</t>
  </si>
  <si>
    <t>247f60de-64b4-4888-8b56-5084ebfbca4f</t>
  </si>
  <si>
    <t>2020-01-13T07:01:18</t>
  </si>
  <si>
    <t>2020-01-13T12:34:44.000+06:30</t>
  </si>
  <si>
    <t>Associated sample PLc1124</t>
  </si>
  <si>
    <t>2020-01-13T12:36:20.000+06:30</t>
  </si>
  <si>
    <t>65069c92-1545-488c-ba9d-d6537ae510ab</t>
  </si>
  <si>
    <t>2019-12-13T07:20:14</t>
  </si>
  <si>
    <t>2e7bff9b-2474-41bd-a596-7fca127f1ac7</t>
  </si>
  <si>
    <t>2019-11-26T06:21:35</t>
  </si>
  <si>
    <t>2019-12-13T12:53:48.000-07:00</t>
  </si>
  <si>
    <t>2019-11-26T11:55:17.000-07:00</t>
  </si>
  <si>
    <t>98a4218d-049e-428a-9607-6552ea383a70</t>
  </si>
  <si>
    <t>2019-12-13T07:20:46</t>
  </si>
  <si>
    <t>2019-12-13T12:54:32.000-07:00</t>
  </si>
  <si>
    <t>1d01fa75-dd7b-4606-b433-1c99210fb25d</t>
  </si>
  <si>
    <t>2019-12-13T07:21:31</t>
  </si>
  <si>
    <t>2019-12-13T12:55:09.000-07:00</t>
  </si>
  <si>
    <t>2019-12-12T10:00:00.000-07:00</t>
  </si>
  <si>
    <t>5f0ad17d-ef2c-4e3d-9361-5b2e2a73bf1c</t>
  </si>
  <si>
    <t>0fb40ca2-5033-467f-9d23-d16a72269b00</t>
  </si>
  <si>
    <t>2020-01-13T07:02:52</t>
  </si>
  <si>
    <t>2019-11-26T06:22:31</t>
  </si>
  <si>
    <t>2020-01-13T12:36:21.000+06:30</t>
  </si>
  <si>
    <t>6c0a4a14-56b8-42f0-879f-64d363db20e1</t>
  </si>
  <si>
    <t>2019-12-13T07:22:08</t>
  </si>
  <si>
    <t>2020-01-13T12:38:12.000+06:30</t>
  </si>
  <si>
    <t>2019-12-13T12:55:10.000-07:00</t>
  </si>
  <si>
    <t>2019-12-13T12:55:47.000-07:00</t>
  </si>
  <si>
    <t>2019-11-26T11:56:14.000-07:00</t>
  </si>
  <si>
    <t>d750e759-ea99-43bc-ac69-758cb5a1f0b0</t>
  </si>
  <si>
    <t>2019-12-13T07:22:46</t>
  </si>
  <si>
    <t>2019-12-18T11:33:08.000-07:00</t>
  </si>
  <si>
    <t>2019-12-18T11:34:26.000-07:00</t>
  </si>
  <si>
    <t>57a9bbbc-ff86-4dc6-bc6a-487df264032e</t>
  </si>
  <si>
    <t>2019-11-26T06:23:28</t>
  </si>
  <si>
    <t>2019-11-26T11:57:10.000-07:00</t>
  </si>
  <si>
    <t>cb9dddce-ccc1-46f5-ab52-1379e802f6db</t>
  </si>
  <si>
    <t>2019-12-18T06:01:22</t>
  </si>
  <si>
    <t>WG5 1ml plaque count - CL, MSA 1:10^4 - 2 vol. 1ml.</t>
  </si>
  <si>
    <t>2019-12-18T11:35:20.000-07:00</t>
  </si>
  <si>
    <t>f837b8fc-ecca-43e8-bf40-598f4238227b</t>
  </si>
  <si>
    <t>2020-01-13T07:04:48</t>
  </si>
  <si>
    <t>2020-01-13T12:38:13.000+06:30</t>
  </si>
  <si>
    <t>2020-01-13T12:39:15.000+06:30</t>
  </si>
  <si>
    <t>2019-12-16T10:00:00.000-07:00</t>
  </si>
  <si>
    <t>68360369-58cc-494a-bc25-3edcbe7bee29</t>
  </si>
  <si>
    <t>2019-12-18T06:02:15</t>
  </si>
  <si>
    <t>2019-12-18T11:35:46.000-07:00</t>
  </si>
  <si>
    <t>3c0012d2-938e-419b-9157-d11126a2cbfe</t>
  </si>
  <si>
    <t>2019-11-26T06:24:23</t>
  </si>
  <si>
    <t>0fc8b854-cd9e-4083-8d6c-cd9c2a072bea</t>
  </si>
  <si>
    <t>2019-12-18T06:02:41</t>
  </si>
  <si>
    <t>2019-11-26T11:57:56.000-07:00</t>
  </si>
  <si>
    <t>2019-12-18T11:36:53.000-07:00</t>
  </si>
  <si>
    <t>b40facad-0679-4f28-9d3e-2edaa162649f</t>
  </si>
  <si>
    <t>2019-12-18T06:03:49</t>
  </si>
  <si>
    <t>2019-12-18T11:36:54.000-07:00</t>
  </si>
  <si>
    <t>2019-12-18T11:37:25.000-07:00</t>
  </si>
  <si>
    <t>52cc4753-7579-4b82-8be9-f88c1fe98372</t>
  </si>
  <si>
    <t>2019-11-26T06:25:10</t>
  </si>
  <si>
    <t>07a3ec90-33e8-435d-92c6-1ca9d4ec4dc6</t>
  </si>
  <si>
    <t>2020-01-13T07:05:49</t>
  </si>
  <si>
    <t>2019-11-26T11:57:57.000-07:00</t>
  </si>
  <si>
    <t>2020-01-13T12:39:16.000+06:30</t>
  </si>
  <si>
    <t>659ec304-9759-4625-ac90-ad7096ff5628</t>
  </si>
  <si>
    <t>2019-12-18T06:04:20</t>
  </si>
  <si>
    <t>2020-01-13T12:40:10.000+06:30</t>
  </si>
  <si>
    <t>2019-11-26T11:59:00.000-07:00</t>
  </si>
  <si>
    <t>2019-12-18T11:37:50.000-07:00</t>
  </si>
  <si>
    <t>3d1db4ed-1daa-4409-b542-7e2932be8f31</t>
  </si>
  <si>
    <t>2019-12-18T06:04:45</t>
  </si>
  <si>
    <t>2019-12-18T11:38:29.000-07:00</t>
  </si>
  <si>
    <t>Associated sample PLc1130</t>
  </si>
  <si>
    <t>0baa49bc-985e-43e1-8bc1-526bfeb2ab90</t>
  </si>
  <si>
    <t>2019-12-18T06:05:24</t>
  </si>
  <si>
    <t>2019-12-18T11:38:58.000-07:00</t>
  </si>
  <si>
    <t>2ac4f677-a97c-4628-8e11-262d16d4055f</t>
  </si>
  <si>
    <t>2019-11-26T06:26:16</t>
  </si>
  <si>
    <t>fa0e30a9-8edc-4f09-a71c-65a69e869c29</t>
  </si>
  <si>
    <t>2020-01-13T07:06:44</t>
  </si>
  <si>
    <t>7ab42d1b-67e3-4115-8029-dd04d7311e0f</t>
  </si>
  <si>
    <t>2020-02-07T12:43:47.000+06:30</t>
  </si>
  <si>
    <t>2019-11-26T11:59:57.000-07:00</t>
  </si>
  <si>
    <t>2019-12-18T06:05:52</t>
  </si>
  <si>
    <t>2020-02-07T12:49:11.000+06:30</t>
  </si>
  <si>
    <t>2019-12-18T11:39:21.000-07:00</t>
  </si>
  <si>
    <t>c6a26736-fe7e-4cce-bd2f-4956e492c121</t>
  </si>
  <si>
    <t>2019-12-18T06:06:16</t>
  </si>
  <si>
    <t>2019-12-18T11:39:50.000-07:00</t>
  </si>
  <si>
    <t>7fe53b87-0528-4e9e-bba8-84a59ad25733</t>
  </si>
  <si>
    <t>2019-11-26T06:27:11</t>
  </si>
  <si>
    <t>045aed30-0a85-4e38-9121-f9f52135e045</t>
  </si>
  <si>
    <t>2019-12-18T06:06:45</t>
  </si>
  <si>
    <t>2019-11-26T12:00:42.000-07:00</t>
  </si>
  <si>
    <t>2019-12-18T11:40:31.000-07:00</t>
  </si>
  <si>
    <t>Associated sample PLc1131</t>
  </si>
  <si>
    <t>vyM9ZLdMrQjcvhoKF8Rqyc</t>
  </si>
  <si>
    <t>4ed3de48-6350-4275-8c91-4884d8ce3f95</t>
  </si>
  <si>
    <t>856744a2-7a2e-40aa-86fe-223c867509ba</t>
  </si>
  <si>
    <t>2020-02-07T07:15:23</t>
  </si>
  <si>
    <t>2019-12-18T06:07:26</t>
  </si>
  <si>
    <t>2020-02-07T12:51:21.000+06:30</t>
  </si>
  <si>
    <t>2019-12-18T11:41:04.000-07:00</t>
  </si>
  <si>
    <t>5b0ec6ed-d16f-474d-8771-fcad676078f2</t>
  </si>
  <si>
    <t>2019-11-26T06:27:56</t>
  </si>
  <si>
    <t>f5646c02-4f43-4795-89c1-73c56a67b3b7</t>
  </si>
  <si>
    <t>2019-12-18T06:07:59</t>
  </si>
  <si>
    <t>2019-11-26T12:01:30.000-07:00</t>
  </si>
  <si>
    <t>2019-12-18T11:41:32.000-07:00</t>
  </si>
  <si>
    <t>7ace80cf-b93a-4cb7-8cd6-a23b2ac7f6cd</t>
  </si>
  <si>
    <t>2019-12-18T06:08:26</t>
  </si>
  <si>
    <t>86a4bf58-369f-4524-8f54-5e0e96ba8a76</t>
  </si>
  <si>
    <t>2019-11-26T06:28:44</t>
  </si>
  <si>
    <t>7b0cd73a-3099-4b4d-b62b-a106fa674b4e</t>
  </si>
  <si>
    <t>2020-02-07T07:17:34</t>
  </si>
  <si>
    <t>2020-02-07T12:51:22.000+06:30</t>
  </si>
  <si>
    <t>2019-11-26T12:02:14.000-07:00</t>
  </si>
  <si>
    <t>2020-02-07T12:53:48.000+06:30</t>
  </si>
  <si>
    <t>2019-12-18T11:41:59.000-07:00</t>
  </si>
  <si>
    <t>c12bdd73-bff7-4a30-ada3-9f3d4af4b4bb</t>
  </si>
  <si>
    <t>2019-11-26T06:29:28</t>
  </si>
  <si>
    <t>0ab8f077-e78a-4c3f-afe1-c325e4833c94</t>
  </si>
  <si>
    <t>2019-12-18T06:08:54</t>
  </si>
  <si>
    <t>2019-11-26T12:03:13.000-07:00</t>
  </si>
  <si>
    <t>2019-12-18T11:42:23.000-07:00</t>
  </si>
  <si>
    <t>7b9962e8-44fa-4729-96a8-060223b5f06a</t>
  </si>
  <si>
    <t>29794804-5ee5-4d0f-961f-8f07dd1a0278</t>
  </si>
  <si>
    <t>2020-02-07T07:19:59</t>
  </si>
  <si>
    <t>2019-11-26T06:30:26</t>
  </si>
  <si>
    <t>2020-02-07T12:55:47.000+06:30</t>
  </si>
  <si>
    <t>cdc8ec63-309b-4581-90aa-06a62fb9f835</t>
  </si>
  <si>
    <t>2019-12-18T06:09:17</t>
  </si>
  <si>
    <t>2019-11-26T12:04:11.000-07:00</t>
  </si>
  <si>
    <t>2019-12-18T11:43:34.000-07:00</t>
  </si>
  <si>
    <t>835f7031-7f38-4e3f-a69e-269b168fe0ed</t>
  </si>
  <si>
    <t>2019-11-26T06:31:25</t>
  </si>
  <si>
    <t>8faa702c-4478-4eb9-aa9e-23d52bcacb2f</t>
  </si>
  <si>
    <t>2019-11-26T12:05:06.000-07:00</t>
  </si>
  <si>
    <t>2019-12-18T06:10:29</t>
  </si>
  <si>
    <t>2020-01-02T11:44:53.000+06:30</t>
  </si>
  <si>
    <t>2020-01-02T11:57:48.000+06:30</t>
  </si>
  <si>
    <t>7d5b1363-5ff0-41b1-8fbe-c40a69f3a204</t>
  </si>
  <si>
    <t>2020-02-07T07:22:00</t>
  </si>
  <si>
    <t>2020-02-07T12:55:48.000+06:30</t>
  </si>
  <si>
    <t>2019-12-19T10:00:00.000+06:30</t>
  </si>
  <si>
    <t>2020-02-07T12:58:34.000+06:30</t>
  </si>
  <si>
    <t>6463753a-3232-4863-b96c-eb1f53a3ca26</t>
  </si>
  <si>
    <t>2019-11-26T06:32:20</t>
  </si>
  <si>
    <t>8fd1d2d5-c8b6-4d21-83e1-c66d1a9ca662</t>
  </si>
  <si>
    <t>2020-01-02T06:24:30</t>
  </si>
  <si>
    <t>2019-11-26T12:05:54.000-07:00</t>
  </si>
  <si>
    <t>2020-01-02T11:58:11.000+06:30</t>
  </si>
  <si>
    <t>abe932f8-e704-4e44-8e70-aea7f3153573</t>
  </si>
  <si>
    <t>2020-01-02T06:24:53</t>
  </si>
  <si>
    <t>8005776f-95f4-44af-a0a9-7cecf182b8c2</t>
  </si>
  <si>
    <t>2019-11-26T06:33:09</t>
  </si>
  <si>
    <t>2020-01-02T11:58:43.000+06:30</t>
  </si>
  <si>
    <t>2019-11-26T12:07:01.000-07:00</t>
  </si>
  <si>
    <t>e2abe7b5-592c-421c-909d-8c4617446121</t>
  </si>
  <si>
    <t>2020-02-07T07:24:46</t>
  </si>
  <si>
    <t>2020-02-07T13:00:11.000+06:30</t>
  </si>
  <si>
    <t>9d079af2-1f11-48d9-86c0-29d54aedc95c</t>
  </si>
  <si>
    <t>2020-01-02T06:25:24</t>
  </si>
  <si>
    <t>2020-01-02T11:59:11.000+06:30</t>
  </si>
  <si>
    <t>b333abb4-af9c-4cf7-8854-601f085571d4</t>
  </si>
  <si>
    <t>2019-11-26T06:34:19</t>
  </si>
  <si>
    <t>2019-11-26T12:08:07.000-07:00</t>
  </si>
  <si>
    <t>f483529b-2995-47e7-9583-97ef6cc331f4</t>
  </si>
  <si>
    <t>2020-01-02T06:25:54</t>
  </si>
  <si>
    <t>2020-01-02T11:59:12.000+06:30</t>
  </si>
  <si>
    <t>2020-01-02T11:59:34.000+06:30</t>
  </si>
  <si>
    <t>c5b9011a-6b34-401e-8d00-17660e4c2713</t>
  </si>
  <si>
    <t>2020-02-07T07:26:23</t>
  </si>
  <si>
    <t>2020-02-07T13:03:49.000+06:30</t>
  </si>
  <si>
    <t>d7227f31-fd9e-4b49-a4e0-ad757445fbf3</t>
  </si>
  <si>
    <t>bc81eb2a-6489-427a-aa64-ba680c08447a</t>
  </si>
  <si>
    <t>2019-11-26T06:35:21</t>
  </si>
  <si>
    <t>2020-01-02T06:26:17</t>
  </si>
  <si>
    <t>2019-11-26T12:08:08.000-07:00</t>
  </si>
  <si>
    <t>2019-11-26T12:08:52.000-07:00</t>
  </si>
  <si>
    <t>2020-01-02T12:00:02.000+06:30</t>
  </si>
  <si>
    <t>8df149f3-847d-486a-998b-613c466bd748</t>
  </si>
  <si>
    <t>2020-01-02T06:26:45</t>
  </si>
  <si>
    <t>1d708708-f0e3-4c90-a487-6ea5589719fb</t>
  </si>
  <si>
    <t>2019-11-26T06:36:06</t>
  </si>
  <si>
    <t>2019-11-26T12:36:18.000-07:00</t>
  </si>
  <si>
    <t>2020-01-02T12:00:29.000+06:30</t>
  </si>
  <si>
    <t>618eb789-47e6-4a48-8086-09412be6433d</t>
  </si>
  <si>
    <t>S.typhi 31.10.2019, s.paratyphi 31.10.2019</t>
  </si>
  <si>
    <t>2020-02-07T07:30:02</t>
  </si>
  <si>
    <t>2020-02-07T13:03:50.000+06:30</t>
  </si>
  <si>
    <t>2020-02-07T13:06:13.000+06:30</t>
  </si>
  <si>
    <t>0a144c2c-625a-458a-8aaa-ef2b13ea8de8</t>
  </si>
  <si>
    <t>2019-11-26T07:03:34</t>
  </si>
  <si>
    <t>9dc3dbcf-a01a-4639-86c0-37b624c04942</t>
  </si>
  <si>
    <t>2019-11-26T12:36:19.000-07:00</t>
  </si>
  <si>
    <t>2020-01-02T06:27:14</t>
  </si>
  <si>
    <t>2019-11-26T12:37:08.000-07:00</t>
  </si>
  <si>
    <t>2020-01-02T12:00:54.000+06:30</t>
  </si>
  <si>
    <t>d87cd8d0-9ad0-4648-8860-2ac1aedc5a8e</t>
  </si>
  <si>
    <t>5eb8d4fe-3fb0-4b57-9d8b-ebf2af99c35f</t>
  </si>
  <si>
    <t>2019-11-26T07:04:22</t>
  </si>
  <si>
    <t>2020-01-02T06:27:37</t>
  </si>
  <si>
    <t>2020-01-02T12:01:16.000+06:30</t>
  </si>
  <si>
    <t>2019-11-26T12:38:06.000-07:00</t>
  </si>
  <si>
    <t>c5d9df08-02cb-406e-8578-7f26733189c9</t>
  </si>
  <si>
    <t>2020-01-02T06:28:02</t>
  </si>
  <si>
    <t>bef965e1-5bda-4dac-b214-9cfbbc171349</t>
  </si>
  <si>
    <t>2020-02-07T07:32:27</t>
  </si>
  <si>
    <t>2020-02-07T13:06:14.000+06:30</t>
  </si>
  <si>
    <t>2020-01-02T12:01:42.000+06:30</t>
  </si>
  <si>
    <t>2020-02-07T13:08:03.000+06:30</t>
  </si>
  <si>
    <t>2bf1ae43-755f-4fe2-b05b-2e914b038081</t>
  </si>
  <si>
    <t>2019-11-26T07:05:19</t>
  </si>
  <si>
    <t>3a115e55-9dd7-486b-8d4b-da6f98cfcc76</t>
  </si>
  <si>
    <t>2020-01-02T06:28:26</t>
  </si>
  <si>
    <t>2019-11-26T12:38:58.000-07:00</t>
  </si>
  <si>
    <t>2020-01-02T12:02:07.000+06:30</t>
  </si>
  <si>
    <t>65df274f-6b1a-4885-aebe-0c11c2ef53f2</t>
  </si>
  <si>
    <t>2020-01-02T06:28:50</t>
  </si>
  <si>
    <t>2020-01-02T12:02:35.000+06:30</t>
  </si>
  <si>
    <t>bd88a068-a52a-4c33-9b40-fedcf7dede8f</t>
  </si>
  <si>
    <t>2019-11-26T07:06:11</t>
  </si>
  <si>
    <t>7218df9c-d96e-45f3-9f84-38bfe16ed4e1</t>
  </si>
  <si>
    <t>2020-01-02T06:29:18</t>
  </si>
  <si>
    <t>2019-11-26T12:40:18.000-07:00</t>
  </si>
  <si>
    <t>18b4587f-0bb3-49f8-9fe1-f12073e75ee3</t>
  </si>
  <si>
    <t>2020-02-07T07:34:17</t>
  </si>
  <si>
    <t>2020-01-02T12:03:09.000+06:30</t>
  </si>
  <si>
    <t>2020-02-07T13:09:51.000+06:30</t>
  </si>
  <si>
    <t>Associated sample PLc1143</t>
  </si>
  <si>
    <t>432fc703-3fe3-4bc8-8c18-348f52bf5583</t>
  </si>
  <si>
    <t>Associated Sample MO1104</t>
  </si>
  <si>
    <t>2020-01-02T06:29:51</t>
  </si>
  <si>
    <t>76f217e9-59d0-48d5-9fa7-71007956eb59</t>
  </si>
  <si>
    <t>2019-11-26T07:07:32</t>
  </si>
  <si>
    <t>2019-11-26T12:41:15.000-07:00</t>
  </si>
  <si>
    <t>2020-01-02T12:03:39.000+06:30</t>
  </si>
  <si>
    <t>f41d077d-e2d6-4617-9c91-17a0304a193b</t>
  </si>
  <si>
    <t>2020-01-02T06:30:20</t>
  </si>
  <si>
    <t>741e1443-07bc-4685-9346-58e9c6b4ae20</t>
  </si>
  <si>
    <t>2019-11-26T07:08:29</t>
  </si>
  <si>
    <t>2020-01-02T12:04:07.000+06:30</t>
  </si>
  <si>
    <t>2019-11-26T12:42:05.000-07:00</t>
  </si>
  <si>
    <t>7da31e0a-b27a-485d-8d7c-d9ea7d30831d</t>
  </si>
  <si>
    <t>2020-02-07T07:36:04</t>
  </si>
  <si>
    <t>2020-02-07T13:11:29.000+06:30</t>
  </si>
  <si>
    <t>268f37c3-46bf-4f11-8b37-e0eaa709b286</t>
  </si>
  <si>
    <t>2020-01-02T06:30:48</t>
  </si>
  <si>
    <t>da1370d9-d76c-418f-b07f-a6aac262cc56</t>
  </si>
  <si>
    <t>2019-11-26T07:09:18</t>
  </si>
  <si>
    <t>2020-01-02T12:05:13.000+06:30</t>
  </si>
  <si>
    <t>2019-11-26T12:44:02.000-07:00</t>
  </si>
  <si>
    <t>e74733af-2acb-4e9e-8ffb-fecdb3e78302</t>
  </si>
  <si>
    <t>2019-11-26T07:11:17</t>
  </si>
  <si>
    <t>261b9fea-24a0-4932-a186-bb9448493048</t>
  </si>
  <si>
    <t>2019-11-26T12:44:03.000-07:00</t>
  </si>
  <si>
    <t>2020-01-02T06:31:55</t>
  </si>
  <si>
    <t>2019-11-26T12:45:03.000-07:00</t>
  </si>
  <si>
    <t>2020-01-02T12:05:57.000+06:30</t>
  </si>
  <si>
    <t>8363ddee-b1b7-40d2-9810-ec1782e5c5d5</t>
  </si>
  <si>
    <t>2020-02-07T07:37:42</t>
  </si>
  <si>
    <t>2019-12-24T10:00:00.000+06:30</t>
  </si>
  <si>
    <t>d9cb55b2-88e4-4321-bb7a-450e3af3a57e</t>
  </si>
  <si>
    <t>2019-11-26T07:12:17</t>
  </si>
  <si>
    <t>2020-02-07T13:13:48.000+06:30</t>
  </si>
  <si>
    <t>e29b4a76-d0c0-44b6-b4eb-efbbef4a200b</t>
  </si>
  <si>
    <t>2020-01-02T06:32:40</t>
  </si>
  <si>
    <t>2019-11-26T12:45:54.000-07:00</t>
  </si>
  <si>
    <t>2020-01-02T12:06:35.000+06:30</t>
  </si>
  <si>
    <t>a6cfb158-3320-45e5-aaa6-005dcff63d3b</t>
  </si>
  <si>
    <t>2019-11-26T07:13:07</t>
  </si>
  <si>
    <t>f1228d75-6e53-42ee-88c6-509ec1045072</t>
  </si>
  <si>
    <t>2020-01-02T06:33:17</t>
  </si>
  <si>
    <t>2019-11-26T12:46:44.000-07:00</t>
  </si>
  <si>
    <t>2020-01-02T12:07:00.000+06:30</t>
  </si>
  <si>
    <t>9b828d3a-b3ed-4222-a8e2-cd3f9c1c4f0b</t>
  </si>
  <si>
    <t>2020-02-07T07:40:02</t>
  </si>
  <si>
    <t>2020-02-10T11:31:10.000+06:30</t>
  </si>
  <si>
    <t>2020-02-10T11:38:07.000+06:30</t>
  </si>
  <si>
    <t>bac91b0c-91b5-4bc1-b8e7-ee388cc34bf4</t>
  </si>
  <si>
    <t>2019-11-26T07:13:57</t>
  </si>
  <si>
    <t>d7ca31eb-ffbd-4599-b9e0-8171dd657fc2</t>
  </si>
  <si>
    <t>2020-01-02T06:33:42</t>
  </si>
  <si>
    <t>2020-02-15T15:00:00.000+06:30</t>
  </si>
  <si>
    <t>2019-11-26T12:47:29.000-07:00</t>
  </si>
  <si>
    <t>2020-01-02T12:07:23.000+06:30</t>
  </si>
  <si>
    <t>b2a18306-db1e-4ec3-b948-e9d3bcff4124</t>
  </si>
  <si>
    <t>2019-11-26T07:14:43</t>
  </si>
  <si>
    <t>3a8e4efc-2be7-4622-b6d5-3a367763aab9</t>
  </si>
  <si>
    <t>2020-01-02T06:34:05</t>
  </si>
  <si>
    <t>2019-11-26T12:48:27.000-07:00</t>
  </si>
  <si>
    <t>2020-01-02T12:07:45.000+06:30</t>
  </si>
  <si>
    <t>vqJswxn8sZtNwLiJnWEQEL</t>
  </si>
  <si>
    <t>5ad39b83-4682-4681-a611-665a4e0e2106</t>
  </si>
  <si>
    <t>2020-02-10T06:04:16</t>
  </si>
  <si>
    <t>2020-02-10T11:41:38.000+06:30</t>
  </si>
  <si>
    <t>50dd7edb-6a31-401d-a9d6-efcc9780a21a</t>
  </si>
  <si>
    <t>2019-11-26T07:15:40</t>
  </si>
  <si>
    <t>a94b6605-49ec-44f1-a3d6-4e23bea7a307</t>
  </si>
  <si>
    <t>2020-01-02T06:34:27</t>
  </si>
  <si>
    <t>2019-11-26T12:49:10.000-07:00</t>
  </si>
  <si>
    <t>2020-01-02T12:08:12.000+06:30</t>
  </si>
  <si>
    <t>d64cc1cd-131e-425f-a4b4-1dabd3fe1923</t>
  </si>
  <si>
    <t>2020-01-02T06:34:54</t>
  </si>
  <si>
    <t>6d224b31-cfe5-4ccf-8736-319292a4b1bb</t>
  </si>
  <si>
    <t>2019-11-26T07:16:24</t>
  </si>
  <si>
    <t>2019-12-02T10:46:56.000-07:00</t>
  </si>
  <si>
    <t>2020-01-02T12:08:54.000+06:30</t>
  </si>
  <si>
    <t>2019-12-02T10:49:18.000-07:00</t>
  </si>
  <si>
    <t>Associated sample PLc1147</t>
  </si>
  <si>
    <t>S.typhi 26.11.2019, s.paratyphi 26.11.2019</t>
  </si>
  <si>
    <t>7538474e-1bcf-401e-a1b2-637e9856855d</t>
  </si>
  <si>
    <t>651ee13a-222c-44f3-b99a-2816de54ff7c</t>
  </si>
  <si>
    <t>2020-02-10T06:07:48</t>
  </si>
  <si>
    <t>2020-01-02T06:35:35</t>
  </si>
  <si>
    <t>2020-02-10T11:41:39.000+06:30</t>
  </si>
  <si>
    <t>2020-02-10T12:16:05.000+06:30</t>
  </si>
  <si>
    <t>2020-01-02T12:09:17.000+06:30</t>
  </si>
  <si>
    <t>e6115ada-d5e7-4b79-87d8-80c9b058fe1f</t>
  </si>
  <si>
    <t>2019-12-02T05:16:29</t>
  </si>
  <si>
    <t>2020-01-16T12:00:00.000+06:30</t>
  </si>
  <si>
    <t>2019-12-02T10:50:12.000-07:00</t>
  </si>
  <si>
    <t>581ec223-bca6-45ea-b76f-eeeaaee04af0</t>
  </si>
  <si>
    <t>2020-01-02T06:35:59</t>
  </si>
  <si>
    <t>2020-01-02T12:09:18.000+06:30</t>
  </si>
  <si>
    <t>2020-01-02T12:09:40.000+06:30</t>
  </si>
  <si>
    <t>bc2c46cc-6e9e-48d1-966b-dca9fb7e2075</t>
  </si>
  <si>
    <t>2019-12-02T05:17:22</t>
  </si>
  <si>
    <t>2019-12-02T10:51:05.000-07:00</t>
  </si>
  <si>
    <t>edf41679-997b-47f3-beb6-bf7a87f77e7c</t>
  </si>
  <si>
    <t>2020-01-02T06:36:22</t>
  </si>
  <si>
    <t>8b2169dc-f786-4985-9fed-df36da8abb9e</t>
  </si>
  <si>
    <t>2020-02-10T06:42:16</t>
  </si>
  <si>
    <t>2020-02-10T12:18:10.000+06:30</t>
  </si>
  <si>
    <t>2020-01-02T12:10:14.000+06:30</t>
  </si>
  <si>
    <t>600b3f58-23d3-46af-9aa0-36cb44e6a21c</t>
  </si>
  <si>
    <t>2019-12-02T05:18:15</t>
  </si>
  <si>
    <t>2019-12-02T10:52:23.000-07:00</t>
  </si>
  <si>
    <t>68d1c2bf-ba6e-4fe5-88bb-54e7541bf478</t>
  </si>
  <si>
    <t>2020-01-02T06:36:56</t>
  </si>
  <si>
    <t>2020-01-02T12:10:35.000+06:30</t>
  </si>
  <si>
    <t>bdc2595b-a092-41c4-b07e-31272057b92f</t>
  </si>
  <si>
    <t>2019-12-02T05:19:34</t>
  </si>
  <si>
    <t>2019-12-02T10:52:24.000-07:00</t>
  </si>
  <si>
    <t>2019-12-02T10:53:23.000-07:00</t>
  </si>
  <si>
    <t>a2245524-f012-4e9a-b75a-ff497fc3c7a8</t>
  </si>
  <si>
    <t>517afb69-a9b7-4322-9d5a-1ed39f8401b4</t>
  </si>
  <si>
    <t>2020-01-02T06:37:17</t>
  </si>
  <si>
    <t>2020-02-10T06:44:18</t>
  </si>
  <si>
    <t>2020-02-10T12:19:37.000+06:30</t>
  </si>
  <si>
    <t>2020-01-02T12:11:28.000+06:30</t>
  </si>
  <si>
    <t>2d738380-67d5-4067-ba34-4a0a947a3247</t>
  </si>
  <si>
    <t>2019-12-02T05:20:31</t>
  </si>
  <si>
    <t>Associated sample PLc1151</t>
  </si>
  <si>
    <t>360b87e0-9a2b-4a91-89dc-65bc77e32c91</t>
  </si>
  <si>
    <t>2019-12-02T10:54:38.000-07:00</t>
  </si>
  <si>
    <t>2020-01-02T06:38:10</t>
  </si>
  <si>
    <t>2020-01-02T12:11:50.000+06:30</t>
  </si>
  <si>
    <t>3bf5f8a2-db10-4a54-ba5e-41f079fad3be</t>
  </si>
  <si>
    <t>2019-12-02T05:21:48</t>
  </si>
  <si>
    <t>4185eca4-6ed8-4b06-b06c-f790067ffe68</t>
  </si>
  <si>
    <t>2020-01-02T06:38:32</t>
  </si>
  <si>
    <t>2019-12-02T10:55:28.000-07:00</t>
  </si>
  <si>
    <t>2020-01-02T12:12:16.000+06:30</t>
  </si>
  <si>
    <t>3a325c5c-6267-4d27-9b18-6db0ebd78171</t>
  </si>
  <si>
    <t>2020-02-10T06:45:47</t>
  </si>
  <si>
    <t>ce0f7766-b2b1-4c5a-bbfa-ddd5c52b313b</t>
  </si>
  <si>
    <t>2020-01-02T06:38:58</t>
  </si>
  <si>
    <t>2020-02-10T12:21:07.000+06:30</t>
  </si>
  <si>
    <t>5e28d59c-08d9-4bd7-ae82-7116248a6e91</t>
  </si>
  <si>
    <t>2019-12-02T05:22:37</t>
  </si>
  <si>
    <t>2020-01-02T12:12:41.000+06:30</t>
  </si>
  <si>
    <t>2019-12-02T10:56:23.000-07:00</t>
  </si>
  <si>
    <t>2f2da158-3eac-47cd-8b01-deba961271d4</t>
  </si>
  <si>
    <t>2020-01-02T06:39:24</t>
  </si>
  <si>
    <t>2020-01-08T11:43:54.000+06:30</t>
  </si>
  <si>
    <t>2020-01-08T11:44:49.000+06:30</t>
  </si>
  <si>
    <t>41226c5d-78ee-4c22-8a50-8312eab1e464</t>
  </si>
  <si>
    <t>2019-12-02T05:23:32</t>
  </si>
  <si>
    <t>2020-01-01T10:00:00.000+06:30</t>
  </si>
  <si>
    <t>b63e128d-4767-44d5-96c4-dd08ebcf7eb9</t>
  </si>
  <si>
    <t>2020-01-08T06:11:27</t>
  </si>
  <si>
    <t>2019-12-02T11:00:07.000-07:00</t>
  </si>
  <si>
    <t>2020-01-08T11:46:51.000+06:30</t>
  </si>
  <si>
    <t>f2126be0-975b-44cb-a7f7-e552605e28e5</t>
  </si>
  <si>
    <t>2020-01-08T06:13:29</t>
  </si>
  <si>
    <t>2020-01-08T11:47:22.000+06:30</t>
  </si>
  <si>
    <t>0a8762f6-923e-4774-b2c0-91df71ce6482</t>
  </si>
  <si>
    <t>2020-02-10T06:47:17</t>
  </si>
  <si>
    <t>848206d8-6a54-4d35-93c0-6c7e03c80dde</t>
  </si>
  <si>
    <t>2019-12-02T05:27:18</t>
  </si>
  <si>
    <t>2020-02-10T12:22:41.000+06:30</t>
  </si>
  <si>
    <t>2019-12-02T11:01:11.000-07:00</t>
  </si>
  <si>
    <t>09e31a74-4cdd-43a2-958a-2b51debf527e</t>
  </si>
  <si>
    <t>2020-01-08T06:13:58</t>
  </si>
  <si>
    <t>2020-01-08T11:47:57.000+06:30</t>
  </si>
  <si>
    <t>fbd79de2-7795-4ecb-8a41-15847cfc2116</t>
  </si>
  <si>
    <t>2019-12-02T05:28:20</t>
  </si>
  <si>
    <t>53fab7c5-d847-4459-b12a-407342b74684</t>
  </si>
  <si>
    <t>2019-12-02T11:02:00.000-07:00</t>
  </si>
  <si>
    <t>2020-01-08T06:14:34</t>
  </si>
  <si>
    <t>2020-01-08T11:48:38.000+06:30</t>
  </si>
  <si>
    <t>Associated sample PLc1157</t>
  </si>
  <si>
    <t>faff16fa-ecf3-43d3-9d99-43ec1121550b</t>
  </si>
  <si>
    <t>2019-12-02T05:29:10</t>
  </si>
  <si>
    <t>8d8b61ea-34d2-4d7c-a95a-0109514159bc</t>
  </si>
  <si>
    <t>2020-01-08T06:15:14</t>
  </si>
  <si>
    <t>2019-12-02T11:02:44.000-07:00</t>
  </si>
  <si>
    <t>431bf26e-98b5-47bb-bfd2-5eeaf4e1d736</t>
  </si>
  <si>
    <t>2020-01-08T11:49:20.000+06:30</t>
  </si>
  <si>
    <t>2020-02-10T06:48:54</t>
  </si>
  <si>
    <t>2020-02-10T12:22:42.000+06:30</t>
  </si>
  <si>
    <t>2020-02-10T12:24:10.000+06:30</t>
  </si>
  <si>
    <t>9efb1c33-dca4-415d-af40-4ac51c4e526e</t>
  </si>
  <si>
    <t>2020-01-08T06:15:57</t>
  </si>
  <si>
    <t>830c5be8-89b8-402d-9bf6-81287804a73d</t>
  </si>
  <si>
    <t>2019-12-02T05:29:53</t>
  </si>
  <si>
    <t>2019-12-02T11:03:30.000-07:00</t>
  </si>
  <si>
    <t>2020-01-08T11:50:04.000+06:30</t>
  </si>
  <si>
    <t>05a76036-36c0-42ba-ad22-ef355c193c40</t>
  </si>
  <si>
    <t>2019-12-02T05:30:38</t>
  </si>
  <si>
    <t>dbada3cf-2974-43da-8a32-864b8bab4184</t>
  </si>
  <si>
    <t>2020-01-08T06:16:41</t>
  </si>
  <si>
    <t>2019-12-02T11:04:40.000-07:00</t>
  </si>
  <si>
    <t>2020-01-08T11:50:38.000+06:30</t>
  </si>
  <si>
    <t>21a3fd08-1766-4066-b2c5-f26b3620f1e2</t>
  </si>
  <si>
    <t>2020-02-10T06:50:17</t>
  </si>
  <si>
    <t>2020-02-10T12:25:41.000+06:30</t>
  </si>
  <si>
    <t>73ea66f8-243a-4562-8a41-dd32c20bedf1</t>
  </si>
  <si>
    <t>164bce1d-179b-4e88-a609-92897ee35dd9</t>
  </si>
  <si>
    <t>2020-01-08T06:17:16</t>
  </si>
  <si>
    <t>2019-12-02T05:31:51</t>
  </si>
  <si>
    <t>2019-12-02T11:04:41.000-07:00</t>
  </si>
  <si>
    <t>2019-12-02T11:05:27.000-07:00</t>
  </si>
  <si>
    <t>2020-01-08T11:51:19.000+06:30</t>
  </si>
  <si>
    <t>76c81516-fa13-4f84-8df0-936ec11507e4</t>
  </si>
  <si>
    <t>0063b692-9bb0-4ade-bad7-04cd7b72604d</t>
  </si>
  <si>
    <t>2019-12-02T05:32:37</t>
  </si>
  <si>
    <t>2020-01-08T06:17:56</t>
  </si>
  <si>
    <t>2019-12-02T11:05:28.000-07:00</t>
  </si>
  <si>
    <t>2019-12-02T11:06:54.000-07:00</t>
  </si>
  <si>
    <t>2020-01-08T11:51:56.000+06:30</t>
  </si>
  <si>
    <t>S.typhi 29.11.2019, s.paratyphi 29.11.2019</t>
  </si>
  <si>
    <t>9f8743c4-8506-49ae-8fff-e5659d439c31</t>
  </si>
  <si>
    <t>2020-02-10T06:51:51</t>
  </si>
  <si>
    <t>b7542651-6e7b-4224-900c-a8d80e68758e</t>
  </si>
  <si>
    <t>2019-12-02T05:34:01</t>
  </si>
  <si>
    <t>2a6a280e-2aa4-4ad1-b823-985a21209a8d</t>
  </si>
  <si>
    <t>2019-12-02T11:06:55.000-07:00</t>
  </si>
  <si>
    <t>2020-01-08T06:18:33</t>
  </si>
  <si>
    <t>2020-02-10T12:27:06.000+06:30</t>
  </si>
  <si>
    <t>2019-12-02T11:08:06.000-07:00</t>
  </si>
  <si>
    <t>2020-01-08T11:52:32.000+06:30</t>
  </si>
  <si>
    <t>53e76d95-7cfd-43ea-8463-caa8a37d028b</t>
  </si>
  <si>
    <t>2019-12-02T05:35:15</t>
  </si>
  <si>
    <t>b8386f57-525b-40c9-be74-72c693f31df6</t>
  </si>
  <si>
    <t>2020-01-08T06:19:09</t>
  </si>
  <si>
    <t>2019-12-02T11:09:29.000-07:00</t>
  </si>
  <si>
    <t>2020-01-08T11:52:59.000+06:30</t>
  </si>
  <si>
    <t>bcfa2214-311a-494c-958c-7544e4b6f268</t>
  </si>
  <si>
    <t>2019-12-02T05:36:39</t>
  </si>
  <si>
    <t>211a7270-434a-4f2d-88a6-f35130586667</t>
  </si>
  <si>
    <t>2020-02-10T06:53:17</t>
  </si>
  <si>
    <t>2020-02-10T12:27:07.000+06:30</t>
  </si>
  <si>
    <t>8a1d18df-c63d-4097-bdd2-08fe60a43d26</t>
  </si>
  <si>
    <t>2019-12-02T11:10:57.000-07:00</t>
  </si>
  <si>
    <t>2020-01-08T06:19:35</t>
  </si>
  <si>
    <t>2020-02-10T12:28:51.000+06:30</t>
  </si>
  <si>
    <t>2020-01-08T11:54:23.000+06:30</t>
  </si>
  <si>
    <t>5c8a3429-bb30-41cc-a0f3-aff449df624f</t>
  </si>
  <si>
    <t>2019-12-02T05:38:08</t>
  </si>
  <si>
    <t>dca88d08-f21d-4c70-a0ee-ada45ceefd16</t>
  </si>
  <si>
    <t>2020-01-08T06:21:00</t>
  </si>
  <si>
    <t>2019-12-02T11:12:22.000-07:00</t>
  </si>
  <si>
    <t>2020-01-08T11:55:00.000+06:30</t>
  </si>
  <si>
    <t>Associated sample PLc1161</t>
  </si>
  <si>
    <t>7912c9f1-9616-47d8-ac18-31a7d9954f14</t>
  </si>
  <si>
    <t>2020-02-10T06:55:04</t>
  </si>
  <si>
    <t>2020-02-10T12:28:52.000+06:30</t>
  </si>
  <si>
    <t>2020-02-10T12:30:24.000+06:30</t>
  </si>
  <si>
    <t>91d3cc44-4319-4877-9972-c75b7514d4a7</t>
  </si>
  <si>
    <t>2019-12-02T05:39:32</t>
  </si>
  <si>
    <t>2019-12-02T11:13:32.000-07:00</t>
  </si>
  <si>
    <t>8bcdd206-39d0-49f6-abb2-9d917a995e0e</t>
  </si>
  <si>
    <t>2020-01-08T06:21:37</t>
  </si>
  <si>
    <t>2020-01-08T11:55:27.000+06:30</t>
  </si>
  <si>
    <t>b6e98f25-74cb-47aa-ba28-bc3c2149d9d0</t>
  </si>
  <si>
    <t>2019-12-02T05:40:41</t>
  </si>
  <si>
    <t>2c67bdf9-c88d-4ed6-aa53-f4cde8e9e9dc</t>
  </si>
  <si>
    <t>2020-01-08T06:22:04</t>
  </si>
  <si>
    <t>2019-12-02T11:14:13.000-07:00</t>
  </si>
  <si>
    <t>2020-01-08T11:55:59.000+06:30</t>
  </si>
  <si>
    <t>3238be00-7215-4e89-828f-3c0a2f627afd</t>
  </si>
  <si>
    <t>2020-02-10T06:56:34</t>
  </si>
  <si>
    <t>2020-02-10T12:30:25.000+06:30</t>
  </si>
  <si>
    <t>2020-02-10T12:32:41.000+06:30</t>
  </si>
  <si>
    <t>448087e0-8fae-454f-aa9d-70b9751fe7a9</t>
  </si>
  <si>
    <t>2020-01-08T06:22:36</t>
  </si>
  <si>
    <t>ceee1b99-2250-432b-ac46-125871db38d7</t>
  </si>
  <si>
    <t>2020-01-08T11:56:23.000+06:30</t>
  </si>
  <si>
    <t>2019-12-02T05:41:22</t>
  </si>
  <si>
    <t>aad22fe9-c236-4ccf-8a27-00a1499cba74</t>
  </si>
  <si>
    <t>2020-01-08T06:23:00</t>
  </si>
  <si>
    <t>2019-12-02T11:14:53.000-07:00</t>
  </si>
  <si>
    <t>2020-01-08T11:56:43.000+06:30</t>
  </si>
  <si>
    <t>b3d13c7c-eb1a-4cfc-80aa-bc3b643ecc00</t>
  </si>
  <si>
    <t>2020-02-10T06:58:52</t>
  </si>
  <si>
    <t>2020-02-10T12:32:42.000+06:30</t>
  </si>
  <si>
    <t>788b1be9-98f0-44c4-be35-4063ad94fc83</t>
  </si>
  <si>
    <t>2020-01-08T06:23:20</t>
  </si>
  <si>
    <t>2020-02-10T12:34:33.000+06:30</t>
  </si>
  <si>
    <t>3925bc1c-269a-4ff9-a1b2-c1025f2a172d</t>
  </si>
  <si>
    <t>2019-12-02T05:42:02</t>
  </si>
  <si>
    <t>2020-01-08T11:57:17.000+06:30</t>
  </si>
  <si>
    <t>2019-12-02T11:16:08.000-07:00</t>
  </si>
  <si>
    <t>ced8b54f-3a8a-42a5-a472-e0cc9b5c035b</t>
  </si>
  <si>
    <t>2020-01-08T06:23:54</t>
  </si>
  <si>
    <t>2020-01-08T11:57:57.000+06:30</t>
  </si>
  <si>
    <t>c586be81-4ba5-459a-bbcc-f4b317ecc0e6</t>
  </si>
  <si>
    <t>2019-12-02T05:43:18</t>
  </si>
  <si>
    <t>2020-01-02T13:00:00.000+06:30</t>
  </si>
  <si>
    <t>Associated sample MO1140</t>
  </si>
  <si>
    <t>25414b19-d6fa-4a9a-b437-703b29bc8ea0</t>
  </si>
  <si>
    <t>2020-02-10T07:00:42</t>
  </si>
  <si>
    <t>81bd71b3-6c47-4f90-8289-2d8f6756ec73</t>
  </si>
  <si>
    <t>2020-02-10T12:34:34.000+06:30</t>
  </si>
  <si>
    <t>2020-01-08T06:24:33</t>
  </si>
  <si>
    <t>2019-12-02T11:17:09.000-07:00</t>
  </si>
  <si>
    <t>2020-02-10T12:36:12.000+06:30</t>
  </si>
  <si>
    <t>2020-01-08T11:58:22.000+06:30</t>
  </si>
  <si>
    <t>005929e1-f5f3-43dd-99a4-02303479ba4e</t>
  </si>
  <si>
    <t>343802c1-9af0-4ba7-972e-56050aff4684</t>
  </si>
  <si>
    <t>2020-01-08T06:24:59</t>
  </si>
  <si>
    <t>2019-12-02T05:44:19</t>
  </si>
  <si>
    <t>2019-12-02T11:17:10.000-07:00</t>
  </si>
  <si>
    <t>2020-01-08T11:58:45.000+06:30</t>
  </si>
  <si>
    <t>2019-12-02T11:18:09.000-07:00</t>
  </si>
  <si>
    <t>84dc53a2-d6a2-47ea-8cee-2aa28505adb9</t>
  </si>
  <si>
    <t>2020-01-08T06:25:22</t>
  </si>
  <si>
    <t>2020-01-08T11:58:46.000+06:30</t>
  </si>
  <si>
    <t>a5172bfd-4689-4f99-b0a7-37f7b52cde51</t>
  </si>
  <si>
    <t>2020-02-10T07:02:23</t>
  </si>
  <si>
    <t>2020-01-08T11:59:13.000+06:30</t>
  </si>
  <si>
    <t>645ec014-1f1d-456e-b7fa-27a57aa0cc7d</t>
  </si>
  <si>
    <t>2020-02-10T12:36:13.000+06:30</t>
  </si>
  <si>
    <t>2019-12-02T05:45:18</t>
  </si>
  <si>
    <t>2020-02-10T12:37:09.000+06:30</t>
  </si>
  <si>
    <t>2019-12-02T11:19:30.000-07:00</t>
  </si>
  <si>
    <t>7101222f-1eef-43fa-8343-e8db094dc7fc</t>
  </si>
  <si>
    <t>2020-01-08T06:25:50</t>
  </si>
  <si>
    <t>2020-01-08T11:59:51.000+06:30</t>
  </si>
  <si>
    <t>d030bac7-e24b-4ddc-9c01-a9ab8568c157</t>
  </si>
  <si>
    <t>2019-12-02T05:46:40</t>
  </si>
  <si>
    <t>2020-01-02T10:00:00.000+06:30</t>
  </si>
  <si>
    <t>2019-12-02T11:20:15.000-07:00</t>
  </si>
  <si>
    <t>95b11ec1-b0a2-4c31-be86-cc63c72adb12</t>
  </si>
  <si>
    <t>ecc6eb18-9e7e-4133-81ce-4e606115a46d</t>
  </si>
  <si>
    <t>2020-01-08T06:26:29</t>
  </si>
  <si>
    <t>2020-02-10T07:03:19</t>
  </si>
  <si>
    <t>2020-02-10T12:37:10.000+06:30</t>
  </si>
  <si>
    <t>2020-02-10T12:38:06.000+06:30</t>
  </si>
  <si>
    <t>2020-01-08T12:00:40.000+06:30</t>
  </si>
  <si>
    <t>bf52041d-6c28-48fb-9f40-d9200a6a2e01</t>
  </si>
  <si>
    <t>2019-12-02T05:47:24</t>
  </si>
  <si>
    <t>4ab5cd57-5cd0-4929-8724-3f654730c787</t>
  </si>
  <si>
    <t>2020-01-08T06:27:17</t>
  </si>
  <si>
    <t>2019-12-02T11:21:16.000-07:00</t>
  </si>
  <si>
    <t>2020-01-08T12:01:06.000+06:30</t>
  </si>
  <si>
    <t>eba42796-828c-433e-ab8c-673a2bb9b9d0</t>
  </si>
  <si>
    <t>2020-01-08T06:27:43</t>
  </si>
  <si>
    <t>bdb8b8d0-3728-42d5-8de3-5fb254a9ebe0</t>
  </si>
  <si>
    <t>2019-12-02T05:48:26</t>
  </si>
  <si>
    <t>2020-01-08T12:01:50.000+06:30</t>
  </si>
  <si>
    <t>2019-12-02T11:22:03.000-07:00</t>
  </si>
  <si>
    <t>2001259f-436b-4543-8bcc-2b33955e7ab6</t>
  </si>
  <si>
    <t>2020-02-10T07:04:16</t>
  </si>
  <si>
    <t>2020-02-14T11:34:29.000+06:30</t>
  </si>
  <si>
    <t>2020-02-14T11:41:24.000+06:30</t>
  </si>
  <si>
    <t>401052ff-ea1b-45cc-bb7a-efc2b2c611ca</t>
  </si>
  <si>
    <t>2020-01-08T06:28:26</t>
  </si>
  <si>
    <t>b6b50736-12c4-4b85-a2e3-5fcd6538f21f</t>
  </si>
  <si>
    <t>2019-12-02T05:49:13</t>
  </si>
  <si>
    <t>2020-01-22T15:00:00.000+06:30</t>
  </si>
  <si>
    <t>2020-01-23T15:00:00.000+06:30</t>
  </si>
  <si>
    <t>2020-01-08T12:02:12.000+06:30</t>
  </si>
  <si>
    <t>2019-12-02T11:22:43.000-07:00</t>
  </si>
  <si>
    <t>676dd489-4ab3-476d-a560-585e6803dcff</t>
  </si>
  <si>
    <t>2020-01-08T06:28:49</t>
  </si>
  <si>
    <t>db1f4c92-2ea9-4049-9676-2d37674e80e2</t>
  </si>
  <si>
    <t>2019-12-02T05:49:53</t>
  </si>
  <si>
    <t>2019-12-02T11:23:38.000-07:00</t>
  </si>
  <si>
    <t>2020-01-08T12:02:49.000+06:30</t>
  </si>
  <si>
    <t>2020-01-07T13:00:00.000+06:30</t>
  </si>
  <si>
    <t>3f68ebe0-10a4-46a5-93bc-25983d21954e</t>
  </si>
  <si>
    <t>eb188d25-9f42-49c3-9d23-aedd97b1513d</t>
  </si>
  <si>
    <t>2020-01-08T06:29:26</t>
  </si>
  <si>
    <t>2019-12-02T05:50:46</t>
  </si>
  <si>
    <t>2019-12-02T11:24:41.000-07:00</t>
  </si>
  <si>
    <t>MSA 1:10^4 - 4 vol. 1ml.; Sample with plaque count 0 in 1 ml and 100µl are retested for 5ml on 23.01.20</t>
  </si>
  <si>
    <t>2020-01-08T12:03:15.000+06:30</t>
  </si>
  <si>
    <t>d0047aa0-f48c-4246-80ed-a4fa7e8556c5</t>
  </si>
  <si>
    <t>2020-02-14T06:07:31</t>
  </si>
  <si>
    <t>2020-02-14T11:41:25.000+06:30</t>
  </si>
  <si>
    <t>acee6726-96c4-4e4e-aa12-9914d9cfebe5</t>
  </si>
  <si>
    <t>2020-02-14T11:43:27.000+06:30</t>
  </si>
  <si>
    <t>2019-12-02T05:51:50</t>
  </si>
  <si>
    <t>87d4ddde-b70c-4d3c-a1a5-452a7ef65ee1</t>
  </si>
  <si>
    <t>2020-01-08T06:29:52</t>
  </si>
  <si>
    <t>2019-12-02T11:25:32.000-07:00</t>
  </si>
  <si>
    <t>2020-01-08T12:03:51.000+06:30</t>
  </si>
  <si>
    <t>1468e575-d748-423f-a9a5-ff52c67cce91</t>
  </si>
  <si>
    <t>2019-12-02T05:52:41</t>
  </si>
  <si>
    <t>2e1df80c-6ba6-4a35-b957-c3ac9733c25e</t>
  </si>
  <si>
    <t>2020-01-08T06:30:26</t>
  </si>
  <si>
    <t>2019-12-02T11:26:20.000-07:00</t>
  </si>
  <si>
    <t>2020-01-08T12:04:17.000+06:30</t>
  </si>
  <si>
    <t>46802c76-77f5-45d4-a839-079024789919</t>
  </si>
  <si>
    <t>2019-12-02T05:53:29</t>
  </si>
  <si>
    <t>387e3af5-b472-435a-a8cf-bb419c876861</t>
  </si>
  <si>
    <t>2020-01-08T06:30:54</t>
  </si>
  <si>
    <t>2019-12-02T11:27:19.000-07:00</t>
  </si>
  <si>
    <t>2020-01-08T12:04:41.000+06:30</t>
  </si>
  <si>
    <t>MSA 1:10^4 - 0 vol.; Sample with plaque count 0 in 1 ml and 100µl are retested for 5ml on 23.01.20</t>
  </si>
  <si>
    <t>95f36f67-1afb-448f-b758-461a858430af</t>
  </si>
  <si>
    <t>2020-02-14T06:09:35</t>
  </si>
  <si>
    <t>49744339-ed96-43b4-be1c-9f803aaeda01</t>
  </si>
  <si>
    <t>2020-01-08T06:31:18</t>
  </si>
  <si>
    <t>2020-02-14T11:45:40.000+06:30</t>
  </si>
  <si>
    <t>ce0ed2ee-b304-4625-b316-dcb86ad1f9e1</t>
  </si>
  <si>
    <t>2019-12-02T05:54:29</t>
  </si>
  <si>
    <t>2019-12-04T11:39:54.000-07:00</t>
  </si>
  <si>
    <t>2020-01-08T12:05:12.000+06:30</t>
  </si>
  <si>
    <t>2019-12-04T11:43:04.000-07:00</t>
  </si>
  <si>
    <t>S.typhi 23.10.2019, s.paratyphi 23.10.2019</t>
  </si>
  <si>
    <t>e7bf5571-e156-4c77-9954-58bd51665175</t>
  </si>
  <si>
    <t>2020-01-08T06:31:50</t>
  </si>
  <si>
    <t>2020-01-08T12:05:41.000+06:30</t>
  </si>
  <si>
    <t>b1eb8521-ee4b-4220-a71e-86a43e488b47</t>
  </si>
  <si>
    <t>2019-12-04T06:10:12</t>
  </si>
  <si>
    <t>2019-12-04T11:44:02.000-07:00</t>
  </si>
  <si>
    <t>f8282318-9e66-4930-9e81-ac983727dda6</t>
  </si>
  <si>
    <t>2020-01-08T06:32:18</t>
  </si>
  <si>
    <t>2020-01-08T12:06:03.000+06:30</t>
  </si>
  <si>
    <t>MSA 1:10^4 - 2 vol.</t>
  </si>
  <si>
    <t>3584f698-6553-42d7-b5f6-be38c15c2f2b</t>
  </si>
  <si>
    <t>2020-02-14T06:11:46</t>
  </si>
  <si>
    <t>2020-02-14T11:47:37.000+06:30</t>
  </si>
  <si>
    <t>a11855a8-bf7d-4ec5-8b24-b9386e511c40</t>
  </si>
  <si>
    <t>2019-12-04T06:11:10</t>
  </si>
  <si>
    <t>18572caf-228c-4292-8e99-7ec49cc8511e</t>
  </si>
  <si>
    <t>2020-01-08T06:32:40</t>
  </si>
  <si>
    <t>2019-12-04T11:46:37.000-07:00</t>
  </si>
  <si>
    <t>2020-01-08T12:08:12.000+06:30</t>
  </si>
  <si>
    <t>210b299e-1799-4530-a45b-b2ee80d69995</t>
  </si>
  <si>
    <t>2020-01-08T06:34:51</t>
  </si>
  <si>
    <t>7e360093-6746-458d-8906-c2e5c6427146</t>
  </si>
  <si>
    <t>2019-12-04T06:13:45</t>
  </si>
  <si>
    <t>2020-01-08T12:09:05.000+06:30</t>
  </si>
  <si>
    <t>2019-12-04T11:47:58.000-07:00</t>
  </si>
  <si>
    <t>d9bfe160-92e9-4976-953a-7a83017a23fc</t>
  </si>
  <si>
    <t>MSA 1:10^4 - 1 vol.</t>
  </si>
  <si>
    <t>2020-01-08T06:35:42</t>
  </si>
  <si>
    <t>ddd72fa0-a275-4407-8f81-eb19574a47df</t>
  </si>
  <si>
    <t>2020-02-14T06:13:42</t>
  </si>
  <si>
    <t>2020-01-08T12:09:27.000+06:30</t>
  </si>
  <si>
    <t>d6841b45-1dc5-490f-9916-97085efdf7de</t>
  </si>
  <si>
    <t>2020-02-14T11:49:28.000+06:30</t>
  </si>
  <si>
    <t>2019-12-04T06:15:07</t>
  </si>
  <si>
    <t>2019-12-04T11:48:45.000-07:00</t>
  </si>
  <si>
    <t>39f4afbc-64ad-4c8f-bedd-5844292925d0</t>
  </si>
  <si>
    <t>2020-01-08T06:36:04</t>
  </si>
  <si>
    <t>2020-01-08T12:09:53.000+06:30</t>
  </si>
  <si>
    <t>9662e888-31fd-4be8-bc2b-10ce09b00219</t>
  </si>
  <si>
    <t>2019-12-04T06:15:52</t>
  </si>
  <si>
    <t>2019-12-04T11:48:46.000-07:00</t>
  </si>
  <si>
    <t>2019-12-04T11:49:58.000-07:00</t>
  </si>
  <si>
    <t>43afb8d5-5249-4cc0-9b72-c0b3b9786b3f</t>
  </si>
  <si>
    <t>2020-01-08T06:36:29</t>
  </si>
  <si>
    <t>2020-01-08T12:10:13.000+06:30</t>
  </si>
  <si>
    <t>Associated Sample PLc1038</t>
  </si>
  <si>
    <t>75519492-cf76-4116-af69-6dbd10d9b509</t>
  </si>
  <si>
    <t>7f86dc9b-8c1b-49c7-a465-244f8feed2da</t>
  </si>
  <si>
    <t>2019-12-04T06:17:06</t>
  </si>
  <si>
    <t>2020-01-08T06:36:50</t>
  </si>
  <si>
    <t>2020-01-24T12:42:44.000+06:30</t>
  </si>
  <si>
    <t>2020-01-24T12:43:21.000+06:30</t>
  </si>
  <si>
    <t>2019-12-04T11:51:00.000-07:00</t>
  </si>
  <si>
    <t>2020-01-09T10:00:00.000+06:30</t>
  </si>
  <si>
    <t>a48f0efc-e94e-4e06-a92a-371f12a3702d</t>
  </si>
  <si>
    <t>58f23d84-4e10-4ff5-bd85-7408c1e34181</t>
  </si>
  <si>
    <t>2020-02-14T06:15:27</t>
  </si>
  <si>
    <t>2020-01-24T07:09:44</t>
  </si>
  <si>
    <t>2020-01-24T12:43:57.000+06:30</t>
  </si>
  <si>
    <t>2020-02-14T11:51:51.000+06:30</t>
  </si>
  <si>
    <t>Associated Sample MO1146</t>
  </si>
  <si>
    <t>0dac537b-856f-4a71-8891-cd3d2a8ae8f1</t>
  </si>
  <si>
    <t>497b57ed-3682-4374-af3c-5d12c6583be9</t>
  </si>
  <si>
    <t>2020-01-24T07:10:18</t>
  </si>
  <si>
    <t>2019-12-04T06:18:08</t>
  </si>
  <si>
    <t>2020-01-24T12:44:20.000+06:30</t>
  </si>
  <si>
    <t>2019-12-04T11:51:54.000-07:00</t>
  </si>
  <si>
    <t>4263f9a0-69c7-4487-8a15-3b997630bfbf</t>
  </si>
  <si>
    <t>2020-01-24T07:10:42</t>
  </si>
  <si>
    <t>2020-01-24T12:45:01.000+06:30</t>
  </si>
  <si>
    <t>526216ae-5e76-46fc-87a2-04849d566504</t>
  </si>
  <si>
    <t>2020-01-24T07:11:23</t>
  </si>
  <si>
    <t>2020-01-24T12:45:22.000+06:30</t>
  </si>
  <si>
    <t>35968c8d-1e97-4ce4-8b8a-d4334668c12d</t>
  </si>
  <si>
    <t>2019-12-04T06:19:01</t>
  </si>
  <si>
    <t>41f16731-ce84-4ffc-add2-ec00e5e5fa9e</t>
  </si>
  <si>
    <t>2019-12-04T11:52:57.000-07:00</t>
  </si>
  <si>
    <t>2020-01-24T07:11:45</t>
  </si>
  <si>
    <t>2020-01-24T12:45:47.000+06:30</t>
  </si>
  <si>
    <t>UF1014F</t>
  </si>
  <si>
    <t>Sample with plaque count 0 in 1 ml and 100µl are retested for 5ml on 23.01.20</t>
  </si>
  <si>
    <t>a6960c92-48da-4fef-af05-138bec283076</t>
  </si>
  <si>
    <t>2020-01-24T07:12:09</t>
  </si>
  <si>
    <t>931fe675-435f-4ef1-b1d1-221e34928f74</t>
  </si>
  <si>
    <t>2020-01-24T12:46:13.000+06:30</t>
  </si>
  <si>
    <t>2020-02-14T06:17:58</t>
  </si>
  <si>
    <t>2020-02-14T11:51:52.000+06:30</t>
  </si>
  <si>
    <t>2020-02-14T11:53:25.000+06:30</t>
  </si>
  <si>
    <t>Associated Sample MO1103</t>
  </si>
  <si>
    <t>f5587965-7731-4705-8276-97e0e6af995d</t>
  </si>
  <si>
    <t>2020-01-24T07:12:35</t>
  </si>
  <si>
    <t>1148d492-db60-4f91-8756-daaeffa1234b</t>
  </si>
  <si>
    <t>2019-12-04T06:20:05</t>
  </si>
  <si>
    <t>2020-01-24T12:46:41.000+06:30</t>
  </si>
  <si>
    <t>2019-12-04T11:54:35.000-07:00</t>
  </si>
  <si>
    <t>DWa1004ufF</t>
  </si>
  <si>
    <t>4bbfa478-54cc-4093-a691-fa38ac87844f</t>
  </si>
  <si>
    <t>2020-01-24T07:13:04</t>
  </si>
  <si>
    <t>2020-01-24T12:47:16.000+06:30</t>
  </si>
  <si>
    <t>Associated Sample MO1102</t>
  </si>
  <si>
    <t>59c43af1-65c6-42ef-a102-2f760ffb471e</t>
  </si>
  <si>
    <t>Associated Sample DWa1004uf</t>
  </si>
  <si>
    <t>2019-12-04T06:21:43</t>
  </si>
  <si>
    <t>3e65340c-17e7-47d9-99b2-8f6e94d15a43</t>
  </si>
  <si>
    <t>2020-01-24T07:13:38</t>
  </si>
  <si>
    <t>2020-01-24T12:47:45.000+06:30</t>
  </si>
  <si>
    <t>2019-12-04T11:55:46.000-07:00</t>
  </si>
  <si>
    <t>8488edcd-ea0f-43cd-ada7-88b379f66275</t>
  </si>
  <si>
    <t>2020-01-24T07:14:07</t>
  </si>
  <si>
    <t>S.typhi 30.10.2019, s.paratyphi 30.10.2019</t>
  </si>
  <si>
    <t>2020-01-24T12:48:13.000+06:30</t>
  </si>
  <si>
    <t>9ac754f9-3e50-4be4-b12e-62aa0b0a27fd</t>
  </si>
  <si>
    <t>2020-02-14T06:19:34</t>
  </si>
  <si>
    <t>2020-02-14T11:53:26.000+06:30</t>
  </si>
  <si>
    <t>2020-01-14T13:00:00.000+06:30</t>
  </si>
  <si>
    <t>a2e451c3-1d8b-4043-91c7-688ee54ae597</t>
  </si>
  <si>
    <t>4987d40f-28c1-4f20-a0fd-58ac020bbf55</t>
  </si>
  <si>
    <t>2020-02-14T11:55:27.000+06:30</t>
  </si>
  <si>
    <t>2019-12-04T06:22:55</t>
  </si>
  <si>
    <t>2020-01-24T07:14:35</t>
  </si>
  <si>
    <t>2020-01-24T12:48:35.000+06:30</t>
  </si>
  <si>
    <t>2019-12-04T11:56:43.000-07:00</t>
  </si>
  <si>
    <t>bafb5d97-e9bf-4c4e-9dbe-515d1239df5e</t>
  </si>
  <si>
    <t>2020-01-24T07:14:57</t>
  </si>
  <si>
    <t>Associated sample PLc1039</t>
  </si>
  <si>
    <t>2020-01-24T12:48:57.000+06:30</t>
  </si>
  <si>
    <t>89def91e-dac1-48be-8e0a-bfd8fbac2cb8</t>
  </si>
  <si>
    <t>2019-12-04T06:23:52</t>
  </si>
  <si>
    <t>2019-12-04T11:56:44.000-07:00</t>
  </si>
  <si>
    <t>6f4156d3-98c9-447c-9ad2-2892e42669ca</t>
  </si>
  <si>
    <t>2020-01-24T07:15:19</t>
  </si>
  <si>
    <t>2019-12-04T11:57:39.000-07:00</t>
  </si>
  <si>
    <t>2020-01-24T12:49:41.000+06:30</t>
  </si>
  <si>
    <t>Associated Sample PLc1173</t>
  </si>
  <si>
    <t>385cee24-b2c3-4e56-ae5a-49671ef52c6f</t>
  </si>
  <si>
    <t>2020-01-24T07:16:04</t>
  </si>
  <si>
    <t>1f62d16b-ed37-4e4c-904a-98f9dacd83ba</t>
  </si>
  <si>
    <t>2020-01-24T12:50:05.000+06:30</t>
  </si>
  <si>
    <t>2019-12-04T06:24:46</t>
  </si>
  <si>
    <t>f19a28e7-6e0e-414b-a776-c44514c802f9</t>
  </si>
  <si>
    <t>2020-02-14T06:21:32</t>
  </si>
  <si>
    <t>2019-12-04T11:58:37.000-07:00</t>
  </si>
  <si>
    <t>2020-02-14T11:56:48.000+06:30</t>
  </si>
  <si>
    <t>Associated sample PLc1040</t>
  </si>
  <si>
    <t>a9d9423d-8e3e-44af-8870-7c93dca66dc6</t>
  </si>
  <si>
    <t>6f877f84-38c2-466b-ad1d-1200a7df1d4e</t>
  </si>
  <si>
    <t>2020-01-24T07:16:28</t>
  </si>
  <si>
    <t>2019-12-04T06:25:44</t>
  </si>
  <si>
    <t>2020-01-24T12:50:39.000+06:30</t>
  </si>
  <si>
    <t>2019-12-04T11:59:30.000-07:00</t>
  </si>
  <si>
    <t>Associated Sample PLc1174</t>
  </si>
  <si>
    <t>74f67bc1-3d0d-41fa-8abf-ce6a0b724ca7</t>
  </si>
  <si>
    <t>2020-01-24T07:17:02</t>
  </si>
  <si>
    <t>2020-01-24T12:51:01.000+06:30</t>
  </si>
  <si>
    <t>4fedb7bb-dfa1-4d44-88e3-156ec057dd17</t>
  </si>
  <si>
    <t>2019-12-04T06:26:38</t>
  </si>
  <si>
    <t>85553239-10a0-43ac-935a-570112b56766</t>
  </si>
  <si>
    <t>2020-01-24T07:17:24</t>
  </si>
  <si>
    <t>2020-01-24T12:51:23.000+06:30</t>
  </si>
  <si>
    <t>2019-12-04T12:00:33.000-07:00</t>
  </si>
  <si>
    <t>19add9ea-2ed1-4ef5-8395-b46df6e412e5</t>
  </si>
  <si>
    <t>2020-01-24T07:17:46</t>
  </si>
  <si>
    <t>9313c4a5-8edb-47a9-9508-353eaed80bd3</t>
  </si>
  <si>
    <t>2020-02-14T06:22:54</t>
  </si>
  <si>
    <t>2020-01-24T12:51:44.000+06:30</t>
  </si>
  <si>
    <t>2020-02-14T11:58:18.000+06:30</t>
  </si>
  <si>
    <t>Associated sample PLc1041</t>
  </si>
  <si>
    <t>07862b23-f088-42df-9da2-d88ea2e3f30d</t>
  </si>
  <si>
    <t>2020-01-24T07:18:07</t>
  </si>
  <si>
    <t>136c6fac-d08c-4986-b300-5a8951a75a23</t>
  </si>
  <si>
    <t>2019-12-04T06:27:41</t>
  </si>
  <si>
    <t>2020-01-24T12:52:07.000+06:30</t>
  </si>
  <si>
    <t>2019-12-04T12:01:28.000-07:00</t>
  </si>
  <si>
    <t>282a865b-2e10-440e-aef4-4f2714989919</t>
  </si>
  <si>
    <t>2020-01-24T07:18:29</t>
  </si>
  <si>
    <t>2020-01-24T12:52:43.000+06:30</t>
  </si>
  <si>
    <t>2020-01-15T10:00:00.000+06:30</t>
  </si>
  <si>
    <t>4cb9d3e9-e75a-4f3f-beed-83c15a610da0</t>
  </si>
  <si>
    <t>2019-12-04T06:28:36</t>
  </si>
  <si>
    <t>2f88c16f-b1fb-4aa8-87fa-28ff713f783b</t>
  </si>
  <si>
    <t>2020-01-24T07:19:02</t>
  </si>
  <si>
    <t>2019-12-04T12:02:27.000-07:00</t>
  </si>
  <si>
    <t>2020-01-24T12:53:17.000+06:30</t>
  </si>
  <si>
    <t>Associated Sample MO1152</t>
  </si>
  <si>
    <t>088942b4-e23c-4c8b-b8bc-129e36fd8256</t>
  </si>
  <si>
    <t>2020-01-24T07:19:40</t>
  </si>
  <si>
    <t>478ee6a2-9404-45d2-a151-8045144a279f</t>
  </si>
  <si>
    <t>Associated sample Plc1042</t>
  </si>
  <si>
    <t>2020-01-24T12:53:41.000+06:30</t>
  </si>
  <si>
    <t>2020-02-14T06:24:25</t>
  </si>
  <si>
    <t>2020-02-14T11:58:19.000+06:30</t>
  </si>
  <si>
    <t>362ec154-5968-423a-bf84-db8369ce5907</t>
  </si>
  <si>
    <t>2019-12-04T06:29:35</t>
  </si>
  <si>
    <t>2019-12-04T12:02:28.000-07:00</t>
  </si>
  <si>
    <t>2020-02-14T12:00:14.000+06:30</t>
  </si>
  <si>
    <t>b918b35b-11e0-42c7-8544-33c7fd4cb708</t>
  </si>
  <si>
    <t>2020-01-24T07:20:04</t>
  </si>
  <si>
    <t>2019-12-19T12:14:19.000-07:00</t>
  </si>
  <si>
    <t>2020-01-24T12:54:04.000+06:30</t>
  </si>
  <si>
    <t>S.typhi 24.10.2019, s.paratyphi 24.10.2019</t>
  </si>
  <si>
    <t>f34604a3-5764-4733-980f-31081564258e</t>
  </si>
  <si>
    <t>2020-01-24T07:20:25</t>
  </si>
  <si>
    <t>2020-01-24T12:54:39.000+06:30</t>
  </si>
  <si>
    <t>a9cb9f38-f09d-4f7c-8893-d3c71174e053</t>
  </si>
  <si>
    <t>2019-12-04T06:31:38</t>
  </si>
  <si>
    <t>2019-12-04T12:04:29.000-07:00</t>
  </si>
  <si>
    <t>2019-12-19T12:15:55.000-07:00</t>
  </si>
  <si>
    <t>ea30098e-3a91-4b1e-a0e2-de3c6a797d61</t>
  </si>
  <si>
    <t>2020-01-24T07:21:02</t>
  </si>
  <si>
    <t>2020-01-24T12:54:40.000+06:30</t>
  </si>
  <si>
    <t>2020-01-24T12:55:04.000+06:30</t>
  </si>
  <si>
    <t>UF1015F</t>
  </si>
  <si>
    <t>9c9962d0-4152-4be5-bc2c-2c27f5c668f3</t>
  </si>
  <si>
    <t>2020-01-24T07:21:26</t>
  </si>
  <si>
    <t>a37dea00-052d-4389-8cb3-2097f10437b0</t>
  </si>
  <si>
    <t>2019-12-04T06:32:30</t>
  </si>
  <si>
    <t>2020-01-24T12:55:23.000+06:30</t>
  </si>
  <si>
    <t>2019-12-04T12:05:22.000-07:00</t>
  </si>
  <si>
    <t>2019-12-04T12:06:18.000-07:00</t>
  </si>
  <si>
    <t>93c67d12-87a6-4588-9dec-70167b2f4595</t>
  </si>
  <si>
    <t>2020-01-24T07:21:46</t>
  </si>
  <si>
    <t>f121bbd1-c461-4b43-9fd6-4eafadaa2cf8</t>
  </si>
  <si>
    <t>2020-01-24T12:55:50.000+06:30</t>
  </si>
  <si>
    <t>2020-02-14T06:26:22</t>
  </si>
  <si>
    <t>2020-02-14T12:00:15.000+06:30</t>
  </si>
  <si>
    <t>2020-01-17T10:00:00.000+06:30</t>
  </si>
  <si>
    <t>2020-02-14T12:05:46.000+06:30</t>
  </si>
  <si>
    <t>200ae1c7-daf0-4020-9617-b52099bcd7f0</t>
  </si>
  <si>
    <t>2020-01-24T07:22:12</t>
  </si>
  <si>
    <t>Associated sample PLc1035</t>
  </si>
  <si>
    <t>2020-01-24T12:56:12.000+06:30</t>
  </si>
  <si>
    <t>2020-01-23T11:00:00.000+06:30</t>
  </si>
  <si>
    <t>4d876706-cf8c-4310-a11c-bc9af4811234</t>
  </si>
  <si>
    <t>2020-01-23T12:30:00.000+06:30</t>
  </si>
  <si>
    <t>2019-12-04T06:33:28</t>
  </si>
  <si>
    <t>2020-01-24T12:30:00.000+06:30</t>
  </si>
  <si>
    <t>2019-12-04T12:06:19.000-07:00</t>
  </si>
  <si>
    <t>276f4c89-4134-4a54-9613-57621ea35dfe</t>
  </si>
  <si>
    <t>2020-01-24T07:22:34</t>
  </si>
  <si>
    <t>2019-12-19T12:18:17.000-07:00</t>
  </si>
  <si>
    <t>2020-01-24T12:56:33.000+06:30</t>
  </si>
  <si>
    <t>9a62c2b2-8a28-45f2-94e0-030d755f8682</t>
  </si>
  <si>
    <t>2020-01-24T07:22:56</t>
  </si>
  <si>
    <t>cca95f1e-8b84-4549-946c-b6309232d806</t>
  </si>
  <si>
    <t>2019-12-04T06:34:19</t>
  </si>
  <si>
    <t>2019-12-04T12:07:09.000-07:00</t>
  </si>
  <si>
    <t>2020-01-24T12:56:58.000+06:30</t>
  </si>
  <si>
    <t>2019-12-19T12:19:21.000-07:00</t>
  </si>
  <si>
    <t>5378f215-7f96-4993-9161-c1b0c485a494</t>
  </si>
  <si>
    <t>2020-01-24T07:23:21</t>
  </si>
  <si>
    <t>2020-01-24T12:57:22.000+06:30</t>
  </si>
  <si>
    <t>a0c32027-58e5-41fe-9846-33e05ceca349</t>
  </si>
  <si>
    <t>2019-12-04T06:35:07</t>
  </si>
  <si>
    <t>85a55b2d-7333-4ce7-9dff-b8fb0c654192</t>
  </si>
  <si>
    <t>2020-01-24T07:23:44</t>
  </si>
  <si>
    <t>117d7b84-e34c-4528-a9b4-8d34746a6280</t>
  </si>
  <si>
    <t>2019-12-04T12:07:59.000-07:00</t>
  </si>
  <si>
    <t>2020-02-14T06:31:54</t>
  </si>
  <si>
    <t>2020-01-24T12:57:46.000+06:30</t>
  </si>
  <si>
    <t>2019-12-04T12:08:56.000-07:00</t>
  </si>
  <si>
    <t>2020-02-14T12:10:28.000+06:30</t>
  </si>
  <si>
    <t>311c0350-0f94-460b-8033-e4c3792d8e94</t>
  </si>
  <si>
    <t>2020-01-24T07:24:09</t>
  </si>
  <si>
    <t>2020-01-24T12:57:47.000+06:30</t>
  </si>
  <si>
    <t>2020-01-24T12:58:07.000+06:30</t>
  </si>
  <si>
    <t>Associated sample PLc1036</t>
  </si>
  <si>
    <t>e694cb4b-47ec-4609-924a-d4ca644f25b7</t>
  </si>
  <si>
    <t>bf825232-7fba-4da9-8936-9e6af312d2ec</t>
  </si>
  <si>
    <t>2020-01-24T07:24:30</t>
  </si>
  <si>
    <t>2019-12-04T06:36:08</t>
  </si>
  <si>
    <t>2020-01-24T12:58:26.000+06:30</t>
  </si>
  <si>
    <t>2019-12-19T12:21:49.000-07:00</t>
  </si>
  <si>
    <t>53277815-edec-4a4b-841b-33363411e39f</t>
  </si>
  <si>
    <t>2020-01-24T07:24:48</t>
  </si>
  <si>
    <t>2020-01-24T12:59:01.000+06:30</t>
  </si>
  <si>
    <t>04ceff3c-fd88-42c5-91f1-ca688ce4fb88</t>
  </si>
  <si>
    <t>2020-01-24T07:25:22</t>
  </si>
  <si>
    <t>d237d85d-9973-4365-970e-efc42528f806</t>
  </si>
  <si>
    <t>2019-12-04T06:36:59</t>
  </si>
  <si>
    <t>2019-12-04T12:09:51.000-07:00</t>
  </si>
  <si>
    <t>2020-01-24T13:01:00.000+06:30</t>
  </si>
  <si>
    <t>2019-12-04T12:10:40.000-07:00</t>
  </si>
  <si>
    <t>Associated Sample COa2001, COa2002, COb2001, COb2002, COb2003</t>
  </si>
  <si>
    <t>4563dab3-13fe-4176-a4f6-9e166d2da8e7</t>
  </si>
  <si>
    <t>1f95d4c0-1d72-4877-8f6e-b8865e45682c</t>
  </si>
  <si>
    <t>2020-01-24T07:27:23</t>
  </si>
  <si>
    <t>2020-02-14T06:36:35</t>
  </si>
  <si>
    <t>2020-01-24T13:01:32.000+06:30</t>
  </si>
  <si>
    <t>2020-02-14T12:11:49.000+06:30</t>
  </si>
  <si>
    <t>Associated sample MO1100</t>
  </si>
  <si>
    <t>19d94997-7457-414e-9316-fa5994cf9558</t>
  </si>
  <si>
    <t>2020-01-24T07:27:54</t>
  </si>
  <si>
    <t>9f8c83e6-e4f5-4cd3-9101-fc7acd5ce019</t>
  </si>
  <si>
    <t>2019-12-04T06:37:49</t>
  </si>
  <si>
    <t>2020-01-24T13:02:02.000+06:30</t>
  </si>
  <si>
    <t>2019-12-19T12:23:42.000-07:00</t>
  </si>
  <si>
    <t>ef88ed32-3aa1-4b11-8495-a4df28d19d0c</t>
  </si>
  <si>
    <t>2020-01-24T07:28:25</t>
  </si>
  <si>
    <t>2020-01-24T13:02:03.000+06:30</t>
  </si>
  <si>
    <t>2020-01-24T13:02:40.000+06:30</t>
  </si>
  <si>
    <t>Associated Sample PLc1178</t>
  </si>
  <si>
    <t>3eccb026-75d0-4fd1-bf6a-44d2c0eaa1fc</t>
  </si>
  <si>
    <t>2020-01-24T07:29:02</t>
  </si>
  <si>
    <t>2020-01-24T13:03:03.000+06:30</t>
  </si>
  <si>
    <t>0bdb2534-ea91-4eef-b509-dc9facdda4a6</t>
  </si>
  <si>
    <t>2019-12-04T06:38:42</t>
  </si>
  <si>
    <t>2019-12-04T12:11:34.000-07:00</t>
  </si>
  <si>
    <t>59220df6-6833-4547-8446-e0e2f3914b40</t>
  </si>
  <si>
    <t>2020-01-24T07:29:25</t>
  </si>
  <si>
    <t>2019-12-04T12:12:28.000-07:00</t>
  </si>
  <si>
    <t>2020-01-24T13:03:39.000+06:30</t>
  </si>
  <si>
    <t>9f52d44a-1004-41eb-87d0-57511326010c</t>
  </si>
  <si>
    <t>2020-02-14T06:37:57</t>
  </si>
  <si>
    <t>2759afdd-3234-44df-81c0-7ddbddb85698</t>
  </si>
  <si>
    <t>2020-01-24T07:30:01</t>
  </si>
  <si>
    <t>2020-02-14T12:11:50.000+06:30</t>
  </si>
  <si>
    <t>2020-02-14T12:13:22.000+06:30</t>
  </si>
  <si>
    <t>2020-01-24T13:04:02.000+06:30</t>
  </si>
  <si>
    <t>Associated sample MO1101</t>
  </si>
  <si>
    <t>6b717c93-5770-4f45-9f7c-be77a500eced</t>
  </si>
  <si>
    <t>2019-12-04T06:39:36</t>
  </si>
  <si>
    <t>10b11234-14fc-40ac-9568-36760e15cdf5</t>
  </si>
  <si>
    <t>2020-01-24T07:30:24</t>
  </si>
  <si>
    <t>2020-01-24T13:04:44.000+06:30</t>
  </si>
  <si>
    <t>2019-12-04T12:37:51.000-07:00</t>
  </si>
  <si>
    <t>36a3a6c9-b7f6-4ae1-84ad-ebec74d06531</t>
  </si>
  <si>
    <t>2020-01-24T07:31:06</t>
  </si>
  <si>
    <t>S.typhi 25.10.2019, s.paratyphi 25.10.2019</t>
  </si>
  <si>
    <t>2020-01-24T13:05:18.000+06:30</t>
  </si>
  <si>
    <t>13004407-c26d-4df4-ab7a-a1e9baa6ea49</t>
  </si>
  <si>
    <t>2020-01-24T07:31:40</t>
  </si>
  <si>
    <t>96cfa894-c5a9-49cf-af8c-a909debbefd3</t>
  </si>
  <si>
    <t>2019-12-04T07:05:00</t>
  </si>
  <si>
    <t>2020-01-24T13:05:39.000+06:30</t>
  </si>
  <si>
    <t>2019-12-04T12:38:45.000-07:00</t>
  </si>
  <si>
    <t>efa08707-e602-4b8a-9cb6-4b90e69020e9</t>
  </si>
  <si>
    <t>2020-01-24T07:32:02</t>
  </si>
  <si>
    <t>c8db4c50-acf2-4103-88b9-e5026f89a9de</t>
  </si>
  <si>
    <t>2020-02-14T06:39:30</t>
  </si>
  <si>
    <t>2020-02-14T12:13:23.000+06:30</t>
  </si>
  <si>
    <t>2020-01-24T13:06:01.000+06:30</t>
  </si>
  <si>
    <t>2020-02-14T12:15:36.000+06:30</t>
  </si>
  <si>
    <t>b1b3d720-e8e8-46de-b531-4ffff0653843</t>
  </si>
  <si>
    <t>2020-01-24T07:32:24</t>
  </si>
  <si>
    <t>2020-01-24T13:06:36.000+06:30</t>
  </si>
  <si>
    <t>2020-01-22T10:00:00.000+06:30</t>
  </si>
  <si>
    <t>dd6cb296-6a6e-4f30-a93e-225a63a56dc7</t>
  </si>
  <si>
    <t>b37d3601-8c16-4b0f-a9b4-bd1e82d3bd91</t>
  </si>
  <si>
    <t>2019-12-04T07:05:52</t>
  </si>
  <si>
    <t>2020-01-24T07:32:59</t>
  </si>
  <si>
    <t>2020-01-24T13:06:37.000+06:30</t>
  </si>
  <si>
    <t>2020-01-24T13:07:00.000+06:30</t>
  </si>
  <si>
    <t>2019-12-04T12:39:49.000-07:00</t>
  </si>
  <si>
    <t>7bb56e96-54bd-4684-8d45-001728c0fc73</t>
  </si>
  <si>
    <t>2020-01-24T07:33:23</t>
  </si>
  <si>
    <t>2020-01-24T13:07:01.000+06:30</t>
  </si>
  <si>
    <t>2020-01-24T13:07:33.000+06:30</t>
  </si>
  <si>
    <t>Associated Sample PLc1181</t>
  </si>
  <si>
    <t>Associated sample PLc1031</t>
  </si>
  <si>
    <t>1cb3f3f2-cc85-4677-b519-0089de3b811c</t>
  </si>
  <si>
    <t>1848e2b1-da4b-4b0e-aa31-e36b47eabb1d</t>
  </si>
  <si>
    <t>2019-12-04T07:06:56</t>
  </si>
  <si>
    <t>2020-01-24T07:33:55</t>
  </si>
  <si>
    <t>2020-01-24T13:07:58.000+06:30</t>
  </si>
  <si>
    <t>2019-12-04T12:40:41.000-07:00</t>
  </si>
  <si>
    <t>08f90b3f-a723-4529-bdfc-1aa4f35bbf60</t>
  </si>
  <si>
    <t>2020-02-14T06:41:43</t>
  </si>
  <si>
    <t>38f30420-d142-4a3a-a005-e95d4fff63b8</t>
  </si>
  <si>
    <t>2020-01-24T07:34:20</t>
  </si>
  <si>
    <t>2020-02-14T12:15:37.000+06:30</t>
  </si>
  <si>
    <t>2020-01-24T13:08:18.000+06:30</t>
  </si>
  <si>
    <t>2020-02-14T12:19:49.000+06:30</t>
  </si>
  <si>
    <t>c12d5274-91a3-4974-ae02-6ec91e954d42</t>
  </si>
  <si>
    <t>2020-01-24T07:34:41</t>
  </si>
  <si>
    <t>2020-01-28T16:00:00.000+06:30</t>
  </si>
  <si>
    <t>2020-01-29T16:00:00.000+06:30</t>
  </si>
  <si>
    <t>2020-01-24T13:08:19.000+06:30</t>
  </si>
  <si>
    <t>2020-01-24T13:08:41.000+06:30</t>
  </si>
  <si>
    <t>61aee8c2-1348-480b-a718-245a234fa74d</t>
  </si>
  <si>
    <t>2019-12-04T07:07:49</t>
  </si>
  <si>
    <t>2019-12-04T12:40:42.000-07:00</t>
  </si>
  <si>
    <t>c4d46829-9247-446e-8262-4363aa133625</t>
  </si>
  <si>
    <t>2020-01-24T07:35:03</t>
  </si>
  <si>
    <t>2019-12-04T12:41:34.000-07:00</t>
  </si>
  <si>
    <t>2020-01-24T13:09:01.000+06:30</t>
  </si>
  <si>
    <t>b6ce5710-ed27-4163-93b0-2759ceafccd5</t>
  </si>
  <si>
    <t>2020-01-24T07:35:22</t>
  </si>
  <si>
    <t>2020-01-24T13:09:32.000+06:30</t>
  </si>
  <si>
    <t>Associated Sample MO1159</t>
  </si>
  <si>
    <t>ab7c53dc-c206-4c2f-85d4-9a16738e3608</t>
  </si>
  <si>
    <t>ebceebec-e944-450a-bfe3-f4f4bdbd3d4a</t>
  </si>
  <si>
    <t>2020-01-24T07:35:53</t>
  </si>
  <si>
    <t>2019-12-04T07:08:42</t>
  </si>
  <si>
    <t>2020-01-24T13:09:56.000+06:30</t>
  </si>
  <si>
    <t>2019-12-04T12:42:37.000-07:00</t>
  </si>
  <si>
    <t>aa09f9ad-637e-4830-8628-d702fc412b07</t>
  </si>
  <si>
    <t>2020-01-24T07:36:19</t>
  </si>
  <si>
    <t>7006d92d-d40e-4f0c-8266-0e5d0a18b1d6</t>
  </si>
  <si>
    <t>2020-02-14T06:45:57</t>
  </si>
  <si>
    <t>2020-02-14T12:19:50.000+06:30</t>
  </si>
  <si>
    <t>2020-01-24T13:10:20.000+06:30</t>
  </si>
  <si>
    <t>2020-02-14T12:46:24.000+06:30</t>
  </si>
  <si>
    <t>a394fb0c-8fce-4d45-ad73-eba9b7fc1333</t>
  </si>
  <si>
    <t>2020-01-24T07:36:43</t>
  </si>
  <si>
    <t>Associated sample PLc1032</t>
  </si>
  <si>
    <t>2020-01-24T13:10:43.000+06:30</t>
  </si>
  <si>
    <t>ec2b5fd9-be2f-419d-a703-7470d6ca3093</t>
  </si>
  <si>
    <t>2019-12-04T07:09:44</t>
  </si>
  <si>
    <t>328bd9a9-73ad-46bf-ba58-a135d59e4117</t>
  </si>
  <si>
    <t>2019-12-04T12:43:29.000-07:00</t>
  </si>
  <si>
    <t>2020-01-24T07:37:05</t>
  </si>
  <si>
    <t>2020-01-24T13:11:06.000+06:30</t>
  </si>
  <si>
    <t>2020-01-23T10:00:00.000+06:30</t>
  </si>
  <si>
    <t>6814b4e4-3e02-4c50-8676-dc482b674bde</t>
  </si>
  <si>
    <t>2020-01-24T07:37:28</t>
  </si>
  <si>
    <t>6061d4dc-e22d-4ccf-aa0f-014a819d5619</t>
  </si>
  <si>
    <t>2020-01-24T13:11:26.000+06:30</t>
  </si>
  <si>
    <t>2019-12-04T07:10:36</t>
  </si>
  <si>
    <t>2019-12-04T12:44:19.000-07:00</t>
  </si>
  <si>
    <t>2af9ad48-185d-4ea2-99c3-7d2829b11a24</t>
  </si>
  <si>
    <t>2020-01-24T07:37:48</t>
  </si>
  <si>
    <t>2020-01-24T13:11:52.000+06:30</t>
  </si>
  <si>
    <t>a8e715a9-d38e-4e8e-95df-c120ccceb8e9</t>
  </si>
  <si>
    <t>2ea5bc75-6c44-40a2-9f7a-c282a32b7812</t>
  </si>
  <si>
    <t>2020-01-24T07:38:14</t>
  </si>
  <si>
    <t>2020-02-14T07:12:30</t>
  </si>
  <si>
    <t>2020-02-14T12:46:25.000+06:30</t>
  </si>
  <si>
    <t>2020-01-24T13:12:20.000+06:30</t>
  </si>
  <si>
    <t>Associated sample PLc1033</t>
  </si>
  <si>
    <t>2020-02-14T12:48:34.000+06:30</t>
  </si>
  <si>
    <t>9e60d96a-8b64-4869-bcb4-5754a565bd00</t>
  </si>
  <si>
    <t>2019-12-04T07:11:27</t>
  </si>
  <si>
    <t>47cc5216-ceaa-42d4-9c66-ac542a115025</t>
  </si>
  <si>
    <t>2020-01-24T07:38:43</t>
  </si>
  <si>
    <t>2019-12-04T12:44:20.000-07:00</t>
  </si>
  <si>
    <t>2020-01-24T13:12:21.000+06:30</t>
  </si>
  <si>
    <t>2020-01-24T13:13:03.000+06:30</t>
  </si>
  <si>
    <t>2019-12-04T12:45:19.000-07:00</t>
  </si>
  <si>
    <t>45643212-5e2b-4737-9776-acbbb8753850</t>
  </si>
  <si>
    <t>2020-01-24T07:39:26</t>
  </si>
  <si>
    <t>2020-01-24T13:13:04.000+06:30</t>
  </si>
  <si>
    <t>2020-01-24T13:13:23.000+06:30</t>
  </si>
  <si>
    <t>4a819511-6fcc-45da-ae15-30801ddeb1ea</t>
  </si>
  <si>
    <t>2020-01-24T07:39:45</t>
  </si>
  <si>
    <t>2020-01-24T13:13:46.000+06:30</t>
  </si>
  <si>
    <t>72f0ef93-28b2-4c0c-a909-5fbeadd676e3</t>
  </si>
  <si>
    <t>2019-12-04T07:12:27</t>
  </si>
  <si>
    <t>539b65ad-051e-493d-80a4-f4072608fc39</t>
  </si>
  <si>
    <t>2020-01-24T07:40:08</t>
  </si>
  <si>
    <t>2020-01-24T13:13:47.000+06:30</t>
  </si>
  <si>
    <t>2019-12-04T12:46:13.000-07:00</t>
  </si>
  <si>
    <t>2020-01-24T13:14:06.000+06:30</t>
  </si>
  <si>
    <t>abf6df69-9d41-49d0-9823-1c2f52966389</t>
  </si>
  <si>
    <t>2020-02-14T07:14:41</t>
  </si>
  <si>
    <t>c15dafd5-25b5-48e6-bf68-86e658827b5d</t>
  </si>
  <si>
    <t>2020-01-24T07:40:28</t>
  </si>
  <si>
    <t>2020-02-14T12:48:35.000+06:30</t>
  </si>
  <si>
    <t>2020-01-24T13:14:26.000+06:30</t>
  </si>
  <si>
    <t>2020-02-14T12:51:03.000+06:30</t>
  </si>
  <si>
    <t>c069ee73-34b5-42a7-8f38-26800b4317dc</t>
  </si>
  <si>
    <t>cda60e5c-06cc-43c9-800d-f9f4f16bd0a3</t>
  </si>
  <si>
    <t>2019-12-04T07:13:21</t>
  </si>
  <si>
    <t>2020-01-24T07:40:48</t>
  </si>
  <si>
    <t>2019-12-04T12:46:14.000-07:00</t>
  </si>
  <si>
    <t>2020-01-24T13:14:55.000+06:30</t>
  </si>
  <si>
    <t>2019-12-04T12:47:07.000-07:00</t>
  </si>
  <si>
    <t>863673a7-e330-4870-bef4-4739dcf36d2b</t>
  </si>
  <si>
    <t>2020-01-24T07:41:19</t>
  </si>
  <si>
    <t>2020-01-24T13:15:19.000+06:30</t>
  </si>
  <si>
    <t>3288d80b-bc2b-45c4-9120-b074e29c9b18</t>
  </si>
  <si>
    <t>2020-01-24T07:41:41</t>
  </si>
  <si>
    <t>Associated sample PLc1034</t>
  </si>
  <si>
    <t>2020-01-24T13:15:49.000+06:30</t>
  </si>
  <si>
    <t>5c868b42-8e39-4795-a64a-3717ca245e03</t>
  </si>
  <si>
    <t>2019-12-04T07:14:15</t>
  </si>
  <si>
    <t>2019-12-05T12:37:45.000-07:00</t>
  </si>
  <si>
    <t>Associated Sample SF2001</t>
  </si>
  <si>
    <t>eb5e8c8c-a5cf-423b-a3e0-9282b223f812</t>
  </si>
  <si>
    <t>2020-01-24T07:42:12</t>
  </si>
  <si>
    <t>2020-01-24T13:15:50.000+06:30</t>
  </si>
  <si>
    <t>2019-12-05T12:41:33.000-07:00</t>
  </si>
  <si>
    <t>2020-01-24T13:16:10.000+06:30</t>
  </si>
  <si>
    <t>81195b52-6f4a-4759-b858-76d49b0e4e4f</t>
  </si>
  <si>
    <t>2020-01-24T07:42:32</t>
  </si>
  <si>
    <t>2020-02-04T12:13:10.000+06:30</t>
  </si>
  <si>
    <t>2020-02-04T12:13:58.000+06:30</t>
  </si>
  <si>
    <t>d5465601-56dd-41b0-89f3-573d56217214</t>
  </si>
  <si>
    <t>2020-02-14T07:17:11</t>
  </si>
  <si>
    <t>2020-01-31T08:00:00.000+06:30</t>
  </si>
  <si>
    <t>11a10318-818a-4c27-906e-4fa1000ac7ec</t>
  </si>
  <si>
    <t>2020-02-04T06:40:10</t>
  </si>
  <si>
    <t>2020-02-14T12:51:04.000+06:30</t>
  </si>
  <si>
    <t>dd7acda4-05ca-43f3-be90-b5d4a93baf01</t>
  </si>
  <si>
    <t>2019-12-05T07:08:41</t>
  </si>
  <si>
    <t>2020-02-14T12:52:00.000+06:30</t>
  </si>
  <si>
    <t>2020-02-04T12:14:36.000+06:30</t>
  </si>
  <si>
    <t>2019-12-05T12:42:31.000-07:00</t>
  </si>
  <si>
    <t>Associated sample PLc1183</t>
  </si>
  <si>
    <t>0354cdd1-7fa6-4fe6-a491-0f613b45f5de</t>
  </si>
  <si>
    <t>2020-02-04T06:40:47</t>
  </si>
  <si>
    <t>2020-02-04T12:15:03.000+06:30</t>
  </si>
  <si>
    <t>5493a4dd-7636-4a44-b691-16d740d46e9e</t>
  </si>
  <si>
    <t>2020-02-04T06:41:15</t>
  </si>
  <si>
    <t>2020-02-04T12:15:26.000+06:30</t>
  </si>
  <si>
    <t>e3b1a184-a75e-4675-9d60-7698800077db</t>
  </si>
  <si>
    <t>2019-12-05T07:09:37</t>
  </si>
  <si>
    <t>32a08c4d-8d07-48a2-ad58-8188163ff7ee</t>
  </si>
  <si>
    <t>2020-02-04T06:41:39</t>
  </si>
  <si>
    <t>2020-02-04T12:15:27.000+06:30</t>
  </si>
  <si>
    <t>2019-12-05T12:43:45.000-07:00</t>
  </si>
  <si>
    <t>2020-02-04T12:15:54.000+06:30</t>
  </si>
  <si>
    <t>f6e85642-0753-44b4-949c-888e9b1a401c</t>
  </si>
  <si>
    <t>2020-02-04T06:42:08</t>
  </si>
  <si>
    <t>5c648b52-d5c3-46c7-a546-3a840dd62231</t>
  </si>
  <si>
    <t>2020-02-04T12:16:19.000+06:30</t>
  </si>
  <si>
    <t>2020-02-14T07:18:07</t>
  </si>
  <si>
    <t>Associated Sample PLc1028</t>
  </si>
  <si>
    <t>2020-02-14T12:52:01.000+06:30</t>
  </si>
  <si>
    <t>1d1a0f84-e3bd-46bc-bffb-88423aec851f</t>
  </si>
  <si>
    <t>2020-02-14T12:52:57.000+06:30</t>
  </si>
  <si>
    <t>2019-12-05T07:10:51</t>
  </si>
  <si>
    <t>75fe6365-04d7-49b9-ae67-b16e7347c4bd</t>
  </si>
  <si>
    <t>2020-02-04T06:42:32</t>
  </si>
  <si>
    <t>2019-12-05T12:45:03.000-07:00</t>
  </si>
  <si>
    <t>2020-02-04T12:16:45.000+06:30</t>
  </si>
  <si>
    <t>909acec8-863c-4f76-b0f0-7a388c8bba67</t>
  </si>
  <si>
    <t>2020-02-04T06:42:58</t>
  </si>
  <si>
    <t>2020-02-04T12:17:19.000+06:30</t>
  </si>
  <si>
    <t>29.10.2019, s.paratyphi 29.10.2019</t>
  </si>
  <si>
    <t>Associated sample MO1165</t>
  </si>
  <si>
    <t>e77c703a-4754-47a8-9871-953d5defff04</t>
  </si>
  <si>
    <t>2020-02-04T06:43:32</t>
  </si>
  <si>
    <t>2020-02-04T12:17:46.000+06:30</t>
  </si>
  <si>
    <t>b2736e42-1e29-416d-b9c2-9b12ef69c151</t>
  </si>
  <si>
    <t>aebbf709-dad2-4981-997a-0882ae3292af</t>
  </si>
  <si>
    <t>2019-12-05T07:12:11</t>
  </si>
  <si>
    <t>2020-02-04T06:43:59</t>
  </si>
  <si>
    <t>2020-02-04T12:18:11.000+06:30</t>
  </si>
  <si>
    <t>2019-12-05T12:46:06.000-07:00</t>
  </si>
  <si>
    <t>5cbaf760-f450-4c11-b3ab-f0fc3897e0b1</t>
  </si>
  <si>
    <t>2020-02-04T06:44:24</t>
  </si>
  <si>
    <t>2020-02-18T12:40:10.000+06:30</t>
  </si>
  <si>
    <t>2020-02-18T12:43:24.000+06:30</t>
  </si>
  <si>
    <t>8e43f9ac-619b-4cc9-ac31-8a941c3506dc</t>
  </si>
  <si>
    <t>2020-02-14T07:19:03</t>
  </si>
  <si>
    <t>2020-02-06T10:00:00.000+06:30</t>
  </si>
  <si>
    <t>2020-02-14T12:52:58.000+06:30</t>
  </si>
  <si>
    <t>932cd4e3-b25a-43cf-8f6e-10de1aa48e10</t>
  </si>
  <si>
    <t>2020-02-18T07:09:24</t>
  </si>
  <si>
    <t>2020-02-14T12:58:25.000+06:30</t>
  </si>
  <si>
    <t>Associated sample MO1098</t>
  </si>
  <si>
    <t>2020-02-18T12:44:37.000+06:30</t>
  </si>
  <si>
    <t>2c070738-b9f2-404c-b9b5-876678281663</t>
  </si>
  <si>
    <t>2019-12-05T07:13:13</t>
  </si>
  <si>
    <t>2020-02-05T16:00:00.000+06:30</t>
  </si>
  <si>
    <t>2020-02-05T17:00:00.000+06:30</t>
  </si>
  <si>
    <t>2020-02-06T11:45:00.000+06:30</t>
  </si>
  <si>
    <t>Associated Sample PLc1184</t>
  </si>
  <si>
    <t>f7fdc423-c7e3-4c52-b45b-8f47b22dee65</t>
  </si>
  <si>
    <t>2019-12-05T12:47:04.000-07:00</t>
  </si>
  <si>
    <t>2020-02-18T07:10:36</t>
  </si>
  <si>
    <t>2020-02-18T12:45:03.000+06:30</t>
  </si>
  <si>
    <t>ecaa3078-346e-4f29-9661-09883d5eb280</t>
  </si>
  <si>
    <t>2020-02-18T07:11:03</t>
  </si>
  <si>
    <t>2020-02-18T12:45:30.000+06:30</t>
  </si>
  <si>
    <t>4f68bb53-4727-48b6-b14d-000bd605f9a7</t>
  </si>
  <si>
    <t>2020-02-18T07:11:30</t>
  </si>
  <si>
    <t>fc8478dc-c5b8-46a9-8cf4-c9c404fbc388</t>
  </si>
  <si>
    <t>2019-12-05T07:14:12</t>
  </si>
  <si>
    <t>2020-02-18T12:45:58.000+06:30</t>
  </si>
  <si>
    <t>2019-12-05T12:47:52.000-07:00</t>
  </si>
  <si>
    <t>f904b456-1431-47f9-9ec4-d2dfa2e767a5</t>
  </si>
  <si>
    <t>2020-02-18T07:11:58</t>
  </si>
  <si>
    <t>2020-02-18T12:46:23.000+06:30</t>
  </si>
  <si>
    <t>or 5mMSA 1:10^4 - 3 vol. 1ml.; Incubation period is 18 hrs instead of 24 hrs. Sample with plaque count 0 in 1 ml and 100µl are retested for 5ml on 6.2.20</t>
  </si>
  <si>
    <t>0b7391aa-3451-4fb1-8bd5-22839026eaa9</t>
  </si>
  <si>
    <t>2020-02-14T07:24:33</t>
  </si>
  <si>
    <t>2020-02-14T12:58:26.000+06:30</t>
  </si>
  <si>
    <t>1653575d-03cb-452f-933f-ac4354404983</t>
  </si>
  <si>
    <t>2020-02-18T07:12:22</t>
  </si>
  <si>
    <t>2020-02-14T13:00:19.000+06:30</t>
  </si>
  <si>
    <t>2020-02-18T12:46:48.000+06:30</t>
  </si>
  <si>
    <t>14dd3318-0f8a-4119-9125-86a08521920c</t>
  </si>
  <si>
    <t>2019-12-05T07:14:58</t>
  </si>
  <si>
    <t>9a6015e4-f612-411b-8a4e-bee152df6267</t>
  </si>
  <si>
    <t>2019-12-05T12:48:45.000-07:00</t>
  </si>
  <si>
    <t>2020-02-18T07:12:47</t>
  </si>
  <si>
    <t>2020-02-18T12:47:24.000+06:30</t>
  </si>
  <si>
    <t>Associated sample MO1168</t>
  </si>
  <si>
    <t>99c24ec7-3e4e-42d1-97b0-c947b8800222</t>
  </si>
  <si>
    <t>2020-02-18T07:13:24</t>
  </si>
  <si>
    <t>2020-02-18T12:47:52.000+06:30</t>
  </si>
  <si>
    <t>Associated sample MO1099</t>
  </si>
  <si>
    <t>2020-02-05T10:00:00.000+06:30</t>
  </si>
  <si>
    <t>ee4904ba-1eec-4aee-86f6-7cb8ab53c97f</t>
  </si>
  <si>
    <t>2019-12-05T07:15:51</t>
  </si>
  <si>
    <t>8db983cb-c227-4410-a757-b1971cf028ce</t>
  </si>
  <si>
    <t>2020-02-18T07:13:52</t>
  </si>
  <si>
    <t>2020-02-18T12:48:22.000+06:30</t>
  </si>
  <si>
    <t>2019-12-05T12:49:38.000-07:00</t>
  </si>
  <si>
    <t>MSA 1:10^4 - 0 vol. 1ml.; Incubation period is 18 hrs instead of 24 hrs.</t>
  </si>
  <si>
    <t>abdede98-a99e-4fef-9d48-389e8fc236fb</t>
  </si>
  <si>
    <t>2020-02-18T07:14:22</t>
  </si>
  <si>
    <t>ca43c323-bad7-4f84-9da1-98afaf0b64e4</t>
  </si>
  <si>
    <t>2020-02-14T07:26:27</t>
  </si>
  <si>
    <t>2020-02-14T13:00:20.000+06:30</t>
  </si>
  <si>
    <t>2020-02-18T12:48:49.000+06:30</t>
  </si>
  <si>
    <t>2020-02-14T13:02:26.000+06:30</t>
  </si>
  <si>
    <t>0b1a3e12-0915-4a49-ba66-4b8e569bfed3</t>
  </si>
  <si>
    <t>2019-12-05T07:16:44</t>
  </si>
  <si>
    <t>5b8554fd-5114-4e9b-bb67-0634805e2610</t>
  </si>
  <si>
    <t>2020-02-18T07:14:49</t>
  </si>
  <si>
    <t>2019-12-05T12:50:38.000-07:00</t>
  </si>
  <si>
    <t>2020-02-18T12:49:13.000+06:30</t>
  </si>
  <si>
    <t>40f098a0-db3e-4c1e-bad8-44938bba3db5</t>
  </si>
  <si>
    <t>2020-02-18T07:15:11</t>
  </si>
  <si>
    <t>2020-02-18T12:49:44.000+06:30</t>
  </si>
  <si>
    <t>2b1c58dc-7643-47eb-b825-5e8484dc3d12</t>
  </si>
  <si>
    <t>2020-02-18T07:15:43</t>
  </si>
  <si>
    <t>cf6f4b76-8302-41a1-8b4b-54757a608103</t>
  </si>
  <si>
    <t>2019-12-05T07:17:44</t>
  </si>
  <si>
    <t>2020-02-18T12:49:45.000+06:30</t>
  </si>
  <si>
    <t>2020-02-18T12:50:11.000+06:30</t>
  </si>
  <si>
    <t>ee72d6ac-5b5e-45bb-987e-4514930dfcc3</t>
  </si>
  <si>
    <t>2019-12-05T12:51:28.000-07:00</t>
  </si>
  <si>
    <t>2020-02-18T07:16:10</t>
  </si>
  <si>
    <t>2020-02-18T12:50:34.000+06:30</t>
  </si>
  <si>
    <t>69bbd6c9-bc8e-49f9-967a-b7619972d5ec</t>
  </si>
  <si>
    <t>2020-02-18T07:16:34</t>
  </si>
  <si>
    <t>MSA 1:10^4 - 22 vol. 1ml.; Incubation period is 18 hrs instead of 24 hrs.; Sample with plaque count 0 in 1 ml and 100µl are retested for 5ml on 6.2.20</t>
  </si>
  <si>
    <t>2020-02-18T12:50:55.000+06:30</t>
  </si>
  <si>
    <t>4f7f42b0-e032-4603-a55e-c23ecb7898c5</t>
  </si>
  <si>
    <t>2020-02-14T07:28:33</t>
  </si>
  <si>
    <t>Associated sample PLc1029</t>
  </si>
  <si>
    <t>2020-02-14T13:02:28.000+06:30</t>
  </si>
  <si>
    <t>d7b4113f-fedd-4717-ae58-844ac40fdf66</t>
  </si>
  <si>
    <t>2020-02-18T07:16:55</t>
  </si>
  <si>
    <t>4846a65f-50a5-4dfe-a5dc-2babefe81577</t>
  </si>
  <si>
    <t>2019-12-05T07:18:35</t>
  </si>
  <si>
    <t>2020-02-14T13:04:59.000+06:30</t>
  </si>
  <si>
    <t>2019-12-05T12:51:29.000-07:00</t>
  </si>
  <si>
    <t>2020-02-18T12:51:20.000+06:30</t>
  </si>
  <si>
    <t>2019-12-05T12:52:30.000-07:00</t>
  </si>
  <si>
    <t>bbcd7a9d-3698-4caa-b52b-91c6f0937b80</t>
  </si>
  <si>
    <t>2020-02-18T07:17:20</t>
  </si>
  <si>
    <t>2020-02-18T12:52:30.000+06:30</t>
  </si>
  <si>
    <t>Associated sample COa2003, COb2007, COb2008, COb2009</t>
  </si>
  <si>
    <t>6cffe056-7ad5-45ea-b1b2-bc50c9fbefb4</t>
  </si>
  <si>
    <t>2020-02-18T07:18:30</t>
  </si>
  <si>
    <t>a1f953d7-8c02-4490-9ce7-61187a969692</t>
  </si>
  <si>
    <t>2019-12-05T07:19:37</t>
  </si>
  <si>
    <t>2020-02-18T12:52:59.000+06:30</t>
  </si>
  <si>
    <t>2019-12-05T12:53:21.000-07:00</t>
  </si>
  <si>
    <t>4fb1b23c-b43e-4d9d-b74d-7e6c1ac49267</t>
  </si>
  <si>
    <t>2020-02-18T07:18:59</t>
  </si>
  <si>
    <t>2020-02-18T12:53:00.000+06:30</t>
  </si>
  <si>
    <t>2020-02-18T12:53:29.000+06:30</t>
  </si>
  <si>
    <t>MSA 1:10^4 - 1 vol. 1ml.; WG5 1ml CL = Clear with contamination.; Incubation period is 18 hrs instead of 24 hrs.</t>
  </si>
  <si>
    <t>aa41fe8d-a019-4e93-95d4-22e467db558b</t>
  </si>
  <si>
    <t>2020-02-18T07:19:29</t>
  </si>
  <si>
    <t>1c6ceadd-2e56-4c9d-9b68-e68b43a00880</t>
  </si>
  <si>
    <t>2019-12-05T07:20:27</t>
  </si>
  <si>
    <t>0c2f0ea0-abf6-495f-ac7d-598895641798</t>
  </si>
  <si>
    <t>2020-02-18T12:53:54.000+06:30</t>
  </si>
  <si>
    <t>2020-02-14T07:31:07</t>
  </si>
  <si>
    <t>2020-02-14T13:05:01.000+06:30</t>
  </si>
  <si>
    <t>Cob2011</t>
  </si>
  <si>
    <t>2019-12-05T12:54:14.000-07:00</t>
  </si>
  <si>
    <t>2020-02-14T13:07:38.000+06:30</t>
  </si>
  <si>
    <t>94f319a6-0d4f-4a3d-97de-b11047a89988</t>
  </si>
  <si>
    <t>2020-02-18T07:19:53</t>
  </si>
  <si>
    <t>2020-02-18T12:54:14.000+06:30</t>
  </si>
  <si>
    <t>2be1ab84-c828-4867-8efe-912f890ffe31</t>
  </si>
  <si>
    <t>2020-02-18T07:20:13</t>
  </si>
  <si>
    <t>Associated sample PLc1030</t>
  </si>
  <si>
    <t>2020-02-18T12:54:37.000+06:30</t>
  </si>
  <si>
    <t>82a00772-9d29-4583-9168-f93769ecc822</t>
  </si>
  <si>
    <t>2019-12-05T07:21:21</t>
  </si>
  <si>
    <t>2019-12-09T13:08:51.000-07:00</t>
  </si>
  <si>
    <t>25d5c4e6-24d7-4133-82ec-dd2c3e6ed0e8</t>
  </si>
  <si>
    <t>2020-02-18T07:20:36</t>
  </si>
  <si>
    <t>2019-12-09T13:12:11.000-07:00</t>
  </si>
  <si>
    <t>2020-03-03T12:08:16.000+06:30</t>
  </si>
  <si>
    <t>2020-03-03T12:10:18.000+06:30</t>
  </si>
  <si>
    <t>S.typhi 06.12.2019, s.paratyphi 06.12.2019</t>
  </si>
  <si>
    <t>2020-02-18T10:00:00.000+06:30</t>
  </si>
  <si>
    <t>40184b3f-8401-49e2-9999-d91caac202b3</t>
  </si>
  <si>
    <t>2020-03-03T06:36:06</t>
  </si>
  <si>
    <t>ccf7bf63-e642-4dd1-81cc-cd99f4928273</t>
  </si>
  <si>
    <t>2020-03-03T12:10:41.000+06:30</t>
  </si>
  <si>
    <t>2019-12-09T07:39:16</t>
  </si>
  <si>
    <t>MSA 1:10^4 - 8 vol. 1ml.; Incubation period is 18 hrs instead of 24 hrs.; Sample with plaque count 0 in 1 ml and 100µl are retested for 5ml on 6.2.20</t>
  </si>
  <si>
    <t>2019-12-09T13:12:12.000-07:00</t>
  </si>
  <si>
    <t>36e74c40-6db3-48cf-a2bc-318052a14545</t>
  </si>
  <si>
    <t>2019-12-09T13:13:10.000-07:00</t>
  </si>
  <si>
    <t>2020-02-14T07:33:46</t>
  </si>
  <si>
    <t>2020-02-14T13:07:40.000+06:30</t>
  </si>
  <si>
    <t>81717545-e1bd-45de-b4f4-2a2ed9dcb644</t>
  </si>
  <si>
    <t>2020-02-14T13:09:03.000+06:30</t>
  </si>
  <si>
    <t>2020-03-03T06:36:29</t>
  </si>
  <si>
    <t>2020-03-03T12:10:42.000+06:30</t>
  </si>
  <si>
    <t>2020-03-03T12:11:03.000+06:30</t>
  </si>
  <si>
    <t>79a08599-15a0-4dc9-b96b-f95ea8cddcc5</t>
  </si>
  <si>
    <t>e94eaacc-c98c-403c-84d3-79c966fbdbc8</t>
  </si>
  <si>
    <t>2020-03-03T06:36:51</t>
  </si>
  <si>
    <t>2019-12-09T07:40:13</t>
  </si>
  <si>
    <t>2020-03-03T12:11:37.000+06:30</t>
  </si>
  <si>
    <t>2019-12-09T13:13:11.000-07:00</t>
  </si>
  <si>
    <t>2019-12-09T13:14:47.000-07:00</t>
  </si>
  <si>
    <t>Associated sample MO1171</t>
  </si>
  <si>
    <t>72f1ea1b-a38d-4d6a-995f-511f7861a644</t>
  </si>
  <si>
    <t>2020-03-03T06:37:24</t>
  </si>
  <si>
    <t>2020-03-03T12:12:10.000+06:30</t>
  </si>
  <si>
    <t>Associated sample PLc1103</t>
  </si>
  <si>
    <t>03d8d157-3088-4068-8bbf-868c37d736a3</t>
  </si>
  <si>
    <t>6cc41be4-cefc-4d7b-8004-e2c2b34767df</t>
  </si>
  <si>
    <t>2020-03-03T06:37:58</t>
  </si>
  <si>
    <t>2019-12-09T07:41:51</t>
  </si>
  <si>
    <t>e15fab92-27e6-4df8-911e-991bae828160</t>
  </si>
  <si>
    <t>2019-12-09T13:14:48.000-07:00</t>
  </si>
  <si>
    <t>2020-02-14T07:35:09</t>
  </si>
  <si>
    <t>2020-02-14T13:09:04.000+06:30</t>
  </si>
  <si>
    <t>2019-12-09T13:15:36.000-07:00</t>
  </si>
  <si>
    <t>2020-03-03T12:12:41.000+06:30</t>
  </si>
  <si>
    <t>2020-02-14T13:09:52.000+06:30</t>
  </si>
  <si>
    <t>2020-02-17T10:00:00.000+06:30</t>
  </si>
  <si>
    <t>a722b8ed-4a76-4639-a9f3-48caf2c745db</t>
  </si>
  <si>
    <t>2020-03-03T06:38:29</t>
  </si>
  <si>
    <t>2020-03-03T12:13:04.000+06:30</t>
  </si>
  <si>
    <t>6ae65ef9-6a84-43a1-a969-62c90188d01b</t>
  </si>
  <si>
    <t>2019-12-09T07:42:39</t>
  </si>
  <si>
    <t>268f6cab-b1da-4137-9fed-73cc1e6c5799</t>
  </si>
  <si>
    <t>2020-03-03T06:38:53</t>
  </si>
  <si>
    <t>2019-12-09T13:16:20.000-07:00</t>
  </si>
  <si>
    <t>2020-03-03T12:13:27.000+06:30</t>
  </si>
  <si>
    <t>39651686-92f4-4641-be06-297b83c9576a</t>
  </si>
  <si>
    <t>2020-03-03T06:39:18</t>
  </si>
  <si>
    <t>2020-03-03T12:13:28.000+06:30</t>
  </si>
  <si>
    <t>2020-03-03T12:13:49.000+06:30</t>
  </si>
  <si>
    <t>70be7d29-b517-4c63-9e97-fbb8fa40dc72</t>
  </si>
  <si>
    <t>2019-12-09T07:43:23</t>
  </si>
  <si>
    <t>2019-12-09T13:17:03.000-07:00</t>
  </si>
  <si>
    <t>45057884-97dd-4d84-91d2-c5c1a280ba5d</t>
  </si>
  <si>
    <t>2020-03-03T06:39:41</t>
  </si>
  <si>
    <t>2020-03-03T12:14:10.000+06:30</t>
  </si>
  <si>
    <t>dad9218c-7d53-4d3d-b42f-6c82f0b24abe</t>
  </si>
  <si>
    <t>2020-02-14T07:35:59</t>
  </si>
  <si>
    <t>6f99b451-b0d8-4e64-a53d-8193103a278b</t>
  </si>
  <si>
    <t>2019-12-09T07:44:06</t>
  </si>
  <si>
    <t>2020-02-14T13:09:54.000+06:30</t>
  </si>
  <si>
    <t>3800544e-4f7d-4ddf-8dfe-751389b7ef5a</t>
  </si>
  <si>
    <t>2020-03-03T06:40:03</t>
  </si>
  <si>
    <t>2020-03-03T12:14:11.000+06:30</t>
  </si>
  <si>
    <t>2019-12-09T13:18:48.000-07:00</t>
  </si>
  <si>
    <t>2020-02-14T13:13:58.000+06:30</t>
  </si>
  <si>
    <t>2020-03-03T12:14:33.000+06:30</t>
  </si>
  <si>
    <t>2020-02-06T14:00:00.000+06:30</t>
  </si>
  <si>
    <t>2020-02-06T17:00:00.000+06:30</t>
  </si>
  <si>
    <t>2020-02-07T11:45:00.000+06:30</t>
  </si>
  <si>
    <t>1181dbd2-5a82-4716-b5e8-1fdaf7eba5b4</t>
  </si>
  <si>
    <t>2020-03-03T06:40:21</t>
  </si>
  <si>
    <t>cd19c5d1-1bd4-4a49-9c17-eb259c0c2bc9</t>
  </si>
  <si>
    <t>2019-12-09T07:45:49</t>
  </si>
  <si>
    <t>2020-03-03T12:14:56.000+06:30</t>
  </si>
  <si>
    <t>2019-12-09T13:18:49.000-07:00</t>
  </si>
  <si>
    <t>2019-12-09T13:19:46.000-07:00</t>
  </si>
  <si>
    <t>5ff3dedf-a8a3-4452-b229-f241e0148e93</t>
  </si>
  <si>
    <t>2020-03-03T06:40:43</t>
  </si>
  <si>
    <t>2020-03-03T12:15:18.000+06:30</t>
  </si>
  <si>
    <t>22646e42-91f0-488b-ba3f-19775fbfc3d4</t>
  </si>
  <si>
    <t>4fadedfc-1d2e-425f-96fe-8581921d8cae</t>
  </si>
  <si>
    <t>2020-03-03T06:41:06</t>
  </si>
  <si>
    <t>2019-12-09T07:46:51</t>
  </si>
  <si>
    <t>2020-03-03T12:15:54.000+06:30</t>
  </si>
  <si>
    <t>2019-12-09T13:20:36.000-07:00</t>
  </si>
  <si>
    <t>ff267791-8e2e-4fe6-b1ba-2d78e1b3b3b4</t>
  </si>
  <si>
    <t>2020-03-03T06:41:42</t>
  </si>
  <si>
    <t>2020-03-03T12:15:55.000+06:30</t>
  </si>
  <si>
    <t>a0985d35-ef6c-4dfd-933f-693b34fbc551</t>
  </si>
  <si>
    <t>2020-03-03T12:16:27.000+06:30</t>
  </si>
  <si>
    <t>2020-02-14T07:40:06</t>
  </si>
  <si>
    <t>1af76e79-a8e9-4eac-bd59-78a93aadc58d</t>
  </si>
  <si>
    <t>2019-12-09T07:47:39</t>
  </si>
  <si>
    <t>2020-02-14T13:14:00.000+06:30</t>
  </si>
  <si>
    <t>Associated sample PLc1189</t>
  </si>
  <si>
    <t>2020-02-14T13:17:02.000+06:30</t>
  </si>
  <si>
    <t>2019-12-09T13:21:23.000-07:00</t>
  </si>
  <si>
    <t>525fd498-b954-40a1-8d55-1ac08fe9c620</t>
  </si>
  <si>
    <t>2020-03-03T06:42:16</t>
  </si>
  <si>
    <t>2020-03-03T12:16:28.000+06:30</t>
  </si>
  <si>
    <t>2020-03-03T12:16:53.000+06:30</t>
  </si>
  <si>
    <t>bc9eea78-a816-4530-859e-b8fa677501e0</t>
  </si>
  <si>
    <t>2020-03-03T06:42:41</t>
  </si>
  <si>
    <t>dd0a68d0-8b6e-4f40-ac34-f80b9a8fa809</t>
  </si>
  <si>
    <t>2019-12-09T07:48:26</t>
  </si>
  <si>
    <t>2020-03-03T12:17:18.000+06:30</t>
  </si>
  <si>
    <t>2019-12-09T13:22:04.000-07:00</t>
  </si>
  <si>
    <t>EC48</t>
  </si>
  <si>
    <t>6cc60d20-ebfb-42ed-92d2-50ad9aeda515</t>
  </si>
  <si>
    <t>2020-03-03T06:43:06</t>
  </si>
  <si>
    <t>2020-03-03T12:17:19.000+06:30</t>
  </si>
  <si>
    <t>2020-03-03T12:17:48.000+06:30</t>
  </si>
  <si>
    <t>bb73fb8e-7171-4899-bd5a-b587a865b227</t>
  </si>
  <si>
    <t>2019-12-09T07:49:07</t>
  </si>
  <si>
    <t>2019-12-09T13:22:50.000-07:00</t>
  </si>
  <si>
    <t>674310bb-b7ee-4c95-8a01-7140dcbe96be</t>
  </si>
  <si>
    <t>2020-03-03T06:43:36</t>
  </si>
  <si>
    <t>2020-03-03T12:18:10.000+06:30</t>
  </si>
  <si>
    <t>954d2bb6-72c1-4841-9c9d-d7e4a22403d8</t>
  </si>
  <si>
    <t>06875447-feb8-425f-b305-ed87ec2a12ba</t>
  </si>
  <si>
    <t>2019-12-09T07:49:54</t>
  </si>
  <si>
    <t>2020-02-14T07:43:10</t>
  </si>
  <si>
    <t>2020-02-14T13:17:04.000+06:30</t>
  </si>
  <si>
    <t>2c78e450-33a3-47f7-9573-0ad6a4beef87</t>
  </si>
  <si>
    <t>2020-03-03T06:43:57</t>
  </si>
  <si>
    <t>2019-12-09T13:23:54.000-07:00</t>
  </si>
  <si>
    <t>2020-02-14T13:18:18.000+06:30</t>
  </si>
  <si>
    <t>2020-03-03T12:18:31.000+06:30</t>
  </si>
  <si>
    <t>5a57ea29-7bdf-4f9a-8259-0fd96a5cd068</t>
  </si>
  <si>
    <t>2020-03-03T06:44:18</t>
  </si>
  <si>
    <t>2020-03-03T12:18:57.000+06:30</t>
  </si>
  <si>
    <t>Associated sample Plc1109</t>
  </si>
  <si>
    <t>70f15d01-8184-4905-a4ac-6eae11a8e594</t>
  </si>
  <si>
    <t>2019-12-09T07:50:57</t>
  </si>
  <si>
    <t>bc15b72c-62f1-4cc9-95a1-0e00a3d1f030</t>
  </si>
  <si>
    <t>2019-12-09T13:23:55.000-07:00</t>
  </si>
  <si>
    <t>2020-03-03T06:44:45</t>
  </si>
  <si>
    <t>2019-12-09T13:24:39.000-07:00</t>
  </si>
  <si>
    <t>2020-03-03T12:19:22.000+06:30</t>
  </si>
  <si>
    <t>ae0c9f69-38db-481e-a94f-af69fe94bbfa</t>
  </si>
  <si>
    <t>2020-03-03T06:45:08</t>
  </si>
  <si>
    <t>2020-03-03T12:19:43.000+06:30</t>
  </si>
  <si>
    <t>7ab4a36c-26d7-47a1-90f6-a77a217a8882</t>
  </si>
  <si>
    <t>2019-12-09T07:51:42</t>
  </si>
  <si>
    <t>2019-12-09T13:25:38.000-07:00</t>
  </si>
  <si>
    <t>e8965d02-1078-44da-8442-a1b73e6eeb5f</t>
  </si>
  <si>
    <t>56cea879-38ab-4621-a5ed-e6e7511e64b3</t>
  </si>
  <si>
    <t>2020-03-03T06:45:29</t>
  </si>
  <si>
    <t>2020-02-14T07:44:26</t>
  </si>
  <si>
    <t>2020-02-17T11:43:04.000+06:30</t>
  </si>
  <si>
    <t>2020-03-03T12:20:17.000+06:30</t>
  </si>
  <si>
    <t>2020-02-17T11:46:58.000+06:30</t>
  </si>
  <si>
    <t>0dd05481-12b2-4cad-bae5-75626b80a8d6</t>
  </si>
  <si>
    <t>2020-02-07T12:00:00.000+06:30</t>
  </si>
  <si>
    <t>2020-03-03T06:46:04</t>
  </si>
  <si>
    <t>2020-03-03T12:20:18.000+06:30</t>
  </si>
  <si>
    <t>2020-02-08T14:30:00.000+06:30</t>
  </si>
  <si>
    <t>2020-03-03T12:20:44.000+06:30</t>
  </si>
  <si>
    <t>4362a82d-4808-405f-8f6f-0f9b6e18dd8c</t>
  </si>
  <si>
    <t>2019-12-09T07:52:42</t>
  </si>
  <si>
    <t>2019-12-09T13:25:39.000-07:00</t>
  </si>
  <si>
    <t>15798f35-8c4d-4b51-b13d-45b548246fc7</t>
  </si>
  <si>
    <t>2020-03-03T06:46:31</t>
  </si>
  <si>
    <t>2019-12-09T13:26:29.000-07:00</t>
  </si>
  <si>
    <t>2020-03-03T12:21:06.000+06:30</t>
  </si>
  <si>
    <t>1754215c-0fae-45d4-b0dd-c1435edc46e2</t>
  </si>
  <si>
    <t>2020-03-03T06:46:53</t>
  </si>
  <si>
    <t>2020-03-03T12:21:39.000+06:30</t>
  </si>
  <si>
    <t>5151b6b1-d04e-45f1-98dc-36316cfd173c</t>
  </si>
  <si>
    <t>2019-12-09T07:53:32</t>
  </si>
  <si>
    <t>2019-12-11T12:57:59.000-07:00</t>
  </si>
  <si>
    <t>Associated sample MO1174</t>
  </si>
  <si>
    <t>2019-12-11T13:00:19.000-07:00</t>
  </si>
  <si>
    <t>1a5e9ca7-1e2f-4820-b25c-07f571da3bd2</t>
  </si>
  <si>
    <t>2020-03-03T06:47:27</t>
  </si>
  <si>
    <t>2020-03-03T12:22:05.000+06:30</t>
  </si>
  <si>
    <t>The counts for 1ml and 100µl do not seem to follow the expected trend of dilution. (More count from 100ml as compared to 1ml)</t>
  </si>
  <si>
    <t>468c6f22-7aec-478d-8139-94a77cee2bbc</t>
  </si>
  <si>
    <t>S.typhi 27.09.2019, s.paratyphi 27.09.2019</t>
  </si>
  <si>
    <t>2020-03-03T06:47:53</t>
  </si>
  <si>
    <t>6592b859-6011-4b39-8938-8b4259f46daf</t>
  </si>
  <si>
    <t>2020-02-17T06:13:00</t>
  </si>
  <si>
    <t>2020-03-03T12:22:58.000+06:30</t>
  </si>
  <si>
    <t>2020-02-17T11:46:59.000+06:30</t>
  </si>
  <si>
    <t>2020-02-17T11:52:42.000+06:30</t>
  </si>
  <si>
    <t>4fe981db-2154-458e-a878-ce7ac976e1af</t>
  </si>
  <si>
    <t>2019-12-11T07:27:23</t>
  </si>
  <si>
    <t>99b9a56c-9e6b-487c-b5da-e9a64d8cc1bc</t>
  </si>
  <si>
    <t>2020-03-03T06:48:49</t>
  </si>
  <si>
    <t>2020-03-03T12:23:25.000+06:30</t>
  </si>
  <si>
    <t>2019-12-11T13:01:47.000-07:00</t>
  </si>
  <si>
    <t>e42db167-c027-4f40-af10-3efdf6a17446</t>
  </si>
  <si>
    <t>2020-03-03T06:49:13</t>
  </si>
  <si>
    <t>2020-03-03T12:23:48.000+06:30</t>
  </si>
  <si>
    <t>Associated sample PLc1051</t>
  </si>
  <si>
    <t>9ffadffa-cff0-4db3-84b6-0f1ddd5da59b</t>
  </si>
  <si>
    <t>2020-03-03T06:49:36</t>
  </si>
  <si>
    <t>1b3d2d14-d1cd-4250-83e6-79ca5c7bd3ea</t>
  </si>
  <si>
    <t>2019-12-11T07:28:49</t>
  </si>
  <si>
    <t>2020-03-03T12:24:25.000+06:30</t>
  </si>
  <si>
    <t>2019-12-11T13:02:55.000-07:00</t>
  </si>
  <si>
    <t>00c8068a-c178-4f4c-802f-c91293f8c5c0</t>
  </si>
  <si>
    <t>2020-03-03T06:50:11</t>
  </si>
  <si>
    <t>2020-03-03T12:24:46.000+06:30</t>
  </si>
  <si>
    <t>WG5 1:10^4 - 0 vol. 1ml.</t>
  </si>
  <si>
    <t>76494ef7-8328-464a-94ba-a14294972d60</t>
  </si>
  <si>
    <t>2020-03-03T06:50:31</t>
  </si>
  <si>
    <t>c92dee64-4639-4109-aef3-308f1cc4b832</t>
  </si>
  <si>
    <t>2020-03-04T12:16:55.000+06:30</t>
  </si>
  <si>
    <t>2020-02-17T06:15:32</t>
  </si>
  <si>
    <t>2020-02-17T11:49:31.000+06:30</t>
  </si>
  <si>
    <t>2020-03-04T12:17:44.000+06:30</t>
  </si>
  <si>
    <t>2020-02-17T11:53:33.000+06:30</t>
  </si>
  <si>
    <t>2020-02-14T10:00:00.000+06:30</t>
  </si>
  <si>
    <t>8dbaf2d3-78cf-4951-bcbd-c67eef759fd9</t>
  </si>
  <si>
    <t>2020-03-04T06:43:31</t>
  </si>
  <si>
    <t>f3eb9817-48ed-4788-9091-1660a9132ad1</t>
  </si>
  <si>
    <t>2019-12-11T07:29:55</t>
  </si>
  <si>
    <t>2020-03-04T12:17:45.000+06:30</t>
  </si>
  <si>
    <t>2020-03-04T12:18:21.000+06:30</t>
  </si>
  <si>
    <t>2019-12-11T13:03:48.000-07:00</t>
  </si>
  <si>
    <t>d697a860-541d-4a1e-92df-5d095cf65b25</t>
  </si>
  <si>
    <t>2020-03-04T06:44:07</t>
  </si>
  <si>
    <t>2020-03-04T12:19:14.000+06:30</t>
  </si>
  <si>
    <t>Associated sample MO1177</t>
  </si>
  <si>
    <t>a90ae439-be40-47a4-947f-8aab72d15e6d</t>
  </si>
  <si>
    <t>2020-03-04T06:45:00</t>
  </si>
  <si>
    <t>0dc390c9-e41d-48b4-888b-e8fbbecaa19d</t>
  </si>
  <si>
    <t>2019-12-11T07:30:49</t>
  </si>
  <si>
    <t>2020-03-04T12:19:55.000+06:30</t>
  </si>
  <si>
    <t>2019-12-11T13:06:14.000-07:00</t>
  </si>
  <si>
    <t>d61fbf58-9d94-4e98-89b0-34cf30a842db</t>
  </si>
  <si>
    <t>2020-03-04T06:45:41</t>
  </si>
  <si>
    <t>2020-03-04T12:21:02.000+06:30</t>
  </si>
  <si>
    <t>WG5 1:10^4 - 3 vol. 1ml.</t>
  </si>
  <si>
    <t>0ad5ffa2-6386-48e1-b2c5-e63cea7a3e78</t>
  </si>
  <si>
    <t>2020-03-04T06:46:50</t>
  </si>
  <si>
    <t>741eccef-3a12-420a-9057-86184dd795e9</t>
  </si>
  <si>
    <t>2020-02-17T06:19:35</t>
  </si>
  <si>
    <t>2020-03-04T12:21:38.000+06:30</t>
  </si>
  <si>
    <t>2020-02-17T11:53:34.000+06:30</t>
  </si>
  <si>
    <t>cf90de4d-6712-4edc-9533-252b5c2b595e</t>
  </si>
  <si>
    <t>2019-12-11T07:33:16</t>
  </si>
  <si>
    <t>2020-02-17T11:56:58.000+06:30</t>
  </si>
  <si>
    <t>47186b49-6ca1-48a0-bc38-5b9c00c5ebd1</t>
  </si>
  <si>
    <t>2020-03-04T06:47:26</t>
  </si>
  <si>
    <t>2019-12-11T13:07:01.000-07:00</t>
  </si>
  <si>
    <t>2020-03-04T12:21:39.000+06:30</t>
  </si>
  <si>
    <t>2020-02-11T13:00:00.000+06:30</t>
  </si>
  <si>
    <t>2020-02-11T14:30:00.000+06:30</t>
  </si>
  <si>
    <t>2020-03-04T12:22:10.000+06:30</t>
  </si>
  <si>
    <t>2020-02-12T11:00:00.000+06:30</t>
  </si>
  <si>
    <t>cc7065ff-f86d-42e2-a9d1-df491bb4cb55</t>
  </si>
  <si>
    <t>2020-03-04T06:47:59</t>
  </si>
  <si>
    <t>d238b938-7095-485e-ab0b-b63d16b61167</t>
  </si>
  <si>
    <t>2020-03-04T12:22:12.000+06:30</t>
  </si>
  <si>
    <t>2019-12-11T07:34:03</t>
  </si>
  <si>
    <t>2020-03-04T12:22:34.000+06:30</t>
  </si>
  <si>
    <t>2019-12-11T13:08:25.000-07:00</t>
  </si>
  <si>
    <t>aea7b122-3613-460f-b41e-ba3c2e1aaefe</t>
  </si>
  <si>
    <t>2020-03-04T06:48:22</t>
  </si>
  <si>
    <t>2020-03-04T12:23:06.000+06:30</t>
  </si>
  <si>
    <t>Associated sample COa1003, COb1007, COb1008, COb1009</t>
  </si>
  <si>
    <t>28b93491-136b-4670-a249-5aeb670f6854</t>
  </si>
  <si>
    <t>6a343b57-31c3-4d8e-b390-8726422b71aa</t>
  </si>
  <si>
    <t>2020-03-04T06:48:53</t>
  </si>
  <si>
    <t>2019-12-11T07:35:27</t>
  </si>
  <si>
    <t>2020-03-04T12:23:36.000+06:30</t>
  </si>
  <si>
    <t>2019-12-11T13:09:36.000-07:00</t>
  </si>
  <si>
    <t>50f00d97-612d-4c18-93a7-04d6b8834e41</t>
  </si>
  <si>
    <t>2020-03-04T06:49:24</t>
  </si>
  <si>
    <t>2020-03-04T12:24:05.000+06:30</t>
  </si>
  <si>
    <t>3843cb27-d7dd-4f2c-97d2-4f1621490afa</t>
  </si>
  <si>
    <t>2020-02-17T06:23:01</t>
  </si>
  <si>
    <t>784b9ba6-1d62-4ae1-8764-c01b0dec003c</t>
  </si>
  <si>
    <t>2019-12-11T07:36:38</t>
  </si>
  <si>
    <t>d37f7c6b-6182-4ecb-a4b3-e3aee8a0a285</t>
  </si>
  <si>
    <t>2020-03-04T06:49:52</t>
  </si>
  <si>
    <t>2020-02-17T11:58:29.000+06:30</t>
  </si>
  <si>
    <t>2019-12-11T13:11:24.000-07:00</t>
  </si>
  <si>
    <t>2020-03-04T12:24:32.000+06:30</t>
  </si>
  <si>
    <t>71b1c606-5530-45ee-867e-8e7520612170</t>
  </si>
  <si>
    <t>2020-03-04T06:50:18</t>
  </si>
  <si>
    <t>f5bc9238-f8c2-4bb4-ba87-7fb272551c08</t>
  </si>
  <si>
    <t>2020-03-04T12:25:07.000+06:30</t>
  </si>
  <si>
    <t>2019-12-11T07:38:26</t>
  </si>
  <si>
    <t>Associated sample MO1180</t>
  </si>
  <si>
    <t>2019-12-11T13:12:24.000-07:00</t>
  </si>
  <si>
    <t>afc0de3d-40fe-4b23-ac40-bcfd1780feb0</t>
  </si>
  <si>
    <t>2020-03-04T06:50:53</t>
  </si>
  <si>
    <t>2020-03-04T12:25:43.000+06:30</t>
  </si>
  <si>
    <t>ef15f28b-d8b4-4b57-8a2d-94c6a333a1e1</t>
  </si>
  <si>
    <t>2020-03-04T06:51:32</t>
  </si>
  <si>
    <t>2020-03-04T12:26:12.000+06:30</t>
  </si>
  <si>
    <t>36a65914-342e-42ce-94cb-59a0f8cffe9a</t>
  </si>
  <si>
    <t>2019-12-11T07:39:26</t>
  </si>
  <si>
    <t>2019-12-11T13:12:25.000-07:00</t>
  </si>
  <si>
    <t>dd02e221-5a62-41ac-a27e-f35b6f10beeb</t>
  </si>
  <si>
    <t>2020-03-04T06:51:59</t>
  </si>
  <si>
    <t>2019-12-11T13:13:34.000-07:00</t>
  </si>
  <si>
    <t>2020-03-04T12:26:48.000+06:30</t>
  </si>
  <si>
    <t>58c2ce51-20b2-468e-8930-e7786428aa9a</t>
  </si>
  <si>
    <t>2020-02-17T06:24:31</t>
  </si>
  <si>
    <t>b6731100-df8f-45f8-8c04-dfec8f69b032</t>
  </si>
  <si>
    <t>2020-03-04T06:52:35</t>
  </si>
  <si>
    <t>2020-02-17T12:00:10.000+06:30</t>
  </si>
  <si>
    <t>2020-03-04T12:27:12.000+06:30</t>
  </si>
  <si>
    <t>8b7f5db0-d0b9-4a69-a594-9c1f8af4704f</t>
  </si>
  <si>
    <t>149367b5-b71a-4a78-9bba-21a26cebbdf1</t>
  </si>
  <si>
    <t>2020-03-04T06:53:01</t>
  </si>
  <si>
    <t>2019-12-11T07:40:36</t>
  </si>
  <si>
    <t>2020-03-04T12:27:43.000+06:30</t>
  </si>
  <si>
    <t>2019-12-11T13:14:30.000-07:00</t>
  </si>
  <si>
    <t>fe276b15-e138-462d-91f4-c7af43a739f9</t>
  </si>
  <si>
    <t>2020-03-04T06:53:31</t>
  </si>
  <si>
    <t>2020-03-04T12:28:21.000+06:30</t>
  </si>
  <si>
    <t>3f9f75f3-63f3-4587-b35f-d8ecec4e92ef</t>
  </si>
  <si>
    <t>2020-03-04T06:54:09</t>
  </si>
  <si>
    <t>7c0d5dfd-4479-4732-a199-06e0247b7252</t>
  </si>
  <si>
    <t>2019-12-11T07:41:32</t>
  </si>
  <si>
    <t>2020-03-04T12:28:46.000+06:30</t>
  </si>
  <si>
    <t>2019-12-11T13:15:19.000-07:00</t>
  </si>
  <si>
    <t>d46263d2-aae9-4ab4-afe8-a9005888a3ab</t>
  </si>
  <si>
    <t>2020-03-04T06:54:34</t>
  </si>
  <si>
    <t>2020-03-04T12:29:11.000+06:30</t>
  </si>
  <si>
    <t>0d12ce43-5e85-4307-ac92-757c3244a752</t>
  </si>
  <si>
    <t>2020-03-04T06:54:58</t>
  </si>
  <si>
    <t>40101ec6-28ee-491d-90d8-7cb6e024b08c</t>
  </si>
  <si>
    <t>2020-02-17T06:26:14</t>
  </si>
  <si>
    <t>2020-03-04T12:29:37.000+06:30</t>
  </si>
  <si>
    <t>e405912f-0124-4a15-add8-13b96df0f975</t>
  </si>
  <si>
    <t>2019-12-11T07:42:21</t>
  </si>
  <si>
    <t>2020-02-17T12:01:40.000+06:30</t>
  </si>
  <si>
    <t>2019-12-11T13:18:00.000-07:00</t>
  </si>
  <si>
    <t>080d0efb-619d-4baf-8ed0-b458749049b1</t>
  </si>
  <si>
    <t>2020-03-04T06:55:23</t>
  </si>
  <si>
    <t>2020-03-04T12:30:05.000+06:30</t>
  </si>
  <si>
    <t>dffe22d1-4849-4d7c-9029-a69122eb8d28</t>
  </si>
  <si>
    <t>2020-03-04T06:55:51</t>
  </si>
  <si>
    <t>Associated sample COa1004, COb1010, COb1011, COb1012, COb1013</t>
  </si>
  <si>
    <t>2020-03-04T12:30:53.000+06:30</t>
  </si>
  <si>
    <t>55757ec9-da8f-4b9e-a161-8c19644ce96e</t>
  </si>
  <si>
    <t>2019-12-11T07:43:21</t>
  </si>
  <si>
    <t>2019-12-11T13:16:19.000-07:00</t>
  </si>
  <si>
    <t>e8d88814-601f-4b89-8a63-a6dfec1fe0b3</t>
  </si>
  <si>
    <t>2020-03-04T06:56:41</t>
  </si>
  <si>
    <t>2019-12-11T13:19:50.000-07:00</t>
  </si>
  <si>
    <t>2020-03-04T12:31:20.000+06:30</t>
  </si>
  <si>
    <t>8f4a7f58-e378-49fb-be11-5978384c8b92</t>
  </si>
  <si>
    <t>2020-03-04T06:57:08</t>
  </si>
  <si>
    <t>2020-03-04T12:31:21.000+06:30</t>
  </si>
  <si>
    <t>WG5 1:10^4 - 1 vol. 1ml.</t>
  </si>
  <si>
    <t>2020-03-04T12:31:46.000+06:30</t>
  </si>
  <si>
    <t>91d60fb6-bc53-4ad8-b553-1dede1fe462d</t>
  </si>
  <si>
    <t>2019-12-11T07:46:53</t>
  </si>
  <si>
    <t>c9353a96-f062-4f06-83f1-e4ca707716ac</t>
  </si>
  <si>
    <t>2020-02-17T06:27:44</t>
  </si>
  <si>
    <t>60d5054f-5edf-4594-ac5a-6e939e841f4f</t>
  </si>
  <si>
    <t>2020-03-04T06:57:34</t>
  </si>
  <si>
    <t>2019-12-11T13:27:45.000-07:00</t>
  </si>
  <si>
    <t>2020-02-17T12:03:28.000+06:30</t>
  </si>
  <si>
    <t>2020-03-04T12:32:26.000+06:30</t>
  </si>
  <si>
    <t>bd87e0f7-c439-4c27-83cb-6ad6dd317668</t>
  </si>
  <si>
    <t>2020-03-04T06:58:13</t>
  </si>
  <si>
    <t>2020-03-04T12:33:06.000+06:30</t>
  </si>
  <si>
    <t>59d62750-a7ba-445b-8ea9-050c7e6cca82</t>
  </si>
  <si>
    <t>2019-12-11T07:54:48</t>
  </si>
  <si>
    <t>4c35f77e-38f5-4ea9-8ba3-3d8292fd392b</t>
  </si>
  <si>
    <t>2020-03-04T06:58:53</t>
  </si>
  <si>
    <t>2020-03-04T12:33:36.000+06:30</t>
  </si>
  <si>
    <t>2019-12-11T13:28:57.000-07:00</t>
  </si>
  <si>
    <t>e983eb6c-9e87-4666-8e30-70d174876bbb</t>
  </si>
  <si>
    <t>2020-03-04T06:59:24</t>
  </si>
  <si>
    <t>2020-03-04T12:34:10.000+06:30</t>
  </si>
  <si>
    <t>203ed657-02c0-4547-a4b2-6f5c0b4eb92f</t>
  </si>
  <si>
    <t>02f81709-7b63-4ae9-b3a4-b6c2554a6006</t>
  </si>
  <si>
    <t>2019-12-11T07:55:59</t>
  </si>
  <si>
    <t>2020-03-04T06:59:57</t>
  </si>
  <si>
    <t>2019-12-11T13:30:07.000-07:00</t>
  </si>
  <si>
    <t>2020-03-04T12:34:58.000+06:30</t>
  </si>
  <si>
    <t>WG5 1:10^4 - 6 vol. 1ml.</t>
  </si>
  <si>
    <t>491acb9f-bfa5-4513-a2cd-ad7a368ffafa</t>
  </si>
  <si>
    <t>2020-02-19T10:00:00.000+06:30</t>
  </si>
  <si>
    <t>2020-02-17T06:29:30</t>
  </si>
  <si>
    <t>f5e4c8c8-3d94-481e-8eab-98e0e02b0be1</t>
  </si>
  <si>
    <t>2020-03-04T07:00:44</t>
  </si>
  <si>
    <t>2020-02-17T12:05:46.000+06:30</t>
  </si>
  <si>
    <t>2020-03-04T12:35:32.000+06:30</t>
  </si>
  <si>
    <t>158d1ee7-f7b1-42c9-943c-d443248d9200</t>
  </si>
  <si>
    <t>2019-12-11T07:57:09</t>
  </si>
  <si>
    <t>63ef09f2-7a17-48eb-a59a-967925ca92c8</t>
  </si>
  <si>
    <t>2019-12-11T13:31:02.000-07:00</t>
  </si>
  <si>
    <t>2020-03-04T07:01:19</t>
  </si>
  <si>
    <t>2020-03-04T12:36:16.000+06:30</t>
  </si>
  <si>
    <t>11f3d6a2-fe9d-4c6a-bfa7-658408b4cd4a</t>
  </si>
  <si>
    <t>2020-03-04T07:02:03</t>
  </si>
  <si>
    <t>2020-03-04T12:37:08.000+06:30</t>
  </si>
  <si>
    <t>60380b2c-6280-4c76-ac60-c87a64fee7c2</t>
  </si>
  <si>
    <t>2019-12-11T07:58:04</t>
  </si>
  <si>
    <t>3ab6ead4-e3d8-4ad6-b742-d84807ad8d50</t>
  </si>
  <si>
    <t>2020-03-04T07:02:54</t>
  </si>
  <si>
    <t>2019-12-11T13:31:58.000-07:00</t>
  </si>
  <si>
    <t>2020-03-04T12:38:02.000+06:30</t>
  </si>
  <si>
    <t>aaac4808-532b-4665-94b4-bc7221adc556</t>
  </si>
  <si>
    <t>2020-03-04T07:03:50</t>
  </si>
  <si>
    <t>98eaf699-f8ad-4bd4-86cb-733ad3799040</t>
  </si>
  <si>
    <t>2020-03-04T12:38:30.000+06:30</t>
  </si>
  <si>
    <t>2020-02-17T06:31:51</t>
  </si>
  <si>
    <t>Associated sample PLc1026</t>
  </si>
  <si>
    <t>2020-02-17T12:05:47.000+06:30</t>
  </si>
  <si>
    <t>65161646-fd5c-4a74-bbba-ecde71296f1c</t>
  </si>
  <si>
    <t>2019-12-11T07:59:00</t>
  </si>
  <si>
    <t>2020-02-17T12:07:35.000+06:30</t>
  </si>
  <si>
    <t>76d0c271-cb8f-4bad-8619-950ecbf95acc</t>
  </si>
  <si>
    <t>2019-12-11T13:31:59.000-07:00</t>
  </si>
  <si>
    <t>2020-03-04T07:04:17</t>
  </si>
  <si>
    <t>2019-12-11T13:32:45.000-07:00</t>
  </si>
  <si>
    <t>2020-03-04T12:38:58.000+06:30</t>
  </si>
  <si>
    <t>f9a20ea6-c8bb-481d-98c5-70913386375e</t>
  </si>
  <si>
    <t>2020-03-04T07:04:45</t>
  </si>
  <si>
    <t>2020-03-04T12:39:28.000+06:30</t>
  </si>
  <si>
    <t>ee391d43-ea58-4b9e-9258-2280cb24d965</t>
  </si>
  <si>
    <t>2019-12-11T07:59:48</t>
  </si>
  <si>
    <t>2019-12-11T13:32:46.000-07:00</t>
  </si>
  <si>
    <t>2db2af81-9226-4dfd-a9b3-7524baec22f1</t>
  </si>
  <si>
    <t>2019-12-11T13:33:52.000-07:00</t>
  </si>
  <si>
    <t>2020-03-04T07:05:13</t>
  </si>
  <si>
    <t>2020-03-04T12:40:03.000+06:30</t>
  </si>
  <si>
    <t>e41ed1d5-297a-41c0-acca-276ab3889052</t>
  </si>
  <si>
    <t>2020-02-17T06:33:39</t>
  </si>
  <si>
    <t>2020-02-17T12:07:36.000+06:30</t>
  </si>
  <si>
    <t>6ead423d-cbd9-4c02-9480-e5e54f5ff9c9</t>
  </si>
  <si>
    <t>2020-03-04T07:05:49</t>
  </si>
  <si>
    <t>Associated sample MO1095</t>
  </si>
  <si>
    <t>2020-02-17T12:09:06.000+06:30</t>
  </si>
  <si>
    <t>a1f2ff2b-d90e-4c7c-81a5-1fa1c0db8eb6</t>
  </si>
  <si>
    <t>2020-03-04T12:40:30.000+06:30</t>
  </si>
  <si>
    <t>2019-12-11T08:00:52</t>
  </si>
  <si>
    <t>2019-12-11T13:34:56.000-07:00</t>
  </si>
  <si>
    <t>2019-12-11T13:38:26.000-07:00</t>
  </si>
  <si>
    <t>2aa23800-6d43-4465-ba88-b9c0cb0a74aa</t>
  </si>
  <si>
    <t>2020-03-04T07:06:17</t>
  </si>
  <si>
    <t>2020-03-04T12:40:31.000+06:30</t>
  </si>
  <si>
    <t>2020-03-04T12:40:56.000+06:30</t>
  </si>
  <si>
    <t>EC51</t>
  </si>
  <si>
    <t>Associated sample PLc1027</t>
  </si>
  <si>
    <t>0a96d87a-df1f-4c3e-b435-bd6f938e0d26</t>
  </si>
  <si>
    <t>2019-12-11T08:03:56</t>
  </si>
  <si>
    <t>2019-12-11T13:36:55.000-07:00</t>
  </si>
  <si>
    <t>ab4a1b09-b694-4033-a88f-39b3e2d1a5d7</t>
  </si>
  <si>
    <t>2020-03-04T07:06:43</t>
  </si>
  <si>
    <t>2020-03-04T12:40:57.000+06:30</t>
  </si>
  <si>
    <t>2019-12-11T13:39:24.000-07:00</t>
  </si>
  <si>
    <t>2020-03-04T12:41:49.000+06:30</t>
  </si>
  <si>
    <t>2020-02-20T10:30:00.000+06:30</t>
  </si>
  <si>
    <t>b4fb3980-c1a8-49f0-9484-982e2054a5b3</t>
  </si>
  <si>
    <t>2020-03-04T07:07:35</t>
  </si>
  <si>
    <t>ab7349b8-c8a8-4bbc-b22c-674a6ce65e71</t>
  </si>
  <si>
    <t>2019-12-11T08:06:26</t>
  </si>
  <si>
    <t>a3dfe47d-54b9-4097-a519-194292d10440</t>
  </si>
  <si>
    <t>2020-03-04T12:42:12.000+06:30</t>
  </si>
  <si>
    <t>2020-02-17T06:35:08</t>
  </si>
  <si>
    <t>2020-02-17T12:09:07.000+06:30</t>
  </si>
  <si>
    <t>2019-12-11T13:40:04.000-07:00</t>
  </si>
  <si>
    <t>2020-02-17T12:10:00.000+06:30</t>
  </si>
  <si>
    <t>1bf137ee-82e6-4b19-9e17-222589071e7a</t>
  </si>
  <si>
    <t>2020-03-04T07:07:58</t>
  </si>
  <si>
    <t>2020-03-04T12:42:42.000+06:30</t>
  </si>
  <si>
    <t>e0e00d39-3a22-4d99-8fb0-eebd99743e3e</t>
  </si>
  <si>
    <t>2019-12-11T08:07:06</t>
  </si>
  <si>
    <t>2019-12-16T11:50:25.000-07:00</t>
  </si>
  <si>
    <t>80a62e4e-0897-42fb-a4d0-1086d2bb3ddc</t>
  </si>
  <si>
    <t>2019-12-16T11:53:29.000-07:00</t>
  </si>
  <si>
    <t>2020-03-04T07:08:29</t>
  </si>
  <si>
    <t>2020-03-04T12:43:13.000+06:30</t>
  </si>
  <si>
    <t>S.typhi 11.12.2019, s.paratyphi 11.12.2019</t>
  </si>
  <si>
    <t>1cd57815-a84a-4fc7-b865-717298f34498</t>
  </si>
  <si>
    <t>2020-03-04T07:09:00</t>
  </si>
  <si>
    <t>f0f87b18-e475-423f-a489-02c9d5250267</t>
  </si>
  <si>
    <t>2019-12-16T06:20:25</t>
  </si>
  <si>
    <t>dbcb019e-b28c-45e4-9f37-d4f6a6aecd5f</t>
  </si>
  <si>
    <t>2020-03-04T12:43:45.000+06:30</t>
  </si>
  <si>
    <t>2020-02-17T06:36:03</t>
  </si>
  <si>
    <t>2019-12-16T11:55:07.000-07:00</t>
  </si>
  <si>
    <t>2020-02-17T12:10:01.000+06:30</t>
  </si>
  <si>
    <t>2020-02-17T12:14:34.000+06:30</t>
  </si>
  <si>
    <t>564d8ef8-c92c-4bcd-8a51-3a9dc5031d32</t>
  </si>
  <si>
    <t>2020-03-04T07:09:31</t>
  </si>
  <si>
    <t>2020-03-04T12:44:14.000+06:30</t>
  </si>
  <si>
    <t>4e48c469-5e7f-48fc-a5da-91f5ede10f4f</t>
  </si>
  <si>
    <t>2019-12-16T06:22:04</t>
  </si>
  <si>
    <t>8c1e7a5e-becf-484c-a993-2c63c42d31b2</t>
  </si>
  <si>
    <t>2020-03-04T07:10:00</t>
  </si>
  <si>
    <t>2020-03-04T12:44:50.000+06:30</t>
  </si>
  <si>
    <t>2019-12-16T11:56:49.000-07:00</t>
  </si>
  <si>
    <t>Associated sample PL1027</t>
  </si>
  <si>
    <t>8f2beb4e-409b-4dc1-a050-291fd4058fa8</t>
  </si>
  <si>
    <t>2020-03-04T07:10:35</t>
  </si>
  <si>
    <t>2020-03-04T12:45:31.000+06:30</t>
  </si>
  <si>
    <t>Actual plaque count is: 260</t>
  </si>
  <si>
    <t>34f44745-fa28-4746-9615-f1a610ebc2c0</t>
  </si>
  <si>
    <t>8c412e85-0893-46ba-82b0-6af41538ced1</t>
  </si>
  <si>
    <t>2020-02-17T06:40:35</t>
  </si>
  <si>
    <t>2019-12-16T06:23:46</t>
  </si>
  <si>
    <t>2020-02-17T12:14:35.000+06:30</t>
  </si>
  <si>
    <t>2020-02-17T12:28:00.000+06:30</t>
  </si>
  <si>
    <t>2019-12-16T11:59:27.000-07:00</t>
  </si>
  <si>
    <t>8a84b62e-bfb7-4374-a2bf-4f96644ba8ed</t>
  </si>
  <si>
    <t>2020-03-04T07:11:18</t>
  </si>
  <si>
    <t>2020-02-12T13:00:00.000+06:30</t>
  </si>
  <si>
    <t>2020-02-12T14:00:00.000+06:30</t>
  </si>
  <si>
    <t>2020-02-13T11:00:00.000+06:30</t>
  </si>
  <si>
    <t>9d60066a-3963-4721-8b37-57841e9558f3</t>
  </si>
  <si>
    <t>2019-12-16T06:26:26</t>
  </si>
  <si>
    <t>2019-12-16T12:00:24.000-07:00</t>
  </si>
  <si>
    <t>107383b6-984b-4daa-ac4f-7b96f441c90f</t>
  </si>
  <si>
    <t>2019-12-16T06:27:16</t>
  </si>
  <si>
    <t>WG5 1:10^4 - 1 vol. 1ml.; Clear plate with some prominent plaques</t>
  </si>
  <si>
    <t>a943853e-6726-498c-8d90-a29b819b5b9f</t>
  </si>
  <si>
    <t>2020-02-17T06:44:29</t>
  </si>
  <si>
    <t>2019-12-16T12:01:20.000-07:00</t>
  </si>
  <si>
    <t>2020-02-17T12:24:21.000+06:30</t>
  </si>
  <si>
    <t>2020-02-17T12:32:31.000+06:30</t>
  </si>
  <si>
    <t>043446c5-53d4-46e7-89bc-4946c9bac993</t>
  </si>
  <si>
    <t>2019-12-16T06:28:17</t>
  </si>
  <si>
    <t>2019-12-16T12:02:11.000-07:00</t>
  </si>
  <si>
    <t>59e77a9a-5b56-42ff-8611-e087327dfd8d</t>
  </si>
  <si>
    <t>2019-12-16T06:29:07</t>
  </si>
  <si>
    <t>2019-12-16T12:03:01.000-07:00</t>
  </si>
  <si>
    <t>Clear plate with some extraneous growth</t>
  </si>
  <si>
    <t>c1a7be25-8ccf-41c7-93c1-90fd4d188a92</t>
  </si>
  <si>
    <t>2020-02-17T06:58:34</t>
  </si>
  <si>
    <t>2020-02-17T12:32:32.000+06:30</t>
  </si>
  <si>
    <t>lab_incubatorms_placed</t>
  </si>
  <si>
    <t>2020-02-17T12:36:00.000+06:30</t>
  </si>
  <si>
    <t>lab_incubatorms_removed</t>
  </si>
  <si>
    <t>lab_pcr_date</t>
  </si>
  <si>
    <t>lab_dna_done</t>
  </si>
  <si>
    <t>46689713-d475-44a4-9b04-614dd109527f</t>
  </si>
  <si>
    <t>2019-12-16T06:29:58</t>
  </si>
  <si>
    <t>2019-05-03T16:25:22.000-07:00</t>
  </si>
  <si>
    <t>2019-05-03T16:37:32.000-07:00</t>
  </si>
  <si>
    <t>58</t>
  </si>
  <si>
    <t>1</t>
  </si>
  <si>
    <t>11</t>
  </si>
  <si>
    <t>2019-12-16T12:03:55.000-07:00</t>
  </si>
  <si>
    <t>2019-05-01T16:45:00.000-07:00</t>
  </si>
  <si>
    <t>2019-05-02T10:30:00.000-07:00</t>
  </si>
  <si>
    <t>2019-05-02T11:00:00.000-07:00</t>
  </si>
  <si>
    <t>2019-05-03</t>
  </si>
  <si>
    <t/>
  </si>
  <si>
    <t>2 filter papers were used for  20 ml (10 ml for each filter paer) of the sample, Lab operator was Soma.</t>
  </si>
  <si>
    <t>4</t>
  </si>
  <si>
    <t>vGc6odWsEe7XY6syZVhXZd</t>
  </si>
  <si>
    <t>63ad127b-2cba-4a21-9ebd-4779f1c3cfa1</t>
  </si>
  <si>
    <t>2019-05-03T11:07:49</t>
  </si>
  <si>
    <t>2019-05-03T16:37:33.000-07:00</t>
  </si>
  <si>
    <t>2019-05-03T16:50:09.000-07:00</t>
  </si>
  <si>
    <t>57</t>
  </si>
  <si>
    <t>12</t>
  </si>
  <si>
    <t>MO 1001</t>
  </si>
  <si>
    <t>2019-05-02T16:32:00.000-07:00</t>
  </si>
  <si>
    <t>2019-05-03T10:00:00.000-07:00</t>
  </si>
  <si>
    <t>2019-05-03T10:30:00.000-07:00</t>
  </si>
  <si>
    <t>a67b152f-4a36-46db-9094-9f440e83ae14</t>
  </si>
  <si>
    <t>2019-12-16T06:30:51</t>
  </si>
  <si>
    <t>2e062fea-6634-477d-9039-5b4613184348</t>
  </si>
  <si>
    <t>2019-05-03T11:20:25</t>
  </si>
  <si>
    <t>2019-05-03T16:58:01.000-07:00</t>
  </si>
  <si>
    <t>MO 1002</t>
  </si>
  <si>
    <t>2019-12-16T12:05:02.000-07:00</t>
  </si>
  <si>
    <t>2019-05-02T15:15:00.000-07:00</t>
  </si>
  <si>
    <t>4a6d057b-9176-43a5-abbe-46ed42d5bd7f</t>
  </si>
  <si>
    <t>2020-02-17T07:02:02</t>
  </si>
  <si>
    <t>1, 4</t>
  </si>
  <si>
    <t>6ece2b8c-3759-4a94-aeac-bd9d2a3ff718</t>
  </si>
  <si>
    <t>2019-05-03T11:28:17</t>
  </si>
  <si>
    <t>2019-05-13T15:35:24.000-07:00</t>
  </si>
  <si>
    <t>2020-02-17T12:37:52.000+06:30</t>
  </si>
  <si>
    <t>2019-05-13T15:41:53.000-07:00</t>
  </si>
  <si>
    <t>2</t>
  </si>
  <si>
    <t>2019-05-06T14:00:00.000-07:00</t>
  </si>
  <si>
    <t>2019-05-06T16:00:00.000-07:00</t>
  </si>
  <si>
    <t>2019-05-07T16:15:00.000-07:00</t>
  </si>
  <si>
    <t>2019-05-07T16:35:00.000-07:00</t>
  </si>
  <si>
    <t>2019-05-08</t>
  </si>
  <si>
    <t>023d342f-85d9-44bc-9e86-b73060843180</t>
  </si>
  <si>
    <t>21147b6c-c5bb-4467-97b7-1858f8fe59a6</t>
  </si>
  <si>
    <t>2019-12-16T06:32:00</t>
  </si>
  <si>
    <t>2019-05-13T10:12:10</t>
  </si>
  <si>
    <t>2020-02-14T15:30:00.000+06:30</t>
  </si>
  <si>
    <t>2019-05-13T15:52:22.000-07:00</t>
  </si>
  <si>
    <t>2019-12-16T12:07:59.000-07:00</t>
  </si>
  <si>
    <t>2019-05-07T13:40:00.000-07:00</t>
  </si>
  <si>
    <t>2019-05-07T16:10:00.000-07:00</t>
  </si>
  <si>
    <t>2019-05-08T16:15:00.000-07:00</t>
  </si>
  <si>
    <t>2019-05-08T17:00:00.000-07:00</t>
  </si>
  <si>
    <t>0</t>
  </si>
  <si>
    <t>48002394-0ac7-4dd5-98ee-fe8ceb7bfd7a</t>
  </si>
  <si>
    <t>2019-05-13T10:22:40</t>
  </si>
  <si>
    <t>2019-05-13T16:02:44.000-07:00</t>
  </si>
  <si>
    <t>Associated sample MO1129</t>
  </si>
  <si>
    <t>7956a838-3965-4f1e-8156-be0b2a344bf1</t>
  </si>
  <si>
    <t>2019-12-16T06:34:56</t>
  </si>
  <si>
    <t>0c82d6b8-59da-4006-a589-a624d2748b1d</t>
  </si>
  <si>
    <t>2019-05-13T10:33:03</t>
  </si>
  <si>
    <t>2019-05-13T16:02:45.000-07:00</t>
  </si>
  <si>
    <t>2019-05-13T16:41:19.000-07:00</t>
  </si>
  <si>
    <t>2019-12-16T12:09:11.000-07:00</t>
  </si>
  <si>
    <t>2019-05-08T12:45:00.000-07:00</t>
  </si>
  <si>
    <t>2019-05-08T13:15:00.000-07:00</t>
  </si>
  <si>
    <t>2019-05-09T13:20:00.000-07:00</t>
  </si>
  <si>
    <t>2019-05-09T14:10:00.000-07:00</t>
  </si>
  <si>
    <t>2019-05-09</t>
  </si>
  <si>
    <t>3, 4</t>
  </si>
  <si>
    <t>9a91d389-af80-4a29-9ea9-6fd2c58dd5c4</t>
  </si>
  <si>
    <t>2019-05-13T11:11:38</t>
  </si>
  <si>
    <t>2019-05-13T16:49:22.000-07:00</t>
  </si>
  <si>
    <t>10</t>
  </si>
  <si>
    <t>542688b0-dbf3-400d-9bd0-2e69e2341e17</t>
  </si>
  <si>
    <t>2020-02-17T07:03:54</t>
  </si>
  <si>
    <t>2020-02-17T12:39:34.000+06:30</t>
  </si>
  <si>
    <t>2019-05-08T16:25:00.000-07:00</t>
  </si>
  <si>
    <t>49b9b970-bb94-4770-b4bc-87a6374b7aa4</t>
  </si>
  <si>
    <t>2019-12-16T06:36:08</t>
  </si>
  <si>
    <t>3</t>
  </si>
  <si>
    <t>5fe47ec9-ef53-4175-a596-58c10220faff</t>
  </si>
  <si>
    <t>2019-05-13T11:19:41</t>
  </si>
  <si>
    <t>2019-12-16T12:10:19.000-07:00</t>
  </si>
  <si>
    <t>2019-05-13T18:30:24.000-07:00</t>
  </si>
  <si>
    <t>2019-05-09T15:45:00.000-07:00</t>
  </si>
  <si>
    <t>2019-05-09T16:00:00.000-07:00</t>
  </si>
  <si>
    <t>2019-05-10T11:00:00.000-07:00</t>
  </si>
  <si>
    <t>2019-05-10T12:30:00.000-07:00</t>
  </si>
  <si>
    <t>c27eb880-76b2-47d8-bd34-336647315879</t>
  </si>
  <si>
    <t>2019-05-13T13:00:42</t>
  </si>
  <si>
    <t>2019-05-13T18:34:12.000-07:00</t>
  </si>
  <si>
    <t>2019-05-09T15:40:00.000-07:00</t>
  </si>
  <si>
    <t>4c549978-1d07-4d9b-b1e2-7f724e823d31</t>
  </si>
  <si>
    <t>2019-12-16T06:37:16</t>
  </si>
  <si>
    <t>e3d30f2a-9304-4c10-8fec-1041e5bc4140</t>
  </si>
  <si>
    <t>2019-05-13T13:04:30</t>
  </si>
  <si>
    <t>2019-06-26T15:14:45.000+06:30</t>
  </si>
  <si>
    <t>391b162d-6f5d-479f-ac5f-355f790aa39c</t>
  </si>
  <si>
    <t>2020-02-17T07:05:35</t>
  </si>
  <si>
    <t>2019-12-16T12:11:03.000-07:00</t>
  </si>
  <si>
    <t>2019-06-26T15:19:38.000+06:30</t>
  </si>
  <si>
    <t>2019-05-13T15:30:00.000+06:30</t>
  </si>
  <si>
    <t>2019-05-13T16:00:00.000+06:30</t>
  </si>
  <si>
    <t>2019-05-14T14:00:00.000+06:30</t>
  </si>
  <si>
    <t>2020-02-17T12:41:17.000+06:30</t>
  </si>
  <si>
    <t>2019-05-14T14:20:00.000+06:30</t>
  </si>
  <si>
    <t>2019-05-16</t>
  </si>
  <si>
    <t>d948f04e-0374-4f07-a4fb-84fef2d8a97d</t>
  </si>
  <si>
    <t>2019-06-26T09:49:55</t>
  </si>
  <si>
    <t>2019-06-26T15:26:10.000+06:30</t>
  </si>
  <si>
    <t>2019-05-14T15:50:00.000+06:30</t>
  </si>
  <si>
    <t>2019-05-14T16:50:00.000+06:30</t>
  </si>
  <si>
    <t>2019-05-15T16:00:00.000+06:30</t>
  </si>
  <si>
    <t>24d6b255-ddc5-447c-a2d9-72e3f15400ff</t>
  </si>
  <si>
    <t>2019-12-16T06:38:00</t>
  </si>
  <si>
    <t>1061f04b-411c-4d0b-8766-3ced3d538b13</t>
  </si>
  <si>
    <t>2019-06-26T09:56:27</t>
  </si>
  <si>
    <t>2019-06-26T15:30:01.000-07:00</t>
  </si>
  <si>
    <t>2019-06-26T15:37:06.000-07:00</t>
  </si>
  <si>
    <t>2019-12-16T12:11:46.000-07:00</t>
  </si>
  <si>
    <t>2019-05-28T15:00:00.000-07:00</t>
  </si>
  <si>
    <t>2019-05-28T15:45:00.000-07:00</t>
  </si>
  <si>
    <t>2019-05-29T15:45:00.000-07:00</t>
  </si>
  <si>
    <t>2019-06-29T16:30:00.000-07:00</t>
  </si>
  <si>
    <t>2019-06-12</t>
  </si>
  <si>
    <t>e2b4d731-479d-490b-9726-82d9eca820e6</t>
  </si>
  <si>
    <t>2019-06-26T10:07:27</t>
  </si>
  <si>
    <t>2019-06-26T15:43:01.000-07:00</t>
  </si>
  <si>
    <t>2019-06-10T15:00:00.000-07:00</t>
  </si>
  <si>
    <t>2019-06-10T17:00:00.000-07:00</t>
  </si>
  <si>
    <t>2019-06-11T17:00:00.000-07:00</t>
  </si>
  <si>
    <t>2019-06-11T17:45:00.000-07:00</t>
  </si>
  <si>
    <t>2019-06-18</t>
  </si>
  <si>
    <t>4e58c33c-b001-4212-9161-405e9bcfa88c</t>
  </si>
  <si>
    <t>2019-12-16T06:38:43</t>
  </si>
  <si>
    <t>ed403144-cabc-498f-8ae0-63892831a9b5</t>
  </si>
  <si>
    <t>2019-06-26T10:13:22</t>
  </si>
  <si>
    <t>2019-06-26T15:50:46.000-07:00</t>
  </si>
  <si>
    <t>2019-12-16T12:13:02.000-07:00</t>
  </si>
  <si>
    <t>59</t>
  </si>
  <si>
    <t>2019-06-10T12:00:00.000-07:00</t>
  </si>
  <si>
    <t>7e70dd56-43a6-4829-a105-6d79fb7df5bc</t>
  </si>
  <si>
    <t>2019-06-26T10:21:07</t>
  </si>
  <si>
    <t>fdd59fd1-7a3a-4f1a-9655-f03d5ebfdad6</t>
  </si>
  <si>
    <t>2019-06-26T15:50:47.000-07:00</t>
  </si>
  <si>
    <t>2020-02-17T07:07:19</t>
  </si>
  <si>
    <t>2019-06-26T16:54:36.000-07:00</t>
  </si>
  <si>
    <t>2020-02-17T12:41:18.000+06:30</t>
  </si>
  <si>
    <t>2019-06-25T14:30:00.000-07:00</t>
  </si>
  <si>
    <t>2019-06-25T14:50:00.000-07:00</t>
  </si>
  <si>
    <t>2019-06-26T14:50:00.000-07:00</t>
  </si>
  <si>
    <t>2020-02-17T12:42:55.000+06:30</t>
  </si>
  <si>
    <t>2019-06-26T15:00:00.000-07:00</t>
  </si>
  <si>
    <t>5a8baa99-4716-4f92-b537-ac1c203a26df</t>
  </si>
  <si>
    <t>2019-06-26T11:24:57</t>
  </si>
  <si>
    <t>e3d67d7f-dae8-439a-9966-0b021e78c23f</t>
  </si>
  <si>
    <t>2019-12-16T06:40:00</t>
  </si>
  <si>
    <t>2019-06-26T16:56:07.000-07:00</t>
  </si>
  <si>
    <t>2019-12-16T12:13:57.000-07:00</t>
  </si>
  <si>
    <t>2019-06-26T17:00:00.000-07:00</t>
  </si>
  <si>
    <t>a42dac5e-9a1f-4732-bdc1-d563e8ed9793</t>
  </si>
  <si>
    <t>2019-06-26T11:26:28</t>
  </si>
  <si>
    <t>2019-06-26T16:57:51.000-07:00</t>
  </si>
  <si>
    <t>66</t>
  </si>
  <si>
    <t>964b7d93-31fb-4fc2-8727-c74c71474438</t>
  </si>
  <si>
    <t>2019-06-26T11:28:12</t>
  </si>
  <si>
    <t>a60e84e1-4c95-4a01-a4c5-452706b7673b</t>
  </si>
  <si>
    <t>2019-12-16T06:40:53</t>
  </si>
  <si>
    <t>2019-06-26T16:59:13.000-07:00</t>
  </si>
  <si>
    <t>2019-12-16T12:14:41.000-07:00</t>
  </si>
  <si>
    <t>288f8a83-17a8-474a-965c-229a1b3fe3cf</t>
  </si>
  <si>
    <t>2019-06-26T11:29:34</t>
  </si>
  <si>
    <t>2019-06-28T11:53:12.000-07:00</t>
  </si>
  <si>
    <t>2019-06-28T11:57:14.000-07:00</t>
  </si>
  <si>
    <t>0d1640ff-4172-4386-bda1-43aec8fb6506</t>
  </si>
  <si>
    <t>2020-02-17T07:08:58</t>
  </si>
  <si>
    <t>2019-06-11T16:00:00.000-07:00</t>
  </si>
  <si>
    <t>2019-06-11T16:30:00.000-07:00</t>
  </si>
  <si>
    <t>2019-06-12T16:30:00.000-07:00</t>
  </si>
  <si>
    <t>2019-06-12T17:40:00.000-07:00</t>
  </si>
  <si>
    <t>177f424f-e520-4e70-bf02-d54f1ffd377c</t>
  </si>
  <si>
    <t>2020-02-17T12:44:13.000+06:30</t>
  </si>
  <si>
    <t>2019-12-16T06:41:38</t>
  </si>
  <si>
    <t>4c8cf08c-f519-4b56-a476-6428a61ce5d1</t>
  </si>
  <si>
    <t>2019-06-28T06:27:36</t>
  </si>
  <si>
    <t>2019-06-28T11:57:15.000-07:00</t>
  </si>
  <si>
    <t>2019-12-16T12:16:51.000-07:00</t>
  </si>
  <si>
    <t>2019-06-28T12:01:57.000-07:00</t>
  </si>
  <si>
    <t>cf5f6216-8686-4bdf-9336-39bafbdd8952</t>
  </si>
  <si>
    <t>2019-06-28T06:32:19</t>
  </si>
  <si>
    <t>2019-06-28T12:04:31.000-07:00</t>
  </si>
  <si>
    <t>Associated sample PLc1114</t>
  </si>
  <si>
    <t>8fc6889a-92cf-4ce4-9727-83013dfaebee</t>
  </si>
  <si>
    <t>2019-12-16T06:43:48</t>
  </si>
  <si>
    <t>5903154a-432c-4fbc-b99d-da5f264d9597</t>
  </si>
  <si>
    <t>2019-06-28T06:34:52</t>
  </si>
  <si>
    <t>2019-12-16T12:18:43.000-07:00</t>
  </si>
  <si>
    <t>2019-06-28T12:09:14.000-07:00</t>
  </si>
  <si>
    <t>97e4e51e-b896-4566-bca5-8f5897b242f5</t>
  </si>
  <si>
    <t>2020-02-17T07:10:14</t>
  </si>
  <si>
    <t>2019-06-12T15:30:00.000-07:00</t>
  </si>
  <si>
    <t>2019-06-12T16:00:00.000-07:00</t>
  </si>
  <si>
    <t>2019-06-13T16:00:00.000-07:00</t>
  </si>
  <si>
    <t>2019-06-13T17:15:00.000-07:00</t>
  </si>
  <si>
    <t>2020-02-17T12:45:32.000+06:30</t>
  </si>
  <si>
    <t>88647382-897f-451d-90ff-54b6e3d1d86f</t>
  </si>
  <si>
    <t>2019-06-28T06:39:36</t>
  </si>
  <si>
    <t>2019-06-28T12:14:13.000-07:00</t>
  </si>
  <si>
    <t>a4649b4d-b00e-4ad9-92e2-ce0fab08f3e5</t>
  </si>
  <si>
    <t>2019-12-16T06:45:39</t>
  </si>
  <si>
    <t>2019-06-13T16:30:00.000-07:00</t>
  </si>
  <si>
    <t>2019-06-14T16:00:00.000-07:00</t>
  </si>
  <si>
    <t>2019-06-14T17:50:00.000-07:00</t>
  </si>
  <si>
    <t>fdb0416d-488b-458d-b72f-c5c2de138e3a</t>
  </si>
  <si>
    <t>2019-12-16T12:20:38.000-07:00</t>
  </si>
  <si>
    <t>2019-06-28T06:44:35</t>
  </si>
  <si>
    <t>2019-06-28T12:16:45.000-07:00</t>
  </si>
  <si>
    <t>55</t>
  </si>
  <si>
    <t>20e95423-95e3-4ea9-b78f-3a30941c275a</t>
  </si>
  <si>
    <t>2019-06-28T06:47:06</t>
  </si>
  <si>
    <t>8b5872e4-5c8f-480d-9750-ca958c4c3c51</t>
  </si>
  <si>
    <t>2020-02-17T07:11:34</t>
  </si>
  <si>
    <t>2019-06-28T12:18:54.000-07:00</t>
  </si>
  <si>
    <t>2020-02-17T12:47:00.000+06:30</t>
  </si>
  <si>
    <t>db63e5d5-71a1-42bb-8746-74e48fe6ed17</t>
  </si>
  <si>
    <t>2019-12-16T06:47:35</t>
  </si>
  <si>
    <t>1def616b-2281-44bb-8c2b-c06017c7829c</t>
  </si>
  <si>
    <t>2019-06-28T06:49:16</t>
  </si>
  <si>
    <t>2019-12-16T12:21:32.000-07:00</t>
  </si>
  <si>
    <t>2019-06-28T12:21:57.000-07:00</t>
  </si>
  <si>
    <t>65</t>
  </si>
  <si>
    <t>216bcd43-c892-408d-9841-c778b7894b2e</t>
  </si>
  <si>
    <t>2019-06-28T06:52:19</t>
  </si>
  <si>
    <t>2019-06-28T12:25:47.000-07:00</t>
  </si>
  <si>
    <t>PLC1008</t>
  </si>
  <si>
    <t>2019-06-13T15:20:00.000-07:00</t>
  </si>
  <si>
    <t>2019-06-14T17:20:00.000-07:00</t>
  </si>
  <si>
    <t>012dbb0c-88bf-4949-8a43-f8f13b1e22c3</t>
  </si>
  <si>
    <t>2019-12-16T06:48:30</t>
  </si>
  <si>
    <t>79c79caa-478c-4405-80f7-701f424453e5</t>
  </si>
  <si>
    <t>2019-06-28T06:56:08</t>
  </si>
  <si>
    <t>2019-12-16T12:57:41.000-07:00</t>
  </si>
  <si>
    <t>72918b77-06ba-439b-af68-7a6da621b20c</t>
  </si>
  <si>
    <t>2019-06-28T12:28:21.000-07:00</t>
  </si>
  <si>
    <t>2020-02-17T07:13:04</t>
  </si>
  <si>
    <t>2020-02-17T12:47:01.000+06:30</t>
  </si>
  <si>
    <t>2019-12-16T13:02:43.000-07:00</t>
  </si>
  <si>
    <t>2020-02-17T12:48:28.000+06:30</t>
  </si>
  <si>
    <t>2019-06-28T12:32:59.000-07:00</t>
  </si>
  <si>
    <t>S.typhi 09.09.2019, s.paratyphi 09.09.2019</t>
  </si>
  <si>
    <t>cd0015d5-334a-4f9a-ad8b-14df537af7d6</t>
  </si>
  <si>
    <t>2019-06-28T07:03:21</t>
  </si>
  <si>
    <t>2019-06-28T12:35:56.000-07:00</t>
  </si>
  <si>
    <t>8662930d-08ff-49e6-92f0-cfd7e616d7ac</t>
  </si>
  <si>
    <t>2019-12-16T07:29:40</t>
  </si>
  <si>
    <t>7107ca5b-fc56-4a77-b44e-e3d6c6ce36f0</t>
  </si>
  <si>
    <t>2019-12-16T13:04:18.000-07:00</t>
  </si>
  <si>
    <t>2019-06-28T07:06:18</t>
  </si>
  <si>
    <t>2019-06-28T12:39:09.000-07:00</t>
  </si>
  <si>
    <t>2019-06-17T13:40:00.000-07:00</t>
  </si>
  <si>
    <t>2019-06-17T14:00:00.000-07:00</t>
  </si>
  <si>
    <t>2019-06-18T14:00:00.000-07:00</t>
  </si>
  <si>
    <t>2019-06-18T15:10:00.000-07:00</t>
  </si>
  <si>
    <t>a7326d93-b6f8-478c-b1d9-76b2593974b9</t>
  </si>
  <si>
    <t>2020-02-17T07:14:30</t>
  </si>
  <si>
    <t>11be6951-9030-4714-822a-562a91b627e7</t>
  </si>
  <si>
    <t>2019-06-28T07:09:31</t>
  </si>
  <si>
    <t>Associated sample PLc1023</t>
  </si>
  <si>
    <t>2019-06-28T12:41:51.000-07:00</t>
  </si>
  <si>
    <t>2020-02-17T12:49:40.000+06:30</t>
  </si>
  <si>
    <t>9a598fe2-a1b8-4f91-b200-5d4451dd95a4</t>
  </si>
  <si>
    <t>2019-12-16T07:31:15</t>
  </si>
  <si>
    <t>ce7e147d-f9de-4d96-907c-2b9a00dfee4e</t>
  </si>
  <si>
    <t>2019-06-28T07:12:13</t>
  </si>
  <si>
    <t>2019-12-16T13:05:43.000-07:00</t>
  </si>
  <si>
    <t>2019-06-28T12:44:30.000-07:00</t>
  </si>
  <si>
    <t>5f223f93-09c3-4ff1-87e6-745cbbe0ecd5</t>
  </si>
  <si>
    <t>2019-06-28T07:14:51</t>
  </si>
  <si>
    <t>2019-06-28T12:47:28.000-07:00</t>
  </si>
  <si>
    <t>2019-06-18T15:30:00.000-07:00</t>
  </si>
  <si>
    <t>2019-06-18T16:00:00.000-07:00</t>
  </si>
  <si>
    <t>c5aaaf06-6279-4226-97ba-81f822923116</t>
  </si>
  <si>
    <t>2019-06-19T16:00:00.000-07:00</t>
  </si>
  <si>
    <t>2019-12-16T07:32:41</t>
  </si>
  <si>
    <t>2019-06-19T17:45:00.000-07:00</t>
  </si>
  <si>
    <t>fdd7b0e4-0f1c-4377-b243-81082be0d2e5</t>
  </si>
  <si>
    <t>795bb010-1c5b-4ed1-ba19-fbbe3417ade0</t>
  </si>
  <si>
    <t>2019-06-28T07:17:50</t>
  </si>
  <si>
    <t>2020-02-17T07:15:41</t>
  </si>
  <si>
    <t>2020-02-17T12:49:41.000+06:30</t>
  </si>
  <si>
    <t>2019-12-16T13:06:46.000-07:00</t>
  </si>
  <si>
    <t>2019-06-28T12:49:27.000-07:00</t>
  </si>
  <si>
    <t>2020-02-17T12:51:58.000+06:30</t>
  </si>
  <si>
    <t>14e1111d-3375-4981-84f0-085ded7d7a7d</t>
  </si>
  <si>
    <t>2019-06-28T07:19:48</t>
  </si>
  <si>
    <t>2019-06-28T13:04:29.000-07:00</t>
  </si>
  <si>
    <t>2019-06-28T13:48:39.000-07:00</t>
  </si>
  <si>
    <t>524da979-b1e4-4feb-a7a4-0bb598ff3a32</t>
  </si>
  <si>
    <t>2019-12-16T07:33:43</t>
  </si>
  <si>
    <t>4a537ee8-c91f-44e8-9575-5ba26455aa49</t>
  </si>
  <si>
    <t>2019-06-28T08:19:00</t>
  </si>
  <si>
    <t>2019-12-16T13:07:43.000-07:00</t>
  </si>
  <si>
    <t>2019-06-28T14:02:10.000-07:00</t>
  </si>
  <si>
    <t>2019-06-20T16:00:00.000-07:00</t>
  </si>
  <si>
    <t>2019-06-21T16:50:00.000-07:00</t>
  </si>
  <si>
    <t>2019-06-21T17:45:00.000-07:00</t>
  </si>
  <si>
    <t>Actual plaque count is 264</t>
  </si>
  <si>
    <t>12da1ed8-a014-4287-b412-6db9f2983ca4</t>
  </si>
  <si>
    <t>28436268-36fa-4053-9486-5f31ba2c6d5e</t>
  </si>
  <si>
    <t>2020-02-17T07:18:01</t>
  </si>
  <si>
    <t>2019-06-28T08:32:32</t>
  </si>
  <si>
    <t>2020-02-17T12:51:59.000+06:30</t>
  </si>
  <si>
    <t>2020-02-17T12:52:55.000+06:30</t>
  </si>
  <si>
    <t>2019-06-28T14:08:19.000-07:00</t>
  </si>
  <si>
    <t>2019-06-21T17:00:00.000-07:00</t>
  </si>
  <si>
    <t>c9cc3174-f4dd-4f39-ab86-4159fd9893fd</t>
  </si>
  <si>
    <t>2019-12-16T07:34:43</t>
  </si>
  <si>
    <t>7106ab15-c410-4443-8562-f6dc15ee61ed</t>
  </si>
  <si>
    <t>2019-06-28T08:38:41</t>
  </si>
  <si>
    <t>2019-12-16T13:09:11.000-07:00</t>
  </si>
  <si>
    <t>2019-06-28T14:12:51.000-07:00</t>
  </si>
  <si>
    <t>18cfc805-bec5-4906-a9ea-9bbb2bb353f1</t>
  </si>
  <si>
    <t>2019-06-28T08:43:12</t>
  </si>
  <si>
    <t>2019-06-28T14:45:33.000-07:00</t>
  </si>
  <si>
    <t>2019-06-28T14:50:26.000-07:00</t>
  </si>
  <si>
    <t>2019-06-20T15:10:00.000-07:00</t>
  </si>
  <si>
    <t>Associated sample MO1093</t>
  </si>
  <si>
    <t>2019-06-21T16:00:00.000-07:00</t>
  </si>
  <si>
    <t>b79d1bf3-1a62-45bb-a5a7-d50206dda0c7</t>
  </si>
  <si>
    <t>2019-06-28T09:20:48</t>
  </si>
  <si>
    <t>bc2a5b68-a41c-4358-97da-f6583b3ac5f8</t>
  </si>
  <si>
    <t>2019-06-28T14:50:27.000-07:00</t>
  </si>
  <si>
    <t>2019-12-16T07:39:33</t>
  </si>
  <si>
    <t>2019-06-28T14:54:00.000-07:00</t>
  </si>
  <si>
    <t>94a66b15-2b19-4ad3-9e3d-38213b6d7965</t>
  </si>
  <si>
    <t>2020-02-17T07:18:57</t>
  </si>
  <si>
    <t>2020-02-17T12:54:09.000+06:30</t>
  </si>
  <si>
    <t>41b5d326-d539-4330-8cd6-c864725885d4</t>
  </si>
  <si>
    <t>2019-06-28T09:24:22</t>
  </si>
  <si>
    <t>2020-02-14T14:30:00.000+06:30</t>
  </si>
  <si>
    <t>2019-12-16T13:13:59.000-07:00</t>
  </si>
  <si>
    <t>2020-02-15T15:30:00.000+06:30</t>
  </si>
  <si>
    <t>2019-06-28T14:57:06.000-07:00</t>
  </si>
  <si>
    <t>S.typhi 16.09.2019, s.paratyphi 16.09.2019</t>
  </si>
  <si>
    <t>5e697847-2dd6-40a4-85ec-73be079daca3</t>
  </si>
  <si>
    <t>2019-06-28T09:27:28</t>
  </si>
  <si>
    <t>6d2cceab-5b8e-4419-899b-33cc664f86af</t>
  </si>
  <si>
    <t>2019-06-28T15:05:10.000-07:00</t>
  </si>
  <si>
    <t>2019-12-16T07:40:56</t>
  </si>
  <si>
    <t>2019-06-24T14:00:00.000-07:00</t>
  </si>
  <si>
    <t>2019-06-24T14:30:00.000-07:00</t>
  </si>
  <si>
    <t>2019-06-25T15:40:00.000-07:00</t>
  </si>
  <si>
    <t>2019-12-16T13:15:30.000-07:00</t>
  </si>
  <si>
    <t>9327150a-2aad-4038-ba08-9ea0ecfdffd1</t>
  </si>
  <si>
    <t>2020-02-17T07:20:11</t>
  </si>
  <si>
    <t>457026b3-7d4d-464d-beb7-4f517e3b5ed9</t>
  </si>
  <si>
    <t>2019-06-28T09:35:31</t>
  </si>
  <si>
    <t>2020-02-17T12:54:10.000+06:30</t>
  </si>
  <si>
    <t>2020-02-17T12:54:57.000+06:30</t>
  </si>
  <si>
    <t>2019-06-28T15:09:00.000-07:00</t>
  </si>
  <si>
    <t>fc513eb1-ee00-483b-a267-6dbcee007acf</t>
  </si>
  <si>
    <t>2019-06-28T09:39:21</t>
  </si>
  <si>
    <t>Associated sample SL1013</t>
  </si>
  <si>
    <t>2019-06-28T15:12:15.000-07:00</t>
  </si>
  <si>
    <t>683c3d2b-2e2e-4beb-aa17-3b2224210b6a</t>
  </si>
  <si>
    <t>2019-12-16T07:42:27</t>
  </si>
  <si>
    <t>2019-12-16T13:16:27.000-07:00</t>
  </si>
  <si>
    <t>35f387f3-7be8-4fd4-863d-2057115c327c</t>
  </si>
  <si>
    <t>2019-06-28T09:42:37</t>
  </si>
  <si>
    <t>2019-07-01T10:36:53.000-07:00</t>
  </si>
  <si>
    <t>2019-07-01T10:44:16.000-07:00</t>
  </si>
  <si>
    <t>7cb42da3-8424-4da5-9148-9fa9bfc66930</t>
  </si>
  <si>
    <t>2020-02-17T07:20:59</t>
  </si>
  <si>
    <t>2020-02-18T11:50:29.000+06:30</t>
  </si>
  <si>
    <t>28193f98-ee39-47c5-bc79-21d0f15398c5</t>
  </si>
  <si>
    <t>2020-02-18T11:52:37.000+06:30</t>
  </si>
  <si>
    <t>2019-07-01T05:14:38</t>
  </si>
  <si>
    <t>2019-07-01T10:48:51.000-07:00</t>
  </si>
  <si>
    <t>2019-07-01T10:52:25.000-07:00</t>
  </si>
  <si>
    <t>085e696f-69da-431e-b1d1-83fb807e2ce4</t>
  </si>
  <si>
    <t>2019-12-16T07:43:23</t>
  </si>
  <si>
    <t>2019-06-27T15:00:00.000-07:00</t>
  </si>
  <si>
    <t>2019-12-16T13:17:51.000-07:00</t>
  </si>
  <si>
    <t>2019-06-27T15:30:00.000-07:00</t>
  </si>
  <si>
    <t>2019-06-28T15:30:00.000-07:00</t>
  </si>
  <si>
    <t>2019-06-28T16:50:00.000-07:00</t>
  </si>
  <si>
    <t>d1e250ab-b9a1-4e82-aa5a-c5f4e4c62573</t>
  </si>
  <si>
    <t>2019-07-01T05:22:47</t>
  </si>
  <si>
    <t>2019-07-01T10:55:41.000-07:00</t>
  </si>
  <si>
    <t>Associated sample SW1010</t>
  </si>
  <si>
    <t>19b183fd-0a7f-4272-885d-c0d7a83c9b36</t>
  </si>
  <si>
    <t>5ac6f96a-8861-4424-92ac-9213c1ce3c74</t>
  </si>
  <si>
    <t>2019-12-16T07:44:48</t>
  </si>
  <si>
    <t>2019-07-01T05:26:03</t>
  </si>
  <si>
    <t>vVxprsBZWx2CVdrnPGfyUR</t>
  </si>
  <si>
    <t>2019-07-01T10:55:42.000-07:00</t>
  </si>
  <si>
    <t>e084c29f-6db4-455d-9a7d-ac7928edb970</t>
  </si>
  <si>
    <t>2020-02-18T06:18:39</t>
  </si>
  <si>
    <t>2019-07-01T10:58:45.000-07:00</t>
  </si>
  <si>
    <t>2019-12-16T13:19:57.000-07:00</t>
  </si>
  <si>
    <t>2020-02-18T11:54:17.000+06:30</t>
  </si>
  <si>
    <t>48a053ab-5e17-4809-820e-8cd678b37eba</t>
  </si>
  <si>
    <t>2019-07-01T05:29:06</t>
  </si>
  <si>
    <t>2019-07-01T10:58:46.000-07:00</t>
  </si>
  <si>
    <t>2019-07-01T11:03:46.000-07:00</t>
  </si>
  <si>
    <t>Associated sample FPa1002, FPb1002, FPc1002, FPd1002, FPe1002</t>
  </si>
  <si>
    <t>4d40421d-a03b-42cf-a0f8-a3f71c7d2e80</t>
  </si>
  <si>
    <t>2019-07-01T05:34:06</t>
  </si>
  <si>
    <t>39ea55e8-5681-4786-89c2-7d1aab8c6af5</t>
  </si>
  <si>
    <t>2019-12-16T07:46:54</t>
  </si>
  <si>
    <t>2019-07-01T11:17:48.000-07:00</t>
  </si>
  <si>
    <t>2019-12-16T13:21:04.000-07:00</t>
  </si>
  <si>
    <t>2019-06-28T17:45:00.000-07:00</t>
  </si>
  <si>
    <t>53503e92-3481-47dd-8270-2e92d747b33b</t>
  </si>
  <si>
    <t>2019-07-01T05:48:10</t>
  </si>
  <si>
    <t>2019-07-01T11:25:33.000-07:00</t>
  </si>
  <si>
    <t>2019-07-01T11:30:41.000-07:00</t>
  </si>
  <si>
    <t>d7c70a7e-035e-44be-ac0c-a3edb068f1a0</t>
  </si>
  <si>
    <t>2019-07-01T06:01:03</t>
  </si>
  <si>
    <t>f1dcc025-97ec-4f1c-8d65-c942840d9935</t>
  </si>
  <si>
    <t>2019-12-16T07:48:00</t>
  </si>
  <si>
    <t>2019-07-01T11:33:42.000-07:00</t>
  </si>
  <si>
    <t>2019-12-16T13:21:55.000-07:00</t>
  </si>
  <si>
    <t>ba8c7f13-e601-444a-b8f7-a5691fa601fb</t>
  </si>
  <si>
    <t>2020-02-18T06:20:18</t>
  </si>
  <si>
    <t>2020-02-18T11:54:18.000+06:30</t>
  </si>
  <si>
    <t>afce76ba-903a-4791-b255-77dd15df0375</t>
  </si>
  <si>
    <t>2019-07-01T06:04:05</t>
  </si>
  <si>
    <t>2019-07-03T10:33:22.000+06:30</t>
  </si>
  <si>
    <t>2020-02-18T11:55:44.000+06:30</t>
  </si>
  <si>
    <t>2019-07-03T10:41:26.000+06:30</t>
  </si>
  <si>
    <t>2019-07-01T13:50:00.000+06:30</t>
  </si>
  <si>
    <t>2019-07-01T15:40:00.000+06:30</t>
  </si>
  <si>
    <t>2019-07-02T15:40:00.000+06:30</t>
  </si>
  <si>
    <t>2019-07-02T16:55:00.000+06:30</t>
  </si>
  <si>
    <t>8d617894-fdae-48bf-9abf-b34a28cb3ae4</t>
  </si>
  <si>
    <t>2019-12-16T07:48:51</t>
  </si>
  <si>
    <t>ec44b47a-62ed-4051-903b-8d2e93a84829</t>
  </si>
  <si>
    <t>2019-07-03T05:11:43</t>
  </si>
  <si>
    <t>2019-07-03T10:43:57.000+06:30</t>
  </si>
  <si>
    <t>2019-12-16T13:22:39.000-07:00</t>
  </si>
  <si>
    <t>69f83bc4-f339-4921-9ef5-38a761afc094</t>
  </si>
  <si>
    <t>2019-07-03T05:14:15</t>
  </si>
  <si>
    <t>2019-07-03T10:49:34.000+06:30</t>
  </si>
  <si>
    <t>2019-05-15T15:00:00.000+06:30</t>
  </si>
  <si>
    <t>2019-05-15T15:30:00.000+06:30</t>
  </si>
  <si>
    <t>2019-05-16T15:30:00.000+06:30</t>
  </si>
  <si>
    <t>2019-05-16T16:50:00.000+06:30</t>
  </si>
  <si>
    <t>2019-06-06</t>
  </si>
  <si>
    <t>9463f0d1-5db8-43b7-aaf9-5b0b0c197c30</t>
  </si>
  <si>
    <t>2019-12-16T07:49:33</t>
  </si>
  <si>
    <t>f196c939-9f38-4ceb-831e-a49de0084884</t>
  </si>
  <si>
    <t>2019-07-03T05:19:52</t>
  </si>
  <si>
    <t>2019-07-03T10:56:03.000+06:30</t>
  </si>
  <si>
    <t>2019-12-16T13:23:24.000-07:00</t>
  </si>
  <si>
    <t>2019-05-22T14:20:00.000+06:30</t>
  </si>
  <si>
    <t>2019-05-23T15:00:00.000+06:30</t>
  </si>
  <si>
    <t>2019-05-23T16:15:00.000+06:30</t>
  </si>
  <si>
    <t>2019-06-05</t>
  </si>
  <si>
    <t>e94a45e2-0b52-457e-b5b0-4eff3254b2a7</t>
  </si>
  <si>
    <t>d46ea411-68f8-4910-8300-c2cdf4620fd4</t>
  </si>
  <si>
    <t>2020-02-18T06:21:47</t>
  </si>
  <si>
    <t>2019-07-03T05:26:21</t>
  </si>
  <si>
    <t>2019-07-03T10:56:04.000+06:30</t>
  </si>
  <si>
    <t>2020-02-18T11:55:45.000+06:30</t>
  </si>
  <si>
    <t>2019-07-03T11:02:08.000+06:30</t>
  </si>
  <si>
    <t>2020-02-18T11:57:28.000+06:30</t>
  </si>
  <si>
    <t>2019-05-27T15:30:00.000+06:30</t>
  </si>
  <si>
    <t>2019-05-27T16:00:00.000+06:30</t>
  </si>
  <si>
    <t>2019-05-28T16:00:00.000+06:30</t>
  </si>
  <si>
    <t>2019-05-28T17:20:00.000+06:30</t>
  </si>
  <si>
    <t>70656ba2-55c6-4989-ada6-2f94ead6d424</t>
  </si>
  <si>
    <t>2019-12-16T07:50:20</t>
  </si>
  <si>
    <t>2019-06-13</t>
  </si>
  <si>
    <t>0a30b430-4634-4153-a9bc-107fc1a8a6ae</t>
  </si>
  <si>
    <t>2019-07-03T05:32:25</t>
  </si>
  <si>
    <t>2019-12-16T13:24:30.000-07:00</t>
  </si>
  <si>
    <t>2019-07-03T11:06:29.000+06:30</t>
  </si>
  <si>
    <t>2019-05-29T15:20:00.000+06:30</t>
  </si>
  <si>
    <t>2019-05-29T16:00:00.000+06:30</t>
  </si>
  <si>
    <t>2019-05-30T16:00:00.000+06:30</t>
  </si>
  <si>
    <t>2019-05-30T17:25:00.000+06:30</t>
  </si>
  <si>
    <t>a4050548-692e-454c-bf27-f22881ade61c</t>
  </si>
  <si>
    <t>2019-07-03T05:36:47</t>
  </si>
  <si>
    <t>2019-07-03T11:11:24.000+06:30</t>
  </si>
  <si>
    <t>2019-06-03T15:40:00.000+06:30</t>
  </si>
  <si>
    <t>2019-06-03T16:30:00.000+06:30</t>
  </si>
  <si>
    <t>75f5d219-c614-431b-a415-2cc8b0b9c689</t>
  </si>
  <si>
    <t>2019-06-04T16:30:00.000+06:30</t>
  </si>
  <si>
    <t>2019-12-16T07:51:27</t>
  </si>
  <si>
    <t>2019-06-04T17:40:00.000+06:30</t>
  </si>
  <si>
    <t>2019-12-18T11:48:38.000-07:00</t>
  </si>
  <si>
    <t>09405a5d-1487-4253-9d35-729b3c78208b</t>
  </si>
  <si>
    <t>2019-07-03T05:41:41</t>
  </si>
  <si>
    <t>2019-12-18T11:53:54.000-07:00</t>
  </si>
  <si>
    <t>2019-07-03T11:18:27.000+06:30</t>
  </si>
  <si>
    <t>2019-05-14T16:00:00.000+06:30</t>
  </si>
  <si>
    <t>2019-05-14T17:15:00.000+06:30</t>
  </si>
  <si>
    <t>s.paratyphi 04.11.2019</t>
  </si>
  <si>
    <t>22bf7548-f5b9-4856-865c-2622fe863474</t>
  </si>
  <si>
    <t>2020-02-18T06:23:30</t>
  </si>
  <si>
    <t>d07c8d7f-0ceb-4972-bca7-3acbc3cace1c</t>
  </si>
  <si>
    <t>2019-07-03T05:48:45</t>
  </si>
  <si>
    <t>2020-02-18T11:57:29.000+06:30</t>
  </si>
  <si>
    <t>2019-07-03T11:23:31.000+06:30</t>
  </si>
  <si>
    <t>2020-02-18T12:00:28.000+06:30</t>
  </si>
  <si>
    <t>Associated sample PL1020</t>
  </si>
  <si>
    <t>2019-05-16T16:30:00.000+06:30</t>
  </si>
  <si>
    <t>862709f5-c16c-477f-9b4b-336b4a9fde1b</t>
  </si>
  <si>
    <t>2019-05-17T16:30:00.000+06:30</t>
  </si>
  <si>
    <t>2019-05-17T17:25:00.000+06:30</t>
  </si>
  <si>
    <t>2019-12-18T06:20:49</t>
  </si>
  <si>
    <t>c1159f47-d208-490b-acd5-ed8b24405686</t>
  </si>
  <si>
    <t>2019-07-03T05:53:49</t>
  </si>
  <si>
    <t>2019-12-18T11:55:01.000-07:00</t>
  </si>
  <si>
    <t>2019-07-03T11:28:26.000+06:30</t>
  </si>
  <si>
    <t>2019-05-20T13:10:00.000+06:30</t>
  </si>
  <si>
    <t>2019-05-20T13:30:00.000+06:30</t>
  </si>
  <si>
    <t>2019-05-21T13:30:00.000+06:30</t>
  </si>
  <si>
    <t>2019-05-21T14:45:00.000+06:30</t>
  </si>
  <si>
    <t>1522050f-db0e-4d31-aa53-19b32b840b83</t>
  </si>
  <si>
    <t>2019-07-03T05:58:43</t>
  </si>
  <si>
    <t>2019-07-03T11:40:14.000+06:30</t>
  </si>
  <si>
    <t>2019-05-23T14:20:00.000+06:30</t>
  </si>
  <si>
    <t>94330cab-2e19-42b7-b088-77015bddc0fb</t>
  </si>
  <si>
    <t>2019-05-24T15:00:00.000+06:30</t>
  </si>
  <si>
    <t>2019-05-24T16:15:00.000+06:30</t>
  </si>
  <si>
    <t>2019-12-18T06:21:57</t>
  </si>
  <si>
    <t>bfc5530a-c6bc-4f57-8ac9-a497e9fc0248</t>
  </si>
  <si>
    <t>2019-07-03T06:10:32</t>
  </si>
  <si>
    <t>2019-07-03T11:44:34.000+06:30</t>
  </si>
  <si>
    <t>2019-05-28T17:30:00.000+06:30</t>
  </si>
  <si>
    <t>2019-12-18T11:56:04.000-07:00</t>
  </si>
  <si>
    <t>7a9aea44-903b-4eaf-a7f5-00a2fa73f61f</t>
  </si>
  <si>
    <t>2019-07-03T06:14:52</t>
  </si>
  <si>
    <t>2019-07-03T11:49:43.000+06:30</t>
  </si>
  <si>
    <t>e12fa09a-d67c-446c-9084-beae75704f01</t>
  </si>
  <si>
    <t>2019-05-30T15:15:00.000+06:30</t>
  </si>
  <si>
    <t>2020-02-18T06:26:41</t>
  </si>
  <si>
    <t>2019-05-31T16:55:00.000+06:30</t>
  </si>
  <si>
    <t>2020-02-18T12:00:38.000+06:30</t>
  </si>
  <si>
    <t>bd3de757-a2ce-49c4-af16-1ccd8f1cc32d</t>
  </si>
  <si>
    <t>2020-02-18T12:02:06.000+06:30</t>
  </si>
  <si>
    <t>2019-07-03T06:20:01</t>
  </si>
  <si>
    <t>Associated sample MO1091</t>
  </si>
  <si>
    <t>16af7fff-a5f6-4f66-8108-eb4516e45079</t>
  </si>
  <si>
    <t>2019-07-03T11:58:38.000-07:00</t>
  </si>
  <si>
    <t>2019-12-18T06:22:59</t>
  </si>
  <si>
    <t>2019-07-03T12:01:26.000-07:00</t>
  </si>
  <si>
    <t>2019-05-16T16:10:00.000-07:00</t>
  </si>
  <si>
    <t>2019-12-18T12:02:32.000-07:00</t>
  </si>
  <si>
    <t>2019-05-17T16:30:00.000-07:00</t>
  </si>
  <si>
    <t>a1e2d4d9-53af-4d30-8590-8b7b2efc6383</t>
  </si>
  <si>
    <t>2019-07-03T06:31:48</t>
  </si>
  <si>
    <t>S.typhi 04.11.2019, s.paratyphi 04.11.2019</t>
  </si>
  <si>
    <t>2019-07-03T12:04:53.000-07:00</t>
  </si>
  <si>
    <t>acfa0991-3ec2-4691-81ee-879cc15f3b68</t>
  </si>
  <si>
    <t>2019-07-03T06:35:16</t>
  </si>
  <si>
    <t>ddcce0c0-0694-4a69-947a-10dee637456b</t>
  </si>
  <si>
    <t>2019-12-18T06:25:28</t>
  </si>
  <si>
    <t>2019-07-03T12:09:03.000-07:00</t>
  </si>
  <si>
    <t>2019-12-18T11:58:38.000-07:00</t>
  </si>
  <si>
    <t>2019-05-28T15:10:00.000-07:00</t>
  </si>
  <si>
    <t>2019-12-18T12:00:55.000-07:00</t>
  </si>
  <si>
    <t>2019-05-29T17:25:00.000-07:00</t>
  </si>
  <si>
    <t>S.typhi 04.09.2019, s.paratyphi 04.09.2019</t>
  </si>
  <si>
    <t>b2cfe206-e2e0-4007-a3d3-b2d25d0e523d</t>
  </si>
  <si>
    <t>2019-07-03T06:39:25</t>
  </si>
  <si>
    <t>2019-07-03T12:12:03.000-07:00</t>
  </si>
  <si>
    <t>2a90cb4e-f041-4a80-90f9-b0d77e6a11db</t>
  </si>
  <si>
    <t>2020-02-18T06:28:10</t>
  </si>
  <si>
    <t>2020-02-18T12:02:07.000+06:30</t>
  </si>
  <si>
    <t>Associated sample SF1011</t>
  </si>
  <si>
    <t>80e71ad8-caa7-4556-a06c-5cd5e293c827</t>
  </si>
  <si>
    <t>2019-07-03T06:42:26</t>
  </si>
  <si>
    <t>d7e2e932-2797-44e3-9b3d-79f9d3404b78</t>
  </si>
  <si>
    <t>2019-12-18T06:27:57</t>
  </si>
  <si>
    <t>2020-02-18T12:03:40.000+06:30</t>
  </si>
  <si>
    <t>2019-07-03T12:15:28.000-07:00</t>
  </si>
  <si>
    <t>2019-12-18T12:00:56.000-07:00</t>
  </si>
  <si>
    <t>2019-05-30T15:15:00.000-07:00</t>
  </si>
  <si>
    <t>2019-05-30T15:40:00.000-07:00</t>
  </si>
  <si>
    <t>2019-05-31T15:40:00.000-07:00</t>
  </si>
  <si>
    <t>2019-12-18T12:04:00.000-07:00</t>
  </si>
  <si>
    <t>2019-05-31T17:20:00.000-07:00</t>
  </si>
  <si>
    <t>5fa41d4a-c227-4f7f-ace5-337885f8f86f</t>
  </si>
  <si>
    <t>2019-07-03T06:45:51</t>
  </si>
  <si>
    <t>2019-07-03T12:19:37.000-07:00</t>
  </si>
  <si>
    <t>2019-05-30T15:50:00.000-07:00</t>
  </si>
  <si>
    <t>2019-05-31T15:50:00.000-07:00</t>
  </si>
  <si>
    <t>2019-05-31T17:30:00.000-07:00</t>
  </si>
  <si>
    <t>21026bf1-c0e0-4834-a82e-235e72dbfe7c</t>
  </si>
  <si>
    <t>2019-07-03T06:49:59</t>
  </si>
  <si>
    <t>4b2e9d74-e85f-416c-9fbc-e52ef021714d</t>
  </si>
  <si>
    <t>2019-07-03T12:25:22.000-07:00</t>
  </si>
  <si>
    <t>2019-12-18T06:30:56</t>
  </si>
  <si>
    <t>2019-06-04T15:20:00.000-07:00</t>
  </si>
  <si>
    <t>2019-06-04T16:00:00.000-07:00</t>
  </si>
  <si>
    <t>2019-06-05T17:16:00.000-07:00</t>
  </si>
  <si>
    <t>2019-12-18T12:04:55.000-07:00</t>
  </si>
  <si>
    <t>1ef73ee5-ac80-49c3-9e30-e7cbee568cf9</t>
  </si>
  <si>
    <t>2019-07-03T06:55:44</t>
  </si>
  <si>
    <t>2019-07-03T12:28:34.000-07:00</t>
  </si>
  <si>
    <t>6ead9f99-c706-4c4d-99a1-3e6166771ecc</t>
  </si>
  <si>
    <t>2019-07-03T06:58:55</t>
  </si>
  <si>
    <t>2019-07-03T12:32:47.000-07:00</t>
  </si>
  <si>
    <t>a7f31c91-561e-4464-b5cb-6a1752e8fe26</t>
  </si>
  <si>
    <t>2019-12-18T06:31:50</t>
  </si>
  <si>
    <t>2019-06-06T15:25:00.000-07:00</t>
  </si>
  <si>
    <t>2019-06-06T16:30:00.000-07:00</t>
  </si>
  <si>
    <t>2019-06-07T16:30:00.000-07:00</t>
  </si>
  <si>
    <t>2019-06-07T17:35:00.000-07:00</t>
  </si>
  <si>
    <t>55324acc-972a-4c90-be97-9cb7c96bd4e1</t>
  </si>
  <si>
    <t>2020-02-18T06:29:43</t>
  </si>
  <si>
    <t>2019-12-18T12:06:48.000-07:00</t>
  </si>
  <si>
    <t>0a96e87d-4081-4472-9bc8-1664fdd29189</t>
  </si>
  <si>
    <t>2020-02-18T12:03:41.000+06:30</t>
  </si>
  <si>
    <t>2019-07-03T07:03:10</t>
  </si>
  <si>
    <t>2019-07-03T12:32:48.000-07:00</t>
  </si>
  <si>
    <t>2020-02-18T12:05:15.000+06:30</t>
  </si>
  <si>
    <t>2019-07-03T12:36:36.000-07:00</t>
  </si>
  <si>
    <t>6813292e-f76a-413d-9fb3-299c09285cb7</t>
  </si>
  <si>
    <t>2019-07-03T07:06:58</t>
  </si>
  <si>
    <t>2019-07-04T11:02:40.000-07:00</t>
  </si>
  <si>
    <t>2019-07-04T11:07:09.000-07:00</t>
  </si>
  <si>
    <t>26331190-b3b6-41ae-b104-87b3c0ad3d0b</t>
  </si>
  <si>
    <t>2019-12-18T06:33:45</t>
  </si>
  <si>
    <t>2019-07-02T16:30:00.000-07:00</t>
  </si>
  <si>
    <t>2019-07-03T16:30:00.000-07:00</t>
  </si>
  <si>
    <t>2019-07-03T17:30:00.000-07:00</t>
  </si>
  <si>
    <t>f88df5a1-9a26-490f-9e0b-7ef80516296f</t>
  </si>
  <si>
    <t>2019-07-04T05:37:32</t>
  </si>
  <si>
    <t>2019-07-04T11:20:24.000-07:00</t>
  </si>
  <si>
    <t>2019-12-18T12:08:17.000-07:00</t>
  </si>
  <si>
    <t>db622f37-c01c-4386-93d4-571824a7e50b</t>
  </si>
  <si>
    <t>2019-07-04T05:50:47</t>
  </si>
  <si>
    <t>2019-07-04T11:24:42.000-07:00</t>
  </si>
  <si>
    <t>2019-07-03T17:40:00.000-07:00</t>
  </si>
  <si>
    <t>Associated sample SL1011</t>
  </si>
  <si>
    <t>6c29ba5b-5443-44b7-9e2e-21c30be43af7</t>
  </si>
  <si>
    <t>2019-12-18T06:35:12</t>
  </si>
  <si>
    <t>05cc9df2-ba37-49d8-81a7-12da4cb05cc9</t>
  </si>
  <si>
    <t>2019-07-04T05:55:05</t>
  </si>
  <si>
    <t>2019-07-04T11:26:52.000-07:00</t>
  </si>
  <si>
    <t>2019-12-18T12:09:31.000-07:00</t>
  </si>
  <si>
    <t>e8e766ec-1bd8-4c8c-b04d-b2f64ffebfb0</t>
  </si>
  <si>
    <t>2020-02-18T06:31:17</t>
  </si>
  <si>
    <t>2020-02-18T12:07:12.000+06:30</t>
  </si>
  <si>
    <t>d9b246b8-1753-4026-bbe7-e134cefe86dd</t>
  </si>
  <si>
    <t>2019-07-04T05:57:14</t>
  </si>
  <si>
    <t>2019-07-08T10:25:18.000-07:00</t>
  </si>
  <si>
    <t>2019-07-08T10:30:20.000-07:00</t>
  </si>
  <si>
    <t>2019-07-04T15:15:00.000-07:00</t>
  </si>
  <si>
    <t>2019-07-04T15:55:00.000-07:00</t>
  </si>
  <si>
    <t>2019-07-05T15:55:00.000-07:00</t>
  </si>
  <si>
    <t>2019-07-05T17:10:00.000-07:00</t>
  </si>
  <si>
    <t>COLLECTION SITE OF SAMPLE MO1047- CHINGRIGHATA DPS .</t>
  </si>
  <si>
    <t>9654ca2d-0f69-4d11-8595-884ff36108e6</t>
  </si>
  <si>
    <t>2019-12-18T06:36:26</t>
  </si>
  <si>
    <t>71f99373-6cd0-4215-bdc1-c63c4a666db7</t>
  </si>
  <si>
    <t>2019-07-08T05:00:44</t>
  </si>
  <si>
    <t>2019-07-08T10:34:21.000-07:00</t>
  </si>
  <si>
    <t>2019-07-08T10:38:11.000-07:00</t>
  </si>
  <si>
    <t>MO 1048</t>
  </si>
  <si>
    <t>2019-12-18T12:10:59.000-07:00</t>
  </si>
  <si>
    <t>2019-07-05T17:13:00.000-07:00</t>
  </si>
  <si>
    <t>COLLECTION SITE OF MO 1048- KULIA TANGRA DPS.</t>
  </si>
  <si>
    <t>5b924e17-60d7-4db3-9198-db40f4590639</t>
  </si>
  <si>
    <t>2019-07-08T05:08:35</t>
  </si>
  <si>
    <t>s.paratyphi 04.09.2019</t>
  </si>
  <si>
    <t>2019-07-08T10:42:54.000-07:00</t>
  </si>
  <si>
    <t>2019-07-05T17:00:00.000-07:00</t>
  </si>
  <si>
    <t>Associated sample DWa1004</t>
  </si>
  <si>
    <t>COLLECTION SITE OF MO 1049- PALMER BAZAR DPS.</t>
  </si>
  <si>
    <t>74bb78cf-591b-4cb1-8472-d86bd6375c93</t>
  </si>
  <si>
    <t>d28724a4-6067-44a1-a3e4-17bea380a9d3</t>
  </si>
  <si>
    <t>2019-07-08T05:13:18</t>
  </si>
  <si>
    <t>2019-12-18T06:37:55</t>
  </si>
  <si>
    <t>2019-07-08T10:50:24.000-07:00</t>
  </si>
  <si>
    <t>2019-12-18T12:12:01.000-07:00</t>
  </si>
  <si>
    <t>2019-07-05T17:15:00.000-07:00</t>
  </si>
  <si>
    <t>COLLECTION SITE OF MO1050- BALLYGUNGE DPS.</t>
  </si>
  <si>
    <t>d2b58f2f-ca2a-42e1-bc35-1ae951f4fd79</t>
  </si>
  <si>
    <t>2019-07-08T05:20:47</t>
  </si>
  <si>
    <t>0c154e19-6962-4966-ae08-fb0c351dd17a</t>
  </si>
  <si>
    <t>2019-07-09T10:58:10.000-07:00</t>
  </si>
  <si>
    <t>2020-02-18T06:33:15</t>
  </si>
  <si>
    <t>2020-02-18T12:07:13.000+06:30</t>
  </si>
  <si>
    <t>2019-07-09T11:02:35.000-07:00</t>
  </si>
  <si>
    <t>2020-02-18T12:08:31.000+06:30</t>
  </si>
  <si>
    <t>vGpS723vVDancxDf5Dr86o</t>
  </si>
  <si>
    <t>71dcb9ac-be71-4686-9891-4175e91f861b</t>
  </si>
  <si>
    <t>2019-07-09T05:32:59</t>
  </si>
  <si>
    <t>cfd16a9a-a5f7-4d58-af12-22542135f96b</t>
  </si>
  <si>
    <t>2019-12-18T06:38:56</t>
  </si>
  <si>
    <t>2019-07-09T11:04:23.000-07:00</t>
  </si>
  <si>
    <t>2019-07-09T11:09:37.000-07:00</t>
  </si>
  <si>
    <t>2019-06-04T16:40:00.000-07:00</t>
  </si>
  <si>
    <t>2019-12-18T12:14:29.000-07:00</t>
  </si>
  <si>
    <t>2019-06-05T17:00:00.000-07:00</t>
  </si>
  <si>
    <t>2019-06-05T17:48:00.000-07:00</t>
  </si>
  <si>
    <t>53efed68-90bc-4c63-9d28-46017f67286a</t>
  </si>
  <si>
    <t>2019-07-09T05:40:01</t>
  </si>
  <si>
    <t>2019-07-09T11:15:20.000-07:00</t>
  </si>
  <si>
    <t>2019-07-09T11:20:57.000-07:00</t>
  </si>
  <si>
    <t>2019-05-14T15:25:00.000-07:00</t>
  </si>
  <si>
    <t>2019-05-15T16:00:00.000-07:00</t>
  </si>
  <si>
    <t>2019-05-15T17:15:00.000-07:00</t>
  </si>
  <si>
    <t>Associated sample SL1012</t>
  </si>
  <si>
    <t>e03d87a1-62b9-41f8-8498-87a63fb2cef2</t>
  </si>
  <si>
    <t>FOOD TYPES- CHANA MASALA; WEIGHT-150 GM.</t>
  </si>
  <si>
    <t>2019-12-18T06:41:25</t>
  </si>
  <si>
    <t>c2a68e0a-57d8-4e58-977c-0a274aa1e1a5</t>
  </si>
  <si>
    <t>2019-12-18T12:14:30.000-07:00</t>
  </si>
  <si>
    <t>2019-07-09T05:51:21</t>
  </si>
  <si>
    <t>2019-07-10T10:19:12.000-07:00</t>
  </si>
  <si>
    <t>2019-07-10T10:24:19.000-07:00</t>
  </si>
  <si>
    <t>2019-12-18T12:15:58.000-07:00</t>
  </si>
  <si>
    <t>99</t>
  </si>
  <si>
    <t>2019-06-27T14:40:00.000-07:00</t>
  </si>
  <si>
    <t>2019-06-28T15:00:00.000-07:00</t>
  </si>
  <si>
    <t>2019-06-28T15:25:00.000-07:00</t>
  </si>
  <si>
    <t>112360fd-154a-4dab-abc2-059cbcf8c4cb</t>
  </si>
  <si>
    <t>2019-07-10T04:54:44</t>
  </si>
  <si>
    <t>2019-07-10T10:27:28.000-07:00</t>
  </si>
  <si>
    <t>2019-06-27T14:50:00.000-07:00</t>
  </si>
  <si>
    <t>132a2bdc-3c87-45cb-825b-5661ab99a7fe</t>
  </si>
  <si>
    <t>2020-02-18T06:34:34</t>
  </si>
  <si>
    <t>0b8ac37c-cc01-4325-8f3f-ac1360756848</t>
  </si>
  <si>
    <t>2019-12-18T06:42:53</t>
  </si>
  <si>
    <t>2020-02-18T12:08:32.000+06:30</t>
  </si>
  <si>
    <t>15456988-7132-479d-915b-87697074274b</t>
  </si>
  <si>
    <t>2019-07-10T04:57:52</t>
  </si>
  <si>
    <t>2020-02-18T12:09:24.000+06:30</t>
  </si>
  <si>
    <t>2019-07-10T10:29:28.000-07:00</t>
  </si>
  <si>
    <t>2019-12-18T12:17:25.000-07:00</t>
  </si>
  <si>
    <t>2019-07-03T17:00:00.000-07:00</t>
  </si>
  <si>
    <t>ecbdca2f-9459-4a90-a782-a8d604edeb9a</t>
  </si>
  <si>
    <t>2019-07-10T04:59:52</t>
  </si>
  <si>
    <t>2019-07-10T10:35:19.000-07:00</t>
  </si>
  <si>
    <t>2019-07-04T14:40:00.000-07:00</t>
  </si>
  <si>
    <t>2019-07-04T15:00:00.000-07:00</t>
  </si>
  <si>
    <t>2019-07-05T15:00:00.000-07:00</t>
  </si>
  <si>
    <t>2019-07-05T15:28:00.000-07:00</t>
  </si>
  <si>
    <t>THE SAMPLE  (FB1005UP) WAS TURBID.</t>
  </si>
  <si>
    <t>15e04037-906e-4fe6-8470-d3ea837c55f5</t>
  </si>
  <si>
    <t>2019-07-10T05:05:43</t>
  </si>
  <si>
    <t>52b3f191-5996-477e-9cb0-0f41f173aee2</t>
  </si>
  <si>
    <t>2019-07-10T10:42:47.000-07:00</t>
  </si>
  <si>
    <t>2019-12-18T06:44:22</t>
  </si>
  <si>
    <t>2019-07-10T10:47:08.000-07:00</t>
  </si>
  <si>
    <t>2019-12-18T12:17:26.000-07:00</t>
  </si>
  <si>
    <t>2019-12-18T12:19:39.000-07:00</t>
  </si>
  <si>
    <t>2019-07-09T17:05:00.000-07:00</t>
  </si>
  <si>
    <t>8925ead7-029c-4b81-9aa9-75ef8c5b9fca</t>
  </si>
  <si>
    <t>2019-07-10T05:17:32</t>
  </si>
  <si>
    <t>2019-07-12T10:26:45.000-07:00</t>
  </si>
  <si>
    <t>2019-07-12T10:30:53.000-07:00</t>
  </si>
  <si>
    <t>2019-07-09T16:30:00.000-07:00</t>
  </si>
  <si>
    <t>2019-07-10T16:30:00.000-07:00</t>
  </si>
  <si>
    <t>2019-07-10T17:35:00.000-07:00</t>
  </si>
  <si>
    <t>949c18ec-9695-45a3-828d-466d9158a7a7</t>
  </si>
  <si>
    <t>2019-12-18T06:46:35</t>
  </si>
  <si>
    <t>63eccba5-6bee-4afc-b6f1-f4e83705a66b</t>
  </si>
  <si>
    <t>26eb27c7-cb94-4db9-b03c-a29c06dc840d</t>
  </si>
  <si>
    <t>2020-02-18T06:35:25</t>
  </si>
  <si>
    <t>2019-07-12T05:01:18</t>
  </si>
  <si>
    <t>2020-02-18T12:09:25.000+06:30</t>
  </si>
  <si>
    <t>2019-12-18T12:20:59.000-07:00</t>
  </si>
  <si>
    <t>2019-07-12T10:33:11.000-07:00</t>
  </si>
  <si>
    <t>2020-02-18T12:11:55.000+06:30</t>
  </si>
  <si>
    <t>2019-07-10T17:38:00.000-07:00</t>
  </si>
  <si>
    <t>32171103-77d2-4b22-b0f3-a4ec490e2eed</t>
  </si>
  <si>
    <t>2019-07-12T05:03:37</t>
  </si>
  <si>
    <t>2019-07-12T10:33:12.000-07:00</t>
  </si>
  <si>
    <t>625b80c3-bbb6-4826-90e1-06cc3ee30820</t>
  </si>
  <si>
    <t>2019-12-18T06:47:55</t>
  </si>
  <si>
    <t>2019-07-12T10:36:15.000-07:00</t>
  </si>
  <si>
    <t>2019-12-18T12:22:11.000-07:00</t>
  </si>
  <si>
    <t>2019-07-10T17:40:00.000-07:00</t>
  </si>
  <si>
    <t>203094e2-8af2-4785-96bc-cdbcb924ab7e</t>
  </si>
  <si>
    <t>S.typhi 05.09.2019</t>
  </si>
  <si>
    <t>2019-07-12T05:06:40</t>
  </si>
  <si>
    <t>2019-07-12T10:38:40.000-07:00</t>
  </si>
  <si>
    <t>f157b245-4b81-463e-9bc0-3d636cb99ca0</t>
  </si>
  <si>
    <t>2019-12-18T06:49:07</t>
  </si>
  <si>
    <t>2019-07-10T17:46:00.000-07:00</t>
  </si>
  <si>
    <t>2019-12-18T12:23:27.000-07:00</t>
  </si>
  <si>
    <t>c68f33ff-3bab-4c92-905d-5724c28215d3</t>
  </si>
  <si>
    <t>2019-07-12T05:09:06</t>
  </si>
  <si>
    <t>2019-07-12T10:38:41.000-07:00</t>
  </si>
  <si>
    <t>2019-07-12T10:42:00.000-07:00</t>
  </si>
  <si>
    <t>2019-07-09T16:40:00.000-07:00</t>
  </si>
  <si>
    <t>2019-07-09T17:00:00.000-07:00</t>
  </si>
  <si>
    <t>2019-07-10T17:00:00.000-07:00</t>
  </si>
  <si>
    <t>2019-07-10T17:20:00.000-07:00</t>
  </si>
  <si>
    <t>aca1de16-79d6-49c3-a96b-927be5c42128</t>
  </si>
  <si>
    <t>2019-07-12T05:12:25</t>
  </si>
  <si>
    <t>a0af2bf7-23b6-4507-bff5-dabe48e1b580</t>
  </si>
  <si>
    <t>2019-12-18T06:50:22</t>
  </si>
  <si>
    <t>2019-07-12T10:46:39.000-07:00</t>
  </si>
  <si>
    <t>2019-07-10T15:00:00.000-07:00</t>
  </si>
  <si>
    <t>ba9c6689-9572-4c6f-aeca-3b3dbf60247c</t>
  </si>
  <si>
    <t>2019-12-18T12:24:49.000-07:00</t>
  </si>
  <si>
    <t>2020-02-18T06:37:57</t>
  </si>
  <si>
    <t>2019-07-11T17:10:00.000-07:00</t>
  </si>
  <si>
    <t>2020-02-18T12:11:56.000+06:30</t>
  </si>
  <si>
    <t>5e131290-355f-4037-be4a-bb441eec8ee7</t>
  </si>
  <si>
    <t>2020-02-18T12:13:34.000+06:30</t>
  </si>
  <si>
    <t>2019-07-12T05:17:05</t>
  </si>
  <si>
    <t>2019-07-12T10:51:07.000+06:30</t>
  </si>
  <si>
    <t>2019-07-12T11:08:47.000+06:30</t>
  </si>
  <si>
    <t>Associated sample SW1009</t>
  </si>
  <si>
    <t>c57c8935-7ab8-4030-b655-02c89e6cb3c3</t>
  </si>
  <si>
    <t>2019-12-18T06:51:46</t>
  </si>
  <si>
    <t>2019-07-11T16:40:00.000+06:30</t>
  </si>
  <si>
    <t>THIS SAMPLE (FB1007UP) IS COLLECTED FROM POOLED LATRINE SITE .</t>
  </si>
  <si>
    <t>46cc7661-cf85-4b36-9fbd-04da4477361a</t>
  </si>
  <si>
    <t>2019-07-12T05:39:05</t>
  </si>
  <si>
    <t>2019-07-16T10:28:09.000-07:00</t>
  </si>
  <si>
    <t>2019-12-18T12:26:09.000-07:00</t>
  </si>
  <si>
    <t>2019-07-16T10:33:18.000-07:00</t>
  </si>
  <si>
    <t>2019-07-11T14:30:00.000-07:00</t>
  </si>
  <si>
    <t>2019-07-11T15:30:00.000-07:00</t>
  </si>
  <si>
    <t>2019-07-12T15:30:00.000-07:00</t>
  </si>
  <si>
    <t>2019-07-12T16:50:00.000-07:00</t>
  </si>
  <si>
    <t>e21d9648-1327-42c2-aeb7-9fb706f624fe</t>
  </si>
  <si>
    <t>2019-07-16T05:03:43</t>
  </si>
  <si>
    <t>2019-07-16T10:39:24.000-07:00</t>
  </si>
  <si>
    <t>3e5c5ce4-6a17-4336-8a91-1a781e597c4a</t>
  </si>
  <si>
    <t>2019-12-18T06:53:05</t>
  </si>
  <si>
    <t>2019-07-11T14:40:00.000-07:00</t>
  </si>
  <si>
    <t>2019-07-12T16:55:00.000-07:00</t>
  </si>
  <si>
    <t>2019-12-18T12:32:52.000-07:00</t>
  </si>
  <si>
    <t>55c7b765-152c-4534-b100-5387bc63d88c</t>
  </si>
  <si>
    <t>2019-07-16T05:09:50</t>
  </si>
  <si>
    <t>2019-07-16T10:49:29.000-07:00</t>
  </si>
  <si>
    <t>2019-07-16T10:57:15.000-07:00</t>
  </si>
  <si>
    <t>2019-07-11T14:44:00.000-07:00</t>
  </si>
  <si>
    <t>2019-07-12T16:52:00.000-07:00</t>
  </si>
  <si>
    <t>15320701-bc0a-4224-8b33-7d8fbaf8c18c</t>
  </si>
  <si>
    <t>2020-02-18T06:39:38</t>
  </si>
  <si>
    <t>a3cdf5d8-f099-42f9-8e81-b308360b9ac9</t>
  </si>
  <si>
    <t>2019-07-16T05:27:40</t>
  </si>
  <si>
    <t>2020-02-18T12:13:35.000+06:30</t>
  </si>
  <si>
    <t>2019-07-16T11:01:33.000-07:00</t>
  </si>
  <si>
    <t>2020-02-18T12:15:11.000+06:30</t>
  </si>
  <si>
    <t>2019-07-11T14:47:00.000-07:00</t>
  </si>
  <si>
    <t>9bc29857-08b1-4278-b5ae-26384b16b603</t>
  </si>
  <si>
    <t>2019-07-12T16:40:00.000-07:00</t>
  </si>
  <si>
    <t>2019-12-18T06:59:48</t>
  </si>
  <si>
    <t>2019-12-18T12:34:06.000-07:00</t>
  </si>
  <si>
    <t>097b1505-3229-464f-baa3-eae79bd84642</t>
  </si>
  <si>
    <t>2019-07-16T05:31:59</t>
  </si>
  <si>
    <t>2019-07-18T10:30:13.000-07:00</t>
  </si>
  <si>
    <t>2019-07-18T10:35:23.000-07:00</t>
  </si>
  <si>
    <t>2019-07-16T17:30:00.000-07:00</t>
  </si>
  <si>
    <t>b7ae4be2-f9f1-4bb6-a1ae-d1b1c8121f04</t>
  </si>
  <si>
    <t>2019-12-18T07:01:03</t>
  </si>
  <si>
    <t>d593b1ab-9778-4cde-9714-ffb86b99fd70</t>
  </si>
  <si>
    <t>2019-07-18T05:05:50</t>
  </si>
  <si>
    <t>2019-12-18T12:34:07.000-07:00</t>
  </si>
  <si>
    <t>2019-07-18T10:38:36.000-07:00</t>
  </si>
  <si>
    <t>2019-12-18T12:35:20.000-07:00</t>
  </si>
  <si>
    <t>2019-07-16T16:30:00.000-07:00</t>
  </si>
  <si>
    <t>2019-07-17T17:00:00.000-07:00</t>
  </si>
  <si>
    <t>2019-07-17T17:20:00.000-07:00</t>
  </si>
  <si>
    <t>8d74beb9-4a7a-4b79-b5ee-28e3a9897f10</t>
  </si>
  <si>
    <t>2019-07-18T05:09:02</t>
  </si>
  <si>
    <t>2019-07-18T10:40:29.000-07:00</t>
  </si>
  <si>
    <t>Associated sample MO1092</t>
  </si>
  <si>
    <t>17be6239-2012-4472-bb9e-08bf92562472</t>
  </si>
  <si>
    <t>2020-02-18T06:41:14</t>
  </si>
  <si>
    <t>b7ada412-9218-4369-8580-02796d9133a7</t>
  </si>
  <si>
    <t>2019-12-18T07:02:15</t>
  </si>
  <si>
    <t>2020-02-18T12:15:12.000+06:30</t>
  </si>
  <si>
    <t>2020-02-18T12:16:47.000+06:30</t>
  </si>
  <si>
    <t>ccd815d9-eebb-44f5-af98-43cc563d5169</t>
  </si>
  <si>
    <t>2019-12-18T12:36:21.000-07:00</t>
  </si>
  <si>
    <t>2019-07-18T05:10:56</t>
  </si>
  <si>
    <t>2019-07-18T10:42:59.000-07:00</t>
  </si>
  <si>
    <t>4f77e273-b1a9-4bbe-bdb7-9fd832e9a848</t>
  </si>
  <si>
    <t>2019-07-18T05:13:25</t>
  </si>
  <si>
    <t>e8ed332b-e723-44be-993e-0e842cabbf5f</t>
  </si>
  <si>
    <t>2019-12-18T07:03:16</t>
  </si>
  <si>
    <t>2019-07-18T10:45:28.000-07:00</t>
  </si>
  <si>
    <t>2019-07-17T17:40:00.000-07:00</t>
  </si>
  <si>
    <t>2019-12-18T12:37:18.000-07:00</t>
  </si>
  <si>
    <t>5db6ae41-e6c3-4d28-b583-9198540075cf</t>
  </si>
  <si>
    <t>2019-07-18T05:15:54</t>
  </si>
  <si>
    <t>2019-07-18T10:49:44.000-07:00</t>
  </si>
  <si>
    <t>2019-07-17T17:30:00.000-07:00</t>
  </si>
  <si>
    <t>ba6c7dae-37f5-4251-932d-1d5874e8e164</t>
  </si>
  <si>
    <t>3298d78a-6276-4a8c-be65-38ff318489ac</t>
  </si>
  <si>
    <t>2019-12-18T07:04:13</t>
  </si>
  <si>
    <t>2019-07-18T05:20:10</t>
  </si>
  <si>
    <t>2019-07-19T13:15:53.000-07:00</t>
  </si>
  <si>
    <t>0e1298e2-a905-489e-8863-022d4e9728e2</t>
  </si>
  <si>
    <t>2019-07-19T13:19:37.000-07:00</t>
  </si>
  <si>
    <t>2020-02-18T06:42:51</t>
  </si>
  <si>
    <t>2019-12-18T12:38:17.000-07:00</t>
  </si>
  <si>
    <t>2020-02-18T12:16:48.000+06:30</t>
  </si>
  <si>
    <t>2019-07-17T16:30:00.000-07:00</t>
  </si>
  <si>
    <t>2019-07-18T16:30:00.000-07:00</t>
  </si>
  <si>
    <t>2019-07-18T17:00:00.000-07:00</t>
  </si>
  <si>
    <t>2020-02-18T12:18:17.000+06:30</t>
  </si>
  <si>
    <t>065ff76f-536b-4743-9d1c-65225b482440</t>
  </si>
  <si>
    <t>2019-07-19T07:50:04</t>
  </si>
  <si>
    <t>2019-07-19T13:19:38.000-07:00</t>
  </si>
  <si>
    <t>2019-07-19T13:24:10.000-07:00</t>
  </si>
  <si>
    <t>2019-07-18T16:40:00.000-07:00</t>
  </si>
  <si>
    <t>COLLECTED WITH  PL1012</t>
  </si>
  <si>
    <t>5337200c-1fdd-4ab5-9e89-870a83f3975e</t>
  </si>
  <si>
    <t>9218e734-ec17-461b-97bd-f8fd5d9d37ed</t>
  </si>
  <si>
    <t>2019-07-19T07:54:36</t>
  </si>
  <si>
    <t>2019-12-18T07:05:11</t>
  </si>
  <si>
    <t>2019-07-19T13:30:18.000-07:00</t>
  </si>
  <si>
    <t>33</t>
  </si>
  <si>
    <t>98</t>
  </si>
  <si>
    <t>UPNC 9</t>
  </si>
  <si>
    <t>2019-12-18T12:39:34.000-07:00</t>
  </si>
  <si>
    <t>PROCESSED WITH PL1009</t>
  </si>
  <si>
    <t>9d8a7d7e-04a8-456f-a305-a58e139f7292</t>
  </si>
  <si>
    <t>2019-07-19T08:00:45</t>
  </si>
  <si>
    <t>2019-07-22T11:28:54.000-07:00</t>
  </si>
  <si>
    <t>2019-07-22T11:32:48.000-07:00</t>
  </si>
  <si>
    <t>2019-07-19T16:30:00.000-07:00</t>
  </si>
  <si>
    <t>2019-07-19T17:00:00.000-07:00</t>
  </si>
  <si>
    <t>82cae9dd-a41b-4af9-8184-c88b79884bf8</t>
  </si>
  <si>
    <t>2019-07-22T06:03:15</t>
  </si>
  <si>
    <t>Associated sample PL1022</t>
  </si>
  <si>
    <t>2019-07-22T11:32:49.000-07:00</t>
  </si>
  <si>
    <t>2019-07-22T11:34:48.000-07:00</t>
  </si>
  <si>
    <t>523ab0f4-f406-4156-8aea-1ba7da829f78</t>
  </si>
  <si>
    <t>2019-12-18T07:06:30</t>
  </si>
  <si>
    <t>2cfc3a8d-a508-42a8-a414-de8db928b210</t>
  </si>
  <si>
    <t>2020-02-18T06:44:21</t>
  </si>
  <si>
    <t>7e8fe691-9bc3-45e2-9edc-9654f185793b</t>
  </si>
  <si>
    <t>2019-12-18T12:40:32.000-07:00</t>
  </si>
  <si>
    <t>2019-07-22T06:05:14</t>
  </si>
  <si>
    <t>2020-02-18T12:18:18.000+06:30</t>
  </si>
  <si>
    <t>2019-07-22T11:36:39.000-07:00</t>
  </si>
  <si>
    <t>2020-02-18T12:19:43.000+06:30</t>
  </si>
  <si>
    <t>e83ad510-6380-4e7e-8a99-cb082e902026</t>
  </si>
  <si>
    <t>2019-07-22T06:07:06</t>
  </si>
  <si>
    <t>2019-07-22T11:38:18.000-07:00</t>
  </si>
  <si>
    <t>ee52f9cb-4999-46fd-8249-875161c73790</t>
  </si>
  <si>
    <t>2019-12-18T07:07:29</t>
  </si>
  <si>
    <t>2019-07-19T17:20:00.000-07:00</t>
  </si>
  <si>
    <t>8148ab57-d003-48bc-8ffe-d9c0fe450b11</t>
  </si>
  <si>
    <t>2019-07-22T06:08:44</t>
  </si>
  <si>
    <t>2019-07-22T11:39:59.000-07:00</t>
  </si>
  <si>
    <t>2019-12-18T12:41:28.000-07:00</t>
  </si>
  <si>
    <t>UPNC 10</t>
  </si>
  <si>
    <t>944cbc86-8fa2-406c-a50d-75e997d78fc5</t>
  </si>
  <si>
    <t>2019-07-22T06:10:26</t>
  </si>
  <si>
    <t>2019-07-24T11:15:28.000-07:00</t>
  </si>
  <si>
    <t>2019-07-24T11:18:19.000-07:00</t>
  </si>
  <si>
    <t>2019-07-22T16:20:00.000-07:00</t>
  </si>
  <si>
    <t>2019-07-23T17:10:00.000-07:00</t>
  </si>
  <si>
    <t>WITHPL1013FL</t>
  </si>
  <si>
    <t>425a66f2-9b49-4849-ab6b-2e3320a8a777</t>
  </si>
  <si>
    <t>6b94f08c-4df0-4891-8e60-b75787417c9b</t>
  </si>
  <si>
    <t>2019-12-18T07:08:24</t>
  </si>
  <si>
    <t>2019-07-24T05:48:47</t>
  </si>
  <si>
    <t>2019-12-18T12:41:29.000-07:00</t>
  </si>
  <si>
    <t>2019-07-24T11:20:02.000-07:00</t>
  </si>
  <si>
    <t>2019-12-18T12:42:33.000-07:00</t>
  </si>
  <si>
    <t>2019-07-22T14:40:00.000-07:00</t>
  </si>
  <si>
    <t>2019-07-23T15:10:00.000-07:00</t>
  </si>
  <si>
    <t>2019-07-23T15:15:00.000-07:00</t>
  </si>
  <si>
    <t>c474273c-3488-4e1a-90b0-95c09aac6beb</t>
  </si>
  <si>
    <t>98538291-249c-4b75-9b8f-7ec1513e996a</t>
  </si>
  <si>
    <t>2019-07-24T05:50:29</t>
  </si>
  <si>
    <t>2020-02-18T06:45:44</t>
  </si>
  <si>
    <t>2019-07-25T12:00:00.000-07:00</t>
  </si>
  <si>
    <t>2020-02-18T12:19:44.000+06:30</t>
  </si>
  <si>
    <t>2019-07-25T12:01:54.000-07:00</t>
  </si>
  <si>
    <t>2020-02-18T12:21:11.000+06:30</t>
  </si>
  <si>
    <t>2019-07-23T16:00:00.000-07:00</t>
  </si>
  <si>
    <t>Associated sample RP1012</t>
  </si>
  <si>
    <t>e6346cf4-19b9-4855-a658-c9bbf08cadb2</t>
  </si>
  <si>
    <t>76675ce1-b4b5-49e1-abe9-e4eab64173f9</t>
  </si>
  <si>
    <t>2019-12-18T07:09:27</t>
  </si>
  <si>
    <t>2019-07-25T06:32:22</t>
  </si>
  <si>
    <t>2019-07-25T12:14:59.000-07:00</t>
  </si>
  <si>
    <t>2019-07-25T12:16:57.000-07:00</t>
  </si>
  <si>
    <t>2019-12-18T12:43:32.000-07:00</t>
  </si>
  <si>
    <t>76d0b579-3585-4a20-8489-ccb07bc11bfc</t>
  </si>
  <si>
    <t>2019-07-25T06:47:24</t>
  </si>
  <si>
    <t>2019-07-25T12:20:07.000-07:00</t>
  </si>
  <si>
    <t>f4ea980b-342a-4d20-9bf5-cad2b87f9b04</t>
  </si>
  <si>
    <t>2019-07-25T06:50:35</t>
  </si>
  <si>
    <t>37bbeca0-0b60-4f51-9eb8-c5a1c46d6376</t>
  </si>
  <si>
    <t>2019-12-18T07:10:26</t>
  </si>
  <si>
    <t>2019-07-25T12:22:34.000-07:00</t>
  </si>
  <si>
    <t>2019-12-18T12:44:36.000-07:00</t>
  </si>
  <si>
    <t>2019-07-24T17:30:00.000-07:00</t>
  </si>
  <si>
    <t>1adf65f9-b18f-4c4a-a9bd-1d603cfb2d7f</t>
  </si>
  <si>
    <t>2019-07-25T06:53:02</t>
  </si>
  <si>
    <t>2019-07-25T12:26:55.000-07:00</t>
  </si>
  <si>
    <t>S.typhi 16.09.2019, s.paratyphi 09.09.2019</t>
  </si>
  <si>
    <t>467d23d0-3997-4c62-a6b6-6a2f299c3a82</t>
  </si>
  <si>
    <t>2020-02-18T06:47:15</t>
  </si>
  <si>
    <t>2020-02-18T12:21:12.000+06:30</t>
  </si>
  <si>
    <t>OBSERVATION-TURBIDITY</t>
  </si>
  <si>
    <t>2020-02-18T12:22:34.000+06:30</t>
  </si>
  <si>
    <t>50fbf617-1131-4a6c-bdc9-97ade3bd29b6</t>
  </si>
  <si>
    <t>2019-07-25T06:57:23</t>
  </si>
  <si>
    <t>8ea44e9c-64d6-4057-8c72-4bec5bfce84f</t>
  </si>
  <si>
    <t>2019-07-25T12:29:41.000-07:00</t>
  </si>
  <si>
    <t>2019-12-18T07:11:31</t>
  </si>
  <si>
    <t>2019-12-18T12:46:25.000-07:00</t>
  </si>
  <si>
    <t>NO TURBIDITY</t>
  </si>
  <si>
    <t>842a63e8-dbf7-4c38-8d9a-a8a31b34e1e4</t>
  </si>
  <si>
    <t>2019-07-25T07:00:09</t>
  </si>
  <si>
    <t>2019-07-26T11:52:50.000-07:00</t>
  </si>
  <si>
    <t>2019-07-26T12:03:09.000-07:00</t>
  </si>
  <si>
    <t>2019-07-24T15:30:00.000-07:00</t>
  </si>
  <si>
    <t>1119b229-15c3-4740-b30f-b37f28ae137e</t>
  </si>
  <si>
    <t>2019-07-26T06:33:37</t>
  </si>
  <si>
    <t>2019-07-26T12:10:38.000-07:00</t>
  </si>
  <si>
    <t>Associated sample SF1013</t>
  </si>
  <si>
    <t>df349c9d-e48f-448d-8cb1-a158861c0478</t>
  </si>
  <si>
    <t>a22f8de8-c6c9-4f33-ac42-0215fb7809fb</t>
  </si>
  <si>
    <t>2020-02-18T06:48:39</t>
  </si>
  <si>
    <t>2019-12-18T07:13:21</t>
  </si>
  <si>
    <t>2020-02-18T12:22:35.000+06:30</t>
  </si>
  <si>
    <t>PL1014FL COULD NOT BE FILTER BECAUSE IT WAS TOO DIRTY.</t>
  </si>
  <si>
    <t>2020-02-18T12:23:34.000+06:30</t>
  </si>
  <si>
    <t>2019-12-18T12:47:40.000-07:00</t>
  </si>
  <si>
    <t>5668b111-08e4-4eaa-81d0-6fdfb7c4f65a</t>
  </si>
  <si>
    <t>2019-07-26T06:41:07</t>
  </si>
  <si>
    <t>2019-07-26T12:13:34.000-07:00</t>
  </si>
  <si>
    <t>e48aec6c-42bf-415d-b5ee-3d3145a5bfba</t>
  </si>
  <si>
    <t>2019-07-26T06:44:02</t>
  </si>
  <si>
    <t>2019-07-26T12:13:35.000-07:00</t>
  </si>
  <si>
    <t>2019-07-26T12:15:43.000-07:00</t>
  </si>
  <si>
    <t>3659a705-9dcf-4a8a-bf00-1de3dbd861bc</t>
  </si>
  <si>
    <t>2019-12-18T07:14:36</t>
  </si>
  <si>
    <t>2019-07-25T17:30:00.000-07:00</t>
  </si>
  <si>
    <t>2019-12-18T12:49:45.000-07:00</t>
  </si>
  <si>
    <t>00e966d5-03e3-4620-83d3-ed2aa44da295</t>
  </si>
  <si>
    <t>2019-07-26T06:46:11</t>
  </si>
  <si>
    <t>2019-07-27T13:14:47.000-07:00</t>
  </si>
  <si>
    <t>2019-07-27T13:17:58.000-07:00</t>
  </si>
  <si>
    <t>7a0b12ff-0090-447f-bd40-f290b0eaca5d</t>
  </si>
  <si>
    <t>2020-02-18T06:49:37</t>
  </si>
  <si>
    <t>2020-02-18T12:23:35.000+06:30</t>
  </si>
  <si>
    <t>s.paratyphi 09.09.2019</t>
  </si>
  <si>
    <t>2019-07-25T15:00:00.000-07:00</t>
  </si>
  <si>
    <t>2019-07-25T15:30:00.000-07:00</t>
  </si>
  <si>
    <t>2020-02-18T12:24:29.000+06:30</t>
  </si>
  <si>
    <t>2019-07-26T15:30:00.000-07:00</t>
  </si>
  <si>
    <t>2019-07-26T16:00:00.000-07:00</t>
  </si>
  <si>
    <t>0b888e96-de95-488f-84dc-68b18117bdc1</t>
  </si>
  <si>
    <t>2019-07-27T07:48:27</t>
  </si>
  <si>
    <t>e03ae7fa-2e6a-4d41-a320-58eda2b2ff1d</t>
  </si>
  <si>
    <t>2019-07-27T13:20:15.000-07:00</t>
  </si>
  <si>
    <t>2019-12-18T07:16:41</t>
  </si>
  <si>
    <t>2019-12-23T10:49:09.000-07:00</t>
  </si>
  <si>
    <t>2019-12-23T10:53:18.000-07:00</t>
  </si>
  <si>
    <t>842bf230-dfdf-48de-a927-dfcafb561abd</t>
  </si>
  <si>
    <t>2019-07-27T07:50:43</t>
  </si>
  <si>
    <t>2019-07-27T13:21:45.000-07:00</t>
  </si>
  <si>
    <t>2019-07-26T16:30:00.000-07:00</t>
  </si>
  <si>
    <t>S.typhi 19.12.2019, s.paratyphi 19.12.2019</t>
  </si>
  <si>
    <t>3db4992c-0882-4fb5-9f48-7255e4c34ab4</t>
  </si>
  <si>
    <t>2019-07-27T07:52:13</t>
  </si>
  <si>
    <t>7b193d36-4de9-406e-a77e-094c3414fa97</t>
  </si>
  <si>
    <t>2020-02-18T06:50:30</t>
  </si>
  <si>
    <t>2020-02-18T12:24:31.000+06:30</t>
  </si>
  <si>
    <t>2019-07-27T13:23:30.000-07:00</t>
  </si>
  <si>
    <t>2020-02-18T12:27:30.000+06:30</t>
  </si>
  <si>
    <t>1c16dfc8-0365-4c6f-a364-febc2e734614</t>
  </si>
  <si>
    <t>2019-12-23T05:20:09</t>
  </si>
  <si>
    <t>30bed943-32ce-4c1c-acaa-693f896b0199</t>
  </si>
  <si>
    <t>2019-07-27T07:53:58</t>
  </si>
  <si>
    <t>2019-12-23T10:54:05.000-07:00</t>
  </si>
  <si>
    <t>2020-02-15T11:00:00.000+06:30</t>
  </si>
  <si>
    <t>2019-07-27T13:26:47.000-07:00</t>
  </si>
  <si>
    <t>OBSERVATION-NO TURBIDITY</t>
  </si>
  <si>
    <t>299fde8b-0aa5-48f8-a3cc-c48017e2f92f</t>
  </si>
  <si>
    <t>2019-07-27T07:57:15</t>
  </si>
  <si>
    <t>2019-07-31T11:06:18.000-07:00</t>
  </si>
  <si>
    <t>ba49f28b-3adc-475d-83d5-cdde1e2de632</t>
  </si>
  <si>
    <t>2019-12-23T05:20:54</t>
  </si>
  <si>
    <t>2019-07-31T11:10:52.000-07:00</t>
  </si>
  <si>
    <t>2019-07-29T16:30:00.000-07:00</t>
  </si>
  <si>
    <t>2019-12-23T10:55:18.000-07:00</t>
  </si>
  <si>
    <t>2019-07-30T17:15:00.000-07:00</t>
  </si>
  <si>
    <t>446ff2ed-0b65-4817-ba0c-ce9bd83b49da</t>
  </si>
  <si>
    <t>2019-07-31T05:41:21</t>
  </si>
  <si>
    <t>a3264ef5-76ef-45ef-b2a2-d4279668d431</t>
  </si>
  <si>
    <t>2020-02-18T06:53:34</t>
  </si>
  <si>
    <t>2020-02-18T12:27:32.000+06:30</t>
  </si>
  <si>
    <t>2019-07-31T11:14:03.000-07:00</t>
  </si>
  <si>
    <t>2020-02-18T12:30:20.000+06:30</t>
  </si>
  <si>
    <t>2019-07-30T16:30:00.000-07:00</t>
  </si>
  <si>
    <t>2019-07-30T16:42:00.000-07:00</t>
  </si>
  <si>
    <t>1866c0a0-914d-4205-b857-7238bac33108</t>
  </si>
  <si>
    <t>2019-07-31T05:44:32</t>
  </si>
  <si>
    <t>2e2e5f8f-1d45-441e-a70a-621a3314477e</t>
  </si>
  <si>
    <t>2019-12-23T05:22:10</t>
  </si>
  <si>
    <t>2019-07-31T11:18:19.000-07:00</t>
  </si>
  <si>
    <t>2019-12-23T10:56:10.000-07:00</t>
  </si>
  <si>
    <t>OBSERVATION- NO TURBIDITY</t>
  </si>
  <si>
    <t>1931f5e8-aeed-4af9-8298-0ff69b73fe7a</t>
  </si>
  <si>
    <t>2019-07-31T05:48:48</t>
  </si>
  <si>
    <t>2019-08-01T12:18:12.000-07:00</t>
  </si>
  <si>
    <t>2019-08-01T12:32:19.000-07:00</t>
  </si>
  <si>
    <t>86</t>
  </si>
  <si>
    <t>2019-07-30T15:45:00.000-07:00</t>
  </si>
  <si>
    <t>2019-07-30T16:20:00.000-07:00</t>
  </si>
  <si>
    <t>Results for GB124 are not as expected. 100µl is showing CL whereas 5ml and 1ml show no plaque.</t>
  </si>
  <si>
    <t>2019-07-31T17:50:00.000-07:00</t>
  </si>
  <si>
    <t>27f5cf16-45da-4d49-9648-c8a26c4016b1</t>
  </si>
  <si>
    <t>2020-02-18T06:56:23</t>
  </si>
  <si>
    <t>ee219993-4408-48d7-b166-c6ce46bfbb22</t>
  </si>
  <si>
    <t>2020-02-18T12:30:21.000+06:30</t>
  </si>
  <si>
    <t>a2e2309c-e0ac-4897-be29-c2f31ba1875c</t>
  </si>
  <si>
    <t>2019-12-23T05:23:01</t>
  </si>
  <si>
    <t>2019-08-01T07:02:48</t>
  </si>
  <si>
    <t>2020-02-18T12:32:03.000+06:30</t>
  </si>
  <si>
    <t>2019-08-01T12:35:11.000-07:00</t>
  </si>
  <si>
    <t>2019-12-23T10:57:01.000-07:00</t>
  </si>
  <si>
    <t>2019-07-31T17:58:00.000-07:00</t>
  </si>
  <si>
    <t>7e8873ab-9356-4306-a487-85837ceceafd</t>
  </si>
  <si>
    <t>2019-08-01T07:05:40</t>
  </si>
  <si>
    <t>2019-08-01T12:38:11.000-07:00</t>
  </si>
  <si>
    <t>2019-07-31T17:40:00.000-07:00</t>
  </si>
  <si>
    <t>eebf989a-cc30-4bc8-b5a9-9bad0ab72de1</t>
  </si>
  <si>
    <t>2019-12-23T05:23:52</t>
  </si>
  <si>
    <t>0849dda3-842a-4537-81a0-50b7a823d5f3</t>
  </si>
  <si>
    <t>2019-08-01T07:08:35</t>
  </si>
  <si>
    <t>2019-08-01T12:41:13.000-07:00</t>
  </si>
  <si>
    <t>2019-12-23T10:57:47.000-07:00</t>
  </si>
  <si>
    <t>2019-07-31T17:25:00.000-07:00</t>
  </si>
  <si>
    <t>2349cd8f-76fa-4d5e-a785-80e76104c503</t>
  </si>
  <si>
    <t>2020-02-18T06:58:07</t>
  </si>
  <si>
    <t>2020-02-18T12:32:04.000+06:30</t>
  </si>
  <si>
    <t>fe54f4c9-f585-48d7-a486-061cf26271f8</t>
  </si>
  <si>
    <t>2019-08-01T07:11:42</t>
  </si>
  <si>
    <t>2020-02-18T12:33:41.000+06:30</t>
  </si>
  <si>
    <t>2019-08-01T12:44:58.000-07:00</t>
  </si>
  <si>
    <t>2019-07-30T15:05:00.000-07:00</t>
  </si>
  <si>
    <t>3ff1e7de-9e80-48cf-991d-1d5911d0590e</t>
  </si>
  <si>
    <t>2019-12-23T05:24:38</t>
  </si>
  <si>
    <t>2019-07-31T15:30:00.000-07:00</t>
  </si>
  <si>
    <t>2b4e03da-3822-44a3-b1e0-60a7cebb2760</t>
  </si>
  <si>
    <t>2019-08-01T07:15:27</t>
  </si>
  <si>
    <t>2019-12-23T10:58:35.000-07:00</t>
  </si>
  <si>
    <t>2019-08-01T12:47:10.000-07:00</t>
  </si>
  <si>
    <t>2019-07-30T15:10:00.000-07:00</t>
  </si>
  <si>
    <t>2019-07-31T15:18:00.000-07:00</t>
  </si>
  <si>
    <t>2019-07-31T15:28:00.000-07:00</t>
  </si>
  <si>
    <t>6613f698-6618-4e08-8dac-a8d897915007</t>
  </si>
  <si>
    <t>2019-08-01T07:17:38</t>
  </si>
  <si>
    <t>2019-08-02T13:48:49.000-07:00</t>
  </si>
  <si>
    <t>2019-08-02T13:51:11.000-07:00</t>
  </si>
  <si>
    <t>724c597f-1be3-41ef-8022-06aba7a20fa7</t>
  </si>
  <si>
    <t>2019-07-30T15:30:00.000-07:00</t>
  </si>
  <si>
    <t>2019-12-23T05:25:25</t>
  </si>
  <si>
    <t>c097d2b2-3c72-4be1-b619-45ae9c8b0565</t>
  </si>
  <si>
    <t>2019-08-02T08:21:41</t>
  </si>
  <si>
    <t>2019-12-23T10:59:23.000-07:00</t>
  </si>
  <si>
    <t>f4465432-bf00-41aa-bc44-16b82cb23c70</t>
  </si>
  <si>
    <t>2020-02-18T06:59:44</t>
  </si>
  <si>
    <t>2019-08-02T13:54:45.000-07:00</t>
  </si>
  <si>
    <t>2020-02-18T12:33:43.000+06:30</t>
  </si>
  <si>
    <t>2020-02-18T12:35:20.000+06:30</t>
  </si>
  <si>
    <t>2019-08-01T15:10:00.000-07:00</t>
  </si>
  <si>
    <t>6f9af84e-a824-48ad-ba5c-6fcff597219e</t>
  </si>
  <si>
    <t>2019-08-02T08:25:15</t>
  </si>
  <si>
    <t>2019-08-02T13:58:22.000-07:00</t>
  </si>
  <si>
    <t>2019-07-31T16:05:00.000-07:00</t>
  </si>
  <si>
    <t>d954b54c-b187-4d1e-88ee-0011b28ebe90</t>
  </si>
  <si>
    <t>2019-08-01T16:05:00.000-07:00</t>
  </si>
  <si>
    <t>2019-08-01T17:14:00.000-07:00</t>
  </si>
  <si>
    <t>2019-12-23T05:26:14</t>
  </si>
  <si>
    <t>WITH PL1016FL</t>
  </si>
  <si>
    <t>28dbd359-dc54-42c8-94bc-2b82c08d09e5</t>
  </si>
  <si>
    <t>2019-08-02T08:28:52</t>
  </si>
  <si>
    <t>2019-12-23T11:00:03.000-07:00</t>
  </si>
  <si>
    <t>2019-08-02T14:00:44.000-07:00</t>
  </si>
  <si>
    <t>20a66660-32a2-4c97-93c6-fbecb4439d9a</t>
  </si>
  <si>
    <t>2019-08-02T08:31:15</t>
  </si>
  <si>
    <t>2019-08-05T11:19:06.000-07:00</t>
  </si>
  <si>
    <t>6123308f-ff1e-405e-b3b2-431e71b79215</t>
  </si>
  <si>
    <t>2019-08-05T11:27:10.000-07:00</t>
  </si>
  <si>
    <t>2020-02-18T07:01:23</t>
  </si>
  <si>
    <t>2020-02-18T12:35:22.000+06:30</t>
  </si>
  <si>
    <t>2019-08-01T14:53:00.000-07:00</t>
  </si>
  <si>
    <t>2020-02-18T12:37:03.000+06:30</t>
  </si>
  <si>
    <t>2019-08-02T15:20:00.000-07:00</t>
  </si>
  <si>
    <t>2019-08-02T16:55:00.000-07:00</t>
  </si>
  <si>
    <t>1029a380-f54d-4a3d-b70a-a36bf4a62971</t>
  </si>
  <si>
    <t>2019-12-23T05:26:54</t>
  </si>
  <si>
    <t>66df739c-66c3-431b-a791-b0ff09b9175c</t>
  </si>
  <si>
    <t>2019-08-05T05:57:40</t>
  </si>
  <si>
    <t>2019-12-23T11:00:52.000-07:00</t>
  </si>
  <si>
    <t>2019-08-05T11:29:43.000-07:00</t>
  </si>
  <si>
    <t>2019-08-02T16:42:00.000-07:00</t>
  </si>
  <si>
    <t>e1d998ec-439b-4662-a750-2ba644df5fe2</t>
  </si>
  <si>
    <t>2019-08-05T06:00:12</t>
  </si>
  <si>
    <t>2019-08-05T11:31:37.000-07:00</t>
  </si>
  <si>
    <t>2019-08-02T16:50:00.000-07:00</t>
  </si>
  <si>
    <t>6abcdf9e-5c11-405b-b485-ab3c94b09611</t>
  </si>
  <si>
    <t>2019-12-23T05:27:44</t>
  </si>
  <si>
    <t>e1478019-cd7b-4bd8-9961-8a83e78c814b</t>
  </si>
  <si>
    <t>2019-08-05T06:02:06</t>
  </si>
  <si>
    <t>2019-12-23T11:01:45.000-07:00</t>
  </si>
  <si>
    <t>307e3c08-6949-4dc2-aa07-de5979adb4dc</t>
  </si>
  <si>
    <t>2020-02-18T07:03:07</t>
  </si>
  <si>
    <t>2019-08-05T11:33:38.000-07:00</t>
  </si>
  <si>
    <t>2020-02-24T11:54:31.000+06:30</t>
  </si>
  <si>
    <t>2020-02-24T11:56:09.000+06:30</t>
  </si>
  <si>
    <t>fc808b8a-0039-4ce6-a809-ba1e3179cee0</t>
  </si>
  <si>
    <t>2020-02-19T11:00:00.000+06:30</t>
  </si>
  <si>
    <t>2019-08-05T06:04:08</t>
  </si>
  <si>
    <t>2019-08-05T11:36:45.000-07:00</t>
  </si>
  <si>
    <t>2019-08-01T14:05:00.000-07:00</t>
  </si>
  <si>
    <t>2019-08-01T14:15:00.000-07:00</t>
  </si>
  <si>
    <t>2019-08-02T14:15:00.000-07:00</t>
  </si>
  <si>
    <t>2019-08-02T14:17:00.000-07:00</t>
  </si>
  <si>
    <t>a3ffe65c-70d5-4ad0-9156-59d8dc4cfdc0</t>
  </si>
  <si>
    <t>53b70d0d-d347-4959-a37f-c31d26c5bd5d</t>
  </si>
  <si>
    <t>2019-12-23T05:28:36</t>
  </si>
  <si>
    <t>2019-08-05T06:07:15</t>
  </si>
  <si>
    <t>2019-08-05T11:51:03.000-07:00</t>
  </si>
  <si>
    <t>2019-12-23T11:02:27.000-07:00</t>
  </si>
  <si>
    <t>2019-08-01T14:20:00.000-07:00</t>
  </si>
  <si>
    <t>2019-08-01T14:35:00.000-07:00</t>
  </si>
  <si>
    <t>2019-08-02T14:35:00.000-07:00</t>
  </si>
  <si>
    <t>2019-08-02T14:42:00.000-07:00</t>
  </si>
  <si>
    <t>LITTLE TURBID</t>
  </si>
  <si>
    <t>72c2a390-40e1-4dba-956e-dddfa81995da</t>
  </si>
  <si>
    <t>68ff3db9-0de3-4edb-897a-569e204a92d9</t>
  </si>
  <si>
    <t>2019-08-05T06:21:33</t>
  </si>
  <si>
    <t>2020-02-24T06:22:06</t>
  </si>
  <si>
    <t>2019-08-08T13:02:39.000-07:00</t>
  </si>
  <si>
    <t>2020-02-24T11:57:11.000+06:30</t>
  </si>
  <si>
    <t>2019-08-08T13:09:23.000-07:00</t>
  </si>
  <si>
    <t>2019-08-05T16:30:00.000-07:00</t>
  </si>
  <si>
    <t>2019-08-06T16:30:00.000-07:00</t>
  </si>
  <si>
    <t>2019-08-06T17:50:00.000-07:00</t>
  </si>
  <si>
    <t>5de5d16f-eef6-40d3-8042-8915fc2ec40b</t>
  </si>
  <si>
    <t>2019-12-23T05:29:19</t>
  </si>
  <si>
    <t>1d785947-fcb4-4b22-a1b8-a2c0bd70cb69</t>
  </si>
  <si>
    <t>2019-08-08T07:39:53</t>
  </si>
  <si>
    <t>2019-08-08T13:11:41.000-07:00</t>
  </si>
  <si>
    <t>2019-08-05T15:20:00.000-07:00</t>
  </si>
  <si>
    <t>2019-08-06T15:20:00.000-07:00</t>
  </si>
  <si>
    <t>2019-08-06T15:35:00.000-07:00</t>
  </si>
  <si>
    <t>2019-12-23T11:03:41.000-07:00</t>
  </si>
  <si>
    <t>OBSERVATION -NO TURBID</t>
  </si>
  <si>
    <t>285b60e6-fd3c-4e6b-8122-61a478d09370</t>
  </si>
  <si>
    <t>2019-08-08T07:42:11</t>
  </si>
  <si>
    <t>2019-08-08T13:17:38.000-07:00</t>
  </si>
  <si>
    <t>868ff929-658b-4845-abf3-2230cff6fe8d</t>
  </si>
  <si>
    <t>2020-02-24T06:23:07</t>
  </si>
  <si>
    <t>2019-08-06T15:30:00.000-07:00</t>
  </si>
  <si>
    <t>OBESVATION - SLIGHTLY TURBID</t>
  </si>
  <si>
    <t>2020-02-24T12:06:12.000+06:30</t>
  </si>
  <si>
    <t>36f58886-3fc9-4748-b15f-e03439e7f764</t>
  </si>
  <si>
    <t>2019-08-08T07:48:03</t>
  </si>
  <si>
    <t>2020-02-17T14:30:00.000+06:30</t>
  </si>
  <si>
    <t>1a581472-19e1-4f9a-8e9e-de70091b07bd</t>
  </si>
  <si>
    <t>2019-12-23T05:30:32</t>
  </si>
  <si>
    <t>2019-08-08T13:19:54.000-07:00</t>
  </si>
  <si>
    <t>2019-08-05T15:10:00.000-07:00</t>
  </si>
  <si>
    <t>2019-12-23T11:04:31.000-07:00</t>
  </si>
  <si>
    <t>2361515e-641e-4e4d-a4eb-58c5cdaf3cd4</t>
  </si>
  <si>
    <t>2019-08-08T07:50:24</t>
  </si>
  <si>
    <t>2019-08-08T13:21:52.000-07:00</t>
  </si>
  <si>
    <t>2019-08-07T16:30:00.000-07:00</t>
  </si>
  <si>
    <t>2019-08-07T17:58:00.000-07:00</t>
  </si>
  <si>
    <t>7971376b-1455-4c6e-9cf2-2a096c2afacc</t>
  </si>
  <si>
    <t>2019-08-08T07:52:22</t>
  </si>
  <si>
    <t>b224ac93-0cad-475d-920c-aa4f9e893aa8</t>
  </si>
  <si>
    <t>2019-08-08T13:23:24.000-07:00</t>
  </si>
  <si>
    <t>WG5 1:10^4 - 0 vol. 1ml.; WG5 Undiluted 1ml is clear with some plaque.</t>
  </si>
  <si>
    <t>2019-12-23T05:31:22</t>
  </si>
  <si>
    <t>507a0591-605b-4150-bd9c-6d2ca4102c76</t>
  </si>
  <si>
    <t>2020-02-24T06:32:12</t>
  </si>
  <si>
    <t>2019-08-07T17:56:00.000-07:00</t>
  </si>
  <si>
    <t>2020-02-24T12:06:13.000+06:30</t>
  </si>
  <si>
    <t>2019-12-23T11:05:12.000-07:00</t>
  </si>
  <si>
    <t>2020-02-24T12:07:51.000+06:30</t>
  </si>
  <si>
    <t>c13a78e0-c44f-4f87-b7c1-b94c93a4560c</t>
  </si>
  <si>
    <t>2019-08-08T07:53:53</t>
  </si>
  <si>
    <t>2019-08-08T13:25:09.000-07:00</t>
  </si>
  <si>
    <t>2019-08-07T17:50:00.000-07:00</t>
  </si>
  <si>
    <t>7fecacfa-2a3c-4eb0-b6c0-1bbd2435ba90</t>
  </si>
  <si>
    <t>2019-08-08T07:55:39</t>
  </si>
  <si>
    <t>2019-08-08T13:26:54.000-07:00</t>
  </si>
  <si>
    <t>0d6c1593-558d-45a8-bfce-4a0eaf651afb</t>
  </si>
  <si>
    <t>2019-12-23T05:32:04</t>
  </si>
  <si>
    <t>2019-12-23T11:05:13.000-07:00</t>
  </si>
  <si>
    <t>2019-08-07T17:57:00.000-07:00</t>
  </si>
  <si>
    <t>2019-12-23T11:05:56.000-07:00</t>
  </si>
  <si>
    <t>8992e68a-309d-43a7-a2a6-54243776706e</t>
  </si>
  <si>
    <t>2019-08-08T07:57:25</t>
  </si>
  <si>
    <t>2019-08-08T13:26:55.000-07:00</t>
  </si>
  <si>
    <t>2019-08-08T13:29:19.000-07:00</t>
  </si>
  <si>
    <t>b5204925-1e92-4189-b43f-4a87d627a1c3</t>
  </si>
  <si>
    <t>2020-02-24T06:33:49</t>
  </si>
  <si>
    <t>2020-02-24T12:07:52.000+06:30</t>
  </si>
  <si>
    <t>2019-08-06T15:42:00.000-07:00</t>
  </si>
  <si>
    <t>2019-08-07T15:42:00.000-07:00</t>
  </si>
  <si>
    <t>2020-02-24T12:09:21.000+06:30</t>
  </si>
  <si>
    <t>2019-08-07T15:50:00.000-07:00</t>
  </si>
  <si>
    <t>OBSERVATION- NO TURBID</t>
  </si>
  <si>
    <t>63e4c82b-81e1-41bd-8972-cd0723c6b88f</t>
  </si>
  <si>
    <t>2019-08-08T07:59:49</t>
  </si>
  <si>
    <t>2d98c60f-eb6f-455f-a73a-8b7b7e6662e5</t>
  </si>
  <si>
    <t>2019-08-08T13:31:24.000-07:00</t>
  </si>
  <si>
    <t>2019-12-23T05:32:47</t>
  </si>
  <si>
    <t>2019-12-23T11:05:57.000-07:00</t>
  </si>
  <si>
    <t>2019-08-06T15:24:00.000-07:00</t>
  </si>
  <si>
    <t>2019-08-07T15:48:00.000-07:00</t>
  </si>
  <si>
    <t>OBSERVATION-NO TURBID</t>
  </si>
  <si>
    <t>2019-12-23T11:06:48.000-07:00</t>
  </si>
  <si>
    <t>bf36bb0a-c453-4466-949a-45087a9e398b</t>
  </si>
  <si>
    <t>2019-08-08T08:01:53</t>
  </si>
  <si>
    <t>2019-08-08T13:33:00.000-07:00</t>
  </si>
  <si>
    <t>2019-08-07T15:20:00.000-07:00</t>
  </si>
  <si>
    <t>0eb86b16-f52c-409d-8448-ee0c9bc1aaff</t>
  </si>
  <si>
    <t>2019-08-08T08:03:30</t>
  </si>
  <si>
    <t>2019-08-13T01:08:43.000+06:30</t>
  </si>
  <si>
    <t>2019-08-13T01:13:18.000+06:30</t>
  </si>
  <si>
    <t>1a8ee58e-07f2-4aa7-8236-3eac1d12f20a</t>
  </si>
  <si>
    <t>15e3b63a-db61-4548-9abf-71e6f51f3ac9</t>
  </si>
  <si>
    <t>2019-08-07T16:50:00.000+06:30</t>
  </si>
  <si>
    <t>2020-02-24T06:35:17</t>
  </si>
  <si>
    <t>2019-12-23T05:33:39</t>
  </si>
  <si>
    <t>2019-08-08T16:50:00.000+06:30</t>
  </si>
  <si>
    <t>2019-08-08T18:10:00.000+06:30</t>
  </si>
  <si>
    <t>2020-02-24T12:09:22.000+06:30</t>
  </si>
  <si>
    <t>WITH PL1018FL</t>
  </si>
  <si>
    <t>5101e7db-5bb9-4659-b09b-6752caa7d064</t>
  </si>
  <si>
    <t>2019-08-13T07:41:18</t>
  </si>
  <si>
    <t>2020-02-24T12:10:52.000+06:30</t>
  </si>
  <si>
    <t>2019-12-23T11:07:39.000-07:00</t>
  </si>
  <si>
    <t>2019-08-13T01:15:25.000+06:30</t>
  </si>
  <si>
    <t>2019-08-08T16:35:00.000+06:30</t>
  </si>
  <si>
    <t>29b2b909-9a63-4393-9a6e-4458184314a0</t>
  </si>
  <si>
    <t>2019-08-13T07:43:25</t>
  </si>
  <si>
    <t>2019-08-13T01:19:04.000+06:30</t>
  </si>
  <si>
    <t>d5f716ed-de46-4dcf-b326-ff70fd9e11b9</t>
  </si>
  <si>
    <t>2019-12-23T05:34:30</t>
  </si>
  <si>
    <t>2019-08-08T16:10:00.000+06:30</t>
  </si>
  <si>
    <t>2019-08-08T16:15:00.000+06:30</t>
  </si>
  <si>
    <t>OBSERVATION- SLIGHTLY TURBID</t>
  </si>
  <si>
    <t>2019-12-23T11:08:22.000-07:00</t>
  </si>
  <si>
    <t>0ca97833-4c7d-4877-ba2f-b97096bd003f</t>
  </si>
  <si>
    <t>2019-08-13T07:47:04</t>
  </si>
  <si>
    <t>2019-08-13T01:21:48.000+06:30</t>
  </si>
  <si>
    <t>2019-08-08T16:18:00.000+06:30</t>
  </si>
  <si>
    <t>2019-08-08T16:25:00.000+06:30</t>
  </si>
  <si>
    <t>c8f67368-18f6-4d55-ab51-0835a1f7a0f1</t>
  </si>
  <si>
    <t>2020-02-24T06:36:49</t>
  </si>
  <si>
    <t>OBSERVATION-TURBID</t>
  </si>
  <si>
    <t>2020-02-24T12:10:53.000+06:30</t>
  </si>
  <si>
    <t>28b3d843-2b7d-488f-8273-94d398487991</t>
  </si>
  <si>
    <t>2019-08-13T07:49:48</t>
  </si>
  <si>
    <t>2020-02-24T12:12:30.000+06:30</t>
  </si>
  <si>
    <t>2019-08-13T01:24:55.000+06:30</t>
  </si>
  <si>
    <t>26d1c336-6ebb-4a84-8935-e08c8e0cef48</t>
  </si>
  <si>
    <t>2019-12-23T05:35:13</t>
  </si>
  <si>
    <t>2019-08-08T13:30:00.000+06:30</t>
  </si>
  <si>
    <t>2019-08-08T14:00:00.000+06:30</t>
  </si>
  <si>
    <t>2019-08-09T14:00:00.000+06:30</t>
  </si>
  <si>
    <t>2019-08-09T15:20:00.000+06:30</t>
  </si>
  <si>
    <t>2019-12-23T11:09:05.000-07:00</t>
  </si>
  <si>
    <t>8652148a-c80b-479d-a373-4f6e8d3500a5</t>
  </si>
  <si>
    <t>2019-08-13T07:52:56</t>
  </si>
  <si>
    <t>2019-08-13T01:24:56.000+06:30</t>
  </si>
  <si>
    <t>2019-08-13T01:26:32.000+06:30</t>
  </si>
  <si>
    <t>2019-08-09T15:45:00.000+06:30</t>
  </si>
  <si>
    <t>c3e1864e-7a09-485a-b349-9c0cccdd1240</t>
  </si>
  <si>
    <t>2019-08-13T07:54:32</t>
  </si>
  <si>
    <t>2019-08-13T01:28:16.000+06:30</t>
  </si>
  <si>
    <t>2019-08-08T16:00:00.000+06:30</t>
  </si>
  <si>
    <t>2019-08-09T16:25:00.000+06:30</t>
  </si>
  <si>
    <t>2019-08-09T17:40:00.000+06:30</t>
  </si>
  <si>
    <t>0f6440f1-1e9a-49ce-93ca-e438fa21c293</t>
  </si>
  <si>
    <t>b4a0a80c-c894-4b2c-8074-8329c07d7240</t>
  </si>
  <si>
    <t>2019-08-13T07:56:16</t>
  </si>
  <si>
    <t>2019-12-23T05:35:54</t>
  </si>
  <si>
    <t>d06dc367-faab-44d8-93f5-134dc0b48fb4</t>
  </si>
  <si>
    <t>2020-02-24T06:38:28</t>
  </si>
  <si>
    <t>2020-02-24T12:12:31.000+06:30</t>
  </si>
  <si>
    <t>2019-08-13T01:29:52.000+06:30</t>
  </si>
  <si>
    <t>2020-02-24T12:14:09.000+06:30</t>
  </si>
  <si>
    <t>2019-12-23T11:10:29.000-07:00</t>
  </si>
  <si>
    <t>2019-08-09T17:48:00.000+06:30</t>
  </si>
  <si>
    <t>959b04cc-d0b0-466b-ac3f-be6da72e1529</t>
  </si>
  <si>
    <t>2019-08-13T07:57:52</t>
  </si>
  <si>
    <t>2019-08-13T01:31:56.000+06:30</t>
  </si>
  <si>
    <t>2019-08-08T15:00:00.000+06:30</t>
  </si>
  <si>
    <t>2019-08-08T15:30:00.000+06:30</t>
  </si>
  <si>
    <t>2019-08-09T15:30:00.000+06:30</t>
  </si>
  <si>
    <t>2019-08-09T15:40:00.000+06:30</t>
  </si>
  <si>
    <t>cdf75c41-3dbd-40da-9f2f-92d6ec937ba9</t>
  </si>
  <si>
    <t>2019-08-13T07:59:56</t>
  </si>
  <si>
    <t>4029f7be-9b98-46f3-b5b6-e1a8531a4793</t>
  </si>
  <si>
    <t>2019-12-23T05:37:22</t>
  </si>
  <si>
    <t>2019-08-13T01:33:55.000+06:30</t>
  </si>
  <si>
    <t>2019-08-08T14:50:00.000+06:30</t>
  </si>
  <si>
    <t>2019-08-08T15:15:00.000+06:30</t>
  </si>
  <si>
    <t>2019-12-23T11:11:14.000-07:00</t>
  </si>
  <si>
    <t>2019-08-09T15:15:00.000+06:30</t>
  </si>
  <si>
    <t>2019-08-09T15:32:00.000+06:30</t>
  </si>
  <si>
    <t>7261d6f0-3b9d-4002-8c20-0defc8aa0519</t>
  </si>
  <si>
    <t>2019-08-13T08:01:55</t>
  </si>
  <si>
    <t>2019-08-13T01:37:29.000+06:30</t>
  </si>
  <si>
    <t>2019-08-09T14:30:00.000+06:30</t>
  </si>
  <si>
    <t>2019-08-10T14:30:00.000+06:30</t>
  </si>
  <si>
    <t>2019-08-10T14:50:00.000+06:30</t>
  </si>
  <si>
    <t>e259003e-3344-4030-ad09-619a682d73b3</t>
  </si>
  <si>
    <t>2019-08-13T08:05:29</t>
  </si>
  <si>
    <t>34b97a0d-fc6f-479b-b6c6-8b687a533b06</t>
  </si>
  <si>
    <t>2019-08-15T21:54:34.000+06:30</t>
  </si>
  <si>
    <t>0cc18ff8-ac2a-4ac5-98cc-5dc8fa4b8625</t>
  </si>
  <si>
    <t>2019-12-23T05:38:05</t>
  </si>
  <si>
    <t>2020-02-24T06:40:06</t>
  </si>
  <si>
    <t>2019-08-15T22:04:37.000+06:30</t>
  </si>
  <si>
    <t>2019-12-23T11:11:15.000-07:00</t>
  </si>
  <si>
    <t>2020-02-24T12:14:10.000+06:30</t>
  </si>
  <si>
    <t>2019-05-14T15:25:00.000+06:30</t>
  </si>
  <si>
    <t>2019-12-23T11:12:09.000-07:00</t>
  </si>
  <si>
    <t>2020-02-24T12:15:43.000+06:30</t>
  </si>
  <si>
    <t>2019-05-15T16:30:00.000+06:30</t>
  </si>
  <si>
    <t>27cc116c-1a8e-44ca-b573-ba34a8af2a2b</t>
  </si>
  <si>
    <t>2019-08-16T04:32:35</t>
  </si>
  <si>
    <t>2019-08-15T22:12:53.000+06:30</t>
  </si>
  <si>
    <t>2019-05-21T15:00:00.000+06:30</t>
  </si>
  <si>
    <t>2019-05-21T16:00:00.000+06:30</t>
  </si>
  <si>
    <t>2019-05-22T16:30:00.000+06:30</t>
  </si>
  <si>
    <t>Associated sample PLc1136</t>
  </si>
  <si>
    <t>16ad55ec-e293-43b6-b342-34e4779c74d7</t>
  </si>
  <si>
    <t>2019-12-23T05:39:00</t>
  </si>
  <si>
    <t>800296de-d810-4f8c-921f-e178a9a86851</t>
  </si>
  <si>
    <t>2019-08-16T04:40:51</t>
  </si>
  <si>
    <t>2019-08-15T22:15:26.000+06:30</t>
  </si>
  <si>
    <t>2019-12-23T11:12:57.000-07:00</t>
  </si>
  <si>
    <t>2019-05-22T16:40:00.000+06:30</t>
  </si>
  <si>
    <t>e8cc68db-24f6-4af7-b314-07c106ddb5fd</t>
  </si>
  <si>
    <t>2019-08-16T04:43:23</t>
  </si>
  <si>
    <t>2019-08-15T22:25:35.000+06:30</t>
  </si>
  <si>
    <t>2019-08-15T22:28:44.000+06:30</t>
  </si>
  <si>
    <t>2019-05-29T12:00:00.000+06:30</t>
  </si>
  <si>
    <t>2019-05-29T12:40:00.000+06:30</t>
  </si>
  <si>
    <t>2019-05-30T12:40:00.000+06:30</t>
  </si>
  <si>
    <t>2019-05-30T13:20:00.000+06:30</t>
  </si>
  <si>
    <t>067f786b-1bce-4d1f-b54a-4eabc5e3d1ce</t>
  </si>
  <si>
    <t>2019-12-23T05:39:49</t>
  </si>
  <si>
    <t>a0894b4d-13dd-448d-bfc0-6c2fbee9c8fb</t>
  </si>
  <si>
    <t>2019-08-16T04:56:41</t>
  </si>
  <si>
    <t>98b0b76e-e7cf-4c71-b3f0-4c4a0242729a</t>
  </si>
  <si>
    <t>2020-02-24T06:41:40</t>
  </si>
  <si>
    <t>2019-08-15T22:35:42.000+06:30</t>
  </si>
  <si>
    <t>2019-12-23T11:13:40.000-07:00</t>
  </si>
  <si>
    <t>2020-02-24T12:17:11.000+06:30</t>
  </si>
  <si>
    <t>2019-06-04T15:30:00.000+06:30</t>
  </si>
  <si>
    <t>2019-06-04T16:10:00.000+06:30</t>
  </si>
  <si>
    <t>2019-06-05T16:10:00.000+06:30</t>
  </si>
  <si>
    <t>2019-06-05T16:30:00.000+06:30</t>
  </si>
  <si>
    <t>cfd6ead0-2947-4575-b07e-8378c49fea8c</t>
  </si>
  <si>
    <t>2019-08-16T05:03:39</t>
  </si>
  <si>
    <t>2019-08-21T22:42:16.000+06:30</t>
  </si>
  <si>
    <t>2019-08-21T22:49:05.000+06:30</t>
  </si>
  <si>
    <t>2019-08-20T16:15:00.000+06:30</t>
  </si>
  <si>
    <t>2019-08-21T16:15:00.000+06:30</t>
  </si>
  <si>
    <t>2019-08-21T17:58:00.000+06:30</t>
  </si>
  <si>
    <t>b0ac27bc-9b90-45b3-84b5-d3f1c465d5f6</t>
  </si>
  <si>
    <t>PL1019FL NOT PROCESSED</t>
  </si>
  <si>
    <t>2019-12-23T05:40:30</t>
  </si>
  <si>
    <t>c6daae4c-0cc0-4443-9018-2759bffcef57</t>
  </si>
  <si>
    <t>2019-08-22T05:16:58</t>
  </si>
  <si>
    <t>2019-08-21T23:33:22.000+06:30</t>
  </si>
  <si>
    <t>2019-08-21T23:35:16.000+06:30</t>
  </si>
  <si>
    <t>2019-12-23T11:14:30.000-07:00</t>
  </si>
  <si>
    <t>2019-08-20T14:40:00.000+06:30</t>
  </si>
  <si>
    <t>2019-08-21T15:00:00.000+06:30</t>
  </si>
  <si>
    <t>811ace08-ddc3-4bd3-b0d9-15c6eed4962d</t>
  </si>
  <si>
    <t>2019-08-22T06:03:08</t>
  </si>
  <si>
    <t>2019-08-21T23:38:27.000+06:30</t>
  </si>
  <si>
    <t>ef177565-0377-46ec-aa8b-40700ddea148</t>
  </si>
  <si>
    <t>2020-02-24T06:43:08</t>
  </si>
  <si>
    <t>d77f744c-842e-41d3-85db-5fbed009dbd9</t>
  </si>
  <si>
    <t>2020-02-24T12:17:12.000+06:30</t>
  </si>
  <si>
    <t>2019-12-23T05:41:22</t>
  </si>
  <si>
    <t>0ee0fd35-951a-4809-ba0d-bd8b1d28ab4a</t>
  </si>
  <si>
    <t>2019-08-22T06:06:19</t>
  </si>
  <si>
    <t>2020-02-24T12:17:59.000+06:30</t>
  </si>
  <si>
    <t>2019-08-21T23:41:28.000+06:30</t>
  </si>
  <si>
    <t>2019-12-23T11:15:52.000-07:00</t>
  </si>
  <si>
    <t>2019-08-20T14:50:00.000+06:30</t>
  </si>
  <si>
    <t>2019-08-21T14:50:00.000+06:30</t>
  </si>
  <si>
    <t>2019-08-21T15:05:00.000+06:30</t>
  </si>
  <si>
    <t>cfc54ae1-3c32-44d7-b609-d654b50bf5d5</t>
  </si>
  <si>
    <t>2019-08-22T06:09:21</t>
  </si>
  <si>
    <t>2019-08-25T22:17:09.000+06:30</t>
  </si>
  <si>
    <t>2019-08-25T22:23:04.000+06:30</t>
  </si>
  <si>
    <t>2019-08-21T14:30:00.000+06:30</t>
  </si>
  <si>
    <t>2019-08-22T15:00:00.000+06:30</t>
  </si>
  <si>
    <t>2019-08-22T15:40:00.000+06:30</t>
  </si>
  <si>
    <t>DHAPADHIPI RAJARGHAT NATUNPARA , OBSERVATION-NO TURBID</t>
  </si>
  <si>
    <t>087d144c-8290-41a7-9401-85e0ca7f484c</t>
  </si>
  <si>
    <t>395c724d-1ccf-406f-adf3-5c00b603f242</t>
  </si>
  <si>
    <t>2019-12-23T05:42:44</t>
  </si>
  <si>
    <t>2019-08-26T04:50:53</t>
  </si>
  <si>
    <t>2019-08-25T22:26:42.000+06:30</t>
  </si>
  <si>
    <t>2019-12-23T11:16:40.000-07:00</t>
  </si>
  <si>
    <t>DHAPADHIPI, RAJARGHAT NATUN PARA, OBSERVATION -NO TURBID</t>
  </si>
  <si>
    <t>000f4cd0-1d9f-4a1b-8c84-e8c7483ac7ff</t>
  </si>
  <si>
    <t>2019-08-26T04:54:32</t>
  </si>
  <si>
    <t>2019-08-25T22:30:28.000+06:30</t>
  </si>
  <si>
    <t>2019-08-22T16:00:00.000+06:30</t>
  </si>
  <si>
    <t>2019-08-23T17:05:00.000+06:30</t>
  </si>
  <si>
    <t>2019-08-23T17:15:00.000+06:30</t>
  </si>
  <si>
    <t>DHAPADHIPI RAJAR GHAT NATUN PARA, OBSERVATION-NO TURBID</t>
  </si>
  <si>
    <t>4205a1f0-5ca7-469b-b4d3-5d081f668c57</t>
  </si>
  <si>
    <t>2020-02-24T06:43:56</t>
  </si>
  <si>
    <t>7b223160-940e-48e9-82be-33d1df2ca24a</t>
  </si>
  <si>
    <t>5c2dcb29-29bd-4e34-8855-b88119d419e8</t>
  </si>
  <si>
    <t>2019-08-26T04:58:17</t>
  </si>
  <si>
    <t>2019-12-23T05:43:31</t>
  </si>
  <si>
    <t>2020-02-24T12:18:00.000+06:30</t>
  </si>
  <si>
    <t>2019-08-25T22:33:06.000+06:30</t>
  </si>
  <si>
    <t>2020-02-24T12:19:14.000+06:30</t>
  </si>
  <si>
    <t>2019-12-23T11:17:32.000-07:00</t>
  </si>
  <si>
    <t>DHAPADHIPI, RAJAEGHAT NATUNPARA, OBSRVATION-NO TURBID</t>
  </si>
  <si>
    <t>794d1d4d-0493-4d40-8e0e-b04b07b7bf40</t>
  </si>
  <si>
    <t>2019-08-26T05:00:55</t>
  </si>
  <si>
    <t>2019-09-12T23:51:18.000+06:30</t>
  </si>
  <si>
    <t>2019-09-12T23:54:09.000+06:30</t>
  </si>
  <si>
    <t>7</t>
  </si>
  <si>
    <t>ea829d68-0a4b-4658-9580-ea16cf511db7</t>
  </si>
  <si>
    <t>4e70811c-684a-4726-a3ae-8cc62bd3a2c6</t>
  </si>
  <si>
    <t>2019-09-13T06:21:46</t>
  </si>
  <si>
    <t>2019-12-23T05:44:23</t>
  </si>
  <si>
    <t>2019-09-14T12:35:24.000-07:00</t>
  </si>
  <si>
    <t>2019-09-14T12:42:27.000-07:00</t>
  </si>
  <si>
    <t>2019-12-23T11:18:17.000-07:00</t>
  </si>
  <si>
    <t>2019-08-27T15:15:00.000-07:00</t>
  </si>
  <si>
    <t>2019-08-27T16:45:00.000-07:00</t>
  </si>
  <si>
    <t>2019-08-28T16:45:00.000-07:00</t>
  </si>
  <si>
    <t>2019-09-28T18:00:00.000-07:00</t>
  </si>
  <si>
    <t>9559e763-49ca-4dd0-bc6a-b38f3ba38dfe</t>
  </si>
  <si>
    <t>2019-09-14T07:12:59</t>
  </si>
  <si>
    <t>2019-09-14T12:50:40.000-07:00</t>
  </si>
  <si>
    <t>2019-09-14T12:53:24.000-07:00</t>
  </si>
  <si>
    <t>2019-08-27T17:15:00.000-07:00</t>
  </si>
  <si>
    <t>2019-08-27T17:40:00.000-07:00</t>
  </si>
  <si>
    <t>2019-08-28T17:40:00.000-07:00</t>
  </si>
  <si>
    <t>2019-08-28T12:05:00.000-07:00</t>
  </si>
  <si>
    <t>29e3c614-fc6b-4680-b6ac-a0607895dd69</t>
  </si>
  <si>
    <t>2020-02-24T06:45:10</t>
  </si>
  <si>
    <t>6a3eea85-220b-4c10-886a-749bd34fc468</t>
  </si>
  <si>
    <t>2019-12-23T05:45:09</t>
  </si>
  <si>
    <t>6537a9a4-9abd-4992-897d-7c9b1c9ec8ee</t>
  </si>
  <si>
    <t>2019-09-14T07:23:55</t>
  </si>
  <si>
    <t>2019-12-23T11:18:18.000-07:00</t>
  </si>
  <si>
    <t>2020-02-24T12:23:56.000+06:30</t>
  </si>
  <si>
    <t>2019-09-14T12:55:08.000-07:00</t>
  </si>
  <si>
    <t>2019-12-23T11:19:01.000-07:00</t>
  </si>
  <si>
    <t>SF011</t>
  </si>
  <si>
    <t>2019-08-29T17:15:00.000-07:00</t>
  </si>
  <si>
    <t>2019-08-29T17:30:00.000-07:00</t>
  </si>
  <si>
    <t>2019-08-30T17:30:00.000-07:00</t>
  </si>
  <si>
    <t>2019-08-30T13:30:00.000-07:00</t>
  </si>
  <si>
    <t>3e1396da-7355-4729-9cfa-dedfdc3ddc53</t>
  </si>
  <si>
    <t>2019-09-14T07:25:39</t>
  </si>
  <si>
    <t>2020-02-19T14:30:00.000+06:30</t>
  </si>
  <si>
    <t>2020-02-19T15:30:00.000+06:30</t>
  </si>
  <si>
    <t>2020-02-20T11:00:00.000+06:30</t>
  </si>
  <si>
    <t>2019-09-14T12:58:20.000-07:00</t>
  </si>
  <si>
    <t>2019-08-29T17:00:00.000-07:00</t>
  </si>
  <si>
    <t>2019-08-30T17:15:00.000-07:00</t>
  </si>
  <si>
    <t>2019-08-30T11:15:00.000-07:00</t>
  </si>
  <si>
    <t>5d1d2d4f-94c6-49ef-9c82-89f3b4504d29</t>
  </si>
  <si>
    <t>NOT TURBID</t>
  </si>
  <si>
    <t>2019-12-23T05:45:51</t>
  </si>
  <si>
    <t>4fe11445-56f4-4a5c-9a61-6c9e7974528e</t>
  </si>
  <si>
    <t>2019-09-14T07:28:51</t>
  </si>
  <si>
    <t>2019-09-14T13:09:15.000-07:00</t>
  </si>
  <si>
    <t>2019-12-23T11:19:53.000-07:00</t>
  </si>
  <si>
    <t>2019-08-29T17:10:00.000-07:00</t>
  </si>
  <si>
    <t>2019-08-30T18:00:00.000-07:00</t>
  </si>
  <si>
    <t>SF1012A IS ALU+PURI</t>
  </si>
  <si>
    <t>7a9343db-1fa3-4e3d-950b-7cc17638200a</t>
  </si>
  <si>
    <t>2019-09-14T07:39:47</t>
  </si>
  <si>
    <t>2019-09-14T13:09:16.000-07:00</t>
  </si>
  <si>
    <t>2019-09-14T13:10:32.000-07:00</t>
  </si>
  <si>
    <t>2019-08-29T17:05:00.000-07:00</t>
  </si>
  <si>
    <t>SF1012B PANI</t>
  </si>
  <si>
    <t>32be08e5-ad5c-4bc7-9196-c5e325bfe308</t>
  </si>
  <si>
    <t>be70b236-90eb-4757-93d9-2f35648994d2</t>
  </si>
  <si>
    <t>2019-09-14T07:41:03</t>
  </si>
  <si>
    <t>2019-12-23T05:46:44</t>
  </si>
  <si>
    <t>WG5 1:10^4 - 4 vol. 1ml.; WG5 Undiluted 1ml is CL = CL with some prominent plaques. WG5 Undiluted 100µl is TNTC = TNTC with some prominent plaques.</t>
  </si>
  <si>
    <t>2019-09-14T13:12:24.000-07:00</t>
  </si>
  <si>
    <t>2bc788e2-bf46-44dc-8cff-b6ef4b269bc2</t>
  </si>
  <si>
    <t>2020-02-24T06:49:56</t>
  </si>
  <si>
    <t>2020-02-24T12:23:57.000+06:30</t>
  </si>
  <si>
    <t>2019-12-23T11:20:47.000-07:00</t>
  </si>
  <si>
    <t>2020-02-24T12:25:39.000+06:30</t>
  </si>
  <si>
    <t>33b8953d-a876-45f7-8d9b-0925f2cfd17c</t>
  </si>
  <si>
    <t>2019-09-14T07:42:56</t>
  </si>
  <si>
    <t>2019-09-14T13:15:26.000-07:00</t>
  </si>
  <si>
    <t>2019-09-02T16:00:00.000-07:00</t>
  </si>
  <si>
    <t>2019-09-02T16:45:00.000-07:00</t>
  </si>
  <si>
    <t>2019-09-03T16:45:00.000-07:00</t>
  </si>
  <si>
    <t>2019-09-03T17:15:00.000-07:00</t>
  </si>
  <si>
    <t>TURBID</t>
  </si>
  <si>
    <t>838a5ab5-a453-42d5-9d5c-922eaa2307b1</t>
  </si>
  <si>
    <t>2019-09-14T07:45:57</t>
  </si>
  <si>
    <t>0faa3039-4b03-4a0b-ba74-23e9b18ce5b0</t>
  </si>
  <si>
    <t>2019-12-23T05:47:38</t>
  </si>
  <si>
    <t>2019-09-14T13:17:38.000-07:00</t>
  </si>
  <si>
    <t>2019-12-23T11:21:37.000-07:00</t>
  </si>
  <si>
    <t>8d513f21-5933-4f30-892d-bcb4a10d316f</t>
  </si>
  <si>
    <t>2019-09-14T07:48:09</t>
  </si>
  <si>
    <t>2019-09-14T13:20:19.000-07:00</t>
  </si>
  <si>
    <t>11a0ee79-ca56-4eb3-aac9-4bcf81958450</t>
  </si>
  <si>
    <t>2020-02-24T06:51:37</t>
  </si>
  <si>
    <t>2020-02-24T12:25:40.000+06:30</t>
  </si>
  <si>
    <t>2020-02-24T12:29:34.000+06:30</t>
  </si>
  <si>
    <t>6</t>
  </si>
  <si>
    <t>1ea29a47-4f34-40b6-b067-9302c4ec7b10</t>
  </si>
  <si>
    <t>2019-12-23T05:48:28</t>
  </si>
  <si>
    <t>68e8c8b8-d98a-46b9-9438-73e5cc7a7fa5</t>
  </si>
  <si>
    <t>2019-09-14T07:50:49</t>
  </si>
  <si>
    <t>2019-09-14T13:22:33.000-07:00</t>
  </si>
  <si>
    <t>2019-12-23T11:22:24.000-07:00</t>
  </si>
  <si>
    <t>8b68ecc6-94ee-4039-9dc0-159a664c455c</t>
  </si>
  <si>
    <t>2019-09-14T07:53:05</t>
  </si>
  <si>
    <t>2019-09-14T13:22:34.000-07:00</t>
  </si>
  <si>
    <t>2019-09-14T13:24:24.000-07:00</t>
  </si>
  <si>
    <t>2019-09-03T16:30:00.000-07:00</t>
  </si>
  <si>
    <t>2019-09-03T17:00:00.000-07:00</t>
  </si>
  <si>
    <t>2019-09-04T17:00:00.000-07:00</t>
  </si>
  <si>
    <t>2019-09-04T17:30:00.000-07:00</t>
  </si>
  <si>
    <t>da72da82-0f12-4778-a0ef-4a60f039b21c</t>
  </si>
  <si>
    <t>2019-09-14T07:54:55</t>
  </si>
  <si>
    <t>2019-09-14T13:25:26.000-07:00</t>
  </si>
  <si>
    <t>1:10^3 and 1:10^4 dilution showed the presence of lawn of host strains without any visible plaque. Although all plates for WG5 also showed the growth of nonspecific colonies.</t>
  </si>
  <si>
    <t>e4eec64c-d607-49a4-bf1e-01ab5b66b403</t>
  </si>
  <si>
    <t>2019-12-23T05:49:16</t>
  </si>
  <si>
    <t>fb6a5357-05dc-43cb-85bd-48eccb48f453</t>
  </si>
  <si>
    <t>2019-09-03T16:20:00.000-07:00</t>
  </si>
  <si>
    <t>2020-02-24T06:55:30</t>
  </si>
  <si>
    <t>2019-12-24T11:04:35.000-07:00</t>
  </si>
  <si>
    <t>2019-09-04T16:45:00.000-07:00</t>
  </si>
  <si>
    <t>2020-02-24T12:29:35.000+06:30</t>
  </si>
  <si>
    <t>2020-02-24T12:30:36.000+06:30</t>
  </si>
  <si>
    <t>2019-12-24T11:10:20.000-07:00</t>
  </si>
  <si>
    <t>ddb2b771-a9a3-456b-a12b-afac64067546</t>
  </si>
  <si>
    <t>2019-09-14T07:55:57</t>
  </si>
  <si>
    <t>2019-09-14T13:27:08.000-07:00</t>
  </si>
  <si>
    <t>S.typhi 13.09.2019, s.paratyphi 25.09.2019</t>
  </si>
  <si>
    <t>5f3eb39a-881d-4b0c-a2b6-1725a15328b3</t>
  </si>
  <si>
    <t>2019-09-14T07:57:39</t>
  </si>
  <si>
    <t>2019-09-14T13:28:26.000-07:00</t>
  </si>
  <si>
    <t>0ff7e61b-cd2a-4e74-a4bc-291c89901d7f</t>
  </si>
  <si>
    <t>2019-12-24T05:37:11</t>
  </si>
  <si>
    <t>2019-09-04T15:00:00.000-07:00</t>
  </si>
  <si>
    <t>2019-09-04T15:40:00.000-07:00</t>
  </si>
  <si>
    <t>2019-09-05T15:40:00.000-07:00</t>
  </si>
  <si>
    <t>2019-09-05T16:30:00.000-07:00</t>
  </si>
  <si>
    <t>2019-12-24T11:11:09.000-07:00</t>
  </si>
  <si>
    <t>2e3e8d4f-943c-45ec-a439-7902a2f86b70</t>
  </si>
  <si>
    <t>2019-09-14T07:58:57</t>
  </si>
  <si>
    <t>MO1083D</t>
  </si>
  <si>
    <t>2019-09-14T13:29:45.000-07:00</t>
  </si>
  <si>
    <t>8533db13-4f7c-40a3-95c8-5519d5854cc5</t>
  </si>
  <si>
    <t>2020-02-24T06:56:33</t>
  </si>
  <si>
    <t>2019-09-04T15:10:00.000-07:00</t>
  </si>
  <si>
    <t>2020-02-24T12:30:37.000+06:30</t>
  </si>
  <si>
    <t>2019-09-05T17:30:00.000-07:00</t>
  </si>
  <si>
    <t>2019-09-05T18:00:00.000-07:00</t>
  </si>
  <si>
    <t>2020-02-24T12:31:55.000+06:30</t>
  </si>
  <si>
    <t>e00c7ef7-7e14-4fa7-9d7a-afd2c28e1b72</t>
  </si>
  <si>
    <t>2019-09-14T08:00:16</t>
  </si>
  <si>
    <t>2019-09-14T13:29:46.000-07:00</t>
  </si>
  <si>
    <t>f6f5b024-1a6e-4071-b04a-7456797a91c4</t>
  </si>
  <si>
    <t>2019-09-14T13:31:25.000-07:00</t>
  </si>
  <si>
    <t>2019-12-24T05:38:00</t>
  </si>
  <si>
    <t>2019-09-04T15:12:00.000-07:00</t>
  </si>
  <si>
    <t>2019-09-05T16:00:00.000-07:00</t>
  </si>
  <si>
    <t>2019-12-24T11:12:10.000-07:00</t>
  </si>
  <si>
    <t>27a35d4d-d82b-4fc6-aaed-bf5ec1c67e48</t>
  </si>
  <si>
    <t>2019-09-14T08:01:56</t>
  </si>
  <si>
    <t>2019-09-14T13:32:39.000-07:00</t>
  </si>
  <si>
    <t>2019-09-04T16:05:00.000-07:00</t>
  </si>
  <si>
    <t>2019-09-04T17:45:00.000-07:00</t>
  </si>
  <si>
    <t>2019-09-05T17:45:00.000-07:00</t>
  </si>
  <si>
    <t>Original plaque count is 440</t>
  </si>
  <si>
    <t>ef0dc120-0e27-461a-9b2d-79c688f6783e</t>
  </si>
  <si>
    <t>2019-09-14T08:03:11</t>
  </si>
  <si>
    <t>3aa5e73b-3360-4d92-bbde-0be0c12e2642</t>
  </si>
  <si>
    <t>2020-02-24T06:57:54</t>
  </si>
  <si>
    <t>2019-09-14T13:33:56.000-07:00</t>
  </si>
  <si>
    <t>2020-02-24T12:31:56.000+06:30</t>
  </si>
  <si>
    <t>d98ae9c2-08b0-44de-954b-35219d81ab71</t>
  </si>
  <si>
    <t>2019-12-24T05:39:00</t>
  </si>
  <si>
    <t>2020-02-24T12:33:48.000+06:30</t>
  </si>
  <si>
    <t>2020-02-20T16:00:00.000+06:30</t>
  </si>
  <si>
    <t>2019-09-04T15:45:00.000-07:00</t>
  </si>
  <si>
    <t>2019-12-24T11:12:58.000-07:00</t>
  </si>
  <si>
    <t>2020-02-21T11:00:00.000+06:30</t>
  </si>
  <si>
    <t>2019-09-05T15:45:00.000-07:00</t>
  </si>
  <si>
    <t>MO1084D</t>
  </si>
  <si>
    <t>ddfb0996-9de2-491b-9245-2348cd11322c</t>
  </si>
  <si>
    <t>2019-09-14T08:04:27</t>
  </si>
  <si>
    <t>2019-09-14T13:33:57.000-07:00</t>
  </si>
  <si>
    <t>2019-09-14T13:36:30.000-07:00</t>
  </si>
  <si>
    <t>abfb4dee-8f1b-4ad5-b3b3-e53b472a4442</t>
  </si>
  <si>
    <t>2019-09-14T08:07:02</t>
  </si>
  <si>
    <t>8e4e4855-88b4-484a-9679-fb63031dfe4f</t>
  </si>
  <si>
    <t>2019-12-24T05:39:48</t>
  </si>
  <si>
    <t>2019-09-14T13:37:39.000-07:00</t>
  </si>
  <si>
    <t>2019-09-05T15:20:00.000-07:00</t>
  </si>
  <si>
    <t>2019-09-06T16:30:00.000-07:00</t>
  </si>
  <si>
    <t>2019-12-24T11:13:53.000-07:00</t>
  </si>
  <si>
    <t>2019-09-06T17:25:00.000-07:00</t>
  </si>
  <si>
    <t>3a7c1dc8-ac83-44d7-95a1-b17ecdafa635</t>
  </si>
  <si>
    <t>d5486bbd-cc0a-4972-9c40-f06e9999e63a</t>
  </si>
  <si>
    <t>2020-02-24T06:59:46</t>
  </si>
  <si>
    <t>2019-09-14T08:08:10</t>
  </si>
  <si>
    <t>2020-02-24T12:33:49.000+06:30</t>
  </si>
  <si>
    <t>2020-02-24T12:35:19.000+06:30</t>
  </si>
  <si>
    <t>2019-09-14T13:38:33.000-07:00</t>
  </si>
  <si>
    <t>d30de31e-d8fc-4d6d-8d45-e79cdbb5573e</t>
  </si>
  <si>
    <t>2019-09-14T08:09:04</t>
  </si>
  <si>
    <t>2257dcb0-a2ce-4c8d-8ab1-c471e63dad97</t>
  </si>
  <si>
    <t>2019-12-24T05:40:43</t>
  </si>
  <si>
    <t>2019-09-14T13:39:49.000-07:00</t>
  </si>
  <si>
    <t>2019-12-24T11:14:43.000-07:00</t>
  </si>
  <si>
    <t>2019-09-05T15:00:00.000-07:00</t>
  </si>
  <si>
    <t>2019-09-05T15:30:00.000-07:00</t>
  </si>
  <si>
    <t>2019-09-06T15:30:00.000-07:00</t>
  </si>
  <si>
    <t>2019-09-06T15:45:00.000-07:00</t>
  </si>
  <si>
    <t>MO1085D</t>
  </si>
  <si>
    <t>164b1e8f-9200-4cb4-9f8a-872e7667f068</t>
  </si>
  <si>
    <t>2019-09-14T08:10:19</t>
  </si>
  <si>
    <t>2019-09-14T13:41:20.000-07:00</t>
  </si>
  <si>
    <t>2019-09-03T15:45:00.000-07:00</t>
  </si>
  <si>
    <t>2158ef1f-94dc-46d8-8511-299e6aee2f7c</t>
  </si>
  <si>
    <t>2019-12-24T05:41:33</t>
  </si>
  <si>
    <t>f3558793-27a4-47ab-b8fe-a43e8101c8f3</t>
  </si>
  <si>
    <t>4b1d735f-a29e-441a-be96-1f559a06b704</t>
  </si>
  <si>
    <t>2020-02-24T07:01:16</t>
  </si>
  <si>
    <t>2019-09-14T08:11:51</t>
  </si>
  <si>
    <t>2020-02-24T12:35:20.000+06:30</t>
  </si>
  <si>
    <t>2019-12-24T11:15:37.000-07:00</t>
  </si>
  <si>
    <t>2019-09-14T13:42:46.000-07:00</t>
  </si>
  <si>
    <t>2020-02-24T12:37:30.000+06:30</t>
  </si>
  <si>
    <t>2019-09-04T16:30:00.000-07:00</t>
  </si>
  <si>
    <t>2019-09-04T17:40:00.000-07:00</t>
  </si>
  <si>
    <t>fd6b5ab6-7d14-4282-8ff2-fce423c3b7bf</t>
  </si>
  <si>
    <t>2019-09-14T08:13:17</t>
  </si>
  <si>
    <t>2019-09-14T13:44:35.000-07:00</t>
  </si>
  <si>
    <t>b4324161-5df3-40b0-95a9-1509ff3bc2c5</t>
  </si>
  <si>
    <t>2019-12-24T05:42:27</t>
  </si>
  <si>
    <t>2019-09-11T14:00:00.000-07:00</t>
  </si>
  <si>
    <t>2019-09-11T14:20:00.000-07:00</t>
  </si>
  <si>
    <t>2019-09-12T14:20:00.000-07:00</t>
  </si>
  <si>
    <t>2019-09-12T15:00:00.000-07:00</t>
  </si>
  <si>
    <t>2019-12-24T11:16:27.000-07:00</t>
  </si>
  <si>
    <t>24c9125e-545a-44b7-afce-93f193980b5a</t>
  </si>
  <si>
    <t>2019-09-14T08:15:06</t>
  </si>
  <si>
    <t>MO1086D</t>
  </si>
  <si>
    <t>2019-09-14T13:46:18.000-07:00</t>
  </si>
  <si>
    <t>5de61e2f-b739-4da9-87fa-224681b7be56</t>
  </si>
  <si>
    <t>2019-09-14T08:16:50</t>
  </si>
  <si>
    <t>2019-09-14T13:48:04.000-07:00</t>
  </si>
  <si>
    <t>2019-09-12T12:35:00.000-07:00</t>
  </si>
  <si>
    <t>2019-09-12T12:45:00.000-07:00</t>
  </si>
  <si>
    <t>2019-09-13T12:45:00.000-07:00</t>
  </si>
  <si>
    <t>2019-09-13T13:00:00.000-07:00</t>
  </si>
  <si>
    <t>e1bbe7b0-df28-4ef6-898d-5e1b1fbbda8a</t>
  </si>
  <si>
    <t>2019-12-24T05:43:17</t>
  </si>
  <si>
    <t>26b96bf1-1839-4d5c-a7c5-22476ab22bbc</t>
  </si>
  <si>
    <t>2019-09-14T08:18:36</t>
  </si>
  <si>
    <t>2019-09-18T00:24:55.000+06:30</t>
  </si>
  <si>
    <t>2019-12-24T11:17:56.000-07:00</t>
  </si>
  <si>
    <t>2019-09-18T00:28:55.000+06:30</t>
  </si>
  <si>
    <t>WG5 1:10^4 - 0 vol. 1ml.; WG5 Undiluted 1ml is TNTC = TNTC with some plaque.</t>
  </si>
  <si>
    <t>59be675c-dd95-4b24-871d-3de4fd0252cd</t>
  </si>
  <si>
    <t>2019-09-16T16:16:00.000+06:30</t>
  </si>
  <si>
    <t>2020-02-24T07:05:21</t>
  </si>
  <si>
    <t>2019-09-16T17:00:00.000+06:30</t>
  </si>
  <si>
    <t>2020-02-24T12:37:32.000+06:30</t>
  </si>
  <si>
    <t>2019-09-17T17:45:00.000+06:30</t>
  </si>
  <si>
    <t>2020-02-24T12:40:30.000+06:30</t>
  </si>
  <si>
    <t>1f91e806-0c43-4df8-aa15-0b0fd570b340</t>
  </si>
  <si>
    <t>Associated sample MO1084</t>
  </si>
  <si>
    <t>2019-09-18T06:56:29</t>
  </si>
  <si>
    <t>2019-09-18T00:33:02.000+06:30</t>
  </si>
  <si>
    <t>e0c4470a-cec4-4e3a-b85b-07a9ba985586</t>
  </si>
  <si>
    <t>2019-12-24T05:44:47</t>
  </si>
  <si>
    <t>2019-09-18T00:35:26.000+06:30</t>
  </si>
  <si>
    <t>2019-12-24T11:19:00.000-07:00</t>
  </si>
  <si>
    <t>2019-09-16T15:45:00.000+06:30</t>
  </si>
  <si>
    <t>2019-09-16T16:00:00.000+06:30</t>
  </si>
  <si>
    <t>2019-09-17T16:00:00.000+06:30</t>
  </si>
  <si>
    <t>2019-09-17T16:45:00.000+06:30</t>
  </si>
  <si>
    <t>OBSERVATION- TURBID</t>
  </si>
  <si>
    <t>5bbc5144-2a54-4893-8383-b1fee3eacc5a</t>
  </si>
  <si>
    <t>2019-09-18T07:03:00</t>
  </si>
  <si>
    <t>2019-09-18T00:35:27.000+06:30</t>
  </si>
  <si>
    <t>2019-09-18T00:37:26.000+06:30</t>
  </si>
  <si>
    <t>b880864c-d134-488e-b003-cc461a967b6b</t>
  </si>
  <si>
    <t>2019-12-24T05:45:50</t>
  </si>
  <si>
    <t>831e7d9f-f767-4620-832c-8ee7d768549c</t>
  </si>
  <si>
    <t>2020-02-24T07:06:27</t>
  </si>
  <si>
    <t>SAMPLE 10ml FILTERED</t>
  </si>
  <si>
    <t>2019-12-24T11:19:52.000-07:00</t>
  </si>
  <si>
    <t>2020-02-24T12:40:31.000+06:30</t>
  </si>
  <si>
    <t>2020-02-24T12:41:38.000+06:30</t>
  </si>
  <si>
    <t>d2a01e3e-ac5e-483c-964a-a95397ecabb0</t>
  </si>
  <si>
    <t>2019-09-18T07:05:00</t>
  </si>
  <si>
    <t>2019-09-18T23:09:55.000+06:30</t>
  </si>
  <si>
    <t>2019-09-18T23:11:56.000+06:30</t>
  </si>
  <si>
    <t>2019-09-17T15:40:00.000+06:30</t>
  </si>
  <si>
    <t>2019-09-18T16:00:00.000+06:30</t>
  </si>
  <si>
    <t>2019-09-18T16:30:00.000+06:30</t>
  </si>
  <si>
    <t>727785fa-1a2c-40b4-9d50-669f08387963</t>
  </si>
  <si>
    <t>2019-12-24T05:46:44</t>
  </si>
  <si>
    <t>b91ac1b7-ec8b-488d-9214-eb438d31f3ae</t>
  </si>
  <si>
    <t>2019-09-19T05:39:28</t>
  </si>
  <si>
    <t>2019-12-24T11:20:38.000-07:00</t>
  </si>
  <si>
    <t>2019-09-18T23:13:38.000+06:30</t>
  </si>
  <si>
    <t>OBSERVATION- TUBBID,</t>
  </si>
  <si>
    <t>1bba846c-6c8c-4ffb-8995-18fc46022b10</t>
  </si>
  <si>
    <t>2019-09-19T05:41:11</t>
  </si>
  <si>
    <t>7caccf71-7eaf-405c-b18c-9e4b7640f2c5</t>
  </si>
  <si>
    <t>2019-09-18T23:13:39.000+06:30</t>
  </si>
  <si>
    <t>2020-02-24T07:07:35</t>
  </si>
  <si>
    <t>2020-02-24T12:41:39.000+06:30</t>
  </si>
  <si>
    <t>2019-09-18T23:15:22.000+06:30</t>
  </si>
  <si>
    <t>2020-02-24T12:43:41.000+06:30</t>
  </si>
  <si>
    <t>6b97a307-e08a-4986-b6b9-1e08665a4964</t>
  </si>
  <si>
    <t>2019-12-24T05:47:28</t>
  </si>
  <si>
    <t>2019-09-18T17:10:00.000+06:30</t>
  </si>
  <si>
    <t>2019-12-24T11:21:54.000-07:00</t>
  </si>
  <si>
    <t>b8a6426e-be8c-415d-b1ae-f6cd6f295043</t>
  </si>
  <si>
    <t>2019-09-19T05:42:55</t>
  </si>
  <si>
    <t>2019-09-18T23:18:26.000+06:30</t>
  </si>
  <si>
    <t>Associated sample FW1001, OD1004, OD1005</t>
  </si>
  <si>
    <t>31ddaab2-89c2-4b03-9daa-517d428400c3</t>
  </si>
  <si>
    <t>OBSERVATION - NO TURBID</t>
  </si>
  <si>
    <t>2019-12-24T05:48:45</t>
  </si>
  <si>
    <t>3917dc58-d222-4e22-8ddc-66e284c09a19</t>
  </si>
  <si>
    <t>2019-09-19T05:45:59</t>
  </si>
  <si>
    <t>GB124 Undiluted 1ml count is CL = CL with some contamination on plate.</t>
  </si>
  <si>
    <t>2019-12-24T11:22:58.000-07:00</t>
  </si>
  <si>
    <t>55859768-bef7-4610-bc6f-e63af5d15c08</t>
  </si>
  <si>
    <t>2020-02-24T07:09:41</t>
  </si>
  <si>
    <t>2020-02-24T12:43:42.000+06:30</t>
  </si>
  <si>
    <t>2019-09-18T23:20:37.000+06:30</t>
  </si>
  <si>
    <t>2020-02-24T12:46:16.000+06:30</t>
  </si>
  <si>
    <t>42a2f1f6-fc68-470c-a164-826f2c819bf1</t>
  </si>
  <si>
    <t>2019-09-19T05:48:10</t>
  </si>
  <si>
    <t>2019-09-23T11:01:27.000+06:30</t>
  </si>
  <si>
    <t>2019-09-23T11:05:07.000+06:30</t>
  </si>
  <si>
    <t>9603199e-e0e2-48d7-b100-a4baebbd1f93</t>
  </si>
  <si>
    <t>2019-12-24T05:49:49</t>
  </si>
  <si>
    <t>2019-09-19T16:30:00.000+06:30</t>
  </si>
  <si>
    <t>2019-09-20T16:30:00.000+06:30</t>
  </si>
  <si>
    <t>2019-09-20T17:00:00.000+06:30</t>
  </si>
  <si>
    <t>2019-12-24T11:24:03.000-07:00</t>
  </si>
  <si>
    <t>WITH PLc1026FL (SAMPLE 22ml FILTER ENRICH WITH 200mL UP BROTH)</t>
  </si>
  <si>
    <t>PL1018FL</t>
  </si>
  <si>
    <t>7b0a0c33-2031-4af8-959b-7614ebeea4f4</t>
  </si>
  <si>
    <t>2019-09-23T05:32:49</t>
  </si>
  <si>
    <t>s.paratyphi 25.09.2019</t>
  </si>
  <si>
    <t>2019-09-23T11:06:48.000+06:30</t>
  </si>
  <si>
    <t>54f13a34-84d0-4236-8e27-c7b983ccde35</t>
  </si>
  <si>
    <t>2019-12-24T05:50:52</t>
  </si>
  <si>
    <t>81605f32-d534-4005-9ebd-1f58f540df97</t>
  </si>
  <si>
    <t>2020-02-24T07:12:14</t>
  </si>
  <si>
    <t>79cc3907-43b2-4737-bec9-eb766caf51ba</t>
  </si>
  <si>
    <t>2020-02-24T12:46:17.000+06:30</t>
  </si>
  <si>
    <t>2019-09-23T05:34:30</t>
  </si>
  <si>
    <t>2019-12-24T11:25:10.000-07:00</t>
  </si>
  <si>
    <t>2020-02-24T12:47:51.000+06:30</t>
  </si>
  <si>
    <t>2019-09-23T11:09:10.000+06:30</t>
  </si>
  <si>
    <t>2019-09-20T17:30:00.000+06:30</t>
  </si>
  <si>
    <t>b8f1f0d7-6a98-4796-8732-a027446c317a</t>
  </si>
  <si>
    <t>2019-09-23T05:36:51</t>
  </si>
  <si>
    <t>Associated sample PL1018</t>
  </si>
  <si>
    <t>79db58a1-545f-4704-8a2e-db59eb5916c2</t>
  </si>
  <si>
    <t>2019-12-24T05:52:00</t>
  </si>
  <si>
    <t>2019-09-23T11:11:46.000+06:30</t>
  </si>
  <si>
    <t>2019-12-24T11:26:30.000-07:00</t>
  </si>
  <si>
    <t>4d1a0dc0-3220-4720-ae90-62f767de24e1</t>
  </si>
  <si>
    <t>2019-09-23T05:39:28</t>
  </si>
  <si>
    <t>2019-09-23T11:13:16.000+06:30</t>
  </si>
  <si>
    <t>04d38597-f61a-493f-b110-d3d24e12c1b4</t>
  </si>
  <si>
    <t>2019-12-24T05:53:21</t>
  </si>
  <si>
    <t>2019-12-24T11:27:23.000-07:00</t>
  </si>
  <si>
    <t>84cc5ad1-8c79-4f58-82c6-c17bb7394ab3</t>
  </si>
  <si>
    <t>2019-09-23T05:40:58</t>
  </si>
  <si>
    <t>2019-09-25T10:24:20.000+06:30</t>
  </si>
  <si>
    <t>2019-09-25T10:31:23.000+06:30</t>
  </si>
  <si>
    <t>a9fb6165-f46c-46b2-927b-b65405ed094f</t>
  </si>
  <si>
    <t>2020-02-24T07:13:50</t>
  </si>
  <si>
    <t>2020-02-24T12:47:53.000+06:30</t>
  </si>
  <si>
    <t>2019-09-23T16:10:00.000+06:30</t>
  </si>
  <si>
    <t>2019-09-23T16:55:00.000+06:30</t>
  </si>
  <si>
    <t>2019-09-24T16:55:00.000+06:30</t>
  </si>
  <si>
    <t>2020-02-24T12:48:40.000+06:30</t>
  </si>
  <si>
    <t>2019-09-24T17:40:00.000+06:30</t>
  </si>
  <si>
    <t>aabe7ab2-9292-42df-bb3a-579d81442510</t>
  </si>
  <si>
    <t>2019-12-24T05:54:14</t>
  </si>
  <si>
    <t>abb6849c-a3d7-47aa-b628-492616c46763</t>
  </si>
  <si>
    <t>2019-09-25T04:59:03</t>
  </si>
  <si>
    <t>2019-12-24T11:28:21.000-07:00</t>
  </si>
  <si>
    <t>2019-09-25T10:35:00.000+06:30</t>
  </si>
  <si>
    <t>SAMPLE 12 ml FILTER FOR PLc1027FL</t>
  </si>
  <si>
    <t>769db193-fbbb-4aab-a71e-0742e6b29073</t>
  </si>
  <si>
    <t>2019-09-25T05:02:40</t>
  </si>
  <si>
    <t>2fc420c7-ec12-4b9c-b3da-3fe1143fb75b</t>
  </si>
  <si>
    <t>2019-12-24T05:55:11</t>
  </si>
  <si>
    <t>2019-09-25T10:36:45.000+06:30</t>
  </si>
  <si>
    <t>2019-12-24T11:29:13.000-07:00</t>
  </si>
  <si>
    <t>9a7b4890-d048-422e-b06f-f3d9caa74a23</t>
  </si>
  <si>
    <t>2019-09-25T05:04:25</t>
  </si>
  <si>
    <t>2019-09-26T10:41:17.000+06:30</t>
  </si>
  <si>
    <t>2019-09-26T10:43:39.000+06:30</t>
  </si>
  <si>
    <t>ecf7299e-a6c9-44c2-9314-1d00b89d30b0</t>
  </si>
  <si>
    <t>2020-02-24T07:14:38</t>
  </si>
  <si>
    <t>6add82d9-5b70-44fa-99bc-e3ce8ad8edcc</t>
  </si>
  <si>
    <t>2019-12-24T05:56:04</t>
  </si>
  <si>
    <t>2020-02-24T12:48:42.000+06:30</t>
  </si>
  <si>
    <t>2019-09-24T16:30:00.000+06:30</t>
  </si>
  <si>
    <t>2019-09-25T16:30:00.000+06:30</t>
  </si>
  <si>
    <t>2019-09-25T17:31:00.000+06:30</t>
  </si>
  <si>
    <t>2020-02-24T12:50:04.000+06:30</t>
  </si>
  <si>
    <t>2019-12-24T11:30:18.000-07:00</t>
  </si>
  <si>
    <t>c0db313c-78a4-4fcd-bab1-f9e87811e534</t>
  </si>
  <si>
    <t>2019-09-26T05:11:18</t>
  </si>
  <si>
    <t>2019-09-26T10:45:02.000+06:30</t>
  </si>
  <si>
    <t>fae208d5-15d3-4cb7-8afe-98d2d88824c5</t>
  </si>
  <si>
    <t>2019-12-24T05:57:08</t>
  </si>
  <si>
    <t>407e1bec-ae98-4080-90da-d6623d64e4d1</t>
  </si>
  <si>
    <t>2019-09-26T05:12:42</t>
  </si>
  <si>
    <t>2019-12-24T11:31:17.000-07:00</t>
  </si>
  <si>
    <t>2019-09-26T10:46:41.000+06:30</t>
  </si>
  <si>
    <t>2019-09-25T16:45:00.000+06:30</t>
  </si>
  <si>
    <t>3ab0ef2f-7097-4228-b5fa-1be70437b3d4</t>
  </si>
  <si>
    <t>2019-09-26T05:14:21</t>
  </si>
  <si>
    <t>622a9777-833f-4550-ab58-e7f4b146febd</t>
  </si>
  <si>
    <t>2019-12-24T05:58:07</t>
  </si>
  <si>
    <t>Actual plaque count is 402</t>
  </si>
  <si>
    <t>2019-09-26T10:48:51.000+06:30</t>
  </si>
  <si>
    <t>e1969cd4-07dc-41ac-b4c8-164cf134db9b</t>
  </si>
  <si>
    <t>2019-12-24T11:32:08.000-07:00</t>
  </si>
  <si>
    <t>2020-02-24T07:16:03</t>
  </si>
  <si>
    <t>2020-03-02T11:29:06.000+06:30</t>
  </si>
  <si>
    <t>2019-09-25T16:47:00.000+06:30</t>
  </si>
  <si>
    <t>2020-03-02T11:40:53.000+06:30</t>
  </si>
  <si>
    <t>04e7a6bc-adb1-4abb-85b2-09b31ed9276d</t>
  </si>
  <si>
    <t>2019-09-26T05:16:30</t>
  </si>
  <si>
    <t>2020-02-25T14:30:00.000+06:30</t>
  </si>
  <si>
    <t>2020-02-25T15:30:00.000+06:30</t>
  </si>
  <si>
    <t>2020-02-26T11:00:00.000+06:30</t>
  </si>
  <si>
    <t>2019-09-26T10:51:32.000+06:30</t>
  </si>
  <si>
    <t>28d0d434-25d3-4f2e-8cd3-625a4888c049</t>
  </si>
  <si>
    <t>2019-12-24T05:58:59</t>
  </si>
  <si>
    <t>2019-09-24T16:00:00.000+06:30</t>
  </si>
  <si>
    <t>2019-09-24T16:20:00.000+06:30</t>
  </si>
  <si>
    <t>2019-09-25T16:20:00.000+06:30</t>
  </si>
  <si>
    <t>2019-12-24T11:33:00.000-07:00</t>
  </si>
  <si>
    <t>4c3d8805-d287-4d19-84cf-51f21e22a803</t>
  </si>
  <si>
    <t>2019-09-30T05:35:17</t>
  </si>
  <si>
    <t>2019-09-30T11:07:18.000+06:30</t>
  </si>
  <si>
    <t>2019-09-30T11:10:09.000+06:30</t>
  </si>
  <si>
    <t>2019-09-26T16:00:00.000+06:30</t>
  </si>
  <si>
    <t>2019-09-27T16:00:00.000+06:30</t>
  </si>
  <si>
    <t>2019-09-27T16:30:00.000+06:30</t>
  </si>
  <si>
    <t>b846e99e-1645-4a08-9bdd-2dbbc9320ee1</t>
  </si>
  <si>
    <t>2019-12-24T05:59:50</t>
  </si>
  <si>
    <t>FOR PLc1028FL 20mL SAMPLE FILTER ,</t>
  </si>
  <si>
    <t>1b81e8de-95a5-4da0-85d6-36a43a18dbea</t>
  </si>
  <si>
    <t>2019-09-30T05:37:45</t>
  </si>
  <si>
    <t>2019-12-24T11:34:05.000-07:00</t>
  </si>
  <si>
    <t>2019-09-30T11:11:59.000+06:30</t>
  </si>
  <si>
    <t>2019-09-26T16:30:00.000+06:30</t>
  </si>
  <si>
    <t>WG5 1:10^4 - 14 vol. 1ml.</t>
  </si>
  <si>
    <t>Associated sample MO1090</t>
  </si>
  <si>
    <t>e9c5f0fc-fbc0-41dd-96ee-d7096ce3afec</t>
  </si>
  <si>
    <t>3721437d-0e47-4df0-a21c-36ada9877f0d</t>
  </si>
  <si>
    <t>2019-09-30T05:39:35</t>
  </si>
  <si>
    <t>2020-03-02T05:59:49</t>
  </si>
  <si>
    <t>fbce2e80-80ea-46e6-a56b-61985ade6f2c</t>
  </si>
  <si>
    <t>2020-03-02T11:33:58.000+06:30</t>
  </si>
  <si>
    <t>2019-12-24T06:00:54</t>
  </si>
  <si>
    <t>2019-09-30T11:13:25.000+06:30</t>
  </si>
  <si>
    <t>2020-03-02T11:41:47.000+06:30</t>
  </si>
  <si>
    <t>2019-12-24T11:34:54.000-07:00</t>
  </si>
  <si>
    <t>2019-09-27T17:20:00.000+06:30</t>
  </si>
  <si>
    <t>beeb67bf-918f-41bd-9ee2-6e278911a2dc</t>
  </si>
  <si>
    <t>2019-09-30T05:41:01</t>
  </si>
  <si>
    <t>2019-09-30T11:14:44.000+06:30</t>
  </si>
  <si>
    <t>bbff3097-26dd-48df-a239-698d1136c7d5</t>
  </si>
  <si>
    <t>2019-12-24T06:01:45</t>
  </si>
  <si>
    <t>2019-12-24T11:35:44.000-07:00</t>
  </si>
  <si>
    <t>7435f334-4fb5-4daf-81b1-421cf13122b0</t>
  </si>
  <si>
    <t>2019-09-30T05:42:20</t>
  </si>
  <si>
    <t>2019-09-30T11:14:45.000+06:30</t>
  </si>
  <si>
    <t>WG5 1:10^4 - 83 vol. 1ml.</t>
  </si>
  <si>
    <t>2019-09-30T11:16:04.000+06:30</t>
  </si>
  <si>
    <t>2825360a-ce61-46b9-b3af-fedf2c90805b</t>
  </si>
  <si>
    <t>2020-03-02T06:01:38</t>
  </si>
  <si>
    <t>2020-03-02T11:35:49.000+06:30</t>
  </si>
  <si>
    <t>2020-03-02T11:42:33.000+06:30</t>
  </si>
  <si>
    <t>2019-09-27T17:10:00.000+06:30</t>
  </si>
  <si>
    <t>1b6085e3-3686-4ff9-8c79-391c74b00b0a</t>
  </si>
  <si>
    <t>2019-12-24T06:02:35</t>
  </si>
  <si>
    <t>218cb733-c970-4683-b01a-3fe2b39cda6a</t>
  </si>
  <si>
    <t>2019-09-30T05:43:40</t>
  </si>
  <si>
    <t>2019-12-24T11:36:30.000-07:00</t>
  </si>
  <si>
    <t>2019-09-30T11:17:36.000+06:30</t>
  </si>
  <si>
    <t>2b61e97f-2785-40c8-9549-96c124f6578a</t>
  </si>
  <si>
    <t>2019-09-30T05:45:11</t>
  </si>
  <si>
    <t>66e56f6d-5258-4aca-a7ec-c73ce30ee617</t>
  </si>
  <si>
    <t>2019-12-24T06:03:21</t>
  </si>
  <si>
    <t>2019-09-30T11:19:52.000+06:30</t>
  </si>
  <si>
    <t>2019-12-24T11:37:30.000-07:00</t>
  </si>
  <si>
    <t>2019-09-27T16:10:00.000+06:30</t>
  </si>
  <si>
    <t>0dc41b63-e503-4672-b5c5-57e3646af8c6</t>
  </si>
  <si>
    <t>2019-09-30T05:47:28</t>
  </si>
  <si>
    <t>647a64b8-8b39-4fba-b19f-0cc64b31ede9</t>
  </si>
  <si>
    <t>2020-03-02T06:03:18</t>
  </si>
  <si>
    <t>2020-03-02T11:37:27.000+06:30</t>
  </si>
  <si>
    <t>2020-03-02T11:43:17.000+06:30</t>
  </si>
  <si>
    <t>2019-10-01T14:34:04.000+06:30</t>
  </si>
  <si>
    <t>4ee7011d-6423-4795-b251-4ccf3d1fe730</t>
  </si>
  <si>
    <t>2019-12-24T06:04:21</t>
  </si>
  <si>
    <t>2019-12-24T11:37:31.000-07:00</t>
  </si>
  <si>
    <t>2019-12-24T11:38:35.000-07:00</t>
  </si>
  <si>
    <t>S.typhi 13.09.2019, s.paratyphi 27.09.2019</t>
  </si>
  <si>
    <t>WG5 1:10^4 - 2 volume tested 1ml.</t>
  </si>
  <si>
    <t>80de6083-9bdf-473e-a34e-af2c1eac570d</t>
  </si>
  <si>
    <t>2019-12-24T06:05:25</t>
  </si>
  <si>
    <t>5d15a2c6-52c8-4ff5-8414-c418386d0f64</t>
  </si>
  <si>
    <t>2020-03-02T06:09:07</t>
  </si>
  <si>
    <t>2019-12-24T11:38:36.000-07:00</t>
  </si>
  <si>
    <t>2019-10-01T14:38:11.000+06:30</t>
  </si>
  <si>
    <t>2020-03-02T11:45:08.000+06:30</t>
  </si>
  <si>
    <t>2019-12-24T11:39:38.000-07:00</t>
  </si>
  <si>
    <t>2019-08-26T15:20:00.000+06:30</t>
  </si>
  <si>
    <t>2019-08-27T15:20:00.000+06:30</t>
  </si>
  <si>
    <t>2019-08-27T15:50:00.000+06:30</t>
  </si>
  <si>
    <t>(SAMPLEWITH OD1006), DHAPA DHIPI, RAJAR GHAT, NATUN PARA, OBSERVATION -NO TURBID</t>
  </si>
  <si>
    <t>530ac932-b3ce-4efe-9f6a-de74de9c423b</t>
  </si>
  <si>
    <t>2019-12-24T06:06:29</t>
  </si>
  <si>
    <t>ac73b795-4334-468d-bd69-9395cbdc8cf8</t>
  </si>
  <si>
    <t>2019-10-01T09:05:46</t>
  </si>
  <si>
    <t>2019-12-24T11:39:39.000-07:00</t>
  </si>
  <si>
    <t>1b0f03db-eeae-464e-a908-9605a0c1e976</t>
  </si>
  <si>
    <t>2019-12-24T11:40:28.000-07:00</t>
  </si>
  <si>
    <t>2020-03-02T06:10:58</t>
  </si>
  <si>
    <t>2020-03-02T11:45:09.000+06:30</t>
  </si>
  <si>
    <t>2020-03-02T11:47:03.000+06:30</t>
  </si>
  <si>
    <t>2019-10-01T14:41:18.000+06:30</t>
  </si>
  <si>
    <t>2019-08-26T15:50:00.000+06:30</t>
  </si>
  <si>
    <t>2019-08-27T16:15:00.000+06:30</t>
  </si>
  <si>
    <t>1b9a8660-3615-4546-b897-6b28b101edec</t>
  </si>
  <si>
    <t>2019-12-24T06:07:18</t>
  </si>
  <si>
    <t>SAMPLE WITH RP1010, DHAPA DHIPI, RAJAR GHAT NATUNPARA, OBSERVATION-NO TURBID</t>
  </si>
  <si>
    <t>aa3d0619-3f14-44f5-8e7f-93af637aade6</t>
  </si>
  <si>
    <t>2019-10-01T09:08:54</t>
  </si>
  <si>
    <t>2019-12-24T11:41:20.000-07:00</t>
  </si>
  <si>
    <t>2019-10-01T14:45:01.000+06:30</t>
  </si>
  <si>
    <t>WG5 1:10^4 - 0 volume tested 1ml.</t>
  </si>
  <si>
    <t>685ae58e-7d87-44d2-a70b-94f6e4a453cc</t>
  </si>
  <si>
    <t>2020-03-02T06:12:53</t>
  </si>
  <si>
    <t>2020-03-02T11:48:18.000+06:30</t>
  </si>
  <si>
    <t>SAMPLE WITH DWa1003, KMC STAND PIPE, OBSERVATION-NO TURBID</t>
  </si>
  <si>
    <t>c6d3ccdb-9751-4d75-b4b1-b3e9862a18a0</t>
  </si>
  <si>
    <t>2019-12-24T06:08:11</t>
  </si>
  <si>
    <t>2620c301-35df-447f-8b12-cbb248a6f039</t>
  </si>
  <si>
    <t>2019-10-01T09:12:37</t>
  </si>
  <si>
    <t>2019-12-24T11:42:20.000-07:00</t>
  </si>
  <si>
    <t>2019-10-01T14:47:33.000+06:30</t>
  </si>
  <si>
    <t>2019-08-27T14:45:00.000+06:30</t>
  </si>
  <si>
    <t>2019-08-27T15:00:00.000+06:30</t>
  </si>
  <si>
    <t>2019-08-28T15:00:00.000+06:30</t>
  </si>
  <si>
    <t>2019-08-28T15:20:00.000+06:30</t>
  </si>
  <si>
    <t>SAMPLE WITH PL1020, ADITYA DAS, 14NR LANE, OBSERVATION-NO TURBID</t>
  </si>
  <si>
    <t>31d0eb77-0d33-4628-bdaa-dd36ac1dafb6</t>
  </si>
  <si>
    <t>2019-12-24T06:09:10</t>
  </si>
  <si>
    <t>2347f2da-a2c7-4f98-acff-d948485c8048</t>
  </si>
  <si>
    <t>2019-10-01T09:15:08</t>
  </si>
  <si>
    <t>626e32d2-57af-4eef-8f68-d4cbe65b6e28</t>
  </si>
  <si>
    <t>2020-03-02T06:14:09</t>
  </si>
  <si>
    <t>2020-03-02T11:48:19.000+06:30</t>
  </si>
  <si>
    <t>2019-12-24T11:44:05.000-07:00</t>
  </si>
  <si>
    <t>2020-03-02T11:49:17.000+06:30</t>
  </si>
  <si>
    <t>2019-10-01T14:50:30.000+06:30</t>
  </si>
  <si>
    <t>SAMPLE WITH MO1091, DHAPA LOC DPS,BYPASS, OBSRVATION-NO TURBID</t>
  </si>
  <si>
    <t>fe25da69-8210-49cc-bce8-168d461f0a0f</t>
  </si>
  <si>
    <t>Associated sample FPa9901, FPc9901, FPd9901, FPe9901, FPc9901</t>
  </si>
  <si>
    <t>2019-10-01T09:18:06</t>
  </si>
  <si>
    <t>fc880be0-a72d-4071-a814-e924bef49f61</t>
  </si>
  <si>
    <t>2019-10-03T13:29:36.000+06:30</t>
  </si>
  <si>
    <t>2019-12-24T06:10:55</t>
  </si>
  <si>
    <t>2019-10-03T13:44:15.000+06:30</t>
  </si>
  <si>
    <t>2019-12-24T11:45:19.000-07:00</t>
  </si>
  <si>
    <t>2019-09-30T16:50:00.000+06:30</t>
  </si>
  <si>
    <t>2019-09-30T17:00:00.000+06:30</t>
  </si>
  <si>
    <t>2019-10-01T17:00:00.000+06:30</t>
  </si>
  <si>
    <t>2019-10-01T17:50:00.000+06:30</t>
  </si>
  <si>
    <t>FPR PLc1029FL 22ml SAMPLE FILTER ,</t>
  </si>
  <si>
    <t>717bb4b2-d598-4802-9ea0-1735de75b84d</t>
  </si>
  <si>
    <t>2019-10-03T08:11:49</t>
  </si>
  <si>
    <t>909c722f-87a3-4a3a-94eb-bc73a603ec38</t>
  </si>
  <si>
    <t>2020-03-02T06:15:06</t>
  </si>
  <si>
    <t>2019-10-03T13:47:08.000+06:30</t>
  </si>
  <si>
    <t>2020-03-02T11:50:50.000+06:30</t>
  </si>
  <si>
    <t>999c053a-92eb-48e2-a7d2-4003782677ae</t>
  </si>
  <si>
    <t>2019-12-24T06:12:10</t>
  </si>
  <si>
    <t>2019-09-30T16:40:00.000+06:30</t>
  </si>
  <si>
    <t>2019-10-01T16:40:00.000+06:30</t>
  </si>
  <si>
    <t>2020-02-26T15:30:00.000+06:30</t>
  </si>
  <si>
    <t>2020-02-27T11:00:00.000+06:30</t>
  </si>
  <si>
    <t>2019-12-24T11:52:31.000-07:00</t>
  </si>
  <si>
    <t>OBSRRVATION- SLIGHT TURBID</t>
  </si>
  <si>
    <t>c660cc4e-7d06-4339-a224-3ad7a0b0e835</t>
  </si>
  <si>
    <t>2019-10-03T08:14:41</t>
  </si>
  <si>
    <t>2019-10-03T13:48:47.000+06:30</t>
  </si>
  <si>
    <t>FOR PLc1030FL 25ml SAMPLE FILTER</t>
  </si>
  <si>
    <t>546abddc-8004-40dc-8c84-21bded89c031</t>
  </si>
  <si>
    <t>2019-12-24T06:19:22</t>
  </si>
  <si>
    <t>9be62f70-5de7-48d7-be48-820960b8d660</t>
  </si>
  <si>
    <t>2019-10-03T08:16:21</t>
  </si>
  <si>
    <t>2019-12-24T11:53:45.000-07:00</t>
  </si>
  <si>
    <t>2019-10-03T13:50:08.000+06:30</t>
  </si>
  <si>
    <t>OBSRVATION- NO TURBID</t>
  </si>
  <si>
    <t>0fd73ae2-6253-42b0-99c0-c2e05591a67c</t>
  </si>
  <si>
    <t>2020-03-02T06:16:41</t>
  </si>
  <si>
    <t>Associated sample SL1010</t>
  </si>
  <si>
    <t>51d686ff-5f42-4ab3-8e01-cb471ba20e18</t>
  </si>
  <si>
    <t>2019-10-03T08:17:41</t>
  </si>
  <si>
    <t>78adc5b5-6291-474e-ae61-3bdbbef8a97c</t>
  </si>
  <si>
    <t>2020-03-02T11:51:39.000+06:30</t>
  </si>
  <si>
    <t>2019-10-03T13:51:42.000+06:30</t>
  </si>
  <si>
    <t>2019-12-24T06:20:35</t>
  </si>
  <si>
    <t>2019-10-01T17:55:00.000+06:30</t>
  </si>
  <si>
    <t>2019-12-24T11:54:48.000-07:00</t>
  </si>
  <si>
    <t>FOR PLc1031FL SAMPLE 20ml FILTER</t>
  </si>
  <si>
    <t>1debda28-c21f-46c0-a69e-8f109a28674d</t>
  </si>
  <si>
    <t>2019-10-03T08:19:16</t>
  </si>
  <si>
    <t>2019-10-03T13:51:43.000+06:30</t>
  </si>
  <si>
    <t>2019-10-03T13:52:53.000+06:30</t>
  </si>
  <si>
    <t>2019-09-30T16:20:00.000+06:30</t>
  </si>
  <si>
    <t>a83c5cfa-8ca5-4440-8288-12d94b57902b</t>
  </si>
  <si>
    <t>2019-12-24T06:21:39</t>
  </si>
  <si>
    <t>48473f6c-f3a2-4291-9675-ede31ed7f171</t>
  </si>
  <si>
    <t>2019-12-24T11:54:49.000-07:00</t>
  </si>
  <si>
    <t>2019-10-03T08:20:25</t>
  </si>
  <si>
    <t>2019-12-24T11:55:49.000-07:00</t>
  </si>
  <si>
    <t>2019-10-03T13:54:12.000+06:30</t>
  </si>
  <si>
    <t>Associated sample PL1019</t>
  </si>
  <si>
    <t>f3ac5667-e5c1-4523-aeb0-943fa60785f0</t>
  </si>
  <si>
    <t>2019-12-24T06:22:40</t>
  </si>
  <si>
    <t>2019-12-24T11:55:50.000-07:00</t>
  </si>
  <si>
    <t>26a3f3d9-a204-4f1c-a069-bc608d1e2c42</t>
  </si>
  <si>
    <t>2019-10-03T08:21:46</t>
  </si>
  <si>
    <t>2019-12-24T11:56:46.000-07:00</t>
  </si>
  <si>
    <t>fcf84481-c36c-4b15-acfb-9aa67681cf04</t>
  </si>
  <si>
    <t>2019-10-09T12:38:26.000+06:30</t>
  </si>
  <si>
    <t>2020-03-02T06:17:30</t>
  </si>
  <si>
    <t>2020-03-02T11:51:40.000+06:30</t>
  </si>
  <si>
    <t>2019-10-09T12:40:59.000+06:30</t>
  </si>
  <si>
    <t>2020-03-02T11:55:08.000+06:30</t>
  </si>
  <si>
    <t>2019-10-03T16:30:00.000+06:30</t>
  </si>
  <si>
    <t>9702bd59-9899-43a6-9009-f23edcf8239c</t>
  </si>
  <si>
    <t>2019-10-03T17:30:00.000+06:30</t>
  </si>
  <si>
    <t>2019-12-24T06:23:36</t>
  </si>
  <si>
    <t>2019-10-04T17:30:00.000+06:30</t>
  </si>
  <si>
    <t>2019-10-04T18:00:00.000+06:30</t>
  </si>
  <si>
    <t>FOR SAMPLE PLc1032FL 20ml FILTER</t>
  </si>
  <si>
    <t>2019-12-24T11:57:42.000-07:00</t>
  </si>
  <si>
    <t>7582550a-b740-42b4-adf9-c03087a21e3d</t>
  </si>
  <si>
    <t>2019-10-09T07:08:28</t>
  </si>
  <si>
    <t>f8af2cb9-356c-479d-ac77-2baaa9d52465</t>
  </si>
  <si>
    <t>2019-12-24T06:24:33</t>
  </si>
  <si>
    <t>2019-12-24T11:58:36.000-07:00</t>
  </si>
  <si>
    <t>2019-10-09T12:43:46.000+06:30</t>
  </si>
  <si>
    <t>c4a26c62-4e46-4a61-a428-97ad9f267a8d</t>
  </si>
  <si>
    <t>2019-12-24T06:25:26</t>
  </si>
  <si>
    <t>2019-12-24T11:59:26.000-07:00</t>
  </si>
  <si>
    <t>494f31c7-c7eb-422f-acef-395aed57b99f</t>
  </si>
  <si>
    <t>2019-10-09T07:11:15</t>
  </si>
  <si>
    <t>2019-10-09T12:47:35.000+06:30</t>
  </si>
  <si>
    <t>f8eed09f-61fa-4ead-a34b-cb4fed0c2ee9</t>
  </si>
  <si>
    <t>2020-03-02T06:20:59</t>
  </si>
  <si>
    <t>e2cbf309-42b3-4ff5-af30-0561107e70eb</t>
  </si>
  <si>
    <t>2019-12-24T06:26:18</t>
  </si>
  <si>
    <t>2020-03-02T11:55:09.000+06:30</t>
  </si>
  <si>
    <t>NO FILTER FOR SAMPLE PLc1033FL, SAMPLE WAS DIRTY</t>
  </si>
  <si>
    <t>2020-03-02T11:57:15.000+06:30</t>
  </si>
  <si>
    <t>2019-12-24T12:00:20.000-07:00</t>
  </si>
  <si>
    <t>9d6e05a0-282e-41ef-adc2-09c33cccb401</t>
  </si>
  <si>
    <t>2019-10-09T07:15:05</t>
  </si>
  <si>
    <t>2019-10-09T12:49:20.000+06:30</t>
  </si>
  <si>
    <t>5f0ddbd4-1821-49e1-8ad8-e416f3f1e8d2</t>
  </si>
  <si>
    <t>2019-12-24T06:27:11</t>
  </si>
  <si>
    <t>2019-12-24T12:00:21.000-07:00</t>
  </si>
  <si>
    <t>2019-12-24T12:02:13.000-07:00</t>
  </si>
  <si>
    <t>bbf2514e-4dd8-4895-b7a3-7e64ff3a05d2</t>
  </si>
  <si>
    <t>2019-10-09T07:16:49</t>
  </si>
  <si>
    <t>2019-10-09T12:52:11.000+06:30</t>
  </si>
  <si>
    <t>Associated sample FPa1001, FPb1001, FPc1001, FPd1001, FPe1001</t>
  </si>
  <si>
    <t>FOR SAMPLE PLc1034FL 17ml FILTER</t>
  </si>
  <si>
    <t>86f68d0c-3795-4a44-8304-7aa9c3a42339</t>
  </si>
  <si>
    <t>2019-12-24T06:29:04</t>
  </si>
  <si>
    <t>6894b7c3-2268-4533-9a22-af06f9d8be19</t>
  </si>
  <si>
    <t>2019-10-09T07:19:41</t>
  </si>
  <si>
    <t>2019-12-24T12:03:30.000-07:00</t>
  </si>
  <si>
    <t>2019-10-09T12:55:24.000+06:30</t>
  </si>
  <si>
    <t>a8ab2548-bd93-467d-a82a-6a685bd58911</t>
  </si>
  <si>
    <t>2019-10-09T07:22:53</t>
  </si>
  <si>
    <t>02de2770-3b52-40ab-b6dc-500015307e32</t>
  </si>
  <si>
    <t>2019-12-24T06:30:20</t>
  </si>
  <si>
    <t>2019-10-09T12:57:18.000+06:30</t>
  </si>
  <si>
    <t>2019-12-24T12:13:38.000-07:00</t>
  </si>
  <si>
    <t>f3424b14-39f3-4ab9-ae2c-4a9bf3e16f0c</t>
  </si>
  <si>
    <t>f82ee5dd-9749-4b36-81bf-276c56846ad1</t>
  </si>
  <si>
    <t>2019-10-09T07:24:48</t>
  </si>
  <si>
    <t>2019-12-24T06:40:28</t>
  </si>
  <si>
    <t>2019-10-16T11:20:53.000+06:30</t>
  </si>
  <si>
    <t>2019-12-24T12:14:27.000-07:00</t>
  </si>
  <si>
    <t>2019-10-16T11:23:40.000+06:30</t>
  </si>
  <si>
    <t>2019-10-14T16:30:00.000+06:30</t>
  </si>
  <si>
    <t>2019-10-14T16:45:00.000+06:30</t>
  </si>
  <si>
    <t>2019-10-15T16:45:00.000+06:30</t>
  </si>
  <si>
    <t>2019-10-15T17:20:00.000+06:30</t>
  </si>
  <si>
    <t>FOR PLc1035FL SAMPLE 20ml FILTER</t>
  </si>
  <si>
    <t>9e8d673b-b99a-4360-b304-1da6ddaa19cc</t>
  </si>
  <si>
    <t>de44d49c-d988-4b8a-b2f9-0ab1500d2a98</t>
  </si>
  <si>
    <t>2019-12-24T06:41:18</t>
  </si>
  <si>
    <t>2020-03-02T06:23:06</t>
  </si>
  <si>
    <t>2019-12-24T12:14:28.000-07:00</t>
  </si>
  <si>
    <t>e6e71d84-c220-4a9d-93b8-8351ec4fe33f</t>
  </si>
  <si>
    <t>2019-10-16T05:51:04</t>
  </si>
  <si>
    <t>2019-12-24T12:15:21.000-07:00</t>
  </si>
  <si>
    <t>2020-03-02T11:57:16.000+06:30</t>
  </si>
  <si>
    <t>2019-10-16T11:25:22.000+06:30</t>
  </si>
  <si>
    <t>2020-03-02T12:01:02.000+06:30</t>
  </si>
  <si>
    <t>23d465e8-790d-4de3-84be-6f74aaab381f</t>
  </si>
  <si>
    <t>2019-12-24T06:42:12</t>
  </si>
  <si>
    <t>2019-10-15T16:35:00.000+06:30</t>
  </si>
  <si>
    <t>2019-12-24T12:15:22.000-07:00</t>
  </si>
  <si>
    <t>OBSERVATION- NOT TURBID</t>
  </si>
  <si>
    <t>2019-12-24T12:16:08.000-07:00</t>
  </si>
  <si>
    <t>b9ab9437-1c46-47e1-ba0b-70fcf7102ca6</t>
  </si>
  <si>
    <t>2019-10-16T05:52:46</t>
  </si>
  <si>
    <t>2019-10-16T11:27:23.000+06:30</t>
  </si>
  <si>
    <t>2019-10-15T17:30:00.000+06:30</t>
  </si>
  <si>
    <t>FOR PLc1036FL SAMPLE FILTER 20ml</t>
  </si>
  <si>
    <t>412b3cd0-6ca3-4092-941c-a01ea4baabed</t>
  </si>
  <si>
    <t>2019-12-24T06:42:58</t>
  </si>
  <si>
    <t>49be0960-11a0-4eaf-b7e9-2ddbfe44fa5d</t>
  </si>
  <si>
    <t>2019-10-16T05:54:47</t>
  </si>
  <si>
    <t>2019-12-24T12:17:38.000-07:00</t>
  </si>
  <si>
    <t>2019-10-16T11:29:11.000+06:30</t>
  </si>
  <si>
    <t>2019-10-14T16:15:00.000+06:30</t>
  </si>
  <si>
    <t>2019-10-14T16:22:00.000+06:30</t>
  </si>
  <si>
    <t>2019-10-15T16:22:00.000+06:30</t>
  </si>
  <si>
    <t>Associated sample COa1001, COb1001, COb1002, COb1003</t>
  </si>
  <si>
    <t>2019-10-15T16:44:00.000+06:30</t>
  </si>
  <si>
    <t>b621e6ab-b065-4931-a1c9-ae09cf71e660</t>
  </si>
  <si>
    <t>2019-12-24T06:44:31</t>
  </si>
  <si>
    <t>2019-12-24T12:18:29.000-07:00</t>
  </si>
  <si>
    <t>2bc53801-13a6-4599-91f9-5335cd72053f</t>
  </si>
  <si>
    <t>2019-10-16T05:56:35</t>
  </si>
  <si>
    <t>2019-10-16T11:31:00.000+06:30</t>
  </si>
  <si>
    <t>WG5 1:10^4 - 7 volume tested 1ml. WG5 Undiluted 1ml is CL = Clear prominent plaques (17)</t>
  </si>
  <si>
    <t>d1b420f4-9336-4ac7-b27c-4505c4959c4b</t>
  </si>
  <si>
    <t>2019-10-14T16:00:00.000+06:30</t>
  </si>
  <si>
    <t>2019-12-24T06:45:19</t>
  </si>
  <si>
    <t>2019-10-14T16:05:00.000+06:30</t>
  </si>
  <si>
    <t>2019-10-15T16:05:00.000+06:30</t>
  </si>
  <si>
    <t>2019-10-15T16:12:00.000+06:30</t>
  </si>
  <si>
    <t>22c7e370-2234-4325-91c9-7a671bde948d</t>
  </si>
  <si>
    <t>2020-03-02T06:26:55</t>
  </si>
  <si>
    <t>2019-12-24T12:19:19.000-07:00</t>
  </si>
  <si>
    <t>2020-03-02T12:01:03.000+06:30</t>
  </si>
  <si>
    <t>afff0479-53ba-4740-90ee-40916a9ee284</t>
  </si>
  <si>
    <t>2020-03-02T12:04:38.000+06:30</t>
  </si>
  <si>
    <t>2019-10-16T05:58:24</t>
  </si>
  <si>
    <t>2019-10-17T10:58:43.000+06:30</t>
  </si>
  <si>
    <t>2019-10-17T11:02:42.000+06:30</t>
  </si>
  <si>
    <t>43c6cf41-2ada-47e9-b740-34d2f5ac8af5</t>
  </si>
  <si>
    <t>2019-12-24T06:46:09</t>
  </si>
  <si>
    <t>2019-10-15T15:55:00.000+06:30</t>
  </si>
  <si>
    <t>2019-10-15T16:18:00.000+06:30</t>
  </si>
  <si>
    <t>2019-12-24T12:20:08.000-07:00</t>
  </si>
  <si>
    <t>2019-10-16T16:18:00.000+06:30</t>
  </si>
  <si>
    <t>2019-10-16T17:21:00.000+06:30</t>
  </si>
  <si>
    <t>WITH MO1100D</t>
  </si>
  <si>
    <t>edf8f943-e8f0-4726-b6b6-4df2b75cf62f</t>
  </si>
  <si>
    <t>2019-10-17T05:30:05</t>
  </si>
  <si>
    <t>24d4a331-fb3c-49e0-bacd-a125e8db2397</t>
  </si>
  <si>
    <t>2019-12-24T06:46:59</t>
  </si>
  <si>
    <t>2019-10-17T11:04:44.000+06:30</t>
  </si>
  <si>
    <t>2019-12-24T12:21:19.000-07:00</t>
  </si>
  <si>
    <t>2019-10-15T15:20:00.000+06:30</t>
  </si>
  <si>
    <t>2019-10-16T15:20:00.000+06:30</t>
  </si>
  <si>
    <t>2019-10-16T15:40:00.000+06:30</t>
  </si>
  <si>
    <t>824b83f5-f00c-4929-8fe4-a7e6af89f874</t>
  </si>
  <si>
    <t>2019-12-24T06:48:10</t>
  </si>
  <si>
    <t>3effa76a-e554-45f3-8458-de90a22145f0</t>
  </si>
  <si>
    <t>2019-10-17T05:32:08</t>
  </si>
  <si>
    <t>2019-12-24T12:22:24.000-07:00</t>
  </si>
  <si>
    <t>WG5 1:10^4 - 0 volume tested 1ml. GB-124 Undiluted 1ml plaque count can not be read as agar did not solidify.</t>
  </si>
  <si>
    <t>2019-10-17T11:07:39.000+06:30</t>
  </si>
  <si>
    <t>572cd723-aca1-4f1f-bc14-725e58c83ef1</t>
  </si>
  <si>
    <t>2020-03-02T06:30:27</t>
  </si>
  <si>
    <t>2020-03-02T12:04:39.000+06:30</t>
  </si>
  <si>
    <t>2020-03-02T12:06:22.000+06:30</t>
  </si>
  <si>
    <t>81eac92c-1a24-4b53-ac7a-d7dc2607c82a</t>
  </si>
  <si>
    <t>2019-12-24T06:49:14</t>
  </si>
  <si>
    <t>8d0873d7-fcdb-43a2-97d0-dd9ba8844621</t>
  </si>
  <si>
    <t>2019-10-17T05:35:01</t>
  </si>
  <si>
    <t>2019-12-24T12:23:30.000-07:00</t>
  </si>
  <si>
    <t>2019-10-17T11:09:58.000+06:30</t>
  </si>
  <si>
    <t>2019-10-15T15:05:00.000+06:30</t>
  </si>
  <si>
    <t>2019-10-15T15:22:00.000+06:30</t>
  </si>
  <si>
    <t>4c49b642-79bc-4095-a6a9-2dfd9857c598</t>
  </si>
  <si>
    <t>2019-12-24T06:50:20</t>
  </si>
  <si>
    <t>2019-10-16T15:22:00.000+06:30</t>
  </si>
  <si>
    <t>2019-12-24T12:24:23.000-07:00</t>
  </si>
  <si>
    <t>e1bade11-b42e-4dca-8dda-1ab2b4d430ff</t>
  </si>
  <si>
    <t>2019-10-17T05:37:21</t>
  </si>
  <si>
    <t>Associated sample OD1006</t>
  </si>
  <si>
    <t>2019-10-17T11:11:44.000+06:30</t>
  </si>
  <si>
    <t>468dc0f9-8057-4daf-b1bf-89c4f445190c</t>
  </si>
  <si>
    <t>2019-12-24T06:51:13</t>
  </si>
  <si>
    <t>2019-10-15T14:55:00.000+06:30</t>
  </si>
  <si>
    <t>2019-12-24T12:25:18.000-07:00</t>
  </si>
  <si>
    <t>2019-10-15T15:10:00.000+06:30</t>
  </si>
  <si>
    <t>2019-10-16T15:10:00.000+06:30</t>
  </si>
  <si>
    <t>2019-10-16T15:18:00.000+06:30</t>
  </si>
  <si>
    <t>b34c086d-f0ff-4bbe-82fd-67f7cf82cd42</t>
  </si>
  <si>
    <t>2019-10-17T05:39:08</t>
  </si>
  <si>
    <t>2019-10-21T11:16:07.000+06:30</t>
  </si>
  <si>
    <t>e9da4707-b285-4bf7-9318-2ebffd2896e2</t>
  </si>
  <si>
    <t>ded6f7d9-b258-44d9-b975-2d0de9a8554c</t>
  </si>
  <si>
    <t>2020-03-02T06:32:15</t>
  </si>
  <si>
    <t>2019-12-24T06:52:09</t>
  </si>
  <si>
    <t>2020-03-02T12:06:23.000+06:30</t>
  </si>
  <si>
    <t>2019-10-21T11:19:20.000+06:30</t>
  </si>
  <si>
    <t>2019-12-24T12:26:20.000-07:00</t>
  </si>
  <si>
    <t>2020-03-02T12:07:17.000+06:30</t>
  </si>
  <si>
    <t>2019-10-17T16:15:00.000+06:30</t>
  </si>
  <si>
    <t>2019-10-17T16:30:00.000+06:30</t>
  </si>
  <si>
    <t>2019-10-18T16:30:00.000+06:30</t>
  </si>
  <si>
    <t>2019-10-18T17:10:00.000+06:30</t>
  </si>
  <si>
    <t>2020-02-27T15:30:00.000+06:30</t>
  </si>
  <si>
    <t>2020-02-27T16:00:00.000+06:30</t>
  </si>
  <si>
    <t>2020-02-28T11:00:00.000+06:30</t>
  </si>
  <si>
    <t>FOR PLc1037FL SAMPLE 20 ml FILTER,</t>
  </si>
  <si>
    <t>Associated sample RP1010</t>
  </si>
  <si>
    <t>f2050f27-73c7-4dc3-b938-bf919252c416</t>
  </si>
  <si>
    <t>7a744cc3-e875-4c75-a76c-764df0bb58f5</t>
  </si>
  <si>
    <t>2019-12-24T06:53:11</t>
  </si>
  <si>
    <t>2019-10-21T05:46:40</t>
  </si>
  <si>
    <t>2019-12-24T12:29:40.000-07:00</t>
  </si>
  <si>
    <t>2019-10-21T11:21:36.000+06:30</t>
  </si>
  <si>
    <t>2019-10-17T16:10:00.000+06:30</t>
  </si>
  <si>
    <t>2019-10-18T16:10:00.000+06:30</t>
  </si>
  <si>
    <t>2019-10-18T16:15:00.000+06:30</t>
  </si>
  <si>
    <t>68f6094e-617f-4047-9541-da758d8fbb28</t>
  </si>
  <si>
    <t>2019-12-24T06:56:31</t>
  </si>
  <si>
    <t>OBSERVATION - NOT TURBID</t>
  </si>
  <si>
    <t>2019-12-24T12:31:01.000-07:00</t>
  </si>
  <si>
    <t>51e1eb94-ea68-43a2-a869-0f919a538ebd</t>
  </si>
  <si>
    <t>2019-10-21T05:48:56</t>
  </si>
  <si>
    <t>2019-10-21T11:23:57.000+06:30</t>
  </si>
  <si>
    <t>Associated sample DWa1003</t>
  </si>
  <si>
    <t>1be4dcb0-7531-4287-83d2-fc35c15c9ca6</t>
  </si>
  <si>
    <t>2019-12-24T06:57:53</t>
  </si>
  <si>
    <t>2019-12-31T10:59:09.000+06:30</t>
  </si>
  <si>
    <t>2019-10-18T17:14:00.000+06:30</t>
  </si>
  <si>
    <t>2019-12-31T11:00:31.000+06:30</t>
  </si>
  <si>
    <t>af1806fd-3d67-42b5-ba06-ea30ba5d6180</t>
  </si>
  <si>
    <t>FPR PLc1038FL SAMPLE 18ml FILTER</t>
  </si>
  <si>
    <t>a402d252-29da-452a-9b1a-419961105d62</t>
  </si>
  <si>
    <t>2019-10-21T05:51:17</t>
  </si>
  <si>
    <t>2020-03-02T06:33:09</t>
  </si>
  <si>
    <t>2020-03-02T12:07:18.000+06:30</t>
  </si>
  <si>
    <t>S.typhi 27.12.2019, s.paratyphi 27.12.2019</t>
  </si>
  <si>
    <t>2019-10-21T11:26:42.000+06:30</t>
  </si>
  <si>
    <t>2020-03-02T12:08:18.000+06:30</t>
  </si>
  <si>
    <t>0aee9486-f0bb-4203-a7ce-664e1bc4eb07</t>
  </si>
  <si>
    <t>2019-12-31T05:27:16</t>
  </si>
  <si>
    <t>2019-10-18T17:35:00.000+06:30</t>
  </si>
  <si>
    <t>2019-12-31T11:00:32.000+06:30</t>
  </si>
  <si>
    <t>2019-12-31T11:01:17.000+06:30</t>
  </si>
  <si>
    <t>ea9f7309-2c11-40fa-88a9-6dc2b5d5ef32</t>
  </si>
  <si>
    <t>2019-10-21T05:54:02</t>
  </si>
  <si>
    <t>2019-10-21T11:28:43.000+06:30</t>
  </si>
  <si>
    <t>2019-10-17T16:40:00.000+06:30</t>
  </si>
  <si>
    <t>2019-10-18T16:40:00.000+06:30</t>
  </si>
  <si>
    <t>888035ef-30bd-48a4-be93-e0f575350a2d</t>
  </si>
  <si>
    <t>2019-12-31T05:28:04</t>
  </si>
  <si>
    <t>2019-12-31T11:02:04.000+06:30</t>
  </si>
  <si>
    <t>998a3175-d150-4aa9-9640-35e38e1d64ac</t>
  </si>
  <si>
    <t>2019-10-21T05:56:03</t>
  </si>
  <si>
    <t>2019-10-21T11:32:33.000+06:30</t>
  </si>
  <si>
    <t>63579e6e-eef9-4617-8279-9f7fb44a39d1</t>
  </si>
  <si>
    <t>2019-10-18T16:18:00.000+06:30</t>
  </si>
  <si>
    <t>2019-12-31T05:28:48</t>
  </si>
  <si>
    <t>d2427ea1-2f7a-4d3e-bab0-5517db314c26</t>
  </si>
  <si>
    <t>2019-12-31T11:02:49.000+06:30</t>
  </si>
  <si>
    <t>2020-03-02T06:34:08</t>
  </si>
  <si>
    <t>08cfcd49-4f65-4f19-bf43-b03e60a75d92</t>
  </si>
  <si>
    <t>2019-10-21T05:59:53</t>
  </si>
  <si>
    <t>2020-03-02T12:08:19.000+06:30</t>
  </si>
  <si>
    <t>2020-03-02T12:10:23.000+06:30</t>
  </si>
  <si>
    <t>2019-10-21T11:34:56.000+06:30</t>
  </si>
  <si>
    <t>2019-10-17T16:45:00.000+06:30</t>
  </si>
  <si>
    <t>2019-10-18T16:45:00.000+06:30</t>
  </si>
  <si>
    <t>a80c082f-0654-425e-964f-fbc7b23a4faf</t>
  </si>
  <si>
    <t>2019-10-18T17:58:00.000+06:30</t>
  </si>
  <si>
    <t>2019-12-31T05:29:33</t>
  </si>
  <si>
    <t>045afd03-c6cb-4f63-a69b-5529a1025ac8</t>
  </si>
  <si>
    <t>2019-12-31T11:03:40.000+06:30</t>
  </si>
  <si>
    <t>2019-10-21T06:02:16</t>
  </si>
  <si>
    <t>2019-10-21T12:31:11.000+06:30</t>
  </si>
  <si>
    <t>2019-10-21T12:33:24.000+06:30</t>
  </si>
  <si>
    <t>2019-10-18T16:25:00.000+06:30</t>
  </si>
  <si>
    <t>106468bd-3c4b-49e5-8549-fd38d5655a90</t>
  </si>
  <si>
    <t>d4fb8437-6560-40d0-ac1a-e766163451ac</t>
  </si>
  <si>
    <t>2019-10-21T07:00:44</t>
  </si>
  <si>
    <t>2019-12-31T05:30:24</t>
  </si>
  <si>
    <t>2019-12-31T11:04:19.000+06:30</t>
  </si>
  <si>
    <t>2019-10-21T12:35:24.000+06:30</t>
  </si>
  <si>
    <t>2019-12-31T11:05:02.000+06:30</t>
  </si>
  <si>
    <t>2019-10-17T15:50:00.000+06:30</t>
  </si>
  <si>
    <t>2019-10-17T15:56:00.000+06:30</t>
  </si>
  <si>
    <t>2019-10-18T15:56:00.000+06:30</t>
  </si>
  <si>
    <t>2019-10-18T16:05:00.000+06:30</t>
  </si>
  <si>
    <t>28683882-0c64-49f0-a494-a22733289b63</t>
  </si>
  <si>
    <t>2020-03-02T06:36:14</t>
  </si>
  <si>
    <t>6bc47019-0ced-4dfa-b7be-ec71f21e888b</t>
  </si>
  <si>
    <t>2019-10-21T07:02:44</t>
  </si>
  <si>
    <t>2020-03-02T12:10:24.000+06:30</t>
  </si>
  <si>
    <t>2019-10-22T16:56:11.000+06:30</t>
  </si>
  <si>
    <t>276f1b2e-d90a-4fad-b016-b01308b89b92</t>
  </si>
  <si>
    <t>2019-12-31T05:31:47</t>
  </si>
  <si>
    <t>2020-03-02T12:13:16.000+06:30</t>
  </si>
  <si>
    <t>2019-10-22T16:57:47.000+06:30</t>
  </si>
  <si>
    <t>2019-12-31T11:06:16.000+06:30</t>
  </si>
  <si>
    <t>2019-10-21T16:15:00.000+06:30</t>
  </si>
  <si>
    <t>2019-10-21T16:22:00.000+06:30</t>
  </si>
  <si>
    <t>2019-10-22T16:22:00.000+06:30</t>
  </si>
  <si>
    <t>2019-10-22T16:30:00.000+06:30</t>
  </si>
  <si>
    <t>517ecb6e-9a60-4808-bbbe-2ca7dbdf7a76</t>
  </si>
  <si>
    <t>2019-10-22T11:25:06</t>
  </si>
  <si>
    <t>2019-10-23T12:24:22.000+06:30</t>
  </si>
  <si>
    <t>8a9fb956-aa77-4979-bb02-f6432d8c358d</t>
  </si>
  <si>
    <t>2019-12-31T05:33:01</t>
  </si>
  <si>
    <t>2019-10-23T12:27:01.000+06:30</t>
  </si>
  <si>
    <t>2019-12-31T11:06:17.000+06:30</t>
  </si>
  <si>
    <t>2019-10-21T16:30:00.000+06:30</t>
  </si>
  <si>
    <t>2019-12-31T11:07:09.000+06:30</t>
  </si>
  <si>
    <t>2019-10-21T16:45:00.000+06:30</t>
  </si>
  <si>
    <t>2019-10-22T16:45:00.000+06:30</t>
  </si>
  <si>
    <t>2019-10-22T17:40:00.000+06:30</t>
  </si>
  <si>
    <t>2712909d-9f65-4732-8f56-7a3123f71711</t>
  </si>
  <si>
    <t>2019-10-23T06:54:21</t>
  </si>
  <si>
    <t>2019-10-23T12:29:40.000+06:30</t>
  </si>
  <si>
    <t>2019-10-22T17:34:00.000+06:30</t>
  </si>
  <si>
    <t>FOR PLc1039FL CONCENTRATED SAMPLE SO FILTER WAS NOT PROCESSED</t>
  </si>
  <si>
    <t>50b4f517-6da4-4065-9914-3349015b9f26</t>
  </si>
  <si>
    <t>2019-12-31T05:33:52</t>
  </si>
  <si>
    <t>a5efb1df-7544-4751-a2e3-2ce2a052bbca</t>
  </si>
  <si>
    <t>2019-10-23T06:57:00</t>
  </si>
  <si>
    <t>2019-12-31T11:07:50.000+06:30</t>
  </si>
  <si>
    <t>2019-10-23T12:31:08.000+06:30</t>
  </si>
  <si>
    <t>bbe78bd7-183f-4a12-9b9a-0fd628f8e40a</t>
  </si>
  <si>
    <t>2020-03-02T06:39:08</t>
  </si>
  <si>
    <t>2020-03-02T12:13:17.000+06:30</t>
  </si>
  <si>
    <t>2020-03-02T12:15:42.000+06:30</t>
  </si>
  <si>
    <t>2019-10-22T16:55:00.000+06:30</t>
  </si>
  <si>
    <t>87e1fe47-d65d-4698-bae5-b7e22206d7bd</t>
  </si>
  <si>
    <t>2019-10-23T06:58:26</t>
  </si>
  <si>
    <t>2223fe09-7477-4085-b956-44a8ba906c1c</t>
  </si>
  <si>
    <t>2019-10-23T12:33:26.000+06:30</t>
  </si>
  <si>
    <t>2019-12-31T05:34:34</t>
  </si>
  <si>
    <t>2019-12-31T11:08:59.000+06:30</t>
  </si>
  <si>
    <t>74596c69-958f-41cd-a45e-d4726ea99dcc</t>
  </si>
  <si>
    <t>2019-10-23T07:00:46</t>
  </si>
  <si>
    <t>2019-10-23T12:36:31.000+06:30</t>
  </si>
  <si>
    <t>6aa591c2-2006-4147-a99b-17c75f0cf175</t>
  </si>
  <si>
    <t>2019-12-31T05:35:43</t>
  </si>
  <si>
    <t>OBSERVATION-NOT TURBID</t>
  </si>
  <si>
    <t>2019-12-31T11:09:47.000+06:30</t>
  </si>
  <si>
    <t>7c7db8f9-a8e5-4e2c-8d81-5b8966089b06</t>
  </si>
  <si>
    <t>2019-10-23T07:03:50</t>
  </si>
  <si>
    <t>WG5 1:10^4 - 3 volume tested 1ml. GB-124 Undiluted 5ml and 1ml = Agar did not solidify.</t>
  </si>
  <si>
    <t>2019-10-23T12:38:44.000+06:30</t>
  </si>
  <si>
    <t>0c34bf02-c9a7-4bab-b0aa-008f5e44b7cc</t>
  </si>
  <si>
    <t>2020-03-02T06:41:33</t>
  </si>
  <si>
    <t>2020-03-02T12:15:43.000+06:30</t>
  </si>
  <si>
    <t>2020-03-02T12:17:18.000+06:30</t>
  </si>
  <si>
    <t>3fd4b6af-119a-43fb-81f0-a2ebe73fed22</t>
  </si>
  <si>
    <t>2019-12-31T05:36:31</t>
  </si>
  <si>
    <t>11ff69f0-0e9f-4a44-a442-720eac34176b</t>
  </si>
  <si>
    <t>2019-10-23T07:06:02</t>
  </si>
  <si>
    <t>2019-10-23T12:40:54.000+06:30</t>
  </si>
  <si>
    <t>2019-12-31T11:11:04.000+06:30</t>
  </si>
  <si>
    <t>f2ac2513-9f38-40c6-9715-e425660516bd</t>
  </si>
  <si>
    <t>2019-10-23T07:08:13</t>
  </si>
  <si>
    <t>2019-10-23T12:42:53.000+06:30</t>
  </si>
  <si>
    <t>48dfd834-8460-498b-8d44-dedca6301660</t>
  </si>
  <si>
    <t>2019-12-31T05:37:49</t>
  </si>
  <si>
    <t>2019-10-21T16:40:00.000+06:30</t>
  </si>
  <si>
    <t>2019-10-21T16:48:00.000+06:30</t>
  </si>
  <si>
    <t>2019-10-22T16:48:00.000+06:30</t>
  </si>
  <si>
    <t>2019-10-22T17:42:00.000+06:30</t>
  </si>
  <si>
    <t>2019-12-31T11:12:01.000+06:30</t>
  </si>
  <si>
    <t>ec22e4b4-ef89-43cd-8b04-3526ccdf4bdb</t>
  </si>
  <si>
    <t>2019-10-23T07:10:11</t>
  </si>
  <si>
    <t>2019-10-23T12:44:32.000+06:30</t>
  </si>
  <si>
    <t>2019-10-21T16:18:00.000+06:30</t>
  </si>
  <si>
    <t>562ca6c4-a495-4b1a-a0b0-11e040f0647e</t>
  </si>
  <si>
    <t>2020-03-02T06:43:09</t>
  </si>
  <si>
    <t>2020-03-02T12:17:20.000+06:30</t>
  </si>
  <si>
    <t>OBSERVATION -NOT TURBID</t>
  </si>
  <si>
    <t>2020-03-02T12:19:09.000+06:30</t>
  </si>
  <si>
    <t>ff159d06-0e5f-4c26-b7e0-ab034ecabc20</t>
  </si>
  <si>
    <t>dfdf8e06-e24e-4ac1-b93c-3727aee84362</t>
  </si>
  <si>
    <t>2019-10-23T07:11:50</t>
  </si>
  <si>
    <t>2019-12-31T05:38:45</t>
  </si>
  <si>
    <t>2019-10-23T12:47:25.000+06:30</t>
  </si>
  <si>
    <t>2019-12-31T11:12:50.000+06:30</t>
  </si>
  <si>
    <t>056b5773-98f9-437b-a3ec-9c95e8c0329c</t>
  </si>
  <si>
    <t>2019-10-23T07:14:43</t>
  </si>
  <si>
    <t>2019-10-24T11:37:50.000+06:30</t>
  </si>
  <si>
    <t>54342dd8-df44-4bed-a1d1-857a55e16ffe</t>
  </si>
  <si>
    <t>2019-12-31T05:39:34</t>
  </si>
  <si>
    <t>2019-10-24T11:40:11.000+06:30</t>
  </si>
  <si>
    <t>2019-10-22T17:00:00.000+06:30</t>
  </si>
  <si>
    <t>2019-12-31T11:20:36.000+06:30</t>
  </si>
  <si>
    <t>2019-10-22T17:12:00.000+06:30</t>
  </si>
  <si>
    <t>2019-10-23T17:12:00.000+06:30</t>
  </si>
  <si>
    <t>2019-10-23T18:05:00.000+06:30</t>
  </si>
  <si>
    <t>c6d24c50-f10c-4512-bb71-1ffe796035a8</t>
  </si>
  <si>
    <t>2019-10-24T06:07:30</t>
  </si>
  <si>
    <t>S.typhi 18.12.2019, s.paratyphi 18.12.2019</t>
  </si>
  <si>
    <t>GB-124 Undiluted 5ml = Agar did not solidify.</t>
  </si>
  <si>
    <t>2019-10-24T11:42:28.000+06:30</t>
  </si>
  <si>
    <t>0f68ebba-18f6-4a8d-a0d2-3951ca425a11</t>
  </si>
  <si>
    <t>2020-03-02T06:45:00</t>
  </si>
  <si>
    <t>2020-03-02T12:19:11.000+06:30</t>
  </si>
  <si>
    <t>2020-03-02T12:20:32.000+06:30</t>
  </si>
  <si>
    <t>623e5025-b421-4695-9aab-7c78e546e592</t>
  </si>
  <si>
    <t>c92c5d46-278c-46c0-b38f-c50d8d150a5f</t>
  </si>
  <si>
    <t>2019-10-24T06:09:45</t>
  </si>
  <si>
    <t>2019-12-31T05:47:20</t>
  </si>
  <si>
    <t>2019-10-24T11:45:40.000+06:30</t>
  </si>
  <si>
    <t>2019-12-31T11:21:33.000+06:30</t>
  </si>
  <si>
    <t>2019-10-22T16:40:00.000+06:30</t>
  </si>
  <si>
    <t>2019-10-23T16:48:00.000+06:30</t>
  </si>
  <si>
    <t>2019-10-23T17:00:00.000+06:30</t>
  </si>
  <si>
    <t>5c991a12-8ba2-4f15-bd49-0835df723bb0</t>
  </si>
  <si>
    <t>2019-10-24T06:12:58</t>
  </si>
  <si>
    <t>2019-10-24T11:45:41.000+06:30</t>
  </si>
  <si>
    <t>2019-10-24T11:47:07.000+06:30</t>
  </si>
  <si>
    <t>d9089399-029d-4a4f-92b8-949c62b86cea</t>
  </si>
  <si>
    <t>2019-12-31T05:48:17</t>
  </si>
  <si>
    <t>2019-10-23T18:10:00.000+06:30</t>
  </si>
  <si>
    <t>2019-12-31T11:22:51.000+06:30</t>
  </si>
  <si>
    <t>73656939-25b7-486b-bcaf-258b5e753e9d</t>
  </si>
  <si>
    <t>2019-10-24T06:14:24</t>
  </si>
  <si>
    <t>2019-10-24T11:48:35.000+06:30</t>
  </si>
  <si>
    <t>S.typhi 09.08.2019, s.paratyphi 09.08.2019</t>
  </si>
  <si>
    <t>b7d945ed-7fe5-4ea5-b5e3-04fabdc0d00d</t>
  </si>
  <si>
    <t>2020-03-02T06:46:23</t>
  </si>
  <si>
    <t>2019-10-22T16:50:00.000+06:30</t>
  </si>
  <si>
    <t>2020-03-02T12:20:34.000+06:30</t>
  </si>
  <si>
    <t>2019-10-23T16:50:00.000+06:30</t>
  </si>
  <si>
    <t>2020-03-02T12:23:10.000+06:30</t>
  </si>
  <si>
    <t>9516d892-84e6-4a55-8b35-3087c2b16eff</t>
  </si>
  <si>
    <t>bd495e69-1983-42fe-85b8-fab310a5b114</t>
  </si>
  <si>
    <t>2019-10-24T06:15:52</t>
  </si>
  <si>
    <t>2019-12-31T05:49:36</t>
  </si>
  <si>
    <t>2020-02-28T13:00:00.000+06:30</t>
  </si>
  <si>
    <t>2019-10-25T12:09:29.000+06:30</t>
  </si>
  <si>
    <t>2020-02-29T13:00:00.000+06:30</t>
  </si>
  <si>
    <t>2019-12-31T11:23:35.000+06:30</t>
  </si>
  <si>
    <t>2019-10-25T12:11:50.000+06:30</t>
  </si>
  <si>
    <t>2019-10-23T14:20:00.000+06:30</t>
  </si>
  <si>
    <t>2019-10-23T14:25:00.000+06:30</t>
  </si>
  <si>
    <t>2019-10-24T14:25:00.000+06:30</t>
  </si>
  <si>
    <t>2019-10-24T14:40:00.000+06:30</t>
  </si>
  <si>
    <t>2020-02-29T13:20:00.000+06:30</t>
  </si>
  <si>
    <t>OBSERVATION= TURBID</t>
  </si>
  <si>
    <t>152d4c8f-136f-47ae-820c-988b1d7d9f2e</t>
  </si>
  <si>
    <t>2019-10-25T06:39:08</t>
  </si>
  <si>
    <t>a6bf3836-3966-4c27-9673-3156985ceba5</t>
  </si>
  <si>
    <t>2019-10-25T12:11:51.000+06:30</t>
  </si>
  <si>
    <t>2019-12-31T05:50:18</t>
  </si>
  <si>
    <t>2019-12-31T11:23:36.000+06:30</t>
  </si>
  <si>
    <t>2019-10-25T12:13:23.000+06:30</t>
  </si>
  <si>
    <t>2019-12-31T11:24:23.000+06:30</t>
  </si>
  <si>
    <t>5b7e6dd6-a8c6-4cf2-adbd-85261da4f7fd</t>
  </si>
  <si>
    <t>2019-10-23T14:10:00.000+06:30</t>
  </si>
  <si>
    <t>2020-03-02T06:49:03</t>
  </si>
  <si>
    <t>2019-10-23T14:18:00.000+06:30</t>
  </si>
  <si>
    <t>2020-03-02T12:23:11.000+06:30</t>
  </si>
  <si>
    <t>2019-10-24T14:18:00.000+06:30</t>
  </si>
  <si>
    <t>2019-10-24T14:30:00.000+06:30</t>
  </si>
  <si>
    <t>2020-03-02T12:25:10.000+06:30</t>
  </si>
  <si>
    <t>OBSERVATION= NOT TURBID</t>
  </si>
  <si>
    <t>39227a23-7550-4ee5-9fbf-1cbabeb5ccba</t>
  </si>
  <si>
    <t>2019-10-25T06:40:39</t>
  </si>
  <si>
    <t>2019-10-31T11:25:23.000+06:30</t>
  </si>
  <si>
    <t>46ce5e12-2ace-4695-880d-aaced71412ea</t>
  </si>
  <si>
    <t>2019-10-31T11:35:58.000+06:30</t>
  </si>
  <si>
    <t>2019-12-31T05:51:07</t>
  </si>
  <si>
    <t>2019-10-24T16:50:00.000+06:30</t>
  </si>
  <si>
    <t>2019-10-24T17:00:00.000+06:30</t>
  </si>
  <si>
    <t>2019-10-25T17:00:00.000+06:30</t>
  </si>
  <si>
    <t>2019-10-25T17:55:00.000+06:30</t>
  </si>
  <si>
    <t>2019-12-31T11:25:02.000+06:30</t>
  </si>
  <si>
    <t>7b3f2210-f1c6-4912-b320-b17e4964676c</t>
  </si>
  <si>
    <t>2019-10-31T06:03:10</t>
  </si>
  <si>
    <t>2019-10-31T11:37:56.000+06:30</t>
  </si>
  <si>
    <t>811e062a-8dcb-4670-87e4-3ba395136afc</t>
  </si>
  <si>
    <t>2020-03-02T06:51:02</t>
  </si>
  <si>
    <t>078cd665-516d-4b22-97b8-e3c7250009fa</t>
  </si>
  <si>
    <t>2019-12-31T05:51:46</t>
  </si>
  <si>
    <t>FB 1085 UP</t>
  </si>
  <si>
    <t>2020-03-02T12:25:12.000+06:30</t>
  </si>
  <si>
    <t>2019-10-24T16:00:00.000+06:30</t>
  </si>
  <si>
    <t>2019-10-24T16:10:00.000+06:30</t>
  </si>
  <si>
    <t>2020-03-02T12:27:27.000+06:30</t>
  </si>
  <si>
    <t>2019-10-25T16:10:00.000+06:30</t>
  </si>
  <si>
    <t>2019-10-25T16:25:00.000+06:30</t>
  </si>
  <si>
    <t>2019-12-31T11:25:51.000+06:30</t>
  </si>
  <si>
    <t>9677ecc2-159a-4032-a264-0dbd6af920af</t>
  </si>
  <si>
    <t>2019-10-31T06:05:08</t>
  </si>
  <si>
    <t>2019-10-31T11:39:59.000+06:30</t>
  </si>
  <si>
    <t>2019-10-25T17:58:00.000+06:30</t>
  </si>
  <si>
    <t>460887f8-32e2-4bed-8260-76d8fee1226c</t>
  </si>
  <si>
    <t>2019-12-31T05:52:35</t>
  </si>
  <si>
    <t>f51e1180-a559-4ba3-99e6-7828f89b63b6</t>
  </si>
  <si>
    <t>2019-10-31T06:07:11</t>
  </si>
  <si>
    <t>2019-12-31T11:26:33.000+06:30</t>
  </si>
  <si>
    <t>2019-10-31T11:41:26.000+06:30</t>
  </si>
  <si>
    <t>FB 1086 UP</t>
  </si>
  <si>
    <t>2019-10-24T16:05:00.000+06:30</t>
  </si>
  <si>
    <t>WITH SAMPLE MO1107</t>
  </si>
  <si>
    <t>d70f8931-1771-456e-ae48-bb2866196a9e</t>
  </si>
  <si>
    <t>2019-10-31T06:08:38</t>
  </si>
  <si>
    <t>ebfb272a-b7df-4811-9ace-3cf1ce46db36</t>
  </si>
  <si>
    <t>2020-03-02T06:53:18</t>
  </si>
  <si>
    <t>2019-10-31T11:42:41.000+06:30</t>
  </si>
  <si>
    <t>2020-03-02T12:27:29.000+06:30</t>
  </si>
  <si>
    <t>d27c1e0c-593a-4c8d-a72a-939327c28c73</t>
  </si>
  <si>
    <t>2019-12-31T05:53:17</t>
  </si>
  <si>
    <t>PLC 1044</t>
  </si>
  <si>
    <t>2020-03-02T12:29:06.000+06:30</t>
  </si>
  <si>
    <t>2019-10-24T16:15:00.000+06:30</t>
  </si>
  <si>
    <t>2019-10-24T16:20:00.000+06:30</t>
  </si>
  <si>
    <t>2019-10-25T16:20:00.000+06:30</t>
  </si>
  <si>
    <t>2019-10-25T17:10:00.000+06:30</t>
  </si>
  <si>
    <t>2019-12-31T11:27:15.000+06:30</t>
  </si>
  <si>
    <t>b5868247-65b7-497a-8918-ec2e9369127d</t>
  </si>
  <si>
    <t>2019-10-31T06:09:52</t>
  </si>
  <si>
    <t>2019-10-31T11:43:45.000+06:30</t>
  </si>
  <si>
    <t>FB 1087 UP</t>
  </si>
  <si>
    <t>2019-10-25T16:05:00.000+06:30</t>
  </si>
  <si>
    <t>2019-10-25T16:28:00.000+06:30</t>
  </si>
  <si>
    <t>1743e216-476d-48b8-ac40-6b21df509fc5</t>
  </si>
  <si>
    <t>2019-12-31T05:53:59</t>
  </si>
  <si>
    <t>2019-12-31T11:27:53.000+06:30</t>
  </si>
  <si>
    <t>f61b180f-8974-4f56-bec0-1b3159571b2f</t>
  </si>
  <si>
    <t>2019-10-31T06:10:55</t>
  </si>
  <si>
    <t>2019-10-31T11:45:10.000+06:30</t>
  </si>
  <si>
    <t>PLC 1045</t>
  </si>
  <si>
    <t>Original Count = 412</t>
  </si>
  <si>
    <t>8e4386d9-271a-47af-bc97-0e5267819e40</t>
  </si>
  <si>
    <t>2019-10-31T06:12:22</t>
  </si>
  <si>
    <t>1308614b-6648-446b-a0c3-3b9d51370f59</t>
  </si>
  <si>
    <t>2020-03-02T06:54:58</t>
  </si>
  <si>
    <t>2019-10-31T11:45:11.000+06:30</t>
  </si>
  <si>
    <t>24fe7002-44cd-4ad2-8083-c8e822644ae6</t>
  </si>
  <si>
    <t>2019-12-31T05:54:37</t>
  </si>
  <si>
    <t>2020-03-17T12:10:40.000+06:30</t>
  </si>
  <si>
    <t>2019-12-31T11:27:54.000+06:30</t>
  </si>
  <si>
    <t>2019-10-31T11:46:21.000+06:30</t>
  </si>
  <si>
    <t>2020-03-17T12:15:52.000+06:30</t>
  </si>
  <si>
    <t>FB 1088 UP</t>
  </si>
  <si>
    <t>2019-12-31T11:28:50.000+06:30</t>
  </si>
  <si>
    <t>2020-03-04T11:00:00.000+06:30</t>
  </si>
  <si>
    <t>WITH SAMPLE PLC 1045</t>
  </si>
  <si>
    <t>cfd07c34-d7e9-40c4-85ea-21895b3ec205</t>
  </si>
  <si>
    <t>2019-10-31T06:13:32</t>
  </si>
  <si>
    <t>2019-10-31T11:47:50.000+06:30</t>
  </si>
  <si>
    <t>PLC 1046</t>
  </si>
  <si>
    <t>5e14218b-4973-4df1-82af-f75c43d881c2</t>
  </si>
  <si>
    <t>2019-12-31T05:55:33</t>
  </si>
  <si>
    <t>WG5 1:10^4 - 1, volume tested 1ml.</t>
  </si>
  <si>
    <t>2019-10-25T17:15:00.000+06:30</t>
  </si>
  <si>
    <t>2019-12-31T11:29:43.000+06:30</t>
  </si>
  <si>
    <t>bac6c026-040f-4bfe-8ac5-4c49980fa896</t>
  </si>
  <si>
    <t>2019-10-31T06:15:02</t>
  </si>
  <si>
    <t>2019-10-31T11:49:01.000+06:30</t>
  </si>
  <si>
    <t>FB 1089 UP</t>
  </si>
  <si>
    <t>SAMPLE - PLC 1046</t>
  </si>
  <si>
    <t>88606acd-654b-41b2-ac46-7d4e5d4ee3b4</t>
  </si>
  <si>
    <t>e4921a68-4de2-46d9-b66d-a692daa6e624</t>
  </si>
  <si>
    <t>2019-12-31T05:56:27</t>
  </si>
  <si>
    <t>2019-10-31T06:16:12</t>
  </si>
  <si>
    <t>c141ddba-777c-4dd7-94c9-11e17e0111ea</t>
  </si>
  <si>
    <t>2020-03-17T06:41:30</t>
  </si>
  <si>
    <t>2019-10-31T11:50:01.000+06:30</t>
  </si>
  <si>
    <t>2019-12-31T11:30:27.000+06:30</t>
  </si>
  <si>
    <t>PLC 1047</t>
  </si>
  <si>
    <t>2020-03-17T12:17:35.000+06:30</t>
  </si>
  <si>
    <t>2019-10-25T17:25:00.000+06:30</t>
  </si>
  <si>
    <t>2587b179-e6ea-433e-9523-b1bf10941ce1</t>
  </si>
  <si>
    <t>2019-10-31T06:17:12</t>
  </si>
  <si>
    <t>88a6297c-6f37-4486-8292-df13d96db12d</t>
  </si>
  <si>
    <t>2019-12-31T05:57:11</t>
  </si>
  <si>
    <t>2019-10-31T11:50:02.000+06:30</t>
  </si>
  <si>
    <t>2019-12-31T11:31:10.000+06:30</t>
  </si>
  <si>
    <t>2019-10-31T11:53:21.000+06:30</t>
  </si>
  <si>
    <t>FB 1090 UP</t>
  </si>
  <si>
    <t>SAMPLE - PLC 1047( FB NOT TURBID {NT} )</t>
  </si>
  <si>
    <t>8b96ce19-feb5-4fac-811d-7382ed345ae5</t>
  </si>
  <si>
    <t>2019-10-31T06:20:32</t>
  </si>
  <si>
    <t>54f0e1eb-a5b1-4664-89c3-11f655951808</t>
  </si>
  <si>
    <t>2019-10-31T11:54:31.000+06:30</t>
  </si>
  <si>
    <t>2019-12-31T05:57:54</t>
  </si>
  <si>
    <t>bc66651b-a443-4365-8641-36bc91af6281</t>
  </si>
  <si>
    <t>2020-03-17T06:43:13</t>
  </si>
  <si>
    <t>PLC 1048</t>
  </si>
  <si>
    <t>2019-10-24T16:18:00.000+06:30</t>
  </si>
  <si>
    <t>2019-12-31T11:32:03.000+06:30</t>
  </si>
  <si>
    <t>2020-03-17T12:19:17.000+06:30</t>
  </si>
  <si>
    <t>2019-10-25T17:30:00.000+06:30</t>
  </si>
  <si>
    <t>40f95c02-01c1-4ee9-8856-456c8c51062b</t>
  </si>
  <si>
    <t>2019-10-31T06:21:43</t>
  </si>
  <si>
    <t>2019-10-31T11:55:44.000+06:30</t>
  </si>
  <si>
    <t>FB 1091 UP</t>
  </si>
  <si>
    <t>5982f2d8-9370-4382-9b96-8c07ff9c1d55</t>
  </si>
  <si>
    <t>2019-12-31T05:58:48</t>
  </si>
  <si>
    <t>WITH SAMPLE PLC1048 AND NOT TURBID</t>
  </si>
  <si>
    <t>WG5 1:10^4 - 0, volume tested 1ml.</t>
  </si>
  <si>
    <t>2019-12-31T11:33:12.000+06:30</t>
  </si>
  <si>
    <t>689ca701-77fd-4b24-ad9d-6d0736089fdf</t>
  </si>
  <si>
    <t>2019-10-31T06:22:56</t>
  </si>
  <si>
    <t>8a1bfd50-a9ca-4d7f-b917-03c098902d32</t>
  </si>
  <si>
    <t>2020-03-17T06:44:54</t>
  </si>
  <si>
    <t>2019-10-31T11:57:16.000+06:30</t>
  </si>
  <si>
    <t>2020-03-17T12:21:25.000+06:30</t>
  </si>
  <si>
    <t>UPNC 37</t>
  </si>
  <si>
    <t>2019-10-24T15:55:00.000+06:30</t>
  </si>
  <si>
    <t>2020-03-02T14:00:00.000+06:30</t>
  </si>
  <si>
    <t>2019-10-25T16:00:00.000+06:30</t>
  </si>
  <si>
    <t>NO TURBID</t>
  </si>
  <si>
    <t>b3546997-92ef-4080-af63-74ec82a12b66</t>
  </si>
  <si>
    <t>f79f6a61-3226-4436-a466-a50f0a276e96</t>
  </si>
  <si>
    <t>2019-12-31T05:59:57</t>
  </si>
  <si>
    <t>2019-10-31T06:24:27</t>
  </si>
  <si>
    <t>2019-10-31T11:59:18.000+06:30</t>
  </si>
  <si>
    <t>2019-12-31T11:34:08.000+06:30</t>
  </si>
  <si>
    <t>WG5 1:10^4 - 4, volume tested 1ml.; Clear with countable plaques.</t>
  </si>
  <si>
    <t>PLC 1049</t>
  </si>
  <si>
    <t>2019-10-28T15:20:00.000+06:30</t>
  </si>
  <si>
    <t>2019-10-28T15:45:00.000+06:30</t>
  </si>
  <si>
    <t>07b4ad0e-7cda-42b6-96da-1356518c0610</t>
  </si>
  <si>
    <t>2019-10-29T15:45:00.000+06:30</t>
  </si>
  <si>
    <t>2020-03-17T06:47:03</t>
  </si>
  <si>
    <t>2019-10-29T17:25:00.000+06:30</t>
  </si>
  <si>
    <t>PLC SAMPLE TOO DIRTY SO FILTERING WAS NOT POSSIBLE</t>
  </si>
  <si>
    <t>2020-03-17T12:22:49.000+06:30</t>
  </si>
  <si>
    <t>937e4ce4-52dd-4126-860c-7f369c9ea77a</t>
  </si>
  <si>
    <t>2019-10-31T06:26:30</t>
  </si>
  <si>
    <t>da9dfb47-b982-41cf-843c-b57e0121cc48</t>
  </si>
  <si>
    <t>2019-10-31T12:00:39.000+06:30</t>
  </si>
  <si>
    <t>2019-12-31T06:00:51</t>
  </si>
  <si>
    <t>FB 1092 UP</t>
  </si>
  <si>
    <t>2019-10-28T15:00:00.000+06:30</t>
  </si>
  <si>
    <t>2019-10-28T15:15:00.000+06:30</t>
  </si>
  <si>
    <t>2019-10-29T15:15:00.000+06:30</t>
  </si>
  <si>
    <t>2019-12-31T11:34:46.000+06:30</t>
  </si>
  <si>
    <t>2019-10-29T15:20:00.000+06:30</t>
  </si>
  <si>
    <t>WITH SAMPLE PLC 1049 AND NOT TURBID</t>
  </si>
  <si>
    <t>4676fcb7-b71b-40de-a6c3-e22bb1045f5f</t>
  </si>
  <si>
    <t>2019-10-31T06:27:51</t>
  </si>
  <si>
    <t>eca3793e-bd0d-4d00-bc15-a4f650f225fb</t>
  </si>
  <si>
    <t>2020-03-17T06:48:28</t>
  </si>
  <si>
    <t>2019-10-31T12:02:57.000+06:30</t>
  </si>
  <si>
    <t>2020-03-17T12:24:08.000+06:30</t>
  </si>
  <si>
    <t>PLC 1050</t>
  </si>
  <si>
    <t>5dc7d33a-bf1d-411d-83fb-43540a44b366</t>
  </si>
  <si>
    <t>2019-12-31T06:01:30</t>
  </si>
  <si>
    <t>SAMPLE TOO DIRTY , FILTRATION WAS NOT POSSIBLE</t>
  </si>
  <si>
    <t>2019-12-31T11:35:59.000+06:30</t>
  </si>
  <si>
    <t>867839e4-19e2-46c9-81f3-5e7c4eab011e</t>
  </si>
  <si>
    <t>2019-10-31T06:30:08</t>
  </si>
  <si>
    <t>2019-10-31T12:04:03.000+06:30</t>
  </si>
  <si>
    <t>FB 1093 UP</t>
  </si>
  <si>
    <t>S.typhi 07.08.2019, s.paratyphi 07.08.2019</t>
  </si>
  <si>
    <t>2019-10-29T15:30:00.000+06:30</t>
  </si>
  <si>
    <t>bd73c378-c43f-4db3-bf1d-4f1a326bab97</t>
  </si>
  <si>
    <t>2020-03-17T06:49:46</t>
  </si>
  <si>
    <t>WITH SAMPLE PLC 1050 AND NOT TURBID</t>
  </si>
  <si>
    <t>2020-03-17T12:24:09.000+06:30</t>
  </si>
  <si>
    <t>11b31409-4395-40dd-a339-ca31ded341d5</t>
  </si>
  <si>
    <t>2020-03-17T12:25:27.000+06:30</t>
  </si>
  <si>
    <t>2019-10-31T06:31:14</t>
  </si>
  <si>
    <t>26cfee09-5062-4030-979a-2d73e0ef4cb7</t>
  </si>
  <si>
    <t>2019-12-31T06:02:44</t>
  </si>
  <si>
    <t>SL1001(1)</t>
  </si>
  <si>
    <t>2019-10-31T12:05:04.000+06:30</t>
  </si>
  <si>
    <t>PLC 1051</t>
  </si>
  <si>
    <t>2019-12-31T11:36:48.000+06:30</t>
  </si>
  <si>
    <t>2019-10-28T15:25:00.000+06:30</t>
  </si>
  <si>
    <t>2019-10-29T17:30:00.000+06:30</t>
  </si>
  <si>
    <t>f7ad0553-61c3-421c-8f2c-d9be974b5e0f</t>
  </si>
  <si>
    <t>2020-03-17T06:51:05</t>
  </si>
  <si>
    <t>26ec2cc6-da22-4a81-a6a2-ad1b6d010b70</t>
  </si>
  <si>
    <t>2019-10-31T06:32:16</t>
  </si>
  <si>
    <t>2020-03-17T12:26:18.000+06:30</t>
  </si>
  <si>
    <t>2019-10-31T12:05:05.000+06:30</t>
  </si>
  <si>
    <t>SL1001(2)</t>
  </si>
  <si>
    <t>2019-10-31T12:06:16.000+06:30</t>
  </si>
  <si>
    <t>724a0437-14fc-4903-89c3-13c58bd762eb</t>
  </si>
  <si>
    <t>FB 1094 UP</t>
  </si>
  <si>
    <t>2019-12-31T06:03:31</t>
  </si>
  <si>
    <t>6caf8189-d9d7-4134-a941-3ebae050a24b</t>
  </si>
  <si>
    <t>2019-12-31T11:37:42.000+06:30</t>
  </si>
  <si>
    <t>WITH SAMPLE PLC 1051 AND NOT TURBID</t>
  </si>
  <si>
    <t>2020-03-17T06:51:55</t>
  </si>
  <si>
    <t>2020-03-17T12:26:19.000+06:30</t>
  </si>
  <si>
    <t>e270a2c7-7283-4bc8-b0d9-a65ffa86296d</t>
  </si>
  <si>
    <t>2019-10-31T06:33:27</t>
  </si>
  <si>
    <t>2020-03-17T12:27:21.000+06:30</t>
  </si>
  <si>
    <t>B124-21(1)</t>
  </si>
  <si>
    <t>2019-10-31T12:07:32.000+06:30</t>
  </si>
  <si>
    <t>PLC 1052</t>
  </si>
  <si>
    <t>deb19b2a-8987-44d1-afe0-86f10c4bae2f</t>
  </si>
  <si>
    <t>2019-12-31T06:04:26</t>
  </si>
  <si>
    <t>1a7a42b3-2db0-43b4-951f-e73813f31446</t>
  </si>
  <si>
    <t>2020-03-17T06:52:57</t>
  </si>
  <si>
    <t>ef28e422-4334-4751-b713-b304b8ca06bc</t>
  </si>
  <si>
    <t>2020-03-17T12:27:22.000+06:30</t>
  </si>
  <si>
    <t>2019-10-31T06:34:44</t>
  </si>
  <si>
    <t>2020-03-17T12:28:10.000+06:30</t>
  </si>
  <si>
    <t>2019-12-31T11:38:55.000+06:30</t>
  </si>
  <si>
    <t>2019-10-31T12:08:56.000+06:30</t>
  </si>
  <si>
    <t>B124-21(2)</t>
  </si>
  <si>
    <t>FB 1095 UP</t>
  </si>
  <si>
    <t>2019-10-28T15:05:00.000+06:30</t>
  </si>
  <si>
    <t>WITH SAMPLE PLC 1052 AND NOT TURBID</t>
  </si>
  <si>
    <t>eea14dec-335d-4bd8-bef0-8cc9b153a503</t>
  </si>
  <si>
    <t>2020-03-17T06:53:47</t>
  </si>
  <si>
    <t>edab9e29-859e-43bd-b18f-7b957ef57add</t>
  </si>
  <si>
    <t>2019-10-31T06:36:10</t>
  </si>
  <si>
    <t>2020-03-17T12:28:11.000+06:30</t>
  </si>
  <si>
    <t>Associated sample MO1054</t>
  </si>
  <si>
    <t>2020-03-17T12:29:02.000+06:30</t>
  </si>
  <si>
    <t>254e43c6-433f-460e-a93a-34e596282247</t>
  </si>
  <si>
    <t>2019-12-31T06:05:39</t>
  </si>
  <si>
    <t>2019-10-31T12:10:08.000+06:30</t>
  </si>
  <si>
    <t>B124-21(3)</t>
  </si>
  <si>
    <t>PLC 1053</t>
  </si>
  <si>
    <t>2019-12-31T11:39:59.000+06:30</t>
  </si>
  <si>
    <t>2019-10-29T17:35:00.000+06:30</t>
  </si>
  <si>
    <t>18ML FILTERED</t>
  </si>
  <si>
    <t>cb2e5749-5eca-4cf7-8679-d3414cf6e70a</t>
  </si>
  <si>
    <t>2020-03-17T06:54:39</t>
  </si>
  <si>
    <t>2020-03-17T12:29:03.000+06:30</t>
  </si>
  <si>
    <t>d316bce7-130c-4fd6-815f-b1a911d94c5c</t>
  </si>
  <si>
    <t>2019-10-31T06:37:21</t>
  </si>
  <si>
    <t>2020-03-17T12:30:06.000+06:30</t>
  </si>
  <si>
    <t>B124-21(4)</t>
  </si>
  <si>
    <t>2019-10-31T12:12:11.000+06:30</t>
  </si>
  <si>
    <t>PLC 1053 F</t>
  </si>
  <si>
    <t>9c469dee-6644-4f11-ba9b-2debb927086c</t>
  </si>
  <si>
    <t>2019-12-31T06:06:43</t>
  </si>
  <si>
    <t>2019-12-31T11:40:00.000+06:30</t>
  </si>
  <si>
    <t>18ML AVAILABLE FOR FILTRATION FROM SAMPLE</t>
  </si>
  <si>
    <t>0ca92536-d79d-41d9-b81f-51654036081e</t>
  </si>
  <si>
    <t>2019-12-31T11:40:49.000+06:30</t>
  </si>
  <si>
    <t>2020-03-17T06:55:41</t>
  </si>
  <si>
    <t>f94c1532-0826-47dc-a8b8-e528f857cc49</t>
  </si>
  <si>
    <t>2019-10-31T06:39:23</t>
  </si>
  <si>
    <t>2020-03-17T12:32:14.000+06:30</t>
  </si>
  <si>
    <t>2019-10-31T12:13:23.000+06:30</t>
  </si>
  <si>
    <t>FPc2005R</t>
  </si>
  <si>
    <t>FB 1096 UP</t>
  </si>
  <si>
    <t>2019-10-29T15:35:00.000+06:30</t>
  </si>
  <si>
    <t>WITH SAMPLE PLC 1053 AND NOT TURBID</t>
  </si>
  <si>
    <t>a6b0be8b-a9d4-47f3-a508-d1f60188765e</t>
  </si>
  <si>
    <t>2019-12-31T06:07:33</t>
  </si>
  <si>
    <t>bbaa7328-f973-4eb5-9cf6-c8c41425a32f</t>
  </si>
  <si>
    <t>2019-10-31T06:40:34</t>
  </si>
  <si>
    <t>ff18250a-631d-43bc-abf8-b4bc63840629</t>
  </si>
  <si>
    <t>2020-03-17T06:57:54</t>
  </si>
  <si>
    <t>2019-10-31T12:15:13.000+06:30</t>
  </si>
  <si>
    <t>2020-03-17T12:32:15.000+06:30</t>
  </si>
  <si>
    <t>2019-12-31T11:41:50.000+06:30</t>
  </si>
  <si>
    <t>UPNC 38</t>
  </si>
  <si>
    <t>2020-03-17T12:34:05.000+06:30</t>
  </si>
  <si>
    <t>2019-10-28T14:55:00.000+06:30</t>
  </si>
  <si>
    <t>2019-10-29T15:00:00.000+06:30</t>
  </si>
  <si>
    <t>2019-10-29T15:10:00.000+06:30</t>
  </si>
  <si>
    <t>8bc45147-2642-4373-aa62-ca265a18218d</t>
  </si>
  <si>
    <t>2019-10-31T06:42:25</t>
  </si>
  <si>
    <t>bf24a811-f93f-430c-a6b6-56c82945296e</t>
  </si>
  <si>
    <t>Associated sample PL1010</t>
  </si>
  <si>
    <t>2020-03-17T06:59:44</t>
  </si>
  <si>
    <t>2019-10-31T12:16:24.000+06:30</t>
  </si>
  <si>
    <t>2020-03-17T12:34:06.000+06:30</t>
  </si>
  <si>
    <t>2020-03-17T12:40:14.000+06:30</t>
  </si>
  <si>
    <t>5c320d96-3ac8-4307-9ba3-ad3c212945a9</t>
  </si>
  <si>
    <t>2019-12-31T06:08:34</t>
  </si>
  <si>
    <t>2019-10-29T13:20:00.000+06:30</t>
  </si>
  <si>
    <t>2019-10-30T13:20:00.000+06:30</t>
  </si>
  <si>
    <t>2019-10-30T15:45:00.000+06:30</t>
  </si>
  <si>
    <t>DUPLICATED</t>
  </si>
  <si>
    <t>2019-12-31T11:42:45.000+06:30</t>
  </si>
  <si>
    <t>9eab173a-2556-4f0f-9979-edc4442ed8d7</t>
  </si>
  <si>
    <t>New Control</t>
  </si>
  <si>
    <t>2019-10-31T06:43:36</t>
  </si>
  <si>
    <t>2019-10-31T12:16:25.000+06:30</t>
  </si>
  <si>
    <t>229d88b1-b651-487a-9158-eb7bf8f65e51</t>
  </si>
  <si>
    <t>2020-03-17T07:03:23</t>
  </si>
  <si>
    <t>2019-10-31T12:17:33.000+06:30</t>
  </si>
  <si>
    <t>2020-03-17T12:37:45.000+06:30</t>
  </si>
  <si>
    <t>FB 1097 UP</t>
  </si>
  <si>
    <t>2020-03-17T12:38:45.000+06:30</t>
  </si>
  <si>
    <t>2019-10-29T12:50:00.000+06:30</t>
  </si>
  <si>
    <t>2019-10-30T13:30:00.000+06:30</t>
  </si>
  <si>
    <t>WITH SAMPLE MO 1108 AND NOT TURBID</t>
  </si>
  <si>
    <t>49f4e074-9761-432e-8d6c-a4adcee3495f</t>
  </si>
  <si>
    <t>2019-12-31T06:09:30</t>
  </si>
  <si>
    <t>af112869-5b3f-4a90-85bf-5ebdcd842834</t>
  </si>
  <si>
    <t>2019-10-31T06:44:44</t>
  </si>
  <si>
    <t>Old Control</t>
  </si>
  <si>
    <t>2019-12-31T11:43:37.000+06:30</t>
  </si>
  <si>
    <t>2019-10-31T12:23:59.000+06:30</t>
  </si>
  <si>
    <t>60af3ed4-a83d-41cb-a1eb-f1fe2f83d349</t>
  </si>
  <si>
    <t>2020-03-17T07:04:23</t>
  </si>
  <si>
    <t>MO 1109</t>
  </si>
  <si>
    <t>2020-03-18T11:42:06.000+06:30</t>
  </si>
  <si>
    <t>2019-10-29T13:30:00.000+06:30</t>
  </si>
  <si>
    <t>2019-10-30T16:00:00.000+06:30</t>
  </si>
  <si>
    <t>2020-03-18T11:47:46.000+06:30</t>
  </si>
  <si>
    <t>FILTERED TWICE</t>
  </si>
  <si>
    <t>2020-03-04T14:30:00.000+06:30</t>
  </si>
  <si>
    <t>b3c25f79-007a-4c2b-b430-051e8676edb7</t>
  </si>
  <si>
    <t>2020-03-05T11:00:00.000+06:30</t>
  </si>
  <si>
    <t>2019-10-31T06:51:11</t>
  </si>
  <si>
    <t>2019-10-31T12:25:02.000+06:30</t>
  </si>
  <si>
    <t>FB 1098 UP</t>
  </si>
  <si>
    <t>WITH SAMPLE MO 1109 AND NOT TURBID</t>
  </si>
  <si>
    <t>24531fb7-d4bb-405b-86ea-280ed2c861b7</t>
  </si>
  <si>
    <t>2019-12-31T06:10:20</t>
  </si>
  <si>
    <t>WG5 1:10^4 - 3, volume tested 1ml.; Clear with 14 prominent plaques.</t>
  </si>
  <si>
    <t>1317969c-b738-4269-9b8b-142fda462add</t>
  </si>
  <si>
    <t>2019-10-31T06:52:13</t>
  </si>
  <si>
    <t>02048085-4621-42be-a893-e25847e6f0b1</t>
  </si>
  <si>
    <t>2020-03-18T06:13:21</t>
  </si>
  <si>
    <t>2019-10-31T12:25:51.000+06:30</t>
  </si>
  <si>
    <t>2020-03-18T11:49:31.000+06:30</t>
  </si>
  <si>
    <t>UPNC 39</t>
  </si>
  <si>
    <t>2019-12-31T11:44:27.000+06:30</t>
  </si>
  <si>
    <t>2019-10-30T12:50:00.000+06:30</t>
  </si>
  <si>
    <t>2019-10-30T13:10:00.000+06:30</t>
  </si>
  <si>
    <t>9546f513-3e31-4a54-810f-30200911b36c</t>
  </si>
  <si>
    <t>2019-10-31T06:53:03</t>
  </si>
  <si>
    <t>2019-11-04T13:03:27.000+06:30</t>
  </si>
  <si>
    <t>2019-11-04T13:09:58.000+06:30</t>
  </si>
  <si>
    <t>c6f0e5aa-4b79-449f-8a40-702c45066784</t>
  </si>
  <si>
    <t>2019-12-31T06:11:11</t>
  </si>
  <si>
    <t>2019-10-31T16:20:00.000+06:30</t>
  </si>
  <si>
    <t>2019-11-01T16:20:00.000+06:30</t>
  </si>
  <si>
    <t>2019-12-31T11:44:28.000+06:30</t>
  </si>
  <si>
    <t>2019-11-01T17:15:00.000+06:30</t>
  </si>
  <si>
    <t>008d5158-8ce7-4747-859e-08302e976051</t>
  </si>
  <si>
    <t>2020-03-18T06:15:06</t>
  </si>
  <si>
    <t>2019-12-31T11:45:14.000+06:30</t>
  </si>
  <si>
    <t>2020-03-18T11:49:32.000+06:30</t>
  </si>
  <si>
    <t>2dd74ecf-a14a-45de-8ee1-abb851af0e1c</t>
  </si>
  <si>
    <t>2019-11-04T07:37:06</t>
  </si>
  <si>
    <t>2019-11-04T13:17:39.000+06:30</t>
  </si>
  <si>
    <t>2020-03-18T11:52:10.000+06:30</t>
  </si>
  <si>
    <t>2019-11-04T13:37:21.000+06:30</t>
  </si>
  <si>
    <t>FB1099 UP</t>
  </si>
  <si>
    <t>2019-10-31T15:20:00.000+06:30</t>
  </si>
  <si>
    <t>2019-10-31T15:45:00.000+06:30</t>
  </si>
  <si>
    <t>2019-11-01T15:45:00.000+06:30</t>
  </si>
  <si>
    <t>Associated Sample PLc1054 and TURBID</t>
  </si>
  <si>
    <t>c5b2f856-fe84-474d-9379-121f828b7cf1</t>
  </si>
  <si>
    <t>e98608f7-c58d-4aa8-9c25-efd6cd7b0c69</t>
  </si>
  <si>
    <t>2019-12-31T06:11:58</t>
  </si>
  <si>
    <t>2019-11-04T08:04:29</t>
  </si>
  <si>
    <t>2019-11-04T13:39:14.000+06:30</t>
  </si>
  <si>
    <t>2019-12-31T11:46:06.000+06:30</t>
  </si>
  <si>
    <t>WG5 1:10^4 - 14, volume tested 1ml.; Clear and TNTC with some contamination for WG5.</t>
  </si>
  <si>
    <t>2324d69a-d5cd-49c8-a303-454884aad595</t>
  </si>
  <si>
    <t>2020-03-18T06:17:45</t>
  </si>
  <si>
    <t>4df30a5a-1920-47e5-93ad-b49b34ec78be</t>
  </si>
  <si>
    <t>2019-11-04T08:06:23</t>
  </si>
  <si>
    <t>2020-03-18T11:53:57.000+06:30</t>
  </si>
  <si>
    <t>2019-11-04T13:40:50.000+06:30</t>
  </si>
  <si>
    <t>2019-11-04T13:42:28.000+06:30</t>
  </si>
  <si>
    <t>2020-03-05T15:30:00.000+06:30</t>
  </si>
  <si>
    <t>2020-03-06T11:00:00.000+06:30</t>
  </si>
  <si>
    <t>FB1100 UP</t>
  </si>
  <si>
    <t>e1489b13-c849-42ed-8b09-fd0dbf94a23f</t>
  </si>
  <si>
    <t>2019-12-31T06:12:50</t>
  </si>
  <si>
    <t>Associated Sample PLc1055 and TURBID</t>
  </si>
  <si>
    <t>2019-12-31T11:46:46.000+06:30</t>
  </si>
  <si>
    <t>5fef64f0-504e-4527-b2e8-8936a8c2b04c</t>
  </si>
  <si>
    <t>2019-11-04T08:09:37</t>
  </si>
  <si>
    <t>2019-11-04T13:44:01.000+06:30</t>
  </si>
  <si>
    <t>c2d2f5e1-968f-470a-8fb8-69f224ad8c48</t>
  </si>
  <si>
    <t>2020-03-18T06:19:33</t>
  </si>
  <si>
    <t>2020-03-18T11:53:58.000+06:30</t>
  </si>
  <si>
    <t>f7d8cde9-620c-4a62-b8ea-80977b25b5a6</t>
  </si>
  <si>
    <t>5ac10c66-94bc-49c6-b80a-66b2a88eeaf5</t>
  </si>
  <si>
    <t>2019-12-31T06:13:31</t>
  </si>
  <si>
    <t>2019-11-04T08:11:09</t>
  </si>
  <si>
    <t>2020-03-18T11:55:49.000+06:30</t>
  </si>
  <si>
    <t>2019-12-31T11:46:47.000+06:30</t>
  </si>
  <si>
    <t>2019-11-04T13:45:20.000+06:30</t>
  </si>
  <si>
    <t>2019-11-04T13:46:36.000+06:30</t>
  </si>
  <si>
    <t>2019-12-31T11:47:30.000+06:30</t>
  </si>
  <si>
    <t>FB1101 UP</t>
  </si>
  <si>
    <t>Associated Sample PLc1056 and TURBID</t>
  </si>
  <si>
    <t>ecf603fd-9833-4f2c-a070-163eabec4171</t>
  </si>
  <si>
    <t>2019-11-04T08:13:44</t>
  </si>
  <si>
    <t>f2b5c5fc-ec8b-485f-84ef-4fac74674241</t>
  </si>
  <si>
    <t>2019-11-04T13:47:46.000+06:30</t>
  </si>
  <si>
    <t>2020-03-18T06:21:25</t>
  </si>
  <si>
    <t>57d13a49-1658-4944-9315-c684aecaba0a</t>
  </si>
  <si>
    <t>2020-03-18T11:55:50.000+06:30</t>
  </si>
  <si>
    <t>2019-12-31T06:14:14</t>
  </si>
  <si>
    <t>2020-03-18T11:57:09.000+06:30</t>
  </si>
  <si>
    <t>2019-12-31T11:48:09.000+06:30</t>
  </si>
  <si>
    <t>306aae5b-da23-492d-bc25-512b92e073c7</t>
  </si>
  <si>
    <t>22359a58-b362-4503-b026-e0e332d9359d</t>
  </si>
  <si>
    <t>2020-03-18T06:22:46</t>
  </si>
  <si>
    <t>2019-11-04T08:14:54</t>
  </si>
  <si>
    <t>2020-03-18T11:57:10.000+06:30</t>
  </si>
  <si>
    <t>2019-11-04T13:49:00.000+06:30</t>
  </si>
  <si>
    <t>2020-03-18T11:58:04.000+06:30</t>
  </si>
  <si>
    <t>2019-11-04T13:50:25.000+06:30</t>
  </si>
  <si>
    <t>FB1102 UP</t>
  </si>
  <si>
    <t>859461d3-1740-4be2-8935-430d63a9a254</t>
  </si>
  <si>
    <t>2020-03-18T06:23:39</t>
  </si>
  <si>
    <t>d67b6dae-6ecc-455b-9051-addf868e4b58</t>
  </si>
  <si>
    <t>Associated Sample PLc1057 and NOT TURBID</t>
  </si>
  <si>
    <t>2020-03-18T12:04:38.000+06:30</t>
  </si>
  <si>
    <t>2019-12-31T06:14:53</t>
  </si>
  <si>
    <t>2020-03-11T13:30:00.000+06:30</t>
  </si>
  <si>
    <t>ebca56d6-6ac5-4154-b8b1-f3c3a7b72a11</t>
  </si>
  <si>
    <t>2020-03-12T14:30:00.000+06:30</t>
  </si>
  <si>
    <t>2019-11-04T08:17:34</t>
  </si>
  <si>
    <t>2020-03-13T11:00:00.000+06:30</t>
  </si>
  <si>
    <t>2019-12-31T11:49:08.000+06:30</t>
  </si>
  <si>
    <t>2019-11-04T13:52:18.000+06:30</t>
  </si>
  <si>
    <t>Positive cont. did not work. None of the plates show any growth of the host strain.</t>
  </si>
  <si>
    <t>fa12516d-2fbc-4b5c-872b-7faa2983f29a</t>
  </si>
  <si>
    <t>2020-03-18T06:30:13</t>
  </si>
  <si>
    <t>2020-03-18T12:04:39.000+06:30</t>
  </si>
  <si>
    <t>2020-03-18T12:06:02.000+06:30</t>
  </si>
  <si>
    <t>12f18a31-6a80-4562-8dcb-6969f06d4c0e</t>
  </si>
  <si>
    <t>2019-11-04T08:19:27</t>
  </si>
  <si>
    <t>2019-11-04T13:53:52.000+06:30</t>
  </si>
  <si>
    <t>9d98a4fb-76e3-4eda-ab87-5bab0c9822cc</t>
  </si>
  <si>
    <t>2020-03-18T06:31:40</t>
  </si>
  <si>
    <t>2020-03-18T12:06:03.000+06:30</t>
  </si>
  <si>
    <t>2019-11-04T13:55:05.000+06:30</t>
  </si>
  <si>
    <t>1efbbd01-8443-4a1b-9647-a14cb63bdc11</t>
  </si>
  <si>
    <t>2020-03-18T12:07:10.000+06:30</t>
  </si>
  <si>
    <t>2019-12-31T06:15:51</t>
  </si>
  <si>
    <t>FB1103 UP</t>
  </si>
  <si>
    <t>Associated Sample PLc1058 and TURBID</t>
  </si>
  <si>
    <t>999091c6-1b84-4731-a4e5-966069003e38</t>
  </si>
  <si>
    <t>2019-12-31T11:49:55.000+06:30</t>
  </si>
  <si>
    <t>2020-03-18T06:32:45</t>
  </si>
  <si>
    <t>5deed67d-da11-41a2-9d17-30ec06d46f7a</t>
  </si>
  <si>
    <t>2019-11-04T08:22:13</t>
  </si>
  <si>
    <t>2020-03-18T12:08:12.000+06:30</t>
  </si>
  <si>
    <t>2019-11-04T13:56:23.000+06:30</t>
  </si>
  <si>
    <t>2019-10-31T16:30:00.000+06:30</t>
  </si>
  <si>
    <t>2019-10-31T16:45:00.000+06:30</t>
  </si>
  <si>
    <t>2019-11-01T16:45:00.000+06:30</t>
  </si>
  <si>
    <t>2019-11-01T17:55:00.000+06:30</t>
  </si>
  <si>
    <t>0af0952b-0f2e-4007-8024-e3a9af23ee6d</t>
  </si>
  <si>
    <t>2020-03-18T06:33:48</t>
  </si>
  <si>
    <t>2020-03-18T12:08:13.000+06:30</t>
  </si>
  <si>
    <t>452da634-a2f7-453c-9784-ab49b5e4f7b1</t>
  </si>
  <si>
    <t>74ec259d-40d5-43b2-98cd-2da2c0695e23</t>
  </si>
  <si>
    <t>2019-11-04T08:23:31</t>
  </si>
  <si>
    <t>2019-12-31T06:16:39</t>
  </si>
  <si>
    <t>2019-11-04T13:58:20.000+06:30</t>
  </si>
  <si>
    <t>2019-11-04T13:59:57.000+06:30</t>
  </si>
  <si>
    <t>2020-03-18T12:10:07.000+06:30</t>
  </si>
  <si>
    <t>2019-12-31T11:50:43.000+06:30</t>
  </si>
  <si>
    <t>FB1105 UP</t>
  </si>
  <si>
    <t>2020-03-13T14:30:00.000+06:30</t>
  </si>
  <si>
    <t>Associated Sample MO1110 and TURBID</t>
  </si>
  <si>
    <t>30886e2e-1e98-4ac4-b124-da0209c16bf2</t>
  </si>
  <si>
    <t>2019-11-04T08:27:05</t>
  </si>
  <si>
    <t>WG5 1:10^4 - 0, volume tested 1ml.; Positive cont. did not work. None of the plates show any growth of the host strain.</t>
  </si>
  <si>
    <t>d9880de3-242e-4b0d-9b8e-f2167040f36e</t>
  </si>
  <si>
    <t>2020-03-18T06:35:41</t>
  </si>
  <si>
    <t>2019-11-04T14:01:13.000+06:30</t>
  </si>
  <si>
    <t>2020-03-18T12:10:08.000+06:30</t>
  </si>
  <si>
    <t>2020-03-18T12:12:00.000+06:30</t>
  </si>
  <si>
    <t>5b674cbc-bf21-49dd-9279-dbb5f7775150</t>
  </si>
  <si>
    <t>2019-12-31T06:17:27</t>
  </si>
  <si>
    <t>2019-11-01T17:58:00.000+06:30</t>
  </si>
  <si>
    <t>2019-12-31T11:51:29.000+06:30</t>
  </si>
  <si>
    <t>40aa4d33-2421-4624-bf64-3fde2c9760d8</t>
  </si>
  <si>
    <t>2019-11-04T08:28:22</t>
  </si>
  <si>
    <t>2019-11-04T14:01:14.000+06:30</t>
  </si>
  <si>
    <t>7ffe29fe-b26c-4a6e-9f5d-f3331ef22b00</t>
  </si>
  <si>
    <t>2020-03-18T06:37:36</t>
  </si>
  <si>
    <t>2020-03-18T12:12:01.000+06:30</t>
  </si>
  <si>
    <t>2019-11-04T14:31:09.000+06:30</t>
  </si>
  <si>
    <t>2020-03-18T12:13:56.000+06:30</t>
  </si>
  <si>
    <t>FB1104 UP</t>
  </si>
  <si>
    <t>Associated Sample MO1111 and NOT TURBID</t>
  </si>
  <si>
    <t>6fdd1afd-9b85-46fb-9ee7-7e5415be82a0</t>
  </si>
  <si>
    <t>7286692a-7bc6-4eed-9446-2e0f64d50217</t>
  </si>
  <si>
    <t>2019-12-31T06:18:13</t>
  </si>
  <si>
    <t>2019-11-04T08:58:17</t>
  </si>
  <si>
    <t>73ba003d-2ec2-4422-94ad-d20c9b9a5e5d</t>
  </si>
  <si>
    <t>2019-11-04T14:33:05.000+06:30</t>
  </si>
  <si>
    <t>2020-03-18T06:39:35</t>
  </si>
  <si>
    <t>2019-12-31T11:52:20.000+06:30</t>
  </si>
  <si>
    <t>2020-03-18T12:13:57.000+06:30</t>
  </si>
  <si>
    <t>2020-03-18T12:19:32.000+06:30</t>
  </si>
  <si>
    <t>2019-10-31T15:15:00.000+06:30</t>
  </si>
  <si>
    <t>2019-10-31T15:18:00.000+06:30</t>
  </si>
  <si>
    <t>2019-11-01T15:18:00.000+06:30</t>
  </si>
  <si>
    <t>d7236ddc-2f73-40cd-95d9-1a8d012e3996</t>
  </si>
  <si>
    <t>2019-11-04T09:00:08</t>
  </si>
  <si>
    <t>WG5 1:10^4 - 0, volume tested 1ml.; Clear with prominent plaques. Positive cont. did not work. None of the plates show any growth of the host strain.</t>
  </si>
  <si>
    <t>420a0c20-f443-4fc6-a62a-3c3bbdb3def4</t>
  </si>
  <si>
    <t>2020-03-18T06:41:16</t>
  </si>
  <si>
    <t>2020-03-18T12:15:37.000+06:30</t>
  </si>
  <si>
    <t>2019-11-04T14:39:41.000+06:30</t>
  </si>
  <si>
    <t>2020-03-18T12:17:20.000+06:30</t>
  </si>
  <si>
    <t>FB1108 UP</t>
  </si>
  <si>
    <t>f4288a6a-1c60-474f-a428-8ab2abc300ae</t>
  </si>
  <si>
    <t>2019-12-31T06:19:04</t>
  </si>
  <si>
    <t>2019-11-02T15:45:00.000+06:30</t>
  </si>
  <si>
    <t>2019-11-02T16:00:00.000+06:30</t>
  </si>
  <si>
    <t>2019-12-31T11:52:21.000+06:30</t>
  </si>
  <si>
    <t>Associated Sample COa1005, COb1014, COb1015, COb1016and NOT TURBID</t>
  </si>
  <si>
    <t>2019-12-31T11:53:09.000+06:30</t>
  </si>
  <si>
    <t>b7c2ceea-59ed-488e-ba70-5077c915310c</t>
  </si>
  <si>
    <t>WG5 1:10^4 - 2, volume tested 1ml.; Positive cont. did not work. None of the plates show any growth of the host strain.</t>
  </si>
  <si>
    <t>2019-11-04T09:06:50</t>
  </si>
  <si>
    <t>a8d9e1a4-6952-4178-9480-bb1785170a7f</t>
  </si>
  <si>
    <t>2020-03-18T06:42:57</t>
  </si>
  <si>
    <t>2020-03-18T12:17:21.000+06:30</t>
  </si>
  <si>
    <t>2019-11-04T14:40:59.000+06:30</t>
  </si>
  <si>
    <t>2020-03-18T12:20:29.000+06:30</t>
  </si>
  <si>
    <t>2019-11-01T15:15:00.000+06:30</t>
  </si>
  <si>
    <t>2019-11-01T16:10:00.000+06:30</t>
  </si>
  <si>
    <t>2019-11-02T16:10:00.000+06:30</t>
  </si>
  <si>
    <t>2019-11-02T17:00:00.000+06:30</t>
  </si>
  <si>
    <t>de6a7276-db11-457e-a9f5-37043c4921d3</t>
  </si>
  <si>
    <t>2020-03-18T06:46:05</t>
  </si>
  <si>
    <t>2020-03-18T12:20:30.000+06:30</t>
  </si>
  <si>
    <t>c5e5d6d6-0e7d-4915-83dc-5ba69d6cd5c0</t>
  </si>
  <si>
    <t>adcdf411-6c38-4fb6-bad7-fbc74dbd9fdb</t>
  </si>
  <si>
    <t>2019-12-31T06:19:53</t>
  </si>
  <si>
    <t>2019-11-04T09:08:08</t>
  </si>
  <si>
    <t>2019-12-31T11:53:10.000+06:30</t>
  </si>
  <si>
    <t>2020-03-18T12:25:46.000+06:30</t>
  </si>
  <si>
    <t>2019-11-04T14:43:06.000+06:30</t>
  </si>
  <si>
    <t>2019-12-31T11:53:56.000+06:30</t>
  </si>
  <si>
    <t>f88b4b01-409b-42ba-8039-281a23aa7881</t>
  </si>
  <si>
    <t>2020-03-18T06:51:24</t>
  </si>
  <si>
    <t>2020-03-18T12:25:48.000+06:30</t>
  </si>
  <si>
    <t>FB1106 UP</t>
  </si>
  <si>
    <t>2020-03-18T12:27:02.000+06:30</t>
  </si>
  <si>
    <t>2019-11-01T15:05:00.000+06:30</t>
  </si>
  <si>
    <t>2019-11-01T15:50:00.000+06:30</t>
  </si>
  <si>
    <t>2019-11-02T15:50:00.000+06:30</t>
  </si>
  <si>
    <t>Associated Sample PLc1059 and NOT TURBID</t>
  </si>
  <si>
    <t>aba91d33-a69b-47b8-bb45-7ad3826090c7</t>
  </si>
  <si>
    <t>2020-03-18T06:52:36</t>
  </si>
  <si>
    <t>e29b7d41-83b9-4155-9191-982801a4fd2d</t>
  </si>
  <si>
    <t>2020-03-18T12:27:04.000+06:30</t>
  </si>
  <si>
    <t>2019-11-04T09:10:13</t>
  </si>
  <si>
    <t>2020-03-18T12:28:38.000+06:30</t>
  </si>
  <si>
    <t>2f8d777d-1ee2-4bdf-8e99-8ef6169f8489</t>
  </si>
  <si>
    <t>2019-12-31T06:20:40</t>
  </si>
  <si>
    <t>SW2003R</t>
  </si>
  <si>
    <t>2019-12-31T11:53:57.000+06:30</t>
  </si>
  <si>
    <t>2019-11-04T14:44:40.000+06:30</t>
  </si>
  <si>
    <t>2020-03-17T15:30:00.000+06:30</t>
  </si>
  <si>
    <t>2020-03-18T11:00:00.000+06:30</t>
  </si>
  <si>
    <t>2019-12-31T11:54:47.000+06:30</t>
  </si>
  <si>
    <t>fe6f1ff8-635f-46bd-916a-2f39739f0fe2</t>
  </si>
  <si>
    <t>2020-03-18T06:54:14</t>
  </si>
  <si>
    <t>2020-03-18T12:28:39.000+06:30</t>
  </si>
  <si>
    <t>2019-11-01T15:20:00.000+06:30</t>
  </si>
  <si>
    <t>2019-11-01T16:15:00.000+06:30</t>
  </si>
  <si>
    <t>2020-03-18T12:29:45.000+06:30</t>
  </si>
  <si>
    <t>2019-11-02T16:15:00.000+06:30</t>
  </si>
  <si>
    <t>2019-11-02T17:05:00.000+06:30</t>
  </si>
  <si>
    <t>SL2004R</t>
  </si>
  <si>
    <t>205bbbba-d946-4a88-87ea-5337fa079f29</t>
  </si>
  <si>
    <t>2019-11-04T09:11:48</t>
  </si>
  <si>
    <t>466c63ef-df6c-4e18-897a-66e8c5b6af83</t>
  </si>
  <si>
    <t>2019-12-31T06:21:31</t>
  </si>
  <si>
    <t>0093af6c-8a12-4349-a01d-2160c198980a</t>
  </si>
  <si>
    <t>2019-11-04T14:46:00.000+06:30</t>
  </si>
  <si>
    <t>2020-03-18T06:55:20</t>
  </si>
  <si>
    <t>2020-03-18T12:29:47.000+06:30</t>
  </si>
  <si>
    <t>FB1107 UP</t>
  </si>
  <si>
    <t>2020-03-18T12:30:43.000+06:30</t>
  </si>
  <si>
    <t>2019-12-31T11:55:32.000+06:30</t>
  </si>
  <si>
    <t>2019-11-01T15:10:00.000+06:30</t>
  </si>
  <si>
    <t>BW2003R</t>
  </si>
  <si>
    <t>Associated Sample PLc1060 and NOT TURBID</t>
  </si>
  <si>
    <t>74c6e792-38e7-471c-a9ca-572bc60a6eb6</t>
  </si>
  <si>
    <t>2019-11-04T09:13:09</t>
  </si>
  <si>
    <t>2019-11-04T14:47:31.000+06:30</t>
  </si>
  <si>
    <t>0e5cbbb7-dc37-4765-bc1f-1a8928f600f0</t>
  </si>
  <si>
    <t>2020-03-18T06:56:19</t>
  </si>
  <si>
    <t>2020-03-18T12:30:44.000+06:30</t>
  </si>
  <si>
    <t>2019-11-01T14:50:00.000+06:30</t>
  </si>
  <si>
    <t>f3fd68f8-ac45-4ba9-8b65-b73acae7a31a</t>
  </si>
  <si>
    <t>2020-03-18T12:31:44.000+06:30</t>
  </si>
  <si>
    <t>2019-12-31T06:22:16</t>
  </si>
  <si>
    <t>2019-11-02T15:30:00.000+06:30</t>
  </si>
  <si>
    <t>RP2004R</t>
  </si>
  <si>
    <t>2019-12-31T11:56:40.000+06:30</t>
  </si>
  <si>
    <t>819fadec-800d-4291-9416-69d7a597f83e</t>
  </si>
  <si>
    <t>2019-11-04T09:14:39</t>
  </si>
  <si>
    <t>2019-11-07T11:22:55.000-08:00</t>
  </si>
  <si>
    <t>2019-11-07T11:33:13.000-08:00</t>
  </si>
  <si>
    <t>96a5b4c2-d554-4d88-bfc6-39dcec56920c</t>
  </si>
  <si>
    <t>2020-03-18T06:57:21</t>
  </si>
  <si>
    <t>2019-11-04T16:00:00.000-08:00</t>
  </si>
  <si>
    <t>2020-03-18T12:31:46.000+06:30</t>
  </si>
  <si>
    <t>2019-11-04T16:25:00.000-08:00</t>
  </si>
  <si>
    <t>2019-11-05T16:25:00.000-08:00</t>
  </si>
  <si>
    <t>2019-11-05T17:15:00.000-08:00</t>
  </si>
  <si>
    <t>2020-03-18T12:32:53.000+06:30</t>
  </si>
  <si>
    <t>PL1032R</t>
  </si>
  <si>
    <t>3e28b97a-25f3-4ffd-9e92-9f87643a2e24</t>
  </si>
  <si>
    <t>442ccfce-4865-43cc-a98d-c6cfa1346f31</t>
  </si>
  <si>
    <t>2019-12-31T06:23:26</t>
  </si>
  <si>
    <t>2019-11-07T07:03:37</t>
  </si>
  <si>
    <t>2019-12-31T11:56:41.000+06:30</t>
  </si>
  <si>
    <t>2019-11-07T11:39:57.000-08:00</t>
  </si>
  <si>
    <t>2019-12-31T11:57:50.000+06:30</t>
  </si>
  <si>
    <t>b729b905-662d-428c-b9c6-a2b470ff3e4a</t>
  </si>
  <si>
    <t>2019-11-04T15:45:00.000-08:00</t>
  </si>
  <si>
    <t>2020-03-18T06:58:30</t>
  </si>
  <si>
    <t>2020-03-18T12:32:55.000+06:30</t>
  </si>
  <si>
    <t>2019-11-05T16:15:00.000-08:00</t>
  </si>
  <si>
    <t>2020-03-18T12:34:00.000+06:30</t>
  </si>
  <si>
    <t>S.typhi 06.08.2019, s.paratyphi 06.08.2019</t>
  </si>
  <si>
    <t>PL1033R</t>
  </si>
  <si>
    <t>Associated Sample PLc1061 and NOT TURBID</t>
  </si>
  <si>
    <t>7d073198-d4a7-41df-8a55-801936521107</t>
  </si>
  <si>
    <t>2019-11-07T07:10:20</t>
  </si>
  <si>
    <t>e6ce3248-9652-4819-9758-f080eef139ca</t>
  </si>
  <si>
    <t>2019-12-31T06:24:35</t>
  </si>
  <si>
    <t>2019-11-07T11:41:29.000-08:00</t>
  </si>
  <si>
    <t>2019-12-31T11:58:42.000+06:30</t>
  </si>
  <si>
    <t>c394a6f8-18c9-4570-82c3-62d979d2e933</t>
  </si>
  <si>
    <t>2020-03-18T06:59:36</t>
  </si>
  <si>
    <t>2020-03-18T12:34:02.000+06:30</t>
  </si>
  <si>
    <t>2020-03-18T12:35:06.000+06:30</t>
  </si>
  <si>
    <t>c614156f-5e62-4c93-9909-5750a52ed7c6</t>
  </si>
  <si>
    <t>2019-11-07T07:11:53</t>
  </si>
  <si>
    <t>PLc1220R</t>
  </si>
  <si>
    <t>2019-11-07T11:43:28.000-08:00</t>
  </si>
  <si>
    <t>99e70f43-5ef1-4bdf-9770-5902a6c08fda</t>
  </si>
  <si>
    <t>2019-12-31T06:25:25</t>
  </si>
  <si>
    <t>2019-12-31T11:59:44.000+06:30</t>
  </si>
  <si>
    <t>Associated Sample PLc1062 and NOT TURBID</t>
  </si>
  <si>
    <t>31ab026c-8463-4a6b-99db-0c0d775ab31e</t>
  </si>
  <si>
    <t>2020-03-18T07:00:41</t>
  </si>
  <si>
    <t>292a59c8-09e3-415d-9461-46a08300ef1f</t>
  </si>
  <si>
    <t>2019-11-07T07:13:51</t>
  </si>
  <si>
    <t>2020-03-18T12:35:08.000+06:30</t>
  </si>
  <si>
    <t>2019-11-07T11:43:29.000-08:00</t>
  </si>
  <si>
    <t>2020-03-18T12:36:24.000+06:30</t>
  </si>
  <si>
    <t>2019-11-07T12:11:48.000-08:00</t>
  </si>
  <si>
    <t>PLc1221R</t>
  </si>
  <si>
    <t>Associated sample PL1012</t>
  </si>
  <si>
    <t>2019-11-05T17:16:00.000-08:00</t>
  </si>
  <si>
    <t>bb153a77-4381-4e35-a28a-da05ac615553</t>
  </si>
  <si>
    <t>2019-12-31T06:26:30</t>
  </si>
  <si>
    <t>804976f2-66a6-4002-8c9f-98889d43f504</t>
  </si>
  <si>
    <t>2019-11-07T07:42:12</t>
  </si>
  <si>
    <t>3b1cb29a-c879-4ced-b647-7f76bdbb15aa</t>
  </si>
  <si>
    <t>2019-12-31T12:01:13.000+06:30</t>
  </si>
  <si>
    <t>2020-03-18T07:02:02</t>
  </si>
  <si>
    <t>2020-03-18T12:36:26.000+06:30</t>
  </si>
  <si>
    <t>2019-11-07T12:14:10.000-08:00</t>
  </si>
  <si>
    <t>2020-03-18T12:37:25.000+06:30</t>
  </si>
  <si>
    <t>UF1029R</t>
  </si>
  <si>
    <t>Associated Sample PLc1063 and NOT TURBID</t>
  </si>
  <si>
    <t>d2b07dea-427a-4c62-af5c-1b6a8d8a6a0b</t>
  </si>
  <si>
    <t>2019-11-07T07:44:33</t>
  </si>
  <si>
    <t>fbf1f512-b548-4b6d-b24b-699e09acb182</t>
  </si>
  <si>
    <t>2019-12-31T06:27:58</t>
  </si>
  <si>
    <t>2019-11-07T12:15:31.000-08:00</t>
  </si>
  <si>
    <t>d144e41b-b8fc-4baf-bbd3-01ff7fa140f6</t>
  </si>
  <si>
    <t>2020-03-18T07:03:03</t>
  </si>
  <si>
    <t>2020-03-18T12:37:27.000+06:30</t>
  </si>
  <si>
    <t>2019-12-31T12:02:09.000+06:30</t>
  </si>
  <si>
    <t>2020-03-18T12:39:48.000+06:30</t>
  </si>
  <si>
    <t>2020-03-16T14:00:00.000+06:30</t>
  </si>
  <si>
    <t>d5ac843c-66fa-4ada-b92e-d940ab2085e9</t>
  </si>
  <si>
    <t>2019-11-07T07:45:54</t>
  </si>
  <si>
    <t>2019-11-07T12:17:14.000-08:00</t>
  </si>
  <si>
    <t>f75f0caf-3ebd-42c8-8914-93248341b983</t>
  </si>
  <si>
    <t>2019-12-31T06:28:53</t>
  </si>
  <si>
    <t>Associated Sample PLc1064 and NOT TURBID</t>
  </si>
  <si>
    <t>WG5 1:10^4 - 4, volume tested 1ml.</t>
  </si>
  <si>
    <t>2019-12-31T12:02:56.000+06:30</t>
  </si>
  <si>
    <t>57d33ef2-e01f-4671-9fc2-a96ecd8b6f6e</t>
  </si>
  <si>
    <t>2019-11-07T07:47:40</t>
  </si>
  <si>
    <t>89dee35f-64bc-403c-8d52-06defcba036f</t>
  </si>
  <si>
    <t>2020-03-18T07:05:24</t>
  </si>
  <si>
    <t>2020-03-18T12:39:50.000+06:30</t>
  </si>
  <si>
    <t>2019-11-07T12:18:59.000-08:00</t>
  </si>
  <si>
    <t>2020-03-18T12:41:33.000+06:30</t>
  </si>
  <si>
    <t>2019-11-05T17:18:00.000-08:00</t>
  </si>
  <si>
    <t>e20accc4-012f-457e-8b8e-813f88e884d6</t>
  </si>
  <si>
    <t>2019-12-31T06:29:40</t>
  </si>
  <si>
    <t>6d682e26-44cc-47b6-af4a-1ebbe9786c52</t>
  </si>
  <si>
    <t>2019-11-07T07:49:22</t>
  </si>
  <si>
    <t>2019-12-31T12:03:45.000+06:30</t>
  </si>
  <si>
    <t>2019-11-07T12:20:44.000-08:00</t>
  </si>
  <si>
    <t>2019-11-05T16:18:00.000-08:00</t>
  </si>
  <si>
    <t>2032bf00-c789-4d45-8c6d-8b07ab1a4d90</t>
  </si>
  <si>
    <t>2020-03-18T07:07:11</t>
  </si>
  <si>
    <t>Associated Sample PLc1065 and TURBID/NOT TURBID</t>
  </si>
  <si>
    <t>2020-03-18T12:41:35.000+06:30</t>
  </si>
  <si>
    <t>9ffb13ce-9c47-40e7-a730-0edb87f1f038</t>
  </si>
  <si>
    <t>2019-11-07T07:51:08</t>
  </si>
  <si>
    <t>2020-03-18T12:42:54.000+06:30</t>
  </si>
  <si>
    <t>2019-11-07T12:24:09.000-08:00</t>
  </si>
  <si>
    <t>5d021955-421d-46a6-8ed9-f7c78f61d6dd</t>
  </si>
  <si>
    <t>2019-12-31T06:30:28</t>
  </si>
  <si>
    <t>2019-11-04T15:30:00.000-08:00</t>
  </si>
  <si>
    <t>2019-11-04T15:40:00.000-08:00</t>
  </si>
  <si>
    <t>2019-11-05T15:40:00.000-08:00</t>
  </si>
  <si>
    <t>2019-12-31T12:04:33.000+06:30</t>
  </si>
  <si>
    <t>26c239d3-60a3-4acf-b7ed-775368be324f</t>
  </si>
  <si>
    <t>2019-11-07T07:54:34</t>
  </si>
  <si>
    <t>2019-11-07T12:25:39.000-08:00</t>
  </si>
  <si>
    <t>c19220a3-bcd4-4d68-9cbb-1c080e3d72c6</t>
  </si>
  <si>
    <t>2020-03-18T07:08:32</t>
  </si>
  <si>
    <t>2019-11-06T16:30:00.000-08:00</t>
  </si>
  <si>
    <t>2019-11-06T17:15:00.000-08:00</t>
  </si>
  <si>
    <t>2020-03-18T12:42:56.000+06:30</t>
  </si>
  <si>
    <t>2020-03-18T12:44:14.000+06:30</t>
  </si>
  <si>
    <t>74d5c703-c782-4ace-83ca-ac456de66f2a</t>
  </si>
  <si>
    <t>2019-12-31T06:31:18</t>
  </si>
  <si>
    <t>2606e46f-5c2c-480d-a84f-bb3133a004e1</t>
  </si>
  <si>
    <t>2019-11-07T07:56:03</t>
  </si>
  <si>
    <t>2019-12-31T12:05:22.000+06:30</t>
  </si>
  <si>
    <t>2019-11-07T12:27:27.000-08:00</t>
  </si>
  <si>
    <t>2019-11-05T15:50:00.000-08:00</t>
  </si>
  <si>
    <t>2019-11-06T16:10:00.000-08:00</t>
  </si>
  <si>
    <t>Associated Sample PLc1066 and TURBID/NOT TURBID</t>
  </si>
  <si>
    <t>fbbd2905-4ea5-4e94-b600-d11a6ede8fe8</t>
  </si>
  <si>
    <t>2019-11-07T07:57:51</t>
  </si>
  <si>
    <t>0dbb84fc-5dc8-4d83-9d12-d31a60116355</t>
  </si>
  <si>
    <t>68a82cbd-b575-4566-a88e-db4c1003b2f4</t>
  </si>
  <si>
    <t>2019-12-31T06:32:06</t>
  </si>
  <si>
    <t>2020-03-18T07:09:52</t>
  </si>
  <si>
    <t>2019-11-07T12:28:54.000-08:00</t>
  </si>
  <si>
    <t>2020-03-18T12:44:16.000+06:30</t>
  </si>
  <si>
    <t>2019-12-31T12:05:23.000+06:30</t>
  </si>
  <si>
    <t>2020-03-18T12:45:30.000+06:30</t>
  </si>
  <si>
    <t>2019-12-31T12:06:22.000+06:30</t>
  </si>
  <si>
    <t>7c0a3dc7-f6c3-4b2c-932e-13dfe6ec84dc</t>
  </si>
  <si>
    <t>2019-11-07T07:59:18</t>
  </si>
  <si>
    <t>2019-11-07T12:30:28.000-08:00</t>
  </si>
  <si>
    <t>a219c874-e6c0-4801-a3f2-d79861ea4121</t>
  </si>
  <si>
    <t>a0602377-2b12-471b-9690-a80209b8e3ad</t>
  </si>
  <si>
    <t>2020-03-18T07:11:09</t>
  </si>
  <si>
    <t>Associated Sample PLc1067 and TURBID/NOT TURBID</t>
  </si>
  <si>
    <t>2019-12-31T06:33:06</t>
  </si>
  <si>
    <t>2020-03-18T12:45:33.000+06:30</t>
  </si>
  <si>
    <t>306bc97e-0718-448f-ac5a-ed0205ed5bda</t>
  </si>
  <si>
    <t>2019-11-07T08:00:51</t>
  </si>
  <si>
    <t>2020-03-18T12:47:29.000+06:30</t>
  </si>
  <si>
    <t>2019-12-31T12:07:13.000+06:30</t>
  </si>
  <si>
    <t>2019-11-07T12:32:14.000-08:00</t>
  </si>
  <si>
    <t>2019-11-05T16:35:00.000-08:00</t>
  </si>
  <si>
    <t>2019-11-05T16:45:00.000-08:00</t>
  </si>
  <si>
    <t>2019-11-06T16:45:00.000-08:00</t>
  </si>
  <si>
    <t>2019-11-06T17:46:00.000-08:00</t>
  </si>
  <si>
    <t>917ca287-802f-44b7-bc83-8a12fa845f34</t>
  </si>
  <si>
    <t>2019-11-07T08:02:38</t>
  </si>
  <si>
    <t>WG5 1:10^4 - 3, volume tested 1ml.; CL with plaques for WG5.</t>
  </si>
  <si>
    <t>1bea3588-7354-42cc-a5df-3b59a16b43bf</t>
  </si>
  <si>
    <t>2019-12-31T06:33:58</t>
  </si>
  <si>
    <t>2be10dd9-b26d-496e-aeba-24094f868093</t>
  </si>
  <si>
    <t>2020-03-18T07:13:06</t>
  </si>
  <si>
    <t>2019-12-31T12:07:14.000+06:30</t>
  </si>
  <si>
    <t>2019-11-07T12:34:33.000-08:00</t>
  </si>
  <si>
    <t>2019-12-31T12:08:04.000+06:30</t>
  </si>
  <si>
    <t>Associated Sample MO1112 and NOT TURBID</t>
  </si>
  <si>
    <t>cad14703-760f-44ac-84d3-17d2707d4fa8</t>
  </si>
  <si>
    <t>2019-11-07T08:04:56</t>
  </si>
  <si>
    <t>52ab713d-10c1-43a6-8664-d7f4ff9de2a8</t>
  </si>
  <si>
    <t>2019-11-07T12:36:16.000-08:00</t>
  </si>
  <si>
    <t>2019-12-31T06:34:48</t>
  </si>
  <si>
    <t>2019-11-06T17:50:00.000-08:00</t>
  </si>
  <si>
    <t>2019-12-31T12:08:53.000+06:30</t>
  </si>
  <si>
    <t>23800128-b913-4953-b4a2-0f9c3ee58778</t>
  </si>
  <si>
    <t>2019-11-07T08:06:40</t>
  </si>
  <si>
    <t>2019-11-07T12:37:53.000-08:00</t>
  </si>
  <si>
    <t>2019-11-06T16:12:00.000-08:00</t>
  </si>
  <si>
    <t>7b67f79a-f1ce-49ba-af77-a0baef881831</t>
  </si>
  <si>
    <t>2019-12-31T06:35:36</t>
  </si>
  <si>
    <t>Associated Sample MO1113 and NOT TURBID</t>
  </si>
  <si>
    <t>a840a490-267e-41fd-9e3d-cedcaa8bc0d6</t>
  </si>
  <si>
    <t>2019-11-07T08:08:14</t>
  </si>
  <si>
    <t>2019-12-31T12:09:40.000+06:30</t>
  </si>
  <si>
    <t>2019-11-07T12:39:38.000-08:00</t>
  </si>
  <si>
    <t>2019-11-05T15:30:00.000-08:00</t>
  </si>
  <si>
    <t>2019-11-05T15:45:00.000-08:00</t>
  </si>
  <si>
    <t>2019-11-06T15:45:00.000-08:00</t>
  </si>
  <si>
    <t>2019-11-06T15:50:00.000-08:00</t>
  </si>
  <si>
    <t>f9fdb461-614c-493f-8872-92907c6c08d9</t>
  </si>
  <si>
    <t>2019-11-07T08:10:01</t>
  </si>
  <si>
    <t>79576853-13fb-4ed2-813b-3a6bc83c1772</t>
  </si>
  <si>
    <t>2019-12-31T06:36:25</t>
  </si>
  <si>
    <t>2019-11-21T11:47:04.000-07:00</t>
  </si>
  <si>
    <t>2019-12-31T12:09:41.000+06:30</t>
  </si>
  <si>
    <t>2019-11-21T12:26:16.000-07:00</t>
  </si>
  <si>
    <t>2019-12-31T12:10:47.000+06:30</t>
  </si>
  <si>
    <t>2019-11-06T13:10:00.000-07:00</t>
  </si>
  <si>
    <t>2019-11-06T13:20:00.000-07:00</t>
  </si>
  <si>
    <t>2019-11-07T13:20:00.000-07:00</t>
  </si>
  <si>
    <t>2019-11-07T13:40:00.000-07:00</t>
  </si>
  <si>
    <t>Associated Sample FPa1004, FPb1004, FPc1004, FPd1004, FPe1004 and NOT TURBID</t>
  </si>
  <si>
    <t>8635c74f-8d4d-45c0-a626-c39c6fe1a7ee</t>
  </si>
  <si>
    <t>2019-11-21T06:53:38</t>
  </si>
  <si>
    <t>2019-11-21T12:26:17.000-07:00</t>
  </si>
  <si>
    <t>2019-11-21T12:27:39.000-07:00</t>
  </si>
  <si>
    <t>0b2dfe6c-7aef-4833-b830-a57a1b66bbf9</t>
  </si>
  <si>
    <t>2019-12-31T06:37:31</t>
  </si>
  <si>
    <t>2019-12-31T12:36:59.000+06:30</t>
  </si>
  <si>
    <t>a956482f-d9e3-4b57-a14b-6842a0918482</t>
  </si>
  <si>
    <t>2019-11-21T06:54:59</t>
  </si>
  <si>
    <t>2019-11-21T12:28:51.000-07:00</t>
  </si>
  <si>
    <t>2019-11-07T16:20:00.000-07:00</t>
  </si>
  <si>
    <t>2019-11-08T16:20:00.000-07:00</t>
  </si>
  <si>
    <t>2019-11-08T17:15:00.000-07:00</t>
  </si>
  <si>
    <t>609232f8-18d8-4097-9374-f79f583eaab8</t>
  </si>
  <si>
    <t>2019-11-21T06:56:10</t>
  </si>
  <si>
    <t>9a8bc203-2764-4149-a179-fdb10163b891</t>
  </si>
  <si>
    <t>2019-12-31T07:03:45</t>
  </si>
  <si>
    <t>2019-12-31T12:37:00.000+06:30</t>
  </si>
  <si>
    <t>2019-11-21T12:30:23.000-07:00</t>
  </si>
  <si>
    <t>2019-12-31T12:37:46.000+06:30</t>
  </si>
  <si>
    <t>2019-11-07T15:40:00.000-07:00</t>
  </si>
  <si>
    <t>2019-11-08T16:18:00.000-07:00</t>
  </si>
  <si>
    <t>Associated Sample MO1114 and NOT TURBID</t>
  </si>
  <si>
    <t>cd0551e2-753e-49c5-87de-6540ecbd3ae6</t>
  </si>
  <si>
    <t>2019-11-21T06:57:42</t>
  </si>
  <si>
    <t>5dda5cb6-22da-4fc4-9e6e-657b400f83f6</t>
  </si>
  <si>
    <t>2019-11-21T12:35:32.000-07:00</t>
  </si>
  <si>
    <t>2019-12-31T07:04:30</t>
  </si>
  <si>
    <t>2019-12-31T12:37:47.000+06:30</t>
  </si>
  <si>
    <t>2019-12-31T12:38:39.000+06:30</t>
  </si>
  <si>
    <t>2019-11-08T17:17:00.000-07:00</t>
  </si>
  <si>
    <t>7b9d97db-c049-4723-81cd-3c9d09eb7b06</t>
  </si>
  <si>
    <t>already at 12</t>
  </si>
  <si>
    <t>2019-11-21T07:02:51</t>
  </si>
  <si>
    <t>2019-11-21T12:36:54.000-07:00</t>
  </si>
  <si>
    <t>already at 13</t>
  </si>
  <si>
    <t>f59abbfe-1adf-495c-9b8b-bacef7c4a268</t>
  </si>
  <si>
    <t>2019-12-31T07:05:22</t>
  </si>
  <si>
    <t>Associated Sample MO1115 and NOT TURBID</t>
  </si>
  <si>
    <t>71e171d0-5073-45cd-b26d-8807653bea2e</t>
  </si>
  <si>
    <t>2019-11-21T07:04:13</t>
  </si>
  <si>
    <t>2019-12-31T12:40:18.000+06:30</t>
  </si>
  <si>
    <t>2019-11-21T12:38:08.000-07:00</t>
  </si>
  <si>
    <t>2019-11-07T16:28:00.000-07:00</t>
  </si>
  <si>
    <t>2019-11-07T16:35:00.000-07:00</t>
  </si>
  <si>
    <t>2019-11-08T16:35:00.000-07:00</t>
  </si>
  <si>
    <t>2019-11-08T17:40:00.000-07:00</t>
  </si>
  <si>
    <t>3c3a4622-8f1d-40b7-87d7-626fcbb7e2e3</t>
  </si>
  <si>
    <t>2019-11-21T07:05:26</t>
  </si>
  <si>
    <t>267cfe77-bff0-45ff-944c-99cd53606903</t>
  </si>
  <si>
    <t>2019-12-31T07:07:52</t>
  </si>
  <si>
    <t>2019-11-21T12:39:33.000-07:00</t>
  </si>
  <si>
    <t>2019-12-31T12:40:19.000+06:30</t>
  </si>
  <si>
    <t>2019-12-31T12:41:07.000+06:30</t>
  </si>
  <si>
    <t>Associated Sample PLc1068 and TURBID</t>
  </si>
  <si>
    <t>a0ac81f9-b667-47db-86ee-1a886a34cdf0</t>
  </si>
  <si>
    <t>2019-11-21T07:06:52</t>
  </si>
  <si>
    <t>2019-11-21T12:41:25.000-07:00</t>
  </si>
  <si>
    <t>8ea8fb36-16ed-4205-952a-d657df234b94</t>
  </si>
  <si>
    <t>2019-12-31T07:07:53</t>
  </si>
  <si>
    <t>2019-11-08T17:45:00.000-07:00</t>
  </si>
  <si>
    <t>2019-12-31T12:42:10.000+06:30</t>
  </si>
  <si>
    <t>4efbc402-13e3-436c-bdec-2ec982b53783</t>
  </si>
  <si>
    <t>2019-11-21T07:08:44</t>
  </si>
  <si>
    <t>2019-11-21T12:42:55.000-07:00</t>
  </si>
  <si>
    <t>Associated Sample PLc1069 and TURBID</t>
  </si>
  <si>
    <t>1b3dd0d6-a6bf-4f2d-83c1-868485bfe269</t>
  </si>
  <si>
    <t>2019-12-31T07:08:55</t>
  </si>
  <si>
    <t>85e6343d-50f2-4f0b-942c-e2cfce7ec4cc</t>
  </si>
  <si>
    <t>2019-12-31T12:42:11.000+06:30</t>
  </si>
  <si>
    <t>2019-11-21T07:10:13</t>
  </si>
  <si>
    <t>2019-12-31T12:43:09.000+06:30</t>
  </si>
  <si>
    <t>2019-11-21T12:44:03.000-07:00</t>
  </si>
  <si>
    <t>2019-11-08T17:46:00.000-07:00</t>
  </si>
  <si>
    <t>dada01bc-1bf6-4ab8-adb6-7c7b53e63d89</t>
  </si>
  <si>
    <t>2019-11-21T07:11:22</t>
  </si>
  <si>
    <t>8e1f4f0a-d2cf-4e27-8739-a614756c5cf1</t>
  </si>
  <si>
    <t>2019-11-21T12:45:31.000-07:00</t>
  </si>
  <si>
    <t>2019-12-31T07:09:53</t>
  </si>
  <si>
    <t>2019-12-31T12:44:25.000+06:30</t>
  </si>
  <si>
    <t>Associated Sample PLc1070 and SLIGHTLY TURBID</t>
  </si>
  <si>
    <t>8fce82d6-2b0f-4322-a784-6a2910510808</t>
  </si>
  <si>
    <t>2019-11-21T07:12:51</t>
  </si>
  <si>
    <t>2019-11-21T12:46:36.000-07:00</t>
  </si>
  <si>
    <t>b357b357-a2cf-4095-828a-13be54623118</t>
  </si>
  <si>
    <t>2019-12-31T07:11:10</t>
  </si>
  <si>
    <t>2019-12-31T12:44:26.000+06:30</t>
  </si>
  <si>
    <t>2019-12-31T12:45:39.000+06:30</t>
  </si>
  <si>
    <t>8175f5d0-015f-44a8-9b3d-35c5487fa5fa</t>
  </si>
  <si>
    <t>2019-11-21T07:13:55</t>
  </si>
  <si>
    <t>2019-11-21T12:48:07.000-07:00</t>
  </si>
  <si>
    <t>Associated Sample PLc1071 and NOT TURBID</t>
  </si>
  <si>
    <t>0de33084-5baf-45b5-860b-963889ab6174</t>
  </si>
  <si>
    <t>2019-12-31T07:12:24</t>
  </si>
  <si>
    <t>37adca7b-00e7-4888-838f-c4ae259aaa8a</t>
  </si>
  <si>
    <t>2019-11-21T07:15:25</t>
  </si>
  <si>
    <t>2019-12-31T12:46:26.000+06:30</t>
  </si>
  <si>
    <t>2019-11-21T12:49:11.000-07:00</t>
  </si>
  <si>
    <t>2019-11-08T17:48:00.000-07:00</t>
  </si>
  <si>
    <t>1618da3d-5cf4-4b37-a4a0-05a3ac22b716</t>
  </si>
  <si>
    <t>2019-11-21T07:16:29</t>
  </si>
  <si>
    <t>f653f86b-3411-48f3-9b28-1be89a56ff05</t>
  </si>
  <si>
    <t>2019-11-21T12:50:24.000-07:00</t>
  </si>
  <si>
    <t>2019-12-31T07:13:10</t>
  </si>
  <si>
    <t>2019-12-31T12:47:19.000+06:30</t>
  </si>
  <si>
    <t>K 22014</t>
  </si>
  <si>
    <t>Associated Sample PLc1072 and NOT TURBID</t>
  </si>
  <si>
    <t>8cfe2442-6361-4ccc-a831-db141f705d4b</t>
  </si>
  <si>
    <t>2019-11-21T07:17:44</t>
  </si>
  <si>
    <t>2019-11-21T12:51:33.000-07:00</t>
  </si>
  <si>
    <t>2019-11-07T15:28:00.000-07:00</t>
  </si>
  <si>
    <t>2019-11-08T15:28:00.000-07:00</t>
  </si>
  <si>
    <t>72f33047-6af8-47dd-a5cd-2a6d827e51d9</t>
  </si>
  <si>
    <t>2019-12-31T07:14:03</t>
  </si>
  <si>
    <t>NOTTURBID</t>
  </si>
  <si>
    <t>2019-12-31T12:47:20.000+06:30</t>
  </si>
  <si>
    <t>e1e56ef0-338b-4f50-969b-718a73bf728c</t>
  </si>
  <si>
    <t>2019-11-21T07:18:52</t>
  </si>
  <si>
    <t>2019-12-31T12:48:11.000+06:30</t>
  </si>
  <si>
    <t>2019-11-21T12:54:00.000-07:00</t>
  </si>
  <si>
    <t>2019-11-08T16:30:00.000-07:00</t>
  </si>
  <si>
    <t>2019-11-08T17:00:00.000-07:00</t>
  </si>
  <si>
    <t>2019-11-09T17:00:00.000-07:00</t>
  </si>
  <si>
    <t>2019-11-09T17:10:00.000-07:00</t>
  </si>
  <si>
    <t>Associated Sample COa1006, COb1017, COb1018, COb1019 and NOT TURBID</t>
  </si>
  <si>
    <t>82978869-2700-4774-b280-6adc6d3ed59f</t>
  </si>
  <si>
    <t>2019-11-21T07:21:19</t>
  </si>
  <si>
    <t>a65de7e2-62fe-4620-a3b1-53ab5171f26a</t>
  </si>
  <si>
    <t>2019-12-31T07:14:55</t>
  </si>
  <si>
    <t>2019-11-21T12:55:22.000-07:00</t>
  </si>
  <si>
    <t>2019-12-31T12:49:00.000+06:30</t>
  </si>
  <si>
    <t>2019-11-08T17:10:00.000-07:00</t>
  </si>
  <si>
    <t>2019-11-08T17:30:00.000-07:00</t>
  </si>
  <si>
    <t>2019-11-09T17:30:00.000-07:00</t>
  </si>
  <si>
    <t>2019-11-09T17:45:00.000-07:00</t>
  </si>
  <si>
    <t>b0993bdb-c58d-4d14-a015-1ed04efb5cd4</t>
  </si>
  <si>
    <t>2019-11-21T07:22:41</t>
  </si>
  <si>
    <t>2019-11-21T12:56:54.000-07:00</t>
  </si>
  <si>
    <t>3240dbbd-2b04-49b9-9305-231551435b35</t>
  </si>
  <si>
    <t>2019-12-31T07:15:48</t>
  </si>
  <si>
    <t>2019-12-31T12:49:01.000+06:30</t>
  </si>
  <si>
    <t>2019-12-31T12:50:05.000+06:30</t>
  </si>
  <si>
    <t>Associated Sample PLc1073 and NOT TURBID</t>
  </si>
  <si>
    <t>be33b698-e6d7-46fb-a18b-be37c8c2e00a</t>
  </si>
  <si>
    <t>2019-11-21T07:24:13</t>
  </si>
  <si>
    <t>2019-11-21T12:58:00.000-07:00</t>
  </si>
  <si>
    <t>a3f12dad-77c3-48c3-8afe-13a84fc371f3</t>
  </si>
  <si>
    <t>2019-12-31T07:16:50</t>
  </si>
  <si>
    <t>2019-12-31T12:50:06.000+06:30</t>
  </si>
  <si>
    <t>fbd39c47-8a29-4a33-a138-a0654d9b5231</t>
  </si>
  <si>
    <t>2019-11-21T07:25:18</t>
  </si>
  <si>
    <t>2019-11-22T11:10:42.000-07:00</t>
  </si>
  <si>
    <t>2019-12-31T12:50:55.000+06:30</t>
  </si>
  <si>
    <t>2019-11-22T11:12:08.000-07:00</t>
  </si>
  <si>
    <t>Associated Sample PLc1074 and NOT TURBID</t>
  </si>
  <si>
    <t>9cf31dbf-cde8-4839-98e4-bcd70b575076</t>
  </si>
  <si>
    <t>2019-11-22T05:39:26</t>
  </si>
  <si>
    <t>393bf5ce-0ff5-49aa-a2f0-2a4e042fa55f</t>
  </si>
  <si>
    <t>2019-12-31T07:17:40</t>
  </si>
  <si>
    <t>2019-11-22T11:13:10.000-07:00</t>
  </si>
  <si>
    <t>2019-12-31T12:51:41.000+06:30</t>
  </si>
  <si>
    <t>88798aa0-a203-4cf1-80e8-db9e7ff7ba7b</t>
  </si>
  <si>
    <t>2019-11-22T05:40:26</t>
  </si>
  <si>
    <t>2019-11-22T11:14:39.000-07:00</t>
  </si>
  <si>
    <t>bb930700-fc11-404a-970f-ed67756c17dc</t>
  </si>
  <si>
    <t>2019-12-31T07:18:25</t>
  </si>
  <si>
    <t>Associated Sample PLc1075 and NOT TURBID</t>
  </si>
  <si>
    <t>2019-12-31T12:52:26.000+06:30</t>
  </si>
  <si>
    <t>1ec3d154-e184-408a-9a9c-4476e8b36d01</t>
  </si>
  <si>
    <t>2019-11-22T05:41:57</t>
  </si>
  <si>
    <t>2019-11-22T11:15:47.000-07:00</t>
  </si>
  <si>
    <t>f859981a-c674-4b7b-936d-57d07c7c083a</t>
  </si>
  <si>
    <t>cdef5ae4-0858-4e24-8d3c-2dbc91c991e7</t>
  </si>
  <si>
    <t>2019-12-31T07:19:11</t>
  </si>
  <si>
    <t>2019-11-22T05:43:05</t>
  </si>
  <si>
    <t>2019-12-31T12:52:27.000+06:30</t>
  </si>
  <si>
    <t>2019-11-22T11:17:06.000-07:00</t>
  </si>
  <si>
    <t>2019-12-31T12:53:36.000+06:30</t>
  </si>
  <si>
    <t>2019-11-14T15:50:00.000-07:00</t>
  </si>
  <si>
    <t>eb5cedaa-8cbb-4fda-be8f-e28311369c87</t>
  </si>
  <si>
    <t>2019-11-22T05:44:24</t>
  </si>
  <si>
    <t>24569855-0e16-4318-9ddc-9b2484ac7967</t>
  </si>
  <si>
    <t>2019-12-31T07:20:20</t>
  </si>
  <si>
    <t>2019-11-22T11:18:20.000-07:00</t>
  </si>
  <si>
    <t>2019-12-31T12:53:37.000+06:30</t>
  </si>
  <si>
    <t>2019-11-14T16:20:00.000-07:00</t>
  </si>
  <si>
    <t>2019-12-31T12:54:23.000+06:30</t>
  </si>
  <si>
    <t>2019-11-14T16:35:00.000-07:00</t>
  </si>
  <si>
    <t>2019-11-15T16:35:00.000-07:00</t>
  </si>
  <si>
    <t>2019-11-15T17:15:00.000-07:00</t>
  </si>
  <si>
    <t>b7fa00c4-e2cf-4155-9744-f802b7460bfc</t>
  </si>
  <si>
    <t>2019-11-22T05:45:37</t>
  </si>
  <si>
    <t>2019-11-22T11:19:23.000-07:00</t>
  </si>
  <si>
    <t>503a0640-10e5-445e-b583-9d4a9707b3fb</t>
  </si>
  <si>
    <t>2019-12-31T07:21:08</t>
  </si>
  <si>
    <t>2019-11-15T17:18:00.000-07:00</t>
  </si>
  <si>
    <t>2019-12-31T12:54:24.000+06:30</t>
  </si>
  <si>
    <t>2019-12-31T12:55:11.000+06:30</t>
  </si>
  <si>
    <t>9071e9aa-c403-4671-99e0-d95e882a4a2b</t>
  </si>
  <si>
    <t>2019-11-22T05:46:39</t>
  </si>
  <si>
    <t>2019-11-22T11:20:50.000-07:00</t>
  </si>
  <si>
    <t>2019-11-14T16:00:00.000-07:00</t>
  </si>
  <si>
    <t>2019-11-14T16:08:00.000-07:00</t>
  </si>
  <si>
    <t>2019-11-15T16:08:00.000-07:00</t>
  </si>
  <si>
    <t>Associated Sample MO1116 and NOT TURBID</t>
  </si>
  <si>
    <t>bbbc94d3-9121-40a5-80b9-41612f54004e</t>
  </si>
  <si>
    <t>2019-11-22T05:48:08</t>
  </si>
  <si>
    <t>f0d0d08b-493b-40b1-bc73-5dfaa1eba1c5</t>
  </si>
  <si>
    <t>2019-12-31T07:21:55</t>
  </si>
  <si>
    <t>2019-12-31T12:56:02.000+06:30</t>
  </si>
  <si>
    <t>2019-11-22T11:22:09.000-07:00</t>
  </si>
  <si>
    <t>Associated Sample and NOT TURBID</t>
  </si>
  <si>
    <t>fb0edd56-03cb-450c-a4ab-a8663f100859</t>
  </si>
  <si>
    <t>2019-11-22T05:49:27</t>
  </si>
  <si>
    <t>0c050554-62b1-449d-a015-f75c077d3eec</t>
  </si>
  <si>
    <t>2019-12-31T07:22:46</t>
  </si>
  <si>
    <t>2019-11-22T11:23:09.000-07:00</t>
  </si>
  <si>
    <t>2019-11-15T16:40:00.000-07:00</t>
  </si>
  <si>
    <t>2019-11-16T16:40:00.000-07:00</t>
  </si>
  <si>
    <t>2019-11-16T17:15:00.000-07:00</t>
  </si>
  <si>
    <t>2019-12-31T12:57:15.000+06:30</t>
  </si>
  <si>
    <t>81fe8637-f71a-4823-8a61-8c353078e949</t>
  </si>
  <si>
    <t>2019-11-22T05:50:25</t>
  </si>
  <si>
    <t>2019-11-22T11:23:10.000-07:00</t>
  </si>
  <si>
    <t>2019-11-22T11:24:30.000-07:00</t>
  </si>
  <si>
    <t>b9a9c570-c7aa-4b68-8b82-f75f1aeacc6f</t>
  </si>
  <si>
    <t>2019-12-31T07:23:59</t>
  </si>
  <si>
    <t>bcaa90b6-0871-41fa-8d6e-abb950b8d1d9</t>
  </si>
  <si>
    <t>2019-11-22T05:51:47</t>
  </si>
  <si>
    <t>2019-12-31T12:58:02.000+06:30</t>
  </si>
  <si>
    <t>2019-11-22T11:25:42.000-07:00</t>
  </si>
  <si>
    <t>2019-11-16T17:17:00.000-07:00</t>
  </si>
  <si>
    <t>1711582e-c540-4e1e-804a-8ad277a895dd</t>
  </si>
  <si>
    <t>36b3e33f-2a5c-4343-9e40-6af4acd96cb3</t>
  </si>
  <si>
    <t>2019-11-22T05:53:00</t>
  </si>
  <si>
    <t>2019-12-31T07:24:46</t>
  </si>
  <si>
    <t>2019-11-22T11:26:46.000-07:00</t>
  </si>
  <si>
    <t>2019-12-31T12:58:48.000+06:30</t>
  </si>
  <si>
    <t>2019-11-16T17:20:00.000-07:00</t>
  </si>
  <si>
    <t>c2310233-ad4f-4aee-b8a4-17d6d893c973</t>
  </si>
  <si>
    <t>2019-11-22T05:54:02</t>
  </si>
  <si>
    <t>f5e2767a-7663-49f9-8436-511387fb32c9</t>
  </si>
  <si>
    <t>2019-12-31T07:25:31</t>
  </si>
  <si>
    <t>2019-11-22T11:27:44.000-07:00</t>
  </si>
  <si>
    <t>2019-12-31T12:59:59.000+06:30</t>
  </si>
  <si>
    <t>2019-11-16T17:22:00.000-07:00</t>
  </si>
  <si>
    <t>f8c66e1e-bba0-434c-bb49-4c6e25365aa0</t>
  </si>
  <si>
    <t>2019-11-22T05:55:01</t>
  </si>
  <si>
    <t>Associated sample PL1017</t>
  </si>
  <si>
    <t>2019-11-22T11:29:17.000-07:00</t>
  </si>
  <si>
    <t>dc28a657-b9be-43a1-8fee-0593033043b2</t>
  </si>
  <si>
    <t>2019-12-31T07:26:44</t>
  </si>
  <si>
    <t>2020-01-07T11:49:01.000+06:30</t>
  </si>
  <si>
    <t>2019-11-15T16:10:00.000-07:00</t>
  </si>
  <si>
    <t>2019-11-16T16:10:00.000-07:00</t>
  </si>
  <si>
    <t>2019-11-16T16:16:00.000-07:00</t>
  </si>
  <si>
    <t>2020-01-07T12:03:37.000+06:30</t>
  </si>
  <si>
    <t>Associated Sample PLc1076 and NOT TURBID</t>
  </si>
  <si>
    <t>38cb062b-969f-4e9c-909f-da8f993275ba</t>
  </si>
  <si>
    <t>2019-11-22T05:56:35</t>
  </si>
  <si>
    <t>S.typhi 20.11.2019, s.paratyphi 20.11.2019</t>
  </si>
  <si>
    <t>2019-11-22T11:30:33.000-07:00</t>
  </si>
  <si>
    <t>76ae2ffd-a261-476a-8d24-14853dc0a285</t>
  </si>
  <si>
    <t>2020-01-07T06:30:15</t>
  </si>
  <si>
    <t>Associated Sample PLc1077 and NOT TURBID</t>
  </si>
  <si>
    <t>2020-01-07T12:04:21.000+06:30</t>
  </si>
  <si>
    <t>18ace2fb-ca0d-4924-ac52-ecef2e9fb006</t>
  </si>
  <si>
    <t>2019-11-22T05:57:50</t>
  </si>
  <si>
    <t>2019-11-22T11:31:53.000-07:00</t>
  </si>
  <si>
    <t>2019-11-16T16:18:00.000-07:00</t>
  </si>
  <si>
    <t>Associated Sample PLc1078 and NOT TURBID</t>
  </si>
  <si>
    <t>45a79aaf-9e5b-4eb6-bdda-5abe6f6dde53</t>
  </si>
  <si>
    <t>2020-01-07T06:30:59</t>
  </si>
  <si>
    <t>d273e288-8e54-421b-b945-2703aa437f13</t>
  </si>
  <si>
    <t>2019-11-22T05:59:10</t>
  </si>
  <si>
    <t>2020-01-07T12:05:12.000+06:30</t>
  </si>
  <si>
    <t>2019-11-22T11:33:16.000-07:00</t>
  </si>
  <si>
    <t>Associated Sample PLc1079 and NOT TURBID</t>
  </si>
  <si>
    <t>46fe10d6-5ddf-40e8-99ea-f5035f4adc80</t>
  </si>
  <si>
    <t>2019-11-22T06:00:33</t>
  </si>
  <si>
    <t>2019-11-22T11:33:17.000-07:00</t>
  </si>
  <si>
    <t>caab8208-1e6c-408f-b5fe-80ab28bdb709</t>
  </si>
  <si>
    <t>2020-01-07T06:31:51</t>
  </si>
  <si>
    <t>2019-11-22T11:34:35.000-07:00</t>
  </si>
  <si>
    <t>2020-01-07T12:06:00.000+06:30</t>
  </si>
  <si>
    <t>2019-11-16T16:19:00.000-07:00</t>
  </si>
  <si>
    <t>Associated Sample PLc1080 and NOT TURBID</t>
  </si>
  <si>
    <t>832601f4-c496-411e-a268-652209f093ec</t>
  </si>
  <si>
    <t>2019-11-22T06:01:52</t>
  </si>
  <si>
    <t>2019-11-22T11:36:36.000-07:00</t>
  </si>
  <si>
    <t>39b51165-cff7-465a-94db-5563dc610a18</t>
  </si>
  <si>
    <t>2020-01-07T06:32:39</t>
  </si>
  <si>
    <t>2019-11-16T16:15:00.000-07:00</t>
  </si>
  <si>
    <t>2020-01-07T12:06:49.000+06:30</t>
  </si>
  <si>
    <t>23edda89-ea1c-45af-8915-2d7c49d95d2b</t>
  </si>
  <si>
    <t>2019-11-22T06:03:53</t>
  </si>
  <si>
    <t>2019-11-22T11:38:25.000-07:00</t>
  </si>
  <si>
    <t>Associated Sample FPd1005, FPb1005, FPc1005, FPa1005, FPe1005 and NOT TURBID</t>
  </si>
  <si>
    <t>2bc753a6-ec4c-49f3-9a9a-91f2f509db08</t>
  </si>
  <si>
    <t>2020-01-07T06:33:28</t>
  </si>
  <si>
    <t>6ac0774c-5e92-4e3a-929a-d73c95a5c33f</t>
  </si>
  <si>
    <t>2019-11-22T06:05:41</t>
  </si>
  <si>
    <t>2020-01-07T12:07:27.000+06:30</t>
  </si>
  <si>
    <t>2019-11-22T11:40:02.000-07:00</t>
  </si>
  <si>
    <t>2019-11-18T16:10:00.000-07:00</t>
  </si>
  <si>
    <t>2019-11-18T16:25:00.000-07:00</t>
  </si>
  <si>
    <t>2019-11-19T16:25:00.000-07:00</t>
  </si>
  <si>
    <t>2019-11-19T17:10:00.000-07:00</t>
  </si>
  <si>
    <t>a85cda0b-39ff-4565-be11-1cf7d371565c</t>
  </si>
  <si>
    <t>5290fea7-359f-4bd8-9cdc-feadf05516eb</t>
  </si>
  <si>
    <t>2019-11-22T06:07:19</t>
  </si>
  <si>
    <t>2020-01-07T06:34:06</t>
  </si>
  <si>
    <t>2019-11-22T11:41:43.000-07:00</t>
  </si>
  <si>
    <t>2020-01-07T12:08:44.000+06:30</t>
  </si>
  <si>
    <t>2019-11-18T16:15:00.000-07:00</t>
  </si>
  <si>
    <t>2019-11-19T16:15:00.000-07:00</t>
  </si>
  <si>
    <t>2019-11-19T16:35:00.000-07:00</t>
  </si>
  <si>
    <t>Associated Sample PLc1081 and NOT TURBID</t>
  </si>
  <si>
    <t>2c73d4bd-793f-41dd-b401-88cc5c4c1cc2</t>
  </si>
  <si>
    <t>2019-11-22T06:09:01</t>
  </si>
  <si>
    <t>2019-11-22T11:42:49.000-07:00</t>
  </si>
  <si>
    <t>4ea44a37-4f62-431d-85cf-087a2c411557</t>
  </si>
  <si>
    <t>2020-01-07T06:35:21</t>
  </si>
  <si>
    <t>2020-01-07T12:09:40.000+06:30</t>
  </si>
  <si>
    <t>f3a09cc4-9cf1-4866-90fe-d94a76e9032f</t>
  </si>
  <si>
    <t>2019-11-22T06:10:06</t>
  </si>
  <si>
    <t>2019-11-22T11:42:50.000-07:00</t>
  </si>
  <si>
    <t>2019-11-22T11:44:26.000-07:00</t>
  </si>
  <si>
    <t>c6a2fcd0-3231-4f77-8993-724d9ecdc47a</t>
  </si>
  <si>
    <t>2020-01-07T06:36:18</t>
  </si>
  <si>
    <t>Associated Sample PLc1082 and NOT TURBID</t>
  </si>
  <si>
    <t>2020-01-07T12:10:27.000+06:30</t>
  </si>
  <si>
    <t>ec9507ae-fc10-400f-9a8e-38a47fd5136a</t>
  </si>
  <si>
    <t>2019-11-22T06:11:44</t>
  </si>
  <si>
    <t>2019-11-22T11:45:25.000-07:00</t>
  </si>
  <si>
    <t>2019-11-19T17:15:00.000-07:00</t>
  </si>
  <si>
    <t>bf51b7cc-4a3b-44a2-9bbb-0fe5e2d0840f</t>
  </si>
  <si>
    <t>2020-01-07T06:37:04</t>
  </si>
  <si>
    <t>9f7f731e-c69f-41ed-a959-2482c0a9b32d</t>
  </si>
  <si>
    <t>2019-11-22T06:12:42</t>
  </si>
  <si>
    <t>2020-01-07T12:11:11.000+06:30</t>
  </si>
  <si>
    <t>2019-11-22T11:46:53.000-07:00</t>
  </si>
  <si>
    <t>2019-11-19T16:40:00.000-07:00</t>
  </si>
  <si>
    <t>Associated Sample PLc1083 and NOT TURBID</t>
  </si>
  <si>
    <t>43031a63-085f-4e47-90c0-921bbd9a912d</t>
  </si>
  <si>
    <t>2020-01-07T06:37:50</t>
  </si>
  <si>
    <t>685d6002-12cf-408e-87a6-cd123587309f</t>
  </si>
  <si>
    <t>2019-11-22T06:14:11</t>
  </si>
  <si>
    <t>2020-01-07T12:11:12.000+06:30</t>
  </si>
  <si>
    <t>2020-01-07T12:12:30.000+06:30</t>
  </si>
  <si>
    <t>2019-11-22T11:48:03.000-07:00</t>
  </si>
  <si>
    <t>2019-11-19T17:20:00.000-07:00</t>
  </si>
  <si>
    <t>10db7b0b-29b7-471c-b7c4-52d365ac714f</t>
  </si>
  <si>
    <t>2019-11-22T06:15:20</t>
  </si>
  <si>
    <t>2019-11-22T11:49:31.000-07:00</t>
  </si>
  <si>
    <t>2019-11-19T16:45:00.000-07:00</t>
  </si>
  <si>
    <t>9363d4eb-22a9-4f8e-8c64-b071bb8ed3b3</t>
  </si>
  <si>
    <t>Associated Sample PLc1084 and NOT TURBID</t>
  </si>
  <si>
    <t>2020-01-07T06:39:09</t>
  </si>
  <si>
    <t>2020-01-07T12:12:31.000+06:30</t>
  </si>
  <si>
    <t>bf694165-2450-426b-878a-f6b59bfb2186</t>
  </si>
  <si>
    <t>2019-11-22T06:16:49</t>
  </si>
  <si>
    <t>2020-01-07T12:13:14.000+06:30</t>
  </si>
  <si>
    <t>2019-11-22T11:54:47.000-07:00</t>
  </si>
  <si>
    <t>2019-11-19T16:10:00.000-07:00</t>
  </si>
  <si>
    <t>2019-11-20T16:25:00.000-07:00</t>
  </si>
  <si>
    <t>2019-11-20T17:15:00.000-07:00</t>
  </si>
  <si>
    <t>4c258819-b2cd-4e61-b3b2-7a5e83bb464a</t>
  </si>
  <si>
    <t>2019-11-22T06:22:04</t>
  </si>
  <si>
    <t>9a368a4e-11ec-4631-8763-29a97837492f</t>
  </si>
  <si>
    <t>2020-01-07T06:39:52</t>
  </si>
  <si>
    <t>2019-11-22T11:58:21.000-07:00</t>
  </si>
  <si>
    <t>2020-01-07T12:14:00.000+06:30</t>
  </si>
  <si>
    <t>2019-11-20T16:45:00.000-07:00</t>
  </si>
  <si>
    <t>Associated Sample PLc1085 and NOT TURBID</t>
  </si>
  <si>
    <t>1104f961-0bce-4941-8e90-87015d44357c</t>
  </si>
  <si>
    <t>2019-11-22T06:25:38</t>
  </si>
  <si>
    <t>2019-11-22T12:00:13.000-07:00</t>
  </si>
  <si>
    <t>c74d214c-821f-4191-848f-4082704251a7</t>
  </si>
  <si>
    <t>2020-01-07T06:40:32</t>
  </si>
  <si>
    <t>2019-11-20T17:17:00.000-07:00</t>
  </si>
  <si>
    <t>2020-01-07T12:15:02.000+06:30</t>
  </si>
  <si>
    <t>2b0df100-4193-4fb5-91e9-9fbbfaf6a126</t>
  </si>
  <si>
    <t>2019-11-22T06:27:35</t>
  </si>
  <si>
    <t>S.typhi 06.01.2020, s.paratyphi 06.01.2020</t>
  </si>
  <si>
    <t>2019-11-22T12:01:33.000-07:00</t>
  </si>
  <si>
    <t>a5ec2457-59f9-4b5f-a951-e60776ee549a</t>
  </si>
  <si>
    <t>2020-01-07T06:41:40</t>
  </si>
  <si>
    <t>2019-11-20T16:50:00.000-07:00</t>
  </si>
  <si>
    <t>Associated Sample PLc1086 and NOT TURBID</t>
  </si>
  <si>
    <t>2020-01-07T12:16:13.000+06:30</t>
  </si>
  <si>
    <t>bd1ea03e-bc67-4860-ae48-e4ae6b7ae8cb</t>
  </si>
  <si>
    <t>2019-11-22T06:28:51</t>
  </si>
  <si>
    <t>2019-11-22T12:02:39.000-07:00</t>
  </si>
  <si>
    <t>2019-11-20T17:19:00.000-07:00</t>
  </si>
  <si>
    <t>6980c344-605d-4632-84d9-a5587f92f110</t>
  </si>
  <si>
    <t>2020-01-07T06:42:52</t>
  </si>
  <si>
    <t>88f9d728-dc51-4a5a-88d4-5bb92f4f11d5</t>
  </si>
  <si>
    <t>2019-11-22T06:29:55</t>
  </si>
  <si>
    <t>2020-01-07T12:16:14.000+06:30</t>
  </si>
  <si>
    <t>2019-11-22T12:05:30.000-07:00</t>
  </si>
  <si>
    <t>2020-01-07T12:17:24.000+06:30</t>
  </si>
  <si>
    <t>2019-11-20T16:55:00.000-07:00</t>
  </si>
  <si>
    <t>Associated Sample PLc1087 and NOT TURBID</t>
  </si>
  <si>
    <t>ae99e52a-925f-4ebf-aee0-e5409d31fdee</t>
  </si>
  <si>
    <t>2019-11-22T06:32:47</t>
  </si>
  <si>
    <t>2019-11-22T12:06:38.000-07:00</t>
  </si>
  <si>
    <t>8b0c5f27-f29c-44c5-a00e-ca30c9838198</t>
  </si>
  <si>
    <t>2020-01-07T06:44:04</t>
  </si>
  <si>
    <t>2019-11-19T16:20:00.000-07:00</t>
  </si>
  <si>
    <t>2019-11-19T16:30:00.000-07:00</t>
  </si>
  <si>
    <t>2020-01-07T12:18:24.000+06:30</t>
  </si>
  <si>
    <t>2019-11-20T17:40:00.000-07:00</t>
  </si>
  <si>
    <t>dfb6fb46-6fe2-441b-9094-95e9e8dc9e09</t>
  </si>
  <si>
    <t>2019-11-22T06:33:56</t>
  </si>
  <si>
    <t>2019-11-22T12:08:06.000-07:00</t>
  </si>
  <si>
    <t>2019-11-20T17:05:00.000-07:00</t>
  </si>
  <si>
    <t>68e01c62-b9f7-4bd9-8477-38598ae1ddb6</t>
  </si>
  <si>
    <t>2020-01-07T06:45:03</t>
  </si>
  <si>
    <t>Associated Sample MO1118 and NOT TURBID</t>
  </si>
  <si>
    <t>2020-01-07T12:18:25.000+06:30</t>
  </si>
  <si>
    <t>533a0507-2427-47df-b68c-4742627557af</t>
  </si>
  <si>
    <t>2019-11-22T06:35:22</t>
  </si>
  <si>
    <t>2020-01-07T12:19:23.000+06:30</t>
  </si>
  <si>
    <t>2019-11-22T12:09:03.000-07:00</t>
  </si>
  <si>
    <t>2019-11-20T17:45:00.000-07:00</t>
  </si>
  <si>
    <t>f2549e01-62f4-4714-aa84-476c2631a2f0</t>
  </si>
  <si>
    <t>2020-01-07T06:46:01</t>
  </si>
  <si>
    <t>f17b1e3d-e269-40bd-89d5-1733c67b9806</t>
  </si>
  <si>
    <t>2019-11-22T06:36:20</t>
  </si>
  <si>
    <t>2020-01-07T12:21:09.000+06:30</t>
  </si>
  <si>
    <t>2019-11-22T12:10:21.000-07:00</t>
  </si>
  <si>
    <t>Associated Sample MO1119 and NOT TURBID</t>
  </si>
  <si>
    <t>e44e2bc3-60f3-4ec4-9949-ec8622a3431e</t>
  </si>
  <si>
    <t>2019-11-22T06:37:40</t>
  </si>
  <si>
    <t>Associated sample PLc1020</t>
  </si>
  <si>
    <t>9e1d4900-b706-4385-813c-b5cd9c507e50</t>
  </si>
  <si>
    <t>2019-11-22T12:13:18.000-07:00</t>
  </si>
  <si>
    <t>2020-01-07T06:47:48</t>
  </si>
  <si>
    <t>2019-11-20T15:20:00.000-07:00</t>
  </si>
  <si>
    <t>2019-11-20T15:45:00.000-07:00</t>
  </si>
  <si>
    <t>2020-01-07T12:23:30.000+06:30</t>
  </si>
  <si>
    <t>2019-11-21T15:45:00.000-07:00</t>
  </si>
  <si>
    <t>2019-11-21T16:00:00.000-07:00</t>
  </si>
  <si>
    <t>Associated Sample COa1007, COb1020, COb1021, COb1022 and TURBID</t>
  </si>
  <si>
    <t>b8de7884-bca4-4737-a696-9bdab2cbc001</t>
  </si>
  <si>
    <t>S.typhi 16.07.2019, s.paratyphi 16.07.2019</t>
  </si>
  <si>
    <t>2019-11-22T06:40:35</t>
  </si>
  <si>
    <t>2019-11-25T12:55:27.000-07:00</t>
  </si>
  <si>
    <t>2019-11-25T13:02:14.000-07:00</t>
  </si>
  <si>
    <t>dc96fb42-72e7-4583-ae39-5abd56a4180f</t>
  </si>
  <si>
    <t>2020-01-07T06:50:08</t>
  </si>
  <si>
    <t>2020-01-07T12:24:43.000+06:30</t>
  </si>
  <si>
    <t>93433222-8135-4ffb-9beb-3c299414e8db</t>
  </si>
  <si>
    <t>2019-11-25T07:29:30</t>
  </si>
  <si>
    <t>2019-11-25T13:05:00.000-07:00</t>
  </si>
  <si>
    <t>babb72df-3e36-4bc9-a653-e05c73cf5745</t>
  </si>
  <si>
    <t>2020-01-07T06:51:22</t>
  </si>
  <si>
    <t>a99a5fd9-8d33-40e6-bc74-5d7c78ddc4c9</t>
  </si>
  <si>
    <t>2019-11-25T07:32:16</t>
  </si>
  <si>
    <t>2020-01-07T12:25:36.000+06:30</t>
  </si>
  <si>
    <t>2019-11-25T13:06:14.000-07:00</t>
  </si>
  <si>
    <t>6867dbe9-0149-4a84-b3e2-4c978dafa6e2</t>
  </si>
  <si>
    <t>2019-11-25T07:33:30</t>
  </si>
  <si>
    <t>2019-11-25T13:09:09.000-07:00</t>
  </si>
  <si>
    <t>ef4565cd-e0c6-43f8-92d1-254c37eef2a5</t>
  </si>
  <si>
    <t>2020-01-07T06:52:14</t>
  </si>
  <si>
    <t>2019-11-21T15:30:00.000-07:00</t>
  </si>
  <si>
    <t>2020-01-07T12:26:41.000+06:30</t>
  </si>
  <si>
    <t>9eb04f45-b604-43ea-a422-6fa4094d77eb</t>
  </si>
  <si>
    <t>2019-11-25T07:36:24</t>
  </si>
  <si>
    <t>2019-11-25T13:10:45.000-07:00</t>
  </si>
  <si>
    <t>2019-11-21T15:00:00.000-07:00</t>
  </si>
  <si>
    <t>16f84900-0ed2-4117-80f1-2c3afd0d1259</t>
  </si>
  <si>
    <t>2019-11-21T15:25:00.000-07:00</t>
  </si>
  <si>
    <t>2020-01-07T06:53:19</t>
  </si>
  <si>
    <t>2019-11-22T15:25:00.000-07:00</t>
  </si>
  <si>
    <t>Associated Sample PLc1088 and TURBID</t>
  </si>
  <si>
    <t>2020-01-07T12:27:48.000+06:30</t>
  </si>
  <si>
    <t>d878952b-d0b7-4114-99f2-a790c00a7f52</t>
  </si>
  <si>
    <t>2019-11-25T07:38:00</t>
  </si>
  <si>
    <t>2019-11-25T13:11:59.000-07:00</t>
  </si>
  <si>
    <t>1eb46285-40a0-4f9a-8faf-8b8151060350</t>
  </si>
  <si>
    <t>2020-01-07T06:54:25</t>
  </si>
  <si>
    <t>9a950179-d8ab-4098-bc8b-3b722a47d147</t>
  </si>
  <si>
    <t>2020-01-07T12:28:40.000+06:30</t>
  </si>
  <si>
    <t>2019-11-25T07:39:14</t>
  </si>
  <si>
    <t>2019-11-25T13:13:27.000-07:00</t>
  </si>
  <si>
    <t>Associated Sample PLc1089 and NOT TURBID</t>
  </si>
  <si>
    <t>6d43bb91-6ba7-4c4c-88a4-8e497da8cd7a</t>
  </si>
  <si>
    <t>004c7b37-0d88-4864-9fdf-ce0ca795e6a3</t>
  </si>
  <si>
    <t>2019-11-25T07:40:42</t>
  </si>
  <si>
    <t>2020-01-07T06:55:17</t>
  </si>
  <si>
    <t>2019-11-25T13:14:24.000-07:00</t>
  </si>
  <si>
    <t>2020-01-07T12:29:37.000+06:30</t>
  </si>
  <si>
    <t>de609e0b-4a17-4810-9a8d-3da085729cd8</t>
  </si>
  <si>
    <t>2019-11-25T07:41:39</t>
  </si>
  <si>
    <t>2019-11-25T13:15:39.000-07:00</t>
  </si>
  <si>
    <t>9715dbd4-5883-4c34-8683-eb681b048b83</t>
  </si>
  <si>
    <t>2020-01-07T06:56:15</t>
  </si>
  <si>
    <t>2020-01-07T12:30:23.000+06:30</t>
  </si>
  <si>
    <t>Associated Sample PLc1090 and NOT TURBID</t>
  </si>
  <si>
    <t>42e41270-ac92-4412-99c7-48aeb8183f05</t>
  </si>
  <si>
    <t>2019-11-25T07:42:54</t>
  </si>
  <si>
    <t>2019-11-25T13:16:38.000-07:00</t>
  </si>
  <si>
    <t>c04267fe-2679-44b8-8be6-319d38ff9653</t>
  </si>
  <si>
    <t>2020-01-07T06:57:01</t>
  </si>
  <si>
    <t>2020-01-07T12:31:14.000+06:30</t>
  </si>
  <si>
    <t>956fa2ee-cb12-40dd-9860-420e867adbf0</t>
  </si>
  <si>
    <t>2019-11-25T07:43:52</t>
  </si>
  <si>
    <t>2019-11-25T13:17:54.000-07:00</t>
  </si>
  <si>
    <t>ca1d0c17-0567-4559-8050-3f9a5ab691ae</t>
  </si>
  <si>
    <t>2020-01-07T06:57:52</t>
  </si>
  <si>
    <t>Associated Sample PLc1091 and NOT TURBID</t>
  </si>
  <si>
    <t>d6b086d4-3e4e-49cd-a3b5-feddc2c1762d</t>
  </si>
  <si>
    <t>2020-01-07T12:32:07.000+06:30</t>
  </si>
  <si>
    <t>2019-11-25T07:45:08</t>
  </si>
  <si>
    <t>2019-11-25T13:18:55.000-07:00</t>
  </si>
  <si>
    <t>2019-11-21T16:25:00.000-07:00</t>
  </si>
  <si>
    <t>2019-11-22T16:25:00.000-07:00</t>
  </si>
  <si>
    <t>0324ac77-ea0d-4e34-ad0a-622b992cb2b7</t>
  </si>
  <si>
    <t>2020-01-07T06:58:45</t>
  </si>
  <si>
    <t>cc862381-b966-4377-bc2d-044715132824</t>
  </si>
  <si>
    <t>2019-11-25T07:46:10</t>
  </si>
  <si>
    <t>2020-01-07T12:33:16.000+06:30</t>
  </si>
  <si>
    <t>2019-11-25T13:20:13.000-07:00</t>
  </si>
  <si>
    <t>Associated Sample MO1120 and NOT TURBID</t>
  </si>
  <si>
    <t>2997f4fe-0c1f-4209-bcd6-d0d27bef9261</t>
  </si>
  <si>
    <t>2019-11-25T07:47:29</t>
  </si>
  <si>
    <t>0ed93fcb-f04d-4248-91db-cfe7ccaa223b</t>
  </si>
  <si>
    <t>2020-01-07T06:59:55</t>
  </si>
  <si>
    <t>2019-11-25T13:22:27.000-07:00</t>
  </si>
  <si>
    <t>2020-01-07T12:33:17.000+06:30</t>
  </si>
  <si>
    <t>2020-01-07T12:34:16.000+06:30</t>
  </si>
  <si>
    <t>e1abb076-a6e4-496f-9f9e-8e9d880e95da</t>
  </si>
  <si>
    <t>2019-11-25T07:49:42</t>
  </si>
  <si>
    <t>2019-11-25T13:23:59.000-07:00</t>
  </si>
  <si>
    <t>4f86f176-0eae-4b2c-8119-aed7a081e5b5</t>
  </si>
  <si>
    <t>2019-11-22T15:30:00.000-07:00</t>
  </si>
  <si>
    <t>2020-01-07T07:00:53</t>
  </si>
  <si>
    <t>2019-11-23T16:45:00.000-07:00</t>
  </si>
  <si>
    <t>2020-01-07T12:35:00.000+06:30</t>
  </si>
  <si>
    <t>8b068436-f9ef-44e8-a598-c7b71dbd1f4a</t>
  </si>
  <si>
    <t>2019-11-25T07:51:15</t>
  </si>
  <si>
    <t>2019-11-25T13:27:40.000-07:00</t>
  </si>
  <si>
    <t>2019-11-22T15:00:00.000-07:00</t>
  </si>
  <si>
    <t>2019-11-23T15:30:00.000-07:00</t>
  </si>
  <si>
    <t>2019-11-23T17:00:00.000-07:00</t>
  </si>
  <si>
    <t>8d8bc928-0b9f-4bfc-8a89-94038d54587a</t>
  </si>
  <si>
    <t>2020-01-07T07:01:38</t>
  </si>
  <si>
    <t>5540122a-678c-46df-9b6f-2769870e7751</t>
  </si>
  <si>
    <t>2019-11-25T07:54:56</t>
  </si>
  <si>
    <t>2020-01-07T12:35:46.000+06:30</t>
  </si>
  <si>
    <t>2019-11-25T13:29:32.000-07:00</t>
  </si>
  <si>
    <t>8e884bb8-1250-4afd-89b7-baebe4256758</t>
  </si>
  <si>
    <t>2020-01-07T07:02:24</t>
  </si>
  <si>
    <t>2020-01-07T12:35:47.000+06:30</t>
  </si>
  <si>
    <t>ba4b27f2-5fef-47e4-9652-943352c301d0</t>
  </si>
  <si>
    <t>2019-11-25T07:56:48</t>
  </si>
  <si>
    <t>2020-01-07T12:36:37.000+06:30</t>
  </si>
  <si>
    <t>2019-11-25T13:30:51.000-07:00</t>
  </si>
  <si>
    <t>Associated Sample PLc1093 and NOT TURBID</t>
  </si>
  <si>
    <t>7238d6ad-3e03-4f58-bf49-6eaeff3c23de</t>
  </si>
  <si>
    <t>2019-11-25T07:58:07</t>
  </si>
  <si>
    <t>2019-11-25T13:31:36.000-07:00</t>
  </si>
  <si>
    <t>d1bc3cfd-5f4c-418c-8e5b-c0925d2fb030</t>
  </si>
  <si>
    <t>2020-01-07T07:03:14</t>
  </si>
  <si>
    <t>2020-01-07T12:37:33.000+06:30</t>
  </si>
  <si>
    <t>38e76f09-8684-493a-b4f1-6cce3c3759cc</t>
  </si>
  <si>
    <t>2019-11-25T07:58:50</t>
  </si>
  <si>
    <t>2019-11-25T13:32:49.000-07:00</t>
  </si>
  <si>
    <t>6e30ca9e-870f-49fb-bab3-d3165b687abb</t>
  </si>
  <si>
    <t>Associated Sample PLc1094 and NOT TURBID</t>
  </si>
  <si>
    <t>2020-01-07T07:04:11</t>
  </si>
  <si>
    <t>79ca8e33-fd00-4958-88d7-4e268f8ce9a1</t>
  </si>
  <si>
    <t>2019-11-25T08:00:05</t>
  </si>
  <si>
    <t>2020-01-07T12:38:17.000+06:30</t>
  </si>
  <si>
    <t>2019-11-25T13:33:43.000-07:00</t>
  </si>
  <si>
    <t>2019-11-23T17:30:00.000-07:00</t>
  </si>
  <si>
    <t>1e475e4c-6da0-4fe7-bc27-91885beee765</t>
  </si>
  <si>
    <t>2019-11-25T08:00:58</t>
  </si>
  <si>
    <t>2019-11-29T12:09:53.000-07:00</t>
  </si>
  <si>
    <t>1e94a9bf-0684-44da-b3ab-4e88e1db84ee</t>
  </si>
  <si>
    <t>2020-01-07T07:04:54</t>
  </si>
  <si>
    <t>2019-11-29T12:30:46.000-07:00</t>
  </si>
  <si>
    <t>2020-01-07T12:39:03.000+06:30</t>
  </si>
  <si>
    <t>2019-11-25T15:20:00.000-07:00</t>
  </si>
  <si>
    <t>2019-11-25T16:00:00.000-07:00</t>
  </si>
  <si>
    <t>2019-11-26T16:00:00.000-07:00</t>
  </si>
  <si>
    <t>2019-11-26T16:40:00.000-07:00</t>
  </si>
  <si>
    <t>05310aa8-962f-420d-a36a-cdb5f1192f83</t>
  </si>
  <si>
    <t>2019-11-29T06:57:58</t>
  </si>
  <si>
    <t>2019-11-29T12:32:01.000-07:00</t>
  </si>
  <si>
    <t>2019-11-25T14:35:00.000-07:00</t>
  </si>
  <si>
    <t>6fc70f6c-5ba2-4758-8d7f-865c84416878</t>
  </si>
  <si>
    <t>2020-01-07T07:05:40</t>
  </si>
  <si>
    <t>2019-11-26T15:00:00.000-07:00</t>
  </si>
  <si>
    <t>2019-11-26T15:20:00.000-07:00</t>
  </si>
  <si>
    <t>2020-01-07T12:39:04.000+06:30</t>
  </si>
  <si>
    <t>Associated Sample PLc1095 and NOT TURBID</t>
  </si>
  <si>
    <t>2020-01-07T12:39:53.000+06:30</t>
  </si>
  <si>
    <t>9921d33e-8a3c-4739-bc40-b3e9b872fd6c</t>
  </si>
  <si>
    <t>2019-11-29T06:59:13</t>
  </si>
  <si>
    <t>2019-11-29T12:32:53.000-07:00</t>
  </si>
  <si>
    <t>b9998584-7216-4329-a20a-8601813036b3</t>
  </si>
  <si>
    <t>2020-01-07T07:06:31</t>
  </si>
  <si>
    <t>2019-11-26T16:48:00.000-07:00</t>
  </si>
  <si>
    <t>2020-01-07T12:40:39.000+06:30</t>
  </si>
  <si>
    <t>a97ceba7-b097-4412-b96f-52aa7de90808</t>
  </si>
  <si>
    <t>2019-11-29T07:00:05</t>
  </si>
  <si>
    <t>2019-11-29T12:34:08.000-07:00</t>
  </si>
  <si>
    <t>2019-11-26T15:22:00.000-07:00</t>
  </si>
  <si>
    <t>1b99b811-ae9a-4830-a5bb-f0d61222d1ad</t>
  </si>
  <si>
    <t>2020-01-07T07:07:17</t>
  </si>
  <si>
    <t>Associated Sample PLc1096 and NOT TURBID</t>
  </si>
  <si>
    <t>0fffdff2-3b50-470a-87b3-9dd16acce3bc</t>
  </si>
  <si>
    <t>2019-11-29T07:01:20</t>
  </si>
  <si>
    <t>2020-01-07T12:41:56.000+06:30</t>
  </si>
  <si>
    <t>2019-11-29T12:35:58.000-07:00</t>
  </si>
  <si>
    <t>2019-11-26T15:18:00.000-07:00</t>
  </si>
  <si>
    <t>b73fba94-ec07-4c19-bcfb-d3691fdcdfb0</t>
  </si>
  <si>
    <t>2019-11-29T07:03:10</t>
  </si>
  <si>
    <t>1c732f14-0862-4730-af6b-451f7d72db59</t>
  </si>
  <si>
    <t>2020-01-07T07:08:35</t>
  </si>
  <si>
    <t>2020-01-07T12:41:57.000+06:30</t>
  </si>
  <si>
    <t>2019-11-29T12:37:18.000-07:00</t>
  </si>
  <si>
    <t>2020-01-07T12:42:48.000+06:30</t>
  </si>
  <si>
    <t>2019-11-26T15:45:00.000-07:00</t>
  </si>
  <si>
    <t>2019-11-27T15:45:00.000-07:00</t>
  </si>
  <si>
    <t>2019-11-27T16:55:00.000-07:00</t>
  </si>
  <si>
    <t>31391070-4f9f-4286-aed6-4faf65fafcbb</t>
  </si>
  <si>
    <t>2019-11-29T07:04:31</t>
  </si>
  <si>
    <t>2019-11-29T12:38:28.000-07:00</t>
  </si>
  <si>
    <t>e174fd8a-e405-4a00-9670-d86a6e7d4b3f</t>
  </si>
  <si>
    <t>2020-01-07T07:09:26</t>
  </si>
  <si>
    <t>2020-01-07T12:43:49.000+06:30</t>
  </si>
  <si>
    <t>Associated Sample MO1122 and NOT TURBID</t>
  </si>
  <si>
    <t>0af0c3d6-1a33-4c08-8af2-a8dab6e43c5b</t>
  </si>
  <si>
    <t>2019-11-29T07:05:40</t>
  </si>
  <si>
    <t>2019-11-29T12:39:34.000-07:00</t>
  </si>
  <si>
    <t>2019-11-27T17:00:00.000-07:00</t>
  </si>
  <si>
    <t>02833f3c-9370-4ab6-afcf-f6ecb170791b</t>
  </si>
  <si>
    <t>2020-01-07T07:10:26</t>
  </si>
  <si>
    <t>8fc6dc75-e663-4d00-981e-a5a40eb7d650</t>
  </si>
  <si>
    <t>2019-11-29T07:06:45</t>
  </si>
  <si>
    <t>2020-01-07T12:44:37.000+06:30</t>
  </si>
  <si>
    <t>2019-11-29T12:41:05.000-07:00</t>
  </si>
  <si>
    <t>Associated Sample MO1123 and NOT TURBID</t>
  </si>
  <si>
    <t>fc03ff6b-1ef8-41c9-98af-4d302bb00bbc</t>
  </si>
  <si>
    <t>2019-11-29T07:08:18</t>
  </si>
  <si>
    <t>c643314f-7e0f-4420-a885-de714f65cf54</t>
  </si>
  <si>
    <t>2020-01-07T07:11:14</t>
  </si>
  <si>
    <t>2019-11-29T12:41:59.000-07:00</t>
  </si>
  <si>
    <t>2020-01-07T12:45:24.000+06:30</t>
  </si>
  <si>
    <t>2019-11-27T15:30:00.000-07:00</t>
  </si>
  <si>
    <t>2019-11-27T16:15:00.000-07:00</t>
  </si>
  <si>
    <t>3587ecd1-5c8c-4e77-8072-3819b0a41b18</t>
  </si>
  <si>
    <t>2019-11-29T07:09:11</t>
  </si>
  <si>
    <t>2019-11-29T12:43:12.000-07:00</t>
  </si>
  <si>
    <t>ea35b5db-61ed-419b-9ba5-27297af24a91</t>
  </si>
  <si>
    <t>2020-01-07T07:12:02</t>
  </si>
  <si>
    <t>2020-01-07T12:46:27.000+06:30</t>
  </si>
  <si>
    <t>Associated Sample PLc1097 and NOT TURBID</t>
  </si>
  <si>
    <t>7b38bec2-a5fa-4584-a73e-e7840456e931</t>
  </si>
  <si>
    <t>2019-11-29T07:10:23</t>
  </si>
  <si>
    <t>2019-11-29T12:44:04.000-07:00</t>
  </si>
  <si>
    <t>2019-11-27T16:25:00.000-07:00</t>
  </si>
  <si>
    <t>3029a71d-7275-4e2f-b837-3513c74a1bd5</t>
  </si>
  <si>
    <t>2020-01-07T07:13:05</t>
  </si>
  <si>
    <t>56af592b-1453-4133-a3e5-0f57ea0dc881</t>
  </si>
  <si>
    <t>2019-11-29T07:11:16</t>
  </si>
  <si>
    <t>2020-01-07T12:47:16.000+06:30</t>
  </si>
  <si>
    <t>2019-11-29T12:45:15.000-07:00</t>
  </si>
  <si>
    <t>2019-11-27T15:20:00.000-07:00</t>
  </si>
  <si>
    <t>Associated Sample PLc1098 and NOT TURBID</t>
  </si>
  <si>
    <t>50839254-f9ce-486c-a1ef-708633e1a7f9</t>
  </si>
  <si>
    <t>2019-11-29T07:12:28</t>
  </si>
  <si>
    <t>af59a0e6-785b-445f-980e-2842a49a9f2f</t>
  </si>
  <si>
    <t>2020-01-07T07:13:53</t>
  </si>
  <si>
    <t>2019-11-29T12:46:07.000-07:00</t>
  </si>
  <si>
    <t>2020-01-07T12:48:04.000+06:30</t>
  </si>
  <si>
    <t>4f06a776-dbac-4a3a-8d44-d565da123500</t>
  </si>
  <si>
    <t>2019-11-29T07:13:19</t>
  </si>
  <si>
    <t>2019-11-29T12:47:38.000-07:00</t>
  </si>
  <si>
    <t>4c5c8ca6-6b60-45c4-89a0-12b0c4f44e2c</t>
  </si>
  <si>
    <t>2020-01-07T07:14:42</t>
  </si>
  <si>
    <t>2019-11-27T15:18:00.000-07:00</t>
  </si>
  <si>
    <t>Associated Sample PLc1099 and NOT TURBID</t>
  </si>
  <si>
    <t>2020-01-07T12:48:48.000+06:30</t>
  </si>
  <si>
    <t>6c349642-5eec-4841-825a-305d532ced2d</t>
  </si>
  <si>
    <t>2019-11-29T07:14:50</t>
  </si>
  <si>
    <t>2019-11-29T12:48:39.000-07:00</t>
  </si>
  <si>
    <t>2019-11-27T14:30:00.000-07:00</t>
  </si>
  <si>
    <t>2019-11-27T14:48:00.000-07:00</t>
  </si>
  <si>
    <t>8888c5d4-c31c-4c3f-ab31-fa71fa5ccec6</t>
  </si>
  <si>
    <t>a0d86682-231d-4a20-81f8-135cf7a764ea</t>
  </si>
  <si>
    <t>2019-11-29T07:15:50</t>
  </si>
  <si>
    <t>2020-01-07T07:15:24</t>
  </si>
  <si>
    <t>2019-11-29T12:52:30.000-07:00</t>
  </si>
  <si>
    <t>2020-01-07T12:50:16.000+06:30</t>
  </si>
  <si>
    <t>2019-11-27T16:00:00.000-07:00</t>
  </si>
  <si>
    <t>2019-11-28T16:15:00.000-07:00</t>
  </si>
  <si>
    <t>Associated Sample FPa1006, FPb1006, FPc1006, FPd1006, FPe1006and NOT TURBID</t>
  </si>
  <si>
    <t>d4838bdb-2901-47cb-a0a8-fc329d456ce5</t>
  </si>
  <si>
    <t>2019-11-29T07:19:42</t>
  </si>
  <si>
    <t>2019-11-29T12:54:13.000-07:00</t>
  </si>
  <si>
    <t>ff51f0f8-4908-4e84-9682-15cb479085b6</t>
  </si>
  <si>
    <t>2020-01-07T07:16:55</t>
  </si>
  <si>
    <t>2019-11-28T16:00:00.000-07:00</t>
  </si>
  <si>
    <t>2019-11-28T16:10:00.000-07:00</t>
  </si>
  <si>
    <t>2020-01-07T12:51:22.000+06:30</t>
  </si>
  <si>
    <t>c158906d-78d4-4db2-a7b7-9344e2e635b3</t>
  </si>
  <si>
    <t>2019-11-29T07:21:26</t>
  </si>
  <si>
    <t>2019-12-05T11:37:12.000-07:00</t>
  </si>
  <si>
    <t>2019-12-05T11:38:50.000-07:00</t>
  </si>
  <si>
    <t>db026d7b-e8d8-45e7-80e6-55452fe6788d</t>
  </si>
  <si>
    <t>2019-11-28T15:30:00.000-07:00</t>
  </si>
  <si>
    <t>2020-01-07T07:18:00</t>
  </si>
  <si>
    <t>2019-11-29T15:30:00.000-07:00</t>
  </si>
  <si>
    <t>2019-11-29T16:10:00.000-07:00</t>
  </si>
  <si>
    <t>2020-01-07T12:52:43.000+06:30</t>
  </si>
  <si>
    <t>31f64010-6ecf-41bc-92f7-6a6a0c8205cf</t>
  </si>
  <si>
    <t>2019-12-05T06:05:57</t>
  </si>
  <si>
    <t>2019-12-05T11:40:16.000-07:00</t>
  </si>
  <si>
    <t>2019-11-28T14:50:00.000-07:00</t>
  </si>
  <si>
    <t>Associated Sample PLc1100 and NOT TURBID</t>
  </si>
  <si>
    <t>b9b54eb7-aa68-4d2f-8103-3a3191a44609</t>
  </si>
  <si>
    <t>2020-01-07T07:19:22</t>
  </si>
  <si>
    <t>092c235d-dbb2-4a10-8d99-daa60f88e295</t>
  </si>
  <si>
    <t>2019-12-05T06:07:22</t>
  </si>
  <si>
    <t>2020-01-07T12:53:35.000+06:30</t>
  </si>
  <si>
    <t>2019-12-05T11:41:15.000-07:00</t>
  </si>
  <si>
    <t>2019-11-28T15:05:00.000-07:00</t>
  </si>
  <si>
    <t>2019-11-29T16:15:00.000-07:00</t>
  </si>
  <si>
    <t>54408642-d7ae-4f85-8abd-d7da526fae30</t>
  </si>
  <si>
    <t>2019-12-05T06:08:21</t>
  </si>
  <si>
    <t>176ab240-da05-433c-8862-f709b4e567ec</t>
  </si>
  <si>
    <t>2020-01-07T07:20:12</t>
  </si>
  <si>
    <t>2019-12-05T11:42:27.000-07:00</t>
  </si>
  <si>
    <t>2020-01-07T12:54:22.000+06:30</t>
  </si>
  <si>
    <t>2019-11-29T15:12:00.000-07:00</t>
  </si>
  <si>
    <t>Associated Sample PLc1101 and NOT TURBID</t>
  </si>
  <si>
    <t>ea44ec18-68bb-484e-88e4-ae5c8545e62d</t>
  </si>
  <si>
    <t>2019-12-05T06:09:34</t>
  </si>
  <si>
    <t>2019-12-05T11:43:36.000-07:00</t>
  </si>
  <si>
    <t>059665e2-8f51-40ab-a814-8b17f9a48a2f</t>
  </si>
  <si>
    <t>2020-01-07T07:21:00</t>
  </si>
  <si>
    <t>2019-11-28T15:35:00.000-07:00</t>
  </si>
  <si>
    <t>2019-11-28T15:46:00.000-07:00</t>
  </si>
  <si>
    <t>2019-11-29T16:50:00.000-07:00</t>
  </si>
  <si>
    <t>2020-01-07T12:55:21.000+06:30</t>
  </si>
  <si>
    <t>cd401054-270e-4016-95cc-8a5149b30626</t>
  </si>
  <si>
    <t>2019-12-05T06:10:42</t>
  </si>
  <si>
    <t>2019-12-05T11:45:03.000-07:00</t>
  </si>
  <si>
    <t>2019-11-29T15:16:00.000-07:00</t>
  </si>
  <si>
    <t>Associated Sample MO1124 and NOT TURBID</t>
  </si>
  <si>
    <t>feb89509-70ea-481e-b61a-a8fd9ff1aa10</t>
  </si>
  <si>
    <t>2020-01-07T07:21:58</t>
  </si>
  <si>
    <t>97b62d50-651c-4054-bf35-10526ba73c3e</t>
  </si>
  <si>
    <t>2019-12-05T06:12:10</t>
  </si>
  <si>
    <t>2019-12-05T11:45:04.000-07:00</t>
  </si>
  <si>
    <t>2020-01-07T12:56:04.000+06:30</t>
  </si>
  <si>
    <t>2019-12-05T11:46:10.000-07:00</t>
  </si>
  <si>
    <t>2019-11-29T17:00:00.000-07:00</t>
  </si>
  <si>
    <t>2a168487-0a16-4106-b1bb-03ef4403a360</t>
  </si>
  <si>
    <t>2019-12-05T06:13:16</t>
  </si>
  <si>
    <t>9d00c14c-f80c-4e42-90b1-127ea031d056</t>
  </si>
  <si>
    <t>2020-01-07T07:22:42</t>
  </si>
  <si>
    <t>2019-12-05T11:47:28.000-07:00</t>
  </si>
  <si>
    <t>2020-01-08T11:13:49.000+06:30</t>
  </si>
  <si>
    <t>2020-01-08T11:18:27.000+06:30</t>
  </si>
  <si>
    <t>2019-11-29T15:18:00.000-07:00</t>
  </si>
  <si>
    <t>Associated Sample MO1125 and NOT TURBID</t>
  </si>
  <si>
    <t>4899d791-9e1c-4830-8a5c-6397f0cd69f2</t>
  </si>
  <si>
    <t>2019-12-05T06:14:35</t>
  </si>
  <si>
    <t>S.typhi 01.01.2020, s.paratyphi 01.01.2020</t>
  </si>
  <si>
    <t>2019-12-05T11:48:58.000-07:00</t>
  </si>
  <si>
    <t>2019-11-28T14:45:00.000-07:00</t>
  </si>
  <si>
    <t>1720883a-7bf0-4066-8b1d-28a9190458cd</t>
  </si>
  <si>
    <t>2019-11-29T14:45:00.000-07:00</t>
  </si>
  <si>
    <t>2020-01-08T05:45:05</t>
  </si>
  <si>
    <t>2019-11-29T14:50:00.000-07:00</t>
  </si>
  <si>
    <t>2020-01-08T11:20:05.000+06:30</t>
  </si>
  <si>
    <t>43293373-cf4c-492e-91d1-eea32d0cadc3</t>
  </si>
  <si>
    <t>2019-12-05T06:16:05</t>
  </si>
  <si>
    <t>2019-12-05T11:50:24.000-07:00</t>
  </si>
  <si>
    <t>2019-11-29T15:15:00.000-07:00</t>
  </si>
  <si>
    <t>2019-11-29T15:40:00.000-07:00</t>
  </si>
  <si>
    <t>2019-11-30T15:40:00.000-07:00</t>
  </si>
  <si>
    <t>2019-11-30T16:20:00.000-07:00</t>
  </si>
  <si>
    <t>bce13d0c-444c-418b-a1e1-2bdbe0ab5271</t>
  </si>
  <si>
    <t>2020-01-08T05:46:43</t>
  </si>
  <si>
    <t>0c8f0818-19d1-474b-a2e1-c30c737cc0e6</t>
  </si>
  <si>
    <t>2019-12-05T06:17:31</t>
  </si>
  <si>
    <t>2019-12-05T11:51:32.000-07:00</t>
  </si>
  <si>
    <t>2020-01-08T11:20:49.000+06:30</t>
  </si>
  <si>
    <t>2019-11-30T15:20:00.000-07:00</t>
  </si>
  <si>
    <t>Associated Sample PLc1102 and NOT TURBID</t>
  </si>
  <si>
    <t>4f2a0150-b05d-4553-87fa-c422f69f20dd</t>
  </si>
  <si>
    <t>2019-12-05T06:18:39</t>
  </si>
  <si>
    <t>2019-12-05T11:51:33.000-07:00</t>
  </si>
  <si>
    <t>2019-12-05T11:52:27.000-07:00</t>
  </si>
  <si>
    <t>e7c0e14e-1816-4809-b3c7-4149da4ccbde</t>
  </si>
  <si>
    <t>2020-01-08T05:47:26</t>
  </si>
  <si>
    <t>2019-11-30T16:28:00.000-07:00</t>
  </si>
  <si>
    <t>2020-01-08T11:21:40.000+06:30</t>
  </si>
  <si>
    <t>9b32cee7-fda1-4016-8fc2-645962f8a705</t>
  </si>
  <si>
    <t>2019-12-05T06:19:33</t>
  </si>
  <si>
    <t>2019-12-05T11:53:39.000-07:00</t>
  </si>
  <si>
    <t>2019-11-30T15:22:00.000-07:00</t>
  </si>
  <si>
    <t>Associated Sample PLc1103 and NOT TURBID</t>
  </si>
  <si>
    <t>1234f299-618d-46d6-aa46-aa92b786e71a</t>
  </si>
  <si>
    <t>2020-01-08T05:48:17</t>
  </si>
  <si>
    <t>66e22d8e-d579-4591-a900-7eb125ada498</t>
  </si>
  <si>
    <t>2019-12-05T06:20:45</t>
  </si>
  <si>
    <t>2020-01-08T11:22:26.000+06:30</t>
  </si>
  <si>
    <t>2019-12-05T11:54:40.000-07:00</t>
  </si>
  <si>
    <t>2019-11-30T16:35:00.000-07:00</t>
  </si>
  <si>
    <t>060dfc5f-9911-4d00-8964-6ad650b3c8f6</t>
  </si>
  <si>
    <t>2019-12-05T06:21:46</t>
  </si>
  <si>
    <t>2019-12-05T11:55:52.000-07:00</t>
  </si>
  <si>
    <t>773f498f-39f3-425a-9533-82bbf4a13660</t>
  </si>
  <si>
    <t>2020-01-08T05:49:03</t>
  </si>
  <si>
    <t>2019-11-30T15:30:00.000-07:00</t>
  </si>
  <si>
    <t>2020-01-08T11:23:04.000+06:30</t>
  </si>
  <si>
    <t>Associated Sample PLc1104 and NOT TURBID</t>
  </si>
  <si>
    <t>92339298-0010-46d5-bdb1-38fb69350ede</t>
  </si>
  <si>
    <t>2019-12-05T06:22:59</t>
  </si>
  <si>
    <t>2019-12-05T11:56:45.000-07:00</t>
  </si>
  <si>
    <t>2019-11-29T14:25:00.000-07:00</t>
  </si>
  <si>
    <t>2019-11-29T14:30:00.000-07:00</t>
  </si>
  <si>
    <t>2019-11-30T14:30:00.000-07:00</t>
  </si>
  <si>
    <t>2019-11-30T14:40:00.000-07:00</t>
  </si>
  <si>
    <t>c5b56a4a-0320-4410-adad-477df279743c</t>
  </si>
  <si>
    <t>2020-01-08T05:49:41</t>
  </si>
  <si>
    <t>26994c36-f3f6-435c-b471-f072e13109aa</t>
  </si>
  <si>
    <t>2019-12-05T06:23:51</t>
  </si>
  <si>
    <t>2020-01-08T11:23:49.000+06:30</t>
  </si>
  <si>
    <t>2019-12-05T11:57:41.000-07:00</t>
  </si>
  <si>
    <t>2019-12-02T15:20:00.000-07:00</t>
  </si>
  <si>
    <t>2019-12-02T15:45:00.000-07:00</t>
  </si>
  <si>
    <t>2019-12-03T15:45:00.000-07:00</t>
  </si>
  <si>
    <t>2019-12-03T16:18:00.000-07:00</t>
  </si>
  <si>
    <t>db5876f0-abe1-42c1-8d19-186ad6407eda</t>
  </si>
  <si>
    <t>2019-12-05T06:24:47</t>
  </si>
  <si>
    <t>39d1766e-ee28-4af4-875a-cad8f22d284f</t>
  </si>
  <si>
    <t>2020-01-08T05:50:26</t>
  </si>
  <si>
    <t>2019-12-05T11:59:02.000-07:00</t>
  </si>
  <si>
    <t>2019-12-02T15:05:00.000-07:00</t>
  </si>
  <si>
    <t>2019-12-02T15:15:00.000-07:00</t>
  </si>
  <si>
    <t>2020-01-08T11:24:40.000+06:30</t>
  </si>
  <si>
    <t>Associated Sample PLc1105 and NOT TURBID</t>
  </si>
  <si>
    <t>f7478f14-0aa0-4c4d-8d5c-39eb04eb6ebb</t>
  </si>
  <si>
    <t>2019-12-05T06:26:11</t>
  </si>
  <si>
    <t>2019-12-05T11:59:50.000-07:00</t>
  </si>
  <si>
    <t>24ad3d61-3c8d-49b6-8f43-6b03143d752f</t>
  </si>
  <si>
    <t>2020-01-08T05:51:18</t>
  </si>
  <si>
    <t>2019-12-03T16:30:00.000-07:00</t>
  </si>
  <si>
    <t>2020-01-08T11:24:41.000+06:30</t>
  </si>
  <si>
    <t>2020-01-08T11:25:30.000+06:30</t>
  </si>
  <si>
    <t>07bc2ed4-ade7-41c8-9f70-10f3593cff78</t>
  </si>
  <si>
    <t>2019-12-05T06:26:57</t>
  </si>
  <si>
    <t>2019-12-05T12:00:58.000-07:00</t>
  </si>
  <si>
    <t>2019-12-03T15:48:00.000-07:00</t>
  </si>
  <si>
    <t>Associated Sample PLc1106 and NOT TURBID</t>
  </si>
  <si>
    <t>aed11485-ddd5-43ba-b86a-312d1c747055</t>
  </si>
  <si>
    <t>d3e45b70-e819-4848-a528-aa2fe12a7d5d</t>
  </si>
  <si>
    <t>2020-01-08T05:52:07</t>
  </si>
  <si>
    <t>2019-12-05T06:28:04</t>
  </si>
  <si>
    <t>2019-12-05T12:01:41.000-07:00</t>
  </si>
  <si>
    <t>2020-01-08T11:26:12.000+06:30</t>
  </si>
  <si>
    <t>2019-12-02T15:10:00.000-07:00</t>
  </si>
  <si>
    <t>2019-12-03T15:10:00.000-07:00</t>
  </si>
  <si>
    <t>2019-12-03T15:25:00.000-07:00</t>
  </si>
  <si>
    <t>c9840adf-7a74-4f4f-9baa-223076f9c185</t>
  </si>
  <si>
    <t>2019-12-05T06:28:47</t>
  </si>
  <si>
    <t>5219db29-a01f-422b-9fef-944633e68fc7</t>
  </si>
  <si>
    <t>2019-12-05T12:02:29.000-07:00</t>
  </si>
  <si>
    <t>2020-01-08T05:52:49</t>
  </si>
  <si>
    <t>2019-12-04T15:25:00.000-07:00</t>
  </si>
  <si>
    <t>2020-01-08T11:27:20.000+06:30</t>
  </si>
  <si>
    <t>9769054f-71a4-4a7d-9618-644434c76aa0</t>
  </si>
  <si>
    <t>2019-12-05T06:29:36</t>
  </si>
  <si>
    <t>2019-12-05T12:02:30.000-07:00</t>
  </si>
  <si>
    <t>2019-12-05T12:03:30.000-07:00</t>
  </si>
  <si>
    <t>65fbe625-0243-419e-839e-9c4b118bd2ce</t>
  </si>
  <si>
    <t>2020-01-08T05:53:58</t>
  </si>
  <si>
    <t>Associated Sample MO1126 and NOT TURBID</t>
  </si>
  <si>
    <t>2020-01-08T11:28:07.000+06:30</t>
  </si>
  <si>
    <t>d07c7cc2-8cd8-4231-9553-a9a1808d5944</t>
  </si>
  <si>
    <t>2019-12-05T06:30:35</t>
  </si>
  <si>
    <t>2019-12-05T12:04:25.000-07:00</t>
  </si>
  <si>
    <t>2019-12-04T16:05:00.000-07:00</t>
  </si>
  <si>
    <t>b749cc27-b63f-4f81-b23a-456749c1148a</t>
  </si>
  <si>
    <t>2019-12-05T06:31:32</t>
  </si>
  <si>
    <t>15bdf409-ded5-4046-83bf-a43455765b72</t>
  </si>
  <si>
    <t>2020-01-08T05:54:45</t>
  </si>
  <si>
    <t>2019-12-05T12:04:26.000-07:00</t>
  </si>
  <si>
    <t>2019-12-05T12:05:33.000-07:00</t>
  </si>
  <si>
    <t>2020-01-08T11:29:09.000+06:30</t>
  </si>
  <si>
    <t>2019-12-04T15:12:00.000-07:00</t>
  </si>
  <si>
    <t>Associated Sample MO1127 and NOT TURBID</t>
  </si>
  <si>
    <t>4684f7c3-1c6d-4870-893f-f8aa2bc16acf</t>
  </si>
  <si>
    <t>2019-12-05T06:32:41</t>
  </si>
  <si>
    <t>2019-12-05T12:06:18.000-07:00</t>
  </si>
  <si>
    <t>b1ac7603-468d-42cc-8dfa-5cad7ee251d1</t>
  </si>
  <si>
    <t>2020-01-08T05:55:46</t>
  </si>
  <si>
    <t>2020-01-08T11:29:10.000+06:30</t>
  </si>
  <si>
    <t>2019-12-04T16:15:00.000-07:00</t>
  </si>
  <si>
    <t>2020-01-08T11:30:12.000+06:30</t>
  </si>
  <si>
    <t>a2603e66-8e3a-4e8b-ba34-7bd0b03dfca0</t>
  </si>
  <si>
    <t>2019-12-05T06:33:25</t>
  </si>
  <si>
    <t>2019-12-05T12:07:18.000-07:00</t>
  </si>
  <si>
    <t>55226260-e4ae-44df-82eb-0023bf6d6178</t>
  </si>
  <si>
    <t>2020-01-08T05:56:48</t>
  </si>
  <si>
    <t>Associated Sample PLc1107 and NOT TURBID</t>
  </si>
  <si>
    <t>a2931904-e991-4aab-aed2-e69b43914848</t>
  </si>
  <si>
    <t>2019-12-05T06:34:24</t>
  </si>
  <si>
    <t>2020-01-08T11:31:10.000+06:30</t>
  </si>
  <si>
    <t>2019-12-05T12:07:59.000-07:00</t>
  </si>
  <si>
    <t>2019-12-03T15:30:00.000-07:00</t>
  </si>
  <si>
    <t>2019-12-04T15:30:00.000-07:00</t>
  </si>
  <si>
    <t>2019-12-04T16:25:00.000-07:00</t>
  </si>
  <si>
    <t>Associated sample PLc1158</t>
  </si>
  <si>
    <t>49a8cc75-1453-4b67-a180-7a35ffb57048</t>
  </si>
  <si>
    <t>2019-12-05T06:35:05</t>
  </si>
  <si>
    <t>5cd2af78-b901-49b8-be34-6ccb28c89fe3</t>
  </si>
  <si>
    <t>2020-01-08T05:57:47</t>
  </si>
  <si>
    <t>2019-12-05T12:08:58.000-07:00</t>
  </si>
  <si>
    <t>2020-01-08T11:32:00.000+06:30</t>
  </si>
  <si>
    <t>Associated Sample PLc1108 and NOT TURBID</t>
  </si>
  <si>
    <t>3c62d6eb-6ec4-4a80-82fb-f58338ee2b44</t>
  </si>
  <si>
    <t>2019-12-05T06:36:05</t>
  </si>
  <si>
    <t>2019-12-05T12:09:40.000-07:00</t>
  </si>
  <si>
    <t>4fe4641c-bc71-490f-b97a-c657cfc1439d</t>
  </si>
  <si>
    <t>2020-01-08T05:58:37</t>
  </si>
  <si>
    <t>2019-12-04T16:32:00.000-07:00</t>
  </si>
  <si>
    <t>2020-01-08T11:32:50.000+06:30</t>
  </si>
  <si>
    <t>506370a4-47f9-4fd4-a6e8-e996466036a6</t>
  </si>
  <si>
    <t>2019-12-05T06:36:47</t>
  </si>
  <si>
    <t>2019-12-05T12:10:43.000-07:00</t>
  </si>
  <si>
    <t>2019-12-04T15:17:00.000-07:00</t>
  </si>
  <si>
    <t>6671a473-88e1-4c5f-86d0-ac7fe8abcd84</t>
  </si>
  <si>
    <t>2020-01-08T05:59:27</t>
  </si>
  <si>
    <t>Associated Sample PLc1109 and NOT TURBID</t>
  </si>
  <si>
    <t>f8285820-2d29-41fb-9a34-10dfa4983c4b</t>
  </si>
  <si>
    <t>2019-12-05T06:37:49</t>
  </si>
  <si>
    <t>2020-01-08T11:33:41.000+06:30</t>
  </si>
  <si>
    <t>2019-12-05T12:12:22.000-07:00</t>
  </si>
  <si>
    <t>2019-12-03T14:40:00.000-07:00</t>
  </si>
  <si>
    <t>2019-12-04T14:45:00.000-07:00</t>
  </si>
  <si>
    <t>dcfa1359-cfc1-40f6-ac08-6bee8caea6f8</t>
  </si>
  <si>
    <t>2019-12-05T06:39:28</t>
  </si>
  <si>
    <t>04c1d32e-e0fe-4bac-84af-94fffadd36dc</t>
  </si>
  <si>
    <t>2019-12-10T11:26:20.000-07:00</t>
  </si>
  <si>
    <t>2020-01-08T06:00:18</t>
  </si>
  <si>
    <t>2020-01-08T11:33:42.000+06:30</t>
  </si>
  <si>
    <t>2019-12-10T11:29:20.000-07:00</t>
  </si>
  <si>
    <t>2020-01-08T11:34:31.000+06:30</t>
  </si>
  <si>
    <t>2019-12-05T12:40:00.000-07:00</t>
  </si>
  <si>
    <t>2019-12-05T13:00:00.000-07:00</t>
  </si>
  <si>
    <t>2019-12-06T13:00:00.000-07:00</t>
  </si>
  <si>
    <t>2019-12-06T13:35:00.000-07:00</t>
  </si>
  <si>
    <t>a253ae6d-87a2-45c5-a7cc-c14b81646837</t>
  </si>
  <si>
    <t>2019-12-10T05:56:22</t>
  </si>
  <si>
    <t>2019-12-10T11:30:47.000-07:00</t>
  </si>
  <si>
    <t>f80029ae-4218-4941-8643-7744114ead33</t>
  </si>
  <si>
    <t>2020-01-08T06:01:08</t>
  </si>
  <si>
    <t>2019-12-06T13:10:00.000-07:00</t>
  </si>
  <si>
    <t>Associated Sample MO1128 and NOT TURBID</t>
  </si>
  <si>
    <t>2020-01-08T11:35:11.000+06:30</t>
  </si>
  <si>
    <t>ac8b69ac-5150-448e-9dda-e6640551f3e5</t>
  </si>
  <si>
    <t>2019-12-10T05:57:50</t>
  </si>
  <si>
    <t>2019-12-10T11:31:45.000-07:00</t>
  </si>
  <si>
    <t>2019-12-06T13:42:00.000-07:00</t>
  </si>
  <si>
    <t>5667b6f3-5cdd-4267-aad1-8ed20436fcbf</t>
  </si>
  <si>
    <t>2020-01-08T06:01:48</t>
  </si>
  <si>
    <t>d2c6851b-29fd-4d00-98ff-efb88c6b79fa</t>
  </si>
  <si>
    <t>2020-01-08T11:35:54.000+06:30</t>
  </si>
  <si>
    <t>2019-12-10T05:58:46</t>
  </si>
  <si>
    <t>2019-12-10T11:33:07.000-07:00</t>
  </si>
  <si>
    <t>2019-12-06T13:11:00.000-07:00</t>
  </si>
  <si>
    <t>Associated Sample MO1129 and NOT TURBID</t>
  </si>
  <si>
    <t>28b24d78-fdb6-4c8c-9a5c-bb390a78fe34</t>
  </si>
  <si>
    <t>c01d34fa-c7bb-4764-a779-2e67fb096c4d</t>
  </si>
  <si>
    <t>2019-12-10T06:00:09</t>
  </si>
  <si>
    <t>2020-01-08T06:02:32</t>
  </si>
  <si>
    <t>2019-12-10T11:34:05.000-07:00</t>
  </si>
  <si>
    <t>2020-01-08T11:36:50.000+06:30</t>
  </si>
  <si>
    <t>2019-12-05T15:40:00.000-07:00</t>
  </si>
  <si>
    <t>2019-12-06T15:40:00.000-07:00</t>
  </si>
  <si>
    <t>2019-12-06T16:05:00.000-07:00</t>
  </si>
  <si>
    <t>12f329b3-7596-42e9-b8ae-0c39f8a79e70</t>
  </si>
  <si>
    <t>2019-12-10T06:01:07</t>
  </si>
  <si>
    <t>2019-12-10T11:35:48.000-07:00</t>
  </si>
  <si>
    <t>a32a986a-6119-428d-95a5-ed9f40998490</t>
  </si>
  <si>
    <t>2020-01-08T06:03:27</t>
  </si>
  <si>
    <t>2019-12-05T14:50:00.000-07:00</t>
  </si>
  <si>
    <t>2019-12-06T15:10:00.000-07:00</t>
  </si>
  <si>
    <t>2020-01-08T11:37:44.000+06:30</t>
  </si>
  <si>
    <t>2019-12-06T15:16:00.000-07:00</t>
  </si>
  <si>
    <t>Associated Sample PLc1110 and NOT TURBID</t>
  </si>
  <si>
    <t>e7cacc35-195c-4f19-8c90-8bb8daf0baf8</t>
  </si>
  <si>
    <t>2019-12-10T06:02:50</t>
  </si>
  <si>
    <t>2019-12-10T11:36:54.000-07:00</t>
  </si>
  <si>
    <t>bdd24d33-1eeb-48e2-89b3-956c8f58e97b</t>
  </si>
  <si>
    <t>2020-01-08T06:04:22</t>
  </si>
  <si>
    <t>2020-01-08T11:37:45.000+06:30</t>
  </si>
  <si>
    <t>2019-12-06T16:09:00.000-07:00</t>
  </si>
  <si>
    <t>2020-01-08T11:40:57.000+06:30</t>
  </si>
  <si>
    <t>0ec8f9a0-51e5-4bb0-945e-2b7d1aaa9138</t>
  </si>
  <si>
    <t>2019-12-10T06:03:56</t>
  </si>
  <si>
    <t>2019-12-10T11:36:55.000-07:00</t>
  </si>
  <si>
    <t>2019-12-10T11:38:12.000-07:00</t>
  </si>
  <si>
    <t>Associated sample DWa1003uf</t>
  </si>
  <si>
    <t>2019-12-06T15:18:00.000-07:00</t>
  </si>
  <si>
    <t>5c6a6f01-f7ff-4aa1-90da-31941026952b</t>
  </si>
  <si>
    <t>2020-01-08T06:07:35</t>
  </si>
  <si>
    <t>Associated Sample PLc1111 and NOT TURBID</t>
  </si>
  <si>
    <t>b92aa074-be59-435c-964a-038c61a255e7</t>
  </si>
  <si>
    <t>2019-12-10T06:05:14</t>
  </si>
  <si>
    <t>2020-01-08T11:41:45.000+06:30</t>
  </si>
  <si>
    <t>2019-12-10T11:39:12.000-07:00</t>
  </si>
  <si>
    <t>2019-12-06T16:15:00.000-07:00</t>
  </si>
  <si>
    <t>ae2c3ee3-16fa-424b-8a26-0ac027916f5d</t>
  </si>
  <si>
    <t>2019-12-10T06:06:14</t>
  </si>
  <si>
    <t>50044617-0682-4e74-a3f8-60c597982af0</t>
  </si>
  <si>
    <t>2020-01-08T06:08:22</t>
  </si>
  <si>
    <t>2019-12-10T11:40:23.000-07:00</t>
  </si>
  <si>
    <t>2020-01-14T11:03:57.000+06:30</t>
  </si>
  <si>
    <t>2019-12-06T15:20:00.000-07:00</t>
  </si>
  <si>
    <t>2020-01-14T11:06:26.000+06:30</t>
  </si>
  <si>
    <t>Associated Sample PLc1112 and NOT TURBID</t>
  </si>
  <si>
    <t>e9ec4873-1b06-4aa7-9e1f-3d260e3d9c90</t>
  </si>
  <si>
    <t>2019-12-10T06:07:26</t>
  </si>
  <si>
    <t>S.typhi 08.07.2019, s.paratyphi 08.07.2019</t>
  </si>
  <si>
    <t>2019-12-10T11:41:18.000-07:00</t>
  </si>
  <si>
    <t>2019-12-06T16:18:00.000-07:00</t>
  </si>
  <si>
    <t>9840e590-6b72-4aea-b289-886122c34ce7</t>
  </si>
  <si>
    <t>2020-01-14T05:32:58</t>
  </si>
  <si>
    <t>2020-01-14T11:07:58.000+06:30</t>
  </si>
  <si>
    <t>8b5f6cef-8ecb-49b6-aa67-a79392a2c80a</t>
  </si>
  <si>
    <t>2019-12-10T06:08:17</t>
  </si>
  <si>
    <t>2019-12-10T11:42:19.000-07:00</t>
  </si>
  <si>
    <t>S.typhi 16.04.2019, s.paratyphi 29.04.2019</t>
  </si>
  <si>
    <t>2019-12-06T15:22:00.000-07:00</t>
  </si>
  <si>
    <t>Associated Sample PLc1113 and NOT TURBID</t>
  </si>
  <si>
    <t>0463fa21-9cad-48db-ae8d-5ee0206867ab</t>
  </si>
  <si>
    <t>0c033f19-76f5-4da5-b8bb-9e46ed35b2f6</t>
  </si>
  <si>
    <t>2020-01-14T05:34:30</t>
  </si>
  <si>
    <t>2019-12-10T06:09:21</t>
  </si>
  <si>
    <t>2019-12-10T11:42:20.000-07:00</t>
  </si>
  <si>
    <t>2020-01-14T11:09:27.000+06:30</t>
  </si>
  <si>
    <t>2019-12-10T11:43:36.000-07:00</t>
  </si>
  <si>
    <t>2019-12-06T15:12:00.000-07:00</t>
  </si>
  <si>
    <t>S.typhi 21.11.2019, s.paratyphi 21.11.2019</t>
  </si>
  <si>
    <t>3f171599-be92-43f5-bab4-cbd149668e8f</t>
  </si>
  <si>
    <t>2019-12-10T06:10:38</t>
  </si>
  <si>
    <t>80fa0a15-0c68-4d09-9a6a-2fe53e2c8572</t>
  </si>
  <si>
    <t>2020-01-14T05:36:00</t>
  </si>
  <si>
    <t>2019-12-10T11:43:37.000-07:00</t>
  </si>
  <si>
    <t>2019-12-10T11:44:40.000-07:00</t>
  </si>
  <si>
    <t>2020-01-14T11:22:54.000+06:30</t>
  </si>
  <si>
    <t>2019-12-07T16:35:00.000-07:00</t>
  </si>
  <si>
    <t>7a14d8a7-b3c1-4e66-af88-cd8f94daa7cf</t>
  </si>
  <si>
    <t>2019-12-10T06:11:42</t>
  </si>
  <si>
    <t>f3410181-6df0-477f-986f-bd37ac271530</t>
  </si>
  <si>
    <t>2019-12-10T11:46:07.000-07:00</t>
  </si>
  <si>
    <t>2020-01-14T05:49:26</t>
  </si>
  <si>
    <t>2019-12-06T14:50:00.000-07:00</t>
  </si>
  <si>
    <t>2019-12-06T15:05:00.000-07:00</t>
  </si>
  <si>
    <t>2020-01-14T11:23:54.000+06:30</t>
  </si>
  <si>
    <t>2019-12-07T15:05:00.000-07:00</t>
  </si>
  <si>
    <t>Associated Sample PLc1115 and NOT TURBID</t>
  </si>
  <si>
    <t>46b23ece-5722-4c57-b731-2292f980b105</t>
  </si>
  <si>
    <t>2019-12-10T06:13:09</t>
  </si>
  <si>
    <t>2019-12-10T11:47:03.000-07:00</t>
  </si>
  <si>
    <t>3772990a-0f62-4988-a151-0aeb482da160</t>
  </si>
  <si>
    <t>2020-01-14T05:50:23</t>
  </si>
  <si>
    <t>2019-12-07T16:37:00.000-07:00</t>
  </si>
  <si>
    <t>2020-01-14T11:24:50.000+06:30</t>
  </si>
  <si>
    <t>4213c97c-b410-475d-b550-9012fa85862a</t>
  </si>
  <si>
    <t>2019-12-10T06:14:05</t>
  </si>
  <si>
    <t>2019-12-10T11:48:41.000-07:00</t>
  </si>
  <si>
    <t>2019-12-07T15:18:00.000-07:00</t>
  </si>
  <si>
    <t>Associated Sample PLc1116 and NOT TURBID</t>
  </si>
  <si>
    <t>0d33a8ef-8bf9-4d7a-8a58-caa259d771fd</t>
  </si>
  <si>
    <t>cc6ddd92-44d4-47a4-b36f-cb6b161e0f89</t>
  </si>
  <si>
    <t>2020-01-14T05:51:22</t>
  </si>
  <si>
    <t>2019-12-10T06:15:43</t>
  </si>
  <si>
    <t>2020-01-14T11:24:51.000+06:30</t>
  </si>
  <si>
    <t>2019-12-10T11:49:40.000-07:00</t>
  </si>
  <si>
    <t>2020-01-14T11:25:50.000+06:30</t>
  </si>
  <si>
    <t>2019-12-07T16:41:00.000-07:00</t>
  </si>
  <si>
    <t>26efdc12-3ef9-4dcf-b24d-15a2b234ae28</t>
  </si>
  <si>
    <t>2019-12-10T06:16:41</t>
  </si>
  <si>
    <t>2019-12-10T11:51:01.000-07:00</t>
  </si>
  <si>
    <t>d111753e-5d16-4138-aaae-ccd7032cd998</t>
  </si>
  <si>
    <t>2020-01-14T05:52:22</t>
  </si>
  <si>
    <t>2019-12-07T15:19:00.000-07:00</t>
  </si>
  <si>
    <t>2020-01-14T11:26:46.000+06:30</t>
  </si>
  <si>
    <t>Associated Sample PLc1114 and NOT TURBID</t>
  </si>
  <si>
    <t>9eac5b4c-649e-40b1-9ca1-9a184bafcee3</t>
  </si>
  <si>
    <t>2019-12-10T06:18:03</t>
  </si>
  <si>
    <t>2019-12-10T11:52:16.000-07:00</t>
  </si>
  <si>
    <t>30e50dfe-0e66-47c9-9377-f4504d6f6934</t>
  </si>
  <si>
    <t>2020-01-14T05:53:17</t>
  </si>
  <si>
    <t>2019-12-07T16:45:00.000-07:00</t>
  </si>
  <si>
    <t>2020-01-14T11:28:03.000+06:30</t>
  </si>
  <si>
    <t>fc3f2afe-46d9-4ed3-babc-3dbe66d04531</t>
  </si>
  <si>
    <t>2019-12-10T06:19:19</t>
  </si>
  <si>
    <t>2019-12-10T11:54:29.000-07:00</t>
  </si>
  <si>
    <t>Associated Sample PLc1117 and NOT TURBID</t>
  </si>
  <si>
    <t>3791be1c-7e28-441f-afd1-88a74c441e5d</t>
  </si>
  <si>
    <t>2020-01-14T05:54:36</t>
  </si>
  <si>
    <t>3eedeed3-da40-4855-82d1-b51a88636ca5</t>
  </si>
  <si>
    <t>2019-12-10T06:21:32</t>
  </si>
  <si>
    <t>2019-12-10T11:54:30.000-07:00</t>
  </si>
  <si>
    <t>2020-01-14T11:29:41.000+06:30</t>
  </si>
  <si>
    <t>2019-12-10T11:55:54.000-07:00</t>
  </si>
  <si>
    <t>2019-12-07T14:50:00.000-07:00</t>
  </si>
  <si>
    <t>S.typhi 26.04.2019, s.paratyphi 26.04.2019</t>
  </si>
  <si>
    <t>d6378bce-f5b3-4458-b982-1a69b5dd5bbe</t>
  </si>
  <si>
    <t>2019-12-10T06:22:57</t>
  </si>
  <si>
    <t>0249c17c-cac0-44d5-bd3e-badbdf9c8ca3</t>
  </si>
  <si>
    <t>2019-12-12T12:30:00.000-07:00</t>
  </si>
  <si>
    <t>2020-01-14T05:56:14</t>
  </si>
  <si>
    <t>2019-12-12T12:32:42.000-07:00</t>
  </si>
  <si>
    <t>2020-01-14T11:30:55.000+06:30</t>
  </si>
  <si>
    <t>2019-12-09T16:00:00.000-07:00</t>
  </si>
  <si>
    <t>2019-12-09T16:20:00.000-07:00</t>
  </si>
  <si>
    <t>2019-12-10T16:20:00.000-07:00</t>
  </si>
  <si>
    <t>2019-12-10T16:55:00.000-07:00</t>
  </si>
  <si>
    <t>1de57b91-caef-4bf3-bf55-c21f2b03efa4</t>
  </si>
  <si>
    <t>2019-12-12T06:59:44</t>
  </si>
  <si>
    <t>2019-12-12T12:32:43.000-07:00</t>
  </si>
  <si>
    <t>2019-12-12T12:36:13.000-07:00</t>
  </si>
  <si>
    <t>f1bf14b3-96fd-4990-81d1-5c54800a532d</t>
  </si>
  <si>
    <t>2020-01-14T05:57:28</t>
  </si>
  <si>
    <t>2019-12-09T15:40:00.000-07:00</t>
  </si>
  <si>
    <t>2019-12-10T16:00:00.000-07:00</t>
  </si>
  <si>
    <t>2019-12-10T16:10:00.000-07:00</t>
  </si>
  <si>
    <t>Associated sample PLc1118 and NOT TURBID</t>
  </si>
  <si>
    <t>7e144a10-501a-4fa3-a8a8-908ba01d8a1f</t>
  </si>
  <si>
    <t>2019-12-12T07:00:48</t>
  </si>
  <si>
    <t>2020-01-14T11:32:08.000+06:30</t>
  </si>
  <si>
    <t>2019-12-12T12:33:48.000-07:00</t>
  </si>
  <si>
    <t>2019-12-12T12:34:45.000-07:00</t>
  </si>
  <si>
    <t>2019-12-10T17:00:00.000-07:00</t>
  </si>
  <si>
    <t>b5518c54-f30e-4a33-bfee-d3f4ce6b1f44</t>
  </si>
  <si>
    <t>2019-12-12T07:01:46</t>
  </si>
  <si>
    <t>5d8333aa-4320-40d3-b44a-26fff6f06c92</t>
  </si>
  <si>
    <t>2020-01-14T05:58:41</t>
  </si>
  <si>
    <t>2019-12-12T12:37:35.000-07:00</t>
  </si>
  <si>
    <t>2020-01-14T11:33:39.000+06:30</t>
  </si>
  <si>
    <t>2019-12-10T16:16:00.000-07:00</t>
  </si>
  <si>
    <t>Associated sample PLc1119 and NOT TURBID</t>
  </si>
  <si>
    <t>6c96dfe0-0492-4cd9-b473-ffa444e5af40</t>
  </si>
  <si>
    <t>2019-12-12T07:04:36</t>
  </si>
  <si>
    <t>2019-12-12T12:38:50.000-07:00</t>
  </si>
  <si>
    <t>3584bc11-78d7-457a-ada6-8766d1fe4bc2</t>
  </si>
  <si>
    <t>2020-01-14T06:00:11</t>
  </si>
  <si>
    <t>2019-12-10T17:10:00.000-07:00</t>
  </si>
  <si>
    <t>2020-01-14T11:33:40.000+06:30</t>
  </si>
  <si>
    <t>2d0d6314-b239-49cd-8376-03ee08063d9e</t>
  </si>
  <si>
    <t>2019-12-12T07:05:50</t>
  </si>
  <si>
    <t>2020-01-14T11:34:40.000+06:30</t>
  </si>
  <si>
    <t>2019-12-12T12:41:20.000-07:00</t>
  </si>
  <si>
    <t>Associated sample PLc1120 and NOT TURBID</t>
  </si>
  <si>
    <t>a579f7ae-1442-4bc7-b8d2-29ddf02e4d24</t>
  </si>
  <si>
    <t>2019-12-12T07:08:21</t>
  </si>
  <si>
    <t>2019-12-12T12:41:21.000-07:00</t>
  </si>
  <si>
    <t>2019-12-12T12:42:49.000-07:00</t>
  </si>
  <si>
    <t>50ba198b-c76f-41e4-92a1-be5713839577</t>
  </si>
  <si>
    <t>2020-01-14T06:01:12</t>
  </si>
  <si>
    <t>2019-12-10T17:15:00.000-07:00</t>
  </si>
  <si>
    <t>2020-01-14T11:35:51.000+06:30</t>
  </si>
  <si>
    <t>81a88c64-744d-42d7-9b15-8645310ebbd6</t>
  </si>
  <si>
    <t>2019-12-12T07:09:50</t>
  </si>
  <si>
    <t>2019-12-12T12:44:01.000-07:00</t>
  </si>
  <si>
    <t>2019-12-10T16:18:00.000-07:00</t>
  </si>
  <si>
    <t>ec8a579e-4eb8-4411-91f5-923931faa5f9</t>
  </si>
  <si>
    <t>2020-01-14T06:02:23</t>
  </si>
  <si>
    <t>Associated sample PLc1121 and NOT TURBID</t>
  </si>
  <si>
    <t>0859828d-0536-45b9-a51b-ddfb5713fc88</t>
  </si>
  <si>
    <t>2019-12-12T07:11:02</t>
  </si>
  <si>
    <t>2020-01-14T11:37:52.000+06:30</t>
  </si>
  <si>
    <t>2019-12-12T12:45:20.000-07:00</t>
  </si>
  <si>
    <t>2019-12-09T15:30:00.000-07:00</t>
  </si>
  <si>
    <t>2019-12-10T15:40:00.000-07:00</t>
  </si>
  <si>
    <t>2019-12-10T15:56:00.000-07:00</t>
  </si>
  <si>
    <t>662141be-7068-465c-94ff-7b160dfda5aa</t>
  </si>
  <si>
    <t>2019-12-12T07:12:21</t>
  </si>
  <si>
    <t>9eabe81f-6ffc-401d-b1e9-80b612656bc3</t>
  </si>
  <si>
    <t>2020-01-14T06:04:24</t>
  </si>
  <si>
    <t>2019-12-12T12:46:22.000-07:00</t>
  </si>
  <si>
    <t>2020-01-14T11:38:48.000+06:30</t>
  </si>
  <si>
    <t>2019-12-10T15:30:00.000-07:00</t>
  </si>
  <si>
    <t>2019-12-11T16:00:00.000-07:00</t>
  </si>
  <si>
    <t>2019-12-11T16:20:00.000-07:00</t>
  </si>
  <si>
    <t>74c13d54-c4af-465d-9fdf-a151add77b08</t>
  </si>
  <si>
    <t>2019-12-12T07:13:22</t>
  </si>
  <si>
    <t>2019-12-12T12:48:07.000-07:00</t>
  </si>
  <si>
    <t>ba92e3ed-e408-4c78-adf9-51a5772b402a</t>
  </si>
  <si>
    <t>2020-01-14T06:05:19</t>
  </si>
  <si>
    <t>2019-12-10T14:40:00.000-07:00</t>
  </si>
  <si>
    <t>2019-12-10T15:00:00.000-07:00</t>
  </si>
  <si>
    <t>2019-12-11T15:15:00.000-07:00</t>
  </si>
  <si>
    <t>2020-01-14T11:39:33.000+06:30</t>
  </si>
  <si>
    <t>Associated sample MO1130 and NOT TURBID</t>
  </si>
  <si>
    <t>a52e4b6d-664b-4038-a9e8-a6f0ace15383</t>
  </si>
  <si>
    <t>2019-12-12T07:15:08</t>
  </si>
  <si>
    <t>2019-12-12T12:48:08.000-07:00</t>
  </si>
  <si>
    <t>2019-12-12T12:49:01.000-07:00</t>
  </si>
  <si>
    <t>2019-12-11T16:22:00.000-07:00</t>
  </si>
  <si>
    <t>debb6004-4501-45c5-b0e6-1cef24a72ab8</t>
  </si>
  <si>
    <t>2020-01-14T06:06:05</t>
  </si>
  <si>
    <t>02e315f8-4f23-4617-9e3d-04a520ce01c4</t>
  </si>
  <si>
    <t>2019-12-12T07:16:02</t>
  </si>
  <si>
    <t>2020-01-14T11:40:49.000+06:30</t>
  </si>
  <si>
    <t>2019-12-12T12:50:05.000-07:00</t>
  </si>
  <si>
    <t>2019-12-11T15:17:00.000-07:00</t>
  </si>
  <si>
    <t>Associated sample MO1131 and NOT TURBID</t>
  </si>
  <si>
    <t>8ac0e6d5-328b-49bf-9323-3d1156975e1b</t>
  </si>
  <si>
    <t>2019-12-12T07:17:05</t>
  </si>
  <si>
    <t>2bd8e21b-97e6-4cb0-8b35-44a3e4d6a68d</t>
  </si>
  <si>
    <t>2020-01-14T06:07:22</t>
  </si>
  <si>
    <t>2019-12-12T12:51:09.000-07:00</t>
  </si>
  <si>
    <t>2020-01-14T11:41:50.000+06:30</t>
  </si>
  <si>
    <t>2019-12-11T16:40:00.000-07:00</t>
  </si>
  <si>
    <t>ba3e1b7d-ed21-4c3b-989f-1bda2508aafb</t>
  </si>
  <si>
    <t>a203ae3b-91c1-485d-8818-37e9b4323931</t>
  </si>
  <si>
    <t>2019-12-12T07:18:09</t>
  </si>
  <si>
    <t>2020-01-14T06:08:21</t>
  </si>
  <si>
    <t>2019-12-12T12:52:16.000-07:00</t>
  </si>
  <si>
    <t>2020-01-14T11:43:12.000+06:30</t>
  </si>
  <si>
    <t>2019-12-11T15:20:00.000-07:00</t>
  </si>
  <si>
    <t>Associated sample PLc1122 and NOT TURBID</t>
  </si>
  <si>
    <t>7858d9de-294f-4b37-a8f1-feef673938ca</t>
  </si>
  <si>
    <t>2019-12-12T07:19:16</t>
  </si>
  <si>
    <t>2019-12-12T12:53:03.000-07:00</t>
  </si>
  <si>
    <t>dde68ea1-1eea-4c40-af7d-c3cc7254b481</t>
  </si>
  <si>
    <t>2020-01-14T06:09:45</t>
  </si>
  <si>
    <t>2020-01-14T11:43:13.000+06:30</t>
  </si>
  <si>
    <t>2019-12-11T16:52:00.000-07:00</t>
  </si>
  <si>
    <t>2020-01-14T11:44:06.000+06:30</t>
  </si>
  <si>
    <t>ca847eb6-a40c-40f8-afac-37d0aec9b9c7</t>
  </si>
  <si>
    <t>2019-12-12T07:20:03</t>
  </si>
  <si>
    <t>2019-12-12T12:54:32.000-07:00</t>
  </si>
  <si>
    <t>f4b2f9d7-07a5-4514-a915-819003f5c2a5</t>
  </si>
  <si>
    <t>2019-12-11T15:22:00.000-07:00</t>
  </si>
  <si>
    <t>2020-01-14T06:10:37</t>
  </si>
  <si>
    <t>Associated sample PLc1123 and NOT TURBID</t>
  </si>
  <si>
    <t>714101f8-400b-4315-99ae-c9affc63e00d</t>
  </si>
  <si>
    <t>2019-12-12T07:21:32</t>
  </si>
  <si>
    <t>2020-01-14T11:45:30.000+06:30</t>
  </si>
  <si>
    <t>2019-12-12T12:55:25.000-07:00</t>
  </si>
  <si>
    <t>S.typhi 26.04.2019</t>
  </si>
  <si>
    <t>2019-12-11T17:00:00.000-07:00</t>
  </si>
  <si>
    <t>4995aff7-18d4-49eb-9ef1-d3aa995bbab5</t>
  </si>
  <si>
    <t>2019-12-12T07:22:25</t>
  </si>
  <si>
    <t>2019-12-12T12:55:26.000-07:00</t>
  </si>
  <si>
    <t>25c5ffd0-e39a-448a-abb6-bd74c4965c8d</t>
  </si>
  <si>
    <t>2020-01-14T06:12:02</t>
  </si>
  <si>
    <t>2019-12-12T12:56:44.000-07:00</t>
  </si>
  <si>
    <t>2020-01-14T11:46:42.000+06:30</t>
  </si>
  <si>
    <t>Associated sample PLc1124 and NOT TURBID</t>
  </si>
  <si>
    <t>46126ecf-3844-430d-ade2-bfe53eed75ec</t>
  </si>
  <si>
    <t>2019-12-12T07:23:45</t>
  </si>
  <si>
    <t>2019-12-12T12:57:42.000-07:00</t>
  </si>
  <si>
    <t>c5ee8e14-1663-4cd0-a865-270d22fd66ec</t>
  </si>
  <si>
    <t>2020-01-14T06:13:14</t>
  </si>
  <si>
    <t>2e067b3c-f5d3-4c9c-9eaf-95053dc60cd7</t>
  </si>
  <si>
    <t>2019-12-12T07:24:42</t>
  </si>
  <si>
    <t>2020-01-14T11:47:49.000+06:30</t>
  </si>
  <si>
    <t>2019-12-12T12:58:52.000-07:00</t>
  </si>
  <si>
    <t>2019-12-11T15:23:00.000-07:00</t>
  </si>
  <si>
    <t>Associated sample PLc1125 and NOT TURBID</t>
  </si>
  <si>
    <t>8e8e8088-88e2-467c-b29a-1a1058e1cdc4</t>
  </si>
  <si>
    <t>2019-12-12T07:25:52</t>
  </si>
  <si>
    <t>fe2dfca5-0e93-4094-a6a9-c0d8cb2b128a</t>
  </si>
  <si>
    <t>2020-01-14T06:14:21</t>
  </si>
  <si>
    <t>2019-12-12T12:59:51.000-07:00</t>
  </si>
  <si>
    <t>2020-01-14T11:48:56.000+06:30</t>
  </si>
  <si>
    <t>2019-12-11T15:05:00.000-07:00</t>
  </si>
  <si>
    <t>41a0fa90-9e17-47f9-b312-330b59da6fcb</t>
  </si>
  <si>
    <t>2019-12-12T07:26:51</t>
  </si>
  <si>
    <t>2019-12-17T11:19:19.000-07:00</t>
  </si>
  <si>
    <t>2019-12-17T11:21:03.000-07:00</t>
  </si>
  <si>
    <t>2a55b0a4-7e11-4572-b9ba-aeebb69b4318</t>
  </si>
  <si>
    <t>2020-01-14T06:15:22</t>
  </si>
  <si>
    <t>2019-12-12T15:45:00.000-07:00</t>
  </si>
  <si>
    <t>2019-12-12T16:15:00.000-07:00</t>
  </si>
  <si>
    <t>2019-12-13T16:15:00.000-07:00</t>
  </si>
  <si>
    <t>2019-12-14T16:40:00.000-07:00</t>
  </si>
  <si>
    <t>2020-01-14T11:50:25.000+06:30</t>
  </si>
  <si>
    <t>cd01d0a0-ed02-4780-9377-8cc36bcd6764</t>
  </si>
  <si>
    <t>2019-12-17T05:48:00</t>
  </si>
  <si>
    <t>2019-12-17T11:23:15.000-07:00</t>
  </si>
  <si>
    <t>2019-12-12T15:15:00.000-07:00</t>
  </si>
  <si>
    <t>2019-12-12T15:30:00.000-07:00</t>
  </si>
  <si>
    <t>2019-12-13T15:30:00.000-07:00</t>
  </si>
  <si>
    <t>2019-12-14T15:35:00.000-07:00</t>
  </si>
  <si>
    <t>9f1a5fd3-5c3b-41ab-9d76-1ebf51473845</t>
  </si>
  <si>
    <t>2020-01-14T06:16:58</t>
  </si>
  <si>
    <t>19ed2d8c-db7d-4c22-9da4-0564b0d0cdab</t>
  </si>
  <si>
    <t>2019-12-17T05:50:11</t>
  </si>
  <si>
    <t>2020-01-14T11:52:23.000+06:30</t>
  </si>
  <si>
    <t>2019-12-17T11:24:09.000-07:00</t>
  </si>
  <si>
    <t>2019-12-14T16:42:00.000-07:00</t>
  </si>
  <si>
    <t>942d6185-adef-49cd-8039-7b780ee7ca1d</t>
  </si>
  <si>
    <t>2019-12-17T05:51:05</t>
  </si>
  <si>
    <t>00c6836f-1b6a-4335-99e6-3e5f6b60774d</t>
  </si>
  <si>
    <t>2020-01-14T06:18:56</t>
  </si>
  <si>
    <t>2019-12-17T11:25:05.000-07:00</t>
  </si>
  <si>
    <t>2020-01-14T11:53:13.000+06:30</t>
  </si>
  <si>
    <t>2019-12-14T15:39:00.000-07:00</t>
  </si>
  <si>
    <t>Associated sample PLc1127</t>
  </si>
  <si>
    <t>b5572feb-731d-4f99-a488-a8c57fa9a64c</t>
  </si>
  <si>
    <t>2019-12-17T05:52:01</t>
  </si>
  <si>
    <t>2019-12-17T11:25:06.000-07:00</t>
  </si>
  <si>
    <t>2019-12-17T11:26:06.000-07:00</t>
  </si>
  <si>
    <t>335a16f2-e0f6-4ac9-b52b-c87db8903737</t>
  </si>
  <si>
    <t>2020-01-14T06:19:44</t>
  </si>
  <si>
    <t>2019-12-13T16:17:00.000-07:00</t>
  </si>
  <si>
    <t>2019-12-13T16:45:00.000-07:00</t>
  </si>
  <si>
    <t>2020-01-14T11:54:05.000+06:30</t>
  </si>
  <si>
    <t>0c5a095f-9d1c-4e30-8573-34fa1c4311a4</t>
  </si>
  <si>
    <t>2019-12-17T05:53:02</t>
  </si>
  <si>
    <t>2019-12-17T11:27:33.000-07:00</t>
  </si>
  <si>
    <t>2019-12-13T15:41:00.000-07:00</t>
  </si>
  <si>
    <t>Associated Sample PLc1128 and NOT TURBID</t>
  </si>
  <si>
    <t>7e4e2c51-53e6-4048-bba3-274bf8f0efea</t>
  </si>
  <si>
    <t>2019-12-17T05:54:30</t>
  </si>
  <si>
    <t>757f68c2-2fa3-4623-b7e1-2666538a1727</t>
  </si>
  <si>
    <t>2020-01-14T06:20:36</t>
  </si>
  <si>
    <t>2019-12-17T11:28:22.000-07:00</t>
  </si>
  <si>
    <t>2020-01-14T11:55:00.000+06:30</t>
  </si>
  <si>
    <t>2019-12-13T17:00:00.000-07:00</t>
  </si>
  <si>
    <t>b54e5ec2-8b55-43c6-ab82-40b94bbac5ca</t>
  </si>
  <si>
    <t>2019-12-17T05:55:17</t>
  </si>
  <si>
    <t>2019-12-17T11:29:29.000-07:00</t>
  </si>
  <si>
    <t>173c13d2-469e-4dfd-8488-a5c5f37aa191</t>
  </si>
  <si>
    <t>2020-01-14T06:21:32</t>
  </si>
  <si>
    <t>Associated Sample PLc1129 and NOT TURBID</t>
  </si>
  <si>
    <t>2020-01-14T11:56:52.000+06:30</t>
  </si>
  <si>
    <t>14170d98-5c36-4763-bbf4-5f0a0eb80631</t>
  </si>
  <si>
    <t>2019-12-17T05:56:25</t>
  </si>
  <si>
    <t>2019-12-17T11:30:17.000-07:00</t>
  </si>
  <si>
    <t>S.typhi 07.06.2019, s.paratyphi 07.06.2019</t>
  </si>
  <si>
    <t>2019-12-13T16:18:00.000-07:00</t>
  </si>
  <si>
    <t>2019-12-13T17:05:00.000-07:00</t>
  </si>
  <si>
    <t>db1a315c-789b-4b17-870f-ed7f455e6d4a</t>
  </si>
  <si>
    <t>2019-12-17T05:57:14</t>
  </si>
  <si>
    <t>7d98a94d-7d6f-421f-ace7-af026f3102ef</t>
  </si>
  <si>
    <t>2020-01-14T06:23:25</t>
  </si>
  <si>
    <t>2019-12-17T11:31:23.000-07:00</t>
  </si>
  <si>
    <t>2020-01-14T11:57:55.000+06:30</t>
  </si>
  <si>
    <t>2019-12-13T15:42:00.000-07:00</t>
  </si>
  <si>
    <t>Associated Sample PLc1130 and NOT TURBID</t>
  </si>
  <si>
    <t>4d5bcc7e-5913-46fa-8cdc-1d23013b7199</t>
  </si>
  <si>
    <t>2019-12-17T05:58:19</t>
  </si>
  <si>
    <t>918c7a2b-eddc-4252-8805-28170a1a56d8</t>
  </si>
  <si>
    <t>2020-01-14T06:24:27</t>
  </si>
  <si>
    <t>2019-12-17T11:32:15.000-07:00</t>
  </si>
  <si>
    <t>2020-01-14T11:59:09.000+06:30</t>
  </si>
  <si>
    <t>2019-12-12T16:16:00.000-07:00</t>
  </si>
  <si>
    <t>2019-12-12T16:30:00.000-07:00</t>
  </si>
  <si>
    <t>2019-12-13T16:30:00.000-07:00</t>
  </si>
  <si>
    <t>2019-12-13T17:25:00.000-07:00</t>
  </si>
  <si>
    <t>d9ecb4db-0625-4d40-8e19-7e22871dab48</t>
  </si>
  <si>
    <t>2019-12-17T05:59:11</t>
  </si>
  <si>
    <t>2019-12-17T11:33:32.000-07:00</t>
  </si>
  <si>
    <t>675bd438-c8d7-4555-94fa-e14c3948bbd1</t>
  </si>
  <si>
    <t>2020-01-14T06:25:42</t>
  </si>
  <si>
    <t>2020-01-14T11:59:10.000+06:30</t>
  </si>
  <si>
    <t>2019-12-13T15:45:00.000-07:00</t>
  </si>
  <si>
    <t>Associated Sample MO 1132 and NOT TURBID</t>
  </si>
  <si>
    <t>2020-01-14T12:00:05.000+06:30</t>
  </si>
  <si>
    <t>0327fd46-8c23-4f16-b31a-7b517250c7e0</t>
  </si>
  <si>
    <t>2019-12-17T06:00:28</t>
  </si>
  <si>
    <t>2019-12-17T11:34:27.000-07:00</t>
  </si>
  <si>
    <t>2019-12-13T17:40:00.000-07:00</t>
  </si>
  <si>
    <t>d12d0d4f-f455-4f15-b422-04331f8faf76</t>
  </si>
  <si>
    <t>2019-12-17T06:01:23</t>
  </si>
  <si>
    <t>d95d03f6-2bff-4668-a9df-13a075d142f0</t>
  </si>
  <si>
    <t>2020-01-14T06:26:36</t>
  </si>
  <si>
    <t>2019-12-17T11:35:43.000-07:00</t>
  </si>
  <si>
    <t>2020-01-14T12:01:02.000+06:30</t>
  </si>
  <si>
    <t>2019-12-13T15:15:00.000-07:00</t>
  </si>
  <si>
    <t>2019-12-13T15:22:00.000-07:00</t>
  </si>
  <si>
    <t>a89b48d0-dbf6-471e-9a21-917baf9899b6</t>
  </si>
  <si>
    <t>2019-12-17T06:02:39</t>
  </si>
  <si>
    <t>2019-12-17T11:36:49.000-07:00</t>
  </si>
  <si>
    <t>13d5f072-371e-4f70-8a47-0305000c942c</t>
  </si>
  <si>
    <t>2020-01-14T06:27:36</t>
  </si>
  <si>
    <t>Associated Sample MO1133 and NOT TURBID</t>
  </si>
  <si>
    <t>2020-01-14T12:01:58.000+06:30</t>
  </si>
  <si>
    <t>5f4d5e00-30a9-4b34-bd84-b68390f38db8</t>
  </si>
  <si>
    <t>2019-12-17T06:03:45</t>
  </si>
  <si>
    <t>2019-12-17T11:37:47.000-07:00</t>
  </si>
  <si>
    <t>2019-12-14T15:40:00.000-07:00</t>
  </si>
  <si>
    <t>2019-12-14T16:10:00.000-07:00</t>
  </si>
  <si>
    <t>6605a797-9cb2-428e-b4c4-2191b3a121ef</t>
  </si>
  <si>
    <t>2020-01-14T06:28:30</t>
  </si>
  <si>
    <t>b481c767-b9d4-4462-9e27-93467f81b7d9</t>
  </si>
  <si>
    <t>2019-12-17T06:04:43</t>
  </si>
  <si>
    <t>2020-01-14T12:03:09.000+06:30</t>
  </si>
  <si>
    <t>2019-12-17T11:38:57.000-07:00</t>
  </si>
  <si>
    <t>2019-12-13T15:10:00.000-07:00</t>
  </si>
  <si>
    <t>2019-12-14T15:25:00.000-07:00</t>
  </si>
  <si>
    <t>2019-12-14T15:32:00.000-07:00</t>
  </si>
  <si>
    <t>Associated Sample PLc1131 and NOT TURBID</t>
  </si>
  <si>
    <t>f925e93a-5418-499f-b950-4034a0aee5f3</t>
  </si>
  <si>
    <t>2019-12-17T06:05:53</t>
  </si>
  <si>
    <t>2019-12-17T11:39:41.000-07:00</t>
  </si>
  <si>
    <t>9478011c-d974-4eba-9dd7-e93e839371f9</t>
  </si>
  <si>
    <t>2020-01-14T06:29:42</t>
  </si>
  <si>
    <t>2019-12-14T16:12:00.000-07:00</t>
  </si>
  <si>
    <t>2020-01-14T12:05:09.000+06:30</t>
  </si>
  <si>
    <t>475cd10e-9560-4441-a256-707f829daee9</t>
  </si>
  <si>
    <t>2019-12-17T06:06:37</t>
  </si>
  <si>
    <t>S.typhi 24.06.2019</t>
  </si>
  <si>
    <t>2019-12-17T11:40:44.000-07:00</t>
  </si>
  <si>
    <t>2019-12-14T15:34:00.000-07:00</t>
  </si>
  <si>
    <t>fa142a45-5eaf-45f4-a526-431ceea2d008</t>
  </si>
  <si>
    <t>2020-01-14T06:31:44</t>
  </si>
  <si>
    <t>Associated Sample PLc1132 and NOT TURBID</t>
  </si>
  <si>
    <t>2020-01-14T12:05:10.000+06:30</t>
  </si>
  <si>
    <t>5e305fca-4007-4194-9f1c-b60539d5b70a</t>
  </si>
  <si>
    <t>2019-12-17T06:07:40</t>
  </si>
  <si>
    <t>2020-01-14T12:06:14.000+06:30</t>
  </si>
  <si>
    <t>2019-12-17T11:41:26.000-07:00</t>
  </si>
  <si>
    <t>2019-12-14T16:15:00.000-07:00</t>
  </si>
  <si>
    <t>cdc2d182-e52e-4051-9399-4ad2058e1bcc</t>
  </si>
  <si>
    <t>2019-12-17T06:08:23</t>
  </si>
  <si>
    <t>3e23fb56-a223-4ec3-be1f-80c7ad666a8f</t>
  </si>
  <si>
    <t>2020-01-14T06:32:47</t>
  </si>
  <si>
    <t>2020-01-21T11:41:41.000+06:30</t>
  </si>
  <si>
    <t>2019-12-17T11:42:28.000-07:00</t>
  </si>
  <si>
    <t>2020-01-21T12:01:12.000+06:30</t>
  </si>
  <si>
    <t>2019-12-14T15:38:00.000-07:00</t>
  </si>
  <si>
    <t>Associated Sample PLc1133 and NOT TURBID</t>
  </si>
  <si>
    <t>S.typhi 14.01.2020, s.paratyphi 14.01.2020</t>
  </si>
  <si>
    <t>c88567e0-3362-4f05-928a-aa146b3a5cf2</t>
  </si>
  <si>
    <t>2019-12-17T06:09:24</t>
  </si>
  <si>
    <t>2019-12-17T11:43:22.000-07:00</t>
  </si>
  <si>
    <t>91e72f46-6c94-4ece-b94b-356d0237cfcd</t>
  </si>
  <si>
    <t>2020-01-21T06:27:41</t>
  </si>
  <si>
    <t>2019-12-14T16:18:00.000-07:00</t>
  </si>
  <si>
    <t>2020-01-21T12:02:14.000+06:30</t>
  </si>
  <si>
    <t>efb359f2-acd8-48cf-8df4-b46d7e29f04f</t>
  </si>
  <si>
    <t>2019-12-17T06:10:17</t>
  </si>
  <si>
    <t>2019-12-17T11:44:18.000-07:00</t>
  </si>
  <si>
    <t>39edba74-63e9-4ef2-8789-b6c7e87ba8ee</t>
  </si>
  <si>
    <t>Associated Sample PLc1134 and NOT TURBID</t>
  </si>
  <si>
    <t>2020-01-21T06:28:40</t>
  </si>
  <si>
    <t>b31e1e28-22cf-473c-8ef8-564a9a171522</t>
  </si>
  <si>
    <t>2019-12-17T06:11:13</t>
  </si>
  <si>
    <t>2020-01-21T12:03:14.000+06:30</t>
  </si>
  <si>
    <t>2019-12-17T11:45:15.000-07:00</t>
  </si>
  <si>
    <t>2019-12-14T15:10:00.000-07:00</t>
  </si>
  <si>
    <t>2019-12-14T15:16:00.000-07:00</t>
  </si>
  <si>
    <t>8e6cf153-0701-477f-aeeb-2b1da2b6b090</t>
  </si>
  <si>
    <t>2019-12-17T06:12:11</t>
  </si>
  <si>
    <t>2019-12-19T11:00:00.000-07:00</t>
  </si>
  <si>
    <t>84259b6e-c779-44ff-8647-1cc1e36b3893</t>
  </si>
  <si>
    <t>2019-12-19T11:02:33.000-07:00</t>
  </si>
  <si>
    <t>2020-01-21T06:29:41</t>
  </si>
  <si>
    <t>2019-12-16T15:30:00.000-07:00</t>
  </si>
  <si>
    <t>2020-01-21T12:04:11.000+06:30</t>
  </si>
  <si>
    <t>2019-12-17T15:30:00.000-07:00</t>
  </si>
  <si>
    <t>2019-12-17T16:05:00.000-07:00</t>
  </si>
  <si>
    <t>1a221766-b542-4c71-b47e-15ea12683c96</t>
  </si>
  <si>
    <t>2019-12-19T05:29:29</t>
  </si>
  <si>
    <t>2019-12-19T11:02:34.000-07:00</t>
  </si>
  <si>
    <t>2019-12-19T11:04:00.000-07:00</t>
  </si>
  <si>
    <t>2019-12-16T14:40:00.000-07:00</t>
  </si>
  <si>
    <t>2019-12-17T15:15:00.000-07:00</t>
  </si>
  <si>
    <t>4c91dbd4-39e6-4e7c-bd12-a8e642b65e3d</t>
  </si>
  <si>
    <t>Associated Sample PLc1135 and NOT TURBID</t>
  </si>
  <si>
    <t>2020-01-21T06:30:36</t>
  </si>
  <si>
    <t>b9e55fd2-7613-4c11-b60a-efcdbf25ceb8</t>
  </si>
  <si>
    <t>2019-12-19T05:30:57</t>
  </si>
  <si>
    <t>2020-01-21T12:06:24.000+06:30</t>
  </si>
  <si>
    <t>2019-12-19T11:04:51.000-07:00</t>
  </si>
  <si>
    <t>2019-12-17T16:12:00.000-07:00</t>
  </si>
  <si>
    <t>c2b5ae2a-a3bb-4c01-9a5c-dc3e7bbf7d19</t>
  </si>
  <si>
    <t>2020-01-21T06:32:51</t>
  </si>
  <si>
    <t>d344f93a-b916-473e-8b14-ac5cd59d569d</t>
  </si>
  <si>
    <t>2019-12-19T05:31:41</t>
  </si>
  <si>
    <t>2020-01-21T12:07:03.000+06:30</t>
  </si>
  <si>
    <t>2019-12-19T11:06:03.000-07:00</t>
  </si>
  <si>
    <t>2019-12-17T15:18:00.000-07:00</t>
  </si>
  <si>
    <t>Associated Sample PLc1136 and NOT TURBID</t>
  </si>
  <si>
    <t>1f75da57-f0b7-4f23-bbbd-d03a5b1f1173</t>
  </si>
  <si>
    <t>2019-12-19T05:32:58</t>
  </si>
  <si>
    <t>06ffbd45-a34f-4098-88d7-2ba6e8af0a1a</t>
  </si>
  <si>
    <t>2020-01-21T06:33:29</t>
  </si>
  <si>
    <t>2019-12-19T11:06:52.000-07:00</t>
  </si>
  <si>
    <t>2020-01-21T12:07:43.000+06:30</t>
  </si>
  <si>
    <t>2019-12-17T16:20:00.000-07:00</t>
  </si>
  <si>
    <t>5807f336-2798-4249-9945-6e1a50e34e5d</t>
  </si>
  <si>
    <t>2019-12-19T05:33:46</t>
  </si>
  <si>
    <t>2019-12-19T11:07:59.000-07:00</t>
  </si>
  <si>
    <t>ed5f506a-3fb1-444f-8aa5-0c550f5f6a48</t>
  </si>
  <si>
    <t>2020-01-21T06:34:08</t>
  </si>
  <si>
    <t>2020-01-21T12:08:28.000+06:30</t>
  </si>
  <si>
    <t>Associated Sample PLc1137 and NOT TURBID</t>
  </si>
  <si>
    <t>2423d435-e863-4fed-bdba-8c4afebf8844</t>
  </si>
  <si>
    <t>2019-12-19T05:34:54</t>
  </si>
  <si>
    <t>2019-12-19T11:08:55.000-07:00</t>
  </si>
  <si>
    <t>2019-12-17T16:22:00.000-07:00</t>
  </si>
  <si>
    <t>2646514a-a2e6-4a3b-8464-a485ca91a22f</t>
  </si>
  <si>
    <t>2020-01-21T06:34:54</t>
  </si>
  <si>
    <t>87f7088a-4de4-4c6e-ab24-3d495783eb25</t>
  </si>
  <si>
    <t>2019-12-19T05:35:48</t>
  </si>
  <si>
    <t>2020-01-21T12:09:09.000+06:30</t>
  </si>
  <si>
    <t>2019-12-19T11:10:03.000-07:00</t>
  </si>
  <si>
    <t>2019-12-17T15:20:00.000-07:00</t>
  </si>
  <si>
    <t>Associated Sample PLc1138 and NOT TURBID</t>
  </si>
  <si>
    <t>ebf3f3eb-1575-4f82-955e-e97d39a3d967</t>
  </si>
  <si>
    <t>2019-12-19T05:36:58</t>
  </si>
  <si>
    <t>e3734a3e-6ef8-4309-b0df-edc2c4cd94aa</t>
  </si>
  <si>
    <t>2020-01-21T06:35:34</t>
  </si>
  <si>
    <t>2020-01-21T12:09:10.000+06:30</t>
  </si>
  <si>
    <t>2019-12-19T11:10:52.000-07:00</t>
  </si>
  <si>
    <t>2020-01-21T12:15:02.000+06:30</t>
  </si>
  <si>
    <t>2019-12-17T16:25:00.000-07:00</t>
  </si>
  <si>
    <t>1601fabd-df5c-4f92-a870-0671e2e52db1</t>
  </si>
  <si>
    <t>2019-12-19T05:37:46</t>
  </si>
  <si>
    <t>2019-12-19T11:12:01.000-07:00</t>
  </si>
  <si>
    <t>Associated sample PLc1170</t>
  </si>
  <si>
    <t>8e085a2f-36e3-4db4-a761-41db113e72b7</t>
  </si>
  <si>
    <t>2020-01-21T06:36:35</t>
  </si>
  <si>
    <t>2020-01-21T12:10:09.000+06:30</t>
  </si>
  <si>
    <t>Associated Sample PLc 1139 and NOT TURBID</t>
  </si>
  <si>
    <t>2020-01-21T12:10:58.000+06:30</t>
  </si>
  <si>
    <t>ac69fb68-4e55-4069-bffc-6341d4cc1df6</t>
  </si>
  <si>
    <t>2019-12-19T05:38:56</t>
  </si>
  <si>
    <t>2019-12-19T11:12:56.000-07:00</t>
  </si>
  <si>
    <t>2019-12-17T15:10:00.000-07:00</t>
  </si>
  <si>
    <t>f111f513-20f5-4779-a828-a0c9b4bc7d2e</t>
  </si>
  <si>
    <t>2020-01-21T06:37:24</t>
  </si>
  <si>
    <t>b5fa7698-89ff-4d07-bd6e-56cced7591cd</t>
  </si>
  <si>
    <t>2019-12-19T05:39:50</t>
  </si>
  <si>
    <t>2020-01-21T12:10:59.000+06:30</t>
  </si>
  <si>
    <t>2020-01-21T12:11:39.000+06:30</t>
  </si>
  <si>
    <t>2019-12-19T11:13:58.000-07:00</t>
  </si>
  <si>
    <t>2019-12-17T14:45:00.000-07:00</t>
  </si>
  <si>
    <t>2019-12-18T15:35:00.000-07:00</t>
  </si>
  <si>
    <t>150ae3be-8c1d-4a16-9dbf-e9bd4efb7fc6</t>
  </si>
  <si>
    <t>2019-12-19T05:40:52</t>
  </si>
  <si>
    <t>c4a460c1-7660-485e-8ab8-3afc689df00a</t>
  </si>
  <si>
    <t>2020-01-21T06:38:02</t>
  </si>
  <si>
    <t>2019-12-19T11:15:06.000-07:00</t>
  </si>
  <si>
    <t>2019-12-17T14:15:00.000-07:00</t>
  </si>
  <si>
    <t>2020-01-21T12:12:29.000+06:30</t>
  </si>
  <si>
    <t>2019-12-18T14:15:00.000-07:00</t>
  </si>
  <si>
    <t>Associated Sample MO1134 and TURBID</t>
  </si>
  <si>
    <t>74563871-4827-47af-8b14-5391f878028d</t>
  </si>
  <si>
    <t>2019-12-19T05:42:00</t>
  </si>
  <si>
    <t>2019-12-19T11:15:52.000-07:00</t>
  </si>
  <si>
    <t>5b49291c-1f7e-4894-b06a-969a59044e30</t>
  </si>
  <si>
    <t>2020-01-21T06:38:55</t>
  </si>
  <si>
    <t>2019-12-18T15:42:00.000-07:00</t>
  </si>
  <si>
    <t>2020-01-21T12:15:17.000+06:30</t>
  </si>
  <si>
    <t>dc70922c-ab4e-40e3-97c8-3dbc91553af6</t>
  </si>
  <si>
    <t>2019-12-19T05:42:46</t>
  </si>
  <si>
    <t>2019-12-19T11:16:59.000-07:00</t>
  </si>
  <si>
    <t>2019-12-18T14:32:00.000-07:00</t>
  </si>
  <si>
    <t>Associated sample MO1146</t>
  </si>
  <si>
    <t>Associated Sample MO1135 and NOT TURBID</t>
  </si>
  <si>
    <t>35bd00a6-e394-489d-889c-cdfa29ccf35f</t>
  </si>
  <si>
    <t>2020-01-21T06:41:43</t>
  </si>
  <si>
    <t>df96a26a-b83a-4190-b954-4180dddc6278</t>
  </si>
  <si>
    <t>2019-12-19T05:43:54</t>
  </si>
  <si>
    <t>2020-01-21T12:16:01.000+06:30</t>
  </si>
  <si>
    <t>2019-12-19T11:22:43.000-07:00</t>
  </si>
  <si>
    <t>2019-12-18T15:20:00.000-07:00</t>
  </si>
  <si>
    <t>da06db72-5e74-4b0b-843f-e532726d2c22</t>
  </si>
  <si>
    <t>2020-01-21T06:42:27</t>
  </si>
  <si>
    <t>2020-01-21T12:17:02.000+06:30</t>
  </si>
  <si>
    <t>dda50bc5-954f-4d15-8e52-133d8835fd38</t>
  </si>
  <si>
    <t>2019-12-19T05:49:38</t>
  </si>
  <si>
    <t>2019-12-19T11:24:02.000-07:00</t>
  </si>
  <si>
    <t>2019-12-17T14:42:00.000-07:00</t>
  </si>
  <si>
    <t>5aa672f9-971f-4a69-b46d-9b0f78d2a9cd</t>
  </si>
  <si>
    <t>2019-12-18T14:42:00.000-07:00</t>
  </si>
  <si>
    <t>2020-01-21T06:43:29</t>
  </si>
  <si>
    <t>2019-12-18T14:55:00.000-07:00</t>
  </si>
  <si>
    <t>Associated Sample PLc1142 and NOT TURBID</t>
  </si>
  <si>
    <t>2020-01-21T12:18:05.000+06:30</t>
  </si>
  <si>
    <t>339e7788-10dd-4c15-a5f1-6d4e1901f8cc</t>
  </si>
  <si>
    <t>2019-12-19T05:50:57</t>
  </si>
  <si>
    <t>2019-12-19T11:25:12.000-07:00</t>
  </si>
  <si>
    <t>2f571d8c-b751-4efc-848a-d436b5538803</t>
  </si>
  <si>
    <t>2020-01-21T06:44:33</t>
  </si>
  <si>
    <t>2019-12-18T16:10:00.000-07:00</t>
  </si>
  <si>
    <t>2020-01-21T12:19:28.000+06:30</t>
  </si>
  <si>
    <t>955ad159-fa0f-4e0c-8e6f-4e1ce3dc0e5a</t>
  </si>
  <si>
    <t>2019-12-19T05:52:07</t>
  </si>
  <si>
    <t>2019-12-19T11:26:11.000-07:00</t>
  </si>
  <si>
    <t>8aa4840e-a2fa-48ce-9ffb-50ad32cc2b86</t>
  </si>
  <si>
    <t>2020-01-21T06:46:00</t>
  </si>
  <si>
    <t>2020-01-21T12:20:19.000+06:30</t>
  </si>
  <si>
    <t>Associated Sample PLc1143 and NOT TURBID</t>
  </si>
  <si>
    <t>a56afa63-9776-4e6e-9839-234e5b2c1efa</t>
  </si>
  <si>
    <t>2019-12-19T05:53:04</t>
  </si>
  <si>
    <t>Associated sample DWa1004uf</t>
  </si>
  <si>
    <t>dae213c3-2662-4250-bd02-619a7d0d1790</t>
  </si>
  <si>
    <t>2020-01-21T06:46:46</t>
  </si>
  <si>
    <t>2019-12-19T11:27:11.000-07:00</t>
  </si>
  <si>
    <t>2020-01-21T12:20:20.000+06:30</t>
  </si>
  <si>
    <t>2020-01-21T12:22:01.000+06:30</t>
  </si>
  <si>
    <t>2019-12-17T14:05:00.000-07:00</t>
  </si>
  <si>
    <t>2019-12-18T14:05:00.000-07:00</t>
  </si>
  <si>
    <t>S.typhi 16.01.2020, s.paratyphi 16.01.2020</t>
  </si>
  <si>
    <t>2019-12-18T14:12:00.000-07:00</t>
  </si>
  <si>
    <t>e72039e8-c2cf-4e94-9f4a-cd3f7f3b6129</t>
  </si>
  <si>
    <t>f3a750dc-6e66-4ff1-889e-1021d1e396b4</t>
  </si>
  <si>
    <t>2019-12-19T05:54:05</t>
  </si>
  <si>
    <t>2020-01-21T06:48:27</t>
  </si>
  <si>
    <t>2019-12-23T11:33:11.000-07:00</t>
  </si>
  <si>
    <t>2020-01-21T12:23:21.000+06:30</t>
  </si>
  <si>
    <t>2019-12-23T11:34:56.000-07:00</t>
  </si>
  <si>
    <t>2019-12-19T14:40:00.000-07:00</t>
  </si>
  <si>
    <t>2019-12-19T15:00:00.000-07:00</t>
  </si>
  <si>
    <t>2019-12-20T15:00:00.000-07:00</t>
  </si>
  <si>
    <t>7b07459d-24de-4a1e-8740-5c21f3c923a5</t>
  </si>
  <si>
    <t>2020-01-21T06:49:48</t>
  </si>
  <si>
    <t>2019-12-20T15:28:00.000-07:00</t>
  </si>
  <si>
    <t>2020-01-21T12:24:41.000+06:30</t>
  </si>
  <si>
    <t>9ba12d8e-188f-4e5a-9448-08a2be11bf60</t>
  </si>
  <si>
    <t>2019-12-23T06:01:48</t>
  </si>
  <si>
    <t>2019-12-23T11:34:57.000-07:00</t>
  </si>
  <si>
    <t>2019-12-23T11:36:14.000-07:00</t>
  </si>
  <si>
    <t>3bb27bab-4d49-4b1a-9c19-c3cadb062fa1</t>
  </si>
  <si>
    <t>2019-12-19T14:20:00.000-07:00</t>
  </si>
  <si>
    <t>2020-01-21T06:51:07</t>
  </si>
  <si>
    <t>2019-12-19T14:30:00.000-07:00</t>
  </si>
  <si>
    <t>2019-12-20T14:30:00.000-07:00</t>
  </si>
  <si>
    <t>2019-12-20T14:45:00.000-07:00</t>
  </si>
  <si>
    <t>2020-01-21T12:26:13.000+06:30</t>
  </si>
  <si>
    <t>Associated sample MO1136 and NOT TURBID</t>
  </si>
  <si>
    <t>9e2dec77-a6bd-44fd-8c75-76d8830d696c</t>
  </si>
  <si>
    <t>2019-12-23T06:03:05</t>
  </si>
  <si>
    <t>2019-12-23T11:37:03.000-07:00</t>
  </si>
  <si>
    <t>a1ad3266-7bda-45ed-8081-9d35ab5d5845</t>
  </si>
  <si>
    <t>2020-01-21T06:52:40</t>
  </si>
  <si>
    <t>2020-01-21T12:26:14.000+06:30</t>
  </si>
  <si>
    <t>2020-01-21T12:27:02.000+06:30</t>
  </si>
  <si>
    <t>2019-12-20T15:39:00.000-07:00</t>
  </si>
  <si>
    <t>cf91ac84-fe32-458a-bb56-e20ba12b912e</t>
  </si>
  <si>
    <t>2019-12-23T06:03:54</t>
  </si>
  <si>
    <t>61bdf15e-d0d2-447d-8507-388a58e4b101</t>
  </si>
  <si>
    <t>2020-01-21T06:53:28</t>
  </si>
  <si>
    <t>2019-12-23T11:38:30.000-07:00</t>
  </si>
  <si>
    <t>2020-01-21T12:27:42.000+06:30</t>
  </si>
  <si>
    <t>2019-12-20T14:47:00.000-07:00</t>
  </si>
  <si>
    <t>Associated Sample MO1137 and NOT TURBID</t>
  </si>
  <si>
    <t>534dccc7-8093-4da5-a968-a18657595633</t>
  </si>
  <si>
    <t>66c5058a-a8e2-45e7-b9b4-948988979830</t>
  </si>
  <si>
    <t>2020-01-21T06:54:08</t>
  </si>
  <si>
    <t>2019-12-23T06:05:21</t>
  </si>
  <si>
    <t>2020-01-21T12:28:50.000+06:30</t>
  </si>
  <si>
    <t>2019-12-23T11:39:23.000-07:00</t>
  </si>
  <si>
    <t>2019-12-19T15:35:00.000-07:00</t>
  </si>
  <si>
    <t>b3fb2640-2f9c-4c0e-9d54-2b082ed9da5e</t>
  </si>
  <si>
    <t>2019-12-20T16:00:00.000-07:00</t>
  </si>
  <si>
    <t>2020-01-21T06:55:16</t>
  </si>
  <si>
    <t>2019-12-20T14:27:00.000-07:00</t>
  </si>
  <si>
    <t>2020-01-21T12:29:59.000+06:30</t>
  </si>
  <si>
    <t>59ee75e4-0d53-42af-8b80-07921f2d861e</t>
  </si>
  <si>
    <t>2019-12-23T06:06:13</t>
  </si>
  <si>
    <t>2019-12-23T11:40:35.000-07:00</t>
  </si>
  <si>
    <t>2019-12-19T15:10:00.000-07:00</t>
  </si>
  <si>
    <t>Associated sample PLc1173</t>
  </si>
  <si>
    <t>2019-12-19T15:25:00.000-07:00</t>
  </si>
  <si>
    <t>2019-12-20T15:25:00.000-07:00</t>
  </si>
  <si>
    <t>2019-12-20T15:32:00.000-07:00</t>
  </si>
  <si>
    <t>44721c23-88b4-4694-828f-be2fc8ee7414</t>
  </si>
  <si>
    <t>2020-01-21T06:56:26</t>
  </si>
  <si>
    <t>Associated Sample PLc1144 and NOT TURBID</t>
  </si>
  <si>
    <t>59f40556-f46d-457f-a15e-7a314da6f34b</t>
  </si>
  <si>
    <t>2019-12-23T06:07:26</t>
  </si>
  <si>
    <t>2020-01-21T12:30:49.000+06:30</t>
  </si>
  <si>
    <t>2019-12-23T11:41:21.000-07:00</t>
  </si>
  <si>
    <t>2019-12-20T01:16:00.000-07:00</t>
  </si>
  <si>
    <t>Associated sample PLc1174</t>
  </si>
  <si>
    <t>e081be1d-c1ab-4a7b-8de5-bfc4034e3f43</t>
  </si>
  <si>
    <t>2019-12-23T06:08:11</t>
  </si>
  <si>
    <t>aa2dac3c-50be-4596-90ed-a2bca4d43df6</t>
  </si>
  <si>
    <t>2020-01-21T06:57:15</t>
  </si>
  <si>
    <t>2019-12-23T11:42:34.000-07:00</t>
  </si>
  <si>
    <t>2020-01-21T12:32:05.000+06:30</t>
  </si>
  <si>
    <t>Associated Sample PLc1145 and NOT TURBID</t>
  </si>
  <si>
    <t>576e70ba-a346-47e1-bc06-266ea084f659</t>
  </si>
  <si>
    <t>2019-12-23T06:09:26</t>
  </si>
  <si>
    <t>2019-12-23T11:43:27.000-07:00</t>
  </si>
  <si>
    <t>c2e9a5fe-66e7-4813-9117-3c1827d4a27e</t>
  </si>
  <si>
    <t>2020-01-21T06:58:32</t>
  </si>
  <si>
    <t>2019-12-20T16:39:00.000-07:00</t>
  </si>
  <si>
    <t>2020-01-21T12:36:46.000+06:30</t>
  </si>
  <si>
    <t>6829d7d2-6023-43ac-bd28-d2117b75f0dd</t>
  </si>
  <si>
    <t>2019-12-23T06:10:17</t>
  </si>
  <si>
    <t>2019-12-23T11:44:35.000-07:00</t>
  </si>
  <si>
    <t>2019-12-20T15:40:00.000-07:00</t>
  </si>
  <si>
    <t>Associated Sample PLc1146 and NOT TURBID</t>
  </si>
  <si>
    <t>8fc3cad5-c84d-450f-80b3-2f2f13b2b0d3</t>
  </si>
  <si>
    <t>2019-12-23T06:11:27</t>
  </si>
  <si>
    <t>0043b74b-e6fb-4cf9-b61f-4dc4d50a1763</t>
  </si>
  <si>
    <t>2020-01-21T07:03:13</t>
  </si>
  <si>
    <t>2019-12-23T11:45:26.000-07:00</t>
  </si>
  <si>
    <t>2020-01-21T12:37:46.000+06:30</t>
  </si>
  <si>
    <t>2019-12-20T16:42:00.000-07:00</t>
  </si>
  <si>
    <t>86368c4d-80b7-4122-9f4b-edf59a174d5f</t>
  </si>
  <si>
    <t>e63a5917-9c5e-45e7-afab-73fbaae3b1e8</t>
  </si>
  <si>
    <t>2019-12-23T06:12:17</t>
  </si>
  <si>
    <t>2020-01-21T07:04:12</t>
  </si>
  <si>
    <t>2020-01-21T12:38:45.000+06:30</t>
  </si>
  <si>
    <t>2019-12-23T11:46:55.000-07:00</t>
  </si>
  <si>
    <t>2019-12-20T15:41:00.000-07:00</t>
  </si>
  <si>
    <t>Associated Sample PLc1147 and NOT TURBID</t>
  </si>
  <si>
    <t>9d603e2d-b45a-43a9-8c3f-05f4360f49fa</t>
  </si>
  <si>
    <t>2020-01-21T07:05:09</t>
  </si>
  <si>
    <t>1c28b776-5ad8-4461-a8cb-84ba21bb4187</t>
  </si>
  <si>
    <t>2019-12-23T06:13:47</t>
  </si>
  <si>
    <t>2020-01-21T12:40:37.000+06:30</t>
  </si>
  <si>
    <t>2019-12-23T11:47:50.000-07:00</t>
  </si>
  <si>
    <t>S.typhi 20.01.2020, s.paratyphi 20.01.2020</t>
  </si>
  <si>
    <t>2019-12-20T15:30:00.000-07:00</t>
  </si>
  <si>
    <t>2019-12-20T15:45:00.000-07:00</t>
  </si>
  <si>
    <t>30ebce68-9c18-473a-967b-0c7e0b1c8ecb</t>
  </si>
  <si>
    <t>2020-01-21T07:07:03</t>
  </si>
  <si>
    <t>28c76663-4d65-4ef7-b32c-8d9e62e39ac7</t>
  </si>
  <si>
    <t>2020-01-21T12:42:19.000+06:30</t>
  </si>
  <si>
    <t>2019-12-23T06:14:40</t>
  </si>
  <si>
    <t>2019-12-23T11:48:57.000-07:00</t>
  </si>
  <si>
    <t>8dec19f3-ad4c-4800-8357-ff7d57ce007e</t>
  </si>
  <si>
    <t>2020-01-21T07:08:45</t>
  </si>
  <si>
    <t>Associated Sample PLc1148 and NOT TURBID</t>
  </si>
  <si>
    <t>2020-01-21T12:43:24.000+06:30</t>
  </si>
  <si>
    <t>0f8facb3-5e80-41af-9105-16e8e2928c2d</t>
  </si>
  <si>
    <t>2019-12-23T06:15:47</t>
  </si>
  <si>
    <t>2019-12-23T11:50:32.000-07:00</t>
  </si>
  <si>
    <t>9ed8b5e1-95f3-4a5f-82d7-96d228640495</t>
  </si>
  <si>
    <t>2020-01-21T07:09:50</t>
  </si>
  <si>
    <t>2019-12-20T16:50:00.000-07:00</t>
  </si>
  <si>
    <t>2020-01-21T12:44:24.000+06:30</t>
  </si>
  <si>
    <t>804a4ea5-c5dd-4c2d-a933-eb20a1f020b4</t>
  </si>
  <si>
    <t>2019-12-23T06:17:24</t>
  </si>
  <si>
    <t>2019-12-23T11:51:38.000-07:00</t>
  </si>
  <si>
    <t>c22d763b-a4f0-4b28-984a-2c29502eaca4</t>
  </si>
  <si>
    <t>2020-01-21T07:10:49</t>
  </si>
  <si>
    <t>2020-01-21T12:46:43.000+06:30</t>
  </si>
  <si>
    <t>2019-12-20T15:46:00.000-07:00</t>
  </si>
  <si>
    <t>Associated Sample PLc1149 and NOT TURBID</t>
  </si>
  <si>
    <t>f0547ef5-c7a2-4ea9-8f89-006d91b458be</t>
  </si>
  <si>
    <t>2019-12-23T06:18:29</t>
  </si>
  <si>
    <t>de2b5b7e-2042-4d1c-b7d1-0d2a6d357680</t>
  </si>
  <si>
    <t>2020-01-21T07:13:09</t>
  </si>
  <si>
    <t>2019-12-23T11:53:33.000-07:00</t>
  </si>
  <si>
    <t>2020-01-21T12:47:56.000+06:30</t>
  </si>
  <si>
    <t>2019-12-19T15:05:00.000-07:00</t>
  </si>
  <si>
    <t>2019-12-20T15:10:00.000-07:00</t>
  </si>
  <si>
    <t>2019-12-20T15:15:00.000-07:00</t>
  </si>
  <si>
    <t>3530b28a-5a03-48bc-bdc2-e1b004217193</t>
  </si>
  <si>
    <t>2019-12-23T06:20:23</t>
  </si>
  <si>
    <t>2019-12-30T10:52:12.000+06:30</t>
  </si>
  <si>
    <t>24287c97-efd6-485e-b1bf-0f1e95ba5b5e</t>
  </si>
  <si>
    <t>2020-01-21T07:14:23</t>
  </si>
  <si>
    <t>2019-12-30T10:53:20.000+06:30</t>
  </si>
  <si>
    <t>2020-01-21T12:48:43.000+06:30</t>
  </si>
  <si>
    <t>2019-12-23T15:30:00.000+06:30</t>
  </si>
  <si>
    <t>2019-12-23T16:00:00.000+06:30</t>
  </si>
  <si>
    <t>2019-12-24T16:00:00.000+06:30</t>
  </si>
  <si>
    <t>2019-12-24T16:05:00.000+06:30</t>
  </si>
  <si>
    <t>f3537f95-08c1-4400-baab-ea7c6e43b752</t>
  </si>
  <si>
    <t>eff449b7-044e-4305-afdf-1420d0b89719</t>
  </si>
  <si>
    <t>2019-12-30T05:20:05</t>
  </si>
  <si>
    <t>2020-01-21T07:15:08</t>
  </si>
  <si>
    <t>2020-01-21T12:49:29.000+06:30</t>
  </si>
  <si>
    <t>2019-12-30T10:54:52.000+06:30</t>
  </si>
  <si>
    <t>2019-12-23T15:00:00.000+06:30</t>
  </si>
  <si>
    <t>2019-12-24T15:30:00.000+06:30</t>
  </si>
  <si>
    <t>2019-12-24T15:35:00.000+06:30</t>
  </si>
  <si>
    <t>Associated sample PLc1150 and NOT TURBID</t>
  </si>
  <si>
    <t>557b1381-4df1-4310-b788-e0175bd1b672</t>
  </si>
  <si>
    <t>2020-01-21T07:15:55</t>
  </si>
  <si>
    <t>2020-01-21T12:49:30.000+06:30</t>
  </si>
  <si>
    <t>e1a50226-5e9b-4bdd-98b1-109c96b9ae1c</t>
  </si>
  <si>
    <t>2019-12-30T05:21:36</t>
  </si>
  <si>
    <t>2020-01-21T12:50:25.000+06:30</t>
  </si>
  <si>
    <t>2019-12-30T10:55:43.000+06:30</t>
  </si>
  <si>
    <t>2019-12-24T16:10:00.000+06:30</t>
  </si>
  <si>
    <t>bc50da73-3d4e-4c14-a790-160c22575b60</t>
  </si>
  <si>
    <t>2020-01-21T07:16:51</t>
  </si>
  <si>
    <t>2020-01-21T12:51:18.000+06:30</t>
  </si>
  <si>
    <t>08a8c7e1-2f95-49f4-9369-d5d1213d0226</t>
  </si>
  <si>
    <t>2019-12-30T05:22:27</t>
  </si>
  <si>
    <t>2019-12-30T10:56:59.000+06:30</t>
  </si>
  <si>
    <t>2019-12-24T15:40:00.000+06:30</t>
  </si>
  <si>
    <t>Associated sample RP2001</t>
  </si>
  <si>
    <t>Associated sample PLc1151 and NOT TURBID</t>
  </si>
  <si>
    <t>1604fcb0-4f49-4bf1-bebd-725839b3ae65</t>
  </si>
  <si>
    <t>2020-01-21T07:17:44</t>
  </si>
  <si>
    <t>e792ea83-14e6-45fe-a79d-39b83fdfcbda</t>
  </si>
  <si>
    <t>2019-12-30T05:23:44</t>
  </si>
  <si>
    <t>2020-01-21T12:52:24.000+06:30</t>
  </si>
  <si>
    <t>2019-12-30T10:57:47.000+06:30</t>
  </si>
  <si>
    <t>2019-12-24T16:15:00.000+06:30</t>
  </si>
  <si>
    <t>3e59990b-64c9-418a-b03f-dd7ed76859c6</t>
  </si>
  <si>
    <t>2020-01-21T07:18:49</t>
  </si>
  <si>
    <t>9cdff878-e1b6-4464-ac3f-dd273187d838</t>
  </si>
  <si>
    <t>2019-12-30T05:24:31</t>
  </si>
  <si>
    <t>2020-01-21T12:53:17.000+06:30</t>
  </si>
  <si>
    <t>2019-12-30T10:59:29.000+06:30</t>
  </si>
  <si>
    <t>2019-12-24T15:45:00.000+06:30</t>
  </si>
  <si>
    <t>9ba99e09-120e-4d8c-9963-20e4cde412fd</t>
  </si>
  <si>
    <t>2020-01-21T07:19:43</t>
  </si>
  <si>
    <t>Associated sample PLc1152 and NOT TURBID</t>
  </si>
  <si>
    <t>2020-01-21T12:54:07.000+06:30</t>
  </si>
  <si>
    <t>5d332629-1d58-4036-b1bd-f0a573eb04f9</t>
  </si>
  <si>
    <t>2019-12-30T05:26:13</t>
  </si>
  <si>
    <t>Associated sample PLc1178</t>
  </si>
  <si>
    <t>2019-12-30T11:00:28.000+06:30</t>
  </si>
  <si>
    <t>9fc77705-9161-4b8b-8bcd-1b86948e6e8a</t>
  </si>
  <si>
    <t>2020-01-21T07:20:32</t>
  </si>
  <si>
    <t>2020-01-21T12:55:09.000+06:30</t>
  </si>
  <si>
    <t>2019-12-24T16:20:00.000+06:30</t>
  </si>
  <si>
    <t>c0bfed54-3bb6-466e-aa5a-a8679abb23bf</t>
  </si>
  <si>
    <t>2019-12-30T05:27:12</t>
  </si>
  <si>
    <t>de1b9a9a-eff6-4a22-ac0f-74e81829fa13</t>
  </si>
  <si>
    <t>2020-01-21T07:21:35</t>
  </si>
  <si>
    <t>2019-12-30T11:01:32.000+06:30</t>
  </si>
  <si>
    <t>2020-01-21T12:56:23.000+06:30</t>
  </si>
  <si>
    <t>2019-12-24T15:50:00.000+06:30</t>
  </si>
  <si>
    <t>Associated sample PLc1153 and NOT TURBID</t>
  </si>
  <si>
    <t>4ba21d0b-7f0b-4a09-9b82-5b3c872abaca</t>
  </si>
  <si>
    <t>2019-12-30T05:28:16</t>
  </si>
  <si>
    <t>323a5bc9-f1c1-40c9-97b3-6893f7c0c12e</t>
  </si>
  <si>
    <t>2020-01-21T07:22:50</t>
  </si>
  <si>
    <t>2020-01-21T12:56:24.000+06:30</t>
  </si>
  <si>
    <t>2020-01-21T12:57:01.000+06:30</t>
  </si>
  <si>
    <t>2019-12-30T11:02:22.000+06:30</t>
  </si>
  <si>
    <t>2019-12-24T15:32:00.000+06:30</t>
  </si>
  <si>
    <t>b3a7ee01-0efb-4619-9952-1e3500c5d1ed</t>
  </si>
  <si>
    <t>2020-01-21T07:23:27</t>
  </si>
  <si>
    <t>4648e5e9-083f-4b07-84b2-67abaccb8f4b</t>
  </si>
  <si>
    <t>2019-12-30T05:29:06</t>
  </si>
  <si>
    <t>2020-01-21T12:58:46.000+06:30</t>
  </si>
  <si>
    <t>2019-12-30T11:03:35.000+06:30</t>
  </si>
  <si>
    <t>2019-12-26T14:45:00.000+06:30</t>
  </si>
  <si>
    <t>2019-12-26T15:20:00.000+06:30</t>
  </si>
  <si>
    <t>2019-12-27T15:20:00.000+06:30</t>
  </si>
  <si>
    <t>2019-12-27T15:55:00.000+06:30</t>
  </si>
  <si>
    <t>eaa05167-64d2-4ad2-86a9-7ff2193f97c3</t>
  </si>
  <si>
    <t>2020-01-21T07:25:12</t>
  </si>
  <si>
    <t>9b621a7d-a478-4b12-b894-22ce8f9f615c</t>
  </si>
  <si>
    <t>2019-12-30T05:30:20</t>
  </si>
  <si>
    <t>2020-01-21T12:59:38.000+06:30</t>
  </si>
  <si>
    <t>2019-12-30T11:03:36.000+06:30</t>
  </si>
  <si>
    <t>2019-12-30T11:06:02.000+06:30</t>
  </si>
  <si>
    <t>2019-12-26T14:02:00.000+06:30</t>
  </si>
  <si>
    <t>2019-12-26T14:30:00.000+06:30</t>
  </si>
  <si>
    <t>Associated sample MO1155</t>
  </si>
  <si>
    <t>2019-12-27T14:30:00.000+06:30</t>
  </si>
  <si>
    <t>2019-12-27T14:38:00.000+06:30</t>
  </si>
  <si>
    <t>62057498-60d8-4542-8e4a-df00a10bab4f</t>
  </si>
  <si>
    <t>2020-01-21T07:26:04</t>
  </si>
  <si>
    <t>Associated sample PLc1154 and NOT TURBID</t>
  </si>
  <si>
    <t>2020-01-21T13:00:40.000+06:30</t>
  </si>
  <si>
    <t>e1b13d00-ff6a-4301-bff3-b1561c1e738a</t>
  </si>
  <si>
    <t>2019-12-30T05:32:46</t>
  </si>
  <si>
    <t>2019-12-30T11:07:27.000+06:30</t>
  </si>
  <si>
    <t>a1f5a4cb-0e3e-4d6d-9c6f-e285b435c67a</t>
  </si>
  <si>
    <t>2020-01-21T07:27:10</t>
  </si>
  <si>
    <t>2020-01-21T13:00:41.000+06:30</t>
  </si>
  <si>
    <t>2019-12-27T16:00:00.000+06:30</t>
  </si>
  <si>
    <t>2020-01-21T13:03:25.000+06:30</t>
  </si>
  <si>
    <t>7ff80e36-fb0c-44e5-bf58-198caa0a66ac</t>
  </si>
  <si>
    <t>2019-12-30T05:34:11</t>
  </si>
  <si>
    <t>2019-12-30T11:08:31.000+06:30</t>
  </si>
  <si>
    <t>c481221b-a409-4db0-9ca4-da77e85fa1ff</t>
  </si>
  <si>
    <t>2020-01-21T07:29:52</t>
  </si>
  <si>
    <t>2020-01-28T11:29:37.000+06:30</t>
  </si>
  <si>
    <t>2020-01-28T11:31:19.000+06:30</t>
  </si>
  <si>
    <t>2019-12-27T14:40:00.000+06:30</t>
  </si>
  <si>
    <t>Associated sample PLc1155 and NOT TURBID</t>
  </si>
  <si>
    <t>12c21691-3d7e-493f-a442-2b6160822e58</t>
  </si>
  <si>
    <t>2019-12-30T05:35:15</t>
  </si>
  <si>
    <t>71536eb7-c0bb-4b7a-99bd-5300f6340d10</t>
  </si>
  <si>
    <t>2019-12-30T11:09:23.000+06:30</t>
  </si>
  <si>
    <t>2020-01-28T05:57:40</t>
  </si>
  <si>
    <t>2020-01-28T11:32:39.000+06:30</t>
  </si>
  <si>
    <t>2019-12-27T16:04:00.000+06:30</t>
  </si>
  <si>
    <t>S.typhi 10.05.2019, s.paratyphi 10.05.2019</t>
  </si>
  <si>
    <t>6aae1140-8fd7-46bd-a0cb-1fcce843dcdc</t>
  </si>
  <si>
    <t>31a76e44-f657-4b0b-9109-cca36e7a7bd0</t>
  </si>
  <si>
    <t>2019-12-30T05:36:07</t>
  </si>
  <si>
    <t>2020-01-28T05:59:02</t>
  </si>
  <si>
    <t>2020-01-28T11:33:55.000+06:30</t>
  </si>
  <si>
    <t>LS1001B</t>
  </si>
  <si>
    <t>2019-12-30T11:10:24.000+06:30</t>
  </si>
  <si>
    <t>b1d9d8de-48ee-41c8-add3-21003cf47abe</t>
  </si>
  <si>
    <t>2020-01-28T06:00:15</t>
  </si>
  <si>
    <t>2020-01-28T11:33:56.000+06:30</t>
  </si>
  <si>
    <t>Associated sample PLc1156 and NOT TURBID</t>
  </si>
  <si>
    <t>2020-01-28T11:35:08.000+06:30</t>
  </si>
  <si>
    <t>4a5c1d81-727d-4a31-b6e2-0f6b08bd9b2d</t>
  </si>
  <si>
    <t>2019-12-30T05:37:08</t>
  </si>
  <si>
    <t>2019-12-30T11:11:15.000+06:30</t>
  </si>
  <si>
    <t>f62fdb94-2994-4bc3-82d2-727cab2e80f0</t>
  </si>
  <si>
    <t>2020-01-28T06:01:29</t>
  </si>
  <si>
    <t>2019-12-27T16:08:00.000+06:30</t>
  </si>
  <si>
    <t>2020-01-28T11:36:22.000+06:30</t>
  </si>
  <si>
    <t>89ae082c-8208-4b09-b2a4-4540f7a51f57</t>
  </si>
  <si>
    <t>2019-12-30T05:37:59</t>
  </si>
  <si>
    <t>2019-12-30T11:12:30.000+06:30</t>
  </si>
  <si>
    <t>3bb4182a-3667-406e-8049-1177b778593b</t>
  </si>
  <si>
    <t>2020-01-28T06:02:43</t>
  </si>
  <si>
    <t>2020-01-28T11:37:52.000+06:30</t>
  </si>
  <si>
    <t>2019-12-27T14:43:00.000+06:30</t>
  </si>
  <si>
    <t>Associated sample PLc1157 and NOT TURBID</t>
  </si>
  <si>
    <t>f5aec4d2-587b-464e-8913-ab71e92d581d</t>
  </si>
  <si>
    <t>2019-12-30T05:39:13</t>
  </si>
  <si>
    <t>7bc0b53a-4d73-4ef0-8cb9-bf701da726e6</t>
  </si>
  <si>
    <t>2020-01-28T06:04:13</t>
  </si>
  <si>
    <t>2019-12-30T11:13:23.000+06:30</t>
  </si>
  <si>
    <t>2020-01-28T11:38:39.000+06:30</t>
  </si>
  <si>
    <t>2019-12-26T13:50:00.000+06:30</t>
  </si>
  <si>
    <t>2019-12-26T14:00:00.000+06:30</t>
  </si>
  <si>
    <t>2019-12-27T14:00:00.000+06:30</t>
  </si>
  <si>
    <t>2019-12-27T14:05:00.000+06:30</t>
  </si>
  <si>
    <t>5fb4c68c-0431-4422-b334-25f2ceaa5c87</t>
  </si>
  <si>
    <t>dcff6dc6-7c31-473e-9150-3b7a9574bee5</t>
  </si>
  <si>
    <t>2019-12-30T05:40:07</t>
  </si>
  <si>
    <t>2020-01-28T06:04:59</t>
  </si>
  <si>
    <t>2020-01-28T11:38:40.000+06:30</t>
  </si>
  <si>
    <t>2020-01-28T11:40:20.000+06:30</t>
  </si>
  <si>
    <t>2019-12-30T11:14:22.000+06:30</t>
  </si>
  <si>
    <t>2019-12-27T14:52:00.000+06:30</t>
  </si>
  <si>
    <t>2019-12-28T13:52:00.000+06:30</t>
  </si>
  <si>
    <t>2019-12-28T15:05:00.000+06:30</t>
  </si>
  <si>
    <t>75286539-812c-495d-81d6-e22eb3f17f93</t>
  </si>
  <si>
    <t>2020-01-28T06:06:41</t>
  </si>
  <si>
    <t>e98399e7-dad1-42b0-9c30-f7c87ab394af</t>
  </si>
  <si>
    <t>2020-01-28T11:41:19.000+06:30</t>
  </si>
  <si>
    <t>2019-12-30T05:41:05</t>
  </si>
  <si>
    <t>2019-12-30T11:15:31.000+06:30</t>
  </si>
  <si>
    <t>75307ec1-27fa-4926-8c06-c3c9756745a7</t>
  </si>
  <si>
    <t>2020-01-28T06:07:39</t>
  </si>
  <si>
    <t>2019-12-27T13:55:00.000+06:30</t>
  </si>
  <si>
    <t>2020-01-28T11:42:07.000+06:30</t>
  </si>
  <si>
    <t>2019-12-27T14:20:00.000+06:30</t>
  </si>
  <si>
    <t>2019-12-28T14:20:00.000+06:30</t>
  </si>
  <si>
    <t>2019-12-28T14:42:00.000+06:30</t>
  </si>
  <si>
    <t>Associated sample MO1138 and NOT TURBID</t>
  </si>
  <si>
    <t>555cc832-70b4-4cbc-bbb7-c2a31be07c24</t>
  </si>
  <si>
    <t>2019-12-30T05:42:15</t>
  </si>
  <si>
    <t>7f0f0a02-72c1-4aca-9125-ac56be61cfa9</t>
  </si>
  <si>
    <t>2020-01-28T06:08:27</t>
  </si>
  <si>
    <t>2019-12-30T11:16:17.000+06:30</t>
  </si>
  <si>
    <t>2020-01-28T11:43:17.000+06:30</t>
  </si>
  <si>
    <t>2019-12-28T14:52:00.000+06:30</t>
  </si>
  <si>
    <t>2019-12-28T15:15:00.000+06:30</t>
  </si>
  <si>
    <t>0e68131d-4573-4b25-ab8a-c4197c1996df</t>
  </si>
  <si>
    <t>2019-12-30T05:43:01</t>
  </si>
  <si>
    <t>2019-12-30T11:17:21.000+06:30</t>
  </si>
  <si>
    <t>2fec55fb-d390-4b55-acc7-a5b537692192</t>
  </si>
  <si>
    <t>2020-01-28T06:09:38</t>
  </si>
  <si>
    <t>2019-12-28T14:44:00.000+06:30</t>
  </si>
  <si>
    <t>Associated sample MO1139 and NOT TURBID</t>
  </si>
  <si>
    <t>d3be1cb4-0a68-4bb8-889a-b4cdbb6f76b0</t>
  </si>
  <si>
    <t>2019-12-30T05:44:05</t>
  </si>
  <si>
    <t>2019-12-30T11:18:13.000+06:30</t>
  </si>
  <si>
    <t>2020-01-28T11:44:18.000+06:30</t>
  </si>
  <si>
    <t>2019-12-27T14:55:00.000+06:30</t>
  </si>
  <si>
    <t>2019-12-28T14:55:00.000+06:30</t>
  </si>
  <si>
    <t>2019-12-28T15:25:00.000+06:30</t>
  </si>
  <si>
    <t>705cc3c1-7562-4327-9e49-4ab3c6f3a486</t>
  </si>
  <si>
    <t>2019-12-30T05:44:57</t>
  </si>
  <si>
    <t>58293479-3ebb-4841-a67d-ef0e495e4e79</t>
  </si>
  <si>
    <t>2020-01-28T06:10:37</t>
  </si>
  <si>
    <t>2019-12-30T11:19:38.000+06:30</t>
  </si>
  <si>
    <t>2020-01-28T11:45:24.000+06:30</t>
  </si>
  <si>
    <t>2019-12-28T14:45:00.000+06:30</t>
  </si>
  <si>
    <t>Associated sample PLc1158 and NOT TURBID</t>
  </si>
  <si>
    <t>8723e60b-954f-4b56-aebe-7f807b4de948</t>
  </si>
  <si>
    <t>2f49874a-03f8-4e23-a6c9-4d8f67b9cec0</t>
  </si>
  <si>
    <t>2020-01-28T06:11:45</t>
  </si>
  <si>
    <t>2019-12-30T05:46:23</t>
  </si>
  <si>
    <t>2020-01-28T11:45:25.000+06:30</t>
  </si>
  <si>
    <t>2020-01-28T11:46:16.000+06:30</t>
  </si>
  <si>
    <t>2019-12-30T11:21:02.000+06:30</t>
  </si>
  <si>
    <t>2019-12-28T15:40:00.000+06:30</t>
  </si>
  <si>
    <t>c7d9ec51-ce37-4dff-b697-e3354be112a0</t>
  </si>
  <si>
    <t>2020-01-28T06:12:36</t>
  </si>
  <si>
    <t>156422c5-cb2d-448b-8c6e-688c7060ad62</t>
  </si>
  <si>
    <t>2019-12-30T05:47:47</t>
  </si>
  <si>
    <t>2020-01-28T11:47:39.000+06:30</t>
  </si>
  <si>
    <t>2019-12-30T11:22:03.000+06:30</t>
  </si>
  <si>
    <t>S.typhi 17.05.2019, s.paratyphi 17.05.2019</t>
  </si>
  <si>
    <t>34403ab6-b555-4e2d-a14c-93e1e333cd30</t>
  </si>
  <si>
    <t>2020-01-28T06:14:00</t>
  </si>
  <si>
    <t>Associated sample PLc1159 and NOT TURBID</t>
  </si>
  <si>
    <t>2020-01-28T11:48:50.000+06:30</t>
  </si>
  <si>
    <t>30ea2c9c-bc25-4c1b-ba69-6e5e4fa8acb8</t>
  </si>
  <si>
    <t>2019-12-30T05:48:47</t>
  </si>
  <si>
    <t>2019-12-30T11:22:04.000+06:30</t>
  </si>
  <si>
    <t>2019-12-30T11:22:55.000+06:30</t>
  </si>
  <si>
    <t>ff9bbb9d-7e6f-4292-97dd-c25ab295b876</t>
  </si>
  <si>
    <t>2020-01-28T06:15:10</t>
  </si>
  <si>
    <t>2020-01-28T11:50:30.000+06:30</t>
  </si>
  <si>
    <t>2019-12-28T14:50:00.000+06:30</t>
  </si>
  <si>
    <t>S.typhi 16.04.2019, s.paratyphi 16.04.2019</t>
  </si>
  <si>
    <t>37697ae5-8093-4f0e-ac33-eb7eb4d624cf</t>
  </si>
  <si>
    <t>2019-12-30T05:49:39</t>
  </si>
  <si>
    <t>2020-01-06T11:05:45.000+06:30</t>
  </si>
  <si>
    <t>2020-01-06T11:09:22.000+06:30</t>
  </si>
  <si>
    <t>f0bbf294-fe10-4840-b323-cb439e329c94</t>
  </si>
  <si>
    <t>2020-01-28T06:16:50</t>
  </si>
  <si>
    <t>2020-01-28T11:50:31.000+06:30</t>
  </si>
  <si>
    <t>2019-12-30T14:45:00.000+06:30</t>
  </si>
  <si>
    <t>2019-12-30T15:00:00.000+06:30</t>
  </si>
  <si>
    <t>2019-12-31T15:05:00.000+06:30</t>
  </si>
  <si>
    <t>2020-01-28T11:52:10.000+06:30</t>
  </si>
  <si>
    <t>OD1001B</t>
  </si>
  <si>
    <t>70492c2a-e921-4c2b-bf55-8e129dfae330</t>
  </si>
  <si>
    <t>2020-01-06T05:36:02</t>
  </si>
  <si>
    <t>2020-01-06T11:10:41.000+06:30</t>
  </si>
  <si>
    <t>2019-12-30T14:30:00.000+06:30</t>
  </si>
  <si>
    <t>2019-12-30T14:40:00.000+06:30</t>
  </si>
  <si>
    <t>2019-12-31T14:40:00.000+06:30</t>
  </si>
  <si>
    <t>2019-12-31T14:42:00.000+06:30</t>
  </si>
  <si>
    <t>b8a98f73-a309-4952-92ed-98d8a0feb0e8</t>
  </si>
  <si>
    <t>2020-01-28T06:18:31</t>
  </si>
  <si>
    <t>Associated Sample PLc1160 and NOT TURBID</t>
  </si>
  <si>
    <t>df5ab433-3ccf-46a0-acc4-cb2e2c6dcddb</t>
  </si>
  <si>
    <t>2020-01-28T11:53:37.000+06:30</t>
  </si>
  <si>
    <t>2020-01-06T05:37:19</t>
  </si>
  <si>
    <t>2020-01-06T11:11:39.000+06:30</t>
  </si>
  <si>
    <t>2019-12-31T15:15:00.000+06:30</t>
  </si>
  <si>
    <t>49930ceb-908f-47ae-a1a4-50347a263168</t>
  </si>
  <si>
    <t>2020-01-28T06:19:58</t>
  </si>
  <si>
    <t>2020-01-28T11:54:46.000+06:30</t>
  </si>
  <si>
    <t>bc134515-ea83-4c60-8600-6c3f8f39b99f</t>
  </si>
  <si>
    <t>2020-01-06T05:38:18</t>
  </si>
  <si>
    <t>SF1001B</t>
  </si>
  <si>
    <t>2020-01-06T11:13:04.000+06:30</t>
  </si>
  <si>
    <t>S.typhi 26.04.2019, s.paratyphi 29.04.2019</t>
  </si>
  <si>
    <t>2019-12-31T14:47:00.000+06:30</t>
  </si>
  <si>
    <t>Associated Sample PLc1161 and NOT TURBID</t>
  </si>
  <si>
    <t>b5348995-9120-4c04-ac31-219529d282fe</t>
  </si>
  <si>
    <t>2020-01-28T06:21:07</t>
  </si>
  <si>
    <t>22811e1f-bbab-45e6-a826-a059af58cd73</t>
  </si>
  <si>
    <t>2020-01-06T05:39:43</t>
  </si>
  <si>
    <t>2020-01-28T11:55:47.000+06:30</t>
  </si>
  <si>
    <t>2020-01-06T11:14:11.000+06:30</t>
  </si>
  <si>
    <t>2019-12-31T15:25:00.000+06:30</t>
  </si>
  <si>
    <t>431a8e7d-b3a5-4cc5-9ad3-82571cbc5503</t>
  </si>
  <si>
    <t>2020-01-28T06:22:06</t>
  </si>
  <si>
    <t>a8df6d94-75c3-4d51-843a-0a2766b89c58</t>
  </si>
  <si>
    <t>2020-01-06T05:40:48</t>
  </si>
  <si>
    <t>2020-01-28T11:57:18.000+06:30</t>
  </si>
  <si>
    <t>2020-01-06T11:15:44.000+06:30</t>
  </si>
  <si>
    <t>2019-12-31T14:55:00.000+06:30</t>
  </si>
  <si>
    <t>Associated Sample PLc1162 and NOT TURBID</t>
  </si>
  <si>
    <t>edb11642-c424-4fe6-ade2-326fe82e6465</t>
  </si>
  <si>
    <t>2020-01-28T06:23:38</t>
  </si>
  <si>
    <t>214eb3bb-8712-4459-9c07-5894dc23e8c6</t>
  </si>
  <si>
    <t>2020-01-06T05:42:19</t>
  </si>
  <si>
    <t>2020-01-28T11:58:05.000+06:30</t>
  </si>
  <si>
    <t>2020-01-06T11:16:39.000+06:30</t>
  </si>
  <si>
    <t>2019-12-31T15:35:00.000+06:30</t>
  </si>
  <si>
    <t>d4f19c58-facc-4053-bba9-98cbc89c7e87</t>
  </si>
  <si>
    <t>2020-01-28T06:24:26</t>
  </si>
  <si>
    <t>2020-01-28T11:58:55.000+06:30</t>
  </si>
  <si>
    <t>f03e1136-3042-40da-a60f-5673069a7d0d</t>
  </si>
  <si>
    <t>2020-01-06T05:43:18</t>
  </si>
  <si>
    <t>2020-01-06T11:16:40.000+06:30</t>
  </si>
  <si>
    <t>2020-01-06T11:17:48.000+06:30</t>
  </si>
  <si>
    <t>2019-12-31T14:58:00.000+06:30</t>
  </si>
  <si>
    <t>Associated Sample PLc1163 and NOT TURBID</t>
  </si>
  <si>
    <t>8fb307f9-daff-41d3-91f7-1343c251b945</t>
  </si>
  <si>
    <t>2020-01-28T06:25:14</t>
  </si>
  <si>
    <t>d36a00a1-7c31-49ef-9132-c15eb7d0484f</t>
  </si>
  <si>
    <t>2020-01-06T05:44:27</t>
  </si>
  <si>
    <t>2020-01-28T12:00:17.000+06:30</t>
  </si>
  <si>
    <t>2020-01-06T11:18:47.000+06:30</t>
  </si>
  <si>
    <t>53dcedfe-60e2-4ef3-acf0-9aeb0012af13</t>
  </si>
  <si>
    <t>2020-01-06T05:45:25</t>
  </si>
  <si>
    <t>c7cb17ae-3478-4f39-8abc-b295b96ca679</t>
  </si>
  <si>
    <t>2020-01-28T06:26:39</t>
  </si>
  <si>
    <t>2020-01-06T11:20:26.000+06:30</t>
  </si>
  <si>
    <t>2020-01-28T12:00:18.000+06:30</t>
  </si>
  <si>
    <t>2020-01-28T12:01:45.000+06:30</t>
  </si>
  <si>
    <t>2020-01-01T15:25:00.000+06:30</t>
  </si>
  <si>
    <t>2020-01-01T15:55:00.000+06:30</t>
  </si>
  <si>
    <t>3a129755-bf54-4d8d-9395-93ae8e662d81</t>
  </si>
  <si>
    <t>2020-01-06T05:47:05</t>
  </si>
  <si>
    <t>2020-01-06T11:21:54.000+06:30</t>
  </si>
  <si>
    <t>82584ddf-632a-462b-838f-8d563d0f2f1c</t>
  </si>
  <si>
    <t>2019-12-31T14:20:00.000+06:30</t>
  </si>
  <si>
    <t>2020-01-28T06:28:09</t>
  </si>
  <si>
    <t>2019-12-31T14:45:00.000+06:30</t>
  </si>
  <si>
    <t>2020-01-01T14:45:00.000+06:30</t>
  </si>
  <si>
    <t>Associated Sample MO1140 and NOT TURBID</t>
  </si>
  <si>
    <t>2020-01-28T12:02:48.000+06:30</t>
  </si>
  <si>
    <t>847ba2a2-4eba-46bd-b3d2-06bdb6cbaaf6</t>
  </si>
  <si>
    <t>2020-01-06T05:48:33</t>
  </si>
  <si>
    <t>2020-01-06T11:22:58.000+06:30</t>
  </si>
  <si>
    <t>2020-01-01T15:15:00.000+06:30</t>
  </si>
  <si>
    <t>2020-01-01T16:08:00.000+06:30</t>
  </si>
  <si>
    <t>34c247fe-7815-4ed6-ba9b-6ec7cee703ce</t>
  </si>
  <si>
    <t>2020-01-28T06:29:11</t>
  </si>
  <si>
    <t>19552b3e-53d6-4213-8c3b-ce76f9141ad8</t>
  </si>
  <si>
    <t>2020-01-06T05:49:36</t>
  </si>
  <si>
    <t>2020-01-28T12:03:43.000+06:30</t>
  </si>
  <si>
    <t>2020-01-06T11:24:06.000+06:30</t>
  </si>
  <si>
    <t>2020-01-01T14:56:00.000+06:30</t>
  </si>
  <si>
    <t>Associated Sample MO1141 and NOT TURBID</t>
  </si>
  <si>
    <t>f2713eed-9401-4687-813d-1e723d767c19</t>
  </si>
  <si>
    <t>2020-01-28T06:30:07</t>
  </si>
  <si>
    <t>02f8a78e-0d64-4bfb-a51b-43d089090c74</t>
  </si>
  <si>
    <t>2020-01-28T12:03:44.000+06:30</t>
  </si>
  <si>
    <t>2020-01-06T05:50:45</t>
  </si>
  <si>
    <t>2020-01-28T12:04:45.000+06:30</t>
  </si>
  <si>
    <t>2020-01-06T11:24:07.000+06:30</t>
  </si>
  <si>
    <t>2020-01-06T11:25:01.000+06:30</t>
  </si>
  <si>
    <t>77df9af1-481a-4e70-a7a6-c6494a35c61d</t>
  </si>
  <si>
    <t>2020-01-28T06:31:06</t>
  </si>
  <si>
    <t>2020-01-28T12:05:38.000+06:30</t>
  </si>
  <si>
    <t>9644fb86-c5fd-420d-a49f-2d1efc531c6e</t>
  </si>
  <si>
    <t>2020-01-06T05:51:40</t>
  </si>
  <si>
    <t>2020-01-06T11:26:21.000+06:30</t>
  </si>
  <si>
    <t>7bb47620-1729-481b-861f-a21c4d38ee60</t>
  </si>
  <si>
    <t>2020-01-28T06:31:58</t>
  </si>
  <si>
    <t>Associated Sample MO1142 and NOT TURBID</t>
  </si>
  <si>
    <t>2020-01-28T12:06:45.000+06:30</t>
  </si>
  <si>
    <t>c5662577-7f21-4553-a012-bd3e9885d1e9</t>
  </si>
  <si>
    <t>2020-01-06T05:52:59</t>
  </si>
  <si>
    <t>2020-01-06T11:29:19.000+06:30</t>
  </si>
  <si>
    <t>36cd6758-5de1-43bd-9249-072d4103ec01</t>
  </si>
  <si>
    <t>2020-01-28T06:33:05</t>
  </si>
  <si>
    <t>2019-12-31T13:45:00.000+06:30</t>
  </si>
  <si>
    <t>2020-01-28T12:07:32.000+06:30</t>
  </si>
  <si>
    <t>2020-01-01T14:06:00.000+06:30</t>
  </si>
  <si>
    <t>6c6c6696-3635-47b5-8445-b8c4cb8627bb</t>
  </si>
  <si>
    <t>2020-01-06T05:55:58</t>
  </si>
  <si>
    <t>0cac0ff6-c0d0-4adf-844c-2484b9227a9b</t>
  </si>
  <si>
    <t>2020-01-06T11:32:31.000+06:30</t>
  </si>
  <si>
    <t>2020-01-28T06:33:51</t>
  </si>
  <si>
    <t>2020-01-28T12:09:25.000+06:30</t>
  </si>
  <si>
    <t>2020-01-01T14:50:00.000+06:30</t>
  </si>
  <si>
    <t>2020-01-02T15:00:00.000+06:30</t>
  </si>
  <si>
    <t>2020-01-02T15:12:00.000+06:30</t>
  </si>
  <si>
    <t>d389b2bc-7d44-4426-bda6-3083976b49ed</t>
  </si>
  <si>
    <t>2020-01-06T05:59:10</t>
  </si>
  <si>
    <t>adb62dad-8275-4068-a396-f9d522677ed0</t>
  </si>
  <si>
    <t>2020-01-28T06:35:45</t>
  </si>
  <si>
    <t>2020-01-06T11:33:55.000+06:30</t>
  </si>
  <si>
    <t>2020-01-28T12:10:32.000+06:30</t>
  </si>
  <si>
    <t>2020-01-02T15:25:00.000+06:30</t>
  </si>
  <si>
    <t>2020-01-03T15:25:00.000+06:30</t>
  </si>
  <si>
    <t>2020-01-03T16:02:00.000+06:30</t>
  </si>
  <si>
    <t>047e779d-5829-4ebe-b630-58dd0ea053bb</t>
  </si>
  <si>
    <t>8b32c2b3-bdc6-4405-a61a-18220e99b043</t>
  </si>
  <si>
    <t>2020-01-28T06:36:51</t>
  </si>
  <si>
    <t>2020-01-06T06:00:33</t>
  </si>
  <si>
    <t>2020-01-06T11:35:05.000+06:30</t>
  </si>
  <si>
    <t>2020-01-28T12:11:43.000+06:30</t>
  </si>
  <si>
    <t>2020-01-02T14:50:00.000+06:30</t>
  </si>
  <si>
    <t>2020-01-03T15:00:00.000+06:30</t>
  </si>
  <si>
    <t>2020-01-03T15:06:00.000+06:30</t>
  </si>
  <si>
    <t>Associated Sample MO1143 and TURBID</t>
  </si>
  <si>
    <t>c3de8f92-3a0a-4797-938b-38355ec9bd85</t>
  </si>
  <si>
    <t>2020-01-06T06:01:44</t>
  </si>
  <si>
    <t>3094ed07-d66e-4e03-a7ac-c85abd42fbc0</t>
  </si>
  <si>
    <t>2020-01-28T06:38:04</t>
  </si>
  <si>
    <t>2020-01-06T11:36:14.000+06:30</t>
  </si>
  <si>
    <t>2020-01-28T12:13:01.000+06:30</t>
  </si>
  <si>
    <t>2020-01-02T15:26:00.000+06:30</t>
  </si>
  <si>
    <t>2020-01-03T16:09:00.000+06:30</t>
  </si>
  <si>
    <t>4d6f4624-0fca-4975-a82f-ecfdb9e29444</t>
  </si>
  <si>
    <t>2020-01-06T06:02:53</t>
  </si>
  <si>
    <t>2020-01-06T11:37:22.000+06:30</t>
  </si>
  <si>
    <t>13215cf7-a7cf-4118-8101-a00657ae416a</t>
  </si>
  <si>
    <t>2020-01-28T06:39:21</t>
  </si>
  <si>
    <t>2020-01-03T15:07:00.000+06:30</t>
  </si>
  <si>
    <t>Associated Sample MO1144 and NOT TURBID</t>
  </si>
  <si>
    <t>2020-01-28T12:14:37.000+06:30</t>
  </si>
  <si>
    <t>6ec08f7a-e706-4181-9e64-bc231fa74c02</t>
  </si>
  <si>
    <t>2020-01-06T06:04:01</t>
  </si>
  <si>
    <t>RP1002B</t>
  </si>
  <si>
    <t>2020-01-06T11:38:17.000+06:30</t>
  </si>
  <si>
    <t>2020-01-03T16:11:00.000+06:30</t>
  </si>
  <si>
    <t>ef21f0d5-5c95-408b-8116-0834cd95d828</t>
  </si>
  <si>
    <t>2020-01-28T06:40:57</t>
  </si>
  <si>
    <t>52e3574f-734c-42b2-bea4-7a11f93b5b22</t>
  </si>
  <si>
    <t>2020-01-06T06:04:55</t>
  </si>
  <si>
    <t>2020-01-28T12:15:51.000+06:30</t>
  </si>
  <si>
    <t>2020-01-06T11:39:41.000+06:30</t>
  </si>
  <si>
    <t>2020-01-03T15:08:00.000+06:30</t>
  </si>
  <si>
    <t>Associated Sample MO1145 and NOT TURBID</t>
  </si>
  <si>
    <t>d0b1ded8-a20e-4f0c-a38c-2dc1947ef52d</t>
  </si>
  <si>
    <t>2020-01-06T06:06:20</t>
  </si>
  <si>
    <t>fa72288b-a9c8-4ec5-9b98-ddf07362076b</t>
  </si>
  <si>
    <t>2020-01-28T06:42:13</t>
  </si>
  <si>
    <t>2020-01-28T12:15:52.000+06:30</t>
  </si>
  <si>
    <t>2020-01-06T11:40:32.000+06:30</t>
  </si>
  <si>
    <t>2020-01-28T12:17:00.000+06:30</t>
  </si>
  <si>
    <t>2020-01-02T16:00:00.000+06:30</t>
  </si>
  <si>
    <t>2020-01-02T16:30:00.000+06:30</t>
  </si>
  <si>
    <t>2020-01-03T16:30:00.000+06:30</t>
  </si>
  <si>
    <t>2020-01-03T16:55:00.000+06:30</t>
  </si>
  <si>
    <t>b380ff12-c922-4dd7-9731-66b910549158</t>
  </si>
  <si>
    <t>2020-01-06T06:07:10</t>
  </si>
  <si>
    <t>2020-01-06T11:41:37.000+06:30</t>
  </si>
  <si>
    <t>b0284dd6-b7aa-400e-a53f-6e3760d90f76</t>
  </si>
  <si>
    <t>2020-01-28T06:43:20</t>
  </si>
  <si>
    <t>2020-01-02T15:42:00.000+06:30</t>
  </si>
  <si>
    <t>2020-01-03T16:00:00.000+06:30</t>
  </si>
  <si>
    <t>2020-01-03T16:10:00.000+06:30</t>
  </si>
  <si>
    <t>2020-01-28T12:25:00.000+06:30</t>
  </si>
  <si>
    <t>Associated Sample PLc1164 and NOT TURBID</t>
  </si>
  <si>
    <t>1ff4cd21-c64b-4a1e-87b2-d79a71a84dfc</t>
  </si>
  <si>
    <t>2020-01-06T06:08:15</t>
  </si>
  <si>
    <t>2020-01-06T11:42:46.000+06:30</t>
  </si>
  <si>
    <t>S.typhi 24.01.2020, s.paratyphi 24.01.2020</t>
  </si>
  <si>
    <t>2020-01-03T17:00:00.000+06:30</t>
  </si>
  <si>
    <t>00591a50-908e-4c1e-94f6-3f003ebd33f9</t>
  </si>
  <si>
    <t>60b8c747-e363-4cb6-885e-c99b2ce640f1</t>
  </si>
  <si>
    <t>2020-01-06T06:09:25</t>
  </si>
  <si>
    <t>2020-01-28T06:51:22</t>
  </si>
  <si>
    <t>2020-01-06T11:43:59.000+06:30</t>
  </si>
  <si>
    <t>2020-01-28T12:26:15.000+06:30</t>
  </si>
  <si>
    <t>Associated Sample PLc1165 and NOT TURBID</t>
  </si>
  <si>
    <t>0f6384d3-7744-48c8-b2dc-5bb95047f4c6</t>
  </si>
  <si>
    <t>1b19a995-fab5-46b5-ac94-c7c6cf26ef3b</t>
  </si>
  <si>
    <t>2020-01-06T06:10:38</t>
  </si>
  <si>
    <t>2020-01-28T06:52:36</t>
  </si>
  <si>
    <t>2020-01-06T11:44:53.000+06:30</t>
  </si>
  <si>
    <t>2020-01-28T12:27:19.000+06:30</t>
  </si>
  <si>
    <t>2020-01-03T17:05:00.000+06:30</t>
  </si>
  <si>
    <t>adcfb352-6c6e-4291-9faa-51bcd2f2c63b</t>
  </si>
  <si>
    <t>2020-01-06T06:11:31</t>
  </si>
  <si>
    <t>2020-01-06T11:45:59.000+06:30</t>
  </si>
  <si>
    <t>34c9a22e-d574-4037-98ea-d9704b4d0cd5</t>
  </si>
  <si>
    <t>2020-01-28T06:53:39</t>
  </si>
  <si>
    <t>2020-01-03T16:12:00.000+06:30</t>
  </si>
  <si>
    <t>Associated Sample PLc1166 and NOT TURBID</t>
  </si>
  <si>
    <t>2020-01-28T12:28:15.000+06:30</t>
  </si>
  <si>
    <t>7b2107a6-ac4a-4ac6-bcca-03cb185a8022</t>
  </si>
  <si>
    <t>2020-01-06T06:12:37</t>
  </si>
  <si>
    <t>2020-01-06T11:46:47.000+06:30</t>
  </si>
  <si>
    <t>2020-01-03T17:08:00.000+06:30</t>
  </si>
  <si>
    <t>5423adfd-bffb-4025-888b-9bb5b3e3aa0e</t>
  </si>
  <si>
    <t>2020-01-28T06:54:35</t>
  </si>
  <si>
    <t>744d9759-5022-45f1-a5fc-ed990bacad35</t>
  </si>
  <si>
    <t>2020-01-28T12:29:12.000+06:30</t>
  </si>
  <si>
    <t>2020-01-06T06:13:25</t>
  </si>
  <si>
    <t>2020-01-06T11:48:07.000+06:30</t>
  </si>
  <si>
    <t>2020-01-02T15:45:00.000+06:30</t>
  </si>
  <si>
    <t>2020-01-03T16:14:00.000+06:30</t>
  </si>
  <si>
    <t>Associated Sample PLc1167 and NOT TURBID</t>
  </si>
  <si>
    <t>a0f0e487-ada6-4ea1-b706-4a5141e41e57</t>
  </si>
  <si>
    <t>39a65e70-294f-4fda-b852-3f162fcb83d5</t>
  </si>
  <si>
    <t>2020-01-28T06:55:31</t>
  </si>
  <si>
    <t>2020-01-06T06:14:46</t>
  </si>
  <si>
    <t>2020-01-06T11:49:04.000+06:30</t>
  </si>
  <si>
    <t>2020-01-28T12:30:01.000+06:30</t>
  </si>
  <si>
    <t>2020-01-03T17:12:00.000+06:30</t>
  </si>
  <si>
    <t>6b7d5f4b-1df5-4cda-942a-e58a39499cee</t>
  </si>
  <si>
    <t>2020-01-06T06:15:42</t>
  </si>
  <si>
    <t>2020-01-06T11:50:19.000+06:30</t>
  </si>
  <si>
    <t>eea7face-6940-4c4c-b2b0-0cd45f03c497</t>
  </si>
  <si>
    <t>2020-01-28T06:56:21</t>
  </si>
  <si>
    <t>2020-01-03T16:15:00.000+06:30</t>
  </si>
  <si>
    <t>2020-01-28T12:31:43.000+06:30</t>
  </si>
  <si>
    <t>Associated Sample PLc1168 and NOT TURBID</t>
  </si>
  <si>
    <t>2c641868-8a00-4695-8dbd-b705c43fa3e2</t>
  </si>
  <si>
    <t>2020-01-06T06:16:58</t>
  </si>
  <si>
    <t>2020-01-06T11:51:12.000+06:30</t>
  </si>
  <si>
    <t>2020-01-03T16:05:00.000+06:30</t>
  </si>
  <si>
    <t>86c01c81-3d47-423c-a836-34663f4e55d3</t>
  </si>
  <si>
    <t>2020-01-28T06:58:04</t>
  </si>
  <si>
    <t>18131896-fe89-4851-b1f7-63f5d1828a68</t>
  </si>
  <si>
    <t>2020-01-06T06:17:50</t>
  </si>
  <si>
    <t>2020-01-09T11:28:30.000+06:30</t>
  </si>
  <si>
    <t>2020-01-09T11:29:31.000+06:30</t>
  </si>
  <si>
    <t>2020-01-28T12:32:37.000+06:30</t>
  </si>
  <si>
    <t>2020-01-06T15:25:00.000+06:30</t>
  </si>
  <si>
    <t>2020-01-06T16:00:00.000+06:30</t>
  </si>
  <si>
    <t>2020-01-07T16:00:00.000+06:30</t>
  </si>
  <si>
    <t>2020-01-07T16:20:00.000+06:30</t>
  </si>
  <si>
    <t>999ac8a0-3442-4cde-b364-6c995dde11f6</t>
  </si>
  <si>
    <t>2020-01-09T05:56:07</t>
  </si>
  <si>
    <t>57549d71-113b-4274-96f0-7e3315366ddd</t>
  </si>
  <si>
    <t>2020-01-28T06:58:57</t>
  </si>
  <si>
    <t>2020-01-09T11:30:37.000+06:30</t>
  </si>
  <si>
    <t>2020-01-28T12:33:36.000+06:30</t>
  </si>
  <si>
    <t>2020-01-06T15:00:00.000+06:30</t>
  </si>
  <si>
    <t>2020-01-06T15:20:00.000+06:30</t>
  </si>
  <si>
    <t>2020-01-07T15:20:00.000+06:30</t>
  </si>
  <si>
    <t>2020-01-07T15:40:00.000+06:30</t>
  </si>
  <si>
    <t>Associated sample PLc1169 and NOT TURBID</t>
  </si>
  <si>
    <t>05c2e58f-c87f-494f-a570-50b8f06bf1bd</t>
  </si>
  <si>
    <t>2020-01-09T05:57:13</t>
  </si>
  <si>
    <t>2020-01-09T11:31:32.000+06:30</t>
  </si>
  <si>
    <t>3595e6e7-7e2c-4617-ae03-692a71e7607b</t>
  </si>
  <si>
    <t>2020-01-28T06:59:56</t>
  </si>
  <si>
    <t>2020-01-07T16:35:00.000+06:30</t>
  </si>
  <si>
    <t>2020-01-28T12:35:16.000+06:30</t>
  </si>
  <si>
    <t>34d70bab-c00b-425a-b3b0-dd4617d72ea6</t>
  </si>
  <si>
    <t>2020-01-09T05:58:08</t>
  </si>
  <si>
    <t>2020-01-09T11:32:40.000+06:30</t>
  </si>
  <si>
    <t>2020-01-07T15:41:00.000+06:30</t>
  </si>
  <si>
    <t>Associated sample PLc1170 and NOT TURBID</t>
  </si>
  <si>
    <t>99abfa41-dcfd-49ca-af78-f3f5e90263dd</t>
  </si>
  <si>
    <t>6688e2de-0394-415c-b7bf-3be94fbfd417</t>
  </si>
  <si>
    <t>2020-01-09T05:59:16</t>
  </si>
  <si>
    <t>2020-01-28T07:01:37</t>
  </si>
  <si>
    <t>2020-01-28T12:36:20.000+06:30</t>
  </si>
  <si>
    <t>2020-01-09T11:33:31.000+06:30</t>
  </si>
  <si>
    <t>2020-01-07T16:40:00.000+06:30</t>
  </si>
  <si>
    <t>68d9b80e-15f2-4c9a-b76a-a22f9c742245</t>
  </si>
  <si>
    <t>2020-01-09T06:00:07</t>
  </si>
  <si>
    <t>2020-01-09T11:34:40.000+06:30</t>
  </si>
  <si>
    <t>a1782caa-821f-40ef-8bcf-801ac23f534b</t>
  </si>
  <si>
    <t>2020-01-28T07:02:40</t>
  </si>
  <si>
    <t>2020-01-07T15:43:00.000+06:30</t>
  </si>
  <si>
    <t>Associated sample PLc1171 and NOT TURBID</t>
  </si>
  <si>
    <t>2020-01-28T12:37:17.000+06:30</t>
  </si>
  <si>
    <t>ae621df1-6e93-4504-8d4d-3cb4e0fba173</t>
  </si>
  <si>
    <t>2020-01-09T06:01:17</t>
  </si>
  <si>
    <t>2020-01-09T11:34:41.000+06:30</t>
  </si>
  <si>
    <t>2020-01-09T11:35:28.000+06:30</t>
  </si>
  <si>
    <t>2020-01-07T16:43:00.000+06:30</t>
  </si>
  <si>
    <t>74d4b719-78e1-4ec3-ae1c-03a819849eba</t>
  </si>
  <si>
    <t>2020-01-28T07:03:36</t>
  </si>
  <si>
    <t>2020-01-28T12:38:09.000+06:30</t>
  </si>
  <si>
    <t>b66d3123-0110-4a9a-b78c-deb9ae16e5fe</t>
  </si>
  <si>
    <t>2020-01-09T06:02:04</t>
  </si>
  <si>
    <t>2020-01-09T11:35:29.000+06:30</t>
  </si>
  <si>
    <t>2020-01-09T11:36:35.000+06:30</t>
  </si>
  <si>
    <t>2020-01-07T15:44:00.000+06:30</t>
  </si>
  <si>
    <t>Associated sample PLc1172 and NOT TURBID</t>
  </si>
  <si>
    <t>d084de70-87b2-475e-8c3c-91c7d0e5062c</t>
  </si>
  <si>
    <t>2020-01-09T06:03:12</t>
  </si>
  <si>
    <t>e93203e5-26f9-4cc7-b6f2-f4419cfda9ed</t>
  </si>
  <si>
    <t>2020-01-28T07:04:29</t>
  </si>
  <si>
    <t>2020-01-09T11:37:30.000+06:30</t>
  </si>
  <si>
    <t>2020-01-28T12:38:50.000+06:30</t>
  </si>
  <si>
    <t>2020-01-07T15:22:00.000+06:30</t>
  </si>
  <si>
    <t>f4728193-0584-40cd-b17e-6dbd139b9a87</t>
  </si>
  <si>
    <t>2020-01-09T06:04:05</t>
  </si>
  <si>
    <t>2020-01-09T11:38:24.000+06:30</t>
  </si>
  <si>
    <t>2020-01-07T15:45:00.000+06:30</t>
  </si>
  <si>
    <t>2020-01-08T16:20:00.000+06:30</t>
  </si>
  <si>
    <t>2020-01-08T16:42:00.000+06:30</t>
  </si>
  <si>
    <t>a06772c9-1dc5-435e-a0d1-c657e3be25f8</t>
  </si>
  <si>
    <t>2020-01-28T07:05:09</t>
  </si>
  <si>
    <t>4e6781ff-1eed-48c2-95cf-60bcbab58968</t>
  </si>
  <si>
    <t>2020-01-09T06:05:00</t>
  </si>
  <si>
    <t>2020-01-28T12:39:41.000+06:30</t>
  </si>
  <si>
    <t>2020-01-09T11:39:51.000+06:30</t>
  </si>
  <si>
    <t>2020-01-07T15:00:00.000+06:30</t>
  </si>
  <si>
    <t>2020-01-07T15:10:00.000+06:30</t>
  </si>
  <si>
    <t>2020-01-08T15:10:00.000+06:30</t>
  </si>
  <si>
    <t>2020-01-08T15:12:00.000+06:30</t>
  </si>
  <si>
    <t>Associated sample MO1146 and NOT TURBID</t>
  </si>
  <si>
    <t>ef0a7217-8396-4fa5-895e-e44530cd9956</t>
  </si>
  <si>
    <t>2020-01-09T06:06:28</t>
  </si>
  <si>
    <t>98156b35-f544-47f6-8b6b-464bd0da4123</t>
  </si>
  <si>
    <t>2020-01-28T07:06:02</t>
  </si>
  <si>
    <t>2020-01-09T11:40:40.000+06:30</t>
  </si>
  <si>
    <t>2020-01-28T12:41:12.000+06:30</t>
  </si>
  <si>
    <t>2020-01-08T16:55:00.000+06:30</t>
  </si>
  <si>
    <t>d183b3d2-ff09-4256-ad77-4ccaa9649885</t>
  </si>
  <si>
    <t>2020-01-09T06:07:16</t>
  </si>
  <si>
    <t>2020-01-09T11:41:51.000+06:30</t>
  </si>
  <si>
    <t>1f79d250-2686-48ac-9190-36acf23c363e</t>
  </si>
  <si>
    <t>2020-01-28T07:07:33</t>
  </si>
  <si>
    <t>2020-01-28T12:41:13.000+06:30</t>
  </si>
  <si>
    <t>2020-01-08T15:15:00.000+06:30</t>
  </si>
  <si>
    <t>2020-01-28T12:42:23.000+06:30</t>
  </si>
  <si>
    <t>Associated sample MO1147 and NOT TURBID</t>
  </si>
  <si>
    <t>04bd4d35-bf39-4fe9-9d8e-6fb43af34a65</t>
  </si>
  <si>
    <t>2020-01-09T06:08:27</t>
  </si>
  <si>
    <t>2020-01-09T11:42:43.000+06:30</t>
  </si>
  <si>
    <t>2020-01-08T17:10:00.000+06:30</t>
  </si>
  <si>
    <t>00d9c3fe-23db-4738-ad69-44d47d580d70</t>
  </si>
  <si>
    <t>2020-01-28T07:08:45</t>
  </si>
  <si>
    <t>2020-01-28T12:42:24.000+06:30</t>
  </si>
  <si>
    <t>a1a9a2fe-cd1a-4064-902f-845cc5626b47</t>
  </si>
  <si>
    <t>2020-01-09T06:09:18</t>
  </si>
  <si>
    <t>2020-01-28T12:43:21.000+06:30</t>
  </si>
  <si>
    <t>2020-01-09T11:43:46.000+06:30</t>
  </si>
  <si>
    <t>2020-01-08T15:17:00.000+06:30</t>
  </si>
  <si>
    <t>Associated sample MO1148 and NOT TURBID</t>
  </si>
  <si>
    <t>6fa104a7-bffe-41ca-93ee-b0aa05eb1ecf</t>
  </si>
  <si>
    <t>2020-01-09T06:10:21</t>
  </si>
  <si>
    <t>7a857f9e-2a75-47d1-86a2-b18d89bb0947</t>
  </si>
  <si>
    <t>2020-01-28T07:09:41</t>
  </si>
  <si>
    <t>2020-01-09T11:44:59.000+06:30</t>
  </si>
  <si>
    <t>2020-01-07T14:50:00.000+06:30</t>
  </si>
  <si>
    <t>2020-01-28T12:44:19.000+06:30</t>
  </si>
  <si>
    <t>2020-01-08T15:00:00.000+06:30</t>
  </si>
  <si>
    <t>2020-01-08T15:05:00.000+06:30</t>
  </si>
  <si>
    <t>e2d3c9dc-e3c1-47d5-89a3-7df225704454</t>
  </si>
  <si>
    <t>2020-01-09T06:11:35</t>
  </si>
  <si>
    <t>2020-01-20T12:41:48.000+06:30</t>
  </si>
  <si>
    <t>Associated sample SF2001</t>
  </si>
  <si>
    <t>2020-01-20T12:43:28.000+06:30</t>
  </si>
  <si>
    <t>d8207520-3c2d-4684-ab84-0b8d021cf9ca</t>
  </si>
  <si>
    <t>2020-01-28T07:10:38</t>
  </si>
  <si>
    <t>2020-01-08T11:00:00.000+06:30</t>
  </si>
  <si>
    <t>2020-01-08T11:10:00.000+06:30</t>
  </si>
  <si>
    <t>2020-01-09T11:10:00.000+06:30</t>
  </si>
  <si>
    <t>2020-01-28T12:45:03.000+06:30</t>
  </si>
  <si>
    <t>2020-01-09T11:12:00.000+06:30</t>
  </si>
  <si>
    <t>Associated Sample DWa1004uf and NOT TURBID</t>
  </si>
  <si>
    <t>421f9cf0-62ab-4f58-9647-d1940a48b54a</t>
  </si>
  <si>
    <t>2020-01-20T07:09:56</t>
  </si>
  <si>
    <t>2020-01-20T12:44:29.000+06:30</t>
  </si>
  <si>
    <t>2020-01-08T11:05:00.000+06:30</t>
  </si>
  <si>
    <t>2a500e83-95de-4d89-906c-06dd2d337c13</t>
  </si>
  <si>
    <t>2020-01-09T11:05:00.000+06:30</t>
  </si>
  <si>
    <t>2020-01-28T07:11:22</t>
  </si>
  <si>
    <t>2020-01-09T11:08:00.000+06:30</t>
  </si>
  <si>
    <t>2020-01-28T12:46:07.000+06:30</t>
  </si>
  <si>
    <t>4b533621-3cf1-40fd-bfa9-bbfafed15fb3</t>
  </si>
  <si>
    <t>2020-01-20T07:10:55</t>
  </si>
  <si>
    <t>2020-01-20T12:47:50.000+06:30</t>
  </si>
  <si>
    <t>2020-01-09T15:40:00.000+06:30</t>
  </si>
  <si>
    <t>2020-01-10T16:27:00.000+06:30</t>
  </si>
  <si>
    <t>Associated sample MO1159</t>
  </si>
  <si>
    <t>66637e94-33ad-4ad2-9e02-986e2c2a9469</t>
  </si>
  <si>
    <t>2020-01-20T07:11:49</t>
  </si>
  <si>
    <t>cd899993-6530-4f81-bd73-e8d98e2be079</t>
  </si>
  <si>
    <t>2020-01-20T12:45:23.000+06:30</t>
  </si>
  <si>
    <t>2020-01-28T07:12:27</t>
  </si>
  <si>
    <t>2020-02-04T11:55:30.000+06:30</t>
  </si>
  <si>
    <t>2020-01-20T12:48:02.000+06:30</t>
  </si>
  <si>
    <t>2020-02-04T11:57:13.000+06:30</t>
  </si>
  <si>
    <t>2020-01-09T15:20:00.000+06:30</t>
  </si>
  <si>
    <t>2020-01-09T15:35:00.000+06:30</t>
  </si>
  <si>
    <t>2020-01-10T15:35:00.000+06:30</t>
  </si>
  <si>
    <t>2020-01-10T15:38:00.000+06:30</t>
  </si>
  <si>
    <t>Associated Sample MO1149 and NOT TURBID</t>
  </si>
  <si>
    <t>S.typhi 03.02.2020, s.paratyphi 03.02.2020</t>
  </si>
  <si>
    <t>0fb064be-0795-45ad-9fe3-d06a0c6c7b69</t>
  </si>
  <si>
    <t>2020-01-20T07:14:29</t>
  </si>
  <si>
    <t>2020-01-20T12:48:50.000+06:30</t>
  </si>
  <si>
    <t>0d10506b-8d33-4548-8861-0944866850d2</t>
  </si>
  <si>
    <t>2020-02-04T06:23:27</t>
  </si>
  <si>
    <t>2020-01-10T16:40:00.000+06:30</t>
  </si>
  <si>
    <t>2020-02-04T11:58:27.000+06:30</t>
  </si>
  <si>
    <t>a92f8fd6-aeee-4d43-a1e8-dc8c92965a27</t>
  </si>
  <si>
    <t>2020-01-20T07:15:16</t>
  </si>
  <si>
    <t>2020-01-20T12:49:54.000+06:30</t>
  </si>
  <si>
    <t>2020-01-10T15:40:00.000+06:30</t>
  </si>
  <si>
    <t>Associated Sample MO1150 and NOT TURBID</t>
  </si>
  <si>
    <t>9407b152-4b48-4de9-a486-98e379c38260</t>
  </si>
  <si>
    <t>2020-02-04T06:24:41</t>
  </si>
  <si>
    <t>4ac260d5-daa4-412e-8066-43bbcc1f9943</t>
  </si>
  <si>
    <t>2020-01-20T07:16:21</t>
  </si>
  <si>
    <t>2020-02-04T11:59:31.000+06:30</t>
  </si>
  <si>
    <t>2020-01-20T12:50:39.000+06:30</t>
  </si>
  <si>
    <t>2020-01-10T16:45:00.000+06:30</t>
  </si>
  <si>
    <t>ede90bed-4ebe-4e5a-aec7-00d45d94ea5e</t>
  </si>
  <si>
    <t>2020-01-20T07:17:06</t>
  </si>
  <si>
    <t>2020-01-20T12:51:45.000+06:30</t>
  </si>
  <si>
    <t>ba0a9185-37cf-4176-ab87-6a53b5c29fd1</t>
  </si>
  <si>
    <t>2020-02-04T06:25:44</t>
  </si>
  <si>
    <t>2020-01-10T15:42:00.000+06:30</t>
  </si>
  <si>
    <t>Associated Sample PLc1173 and NOT TURBID</t>
  </si>
  <si>
    <t>2020-02-04T12:02:26.000+06:30</t>
  </si>
  <si>
    <t>e8bee663-128e-4230-9702-7b2ba459fd4a</t>
  </si>
  <si>
    <t>2020-01-20T07:18:09</t>
  </si>
  <si>
    <t>2020-01-20T12:52:33.000+06:30</t>
  </si>
  <si>
    <t>2020-01-09T15:25:00.000+06:30</t>
  </si>
  <si>
    <t>2020-01-10T15:25:00.000+06:30</t>
  </si>
  <si>
    <t>2020-01-10T15:28:00.000+06:30</t>
  </si>
  <si>
    <t>b6a8577a-8be5-4958-9efa-9a9c26df4db3</t>
  </si>
  <si>
    <t>2020-02-04T06:28:42</t>
  </si>
  <si>
    <t>1f82dd67-4373-44ad-8912-ac767fe78872</t>
  </si>
  <si>
    <t>2020-01-20T07:18:59</t>
  </si>
  <si>
    <t>2020-02-04T12:02:27.000+06:30</t>
  </si>
  <si>
    <t>2020-01-20T12:53:28.000+06:30</t>
  </si>
  <si>
    <t>2020-02-04T12:04:11.000+06:30</t>
  </si>
  <si>
    <t>2020-01-13T15:18:00.000+06:30</t>
  </si>
  <si>
    <t>2020-01-14T15:18:00.000+06:30</t>
  </si>
  <si>
    <t>2020-01-14T15:36:00.000+06:30</t>
  </si>
  <si>
    <t>15119d12-b204-4b0e-abd4-eb344a60b990</t>
  </si>
  <si>
    <t>2020-01-20T07:19:55</t>
  </si>
  <si>
    <t>6bc2522d-f327-471f-9175-7527cf2c4d8d</t>
  </si>
  <si>
    <t>2020-01-20T12:54:40.000+06:30</t>
  </si>
  <si>
    <t>2020-02-04T06:30:24</t>
  </si>
  <si>
    <t>2020-01-13T14:45:00.000+06:30</t>
  </si>
  <si>
    <t>2020-02-04T12:05:23.000+06:30</t>
  </si>
  <si>
    <t>2020-01-14T15:05:00.000+06:30</t>
  </si>
  <si>
    <t>Associated Sample PLc1174 and NOT TURBID</t>
  </si>
  <si>
    <t>f7388afe-99ad-4c8c-bcfd-4b355b0a2f04</t>
  </si>
  <si>
    <t>2020-01-20T07:21:07</t>
  </si>
  <si>
    <t>2020-01-20T12:55:29.000+06:30</t>
  </si>
  <si>
    <t>2020-01-14T15:45:00.000+06:30</t>
  </si>
  <si>
    <t>405a39d0-dad1-4898-aaac-40a0eda92d1f</t>
  </si>
  <si>
    <t>2020-02-04T06:31:36</t>
  </si>
  <si>
    <t>13e2272f-7afc-455b-aacd-2a1bbd14d0a4</t>
  </si>
  <si>
    <t>2020-01-20T07:21:56</t>
  </si>
  <si>
    <t>2020-02-04T12:06:51.000+06:30</t>
  </si>
  <si>
    <t>2020-01-20T12:56:32.000+06:30</t>
  </si>
  <si>
    <t>2020-01-14T15:12:00.000+06:30</t>
  </si>
  <si>
    <t>Associated Sample PLc1175 and NOT TURBID</t>
  </si>
  <si>
    <t>4a6f2e3c-9018-43e1-a02f-c7f9334425d9</t>
  </si>
  <si>
    <t>2020-01-20T07:22:58</t>
  </si>
  <si>
    <t>50dd6e9b-c896-4a8b-82c9-0aa81f792e34</t>
  </si>
  <si>
    <t>2020-02-04T06:33:05</t>
  </si>
  <si>
    <t>2020-01-20T12:57:17.000+06:30</t>
  </si>
  <si>
    <t>2020-02-04T12:07:45.000+06:30</t>
  </si>
  <si>
    <t>2020-01-14T15:50:00.000+06:30</t>
  </si>
  <si>
    <t>S.typhi 03.02.2020</t>
  </si>
  <si>
    <t>2caa97ef-c51a-4b8f-b2f0-d2ccdc02ab06</t>
  </si>
  <si>
    <t>2020-01-20T07:23:44</t>
  </si>
  <si>
    <t>2020-01-20T12:58:23.000+06:30</t>
  </si>
  <si>
    <t>f6ad9700-9c39-40bc-849e-8b4eff38dd0e</t>
  </si>
  <si>
    <t>2020-02-04T06:33:58</t>
  </si>
  <si>
    <t>2020-01-14T15:15:00.000+06:30</t>
  </si>
  <si>
    <t>Associated Sample PLc1176 and NOT TURBID</t>
  </si>
  <si>
    <t>2020-02-04T12:09:09.000+06:30</t>
  </si>
  <si>
    <t>e3385ca8-7003-47f6-9882-d0e2f36c4ce7</t>
  </si>
  <si>
    <t>2020-01-20T07:24:50</t>
  </si>
  <si>
    <t>2020-01-20T12:58:24.000+06:30</t>
  </si>
  <si>
    <t>2020-01-20T12:59:09.000+06:30</t>
  </si>
  <si>
    <t>2020-01-14T15:52:00.000+06:30</t>
  </si>
  <si>
    <t>9857b6d1-6333-4eb6-9445-076e12af536c</t>
  </si>
  <si>
    <t>2020-02-04T06:35:22</t>
  </si>
  <si>
    <t>29ed4e91-9acd-4f72-96da-979fcdd63765</t>
  </si>
  <si>
    <t>2020-01-20T07:25:34</t>
  </si>
  <si>
    <t>2020-02-04T12:11:33.000+06:30</t>
  </si>
  <si>
    <t>2020-01-20T13:00:08.000+06:30</t>
  </si>
  <si>
    <t>Associated Sample PLc1177 and NOT TURBID</t>
  </si>
  <si>
    <t>4937f99d-d647-4528-ace5-fc9feabb7429</t>
  </si>
  <si>
    <t>2020-01-20T07:26:35</t>
  </si>
  <si>
    <t>2020-01-20T13:00:55.000+06:30</t>
  </si>
  <si>
    <t>e92dca49-af2c-4ad5-baf3-9a499b06b441</t>
  </si>
  <si>
    <t>2020-02-04T06:37:49</t>
  </si>
  <si>
    <t>2020-01-13T14:35:00.000+06:30</t>
  </si>
  <si>
    <t>2020-01-13T14:40:00.000+06:30</t>
  </si>
  <si>
    <t>2020-01-14T14:40:00.000+06:30</t>
  </si>
  <si>
    <t>2020-02-27T11:56:09.000+06:30</t>
  </si>
  <si>
    <t>2020-01-14T14:44:00.000+06:30</t>
  </si>
  <si>
    <t>2020-02-27T11:57:33.000+06:30</t>
  </si>
  <si>
    <t>8f0bad7d-2b92-4930-8fc0-89dda33e74e3</t>
  </si>
  <si>
    <t>2020-01-20T07:27:21</t>
  </si>
  <si>
    <t>2020-01-20T13:02:04.000+06:30</t>
  </si>
  <si>
    <t>S.typhi 07.02.2020, s.paratyphi 07.02.2020</t>
  </si>
  <si>
    <t>2020-01-14T15:35:00.000+06:30</t>
  </si>
  <si>
    <t>2020-01-15T15:35:00.000+06:30</t>
  </si>
  <si>
    <t>2020-01-15T15:48:00.000+06:30</t>
  </si>
  <si>
    <t>97fb7920-3b2c-40d1-af00-458a03c86e01</t>
  </si>
  <si>
    <t>1c129546-b078-45e9-bca0-411f8c4a000c</t>
  </si>
  <si>
    <t>2020-01-20T07:28:30</t>
  </si>
  <si>
    <t>2020-02-27T06:23:27</t>
  </si>
  <si>
    <t>2020-02-27T11:57:34.000+06:30</t>
  </si>
  <si>
    <t>2020-01-20T13:03:11.000+06:30</t>
  </si>
  <si>
    <t>2020-02-27T11:58:30.000+06:30</t>
  </si>
  <si>
    <t>2020-01-14T14:20:00.000+06:30</t>
  </si>
  <si>
    <t>2020-01-14T14:48:00.000+06:30</t>
  </si>
  <si>
    <t>2020-01-15T14:48:00.000+06:30</t>
  </si>
  <si>
    <t>2020-01-15T14:52:00.000+06:30</t>
  </si>
  <si>
    <t>Associated Sample MO1152 and NOT TURBID</t>
  </si>
  <si>
    <t>6f31c85a-adc5-4b82-922b-bec5e3622bf8</t>
  </si>
  <si>
    <t>2020-01-20T07:29:38</t>
  </si>
  <si>
    <t>Associated sample PLc1184</t>
  </si>
  <si>
    <t>2020-01-20T13:05:32.000+06:30</t>
  </si>
  <si>
    <t>61cf4165-3e25-49bd-8eff-4f04c985cd6f</t>
  </si>
  <si>
    <t>2020-02-27T06:24:23</t>
  </si>
  <si>
    <t>2020-02-27T11:58:31.000+06:30</t>
  </si>
  <si>
    <t>2020-01-15T16:05:00.000+06:30</t>
  </si>
  <si>
    <t>2020-02-27T11:59:54.000+06:30</t>
  </si>
  <si>
    <t>ed420874-832f-4bac-9307-789d23203439</t>
  </si>
  <si>
    <t>2020-01-20T07:31:59</t>
  </si>
  <si>
    <t>2020-01-20T13:07:11.000+06:30</t>
  </si>
  <si>
    <t>32ec1dde-d4b7-428c-bc64-bb373418be23</t>
  </si>
  <si>
    <t>2020-01-15T14:55:00.000+06:30</t>
  </si>
  <si>
    <t>2020-02-27T06:25:47</t>
  </si>
  <si>
    <t>2020-02-27T11:59:55.000+06:30</t>
  </si>
  <si>
    <t>Associated Sample MO1153 and NOT TURBID</t>
  </si>
  <si>
    <t>a710d22d-2815-4d50-ba61-934a26004f3f</t>
  </si>
  <si>
    <t>2020-02-27T12:00:49.000+06:30</t>
  </si>
  <si>
    <t>2020-01-20T07:33:38</t>
  </si>
  <si>
    <t>2020-01-20T13:08:04.000+06:30</t>
  </si>
  <si>
    <t>2020-01-15T16:08:00.000+06:30</t>
  </si>
  <si>
    <t>df84956c-494b-4762-a082-eb1e435dea3f</t>
  </si>
  <si>
    <t>f51b3d0a-7eb5-4e8e-bdca-788f7d494736</t>
  </si>
  <si>
    <t>2020-01-20T07:34:31</t>
  </si>
  <si>
    <t>2020-02-27T06:26:43</t>
  </si>
  <si>
    <t>2020-01-20T13:08:05.000+06:30</t>
  </si>
  <si>
    <t>2020-02-27T12:00:50.000+06:30</t>
  </si>
  <si>
    <t>2020-01-20T13:09:14.000+06:30</t>
  </si>
  <si>
    <t>2020-02-27T12:01:44.000+06:30</t>
  </si>
  <si>
    <t>2020-01-15T14:58:00.000+06:30</t>
  </si>
  <si>
    <t>Associated Sample MO1154 and NOT TURBID</t>
  </si>
  <si>
    <t>05704f52-75d8-4d90-9cca-0c891cc4fc9f</t>
  </si>
  <si>
    <t>2020-02-27T06:27:38</t>
  </si>
  <si>
    <t>2020-02-27T12:01:45.000+06:30</t>
  </si>
  <si>
    <t>a023b76c-361b-433e-b22f-8a5f609c8089</t>
  </si>
  <si>
    <t>2020-01-20T07:35:40</t>
  </si>
  <si>
    <t>2020-02-27T12:02:32.000+06:30</t>
  </si>
  <si>
    <t>2020-01-20T13:10:26.000+06:30</t>
  </si>
  <si>
    <t>2020-01-14T14:17:00.000+06:30</t>
  </si>
  <si>
    <t>2020-01-15T14:20:00.000+06:30</t>
  </si>
  <si>
    <t>2020-01-15T14:25:00.000+06:30</t>
  </si>
  <si>
    <t>71c60520-d034-4907-8848-65f3453a2b02</t>
  </si>
  <si>
    <t>2020-01-20T07:36:54</t>
  </si>
  <si>
    <t>2020-01-20T13:10:27.000+06:30</t>
  </si>
  <si>
    <t>11399aee-a0f0-406f-beff-f939eaed272e</t>
  </si>
  <si>
    <t>2020-02-27T06:28:24</t>
  </si>
  <si>
    <t>2020-01-20T13:12:12.000+06:30</t>
  </si>
  <si>
    <t>2020-02-27T12:03:23.000+06:30</t>
  </si>
  <si>
    <t>2020-01-15T14:45:00.000+06:30</t>
  </si>
  <si>
    <t>2020-01-16T15:07:00.000+06:30</t>
  </si>
  <si>
    <t>Associated Sample COa2001, COb2001, COb2002, COb2003 and NOT TURBID</t>
  </si>
  <si>
    <t>598b5378-9f9f-4f61-b674-732164a2bd46</t>
  </si>
  <si>
    <t>2020-01-20T07:38:39</t>
  </si>
  <si>
    <t>2020-01-20T13:13:32.000+06:30</t>
  </si>
  <si>
    <t>dccefb6c-f7c9-44a5-8d5c-63d1e56dcc19</t>
  </si>
  <si>
    <t>2020-02-27T06:29:16</t>
  </si>
  <si>
    <t>2020-01-16T15:09:00.000+06:30</t>
  </si>
  <si>
    <t>Associated Sample COa2002, COb2004, COb2005, COb2006 and NOT TURBID</t>
  </si>
  <si>
    <t>2020-02-27T12:04:17.000+06:30</t>
  </si>
  <si>
    <t>85a55f84-b60e-46f5-928a-a3899a1abe96</t>
  </si>
  <si>
    <t>2020-01-20T07:39:59</t>
  </si>
  <si>
    <t>2020-01-20T13:14:38.000+06:30</t>
  </si>
  <si>
    <t>2020-01-16T15:11:00.000+06:30</t>
  </si>
  <si>
    <t>Associated Sample RP2001 and NOT TURBID</t>
  </si>
  <si>
    <t>b663ef4f-26d3-47d7-8efe-4776be8c9997</t>
  </si>
  <si>
    <t>2020-02-27T06:30:09</t>
  </si>
  <si>
    <t>9818d06e-8336-4736-8eac-a1567f07e3a0</t>
  </si>
  <si>
    <t>2020-02-27T12:05:13.000+06:30</t>
  </si>
  <si>
    <t>2020-01-20T07:41:05</t>
  </si>
  <si>
    <t>2020-01-20T13:15:39.000+06:30</t>
  </si>
  <si>
    <t>2020-01-16T15:13:00.000+06:30</t>
  </si>
  <si>
    <t>Associated Sample SL2001 and NOT TURBID</t>
  </si>
  <si>
    <t>100b533c-607a-4b8f-ab73-befac5ccbf72</t>
  </si>
  <si>
    <t>2020-01-20T07:42:05</t>
  </si>
  <si>
    <t>26e74639-9870-4705-841a-6950d21d96f8</t>
  </si>
  <si>
    <t>2020-02-27T06:31:05</t>
  </si>
  <si>
    <t>2020-01-20T13:16:31.000+06:30</t>
  </si>
  <si>
    <t>2020-02-27T12:06:03.000+06:30</t>
  </si>
  <si>
    <t>2020-01-15T14:30:00.000+06:30</t>
  </si>
  <si>
    <t>2020-01-16T14:45:00.000+06:30</t>
  </si>
  <si>
    <t>2020-01-16T14:48:00.000+06:30</t>
  </si>
  <si>
    <t>26bc10ab-13d6-41f9-82f1-a92dbd8285a6</t>
  </si>
  <si>
    <t>2020-01-20T07:42:57</t>
  </si>
  <si>
    <t>2020-01-20T13:17:20.000+06:30</t>
  </si>
  <si>
    <t>b518bd5c-5b64-4805-853a-9f582ef80399</t>
  </si>
  <si>
    <t>2020-02-27T06:31:56</t>
  </si>
  <si>
    <t>2020-01-16T15:45:00.000+06:30</t>
  </si>
  <si>
    <t>2020-01-17T15:45:00.000+06:30</t>
  </si>
  <si>
    <t>2020-02-27T12:06:51.000+06:30</t>
  </si>
  <si>
    <t>b62cd25e-4949-4db5-adde-32f6d33b826b</t>
  </si>
  <si>
    <t>2020-01-20T07:43:47</t>
  </si>
  <si>
    <t>2020-01-20T13:18:50.000+06:30</t>
  </si>
  <si>
    <t>2020-01-16T15:15:00.000+06:30</t>
  </si>
  <si>
    <t>b6f145bd-a107-4f74-abe6-7aadff6fe4f0</t>
  </si>
  <si>
    <t>2020-02-27T06:32:44</t>
  </si>
  <si>
    <t>2020-02-27T12:06:52.000+06:30</t>
  </si>
  <si>
    <t>Associated Sample PLc1178 and NOT TURBID</t>
  </si>
  <si>
    <t>97a3d838-3e7f-4c59-b31d-df1c1df5e453</t>
  </si>
  <si>
    <t>2020-02-27T12:07:51.000+06:30</t>
  </si>
  <si>
    <t>2020-01-20T07:45:17</t>
  </si>
  <si>
    <t>2020-01-20T13:19:39.000+06:30</t>
  </si>
  <si>
    <t>cdf0ae16-9ce2-40ea-94c9-2786cac9767d</t>
  </si>
  <si>
    <t>2020-01-20T07:46:05</t>
  </si>
  <si>
    <t>da7091cc-406c-43db-9b6c-1309c5765d5e</t>
  </si>
  <si>
    <t>2020-02-27T06:33:45</t>
  </si>
  <si>
    <t>2020-01-20T13:20:55.000+06:30</t>
  </si>
  <si>
    <t>2020-02-27T12:09:05.000+06:30</t>
  </si>
  <si>
    <t>2020-02-27T12:20:10.000+06:30</t>
  </si>
  <si>
    <t>Associated Sample PLc1179 and NOT TURBID</t>
  </si>
  <si>
    <t>838aecd4-e371-452a-8542-f822a3c935ff</t>
  </si>
  <si>
    <t>2020-01-20T07:47:24</t>
  </si>
  <si>
    <t>S.typhi 18.02.2020, s.paratyphi 18.02.2020</t>
  </si>
  <si>
    <t>2020-01-20T13:20:56.000+06:30</t>
  </si>
  <si>
    <t>2020-01-20T13:25:02.000+06:30</t>
  </si>
  <si>
    <t>1ff7956a-16c4-4a04-b751-4454b348680a</t>
  </si>
  <si>
    <t>2020-02-27T06:46:04</t>
  </si>
  <si>
    <t>Associated Sample DWa1005uf and NOT TURBID</t>
  </si>
  <si>
    <t>85a9279e-0ddf-45fe-87bf-ca4f18dcc454</t>
  </si>
  <si>
    <t>2020-02-27T12:21:19.000+06:30</t>
  </si>
  <si>
    <t>2020-01-20T07:51:30</t>
  </si>
  <si>
    <t>2020-01-20T13:25:55.000+06:30</t>
  </si>
  <si>
    <t>ffbfc9bc-79eb-436f-a4ba-070395069300</t>
  </si>
  <si>
    <t>2020-01-20T07:52:23</t>
  </si>
  <si>
    <t>1938bfa7-54b1-443c-820a-e6544a777698</t>
  </si>
  <si>
    <t>2020-02-27T06:47:11</t>
  </si>
  <si>
    <t>2020-01-20T13:27:23.000+06:30</t>
  </si>
  <si>
    <t>2020-02-27T12:22:23.000+06:30</t>
  </si>
  <si>
    <t>Associated Sample MO1155 and NOT TURBID</t>
  </si>
  <si>
    <t>812415b4-d91b-41e4-9893-cbb44d356b65</t>
  </si>
  <si>
    <t>2020-01-20T07:53:50</t>
  </si>
  <si>
    <t>5fc265de-385f-4d6d-89d2-f8aa959912ef</t>
  </si>
  <si>
    <t>2020-01-20T13:28:14.000+06:30</t>
  </si>
  <si>
    <t>2020-02-27T06:48:16</t>
  </si>
  <si>
    <t>2020-02-27T12:22:24.000+06:30</t>
  </si>
  <si>
    <t>2020-02-27T12:23:21.000+06:30</t>
  </si>
  <si>
    <t>34b1d6b2-34b5-4787-82cf-e43e046016a3</t>
  </si>
  <si>
    <t>2020-01-20T07:54:41</t>
  </si>
  <si>
    <t>2020-01-20T13:29:26.000+06:30</t>
  </si>
  <si>
    <t>897237c7-d860-4ab6-8c66-baec8e385271</t>
  </si>
  <si>
    <t>2020-02-27T06:49:14</t>
  </si>
  <si>
    <t>Associated Sample MO1156 and TURBID</t>
  </si>
  <si>
    <t>2020-02-27T12:24:27.000+06:30</t>
  </si>
  <si>
    <t>66f39ed2-c5c6-4353-aba9-5121e4934431</t>
  </si>
  <si>
    <t>2020-01-20T07:55:52</t>
  </si>
  <si>
    <t>2020-01-20T13:30:13.000+06:30</t>
  </si>
  <si>
    <t>S.typhi 17.02.2020, s.paratyphi 17.02.2020</t>
  </si>
  <si>
    <t>ceecb16d-46b4-4daa-a3e4-fb00305d9569</t>
  </si>
  <si>
    <t>94ab18d0-c091-4778-b310-f6ddf56deea3</t>
  </si>
  <si>
    <t>2020-02-27T06:50:18</t>
  </si>
  <si>
    <t>2020-01-20T07:56:39</t>
  </si>
  <si>
    <t>2020-01-24T12:13:56.000+06:30</t>
  </si>
  <si>
    <t>2020-01-24T12:15:13.000+06:30</t>
  </si>
  <si>
    <t>2020-02-27T12:25:18.000+06:30</t>
  </si>
  <si>
    <t>2020-01-20T14:45:00.000+06:30</t>
  </si>
  <si>
    <t>0809540b-c104-443b-97e9-4f59ebefddfa</t>
  </si>
  <si>
    <t>2020-01-24T06:41:38</t>
  </si>
  <si>
    <t>2020-01-24T12:16:41.000+06:30</t>
  </si>
  <si>
    <t>3993b341-292c-4af1-8085-27ba8e0ef304</t>
  </si>
  <si>
    <t>2020-01-20T14:20:00.000+06:30</t>
  </si>
  <si>
    <t>2020-02-27T06:51:10</t>
  </si>
  <si>
    <t>2020-01-20T14:42:00.000+06:30</t>
  </si>
  <si>
    <t>2020-01-21T14:42:00.000+06:30</t>
  </si>
  <si>
    <t>2020-01-21T14:50:00.000+06:30</t>
  </si>
  <si>
    <t>Associated Sample PLc1180 and NOT TURBID</t>
  </si>
  <si>
    <t>2020-02-27T12:26:01.000+06:30</t>
  </si>
  <si>
    <t>6c27a38f-c52c-4711-803b-fec38a11bdf4</t>
  </si>
  <si>
    <t>2020-01-24T06:43:05</t>
  </si>
  <si>
    <t>2020-01-24T12:16:42.000+06:30</t>
  </si>
  <si>
    <t>2020-01-24T12:17:28.000+06:30</t>
  </si>
  <si>
    <t>2020-01-21T15:22:00.000+06:30</t>
  </si>
  <si>
    <t>0eaaa144-fd77-4818-8ca3-f7a2c8bff587</t>
  </si>
  <si>
    <t>57cd7017-87be-42bc-a481-95052b5ba7a8</t>
  </si>
  <si>
    <t>2020-02-27T06:51:53</t>
  </si>
  <si>
    <t>2020-01-24T06:43:51</t>
  </si>
  <si>
    <t>2020-02-27T12:26:02.000+06:30</t>
  </si>
  <si>
    <t>2020-01-24T12:18:35.000+06:30</t>
  </si>
  <si>
    <t>2020-02-27T12:26:47.000+06:30</t>
  </si>
  <si>
    <t>2020-01-21T14:52:00.000+06:30</t>
  </si>
  <si>
    <t>Associated Sample PLc1181 and NOT TURBID</t>
  </si>
  <si>
    <t>2054e6e7-4ded-48fb-a64f-c4b732dfce9e</t>
  </si>
  <si>
    <t>2020-01-24T06:44:59</t>
  </si>
  <si>
    <t>2020-01-24T12:18:36.000+06:30</t>
  </si>
  <si>
    <t>29e078a0-2818-4bc2-a73c-cc266490b4d7</t>
  </si>
  <si>
    <t>2020-02-27T06:52:39</t>
  </si>
  <si>
    <t>2020-01-24T12:19:18.000+06:30</t>
  </si>
  <si>
    <t>2020-02-27T12:27:29.000+06:30</t>
  </si>
  <si>
    <t>2020-01-21T15:25:00.000+06:30</t>
  </si>
  <si>
    <t>b28be2df-5c0d-4e6d-99bf-b7e569188a20</t>
  </si>
  <si>
    <t>2020-01-24T06:45:39</t>
  </si>
  <si>
    <t>2020-01-24T12:20:28.000+06:30</t>
  </si>
  <si>
    <t>2020-01-21T14:55:00.000+06:30</t>
  </si>
  <si>
    <t>acab24dd-4300-4835-842a-d450c545084d</t>
  </si>
  <si>
    <t>2020-02-27T06:53:21</t>
  </si>
  <si>
    <t>Associated Sample PLc1182 and NOT TURBID</t>
  </si>
  <si>
    <t>e0e6d21b-0472-4c03-9539-61b039b275c6</t>
  </si>
  <si>
    <t>2020-02-27T12:28:32.000+06:30</t>
  </si>
  <si>
    <t>2020-01-24T06:46:52</t>
  </si>
  <si>
    <t>2020-01-24T12:21:20.000+06:30</t>
  </si>
  <si>
    <t>2020-01-21T14:20:00.000+06:30</t>
  </si>
  <si>
    <t>be87e614-9ed2-496d-8709-796df9a6b12f</t>
  </si>
  <si>
    <t>775595b3-328c-4566-ad2b-a4a7d134dc2e</t>
  </si>
  <si>
    <t>2020-02-27T06:54:25</t>
  </si>
  <si>
    <t>2020-01-24T06:47:43</t>
  </si>
  <si>
    <t>2020-02-27T12:28:33.000+06:30</t>
  </si>
  <si>
    <t>2020-01-24T12:22:12.000+06:30</t>
  </si>
  <si>
    <t>2020-02-27T12:29:16.000+06:30</t>
  </si>
  <si>
    <t>2020-01-21T15:16:00.000+06:30</t>
  </si>
  <si>
    <t>2020-01-22T15:16:00.000+06:30</t>
  </si>
  <si>
    <t>2020-01-22T15:32:00.000+06:30</t>
  </si>
  <si>
    <t>b23c6959-3300-4247-8794-ba683413332b</t>
  </si>
  <si>
    <t>2020-01-24T06:48:35</t>
  </si>
  <si>
    <t>2020-01-24T12:23:16.000+06:30</t>
  </si>
  <si>
    <t>141d983f-147c-4069-8668-38be634408fe</t>
  </si>
  <si>
    <t>2020-02-27T06:55:08</t>
  </si>
  <si>
    <t>2020-01-21T14:40:00.000+06:30</t>
  </si>
  <si>
    <t>2020-02-27T12:30:02.000+06:30</t>
  </si>
  <si>
    <t>2020-01-22T15:05:00.000+06:30</t>
  </si>
  <si>
    <t>Associated Sample MO1157 and NOT TURBID</t>
  </si>
  <si>
    <t>21eb86bf-9b6c-4a27-abbc-677ae193e4d3</t>
  </si>
  <si>
    <t>2020-01-24T06:49:39</t>
  </si>
  <si>
    <t>2020-01-24T12:24:01.000+06:30</t>
  </si>
  <si>
    <t>2020-01-22T15:38:00.000+06:30</t>
  </si>
  <si>
    <t>5cd8911a-0f51-4bf3-a8db-c73f185b9217</t>
  </si>
  <si>
    <t>2020-02-27T06:55:53</t>
  </si>
  <si>
    <t>e1d9749e-9559-4846-ae0c-96b0069fa6b6</t>
  </si>
  <si>
    <t>2020-01-24T06:50:23</t>
  </si>
  <si>
    <t>2020-02-27T12:30:48.000+06:30</t>
  </si>
  <si>
    <t>2020-01-24T12:25:58.000+06:30</t>
  </si>
  <si>
    <t>2020-01-22T15:08:00.000+06:30</t>
  </si>
  <si>
    <t>Associated Sample MO1158 and NOT TURBID</t>
  </si>
  <si>
    <t>51d2b03c-8a49-453c-a231-7c4288331366</t>
  </si>
  <si>
    <t>2020-01-24T06:52:21</t>
  </si>
  <si>
    <t>2020-01-24T12:26:47.000+06:30</t>
  </si>
  <si>
    <t>2b6daa8d-93a9-4342-8f7b-346d0ab674af</t>
  </si>
  <si>
    <t>2020-02-27T06:56:40</t>
  </si>
  <si>
    <t>2020-02-27T12:30:49.000+06:30</t>
  </si>
  <si>
    <t>2020-01-22T15:42:00.000+06:30</t>
  </si>
  <si>
    <t>2020-02-27T12:31:41.000+06:30</t>
  </si>
  <si>
    <t>309508f8-cfa7-49e0-9a67-b0ca237766ab</t>
  </si>
  <si>
    <t>2020-01-24T06:53:09</t>
  </si>
  <si>
    <t>2020-01-24T12:27:48.000+06:30</t>
  </si>
  <si>
    <t>2020-01-22T15:11:00.000+06:30</t>
  </si>
  <si>
    <t>7b97fbfe-8f52-4baf-8940-e128ceb46b4d</t>
  </si>
  <si>
    <t>2020-02-27T06:57:33</t>
  </si>
  <si>
    <t>Associated Sample MO1159 and NOT TURBID</t>
  </si>
  <si>
    <t>470fc384-a057-4bc8-8944-732e394396e4</t>
  </si>
  <si>
    <t>2020-01-24T06:54:10</t>
  </si>
  <si>
    <t>2020-02-27T12:32:37.000+06:30</t>
  </si>
  <si>
    <t>2020-01-24T12:28:54.000+06:30</t>
  </si>
  <si>
    <t>2020-01-21T14:30:00.000+06:30</t>
  </si>
  <si>
    <t>2020-01-22T14:40:00.000+06:30</t>
  </si>
  <si>
    <t>2020-01-22T14:42:00.000+06:30</t>
  </si>
  <si>
    <t>1c32feb6-8061-404a-9b05-b78b2c1ff00a</t>
  </si>
  <si>
    <t>2020-02-27T06:58:28</t>
  </si>
  <si>
    <t>c2a1e4c3-7352-44ca-8d74-6a205d2d8cb3</t>
  </si>
  <si>
    <t>2020-01-24T06:55:12</t>
  </si>
  <si>
    <t>2020-02-27T12:33:26.000+06:30</t>
  </si>
  <si>
    <t>2020-01-24T12:29:34.000+06:30</t>
  </si>
  <si>
    <t>546a72c9-65b9-4fb3-8c25-b7ae88a85dba</t>
  </si>
  <si>
    <t>2020-01-24T06:55:57</t>
  </si>
  <si>
    <t>0d971f4a-06bd-4204-b7f2-6bf1b0ab3fd3</t>
  </si>
  <si>
    <t>2020-02-27T06:59:17</t>
  </si>
  <si>
    <t>2020-01-24T12:32:18.000+06:30</t>
  </si>
  <si>
    <t>2020-02-27T12:34:01.000+06:30</t>
  </si>
  <si>
    <t>2020-01-22T14:28:00.000+06:30</t>
  </si>
  <si>
    <t>2020-01-23T14:28:00.000+06:30</t>
  </si>
  <si>
    <t>2020-01-23T14:31:00.000+06:30</t>
  </si>
  <si>
    <t>Associated Sample MO1160 and NOT TURBID</t>
  </si>
  <si>
    <t>79ac4646-073f-4c4e-9092-0e9faf0931ac</t>
  </si>
  <si>
    <t>2020-01-24T06:58:42</t>
  </si>
  <si>
    <t>2020-01-24T12:33:02.000+06:30</t>
  </si>
  <si>
    <t>2f91bc51-3bf7-4209-8dc7-3cfa2207fd6e</t>
  </si>
  <si>
    <t>2020-02-27T06:59:51</t>
  </si>
  <si>
    <t>b9b96ff3-2612-4e6c-83a1-d2306a3d1101</t>
  </si>
  <si>
    <t>2020-01-24T06:59:24</t>
  </si>
  <si>
    <t>2020-02-27T12:35:00.000+06:30</t>
  </si>
  <si>
    <t>2020-01-24T12:34:12.000+06:30</t>
  </si>
  <si>
    <t>Associated Sample MO1161 and NOT TURBID</t>
  </si>
  <si>
    <t>c734e168-2ed1-4577-a72f-3f21a8323785</t>
  </si>
  <si>
    <t>2020-01-24T07:00:34</t>
  </si>
  <si>
    <t>d278d3da-ece2-4228-8546-5a5e07f9581f</t>
  </si>
  <si>
    <t>2020-02-27T07:00:51</t>
  </si>
  <si>
    <t>2020-01-24T12:34:59.000+06:30</t>
  </si>
  <si>
    <t>2020-02-27T12:35:42.000+06:30</t>
  </si>
  <si>
    <t>29ccf728-8295-4dff-8a14-94c107c6c31e</t>
  </si>
  <si>
    <t>2020-01-24T07:01:21</t>
  </si>
  <si>
    <t>2020-01-24T12:35:58.000+06:30</t>
  </si>
  <si>
    <t>b4d8fee8-eeb0-4aaa-a7f8-670df09a7413</t>
  </si>
  <si>
    <t>2020-02-27T07:01:33</t>
  </si>
  <si>
    <t>Associated Sample MO1162 and NOT TURBID</t>
  </si>
  <si>
    <t>2020-02-27T12:36:26.000+06:30</t>
  </si>
  <si>
    <t>acd9153d-599d-4e2a-a600-9957a137ac9a</t>
  </si>
  <si>
    <t>2020-01-24T07:02:20</t>
  </si>
  <si>
    <t>2020-01-24T12:37:27.000+06:30</t>
  </si>
  <si>
    <t>Associated Sample FPb2001, FPa2001, FPc2001, FPd2001, FPe2001 and NOT TURBID</t>
  </si>
  <si>
    <t>50f90a6e-5444-4785-b189-7be9e1aede67</t>
  </si>
  <si>
    <t>2020-02-27T07:02:18</t>
  </si>
  <si>
    <t>8e09e5e3-c0a1-467f-9d40-b9835927bc74</t>
  </si>
  <si>
    <t>2020-01-24T07:03:51</t>
  </si>
  <si>
    <t>2020-02-27T12:37:27.000+06:30</t>
  </si>
  <si>
    <t>2020-01-24T12:38:33.000+06:30</t>
  </si>
  <si>
    <t>Associated Sample SW2001 and NOT TURBID</t>
  </si>
  <si>
    <t>cc510ef3-8827-437d-a75a-4648990dec5a</t>
  </si>
  <si>
    <t>2020-01-24T07:04:56</t>
  </si>
  <si>
    <t>Associated sample PLc1193</t>
  </si>
  <si>
    <t>f4b3381c-cc6f-4299-930c-11fd85922cfa</t>
  </si>
  <si>
    <t>2020-01-24T12:39:15.000+06:30</t>
  </si>
  <si>
    <t>2020-02-27T07:03:19</t>
  </si>
  <si>
    <t>2020-01-22T14:50:00.000+06:30</t>
  </si>
  <si>
    <t>2020-02-27T12:38:13.000+06:30</t>
  </si>
  <si>
    <t>21386992-2db6-460e-9a93-4af815140942</t>
  </si>
  <si>
    <t>2020-01-24T07:05:36</t>
  </si>
  <si>
    <t>2020-01-24T12:40:09.000+06:30</t>
  </si>
  <si>
    <t>Associated Sample SF2001 and NOT TURBID</t>
  </si>
  <si>
    <t>79f28f02-aa7f-4668-8fef-9859f47a69fd</t>
  </si>
  <si>
    <t>2020-02-27T07:04:05</t>
  </si>
  <si>
    <t>04956d47-7413-4ac0-ad50-309012df39ab</t>
  </si>
  <si>
    <t>2020-01-24T07:06:31</t>
  </si>
  <si>
    <t>2020-02-27T12:38:56.000+06:30</t>
  </si>
  <si>
    <t>2020-01-24T12:40:55.000+06:30</t>
  </si>
  <si>
    <t>2020-01-22T14:07:00.000+06:30</t>
  </si>
  <si>
    <t>2020-01-23T14:07:00.000+06:30</t>
  </si>
  <si>
    <t>c82523d7-7de2-49ed-a3c6-c2b4e9566923</t>
  </si>
  <si>
    <t>c93ce4d6-9a8e-48ba-adcf-ba11cf9f80f5</t>
  </si>
  <si>
    <t>2020-01-24T07:07:17</t>
  </si>
  <si>
    <t>2020-02-27T07:04:48</t>
  </si>
  <si>
    <t>2020-02-03T12:04:49.000+06:30</t>
  </si>
  <si>
    <t>2020-03-13T11:30:36.000+06:30</t>
  </si>
  <si>
    <t>2020-02-03T12:05:43.000+06:30</t>
  </si>
  <si>
    <t>2020-03-13T11:32:37.000+06:30</t>
  </si>
  <si>
    <t>2020-01-27T15:00:00.000+06:30</t>
  </si>
  <si>
    <t>2020-01-27T15:20:00.000+06:30</t>
  </si>
  <si>
    <t>2020-01-28T15:20:00.000+06:30</t>
  </si>
  <si>
    <t>2020-01-28T15:44:00.000+06:30</t>
  </si>
  <si>
    <t>3b19b531-06c3-4efb-a213-792908be09a4</t>
  </si>
  <si>
    <t>2020-02-03T06:33:39</t>
  </si>
  <si>
    <t>2020-02-03T12:05:44.000+06:30</t>
  </si>
  <si>
    <t>2020-02-03T12:07:23.000+06:30</t>
  </si>
  <si>
    <t>2020-01-28T15:22:00.000+06:30</t>
  </si>
  <si>
    <t>Associated Sample PLc1183 and NOT TURBID</t>
  </si>
  <si>
    <t>735db2d8-8a8d-4254-b53a-3ee45a5804f9</t>
  </si>
  <si>
    <t>2020-02-03T06:33:42</t>
  </si>
  <si>
    <t>2020-02-03T12:08:50.000+06:30</t>
  </si>
  <si>
    <t>40100b2c-edfd-4eb5-a8b9-263f513cf177</t>
  </si>
  <si>
    <t>2020-03-13T05:58:16</t>
  </si>
  <si>
    <t>2020-01-28T15:24:00.000+06:30</t>
  </si>
  <si>
    <t>2020-03-13T11:33:27.000+06:30</t>
  </si>
  <si>
    <t>Associated Sample BW2001 and NOT TURBID</t>
  </si>
  <si>
    <t>5325a046-98ed-4cb4-b369-4ebde83290b0</t>
  </si>
  <si>
    <t>2020-02-03T06:35:06</t>
  </si>
  <si>
    <t>2020-02-03T12:10:15.000+06:30</t>
  </si>
  <si>
    <t>5f14ba6c-8069-45fb-bd7b-88c467cf617b</t>
  </si>
  <si>
    <t>2020-03-13T05:59:05</t>
  </si>
  <si>
    <t>2020-01-28T15:27:00.000+06:30</t>
  </si>
  <si>
    <t>Associated Sample SL2002 and NOT TURBID</t>
  </si>
  <si>
    <t>2020-03-13T11:34:15.000+06:30</t>
  </si>
  <si>
    <t>002def44-74cd-46d2-92a7-41299f7d45c8</t>
  </si>
  <si>
    <t>2020-02-03T06:36:31</t>
  </si>
  <si>
    <t>2020-02-03T12:10:16.000+06:30</t>
  </si>
  <si>
    <t>2020-02-03T12:12:31.000+06:30</t>
  </si>
  <si>
    <t>fb7e1080-2090-4185-a476-2db663dcfefa</t>
  </si>
  <si>
    <t>2020-03-13T05:59:53</t>
  </si>
  <si>
    <t>2020-01-28T15:21:00.000+06:30</t>
  </si>
  <si>
    <t>2020-03-13T11:35:11.000+06:30</t>
  </si>
  <si>
    <t>1188627f-534c-418a-be2a-fc04a10c524f</t>
  </si>
  <si>
    <t>2020-02-03T06:38:46</t>
  </si>
  <si>
    <t>2020-02-03T12:25:42.000+06:30</t>
  </si>
  <si>
    <t>668f4027-0383-4740-b0c2-a0b84911d702</t>
  </si>
  <si>
    <t>2020-03-13T06:00:49</t>
  </si>
  <si>
    <t>2020-01-28T15:10:00.000+06:30</t>
  </si>
  <si>
    <t>2020-01-28T15:28:00.000+06:30</t>
  </si>
  <si>
    <t>2020-01-29T15:28:00.000+06:30</t>
  </si>
  <si>
    <t>2020-03-13T11:35:58.000+06:30</t>
  </si>
  <si>
    <t>2020-01-29T15:15:00.000+06:30</t>
  </si>
  <si>
    <t>fb00065e-8a9d-4031-b1fe-088d53be23af</t>
  </si>
  <si>
    <t>2020-02-03T06:51:56</t>
  </si>
  <si>
    <t>2020-02-03T12:26:51.000+06:30</t>
  </si>
  <si>
    <t>b344c1b4-ef02-432f-a30c-a7fb1d2185b5</t>
  </si>
  <si>
    <t>2020-03-13T06:01:36</t>
  </si>
  <si>
    <t>2020-01-28T14:40:00.000+06:30</t>
  </si>
  <si>
    <t>2020-01-28T14:55:00.000+06:30</t>
  </si>
  <si>
    <t>2020-01-29T14:55:00.000+06:30</t>
  </si>
  <si>
    <t>2020-01-29T15:10:00.000+06:30</t>
  </si>
  <si>
    <t>2020-03-13T11:36:44.000+06:30</t>
  </si>
  <si>
    <t>Associated Sample MO1163 and NOT TURBID</t>
  </si>
  <si>
    <t>f6aa5af1-2516-41b3-9908-5c8a2853aeba</t>
  </si>
  <si>
    <t>2020-02-03T06:53:05</t>
  </si>
  <si>
    <t>2020-02-03T12:27:52.000+06:30</t>
  </si>
  <si>
    <t>9e001bbe-a93b-4ad7-8768-1f53fee22c64</t>
  </si>
  <si>
    <t>2020-03-13T06:02:23</t>
  </si>
  <si>
    <t>2020-01-29T15:25:00.000+06:30</t>
  </si>
  <si>
    <t>2020-03-13T11:37:39.000+06:30</t>
  </si>
  <si>
    <t>5e3ce109-b2b1-42a0-8cac-34edb85b5420</t>
  </si>
  <si>
    <t>2020-02-03T06:54:06</t>
  </si>
  <si>
    <t>2020-02-03T12:29:01.000+06:30</t>
  </si>
  <si>
    <t>Associated Sample MO1164 and NOT TURBID</t>
  </si>
  <si>
    <t>7bc31508-6bab-492c-86b0-e710e1cee48c</t>
  </si>
  <si>
    <t>2020-03-13T06:03:18</t>
  </si>
  <si>
    <t>3cf67555-e75a-4f06-9e00-d0b64cc34625</t>
  </si>
  <si>
    <t>2020-02-03T06:55:15</t>
  </si>
  <si>
    <t>2020-02-03T12:29:59.000+06:30</t>
  </si>
  <si>
    <t>2020-03-13T11:38:21.000+06:30</t>
  </si>
  <si>
    <t>2020-01-29T15:35:00.000+06:30</t>
  </si>
  <si>
    <t>S.typhi 18.02.2020</t>
  </si>
  <si>
    <t>49f83dc5-617f-48d1-9e24-9088666581f2</t>
  </si>
  <si>
    <t>2020-02-03T06:56:14</t>
  </si>
  <si>
    <t>03286032-f081-4cde-b8aa-f27917432a4e</t>
  </si>
  <si>
    <t>2020-02-03T12:31:14.000+06:30</t>
  </si>
  <si>
    <t>2020-03-13T06:04:00</t>
  </si>
  <si>
    <t>2020-01-29T15:05:00.000+06:30</t>
  </si>
  <si>
    <t>2020-03-13T11:39:07.000+06:30</t>
  </si>
  <si>
    <t>Associated Sample MO1165 and NOT TURBID</t>
  </si>
  <si>
    <t>2d33f423-de3b-4529-9201-d9a21f71e1ce</t>
  </si>
  <si>
    <t>2020-02-03T06:57:29</t>
  </si>
  <si>
    <t>2020-02-03T12:32:15.000+06:30</t>
  </si>
  <si>
    <t>2020-01-29T14:40:00.000+06:30</t>
  </si>
  <si>
    <t>f1941562-9fb3-488e-bd8a-e3ebb14dfc99</t>
  </si>
  <si>
    <t>2020-03-13T06:04:45</t>
  </si>
  <si>
    <t>a48e45f1-8c43-48f4-bdae-cdf71d39029b</t>
  </si>
  <si>
    <t>2020-02-03T06:58:29</t>
  </si>
  <si>
    <t>2020-02-04T11:43:20.000+06:30</t>
  </si>
  <si>
    <t>2020-03-13T11:39:43.000+06:30</t>
  </si>
  <si>
    <t>2020-02-04T11:46:20.000+06:30</t>
  </si>
  <si>
    <t>2020-02-03T15:20:00.000+06:30</t>
  </si>
  <si>
    <t>2020-02-03T15:42:00.000+06:30</t>
  </si>
  <si>
    <t>2020-02-04T10:00:00.000+06:30</t>
  </si>
  <si>
    <t>2020-02-04T10:22:00.000+06:30</t>
  </si>
  <si>
    <t>1688df4a-0318-47db-8016-e851369b479f</t>
  </si>
  <si>
    <t>2020-02-04T06:12:34</t>
  </si>
  <si>
    <t>b6ce6a29-19e0-48b3-a023-5a04eceb63c3</t>
  </si>
  <si>
    <t>2020-03-13T06:05:23</t>
  </si>
  <si>
    <t>2020-02-04T11:48:03.000+06:30</t>
  </si>
  <si>
    <t>2020-02-03T15:00:00.000+06:30</t>
  </si>
  <si>
    <t>2020-02-03T15:15:00.000+06:30</t>
  </si>
  <si>
    <t>2020-02-04T10:05:00.000+06:30</t>
  </si>
  <si>
    <t>2020-03-13T11:40:42.000+06:30</t>
  </si>
  <si>
    <t>Associated Sample PLc1184 and NOT TURBID</t>
  </si>
  <si>
    <t>f45deee7-fd34-4a3b-b39e-1924b4e7ad9f</t>
  </si>
  <si>
    <t>2020-02-04T06:14:17</t>
  </si>
  <si>
    <t>2020-02-04T11:48:55.000+06:30</t>
  </si>
  <si>
    <t>2020-02-04T10:30:00.000+06:30</t>
  </si>
  <si>
    <t>57242b1f-1c95-4ab8-8090-519cca27b6af</t>
  </si>
  <si>
    <t>2020-03-13T06:06:20</t>
  </si>
  <si>
    <t>21cf03b2-7e7f-4a38-9a11-82d3627d2a1c</t>
  </si>
  <si>
    <t>2020-02-04T06:15:08</t>
  </si>
  <si>
    <t>2020-03-13T11:41:31.000+06:30</t>
  </si>
  <si>
    <t>2020-02-04T11:51:08.000+06:30</t>
  </si>
  <si>
    <t>2020-02-04T10:08:00.000+06:30</t>
  </si>
  <si>
    <t>Associated Sample PLc1185 and NOT TURBID</t>
  </si>
  <si>
    <t>c2f2cbc2-8d83-470a-8b73-1572f4663d88</t>
  </si>
  <si>
    <t>2020-02-04T06:17:21</t>
  </si>
  <si>
    <t>2020-02-04T11:51:57.000+06:30</t>
  </si>
  <si>
    <t>aa3301a3-d4d8-477f-9984-cbeb7a28c153</t>
  </si>
  <si>
    <t>2020-02-04T10:32:00.000+06:30</t>
  </si>
  <si>
    <t>2020-03-13T06:07:10</t>
  </si>
  <si>
    <t>2020-03-13T11:41:32.000+06:30</t>
  </si>
  <si>
    <t>6b7fb802-43ee-4720-8ea8-febc97902c57</t>
  </si>
  <si>
    <t>2020-02-04T06:18:10</t>
  </si>
  <si>
    <t>2020-03-13T11:42:18.000+06:30</t>
  </si>
  <si>
    <t>2020-02-04T11:53:01.000+06:30</t>
  </si>
  <si>
    <t>2020-02-04T10:10:00.000+06:30</t>
  </si>
  <si>
    <t>Associated Sample PLc1186 and NOT TURBID</t>
  </si>
  <si>
    <t>59ebefe4-f2e3-4043-b35b-afd43aa9f827</t>
  </si>
  <si>
    <t>2020-02-04T06:19:14</t>
  </si>
  <si>
    <t>2020-02-04T11:53:51.000+06:30</t>
  </si>
  <si>
    <t>e7426e18-3204-4085-a57d-6d21425ef35c</t>
  </si>
  <si>
    <t>2020-03-13T06:07:56</t>
  </si>
  <si>
    <t>2020-02-04T10:03:00.000+06:30</t>
  </si>
  <si>
    <t>2020-03-13T11:43:12.000+06:30</t>
  </si>
  <si>
    <t>9e511395-1f0b-45e5-8e0e-58215ddd42f3</t>
  </si>
  <si>
    <t>2020-02-04T06:20:04</t>
  </si>
  <si>
    <t>2020-02-05T12:37:22.000+06:30</t>
  </si>
  <si>
    <t>2020-02-05T12:45:12.000+06:30</t>
  </si>
  <si>
    <t>2020-02-04T15:35:00.000+06:30</t>
  </si>
  <si>
    <t>2020-02-04T15:55:00.000+06:30</t>
  </si>
  <si>
    <t>2020-02-05T10:25:00.000+06:30</t>
  </si>
  <si>
    <t>1741ebd0-8dc6-4afc-92cf-5a86132ed34b</t>
  </si>
  <si>
    <t>2020-03-13T06:08:50</t>
  </si>
  <si>
    <t>Enrichment done for 18 hrs.</t>
  </si>
  <si>
    <t>4afbeb6f-80d5-4db1-b7e9-1e0b16d9dc20</t>
  </si>
  <si>
    <t>2020-02-05T07:11:25</t>
  </si>
  <si>
    <t>2020-03-13T11:43:57.000+06:30</t>
  </si>
  <si>
    <t>2020-02-05T12:46:10.000+06:30</t>
  </si>
  <si>
    <t>2020-02-04T15:00:00.000+06:30</t>
  </si>
  <si>
    <t>2020-02-04T15:18:00.000+06:30</t>
  </si>
  <si>
    <t>2020-02-05T10:04:00.000+06:30</t>
  </si>
  <si>
    <t>3354915e-cb15-45e2-bc1a-3d0c0ccf4086</t>
  </si>
  <si>
    <t>2020-03-13T06:09:35</t>
  </si>
  <si>
    <t>417da819-61bb-4568-94a6-ef0dcb741a2c</t>
  </si>
  <si>
    <t>2020-02-05T07:12:21</t>
  </si>
  <si>
    <t>2020-02-05T12:47:34.000+06:30</t>
  </si>
  <si>
    <t>2020-03-13T11:44:48.000+06:30</t>
  </si>
  <si>
    <t>Enrichment done for 18 hrs</t>
  </si>
  <si>
    <t>5b73cf6f-05dd-4bdf-999e-2bbd2e28adf3</t>
  </si>
  <si>
    <t>5153de3f-74fe-4a4c-990e-5ca68a03dce1</t>
  </si>
  <si>
    <t>2020-02-05T07:13:47</t>
  </si>
  <si>
    <t>2020-03-13T06:10:25</t>
  </si>
  <si>
    <t>2020-02-05T12:53:42.000+06:30</t>
  </si>
  <si>
    <t>2020-03-13T11:45:34.000+06:30</t>
  </si>
  <si>
    <t>2020-02-05T10:05:00.000+06:30</t>
  </si>
  <si>
    <t>Associated Sample MO1167 and NOT TURBID, Enrichment done for 18 hrs.</t>
  </si>
  <si>
    <t>a6a2c60c-c0c2-4352-962b-e9d8a0a52710</t>
  </si>
  <si>
    <t>2020-02-05T07:14:53</t>
  </si>
  <si>
    <t>2020-02-05T12:48:42.000+06:30</t>
  </si>
  <si>
    <t>2020-02-05T12:51:49.000+06:30</t>
  </si>
  <si>
    <t>911f4402-252b-47ef-992b-18a9c7246e57</t>
  </si>
  <si>
    <t>2020-03-13T06:11:08</t>
  </si>
  <si>
    <t>2020-02-05T10:30:00.000+06:30</t>
  </si>
  <si>
    <t>f2fefad2-072f-4267-84a3-9cf6e32501e1</t>
  </si>
  <si>
    <t>2020-02-05T07:18:02</t>
  </si>
  <si>
    <t>2020-03-13T11:46:18.000+06:30</t>
  </si>
  <si>
    <t>2020-02-05T12:51:50.000+06:30</t>
  </si>
  <si>
    <t>2020-02-05T12:53:03.000+06:30</t>
  </si>
  <si>
    <t>Associated Sample MO1166 and NOT TURBID, Enrichment done for 18 hrs.</t>
  </si>
  <si>
    <t>c111d953-76b7-43ab-a942-7bfd6eb9bf32</t>
  </si>
  <si>
    <t>2020-02-05T07:19:17</t>
  </si>
  <si>
    <t>aaaef46c-7a9b-4156-b482-bbad7bf1a41e</t>
  </si>
  <si>
    <t>2020-03-13T06:11:56</t>
  </si>
  <si>
    <t>2020-02-05T12:54:54.000+06:30</t>
  </si>
  <si>
    <t>2020-03-13T11:47:00.000+06:30</t>
  </si>
  <si>
    <t>2020-02-05T10:06:00.000+06:30</t>
  </si>
  <si>
    <t>Associated Sample MO1168 and NOT TURBID, Enrichment done for 18 hrs.</t>
  </si>
  <si>
    <t>14f6c953-1845-4542-a43c-3f9d698bcb7e</t>
  </si>
  <si>
    <t>2020-02-05T07:21:07</t>
  </si>
  <si>
    <t>2020-02-05T12:56:07.000+06:30</t>
  </si>
  <si>
    <t>cebb44ac-70a8-495f-ba4b-2a3aed05976b</t>
  </si>
  <si>
    <t>2020-03-13T06:12:38</t>
  </si>
  <si>
    <t>Associated Sample LS2001 and NOT TURBID, Enrichment done for 18 hrs.</t>
  </si>
  <si>
    <t>91a21443-ff81-4572-a9ed-d485709b4756</t>
  </si>
  <si>
    <t>2020-02-05T07:22:20</t>
  </si>
  <si>
    <t>2020-03-13T11:47:52.000+06:30</t>
  </si>
  <si>
    <t>2020-02-05T12:57:00.000+06:30</t>
  </si>
  <si>
    <t>2020-02-04T15:20:00.000+06:30</t>
  </si>
  <si>
    <t>2020-02-05T10:32:00.000+06:30</t>
  </si>
  <si>
    <t>c78ab80f-e9b6-4d29-8112-feca7f7c337c</t>
  </si>
  <si>
    <t>2020-02-05T07:23:12</t>
  </si>
  <si>
    <t>5f6e4b98-373d-451f-b965-36a7562b7320</t>
  </si>
  <si>
    <t>2020-03-13T06:13:30</t>
  </si>
  <si>
    <t>2020-02-05T12:58:02.000+06:30</t>
  </si>
  <si>
    <t>2020-03-13T11:48:38.000+06:30</t>
  </si>
  <si>
    <t>2020-02-05T10:08:00.000+06:30</t>
  </si>
  <si>
    <t>Associated Sample PLc1187 and NOT TURBID, Enrichment done for 18 hrs.</t>
  </si>
  <si>
    <t>ca9a190a-1e2c-4025-83bf-71fc5f581913</t>
  </si>
  <si>
    <t>2020-02-05T07:24:15</t>
  </si>
  <si>
    <t>2020-02-05T12:58:59.000+06:30</t>
  </si>
  <si>
    <t>1d3331b1-c59a-4f9b-8b59-f578694821da</t>
  </si>
  <si>
    <t>2020-02-05T10:02:00.000+06:30</t>
  </si>
  <si>
    <t>2020-03-13T06:14:16</t>
  </si>
  <si>
    <t>NOT TURBID, Enrichment done for 18 hrs.</t>
  </si>
  <si>
    <t>1e413ac2-f16b-48dc-9589-fd2a2d129506</t>
  </si>
  <si>
    <t>2020-02-05T07:25:11</t>
  </si>
  <si>
    <t>2020-03-13T11:49:26.000+06:30</t>
  </si>
  <si>
    <t>2020-02-07T13:46:03.000+06:30</t>
  </si>
  <si>
    <t>2020-02-07T13:51:01.000+06:30</t>
  </si>
  <si>
    <t>2020-02-05T15:45:00.000+06:30</t>
  </si>
  <si>
    <t>2020-02-06T10:07:00.000+06:30</t>
  </si>
  <si>
    <t>Associated Sample COa2003, COb2007, COb2008, COb2009 and NOT TURBID, Enrichment done for 18 hrs.</t>
  </si>
  <si>
    <t>dbaab155-b954-4254-90b9-341da0323b0d</t>
  </si>
  <si>
    <t>2020-03-13T06:15:04</t>
  </si>
  <si>
    <t>37c93fa0-497b-4310-8ef8-272124c11ac2</t>
  </si>
  <si>
    <t>2020-02-07T08:17:09</t>
  </si>
  <si>
    <t>2020-02-07T13:52:42.000+06:30</t>
  </si>
  <si>
    <t>2020-03-13T11:50:10.000+06:30</t>
  </si>
  <si>
    <t>2020-02-06T10:09:00.000+06:30</t>
  </si>
  <si>
    <t>Associated Sample COa2004, COb2010, COb2011, COb2012 and NOT TURBID, Enrichment done for 18 hrs.</t>
  </si>
  <si>
    <t>76efcb22-8b22-4a7d-bb06-7b7174811648</t>
  </si>
  <si>
    <t>2020-02-07T08:18:53</t>
  </si>
  <si>
    <t>9b3a13e0-dcea-4182-a411-944b82a1af2c</t>
  </si>
  <si>
    <t>2020-02-07T13:53:48.000+06:30</t>
  </si>
  <si>
    <t>2020-03-13T06:15:47</t>
  </si>
  <si>
    <t>2020-02-06T10:05:00.000+06:30</t>
  </si>
  <si>
    <t>2020-03-13T11:54:18.000+06:30</t>
  </si>
  <si>
    <t>8936b83d-2bea-4ac1-ab84-b5e18c6b4e0c</t>
  </si>
  <si>
    <t>2020-02-07T08:19:58</t>
  </si>
  <si>
    <t>2020-02-07T13:54:50.000+06:30</t>
  </si>
  <si>
    <t>fae123fa-1d1b-47dc-8cc3-f6e4232fae8b</t>
  </si>
  <si>
    <t>2020-03-13T06:16:38</t>
  </si>
  <si>
    <t>2020-02-06T15:50:00.000+06:30</t>
  </si>
  <si>
    <t>2020-02-07T10:00:00.000+06:30</t>
  </si>
  <si>
    <t>2020-03-13T11:51:00.000+06:30</t>
  </si>
  <si>
    <t>2020-02-07T10:25:00.000+06:30</t>
  </si>
  <si>
    <t>2020-03-13T11:51:45.000+06:30</t>
  </si>
  <si>
    <t>85d10dc2-9336-4397-8d0c-927ee6206507</t>
  </si>
  <si>
    <t>2020-02-07T08:21:00</t>
  </si>
  <si>
    <t>2020-02-07T13:55:44.000+06:30</t>
  </si>
  <si>
    <t>bd853224-57b5-45b8-9daa-64f7e6858c2e</t>
  </si>
  <si>
    <t>2020-03-13T06:17:24</t>
  </si>
  <si>
    <t>2020-02-07T10:30:00.000+06:30</t>
  </si>
  <si>
    <t>2020-03-13T11:52:40.000+06:30</t>
  </si>
  <si>
    <t>e53ca722-fee9-4f67-a8fd-4dac037dd7ad</t>
  </si>
  <si>
    <t>2020-02-07T08:21:54</t>
  </si>
  <si>
    <t>2020-02-07T13:56:35.000+06:30</t>
  </si>
  <si>
    <t>2020-02-07T10:32:00.000+06:30</t>
  </si>
  <si>
    <t>b18197f3-8368-4010-b558-dcdf42b08bdb</t>
  </si>
  <si>
    <t>2020-03-13T06:18:20</t>
  </si>
  <si>
    <t>a979cf54-e243-4017-a9ae-545ea47e1653</t>
  </si>
  <si>
    <t>2020-02-07T08:22:45</t>
  </si>
  <si>
    <t>2020-03-13T11:55:02.000+06:30</t>
  </si>
  <si>
    <t>2020-02-07T14:00:04.000+06:30</t>
  </si>
  <si>
    <t>2020-02-06T15:15:00.000+06:30</t>
  </si>
  <si>
    <t>2020-02-07T10:05:00.000+06:30</t>
  </si>
  <si>
    <t>Associated Sample MO1169 and NOT TURBID, Enrichment done for 18 hrs.</t>
  </si>
  <si>
    <t>e5f97aff-91dc-43eb-a343-d7dffd6f8211</t>
  </si>
  <si>
    <t>2020-02-07T08:24:30</t>
  </si>
  <si>
    <t>2020-02-07T13:58:19.000+06:30</t>
  </si>
  <si>
    <t>6129b3db-43b5-4e0a-98c5-4660099998ed</t>
  </si>
  <si>
    <t>2020-03-13T06:20:39</t>
  </si>
  <si>
    <t>2020-02-07T14:01:50.000+06:30</t>
  </si>
  <si>
    <t>2020-03-13T11:55:46.000+06:30</t>
  </si>
  <si>
    <t>Associated Sample MO1170 and NOT TURBID, Enrichment done for 18 hrs.</t>
  </si>
  <si>
    <t>b9703c12-bbc8-4464-99db-815aa7da92b8</t>
  </si>
  <si>
    <t>2020-02-07T08:28:01</t>
  </si>
  <si>
    <t>2020-02-07T14:03:14.000+06:30</t>
  </si>
  <si>
    <t>2020-02-07T10:08:00.000+06:30</t>
  </si>
  <si>
    <t>82a0fa79-8bd2-4aef-bab8-58682e87f44a</t>
  </si>
  <si>
    <t>2020-03-13T06:21:25</t>
  </si>
  <si>
    <t>Associated Sample MO1171 and NOT TURBID, Enrichment done for 18 hrs.</t>
  </si>
  <si>
    <t>de867899-08fe-44fa-9007-cfe5f37e2482</t>
  </si>
  <si>
    <t>2020-02-07T08:29:25</t>
  </si>
  <si>
    <t>2020-03-13T11:56:45.000+06:30</t>
  </si>
  <si>
    <t>2020-02-07T14:09:41.000+06:30</t>
  </si>
  <si>
    <t>Associated Sample PLc1188 and TURBID, Enrichment done for 18 hrs.</t>
  </si>
  <si>
    <t>8ba103ea-da38-40eb-9cba-8c7ac6b4861b</t>
  </si>
  <si>
    <t>2020-02-07T08:31:29</t>
  </si>
  <si>
    <t>2020-02-07T14:05:18.000+06:30</t>
  </si>
  <si>
    <t>98de5d33-ccc5-4bed-9072-cfd0afad3f92</t>
  </si>
  <si>
    <t>2020-03-13T06:22:23</t>
  </si>
  <si>
    <t>2020-02-07T14:06:57.000+06:30</t>
  </si>
  <si>
    <t>2020-02-07T10:09:00.000+06:30</t>
  </si>
  <si>
    <t>2020-03-13T11:57:51.000+06:30</t>
  </si>
  <si>
    <t>Associated Sample COa2005, COb2013, COb2014, COb2015 and NOT TURBID, Enrichment done for 18 hrs.</t>
  </si>
  <si>
    <t>d3a4faba-1c68-4225-bcc6-00c3a6b60a14</t>
  </si>
  <si>
    <t>2020-02-07T08:33:08</t>
  </si>
  <si>
    <t>2020-02-07T14:08:23.000+06:30</t>
  </si>
  <si>
    <t>2020-02-07T10:10:00.000+06:30</t>
  </si>
  <si>
    <t>d1ba4743-3dde-4307-8c53-a68506e49628</t>
  </si>
  <si>
    <t>2020-03-13T06:23:29</t>
  </si>
  <si>
    <t>Associated Sample COa2006, COb2016, COb2017, COb2018 and NOT TURBID, Enrichment done for 18 hrs.</t>
  </si>
  <si>
    <t>3f43ee42-d1de-4c06-8530-44ecdeaf71f4</t>
  </si>
  <si>
    <t>2020-02-07T08:34:34</t>
  </si>
  <si>
    <t>2020-03-13T11:58:36.000+06:30</t>
  </si>
  <si>
    <t>2020-02-07T14:10:28.000+06:30</t>
  </si>
  <si>
    <t>2020-02-07T10:02:00.000+06:30</t>
  </si>
  <si>
    <t>7fd8938d-d646-4411-b7df-db9f78e2febb</t>
  </si>
  <si>
    <t>2020-02-07T08:36:38</t>
  </si>
  <si>
    <t>b77e69c0-02a7-4524-806a-05562e2cc944</t>
  </si>
  <si>
    <t>2020-02-07T14:11:38.000+06:30</t>
  </si>
  <si>
    <t>2020-03-13T06:24:15</t>
  </si>
  <si>
    <t>2020-02-06T15:40:00.000+06:30</t>
  </si>
  <si>
    <t>2020-02-07T10:35:00.000+06:30</t>
  </si>
  <si>
    <t>2020-03-13T11:59:18.000+06:30</t>
  </si>
  <si>
    <t>62ea9169-cbea-4691-b3f3-b7ebc506b599</t>
  </si>
  <si>
    <t>2020-02-07T08:37:49</t>
  </si>
  <si>
    <t>2020-02-12T12:25:56.000+06:30</t>
  </si>
  <si>
    <t>2020-02-12T12:26:45.000+06:30</t>
  </si>
  <si>
    <t>2020-02-07T15:00:00.000+06:30</t>
  </si>
  <si>
    <t>2020-02-07T15:15:00.000+06:30</t>
  </si>
  <si>
    <t>2020-02-08T10:00:00.000+06:30</t>
  </si>
  <si>
    <t>2020-02-08T10:20:00.000+06:30</t>
  </si>
  <si>
    <t>b82e3f0d-cea0-4de5-b3aa-c56efb2ed201</t>
  </si>
  <si>
    <t>21b7fc76-03cd-49cc-b26a-503431e736f7</t>
  </si>
  <si>
    <t>2020-02-12T06:52:51</t>
  </si>
  <si>
    <t>2020-03-13T06:24:57</t>
  </si>
  <si>
    <t>2020-03-13T11:59:19.000+06:30</t>
  </si>
  <si>
    <t>2020-02-12T12:28:16.000+06:30</t>
  </si>
  <si>
    <t>2020-03-13T11:59:59.000+06:30</t>
  </si>
  <si>
    <t>2020-02-08T10:04:00.000+06:30</t>
  </si>
  <si>
    <t>Associated Sample and NOT TURBID, Enrichment done for 18 hrs.</t>
  </si>
  <si>
    <t>077c2ce3-0ffc-4d19-851f-236d4eb047e0</t>
  </si>
  <si>
    <t>2020-02-12T06:54:22</t>
  </si>
  <si>
    <t>2020-02-12T12:29:21.000+06:30</t>
  </si>
  <si>
    <t>1176f2bf-8c41-448a-833e-cf581898867c</t>
  </si>
  <si>
    <t>2020-03-13T06:25:37</t>
  </si>
  <si>
    <t>2020-02-08T10:25:00.000+06:30</t>
  </si>
  <si>
    <t>1adfa9e4-5240-4148-8e50-e68f21915bc7</t>
  </si>
  <si>
    <t>2020-03-13T12:00:57.000+06:30</t>
  </si>
  <si>
    <t>2020-02-12T06:55:26</t>
  </si>
  <si>
    <t>2020-02-12T12:30:49.000+06:30</t>
  </si>
  <si>
    <t>2020-02-08T10:06:00.000+06:30</t>
  </si>
  <si>
    <t>Associated Sample PLc1190 and NOT TURBID, Enrichment done for 18 hrs.</t>
  </si>
  <si>
    <t>118855cb-4b2b-43cb-a053-e50bab6520a5</t>
  </si>
  <si>
    <t>2020-02-12T06:56:55</t>
  </si>
  <si>
    <t>f14742f2-31c8-422c-aaaf-90ce9fc53441</t>
  </si>
  <si>
    <t>2020-03-13T06:26:38</t>
  </si>
  <si>
    <t>2020-02-12T12:32:41.000+06:30</t>
  </si>
  <si>
    <t>2020-03-13T12:01:36.000+06:30</t>
  </si>
  <si>
    <t>2020-02-10T15:25:00.000+06:30</t>
  </si>
  <si>
    <t>2020-02-10T15:45:00.000+06:30</t>
  </si>
  <si>
    <t>2020-02-11T10:00:00.000+06:30</t>
  </si>
  <si>
    <t>2020-02-11T10:28:00.000+06:30</t>
  </si>
  <si>
    <t>8908b658-fdcd-4f1d-98dd-87530c18bd51</t>
  </si>
  <si>
    <t>2020-02-12T06:58:48</t>
  </si>
  <si>
    <t>2020-02-12T12:33:46.000+06:30</t>
  </si>
  <si>
    <t>423d9805-5ca2-46c0-8dbb-a856a6adbc25</t>
  </si>
  <si>
    <t>2020-02-10T15:18:00.000+06:30</t>
  </si>
  <si>
    <t>2020-03-13T06:27:16</t>
  </si>
  <si>
    <t>2020-02-11T10:03:00.000+06:30</t>
  </si>
  <si>
    <t>Associated Sample PLc1191 and NOT TURBID, Enrichment done for 18 hrs.</t>
  </si>
  <si>
    <t>958e4240-8925-4469-b162-9060472f936b</t>
  </si>
  <si>
    <t>2020-02-12T06:59:52</t>
  </si>
  <si>
    <t>2020-03-13T12:02:08.000+06:30</t>
  </si>
  <si>
    <t>2020-02-12T12:34:41.000+06:30</t>
  </si>
  <si>
    <t>2020-02-11T10:31:00.000+06:30</t>
  </si>
  <si>
    <t>8678e637-662a-4668-b30a-88dd193df296</t>
  </si>
  <si>
    <t>2020-02-12T07:00:46</t>
  </si>
  <si>
    <t>ea3c75c3-88cb-455b-8de1-42688adff18e</t>
  </si>
  <si>
    <t>2020-03-13T06:27:50</t>
  </si>
  <si>
    <t>2020-02-12T12:35:43.000+06:30</t>
  </si>
  <si>
    <t>2020-03-13T12:04:23.000+06:30</t>
  </si>
  <si>
    <t>Associated Sample PLc1192 and NOT TURBID, Enrichment done for 18 hrs.</t>
  </si>
  <si>
    <t>86be0cb7-a1d6-4c8c-989a-19d38a277326</t>
  </si>
  <si>
    <t>2020-02-12T07:01:48</t>
  </si>
  <si>
    <t>S.typhi 22.02.2020, s.paratyphi 22.02.2020</t>
  </si>
  <si>
    <t>2020-02-12T12:36:34.000+06:30</t>
  </si>
  <si>
    <t>2020-02-11T10:04:00.000+06:30</t>
  </si>
  <si>
    <t>edd761a8-7fb6-4f42-8e00-46ec5995f7f6</t>
  </si>
  <si>
    <t>2020-03-13T06:30:04</t>
  </si>
  <si>
    <t>d1f76497-bcac-4555-8c8e-4d58039069ce</t>
  </si>
  <si>
    <t>2020-02-12T07:02:40</t>
  </si>
  <si>
    <t>2020-03-13T12:05:13.000+06:30</t>
  </si>
  <si>
    <t>2020-02-12T12:37:45.000+06:30</t>
  </si>
  <si>
    <t>2020-02-11T10:05:00.000+06:30</t>
  </si>
  <si>
    <t>Associated Sample PLc1193 and NOT TURBID, Enrichment done for 18 hrs.</t>
  </si>
  <si>
    <t>3b0150b4-89ea-493b-9d3e-56271a9c8228</t>
  </si>
  <si>
    <t>2020-02-12T07:03:51</t>
  </si>
  <si>
    <t>73c87c6e-c766-4758-badc-ea0f4b4691d8</t>
  </si>
  <si>
    <t>2020-03-13T06:30:50</t>
  </si>
  <si>
    <t>2020-02-12T12:38:41.000+06:30</t>
  </si>
  <si>
    <t>2020-02-11T10:36:00.000+06:30</t>
  </si>
  <si>
    <t>2020-03-13T12:05:58.000+06:30</t>
  </si>
  <si>
    <t>50ee6d58-bc44-41fa-b64c-465fe2051143</t>
  </si>
  <si>
    <t>2020-02-12T07:04:47</t>
  </si>
  <si>
    <t>2020-02-12T12:39:46.000+06:30</t>
  </si>
  <si>
    <t>2020-02-11T10:07:00.000+06:30</t>
  </si>
  <si>
    <t>b7e89bd4-6d71-4c15-afda-cbc320de310d</t>
  </si>
  <si>
    <t>Associated Sample PLc1194 and NOT TURBID, Enrichment done for 18 hrs.</t>
  </si>
  <si>
    <t>2020-03-13T06:31:37</t>
  </si>
  <si>
    <t>50cfc0f3-4d2c-4c22-9af7-dcc496a43f1a</t>
  </si>
  <si>
    <t>2020-02-12T07:05:52</t>
  </si>
  <si>
    <t>2020-03-13T12:06:41.000+06:30</t>
  </si>
  <si>
    <t>2020-02-12T12:40:41.000+06:30</t>
  </si>
  <si>
    <t>2020-02-11T10:40:00.000+06:30</t>
  </si>
  <si>
    <t>ebd622ae-dc18-408a-8772-516cf9b9b359</t>
  </si>
  <si>
    <t>2020-02-12T07:06:46</t>
  </si>
  <si>
    <t>2020-02-12T12:41:51.000+06:30</t>
  </si>
  <si>
    <t>274db88f-8728-4088-ba49-e8b81c0a45eb</t>
  </si>
  <si>
    <t>2020-03-13T06:32:20</t>
  </si>
  <si>
    <t>2020-02-11T10:09:00.000+06:30</t>
  </si>
  <si>
    <t>Associated Sample PLc1195 and NOT TURBID, Enrichment done for 18 hrs.</t>
  </si>
  <si>
    <t>bb4f7591-9046-4ffc-90b6-78c9ddc9136e</t>
  </si>
  <si>
    <t>2020-02-12T07:07:57</t>
  </si>
  <si>
    <t>2020-02-12T12:42:50.000+06:30</t>
  </si>
  <si>
    <t>2020-03-13T12:07:33.000+06:30</t>
  </si>
  <si>
    <t>2020-02-11T10:02:00.000+06:30</t>
  </si>
  <si>
    <t>Enrichment done for 18 hrs. NOT TURBID</t>
  </si>
  <si>
    <t>606f04ab-16aa-439f-8b8c-99cc29ac544b</t>
  </si>
  <si>
    <t>2020-02-12T07:08:57</t>
  </si>
  <si>
    <t>2020-02-12T12:54:11.000+06:30</t>
  </si>
  <si>
    <t>1690f7ad-5525-4737-ad2b-9a4788e798cd</t>
  </si>
  <si>
    <t>2020-03-13T06:33:11</t>
  </si>
  <si>
    <t>2020-02-11T15:35:00.000+06:30</t>
  </si>
  <si>
    <t>2020-02-11T16:00:00.000+06:30</t>
  </si>
  <si>
    <t>2020-02-12T10:00:00.000+06:30</t>
  </si>
  <si>
    <t>2020-02-12T10:38:00.000+06:30</t>
  </si>
  <si>
    <t>893d49c2-c436-4e90-9ecc-d6ebd43912d2</t>
  </si>
  <si>
    <t>2020-03-13T12:08:31.000+06:30</t>
  </si>
  <si>
    <t>2020-02-12T07:20:16</t>
  </si>
  <si>
    <t>2020-02-12T12:55:24.000+06:30</t>
  </si>
  <si>
    <t>2020-02-11T15:10:00.000+06:30</t>
  </si>
  <si>
    <t>2020-02-11T15:30:00.000+06:30</t>
  </si>
  <si>
    <t>2020-02-12T10:05:00.000+06:30</t>
  </si>
  <si>
    <t>Associated Sample MO1172 and NOT TURBID, Enrichment done for 18 hrs.</t>
  </si>
  <si>
    <t>Associated sample PLc1203</t>
  </si>
  <si>
    <t>61f550e5-1791-4b2f-98c9-82c3e5ffc178</t>
  </si>
  <si>
    <t>2020-02-12T07:21:31</t>
  </si>
  <si>
    <t>587374bf-ed07-48e7-9b69-aa2621de921d</t>
  </si>
  <si>
    <t>2020-03-13T06:34:09</t>
  </si>
  <si>
    <t>2020-02-12T12:56:22.000+06:30</t>
  </si>
  <si>
    <t>2020-02-12T10:40:00.000+06:30</t>
  </si>
  <si>
    <t>2020-03-13T12:09:12.000+06:30</t>
  </si>
  <si>
    <t>f5206c77-88e2-4c92-be76-6e32d07d6325</t>
  </si>
  <si>
    <t>2020-02-12T07:22:28</t>
  </si>
  <si>
    <t>2020-02-12T12:57:33.000+06:30</t>
  </si>
  <si>
    <t>08358d41-f4a0-4ca8-a2ae-6b5328fe8354</t>
  </si>
  <si>
    <t>2020-03-13T06:34:50</t>
  </si>
  <si>
    <t>2020-02-12T10:07:00.000+06:30</t>
  </si>
  <si>
    <t>2020-03-13T12:10:06.000+06:30</t>
  </si>
  <si>
    <t>Associated Sample MO1173 and NOT TURBID, Enrichment done for 18 hrs.</t>
  </si>
  <si>
    <t>c1b89a93-359f-4324-b974-3d912bf329a1</t>
  </si>
  <si>
    <t>2020-02-12T07:23:41</t>
  </si>
  <si>
    <t>2020-02-12T12:58:43.000+06:30</t>
  </si>
  <si>
    <t>d9bd219d-35ce-4ad7-8871-71b87d810b73</t>
  </si>
  <si>
    <t>2020-03-13T06:35:44</t>
  </si>
  <si>
    <t>2020-02-12T10:42:00.000+06:30</t>
  </si>
  <si>
    <t>2020-03-13T12:11:45.000+06:30</t>
  </si>
  <si>
    <t>e7e9141c-393e-45b3-a94b-93c57e0056c5</t>
  </si>
  <si>
    <t>2020-02-12T07:24:49</t>
  </si>
  <si>
    <t>S.typhi 27.02.2020, s.paratyphi 22.02.2020</t>
  </si>
  <si>
    <t>2020-02-12T13:00:07.000+06:30</t>
  </si>
  <si>
    <t>045b8d84-faec-42d6-9f9a-dc0aa955ef04</t>
  </si>
  <si>
    <t>2020-02-12T10:08:00.000+06:30</t>
  </si>
  <si>
    <t>2020-03-13T06:37:24</t>
  </si>
  <si>
    <t>Associated Sample MO1174 and NOT TURBID, Enrichment done for 18 hrs.</t>
  </si>
  <si>
    <t>6b8350cc-f118-43f5-961f-de899f914d34</t>
  </si>
  <si>
    <t>2020-03-13T12:12:38.000+06:30</t>
  </si>
  <si>
    <t>2020-02-12T07:26:14</t>
  </si>
  <si>
    <t>2020-02-12T13:00:57.000+06:30</t>
  </si>
  <si>
    <t>caded7d1-2036-4efe-a786-19dec264080a</t>
  </si>
  <si>
    <t>2020-03-13T06:38:16</t>
  </si>
  <si>
    <t>2020-03-13T12:13:29.000+06:30</t>
  </si>
  <si>
    <t>2020-02-12T10:44:00.000+06:30</t>
  </si>
  <si>
    <t>686e7e59-7226-48f2-b8ad-deef338442ef</t>
  </si>
  <si>
    <t>2020-02-12T07:27:03</t>
  </si>
  <si>
    <t>2020-02-12T13:02:10.000+06:30</t>
  </si>
  <si>
    <t>e2d5b35d-29f4-4ec0-8a1b-ebf464025928</t>
  </si>
  <si>
    <t>2020-03-13T06:39:07</t>
  </si>
  <si>
    <t>2020-03-13T12:14:18.000+06:30</t>
  </si>
  <si>
    <t>2020-02-12T10:10:00.000+06:30</t>
  </si>
  <si>
    <t>Associated Sample MO1175 and NOT TURBID, Enrichment done for 18 hrs.</t>
  </si>
  <si>
    <t>0d57f482-7e50-4ad1-8402-01f862c2a436</t>
  </si>
  <si>
    <t>2020-02-12T07:28:17</t>
  </si>
  <si>
    <t>4c51862d-837a-4e04-bacc-88b512c65a37</t>
  </si>
  <si>
    <t>2020-02-12T13:03:34.000+06:30</t>
  </si>
  <si>
    <t>2020-03-13T06:39:57</t>
  </si>
  <si>
    <t>2020-03-13T12:15:51.000+06:30</t>
  </si>
  <si>
    <t>Associated Sample RP2002 and NOT TURBID, Enrichment done for 18 hrs.</t>
  </si>
  <si>
    <t>96743987-1273-41cf-a925-4bda05cfe99a</t>
  </si>
  <si>
    <t>2020-02-12T07:29:41</t>
  </si>
  <si>
    <t>Associated sample MO1184</t>
  </si>
  <si>
    <t>2020-02-12T13:04:27.000+06:30</t>
  </si>
  <si>
    <t>e6b909da-0467-4880-8662-7dcef30514a8</t>
  </si>
  <si>
    <t>2020-03-13T06:41:29</t>
  </si>
  <si>
    <t>2020-02-12T10:34:00.000+06:30</t>
  </si>
  <si>
    <t>2020-03-13T12:16:44.000+06:30</t>
  </si>
  <si>
    <t>ab7e06cf-76fa-4c91-a5a2-0aa196ae63ff</t>
  </si>
  <si>
    <t>2020-02-12T07:30:32</t>
  </si>
  <si>
    <t>2020-02-12T13:05:37.000+06:30</t>
  </si>
  <si>
    <t>6576e0a3-fa5c-49b0-85f3-6ba01a24ca21</t>
  </si>
  <si>
    <t>2020-03-13T06:42:22</t>
  </si>
  <si>
    <t>2020-03-13T12:17:49.000+06:30</t>
  </si>
  <si>
    <t>2020-02-12T10:11:00.000+06:30</t>
  </si>
  <si>
    <t>Associated Sample SF2002 and NOT TURBID, Enrichment done for 18 hrs.</t>
  </si>
  <si>
    <t>375e6585-cf84-4f85-8fd0-33442eb2ce71</t>
  </si>
  <si>
    <t>2020-02-12T07:31:44</t>
  </si>
  <si>
    <t>2020-02-12T13:06:31.000+06:30</t>
  </si>
  <si>
    <t>2ce357df-02d0-443e-a605-04c509d6d908</t>
  </si>
  <si>
    <t>2020-03-13T06:43:27</t>
  </si>
  <si>
    <t>2020-02-12T10:03:00.000+06:30</t>
  </si>
  <si>
    <t>2020-03-13T12:18:46.000+06:30</t>
  </si>
  <si>
    <t>25c9a317-b87d-432f-b7ae-dbfbeb2150d3</t>
  </si>
  <si>
    <t>2020-02-12T07:32:37</t>
  </si>
  <si>
    <t>2020-02-21T11:41:16.000+06:30</t>
  </si>
  <si>
    <t>2020-02-21T11:46:40.000+06:30</t>
  </si>
  <si>
    <t>6e5e2d1a-be5d-486c-8860-b016db81e64e</t>
  </si>
  <si>
    <t>2020-03-13T06:44:24</t>
  </si>
  <si>
    <t>2020-03-13T12:19:36.000+06:30</t>
  </si>
  <si>
    <t>2020-02-13T10:00:00.000+06:30</t>
  </si>
  <si>
    <t>2020-02-13T10:28:00.000+06:30</t>
  </si>
  <si>
    <t>f71d4c33-526f-4c52-8cee-0b5dab2e13b5</t>
  </si>
  <si>
    <t>2020-02-21T06:12:37</t>
  </si>
  <si>
    <t>29da3502-4a15-4d95-98eb-17eb3774d93f</t>
  </si>
  <si>
    <t>2020-02-21T11:48:04.000+06:30</t>
  </si>
  <si>
    <t>2020-03-13T06:45:13</t>
  </si>
  <si>
    <t>2020-03-13T12:20:18.000+06:30</t>
  </si>
  <si>
    <t>2020-02-12T15:20:00.000+06:30</t>
  </si>
  <si>
    <t>2020-02-13T10:04:00.000+06:30</t>
  </si>
  <si>
    <t>Associated Sample MO1176 and NOT TURBID, Enrichment done for 18 hrs.</t>
  </si>
  <si>
    <t>57b7bf82-2849-42de-bd75-272dcd670618</t>
  </si>
  <si>
    <t>2020-02-21T06:14:02</t>
  </si>
  <si>
    <t>70796b53-5063-420a-b6c1-c0efc8719b77</t>
  </si>
  <si>
    <t>2020-03-13T06:45:55</t>
  </si>
  <si>
    <t>2020-02-21T11:49:17.000+06:30</t>
  </si>
  <si>
    <t>2020-03-13T12:21:20.000+06:30</t>
  </si>
  <si>
    <t>2020-02-13T10:31:00.000+06:30</t>
  </si>
  <si>
    <t>cb5922e5-9a80-49f2-80f2-8639f8580bed</t>
  </si>
  <si>
    <t>21b2737c-59b4-49fb-b6b0-a76ea57a9e25</t>
  </si>
  <si>
    <t>2020-03-13T06:46:59</t>
  </si>
  <si>
    <t>2020-02-21T06:15:14</t>
  </si>
  <si>
    <t>2020-02-21T11:50:55.000+06:30</t>
  </si>
  <si>
    <t>2020-03-13T12:22:11.000+06:30</t>
  </si>
  <si>
    <t>2020-02-13T10:06:00.000+06:30</t>
  </si>
  <si>
    <t>Associated Sample MO1177 and NOT TURBID, Enrichment done for 18 hrs.</t>
  </si>
  <si>
    <t>5d61d6d9-936f-4d2b-a4f0-648ebea88c2a</t>
  </si>
  <si>
    <t>2020-02-21T06:16:53</t>
  </si>
  <si>
    <t>5dfcf941-1470-4a00-b9d5-1487cbca4d3f</t>
  </si>
  <si>
    <t>2020-02-21T11:52:00.000+06:30</t>
  </si>
  <si>
    <t>2020-03-13T06:47:50</t>
  </si>
  <si>
    <t>2020-03-13T12:22:12.000+06:30</t>
  </si>
  <si>
    <t>2020-02-13T10:35:00.000+06:30</t>
  </si>
  <si>
    <t>2020-03-13T12:23:11.000+06:30</t>
  </si>
  <si>
    <t>17d60a34-7c48-4ecc-ac8c-e5d60fa6cb8f</t>
  </si>
  <si>
    <t>2020-02-21T06:17:58</t>
  </si>
  <si>
    <t>2020-02-21T11:53:09.000+06:30</t>
  </si>
  <si>
    <t>860e4010-a6a7-41c5-9142-22ef94ad7c96</t>
  </si>
  <si>
    <t>2020-03-13T06:48:55</t>
  </si>
  <si>
    <t>2020-02-13T10:07:00.000+06:30</t>
  </si>
  <si>
    <t>Associated Sample PL1024 and NOT TURBID, Enrichment done for 18 hrs.</t>
  </si>
  <si>
    <t>46af90b8-a8f9-4420-b203-e764fef5702c</t>
  </si>
  <si>
    <t>2020-03-13T12:23:50.000+06:30</t>
  </si>
  <si>
    <t>2020-02-21T06:19:06</t>
  </si>
  <si>
    <t>2020-02-21T11:54:00.000+06:30</t>
  </si>
  <si>
    <t>2020-02-13T10:37:00.000+06:30</t>
  </si>
  <si>
    <t>41f34b7f-8850-4b82-a982-d197a97e5281</t>
  </si>
  <si>
    <t>81c554df-e06b-4fca-ae6c-e3d07d709b6f</t>
  </si>
  <si>
    <t>2020-02-21T06:19:57</t>
  </si>
  <si>
    <t>2020-03-13T06:49:30</t>
  </si>
  <si>
    <t>2020-02-21T11:55:07.000+06:30</t>
  </si>
  <si>
    <t>2020-03-13T12:25:33.000+06:30</t>
  </si>
  <si>
    <t>2020-02-13T10:09:00.000+06:30</t>
  </si>
  <si>
    <t>Associated Sample PL1025 and NOT TURBID, Enrichment done for 18 hrs.</t>
  </si>
  <si>
    <t>S.typhi 28.02.2020</t>
  </si>
  <si>
    <t>b14ee8ce-4710-4ed2-9ddf-3e3853ca1d23</t>
  </si>
  <si>
    <t>2020-02-21T06:21:04</t>
  </si>
  <si>
    <t>2020-02-21T11:56:02.000+06:30</t>
  </si>
  <si>
    <t>d417e91f-072a-4852-8c89-9702f889ea44</t>
  </si>
  <si>
    <t>2020-03-13T06:51:10</t>
  </si>
  <si>
    <t>2020-02-13T10:02:00.000+06:30</t>
  </si>
  <si>
    <t>2020-03-13T12:26:12.000+06:30</t>
  </si>
  <si>
    <t>6c461469-a49f-4e86-a69d-3ba98ac49f83</t>
  </si>
  <si>
    <t>2020-02-21T06:21:59</t>
  </si>
  <si>
    <t>2020-02-21T11:57:00.000+06:30</t>
  </si>
  <si>
    <t>2020-02-13T15:00:00.000+06:30</t>
  </si>
  <si>
    <t>2020-02-13T15:35:00.000+06:30</t>
  </si>
  <si>
    <t>2020-02-14T10:18:00.000+06:30</t>
  </si>
  <si>
    <t>ae9b6b4d-52c6-4733-8a59-552b9a6b80fd</t>
  </si>
  <si>
    <t>2020-03-13T06:51:50</t>
  </si>
  <si>
    <t>f001797b-b9ed-47d9-a28d-92e6fc97d963</t>
  </si>
  <si>
    <t>2020-02-21T06:23:04</t>
  </si>
  <si>
    <t>2020-03-13T12:27:07.000+06:30</t>
  </si>
  <si>
    <t>2020-02-21T11:57:01.000+06:30</t>
  </si>
  <si>
    <t>2020-02-21T11:58:00.000+06:30</t>
  </si>
  <si>
    <t>2020-02-14T10:04:00.000+06:30</t>
  </si>
  <si>
    <t>d2a9c6e4-6433-43d4-915a-79077c16f462</t>
  </si>
  <si>
    <t>Associated Sample PLc1196 and NOT TURBID, Enrichment done for 18 hrs.</t>
  </si>
  <si>
    <t>2020-03-13T06:52:46</t>
  </si>
  <si>
    <t>2020-03-13T12:27:08.000+06:30</t>
  </si>
  <si>
    <t>07f26483-b4d4-4c8e-8b01-0788d4e62f06</t>
  </si>
  <si>
    <t>2020-02-21T06:23:57</t>
  </si>
  <si>
    <t>2020-02-21T11:58:01.000+06:30</t>
  </si>
  <si>
    <t>2020-03-13T12:27:42.000+06:30</t>
  </si>
  <si>
    <t>2020-02-21T11:58:54.000+06:30</t>
  </si>
  <si>
    <t>636251f6-5f0c-492a-9fa6-b84722d7eb43</t>
  </si>
  <si>
    <t>2020-02-21T06:24:51</t>
  </si>
  <si>
    <t>f5c70f20-7c76-409a-a72f-3a5fcfbf2c85</t>
  </si>
  <si>
    <t>2020-03-13T06:53:20</t>
  </si>
  <si>
    <t>2020-02-21T11:59:56.000+06:30</t>
  </si>
  <si>
    <t>2020-02-14T10:06:00.000+06:30</t>
  </si>
  <si>
    <t>2020-03-13T12:28:25.000+06:30</t>
  </si>
  <si>
    <t>Associated Sample PLc1197 and NOT TURBID, Enrichment done for 18 hrs.</t>
  </si>
  <si>
    <t>e348f144-17c9-4a39-ba40-2cfd519e64df</t>
  </si>
  <si>
    <t>2020-02-21T06:25:53</t>
  </si>
  <si>
    <t>2020-02-21T12:00:49.000+06:30</t>
  </si>
  <si>
    <t>6891170f-7042-45f8-9a78-ab3fd29ebb85</t>
  </si>
  <si>
    <t>2020-02-14T10:26:00.000+06:30</t>
  </si>
  <si>
    <t>2020-03-13T06:54:03</t>
  </si>
  <si>
    <t>3a4de3f8-0ec1-4acc-a8ce-605f6bcb6545</t>
  </si>
  <si>
    <t>2020-02-21T06:26:48</t>
  </si>
  <si>
    <t>2020-02-21T12:00:50.000+06:30</t>
  </si>
  <si>
    <t>2020-03-13T12:29:27.000+06:30</t>
  </si>
  <si>
    <t>2020-02-21T12:01:52.000+06:30</t>
  </si>
  <si>
    <t>2020-02-14T10:08:00.000+06:30</t>
  </si>
  <si>
    <t>Associated Sample PLc1198 and NOT TURBID, Enrichment done for 18 hrs.</t>
  </si>
  <si>
    <t>024da43d-c65f-4775-a4f0-624abf38b32f</t>
  </si>
  <si>
    <t>2020-02-21T06:27:51</t>
  </si>
  <si>
    <t>4f86f605-8e9b-4ef0-b8c4-3ae8f0c7fa6f</t>
  </si>
  <si>
    <t>2020-03-13T06:55:07</t>
  </si>
  <si>
    <t>2020-02-21T12:02:47.000+06:30</t>
  </si>
  <si>
    <t>2020-03-13T12:29:28.000+06:30</t>
  </si>
  <si>
    <t>2020-03-13T12:30:08.000+06:30</t>
  </si>
  <si>
    <t>2020-02-14T10:35:00.000+06:30</t>
  </si>
  <si>
    <t>b3ce0404-6ee1-4bf8-891a-0ab576c830e5</t>
  </si>
  <si>
    <t>2020-02-21T06:28:47</t>
  </si>
  <si>
    <t>2020-02-21T12:03:51.000+06:30</t>
  </si>
  <si>
    <t>939faaea-5c6b-4374-a445-1c10f8d268db</t>
  </si>
  <si>
    <t>2020-03-13T06:55:46</t>
  </si>
  <si>
    <t>2020-02-14T10:09:00.000+06:30</t>
  </si>
  <si>
    <t>Associated Sample MO1178 and NOT TURBID, Enrichment done for 18 hrs.</t>
  </si>
  <si>
    <t>1804c4c1-e880-45ef-bbda-e034957959ee</t>
  </si>
  <si>
    <t>2020-02-21T06:29:49</t>
  </si>
  <si>
    <t>2020-03-13T12:30:47.000+06:30</t>
  </si>
  <si>
    <t>2020-02-21T12:04:48.000+06:30</t>
  </si>
  <si>
    <t>2020-02-14T10:37:00.000+06:30</t>
  </si>
  <si>
    <t>0a129abb-0cfa-4308-9ca8-8000d22cb8b5</t>
  </si>
  <si>
    <t>2020-02-21T06:30:44</t>
  </si>
  <si>
    <t>1b9fabf9-b85c-41a1-a7e5-a7308744e5b1</t>
  </si>
  <si>
    <t>2020-03-13T06:56:25</t>
  </si>
  <si>
    <t>2020-02-21T12:05:50.000+06:30</t>
  </si>
  <si>
    <t>2020-03-13T12:31:40.000+06:30</t>
  </si>
  <si>
    <t>Associated Sample MO1179 and NOT TURBID, Enrichment done for 18 hrs.</t>
  </si>
  <si>
    <t>6a9f41d5-9997-49a2-8fec-3b9777768cf5</t>
  </si>
  <si>
    <t>2020-02-21T06:31:46</t>
  </si>
  <si>
    <t>2020-02-21T12:06:49.000+06:30</t>
  </si>
  <si>
    <t>a307d703-a293-4254-b74f-e174d07cddeb</t>
  </si>
  <si>
    <t>2020-03-13T06:57:18</t>
  </si>
  <si>
    <t>2020-02-14T10:39:00.000+06:30</t>
  </si>
  <si>
    <t>5e1cfe13-cea6-4274-a894-e780b75fbd6c</t>
  </si>
  <si>
    <t>2020-03-13T12:32:16.000+06:30</t>
  </si>
  <si>
    <t>2020-02-21T06:32:46</t>
  </si>
  <si>
    <t>2020-02-21T12:06:50.000+06:30</t>
  </si>
  <si>
    <t>2020-02-21T12:07:58.000+06:30</t>
  </si>
  <si>
    <t>2020-02-14T10:10:00.000+06:30</t>
  </si>
  <si>
    <t>57ef3558-35db-45b4-929d-f3f4e8f66b0f</t>
  </si>
  <si>
    <t>Associated Sample MO1180 and NOT TURBID, Enrichment done for 18 hrs.</t>
  </si>
  <si>
    <t>2020-03-13T06:57:55</t>
  </si>
  <si>
    <t>15a09d17-6f0e-46ce-ab1c-d64ca8ac4117</t>
  </si>
  <si>
    <t>2020-02-21T06:33:56</t>
  </si>
  <si>
    <t>2020-03-13T12:33:03.000+06:30</t>
  </si>
  <si>
    <t>2020-02-21T12:08:56.000+06:30</t>
  </si>
  <si>
    <t>2020-02-14T10:03:00.000+06:30</t>
  </si>
  <si>
    <t>3d549b3b-11a0-476e-a961-b45f1041a57b</t>
  </si>
  <si>
    <t>2020-02-21T06:34:53</t>
  </si>
  <si>
    <t>22f303ac-f80c-47dc-adde-804c46f058e1</t>
  </si>
  <si>
    <t>2020-03-13T06:58:41</t>
  </si>
  <si>
    <t>2020-02-21T12:09:59.000+06:30</t>
  </si>
  <si>
    <t>2020-02-17T15:45:00.000+06:30</t>
  </si>
  <si>
    <t>2020-03-13T12:33:43.000+06:30</t>
  </si>
  <si>
    <t>2020-02-17T16:00:00.000+06:30</t>
  </si>
  <si>
    <t>2020-02-18T10:31:00.000+06:30</t>
  </si>
  <si>
    <t>7096b7dc-7114-4588-b2a0-78d7a0803223</t>
  </si>
  <si>
    <t>2020-02-21T06:35:56</t>
  </si>
  <si>
    <t>df1e4774-eaf6-42e4-825b-1eca4a2e6c6c</t>
  </si>
  <si>
    <t>2020-03-13T06:59:22</t>
  </si>
  <si>
    <t>2020-02-21T12:11:10.000+06:30</t>
  </si>
  <si>
    <t>2020-03-13T12:34:51.000+06:30</t>
  </si>
  <si>
    <t>2020-02-18T10:06:00.000+06:30</t>
  </si>
  <si>
    <t>Associated Sample PLc1199 and NOT TURBID, Enrichment done for 18 hrs.</t>
  </si>
  <si>
    <t>885aacaf-e6d4-4bfa-b663-9977b17684a1</t>
  </si>
  <si>
    <t>2020-02-21T06:37:09</t>
  </si>
  <si>
    <t>2020-02-21T12:12:10.000+06:30</t>
  </si>
  <si>
    <t>02be7fdb-e2b3-4728-9362-9585d5160e04</t>
  </si>
  <si>
    <t>2020-03-13T07:00:29</t>
  </si>
  <si>
    <t>2020-03-13T12:34:52.000+06:30</t>
  </si>
  <si>
    <t>2020-02-18T10:40:00.000+06:30</t>
  </si>
  <si>
    <t>2020-03-13T12:36:03.000+06:30</t>
  </si>
  <si>
    <t>4bd8eda8-941f-482e-9b85-e902525ba426</t>
  </si>
  <si>
    <t>2020-02-21T06:38:07</t>
  </si>
  <si>
    <t>2020-02-21T12:12:11.000+06:30</t>
  </si>
  <si>
    <t>2020-02-21T12:13:22.000+06:30</t>
  </si>
  <si>
    <t>Associated sample MO1189</t>
  </si>
  <si>
    <t>2020-02-18T10:07:00.000+06:30</t>
  </si>
  <si>
    <t>38a91bba-b0be-4fcc-bb2c-9ff7637c2a0e</t>
  </si>
  <si>
    <t>2020-03-13T07:01:43</t>
  </si>
  <si>
    <t>Associated Sample PLc1200 and NOT TURBID, Enrichment done for 18 hrs.</t>
  </si>
  <si>
    <t>2020-03-13T12:36:04.000+06:30</t>
  </si>
  <si>
    <t>994a541d-4559-4b97-a300-63ad7eded87c</t>
  </si>
  <si>
    <t>2020-02-21T06:39:19</t>
  </si>
  <si>
    <t>2020-03-13T12:36:33.000+06:30</t>
  </si>
  <si>
    <t>2020-02-21T12:14:11.000+06:30</t>
  </si>
  <si>
    <t>2020-02-18T10:42:00.000+06:30</t>
  </si>
  <si>
    <t>cc1e9237-70b2-43c9-97b8-a5ba3c9f5950</t>
  </si>
  <si>
    <t>2020-03-13T07:02:11</t>
  </si>
  <si>
    <t>49da6e34-b7cf-42ef-a940-e1ab7c49fbc4</t>
  </si>
  <si>
    <t>2020-02-21T06:40:08</t>
  </si>
  <si>
    <t>2020-03-13T12:37:20.000+06:30</t>
  </si>
  <si>
    <t>2020-02-21T12:15:16.000+06:30</t>
  </si>
  <si>
    <t>2020-02-18T10:05:00.000+06:30</t>
  </si>
  <si>
    <t>ee85b6eb-3dd5-4502-9fa2-e75607cfd951</t>
  </si>
  <si>
    <t>Associated Sample PLc1201 and NOT TURBID, Enrichment done for 18 hrs.</t>
  </si>
  <si>
    <t>2020-03-13T07:02:59</t>
  </si>
  <si>
    <t>2020-03-13T12:37:21.000+06:30</t>
  </si>
  <si>
    <t>d7bc234d-3dd9-4fd3-b384-3625bfebb609</t>
  </si>
  <si>
    <t>2020-02-21T06:41:13</t>
  </si>
  <si>
    <t>2020-03-13T12:38:33.000+06:30</t>
  </si>
  <si>
    <t>2020-02-21T12:16:52.000+06:30</t>
  </si>
  <si>
    <t>800cd281-6960-46a6-9ab3-118b0b930596</t>
  </si>
  <si>
    <t>2020-02-18T10:44:00.000+06:30</t>
  </si>
  <si>
    <t>2020-03-13T07:04:12</t>
  </si>
  <si>
    <t>2020-03-13T12:38:34.000+06:30</t>
  </si>
  <si>
    <t>2020-03-13T12:39:50.000+06:30</t>
  </si>
  <si>
    <t>276561b7-4c5b-46c0-b1f9-cf1549caa79b</t>
  </si>
  <si>
    <t>2020-02-21T06:42:50</t>
  </si>
  <si>
    <t>2020-02-21T12:17:54.000+06:30</t>
  </si>
  <si>
    <t>f1d4e81e-f672-44cb-a437-36d931f20c04</t>
  </si>
  <si>
    <t>2020-03-13T07:05:28</t>
  </si>
  <si>
    <t>2020-02-18T10:10:00.000+06:30</t>
  </si>
  <si>
    <t>Associated Sample PLc1202 and NOT TURBID, Enrichment done for 18 hrs.</t>
  </si>
  <si>
    <t>2020-03-13T12:40:39.000+06:30</t>
  </si>
  <si>
    <t>7833d8fc-364c-49b3-8f5d-aae8d794dc0c</t>
  </si>
  <si>
    <t>2020-02-21T06:43:51</t>
  </si>
  <si>
    <t>2020-02-21T12:18:48.000+06:30</t>
  </si>
  <si>
    <t>c5861f00-cecd-4c0d-bb2f-07838cac6cb9</t>
  </si>
  <si>
    <t>2020-03-13T07:06:18</t>
  </si>
  <si>
    <t>2020-02-18T10:45:00.000+06:30</t>
  </si>
  <si>
    <t>2020-03-13T12:41:17.000+06:30</t>
  </si>
  <si>
    <t>6d88188f-d4e7-4fde-a2b6-c1894bd4b940</t>
  </si>
  <si>
    <t>2020-02-21T06:44:45</t>
  </si>
  <si>
    <t>2020-02-21T12:19:47.000+06:30</t>
  </si>
  <si>
    <t>1df372fe-05e0-4ff6-9aa9-45b459a7746d</t>
  </si>
  <si>
    <t>2020-03-13T07:06:55</t>
  </si>
  <si>
    <t>2020-02-18T10:11:00.000+06:30</t>
  </si>
  <si>
    <t>Associated Sample PLc1203 and NOT TURBID, Enrichment done for 18 hrs.</t>
  </si>
  <si>
    <t>2020-03-13T12:42:42.000+06:30</t>
  </si>
  <si>
    <t>f8d026e5-9f60-4750-82fb-26b6178400f7</t>
  </si>
  <si>
    <t>2020-02-21T06:45:43</t>
  </si>
  <si>
    <t>2020-02-21T12:20:44.000+06:30</t>
  </si>
  <si>
    <t>17942629-a222-4523-a036-d2df3d0ca8c4</t>
  </si>
  <si>
    <t>2020-03-13T07:08:21</t>
  </si>
  <si>
    <t>2020-02-18T10:03:00.000+06:30</t>
  </si>
  <si>
    <t>2020-03-13T12:44:04.000+06:30</t>
  </si>
  <si>
    <t>9cb92500-39a2-49b3-b1a3-88ad0dbdcf61</t>
  </si>
  <si>
    <t>2020-02-21T06:46:40</t>
  </si>
  <si>
    <t>2020-02-21T12:22:14.000+06:30</t>
  </si>
  <si>
    <t>S.typhi 28.02.2020, s.paratyphi 04.03.2020</t>
  </si>
  <si>
    <t>2020-02-18T15:00:00.000+06:30</t>
  </si>
  <si>
    <t>2020-02-19T10:38:00.000+06:30</t>
  </si>
  <si>
    <t>55f28672-5a58-427b-b525-fd44fd382a38</t>
  </si>
  <si>
    <t>2020-03-13T07:09:43</t>
  </si>
  <si>
    <t>2cc42305-6543-4bb2-b456-f425a0f8bbdb</t>
  </si>
  <si>
    <t>2020-03-13T12:50:19.000+06:30</t>
  </si>
  <si>
    <t>2020-02-21T06:48:12</t>
  </si>
  <si>
    <t>2020-02-21T12:23:14.000+06:30</t>
  </si>
  <si>
    <t>0bcff17a-1f82-45a5-ba7a-54f1a37c0a9f</t>
  </si>
  <si>
    <t>2020-03-13T07:16:09</t>
  </si>
  <si>
    <t>2020-02-19T10:08:00.000+06:30</t>
  </si>
  <si>
    <t>Associated Sample MO1181 and NOT TURBID, Enrichment done for 18 hrs.</t>
  </si>
  <si>
    <t>936c51e3-fee8-4698-85e7-bc4803619fb8</t>
  </si>
  <si>
    <t>2020-02-21T06:49:12</t>
  </si>
  <si>
    <t>2020-03-13T12:51:07.000+06:30</t>
  </si>
  <si>
    <t>2020-02-21T12:24:02.000+06:30</t>
  </si>
  <si>
    <t>d9909455-b601-4c9b-88eb-9a1af731aa24</t>
  </si>
  <si>
    <t>2020-03-13T07:16:46</t>
  </si>
  <si>
    <t>2020-02-19T10:40:00.000+06:30</t>
  </si>
  <si>
    <t>2020-03-13T12:51:51.000+06:30</t>
  </si>
  <si>
    <t>fa80261f-d239-4b7f-a9fb-2e4ae5135b9b</t>
  </si>
  <si>
    <t>2020-02-21T06:50:00</t>
  </si>
  <si>
    <t>2020-02-21T12:24:03.000+06:30</t>
  </si>
  <si>
    <t>2020-02-21T12:25:05.000+06:30</t>
  </si>
  <si>
    <t>13ea8c5a-697e-4940-b181-ffb99523a267</t>
  </si>
  <si>
    <t>2020-03-13T07:17:30</t>
  </si>
  <si>
    <t>2020-03-13T12:51:52.000+06:30</t>
  </si>
  <si>
    <t>2020-02-19T10:09:00.000+06:30</t>
  </si>
  <si>
    <t>2020-03-13T12:52:38.000+06:30</t>
  </si>
  <si>
    <t>Associated Sample MO1182 and NOT TURBID, Enrichment done for 18 hrs.</t>
  </si>
  <si>
    <t>03635119-35e1-42bf-af05-2927a00c0b5d</t>
  </si>
  <si>
    <t>2020-02-21T06:51:02</t>
  </si>
  <si>
    <t>2020-02-21T12:25:54.000+06:30</t>
  </si>
  <si>
    <t>0eddd721-276e-4fd8-a05c-6885ee7c4c76</t>
  </si>
  <si>
    <t>2020-03-13T07:18:15</t>
  </si>
  <si>
    <t>2020-03-13T12:53:18.000+06:30</t>
  </si>
  <si>
    <t>2020-02-19T10:42:00.000+06:30</t>
  </si>
  <si>
    <t>6a619ac0-fa2c-4fd0-a46d-6a1c48579e0a</t>
  </si>
  <si>
    <t>2020-02-21T06:51:51</t>
  </si>
  <si>
    <t>62c79711-7d70-4846-b87a-23cc887954e1</t>
  </si>
  <si>
    <t>2020-03-13T07:18:57</t>
  </si>
  <si>
    <t>2020-02-21T12:26:52.000+06:30</t>
  </si>
  <si>
    <t>2020-03-13T12:53:58.000+06:30</t>
  </si>
  <si>
    <t>2020-02-19T10:10:00.000+06:30</t>
  </si>
  <si>
    <t>Associated Sample MO1183 and NOT TURBID, Enrichment done for 18 hrs.</t>
  </si>
  <si>
    <t>85881cc2-910c-4b54-8b0a-45c4176cef5e</t>
  </si>
  <si>
    <t>259f2a0e-15a6-42bb-86bd-fd2f538c5121</t>
  </si>
  <si>
    <t>2020-02-21T06:52:49</t>
  </si>
  <si>
    <t>2020-03-13T07:19:36</t>
  </si>
  <si>
    <t>2020-02-21T12:27:44.000+06:30</t>
  </si>
  <si>
    <t>2020-03-13T12:55:03.000+06:30</t>
  </si>
  <si>
    <t>EC54</t>
  </si>
  <si>
    <t>2020-02-18T15:35:00.000+06:30</t>
  </si>
  <si>
    <t>2020-02-19T10:43:00.000+06:30</t>
  </si>
  <si>
    <t>65456660-f1dc-45cd-bcda-2d8c5b7d32f4</t>
  </si>
  <si>
    <t>2020-03-13T07:20:40</t>
  </si>
  <si>
    <t>b1e8c8a6-f315-42d2-9747-622482cbe778</t>
  </si>
  <si>
    <t>2020-02-21T06:53:41</t>
  </si>
  <si>
    <t>2020-02-21T12:28:37.000+06:30</t>
  </si>
  <si>
    <t>2020-03-13T12:56:42.000+06:30</t>
  </si>
  <si>
    <t>Associated Sample MO1184 and NOT TURBID, Enrichment done for 18 hrs.</t>
  </si>
  <si>
    <t>S.typhi 04.03.2020, s.paratyphi 04.03.2020</t>
  </si>
  <si>
    <t>773526b5-9617-4f47-8bb1-65ba8134da34</t>
  </si>
  <si>
    <t>2020-02-21T06:54:33</t>
  </si>
  <si>
    <t>66349ea4-23a4-4647-913b-b42a640e8f4e</t>
  </si>
  <si>
    <t>2020-03-13T07:22:22</t>
  </si>
  <si>
    <t>2020-02-21T12:29:44.000+06:30</t>
  </si>
  <si>
    <t>2020-03-13T12:56:43.000+06:30</t>
  </si>
  <si>
    <t>2020-03-13T12:57:30.000+06:30</t>
  </si>
  <si>
    <t>2020-02-19T10:05:00.000+06:30</t>
  </si>
  <si>
    <t>122fc2c8-1676-4149-9d1c-c7d01e9f69de</t>
  </si>
  <si>
    <t>2020-02-21T06:55:41</t>
  </si>
  <si>
    <t>123ad66e-c2cc-4e68-ba38-f1536b7a8e8a</t>
  </si>
  <si>
    <t>2020-03-13T07:23:08</t>
  </si>
  <si>
    <t>2020-02-21T12:31:41.000+06:30</t>
  </si>
  <si>
    <t>2020-02-19T16:00:00.000+06:30</t>
  </si>
  <si>
    <t>2020-02-20T10:00:00.000+06:30</t>
  </si>
  <si>
    <t>2020-02-20T10:20:00.000+06:30</t>
  </si>
  <si>
    <t>2020-03-13T12:58:16.000+06:30</t>
  </si>
  <si>
    <t>fa8f7595-df07-480f-a817-3d30e6918368</t>
  </si>
  <si>
    <t>2020-02-21T06:57:38</t>
  </si>
  <si>
    <t>2020-02-21T12:32:40.000+06:30</t>
  </si>
  <si>
    <t>2020-02-20T10:07:00.000+06:30</t>
  </si>
  <si>
    <t>3b5040db-b271-429b-b097-31db624c1e20</t>
  </si>
  <si>
    <t>2020-03-13T07:23:55</t>
  </si>
  <si>
    <t>Associated Sample MO1185 and NOT TURBID, Enrichment done for 18 hrs.</t>
  </si>
  <si>
    <t>2020-03-13T12:58:17.000+06:30</t>
  </si>
  <si>
    <t>c0cb1213-c23d-4dce-8d65-747b35831639</t>
  </si>
  <si>
    <t>2020-02-21T06:58:36</t>
  </si>
  <si>
    <t>2020-03-13T12:59:22.000+06:30</t>
  </si>
  <si>
    <t>2020-02-21T12:33:39.000+06:30</t>
  </si>
  <si>
    <t>bb8e8ced-9620-4766-9f2f-579b35c8a755</t>
  </si>
  <si>
    <t>2020-02-21T06:59:36</t>
  </si>
  <si>
    <t>1a6e1092-1cdb-4c88-a18a-8b22540a3342</t>
  </si>
  <si>
    <t>2020-03-13T07:25:01</t>
  </si>
  <si>
    <t>2020-02-21T12:34:40.000+06:30</t>
  </si>
  <si>
    <t>2020-03-13T12:59:23.000+06:30</t>
  </si>
  <si>
    <t>2020-03-13T13:00:20.000+06:30</t>
  </si>
  <si>
    <t>Associated Sample MO1186 and NOT TURBID, Enrichment done for 18 hrs.</t>
  </si>
  <si>
    <t>9ce3f121-2602-4150-bf3f-434151ba3229</t>
  </si>
  <si>
    <t>2020-02-21T07:00:36</t>
  </si>
  <si>
    <t>2c38b5c0-e581-473b-8eec-20696cc48a92</t>
  </si>
  <si>
    <t>2020-03-13T07:25:58</t>
  </si>
  <si>
    <t>2020-02-21T12:35:40.000+06:30</t>
  </si>
  <si>
    <t>2020-03-13T13:01:08.000+06:30</t>
  </si>
  <si>
    <t>2020-02-20T10:32:00.000+06:30</t>
  </si>
  <si>
    <t>409b700c-f297-4fda-98b1-78f61195a0a2</t>
  </si>
  <si>
    <t>2020-02-21T07:01:36</t>
  </si>
  <si>
    <t>2020-02-21T12:36:55.000+06:30</t>
  </si>
  <si>
    <t>a78c4dad-56e7-4ab2-9e79-6b72614c38cc</t>
  </si>
  <si>
    <t>2020-03-13T07:26:46</t>
  </si>
  <si>
    <t>2020-02-20T10:09:00.000+06:30</t>
  </si>
  <si>
    <t>Associated Sample MO1187 and NOT TURBID, Enrichment done for 18 hrs.</t>
  </si>
  <si>
    <t>2020-03-13T13:01:58.000+06:30</t>
  </si>
  <si>
    <t>e17c0c1d-e2dc-4822-aa26-b9007f182acf</t>
  </si>
  <si>
    <t>2020-02-21T07:02:53</t>
  </si>
  <si>
    <t>2020-02-21T12:37:51.000+06:30</t>
  </si>
  <si>
    <t>cd7ac88c-3d60-43cd-a07f-c5b1f8e38a58</t>
  </si>
  <si>
    <t>2020-03-13T07:27:37</t>
  </si>
  <si>
    <t>2020-02-20T10:33:00.000+06:30</t>
  </si>
  <si>
    <t>2020-03-13T13:01:59.000+06:30</t>
  </si>
  <si>
    <t>2020-03-13T13:02:48.000+06:30</t>
  </si>
  <si>
    <t>53ab78b5-6477-4a66-81f1-2fe9c9507f98</t>
  </si>
  <si>
    <t>2020-02-21T07:03:48</t>
  </si>
  <si>
    <t>2020-02-21T12:38:52.000+06:30</t>
  </si>
  <si>
    <t>2020-02-20T10:10:00.000+06:30</t>
  </si>
  <si>
    <t>Associated Sample PL1026 and NOT TURBID, Enrichment done for 18 hrs.</t>
  </si>
  <si>
    <t>baac7282-4d85-49a1-89cd-d59bc0e46c22</t>
  </si>
  <si>
    <t>2020-03-13T07:28:26</t>
  </si>
  <si>
    <t>ded52ed5-5a84-4aa5-a1be-45196c5778d8</t>
  </si>
  <si>
    <t>2020-02-21T07:04:49</t>
  </si>
  <si>
    <t>2020-02-21T12:39:36.000+06:30</t>
  </si>
  <si>
    <t>2020-03-13T13:03:23.000+06:30</t>
  </si>
  <si>
    <t>2020-02-20T10:34:00.000+06:30</t>
  </si>
  <si>
    <t>7a971bd2-c0c9-40fa-bb67-57a3fdd3e4a5</t>
  </si>
  <si>
    <t>2020-02-21T07:05:32</t>
  </si>
  <si>
    <t>94d17e1d-b749-4d95-b9e3-4873529d4c9a</t>
  </si>
  <si>
    <t>2020-03-13T07:29:02</t>
  </si>
  <si>
    <t>2020-02-21T12:40:27.000+06:30</t>
  </si>
  <si>
    <t>2020-03-13T13:03:58.000+06:30</t>
  </si>
  <si>
    <t>Associated Sample PL1027 and NOT TURBID, Enrichment done for 18 hrs.</t>
  </si>
  <si>
    <t>1dcabdc5-d52f-43e5-8941-a00c5db55275</t>
  </si>
  <si>
    <t>2020-02-21T07:06:24</t>
  </si>
  <si>
    <t>71ba3a13-9720-4210-b909-728a2f465536</t>
  </si>
  <si>
    <t>2020-03-13T07:29:36</t>
  </si>
  <si>
    <t>2020-02-21T12:41:19.000+06:30</t>
  </si>
  <si>
    <t>2020-03-13T13:04:36.000+06:30</t>
  </si>
  <si>
    <t>2020-02-20T10:05:00.000+06:30</t>
  </si>
  <si>
    <t>4173d5b9-5c9a-4ca4-8b32-93bd35f5f783</t>
  </si>
  <si>
    <t>2020-02-21T07:07:16</t>
  </si>
  <si>
    <t>2020-03-19T11:27:11.000+06:30</t>
  </si>
  <si>
    <t>217ee4a2-c6dc-4399-a329-b40db0f2dcb2</t>
  </si>
  <si>
    <t>2020-03-13T07:30:13</t>
  </si>
  <si>
    <t>2020-03-19T11:37:10.000+06:30</t>
  </si>
  <si>
    <t>2020-03-13T13:05:14.000+06:30</t>
  </si>
  <si>
    <t>2020-02-20T17:00:00.000+06:30</t>
  </si>
  <si>
    <t>6780565b-6455-484b-a150-8f83af6fcbc2</t>
  </si>
  <si>
    <t>2020-03-19T06:02:40</t>
  </si>
  <si>
    <t>b087c51d-e3c2-445a-8515-1a1eadfdb5a9</t>
  </si>
  <si>
    <t>2020-03-13T07:30:51</t>
  </si>
  <si>
    <t>2020-03-19T11:38:29.000+06:30</t>
  </si>
  <si>
    <t>2020-03-13T13:05:48.000+06:30</t>
  </si>
  <si>
    <t>EC55</t>
  </si>
  <si>
    <t>Associated Sample PLc1204 and NOT TURBID</t>
  </si>
  <si>
    <t>473a93aa-0c1d-4915-803c-5e0f51f49695</t>
  </si>
  <si>
    <t>2020-03-19T06:04:02</t>
  </si>
  <si>
    <t>2020-03-19T11:39:27.000+06:30</t>
  </si>
  <si>
    <t>51e46201-af64-44ca-bd7c-84b8af680aa2</t>
  </si>
  <si>
    <t>2020-03-13T07:31:26</t>
  </si>
  <si>
    <t>2020-03-13T13:06:48.000+06:30</t>
  </si>
  <si>
    <t>ed8f9794-73d3-4a25-9bc5-39365a4f28d8</t>
  </si>
  <si>
    <t>2020-03-19T06:04:59</t>
  </si>
  <si>
    <t>4fa9b33a-fe2a-478b-9eb3-d2669450906b</t>
  </si>
  <si>
    <t>2020-03-13T07:32:27</t>
  </si>
  <si>
    <t>2020-03-13T13:06:49.000+06:30</t>
  </si>
  <si>
    <t>2020-03-19T11:40:31.000+06:30</t>
  </si>
  <si>
    <t>2020-03-13T13:07:38.000+06:30</t>
  </si>
  <si>
    <t>Associated Sample PLc1205 and NOT TURBID</t>
  </si>
  <si>
    <t>769d0d5f-51cd-43e7-a97d-e0d5dd483e44</t>
  </si>
  <si>
    <t>2020-03-19T06:06:04</t>
  </si>
  <si>
    <t>2020-03-19T11:41:27.000+06:30</t>
  </si>
  <si>
    <t>d0eee2dd-4b10-4bee-aa4e-355596b1f773</t>
  </si>
  <si>
    <t>2020-03-13T07:33:17</t>
  </si>
  <si>
    <t>2020-03-13T13:07:39.000+06:30</t>
  </si>
  <si>
    <t>2020-03-13T13:08:32.000+06:30</t>
  </si>
  <si>
    <t>35d21fd7-8d0f-490a-9f41-9decafb5f9d4</t>
  </si>
  <si>
    <t>2020-03-19T06:07:00</t>
  </si>
  <si>
    <t>2020-03-19T11:42:50.000+06:30</t>
  </si>
  <si>
    <t>Associated Sample PLc1206 and NOT TURBID, Enrichment done for 18 hrs.</t>
  </si>
  <si>
    <t>8e275c05-6db2-47b0-8762-627047cf9bf0</t>
  </si>
  <si>
    <t>2020-03-13T07:34:11</t>
  </si>
  <si>
    <t>a3ab0eca-f107-485a-b44c-748205ddca8f</t>
  </si>
  <si>
    <t>2020-03-19T06:08:23</t>
  </si>
  <si>
    <t>2020-03-13T13:09:15.000+06:30</t>
  </si>
  <si>
    <t>2020-03-19T11:43:52.000+06:30</t>
  </si>
  <si>
    <t>2020-02-21T11:20:00.000+06:30</t>
  </si>
  <si>
    <t>e307401c-3969-4198-b625-3b817ca8d05b</t>
  </si>
  <si>
    <t>2020-03-19T06:09:25</t>
  </si>
  <si>
    <t>76869ba8-8896-41bd-85f5-339a91925e01</t>
  </si>
  <si>
    <t>2020-03-13T07:34:53</t>
  </si>
  <si>
    <t>2020-03-19T11:43:53.000+06:30</t>
  </si>
  <si>
    <t>2020-03-19T11:44:43.000+06:30</t>
  </si>
  <si>
    <t>2020-03-13T13:10:03.000+06:30</t>
  </si>
  <si>
    <t>2020-02-21T11:30:00.000+06:30</t>
  </si>
  <si>
    <t>85965c86-96c5-4629-926a-76e532369b54</t>
  </si>
  <si>
    <t>2020-03-19T06:10:15</t>
  </si>
  <si>
    <t>4ad181e5-bfb6-41c5-9885-1c214d9ed881</t>
  </si>
  <si>
    <t>2020-03-19T11:45:32.000+06:30</t>
  </si>
  <si>
    <t>2020-03-13T07:35:41</t>
  </si>
  <si>
    <t>2020-03-13T13:10:04.000+06:30</t>
  </si>
  <si>
    <t>2020-03-13T13:11:05.000+06:30</t>
  </si>
  <si>
    <t>2020-02-21T11:40:00.000+06:30</t>
  </si>
  <si>
    <t>05b01d20-5d2f-45f9-8fb1-e267b15a0d33</t>
  </si>
  <si>
    <t>2020-03-19T06:11:04</t>
  </si>
  <si>
    <t>2020-03-19T11:46:16.000+06:30</t>
  </si>
  <si>
    <t>Associated sample MO1203</t>
  </si>
  <si>
    <t>640c5008-b3ce-4a74-add9-66f61916cfd9</t>
  </si>
  <si>
    <t>2020-03-13T07:36:43</t>
  </si>
  <si>
    <t>2020-03-13T13:12:05.000+06:30</t>
  </si>
  <si>
    <t>2020-02-21T11:45:00.000+06:30</t>
  </si>
  <si>
    <t>47646ceb-0678-4cd3-9d21-b6a5a7e5082a</t>
  </si>
  <si>
    <t>2020-03-19T06:11:49</t>
  </si>
  <si>
    <t>S.typhi 05.03.2020</t>
  </si>
  <si>
    <t>2020-03-19T11:46:17.000+06:30</t>
  </si>
  <si>
    <t>2020-03-19T11:47:02.000+06:30</t>
  </si>
  <si>
    <t>9c6f6402-7f23-4b59-9e00-13d6b58221aa</t>
  </si>
  <si>
    <t>2020-03-13T07:37:43</t>
  </si>
  <si>
    <t>2020-02-21T11:35:00.000+06:30</t>
  </si>
  <si>
    <t>52e5d7a7-0a58-4d65-9e9a-612a0e06df9e</t>
  </si>
  <si>
    <t>2020-03-13T13:12:42.000+06:30</t>
  </si>
  <si>
    <t>2020-03-19T06:12:35</t>
  </si>
  <si>
    <t>2020-03-19T11:48:36.000+06:30</t>
  </si>
  <si>
    <t>Associated Sample MO1189 and NOT TURBID, Enrichment done for 18 hrs.</t>
  </si>
  <si>
    <t>7eec7864-85d3-454e-963b-8ab6c184c350</t>
  </si>
  <si>
    <t>2020-03-19T06:14:09</t>
  </si>
  <si>
    <t>a0b28d9b-bb02-446b-bff0-2436d305e4e4</t>
  </si>
  <si>
    <t>2020-03-13T07:38:21</t>
  </si>
  <si>
    <t>2020-03-13T13:12:43.000+06:30</t>
  </si>
  <si>
    <t>2020-03-19T11:49:39.000+06:30</t>
  </si>
  <si>
    <t>2020-03-13T13:13:16.000+06:30</t>
  </si>
  <si>
    <t>Associated Sample MO1188 and NOT TURBID, Enrichment done for 18 hrs.</t>
  </si>
  <si>
    <t>d903104d-6feb-4aac-b4fb-9de0a1af57a2</t>
  </si>
  <si>
    <t>2020-03-19T06:15:11</t>
  </si>
  <si>
    <t>2020-03-19T11:50:50.000+06:30</t>
  </si>
  <si>
    <t>Associated Sample MO1190 and NOT TURBID, Enrichment done for 18 hrs.</t>
  </si>
  <si>
    <t>ebd2ec1d-bd90-4064-becf-bab48e5c1c44</t>
  </si>
  <si>
    <t>2020-03-13T07:38:54</t>
  </si>
  <si>
    <t>48588416-137e-42d9-86b8-7ba568360254</t>
  </si>
  <si>
    <t>2020-03-19T06:16:24</t>
  </si>
  <si>
    <t>2020-03-19T11:51:57.000+06:30</t>
  </si>
  <si>
    <t>2020-03-13T13:13:47.000+06:30</t>
  </si>
  <si>
    <t>EC56</t>
  </si>
  <si>
    <t>Associated Sample MO1191 and NOT TURBID, Enrichment done for 18 hrs.</t>
  </si>
  <si>
    <t>0d1cb112-b90d-4486-9944-67b190f28c9e</t>
  </si>
  <si>
    <t>2020-03-19T06:17:30</t>
  </si>
  <si>
    <t>2020-03-19T11:51:58.000+06:30</t>
  </si>
  <si>
    <t>2020-03-19T11:52:54.000+06:30</t>
  </si>
  <si>
    <t>8ea521f8-7d9c-40ea-b915-de572ae2de87</t>
  </si>
  <si>
    <t>2020-03-13T07:39:26</t>
  </si>
  <si>
    <t>Associated Sample MO1192 and NOT TURBID, Enrichment done for 18 hrs.</t>
  </si>
  <si>
    <t>94c52af9-96a3-430f-acb2-a70d6ab924d2</t>
  </si>
  <si>
    <t>2020-03-19T06:18:27</t>
  </si>
  <si>
    <t>2020-03-13T13:14:23.000+06:30</t>
  </si>
  <si>
    <t>2020-03-19T11:53:50.000+06:30</t>
  </si>
  <si>
    <t>15a7e3fb-17a8-4e3c-8b3f-19c8e9ea7e5d</t>
  </si>
  <si>
    <t>2020-03-19T06:19:22</t>
  </si>
  <si>
    <t>f39c652e-9f1f-40d2-ba73-c84d05f31e37</t>
  </si>
  <si>
    <t>2020-03-13T07:40:02</t>
  </si>
  <si>
    <t>2020-03-19T11:54:54.000+06:30</t>
  </si>
  <si>
    <t>2020-03-13T13:14:24.000+06:30</t>
  </si>
  <si>
    <t>2020-02-24T16:00:00.000+06:30</t>
  </si>
  <si>
    <t>2020-03-13T13:21:25.000+06:30</t>
  </si>
  <si>
    <t>2020-02-25T10:00:00.000+06:30</t>
  </si>
  <si>
    <t>2020-02-25T10:32:00.000+06:30</t>
  </si>
  <si>
    <t>7223672f-b15e-43a7-89ab-a3496cad3d98</t>
  </si>
  <si>
    <t>2020-03-19T06:20:26</t>
  </si>
  <si>
    <t>S.typhi 05.03.2020, s.paratyphi 05.03.2020</t>
  </si>
  <si>
    <t>2020-03-19T11:55:42.000+06:30</t>
  </si>
  <si>
    <t>2020-02-25T10:34:00.000+06:30</t>
  </si>
  <si>
    <t>07c5c98f-00fe-480a-b2ec-1bb10424ea48</t>
  </si>
  <si>
    <t>a7a10e95-8355-4b45-b4d7-7ed609255902</t>
  </si>
  <si>
    <t>2020-03-13T07:47:05</t>
  </si>
  <si>
    <t>2020-03-19T06:21:15</t>
  </si>
  <si>
    <t>2020-03-13T13:21:26.000+06:30</t>
  </si>
  <si>
    <t>2020-03-19T11:56:27.000+06:30</t>
  </si>
  <si>
    <t>2020-02-25T10:35:00.000+06:30</t>
  </si>
  <si>
    <t>2020-03-13T13:22:08.000+06:30</t>
  </si>
  <si>
    <t>ddb38e14-921d-4a34-a0f5-7510f436db92</t>
  </si>
  <si>
    <t>2020-03-19T06:21:59</t>
  </si>
  <si>
    <t>2020-03-19T11:57:27.000+06:30</t>
  </si>
  <si>
    <t>2020-02-25T10:40:00.000+06:30</t>
  </si>
  <si>
    <t>e24a1482-1f7c-4d6c-958b-ffaf07240527</t>
  </si>
  <si>
    <t>2020-03-19T06:22:59</t>
  </si>
  <si>
    <t>2020-03-19T11:58:10.000+06:30</t>
  </si>
  <si>
    <t>2020-02-25T10:42:00.000+06:30</t>
  </si>
  <si>
    <t>a59cce51-3495-499f-9112-55458c9152ea</t>
  </si>
  <si>
    <t>2020-03-19T06:23:43</t>
  </si>
  <si>
    <t>2020-03-19T11:59:22.000+06:30</t>
  </si>
  <si>
    <t>2020-02-24T15:20:00.000+06:30</t>
  </si>
  <si>
    <t>2020-02-24T15:40:00.000+06:30</t>
  </si>
  <si>
    <t>2020-02-25T10:02:00.000+06:30</t>
  </si>
  <si>
    <t>ffc2b8f5-4473-42ef-aa70-b10cf5507f22</t>
  </si>
  <si>
    <t>Associated Sample PLc1207 and TURBID/NOT TURBID, Enrichment done for 18 hrs.</t>
  </si>
  <si>
    <t>2020-03-13T07:47:47</t>
  </si>
  <si>
    <t>1b1e6c0a-48ff-45f1-923d-2f2360b075a6</t>
  </si>
  <si>
    <t>2020-03-19T06:24:55</t>
  </si>
  <si>
    <t>2020-03-13T13:22:09.000+06:30</t>
  </si>
  <si>
    <t>2020-03-19T12:00:24.000+06:30</t>
  </si>
  <si>
    <t>2020-02-25T10:04:00.000+06:30</t>
  </si>
  <si>
    <t>Associated Sample PLc1208 and NOT TURBID, Enrichment done for 18 hrs.</t>
  </si>
  <si>
    <t>2020-03-13T13:23:02.000+06:30</t>
  </si>
  <si>
    <t>a07148fe-a00f-43a7-9ac2-a72511603e69</t>
  </si>
  <si>
    <t>2020-03-19T06:25:58</t>
  </si>
  <si>
    <t>2020-03-19T12:01:22.000+06:30</t>
  </si>
  <si>
    <t>2020-02-25T10:05:00.000+06:30</t>
  </si>
  <si>
    <t>Associated Sample PLc1209 and NOT TURBID, Enrichment done for 18 hrs.</t>
  </si>
  <si>
    <t>dec5c653-1921-4277-87c8-668cf408bbb3</t>
  </si>
  <si>
    <t>2020-03-19T06:26:57</t>
  </si>
  <si>
    <t>2020-03-19T12:02:23.000+06:30</t>
  </si>
  <si>
    <t>2020-02-25T10:07:00.000+06:30</t>
  </si>
  <si>
    <t>Associated Sample PLc1210 and NOT TURBID, Enrichment done for 18 hrs.</t>
  </si>
  <si>
    <t>fbb76c17-79df-4787-bb1c-437bf03523e1</t>
  </si>
  <si>
    <t>2020-03-13T07:48:41</t>
  </si>
  <si>
    <t>e5f2780d-99ae-4401-a0fb-4e65b4be9006</t>
  </si>
  <si>
    <t>2020-03-19T06:27:58</t>
  </si>
  <si>
    <t>2020-03-13T13:23:03.000+06:30</t>
  </si>
  <si>
    <t>2020-03-19T12:03:18.000+06:30</t>
  </si>
  <si>
    <t>2020-03-13T13:24:10.000+06:30</t>
  </si>
  <si>
    <t>2020-02-25T10:08:00.000+06:30</t>
  </si>
  <si>
    <t>Associated Sample PLc1211 and NOT TURBID, Enrichment done for 18 hrs.</t>
  </si>
  <si>
    <t>cb6e1212-6f91-45d2-a62f-5fbdb8158c53</t>
  </si>
  <si>
    <t>2020-03-19T06:28:55</t>
  </si>
  <si>
    <t>cccc1512-8f32-448b-affb-809e10e162fd</t>
  </si>
  <si>
    <t>2020-03-13T07:49:49</t>
  </si>
  <si>
    <t>2020-03-19T12:04:09.000+06:30</t>
  </si>
  <si>
    <t>2020-03-13T13:25:21.000+06:30</t>
  </si>
  <si>
    <t>f6c3d7eb-dbd6-4581-a7d4-eb36d2ae11a0</t>
  </si>
  <si>
    <t>2020-03-19T06:29:47</t>
  </si>
  <si>
    <t>2020-03-19T12:05:21.000+06:30</t>
  </si>
  <si>
    <t>92fcddcd-6dcc-43c7-81d4-814dd53e03d7</t>
  </si>
  <si>
    <t>2020-03-13T07:51:00</t>
  </si>
  <si>
    <t>2020-02-25T15:15:00.000+06:30</t>
  </si>
  <si>
    <t>2020-02-26T10:00:00.000+06:30</t>
  </si>
  <si>
    <t>2020-02-26T10:30:00.000+06:30</t>
  </si>
  <si>
    <t>2020-03-13T13:26:12.000+06:30</t>
  </si>
  <si>
    <t>3cba90fb-ed89-4c71-818a-5ff17eab5195</t>
  </si>
  <si>
    <t>2020-03-19T06:30:55</t>
  </si>
  <si>
    <t>2020-03-19T12:06:27.000+06:30</t>
  </si>
  <si>
    <t>2020-02-26T10:32:00.000+06:30</t>
  </si>
  <si>
    <t>faf85ced-e089-4275-ba47-607d3fe06b35</t>
  </si>
  <si>
    <t>2020-03-13T07:51:50</t>
  </si>
  <si>
    <t>385cdcec-8255-4308-a90e-e805ff8e8f15</t>
  </si>
  <si>
    <t>2020-03-19T06:32:00</t>
  </si>
  <si>
    <t>2020-03-13T13:27:08.000+06:30</t>
  </si>
  <si>
    <t>2020-03-19T12:07:18.000+06:30</t>
  </si>
  <si>
    <t>2020-02-26T10:33:00.000+06:30</t>
  </si>
  <si>
    <t>Associated sample MO1207</t>
  </si>
  <si>
    <t>ae4966db-3a2c-498f-ab9d-82623e1e93a4</t>
  </si>
  <si>
    <t>2020-03-19T06:32:51</t>
  </si>
  <si>
    <t>2020-03-19T12:07:19.000+06:30</t>
  </si>
  <si>
    <t>7a24cf50-1a0f-456f-8a34-f7a838c45a4e</t>
  </si>
  <si>
    <t>2020-03-13T07:52:46</t>
  </si>
  <si>
    <t>2020-03-19T12:08:02.000+06:30</t>
  </si>
  <si>
    <t>2020-02-26T10:35:00.000+06:30</t>
  </si>
  <si>
    <t>2020-03-13T13:27:52.000+06:30</t>
  </si>
  <si>
    <t>1838ef6b-c3d7-4679-95c9-345e3afedebd</t>
  </si>
  <si>
    <t>2020-03-19T06:33:35</t>
  </si>
  <si>
    <t>2020-03-19T12:09:03.000+06:30</t>
  </si>
  <si>
    <t>128f1051-4ef7-4624-ae04-83df1688773d</t>
  </si>
  <si>
    <t>2020-03-13T07:53:31</t>
  </si>
  <si>
    <t>2020-02-26T10:07:00.000+06:30</t>
  </si>
  <si>
    <t>Associated Sample MO1193 and NOT TURBID, Enrichment done for 18 hrs.</t>
  </si>
  <si>
    <t>2020-03-13T13:27:53.000+06:30</t>
  </si>
  <si>
    <t>38b3ec82-b0ce-4a37-921c-da4b8d0926de</t>
  </si>
  <si>
    <t>2020-03-19T06:34:35</t>
  </si>
  <si>
    <t>2020-03-13T13:28:34.000+06:30</t>
  </si>
  <si>
    <t>2020-03-19T12:10:07.000+06:30</t>
  </si>
  <si>
    <t>2020-02-26T10:09:00.000+06:30</t>
  </si>
  <si>
    <t>Associated Sample MO1194 and NOT TURBID, Enrichment done for 18 hrs.</t>
  </si>
  <si>
    <t>3a7716eb-3b71-43de-b777-b20350da6256</t>
  </si>
  <si>
    <t>2020-03-19T06:35:38</t>
  </si>
  <si>
    <t>2020-03-19T12:11:01.000+06:30</t>
  </si>
  <si>
    <t>be58accf-6d24-47f1-bf28-0d08c8022b3c</t>
  </si>
  <si>
    <t>2020-03-13T07:54:13</t>
  </si>
  <si>
    <t>2020-02-26T10:10:00.000+06:30</t>
  </si>
  <si>
    <t>Associated Sample MO1195 and NOT TURBID, Enrichment done for 18 hrs.</t>
  </si>
  <si>
    <t>2020-03-13T13:29:16.000+06:30</t>
  </si>
  <si>
    <t>ccfbfada-c211-4473-9e7a-7abeee9954ff</t>
  </si>
  <si>
    <t>2020-03-19T06:36:34</t>
  </si>
  <si>
    <t>2020-03-19T12:12:09.000+06:30</t>
  </si>
  <si>
    <t>2fad8660-6e0e-48e3-8f92-a619ae18057d</t>
  </si>
  <si>
    <t>Associated Sample MO1196 and NOT TURBID, Enrichment done for 18 hrs.</t>
  </si>
  <si>
    <t>2020-03-13T07:54:55</t>
  </si>
  <si>
    <t>0a48df0c-c97b-4104-a52c-07eabc495986</t>
  </si>
  <si>
    <t>2020-03-19T06:37:39</t>
  </si>
  <si>
    <t>2020-03-19T12:12:54.000+06:30</t>
  </si>
  <si>
    <t>2020-03-13T13:30:00.000+06:30</t>
  </si>
  <si>
    <t>2020-02-26T10:03:00.000+06:30</t>
  </si>
  <si>
    <t>f0cde868-b15f-47b6-b9d5-58ceeac3600e</t>
  </si>
  <si>
    <t>2020-03-19T06:38:26</t>
  </si>
  <si>
    <t>2020-03-19T12:15:02.000+06:30</t>
  </si>
  <si>
    <t>Associated sample BW2002</t>
  </si>
  <si>
    <t>2020-02-26T10:28:00.000+06:30</t>
  </si>
  <si>
    <t>fd5cd2e1-e3e6-45c1-8784-4a60b07c4fcc</t>
  </si>
  <si>
    <t>2020-03-13T07:55:38</t>
  </si>
  <si>
    <t>5378bf01-64dc-4ab9-8e85-8b9e3aed9ef1</t>
  </si>
  <si>
    <t>2020-03-19T06:40:34</t>
  </si>
  <si>
    <t>2020-03-19T12:15:59.000+06:30</t>
  </si>
  <si>
    <t>2020-03-13T13:30:36.000+06:30</t>
  </si>
  <si>
    <t>2020-02-26T15:25:00.000+06:30</t>
  </si>
  <si>
    <t>2020-02-26T16:00:00.000+06:30</t>
  </si>
  <si>
    <t>2020-02-27T10:00:00.000+06:30</t>
  </si>
  <si>
    <t>2020-02-27T10:32:00.000+06:30</t>
  </si>
  <si>
    <t>22b18140-da2a-49ff-9184-93e472efccca</t>
  </si>
  <si>
    <t>2020-03-19T06:41:31</t>
  </si>
  <si>
    <t>2020-03-19T12:17:04.000+06:30</t>
  </si>
  <si>
    <t>edc2d260-8159-4a45-8333-ece3462a038d</t>
  </si>
  <si>
    <t>2020-02-27T10:07:00.000+06:30</t>
  </si>
  <si>
    <t>2020-03-13T07:56:14</t>
  </si>
  <si>
    <t>Associated Sample MO1197 and NOT TURBID, Enrichment done for 18 hrs.</t>
  </si>
  <si>
    <t>2020-03-13T13:30:37.000+06:30</t>
  </si>
  <si>
    <t>1c9c3852-12c5-4465-94f7-44d8e5820db1</t>
  </si>
  <si>
    <t>2020-03-19T06:42:37</t>
  </si>
  <si>
    <t>2020-03-13T13:31:23.000+06:30</t>
  </si>
  <si>
    <t>2020-03-19T12:17:59.000+06:30</t>
  </si>
  <si>
    <t>2020-02-27T10:34:00.000+06:30</t>
  </si>
  <si>
    <t>b0b37f8f-8eda-4e54-8c8b-ed57b88f1805</t>
  </si>
  <si>
    <t>2020-03-19T06:43:32</t>
  </si>
  <si>
    <t>2020-03-19T12:19:02.000+06:30</t>
  </si>
  <si>
    <t>Associated sample RP2003</t>
  </si>
  <si>
    <t>9861e7b1-82e1-48b4-98a8-9ca5047f9e8f</t>
  </si>
  <si>
    <t>2020-02-27T10:08:00.000+06:30</t>
  </si>
  <si>
    <t>2020-03-13T07:57:01</t>
  </si>
  <si>
    <t>Associated Sample MO1198 and NOT TURBID, Enrichment done for 18 hrs.</t>
  </si>
  <si>
    <t>0449bb68-a9cf-4b05-954c-71c81845e230</t>
  </si>
  <si>
    <t>2020-03-19T06:44:38</t>
  </si>
  <si>
    <t>2020-03-13T13:31:54.000+06:30</t>
  </si>
  <si>
    <t>2020-03-19T12:19:51.000+06:30</t>
  </si>
  <si>
    <t>EC57</t>
  </si>
  <si>
    <t>2020-02-27T10:36:00.000+06:30</t>
  </si>
  <si>
    <t>cb7c76fd-9e7c-4618-b7ff-22eada093062</t>
  </si>
  <si>
    <t>2020-03-19T06:45:23</t>
  </si>
  <si>
    <t>2020-03-19T12:21:04.000+06:30</t>
  </si>
  <si>
    <t>2020-02-27T10:10:00.000+06:30</t>
  </si>
  <si>
    <t>Associated Sample MO1199 and NOT TURBID, Enrichment done for 18 hrs.</t>
  </si>
  <si>
    <t>e56c4bc5-7f48-4f18-804e-a0ed539c1493</t>
  </si>
  <si>
    <t>e644ad3a-5718-4199-8157-e201453222e7</t>
  </si>
  <si>
    <t>2020-03-19T06:46:37</t>
  </si>
  <si>
    <t>2020-03-13T07:57:32</t>
  </si>
  <si>
    <t>2020-03-17T11:31:03.000+06:30</t>
  </si>
  <si>
    <t>2020-03-19T12:29:19.000+06:30</t>
  </si>
  <si>
    <t>2020-03-17T11:32:20.000+06:30</t>
  </si>
  <si>
    <t>2020-02-27T10:38:00.000+06:30</t>
  </si>
  <si>
    <t>1e530641-f933-4700-8839-bbf704f6a4e1</t>
  </si>
  <si>
    <t>2020-03-19T06:54:52</t>
  </si>
  <si>
    <t>S.typhi 13.03.2020, s.paratyphi 13.03.2020</t>
  </si>
  <si>
    <t>2020-03-19T12:30:31.000+06:30</t>
  </si>
  <si>
    <t>Associated Sample PL1028 and NOT TURBID, Enrichment done for 18 hrs.</t>
  </si>
  <si>
    <t>f4381ff2-2bc9-4217-82e1-ad54cb02557a</t>
  </si>
  <si>
    <t>bcae7edf-8453-472e-a7ba-537cecfceb76</t>
  </si>
  <si>
    <t>2020-03-17T05:57:57</t>
  </si>
  <si>
    <t>2020-03-19T06:56:05</t>
  </si>
  <si>
    <t>2020-03-19T12:31:19.000+06:30</t>
  </si>
  <si>
    <t>2020-03-17T11:33:10.000+06:30</t>
  </si>
  <si>
    <t>2020-02-27T10:40:00.000+06:30</t>
  </si>
  <si>
    <t>9509c4ce-3830-4b9d-8200-0b7c52b9eb0a</t>
  </si>
  <si>
    <t>2020-03-19T06:56:52</t>
  </si>
  <si>
    <t>2020-03-19T12:31:20.000+06:30</t>
  </si>
  <si>
    <t>2020-03-19T12:32:22.000+06:30</t>
  </si>
  <si>
    <t>2020-02-27T10:11:00.000+06:30</t>
  </si>
  <si>
    <t>Associated Sample PL1029 and NOT TURBID, Enrichment done for 18 hrs.</t>
  </si>
  <si>
    <t>66c0f15c-261e-462a-a31c-c3d8101ffb74</t>
  </si>
  <si>
    <t>2020-03-17T05:58:47</t>
  </si>
  <si>
    <t>3a06f0e1-afe8-4b89-8035-322070921f8c</t>
  </si>
  <si>
    <t>2020-03-19T06:57:55</t>
  </si>
  <si>
    <t>2020-03-17T11:33:11.000+06:30</t>
  </si>
  <si>
    <t>2020-03-19T12:33:12.000+06:30</t>
  </si>
  <si>
    <t>2020-03-17T11:34:18.000+06:30</t>
  </si>
  <si>
    <t>2020-02-27T10:03:00.000+06:30</t>
  </si>
  <si>
    <t>cc9f4825-85d4-4fb4-844c-7513ce152bad</t>
  </si>
  <si>
    <t>2020-03-19T06:58:45</t>
  </si>
  <si>
    <t>2020-03-19T12:34:41.000+06:30</t>
  </si>
  <si>
    <t>Associated sample MO1210</t>
  </si>
  <si>
    <t>2020-02-27T17:10:00.000+06:30</t>
  </si>
  <si>
    <t>ab824aaf-5276-474f-a9d1-62acc09ccc57</t>
  </si>
  <si>
    <t>2020-03-17T05:59:55</t>
  </si>
  <si>
    <t>f230aff8-ccfb-4487-be7f-56d2400b9e23</t>
  </si>
  <si>
    <t>2020-03-19T07:00:14</t>
  </si>
  <si>
    <t>2020-03-19T12:35:32.000+06:30</t>
  </si>
  <si>
    <t>2020-03-17T11:35:02.000+06:30</t>
  </si>
  <si>
    <t>2020-02-28T11:35:00.000+06:30</t>
  </si>
  <si>
    <t>840ddbf6-45da-4e2e-9039-48dbe48ae840</t>
  </si>
  <si>
    <t>2020-03-19T07:01:05</t>
  </si>
  <si>
    <t>2020-03-19T12:35:33.000+06:30</t>
  </si>
  <si>
    <t>2020-03-19T12:36:33.000+06:30</t>
  </si>
  <si>
    <t>b030e3b0-100f-42c6-ba04-193d1f76dbff</t>
  </si>
  <si>
    <t>2020-03-17T06:00:38</t>
  </si>
  <si>
    <t>2020-03-17T11:35:03.000+06:30</t>
  </si>
  <si>
    <t>2020-02-28T11:40:00.000+06:30</t>
  </si>
  <si>
    <t>2020-03-17T11:35:50.000+06:30</t>
  </si>
  <si>
    <t>ceb76cfe-523a-4bac-9cb6-cc797c9332c0</t>
  </si>
  <si>
    <t>2020-03-19T07:02:05</t>
  </si>
  <si>
    <t>2020-03-19T12:37:22.000+06:30</t>
  </si>
  <si>
    <t>073420b1-a011-48e9-9e4b-3230dd0bec98</t>
  </si>
  <si>
    <t>2020-03-17T06:01:26</t>
  </si>
  <si>
    <t>2020-02-28T11:42:00.000+06:30</t>
  </si>
  <si>
    <t>2020-03-17T11:36:26.000+06:30</t>
  </si>
  <si>
    <t>0cb90156-691f-4d42-ab26-4706c4ba94c9</t>
  </si>
  <si>
    <t>2020-03-19T07:02:55</t>
  </si>
  <si>
    <t>2020-03-19T12:38:05.000+06:30</t>
  </si>
  <si>
    <t>2020-02-28T11:45:00.000+06:30</t>
  </si>
  <si>
    <t>ebc07edd-b4d9-43c1-add3-e3ccd6ce53a4</t>
  </si>
  <si>
    <t>2020-03-17T06:02:02</t>
  </si>
  <si>
    <t>f156a229-db15-43bb-83fd-e976027ec33b</t>
  </si>
  <si>
    <t>2020-03-19T07:03:37</t>
  </si>
  <si>
    <t>2020-03-17T11:37:09.000+06:30</t>
  </si>
  <si>
    <t>2020-03-19T12:39:37.000+06:30</t>
  </si>
  <si>
    <t>Associated Sample MO1200 and NOT TURBID, Enrichment done for 18 hrs.</t>
  </si>
  <si>
    <t>Associated sample PL1030</t>
  </si>
  <si>
    <t>5696ae20-f203-4cad-ac4f-bb2c3f35f54a</t>
  </si>
  <si>
    <t>2020-03-19T07:05:09</t>
  </si>
  <si>
    <t>2841d153-ba96-42fb-8608-946936fe2399</t>
  </si>
  <si>
    <t>2020-03-17T06:02:44</t>
  </si>
  <si>
    <t>2020-03-19T12:40:49.000+06:30</t>
  </si>
  <si>
    <t>2020-03-17T11:41:13.000+06:30</t>
  </si>
  <si>
    <t>2020-02-28T11:17:00.000+06:30</t>
  </si>
  <si>
    <t>Associated Sample MO1201 and NOT TURBID, Enrichment done for 18 hrs.</t>
  </si>
  <si>
    <t>ed5b0f6d-1141-4125-841f-fc192743e972</t>
  </si>
  <si>
    <t>2020-03-19T07:06:23</t>
  </si>
  <si>
    <t>2020-03-19T12:42:20.000+06:30</t>
  </si>
  <si>
    <t>ae7524c1-880a-4771-92da-d40f55b069e6</t>
  </si>
  <si>
    <t>2020-03-17T06:06:49</t>
  </si>
  <si>
    <t>2020-02-28T11:19:00.000+06:30</t>
  </si>
  <si>
    <t>2020-03-17T11:41:14.000+06:30</t>
  </si>
  <si>
    <t>Associated Sample MO1202 and NOT TURBID, Enrichment done for 18 hrs.</t>
  </si>
  <si>
    <t>8d48ca00-80ae-4c44-a176-7a5c2787567b</t>
  </si>
  <si>
    <t>2020-03-19T07:07:54</t>
  </si>
  <si>
    <t>2020-03-17T11:42:00.000+06:30</t>
  </si>
  <si>
    <t>2020-03-19T12:43:30.000+06:30</t>
  </si>
  <si>
    <t>2020-02-28T11:20:00.000+06:30</t>
  </si>
  <si>
    <t>Associated Sample MO1203 and NOT TURBID, Enrichment done for 18 hrs.</t>
  </si>
  <si>
    <t>acccd9e3-00d2-48e7-874e-f3b35cdf7b2b</t>
  </si>
  <si>
    <t>2020-03-19T07:09:03</t>
  </si>
  <si>
    <t>2020-03-19T12:44:56.000+06:30</t>
  </si>
  <si>
    <t>65370725-5b4c-430f-8938-1423ebe8b429</t>
  </si>
  <si>
    <t>2020-03-17T06:07:36</t>
  </si>
  <si>
    <t>Associated Sample MO1204 and NOT TURBID, Enrichment done for 18 hrs.</t>
  </si>
  <si>
    <t>2020-03-17T11:42:54.000+06:30</t>
  </si>
  <si>
    <t>e93af360-f33a-4c7a-bd6a-813093918800</t>
  </si>
  <si>
    <t>2020-03-19T07:10:29</t>
  </si>
  <si>
    <t>2020-03-19T12:45:47.000+06:30</t>
  </si>
  <si>
    <t>2020-02-28T11:47:00.000+06:30</t>
  </si>
  <si>
    <t>84ea06f2-d849-4200-b812-2f9a3ffee540</t>
  </si>
  <si>
    <t>2020-03-17T06:08:29</t>
  </si>
  <si>
    <t>7ea1aead-0cbb-4366-8dca-2ca39e78925e</t>
  </si>
  <si>
    <t>2020-03-19T07:11:20</t>
  </si>
  <si>
    <t>2020-03-19T12:45:48.000+06:30</t>
  </si>
  <si>
    <t>2020-03-19T12:46:59.000+06:30</t>
  </si>
  <si>
    <t>2020-03-17T11:43:46.000+06:30</t>
  </si>
  <si>
    <t>2020-02-28T11:21:00.000+06:30</t>
  </si>
  <si>
    <t>Associated Sample PLc1212 and NOT TURBID, Enrichment done for 18 hrs.</t>
  </si>
  <si>
    <t>5a02cb91-54c1-412a-a095-0294b71f4ca3</t>
  </si>
  <si>
    <t>Associated sample MO1213</t>
  </si>
  <si>
    <t>2020-03-19T07:12:33</t>
  </si>
  <si>
    <t>a1547d90-80cc-43e0-8c99-35902a80cf94</t>
  </si>
  <si>
    <t>2020-03-17T06:09:21</t>
  </si>
  <si>
    <t>2020-03-19T12:47:46.000+06:30</t>
  </si>
  <si>
    <t>2020-03-17T11:44:33.000+06:30</t>
  </si>
  <si>
    <t>2020-02-28T11:48:00.000+06:30</t>
  </si>
  <si>
    <t>444cf476-9279-4d7b-814f-e597213ecba2</t>
  </si>
  <si>
    <t>2020-03-19T07:13:19</t>
  </si>
  <si>
    <t>2020-03-19T12:49:19.000+06:30</t>
  </si>
  <si>
    <t>2020-02-28T11:22:00.000+06:30</t>
  </si>
  <si>
    <t>049422ae-5681-4562-9b3f-3f9efcf13bf4</t>
  </si>
  <si>
    <t>2020-03-17T06:10:08</t>
  </si>
  <si>
    <t>Associated Sample PLc1213 and NOT TURBID, Enrichment done for 18 hrs.</t>
  </si>
  <si>
    <t>d873e128-84d8-4b09-9ed9-4986dacd7652</t>
  </si>
  <si>
    <t>2020-03-19T07:14:52</t>
  </si>
  <si>
    <t>2020-03-17T11:45:38.000+06:30</t>
  </si>
  <si>
    <t>2020-03-19T12:50:30.000+06:30</t>
  </si>
  <si>
    <t>2020-02-28T11:50:00.000+06:30</t>
  </si>
  <si>
    <t>f62177dd-0bb0-4bb7-8606-dd580826849b</t>
  </si>
  <si>
    <t>2020-03-19T07:16:04</t>
  </si>
  <si>
    <t>414373d9-b861-4efb-850f-b46d5a8c7b91</t>
  </si>
  <si>
    <t>2020-03-17T06:11:13</t>
  </si>
  <si>
    <t>2020-03-19T12:51:36.000+06:30</t>
  </si>
  <si>
    <t>2020-03-17T11:46:40.000+06:30</t>
  </si>
  <si>
    <t>Associated Sample PLc1214 and NOT TURBID, Enrichment done for 18 hrs.</t>
  </si>
  <si>
    <t>424f7a59-061f-42b2-a859-cd6f86f015c7</t>
  </si>
  <si>
    <t>2020-03-19T07:17:09</t>
  </si>
  <si>
    <t>0db28a9c-3c6a-4003-ae96-e32993ad18cf</t>
  </si>
  <si>
    <t>2020-03-17T06:12:15</t>
  </si>
  <si>
    <t>2020-03-19T12:55:17.000+06:30</t>
  </si>
  <si>
    <t>2020-03-17T11:47:29.000+06:30</t>
  </si>
  <si>
    <t>2020-02-28T11:23:00.000+06:30</t>
  </si>
  <si>
    <t>Associated Sample FPa2005, FPb2005, FPc2005, FPd2005, FPe2005 and NOT TURBID, Enrichment done for 18 hrs.</t>
  </si>
  <si>
    <t>732c92d3-9cc2-405c-9ef6-7f0032c6bf1e</t>
  </si>
  <si>
    <t>2020-03-19T07:20:50</t>
  </si>
  <si>
    <t>2020-03-19T12:56:17.000+06:30</t>
  </si>
  <si>
    <t>9acef269-c7ee-4f0f-a3bd-c8172dd32c41</t>
  </si>
  <si>
    <t>2020-03-17T06:13:05</t>
  </si>
  <si>
    <t>2020-02-28T11:10:00.000+06:30</t>
  </si>
  <si>
    <t>42301e11-df4c-4f3a-be87-79ac6e7ffafb</t>
  </si>
  <si>
    <t>2020-03-19T07:21:50</t>
  </si>
  <si>
    <t>2020-03-17T11:48:15.000+06:30</t>
  </si>
  <si>
    <t>Associated sample PLc1218</t>
  </si>
  <si>
    <t>22422a73-d770-48fa-b1c5-29dea06dcb3b</t>
  </si>
  <si>
    <t>2020-03-17T06:13:51</t>
  </si>
  <si>
    <t>2020-03-17T11:49:12.000+06:30</t>
  </si>
  <si>
    <t>cdc93c76-6d62-4e80-abcc-170d23769f51</t>
  </si>
  <si>
    <t>2020-03-17T06:14:48</t>
  </si>
  <si>
    <t>2020-03-17T11:49:13.000+06:30</t>
  </si>
  <si>
    <t>2020-03-17T11:49:50.000+06:30</t>
  </si>
  <si>
    <t>EC58</t>
  </si>
  <si>
    <t>77e06837-0580-4bab-85d6-404e755d1b6c</t>
  </si>
  <si>
    <t>2020-03-17T06:15:25</t>
  </si>
  <si>
    <t>2020-03-17T11:51:17.000+06:30</t>
  </si>
  <si>
    <t>ddacb79f-6971-46f7-be0c-9befff440c0f</t>
  </si>
  <si>
    <t>2020-03-17T06:16:52</t>
  </si>
  <si>
    <t>2020-03-17T11:52:09.000+06:30</t>
  </si>
  <si>
    <t>abd8509f-7858-412f-8aad-c3972a6d7750</t>
  </si>
  <si>
    <t>2020-03-17T06:17:44</t>
  </si>
  <si>
    <t>2020-03-17T11:53:18.000+06:30</t>
  </si>
  <si>
    <t>S.typhi 16.03.2020, s.paratyphi 16.03.2020</t>
  </si>
  <si>
    <t>94b2b5ca-2fed-4975-b2f6-9cf7475931a8</t>
  </si>
  <si>
    <t>2020-03-17T06:18:54</t>
  </si>
  <si>
    <t>2020-03-17T11:53:53.000+06:30</t>
  </si>
  <si>
    <t>183e7613-80d8-4073-a14e-9b964dfa7781</t>
  </si>
  <si>
    <t>2020-03-17T06:19:28</t>
  </si>
  <si>
    <t>2020-03-17T11:54:30.000+06:30</t>
  </si>
  <si>
    <t>6ec2a481-6b04-4b10-b948-fa02f7ca44b7</t>
  </si>
  <si>
    <t>2020-03-17T06:20:05</t>
  </si>
  <si>
    <t>2020-03-17T11:55:07.000+06:30</t>
  </si>
  <si>
    <t>e2f9bf43-cbb0-4891-9e49-805c28f884e1</t>
  </si>
  <si>
    <t>2020-03-17T06:20:41</t>
  </si>
  <si>
    <t>2020-03-17T11:55:40.000+06:30</t>
  </si>
  <si>
    <t>5a239988-f058-4ce5-bc88-f2411ef3ddd8</t>
  </si>
  <si>
    <t>2020-03-17T06:21:16</t>
  </si>
  <si>
    <t>2020-03-17T11:55:41.000+06:30</t>
  </si>
  <si>
    <t>2020-03-17T11:56:29.000+06:30</t>
  </si>
  <si>
    <t>Associated sample PL1033</t>
  </si>
  <si>
    <t>e50b10f9-17c5-4219-bbaa-171f7c8ea9d2</t>
  </si>
  <si>
    <t>2020-03-17T06:22:04</t>
  </si>
  <si>
    <t>2020-03-17T11:57:05.000+06:30</t>
  </si>
  <si>
    <t>79d7688a-c5ed-4b05-bbc8-f920cfa01b5e</t>
  </si>
  <si>
    <t>2020-03-17T06:22:40</t>
  </si>
  <si>
    <t>2020-03-17T11:58:08.000+06:30</t>
  </si>
  <si>
    <t>ae7b4f9e-6629-440f-b8ee-207146bb6bee</t>
  </si>
  <si>
    <t>2020-03-17T06:23:43</t>
  </si>
  <si>
    <t>2020-03-17T11:59:09.000+06:30</t>
  </si>
  <si>
    <t>Associated sample PLc1221</t>
  </si>
  <si>
    <t>b249ffc0-1f4b-4065-b657-5b40a9c6b411</t>
  </si>
  <si>
    <t>2020-03-17T06:24:44</t>
  </si>
  <si>
    <t>2020-03-17T12:01:03.000+06:30</t>
  </si>
  <si>
    <t>126dee62-6b9c-43d4-8974-89f73687bc22</t>
  </si>
  <si>
    <t>2020-03-17T06:26:39</t>
  </si>
  <si>
    <t>2020-03-17T12:01:37.000+06:30</t>
  </si>
  <si>
    <t>7e467666-cf11-4782-92c0-381422ac2384</t>
  </si>
  <si>
    <t>2020-03-17T06:27:14</t>
  </si>
  <si>
    <t>2020-03-17T12:01:38.000+06:30</t>
  </si>
  <si>
    <t>2020-03-17T12:02:13.000+06:30</t>
  </si>
  <si>
    <t>d7698d85-f295-4c55-94d6-e83794e6eb14</t>
  </si>
  <si>
    <t>2020-03-17T06:27:49</t>
  </si>
  <si>
    <t>2020-03-17T12:02:53.000+06:30</t>
  </si>
  <si>
    <t>38be9042-ec6b-4bcd-9bd7-c8642cde73ec</t>
  </si>
  <si>
    <t>2020-03-17T06:28:32</t>
  </si>
  <si>
    <t>2020-03-17T12:03:55.000+06:30</t>
  </si>
  <si>
    <t>e7e739d5-743a-45cf-bc5a-7fc80ca51eb5</t>
  </si>
  <si>
    <t>2020-03-17T06:29:30</t>
  </si>
  <si>
    <t>2020-03-17T12:05:07.000+06:30</t>
  </si>
  <si>
    <t>7c58b7ed-594b-45cd-af2c-05909975b746</t>
  </si>
  <si>
    <t>2020-03-17T06:30:42</t>
  </si>
  <si>
    <t>2020-03-17T12:06:16.000+06:30</t>
  </si>
  <si>
    <t>Associated sample MO1221</t>
  </si>
  <si>
    <t>b5bf5178-6be8-4a64-b69a-647d92ce438c</t>
  </si>
  <si>
    <t>2020-03-17T06:31:53</t>
  </si>
  <si>
    <t>2020-03-17T12:06:17.000+06:30</t>
  </si>
  <si>
    <t>2020-03-17T12:06:48.000+06:30</t>
  </si>
  <si>
    <t>EC59</t>
  </si>
  <si>
    <t>81fad491-e81e-450c-a1c2-a4d23332436c</t>
  </si>
  <si>
    <t>2020-03-17T06:32:24</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</si>
</sst>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M/d/yyyy"/>
    <numFmt numFmtId="165" formatCode="m d"/>
    <numFmt numFmtId="166" formatCode="yyyy-mm-dd"/>
    <numFmt numFmtId="167" formatCode="m, d"/>
  </numFmts>
  <fonts count="16">
    <font>
      <sz val="10.0"/>
      <color rgb="FF000000"/>
      <name val="Arial"/>
    </font>
    <font>
      <color theme="1"/>
      <name val="Arial"/>
    </font>
    <font>
      <sz val="10.0"/>
      <color theme="1"/>
      <name val="Arial"/>
    </font>
    <font>
      <b/>
      <color theme="1"/>
      <name val="Arial"/>
    </font>
    <font>
      <color rgb="FF000000"/>
      <name val="Arial"/>
    </font>
    <font>
      <color rgb="FFFF0000"/>
      <name val="Arial"/>
    </font>
    <font>
      <sz val="11.0"/>
      <color rgb="FF000000"/>
      <name val="Calibri"/>
    </font>
    <font>
      <sz val="11.0"/>
      <color rgb="FFFF0000"/>
      <name val="Calibri"/>
    </font>
    <font>
      <sz val="10.0"/>
      <color theme="1"/>
      <name val="Calibri"/>
    </font>
    <font>
      <sz val="10.0"/>
      <color rgb="FF000000"/>
      <name val="Calibri"/>
    </font>
    <font>
      <sz val="12.0"/>
      <color rgb="FF000000"/>
      <name val="Calibri"/>
    </font>
    <font>
      <sz val="11.0"/>
      <color rgb="FF000000"/>
      <name val="Arial"/>
    </font>
    <font>
      <sz val="10.0"/>
      <color rgb="FFFF0000"/>
      <name val="Arial"/>
    </font>
    <font>
      <color rgb="FFCC0000"/>
      <name val="Arial"/>
    </font>
    <font>
      <sz val="11.0"/>
      <color rgb="FF000000"/>
      <name val="Inconsolata"/>
    </font>
    <font>
      <sz val="11.0"/>
      <color theme="1"/>
      <name val="Calibri"/>
    </font>
  </fonts>
  <fills count="19">
    <fill>
      <patternFill patternType="none"/>
    </fill>
    <fill>
      <patternFill patternType="lightGray"/>
    </fill>
    <fill>
      <patternFill patternType="solid">
        <fgColor rgb="FFD0E0E3"/>
        <bgColor rgb="FFD0E0E3"/>
      </patternFill>
    </fill>
    <fill>
      <patternFill patternType="solid">
        <fgColor rgb="FFD9EAD3"/>
        <bgColor rgb="FFD9EAD3"/>
      </patternFill>
    </fill>
    <fill>
      <patternFill patternType="solid">
        <fgColor rgb="FFF4CCCC"/>
        <bgColor rgb="FFF4CCCC"/>
      </patternFill>
    </fill>
    <fill>
      <patternFill patternType="solid">
        <fgColor rgb="FFC9DAF8"/>
        <bgColor rgb="FFC9DAF8"/>
      </patternFill>
    </fill>
    <fill>
      <patternFill patternType="solid">
        <fgColor rgb="FFFCE5CD"/>
        <bgColor rgb="FFFCE5CD"/>
      </patternFill>
    </fill>
    <fill>
      <patternFill patternType="solid">
        <fgColor rgb="FFFFF2CC"/>
        <bgColor rgb="FFFFF2CC"/>
      </patternFill>
    </fill>
    <fill>
      <patternFill patternType="solid">
        <fgColor rgb="FFD9D2E9"/>
        <bgColor rgb="FFD9D2E9"/>
      </patternFill>
    </fill>
    <fill>
      <patternFill patternType="solid">
        <fgColor rgb="FFFFFF00"/>
        <bgColor rgb="FFFFFF00"/>
      </patternFill>
    </fill>
    <fill>
      <patternFill patternType="solid">
        <fgColor rgb="FFAEAAAA"/>
        <bgColor rgb="FFAEAAAA"/>
      </patternFill>
    </fill>
    <fill>
      <patternFill patternType="solid">
        <fgColor rgb="FFE6B8AF"/>
        <bgColor rgb="FFE6B8AF"/>
      </patternFill>
    </fill>
    <fill>
      <patternFill patternType="solid">
        <fgColor rgb="FFCFE2F3"/>
        <bgColor rgb="FFCFE2F3"/>
      </patternFill>
    </fill>
    <fill>
      <patternFill patternType="solid">
        <fgColor rgb="FFCCCCCC"/>
        <bgColor rgb="FFCCCCCC"/>
      </patternFill>
    </fill>
    <fill>
      <patternFill patternType="solid">
        <fgColor rgb="FFF3F3F3"/>
        <bgColor rgb="FFF3F3F3"/>
      </patternFill>
    </fill>
    <fill>
      <patternFill patternType="solid">
        <fgColor rgb="FF990000"/>
        <bgColor rgb="FF990000"/>
      </patternFill>
    </fill>
    <fill>
      <patternFill patternType="solid">
        <fgColor rgb="FFEFEFEF"/>
        <bgColor rgb="FFEFEFEF"/>
      </patternFill>
    </fill>
    <fill>
      <patternFill patternType="solid">
        <fgColor rgb="FFE69138"/>
        <bgColor rgb="FFE69138"/>
      </patternFill>
    </fill>
    <fill>
      <patternFill patternType="solid">
        <fgColor rgb="FFFFFFFF"/>
        <bgColor rgb="FFFFFFFF"/>
      </patternFill>
    </fill>
  </fills>
  <borders count="4">
    <border/>
    <border>
      <right style="thin">
        <color rgb="FF000000"/>
      </right>
    </border>
    <border>
      <left style="thin">
        <color rgb="FF000000"/>
      </left>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15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1" numFmtId="0" xfId="0" applyAlignment="1" applyFill="1" applyFont="1">
      <alignment readingOrder="0"/>
    </xf>
    <xf borderId="1" fillId="0" fontId="1" numFmtId="0" xfId="0" applyAlignment="1" applyBorder="1" applyFont="1">
      <alignment readingOrder="0"/>
    </xf>
    <xf borderId="0" fillId="3" fontId="1" numFmtId="0" xfId="0" applyAlignment="1" applyFill="1" applyFont="1">
      <alignment readingOrder="0"/>
    </xf>
    <xf borderId="0" fillId="4" fontId="1" numFmtId="0" xfId="0" applyAlignment="1" applyFill="1" applyFont="1">
      <alignment readingOrder="0"/>
    </xf>
    <xf borderId="0" fillId="5" fontId="1" numFmtId="0" xfId="0" applyAlignment="1" applyFill="1" applyFont="1">
      <alignment readingOrder="0"/>
    </xf>
    <xf borderId="1" fillId="4" fontId="1" numFmtId="0" xfId="0" applyAlignment="1" applyBorder="1" applyFont="1">
      <alignment readingOrder="0"/>
    </xf>
    <xf borderId="0" fillId="6" fontId="1" numFmtId="0" xfId="0" applyAlignment="1" applyFill="1" applyFont="1">
      <alignment readingOrder="0"/>
    </xf>
    <xf borderId="0" fillId="7" fontId="1" numFmtId="0" xfId="0" applyAlignment="1" applyFill="1" applyFont="1">
      <alignment readingOrder="0"/>
    </xf>
    <xf borderId="0" fillId="0" fontId="3" numFmtId="0" xfId="0" applyAlignment="1" applyFont="1">
      <alignment readingOrder="0"/>
    </xf>
    <xf borderId="1" fillId="7" fontId="1" numFmtId="0" xfId="0" applyAlignment="1" applyBorder="1" applyFont="1">
      <alignment readingOrder="0"/>
    </xf>
    <xf borderId="1" fillId="3" fontId="1" numFmtId="0" xfId="0" applyAlignment="1" applyBorder="1" applyFont="1">
      <alignment readingOrder="0"/>
    </xf>
    <xf borderId="0" fillId="2" fontId="1" numFmtId="164" xfId="0" applyAlignment="1" applyFont="1" applyNumberFormat="1">
      <alignment readingOrder="0"/>
    </xf>
    <xf borderId="1" fillId="5" fontId="1" numFmtId="0" xfId="0" applyAlignment="1" applyBorder="1" applyFont="1">
      <alignment readingOrder="0"/>
    </xf>
    <xf borderId="0" fillId="8" fontId="1" numFmtId="0" xfId="0" applyAlignment="1" applyFill="1" applyFont="1">
      <alignment readingOrder="0"/>
    </xf>
    <xf borderId="1" fillId="8" fontId="1" numFmtId="0" xfId="0" applyAlignment="1" applyBorder="1" applyFont="1">
      <alignment readingOrder="0"/>
    </xf>
    <xf borderId="0" fillId="0" fontId="1" numFmtId="0" xfId="0" applyFont="1"/>
    <xf borderId="0" fillId="0" fontId="2" numFmtId="0" xfId="0" applyFont="1"/>
    <xf borderId="0" fillId="2" fontId="1" numFmtId="164" xfId="0" applyFont="1" applyNumberFormat="1"/>
    <xf borderId="1" fillId="0" fontId="1" numFmtId="164" xfId="0" applyBorder="1" applyFont="1" applyNumberFormat="1"/>
    <xf borderId="0" fillId="2" fontId="1" numFmtId="0" xfId="0" applyFont="1"/>
    <xf borderId="0" fillId="0" fontId="1" numFmtId="0" xfId="0" applyFont="1"/>
    <xf borderId="0" fillId="0" fontId="1" numFmtId="164" xfId="0" applyFont="1" applyNumberFormat="1"/>
    <xf borderId="1" fillId="0" fontId="1" numFmtId="0" xfId="0" applyBorder="1" applyFont="1"/>
    <xf borderId="0" fillId="0" fontId="1" numFmtId="164" xfId="0" applyAlignment="1" applyFont="1" applyNumberFormat="1">
      <alignment readingOrder="0"/>
    </xf>
    <xf borderId="0" fillId="0" fontId="0" numFmtId="0" xfId="0" applyAlignment="1" applyFont="1">
      <alignment shrinkToFit="0" vertical="bottom" wrapText="0"/>
    </xf>
    <xf borderId="0" fillId="0" fontId="0" numFmtId="0" xfId="0" applyAlignment="1" applyFont="1">
      <alignment readingOrder="0" shrinkToFit="0" vertical="bottom" wrapText="0"/>
    </xf>
    <xf borderId="0" fillId="0" fontId="1" numFmtId="10" xfId="0" applyFont="1" applyNumberFormat="1"/>
    <xf borderId="0" fillId="9" fontId="1" numFmtId="0" xfId="0" applyFill="1" applyFont="1"/>
    <xf borderId="0" fillId="0" fontId="1" numFmtId="0" xfId="0" applyAlignment="1" applyFont="1">
      <alignment readingOrder="0"/>
    </xf>
    <xf borderId="0" fillId="0" fontId="1" numFmtId="0" xfId="0" applyFont="1"/>
    <xf borderId="0" fillId="0" fontId="1" numFmtId="0" xfId="0" applyAlignment="1" applyFont="1">
      <alignment readingOrder="0"/>
    </xf>
    <xf borderId="0" fillId="0" fontId="4" numFmtId="0" xfId="0" applyAlignment="1" applyFont="1">
      <alignment horizontal="right" readingOrder="0" shrinkToFit="0" vertical="bottom" wrapText="0"/>
    </xf>
    <xf borderId="0" fillId="0" fontId="4" numFmtId="0" xfId="0" applyAlignment="1" applyFont="1">
      <alignment readingOrder="0" shrinkToFit="0" vertical="bottom" wrapText="0"/>
    </xf>
    <xf borderId="2" fillId="10" fontId="3" numFmtId="0" xfId="0" applyAlignment="1" applyBorder="1" applyFill="1" applyFont="1">
      <alignment horizontal="center" readingOrder="0" vertical="top"/>
    </xf>
    <xf borderId="2" fillId="0" fontId="1" numFmtId="0" xfId="0" applyAlignment="1" applyBorder="1" applyFont="1">
      <alignment horizontal="left" readingOrder="0" vertical="top"/>
    </xf>
    <xf borderId="3" fillId="0" fontId="1" numFmtId="0" xfId="0" applyAlignment="1" applyBorder="1" applyFont="1">
      <alignment horizontal="center" readingOrder="0" vertical="top"/>
    </xf>
    <xf borderId="0" fillId="0" fontId="1" numFmtId="0" xfId="0" applyAlignment="1" applyFont="1">
      <alignment vertical="bottom"/>
    </xf>
    <xf borderId="0" fillId="0" fontId="2" numFmtId="0" xfId="0" applyAlignment="1" applyFont="1">
      <alignment vertical="bottom"/>
    </xf>
    <xf borderId="0" fillId="0" fontId="2" numFmtId="0" xfId="0" applyAlignment="1" applyFont="1">
      <alignment readingOrder="0" vertical="bottom"/>
    </xf>
    <xf borderId="0" fillId="0" fontId="1" numFmtId="164" xfId="0" applyAlignment="1" applyFont="1" applyNumberFormat="1">
      <alignment vertical="bottom"/>
    </xf>
    <xf borderId="0" fillId="0" fontId="1" numFmtId="164" xfId="0" applyAlignment="1" applyFont="1" applyNumberFormat="1">
      <alignment horizontal="right" vertical="bottom"/>
    </xf>
    <xf borderId="1" fillId="0" fontId="1" numFmtId="0" xfId="0" applyAlignment="1" applyBorder="1" applyFont="1">
      <alignment horizontal="right" vertical="bottom"/>
    </xf>
    <xf borderId="1" fillId="0" fontId="1" numFmtId="0" xfId="0" applyAlignment="1" applyBorder="1" applyFont="1">
      <alignment vertical="bottom"/>
    </xf>
    <xf borderId="0" fillId="0" fontId="1" numFmtId="0" xfId="0" applyAlignment="1" applyFont="1">
      <alignment vertical="bottom"/>
    </xf>
    <xf borderId="0" fillId="0" fontId="3" numFmtId="0" xfId="0" applyFont="1"/>
    <xf borderId="0" fillId="0" fontId="1" numFmtId="0" xfId="0" applyAlignment="1" applyFont="1">
      <alignment readingOrder="0" vertical="bottom"/>
    </xf>
    <xf borderId="0" fillId="0" fontId="5" numFmtId="0" xfId="0" applyAlignment="1" applyFont="1">
      <alignment readingOrder="0"/>
    </xf>
    <xf borderId="0" fillId="0" fontId="6" numFmtId="0" xfId="0" applyAlignment="1" applyFont="1">
      <alignment readingOrder="0" shrinkToFit="0" vertical="bottom" wrapText="0"/>
    </xf>
    <xf borderId="0" fillId="0" fontId="7" numFmtId="0" xfId="0" applyAlignment="1" applyFont="1">
      <alignment readingOrder="0" shrinkToFit="0" vertical="bottom" wrapText="0"/>
    </xf>
    <xf borderId="0" fillId="0" fontId="1" numFmtId="0" xfId="0" applyAlignment="1" applyFont="1">
      <alignment readingOrder="0"/>
    </xf>
    <xf borderId="0" fillId="9" fontId="1" numFmtId="0" xfId="0" applyAlignment="1" applyFont="1">
      <alignment vertical="bottom"/>
    </xf>
    <xf borderId="0" fillId="0" fontId="1" numFmtId="0" xfId="0" applyAlignment="1" applyFont="1">
      <alignment horizontal="center"/>
    </xf>
    <xf borderId="0" fillId="0" fontId="5" numFmtId="0" xfId="0" applyFont="1"/>
    <xf borderId="0" fillId="11" fontId="1" numFmtId="0" xfId="0" applyFill="1" applyFont="1"/>
    <xf borderId="0" fillId="0" fontId="5" numFmtId="164" xfId="0" applyAlignment="1" applyFont="1" applyNumberFormat="1">
      <alignment readingOrder="0"/>
    </xf>
    <xf borderId="0" fillId="12" fontId="1" numFmtId="0" xfId="0" applyFill="1" applyFont="1"/>
    <xf borderId="0" fillId="12" fontId="1" numFmtId="164" xfId="0" applyFont="1" applyNumberFormat="1"/>
    <xf borderId="1" fillId="12" fontId="1" numFmtId="0" xfId="0" applyBorder="1" applyFont="1"/>
    <xf borderId="0" fillId="12" fontId="1" numFmtId="0" xfId="0" applyAlignment="1" applyFont="1">
      <alignment vertical="bottom"/>
    </xf>
    <xf borderId="0" fillId="12" fontId="1" numFmtId="164" xfId="0" applyAlignment="1" applyFont="1" applyNumberFormat="1">
      <alignment horizontal="right" vertical="bottom"/>
    </xf>
    <xf borderId="1" fillId="12" fontId="1" numFmtId="0" xfId="0" applyAlignment="1" applyBorder="1" applyFont="1">
      <alignment horizontal="right" vertical="bottom"/>
    </xf>
    <xf borderId="0" fillId="12" fontId="1" numFmtId="0" xfId="0" applyAlignment="1" applyFont="1">
      <alignment horizontal="right" vertical="bottom"/>
    </xf>
    <xf borderId="1" fillId="12" fontId="1" numFmtId="0" xfId="0" applyAlignment="1" applyBorder="1" applyFont="1">
      <alignment vertical="bottom"/>
    </xf>
    <xf borderId="0" fillId="12" fontId="1" numFmtId="164" xfId="0" applyAlignment="1" applyFont="1" applyNumberFormat="1">
      <alignment vertical="bottom"/>
    </xf>
    <xf borderId="1" fillId="0" fontId="1" numFmtId="0" xfId="0" applyAlignment="1" applyBorder="1" applyFont="1">
      <alignment vertical="bottom"/>
    </xf>
    <xf borderId="0" fillId="0" fontId="8" numFmtId="0" xfId="0" applyAlignment="1" applyFont="1">
      <alignment horizontal="left" readingOrder="0" shrinkToFit="0" vertical="bottom" wrapText="0"/>
    </xf>
    <xf borderId="0" fillId="0" fontId="2" numFmtId="0" xfId="0" applyAlignment="1" applyFont="1">
      <alignment readingOrder="0"/>
    </xf>
    <xf borderId="0" fillId="0" fontId="6" numFmtId="0" xfId="0" applyAlignment="1" applyFont="1">
      <alignment vertical="bottom"/>
    </xf>
    <xf borderId="0" fillId="0" fontId="6" numFmtId="0" xfId="0" applyAlignment="1" applyFont="1">
      <alignment horizontal="right" vertical="bottom"/>
    </xf>
    <xf borderId="0" fillId="0" fontId="9" numFmtId="0" xfId="0" applyAlignment="1" applyFont="1">
      <alignment readingOrder="0" shrinkToFit="0" vertical="bottom" wrapText="0"/>
    </xf>
    <xf borderId="0" fillId="0" fontId="5" numFmtId="0" xfId="0" applyFont="1"/>
    <xf borderId="0" fillId="0" fontId="10" numFmtId="0" xfId="0" applyAlignment="1" applyFont="1">
      <alignment readingOrder="0" shrinkToFit="0" vertical="bottom" wrapText="0"/>
    </xf>
    <xf borderId="0" fillId="13" fontId="1" numFmtId="0" xfId="0" applyAlignment="1" applyFill="1" applyFont="1">
      <alignment readingOrder="0"/>
    </xf>
    <xf borderId="0" fillId="3" fontId="1" numFmtId="0" xfId="0" applyFont="1"/>
    <xf borderId="0" fillId="3" fontId="1" numFmtId="164" xfId="0" applyFont="1" applyNumberFormat="1"/>
    <xf borderId="1" fillId="3" fontId="1" numFmtId="0" xfId="0" applyBorder="1" applyFont="1"/>
    <xf borderId="1" fillId="2" fontId="1" numFmtId="0" xfId="0" applyBorder="1" applyFont="1"/>
    <xf borderId="0" fillId="2" fontId="1" numFmtId="0" xfId="0" applyAlignment="1" applyFont="1">
      <alignment horizontal="center" readingOrder="0"/>
    </xf>
    <xf borderId="0" fillId="12" fontId="1" numFmtId="0" xfId="0" applyAlignment="1" applyFont="1">
      <alignment readingOrder="0"/>
    </xf>
    <xf borderId="0" fillId="0" fontId="0" numFmtId="0" xfId="0" applyAlignment="1" applyFont="1">
      <alignment readingOrder="0" vertical="bottom"/>
    </xf>
    <xf borderId="0" fillId="14" fontId="1" numFmtId="0" xfId="0" applyAlignment="1" applyFill="1" applyFont="1">
      <alignment readingOrder="0"/>
    </xf>
    <xf borderId="0" fillId="0" fontId="1" numFmtId="0" xfId="0" applyAlignment="1" applyFont="1">
      <alignment horizontal="center" readingOrder="0"/>
    </xf>
    <xf borderId="0" fillId="0" fontId="0" numFmtId="0" xfId="0" applyAlignment="1" applyFont="1">
      <alignment vertical="bottom"/>
    </xf>
    <xf borderId="0" fillId="0" fontId="11" numFmtId="0" xfId="0" applyAlignment="1" applyFont="1">
      <alignment readingOrder="0" shrinkToFit="0" vertical="bottom" wrapText="0"/>
    </xf>
    <xf borderId="0" fillId="15" fontId="2" numFmtId="0" xfId="0" applyFill="1" applyFont="1"/>
    <xf borderId="0" fillId="0" fontId="2" numFmtId="0" xfId="0" applyAlignment="1" applyFont="1">
      <alignment horizontal="right" readingOrder="0" vertical="bottom"/>
    </xf>
    <xf borderId="0" fillId="16" fontId="1" numFmtId="0" xfId="0" applyFill="1" applyFont="1"/>
    <xf borderId="0" fillId="16" fontId="1" numFmtId="164" xfId="0" applyFont="1" applyNumberFormat="1"/>
    <xf borderId="0" fillId="16" fontId="1" numFmtId="0" xfId="0" applyAlignment="1" applyFont="1">
      <alignment readingOrder="0"/>
    </xf>
    <xf borderId="0" fillId="2" fontId="1" numFmtId="0" xfId="0" applyAlignment="1" applyFont="1">
      <alignment vertical="bottom"/>
    </xf>
    <xf borderId="0" fillId="2" fontId="1" numFmtId="164" xfId="0" applyAlignment="1" applyFont="1" applyNumberFormat="1">
      <alignment vertical="bottom"/>
    </xf>
    <xf borderId="1" fillId="2" fontId="1" numFmtId="0" xfId="0" applyAlignment="1" applyBorder="1" applyFont="1">
      <alignment vertical="bottom"/>
    </xf>
    <xf borderId="0" fillId="2" fontId="1" numFmtId="164" xfId="0" applyAlignment="1" applyFont="1" applyNumberFormat="1">
      <alignment horizontal="right" vertical="bottom"/>
    </xf>
    <xf borderId="0" fillId="0" fontId="12" numFmtId="0" xfId="0" applyAlignment="1" applyFont="1">
      <alignment readingOrder="0"/>
    </xf>
    <xf borderId="0" fillId="0" fontId="13" numFmtId="0" xfId="0" applyAlignment="1" applyFont="1">
      <alignment readingOrder="0"/>
    </xf>
    <xf borderId="1" fillId="0" fontId="1" numFmtId="0" xfId="0" applyAlignment="1" applyBorder="1" applyFont="1">
      <alignment horizontal="right" vertical="bottom"/>
    </xf>
    <xf borderId="0" fillId="0" fontId="1" numFmtId="0" xfId="0" applyAlignment="1" applyFont="1">
      <alignment horizontal="right" vertical="bottom"/>
    </xf>
    <xf borderId="0" fillId="17" fontId="2" numFmtId="0" xfId="0" applyAlignment="1" applyFill="1" applyFont="1">
      <alignment readingOrder="0"/>
    </xf>
    <xf borderId="0" fillId="12" fontId="1" numFmtId="0" xfId="0" applyAlignment="1" applyFont="1">
      <alignment horizontal="center" readingOrder="0"/>
    </xf>
    <xf borderId="0" fillId="2" fontId="1" numFmtId="0" xfId="0" applyAlignment="1" applyFont="1">
      <alignment horizontal="center"/>
    </xf>
    <xf borderId="0" fillId="2" fontId="1" numFmtId="164" xfId="0" applyAlignment="1" applyFont="1" applyNumberFormat="1">
      <alignment horizontal="center" vertical="bottom"/>
    </xf>
    <xf borderId="1" fillId="0" fontId="1" numFmtId="0" xfId="0" applyAlignment="1" applyBorder="1" applyFont="1">
      <alignment horizontal="center" vertical="bottom"/>
    </xf>
    <xf borderId="0" fillId="7" fontId="1" numFmtId="0" xfId="0" applyFont="1"/>
    <xf borderId="0" fillId="7" fontId="1" numFmtId="0" xfId="0" applyAlignment="1" applyFont="1">
      <alignment readingOrder="0" shrinkToFit="0" wrapText="1"/>
    </xf>
    <xf borderId="0" fillId="0" fontId="1" numFmtId="0" xfId="0" applyAlignment="1" applyFont="1">
      <alignment readingOrder="0" shrinkToFit="0" wrapText="1"/>
    </xf>
    <xf borderId="0" fillId="7" fontId="1" numFmtId="0" xfId="0" applyAlignment="1" applyFont="1">
      <alignment readingOrder="0"/>
    </xf>
    <xf borderId="0" fillId="7" fontId="1" numFmtId="164" xfId="0" applyAlignment="1" applyFont="1" applyNumberFormat="1">
      <alignment readingOrder="0"/>
    </xf>
    <xf borderId="0" fillId="18" fontId="14" numFmtId="0" xfId="0" applyFill="1" applyFont="1"/>
    <xf borderId="0" fillId="7" fontId="5" numFmtId="0" xfId="0" applyAlignment="1" applyFont="1">
      <alignment readingOrder="0"/>
    </xf>
    <xf borderId="0" fillId="7" fontId="6" numFmtId="0" xfId="0" applyAlignment="1" applyFont="1">
      <alignment readingOrder="0" shrinkToFit="0" vertical="bottom" wrapText="0"/>
    </xf>
    <xf borderId="0" fillId="7" fontId="7" numFmtId="0" xfId="0" applyAlignment="1" applyFont="1">
      <alignment horizontal="left" readingOrder="0" shrinkToFit="0" vertical="bottom" wrapText="0"/>
    </xf>
    <xf borderId="0" fillId="7" fontId="15" numFmtId="0" xfId="0" applyAlignment="1" applyFont="1">
      <alignment horizontal="left" readingOrder="0" shrinkToFit="0" vertical="bottom" wrapText="0"/>
    </xf>
    <xf borderId="0" fillId="7" fontId="7" numFmtId="0" xfId="0" applyAlignment="1" applyFont="1">
      <alignment readingOrder="0" shrinkToFit="0" vertical="bottom" wrapText="0"/>
    </xf>
    <xf borderId="0" fillId="0" fontId="6" numFmtId="0" xfId="0" applyAlignment="1" applyFont="1">
      <alignment shrinkToFit="0" vertical="bottom" wrapText="0"/>
    </xf>
    <xf borderId="0" fillId="0" fontId="6" numFmtId="0" xfId="0" applyAlignment="1" applyFont="1">
      <alignment horizontal="right" readingOrder="0" shrinkToFit="0" vertical="bottom" wrapText="0"/>
    </xf>
    <xf borderId="0" fillId="9" fontId="2" numFmtId="0" xfId="0" applyFont="1"/>
    <xf borderId="0" fillId="0" fontId="10" numFmtId="0" xfId="0" applyAlignment="1" applyFont="1">
      <alignment shrinkToFit="0" vertical="bottom" wrapText="0"/>
    </xf>
    <xf borderId="0" fillId="0" fontId="10" numFmtId="0" xfId="0" applyAlignment="1" applyFont="1">
      <alignment horizontal="right" readingOrder="0" shrinkToFit="0" vertical="bottom" wrapText="0"/>
    </xf>
    <xf borderId="0" fillId="0" fontId="1" numFmtId="0" xfId="0" applyAlignment="1" applyFont="1">
      <alignment horizontal="right" readingOrder="0"/>
    </xf>
    <xf borderId="0" fillId="0" fontId="6" numFmtId="165" xfId="0" applyAlignment="1" applyFont="1" applyNumberFormat="1">
      <alignment readingOrder="0" shrinkToFit="0" vertical="bottom" wrapText="0"/>
    </xf>
    <xf borderId="0" fillId="0" fontId="6" numFmtId="0" xfId="0" applyAlignment="1" applyFont="1">
      <alignment shrinkToFit="0" vertical="bottom" wrapText="0"/>
    </xf>
    <xf borderId="0" fillId="7" fontId="6" numFmtId="0" xfId="0" applyAlignment="1" applyFont="1">
      <alignment horizontal="right" readingOrder="0" shrinkToFit="0" vertical="bottom" wrapText="0"/>
    </xf>
    <xf borderId="0" fillId="7" fontId="6" numFmtId="0" xfId="0" applyAlignment="1" applyFont="1">
      <alignment shrinkToFit="0" vertical="bottom" wrapText="0"/>
    </xf>
    <xf borderId="0" fillId="7" fontId="6" numFmtId="165" xfId="0" applyAlignment="1" applyFont="1" applyNumberFormat="1">
      <alignment readingOrder="0" shrinkToFit="0" vertical="bottom" wrapText="0"/>
    </xf>
    <xf borderId="0" fillId="6" fontId="6" numFmtId="0" xfId="0" applyAlignment="1" applyFont="1">
      <alignment readingOrder="0" shrinkToFit="0" vertical="bottom" wrapText="0"/>
    </xf>
    <xf borderId="0" fillId="6" fontId="6" numFmtId="0" xfId="0" applyAlignment="1" applyFont="1">
      <alignment shrinkToFit="0" vertical="bottom" wrapText="0"/>
    </xf>
    <xf borderId="0" fillId="6" fontId="6" numFmtId="0" xfId="0" applyAlignment="1" applyFont="1">
      <alignment horizontal="right" readingOrder="0" shrinkToFit="0" vertical="bottom" wrapText="0"/>
    </xf>
    <xf borderId="0" fillId="6" fontId="1" numFmtId="0" xfId="0" applyFont="1"/>
    <xf borderId="0" fillId="6" fontId="6" numFmtId="165" xfId="0" applyAlignment="1" applyFont="1" applyNumberFormat="1">
      <alignment readingOrder="0" shrinkToFit="0" vertical="bottom" wrapText="0"/>
    </xf>
    <xf borderId="0" fillId="0" fontId="5" numFmtId="0" xfId="0" applyAlignment="1" applyFont="1">
      <alignment readingOrder="0" vertical="bottom"/>
    </xf>
    <xf borderId="0" fillId="0" fontId="10" numFmtId="165" xfId="0" applyAlignment="1" applyFont="1" applyNumberFormat="1">
      <alignment readingOrder="0" shrinkToFit="0" vertical="bottom" wrapText="0"/>
    </xf>
    <xf borderId="0" fillId="7" fontId="10" numFmtId="0" xfId="0" applyAlignment="1" applyFont="1">
      <alignment readingOrder="0" shrinkToFit="0" vertical="bottom" wrapText="0"/>
    </xf>
    <xf borderId="0" fillId="7" fontId="10" numFmtId="0" xfId="0" applyAlignment="1" applyFont="1">
      <alignment shrinkToFit="0" vertical="bottom" wrapText="0"/>
    </xf>
    <xf borderId="0" fillId="7" fontId="10" numFmtId="0" xfId="0" applyAlignment="1" applyFont="1">
      <alignment horizontal="right" readingOrder="0" shrinkToFit="0" vertical="bottom" wrapText="0"/>
    </xf>
    <xf borderId="0" fillId="2" fontId="10" numFmtId="0" xfId="0" applyAlignment="1" applyFont="1">
      <alignment readingOrder="0" shrinkToFit="0" vertical="bottom" wrapText="0"/>
    </xf>
    <xf borderId="0" fillId="2" fontId="10" numFmtId="0" xfId="0" applyAlignment="1" applyFont="1">
      <alignment shrinkToFit="0" vertical="bottom" wrapText="0"/>
    </xf>
    <xf borderId="0" fillId="2" fontId="10" numFmtId="165" xfId="0" applyAlignment="1" applyFont="1" applyNumberFormat="1">
      <alignment readingOrder="0" shrinkToFit="0" vertical="bottom" wrapText="0"/>
    </xf>
    <xf borderId="0" fillId="2" fontId="10" numFmtId="0" xfId="0" applyAlignment="1" applyFont="1">
      <alignment horizontal="right" readingOrder="0" shrinkToFit="0" vertical="bottom" wrapText="0"/>
    </xf>
    <xf borderId="0" fillId="12" fontId="1" numFmtId="164" xfId="0" applyAlignment="1" applyFont="1" applyNumberFormat="1">
      <alignment readingOrder="0"/>
    </xf>
    <xf borderId="1" fillId="12" fontId="1" numFmtId="0" xfId="0" applyAlignment="1" applyBorder="1" applyFont="1">
      <alignment readingOrder="0"/>
    </xf>
    <xf borderId="0" fillId="12" fontId="5" numFmtId="0" xfId="0" applyAlignment="1" applyFont="1">
      <alignment readingOrder="0"/>
    </xf>
    <xf borderId="0" fillId="0" fontId="6" numFmtId="166" xfId="0" applyAlignment="1" applyFont="1" applyNumberFormat="1">
      <alignment readingOrder="0" shrinkToFit="0" vertical="bottom" wrapText="0"/>
    </xf>
    <xf borderId="0" fillId="0" fontId="6" numFmtId="167" xfId="0" applyAlignment="1" applyFont="1" applyNumberFormat="1">
      <alignment readingOrder="0" shrinkToFit="0" vertical="bottom" wrapText="0"/>
    </xf>
    <xf borderId="0" fillId="0" fontId="10" numFmtId="166" xfId="0" applyAlignment="1" applyFont="1" applyNumberFormat="1">
      <alignment readingOrder="0" shrinkToFit="0" vertical="bottom" wrapText="0"/>
    </xf>
    <xf borderId="0" fillId="0" fontId="1" numFmtId="166" xfId="0" applyAlignment="1" applyFont="1" applyNumberFormat="1">
      <alignment readingOrder="0"/>
    </xf>
    <xf borderId="0" fillId="0" fontId="10" numFmtId="167" xfId="0" applyAlignment="1" applyFont="1" applyNumberFormat="1">
      <alignment readingOrder="0" shrinkToFit="0" vertical="bottom" wrapText="0"/>
    </xf>
    <xf borderId="0" fillId="4" fontId="6" numFmtId="0" xfId="0" applyAlignment="1" applyFont="1">
      <alignment readingOrder="0" shrinkToFit="0" vertical="bottom" wrapText="0"/>
    </xf>
    <xf borderId="0" fillId="4" fontId="6" numFmtId="0" xfId="0" applyAlignment="1" applyFont="1">
      <alignment shrinkToFit="0" vertical="bottom" wrapText="0"/>
    </xf>
    <xf borderId="0" fillId="4" fontId="6" numFmtId="0" xfId="0" applyAlignment="1" applyFont="1">
      <alignment horizontal="right" readingOrder="0" shrinkToFit="0" vertical="bottom" wrapText="0"/>
    </xf>
    <xf borderId="0" fillId="4" fontId="1" numFmtId="0" xfId="0" applyFont="1"/>
    <xf borderId="0" fillId="0" fontId="1" numFmtId="167"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8">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
      <font/>
      <fill>
        <patternFill patternType="solid">
          <fgColor rgb="FFBDBDBD"/>
          <bgColor rgb="FFBDBDBD"/>
        </patternFill>
      </fill>
      <border/>
    </dxf>
    <dxf>
      <font/>
      <fill>
        <patternFill patternType="solid">
          <fgColor rgb="FFF3F3F3"/>
          <bgColor rgb="FFF3F3F3"/>
        </patternFill>
      </fill>
      <border/>
    </dxf>
    <dxf>
      <font/>
      <fill>
        <patternFill patternType="solid">
          <fgColor rgb="FFB7E1CD"/>
          <bgColor rgb="FFB7E1CD"/>
        </patternFill>
      </fill>
      <border/>
    </dxf>
    <dxf>
      <font/>
      <fill>
        <patternFill patternType="solid">
          <fgColor rgb="FFDD7E6B"/>
          <bgColor rgb="FFDD7E6B"/>
        </patternFill>
      </fill>
      <border/>
    </dxf>
  </dxfs>
  <tableStyles count="3">
    <tableStyle count="3" pivot="0" name="Legend-style">
      <tableStyleElement dxfId="1" type="headerRow"/>
      <tableStyleElement dxfId="2" type="firstRowStripe"/>
      <tableStyleElement dxfId="3" type="secondRowStripe"/>
    </tableStyle>
    <tableStyle count="3" pivot="0" name="Legend-style 2">
      <tableStyleElement dxfId="4" type="headerRow"/>
      <tableStyleElement dxfId="2" type="firstRowStripe"/>
      <tableStyleElement dxfId="5" type="secondRowStripe"/>
    </tableStyle>
    <tableStyle count="3" pivot="0" name="Legend-style 3">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H2:I10" displayName="Table_1" id="1">
  <tableColumns count="2">
    <tableColumn name="Nr." id="1"/>
    <tableColumn name="Form" id="2"/>
  </tableColumns>
  <tableStyleInfo name="Legend-style" showColumnStripes="0" showFirstColumn="1" showLastColumn="1" showRowStripes="1"/>
</table>
</file>

<file path=xl/tables/table2.xml><?xml version="1.0" encoding="utf-8"?>
<table xmlns="http://schemas.openxmlformats.org/spreadsheetml/2006/main" headerRowCount="0" ref="B1:F32" displayName="Table_2" id="2">
  <tableColumns count="5">
    <tableColumn name="Column1" id="1"/>
    <tableColumn name="Column2" id="2"/>
    <tableColumn name="Column3" id="3"/>
    <tableColumn name="Column4" id="4"/>
    <tableColumn name="Column5" id="5"/>
  </tableColumns>
  <tableStyleInfo name="Legend-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34:G39" displayName="Table_3" id="3">
  <tableColumns count="7">
    <tableColumn name="Column1" id="1"/>
    <tableColumn name="Column2" id="2"/>
    <tableColumn name="Column3" id="3"/>
    <tableColumn name="Column4" id="4"/>
    <tableColumn name="Column5" id="5"/>
    <tableColumn name="Column6" id="6"/>
    <tableColumn name="Column7" id="7"/>
  </tableColumns>
  <tableStyleInfo name="Legend-style 3"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5" Type="http://schemas.openxmlformats.org/officeDocument/2006/relationships/table" Target="../tables/table1.xml"/><Relationship Id="rId6" Type="http://schemas.openxmlformats.org/officeDocument/2006/relationships/table" Target="../tables/table2.xml"/><Relationship Id="rId7"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1C00"/>
    <outlinePr summaryBelow="0" summaryRight="0"/>
  </sheetPr>
  <sheetViews>
    <sheetView workbookViewId="0"/>
  </sheetViews>
  <sheetFormatPr customHeight="1" defaultColWidth="14.43" defaultRowHeight="15.75"/>
  <cols>
    <col customWidth="1" min="1" max="1" width="6.43"/>
    <col customWidth="1" min="2" max="2" width="20.29"/>
    <col customWidth="1" min="3" max="3" width="22.14"/>
    <col customWidth="1" min="4" max="4" width="17.0"/>
    <col customWidth="1" min="5" max="5" width="25.29"/>
  </cols>
  <sheetData>
    <row r="1">
      <c r="A1" s="1" t="s">
        <v>1</v>
      </c>
      <c r="B1" s="1" t="s">
        <v>2</v>
      </c>
      <c r="C1" s="1" t="s">
        <v>3</v>
      </c>
      <c r="D1" s="1" t="s">
        <v>4</v>
      </c>
      <c r="E1" s="1" t="s">
        <v>6</v>
      </c>
    </row>
    <row r="2">
      <c r="A2" s="3" t="s">
        <v>7</v>
      </c>
      <c r="B2" s="3" t="s">
        <v>11</v>
      </c>
      <c r="C2" s="14">
        <v>43920.0</v>
      </c>
      <c r="D2" s="20">
        <f>MAXIFS('2.1.clean'!C:C,'2.1.clean'!C:C,"&gt;0")</f>
        <v>43909</v>
      </c>
      <c r="E2" s="22">
        <f>counta('2.1.raw'!CJ:CJ)-1</f>
        <v>181</v>
      </c>
      <c r="F2" s="23">
        <f>max('2.1.raw'!CJ:CJ)</f>
        <v>181</v>
      </c>
    </row>
    <row r="3">
      <c r="A3" s="3" t="s">
        <v>54</v>
      </c>
      <c r="B3" s="3" t="s">
        <v>55</v>
      </c>
      <c r="C3" s="14">
        <v>43920.0</v>
      </c>
      <c r="D3" s="20">
        <f>MAXIFS('2.2.clean'!E:E,'2.2.clean'!E:E,"&gt;0")</f>
        <v>43888</v>
      </c>
      <c r="E3" s="22">
        <f>counta('2.2.raw'!EM:EM)-1</f>
        <v>119</v>
      </c>
      <c r="F3" s="23">
        <f>max('2.2.raw'!EM:EM)</f>
        <v>119</v>
      </c>
    </row>
    <row r="4">
      <c r="A4" s="3" t="s">
        <v>56</v>
      </c>
      <c r="B4" s="3" t="s">
        <v>57</v>
      </c>
      <c r="C4" s="14">
        <v>43920.0</v>
      </c>
      <c r="D4" s="20">
        <f>MAXIFS('2.4.clean'!C:C,'2.4.clean'!C:C,"&gt;0")</f>
        <v>43909</v>
      </c>
      <c r="E4" s="22">
        <f>counta('2.4.raw'!AX:AX)-1</f>
        <v>883</v>
      </c>
      <c r="F4" s="23">
        <f>max('2.4.raw'!AX:AX)</f>
        <v>883</v>
      </c>
    </row>
    <row r="5">
      <c r="A5" s="1" t="s">
        <v>58</v>
      </c>
      <c r="B5" s="1" t="s">
        <v>59</v>
      </c>
      <c r="C5" s="26">
        <v>43920.0</v>
      </c>
      <c r="D5" s="24">
        <f>MAXIFS('3.1.clean'!C:C,'3.1.clean'!C:C,"&gt;0")</f>
        <v>43902</v>
      </c>
      <c r="E5" s="23">
        <f>counta('3.1.raw'!AR:AR)</f>
        <v>922</v>
      </c>
      <c r="F5" s="23">
        <f>max('3.1.raw'!AR:AR)</f>
        <v>922</v>
      </c>
    </row>
    <row r="6">
      <c r="A6" s="1" t="s">
        <v>60</v>
      </c>
      <c r="B6" s="1" t="s">
        <v>61</v>
      </c>
      <c r="C6" s="26">
        <v>43920.0</v>
      </c>
      <c r="D6" s="24">
        <f>MAXIFS('3.2.clean'!C:C,'3.2.clean'!C:C,"&gt;0")</f>
        <v>43906</v>
      </c>
      <c r="E6" s="23">
        <f>counta('3.2.raw'!CJ:CJ)-1</f>
        <v>623</v>
      </c>
      <c r="F6" s="23">
        <f>max('3.2.raw'!CJ:CJ)</f>
        <v>623</v>
      </c>
    </row>
    <row r="7">
      <c r="A7" s="1" t="s">
        <v>62</v>
      </c>
      <c r="B7" s="1" t="s">
        <v>63</v>
      </c>
      <c r="C7" s="26">
        <v>43920.0</v>
      </c>
      <c r="D7" s="24">
        <f>MAXIFS('3.3.clean'!C:C,'3.3.clean'!C:C,"&gt;0")</f>
        <v>43881</v>
      </c>
      <c r="E7" s="23">
        <f>counta('3.3.raw'!W:W)</f>
        <v>1002</v>
      </c>
      <c r="F7" s="23">
        <f>max('3.3.raw'!W:W)</f>
        <v>1003</v>
      </c>
    </row>
    <row r="8">
      <c r="A8" s="1" t="s">
        <v>65</v>
      </c>
      <c r="B8" s="1" t="s">
        <v>66</v>
      </c>
      <c r="C8" s="26">
        <v>43920.0</v>
      </c>
      <c r="D8" s="24">
        <f>MAXIFS('3.4.clean'!C:C,'3.4.clean'!C:C,"&gt;0")</f>
        <v>43889</v>
      </c>
      <c r="E8" s="23">
        <f>counta('3.4.clean'!A:A)-1</f>
        <v>911</v>
      </c>
      <c r="F8" s="23">
        <f>max('3.4.raw'!AJ:AJ)</f>
        <v>998</v>
      </c>
      <c r="G8" s="1" t="s">
        <v>67</v>
      </c>
    </row>
    <row r="9">
      <c r="A9" s="1" t="s">
        <v>69</v>
      </c>
      <c r="B9" s="1" t="s">
        <v>70</v>
      </c>
      <c r="C9" s="26">
        <v>43920.0</v>
      </c>
      <c r="D9" s="24">
        <f>MAXIFS('3.5.clean'!C:C,'3.5.clean'!C:C,"&gt;0")</f>
        <v>43888</v>
      </c>
      <c r="E9" s="23">
        <f>counta('3.5.raw'!X:X)+5</f>
        <v>950</v>
      </c>
      <c r="F9" s="23">
        <f>max('3.5.raw'!X:X)</f>
        <v>950</v>
      </c>
    </row>
    <row r="12">
      <c r="D12" s="1" t="s">
        <v>71</v>
      </c>
      <c r="E12" s="23">
        <f>sum(E2:E4)</f>
        <v>1183</v>
      </c>
      <c r="G12" s="23">
        <f>countif(Status!C:C,"&lt;&gt;")</f>
        <v>1955</v>
      </c>
      <c r="H12" s="1" t="s">
        <v>72</v>
      </c>
    </row>
    <row r="13">
      <c r="E13" s="29"/>
    </row>
    <row r="14">
      <c r="G14" s="23">
        <f>G12-G13</f>
        <v>1955</v>
      </c>
      <c r="H14" s="1" t="s">
        <v>73</v>
      </c>
    </row>
    <row r="15">
      <c r="A15" s="11" t="s">
        <v>74</v>
      </c>
      <c r="G15" s="23">
        <f>G14-G16</f>
        <v>1145</v>
      </c>
      <c r="H15" s="1" t="s">
        <v>75</v>
      </c>
    </row>
    <row r="16">
      <c r="A16" s="1">
        <v>1.0</v>
      </c>
      <c r="B16" s="1" t="s">
        <v>76</v>
      </c>
      <c r="G16" s="23">
        <f>IFERROR(__xludf.DUMMYFUNCTION("unique(COUNTIF(Status!C:C,""FB*""))"),810.0)</f>
        <v>810</v>
      </c>
      <c r="H16" s="1" t="s">
        <v>77</v>
      </c>
    </row>
    <row r="17">
      <c r="A17" s="1">
        <v>2.0</v>
      </c>
      <c r="B17" s="1" t="s">
        <v>78</v>
      </c>
      <c r="G17" s="23">
        <f>IFERROR(__xludf.DUMMYFUNCTION("unique(COUNTIF(Status!C:C,""FB*""))-unique(COUNTIF(Status!C:C,""*UP""))"),430.0)</f>
        <v>430</v>
      </c>
      <c r="H17" s="1" t="s">
        <v>81</v>
      </c>
    </row>
    <row r="18">
      <c r="A18" s="1">
        <v>3.0</v>
      </c>
      <c r="B18" s="1" t="s">
        <v>82</v>
      </c>
      <c r="G18" s="23">
        <f>IFERROR(__xludf.DUMMYFUNCTION("unique(COUNTIF(Status!C:C,""*UP""))"),380.0)</f>
        <v>380</v>
      </c>
      <c r="H18" s="1" t="s">
        <v>84</v>
      </c>
    </row>
    <row r="19">
      <c r="A19" s="1">
        <v>4.0</v>
      </c>
      <c r="B19" s="1" t="s">
        <v>85</v>
      </c>
    </row>
    <row r="20">
      <c r="A20" s="1">
        <v>5.0</v>
      </c>
      <c r="B20" s="1" t="s">
        <v>86</v>
      </c>
    </row>
    <row r="21">
      <c r="A21" s="1">
        <v>6.0</v>
      </c>
      <c r="B21" s="1" t="s">
        <v>87</v>
      </c>
    </row>
    <row r="22">
      <c r="A22" s="1">
        <v>7.0</v>
      </c>
      <c r="B22" s="1" t="s">
        <v>88</v>
      </c>
    </row>
    <row r="23">
      <c r="A23" s="1">
        <v>8.0</v>
      </c>
      <c r="B23" s="1" t="s">
        <v>89</v>
      </c>
    </row>
    <row r="24">
      <c r="A24" s="1">
        <v>9.0</v>
      </c>
      <c r="B24" s="1" t="s">
        <v>90</v>
      </c>
    </row>
    <row r="27">
      <c r="A27" s="1" t="s">
        <v>91</v>
      </c>
    </row>
    <row r="28">
      <c r="A28" s="1" t="s">
        <v>92</v>
      </c>
    </row>
    <row r="31">
      <c r="A31" s="1" t="s">
        <v>93</v>
      </c>
    </row>
    <row r="32">
      <c r="A32" s="1" t="s">
        <v>94</v>
      </c>
    </row>
    <row r="33">
      <c r="A33" s="1" t="s">
        <v>95</v>
      </c>
    </row>
    <row r="34">
      <c r="A34" s="1" t="s">
        <v>96</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1C00"/>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6.57"/>
    <col customWidth="1" min="2" max="2" width="3.14"/>
    <col customWidth="1" min="3" max="3" width="12.71"/>
    <col customWidth="1" min="4" max="4" width="7.14"/>
    <col customWidth="1" min="5" max="5" width="10.43"/>
    <col customWidth="1" min="6" max="6" width="5.43"/>
    <col customWidth="1" min="8" max="8" width="9.0"/>
    <col customWidth="1" min="9" max="9" width="8.29"/>
    <col customWidth="1" min="10" max="10" width="5.71"/>
    <col customWidth="1" min="12" max="12" width="6.43"/>
    <col customWidth="1" min="14" max="14" width="6.43"/>
    <col customWidth="1" min="16" max="16" width="5.57"/>
    <col customWidth="1" min="18" max="18" width="6.43"/>
    <col customWidth="1" min="19" max="19" width="6.57"/>
    <col customWidth="1" min="20" max="20" width="13.71"/>
    <col customWidth="1" min="22" max="22" width="11.14"/>
    <col customWidth="1" min="24" max="25" width="8.71"/>
  </cols>
  <sheetData>
    <row r="1">
      <c r="A1" s="1" t="s">
        <v>0</v>
      </c>
      <c r="B1" s="2" t="s">
        <v>5</v>
      </c>
      <c r="C1" s="2" t="s">
        <v>8</v>
      </c>
      <c r="D1" s="1" t="s">
        <v>9</v>
      </c>
      <c r="E1" s="1" t="s">
        <v>10</v>
      </c>
      <c r="F1" s="4" t="s">
        <v>1</v>
      </c>
      <c r="G1" s="6">
        <v>3.1</v>
      </c>
      <c r="H1" s="6" t="s">
        <v>12</v>
      </c>
      <c r="I1" s="6" t="s">
        <v>13</v>
      </c>
      <c r="J1" s="8" t="s">
        <v>14</v>
      </c>
      <c r="K1" s="10">
        <v>3.2</v>
      </c>
      <c r="L1" s="12" t="s">
        <v>15</v>
      </c>
      <c r="M1" s="5">
        <v>3.3</v>
      </c>
      <c r="N1" s="13" t="s">
        <v>16</v>
      </c>
      <c r="O1" s="7">
        <v>3.4</v>
      </c>
      <c r="P1" s="15" t="s">
        <v>17</v>
      </c>
      <c r="Q1" s="16">
        <v>3.5</v>
      </c>
      <c r="R1" s="16" t="s">
        <v>22</v>
      </c>
      <c r="S1" s="17" t="s">
        <v>46</v>
      </c>
      <c r="T1" s="1" t="s">
        <v>47</v>
      </c>
      <c r="U1" s="18" t="s">
        <v>48</v>
      </c>
      <c r="V1" s="1" t="s">
        <v>49</v>
      </c>
      <c r="W1" s="1" t="s">
        <v>50</v>
      </c>
      <c r="X1" s="1" t="s">
        <v>51</v>
      </c>
    </row>
    <row r="2">
      <c r="A2" s="1" t="s">
        <v>52</v>
      </c>
      <c r="B2" s="19"/>
      <c r="C2" s="2" t="s">
        <v>53</v>
      </c>
      <c r="E2" s="24">
        <f>IFERROR(__xludf.DUMMYFUNCTION("IFNA(IFNA(filter('2.1.clean'!C:C,'2.1.clean'!A:A=C2),filter('2.2.clean'!E:E,'2.2.clean'!D:D=C2)),filter('2.4.clean'!C:C,'2.4.clean'!A:A=C2))"),43586.0)</f>
        <v>43586</v>
      </c>
      <c r="F2" s="25">
        <f>IFERROR(__xludf.DUMMYFUNCTION("iferror(ifna(IFNA(filter('2.1.clean'!E:E,'2.1.clean'!A:A=C2),filter('2.2.clean'!G:G,'2.2.clean'!D:D=C2)),filter('2.4.clean'!E:E,'2.4.clean'!A:A=C2)),)"),2.4)</f>
        <v>2.4</v>
      </c>
      <c r="G2" s="24">
        <f>IFERROR(__xludf.DUMMYFUNCTION("iferror(filter('3.1.clean'!C:C,'3.1.clean'!A:A=C2),"""")"),43586.0)</f>
        <v>43586</v>
      </c>
      <c r="H2" s="23" t="b">
        <f t="shared" ref="H2:H4" si="1">if(G2="",FALSE,TRUE)</f>
        <v>1</v>
      </c>
      <c r="J2" s="25"/>
      <c r="K2" s="24" t="str">
        <f>IFERROR(__xludf.DUMMYFUNCTION("iferror(filter('3.2.clean'!C:C,'3.2.clean'!A:A=C2),"""")"),"")</f>
        <v/>
      </c>
      <c r="L2" s="25" t="b">
        <f t="shared" ref="L2:L4" si="2">if(K2="",FALSE,TRUE)</f>
        <v>0</v>
      </c>
      <c r="M2" s="24">
        <f>IFERROR(__xludf.DUMMYFUNCTION("iferror(filter('3.3.clean'!C:C,'3.3.clean'!A:A=C2),"""")"),43588.0)</f>
        <v>43588</v>
      </c>
      <c r="N2" s="25" t="b">
        <f t="shared" ref="N2:N26" si="3">if(M2="",FALSE,TRUE)</f>
        <v>1</v>
      </c>
      <c r="O2" s="24">
        <f>IFERROR(__xludf.DUMMYFUNCTION("iferror(filter('3.4.clean'!C:C,'3.4.clean'!A:A=C2),"""")"),43595.0)</f>
        <v>43595</v>
      </c>
      <c r="P2" s="25" t="b">
        <f t="shared" ref="P2:P26" si="4">if(O2="",FALSE,TRUE)</f>
        <v>1</v>
      </c>
      <c r="Q2" s="24">
        <f>IFERROR(__xludf.DUMMYFUNCTION("iferror(filter('3.5.clean'!C:C,'3.5.clean'!A:A=C2),"""")"),43586.0)</f>
        <v>43586</v>
      </c>
      <c r="R2" s="23" t="b">
        <f>if(Q2="",FALSE,TRUE)</f>
        <v>1</v>
      </c>
      <c r="S2" s="25"/>
      <c r="V2" s="1" t="s">
        <v>64</v>
      </c>
      <c r="X2" s="23" t="str">
        <f>IFERROR(__xludf.DUMMYFUNCTION("if(COUNTA(FILTER(C:C, C:C = C2))=1,""no"",""yes"")"),"yes")</f>
        <v>yes</v>
      </c>
    </row>
    <row r="3">
      <c r="A3" s="1"/>
      <c r="B3" s="27"/>
      <c r="C3" s="28" t="s">
        <v>68</v>
      </c>
      <c r="E3" s="24">
        <f>IFERROR(__xludf.DUMMYFUNCTION("ifna(IFNA(filter('2.1.clean'!C:C,'2.1.clean'!A:A=C3),filter('2.2.clean'!E:E,'2.2.clean'!D:D=C3)),filter('2.4.clean'!C:C,'2.4.clean'!A:A=C3))"),43586.0)</f>
        <v>43586</v>
      </c>
      <c r="F3" s="25">
        <f>IFERROR(__xludf.DUMMYFUNCTION("iferror(ifna(IFNA(filter('2.1.clean'!E:E,'2.1.clean'!A:A=C3),filter('2.2.clean'!G:G,'2.2.clean'!D:D=C3)),filter('2.4.clean'!E:E,'2.4.clean'!A:A=C3)),)"),2.1)</f>
        <v>2.1</v>
      </c>
      <c r="G3" s="24">
        <f>IFERROR(__xludf.DUMMYFUNCTION("iferror(filter('3.1.clean'!C:C,'3.1.clean'!A:A=C3),"""")"),43586.0)</f>
        <v>43586</v>
      </c>
      <c r="H3" s="23" t="b">
        <f t="shared" si="1"/>
        <v>1</v>
      </c>
      <c r="J3" s="25"/>
      <c r="K3" s="24">
        <f>IFERROR(__xludf.DUMMYFUNCTION("iferror(filter('3.2.clean'!C:C,'3.2.clean'!A:A=C3),"""")"),43587.0)</f>
        <v>43587</v>
      </c>
      <c r="L3" s="25" t="b">
        <f t="shared" si="2"/>
        <v>1</v>
      </c>
      <c r="M3" s="24">
        <f>IFERROR(__xludf.DUMMYFUNCTION("iferror(filter('3.3.clean'!C:C,'3.3.clean'!A:A=C3),"""")"),43588.0)</f>
        <v>43588</v>
      </c>
      <c r="N3" s="25" t="b">
        <f t="shared" si="3"/>
        <v>1</v>
      </c>
      <c r="O3" s="24">
        <f>IFERROR(__xludf.DUMMYFUNCTION("iferror(filter('3.4.clean'!C:C,'3.4.clean'!A:A=C3),"""")"),43595.0)</f>
        <v>43595</v>
      </c>
      <c r="P3" s="25" t="b">
        <f t="shared" si="4"/>
        <v>1</v>
      </c>
      <c r="Q3" s="24"/>
      <c r="S3" s="25"/>
      <c r="U3" s="23"/>
      <c r="V3" s="1" t="s">
        <v>83</v>
      </c>
      <c r="W3" s="23" t="b">
        <f>IF(and(H3=TRUE,L3=TRUE,N3=TRUE,P3=TRUE),TRUE,FALSE)</f>
        <v>1</v>
      </c>
      <c r="X3" s="23" t="str">
        <f>IFERROR(__xludf.DUMMYFUNCTION("if(COUNTA(FILTER(C:C, C:C = C3))=1,""no"",""yes"")"),"no")</f>
        <v>no</v>
      </c>
    </row>
    <row r="4">
      <c r="A4" s="30"/>
      <c r="B4" s="19"/>
      <c r="C4" s="2" t="s">
        <v>53</v>
      </c>
      <c r="E4" s="24">
        <f>IFERROR(__xludf.DUMMYFUNCTION("ifna(IFNA(filter('2.1.clean'!C:C,'2.1.clean'!A:A=C4),filter('2.2.clean'!E:E,'2.2.clean'!D:D=C4)),filter('2.4.clean'!C:C,'2.4.clean'!A:A=C4))"),43586.0)</f>
        <v>43586</v>
      </c>
      <c r="F4" s="25">
        <f>IFERROR(__xludf.DUMMYFUNCTION("iferror(ifna(IFNA(filter('2.1.clean'!E:E,'2.1.clean'!A:A=C4),filter('2.2.clean'!G:G,'2.2.clean'!D:D=C4)),filter('2.4.clean'!E:E,'2.4.clean'!A:A=C4)),)"),2.4)</f>
        <v>2.4</v>
      </c>
      <c r="G4" s="24">
        <f>IFERROR(__xludf.DUMMYFUNCTION("iferror(filter('3.1.clean'!C:C,'3.1.clean'!A:A=C4),"""")"),43586.0)</f>
        <v>43586</v>
      </c>
      <c r="H4" s="23" t="b">
        <f t="shared" si="1"/>
        <v>1</v>
      </c>
      <c r="J4" s="25"/>
      <c r="K4" s="24" t="str">
        <f>IFERROR(__xludf.DUMMYFUNCTION("iferror(filter('3.2.clean'!C:C,'3.2.clean'!A:A=C4),"""")"),"")</f>
        <v/>
      </c>
      <c r="L4" s="25" t="b">
        <f t="shared" si="2"/>
        <v>0</v>
      </c>
      <c r="M4" s="24">
        <f>IFERROR(__xludf.DUMMYFUNCTION("iferror(filter('3.3.clean'!C:C,'3.3.clean'!A:A=C4),"""")"),43588.0)</f>
        <v>43588</v>
      </c>
      <c r="N4" s="25" t="b">
        <f t="shared" si="3"/>
        <v>1</v>
      </c>
      <c r="O4" s="24">
        <f>IFERROR(__xludf.DUMMYFUNCTION("iferror(filter('3.4.clean'!C:C,'3.4.clean'!A:A=C4),"""")"),43595.0)</f>
        <v>43595</v>
      </c>
      <c r="P4" s="25" t="b">
        <f t="shared" si="4"/>
        <v>1</v>
      </c>
      <c r="Q4" s="24">
        <f>IFERROR(__xludf.DUMMYFUNCTION("iferror(filter('3.5.clean'!C:C,'3.5.clean'!A:A=C4),"""")"),43586.0)</f>
        <v>43586</v>
      </c>
      <c r="R4" s="23" t="b">
        <f t="shared" ref="R4:R6" si="5">if(Q4="",FALSE,TRUE)</f>
        <v>1</v>
      </c>
      <c r="S4" s="25"/>
      <c r="V4" s="1" t="s">
        <v>64</v>
      </c>
      <c r="X4" s="23" t="str">
        <f>IFERROR(__xludf.DUMMYFUNCTION("if(COUNTA(FILTER(C:C, C:C = C4))=1,""no"",""yes"")"),"yes")</f>
        <v>yes</v>
      </c>
    </row>
    <row r="5">
      <c r="A5" s="1" t="s">
        <v>52</v>
      </c>
      <c r="B5" s="19"/>
      <c r="C5" s="2" t="s">
        <v>97</v>
      </c>
      <c r="E5" s="24">
        <f>IFERROR(__xludf.DUMMYFUNCTION("ifna(IFNA(filter('2.1.clean'!C:C,'2.1.clean'!A:A=C5),filter('2.2.clean'!E:E,'2.2.clean'!D:D=C5)),filter('2.4.clean'!C:C,'2.4.clean'!A:A=C5))"),43587.0)</f>
        <v>43587</v>
      </c>
      <c r="F5" s="25">
        <f>IFERROR(__xludf.DUMMYFUNCTION("iferror(ifna(IFNA(filter('2.1.clean'!E:E,'2.1.clean'!A:A=C5),filter('2.2.clean'!G:G,'2.2.clean'!D:D=C5)),filter('2.4.clean'!E:E,'2.4.clean'!A:A=C5)),)"),2.4)</f>
        <v>2.4</v>
      </c>
      <c r="G5" s="24"/>
      <c r="J5" s="25"/>
      <c r="K5" s="24"/>
      <c r="L5" s="25"/>
      <c r="M5" s="24">
        <f>IFERROR(__xludf.DUMMYFUNCTION("iferror(filter('3.3.clean'!C:C,'3.3.clean'!A:A=C5),"""")"),43588.0)</f>
        <v>43588</v>
      </c>
      <c r="N5" s="25" t="b">
        <f t="shared" si="3"/>
        <v>1</v>
      </c>
      <c r="O5" s="24">
        <f>IFERROR(__xludf.DUMMYFUNCTION("iferror(filter('3.4.clean'!C:C,'3.4.clean'!A:A=C5),"""")"),43595.0)</f>
        <v>43595</v>
      </c>
      <c r="P5" s="25" t="b">
        <f t="shared" si="4"/>
        <v>1</v>
      </c>
      <c r="Q5" s="24" t="str">
        <f>IFERROR(__xludf.DUMMYFUNCTION("iferror(filter('3.5.clean'!C:C,'3.5.clean'!A:A=C5),"""")"),"")</f>
        <v/>
      </c>
      <c r="R5" s="23" t="b">
        <f t="shared" si="5"/>
        <v>0</v>
      </c>
      <c r="S5" s="25"/>
      <c r="U5" s="23"/>
      <c r="V5" s="1" t="s">
        <v>64</v>
      </c>
      <c r="W5" s="23" t="b">
        <f t="shared" ref="W5:W6" si="6">IF(and(R5=TRUE,N5=TRUE,P5=TRUE),TRUE,FALSE)</f>
        <v>0</v>
      </c>
      <c r="X5" s="23" t="str">
        <f>IFERROR(__xludf.DUMMYFUNCTION("if(COUNTA(FILTER(C:C, C:C = C5))=1,""no"",""yes"")"),"no")</f>
        <v>no</v>
      </c>
    </row>
    <row r="6">
      <c r="A6" s="1" t="s">
        <v>52</v>
      </c>
      <c r="B6" s="19"/>
      <c r="C6" s="2" t="s">
        <v>111</v>
      </c>
      <c r="E6" s="24">
        <f>IFERROR(__xludf.DUMMYFUNCTION("ifna(IFNA(filter('2.1.clean'!C:C,'2.1.clean'!A:A=C6),filter('2.2.clean'!E:E,'2.2.clean'!D:D=C6)),filter('2.4.clean'!C:C,'2.4.clean'!A:A=C6))"),43587.0)</f>
        <v>43587</v>
      </c>
      <c r="F6" s="25">
        <f>IFERROR(__xludf.DUMMYFUNCTION("iferror(ifna(IFNA(filter('2.1.clean'!E:E,'2.1.clean'!A:A=C6),filter('2.2.clean'!G:G,'2.2.clean'!D:D=C6)),filter('2.4.clean'!E:E,'2.4.clean'!A:A=C6)),)"),2.4)</f>
        <v>2.4</v>
      </c>
      <c r="G6" s="24"/>
      <c r="J6" s="25"/>
      <c r="K6" s="24"/>
      <c r="L6" s="25"/>
      <c r="M6" s="24">
        <f>IFERROR(__xludf.DUMMYFUNCTION("iferror(filter('3.3.clean'!C:C,'3.3.clean'!A:A=C6),"""")"),43588.0)</f>
        <v>43588</v>
      </c>
      <c r="N6" s="25" t="b">
        <f t="shared" si="3"/>
        <v>1</v>
      </c>
      <c r="O6" s="24">
        <f>IFERROR(__xludf.DUMMYFUNCTION("iferror(filter('3.4.clean'!C:C,'3.4.clean'!A:A=C6),"""")"),43595.0)</f>
        <v>43595</v>
      </c>
      <c r="P6" s="25" t="b">
        <f t="shared" si="4"/>
        <v>1</v>
      </c>
      <c r="Q6" s="24" t="str">
        <f>IFERROR(__xludf.DUMMYFUNCTION("iferror(filter('3.5.clean'!C:C,'3.5.clean'!A:A=C6),"""")"),"")</f>
        <v/>
      </c>
      <c r="R6" s="23" t="b">
        <f t="shared" si="5"/>
        <v>0</v>
      </c>
      <c r="S6" s="25"/>
      <c r="U6" s="23"/>
      <c r="V6" s="1" t="s">
        <v>64</v>
      </c>
      <c r="W6" s="23" t="b">
        <f t="shared" si="6"/>
        <v>0</v>
      </c>
      <c r="X6" s="23" t="str">
        <f>IFERROR(__xludf.DUMMYFUNCTION("if(COUNTA(FILTER(C:C, C:C = C6))=1,""no"",""yes"")"),"no")</f>
        <v>no</v>
      </c>
    </row>
    <row r="7">
      <c r="B7" s="19"/>
      <c r="C7" s="2" t="s">
        <v>140</v>
      </c>
      <c r="D7" s="24"/>
      <c r="E7" s="24">
        <f>IFERROR(__xludf.DUMMYFUNCTION("ifna(IFNA(filter('2.1.clean'!C:C,'2.1.clean'!A:A=C7),filter('2.2.clean'!E:E,'2.2.clean'!D:D=C7)),filter('2.4.clean'!C:C,'2.4.clean'!A:A=C7))"),43591.0)</f>
        <v>43591</v>
      </c>
      <c r="F7" s="25">
        <f>IFERROR(__xludf.DUMMYFUNCTION("iferror(ifna(IFNA(filter('2.1.clean'!E:E,'2.1.clean'!A:A=C7),filter('2.2.clean'!G:G,'2.2.clean'!D:D=C7)),filter('2.4.clean'!E:E,'2.4.clean'!A:A=C7)),)"),2.1)</f>
        <v>2.1</v>
      </c>
      <c r="G7" s="24">
        <f>IFERROR(__xludf.DUMMYFUNCTION("iferror(filter('3.1.clean'!C:C,'3.1.clean'!A:A=C7),"""")"),43591.0)</f>
        <v>43591</v>
      </c>
      <c r="H7" s="23" t="b">
        <f t="shared" ref="H7:H12" si="7">if(G7="",FALSE,TRUE)</f>
        <v>1</v>
      </c>
      <c r="J7" s="25"/>
      <c r="K7" s="24">
        <f>IFERROR(__xludf.DUMMYFUNCTION("iferror(filter('3.2.clean'!C:C,'3.2.clean'!A:A=C7),"""")"),43592.0)</f>
        <v>43592</v>
      </c>
      <c r="L7" s="25" t="b">
        <f t="shared" ref="L7:L12" si="8">if(K7="",FALSE,TRUE)</f>
        <v>1</v>
      </c>
      <c r="M7" s="24">
        <f>IFERROR(__xludf.DUMMYFUNCTION("iferror(filter('3.3.clean'!C:C,'3.3.clean'!A:A=C7),"""")"),43594.0)</f>
        <v>43594</v>
      </c>
      <c r="N7" s="25" t="b">
        <f t="shared" si="3"/>
        <v>1</v>
      </c>
      <c r="O7" s="24" t="str">
        <f>IFERROR(__xludf.DUMMYFUNCTION("iferror(filter('3.4.clean'!C:C,'3.4.clean'!A:A=C7),"""")"),"#REF!")</f>
        <v>#REF!</v>
      </c>
      <c r="P7" s="25" t="str">
        <f t="shared" si="4"/>
        <v>#REF!</v>
      </c>
      <c r="Q7" s="24"/>
      <c r="S7" s="25"/>
      <c r="V7" s="1" t="s">
        <v>83</v>
      </c>
      <c r="W7" s="23" t="str">
        <f t="shared" ref="W7:W12" si="9">IF(and(H7=TRUE,L7=TRUE,N7=TRUE,P7=TRUE),TRUE,FALSE)</f>
        <v>#REF!</v>
      </c>
      <c r="X7" s="23" t="str">
        <f>IFERROR(__xludf.DUMMYFUNCTION("if(COUNTA(FILTER(C:C, C:C = C7))=1,""no"",""yes"")"),"no")</f>
        <v>no</v>
      </c>
    </row>
    <row r="8">
      <c r="B8" s="19"/>
      <c r="C8" s="2" t="s">
        <v>178</v>
      </c>
      <c r="D8" s="24"/>
      <c r="E8" s="24">
        <f>IFERROR(__xludf.DUMMYFUNCTION("ifna(IFNA(filter('2.1.clean'!C:C,'2.1.clean'!A:A=C8),filter('2.2.clean'!E:E,'2.2.clean'!D:D=C8)),filter('2.4.clean'!C:C,'2.4.clean'!A:A=C8))"),43591.0)</f>
        <v>43591</v>
      </c>
      <c r="F8" s="25">
        <f>IFERROR(__xludf.DUMMYFUNCTION("iferror(ifna(IFNA(filter('2.1.clean'!E:E,'2.1.clean'!A:A=C8),filter('2.2.clean'!G:G,'2.2.clean'!D:D=C8)),filter('2.4.clean'!E:E,'2.4.clean'!A:A=C8)),)"),2.1)</f>
        <v>2.1</v>
      </c>
      <c r="G8" s="24">
        <f>IFERROR(__xludf.DUMMYFUNCTION("iferror(filter('3.1.clean'!C:C,'3.1.clean'!A:A=C8),"""")"),43591.0)</f>
        <v>43591</v>
      </c>
      <c r="H8" s="23" t="b">
        <f t="shared" si="7"/>
        <v>1</v>
      </c>
      <c r="J8" s="25"/>
      <c r="K8" s="24">
        <f>IFERROR(__xludf.DUMMYFUNCTION("iferror(filter('3.2.clean'!C:C,'3.2.clean'!A:A=C8),"""")"),43592.0)</f>
        <v>43592</v>
      </c>
      <c r="L8" s="25" t="b">
        <f t="shared" si="8"/>
        <v>1</v>
      </c>
      <c r="M8" s="24">
        <f>IFERROR(__xludf.DUMMYFUNCTION("iferror(filter('3.3.clean'!C:C,'3.3.clean'!A:A=C8),"""")"),43594.0)</f>
        <v>43594</v>
      </c>
      <c r="N8" s="25" t="b">
        <f t="shared" si="3"/>
        <v>1</v>
      </c>
      <c r="O8" s="24">
        <f>IFERROR(__xludf.DUMMYFUNCTION("iferror(filter('3.4.clean'!C:C,'3.4.clean'!A:A=C8),"""")"),43595.0)</f>
        <v>43595</v>
      </c>
      <c r="P8" s="25" t="b">
        <f t="shared" si="4"/>
        <v>1</v>
      </c>
      <c r="Q8" s="24"/>
      <c r="S8" s="25"/>
      <c r="V8" s="1" t="s">
        <v>83</v>
      </c>
      <c r="W8" s="23" t="b">
        <f t="shared" si="9"/>
        <v>1</v>
      </c>
      <c r="X8" s="23" t="str">
        <f>IFERROR(__xludf.DUMMYFUNCTION("if(COUNTA(FILTER(C:C, C:C = C8))=1,""no"",""yes"")"),"no")</f>
        <v>no</v>
      </c>
    </row>
    <row r="9">
      <c r="A9" s="39"/>
      <c r="B9" s="40"/>
      <c r="C9" s="41" t="s">
        <v>197</v>
      </c>
      <c r="D9" s="42"/>
      <c r="E9" s="43">
        <f>IFERROR(__xludf.DUMMYFUNCTION("ifna(IFNA(filter('2.1.clean'!C:C,'2.1.clean'!A:A=C9),filter('2.2.clean'!E:E,'2.2.clean'!D:D=C9)),filter('2.4.clean'!C:C,'2.4.clean'!A:A=C9))"),43591.0)</f>
        <v>43591</v>
      </c>
      <c r="F9" s="44">
        <f>IFERROR(__xludf.DUMMYFUNCTION("iferror(ifna(IFNA(filter('2.1.clean'!E:E,'2.1.clean'!A:A=C9),filter('2.2.clean'!G:G,'2.2.clean'!D:D=C9)),filter('2.4.clean'!E:E,'2.4.clean'!A:A=C9)),)"),2.1)</f>
        <v>2.1</v>
      </c>
      <c r="G9" s="24">
        <f>IFERROR(__xludf.DUMMYFUNCTION("iferror(filter('3.1.clean'!C:C,'3.1.clean'!A:A=C9),"""")"),43591.0)</f>
        <v>43591</v>
      </c>
      <c r="H9" s="23" t="b">
        <f t="shared" si="7"/>
        <v>1</v>
      </c>
      <c r="I9" s="39"/>
      <c r="J9" s="45"/>
      <c r="K9" s="42">
        <f>IFERROR(__xludf.DUMMYFUNCTION("iferror(filter('3.2.clean'!C:C,'3.2.clean'!A:A=C9),"""")"),43592.0)</f>
        <v>43592</v>
      </c>
      <c r="L9" s="25" t="b">
        <f t="shared" si="8"/>
        <v>1</v>
      </c>
      <c r="M9" s="43">
        <f>IFERROR(__xludf.DUMMYFUNCTION("iferror(filter('3.3.clean'!C:C,'3.3.clean'!A:A=C9),"""")"),43594.0)</f>
        <v>43594</v>
      </c>
      <c r="N9" s="25" t="b">
        <f t="shared" si="3"/>
        <v>1</v>
      </c>
      <c r="O9" s="43">
        <f>IFERROR(__xludf.DUMMYFUNCTION("iferror(filter('3.4.clean'!C:C,'3.4.clean'!A:A=C9),"""")"),43595.0)</f>
        <v>43595</v>
      </c>
      <c r="P9" s="25" t="b">
        <f t="shared" si="4"/>
        <v>1</v>
      </c>
      <c r="Q9" s="42"/>
      <c r="R9" s="39"/>
      <c r="S9" s="45"/>
      <c r="T9" s="39"/>
      <c r="U9" s="46"/>
      <c r="V9" s="46" t="s">
        <v>83</v>
      </c>
      <c r="W9" s="23" t="b">
        <f t="shared" si="9"/>
        <v>1</v>
      </c>
      <c r="X9" s="39" t="str">
        <f>IFERROR(__xludf.DUMMYFUNCTION("if(COUNTA(FILTER(C:C, C:C = C9))=1,""no"",""yes"")"),"no")</f>
        <v>no</v>
      </c>
    </row>
    <row r="10">
      <c r="A10" s="39"/>
      <c r="B10" s="40"/>
      <c r="C10" s="41" t="s">
        <v>208</v>
      </c>
      <c r="D10" s="42"/>
      <c r="E10" s="43">
        <v>43591.0</v>
      </c>
      <c r="F10" s="44" t="str">
        <f>IFERROR(__xludf.DUMMYFUNCTION("iferror(ifna(IFNA(filter('2.1.clean'!E:E,'2.1.clean'!A:A=C10),filter('2.2.clean'!G:G,'2.2.clean'!D:D=C10)),filter('2.4.clean'!E:E,'2.4.clean'!A:A=C10)),)"),"")</f>
        <v/>
      </c>
      <c r="G10" s="24" t="str">
        <f>IFERROR(__xludf.DUMMYFUNCTION("iferror(filter('3.1.clean'!C:C,'3.1.clean'!A:A=C10),"""")"),"")</f>
        <v/>
      </c>
      <c r="H10" s="23" t="b">
        <f t="shared" si="7"/>
        <v>0</v>
      </c>
      <c r="I10" s="39"/>
      <c r="J10" s="45"/>
      <c r="K10" s="42" t="str">
        <f>IFERROR(__xludf.DUMMYFUNCTION("iferror(filter('3.2.clean'!C:C,'3.2.clean'!A:A=C10),"""")"),"")</f>
        <v/>
      </c>
      <c r="L10" s="25" t="b">
        <f t="shared" si="8"/>
        <v>0</v>
      </c>
      <c r="M10" s="43" t="str">
        <f>IFERROR(__xludf.DUMMYFUNCTION("iferror(filter('3.3.clean'!C:C,'3.3.clean'!A:A=C10),"""")"),"")</f>
        <v/>
      </c>
      <c r="N10" s="25" t="b">
        <f t="shared" si="3"/>
        <v>0</v>
      </c>
      <c r="O10" s="43">
        <f>IFERROR(__xludf.DUMMYFUNCTION("iferror(filter('3.4.clean'!C:C,'3.4.clean'!A:A=C10),"""")"),43662.0)</f>
        <v>43662</v>
      </c>
      <c r="P10" s="25" t="b">
        <f t="shared" si="4"/>
        <v>1</v>
      </c>
      <c r="Q10" s="42"/>
      <c r="R10" s="39"/>
      <c r="S10" s="45"/>
      <c r="T10" s="39"/>
      <c r="U10" s="46"/>
      <c r="V10" s="46" t="s">
        <v>83</v>
      </c>
      <c r="W10" s="23" t="b">
        <f t="shared" si="9"/>
        <v>0</v>
      </c>
      <c r="X10" s="39" t="str">
        <f>IFERROR(__xludf.DUMMYFUNCTION("if(COUNTA(FILTER(C:C, C:C = C10))=1,""no"",""yes"")"),"no")</f>
        <v>no</v>
      </c>
    </row>
    <row r="11">
      <c r="A11" s="39"/>
      <c r="B11" s="40"/>
      <c r="C11" s="41" t="s">
        <v>210</v>
      </c>
      <c r="D11" s="42"/>
      <c r="E11" s="43">
        <f>IFERROR(__xludf.DUMMYFUNCTION("ifna(IFNA(filter('2.1.clean'!C:C,'2.1.clean'!A:A=C11),filter('2.2.clean'!E:E,'2.2.clean'!D:D=C11)),filter('2.4.clean'!C:C,'2.4.clean'!A:A=C11))"),43591.0)</f>
        <v>43591</v>
      </c>
      <c r="F11" s="44">
        <f>IFERROR(__xludf.DUMMYFUNCTION("iferror(ifna(IFNA(filter('2.1.clean'!E:E,'2.1.clean'!A:A=C11),filter('2.2.clean'!G:G,'2.2.clean'!D:D=C11)),filter('2.4.clean'!E:E,'2.4.clean'!A:A=C11)),)"),2.1)</f>
        <v>2.1</v>
      </c>
      <c r="G11" s="24">
        <f>IFERROR(__xludf.DUMMYFUNCTION("iferror(filter('3.1.clean'!C:C,'3.1.clean'!A:A=C11),"""")"),43591.0)</f>
        <v>43591</v>
      </c>
      <c r="H11" s="23" t="b">
        <f t="shared" si="7"/>
        <v>1</v>
      </c>
      <c r="I11" s="39"/>
      <c r="J11" s="45"/>
      <c r="K11" s="42">
        <f>IFERROR(__xludf.DUMMYFUNCTION("iferror(filter('3.2.clean'!C:C,'3.2.clean'!A:A=C11),"""")"),43592.0)</f>
        <v>43592</v>
      </c>
      <c r="L11" s="25" t="b">
        <f t="shared" si="8"/>
        <v>1</v>
      </c>
      <c r="M11" s="43">
        <f>IFERROR(__xludf.DUMMYFUNCTION("iferror(filter('3.3.clean'!C:C,'3.3.clean'!A:A=C11),"""")"),43594.0)</f>
        <v>43594</v>
      </c>
      <c r="N11" s="25" t="b">
        <f t="shared" si="3"/>
        <v>1</v>
      </c>
      <c r="O11" s="43">
        <f>IFERROR(__xludf.DUMMYFUNCTION("iferror(filter('3.4.clean'!C:C,'3.4.clean'!A:A=C11),"""")"),43595.0)</f>
        <v>43595</v>
      </c>
      <c r="P11" s="25" t="b">
        <f t="shared" si="4"/>
        <v>1</v>
      </c>
      <c r="Q11" s="42"/>
      <c r="R11" s="39"/>
      <c r="S11" s="45"/>
      <c r="T11" s="39"/>
      <c r="U11" s="46"/>
      <c r="V11" s="46" t="s">
        <v>83</v>
      </c>
      <c r="W11" s="23" t="b">
        <f t="shared" si="9"/>
        <v>1</v>
      </c>
      <c r="X11" s="39" t="str">
        <f>IFERROR(__xludf.DUMMYFUNCTION("if(COUNTA(FILTER(C:C, C:C = C11))=1,""no"",""yes"")"),"no")</f>
        <v>no</v>
      </c>
    </row>
    <row r="12">
      <c r="A12" s="39"/>
      <c r="B12" s="40"/>
      <c r="C12" s="41" t="s">
        <v>244</v>
      </c>
      <c r="D12" s="42"/>
      <c r="E12" s="43">
        <v>43591.0</v>
      </c>
      <c r="F12" s="44" t="str">
        <f>IFERROR(__xludf.DUMMYFUNCTION("iferror(ifna(IFNA(filter('2.1.clean'!E:E,'2.1.clean'!A:A=C12),filter('2.2.clean'!G:G,'2.2.clean'!D:D=C12)),filter('2.4.clean'!E:E,'2.4.clean'!A:A=C12)),)"),"")</f>
        <v/>
      </c>
      <c r="G12" s="24" t="str">
        <f>IFERROR(__xludf.DUMMYFUNCTION("iferror(filter('3.1.clean'!C:C,'3.1.clean'!A:A=C12),"""")"),"")</f>
        <v/>
      </c>
      <c r="H12" s="23" t="b">
        <f t="shared" si="7"/>
        <v>0</v>
      </c>
      <c r="I12" s="39"/>
      <c r="J12" s="45"/>
      <c r="K12" s="42" t="str">
        <f>IFERROR(__xludf.DUMMYFUNCTION("iferror(filter('3.2.clean'!C:C,'3.2.clean'!A:A=C12),"""")"),"")</f>
        <v/>
      </c>
      <c r="L12" s="25" t="b">
        <f t="shared" si="8"/>
        <v>0</v>
      </c>
      <c r="M12" s="43" t="str">
        <f>IFERROR(__xludf.DUMMYFUNCTION("iferror(filter('3.3.clean'!C:C,'3.3.clean'!A:A=C12),"""")"),"")</f>
        <v/>
      </c>
      <c r="N12" s="25" t="b">
        <f t="shared" si="3"/>
        <v>0</v>
      </c>
      <c r="O12" s="43">
        <f>IFERROR(__xludf.DUMMYFUNCTION("iferror(filter('3.4.clean'!C:C,'3.4.clean'!A:A=C12),"""")"),43595.0)</f>
        <v>43595</v>
      </c>
      <c r="P12" s="25" t="b">
        <f t="shared" si="4"/>
        <v>1</v>
      </c>
      <c r="Q12" s="42"/>
      <c r="R12" s="39"/>
      <c r="S12" s="45"/>
      <c r="T12" s="39"/>
      <c r="U12" s="46"/>
      <c r="V12" s="46" t="s">
        <v>83</v>
      </c>
      <c r="W12" s="23" t="b">
        <f t="shared" si="9"/>
        <v>0</v>
      </c>
      <c r="X12" s="39" t="str">
        <f>IFERROR(__xludf.DUMMYFUNCTION("if(COUNTA(FILTER(C:C, C:C = C12))=1,""no"",""yes"")"),"no")</f>
        <v>no</v>
      </c>
    </row>
    <row r="13">
      <c r="A13" s="1" t="s">
        <v>52</v>
      </c>
      <c r="B13" s="2"/>
      <c r="C13" s="2" t="s">
        <v>280</v>
      </c>
      <c r="D13" s="1"/>
      <c r="E13" s="24">
        <f>IFERROR(__xludf.DUMMYFUNCTION("ifna(IFNA(filter('2.1.clean'!C:C,'2.1.clean'!A:A=C13),filter('2.2.clean'!E:E,'2.2.clean'!D:D=C13)),filter('2.4.clean'!C:C,'2.4.clean'!A:A=C13))"),43592.0)</f>
        <v>43592</v>
      </c>
      <c r="F13" s="25">
        <f>IFERROR(__xludf.DUMMYFUNCTION("iferror(ifna(IFNA(filter('2.1.clean'!E:E,'2.1.clean'!A:A=C13),filter('2.2.clean'!G:G,'2.2.clean'!D:D=C13)),filter('2.4.clean'!E:E,'2.4.clean'!A:A=C13)),)"),2.4)</f>
        <v>2.4</v>
      </c>
      <c r="G13" s="24"/>
      <c r="J13" s="25"/>
      <c r="K13" s="24"/>
      <c r="L13" s="25"/>
      <c r="M13" s="24">
        <f>IFERROR(__xludf.DUMMYFUNCTION("iferror(filter('3.3.clean'!C:C,'3.3.clean'!A:A=C13),"""")"),43662.0)</f>
        <v>43662</v>
      </c>
      <c r="N13" s="25" t="b">
        <f t="shared" si="3"/>
        <v>1</v>
      </c>
      <c r="O13" s="24">
        <f>IFERROR(__xludf.DUMMYFUNCTION("iferror(filter('3.4.clean'!C:C,'3.4.clean'!A:A=C13),"""")"),43790.0)</f>
        <v>43790</v>
      </c>
      <c r="P13" s="25" t="b">
        <f t="shared" si="4"/>
        <v>1</v>
      </c>
      <c r="Q13" s="24">
        <f>IFERROR(__xludf.DUMMYFUNCTION("iferror(filter('3.5.clean'!C:C,'3.5.clean'!A:A=C13),"""")"),43592.0)</f>
        <v>43592</v>
      </c>
      <c r="R13" s="23" t="b">
        <f t="shared" ref="R13:R14" si="10">if(Q13="",FALSE,TRUE)</f>
        <v>1</v>
      </c>
      <c r="S13" s="25"/>
      <c r="V13" s="1" t="s">
        <v>64</v>
      </c>
      <c r="W13" s="23" t="b">
        <f t="shared" ref="W13:W14" si="11">IF(and(R13=TRUE,N13=TRUE,P13=TRUE),TRUE,FALSE)</f>
        <v>1</v>
      </c>
      <c r="X13" s="23" t="str">
        <f>IFERROR(__xludf.DUMMYFUNCTION("if(COUNTA(FILTER(C:C, C:C = C13))=1,""no"",""yes"")"),"no")</f>
        <v>no</v>
      </c>
    </row>
    <row r="14">
      <c r="A14" s="1" t="s">
        <v>52</v>
      </c>
      <c r="B14" s="19"/>
      <c r="C14" s="19" t="s">
        <v>324</v>
      </c>
      <c r="E14" s="24">
        <f>IFERROR(__xludf.DUMMYFUNCTION("ifna(IFNA(filter('2.1.clean'!C:C,'2.1.clean'!A:A=C14),filter('2.2.clean'!E:E,'2.2.clean'!D:D=C14)),filter('2.4.clean'!C:C,'2.4.clean'!A:A=C14))"),43592.0)</f>
        <v>43592</v>
      </c>
      <c r="F14" s="25">
        <f>IFERROR(__xludf.DUMMYFUNCTION("iferror(ifna(IFNA(filter('2.1.clean'!E:E,'2.1.clean'!A:A=C14),filter('2.2.clean'!G:G,'2.2.clean'!D:D=C14)),filter('2.4.clean'!E:E,'2.4.clean'!A:A=C14)),)"),2.4)</f>
        <v>2.4</v>
      </c>
      <c r="G14" s="24"/>
      <c r="J14" s="25"/>
      <c r="K14" s="24"/>
      <c r="L14" s="25"/>
      <c r="M14" s="24">
        <f>IFERROR(__xludf.DUMMYFUNCTION("iferror(filter('3.3.clean'!C:C,'3.3.clean'!A:A=C14),"""")"),43601.0)</f>
        <v>43601</v>
      </c>
      <c r="N14" s="25" t="b">
        <f t="shared" si="3"/>
        <v>1</v>
      </c>
      <c r="O14" s="24">
        <f>IFERROR(__xludf.DUMMYFUNCTION("iferror(filter('3.4.clean'!C:C,'3.4.clean'!A:A=C14),"""")"),43790.0)</f>
        <v>43790</v>
      </c>
      <c r="P14" s="25" t="b">
        <f t="shared" si="4"/>
        <v>1</v>
      </c>
      <c r="Q14" s="24">
        <f>IFERROR(__xludf.DUMMYFUNCTION("iferror(filter('3.5.clean'!C:C,'3.5.clean'!A:A=C14),"""")"),43592.0)</f>
        <v>43592</v>
      </c>
      <c r="R14" s="23" t="b">
        <f t="shared" si="10"/>
        <v>1</v>
      </c>
      <c r="S14" s="25"/>
      <c r="V14" s="1" t="s">
        <v>64</v>
      </c>
      <c r="W14" s="23" t="b">
        <f t="shared" si="11"/>
        <v>1</v>
      </c>
      <c r="X14" s="23" t="str">
        <f>IFERROR(__xludf.DUMMYFUNCTION("if(COUNTA(FILTER(C:C, C:C = C14))=1,""no"",""yes"")"),"no")</f>
        <v>no</v>
      </c>
    </row>
    <row r="15">
      <c r="A15" s="30"/>
      <c r="B15" s="19"/>
      <c r="C15" s="2" t="s">
        <v>365</v>
      </c>
      <c r="D15" s="24"/>
      <c r="E15" s="24">
        <v>43592.0</v>
      </c>
      <c r="F15" s="25">
        <f>IFERROR(__xludf.DUMMYFUNCTION("iferror(ifna(IFNA(filter('2.1.clean'!E:E,'2.1.clean'!A:A=C15),filter('2.2.clean'!G:G,'2.2.clean'!D:D=C15)),filter('2.4.clean'!E:E,'2.4.clean'!A:A=C15)),)"),2.1)</f>
        <v>2.1</v>
      </c>
      <c r="G15" s="24">
        <f>IFERROR(__xludf.DUMMYFUNCTION("iferror(filter('3.1.clean'!C:C,'3.1.clean'!A:A=C15),"""")"),43592.0)</f>
        <v>43592</v>
      </c>
      <c r="H15" s="23" t="b">
        <f t="shared" ref="H15:H18" si="12">if(G15="",FALSE,TRUE)</f>
        <v>1</v>
      </c>
      <c r="J15" s="25"/>
      <c r="K15" s="24">
        <f>IFERROR(__xludf.DUMMYFUNCTION("iferror(filter('3.2.clean'!C:C,'3.2.clean'!A:A=C15),"""")"),43593.0)</f>
        <v>43593</v>
      </c>
      <c r="L15" s="25" t="b">
        <f t="shared" ref="L15:L18" si="13">if(K15="",FALSE,TRUE)</f>
        <v>1</v>
      </c>
      <c r="M15" s="24">
        <f>IFERROR(__xludf.DUMMYFUNCTION("iferror(filter('3.3.clean'!C:C,'3.3.clean'!A:A=C15),"""")"),43594.0)</f>
        <v>43594</v>
      </c>
      <c r="N15" s="25" t="b">
        <f t="shared" si="3"/>
        <v>1</v>
      </c>
      <c r="O15" s="24">
        <f>IFERROR(__xludf.DUMMYFUNCTION("iferror(filter('3.4.clean'!C:C,'3.4.clean'!A:A=C15),"""")"),43595.0)</f>
        <v>43595</v>
      </c>
      <c r="P15" s="25" t="b">
        <f t="shared" si="4"/>
        <v>1</v>
      </c>
      <c r="Q15" s="24"/>
      <c r="S15" s="25"/>
      <c r="V15" s="1" t="s">
        <v>83</v>
      </c>
      <c r="W15" s="23" t="b">
        <f t="shared" ref="W15:W18" si="14">IF(and(H15=TRUE,L15=TRUE,N15=TRUE,P15=TRUE),TRUE,FALSE)</f>
        <v>1</v>
      </c>
      <c r="X15" s="23" t="str">
        <f>IFERROR(__xludf.DUMMYFUNCTION("if(COUNTA(FILTER(C:C, C:C = C15))=1,""no"",""yes"")"),"no")</f>
        <v>no</v>
      </c>
    </row>
    <row r="16">
      <c r="A16" s="30"/>
      <c r="B16" s="19"/>
      <c r="C16" s="2" t="s">
        <v>366</v>
      </c>
      <c r="E16" s="24">
        <f>IFERROR(__xludf.DUMMYFUNCTION("ifna(IFNA(filter('2.1.clean'!C:C,'2.1.clean'!A:A=C16),filter('2.2.clean'!E:E,'2.2.clean'!D:D=C16)),filter('2.4.clean'!C:C,'2.4.clean'!A:A=C16))"),43592.0)</f>
        <v>43592</v>
      </c>
      <c r="F16" s="25">
        <f>IFERROR(__xludf.DUMMYFUNCTION("iferror(ifna(IFNA(filter('2.1.clean'!E:E,'2.1.clean'!A:A=C16),filter('2.2.clean'!G:G,'2.2.clean'!D:D=C16)),filter('2.4.clean'!E:E,'2.4.clean'!A:A=C16)),)"),2.1)</f>
        <v>2.1</v>
      </c>
      <c r="G16" s="24">
        <f>IFERROR(__xludf.DUMMYFUNCTION("iferror(filter('3.1.clean'!C:C,'3.1.clean'!A:A=C16),"""")"),43592.0)</f>
        <v>43592</v>
      </c>
      <c r="H16" s="23" t="b">
        <f t="shared" si="12"/>
        <v>1</v>
      </c>
      <c r="J16" s="25"/>
      <c r="K16" s="24">
        <f>IFERROR(__xludf.DUMMYFUNCTION("iferror(filter('3.2.clean'!C:C,'3.2.clean'!A:A=C16),"""")"),43593.0)</f>
        <v>43593</v>
      </c>
      <c r="L16" s="25" t="b">
        <f t="shared" si="13"/>
        <v>1</v>
      </c>
      <c r="M16" s="24">
        <f>IFERROR(__xludf.DUMMYFUNCTION("iferror(filter('3.3.clean'!C:C,'3.3.clean'!A:A=C16),"""")"),43601.0)</f>
        <v>43601</v>
      </c>
      <c r="N16" s="25" t="b">
        <f t="shared" si="3"/>
        <v>1</v>
      </c>
      <c r="O16" s="24" t="str">
        <f>IFERROR(__xludf.DUMMYFUNCTION("iferror(filter('3.4.clean'!C:C,'3.4.clean'!A:A=C16),"""")"),"")</f>
        <v/>
      </c>
      <c r="P16" s="25" t="b">
        <f t="shared" si="4"/>
        <v>0</v>
      </c>
      <c r="Q16" s="24">
        <f>IFERROR(__xludf.DUMMYFUNCTION("iferror(filter('3.5.clean'!C:C,'3.5.clean'!A:A=C16),"""")"),43592.0)</f>
        <v>43592</v>
      </c>
      <c r="R16" s="23" t="b">
        <f>if(Q16="",FALSE,TRUE)</f>
        <v>1</v>
      </c>
      <c r="S16" s="25"/>
      <c r="V16" s="1" t="s">
        <v>83</v>
      </c>
      <c r="W16" s="23" t="b">
        <f t="shared" si="14"/>
        <v>0</v>
      </c>
      <c r="X16" s="23" t="str">
        <f>IFERROR(__xludf.DUMMYFUNCTION("if(COUNTA(FILTER(C:C, C:C = C16))=1,""no"",""yes"")"),"no")</f>
        <v>no</v>
      </c>
    </row>
    <row r="17">
      <c r="A17" s="53"/>
      <c r="B17" s="40"/>
      <c r="C17" s="41" t="s">
        <v>374</v>
      </c>
      <c r="D17" s="42"/>
      <c r="E17" s="43">
        <v>43592.0</v>
      </c>
      <c r="F17" s="44">
        <f>IFERROR(__xludf.DUMMYFUNCTION("iferror(ifna(IFNA(filter('2.1.clean'!E:E,'2.1.clean'!A:A=C17),filter('2.2.clean'!G:G,'2.2.clean'!D:D=C17)),filter('2.4.clean'!E:E,'2.4.clean'!A:A=C17)),)"),2.1)</f>
        <v>2.1</v>
      </c>
      <c r="G17" s="24">
        <f>IFERROR(__xludf.DUMMYFUNCTION("iferror(filter('3.1.clean'!C:C,'3.1.clean'!A:A=C17),"""")"),43592.0)</f>
        <v>43592</v>
      </c>
      <c r="H17" s="54" t="b">
        <f t="shared" si="12"/>
        <v>1</v>
      </c>
      <c r="I17" s="39"/>
      <c r="J17" s="45"/>
      <c r="K17" s="43">
        <f>IFERROR(__xludf.DUMMYFUNCTION("iferror(filter('3.2.clean'!C:C,'3.2.clean'!A:A=C17),"""")"),43593.0)</f>
        <v>43593</v>
      </c>
      <c r="L17" s="25" t="b">
        <f t="shared" si="13"/>
        <v>1</v>
      </c>
      <c r="M17" s="24">
        <f>IFERROR(__xludf.DUMMYFUNCTION("iferror(filter('3.3.clean'!C:C,'3.3.clean'!A:A=C17),"""")"),43594.0)</f>
        <v>43594</v>
      </c>
      <c r="N17" s="25" t="b">
        <f t="shared" si="3"/>
        <v>1</v>
      </c>
      <c r="O17" s="24">
        <f>IFERROR(__xludf.DUMMYFUNCTION("iferror(filter('3.4.clean'!C:C,'3.4.clean'!A:A=C17),"""")"),43595.0)</f>
        <v>43595</v>
      </c>
      <c r="P17" s="25" t="b">
        <f t="shared" si="4"/>
        <v>1</v>
      </c>
      <c r="Q17" s="42"/>
      <c r="R17" s="39"/>
      <c r="S17" s="45"/>
      <c r="T17" s="39"/>
      <c r="U17" s="39"/>
      <c r="V17" s="46" t="s">
        <v>83</v>
      </c>
      <c r="W17" s="54" t="b">
        <f t="shared" si="14"/>
        <v>1</v>
      </c>
      <c r="X17" s="39" t="str">
        <f>IFERROR(__xludf.DUMMYFUNCTION("if(COUNTA(FILTER(C:C, C:C = C17))=1,""no"",""yes"")"),"no")</f>
        <v>no</v>
      </c>
    </row>
    <row r="18">
      <c r="A18" s="30"/>
      <c r="B18" s="19"/>
      <c r="C18" s="2" t="s">
        <v>375</v>
      </c>
      <c r="D18" s="24"/>
      <c r="E18" s="24">
        <f>IFERROR(__xludf.DUMMYFUNCTION("ifna(IFNA(filter('2.1.clean'!C:C,'2.1.clean'!A:A=C18),filter('2.2.clean'!E:E,'2.2.clean'!D:D=C18)),filter('2.4.clean'!C:C,'2.4.clean'!A:A=C18))"),43593.0)</f>
        <v>43593</v>
      </c>
      <c r="F18" s="25">
        <f>IFERROR(__xludf.DUMMYFUNCTION("iferror(ifna(IFNA(filter('2.1.clean'!E:E,'2.1.clean'!A:A=C18),filter('2.2.clean'!G:G,'2.2.clean'!D:D=C18)),filter('2.4.clean'!E:E,'2.4.clean'!A:A=C18)),)"),2.1)</f>
        <v>2.1</v>
      </c>
      <c r="G18" s="24">
        <f>IFERROR(__xludf.DUMMYFUNCTION("iferror(filter('3.1.clean'!C:C,'3.1.clean'!A:A=C18),"""")"),43593.0)</f>
        <v>43593</v>
      </c>
      <c r="H18" s="23" t="b">
        <f t="shared" si="12"/>
        <v>1</v>
      </c>
      <c r="J18" s="25"/>
      <c r="K18" s="24">
        <f>IFERROR(__xludf.DUMMYFUNCTION("iferror(filter('3.2.clean'!C:C,'3.2.clean'!A:A=C18),"""")"),43593.0)</f>
        <v>43593</v>
      </c>
      <c r="L18" s="25" t="b">
        <f t="shared" si="13"/>
        <v>1</v>
      </c>
      <c r="M18" s="24">
        <f>IFERROR(__xludf.DUMMYFUNCTION("iferror(filter('3.3.clean'!C:C,'3.3.clean'!A:A=C18),"""")"),43594.0)</f>
        <v>43594</v>
      </c>
      <c r="N18" s="25" t="b">
        <f t="shared" si="3"/>
        <v>1</v>
      </c>
      <c r="O18" s="24">
        <f>IFERROR(__xludf.DUMMYFUNCTION("iferror(filter('3.4.clean'!C:C,'3.4.clean'!A:A=C18),"""")"),43595.0)</f>
        <v>43595</v>
      </c>
      <c r="P18" s="25" t="b">
        <f t="shared" si="4"/>
        <v>1</v>
      </c>
      <c r="Q18" s="24"/>
      <c r="S18" s="25"/>
      <c r="V18" s="1" t="s">
        <v>83</v>
      </c>
      <c r="W18" s="23" t="b">
        <f t="shared" si="14"/>
        <v>1</v>
      </c>
      <c r="X18" s="23" t="str">
        <f>IFERROR(__xludf.DUMMYFUNCTION("if(COUNTA(FILTER(C:C, C:C = C18))=1,""no"",""yes"")"),"no")</f>
        <v>no</v>
      </c>
    </row>
    <row r="19">
      <c r="A19" s="1" t="s">
        <v>52</v>
      </c>
      <c r="B19" s="19"/>
      <c r="C19" s="19" t="s">
        <v>377</v>
      </c>
      <c r="E19" s="24">
        <f>IFERROR(__xludf.DUMMYFUNCTION("ifna(IFNA(filter('2.1.clean'!C:C,'2.1.clean'!A:A=C19),filter('2.2.clean'!E:E,'2.2.clean'!D:D=C19)),filter('2.4.clean'!C:C,'2.4.clean'!A:A=C19))"),43594.0)</f>
        <v>43594</v>
      </c>
      <c r="F19" s="25">
        <f>IFERROR(__xludf.DUMMYFUNCTION("iferror(ifna(IFNA(filter('2.1.clean'!E:E,'2.1.clean'!A:A=C19),filter('2.2.clean'!G:G,'2.2.clean'!D:D=C19)),filter('2.4.clean'!E:E,'2.4.clean'!A:A=C19)),)"),2.4)</f>
        <v>2.4</v>
      </c>
      <c r="G19" s="24"/>
      <c r="J19" s="25"/>
      <c r="K19" s="24"/>
      <c r="L19" s="25"/>
      <c r="M19" s="24">
        <f>IFERROR(__xludf.DUMMYFUNCTION("iferror(filter('3.3.clean'!C:C,'3.3.clean'!A:A=C19),"""")"),43601.0)</f>
        <v>43601</v>
      </c>
      <c r="N19" s="25" t="b">
        <f t="shared" si="3"/>
        <v>1</v>
      </c>
      <c r="O19" s="24">
        <f>IFERROR(__xludf.DUMMYFUNCTION("iferror(filter('3.4.clean'!C:C,'3.4.clean'!A:A=C19),"""")"),43790.0)</f>
        <v>43790</v>
      </c>
      <c r="P19" s="25" t="b">
        <f t="shared" si="4"/>
        <v>1</v>
      </c>
      <c r="Q19" s="24">
        <f>IFERROR(__xludf.DUMMYFUNCTION("iferror(filter('3.5.clean'!C:C,'3.5.clean'!A:A=C19),"""")"),43594.0)</f>
        <v>43594</v>
      </c>
      <c r="R19" s="23" t="b">
        <f t="shared" ref="R19:R21" si="15">if(Q19="",FALSE,TRUE)</f>
        <v>1</v>
      </c>
      <c r="S19" s="25"/>
      <c r="V19" s="1" t="s">
        <v>64</v>
      </c>
      <c r="W19" s="23" t="b">
        <f t="shared" ref="W19:W20" si="16">IF(and(R19=TRUE,N19=TRUE,P19=TRUE),TRUE,FALSE)</f>
        <v>1</v>
      </c>
      <c r="X19" s="23" t="str">
        <f>IFERROR(__xludf.DUMMYFUNCTION("if(COUNTA(FILTER(C:C, C:C = C19))=1,""no"",""yes"")"),"no")</f>
        <v>no</v>
      </c>
    </row>
    <row r="20">
      <c r="A20" s="1" t="s">
        <v>52</v>
      </c>
      <c r="B20" s="19"/>
      <c r="C20" s="19" t="s">
        <v>378</v>
      </c>
      <c r="E20" s="24">
        <f>IFERROR(__xludf.DUMMYFUNCTION("ifna(IFNA(filter('2.1.clean'!C:C,'2.1.clean'!A:A=C20),filter('2.2.clean'!E:E,'2.2.clean'!D:D=C20)),filter('2.4.clean'!C:C,'2.4.clean'!A:A=C20))"),43594.0)</f>
        <v>43594</v>
      </c>
      <c r="F20" s="25">
        <f>IFERROR(__xludf.DUMMYFUNCTION("iferror(ifna(IFNA(filter('2.1.clean'!E:E,'2.1.clean'!A:A=C20),filter('2.2.clean'!G:G,'2.2.clean'!D:D=C20)),filter('2.4.clean'!E:E,'2.4.clean'!A:A=C20)),)"),2.4)</f>
        <v>2.4</v>
      </c>
      <c r="G20" s="24"/>
      <c r="J20" s="25"/>
      <c r="K20" s="24"/>
      <c r="L20" s="25"/>
      <c r="M20" s="24">
        <f>IFERROR(__xludf.DUMMYFUNCTION("iferror(filter('3.3.clean'!C:C,'3.3.clean'!A:A=C20),"""")"),43601.0)</f>
        <v>43601</v>
      </c>
      <c r="N20" s="25" t="b">
        <f t="shared" si="3"/>
        <v>1</v>
      </c>
      <c r="O20" s="24">
        <f>IFERROR(__xludf.DUMMYFUNCTION("iferror(filter('3.4.clean'!C:C,'3.4.clean'!A:A=C20),"""")"),43790.0)</f>
        <v>43790</v>
      </c>
      <c r="P20" s="25" t="b">
        <f t="shared" si="4"/>
        <v>1</v>
      </c>
      <c r="Q20" s="24">
        <f>IFERROR(__xludf.DUMMYFUNCTION("iferror(filter('3.5.clean'!C:C,'3.5.clean'!A:A=C20),"""")"),43594.0)</f>
        <v>43594</v>
      </c>
      <c r="R20" s="23" t="b">
        <f t="shared" si="15"/>
        <v>1</v>
      </c>
      <c r="S20" s="25"/>
      <c r="V20" s="1" t="s">
        <v>64</v>
      </c>
      <c r="W20" s="23" t="b">
        <f t="shared" si="16"/>
        <v>1</v>
      </c>
      <c r="X20" s="23" t="str">
        <f>IFERROR(__xludf.DUMMYFUNCTION("if(COUNTA(FILTER(C:C, C:C = C20))=1,""no"",""yes"")"),"no")</f>
        <v>no</v>
      </c>
    </row>
    <row r="21">
      <c r="A21" s="1" t="s">
        <v>52</v>
      </c>
      <c r="B21" s="19"/>
      <c r="C21" s="19" t="s">
        <v>381</v>
      </c>
      <c r="E21" s="24">
        <f>IFERROR(__xludf.DUMMYFUNCTION("ifna(IFNA(filter('2.1.clean'!C:C,'2.1.clean'!A:A=C21),filter('2.2.clean'!E:E,'2.2.clean'!D:D=C21)),filter('2.4.clean'!C:C,'2.4.clean'!A:A=C21))"),43598.0)</f>
        <v>43598</v>
      </c>
      <c r="F21" s="25">
        <f>IFERROR(__xludf.DUMMYFUNCTION("iferror(ifna(IFNA(filter('2.1.clean'!E:E,'2.1.clean'!A:A=C21),filter('2.2.clean'!G:G,'2.2.clean'!D:D=C21)),filter('2.4.clean'!E:E,'2.4.clean'!A:A=C21)),)"),2.4)</f>
        <v>2.4</v>
      </c>
      <c r="G21" s="24">
        <f>IFERROR(__xludf.DUMMYFUNCTION("iferror(filter('3.1.clean'!C:C,'3.1.clean'!A:A=C21),"""")"),43598.0)</f>
        <v>43598</v>
      </c>
      <c r="H21" s="23" t="b">
        <f t="shared" ref="H21:H24" si="17">if(G21="",FALSE,TRUE)</f>
        <v>1</v>
      </c>
      <c r="J21" s="25"/>
      <c r="K21" s="24" t="str">
        <f>IFERROR(__xludf.DUMMYFUNCTION("iferror(filter('3.2.clean'!C:C,'3.2.clean'!A:A=C21),"""")"),"")</f>
        <v/>
      </c>
      <c r="L21" s="25" t="b">
        <f t="shared" ref="L21:L24" si="18">if(K21="",FALSE,TRUE)</f>
        <v>0</v>
      </c>
      <c r="M21" s="24">
        <f>IFERROR(__xludf.DUMMYFUNCTION("iferror(filter('3.3.clean'!C:C,'3.3.clean'!A:A=C21),"""")"),43601.0)</f>
        <v>43601</v>
      </c>
      <c r="N21" s="25" t="b">
        <f t="shared" si="3"/>
        <v>1</v>
      </c>
      <c r="O21" s="24">
        <f>IFERROR(__xludf.DUMMYFUNCTION("iferror(filter('3.4.clean'!C:C,'3.4.clean'!A:A=C21),"""")"),43602.0)</f>
        <v>43602</v>
      </c>
      <c r="P21" s="25" t="b">
        <f t="shared" si="4"/>
        <v>1</v>
      </c>
      <c r="Q21" s="24">
        <f>IFERROR(__xludf.DUMMYFUNCTION("iferror(filter('3.5.clean'!C:C,'3.5.clean'!A:A=C21),"""")"),43598.0)</f>
        <v>43598</v>
      </c>
      <c r="R21" s="23" t="b">
        <f t="shared" si="15"/>
        <v>1</v>
      </c>
      <c r="S21" s="25"/>
      <c r="U21" s="23"/>
      <c r="V21" s="1" t="s">
        <v>64</v>
      </c>
      <c r="X21" s="23" t="str">
        <f>IFERROR(__xludf.DUMMYFUNCTION("if(COUNTA(FILTER(C:C, C:C = C21))=1,""no"",""yes"")"),"no")</f>
        <v>no</v>
      </c>
    </row>
    <row r="22">
      <c r="A22" s="30"/>
      <c r="B22" s="19"/>
      <c r="C22" s="2" t="s">
        <v>380</v>
      </c>
      <c r="D22" s="42"/>
      <c r="E22" s="43">
        <f>IFERROR(__xludf.DUMMYFUNCTION("ifna(IFNA(filter('2.1.clean'!C:C,'2.1.clean'!A:A=C22),filter('2.2.clean'!E:E,'2.2.clean'!D:D=C22)),filter('2.4.clean'!C:C,'2.4.clean'!A:A=C22))"),43598.0)</f>
        <v>43598</v>
      </c>
      <c r="F22" s="44">
        <f>IFERROR(__xludf.DUMMYFUNCTION("iferror(ifna(IFNA(filter('2.1.clean'!E:E,'2.1.clean'!A:A=C22),filter('2.2.clean'!G:G,'2.2.clean'!D:D=C22)),filter('2.4.clean'!E:E,'2.4.clean'!A:A=C22)),)"),2.1)</f>
        <v>2.1</v>
      </c>
      <c r="G22" s="24">
        <f>IFERROR(__xludf.DUMMYFUNCTION("iferror(filter('3.1.clean'!C:C,'3.1.clean'!A:A=C22),"""")"),43598.0)</f>
        <v>43598</v>
      </c>
      <c r="H22" s="23" t="b">
        <f t="shared" si="17"/>
        <v>1</v>
      </c>
      <c r="I22" s="39"/>
      <c r="J22" s="45"/>
      <c r="K22" s="42">
        <f>IFERROR(__xludf.DUMMYFUNCTION("iferror(filter('3.2.clean'!C:C,'3.2.clean'!A:A=C22),"""")"),43601.0)</f>
        <v>43601</v>
      </c>
      <c r="L22" s="25" t="b">
        <f t="shared" si="18"/>
        <v>1</v>
      </c>
      <c r="M22" s="43">
        <f>IFERROR(__xludf.DUMMYFUNCTION("iferror(filter('3.3.clean'!C:C,'3.3.clean'!A:A=C22),"""")"),43601.0)</f>
        <v>43601</v>
      </c>
      <c r="N22" s="25" t="b">
        <f t="shared" si="3"/>
        <v>1</v>
      </c>
      <c r="O22" s="43" t="str">
        <f>IFERROR(__xludf.DUMMYFUNCTION("iferror(filter('3.4.clean'!C:C,'3.4.clean'!A:A=C22),"""")"),"")</f>
        <v/>
      </c>
      <c r="P22" s="25" t="b">
        <f t="shared" si="4"/>
        <v>0</v>
      </c>
      <c r="Q22" s="42"/>
      <c r="R22" s="39"/>
      <c r="S22" s="45"/>
      <c r="T22" s="39"/>
      <c r="U22" s="46" t="s">
        <v>382</v>
      </c>
      <c r="V22" s="46" t="s">
        <v>83</v>
      </c>
      <c r="W22" s="23" t="b">
        <f t="shared" ref="W22:W24" si="19">IF(and(H22=TRUE,L22=TRUE,N22=TRUE,P22=TRUE),TRUE,FALSE)</f>
        <v>0</v>
      </c>
      <c r="X22" s="39" t="str">
        <f>IFERROR(__xludf.DUMMYFUNCTION("if(COUNTA(FILTER(C:C, C:C = C22))=1,""no"",""yes"")"),"no")</f>
        <v>no</v>
      </c>
    </row>
    <row r="23">
      <c r="A23" s="56"/>
      <c r="B23" s="19"/>
      <c r="C23" s="49" t="s">
        <v>353</v>
      </c>
      <c r="E23" s="24">
        <f>IFERROR(__xludf.DUMMYFUNCTION("ifna(IFNA(filter('2.1.clean'!C:C,'2.1.clean'!A:A=C23),filter('2.2.clean'!E:E,'2.2.clean'!D:D=C23)),filter('2.4.clean'!C:C,'2.4.clean'!A:A=C23))"),43598.0)</f>
        <v>43598</v>
      </c>
      <c r="F23" s="25">
        <f>IFERROR(__xludf.DUMMYFUNCTION("iferror(ifna(IFNA(filter('2.1.clean'!E:E,'2.1.clean'!A:A=C23),filter('2.2.clean'!G:G,'2.2.clean'!D:D=C23)),filter('2.4.clean'!E:E,'2.4.clean'!A:A=C23)),)"),2.1)</f>
        <v>2.1</v>
      </c>
      <c r="G23" s="24">
        <f>IFERROR(__xludf.DUMMYFUNCTION("iferror(filter('3.1.clean'!C:C,'3.1.clean'!A:A=C23),"""")"),43598.0)</f>
        <v>43598</v>
      </c>
      <c r="H23" s="23" t="b">
        <f t="shared" si="17"/>
        <v>1</v>
      </c>
      <c r="J23" s="25"/>
      <c r="K23" s="24">
        <f>IFERROR(__xludf.DUMMYFUNCTION("iferror(filter('3.2.clean'!C:C,'3.2.clean'!A:A=C23),"""")"),43601.0)</f>
        <v>43601</v>
      </c>
      <c r="L23" s="25" t="b">
        <f t="shared" si="18"/>
        <v>1</v>
      </c>
      <c r="M23" s="24">
        <f>IFERROR(__xludf.DUMMYFUNCTION("iferror(filter('3.3.clean'!C:C,'3.3.clean'!A:A=C23),"""")"),43601.0)</f>
        <v>43601</v>
      </c>
      <c r="N23" s="25" t="b">
        <f t="shared" si="3"/>
        <v>1</v>
      </c>
      <c r="O23" s="24" t="str">
        <f>IFERROR(__xludf.DUMMYFUNCTION("iferror(filter('3.4.clean'!C:C,'3.4.clean'!A:A=C23),"""")"),"")</f>
        <v/>
      </c>
      <c r="P23" s="25" t="b">
        <f t="shared" si="4"/>
        <v>0</v>
      </c>
      <c r="Q23" s="24" t="str">
        <f>IFERROR(__xludf.DUMMYFUNCTION("iferror(filter('3.5.clean'!C:C,'3.5.clean'!A:A=C23),"""")"),"")</f>
        <v/>
      </c>
      <c r="R23" s="23" t="b">
        <f t="shared" ref="R23:R25" si="20">if(Q23="",FALSE,TRUE)</f>
        <v>0</v>
      </c>
      <c r="S23" s="25"/>
      <c r="V23" s="1" t="s">
        <v>83</v>
      </c>
      <c r="W23" s="23" t="b">
        <f t="shared" si="19"/>
        <v>0</v>
      </c>
      <c r="X23" s="23" t="str">
        <f>IFERROR(__xludf.DUMMYFUNCTION("if(COUNTA(FILTER(C:C, C:C = C23))=1,""no"",""yes"")"),"no")</f>
        <v>no</v>
      </c>
    </row>
    <row r="24">
      <c r="A24" s="56"/>
      <c r="B24" s="19"/>
      <c r="C24" s="51" t="s">
        <v>357</v>
      </c>
      <c r="E24" s="24">
        <f>IFERROR(__xludf.DUMMYFUNCTION("ifna(IFNA(filter('2.1.clean'!C:C,'2.1.clean'!A:A=C24),filter('2.2.clean'!E:E,'2.2.clean'!D:D=C24)),filter('2.4.clean'!C:C,'2.4.clean'!A:A=C24))"),43598.0)</f>
        <v>43598</v>
      </c>
      <c r="F24" s="25">
        <f>IFERROR(__xludf.DUMMYFUNCTION("iferror(ifna(IFNA(filter('2.1.clean'!E:E,'2.1.clean'!A:A=C24),filter('2.2.clean'!G:G,'2.2.clean'!D:D=C24)),filter('2.4.clean'!E:E,'2.4.clean'!A:A=C24)),)"),2.1)</f>
        <v>2.1</v>
      </c>
      <c r="G24" s="24">
        <f>IFERROR(__xludf.DUMMYFUNCTION("iferror(filter('3.1.clean'!C:C,'3.1.clean'!A:A=C24),"""")"),43598.0)</f>
        <v>43598</v>
      </c>
      <c r="H24" s="23" t="b">
        <f t="shared" si="17"/>
        <v>1</v>
      </c>
      <c r="J24" s="25"/>
      <c r="K24" s="24">
        <f>IFERROR(__xludf.DUMMYFUNCTION("iferror(filter('3.2.clean'!C:C,'3.2.clean'!A:A=C24),"""")"),43601.0)</f>
        <v>43601</v>
      </c>
      <c r="L24" s="25" t="b">
        <f t="shared" si="18"/>
        <v>1</v>
      </c>
      <c r="M24" s="24">
        <f>IFERROR(__xludf.DUMMYFUNCTION("iferror(filter('3.3.clean'!C:C,'3.3.clean'!A:A=C24),"""")"),43601.0)</f>
        <v>43601</v>
      </c>
      <c r="N24" s="25" t="b">
        <f t="shared" si="3"/>
        <v>1</v>
      </c>
      <c r="O24" s="24" t="str">
        <f>IFERROR(__xludf.DUMMYFUNCTION("iferror(filter('3.4.clean'!C:C,'3.4.clean'!A:A=C24),"""")"),"")</f>
        <v/>
      </c>
      <c r="P24" s="25" t="b">
        <f t="shared" si="4"/>
        <v>0</v>
      </c>
      <c r="Q24" s="24" t="str">
        <f>IFERROR(__xludf.DUMMYFUNCTION("iferror(filter('3.5.clean'!C:C,'3.5.clean'!A:A=C24),"""")"),"")</f>
        <v/>
      </c>
      <c r="R24" s="23" t="b">
        <f t="shared" si="20"/>
        <v>0</v>
      </c>
      <c r="S24" s="25"/>
      <c r="V24" s="1" t="s">
        <v>83</v>
      </c>
      <c r="W24" s="23" t="b">
        <f t="shared" si="19"/>
        <v>0</v>
      </c>
      <c r="X24" s="23" t="str">
        <f>IFERROR(__xludf.DUMMYFUNCTION("if(COUNTA(FILTER(C:C, C:C = C24))=1,""no"",""yes"")"),"no")</f>
        <v>no</v>
      </c>
    </row>
    <row r="25">
      <c r="A25" s="1" t="s">
        <v>52</v>
      </c>
      <c r="B25" s="19"/>
      <c r="C25" s="19" t="s">
        <v>384</v>
      </c>
      <c r="E25" s="24">
        <f>IFERROR(__xludf.DUMMYFUNCTION("ifna(IFNA(filter('2.1.clean'!C:C,'2.1.clean'!A:A=C25),filter('2.2.clean'!E:E,'2.2.clean'!D:D=C25)),filter('2.4.clean'!C:C,'2.4.clean'!A:A=C25))"),43599.0)</f>
        <v>43599</v>
      </c>
      <c r="F25" s="25">
        <f>IFERROR(__xludf.DUMMYFUNCTION("iferror(ifna(IFNA(filter('2.1.clean'!E:E,'2.1.clean'!A:A=C25),filter('2.2.clean'!G:G,'2.2.clean'!D:D=C25)),filter('2.4.clean'!E:E,'2.4.clean'!A:A=C25)),)"),2.4)</f>
        <v>2.4</v>
      </c>
      <c r="G25" s="24"/>
      <c r="J25" s="25"/>
      <c r="K25" s="24"/>
      <c r="L25" s="25"/>
      <c r="M25" s="24">
        <f>IFERROR(__xludf.DUMMYFUNCTION("iferror(filter('3.3.clean'!C:C,'3.3.clean'!A:A=C25),"""")"),43601.0)</f>
        <v>43601</v>
      </c>
      <c r="N25" s="25" t="b">
        <f t="shared" si="3"/>
        <v>1</v>
      </c>
      <c r="O25" s="24">
        <f>IFERROR(__xludf.DUMMYFUNCTION("iferror(filter('3.4.clean'!C:C,'3.4.clean'!A:A=C25),"""")"),43790.0)</f>
        <v>43790</v>
      </c>
      <c r="P25" s="25" t="b">
        <f t="shared" si="4"/>
        <v>1</v>
      </c>
      <c r="Q25" s="24">
        <f>IFERROR(__xludf.DUMMYFUNCTION("iferror(filter('3.5.clean'!C:C,'3.5.clean'!A:A=C25),"""")"),43599.0)</f>
        <v>43599</v>
      </c>
      <c r="R25" s="23" t="b">
        <f t="shared" si="20"/>
        <v>1</v>
      </c>
      <c r="S25" s="25"/>
      <c r="V25" s="1" t="s">
        <v>64</v>
      </c>
      <c r="W25" s="23" t="b">
        <f>IF(and(R25=TRUE,N25=TRUE,P25=TRUE),TRUE,FALSE)</f>
        <v>1</v>
      </c>
      <c r="X25" s="23" t="str">
        <f>IFERROR(__xludf.DUMMYFUNCTION("if(COUNTA(FILTER(C:C, C:C = C25))=1,""no"",""yes"")"),"no")</f>
        <v>no</v>
      </c>
    </row>
    <row r="26">
      <c r="A26" s="1"/>
      <c r="B26" s="27"/>
      <c r="C26" s="27" t="s">
        <v>385</v>
      </c>
      <c r="D26" s="24"/>
      <c r="E26" s="24">
        <f>IFERROR(__xludf.DUMMYFUNCTION("ifna(IFNA(filter('2.1.clean'!C:C,'2.1.clean'!A:A=C26),filter('2.2.clean'!E:E,'2.2.clean'!D:D=C26)),filter('2.4.clean'!C:C,'2.4.clean'!A:A=C26))"),43599.0)</f>
        <v>43599</v>
      </c>
      <c r="F26" s="25">
        <f>IFERROR(__xludf.DUMMYFUNCTION("iferror(ifna(IFNA(filter('2.1.clean'!E:E,'2.1.clean'!A:A=C26),filter('2.2.clean'!G:G,'2.2.clean'!D:D=C26)),filter('2.4.clean'!E:E,'2.4.clean'!A:A=C26)),)"),2.1)</f>
        <v>2.1</v>
      </c>
      <c r="G26" s="24">
        <f>IFERROR(__xludf.DUMMYFUNCTION("iferror(filter('3.1.clean'!C:C,'3.1.clean'!A:A=C26),"""")"),43599.0)</f>
        <v>43599</v>
      </c>
      <c r="H26" s="23" t="b">
        <f>if(G26="",FALSE,TRUE)</f>
        <v>1</v>
      </c>
      <c r="J26" s="25"/>
      <c r="K26" s="24">
        <f>IFERROR(__xludf.DUMMYFUNCTION("iferror(filter('3.2.clean'!C:C,'3.2.clean'!A:A=C26),"""")"),43601.0)</f>
        <v>43601</v>
      </c>
      <c r="L26" s="25" t="b">
        <f>if(K26="",FALSE,TRUE)</f>
        <v>1</v>
      </c>
      <c r="M26" s="24">
        <f>IFERROR(__xludf.DUMMYFUNCTION("iferror(filter('3.3.clean'!C:C,'3.3.clean'!A:A=C26),"""")"),43601.0)</f>
        <v>43601</v>
      </c>
      <c r="N26" s="25" t="b">
        <f t="shared" si="3"/>
        <v>1</v>
      </c>
      <c r="O26" s="24">
        <f>IFERROR(__xludf.DUMMYFUNCTION("iferror(filter('3.4.clean'!C:C,'3.4.clean'!A:A=C26),"""")"),43602.0)</f>
        <v>43602</v>
      </c>
      <c r="P26" s="25" t="b">
        <f t="shared" si="4"/>
        <v>1</v>
      </c>
      <c r="Q26" s="24"/>
      <c r="S26" s="25"/>
      <c r="V26" s="1" t="s">
        <v>83</v>
      </c>
      <c r="W26" s="23" t="b">
        <f>IF(and(H26=TRUE,L26=TRUE,N26=TRUE,P26=TRUE),TRUE,FALSE)</f>
        <v>1</v>
      </c>
      <c r="X26" s="23" t="str">
        <f>IFERROR(__xludf.DUMMYFUNCTION("if(COUNTA(FILTER(C:C, C:C = C26))=1,""no"",""yes"")"),"no")</f>
        <v>no</v>
      </c>
    </row>
    <row r="27">
      <c r="B27" s="19"/>
      <c r="C27" s="19" t="s">
        <v>387</v>
      </c>
      <c r="E27" s="24">
        <f>IFERROR(__xludf.DUMMYFUNCTION("ifna(IFNA(filter('2.1.clean'!C:C,'2.1.clean'!A:A=C27),filter('2.2.clean'!E:E,'2.2.clean'!D:D=C27)),filter('2.4.clean'!C:C,'2.4.clean'!A:A=C27))"),43599.0)</f>
        <v>43599</v>
      </c>
      <c r="F27" s="25">
        <f>IFERROR(__xludf.DUMMYFUNCTION("iferror(ifna(IFNA(filter('2.1.clean'!E:E,'2.1.clean'!A:A=C27),filter('2.2.clean'!G:G,'2.2.clean'!D:D=C27)),filter('2.4.clean'!E:E,'2.4.clean'!A:A=C27)),)"),2.4)</f>
        <v>2.4</v>
      </c>
      <c r="G27" s="24"/>
      <c r="J27" s="25"/>
      <c r="K27" s="24"/>
      <c r="L27" s="25"/>
      <c r="M27" s="24"/>
      <c r="N27" s="25"/>
      <c r="O27" s="24"/>
      <c r="P27" s="25"/>
      <c r="Q27" s="24"/>
      <c r="S27" s="25"/>
      <c r="T27" s="1" t="s">
        <v>388</v>
      </c>
      <c r="V27" s="1" t="s">
        <v>64</v>
      </c>
      <c r="W27" s="1" t="b">
        <v>1</v>
      </c>
      <c r="X27" s="23" t="str">
        <f>IFERROR(__xludf.DUMMYFUNCTION("if(COUNTA(FILTER(C:C, C:C = C27))=1,""no"",""yes"")"),"no")</f>
        <v>no</v>
      </c>
    </row>
    <row r="28">
      <c r="A28" s="1"/>
      <c r="B28" s="27"/>
      <c r="C28" s="27" t="s">
        <v>389</v>
      </c>
      <c r="D28" s="24"/>
      <c r="E28" s="24">
        <f>IFERROR(__xludf.DUMMYFUNCTION("ifna(IFNA(filter('2.1.clean'!C:C,'2.1.clean'!A:A=C28),filter('2.2.clean'!E:E,'2.2.clean'!D:D=C28)),filter('2.4.clean'!C:C,'2.4.clean'!A:A=C28))"),43599.0)</f>
        <v>43599</v>
      </c>
      <c r="F28" s="25">
        <f>IFERROR(__xludf.DUMMYFUNCTION("iferror(ifna(IFNA(filter('2.1.clean'!E:E,'2.1.clean'!A:A=C28),filter('2.2.clean'!G:G,'2.2.clean'!D:D=C28)),filter('2.4.clean'!E:E,'2.4.clean'!A:A=C28)),)"),2.1)</f>
        <v>2.1</v>
      </c>
      <c r="G28" s="24">
        <f>IFERROR(__xludf.DUMMYFUNCTION("iferror(filter('3.1.clean'!C:C,'3.1.clean'!A:A=C28),"""")"),43599.0)</f>
        <v>43599</v>
      </c>
      <c r="H28" s="23" t="b">
        <f t="shared" ref="H28:H36" si="21">if(G28="",FALSE,TRUE)</f>
        <v>1</v>
      </c>
      <c r="J28" s="25"/>
      <c r="K28" s="24">
        <f>IFERROR(__xludf.DUMMYFUNCTION("iferror(filter('3.2.clean'!C:C,'3.2.clean'!A:A=C28),"""")"),43601.0)</f>
        <v>43601</v>
      </c>
      <c r="L28" s="25" t="b">
        <f t="shared" ref="L28:L36" si="22">if(K28="",FALSE,TRUE)</f>
        <v>1</v>
      </c>
      <c r="M28" s="24">
        <f>IFERROR(__xludf.DUMMYFUNCTION("iferror(filter('3.3.clean'!C:C,'3.3.clean'!A:A=C28),"""")"),43601.0)</f>
        <v>43601</v>
      </c>
      <c r="N28" s="25" t="b">
        <f t="shared" ref="N28:N103" si="23">if(M28="",FALSE,TRUE)</f>
        <v>1</v>
      </c>
      <c r="O28" s="24">
        <f>IFERROR(__xludf.DUMMYFUNCTION("iferror(filter('3.4.clean'!C:C,'3.4.clean'!A:A=C28),"""")"),43571.0)</f>
        <v>43571</v>
      </c>
      <c r="P28" s="25" t="b">
        <f t="shared" ref="P28:P109" si="24">if(O28="",FALSE,TRUE)</f>
        <v>1</v>
      </c>
      <c r="Q28" s="24"/>
      <c r="S28" s="25"/>
      <c r="V28" s="1" t="s">
        <v>83</v>
      </c>
      <c r="W28" s="23" t="b">
        <f t="shared" ref="W28:W31" si="25">IF(and(H28=TRUE,L28=TRUE,N28=TRUE,P28=TRUE),TRUE,FALSE)</f>
        <v>1</v>
      </c>
      <c r="X28" s="23" t="str">
        <f>IFERROR(__xludf.DUMMYFUNCTION("if(COUNTA(FILTER(C:C, C:C = C28))=1,""no"",""yes"")"),"no")</f>
        <v>no</v>
      </c>
    </row>
    <row r="29">
      <c r="A29" s="1"/>
      <c r="B29" s="27"/>
      <c r="C29" s="27" t="s">
        <v>325</v>
      </c>
      <c r="D29" s="24"/>
      <c r="E29" s="24">
        <f>IFERROR(__xludf.DUMMYFUNCTION("ifna(IFNA(filter('2.1.clean'!C:C,'2.1.clean'!A:A=C29),filter('2.2.clean'!E:E,'2.2.clean'!D:D=C29)),filter('2.4.clean'!C:C,'2.4.clean'!A:A=C29))"),43599.0)</f>
        <v>43599</v>
      </c>
      <c r="F29" s="25">
        <f>IFERROR(__xludf.DUMMYFUNCTION("iferror(ifna(IFNA(filter('2.1.clean'!E:E,'2.1.clean'!A:A=C29),filter('2.2.clean'!G:G,'2.2.clean'!D:D=C29)),filter('2.4.clean'!E:E,'2.4.clean'!A:A=C29)),)"),2.1)</f>
        <v>2.1</v>
      </c>
      <c r="G29" s="24">
        <f>IFERROR(__xludf.DUMMYFUNCTION("iferror(filter('3.1.clean'!C:C,'3.1.clean'!A:A=C29),"""")"),43599.0)</f>
        <v>43599</v>
      </c>
      <c r="H29" s="23" t="b">
        <f t="shared" si="21"/>
        <v>1</v>
      </c>
      <c r="J29" s="25"/>
      <c r="K29" s="24" t="str">
        <f>IFERROR(__xludf.DUMMYFUNCTION("iferror(filter('3.2.clean'!C:C,'3.2.clean'!A:A=C29),"""")"),"#REF!")</f>
        <v>#REF!</v>
      </c>
      <c r="L29" s="25" t="str">
        <f t="shared" si="22"/>
        <v>#REF!</v>
      </c>
      <c r="M29" s="24">
        <f>IFERROR(__xludf.DUMMYFUNCTION("iferror(filter('3.3.clean'!C:C,'3.3.clean'!A:A=C29),"""")"),43622.0)</f>
        <v>43622</v>
      </c>
      <c r="N29" s="25" t="b">
        <f t="shared" si="23"/>
        <v>1</v>
      </c>
      <c r="O29" s="24">
        <f>IFERROR(__xludf.DUMMYFUNCTION("iferror(filter('3.4.clean'!C:C,'3.4.clean'!A:A=C29),"""")"),43623.0)</f>
        <v>43623</v>
      </c>
      <c r="P29" s="25" t="b">
        <f t="shared" si="24"/>
        <v>1</v>
      </c>
      <c r="Q29" s="24">
        <f>IFERROR(__xludf.DUMMYFUNCTION("iferror(filter('3.5.clean'!C:C,'3.5.clean'!A:A=C29),"""")"),43599.0)</f>
        <v>43599</v>
      </c>
      <c r="R29" s="23" t="b">
        <f t="shared" ref="R29:R30" si="26">if(Q29="",FALSE,TRUE)</f>
        <v>1</v>
      </c>
      <c r="S29" s="25"/>
      <c r="T29" s="1" t="s">
        <v>391</v>
      </c>
      <c r="V29" s="1" t="s">
        <v>83</v>
      </c>
      <c r="W29" s="23" t="str">
        <f t="shared" si="25"/>
        <v>#REF!</v>
      </c>
      <c r="X29" s="23" t="str">
        <f>IFERROR(__xludf.DUMMYFUNCTION("if(COUNTA(FILTER(C:C, C:C = C29))=1,""no"",""yes"")"),"no")</f>
        <v>no</v>
      </c>
    </row>
    <row r="30">
      <c r="A30" s="1"/>
      <c r="B30" s="27"/>
      <c r="C30" s="27" t="s">
        <v>392</v>
      </c>
      <c r="D30" s="24"/>
      <c r="E30" s="24">
        <f>IFERROR(__xludf.DUMMYFUNCTION("ifna(IFNA(filter('2.1.clean'!C:C,'2.1.clean'!A:A=C30),filter('2.2.clean'!E:E,'2.2.clean'!D:D=C30)),filter('2.4.clean'!C:C,'2.4.clean'!A:A=C30))"),43599.0)</f>
        <v>43599</v>
      </c>
      <c r="F30" s="25">
        <f>IFERROR(__xludf.DUMMYFUNCTION("iferror(ifna(IFNA(filter('2.1.clean'!E:E,'2.1.clean'!A:A=C30),filter('2.2.clean'!G:G,'2.2.clean'!D:D=C30)),filter('2.4.clean'!E:E,'2.4.clean'!A:A=C30)),)"),2.1)</f>
        <v>2.1</v>
      </c>
      <c r="G30" s="24">
        <f>IFERROR(__xludf.DUMMYFUNCTION("iferror(filter('3.1.clean'!C:C,'3.1.clean'!A:A=C30),"""")"),43599.0)</f>
        <v>43599</v>
      </c>
      <c r="H30" s="23" t="b">
        <f t="shared" si="21"/>
        <v>1</v>
      </c>
      <c r="J30" s="25"/>
      <c r="K30" s="24" t="str">
        <f>IFERROR(__xludf.DUMMYFUNCTION("iferror(filter('3.2.clean'!C:C,'3.2.clean'!A:A=C30),"""")"),"#REF!")</f>
        <v>#REF!</v>
      </c>
      <c r="L30" s="25" t="str">
        <f t="shared" si="22"/>
        <v>#REF!</v>
      </c>
      <c r="M30" s="24">
        <f>IFERROR(__xludf.DUMMYFUNCTION("iferror(filter('3.3.clean'!C:C,'3.3.clean'!A:A=C30),"""")"),43622.0)</f>
        <v>43622</v>
      </c>
      <c r="N30" s="25" t="b">
        <f t="shared" si="23"/>
        <v>1</v>
      </c>
      <c r="O30" s="24">
        <f>IFERROR(__xludf.DUMMYFUNCTION("iferror(filter('3.4.clean'!C:C,'3.4.clean'!A:A=C30),"""")"),43581.0)</f>
        <v>43581</v>
      </c>
      <c r="P30" s="25" t="b">
        <f t="shared" si="24"/>
        <v>1</v>
      </c>
      <c r="Q30" s="24">
        <f>IFERROR(__xludf.DUMMYFUNCTION("iferror(filter('3.5.clean'!C:C,'3.5.clean'!A:A=C30),"""")"),43599.0)</f>
        <v>43599</v>
      </c>
      <c r="R30" s="23" t="b">
        <f t="shared" si="26"/>
        <v>1</v>
      </c>
      <c r="S30" s="25"/>
      <c r="T30" s="1" t="s">
        <v>393</v>
      </c>
      <c r="V30" s="1" t="s">
        <v>83</v>
      </c>
      <c r="W30" s="23" t="str">
        <f t="shared" si="25"/>
        <v>#REF!</v>
      </c>
      <c r="X30" s="23" t="str">
        <f>IFERROR(__xludf.DUMMYFUNCTION("if(COUNTA(FILTER(C:C, C:C = C30))=1,""no"",""yes"")"),"no")</f>
        <v>no</v>
      </c>
    </row>
    <row r="31">
      <c r="A31" s="1"/>
      <c r="B31" s="27"/>
      <c r="C31" s="27" t="s">
        <v>394</v>
      </c>
      <c r="D31" s="24"/>
      <c r="E31" s="24">
        <f>IFERROR(__xludf.DUMMYFUNCTION("ifna(IFNA(filter('2.1.clean'!C:C,'2.1.clean'!A:A=C31),filter('2.2.clean'!E:E,'2.2.clean'!D:D=C31)),filter('2.4.clean'!C:C,'2.4.clean'!A:A=C31))"),43599.0)</f>
        <v>43599</v>
      </c>
      <c r="F31" s="25">
        <f>IFERROR(__xludf.DUMMYFUNCTION("iferror(ifna(IFNA(filter('2.1.clean'!E:E,'2.1.clean'!A:A=C31),filter('2.2.clean'!G:G,'2.2.clean'!D:D=C31)),filter('2.4.clean'!E:E,'2.4.clean'!A:A=C31)),)"),2.1)</f>
        <v>2.1</v>
      </c>
      <c r="G31" s="24">
        <f>IFERROR(__xludf.DUMMYFUNCTION("iferror(filter('3.1.clean'!C:C,'3.1.clean'!A:A=C31),"""")"),43599.0)</f>
        <v>43599</v>
      </c>
      <c r="H31" s="23" t="b">
        <f t="shared" si="21"/>
        <v>1</v>
      </c>
      <c r="J31" s="25"/>
      <c r="K31" s="24">
        <f>IFERROR(__xludf.DUMMYFUNCTION("iferror(filter('3.2.clean'!C:C,'3.2.clean'!A:A=C31),"""")"),43601.0)</f>
        <v>43601</v>
      </c>
      <c r="L31" s="25" t="b">
        <f t="shared" si="22"/>
        <v>1</v>
      </c>
      <c r="M31" s="24">
        <f>IFERROR(__xludf.DUMMYFUNCTION("iferror(filter('3.3.clean'!C:C,'3.3.clean'!A:A=C31),"""")"),43601.0)</f>
        <v>43601</v>
      </c>
      <c r="N31" s="25" t="b">
        <f t="shared" si="23"/>
        <v>1</v>
      </c>
      <c r="O31" s="24">
        <f>IFERROR(__xludf.DUMMYFUNCTION("iferror(filter('3.4.clean'!C:C,'3.4.clean'!A:A=C31),"""")"),43790.0)</f>
        <v>43790</v>
      </c>
      <c r="P31" s="25" t="b">
        <f t="shared" si="24"/>
        <v>1</v>
      </c>
      <c r="Q31" s="24"/>
      <c r="S31" s="25"/>
      <c r="U31" s="23"/>
      <c r="V31" s="1" t="s">
        <v>83</v>
      </c>
      <c r="W31" s="23" t="b">
        <f t="shared" si="25"/>
        <v>1</v>
      </c>
      <c r="X31" s="23" t="str">
        <f>IFERROR(__xludf.DUMMYFUNCTION("if(COUNTA(FILTER(C:C, C:C = C31))=1,""no"",""yes"")"),"no")</f>
        <v>no</v>
      </c>
    </row>
    <row r="32">
      <c r="A32" s="1" t="s">
        <v>52</v>
      </c>
      <c r="B32" s="19"/>
      <c r="C32" s="19" t="s">
        <v>396</v>
      </c>
      <c r="E32" s="24">
        <f>IFERROR(__xludf.DUMMYFUNCTION("ifna(IFNA(filter('2.1.clean'!C:C,'2.1.clean'!A:A=C32),filter('2.2.clean'!E:E,'2.2.clean'!D:D=C32)),filter('2.4.clean'!C:C,'2.4.clean'!A:A=C32))"),43600.0)</f>
        <v>43600</v>
      </c>
      <c r="F32" s="25">
        <f>IFERROR(__xludf.DUMMYFUNCTION("iferror(ifna(IFNA(filter('2.1.clean'!E:E,'2.1.clean'!A:A=C32),filter('2.2.clean'!G:G,'2.2.clean'!D:D=C32)),filter('2.4.clean'!E:E,'2.4.clean'!A:A=C32)),)"),2.4)</f>
        <v>2.4</v>
      </c>
      <c r="G32" s="24">
        <f>IFERROR(__xludf.DUMMYFUNCTION("iferror(filter('3.1.clean'!C:C,'3.1.clean'!A:A=C32),"""")"),43600.0)</f>
        <v>43600</v>
      </c>
      <c r="H32" s="23" t="b">
        <f t="shared" si="21"/>
        <v>1</v>
      </c>
      <c r="J32" s="25"/>
      <c r="K32" s="24" t="str">
        <f>IFERROR(__xludf.DUMMYFUNCTION("iferror(filter('3.2.clean'!C:C,'3.2.clean'!A:A=C32),"""")"),"")</f>
        <v/>
      </c>
      <c r="L32" s="25" t="b">
        <f t="shared" si="22"/>
        <v>0</v>
      </c>
      <c r="M32" s="24">
        <f>IFERROR(__xludf.DUMMYFUNCTION("iferror(filter('3.3.clean'!C:C,'3.3.clean'!A:A=C32),"""")"),43622.0)</f>
        <v>43622</v>
      </c>
      <c r="N32" s="25" t="b">
        <f t="shared" si="23"/>
        <v>1</v>
      </c>
      <c r="O32" s="24">
        <f>IFERROR(__xludf.DUMMYFUNCTION("iferror(filter('3.4.clean'!C:C,'3.4.clean'!A:A=C32),"""")"),43623.0)</f>
        <v>43623</v>
      </c>
      <c r="P32" s="25" t="b">
        <f t="shared" si="24"/>
        <v>1</v>
      </c>
      <c r="Q32" s="24">
        <f>IFERROR(__xludf.DUMMYFUNCTION("iferror(filter('3.5.clean'!C:C,'3.5.clean'!A:A=C32),"""")"),43600.0)</f>
        <v>43600</v>
      </c>
      <c r="R32" s="23" t="b">
        <f t="shared" ref="R32:R33" si="27">if(Q32="",FALSE,TRUE)</f>
        <v>1</v>
      </c>
      <c r="S32" s="25"/>
      <c r="V32" s="1" t="s">
        <v>64</v>
      </c>
      <c r="X32" s="23" t="str">
        <f>IFERROR(__xludf.DUMMYFUNCTION("if(COUNTA(FILTER(C:C, C:C = C32))=1,""no"",""yes"")"),"no")</f>
        <v>no</v>
      </c>
    </row>
    <row r="33">
      <c r="A33" s="1" t="s">
        <v>52</v>
      </c>
      <c r="B33" s="19"/>
      <c r="C33" s="23" t="s">
        <v>399</v>
      </c>
      <c r="E33" s="24">
        <f>IFERROR(__xludf.DUMMYFUNCTION("ifna(IFNA(filter('2.1.clean'!C:C,'2.1.clean'!A:A=C33),filter('2.2.clean'!E:E,'2.2.clean'!D:D=C33)),filter('2.4.clean'!C:C,'2.4.clean'!A:A=C33))"),43600.0)</f>
        <v>43600</v>
      </c>
      <c r="F33" s="25">
        <f>IFERROR(__xludf.DUMMYFUNCTION("iferror(ifna(IFNA(filter('2.1.clean'!E:E,'2.1.clean'!A:A=C33),filter('2.2.clean'!G:G,'2.2.clean'!D:D=C33)),filter('2.4.clean'!E:E,'2.4.clean'!A:A=C33)),)"),2.1)</f>
        <v>2.1</v>
      </c>
      <c r="G33" s="24" t="str">
        <f>IFERROR(__xludf.DUMMYFUNCTION("iferror(filter('3.1.clean'!C:C,'3.1.clean'!A:A=C33),"""")"),"")</f>
        <v/>
      </c>
      <c r="H33" s="23" t="b">
        <f t="shared" si="21"/>
        <v>0</v>
      </c>
      <c r="J33" s="25"/>
      <c r="K33" s="24" t="str">
        <f>IFERROR(__xludf.DUMMYFUNCTION("iferror(filter('3.2.clean'!C:C,'3.2.clean'!A:A=C33),"""")"),"")</f>
        <v/>
      </c>
      <c r="L33" s="25" t="b">
        <f t="shared" si="22"/>
        <v>0</v>
      </c>
      <c r="M33" s="24" t="str">
        <f>IFERROR(__xludf.DUMMYFUNCTION("iferror(filter('3.3.clean'!C:C,'3.3.clean'!A:A=C33),"""")"),"")</f>
        <v/>
      </c>
      <c r="N33" s="25" t="b">
        <f t="shared" si="23"/>
        <v>0</v>
      </c>
      <c r="O33" s="24">
        <f>IFERROR(__xludf.DUMMYFUNCTION("iferror(filter('3.4.clean'!C:C,'3.4.clean'!A:A=C33),"""")"),43684.0)</f>
        <v>43684</v>
      </c>
      <c r="P33" s="25" t="b">
        <f t="shared" si="24"/>
        <v>1</v>
      </c>
      <c r="Q33" s="24" t="str">
        <f>IFERROR(__xludf.DUMMYFUNCTION("iferror(filter('3.5.clean'!C:C,'3.5.clean'!A:A=C33),"""")"),"")</f>
        <v/>
      </c>
      <c r="R33" s="23" t="b">
        <f t="shared" si="27"/>
        <v>0</v>
      </c>
      <c r="S33" s="25"/>
      <c r="V33" s="1" t="s">
        <v>83</v>
      </c>
      <c r="W33" s="23" t="b">
        <f t="shared" ref="W33:W36" si="28">IF(and(H33=TRUE,L33=TRUE,N33=TRUE,P33=TRUE),TRUE,FALSE)</f>
        <v>0</v>
      </c>
      <c r="X33" s="23" t="str">
        <f>IFERROR(__xludf.DUMMYFUNCTION("if(COUNTA(FILTER(C:C, C:C = C33))=1,""no"",""yes"")"),"no")</f>
        <v>no</v>
      </c>
    </row>
    <row r="34">
      <c r="A34" s="1"/>
      <c r="B34" s="27"/>
      <c r="C34" s="27" t="s">
        <v>400</v>
      </c>
      <c r="D34" s="24"/>
      <c r="E34" s="24">
        <f>IFERROR(__xludf.DUMMYFUNCTION("ifna(IFNA(filter('2.1.clean'!C:C,'2.1.clean'!A:A=C34),filter('2.2.clean'!E:E,'2.2.clean'!D:D=C34)),filter('2.4.clean'!C:C,'2.4.clean'!A:A=C34))"),43600.0)</f>
        <v>43600</v>
      </c>
      <c r="F34" s="25">
        <f>IFERROR(__xludf.DUMMYFUNCTION("iferror(ifna(IFNA(filter('2.1.clean'!E:E,'2.1.clean'!A:A=C34),filter('2.2.clean'!G:G,'2.2.clean'!D:D=C34)),filter('2.4.clean'!E:E,'2.4.clean'!A:A=C34)),)"),2.1)</f>
        <v>2.1</v>
      </c>
      <c r="G34" s="24">
        <f>IFERROR(__xludf.DUMMYFUNCTION("iferror(filter('3.1.clean'!C:C,'3.1.clean'!A:A=C34),"""")"),43600.0)</f>
        <v>43600</v>
      </c>
      <c r="H34" s="23" t="b">
        <f t="shared" si="21"/>
        <v>1</v>
      </c>
      <c r="J34" s="25"/>
      <c r="K34" s="24">
        <f>IFERROR(__xludf.DUMMYFUNCTION("iferror(filter('3.2.clean'!C:C,'3.2.clean'!A:A=C34),"""")"),43601.0)</f>
        <v>43601</v>
      </c>
      <c r="L34" s="25" t="b">
        <f t="shared" si="22"/>
        <v>1</v>
      </c>
      <c r="M34" s="24">
        <f>IFERROR(__xludf.DUMMYFUNCTION("iferror(filter('3.3.clean'!C:C,'3.3.clean'!A:A=C34),"""")"),43622.0)</f>
        <v>43622</v>
      </c>
      <c r="N34" s="25" t="b">
        <f t="shared" si="23"/>
        <v>1</v>
      </c>
      <c r="O34" s="24">
        <f>IFERROR(__xludf.DUMMYFUNCTION("iferror(filter('3.4.clean'!C:C,'3.4.clean'!A:A=C34),"""")"),43623.0)</f>
        <v>43623</v>
      </c>
      <c r="P34" s="25" t="b">
        <f t="shared" si="24"/>
        <v>1</v>
      </c>
      <c r="Q34" s="24"/>
      <c r="S34" s="25"/>
      <c r="V34" s="1" t="s">
        <v>83</v>
      </c>
      <c r="W34" s="23" t="b">
        <f t="shared" si="28"/>
        <v>1</v>
      </c>
      <c r="X34" s="23" t="str">
        <f>IFERROR(__xludf.DUMMYFUNCTION("if(COUNTA(FILTER(C:C, C:C = C34))=1,""no"",""yes"")"),"no")</f>
        <v>no</v>
      </c>
    </row>
    <row r="35">
      <c r="A35" s="1"/>
      <c r="B35" s="27"/>
      <c r="C35" s="27" t="s">
        <v>401</v>
      </c>
      <c r="D35" s="24"/>
      <c r="E35" s="24">
        <f>IFERROR(__xludf.DUMMYFUNCTION("ifna(IFNA(filter('2.1.clean'!C:C,'2.1.clean'!A:A=C35),filter('2.2.clean'!E:E,'2.2.clean'!D:D=C35)),filter('2.4.clean'!C:C,'2.4.clean'!A:A=C35))"),43600.0)</f>
        <v>43600</v>
      </c>
      <c r="F35" s="25">
        <f>IFERROR(__xludf.DUMMYFUNCTION("iferror(ifna(IFNA(filter('2.1.clean'!E:E,'2.1.clean'!A:A=C35),filter('2.2.clean'!G:G,'2.2.clean'!D:D=C35)),filter('2.4.clean'!E:E,'2.4.clean'!A:A=C35)),)"),2.1)</f>
        <v>2.1</v>
      </c>
      <c r="G35" s="24">
        <f>IFERROR(__xludf.DUMMYFUNCTION("iferror(filter('3.1.clean'!C:C,'3.1.clean'!A:A=C35),"""")"),43600.0)</f>
        <v>43600</v>
      </c>
      <c r="H35" s="23" t="b">
        <f t="shared" si="21"/>
        <v>1</v>
      </c>
      <c r="J35" s="25"/>
      <c r="K35" s="24">
        <f>IFERROR(__xludf.DUMMYFUNCTION("iferror(filter('3.2.clean'!C:C,'3.2.clean'!A:A=C35),"""")"),43601.0)</f>
        <v>43601</v>
      </c>
      <c r="L35" s="25" t="b">
        <f t="shared" si="22"/>
        <v>1</v>
      </c>
      <c r="M35" s="24">
        <f>IFERROR(__xludf.DUMMYFUNCTION("iferror(filter('3.3.clean'!C:C,'3.3.clean'!A:A=C35),"""")"),43622.0)</f>
        <v>43622</v>
      </c>
      <c r="N35" s="25" t="b">
        <f t="shared" si="23"/>
        <v>1</v>
      </c>
      <c r="O35" s="24">
        <f>IFERROR(__xludf.DUMMYFUNCTION("iferror(filter('3.4.clean'!C:C,'3.4.clean'!A:A=C35),"""")"),43623.0)</f>
        <v>43623</v>
      </c>
      <c r="P35" s="25" t="b">
        <f t="shared" si="24"/>
        <v>1</v>
      </c>
      <c r="Q35" s="24"/>
      <c r="S35" s="25"/>
      <c r="V35" s="1" t="s">
        <v>83</v>
      </c>
      <c r="W35" s="23" t="b">
        <f t="shared" si="28"/>
        <v>1</v>
      </c>
      <c r="X35" s="23" t="str">
        <f>IFERROR(__xludf.DUMMYFUNCTION("if(COUNTA(FILTER(C:C, C:C = C35))=1,""no"",""yes"")"),"no")</f>
        <v>no</v>
      </c>
    </row>
    <row r="36">
      <c r="A36" s="1"/>
      <c r="B36" s="27"/>
      <c r="C36" s="27" t="s">
        <v>403</v>
      </c>
      <c r="D36" s="24"/>
      <c r="E36" s="24">
        <f>IFERROR(__xludf.DUMMYFUNCTION("ifna(IFNA(filter('2.1.clean'!C:C,'2.1.clean'!A:A=C36),filter('2.2.clean'!E:E,'2.2.clean'!D:D=C36)),filter('2.4.clean'!C:C,'2.4.clean'!A:A=C36))"),43600.0)</f>
        <v>43600</v>
      </c>
      <c r="F36" s="25">
        <f>IFERROR(__xludf.DUMMYFUNCTION("iferror(ifna(IFNA(filter('2.1.clean'!E:E,'2.1.clean'!A:A=C36),filter('2.2.clean'!G:G,'2.2.clean'!D:D=C36)),filter('2.4.clean'!E:E,'2.4.clean'!A:A=C36)),)"),2.1)</f>
        <v>2.1</v>
      </c>
      <c r="G36" s="24">
        <f>IFERROR(__xludf.DUMMYFUNCTION("iferror(filter('3.1.clean'!C:C,'3.1.clean'!A:A=C36),"""")"),43600.0)</f>
        <v>43600</v>
      </c>
      <c r="H36" s="23" t="b">
        <f t="shared" si="21"/>
        <v>1</v>
      </c>
      <c r="J36" s="25"/>
      <c r="K36" s="24">
        <f>IFERROR(__xludf.DUMMYFUNCTION("iferror(filter('3.2.clean'!C:C,'3.2.clean'!A:A=C36),"""")"),43601.0)</f>
        <v>43601</v>
      </c>
      <c r="L36" s="25" t="b">
        <f t="shared" si="22"/>
        <v>1</v>
      </c>
      <c r="M36" s="24">
        <f>IFERROR(__xludf.DUMMYFUNCTION("iferror(filter('3.3.clean'!C:C,'3.3.clean'!A:A=C36),"""")"),43622.0)</f>
        <v>43622</v>
      </c>
      <c r="N36" s="25" t="b">
        <f t="shared" si="23"/>
        <v>1</v>
      </c>
      <c r="O36" s="24">
        <f>IFERROR(__xludf.DUMMYFUNCTION("iferror(filter('3.4.clean'!C:C,'3.4.clean'!A:A=C36),"""")"),43623.0)</f>
        <v>43623</v>
      </c>
      <c r="P36" s="25" t="b">
        <f t="shared" si="24"/>
        <v>1</v>
      </c>
      <c r="Q36" s="24"/>
      <c r="S36" s="25"/>
      <c r="V36" s="1" t="s">
        <v>83</v>
      </c>
      <c r="W36" s="23" t="b">
        <f t="shared" si="28"/>
        <v>1</v>
      </c>
      <c r="X36" s="23" t="str">
        <f>IFERROR(__xludf.DUMMYFUNCTION("if(COUNTA(FILTER(C:C, C:C = C36))=1,""no"",""yes"")"),"no")</f>
        <v>no</v>
      </c>
    </row>
    <row r="37">
      <c r="A37" s="1" t="s">
        <v>52</v>
      </c>
      <c r="B37" s="19"/>
      <c r="C37" s="19" t="s">
        <v>404</v>
      </c>
      <c r="E37" s="24">
        <f>IFERROR(__xludf.DUMMYFUNCTION("ifna(IFNA(filter('2.1.clean'!C:C,'2.1.clean'!A:A=C37),filter('2.2.clean'!E:E,'2.2.clean'!D:D=C37)),filter('2.4.clean'!C:C,'2.4.clean'!A:A=C37))"),43601.0)</f>
        <v>43601</v>
      </c>
      <c r="F37" s="25">
        <f>IFERROR(__xludf.DUMMYFUNCTION("iferror(ifna(IFNA(filter('2.1.clean'!E:E,'2.1.clean'!A:A=C37),filter('2.2.clean'!G:G,'2.2.clean'!D:D=C37)),filter('2.4.clean'!E:E,'2.4.clean'!A:A=C37)),)"),2.4)</f>
        <v>2.4</v>
      </c>
      <c r="G37" s="24"/>
      <c r="J37" s="25"/>
      <c r="K37" s="24"/>
      <c r="L37" s="25"/>
      <c r="M37" s="24">
        <f>IFERROR(__xludf.DUMMYFUNCTION("iferror(filter('3.3.clean'!C:C,'3.3.clean'!A:A=C37),"""")"),43622.0)</f>
        <v>43622</v>
      </c>
      <c r="N37" s="25" t="b">
        <f t="shared" si="23"/>
        <v>1</v>
      </c>
      <c r="O37" s="24">
        <f>IFERROR(__xludf.DUMMYFUNCTION("iferror(filter('3.4.clean'!C:C,'3.4.clean'!A:A=C37),"""")"),43623.0)</f>
        <v>43623</v>
      </c>
      <c r="P37" s="25" t="b">
        <f t="shared" si="24"/>
        <v>1</v>
      </c>
      <c r="Q37" s="24">
        <f>IFERROR(__xludf.DUMMYFUNCTION("iferror(filter('3.5.clean'!C:C,'3.5.clean'!A:A=C37),"""")"),43601.0)</f>
        <v>43601</v>
      </c>
      <c r="R37" s="23" t="b">
        <f t="shared" ref="R37:R40" si="29">if(Q37="",FALSE,TRUE)</f>
        <v>1</v>
      </c>
      <c r="S37" s="25"/>
      <c r="V37" s="1" t="s">
        <v>64</v>
      </c>
      <c r="W37" s="23" t="b">
        <f t="shared" ref="W37:W38" si="30">IF(and(R37=TRUE,N37=TRUE,P37=TRUE),TRUE,FALSE)</f>
        <v>1</v>
      </c>
      <c r="X37" s="23" t="str">
        <f>IFERROR(__xludf.DUMMYFUNCTION("if(COUNTA(FILTER(C:C, C:C = C37))=1,""no"",""yes"")"),"no")</f>
        <v>no</v>
      </c>
    </row>
    <row r="38">
      <c r="A38" s="1" t="s">
        <v>52</v>
      </c>
      <c r="B38" s="19"/>
      <c r="C38" s="19" t="s">
        <v>406</v>
      </c>
      <c r="E38" s="24">
        <f>IFERROR(__xludf.DUMMYFUNCTION("ifna(IFNA(filter('2.1.clean'!C:C,'2.1.clean'!A:A=C38),filter('2.2.clean'!E:E,'2.2.clean'!D:D=C38)),filter('2.4.clean'!C:C,'2.4.clean'!A:A=C38))"),43601.0)</f>
        <v>43601</v>
      </c>
      <c r="F38" s="25">
        <f>IFERROR(__xludf.DUMMYFUNCTION("iferror(ifna(IFNA(filter('2.1.clean'!E:E,'2.1.clean'!A:A=C38),filter('2.2.clean'!G:G,'2.2.clean'!D:D=C38)),filter('2.4.clean'!E:E,'2.4.clean'!A:A=C38)),)"),2.4)</f>
        <v>2.4</v>
      </c>
      <c r="G38" s="24"/>
      <c r="J38" s="25"/>
      <c r="K38" s="24"/>
      <c r="L38" s="25"/>
      <c r="M38" s="24">
        <f>IFERROR(__xludf.DUMMYFUNCTION("iferror(filter('3.3.clean'!C:C,'3.3.clean'!A:A=C38),"""")"),43622.0)</f>
        <v>43622</v>
      </c>
      <c r="N38" s="25" t="b">
        <f t="shared" si="23"/>
        <v>1</v>
      </c>
      <c r="O38" s="24">
        <f>IFERROR(__xludf.DUMMYFUNCTION("iferror(filter('3.4.clean'!C:C,'3.4.clean'!A:A=C38),"""")"),43623.0)</f>
        <v>43623</v>
      </c>
      <c r="P38" s="25" t="b">
        <f t="shared" si="24"/>
        <v>1</v>
      </c>
      <c r="Q38" s="24">
        <f>IFERROR(__xludf.DUMMYFUNCTION("iferror(filter('3.5.clean'!C:C,'3.5.clean'!A:A=C38),"""")"),43601.0)</f>
        <v>43601</v>
      </c>
      <c r="R38" s="23" t="b">
        <f t="shared" si="29"/>
        <v>1</v>
      </c>
      <c r="S38" s="25"/>
      <c r="V38" s="1" t="s">
        <v>64</v>
      </c>
      <c r="W38" s="23" t="b">
        <f t="shared" si="30"/>
        <v>1</v>
      </c>
      <c r="X38" s="23" t="str">
        <f>IFERROR(__xludf.DUMMYFUNCTION("if(COUNTA(FILTER(C:C, C:C = C38))=1,""no"",""yes"")"),"no")</f>
        <v>no</v>
      </c>
    </row>
    <row r="39">
      <c r="A39" s="1" t="s">
        <v>52</v>
      </c>
      <c r="B39" s="19"/>
      <c r="C39" s="19" t="s">
        <v>408</v>
      </c>
      <c r="E39" s="24">
        <f>IFERROR(__xludf.DUMMYFUNCTION("ifna(IFNA(filter('2.1.clean'!C:C,'2.1.clean'!A:A=C39),filter('2.2.clean'!E:E,'2.2.clean'!D:D=C39)),filter('2.4.clean'!C:C,'2.4.clean'!A:A=C39))"),43601.0)</f>
        <v>43601</v>
      </c>
      <c r="F39" s="25">
        <f>IFERROR(__xludf.DUMMYFUNCTION("iferror(ifna(IFNA(filter('2.1.clean'!E:E,'2.1.clean'!A:A=C39),filter('2.2.clean'!G:G,'2.2.clean'!D:D=C39)),filter('2.4.clean'!E:E,'2.4.clean'!A:A=C39)),)"),2.4)</f>
        <v>2.4</v>
      </c>
      <c r="G39" s="24">
        <f>IFERROR(__xludf.DUMMYFUNCTION("iferror(filter('3.1.clean'!C:C,'3.1.clean'!A:A=C39),"""")"),43601.0)</f>
        <v>43601</v>
      </c>
      <c r="H39" s="23" t="b">
        <f t="shared" ref="H39:H63" si="31">if(G39="",FALSE,TRUE)</f>
        <v>1</v>
      </c>
      <c r="J39" s="25"/>
      <c r="K39" s="24" t="str">
        <f>IFERROR(__xludf.DUMMYFUNCTION("iferror(filter('3.2.clean'!C:C,'3.2.clean'!A:A=C39),"""")"),"")</f>
        <v/>
      </c>
      <c r="L39" s="25" t="b">
        <f t="shared" ref="L39:L63" si="32">if(K39="",FALSE,TRUE)</f>
        <v>0</v>
      </c>
      <c r="M39" s="24">
        <f>IFERROR(__xludf.DUMMYFUNCTION("iferror(filter('3.3.clean'!C:C,'3.3.clean'!A:A=C39),"""")"),43622.0)</f>
        <v>43622</v>
      </c>
      <c r="N39" s="25" t="b">
        <f t="shared" si="23"/>
        <v>1</v>
      </c>
      <c r="O39" s="24">
        <f>IFERROR(__xludf.DUMMYFUNCTION("iferror(filter('3.4.clean'!C:C,'3.4.clean'!A:A=C39),"""")"),43623.0)</f>
        <v>43623</v>
      </c>
      <c r="P39" s="25" t="b">
        <f t="shared" si="24"/>
        <v>1</v>
      </c>
      <c r="Q39" s="24">
        <f>IFERROR(__xludf.DUMMYFUNCTION("iferror(filter('3.5.clean'!C:C,'3.5.clean'!A:A=C39),"""")"),43601.0)</f>
        <v>43601</v>
      </c>
      <c r="R39" s="23" t="b">
        <f t="shared" si="29"/>
        <v>1</v>
      </c>
      <c r="S39" s="25"/>
      <c r="V39" s="1" t="s">
        <v>64</v>
      </c>
      <c r="X39" s="23" t="str">
        <f>IFERROR(__xludf.DUMMYFUNCTION("if(COUNTA(FILTER(C:C, C:C = C39))=1,""no"",""yes"")"),"no")</f>
        <v>no</v>
      </c>
    </row>
    <row r="40">
      <c r="A40" s="1" t="s">
        <v>52</v>
      </c>
      <c r="B40" s="19"/>
      <c r="C40" s="19" t="s">
        <v>409</v>
      </c>
      <c r="E40" s="24">
        <f>IFERROR(__xludf.DUMMYFUNCTION("ifna(IFNA(filter('2.1.clean'!C:C,'2.1.clean'!A:A=C40),filter('2.2.clean'!E:E,'2.2.clean'!D:D=C40)),filter('2.4.clean'!C:C,'2.4.clean'!A:A=C40))"),43605.0)</f>
        <v>43605</v>
      </c>
      <c r="F40" s="25">
        <f>IFERROR(__xludf.DUMMYFUNCTION("iferror(ifna(IFNA(filter('2.1.clean'!E:E,'2.1.clean'!A:A=C40),filter('2.2.clean'!G:G,'2.2.clean'!D:D=C40)),filter('2.4.clean'!E:E,'2.4.clean'!A:A=C40)),)"),2.4)</f>
        <v>2.4</v>
      </c>
      <c r="G40" s="24">
        <f>IFERROR(__xludf.DUMMYFUNCTION("iferror(filter('3.1.clean'!C:C,'3.1.clean'!A:A=C40),"""")"),43605.0)</f>
        <v>43605</v>
      </c>
      <c r="H40" s="23" t="b">
        <f t="shared" si="31"/>
        <v>1</v>
      </c>
      <c r="J40" s="25"/>
      <c r="K40" s="24" t="str">
        <f>IFERROR(__xludf.DUMMYFUNCTION("iferror(filter('3.2.clean'!C:C,'3.2.clean'!A:A=C40),"""")"),"")</f>
        <v/>
      </c>
      <c r="L40" s="25" t="b">
        <f t="shared" si="32"/>
        <v>0</v>
      </c>
      <c r="M40" s="24">
        <f>IFERROR(__xludf.DUMMYFUNCTION("iferror(filter('3.3.clean'!C:C,'3.3.clean'!A:A=C40),"""")"),43628.0)</f>
        <v>43628</v>
      </c>
      <c r="N40" s="25" t="b">
        <f t="shared" si="23"/>
        <v>1</v>
      </c>
      <c r="O40" s="24">
        <f>IFERROR(__xludf.DUMMYFUNCTION("iferror(filter('3.4.clean'!C:C,'3.4.clean'!A:A=C40),"""")"),43654.0)</f>
        <v>43654</v>
      </c>
      <c r="P40" s="25" t="b">
        <f t="shared" si="24"/>
        <v>1</v>
      </c>
      <c r="Q40" s="24">
        <f>IFERROR(__xludf.DUMMYFUNCTION("iferror(filter('3.5.clean'!C:C,'3.5.clean'!A:A=C40),"""")"),43605.0)</f>
        <v>43605</v>
      </c>
      <c r="R40" s="23" t="b">
        <f t="shared" si="29"/>
        <v>1</v>
      </c>
      <c r="S40" s="25"/>
      <c r="U40" s="23"/>
      <c r="V40" s="1" t="s">
        <v>64</v>
      </c>
      <c r="X40" s="23" t="str">
        <f>IFERROR(__xludf.DUMMYFUNCTION("if(COUNTA(FILTER(C:C, C:C = C40))=1,""no"",""yes"")"),"no")</f>
        <v>no</v>
      </c>
    </row>
    <row r="41">
      <c r="A41" s="1"/>
      <c r="B41" s="27"/>
      <c r="C41" s="27" t="s">
        <v>410</v>
      </c>
      <c r="D41" s="24"/>
      <c r="E41" s="24">
        <f>IFERROR(__xludf.DUMMYFUNCTION("ifna(IFNA(filter('2.1.clean'!C:C,'2.1.clean'!A:A=C41),filter('2.2.clean'!E:E,'2.2.clean'!D:D=C41)),filter('2.4.clean'!C:C,'2.4.clean'!A:A=C41))"),43606.0)</f>
        <v>43606</v>
      </c>
      <c r="F41" s="25">
        <f>IFERROR(__xludf.DUMMYFUNCTION("iferror(ifna(IFNA(filter('2.1.clean'!E:E,'2.1.clean'!A:A=C41),filter('2.2.clean'!G:G,'2.2.clean'!D:D=C41)),filter('2.4.clean'!E:E,'2.4.clean'!A:A=C41)),)"),2.1)</f>
        <v>2.1</v>
      </c>
      <c r="G41" s="24">
        <f>IFERROR(__xludf.DUMMYFUNCTION("iferror(filter('3.1.clean'!C:C,'3.1.clean'!A:A=C41),"""")"),43606.0)</f>
        <v>43606</v>
      </c>
      <c r="H41" s="23" t="b">
        <f t="shared" si="31"/>
        <v>1</v>
      </c>
      <c r="J41" s="25"/>
      <c r="K41" s="24">
        <f>IFERROR(__xludf.DUMMYFUNCTION("iferror(filter('3.2.clean'!C:C,'3.2.clean'!A:A=C41),"""")"),43607.0)</f>
        <v>43607</v>
      </c>
      <c r="L41" s="25" t="b">
        <f t="shared" si="32"/>
        <v>1</v>
      </c>
      <c r="M41" s="24">
        <f>IFERROR(__xludf.DUMMYFUNCTION("iferror(filter('3.3.clean'!C:C,'3.3.clean'!A:A=C41),"""")"),43621.0)</f>
        <v>43621</v>
      </c>
      <c r="N41" s="25" t="b">
        <f t="shared" si="23"/>
        <v>1</v>
      </c>
      <c r="O41" s="24">
        <f>IFERROR(__xludf.DUMMYFUNCTION("iferror(filter('3.4.clean'!C:C,'3.4.clean'!A:A=C41),"""")"),43654.0)</f>
        <v>43654</v>
      </c>
      <c r="P41" s="25" t="b">
        <f t="shared" si="24"/>
        <v>1</v>
      </c>
      <c r="Q41" s="24"/>
      <c r="S41" s="25"/>
      <c r="U41" s="23"/>
      <c r="V41" s="1" t="s">
        <v>83</v>
      </c>
      <c r="W41" s="23" t="b">
        <f>IF(and(H41=TRUE,L41=TRUE,N41=TRUE,P41=TRUE),TRUE,FALSE)</f>
        <v>1</v>
      </c>
      <c r="X41" s="23" t="str">
        <f>IFERROR(__xludf.DUMMYFUNCTION("if(COUNTA(FILTER(C:C, C:C = C41))=1,""no"",""yes"")"),"no")</f>
        <v>no</v>
      </c>
    </row>
    <row r="42">
      <c r="A42" s="1"/>
      <c r="B42" s="27"/>
      <c r="C42" s="27" t="s">
        <v>411</v>
      </c>
      <c r="D42" s="24"/>
      <c r="E42" s="24">
        <f>IFERROR(__xludf.DUMMYFUNCTION("ifna(IFNA(filter('2.1.clean'!C:C,'2.1.clean'!A:A=C42),filter('2.2.clean'!E:E,'2.2.clean'!D:D=C42)),filter('2.4.clean'!C:C,'2.4.clean'!A:A=C42))"),43606.0)</f>
        <v>43606</v>
      </c>
      <c r="F42" s="25">
        <f>IFERROR(__xludf.DUMMYFUNCTION("iferror(ifna(IFNA(filter('2.1.clean'!E:E,'2.1.clean'!A:A=C42),filter('2.2.clean'!G:G,'2.2.clean'!D:D=C42)),filter('2.4.clean'!E:E,'2.4.clean'!A:A=C42)),)"),2.1)</f>
        <v>2.1</v>
      </c>
      <c r="G42" s="24">
        <f>IFERROR(__xludf.DUMMYFUNCTION("iferror(filter('3.1.clean'!C:C,'3.1.clean'!A:A=C42),"""")"),43606.0)</f>
        <v>43606</v>
      </c>
      <c r="H42" s="23" t="b">
        <f t="shared" si="31"/>
        <v>1</v>
      </c>
      <c r="J42" s="25"/>
      <c r="K42" s="24">
        <f>IFERROR(__xludf.DUMMYFUNCTION("iferror(filter('3.2.clean'!C:C,'3.2.clean'!A:A=C42),"""")"),43607.0)</f>
        <v>43607</v>
      </c>
      <c r="L42" s="25" t="b">
        <f t="shared" si="32"/>
        <v>1</v>
      </c>
      <c r="M42" s="24">
        <f>IFERROR(__xludf.DUMMYFUNCTION("iferror(filter('3.3.clean'!C:C,'3.3.clean'!A:A=C42),"""")"),43628.0)</f>
        <v>43628</v>
      </c>
      <c r="N42" s="25" t="b">
        <f t="shared" si="23"/>
        <v>1</v>
      </c>
      <c r="O42" s="24">
        <f>IFERROR(__xludf.DUMMYFUNCTION("iferror(filter('3.4.clean'!C:C,'3.4.clean'!A:A=C42),"""")"),43654.0)</f>
        <v>43654</v>
      </c>
      <c r="P42" s="25" t="b">
        <f t="shared" si="24"/>
        <v>1</v>
      </c>
      <c r="Q42" s="24"/>
      <c r="S42" s="25"/>
      <c r="U42" s="23"/>
      <c r="V42" s="1" t="s">
        <v>83</v>
      </c>
      <c r="W42" s="1" t="b">
        <v>1</v>
      </c>
      <c r="X42" s="23" t="str">
        <f>IFERROR(__xludf.DUMMYFUNCTION("if(COUNTA(FILTER(C:C, C:C = C42))=1,""no"",""yes"")"),"no")</f>
        <v>no</v>
      </c>
    </row>
    <row r="43">
      <c r="A43" s="1"/>
      <c r="B43" s="27"/>
      <c r="C43" s="27" t="s">
        <v>413</v>
      </c>
      <c r="D43" s="24"/>
      <c r="E43" s="24">
        <f>IFERROR(__xludf.DUMMYFUNCTION("ifna(IFNA(filter('2.1.clean'!C:C,'2.1.clean'!A:A=C43),filter('2.2.clean'!E:E,'2.2.clean'!D:D=C43)),filter('2.4.clean'!C:C,'2.4.clean'!A:A=C43))"),43606.0)</f>
        <v>43606</v>
      </c>
      <c r="F43" s="25">
        <f>IFERROR(__xludf.DUMMYFUNCTION("iferror(ifna(IFNA(filter('2.1.clean'!E:E,'2.1.clean'!A:A=C43),filter('2.2.clean'!G:G,'2.2.clean'!D:D=C43)),filter('2.4.clean'!E:E,'2.4.clean'!A:A=C43)),)"),2.1)</f>
        <v>2.1</v>
      </c>
      <c r="G43" s="24">
        <f>IFERROR(__xludf.DUMMYFUNCTION("iferror(filter('3.1.clean'!C:C,'3.1.clean'!A:A=C43),"""")"),43606.0)</f>
        <v>43606</v>
      </c>
      <c r="H43" s="23" t="b">
        <f t="shared" si="31"/>
        <v>1</v>
      </c>
      <c r="J43" s="25"/>
      <c r="K43" s="24">
        <f>IFERROR(__xludf.DUMMYFUNCTION("iferror(filter('3.2.clean'!C:C,'3.2.clean'!A:A=C43),"""")"),43607.0)</f>
        <v>43607</v>
      </c>
      <c r="L43" s="25" t="b">
        <f t="shared" si="32"/>
        <v>1</v>
      </c>
      <c r="M43" s="24">
        <f>IFERROR(__xludf.DUMMYFUNCTION("iferror(filter('3.3.clean'!C:C,'3.3.clean'!A:A=C43),"""")"),43621.0)</f>
        <v>43621</v>
      </c>
      <c r="N43" s="25" t="b">
        <f t="shared" si="23"/>
        <v>1</v>
      </c>
      <c r="O43" s="24">
        <f>IFERROR(__xludf.DUMMYFUNCTION("iferror(filter('3.4.clean'!C:C,'3.4.clean'!A:A=C43),"""")"),43790.0)</f>
        <v>43790</v>
      </c>
      <c r="P43" s="25" t="b">
        <f t="shared" si="24"/>
        <v>1</v>
      </c>
      <c r="Q43" s="24"/>
      <c r="S43" s="25"/>
      <c r="V43" s="1" t="s">
        <v>83</v>
      </c>
      <c r="W43" s="23" t="b">
        <f t="shared" ref="W43:W47" si="33">IF(and(H43=TRUE,L43=TRUE,N43=TRUE,P43=TRUE),TRUE,FALSE)</f>
        <v>1</v>
      </c>
      <c r="X43" s="23" t="str">
        <f>IFERROR(__xludf.DUMMYFUNCTION("if(COUNTA(FILTER(C:C, C:C = C43))=1,""no"",""yes"")"),"no")</f>
        <v>no</v>
      </c>
    </row>
    <row r="44">
      <c r="A44" s="1"/>
      <c r="B44" s="27"/>
      <c r="C44" s="27" t="s">
        <v>414</v>
      </c>
      <c r="D44" s="24"/>
      <c r="E44" s="24">
        <f>IFERROR(__xludf.DUMMYFUNCTION("ifna(IFNA(filter('2.1.clean'!C:C,'2.1.clean'!A:A=C44),filter('2.2.clean'!E:E,'2.2.clean'!D:D=C44)),filter('2.4.clean'!C:C,'2.4.clean'!A:A=C44))"),43606.0)</f>
        <v>43606</v>
      </c>
      <c r="F44" s="25">
        <f>IFERROR(__xludf.DUMMYFUNCTION("iferror(ifna(IFNA(filter('2.1.clean'!E:E,'2.1.clean'!A:A=C44),filter('2.2.clean'!G:G,'2.2.clean'!D:D=C44)),filter('2.4.clean'!E:E,'2.4.clean'!A:A=C44)),)"),2.1)</f>
        <v>2.1</v>
      </c>
      <c r="G44" s="24">
        <f>IFERROR(__xludf.DUMMYFUNCTION("iferror(filter('3.1.clean'!C:C,'3.1.clean'!A:A=C44),"""")"),43606.0)</f>
        <v>43606</v>
      </c>
      <c r="H44" s="23" t="b">
        <f t="shared" si="31"/>
        <v>1</v>
      </c>
      <c r="J44" s="25"/>
      <c r="K44" s="24">
        <f>IFERROR(__xludf.DUMMYFUNCTION("iferror(filter('3.2.clean'!C:C,'3.2.clean'!A:A=C44),"""")"),43607.0)</f>
        <v>43607</v>
      </c>
      <c r="L44" s="25" t="b">
        <f t="shared" si="32"/>
        <v>1</v>
      </c>
      <c r="M44" s="24">
        <f>IFERROR(__xludf.DUMMYFUNCTION("iferror(filter('3.3.clean'!C:C,'3.3.clean'!A:A=C44),"""")"),43628.0)</f>
        <v>43628</v>
      </c>
      <c r="N44" s="25" t="b">
        <f t="shared" si="23"/>
        <v>1</v>
      </c>
      <c r="O44" s="24">
        <f>IFERROR(__xludf.DUMMYFUNCTION("iferror(filter('3.4.clean'!C:C,'3.4.clean'!A:A=C44),"""")"),43790.0)</f>
        <v>43790</v>
      </c>
      <c r="P44" s="25" t="b">
        <f t="shared" si="24"/>
        <v>1</v>
      </c>
      <c r="Q44" s="24"/>
      <c r="S44" s="25"/>
      <c r="V44" s="1" t="s">
        <v>83</v>
      </c>
      <c r="W44" s="23" t="b">
        <f t="shared" si="33"/>
        <v>1</v>
      </c>
      <c r="X44" s="23" t="str">
        <f>IFERROR(__xludf.DUMMYFUNCTION("if(COUNTA(FILTER(C:C, C:C = C44))=1,""no"",""yes"")"),"no")</f>
        <v>no</v>
      </c>
    </row>
    <row r="45">
      <c r="A45" s="1"/>
      <c r="B45" s="27"/>
      <c r="C45" s="27" t="s">
        <v>415</v>
      </c>
      <c r="D45" s="24"/>
      <c r="E45" s="24">
        <f>IFERROR(__xludf.DUMMYFUNCTION("ifna(IFNA(filter('2.1.clean'!C:C,'2.1.clean'!A:A=C45),filter('2.2.clean'!E:E,'2.2.clean'!D:D=C45)),filter('2.4.clean'!C:C,'2.4.clean'!A:A=C45))"),43606.0)</f>
        <v>43606</v>
      </c>
      <c r="F45" s="25">
        <f>IFERROR(__xludf.DUMMYFUNCTION("iferror(ifna(IFNA(filter('2.1.clean'!E:E,'2.1.clean'!A:A=C45),filter('2.2.clean'!G:G,'2.2.clean'!D:D=C45)),filter('2.4.clean'!E:E,'2.4.clean'!A:A=C45)),)"),2.1)</f>
        <v>2.1</v>
      </c>
      <c r="G45" s="24">
        <f>IFERROR(__xludf.DUMMYFUNCTION("iferror(filter('3.1.clean'!C:C,'3.1.clean'!A:A=C45),"""")"),43606.0)</f>
        <v>43606</v>
      </c>
      <c r="H45" s="23" t="b">
        <f t="shared" si="31"/>
        <v>1</v>
      </c>
      <c r="J45" s="25"/>
      <c r="K45" s="24">
        <f>IFERROR(__xludf.DUMMYFUNCTION("iferror(filter('3.2.clean'!C:C,'3.2.clean'!A:A=C45),"""")"),43607.0)</f>
        <v>43607</v>
      </c>
      <c r="L45" s="25" t="b">
        <f t="shared" si="32"/>
        <v>1</v>
      </c>
      <c r="M45" s="24">
        <f>IFERROR(__xludf.DUMMYFUNCTION("iferror(filter('3.3.clean'!C:C,'3.3.clean'!A:A=C45),"""")"),43621.0)</f>
        <v>43621</v>
      </c>
      <c r="N45" s="25" t="b">
        <f t="shared" si="23"/>
        <v>1</v>
      </c>
      <c r="O45" s="24">
        <f>IFERROR(__xludf.DUMMYFUNCTION("iferror(filter('3.4.clean'!C:C,'3.4.clean'!A:A=C45),"""")"),43790.0)</f>
        <v>43790</v>
      </c>
      <c r="P45" s="25" t="b">
        <f t="shared" si="24"/>
        <v>1</v>
      </c>
      <c r="Q45" s="24">
        <f>IFERROR(__xludf.DUMMYFUNCTION("iferror(filter('3.5.clean'!C:C,'3.5.clean'!A:A=C45),"""")"),43606.0)</f>
        <v>43606</v>
      </c>
      <c r="R45" s="23" t="b">
        <f t="shared" ref="R45:R46" si="34">if(Q45="",FALSE,TRUE)</f>
        <v>1</v>
      </c>
      <c r="S45" s="25"/>
      <c r="U45" s="23"/>
      <c r="V45" s="1" t="s">
        <v>83</v>
      </c>
      <c r="W45" s="23" t="b">
        <f t="shared" si="33"/>
        <v>1</v>
      </c>
      <c r="X45" s="23" t="str">
        <f>IFERROR(__xludf.DUMMYFUNCTION("if(COUNTA(FILTER(C:C, C:C = C45))=1,""no"",""yes"")"),"no")</f>
        <v>no</v>
      </c>
    </row>
    <row r="46">
      <c r="A46" s="1"/>
      <c r="B46" s="27"/>
      <c r="C46" s="27" t="s">
        <v>417</v>
      </c>
      <c r="D46" s="24"/>
      <c r="E46" s="24">
        <f>IFERROR(__xludf.DUMMYFUNCTION("ifna(IFNA(filter('2.1.clean'!C:C,'2.1.clean'!A:A=C46),filter('2.2.clean'!E:E,'2.2.clean'!D:D=C46)),filter('2.4.clean'!C:C,'2.4.clean'!A:A=C46))"),43606.0)</f>
        <v>43606</v>
      </c>
      <c r="F46" s="25">
        <f>IFERROR(__xludf.DUMMYFUNCTION("iferror(ifna(IFNA(filter('2.1.clean'!E:E,'2.1.clean'!A:A=C46),filter('2.2.clean'!G:G,'2.2.clean'!D:D=C46)),filter('2.4.clean'!E:E,'2.4.clean'!A:A=C46)),)"),2.1)</f>
        <v>2.1</v>
      </c>
      <c r="G46" s="24">
        <f>IFERROR(__xludf.DUMMYFUNCTION("iferror(filter('3.1.clean'!C:C,'3.1.clean'!A:A=C46),"""")"),43606.0)</f>
        <v>43606</v>
      </c>
      <c r="H46" s="23" t="b">
        <f t="shared" si="31"/>
        <v>1</v>
      </c>
      <c r="J46" s="25"/>
      <c r="K46" s="24">
        <f>IFERROR(__xludf.DUMMYFUNCTION("iferror(filter('3.2.clean'!C:C,'3.2.clean'!A:A=C46),"""")"),43607.0)</f>
        <v>43607</v>
      </c>
      <c r="L46" s="25" t="b">
        <f t="shared" si="32"/>
        <v>1</v>
      </c>
      <c r="M46" s="24">
        <f>IFERROR(__xludf.DUMMYFUNCTION("iferror(filter('3.3.clean'!C:C,'3.3.clean'!A:A=C46),"""")"),43621.0)</f>
        <v>43621</v>
      </c>
      <c r="N46" s="25" t="b">
        <f t="shared" si="23"/>
        <v>1</v>
      </c>
      <c r="O46" s="24">
        <f>IFERROR(__xludf.DUMMYFUNCTION("iferror(filter('3.4.clean'!C:C,'3.4.clean'!A:A=C46),"""")"),43571.0)</f>
        <v>43571</v>
      </c>
      <c r="P46" s="25" t="b">
        <f t="shared" si="24"/>
        <v>1</v>
      </c>
      <c r="Q46" s="24">
        <f>IFERROR(__xludf.DUMMYFUNCTION("iferror(filter('3.5.clean'!C:C,'3.5.clean'!A:A=C46),"""")"),43606.0)</f>
        <v>43606</v>
      </c>
      <c r="R46" s="23" t="b">
        <f t="shared" si="34"/>
        <v>1</v>
      </c>
      <c r="S46" s="25"/>
      <c r="U46" s="23"/>
      <c r="V46" s="1" t="s">
        <v>83</v>
      </c>
      <c r="W46" s="23" t="b">
        <f t="shared" si="33"/>
        <v>1</v>
      </c>
      <c r="X46" s="23" t="str">
        <f>IFERROR(__xludf.DUMMYFUNCTION("if(COUNTA(FILTER(C:C, C:C = C46))=1,""no"",""yes"")"),"no")</f>
        <v>no</v>
      </c>
    </row>
    <row r="47">
      <c r="A47" s="1"/>
      <c r="B47" s="27"/>
      <c r="C47" s="27" t="s">
        <v>418</v>
      </c>
      <c r="D47" s="24"/>
      <c r="E47" s="24">
        <f>IFERROR(__xludf.DUMMYFUNCTION("ifna(IFNA(filter('2.1.clean'!C:C,'2.1.clean'!A:A=C47),filter('2.2.clean'!E:E,'2.2.clean'!D:D=C47)),filter('2.4.clean'!C:C,'2.4.clean'!A:A=C47))"),43606.0)</f>
        <v>43606</v>
      </c>
      <c r="F47" s="25">
        <f>IFERROR(__xludf.DUMMYFUNCTION("iferror(ifna(IFNA(filter('2.1.clean'!E:E,'2.1.clean'!A:A=C47),filter('2.2.clean'!G:G,'2.2.clean'!D:D=C47)),filter('2.4.clean'!E:E,'2.4.clean'!A:A=C47)),)"),2.1)</f>
        <v>2.1</v>
      </c>
      <c r="G47" s="24">
        <f>IFERROR(__xludf.DUMMYFUNCTION("iferror(filter('3.1.clean'!C:C,'3.1.clean'!A:A=C47),"""")"),43606.0)</f>
        <v>43606</v>
      </c>
      <c r="H47" s="23" t="b">
        <f t="shared" si="31"/>
        <v>1</v>
      </c>
      <c r="J47" s="25"/>
      <c r="K47" s="24">
        <f>IFERROR(__xludf.DUMMYFUNCTION("iferror(filter('3.2.clean'!C:C,'3.2.clean'!A:A=C47),"""")"),43607.0)</f>
        <v>43607</v>
      </c>
      <c r="L47" s="25" t="b">
        <f t="shared" si="32"/>
        <v>1</v>
      </c>
      <c r="M47" s="24">
        <f>IFERROR(__xludf.DUMMYFUNCTION("iferror(filter('3.3.clean'!C:C,'3.3.clean'!A:A=C47),"""")"),43628.0)</f>
        <v>43628</v>
      </c>
      <c r="N47" s="25" t="b">
        <f t="shared" si="23"/>
        <v>1</v>
      </c>
      <c r="O47" s="24">
        <f>IFERROR(__xludf.DUMMYFUNCTION("iferror(filter('3.4.clean'!C:C,'3.4.clean'!A:A=C47),"""")"),43654.0)</f>
        <v>43654</v>
      </c>
      <c r="P47" s="25" t="b">
        <f t="shared" si="24"/>
        <v>1</v>
      </c>
      <c r="Q47" s="24"/>
      <c r="S47" s="25"/>
      <c r="U47" s="23"/>
      <c r="V47" s="1" t="s">
        <v>83</v>
      </c>
      <c r="W47" s="23" t="b">
        <f t="shared" si="33"/>
        <v>1</v>
      </c>
      <c r="X47" s="23" t="str">
        <f>IFERROR(__xludf.DUMMYFUNCTION("if(COUNTA(FILTER(C:C, C:C = C47))=1,""no"",""yes"")"),"no")</f>
        <v>no</v>
      </c>
    </row>
    <row r="48">
      <c r="A48" s="1" t="s">
        <v>52</v>
      </c>
      <c r="B48" s="19"/>
      <c r="C48" s="19" t="s">
        <v>419</v>
      </c>
      <c r="E48" s="24">
        <f>IFERROR(__xludf.DUMMYFUNCTION("ifna(IFNA(filter('2.1.clean'!C:C,'2.1.clean'!A:A=C48),filter('2.2.clean'!E:E,'2.2.clean'!D:D=C48)),filter('2.4.clean'!C:C,'2.4.clean'!A:A=C48))"),43607.0)</f>
        <v>43607</v>
      </c>
      <c r="F48" s="25">
        <f>IFERROR(__xludf.DUMMYFUNCTION("iferror(ifna(IFNA(filter('2.1.clean'!E:E,'2.1.clean'!A:A=C48),filter('2.2.clean'!G:G,'2.2.clean'!D:D=C48)),filter('2.4.clean'!E:E,'2.4.clean'!A:A=C48)),)"),2.4)</f>
        <v>2.4</v>
      </c>
      <c r="G48" s="24">
        <f>IFERROR(__xludf.DUMMYFUNCTION("iferror(filter('3.1.clean'!C:C,'3.1.clean'!A:A=C48),"""")"),43607.0)</f>
        <v>43607</v>
      </c>
      <c r="H48" s="23" t="b">
        <f t="shared" si="31"/>
        <v>1</v>
      </c>
      <c r="J48" s="25"/>
      <c r="K48" s="24" t="str">
        <f>IFERROR(__xludf.DUMMYFUNCTION("iferror(filter('3.2.clean'!C:C,'3.2.clean'!A:A=C48),"""")"),"")</f>
        <v/>
      </c>
      <c r="L48" s="25" t="b">
        <f t="shared" si="32"/>
        <v>0</v>
      </c>
      <c r="M48" s="24">
        <f>IFERROR(__xludf.DUMMYFUNCTION("iferror(filter('3.3.clean'!C:C,'3.3.clean'!A:A=C48),"""")"),43621.0)</f>
        <v>43621</v>
      </c>
      <c r="N48" s="25" t="b">
        <f t="shared" si="23"/>
        <v>1</v>
      </c>
      <c r="O48" s="24">
        <f>IFERROR(__xludf.DUMMYFUNCTION("iferror(filter('3.4.clean'!C:C,'3.4.clean'!A:A=C48),"""")"),43654.0)</f>
        <v>43654</v>
      </c>
      <c r="P48" s="25" t="b">
        <f t="shared" si="24"/>
        <v>1</v>
      </c>
      <c r="Q48" s="24">
        <f>IFERROR(__xludf.DUMMYFUNCTION("iferror(filter('3.5.clean'!C:C,'3.5.clean'!A:A=C48),"""")"),43607.0)</f>
        <v>43607</v>
      </c>
      <c r="R48" s="23" t="b">
        <f>if(Q48="",FALSE,TRUE)</f>
        <v>1</v>
      </c>
      <c r="S48" s="25"/>
      <c r="U48" s="23"/>
      <c r="V48" s="1" t="s">
        <v>64</v>
      </c>
      <c r="X48" s="23" t="str">
        <f>IFERROR(__xludf.DUMMYFUNCTION("if(COUNTA(FILTER(C:C, C:C = C48))=1,""no"",""yes"")"),"no")</f>
        <v>no</v>
      </c>
    </row>
    <row r="49">
      <c r="A49" s="1"/>
      <c r="B49" s="27"/>
      <c r="C49" s="27" t="s">
        <v>421</v>
      </c>
      <c r="D49" s="24"/>
      <c r="E49" s="24">
        <f>IFERROR(__xludf.DUMMYFUNCTION("ifna(IFNA(filter('2.1.clean'!C:C,'2.1.clean'!A:A=C49),filter('2.2.clean'!E:E,'2.2.clean'!D:D=C49)),filter('2.4.clean'!C:C,'2.4.clean'!A:A=C49))"),43607.0)</f>
        <v>43607</v>
      </c>
      <c r="F49" s="25">
        <f>IFERROR(__xludf.DUMMYFUNCTION("iferror(ifna(IFNA(filter('2.1.clean'!E:E,'2.1.clean'!A:A=C49),filter('2.2.clean'!G:G,'2.2.clean'!D:D=C49)),filter('2.4.clean'!E:E,'2.4.clean'!A:A=C49)),)"),2.1)</f>
        <v>2.1</v>
      </c>
      <c r="G49" s="24">
        <f>IFERROR(__xludf.DUMMYFUNCTION("iferror(filter('3.1.clean'!C:C,'3.1.clean'!A:A=C49),"""")"),43607.0)</f>
        <v>43607</v>
      </c>
      <c r="H49" s="23" t="b">
        <f t="shared" si="31"/>
        <v>1</v>
      </c>
      <c r="J49" s="25"/>
      <c r="K49" s="24">
        <f>IFERROR(__xludf.DUMMYFUNCTION("iferror(filter('3.2.clean'!C:C,'3.2.clean'!A:A=C49),"""")"),43607.0)</f>
        <v>43607</v>
      </c>
      <c r="L49" s="25" t="b">
        <f t="shared" si="32"/>
        <v>1</v>
      </c>
      <c r="M49" s="24">
        <f>IFERROR(__xludf.DUMMYFUNCTION("iferror(filter('3.3.clean'!C:C,'3.3.clean'!A:A=C49),"""")"),43621.0)</f>
        <v>43621</v>
      </c>
      <c r="N49" s="25" t="b">
        <f t="shared" si="23"/>
        <v>1</v>
      </c>
      <c r="O49" s="24">
        <f>IFERROR(__xludf.DUMMYFUNCTION("iferror(filter('3.4.clean'!C:C,'3.4.clean'!A:A=C49),"""")"),43790.0)</f>
        <v>43790</v>
      </c>
      <c r="P49" s="25" t="b">
        <f t="shared" si="24"/>
        <v>1</v>
      </c>
      <c r="Q49" s="24"/>
      <c r="S49" s="25"/>
      <c r="V49" s="1" t="s">
        <v>83</v>
      </c>
      <c r="W49" s="23" t="b">
        <f t="shared" ref="W49:W53" si="35">IF(and(H49=TRUE,L49=TRUE,N49=TRUE,P49=TRUE),TRUE,FALSE)</f>
        <v>1</v>
      </c>
      <c r="X49" s="23" t="str">
        <f>IFERROR(__xludf.DUMMYFUNCTION("if(COUNTA(FILTER(C:C, C:C = C49))=1,""no"",""yes"")"),"no")</f>
        <v>no</v>
      </c>
    </row>
    <row r="50">
      <c r="A50" s="1"/>
      <c r="B50" s="27"/>
      <c r="C50" s="27" t="s">
        <v>424</v>
      </c>
      <c r="D50" s="24"/>
      <c r="E50" s="24">
        <f>IFERROR(__xludf.DUMMYFUNCTION("ifna(IFNA(filter('2.1.clean'!C:C,'2.1.clean'!A:A=C50),filter('2.2.clean'!E:E,'2.2.clean'!D:D=C50)),filter('2.4.clean'!C:C,'2.4.clean'!A:A=C50))"),43607.0)</f>
        <v>43607</v>
      </c>
      <c r="F50" s="25">
        <f>IFERROR(__xludf.DUMMYFUNCTION("iferror(ifna(IFNA(filter('2.1.clean'!E:E,'2.1.clean'!A:A=C50),filter('2.2.clean'!G:G,'2.2.clean'!D:D=C50)),filter('2.4.clean'!E:E,'2.4.clean'!A:A=C50)),)"),2.1)</f>
        <v>2.1</v>
      </c>
      <c r="G50" s="24" t="str">
        <f>IFERROR(__xludf.DUMMYFUNCTION("iferror(filter('3.1.clean'!C:C,'3.1.clean'!A:A=C50),"""")"),"")</f>
        <v/>
      </c>
      <c r="H50" s="23" t="b">
        <f t="shared" si="31"/>
        <v>0</v>
      </c>
      <c r="J50" s="25"/>
      <c r="K50" s="24" t="str">
        <f>IFERROR(__xludf.DUMMYFUNCTION("iferror(filter('3.2.clean'!C:C,'3.2.clean'!A:A=C50),"""")"),"")</f>
        <v/>
      </c>
      <c r="L50" s="25" t="b">
        <f t="shared" si="32"/>
        <v>0</v>
      </c>
      <c r="M50" s="24" t="str">
        <f>IFERROR(__xludf.DUMMYFUNCTION("iferror(filter('3.3.clean'!C:C,'3.3.clean'!A:A=C50),"""")"),"")</f>
        <v/>
      </c>
      <c r="N50" s="25" t="b">
        <f t="shared" si="23"/>
        <v>0</v>
      </c>
      <c r="O50" s="24" t="str">
        <f>IFERROR(__xludf.DUMMYFUNCTION("iferror(filter('3.4.clean'!C:C,'3.4.clean'!A:A=C50),"""")"),"")</f>
        <v/>
      </c>
      <c r="P50" s="25" t="b">
        <f t="shared" si="24"/>
        <v>0</v>
      </c>
      <c r="Q50" s="24"/>
      <c r="S50" s="25"/>
      <c r="U50" s="23"/>
      <c r="V50" s="1" t="s">
        <v>83</v>
      </c>
      <c r="W50" s="23" t="b">
        <f t="shared" si="35"/>
        <v>0</v>
      </c>
      <c r="X50" s="23" t="str">
        <f>IFERROR(__xludf.DUMMYFUNCTION("if(COUNTA(FILTER(C:C, C:C = C50))=1,""no"",""yes"")"),"no")</f>
        <v>no</v>
      </c>
    </row>
    <row r="51">
      <c r="A51" s="1"/>
      <c r="B51" s="27"/>
      <c r="C51" s="27" t="s">
        <v>425</v>
      </c>
      <c r="D51" s="24"/>
      <c r="E51" s="24">
        <f>IFERROR(__xludf.DUMMYFUNCTION("ifna(IFNA(filter('2.1.clean'!C:C,'2.1.clean'!A:A=C51),filter('2.2.clean'!E:E,'2.2.clean'!D:D=C51)),filter('2.4.clean'!C:C,'2.4.clean'!A:A=C51))"),43607.0)</f>
        <v>43607</v>
      </c>
      <c r="F51" s="25">
        <f>IFERROR(__xludf.DUMMYFUNCTION("iferror(ifna(IFNA(filter('2.1.clean'!E:E,'2.1.clean'!A:A=C51),filter('2.2.clean'!G:G,'2.2.clean'!D:D=C51)),filter('2.4.clean'!E:E,'2.4.clean'!A:A=C51)),)"),2.1)</f>
        <v>2.1</v>
      </c>
      <c r="G51" s="24">
        <f>IFERROR(__xludf.DUMMYFUNCTION("iferror(filter('3.1.clean'!C:C,'3.1.clean'!A:A=C51),"""")"),43607.0)</f>
        <v>43607</v>
      </c>
      <c r="H51" s="23" t="b">
        <f t="shared" si="31"/>
        <v>1</v>
      </c>
      <c r="J51" s="25"/>
      <c r="K51" s="24">
        <f>IFERROR(__xludf.DUMMYFUNCTION("iferror(filter('3.2.clean'!C:C,'3.2.clean'!A:A=C51),"""")"),43607.0)</f>
        <v>43607</v>
      </c>
      <c r="L51" s="25" t="b">
        <f t="shared" si="32"/>
        <v>1</v>
      </c>
      <c r="M51" s="24">
        <f>IFERROR(__xludf.DUMMYFUNCTION("iferror(filter('3.3.clean'!C:C,'3.3.clean'!A:A=C51),"""")"),43621.0)</f>
        <v>43621</v>
      </c>
      <c r="N51" s="25" t="b">
        <f t="shared" si="23"/>
        <v>1</v>
      </c>
      <c r="O51" s="24">
        <f>IFERROR(__xludf.DUMMYFUNCTION("iferror(filter('3.4.clean'!C:C,'3.4.clean'!A:A=C51),"""")"),43654.0)</f>
        <v>43654</v>
      </c>
      <c r="P51" s="25" t="b">
        <f t="shared" si="24"/>
        <v>1</v>
      </c>
      <c r="Q51" s="24"/>
      <c r="S51" s="25"/>
      <c r="U51" s="23"/>
      <c r="V51" s="1" t="s">
        <v>83</v>
      </c>
      <c r="W51" s="23" t="b">
        <f t="shared" si="35"/>
        <v>1</v>
      </c>
      <c r="X51" s="23" t="str">
        <f>IFERROR(__xludf.DUMMYFUNCTION("if(COUNTA(FILTER(C:C, C:C = C51))=1,""no"",""yes"")"),"no")</f>
        <v>no</v>
      </c>
    </row>
    <row r="52">
      <c r="A52" s="1"/>
      <c r="B52" s="27"/>
      <c r="C52" s="27" t="s">
        <v>427</v>
      </c>
      <c r="D52" s="24"/>
      <c r="E52" s="24">
        <f>IFERROR(__xludf.DUMMYFUNCTION("ifna(IFNA(filter('2.1.clean'!C:C,'2.1.clean'!A:A=C52),filter('2.2.clean'!E:E,'2.2.clean'!D:D=C52)),filter('2.4.clean'!C:C,'2.4.clean'!A:A=C52))"),43607.0)</f>
        <v>43607</v>
      </c>
      <c r="F52" s="25">
        <f>IFERROR(__xludf.DUMMYFUNCTION("iferror(ifna(IFNA(filter('2.1.clean'!E:E,'2.1.clean'!A:A=C52),filter('2.2.clean'!G:G,'2.2.clean'!D:D=C52)),filter('2.4.clean'!E:E,'2.4.clean'!A:A=C52)),)"),2.1)</f>
        <v>2.1</v>
      </c>
      <c r="G52" s="24">
        <f>IFERROR(__xludf.DUMMYFUNCTION("iferror(filter('3.1.clean'!C:C,'3.1.clean'!A:A=C52),"""")"),43607.0)</f>
        <v>43607</v>
      </c>
      <c r="H52" s="23" t="b">
        <f t="shared" si="31"/>
        <v>1</v>
      </c>
      <c r="J52" s="25"/>
      <c r="K52" s="24">
        <f>IFERROR(__xludf.DUMMYFUNCTION("iferror(filter('3.2.clean'!C:C,'3.2.clean'!A:A=C52),"""")"),43607.0)</f>
        <v>43607</v>
      </c>
      <c r="L52" s="25" t="b">
        <f t="shared" si="32"/>
        <v>1</v>
      </c>
      <c r="M52" s="24">
        <f>IFERROR(__xludf.DUMMYFUNCTION("iferror(filter('3.3.clean'!C:C,'3.3.clean'!A:A=C52),"""")"),43621.0)</f>
        <v>43621</v>
      </c>
      <c r="N52" s="25" t="b">
        <f t="shared" si="23"/>
        <v>1</v>
      </c>
      <c r="O52" s="24">
        <f>IFERROR(__xludf.DUMMYFUNCTION("iferror(filter('3.4.clean'!C:C,'3.4.clean'!A:A=C52),"""")"),43654.0)</f>
        <v>43654</v>
      </c>
      <c r="P52" s="25" t="b">
        <f t="shared" si="24"/>
        <v>1</v>
      </c>
      <c r="Q52" s="24"/>
      <c r="S52" s="25"/>
      <c r="U52" s="23"/>
      <c r="V52" s="1" t="s">
        <v>83</v>
      </c>
      <c r="W52" s="23" t="b">
        <f t="shared" si="35"/>
        <v>1</v>
      </c>
      <c r="X52" s="23" t="str">
        <f>IFERROR(__xludf.DUMMYFUNCTION("if(COUNTA(FILTER(C:C, C:C = C52))=1,""no"",""yes"")"),"no")</f>
        <v>no</v>
      </c>
    </row>
    <row r="53">
      <c r="A53" s="1"/>
      <c r="B53" s="27"/>
      <c r="C53" s="27" t="s">
        <v>428</v>
      </c>
      <c r="D53" s="24"/>
      <c r="E53" s="24">
        <f>IFERROR(__xludf.DUMMYFUNCTION("ifna(IFNA(filter('2.1.clean'!C:C,'2.1.clean'!A:A=C53),filter('2.2.clean'!E:E,'2.2.clean'!D:D=C53)),filter('2.4.clean'!C:C,'2.4.clean'!A:A=C53))"),43607.0)</f>
        <v>43607</v>
      </c>
      <c r="F53" s="25">
        <f>IFERROR(__xludf.DUMMYFUNCTION("iferror(ifna(IFNA(filter('2.1.clean'!E:E,'2.1.clean'!A:A=C53),filter('2.2.clean'!G:G,'2.2.clean'!D:D=C53)),filter('2.4.clean'!E:E,'2.4.clean'!A:A=C53)),)"),2.1)</f>
        <v>2.1</v>
      </c>
      <c r="G53" s="24">
        <f>IFERROR(__xludf.DUMMYFUNCTION("iferror(filter('3.1.clean'!C:C,'3.1.clean'!A:A=C53),"""")"),43607.0)</f>
        <v>43607</v>
      </c>
      <c r="H53" s="23" t="b">
        <f t="shared" si="31"/>
        <v>1</v>
      </c>
      <c r="J53" s="25"/>
      <c r="K53" s="24">
        <f>IFERROR(__xludf.DUMMYFUNCTION("iferror(filter('3.2.clean'!C:C,'3.2.clean'!A:A=C53),"""")"),43607.0)</f>
        <v>43607</v>
      </c>
      <c r="L53" s="25" t="b">
        <f t="shared" si="32"/>
        <v>1</v>
      </c>
      <c r="M53" s="24">
        <f>IFERROR(__xludf.DUMMYFUNCTION("iferror(filter('3.3.clean'!C:C,'3.3.clean'!A:A=C53),"""")"),43621.0)</f>
        <v>43621</v>
      </c>
      <c r="N53" s="25" t="b">
        <f t="shared" si="23"/>
        <v>1</v>
      </c>
      <c r="O53" s="24">
        <f>IFERROR(__xludf.DUMMYFUNCTION("iferror(filter('3.4.clean'!C:C,'3.4.clean'!A:A=C53),"""")"),43654.0)</f>
        <v>43654</v>
      </c>
      <c r="P53" s="25" t="b">
        <f t="shared" si="24"/>
        <v>1</v>
      </c>
      <c r="Q53" s="24"/>
      <c r="S53" s="25"/>
      <c r="U53" s="23"/>
      <c r="V53" s="1" t="s">
        <v>83</v>
      </c>
      <c r="W53" s="23" t="b">
        <f t="shared" si="35"/>
        <v>1</v>
      </c>
      <c r="X53" s="23" t="str">
        <f>IFERROR(__xludf.DUMMYFUNCTION("if(COUNTA(FILTER(C:C, C:C = C53))=1,""no"",""yes"")"),"no")</f>
        <v>no</v>
      </c>
    </row>
    <row r="54">
      <c r="A54" s="1" t="s">
        <v>52</v>
      </c>
      <c r="B54" s="19"/>
      <c r="C54" s="19" t="s">
        <v>429</v>
      </c>
      <c r="E54" s="24">
        <f>IFERROR(__xludf.DUMMYFUNCTION("ifna(IFNA(filter('2.1.clean'!C:C,'2.1.clean'!A:A=C54),filter('2.2.clean'!E:E,'2.2.clean'!D:D=C54)),filter('2.4.clean'!C:C,'2.4.clean'!A:A=C54))"),43608.0)</f>
        <v>43608</v>
      </c>
      <c r="F54" s="25">
        <f>IFERROR(__xludf.DUMMYFUNCTION("iferror(ifna(IFNA(filter('2.1.clean'!E:E,'2.1.clean'!A:A=C54),filter('2.2.clean'!G:G,'2.2.clean'!D:D=C54)),filter('2.4.clean'!E:E,'2.4.clean'!A:A=C54)),)"),2.4)</f>
        <v>2.4</v>
      </c>
      <c r="G54" s="24">
        <f>IFERROR(__xludf.DUMMYFUNCTION("iferror(filter('3.1.clean'!C:C,'3.1.clean'!A:A=C54),"""")"),43608.0)</f>
        <v>43608</v>
      </c>
      <c r="H54" s="23" t="b">
        <f t="shared" si="31"/>
        <v>1</v>
      </c>
      <c r="J54" s="25"/>
      <c r="K54" s="24" t="str">
        <f>IFERROR(__xludf.DUMMYFUNCTION("iferror(filter('3.2.clean'!C:C,'3.2.clean'!A:A=C54),"""")"),"")</f>
        <v/>
      </c>
      <c r="L54" s="25" t="b">
        <f t="shared" si="32"/>
        <v>0</v>
      </c>
      <c r="M54" s="24">
        <f>IFERROR(__xludf.DUMMYFUNCTION("iferror(filter('3.3.clean'!C:C,'3.3.clean'!A:A=C54),"""")"),43629.0)</f>
        <v>43629</v>
      </c>
      <c r="N54" s="25" t="b">
        <f t="shared" si="23"/>
        <v>1</v>
      </c>
      <c r="O54" s="24">
        <f>IFERROR(__xludf.DUMMYFUNCTION("iferror(filter('3.4.clean'!C:C,'3.4.clean'!A:A=C54),"""")"),43654.0)</f>
        <v>43654</v>
      </c>
      <c r="P54" s="25" t="b">
        <f t="shared" si="24"/>
        <v>1</v>
      </c>
      <c r="Q54" s="24">
        <f>IFERROR(__xludf.DUMMYFUNCTION("iferror(filter('3.5.clean'!C:C,'3.5.clean'!A:A=C54),"""")"),43608.0)</f>
        <v>43608</v>
      </c>
      <c r="R54" s="23" t="b">
        <f t="shared" ref="R54:R56" si="36">if(Q54="",FALSE,TRUE)</f>
        <v>1</v>
      </c>
      <c r="S54" s="25"/>
      <c r="U54" s="23"/>
      <c r="V54" s="1" t="s">
        <v>64</v>
      </c>
      <c r="X54" s="23" t="str">
        <f>IFERROR(__xludf.DUMMYFUNCTION("if(COUNTA(FILTER(C:C, C:C = C54))=1,""no"",""yes"")"),"no")</f>
        <v>no</v>
      </c>
    </row>
    <row r="55">
      <c r="A55" s="1" t="s">
        <v>52</v>
      </c>
      <c r="B55" s="19"/>
      <c r="C55" s="19" t="s">
        <v>431</v>
      </c>
      <c r="E55" s="24">
        <f>IFERROR(__xludf.DUMMYFUNCTION("ifna(IFNA(filter('2.1.clean'!C:C,'2.1.clean'!A:A=C55),filter('2.2.clean'!E:E,'2.2.clean'!D:D=C55)),filter('2.4.clean'!C:C,'2.4.clean'!A:A=C55))"),43612.0)</f>
        <v>43612</v>
      </c>
      <c r="F55" s="25">
        <f>IFERROR(__xludf.DUMMYFUNCTION("iferror(ifna(IFNA(filter('2.1.clean'!E:E,'2.1.clean'!A:A=C55),filter('2.2.clean'!G:G,'2.2.clean'!D:D=C55)),filter('2.4.clean'!E:E,'2.4.clean'!A:A=C55)),)"),2.4)</f>
        <v>2.4</v>
      </c>
      <c r="G55" s="24">
        <f>IFERROR(__xludf.DUMMYFUNCTION("iferror(filter('3.1.clean'!C:C,'3.1.clean'!A:A=C55),"""")"),43612.0)</f>
        <v>43612</v>
      </c>
      <c r="H55" s="23" t="b">
        <f t="shared" si="31"/>
        <v>1</v>
      </c>
      <c r="J55" s="25"/>
      <c r="K55" s="24" t="str">
        <f>IFERROR(__xludf.DUMMYFUNCTION("iferror(filter('3.2.clean'!C:C,'3.2.clean'!A:A=C55),"""")"),"")</f>
        <v/>
      </c>
      <c r="L55" s="25" t="b">
        <f t="shared" si="32"/>
        <v>0</v>
      </c>
      <c r="M55" s="24">
        <f>IFERROR(__xludf.DUMMYFUNCTION("iferror(filter('3.3.clean'!C:C,'3.3.clean'!A:A=C55),"""")"),43629.0)</f>
        <v>43629</v>
      </c>
      <c r="N55" s="25" t="b">
        <f t="shared" si="23"/>
        <v>1</v>
      </c>
      <c r="O55" s="24">
        <f>IFERROR(__xludf.DUMMYFUNCTION("iferror(filter('3.4.clean'!C:C,'3.4.clean'!A:A=C55),"""")"),43654.0)</f>
        <v>43654</v>
      </c>
      <c r="P55" s="25" t="b">
        <f t="shared" si="24"/>
        <v>1</v>
      </c>
      <c r="Q55" s="24">
        <f>IFERROR(__xludf.DUMMYFUNCTION("iferror(filter('3.5.clean'!C:C,'3.5.clean'!A:A=C55),"""")"),43612.0)</f>
        <v>43612</v>
      </c>
      <c r="R55" s="23" t="b">
        <f t="shared" si="36"/>
        <v>1</v>
      </c>
      <c r="S55" s="25"/>
      <c r="U55" s="23"/>
      <c r="V55" s="1" t="s">
        <v>64</v>
      </c>
      <c r="X55" s="23" t="str">
        <f>IFERROR(__xludf.DUMMYFUNCTION("if(COUNTA(FILTER(C:C, C:C = C55))=1,""no"",""yes"")"),"no")</f>
        <v>no</v>
      </c>
    </row>
    <row r="56">
      <c r="A56" s="1" t="s">
        <v>52</v>
      </c>
      <c r="B56" s="19"/>
      <c r="C56" s="19" t="s">
        <v>432</v>
      </c>
      <c r="E56" s="24">
        <f>IFERROR(__xludf.DUMMYFUNCTION("ifna(IFNA(filter('2.1.clean'!C:C,'2.1.clean'!A:A=C56),filter('2.2.clean'!E:E,'2.2.clean'!D:D=C56)),filter('2.4.clean'!C:C,'2.4.clean'!A:A=C56))"),43612.0)</f>
        <v>43612</v>
      </c>
      <c r="F56" s="25">
        <f>IFERROR(__xludf.DUMMYFUNCTION("iferror(ifna(IFNA(filter('2.1.clean'!E:E,'2.1.clean'!A:A=C56),filter('2.2.clean'!G:G,'2.2.clean'!D:D=C56)),filter('2.4.clean'!E:E,'2.4.clean'!A:A=C56)),)"),2.4)</f>
        <v>2.4</v>
      </c>
      <c r="G56" s="24">
        <f>IFERROR(__xludf.DUMMYFUNCTION("iferror(filter('3.1.clean'!C:C,'3.1.clean'!A:A=C56),"""")"),43612.0)</f>
        <v>43612</v>
      </c>
      <c r="H56" s="23" t="b">
        <f t="shared" si="31"/>
        <v>1</v>
      </c>
      <c r="J56" s="25"/>
      <c r="K56" s="24" t="str">
        <f>IFERROR(__xludf.DUMMYFUNCTION("iferror(filter('3.2.clean'!C:C,'3.2.clean'!A:A=C56),"""")"),"")</f>
        <v/>
      </c>
      <c r="L56" s="25" t="b">
        <f t="shared" si="32"/>
        <v>0</v>
      </c>
      <c r="M56" s="24">
        <f>IFERROR(__xludf.DUMMYFUNCTION("iferror(filter('3.3.clean'!C:C,'3.3.clean'!A:A=C56),"""")"),43629.0)</f>
        <v>43629</v>
      </c>
      <c r="N56" s="25" t="b">
        <f t="shared" si="23"/>
        <v>1</v>
      </c>
      <c r="O56" s="24">
        <f>IFERROR(__xludf.DUMMYFUNCTION("iferror(filter('3.4.clean'!C:C,'3.4.clean'!A:A=C56),"""")"),43790.0)</f>
        <v>43790</v>
      </c>
      <c r="P56" s="25" t="b">
        <f t="shared" si="24"/>
        <v>1</v>
      </c>
      <c r="Q56" s="24">
        <f>IFERROR(__xludf.DUMMYFUNCTION("iferror(filter('3.5.clean'!C:C,'3.5.clean'!A:A=C56),"""")"),43612.0)</f>
        <v>43612</v>
      </c>
      <c r="R56" s="23" t="b">
        <f t="shared" si="36"/>
        <v>1</v>
      </c>
      <c r="S56" s="25"/>
      <c r="V56" s="1" t="s">
        <v>64</v>
      </c>
      <c r="X56" s="23" t="str">
        <f>IFERROR(__xludf.DUMMYFUNCTION("if(COUNTA(FILTER(C:C, C:C = C56))=1,""no"",""yes"")"),"no")</f>
        <v>no</v>
      </c>
    </row>
    <row r="57">
      <c r="A57" s="1"/>
      <c r="B57" s="27"/>
      <c r="C57" s="27" t="s">
        <v>433</v>
      </c>
      <c r="D57" s="24"/>
      <c r="E57" s="24">
        <f>IFERROR(__xludf.DUMMYFUNCTION("ifna(IFNA(filter('2.1.clean'!C:C,'2.1.clean'!A:A=C57),filter('2.2.clean'!E:E,'2.2.clean'!D:D=C57)),filter('2.4.clean'!C:C,'2.4.clean'!A:A=C57))"),43612.0)</f>
        <v>43612</v>
      </c>
      <c r="F57" s="25">
        <f>IFERROR(__xludf.DUMMYFUNCTION("iferror(ifna(IFNA(filter('2.1.clean'!E:E,'2.1.clean'!A:A=C57),filter('2.2.clean'!G:G,'2.2.clean'!D:D=C57)),filter('2.4.clean'!E:E,'2.4.clean'!A:A=C57)),)"),2.1)</f>
        <v>2.1</v>
      </c>
      <c r="G57" s="24">
        <f>IFERROR(__xludf.DUMMYFUNCTION("iferror(filter('3.1.clean'!C:C,'3.1.clean'!A:A=C57),"""")"),43612.0)</f>
        <v>43612</v>
      </c>
      <c r="H57" s="23" t="b">
        <f t="shared" si="31"/>
        <v>1</v>
      </c>
      <c r="J57" s="25"/>
      <c r="K57" s="24">
        <f>IFERROR(__xludf.DUMMYFUNCTION("iferror(filter('3.2.clean'!C:C,'3.2.clean'!A:A=C57),"""")"),43614.0)</f>
        <v>43614</v>
      </c>
      <c r="L57" s="25" t="b">
        <f t="shared" si="32"/>
        <v>1</v>
      </c>
      <c r="M57" s="24">
        <f>IFERROR(__xludf.DUMMYFUNCTION("iferror(filter('3.3.clean'!C:C,'3.3.clean'!A:A=C57),"""")"),43628.0)</f>
        <v>43628</v>
      </c>
      <c r="N57" s="25" t="b">
        <f t="shared" si="23"/>
        <v>1</v>
      </c>
      <c r="O57" s="24">
        <f>IFERROR(__xludf.DUMMYFUNCTION("iferror(filter('3.4.clean'!C:C,'3.4.clean'!A:A=C57),"""")"),43581.0)</f>
        <v>43581</v>
      </c>
      <c r="P57" s="25" t="b">
        <f t="shared" si="24"/>
        <v>1</v>
      </c>
      <c r="Q57" s="24"/>
      <c r="S57" s="25"/>
      <c r="V57" s="1" t="s">
        <v>83</v>
      </c>
      <c r="W57" s="23" t="b">
        <f t="shared" ref="W57:W63" si="37">IF(and(H57=TRUE,L57=TRUE,N57=TRUE,P57=TRUE),TRUE,FALSE)</f>
        <v>1</v>
      </c>
      <c r="X57" s="23" t="str">
        <f>IFERROR(__xludf.DUMMYFUNCTION("if(COUNTA(FILTER(C:C, C:C = C57))=1,""no"",""yes"")"),"no")</f>
        <v>no</v>
      </c>
    </row>
    <row r="58">
      <c r="A58" s="1"/>
      <c r="B58" s="27"/>
      <c r="C58" s="27" t="s">
        <v>435</v>
      </c>
      <c r="D58" s="24"/>
      <c r="E58" s="24">
        <f>IFERROR(__xludf.DUMMYFUNCTION("ifna(IFNA(filter('2.1.clean'!C:C,'2.1.clean'!A:A=C58),filter('2.2.clean'!E:E,'2.2.clean'!D:D=C58)),filter('2.4.clean'!C:C,'2.4.clean'!A:A=C58))"),43612.0)</f>
        <v>43612</v>
      </c>
      <c r="F58" s="25">
        <f>IFERROR(__xludf.DUMMYFUNCTION("iferror(ifna(IFNA(filter('2.1.clean'!E:E,'2.1.clean'!A:A=C58),filter('2.2.clean'!G:G,'2.2.clean'!D:D=C58)),filter('2.4.clean'!E:E,'2.4.clean'!A:A=C58)),)"),2.1)</f>
        <v>2.1</v>
      </c>
      <c r="G58" s="24">
        <f>IFERROR(__xludf.DUMMYFUNCTION("iferror(filter('3.1.clean'!C:C,'3.1.clean'!A:A=C58),"""")"),43612.0)</f>
        <v>43612</v>
      </c>
      <c r="H58" s="23" t="b">
        <f t="shared" si="31"/>
        <v>1</v>
      </c>
      <c r="J58" s="25"/>
      <c r="K58" s="24">
        <f>IFERROR(__xludf.DUMMYFUNCTION("iferror(filter('3.2.clean'!C:C,'3.2.clean'!A:A=C58),"""")"),43614.0)</f>
        <v>43614</v>
      </c>
      <c r="L58" s="25" t="b">
        <f t="shared" si="32"/>
        <v>1</v>
      </c>
      <c r="M58" s="24">
        <f>IFERROR(__xludf.DUMMYFUNCTION("iferror(filter('3.3.clean'!C:C,'3.3.clean'!A:A=C58),"""")"),43628.0)</f>
        <v>43628</v>
      </c>
      <c r="N58" s="25" t="b">
        <f t="shared" si="23"/>
        <v>1</v>
      </c>
      <c r="O58" s="24">
        <f>IFERROR(__xludf.DUMMYFUNCTION("iferror(filter('3.4.clean'!C:C,'3.4.clean'!A:A=C58),"""")"),43654.0)</f>
        <v>43654</v>
      </c>
      <c r="P58" s="25" t="b">
        <f t="shared" si="24"/>
        <v>1</v>
      </c>
      <c r="Q58" s="24"/>
      <c r="S58" s="25"/>
      <c r="U58" s="23"/>
      <c r="V58" s="1" t="s">
        <v>83</v>
      </c>
      <c r="W58" s="23" t="b">
        <f t="shared" si="37"/>
        <v>1</v>
      </c>
      <c r="X58" s="23" t="str">
        <f>IFERROR(__xludf.DUMMYFUNCTION("if(COUNTA(FILTER(C:C, C:C = C58))=1,""no"",""yes"")"),"no")</f>
        <v>no</v>
      </c>
    </row>
    <row r="59">
      <c r="A59" s="1"/>
      <c r="B59" s="27"/>
      <c r="C59" s="27" t="s">
        <v>436</v>
      </c>
      <c r="D59" s="24"/>
      <c r="E59" s="24">
        <f>IFERROR(__xludf.DUMMYFUNCTION("ifna(IFNA(filter('2.1.clean'!C:C,'2.1.clean'!A:A=C59),filter('2.2.clean'!E:E,'2.2.clean'!D:D=C59)),filter('2.4.clean'!C:C,'2.4.clean'!A:A=C59))"),43612.0)</f>
        <v>43612</v>
      </c>
      <c r="F59" s="25">
        <f>IFERROR(__xludf.DUMMYFUNCTION("iferror(ifna(IFNA(filter('2.1.clean'!E:E,'2.1.clean'!A:A=C59),filter('2.2.clean'!G:G,'2.2.clean'!D:D=C59)),filter('2.4.clean'!E:E,'2.4.clean'!A:A=C59)),)"),2.1)</f>
        <v>2.1</v>
      </c>
      <c r="G59" s="24">
        <f>IFERROR(__xludf.DUMMYFUNCTION("iferror(filter('3.1.clean'!C:C,'3.1.clean'!A:A=C59),"""")"),43612.0)</f>
        <v>43612</v>
      </c>
      <c r="H59" s="23" t="b">
        <f t="shared" si="31"/>
        <v>1</v>
      </c>
      <c r="J59" s="25"/>
      <c r="K59" s="24" t="str">
        <f>IFERROR(__xludf.DUMMYFUNCTION("iferror(filter('3.2.clean'!C:C,'3.2.clean'!A:A=C59),"""")"),"#REF!")</f>
        <v>#REF!</v>
      </c>
      <c r="L59" s="25" t="str">
        <f t="shared" si="32"/>
        <v>#REF!</v>
      </c>
      <c r="M59" s="24">
        <f>IFERROR(__xludf.DUMMYFUNCTION("iferror(filter('3.3.clean'!C:C,'3.3.clean'!A:A=C59),"""")"),43629.0)</f>
        <v>43629</v>
      </c>
      <c r="N59" s="25" t="b">
        <f t="shared" si="23"/>
        <v>1</v>
      </c>
      <c r="O59" s="24">
        <f>IFERROR(__xludf.DUMMYFUNCTION("iferror(filter('3.4.clean'!C:C,'3.4.clean'!A:A=C59),"""")"),43790.0)</f>
        <v>43790</v>
      </c>
      <c r="P59" s="25" t="b">
        <f t="shared" si="24"/>
        <v>1</v>
      </c>
      <c r="Q59" s="24"/>
      <c r="S59" s="25"/>
      <c r="V59" s="1" t="s">
        <v>83</v>
      </c>
      <c r="W59" s="23" t="str">
        <f t="shared" si="37"/>
        <v>#REF!</v>
      </c>
      <c r="X59" s="23" t="str">
        <f>IFERROR(__xludf.DUMMYFUNCTION("if(COUNTA(FILTER(C:C, C:C = C59))=1,""no"",""yes"")"),"no")</f>
        <v>no</v>
      </c>
    </row>
    <row r="60">
      <c r="A60" s="1"/>
      <c r="B60" s="19"/>
      <c r="C60" s="19" t="s">
        <v>437</v>
      </c>
      <c r="E60" s="24">
        <v>43612.0</v>
      </c>
      <c r="F60" s="25" t="str">
        <f>IFERROR(__xludf.DUMMYFUNCTION("iferror(ifna(IFNA(filter('2.1.clean'!E:E,'2.1.clean'!A:A=C60),filter('2.2.clean'!G:G,'2.2.clean'!D:D=C60)),filter('2.4.clean'!E:E,'2.4.clean'!A:A=C60)),)"),"")</f>
        <v/>
      </c>
      <c r="G60" s="24" t="str">
        <f>IFERROR(__xludf.DUMMYFUNCTION("iferror(filter('3.1.clean'!C:C,'3.1.clean'!B:B=C60),"""")"),"")</f>
        <v/>
      </c>
      <c r="H60" s="23" t="b">
        <f t="shared" si="31"/>
        <v>0</v>
      </c>
      <c r="J60" s="25"/>
      <c r="K60" s="24">
        <f>IFERROR(__xludf.DUMMYFUNCTION("iferror(filter('3.2.clean'!C:C,'3.2.clean'!A:A=C60),"""")"),43622.0)</f>
        <v>43622</v>
      </c>
      <c r="L60" s="25" t="b">
        <f t="shared" si="32"/>
        <v>1</v>
      </c>
      <c r="M60" s="24" t="str">
        <f>IFERROR(__xludf.DUMMYFUNCTION("iferror(filter('3.3.clean'!C:C,'3.3.clean'!A:A=C60),"""")"),"")</f>
        <v/>
      </c>
      <c r="N60" s="25" t="b">
        <f t="shared" si="23"/>
        <v>0</v>
      </c>
      <c r="O60" s="24" t="str">
        <f>IFERROR(__xludf.DUMMYFUNCTION("iferror(filter('3.4.clean'!C:C,'3.4.clean'!A:A=C60),"""")"),"")</f>
        <v/>
      </c>
      <c r="P60" s="25" t="b">
        <f t="shared" si="24"/>
        <v>0</v>
      </c>
      <c r="Q60" s="24"/>
      <c r="S60" s="25"/>
      <c r="V60" s="1" t="s">
        <v>83</v>
      </c>
      <c r="W60" s="23" t="b">
        <f t="shared" si="37"/>
        <v>0</v>
      </c>
      <c r="X60" s="23" t="str">
        <f>IFERROR(__xludf.DUMMYFUNCTION("if(COUNTA(FILTER(C:C, C:C = C60))=1,""no"",""yes"")"),"no")</f>
        <v>no</v>
      </c>
    </row>
    <row r="61">
      <c r="A61" s="30"/>
      <c r="B61" s="19"/>
      <c r="C61" s="19" t="s">
        <v>438</v>
      </c>
      <c r="D61" s="24"/>
      <c r="E61" s="24">
        <v>43612.0</v>
      </c>
      <c r="F61" s="25" t="str">
        <f>IFERROR(__xludf.DUMMYFUNCTION("iferror(ifna(IFNA(filter('2.1.clean'!E:E,'2.1.clean'!A:A=C61),filter('2.2.clean'!G:G,'2.2.clean'!D:D=C61)),filter('2.4.clean'!E:E,'2.4.clean'!A:A=C61)),)"),"")</f>
        <v/>
      </c>
      <c r="G61" s="24" t="str">
        <f>IFERROR(__xludf.DUMMYFUNCTION("iferror(filter('3.1.clean'!C:C,'3.1.clean'!B:B=C61),"""")"),"")</f>
        <v/>
      </c>
      <c r="H61" s="23" t="b">
        <f t="shared" si="31"/>
        <v>0</v>
      </c>
      <c r="J61" s="25"/>
      <c r="K61" s="24">
        <f>IFERROR(__xludf.DUMMYFUNCTION("iferror(filter('3.2.clean'!C:C,'3.2.clean'!A:A=C61),"""")"),43866.0)</f>
        <v>43866</v>
      </c>
      <c r="L61" s="25" t="b">
        <f t="shared" si="32"/>
        <v>1</v>
      </c>
      <c r="M61" s="24" t="str">
        <f>IFERROR(__xludf.DUMMYFUNCTION("iferror(filter('3.3.clean'!C:C,'3.3.clean'!A:A=C61),"""")"),"")</f>
        <v/>
      </c>
      <c r="N61" s="25" t="b">
        <f t="shared" si="23"/>
        <v>0</v>
      </c>
      <c r="O61" s="24" t="str">
        <f>IFERROR(__xludf.DUMMYFUNCTION("iferror(filter('3.4.clean'!C:C,'3.4.clean'!A:A=C61),"""")"),"")</f>
        <v/>
      </c>
      <c r="P61" s="25" t="b">
        <f t="shared" si="24"/>
        <v>0</v>
      </c>
      <c r="Q61" s="24"/>
      <c r="S61" s="25"/>
      <c r="U61" s="1" t="s">
        <v>382</v>
      </c>
      <c r="V61" s="1" t="s">
        <v>83</v>
      </c>
      <c r="W61" s="23" t="b">
        <f t="shared" si="37"/>
        <v>0</v>
      </c>
      <c r="X61" s="23" t="str">
        <f>IFERROR(__xludf.DUMMYFUNCTION("if(COUNTA(FILTER(C:C, C:C = C61))=1,""no"",""yes"")"),"no")</f>
        <v>no</v>
      </c>
    </row>
    <row r="62">
      <c r="A62" s="1"/>
      <c r="B62" s="27"/>
      <c r="C62" s="27" t="s">
        <v>440</v>
      </c>
      <c r="D62" s="24"/>
      <c r="E62" s="24">
        <f>IFERROR(__xludf.DUMMYFUNCTION("ifna(IFNA(filter('2.1.clean'!C:C,'2.1.clean'!A:A=C62),filter('2.2.clean'!E:E,'2.2.clean'!D:D=C62)),filter('2.4.clean'!C:C,'2.4.clean'!A:A=C62))"),43612.0)</f>
        <v>43612</v>
      </c>
      <c r="F62" s="25">
        <f>IFERROR(__xludf.DUMMYFUNCTION("iferror(ifna(IFNA(filter('2.1.clean'!E:E,'2.1.clean'!A:A=C62),filter('2.2.clean'!G:G,'2.2.clean'!D:D=C62)),filter('2.4.clean'!E:E,'2.4.clean'!A:A=C62)),)"),2.1)</f>
        <v>2.1</v>
      </c>
      <c r="G62" s="24">
        <f>IFERROR(__xludf.DUMMYFUNCTION("iferror(filter('3.1.clean'!C:C,'3.1.clean'!A:A=C62),"""")"),43612.0)</f>
        <v>43612</v>
      </c>
      <c r="H62" s="23" t="b">
        <f t="shared" si="31"/>
        <v>1</v>
      </c>
      <c r="J62" s="25"/>
      <c r="K62" s="24">
        <f>IFERROR(__xludf.DUMMYFUNCTION("iferror(filter('3.2.clean'!C:C,'3.2.clean'!A:A=C62),"""")"),43614.0)</f>
        <v>43614</v>
      </c>
      <c r="L62" s="25" t="b">
        <f t="shared" si="32"/>
        <v>1</v>
      </c>
      <c r="M62" s="24">
        <f>IFERROR(__xludf.DUMMYFUNCTION("iferror(filter('3.3.clean'!C:C,'3.3.clean'!A:A=C62),"""")"),43628.0)</f>
        <v>43628</v>
      </c>
      <c r="N62" s="25" t="b">
        <f t="shared" si="23"/>
        <v>1</v>
      </c>
      <c r="O62" s="24" t="str">
        <f>IFERROR(__xludf.DUMMYFUNCTION("iferror(filter('3.4.clean'!C:C,'3.4.clean'!A:A=C62),"""")"),"")</f>
        <v/>
      </c>
      <c r="P62" s="25" t="b">
        <f t="shared" si="24"/>
        <v>0</v>
      </c>
      <c r="Q62" s="24"/>
      <c r="S62" s="25"/>
      <c r="U62" s="1" t="s">
        <v>382</v>
      </c>
      <c r="V62" s="1" t="s">
        <v>83</v>
      </c>
      <c r="W62" s="23" t="b">
        <f t="shared" si="37"/>
        <v>0</v>
      </c>
      <c r="X62" s="23" t="str">
        <f>IFERROR(__xludf.DUMMYFUNCTION("if(COUNTA(FILTER(C:C, C:C = C62))=1,""no"",""yes"")"),"no")</f>
        <v>no</v>
      </c>
    </row>
    <row r="63">
      <c r="A63" s="30"/>
      <c r="B63" s="19"/>
      <c r="C63" s="19" t="s">
        <v>441</v>
      </c>
      <c r="D63" s="24"/>
      <c r="E63" s="24">
        <v>43612.0</v>
      </c>
      <c r="F63" s="25" t="str">
        <f>IFERROR(__xludf.DUMMYFUNCTION("iferror(ifna(IFNA(filter('2.1.clean'!E:E,'2.1.clean'!A:A=C63),filter('2.2.clean'!G:G,'2.2.clean'!D:D=C63)),filter('2.4.clean'!E:E,'2.4.clean'!A:A=C63)),)"),"")</f>
        <v/>
      </c>
      <c r="G63" s="24" t="str">
        <f>IFERROR(__xludf.DUMMYFUNCTION("iferror(filter('3.1.clean'!C:C,'3.1.clean'!B:B=C63),"""")"),"")</f>
        <v/>
      </c>
      <c r="H63" s="23" t="b">
        <f t="shared" si="31"/>
        <v>0</v>
      </c>
      <c r="J63" s="25"/>
      <c r="K63" s="24" t="str">
        <f>IFERROR(__xludf.DUMMYFUNCTION("iferror(filter('3.2.clean'!C:C,'3.2.clean'!A:A=C63),"""")"),"")</f>
        <v/>
      </c>
      <c r="L63" s="25" t="b">
        <f t="shared" si="32"/>
        <v>0</v>
      </c>
      <c r="M63" s="24" t="str">
        <f>IFERROR(__xludf.DUMMYFUNCTION("iferror(filter('3.3.clean'!C:C,'3.3.clean'!A:A=C63),"""")"),"")</f>
        <v/>
      </c>
      <c r="N63" s="25" t="b">
        <f t="shared" si="23"/>
        <v>0</v>
      </c>
      <c r="O63" s="24">
        <f>IFERROR(__xludf.DUMMYFUNCTION("iferror(filter('3.4.clean'!C:C,'3.4.clean'!A:A=C63),"""")"),43654.0)</f>
        <v>43654</v>
      </c>
      <c r="P63" s="25" t="b">
        <f t="shared" si="24"/>
        <v>1</v>
      </c>
      <c r="Q63" s="24"/>
      <c r="S63" s="25"/>
      <c r="V63" s="1" t="s">
        <v>83</v>
      </c>
      <c r="W63" s="23" t="b">
        <f t="shared" si="37"/>
        <v>0</v>
      </c>
      <c r="X63" s="23" t="str">
        <f>IFERROR(__xludf.DUMMYFUNCTION("if(COUNTA(FILTER(C:C, C:C = C63))=1,""no"",""yes"")"),"no")</f>
        <v>no</v>
      </c>
    </row>
    <row r="64">
      <c r="A64" s="1" t="s">
        <v>52</v>
      </c>
      <c r="B64" s="19"/>
      <c r="C64" s="19" t="s">
        <v>442</v>
      </c>
      <c r="E64" s="24">
        <f>IFERROR(__xludf.DUMMYFUNCTION("ifna(IFNA(filter('2.1.clean'!C:C,'2.1.clean'!A:A=C64),filter('2.2.clean'!E:E,'2.2.clean'!D:D=C64)),filter('2.4.clean'!C:C,'2.4.clean'!A:A=C64))"),43613.0)</f>
        <v>43613</v>
      </c>
      <c r="F64" s="25">
        <f>IFERROR(__xludf.DUMMYFUNCTION("iferror(ifna(IFNA(filter('2.1.clean'!E:E,'2.1.clean'!A:A=C64),filter('2.2.clean'!G:G,'2.2.clean'!D:D=C64)),filter('2.4.clean'!E:E,'2.4.clean'!A:A=C64)),)"),2.4)</f>
        <v>2.4</v>
      </c>
      <c r="G64" s="24"/>
      <c r="J64" s="25"/>
      <c r="K64" s="24"/>
      <c r="L64" s="25"/>
      <c r="M64" s="24">
        <f>IFERROR(__xludf.DUMMYFUNCTION("iferror(filter('3.3.clean'!C:C,'3.3.clean'!A:A=C64),"""")"),43629.0)</f>
        <v>43629</v>
      </c>
      <c r="N64" s="25" t="b">
        <f t="shared" si="23"/>
        <v>1</v>
      </c>
      <c r="O64" s="24">
        <f>IFERROR(__xludf.DUMMYFUNCTION("iferror(filter('3.4.clean'!C:C,'3.4.clean'!A:A=C64),"""")"),43654.0)</f>
        <v>43654</v>
      </c>
      <c r="P64" s="25" t="b">
        <f t="shared" si="24"/>
        <v>1</v>
      </c>
      <c r="Q64" s="24">
        <f>IFERROR(__xludf.DUMMYFUNCTION("iferror(filter('3.5.clean'!C:C,'3.5.clean'!A:A=C64),"""")"),43613.0)</f>
        <v>43613</v>
      </c>
      <c r="R64" s="23" t="b">
        <f t="shared" ref="R64:R65" si="38">if(Q64="",FALSE,TRUE)</f>
        <v>1</v>
      </c>
      <c r="S64" s="25"/>
      <c r="U64" s="23"/>
      <c r="V64" s="1" t="s">
        <v>64</v>
      </c>
      <c r="W64" s="1" t="b">
        <v>1</v>
      </c>
      <c r="X64" s="23" t="str">
        <f>IFERROR(__xludf.DUMMYFUNCTION("if(COUNTA(FILTER(C:C, C:C = C64))=1,""no"",""yes"")"),"no")</f>
        <v>no</v>
      </c>
    </row>
    <row r="65">
      <c r="A65" s="1" t="s">
        <v>52</v>
      </c>
      <c r="B65" s="19"/>
      <c r="C65" s="19" t="s">
        <v>444</v>
      </c>
      <c r="E65" s="24">
        <f>IFERROR(__xludf.DUMMYFUNCTION("ifna(IFNA(filter('2.1.clean'!C:C,'2.1.clean'!A:A=C65),filter('2.2.clean'!E:E,'2.2.clean'!D:D=C65)),filter('2.4.clean'!C:C,'2.4.clean'!A:A=C65))"),43613.0)</f>
        <v>43613</v>
      </c>
      <c r="F65" s="25">
        <f>IFERROR(__xludf.DUMMYFUNCTION("iferror(ifna(IFNA(filter('2.1.clean'!E:E,'2.1.clean'!A:A=C65),filter('2.2.clean'!G:G,'2.2.clean'!D:D=C65)),filter('2.4.clean'!E:E,'2.4.clean'!A:A=C65)),)"),2.4)</f>
        <v>2.4</v>
      </c>
      <c r="G65" s="24"/>
      <c r="J65" s="25"/>
      <c r="K65" s="24"/>
      <c r="L65" s="25"/>
      <c r="M65" s="24">
        <f>IFERROR(__xludf.DUMMYFUNCTION("iferror(filter('3.3.clean'!C:C,'3.3.clean'!A:A=C65),"""")"),43629.0)</f>
        <v>43629</v>
      </c>
      <c r="N65" s="25" t="b">
        <f t="shared" si="23"/>
        <v>1</v>
      </c>
      <c r="O65" s="24">
        <f>IFERROR(__xludf.DUMMYFUNCTION("iferror(filter('3.4.clean'!C:C,'3.4.clean'!A:A=C65),"""")"),43654.0)</f>
        <v>43654</v>
      </c>
      <c r="P65" s="25" t="b">
        <f t="shared" si="24"/>
        <v>1</v>
      </c>
      <c r="Q65" s="24">
        <f>IFERROR(__xludf.DUMMYFUNCTION("iferror(filter('3.5.clean'!C:C,'3.5.clean'!A:A=C65),"""")"),43613.0)</f>
        <v>43613</v>
      </c>
      <c r="R65" s="23" t="b">
        <f t="shared" si="38"/>
        <v>1</v>
      </c>
      <c r="S65" s="25"/>
      <c r="U65" s="23"/>
      <c r="V65" s="1" t="s">
        <v>64</v>
      </c>
      <c r="W65" s="23" t="b">
        <f>IF(and(R65=TRUE,N65=TRUE,P65=TRUE),TRUE,FALSE)</f>
        <v>1</v>
      </c>
      <c r="X65" s="23" t="str">
        <f>IFERROR(__xludf.DUMMYFUNCTION("if(COUNTA(FILTER(C:C, C:C = C65))=1,""no"",""yes"")"),"no")</f>
        <v>no</v>
      </c>
    </row>
    <row r="66">
      <c r="A66" s="1"/>
      <c r="B66" s="27"/>
      <c r="C66" s="27" t="s">
        <v>445</v>
      </c>
      <c r="D66" s="24"/>
      <c r="E66" s="24">
        <f>IFERROR(__xludf.DUMMYFUNCTION("ifna(IFNA(filter('2.1.clean'!C:C,'2.1.clean'!A:A=C66),filter('2.2.clean'!E:E,'2.2.clean'!D:D=C66)),filter('2.4.clean'!C:C,'2.4.clean'!A:A=C66))"),43613.0)</f>
        <v>43613</v>
      </c>
      <c r="F66" s="25">
        <f>IFERROR(__xludf.DUMMYFUNCTION("iferror(ifna(IFNA(filter('2.1.clean'!E:E,'2.1.clean'!A:A=C66),filter('2.2.clean'!G:G,'2.2.clean'!D:D=C66)),filter('2.4.clean'!E:E,'2.4.clean'!A:A=C66)),)"),2.1)</f>
        <v>2.1</v>
      </c>
      <c r="G66" s="24">
        <f>IFERROR(__xludf.DUMMYFUNCTION("iferror(filter('3.1.clean'!C:C,'3.1.clean'!A:A=C66),"""")"),43613.0)</f>
        <v>43613</v>
      </c>
      <c r="H66" s="23" t="b">
        <f t="shared" ref="H66:H76" si="39">if(G66="",FALSE,TRUE)</f>
        <v>1</v>
      </c>
      <c r="J66" s="25"/>
      <c r="K66" s="24">
        <f>IFERROR(__xludf.DUMMYFUNCTION("iferror(filter('3.2.clean'!C:C,'3.2.clean'!A:A=C66),"""")"),43614.0)</f>
        <v>43614</v>
      </c>
      <c r="L66" s="25" t="b">
        <f t="shared" ref="L66:L75" si="40">if(K66="",FALSE,TRUE)</f>
        <v>1</v>
      </c>
      <c r="M66" s="24">
        <f>IFERROR(__xludf.DUMMYFUNCTION("iferror(filter('3.3.clean'!C:C,'3.3.clean'!A:A=C66),"""")"),43629.0)</f>
        <v>43629</v>
      </c>
      <c r="N66" s="25" t="b">
        <f t="shared" si="23"/>
        <v>1</v>
      </c>
      <c r="O66" s="24">
        <f>IFERROR(__xludf.DUMMYFUNCTION("iferror(filter('3.4.clean'!C:C,'3.4.clean'!A:A=C66),"""")"),43790.0)</f>
        <v>43790</v>
      </c>
      <c r="P66" s="25" t="b">
        <f t="shared" si="24"/>
        <v>1</v>
      </c>
      <c r="Q66" s="24"/>
      <c r="S66" s="25"/>
      <c r="V66" s="1" t="s">
        <v>83</v>
      </c>
      <c r="W66" s="23" t="b">
        <f t="shared" ref="W66:W67" si="41">IF(and(H66=TRUE,L66=TRUE,N66=TRUE,P66=TRUE),TRUE,FALSE)</f>
        <v>1</v>
      </c>
      <c r="X66" s="23" t="str">
        <f>IFERROR(__xludf.DUMMYFUNCTION("if(COUNTA(FILTER(C:C, C:C = C66))=1,""no"",""yes"")"),"no")</f>
        <v>no</v>
      </c>
    </row>
    <row r="67">
      <c r="A67" s="1"/>
      <c r="B67" s="27"/>
      <c r="C67" s="27" t="s">
        <v>446</v>
      </c>
      <c r="D67" s="24"/>
      <c r="E67" s="24">
        <f>IFERROR(__xludf.DUMMYFUNCTION("ifna(IFNA(filter('2.1.clean'!C:C,'2.1.clean'!A:A=C67),filter('2.2.clean'!E:E,'2.2.clean'!D:D=C67)),filter('2.4.clean'!C:C,'2.4.clean'!A:A=C67))"),43613.0)</f>
        <v>43613</v>
      </c>
      <c r="F67" s="25">
        <f>IFERROR(__xludf.DUMMYFUNCTION("iferror(ifna(IFNA(filter('2.1.clean'!E:E,'2.1.clean'!A:A=C67),filter('2.2.clean'!G:G,'2.2.clean'!D:D=C67)),filter('2.4.clean'!E:E,'2.4.clean'!A:A=C67)),)"),2.1)</f>
        <v>2.1</v>
      </c>
      <c r="G67" s="24">
        <f>IFERROR(__xludf.DUMMYFUNCTION("iferror(filter('3.1.clean'!C:C,'3.1.clean'!A:A=C67),"""")"),43613.0)</f>
        <v>43613</v>
      </c>
      <c r="H67" s="23" t="b">
        <f t="shared" si="39"/>
        <v>1</v>
      </c>
      <c r="J67" s="25"/>
      <c r="K67" s="24">
        <f>IFERROR(__xludf.DUMMYFUNCTION("iferror(filter('3.2.clean'!C:C,'3.2.clean'!A:A=C67),"""")"),43614.0)</f>
        <v>43614</v>
      </c>
      <c r="L67" s="25" t="b">
        <f t="shared" si="40"/>
        <v>1</v>
      </c>
      <c r="M67" s="24">
        <f>IFERROR(__xludf.DUMMYFUNCTION("iferror(filter('3.3.clean'!C:C,'3.3.clean'!A:A=C67),"""")"),43629.0)</f>
        <v>43629</v>
      </c>
      <c r="N67" s="25" t="b">
        <f t="shared" si="23"/>
        <v>1</v>
      </c>
      <c r="O67" s="24" t="str">
        <f>IFERROR(__xludf.DUMMYFUNCTION("iferror(filter('3.4.clean'!C:C,'3.4.clean'!A:A=C67),"""")"),"")</f>
        <v/>
      </c>
      <c r="P67" s="25" t="b">
        <f t="shared" si="24"/>
        <v>0</v>
      </c>
      <c r="Q67" s="24"/>
      <c r="S67" s="25"/>
      <c r="U67" s="1" t="s">
        <v>382</v>
      </c>
      <c r="V67" s="1" t="s">
        <v>83</v>
      </c>
      <c r="W67" s="23" t="b">
        <f t="shared" si="41"/>
        <v>0</v>
      </c>
      <c r="X67" s="23" t="str">
        <f>IFERROR(__xludf.DUMMYFUNCTION("if(COUNTA(FILTER(C:C, C:C = C67))=1,""no"",""yes"")"),"no")</f>
        <v>no</v>
      </c>
    </row>
    <row r="68">
      <c r="A68" s="1"/>
      <c r="B68" s="27"/>
      <c r="C68" s="27" t="s">
        <v>448</v>
      </c>
      <c r="D68" s="24"/>
      <c r="E68" s="24">
        <f>IFERROR(__xludf.DUMMYFUNCTION("ifna(IFNA(filter('2.1.clean'!C:C,'2.1.clean'!A:A=C68),filter('2.2.clean'!E:E,'2.2.clean'!D:D=C68)),filter('2.4.clean'!C:C,'2.4.clean'!A:A=C68))"),43613.0)</f>
        <v>43613</v>
      </c>
      <c r="F68" s="25">
        <f>IFERROR(__xludf.DUMMYFUNCTION("iferror(ifna(IFNA(filter('2.1.clean'!E:E,'2.1.clean'!A:A=C68),filter('2.2.clean'!G:G,'2.2.clean'!D:D=C68)),filter('2.4.clean'!E:E,'2.4.clean'!A:A=C68)),)"),2.1)</f>
        <v>2.1</v>
      </c>
      <c r="G68" s="24">
        <f>IFERROR(__xludf.DUMMYFUNCTION("iferror(filter('3.1.clean'!C:C,'3.1.clean'!A:A=C68),"""")"),43613.0)</f>
        <v>43613</v>
      </c>
      <c r="H68" s="23" t="b">
        <f t="shared" si="39"/>
        <v>1</v>
      </c>
      <c r="J68" s="25"/>
      <c r="K68" s="24">
        <f>IFERROR(__xludf.DUMMYFUNCTION("iferror(filter('3.2.clean'!C:C,'3.2.clean'!A:A=C68),"""")"),43614.0)</f>
        <v>43614</v>
      </c>
      <c r="L68" s="25" t="b">
        <f t="shared" si="40"/>
        <v>1</v>
      </c>
      <c r="M68" s="24">
        <f>IFERROR(__xludf.DUMMYFUNCTION("iferror(filter('3.3.clean'!C:C,'3.3.clean'!A:A=C68),"""")"),43628.0)</f>
        <v>43628</v>
      </c>
      <c r="N68" s="25" t="b">
        <f t="shared" si="23"/>
        <v>1</v>
      </c>
      <c r="O68" s="24">
        <f>IFERROR(__xludf.DUMMYFUNCTION("iferror(filter('3.4.clean'!C:C,'3.4.clean'!A:A=C68),"""")"),43654.0)</f>
        <v>43654</v>
      </c>
      <c r="P68" s="25" t="b">
        <f t="shared" si="24"/>
        <v>1</v>
      </c>
      <c r="Q68" s="24">
        <f>IFERROR(__xludf.DUMMYFUNCTION("iferror(filter('3.5.clean'!C:C,'3.5.clean'!A:A=C68),"""")"),43613.0)</f>
        <v>43613</v>
      </c>
      <c r="R68" s="23" t="b">
        <f t="shared" ref="R68:R69" si="42">if(Q68="",FALSE,TRUE)</f>
        <v>1</v>
      </c>
      <c r="S68" s="25"/>
      <c r="U68" s="23"/>
      <c r="V68" s="1" t="s">
        <v>83</v>
      </c>
      <c r="W68" s="1" t="b">
        <v>1</v>
      </c>
      <c r="X68" s="23" t="str">
        <f>IFERROR(__xludf.DUMMYFUNCTION("if(COUNTA(FILTER(C:C, C:C = C68))=1,""no"",""yes"")"),"no")</f>
        <v>no</v>
      </c>
    </row>
    <row r="69">
      <c r="A69" s="1"/>
      <c r="B69" s="27"/>
      <c r="C69" s="27" t="s">
        <v>449</v>
      </c>
      <c r="D69" s="24"/>
      <c r="E69" s="24">
        <f>IFERROR(__xludf.DUMMYFUNCTION("ifna(IFNA(filter('2.1.clean'!C:C,'2.1.clean'!A:A=C69),filter('2.2.clean'!E:E,'2.2.clean'!D:D=C69)),filter('2.4.clean'!C:C,'2.4.clean'!A:A=C69))"),43613.0)</f>
        <v>43613</v>
      </c>
      <c r="F69" s="25">
        <f>IFERROR(__xludf.DUMMYFUNCTION("iferror(ifna(IFNA(filter('2.1.clean'!E:E,'2.1.clean'!A:A=C69),filter('2.2.clean'!G:G,'2.2.clean'!D:D=C69)),filter('2.4.clean'!E:E,'2.4.clean'!A:A=C69)),)"),2.1)</f>
        <v>2.1</v>
      </c>
      <c r="G69" s="24">
        <f>IFERROR(__xludf.DUMMYFUNCTION("iferror(filter('3.1.clean'!C:C,'3.1.clean'!A:A=C69),"""")"),43614.0)</f>
        <v>43614</v>
      </c>
      <c r="H69" s="23" t="b">
        <f t="shared" si="39"/>
        <v>1</v>
      </c>
      <c r="J69" s="25"/>
      <c r="K69" s="24">
        <f>IFERROR(__xludf.DUMMYFUNCTION("iferror(filter('3.2.clean'!C:C,'3.2.clean'!A:A=C69),"""")"),43614.0)</f>
        <v>43614</v>
      </c>
      <c r="L69" s="25" t="b">
        <f t="shared" si="40"/>
        <v>1</v>
      </c>
      <c r="M69" s="24">
        <f>IFERROR(__xludf.DUMMYFUNCTION("iferror(filter('3.3.clean'!C:C,'3.3.clean'!A:A=C69),"""")"),43628.0)</f>
        <v>43628</v>
      </c>
      <c r="N69" s="25" t="b">
        <f t="shared" si="23"/>
        <v>1</v>
      </c>
      <c r="O69" s="24">
        <f>IFERROR(__xludf.DUMMYFUNCTION("iferror(filter('3.4.clean'!C:C,'3.4.clean'!A:A=C69),"""")"),43654.0)</f>
        <v>43654</v>
      </c>
      <c r="P69" s="25" t="b">
        <f t="shared" si="24"/>
        <v>1</v>
      </c>
      <c r="Q69" s="24">
        <f>IFERROR(__xludf.DUMMYFUNCTION("iferror(filter('3.5.clean'!C:C,'3.5.clean'!A:A=C69),"""")"),43614.0)</f>
        <v>43614</v>
      </c>
      <c r="R69" s="23" t="b">
        <f t="shared" si="42"/>
        <v>1</v>
      </c>
      <c r="S69" s="25"/>
      <c r="U69" s="23"/>
      <c r="V69" s="1" t="s">
        <v>83</v>
      </c>
      <c r="W69" s="23" t="b">
        <f>IF(and(H69=TRUE,L69=TRUE,N69=TRUE,P69=TRUE),TRUE,FALSE)</f>
        <v>1</v>
      </c>
      <c r="X69" s="23" t="str">
        <f>IFERROR(__xludf.DUMMYFUNCTION("if(COUNTA(FILTER(C:C, C:C = C69))=1,""no"",""yes"")"),"no")</f>
        <v>no</v>
      </c>
    </row>
    <row r="70">
      <c r="A70" s="1"/>
      <c r="B70" s="27"/>
      <c r="C70" s="27" t="s">
        <v>450</v>
      </c>
      <c r="D70" s="24"/>
      <c r="E70" s="24">
        <f>IFERROR(__xludf.DUMMYFUNCTION("ifna(IFNA(filter('2.1.clean'!C:C,'2.1.clean'!A:A=C70),filter('2.2.clean'!E:E,'2.2.clean'!D:D=C70)),filter('2.4.clean'!C:C,'2.4.clean'!A:A=C70))"),43613.0)</f>
        <v>43613</v>
      </c>
      <c r="F70" s="25">
        <f>IFERROR(__xludf.DUMMYFUNCTION("iferror(ifna(IFNA(filter('2.1.clean'!E:E,'2.1.clean'!A:A=C70),filter('2.2.clean'!G:G,'2.2.clean'!D:D=C70)),filter('2.4.clean'!E:E,'2.4.clean'!A:A=C70)),)"),2.1)</f>
        <v>2.1</v>
      </c>
      <c r="G70" s="24">
        <f>IFERROR(__xludf.DUMMYFUNCTION("iferror(filter('3.1.clean'!C:C,'3.1.clean'!A:A=C70),"""")"),43613.0)</f>
        <v>43613</v>
      </c>
      <c r="H70" s="23" t="b">
        <f t="shared" si="39"/>
        <v>1</v>
      </c>
      <c r="J70" s="25"/>
      <c r="K70" s="24">
        <f>IFERROR(__xludf.DUMMYFUNCTION("iferror(filter('3.2.clean'!C:C,'3.2.clean'!A:A=C70),"""")"),43614.0)</f>
        <v>43614</v>
      </c>
      <c r="L70" s="25" t="b">
        <f t="shared" si="40"/>
        <v>1</v>
      </c>
      <c r="M70" s="24">
        <f>IFERROR(__xludf.DUMMYFUNCTION("iferror(filter('3.3.clean'!C:C,'3.3.clean'!A:A=C70),"""")"),43629.0)</f>
        <v>43629</v>
      </c>
      <c r="N70" s="25" t="b">
        <f t="shared" si="23"/>
        <v>1</v>
      </c>
      <c r="O70" s="24">
        <f>IFERROR(__xludf.DUMMYFUNCTION("iferror(filter('3.4.clean'!C:C,'3.4.clean'!A:A=C70),"""")"),43654.0)</f>
        <v>43654</v>
      </c>
      <c r="P70" s="25" t="b">
        <f t="shared" si="24"/>
        <v>1</v>
      </c>
      <c r="Q70" s="24"/>
      <c r="S70" s="25"/>
      <c r="U70" s="23"/>
      <c r="V70" s="1" t="s">
        <v>83</v>
      </c>
      <c r="W70" s="1" t="b">
        <v>1</v>
      </c>
      <c r="X70" s="23" t="str">
        <f>IFERROR(__xludf.DUMMYFUNCTION("if(COUNTA(FILTER(C:C, C:C = C70))=1,""no"",""yes"")"),"no")</f>
        <v>no</v>
      </c>
    </row>
    <row r="71">
      <c r="A71" s="1" t="s">
        <v>52</v>
      </c>
      <c r="B71" s="19"/>
      <c r="C71" s="19" t="s">
        <v>452</v>
      </c>
      <c r="E71" s="24">
        <f>IFERROR(__xludf.DUMMYFUNCTION("ifna(IFNA(filter('2.1.clean'!C:C,'2.1.clean'!A:A=C71),filter('2.2.clean'!E:E,'2.2.clean'!D:D=C71)),filter('2.4.clean'!C:C,'2.4.clean'!A:A=C71))"),43614.0)</f>
        <v>43614</v>
      </c>
      <c r="F71" s="25">
        <f>IFERROR(__xludf.DUMMYFUNCTION("iferror(ifna(IFNA(filter('2.1.clean'!E:E,'2.1.clean'!A:A=C71),filter('2.2.clean'!G:G,'2.2.clean'!D:D=C71)),filter('2.4.clean'!E:E,'2.4.clean'!A:A=C71)),)"),2.4)</f>
        <v>2.4</v>
      </c>
      <c r="G71" s="24">
        <f>IFERROR(__xludf.DUMMYFUNCTION("iferror(filter('3.1.clean'!C:C,'3.1.clean'!A:A=C71),"""")"),43614.0)</f>
        <v>43614</v>
      </c>
      <c r="H71" s="23" t="b">
        <f t="shared" si="39"/>
        <v>1</v>
      </c>
      <c r="J71" s="25"/>
      <c r="K71" s="24" t="str">
        <f>IFERROR(__xludf.DUMMYFUNCTION("iferror(filter('3.2.clean'!C:C,'3.2.clean'!A:A=C71),"""")"),"")</f>
        <v/>
      </c>
      <c r="L71" s="25" t="b">
        <f t="shared" si="40"/>
        <v>0</v>
      </c>
      <c r="M71" s="24">
        <f>IFERROR(__xludf.DUMMYFUNCTION("iferror(filter('3.3.clean'!C:C,'3.3.clean'!A:A=C71),"""")"),43628.0)</f>
        <v>43628</v>
      </c>
      <c r="N71" s="25" t="b">
        <f t="shared" si="23"/>
        <v>1</v>
      </c>
      <c r="O71" s="24">
        <f>IFERROR(__xludf.DUMMYFUNCTION("iferror(filter('3.4.clean'!C:C,'3.4.clean'!A:A=C71),"""")"),43581.0)</f>
        <v>43581</v>
      </c>
      <c r="P71" s="25" t="b">
        <f t="shared" si="24"/>
        <v>1</v>
      </c>
      <c r="Q71" s="24">
        <f>IFERROR(__xludf.DUMMYFUNCTION("iferror(filter('3.5.clean'!C:C,'3.5.clean'!A:A=C71),"""")"),43614.0)</f>
        <v>43614</v>
      </c>
      <c r="R71" s="23" t="b">
        <f>if(Q71="",FALSE,TRUE)</f>
        <v>1</v>
      </c>
      <c r="S71" s="25"/>
      <c r="V71" s="1" t="s">
        <v>64</v>
      </c>
      <c r="X71" s="23" t="str">
        <f>IFERROR(__xludf.DUMMYFUNCTION("if(COUNTA(FILTER(C:C, C:C = C71))=1,""no"",""yes"")"),"no")</f>
        <v>no</v>
      </c>
    </row>
    <row r="72">
      <c r="A72" s="1"/>
      <c r="B72" s="27"/>
      <c r="C72" s="27" t="s">
        <v>453</v>
      </c>
      <c r="D72" s="24"/>
      <c r="E72" s="24">
        <f>IFERROR(__xludf.DUMMYFUNCTION("ifna(IFNA(filter('2.1.clean'!C:C,'2.1.clean'!A:A=C72),filter('2.2.clean'!E:E,'2.2.clean'!D:D=C72)),filter('2.4.clean'!C:C,'2.4.clean'!A:A=C72))"),43614.0)</f>
        <v>43614</v>
      </c>
      <c r="F72" s="25">
        <f>IFERROR(__xludf.DUMMYFUNCTION("iferror(ifna(IFNA(filter('2.1.clean'!E:E,'2.1.clean'!A:A=C72),filter('2.2.clean'!G:G,'2.2.clean'!D:D=C72)),filter('2.4.clean'!E:E,'2.4.clean'!A:A=C72)),)"),2.1)</f>
        <v>2.1</v>
      </c>
      <c r="G72" s="24">
        <f>IFERROR(__xludf.DUMMYFUNCTION("iferror(filter('3.1.clean'!C:C,'3.1.clean'!A:A=C72),"""")"),43614.0)</f>
        <v>43614</v>
      </c>
      <c r="H72" s="23" t="b">
        <f t="shared" si="39"/>
        <v>1</v>
      </c>
      <c r="J72" s="25"/>
      <c r="K72" s="24">
        <f>IFERROR(__xludf.DUMMYFUNCTION("iferror(filter('3.2.clean'!C:C,'3.2.clean'!A:A=C72),"""")"),43614.0)</f>
        <v>43614</v>
      </c>
      <c r="L72" s="25" t="b">
        <f t="shared" si="40"/>
        <v>1</v>
      </c>
      <c r="M72" s="24">
        <f>IFERROR(__xludf.DUMMYFUNCTION("iferror(filter('3.3.clean'!C:C,'3.3.clean'!A:A=C72),"""")"),43629.0)</f>
        <v>43629</v>
      </c>
      <c r="N72" s="25" t="b">
        <f t="shared" si="23"/>
        <v>1</v>
      </c>
      <c r="O72" s="24">
        <f>IFERROR(__xludf.DUMMYFUNCTION("iferror(filter('3.4.clean'!C:C,'3.4.clean'!A:A=C72),"""")"),43790.0)</f>
        <v>43790</v>
      </c>
      <c r="P72" s="25" t="b">
        <f t="shared" si="24"/>
        <v>1</v>
      </c>
      <c r="Q72" s="24"/>
      <c r="S72" s="25"/>
      <c r="V72" s="1" t="s">
        <v>83</v>
      </c>
      <c r="W72" s="23" t="b">
        <f t="shared" ref="W72:W73" si="43">IF(and(H72=TRUE,L72=TRUE,N72=TRUE,P72=TRUE),TRUE,FALSE)</f>
        <v>1</v>
      </c>
      <c r="X72" s="23" t="str">
        <f>IFERROR(__xludf.DUMMYFUNCTION("if(COUNTA(FILTER(C:C, C:C = C72))=1,""no"",""yes"")"),"no")</f>
        <v>no</v>
      </c>
    </row>
    <row r="73">
      <c r="A73" s="1"/>
      <c r="B73" s="27"/>
      <c r="C73" s="27" t="s">
        <v>454</v>
      </c>
      <c r="D73" s="24"/>
      <c r="E73" s="24">
        <f>IFERROR(__xludf.DUMMYFUNCTION("ifna(IFNA(filter('2.1.clean'!C:C,'2.1.clean'!A:A=C73),filter('2.2.clean'!E:E,'2.2.clean'!D:D=C73)),filter('2.4.clean'!C:C,'2.4.clean'!A:A=C73))"),43614.0)</f>
        <v>43614</v>
      </c>
      <c r="F73" s="25">
        <f>IFERROR(__xludf.DUMMYFUNCTION("iferror(ifna(IFNA(filter('2.1.clean'!E:E,'2.1.clean'!A:A=C73),filter('2.2.clean'!G:G,'2.2.clean'!D:D=C73)),filter('2.4.clean'!E:E,'2.4.clean'!A:A=C73)),)"),2.1)</f>
        <v>2.1</v>
      </c>
      <c r="G73" s="24" t="str">
        <f>IFERROR(__xludf.DUMMYFUNCTION("iferror(filter('3.1.clean'!C:C,'3.1.clean'!A:A=C73),"""")"),"")</f>
        <v/>
      </c>
      <c r="H73" s="23" t="b">
        <f t="shared" si="39"/>
        <v>0</v>
      </c>
      <c r="J73" s="25"/>
      <c r="K73" s="24" t="str">
        <f>IFERROR(__xludf.DUMMYFUNCTION("iferror(filter('3.2.clean'!C:C,'3.2.clean'!A:A=C73),"""")"),"")</f>
        <v/>
      </c>
      <c r="L73" s="25" t="b">
        <f t="shared" si="40"/>
        <v>0</v>
      </c>
      <c r="M73" s="24" t="str">
        <f>IFERROR(__xludf.DUMMYFUNCTION("iferror(filter('3.3.clean'!C:C,'3.3.clean'!A:A=C73),"""")"),"")</f>
        <v/>
      </c>
      <c r="N73" s="25" t="b">
        <f t="shared" si="23"/>
        <v>0</v>
      </c>
      <c r="O73" s="24" t="str">
        <f>IFERROR(__xludf.DUMMYFUNCTION("iferror(filter('3.4.clean'!C:C,'3.4.clean'!A:A=C73),"""")"),"")</f>
        <v/>
      </c>
      <c r="P73" s="25" t="b">
        <f t="shared" si="24"/>
        <v>0</v>
      </c>
      <c r="Q73" s="24"/>
      <c r="S73" s="25"/>
      <c r="U73" s="23"/>
      <c r="V73" s="1" t="s">
        <v>83</v>
      </c>
      <c r="W73" s="23" t="b">
        <f t="shared" si="43"/>
        <v>0</v>
      </c>
      <c r="X73" s="23" t="str">
        <f>IFERROR(__xludf.DUMMYFUNCTION("if(COUNTA(FILTER(C:C, C:C = C73))=1,""no"",""yes"")"),"no")</f>
        <v>no</v>
      </c>
    </row>
    <row r="74">
      <c r="A74" s="1"/>
      <c r="B74" s="27"/>
      <c r="C74" s="27" t="s">
        <v>456</v>
      </c>
      <c r="D74" s="24"/>
      <c r="E74" s="24">
        <f>IFERROR(__xludf.DUMMYFUNCTION("ifna(IFNA(filter('2.1.clean'!C:C,'2.1.clean'!A:A=C74),filter('2.2.clean'!E:E,'2.2.clean'!D:D=C74)),filter('2.4.clean'!C:C,'2.4.clean'!A:A=C74))"),43614.0)</f>
        <v>43614</v>
      </c>
      <c r="F74" s="25">
        <f>IFERROR(__xludf.DUMMYFUNCTION("iferror(ifna(IFNA(filter('2.1.clean'!E:E,'2.1.clean'!A:A=C74),filter('2.2.clean'!G:G,'2.2.clean'!D:D=C74)),filter('2.4.clean'!E:E,'2.4.clean'!A:A=C74)),)"),2.1)</f>
        <v>2.1</v>
      </c>
      <c r="G74" s="24">
        <f>IFERROR(__xludf.DUMMYFUNCTION("iferror(filter('3.1.clean'!C:C,'3.1.clean'!A:A=C74),"""")"),43614.0)</f>
        <v>43614</v>
      </c>
      <c r="H74" s="23" t="b">
        <f t="shared" si="39"/>
        <v>1</v>
      </c>
      <c r="J74" s="25"/>
      <c r="K74" s="24">
        <f>IFERROR(__xludf.DUMMYFUNCTION("iferror(filter('3.2.clean'!C:C,'3.2.clean'!A:A=C74),"""")"),43614.0)</f>
        <v>43614</v>
      </c>
      <c r="L74" s="25" t="b">
        <f t="shared" si="40"/>
        <v>1</v>
      </c>
      <c r="M74" s="24">
        <f>IFERROR(__xludf.DUMMYFUNCTION("iferror(filter('3.3.clean'!C:C,'3.3.clean'!A:A=C74),"""")"),43629.0)</f>
        <v>43629</v>
      </c>
      <c r="N74" s="25" t="b">
        <f t="shared" si="23"/>
        <v>1</v>
      </c>
      <c r="O74" s="24">
        <f>IFERROR(__xludf.DUMMYFUNCTION("iferror(filter('3.4.clean'!C:C,'3.4.clean'!A:A=C74),"""")"),43654.0)</f>
        <v>43654</v>
      </c>
      <c r="P74" s="25" t="b">
        <f t="shared" si="24"/>
        <v>1</v>
      </c>
      <c r="Q74" s="24"/>
      <c r="S74" s="25"/>
      <c r="U74" s="23"/>
      <c r="V74" s="1" t="s">
        <v>83</v>
      </c>
      <c r="W74" s="1" t="b">
        <v>1</v>
      </c>
      <c r="X74" s="23" t="str">
        <f>IFERROR(__xludf.DUMMYFUNCTION("if(COUNTA(FILTER(C:C, C:C = C74))=1,""no"",""yes"")"),"no")</f>
        <v>no</v>
      </c>
    </row>
    <row r="75">
      <c r="A75" s="1"/>
      <c r="B75" s="27"/>
      <c r="C75" s="27" t="s">
        <v>457</v>
      </c>
      <c r="D75" s="24"/>
      <c r="E75" s="24">
        <f>IFERROR(__xludf.DUMMYFUNCTION("ifna(IFNA(filter('2.1.clean'!C:C,'2.1.clean'!A:A=C75),filter('2.2.clean'!E:E,'2.2.clean'!D:D=C75)),filter('2.4.clean'!C:C,'2.4.clean'!A:A=C75))"),43614.0)</f>
        <v>43614</v>
      </c>
      <c r="F75" s="25">
        <f>IFERROR(__xludf.DUMMYFUNCTION("iferror(ifna(IFNA(filter('2.1.clean'!E:E,'2.1.clean'!A:A=C75),filter('2.2.clean'!G:G,'2.2.clean'!D:D=C75)),filter('2.4.clean'!E:E,'2.4.clean'!A:A=C75)),)"),2.1)</f>
        <v>2.1</v>
      </c>
      <c r="G75" s="24">
        <f>IFERROR(__xludf.DUMMYFUNCTION("iferror(filter('3.1.clean'!C:C,'3.1.clean'!A:A=C75),"""")"),43614.0)</f>
        <v>43614</v>
      </c>
      <c r="H75" s="23" t="b">
        <f t="shared" si="39"/>
        <v>1</v>
      </c>
      <c r="J75" s="25"/>
      <c r="K75" s="24">
        <f>IFERROR(__xludf.DUMMYFUNCTION("iferror(filter('3.2.clean'!C:C,'3.2.clean'!A:A=C75),"""")"),43614.0)</f>
        <v>43614</v>
      </c>
      <c r="L75" s="25" t="b">
        <f t="shared" si="40"/>
        <v>1</v>
      </c>
      <c r="M75" s="24">
        <f>IFERROR(__xludf.DUMMYFUNCTION("iferror(filter('3.3.clean'!C:C,'3.3.clean'!A:A=C75),"""")"),43629.0)</f>
        <v>43629</v>
      </c>
      <c r="N75" s="25" t="b">
        <f t="shared" si="23"/>
        <v>1</v>
      </c>
      <c r="O75" s="24" t="str">
        <f>IFERROR(__xludf.DUMMYFUNCTION("iferror(filter('3.4.clean'!C:C,'3.4.clean'!A:A=C75),"""")"),"")</f>
        <v/>
      </c>
      <c r="P75" s="25" t="b">
        <f t="shared" si="24"/>
        <v>0</v>
      </c>
      <c r="Q75" s="24"/>
      <c r="S75" s="25"/>
      <c r="U75" s="1" t="s">
        <v>382</v>
      </c>
      <c r="V75" s="1" t="s">
        <v>83</v>
      </c>
      <c r="W75" s="23" t="b">
        <f>IF(and(H75=TRUE,L75=TRUE,N75=TRUE,P75=TRUE),TRUE,FALSE)</f>
        <v>0</v>
      </c>
      <c r="X75" s="23" t="str">
        <f>IFERROR(__xludf.DUMMYFUNCTION("if(COUNTA(FILTER(C:C, C:C = C75))=1,""no"",""yes"")"),"no")</f>
        <v>no</v>
      </c>
    </row>
    <row r="76">
      <c r="A76" s="1" t="s">
        <v>458</v>
      </c>
      <c r="B76" s="19"/>
      <c r="C76" s="19" t="s">
        <v>459</v>
      </c>
      <c r="D76" s="58" t="str">
        <f>if(or(I76=1,J76=1,S76=1),"pos","")</f>
        <v/>
      </c>
      <c r="E76" s="59">
        <f>IFERROR(__xludf.DUMMYFUNCTION("ifna(IFNA(filter('2.1.clean'!C:C,'2.1.clean'!A:A=C76),filter('2.2.clean'!E:E,'2.2.clean'!D:D=C76)),filter('2.4.clean'!C:C,'2.4.clean'!A:A=C76))"),43615.0)</f>
        <v>43615</v>
      </c>
      <c r="F76" s="60">
        <f>IFERROR(__xludf.DUMMYFUNCTION("iferror(ifna(IFNA(filter('2.1.clean'!E:E,'2.1.clean'!A:A=C76),filter('2.2.clean'!G:G,'2.2.clean'!D:D=C76)),filter('2.4.clean'!E:E,'2.4.clean'!A:A=C76)),)"),2.4)</f>
        <v>2.4</v>
      </c>
      <c r="G76" s="59">
        <f>IFERROR(__xludf.DUMMYFUNCTION("iferror(filter('3.1.clean'!C:C,'3.1.clean'!A:A=C76),"""")"),43615.0)</f>
        <v>43615</v>
      </c>
      <c r="H76" s="58" t="b">
        <f t="shared" si="39"/>
        <v>1</v>
      </c>
      <c r="I76" s="58">
        <f>IFERROR(__xludf.DUMMYFUNCTION("iferror(filter('3.1.clean'!G:G,'3.1.clean'!A:A=C76),"""")"),0.0)</f>
        <v>0</v>
      </c>
      <c r="J76" s="60">
        <f>IFERROR(__xludf.DUMMYFUNCTION("iferror(filter('3.1.clean'!I:I,'3.1.clean'!A:A=C76),"""")"),0.0)</f>
        <v>0</v>
      </c>
      <c r="K76" s="58"/>
      <c r="L76" s="60"/>
      <c r="M76" s="59" t="str">
        <f>IFERROR(__xludf.DUMMYFUNCTION("iferror(filter('3.3.clean'!C:C,'3.3.clean'!A:A=C76),"""")"),"")</f>
        <v/>
      </c>
      <c r="N76" s="60" t="b">
        <f t="shared" si="23"/>
        <v>0</v>
      </c>
      <c r="O76" s="59" t="str">
        <f>IFERROR(__xludf.DUMMYFUNCTION("iferror(filter('3.4.clean'!C:C,'3.4.clean'!A:A=C76),"""")"),"")</f>
        <v/>
      </c>
      <c r="P76" s="60" t="b">
        <f t="shared" si="24"/>
        <v>0</v>
      </c>
      <c r="Q76" s="59" t="str">
        <f>IFERROR(__xludf.DUMMYFUNCTION("iferror(filter('3.5.clean'!C:C,'3.5.clean'!A:A=C76),"""")"),"")</f>
        <v/>
      </c>
      <c r="R76" s="58" t="b">
        <f t="shared" ref="R76:R82" si="44">if(Q76="",FALSE,TRUE)</f>
        <v>0</v>
      </c>
      <c r="S76" s="4" t="str">
        <f>IFERROR(__xludf.DUMMYFUNCTION("iferror(filter('3.5.clean'!H:H,'3.5.clean'!A:A=C76),"""")"),"")</f>
        <v/>
      </c>
      <c r="U76" s="23"/>
      <c r="V76" s="1" t="s">
        <v>64</v>
      </c>
      <c r="W76" s="23" t="b">
        <f>if(AND(H76=TRUE,N76=TRUE,P76=TRUE),TRUE,FALSE)</f>
        <v>0</v>
      </c>
      <c r="X76" s="23" t="str">
        <f>IFERROR(__xludf.DUMMYFUNCTION("if(COUNTA(FILTER(C:C, C:C = C76))=1,""no"",""yes"")"),"no")</f>
        <v>no</v>
      </c>
    </row>
    <row r="77">
      <c r="A77" s="1" t="s">
        <v>458</v>
      </c>
      <c r="B77" s="19"/>
      <c r="C77" s="19" t="s">
        <v>461</v>
      </c>
      <c r="E77" s="24">
        <f>IFERROR(__xludf.DUMMYFUNCTION("ifna(IFNA(filter('2.1.clean'!C:C,'2.1.clean'!A:A=C77),filter('2.2.clean'!E:E,'2.2.clean'!D:D=C77)),filter('2.4.clean'!C:C,'2.4.clean'!A:A=C77))"),43615.0)</f>
        <v>43615</v>
      </c>
      <c r="F77" s="25">
        <f>IFERROR(__xludf.DUMMYFUNCTION("iferror(ifna(IFNA(filter('2.1.clean'!E:E,'2.1.clean'!A:A=C77),filter('2.2.clean'!G:G,'2.2.clean'!D:D=C77)),filter('2.4.clean'!E:E,'2.4.clean'!A:A=C77)),)"),2.4)</f>
        <v>2.4</v>
      </c>
      <c r="G77" s="24"/>
      <c r="J77" s="25"/>
      <c r="K77" s="24"/>
      <c r="L77" s="25"/>
      <c r="M77" s="24">
        <f>IFERROR(__xludf.DUMMYFUNCTION("iferror(filter('3.3.clean'!C:C,'3.3.clean'!A:A=C77),"""")"),43628.0)</f>
        <v>43628</v>
      </c>
      <c r="N77" s="25" t="b">
        <f t="shared" si="23"/>
        <v>1</v>
      </c>
      <c r="O77" s="24">
        <f>IFERROR(__xludf.DUMMYFUNCTION("iferror(filter('3.4.clean'!C:C,'3.4.clean'!A:A=C77),"""")"),43790.0)</f>
        <v>43790</v>
      </c>
      <c r="P77" s="25" t="b">
        <f t="shared" si="24"/>
        <v>1</v>
      </c>
      <c r="Q77" s="24">
        <f>IFERROR(__xludf.DUMMYFUNCTION("iferror(filter('3.5.clean'!C:C,'3.5.clean'!A:A=C77),"""")"),43615.0)</f>
        <v>43615</v>
      </c>
      <c r="R77" s="23" t="b">
        <f t="shared" si="44"/>
        <v>1</v>
      </c>
      <c r="S77" s="25"/>
      <c r="U77" s="23"/>
      <c r="V77" s="1" t="s">
        <v>64</v>
      </c>
      <c r="W77" s="23" t="b">
        <f>IF(and(R77=TRUE,N77=TRUE,P77=TRUE),TRUE,FALSE)</f>
        <v>1</v>
      </c>
      <c r="X77" s="23" t="str">
        <f>IFERROR(__xludf.DUMMYFUNCTION("if(COUNTA(FILTER(C:C, C:C = C77))=1,""no"",""yes"")"),"no")</f>
        <v>no</v>
      </c>
    </row>
    <row r="78">
      <c r="A78" s="1" t="s">
        <v>458</v>
      </c>
      <c r="B78" s="19"/>
      <c r="C78" s="19" t="s">
        <v>462</v>
      </c>
      <c r="E78" s="24">
        <f>IFERROR(__xludf.DUMMYFUNCTION("ifna(IFNA(filter('2.1.clean'!C:C,'2.1.clean'!A:A=C78),filter('2.2.clean'!E:E,'2.2.clean'!D:D=C78)),filter('2.4.clean'!C:C,'2.4.clean'!A:A=C78))"),43615.0)</f>
        <v>43615</v>
      </c>
      <c r="F78" s="25">
        <f>IFERROR(__xludf.DUMMYFUNCTION("iferror(ifna(IFNA(filter('2.1.clean'!E:E,'2.1.clean'!A:A=C78),filter('2.2.clean'!G:G,'2.2.clean'!D:D=C78)),filter('2.4.clean'!E:E,'2.4.clean'!A:A=C78)),)"),2.4)</f>
        <v>2.4</v>
      </c>
      <c r="G78" s="24"/>
      <c r="J78" s="25"/>
      <c r="K78" s="24"/>
      <c r="L78" s="25"/>
      <c r="M78" s="24">
        <f>IFERROR(__xludf.DUMMYFUNCTION("iferror(filter('3.3.clean'!C:C,'3.3.clean'!A:A=C78),"""")"),43628.0)</f>
        <v>43628</v>
      </c>
      <c r="N78" s="25" t="b">
        <f t="shared" si="23"/>
        <v>1</v>
      </c>
      <c r="O78" s="24">
        <f>IFERROR(__xludf.DUMMYFUNCTION("iferror(filter('3.4.clean'!C:C,'3.4.clean'!A:A=C78),"""")"),43654.0)</f>
        <v>43654</v>
      </c>
      <c r="P78" s="25" t="b">
        <f t="shared" si="24"/>
        <v>1</v>
      </c>
      <c r="Q78" s="24">
        <f>IFERROR(__xludf.DUMMYFUNCTION("iferror(filter('3.5.clean'!C:C,'3.5.clean'!A:A=C78),"""")"),43615.0)</f>
        <v>43615</v>
      </c>
      <c r="R78" s="23" t="b">
        <f t="shared" si="44"/>
        <v>1</v>
      </c>
      <c r="S78" s="25"/>
      <c r="U78" s="23"/>
      <c r="V78" s="1" t="s">
        <v>64</v>
      </c>
      <c r="W78" s="1" t="b">
        <v>1</v>
      </c>
      <c r="X78" s="23" t="str">
        <f>IFERROR(__xludf.DUMMYFUNCTION("if(COUNTA(FILTER(C:C, C:C = C78))=1,""no"",""yes"")"),"no")</f>
        <v>no</v>
      </c>
    </row>
    <row r="79">
      <c r="A79" s="1" t="s">
        <v>458</v>
      </c>
      <c r="B79" s="19"/>
      <c r="C79" s="19" t="s">
        <v>464</v>
      </c>
      <c r="E79" s="24">
        <f>IFERROR(__xludf.DUMMYFUNCTION("ifna(IFNA(filter('2.1.clean'!C:C,'2.1.clean'!A:A=C79),filter('2.2.clean'!E:E,'2.2.clean'!D:D=C79)),filter('2.4.clean'!C:C,'2.4.clean'!A:A=C79))"),43615.0)</f>
        <v>43615</v>
      </c>
      <c r="F79" s="25">
        <f>IFERROR(__xludf.DUMMYFUNCTION("iferror(ifna(IFNA(filter('2.1.clean'!E:E,'2.1.clean'!A:A=C79),filter('2.2.clean'!G:G,'2.2.clean'!D:D=C79)),filter('2.4.clean'!E:E,'2.4.clean'!A:A=C79)),)"),2.4)</f>
        <v>2.4</v>
      </c>
      <c r="G79" s="24">
        <f>IFERROR(__xludf.DUMMYFUNCTION("iferror(filter('3.1.clean'!C:C,'3.1.clean'!A:A=C79),"""")"),43615.0)</f>
        <v>43615</v>
      </c>
      <c r="H79" s="23" t="b">
        <f t="shared" ref="H79:H86" si="45">if(G79="",FALSE,TRUE)</f>
        <v>1</v>
      </c>
      <c r="J79" s="25"/>
      <c r="K79" s="24" t="str">
        <f>IFERROR(__xludf.DUMMYFUNCTION("iferror(filter('3.2.clean'!C:C,'3.2.clean'!A:A=C79),"""")"),"")</f>
        <v/>
      </c>
      <c r="L79" s="25" t="b">
        <f>if(K79="",FALSE,TRUE)</f>
        <v>0</v>
      </c>
      <c r="M79" s="24">
        <f>IFERROR(__xludf.DUMMYFUNCTION("iferror(filter('3.3.clean'!C:C,'3.3.clean'!A:A=C79),"""")"),43628.0)</f>
        <v>43628</v>
      </c>
      <c r="N79" s="25" t="b">
        <f t="shared" si="23"/>
        <v>1</v>
      </c>
      <c r="O79" s="24">
        <f>IFERROR(__xludf.DUMMYFUNCTION("iferror(filter('3.4.clean'!C:C,'3.4.clean'!A:A=C79),"""")"),43790.0)</f>
        <v>43790</v>
      </c>
      <c r="P79" s="25" t="b">
        <f t="shared" si="24"/>
        <v>1</v>
      </c>
      <c r="Q79" s="24">
        <f>IFERROR(__xludf.DUMMYFUNCTION("iferror(filter('3.5.clean'!C:C,'3.5.clean'!A:A=C79),"""")"),43615.0)</f>
        <v>43615</v>
      </c>
      <c r="R79" s="23" t="b">
        <f t="shared" si="44"/>
        <v>1</v>
      </c>
      <c r="S79" s="25"/>
      <c r="V79" s="1" t="s">
        <v>64</v>
      </c>
      <c r="X79" s="23" t="str">
        <f>IFERROR(__xludf.DUMMYFUNCTION("if(COUNTA(FILTER(C:C, C:C = C79))=1,""no"",""yes"")"),"no")</f>
        <v>no</v>
      </c>
    </row>
    <row r="80">
      <c r="A80" s="46" t="s">
        <v>465</v>
      </c>
      <c r="B80" s="19"/>
      <c r="C80" s="19" t="s">
        <v>395</v>
      </c>
      <c r="D80" s="61" t="str">
        <f t="shared" ref="D80:D81" si="46">if(or(I80=1,J80=1,S80=1),"pos","")</f>
        <v/>
      </c>
      <c r="E80" s="62">
        <f>IFERROR(__xludf.DUMMYFUNCTION("ifna(IFNA(filter('2.1.clean'!C:C,'2.1.clean'!A:A=C80),filter('2.2.clean'!E:E,'2.2.clean'!D:D=C80)),filter('2.4.clean'!C:C,'2.4.clean'!A:A=C80))"),43615.0)</f>
        <v>43615</v>
      </c>
      <c r="F80" s="63">
        <f>IFERROR(__xludf.DUMMYFUNCTION("iferror(ifna(IFNA(filter('2.1.clean'!E:E,'2.1.clean'!A:A=C80),filter('2.2.clean'!G:G,'2.2.clean'!D:D=C80)),filter('2.4.clean'!E:E,'2.4.clean'!A:A=C80)),)"),2.1)</f>
        <v>2.1</v>
      </c>
      <c r="G80" s="59" t="str">
        <f>IFERROR(__xludf.DUMMYFUNCTION("iferror(filter('3.1.clean'!C:C,'3.1.clean'!A:A=C80),"""")"),"")</f>
        <v/>
      </c>
      <c r="H80" s="58" t="b">
        <f t="shared" si="45"/>
        <v>0</v>
      </c>
      <c r="I80" s="64" t="str">
        <f>IFERROR(__xludf.DUMMYFUNCTION("iferror(filter('3.1.clean'!G:G,'3.1.clean'!A:A=C80),"""")"),"")</f>
        <v/>
      </c>
      <c r="J80" s="63" t="str">
        <f>IFERROR(__xludf.DUMMYFUNCTION("iferror(filter('3.1.clean'!I:I,'3.1.clean'!A:A=C80),"""")"),"")</f>
        <v/>
      </c>
      <c r="K80" s="61"/>
      <c r="L80" s="65"/>
      <c r="M80" s="62" t="str">
        <f>IFERROR(__xludf.DUMMYFUNCTION("iferror(filter('3.3.clean'!C:C,'3.3.clean'!A:A=C80),"""")"),"")</f>
        <v/>
      </c>
      <c r="N80" s="60" t="b">
        <f t="shared" si="23"/>
        <v>0</v>
      </c>
      <c r="O80" s="62" t="str">
        <f>IFERROR(__xludf.DUMMYFUNCTION("iferror(filter('3.4.clean'!C:C,'3.4.clean'!A:A=C80),"""")"),"")</f>
        <v/>
      </c>
      <c r="P80" s="60" t="b">
        <f t="shared" si="24"/>
        <v>0</v>
      </c>
      <c r="Q80" s="66" t="str">
        <f>IFERROR(__xludf.DUMMYFUNCTION("iferror(filter('3.5.clean'!C:C,'3.5.clean'!A:A=C80),"""")"),"")</f>
        <v/>
      </c>
      <c r="R80" s="58" t="b">
        <f t="shared" si="44"/>
        <v>0</v>
      </c>
      <c r="S80" s="67" t="str">
        <f>IFERROR(__xludf.DUMMYFUNCTION("iferror(filter('3.5.clean'!H:H,'3.5.clean'!A:A=C80),"""")"),"")</f>
        <v/>
      </c>
      <c r="T80" s="39"/>
      <c r="U80" s="39"/>
      <c r="V80" s="46" t="s">
        <v>64</v>
      </c>
      <c r="W80" s="23" t="b">
        <f t="shared" ref="W80:W81" si="47">if(AND(H80=TRUE,N80=TRUE,P80=TRUE),TRUE,FALSE)</f>
        <v>0</v>
      </c>
      <c r="X80" s="39" t="str">
        <f>IFERROR(__xludf.DUMMYFUNCTION("if(COUNTA(FILTER(C:C, C:C = C80))=1,""no"",""yes"")"),"no")</f>
        <v>no</v>
      </c>
    </row>
    <row r="81">
      <c r="A81" s="1" t="s">
        <v>465</v>
      </c>
      <c r="B81" s="19"/>
      <c r="C81" s="19" t="s">
        <v>467</v>
      </c>
      <c r="D81" s="58" t="str">
        <f t="shared" si="46"/>
        <v/>
      </c>
      <c r="E81" s="59">
        <f>IFERROR(__xludf.DUMMYFUNCTION("ifna(IFNA(filter('2.1.clean'!C:C,'2.1.clean'!A:A=C81),filter('2.2.clean'!E:E,'2.2.clean'!D:D=C81)),filter('2.4.clean'!C:C,'2.4.clean'!A:A=C81))"),43619.0)</f>
        <v>43619</v>
      </c>
      <c r="F81" s="60">
        <f>IFERROR(__xludf.DUMMYFUNCTION("iferror(ifna(IFNA(filter('2.1.clean'!E:E,'2.1.clean'!A:A=C81),filter('2.2.clean'!G:G,'2.2.clean'!D:D=C81)),filter('2.4.clean'!E:E,'2.4.clean'!A:A=C81)),)"),2.1)</f>
        <v>2.1</v>
      </c>
      <c r="G81" s="59">
        <f>IFERROR(__xludf.DUMMYFUNCTION("iferror(filter('3.1.clean'!C:C,'3.1.clean'!A:A=C81),"""")"),43619.0)</f>
        <v>43619</v>
      </c>
      <c r="H81" s="58" t="b">
        <f t="shared" si="45"/>
        <v>1</v>
      </c>
      <c r="I81" s="58">
        <f>IFERROR(__xludf.DUMMYFUNCTION("iferror(filter('3.1.clean'!G:G,'3.1.clean'!A:A=C81),"""")"),0.0)</f>
        <v>0</v>
      </c>
      <c r="J81" s="60">
        <f>IFERROR(__xludf.DUMMYFUNCTION("iferror(filter('3.1.clean'!I:I,'3.1.clean'!A:A=C81),"""")"),0.0)</f>
        <v>0</v>
      </c>
      <c r="K81" s="58"/>
      <c r="L81" s="60"/>
      <c r="M81" s="59">
        <f>IFERROR(__xludf.DUMMYFUNCTION("iferror(filter('3.3.clean'!C:C,'3.3.clean'!A:A=C81),"""")"),43669.0)</f>
        <v>43669</v>
      </c>
      <c r="N81" s="60" t="b">
        <f t="shared" si="23"/>
        <v>1</v>
      </c>
      <c r="O81" s="59">
        <f>IFERROR(__xludf.DUMMYFUNCTION("iferror(filter('3.4.clean'!C:C,'3.4.clean'!A:A=C81),"""")"),43789.0)</f>
        <v>43789</v>
      </c>
      <c r="P81" s="60" t="b">
        <f t="shared" si="24"/>
        <v>1</v>
      </c>
      <c r="Q81" s="59" t="str">
        <f>IFERROR(__xludf.DUMMYFUNCTION("iferror(filter('3.5.clean'!C:C,'3.5.clean'!A:A=C81),"""")"),"")</f>
        <v/>
      </c>
      <c r="R81" s="58" t="b">
        <f t="shared" si="44"/>
        <v>0</v>
      </c>
      <c r="S81" s="4" t="str">
        <f>IFERROR(__xludf.DUMMYFUNCTION("iferror(filter('3.5.clean'!H:H,'3.5.clean'!A:A=C81),"""")"),"")</f>
        <v/>
      </c>
      <c r="U81" s="23"/>
      <c r="V81" s="1" t="s">
        <v>64</v>
      </c>
      <c r="W81" s="23" t="b">
        <f t="shared" si="47"/>
        <v>1</v>
      </c>
      <c r="X81" s="23" t="str">
        <f>IFERROR(__xludf.DUMMYFUNCTION("if(COUNTA(FILTER(C:C, C:C = C81))=1,""no"",""yes"")"),"no")</f>
        <v>no</v>
      </c>
    </row>
    <row r="82">
      <c r="A82" s="1" t="s">
        <v>465</v>
      </c>
      <c r="B82" s="19"/>
      <c r="C82" s="19" t="s">
        <v>468</v>
      </c>
      <c r="E82" s="24">
        <f>IFERROR(__xludf.DUMMYFUNCTION("ifna(IFNA(filter('2.1.clean'!C:C,'2.1.clean'!A:A=C82),filter('2.2.clean'!E:E,'2.2.clean'!D:D=C82)),filter('2.4.clean'!C:C,'2.4.clean'!A:A=C82))"),43619.0)</f>
        <v>43619</v>
      </c>
      <c r="F82" s="25">
        <f>IFERROR(__xludf.DUMMYFUNCTION("iferror(ifna(IFNA(filter('2.1.clean'!E:E,'2.1.clean'!A:A=C82),filter('2.2.clean'!G:G,'2.2.clean'!D:D=C82)),filter('2.4.clean'!E:E,'2.4.clean'!A:A=C82)),)"),2.4)</f>
        <v>2.4</v>
      </c>
      <c r="G82" s="24">
        <f>IFERROR(__xludf.DUMMYFUNCTION("iferror(filter('3.1.clean'!C:C,'3.1.clean'!A:A=C82),"""")"),43619.0)</f>
        <v>43619</v>
      </c>
      <c r="H82" s="23" t="b">
        <f t="shared" si="45"/>
        <v>1</v>
      </c>
      <c r="J82" s="25"/>
      <c r="K82" s="24" t="str">
        <f>IFERROR(__xludf.DUMMYFUNCTION("iferror(filter('3.2.clean'!C:C,'3.2.clean'!A:A=C82),"""")"),"")</f>
        <v/>
      </c>
      <c r="L82" s="25" t="b">
        <f t="shared" ref="L82:L86" si="48">if(K82="",FALSE,TRUE)</f>
        <v>0</v>
      </c>
      <c r="M82" s="24">
        <f>IFERROR(__xludf.DUMMYFUNCTION("iferror(filter('3.3.clean'!C:C,'3.3.clean'!A:A=C82),"""")"),43628.0)</f>
        <v>43628</v>
      </c>
      <c r="N82" s="25" t="b">
        <f t="shared" si="23"/>
        <v>1</v>
      </c>
      <c r="O82" s="24">
        <f>IFERROR(__xludf.DUMMYFUNCTION("iferror(filter('3.4.clean'!C:C,'3.4.clean'!A:A=C82),"""")"),43581.0)</f>
        <v>43581</v>
      </c>
      <c r="P82" s="25" t="b">
        <f t="shared" si="24"/>
        <v>1</v>
      </c>
      <c r="Q82" s="24">
        <f>IFERROR(__xludf.DUMMYFUNCTION("iferror(filter('3.5.clean'!C:C,'3.5.clean'!A:A=C82),"""")"),43619.0)</f>
        <v>43619</v>
      </c>
      <c r="R82" s="23" t="b">
        <f t="shared" si="44"/>
        <v>1</v>
      </c>
      <c r="S82" s="25"/>
      <c r="U82" s="23"/>
      <c r="V82" s="1" t="s">
        <v>64</v>
      </c>
      <c r="X82" s="23" t="str">
        <f>IFERROR(__xludf.DUMMYFUNCTION("if(COUNTA(FILTER(C:C, C:C = C82))=1,""no"",""yes"")"),"no")</f>
        <v>no</v>
      </c>
    </row>
    <row r="83">
      <c r="A83" s="1"/>
      <c r="B83" s="27"/>
      <c r="C83" s="27" t="s">
        <v>470</v>
      </c>
      <c r="D83" s="24"/>
      <c r="E83" s="24">
        <f>IFERROR(__xludf.DUMMYFUNCTION("ifna(IFNA(filter('2.1.clean'!C:C,'2.1.clean'!A:A=C83),filter('2.2.clean'!E:E,'2.2.clean'!D:D=C83)),filter('2.4.clean'!C:C,'2.4.clean'!A:A=C83))"),43619.0)</f>
        <v>43619</v>
      </c>
      <c r="F83" s="25">
        <f>IFERROR(__xludf.DUMMYFUNCTION("iferror(ifna(IFNA(filter('2.1.clean'!E:E,'2.1.clean'!A:A=C83),filter('2.2.clean'!G:G,'2.2.clean'!D:D=C83)),filter('2.4.clean'!E:E,'2.4.clean'!A:A=C83)),)"),2.1)</f>
        <v>2.1</v>
      </c>
      <c r="G83" s="24">
        <f>IFERROR(__xludf.DUMMYFUNCTION("iferror(filter('3.1.clean'!C:C,'3.1.clean'!A:A=C83),"""")"),43619.0)</f>
        <v>43619</v>
      </c>
      <c r="H83" s="23" t="b">
        <f t="shared" si="45"/>
        <v>1</v>
      </c>
      <c r="J83" s="25"/>
      <c r="K83" s="24">
        <f>IFERROR(__xludf.DUMMYFUNCTION("iferror(filter('3.2.clean'!C:C,'3.2.clean'!A:A=C83),"""")"),43619.0)</f>
        <v>43619</v>
      </c>
      <c r="L83" s="25" t="b">
        <f t="shared" si="48"/>
        <v>1</v>
      </c>
      <c r="M83" s="24">
        <f>IFERROR(__xludf.DUMMYFUNCTION("iferror(filter('3.3.clean'!C:C,'3.3.clean'!A:A=C83),"""")"),43621.0)</f>
        <v>43621</v>
      </c>
      <c r="N83" s="25" t="b">
        <f t="shared" si="23"/>
        <v>1</v>
      </c>
      <c r="O83" s="24">
        <f>IFERROR(__xludf.DUMMYFUNCTION("iferror(filter('3.4.clean'!C:C,'3.4.clean'!A:A=C83),"""")"),43654.0)</f>
        <v>43654</v>
      </c>
      <c r="P83" s="25" t="b">
        <f t="shared" si="24"/>
        <v>1</v>
      </c>
      <c r="Q83" s="24"/>
      <c r="S83" s="25"/>
      <c r="U83" s="23"/>
      <c r="V83" s="1" t="s">
        <v>83</v>
      </c>
      <c r="W83" s="23" t="b">
        <f t="shared" ref="W83:W84" si="49">IF(and(H83=TRUE,L83=TRUE,N83=TRUE,P83=TRUE),TRUE,FALSE)</f>
        <v>1</v>
      </c>
      <c r="X83" s="23" t="str">
        <f>IFERROR(__xludf.DUMMYFUNCTION("if(COUNTA(FILTER(C:C, C:C = C83))=1,""no"",""yes"")"),"no")</f>
        <v>no</v>
      </c>
    </row>
    <row r="84">
      <c r="A84" s="1"/>
      <c r="B84" s="27"/>
      <c r="C84" s="27" t="s">
        <v>471</v>
      </c>
      <c r="D84" s="24"/>
      <c r="E84" s="24">
        <f>IFERROR(__xludf.DUMMYFUNCTION("ifna(IFNA(filter('2.1.clean'!C:C,'2.1.clean'!A:A=C84),filter('2.2.clean'!E:E,'2.2.clean'!D:D=C84)),filter('2.4.clean'!C:C,'2.4.clean'!A:A=C84))"),43619.0)</f>
        <v>43619</v>
      </c>
      <c r="F84" s="25">
        <f>IFERROR(__xludf.DUMMYFUNCTION("iferror(ifna(IFNA(filter('2.1.clean'!E:E,'2.1.clean'!A:A=C84),filter('2.2.clean'!G:G,'2.2.clean'!D:D=C84)),filter('2.4.clean'!E:E,'2.4.clean'!A:A=C84)),)"),2.1)</f>
        <v>2.1</v>
      </c>
      <c r="G84" s="24">
        <f>IFERROR(__xludf.DUMMYFUNCTION("iferror(filter('3.1.clean'!C:C,'3.1.clean'!A:A=C84),"""")"),43619.0)</f>
        <v>43619</v>
      </c>
      <c r="H84" s="23" t="b">
        <f t="shared" si="45"/>
        <v>1</v>
      </c>
      <c r="J84" s="25"/>
      <c r="K84" s="24">
        <f>IFERROR(__xludf.DUMMYFUNCTION("iferror(filter('3.2.clean'!C:C,'3.2.clean'!A:A=C84),"""")"),43619.0)</f>
        <v>43619</v>
      </c>
      <c r="L84" s="25" t="b">
        <f t="shared" si="48"/>
        <v>1</v>
      </c>
      <c r="M84" s="24">
        <f>IFERROR(__xludf.DUMMYFUNCTION("iferror(filter('3.3.clean'!C:C,'3.3.clean'!A:A=C84),"""")"),43621.0)</f>
        <v>43621</v>
      </c>
      <c r="N84" s="25" t="b">
        <f t="shared" si="23"/>
        <v>1</v>
      </c>
      <c r="O84" s="24">
        <f>IFERROR(__xludf.DUMMYFUNCTION("iferror(filter('3.4.clean'!C:C,'3.4.clean'!A:A=C84),"""")"),43654.0)</f>
        <v>43654</v>
      </c>
      <c r="P84" s="25" t="b">
        <f t="shared" si="24"/>
        <v>1</v>
      </c>
      <c r="Q84" s="24"/>
      <c r="S84" s="25"/>
      <c r="U84" s="23"/>
      <c r="V84" s="1" t="s">
        <v>83</v>
      </c>
      <c r="W84" s="23" t="b">
        <f t="shared" si="49"/>
        <v>1</v>
      </c>
      <c r="X84" s="23" t="str">
        <f>IFERROR(__xludf.DUMMYFUNCTION("if(COUNTA(FILTER(C:C, C:C = C84))=1,""no"",""yes"")"),"no")</f>
        <v>no</v>
      </c>
    </row>
    <row r="85">
      <c r="A85" s="1"/>
      <c r="B85" s="27"/>
      <c r="C85" s="27" t="s">
        <v>473</v>
      </c>
      <c r="D85" s="24"/>
      <c r="E85" s="24">
        <f>IFERROR(__xludf.DUMMYFUNCTION("ifna(IFNA(filter('2.1.clean'!C:C,'2.1.clean'!A:A=C85),filter('2.2.clean'!E:E,'2.2.clean'!D:D=C85)),filter('2.4.clean'!C:C,'2.4.clean'!A:A=C85))"),43619.0)</f>
        <v>43619</v>
      </c>
      <c r="F85" s="25">
        <f>IFERROR(__xludf.DUMMYFUNCTION("iferror(ifna(IFNA(filter('2.1.clean'!E:E,'2.1.clean'!A:A=C85),filter('2.2.clean'!G:G,'2.2.clean'!D:D=C85)),filter('2.4.clean'!E:E,'2.4.clean'!A:A=C85)),)"),2.1)</f>
        <v>2.1</v>
      </c>
      <c r="G85" s="24">
        <f>IFERROR(__xludf.DUMMYFUNCTION("iferror(filter('3.1.clean'!C:C,'3.1.clean'!A:A=C85),"""")"),43619.0)</f>
        <v>43619</v>
      </c>
      <c r="H85" s="23" t="b">
        <f t="shared" si="45"/>
        <v>1</v>
      </c>
      <c r="J85" s="25"/>
      <c r="K85" s="24">
        <f>IFERROR(__xludf.DUMMYFUNCTION("iferror(filter('3.2.clean'!C:C,'3.2.clean'!A:A=C85),"""")"),43619.0)</f>
        <v>43619</v>
      </c>
      <c r="L85" s="25" t="b">
        <f t="shared" si="48"/>
        <v>1</v>
      </c>
      <c r="M85" s="24" t="str">
        <f>IFERROR(__xludf.DUMMYFUNCTION("iferror(filter('3.3.clean'!C:C,'3.3.clean'!A:A=C85),"""")"),"#REF!")</f>
        <v>#REF!</v>
      </c>
      <c r="N85" s="25" t="str">
        <f t="shared" si="23"/>
        <v>#REF!</v>
      </c>
      <c r="O85" s="24">
        <f>IFERROR(__xludf.DUMMYFUNCTION("iferror(filter('3.4.clean'!C:C,'3.4.clean'!A:A=C85),"""")"),43654.0)</f>
        <v>43654</v>
      </c>
      <c r="P85" s="25" t="b">
        <f t="shared" si="24"/>
        <v>1</v>
      </c>
      <c r="Q85" s="24"/>
      <c r="S85" s="25"/>
      <c r="T85" s="1" t="s">
        <v>474</v>
      </c>
      <c r="U85" s="23"/>
      <c r="V85" s="1" t="s">
        <v>83</v>
      </c>
      <c r="W85" s="1" t="b">
        <v>1</v>
      </c>
      <c r="X85" s="23" t="str">
        <f>IFERROR(__xludf.DUMMYFUNCTION("if(COUNTA(FILTER(C:C, C:C = C85))=1,""no"",""yes"")"),"no")</f>
        <v>no</v>
      </c>
    </row>
    <row r="86">
      <c r="A86" s="1"/>
      <c r="B86" s="27"/>
      <c r="C86" s="27" t="s">
        <v>475</v>
      </c>
      <c r="D86" s="24"/>
      <c r="E86" s="24">
        <f>IFERROR(__xludf.DUMMYFUNCTION("ifna(IFNA(filter('2.1.clean'!C:C,'2.1.clean'!A:A=C86),filter('2.2.clean'!E:E,'2.2.clean'!D:D=C86)),filter('2.4.clean'!C:C,'2.4.clean'!A:A=C86))"),43619.0)</f>
        <v>43619</v>
      </c>
      <c r="F86" s="25">
        <f>IFERROR(__xludf.DUMMYFUNCTION("iferror(ifna(IFNA(filter('2.1.clean'!E:E,'2.1.clean'!A:A=C86),filter('2.2.clean'!G:G,'2.2.clean'!D:D=C86)),filter('2.4.clean'!E:E,'2.4.clean'!A:A=C86)),)"),2.1)</f>
        <v>2.1</v>
      </c>
      <c r="G86" s="24">
        <f>IFERROR(__xludf.DUMMYFUNCTION("iferror(filter('3.1.clean'!C:C,'3.1.clean'!A:A=C86),"""")"),43619.0)</f>
        <v>43619</v>
      </c>
      <c r="H86" s="23" t="b">
        <f t="shared" si="45"/>
        <v>1</v>
      </c>
      <c r="J86" s="25"/>
      <c r="K86" s="24">
        <f>IFERROR(__xludf.DUMMYFUNCTION("iferror(filter('3.2.clean'!C:C,'3.2.clean'!A:A=C86),"""")"),43619.0)</f>
        <v>43619</v>
      </c>
      <c r="L86" s="25" t="b">
        <f t="shared" si="48"/>
        <v>1</v>
      </c>
      <c r="M86" s="24">
        <f>IFERROR(__xludf.DUMMYFUNCTION("iferror(filter('3.3.clean'!C:C,'3.3.clean'!A:A=C86),"""")"),43628.0)</f>
        <v>43628</v>
      </c>
      <c r="N86" s="25" t="b">
        <f t="shared" si="23"/>
        <v>1</v>
      </c>
      <c r="O86" s="24">
        <f>IFERROR(__xludf.DUMMYFUNCTION("iferror(filter('3.4.clean'!C:C,'3.4.clean'!A:A=C86),"""")"),43654.0)</f>
        <v>43654</v>
      </c>
      <c r="P86" s="25" t="b">
        <f t="shared" si="24"/>
        <v>1</v>
      </c>
      <c r="Q86" s="24"/>
      <c r="S86" s="25"/>
      <c r="U86" s="23"/>
      <c r="V86" s="1" t="s">
        <v>83</v>
      </c>
      <c r="W86" s="23" t="b">
        <f>IF(and(H86=TRUE,L86=TRUE,N86=TRUE,P86=TRUE),TRUE,FALSE)</f>
        <v>1</v>
      </c>
      <c r="X86" s="23" t="str">
        <f>IFERROR(__xludf.DUMMYFUNCTION("if(COUNTA(FILTER(C:C, C:C = C86))=1,""no"",""yes"")"),"no")</f>
        <v>no</v>
      </c>
    </row>
    <row r="87">
      <c r="A87" s="1" t="s">
        <v>476</v>
      </c>
      <c r="B87" s="19"/>
      <c r="C87" s="19" t="s">
        <v>477</v>
      </c>
      <c r="E87" s="24">
        <f>IFERROR(__xludf.DUMMYFUNCTION("ifna(IFNA(filter('2.1.clean'!C:C,'2.1.clean'!A:A=C87),filter('2.2.clean'!E:E,'2.2.clean'!D:D=C87)),filter('2.4.clean'!C:C,'2.4.clean'!A:A=C87))"),43620.0)</f>
        <v>43620</v>
      </c>
      <c r="F87" s="25">
        <f>IFERROR(__xludf.DUMMYFUNCTION("iferror(ifna(IFNA(filter('2.1.clean'!E:E,'2.1.clean'!A:A=C87),filter('2.2.clean'!G:G,'2.2.clean'!D:D=C87)),filter('2.4.clean'!E:E,'2.4.clean'!A:A=C87)),)"),2.4)</f>
        <v>2.4</v>
      </c>
      <c r="G87" s="24"/>
      <c r="J87" s="25"/>
      <c r="K87" s="24"/>
      <c r="L87" s="25"/>
      <c r="M87" s="24">
        <f>IFERROR(__xludf.DUMMYFUNCTION("iferror(filter('3.3.clean'!C:C,'3.3.clean'!A:A=C87),"""")"),43622.0)</f>
        <v>43622</v>
      </c>
      <c r="N87" s="25" t="b">
        <f t="shared" si="23"/>
        <v>1</v>
      </c>
      <c r="O87" s="24" t="str">
        <f>IFERROR(__xludf.DUMMYFUNCTION("iferror(filter('3.4.clean'!C:C,'3.4.clean'!A:A=C87),"""")"),"")</f>
        <v/>
      </c>
      <c r="P87" s="25" t="b">
        <f t="shared" si="24"/>
        <v>0</v>
      </c>
      <c r="Q87" s="24">
        <f>IFERROR(__xludf.DUMMYFUNCTION("iferror(filter('3.5.clean'!C:C,'3.5.clean'!A:A=C87),"""")"),43620.0)</f>
        <v>43620</v>
      </c>
      <c r="R87" s="23" t="b">
        <f t="shared" ref="R87:R92" si="50">if(Q87="",FALSE,TRUE)</f>
        <v>1</v>
      </c>
      <c r="S87" s="25"/>
      <c r="U87" s="1" t="s">
        <v>382</v>
      </c>
      <c r="V87" s="1" t="s">
        <v>64</v>
      </c>
      <c r="W87" s="23" t="b">
        <f t="shared" ref="W87:W92" si="51">IF(and(R87=TRUE,N87=TRUE,P87=TRUE),TRUE,FALSE)</f>
        <v>0</v>
      </c>
      <c r="X87" s="23" t="str">
        <f>IFERROR(__xludf.DUMMYFUNCTION("if(COUNTA(FILTER(C:C, C:C = C87))=1,""no"",""yes"")"),"no")</f>
        <v>no</v>
      </c>
    </row>
    <row r="88">
      <c r="A88" s="1" t="s">
        <v>476</v>
      </c>
      <c r="B88" s="19"/>
      <c r="C88" s="19" t="s">
        <v>479</v>
      </c>
      <c r="E88" s="24">
        <v>43620.0</v>
      </c>
      <c r="F88" s="25" t="str">
        <f>IFERROR(__xludf.DUMMYFUNCTION("iferror(ifna(IFNA(filter('2.1.clean'!E:E,'2.1.clean'!A:A=C88),filter('2.2.clean'!G:G,'2.2.clean'!D:D=C88)),filter('2.4.clean'!E:E,'2.4.clean'!A:A=C88)),)"),"")</f>
        <v/>
      </c>
      <c r="G88" s="24"/>
      <c r="J88" s="25"/>
      <c r="K88" s="24"/>
      <c r="L88" s="25"/>
      <c r="M88" s="24" t="str">
        <f>IFERROR(__xludf.DUMMYFUNCTION("iferror(filter('3.3.clean'!C:C,'3.3.clean'!A:A=C88),"""")"),"")</f>
        <v/>
      </c>
      <c r="N88" s="25" t="b">
        <f t="shared" si="23"/>
        <v>0</v>
      </c>
      <c r="O88" s="24">
        <f>IFERROR(__xludf.DUMMYFUNCTION("iferror(filter('3.4.clean'!C:C,'3.4.clean'!A:A=C88),"""")"),43623.0)</f>
        <v>43623</v>
      </c>
      <c r="P88" s="25" t="b">
        <f t="shared" si="24"/>
        <v>1</v>
      </c>
      <c r="Q88" s="24" t="str">
        <f>IFERROR(__xludf.DUMMYFUNCTION("iferror(filter('3.5.clean'!C:C,'3.5.clean'!A:A=C88),"""")"),"")</f>
        <v/>
      </c>
      <c r="R88" s="23" t="b">
        <f t="shared" si="50"/>
        <v>0</v>
      </c>
      <c r="S88" s="25"/>
      <c r="V88" s="1" t="s">
        <v>64</v>
      </c>
      <c r="W88" s="23" t="b">
        <f t="shared" si="51"/>
        <v>0</v>
      </c>
      <c r="X88" s="23" t="str">
        <f>IFERROR(__xludf.DUMMYFUNCTION("if(COUNTA(FILTER(C:C, C:C = C88))=1,""no"",""yes"")"),"no")</f>
        <v>no</v>
      </c>
    </row>
    <row r="89">
      <c r="A89" s="1" t="s">
        <v>476</v>
      </c>
      <c r="B89" s="19"/>
      <c r="C89" s="19" t="s">
        <v>480</v>
      </c>
      <c r="E89" s="24">
        <v>43620.0</v>
      </c>
      <c r="F89" s="25" t="str">
        <f>IFERROR(__xludf.DUMMYFUNCTION("iferror(ifna(IFNA(filter('2.1.clean'!E:E,'2.1.clean'!A:A=C89),filter('2.2.clean'!G:G,'2.2.clean'!D:D=C89)),filter('2.4.clean'!E:E,'2.4.clean'!A:A=C89)),)"),"")</f>
        <v/>
      </c>
      <c r="G89" s="24"/>
      <c r="J89" s="25"/>
      <c r="K89" s="24"/>
      <c r="L89" s="25"/>
      <c r="M89" s="24" t="str">
        <f>IFERROR(__xludf.DUMMYFUNCTION("iferror(filter('3.3.clean'!C:C,'3.3.clean'!A:A=C89),"""")"),"")</f>
        <v/>
      </c>
      <c r="N89" s="25" t="b">
        <f t="shared" si="23"/>
        <v>0</v>
      </c>
      <c r="O89" s="24">
        <f>IFERROR(__xludf.DUMMYFUNCTION("iferror(filter('3.4.clean'!C:C,'3.4.clean'!A:A=C89),"""")"),43623.0)</f>
        <v>43623</v>
      </c>
      <c r="P89" s="25" t="b">
        <f t="shared" si="24"/>
        <v>1</v>
      </c>
      <c r="Q89" s="24" t="str">
        <f>IFERROR(__xludf.DUMMYFUNCTION("iferror(filter('3.5.clean'!C:C,'3.5.clean'!A:A=C89),"""")"),"")</f>
        <v/>
      </c>
      <c r="R89" s="23" t="b">
        <f t="shared" si="50"/>
        <v>0</v>
      </c>
      <c r="S89" s="25"/>
      <c r="V89" s="1" t="s">
        <v>64</v>
      </c>
      <c r="W89" s="23" t="b">
        <f t="shared" si="51"/>
        <v>0</v>
      </c>
      <c r="X89" s="23" t="str">
        <f>IFERROR(__xludf.DUMMYFUNCTION("if(COUNTA(FILTER(C:C, C:C = C89))=1,""no"",""yes"")"),"no")</f>
        <v>no</v>
      </c>
    </row>
    <row r="90">
      <c r="A90" s="1" t="s">
        <v>476</v>
      </c>
      <c r="B90" s="19"/>
      <c r="C90" s="19" t="s">
        <v>481</v>
      </c>
      <c r="E90" s="24">
        <f>IFERROR(__xludf.DUMMYFUNCTION("ifna(IFNA(filter('2.1.clean'!C:C,'2.1.clean'!A:A=C90),filter('2.2.clean'!E:E,'2.2.clean'!D:D=C90)),filter('2.4.clean'!C:C,'2.4.clean'!A:A=C90))"),43620.0)</f>
        <v>43620</v>
      </c>
      <c r="F90" s="25">
        <f>IFERROR(__xludf.DUMMYFUNCTION("iferror(ifna(IFNA(filter('2.1.clean'!E:E,'2.1.clean'!A:A=C90),filter('2.2.clean'!G:G,'2.2.clean'!D:D=C90)),filter('2.4.clean'!E:E,'2.4.clean'!A:A=C90)),)"),2.4)</f>
        <v>2.4</v>
      </c>
      <c r="G90" s="24"/>
      <c r="J90" s="25"/>
      <c r="K90" s="24"/>
      <c r="L90" s="25"/>
      <c r="M90" s="24">
        <f>IFERROR(__xludf.DUMMYFUNCTION("iferror(filter('3.3.clean'!C:C,'3.3.clean'!A:A=C90),"""")"),43622.0)</f>
        <v>43622</v>
      </c>
      <c r="N90" s="25" t="b">
        <f t="shared" si="23"/>
        <v>1</v>
      </c>
      <c r="O90" s="24" t="str">
        <f>IFERROR(__xludf.DUMMYFUNCTION("iferror(filter('3.4.clean'!C:C,'3.4.clean'!A:A=C90),"""")"),"")</f>
        <v/>
      </c>
      <c r="P90" s="25" t="b">
        <f t="shared" si="24"/>
        <v>0</v>
      </c>
      <c r="Q90" s="24">
        <f>IFERROR(__xludf.DUMMYFUNCTION("iferror(filter('3.5.clean'!C:C,'3.5.clean'!A:A=C90),"""")"),43620.0)</f>
        <v>43620</v>
      </c>
      <c r="R90" s="23" t="b">
        <f t="shared" si="50"/>
        <v>1</v>
      </c>
      <c r="S90" s="25"/>
      <c r="U90" s="1" t="s">
        <v>382</v>
      </c>
      <c r="V90" s="1" t="s">
        <v>64</v>
      </c>
      <c r="W90" s="23" t="b">
        <f t="shared" si="51"/>
        <v>0</v>
      </c>
      <c r="X90" s="23" t="str">
        <f>IFERROR(__xludf.DUMMYFUNCTION("if(COUNTA(FILTER(C:C, C:C = C90))=1,""no"",""yes"")"),"no")</f>
        <v>no</v>
      </c>
    </row>
    <row r="91">
      <c r="A91" s="1" t="s">
        <v>476</v>
      </c>
      <c r="B91" s="19"/>
      <c r="C91" s="19" t="s">
        <v>482</v>
      </c>
      <c r="E91" s="24">
        <v>43620.0</v>
      </c>
      <c r="F91" s="25" t="str">
        <f>IFERROR(__xludf.DUMMYFUNCTION("iferror(ifna(IFNA(filter('2.1.clean'!E:E,'2.1.clean'!A:A=C91),filter('2.2.clean'!G:G,'2.2.clean'!D:D=C91)),filter('2.4.clean'!E:E,'2.4.clean'!A:A=C91)),)"),"")</f>
        <v/>
      </c>
      <c r="G91" s="24"/>
      <c r="J91" s="25"/>
      <c r="K91" s="24"/>
      <c r="L91" s="25"/>
      <c r="M91" s="24" t="str">
        <f>IFERROR(__xludf.DUMMYFUNCTION("iferror(filter('3.3.clean'!C:C,'3.3.clean'!A:A=C91),"""")"),"")</f>
        <v/>
      </c>
      <c r="N91" s="25" t="b">
        <f t="shared" si="23"/>
        <v>0</v>
      </c>
      <c r="O91" s="24">
        <f>IFERROR(__xludf.DUMMYFUNCTION("iferror(filter('3.4.clean'!C:C,'3.4.clean'!A:A=C91),"""")"),43623.0)</f>
        <v>43623</v>
      </c>
      <c r="P91" s="25" t="b">
        <f t="shared" si="24"/>
        <v>1</v>
      </c>
      <c r="Q91" s="24" t="str">
        <f>IFERROR(__xludf.DUMMYFUNCTION("iferror(filter('3.5.clean'!C:C,'3.5.clean'!A:A=C91),"""")"),"")</f>
        <v/>
      </c>
      <c r="R91" s="23" t="b">
        <f t="shared" si="50"/>
        <v>0</v>
      </c>
      <c r="S91" s="25"/>
      <c r="V91" s="1" t="s">
        <v>64</v>
      </c>
      <c r="W91" s="23" t="b">
        <f t="shared" si="51"/>
        <v>0</v>
      </c>
      <c r="X91" s="23" t="str">
        <f>IFERROR(__xludf.DUMMYFUNCTION("if(COUNTA(FILTER(C:C, C:C = C91))=1,""no"",""yes"")"),"no")</f>
        <v>no</v>
      </c>
    </row>
    <row r="92">
      <c r="A92" s="1" t="s">
        <v>476</v>
      </c>
      <c r="B92" s="19"/>
      <c r="C92" s="19" t="s">
        <v>483</v>
      </c>
      <c r="E92" s="24">
        <v>43620.0</v>
      </c>
      <c r="F92" s="25" t="str">
        <f>IFERROR(__xludf.DUMMYFUNCTION("iferror(ifna(IFNA(filter('2.1.clean'!E:E,'2.1.clean'!A:A=C92),filter('2.2.clean'!G:G,'2.2.clean'!D:D=C92)),filter('2.4.clean'!E:E,'2.4.clean'!A:A=C92)),)"),"")</f>
        <v/>
      </c>
      <c r="G92" s="24"/>
      <c r="J92" s="25"/>
      <c r="K92" s="24"/>
      <c r="L92" s="25"/>
      <c r="M92" s="24" t="str">
        <f>IFERROR(__xludf.DUMMYFUNCTION("iferror(filter('3.3.clean'!C:C,'3.3.clean'!A:A=C92),"""")"),"")</f>
        <v/>
      </c>
      <c r="N92" s="25" t="b">
        <f t="shared" si="23"/>
        <v>0</v>
      </c>
      <c r="O92" s="24">
        <f>IFERROR(__xludf.DUMMYFUNCTION("iferror(filter('3.4.clean'!C:C,'3.4.clean'!A:A=C92),"""")"),43623.0)</f>
        <v>43623</v>
      </c>
      <c r="P92" s="25" t="b">
        <f t="shared" si="24"/>
        <v>1</v>
      </c>
      <c r="Q92" s="24" t="str">
        <f>IFERROR(__xludf.DUMMYFUNCTION("iferror(filter('3.5.clean'!C:C,'3.5.clean'!A:A=C92),"""")"),"")</f>
        <v/>
      </c>
      <c r="R92" s="23" t="b">
        <f t="shared" si="50"/>
        <v>0</v>
      </c>
      <c r="S92" s="25"/>
      <c r="V92" s="1" t="s">
        <v>64</v>
      </c>
      <c r="W92" s="23" t="b">
        <f t="shared" si="51"/>
        <v>0</v>
      </c>
      <c r="X92" s="23" t="str">
        <f>IFERROR(__xludf.DUMMYFUNCTION("if(COUNTA(FILTER(C:C, C:C = C92))=1,""no"",""yes"")"),"no")</f>
        <v>no</v>
      </c>
    </row>
    <row r="93">
      <c r="A93" s="1"/>
      <c r="B93" s="27"/>
      <c r="C93" s="27" t="s">
        <v>485</v>
      </c>
      <c r="D93" s="24"/>
      <c r="E93" s="24">
        <f>IFERROR(__xludf.DUMMYFUNCTION("ifna(IFNA(filter('2.1.clean'!C:C,'2.1.clean'!A:A=C93),filter('2.2.clean'!E:E,'2.2.clean'!D:D=C93)),filter('2.4.clean'!C:C,'2.4.clean'!A:A=C93))"),43620.0)</f>
        <v>43620</v>
      </c>
      <c r="F93" s="25">
        <f>IFERROR(__xludf.DUMMYFUNCTION("iferror(ifna(IFNA(filter('2.1.clean'!E:E,'2.1.clean'!A:A=C93),filter('2.2.clean'!G:G,'2.2.clean'!D:D=C93)),filter('2.4.clean'!E:E,'2.4.clean'!A:A=C93)),)"),2.1)</f>
        <v>2.1</v>
      </c>
      <c r="G93" s="24">
        <f>IFERROR(__xludf.DUMMYFUNCTION("iferror(filter('3.1.clean'!C:C,'3.1.clean'!A:A=C93),"""")"),43620.0)</f>
        <v>43620</v>
      </c>
      <c r="H93" s="23" t="b">
        <f t="shared" ref="H93:H98" si="52">if(G93="",FALSE,TRUE)</f>
        <v>1</v>
      </c>
      <c r="J93" s="25"/>
      <c r="K93" s="24">
        <f>IFERROR(__xludf.DUMMYFUNCTION("iferror(filter('3.2.clean'!C:C,'3.2.clean'!A:A=C93),"""")"),43620.0)</f>
        <v>43620</v>
      </c>
      <c r="L93" s="25" t="b">
        <f t="shared" ref="L93:L97" si="53">if(K93="",FALSE,TRUE)</f>
        <v>1</v>
      </c>
      <c r="M93" s="24">
        <f>IFERROR(__xludf.DUMMYFUNCTION("iferror(filter('3.3.clean'!C:C,'3.3.clean'!A:A=C93),"""")"),43628.0)</f>
        <v>43628</v>
      </c>
      <c r="N93" s="25" t="b">
        <f t="shared" si="23"/>
        <v>1</v>
      </c>
      <c r="O93" s="24">
        <f>IFERROR(__xludf.DUMMYFUNCTION("iferror(filter('3.4.clean'!C:C,'3.4.clean'!A:A=C93),"""")"),43654.0)</f>
        <v>43654</v>
      </c>
      <c r="P93" s="25" t="b">
        <f t="shared" si="24"/>
        <v>1</v>
      </c>
      <c r="Q93" s="24"/>
      <c r="S93" s="25"/>
      <c r="U93" s="23"/>
      <c r="V93" s="1" t="s">
        <v>83</v>
      </c>
      <c r="W93" s="23" t="b">
        <f t="shared" ref="W93:W97" si="54">IF(and(H93=TRUE,L93=TRUE,N93=TRUE,P93=TRUE),TRUE,FALSE)</f>
        <v>1</v>
      </c>
      <c r="X93" s="23" t="str">
        <f>IFERROR(__xludf.DUMMYFUNCTION("if(COUNTA(FILTER(C:C, C:C = C93))=1,""no"",""yes"")"),"no")</f>
        <v>no</v>
      </c>
    </row>
    <row r="94">
      <c r="A94" s="1"/>
      <c r="B94" s="27"/>
      <c r="C94" s="27" t="s">
        <v>486</v>
      </c>
      <c r="D94" s="24"/>
      <c r="E94" s="24">
        <f>IFERROR(__xludf.DUMMYFUNCTION("ifna(IFNA(filter('2.1.clean'!C:C,'2.1.clean'!A:A=C94),filter('2.2.clean'!E:E,'2.2.clean'!D:D=C94)),filter('2.4.clean'!C:C,'2.4.clean'!A:A=C94))"),43620.0)</f>
        <v>43620</v>
      </c>
      <c r="F94" s="25">
        <f>IFERROR(__xludf.DUMMYFUNCTION("iferror(ifna(IFNA(filter('2.1.clean'!E:E,'2.1.clean'!A:A=C94),filter('2.2.clean'!G:G,'2.2.clean'!D:D=C94)),filter('2.4.clean'!E:E,'2.4.clean'!A:A=C94)),)"),2.1)</f>
        <v>2.1</v>
      </c>
      <c r="G94" s="24">
        <f>IFERROR(__xludf.DUMMYFUNCTION("iferror(filter('3.1.clean'!C:C,'3.1.clean'!A:A=C94),"""")"),43620.0)</f>
        <v>43620</v>
      </c>
      <c r="H94" s="23" t="b">
        <f t="shared" si="52"/>
        <v>1</v>
      </c>
      <c r="J94" s="25"/>
      <c r="K94" s="24">
        <f>IFERROR(__xludf.DUMMYFUNCTION("iferror(filter('3.2.clean'!C:C,'3.2.clean'!A:A=C94),"""")"),43621.0)</f>
        <v>43621</v>
      </c>
      <c r="L94" s="25" t="b">
        <f t="shared" si="53"/>
        <v>1</v>
      </c>
      <c r="M94" s="24">
        <f>IFERROR(__xludf.DUMMYFUNCTION("iferror(filter('3.3.clean'!C:C,'3.3.clean'!A:A=C94),"""")"),43621.0)</f>
        <v>43621</v>
      </c>
      <c r="N94" s="25" t="b">
        <f t="shared" si="23"/>
        <v>1</v>
      </c>
      <c r="O94" s="24">
        <f>IFERROR(__xludf.DUMMYFUNCTION("iferror(filter('3.4.clean'!C:C,'3.4.clean'!A:A=C94),"""")"),43654.0)</f>
        <v>43654</v>
      </c>
      <c r="P94" s="25" t="b">
        <f t="shared" si="24"/>
        <v>1</v>
      </c>
      <c r="Q94" s="24"/>
      <c r="S94" s="25"/>
      <c r="U94" s="23"/>
      <c r="V94" s="1" t="s">
        <v>83</v>
      </c>
      <c r="W94" s="23" t="b">
        <f t="shared" si="54"/>
        <v>1</v>
      </c>
      <c r="X94" s="23" t="str">
        <f>IFERROR(__xludf.DUMMYFUNCTION("if(COUNTA(FILTER(C:C, C:C = C94))=1,""no"",""yes"")"),"no")</f>
        <v>no</v>
      </c>
    </row>
    <row r="95">
      <c r="A95" s="1"/>
      <c r="B95" s="27"/>
      <c r="C95" s="27" t="s">
        <v>488</v>
      </c>
      <c r="D95" s="24"/>
      <c r="E95" s="24">
        <f>IFERROR(__xludf.DUMMYFUNCTION("ifna(IFNA(filter('2.1.clean'!C:C,'2.1.clean'!A:A=C95),filter('2.2.clean'!E:E,'2.2.clean'!D:D=C95)),filter('2.4.clean'!C:C,'2.4.clean'!A:A=C95))"),43620.0)</f>
        <v>43620</v>
      </c>
      <c r="F95" s="25">
        <f>IFERROR(__xludf.DUMMYFUNCTION("iferror(ifna(IFNA(filter('2.1.clean'!E:E,'2.1.clean'!A:A=C95),filter('2.2.clean'!G:G,'2.2.clean'!D:D=C95)),filter('2.4.clean'!E:E,'2.4.clean'!A:A=C95)),)"),2.1)</f>
        <v>2.1</v>
      </c>
      <c r="G95" s="24">
        <f>IFERROR(__xludf.DUMMYFUNCTION("iferror(filter('3.1.clean'!C:C,'3.1.clean'!A:A=C95),"""")"),43620.0)</f>
        <v>43620</v>
      </c>
      <c r="H95" s="23" t="b">
        <f t="shared" si="52"/>
        <v>1</v>
      </c>
      <c r="J95" s="25"/>
      <c r="K95" s="24">
        <f>IFERROR(__xludf.DUMMYFUNCTION("iferror(filter('3.2.clean'!C:C,'3.2.clean'!A:A=C95),"""")"),43621.0)</f>
        <v>43621</v>
      </c>
      <c r="L95" s="25" t="b">
        <f t="shared" si="53"/>
        <v>1</v>
      </c>
      <c r="M95" s="24">
        <f>IFERROR(__xludf.DUMMYFUNCTION("iferror(filter('3.3.clean'!C:C,'3.3.clean'!A:A=C95),"""")"),43622.0)</f>
        <v>43622</v>
      </c>
      <c r="N95" s="25" t="b">
        <f t="shared" si="23"/>
        <v>1</v>
      </c>
      <c r="O95" s="24">
        <f>IFERROR(__xludf.DUMMYFUNCTION("iferror(filter('3.4.clean'!C:C,'3.4.clean'!A:A=C95),"""")"),43623.0)</f>
        <v>43623</v>
      </c>
      <c r="P95" s="25" t="b">
        <f t="shared" si="24"/>
        <v>1</v>
      </c>
      <c r="Q95" s="24">
        <f>IFERROR(__xludf.DUMMYFUNCTION("iferror(filter('3.5.clean'!C:C,'3.5.clean'!A:A=C95),"""")"),43620.0)</f>
        <v>43620</v>
      </c>
      <c r="R95" s="23" t="b">
        <f t="shared" ref="R95:R97" si="55">if(Q95="",FALSE,TRUE)</f>
        <v>1</v>
      </c>
      <c r="S95" s="25"/>
      <c r="U95" s="23"/>
      <c r="V95" s="1" t="s">
        <v>83</v>
      </c>
      <c r="W95" s="23" t="b">
        <f t="shared" si="54"/>
        <v>1</v>
      </c>
      <c r="X95" s="23" t="str">
        <f>IFERROR(__xludf.DUMMYFUNCTION("if(COUNTA(FILTER(C:C, C:C = C95))=1,""no"",""yes"")"),"no")</f>
        <v>no</v>
      </c>
    </row>
    <row r="96">
      <c r="A96" s="1"/>
      <c r="B96" s="27"/>
      <c r="C96" s="27" t="s">
        <v>489</v>
      </c>
      <c r="D96" s="24"/>
      <c r="E96" s="24">
        <f>IFERROR(__xludf.DUMMYFUNCTION("ifna(IFNA(filter('2.1.clean'!C:C,'2.1.clean'!A:A=C96),filter('2.2.clean'!E:E,'2.2.clean'!D:D=C96)),filter('2.4.clean'!C:C,'2.4.clean'!A:A=C96))"),43620.0)</f>
        <v>43620</v>
      </c>
      <c r="F96" s="25">
        <f>IFERROR(__xludf.DUMMYFUNCTION("iferror(ifna(IFNA(filter('2.1.clean'!E:E,'2.1.clean'!A:A=C96),filter('2.2.clean'!G:G,'2.2.clean'!D:D=C96)),filter('2.4.clean'!E:E,'2.4.clean'!A:A=C96)),)"),2.1)</f>
        <v>2.1</v>
      </c>
      <c r="G96" s="24" t="str">
        <f>IFERROR(__xludf.DUMMYFUNCTION("iferror(filter('3.1.clean'!C:C,'3.1.clean'!B:B=C96),"""")"),"")</f>
        <v/>
      </c>
      <c r="H96" s="23" t="b">
        <f t="shared" si="52"/>
        <v>0</v>
      </c>
      <c r="J96" s="25"/>
      <c r="K96" s="24" t="str">
        <f>IFERROR(__xludf.DUMMYFUNCTION("iferror(filter('3.2.clean'!C:C,'3.2.clean'!A:A=C96),"""")"),"#REF!")</f>
        <v>#REF!</v>
      </c>
      <c r="L96" s="25" t="str">
        <f t="shared" si="53"/>
        <v>#REF!</v>
      </c>
      <c r="M96" s="24">
        <f>IFERROR(__xludf.DUMMYFUNCTION("iferror(filter('3.3.clean'!C:C,'3.3.clean'!A:A=C96),"""")"),43622.0)</f>
        <v>43622</v>
      </c>
      <c r="N96" s="25" t="b">
        <f t="shared" si="23"/>
        <v>1</v>
      </c>
      <c r="O96" s="24" t="str">
        <f>IFERROR(__xludf.DUMMYFUNCTION("iferror(filter('3.4.clean'!C:C,'3.4.clean'!A:A=C96),"""")"),"")</f>
        <v/>
      </c>
      <c r="P96" s="25" t="b">
        <f t="shared" si="24"/>
        <v>0</v>
      </c>
      <c r="Q96" s="24">
        <f>IFERROR(__xludf.DUMMYFUNCTION("iferror(filter('3.5.clean'!C:C,'3.5.clean'!A:A=C96),"""")"),43620.0)</f>
        <v>43620</v>
      </c>
      <c r="R96" s="23" t="b">
        <f t="shared" si="55"/>
        <v>1</v>
      </c>
      <c r="S96" s="25"/>
      <c r="T96" s="1" t="s">
        <v>490</v>
      </c>
      <c r="U96" s="23" t="s">
        <v>177</v>
      </c>
      <c r="V96" s="1" t="s">
        <v>83</v>
      </c>
      <c r="W96" s="23" t="str">
        <f t="shared" si="54"/>
        <v>#REF!</v>
      </c>
      <c r="X96" s="23" t="str">
        <f>IFERROR(__xludf.DUMMYFUNCTION("if(COUNTA(FILTER(C:C, C:C = C96))=1,""no"",""yes"")"),"no")</f>
        <v>no</v>
      </c>
    </row>
    <row r="97">
      <c r="A97" s="1"/>
      <c r="B97" s="19"/>
      <c r="C97" s="19" t="s">
        <v>491</v>
      </c>
      <c r="E97" s="24">
        <v>43620.0</v>
      </c>
      <c r="F97" s="25" t="str">
        <f>IFERROR(__xludf.DUMMYFUNCTION("iferror(ifna(IFNA(filter('2.1.clean'!E:E,'2.1.clean'!A:A=C97),filter('2.2.clean'!G:G,'2.2.clean'!D:D=C97)),filter('2.4.clean'!E:E,'2.4.clean'!A:A=C97)),)"),"")</f>
        <v/>
      </c>
      <c r="G97" s="24" t="str">
        <f>IFERROR(__xludf.DUMMYFUNCTION("iferror(filter('3.1.clean'!C:C,'3.1.clean'!B:B=C97),"""")"),"")</f>
        <v/>
      </c>
      <c r="H97" s="23" t="b">
        <f t="shared" si="52"/>
        <v>0</v>
      </c>
      <c r="J97" s="25"/>
      <c r="K97" s="24" t="str">
        <f>IFERROR(__xludf.DUMMYFUNCTION("iferror(filter('3.2.clean'!C:C,'3.2.clean'!A:A=C97),"""")"),"")</f>
        <v/>
      </c>
      <c r="L97" s="25" t="b">
        <f t="shared" si="53"/>
        <v>0</v>
      </c>
      <c r="M97" s="24">
        <f>IFERROR(__xludf.DUMMYFUNCTION("iferror(filter('3.3.clean'!C:C,'3.3.clean'!A:A=C97),"""")"),43622.0)</f>
        <v>43622</v>
      </c>
      <c r="N97" s="25" t="b">
        <f t="shared" si="23"/>
        <v>1</v>
      </c>
      <c r="O97" s="24" t="str">
        <f>IFERROR(__xludf.DUMMYFUNCTION("iferror(filter('3.4.clean'!C:C,'3.4.clean'!A:A=C97),"""")"),"")</f>
        <v/>
      </c>
      <c r="P97" s="25" t="b">
        <f t="shared" si="24"/>
        <v>0</v>
      </c>
      <c r="Q97" s="24" t="str">
        <f>IFERROR(__xludf.DUMMYFUNCTION("iferror(filter('3.5.clean'!C:C,'3.5.clean'!A:A=C97),"""")"),"")</f>
        <v/>
      </c>
      <c r="R97" s="23" t="b">
        <f t="shared" si="55"/>
        <v>0</v>
      </c>
      <c r="S97" s="25"/>
      <c r="V97" s="1" t="s">
        <v>83</v>
      </c>
      <c r="W97" s="23" t="b">
        <f t="shared" si="54"/>
        <v>0</v>
      </c>
      <c r="X97" s="23" t="str">
        <f>IFERROR(__xludf.DUMMYFUNCTION("if(COUNTA(FILTER(C:C, C:C = C97))=1,""no"",""yes"")"),"no")</f>
        <v>no</v>
      </c>
    </row>
    <row r="98">
      <c r="A98" s="1"/>
      <c r="B98" s="27"/>
      <c r="C98" s="27" t="s">
        <v>493</v>
      </c>
      <c r="D98" s="24"/>
      <c r="E98" s="24">
        <f>IFERROR(__xludf.DUMMYFUNCTION("ifna(IFNA(filter('2.1.clean'!C:C,'2.1.clean'!A:A=C98),filter('2.2.clean'!E:E,'2.2.clean'!D:D=C98)),filter('2.4.clean'!C:C,'2.4.clean'!A:A=C98))"),43620.0)</f>
        <v>43620</v>
      </c>
      <c r="F98" s="25">
        <f>IFERROR(__xludf.DUMMYFUNCTION("iferror(ifna(IFNA(filter('2.1.clean'!E:E,'2.1.clean'!A:A=C98),filter('2.2.clean'!G:G,'2.2.clean'!D:D=C98)),filter('2.4.clean'!E:E,'2.4.clean'!A:A=C98)),)"),2.1)</f>
        <v>2.1</v>
      </c>
      <c r="G98" s="24">
        <f>IFERROR(__xludf.DUMMYFUNCTION("iferror(filter('3.1.clean'!C:C,'3.1.clean'!A:A=C98),"""")"),43620.0)</f>
        <v>43620</v>
      </c>
      <c r="H98" s="23" t="b">
        <f t="shared" si="52"/>
        <v>1</v>
      </c>
      <c r="J98" s="25"/>
      <c r="K98" s="24">
        <f>IFERROR(__xludf.DUMMYFUNCTION("iferror(filter('3.2.clean'!C:C,'3.2.clean'!A:A=C98),"""")"),43621.0)</f>
        <v>43621</v>
      </c>
      <c r="L98" s="25" t="b">
        <f>if(OR(K98="", iserror(K98)),FALSE,TRUE)</f>
        <v>1</v>
      </c>
      <c r="M98" s="24">
        <f>IFERROR(__xludf.DUMMYFUNCTION("iferror(filter('3.3.clean'!C:C,'3.3.clean'!A:A=C98),"""")"),43628.0)</f>
        <v>43628</v>
      </c>
      <c r="N98" s="25" t="b">
        <f t="shared" si="23"/>
        <v>1</v>
      </c>
      <c r="O98" s="24" t="str">
        <f>IFERROR(__xludf.DUMMYFUNCTION("iferror(filter('3.4.clean'!C:C,'3.4.clean'!A:A=C98),"""")"),"")</f>
        <v/>
      </c>
      <c r="P98" s="25" t="b">
        <f t="shared" si="24"/>
        <v>0</v>
      </c>
      <c r="Q98" s="24"/>
      <c r="S98" s="25"/>
      <c r="T98" s="1" t="s">
        <v>490</v>
      </c>
      <c r="U98" s="23"/>
      <c r="V98" s="1" t="s">
        <v>83</v>
      </c>
      <c r="W98" s="1" t="b">
        <v>1</v>
      </c>
      <c r="X98" s="23" t="str">
        <f>IFERROR(__xludf.DUMMYFUNCTION("if(COUNTA(FILTER(C:C, C:C = C98))=1,""no"",""yes"")"),"no")</f>
        <v>no</v>
      </c>
    </row>
    <row r="99">
      <c r="A99" s="1" t="s">
        <v>476</v>
      </c>
      <c r="B99" s="19"/>
      <c r="C99" s="19" t="s">
        <v>494</v>
      </c>
      <c r="E99" s="24">
        <f>IFERROR(__xludf.DUMMYFUNCTION("ifna(IFNA(filter('2.1.clean'!C:C,'2.1.clean'!A:A=C99),filter('2.2.clean'!E:E,'2.2.clean'!D:D=C99)),filter('2.4.clean'!C:C,'2.4.clean'!A:A=C99))"),43622.0)</f>
        <v>43622</v>
      </c>
      <c r="F99" s="25">
        <f>IFERROR(__xludf.DUMMYFUNCTION("iferror(ifna(IFNA(filter('2.1.clean'!E:E,'2.1.clean'!A:A=C99),filter('2.2.clean'!G:G,'2.2.clean'!D:D=C99)),filter('2.4.clean'!E:E,'2.4.clean'!A:A=C99)),)"),2.4)</f>
        <v>2.4</v>
      </c>
      <c r="G99" s="24"/>
      <c r="J99" s="25"/>
      <c r="K99" s="24">
        <f>IFERROR(__xludf.DUMMYFUNCTION("""COMPUTED_VALUE"""),43621.0)</f>
        <v>43621</v>
      </c>
      <c r="L99" s="25"/>
      <c r="M99" s="24">
        <f>IFERROR(__xludf.DUMMYFUNCTION("iferror(filter('3.3.clean'!C:C,'3.3.clean'!A:A=C99),"""")"),43628.0)</f>
        <v>43628</v>
      </c>
      <c r="N99" s="25" t="b">
        <f t="shared" si="23"/>
        <v>1</v>
      </c>
      <c r="O99" s="24">
        <f>IFERROR(__xludf.DUMMYFUNCTION("iferror(filter('3.4.clean'!C:C,'3.4.clean'!A:A=C99),"""")"),43640.0)</f>
        <v>43640</v>
      </c>
      <c r="P99" s="25" t="b">
        <f t="shared" si="24"/>
        <v>1</v>
      </c>
      <c r="Q99" s="24">
        <f>IFERROR(__xludf.DUMMYFUNCTION("iferror(filter('3.5.clean'!C:C,'3.5.clean'!A:A=C99),"""")"),43622.0)</f>
        <v>43622</v>
      </c>
      <c r="R99" s="23" t="b">
        <f t="shared" ref="R99:R103" si="56">if(Q99="",FALSE,TRUE)</f>
        <v>1</v>
      </c>
      <c r="S99" s="25"/>
      <c r="U99" s="23"/>
      <c r="V99" s="1" t="s">
        <v>64</v>
      </c>
      <c r="W99" s="23" t="b">
        <f>IF(and(R99=TRUE,N99=TRUE,P99=TRUE),TRUE,FALSE)</f>
        <v>1</v>
      </c>
      <c r="X99" s="23" t="str">
        <f>IFERROR(__xludf.DUMMYFUNCTION("if(COUNTA(FILTER(C:C, C:C = C99))=1,""no"",""yes"")"),"no")</f>
        <v>no</v>
      </c>
    </row>
    <row r="100">
      <c r="A100" s="1" t="s">
        <v>476</v>
      </c>
      <c r="B100" s="19"/>
      <c r="C100" s="19" t="s">
        <v>495</v>
      </c>
      <c r="E100" s="24">
        <v>43622.0</v>
      </c>
      <c r="F100" s="25" t="str">
        <f>IFERROR(__xludf.DUMMYFUNCTION("iferror(ifna(IFNA(filter('2.1.clean'!E:E,'2.1.clean'!A:A=C100),filter('2.2.clean'!G:G,'2.2.clean'!D:D=C100)),filter('2.4.clean'!E:E,'2.4.clean'!A:A=C100)),)"),"")</f>
        <v/>
      </c>
      <c r="G100" s="24"/>
      <c r="J100" s="25"/>
      <c r="K100" s="24"/>
      <c r="L100" s="25"/>
      <c r="M100" s="24">
        <f>IFERROR(__xludf.DUMMYFUNCTION("iferror(filter('3.3.clean'!C:C,'3.3.clean'!A:A=C100),"""")"),43626.0)</f>
        <v>43626</v>
      </c>
      <c r="N100" s="25" t="b">
        <f t="shared" si="23"/>
        <v>1</v>
      </c>
      <c r="O100" s="24" t="str">
        <f>IFERROR(__xludf.DUMMYFUNCTION("iferror(filter('3.4.clean'!C:C,'3.4.clean'!A:A=C100),"""")"),"")</f>
        <v/>
      </c>
      <c r="P100" s="25" t="b">
        <f t="shared" si="24"/>
        <v>0</v>
      </c>
      <c r="Q100" s="24" t="str">
        <f>IFERROR(__xludf.DUMMYFUNCTION("iferror(filter('3.5.clean'!C:C,'3.5.clean'!A:A=C100),"""")"),"")</f>
        <v/>
      </c>
      <c r="R100" s="23" t="b">
        <f t="shared" si="56"/>
        <v>0</v>
      </c>
      <c r="S100" s="25"/>
      <c r="U100" s="1" t="s">
        <v>382</v>
      </c>
      <c r="V100" s="1" t="s">
        <v>64</v>
      </c>
      <c r="X100" s="23" t="str">
        <f>IFERROR(__xludf.DUMMYFUNCTION("if(COUNTA(FILTER(C:C, C:C = C100))=1,""no"",""yes"")"),"no")</f>
        <v>no</v>
      </c>
    </row>
    <row r="101">
      <c r="A101" s="1" t="s">
        <v>476</v>
      </c>
      <c r="B101" s="19"/>
      <c r="C101" s="19" t="s">
        <v>496</v>
      </c>
      <c r="E101" s="24">
        <f>IFERROR(__xludf.DUMMYFUNCTION("ifna(IFNA(filter('2.1.clean'!C:C,'2.1.clean'!A:A=C101),filter('2.2.clean'!E:E,'2.2.clean'!D:D=C101)),filter('2.4.clean'!C:C,'2.4.clean'!A:A=C101))"),43622.0)</f>
        <v>43622</v>
      </c>
      <c r="F101" s="25">
        <f>IFERROR(__xludf.DUMMYFUNCTION("iferror(ifna(IFNA(filter('2.1.clean'!E:E,'2.1.clean'!A:A=C101),filter('2.2.clean'!G:G,'2.2.clean'!D:D=C101)),filter('2.4.clean'!E:E,'2.4.clean'!A:A=C101)),)"),2.4)</f>
        <v>2.4</v>
      </c>
      <c r="G101" s="24"/>
      <c r="J101" s="25"/>
      <c r="K101" s="24"/>
      <c r="L101" s="25"/>
      <c r="M101" s="24">
        <f>IFERROR(__xludf.DUMMYFUNCTION("iferror(filter('3.3.clean'!C:C,'3.3.clean'!A:A=C101),"""")"),43628.0)</f>
        <v>43628</v>
      </c>
      <c r="N101" s="25" t="b">
        <f t="shared" si="23"/>
        <v>1</v>
      </c>
      <c r="O101" s="24">
        <f>IFERROR(__xludf.DUMMYFUNCTION("iferror(filter('3.4.clean'!C:C,'3.4.clean'!A:A=C101),"""")"),43790.0)</f>
        <v>43790</v>
      </c>
      <c r="P101" s="25" t="b">
        <f t="shared" si="24"/>
        <v>1</v>
      </c>
      <c r="Q101" s="24">
        <f>IFERROR(__xludf.DUMMYFUNCTION("iferror(filter('3.5.clean'!C:C,'3.5.clean'!A:A=C101),"""")"),43622.0)</f>
        <v>43622</v>
      </c>
      <c r="R101" s="23" t="b">
        <f t="shared" si="56"/>
        <v>1</v>
      </c>
      <c r="S101" s="25"/>
      <c r="U101" s="23"/>
      <c r="V101" s="1" t="s">
        <v>64</v>
      </c>
      <c r="W101" s="23" t="b">
        <f>IF(and(R101=TRUE,N101=TRUE,P101=TRUE),TRUE,FALSE)</f>
        <v>1</v>
      </c>
      <c r="X101" s="23" t="str">
        <f>IFERROR(__xludf.DUMMYFUNCTION("if(COUNTA(FILTER(C:C, C:C = C101))=1,""no"",""yes"")"),"no")</f>
        <v>no</v>
      </c>
    </row>
    <row r="102">
      <c r="A102" s="1" t="s">
        <v>476</v>
      </c>
      <c r="B102" s="68"/>
      <c r="C102" s="68" t="s">
        <v>498</v>
      </c>
      <c r="E102" s="24">
        <v>43622.0</v>
      </c>
      <c r="F102" s="25" t="str">
        <f>IFERROR(__xludf.DUMMYFUNCTION("iferror(ifna(IFNA(filter('2.1.clean'!E:E,'2.1.clean'!A:A=C102),filter('2.2.clean'!G:G,'2.2.clean'!D:D=C102)),filter('2.4.clean'!E:E,'2.4.clean'!A:A=C102)),)"),"")</f>
        <v/>
      </c>
      <c r="G102" s="24"/>
      <c r="J102" s="25"/>
      <c r="K102" s="24"/>
      <c r="L102" s="25"/>
      <c r="M102" s="24" t="str">
        <f>IFERROR(__xludf.DUMMYFUNCTION("iferror(filter('3.3.clean'!C:C,'3.3.clean'!A:A=#REF!),"""")"),"")</f>
        <v/>
      </c>
      <c r="N102" s="25" t="b">
        <f t="shared" si="23"/>
        <v>0</v>
      </c>
      <c r="O102" s="24" t="str">
        <f>IFERROR(__xludf.DUMMYFUNCTION("iferror(filter('3.4.clean'!C:C,'3.4.clean'!A:A=C102),"""")"),"")</f>
        <v/>
      </c>
      <c r="P102" s="25" t="b">
        <f t="shared" si="24"/>
        <v>0</v>
      </c>
      <c r="Q102" s="24" t="str">
        <f>IFERROR(__xludf.DUMMYFUNCTION("iferror(filter('3.5.clean'!C:C,'3.5.clean'!A:A=C102),"""")"),"")</f>
        <v/>
      </c>
      <c r="R102" s="23" t="b">
        <f t="shared" si="56"/>
        <v>0</v>
      </c>
      <c r="S102" s="25"/>
      <c r="V102" s="1" t="s">
        <v>64</v>
      </c>
      <c r="X102" s="23" t="str">
        <f>IFERROR(__xludf.DUMMYFUNCTION("if(COUNTA(FILTER(C:C, C:C = C102))=1,""no"",""yes"")"),"no")</f>
        <v>no</v>
      </c>
    </row>
    <row r="103">
      <c r="A103" s="1" t="s">
        <v>476</v>
      </c>
      <c r="B103" s="19"/>
      <c r="C103" s="19" t="s">
        <v>499</v>
      </c>
      <c r="E103" s="24">
        <f>IFERROR(__xludf.DUMMYFUNCTION("ifna(IFNA(filter('2.1.clean'!C:C,'2.1.clean'!A:A=C103),filter('2.2.clean'!E:E,'2.2.clean'!D:D=C103)),filter('2.4.clean'!C:C,'2.4.clean'!A:A=C103))"),43626.0)</f>
        <v>43626</v>
      </c>
      <c r="F103" s="25">
        <f>IFERROR(__xludf.DUMMYFUNCTION("iferror(ifna(IFNA(filter('2.1.clean'!E:E,'2.1.clean'!A:A=C103),filter('2.2.clean'!G:G,'2.2.clean'!D:D=C103)),filter('2.4.clean'!E:E,'2.4.clean'!A:A=C103)),)"),2.4)</f>
        <v>2.4</v>
      </c>
      <c r="G103" s="24" t="str">
        <f>IFERROR(__xludf.DUMMYFUNCTION("iferror(filter('3.1.clean'!C:C,'3.1.clean'!A:A=C103),"""")"),"")</f>
        <v/>
      </c>
      <c r="H103" s="23" t="b">
        <f>if(G103="",FALSE,TRUE)</f>
        <v>0</v>
      </c>
      <c r="J103" s="25"/>
      <c r="K103" s="24">
        <f>IFERROR(__xludf.DUMMYFUNCTION("iferror(filter('3.2.clean'!C:C,'3.2.clean'!A:A=C103),"""")"),43601.0)</f>
        <v>43601</v>
      </c>
      <c r="L103" s="25" t="b">
        <f>if(K103="",FALSE,TRUE)</f>
        <v>1</v>
      </c>
      <c r="M103" s="24">
        <f>IFERROR(__xludf.DUMMYFUNCTION("iferror(filter('3.3.clean'!C:C,'3.3.clean'!A:A=C103),"""")"),43634.0)</f>
        <v>43634</v>
      </c>
      <c r="N103" s="25" t="b">
        <f t="shared" si="23"/>
        <v>1</v>
      </c>
      <c r="O103" s="24">
        <f>IFERROR(__xludf.DUMMYFUNCTION("iferror(filter('3.4.clean'!C:C,'3.4.clean'!A:A=C103),"""")"),43662.0)</f>
        <v>43662</v>
      </c>
      <c r="P103" s="25" t="b">
        <f t="shared" si="24"/>
        <v>1</v>
      </c>
      <c r="Q103" s="24">
        <f>IFERROR(__xludf.DUMMYFUNCTION("iferror(filter('3.5.clean'!C:C,'3.5.clean'!A:A=C103),"""")"),43626.0)</f>
        <v>43626</v>
      </c>
      <c r="R103" s="23" t="b">
        <f t="shared" si="56"/>
        <v>1</v>
      </c>
      <c r="S103" s="25"/>
      <c r="V103" s="1" t="s">
        <v>64</v>
      </c>
      <c r="X103" s="23" t="str">
        <f>IFERROR(__xludf.DUMMYFUNCTION("if(COUNTA(FILTER(C:C, C:C = C103))=1,""no"",""yes"")"),"no")</f>
        <v>no</v>
      </c>
    </row>
    <row r="104">
      <c r="A104" s="1" t="s">
        <v>476</v>
      </c>
      <c r="B104" s="69"/>
      <c r="C104" s="69" t="s">
        <v>501</v>
      </c>
      <c r="E104" s="24">
        <v>43626.0</v>
      </c>
      <c r="F104" s="25" t="str">
        <f>IFERROR(__xludf.DUMMYFUNCTION("iferror(ifna(IFNA(filter('2.1.clean'!E:E,'2.1.clean'!A:A=C104),filter('2.2.clean'!G:G,'2.2.clean'!D:D=C104)),filter('2.4.clean'!E:E,'2.4.clean'!A:A=C104)),)"),"")</f>
        <v/>
      </c>
      <c r="G104" s="24" t="str">
        <f>IFERROR(__xludf.DUMMYFUNCTION("iferror(filter('3.1.clean'!C:C,'3.1.clean'!B:B=C104),"""")"),"")</f>
        <v/>
      </c>
      <c r="J104" s="25"/>
      <c r="K104" s="24"/>
      <c r="L104" s="25"/>
      <c r="M104" s="24"/>
      <c r="N104" s="25"/>
      <c r="O104" s="24" t="str">
        <f>IFERROR(__xludf.DUMMYFUNCTION("iferror(filter('3.4.clean'!C:C,'3.4.clean'!A:A=C104),"""")"),"")</f>
        <v/>
      </c>
      <c r="P104" s="25" t="b">
        <f t="shared" si="24"/>
        <v>0</v>
      </c>
      <c r="Q104" s="24"/>
      <c r="S104" s="25"/>
      <c r="V104" s="1" t="s">
        <v>64</v>
      </c>
      <c r="X104" s="23" t="str">
        <f>IFERROR(__xludf.DUMMYFUNCTION("if(COUNTA(FILTER(C:C, C:C = C104))=1,""no"",""yes"")"),"no")</f>
        <v>no</v>
      </c>
    </row>
    <row r="105">
      <c r="A105" s="1" t="s">
        <v>476</v>
      </c>
      <c r="B105" s="19"/>
      <c r="C105" s="19" t="s">
        <v>502</v>
      </c>
      <c r="E105" s="24">
        <v>43626.0</v>
      </c>
      <c r="F105" s="25" t="str">
        <f>IFERROR(__xludf.DUMMYFUNCTION("iferror(ifna(IFNA(filter('2.1.clean'!E:E,'2.1.clean'!A:A=C105),filter('2.2.clean'!G:G,'2.2.clean'!D:D=C105)),filter('2.4.clean'!E:E,'2.4.clean'!A:A=C105)),)"),"")</f>
        <v/>
      </c>
      <c r="G105" s="24"/>
      <c r="J105" s="25"/>
      <c r="K105" s="24"/>
      <c r="L105" s="25"/>
      <c r="M105" s="24" t="str">
        <f>IFERROR(__xludf.DUMMYFUNCTION("iferror(filter('3.3.clean'!C:C,'3.3.clean'!A:A=C105),"""")"),"")</f>
        <v/>
      </c>
      <c r="N105" s="25" t="b">
        <f t="shared" ref="N105:N106" si="57">if(M105="",FALSE,TRUE)</f>
        <v>0</v>
      </c>
      <c r="O105" s="24">
        <f>IFERROR(__xludf.DUMMYFUNCTION("iferror(filter('3.4.clean'!C:C,'3.4.clean'!A:A=C105),"""")"),43662.0)</f>
        <v>43662</v>
      </c>
      <c r="P105" s="25" t="b">
        <f t="shared" si="24"/>
        <v>1</v>
      </c>
      <c r="Q105" s="24" t="str">
        <f>IFERROR(__xludf.DUMMYFUNCTION("iferror(filter('3.5.clean'!C:C,'3.5.clean'!A:A=C105),"""")"),"")</f>
        <v/>
      </c>
      <c r="R105" s="23" t="b">
        <f t="shared" ref="R105:R106" si="58">if(Q105="",FALSE,TRUE)</f>
        <v>0</v>
      </c>
      <c r="S105" s="25"/>
      <c r="U105" s="1" t="s">
        <v>503</v>
      </c>
      <c r="V105" s="1" t="s">
        <v>64</v>
      </c>
      <c r="X105" s="23" t="str">
        <f>IFERROR(__xludf.DUMMYFUNCTION("if(COUNTA(FILTER(C:C, C:C = C105))=1,""no"",""yes"")"),"no")</f>
        <v>no</v>
      </c>
    </row>
    <row r="106">
      <c r="A106" s="1" t="s">
        <v>476</v>
      </c>
      <c r="B106" s="19"/>
      <c r="C106" s="19" t="s">
        <v>504</v>
      </c>
      <c r="E106" s="24">
        <f>IFERROR(__xludf.DUMMYFUNCTION("ifna(IFNA(filter('2.1.clean'!C:C,'2.1.clean'!A:A=C106),filter('2.2.clean'!E:E,'2.2.clean'!D:D=C106)),filter('2.4.clean'!C:C,'2.4.clean'!A:A=C106))"),43626.0)</f>
        <v>43626</v>
      </c>
      <c r="F106" s="25">
        <f>IFERROR(__xludf.DUMMYFUNCTION("iferror(ifna(IFNA(filter('2.1.clean'!E:E,'2.1.clean'!A:A=C106),filter('2.2.clean'!G:G,'2.2.clean'!D:D=C106)),filter('2.4.clean'!E:E,'2.4.clean'!A:A=C106)),)"),2.4)</f>
        <v>2.4</v>
      </c>
      <c r="G106" s="24" t="str">
        <f>IFERROR(__xludf.DUMMYFUNCTION("iferror(filter('3.1.clean'!C:C,'3.1.clean'!A:A=C106),"""")"),"")</f>
        <v/>
      </c>
      <c r="H106" s="23" t="b">
        <f>if(G106="",FALSE,TRUE)</f>
        <v>0</v>
      </c>
      <c r="J106" s="25"/>
      <c r="K106" s="24" t="str">
        <f>IFERROR(__xludf.DUMMYFUNCTION("iferror(filter('3.2.clean'!C:C,'3.2.clean'!A:A=C106),"""")"),"")</f>
        <v/>
      </c>
      <c r="L106" s="25" t="b">
        <f>if(K106="",FALSE,TRUE)</f>
        <v>0</v>
      </c>
      <c r="M106" s="24">
        <f>IFERROR(__xludf.DUMMYFUNCTION("iferror(filter('3.3.clean'!C:C,'3.3.clean'!A:A=C106),"""")"),43634.0)</f>
        <v>43634</v>
      </c>
      <c r="N106" s="25" t="b">
        <f t="shared" si="57"/>
        <v>1</v>
      </c>
      <c r="O106" s="24">
        <f>IFERROR(__xludf.DUMMYFUNCTION("iferror(filter('3.4.clean'!C:C,'3.4.clean'!A:A=C106),"""")"),43662.0)</f>
        <v>43662</v>
      </c>
      <c r="P106" s="25" t="b">
        <f t="shared" si="24"/>
        <v>1</v>
      </c>
      <c r="Q106" s="24">
        <f>IFERROR(__xludf.DUMMYFUNCTION("iferror(filter('3.5.clean'!C:C,'3.5.clean'!A:A=C106),"""")"),43626.0)</f>
        <v>43626</v>
      </c>
      <c r="R106" s="23" t="b">
        <f t="shared" si="58"/>
        <v>1</v>
      </c>
      <c r="S106" s="25"/>
      <c r="U106" s="23" t="s">
        <v>177</v>
      </c>
      <c r="V106" s="1" t="s">
        <v>64</v>
      </c>
      <c r="X106" s="23" t="str">
        <f>IFERROR(__xludf.DUMMYFUNCTION("if(COUNTA(FILTER(C:C, C:C = C106))=1,""no"",""yes"")"),"no")</f>
        <v>no</v>
      </c>
    </row>
    <row r="107">
      <c r="A107" s="1" t="s">
        <v>476</v>
      </c>
      <c r="B107" s="69"/>
      <c r="C107" s="69" t="s">
        <v>505</v>
      </c>
      <c r="E107" s="24">
        <v>43626.0</v>
      </c>
      <c r="F107" s="25" t="str">
        <f>IFERROR(__xludf.DUMMYFUNCTION("iferror(ifna(IFNA(filter('2.1.clean'!E:E,'2.1.clean'!A:A=C107),filter('2.2.clean'!G:G,'2.2.clean'!D:D=C107)),filter('2.4.clean'!E:E,'2.4.clean'!A:A=C107)),)"),"")</f>
        <v/>
      </c>
      <c r="G107" s="24" t="str">
        <f>IFERROR(__xludf.DUMMYFUNCTION("iferror(filter('3.1.clean'!C:C,'3.1.clean'!B:B=C107),"""")"),"")</f>
        <v/>
      </c>
      <c r="J107" s="25"/>
      <c r="K107" s="24"/>
      <c r="L107" s="25"/>
      <c r="M107" s="24"/>
      <c r="N107" s="25"/>
      <c r="O107" s="24" t="str">
        <f>IFERROR(__xludf.DUMMYFUNCTION("iferror(filter('3.4.clean'!C:C,'3.4.clean'!A:A=C107),"""")"),"")</f>
        <v/>
      </c>
      <c r="P107" s="25" t="b">
        <f t="shared" si="24"/>
        <v>0</v>
      </c>
      <c r="Q107" s="24"/>
      <c r="S107" s="25"/>
      <c r="V107" s="1" t="s">
        <v>64</v>
      </c>
      <c r="W107" s="1" t="b">
        <v>1</v>
      </c>
      <c r="X107" s="23" t="str">
        <f>IFERROR(__xludf.DUMMYFUNCTION("if(COUNTA(FILTER(C:C, C:C = C107))=1,""no"",""yes"")"),"no")</f>
        <v>no</v>
      </c>
    </row>
    <row r="108">
      <c r="A108" s="1" t="s">
        <v>476</v>
      </c>
      <c r="B108" s="69"/>
      <c r="C108" s="69" t="s">
        <v>507</v>
      </c>
      <c r="E108" s="24">
        <v>43626.0</v>
      </c>
      <c r="F108" s="25" t="str">
        <f>IFERROR(__xludf.DUMMYFUNCTION("iferror(ifna(IFNA(filter('2.1.clean'!E:E,'2.1.clean'!A:A=C108),filter('2.2.clean'!G:G,'2.2.clean'!D:D=C108)),filter('2.4.clean'!E:E,'2.4.clean'!A:A=C108)),)"),"")</f>
        <v/>
      </c>
      <c r="G108" s="24" t="str">
        <f>IFERROR(__xludf.DUMMYFUNCTION("iferror(filter('3.1.clean'!C:C,'3.1.clean'!B:B=C108),"""")"),"")</f>
        <v/>
      </c>
      <c r="J108" s="25"/>
      <c r="K108" s="24"/>
      <c r="L108" s="25"/>
      <c r="M108" s="24"/>
      <c r="N108" s="25"/>
      <c r="O108" s="24" t="str">
        <f>IFERROR(__xludf.DUMMYFUNCTION("iferror(filter('3.4.clean'!C:C,'3.4.clean'!A:A=C108),"""")"),"")</f>
        <v/>
      </c>
      <c r="P108" s="25" t="b">
        <f t="shared" si="24"/>
        <v>0</v>
      </c>
      <c r="Q108" s="24"/>
      <c r="S108" s="25"/>
      <c r="V108" s="1" t="s">
        <v>64</v>
      </c>
      <c r="W108" s="1" t="b">
        <v>1</v>
      </c>
      <c r="X108" s="23" t="str">
        <f>IFERROR(__xludf.DUMMYFUNCTION("if(COUNTA(FILTER(C:C, C:C = C108))=1,""no"",""yes"")"),"no")</f>
        <v>no</v>
      </c>
    </row>
    <row r="109">
      <c r="A109" s="1" t="s">
        <v>476</v>
      </c>
      <c r="B109" s="19"/>
      <c r="C109" s="19" t="s">
        <v>508</v>
      </c>
      <c r="E109" s="24">
        <v>43626.0</v>
      </c>
      <c r="F109" s="25" t="str">
        <f>IFERROR(__xludf.DUMMYFUNCTION("iferror(ifna(IFNA(filter('2.1.clean'!E:E,'2.1.clean'!A:A=C109),filter('2.2.clean'!G:G,'2.2.clean'!D:D=C109)),filter('2.4.clean'!E:E,'2.4.clean'!A:A=C109)),)"),"")</f>
        <v/>
      </c>
      <c r="G109" s="24"/>
      <c r="J109" s="25"/>
      <c r="K109" s="24"/>
      <c r="L109" s="25"/>
      <c r="M109" s="24" t="str">
        <f>IFERROR(__xludf.DUMMYFUNCTION("iferror(filter('3.3.clean'!C:C,'3.3.clean'!A:A=C109),"""")"),"")</f>
        <v/>
      </c>
      <c r="N109" s="25" t="b">
        <f>if(M109="",FALSE,TRUE)</f>
        <v>0</v>
      </c>
      <c r="O109" s="24">
        <f>IFERROR(__xludf.DUMMYFUNCTION("iferror(filter('3.4.clean'!C:C,'3.4.clean'!A:A=C109),"""")"),43662.0)</f>
        <v>43662</v>
      </c>
      <c r="P109" s="25" t="b">
        <f t="shared" si="24"/>
        <v>1</v>
      </c>
      <c r="Q109" s="24" t="str">
        <f>IFERROR(__xludf.DUMMYFUNCTION("iferror(filter('3.5.clean'!C:C,'3.5.clean'!A:A=C109),"""")"),"")</f>
        <v/>
      </c>
      <c r="R109" s="23" t="b">
        <f>if(Q109="",FALSE,TRUE)</f>
        <v>0</v>
      </c>
      <c r="S109" s="25"/>
      <c r="U109" s="1" t="s">
        <v>503</v>
      </c>
      <c r="V109" s="1" t="s">
        <v>64</v>
      </c>
      <c r="X109" s="23" t="str">
        <f>IFERROR(__xludf.DUMMYFUNCTION("if(COUNTA(FILTER(C:C, C:C = C109))=1,""no"",""yes"")"),"no")</f>
        <v>no</v>
      </c>
    </row>
    <row r="110">
      <c r="A110" s="1" t="s">
        <v>476</v>
      </c>
      <c r="B110" s="19"/>
      <c r="C110" s="19" t="s">
        <v>509</v>
      </c>
      <c r="E110" s="24">
        <f>IFERROR(__xludf.DUMMYFUNCTION("ifna(IFNA(filter('2.1.clean'!C:C,'2.1.clean'!A:A=C110),filter('2.2.clean'!E:E,'2.2.clean'!D:D=C110)),filter('2.4.clean'!C:C,'2.4.clean'!A:A=C110))"),43627.0)</f>
        <v>43627</v>
      </c>
      <c r="F110" s="25">
        <f>IFERROR(__xludf.DUMMYFUNCTION("iferror(ifna(IFNA(filter('2.1.clean'!E:E,'2.1.clean'!A:A=C110),filter('2.2.clean'!G:G,'2.2.clean'!D:D=C110)),filter('2.4.clean'!E:E,'2.4.clean'!A:A=C110)),)"),2.4)</f>
        <v>2.4</v>
      </c>
      <c r="G110" s="24"/>
      <c r="J110" s="25"/>
      <c r="K110" s="24"/>
      <c r="L110" s="25"/>
      <c r="M110" s="24"/>
      <c r="N110" s="25"/>
      <c r="O110" s="24"/>
      <c r="P110" s="25"/>
      <c r="Q110" s="24"/>
      <c r="S110" s="25"/>
      <c r="T110" s="1" t="s">
        <v>510</v>
      </c>
      <c r="V110" s="1" t="s">
        <v>64</v>
      </c>
      <c r="W110" s="1" t="b">
        <v>1</v>
      </c>
      <c r="X110" s="23" t="str">
        <f>IFERROR(__xludf.DUMMYFUNCTION("if(COUNTA(FILTER(C:C, C:C = C110))=1,""no"",""yes"")"),"no")</f>
        <v>no</v>
      </c>
    </row>
    <row r="111">
      <c r="A111" s="1" t="s">
        <v>476</v>
      </c>
      <c r="B111" s="19"/>
      <c r="C111" s="19" t="s">
        <v>511</v>
      </c>
      <c r="E111" s="24">
        <f>IFERROR(__xludf.DUMMYFUNCTION("ifna(IFNA(filter('2.1.clean'!C:C,'2.1.clean'!A:A=C111),filter('2.2.clean'!E:E,'2.2.clean'!D:D=C111)),filter('2.4.clean'!C:C,'2.4.clean'!A:A=C111))"),43627.0)</f>
        <v>43627</v>
      </c>
      <c r="F111" s="25">
        <f>IFERROR(__xludf.DUMMYFUNCTION("iferror(ifna(IFNA(filter('2.1.clean'!E:E,'2.1.clean'!A:A=C111),filter('2.2.clean'!G:G,'2.2.clean'!D:D=C111)),filter('2.4.clean'!E:E,'2.4.clean'!A:A=C111)),)"),2.4)</f>
        <v>2.4</v>
      </c>
      <c r="G111" s="24"/>
      <c r="J111" s="25"/>
      <c r="K111" s="24"/>
      <c r="L111" s="25"/>
      <c r="M111" s="24">
        <f>IFERROR(__xludf.DUMMYFUNCTION("iferror(filter('3.3.clean'!C:C,'3.3.clean'!A:A=C111),"""")"),43661.0)</f>
        <v>43661</v>
      </c>
      <c r="N111" s="25" t="b">
        <f>if(M111="",FALSE,TRUE)</f>
        <v>1</v>
      </c>
      <c r="O111" s="24">
        <f>IFERROR(__xludf.DUMMYFUNCTION("iferror(filter('3.4.clean'!C:C,'3.4.clean'!A:A=C111),"""")"),43662.0)</f>
        <v>43662</v>
      </c>
      <c r="P111" s="25" t="b">
        <f t="shared" ref="P111:P155" si="59">if(O111="",FALSE,TRUE)</f>
        <v>1</v>
      </c>
      <c r="Q111" s="24">
        <f>IFERROR(__xludf.DUMMYFUNCTION("iferror(filter('3.5.clean'!C:C,'3.5.clean'!A:A=C111),"""")"),43627.0)</f>
        <v>43627</v>
      </c>
      <c r="R111" s="23" t="b">
        <f>if(Q111="",FALSE,TRUE)</f>
        <v>1</v>
      </c>
      <c r="S111" s="25"/>
      <c r="U111" s="23"/>
      <c r="V111" s="1" t="s">
        <v>64</v>
      </c>
      <c r="W111" s="1" t="b">
        <v>1</v>
      </c>
      <c r="X111" s="23" t="str">
        <f>IFERROR(__xludf.DUMMYFUNCTION("if(COUNTA(FILTER(C:C, C:C = C111))=1,""no"",""yes"")"),"no")</f>
        <v>no</v>
      </c>
    </row>
    <row r="112">
      <c r="A112" s="1" t="s">
        <v>476</v>
      </c>
      <c r="B112" s="69"/>
      <c r="C112" s="69" t="s">
        <v>512</v>
      </c>
      <c r="E112" s="24">
        <v>43627.0</v>
      </c>
      <c r="F112" s="25" t="str">
        <f>IFERROR(__xludf.DUMMYFUNCTION("iferror(ifna(IFNA(filter('2.1.clean'!E:E,'2.1.clean'!A:A=C112),filter('2.2.clean'!G:G,'2.2.clean'!D:D=C112)),filter('2.4.clean'!E:E,'2.4.clean'!A:A=C112)),)"),"")</f>
        <v/>
      </c>
      <c r="G112" s="24"/>
      <c r="J112" s="25"/>
      <c r="K112" s="24"/>
      <c r="L112" s="25"/>
      <c r="M112" s="24"/>
      <c r="N112" s="25"/>
      <c r="O112" s="24" t="str">
        <f>IFERROR(__xludf.DUMMYFUNCTION("iferror(filter('3.4.clean'!C:C,'3.4.clean'!A:A=C112),"""")"),"")</f>
        <v/>
      </c>
      <c r="P112" s="25" t="b">
        <f t="shared" si="59"/>
        <v>0</v>
      </c>
      <c r="Q112" s="24" t="str">
        <f>IFERROR(__xludf.DUMMYFUNCTION("iferror(filter('3.5.clean'!C:C,'3.5.clean'!A:A=C112),"""")"),"")</f>
        <v/>
      </c>
      <c r="S112" s="25"/>
      <c r="V112" s="1" t="s">
        <v>64</v>
      </c>
      <c r="W112" s="1" t="b">
        <v>1</v>
      </c>
      <c r="X112" s="23" t="str">
        <f>IFERROR(__xludf.DUMMYFUNCTION("if(COUNTA(FILTER(C:C, C:C = C112))=1,""no"",""yes"")"),"no")</f>
        <v>no</v>
      </c>
    </row>
    <row r="113">
      <c r="A113" s="1" t="s">
        <v>476</v>
      </c>
      <c r="B113" s="19"/>
      <c r="C113" s="19" t="s">
        <v>514</v>
      </c>
      <c r="E113" s="24">
        <v>43627.0</v>
      </c>
      <c r="F113" s="25" t="str">
        <f>IFERROR(__xludf.DUMMYFUNCTION("iferror(ifna(IFNA(filter('2.1.clean'!E:E,'2.1.clean'!A:A=C113),filter('2.2.clean'!G:G,'2.2.clean'!D:D=C113)),filter('2.4.clean'!E:E,'2.4.clean'!A:A=C113)),)"),"")</f>
        <v/>
      </c>
      <c r="G113" s="24"/>
      <c r="J113" s="25"/>
      <c r="K113" s="24"/>
      <c r="L113" s="25"/>
      <c r="M113" s="24" t="str">
        <f>IFERROR(__xludf.DUMMYFUNCTION("iferror(filter('3.3.clean'!C:C,'3.3.clean'!A:A=C113),"""")"),"")</f>
        <v/>
      </c>
      <c r="N113" s="25"/>
      <c r="O113" s="24">
        <f>IFERROR(__xludf.DUMMYFUNCTION("iferror(filter('3.4.clean'!C:C,'3.4.clean'!A:A=C113),"""")"),43662.0)</f>
        <v>43662</v>
      </c>
      <c r="P113" s="25" t="b">
        <f t="shared" si="59"/>
        <v>1</v>
      </c>
      <c r="Q113" s="24" t="str">
        <f>IFERROR(__xludf.DUMMYFUNCTION("iferror(filter('3.5.clean'!C:C,'3.5.clean'!A:A=C113),"""")"),"")</f>
        <v/>
      </c>
      <c r="S113" s="25"/>
      <c r="V113" s="1" t="s">
        <v>64</v>
      </c>
      <c r="W113" s="1" t="b">
        <v>1</v>
      </c>
      <c r="X113" s="23" t="str">
        <f>IFERROR(__xludf.DUMMYFUNCTION("if(COUNTA(FILTER(C:C, C:C = C113))=1,""no"",""yes"")"),"no")</f>
        <v>no</v>
      </c>
    </row>
    <row r="114">
      <c r="A114" s="1" t="s">
        <v>476</v>
      </c>
      <c r="B114" s="19"/>
      <c r="C114" s="19" t="s">
        <v>515</v>
      </c>
      <c r="E114" s="24">
        <f>IFERROR(__xludf.DUMMYFUNCTION("ifna(IFNA(filter('2.1.clean'!C:C,'2.1.clean'!A:A=C114),filter('2.2.clean'!E:E,'2.2.clean'!D:D=C114)),filter('2.4.clean'!C:C,'2.4.clean'!A:A=C114))"),43627.0)</f>
        <v>43627</v>
      </c>
      <c r="F114" s="25">
        <f>IFERROR(__xludf.DUMMYFUNCTION("iferror(ifna(IFNA(filter('2.1.clean'!E:E,'2.1.clean'!A:A=C114),filter('2.2.clean'!G:G,'2.2.clean'!D:D=C114)),filter('2.4.clean'!E:E,'2.4.clean'!A:A=C114)),)"),2.4)</f>
        <v>2.4</v>
      </c>
      <c r="G114" s="24"/>
      <c r="J114" s="25"/>
      <c r="K114" s="24"/>
      <c r="L114" s="25"/>
      <c r="M114" s="24">
        <f>IFERROR(__xludf.DUMMYFUNCTION("iferror(filter('3.3.clean'!C:C,'3.3.clean'!A:A=C114),"""")"),43661.0)</f>
        <v>43661</v>
      </c>
      <c r="N114" s="25" t="b">
        <f>if(M114="",FALSE,TRUE)</f>
        <v>1</v>
      </c>
      <c r="O114" s="24">
        <f>IFERROR(__xludf.DUMMYFUNCTION("iferror(filter('3.4.clean'!C:C,'3.4.clean'!A:A=C114),"""")"),43662.0)</f>
        <v>43662</v>
      </c>
      <c r="P114" s="25" t="b">
        <f t="shared" si="59"/>
        <v>1</v>
      </c>
      <c r="Q114" s="24">
        <f>IFERROR(__xludf.DUMMYFUNCTION("iferror(filter('3.5.clean'!C:C,'3.5.clean'!A:A=C114),"""")"),43627.0)</f>
        <v>43627</v>
      </c>
      <c r="R114" s="23" t="b">
        <f>if(Q114="",FALSE,TRUE)</f>
        <v>1</v>
      </c>
      <c r="S114" s="25"/>
      <c r="U114" s="23"/>
      <c r="V114" s="1" t="s">
        <v>64</v>
      </c>
      <c r="W114" s="1" t="b">
        <v>1</v>
      </c>
      <c r="X114" s="23" t="str">
        <f>IFERROR(__xludf.DUMMYFUNCTION("if(COUNTA(FILTER(C:C, C:C = C114))=1,""no"",""yes"")"),"no")</f>
        <v>no</v>
      </c>
    </row>
    <row r="115">
      <c r="A115" s="1" t="s">
        <v>476</v>
      </c>
      <c r="B115" s="69"/>
      <c r="C115" s="69" t="s">
        <v>516</v>
      </c>
      <c r="E115" s="24">
        <v>43627.0</v>
      </c>
      <c r="F115" s="25" t="str">
        <f>IFERROR(__xludf.DUMMYFUNCTION("iferror(ifna(IFNA(filter('2.1.clean'!E:E,'2.1.clean'!A:A=C115),filter('2.2.clean'!G:G,'2.2.clean'!D:D=C115)),filter('2.4.clean'!E:E,'2.4.clean'!A:A=C115)),)"),"")</f>
        <v/>
      </c>
      <c r="G115" s="24"/>
      <c r="J115" s="25"/>
      <c r="K115" s="24"/>
      <c r="L115" s="25"/>
      <c r="M115" s="24"/>
      <c r="N115" s="25"/>
      <c r="O115" s="24" t="str">
        <f>IFERROR(__xludf.DUMMYFUNCTION("iferror(filter('3.4.clean'!C:C,'3.4.clean'!A:A=C115),"""")"),"")</f>
        <v/>
      </c>
      <c r="P115" s="25" t="b">
        <f t="shared" si="59"/>
        <v>0</v>
      </c>
      <c r="Q115" s="24" t="str">
        <f>IFERROR(__xludf.DUMMYFUNCTION("iferror(filter('3.5.clean'!C:C,'3.5.clean'!A:A=C115),"""")"),"")</f>
        <v/>
      </c>
      <c r="S115" s="25"/>
      <c r="V115" s="1" t="s">
        <v>64</v>
      </c>
      <c r="W115" s="1" t="b">
        <v>1</v>
      </c>
      <c r="X115" s="23" t="str">
        <f>IFERROR(__xludf.DUMMYFUNCTION("if(COUNTA(FILTER(C:C, C:C = C115))=1,""no"",""yes"")"),"no")</f>
        <v>no</v>
      </c>
    </row>
    <row r="116">
      <c r="A116" s="1" t="s">
        <v>476</v>
      </c>
      <c r="B116" s="19"/>
      <c r="C116" s="19" t="s">
        <v>517</v>
      </c>
      <c r="E116" s="24">
        <v>43627.0</v>
      </c>
      <c r="F116" s="25" t="str">
        <f>IFERROR(__xludf.DUMMYFUNCTION("iferror(ifna(IFNA(filter('2.1.clean'!E:E,'2.1.clean'!A:A=C116),filter('2.2.clean'!G:G,'2.2.clean'!D:D=C116)),filter('2.4.clean'!E:E,'2.4.clean'!A:A=C116)),)"),"")</f>
        <v/>
      </c>
      <c r="G116" s="24"/>
      <c r="J116" s="25"/>
      <c r="K116" s="24"/>
      <c r="L116" s="25"/>
      <c r="M116" s="24" t="str">
        <f>IFERROR(__xludf.DUMMYFUNCTION("iferror(filter('3.3.clean'!C:C,'3.3.clean'!A:A=C116),"""")"),"")</f>
        <v/>
      </c>
      <c r="N116" s="25"/>
      <c r="O116" s="24">
        <f>IFERROR(__xludf.DUMMYFUNCTION("iferror(filter('3.4.clean'!C:C,'3.4.clean'!A:A=C116),"""")"),43662.0)</f>
        <v>43662</v>
      </c>
      <c r="P116" s="25" t="b">
        <f t="shared" si="59"/>
        <v>1</v>
      </c>
      <c r="Q116" s="24" t="str">
        <f>IFERROR(__xludf.DUMMYFUNCTION("iferror(filter('3.5.clean'!C:C,'3.5.clean'!A:A=C116),"""")"),"")</f>
        <v/>
      </c>
      <c r="S116" s="25"/>
      <c r="V116" s="1" t="s">
        <v>64</v>
      </c>
      <c r="W116" s="1" t="b">
        <v>1</v>
      </c>
      <c r="X116" s="23" t="str">
        <f>IFERROR(__xludf.DUMMYFUNCTION("if(COUNTA(FILTER(C:C, C:C = C116))=1,""no"",""yes"")"),"no")</f>
        <v>no</v>
      </c>
    </row>
    <row r="117">
      <c r="A117" s="1" t="s">
        <v>476</v>
      </c>
      <c r="B117" s="19"/>
      <c r="C117" s="19" t="s">
        <v>518</v>
      </c>
      <c r="E117" s="24">
        <f>IFERROR(__xludf.DUMMYFUNCTION("ifna(IFNA(filter('2.1.clean'!C:C,'2.1.clean'!A:A=C117),filter('2.2.clean'!E:E,'2.2.clean'!D:D=C117)),filter('2.4.clean'!C:C,'2.4.clean'!A:A=C117))"),43627.0)</f>
        <v>43627</v>
      </c>
      <c r="F117" s="25">
        <f>IFERROR(__xludf.DUMMYFUNCTION("iferror(ifna(IFNA(filter('2.1.clean'!E:E,'2.1.clean'!A:A=C117),filter('2.2.clean'!G:G,'2.2.clean'!D:D=C117)),filter('2.4.clean'!E:E,'2.4.clean'!A:A=C117)),)"),2.4)</f>
        <v>2.4</v>
      </c>
      <c r="G117" s="24"/>
      <c r="J117" s="25"/>
      <c r="K117" s="24"/>
      <c r="L117" s="25"/>
      <c r="M117" s="24">
        <f>IFERROR(__xludf.DUMMYFUNCTION("iferror(filter('3.3.clean'!C:C,'3.3.clean'!A:A=C117),"""")"),43661.0)</f>
        <v>43661</v>
      </c>
      <c r="N117" s="25" t="b">
        <f>if(M117="",FALSE,TRUE)</f>
        <v>1</v>
      </c>
      <c r="O117" s="24">
        <f>IFERROR(__xludf.DUMMYFUNCTION("iferror(filter('3.4.clean'!C:C,'3.4.clean'!A:A=C117),"""")"),43662.0)</f>
        <v>43662</v>
      </c>
      <c r="P117" s="25" t="b">
        <f t="shared" si="59"/>
        <v>1</v>
      </c>
      <c r="Q117" s="24">
        <f>IFERROR(__xludf.DUMMYFUNCTION("iferror(filter('3.5.clean'!C:C,'3.5.clean'!A:A=C117),"""")"),43627.0)</f>
        <v>43627</v>
      </c>
      <c r="R117" s="23" t="b">
        <f>if(Q117="",FALSE,TRUE)</f>
        <v>1</v>
      </c>
      <c r="S117" s="25"/>
      <c r="U117" s="23"/>
      <c r="V117" s="1" t="s">
        <v>64</v>
      </c>
      <c r="W117" s="1" t="b">
        <v>1</v>
      </c>
      <c r="X117" s="23" t="str">
        <f>IFERROR(__xludf.DUMMYFUNCTION("if(COUNTA(FILTER(C:C, C:C = C117))=1,""no"",""yes"")"),"no")</f>
        <v>no</v>
      </c>
    </row>
    <row r="118">
      <c r="A118" s="1" t="s">
        <v>476</v>
      </c>
      <c r="B118" s="69"/>
      <c r="C118" s="69" t="s">
        <v>520</v>
      </c>
      <c r="E118" s="24">
        <v>43627.0</v>
      </c>
      <c r="F118" s="25" t="str">
        <f>IFERROR(__xludf.DUMMYFUNCTION("iferror(ifna(IFNA(filter('2.1.clean'!E:E,'2.1.clean'!A:A=C118),filter('2.2.clean'!G:G,'2.2.clean'!D:D=C118)),filter('2.4.clean'!E:E,'2.4.clean'!A:A=C118)),)"),"")</f>
        <v/>
      </c>
      <c r="G118" s="24"/>
      <c r="J118" s="25"/>
      <c r="K118" s="24"/>
      <c r="L118" s="25"/>
      <c r="M118" s="24"/>
      <c r="N118" s="25"/>
      <c r="O118" s="24" t="str">
        <f>IFERROR(__xludf.DUMMYFUNCTION("iferror(filter('3.4.clean'!C:C,'3.4.clean'!A:A=C118),"""")"),"")</f>
        <v/>
      </c>
      <c r="P118" s="25" t="b">
        <f t="shared" si="59"/>
        <v>0</v>
      </c>
      <c r="Q118" s="24" t="str">
        <f>IFERROR(__xludf.DUMMYFUNCTION("iferror(filter('3.5.clean'!C:C,'3.5.clean'!A:A=C118),"""")"),"")</f>
        <v/>
      </c>
      <c r="S118" s="25"/>
      <c r="V118" s="1" t="s">
        <v>64</v>
      </c>
      <c r="W118" s="1" t="b">
        <v>1</v>
      </c>
      <c r="X118" s="23" t="str">
        <f>IFERROR(__xludf.DUMMYFUNCTION("if(COUNTA(FILTER(C:C, C:C = C118))=1,""no"",""yes"")"),"no")</f>
        <v>no</v>
      </c>
    </row>
    <row r="119">
      <c r="A119" s="1" t="s">
        <v>476</v>
      </c>
      <c r="B119" s="19"/>
      <c r="C119" s="19" t="s">
        <v>521</v>
      </c>
      <c r="E119" s="24">
        <v>43627.0</v>
      </c>
      <c r="F119" s="25" t="str">
        <f>IFERROR(__xludf.DUMMYFUNCTION("iferror(ifna(IFNA(filter('2.1.clean'!E:E,'2.1.clean'!A:A=C119),filter('2.2.clean'!G:G,'2.2.clean'!D:D=C119)),filter('2.4.clean'!E:E,'2.4.clean'!A:A=C119)),)"),"")</f>
        <v/>
      </c>
      <c r="G119" s="24"/>
      <c r="J119" s="25"/>
      <c r="K119" s="24"/>
      <c r="L119" s="25"/>
      <c r="M119" s="24" t="str">
        <f>IFERROR(__xludf.DUMMYFUNCTION("iferror(filter('3.3.clean'!C:C,'3.3.clean'!A:A=C119),"""")"),"")</f>
        <v/>
      </c>
      <c r="N119" s="25"/>
      <c r="O119" s="24">
        <f>IFERROR(__xludf.DUMMYFUNCTION("iferror(filter('3.4.clean'!C:C,'3.4.clean'!A:A=C119),"""")"),43662.0)</f>
        <v>43662</v>
      </c>
      <c r="P119" s="25" t="b">
        <f t="shared" si="59"/>
        <v>1</v>
      </c>
      <c r="Q119" s="24" t="str">
        <f>IFERROR(__xludf.DUMMYFUNCTION("iferror(filter('3.5.clean'!C:C,'3.5.clean'!A:A=C119),"""")"),"")</f>
        <v/>
      </c>
      <c r="S119" s="25"/>
      <c r="V119" s="1" t="s">
        <v>64</v>
      </c>
      <c r="W119" s="1" t="b">
        <v>1</v>
      </c>
      <c r="X119" s="23" t="str">
        <f>IFERROR(__xludf.DUMMYFUNCTION("if(COUNTA(FILTER(C:C, C:C = C119))=1,""no"",""yes"")"),"no")</f>
        <v>no</v>
      </c>
    </row>
    <row r="120">
      <c r="A120" s="1" t="s">
        <v>476</v>
      </c>
      <c r="B120" s="19"/>
      <c r="C120" s="19" t="s">
        <v>522</v>
      </c>
      <c r="E120" s="24">
        <f>IFERROR(__xludf.DUMMYFUNCTION("ifna(IFNA(filter('2.1.clean'!C:C,'2.1.clean'!A:A=C120),filter('2.2.clean'!E:E,'2.2.clean'!D:D=C120)),filter('2.4.clean'!C:C,'2.4.clean'!A:A=C120))"),43628.0)</f>
        <v>43628</v>
      </c>
      <c r="F120" s="25">
        <f>IFERROR(__xludf.DUMMYFUNCTION("iferror(ifna(IFNA(filter('2.1.clean'!E:E,'2.1.clean'!A:A=C120),filter('2.2.clean'!G:G,'2.2.clean'!D:D=C120)),filter('2.4.clean'!E:E,'2.4.clean'!A:A=C120)),)"),2.4)</f>
        <v>2.4</v>
      </c>
      <c r="G120" s="24" t="str">
        <f>IFERROR(__xludf.DUMMYFUNCTION("iferror(filter('3.1.clean'!C:C,'3.1.clean'!A:A=C120),"""")"),"")</f>
        <v/>
      </c>
      <c r="H120" s="23" t="b">
        <f t="shared" ref="H120:H121" si="60">if(G120="",FALSE,TRUE)</f>
        <v>0</v>
      </c>
      <c r="J120" s="25"/>
      <c r="K120" s="24" t="str">
        <f>IFERROR(__xludf.DUMMYFUNCTION("iferror(filter('3.2.clean'!C:C,'3.2.clean'!A:A=C120),"""")"),"")</f>
        <v/>
      </c>
      <c r="L120" s="25" t="b">
        <f t="shared" ref="L120:L121" si="61">if(K120="",FALSE,TRUE)</f>
        <v>0</v>
      </c>
      <c r="M120" s="24">
        <f>IFERROR(__xludf.DUMMYFUNCTION("iferror(filter('3.3.clean'!C:C,'3.3.clean'!A:A=C120),"""")"),43661.0)</f>
        <v>43661</v>
      </c>
      <c r="N120" s="25" t="b">
        <f>if(M120="",FALSE,TRUE)</f>
        <v>1</v>
      </c>
      <c r="O120" s="24">
        <f>IFERROR(__xludf.DUMMYFUNCTION("iferror(filter('3.4.clean'!C:C,'3.4.clean'!A:A=C120),"""")"),43662.0)</f>
        <v>43662</v>
      </c>
      <c r="P120" s="25" t="b">
        <f t="shared" si="59"/>
        <v>1</v>
      </c>
      <c r="Q120" s="24">
        <f>IFERROR(__xludf.DUMMYFUNCTION("iferror(filter('3.5.clean'!C:C,'3.5.clean'!A:A=C120),"""")"),43628.0)</f>
        <v>43628</v>
      </c>
      <c r="R120" s="23" t="b">
        <f>if(Q120="",FALSE,TRUE)</f>
        <v>1</v>
      </c>
      <c r="S120" s="25"/>
      <c r="U120" s="23" t="s">
        <v>177</v>
      </c>
      <c r="V120" s="1" t="s">
        <v>64</v>
      </c>
      <c r="X120" s="23" t="str">
        <f>IFERROR(__xludf.DUMMYFUNCTION("if(COUNTA(FILTER(C:C, C:C = C120))=1,""no"",""yes"")"),"no")</f>
        <v>no</v>
      </c>
    </row>
    <row r="121">
      <c r="A121" s="1" t="s">
        <v>476</v>
      </c>
      <c r="B121" s="69"/>
      <c r="C121" s="69" t="s">
        <v>529</v>
      </c>
      <c r="E121" s="26">
        <v>43628.0</v>
      </c>
      <c r="F121" s="25" t="str">
        <f>IFERROR(__xludf.DUMMYFUNCTION("iferror(ifna(IFNA(filter('2.1.clean'!E:E,'2.1.clean'!A:A=C121),filter('2.2.clean'!G:G,'2.2.clean'!D:D=C121)),filter('2.4.clean'!E:E,'2.4.clean'!A:A=C121)),)"),"")</f>
        <v/>
      </c>
      <c r="G121" s="24" t="str">
        <f>IFERROR(__xludf.DUMMYFUNCTION("iferror(filter('3.1.clean'!C:C,'3.1.clean'!A:A=C121),"""")"),"")</f>
        <v/>
      </c>
      <c r="H121" s="23" t="b">
        <f t="shared" si="60"/>
        <v>0</v>
      </c>
      <c r="J121" s="25"/>
      <c r="K121" s="24" t="str">
        <f>IFERROR(__xludf.DUMMYFUNCTION("iferror(filter('3.2.clean'!C:C,'3.2.clean'!A:A=C121),"""")"),"")</f>
        <v/>
      </c>
      <c r="L121" s="25" t="b">
        <f t="shared" si="61"/>
        <v>0</v>
      </c>
      <c r="M121" s="24" t="str">
        <f>IFERROR(__xludf.DUMMYFUNCTION("iferror(filter('3.3.clean'!C:C,'3.3.clean'!A:A=C121),"""")"),"")</f>
        <v/>
      </c>
      <c r="N121" s="25"/>
      <c r="O121" s="24" t="str">
        <f>IFERROR(__xludf.DUMMYFUNCTION("iferror(filter('3.4.clean'!C:C,'3.4.clean'!A:A=C121),"""")"),"")</f>
        <v/>
      </c>
      <c r="P121" s="25" t="b">
        <f t="shared" si="59"/>
        <v>0</v>
      </c>
      <c r="Q121" s="24" t="str">
        <f>IFERROR(__xludf.DUMMYFUNCTION("iferror(filter('3.5.clean'!C:C,'3.5.clean'!A:A=C121),"""")"),"")</f>
        <v/>
      </c>
      <c r="S121" s="25"/>
      <c r="V121" s="1" t="s">
        <v>64</v>
      </c>
      <c r="X121" s="23" t="str">
        <f>IFERROR(__xludf.DUMMYFUNCTION("if(COUNTA(FILTER(C:C, C:C = C121))=1,""no"",""yes"")"),"no")</f>
        <v>no</v>
      </c>
    </row>
    <row r="122">
      <c r="A122" s="1" t="s">
        <v>476</v>
      </c>
      <c r="B122" s="19"/>
      <c r="C122" s="19" t="s">
        <v>531</v>
      </c>
      <c r="E122" s="26">
        <v>43628.0</v>
      </c>
      <c r="F122" s="25" t="str">
        <f>IFERROR(__xludf.DUMMYFUNCTION("iferror(ifna(IFNA(filter('2.1.clean'!E:E,'2.1.clean'!A:A=C122),filter('2.2.clean'!G:G,'2.2.clean'!D:D=C122)),filter('2.4.clean'!E:E,'2.4.clean'!A:A=C122)),)"),"")</f>
        <v/>
      </c>
      <c r="G122" s="24"/>
      <c r="J122" s="25"/>
      <c r="K122" s="24"/>
      <c r="L122" s="25"/>
      <c r="M122" s="24" t="str">
        <f>IFERROR(__xludf.DUMMYFUNCTION("iferror(filter('3.3.clean'!C:C,'3.3.clean'!A:A=C122),"""")"),"")</f>
        <v/>
      </c>
      <c r="N122" s="25" t="b">
        <f t="shared" ref="N122:N124" si="62">if(M122="",FALSE,TRUE)</f>
        <v>0</v>
      </c>
      <c r="O122" s="24">
        <f>IFERROR(__xludf.DUMMYFUNCTION("iferror(filter('3.4.clean'!C:C,'3.4.clean'!A:A=C122),"""")"),43662.0)</f>
        <v>43662</v>
      </c>
      <c r="P122" s="25" t="b">
        <f t="shared" si="59"/>
        <v>1</v>
      </c>
      <c r="Q122" s="24" t="str">
        <f>IFERROR(__xludf.DUMMYFUNCTION("iferror(filter('3.5.clean'!C:C,'3.5.clean'!A:A=C122),"""")"),"")</f>
        <v/>
      </c>
      <c r="R122" s="23" t="b">
        <f t="shared" ref="R122:R124" si="63">if(Q122="",FALSE,TRUE)</f>
        <v>0</v>
      </c>
      <c r="S122" s="25"/>
      <c r="U122" s="1" t="s">
        <v>503</v>
      </c>
      <c r="V122" s="1" t="s">
        <v>64</v>
      </c>
      <c r="X122" s="23" t="str">
        <f>IFERROR(__xludf.DUMMYFUNCTION("if(COUNTA(FILTER(C:C, C:C = C122))=1,""no"",""yes"")"),"no")</f>
        <v>no</v>
      </c>
    </row>
    <row r="123">
      <c r="A123" s="1" t="s">
        <v>476</v>
      </c>
      <c r="B123" s="19"/>
      <c r="C123" s="19" t="s">
        <v>534</v>
      </c>
      <c r="E123" s="24">
        <f>IFERROR(__xludf.DUMMYFUNCTION("ifna(IFNA(filter('2.1.clean'!C:C,'2.1.clean'!A:A=C123),filter('2.2.clean'!E:E,'2.2.clean'!D:D=C123)),filter('2.4.clean'!C:C,'2.4.clean'!A:A=C123))"),43629.0)</f>
        <v>43629</v>
      </c>
      <c r="F123" s="25">
        <f>IFERROR(__xludf.DUMMYFUNCTION("iferror(ifna(IFNA(filter('2.1.clean'!E:E,'2.1.clean'!A:A=C123),filter('2.2.clean'!G:G,'2.2.clean'!D:D=C123)),filter('2.4.clean'!E:E,'2.4.clean'!A:A=C123)),)"),2.4)</f>
        <v>2.4</v>
      </c>
      <c r="G123" s="24"/>
      <c r="J123" s="25"/>
      <c r="K123" s="24"/>
      <c r="L123" s="25"/>
      <c r="M123" s="24">
        <f>IFERROR(__xludf.DUMMYFUNCTION("iferror(filter('3.3.clean'!C:C,'3.3.clean'!A:A=C123),"""")"),43661.0)</f>
        <v>43661</v>
      </c>
      <c r="N123" s="25" t="b">
        <f t="shared" si="62"/>
        <v>1</v>
      </c>
      <c r="O123" s="24">
        <f>IFERROR(__xludf.DUMMYFUNCTION("iferror(filter('3.4.clean'!C:C,'3.4.clean'!A:A=C123),"""")"),43662.0)</f>
        <v>43662</v>
      </c>
      <c r="P123" s="25" t="b">
        <f t="shared" si="59"/>
        <v>1</v>
      </c>
      <c r="Q123" s="24">
        <f>IFERROR(__xludf.DUMMYFUNCTION("iferror(filter('3.5.clean'!C:C,'3.5.clean'!A:A=C123),"""")"),43629.0)</f>
        <v>43629</v>
      </c>
      <c r="R123" s="23" t="b">
        <f t="shared" si="63"/>
        <v>1</v>
      </c>
      <c r="S123" s="25"/>
      <c r="U123" s="23"/>
      <c r="V123" s="1" t="s">
        <v>64</v>
      </c>
      <c r="W123" s="1" t="b">
        <v>1</v>
      </c>
      <c r="X123" s="23" t="str">
        <f>IFERROR(__xludf.DUMMYFUNCTION("if(COUNTA(FILTER(C:C, C:C = C123))=1,""no"",""yes"")"),"no")</f>
        <v>no</v>
      </c>
    </row>
    <row r="124">
      <c r="A124" s="1" t="s">
        <v>476</v>
      </c>
      <c r="B124" s="69"/>
      <c r="C124" s="69" t="s">
        <v>540</v>
      </c>
      <c r="E124" s="26">
        <v>43629.0</v>
      </c>
      <c r="F124" s="25" t="str">
        <f>IFERROR(__xludf.DUMMYFUNCTION("iferror(ifna(IFNA(filter('2.1.clean'!E:E,'2.1.clean'!A:A=C124),filter('2.2.clean'!G:G,'2.2.clean'!D:D=C124)),filter('2.4.clean'!E:E,'2.4.clean'!A:A=C124)),)"),"")</f>
        <v/>
      </c>
      <c r="G124" s="24"/>
      <c r="J124" s="25"/>
      <c r="K124" s="24"/>
      <c r="L124" s="25"/>
      <c r="M124" s="24" t="str">
        <f>IFERROR(__xludf.DUMMYFUNCTION("iferror(filter('3.3.clean'!C:C,'3.3.clean'!A:A=C124),"""")"),"")</f>
        <v/>
      </c>
      <c r="N124" s="25" t="b">
        <f t="shared" si="62"/>
        <v>0</v>
      </c>
      <c r="O124" s="24" t="str">
        <f>IFERROR(__xludf.DUMMYFUNCTION("iferror(filter('3.4.clean'!C:C,'3.4.clean'!A:A=C124),"""")"),"")</f>
        <v/>
      </c>
      <c r="P124" s="25" t="b">
        <f t="shared" si="59"/>
        <v>0</v>
      </c>
      <c r="Q124" s="24" t="str">
        <f>IFERROR(__xludf.DUMMYFUNCTION("iferror(filter('3.5.clean'!C:C,'3.5.clean'!A:A=C124),"""")"),"")</f>
        <v/>
      </c>
      <c r="R124" s="23" t="b">
        <f t="shared" si="63"/>
        <v>0</v>
      </c>
      <c r="S124" s="25"/>
      <c r="V124" s="1" t="s">
        <v>64</v>
      </c>
      <c r="W124" s="1" t="b">
        <v>1</v>
      </c>
      <c r="X124" s="23" t="str">
        <f>IFERROR(__xludf.DUMMYFUNCTION("if(COUNTA(FILTER(C:C, C:C = C124))=1,""no"",""yes"")"),"no")</f>
        <v>no</v>
      </c>
    </row>
    <row r="125">
      <c r="A125" s="1" t="s">
        <v>476</v>
      </c>
      <c r="B125" s="19"/>
      <c r="C125" s="19" t="s">
        <v>546</v>
      </c>
      <c r="E125" s="26">
        <v>43629.0</v>
      </c>
      <c r="F125" s="25" t="str">
        <f>IFERROR(__xludf.DUMMYFUNCTION("iferror(ifna(IFNA(filter('2.1.clean'!E:E,'2.1.clean'!A:A=C125),filter('2.2.clean'!G:G,'2.2.clean'!D:D=C125)),filter('2.4.clean'!E:E,'2.4.clean'!A:A=C125)),)"),"")</f>
        <v/>
      </c>
      <c r="G125" s="24"/>
      <c r="J125" s="25"/>
      <c r="K125" s="24"/>
      <c r="L125" s="25"/>
      <c r="M125" s="24" t="str">
        <f>IFERROR(__xludf.DUMMYFUNCTION("iferror(filter('3.3.clean'!C:C,'3.3.clean'!A:A=C125),"""")"),"")</f>
        <v/>
      </c>
      <c r="N125" s="25"/>
      <c r="O125" s="24">
        <f>IFERROR(__xludf.DUMMYFUNCTION("iferror(filter('3.4.clean'!C:C,'3.4.clean'!A:A=C125),"""")"),43662.0)</f>
        <v>43662</v>
      </c>
      <c r="P125" s="25" t="b">
        <f t="shared" si="59"/>
        <v>1</v>
      </c>
      <c r="Q125" s="24" t="str">
        <f>IFERROR(__xludf.DUMMYFUNCTION("iferror(filter('3.5.clean'!C:C,'3.5.clean'!A:A=C125),"""")"),"")</f>
        <v/>
      </c>
      <c r="S125" s="25"/>
      <c r="V125" s="1" t="s">
        <v>64</v>
      </c>
      <c r="W125" s="1" t="b">
        <v>1</v>
      </c>
      <c r="X125" s="23" t="str">
        <f>IFERROR(__xludf.DUMMYFUNCTION("if(COUNTA(FILTER(C:C, C:C = C125))=1,""no"",""yes"")"),"no")</f>
        <v>no</v>
      </c>
      <c r="Y125" s="39"/>
      <c r="Z125" s="39"/>
      <c r="AA125" s="39"/>
      <c r="AB125" s="39"/>
      <c r="AC125" s="39"/>
      <c r="AD125" s="39"/>
      <c r="AE125" s="39"/>
      <c r="AF125" s="39"/>
      <c r="AG125" s="39"/>
      <c r="AH125" s="39"/>
    </row>
    <row r="126">
      <c r="A126" s="1" t="s">
        <v>476</v>
      </c>
      <c r="B126" s="19"/>
      <c r="C126" s="19" t="s">
        <v>550</v>
      </c>
      <c r="E126" s="24">
        <f>IFERROR(__xludf.DUMMYFUNCTION("ifna(IFNA(filter('2.1.clean'!C:C,'2.1.clean'!A:A=C126),filter('2.2.clean'!E:E,'2.2.clean'!D:D=C126)),filter('2.4.clean'!C:C,'2.4.clean'!A:A=C126))"),43629.0)</f>
        <v>43629</v>
      </c>
      <c r="F126" s="25">
        <f>IFERROR(__xludf.DUMMYFUNCTION("iferror(ifna(IFNA(filter('2.1.clean'!E:E,'2.1.clean'!A:A=C126),filter('2.2.clean'!G:G,'2.2.clean'!D:D=C126)),filter('2.4.clean'!E:E,'2.4.clean'!A:A=C126)),)"),2.4)</f>
        <v>2.4</v>
      </c>
      <c r="G126" s="24"/>
      <c r="J126" s="25"/>
      <c r="K126" s="24"/>
      <c r="L126" s="25"/>
      <c r="M126" s="24">
        <f>IFERROR(__xludf.DUMMYFUNCTION("iferror(filter('3.3.clean'!C:C,'3.3.clean'!A:A=C126),"""")"),43661.0)</f>
        <v>43661</v>
      </c>
      <c r="N126" s="25" t="b">
        <f t="shared" ref="N126:N130" si="64">if(M126="",FALSE,TRUE)</f>
        <v>1</v>
      </c>
      <c r="O126" s="24">
        <f>IFERROR(__xludf.DUMMYFUNCTION("iferror(filter('3.4.clean'!C:C,'3.4.clean'!A:A=C126),"""")"),43662.0)</f>
        <v>43662</v>
      </c>
      <c r="P126" s="25" t="b">
        <f t="shared" si="59"/>
        <v>1</v>
      </c>
      <c r="Q126" s="24">
        <f>IFERROR(__xludf.DUMMYFUNCTION("iferror(filter('3.5.clean'!C:C,'3.5.clean'!A:A=C126),"""")"),43629.0)</f>
        <v>43629</v>
      </c>
      <c r="R126" s="23" t="b">
        <f t="shared" ref="R126:R130" si="65">if(Q126="",FALSE,TRUE)</f>
        <v>1</v>
      </c>
      <c r="S126" s="25"/>
      <c r="U126" s="23"/>
      <c r="V126" s="1" t="s">
        <v>64</v>
      </c>
      <c r="W126" s="1" t="b">
        <v>1</v>
      </c>
      <c r="X126" s="23" t="str">
        <f>IFERROR(__xludf.DUMMYFUNCTION("if(COUNTA(FILTER(C:C, C:C = C126))=1,""no"",""yes"")"),"no")</f>
        <v>no</v>
      </c>
    </row>
    <row r="127">
      <c r="A127" s="1" t="s">
        <v>476</v>
      </c>
      <c r="B127" s="69"/>
      <c r="C127" s="69" t="s">
        <v>554</v>
      </c>
      <c r="E127" s="26">
        <v>43629.0</v>
      </c>
      <c r="F127" s="25" t="str">
        <f>IFERROR(__xludf.DUMMYFUNCTION("iferror(ifna(IFNA(filter('2.1.clean'!E:E,'2.1.clean'!A:A=C127),filter('2.2.clean'!G:G,'2.2.clean'!D:D=C127)),filter('2.4.clean'!E:E,'2.4.clean'!A:A=C127)),)"),"")</f>
        <v/>
      </c>
      <c r="G127" s="24"/>
      <c r="J127" s="25"/>
      <c r="K127" s="24"/>
      <c r="L127" s="25"/>
      <c r="M127" s="24" t="str">
        <f>IFERROR(__xludf.DUMMYFUNCTION("iferror(filter('3.3.clean'!C:C,'3.3.clean'!A:A=C127),"""")"),"")</f>
        <v/>
      </c>
      <c r="N127" s="25" t="b">
        <f t="shared" si="64"/>
        <v>0</v>
      </c>
      <c r="O127" s="24" t="str">
        <f>IFERROR(__xludf.DUMMYFUNCTION("iferror(filter('3.4.clean'!C:C,'3.4.clean'!A:A=C127),"""")"),"")</f>
        <v/>
      </c>
      <c r="P127" s="25" t="b">
        <f t="shared" si="59"/>
        <v>0</v>
      </c>
      <c r="Q127" s="24" t="str">
        <f>IFERROR(__xludf.DUMMYFUNCTION("iferror(filter('3.5.clean'!C:C,'3.5.clean'!A:A=C127),"""")"),"")</f>
        <v/>
      </c>
      <c r="R127" s="23" t="b">
        <f t="shared" si="65"/>
        <v>0</v>
      </c>
      <c r="S127" s="25"/>
      <c r="T127" s="18"/>
      <c r="V127" s="1" t="s">
        <v>64</v>
      </c>
      <c r="W127" s="1" t="b">
        <v>1</v>
      </c>
      <c r="X127" s="23" t="str">
        <f>IFERROR(__xludf.DUMMYFUNCTION("if(COUNTA(FILTER(C:C, C:C = C127))=1,""no"",""yes"")"),"no")</f>
        <v>no</v>
      </c>
    </row>
    <row r="128">
      <c r="A128" s="1" t="s">
        <v>476</v>
      </c>
      <c r="B128" s="72"/>
      <c r="C128" s="72" t="s">
        <v>559</v>
      </c>
      <c r="E128" s="26">
        <v>43629.0</v>
      </c>
      <c r="F128" s="25" t="str">
        <f>IFERROR(__xludf.DUMMYFUNCTION("iferror(ifna(IFNA(filter('2.1.clean'!E:E,'2.1.clean'!A:A=C128),filter('2.2.clean'!G:G,'2.2.clean'!D:D=C128)),filter('2.4.clean'!E:E,'2.4.clean'!A:A=C128)),)"),"")</f>
        <v/>
      </c>
      <c r="G128" s="24"/>
      <c r="J128" s="25"/>
      <c r="K128" s="24"/>
      <c r="L128" s="25"/>
      <c r="M128" s="24" t="str">
        <f>IFERROR(__xludf.DUMMYFUNCTION("iferror(filter('3.3.clean'!C:C,'3.3.clean'!A:A=C128),"""")"),"")</f>
        <v/>
      </c>
      <c r="N128" s="25" t="b">
        <f t="shared" si="64"/>
        <v>0</v>
      </c>
      <c r="O128" s="24">
        <f>IFERROR(__xludf.DUMMYFUNCTION("iferror(filter('3.4.clean'!C:C,'3.4.clean'!A:A=C128),"""")"),43662.0)</f>
        <v>43662</v>
      </c>
      <c r="P128" s="25" t="b">
        <f t="shared" si="59"/>
        <v>1</v>
      </c>
      <c r="Q128" s="24" t="str">
        <f>IFERROR(__xludf.DUMMYFUNCTION("iferror(filter('3.5.clean'!C:C,'3.5.clean'!A:A=C128),"""")"),"")</f>
        <v/>
      </c>
      <c r="R128" s="23" t="b">
        <f t="shared" si="65"/>
        <v>0</v>
      </c>
      <c r="S128" s="25"/>
      <c r="V128" s="1" t="s">
        <v>64</v>
      </c>
      <c r="W128" s="1" t="b">
        <v>1</v>
      </c>
      <c r="X128" s="23" t="str">
        <f>IFERROR(__xludf.DUMMYFUNCTION("if(COUNTA(FILTER(C:C, C:C = C128))=1,""no"",""yes"")"),"no")</f>
        <v>no</v>
      </c>
    </row>
    <row r="129">
      <c r="A129" s="1" t="s">
        <v>476</v>
      </c>
      <c r="B129" s="19"/>
      <c r="C129" s="19" t="s">
        <v>564</v>
      </c>
      <c r="E129" s="24">
        <f>IFERROR(__xludf.DUMMYFUNCTION("ifna(IFNA(filter('2.1.clean'!C:C,'2.1.clean'!A:A=C129),filter('2.2.clean'!E:E,'2.2.clean'!D:D=C129)),filter('2.4.clean'!C:C,'2.4.clean'!A:A=C129))"),43629.0)</f>
        <v>43629</v>
      </c>
      <c r="F129" s="25">
        <f>IFERROR(__xludf.DUMMYFUNCTION("iferror(ifna(IFNA(filter('2.1.clean'!E:E,'2.1.clean'!A:A=C129),filter('2.2.clean'!G:G,'2.2.clean'!D:D=C129)),filter('2.4.clean'!E:E,'2.4.clean'!A:A=C129)),)"),2.4)</f>
        <v>2.4</v>
      </c>
      <c r="G129" s="24"/>
      <c r="J129" s="25"/>
      <c r="K129" s="24"/>
      <c r="L129" s="25"/>
      <c r="M129" s="24">
        <f>IFERROR(__xludf.DUMMYFUNCTION("iferror(filter('3.3.clean'!C:C,'3.3.clean'!A:A=C129),"""")"),43661.0)</f>
        <v>43661</v>
      </c>
      <c r="N129" s="25" t="b">
        <f t="shared" si="64"/>
        <v>1</v>
      </c>
      <c r="O129" s="24">
        <f>IFERROR(__xludf.DUMMYFUNCTION("iferror(filter('3.4.clean'!C:C,'3.4.clean'!A:A=C129),"""")"),43662.0)</f>
        <v>43662</v>
      </c>
      <c r="P129" s="25" t="b">
        <f t="shared" si="59"/>
        <v>1</v>
      </c>
      <c r="Q129" s="24">
        <f>IFERROR(__xludf.DUMMYFUNCTION("iferror(filter('3.5.clean'!C:C,'3.5.clean'!A:A=C129),"""")"),43629.0)</f>
        <v>43629</v>
      </c>
      <c r="R129" s="23" t="b">
        <f t="shared" si="65"/>
        <v>1</v>
      </c>
      <c r="S129" s="25"/>
      <c r="U129" s="23"/>
      <c r="V129" s="1" t="s">
        <v>64</v>
      </c>
      <c r="W129" s="23" t="b">
        <f>IF(and(R129=TRUE,N129=TRUE,P129=TRUE),TRUE,FALSE)</f>
        <v>1</v>
      </c>
      <c r="X129" s="23" t="str">
        <f>IFERROR(__xludf.DUMMYFUNCTION("if(COUNTA(FILTER(C:C, C:C = C129))=1,""no"",""yes"")"),"no")</f>
        <v>no</v>
      </c>
    </row>
    <row r="130">
      <c r="A130" s="1" t="s">
        <v>476</v>
      </c>
      <c r="B130" s="69"/>
      <c r="C130" s="69" t="s">
        <v>570</v>
      </c>
      <c r="E130" s="26">
        <v>43629.0</v>
      </c>
      <c r="F130" s="25" t="str">
        <f>IFERROR(__xludf.DUMMYFUNCTION("iferror(ifna(IFNA(filter('2.1.clean'!E:E,'2.1.clean'!A:A=C130),filter('2.2.clean'!G:G,'2.2.clean'!D:D=C130)),filter('2.4.clean'!E:E,'2.4.clean'!A:A=C130)),)"),"")</f>
        <v/>
      </c>
      <c r="G130" s="24"/>
      <c r="J130" s="25"/>
      <c r="K130" s="24"/>
      <c r="L130" s="25"/>
      <c r="M130" s="24" t="str">
        <f>IFERROR(__xludf.DUMMYFUNCTION("iferror(filter('3.3.clean'!C:C,'3.3.clean'!A:A=C130),"""")"),"")</f>
        <v/>
      </c>
      <c r="N130" s="25" t="b">
        <f t="shared" si="64"/>
        <v>0</v>
      </c>
      <c r="O130" s="24" t="str">
        <f>IFERROR(__xludf.DUMMYFUNCTION("iferror(filter('3.4.clean'!C:C,'3.4.clean'!A:A=C130),"""")"),"")</f>
        <v/>
      </c>
      <c r="P130" s="25" t="b">
        <f t="shared" si="59"/>
        <v>0</v>
      </c>
      <c r="Q130" s="24" t="str">
        <f>IFERROR(__xludf.DUMMYFUNCTION("iferror(filter('3.5.clean'!C:C,'3.5.clean'!A:A=C130),"""")"),"")</f>
        <v/>
      </c>
      <c r="R130" s="23" t="b">
        <f t="shared" si="65"/>
        <v>0</v>
      </c>
      <c r="S130" s="25"/>
      <c r="T130" s="18"/>
      <c r="V130" s="1" t="s">
        <v>64</v>
      </c>
      <c r="W130" s="1" t="b">
        <v>1</v>
      </c>
      <c r="X130" s="23" t="str">
        <f>IFERROR(__xludf.DUMMYFUNCTION("if(COUNTA(FILTER(C:C, C:C = C130))=1,""no"",""yes"")"),"no")</f>
        <v>no</v>
      </c>
    </row>
    <row r="131">
      <c r="A131" s="1" t="s">
        <v>476</v>
      </c>
      <c r="B131" s="19"/>
      <c r="C131" s="19" t="s">
        <v>574</v>
      </c>
      <c r="E131" s="26">
        <v>43629.0</v>
      </c>
      <c r="F131" s="25" t="str">
        <f>IFERROR(__xludf.DUMMYFUNCTION("iferror(ifna(IFNA(filter('2.1.clean'!E:E,'2.1.clean'!A:A=C131),filter('2.2.clean'!G:G,'2.2.clean'!D:D=C131)),filter('2.4.clean'!E:E,'2.4.clean'!A:A=C131)),)"),"")</f>
        <v/>
      </c>
      <c r="G131" s="24"/>
      <c r="J131" s="25"/>
      <c r="K131" s="24"/>
      <c r="L131" s="25"/>
      <c r="M131" s="24" t="str">
        <f>IFERROR(__xludf.DUMMYFUNCTION("iferror(filter('3.3.clean'!C:C,'3.3.clean'!A:A=C131),"""")"),"")</f>
        <v/>
      </c>
      <c r="N131" s="25"/>
      <c r="O131" s="24">
        <f>IFERROR(__xludf.DUMMYFUNCTION("iferror(filter('3.4.clean'!C:C,'3.4.clean'!A:A=C131),"""")"),43662.0)</f>
        <v>43662</v>
      </c>
      <c r="P131" s="25" t="b">
        <f t="shared" si="59"/>
        <v>1</v>
      </c>
      <c r="Q131" s="24" t="str">
        <f>IFERROR(__xludf.DUMMYFUNCTION("iferror(filter('3.5.clean'!C:C,'3.5.clean'!A:A=C131),"""")"),"")</f>
        <v/>
      </c>
      <c r="S131" s="25"/>
      <c r="V131" s="1" t="s">
        <v>64</v>
      </c>
      <c r="W131" s="1" t="b">
        <v>1</v>
      </c>
      <c r="X131" s="23" t="str">
        <f>IFERROR(__xludf.DUMMYFUNCTION("if(COUNTA(FILTER(C:C, C:C = C131))=1,""no"",""yes"")"),"no")</f>
        <v>no</v>
      </c>
    </row>
    <row r="132">
      <c r="A132" s="1" t="s">
        <v>476</v>
      </c>
      <c r="B132" s="19"/>
      <c r="C132" s="19" t="s">
        <v>576</v>
      </c>
      <c r="E132" s="24">
        <f>IFERROR(__xludf.DUMMYFUNCTION("ifna(IFNA(filter('2.1.clean'!C:C,'2.1.clean'!A:A=C132),filter('2.2.clean'!E:E,'2.2.clean'!D:D=C132)),filter('2.4.clean'!C:C,'2.4.clean'!A:A=C132))"),43629.0)</f>
        <v>43629</v>
      </c>
      <c r="F132" s="25">
        <f>IFERROR(__xludf.DUMMYFUNCTION("iferror(ifna(IFNA(filter('2.1.clean'!E:E,'2.1.clean'!A:A=C132),filter('2.2.clean'!G:G,'2.2.clean'!D:D=C132)),filter('2.4.clean'!E:E,'2.4.clean'!A:A=C132)),)"),2.4)</f>
        <v>2.4</v>
      </c>
      <c r="G132" s="24"/>
      <c r="J132" s="25"/>
      <c r="K132" s="24"/>
      <c r="L132" s="25"/>
      <c r="M132" s="24">
        <f>IFERROR(__xludf.DUMMYFUNCTION("iferror(filter('3.3.clean'!C:C,'3.3.clean'!A:A=C132),"""")"),43661.0)</f>
        <v>43661</v>
      </c>
      <c r="N132" s="25" t="b">
        <f t="shared" ref="N132:N133" si="66">if(M132="",FALSE,TRUE)</f>
        <v>1</v>
      </c>
      <c r="O132" s="24">
        <f>IFERROR(__xludf.DUMMYFUNCTION("iferror(filter('3.4.clean'!C:C,'3.4.clean'!A:A=C132),"""")"),43662.0)</f>
        <v>43662</v>
      </c>
      <c r="P132" s="25" t="b">
        <f t="shared" si="59"/>
        <v>1</v>
      </c>
      <c r="Q132" s="24">
        <f>IFERROR(__xludf.DUMMYFUNCTION("iferror(filter('3.5.clean'!C:C,'3.5.clean'!A:A=C132),"""")"),43629.0)</f>
        <v>43629</v>
      </c>
      <c r="R132" s="23" t="b">
        <f t="shared" ref="R132:R133" si="67">if(Q132="",FALSE,TRUE)</f>
        <v>1</v>
      </c>
      <c r="S132" s="25"/>
      <c r="U132" s="23"/>
      <c r="V132" s="1" t="s">
        <v>64</v>
      </c>
      <c r="W132" s="23" t="b">
        <f>IF(and(R132=TRUE,N132=TRUE,P132=TRUE),TRUE,FALSE)</f>
        <v>1</v>
      </c>
      <c r="X132" s="23" t="str">
        <f>IFERROR(__xludf.DUMMYFUNCTION("if(COUNTA(FILTER(C:C, C:C = C132))=1,""no"",""yes"")"),"no")</f>
        <v>no</v>
      </c>
    </row>
    <row r="133">
      <c r="A133" s="1" t="s">
        <v>476</v>
      </c>
      <c r="B133" s="69"/>
      <c r="C133" s="69" t="s">
        <v>581</v>
      </c>
      <c r="E133" s="26">
        <v>43629.0</v>
      </c>
      <c r="F133" s="25" t="str">
        <f>IFERROR(__xludf.DUMMYFUNCTION("iferror(ifna(IFNA(filter('2.1.clean'!E:E,'2.1.clean'!A:A=C133),filter('2.2.clean'!G:G,'2.2.clean'!D:D=C133)),filter('2.4.clean'!E:E,'2.4.clean'!A:A=C133)),)"),"")</f>
        <v/>
      </c>
      <c r="G133" s="24"/>
      <c r="J133" s="25"/>
      <c r="K133" s="24"/>
      <c r="L133" s="25"/>
      <c r="M133" s="24" t="str">
        <f>IFERROR(__xludf.DUMMYFUNCTION("iferror(filter('3.3.clean'!C:C,'3.3.clean'!A:A=C133),"""")"),"")</f>
        <v/>
      </c>
      <c r="N133" s="25" t="b">
        <f t="shared" si="66"/>
        <v>0</v>
      </c>
      <c r="O133" s="24" t="str">
        <f>IFERROR(__xludf.DUMMYFUNCTION("iferror(filter('3.4.clean'!C:C,'3.4.clean'!A:A=C133),"""")"),"")</f>
        <v/>
      </c>
      <c r="P133" s="25" t="b">
        <f t="shared" si="59"/>
        <v>0</v>
      </c>
      <c r="Q133" s="24" t="str">
        <f>IFERROR(__xludf.DUMMYFUNCTION("iferror(filter('3.5.clean'!C:C,'3.5.clean'!A:A=C133),"""")"),"")</f>
        <v/>
      </c>
      <c r="R133" s="23" t="b">
        <f t="shared" si="67"/>
        <v>0</v>
      </c>
      <c r="S133" s="25"/>
      <c r="T133" s="18"/>
      <c r="V133" s="1" t="s">
        <v>64</v>
      </c>
      <c r="W133" s="1" t="b">
        <v>1</v>
      </c>
      <c r="X133" s="23" t="str">
        <f>IFERROR(__xludf.DUMMYFUNCTION("if(COUNTA(FILTER(C:C, C:C = C133))=1,""no"",""yes"")"),"no")</f>
        <v>no</v>
      </c>
    </row>
    <row r="134">
      <c r="A134" s="1" t="s">
        <v>476</v>
      </c>
      <c r="B134" s="19"/>
      <c r="C134" s="19" t="s">
        <v>583</v>
      </c>
      <c r="E134" s="26">
        <v>43629.0</v>
      </c>
      <c r="F134" s="25" t="str">
        <f>IFERROR(__xludf.DUMMYFUNCTION("iferror(ifna(IFNA(filter('2.1.clean'!E:E,'2.1.clean'!A:A=C134),filter('2.2.clean'!G:G,'2.2.clean'!D:D=C134)),filter('2.4.clean'!E:E,'2.4.clean'!A:A=C134)),)"),"")</f>
        <v/>
      </c>
      <c r="G134" s="24"/>
      <c r="J134" s="25"/>
      <c r="K134" s="24"/>
      <c r="L134" s="25"/>
      <c r="M134" s="24" t="str">
        <f>IFERROR(__xludf.DUMMYFUNCTION("iferror(filter('3.3.clean'!C:C,'3.3.clean'!A:A=C134),"""")"),"")</f>
        <v/>
      </c>
      <c r="N134" s="25"/>
      <c r="O134" s="24">
        <f>IFERROR(__xludf.DUMMYFUNCTION("iferror(filter('3.4.clean'!C:C,'3.4.clean'!A:A=C134),"""")"),43662.0)</f>
        <v>43662</v>
      </c>
      <c r="P134" s="25" t="b">
        <f t="shared" si="59"/>
        <v>1</v>
      </c>
      <c r="Q134" s="24" t="str">
        <f>IFERROR(__xludf.DUMMYFUNCTION("iferror(filter('3.5.clean'!C:C,'3.5.clean'!A:A=C134),"""")"),"")</f>
        <v/>
      </c>
      <c r="S134" s="25"/>
      <c r="V134" s="1" t="s">
        <v>64</v>
      </c>
      <c r="W134" s="1" t="b">
        <v>1</v>
      </c>
      <c r="X134" s="23" t="str">
        <f>IFERROR(__xludf.DUMMYFUNCTION("if(COUNTA(FILTER(C:C, C:C = C134))=1,""no"",""yes"")"),"no")</f>
        <v>no</v>
      </c>
    </row>
    <row r="135">
      <c r="A135" s="1" t="s">
        <v>476</v>
      </c>
      <c r="B135" s="19"/>
      <c r="C135" s="19" t="s">
        <v>586</v>
      </c>
      <c r="E135" s="24">
        <f>IFERROR(__xludf.DUMMYFUNCTION("ifna(IFNA(filter('2.1.clean'!C:C,'2.1.clean'!A:A=C135),filter('2.2.clean'!E:E,'2.2.clean'!D:D=C135)),filter('2.4.clean'!C:C,'2.4.clean'!A:A=C135))"),43629.0)</f>
        <v>43629</v>
      </c>
      <c r="F135" s="25">
        <f>IFERROR(__xludf.DUMMYFUNCTION("iferror(ifna(IFNA(filter('2.1.clean'!E:E,'2.1.clean'!A:A=C135),filter('2.2.clean'!G:G,'2.2.clean'!D:D=C135)),filter('2.4.clean'!E:E,'2.4.clean'!A:A=C135)),)"),2.4)</f>
        <v>2.4</v>
      </c>
      <c r="G135" s="24" t="str">
        <f>IFERROR(__xludf.DUMMYFUNCTION("iferror(filter('3.1.clean'!C:C,'3.1.clean'!A:A=C135),"""")"),"")</f>
        <v/>
      </c>
      <c r="H135" s="23" t="b">
        <f t="shared" ref="H135:H137" si="68">if(G135="",FALSE,TRUE)</f>
        <v>0</v>
      </c>
      <c r="J135" s="25"/>
      <c r="K135" s="24" t="str">
        <f>IFERROR(__xludf.DUMMYFUNCTION("iferror(filter('3.2.clean'!C:C,'3.2.clean'!A:A=C135),"""")"),"")</f>
        <v/>
      </c>
      <c r="L135" s="25" t="b">
        <f t="shared" ref="L135:L137" si="69">if(K135="",FALSE,TRUE)</f>
        <v>0</v>
      </c>
      <c r="M135" s="24" t="str">
        <f>IFERROR(__xludf.DUMMYFUNCTION("iferror(filter('3.3.clean'!C:C,'3.3.clean'!A:A=C135),"""")"),"#REF!")</f>
        <v>#REF!</v>
      </c>
      <c r="N135" s="25" t="str">
        <f>if(M135="",FALSE,TRUE)</f>
        <v>#REF!</v>
      </c>
      <c r="O135" s="24">
        <f>IFERROR(__xludf.DUMMYFUNCTION("iferror(filter('3.4.clean'!C:C,'3.4.clean'!A:A=C135),"""")"),43662.0)</f>
        <v>43662</v>
      </c>
      <c r="P135" s="25" t="b">
        <f t="shared" si="59"/>
        <v>1</v>
      </c>
      <c r="Q135" s="24">
        <f>IFERROR(__xludf.DUMMYFUNCTION("iferror(filter('3.5.clean'!C:C,'3.5.clean'!A:A=C135),"""")"),43629.0)</f>
        <v>43629</v>
      </c>
      <c r="R135" s="23" t="b">
        <f>if(Q135="",FALSE,TRUE)</f>
        <v>1</v>
      </c>
      <c r="S135" s="25"/>
      <c r="T135" s="1" t="s">
        <v>593</v>
      </c>
      <c r="U135" s="23" t="s">
        <v>177</v>
      </c>
      <c r="V135" s="1" t="s">
        <v>64</v>
      </c>
      <c r="X135" s="23" t="str">
        <f>IFERROR(__xludf.DUMMYFUNCTION("if(COUNTA(FILTER(C:C, C:C = C135))=1,""no"",""yes"")"),"no")</f>
        <v>no</v>
      </c>
    </row>
    <row r="136">
      <c r="A136" s="1" t="s">
        <v>476</v>
      </c>
      <c r="B136" s="69"/>
      <c r="C136" s="69" t="s">
        <v>596</v>
      </c>
      <c r="E136" s="26">
        <v>43629.0</v>
      </c>
      <c r="F136" s="25" t="str">
        <f>IFERROR(__xludf.DUMMYFUNCTION("iferror(ifna(IFNA(filter('2.1.clean'!E:E,'2.1.clean'!A:A=C136),filter('2.2.clean'!G:G,'2.2.clean'!D:D=C136)),filter('2.4.clean'!E:E,'2.4.clean'!A:A=C136)),)"),"")</f>
        <v/>
      </c>
      <c r="G136" s="24" t="str">
        <f>IFERROR(__xludf.DUMMYFUNCTION("iferror(filter('3.1.clean'!C:C,'3.1.clean'!A:A=C136),"""")"),"")</f>
        <v/>
      </c>
      <c r="H136" s="23" t="b">
        <f t="shared" si="68"/>
        <v>0</v>
      </c>
      <c r="J136" s="25"/>
      <c r="K136" s="24" t="str">
        <f>IFERROR(__xludf.DUMMYFUNCTION("iferror(filter('3.2.clean'!C:C,'3.2.clean'!A:A=C136),"""")"),"")</f>
        <v/>
      </c>
      <c r="L136" s="25" t="b">
        <f t="shared" si="69"/>
        <v>0</v>
      </c>
      <c r="M136" s="24" t="str">
        <f>IFERROR(__xludf.DUMMYFUNCTION("iferror(filter('3.3.clean'!C:C,'3.3.clean'!A:A=C136),"""")"),"")</f>
        <v/>
      </c>
      <c r="N136" s="25"/>
      <c r="O136" s="24" t="str">
        <f>IFERROR(__xludf.DUMMYFUNCTION("iferror(filter('3.4.clean'!C:C,'3.4.clean'!A:A=C136),"""")"),"")</f>
        <v/>
      </c>
      <c r="P136" s="25" t="b">
        <f t="shared" si="59"/>
        <v>0</v>
      </c>
      <c r="Q136" s="24" t="str">
        <f>IFERROR(__xludf.DUMMYFUNCTION("iferror(filter('3.5.clean'!C:C,'3.5.clean'!A:A=C136),"""")"),"")</f>
        <v/>
      </c>
      <c r="S136" s="25"/>
      <c r="V136" s="1" t="s">
        <v>64</v>
      </c>
      <c r="X136" s="23" t="str">
        <f>IFERROR(__xludf.DUMMYFUNCTION("if(COUNTA(FILTER(C:C, C:C = C136))=1,""no"",""yes"")"),"no")</f>
        <v>no</v>
      </c>
    </row>
    <row r="137">
      <c r="A137" s="1" t="s">
        <v>476</v>
      </c>
      <c r="B137" s="69"/>
      <c r="C137" s="69" t="s">
        <v>599</v>
      </c>
      <c r="E137" s="26">
        <v>43629.0</v>
      </c>
      <c r="F137" s="25" t="str">
        <f>IFERROR(__xludf.DUMMYFUNCTION("iferror(ifna(IFNA(filter('2.1.clean'!E:E,'2.1.clean'!A:A=C137),filter('2.2.clean'!G:G,'2.2.clean'!D:D=C137)),filter('2.4.clean'!E:E,'2.4.clean'!A:A=C137)),)"),"")</f>
        <v/>
      </c>
      <c r="G137" s="24" t="str">
        <f>IFERROR(__xludf.DUMMYFUNCTION("iferror(filter('3.1.clean'!C:C,'3.1.clean'!A:A=C137),"""")"),"")</f>
        <v/>
      </c>
      <c r="H137" s="23" t="b">
        <f t="shared" si="68"/>
        <v>0</v>
      </c>
      <c r="J137" s="25"/>
      <c r="K137" s="24" t="str">
        <f>IFERROR(__xludf.DUMMYFUNCTION("iferror(filter('3.2.clean'!C:C,'3.2.clean'!A:A=C137),"""")"),"")</f>
        <v/>
      </c>
      <c r="L137" s="25" t="b">
        <f t="shared" si="69"/>
        <v>0</v>
      </c>
      <c r="M137" s="24" t="str">
        <f>IFERROR(__xludf.DUMMYFUNCTION("iferror(filter('3.3.clean'!C:C,'3.3.clean'!A:A=C137),"""")"),"")</f>
        <v/>
      </c>
      <c r="N137" s="25"/>
      <c r="O137" s="24" t="str">
        <f>IFERROR(__xludf.DUMMYFUNCTION("iferror(filter('3.4.clean'!C:C,'3.4.clean'!A:A=C137),"""")"),"")</f>
        <v/>
      </c>
      <c r="P137" s="25" t="b">
        <f t="shared" si="59"/>
        <v>0</v>
      </c>
      <c r="Q137" s="24" t="str">
        <f>IFERROR(__xludf.DUMMYFUNCTION("iferror(filter('3.5.clean'!C:C,'3.5.clean'!A:A=C137),"""")"),"")</f>
        <v/>
      </c>
      <c r="S137" s="25"/>
      <c r="V137" s="1" t="s">
        <v>64</v>
      </c>
      <c r="X137" s="23" t="str">
        <f>IFERROR(__xludf.DUMMYFUNCTION("if(COUNTA(FILTER(C:C, C:C = C137))=1,""no"",""yes"")"),"no")</f>
        <v>no</v>
      </c>
    </row>
    <row r="138">
      <c r="A138" s="1" t="s">
        <v>476</v>
      </c>
      <c r="B138" s="19"/>
      <c r="C138" s="19" t="s">
        <v>604</v>
      </c>
      <c r="E138" s="26">
        <v>43629.0</v>
      </c>
      <c r="F138" s="25" t="str">
        <f>IFERROR(__xludf.DUMMYFUNCTION("iferror(ifna(IFNA(filter('2.1.clean'!E:E,'2.1.clean'!A:A=C138),filter('2.2.clean'!G:G,'2.2.clean'!D:D=C138)),filter('2.4.clean'!E:E,'2.4.clean'!A:A=C138)),)"),"")</f>
        <v/>
      </c>
      <c r="G138" s="24"/>
      <c r="J138" s="25"/>
      <c r="K138" s="24"/>
      <c r="L138" s="25"/>
      <c r="M138" s="24" t="str">
        <f>IFERROR(__xludf.DUMMYFUNCTION("iferror(filter('3.3.clean'!C:C,'3.3.clean'!A:A=C138),"""")"),"")</f>
        <v/>
      </c>
      <c r="N138" s="25" t="b">
        <f t="shared" ref="N138:N139" si="70">if(M138="",FALSE,TRUE)</f>
        <v>0</v>
      </c>
      <c r="O138" s="24">
        <f>IFERROR(__xludf.DUMMYFUNCTION("iferror(filter('3.4.clean'!C:C,'3.4.clean'!A:A=C138),"""")"),43662.0)</f>
        <v>43662</v>
      </c>
      <c r="P138" s="25" t="b">
        <f t="shared" si="59"/>
        <v>1</v>
      </c>
      <c r="Q138" s="24" t="str">
        <f>IFERROR(__xludf.DUMMYFUNCTION("iferror(filter('3.5.clean'!C:C,'3.5.clean'!A:A=C138),"""")"),"")</f>
        <v/>
      </c>
      <c r="R138" s="23" t="b">
        <f t="shared" ref="R138:R139" si="71">if(Q138="",FALSE,TRUE)</f>
        <v>0</v>
      </c>
      <c r="S138" s="25"/>
      <c r="U138" s="1" t="s">
        <v>503</v>
      </c>
      <c r="V138" s="1" t="s">
        <v>64</v>
      </c>
      <c r="X138" s="23" t="str">
        <f>IFERROR(__xludf.DUMMYFUNCTION("if(COUNTA(FILTER(C:C, C:C = C138))=1,""no"",""yes"")"),"no")</f>
        <v>no</v>
      </c>
    </row>
    <row r="139">
      <c r="A139" s="1" t="s">
        <v>476</v>
      </c>
      <c r="B139" s="19"/>
      <c r="C139" s="19" t="s">
        <v>607</v>
      </c>
      <c r="E139" s="24">
        <f>IFERROR(__xludf.DUMMYFUNCTION("ifna(IFNA(filter('2.1.clean'!C:C,'2.1.clean'!A:A=C139),filter('2.2.clean'!E:E,'2.2.clean'!D:D=C139)),filter('2.4.clean'!C:C,'2.4.clean'!A:A=C139))"),43629.0)</f>
        <v>43629</v>
      </c>
      <c r="F139" s="25">
        <f>IFERROR(__xludf.DUMMYFUNCTION("iferror(ifna(IFNA(filter('2.1.clean'!E:E,'2.1.clean'!A:A=C139),filter('2.2.clean'!G:G,'2.2.clean'!D:D=C139)),filter('2.4.clean'!E:E,'2.4.clean'!A:A=C139)),)"),2.4)</f>
        <v>2.4</v>
      </c>
      <c r="G139" s="24" t="str">
        <f>IFERROR(__xludf.DUMMYFUNCTION("iferror(filter('3.1.clean'!C:C,'3.1.clean'!A:A=C139),"""")"),"")</f>
        <v/>
      </c>
      <c r="H139" s="23" t="b">
        <f t="shared" ref="H139:H141" si="72">if(G139="",FALSE,TRUE)</f>
        <v>0</v>
      </c>
      <c r="J139" s="25"/>
      <c r="K139" s="24" t="str">
        <f>IFERROR(__xludf.DUMMYFUNCTION("iferror(filter('3.2.clean'!C:C,'3.2.clean'!A:A=C139),"""")"),"")</f>
        <v/>
      </c>
      <c r="L139" s="25" t="b">
        <f t="shared" ref="L139:L141" si="73">if(K139="",FALSE,TRUE)</f>
        <v>0</v>
      </c>
      <c r="M139" s="24">
        <f>IFERROR(__xludf.DUMMYFUNCTION("iferror(filter('3.3.clean'!C:C,'3.3.clean'!A:A=C139),"""")"),43661.0)</f>
        <v>43661</v>
      </c>
      <c r="N139" s="25" t="b">
        <f t="shared" si="70"/>
        <v>1</v>
      </c>
      <c r="O139" s="24">
        <f>IFERROR(__xludf.DUMMYFUNCTION("iferror(filter('3.4.clean'!C:C,'3.4.clean'!A:A=C139),"""")"),43662.0)</f>
        <v>43662</v>
      </c>
      <c r="P139" s="25" t="b">
        <f t="shared" si="59"/>
        <v>1</v>
      </c>
      <c r="Q139" s="24">
        <f>IFERROR(__xludf.DUMMYFUNCTION("iferror(filter('3.5.clean'!C:C,'3.5.clean'!A:A=C139),"""")"),43629.0)</f>
        <v>43629</v>
      </c>
      <c r="R139" s="23" t="b">
        <f t="shared" si="71"/>
        <v>1</v>
      </c>
      <c r="S139" s="25"/>
      <c r="U139" s="23" t="s">
        <v>177</v>
      </c>
      <c r="V139" s="1" t="s">
        <v>64</v>
      </c>
      <c r="X139" s="23" t="str">
        <f>IFERROR(__xludf.DUMMYFUNCTION("if(COUNTA(FILTER(C:C, C:C = C139))=1,""no"",""yes"")"),"no")</f>
        <v>no</v>
      </c>
    </row>
    <row r="140">
      <c r="A140" s="1" t="s">
        <v>476</v>
      </c>
      <c r="B140" s="69"/>
      <c r="C140" s="69" t="s">
        <v>611</v>
      </c>
      <c r="E140" s="26">
        <v>43629.0</v>
      </c>
      <c r="F140" s="25" t="str">
        <f>IFERROR(__xludf.DUMMYFUNCTION("iferror(ifna(IFNA(filter('2.1.clean'!E:E,'2.1.clean'!A:A=C140),filter('2.2.clean'!G:G,'2.2.clean'!D:D=C140)),filter('2.4.clean'!E:E,'2.4.clean'!A:A=C140)),)"),"")</f>
        <v/>
      </c>
      <c r="G140" s="24" t="str">
        <f>IFERROR(__xludf.DUMMYFUNCTION("iferror(filter('3.1.clean'!C:C,'3.1.clean'!A:A=C140),"""")"),"")</f>
        <v/>
      </c>
      <c r="H140" s="23" t="b">
        <f t="shared" si="72"/>
        <v>0</v>
      </c>
      <c r="J140" s="25"/>
      <c r="K140" s="24" t="str">
        <f>IFERROR(__xludf.DUMMYFUNCTION("iferror(filter('3.2.clean'!C:C,'3.2.clean'!A:A=C140),"""")"),"")</f>
        <v/>
      </c>
      <c r="L140" s="25" t="b">
        <f t="shared" si="73"/>
        <v>0</v>
      </c>
      <c r="M140" s="24" t="str">
        <f>IFERROR(__xludf.DUMMYFUNCTION("iferror(filter('3.3.clean'!C:C,'3.3.clean'!A:A=C140),"""")"),"")</f>
        <v/>
      </c>
      <c r="N140" s="25"/>
      <c r="O140" s="24" t="str">
        <f>IFERROR(__xludf.DUMMYFUNCTION("iferror(filter('3.4.clean'!C:C,'3.4.clean'!A:A=C140),"""")"),"")</f>
        <v/>
      </c>
      <c r="P140" s="25" t="b">
        <f t="shared" si="59"/>
        <v>0</v>
      </c>
      <c r="Q140" s="24" t="str">
        <f>IFERROR(__xludf.DUMMYFUNCTION("iferror(filter('3.5.clean'!C:C,'3.5.clean'!A:A=C140),"""")"),"")</f>
        <v/>
      </c>
      <c r="S140" s="25"/>
      <c r="V140" s="1" t="s">
        <v>64</v>
      </c>
      <c r="X140" s="23" t="str">
        <f>IFERROR(__xludf.DUMMYFUNCTION("if(COUNTA(FILTER(C:C, C:C = C140))=1,""no"",""yes"")"),"no")</f>
        <v>no</v>
      </c>
    </row>
    <row r="141">
      <c r="A141" s="1" t="s">
        <v>476</v>
      </c>
      <c r="B141" s="69"/>
      <c r="C141" s="69" t="s">
        <v>615</v>
      </c>
      <c r="E141" s="26">
        <v>43629.0</v>
      </c>
      <c r="F141" s="25" t="str">
        <f>IFERROR(__xludf.DUMMYFUNCTION("iferror(ifna(IFNA(filter('2.1.clean'!E:E,'2.1.clean'!A:A=C141),filter('2.2.clean'!G:G,'2.2.clean'!D:D=C141)),filter('2.4.clean'!E:E,'2.4.clean'!A:A=C141)),)"),"")</f>
        <v/>
      </c>
      <c r="G141" s="24" t="str">
        <f>IFERROR(__xludf.DUMMYFUNCTION("iferror(filter('3.1.clean'!C:C,'3.1.clean'!A:A=C141),"""")"),"")</f>
        <v/>
      </c>
      <c r="H141" s="23" t="b">
        <f t="shared" si="72"/>
        <v>0</v>
      </c>
      <c r="J141" s="25"/>
      <c r="K141" s="24" t="str">
        <f>IFERROR(__xludf.DUMMYFUNCTION("iferror(filter('3.2.clean'!C:C,'3.2.clean'!A:A=C141),"""")"),"")</f>
        <v/>
      </c>
      <c r="L141" s="25" t="b">
        <f t="shared" si="73"/>
        <v>0</v>
      </c>
      <c r="M141" s="24" t="str">
        <f>IFERROR(__xludf.DUMMYFUNCTION("iferror(filter('3.3.clean'!C:C,'3.3.clean'!A:A=C141),"""")"),"")</f>
        <v/>
      </c>
      <c r="N141" s="25"/>
      <c r="O141" s="24" t="str">
        <f>IFERROR(__xludf.DUMMYFUNCTION("iferror(filter('3.4.clean'!C:C,'3.4.clean'!A:A=C141),"""")"),"")</f>
        <v/>
      </c>
      <c r="P141" s="25" t="b">
        <f t="shared" si="59"/>
        <v>0</v>
      </c>
      <c r="Q141" s="24" t="str">
        <f>IFERROR(__xludf.DUMMYFUNCTION("iferror(filter('3.5.clean'!C:C,'3.5.clean'!A:A=C141),"""")"),"")</f>
        <v/>
      </c>
      <c r="S141" s="25"/>
      <c r="V141" s="1" t="s">
        <v>64</v>
      </c>
      <c r="X141" s="23" t="str">
        <f>IFERROR(__xludf.DUMMYFUNCTION("if(COUNTA(FILTER(C:C, C:C = C141))=1,""no"",""yes"")"),"no")</f>
        <v>no</v>
      </c>
    </row>
    <row r="142">
      <c r="A142" s="1" t="s">
        <v>476</v>
      </c>
      <c r="B142" s="19"/>
      <c r="C142" s="19" t="s">
        <v>619</v>
      </c>
      <c r="E142" s="26">
        <v>43629.0</v>
      </c>
      <c r="F142" s="25" t="str">
        <f>IFERROR(__xludf.DUMMYFUNCTION("iferror(ifna(IFNA(filter('2.1.clean'!E:E,'2.1.clean'!A:A=C142),filter('2.2.clean'!G:G,'2.2.clean'!D:D=C142)),filter('2.4.clean'!E:E,'2.4.clean'!A:A=C142)),)"),"")</f>
        <v/>
      </c>
      <c r="G142" s="24"/>
      <c r="J142" s="25"/>
      <c r="K142" s="24"/>
      <c r="L142" s="25"/>
      <c r="M142" s="24" t="str">
        <f>IFERROR(__xludf.DUMMYFUNCTION("iferror(filter('3.3.clean'!C:C,'3.3.clean'!A:A=C142),"""")"),"")</f>
        <v/>
      </c>
      <c r="N142" s="25" t="b">
        <f t="shared" ref="N142:N143" si="74">if(M142="",FALSE,TRUE)</f>
        <v>0</v>
      </c>
      <c r="O142" s="24">
        <f>IFERROR(__xludf.DUMMYFUNCTION("iferror(filter('3.4.clean'!C:C,'3.4.clean'!A:A=C142),"""")"),43662.0)</f>
        <v>43662</v>
      </c>
      <c r="P142" s="25" t="b">
        <f t="shared" si="59"/>
        <v>1</v>
      </c>
      <c r="Q142" s="24" t="str">
        <f>IFERROR(__xludf.DUMMYFUNCTION("iferror(filter('3.5.clean'!C:C,'3.5.clean'!A:A=C142),"""")"),"")</f>
        <v/>
      </c>
      <c r="R142" s="23" t="b">
        <f t="shared" ref="R142:R143" si="75">if(Q142="",FALSE,TRUE)</f>
        <v>0</v>
      </c>
      <c r="S142" s="25"/>
      <c r="U142" s="1" t="s">
        <v>503</v>
      </c>
      <c r="V142" s="1" t="s">
        <v>64</v>
      </c>
      <c r="X142" s="23" t="str">
        <f>IFERROR(__xludf.DUMMYFUNCTION("if(COUNTA(FILTER(C:C, C:C = C142))=1,""no"",""yes"")"),"no")</f>
        <v>no</v>
      </c>
    </row>
    <row r="143">
      <c r="A143" s="1" t="s">
        <v>476</v>
      </c>
      <c r="B143" s="19"/>
      <c r="C143" s="19" t="s">
        <v>622</v>
      </c>
      <c r="E143" s="24">
        <f>IFERROR(__xludf.DUMMYFUNCTION("ifna(IFNA(filter('2.1.clean'!C:C,'2.1.clean'!A:A=C143),filter('2.2.clean'!E:E,'2.2.clean'!D:D=C143)),filter('2.4.clean'!C:C,'2.4.clean'!A:A=C143))"),43629.0)</f>
        <v>43629</v>
      </c>
      <c r="F143" s="25">
        <f>IFERROR(__xludf.DUMMYFUNCTION("iferror(ifna(IFNA(filter('2.1.clean'!E:E,'2.1.clean'!A:A=C143),filter('2.2.clean'!G:G,'2.2.clean'!D:D=C143)),filter('2.4.clean'!E:E,'2.4.clean'!A:A=C143)),)"),2.4)</f>
        <v>2.4</v>
      </c>
      <c r="G143" s="24" t="str">
        <f>IFERROR(__xludf.DUMMYFUNCTION("iferror(filter('3.1.clean'!C:C,'3.1.clean'!A:A=C143),"""")"),"")</f>
        <v/>
      </c>
      <c r="H143" s="23" t="b">
        <f t="shared" ref="H143:H144" si="76">if(G143="",FALSE,TRUE)</f>
        <v>0</v>
      </c>
      <c r="J143" s="25"/>
      <c r="K143" s="24" t="str">
        <f>IFERROR(__xludf.DUMMYFUNCTION("iferror(filter('3.2.clean'!C:C,'3.2.clean'!A:A=C143),"""")"),"")</f>
        <v/>
      </c>
      <c r="L143" s="25" t="b">
        <f t="shared" ref="L143:L144" si="77">if(K143="",FALSE,TRUE)</f>
        <v>0</v>
      </c>
      <c r="M143" s="24">
        <f>IFERROR(__xludf.DUMMYFUNCTION("iferror(filter('3.3.clean'!C:C,'3.3.clean'!A:A=C143),"""")"),43661.0)</f>
        <v>43661</v>
      </c>
      <c r="N143" s="25" t="b">
        <f t="shared" si="74"/>
        <v>1</v>
      </c>
      <c r="O143" s="24">
        <f>IFERROR(__xludf.DUMMYFUNCTION("iferror(filter('3.4.clean'!C:C,'3.4.clean'!A:A=C143),"""")"),43662.0)</f>
        <v>43662</v>
      </c>
      <c r="P143" s="25" t="b">
        <f t="shared" si="59"/>
        <v>1</v>
      </c>
      <c r="Q143" s="24">
        <f>IFERROR(__xludf.DUMMYFUNCTION("iferror(filter('3.5.clean'!C:C,'3.5.clean'!A:A=C143),"""")"),43629.0)</f>
        <v>43629</v>
      </c>
      <c r="R143" s="23" t="b">
        <f t="shared" si="75"/>
        <v>1</v>
      </c>
      <c r="S143" s="25"/>
      <c r="U143" s="23" t="s">
        <v>177</v>
      </c>
      <c r="V143" s="1" t="s">
        <v>64</v>
      </c>
      <c r="X143" s="23" t="str">
        <f>IFERROR(__xludf.DUMMYFUNCTION("if(COUNTA(FILTER(C:C, C:C = C143))=1,""no"",""yes"")"),"no")</f>
        <v>no</v>
      </c>
    </row>
    <row r="144">
      <c r="A144" s="1" t="s">
        <v>476</v>
      </c>
      <c r="B144" s="69"/>
      <c r="C144" s="69" t="s">
        <v>626</v>
      </c>
      <c r="E144" s="26">
        <v>43629.0</v>
      </c>
      <c r="F144" s="25" t="str">
        <f>IFERROR(__xludf.DUMMYFUNCTION("iferror(ifna(IFNA(filter('2.1.clean'!E:E,'2.1.clean'!A:A=C144),filter('2.2.clean'!G:G,'2.2.clean'!D:D=C144)),filter('2.4.clean'!E:E,'2.4.clean'!A:A=C144)),)"),"")</f>
        <v/>
      </c>
      <c r="G144" s="24" t="str">
        <f>IFERROR(__xludf.DUMMYFUNCTION("iferror(filter('3.1.clean'!C:C,'3.1.clean'!A:A=C144),"""")"),"")</f>
        <v/>
      </c>
      <c r="H144" s="23" t="b">
        <f t="shared" si="76"/>
        <v>0</v>
      </c>
      <c r="J144" s="25"/>
      <c r="K144" s="24" t="str">
        <f>IFERROR(__xludf.DUMMYFUNCTION("iferror(filter('3.2.clean'!C:C,'3.2.clean'!A:A=C144),"""")"),"")</f>
        <v/>
      </c>
      <c r="L144" s="25" t="b">
        <f t="shared" si="77"/>
        <v>0</v>
      </c>
      <c r="M144" s="24" t="str">
        <f>IFERROR(__xludf.DUMMYFUNCTION("iferror(filter('3.3.clean'!C:C,'3.3.clean'!A:A=C144),"""")"),"")</f>
        <v/>
      </c>
      <c r="N144" s="25"/>
      <c r="O144" s="24" t="str">
        <f>IFERROR(__xludf.DUMMYFUNCTION("iferror(filter('3.4.clean'!C:C,'3.4.clean'!A:A=C144),"""")"),"")</f>
        <v/>
      </c>
      <c r="P144" s="25" t="b">
        <f t="shared" si="59"/>
        <v>0</v>
      </c>
      <c r="Q144" s="24"/>
      <c r="S144" s="25"/>
      <c r="V144" s="1" t="s">
        <v>64</v>
      </c>
      <c r="X144" s="23" t="str">
        <f>IFERROR(__xludf.DUMMYFUNCTION("if(COUNTA(FILTER(C:C, C:C = C144))=1,""no"",""yes"")"),"no")</f>
        <v>no</v>
      </c>
    </row>
    <row r="145">
      <c r="A145" s="1" t="s">
        <v>476</v>
      </c>
      <c r="B145" s="19"/>
      <c r="C145" s="19" t="s">
        <v>629</v>
      </c>
      <c r="E145" s="26">
        <v>43629.0</v>
      </c>
      <c r="F145" s="25" t="str">
        <f>IFERROR(__xludf.DUMMYFUNCTION("iferror(ifna(IFNA(filter('2.1.clean'!E:E,'2.1.clean'!A:A=C145),filter('2.2.clean'!G:G,'2.2.clean'!D:D=C145)),filter('2.4.clean'!E:E,'2.4.clean'!A:A=C145)),)"),"")</f>
        <v/>
      </c>
      <c r="G145" s="24"/>
      <c r="J145" s="25"/>
      <c r="K145" s="24"/>
      <c r="L145" s="25"/>
      <c r="M145" s="24" t="str">
        <f>IFERROR(__xludf.DUMMYFUNCTION("iferror(filter('3.3.clean'!C:C,'3.3.clean'!A:A=C145),"""")"),"")</f>
        <v/>
      </c>
      <c r="N145" s="25" t="b">
        <f t="shared" ref="N145:N155" si="78">if(M145="",FALSE,TRUE)</f>
        <v>0</v>
      </c>
      <c r="O145" s="24">
        <f>IFERROR(__xludf.DUMMYFUNCTION("iferror(filter('3.4.clean'!C:C,'3.4.clean'!A:A=C145),"""")"),43662.0)</f>
        <v>43662</v>
      </c>
      <c r="P145" s="25" t="b">
        <f t="shared" si="59"/>
        <v>1</v>
      </c>
      <c r="Q145" s="24" t="str">
        <f>IFERROR(__xludf.DUMMYFUNCTION("iferror(filter('3.5.clean'!C:C,'3.5.clean'!A:A=C145),"""")"),"")</f>
        <v/>
      </c>
      <c r="R145" s="23" t="b">
        <f t="shared" ref="R145:R155" si="79">if(Q145="",FALSE,TRUE)</f>
        <v>0</v>
      </c>
      <c r="S145" s="25"/>
      <c r="U145" s="1" t="s">
        <v>503</v>
      </c>
      <c r="V145" s="1" t="s">
        <v>64</v>
      </c>
      <c r="X145" s="23" t="str">
        <f>IFERROR(__xludf.DUMMYFUNCTION("if(COUNTA(FILTER(C:C, C:C = C145))=1,""no"",""yes"")"),"no")</f>
        <v>no</v>
      </c>
    </row>
    <row r="146">
      <c r="A146" s="1" t="s">
        <v>476</v>
      </c>
      <c r="B146" s="19"/>
      <c r="C146" s="19" t="s">
        <v>632</v>
      </c>
      <c r="E146" s="24">
        <f>IFERROR(__xludf.DUMMYFUNCTION("ifna(IFNA(filter('2.1.clean'!C:C,'2.1.clean'!A:A=C146),filter('2.2.clean'!E:E,'2.2.clean'!D:D=C146)),filter('2.4.clean'!C:C,'2.4.clean'!A:A=C146))"),43633.0)</f>
        <v>43633</v>
      </c>
      <c r="F146" s="25">
        <f>IFERROR(__xludf.DUMMYFUNCTION("iferror(ifna(IFNA(filter('2.1.clean'!E:E,'2.1.clean'!A:A=C146),filter('2.2.clean'!G:G,'2.2.clean'!D:D=C146)),filter('2.4.clean'!E:E,'2.4.clean'!A:A=C146)),)"),2.4)</f>
        <v>2.4</v>
      </c>
      <c r="G146" s="24" t="str">
        <f>IFERROR(__xludf.DUMMYFUNCTION("iferror(filter('3.1.clean'!C:C,'3.1.clean'!A:A=C146),"""")"),"")</f>
        <v/>
      </c>
      <c r="H146" s="23" t="b">
        <f t="shared" ref="H146:H148" si="80">if(G146="",FALSE,TRUE)</f>
        <v>0</v>
      </c>
      <c r="J146" s="25"/>
      <c r="K146" s="24" t="str">
        <f>IFERROR(__xludf.DUMMYFUNCTION("iferror(filter('3.2.clean'!C:C,'3.2.clean'!A:A=C146),"""")"),"")</f>
        <v/>
      </c>
      <c r="L146" s="25" t="b">
        <f t="shared" ref="L146:L148" si="81">if(K146="",FALSE,TRUE)</f>
        <v>0</v>
      </c>
      <c r="M146" s="24">
        <f>IFERROR(__xludf.DUMMYFUNCTION("iferror(filter('3.3.clean'!C:C,'3.3.clean'!A:A=C146),"""")"),43661.0)</f>
        <v>43661</v>
      </c>
      <c r="N146" s="25" t="b">
        <f t="shared" si="78"/>
        <v>1</v>
      </c>
      <c r="O146" s="24">
        <f>IFERROR(__xludf.DUMMYFUNCTION("iferror(filter('3.4.clean'!C:C,'3.4.clean'!A:A=C146),"""")"),43662.0)</f>
        <v>43662</v>
      </c>
      <c r="P146" s="25" t="b">
        <f t="shared" si="59"/>
        <v>1</v>
      </c>
      <c r="Q146" s="24">
        <f>IFERROR(__xludf.DUMMYFUNCTION("iferror(filter('3.5.clean'!C:C,'3.5.clean'!A:A=C146),"""")"),43633.0)</f>
        <v>43633</v>
      </c>
      <c r="R146" s="23" t="b">
        <f t="shared" si="79"/>
        <v>1</v>
      </c>
      <c r="S146" s="25"/>
      <c r="U146" s="23" t="s">
        <v>177</v>
      </c>
      <c r="V146" s="1" t="s">
        <v>64</v>
      </c>
      <c r="X146" s="23" t="str">
        <f>IFERROR(__xludf.DUMMYFUNCTION("if(COUNTA(FILTER(C:C, C:C = C146))=1,""no"",""yes"")"),"no")</f>
        <v>no</v>
      </c>
    </row>
    <row r="147">
      <c r="A147" s="1" t="s">
        <v>476</v>
      </c>
      <c r="B147" s="19"/>
      <c r="C147" s="19" t="s">
        <v>637</v>
      </c>
      <c r="E147" s="24">
        <f>IFERROR(__xludf.DUMMYFUNCTION("ifna(IFNA(filter('2.1.clean'!C:C,'2.1.clean'!A:A=C147),filter('2.2.clean'!E:E,'2.2.clean'!D:D=C147)),filter('2.4.clean'!C:C,'2.4.clean'!A:A=C147))"),43633.0)</f>
        <v>43633</v>
      </c>
      <c r="F147" s="25">
        <f>IFERROR(__xludf.DUMMYFUNCTION("iferror(ifna(IFNA(filter('2.1.clean'!E:E,'2.1.clean'!A:A=C147),filter('2.2.clean'!G:G,'2.2.clean'!D:D=C147)),filter('2.4.clean'!E:E,'2.4.clean'!A:A=C147)),)"),2.4)</f>
        <v>2.4</v>
      </c>
      <c r="G147" s="24" t="str">
        <f>IFERROR(__xludf.DUMMYFUNCTION("iferror(filter('3.1.clean'!C:C,'3.1.clean'!A:A=C147),"""")"),"")</f>
        <v/>
      </c>
      <c r="H147" s="23" t="b">
        <f t="shared" si="80"/>
        <v>0</v>
      </c>
      <c r="J147" s="25"/>
      <c r="K147" s="24" t="str">
        <f>IFERROR(__xludf.DUMMYFUNCTION("iferror(filter('3.2.clean'!C:C,'3.2.clean'!A:A=C147),"""")"),"")</f>
        <v/>
      </c>
      <c r="L147" s="25" t="b">
        <f t="shared" si="81"/>
        <v>0</v>
      </c>
      <c r="M147" s="24">
        <f>IFERROR(__xludf.DUMMYFUNCTION("iferror(filter('3.3.clean'!C:C,'3.3.clean'!A:A=C147),"""")"),43661.0)</f>
        <v>43661</v>
      </c>
      <c r="N147" s="25" t="b">
        <f t="shared" si="78"/>
        <v>1</v>
      </c>
      <c r="O147" s="24">
        <f>IFERROR(__xludf.DUMMYFUNCTION("iferror(filter('3.4.clean'!C:C,'3.4.clean'!A:A=C147),"""")"),43662.0)</f>
        <v>43662</v>
      </c>
      <c r="P147" s="25" t="b">
        <f t="shared" si="59"/>
        <v>1</v>
      </c>
      <c r="Q147" s="24">
        <f>IFERROR(__xludf.DUMMYFUNCTION("iferror(filter('3.5.clean'!C:C,'3.5.clean'!A:A=C147),"""")"),43633.0)</f>
        <v>43633</v>
      </c>
      <c r="R147" s="23" t="b">
        <f t="shared" si="79"/>
        <v>1</v>
      </c>
      <c r="S147" s="25"/>
      <c r="U147" s="23" t="s">
        <v>177</v>
      </c>
      <c r="V147" s="1" t="s">
        <v>64</v>
      </c>
      <c r="X147" s="23" t="str">
        <f>IFERROR(__xludf.DUMMYFUNCTION("if(COUNTA(FILTER(C:C, C:C = C147))=1,""no"",""yes"")"),"no")</f>
        <v>no</v>
      </c>
    </row>
    <row r="148">
      <c r="A148" s="1" t="s">
        <v>476</v>
      </c>
      <c r="B148" s="19"/>
      <c r="C148" s="19" t="s">
        <v>642</v>
      </c>
      <c r="E148" s="24">
        <f>IFERROR(__xludf.DUMMYFUNCTION("ifna(IFNA(filter('2.1.clean'!C:C,'2.1.clean'!A:A=C148),filter('2.2.clean'!E:E,'2.2.clean'!D:D=C148)),filter('2.4.clean'!C:C,'2.4.clean'!A:A=C148))"),43633.0)</f>
        <v>43633</v>
      </c>
      <c r="F148" s="25">
        <f>IFERROR(__xludf.DUMMYFUNCTION("iferror(ifna(IFNA(filter('2.1.clean'!E:E,'2.1.clean'!A:A=C148),filter('2.2.clean'!G:G,'2.2.clean'!D:D=C148)),filter('2.4.clean'!E:E,'2.4.clean'!A:A=C148)),)"),2.4)</f>
        <v>2.4</v>
      </c>
      <c r="G148" s="24" t="str">
        <f>IFERROR(__xludf.DUMMYFUNCTION("iferror(filter('3.1.clean'!C:C,'3.1.clean'!A:A=C148),"""")"),"")</f>
        <v/>
      </c>
      <c r="H148" s="23" t="b">
        <f t="shared" si="80"/>
        <v>0</v>
      </c>
      <c r="J148" s="25"/>
      <c r="K148" s="24" t="str">
        <f>IFERROR(__xludf.DUMMYFUNCTION("iferror(filter('3.2.clean'!C:C,'3.2.clean'!A:A=C148),"""")"),"")</f>
        <v/>
      </c>
      <c r="L148" s="25" t="b">
        <f t="shared" si="81"/>
        <v>0</v>
      </c>
      <c r="M148" s="24">
        <f>IFERROR(__xludf.DUMMYFUNCTION("iferror(filter('3.3.clean'!C:C,'3.3.clean'!A:A=C148),"""")"),43661.0)</f>
        <v>43661</v>
      </c>
      <c r="N148" s="25" t="b">
        <f t="shared" si="78"/>
        <v>1</v>
      </c>
      <c r="O148" s="24">
        <f>IFERROR(__xludf.DUMMYFUNCTION("iferror(filter('3.4.clean'!C:C,'3.4.clean'!A:A=C148),"""")"),43662.0)</f>
        <v>43662</v>
      </c>
      <c r="P148" s="25" t="b">
        <f t="shared" si="59"/>
        <v>1</v>
      </c>
      <c r="Q148" s="24">
        <f>IFERROR(__xludf.DUMMYFUNCTION("iferror(filter('3.5.clean'!C:C,'3.5.clean'!A:A=C148),"""")"),43633.0)</f>
        <v>43633</v>
      </c>
      <c r="R148" s="23" t="b">
        <f t="shared" si="79"/>
        <v>1</v>
      </c>
      <c r="S148" s="25"/>
      <c r="U148" s="23" t="s">
        <v>177</v>
      </c>
      <c r="V148" s="1" t="s">
        <v>64</v>
      </c>
      <c r="X148" s="23" t="str">
        <f>IFERROR(__xludf.DUMMYFUNCTION("if(COUNTA(FILTER(C:C, C:C = C148))=1,""no"",""yes"")"),"no")</f>
        <v>no</v>
      </c>
    </row>
    <row r="149">
      <c r="A149" s="1" t="s">
        <v>476</v>
      </c>
      <c r="B149" s="19"/>
      <c r="C149" s="19" t="s">
        <v>647</v>
      </c>
      <c r="E149" s="24">
        <f>IFERROR(__xludf.DUMMYFUNCTION("ifna(IFNA(filter('2.1.clean'!C:C,'2.1.clean'!A:A=C149),filter('2.2.clean'!E:E,'2.2.clean'!D:D=C149)),filter('2.4.clean'!C:C,'2.4.clean'!A:A=C149))"),43634.0)</f>
        <v>43634</v>
      </c>
      <c r="F149" s="25">
        <f>IFERROR(__xludf.DUMMYFUNCTION("iferror(ifna(IFNA(filter('2.1.clean'!E:E,'2.1.clean'!A:A=C149),filter('2.2.clean'!G:G,'2.2.clean'!D:D=C149)),filter('2.4.clean'!E:E,'2.4.clean'!A:A=C149)),)"),2.4)</f>
        <v>2.4</v>
      </c>
      <c r="G149" s="24"/>
      <c r="J149" s="25"/>
      <c r="K149" s="24"/>
      <c r="L149" s="25"/>
      <c r="M149" s="24">
        <f>IFERROR(__xludf.DUMMYFUNCTION("iferror(filter('3.3.clean'!C:C,'3.3.clean'!A:A=C149),"""")"),43662.0)</f>
        <v>43662</v>
      </c>
      <c r="N149" s="25" t="b">
        <f t="shared" si="78"/>
        <v>1</v>
      </c>
      <c r="O149" s="24">
        <f>IFERROR(__xludf.DUMMYFUNCTION("iferror(filter('3.4.clean'!C:C,'3.4.clean'!A:A=C149),"""")"),43662.0)</f>
        <v>43662</v>
      </c>
      <c r="P149" s="25" t="b">
        <f t="shared" si="59"/>
        <v>1</v>
      </c>
      <c r="Q149" s="24">
        <f>IFERROR(__xludf.DUMMYFUNCTION("iferror(filter('3.5.clean'!C:C,'3.5.clean'!A:A=C149),"""")"),43634.0)</f>
        <v>43634</v>
      </c>
      <c r="R149" s="23" t="b">
        <f t="shared" si="79"/>
        <v>1</v>
      </c>
      <c r="S149" s="25"/>
      <c r="V149" s="1" t="s">
        <v>64</v>
      </c>
      <c r="W149" s="23" t="b">
        <f t="shared" ref="W149:W155" si="82">IF(and(R149=TRUE,N149=TRUE,P149=TRUE),TRUE,FALSE)</f>
        <v>1</v>
      </c>
      <c r="X149" s="23" t="str">
        <f>IFERROR(__xludf.DUMMYFUNCTION("if(COUNTA(FILTER(C:C, C:C = C149))=1,""no"",""yes"")"),"no")</f>
        <v>no</v>
      </c>
    </row>
    <row r="150">
      <c r="A150" s="1" t="s">
        <v>476</v>
      </c>
      <c r="B150" s="19"/>
      <c r="C150" s="19" t="s">
        <v>652</v>
      </c>
      <c r="E150" s="24">
        <f>IFERROR(__xludf.DUMMYFUNCTION("ifna(IFNA(filter('2.1.clean'!C:C,'2.1.clean'!A:A=C150),filter('2.2.clean'!E:E,'2.2.clean'!D:D=C150)),filter('2.4.clean'!C:C,'2.4.clean'!A:A=C150))"),43634.0)</f>
        <v>43634</v>
      </c>
      <c r="F150" s="25">
        <f>IFERROR(__xludf.DUMMYFUNCTION("iferror(ifna(IFNA(filter('2.1.clean'!E:E,'2.1.clean'!A:A=C150),filter('2.2.clean'!G:G,'2.2.clean'!D:D=C150)),filter('2.4.clean'!E:E,'2.4.clean'!A:A=C150)),)"),2.4)</f>
        <v>2.4</v>
      </c>
      <c r="G150" s="24"/>
      <c r="J150" s="25"/>
      <c r="K150" s="24"/>
      <c r="L150" s="25"/>
      <c r="M150" s="24">
        <f>IFERROR(__xludf.DUMMYFUNCTION("iferror(filter('3.3.clean'!C:C,'3.3.clean'!A:A=C150),"""")"),43662.0)</f>
        <v>43662</v>
      </c>
      <c r="N150" s="25" t="b">
        <f t="shared" si="78"/>
        <v>1</v>
      </c>
      <c r="O150" s="24">
        <f>IFERROR(__xludf.DUMMYFUNCTION("iferror(filter('3.4.clean'!C:C,'3.4.clean'!A:A=C150),"""")"),43662.0)</f>
        <v>43662</v>
      </c>
      <c r="P150" s="25" t="b">
        <f t="shared" si="59"/>
        <v>1</v>
      </c>
      <c r="Q150" s="24">
        <f>IFERROR(__xludf.DUMMYFUNCTION("iferror(filter('3.5.clean'!C:C,'3.5.clean'!A:A=C150),"""")"),43634.0)</f>
        <v>43634</v>
      </c>
      <c r="R150" s="23" t="b">
        <f t="shared" si="79"/>
        <v>1</v>
      </c>
      <c r="S150" s="25"/>
      <c r="V150" s="1" t="s">
        <v>64</v>
      </c>
      <c r="W150" s="23" t="b">
        <f t="shared" si="82"/>
        <v>1</v>
      </c>
      <c r="X150" s="23" t="str">
        <f>IFERROR(__xludf.DUMMYFUNCTION("if(COUNTA(FILTER(C:C, C:C = C150))=1,""no"",""yes"")"),"no")</f>
        <v>no</v>
      </c>
    </row>
    <row r="151">
      <c r="A151" s="1" t="s">
        <v>476</v>
      </c>
      <c r="B151" s="19"/>
      <c r="C151" s="19" t="s">
        <v>655</v>
      </c>
      <c r="E151" s="24">
        <f>IFERROR(__xludf.DUMMYFUNCTION("ifna(IFNA(filter('2.1.clean'!C:C,'2.1.clean'!A:A=C151),filter('2.2.clean'!E:E,'2.2.clean'!D:D=C151)),filter('2.4.clean'!C:C,'2.4.clean'!A:A=C151))"),43634.0)</f>
        <v>43634</v>
      </c>
      <c r="F151" s="25">
        <f>IFERROR(__xludf.DUMMYFUNCTION("iferror(ifna(IFNA(filter('2.1.clean'!E:E,'2.1.clean'!A:A=C151),filter('2.2.clean'!G:G,'2.2.clean'!D:D=C151)),filter('2.4.clean'!E:E,'2.4.clean'!A:A=C151)),)"),2.4)</f>
        <v>2.4</v>
      </c>
      <c r="G151" s="24"/>
      <c r="J151" s="25"/>
      <c r="K151" s="24"/>
      <c r="L151" s="25"/>
      <c r="M151" s="24">
        <f>IFERROR(__xludf.DUMMYFUNCTION("iferror(filter('3.3.clean'!C:C,'3.3.clean'!A:A=C151),"""")"),43662.0)</f>
        <v>43662</v>
      </c>
      <c r="N151" s="25" t="b">
        <f t="shared" si="78"/>
        <v>1</v>
      </c>
      <c r="O151" s="24">
        <f>IFERROR(__xludf.DUMMYFUNCTION("iferror(filter('3.4.clean'!C:C,'3.4.clean'!A:A=C151),"""")"),43789.0)</f>
        <v>43789</v>
      </c>
      <c r="P151" s="25" t="b">
        <f t="shared" si="59"/>
        <v>1</v>
      </c>
      <c r="Q151" s="24">
        <f>IFERROR(__xludf.DUMMYFUNCTION("iferror(filter('3.5.clean'!C:C,'3.5.clean'!A:A=C151),"""")"),43634.0)</f>
        <v>43634</v>
      </c>
      <c r="R151" s="23" t="b">
        <f t="shared" si="79"/>
        <v>1</v>
      </c>
      <c r="S151" s="25"/>
      <c r="V151" s="1" t="s">
        <v>64</v>
      </c>
      <c r="W151" s="23" t="b">
        <f t="shared" si="82"/>
        <v>1</v>
      </c>
      <c r="X151" s="23" t="str">
        <f>IFERROR(__xludf.DUMMYFUNCTION("if(COUNTA(FILTER(C:C, C:C = C151))=1,""no"",""yes"")"),"no")</f>
        <v>no</v>
      </c>
    </row>
    <row r="152">
      <c r="A152" s="1" t="s">
        <v>476</v>
      </c>
      <c r="B152" s="19"/>
      <c r="C152" s="19" t="s">
        <v>658</v>
      </c>
      <c r="E152" s="24">
        <f>IFERROR(__xludf.DUMMYFUNCTION("ifna(IFNA(filter('2.1.clean'!C:C,'2.1.clean'!A:A=C152),filter('2.2.clean'!E:E,'2.2.clean'!D:D=C152)),filter('2.4.clean'!C:C,'2.4.clean'!A:A=C152))"),43634.0)</f>
        <v>43634</v>
      </c>
      <c r="F152" s="25">
        <f>IFERROR(__xludf.DUMMYFUNCTION("iferror(ifna(IFNA(filter('2.1.clean'!E:E,'2.1.clean'!A:A=C152),filter('2.2.clean'!G:G,'2.2.clean'!D:D=C152)),filter('2.4.clean'!E:E,'2.4.clean'!A:A=C152)),)"),2.4)</f>
        <v>2.4</v>
      </c>
      <c r="G152" s="24"/>
      <c r="J152" s="25"/>
      <c r="K152" s="24"/>
      <c r="L152" s="25"/>
      <c r="M152" s="24">
        <f>IFERROR(__xludf.DUMMYFUNCTION("iferror(filter('3.3.clean'!C:C,'3.3.clean'!A:A=C152),"""")"),43662.0)</f>
        <v>43662</v>
      </c>
      <c r="N152" s="25" t="b">
        <f t="shared" si="78"/>
        <v>1</v>
      </c>
      <c r="O152" s="24">
        <f>IFERROR(__xludf.DUMMYFUNCTION("iferror(filter('3.4.clean'!C:C,'3.4.clean'!A:A=C152),"""")"),43789.0)</f>
        <v>43789</v>
      </c>
      <c r="P152" s="25" t="b">
        <f t="shared" si="59"/>
        <v>1</v>
      </c>
      <c r="Q152" s="24">
        <f>IFERROR(__xludf.DUMMYFUNCTION("iferror(filter('3.5.clean'!C:C,'3.5.clean'!A:A=C152),"""")"),43634.0)</f>
        <v>43634</v>
      </c>
      <c r="R152" s="23" t="b">
        <f t="shared" si="79"/>
        <v>1</v>
      </c>
      <c r="S152" s="25"/>
      <c r="V152" s="1" t="s">
        <v>64</v>
      </c>
      <c r="W152" s="23" t="b">
        <f t="shared" si="82"/>
        <v>1</v>
      </c>
      <c r="X152" s="23" t="str">
        <f>IFERROR(__xludf.DUMMYFUNCTION("if(COUNTA(FILTER(C:C, C:C = C152))=1,""no"",""yes"")"),"no")</f>
        <v>no</v>
      </c>
    </row>
    <row r="153">
      <c r="A153" s="1" t="s">
        <v>476</v>
      </c>
      <c r="B153" s="19"/>
      <c r="C153" s="19" t="s">
        <v>662</v>
      </c>
      <c r="E153" s="24">
        <f>IFERROR(__xludf.DUMMYFUNCTION("ifna(IFNA(filter('2.1.clean'!C:C,'2.1.clean'!A:A=C153),filter('2.2.clean'!E:E,'2.2.clean'!D:D=C153)),filter('2.4.clean'!C:C,'2.4.clean'!A:A=C153))"),43636.0)</f>
        <v>43636</v>
      </c>
      <c r="F153" s="25">
        <f>IFERROR(__xludf.DUMMYFUNCTION("iferror(ifna(IFNA(filter('2.1.clean'!E:E,'2.1.clean'!A:A=C153),filter('2.2.clean'!G:G,'2.2.clean'!D:D=C153)),filter('2.4.clean'!E:E,'2.4.clean'!A:A=C153)),)"),2.4)</f>
        <v>2.4</v>
      </c>
      <c r="G153" s="24"/>
      <c r="J153" s="25"/>
      <c r="K153" s="24"/>
      <c r="L153" s="25"/>
      <c r="M153" s="24">
        <f>IFERROR(__xludf.DUMMYFUNCTION("iferror(filter('3.3.clean'!C:C,'3.3.clean'!A:A=C153),"""")"),43662.0)</f>
        <v>43662</v>
      </c>
      <c r="N153" s="25" t="b">
        <f t="shared" si="78"/>
        <v>1</v>
      </c>
      <c r="O153" s="24">
        <f>IFERROR(__xludf.DUMMYFUNCTION("iferror(filter('3.4.clean'!C:C,'3.4.clean'!A:A=C153),"""")"),43789.0)</f>
        <v>43789</v>
      </c>
      <c r="P153" s="25" t="b">
        <f t="shared" si="59"/>
        <v>1</v>
      </c>
      <c r="Q153" s="24">
        <f>IFERROR(__xludf.DUMMYFUNCTION("iferror(filter('3.5.clean'!C:C,'3.5.clean'!A:A=C153),"""")"),43636.0)</f>
        <v>43636</v>
      </c>
      <c r="R153" s="23" t="b">
        <f t="shared" si="79"/>
        <v>1</v>
      </c>
      <c r="S153" s="25"/>
      <c r="V153" s="1" t="s">
        <v>64</v>
      </c>
      <c r="W153" s="23" t="b">
        <f t="shared" si="82"/>
        <v>1</v>
      </c>
      <c r="X153" s="23" t="str">
        <f>IFERROR(__xludf.DUMMYFUNCTION("if(COUNTA(FILTER(C:C, C:C = C153))=1,""no"",""yes"")"),"no")</f>
        <v>no</v>
      </c>
    </row>
    <row r="154">
      <c r="A154" s="1" t="s">
        <v>476</v>
      </c>
      <c r="B154" s="19"/>
      <c r="C154" s="19" t="s">
        <v>665</v>
      </c>
      <c r="E154" s="24">
        <f>IFERROR(__xludf.DUMMYFUNCTION("ifna(IFNA(filter('2.1.clean'!C:C,'2.1.clean'!A:A=C154),filter('2.2.clean'!E:E,'2.2.clean'!D:D=C154)),filter('2.4.clean'!C:C,'2.4.clean'!A:A=C154))"),43636.0)</f>
        <v>43636</v>
      </c>
      <c r="F154" s="25">
        <f>IFERROR(__xludf.DUMMYFUNCTION("iferror(ifna(IFNA(filter('2.1.clean'!E:E,'2.1.clean'!A:A=C154),filter('2.2.clean'!G:G,'2.2.clean'!D:D=C154)),filter('2.4.clean'!E:E,'2.4.clean'!A:A=C154)),)"),2.4)</f>
        <v>2.4</v>
      </c>
      <c r="G154" s="24"/>
      <c r="J154" s="25"/>
      <c r="K154" s="24"/>
      <c r="L154" s="25"/>
      <c r="M154" s="24">
        <f>IFERROR(__xludf.DUMMYFUNCTION("iferror(filter('3.3.clean'!C:C,'3.3.clean'!A:A=C154),"""")"),43662.0)</f>
        <v>43662</v>
      </c>
      <c r="N154" s="25" t="b">
        <f t="shared" si="78"/>
        <v>1</v>
      </c>
      <c r="O154" s="24">
        <f>IFERROR(__xludf.DUMMYFUNCTION("iferror(filter('3.4.clean'!C:C,'3.4.clean'!A:A=C154),"""")"),43789.0)</f>
        <v>43789</v>
      </c>
      <c r="P154" s="25" t="b">
        <f t="shared" si="59"/>
        <v>1</v>
      </c>
      <c r="Q154" s="24">
        <f>IFERROR(__xludf.DUMMYFUNCTION("iferror(filter('3.5.clean'!C:C,'3.5.clean'!A:A=C154),"""")"),43636.0)</f>
        <v>43636</v>
      </c>
      <c r="R154" s="23" t="b">
        <f t="shared" si="79"/>
        <v>1</v>
      </c>
      <c r="S154" s="25"/>
      <c r="V154" s="1" t="s">
        <v>64</v>
      </c>
      <c r="W154" s="23" t="b">
        <f t="shared" si="82"/>
        <v>1</v>
      </c>
      <c r="X154" s="23" t="str">
        <f>IFERROR(__xludf.DUMMYFUNCTION("if(COUNTA(FILTER(C:C, C:C = C154))=1,""no"",""yes"")"),"no")</f>
        <v>no</v>
      </c>
    </row>
    <row r="155">
      <c r="A155" s="1" t="s">
        <v>476</v>
      </c>
      <c r="B155" s="19"/>
      <c r="C155" s="19" t="s">
        <v>668</v>
      </c>
      <c r="E155" s="24">
        <f>IFERROR(__xludf.DUMMYFUNCTION("ifna(IFNA(filter('2.1.clean'!C:C,'2.1.clean'!A:A=C155),filter('2.2.clean'!E:E,'2.2.clean'!D:D=C155)),filter('2.4.clean'!C:C,'2.4.clean'!A:A=C155))"),43636.0)</f>
        <v>43636</v>
      </c>
      <c r="F155" s="25">
        <f>IFERROR(__xludf.DUMMYFUNCTION("iferror(ifna(IFNA(filter('2.1.clean'!E:E,'2.1.clean'!A:A=C155),filter('2.2.clean'!G:G,'2.2.clean'!D:D=C155)),filter('2.4.clean'!E:E,'2.4.clean'!A:A=C155)),)"),2.4)</f>
        <v>2.4</v>
      </c>
      <c r="G155" s="24"/>
      <c r="J155" s="25"/>
      <c r="K155" s="24"/>
      <c r="L155" s="25"/>
      <c r="M155" s="24">
        <f>IFERROR(__xludf.DUMMYFUNCTION("iferror(filter('3.3.clean'!C:C,'3.3.clean'!A:A=C155),"""")"),43662.0)</f>
        <v>43662</v>
      </c>
      <c r="N155" s="25" t="b">
        <f t="shared" si="78"/>
        <v>1</v>
      </c>
      <c r="O155" s="24">
        <f>IFERROR(__xludf.DUMMYFUNCTION("iferror(filter('3.4.clean'!C:C,'3.4.clean'!A:A=C155),"""")"),43789.0)</f>
        <v>43789</v>
      </c>
      <c r="P155" s="25" t="b">
        <f t="shared" si="59"/>
        <v>1</v>
      </c>
      <c r="Q155" s="24">
        <f>IFERROR(__xludf.DUMMYFUNCTION("iferror(filter('3.5.clean'!C:C,'3.5.clean'!A:A=C155),"""")"),43636.0)</f>
        <v>43636</v>
      </c>
      <c r="R155" s="23" t="b">
        <f t="shared" si="79"/>
        <v>1</v>
      </c>
      <c r="S155" s="25"/>
      <c r="V155" s="1" t="s">
        <v>64</v>
      </c>
      <c r="W155" s="23" t="b">
        <f t="shared" si="82"/>
        <v>1</v>
      </c>
      <c r="X155" s="23" t="str">
        <f>IFERROR(__xludf.DUMMYFUNCTION("if(COUNTA(FILTER(C:C, C:C = C155))=1,""no"",""yes"")"),"no")</f>
        <v>no</v>
      </c>
    </row>
    <row r="156">
      <c r="A156" s="1" t="s">
        <v>476</v>
      </c>
      <c r="B156" s="19"/>
      <c r="C156" s="19" t="s">
        <v>670</v>
      </c>
      <c r="E156" s="24">
        <f>IFERROR(__xludf.DUMMYFUNCTION("ifna(IFNA(filter('2.1.clean'!C:C,'2.1.clean'!A:A=C156),filter('2.2.clean'!E:E,'2.2.clean'!D:D=C156)),filter('2.4.clean'!C:C,'2.4.clean'!A:A=C156))"),43636.0)</f>
        <v>43636</v>
      </c>
      <c r="F156" s="25">
        <f>IFERROR(__xludf.DUMMYFUNCTION("iferror(ifna(IFNA(filter('2.1.clean'!E:E,'2.1.clean'!A:A=C156),filter('2.2.clean'!G:G,'2.2.clean'!D:D=C156)),filter('2.4.clean'!E:E,'2.4.clean'!A:A=C156)),)"),2.4)</f>
        <v>2.4</v>
      </c>
      <c r="G156" s="24"/>
      <c r="J156" s="25"/>
      <c r="K156" s="24"/>
      <c r="L156" s="25"/>
      <c r="M156" s="24"/>
      <c r="N156" s="25"/>
      <c r="O156" s="24"/>
      <c r="P156" s="25"/>
      <c r="Q156" s="24"/>
      <c r="S156" s="25"/>
      <c r="T156" s="1" t="s">
        <v>510</v>
      </c>
      <c r="V156" s="1" t="s">
        <v>64</v>
      </c>
      <c r="W156" s="1" t="b">
        <v>1</v>
      </c>
      <c r="X156" s="23" t="str">
        <f>IFERROR(__xludf.DUMMYFUNCTION("if(COUNTA(FILTER(C:C, C:C = C156))=1,""no"",""yes"")"),"no")</f>
        <v>no</v>
      </c>
    </row>
    <row r="157">
      <c r="A157" s="1" t="s">
        <v>476</v>
      </c>
      <c r="B157" s="19"/>
      <c r="C157" s="19" t="s">
        <v>672</v>
      </c>
      <c r="E157" s="24">
        <f>IFERROR(__xludf.DUMMYFUNCTION("ifna(IFNA(filter('2.1.clean'!C:C,'2.1.clean'!A:A=C157),filter('2.2.clean'!E:E,'2.2.clean'!D:D=C157)),filter('2.4.clean'!C:C,'2.4.clean'!A:A=C157))"),43636.0)</f>
        <v>43636</v>
      </c>
      <c r="F157" s="25">
        <f>IFERROR(__xludf.DUMMYFUNCTION("iferror(ifna(IFNA(filter('2.1.clean'!E:E,'2.1.clean'!A:A=C157),filter('2.2.clean'!G:G,'2.2.clean'!D:D=C157)),filter('2.4.clean'!E:E,'2.4.clean'!A:A=C157)),)"),2.4)</f>
        <v>2.4</v>
      </c>
      <c r="G157" s="24" t="str">
        <f>IFERROR(__xludf.DUMMYFUNCTION("iferror(filter('3.1.clean'!C:C,'3.1.clean'!A:A=C157),"""")"),"")</f>
        <v/>
      </c>
      <c r="H157" s="23" t="b">
        <f t="shared" ref="H157:H162" si="83">if(G157="",FALSE,TRUE)</f>
        <v>0</v>
      </c>
      <c r="J157" s="25"/>
      <c r="K157" s="24" t="str">
        <f>IFERROR(__xludf.DUMMYFUNCTION("iferror(filter('3.2.clean'!C:C,'3.2.clean'!A:A=C157),"""")"),"")</f>
        <v/>
      </c>
      <c r="L157" s="25" t="b">
        <f t="shared" ref="L157:L162" si="84">if(K157="",FALSE,TRUE)</f>
        <v>0</v>
      </c>
      <c r="M157" s="24">
        <f>IFERROR(__xludf.DUMMYFUNCTION("iferror(filter('3.3.clean'!C:C,'3.3.clean'!A:A=C157),"""")"),43662.0)</f>
        <v>43662</v>
      </c>
      <c r="N157" s="25" t="b">
        <f t="shared" ref="N157:N177" si="85">if(M157="",FALSE,TRUE)</f>
        <v>1</v>
      </c>
      <c r="O157" s="24">
        <f>IFERROR(__xludf.DUMMYFUNCTION("iferror(filter('3.4.clean'!C:C,'3.4.clean'!A:A=C157),"""")"),43789.0)</f>
        <v>43789</v>
      </c>
      <c r="P157" s="25" t="b">
        <f t="shared" ref="P157:P171" si="86">if(O157="",FALSE,TRUE)</f>
        <v>1</v>
      </c>
      <c r="Q157" s="24">
        <f>IFERROR(__xludf.DUMMYFUNCTION("iferror(filter('3.5.clean'!C:C,'3.5.clean'!A:A=C157),"""")"),43636.0)</f>
        <v>43636</v>
      </c>
      <c r="R157" s="23" t="b">
        <f t="shared" ref="R157:R171" si="87">if(Q157="",FALSE,TRUE)</f>
        <v>1</v>
      </c>
      <c r="S157" s="25"/>
      <c r="U157" s="1" t="s">
        <v>177</v>
      </c>
      <c r="V157" s="1" t="s">
        <v>64</v>
      </c>
      <c r="X157" s="23" t="str">
        <f>IFERROR(__xludf.DUMMYFUNCTION("if(COUNTA(FILTER(C:C, C:C = C157))=1,""no"",""yes"")"),"no")</f>
        <v>no</v>
      </c>
    </row>
    <row r="158">
      <c r="A158" s="1" t="s">
        <v>476</v>
      </c>
      <c r="B158" s="19"/>
      <c r="C158" s="19" t="s">
        <v>680</v>
      </c>
      <c r="E158" s="24">
        <f>IFERROR(__xludf.DUMMYFUNCTION("ifna(IFNA(filter('2.1.clean'!C:C,'2.1.clean'!A:A=C158),filter('2.2.clean'!E:E,'2.2.clean'!D:D=C158)),filter('2.4.clean'!C:C,'2.4.clean'!A:A=C158))"),43636.0)</f>
        <v>43636</v>
      </c>
      <c r="F158" s="25">
        <f>IFERROR(__xludf.DUMMYFUNCTION("iferror(ifna(IFNA(filter('2.1.clean'!E:E,'2.1.clean'!A:A=C158),filter('2.2.clean'!G:G,'2.2.clean'!D:D=C158)),filter('2.4.clean'!E:E,'2.4.clean'!A:A=C158)),)"),2.4)</f>
        <v>2.4</v>
      </c>
      <c r="G158" s="24" t="str">
        <f>IFERROR(__xludf.DUMMYFUNCTION("iferror(filter('3.1.clean'!C:C,'3.1.clean'!A:A=C158),"""")"),"")</f>
        <v/>
      </c>
      <c r="H158" s="23" t="b">
        <f t="shared" si="83"/>
        <v>0</v>
      </c>
      <c r="J158" s="25"/>
      <c r="K158" s="24" t="str">
        <f>IFERROR(__xludf.DUMMYFUNCTION("iferror(filter('3.2.clean'!C:C,'3.2.clean'!A:A=C158),"""")"),"")</f>
        <v/>
      </c>
      <c r="L158" s="25" t="b">
        <f t="shared" si="84"/>
        <v>0</v>
      </c>
      <c r="M158" s="24">
        <f>IFERROR(__xludf.DUMMYFUNCTION("iferror(filter('3.3.clean'!C:C,'3.3.clean'!A:A=C158),"""")"),43662.0)</f>
        <v>43662</v>
      </c>
      <c r="N158" s="25" t="b">
        <f t="shared" si="85"/>
        <v>1</v>
      </c>
      <c r="O158" s="24">
        <f>IFERROR(__xludf.DUMMYFUNCTION("iferror(filter('3.4.clean'!C:C,'3.4.clean'!A:A=C158),"""")"),43789.0)</f>
        <v>43789</v>
      </c>
      <c r="P158" s="25" t="b">
        <f t="shared" si="86"/>
        <v>1</v>
      </c>
      <c r="Q158" s="24">
        <f>IFERROR(__xludf.DUMMYFUNCTION("iferror(filter('3.5.clean'!C:C,'3.5.clean'!A:A=C158),"""")"),43636.0)</f>
        <v>43636</v>
      </c>
      <c r="R158" s="23" t="b">
        <f t="shared" si="87"/>
        <v>1</v>
      </c>
      <c r="S158" s="25"/>
      <c r="U158" s="1" t="s">
        <v>177</v>
      </c>
      <c r="V158" s="1" t="s">
        <v>64</v>
      </c>
      <c r="X158" s="23" t="str">
        <f>IFERROR(__xludf.DUMMYFUNCTION("if(COUNTA(FILTER(C:C, C:C = C158))=1,""no"",""yes"")"),"no")</f>
        <v>no</v>
      </c>
    </row>
    <row r="159">
      <c r="A159" s="1" t="s">
        <v>476</v>
      </c>
      <c r="B159" s="19"/>
      <c r="C159" s="19" t="s">
        <v>689</v>
      </c>
      <c r="E159" s="24">
        <f>IFERROR(__xludf.DUMMYFUNCTION("ifna(IFNA(filter('2.1.clean'!C:C,'2.1.clean'!A:A=C159),filter('2.2.clean'!E:E,'2.2.clean'!D:D=C159)),filter('2.4.clean'!C:C,'2.4.clean'!A:A=C159))"),43636.0)</f>
        <v>43636</v>
      </c>
      <c r="F159" s="25">
        <f>IFERROR(__xludf.DUMMYFUNCTION("iferror(ifna(IFNA(filter('2.1.clean'!E:E,'2.1.clean'!A:A=C159),filter('2.2.clean'!G:G,'2.2.clean'!D:D=C159)),filter('2.4.clean'!E:E,'2.4.clean'!A:A=C159)),)"),2.4)</f>
        <v>2.4</v>
      </c>
      <c r="G159" s="24" t="str">
        <f>IFERROR(__xludf.DUMMYFUNCTION("iferror(filter('3.1.clean'!C:C,'3.1.clean'!A:A=C159),"""")"),"")</f>
        <v/>
      </c>
      <c r="H159" s="23" t="b">
        <f t="shared" si="83"/>
        <v>0</v>
      </c>
      <c r="J159" s="25"/>
      <c r="K159" s="24" t="str">
        <f>IFERROR(__xludf.DUMMYFUNCTION("iferror(filter('3.2.clean'!C:C,'3.2.clean'!A:A=C159),"""")"),"")</f>
        <v/>
      </c>
      <c r="L159" s="25" t="b">
        <f t="shared" si="84"/>
        <v>0</v>
      </c>
      <c r="M159" s="24">
        <f>IFERROR(__xludf.DUMMYFUNCTION("iferror(filter('3.3.clean'!C:C,'3.3.clean'!A:A=C159),"""")"),43662.0)</f>
        <v>43662</v>
      </c>
      <c r="N159" s="25" t="b">
        <f t="shared" si="85"/>
        <v>1</v>
      </c>
      <c r="O159" s="24">
        <f>IFERROR(__xludf.DUMMYFUNCTION("iferror(filter('3.4.clean'!C:C,'3.4.clean'!A:A=C159),"""")"),43789.0)</f>
        <v>43789</v>
      </c>
      <c r="P159" s="25" t="b">
        <f t="shared" si="86"/>
        <v>1</v>
      </c>
      <c r="Q159" s="24">
        <f>IFERROR(__xludf.DUMMYFUNCTION("iferror(filter('3.5.clean'!C:C,'3.5.clean'!A:A=C159),"""")"),43636.0)</f>
        <v>43636</v>
      </c>
      <c r="R159" s="23" t="b">
        <f t="shared" si="87"/>
        <v>1</v>
      </c>
      <c r="S159" s="25"/>
      <c r="U159" s="1" t="s">
        <v>177</v>
      </c>
      <c r="V159" s="1" t="s">
        <v>64</v>
      </c>
      <c r="X159" s="23" t="str">
        <f>IFERROR(__xludf.DUMMYFUNCTION("if(COUNTA(FILTER(C:C, C:C = C159))=1,""no"",""yes"")"),"no")</f>
        <v>no</v>
      </c>
    </row>
    <row r="160">
      <c r="A160" s="1" t="s">
        <v>476</v>
      </c>
      <c r="B160" s="19"/>
      <c r="C160" s="19" t="s">
        <v>692</v>
      </c>
      <c r="E160" s="24">
        <f>IFERROR(__xludf.DUMMYFUNCTION("ifna(IFNA(filter('2.1.clean'!C:C,'2.1.clean'!A:A=C160),filter('2.2.clean'!E:E,'2.2.clean'!D:D=C160)),filter('2.4.clean'!C:C,'2.4.clean'!A:A=C160))"),43640.0)</f>
        <v>43640</v>
      </c>
      <c r="F160" s="25">
        <f>IFERROR(__xludf.DUMMYFUNCTION("iferror(ifna(IFNA(filter('2.1.clean'!E:E,'2.1.clean'!A:A=C160),filter('2.2.clean'!G:G,'2.2.clean'!D:D=C160)),filter('2.4.clean'!E:E,'2.4.clean'!A:A=C160)),)"),2.4)</f>
        <v>2.4</v>
      </c>
      <c r="G160" s="24" t="str">
        <f>IFERROR(__xludf.DUMMYFUNCTION("iferror(filter('3.1.clean'!C:C,'3.1.clean'!A:A=C160),"""")"),"")</f>
        <v/>
      </c>
      <c r="H160" s="23" t="b">
        <f t="shared" si="83"/>
        <v>0</v>
      </c>
      <c r="J160" s="25"/>
      <c r="K160" s="24" t="str">
        <f>IFERROR(__xludf.DUMMYFUNCTION("iferror(filter('3.2.clean'!C:C,'3.2.clean'!A:A=C160),"""")"),"")</f>
        <v/>
      </c>
      <c r="L160" s="25" t="b">
        <f t="shared" si="84"/>
        <v>0</v>
      </c>
      <c r="M160" s="24">
        <f>IFERROR(__xludf.DUMMYFUNCTION("iferror(filter('3.3.clean'!C:C,'3.3.clean'!A:A=C160),"""")"),43663.0)</f>
        <v>43663</v>
      </c>
      <c r="N160" s="25" t="b">
        <f t="shared" si="85"/>
        <v>1</v>
      </c>
      <c r="O160" s="24">
        <f>IFERROR(__xludf.DUMMYFUNCTION("iferror(filter('3.4.clean'!C:C,'3.4.clean'!A:A=C160),"""")"),43789.0)</f>
        <v>43789</v>
      </c>
      <c r="P160" s="25" t="b">
        <f t="shared" si="86"/>
        <v>1</v>
      </c>
      <c r="Q160" s="24">
        <f>IFERROR(__xludf.DUMMYFUNCTION("iferror(filter('3.5.clean'!C:C,'3.5.clean'!A:A=C160),"""")"),43640.0)</f>
        <v>43640</v>
      </c>
      <c r="R160" s="23" t="b">
        <f t="shared" si="87"/>
        <v>1</v>
      </c>
      <c r="S160" s="25"/>
      <c r="U160" s="1" t="s">
        <v>177</v>
      </c>
      <c r="V160" s="1" t="s">
        <v>64</v>
      </c>
      <c r="X160" s="23" t="str">
        <f>IFERROR(__xludf.DUMMYFUNCTION("if(COUNTA(FILTER(C:C, C:C = C160))=1,""no"",""yes"")"),"no")</f>
        <v>no</v>
      </c>
    </row>
    <row r="161">
      <c r="A161" s="1" t="s">
        <v>476</v>
      </c>
      <c r="B161" s="19"/>
      <c r="C161" s="19" t="s">
        <v>697</v>
      </c>
      <c r="E161" s="24">
        <f>IFERROR(__xludf.DUMMYFUNCTION("ifna(IFNA(filter('2.1.clean'!C:C,'2.1.clean'!A:A=C161),filter('2.2.clean'!E:E,'2.2.clean'!D:D=C161)),filter('2.4.clean'!C:C,'2.4.clean'!A:A=C161))"),43640.0)</f>
        <v>43640</v>
      </c>
      <c r="F161" s="25">
        <f>IFERROR(__xludf.DUMMYFUNCTION("iferror(ifna(IFNA(filter('2.1.clean'!E:E,'2.1.clean'!A:A=C161),filter('2.2.clean'!G:G,'2.2.clean'!D:D=C161)),filter('2.4.clean'!E:E,'2.4.clean'!A:A=C161)),)"),2.4)</f>
        <v>2.4</v>
      </c>
      <c r="G161" s="24" t="str">
        <f>IFERROR(__xludf.DUMMYFUNCTION("iferror(filter('3.1.clean'!C:C,'3.1.clean'!A:A=C161),"""")"),"")</f>
        <v/>
      </c>
      <c r="H161" s="23" t="b">
        <f t="shared" si="83"/>
        <v>0</v>
      </c>
      <c r="J161" s="25"/>
      <c r="K161" s="24" t="str">
        <f>IFERROR(__xludf.DUMMYFUNCTION("iferror(filter('3.2.clean'!C:C,'3.2.clean'!A:A=C161),"""")"),"")</f>
        <v/>
      </c>
      <c r="L161" s="25" t="b">
        <f t="shared" si="84"/>
        <v>0</v>
      </c>
      <c r="M161" s="24">
        <f>IFERROR(__xludf.DUMMYFUNCTION("iferror(filter('3.3.clean'!C:C,'3.3.clean'!A:A=C161),"""")"),43662.0)</f>
        <v>43662</v>
      </c>
      <c r="N161" s="25" t="b">
        <f t="shared" si="85"/>
        <v>1</v>
      </c>
      <c r="O161" s="24">
        <f>IFERROR(__xludf.DUMMYFUNCTION("iferror(filter('3.4.clean'!C:C,'3.4.clean'!A:A=C161),"""")"),43789.0)</f>
        <v>43789</v>
      </c>
      <c r="P161" s="25" t="b">
        <f t="shared" si="86"/>
        <v>1</v>
      </c>
      <c r="Q161" s="24">
        <f>IFERROR(__xludf.DUMMYFUNCTION("iferror(filter('3.5.clean'!C:C,'3.5.clean'!A:A=C161),"""")"),43640.0)</f>
        <v>43640</v>
      </c>
      <c r="R161" s="23" t="b">
        <f t="shared" si="87"/>
        <v>1</v>
      </c>
      <c r="S161" s="25"/>
      <c r="U161" s="1" t="s">
        <v>177</v>
      </c>
      <c r="V161" s="1" t="s">
        <v>64</v>
      </c>
      <c r="X161" s="23" t="str">
        <f>IFERROR(__xludf.DUMMYFUNCTION("if(COUNTA(FILTER(C:C, C:C = C161))=1,""no"",""yes"")"),"no")</f>
        <v>no</v>
      </c>
    </row>
    <row r="162">
      <c r="A162" s="1" t="s">
        <v>476</v>
      </c>
      <c r="B162" s="19"/>
      <c r="C162" s="19" t="s">
        <v>702</v>
      </c>
      <c r="E162" s="24">
        <f>IFERROR(__xludf.DUMMYFUNCTION("ifna(IFNA(filter('2.1.clean'!C:C,'2.1.clean'!A:A=C162),filter('2.2.clean'!E:E,'2.2.clean'!D:D=C162)),filter('2.4.clean'!C:C,'2.4.clean'!A:A=C162))"),43640.0)</f>
        <v>43640</v>
      </c>
      <c r="F162" s="25">
        <f>IFERROR(__xludf.DUMMYFUNCTION("iferror(ifna(IFNA(filter('2.1.clean'!E:E,'2.1.clean'!A:A=C162),filter('2.2.clean'!G:G,'2.2.clean'!D:D=C162)),filter('2.4.clean'!E:E,'2.4.clean'!A:A=C162)),)"),2.4)</f>
        <v>2.4</v>
      </c>
      <c r="G162" s="24" t="str">
        <f>IFERROR(__xludf.DUMMYFUNCTION("iferror(filter('3.1.clean'!C:C,'3.1.clean'!A:A=C162),"""")"),"")</f>
        <v/>
      </c>
      <c r="H162" s="23" t="b">
        <f t="shared" si="83"/>
        <v>0</v>
      </c>
      <c r="J162" s="25"/>
      <c r="K162" s="24" t="str">
        <f>IFERROR(__xludf.DUMMYFUNCTION("iferror(filter('3.2.clean'!C:C,'3.2.clean'!A:A=C162),"""")"),"")</f>
        <v/>
      </c>
      <c r="L162" s="25" t="b">
        <f t="shared" si="84"/>
        <v>0</v>
      </c>
      <c r="M162" s="24">
        <f>IFERROR(__xludf.DUMMYFUNCTION("iferror(filter('3.3.clean'!C:C,'3.3.clean'!A:A=C162),"""")"),43663.0)</f>
        <v>43663</v>
      </c>
      <c r="N162" s="25" t="b">
        <f t="shared" si="85"/>
        <v>1</v>
      </c>
      <c r="O162" s="24">
        <f>IFERROR(__xludf.DUMMYFUNCTION("iferror(filter('3.4.clean'!C:C,'3.4.clean'!A:A=C162),"""")"),43789.0)</f>
        <v>43789</v>
      </c>
      <c r="P162" s="25" t="b">
        <f t="shared" si="86"/>
        <v>1</v>
      </c>
      <c r="Q162" s="24">
        <f>IFERROR(__xludf.DUMMYFUNCTION("iferror(filter('3.5.clean'!C:C,'3.5.clean'!A:A=C162),"""")"),43640.0)</f>
        <v>43640</v>
      </c>
      <c r="R162" s="23" t="b">
        <f t="shared" si="87"/>
        <v>1</v>
      </c>
      <c r="S162" s="25"/>
      <c r="U162" s="1" t="s">
        <v>177</v>
      </c>
      <c r="V162" s="1" t="s">
        <v>64</v>
      </c>
      <c r="X162" s="23" t="str">
        <f>IFERROR(__xludf.DUMMYFUNCTION("if(COUNTA(FILTER(C:C, C:C = C162))=1,""no"",""yes"")"),"no")</f>
        <v>no</v>
      </c>
    </row>
    <row r="163">
      <c r="A163" s="1" t="s">
        <v>476</v>
      </c>
      <c r="B163" s="19"/>
      <c r="C163" s="19" t="s">
        <v>711</v>
      </c>
      <c r="E163" s="24">
        <f>IFERROR(__xludf.DUMMYFUNCTION("ifna(IFNA(filter('2.1.clean'!C:C,'2.1.clean'!A:A=C163),filter('2.2.clean'!E:E,'2.2.clean'!D:D=C163)),filter('2.4.clean'!C:C,'2.4.clean'!A:A=C163))"),43641.0)</f>
        <v>43641</v>
      </c>
      <c r="F163" s="25">
        <f>IFERROR(__xludf.DUMMYFUNCTION("iferror(ifna(IFNA(filter('2.1.clean'!E:E,'2.1.clean'!A:A=C163),filter('2.2.clean'!G:G,'2.2.clean'!D:D=C163)),filter('2.4.clean'!E:E,'2.4.clean'!A:A=C163)),)"),2.4)</f>
        <v>2.4</v>
      </c>
      <c r="G163" s="24"/>
      <c r="J163" s="25"/>
      <c r="K163" s="24"/>
      <c r="L163" s="25"/>
      <c r="M163" s="24">
        <f>IFERROR(__xludf.DUMMYFUNCTION("iferror(filter('3.3.clean'!C:C,'3.3.clean'!A:A=C163),"""")"),43662.0)</f>
        <v>43662</v>
      </c>
      <c r="N163" s="25" t="b">
        <f t="shared" si="85"/>
        <v>1</v>
      </c>
      <c r="O163" s="24">
        <f>IFERROR(__xludf.DUMMYFUNCTION("iferror(filter('3.4.clean'!C:C,'3.4.clean'!A:A=C163),"""")"),43789.0)</f>
        <v>43789</v>
      </c>
      <c r="P163" s="25" t="b">
        <f t="shared" si="86"/>
        <v>1</v>
      </c>
      <c r="Q163" s="24">
        <f>IFERROR(__xludf.DUMMYFUNCTION("iferror(filter('3.5.clean'!C:C,'3.5.clean'!A:A=C163),"""")"),43641.0)</f>
        <v>43641</v>
      </c>
      <c r="R163" s="23" t="b">
        <f t="shared" si="87"/>
        <v>1</v>
      </c>
      <c r="S163" s="25"/>
      <c r="V163" s="1" t="s">
        <v>64</v>
      </c>
      <c r="W163" s="23" t="b">
        <f t="shared" ref="W163:W166" si="88">IF(and(R163=TRUE,N163=TRUE,P163=TRUE),TRUE,FALSE)</f>
        <v>1</v>
      </c>
      <c r="X163" s="23" t="str">
        <f>IFERROR(__xludf.DUMMYFUNCTION("if(COUNTA(FILTER(C:C, C:C = C163))=1,""no"",""yes"")"),"no")</f>
        <v>no</v>
      </c>
    </row>
    <row r="164">
      <c r="A164" s="1" t="s">
        <v>476</v>
      </c>
      <c r="B164" s="19"/>
      <c r="C164" s="19" t="s">
        <v>716</v>
      </c>
      <c r="E164" s="24">
        <f>IFERROR(__xludf.DUMMYFUNCTION("ifna(IFNA(filter('2.1.clean'!C:C,'2.1.clean'!A:A=C164),filter('2.2.clean'!E:E,'2.2.clean'!D:D=C164)),filter('2.4.clean'!C:C,'2.4.clean'!A:A=C164))"),43641.0)</f>
        <v>43641</v>
      </c>
      <c r="F164" s="25">
        <f>IFERROR(__xludf.DUMMYFUNCTION("iferror(ifna(IFNA(filter('2.1.clean'!E:E,'2.1.clean'!A:A=C164),filter('2.2.clean'!G:G,'2.2.clean'!D:D=C164)),filter('2.4.clean'!E:E,'2.4.clean'!A:A=C164)),)"),2.4)</f>
        <v>2.4</v>
      </c>
      <c r="G164" s="24"/>
      <c r="J164" s="25"/>
      <c r="K164" s="24"/>
      <c r="L164" s="25"/>
      <c r="M164" s="24">
        <f>IFERROR(__xludf.DUMMYFUNCTION("iferror(filter('3.3.clean'!C:C,'3.3.clean'!A:A=C164),"""")"),43663.0)</f>
        <v>43663</v>
      </c>
      <c r="N164" s="25" t="b">
        <f t="shared" si="85"/>
        <v>1</v>
      </c>
      <c r="O164" s="24">
        <f>IFERROR(__xludf.DUMMYFUNCTION("iferror(filter('3.4.clean'!C:C,'3.4.clean'!A:A=C164),"""")"),43789.0)</f>
        <v>43789</v>
      </c>
      <c r="P164" s="25" t="b">
        <f t="shared" si="86"/>
        <v>1</v>
      </c>
      <c r="Q164" s="24">
        <f>IFERROR(__xludf.DUMMYFUNCTION("iferror(filter('3.5.clean'!C:C,'3.5.clean'!A:A=C164),"""")"),43641.0)</f>
        <v>43641</v>
      </c>
      <c r="R164" s="23" t="b">
        <f t="shared" si="87"/>
        <v>1</v>
      </c>
      <c r="S164" s="25"/>
      <c r="V164" s="1" t="s">
        <v>64</v>
      </c>
      <c r="W164" s="23" t="b">
        <f t="shared" si="88"/>
        <v>1</v>
      </c>
      <c r="X164" s="23" t="str">
        <f>IFERROR(__xludf.DUMMYFUNCTION("if(COUNTA(FILTER(C:C, C:C = C164))=1,""no"",""yes"")"),"no")</f>
        <v>no</v>
      </c>
    </row>
    <row r="165">
      <c r="A165" s="1" t="s">
        <v>476</v>
      </c>
      <c r="B165" s="19"/>
      <c r="C165" s="19" t="s">
        <v>722</v>
      </c>
      <c r="E165" s="24">
        <f>IFERROR(__xludf.DUMMYFUNCTION("ifna(IFNA(filter('2.1.clean'!C:C,'2.1.clean'!A:A=C165),filter('2.2.clean'!E:E,'2.2.clean'!D:D=C165)),filter('2.4.clean'!C:C,'2.4.clean'!A:A=C165))"),43641.0)</f>
        <v>43641</v>
      </c>
      <c r="F165" s="25">
        <f>IFERROR(__xludf.DUMMYFUNCTION("iferror(ifna(IFNA(filter('2.1.clean'!E:E,'2.1.clean'!A:A=C165),filter('2.2.clean'!G:G,'2.2.clean'!D:D=C165)),filter('2.4.clean'!E:E,'2.4.clean'!A:A=C165)),)"),2.4)</f>
        <v>2.4</v>
      </c>
      <c r="G165" s="24"/>
      <c r="J165" s="25"/>
      <c r="K165" s="24"/>
      <c r="L165" s="25"/>
      <c r="M165" s="24">
        <f>IFERROR(__xludf.DUMMYFUNCTION("iferror(filter('3.3.clean'!C:C,'3.3.clean'!A:A=C165),"""")"),43663.0)</f>
        <v>43663</v>
      </c>
      <c r="N165" s="25" t="b">
        <f t="shared" si="85"/>
        <v>1</v>
      </c>
      <c r="O165" s="24">
        <f>IFERROR(__xludf.DUMMYFUNCTION("iferror(filter('3.4.clean'!C:C,'3.4.clean'!A:A=C165),"""")"),43789.0)</f>
        <v>43789</v>
      </c>
      <c r="P165" s="25" t="b">
        <f t="shared" si="86"/>
        <v>1</v>
      </c>
      <c r="Q165" s="24">
        <f>IFERROR(__xludf.DUMMYFUNCTION("iferror(filter('3.5.clean'!C:C,'3.5.clean'!A:A=C165),"""")"),43641.0)</f>
        <v>43641</v>
      </c>
      <c r="R165" s="23" t="b">
        <f t="shared" si="87"/>
        <v>1</v>
      </c>
      <c r="S165" s="25"/>
      <c r="V165" s="1" t="s">
        <v>64</v>
      </c>
      <c r="W165" s="23" t="b">
        <f t="shared" si="88"/>
        <v>1</v>
      </c>
      <c r="X165" s="23" t="str">
        <f>IFERROR(__xludf.DUMMYFUNCTION("if(COUNTA(FILTER(C:C, C:C = C165))=1,""no"",""yes"")"),"no")</f>
        <v>no</v>
      </c>
    </row>
    <row r="166">
      <c r="A166" s="1" t="s">
        <v>476</v>
      </c>
      <c r="B166" s="19"/>
      <c r="C166" s="19" t="s">
        <v>729</v>
      </c>
      <c r="E166" s="24">
        <f>IFERROR(__xludf.DUMMYFUNCTION("ifna(IFNA(filter('2.1.clean'!C:C,'2.1.clean'!A:A=C166),filter('2.2.clean'!E:E,'2.2.clean'!D:D=C166)),filter('2.4.clean'!C:C,'2.4.clean'!A:A=C166))"),43641.0)</f>
        <v>43641</v>
      </c>
      <c r="F166" s="25">
        <f>IFERROR(__xludf.DUMMYFUNCTION("iferror(ifna(IFNA(filter('2.1.clean'!E:E,'2.1.clean'!A:A=C166),filter('2.2.clean'!G:G,'2.2.clean'!D:D=C166)),filter('2.4.clean'!E:E,'2.4.clean'!A:A=C166)),)"),2.4)</f>
        <v>2.4</v>
      </c>
      <c r="G166" s="24"/>
      <c r="J166" s="25"/>
      <c r="K166" s="24"/>
      <c r="L166" s="25"/>
      <c r="M166" s="24">
        <f>IFERROR(__xludf.DUMMYFUNCTION("iferror(filter('3.3.clean'!C:C,'3.3.clean'!A:A=C166),"""")"),43663.0)</f>
        <v>43663</v>
      </c>
      <c r="N166" s="25" t="b">
        <f t="shared" si="85"/>
        <v>1</v>
      </c>
      <c r="O166" s="24">
        <f>IFERROR(__xludf.DUMMYFUNCTION("iferror(filter('3.4.clean'!C:C,'3.4.clean'!A:A=C166),"""")"),43789.0)</f>
        <v>43789</v>
      </c>
      <c r="P166" s="25" t="b">
        <f t="shared" si="86"/>
        <v>1</v>
      </c>
      <c r="Q166" s="24">
        <f>IFERROR(__xludf.DUMMYFUNCTION("iferror(filter('3.5.clean'!C:C,'3.5.clean'!A:A=C166),"""")"),43641.0)</f>
        <v>43641</v>
      </c>
      <c r="R166" s="23" t="b">
        <f t="shared" si="87"/>
        <v>1</v>
      </c>
      <c r="S166" s="25"/>
      <c r="V166" s="1" t="s">
        <v>64</v>
      </c>
      <c r="W166" s="23" t="b">
        <f t="shared" si="88"/>
        <v>1</v>
      </c>
      <c r="X166" s="23" t="str">
        <f>IFERROR(__xludf.DUMMYFUNCTION("if(COUNTA(FILTER(C:C, C:C = C166))=1,""no"",""yes"")"),"no")</f>
        <v>no</v>
      </c>
    </row>
    <row r="167">
      <c r="A167" s="75" t="s">
        <v>45</v>
      </c>
      <c r="B167" s="19"/>
      <c r="C167" s="19" t="s">
        <v>737</v>
      </c>
      <c r="D167" s="58" t="str">
        <f t="shared" ref="D167:D169" si="89">if(or(I167=1,J167=1,S167=1),"pos","")</f>
        <v/>
      </c>
      <c r="E167" s="59">
        <f>Q167</f>
        <v>43643</v>
      </c>
      <c r="F167" s="60" t="str">
        <f>IFERROR(__xludf.DUMMYFUNCTION("iferror(ifna(IFNA(filter('2.1.clean'!E:E,'2.1.clean'!A:A=C167),filter('2.2.clean'!G:G,'2.2.clean'!D:D=C167)),filter('2.4.clean'!E:E,'2.4.clean'!A:A=C167)),)"),"")</f>
        <v/>
      </c>
      <c r="G167" s="59" t="str">
        <f>IFERROR(__xludf.DUMMYFUNCTION("iferror(filter('3.1.clean'!C:C,'3.1.clean'!A:A=C167),"""")"),"")</f>
        <v/>
      </c>
      <c r="H167" s="58"/>
      <c r="I167" s="58"/>
      <c r="J167" s="60"/>
      <c r="K167" s="58"/>
      <c r="L167" s="60"/>
      <c r="M167" s="59" t="str">
        <f>IFERROR(__xludf.DUMMYFUNCTION("iferror(filter('3.3.clean'!C:C,'3.3.clean'!A:A=C167),"""")"),"")</f>
        <v/>
      </c>
      <c r="N167" s="60" t="b">
        <f t="shared" si="85"/>
        <v>0</v>
      </c>
      <c r="O167" s="59" t="str">
        <f>IFERROR(__xludf.DUMMYFUNCTION("iferror(filter('3.4.clean'!C:C,'3.4.clean'!A:A=C167),"""")"),"")</f>
        <v/>
      </c>
      <c r="P167" s="60" t="b">
        <f t="shared" si="86"/>
        <v>0</v>
      </c>
      <c r="Q167" s="59">
        <f>IFERROR(__xludf.DUMMYFUNCTION("iferror(filter('3.5.clean'!C:C,'3.5.clean'!A:A=C167),"""")"),43643.0)</f>
        <v>43643</v>
      </c>
      <c r="R167" s="58" t="b">
        <f t="shared" si="87"/>
        <v>1</v>
      </c>
      <c r="S167" s="4" t="str">
        <f>IFERROR(__xludf.DUMMYFUNCTION("iferror(filter('3.5.clean'!H:H,'3.5.clean'!A:A=C167),"""")"),"")</f>
        <v/>
      </c>
      <c r="U167" s="23"/>
      <c r="V167" s="1" t="s">
        <v>64</v>
      </c>
      <c r="W167" s="23" t="b">
        <f>if(AND(R167=TRUE,N167=TRUE,P167=TRUE),TRUE,FALSE)</f>
        <v>0</v>
      </c>
      <c r="X167" s="23" t="str">
        <f>IFERROR(__xludf.DUMMYFUNCTION("if(COUNTA(FILTER(C:C, C:C = C167))=1,""no"",""yes"")"),"no")</f>
        <v>no</v>
      </c>
    </row>
    <row r="168">
      <c r="A168" s="75" t="s">
        <v>45</v>
      </c>
      <c r="B168" s="19"/>
      <c r="C168" s="19" t="s">
        <v>744</v>
      </c>
      <c r="D168" s="58" t="str">
        <f t="shared" si="89"/>
        <v/>
      </c>
      <c r="E168" s="59">
        <f>IFERROR(__xludf.DUMMYFUNCTION("ifna(IFNA(filter('2.1.clean'!C:C,'2.1.clean'!A:A=C168),filter('2.2.clean'!E:E,'2.2.clean'!D:D=C168)),filter('2.4.clean'!C:C,'2.4.clean'!A:A=C168))"),43643.0)</f>
        <v>43643</v>
      </c>
      <c r="F168" s="60">
        <f>IFERROR(__xludf.DUMMYFUNCTION("iferror(ifna(IFNA(filter('2.1.clean'!E:E,'2.1.clean'!A:A=C168),filter('2.2.clean'!G:G,'2.2.clean'!D:D=C168)),filter('2.4.clean'!E:E,'2.4.clean'!A:A=C168)),)"),2.1)</f>
        <v>2.1</v>
      </c>
      <c r="G168" s="59" t="str">
        <f>IFERROR(__xludf.DUMMYFUNCTION("iferror(filter('3.1.clean'!C:C,'3.1.clean'!A:A=C168),"""")"),"")</f>
        <v/>
      </c>
      <c r="H168" s="58" t="b">
        <f>if(G168="",FALSE,TRUE)</f>
        <v>0</v>
      </c>
      <c r="I168" s="58" t="str">
        <f>IFERROR(__xludf.DUMMYFUNCTION("iferror(filter('3.1.clean'!G:G,'3.1.clean'!A:A=C168),"""")"),"")</f>
        <v/>
      </c>
      <c r="J168" s="60" t="str">
        <f>IFERROR(__xludf.DUMMYFUNCTION("iferror(filter('3.1.clean'!I:I,'3.1.clean'!A:A=C168),"""")"),"")</f>
        <v/>
      </c>
      <c r="K168" s="58"/>
      <c r="L168" s="60"/>
      <c r="M168" s="59">
        <f>IFERROR(__xludf.DUMMYFUNCTION("iferror(filter('3.3.clean'!C:C,'3.3.clean'!A:A=C168),"""")"),43669.0)</f>
        <v>43669</v>
      </c>
      <c r="N168" s="60" t="b">
        <f t="shared" si="85"/>
        <v>1</v>
      </c>
      <c r="O168" s="59" t="str">
        <f>IFERROR(__xludf.DUMMYFUNCTION("iferror(filter('3.4.clean'!C:C,'3.4.clean'!A:A=C168),"""")"),"")</f>
        <v/>
      </c>
      <c r="P168" s="60" t="b">
        <f t="shared" si="86"/>
        <v>0</v>
      </c>
      <c r="Q168" s="59" t="str">
        <f>IFERROR(__xludf.DUMMYFUNCTION("iferror(filter('3.5.clean'!C:C,'3.5.clean'!A:A=C168),"""")"),"")</f>
        <v/>
      </c>
      <c r="R168" s="58" t="b">
        <f t="shared" si="87"/>
        <v>0</v>
      </c>
      <c r="S168" s="4" t="str">
        <f>IFERROR(__xludf.DUMMYFUNCTION("iferror(filter('3.5.clean'!H:H,'3.5.clean'!A:A=C168),"""")"),"")</f>
        <v/>
      </c>
      <c r="T168" s="1"/>
      <c r="V168" s="1" t="s">
        <v>64</v>
      </c>
      <c r="W168" s="23" t="b">
        <f>if(AND(H168=TRUE,N168=TRUE,P168=TRUE),TRUE,FALSE)</f>
        <v>0</v>
      </c>
      <c r="X168" s="23" t="str">
        <f>IFERROR(__xludf.DUMMYFUNCTION("if(COUNTA(FILTER(C:C, C:C = C168))=1,""no"",""yes"")"),"no")</f>
        <v>no</v>
      </c>
    </row>
    <row r="169">
      <c r="A169" s="75" t="s">
        <v>45</v>
      </c>
      <c r="B169" s="19"/>
      <c r="C169" s="19" t="s">
        <v>751</v>
      </c>
      <c r="D169" s="58" t="str">
        <f t="shared" si="89"/>
        <v/>
      </c>
      <c r="E169" s="59">
        <f>Q169</f>
        <v>43643</v>
      </c>
      <c r="F169" s="60" t="str">
        <f>IFERROR(__xludf.DUMMYFUNCTION("iferror(ifna(IFNA(filter('2.1.clean'!E:E,'2.1.clean'!A:A=C169),filter('2.2.clean'!G:G,'2.2.clean'!D:D=C169)),filter('2.4.clean'!E:E,'2.4.clean'!A:A=C169)),)"),"")</f>
        <v/>
      </c>
      <c r="G169" s="59" t="str">
        <f>IFERROR(__xludf.DUMMYFUNCTION("iferror(filter('3.1.clean'!C:C,'3.1.clean'!A:A=C169),"""")"),"")</f>
        <v/>
      </c>
      <c r="H169" s="58"/>
      <c r="I169" s="58"/>
      <c r="J169" s="60"/>
      <c r="K169" s="58"/>
      <c r="L169" s="60"/>
      <c r="M169" s="59">
        <f>IFERROR(__xludf.DUMMYFUNCTION("iferror(filter('3.3.clean'!C:C,'3.3.clean'!A:A=C169),"""")"),43662.0)</f>
        <v>43662</v>
      </c>
      <c r="N169" s="60" t="b">
        <f t="shared" si="85"/>
        <v>1</v>
      </c>
      <c r="O169" s="59">
        <f>IFERROR(__xludf.DUMMYFUNCTION("iferror(filter('3.4.clean'!C:C,'3.4.clean'!A:A=C169),"""")"),43686.0)</f>
        <v>43686</v>
      </c>
      <c r="P169" s="60" t="b">
        <f t="shared" si="86"/>
        <v>1</v>
      </c>
      <c r="Q169" s="59">
        <f>IFERROR(__xludf.DUMMYFUNCTION("iferror(filter('3.5.clean'!C:C,'3.5.clean'!A:A=C169),"""")"),43643.0)</f>
        <v>43643</v>
      </c>
      <c r="R169" s="58" t="b">
        <f t="shared" si="87"/>
        <v>1</v>
      </c>
      <c r="S169" s="4" t="str">
        <f>IFERROR(__xludf.DUMMYFUNCTION("iferror(filter('3.5.clean'!H:H,'3.5.clean'!A:A=C169),"""")"),"")</f>
        <v/>
      </c>
      <c r="V169" s="1" t="s">
        <v>64</v>
      </c>
      <c r="W169" s="23" t="b">
        <f>if(AND(R169=TRUE,N169=TRUE,P169=TRUE),TRUE,FALSE)</f>
        <v>1</v>
      </c>
      <c r="X169" s="23" t="str">
        <f>IFERROR(__xludf.DUMMYFUNCTION("if(COUNTA(FILTER(C:C, C:C = C169))=1,""no"",""yes"")"),"no")</f>
        <v>no</v>
      </c>
    </row>
    <row r="170">
      <c r="A170" s="75" t="s">
        <v>45</v>
      </c>
      <c r="B170" s="19"/>
      <c r="C170" s="19" t="s">
        <v>760</v>
      </c>
      <c r="E170" s="24">
        <f>IFERROR(__xludf.DUMMYFUNCTION("ifna(IFNA(filter('2.1.clean'!C:C,'2.1.clean'!A:A=C170),filter('2.2.clean'!E:E,'2.2.clean'!D:D=C170)),filter('2.4.clean'!C:C,'2.4.clean'!A:A=C170))"),43643.0)</f>
        <v>43643</v>
      </c>
      <c r="F170" s="25">
        <f>IFERROR(__xludf.DUMMYFUNCTION("iferror(ifna(IFNA(filter('2.1.clean'!E:E,'2.1.clean'!A:A=C170),filter('2.2.clean'!G:G,'2.2.clean'!D:D=C170)),filter('2.4.clean'!E:E,'2.4.clean'!A:A=C170)),)"),2.4)</f>
        <v>2.4</v>
      </c>
      <c r="G170" s="24"/>
      <c r="J170" s="25"/>
      <c r="K170" s="24"/>
      <c r="L170" s="25"/>
      <c r="M170" s="24">
        <f>IFERROR(__xludf.DUMMYFUNCTION("iferror(filter('3.3.clean'!C:C,'3.3.clean'!A:A=C170),"""")"),43663.0)</f>
        <v>43663</v>
      </c>
      <c r="N170" s="25" t="b">
        <f t="shared" si="85"/>
        <v>1</v>
      </c>
      <c r="O170" s="24">
        <f>IFERROR(__xludf.DUMMYFUNCTION("iferror(filter('3.4.clean'!C:C,'3.4.clean'!A:A=C170),"""")"),43789.0)</f>
        <v>43789</v>
      </c>
      <c r="P170" s="25" t="b">
        <f t="shared" si="86"/>
        <v>1</v>
      </c>
      <c r="Q170" s="24">
        <f>IFERROR(__xludf.DUMMYFUNCTION("iferror(filter('3.5.clean'!C:C,'3.5.clean'!A:A=C170),"""")"),43643.0)</f>
        <v>43643</v>
      </c>
      <c r="R170" s="23" t="b">
        <f t="shared" si="87"/>
        <v>1</v>
      </c>
      <c r="S170" s="25"/>
      <c r="V170" s="1" t="s">
        <v>64</v>
      </c>
      <c r="W170" s="23" t="b">
        <f t="shared" ref="W170:W174" si="90">IF(and(R170=TRUE,N170=TRUE,P170=TRUE),TRUE,FALSE)</f>
        <v>1</v>
      </c>
      <c r="X170" s="23" t="str">
        <f>IFERROR(__xludf.DUMMYFUNCTION("if(COUNTA(FILTER(C:C, C:C = C170))=1,""no"",""yes"")"),"no")</f>
        <v>no</v>
      </c>
    </row>
    <row r="171">
      <c r="A171" s="75" t="s">
        <v>45</v>
      </c>
      <c r="B171" s="19"/>
      <c r="C171" s="19" t="s">
        <v>766</v>
      </c>
      <c r="E171" s="24">
        <f>IFERROR(__xludf.DUMMYFUNCTION("ifna(IFNA(filter('2.1.clean'!C:C,'2.1.clean'!A:A=C171),filter('2.2.clean'!E:E,'2.2.clean'!D:D=C171)),filter('2.4.clean'!C:C,'2.4.clean'!A:A=C171))"),43643.0)</f>
        <v>43643</v>
      </c>
      <c r="F171" s="25">
        <f>IFERROR(__xludf.DUMMYFUNCTION("iferror(ifna(IFNA(filter('2.1.clean'!E:E,'2.1.clean'!A:A=C171),filter('2.2.clean'!G:G,'2.2.clean'!D:D=C171)),filter('2.4.clean'!E:E,'2.4.clean'!A:A=C171)),)"),2.4)</f>
        <v>2.4</v>
      </c>
      <c r="G171" s="24"/>
      <c r="J171" s="25"/>
      <c r="K171" s="24"/>
      <c r="L171" s="25"/>
      <c r="M171" s="24">
        <f>IFERROR(__xludf.DUMMYFUNCTION("iferror(filter('3.3.clean'!C:C,'3.3.clean'!A:A=C171),"""")"),43662.0)</f>
        <v>43662</v>
      </c>
      <c r="N171" s="25" t="b">
        <f t="shared" si="85"/>
        <v>1</v>
      </c>
      <c r="O171" s="24">
        <f>IFERROR(__xludf.DUMMYFUNCTION("iferror(filter('3.4.clean'!C:C,'3.4.clean'!A:A=C171),"""")"),43789.0)</f>
        <v>43789</v>
      </c>
      <c r="P171" s="25" t="b">
        <f t="shared" si="86"/>
        <v>1</v>
      </c>
      <c r="Q171" s="24">
        <f>IFERROR(__xludf.DUMMYFUNCTION("iferror(filter('3.5.clean'!C:C,'3.5.clean'!A:A=C171),"""")"),43643.0)</f>
        <v>43643</v>
      </c>
      <c r="R171" s="23" t="b">
        <f t="shared" si="87"/>
        <v>1</v>
      </c>
      <c r="S171" s="25"/>
      <c r="V171" s="1" t="s">
        <v>64</v>
      </c>
      <c r="W171" s="23" t="b">
        <f t="shared" si="90"/>
        <v>1</v>
      </c>
      <c r="X171" s="23" t="str">
        <f>IFERROR(__xludf.DUMMYFUNCTION("if(COUNTA(FILTER(C:C, C:C = C171))=1,""no"",""yes"")"),"no")</f>
        <v>no</v>
      </c>
    </row>
    <row r="172">
      <c r="A172" s="75" t="s">
        <v>45</v>
      </c>
      <c r="B172" s="19"/>
      <c r="C172" s="2" t="s">
        <v>770</v>
      </c>
      <c r="E172" s="24">
        <v>43643.0</v>
      </c>
      <c r="F172" s="25" t="str">
        <f>IFERROR(__xludf.DUMMYFUNCTION("iferror(ifna(IFNA(filter('2.1.clean'!E:E,'2.1.clean'!A:A=C172),filter('2.2.clean'!G:G,'2.2.clean'!D:D=C172)),filter('2.4.clean'!E:E,'2.4.clean'!A:A=C172)),)"),"")</f>
        <v/>
      </c>
      <c r="G172" s="24"/>
      <c r="J172" s="25"/>
      <c r="K172" s="24"/>
      <c r="L172" s="25"/>
      <c r="M172" s="24">
        <f>IFERROR(__xludf.DUMMYFUNCTION("iferror(filter('3.3.clean'!C:C,'3.3.clean'!A:A=C172),"""")"),43663.0)</f>
        <v>43663</v>
      </c>
      <c r="N172" s="25" t="b">
        <f t="shared" si="85"/>
        <v>1</v>
      </c>
      <c r="O172" s="24"/>
      <c r="P172" s="25"/>
      <c r="Q172" s="24"/>
      <c r="S172" s="25"/>
      <c r="V172" s="1" t="s">
        <v>64</v>
      </c>
      <c r="W172" s="23" t="b">
        <f t="shared" si="90"/>
        <v>0</v>
      </c>
      <c r="X172" s="23" t="str">
        <f>IFERROR(__xludf.DUMMYFUNCTION("if(COUNTA(FILTER(C:C, C:C = C172))=1,""no"",""yes"")"),"no")</f>
        <v>no</v>
      </c>
    </row>
    <row r="173">
      <c r="A173" s="75" t="s">
        <v>45</v>
      </c>
      <c r="B173" s="19"/>
      <c r="C173" s="19" t="s">
        <v>774</v>
      </c>
      <c r="E173" s="24">
        <f>IFERROR(__xludf.DUMMYFUNCTION("ifna(IFNA(filter('2.1.clean'!C:C,'2.1.clean'!A:A=C173),filter('2.2.clean'!E:E,'2.2.clean'!D:D=C173)),filter('2.4.clean'!C:C,'2.4.clean'!A:A=C173))"),43643.0)</f>
        <v>43643</v>
      </c>
      <c r="F173" s="25">
        <f>IFERROR(__xludf.DUMMYFUNCTION("iferror(ifna(IFNA(filter('2.1.clean'!E:E,'2.1.clean'!A:A=C173),filter('2.2.clean'!G:G,'2.2.clean'!D:D=C173)),filter('2.4.clean'!E:E,'2.4.clean'!A:A=C173)),)"),2.4)</f>
        <v>2.4</v>
      </c>
      <c r="G173" s="24"/>
      <c r="J173" s="25"/>
      <c r="K173" s="24"/>
      <c r="L173" s="25"/>
      <c r="M173" s="24">
        <f>IFERROR(__xludf.DUMMYFUNCTION("iferror(filter('3.3.clean'!C:C,'3.3.clean'!A:A=C173),"""")"),43663.0)</f>
        <v>43663</v>
      </c>
      <c r="N173" s="25" t="b">
        <f t="shared" si="85"/>
        <v>1</v>
      </c>
      <c r="O173" s="24">
        <f>IFERROR(__xludf.DUMMYFUNCTION("iferror(filter('3.4.clean'!C:C,'3.4.clean'!A:A=C173),"""")"),43836.0)</f>
        <v>43836</v>
      </c>
      <c r="P173" s="25" t="b">
        <f t="shared" ref="P173:P177" si="91">if(O173="",FALSE,TRUE)</f>
        <v>1</v>
      </c>
      <c r="Q173" s="24">
        <f>IFERROR(__xludf.DUMMYFUNCTION("iferror(filter('3.5.clean'!C:C,'3.5.clean'!A:A=C173),"""")"),43643.0)</f>
        <v>43643</v>
      </c>
      <c r="R173" s="23" t="b">
        <f t="shared" ref="R173:R177" si="92">if(Q173="",FALSE,TRUE)</f>
        <v>1</v>
      </c>
      <c r="S173" s="25"/>
      <c r="V173" s="1" t="s">
        <v>64</v>
      </c>
      <c r="W173" s="23" t="b">
        <f t="shared" si="90"/>
        <v>1</v>
      </c>
      <c r="X173" s="23" t="str">
        <f>IFERROR(__xludf.DUMMYFUNCTION("if(COUNTA(FILTER(C:C, C:C = C173))=1,""no"",""yes"")"),"no")</f>
        <v>no</v>
      </c>
    </row>
    <row r="174">
      <c r="A174" s="75" t="s">
        <v>45</v>
      </c>
      <c r="B174" s="19"/>
      <c r="C174" s="19" t="s">
        <v>781</v>
      </c>
      <c r="E174" s="24">
        <f>IFERROR(__xludf.DUMMYFUNCTION("ifna(IFNA(filter('2.1.clean'!C:C,'2.1.clean'!A:A=C174),filter('2.2.clean'!E:E,'2.2.clean'!D:D=C174)),filter('2.4.clean'!C:C,'2.4.clean'!A:A=C174))"),43643.0)</f>
        <v>43643</v>
      </c>
      <c r="F174" s="25">
        <f>IFERROR(__xludf.DUMMYFUNCTION("iferror(ifna(IFNA(filter('2.1.clean'!E:E,'2.1.clean'!A:A=C174),filter('2.2.clean'!G:G,'2.2.clean'!D:D=C174)),filter('2.4.clean'!E:E,'2.4.clean'!A:A=C174)),)"),2.4)</f>
        <v>2.4</v>
      </c>
      <c r="G174" s="24"/>
      <c r="J174" s="25"/>
      <c r="K174" s="24"/>
      <c r="L174" s="25"/>
      <c r="M174" s="24">
        <f>IFERROR(__xludf.DUMMYFUNCTION("iferror(filter('3.3.clean'!C:C,'3.3.clean'!A:A=C174),"""")"),43662.0)</f>
        <v>43662</v>
      </c>
      <c r="N174" s="25" t="b">
        <f t="shared" si="85"/>
        <v>1</v>
      </c>
      <c r="O174" s="24">
        <f>IFERROR(__xludf.DUMMYFUNCTION("iferror(filter('3.4.clean'!C:C,'3.4.clean'!A:A=C174),"""")"),43836.0)</f>
        <v>43836</v>
      </c>
      <c r="P174" s="25" t="b">
        <f t="shared" si="91"/>
        <v>1</v>
      </c>
      <c r="Q174" s="24">
        <f>IFERROR(__xludf.DUMMYFUNCTION("iferror(filter('3.5.clean'!C:C,'3.5.clean'!A:A=C174),"""")"),43643.0)</f>
        <v>43643</v>
      </c>
      <c r="R174" s="23" t="b">
        <f t="shared" si="92"/>
        <v>1</v>
      </c>
      <c r="S174" s="25"/>
      <c r="V174" s="1" t="s">
        <v>64</v>
      </c>
      <c r="W174" s="23" t="b">
        <f t="shared" si="90"/>
        <v>1</v>
      </c>
      <c r="X174" s="23" t="str">
        <f>IFERROR(__xludf.DUMMYFUNCTION("if(COUNTA(FILTER(C:C, C:C = C174))=1,""no"",""yes"")"),"no")</f>
        <v>no</v>
      </c>
    </row>
    <row r="175">
      <c r="A175" s="75" t="s">
        <v>45</v>
      </c>
      <c r="B175" s="19"/>
      <c r="C175" s="19" t="s">
        <v>787</v>
      </c>
      <c r="E175" s="24">
        <f>IFERROR(__xludf.DUMMYFUNCTION("ifna(IFNA(filter('2.1.clean'!C:C,'2.1.clean'!A:A=C175),filter('2.2.clean'!E:E,'2.2.clean'!D:D=C175)),filter('2.4.clean'!C:C,'2.4.clean'!A:A=C175))"),43643.0)</f>
        <v>43643</v>
      </c>
      <c r="F175" s="25">
        <f>IFERROR(__xludf.DUMMYFUNCTION("iferror(ifna(IFNA(filter('2.1.clean'!E:E,'2.1.clean'!A:A=C175),filter('2.2.clean'!G:G,'2.2.clean'!D:D=C175)),filter('2.4.clean'!E:E,'2.4.clean'!A:A=C175)),)"),2.4)</f>
        <v>2.4</v>
      </c>
      <c r="G175" s="24" t="str">
        <f>IFERROR(__xludf.DUMMYFUNCTION("iferror(filter('3.1.clean'!C:C,'3.1.clean'!A:A=C175),"""")"),"")</f>
        <v/>
      </c>
      <c r="H175" s="23" t="b">
        <f t="shared" ref="H175:H179" si="93">if(G175="",FALSE,TRUE)</f>
        <v>0</v>
      </c>
      <c r="J175" s="25"/>
      <c r="K175" s="24" t="str">
        <f>IFERROR(__xludf.DUMMYFUNCTION("iferror(filter('3.2.clean'!C:C,'3.2.clean'!A:A=C175),"""")"),"")</f>
        <v/>
      </c>
      <c r="L175" s="25" t="b">
        <f t="shared" ref="L175:L177" si="94">if(K175="",FALSE,TRUE)</f>
        <v>0</v>
      </c>
      <c r="M175" s="24">
        <f>IFERROR(__xludf.DUMMYFUNCTION("iferror(filter('3.3.clean'!C:C,'3.3.clean'!A:A=C175),"""")"),43662.0)</f>
        <v>43662</v>
      </c>
      <c r="N175" s="25" t="b">
        <f t="shared" si="85"/>
        <v>1</v>
      </c>
      <c r="O175" s="24">
        <f>IFERROR(__xludf.DUMMYFUNCTION("iferror(filter('3.4.clean'!C:C,'3.4.clean'!A:A=C175),"""")"),43817.0)</f>
        <v>43817</v>
      </c>
      <c r="P175" s="25" t="b">
        <f t="shared" si="91"/>
        <v>1</v>
      </c>
      <c r="Q175" s="24">
        <f>IFERROR(__xludf.DUMMYFUNCTION("iferror(filter('3.5.clean'!C:C,'3.5.clean'!A:A=C175),"""")"),43643.0)</f>
        <v>43643</v>
      </c>
      <c r="R175" s="23" t="b">
        <f t="shared" si="92"/>
        <v>1</v>
      </c>
      <c r="S175" s="25"/>
      <c r="V175" s="1" t="s">
        <v>64</v>
      </c>
      <c r="X175" s="23" t="str">
        <f>IFERROR(__xludf.DUMMYFUNCTION("if(COUNTA(FILTER(C:C, C:C = C175))=1,""no"",""yes"")"),"no")</f>
        <v>no</v>
      </c>
    </row>
    <row r="176">
      <c r="A176" s="75" t="s">
        <v>45</v>
      </c>
      <c r="B176" s="19"/>
      <c r="C176" s="19" t="s">
        <v>791</v>
      </c>
      <c r="E176" s="24">
        <f>IFERROR(__xludf.DUMMYFUNCTION("ifna(IFNA(filter('2.1.clean'!C:C,'2.1.clean'!A:A=C176),filter('2.2.clean'!E:E,'2.2.clean'!D:D=C176)),filter('2.4.clean'!C:C,'2.4.clean'!A:A=C176))"),43643.0)</f>
        <v>43643</v>
      </c>
      <c r="F176" s="25">
        <f>IFERROR(__xludf.DUMMYFUNCTION("iferror(ifna(IFNA(filter('2.1.clean'!E:E,'2.1.clean'!A:A=C176),filter('2.2.clean'!G:G,'2.2.clean'!D:D=C176)),filter('2.4.clean'!E:E,'2.4.clean'!A:A=C176)),)"),2.4)</f>
        <v>2.4</v>
      </c>
      <c r="G176" s="24" t="str">
        <f>IFERROR(__xludf.DUMMYFUNCTION("iferror(filter('3.1.clean'!C:C,'3.1.clean'!A:A=C176),"""")"),"")</f>
        <v/>
      </c>
      <c r="H176" s="23" t="b">
        <f t="shared" si="93"/>
        <v>0</v>
      </c>
      <c r="J176" s="25"/>
      <c r="K176" s="24" t="str">
        <f>IFERROR(__xludf.DUMMYFUNCTION("iferror(filter('3.2.clean'!C:C,'3.2.clean'!A:A=C176),"""")"),"")</f>
        <v/>
      </c>
      <c r="L176" s="25" t="b">
        <f t="shared" si="94"/>
        <v>0</v>
      </c>
      <c r="M176" s="24">
        <f>IFERROR(__xludf.DUMMYFUNCTION("iferror(filter('3.3.clean'!C:C,'3.3.clean'!A:A=C176),"""")"),43662.0)</f>
        <v>43662</v>
      </c>
      <c r="N176" s="25" t="b">
        <f t="shared" si="85"/>
        <v>1</v>
      </c>
      <c r="O176" s="24">
        <f>IFERROR(__xludf.DUMMYFUNCTION("iferror(filter('3.4.clean'!C:C,'3.4.clean'!A:A=C176),"""")"),43817.0)</f>
        <v>43817</v>
      </c>
      <c r="P176" s="25" t="b">
        <f t="shared" si="91"/>
        <v>1</v>
      </c>
      <c r="Q176" s="24">
        <f>IFERROR(__xludf.DUMMYFUNCTION("iferror(filter('3.5.clean'!C:C,'3.5.clean'!A:A=C176),"""")"),43643.0)</f>
        <v>43643</v>
      </c>
      <c r="R176" s="23" t="b">
        <f t="shared" si="92"/>
        <v>1</v>
      </c>
      <c r="S176" s="25"/>
      <c r="V176" s="1" t="s">
        <v>64</v>
      </c>
      <c r="X176" s="23" t="str">
        <f>IFERROR(__xludf.DUMMYFUNCTION("if(COUNTA(FILTER(C:C, C:C = C176))=1,""no"",""yes"")"),"no")</f>
        <v>no</v>
      </c>
    </row>
    <row r="177">
      <c r="A177" s="75" t="s">
        <v>45</v>
      </c>
      <c r="B177" s="19"/>
      <c r="C177" s="19" t="s">
        <v>795</v>
      </c>
      <c r="E177" s="24">
        <f>IFERROR(__xludf.DUMMYFUNCTION("ifna(IFNA(filter('2.1.clean'!C:C,'2.1.clean'!A:A=C177),filter('2.2.clean'!E:E,'2.2.clean'!D:D=C177)),filter('2.4.clean'!C:C,'2.4.clean'!A:A=C177))"),43643.0)</f>
        <v>43643</v>
      </c>
      <c r="F177" s="25">
        <f>IFERROR(__xludf.DUMMYFUNCTION("iferror(ifna(IFNA(filter('2.1.clean'!E:E,'2.1.clean'!A:A=C177),filter('2.2.clean'!G:G,'2.2.clean'!D:D=C177)),filter('2.4.clean'!E:E,'2.4.clean'!A:A=C177)),)"),2.4)</f>
        <v>2.4</v>
      </c>
      <c r="G177" s="24" t="str">
        <f>IFERROR(__xludf.DUMMYFUNCTION("iferror(filter('3.1.clean'!C:C,'3.1.clean'!A:A=C177),"""")"),"")</f>
        <v/>
      </c>
      <c r="H177" s="23" t="b">
        <f t="shared" si="93"/>
        <v>0</v>
      </c>
      <c r="J177" s="25"/>
      <c r="K177" s="24" t="str">
        <f>IFERROR(__xludf.DUMMYFUNCTION("iferror(filter('3.2.clean'!C:C,'3.2.clean'!A:A=C177),"""")"),"")</f>
        <v/>
      </c>
      <c r="L177" s="25" t="b">
        <f t="shared" si="94"/>
        <v>0</v>
      </c>
      <c r="M177" s="24">
        <f>IFERROR(__xludf.DUMMYFUNCTION("iferror(filter('3.3.clean'!C:C,'3.3.clean'!A:A=C177),"""")"),43662.0)</f>
        <v>43662</v>
      </c>
      <c r="N177" s="25" t="b">
        <f t="shared" si="85"/>
        <v>1</v>
      </c>
      <c r="O177" s="24">
        <f>IFERROR(__xludf.DUMMYFUNCTION("iferror(filter('3.4.clean'!C:C,'3.4.clean'!A:A=C177),"""")"),43817.0)</f>
        <v>43817</v>
      </c>
      <c r="P177" s="25" t="b">
        <f t="shared" si="91"/>
        <v>1</v>
      </c>
      <c r="Q177" s="24">
        <f>IFERROR(__xludf.DUMMYFUNCTION("iferror(filter('3.5.clean'!C:C,'3.5.clean'!A:A=C177),"""")"),43643.0)</f>
        <v>43643</v>
      </c>
      <c r="R177" s="23" t="b">
        <f t="shared" si="92"/>
        <v>1</v>
      </c>
      <c r="S177" s="25"/>
      <c r="V177" s="1" t="s">
        <v>64</v>
      </c>
      <c r="X177" s="23" t="str">
        <f>IFERROR(__xludf.DUMMYFUNCTION("if(COUNTA(FILTER(C:C, C:C = C177))=1,""no"",""yes"")"),"no")</f>
        <v>no</v>
      </c>
    </row>
    <row r="178">
      <c r="A178" s="1" t="s">
        <v>80</v>
      </c>
      <c r="B178" s="19"/>
      <c r="C178" s="19" t="s">
        <v>801</v>
      </c>
      <c r="D178" s="76" t="str">
        <f>if(or(I178=1,J178=1,S178=1),"pos","")</f>
        <v/>
      </c>
      <c r="E178" s="77">
        <f>G178</f>
        <v>43647</v>
      </c>
      <c r="F178" s="78" t="str">
        <f>IFERROR(__xludf.DUMMYFUNCTION("iferror(ifna(IFNA(filter('2.1.clean'!E:E,'2.1.clean'!A:A=C178),filter('2.2.clean'!G:G,'2.2.clean'!D:D=C178)),filter('2.4.clean'!E:E,'2.4.clean'!A:A=C178)),)"),"")</f>
        <v/>
      </c>
      <c r="G178" s="77">
        <f>IFERROR(__xludf.DUMMYFUNCTION("iferror(filter('3.1.clean'!C:C,'3.1.clean'!A:A=C178),"""")"),43647.0)</f>
        <v>43647</v>
      </c>
      <c r="H178" s="76" t="b">
        <f t="shared" si="93"/>
        <v>1</v>
      </c>
      <c r="I178" s="76">
        <f>IFERROR(__xludf.DUMMYFUNCTION("iferror(filter('3.1.clean'!G:G,'3.1.clean'!A:A=C178),"""")"),0.0)</f>
        <v>0</v>
      </c>
      <c r="J178" s="78" t="str">
        <f>IFERROR(__xludf.DUMMYFUNCTION("iferror(filter('3.1.clean'!I:I,'3.1.clean'!A:A=C178),"""")"),"")</f>
        <v/>
      </c>
      <c r="K178" s="77"/>
      <c r="L178" s="78"/>
      <c r="M178" s="77"/>
      <c r="N178" s="78"/>
      <c r="O178" s="77"/>
      <c r="P178" s="78"/>
      <c r="Q178" s="77"/>
      <c r="R178" s="76"/>
      <c r="S178" s="25"/>
      <c r="T178" s="1"/>
      <c r="V178" s="1" t="s">
        <v>64</v>
      </c>
      <c r="W178" s="1" t="b">
        <v>1</v>
      </c>
      <c r="X178" s="23" t="str">
        <f>IFERROR(__xludf.DUMMYFUNCTION("if(COUNTA(FILTER(C:C, C:C = C178))=1,""no"",""yes"")"),"no")</f>
        <v>no</v>
      </c>
    </row>
    <row r="179">
      <c r="A179" s="1" t="s">
        <v>80</v>
      </c>
      <c r="B179" s="19"/>
      <c r="C179" s="19" t="s">
        <v>809</v>
      </c>
      <c r="E179" s="24">
        <f>IFERROR(__xludf.DUMMYFUNCTION("ifna(IFNA(filter('2.1.clean'!C:C,'2.1.clean'!A:A=C179),filter('2.2.clean'!E:E,'2.2.clean'!D:D=C179)),filter('2.4.clean'!C:C,'2.4.clean'!A:A=C179))"),43647.0)</f>
        <v>43647</v>
      </c>
      <c r="F179" s="25">
        <f>IFERROR(__xludf.DUMMYFUNCTION("iferror(ifna(IFNA(filter('2.1.clean'!E:E,'2.1.clean'!A:A=C179),filter('2.2.clean'!G:G,'2.2.clean'!D:D=C179)),filter('2.4.clean'!E:E,'2.4.clean'!A:A=C179)),)"),2.4)</f>
        <v>2.4</v>
      </c>
      <c r="G179" s="24">
        <f>IFERROR(__xludf.DUMMYFUNCTION("iferror(filter('3.1.clean'!C:C,'3.1.clean'!A:A=C179),"""")"),43647.0)</f>
        <v>43647</v>
      </c>
      <c r="H179" s="23" t="b">
        <f t="shared" si="93"/>
        <v>1</v>
      </c>
      <c r="J179" s="25"/>
      <c r="K179" s="24" t="str">
        <f>IFERROR(__xludf.DUMMYFUNCTION("iferror(filter('3.2.clean'!C:C,'3.2.clean'!A:A=C179),"""")"),"")</f>
        <v/>
      </c>
      <c r="L179" s="25" t="b">
        <f>if(K179="",FALSE,TRUE)</f>
        <v>0</v>
      </c>
      <c r="M179" s="24">
        <f>IFERROR(__xludf.DUMMYFUNCTION("iferror(filter('3.3.clean'!C:C,'3.3.clean'!A:A=C179),"""")"),43662.0)</f>
        <v>43662</v>
      </c>
      <c r="N179" s="25" t="b">
        <f>if(M179="",FALSE,TRUE)</f>
        <v>1</v>
      </c>
      <c r="O179" s="24">
        <f>IFERROR(__xludf.DUMMYFUNCTION("iferror(filter('3.4.clean'!C:C,'3.4.clean'!A:A=C179),"""")"),43717.0)</f>
        <v>43717</v>
      </c>
      <c r="P179" s="25" t="b">
        <f t="shared" ref="P179:P200" si="95">if(O179="",FALSE,TRUE)</f>
        <v>1</v>
      </c>
      <c r="Q179" s="24">
        <f>IFERROR(__xludf.DUMMYFUNCTION("iferror(filter('3.5.clean'!C:C,'3.5.clean'!A:A=C179),"""")"),43647.0)</f>
        <v>43647</v>
      </c>
      <c r="R179" s="23" t="b">
        <f>if(Q179="",FALSE,TRUE)</f>
        <v>1</v>
      </c>
      <c r="S179" s="25"/>
      <c r="V179" s="1" t="s">
        <v>64</v>
      </c>
      <c r="X179" s="23" t="str">
        <f>IFERROR(__xludf.DUMMYFUNCTION("if(COUNTA(FILTER(C:C, C:C = C179))=1,""no"",""yes"")"),"no")</f>
        <v>no</v>
      </c>
    </row>
    <row r="180">
      <c r="A180" s="1" t="s">
        <v>80</v>
      </c>
      <c r="B180" s="19"/>
      <c r="C180" s="2" t="s">
        <v>810</v>
      </c>
      <c r="E180" s="24">
        <v>43647.0</v>
      </c>
      <c r="F180" s="25" t="str">
        <f>IFERROR(__xludf.DUMMYFUNCTION("iferror(ifna(IFNA(filter('2.1.clean'!E:E,'2.1.clean'!A:A=C180),filter('2.2.clean'!G:G,'2.2.clean'!D:D=C180)),filter('2.4.clean'!E:E,'2.4.clean'!A:A=C180)),)"),"")</f>
        <v/>
      </c>
      <c r="G180" s="24" t="str">
        <f>IFERROR(__xludf.DUMMYFUNCTION("iferror(filter('3.1.clean'!C:C,'3.1.clean'!A:A=C180),"""")"),"")</f>
        <v/>
      </c>
      <c r="J180" s="25"/>
      <c r="K180" s="24" t="str">
        <f>IFERROR(__xludf.DUMMYFUNCTION("iferror(filter('3.2.clean'!C:C,'3.2.clean'!A:A=C180),"""")"),"")</f>
        <v/>
      </c>
      <c r="L180" s="25"/>
      <c r="M180" s="24" t="str">
        <f>IFERROR(__xludf.DUMMYFUNCTION("iferror(filter('3.3.clean'!C:C,'3.3.clean'!A:A=C180),"""")"),"")</f>
        <v/>
      </c>
      <c r="N180" s="25"/>
      <c r="O180" s="24">
        <f>IFERROR(__xludf.DUMMYFUNCTION("iferror(filter('3.4.clean'!C:C,'3.4.clean'!A:A=C180),"""")"),43817.0)</f>
        <v>43817</v>
      </c>
      <c r="P180" s="25" t="b">
        <f t="shared" si="95"/>
        <v>1</v>
      </c>
      <c r="Q180" s="24" t="str">
        <f>IFERROR(__xludf.DUMMYFUNCTION("iferror(filter('3.5.clean'!C:C,'3.5.clean'!A:A=C180),"""")"),"")</f>
        <v/>
      </c>
      <c r="S180" s="25"/>
      <c r="V180" s="1" t="s">
        <v>64</v>
      </c>
      <c r="X180" s="23" t="str">
        <f>IFERROR(__xludf.DUMMYFUNCTION("if(COUNTA(FILTER(C:C, C:C = C180))=1,""no"",""yes"")"),"no")</f>
        <v>no</v>
      </c>
    </row>
    <row r="181">
      <c r="A181" s="1" t="s">
        <v>80</v>
      </c>
      <c r="B181" s="19"/>
      <c r="C181" s="19" t="s">
        <v>811</v>
      </c>
      <c r="E181" s="24">
        <f>IFERROR(__xludf.DUMMYFUNCTION("ifna(IFNA(filter('2.1.clean'!C:C,'2.1.clean'!A:A=C181),filter('2.2.clean'!E:E,'2.2.clean'!D:D=C181)),filter('2.4.clean'!C:C,'2.4.clean'!A:A=C181))"),43647.0)</f>
        <v>43647</v>
      </c>
      <c r="F181" s="25">
        <f>IFERROR(__xludf.DUMMYFUNCTION("iferror(ifna(IFNA(filter('2.1.clean'!E:E,'2.1.clean'!A:A=C181),filter('2.2.clean'!G:G,'2.2.clean'!D:D=C181)),filter('2.4.clean'!E:E,'2.4.clean'!A:A=C181)),)"),2.4)</f>
        <v>2.4</v>
      </c>
      <c r="G181" s="24">
        <f>IFERROR(__xludf.DUMMYFUNCTION("iferror(filter('3.1.clean'!C:C,'3.1.clean'!A:A=C181),"""")"),43647.0)</f>
        <v>43647</v>
      </c>
      <c r="H181" s="23" t="b">
        <f t="shared" ref="H181:H182" si="96">if(G181="",FALSE,TRUE)</f>
        <v>1</v>
      </c>
      <c r="J181" s="25"/>
      <c r="K181" s="24" t="str">
        <f>IFERROR(__xludf.DUMMYFUNCTION("iferror(filter('3.2.clean'!C:C,'3.2.clean'!A:A=C181),"""")"),"")</f>
        <v/>
      </c>
      <c r="L181" s="25" t="b">
        <f t="shared" ref="L181:L182" si="97">if(K181="",FALSE,TRUE)</f>
        <v>0</v>
      </c>
      <c r="M181" s="24">
        <f>IFERROR(__xludf.DUMMYFUNCTION("iferror(filter('3.3.clean'!C:C,'3.3.clean'!A:A=C181),"""")"),43662.0)</f>
        <v>43662</v>
      </c>
      <c r="N181" s="25" t="b">
        <f t="shared" ref="N181:N184" si="98">if(M181="",FALSE,TRUE)</f>
        <v>1</v>
      </c>
      <c r="O181" s="24" t="str">
        <f>IFERROR(__xludf.DUMMYFUNCTION("iferror(filter('3.4.clean'!C:C,'3.4.clean'!A:A=C181),"""")"),"#REF!")</f>
        <v>#REF!</v>
      </c>
      <c r="P181" s="25" t="str">
        <f t="shared" si="95"/>
        <v>#REF!</v>
      </c>
      <c r="Q181" s="24">
        <f>IFERROR(__xludf.DUMMYFUNCTION("iferror(filter('3.5.clean'!C:C,'3.5.clean'!A:A=C181),"""")"),43647.0)</f>
        <v>43647</v>
      </c>
      <c r="R181" s="23" t="b">
        <f t="shared" ref="R181:R184" si="99">if(Q181="",FALSE,TRUE)</f>
        <v>1</v>
      </c>
      <c r="S181" s="25"/>
      <c r="V181" s="1" t="s">
        <v>64</v>
      </c>
      <c r="X181" s="23" t="str">
        <f>IFERROR(__xludf.DUMMYFUNCTION("if(COUNTA(FILTER(C:C, C:C = C181))=1,""no"",""yes"")"),"no")</f>
        <v>no</v>
      </c>
    </row>
    <row r="182">
      <c r="A182" s="75" t="s">
        <v>156</v>
      </c>
      <c r="B182" s="19"/>
      <c r="C182" s="19" t="s">
        <v>813</v>
      </c>
      <c r="D182" s="58" t="str">
        <f t="shared" ref="D182:D183" si="100">if(or(I182=1,J182=1,S182=1),"pos","")</f>
        <v/>
      </c>
      <c r="E182" s="59">
        <f>IFERROR(__xludf.DUMMYFUNCTION("ifna(IFNA(filter('2.1.clean'!C:C,'2.1.clean'!A:A=C182),filter('2.2.clean'!E:E,'2.2.clean'!D:D=C182)),filter('2.4.clean'!C:C,'2.4.clean'!A:A=C182))"),43648.0)</f>
        <v>43648</v>
      </c>
      <c r="F182" s="60">
        <f>IFERROR(__xludf.DUMMYFUNCTION("iferror(ifna(IFNA(filter('2.1.clean'!E:E,'2.1.clean'!A:A=C182),filter('2.2.clean'!G:G,'2.2.clean'!D:D=C182)),filter('2.4.clean'!E:E,'2.4.clean'!A:A=C182)),)"),2.1)</f>
        <v>2.1</v>
      </c>
      <c r="G182" s="59" t="str">
        <f>IFERROR(__xludf.DUMMYFUNCTION("iferror(filter('3.1.clean'!C:C,'3.1.clean'!B:B=C182),"""")"),"")</f>
        <v/>
      </c>
      <c r="H182" s="58" t="b">
        <f t="shared" si="96"/>
        <v>0</v>
      </c>
      <c r="I182" s="58" t="str">
        <f>IFERROR(__xludf.DUMMYFUNCTION("iferror(filter('3.1.clean'!G:G,'3.1.clean'!A:A=C182),"""")"),"")</f>
        <v/>
      </c>
      <c r="J182" s="60" t="str">
        <f>IFERROR(__xludf.DUMMYFUNCTION("iferror(filter('3.1.clean'!I:I,'3.1.clean'!A:A=C182),"""")"),"")</f>
        <v/>
      </c>
      <c r="K182" s="58" t="str">
        <f>IFERROR(__xludf.DUMMYFUNCTION("iferror(filter('3.2.clean'!C:C,'3.2.clean'!A:A=C182),"""")"),"")</f>
        <v/>
      </c>
      <c r="L182" s="60" t="b">
        <f t="shared" si="97"/>
        <v>0</v>
      </c>
      <c r="M182" s="59">
        <f>IFERROR(__xludf.DUMMYFUNCTION("iferror(filter('3.3.clean'!C:C,'3.3.clean'!A:A=C182),"""")"),43669.0)</f>
        <v>43669</v>
      </c>
      <c r="N182" s="60" t="b">
        <f t="shared" si="98"/>
        <v>1</v>
      </c>
      <c r="O182" s="59" t="str">
        <f>IFERROR(__xludf.DUMMYFUNCTION("iferror(filter('3.4.clean'!C:C,'3.4.clean'!A:A=C182),"""")"),"")</f>
        <v/>
      </c>
      <c r="P182" s="60" t="b">
        <f t="shared" si="95"/>
        <v>0</v>
      </c>
      <c r="Q182" s="59" t="str">
        <f>IFERROR(__xludf.DUMMYFUNCTION("iferror(filter('3.5.clean'!C:C,'3.5.clean'!A:A=C182),"""")"),"")</f>
        <v/>
      </c>
      <c r="R182" s="58" t="b">
        <f t="shared" si="99"/>
        <v>0</v>
      </c>
      <c r="S182" s="4" t="str">
        <f>IFERROR(__xludf.DUMMYFUNCTION("iferror(filter('3.5.clean'!H:H,'3.5.clean'!A:A=C182),"""")"),"")</f>
        <v/>
      </c>
      <c r="T182" s="1" t="s">
        <v>814</v>
      </c>
      <c r="W182" s="23" t="b">
        <f>if(AND(H182=TRUE,N182=TRUE,P182=TRUE),TRUE,FALSE)</f>
        <v>0</v>
      </c>
      <c r="X182" s="23" t="str">
        <f>IFERROR(__xludf.DUMMYFUNCTION("if(COUNTA(FILTER(C:C, C:C = C182))=1,""no"",""yes"")"),"no")</f>
        <v>no</v>
      </c>
    </row>
    <row r="183">
      <c r="A183" s="75" t="s">
        <v>156</v>
      </c>
      <c r="B183" s="19"/>
      <c r="C183" s="19" t="s">
        <v>815</v>
      </c>
      <c r="D183" s="58" t="str">
        <f t="shared" si="100"/>
        <v/>
      </c>
      <c r="E183" s="59">
        <f>Q183</f>
        <v>43648</v>
      </c>
      <c r="F183" s="60" t="str">
        <f>IFERROR(__xludf.DUMMYFUNCTION("iferror(ifna(IFNA(filter('2.1.clean'!E:E,'2.1.clean'!A:A=C183),filter('2.2.clean'!G:G,'2.2.clean'!D:D=C183)),filter('2.4.clean'!E:E,'2.4.clean'!A:A=C183)),)"),"")</f>
        <v/>
      </c>
      <c r="G183" s="58" t="str">
        <f>IFERROR(__xludf.DUMMYFUNCTION("iferror(filter('3.1.clean'!C:C,'3.1.clean'!A:A=C183),"""")"),"")</f>
        <v/>
      </c>
      <c r="H183" s="58"/>
      <c r="I183" s="58"/>
      <c r="J183" s="60"/>
      <c r="K183" s="58"/>
      <c r="L183" s="60"/>
      <c r="M183" s="59" t="str">
        <f>IFERROR(__xludf.DUMMYFUNCTION("iferror(filter('3.3.clean'!C:C,'3.3.clean'!A:A=C183),"""")"),"")</f>
        <v/>
      </c>
      <c r="N183" s="60" t="b">
        <f t="shared" si="98"/>
        <v>0</v>
      </c>
      <c r="O183" s="59">
        <f>IFERROR(__xludf.DUMMYFUNCTION("iferror(filter('3.4.clean'!C:C,'3.4.clean'!A:A=C183),"""")"),43686.0)</f>
        <v>43686</v>
      </c>
      <c r="P183" s="60" t="b">
        <f t="shared" si="95"/>
        <v>1</v>
      </c>
      <c r="Q183" s="59">
        <f>IFERROR(__xludf.DUMMYFUNCTION("iferror(filter('3.5.clean'!C:C,'3.5.clean'!A:A=C183),"""")"),43648.0)</f>
        <v>43648</v>
      </c>
      <c r="R183" s="58" t="b">
        <f t="shared" si="99"/>
        <v>1</v>
      </c>
      <c r="S183" s="4" t="str">
        <f>IFERROR(__xludf.DUMMYFUNCTION("iferror(filter('3.5.clean'!H:H,'3.5.clean'!A:A=C183),"""")"),"")</f>
        <v/>
      </c>
      <c r="T183" s="1" t="s">
        <v>814</v>
      </c>
      <c r="V183" s="1" t="s">
        <v>64</v>
      </c>
      <c r="W183" s="23" t="b">
        <f>if(AND(R183=TRUE,N183=TRUE,P183=TRUE),TRUE,FALSE)</f>
        <v>0</v>
      </c>
      <c r="X183" s="23" t="str">
        <f>IFERROR(__xludf.DUMMYFUNCTION("if(COUNTA(FILTER(C:C, C:C = C183))=1,""no"",""yes"")"),"no")</f>
        <v>no</v>
      </c>
    </row>
    <row r="184">
      <c r="A184" s="75" t="s">
        <v>156</v>
      </c>
      <c r="B184" s="19"/>
      <c r="C184" s="19" t="s">
        <v>816</v>
      </c>
      <c r="E184" s="24">
        <f>IFERROR(__xludf.DUMMYFUNCTION("ifna(IFNA(filter('2.1.clean'!C:C,'2.1.clean'!A:A=C184),filter('2.2.clean'!E:E,'2.2.clean'!D:D=C184)),filter('2.4.clean'!C:C,'2.4.clean'!A:A=C184))"),43648.0)</f>
        <v>43648</v>
      </c>
      <c r="F184" s="25">
        <f>IFERROR(__xludf.DUMMYFUNCTION("iferror(ifna(IFNA(filter('2.1.clean'!E:E,'2.1.clean'!A:A=C184),filter('2.2.clean'!G:G,'2.2.clean'!D:D=C184)),filter('2.4.clean'!E:E,'2.4.clean'!A:A=C184)),)"),2.4)</f>
        <v>2.4</v>
      </c>
      <c r="G184" s="24"/>
      <c r="J184" s="25"/>
      <c r="K184" s="24"/>
      <c r="L184" s="25"/>
      <c r="M184" s="24">
        <f>IFERROR(__xludf.DUMMYFUNCTION("iferror(filter('3.3.clean'!C:C,'3.3.clean'!A:A=C184),"""")"),43664.0)</f>
        <v>43664</v>
      </c>
      <c r="N184" s="25" t="b">
        <f t="shared" si="98"/>
        <v>1</v>
      </c>
      <c r="O184" s="24">
        <f>IFERROR(__xludf.DUMMYFUNCTION("iferror(filter('3.4.clean'!C:C,'3.4.clean'!A:A=C184),"""")"),43686.0)</f>
        <v>43686</v>
      </c>
      <c r="P184" s="25" t="b">
        <f t="shared" si="95"/>
        <v>1</v>
      </c>
      <c r="Q184" s="24">
        <f>IFERROR(__xludf.DUMMYFUNCTION("iferror(filter('3.5.clean'!C:C,'3.5.clean'!A:A=C184),"""")"),43648.0)</f>
        <v>43648</v>
      </c>
      <c r="R184" s="23" t="b">
        <f t="shared" si="99"/>
        <v>1</v>
      </c>
      <c r="S184" s="25"/>
      <c r="V184" s="1" t="s">
        <v>64</v>
      </c>
      <c r="W184" s="23" t="b">
        <f>IF(and(R184=TRUE,N184=TRUE,P184=TRUE),TRUE,FALSE)</f>
        <v>1</v>
      </c>
      <c r="X184" s="23" t="str">
        <f>IFERROR(__xludf.DUMMYFUNCTION("if(COUNTA(FILTER(C:C, C:C = C184))=1,""no"",""yes"")"),"no")</f>
        <v>no</v>
      </c>
    </row>
    <row r="185">
      <c r="A185" s="75" t="s">
        <v>156</v>
      </c>
      <c r="B185" s="19"/>
      <c r="C185" s="19" t="s">
        <v>818</v>
      </c>
      <c r="E185" s="24">
        <v>43648.0</v>
      </c>
      <c r="F185" s="25" t="str">
        <f>IFERROR(__xludf.DUMMYFUNCTION("iferror(ifna(IFNA(filter('2.1.clean'!E:E,'2.1.clean'!A:A=C185),filter('2.2.clean'!G:G,'2.2.clean'!D:D=C185)),filter('2.4.clean'!E:E,'2.4.clean'!A:A=C185)),)"),"")</f>
        <v/>
      </c>
      <c r="G185" s="24"/>
      <c r="J185" s="25"/>
      <c r="K185" s="24"/>
      <c r="L185" s="25"/>
      <c r="M185" s="24" t="str">
        <f>IFERROR(__xludf.DUMMYFUNCTION("iferror(filter('3.3.clean'!C:C,'3.3.clean'!A:A=C185),"""")"),"")</f>
        <v/>
      </c>
      <c r="N185" s="25"/>
      <c r="O185" s="24">
        <f>IFERROR(__xludf.DUMMYFUNCTION("iferror(filter('3.4.clean'!C:C,'3.4.clean'!A:A=C185),"""")"),43686.0)</f>
        <v>43686</v>
      </c>
      <c r="P185" s="25" t="b">
        <f t="shared" si="95"/>
        <v>1</v>
      </c>
      <c r="Q185" s="24" t="str">
        <f>IFERROR(__xludf.DUMMYFUNCTION("iferror(filter('3.5.clean'!C:C,'3.5.clean'!A:A=C185),"""")"),"")</f>
        <v/>
      </c>
      <c r="S185" s="25"/>
      <c r="V185" s="1" t="s">
        <v>64</v>
      </c>
      <c r="W185" s="1" t="b">
        <v>1</v>
      </c>
      <c r="X185" s="23" t="str">
        <f>IFERROR(__xludf.DUMMYFUNCTION("if(COUNTA(FILTER(C:C, C:C = C185))=1,""no"",""yes"")"),"no")</f>
        <v>no</v>
      </c>
    </row>
    <row r="186">
      <c r="A186" s="75" t="s">
        <v>156</v>
      </c>
      <c r="B186" s="19"/>
      <c r="C186" s="19" t="s">
        <v>819</v>
      </c>
      <c r="E186" s="24">
        <f>IFERROR(__xludf.DUMMYFUNCTION("ifna(IFNA(filter('2.1.clean'!C:C,'2.1.clean'!A:A=C186),filter('2.2.clean'!E:E,'2.2.clean'!D:D=C186)),filter('2.4.clean'!C:C,'2.4.clean'!A:A=C186))"),43648.0)</f>
        <v>43648</v>
      </c>
      <c r="F186" s="25">
        <f>IFERROR(__xludf.DUMMYFUNCTION("iferror(ifna(IFNA(filter('2.1.clean'!E:E,'2.1.clean'!A:A=C186),filter('2.2.clean'!G:G,'2.2.clean'!D:D=C186)),filter('2.4.clean'!E:E,'2.4.clean'!A:A=C186)),)"),2.4)</f>
        <v>2.4</v>
      </c>
      <c r="G186" s="24"/>
      <c r="J186" s="25"/>
      <c r="K186" s="24"/>
      <c r="L186" s="25"/>
      <c r="M186" s="24">
        <f>IFERROR(__xludf.DUMMYFUNCTION("iferror(filter('3.3.clean'!C:C,'3.3.clean'!A:A=C186),"""")"),43664.0)</f>
        <v>43664</v>
      </c>
      <c r="N186" s="25" t="b">
        <f>if(M186="",FALSE,TRUE)</f>
        <v>1</v>
      </c>
      <c r="O186" s="24">
        <f>IFERROR(__xludf.DUMMYFUNCTION("iferror(filter('3.4.clean'!C:C,'3.4.clean'!A:A=C186),"""")"),43686.0)</f>
        <v>43686</v>
      </c>
      <c r="P186" s="25" t="b">
        <f t="shared" si="95"/>
        <v>1</v>
      </c>
      <c r="Q186" s="24">
        <f>IFERROR(__xludf.DUMMYFUNCTION("iferror(filter('3.5.clean'!C:C,'3.5.clean'!A:A=C186),"""")"),43648.0)</f>
        <v>43648</v>
      </c>
      <c r="R186" s="23" t="b">
        <f>if(Q186="",FALSE,TRUE)</f>
        <v>1</v>
      </c>
      <c r="S186" s="25"/>
      <c r="V186" s="1" t="s">
        <v>64</v>
      </c>
      <c r="W186" s="23" t="b">
        <f>IF(and(R186=TRUE,N186=TRUE,P186=TRUE),TRUE,FALSE)</f>
        <v>1</v>
      </c>
      <c r="X186" s="23" t="str">
        <f>IFERROR(__xludf.DUMMYFUNCTION("if(COUNTA(FILTER(C:C, C:C = C186))=1,""no"",""yes"")"),"no")</f>
        <v>no</v>
      </c>
    </row>
    <row r="187">
      <c r="A187" s="75" t="s">
        <v>156</v>
      </c>
      <c r="B187" s="19"/>
      <c r="C187" s="19" t="s">
        <v>820</v>
      </c>
      <c r="E187" s="24">
        <v>43648.0</v>
      </c>
      <c r="F187" s="25" t="str">
        <f>IFERROR(__xludf.DUMMYFUNCTION("iferror(ifna(IFNA(filter('2.1.clean'!E:E,'2.1.clean'!A:A=C187),filter('2.2.clean'!G:G,'2.2.clean'!D:D=C187)),filter('2.4.clean'!E:E,'2.4.clean'!A:A=C187)),)"),"")</f>
        <v/>
      </c>
      <c r="G187" s="24"/>
      <c r="J187" s="25"/>
      <c r="K187" s="24"/>
      <c r="L187" s="25"/>
      <c r="M187" s="24" t="str">
        <f>IFERROR(__xludf.DUMMYFUNCTION("iferror(filter('3.3.clean'!C:C,'3.3.clean'!A:A=C187),"""")"),"")</f>
        <v/>
      </c>
      <c r="N187" s="25"/>
      <c r="O187" s="24">
        <f>IFERROR(__xludf.DUMMYFUNCTION("iferror(filter('3.4.clean'!C:C,'3.4.clean'!A:A=C187),"""")"),43686.0)</f>
        <v>43686</v>
      </c>
      <c r="P187" s="25" t="b">
        <f t="shared" si="95"/>
        <v>1</v>
      </c>
      <c r="Q187" s="24" t="str">
        <f>IFERROR(__xludf.DUMMYFUNCTION("iferror(filter('3.5.clean'!C:C,'3.5.clean'!A:A=C187),"""")"),"")</f>
        <v/>
      </c>
      <c r="S187" s="25"/>
      <c r="V187" s="1" t="s">
        <v>64</v>
      </c>
      <c r="W187" s="1" t="b">
        <v>1</v>
      </c>
      <c r="X187" s="23" t="str">
        <f>IFERROR(__xludf.DUMMYFUNCTION("if(COUNTA(FILTER(C:C, C:C = C187))=1,""no"",""yes"")"),"no")</f>
        <v>no</v>
      </c>
    </row>
    <row r="188">
      <c r="A188" s="75" t="s">
        <v>156</v>
      </c>
      <c r="B188" s="19"/>
      <c r="C188" s="19" t="s">
        <v>822</v>
      </c>
      <c r="E188" s="24">
        <f>IFERROR(__xludf.DUMMYFUNCTION("ifna(IFNA(filter('2.1.clean'!C:C,'2.1.clean'!A:A=C188),filter('2.2.clean'!E:E,'2.2.clean'!D:D=C188)),filter('2.4.clean'!C:C,'2.4.clean'!A:A=C188))"),43648.0)</f>
        <v>43648</v>
      </c>
      <c r="F188" s="25">
        <f>IFERROR(__xludf.DUMMYFUNCTION("iferror(ifna(IFNA(filter('2.1.clean'!E:E,'2.1.clean'!A:A=C188),filter('2.2.clean'!G:G,'2.2.clean'!D:D=C188)),filter('2.4.clean'!E:E,'2.4.clean'!A:A=C188)),)"),2.4)</f>
        <v>2.4</v>
      </c>
      <c r="G188" s="24"/>
      <c r="J188" s="25"/>
      <c r="K188" s="24"/>
      <c r="L188" s="25"/>
      <c r="M188" s="24">
        <f>IFERROR(__xludf.DUMMYFUNCTION("iferror(filter('3.3.clean'!C:C,'3.3.clean'!A:A=C188),"""")"),43664.0)</f>
        <v>43664</v>
      </c>
      <c r="N188" s="25" t="b">
        <f>if(M188="",FALSE,TRUE)</f>
        <v>1</v>
      </c>
      <c r="O188" s="24">
        <f>IFERROR(__xludf.DUMMYFUNCTION("iferror(filter('3.4.clean'!C:C,'3.4.clean'!A:A=C188),"""")"),43686.0)</f>
        <v>43686</v>
      </c>
      <c r="P188" s="25" t="b">
        <f t="shared" si="95"/>
        <v>1</v>
      </c>
      <c r="Q188" s="24">
        <f>IFERROR(__xludf.DUMMYFUNCTION("iferror(filter('3.5.clean'!C:C,'3.5.clean'!A:A=C188),"""")"),43648.0)</f>
        <v>43648</v>
      </c>
      <c r="R188" s="23" t="b">
        <f>if(Q188="",FALSE,TRUE)</f>
        <v>1</v>
      </c>
      <c r="S188" s="25"/>
      <c r="V188" s="1" t="s">
        <v>64</v>
      </c>
      <c r="W188" s="23" t="b">
        <f>IF(and(R188=TRUE,N188=TRUE,P188=TRUE),TRUE,FALSE)</f>
        <v>1</v>
      </c>
      <c r="X188" s="23" t="str">
        <f>IFERROR(__xludf.DUMMYFUNCTION("if(COUNTA(FILTER(C:C, C:C = C188))=1,""no"",""yes"")"),"no")</f>
        <v>no</v>
      </c>
    </row>
    <row r="189">
      <c r="A189" s="75" t="s">
        <v>156</v>
      </c>
      <c r="B189" s="19"/>
      <c r="C189" s="19" t="s">
        <v>823</v>
      </c>
      <c r="E189" s="24">
        <v>43648.0</v>
      </c>
      <c r="F189" s="25" t="str">
        <f>IFERROR(__xludf.DUMMYFUNCTION("iferror(ifna(IFNA(filter('2.1.clean'!E:E,'2.1.clean'!A:A=C189),filter('2.2.clean'!G:G,'2.2.clean'!D:D=C189)),filter('2.4.clean'!E:E,'2.4.clean'!A:A=C189)),)"),"")</f>
        <v/>
      </c>
      <c r="G189" s="24"/>
      <c r="J189" s="25"/>
      <c r="K189" s="24"/>
      <c r="L189" s="25"/>
      <c r="M189" s="24" t="str">
        <f>IFERROR(__xludf.DUMMYFUNCTION("iferror(filter('3.3.clean'!C:C,'3.3.clean'!A:A=C189),"""")"),"")</f>
        <v/>
      </c>
      <c r="N189" s="25"/>
      <c r="O189" s="24">
        <f>IFERROR(__xludf.DUMMYFUNCTION("iferror(filter('3.4.clean'!C:C,'3.4.clean'!A:A=C189),"""")"),43686.0)</f>
        <v>43686</v>
      </c>
      <c r="P189" s="25" t="b">
        <f t="shared" si="95"/>
        <v>1</v>
      </c>
      <c r="Q189" s="24" t="str">
        <f>IFERROR(__xludf.DUMMYFUNCTION("iferror(filter('3.5.clean'!C:C,'3.5.clean'!A:A=C189),"""")"),"")</f>
        <v/>
      </c>
      <c r="S189" s="25"/>
      <c r="V189" s="1" t="s">
        <v>64</v>
      </c>
      <c r="W189" s="1" t="b">
        <v>1</v>
      </c>
      <c r="X189" s="23" t="str">
        <f>IFERROR(__xludf.DUMMYFUNCTION("if(COUNTA(FILTER(C:C, C:C = C189))=1,""no"",""yes"")"),"no")</f>
        <v>no</v>
      </c>
    </row>
    <row r="190">
      <c r="A190" s="75" t="s">
        <v>156</v>
      </c>
      <c r="B190" s="19"/>
      <c r="C190" s="19" t="s">
        <v>824</v>
      </c>
      <c r="E190" s="24">
        <f>IFERROR(__xludf.DUMMYFUNCTION("ifna(IFNA(filter('2.1.clean'!C:C,'2.1.clean'!A:A=C190),filter('2.2.clean'!E:E,'2.2.clean'!D:D=C190)),filter('2.4.clean'!C:C,'2.4.clean'!A:A=C190))"),43648.0)</f>
        <v>43648</v>
      </c>
      <c r="F190" s="25">
        <f>IFERROR(__xludf.DUMMYFUNCTION("iferror(ifna(IFNA(filter('2.1.clean'!E:E,'2.1.clean'!A:A=C190),filter('2.2.clean'!G:G,'2.2.clean'!D:D=C190)),filter('2.4.clean'!E:E,'2.4.clean'!A:A=C190)),)"),2.4)</f>
        <v>2.4</v>
      </c>
      <c r="G190" s="24"/>
      <c r="J190" s="25"/>
      <c r="K190" s="24"/>
      <c r="L190" s="25"/>
      <c r="M190" s="24">
        <f>IFERROR(__xludf.DUMMYFUNCTION("iferror(filter('3.3.clean'!C:C,'3.3.clean'!A:A=C190),"""")"),43664.0)</f>
        <v>43664</v>
      </c>
      <c r="N190" s="25" t="b">
        <f>if(M190="",FALSE,TRUE)</f>
        <v>1</v>
      </c>
      <c r="O190" s="24">
        <f>IFERROR(__xludf.DUMMYFUNCTION("iferror(filter('3.4.clean'!C:C,'3.4.clean'!A:A=C190),"""")"),43686.0)</f>
        <v>43686</v>
      </c>
      <c r="P190" s="25" t="b">
        <f t="shared" si="95"/>
        <v>1</v>
      </c>
      <c r="Q190" s="24">
        <f>IFERROR(__xludf.DUMMYFUNCTION("iferror(filter('3.5.clean'!C:C,'3.5.clean'!A:A=C190),"""")"),43648.0)</f>
        <v>43648</v>
      </c>
      <c r="R190" s="23" t="b">
        <f>if(Q190="",FALSE,TRUE)</f>
        <v>1</v>
      </c>
      <c r="S190" s="25"/>
      <c r="V190" s="1" t="s">
        <v>64</v>
      </c>
      <c r="W190" s="23" t="b">
        <f>IF(and(R190=TRUE,N190=TRUE,P190=TRUE),TRUE,FALSE)</f>
        <v>1</v>
      </c>
      <c r="X190" s="23" t="str">
        <f>IFERROR(__xludf.DUMMYFUNCTION("if(COUNTA(FILTER(C:C, C:C = C190))=1,""no"",""yes"")"),"no")</f>
        <v>no</v>
      </c>
    </row>
    <row r="191">
      <c r="A191" s="75" t="s">
        <v>156</v>
      </c>
      <c r="B191" s="19"/>
      <c r="C191" s="19" t="s">
        <v>826</v>
      </c>
      <c r="E191" s="24">
        <v>43648.0</v>
      </c>
      <c r="F191" s="25" t="str">
        <f>IFERROR(__xludf.DUMMYFUNCTION("iferror(ifna(IFNA(filter('2.1.clean'!E:E,'2.1.clean'!A:A=C191),filter('2.2.clean'!G:G,'2.2.clean'!D:D=C191)),filter('2.4.clean'!E:E,'2.4.clean'!A:A=C191)),)"),"")</f>
        <v/>
      </c>
      <c r="G191" s="24"/>
      <c r="J191" s="25"/>
      <c r="K191" s="24"/>
      <c r="L191" s="25"/>
      <c r="M191" s="24" t="str">
        <f>IFERROR(__xludf.DUMMYFUNCTION("iferror(filter('3.3.clean'!C:C,'3.3.clean'!A:A=C191),"""")"),"")</f>
        <v/>
      </c>
      <c r="N191" s="25"/>
      <c r="O191" s="24">
        <f>IFERROR(__xludf.DUMMYFUNCTION("iferror(filter('3.4.clean'!C:C,'3.4.clean'!A:A=C191),"""")"),43686.0)</f>
        <v>43686</v>
      </c>
      <c r="P191" s="25" t="b">
        <f t="shared" si="95"/>
        <v>1</v>
      </c>
      <c r="Q191" s="24" t="str">
        <f>IFERROR(__xludf.DUMMYFUNCTION("iferror(filter('3.5.clean'!C:C,'3.5.clean'!A:A=C191),"""")"),"")</f>
        <v/>
      </c>
      <c r="S191" s="25"/>
      <c r="V191" s="1" t="s">
        <v>64</v>
      </c>
      <c r="W191" s="1" t="b">
        <v>1</v>
      </c>
      <c r="X191" s="23" t="str">
        <f>IFERROR(__xludf.DUMMYFUNCTION("if(COUNTA(FILTER(C:C, C:C = C191))=1,""no"",""yes"")"),"no")</f>
        <v>no</v>
      </c>
    </row>
    <row r="192">
      <c r="A192" s="75" t="s">
        <v>156</v>
      </c>
      <c r="B192" s="19"/>
      <c r="C192" s="19" t="s">
        <v>827</v>
      </c>
      <c r="D192" s="22" t="str">
        <f t="shared" ref="D192:D194" si="101">if(or(I192=1,J192=1,S192=1),"pos","")</f>
        <v/>
      </c>
      <c r="E192" s="20">
        <v>43648.0</v>
      </c>
      <c r="F192" s="25" t="str">
        <f>IFERROR(__xludf.DUMMYFUNCTION("iferror(ifna(IFNA(filter('2.1.clean'!E:E,'2.1.clean'!A:A=C192),filter('2.2.clean'!G:G,'2.2.clean'!D:D=C192)),filter('2.4.clean'!E:E,'2.4.clean'!A:A=C192)),)"),"")</f>
        <v/>
      </c>
      <c r="G192" s="20" t="str">
        <f>IFERROR(__xludf.DUMMYFUNCTION("iferror(filter('3.1.clean'!C:C,'3.1.clean'!A:A=C192),"""")"),"")</f>
        <v/>
      </c>
      <c r="H192" s="22"/>
      <c r="I192" s="22"/>
      <c r="J192" s="79"/>
      <c r="K192" s="20" t="str">
        <f>IFERROR(__xludf.DUMMYFUNCTION("iferror(filter('3.2.clean'!C:C,'3.2.clean'!A:A=C192),"""")"),"")</f>
        <v/>
      </c>
      <c r="L192" s="79"/>
      <c r="M192" s="20">
        <f>IFERROR(__xludf.DUMMYFUNCTION("iferror(filter('3.3.clean'!C:C,'3.3.clean'!A:A=C192),"""")"),43668.0)</f>
        <v>43668</v>
      </c>
      <c r="N192" s="79" t="b">
        <f t="shared" ref="N192:N200" si="102">if(M192="",FALSE,TRUE)</f>
        <v>1</v>
      </c>
      <c r="O192" s="20" t="str">
        <f>IFERROR(__xludf.DUMMYFUNCTION("iferror(filter('3.4.clean'!C:C,'3.4.clean'!A:A=C192),"""")"),"")</f>
        <v/>
      </c>
      <c r="P192" s="79" t="b">
        <f t="shared" si="95"/>
        <v>0</v>
      </c>
      <c r="Q192" s="80" t="s">
        <v>814</v>
      </c>
      <c r="R192" s="22" t="b">
        <f t="shared" ref="R192:R200" si="103">if(Q192="",FALSE,TRUE)</f>
        <v>1</v>
      </c>
      <c r="S192" s="4" t="str">
        <f>IFERROR(__xludf.DUMMYFUNCTION("iferror(filter('3.5.clean'!H:H,'3.5.clean'!A:A=C192),"""")"),"")</f>
        <v/>
      </c>
      <c r="T192" s="1"/>
      <c r="U192" s="1" t="s">
        <v>829</v>
      </c>
      <c r="V192" s="1" t="s">
        <v>64</v>
      </c>
      <c r="W192" s="23" t="b">
        <f>IF(and(R192=TRUE,N192=TRUE,P192=TRUE),TRUE,FALSE)</f>
        <v>0</v>
      </c>
      <c r="X192" s="23" t="str">
        <f>IFERROR(__xludf.DUMMYFUNCTION("if(COUNTA(FILTER(C:C, C:C = C192))=1,""no"",""yes"")"),"no")</f>
        <v>no</v>
      </c>
    </row>
    <row r="193">
      <c r="A193" s="1" t="s">
        <v>209</v>
      </c>
      <c r="B193" s="19"/>
      <c r="C193" s="19" t="s">
        <v>830</v>
      </c>
      <c r="D193" s="58" t="str">
        <f t="shared" si="101"/>
        <v/>
      </c>
      <c r="E193" s="59">
        <f>IFERROR(__xludf.DUMMYFUNCTION("ifna(IFNA(filter('2.1.clean'!C:C,'2.1.clean'!A:A=C193),filter('2.2.clean'!E:E,'2.2.clean'!D:D=C193)),filter('2.4.clean'!C:C,'2.4.clean'!A:A=C193))"),43650.0)</f>
        <v>43650</v>
      </c>
      <c r="F193" s="60">
        <f>IFERROR(__xludf.DUMMYFUNCTION("iferror(ifna(IFNA(filter('2.1.clean'!E:E,'2.1.clean'!A:A=C193),filter('2.2.clean'!G:G,'2.2.clean'!D:D=C193)),filter('2.4.clean'!E:E,'2.4.clean'!A:A=C193)),)"),2.1)</f>
        <v>2.1</v>
      </c>
      <c r="G193" s="59" t="str">
        <f>IFERROR(__xludf.DUMMYFUNCTION("iferror(filter('3.1.clean'!C:C,'3.1.clean'!B:B=C193),"""")"),"")</f>
        <v/>
      </c>
      <c r="H193" s="58" t="b">
        <f>if(G193="",FALSE,TRUE)</f>
        <v>0</v>
      </c>
      <c r="I193" s="58" t="str">
        <f>IFERROR(__xludf.DUMMYFUNCTION("iferror(filter('3.1.clean'!G:G,'3.1.clean'!A:A=C193),"""")"),"")</f>
        <v/>
      </c>
      <c r="J193" s="60" t="str">
        <f>IFERROR(__xludf.DUMMYFUNCTION("iferror(filter('3.1.clean'!I:I,'3.1.clean'!A:A=C193),"""")"),"")</f>
        <v/>
      </c>
      <c r="K193" s="58" t="str">
        <f>IFERROR(__xludf.DUMMYFUNCTION("iferror(filter('3.2.clean'!C:C,'3.2.clean'!A:A=C193),"""")"),"")</f>
        <v/>
      </c>
      <c r="L193" s="60" t="b">
        <f>if(K193="",FALSE,TRUE)</f>
        <v>0</v>
      </c>
      <c r="M193" s="59">
        <f>IFERROR(__xludf.DUMMYFUNCTION("iferror(filter('3.3.clean'!C:C,'3.3.clean'!A:A=C193),"""")"),43669.0)</f>
        <v>43669</v>
      </c>
      <c r="N193" s="60" t="b">
        <f t="shared" si="102"/>
        <v>1</v>
      </c>
      <c r="O193" s="59" t="str">
        <f>IFERROR(__xludf.DUMMYFUNCTION("iferror(filter('3.4.clean'!C:C,'3.4.clean'!A:A=C193),"""")"),"")</f>
        <v/>
      </c>
      <c r="P193" s="60" t="b">
        <f t="shared" si="95"/>
        <v>0</v>
      </c>
      <c r="Q193" s="59" t="str">
        <f>IFERROR(__xludf.DUMMYFUNCTION("iferror(filter('3.5.clean'!C:C,'3.5.clean'!A:A=C193),"""")"),"")</f>
        <v/>
      </c>
      <c r="R193" s="58" t="b">
        <f t="shared" si="103"/>
        <v>0</v>
      </c>
      <c r="S193" s="4" t="str">
        <f>IFERROR(__xludf.DUMMYFUNCTION("iferror(filter('3.5.clean'!H:H,'3.5.clean'!A:A=C193),"""")"),"")</f>
        <v/>
      </c>
      <c r="T193" s="1" t="s">
        <v>814</v>
      </c>
      <c r="V193" s="1" t="s">
        <v>83</v>
      </c>
      <c r="W193" s="23" t="b">
        <f>if(AND(H193=TRUE,N193=TRUE,P193=TRUE),TRUE,FALSE)</f>
        <v>0</v>
      </c>
      <c r="X193" s="23" t="str">
        <f>IFERROR(__xludf.DUMMYFUNCTION("if(COUNTA(FILTER(C:C, C:C = C193))=1,""no"",""yes"")"),"no")</f>
        <v>no</v>
      </c>
    </row>
    <row r="194">
      <c r="A194" s="1" t="s">
        <v>209</v>
      </c>
      <c r="B194" s="19"/>
      <c r="C194" s="19" t="s">
        <v>831</v>
      </c>
      <c r="D194" s="58" t="str">
        <f t="shared" si="101"/>
        <v>pos</v>
      </c>
      <c r="E194" s="59">
        <f>Q194</f>
        <v>43650</v>
      </c>
      <c r="F194" s="60" t="str">
        <f>IFERROR(__xludf.DUMMYFUNCTION("iferror(ifna(IFNA(filter('2.1.clean'!E:E,'2.1.clean'!A:A=C194),filter('2.2.clean'!G:G,'2.2.clean'!D:D=C194)),filter('2.4.clean'!E:E,'2.4.clean'!A:A=C194)),)"),"")</f>
        <v/>
      </c>
      <c r="G194" s="59" t="str">
        <f>IFERROR(__xludf.DUMMYFUNCTION("iferror(filter('3.1.clean'!C:C,'3.1.clean'!A:A=C194),"""")"),"")</f>
        <v/>
      </c>
      <c r="H194" s="58"/>
      <c r="I194" s="58"/>
      <c r="J194" s="60"/>
      <c r="K194" s="58"/>
      <c r="L194" s="60"/>
      <c r="M194" s="59" t="str">
        <f>IFERROR(__xludf.DUMMYFUNCTION("iferror(filter('3.3.clean'!C:C,'3.3.clean'!A:A=C194),"""")"),"")</f>
        <v/>
      </c>
      <c r="N194" s="60" t="b">
        <f t="shared" si="102"/>
        <v>0</v>
      </c>
      <c r="O194" s="59">
        <f>IFERROR(__xludf.DUMMYFUNCTION("iferror(filter('3.4.clean'!C:C,'3.4.clean'!A:A=C194),"""")"),43686.0)</f>
        <v>43686</v>
      </c>
      <c r="P194" s="60" t="b">
        <f t="shared" si="95"/>
        <v>1</v>
      </c>
      <c r="Q194" s="59">
        <f>IFERROR(__xludf.DUMMYFUNCTION("iferror(filter('3.5.clean'!C:C,'3.5.clean'!A:A=C194),"""")"),43650.0)</f>
        <v>43650</v>
      </c>
      <c r="R194" s="58" t="b">
        <f t="shared" si="103"/>
        <v>1</v>
      </c>
      <c r="S194" s="4">
        <f>IFERROR(__xludf.DUMMYFUNCTION("iferror(filter('3.5.clean'!H:H,'3.5.clean'!A:A=C194),"""")"),1.0)</f>
        <v>1</v>
      </c>
      <c r="U194" s="23"/>
      <c r="V194" s="1" t="s">
        <v>64</v>
      </c>
      <c r="W194" s="23" t="b">
        <f>if(AND(R194=TRUE,N194=TRUE,P194=TRUE),TRUE,FALSE)</f>
        <v>0</v>
      </c>
      <c r="X194" s="23" t="str">
        <f>IFERROR(__xludf.DUMMYFUNCTION("if(COUNTA(FILTER(C:C, C:C = C194))=1,""no"",""yes"")"),"no")</f>
        <v>no</v>
      </c>
    </row>
    <row r="195">
      <c r="A195" s="1" t="s">
        <v>209</v>
      </c>
      <c r="B195" s="19"/>
      <c r="C195" s="19" t="s">
        <v>833</v>
      </c>
      <c r="E195" s="24">
        <f>IFERROR(__xludf.DUMMYFUNCTION("ifna(IFNA(filter('2.1.clean'!C:C,'2.1.clean'!A:A=C195),filter('2.2.clean'!E:E,'2.2.clean'!D:D=C195)),filter('2.4.clean'!C:C,'2.4.clean'!A:A=C195))"),43650.0)</f>
        <v>43650</v>
      </c>
      <c r="F195" s="25">
        <f>IFERROR(__xludf.DUMMYFUNCTION("iferror(ifna(IFNA(filter('2.1.clean'!E:E,'2.1.clean'!A:A=C195),filter('2.2.clean'!G:G,'2.2.clean'!D:D=C195)),filter('2.4.clean'!E:E,'2.4.clean'!A:A=C195)),)"),2.4)</f>
        <v>2.4</v>
      </c>
      <c r="G195" s="24"/>
      <c r="J195" s="25"/>
      <c r="K195" s="24"/>
      <c r="L195" s="25"/>
      <c r="M195" s="24">
        <f>IFERROR(__xludf.DUMMYFUNCTION("iferror(filter('3.3.clean'!C:C,'3.3.clean'!A:A=C195),"""")"),43662.0)</f>
        <v>43662</v>
      </c>
      <c r="N195" s="25" t="b">
        <f t="shared" si="102"/>
        <v>1</v>
      </c>
      <c r="O195" s="24">
        <f>IFERROR(__xludf.DUMMYFUNCTION("iferror(filter('3.4.clean'!C:C,'3.4.clean'!A:A=C195),"""")"),43686.0)</f>
        <v>43686</v>
      </c>
      <c r="P195" s="25" t="b">
        <f t="shared" si="95"/>
        <v>1</v>
      </c>
      <c r="Q195" s="24">
        <f>IFERROR(__xludf.DUMMYFUNCTION("iferror(filter('3.5.clean'!C:C,'3.5.clean'!A:A=C195),"""")"),43650.0)</f>
        <v>43650</v>
      </c>
      <c r="R195" s="23" t="b">
        <f t="shared" si="103"/>
        <v>1</v>
      </c>
      <c r="S195" s="25"/>
      <c r="V195" s="1" t="s">
        <v>64</v>
      </c>
      <c r="W195" s="23" t="b">
        <f t="shared" ref="W195:W199" si="104">IF(and(R195=TRUE,N195=TRUE,P195=TRUE),TRUE,FALSE)</f>
        <v>1</v>
      </c>
      <c r="X195" s="23" t="str">
        <f>IFERROR(__xludf.DUMMYFUNCTION("if(COUNTA(FILTER(C:C, C:C = C195))=1,""no"",""yes"")"),"no")</f>
        <v>no</v>
      </c>
    </row>
    <row r="196">
      <c r="A196" s="1" t="s">
        <v>209</v>
      </c>
      <c r="B196" s="19"/>
      <c r="C196" s="19" t="s">
        <v>834</v>
      </c>
      <c r="E196" s="24">
        <f>IFERROR(__xludf.DUMMYFUNCTION("ifna(IFNA(filter('2.1.clean'!C:C,'2.1.clean'!A:A=C196),filter('2.2.clean'!E:E,'2.2.clean'!D:D=C196)),filter('2.4.clean'!C:C,'2.4.clean'!A:A=C196))"),43650.0)</f>
        <v>43650</v>
      </c>
      <c r="F196" s="25">
        <f>IFERROR(__xludf.DUMMYFUNCTION("iferror(ifna(IFNA(filter('2.1.clean'!E:E,'2.1.clean'!A:A=C196),filter('2.2.clean'!G:G,'2.2.clean'!D:D=C196)),filter('2.4.clean'!E:E,'2.4.clean'!A:A=C196)),)"),2.4)</f>
        <v>2.4</v>
      </c>
      <c r="G196" s="24"/>
      <c r="J196" s="25"/>
      <c r="K196" s="24"/>
      <c r="L196" s="25"/>
      <c r="M196" s="24">
        <f>IFERROR(__xludf.DUMMYFUNCTION("iferror(filter('3.3.clean'!C:C,'3.3.clean'!A:A=C196),"""")"),43662.0)</f>
        <v>43662</v>
      </c>
      <c r="N196" s="25" t="b">
        <f t="shared" si="102"/>
        <v>1</v>
      </c>
      <c r="O196" s="24">
        <f>IFERROR(__xludf.DUMMYFUNCTION("iferror(filter('3.4.clean'!C:C,'3.4.clean'!A:A=C196),"""")"),43686.0)</f>
        <v>43686</v>
      </c>
      <c r="P196" s="25" t="b">
        <f t="shared" si="95"/>
        <v>1</v>
      </c>
      <c r="Q196" s="24" t="str">
        <f>IFERROR(__xludf.DUMMYFUNCTION("iferror(filter('3.5.clean'!C:C,'3.5.clean'!A:A=C196),"""")"),"#REF!")</f>
        <v>#REF!</v>
      </c>
      <c r="R196" s="23" t="str">
        <f t="shared" si="103"/>
        <v>#REF!</v>
      </c>
      <c r="S196" s="25"/>
      <c r="T196" s="1" t="s">
        <v>835</v>
      </c>
      <c r="V196" s="1" t="s">
        <v>64</v>
      </c>
      <c r="W196" s="23" t="str">
        <f t="shared" si="104"/>
        <v>#REF!</v>
      </c>
      <c r="X196" s="23" t="str">
        <f>IFERROR(__xludf.DUMMYFUNCTION("if(COUNTA(FILTER(C:C, C:C = C196))=1,""no"",""yes"")"),"no")</f>
        <v>no</v>
      </c>
    </row>
    <row r="197">
      <c r="A197" s="1" t="s">
        <v>209</v>
      </c>
      <c r="B197" s="19"/>
      <c r="C197" s="19" t="s">
        <v>836</v>
      </c>
      <c r="E197" s="24">
        <f>IFERROR(__xludf.DUMMYFUNCTION("ifna(IFNA(filter('2.1.clean'!C:C,'2.1.clean'!A:A=C197),filter('2.2.clean'!E:E,'2.2.clean'!D:D=C197)),filter('2.4.clean'!C:C,'2.4.clean'!A:A=C197))"),43650.0)</f>
        <v>43650</v>
      </c>
      <c r="F197" s="25">
        <f>IFERROR(__xludf.DUMMYFUNCTION("iferror(ifna(IFNA(filter('2.1.clean'!E:E,'2.1.clean'!A:A=C197),filter('2.2.clean'!G:G,'2.2.clean'!D:D=C197)),filter('2.4.clean'!E:E,'2.4.clean'!A:A=C197)),)"),2.4)</f>
        <v>2.4</v>
      </c>
      <c r="G197" s="24"/>
      <c r="J197" s="25"/>
      <c r="K197" s="24"/>
      <c r="L197" s="25"/>
      <c r="M197" s="24" t="str">
        <f>IFERROR(__xludf.DUMMYFUNCTION("iferror(filter('3.3.clean'!C:C,'3.3.clean'!A:A=C197),"""")"),"")</f>
        <v/>
      </c>
      <c r="N197" s="25" t="b">
        <f t="shared" si="102"/>
        <v>0</v>
      </c>
      <c r="O197" s="24">
        <f>IFERROR(__xludf.DUMMYFUNCTION("iferror(filter('3.4.clean'!C:C,'3.4.clean'!A:A=C197),"""")"),43686.0)</f>
        <v>43686</v>
      </c>
      <c r="P197" s="25" t="b">
        <f t="shared" si="95"/>
        <v>1</v>
      </c>
      <c r="Q197" s="24">
        <f>IFERROR(__xludf.DUMMYFUNCTION("iferror(filter('3.5.clean'!C:C,'3.5.clean'!A:A=C197),"""")"),43650.0)</f>
        <v>43650</v>
      </c>
      <c r="R197" s="23" t="b">
        <f t="shared" si="103"/>
        <v>1</v>
      </c>
      <c r="S197" s="25"/>
      <c r="U197" s="1" t="s">
        <v>503</v>
      </c>
      <c r="V197" s="1" t="s">
        <v>64</v>
      </c>
      <c r="W197" s="23" t="b">
        <f t="shared" si="104"/>
        <v>0</v>
      </c>
      <c r="X197" s="23" t="str">
        <f>IFERROR(__xludf.DUMMYFUNCTION("if(COUNTA(FILTER(C:C, C:C = C197))=1,""no"",""yes"")"),"no")</f>
        <v>no</v>
      </c>
    </row>
    <row r="198">
      <c r="A198" s="1" t="s">
        <v>209</v>
      </c>
      <c r="B198" s="19"/>
      <c r="C198" s="19" t="s">
        <v>838</v>
      </c>
      <c r="E198" s="24">
        <f>IFERROR(__xludf.DUMMYFUNCTION("ifna(IFNA(filter('2.1.clean'!C:C,'2.1.clean'!A:A=C198),filter('2.2.clean'!E:E,'2.2.clean'!D:D=C198)),filter('2.4.clean'!C:C,'2.4.clean'!A:A=C198))"),43650.0)</f>
        <v>43650</v>
      </c>
      <c r="F198" s="25">
        <f>IFERROR(__xludf.DUMMYFUNCTION("iferror(ifna(IFNA(filter('2.1.clean'!E:E,'2.1.clean'!A:A=C198),filter('2.2.clean'!G:G,'2.2.clean'!D:D=C198)),filter('2.4.clean'!E:E,'2.4.clean'!A:A=C198)),)"),2.4)</f>
        <v>2.4</v>
      </c>
      <c r="G198" s="24"/>
      <c r="J198" s="25"/>
      <c r="K198" s="24"/>
      <c r="L198" s="25"/>
      <c r="M198" s="24" t="str">
        <f>IFERROR(__xludf.DUMMYFUNCTION("iferror(filter('3.3.clean'!C:C,'3.3.clean'!A:A=C198),"""")"),"")</f>
        <v/>
      </c>
      <c r="N198" s="25" t="b">
        <f t="shared" si="102"/>
        <v>0</v>
      </c>
      <c r="O198" s="24">
        <f>IFERROR(__xludf.DUMMYFUNCTION("iferror(filter('3.4.clean'!C:C,'3.4.clean'!A:A=C198),"""")"),43686.0)</f>
        <v>43686</v>
      </c>
      <c r="P198" s="25" t="b">
        <f t="shared" si="95"/>
        <v>1</v>
      </c>
      <c r="Q198" s="24">
        <f>IFERROR(__xludf.DUMMYFUNCTION("iferror(filter('3.5.clean'!C:C,'3.5.clean'!A:A=C198),"""")"),43650.0)</f>
        <v>43650</v>
      </c>
      <c r="R198" s="23" t="b">
        <f t="shared" si="103"/>
        <v>1</v>
      </c>
      <c r="S198" s="25"/>
      <c r="U198" s="1" t="s">
        <v>503</v>
      </c>
      <c r="V198" s="1" t="s">
        <v>64</v>
      </c>
      <c r="W198" s="23" t="b">
        <f t="shared" si="104"/>
        <v>0</v>
      </c>
      <c r="X198" s="23" t="str">
        <f>IFERROR(__xludf.DUMMYFUNCTION("if(COUNTA(FILTER(C:C, C:C = C198))=1,""no"",""yes"")"),"no")</f>
        <v>no</v>
      </c>
    </row>
    <row r="199">
      <c r="A199" s="1" t="s">
        <v>209</v>
      </c>
      <c r="B199" s="19"/>
      <c r="C199" s="19" t="s">
        <v>839</v>
      </c>
      <c r="D199" s="22" t="str">
        <f>if(or(I199=1,J199=1,S199=1),"pos","")</f>
        <v/>
      </c>
      <c r="E199" s="20">
        <v>43650.0</v>
      </c>
      <c r="F199" s="25" t="str">
        <f>IFERROR(__xludf.DUMMYFUNCTION("iferror(ifna(IFNA(filter('2.1.clean'!E:E,'2.1.clean'!A:A=C199),filter('2.2.clean'!G:G,'2.2.clean'!D:D=C199)),filter('2.4.clean'!E:E,'2.4.clean'!A:A=C199)),)"),"")</f>
        <v/>
      </c>
      <c r="G199" s="20" t="str">
        <f>IFERROR(__xludf.DUMMYFUNCTION("iferror(filter('3.1.clean'!C:C,'3.1.clean'!A:A=C199),"""")"),"")</f>
        <v/>
      </c>
      <c r="H199" s="22"/>
      <c r="I199" s="22"/>
      <c r="J199" s="79"/>
      <c r="K199" s="20" t="str">
        <f>IFERROR(__xludf.DUMMYFUNCTION("iferror(filter('3.2.clean'!C:C,'3.2.clean'!A:A=C199),"""")"),"")</f>
        <v/>
      </c>
      <c r="L199" s="79"/>
      <c r="M199" s="20">
        <f>IFERROR(__xludf.DUMMYFUNCTION("iferror(filter('3.3.clean'!C:C,'3.3.clean'!A:A=C199),"""")"),43668.0)</f>
        <v>43668</v>
      </c>
      <c r="N199" s="79" t="b">
        <f t="shared" si="102"/>
        <v>1</v>
      </c>
      <c r="O199" s="20" t="str">
        <f>IFERROR(__xludf.DUMMYFUNCTION("iferror(filter('3.4.clean'!C:C,'3.4.clean'!A:A=C199),"""")"),"")</f>
        <v/>
      </c>
      <c r="P199" s="79" t="b">
        <f t="shared" si="95"/>
        <v>0</v>
      </c>
      <c r="Q199" s="20" t="str">
        <f>IFERROR(__xludf.DUMMYFUNCTION("iferror(filter('3.5.clean'!C:C,'3.5.clean'!A:A=C199),"""")"),"")</f>
        <v/>
      </c>
      <c r="R199" s="22" t="b">
        <f t="shared" si="103"/>
        <v>0</v>
      </c>
      <c r="S199" s="4" t="str">
        <f>IFERROR(__xludf.DUMMYFUNCTION("iferror(filter('3.5.clean'!H:H,'3.5.clean'!A:A=C199),"""")"),"")</f>
        <v/>
      </c>
      <c r="U199" s="1" t="s">
        <v>829</v>
      </c>
      <c r="V199" s="1" t="s">
        <v>64</v>
      </c>
      <c r="W199" s="23" t="b">
        <f t="shared" si="104"/>
        <v>0</v>
      </c>
      <c r="X199" s="23" t="str">
        <f>IFERROR(__xludf.DUMMYFUNCTION("if(COUNTA(FILTER(C:C, C:C = C199))=1,""no"",""yes"")"),"no")</f>
        <v>no</v>
      </c>
    </row>
    <row r="200">
      <c r="A200" s="75" t="s">
        <v>322</v>
      </c>
      <c r="B200" s="2">
        <v>1.0</v>
      </c>
      <c r="C200" s="19" t="s">
        <v>840</v>
      </c>
      <c r="E200" s="24">
        <f>IFERROR(__xludf.DUMMYFUNCTION("ifna(IFNA(filter('2.1.clean'!C:C,'2.1.clean'!A:A=C200),filter('2.2.clean'!E:E,'2.2.clean'!D:D=C200)),filter('2.4.clean'!C:C,'2.4.clean'!A:A=C200))"),43654.0)</f>
        <v>43654</v>
      </c>
      <c r="F200" s="25">
        <f>IFERROR(__xludf.DUMMYFUNCTION("iferror(ifna(IFNA(filter('2.1.clean'!E:E,'2.1.clean'!A:A=C200),filter('2.2.clean'!G:G,'2.2.clean'!D:D=C200)),filter('2.4.clean'!E:E,'2.4.clean'!A:A=C200)),)"),2.4)</f>
        <v>2.4</v>
      </c>
      <c r="G200" s="24">
        <f>IFERROR(__xludf.DUMMYFUNCTION("iferror(filter('3.1.clean'!C:C,'3.1.clean'!A:A=C200),"""")"),43654.0)</f>
        <v>43654</v>
      </c>
      <c r="H200" s="23" t="b">
        <f t="shared" ref="H200:H201" si="105">if(G200="",FALSE,TRUE)</f>
        <v>1</v>
      </c>
      <c r="J200" s="25"/>
      <c r="K200" s="24" t="str">
        <f>IFERROR(__xludf.DUMMYFUNCTION("iferror(filter('3.2.clean'!C:C,'3.2.clean'!A:A=C200),"""")"),"")</f>
        <v/>
      </c>
      <c r="L200" s="25" t="b">
        <f>if(K200="",FALSE,TRUE)</f>
        <v>0</v>
      </c>
      <c r="M200" s="24">
        <f>IFERROR(__xludf.DUMMYFUNCTION("iferror(filter('3.3.clean'!C:C,'3.3.clean'!A:A=C200),"""")"),43664.0)</f>
        <v>43664</v>
      </c>
      <c r="N200" s="25" t="b">
        <f t="shared" si="102"/>
        <v>1</v>
      </c>
      <c r="O200" s="24">
        <f>IFERROR(__xludf.DUMMYFUNCTION("iferror(filter('3.4.clean'!C:C,'3.4.clean'!A:A=C200),"""")"),43686.0)</f>
        <v>43686</v>
      </c>
      <c r="P200" s="25" t="b">
        <f t="shared" si="95"/>
        <v>1</v>
      </c>
      <c r="Q200" s="24">
        <f>IFERROR(__xludf.DUMMYFUNCTION("iferror(filter('3.5.clean'!C:C,'3.5.clean'!A:A=C200),"""")"),43654.0)</f>
        <v>43654</v>
      </c>
      <c r="R200" s="23" t="b">
        <f t="shared" si="103"/>
        <v>1</v>
      </c>
      <c r="S200" s="25"/>
      <c r="U200" s="23"/>
      <c r="V200" s="1" t="s">
        <v>64</v>
      </c>
      <c r="X200" s="23" t="str">
        <f>IFERROR(__xludf.DUMMYFUNCTION("if(COUNTA(FILTER(C:C, C:C = C200))=1,""no"",""yes"")"),"no")</f>
        <v>no</v>
      </c>
    </row>
    <row r="201">
      <c r="A201" s="75" t="s">
        <v>322</v>
      </c>
      <c r="B201" s="19">
        <v>2.0</v>
      </c>
      <c r="C201" s="19" t="s">
        <v>842</v>
      </c>
      <c r="D201" s="76" t="str">
        <f t="shared" ref="D201:D202" si="106">if(or(I201=1,J201=1,S201=1),"pos","")</f>
        <v/>
      </c>
      <c r="E201" s="77">
        <f>G201</f>
        <v>43654</v>
      </c>
      <c r="F201" s="78" t="str">
        <f>IFERROR(__xludf.DUMMYFUNCTION("iferror(ifna(IFNA(filter('2.1.clean'!E:E,'2.1.clean'!A:A=C201),filter('2.2.clean'!G:G,'2.2.clean'!D:D=C201)),filter('2.4.clean'!E:E,'2.4.clean'!A:A=C201)),)"),"")</f>
        <v/>
      </c>
      <c r="G201" s="77">
        <f>IFERROR(__xludf.DUMMYFUNCTION("iferror(filter('3.1.clean'!C:C,'3.1.clean'!A:A=C201),"""")"),43654.0)</f>
        <v>43654</v>
      </c>
      <c r="H201" s="76" t="b">
        <f t="shared" si="105"/>
        <v>1</v>
      </c>
      <c r="I201" s="76">
        <f>IFERROR(__xludf.DUMMYFUNCTION("iferror(filter('3.1.clean'!G:G,'3.1.clean'!A:A=C201),"""")"),0.0)</f>
        <v>0</v>
      </c>
      <c r="J201" s="78" t="str">
        <f>IFERROR(__xludf.DUMMYFUNCTION("iferror(filter('3.1.clean'!I:I,'3.1.clean'!A:A=C201),"""")"),"")</f>
        <v/>
      </c>
      <c r="K201" s="77"/>
      <c r="L201" s="78"/>
      <c r="M201" s="77"/>
      <c r="N201" s="78"/>
      <c r="O201" s="77"/>
      <c r="P201" s="78"/>
      <c r="Q201" s="77"/>
      <c r="R201" s="76"/>
      <c r="S201" s="25"/>
      <c r="T201" s="1"/>
      <c r="V201" s="1" t="s">
        <v>64</v>
      </c>
      <c r="W201" s="1" t="b">
        <v>1</v>
      </c>
      <c r="X201" s="23" t="str">
        <f>IFERROR(__xludf.DUMMYFUNCTION("if(COUNTA(FILTER(C:C, C:C = C201))=1,""no"",""yes"")"),"no")</f>
        <v>no</v>
      </c>
    </row>
    <row r="202">
      <c r="A202" s="75" t="s">
        <v>322</v>
      </c>
      <c r="B202" s="19">
        <v>3.0</v>
      </c>
      <c r="C202" s="19" t="s">
        <v>843</v>
      </c>
      <c r="D202" s="22" t="str">
        <f t="shared" si="106"/>
        <v/>
      </c>
      <c r="E202" s="20">
        <v>43654.0</v>
      </c>
      <c r="F202" s="25" t="str">
        <f>IFERROR(__xludf.DUMMYFUNCTION("iferror(ifna(IFNA(filter('2.1.clean'!E:E,'2.1.clean'!A:A=C202),filter('2.2.clean'!G:G,'2.2.clean'!D:D=C202)),filter('2.4.clean'!E:E,'2.4.clean'!A:A=C202)),)"),"")</f>
        <v/>
      </c>
      <c r="G202" s="20" t="str">
        <f>IFERROR(__xludf.DUMMYFUNCTION("iferror(filter('3.1.clean'!C:C,'3.1.clean'!A:A=C202),"""")"),"")</f>
        <v/>
      </c>
      <c r="H202" s="22"/>
      <c r="I202" s="22"/>
      <c r="J202" s="79"/>
      <c r="K202" s="20" t="str">
        <f>IFERROR(__xludf.DUMMYFUNCTION("iferror(filter('3.2.clean'!C:C,'3.2.clean'!A:A=C202),"""")"),"")</f>
        <v/>
      </c>
      <c r="L202" s="79"/>
      <c r="M202" s="20">
        <f>IFERROR(__xludf.DUMMYFUNCTION("iferror(filter('3.3.clean'!C:C,'3.3.clean'!A:A=C202),"""")"),43669.0)</f>
        <v>43669</v>
      </c>
      <c r="N202" s="79" t="b">
        <f t="shared" ref="N202:N215" si="107">if(M202="",FALSE,TRUE)</f>
        <v>1</v>
      </c>
      <c r="O202" s="20" t="str">
        <f>IFERROR(__xludf.DUMMYFUNCTION("iferror(filter('3.4.clean'!C:C,'3.4.clean'!A:A=C202),"""")"),"")</f>
        <v/>
      </c>
      <c r="P202" s="79" t="b">
        <f t="shared" ref="P202:P215" si="108">if(O202="",FALSE,TRUE)</f>
        <v>0</v>
      </c>
      <c r="Q202" s="80" t="s">
        <v>814</v>
      </c>
      <c r="R202" s="22" t="b">
        <f t="shared" ref="R202:R211" si="109">if(Q202="",FALSE,TRUE)</f>
        <v>1</v>
      </c>
      <c r="S202" s="4" t="str">
        <f>IFERROR(__xludf.DUMMYFUNCTION("iferror(filter('3.5.clean'!H:H,'3.5.clean'!A:A=C202),"""")"),"")</f>
        <v/>
      </c>
      <c r="U202" s="1" t="s">
        <v>829</v>
      </c>
      <c r="V202" s="1" t="s">
        <v>64</v>
      </c>
      <c r="W202" s="23" t="b">
        <f>IF(and(R202=TRUE,N202=TRUE,P202=TRUE),TRUE,FALSE)</f>
        <v>0</v>
      </c>
      <c r="X202" s="23" t="str">
        <f>IFERROR(__xludf.DUMMYFUNCTION("if(COUNTA(FILTER(C:C, C:C = C202))=1,""no"",""yes"")"),"no")</f>
        <v>no</v>
      </c>
    </row>
    <row r="203">
      <c r="A203" s="75" t="s">
        <v>322</v>
      </c>
      <c r="B203" s="19"/>
      <c r="C203" s="19" t="s">
        <v>845</v>
      </c>
      <c r="E203" s="24">
        <v>43654.0</v>
      </c>
      <c r="F203" s="25" t="str">
        <f>IFERROR(__xludf.DUMMYFUNCTION("iferror(ifna(IFNA(filter('2.1.clean'!E:E,'2.1.clean'!A:A=C203),filter('2.2.clean'!G:G,'2.2.clean'!D:D=C203)),filter('2.4.clean'!E:E,'2.4.clean'!A:A=C203)),)"),"")</f>
        <v/>
      </c>
      <c r="G203" s="24"/>
      <c r="J203" s="25"/>
      <c r="K203" s="24"/>
      <c r="L203" s="25"/>
      <c r="M203" s="24" t="str">
        <f>IFERROR(__xludf.DUMMYFUNCTION("iferror(filter('3.3.clean'!C:C,'3.3.clean'!A:A=C203),"""")"),"")</f>
        <v/>
      </c>
      <c r="N203" s="25" t="b">
        <f t="shared" si="107"/>
        <v>0</v>
      </c>
      <c r="O203" s="24">
        <f>IFERROR(__xludf.DUMMYFUNCTION("iferror(filter('3.4.clean'!C:C,'3.4.clean'!A:A=C203),"""")"),43686.0)</f>
        <v>43686</v>
      </c>
      <c r="P203" s="25" t="b">
        <f t="shared" si="108"/>
        <v>1</v>
      </c>
      <c r="Q203" s="24" t="str">
        <f>IFERROR(__xludf.DUMMYFUNCTION("iferror(filter('3.5.clean'!C:C,'3.5.clean'!A:A=C203),"""")"),"")</f>
        <v/>
      </c>
      <c r="R203" s="23" t="b">
        <f t="shared" si="109"/>
        <v>0</v>
      </c>
      <c r="S203" s="25"/>
      <c r="U203" s="1" t="s">
        <v>503</v>
      </c>
      <c r="V203" s="1" t="s">
        <v>64</v>
      </c>
      <c r="X203" s="23" t="str">
        <f>IFERROR(__xludf.DUMMYFUNCTION("if(COUNTA(FILTER(C:C, C:C = C203))=1,""no"",""yes"")"),"no")</f>
        <v>no</v>
      </c>
    </row>
    <row r="204">
      <c r="A204" s="1" t="s">
        <v>373</v>
      </c>
      <c r="B204" s="2">
        <v>1.0</v>
      </c>
      <c r="C204" s="19" t="s">
        <v>846</v>
      </c>
      <c r="E204" s="24">
        <f>IFERROR(__xludf.DUMMYFUNCTION("ifna(IFNA(filter('2.1.clean'!C:C,'2.1.clean'!A:A=C204),filter('2.2.clean'!E:E,'2.2.clean'!D:D=C204)),filter('2.4.clean'!C:C,'2.4.clean'!A:A=C204))"),43655.0)</f>
        <v>43655</v>
      </c>
      <c r="F204" s="25">
        <f>IFERROR(__xludf.DUMMYFUNCTION("iferror(ifna(IFNA(filter('2.1.clean'!E:E,'2.1.clean'!A:A=C204),filter('2.2.clean'!G:G,'2.2.clean'!D:D=C204)),filter('2.4.clean'!E:E,'2.4.clean'!A:A=C204)),)"),2.4)</f>
        <v>2.4</v>
      </c>
      <c r="G204" s="24"/>
      <c r="J204" s="25"/>
      <c r="K204" s="24"/>
      <c r="L204" s="25"/>
      <c r="M204" s="24">
        <f>IFERROR(__xludf.DUMMYFUNCTION("iferror(filter('3.3.clean'!C:C,'3.3.clean'!A:A=C204),"""")"),43664.0)</f>
        <v>43664</v>
      </c>
      <c r="N204" s="25" t="b">
        <f t="shared" si="107"/>
        <v>1</v>
      </c>
      <c r="O204" s="24">
        <f>IFERROR(__xludf.DUMMYFUNCTION("iferror(filter('3.4.clean'!C:C,'3.4.clean'!A:A=C204),"""")"),43684.0)</f>
        <v>43684</v>
      </c>
      <c r="P204" s="25" t="b">
        <f t="shared" si="108"/>
        <v>1</v>
      </c>
      <c r="Q204" s="24">
        <f>IFERROR(__xludf.DUMMYFUNCTION("iferror(filter('3.5.clean'!C:C,'3.5.clean'!A:A=C204),"""")"),43655.0)</f>
        <v>43655</v>
      </c>
      <c r="R204" s="23" t="b">
        <f t="shared" si="109"/>
        <v>1</v>
      </c>
      <c r="S204" s="25"/>
      <c r="U204" s="23"/>
      <c r="V204" s="1" t="s">
        <v>64</v>
      </c>
      <c r="W204" s="23" t="b">
        <f t="shared" ref="W204:W207" si="110">IF(and(R204=TRUE,N204=TRUE,P204=TRUE),TRUE,FALSE)</f>
        <v>1</v>
      </c>
      <c r="X204" s="23" t="str">
        <f>IFERROR(__xludf.DUMMYFUNCTION("if(COUNTA(FILTER(C:C, C:C = C204))=1,""no"",""yes"")"),"no")</f>
        <v>no</v>
      </c>
    </row>
    <row r="205">
      <c r="A205" s="1" t="s">
        <v>373</v>
      </c>
      <c r="B205" s="2">
        <v>2.0</v>
      </c>
      <c r="C205" s="19" t="s">
        <v>847</v>
      </c>
      <c r="E205" s="24">
        <f>IFERROR(__xludf.DUMMYFUNCTION("ifna(IFNA(filter('2.1.clean'!C:C,'2.1.clean'!A:A=C205),filter('2.2.clean'!E:E,'2.2.clean'!D:D=C205)),filter('2.4.clean'!C:C,'2.4.clean'!A:A=C205))"),43655.0)</f>
        <v>43655</v>
      </c>
      <c r="F205" s="25">
        <f>IFERROR(__xludf.DUMMYFUNCTION("iferror(ifna(IFNA(filter('2.1.clean'!E:E,'2.1.clean'!A:A=C205),filter('2.2.clean'!G:G,'2.2.clean'!D:D=C205)),filter('2.4.clean'!E:E,'2.4.clean'!A:A=C205)),)"),2.4)</f>
        <v>2.4</v>
      </c>
      <c r="G205" s="24"/>
      <c r="J205" s="25"/>
      <c r="K205" s="24"/>
      <c r="L205" s="25"/>
      <c r="M205" s="24">
        <f>IFERROR(__xludf.DUMMYFUNCTION("iferror(filter('3.3.clean'!C:C,'3.3.clean'!A:A=C205),"""")"),43664.0)</f>
        <v>43664</v>
      </c>
      <c r="N205" s="25" t="b">
        <f t="shared" si="107"/>
        <v>1</v>
      </c>
      <c r="O205" s="24" t="str">
        <f>IFERROR(__xludf.DUMMYFUNCTION("iferror(filter('3.4.clean'!C:C,'3.4.clean'!A:A=C205),"""")"),"")</f>
        <v/>
      </c>
      <c r="P205" s="25" t="b">
        <f t="shared" si="108"/>
        <v>0</v>
      </c>
      <c r="Q205" s="24">
        <f>IFERROR(__xludf.DUMMYFUNCTION("iferror(filter('3.5.clean'!C:C,'3.5.clean'!A:A=C205),"""")"),43655.0)</f>
        <v>43655</v>
      </c>
      <c r="R205" s="23" t="b">
        <f t="shared" si="109"/>
        <v>1</v>
      </c>
      <c r="S205" s="25"/>
      <c r="U205" s="23"/>
      <c r="V205" s="1" t="s">
        <v>64</v>
      </c>
      <c r="W205" s="23" t="b">
        <f t="shared" si="110"/>
        <v>0</v>
      </c>
      <c r="X205" s="23" t="str">
        <f>IFERROR(__xludf.DUMMYFUNCTION("if(COUNTA(FILTER(C:C, C:C = C205))=1,""no"",""yes"")"),"no")</f>
        <v>no</v>
      </c>
    </row>
    <row r="206">
      <c r="A206" s="1" t="s">
        <v>373</v>
      </c>
      <c r="B206" s="2">
        <v>3.0</v>
      </c>
      <c r="C206" s="19" t="s">
        <v>849</v>
      </c>
      <c r="E206" s="24">
        <f>IFERROR(__xludf.DUMMYFUNCTION("ifna(IFNA(filter('2.1.clean'!C:C,'2.1.clean'!A:A=C206),filter('2.2.clean'!E:E,'2.2.clean'!D:D=C206)),filter('2.4.clean'!C:C,'2.4.clean'!A:A=C206))"),43655.0)</f>
        <v>43655</v>
      </c>
      <c r="F206" s="25">
        <f>IFERROR(__xludf.DUMMYFUNCTION("iferror(ifna(IFNA(filter('2.1.clean'!E:E,'2.1.clean'!A:A=C206),filter('2.2.clean'!G:G,'2.2.clean'!D:D=C206)),filter('2.4.clean'!E:E,'2.4.clean'!A:A=C206)),)"),2.4)</f>
        <v>2.4</v>
      </c>
      <c r="G206" s="24"/>
      <c r="J206" s="25"/>
      <c r="K206" s="24"/>
      <c r="L206" s="25"/>
      <c r="M206" s="24">
        <f>IFERROR(__xludf.DUMMYFUNCTION("iferror(filter('3.3.clean'!C:C,'3.3.clean'!A:A=C206),"""")"),43664.0)</f>
        <v>43664</v>
      </c>
      <c r="N206" s="25" t="b">
        <f t="shared" si="107"/>
        <v>1</v>
      </c>
      <c r="O206" s="24">
        <f>IFERROR(__xludf.DUMMYFUNCTION("iferror(filter('3.4.clean'!C:C,'3.4.clean'!A:A=C206),"""")"),43684.0)</f>
        <v>43684</v>
      </c>
      <c r="P206" s="25" t="b">
        <f t="shared" si="108"/>
        <v>1</v>
      </c>
      <c r="Q206" s="24">
        <f>IFERROR(__xludf.DUMMYFUNCTION("iferror(filter('3.5.clean'!C:C,'3.5.clean'!A:A=C206),"""")"),43655.0)</f>
        <v>43655</v>
      </c>
      <c r="R206" s="23" t="b">
        <f t="shared" si="109"/>
        <v>1</v>
      </c>
      <c r="S206" s="25"/>
      <c r="U206" s="23"/>
      <c r="V206" s="1" t="s">
        <v>64</v>
      </c>
      <c r="W206" s="23" t="b">
        <f t="shared" si="110"/>
        <v>1</v>
      </c>
      <c r="X206" s="23" t="str">
        <f>IFERROR(__xludf.DUMMYFUNCTION("if(COUNTA(FILTER(C:C, C:C = C206))=1,""no"",""yes"")"),"no")</f>
        <v>no</v>
      </c>
    </row>
    <row r="207">
      <c r="A207" s="1" t="s">
        <v>373</v>
      </c>
      <c r="B207" s="2">
        <v>4.0</v>
      </c>
      <c r="C207" s="19" t="s">
        <v>850</v>
      </c>
      <c r="E207" s="24">
        <f>IFERROR(__xludf.DUMMYFUNCTION("ifna(IFNA(filter('2.1.clean'!C:C,'2.1.clean'!A:A=C207),filter('2.2.clean'!E:E,'2.2.clean'!D:D=C207)),filter('2.4.clean'!C:C,'2.4.clean'!A:A=C207))"),43655.0)</f>
        <v>43655</v>
      </c>
      <c r="F207" s="25">
        <f>IFERROR(__xludf.DUMMYFUNCTION("iferror(ifna(IFNA(filter('2.1.clean'!E:E,'2.1.clean'!A:A=C207),filter('2.2.clean'!G:G,'2.2.clean'!D:D=C207)),filter('2.4.clean'!E:E,'2.4.clean'!A:A=C207)),)"),2.4)</f>
        <v>2.4</v>
      </c>
      <c r="G207" s="24"/>
      <c r="J207" s="25"/>
      <c r="K207" s="24"/>
      <c r="L207" s="25"/>
      <c r="M207" s="24">
        <f>IFERROR(__xludf.DUMMYFUNCTION("iferror(filter('3.3.clean'!C:C,'3.3.clean'!A:A=C207),"""")"),43664.0)</f>
        <v>43664</v>
      </c>
      <c r="N207" s="25" t="b">
        <f t="shared" si="107"/>
        <v>1</v>
      </c>
      <c r="O207" s="24">
        <f>IFERROR(__xludf.DUMMYFUNCTION("iferror(filter('3.4.clean'!C:C,'3.4.clean'!A:A=C207),"""")"),43684.0)</f>
        <v>43684</v>
      </c>
      <c r="P207" s="25" t="b">
        <f t="shared" si="108"/>
        <v>1</v>
      </c>
      <c r="Q207" s="24">
        <f>IFERROR(__xludf.DUMMYFUNCTION("iferror(filter('3.5.clean'!C:C,'3.5.clean'!A:A=C207),"""")"),43655.0)</f>
        <v>43655</v>
      </c>
      <c r="R207" s="23" t="b">
        <f t="shared" si="109"/>
        <v>1</v>
      </c>
      <c r="S207" s="25"/>
      <c r="U207" s="23"/>
      <c r="V207" s="1" t="s">
        <v>64</v>
      </c>
      <c r="W207" s="23" t="b">
        <f t="shared" si="110"/>
        <v>1</v>
      </c>
      <c r="X207" s="23" t="str">
        <f>IFERROR(__xludf.DUMMYFUNCTION("if(COUNTA(FILTER(C:C, C:C = C207))=1,""no"",""yes"")"),"no")</f>
        <v>no</v>
      </c>
    </row>
    <row r="208">
      <c r="A208" s="1" t="s">
        <v>373</v>
      </c>
      <c r="B208" s="19">
        <v>5.0</v>
      </c>
      <c r="C208" s="19" t="s">
        <v>851</v>
      </c>
      <c r="D208" s="58" t="str">
        <f t="shared" ref="D208:D210" si="111">if(or(I208=1,J208=1,S208=1),"pos","")</f>
        <v/>
      </c>
      <c r="E208" s="59">
        <f>IFERROR(__xludf.DUMMYFUNCTION("ifna(IFNA(filter('2.1.clean'!C:C,'2.1.clean'!A:A=C208),filter('2.2.clean'!E:E,'2.2.clean'!D:D=C208)),filter('2.4.clean'!C:C,'2.4.clean'!A:A=C208))"),43655.0)</f>
        <v>43655</v>
      </c>
      <c r="F208" s="60">
        <f>IFERROR(__xludf.DUMMYFUNCTION("iferror(ifna(IFNA(filter('2.1.clean'!E:E,'2.1.clean'!A:A=C208),filter('2.2.clean'!G:G,'2.2.clean'!D:D=C208)),filter('2.4.clean'!E:E,'2.4.clean'!A:A=C208)),)"),2.4)</f>
        <v>2.4</v>
      </c>
      <c r="G208" s="59">
        <f>IFERROR(__xludf.DUMMYFUNCTION("iferror(filter('3.1.clean'!C:C,'3.1.clean'!A:A=C208),"""")"),43655.0)</f>
        <v>43655</v>
      </c>
      <c r="H208" s="58" t="b">
        <f>if(G208="",FALSE,TRUE)</f>
        <v>1</v>
      </c>
      <c r="I208" s="58">
        <f>IFERROR(__xludf.DUMMYFUNCTION("iferror(filter('3.1.clean'!G:G,'3.1.clean'!A:A=C208),"""")"),0.0)</f>
        <v>0</v>
      </c>
      <c r="J208" s="60" t="str">
        <f>IFERROR(__xludf.DUMMYFUNCTION("iferror(filter('3.1.clean'!I:I,'3.1.clean'!A:A=C208),"""")"),"")</f>
        <v/>
      </c>
      <c r="K208" s="58"/>
      <c r="L208" s="60"/>
      <c r="M208" s="59" t="str">
        <f>IFERROR(__xludf.DUMMYFUNCTION("iferror(filter('3.3.clean'!C:C,'3.3.clean'!A:A=C208),"""")"),"#REF!")</f>
        <v>#REF!</v>
      </c>
      <c r="N208" s="60" t="str">
        <f t="shared" si="107"/>
        <v>#REF!</v>
      </c>
      <c r="O208" s="59" t="str">
        <f>IFERROR(__xludf.DUMMYFUNCTION("iferror(filter('3.4.clean'!C:C,'3.4.clean'!A:A=C208),"""")"),"")</f>
        <v/>
      </c>
      <c r="P208" s="60" t="b">
        <f t="shared" si="108"/>
        <v>0</v>
      </c>
      <c r="Q208" s="59" t="str">
        <f>IFERROR(__xludf.DUMMYFUNCTION("iferror(filter('3.5.clean'!C:C,'3.5.clean'!A:A=C208),"""")"),"")</f>
        <v/>
      </c>
      <c r="R208" s="58" t="b">
        <f t="shared" si="109"/>
        <v>0</v>
      </c>
      <c r="S208" s="4" t="str">
        <f>IFERROR(__xludf.DUMMYFUNCTION("iferror(filter('3.5.clean'!H:H,'3.5.clean'!A:A=C208),"""")"),"")</f>
        <v/>
      </c>
      <c r="T208" s="1" t="s">
        <v>391</v>
      </c>
      <c r="U208" s="23"/>
      <c r="V208" s="1" t="s">
        <v>64</v>
      </c>
      <c r="W208" s="1" t="b">
        <v>1</v>
      </c>
      <c r="X208" s="23" t="str">
        <f>IFERROR(__xludf.DUMMYFUNCTION("if(COUNTA(FILTER(C:C, C:C = C208))=1,""no"",""yes"")"),"no")</f>
        <v>no</v>
      </c>
    </row>
    <row r="209">
      <c r="A209" s="1" t="s">
        <v>373</v>
      </c>
      <c r="B209" s="19">
        <v>6.0</v>
      </c>
      <c r="C209" s="19" t="s">
        <v>853</v>
      </c>
      <c r="D209" s="58" t="str">
        <f t="shared" si="111"/>
        <v/>
      </c>
      <c r="E209" s="59">
        <f>Q209</f>
        <v>43655</v>
      </c>
      <c r="F209" s="60" t="str">
        <f>IFERROR(__xludf.DUMMYFUNCTION("iferror(ifna(IFNA(filter('2.1.clean'!E:E,'2.1.clean'!A:A=C209),filter('2.2.clean'!G:G,'2.2.clean'!D:D=C209)),filter('2.4.clean'!E:E,'2.4.clean'!A:A=C209)),)"),"")</f>
        <v/>
      </c>
      <c r="G209" s="59" t="str">
        <f>IFERROR(__xludf.DUMMYFUNCTION("iferror(filter('3.1.clean'!C:C,'3.1.clean'!A:A=C209),"""")"),"")</f>
        <v/>
      </c>
      <c r="H209" s="58"/>
      <c r="I209" s="58"/>
      <c r="J209" s="60"/>
      <c r="K209" s="58"/>
      <c r="L209" s="60"/>
      <c r="M209" s="81" t="s">
        <v>814</v>
      </c>
      <c r="N209" s="60" t="b">
        <f t="shared" si="107"/>
        <v>1</v>
      </c>
      <c r="O209" s="59">
        <f>IFERROR(__xludf.DUMMYFUNCTION("iferror(filter('3.4.clean'!C:C,'3.4.clean'!A:A=C209),"""")"),43684.0)</f>
        <v>43684</v>
      </c>
      <c r="P209" s="60" t="b">
        <f t="shared" si="108"/>
        <v>1</v>
      </c>
      <c r="Q209" s="59">
        <f>IFERROR(__xludf.DUMMYFUNCTION("iferror(filter('3.5.clean'!C:C,'3.5.clean'!A:A=C209),"""")"),43655.0)</f>
        <v>43655</v>
      </c>
      <c r="R209" s="58" t="b">
        <f t="shared" si="109"/>
        <v>1</v>
      </c>
      <c r="S209" s="4" t="str">
        <f>IFERROR(__xludf.DUMMYFUNCTION("iferror(filter('3.5.clean'!H:H,'3.5.clean'!A:A=C209),"""")"),"")</f>
        <v/>
      </c>
      <c r="U209" s="23"/>
      <c r="V209" s="1" t="s">
        <v>64</v>
      </c>
      <c r="W209" s="23" t="b">
        <f>if(AND(R209=TRUE,N209=TRUE,P209=TRUE),TRUE,FALSE)</f>
        <v>1</v>
      </c>
      <c r="X209" s="23" t="str">
        <f>IFERROR(__xludf.DUMMYFUNCTION("if(COUNTA(FILTER(C:C, C:C = C209))=1,""no"",""yes"")"),"no")</f>
        <v>no</v>
      </c>
    </row>
    <row r="210">
      <c r="A210" s="1" t="s">
        <v>373</v>
      </c>
      <c r="B210" s="19">
        <v>7.0</v>
      </c>
      <c r="C210" s="19" t="s">
        <v>854</v>
      </c>
      <c r="D210" s="22" t="str">
        <f t="shared" si="111"/>
        <v/>
      </c>
      <c r="E210" s="20">
        <v>43655.0</v>
      </c>
      <c r="F210" s="25" t="str">
        <f>IFERROR(__xludf.DUMMYFUNCTION("iferror(ifna(IFNA(filter('2.1.clean'!E:E,'2.1.clean'!A:A=C210),filter('2.2.clean'!G:G,'2.2.clean'!D:D=C210)),filter('2.4.clean'!E:E,'2.4.clean'!A:A=C210)),)"),"")</f>
        <v/>
      </c>
      <c r="G210" s="20" t="str">
        <f>IFERROR(__xludf.DUMMYFUNCTION("iferror(filter('3.1.clean'!C:C,'3.1.clean'!A:A=C210),"""")"),"")</f>
        <v/>
      </c>
      <c r="H210" s="22"/>
      <c r="I210" s="22"/>
      <c r="J210" s="79"/>
      <c r="K210" s="20" t="str">
        <f>IFERROR(__xludf.DUMMYFUNCTION("iferror(filter('3.2.clean'!C:C,'3.2.clean'!A:A=C210),"""")"),"")</f>
        <v/>
      </c>
      <c r="L210" s="79"/>
      <c r="M210" s="20">
        <f>IFERROR(__xludf.DUMMYFUNCTION("iferror(filter('3.3.clean'!C:C,'3.3.clean'!A:A=C210),"""")"),43669.0)</f>
        <v>43669</v>
      </c>
      <c r="N210" s="79" t="b">
        <f t="shared" si="107"/>
        <v>1</v>
      </c>
      <c r="O210" s="20" t="str">
        <f>IFERROR(__xludf.DUMMYFUNCTION("iferror(filter('3.4.clean'!C:C,'3.4.clean'!A:A=C210),"""")"),"")</f>
        <v/>
      </c>
      <c r="P210" s="79" t="b">
        <f t="shared" si="108"/>
        <v>0</v>
      </c>
      <c r="Q210" s="3" t="s">
        <v>814</v>
      </c>
      <c r="R210" s="22" t="b">
        <f t="shared" si="109"/>
        <v>1</v>
      </c>
      <c r="S210" s="4" t="str">
        <f>IFERROR(__xludf.DUMMYFUNCTION("iferror(filter('3.5.clean'!H:H,'3.5.clean'!A:A=C210),"""")"),"")</f>
        <v/>
      </c>
      <c r="U210" s="1" t="s">
        <v>829</v>
      </c>
      <c r="V210" s="1" t="s">
        <v>64</v>
      </c>
      <c r="W210" s="23" t="b">
        <f>IF(and(R210=TRUE,N210=TRUE,P210=TRUE),TRUE,FALSE)</f>
        <v>0</v>
      </c>
      <c r="X210" s="23" t="str">
        <f>IFERROR(__xludf.DUMMYFUNCTION("if(COUNTA(FILTER(C:C, C:C = C210))=1,""no"",""yes"")"),"no")</f>
        <v>no</v>
      </c>
    </row>
    <row r="211">
      <c r="A211" s="75" t="s">
        <v>379</v>
      </c>
      <c r="B211" s="2">
        <v>1.0</v>
      </c>
      <c r="C211" s="19" t="s">
        <v>855</v>
      </c>
      <c r="E211" s="24">
        <f>IFERROR(__xludf.DUMMYFUNCTION("ifna(IFNA(filter('2.1.clean'!C:C,'2.1.clean'!A:A=C211),filter('2.2.clean'!E:E,'2.2.clean'!D:D=C211)),filter('2.4.clean'!C:C,'2.4.clean'!A:A=C211))"),43656.0)</f>
        <v>43656</v>
      </c>
      <c r="F211" s="25">
        <f>IFERROR(__xludf.DUMMYFUNCTION("iferror(ifna(IFNA(filter('2.1.clean'!E:E,'2.1.clean'!A:A=C211),filter('2.2.clean'!G:G,'2.2.clean'!D:D=C211)),filter('2.4.clean'!E:E,'2.4.clean'!A:A=C211)),)"),2.4)</f>
        <v>2.4</v>
      </c>
      <c r="G211" s="24">
        <f>IFERROR(__xludf.DUMMYFUNCTION("iferror(filter('3.1.clean'!C:C,'3.1.clean'!A:A=C211),"""")"),43656.0)</f>
        <v>43656</v>
      </c>
      <c r="H211" s="23" t="b">
        <f t="shared" ref="H211:H213" si="112">if(G211="",FALSE,TRUE)</f>
        <v>1</v>
      </c>
      <c r="J211" s="25"/>
      <c r="K211" s="24" t="str">
        <f>IFERROR(__xludf.DUMMYFUNCTION("iferror(filter('3.2.clean'!C:C,'3.2.clean'!A:A=C211),"""")"),"")</f>
        <v/>
      </c>
      <c r="L211" s="25" t="b">
        <f t="shared" ref="L211:L212" si="113">if(K211="",FALSE,TRUE)</f>
        <v>0</v>
      </c>
      <c r="M211" s="24">
        <f>IFERROR(__xludf.DUMMYFUNCTION("iferror(filter('3.3.clean'!C:C,'3.3.clean'!A:A=C211),"""")"),43664.0)</f>
        <v>43664</v>
      </c>
      <c r="N211" s="25" t="b">
        <f t="shared" si="107"/>
        <v>1</v>
      </c>
      <c r="O211" s="24">
        <f>IFERROR(__xludf.DUMMYFUNCTION("iferror(filter('3.4.clean'!C:C,'3.4.clean'!A:A=C211),"""")"),43684.0)</f>
        <v>43684</v>
      </c>
      <c r="P211" s="25" t="b">
        <f t="shared" si="108"/>
        <v>1</v>
      </c>
      <c r="Q211" s="24">
        <f>IFERROR(__xludf.DUMMYFUNCTION("iferror(filter('3.5.clean'!C:C,'3.5.clean'!A:A=C211),"""")"),43656.0)</f>
        <v>43656</v>
      </c>
      <c r="R211" s="23" t="b">
        <f t="shared" si="109"/>
        <v>1</v>
      </c>
      <c r="S211" s="25"/>
      <c r="U211" s="23"/>
      <c r="V211" s="1" t="s">
        <v>64</v>
      </c>
      <c r="X211" s="23" t="str">
        <f>IFERROR(__xludf.DUMMYFUNCTION("if(COUNTA(FILTER(C:C, C:C = C211))=1,""no"",""yes"")"),"no")</f>
        <v>no</v>
      </c>
    </row>
    <row r="212">
      <c r="A212" s="75" t="s">
        <v>379</v>
      </c>
      <c r="B212" s="2">
        <v>2.0</v>
      </c>
      <c r="C212" s="69" t="s">
        <v>857</v>
      </c>
      <c r="E212" s="24">
        <v>43656.0</v>
      </c>
      <c r="F212" s="25" t="str">
        <f>IFERROR(__xludf.DUMMYFUNCTION("iferror(ifna(IFNA(filter('2.1.clean'!E:E,'2.1.clean'!A:A=C212),filter('2.2.clean'!G:G,'2.2.clean'!D:D=C212)),filter('2.4.clean'!E:E,'2.4.clean'!A:A=C212)),)"),"")</f>
        <v/>
      </c>
      <c r="G212" s="24" t="str">
        <f>IFERROR(__xludf.DUMMYFUNCTION("iferror(filter('3.1.clean'!C:C,'3.1.clean'!A:A=C212),"""")"),"")</f>
        <v/>
      </c>
      <c r="H212" s="23" t="b">
        <f t="shared" si="112"/>
        <v>0</v>
      </c>
      <c r="J212" s="25"/>
      <c r="K212" s="24" t="str">
        <f>IFERROR(__xludf.DUMMYFUNCTION("iferror(filter('3.2.clean'!C:C,'3.2.clean'!A:A=C212),"""")"),"")</f>
        <v/>
      </c>
      <c r="L212" s="25" t="b">
        <f t="shared" si="113"/>
        <v>0</v>
      </c>
      <c r="M212" s="1" t="s">
        <v>814</v>
      </c>
      <c r="N212" s="25" t="b">
        <f t="shared" si="107"/>
        <v>1</v>
      </c>
      <c r="O212" s="24" t="str">
        <f>IFERROR(__xludf.DUMMYFUNCTION("iferror(filter('3.4.clean'!C:C,'3.4.clean'!A:A=C212),"""")"),"")</f>
        <v/>
      </c>
      <c r="P212" s="25" t="b">
        <f t="shared" si="108"/>
        <v>0</v>
      </c>
      <c r="Q212" s="24" t="str">
        <f>IFERROR(__xludf.DUMMYFUNCTION("iferror(filter('3.5.clean'!C:C,'3.5.clean'!A:A=C212),"""")"),"")</f>
        <v/>
      </c>
      <c r="S212" s="25"/>
      <c r="U212" s="1" t="s">
        <v>503</v>
      </c>
      <c r="V212" s="1" t="s">
        <v>64</v>
      </c>
      <c r="X212" s="23" t="str">
        <f>IFERROR(__xludf.DUMMYFUNCTION("if(COUNTA(FILTER(C:C, C:C = C212))=1,""no"",""yes"")"),"no")</f>
        <v>no</v>
      </c>
    </row>
    <row r="213">
      <c r="A213" s="75" t="s">
        <v>379</v>
      </c>
      <c r="B213" s="19">
        <v>3.0</v>
      </c>
      <c r="C213" s="19" t="s">
        <v>858</v>
      </c>
      <c r="D213" s="58" t="str">
        <f t="shared" ref="D213:D217" si="114">if(or(I213=1,J213=1,S213=1),"pos","")</f>
        <v/>
      </c>
      <c r="E213" s="59">
        <f>IFERROR(__xludf.DUMMYFUNCTION("ifna(IFNA(filter('2.1.clean'!C:C,'2.1.clean'!A:A=C213),filter('2.2.clean'!E:E,'2.2.clean'!D:D=C213)),filter('2.4.clean'!C:C,'2.4.clean'!A:A=C213))"),43656.0)</f>
        <v>43656</v>
      </c>
      <c r="F213" s="60">
        <f>IFERROR(__xludf.DUMMYFUNCTION("iferror(ifna(IFNA(filter('2.1.clean'!E:E,'2.1.clean'!A:A=C213),filter('2.2.clean'!G:G,'2.2.clean'!D:D=C213)),filter('2.4.clean'!E:E,'2.4.clean'!A:A=C213)),)"),2.4)</f>
        <v>2.4</v>
      </c>
      <c r="G213" s="59">
        <f>IFERROR(__xludf.DUMMYFUNCTION("iferror(filter('3.1.clean'!C:C,'3.1.clean'!A:A=C213),"""")"),43656.0)</f>
        <v>43656</v>
      </c>
      <c r="H213" s="58" t="b">
        <f t="shared" si="112"/>
        <v>1</v>
      </c>
      <c r="I213" s="58">
        <f>IFERROR(__xludf.DUMMYFUNCTION("iferror(filter('3.1.clean'!G:G,'3.1.clean'!A:A=C213),"""")"),0.0)</f>
        <v>0</v>
      </c>
      <c r="J213" s="60" t="str">
        <f>IFERROR(__xludf.DUMMYFUNCTION("iferror(filter('3.1.clean'!I:I,'3.1.clean'!A:A=C213),"""")"),"")</f>
        <v/>
      </c>
      <c r="K213" s="58"/>
      <c r="L213" s="60"/>
      <c r="M213" s="59">
        <f>IFERROR(__xludf.DUMMYFUNCTION("iferror(filter('3.3.clean'!C:C,'3.3.clean'!A:A=C213),"""")"),43656.0)</f>
        <v>43656</v>
      </c>
      <c r="N213" s="60" t="b">
        <f t="shared" si="107"/>
        <v>1</v>
      </c>
      <c r="O213" s="59" t="str">
        <f>IFERROR(__xludf.DUMMYFUNCTION("iferror(filter('3.4.clean'!C:C,'3.4.clean'!A:A=C213),"""")"),"")</f>
        <v/>
      </c>
      <c r="P213" s="60" t="b">
        <f t="shared" si="108"/>
        <v>0</v>
      </c>
      <c r="Q213" s="59" t="str">
        <f>IFERROR(__xludf.DUMMYFUNCTION("iferror(filter('3.5.clean'!C:C,'3.5.clean'!A:A=C213),"""")"),"")</f>
        <v/>
      </c>
      <c r="R213" s="58" t="b">
        <f>if(Q213="",FALSE,TRUE)</f>
        <v>0</v>
      </c>
      <c r="S213" s="4" t="str">
        <f>IFERROR(__xludf.DUMMYFUNCTION("iferror(filter('3.5.clean'!H:H,'3.5.clean'!A:A=C213),"""")"),"")</f>
        <v/>
      </c>
      <c r="U213" s="23"/>
      <c r="V213" s="1" t="s">
        <v>64</v>
      </c>
      <c r="W213" s="1" t="b">
        <v>1</v>
      </c>
      <c r="X213" s="23" t="str">
        <f>IFERROR(__xludf.DUMMYFUNCTION("if(COUNTA(FILTER(C:C, C:C = C213))=1,""no"",""yes"")"),"no")</f>
        <v>no</v>
      </c>
    </row>
    <row r="214">
      <c r="A214" s="75" t="s">
        <v>379</v>
      </c>
      <c r="B214" s="19">
        <v>3.0</v>
      </c>
      <c r="C214" s="2" t="s">
        <v>860</v>
      </c>
      <c r="D214" s="58" t="str">
        <f t="shared" si="114"/>
        <v/>
      </c>
      <c r="E214" s="59">
        <v>43656.0</v>
      </c>
      <c r="F214" s="60" t="str">
        <f>IFERROR(__xludf.DUMMYFUNCTION("iferror(ifna(IFNA(filter('2.1.clean'!E:E,'2.1.clean'!A:A=C214),filter('2.2.clean'!G:G,'2.2.clean'!D:D=C214)),filter('2.4.clean'!E:E,'2.4.clean'!A:A=C214)),)"),"")</f>
        <v/>
      </c>
      <c r="G214" s="59"/>
      <c r="H214" s="58"/>
      <c r="I214" s="58" t="str">
        <f>IFERROR(__xludf.DUMMYFUNCTION("iferror(filter('3.1.clean'!G:G,'3.1.clean'!A:A=C214),"""")"),"")</f>
        <v/>
      </c>
      <c r="J214" s="60" t="str">
        <f>IFERROR(__xludf.DUMMYFUNCTION("iferror(filter('3.1.clean'!I:I,'3.1.clean'!A:A=C214),"""")"),"")</f>
        <v/>
      </c>
      <c r="K214" s="58"/>
      <c r="L214" s="60"/>
      <c r="M214" s="59">
        <f>IFERROR(__xludf.DUMMYFUNCTION("iferror(filter('3.3.clean'!C:C,'3.3.clean'!A:A=C214),"""")"),43669.0)</f>
        <v>43669</v>
      </c>
      <c r="N214" s="60" t="b">
        <f t="shared" si="107"/>
        <v>1</v>
      </c>
      <c r="O214" s="59" t="str">
        <f>IFERROR(__xludf.DUMMYFUNCTION("iferror(filter('3.4.clean'!C:C,'3.4.clean'!A:A=C214),"""")"),"")</f>
        <v/>
      </c>
      <c r="P214" s="60" t="b">
        <f t="shared" si="108"/>
        <v>0</v>
      </c>
      <c r="Q214" s="59"/>
      <c r="R214" s="58"/>
      <c r="S214" s="4" t="str">
        <f>IFERROR(__xludf.DUMMYFUNCTION("iferror(filter('3.5.clean'!H:H,'3.5.clean'!A:A=C214),"""")"),"")</f>
        <v/>
      </c>
      <c r="U214" s="23"/>
      <c r="V214" s="1" t="s">
        <v>64</v>
      </c>
      <c r="W214" s="1" t="b">
        <v>1</v>
      </c>
      <c r="X214" s="23" t="str">
        <f>IFERROR(__xludf.DUMMYFUNCTION("if(COUNTA(FILTER(C:C, C:C = C214))=1,""no"",""yes"")"),"no")</f>
        <v>no</v>
      </c>
    </row>
    <row r="215">
      <c r="A215" s="75" t="s">
        <v>379</v>
      </c>
      <c r="B215" s="19">
        <v>4.0</v>
      </c>
      <c r="C215" s="19" t="s">
        <v>861</v>
      </c>
      <c r="D215" s="58" t="str">
        <f t="shared" si="114"/>
        <v/>
      </c>
      <c r="E215" s="59">
        <f>Q215</f>
        <v>43656</v>
      </c>
      <c r="F215" s="60" t="str">
        <f>IFERROR(__xludf.DUMMYFUNCTION("iferror(ifna(IFNA(filter('2.1.clean'!E:E,'2.1.clean'!A:A=C215),filter('2.2.clean'!G:G,'2.2.clean'!D:D=C215)),filter('2.4.clean'!E:E,'2.4.clean'!A:A=C215)),)"),"")</f>
        <v/>
      </c>
      <c r="G215" s="59" t="str">
        <f>IFERROR(__xludf.DUMMYFUNCTION("iferror(filter('3.1.clean'!C:C,'3.1.clean'!A:A=C215),"""")"),"")</f>
        <v/>
      </c>
      <c r="H215" s="58"/>
      <c r="I215" s="58"/>
      <c r="J215" s="60"/>
      <c r="K215" s="58"/>
      <c r="L215" s="60"/>
      <c r="M215" s="81" t="s">
        <v>814</v>
      </c>
      <c r="N215" s="60" t="b">
        <f t="shared" si="107"/>
        <v>1</v>
      </c>
      <c r="O215" s="59">
        <f>IFERROR(__xludf.DUMMYFUNCTION("iferror(filter('3.4.clean'!C:C,'3.4.clean'!A:A=C215),"""")"),43684.0)</f>
        <v>43684</v>
      </c>
      <c r="P215" s="60" t="b">
        <f t="shared" si="108"/>
        <v>1</v>
      </c>
      <c r="Q215" s="59">
        <f>IFERROR(__xludf.DUMMYFUNCTION("iferror(filter('3.5.clean'!C:C,'3.5.clean'!A:A=C215),"""")"),43656.0)</f>
        <v>43656</v>
      </c>
      <c r="R215" s="58" t="b">
        <f>if(Q215="",FALSE,TRUE)</f>
        <v>1</v>
      </c>
      <c r="S215" s="4" t="str">
        <f>IFERROR(__xludf.DUMMYFUNCTION("iferror(filter('3.5.clean'!H:H,'3.5.clean'!A:A=C215),"""")"),"")</f>
        <v/>
      </c>
      <c r="U215" s="23"/>
      <c r="V215" s="1" t="s">
        <v>64</v>
      </c>
      <c r="W215" s="23" t="b">
        <f>if(AND(R215=TRUE,N215=TRUE,P215=TRUE),TRUE,FALSE)</f>
        <v>1</v>
      </c>
      <c r="X215" s="23" t="str">
        <f>IFERROR(__xludf.DUMMYFUNCTION("if(COUNTA(FILTER(C:C, C:C = C215))=1,""no"",""yes"")"),"no")</f>
        <v>no</v>
      </c>
    </row>
    <row r="216">
      <c r="A216" s="75" t="s">
        <v>379</v>
      </c>
      <c r="B216" s="19">
        <v>5.0</v>
      </c>
      <c r="C216" s="19" t="s">
        <v>863</v>
      </c>
      <c r="D216" s="76" t="str">
        <f t="shared" si="114"/>
        <v/>
      </c>
      <c r="E216" s="77">
        <f>G216</f>
        <v>43656</v>
      </c>
      <c r="F216" s="78" t="str">
        <f>IFERROR(__xludf.DUMMYFUNCTION("iferror(ifna(IFNA(filter('2.1.clean'!E:E,'2.1.clean'!A:A=C216),filter('2.2.clean'!G:G,'2.2.clean'!D:D=C216)),filter('2.4.clean'!E:E,'2.4.clean'!A:A=C216)),)"),"")</f>
        <v/>
      </c>
      <c r="G216" s="77">
        <f>IFERROR(__xludf.DUMMYFUNCTION("iferror(filter('3.1.clean'!C:C,'3.1.clean'!A:A=C216),"""")"),43656.0)</f>
        <v>43656</v>
      </c>
      <c r="H216" s="76" t="b">
        <f>if(G216="",FALSE,TRUE)</f>
        <v>1</v>
      </c>
      <c r="I216" s="76">
        <f>IFERROR(__xludf.DUMMYFUNCTION("iferror(filter('3.1.clean'!G:G,'3.1.clean'!A:A=C216),"""")"),0.0)</f>
        <v>0</v>
      </c>
      <c r="J216" s="78" t="str">
        <f>IFERROR(__xludf.DUMMYFUNCTION("iferror(filter('3.1.clean'!I:I,'3.1.clean'!A:A=C216),"""")"),"")</f>
        <v/>
      </c>
      <c r="K216" s="77"/>
      <c r="L216" s="78"/>
      <c r="M216" s="77"/>
      <c r="N216" s="78"/>
      <c r="O216" s="77"/>
      <c r="P216" s="78"/>
      <c r="Q216" s="77"/>
      <c r="R216" s="76"/>
      <c r="S216" s="25"/>
      <c r="T216" s="1"/>
      <c r="V216" s="1" t="s">
        <v>64</v>
      </c>
      <c r="W216" s="1" t="b">
        <v>1</v>
      </c>
      <c r="X216" s="23" t="str">
        <f>IFERROR(__xludf.DUMMYFUNCTION("if(COUNTA(FILTER(C:C, C:C = C216))=1,""no"",""yes"")"),"no")</f>
        <v>no</v>
      </c>
    </row>
    <row r="217">
      <c r="A217" s="75" t="s">
        <v>379</v>
      </c>
      <c r="B217" s="19">
        <v>6.0</v>
      </c>
      <c r="C217" s="19" t="s">
        <v>864</v>
      </c>
      <c r="D217" s="22" t="str">
        <f t="shared" si="114"/>
        <v/>
      </c>
      <c r="E217" s="20">
        <v>43656.0</v>
      </c>
      <c r="F217" s="25" t="str">
        <f>IFERROR(__xludf.DUMMYFUNCTION("iferror(ifna(IFNA(filter('2.1.clean'!E:E,'2.1.clean'!A:A=C217),filter('2.2.clean'!G:G,'2.2.clean'!D:D=C217)),filter('2.4.clean'!E:E,'2.4.clean'!A:A=C217)),)"),"")</f>
        <v/>
      </c>
      <c r="G217" s="20" t="str">
        <f>IFERROR(__xludf.DUMMYFUNCTION("iferror(filter('3.1.clean'!C:C,'3.1.clean'!A:A=C217),"""")"),"")</f>
        <v/>
      </c>
      <c r="H217" s="22"/>
      <c r="I217" s="22"/>
      <c r="J217" s="79"/>
      <c r="K217" s="20" t="str">
        <f>IFERROR(__xludf.DUMMYFUNCTION("iferror(filter('3.2.clean'!C:C,'3.2.clean'!A:A=C217),"""")"),"")</f>
        <v/>
      </c>
      <c r="L217" s="79"/>
      <c r="M217" s="20">
        <f>IFERROR(__xludf.DUMMYFUNCTION("iferror(filter('3.3.clean'!C:C,'3.3.clean'!A:A=C217),"""")"),43669.0)</f>
        <v>43669</v>
      </c>
      <c r="N217" s="79" t="b">
        <f t="shared" ref="N217:N219" si="115">if(M217="",FALSE,TRUE)</f>
        <v>1</v>
      </c>
      <c r="O217" s="20" t="str">
        <f>IFERROR(__xludf.DUMMYFUNCTION("iferror(filter('3.4.clean'!C:C,'3.4.clean'!A:A=C217),"""")"),"")</f>
        <v/>
      </c>
      <c r="P217" s="79" t="b">
        <f t="shared" ref="P217:P233" si="116">if(O217="",FALSE,TRUE)</f>
        <v>0</v>
      </c>
      <c r="Q217" s="80" t="s">
        <v>814</v>
      </c>
      <c r="R217" s="22" t="b">
        <f t="shared" ref="R217:R219" si="117">if(Q217="",FALSE,TRUE)</f>
        <v>1</v>
      </c>
      <c r="S217" s="4" t="str">
        <f>IFERROR(__xludf.DUMMYFUNCTION("iferror(filter('3.5.clean'!H:H,'3.5.clean'!A:A=C217),"""")"),"")</f>
        <v/>
      </c>
      <c r="T217" s="1"/>
      <c r="U217" s="1" t="s">
        <v>829</v>
      </c>
      <c r="V217" s="1" t="s">
        <v>64</v>
      </c>
      <c r="W217" s="23" t="b">
        <f>IF(and(R217=TRUE,N217=TRUE,P217=TRUE),TRUE,FALSE)</f>
        <v>0</v>
      </c>
      <c r="X217" s="23" t="str">
        <f>IFERROR(__xludf.DUMMYFUNCTION("if(COUNTA(FILTER(C:C, C:C = C217))=1,""no"",""yes"")"),"no")</f>
        <v>no</v>
      </c>
    </row>
    <row r="218">
      <c r="A218" s="75" t="s">
        <v>379</v>
      </c>
      <c r="B218" s="19"/>
      <c r="C218" s="19" t="s">
        <v>865</v>
      </c>
      <c r="E218" s="24">
        <v>43656.0</v>
      </c>
      <c r="F218" s="25" t="str">
        <f>IFERROR(__xludf.DUMMYFUNCTION("iferror(ifna(IFNA(filter('2.1.clean'!E:E,'2.1.clean'!A:A=C218),filter('2.2.clean'!G:G,'2.2.clean'!D:D=C218)),filter('2.4.clean'!E:E,'2.4.clean'!A:A=C218)),)"),"")</f>
        <v/>
      </c>
      <c r="G218" s="24"/>
      <c r="J218" s="25"/>
      <c r="K218" s="24"/>
      <c r="L218" s="25"/>
      <c r="M218" s="24" t="str">
        <f>IFERROR(__xludf.DUMMYFUNCTION("iferror(filter('3.3.clean'!C:C,'3.3.clean'!A:A=C218),"""")"),"")</f>
        <v/>
      </c>
      <c r="N218" s="25" t="b">
        <f t="shared" si="115"/>
        <v>0</v>
      </c>
      <c r="O218" s="24">
        <f>IFERROR(__xludf.DUMMYFUNCTION("iferror(filter('3.4.clean'!C:C,'3.4.clean'!A:A=C218),"""")"),43684.0)</f>
        <v>43684</v>
      </c>
      <c r="P218" s="25" t="b">
        <f t="shared" si="116"/>
        <v>1</v>
      </c>
      <c r="Q218" s="24" t="str">
        <f>IFERROR(__xludf.DUMMYFUNCTION("iferror(filter('3.5.clean'!C:C,'3.5.clean'!A:A=C218),"""")"),"")</f>
        <v/>
      </c>
      <c r="R218" s="23" t="b">
        <f t="shared" si="117"/>
        <v>0</v>
      </c>
      <c r="S218" s="25"/>
      <c r="U218" s="1" t="s">
        <v>503</v>
      </c>
      <c r="V218" s="1" t="s">
        <v>64</v>
      </c>
      <c r="X218" s="23" t="str">
        <f>IFERROR(__xludf.DUMMYFUNCTION("if(COUNTA(FILTER(C:C, C:C = C218))=1,""no"",""yes"")"),"no")</f>
        <v>no</v>
      </c>
    </row>
    <row r="219">
      <c r="A219" s="1" t="s">
        <v>383</v>
      </c>
      <c r="B219" s="2">
        <v>1.0</v>
      </c>
      <c r="C219" s="19" t="s">
        <v>867</v>
      </c>
      <c r="E219" s="24">
        <f>IFERROR(__xludf.DUMMYFUNCTION("ifna(IFNA(filter('2.1.clean'!C:C,'2.1.clean'!A:A=C219),filter('2.2.clean'!E:E,'2.2.clean'!D:D=C219)),filter('2.4.clean'!C:C,'2.4.clean'!A:A=C219))"),43657.0)</f>
        <v>43657</v>
      </c>
      <c r="F219" s="25">
        <f>IFERROR(__xludf.DUMMYFUNCTION("iferror(ifna(IFNA(filter('2.1.clean'!E:E,'2.1.clean'!A:A=C219),filter('2.2.clean'!G:G,'2.2.clean'!D:D=C219)),filter('2.4.clean'!E:E,'2.4.clean'!A:A=C219)),)"),2.4)</f>
        <v>2.4</v>
      </c>
      <c r="G219" s="24"/>
      <c r="J219" s="25"/>
      <c r="K219" s="24"/>
      <c r="L219" s="25"/>
      <c r="M219" s="24">
        <f>IFERROR(__xludf.DUMMYFUNCTION("iferror(filter('3.3.clean'!C:C,'3.3.clean'!A:A=C219),"""")"),43663.0)</f>
        <v>43663</v>
      </c>
      <c r="N219" s="25" t="b">
        <f t="shared" si="115"/>
        <v>1</v>
      </c>
      <c r="O219" s="24">
        <f>IFERROR(__xludf.DUMMYFUNCTION("iferror(filter('3.4.clean'!C:C,'3.4.clean'!A:A=C219),"""")"),43684.0)</f>
        <v>43684</v>
      </c>
      <c r="P219" s="25" t="b">
        <f t="shared" si="116"/>
        <v>1</v>
      </c>
      <c r="Q219" s="24">
        <f>IFERROR(__xludf.DUMMYFUNCTION("iferror(filter('3.5.clean'!C:C,'3.5.clean'!A:A=C219),"""")"),43657.0)</f>
        <v>43657</v>
      </c>
      <c r="R219" s="23" t="b">
        <f t="shared" si="117"/>
        <v>1</v>
      </c>
      <c r="S219" s="25"/>
      <c r="U219" s="23"/>
      <c r="V219" s="1" t="s">
        <v>64</v>
      </c>
      <c r="W219" s="23" t="b">
        <f>IF(and(R219=TRUE,N219=TRUE,P219=TRUE),TRUE,FALSE)</f>
        <v>1</v>
      </c>
      <c r="X219" s="23" t="str">
        <f>IFERROR(__xludf.DUMMYFUNCTION("if(COUNTA(FILTER(C:C, C:C = C219))=1,""no"",""yes"")"),"no")</f>
        <v>no</v>
      </c>
    </row>
    <row r="220">
      <c r="A220" s="1" t="s">
        <v>383</v>
      </c>
      <c r="B220" s="2">
        <v>2.0</v>
      </c>
      <c r="C220" s="69" t="s">
        <v>868</v>
      </c>
      <c r="E220" s="24">
        <v>43657.0</v>
      </c>
      <c r="F220" s="25" t="str">
        <f>IFERROR(__xludf.DUMMYFUNCTION("iferror(ifna(IFNA(filter('2.1.clean'!E:E,'2.1.clean'!A:A=C220),filter('2.2.clean'!G:G,'2.2.clean'!D:D=C220)),filter('2.4.clean'!E:E,'2.4.clean'!A:A=C220)),)"),"")</f>
        <v/>
      </c>
      <c r="G220" s="24"/>
      <c r="J220" s="25"/>
      <c r="K220" s="24"/>
      <c r="L220" s="25"/>
      <c r="M220" s="24" t="str">
        <f>IFERROR(__xludf.DUMMYFUNCTION("iferror(filter('3.3.clean'!C:C,'3.3.clean'!A:A=C220),"""")"),"")</f>
        <v/>
      </c>
      <c r="N220" s="25"/>
      <c r="O220" s="24" t="str">
        <f>IFERROR(__xludf.DUMMYFUNCTION("iferror(filter('3.4.clean'!C:C,'3.4.clean'!A:A=C220),"""")"),"")</f>
        <v/>
      </c>
      <c r="P220" s="25" t="b">
        <f t="shared" si="116"/>
        <v>0</v>
      </c>
      <c r="Q220" s="24" t="str">
        <f>IFERROR(__xludf.DUMMYFUNCTION("iferror(filter('3.5.clean'!C:C,'3.5.clean'!A:A=C220),"""")"),"")</f>
        <v/>
      </c>
      <c r="S220" s="25"/>
      <c r="T220" s="18"/>
      <c r="V220" s="1" t="s">
        <v>64</v>
      </c>
      <c r="W220" s="1" t="b">
        <v>1</v>
      </c>
      <c r="X220" s="23" t="str">
        <f>IFERROR(__xludf.DUMMYFUNCTION("if(COUNTA(FILTER(C:C, C:C = C220))=1,""no"",""yes"")"),"no")</f>
        <v>no</v>
      </c>
    </row>
    <row r="221">
      <c r="A221" s="1" t="s">
        <v>383</v>
      </c>
      <c r="B221" s="2">
        <v>3.0</v>
      </c>
      <c r="C221" s="19" t="s">
        <v>869</v>
      </c>
      <c r="E221" s="24">
        <f>IFERROR(__xludf.DUMMYFUNCTION("ifna(IFNA(filter('2.1.clean'!C:C,'2.1.clean'!A:A=C221),filter('2.2.clean'!E:E,'2.2.clean'!D:D=C221)),filter('2.4.clean'!C:C,'2.4.clean'!A:A=C221))"),43657.0)</f>
        <v>43657</v>
      </c>
      <c r="F221" s="25">
        <f>IFERROR(__xludf.DUMMYFUNCTION("iferror(ifna(IFNA(filter('2.1.clean'!E:E,'2.1.clean'!A:A=C221),filter('2.2.clean'!G:G,'2.2.clean'!D:D=C221)),filter('2.4.clean'!E:E,'2.4.clean'!A:A=C221)),)"),2.4)</f>
        <v>2.4</v>
      </c>
      <c r="G221" s="24"/>
      <c r="J221" s="25"/>
      <c r="K221" s="24"/>
      <c r="L221" s="25"/>
      <c r="M221" s="24">
        <f>IFERROR(__xludf.DUMMYFUNCTION("iferror(filter('3.3.clean'!C:C,'3.3.clean'!A:A=C221),"""")"),43663.0)</f>
        <v>43663</v>
      </c>
      <c r="N221" s="25" t="b">
        <f>if(M221="",FALSE,TRUE)</f>
        <v>1</v>
      </c>
      <c r="O221" s="24">
        <f>IFERROR(__xludf.DUMMYFUNCTION("iferror(filter('3.4.clean'!C:C,'3.4.clean'!A:A=C221),"""")"),43684.0)</f>
        <v>43684</v>
      </c>
      <c r="P221" s="25" t="b">
        <f t="shared" si="116"/>
        <v>1</v>
      </c>
      <c r="Q221" s="24">
        <f>IFERROR(__xludf.DUMMYFUNCTION("iferror(filter('3.5.clean'!C:C,'3.5.clean'!A:A=C221),"""")"),43657.0)</f>
        <v>43657</v>
      </c>
      <c r="R221" s="23" t="b">
        <f>if(Q221="",FALSE,TRUE)</f>
        <v>1</v>
      </c>
      <c r="S221" s="25"/>
      <c r="U221" s="23"/>
      <c r="V221" s="1" t="s">
        <v>64</v>
      </c>
      <c r="W221" s="23" t="b">
        <f>IF(and(R221=TRUE,N221=TRUE,P221=TRUE),TRUE,FALSE)</f>
        <v>1</v>
      </c>
      <c r="X221" s="23" t="str">
        <f>IFERROR(__xludf.DUMMYFUNCTION("if(COUNTA(FILTER(C:C, C:C = C221))=1,""no"",""yes"")"),"no")</f>
        <v>no</v>
      </c>
    </row>
    <row r="222">
      <c r="A222" s="1" t="s">
        <v>383</v>
      </c>
      <c r="B222" s="2">
        <v>4.0</v>
      </c>
      <c r="C222" s="69" t="s">
        <v>871</v>
      </c>
      <c r="E222" s="24">
        <v>43657.0</v>
      </c>
      <c r="F222" s="25" t="str">
        <f>IFERROR(__xludf.DUMMYFUNCTION("iferror(ifna(IFNA(filter('2.1.clean'!E:E,'2.1.clean'!A:A=C222),filter('2.2.clean'!G:G,'2.2.clean'!D:D=C222)),filter('2.4.clean'!E:E,'2.4.clean'!A:A=C222)),)"),"")</f>
        <v/>
      </c>
      <c r="G222" s="24"/>
      <c r="J222" s="25"/>
      <c r="K222" s="24"/>
      <c r="L222" s="25"/>
      <c r="M222" s="24" t="str">
        <f>IFERROR(__xludf.DUMMYFUNCTION("iferror(filter('3.3.clean'!C:C,'3.3.clean'!A:A=C222),"""")"),"")</f>
        <v/>
      </c>
      <c r="N222" s="25"/>
      <c r="O222" s="24" t="str">
        <f>IFERROR(__xludf.DUMMYFUNCTION("iferror(filter('3.4.clean'!C:C,'3.4.clean'!A:A=C222),"""")"),"")</f>
        <v/>
      </c>
      <c r="P222" s="25" t="b">
        <f t="shared" si="116"/>
        <v>0</v>
      </c>
      <c r="Q222" s="24" t="str">
        <f>IFERROR(__xludf.DUMMYFUNCTION("iferror(filter('3.5.clean'!C:C,'3.5.clean'!A:A=C222),"""")"),"")</f>
        <v/>
      </c>
      <c r="S222" s="25"/>
      <c r="V222" s="1" t="s">
        <v>64</v>
      </c>
      <c r="W222" s="1" t="b">
        <v>1</v>
      </c>
      <c r="X222" s="23" t="str">
        <f>IFERROR(__xludf.DUMMYFUNCTION("if(COUNTA(FILTER(C:C, C:C = C222))=1,""no"",""yes"")"),"no")</f>
        <v>no</v>
      </c>
    </row>
    <row r="223">
      <c r="A223" s="1" t="s">
        <v>383</v>
      </c>
      <c r="B223" s="2">
        <v>5.0</v>
      </c>
      <c r="C223" s="19" t="s">
        <v>872</v>
      </c>
      <c r="E223" s="24">
        <f>IFERROR(__xludf.DUMMYFUNCTION("ifna(IFNA(filter('2.1.clean'!C:C,'2.1.clean'!A:A=C223),filter('2.2.clean'!E:E,'2.2.clean'!D:D=C223)),filter('2.4.clean'!C:C,'2.4.clean'!A:A=C223))"),43657.0)</f>
        <v>43657</v>
      </c>
      <c r="F223" s="25">
        <f>IFERROR(__xludf.DUMMYFUNCTION("iferror(ifna(IFNA(filter('2.1.clean'!E:E,'2.1.clean'!A:A=C223),filter('2.2.clean'!G:G,'2.2.clean'!D:D=C223)),filter('2.4.clean'!E:E,'2.4.clean'!A:A=C223)),)"),2.4)</f>
        <v>2.4</v>
      </c>
      <c r="G223" s="24"/>
      <c r="J223" s="25"/>
      <c r="K223" s="24"/>
      <c r="L223" s="25"/>
      <c r="M223" s="24">
        <f>IFERROR(__xludf.DUMMYFUNCTION("iferror(filter('3.3.clean'!C:C,'3.3.clean'!A:A=C223),"""")"),43663.0)</f>
        <v>43663</v>
      </c>
      <c r="N223" s="25" t="b">
        <f>if(M223="",FALSE,TRUE)</f>
        <v>1</v>
      </c>
      <c r="O223" s="24">
        <f>IFERROR(__xludf.DUMMYFUNCTION("iferror(filter('3.4.clean'!C:C,'3.4.clean'!A:A=C223),"""")"),43684.0)</f>
        <v>43684</v>
      </c>
      <c r="P223" s="25" t="b">
        <f t="shared" si="116"/>
        <v>1</v>
      </c>
      <c r="Q223" s="24">
        <f>IFERROR(__xludf.DUMMYFUNCTION("iferror(filter('3.5.clean'!C:C,'3.5.clean'!A:A=C223),"""")"),43657.0)</f>
        <v>43657</v>
      </c>
      <c r="R223" s="23" t="b">
        <f>if(Q223="",FALSE,TRUE)</f>
        <v>1</v>
      </c>
      <c r="S223" s="25"/>
      <c r="U223" s="23"/>
      <c r="V223" s="1" t="s">
        <v>64</v>
      </c>
      <c r="W223" s="23" t="b">
        <f>IF(and(R223=TRUE,N223=TRUE,P223=TRUE),TRUE,FALSE)</f>
        <v>1</v>
      </c>
      <c r="X223" s="23" t="str">
        <f>IFERROR(__xludf.DUMMYFUNCTION("if(COUNTA(FILTER(C:C, C:C = C223))=1,""no"",""yes"")"),"no")</f>
        <v>no</v>
      </c>
    </row>
    <row r="224">
      <c r="A224" s="1" t="s">
        <v>383</v>
      </c>
      <c r="B224" s="2">
        <v>6.0</v>
      </c>
      <c r="C224" s="69" t="s">
        <v>873</v>
      </c>
      <c r="E224" s="24">
        <v>43657.0</v>
      </c>
      <c r="F224" s="25" t="str">
        <f>IFERROR(__xludf.DUMMYFUNCTION("iferror(ifna(IFNA(filter('2.1.clean'!E:E,'2.1.clean'!A:A=C224),filter('2.2.clean'!G:G,'2.2.clean'!D:D=C224)),filter('2.4.clean'!E:E,'2.4.clean'!A:A=C224)),)"),"")</f>
        <v/>
      </c>
      <c r="G224" s="24"/>
      <c r="J224" s="25"/>
      <c r="K224" s="24"/>
      <c r="L224" s="25"/>
      <c r="M224" s="24" t="str">
        <f>IFERROR(__xludf.DUMMYFUNCTION("iferror(filter('3.3.clean'!C:C,'3.3.clean'!A:A=C224),"""")"),"")</f>
        <v/>
      </c>
      <c r="N224" s="25"/>
      <c r="O224" s="24" t="str">
        <f>IFERROR(__xludf.DUMMYFUNCTION("iferror(filter('3.4.clean'!C:C,'3.4.clean'!A:A=C224),"""")"),"")</f>
        <v/>
      </c>
      <c r="P224" s="25" t="b">
        <f t="shared" si="116"/>
        <v>0</v>
      </c>
      <c r="Q224" s="24" t="str">
        <f>IFERROR(__xludf.DUMMYFUNCTION("iferror(filter('3.5.clean'!C:C,'3.5.clean'!A:A=C224),"""")"),"")</f>
        <v/>
      </c>
      <c r="S224" s="25"/>
      <c r="V224" s="1" t="s">
        <v>64</v>
      </c>
      <c r="W224" s="1" t="b">
        <v>1</v>
      </c>
      <c r="X224" s="23" t="str">
        <f>IFERROR(__xludf.DUMMYFUNCTION("if(COUNTA(FILTER(C:C, C:C = C224))=1,""no"",""yes"")"),"no")</f>
        <v>no</v>
      </c>
    </row>
    <row r="225">
      <c r="A225" s="1" t="s">
        <v>383</v>
      </c>
      <c r="B225" s="2">
        <v>7.0</v>
      </c>
      <c r="C225" s="19" t="s">
        <v>875</v>
      </c>
      <c r="E225" s="24">
        <f>IFERROR(__xludf.DUMMYFUNCTION("ifna(IFNA(filter('2.1.clean'!C:C,'2.1.clean'!A:A=C225),filter('2.2.clean'!E:E,'2.2.clean'!D:D=C225)),filter('2.4.clean'!C:C,'2.4.clean'!A:A=C225))"),43657.0)</f>
        <v>43657</v>
      </c>
      <c r="F225" s="25">
        <f>IFERROR(__xludf.DUMMYFUNCTION("iferror(ifna(IFNA(filter('2.1.clean'!E:E,'2.1.clean'!A:A=C225),filter('2.2.clean'!G:G,'2.2.clean'!D:D=C225)),filter('2.4.clean'!E:E,'2.4.clean'!A:A=C225)),)"),2.4)</f>
        <v>2.4</v>
      </c>
      <c r="G225" s="24"/>
      <c r="J225" s="25"/>
      <c r="K225" s="24"/>
      <c r="L225" s="25"/>
      <c r="M225" s="24">
        <f>IFERROR(__xludf.DUMMYFUNCTION("iferror(filter('3.3.clean'!C:C,'3.3.clean'!A:A=C225),"""")"),43663.0)</f>
        <v>43663</v>
      </c>
      <c r="N225" s="25" t="b">
        <f>if(M225="",FALSE,TRUE)</f>
        <v>1</v>
      </c>
      <c r="O225" s="24">
        <f>IFERROR(__xludf.DUMMYFUNCTION("iferror(filter('3.4.clean'!C:C,'3.4.clean'!A:A=C225),"""")"),43684.0)</f>
        <v>43684</v>
      </c>
      <c r="P225" s="25" t="b">
        <f t="shared" si="116"/>
        <v>1</v>
      </c>
      <c r="Q225" s="24">
        <f>IFERROR(__xludf.DUMMYFUNCTION("iferror(filter('3.5.clean'!C:C,'3.5.clean'!A:A=C225),"""")"),43657.0)</f>
        <v>43657</v>
      </c>
      <c r="R225" s="23" t="b">
        <f>if(Q225="",FALSE,TRUE)</f>
        <v>1</v>
      </c>
      <c r="S225" s="25"/>
      <c r="U225" s="23"/>
      <c r="V225" s="1" t="s">
        <v>64</v>
      </c>
      <c r="W225" s="23" t="b">
        <f>IF(and(R225=TRUE,N225=TRUE,P225=TRUE),TRUE,FALSE)</f>
        <v>1</v>
      </c>
      <c r="X225" s="23" t="str">
        <f>IFERROR(__xludf.DUMMYFUNCTION("if(COUNTA(FILTER(C:C, C:C = C225))=1,""no"",""yes"")"),"no")</f>
        <v>no</v>
      </c>
    </row>
    <row r="226">
      <c r="A226" s="1" t="s">
        <v>383</v>
      </c>
      <c r="B226" s="2">
        <v>8.0</v>
      </c>
      <c r="C226" s="69" t="s">
        <v>876</v>
      </c>
      <c r="E226" s="24">
        <v>43657.0</v>
      </c>
      <c r="F226" s="25" t="str">
        <f>IFERROR(__xludf.DUMMYFUNCTION("iferror(ifna(IFNA(filter('2.1.clean'!E:E,'2.1.clean'!A:A=C226),filter('2.2.clean'!G:G,'2.2.clean'!D:D=C226)),filter('2.4.clean'!E:E,'2.4.clean'!A:A=C226)),)"),"")</f>
        <v/>
      </c>
      <c r="G226" s="24"/>
      <c r="J226" s="25"/>
      <c r="K226" s="24"/>
      <c r="L226" s="25"/>
      <c r="M226" s="24" t="str">
        <f>IFERROR(__xludf.DUMMYFUNCTION("iferror(filter('3.3.clean'!C:C,'3.3.clean'!A:A=C226),"""")"),"")</f>
        <v/>
      </c>
      <c r="N226" s="25"/>
      <c r="O226" s="24" t="str">
        <f>IFERROR(__xludf.DUMMYFUNCTION("iferror(filter('3.4.clean'!C:C,'3.4.clean'!A:A=C226),"""")"),"")</f>
        <v/>
      </c>
      <c r="P226" s="25" t="b">
        <f t="shared" si="116"/>
        <v>0</v>
      </c>
      <c r="Q226" s="24"/>
      <c r="S226" s="25"/>
      <c r="V226" s="1" t="s">
        <v>64</v>
      </c>
      <c r="W226" s="1" t="b">
        <v>1</v>
      </c>
      <c r="X226" s="23" t="str">
        <f>IFERROR(__xludf.DUMMYFUNCTION("if(COUNTA(FILTER(C:C, C:C = C226))=1,""no"",""yes"")"),"no")</f>
        <v>no</v>
      </c>
    </row>
    <row r="227">
      <c r="A227" s="1" t="s">
        <v>383</v>
      </c>
      <c r="B227" s="19">
        <v>9.0</v>
      </c>
      <c r="C227" s="19" t="s">
        <v>877</v>
      </c>
      <c r="D227" s="22" t="str">
        <f>if(or(I227=1,J227=1,S227=1),"pos","")</f>
        <v/>
      </c>
      <c r="E227" s="20">
        <v>43657.0</v>
      </c>
      <c r="F227" s="25" t="str">
        <f>IFERROR(__xludf.DUMMYFUNCTION("iferror(ifna(IFNA(filter('2.1.clean'!E:E,'2.1.clean'!A:A=C227),filter('2.2.clean'!G:G,'2.2.clean'!D:D=C227)),filter('2.4.clean'!E:E,'2.4.clean'!A:A=C227)),)"),"")</f>
        <v/>
      </c>
      <c r="G227" s="20" t="str">
        <f>IFERROR(__xludf.DUMMYFUNCTION("iferror(filter('3.1.clean'!C:C,'3.1.clean'!A:A=C227),"""")"),"")</f>
        <v/>
      </c>
      <c r="H227" s="22"/>
      <c r="I227" s="22"/>
      <c r="J227" s="79"/>
      <c r="K227" s="20" t="str">
        <f>IFERROR(__xludf.DUMMYFUNCTION("iferror(filter('3.2.clean'!C:C,'3.2.clean'!A:A=C227),"""")"),"")</f>
        <v/>
      </c>
      <c r="L227" s="79"/>
      <c r="M227" s="20">
        <f>IFERROR(__xludf.DUMMYFUNCTION("iferror(filter('3.3.clean'!C:C,'3.3.clean'!A:A=C227),"""")"),43669.0)</f>
        <v>43669</v>
      </c>
      <c r="N227" s="79" t="b">
        <f>if(M227="",FALSE,TRUE)</f>
        <v>1</v>
      </c>
      <c r="O227" s="20" t="str">
        <f>IFERROR(__xludf.DUMMYFUNCTION("iferror(filter('3.4.clean'!C:C,'3.4.clean'!A:A=C227),"""")"),"")</f>
        <v/>
      </c>
      <c r="P227" s="79" t="b">
        <f t="shared" si="116"/>
        <v>0</v>
      </c>
      <c r="Q227" s="80" t="s">
        <v>814</v>
      </c>
      <c r="R227" s="22" t="b">
        <f>if(Q227="",FALSE,TRUE)</f>
        <v>1</v>
      </c>
      <c r="S227" s="4" t="str">
        <f>IFERROR(__xludf.DUMMYFUNCTION("iferror(filter('3.5.clean'!H:H,'3.5.clean'!A:A=C227),"""")"),"")</f>
        <v/>
      </c>
      <c r="T227" s="1"/>
      <c r="U227" s="1" t="s">
        <v>829</v>
      </c>
      <c r="V227" s="1" t="s">
        <v>64</v>
      </c>
      <c r="W227" s="23" t="b">
        <f>IF(and(R227=TRUE,N227=TRUE,P227=TRUE),TRUE,FALSE)</f>
        <v>0</v>
      </c>
      <c r="X227" s="23" t="str">
        <f>IFERROR(__xludf.DUMMYFUNCTION("if(COUNTA(FILTER(C:C, C:C = C227))=1,""no"",""yes"")"),"no")</f>
        <v>no</v>
      </c>
    </row>
    <row r="228">
      <c r="A228" s="1" t="s">
        <v>383</v>
      </c>
      <c r="B228" s="19"/>
      <c r="C228" s="19" t="s">
        <v>879</v>
      </c>
      <c r="E228" s="24">
        <v>43657.0</v>
      </c>
      <c r="F228" s="25" t="str">
        <f>IFERROR(__xludf.DUMMYFUNCTION("iferror(ifna(IFNA(filter('2.1.clean'!E:E,'2.1.clean'!A:A=C228),filter('2.2.clean'!G:G,'2.2.clean'!D:D=C228)),filter('2.4.clean'!E:E,'2.4.clean'!A:A=C228)),)"),"")</f>
        <v/>
      </c>
      <c r="G228" s="24"/>
      <c r="J228" s="25"/>
      <c r="K228" s="24"/>
      <c r="L228" s="25"/>
      <c r="M228" s="24" t="str">
        <f>IFERROR(__xludf.DUMMYFUNCTION("iferror(filter('3.3.clean'!C:C,'3.3.clean'!A:A=C228),"""")"),"")</f>
        <v/>
      </c>
      <c r="N228" s="25"/>
      <c r="O228" s="24">
        <f>IFERROR(__xludf.DUMMYFUNCTION("iferror(filter('3.4.clean'!C:C,'3.4.clean'!A:A=C228),"""")"),43684.0)</f>
        <v>43684</v>
      </c>
      <c r="P228" s="25" t="b">
        <f t="shared" si="116"/>
        <v>1</v>
      </c>
      <c r="Q228" s="24" t="str">
        <f>IFERROR(__xludf.DUMMYFUNCTION("iferror(filter('3.5.clean'!C:C,'3.5.clean'!A:A=C228),"""")"),"")</f>
        <v/>
      </c>
      <c r="S228" s="25"/>
      <c r="V228" s="1" t="s">
        <v>64</v>
      </c>
      <c r="W228" s="1" t="b">
        <v>1</v>
      </c>
      <c r="X228" s="23" t="str">
        <f>IFERROR(__xludf.DUMMYFUNCTION("if(COUNTA(FILTER(C:C, C:C = C228))=1,""no"",""yes"")"),"no")</f>
        <v>no</v>
      </c>
    </row>
    <row r="229">
      <c r="A229" s="1" t="s">
        <v>383</v>
      </c>
      <c r="B229" s="19"/>
      <c r="C229" s="19" t="s">
        <v>880</v>
      </c>
      <c r="E229" s="24">
        <v>43657.0</v>
      </c>
      <c r="F229" s="25" t="str">
        <f>IFERROR(__xludf.DUMMYFUNCTION("iferror(ifna(IFNA(filter('2.1.clean'!E:E,'2.1.clean'!A:A=C229),filter('2.2.clean'!G:G,'2.2.clean'!D:D=C229)),filter('2.4.clean'!E:E,'2.4.clean'!A:A=C229)),)"),"")</f>
        <v/>
      </c>
      <c r="G229" s="24"/>
      <c r="J229" s="25"/>
      <c r="K229" s="24"/>
      <c r="L229" s="25"/>
      <c r="M229" s="24" t="str">
        <f>IFERROR(__xludf.DUMMYFUNCTION("iferror(filter('3.3.clean'!C:C,'3.3.clean'!A:A=C229),"""")"),"")</f>
        <v/>
      </c>
      <c r="N229" s="25"/>
      <c r="O229" s="24">
        <f>IFERROR(__xludf.DUMMYFUNCTION("iferror(filter('3.4.clean'!C:C,'3.4.clean'!A:A=C229),"""")"),43684.0)</f>
        <v>43684</v>
      </c>
      <c r="P229" s="25" t="b">
        <f t="shared" si="116"/>
        <v>1</v>
      </c>
      <c r="Q229" s="24" t="str">
        <f>IFERROR(__xludf.DUMMYFUNCTION("iferror(filter('3.5.clean'!C:C,'3.5.clean'!A:A=C229),"""")"),"")</f>
        <v/>
      </c>
      <c r="S229" s="25"/>
      <c r="V229" s="1" t="s">
        <v>64</v>
      </c>
      <c r="W229" s="1" t="b">
        <v>1</v>
      </c>
      <c r="X229" s="23" t="str">
        <f>IFERROR(__xludf.DUMMYFUNCTION("if(COUNTA(FILTER(C:C, C:C = C229))=1,""no"",""yes"")"),"no")</f>
        <v>no</v>
      </c>
    </row>
    <row r="230">
      <c r="A230" s="1" t="s">
        <v>383</v>
      </c>
      <c r="B230" s="19"/>
      <c r="C230" s="19" t="s">
        <v>881</v>
      </c>
      <c r="E230" s="24">
        <v>43657.0</v>
      </c>
      <c r="F230" s="25" t="str">
        <f>IFERROR(__xludf.DUMMYFUNCTION("iferror(ifna(IFNA(filter('2.1.clean'!E:E,'2.1.clean'!A:A=C230),filter('2.2.clean'!G:G,'2.2.clean'!D:D=C230)),filter('2.4.clean'!E:E,'2.4.clean'!A:A=C230)),)"),"")</f>
        <v/>
      </c>
      <c r="G230" s="24"/>
      <c r="J230" s="25"/>
      <c r="K230" s="24"/>
      <c r="L230" s="25"/>
      <c r="M230" s="24" t="str">
        <f>IFERROR(__xludf.DUMMYFUNCTION("iferror(filter('3.3.clean'!C:C,'3.3.clean'!A:A=C230),"""")"),"")</f>
        <v/>
      </c>
      <c r="N230" s="25"/>
      <c r="O230" s="24">
        <f>IFERROR(__xludf.DUMMYFUNCTION("iferror(filter('3.4.clean'!C:C,'3.4.clean'!A:A=C230),"""")"),43684.0)</f>
        <v>43684</v>
      </c>
      <c r="P230" s="25" t="b">
        <f t="shared" si="116"/>
        <v>1</v>
      </c>
      <c r="Q230" s="24" t="str">
        <f>IFERROR(__xludf.DUMMYFUNCTION("iferror(filter('3.5.clean'!C:C,'3.5.clean'!A:A=C230),"""")"),"")</f>
        <v/>
      </c>
      <c r="S230" s="25"/>
      <c r="V230" s="1" t="s">
        <v>64</v>
      </c>
      <c r="W230" s="1" t="b">
        <v>1</v>
      </c>
      <c r="X230" s="23" t="str">
        <f>IFERROR(__xludf.DUMMYFUNCTION("if(COUNTA(FILTER(C:C, C:C = C230))=1,""no"",""yes"")"),"no")</f>
        <v>no</v>
      </c>
    </row>
    <row r="231">
      <c r="A231" s="1" t="s">
        <v>383</v>
      </c>
      <c r="B231" s="19"/>
      <c r="C231" s="19" t="s">
        <v>882</v>
      </c>
      <c r="E231" s="24">
        <v>43657.0</v>
      </c>
      <c r="F231" s="25" t="str">
        <f>IFERROR(__xludf.DUMMYFUNCTION("iferror(ifna(IFNA(filter('2.1.clean'!E:E,'2.1.clean'!A:A=C231),filter('2.2.clean'!G:G,'2.2.clean'!D:D=C231)),filter('2.4.clean'!E:E,'2.4.clean'!A:A=C231)),)"),"")</f>
        <v/>
      </c>
      <c r="G231" s="24"/>
      <c r="J231" s="25"/>
      <c r="K231" s="24"/>
      <c r="L231" s="25"/>
      <c r="M231" s="24" t="str">
        <f>IFERROR(__xludf.DUMMYFUNCTION("iferror(filter('3.3.clean'!C:C,'3.3.clean'!A:A=C231),"""")"),"")</f>
        <v/>
      </c>
      <c r="N231" s="25"/>
      <c r="O231" s="24">
        <f>IFERROR(__xludf.DUMMYFUNCTION("iferror(filter('3.4.clean'!C:C,'3.4.clean'!A:A=C231),"""")"),43684.0)</f>
        <v>43684</v>
      </c>
      <c r="P231" s="25" t="b">
        <f t="shared" si="116"/>
        <v>1</v>
      </c>
      <c r="Q231" s="24" t="str">
        <f>IFERROR(__xludf.DUMMYFUNCTION("iferror(filter('3.5.clean'!C:C,'3.5.clean'!A:A=C231),"""")"),"")</f>
        <v/>
      </c>
      <c r="S231" s="25"/>
      <c r="V231" s="1" t="s">
        <v>64</v>
      </c>
      <c r="W231" s="1" t="b">
        <v>1</v>
      </c>
      <c r="X231" s="23" t="str">
        <f>IFERROR(__xludf.DUMMYFUNCTION("if(COUNTA(FILTER(C:C, C:C = C231))=1,""no"",""yes"")"),"no")</f>
        <v>no</v>
      </c>
    </row>
    <row r="232">
      <c r="A232" s="75" t="s">
        <v>386</v>
      </c>
      <c r="B232" s="2">
        <v>1.0</v>
      </c>
      <c r="C232" s="19" t="s">
        <v>884</v>
      </c>
      <c r="E232" s="24">
        <f>IFERROR(__xludf.DUMMYFUNCTION("ifna(IFNA(filter('2.1.clean'!C:C,'2.1.clean'!A:A=C232),filter('2.2.clean'!E:E,'2.2.clean'!D:D=C232)),filter('2.4.clean'!C:C,'2.4.clean'!A:A=C232))"),43661.0)</f>
        <v>43661</v>
      </c>
      <c r="F232" s="25">
        <f>IFERROR(__xludf.DUMMYFUNCTION("iferror(ifna(IFNA(filter('2.1.clean'!E:E,'2.1.clean'!A:A=C232),filter('2.2.clean'!G:G,'2.2.clean'!D:D=C232)),filter('2.4.clean'!E:E,'2.4.clean'!A:A=C232)),)"),2.4)</f>
        <v>2.4</v>
      </c>
      <c r="G232" s="24">
        <f>IFERROR(__xludf.DUMMYFUNCTION("iferror(filter('3.1.clean'!C:C,'3.1.clean'!A:A=C232),"""")"),43661.0)</f>
        <v>43661</v>
      </c>
      <c r="H232" s="23" t="b">
        <f t="shared" ref="H232:H234" si="118">if(G232="",FALSE,TRUE)</f>
        <v>1</v>
      </c>
      <c r="J232" s="25"/>
      <c r="K232" s="24" t="str">
        <f>IFERROR(__xludf.DUMMYFUNCTION("iferror(filter('3.2.clean'!C:C,'3.2.clean'!A:A=C232),"""")"),"")</f>
        <v/>
      </c>
      <c r="L232" s="25" t="b">
        <f t="shared" ref="L232:L233" si="119">if(K232="",FALSE,TRUE)</f>
        <v>0</v>
      </c>
      <c r="M232" s="24">
        <f>IFERROR(__xludf.DUMMYFUNCTION("iferror(filter('3.3.clean'!C:C,'3.3.clean'!A:A=C232),"""")"),43668.0)</f>
        <v>43668</v>
      </c>
      <c r="N232" s="25" t="b">
        <f t="shared" ref="N232:N233" si="120">if(M232="",FALSE,TRUE)</f>
        <v>1</v>
      </c>
      <c r="O232" s="24">
        <f>IFERROR(__xludf.DUMMYFUNCTION("iferror(filter('3.4.clean'!C:C,'3.4.clean'!A:A=C232),"""")"),43684.0)</f>
        <v>43684</v>
      </c>
      <c r="P232" s="25" t="b">
        <f t="shared" si="116"/>
        <v>1</v>
      </c>
      <c r="Q232" s="24">
        <f>IFERROR(__xludf.DUMMYFUNCTION("iferror(filter('3.5.clean'!C:C,'3.5.clean'!A:A=C232),"""")"),43661.0)</f>
        <v>43661</v>
      </c>
      <c r="R232" s="23" t="b">
        <f>if(Q232="",FALSE,TRUE)</f>
        <v>1</v>
      </c>
      <c r="S232" s="25"/>
      <c r="U232" s="23"/>
      <c r="V232" s="1" t="s">
        <v>64</v>
      </c>
      <c r="X232" s="23" t="str">
        <f>IFERROR(__xludf.DUMMYFUNCTION("if(COUNTA(FILTER(C:C, C:C = C232))=1,""no"",""yes"")"),"no")</f>
        <v>no</v>
      </c>
    </row>
    <row r="233">
      <c r="A233" s="75" t="s">
        <v>386</v>
      </c>
      <c r="B233" s="2">
        <v>2.0</v>
      </c>
      <c r="C233" s="69" t="s">
        <v>885</v>
      </c>
      <c r="E233" s="24">
        <v>43661.0</v>
      </c>
      <c r="F233" s="25" t="str">
        <f>IFERROR(__xludf.DUMMYFUNCTION("iferror(ifna(IFNA(filter('2.1.clean'!E:E,'2.1.clean'!A:A=C233),filter('2.2.clean'!G:G,'2.2.clean'!D:D=C233)),filter('2.4.clean'!E:E,'2.4.clean'!A:A=C233)),)"),"")</f>
        <v/>
      </c>
      <c r="G233" s="24" t="str">
        <f>IFERROR(__xludf.DUMMYFUNCTION("iferror(filter('3.1.clean'!C:C,'3.1.clean'!A:A=C233),"""")"),"")</f>
        <v/>
      </c>
      <c r="H233" s="23" t="b">
        <f t="shared" si="118"/>
        <v>0</v>
      </c>
      <c r="J233" s="25"/>
      <c r="K233" s="24" t="str">
        <f>IFERROR(__xludf.DUMMYFUNCTION("iferror(filter('3.2.clean'!C:C,'3.2.clean'!A:A=C233),"""")"),"")</f>
        <v/>
      </c>
      <c r="L233" s="25" t="b">
        <f t="shared" si="119"/>
        <v>0</v>
      </c>
      <c r="M233" s="1" t="s">
        <v>814</v>
      </c>
      <c r="N233" s="25" t="b">
        <f t="shared" si="120"/>
        <v>1</v>
      </c>
      <c r="O233" s="24">
        <f>IFERROR(__xludf.DUMMYFUNCTION("iferror(filter('3.4.clean'!C:C,'3.4.clean'!A:A=C233),"""")"),43684.0)</f>
        <v>43684</v>
      </c>
      <c r="P233" s="25" t="b">
        <f t="shared" si="116"/>
        <v>1</v>
      </c>
      <c r="Q233" s="24" t="str">
        <f>IFERROR(__xludf.DUMMYFUNCTION("iferror(filter('3.5.clean'!C:C,'3.5.clean'!A:A=C233),"""")"),"")</f>
        <v/>
      </c>
      <c r="S233" s="25"/>
      <c r="U233" s="1" t="s">
        <v>503</v>
      </c>
      <c r="V233" s="1" t="s">
        <v>64</v>
      </c>
      <c r="X233" s="23" t="str">
        <f>IFERROR(__xludf.DUMMYFUNCTION("if(COUNTA(FILTER(C:C, C:C = C233))=1,""no"",""yes"")"),"no")</f>
        <v>no</v>
      </c>
    </row>
    <row r="234">
      <c r="A234" s="75" t="s">
        <v>386</v>
      </c>
      <c r="B234" s="19">
        <v>3.0</v>
      </c>
      <c r="C234" s="19" t="s">
        <v>886</v>
      </c>
      <c r="D234" s="76" t="str">
        <f t="shared" ref="D234:D235" si="121">if(or(I234=1,J234=1,S234=1),"pos","")</f>
        <v/>
      </c>
      <c r="E234" s="77">
        <f>G234</f>
        <v>43661</v>
      </c>
      <c r="F234" s="78" t="str">
        <f>IFERROR(__xludf.DUMMYFUNCTION("iferror(ifna(IFNA(filter('2.1.clean'!E:E,'2.1.clean'!A:A=C234),filter('2.2.clean'!G:G,'2.2.clean'!D:D=C234)),filter('2.4.clean'!E:E,'2.4.clean'!A:A=C234)),)"),"")</f>
        <v/>
      </c>
      <c r="G234" s="77">
        <f>IFERROR(__xludf.DUMMYFUNCTION("iferror(filter('3.1.clean'!C:C,'3.1.clean'!A:A=C234),"""")"),43661.0)</f>
        <v>43661</v>
      </c>
      <c r="H234" s="76" t="b">
        <f t="shared" si="118"/>
        <v>1</v>
      </c>
      <c r="I234" s="76">
        <f>IFERROR(__xludf.DUMMYFUNCTION("iferror(filter('3.1.clean'!G:G,'3.1.clean'!A:A=C234),"""")"),0.0)</f>
        <v>0</v>
      </c>
      <c r="J234" s="78" t="str">
        <f>IFERROR(__xludf.DUMMYFUNCTION("iferror(filter('3.1.clean'!I:I,'3.1.clean'!A:A=C234),"""")"),"")</f>
        <v/>
      </c>
      <c r="K234" s="77"/>
      <c r="L234" s="78"/>
      <c r="M234" s="77"/>
      <c r="N234" s="78"/>
      <c r="O234" s="77"/>
      <c r="P234" s="78"/>
      <c r="Q234" s="77"/>
      <c r="R234" s="76"/>
      <c r="S234" s="25"/>
      <c r="T234" s="1"/>
      <c r="V234" s="1" t="s">
        <v>64</v>
      </c>
      <c r="W234" s="1" t="b">
        <v>1</v>
      </c>
      <c r="X234" s="23" t="str">
        <f>IFERROR(__xludf.DUMMYFUNCTION("if(COUNTA(FILTER(C:C, C:C = C234))=1,""no"",""yes"")"),"no")</f>
        <v>no</v>
      </c>
    </row>
    <row r="235">
      <c r="A235" s="75" t="s">
        <v>386</v>
      </c>
      <c r="B235" s="19">
        <v>4.0</v>
      </c>
      <c r="C235" s="19" t="s">
        <v>888</v>
      </c>
      <c r="D235" s="22" t="str">
        <f t="shared" si="121"/>
        <v/>
      </c>
      <c r="E235" s="20">
        <v>43661.0</v>
      </c>
      <c r="F235" s="25" t="str">
        <f>IFERROR(__xludf.DUMMYFUNCTION("iferror(ifna(IFNA(filter('2.1.clean'!E:E,'2.1.clean'!A:A=C235),filter('2.2.clean'!G:G,'2.2.clean'!D:D=C235)),filter('2.4.clean'!E:E,'2.4.clean'!A:A=C235)),)"),"")</f>
        <v/>
      </c>
      <c r="G235" s="20" t="str">
        <f>IFERROR(__xludf.DUMMYFUNCTION("iferror(filter('3.1.clean'!C:C,'3.1.clean'!A:A=C235),"""")"),"")</f>
        <v/>
      </c>
      <c r="H235" s="22"/>
      <c r="I235" s="22"/>
      <c r="J235" s="79"/>
      <c r="K235" s="20" t="str">
        <f>IFERROR(__xludf.DUMMYFUNCTION("iferror(filter('3.2.clean'!C:C,'3.2.clean'!A:A=C235),"""")"),"")</f>
        <v/>
      </c>
      <c r="L235" s="79"/>
      <c r="M235" s="20">
        <f>IFERROR(__xludf.DUMMYFUNCTION("iferror(filter('3.3.clean'!C:C,'3.3.clean'!A:A=C235),"""")"),43669.0)</f>
        <v>43669</v>
      </c>
      <c r="N235" s="79" t="b">
        <f t="shared" ref="N235:N236" si="122">if(M235="",FALSE,TRUE)</f>
        <v>1</v>
      </c>
      <c r="O235" s="20" t="str">
        <f>IFERROR(__xludf.DUMMYFUNCTION("iferror(filter('3.4.clean'!C:C,'3.4.clean'!A:A=C235),"""")"),"")</f>
        <v/>
      </c>
      <c r="P235" s="79" t="b">
        <f t="shared" ref="P235:P252" si="123">if(O235="",FALSE,TRUE)</f>
        <v>0</v>
      </c>
      <c r="Q235" s="80" t="s">
        <v>814</v>
      </c>
      <c r="R235" s="22" t="b">
        <f t="shared" ref="R235:R236" si="124">if(Q235="",FALSE,TRUE)</f>
        <v>1</v>
      </c>
      <c r="S235" s="4" t="str">
        <f>IFERROR(__xludf.DUMMYFUNCTION("iferror(filter('3.5.clean'!H:H,'3.5.clean'!A:A=C235),"""")"),"")</f>
        <v/>
      </c>
      <c r="U235" s="1" t="s">
        <v>829</v>
      </c>
      <c r="V235" s="1" t="s">
        <v>64</v>
      </c>
      <c r="W235" s="23" t="b">
        <f t="shared" ref="W235:W236" si="125">IF(and(R235=TRUE,N235=TRUE,P235=TRUE),TRUE,FALSE)</f>
        <v>0</v>
      </c>
      <c r="X235" s="23" t="str">
        <f>IFERROR(__xludf.DUMMYFUNCTION("if(COUNTA(FILTER(C:C, C:C = C235))=1,""no"",""yes"")"),"no")</f>
        <v>no</v>
      </c>
    </row>
    <row r="236">
      <c r="A236" s="1" t="s">
        <v>390</v>
      </c>
      <c r="B236" s="2">
        <v>1.0</v>
      </c>
      <c r="C236" s="19" t="s">
        <v>889</v>
      </c>
      <c r="E236" s="24">
        <f>IFERROR(__xludf.DUMMYFUNCTION("ifna(IFNA(filter('2.1.clean'!C:C,'2.1.clean'!A:A=C236),filter('2.2.clean'!E:E,'2.2.clean'!D:D=C236)),filter('2.4.clean'!C:C,'2.4.clean'!A:A=C236))"),43662.0)</f>
        <v>43662</v>
      </c>
      <c r="F236" s="25">
        <f>IFERROR(__xludf.DUMMYFUNCTION("iferror(ifna(IFNA(filter('2.1.clean'!E:E,'2.1.clean'!A:A=C236),filter('2.2.clean'!G:G,'2.2.clean'!D:D=C236)),filter('2.4.clean'!E:E,'2.4.clean'!A:A=C236)),)"),2.4)</f>
        <v>2.4</v>
      </c>
      <c r="G236" s="24"/>
      <c r="J236" s="25"/>
      <c r="K236" s="24"/>
      <c r="L236" s="25"/>
      <c r="M236" s="24">
        <f>IFERROR(__xludf.DUMMYFUNCTION("iferror(filter('3.3.clean'!C:C,'3.3.clean'!A:A=C236),"""")"),43668.0)</f>
        <v>43668</v>
      </c>
      <c r="N236" s="25" t="b">
        <f t="shared" si="122"/>
        <v>1</v>
      </c>
      <c r="O236" s="24">
        <f>IFERROR(__xludf.DUMMYFUNCTION("iferror(filter('3.4.clean'!C:C,'3.4.clean'!A:A=C236),"""")"),43684.0)</f>
        <v>43684</v>
      </c>
      <c r="P236" s="25" t="b">
        <f t="shared" si="123"/>
        <v>1</v>
      </c>
      <c r="Q236" s="24">
        <f>IFERROR(__xludf.DUMMYFUNCTION("iferror(filter('3.5.clean'!C:C,'3.5.clean'!A:A=C236),"""")"),43662.0)</f>
        <v>43662</v>
      </c>
      <c r="R236" s="23" t="b">
        <f t="shared" si="124"/>
        <v>1</v>
      </c>
      <c r="S236" s="25"/>
      <c r="U236" s="23"/>
      <c r="V236" s="1" t="s">
        <v>64</v>
      </c>
      <c r="W236" s="23" t="b">
        <f t="shared" si="125"/>
        <v>1</v>
      </c>
      <c r="X236" s="23" t="str">
        <f>IFERROR(__xludf.DUMMYFUNCTION("if(COUNTA(FILTER(C:C, C:C = C236))=1,""no"",""yes"")"),"no")</f>
        <v>no</v>
      </c>
    </row>
    <row r="237">
      <c r="A237" s="1" t="s">
        <v>390</v>
      </c>
      <c r="B237" s="2">
        <v>2.0</v>
      </c>
      <c r="C237" s="69" t="s">
        <v>890</v>
      </c>
      <c r="E237" s="24">
        <v>43662.0</v>
      </c>
      <c r="F237" s="25" t="str">
        <f>IFERROR(__xludf.DUMMYFUNCTION("iferror(ifna(IFNA(filter('2.1.clean'!E:E,'2.1.clean'!A:A=C237),filter('2.2.clean'!G:G,'2.2.clean'!D:D=C237)),filter('2.4.clean'!E:E,'2.4.clean'!A:A=C237)),)"),"")</f>
        <v/>
      </c>
      <c r="G237" s="24"/>
      <c r="J237" s="25"/>
      <c r="K237" s="24"/>
      <c r="L237" s="25"/>
      <c r="M237" s="24" t="str">
        <f>IFERROR(__xludf.DUMMYFUNCTION("iferror(filter('3.3.clean'!C:C,'3.3.clean'!A:A=C237),"""")"),"")</f>
        <v/>
      </c>
      <c r="N237" s="25"/>
      <c r="O237" s="24" t="str">
        <f>IFERROR(__xludf.DUMMYFUNCTION("iferror(filter('3.4.clean'!C:C,'3.4.clean'!A:A=C237),"""")"),"")</f>
        <v/>
      </c>
      <c r="P237" s="25" t="b">
        <f t="shared" si="123"/>
        <v>0</v>
      </c>
      <c r="Q237" s="24" t="str">
        <f>IFERROR(__xludf.DUMMYFUNCTION("iferror(filter('3.5.clean'!C:C,'3.5.clean'!A:A=C237),"""")"),"")</f>
        <v/>
      </c>
      <c r="S237" s="25"/>
      <c r="V237" s="1" t="s">
        <v>64</v>
      </c>
      <c r="W237" s="1" t="b">
        <v>1</v>
      </c>
      <c r="X237" s="23" t="str">
        <f>IFERROR(__xludf.DUMMYFUNCTION("if(COUNTA(FILTER(C:C, C:C = C237))=1,""no"",""yes"")"),"no")</f>
        <v>no</v>
      </c>
    </row>
    <row r="238">
      <c r="A238" s="1" t="s">
        <v>390</v>
      </c>
      <c r="B238" s="2">
        <v>3.0</v>
      </c>
      <c r="C238" s="19" t="s">
        <v>892</v>
      </c>
      <c r="E238" s="24">
        <f>IFERROR(__xludf.DUMMYFUNCTION("ifna(IFNA(filter('2.1.clean'!C:C,'2.1.clean'!A:A=C238),filter('2.2.clean'!E:E,'2.2.clean'!D:D=C238)),filter('2.4.clean'!C:C,'2.4.clean'!A:A=C238))"),43662.0)</f>
        <v>43662</v>
      </c>
      <c r="F238" s="25">
        <f>IFERROR(__xludf.DUMMYFUNCTION("iferror(ifna(IFNA(filter('2.1.clean'!E:E,'2.1.clean'!A:A=C238),filter('2.2.clean'!G:G,'2.2.clean'!D:D=C238)),filter('2.4.clean'!E:E,'2.4.clean'!A:A=C238)),)"),2.4)</f>
        <v>2.4</v>
      </c>
      <c r="G238" s="24"/>
      <c r="J238" s="25"/>
      <c r="K238" s="24"/>
      <c r="L238" s="25"/>
      <c r="M238" s="24">
        <f>IFERROR(__xludf.DUMMYFUNCTION("iferror(filter('3.3.clean'!C:C,'3.3.clean'!A:A=C238),"""")"),43668.0)</f>
        <v>43668</v>
      </c>
      <c r="N238" s="25" t="b">
        <f>if(M238="",FALSE,TRUE)</f>
        <v>1</v>
      </c>
      <c r="O238" s="24">
        <f>IFERROR(__xludf.DUMMYFUNCTION("iferror(filter('3.4.clean'!C:C,'3.4.clean'!A:A=C238),"""")"),43684.0)</f>
        <v>43684</v>
      </c>
      <c r="P238" s="25" t="b">
        <f t="shared" si="123"/>
        <v>1</v>
      </c>
      <c r="Q238" s="24">
        <f>IFERROR(__xludf.DUMMYFUNCTION("iferror(filter('3.5.clean'!C:C,'3.5.clean'!A:A=C238),"""")"),43662.0)</f>
        <v>43662</v>
      </c>
      <c r="R238" s="23" t="b">
        <f>if(Q238="",FALSE,TRUE)</f>
        <v>1</v>
      </c>
      <c r="S238" s="25"/>
      <c r="U238" s="23"/>
      <c r="V238" s="1" t="s">
        <v>64</v>
      </c>
      <c r="W238" s="23" t="b">
        <f>IF(and(R238=TRUE,N238=TRUE,P238=TRUE),TRUE,FALSE)</f>
        <v>1</v>
      </c>
      <c r="X238" s="23" t="str">
        <f>IFERROR(__xludf.DUMMYFUNCTION("if(COUNTA(FILTER(C:C, C:C = C238))=1,""no"",""yes"")"),"no")</f>
        <v>no</v>
      </c>
    </row>
    <row r="239">
      <c r="A239" s="1" t="s">
        <v>390</v>
      </c>
      <c r="B239" s="2">
        <v>4.0</v>
      </c>
      <c r="C239" s="69" t="s">
        <v>893</v>
      </c>
      <c r="E239" s="24">
        <v>43662.0</v>
      </c>
      <c r="F239" s="25" t="str">
        <f>IFERROR(__xludf.DUMMYFUNCTION("iferror(ifna(IFNA(filter('2.1.clean'!E:E,'2.1.clean'!A:A=C239),filter('2.2.clean'!G:G,'2.2.clean'!D:D=C239)),filter('2.4.clean'!E:E,'2.4.clean'!A:A=C239)),)"),"")</f>
        <v/>
      </c>
      <c r="G239" s="24"/>
      <c r="J239" s="25"/>
      <c r="K239" s="24"/>
      <c r="L239" s="25"/>
      <c r="M239" s="24" t="str">
        <f>IFERROR(__xludf.DUMMYFUNCTION("iferror(filter('3.3.clean'!C:C,'3.3.clean'!A:A=C239),"""")"),"")</f>
        <v/>
      </c>
      <c r="N239" s="25"/>
      <c r="O239" s="24" t="str">
        <f>IFERROR(__xludf.DUMMYFUNCTION("iferror(filter('3.4.clean'!C:C,'3.4.clean'!A:A=C239),"""")"),"")</f>
        <v/>
      </c>
      <c r="P239" s="25" t="b">
        <f t="shared" si="123"/>
        <v>0</v>
      </c>
      <c r="Q239" s="24" t="str">
        <f>IFERROR(__xludf.DUMMYFUNCTION("iferror(filter('3.5.clean'!C:C,'3.5.clean'!A:A=C239),"""")"),"")</f>
        <v/>
      </c>
      <c r="S239" s="25"/>
      <c r="V239" s="1" t="s">
        <v>64</v>
      </c>
      <c r="W239" s="1" t="b">
        <v>1</v>
      </c>
      <c r="X239" s="23" t="str">
        <f>IFERROR(__xludf.DUMMYFUNCTION("if(COUNTA(FILTER(C:C, C:C = C239))=1,""no"",""yes"")"),"no")</f>
        <v>no</v>
      </c>
    </row>
    <row r="240">
      <c r="A240" s="1" t="s">
        <v>390</v>
      </c>
      <c r="B240" s="2">
        <v>5.0</v>
      </c>
      <c r="C240" s="19" t="s">
        <v>894</v>
      </c>
      <c r="E240" s="24">
        <f>IFERROR(__xludf.DUMMYFUNCTION("ifna(IFNA(filter('2.1.clean'!C:C,'2.1.clean'!A:A=C240),filter('2.2.clean'!E:E,'2.2.clean'!D:D=C240)),filter('2.4.clean'!C:C,'2.4.clean'!A:A=C240))"),43662.0)</f>
        <v>43662</v>
      </c>
      <c r="F240" s="25">
        <f>IFERROR(__xludf.DUMMYFUNCTION("iferror(ifna(IFNA(filter('2.1.clean'!E:E,'2.1.clean'!A:A=C240),filter('2.2.clean'!G:G,'2.2.clean'!D:D=C240)),filter('2.4.clean'!E:E,'2.4.clean'!A:A=C240)),)"),2.4)</f>
        <v>2.4</v>
      </c>
      <c r="G240" s="24"/>
      <c r="J240" s="25"/>
      <c r="K240" s="24"/>
      <c r="L240" s="25"/>
      <c r="M240" s="24">
        <f>IFERROR(__xludf.DUMMYFUNCTION("iferror(filter('3.3.clean'!C:C,'3.3.clean'!A:A=C240),"""")"),43668.0)</f>
        <v>43668</v>
      </c>
      <c r="N240" s="25" t="b">
        <f>if(M240="",FALSE,TRUE)</f>
        <v>1</v>
      </c>
      <c r="O240" s="24">
        <f>IFERROR(__xludf.DUMMYFUNCTION("iferror(filter('3.4.clean'!C:C,'3.4.clean'!A:A=C240),"""")"),43684.0)</f>
        <v>43684</v>
      </c>
      <c r="P240" s="25" t="b">
        <f t="shared" si="123"/>
        <v>1</v>
      </c>
      <c r="Q240" s="24">
        <f>IFERROR(__xludf.DUMMYFUNCTION("iferror(filter('3.5.clean'!C:C,'3.5.clean'!A:A=C240),"""")"),43662.0)</f>
        <v>43662</v>
      </c>
      <c r="R240" s="23" t="b">
        <f>if(Q240="",FALSE,TRUE)</f>
        <v>1</v>
      </c>
      <c r="S240" s="25"/>
      <c r="U240" s="23"/>
      <c r="V240" s="1" t="s">
        <v>64</v>
      </c>
      <c r="W240" s="23" t="b">
        <f>IF(and(R240=TRUE,N240=TRUE,P240=TRUE),TRUE,FALSE)</f>
        <v>1</v>
      </c>
      <c r="X240" s="23" t="str">
        <f>IFERROR(__xludf.DUMMYFUNCTION("if(COUNTA(FILTER(C:C, C:C = C240))=1,""no"",""yes"")"),"no")</f>
        <v>no</v>
      </c>
    </row>
    <row r="241">
      <c r="A241" s="1" t="s">
        <v>390</v>
      </c>
      <c r="B241" s="2">
        <v>6.0</v>
      </c>
      <c r="C241" s="69" t="s">
        <v>895</v>
      </c>
      <c r="E241" s="24">
        <v>43662.0</v>
      </c>
      <c r="F241" s="25" t="str">
        <f>IFERROR(__xludf.DUMMYFUNCTION("iferror(ifna(IFNA(filter('2.1.clean'!E:E,'2.1.clean'!A:A=C241),filter('2.2.clean'!G:G,'2.2.clean'!D:D=C241)),filter('2.4.clean'!E:E,'2.4.clean'!A:A=C241)),)"),"")</f>
        <v/>
      </c>
      <c r="G241" s="24"/>
      <c r="J241" s="25"/>
      <c r="K241" s="24"/>
      <c r="L241" s="25"/>
      <c r="M241" s="24" t="str">
        <f>IFERROR(__xludf.DUMMYFUNCTION("iferror(filter('3.3.clean'!C:C,'3.3.clean'!A:A=C241),"""")"),"")</f>
        <v/>
      </c>
      <c r="N241" s="25"/>
      <c r="O241" s="24" t="str">
        <f>IFERROR(__xludf.DUMMYFUNCTION("iferror(filter('3.4.clean'!C:C,'3.4.clean'!A:A=C241),"""")"),"")</f>
        <v/>
      </c>
      <c r="P241" s="25" t="b">
        <f t="shared" si="123"/>
        <v>0</v>
      </c>
      <c r="Q241" s="24" t="str">
        <f>IFERROR(__xludf.DUMMYFUNCTION("iferror(filter('3.5.clean'!C:C,'3.5.clean'!A:A=C241),"""")"),"")</f>
        <v/>
      </c>
      <c r="S241" s="25"/>
      <c r="V241" s="1" t="s">
        <v>64</v>
      </c>
      <c r="W241" s="1" t="b">
        <v>1</v>
      </c>
      <c r="X241" s="23" t="str">
        <f>IFERROR(__xludf.DUMMYFUNCTION("if(COUNTA(FILTER(C:C, C:C = C241))=1,""no"",""yes"")"),"no")</f>
        <v>no</v>
      </c>
    </row>
    <row r="242">
      <c r="A242" s="1" t="s">
        <v>390</v>
      </c>
      <c r="B242" s="2">
        <v>7.0</v>
      </c>
      <c r="C242" s="19" t="s">
        <v>897</v>
      </c>
      <c r="E242" s="24">
        <f>IFERROR(__xludf.DUMMYFUNCTION("ifna(IFNA(filter('2.1.clean'!C:C,'2.1.clean'!A:A=C242),filter('2.2.clean'!E:E,'2.2.clean'!D:D=C242)),filter('2.4.clean'!C:C,'2.4.clean'!A:A=C242))"),43662.0)</f>
        <v>43662</v>
      </c>
      <c r="F242" s="25">
        <f>IFERROR(__xludf.DUMMYFUNCTION("iferror(ifna(IFNA(filter('2.1.clean'!E:E,'2.1.clean'!A:A=C242),filter('2.2.clean'!G:G,'2.2.clean'!D:D=C242)),filter('2.4.clean'!E:E,'2.4.clean'!A:A=C242)),)"),2.4)</f>
        <v>2.4</v>
      </c>
      <c r="G242" s="24"/>
      <c r="J242" s="25"/>
      <c r="K242" s="24"/>
      <c r="L242" s="25"/>
      <c r="M242" s="24">
        <f>IFERROR(__xludf.DUMMYFUNCTION("iferror(filter('3.3.clean'!C:C,'3.3.clean'!A:A=C242),"""")"),43668.0)</f>
        <v>43668</v>
      </c>
      <c r="N242" s="25" t="b">
        <f t="shared" ref="N242:N245" si="126">if(M242="",FALSE,TRUE)</f>
        <v>1</v>
      </c>
      <c r="O242" s="24">
        <f>IFERROR(__xludf.DUMMYFUNCTION("iferror(filter('3.4.clean'!C:C,'3.4.clean'!A:A=C242),"""")"),43684.0)</f>
        <v>43684</v>
      </c>
      <c r="P242" s="25" t="b">
        <f t="shared" si="123"/>
        <v>1</v>
      </c>
      <c r="Q242" s="24">
        <f>IFERROR(__xludf.DUMMYFUNCTION("iferror(filter('3.5.clean'!C:C,'3.5.clean'!A:A=C242),"""")"),43662.0)</f>
        <v>43662</v>
      </c>
      <c r="R242" s="23" t="b">
        <f t="shared" ref="R242:R245" si="127">if(Q242="",FALSE,TRUE)</f>
        <v>1</v>
      </c>
      <c r="S242" s="25"/>
      <c r="U242" s="23"/>
      <c r="V242" s="1" t="s">
        <v>64</v>
      </c>
      <c r="W242" s="23" t="b">
        <f>IF(and(R242=TRUE,N242=TRUE,P242=TRUE),TRUE,FALSE)</f>
        <v>1</v>
      </c>
      <c r="X242" s="23" t="str">
        <f>IFERROR(__xludf.DUMMYFUNCTION("if(COUNTA(FILTER(C:C, C:C = C242))=1,""no"",""yes"")"),"no")</f>
        <v>no</v>
      </c>
    </row>
    <row r="243">
      <c r="A243" s="1" t="s">
        <v>390</v>
      </c>
      <c r="B243" s="19">
        <v>8.0</v>
      </c>
      <c r="C243" s="19" t="s">
        <v>898</v>
      </c>
      <c r="D243" s="58" t="str">
        <f t="shared" ref="D243:D245" si="128">if(or(I243=1,J243=1,S243=1),"pos","")</f>
        <v/>
      </c>
      <c r="E243" s="59">
        <f>IFERROR(__xludf.DUMMYFUNCTION("ifna(IFNA(filter('2.1.clean'!C:C,'2.1.clean'!A:A=C243),filter('2.2.clean'!E:E,'2.2.clean'!D:D=C243)),filter('2.4.clean'!C:C,'2.4.clean'!A:A=C243))"),43662.0)</f>
        <v>43662</v>
      </c>
      <c r="F243" s="60">
        <f>IFERROR(__xludf.DUMMYFUNCTION("iferror(ifna(IFNA(filter('2.1.clean'!E:E,'2.1.clean'!A:A=C243),filter('2.2.clean'!G:G,'2.2.clean'!D:D=C243)),filter('2.4.clean'!E:E,'2.4.clean'!A:A=C243)),)"),2.4)</f>
        <v>2.4</v>
      </c>
      <c r="G243" s="59">
        <f>IFERROR(__xludf.DUMMYFUNCTION("iferror(filter('3.1.clean'!C:C,'3.1.clean'!A:A=C243),"""")"),43662.0)</f>
        <v>43662</v>
      </c>
      <c r="H243" s="58" t="b">
        <f>if(G243="",FALSE,TRUE)</f>
        <v>1</v>
      </c>
      <c r="I243" s="58">
        <f>IFERROR(__xludf.DUMMYFUNCTION("iferror(filter('3.1.clean'!G:G,'3.1.clean'!A:A=C243),"""")"),0.0)</f>
        <v>0</v>
      </c>
      <c r="J243" s="60">
        <f>IFERROR(__xludf.DUMMYFUNCTION("iferror(filter('3.1.clean'!I:I,'3.1.clean'!A:A=C243),"""")"),0.0)</f>
        <v>0</v>
      </c>
      <c r="K243" s="58"/>
      <c r="L243" s="60"/>
      <c r="M243" s="59" t="str">
        <f>IFERROR(__xludf.DUMMYFUNCTION("iferror(filter('3.3.clean'!C:C,'3.3.clean'!A:A=C243),"""")"),"#REF!")</f>
        <v>#REF!</v>
      </c>
      <c r="N243" s="60" t="str">
        <f t="shared" si="126"/>
        <v>#REF!</v>
      </c>
      <c r="O243" s="59" t="str">
        <f>IFERROR(__xludf.DUMMYFUNCTION("iferror(filter('3.4.clean'!C:C,'3.4.clean'!A:A=C243),"""")"),"")</f>
        <v/>
      </c>
      <c r="P243" s="60" t="b">
        <f t="shared" si="123"/>
        <v>0</v>
      </c>
      <c r="Q243" s="59" t="str">
        <f>IFERROR(__xludf.DUMMYFUNCTION("iferror(filter('3.5.clean'!C:C,'3.5.clean'!A:A=C243),"""")"),"")</f>
        <v/>
      </c>
      <c r="R243" s="58" t="b">
        <f t="shared" si="127"/>
        <v>0</v>
      </c>
      <c r="S243" s="4" t="str">
        <f>IFERROR(__xludf.DUMMYFUNCTION("iferror(filter('3.5.clean'!H:H,'3.5.clean'!A:A=C243),"""")"),"")</f>
        <v/>
      </c>
      <c r="T243" s="1" t="s">
        <v>900</v>
      </c>
      <c r="U243" s="23"/>
      <c r="V243" s="1" t="s">
        <v>64</v>
      </c>
      <c r="W243" s="1" t="b">
        <v>1</v>
      </c>
      <c r="X243" s="23" t="str">
        <f>IFERROR(__xludf.DUMMYFUNCTION("if(COUNTA(FILTER(C:C, C:C = C243))=1,""no"",""yes"")"),"no")</f>
        <v>no</v>
      </c>
    </row>
    <row r="244">
      <c r="A244" s="1" t="s">
        <v>390</v>
      </c>
      <c r="B244" s="19">
        <v>9.0</v>
      </c>
      <c r="C244" s="19" t="s">
        <v>901</v>
      </c>
      <c r="D244" s="58" t="str">
        <f t="shared" si="128"/>
        <v/>
      </c>
      <c r="E244" s="59">
        <f>Q244</f>
        <v>43662</v>
      </c>
      <c r="F244" s="60" t="str">
        <f>IFERROR(__xludf.DUMMYFUNCTION("iferror(ifna(IFNA(filter('2.1.clean'!E:E,'2.1.clean'!A:A=C244),filter('2.2.clean'!G:G,'2.2.clean'!D:D=C244)),filter('2.4.clean'!E:E,'2.4.clean'!A:A=C244)),)"),"")</f>
        <v/>
      </c>
      <c r="G244" s="59" t="str">
        <f>IFERROR(__xludf.DUMMYFUNCTION("iferror(filter('3.1.clean'!C:C,'3.1.clean'!A:A=C244),"""")"),"")</f>
        <v/>
      </c>
      <c r="H244" s="58"/>
      <c r="I244" s="58"/>
      <c r="J244" s="60"/>
      <c r="K244" s="58"/>
      <c r="L244" s="60"/>
      <c r="M244" s="81" t="s">
        <v>814</v>
      </c>
      <c r="N244" s="60" t="b">
        <f t="shared" si="126"/>
        <v>1</v>
      </c>
      <c r="O244" s="59">
        <f>IFERROR(__xludf.DUMMYFUNCTION("iferror(filter('3.4.clean'!C:C,'3.4.clean'!A:A=C244),"""")"),43684.0)</f>
        <v>43684</v>
      </c>
      <c r="P244" s="60" t="b">
        <f t="shared" si="123"/>
        <v>1</v>
      </c>
      <c r="Q244" s="59">
        <f>IFERROR(__xludf.DUMMYFUNCTION("iferror(filter('3.5.clean'!C:C,'3.5.clean'!A:A=C244),"""")"),43662.0)</f>
        <v>43662</v>
      </c>
      <c r="R244" s="58" t="b">
        <f t="shared" si="127"/>
        <v>1</v>
      </c>
      <c r="S244" s="4" t="str">
        <f>IFERROR(__xludf.DUMMYFUNCTION("iferror(filter('3.5.clean'!H:H,'3.5.clean'!A:A=C244),"""")"),"")</f>
        <v/>
      </c>
      <c r="U244" s="23"/>
      <c r="V244" s="1" t="s">
        <v>64</v>
      </c>
      <c r="W244" s="23" t="b">
        <f>if(AND(R244=TRUE,N244=TRUE,P244=TRUE),TRUE,FALSE)</f>
        <v>1</v>
      </c>
      <c r="X244" s="23" t="str">
        <f>IFERROR(__xludf.DUMMYFUNCTION("if(COUNTA(FILTER(C:C, C:C = C244))=1,""no"",""yes"")"),"no")</f>
        <v>no</v>
      </c>
    </row>
    <row r="245">
      <c r="A245" s="1" t="s">
        <v>390</v>
      </c>
      <c r="B245" s="19">
        <v>10.0</v>
      </c>
      <c r="C245" s="19" t="s">
        <v>902</v>
      </c>
      <c r="D245" s="22" t="str">
        <f t="shared" si="128"/>
        <v/>
      </c>
      <c r="E245" s="20">
        <v>43662.0</v>
      </c>
      <c r="F245" s="79" t="str">
        <f>IFERROR(__xludf.DUMMYFUNCTION("iferror(ifna(IFNA(filter('2.1.clean'!E:E,'2.1.clean'!A:A=C245),filter('2.2.clean'!G:G,'2.2.clean'!D:D=C245)),filter('2.4.clean'!E:E,'2.4.clean'!A:A=C245)),)"),"")</f>
        <v/>
      </c>
      <c r="G245" s="20" t="str">
        <f>IFERROR(__xludf.DUMMYFUNCTION("iferror(filter('3.1.clean'!C:C,'3.1.clean'!A:A=C245),"""")"),"")</f>
        <v/>
      </c>
      <c r="H245" s="22"/>
      <c r="I245" s="22"/>
      <c r="J245" s="79"/>
      <c r="K245" s="20" t="str">
        <f>IFERROR(__xludf.DUMMYFUNCTION("iferror(filter('3.2.clean'!C:C,'3.2.clean'!A:A=C245),"""")"),"")</f>
        <v/>
      </c>
      <c r="L245" s="79"/>
      <c r="M245" s="20">
        <f>IFERROR(__xludf.DUMMYFUNCTION("iferror(filter('3.3.clean'!C:C,'3.3.clean'!A:A=C245),"""")"),43669.0)</f>
        <v>43669</v>
      </c>
      <c r="N245" s="79" t="b">
        <f t="shared" si="126"/>
        <v>1</v>
      </c>
      <c r="O245" s="20" t="str">
        <f>IFERROR(__xludf.DUMMYFUNCTION("iferror(filter('3.4.clean'!C:C,'3.4.clean'!A:A=C245),"""")"),"")</f>
        <v/>
      </c>
      <c r="P245" s="79" t="b">
        <f t="shared" si="123"/>
        <v>0</v>
      </c>
      <c r="Q245" s="3" t="s">
        <v>814</v>
      </c>
      <c r="R245" s="22" t="b">
        <f t="shared" si="127"/>
        <v>1</v>
      </c>
      <c r="S245" s="4" t="str">
        <f>IFERROR(__xludf.DUMMYFUNCTION("iferror(filter('3.5.clean'!H:H,'3.5.clean'!A:A=C245),"""")"),"")</f>
        <v/>
      </c>
      <c r="U245" s="1" t="s">
        <v>829</v>
      </c>
      <c r="V245" s="1" t="s">
        <v>64</v>
      </c>
      <c r="W245" s="23" t="b">
        <f>IF(and(R245=TRUE,N245=TRUE,P245=TRUE),TRUE,FALSE)</f>
        <v>0</v>
      </c>
      <c r="X245" s="23" t="str">
        <f>IFERROR(__xludf.DUMMYFUNCTION("if(COUNTA(FILTER(C:C, C:C = C245))=1,""no"",""yes"")"),"no")</f>
        <v>no</v>
      </c>
    </row>
    <row r="246">
      <c r="A246" s="1" t="s">
        <v>390</v>
      </c>
      <c r="B246" s="19"/>
      <c r="C246" s="19" t="s">
        <v>903</v>
      </c>
      <c r="E246" s="24">
        <v>43662.0</v>
      </c>
      <c r="F246" s="25" t="str">
        <f>IFERROR(__xludf.DUMMYFUNCTION("iferror(ifna(IFNA(filter('2.1.clean'!E:E,'2.1.clean'!A:A=C246),filter('2.2.clean'!G:G,'2.2.clean'!D:D=C246)),filter('2.4.clean'!E:E,'2.4.clean'!A:A=C246)),)"),"")</f>
        <v/>
      </c>
      <c r="G246" s="24"/>
      <c r="J246" s="25"/>
      <c r="K246" s="24"/>
      <c r="L246" s="25"/>
      <c r="M246" s="24" t="str">
        <f>IFERROR(__xludf.DUMMYFUNCTION("iferror(filter('3.3.clean'!C:C,'3.3.clean'!A:A=C246),"""")"),"")</f>
        <v/>
      </c>
      <c r="N246" s="25"/>
      <c r="O246" s="24">
        <f>IFERROR(__xludf.DUMMYFUNCTION("iferror(filter('3.4.clean'!C:C,'3.4.clean'!A:A=C246),"""")"),43684.0)</f>
        <v>43684</v>
      </c>
      <c r="P246" s="25" t="b">
        <f t="shared" si="123"/>
        <v>1</v>
      </c>
      <c r="Q246" s="24" t="str">
        <f>IFERROR(__xludf.DUMMYFUNCTION("iferror(filter('3.5.clean'!C:C,'3.5.clean'!A:A=C246),"""")"),"")</f>
        <v/>
      </c>
      <c r="S246" s="25"/>
      <c r="V246" s="1" t="s">
        <v>64</v>
      </c>
      <c r="W246" s="1" t="b">
        <v>1</v>
      </c>
      <c r="X246" s="23" t="str">
        <f>IFERROR(__xludf.DUMMYFUNCTION("if(COUNTA(FILTER(C:C, C:C = C246))=1,""no"",""yes"")"),"no")</f>
        <v>no</v>
      </c>
    </row>
    <row r="247">
      <c r="A247" s="1" t="s">
        <v>390</v>
      </c>
      <c r="B247" s="19"/>
      <c r="C247" s="19" t="s">
        <v>905</v>
      </c>
      <c r="E247" s="24">
        <v>43662.0</v>
      </c>
      <c r="F247" s="25" t="str">
        <f>IFERROR(__xludf.DUMMYFUNCTION("iferror(ifna(IFNA(filter('2.1.clean'!E:E,'2.1.clean'!A:A=C247),filter('2.2.clean'!G:G,'2.2.clean'!D:D=C247)),filter('2.4.clean'!E:E,'2.4.clean'!A:A=C247)),)"),"")</f>
        <v/>
      </c>
      <c r="G247" s="24"/>
      <c r="J247" s="25"/>
      <c r="K247" s="24"/>
      <c r="L247" s="25"/>
      <c r="M247" s="24" t="str">
        <f>IFERROR(__xludf.DUMMYFUNCTION("iferror(filter('3.3.clean'!C:C,'3.3.clean'!A:A=C247),"""")"),"")</f>
        <v/>
      </c>
      <c r="N247" s="25"/>
      <c r="O247" s="24">
        <f>IFERROR(__xludf.DUMMYFUNCTION("iferror(filter('3.4.clean'!C:C,'3.4.clean'!A:A=C247),"""")"),43684.0)</f>
        <v>43684</v>
      </c>
      <c r="P247" s="25" t="b">
        <f t="shared" si="123"/>
        <v>1</v>
      </c>
      <c r="Q247" s="24" t="str">
        <f>IFERROR(__xludf.DUMMYFUNCTION("iferror(filter('3.5.clean'!C:C,'3.5.clean'!A:A=C247),"""")"),"")</f>
        <v/>
      </c>
      <c r="S247" s="25"/>
      <c r="V247" s="1" t="s">
        <v>64</v>
      </c>
      <c r="W247" s="1" t="b">
        <v>1</v>
      </c>
      <c r="X247" s="23" t="str">
        <f>IFERROR(__xludf.DUMMYFUNCTION("if(COUNTA(FILTER(C:C, C:C = C247))=1,""no"",""yes"")"),"no")</f>
        <v>no</v>
      </c>
    </row>
    <row r="248">
      <c r="A248" s="1" t="s">
        <v>390</v>
      </c>
      <c r="B248" s="19"/>
      <c r="C248" s="19" t="s">
        <v>906</v>
      </c>
      <c r="E248" s="24">
        <v>43662.0</v>
      </c>
      <c r="F248" s="25" t="str">
        <f>IFERROR(__xludf.DUMMYFUNCTION("iferror(ifna(IFNA(filter('2.1.clean'!E:E,'2.1.clean'!A:A=C248),filter('2.2.clean'!G:G,'2.2.clean'!D:D=C248)),filter('2.4.clean'!E:E,'2.4.clean'!A:A=C248)),)"),"")</f>
        <v/>
      </c>
      <c r="G248" s="24"/>
      <c r="J248" s="25"/>
      <c r="K248" s="24"/>
      <c r="L248" s="25"/>
      <c r="M248" s="24" t="str">
        <f>IFERROR(__xludf.DUMMYFUNCTION("iferror(filter('3.3.clean'!C:C,'3.3.clean'!A:A=C248),"""")"),"")</f>
        <v/>
      </c>
      <c r="N248" s="25"/>
      <c r="O248" s="24">
        <f>IFERROR(__xludf.DUMMYFUNCTION("iferror(filter('3.4.clean'!C:C,'3.4.clean'!A:A=C248),"""")"),43684.0)</f>
        <v>43684</v>
      </c>
      <c r="P248" s="25" t="b">
        <f t="shared" si="123"/>
        <v>1</v>
      </c>
      <c r="Q248" s="24" t="str">
        <f>IFERROR(__xludf.DUMMYFUNCTION("iferror(filter('3.5.clean'!C:C,'3.5.clean'!A:A=C248),"""")"),"")</f>
        <v/>
      </c>
      <c r="S248" s="25"/>
      <c r="V248" s="1" t="s">
        <v>64</v>
      </c>
      <c r="W248" s="1" t="b">
        <v>1</v>
      </c>
      <c r="X248" s="23" t="str">
        <f>IFERROR(__xludf.DUMMYFUNCTION("if(COUNTA(FILTER(C:C, C:C = C248))=1,""no"",""yes"")"),"no")</f>
        <v>no</v>
      </c>
    </row>
    <row r="249">
      <c r="A249" s="75" t="s">
        <v>398</v>
      </c>
      <c r="B249" s="2">
        <v>1.0</v>
      </c>
      <c r="C249" s="19" t="s">
        <v>907</v>
      </c>
      <c r="E249" s="24">
        <f>IFERROR(__xludf.DUMMYFUNCTION("ifna(IFNA(filter('2.1.clean'!C:C,'2.1.clean'!A:A=C249),filter('2.2.clean'!E:E,'2.2.clean'!D:D=C249)),filter('2.4.clean'!C:C,'2.4.clean'!A:A=C249))"),43663.0)</f>
        <v>43663</v>
      </c>
      <c r="F249" s="25">
        <f>IFERROR(__xludf.DUMMYFUNCTION("iferror(ifna(IFNA(filter('2.1.clean'!E:E,'2.1.clean'!A:A=C249),filter('2.2.clean'!G:G,'2.2.clean'!D:D=C249)),filter('2.4.clean'!E:E,'2.4.clean'!A:A=C249)),)"),2.4)</f>
        <v>2.4</v>
      </c>
      <c r="G249" s="24">
        <f>IFERROR(__xludf.DUMMYFUNCTION("iferror(filter('3.1.clean'!C:C,'3.1.clean'!A:A=C249),"""")"),43663.0)</f>
        <v>43663</v>
      </c>
      <c r="H249" s="23" t="b">
        <f t="shared" ref="H249:H251" si="129">if(G249="",FALSE,TRUE)</f>
        <v>1</v>
      </c>
      <c r="J249" s="25"/>
      <c r="K249" s="24" t="str">
        <f>IFERROR(__xludf.DUMMYFUNCTION("iferror(filter('3.2.clean'!C:C,'3.2.clean'!A:A=C249),"""")"),"")</f>
        <v/>
      </c>
      <c r="L249" s="25" t="b">
        <f t="shared" ref="L249:L250" si="130">if(K249="",FALSE,TRUE)</f>
        <v>0</v>
      </c>
      <c r="M249" s="24">
        <f>IFERROR(__xludf.DUMMYFUNCTION("iferror(filter('3.3.clean'!C:C,'3.3.clean'!A:A=C249),"""")"),43668.0)</f>
        <v>43668</v>
      </c>
      <c r="N249" s="25" t="b">
        <f t="shared" ref="N249:N252" si="131">if(M249="",FALSE,TRUE)</f>
        <v>1</v>
      </c>
      <c r="O249" s="24">
        <f>IFERROR(__xludf.DUMMYFUNCTION("iferror(filter('3.4.clean'!C:C,'3.4.clean'!A:A=C249),"""")"),43683.0)</f>
        <v>43683</v>
      </c>
      <c r="P249" s="25" t="b">
        <f t="shared" si="123"/>
        <v>1</v>
      </c>
      <c r="Q249" s="24">
        <f>IFERROR(__xludf.DUMMYFUNCTION("iferror(filter('3.5.clean'!C:C,'3.5.clean'!A:A=C249),"""")"),43663.0)</f>
        <v>43663</v>
      </c>
      <c r="R249" s="23" t="b">
        <f>if(Q249="",FALSE,TRUE)</f>
        <v>1</v>
      </c>
      <c r="S249" s="25"/>
      <c r="U249" s="23"/>
      <c r="V249" s="1" t="s">
        <v>64</v>
      </c>
      <c r="X249" s="23" t="str">
        <f>IFERROR(__xludf.DUMMYFUNCTION("if(COUNTA(FILTER(C:C, C:C = C249))=1,""no"",""yes"")"),"no")</f>
        <v>no</v>
      </c>
    </row>
    <row r="250">
      <c r="A250" s="75" t="s">
        <v>398</v>
      </c>
      <c r="B250" s="2">
        <v>2.0</v>
      </c>
      <c r="C250" s="69" t="s">
        <v>909</v>
      </c>
      <c r="E250" s="24">
        <v>43663.0</v>
      </c>
      <c r="F250" s="25" t="str">
        <f>IFERROR(__xludf.DUMMYFUNCTION("iferror(ifna(IFNA(filter('2.1.clean'!E:E,'2.1.clean'!A:A=C250),filter('2.2.clean'!G:G,'2.2.clean'!D:D=C250)),filter('2.4.clean'!E:E,'2.4.clean'!A:A=C250)),)"),"")</f>
        <v/>
      </c>
      <c r="G250" s="24" t="str">
        <f>IFERROR(__xludf.DUMMYFUNCTION("iferror(filter('3.1.clean'!C:C,'3.1.clean'!A:A=C250),"""")"),"")</f>
        <v/>
      </c>
      <c r="H250" s="23" t="b">
        <f t="shared" si="129"/>
        <v>0</v>
      </c>
      <c r="J250" s="25"/>
      <c r="K250" s="24" t="str">
        <f>IFERROR(__xludf.DUMMYFUNCTION("iferror(filter('3.2.clean'!C:C,'3.2.clean'!A:A=C250),"""")"),"")</f>
        <v/>
      </c>
      <c r="L250" s="25" t="b">
        <f t="shared" si="130"/>
        <v>0</v>
      </c>
      <c r="M250" s="1" t="s">
        <v>814</v>
      </c>
      <c r="N250" s="25" t="b">
        <f t="shared" si="131"/>
        <v>1</v>
      </c>
      <c r="O250" s="24">
        <f>IFERROR(__xludf.DUMMYFUNCTION("iferror(filter('3.4.clean'!C:C,'3.4.clean'!A:A=C250),"""")"),43683.0)</f>
        <v>43683</v>
      </c>
      <c r="P250" s="25" t="b">
        <f t="shared" si="123"/>
        <v>1</v>
      </c>
      <c r="Q250" s="24" t="str">
        <f>IFERROR(__xludf.DUMMYFUNCTION("iferror(filter('3.5.clean'!C:C,'3.5.clean'!A:A=C250),"""")"),"")</f>
        <v/>
      </c>
      <c r="S250" s="25"/>
      <c r="U250" s="1" t="s">
        <v>503</v>
      </c>
      <c r="V250" s="1" t="s">
        <v>64</v>
      </c>
      <c r="X250" s="23" t="str">
        <f>IFERROR(__xludf.DUMMYFUNCTION("if(COUNTA(FILTER(C:C, C:C = C250))=1,""no"",""yes"")"),"no")</f>
        <v>no</v>
      </c>
    </row>
    <row r="251">
      <c r="A251" s="75" t="s">
        <v>398</v>
      </c>
      <c r="B251" s="19">
        <v>3.0</v>
      </c>
      <c r="C251" s="19" t="s">
        <v>910</v>
      </c>
      <c r="D251" s="58" t="str">
        <f t="shared" ref="D251:D254" si="132">if(or(I251=1,J251=1,S251=1),"pos","")</f>
        <v>pos</v>
      </c>
      <c r="E251" s="59">
        <f>IFERROR(__xludf.DUMMYFUNCTION("ifna(IFNA(filter('2.1.clean'!C:C,'2.1.clean'!A:A=C251),filter('2.2.clean'!E:E,'2.2.clean'!D:D=C251)),filter('2.4.clean'!C:C,'2.4.clean'!A:A=C251))"),43663.0)</f>
        <v>43663</v>
      </c>
      <c r="F251" s="60">
        <f>IFERROR(__xludf.DUMMYFUNCTION("iferror(ifna(IFNA(filter('2.1.clean'!E:E,'2.1.clean'!A:A=C251),filter('2.2.clean'!G:G,'2.2.clean'!D:D=C251)),filter('2.4.clean'!E:E,'2.4.clean'!A:A=C251)),)"),2.4)</f>
        <v>2.4</v>
      </c>
      <c r="G251" s="59">
        <f>IFERROR(__xludf.DUMMYFUNCTION("iferror(filter('3.1.clean'!C:C,'3.1.clean'!A:A=C251),"""")"),43663.0)</f>
        <v>43663</v>
      </c>
      <c r="H251" s="58" t="b">
        <f t="shared" si="129"/>
        <v>1</v>
      </c>
      <c r="I251" s="58">
        <f>IFERROR(__xludf.DUMMYFUNCTION("iferror(filter('3.1.clean'!G:G,'3.1.clean'!A:A=C251),"""")"),0.0)</f>
        <v>0</v>
      </c>
      <c r="J251" s="60">
        <f>IFERROR(__xludf.DUMMYFUNCTION("iferror(filter('3.1.clean'!I:I,'3.1.clean'!A:A=C251),"""")"),1.0)</f>
        <v>1</v>
      </c>
      <c r="K251" s="58"/>
      <c r="L251" s="60"/>
      <c r="M251" s="59" t="str">
        <f>IFERROR(__xludf.DUMMYFUNCTION("iferror(filter('3.3.clean'!C:C,'3.3.clean'!A:A=C251),"""")"),"#REF!")</f>
        <v>#REF!</v>
      </c>
      <c r="N251" s="60" t="str">
        <f t="shared" si="131"/>
        <v>#REF!</v>
      </c>
      <c r="O251" s="59" t="str">
        <f>IFERROR(__xludf.DUMMYFUNCTION("iferror(filter('3.4.clean'!C:C,'3.4.clean'!A:A=C251),"""")"),"")</f>
        <v/>
      </c>
      <c r="P251" s="60" t="b">
        <f t="shared" si="123"/>
        <v>0</v>
      </c>
      <c r="Q251" s="59" t="str">
        <f>IFERROR(__xludf.DUMMYFUNCTION("iferror(filter('3.5.clean'!C:C,'3.5.clean'!A:A=C251),"""")"),"")</f>
        <v/>
      </c>
      <c r="R251" s="58" t="b">
        <f t="shared" ref="R251:R252" si="133">if(Q251="",FALSE,TRUE)</f>
        <v>0</v>
      </c>
      <c r="S251" s="4" t="str">
        <f>IFERROR(__xludf.DUMMYFUNCTION("iferror(filter('3.5.clean'!H:H,'3.5.clean'!A:A=C251),"""")"),"")</f>
        <v/>
      </c>
      <c r="T251" s="1" t="s">
        <v>900</v>
      </c>
      <c r="U251" s="23"/>
      <c r="V251" s="1" t="s">
        <v>64</v>
      </c>
      <c r="W251" s="1" t="b">
        <v>1</v>
      </c>
      <c r="X251" s="23" t="str">
        <f>IFERROR(__xludf.DUMMYFUNCTION("if(COUNTA(FILTER(C:C, C:C = C251))=1,""no"",""yes"")"),"no")</f>
        <v>no</v>
      </c>
    </row>
    <row r="252">
      <c r="A252" s="75" t="s">
        <v>398</v>
      </c>
      <c r="B252" s="19">
        <v>4.0</v>
      </c>
      <c r="C252" s="19" t="s">
        <v>912</v>
      </c>
      <c r="D252" s="58" t="str">
        <f t="shared" si="132"/>
        <v/>
      </c>
      <c r="E252" s="59">
        <f>Q252</f>
        <v>43663</v>
      </c>
      <c r="F252" s="60" t="str">
        <f>IFERROR(__xludf.DUMMYFUNCTION("iferror(ifna(IFNA(filter('2.1.clean'!E:E,'2.1.clean'!A:A=C252),filter('2.2.clean'!G:G,'2.2.clean'!D:D=C252)),filter('2.4.clean'!E:E,'2.4.clean'!A:A=C252)),)"),"")</f>
        <v/>
      </c>
      <c r="G252" s="59" t="str">
        <f>IFERROR(__xludf.DUMMYFUNCTION("iferror(filter('3.1.clean'!C:C,'3.1.clean'!A:A=C252),"""")"),"")</f>
        <v/>
      </c>
      <c r="H252" s="58"/>
      <c r="I252" s="58"/>
      <c r="J252" s="60"/>
      <c r="K252" s="58"/>
      <c r="L252" s="60"/>
      <c r="M252" s="81" t="s">
        <v>814</v>
      </c>
      <c r="N252" s="60" t="b">
        <f t="shared" si="131"/>
        <v>1</v>
      </c>
      <c r="O252" s="59">
        <f>IFERROR(__xludf.DUMMYFUNCTION("iferror(filter('3.4.clean'!C:C,'3.4.clean'!A:A=C252),"""")"),43683.0)</f>
        <v>43683</v>
      </c>
      <c r="P252" s="60" t="b">
        <f t="shared" si="123"/>
        <v>1</v>
      </c>
      <c r="Q252" s="59">
        <f>IFERROR(__xludf.DUMMYFUNCTION("iferror(filter('3.5.clean'!C:C,'3.5.clean'!A:A=C252),"""")"),43663.0)</f>
        <v>43663</v>
      </c>
      <c r="R252" s="58" t="b">
        <f t="shared" si="133"/>
        <v>1</v>
      </c>
      <c r="S252" s="4" t="str">
        <f>IFERROR(__xludf.DUMMYFUNCTION("iferror(filter('3.5.clean'!H:H,'3.5.clean'!A:A=C252),"""")"),"")</f>
        <v/>
      </c>
      <c r="U252" s="23"/>
      <c r="V252" s="1" t="s">
        <v>64</v>
      </c>
      <c r="W252" s="23" t="b">
        <f>if(AND(R252=TRUE,N252=TRUE,P252=TRUE),TRUE,FALSE)</f>
        <v>1</v>
      </c>
      <c r="X252" s="23" t="str">
        <f>IFERROR(__xludf.DUMMYFUNCTION("if(COUNTA(FILTER(C:C, C:C = C252))=1,""no"",""yes"")"),"no")</f>
        <v>no</v>
      </c>
    </row>
    <row r="253">
      <c r="A253" s="75" t="s">
        <v>398</v>
      </c>
      <c r="B253" s="19">
        <v>5.0</v>
      </c>
      <c r="C253" s="19" t="s">
        <v>913</v>
      </c>
      <c r="D253" s="76" t="str">
        <f t="shared" si="132"/>
        <v/>
      </c>
      <c r="E253" s="77">
        <f>G253</f>
        <v>43663</v>
      </c>
      <c r="F253" s="78" t="str">
        <f>IFERROR(__xludf.DUMMYFUNCTION("iferror(ifna(IFNA(filter('2.1.clean'!E:E,'2.1.clean'!A:A=C253),filter('2.2.clean'!G:G,'2.2.clean'!D:D=C253)),filter('2.4.clean'!E:E,'2.4.clean'!A:A=C253)),)"),"")</f>
        <v/>
      </c>
      <c r="G253" s="77">
        <f>IFERROR(__xludf.DUMMYFUNCTION("iferror(filter('3.1.clean'!C:C,'3.1.clean'!A:A=C253),"""")"),43663.0)</f>
        <v>43663</v>
      </c>
      <c r="H253" s="76" t="b">
        <f>if(G253="",FALSE,TRUE)</f>
        <v>1</v>
      </c>
      <c r="I253" s="76">
        <f>IFERROR(__xludf.DUMMYFUNCTION("iferror(filter('3.1.clean'!G:G,'3.1.clean'!A:A=C253),"""")"),0.0)</f>
        <v>0</v>
      </c>
      <c r="J253" s="78" t="str">
        <f>IFERROR(__xludf.DUMMYFUNCTION("iferror(filter('3.1.clean'!I:I,'3.1.clean'!A:A=C253),"""")"),"")</f>
        <v/>
      </c>
      <c r="K253" s="77"/>
      <c r="L253" s="78"/>
      <c r="M253" s="77"/>
      <c r="N253" s="78"/>
      <c r="O253" s="77"/>
      <c r="P253" s="78"/>
      <c r="Q253" s="77"/>
      <c r="R253" s="76"/>
      <c r="S253" s="25"/>
      <c r="T253" s="1"/>
      <c r="V253" s="1" t="s">
        <v>64</v>
      </c>
      <c r="W253" s="1" t="b">
        <v>1</v>
      </c>
      <c r="X253" s="23" t="str">
        <f>IFERROR(__xludf.DUMMYFUNCTION("if(COUNTA(FILTER(C:C, C:C = C253))=1,""no"",""yes"")"),"no")</f>
        <v>no</v>
      </c>
    </row>
    <row r="254">
      <c r="A254" s="75" t="s">
        <v>398</v>
      </c>
      <c r="B254" s="19">
        <v>6.0</v>
      </c>
      <c r="C254" s="19" t="s">
        <v>914</v>
      </c>
      <c r="D254" s="22" t="str">
        <f t="shared" si="132"/>
        <v/>
      </c>
      <c r="E254" s="20">
        <v>43663.0</v>
      </c>
      <c r="F254" s="79" t="str">
        <f>IFERROR(__xludf.DUMMYFUNCTION("iferror(ifna(IFNA(filter('2.1.clean'!E:E,'2.1.clean'!A:A=C254),filter('2.2.clean'!G:G,'2.2.clean'!D:D=C254)),filter('2.4.clean'!E:E,'2.4.clean'!A:A=C254)),)"),"")</f>
        <v/>
      </c>
      <c r="G254" s="20" t="str">
        <f>IFERROR(__xludf.DUMMYFUNCTION("iferror(filter('3.1.clean'!C:C,'3.1.clean'!A:A=C254),"""")"),"")</f>
        <v/>
      </c>
      <c r="H254" s="22"/>
      <c r="I254" s="22"/>
      <c r="J254" s="79"/>
      <c r="K254" s="20" t="str">
        <f>IFERROR(__xludf.DUMMYFUNCTION("iferror(filter('3.2.clean'!C:C,'3.2.clean'!A:A=C254),"""")"),"")</f>
        <v/>
      </c>
      <c r="L254" s="79"/>
      <c r="M254" s="20">
        <f>IFERROR(__xludf.DUMMYFUNCTION("iferror(filter('3.3.clean'!C:C,'3.3.clean'!A:A=C254),"""")"),43669.0)</f>
        <v>43669</v>
      </c>
      <c r="N254" s="79" t="b">
        <f t="shared" ref="N254:N261" si="134">if(M254="",FALSE,TRUE)</f>
        <v>1</v>
      </c>
      <c r="O254" s="20" t="str">
        <f>IFERROR(__xludf.DUMMYFUNCTION("iferror(filter('3.4.clean'!C:C,'3.4.clean'!A:A=C254),"""")"),"")</f>
        <v/>
      </c>
      <c r="P254" s="79" t="b">
        <f t="shared" ref="P254:P261" si="135">if(O254="",FALSE,TRUE)</f>
        <v>0</v>
      </c>
      <c r="Q254" s="20">
        <f>IFERROR(__xludf.DUMMYFUNCTION("iferror(filter('3.5.clean'!C:C,'3.5.clean'!A:A=C254),"""")"),43663.0)</f>
        <v>43663</v>
      </c>
      <c r="R254" s="22" t="b">
        <f t="shared" ref="R254:R260" si="136">if(Q254="",FALSE,TRUE)</f>
        <v>1</v>
      </c>
      <c r="S254" s="4" t="str">
        <f>IFERROR(__xludf.DUMMYFUNCTION("iferror(filter('3.5.clean'!H:H,'3.5.clean'!A:A=C254),"""")"),"")</f>
        <v/>
      </c>
      <c r="V254" s="1" t="s">
        <v>64</v>
      </c>
      <c r="W254" s="23" t="b">
        <f t="shared" ref="W254:W259" si="137">IF(and(R254=TRUE,N254=TRUE,P254=TRUE),TRUE,FALSE)</f>
        <v>0</v>
      </c>
      <c r="X254" s="23" t="str">
        <f>IFERROR(__xludf.DUMMYFUNCTION("if(COUNTA(FILTER(C:C, C:C = C254))=1,""no"",""yes"")"),"no")</f>
        <v>no</v>
      </c>
    </row>
    <row r="255">
      <c r="A255" s="1" t="s">
        <v>402</v>
      </c>
      <c r="B255" s="2">
        <v>1.0</v>
      </c>
      <c r="C255" s="19" t="s">
        <v>916</v>
      </c>
      <c r="E255" s="24">
        <f>IFERROR(__xludf.DUMMYFUNCTION("ifna(IFNA(filter('2.1.clean'!C:C,'2.1.clean'!A:A=C255),filter('2.2.clean'!E:E,'2.2.clean'!D:D=C255)),filter('2.4.clean'!C:C,'2.4.clean'!A:A=C255))"),43664.0)</f>
        <v>43664</v>
      </c>
      <c r="F255" s="25">
        <f>IFERROR(__xludf.DUMMYFUNCTION("iferror(ifna(IFNA(filter('2.1.clean'!E:E,'2.1.clean'!A:A=C255),filter('2.2.clean'!G:G,'2.2.clean'!D:D=C255)),filter('2.4.clean'!E:E,'2.4.clean'!A:A=C255)),)"),2.4)</f>
        <v>2.4</v>
      </c>
      <c r="G255" s="24"/>
      <c r="J255" s="25"/>
      <c r="K255" s="24"/>
      <c r="L255" s="25"/>
      <c r="M255" s="24">
        <f>IFERROR(__xludf.DUMMYFUNCTION("iferror(filter('3.3.clean'!C:C,'3.3.clean'!A:A=C255),"""")"),43668.0)</f>
        <v>43668</v>
      </c>
      <c r="N255" s="25" t="b">
        <f t="shared" si="134"/>
        <v>1</v>
      </c>
      <c r="O255" s="24">
        <f>IFERROR(__xludf.DUMMYFUNCTION("iferror(filter('3.4.clean'!C:C,'3.4.clean'!A:A=C255),"""")"),43684.0)</f>
        <v>43684</v>
      </c>
      <c r="P255" s="25" t="b">
        <f t="shared" si="135"/>
        <v>1</v>
      </c>
      <c r="Q255" s="24">
        <f>IFERROR(__xludf.DUMMYFUNCTION("iferror(filter('3.5.clean'!C:C,'3.5.clean'!A:A=C255),"""")"),43664.0)</f>
        <v>43664</v>
      </c>
      <c r="R255" s="23" t="b">
        <f t="shared" si="136"/>
        <v>1</v>
      </c>
      <c r="S255" s="25"/>
      <c r="T255" s="1" t="s">
        <v>917</v>
      </c>
      <c r="U255" s="23"/>
      <c r="V255" s="1" t="s">
        <v>64</v>
      </c>
      <c r="W255" s="23" t="b">
        <f t="shared" si="137"/>
        <v>1</v>
      </c>
      <c r="X255" s="23" t="str">
        <f>IFERROR(__xludf.DUMMYFUNCTION("if(COUNTA(FILTER(C:C, C:C = C255))=1,""no"",""yes"")"),"no")</f>
        <v>no</v>
      </c>
    </row>
    <row r="256">
      <c r="A256" s="1" t="s">
        <v>402</v>
      </c>
      <c r="B256" s="2">
        <v>2.0</v>
      </c>
      <c r="C256" s="19" t="s">
        <v>918</v>
      </c>
      <c r="E256" s="24">
        <f>IFERROR(__xludf.DUMMYFUNCTION("ifna(IFNA(filter('2.1.clean'!C:C,'2.1.clean'!A:A=C256),filter('2.2.clean'!E:E,'2.2.clean'!D:D=C256)),filter('2.4.clean'!C:C,'2.4.clean'!A:A=C256))"),43664.0)</f>
        <v>43664</v>
      </c>
      <c r="F256" s="25">
        <f>IFERROR(__xludf.DUMMYFUNCTION("iferror(ifna(IFNA(filter('2.1.clean'!E:E,'2.1.clean'!A:A=C256),filter('2.2.clean'!G:G,'2.2.clean'!D:D=C256)),filter('2.4.clean'!E:E,'2.4.clean'!A:A=C256)),)"),2.4)</f>
        <v>2.4</v>
      </c>
      <c r="G256" s="24"/>
      <c r="J256" s="25"/>
      <c r="K256" s="24"/>
      <c r="L256" s="25"/>
      <c r="M256" s="24">
        <f>IFERROR(__xludf.DUMMYFUNCTION("iferror(filter('3.3.clean'!C:C,'3.3.clean'!A:A=C256),"""")"),43668.0)</f>
        <v>43668</v>
      </c>
      <c r="N256" s="25" t="b">
        <f t="shared" si="134"/>
        <v>1</v>
      </c>
      <c r="O256" s="24">
        <f>IFERROR(__xludf.DUMMYFUNCTION("iferror(filter('3.4.clean'!C:C,'3.4.clean'!A:A=C256),"""")"),43684.0)</f>
        <v>43684</v>
      </c>
      <c r="P256" s="25" t="b">
        <f t="shared" si="135"/>
        <v>1</v>
      </c>
      <c r="Q256" s="24">
        <f>IFERROR(__xludf.DUMMYFUNCTION("iferror(filter('3.5.clean'!C:C,'3.5.clean'!A:A=C256),"""")"),43664.0)</f>
        <v>43664</v>
      </c>
      <c r="R256" s="23" t="b">
        <f t="shared" si="136"/>
        <v>1</v>
      </c>
      <c r="S256" s="25"/>
      <c r="T256" s="1" t="s">
        <v>917</v>
      </c>
      <c r="U256" s="23"/>
      <c r="V256" s="1" t="s">
        <v>64</v>
      </c>
      <c r="W256" s="23" t="b">
        <f t="shared" si="137"/>
        <v>1</v>
      </c>
      <c r="X256" s="23" t="str">
        <f>IFERROR(__xludf.DUMMYFUNCTION("if(COUNTA(FILTER(C:C, C:C = C256))=1,""no"",""yes"")"),"no")</f>
        <v>no</v>
      </c>
    </row>
    <row r="257">
      <c r="A257" s="1" t="s">
        <v>402</v>
      </c>
      <c r="B257" s="2">
        <v>3.0</v>
      </c>
      <c r="C257" s="19" t="s">
        <v>920</v>
      </c>
      <c r="E257" s="24">
        <f>IFERROR(__xludf.DUMMYFUNCTION("ifna(IFNA(filter('2.1.clean'!C:C,'2.1.clean'!A:A=C257),filter('2.2.clean'!E:E,'2.2.clean'!D:D=C257)),filter('2.4.clean'!C:C,'2.4.clean'!A:A=C257))"),43664.0)</f>
        <v>43664</v>
      </c>
      <c r="F257" s="25">
        <f>IFERROR(__xludf.DUMMYFUNCTION("iferror(ifna(IFNA(filter('2.1.clean'!E:E,'2.1.clean'!A:A=C257),filter('2.2.clean'!G:G,'2.2.clean'!D:D=C257)),filter('2.4.clean'!E:E,'2.4.clean'!A:A=C257)),)"),2.4)</f>
        <v>2.4</v>
      </c>
      <c r="G257" s="24"/>
      <c r="J257" s="25"/>
      <c r="K257" s="24"/>
      <c r="L257" s="25"/>
      <c r="M257" s="24">
        <f>IFERROR(__xludf.DUMMYFUNCTION("iferror(filter('3.3.clean'!C:C,'3.3.clean'!A:A=C257),"""")"),43668.0)</f>
        <v>43668</v>
      </c>
      <c r="N257" s="25" t="b">
        <f t="shared" si="134"/>
        <v>1</v>
      </c>
      <c r="O257" s="24">
        <f>IFERROR(__xludf.DUMMYFUNCTION("iferror(filter('3.4.clean'!C:C,'3.4.clean'!A:A=C257),"""")"),43684.0)</f>
        <v>43684</v>
      </c>
      <c r="P257" s="25" t="b">
        <f t="shared" si="135"/>
        <v>1</v>
      </c>
      <c r="Q257" s="24">
        <f>IFERROR(__xludf.DUMMYFUNCTION("iferror(filter('3.5.clean'!C:C,'3.5.clean'!A:A=C257),"""")"),43664.0)</f>
        <v>43664</v>
      </c>
      <c r="R257" s="23" t="b">
        <f t="shared" si="136"/>
        <v>1</v>
      </c>
      <c r="S257" s="25"/>
      <c r="T257" s="1" t="s">
        <v>917</v>
      </c>
      <c r="U257" s="23"/>
      <c r="V257" s="1" t="s">
        <v>64</v>
      </c>
      <c r="W257" s="23" t="b">
        <f t="shared" si="137"/>
        <v>1</v>
      </c>
      <c r="X257" s="23" t="str">
        <f>IFERROR(__xludf.DUMMYFUNCTION("if(COUNTA(FILTER(C:C, C:C = C257))=1,""no"",""yes"")"),"no")</f>
        <v>no</v>
      </c>
    </row>
    <row r="258">
      <c r="A258" s="1" t="s">
        <v>402</v>
      </c>
      <c r="B258" s="2">
        <v>4.0</v>
      </c>
      <c r="C258" s="19" t="s">
        <v>921</v>
      </c>
      <c r="E258" s="24">
        <f>IFERROR(__xludf.DUMMYFUNCTION("ifna(IFNA(filter('2.1.clean'!C:C,'2.1.clean'!A:A=C258),filter('2.2.clean'!E:E,'2.2.clean'!D:D=C258)),filter('2.4.clean'!C:C,'2.4.clean'!A:A=C258))"),43664.0)</f>
        <v>43664</v>
      </c>
      <c r="F258" s="25">
        <f>IFERROR(__xludf.DUMMYFUNCTION("iferror(ifna(IFNA(filter('2.1.clean'!E:E,'2.1.clean'!A:A=C258),filter('2.2.clean'!G:G,'2.2.clean'!D:D=C258)),filter('2.4.clean'!E:E,'2.4.clean'!A:A=C258)),)"),2.4)</f>
        <v>2.4</v>
      </c>
      <c r="G258" s="24"/>
      <c r="J258" s="25"/>
      <c r="K258" s="24"/>
      <c r="L258" s="25"/>
      <c r="M258" s="24">
        <f>IFERROR(__xludf.DUMMYFUNCTION("iferror(filter('3.3.clean'!C:C,'3.3.clean'!A:A=C258),"""")"),43668.0)</f>
        <v>43668</v>
      </c>
      <c r="N258" s="25" t="b">
        <f t="shared" si="134"/>
        <v>1</v>
      </c>
      <c r="O258" s="24">
        <f>IFERROR(__xludf.DUMMYFUNCTION("iferror(filter('3.4.clean'!C:C,'3.4.clean'!A:A=C258),"""")"),43684.0)</f>
        <v>43684</v>
      </c>
      <c r="P258" s="25" t="b">
        <f t="shared" si="135"/>
        <v>1</v>
      </c>
      <c r="Q258" s="24">
        <f>IFERROR(__xludf.DUMMYFUNCTION("iferror(filter('3.5.clean'!C:C,'3.5.clean'!A:A=C258),"""")"),43664.0)</f>
        <v>43664</v>
      </c>
      <c r="R258" s="23" t="b">
        <f t="shared" si="136"/>
        <v>1</v>
      </c>
      <c r="S258" s="25"/>
      <c r="T258" s="1" t="s">
        <v>917</v>
      </c>
      <c r="U258" s="23"/>
      <c r="V258" s="1" t="s">
        <v>64</v>
      </c>
      <c r="W258" s="23" t="b">
        <f t="shared" si="137"/>
        <v>1</v>
      </c>
      <c r="X258" s="23" t="str">
        <f>IFERROR(__xludf.DUMMYFUNCTION("if(COUNTA(FILTER(C:C, C:C = C258))=1,""no"",""yes"")"),"no")</f>
        <v>no</v>
      </c>
    </row>
    <row r="259">
      <c r="A259" s="1" t="s">
        <v>402</v>
      </c>
      <c r="B259" s="19">
        <v>5.0</v>
      </c>
      <c r="C259" s="19" t="s">
        <v>922</v>
      </c>
      <c r="D259" s="22" t="str">
        <f>if(or(I259=1,J259=1,S259=1),"pos","")</f>
        <v/>
      </c>
      <c r="E259" s="20">
        <f>Q259</f>
        <v>43664</v>
      </c>
      <c r="F259" s="25" t="str">
        <f>IFERROR(__xludf.DUMMYFUNCTION("iferror(ifna(IFNA(filter('2.1.clean'!E:E,'2.1.clean'!A:A=C259),filter('2.2.clean'!G:G,'2.2.clean'!D:D=C259)),filter('2.4.clean'!E:E,'2.4.clean'!A:A=C259)),)"),"")</f>
        <v/>
      </c>
      <c r="G259" s="20" t="str">
        <f>IFERROR(__xludf.DUMMYFUNCTION("iferror(filter('3.1.clean'!C:C,'3.1.clean'!A:A=C259),"""")"),"")</f>
        <v/>
      </c>
      <c r="H259" s="22"/>
      <c r="I259" s="22"/>
      <c r="J259" s="79"/>
      <c r="K259" s="20" t="str">
        <f>IFERROR(__xludf.DUMMYFUNCTION("iferror(filter('3.2.clean'!C:C,'3.2.clean'!A:A=C259),"""")"),"")</f>
        <v/>
      </c>
      <c r="L259" s="79"/>
      <c r="M259" s="20">
        <f>IFERROR(__xludf.DUMMYFUNCTION("iferror(filter('3.3.clean'!C:C,'3.3.clean'!A:A=C259),"""")"),43669.0)</f>
        <v>43669</v>
      </c>
      <c r="N259" s="79" t="b">
        <f t="shared" si="134"/>
        <v>1</v>
      </c>
      <c r="O259" s="20" t="str">
        <f>IFERROR(__xludf.DUMMYFUNCTION("iferror(filter('3.4.clean'!C:C,'3.4.clean'!A:A=C259),"""")"),"")</f>
        <v/>
      </c>
      <c r="P259" s="79" t="b">
        <f t="shared" si="135"/>
        <v>0</v>
      </c>
      <c r="Q259" s="20">
        <f>IFERROR(__xludf.DUMMYFUNCTION("iferror(filter('3.5.clean'!C:C,'3.5.clean'!A:A=C259),"""")"),43664.0)</f>
        <v>43664</v>
      </c>
      <c r="R259" s="22" t="b">
        <f t="shared" si="136"/>
        <v>1</v>
      </c>
      <c r="S259" s="4" t="str">
        <f>IFERROR(__xludf.DUMMYFUNCTION("iferror(filter('3.5.clean'!H:H,'3.5.clean'!A:A=C259),"""")"),"")</f>
        <v/>
      </c>
      <c r="V259" s="1" t="s">
        <v>64</v>
      </c>
      <c r="W259" s="23" t="b">
        <f t="shared" si="137"/>
        <v>0</v>
      </c>
      <c r="X259" s="23" t="str">
        <f>IFERROR(__xludf.DUMMYFUNCTION("if(COUNTA(FILTER(C:C, C:C = C259))=1,""no"",""yes"")"),"no")</f>
        <v>no</v>
      </c>
    </row>
    <row r="260">
      <c r="A260" s="75" t="s">
        <v>407</v>
      </c>
      <c r="B260" s="2">
        <v>1.0</v>
      </c>
      <c r="C260" s="19" t="s">
        <v>924</v>
      </c>
      <c r="E260" s="24">
        <f>IFERROR(__xludf.DUMMYFUNCTION("ifna(IFNA(filter('2.1.clean'!C:C,'2.1.clean'!A:A=C260),filter('2.2.clean'!E:E,'2.2.clean'!D:D=C260)),filter('2.4.clean'!C:C,'2.4.clean'!A:A=C260))"),43668.0)</f>
        <v>43668</v>
      </c>
      <c r="F260" s="25">
        <f>IFERROR(__xludf.DUMMYFUNCTION("iferror(ifna(IFNA(filter('2.1.clean'!E:E,'2.1.clean'!A:A=C260),filter('2.2.clean'!G:G,'2.2.clean'!D:D=C260)),filter('2.4.clean'!E:E,'2.4.clean'!A:A=C260)),)"),2.4)</f>
        <v>2.4</v>
      </c>
      <c r="G260" s="24">
        <f>IFERROR(__xludf.DUMMYFUNCTION("iferror(filter('3.1.clean'!C:C,'3.1.clean'!A:A=C260),"""")"),43668.0)</f>
        <v>43668</v>
      </c>
      <c r="H260" s="23" t="b">
        <f t="shared" ref="H260:H262" si="138">if(G260="",FALSE,TRUE)</f>
        <v>1</v>
      </c>
      <c r="J260" s="25"/>
      <c r="K260" s="24" t="str">
        <f>IFERROR(__xludf.DUMMYFUNCTION("iferror(filter('3.2.clean'!C:C,'3.2.clean'!A:A=C260),"""")"),"")</f>
        <v/>
      </c>
      <c r="L260" s="25" t="b">
        <f t="shared" ref="L260:L261" si="139">if(K260="",FALSE,TRUE)</f>
        <v>0</v>
      </c>
      <c r="M260" s="24">
        <f>IFERROR(__xludf.DUMMYFUNCTION("iferror(filter('3.3.clean'!C:C,'3.3.clean'!A:A=C260),"""")"),43671.0)</f>
        <v>43671</v>
      </c>
      <c r="N260" s="25" t="b">
        <f t="shared" si="134"/>
        <v>1</v>
      </c>
      <c r="O260" s="24">
        <f>IFERROR(__xludf.DUMMYFUNCTION("iferror(filter('3.4.clean'!C:C,'3.4.clean'!A:A=C260),"""")"),43684.0)</f>
        <v>43684</v>
      </c>
      <c r="P260" s="25" t="b">
        <f t="shared" si="135"/>
        <v>1</v>
      </c>
      <c r="Q260" s="24">
        <f>IFERROR(__xludf.DUMMYFUNCTION("iferror(filter('3.5.clean'!C:C,'3.5.clean'!A:A=C260),"""")"),43668.0)</f>
        <v>43668</v>
      </c>
      <c r="R260" s="23" t="b">
        <f t="shared" si="136"/>
        <v>1</v>
      </c>
      <c r="S260" s="25"/>
      <c r="U260" s="23"/>
      <c r="V260" s="1" t="s">
        <v>64</v>
      </c>
      <c r="X260" s="23" t="str">
        <f>IFERROR(__xludf.DUMMYFUNCTION("if(COUNTA(FILTER(C:C, C:C = C260))=1,""no"",""yes"")"),"no")</f>
        <v>no</v>
      </c>
    </row>
    <row r="261">
      <c r="A261" s="75" t="s">
        <v>407</v>
      </c>
      <c r="B261" s="2">
        <v>2.0</v>
      </c>
      <c r="C261" s="69" t="s">
        <v>925</v>
      </c>
      <c r="E261" s="24">
        <v>43668.0</v>
      </c>
      <c r="F261" s="25" t="str">
        <f>IFERROR(__xludf.DUMMYFUNCTION("iferror(ifna(IFNA(filter('2.1.clean'!E:E,'2.1.clean'!A:A=C261),filter('2.2.clean'!G:G,'2.2.clean'!D:D=C261)),filter('2.4.clean'!E:E,'2.4.clean'!A:A=C261)),)"),"")</f>
        <v/>
      </c>
      <c r="G261" s="24" t="str">
        <f>IFERROR(__xludf.DUMMYFUNCTION("iferror(filter('3.1.clean'!C:C,'3.1.clean'!A:A=C261),"""")"),"")</f>
        <v/>
      </c>
      <c r="H261" s="23" t="b">
        <f t="shared" si="138"/>
        <v>0</v>
      </c>
      <c r="J261" s="25"/>
      <c r="K261" s="24" t="str">
        <f>IFERROR(__xludf.DUMMYFUNCTION("iferror(filter('3.2.clean'!C:C,'3.2.clean'!A:A=C261),"""")"),"")</f>
        <v/>
      </c>
      <c r="L261" s="25" t="b">
        <f t="shared" si="139"/>
        <v>0</v>
      </c>
      <c r="M261" s="1" t="s">
        <v>814</v>
      </c>
      <c r="N261" s="25" t="b">
        <f t="shared" si="134"/>
        <v>1</v>
      </c>
      <c r="O261" s="24">
        <f>IFERROR(__xludf.DUMMYFUNCTION("iferror(filter('3.4.clean'!C:C,'3.4.clean'!A:A=C261),"""")"),43684.0)</f>
        <v>43684</v>
      </c>
      <c r="P261" s="25" t="b">
        <f t="shared" si="135"/>
        <v>1</v>
      </c>
      <c r="Q261" s="24" t="str">
        <f>IFERROR(__xludf.DUMMYFUNCTION("iferror(filter('3.5.clean'!C:C,'3.5.clean'!A:A=C261),"""")"),"")</f>
        <v/>
      </c>
      <c r="S261" s="25"/>
      <c r="U261" s="1" t="s">
        <v>503</v>
      </c>
      <c r="V261" s="1" t="s">
        <v>64</v>
      </c>
      <c r="X261" s="23" t="str">
        <f>IFERROR(__xludf.DUMMYFUNCTION("if(COUNTA(FILTER(C:C, C:C = C261))=1,""no"",""yes"")"),"no")</f>
        <v>no</v>
      </c>
    </row>
    <row r="262">
      <c r="A262" s="75" t="s">
        <v>407</v>
      </c>
      <c r="B262" s="19">
        <v>3.0</v>
      </c>
      <c r="C262" s="19" t="s">
        <v>926</v>
      </c>
      <c r="D262" s="76" t="str">
        <f t="shared" ref="D262:D263" si="140">if(or(I262=1,J262=1,S262=1),"pos","")</f>
        <v/>
      </c>
      <c r="E262" s="77">
        <f>G262</f>
        <v>43668</v>
      </c>
      <c r="F262" s="78" t="str">
        <f>IFERROR(__xludf.DUMMYFUNCTION("iferror(ifna(IFNA(filter('2.1.clean'!E:E,'2.1.clean'!A:A=C262),filter('2.2.clean'!G:G,'2.2.clean'!D:D=C262)),filter('2.4.clean'!E:E,'2.4.clean'!A:A=C262)),)"),"")</f>
        <v/>
      </c>
      <c r="G262" s="77">
        <f>IFERROR(__xludf.DUMMYFUNCTION("iferror(filter('3.1.clean'!C:C,'3.1.clean'!A:A=C262),"""")"),43668.0)</f>
        <v>43668</v>
      </c>
      <c r="H262" s="76" t="b">
        <f t="shared" si="138"/>
        <v>1</v>
      </c>
      <c r="I262" s="76">
        <f>IFERROR(__xludf.DUMMYFUNCTION("iferror(filter('3.1.clean'!G:G,'3.1.clean'!A:A=C262),"""")"),0.0)</f>
        <v>0</v>
      </c>
      <c r="J262" s="78" t="str">
        <f>IFERROR(__xludf.DUMMYFUNCTION("iferror(filter('3.1.clean'!I:I,'3.1.clean'!A:A=C262),"""")"),"")</f>
        <v/>
      </c>
      <c r="K262" s="77"/>
      <c r="L262" s="78"/>
      <c r="M262" s="77"/>
      <c r="N262" s="78"/>
      <c r="O262" s="77"/>
      <c r="P262" s="78"/>
      <c r="Q262" s="77"/>
      <c r="R262" s="76"/>
      <c r="S262" s="25"/>
      <c r="T262" s="1"/>
      <c r="V262" s="1" t="s">
        <v>64</v>
      </c>
      <c r="W262" s="1" t="b">
        <v>1</v>
      </c>
      <c r="X262" s="23" t="str">
        <f>IFERROR(__xludf.DUMMYFUNCTION("if(COUNTA(FILTER(C:C, C:C = C262))=1,""no"",""yes"")"),"no")</f>
        <v>no</v>
      </c>
    </row>
    <row r="263">
      <c r="A263" s="75" t="s">
        <v>407</v>
      </c>
      <c r="B263" s="19">
        <v>4.0</v>
      </c>
      <c r="C263" s="19" t="s">
        <v>928</v>
      </c>
      <c r="D263" s="22" t="str">
        <f t="shared" si="140"/>
        <v/>
      </c>
      <c r="E263" s="20">
        <f>Q263</f>
        <v>43668</v>
      </c>
      <c r="F263" s="25" t="str">
        <f>IFERROR(__xludf.DUMMYFUNCTION("iferror(ifna(IFNA(filter('2.1.clean'!E:E,'2.1.clean'!A:A=C263),filter('2.2.clean'!G:G,'2.2.clean'!D:D=C263)),filter('2.4.clean'!E:E,'2.4.clean'!A:A=C263)),)"),"")</f>
        <v/>
      </c>
      <c r="G263" s="20" t="str">
        <f>IFERROR(__xludf.DUMMYFUNCTION("iferror(filter('3.1.clean'!C:C,'3.1.clean'!A:A=C263),"""")"),"")</f>
        <v/>
      </c>
      <c r="H263" s="22"/>
      <c r="I263" s="22"/>
      <c r="J263" s="79"/>
      <c r="K263" s="20" t="str">
        <f>IFERROR(__xludf.DUMMYFUNCTION("iferror(filter('3.2.clean'!C:C,'3.2.clean'!A:A=C263),"""")"),"")</f>
        <v/>
      </c>
      <c r="L263" s="79"/>
      <c r="M263" s="20">
        <f>IFERROR(__xludf.DUMMYFUNCTION("iferror(filter('3.3.clean'!C:C,'3.3.clean'!A:A=C263),"""")"),43671.0)</f>
        <v>43671</v>
      </c>
      <c r="N263" s="79" t="b">
        <f t="shared" ref="N263:N264" si="141">if(M263="",FALSE,TRUE)</f>
        <v>1</v>
      </c>
      <c r="O263" s="20" t="str">
        <f>IFERROR(__xludf.DUMMYFUNCTION("iferror(filter('3.4.clean'!C:C,'3.4.clean'!A:A=C263),"""")"),"")</f>
        <v/>
      </c>
      <c r="P263" s="79" t="b">
        <f t="shared" ref="P263:P276" si="142">if(O263="",FALSE,TRUE)</f>
        <v>0</v>
      </c>
      <c r="Q263" s="20">
        <f>IFERROR(__xludf.DUMMYFUNCTION("iferror(filter('3.5.clean'!C:C,'3.5.clean'!A:A=C263),"""")"),43668.0)</f>
        <v>43668</v>
      </c>
      <c r="R263" s="22" t="b">
        <f t="shared" ref="R263:R264" si="143">if(Q263="",FALSE,TRUE)</f>
        <v>1</v>
      </c>
      <c r="S263" s="4" t="str">
        <f>IFERROR(__xludf.DUMMYFUNCTION("iferror(filter('3.5.clean'!H:H,'3.5.clean'!A:A=C263),"""")"),"")</f>
        <v/>
      </c>
      <c r="V263" s="1" t="s">
        <v>64</v>
      </c>
      <c r="W263" s="23" t="b">
        <f t="shared" ref="W263:W264" si="144">IF(and(R263=TRUE,N263=TRUE,P263=TRUE),TRUE,FALSE)</f>
        <v>0</v>
      </c>
      <c r="X263" s="23" t="str">
        <f>IFERROR(__xludf.DUMMYFUNCTION("if(COUNTA(FILTER(C:C, C:C = C263))=1,""no"",""yes"")"),"no")</f>
        <v>no</v>
      </c>
    </row>
    <row r="264">
      <c r="A264" s="1" t="s">
        <v>412</v>
      </c>
      <c r="B264" s="2">
        <v>1.0</v>
      </c>
      <c r="C264" s="19" t="s">
        <v>929</v>
      </c>
      <c r="E264" s="24">
        <f>IFERROR(__xludf.DUMMYFUNCTION("ifna(IFNA(filter('2.1.clean'!C:C,'2.1.clean'!A:A=C264),filter('2.2.clean'!E:E,'2.2.clean'!D:D=C264)),filter('2.4.clean'!C:C,'2.4.clean'!A:A=C264))"),43669.0)</f>
        <v>43669</v>
      </c>
      <c r="F264" s="25">
        <f>IFERROR(__xludf.DUMMYFUNCTION("iferror(ifna(IFNA(filter('2.1.clean'!E:E,'2.1.clean'!A:A=C264),filter('2.2.clean'!G:G,'2.2.clean'!D:D=C264)),filter('2.4.clean'!E:E,'2.4.clean'!A:A=C264)),)"),2.4)</f>
        <v>2.4</v>
      </c>
      <c r="G264" s="24"/>
      <c r="J264" s="25"/>
      <c r="K264" s="24"/>
      <c r="L264" s="25"/>
      <c r="M264" s="24">
        <f>IFERROR(__xludf.DUMMYFUNCTION("iferror(filter('3.3.clean'!C:C,'3.3.clean'!A:A=C264),"""")"),43671.0)</f>
        <v>43671</v>
      </c>
      <c r="N264" s="25" t="b">
        <f t="shared" si="141"/>
        <v>1</v>
      </c>
      <c r="O264" s="24">
        <f>IFERROR(__xludf.DUMMYFUNCTION("iferror(filter('3.4.clean'!C:C,'3.4.clean'!A:A=C264),"""")"),43684.0)</f>
        <v>43684</v>
      </c>
      <c r="P264" s="25" t="b">
        <f t="shared" si="142"/>
        <v>1</v>
      </c>
      <c r="Q264" s="24">
        <f>IFERROR(__xludf.DUMMYFUNCTION("iferror(filter('3.5.clean'!C:C,'3.5.clean'!A:A=C264),"""")"),43669.0)</f>
        <v>43669</v>
      </c>
      <c r="R264" s="23" t="b">
        <f t="shared" si="143"/>
        <v>1</v>
      </c>
      <c r="S264" s="25"/>
      <c r="U264" s="23"/>
      <c r="V264" s="1" t="s">
        <v>64</v>
      </c>
      <c r="W264" s="23" t="b">
        <f t="shared" si="144"/>
        <v>1</v>
      </c>
      <c r="X264" s="23" t="str">
        <f>IFERROR(__xludf.DUMMYFUNCTION("if(COUNTA(FILTER(C:C, C:C = C264))=1,""no"",""yes"")"),"no")</f>
        <v>no</v>
      </c>
    </row>
    <row r="265">
      <c r="A265" s="1" t="s">
        <v>412</v>
      </c>
      <c r="B265" s="2">
        <v>2.0</v>
      </c>
      <c r="C265" s="69" t="s">
        <v>930</v>
      </c>
      <c r="E265" s="24">
        <v>43669.0</v>
      </c>
      <c r="F265" s="25" t="str">
        <f>IFERROR(__xludf.DUMMYFUNCTION("iferror(ifna(IFNA(filter('2.1.clean'!E:E,'2.1.clean'!A:A=C265),filter('2.2.clean'!G:G,'2.2.clean'!D:D=C265)),filter('2.4.clean'!E:E,'2.4.clean'!A:A=C265)),)"),"")</f>
        <v/>
      </c>
      <c r="G265" s="24"/>
      <c r="J265" s="25"/>
      <c r="K265" s="24"/>
      <c r="L265" s="25"/>
      <c r="M265" s="24" t="str">
        <f>IFERROR(__xludf.DUMMYFUNCTION("iferror(filter('3.3.clean'!C:C,'3.3.clean'!A:A=C265),"""")"),"")</f>
        <v/>
      </c>
      <c r="N265" s="25"/>
      <c r="O265" s="24" t="str">
        <f>IFERROR(__xludf.DUMMYFUNCTION("iferror(filter('3.4.clean'!C:C,'3.4.clean'!A:A=C265),"""")"),"")</f>
        <v/>
      </c>
      <c r="P265" s="25" t="b">
        <f t="shared" si="142"/>
        <v>0</v>
      </c>
      <c r="Q265" s="24" t="str">
        <f>IFERROR(__xludf.DUMMYFUNCTION("iferror(filter('3.5.clean'!C:C,'3.5.clean'!A:A=C265),"""")"),"")</f>
        <v/>
      </c>
      <c r="S265" s="25"/>
      <c r="V265" s="1" t="s">
        <v>64</v>
      </c>
      <c r="W265" s="1" t="b">
        <v>1</v>
      </c>
      <c r="X265" s="23" t="str">
        <f>IFERROR(__xludf.DUMMYFUNCTION("if(COUNTA(FILTER(C:C, C:C = C265))=1,""no"",""yes"")"),"no")</f>
        <v>no</v>
      </c>
    </row>
    <row r="266">
      <c r="A266" s="1" t="s">
        <v>412</v>
      </c>
      <c r="B266" s="2">
        <v>3.0</v>
      </c>
      <c r="C266" s="19" t="s">
        <v>931</v>
      </c>
      <c r="E266" s="24">
        <f>IFERROR(__xludf.DUMMYFUNCTION("ifna(IFNA(filter('2.1.clean'!C:C,'2.1.clean'!A:A=C266),filter('2.2.clean'!E:E,'2.2.clean'!D:D=C266)),filter('2.4.clean'!C:C,'2.4.clean'!A:A=C266))"),43669.0)</f>
        <v>43669</v>
      </c>
      <c r="F266" s="25">
        <f>IFERROR(__xludf.DUMMYFUNCTION("iferror(ifna(IFNA(filter('2.1.clean'!E:E,'2.1.clean'!A:A=C266),filter('2.2.clean'!G:G,'2.2.clean'!D:D=C266)),filter('2.4.clean'!E:E,'2.4.clean'!A:A=C266)),)"),2.4)</f>
        <v>2.4</v>
      </c>
      <c r="G266" s="24"/>
      <c r="J266" s="25"/>
      <c r="K266" s="24"/>
      <c r="L266" s="25"/>
      <c r="M266" s="24">
        <f>IFERROR(__xludf.DUMMYFUNCTION("iferror(filter('3.3.clean'!C:C,'3.3.clean'!A:A=C266),"""")"),43671.0)</f>
        <v>43671</v>
      </c>
      <c r="N266" s="25" t="b">
        <f>if(M266="",FALSE,TRUE)</f>
        <v>1</v>
      </c>
      <c r="O266" s="24">
        <f>IFERROR(__xludf.DUMMYFUNCTION("iferror(filter('3.4.clean'!C:C,'3.4.clean'!A:A=C266),"""")"),43684.0)</f>
        <v>43684</v>
      </c>
      <c r="P266" s="25" t="b">
        <f t="shared" si="142"/>
        <v>1</v>
      </c>
      <c r="Q266" s="24">
        <f>IFERROR(__xludf.DUMMYFUNCTION("iferror(filter('3.5.clean'!C:C,'3.5.clean'!A:A=C266),"""")"),43669.0)</f>
        <v>43669</v>
      </c>
      <c r="R266" s="23" t="b">
        <f>if(Q266="",FALSE,TRUE)</f>
        <v>1</v>
      </c>
      <c r="S266" s="25"/>
      <c r="U266" s="23"/>
      <c r="V266" s="1" t="s">
        <v>64</v>
      </c>
      <c r="W266" s="23" t="b">
        <f>IF(and(R266=TRUE,N266=TRUE,P266=TRUE),TRUE,FALSE)</f>
        <v>1</v>
      </c>
      <c r="X266" s="23" t="str">
        <f>IFERROR(__xludf.DUMMYFUNCTION("if(COUNTA(FILTER(C:C, C:C = C266))=1,""no"",""yes"")"),"no")</f>
        <v>no</v>
      </c>
    </row>
    <row r="267">
      <c r="A267" s="1" t="s">
        <v>412</v>
      </c>
      <c r="B267" s="2">
        <v>4.0</v>
      </c>
      <c r="C267" s="69" t="s">
        <v>933</v>
      </c>
      <c r="E267" s="24">
        <v>43669.0</v>
      </c>
      <c r="F267" s="25" t="str">
        <f>IFERROR(__xludf.DUMMYFUNCTION("iferror(ifna(IFNA(filter('2.1.clean'!E:E,'2.1.clean'!A:A=C267),filter('2.2.clean'!G:G,'2.2.clean'!D:D=C267)),filter('2.4.clean'!E:E,'2.4.clean'!A:A=C267)),)"),"")</f>
        <v/>
      </c>
      <c r="G267" s="24"/>
      <c r="J267" s="25"/>
      <c r="K267" s="24"/>
      <c r="L267" s="25"/>
      <c r="M267" s="24" t="str">
        <f>IFERROR(__xludf.DUMMYFUNCTION("iferror(filter('3.3.clean'!C:C,'3.3.clean'!A:A=C267),"""")"),"")</f>
        <v/>
      </c>
      <c r="N267" s="25"/>
      <c r="O267" s="24" t="str">
        <f>IFERROR(__xludf.DUMMYFUNCTION("iferror(filter('3.4.clean'!C:C,'3.4.clean'!A:A=C267),"""")"),"")</f>
        <v/>
      </c>
      <c r="P267" s="25" t="b">
        <f t="shared" si="142"/>
        <v>0</v>
      </c>
      <c r="Q267" s="24" t="str">
        <f>IFERROR(__xludf.DUMMYFUNCTION("iferror(filter('3.5.clean'!C:C,'3.5.clean'!A:A=C267),"""")"),"")</f>
        <v/>
      </c>
      <c r="S267" s="25"/>
      <c r="V267" s="1" t="s">
        <v>64</v>
      </c>
      <c r="W267" s="1" t="b">
        <v>1</v>
      </c>
      <c r="X267" s="23" t="str">
        <f>IFERROR(__xludf.DUMMYFUNCTION("if(COUNTA(FILTER(C:C, C:C = C267))=1,""no"",""yes"")"),"no")</f>
        <v>no</v>
      </c>
    </row>
    <row r="268">
      <c r="A268" s="1" t="s">
        <v>412</v>
      </c>
      <c r="B268" s="2">
        <v>5.0</v>
      </c>
      <c r="C268" s="19" t="s">
        <v>934</v>
      </c>
      <c r="E268" s="24">
        <f>IFERROR(__xludf.DUMMYFUNCTION("ifna(IFNA(filter('2.1.clean'!C:C,'2.1.clean'!A:A=C268),filter('2.2.clean'!E:E,'2.2.clean'!D:D=C268)),filter('2.4.clean'!C:C,'2.4.clean'!A:A=C268))"),43669.0)</f>
        <v>43669</v>
      </c>
      <c r="F268" s="25">
        <f>IFERROR(__xludf.DUMMYFUNCTION("iferror(ifna(IFNA(filter('2.1.clean'!E:E,'2.1.clean'!A:A=C268),filter('2.2.clean'!G:G,'2.2.clean'!D:D=C268)),filter('2.4.clean'!E:E,'2.4.clean'!A:A=C268)),)"),2.4)</f>
        <v>2.4</v>
      </c>
      <c r="G268" s="24"/>
      <c r="J268" s="25"/>
      <c r="K268" s="24"/>
      <c r="L268" s="25"/>
      <c r="M268" s="24">
        <f>IFERROR(__xludf.DUMMYFUNCTION("iferror(filter('3.3.clean'!C:C,'3.3.clean'!A:A=C268),"""")"),43671.0)</f>
        <v>43671</v>
      </c>
      <c r="N268" s="25" t="b">
        <f>if(M268="",FALSE,TRUE)</f>
        <v>1</v>
      </c>
      <c r="O268" s="24">
        <f>IFERROR(__xludf.DUMMYFUNCTION("iferror(filter('3.4.clean'!C:C,'3.4.clean'!A:A=C268),"""")"),43684.0)</f>
        <v>43684</v>
      </c>
      <c r="P268" s="25" t="b">
        <f t="shared" si="142"/>
        <v>1</v>
      </c>
      <c r="Q268" s="24">
        <f>IFERROR(__xludf.DUMMYFUNCTION("iferror(filter('3.5.clean'!C:C,'3.5.clean'!A:A=C268),"""")"),43669.0)</f>
        <v>43669</v>
      </c>
      <c r="R268" s="23" t="b">
        <f>if(Q268="",FALSE,TRUE)</f>
        <v>1</v>
      </c>
      <c r="S268" s="25"/>
      <c r="U268" s="23"/>
      <c r="V268" s="1" t="s">
        <v>64</v>
      </c>
      <c r="W268" s="23" t="b">
        <f>IF(and(R268=TRUE,N268=TRUE,P268=TRUE),TRUE,FALSE)</f>
        <v>1</v>
      </c>
      <c r="X268" s="23" t="str">
        <f>IFERROR(__xludf.DUMMYFUNCTION("if(COUNTA(FILTER(C:C, C:C = C268))=1,""no"",""yes"")"),"no")</f>
        <v>no</v>
      </c>
    </row>
    <row r="269">
      <c r="A269" s="1" t="s">
        <v>412</v>
      </c>
      <c r="B269" s="2">
        <v>6.0</v>
      </c>
      <c r="C269" s="69" t="s">
        <v>935</v>
      </c>
      <c r="E269" s="24">
        <v>43669.0</v>
      </c>
      <c r="F269" s="25" t="str">
        <f>IFERROR(__xludf.DUMMYFUNCTION("iferror(ifna(IFNA(filter('2.1.clean'!E:E,'2.1.clean'!A:A=C269),filter('2.2.clean'!G:G,'2.2.clean'!D:D=C269)),filter('2.4.clean'!E:E,'2.4.clean'!A:A=C269)),)"),"")</f>
        <v/>
      </c>
      <c r="G269" s="24"/>
      <c r="J269" s="25"/>
      <c r="K269" s="24"/>
      <c r="L269" s="25"/>
      <c r="M269" s="24" t="str">
        <f>IFERROR(__xludf.DUMMYFUNCTION("iferror(filter('3.3.clean'!C:C,'3.3.clean'!A:A=C269),"""")"),"")</f>
        <v/>
      </c>
      <c r="N269" s="25"/>
      <c r="O269" s="24" t="str">
        <f>IFERROR(__xludf.DUMMYFUNCTION("iferror(filter('3.4.clean'!C:C,'3.4.clean'!A:A=C269),"""")"),"")</f>
        <v/>
      </c>
      <c r="P269" s="25" t="b">
        <f t="shared" si="142"/>
        <v>0</v>
      </c>
      <c r="Q269" s="24" t="str">
        <f>IFERROR(__xludf.DUMMYFUNCTION("iferror(filter('3.5.clean'!C:C,'3.5.clean'!A:A=C269),"""")"),"")</f>
        <v/>
      </c>
      <c r="S269" s="25"/>
      <c r="V269" s="1" t="s">
        <v>64</v>
      </c>
      <c r="W269" s="1" t="b">
        <v>1</v>
      </c>
      <c r="X269" s="23" t="str">
        <f>IFERROR(__xludf.DUMMYFUNCTION("if(COUNTA(FILTER(C:C, C:C = C269))=1,""no"",""yes"")"),"no")</f>
        <v>no</v>
      </c>
    </row>
    <row r="270">
      <c r="A270" s="1" t="s">
        <v>412</v>
      </c>
      <c r="B270" s="2">
        <v>7.0</v>
      </c>
      <c r="C270" s="19" t="s">
        <v>937</v>
      </c>
      <c r="E270" s="24">
        <f>IFERROR(__xludf.DUMMYFUNCTION("ifna(IFNA(filter('2.1.clean'!C:C,'2.1.clean'!A:A=C270),filter('2.2.clean'!E:E,'2.2.clean'!D:D=C270)),filter('2.4.clean'!C:C,'2.4.clean'!A:A=C270))"),43669.0)</f>
        <v>43669</v>
      </c>
      <c r="F270" s="25">
        <f>IFERROR(__xludf.DUMMYFUNCTION("iferror(ifna(IFNA(filter('2.1.clean'!E:E,'2.1.clean'!A:A=C270),filter('2.2.clean'!G:G,'2.2.clean'!D:D=C270)),filter('2.4.clean'!E:E,'2.4.clean'!A:A=C270)),)"),2.4)</f>
        <v>2.4</v>
      </c>
      <c r="G270" s="24"/>
      <c r="J270" s="25"/>
      <c r="K270" s="24"/>
      <c r="L270" s="25"/>
      <c r="M270" s="24">
        <f>IFERROR(__xludf.DUMMYFUNCTION("iferror(filter('3.3.clean'!C:C,'3.3.clean'!A:A=C270),"""")"),43671.0)</f>
        <v>43671</v>
      </c>
      <c r="N270" s="25" t="b">
        <f>if(M270="",FALSE,TRUE)</f>
        <v>1</v>
      </c>
      <c r="O270" s="24">
        <f>IFERROR(__xludf.DUMMYFUNCTION("iferror(filter('3.4.clean'!C:C,'3.4.clean'!A:A=C270),"""")"),43684.0)</f>
        <v>43684</v>
      </c>
      <c r="P270" s="25" t="b">
        <f t="shared" si="142"/>
        <v>1</v>
      </c>
      <c r="Q270" s="24">
        <f>IFERROR(__xludf.DUMMYFUNCTION("iferror(filter('3.5.clean'!C:C,'3.5.clean'!A:A=C270),"""")"),43669.0)</f>
        <v>43669</v>
      </c>
      <c r="R270" s="23" t="b">
        <f>if(Q270="",FALSE,TRUE)</f>
        <v>1</v>
      </c>
      <c r="S270" s="25"/>
      <c r="U270" s="23"/>
      <c r="V270" s="1" t="s">
        <v>64</v>
      </c>
      <c r="W270" s="23" t="b">
        <f>IF(and(R270=TRUE,N270=TRUE,P270=TRUE),TRUE,FALSE)</f>
        <v>1</v>
      </c>
      <c r="X270" s="23" t="str">
        <f>IFERROR(__xludf.DUMMYFUNCTION("if(COUNTA(FILTER(C:C, C:C = C270))=1,""no"",""yes"")"),"no")</f>
        <v>no</v>
      </c>
    </row>
    <row r="271">
      <c r="A271" s="1" t="s">
        <v>412</v>
      </c>
      <c r="B271" s="2">
        <v>8.0</v>
      </c>
      <c r="C271" s="69" t="s">
        <v>938</v>
      </c>
      <c r="E271" s="24">
        <v>43669.0</v>
      </c>
      <c r="F271" s="25" t="str">
        <f>IFERROR(__xludf.DUMMYFUNCTION("iferror(ifna(IFNA(filter('2.1.clean'!E:E,'2.1.clean'!A:A=C271),filter('2.2.clean'!G:G,'2.2.clean'!D:D=C271)),filter('2.4.clean'!E:E,'2.4.clean'!A:A=C271)),)"),"")</f>
        <v/>
      </c>
      <c r="G271" s="24"/>
      <c r="J271" s="25"/>
      <c r="K271" s="24"/>
      <c r="L271" s="25"/>
      <c r="M271" s="24" t="str">
        <f>IFERROR(__xludf.DUMMYFUNCTION("iferror(filter('3.3.clean'!C:C,'3.3.clean'!A:A=C271),"""")"),"")</f>
        <v/>
      </c>
      <c r="N271" s="25"/>
      <c r="O271" s="24" t="str">
        <f>IFERROR(__xludf.DUMMYFUNCTION("iferror(filter('3.4.clean'!C:C,'3.4.clean'!A:A=C271),"""")"),"")</f>
        <v/>
      </c>
      <c r="P271" s="25" t="b">
        <f t="shared" si="142"/>
        <v>0</v>
      </c>
      <c r="Q271" s="24" t="str">
        <f>IFERROR(__xludf.DUMMYFUNCTION("iferror(filter('3.5.clean'!C:C,'3.5.clean'!A:A=C271),"""")"),"")</f>
        <v/>
      </c>
      <c r="S271" s="25"/>
      <c r="V271" s="1" t="s">
        <v>64</v>
      </c>
      <c r="W271" s="1" t="b">
        <v>1</v>
      </c>
      <c r="X271" s="23" t="str">
        <f>IFERROR(__xludf.DUMMYFUNCTION("if(COUNTA(FILTER(C:C, C:C = C271))=1,""no"",""yes"")"),"no")</f>
        <v>no</v>
      </c>
    </row>
    <row r="272">
      <c r="A272" s="1" t="s">
        <v>412</v>
      </c>
      <c r="B272" s="19">
        <v>9.0</v>
      </c>
      <c r="C272" s="19" t="s">
        <v>939</v>
      </c>
      <c r="D272" s="58" t="str">
        <f t="shared" ref="D272:D273" si="145">if(or(I272=1,J272=1,S272=1),"pos","")</f>
        <v>pos</v>
      </c>
      <c r="E272" s="59">
        <f>IFERROR(__xludf.DUMMYFUNCTION("ifna(IFNA(filter('2.1.clean'!C:C,'2.1.clean'!A:A=C272),filter('2.2.clean'!E:E,'2.2.clean'!D:D=C272)),filter('2.4.clean'!C:C,'2.4.clean'!A:A=C272))"),43669.0)</f>
        <v>43669</v>
      </c>
      <c r="F272" s="60">
        <f>IFERROR(__xludf.DUMMYFUNCTION("iferror(ifna(IFNA(filter('2.1.clean'!E:E,'2.1.clean'!A:A=C272),filter('2.2.clean'!G:G,'2.2.clean'!D:D=C272)),filter('2.4.clean'!E:E,'2.4.clean'!A:A=C272)),)"),2.4)</f>
        <v>2.4</v>
      </c>
      <c r="G272" s="59">
        <f>IFERROR(__xludf.DUMMYFUNCTION("iferror(filter('3.1.clean'!C:C,'3.1.clean'!A:A=C272),"""")"),43669.0)</f>
        <v>43669</v>
      </c>
      <c r="H272" s="58" t="b">
        <f>if(G272="",FALSE,TRUE)</f>
        <v>1</v>
      </c>
      <c r="I272" s="58">
        <f>IFERROR(__xludf.DUMMYFUNCTION("iferror(filter('3.1.clean'!G:G,'3.1.clean'!A:A=C272),"""")"),0.0)</f>
        <v>0</v>
      </c>
      <c r="J272" s="60">
        <f>IFERROR(__xludf.DUMMYFUNCTION("iferror(filter('3.1.clean'!I:I,'3.1.clean'!A:A=C272),"""")"),1.0)</f>
        <v>1</v>
      </c>
      <c r="K272" s="58"/>
      <c r="L272" s="60"/>
      <c r="M272" s="59">
        <f>IFERROR(__xludf.DUMMYFUNCTION("iferror(filter('3.3.clean'!C:C,'3.3.clean'!A:A=C272),"""")"),43671.0)</f>
        <v>43671</v>
      </c>
      <c r="N272" s="60" t="b">
        <f t="shared" ref="N272:N276" si="146">if(M272="",FALSE,TRUE)</f>
        <v>1</v>
      </c>
      <c r="O272" s="59" t="str">
        <f>IFERROR(__xludf.DUMMYFUNCTION("iferror(filter('3.4.clean'!C:C,'3.4.clean'!A:A=C272),"""")"),"")</f>
        <v/>
      </c>
      <c r="P272" s="60" t="b">
        <f t="shared" si="142"/>
        <v>0</v>
      </c>
      <c r="Q272" s="59" t="str">
        <f>IFERROR(__xludf.DUMMYFUNCTION("iferror(filter('3.5.clean'!C:C,'3.5.clean'!A:A=C272),"""")"),"")</f>
        <v/>
      </c>
      <c r="R272" s="58" t="b">
        <f t="shared" ref="R272:R273" si="147">if(Q272="",FALSE,TRUE)</f>
        <v>0</v>
      </c>
      <c r="S272" s="4" t="str">
        <f>IFERROR(__xludf.DUMMYFUNCTION("iferror(filter('3.5.clean'!H:H,'3.5.clean'!A:A=C272),"""")"),"")</f>
        <v/>
      </c>
      <c r="U272" s="23"/>
      <c r="V272" s="1" t="s">
        <v>64</v>
      </c>
      <c r="W272" s="23" t="b">
        <f>if(AND(H272=TRUE,N272=TRUE,P272=TRUE),TRUE,FALSE)</f>
        <v>0</v>
      </c>
      <c r="X272" s="23" t="str">
        <f>IFERROR(__xludf.DUMMYFUNCTION("if(COUNTA(FILTER(C:C, C:C = C272))=1,""no"",""yes"")"),"no")</f>
        <v>no</v>
      </c>
    </row>
    <row r="273">
      <c r="A273" s="1" t="s">
        <v>412</v>
      </c>
      <c r="B273" s="19">
        <v>10.0</v>
      </c>
      <c r="C273" s="19" t="s">
        <v>941</v>
      </c>
      <c r="D273" s="58" t="str">
        <f t="shared" si="145"/>
        <v>pos</v>
      </c>
      <c r="E273" s="59">
        <f>Q273</f>
        <v>43669</v>
      </c>
      <c r="F273" s="60" t="str">
        <f>IFERROR(__xludf.DUMMYFUNCTION("iferror(ifna(IFNA(filter('2.1.clean'!E:E,'2.1.clean'!A:A=C273),filter('2.2.clean'!G:G,'2.2.clean'!D:D=C273)),filter('2.4.clean'!E:E,'2.4.clean'!A:A=C273)),)"),"")</f>
        <v/>
      </c>
      <c r="G273" s="59" t="str">
        <f>IFERROR(__xludf.DUMMYFUNCTION("iferror(filter('3.1.clean'!C:C,'3.1.clean'!A:A=C273),"""")"),"")</f>
        <v/>
      </c>
      <c r="H273" s="58"/>
      <c r="I273" s="58"/>
      <c r="J273" s="60"/>
      <c r="K273" s="58"/>
      <c r="L273" s="60"/>
      <c r="M273" s="59" t="str">
        <f>IFERROR(__xludf.DUMMYFUNCTION("iferror(filter('3.3.clean'!C:C,'3.3.clean'!A:A=C273),"""")"),"")</f>
        <v/>
      </c>
      <c r="N273" s="60" t="b">
        <f t="shared" si="146"/>
        <v>0</v>
      </c>
      <c r="O273" s="59">
        <f>IFERROR(__xludf.DUMMYFUNCTION("iferror(filter('3.4.clean'!C:C,'3.4.clean'!A:A=C273),"""")"),43684.0)</f>
        <v>43684</v>
      </c>
      <c r="P273" s="60" t="b">
        <f t="shared" si="142"/>
        <v>1</v>
      </c>
      <c r="Q273" s="59">
        <f>IFERROR(__xludf.DUMMYFUNCTION("iferror(filter('3.5.clean'!C:C,'3.5.clean'!A:A=C273),"""")"),43669.0)</f>
        <v>43669</v>
      </c>
      <c r="R273" s="58" t="b">
        <f t="shared" si="147"/>
        <v>1</v>
      </c>
      <c r="S273" s="4">
        <f>IFERROR(__xludf.DUMMYFUNCTION("iferror(filter('3.5.clean'!H:H,'3.5.clean'!A:A=C273),"""")"),1.0)</f>
        <v>1</v>
      </c>
      <c r="U273" s="23"/>
      <c r="V273" s="1" t="s">
        <v>64</v>
      </c>
      <c r="W273" s="23" t="b">
        <f>if(AND(R273=TRUE,N273=TRUE,P273=TRUE),TRUE,FALSE)</f>
        <v>0</v>
      </c>
      <c r="X273" s="23" t="str">
        <f>IFERROR(__xludf.DUMMYFUNCTION("if(COUNTA(FILTER(C:C, C:C = C273))=1,""no"",""yes"")"),"no")</f>
        <v>no</v>
      </c>
    </row>
    <row r="274">
      <c r="A274" s="1" t="s">
        <v>412</v>
      </c>
      <c r="B274" s="28">
        <v>11.0</v>
      </c>
      <c r="C274" s="27" t="s">
        <v>942</v>
      </c>
      <c r="D274" s="24"/>
      <c r="E274" s="24">
        <f>IFERROR(__xludf.DUMMYFUNCTION("ifna(IFNA(filter('2.1.clean'!C:C,'2.1.clean'!A:A=C274),filter('2.2.clean'!E:E,'2.2.clean'!D:D=C274)),filter('2.4.clean'!C:C,'2.4.clean'!A:A=C274))"),43669.0)</f>
        <v>43669</v>
      </c>
      <c r="F274" s="25">
        <f>IFERROR(__xludf.DUMMYFUNCTION("iferror(ifna(IFNA(filter('2.1.clean'!E:E,'2.1.clean'!A:A=C274),filter('2.2.clean'!G:G,'2.2.clean'!D:D=C274)),filter('2.4.clean'!E:E,'2.4.clean'!A:A=C274)),)"),2.1)</f>
        <v>2.1</v>
      </c>
      <c r="G274" s="24">
        <f>IFERROR(__xludf.DUMMYFUNCTION("iferror(filter('3.1.clean'!C:C,'3.1.clean'!A:A=C274),"""")"),43669.0)</f>
        <v>43669</v>
      </c>
      <c r="H274" s="23" t="b">
        <f t="shared" ref="H274:H275" si="148">if(G274="",FALSE,TRUE)</f>
        <v>1</v>
      </c>
      <c r="J274" s="25"/>
      <c r="K274" s="24">
        <f>IFERROR(__xludf.DUMMYFUNCTION("iferror(filter('3.2.clean'!C:C,'3.2.clean'!A:A=C274),"""")"),43671.0)</f>
        <v>43671</v>
      </c>
      <c r="L274" s="25" t="b">
        <f t="shared" ref="L274:L275" si="149">if(K274="",FALSE,TRUE)</f>
        <v>1</v>
      </c>
      <c r="M274" s="24">
        <f>IFERROR(__xludf.DUMMYFUNCTION("iferror(filter('3.3.clean'!C:C,'3.3.clean'!A:A=C274),"""")"),43671.0)</f>
        <v>43671</v>
      </c>
      <c r="N274" s="25" t="b">
        <f t="shared" si="146"/>
        <v>1</v>
      </c>
      <c r="O274" s="24">
        <f>IFERROR(__xludf.DUMMYFUNCTION("iferror(filter('3.4.clean'!C:C,'3.4.clean'!A:A=C274),"""")"),43684.0)</f>
        <v>43684</v>
      </c>
      <c r="P274" s="25" t="b">
        <f t="shared" si="142"/>
        <v>1</v>
      </c>
      <c r="Q274" s="24"/>
      <c r="S274" s="25"/>
      <c r="U274" s="23"/>
      <c r="V274" s="1" t="s">
        <v>83</v>
      </c>
      <c r="W274" s="23" t="b">
        <f t="shared" ref="W274:W275" si="150">IF(and(H274=TRUE,L274=TRUE,N274=TRUE,P274=TRUE),TRUE,FALSE)</f>
        <v>1</v>
      </c>
      <c r="X274" s="23" t="str">
        <f>IFERROR(__xludf.DUMMYFUNCTION("if(COUNTA(FILTER(C:C, C:C = C274))=1,""no"",""yes"")"),"no")</f>
        <v>no</v>
      </c>
    </row>
    <row r="275">
      <c r="A275" s="1" t="s">
        <v>412</v>
      </c>
      <c r="B275" s="28">
        <v>12.0</v>
      </c>
      <c r="C275" s="27" t="s">
        <v>944</v>
      </c>
      <c r="D275" s="24"/>
      <c r="E275" s="24">
        <f>IFERROR(__xludf.DUMMYFUNCTION("ifna(IFNA(filter('2.1.clean'!C:C,'2.1.clean'!A:A=C275),filter('2.2.clean'!E:E,'2.2.clean'!D:D=C275)),filter('2.4.clean'!C:C,'2.4.clean'!A:A=C275))"),43669.0)</f>
        <v>43669</v>
      </c>
      <c r="F275" s="25">
        <f>IFERROR(__xludf.DUMMYFUNCTION("iferror(ifna(IFNA(filter('2.1.clean'!E:E,'2.1.clean'!A:A=C275),filter('2.2.clean'!G:G,'2.2.clean'!D:D=C275)),filter('2.4.clean'!E:E,'2.4.clean'!A:A=C275)),)"),2.1)</f>
        <v>2.1</v>
      </c>
      <c r="G275" s="24">
        <f>IFERROR(__xludf.DUMMYFUNCTION("iferror(filter('3.1.clean'!C:C,'3.1.clean'!A:A=C275),"""")"),43669.0)</f>
        <v>43669</v>
      </c>
      <c r="H275" s="23" t="b">
        <f t="shared" si="148"/>
        <v>1</v>
      </c>
      <c r="J275" s="25"/>
      <c r="K275" s="24">
        <f>IFERROR(__xludf.DUMMYFUNCTION("iferror(filter('3.2.clean'!C:C,'3.2.clean'!A:A=C275),"""")"),43671.0)</f>
        <v>43671</v>
      </c>
      <c r="L275" s="25" t="b">
        <f t="shared" si="149"/>
        <v>1</v>
      </c>
      <c r="M275" s="24">
        <f>IFERROR(__xludf.DUMMYFUNCTION("iferror(filter('3.3.clean'!C:C,'3.3.clean'!A:A=C275),"""")"),43671.0)</f>
        <v>43671</v>
      </c>
      <c r="N275" s="25" t="b">
        <f t="shared" si="146"/>
        <v>1</v>
      </c>
      <c r="O275" s="24">
        <f>IFERROR(__xludf.DUMMYFUNCTION("iferror(filter('3.4.clean'!C:C,'3.4.clean'!A:A=C275),"""")"),43684.0)</f>
        <v>43684</v>
      </c>
      <c r="P275" s="25" t="b">
        <f t="shared" si="142"/>
        <v>1</v>
      </c>
      <c r="Q275" s="24"/>
      <c r="S275" s="25"/>
      <c r="U275" s="23"/>
      <c r="V275" s="1" t="s">
        <v>83</v>
      </c>
      <c r="W275" s="23" t="b">
        <f t="shared" si="150"/>
        <v>1</v>
      </c>
      <c r="X275" s="23" t="str">
        <f>IFERROR(__xludf.DUMMYFUNCTION("if(COUNTA(FILTER(C:C, C:C = C275))=1,""no"",""yes"")"),"no")</f>
        <v>no</v>
      </c>
    </row>
    <row r="276">
      <c r="A276" s="1" t="s">
        <v>412</v>
      </c>
      <c r="B276" s="19">
        <v>13.0</v>
      </c>
      <c r="C276" s="19" t="s">
        <v>945</v>
      </c>
      <c r="D276" s="22" t="str">
        <f t="shared" ref="D276:D277" si="151">if(or(I276=1,J276=1,S276=1),"pos","")</f>
        <v/>
      </c>
      <c r="E276" s="20">
        <f>Q276</f>
        <v>43669</v>
      </c>
      <c r="F276" s="79" t="str">
        <f>IFERROR(__xludf.DUMMYFUNCTION("iferror(ifna(IFNA(filter('2.1.clean'!E:E,'2.1.clean'!A:A=C276),filter('2.2.clean'!G:G,'2.2.clean'!D:D=C276)),filter('2.4.clean'!E:E,'2.4.clean'!A:A=C276)),)"),"")</f>
        <v/>
      </c>
      <c r="G276" s="20" t="str">
        <f>IFERROR(__xludf.DUMMYFUNCTION("iferror(filter('3.1.clean'!C:C,'3.1.clean'!A:A=C276),"""")"),"")</f>
        <v/>
      </c>
      <c r="H276" s="22"/>
      <c r="I276" s="22"/>
      <c r="J276" s="79"/>
      <c r="K276" s="20" t="str">
        <f>IFERROR(__xludf.DUMMYFUNCTION("iferror(filter('3.2.clean'!C:C,'3.2.clean'!A:A=C276),"""")"),"")</f>
        <v/>
      </c>
      <c r="L276" s="79"/>
      <c r="M276" s="20">
        <f>IFERROR(__xludf.DUMMYFUNCTION("iferror(filter('3.3.clean'!C:C,'3.3.clean'!A:A=C276),"""")"),43671.0)</f>
        <v>43671</v>
      </c>
      <c r="N276" s="79" t="b">
        <f t="shared" si="146"/>
        <v>1</v>
      </c>
      <c r="O276" s="20" t="str">
        <f>IFERROR(__xludf.DUMMYFUNCTION("iferror(filter('3.4.clean'!C:C,'3.4.clean'!A:A=C276),"""")"),"")</f>
        <v/>
      </c>
      <c r="P276" s="79" t="b">
        <f t="shared" si="142"/>
        <v>0</v>
      </c>
      <c r="Q276" s="20">
        <f>IFERROR(__xludf.DUMMYFUNCTION("iferror(filter('3.5.clean'!C:C,'3.5.clean'!A:A=C276),"""")"),43669.0)</f>
        <v>43669</v>
      </c>
      <c r="R276" s="22" t="b">
        <f>if(Q276="",FALSE,TRUE)</f>
        <v>1</v>
      </c>
      <c r="S276" s="4">
        <f>IFERROR(__xludf.DUMMYFUNCTION("iferror(filter('3.5.clean'!H:H,'3.5.clean'!A:A=C276),"""")"),0.0)</f>
        <v>0</v>
      </c>
      <c r="V276" s="1" t="s">
        <v>64</v>
      </c>
      <c r="W276" s="23" t="b">
        <f>IF(and(R276=TRUE,N276=TRUE,P276=TRUE),TRUE,FALSE)</f>
        <v>0</v>
      </c>
      <c r="X276" s="23" t="str">
        <f>IFERROR(__xludf.DUMMYFUNCTION("if(COUNTA(FILTER(C:C, C:C = C276))=1,""no"",""yes"")"),"no")</f>
        <v>no</v>
      </c>
    </row>
    <row r="277">
      <c r="A277" s="1" t="s">
        <v>412</v>
      </c>
      <c r="B277" s="19">
        <v>14.0</v>
      </c>
      <c r="C277" s="19" t="s">
        <v>946</v>
      </c>
      <c r="D277" s="76" t="str">
        <f t="shared" si="151"/>
        <v/>
      </c>
      <c r="E277" s="77">
        <f>G277</f>
        <v>43669</v>
      </c>
      <c r="F277" s="78" t="str">
        <f>IFERROR(__xludf.DUMMYFUNCTION("iferror(ifna(IFNA(filter('2.1.clean'!E:E,'2.1.clean'!A:A=C277),filter('2.2.clean'!G:G,'2.2.clean'!D:D=C277)),filter('2.4.clean'!E:E,'2.4.clean'!A:A=C277)),)"),"")</f>
        <v/>
      </c>
      <c r="G277" s="77">
        <f>IFERROR(__xludf.DUMMYFUNCTION("iferror(filter('3.1.clean'!C:C,'3.1.clean'!A:A=C277),"""")"),43669.0)</f>
        <v>43669</v>
      </c>
      <c r="H277" s="76" t="b">
        <f>if(G277="",FALSE,TRUE)</f>
        <v>1</v>
      </c>
      <c r="I277" s="76">
        <f>IFERROR(__xludf.DUMMYFUNCTION("iferror(filter('3.1.clean'!G:G,'3.1.clean'!A:A=C277),"""")"),0.0)</f>
        <v>0</v>
      </c>
      <c r="J277" s="78">
        <f>IFERROR(__xludf.DUMMYFUNCTION("iferror(filter('3.1.clean'!I:I,'3.1.clean'!A:A=C277),"""")"),0.0)</f>
        <v>0</v>
      </c>
      <c r="K277" s="77"/>
      <c r="L277" s="78"/>
      <c r="M277" s="77"/>
      <c r="N277" s="78"/>
      <c r="O277" s="77"/>
      <c r="P277" s="78"/>
      <c r="Q277" s="77"/>
      <c r="R277" s="76"/>
      <c r="S277" s="25"/>
      <c r="T277" s="1"/>
      <c r="V277" s="1" t="s">
        <v>83</v>
      </c>
      <c r="W277" s="1" t="b">
        <v>1</v>
      </c>
      <c r="X277" s="23" t="str">
        <f>IFERROR(__xludf.DUMMYFUNCTION("if(COUNTA(FILTER(C:C, C:C = C277))=1,""no"",""yes"")"),"no")</f>
        <v>no</v>
      </c>
    </row>
    <row r="278">
      <c r="A278" s="1" t="s">
        <v>412</v>
      </c>
      <c r="B278" s="19"/>
      <c r="C278" s="19" t="s">
        <v>948</v>
      </c>
      <c r="E278" s="24">
        <v>43669.0</v>
      </c>
      <c r="F278" s="25" t="str">
        <f>IFERROR(__xludf.DUMMYFUNCTION("iferror(ifna(IFNA(filter('2.1.clean'!E:E,'2.1.clean'!A:A=C278),filter('2.2.clean'!G:G,'2.2.clean'!D:D=C278)),filter('2.4.clean'!E:E,'2.4.clean'!A:A=C278)),)"),"")</f>
        <v/>
      </c>
      <c r="G278" s="24"/>
      <c r="J278" s="25"/>
      <c r="K278" s="24"/>
      <c r="L278" s="25"/>
      <c r="M278" s="24" t="str">
        <f>IFERROR(__xludf.DUMMYFUNCTION("iferror(filter('3.3.clean'!C:C,'3.3.clean'!A:A=C278),"""")"),"")</f>
        <v/>
      </c>
      <c r="N278" s="25"/>
      <c r="O278" s="24">
        <f>IFERROR(__xludf.DUMMYFUNCTION("iferror(filter('3.4.clean'!C:C,'3.4.clean'!A:A=C278),"""")"),43684.0)</f>
        <v>43684</v>
      </c>
      <c r="P278" s="25" t="b">
        <f t="shared" ref="P278:P286" si="152">if(O278="",FALSE,TRUE)</f>
        <v>1</v>
      </c>
      <c r="Q278" s="24" t="str">
        <f>IFERROR(__xludf.DUMMYFUNCTION("iferror(filter('3.5.clean'!C:C,'3.5.clean'!A:A=C278),"""")"),"")</f>
        <v/>
      </c>
      <c r="S278" s="25"/>
      <c r="V278" s="1" t="s">
        <v>64</v>
      </c>
      <c r="W278" s="1" t="b">
        <v>1</v>
      </c>
      <c r="X278" s="23" t="str">
        <f>IFERROR(__xludf.DUMMYFUNCTION("if(COUNTA(FILTER(C:C, C:C = C278))=1,""no"",""yes"")"),"no")</f>
        <v>no</v>
      </c>
    </row>
    <row r="279">
      <c r="A279" s="1" t="s">
        <v>412</v>
      </c>
      <c r="B279" s="19"/>
      <c r="C279" s="19" t="s">
        <v>949</v>
      </c>
      <c r="E279" s="24">
        <v>43669.0</v>
      </c>
      <c r="F279" s="25" t="str">
        <f>IFERROR(__xludf.DUMMYFUNCTION("iferror(ifna(IFNA(filter('2.1.clean'!E:E,'2.1.clean'!A:A=C279),filter('2.2.clean'!G:G,'2.2.clean'!D:D=C279)),filter('2.4.clean'!E:E,'2.4.clean'!A:A=C279)),)"),"")</f>
        <v/>
      </c>
      <c r="G279" s="24"/>
      <c r="J279" s="25"/>
      <c r="K279" s="24"/>
      <c r="L279" s="25"/>
      <c r="M279" s="24" t="str">
        <f>IFERROR(__xludf.DUMMYFUNCTION("iferror(filter('3.3.clean'!C:C,'3.3.clean'!A:A=C279),"""")"),"")</f>
        <v/>
      </c>
      <c r="N279" s="25"/>
      <c r="O279" s="24">
        <f>IFERROR(__xludf.DUMMYFUNCTION("iferror(filter('3.4.clean'!C:C,'3.4.clean'!A:A=C279),"""")"),43684.0)</f>
        <v>43684</v>
      </c>
      <c r="P279" s="25" t="b">
        <f t="shared" si="152"/>
        <v>1</v>
      </c>
      <c r="Q279" s="24" t="str">
        <f>IFERROR(__xludf.DUMMYFUNCTION("iferror(filter('3.5.clean'!C:C,'3.5.clean'!A:A=C279),"""")"),"")</f>
        <v/>
      </c>
      <c r="S279" s="25"/>
      <c r="V279" s="1" t="s">
        <v>64</v>
      </c>
      <c r="W279" s="1" t="b">
        <v>1</v>
      </c>
      <c r="X279" s="23" t="str">
        <f>IFERROR(__xludf.DUMMYFUNCTION("if(COUNTA(FILTER(C:C, C:C = C279))=1,""no"",""yes"")"),"no")</f>
        <v>no</v>
      </c>
    </row>
    <row r="280">
      <c r="A280" s="1" t="s">
        <v>412</v>
      </c>
      <c r="B280" s="19"/>
      <c r="C280" s="19" t="s">
        <v>950</v>
      </c>
      <c r="E280" s="24">
        <v>43669.0</v>
      </c>
      <c r="F280" s="25" t="str">
        <f>IFERROR(__xludf.DUMMYFUNCTION("iferror(ifna(IFNA(filter('2.1.clean'!E:E,'2.1.clean'!A:A=C280),filter('2.2.clean'!G:G,'2.2.clean'!D:D=C280)),filter('2.4.clean'!E:E,'2.4.clean'!A:A=C280)),)"),"")</f>
        <v/>
      </c>
      <c r="G280" s="24"/>
      <c r="J280" s="25"/>
      <c r="K280" s="24"/>
      <c r="L280" s="25"/>
      <c r="M280" s="24" t="str">
        <f>IFERROR(__xludf.DUMMYFUNCTION("iferror(filter('3.3.clean'!C:C,'3.3.clean'!A:A=C280),"""")"),"")</f>
        <v/>
      </c>
      <c r="N280" s="25"/>
      <c r="O280" s="24">
        <f>IFERROR(__xludf.DUMMYFUNCTION("iferror(filter('3.4.clean'!C:C,'3.4.clean'!A:A=C280),"""")"),43684.0)</f>
        <v>43684</v>
      </c>
      <c r="P280" s="25" t="b">
        <f t="shared" si="152"/>
        <v>1</v>
      </c>
      <c r="Q280" s="24" t="str">
        <f>IFERROR(__xludf.DUMMYFUNCTION("iferror(filter('3.5.clean'!C:C,'3.5.clean'!A:A=C280),"""")"),"")</f>
        <v/>
      </c>
      <c r="S280" s="25"/>
      <c r="V280" s="1" t="s">
        <v>64</v>
      </c>
      <c r="W280" s="1" t="b">
        <v>1</v>
      </c>
      <c r="X280" s="23" t="str">
        <f>IFERROR(__xludf.DUMMYFUNCTION("if(COUNTA(FILTER(C:C, C:C = C280))=1,""no"",""yes"")"),"no")</f>
        <v>no</v>
      </c>
    </row>
    <row r="281">
      <c r="A281" s="1" t="s">
        <v>412</v>
      </c>
      <c r="B281" s="19"/>
      <c r="C281" s="19" t="s">
        <v>951</v>
      </c>
      <c r="E281" s="24">
        <v>43669.0</v>
      </c>
      <c r="F281" s="25" t="str">
        <f>IFERROR(__xludf.DUMMYFUNCTION("iferror(ifna(IFNA(filter('2.1.clean'!E:E,'2.1.clean'!A:A=C281),filter('2.2.clean'!G:G,'2.2.clean'!D:D=C281)),filter('2.4.clean'!E:E,'2.4.clean'!A:A=C281)),)"),"")</f>
        <v/>
      </c>
      <c r="G281" s="24"/>
      <c r="J281" s="25"/>
      <c r="K281" s="24"/>
      <c r="L281" s="25"/>
      <c r="M281" s="24" t="str">
        <f>IFERROR(__xludf.DUMMYFUNCTION("iferror(filter('3.3.clean'!C:C,'3.3.clean'!A:A=C281),"""")"),"")</f>
        <v/>
      </c>
      <c r="N281" s="25"/>
      <c r="O281" s="24">
        <f>IFERROR(__xludf.DUMMYFUNCTION("iferror(filter('3.4.clean'!C:C,'3.4.clean'!A:A=C281),"""")"),43684.0)</f>
        <v>43684</v>
      </c>
      <c r="P281" s="25" t="b">
        <f t="shared" si="152"/>
        <v>1</v>
      </c>
      <c r="Q281" s="24" t="str">
        <f>IFERROR(__xludf.DUMMYFUNCTION("iferror(filter('3.5.clean'!C:C,'3.5.clean'!A:A=C281),"""")"),"")</f>
        <v/>
      </c>
      <c r="S281" s="25"/>
      <c r="V281" s="1" t="s">
        <v>64</v>
      </c>
      <c r="W281" s="1" t="b">
        <v>1</v>
      </c>
      <c r="X281" s="23" t="str">
        <f>IFERROR(__xludf.DUMMYFUNCTION("if(COUNTA(FILTER(C:C, C:C = C281))=1,""no"",""yes"")"),"no")</f>
        <v>no</v>
      </c>
    </row>
    <row r="282">
      <c r="A282" s="75" t="s">
        <v>416</v>
      </c>
      <c r="B282" s="2">
        <v>1.0</v>
      </c>
      <c r="C282" s="19" t="s">
        <v>953</v>
      </c>
      <c r="E282" s="24">
        <f>IFERROR(__xludf.DUMMYFUNCTION("ifna(IFNA(filter('2.1.clean'!C:C,'2.1.clean'!A:A=C282),filter('2.2.clean'!E:E,'2.2.clean'!D:D=C282)),filter('2.4.clean'!C:C,'2.4.clean'!A:A=C282))"),43670.0)</f>
        <v>43670</v>
      </c>
      <c r="F282" s="25">
        <f>IFERROR(__xludf.DUMMYFUNCTION("iferror(ifna(IFNA(filter('2.1.clean'!E:E,'2.1.clean'!A:A=C282),filter('2.2.clean'!G:G,'2.2.clean'!D:D=C282)),filter('2.4.clean'!E:E,'2.4.clean'!A:A=C282)),)"),2.4)</f>
        <v>2.4</v>
      </c>
      <c r="G282" s="24">
        <f>IFERROR(__xludf.DUMMYFUNCTION("iferror(filter('3.1.clean'!C:C,'3.1.clean'!A:A=C282),"""")"),43670.0)</f>
        <v>43670</v>
      </c>
      <c r="H282" s="23" t="b">
        <f t="shared" ref="H282:H283" si="153">if(G282="",FALSE,TRUE)</f>
        <v>1</v>
      </c>
      <c r="J282" s="25"/>
      <c r="K282" s="24" t="str">
        <f>IFERROR(__xludf.DUMMYFUNCTION("iferror(filter('3.2.clean'!C:C,'3.2.clean'!A:A=C282),"""")"),"")</f>
        <v/>
      </c>
      <c r="L282" s="25" t="b">
        <f>if(K282="",FALSE,TRUE)</f>
        <v>0</v>
      </c>
      <c r="M282" s="24">
        <f>IFERROR(__xludf.DUMMYFUNCTION("iferror(filter('3.3.clean'!C:C,'3.3.clean'!A:A=C282),"""")"),43675.0)</f>
        <v>43675</v>
      </c>
      <c r="N282" s="25" t="b">
        <f t="shared" ref="N282:N286" si="154">if(M282="",FALSE,TRUE)</f>
        <v>1</v>
      </c>
      <c r="O282" s="24">
        <f>IFERROR(__xludf.DUMMYFUNCTION("iferror(filter('3.4.clean'!C:C,'3.4.clean'!A:A=C282),"""")"),43684.0)</f>
        <v>43684</v>
      </c>
      <c r="P282" s="25" t="b">
        <f t="shared" si="152"/>
        <v>1</v>
      </c>
      <c r="Q282" s="24">
        <f>IFERROR(__xludf.DUMMYFUNCTION("iferror(filter('3.5.clean'!C:C,'3.5.clean'!A:A=C282),"""")"),43670.0)</f>
        <v>43670</v>
      </c>
      <c r="R282" s="23" t="b">
        <f t="shared" ref="R282:R286" si="155">if(Q282="",FALSE,TRUE)</f>
        <v>1</v>
      </c>
      <c r="S282" s="25"/>
      <c r="U282" s="23"/>
      <c r="V282" s="1" t="s">
        <v>64</v>
      </c>
      <c r="X282" s="23" t="str">
        <f>IFERROR(__xludf.DUMMYFUNCTION("if(COUNTA(FILTER(C:C, C:C = C282))=1,""no"",""yes"")"),"no")</f>
        <v>no</v>
      </c>
    </row>
    <row r="283">
      <c r="A283" s="75" t="s">
        <v>416</v>
      </c>
      <c r="B283" s="19">
        <v>2.0</v>
      </c>
      <c r="C283" s="19" t="s">
        <v>955</v>
      </c>
      <c r="D283" s="58" t="str">
        <f t="shared" ref="D283:D284" si="156">if(or(I283=1,J283=1,S283=1),"pos","")</f>
        <v/>
      </c>
      <c r="E283" s="59">
        <f>IFERROR(__xludf.DUMMYFUNCTION("ifna(IFNA(filter('2.1.clean'!C:C,'2.1.clean'!A:A=C283),filter('2.2.clean'!E:E,'2.2.clean'!D:D=C283)),filter('2.4.clean'!C:C,'2.4.clean'!A:A=C283))"),43670.0)</f>
        <v>43670</v>
      </c>
      <c r="F283" s="60">
        <f>IFERROR(__xludf.DUMMYFUNCTION("iferror(ifna(IFNA(filter('2.1.clean'!E:E,'2.1.clean'!A:A=C283),filter('2.2.clean'!G:G,'2.2.clean'!D:D=C283)),filter('2.4.clean'!E:E,'2.4.clean'!A:A=C283)),)"),2.4)</f>
        <v>2.4</v>
      </c>
      <c r="G283" s="59">
        <f>IFERROR(__xludf.DUMMYFUNCTION("iferror(filter('3.1.clean'!C:C,'3.1.clean'!A:A=C283),"""")"),43670.0)</f>
        <v>43670</v>
      </c>
      <c r="H283" s="58" t="b">
        <f t="shared" si="153"/>
        <v>1</v>
      </c>
      <c r="I283" s="58">
        <f>IFERROR(__xludf.DUMMYFUNCTION("iferror(filter('3.1.clean'!G:G,'3.1.clean'!A:A=C283),"""")"),0.0)</f>
        <v>0</v>
      </c>
      <c r="J283" s="60">
        <f>IFERROR(__xludf.DUMMYFUNCTION("iferror(filter('3.1.clean'!I:I,'3.1.clean'!A:A=C283),"""")"),0.0)</f>
        <v>0</v>
      </c>
      <c r="K283" s="58"/>
      <c r="L283" s="60"/>
      <c r="M283" s="59">
        <f>IFERROR(__xludf.DUMMYFUNCTION("iferror(filter('3.3.clean'!C:C,'3.3.clean'!A:A=C283),"""")"),43675.0)</f>
        <v>43675</v>
      </c>
      <c r="N283" s="60" t="b">
        <f t="shared" si="154"/>
        <v>1</v>
      </c>
      <c r="O283" s="59" t="str">
        <f>IFERROR(__xludf.DUMMYFUNCTION("iferror(filter('3.4.clean'!C:C,'3.4.clean'!A:A=C283),"""")"),"")</f>
        <v/>
      </c>
      <c r="P283" s="60" t="b">
        <f t="shared" si="152"/>
        <v>0</v>
      </c>
      <c r="Q283" s="59" t="str">
        <f>IFERROR(__xludf.DUMMYFUNCTION("iferror(filter('3.5.clean'!C:C,'3.5.clean'!A:A=C283),"""")"),"")</f>
        <v/>
      </c>
      <c r="R283" s="58" t="b">
        <f t="shared" si="155"/>
        <v>0</v>
      </c>
      <c r="S283" s="4" t="str">
        <f>IFERROR(__xludf.DUMMYFUNCTION("iferror(filter('3.5.clean'!H:H,'3.5.clean'!A:A=C283),"""")"),"")</f>
        <v/>
      </c>
      <c r="U283" s="23"/>
      <c r="V283" s="1" t="s">
        <v>64</v>
      </c>
      <c r="W283" s="23" t="b">
        <f>if(AND(H283=TRUE,N283=TRUE,P283=TRUE),TRUE,FALSE)</f>
        <v>0</v>
      </c>
      <c r="X283" s="23" t="str">
        <f>IFERROR(__xludf.DUMMYFUNCTION("if(COUNTA(FILTER(C:C, C:C = C283))=1,""no"",""yes"")"),"no")</f>
        <v>no</v>
      </c>
    </row>
    <row r="284">
      <c r="A284" s="75" t="s">
        <v>416</v>
      </c>
      <c r="B284" s="19">
        <v>3.0</v>
      </c>
      <c r="C284" s="19" t="s">
        <v>957</v>
      </c>
      <c r="D284" s="58" t="str">
        <f t="shared" si="156"/>
        <v/>
      </c>
      <c r="E284" s="59">
        <f>Q284</f>
        <v>43670</v>
      </c>
      <c r="F284" s="60" t="str">
        <f>IFERROR(__xludf.DUMMYFUNCTION("iferror(ifna(IFNA(filter('2.1.clean'!E:E,'2.1.clean'!A:A=C284),filter('2.2.clean'!G:G,'2.2.clean'!D:D=C284)),filter('2.4.clean'!E:E,'2.4.clean'!A:A=C284)),)"),"")</f>
        <v/>
      </c>
      <c r="G284" s="59" t="str">
        <f>IFERROR(__xludf.DUMMYFUNCTION("iferror(filter('3.1.clean'!C:C,'3.1.clean'!A:A=C284),"""")"),"")</f>
        <v/>
      </c>
      <c r="H284" s="58"/>
      <c r="I284" s="58"/>
      <c r="J284" s="60"/>
      <c r="K284" s="58"/>
      <c r="L284" s="60"/>
      <c r="M284" s="59" t="str">
        <f>IFERROR(__xludf.DUMMYFUNCTION("iferror(filter('3.3.clean'!C:C,'3.3.clean'!A:A=C284),"""")"),"")</f>
        <v/>
      </c>
      <c r="N284" s="60" t="b">
        <f t="shared" si="154"/>
        <v>0</v>
      </c>
      <c r="O284" s="59">
        <f>IFERROR(__xludf.DUMMYFUNCTION("iferror(filter('3.4.clean'!C:C,'3.4.clean'!A:A=C284),"""")"),43684.0)</f>
        <v>43684</v>
      </c>
      <c r="P284" s="60" t="b">
        <f t="shared" si="152"/>
        <v>1</v>
      </c>
      <c r="Q284" s="59">
        <f>IFERROR(__xludf.DUMMYFUNCTION("iferror(filter('3.5.clean'!C:C,'3.5.clean'!A:A=C284),"""")"),43670.0)</f>
        <v>43670</v>
      </c>
      <c r="R284" s="58" t="b">
        <f t="shared" si="155"/>
        <v>1</v>
      </c>
      <c r="S284" s="4" t="str">
        <f>IFERROR(__xludf.DUMMYFUNCTION("iferror(filter('3.5.clean'!H:H,'3.5.clean'!A:A=C284),"""")"),"")</f>
        <v/>
      </c>
      <c r="U284" s="23"/>
      <c r="V284" s="1" t="s">
        <v>64</v>
      </c>
      <c r="W284" s="23" t="b">
        <f>if(AND(R284=TRUE,N284=TRUE,P284=TRUE),TRUE,FALSE)</f>
        <v>0</v>
      </c>
      <c r="X284" s="23" t="str">
        <f>IFERROR(__xludf.DUMMYFUNCTION("if(COUNTA(FILTER(C:C, C:C = C284))=1,""no"",""yes"")"),"no")</f>
        <v>no</v>
      </c>
    </row>
    <row r="285">
      <c r="A285" s="75" t="s">
        <v>416</v>
      </c>
      <c r="B285" s="28">
        <v>4.0</v>
      </c>
      <c r="C285" s="27" t="s">
        <v>958</v>
      </c>
      <c r="D285" s="24"/>
      <c r="E285" s="24">
        <f>IFERROR(__xludf.DUMMYFUNCTION("ifna(IFNA(filter('2.1.clean'!C:C,'2.1.clean'!A:A=C285),filter('2.2.clean'!E:E,'2.2.clean'!D:D=C285)),filter('2.4.clean'!C:C,'2.4.clean'!A:A=C285))"),43670.0)</f>
        <v>43670</v>
      </c>
      <c r="F285" s="25">
        <f>IFERROR(__xludf.DUMMYFUNCTION("iferror(ifna(IFNA(filter('2.1.clean'!E:E,'2.1.clean'!A:A=C285),filter('2.2.clean'!G:G,'2.2.clean'!D:D=C285)),filter('2.4.clean'!E:E,'2.4.clean'!A:A=C285)),)"),2.1)</f>
        <v>2.1</v>
      </c>
      <c r="G285" s="24">
        <f>IFERROR(__xludf.DUMMYFUNCTION("iferror(filter('3.1.clean'!C:C,'3.1.clean'!A:A=C285),"""")"),43670.0)</f>
        <v>43670</v>
      </c>
      <c r="H285" s="23" t="b">
        <f t="shared" ref="H285:H287" si="157">if(G285="",FALSE,TRUE)</f>
        <v>1</v>
      </c>
      <c r="J285" s="25"/>
      <c r="K285" s="24">
        <f>IFERROR(__xludf.DUMMYFUNCTION("iferror(filter('3.2.clean'!C:C,'3.2.clean'!A:A=C285),"""")"),43671.0)</f>
        <v>43671</v>
      </c>
      <c r="L285" s="25" t="b">
        <f t="shared" ref="L285:L286" si="158">if(K285="",FALSE,TRUE)</f>
        <v>1</v>
      </c>
      <c r="M285" s="24">
        <f>IFERROR(__xludf.DUMMYFUNCTION("iferror(filter('3.3.clean'!C:C,'3.3.clean'!A:A=C285),"""")"),43675.0)</f>
        <v>43675</v>
      </c>
      <c r="N285" s="25" t="b">
        <f t="shared" si="154"/>
        <v>1</v>
      </c>
      <c r="O285" s="24">
        <f>IFERROR(__xludf.DUMMYFUNCTION("iferror(filter('3.4.clean'!C:C,'3.4.clean'!A:A=C285),"""")"),43684.0)</f>
        <v>43684</v>
      </c>
      <c r="P285" s="25" t="b">
        <f t="shared" si="152"/>
        <v>1</v>
      </c>
      <c r="Q285" s="24">
        <f>IFERROR(__xludf.DUMMYFUNCTION("iferror(filter('3.5.clean'!C:C,'3.5.clean'!A:A=C285),"""")"),43670.0)</f>
        <v>43670</v>
      </c>
      <c r="R285" s="23" t="b">
        <f t="shared" si="155"/>
        <v>1</v>
      </c>
      <c r="S285" s="25"/>
      <c r="U285" s="23"/>
      <c r="V285" s="1" t="s">
        <v>83</v>
      </c>
      <c r="W285" s="23" t="b">
        <f t="shared" ref="W285:W286" si="159">IF(and(H285=TRUE,L285=TRUE,N285=TRUE,P285=TRUE),TRUE,FALSE)</f>
        <v>1</v>
      </c>
      <c r="X285" s="23" t="str">
        <f>IFERROR(__xludf.DUMMYFUNCTION("if(COUNTA(FILTER(C:C, C:C = C285))=1,""no"",""yes"")"),"no")</f>
        <v>no</v>
      </c>
    </row>
    <row r="286">
      <c r="A286" s="75" t="s">
        <v>416</v>
      </c>
      <c r="B286" s="28">
        <v>5.0</v>
      </c>
      <c r="C286" s="27" t="s">
        <v>959</v>
      </c>
      <c r="D286" s="24"/>
      <c r="E286" s="24">
        <f>IFERROR(__xludf.DUMMYFUNCTION("ifna(IFNA(filter('2.1.clean'!C:C,'2.1.clean'!A:A=C286),filter('2.2.clean'!E:E,'2.2.clean'!D:D=C286)),filter('2.4.clean'!C:C,'2.4.clean'!A:A=C286))"),43670.0)</f>
        <v>43670</v>
      </c>
      <c r="F286" s="25">
        <f>IFERROR(__xludf.DUMMYFUNCTION("iferror(ifna(IFNA(filter('2.1.clean'!E:E,'2.1.clean'!A:A=C286),filter('2.2.clean'!G:G,'2.2.clean'!D:D=C286)),filter('2.4.clean'!E:E,'2.4.clean'!A:A=C286)),)"),2.1)</f>
        <v>2.1</v>
      </c>
      <c r="G286" s="24">
        <f>IFERROR(__xludf.DUMMYFUNCTION("iferror(filter('3.1.clean'!C:C,'3.1.clean'!A:A=C286),"""")"),43670.0)</f>
        <v>43670</v>
      </c>
      <c r="H286" s="23" t="b">
        <f t="shared" si="157"/>
        <v>1</v>
      </c>
      <c r="J286" s="25"/>
      <c r="K286" s="24">
        <f>IFERROR(__xludf.DUMMYFUNCTION("iferror(filter('3.2.clean'!C:C,'3.2.clean'!A:A=C286),"""")"),43671.0)</f>
        <v>43671</v>
      </c>
      <c r="L286" s="25" t="b">
        <f t="shared" si="158"/>
        <v>1</v>
      </c>
      <c r="M286" s="24">
        <f>IFERROR(__xludf.DUMMYFUNCTION("iferror(filter('3.3.clean'!C:C,'3.3.clean'!A:A=C286),"""")"),43675.0)</f>
        <v>43675</v>
      </c>
      <c r="N286" s="25" t="b">
        <f t="shared" si="154"/>
        <v>1</v>
      </c>
      <c r="O286" s="24">
        <f>IFERROR(__xludf.DUMMYFUNCTION("iferror(filter('3.4.clean'!C:C,'3.4.clean'!A:A=C286),"""")"),43684.0)</f>
        <v>43684</v>
      </c>
      <c r="P286" s="25" t="b">
        <f t="shared" si="152"/>
        <v>1</v>
      </c>
      <c r="Q286" s="24">
        <f>IFERROR(__xludf.DUMMYFUNCTION("iferror(filter('3.5.clean'!C:C,'3.5.clean'!A:A=C286),"""")"),43670.0)</f>
        <v>43670</v>
      </c>
      <c r="R286" s="23" t="b">
        <f t="shared" si="155"/>
        <v>1</v>
      </c>
      <c r="S286" s="25"/>
      <c r="U286" s="23"/>
      <c r="V286" s="1" t="s">
        <v>83</v>
      </c>
      <c r="W286" s="23" t="b">
        <f t="shared" si="159"/>
        <v>1</v>
      </c>
      <c r="X286" s="23" t="str">
        <f>IFERROR(__xludf.DUMMYFUNCTION("if(COUNTA(FILTER(C:C, C:C = C286))=1,""no"",""yes"")"),"no")</f>
        <v>no</v>
      </c>
    </row>
    <row r="287">
      <c r="A287" s="75" t="s">
        <v>416</v>
      </c>
      <c r="B287" s="19">
        <v>6.0</v>
      </c>
      <c r="C287" s="19" t="s">
        <v>961</v>
      </c>
      <c r="D287" s="76" t="str">
        <f t="shared" ref="D287:D288" si="160">if(or(I287=1,J287=1,S287=1),"pos","")</f>
        <v/>
      </c>
      <c r="E287" s="77">
        <f>G287</f>
        <v>43670</v>
      </c>
      <c r="F287" s="78" t="str">
        <f>IFERROR(__xludf.DUMMYFUNCTION("iferror(ifna(IFNA(filter('2.1.clean'!E:E,'2.1.clean'!A:A=C287),filter('2.2.clean'!G:G,'2.2.clean'!D:D=C287)),filter('2.4.clean'!E:E,'2.4.clean'!A:A=C287)),)"),"")</f>
        <v/>
      </c>
      <c r="G287" s="77">
        <f>IFERROR(__xludf.DUMMYFUNCTION("iferror(filter('3.1.clean'!C:C,'3.1.clean'!A:A=C287),"""")"),43670.0)</f>
        <v>43670</v>
      </c>
      <c r="H287" s="76" t="b">
        <f t="shared" si="157"/>
        <v>1</v>
      </c>
      <c r="I287" s="76">
        <f>IFERROR(__xludf.DUMMYFUNCTION("iferror(filter('3.1.clean'!G:G,'3.1.clean'!A:A=C287),"""")"),0.0)</f>
        <v>0</v>
      </c>
      <c r="J287" s="78">
        <f>IFERROR(__xludf.DUMMYFUNCTION("iferror(filter('3.1.clean'!I:I,'3.1.clean'!A:A=C287),"""")"),0.0)</f>
        <v>0</v>
      </c>
      <c r="K287" s="77"/>
      <c r="L287" s="78"/>
      <c r="M287" s="77"/>
      <c r="N287" s="78"/>
      <c r="O287" s="77"/>
      <c r="P287" s="78"/>
      <c r="Q287" s="77"/>
      <c r="R287" s="76"/>
      <c r="S287" s="25"/>
      <c r="T287" s="1"/>
      <c r="V287" s="1" t="s">
        <v>83</v>
      </c>
      <c r="W287" s="1" t="b">
        <v>1</v>
      </c>
      <c r="X287" s="23" t="str">
        <f>IFERROR(__xludf.DUMMYFUNCTION("if(COUNTA(FILTER(C:C, C:C = C287))=1,""no"",""yes"")"),"no")</f>
        <v>no</v>
      </c>
    </row>
    <row r="288">
      <c r="A288" s="75" t="s">
        <v>416</v>
      </c>
      <c r="B288" s="19">
        <v>7.0</v>
      </c>
      <c r="C288" s="19" t="s">
        <v>962</v>
      </c>
      <c r="D288" s="22" t="str">
        <f t="shared" si="160"/>
        <v/>
      </c>
      <c r="E288" s="20">
        <v>43670.0</v>
      </c>
      <c r="F288" s="79" t="str">
        <f>IFERROR(__xludf.DUMMYFUNCTION("iferror(ifna(IFNA(filter('2.1.clean'!E:E,'2.1.clean'!A:A=C288),filter('2.2.clean'!G:G,'2.2.clean'!D:D=C288)),filter('2.4.clean'!E:E,'2.4.clean'!A:A=C288)),)"),"")</f>
        <v/>
      </c>
      <c r="G288" s="20" t="str">
        <f>IFERROR(__xludf.DUMMYFUNCTION("iferror(filter('3.1.clean'!C:C,'3.1.clean'!A:A=C288),"""")"),"")</f>
        <v/>
      </c>
      <c r="H288" s="22"/>
      <c r="I288" s="22"/>
      <c r="J288" s="79"/>
      <c r="K288" s="20" t="str">
        <f>IFERROR(__xludf.DUMMYFUNCTION("iferror(filter('3.2.clean'!C:C,'3.2.clean'!A:A=C288),"""")"),"")</f>
        <v/>
      </c>
      <c r="L288" s="79"/>
      <c r="M288" s="20">
        <f>IFERROR(__xludf.DUMMYFUNCTION("iferror(filter('3.3.clean'!C:C,'3.3.clean'!A:A=C288),"""")"),43675.0)</f>
        <v>43675</v>
      </c>
      <c r="N288" s="79" t="b">
        <f t="shared" ref="N288:N301" si="161">if(M288="",FALSE,TRUE)</f>
        <v>1</v>
      </c>
      <c r="O288" s="20" t="str">
        <f>IFERROR(__xludf.DUMMYFUNCTION("iferror(filter('3.4.clean'!C:C,'3.4.clean'!A:A=C288),"""")"),"")</f>
        <v/>
      </c>
      <c r="P288" s="79" t="b">
        <f t="shared" ref="P288:P301" si="162">if(O288="",FALSE,TRUE)</f>
        <v>0</v>
      </c>
      <c r="Q288" s="80" t="s">
        <v>964</v>
      </c>
      <c r="R288" s="22" t="b">
        <f t="shared" ref="R288:R297" si="163">if(Q288="",FALSE,TRUE)</f>
        <v>1</v>
      </c>
      <c r="S288" s="4" t="str">
        <f>IFERROR(__xludf.DUMMYFUNCTION("iferror(filter('3.5.clean'!H:H,'3.5.clean'!A:A=C288),"""")"),"")</f>
        <v/>
      </c>
      <c r="T288" s="1"/>
      <c r="U288" s="1" t="s">
        <v>829</v>
      </c>
      <c r="V288" s="1" t="s">
        <v>64</v>
      </c>
      <c r="W288" s="23" t="b">
        <f>IF(and(R288=TRUE,N288=TRUE,P288=TRUE),TRUE,FALSE)</f>
        <v>0</v>
      </c>
      <c r="X288" s="23" t="str">
        <f>IFERROR(__xludf.DUMMYFUNCTION("if(COUNTA(FILTER(C:C, C:C = C288))=1,""no"",""yes"")"),"no")</f>
        <v>no</v>
      </c>
    </row>
    <row r="289">
      <c r="A289" s="75" t="s">
        <v>416</v>
      </c>
      <c r="B289" s="19"/>
      <c r="C289" s="19" t="s">
        <v>965</v>
      </c>
      <c r="E289" s="24">
        <v>43670.0</v>
      </c>
      <c r="F289" s="25" t="str">
        <f>IFERROR(__xludf.DUMMYFUNCTION("iferror(ifna(IFNA(filter('2.1.clean'!E:E,'2.1.clean'!A:A=C289),filter('2.2.clean'!G:G,'2.2.clean'!D:D=C289)),filter('2.4.clean'!E:E,'2.4.clean'!A:A=C289)),)"),"")</f>
        <v/>
      </c>
      <c r="G289" s="24"/>
      <c r="J289" s="25"/>
      <c r="K289" s="24"/>
      <c r="L289" s="25"/>
      <c r="M289" s="24" t="str">
        <f>IFERROR(__xludf.DUMMYFUNCTION("iferror(filter('3.3.clean'!C:C,'3.3.clean'!A:A=C289),"""")"),"")</f>
        <v/>
      </c>
      <c r="N289" s="25" t="b">
        <f t="shared" si="161"/>
        <v>0</v>
      </c>
      <c r="O289" s="24">
        <f>IFERROR(__xludf.DUMMYFUNCTION("iferror(filter('3.4.clean'!C:C,'3.4.clean'!A:A=C289),"""")"),43684.0)</f>
        <v>43684</v>
      </c>
      <c r="P289" s="25" t="b">
        <f t="shared" si="162"/>
        <v>1</v>
      </c>
      <c r="Q289" s="24" t="str">
        <f>IFERROR(__xludf.DUMMYFUNCTION("iferror(filter('3.5.clean'!C:C,'3.5.clean'!A:A=C289),"""")"),"")</f>
        <v/>
      </c>
      <c r="R289" s="23" t="b">
        <f t="shared" si="163"/>
        <v>0</v>
      </c>
      <c r="S289" s="25"/>
      <c r="U289" s="1" t="s">
        <v>503</v>
      </c>
      <c r="V289" s="1" t="s">
        <v>64</v>
      </c>
      <c r="X289" s="23" t="str">
        <f>IFERROR(__xludf.DUMMYFUNCTION("if(COUNTA(FILTER(C:C, C:C = C289))=1,""no"",""yes"")"),"no")</f>
        <v>no</v>
      </c>
    </row>
    <row r="290">
      <c r="A290" s="1" t="s">
        <v>420</v>
      </c>
      <c r="B290" s="2">
        <v>1.0</v>
      </c>
      <c r="C290" s="19" t="s">
        <v>966</v>
      </c>
      <c r="E290" s="24">
        <f>IFERROR(__xludf.DUMMYFUNCTION("ifna(IFNA(filter('2.1.clean'!C:C,'2.1.clean'!A:A=C290),filter('2.2.clean'!E:E,'2.2.clean'!D:D=C290)),filter('2.4.clean'!C:C,'2.4.clean'!A:A=C290))"),43671.0)</f>
        <v>43671</v>
      </c>
      <c r="F290" s="25">
        <f>IFERROR(__xludf.DUMMYFUNCTION("iferror(ifna(IFNA(filter('2.1.clean'!E:E,'2.1.clean'!A:A=C290),filter('2.2.clean'!G:G,'2.2.clean'!D:D=C290)),filter('2.4.clean'!E:E,'2.4.clean'!A:A=C290)),)"),2.4)</f>
        <v>2.4</v>
      </c>
      <c r="G290" s="24"/>
      <c r="J290" s="25"/>
      <c r="K290" s="24"/>
      <c r="L290" s="25"/>
      <c r="M290" s="24">
        <f>IFERROR(__xludf.DUMMYFUNCTION("iferror(filter('3.3.clean'!C:C,'3.3.clean'!A:A=C290),"""")"),43675.0)</f>
        <v>43675</v>
      </c>
      <c r="N290" s="25" t="b">
        <f t="shared" si="161"/>
        <v>1</v>
      </c>
      <c r="O290" s="24">
        <f>IFERROR(__xludf.DUMMYFUNCTION("iferror(filter('3.4.clean'!C:C,'3.4.clean'!A:A=C290),"""")"),43684.0)</f>
        <v>43684</v>
      </c>
      <c r="P290" s="25" t="b">
        <f t="shared" si="162"/>
        <v>1</v>
      </c>
      <c r="Q290" s="24">
        <f>IFERROR(__xludf.DUMMYFUNCTION("iferror(filter('3.5.clean'!C:C,'3.5.clean'!A:A=C290),"""")"),43671.0)</f>
        <v>43671</v>
      </c>
      <c r="R290" s="23" t="b">
        <f t="shared" si="163"/>
        <v>1</v>
      </c>
      <c r="S290" s="25"/>
      <c r="U290" s="23"/>
      <c r="V290" s="1" t="s">
        <v>64</v>
      </c>
      <c r="W290" s="23" t="b">
        <f t="shared" ref="W290:W294" si="164">IF(and(R290=TRUE,N290=TRUE,P290=TRUE),TRUE,FALSE)</f>
        <v>1</v>
      </c>
      <c r="X290" s="23" t="str">
        <f>IFERROR(__xludf.DUMMYFUNCTION("if(COUNTA(FILTER(C:C, C:C = C290))=1,""no"",""yes"")"),"no")</f>
        <v>no</v>
      </c>
    </row>
    <row r="291">
      <c r="A291" s="1" t="s">
        <v>420</v>
      </c>
      <c r="B291" s="2">
        <v>2.0</v>
      </c>
      <c r="C291" s="19" t="s">
        <v>967</v>
      </c>
      <c r="E291" s="24">
        <f>IFERROR(__xludf.DUMMYFUNCTION("ifna(IFNA(filter('2.1.clean'!C:C,'2.1.clean'!A:A=C291),filter('2.2.clean'!E:E,'2.2.clean'!D:D=C291)),filter('2.4.clean'!C:C,'2.4.clean'!A:A=C291))"),43671.0)</f>
        <v>43671</v>
      </c>
      <c r="F291" s="25">
        <f>IFERROR(__xludf.DUMMYFUNCTION("iferror(ifna(IFNA(filter('2.1.clean'!E:E,'2.1.clean'!A:A=C291),filter('2.2.clean'!G:G,'2.2.clean'!D:D=C291)),filter('2.4.clean'!E:E,'2.4.clean'!A:A=C291)),)"),2.4)</f>
        <v>2.4</v>
      </c>
      <c r="G291" s="24"/>
      <c r="J291" s="25"/>
      <c r="K291" s="24"/>
      <c r="L291" s="25"/>
      <c r="M291" s="24">
        <f>IFERROR(__xludf.DUMMYFUNCTION("iferror(filter('3.3.clean'!C:C,'3.3.clean'!A:A=C291),"""")"),43675.0)</f>
        <v>43675</v>
      </c>
      <c r="N291" s="25" t="b">
        <f t="shared" si="161"/>
        <v>1</v>
      </c>
      <c r="O291" s="24">
        <f>IFERROR(__xludf.DUMMYFUNCTION("iferror(filter('3.4.clean'!C:C,'3.4.clean'!A:A=C291),"""")"),43684.0)</f>
        <v>43684</v>
      </c>
      <c r="P291" s="25" t="b">
        <f t="shared" si="162"/>
        <v>1</v>
      </c>
      <c r="Q291" s="24">
        <f>IFERROR(__xludf.DUMMYFUNCTION("iferror(filter('3.5.clean'!C:C,'3.5.clean'!A:A=C291),"""")"),43671.0)</f>
        <v>43671</v>
      </c>
      <c r="R291" s="23" t="b">
        <f t="shared" si="163"/>
        <v>1</v>
      </c>
      <c r="S291" s="25"/>
      <c r="U291" s="23"/>
      <c r="V291" s="1" t="s">
        <v>64</v>
      </c>
      <c r="W291" s="23" t="b">
        <f t="shared" si="164"/>
        <v>1</v>
      </c>
      <c r="X291" s="23" t="str">
        <f>IFERROR(__xludf.DUMMYFUNCTION("if(COUNTA(FILTER(C:C, C:C = C291))=1,""no"",""yes"")"),"no")</f>
        <v>no</v>
      </c>
    </row>
    <row r="292">
      <c r="A292" s="1" t="s">
        <v>420</v>
      </c>
      <c r="B292" s="2">
        <v>3.0</v>
      </c>
      <c r="C292" s="19" t="s">
        <v>969</v>
      </c>
      <c r="E292" s="24">
        <f>IFERROR(__xludf.DUMMYFUNCTION("ifna(IFNA(filter('2.1.clean'!C:C,'2.1.clean'!A:A=C292),filter('2.2.clean'!E:E,'2.2.clean'!D:D=C292)),filter('2.4.clean'!C:C,'2.4.clean'!A:A=C292))"),43671.0)</f>
        <v>43671</v>
      </c>
      <c r="F292" s="25">
        <f>IFERROR(__xludf.DUMMYFUNCTION("iferror(ifna(IFNA(filter('2.1.clean'!E:E,'2.1.clean'!A:A=C292),filter('2.2.clean'!G:G,'2.2.clean'!D:D=C292)),filter('2.4.clean'!E:E,'2.4.clean'!A:A=C292)),)"),2.4)</f>
        <v>2.4</v>
      </c>
      <c r="G292" s="24"/>
      <c r="J292" s="25"/>
      <c r="K292" s="24"/>
      <c r="L292" s="25"/>
      <c r="M292" s="24">
        <f>IFERROR(__xludf.DUMMYFUNCTION("iferror(filter('3.3.clean'!C:C,'3.3.clean'!A:A=C292),"""")"),43675.0)</f>
        <v>43675</v>
      </c>
      <c r="N292" s="25" t="b">
        <f t="shared" si="161"/>
        <v>1</v>
      </c>
      <c r="O292" s="24">
        <f>IFERROR(__xludf.DUMMYFUNCTION("iferror(filter('3.4.clean'!C:C,'3.4.clean'!A:A=C292),"""")"),43684.0)</f>
        <v>43684</v>
      </c>
      <c r="P292" s="25" t="b">
        <f t="shared" si="162"/>
        <v>1</v>
      </c>
      <c r="Q292" s="24">
        <f>IFERROR(__xludf.DUMMYFUNCTION("iferror(filter('3.5.clean'!C:C,'3.5.clean'!A:A=C292),"""")"),43671.0)</f>
        <v>43671</v>
      </c>
      <c r="R292" s="23" t="b">
        <f t="shared" si="163"/>
        <v>1</v>
      </c>
      <c r="S292" s="25"/>
      <c r="U292" s="23"/>
      <c r="V292" s="1" t="s">
        <v>64</v>
      </c>
      <c r="W292" s="23" t="b">
        <f t="shared" si="164"/>
        <v>1</v>
      </c>
      <c r="X292" s="23" t="str">
        <f>IFERROR(__xludf.DUMMYFUNCTION("if(COUNTA(FILTER(C:C, C:C = C292))=1,""no"",""yes"")"),"no")</f>
        <v>no</v>
      </c>
    </row>
    <row r="293">
      <c r="A293" s="1" t="s">
        <v>420</v>
      </c>
      <c r="B293" s="2">
        <v>4.0</v>
      </c>
      <c r="C293" s="19" t="s">
        <v>970</v>
      </c>
      <c r="E293" s="24">
        <f>IFERROR(__xludf.DUMMYFUNCTION("ifna(IFNA(filter('2.1.clean'!C:C,'2.1.clean'!A:A=C293),filter('2.2.clean'!E:E,'2.2.clean'!D:D=C293)),filter('2.4.clean'!C:C,'2.4.clean'!A:A=C293))"),43671.0)</f>
        <v>43671</v>
      </c>
      <c r="F293" s="25">
        <f>IFERROR(__xludf.DUMMYFUNCTION("iferror(ifna(IFNA(filter('2.1.clean'!E:E,'2.1.clean'!A:A=C293),filter('2.2.clean'!G:G,'2.2.clean'!D:D=C293)),filter('2.4.clean'!E:E,'2.4.clean'!A:A=C293)),)"),2.4)</f>
        <v>2.4</v>
      </c>
      <c r="G293" s="24"/>
      <c r="J293" s="25"/>
      <c r="K293" s="24"/>
      <c r="L293" s="25"/>
      <c r="M293" s="24">
        <f>IFERROR(__xludf.DUMMYFUNCTION("iferror(filter('3.3.clean'!C:C,'3.3.clean'!A:A=C293),"""")"),43675.0)</f>
        <v>43675</v>
      </c>
      <c r="N293" s="25" t="b">
        <f t="shared" si="161"/>
        <v>1</v>
      </c>
      <c r="O293" s="24">
        <f>IFERROR(__xludf.DUMMYFUNCTION("iferror(filter('3.4.clean'!C:C,'3.4.clean'!A:A=C293),"""")"),43684.0)</f>
        <v>43684</v>
      </c>
      <c r="P293" s="25" t="b">
        <f t="shared" si="162"/>
        <v>1</v>
      </c>
      <c r="Q293" s="24">
        <f>IFERROR(__xludf.DUMMYFUNCTION("iferror(filter('3.5.clean'!C:C,'3.5.clean'!A:A=C293),"""")"),43671.0)</f>
        <v>43671</v>
      </c>
      <c r="R293" s="23" t="b">
        <f t="shared" si="163"/>
        <v>1</v>
      </c>
      <c r="S293" s="25"/>
      <c r="U293" s="23"/>
      <c r="V293" s="1" t="s">
        <v>64</v>
      </c>
      <c r="W293" s="23" t="b">
        <f t="shared" si="164"/>
        <v>1</v>
      </c>
      <c r="X293" s="23" t="str">
        <f>IFERROR(__xludf.DUMMYFUNCTION("if(COUNTA(FILTER(C:C, C:C = C293))=1,""no"",""yes"")"),"no")</f>
        <v>no</v>
      </c>
    </row>
    <row r="294">
      <c r="A294" s="1" t="s">
        <v>420</v>
      </c>
      <c r="B294" s="19">
        <v>5.0</v>
      </c>
      <c r="C294" s="19" t="s">
        <v>972</v>
      </c>
      <c r="D294" s="22" t="str">
        <f>if(or(I294=1,J294=1,S294=1),"pos","")</f>
        <v/>
      </c>
      <c r="E294" s="20">
        <f>Q294</f>
        <v>43671</v>
      </c>
      <c r="F294" s="79" t="str">
        <f>IFERROR(__xludf.DUMMYFUNCTION("iferror(ifna(IFNA(filter('2.1.clean'!E:E,'2.1.clean'!A:A=C294),filter('2.2.clean'!G:G,'2.2.clean'!D:D=C294)),filter('2.4.clean'!E:E,'2.4.clean'!A:A=C294)),)"),"")</f>
        <v/>
      </c>
      <c r="G294" s="20" t="str">
        <f>IFERROR(__xludf.DUMMYFUNCTION("iferror(filter('3.1.clean'!C:C,'3.1.clean'!A:A=C294),"""")"),"")</f>
        <v/>
      </c>
      <c r="H294" s="22"/>
      <c r="I294" s="22"/>
      <c r="J294" s="79"/>
      <c r="K294" s="20" t="str">
        <f>IFERROR(__xludf.DUMMYFUNCTION("iferror(filter('3.2.clean'!C:C,'3.2.clean'!A:A=C294),"""")"),"")</f>
        <v/>
      </c>
      <c r="L294" s="79"/>
      <c r="M294" s="20">
        <f>IFERROR(__xludf.DUMMYFUNCTION("iferror(filter('3.3.clean'!C:C,'3.3.clean'!A:A=C294),"""")"),43675.0)</f>
        <v>43675</v>
      </c>
      <c r="N294" s="79" t="b">
        <f t="shared" si="161"/>
        <v>1</v>
      </c>
      <c r="O294" s="20" t="str">
        <f>IFERROR(__xludf.DUMMYFUNCTION("iferror(filter('3.4.clean'!C:C,'3.4.clean'!A:A=C294),"""")"),"")</f>
        <v/>
      </c>
      <c r="P294" s="79" t="b">
        <f t="shared" si="162"/>
        <v>0</v>
      </c>
      <c r="Q294" s="20">
        <f>IFERROR(__xludf.DUMMYFUNCTION("iferror(filter('3.5.clean'!C:C,'3.5.clean'!A:A=C294),"""")"),43671.0)</f>
        <v>43671</v>
      </c>
      <c r="R294" s="22" t="b">
        <f t="shared" si="163"/>
        <v>1</v>
      </c>
      <c r="S294" s="4">
        <f>IFERROR(__xludf.DUMMYFUNCTION("iferror(filter('3.5.clean'!H:H,'3.5.clean'!A:A=C294),"""")"),0.0)</f>
        <v>0</v>
      </c>
      <c r="V294" s="1" t="s">
        <v>64</v>
      </c>
      <c r="W294" s="23" t="b">
        <f t="shared" si="164"/>
        <v>0</v>
      </c>
      <c r="X294" s="23" t="str">
        <f>IFERROR(__xludf.DUMMYFUNCTION("if(COUNTA(FILTER(C:C, C:C = C294))=1,""no"",""yes"")"),"no")</f>
        <v>no</v>
      </c>
    </row>
    <row r="295">
      <c r="A295" s="75" t="s">
        <v>426</v>
      </c>
      <c r="B295" s="2">
        <v>1.0</v>
      </c>
      <c r="C295" s="19" t="s">
        <v>973</v>
      </c>
      <c r="E295" s="24">
        <f>IFERROR(__xludf.DUMMYFUNCTION("ifna(IFNA(filter('2.1.clean'!C:C,'2.1.clean'!A:A=C295),filter('2.2.clean'!E:E,'2.2.clean'!D:D=C295)),filter('2.4.clean'!C:C,'2.4.clean'!A:A=C295))"),43675.0)</f>
        <v>43675</v>
      </c>
      <c r="F295" s="25">
        <f>IFERROR(__xludf.DUMMYFUNCTION("iferror(ifna(IFNA(filter('2.1.clean'!E:E,'2.1.clean'!A:A=C295),filter('2.2.clean'!G:G,'2.2.clean'!D:D=C295)),filter('2.4.clean'!E:E,'2.4.clean'!A:A=C295)),)"),2.4)</f>
        <v>2.4</v>
      </c>
      <c r="G295" s="24">
        <f>IFERROR(__xludf.DUMMYFUNCTION("iferror(filter('3.1.clean'!C:C,'3.1.clean'!A:A=C295),"""")"),43675.0)</f>
        <v>43675</v>
      </c>
      <c r="H295" s="23" t="b">
        <f t="shared" ref="H295:H296" si="165">if(G295="",FALSE,TRUE)</f>
        <v>1</v>
      </c>
      <c r="J295" s="25"/>
      <c r="K295" s="24" t="str">
        <f>IFERROR(__xludf.DUMMYFUNCTION("iferror(filter('3.2.clean'!C:C,'3.2.clean'!A:A=C295),"""")"),"")</f>
        <v/>
      </c>
      <c r="L295" s="25" t="b">
        <f>if(K295="",FALSE,TRUE)</f>
        <v>0</v>
      </c>
      <c r="M295" s="24">
        <f>IFERROR(__xludf.DUMMYFUNCTION("iferror(filter('3.3.clean'!C:C,'3.3.clean'!A:A=C295),"""")"),43677.0)</f>
        <v>43677</v>
      </c>
      <c r="N295" s="25" t="b">
        <f t="shared" si="161"/>
        <v>1</v>
      </c>
      <c r="O295" s="24" t="str">
        <f>IFERROR(__xludf.DUMMYFUNCTION("iferror(filter('3.4.clean'!C:C,'3.4.clean'!A:A=C295),"""")"),"")</f>
        <v/>
      </c>
      <c r="P295" s="25" t="b">
        <f t="shared" si="162"/>
        <v>0</v>
      </c>
      <c r="Q295" s="24">
        <f>IFERROR(__xludf.DUMMYFUNCTION("iferror(filter('3.5.clean'!C:C,'3.5.clean'!A:A=C295),"""")"),43675.0)</f>
        <v>43675</v>
      </c>
      <c r="R295" s="23" t="b">
        <f t="shared" si="163"/>
        <v>1</v>
      </c>
      <c r="S295" s="25"/>
      <c r="U295" s="1" t="s">
        <v>382</v>
      </c>
      <c r="V295" s="1" t="s">
        <v>64</v>
      </c>
      <c r="X295" s="23" t="str">
        <f>IFERROR(__xludf.DUMMYFUNCTION("if(COUNTA(FILTER(C:C, C:C = C295))=1,""no"",""yes"")"),"no")</f>
        <v>no</v>
      </c>
    </row>
    <row r="296">
      <c r="A296" s="75" t="s">
        <v>426</v>
      </c>
      <c r="B296" s="19">
        <v>2.0</v>
      </c>
      <c r="C296" s="19" t="s">
        <v>975</v>
      </c>
      <c r="D296" s="58" t="str">
        <f t="shared" ref="D296:D297" si="166">if(or(I296=1,J296=1,S296=1),"pos","")</f>
        <v>pos</v>
      </c>
      <c r="E296" s="59">
        <f>IFERROR(__xludf.DUMMYFUNCTION("ifna(IFNA(filter('2.1.clean'!C:C,'2.1.clean'!A:A=C296),filter('2.2.clean'!E:E,'2.2.clean'!D:D=C296)),filter('2.4.clean'!C:C,'2.4.clean'!A:A=C296))"),43675.0)</f>
        <v>43675</v>
      </c>
      <c r="F296" s="60">
        <f>IFERROR(__xludf.DUMMYFUNCTION("iferror(ifna(IFNA(filter('2.1.clean'!E:E,'2.1.clean'!A:A=C296),filter('2.2.clean'!G:G,'2.2.clean'!D:D=C296)),filter('2.4.clean'!E:E,'2.4.clean'!A:A=C296)),)"),2.4)</f>
        <v>2.4</v>
      </c>
      <c r="G296" s="59">
        <f>IFERROR(__xludf.DUMMYFUNCTION("iferror(filter('3.1.clean'!C:C,'3.1.clean'!A:A=C296),"""")"),43675.0)</f>
        <v>43675</v>
      </c>
      <c r="H296" s="58" t="b">
        <f t="shared" si="165"/>
        <v>1</v>
      </c>
      <c r="I296" s="58">
        <f>IFERROR(__xludf.DUMMYFUNCTION("iferror(filter('3.1.clean'!G:G,'3.1.clean'!A:A=C296),"""")"),1.0)</f>
        <v>1</v>
      </c>
      <c r="J296" s="60">
        <f>IFERROR(__xludf.DUMMYFUNCTION("iferror(filter('3.1.clean'!I:I,'3.1.clean'!A:A=C296),"""")"),1.0)</f>
        <v>1</v>
      </c>
      <c r="K296" s="58"/>
      <c r="L296" s="60"/>
      <c r="M296" s="59">
        <f>IFERROR(__xludf.DUMMYFUNCTION("iferror(filter('3.3.clean'!C:C,'3.3.clean'!A:A=C296),"""")"),43677.0)</f>
        <v>43677</v>
      </c>
      <c r="N296" s="60" t="b">
        <f t="shared" si="161"/>
        <v>1</v>
      </c>
      <c r="O296" s="59" t="str">
        <f>IFERROR(__xludf.DUMMYFUNCTION("iferror(filter('3.4.clean'!C:C,'3.4.clean'!A:A=C296),"""")"),"")</f>
        <v/>
      </c>
      <c r="P296" s="60" t="b">
        <f t="shared" si="162"/>
        <v>0</v>
      </c>
      <c r="Q296" s="59" t="str">
        <f>IFERROR(__xludf.DUMMYFUNCTION("iferror(filter('3.5.clean'!C:C,'3.5.clean'!A:A=C296),"""")"),"")</f>
        <v/>
      </c>
      <c r="R296" s="58" t="b">
        <f t="shared" si="163"/>
        <v>0</v>
      </c>
      <c r="S296" s="4" t="str">
        <f>IFERROR(__xludf.DUMMYFUNCTION("iferror(filter('3.5.clean'!H:H,'3.5.clean'!A:A=C296),"""")"),"")</f>
        <v/>
      </c>
      <c r="U296" s="23"/>
      <c r="V296" s="1" t="s">
        <v>64</v>
      </c>
      <c r="W296" s="23" t="b">
        <f>if(AND(H296=TRUE,N296=TRUE,P296=TRUE),TRUE,FALSE)</f>
        <v>0</v>
      </c>
      <c r="X296" s="23" t="str">
        <f>IFERROR(__xludf.DUMMYFUNCTION("if(COUNTA(FILTER(C:C, C:C = C296))=1,""no"",""yes"")"),"no")</f>
        <v>no</v>
      </c>
    </row>
    <row r="297">
      <c r="A297" s="75" t="s">
        <v>426</v>
      </c>
      <c r="B297" s="19">
        <v>3.0</v>
      </c>
      <c r="C297" s="19" t="s">
        <v>976</v>
      </c>
      <c r="D297" s="58" t="str">
        <f t="shared" si="166"/>
        <v/>
      </c>
      <c r="E297" s="59">
        <f>Q297</f>
        <v>43675</v>
      </c>
      <c r="F297" s="60" t="str">
        <f>IFERROR(__xludf.DUMMYFUNCTION("iferror(ifna(IFNA(filter('2.1.clean'!E:E,'2.1.clean'!A:A=C297),filter('2.2.clean'!G:G,'2.2.clean'!D:D=C297)),filter('2.4.clean'!E:E,'2.4.clean'!A:A=C297)),)"),"")</f>
        <v/>
      </c>
      <c r="G297" s="59" t="str">
        <f>IFERROR(__xludf.DUMMYFUNCTION("iferror(filter('3.1.clean'!C:C,'3.1.clean'!A:A=C297),"""")"),"")</f>
        <v/>
      </c>
      <c r="H297" s="58"/>
      <c r="I297" s="58"/>
      <c r="J297" s="60"/>
      <c r="K297" s="58"/>
      <c r="L297" s="60"/>
      <c r="M297" s="59" t="str">
        <f>IFERROR(__xludf.DUMMYFUNCTION("iferror(filter('3.3.clean'!C:C,'3.3.clean'!A:A=C297),"""")"),"")</f>
        <v/>
      </c>
      <c r="N297" s="60" t="b">
        <f t="shared" si="161"/>
        <v>0</v>
      </c>
      <c r="O297" s="59" t="str">
        <f>IFERROR(__xludf.DUMMYFUNCTION("iferror(filter('3.4.clean'!C:C,'3.4.clean'!A:A=C297),"""")"),"")</f>
        <v/>
      </c>
      <c r="P297" s="60" t="b">
        <f t="shared" si="162"/>
        <v>0</v>
      </c>
      <c r="Q297" s="59">
        <f>IFERROR(__xludf.DUMMYFUNCTION("iferror(filter('3.5.clean'!C:C,'3.5.clean'!A:A=C297),"""")"),43675.0)</f>
        <v>43675</v>
      </c>
      <c r="R297" s="58" t="b">
        <f t="shared" si="163"/>
        <v>1</v>
      </c>
      <c r="S297" s="4" t="str">
        <f>IFERROR(__xludf.DUMMYFUNCTION("iferror(filter('3.5.clean'!H:H,'3.5.clean'!A:A=C297),"""")"),"")</f>
        <v/>
      </c>
      <c r="U297" s="23"/>
      <c r="V297" s="1" t="s">
        <v>64</v>
      </c>
      <c r="W297" s="23" t="b">
        <f>if(AND(R297=TRUE,N297=TRUE,P297=TRUE),TRUE,FALSE)</f>
        <v>0</v>
      </c>
      <c r="X297" s="23" t="str">
        <f>IFERROR(__xludf.DUMMYFUNCTION("if(COUNTA(FILTER(C:C, C:C = C297))=1,""no"",""yes"")"),"no")</f>
        <v>no</v>
      </c>
    </row>
    <row r="298">
      <c r="A298" s="75" t="s">
        <v>426</v>
      </c>
      <c r="B298" s="28">
        <v>4.0</v>
      </c>
      <c r="C298" s="27" t="s">
        <v>978</v>
      </c>
      <c r="D298" s="24"/>
      <c r="E298" s="24">
        <f>IFERROR(__xludf.DUMMYFUNCTION("ifna(IFNA(filter('2.1.clean'!C:C,'2.1.clean'!A:A=C298),filter('2.2.clean'!E:E,'2.2.clean'!D:D=C298)),filter('2.4.clean'!C:C,'2.4.clean'!A:A=C298))"),43675.0)</f>
        <v>43675</v>
      </c>
      <c r="F298" s="25">
        <f>IFERROR(__xludf.DUMMYFUNCTION("iferror(ifna(IFNA(filter('2.1.clean'!E:E,'2.1.clean'!A:A=C298),filter('2.2.clean'!G:G,'2.2.clean'!D:D=C298)),filter('2.4.clean'!E:E,'2.4.clean'!A:A=C298)),)"),2.1)</f>
        <v>2.1</v>
      </c>
      <c r="G298" s="24">
        <f>IFERROR(__xludf.DUMMYFUNCTION("iferror(filter('3.1.clean'!C:C,'3.1.clean'!A:A=C298),"""")"),43675.0)</f>
        <v>43675</v>
      </c>
      <c r="H298" s="23" t="b">
        <f t="shared" ref="H298:H300" si="167">if(G298="",FALSE,TRUE)</f>
        <v>1</v>
      </c>
      <c r="J298" s="25"/>
      <c r="K298" s="24">
        <f>IFERROR(__xludf.DUMMYFUNCTION("iferror(filter('3.2.clean'!C:C,'3.2.clean'!A:A=C298),"""")"),43678.0)</f>
        <v>43678</v>
      </c>
      <c r="L298" s="25" t="b">
        <f t="shared" ref="L298:L300" si="168">if(K298="",FALSE,TRUE)</f>
        <v>1</v>
      </c>
      <c r="M298" s="24">
        <f>IFERROR(__xludf.DUMMYFUNCTION("iferror(filter('3.3.clean'!C:C,'3.3.clean'!A:A=C298),"""")"),43677.0)</f>
        <v>43677</v>
      </c>
      <c r="N298" s="25" t="b">
        <f t="shared" si="161"/>
        <v>1</v>
      </c>
      <c r="O298" s="24">
        <f>IFERROR(__xludf.DUMMYFUNCTION("iferror(filter('3.4.clean'!C:C,'3.4.clean'!A:A=C298),"""")"),43684.0)</f>
        <v>43684</v>
      </c>
      <c r="P298" s="25" t="b">
        <f t="shared" si="162"/>
        <v>1</v>
      </c>
      <c r="Q298" s="24"/>
      <c r="S298" s="25"/>
      <c r="U298" s="23"/>
      <c r="V298" s="1" t="s">
        <v>83</v>
      </c>
      <c r="W298" s="23" t="b">
        <f t="shared" ref="W298:W300" si="169">IF(and(H298=TRUE,L298=TRUE,N298=TRUE,P298=TRUE),TRUE,FALSE)</f>
        <v>1</v>
      </c>
      <c r="X298" s="23" t="str">
        <f>IFERROR(__xludf.DUMMYFUNCTION("if(COUNTA(FILTER(C:C, C:C = C298))=1,""no"",""yes"")"),"no")</f>
        <v>no</v>
      </c>
    </row>
    <row r="299">
      <c r="A299" s="75" t="s">
        <v>426</v>
      </c>
      <c r="B299" s="28">
        <v>5.0</v>
      </c>
      <c r="C299" s="27" t="s">
        <v>979</v>
      </c>
      <c r="D299" s="24"/>
      <c r="E299" s="24">
        <f>IFERROR(__xludf.DUMMYFUNCTION("ifna(IFNA(filter('2.1.clean'!C:C,'2.1.clean'!A:A=C299),filter('2.2.clean'!E:E,'2.2.clean'!D:D=C299)),filter('2.4.clean'!C:C,'2.4.clean'!A:A=C299))"),43675.0)</f>
        <v>43675</v>
      </c>
      <c r="F299" s="25">
        <f>IFERROR(__xludf.DUMMYFUNCTION("iferror(ifna(IFNA(filter('2.1.clean'!E:E,'2.1.clean'!A:A=C299),filter('2.2.clean'!G:G,'2.2.clean'!D:D=C299)),filter('2.4.clean'!E:E,'2.4.clean'!A:A=C299)),)"),2.1)</f>
        <v>2.1</v>
      </c>
      <c r="G299" s="24">
        <f>IFERROR(__xludf.DUMMYFUNCTION("iferror(filter('3.1.clean'!C:C,'3.1.clean'!A:A=C299),"""")"),43675.0)</f>
        <v>43675</v>
      </c>
      <c r="H299" s="23" t="b">
        <f t="shared" si="167"/>
        <v>1</v>
      </c>
      <c r="J299" s="25"/>
      <c r="K299" s="24">
        <f>IFERROR(__xludf.DUMMYFUNCTION("iferror(filter('3.2.clean'!C:C,'3.2.clean'!A:A=C299),"""")"),43678.0)</f>
        <v>43678</v>
      </c>
      <c r="L299" s="25" t="b">
        <f t="shared" si="168"/>
        <v>1</v>
      </c>
      <c r="M299" s="24">
        <f>IFERROR(__xludf.DUMMYFUNCTION("iferror(filter('3.3.clean'!C:C,'3.3.clean'!A:A=C299),"""")"),43677.0)</f>
        <v>43677</v>
      </c>
      <c r="N299" s="25" t="b">
        <f t="shared" si="161"/>
        <v>1</v>
      </c>
      <c r="O299" s="24">
        <f>IFERROR(__xludf.DUMMYFUNCTION("iferror(filter('3.4.clean'!C:C,'3.4.clean'!A:A=C299),"""")"),43684.0)</f>
        <v>43684</v>
      </c>
      <c r="P299" s="25" t="b">
        <f t="shared" si="162"/>
        <v>1</v>
      </c>
      <c r="Q299" s="24"/>
      <c r="S299" s="25"/>
      <c r="U299" s="23"/>
      <c r="V299" s="1" t="s">
        <v>83</v>
      </c>
      <c r="W299" s="23" t="b">
        <f t="shared" si="169"/>
        <v>1</v>
      </c>
      <c r="X299" s="23" t="str">
        <f>IFERROR(__xludf.DUMMYFUNCTION("if(COUNTA(FILTER(C:C, C:C = C299))=1,""no"",""yes"")"),"no")</f>
        <v>no</v>
      </c>
    </row>
    <row r="300">
      <c r="A300" s="75" t="s">
        <v>426</v>
      </c>
      <c r="B300" s="28">
        <v>6.0</v>
      </c>
      <c r="C300" s="27" t="s">
        <v>981</v>
      </c>
      <c r="D300" s="24"/>
      <c r="E300" s="24">
        <f>IFERROR(__xludf.DUMMYFUNCTION("ifna(IFNA(filter('2.1.clean'!C:C,'2.1.clean'!A:A=C300),filter('2.2.clean'!E:E,'2.2.clean'!D:D=C300)),filter('2.4.clean'!C:C,'2.4.clean'!A:A=C300))"),43675.0)</f>
        <v>43675</v>
      </c>
      <c r="F300" s="25">
        <f>IFERROR(__xludf.DUMMYFUNCTION("iferror(ifna(IFNA(filter('2.1.clean'!E:E,'2.1.clean'!A:A=C300),filter('2.2.clean'!G:G,'2.2.clean'!D:D=C300)),filter('2.4.clean'!E:E,'2.4.clean'!A:A=C300)),)"),2.1)</f>
        <v>2.1</v>
      </c>
      <c r="G300" s="24">
        <f>IFERROR(__xludf.DUMMYFUNCTION("iferror(filter('3.1.clean'!C:C,'3.1.clean'!A:A=C300),"""")"),43675.0)</f>
        <v>43675</v>
      </c>
      <c r="H300" s="23" t="b">
        <f t="shared" si="167"/>
        <v>1</v>
      </c>
      <c r="J300" s="25"/>
      <c r="K300" s="24">
        <f>IFERROR(__xludf.DUMMYFUNCTION("iferror(filter('3.2.clean'!C:C,'3.2.clean'!A:A=C300),"""")"),43678.0)</f>
        <v>43678</v>
      </c>
      <c r="L300" s="25" t="b">
        <f t="shared" si="168"/>
        <v>1</v>
      </c>
      <c r="M300" s="24">
        <f>IFERROR(__xludf.DUMMYFUNCTION("iferror(filter('3.3.clean'!C:C,'3.3.clean'!A:A=C300),"""")"),43677.0)</f>
        <v>43677</v>
      </c>
      <c r="N300" s="25" t="b">
        <f t="shared" si="161"/>
        <v>1</v>
      </c>
      <c r="O300" s="24">
        <f>IFERROR(__xludf.DUMMYFUNCTION("iferror(filter('3.4.clean'!C:C,'3.4.clean'!A:A=C300),"""")"),43684.0)</f>
        <v>43684</v>
      </c>
      <c r="P300" s="25" t="b">
        <f t="shared" si="162"/>
        <v>1</v>
      </c>
      <c r="Q300" s="24"/>
      <c r="S300" s="25"/>
      <c r="U300" s="23"/>
      <c r="V300" s="1" t="s">
        <v>83</v>
      </c>
      <c r="W300" s="23" t="b">
        <f t="shared" si="169"/>
        <v>1</v>
      </c>
      <c r="X300" s="23" t="str">
        <f>IFERROR(__xludf.DUMMYFUNCTION("if(COUNTA(FILTER(C:C, C:C = C300))=1,""no"",""yes"")"),"no")</f>
        <v>no</v>
      </c>
    </row>
    <row r="301">
      <c r="A301" s="75" t="s">
        <v>426</v>
      </c>
      <c r="B301" s="19">
        <v>7.0</v>
      </c>
      <c r="C301" s="19" t="s">
        <v>982</v>
      </c>
      <c r="D301" s="22" t="str">
        <f t="shared" ref="D301:D306" si="170">if(or(I301=1,J301=1,S301=1),"pos","")</f>
        <v/>
      </c>
      <c r="E301" s="20">
        <f>Q301</f>
        <v>43675</v>
      </c>
      <c r="F301" s="79" t="str">
        <f>IFERROR(__xludf.DUMMYFUNCTION("iferror(ifna(IFNA(filter('2.1.clean'!E:E,'2.1.clean'!A:A=C301),filter('2.2.clean'!G:G,'2.2.clean'!D:D=C301)),filter('2.4.clean'!E:E,'2.4.clean'!A:A=C301)),)"),"")</f>
        <v/>
      </c>
      <c r="G301" s="20" t="str">
        <f>IFERROR(__xludf.DUMMYFUNCTION("iferror(filter('3.1.clean'!C:C,'3.1.clean'!A:A=C301),"""")"),"")</f>
        <v/>
      </c>
      <c r="H301" s="22"/>
      <c r="I301" s="22"/>
      <c r="J301" s="79"/>
      <c r="K301" s="20" t="str">
        <f>IFERROR(__xludf.DUMMYFUNCTION("iferror(filter('3.2.clean'!C:C,'3.2.clean'!A:A=C301),"""")"),"")</f>
        <v/>
      </c>
      <c r="L301" s="79"/>
      <c r="M301" s="20">
        <f>IFERROR(__xludf.DUMMYFUNCTION("iferror(filter('3.3.clean'!C:C,'3.3.clean'!A:A=C301),"""")"),43677.0)</f>
        <v>43677</v>
      </c>
      <c r="N301" s="79" t="b">
        <f t="shared" si="161"/>
        <v>1</v>
      </c>
      <c r="O301" s="20" t="str">
        <f>IFERROR(__xludf.DUMMYFUNCTION("iferror(filter('3.4.clean'!C:C,'3.4.clean'!A:A=C301),"""")"),"")</f>
        <v/>
      </c>
      <c r="P301" s="79" t="b">
        <f t="shared" si="162"/>
        <v>0</v>
      </c>
      <c r="Q301" s="20">
        <f>IFERROR(__xludf.DUMMYFUNCTION("iferror(filter('3.5.clean'!C:C,'3.5.clean'!A:A=C301),"""")"),43675.0)</f>
        <v>43675</v>
      </c>
      <c r="R301" s="22" t="b">
        <f>if(Q301="",FALSE,TRUE)</f>
        <v>1</v>
      </c>
      <c r="S301" s="4">
        <f>IFERROR(__xludf.DUMMYFUNCTION("iferror(filter('3.5.clean'!H:H,'3.5.clean'!A:A=C301),"""")"),0.0)</f>
        <v>0</v>
      </c>
      <c r="U301" s="1" t="s">
        <v>382</v>
      </c>
      <c r="V301" s="1" t="s">
        <v>64</v>
      </c>
      <c r="W301" s="23" t="b">
        <f>IF(and(R301=TRUE,N301=TRUE,P301=TRUE),TRUE,FALSE)</f>
        <v>0</v>
      </c>
      <c r="X301" s="23" t="str">
        <f>IFERROR(__xludf.DUMMYFUNCTION("if(COUNTA(FILTER(C:C, C:C = C301))=1,""no"",""yes"")"),"no")</f>
        <v>no</v>
      </c>
    </row>
    <row r="302">
      <c r="A302" s="75" t="s">
        <v>426</v>
      </c>
      <c r="B302" s="19">
        <v>8.0</v>
      </c>
      <c r="C302" s="19" t="s">
        <v>983</v>
      </c>
      <c r="D302" s="76" t="str">
        <f t="shared" si="170"/>
        <v/>
      </c>
      <c r="E302" s="77">
        <f>G302</f>
        <v>43675</v>
      </c>
      <c r="F302" s="78" t="str">
        <f>IFERROR(__xludf.DUMMYFUNCTION("iferror(ifna(IFNA(filter('2.1.clean'!E:E,'2.1.clean'!A:A=C302),filter('2.2.clean'!G:G,'2.2.clean'!D:D=C302)),filter('2.4.clean'!E:E,'2.4.clean'!A:A=C302)),)"),"")</f>
        <v/>
      </c>
      <c r="G302" s="77">
        <f>IFERROR(__xludf.DUMMYFUNCTION("iferror(filter('3.1.clean'!C:C,'3.1.clean'!A:A=C302),"""")"),43675.0)</f>
        <v>43675</v>
      </c>
      <c r="H302" s="76" t="b">
        <f t="shared" ref="H302:H303" si="171">if(G302="",FALSE,TRUE)</f>
        <v>1</v>
      </c>
      <c r="I302" s="76">
        <f>IFERROR(__xludf.DUMMYFUNCTION("iferror(filter('3.1.clean'!G:G,'3.1.clean'!A:A=C302),"""")"),0.0)</f>
        <v>0</v>
      </c>
      <c r="J302" s="78">
        <f>IFERROR(__xludf.DUMMYFUNCTION("iferror(filter('3.1.clean'!I:I,'3.1.clean'!A:A=C302),"""")"),0.0)</f>
        <v>0</v>
      </c>
      <c r="K302" s="77"/>
      <c r="L302" s="78"/>
      <c r="M302" s="77"/>
      <c r="N302" s="78"/>
      <c r="O302" s="77"/>
      <c r="P302" s="78"/>
      <c r="Q302" s="77"/>
      <c r="R302" s="76"/>
      <c r="S302" s="25"/>
      <c r="T302" s="1"/>
      <c r="V302" s="1" t="s">
        <v>83</v>
      </c>
      <c r="W302" s="1" t="b">
        <v>1</v>
      </c>
      <c r="X302" s="23" t="str">
        <f>IFERROR(__xludf.DUMMYFUNCTION("if(COUNTA(FILTER(C:C, C:C = C302))=1,""no"",""yes"")"),"no")</f>
        <v>no</v>
      </c>
    </row>
    <row r="303">
      <c r="A303" s="1" t="s">
        <v>430</v>
      </c>
      <c r="B303" s="19"/>
      <c r="C303" s="19" t="s">
        <v>985</v>
      </c>
      <c r="D303" s="58" t="str">
        <f t="shared" si="170"/>
        <v>pos</v>
      </c>
      <c r="E303" s="59">
        <f>IFERROR(__xludf.DUMMYFUNCTION("ifna(IFNA(filter('2.1.clean'!C:C,'2.1.clean'!A:A=C303),filter('2.2.clean'!E:E,'2.2.clean'!D:D=C303)),filter('2.4.clean'!C:C,'2.4.clean'!A:A=C303))"),43676.0)</f>
        <v>43676</v>
      </c>
      <c r="F303" s="60">
        <f>IFERROR(__xludf.DUMMYFUNCTION("iferror(ifna(IFNA(filter('2.1.clean'!E:E,'2.1.clean'!A:A=C303),filter('2.2.clean'!G:G,'2.2.clean'!D:D=C303)),filter('2.4.clean'!E:E,'2.4.clean'!A:A=C303)),)"),2.4)</f>
        <v>2.4</v>
      </c>
      <c r="G303" s="59">
        <f>IFERROR(__xludf.DUMMYFUNCTION("iferror(filter('3.1.clean'!C:C,'3.1.clean'!A:A=C303),"""")"),43676.0)</f>
        <v>43676</v>
      </c>
      <c r="H303" s="58" t="b">
        <f t="shared" si="171"/>
        <v>1</v>
      </c>
      <c r="I303" s="58">
        <f>IFERROR(__xludf.DUMMYFUNCTION("iferror(filter('3.1.clean'!G:G,'3.1.clean'!A:A=C303),"""")"),1.0)</f>
        <v>1</v>
      </c>
      <c r="J303" s="60">
        <f>IFERROR(__xludf.DUMMYFUNCTION("iferror(filter('3.1.clean'!I:I,'3.1.clean'!A:A=C303),"""")"),1.0)</f>
        <v>1</v>
      </c>
      <c r="K303" s="58"/>
      <c r="L303" s="60"/>
      <c r="M303" s="59" t="str">
        <f>IFERROR(__xludf.DUMMYFUNCTION("iferror(filter('3.3.clean'!C:C,'3.3.clean'!A:A=C303),"""")"),"")</f>
        <v/>
      </c>
      <c r="N303" s="60" t="b">
        <f t="shared" ref="N303:N310" si="172">if(M303="",FALSE,TRUE)</f>
        <v>0</v>
      </c>
      <c r="O303" s="59" t="str">
        <f>IFERROR(__xludf.DUMMYFUNCTION("iferror(filter('3.4.clean'!C:C,'3.4.clean'!A:A=C303),"""")"),"")</f>
        <v/>
      </c>
      <c r="P303" s="60" t="b">
        <f t="shared" ref="P303:P310" si="173">if(O303="",FALSE,TRUE)</f>
        <v>0</v>
      </c>
      <c r="Q303" s="59" t="str">
        <f>IFERROR(__xludf.DUMMYFUNCTION("iferror(filter('3.5.clean'!C:C,'3.5.clean'!A:A=C303),"""")"),"")</f>
        <v/>
      </c>
      <c r="R303" s="58" t="b">
        <f t="shared" ref="R303:R310" si="174">if(Q303="",FALSE,TRUE)</f>
        <v>0</v>
      </c>
      <c r="S303" s="4" t="str">
        <f>IFERROR(__xludf.DUMMYFUNCTION("iferror(filter('3.5.clean'!H:H,'3.5.clean'!A:A=C303),"""")"),"")</f>
        <v/>
      </c>
      <c r="U303" s="23"/>
      <c r="V303" s="1" t="s">
        <v>64</v>
      </c>
      <c r="W303" s="23" t="b">
        <f>if(AND(H303=TRUE,N303=TRUE,P303=TRUE),TRUE,FALSE)</f>
        <v>0</v>
      </c>
      <c r="X303" s="23" t="str">
        <f>IFERROR(__xludf.DUMMYFUNCTION("if(COUNTA(FILTER(C:C, C:C = C303))=1,""no"",""yes"")"),"no")</f>
        <v>no</v>
      </c>
    </row>
    <row r="304">
      <c r="A304" s="1" t="s">
        <v>430</v>
      </c>
      <c r="B304" s="19"/>
      <c r="C304" s="19" t="s">
        <v>986</v>
      </c>
      <c r="D304" s="58" t="str">
        <f t="shared" si="170"/>
        <v>pos</v>
      </c>
      <c r="E304" s="59">
        <f>Q304</f>
        <v>43676</v>
      </c>
      <c r="F304" s="60" t="str">
        <f>IFERROR(__xludf.DUMMYFUNCTION("iferror(ifna(IFNA(filter('2.1.clean'!E:E,'2.1.clean'!A:A=C304),filter('2.2.clean'!G:G,'2.2.clean'!D:D=C304)),filter('2.4.clean'!E:E,'2.4.clean'!A:A=C304)),)"),"")</f>
        <v/>
      </c>
      <c r="G304" s="59" t="str">
        <f>IFERROR(__xludf.DUMMYFUNCTION("iferror(filter('3.1.clean'!C:C,'3.1.clean'!A:A=C304),"""")"),"")</f>
        <v/>
      </c>
      <c r="H304" s="58"/>
      <c r="I304" s="58"/>
      <c r="J304" s="60"/>
      <c r="K304" s="58"/>
      <c r="L304" s="60"/>
      <c r="M304" s="59" t="str">
        <f>IFERROR(__xludf.DUMMYFUNCTION("iferror(filter('3.3.clean'!C:C,'3.3.clean'!A:A=C304),"""")"),"")</f>
        <v/>
      </c>
      <c r="N304" s="60" t="b">
        <f t="shared" si="172"/>
        <v>0</v>
      </c>
      <c r="O304" s="59" t="str">
        <f>IFERROR(__xludf.DUMMYFUNCTION("iferror(filter('3.4.clean'!C:C,'3.4.clean'!A:A=C304),"""")"),"")</f>
        <v/>
      </c>
      <c r="P304" s="60" t="b">
        <f t="shared" si="173"/>
        <v>0</v>
      </c>
      <c r="Q304" s="59">
        <f>IFERROR(__xludf.DUMMYFUNCTION("iferror(filter('3.5.clean'!C:C,'3.5.clean'!A:A=C304),"""")"),43676.0)</f>
        <v>43676</v>
      </c>
      <c r="R304" s="58" t="b">
        <f t="shared" si="174"/>
        <v>1</v>
      </c>
      <c r="S304" s="4">
        <f>IFERROR(__xludf.DUMMYFUNCTION("iferror(filter('3.5.clean'!H:H,'3.5.clean'!A:A=C304),"""")"),1.0)</f>
        <v>1</v>
      </c>
      <c r="U304" s="23"/>
      <c r="V304" s="1" t="s">
        <v>64</v>
      </c>
      <c r="W304" s="23" t="b">
        <f>if(AND(R304=TRUE,N304=TRUE,P304=TRUE),TRUE,FALSE)</f>
        <v>0</v>
      </c>
      <c r="X304" s="23" t="str">
        <f>IFERROR(__xludf.DUMMYFUNCTION("if(COUNTA(FILTER(C:C, C:C = C304))=1,""no"",""yes"")"),"no")</f>
        <v>no</v>
      </c>
    </row>
    <row r="305">
      <c r="A305" s="1" t="s">
        <v>430</v>
      </c>
      <c r="B305" s="19"/>
      <c r="C305" s="19" t="s">
        <v>987</v>
      </c>
      <c r="D305" s="58" t="str">
        <f t="shared" si="170"/>
        <v>pos</v>
      </c>
      <c r="E305" s="59">
        <f>IFERROR(__xludf.DUMMYFUNCTION("ifna(IFNA(filter('2.1.clean'!C:C,'2.1.clean'!A:A=C305),filter('2.2.clean'!E:E,'2.2.clean'!D:D=C305)),filter('2.4.clean'!C:C,'2.4.clean'!A:A=C305))"),43676.0)</f>
        <v>43676</v>
      </c>
      <c r="F305" s="60">
        <f>IFERROR(__xludf.DUMMYFUNCTION("iferror(ifna(IFNA(filter('2.1.clean'!E:E,'2.1.clean'!A:A=C305),filter('2.2.clean'!G:G,'2.2.clean'!D:D=C305)),filter('2.4.clean'!E:E,'2.4.clean'!A:A=C305)),)"),2.1)</f>
        <v>2.1</v>
      </c>
      <c r="G305" s="59">
        <f>IFERROR(__xludf.DUMMYFUNCTION("iferror(filter('3.1.clean'!C:C,'3.1.clean'!A:A=C305),"""")"),43676.0)</f>
        <v>43676</v>
      </c>
      <c r="H305" s="58" t="b">
        <f>if(G305="",FALSE,TRUE)</f>
        <v>1</v>
      </c>
      <c r="I305" s="58">
        <f>IFERROR(__xludf.DUMMYFUNCTION("iferror(filter('3.1.clean'!G:G,'3.1.clean'!A:A=C305),"""")"),1.0)</f>
        <v>1</v>
      </c>
      <c r="J305" s="60">
        <f>IFERROR(__xludf.DUMMYFUNCTION("iferror(filter('3.1.clean'!I:I,'3.1.clean'!A:A=C305),"""")"),1.0)</f>
        <v>1</v>
      </c>
      <c r="K305" s="58" t="str">
        <f>IFERROR(__xludf.DUMMYFUNCTION("iferror(filter('3.2.clean'!C:C,'3.2.clean'!A:A=C305),"""")"),"")</f>
        <v/>
      </c>
      <c r="L305" s="60" t="b">
        <f>if(K305="",FALSE,TRUE)</f>
        <v>0</v>
      </c>
      <c r="M305" s="59" t="str">
        <f>IFERROR(__xludf.DUMMYFUNCTION("iferror(filter('3.3.clean'!C:C,'3.3.clean'!A:A=C305),"""")"),"")</f>
        <v/>
      </c>
      <c r="N305" s="60" t="b">
        <f t="shared" si="172"/>
        <v>0</v>
      </c>
      <c r="O305" s="59" t="str">
        <f>IFERROR(__xludf.DUMMYFUNCTION("iferror(filter('3.4.clean'!C:C,'3.4.clean'!A:A=C305),"""")"),"")</f>
        <v/>
      </c>
      <c r="P305" s="60" t="b">
        <f t="shared" si="173"/>
        <v>0</v>
      </c>
      <c r="Q305" s="59" t="str">
        <f>IFERROR(__xludf.DUMMYFUNCTION("iferror(filter('3.5.clean'!C:C,'3.5.clean'!A:A=C305),"""")"),"")</f>
        <v/>
      </c>
      <c r="R305" s="58" t="b">
        <f t="shared" si="174"/>
        <v>0</v>
      </c>
      <c r="S305" s="4" t="str">
        <f>IFERROR(__xludf.DUMMYFUNCTION("iferror(filter('3.5.clean'!H:H,'3.5.clean'!A:A=C305),"""")"),"")</f>
        <v/>
      </c>
      <c r="U305" s="1" t="s">
        <v>180</v>
      </c>
      <c r="V305" s="1" t="s">
        <v>83</v>
      </c>
      <c r="W305" s="23" t="b">
        <f>if(AND(H305=TRUE,N305=TRUE,P305=TRUE),TRUE,FALSE)</f>
        <v>0</v>
      </c>
      <c r="X305" s="23" t="str">
        <f>IFERROR(__xludf.DUMMYFUNCTION("if(COUNTA(FILTER(C:C, C:C = C305))=1,""no"",""yes"")"),"no")</f>
        <v>no</v>
      </c>
    </row>
    <row r="306">
      <c r="A306" s="1" t="s">
        <v>430</v>
      </c>
      <c r="B306" s="19"/>
      <c r="C306" s="19" t="s">
        <v>989</v>
      </c>
      <c r="D306" s="58" t="str">
        <f t="shared" si="170"/>
        <v>pos</v>
      </c>
      <c r="E306" s="59">
        <f>Q306</f>
        <v>43676</v>
      </c>
      <c r="F306" s="60" t="str">
        <f>IFERROR(__xludf.DUMMYFUNCTION("iferror(ifna(IFNA(filter('2.1.clean'!E:E,'2.1.clean'!A:A=C306),filter('2.2.clean'!G:G,'2.2.clean'!D:D=C306)),filter('2.4.clean'!E:E,'2.4.clean'!A:A=C306)),)"),"")</f>
        <v/>
      </c>
      <c r="G306" s="59" t="str">
        <f>IFERROR(__xludf.DUMMYFUNCTION("iferror(filter('3.1.clean'!C:C,'3.1.clean'!A:A=C306),"""")"),"")</f>
        <v/>
      </c>
      <c r="H306" s="58"/>
      <c r="I306" s="58"/>
      <c r="J306" s="60"/>
      <c r="K306" s="58"/>
      <c r="L306" s="60"/>
      <c r="M306" s="59" t="str">
        <f>IFERROR(__xludf.DUMMYFUNCTION("iferror(filter('3.3.clean'!C:C,'3.3.clean'!A:A=C306),"""")"),"")</f>
        <v/>
      </c>
      <c r="N306" s="60" t="b">
        <f t="shared" si="172"/>
        <v>0</v>
      </c>
      <c r="O306" s="59" t="str">
        <f>IFERROR(__xludf.DUMMYFUNCTION("iferror(filter('3.4.clean'!C:C,'3.4.clean'!A:A=C306),"""")"),"")</f>
        <v/>
      </c>
      <c r="P306" s="60" t="b">
        <f t="shared" si="173"/>
        <v>0</v>
      </c>
      <c r="Q306" s="59">
        <f>IFERROR(__xludf.DUMMYFUNCTION("iferror(filter('3.5.clean'!C:C,'3.5.clean'!A:A=C306),"""")"),43676.0)</f>
        <v>43676</v>
      </c>
      <c r="R306" s="58" t="b">
        <f t="shared" si="174"/>
        <v>1</v>
      </c>
      <c r="S306" s="4">
        <f>IFERROR(__xludf.DUMMYFUNCTION("iferror(filter('3.5.clean'!H:H,'3.5.clean'!A:A=C306),"""")"),1.0)</f>
        <v>1</v>
      </c>
      <c r="U306" s="23"/>
      <c r="V306" s="1" t="s">
        <v>64</v>
      </c>
      <c r="W306" s="23" t="b">
        <f>if(AND(R306=TRUE,N306=TRUE,P306=TRUE),TRUE,FALSE)</f>
        <v>0</v>
      </c>
      <c r="X306" s="23" t="str">
        <f>IFERROR(__xludf.DUMMYFUNCTION("if(COUNTA(FILTER(C:C, C:C = C306))=1,""no"",""yes"")"),"no")</f>
        <v>no</v>
      </c>
    </row>
    <row r="307">
      <c r="A307" s="1" t="s">
        <v>430</v>
      </c>
      <c r="B307" s="19"/>
      <c r="C307" s="19" t="s">
        <v>990</v>
      </c>
      <c r="E307" s="24">
        <f>IFERROR(__xludf.DUMMYFUNCTION("ifna(IFNA(filter('2.1.clean'!C:C,'2.1.clean'!A:A=C307),filter('2.2.clean'!E:E,'2.2.clean'!D:D=C307)),filter('2.4.clean'!C:C,'2.4.clean'!A:A=C307))"),43676.0)</f>
        <v>43676</v>
      </c>
      <c r="F307" s="25">
        <f>IFERROR(__xludf.DUMMYFUNCTION("iferror(ifna(IFNA(filter('2.1.clean'!E:E,'2.1.clean'!A:A=C307),filter('2.2.clean'!G:G,'2.2.clean'!D:D=C307)),filter('2.4.clean'!E:E,'2.4.clean'!A:A=C307)),)"),2.4)</f>
        <v>2.4</v>
      </c>
      <c r="G307" s="24"/>
      <c r="J307" s="25"/>
      <c r="K307" s="24"/>
      <c r="L307" s="25"/>
      <c r="M307" s="24" t="str">
        <f>IFERROR(__xludf.DUMMYFUNCTION("iferror(filter('3.3.clean'!C:C,'3.3.clean'!A:A=C307),"""")"),"")</f>
        <v/>
      </c>
      <c r="N307" s="25" t="b">
        <f t="shared" si="172"/>
        <v>0</v>
      </c>
      <c r="O307" s="24" t="str">
        <f>IFERROR(__xludf.DUMMYFUNCTION("iferror(filter('3.4.clean'!C:C,'3.4.clean'!A:A=C307),"""")"),"")</f>
        <v/>
      </c>
      <c r="P307" s="25" t="b">
        <f t="shared" si="173"/>
        <v>0</v>
      </c>
      <c r="Q307" s="24">
        <f>IFERROR(__xludf.DUMMYFUNCTION("iferror(filter('3.5.clean'!C:C,'3.5.clean'!A:A=C307),"""")"),43676.0)</f>
        <v>43676</v>
      </c>
      <c r="R307" s="23" t="b">
        <f t="shared" si="174"/>
        <v>1</v>
      </c>
      <c r="S307" s="25"/>
      <c r="U307" s="1" t="s">
        <v>180</v>
      </c>
      <c r="V307" s="1" t="s">
        <v>64</v>
      </c>
      <c r="W307" s="23" t="b">
        <f t="shared" ref="W307:W310" si="175">IF(and(R307=TRUE,N307=TRUE,P307=TRUE),TRUE,FALSE)</f>
        <v>0</v>
      </c>
      <c r="X307" s="23" t="str">
        <f>IFERROR(__xludf.DUMMYFUNCTION("if(COUNTA(FILTER(C:C, C:C = C307))=1,""no"",""yes"")"),"no")</f>
        <v>no</v>
      </c>
    </row>
    <row r="308">
      <c r="A308" s="1" t="s">
        <v>430</v>
      </c>
      <c r="B308" s="19"/>
      <c r="C308" s="19" t="s">
        <v>992</v>
      </c>
      <c r="E308" s="24">
        <f>IFERROR(__xludf.DUMMYFUNCTION("ifna(IFNA(filter('2.1.clean'!C:C,'2.1.clean'!A:A=C308),filter('2.2.clean'!E:E,'2.2.clean'!D:D=C308)),filter('2.4.clean'!C:C,'2.4.clean'!A:A=C308))"),43676.0)</f>
        <v>43676</v>
      </c>
      <c r="F308" s="25">
        <f>IFERROR(__xludf.DUMMYFUNCTION("iferror(ifna(IFNA(filter('2.1.clean'!E:E,'2.1.clean'!A:A=C308),filter('2.2.clean'!G:G,'2.2.clean'!D:D=C308)),filter('2.4.clean'!E:E,'2.4.clean'!A:A=C308)),)"),2.4)</f>
        <v>2.4</v>
      </c>
      <c r="G308" s="24"/>
      <c r="J308" s="25"/>
      <c r="K308" s="24"/>
      <c r="L308" s="25"/>
      <c r="M308" s="24" t="str">
        <f>IFERROR(__xludf.DUMMYFUNCTION("iferror(filter('3.3.clean'!C:C,'3.3.clean'!A:A=C308),"""")"),"")</f>
        <v/>
      </c>
      <c r="N308" s="25" t="b">
        <f t="shared" si="172"/>
        <v>0</v>
      </c>
      <c r="O308" s="24" t="str">
        <f>IFERROR(__xludf.DUMMYFUNCTION("iferror(filter('3.4.clean'!C:C,'3.4.clean'!A:A=C308),"""")"),"")</f>
        <v/>
      </c>
      <c r="P308" s="25" t="b">
        <f t="shared" si="173"/>
        <v>0</v>
      </c>
      <c r="Q308" s="24">
        <f>IFERROR(__xludf.DUMMYFUNCTION("iferror(filter('3.5.clean'!C:C,'3.5.clean'!A:A=C308),"""")"),43676.0)</f>
        <v>43676</v>
      </c>
      <c r="R308" s="23" t="b">
        <f t="shared" si="174"/>
        <v>1</v>
      </c>
      <c r="S308" s="25"/>
      <c r="U308" s="1" t="s">
        <v>180</v>
      </c>
      <c r="V308" s="1" t="s">
        <v>64</v>
      </c>
      <c r="W308" s="23" t="b">
        <f t="shared" si="175"/>
        <v>0</v>
      </c>
      <c r="X308" s="23" t="str">
        <f>IFERROR(__xludf.DUMMYFUNCTION("if(COUNTA(FILTER(C:C, C:C = C308))=1,""no"",""yes"")"),"no")</f>
        <v>no</v>
      </c>
    </row>
    <row r="309">
      <c r="A309" s="1" t="s">
        <v>430</v>
      </c>
      <c r="B309" s="19"/>
      <c r="C309" s="19" t="s">
        <v>993</v>
      </c>
      <c r="E309" s="24">
        <f>IFERROR(__xludf.DUMMYFUNCTION("ifna(IFNA(filter('2.1.clean'!C:C,'2.1.clean'!A:A=C309),filter('2.2.clean'!E:E,'2.2.clean'!D:D=C309)),filter('2.4.clean'!C:C,'2.4.clean'!A:A=C309))"),43676.0)</f>
        <v>43676</v>
      </c>
      <c r="F309" s="25">
        <f>IFERROR(__xludf.DUMMYFUNCTION("iferror(ifna(IFNA(filter('2.1.clean'!E:E,'2.1.clean'!A:A=C309),filter('2.2.clean'!G:G,'2.2.clean'!D:D=C309)),filter('2.4.clean'!E:E,'2.4.clean'!A:A=C309)),)"),2.4)</f>
        <v>2.4</v>
      </c>
      <c r="G309" s="24"/>
      <c r="J309" s="25"/>
      <c r="K309" s="24"/>
      <c r="L309" s="25"/>
      <c r="M309" s="24" t="str">
        <f>IFERROR(__xludf.DUMMYFUNCTION("iferror(filter('3.3.clean'!C:C,'3.3.clean'!A:A=C309),"""")"),"")</f>
        <v/>
      </c>
      <c r="N309" s="25" t="b">
        <f t="shared" si="172"/>
        <v>0</v>
      </c>
      <c r="O309" s="24" t="str">
        <f>IFERROR(__xludf.DUMMYFUNCTION("iferror(filter('3.4.clean'!C:C,'3.4.clean'!A:A=C309),"""")"),"")</f>
        <v/>
      </c>
      <c r="P309" s="25" t="b">
        <f t="shared" si="173"/>
        <v>0</v>
      </c>
      <c r="Q309" s="24">
        <f>IFERROR(__xludf.DUMMYFUNCTION("iferror(filter('3.5.clean'!C:C,'3.5.clean'!A:A=C309),"""")"),43676.0)</f>
        <v>43676</v>
      </c>
      <c r="R309" s="23" t="b">
        <f t="shared" si="174"/>
        <v>1</v>
      </c>
      <c r="S309" s="25"/>
      <c r="U309" s="1" t="s">
        <v>180</v>
      </c>
      <c r="V309" s="1" t="s">
        <v>64</v>
      </c>
      <c r="W309" s="23" t="b">
        <f t="shared" si="175"/>
        <v>0</v>
      </c>
      <c r="X309" s="23" t="str">
        <f>IFERROR(__xludf.DUMMYFUNCTION("if(COUNTA(FILTER(C:C, C:C = C309))=1,""no"",""yes"")"),"no")</f>
        <v>no</v>
      </c>
    </row>
    <row r="310">
      <c r="A310" s="1" t="s">
        <v>430</v>
      </c>
      <c r="B310" s="19"/>
      <c r="C310" s="19" t="s">
        <v>995</v>
      </c>
      <c r="E310" s="24">
        <f>IFERROR(__xludf.DUMMYFUNCTION("ifna(IFNA(filter('2.1.clean'!C:C,'2.1.clean'!A:A=C310),filter('2.2.clean'!E:E,'2.2.clean'!D:D=C310)),filter('2.4.clean'!C:C,'2.4.clean'!A:A=C310))"),43676.0)</f>
        <v>43676</v>
      </c>
      <c r="F310" s="25">
        <f>IFERROR(__xludf.DUMMYFUNCTION("iferror(ifna(IFNA(filter('2.1.clean'!E:E,'2.1.clean'!A:A=C310),filter('2.2.clean'!G:G,'2.2.clean'!D:D=C310)),filter('2.4.clean'!E:E,'2.4.clean'!A:A=C310)),)"),2.4)</f>
        <v>2.4</v>
      </c>
      <c r="G310" s="24"/>
      <c r="J310" s="25"/>
      <c r="K310" s="24"/>
      <c r="L310" s="25"/>
      <c r="M310" s="24" t="str">
        <f>IFERROR(__xludf.DUMMYFUNCTION("iferror(filter('3.3.clean'!C:C,'3.3.clean'!A:A=C310),"""")"),"")</f>
        <v/>
      </c>
      <c r="N310" s="25" t="b">
        <f t="shared" si="172"/>
        <v>0</v>
      </c>
      <c r="O310" s="24" t="str">
        <f>IFERROR(__xludf.DUMMYFUNCTION("iferror(filter('3.4.clean'!C:C,'3.4.clean'!A:A=C310),"""")"),"")</f>
        <v/>
      </c>
      <c r="P310" s="25" t="b">
        <f t="shared" si="173"/>
        <v>0</v>
      </c>
      <c r="Q310" s="24">
        <f>IFERROR(__xludf.DUMMYFUNCTION("iferror(filter('3.5.clean'!C:C,'3.5.clean'!A:A=C310),"""")"),43676.0)</f>
        <v>43676</v>
      </c>
      <c r="R310" s="23" t="b">
        <f t="shared" si="174"/>
        <v>1</v>
      </c>
      <c r="S310" s="25"/>
      <c r="U310" s="1" t="s">
        <v>180</v>
      </c>
      <c r="V310" s="1" t="s">
        <v>64</v>
      </c>
      <c r="W310" s="23" t="b">
        <f t="shared" si="175"/>
        <v>0</v>
      </c>
      <c r="X310" s="23" t="str">
        <f>IFERROR(__xludf.DUMMYFUNCTION("if(COUNTA(FILTER(C:C, C:C = C310))=1,""no"",""yes"")"),"no")</f>
        <v>no</v>
      </c>
    </row>
    <row r="311">
      <c r="A311" s="1" t="s">
        <v>430</v>
      </c>
      <c r="B311" s="19"/>
      <c r="C311" s="19" t="s">
        <v>997</v>
      </c>
      <c r="D311" s="76" t="str">
        <f>if(or(I311=1,J311=1,S311=1),"pos","")</f>
        <v/>
      </c>
      <c r="E311" s="77">
        <f>G311</f>
        <v>43676</v>
      </c>
      <c r="F311" s="78" t="str">
        <f>IFERROR(__xludf.DUMMYFUNCTION("iferror(ifna(IFNA(filter('2.1.clean'!E:E,'2.1.clean'!A:A=C311),filter('2.2.clean'!G:G,'2.2.clean'!D:D=C311)),filter('2.4.clean'!E:E,'2.4.clean'!A:A=C311)),)"),"")</f>
        <v/>
      </c>
      <c r="G311" s="77">
        <f>IFERROR(__xludf.DUMMYFUNCTION("iferror(filter('3.1.clean'!C:C,'3.1.clean'!A:A=C311),"""")"),43676.0)</f>
        <v>43676</v>
      </c>
      <c r="H311" s="76" t="b">
        <f t="shared" ref="H311:H313" si="176">if(G311="",FALSE,TRUE)</f>
        <v>1</v>
      </c>
      <c r="I311" s="76">
        <f>IFERROR(__xludf.DUMMYFUNCTION("iferror(filter('3.1.clean'!G:G,'3.1.clean'!A:A=C311),"""")"),0.0)</f>
        <v>0</v>
      </c>
      <c r="J311" s="78">
        <f>IFERROR(__xludf.DUMMYFUNCTION("iferror(filter('3.1.clean'!I:I,'3.1.clean'!A:A=C311),"""")"),0.0)</f>
        <v>0</v>
      </c>
      <c r="K311" s="77"/>
      <c r="L311" s="78"/>
      <c r="M311" s="77"/>
      <c r="N311" s="78"/>
      <c r="O311" s="77"/>
      <c r="P311" s="78"/>
      <c r="Q311" s="77"/>
      <c r="R311" s="76"/>
      <c r="S311" s="25"/>
      <c r="T311" s="1"/>
      <c r="V311" s="1" t="s">
        <v>83</v>
      </c>
      <c r="W311" s="1" t="b">
        <v>1</v>
      </c>
      <c r="X311" s="23" t="str">
        <f>IFERROR(__xludf.DUMMYFUNCTION("if(COUNTA(FILTER(C:C, C:C = C311))=1,""no"",""yes"")"),"no")</f>
        <v>no</v>
      </c>
    </row>
    <row r="312">
      <c r="A312" s="1" t="s">
        <v>430</v>
      </c>
      <c r="B312" s="27"/>
      <c r="C312" s="27" t="s">
        <v>998</v>
      </c>
      <c r="D312" s="24"/>
      <c r="E312" s="24">
        <f>IFERROR(__xludf.DUMMYFUNCTION("ifna(IFNA(filter('2.1.clean'!C:C,'2.1.clean'!A:A=C312),filter('2.2.clean'!E:E,'2.2.clean'!D:D=C312)),filter('2.4.clean'!C:C,'2.4.clean'!A:A=C312))"),43676.0)</f>
        <v>43676</v>
      </c>
      <c r="F312" s="25">
        <f>IFERROR(__xludf.DUMMYFUNCTION("iferror(ifna(IFNA(filter('2.1.clean'!E:E,'2.1.clean'!A:A=C312),filter('2.2.clean'!G:G,'2.2.clean'!D:D=C312)),filter('2.4.clean'!E:E,'2.4.clean'!A:A=C312)),)"),2.1)</f>
        <v>2.1</v>
      </c>
      <c r="G312" s="24">
        <f>IFERROR(__xludf.DUMMYFUNCTION("iferror(filter('3.1.clean'!C:C,'3.1.clean'!A:A=C312),"""")"),43676.0)</f>
        <v>43676</v>
      </c>
      <c r="H312" s="23" t="b">
        <f t="shared" si="176"/>
        <v>1</v>
      </c>
      <c r="J312" s="25"/>
      <c r="K312" s="24">
        <f>IFERROR(__xludf.DUMMYFUNCTION("iferror(filter('3.2.clean'!C:C,'3.2.clean'!A:A=C312),"""")"),43678.0)</f>
        <v>43678</v>
      </c>
      <c r="L312" s="25" t="b">
        <f t="shared" ref="L312:L313" si="177">if(K312="",FALSE,TRUE)</f>
        <v>1</v>
      </c>
      <c r="M312" s="24" t="str">
        <f>IFERROR(__xludf.DUMMYFUNCTION("iferror(filter('3.3.clean'!C:C,'3.3.clean'!A:A=C312),"""")"),"")</f>
        <v/>
      </c>
      <c r="N312" s="25" t="b">
        <f t="shared" ref="N312:N319" si="178">if(M312="",FALSE,TRUE)</f>
        <v>0</v>
      </c>
      <c r="O312" s="24" t="str">
        <f>IFERROR(__xludf.DUMMYFUNCTION("iferror(filter('3.4.clean'!C:C,'3.4.clean'!A:A=C312),"""")"),"")</f>
        <v/>
      </c>
      <c r="P312" s="25" t="b">
        <f t="shared" ref="P312:P319" si="179">if(O312="",FALSE,TRUE)</f>
        <v>0</v>
      </c>
      <c r="Q312" s="24"/>
      <c r="S312" s="25"/>
      <c r="U312" s="1" t="s">
        <v>180</v>
      </c>
      <c r="V312" s="1" t="s">
        <v>83</v>
      </c>
      <c r="W312" s="23" t="b">
        <f t="shared" ref="W312:W313" si="180">IF(and(H312=TRUE,L312=TRUE,N312=TRUE,P312=TRUE),TRUE,FALSE)</f>
        <v>0</v>
      </c>
      <c r="X312" s="23" t="str">
        <f>IFERROR(__xludf.DUMMYFUNCTION("if(COUNTA(FILTER(C:C, C:C = C312))=1,""no"",""yes"")"),"no")</f>
        <v>no</v>
      </c>
    </row>
    <row r="313">
      <c r="A313" s="1" t="s">
        <v>430</v>
      </c>
      <c r="B313" s="27"/>
      <c r="C313" s="27" t="s">
        <v>999</v>
      </c>
      <c r="D313" s="24"/>
      <c r="E313" s="24">
        <f>IFERROR(__xludf.DUMMYFUNCTION("ifna(IFNA(filter('2.1.clean'!C:C,'2.1.clean'!A:A=C313),filter('2.2.clean'!E:E,'2.2.clean'!D:D=C313)),filter('2.4.clean'!C:C,'2.4.clean'!A:A=C313))"),43676.0)</f>
        <v>43676</v>
      </c>
      <c r="F313" s="25">
        <f>IFERROR(__xludf.DUMMYFUNCTION("iferror(ifna(IFNA(filter('2.1.clean'!E:E,'2.1.clean'!A:A=C313),filter('2.2.clean'!G:G,'2.2.clean'!D:D=C313)),filter('2.4.clean'!E:E,'2.4.clean'!A:A=C313)),)"),2.1)</f>
        <v>2.1</v>
      </c>
      <c r="G313" s="24">
        <f>IFERROR(__xludf.DUMMYFUNCTION("iferror(filter('3.1.clean'!C:C,'3.1.clean'!A:A=C313),"""")"),43676.0)</f>
        <v>43676</v>
      </c>
      <c r="H313" s="23" t="b">
        <f t="shared" si="176"/>
        <v>1</v>
      </c>
      <c r="J313" s="25"/>
      <c r="K313" s="24">
        <f>IFERROR(__xludf.DUMMYFUNCTION("iferror(filter('3.2.clean'!C:C,'3.2.clean'!A:A=C313),"""")"),43678.0)</f>
        <v>43678</v>
      </c>
      <c r="L313" s="25" t="b">
        <f t="shared" si="177"/>
        <v>1</v>
      </c>
      <c r="M313" s="24" t="str">
        <f>IFERROR(__xludf.DUMMYFUNCTION("iferror(filter('3.3.clean'!C:C,'3.3.clean'!A:A=C313),"""")"),"")</f>
        <v/>
      </c>
      <c r="N313" s="25" t="b">
        <f t="shared" si="178"/>
        <v>0</v>
      </c>
      <c r="O313" s="24" t="str">
        <f>IFERROR(__xludf.DUMMYFUNCTION("iferror(filter('3.4.clean'!C:C,'3.4.clean'!A:A=C313),"""")"),"")</f>
        <v/>
      </c>
      <c r="P313" s="25" t="b">
        <f t="shared" si="179"/>
        <v>0</v>
      </c>
      <c r="Q313" s="24"/>
      <c r="S313" s="25"/>
      <c r="U313" s="1" t="s">
        <v>180</v>
      </c>
      <c r="V313" s="1" t="s">
        <v>83</v>
      </c>
      <c r="W313" s="23" t="b">
        <f t="shared" si="180"/>
        <v>0</v>
      </c>
      <c r="X313" s="23" t="str">
        <f>IFERROR(__xludf.DUMMYFUNCTION("if(COUNTA(FILTER(C:C, C:C = C313))=1,""no"",""yes"")"),"no")</f>
        <v>no</v>
      </c>
    </row>
    <row r="314">
      <c r="A314" s="1" t="s">
        <v>430</v>
      </c>
      <c r="B314" s="19"/>
      <c r="C314" s="19" t="s">
        <v>1001</v>
      </c>
      <c r="D314" s="22" t="str">
        <f>if(or(I314=1,J314=1,S314=1),"pos","")</f>
        <v/>
      </c>
      <c r="E314" s="20">
        <f>Q314</f>
        <v>43676</v>
      </c>
      <c r="F314" s="79" t="str">
        <f>IFERROR(__xludf.DUMMYFUNCTION("iferror(ifna(IFNA(filter('2.1.clean'!E:E,'2.1.clean'!A:A=C314),filter('2.2.clean'!G:G,'2.2.clean'!D:D=C314)),filter('2.4.clean'!E:E,'2.4.clean'!A:A=C314)),)"),"")</f>
        <v/>
      </c>
      <c r="G314" s="20" t="str">
        <f>IFERROR(__xludf.DUMMYFUNCTION("iferror(filter('3.1.clean'!C:C,'3.1.clean'!A:A=C314),"""")"),"")</f>
        <v/>
      </c>
      <c r="H314" s="22"/>
      <c r="I314" s="22"/>
      <c r="J314" s="79"/>
      <c r="K314" s="20" t="str">
        <f>IFERROR(__xludf.DUMMYFUNCTION("iferror(filter('3.2.clean'!C:C,'3.2.clean'!A:A=C314),"""")"),"")</f>
        <v/>
      </c>
      <c r="L314" s="79"/>
      <c r="M314" s="20" t="str">
        <f>IFERROR(__xludf.DUMMYFUNCTION("iferror(filter('3.3.clean'!C:C,'3.3.clean'!A:A=C314),"""")"),"")</f>
        <v/>
      </c>
      <c r="N314" s="79" t="b">
        <f t="shared" si="178"/>
        <v>0</v>
      </c>
      <c r="O314" s="20" t="str">
        <f>IFERROR(__xludf.DUMMYFUNCTION("iferror(filter('3.4.clean'!C:C,'3.4.clean'!A:A=C314),"""")"),"")</f>
        <v/>
      </c>
      <c r="P314" s="79" t="b">
        <f t="shared" si="179"/>
        <v>0</v>
      </c>
      <c r="Q314" s="20">
        <f>IFERROR(__xludf.DUMMYFUNCTION("iferror(filter('3.5.clean'!C:C,'3.5.clean'!A:A=C314),"""")"),43676.0)</f>
        <v>43676</v>
      </c>
      <c r="R314" s="22" t="b">
        <f t="shared" ref="R314:R317" si="181">if(Q314="",FALSE,TRUE)</f>
        <v>1</v>
      </c>
      <c r="S314" s="4">
        <f>IFERROR(__xludf.DUMMYFUNCTION("iferror(filter('3.5.clean'!H:H,'3.5.clean'!A:A=C314),"""")"),0.0)</f>
        <v>0</v>
      </c>
      <c r="U314" s="1" t="s">
        <v>180</v>
      </c>
      <c r="V314" s="1" t="s">
        <v>64</v>
      </c>
      <c r="W314" s="23" t="b">
        <f>IF(and(R314=TRUE,N314=TRUE,P314=TRUE),TRUE,FALSE)</f>
        <v>0</v>
      </c>
      <c r="X314" s="23" t="str">
        <f>IFERROR(__xludf.DUMMYFUNCTION("if(COUNTA(FILTER(C:C, C:C = C314))=1,""no"",""yes"")"),"no")</f>
        <v>no</v>
      </c>
    </row>
    <row r="315">
      <c r="A315" s="75" t="s">
        <v>434</v>
      </c>
      <c r="B315" s="2">
        <v>1.0</v>
      </c>
      <c r="C315" s="19" t="s">
        <v>1002</v>
      </c>
      <c r="E315" s="24">
        <f>IFERROR(__xludf.DUMMYFUNCTION("ifna(IFNA(filter('2.1.clean'!C:C,'2.1.clean'!A:A=C315),filter('2.2.clean'!E:E,'2.2.clean'!D:D=C315)),filter('2.4.clean'!C:C,'2.4.clean'!A:A=C315))"),43677.0)</f>
        <v>43677</v>
      </c>
      <c r="F315" s="25">
        <f>IFERROR(__xludf.DUMMYFUNCTION("iferror(ifna(IFNA(filter('2.1.clean'!E:E,'2.1.clean'!A:A=C315),filter('2.2.clean'!G:G,'2.2.clean'!D:D=C315)),filter('2.4.clean'!E:E,'2.4.clean'!A:A=C315)),)"),2.4)</f>
        <v>2.4</v>
      </c>
      <c r="G315" s="24">
        <f>IFERROR(__xludf.DUMMYFUNCTION("iferror(filter('3.1.clean'!C:C,'3.1.clean'!A:A=C315),"""")"),43677.0)</f>
        <v>43677</v>
      </c>
      <c r="H315" s="23" t="b">
        <f t="shared" ref="H315:H316" si="182">if(G315="",FALSE,TRUE)</f>
        <v>1</v>
      </c>
      <c r="J315" s="25"/>
      <c r="K315" s="24" t="str">
        <f>IFERROR(__xludf.DUMMYFUNCTION("iferror(filter('3.2.clean'!C:C,'3.2.clean'!A:A=C315),"""")"),"")</f>
        <v/>
      </c>
      <c r="L315" s="25" t="b">
        <f>if(K315="",FALSE,TRUE)</f>
        <v>0</v>
      </c>
      <c r="M315" s="24" t="str">
        <f>IFERROR(__xludf.DUMMYFUNCTION("iferror(filter('3.3.clean'!C:C,'3.3.clean'!A:A=C315),"""")"),"")</f>
        <v/>
      </c>
      <c r="N315" s="25" t="b">
        <f t="shared" si="178"/>
        <v>0</v>
      </c>
      <c r="O315" s="24" t="str">
        <f>IFERROR(__xludf.DUMMYFUNCTION("iferror(filter('3.4.clean'!C:C,'3.4.clean'!A:A=C315),"""")"),"")</f>
        <v/>
      </c>
      <c r="P315" s="25" t="b">
        <f t="shared" si="179"/>
        <v>0</v>
      </c>
      <c r="Q315" s="24">
        <f>IFERROR(__xludf.DUMMYFUNCTION("iferror(filter('3.5.clean'!C:C,'3.5.clean'!A:A=C315),"""")"),43677.0)</f>
        <v>43677</v>
      </c>
      <c r="R315" s="23" t="b">
        <f t="shared" si="181"/>
        <v>1</v>
      </c>
      <c r="S315" s="25"/>
      <c r="U315" s="1" t="s">
        <v>180</v>
      </c>
      <c r="V315" s="1" t="s">
        <v>64</v>
      </c>
      <c r="X315" s="23" t="str">
        <f>IFERROR(__xludf.DUMMYFUNCTION("if(COUNTA(FILTER(C:C, C:C = C315))=1,""no"",""yes"")"),"no")</f>
        <v>no</v>
      </c>
    </row>
    <row r="316">
      <c r="A316" s="75" t="s">
        <v>434</v>
      </c>
      <c r="B316" s="19">
        <v>2.0</v>
      </c>
      <c r="C316" s="19" t="s">
        <v>1003</v>
      </c>
      <c r="D316" s="58" t="str">
        <f t="shared" ref="D316:D317" si="183">if(or(I316=1,J316=1,S316=1),"pos","")</f>
        <v/>
      </c>
      <c r="E316" s="59">
        <f>IFERROR(__xludf.DUMMYFUNCTION("ifna(IFNA(filter('2.1.clean'!C:C,'2.1.clean'!A:A=C316),filter('2.2.clean'!E:E,'2.2.clean'!D:D=C316)),filter('2.4.clean'!C:C,'2.4.clean'!A:A=C316))"),43677.0)</f>
        <v>43677</v>
      </c>
      <c r="F316" s="60">
        <f>IFERROR(__xludf.DUMMYFUNCTION("iferror(ifna(IFNA(filter('2.1.clean'!E:E,'2.1.clean'!A:A=C316),filter('2.2.clean'!G:G,'2.2.clean'!D:D=C316)),filter('2.4.clean'!E:E,'2.4.clean'!A:A=C316)),)"),2.4)</f>
        <v>2.4</v>
      </c>
      <c r="G316" s="59">
        <f>IFERROR(__xludf.DUMMYFUNCTION("iferror(filter('3.1.clean'!C:C,'3.1.clean'!A:A=C316),"""")"),43677.0)</f>
        <v>43677</v>
      </c>
      <c r="H316" s="58" t="b">
        <f t="shared" si="182"/>
        <v>1</v>
      </c>
      <c r="I316" s="58" t="str">
        <f>IFERROR(__xludf.DUMMYFUNCTION("iferror(filter('3.1.clean'!G:G,'3.1.clean'!A:A=C316),"""")"),"")</f>
        <v/>
      </c>
      <c r="J316" s="60" t="str">
        <f>IFERROR(__xludf.DUMMYFUNCTION("iferror(filter('3.1.clean'!I:I,'3.1.clean'!A:A=C316),"""")"),"")</f>
        <v/>
      </c>
      <c r="K316" s="58"/>
      <c r="L316" s="60"/>
      <c r="M316" s="59" t="str">
        <f>IFERROR(__xludf.DUMMYFUNCTION("iferror(filter('3.3.clean'!C:C,'3.3.clean'!A:A=C316),"""")"),"")</f>
        <v/>
      </c>
      <c r="N316" s="60" t="b">
        <f t="shared" si="178"/>
        <v>0</v>
      </c>
      <c r="O316" s="59" t="str">
        <f>IFERROR(__xludf.DUMMYFUNCTION("iferror(filter('3.4.clean'!C:C,'3.4.clean'!A:A=C316),"""")"),"")</f>
        <v/>
      </c>
      <c r="P316" s="60" t="b">
        <f t="shared" si="179"/>
        <v>0</v>
      </c>
      <c r="Q316" s="59" t="str">
        <f>IFERROR(__xludf.DUMMYFUNCTION("iferror(filter('3.5.clean'!C:C,'3.5.clean'!A:A=C316),"""")"),"")</f>
        <v/>
      </c>
      <c r="R316" s="58" t="b">
        <f t="shared" si="181"/>
        <v>0</v>
      </c>
      <c r="S316" s="4" t="str">
        <f>IFERROR(__xludf.DUMMYFUNCTION("iferror(filter('3.5.clean'!H:H,'3.5.clean'!A:A=C316),"""")"),"")</f>
        <v/>
      </c>
      <c r="U316" s="23"/>
      <c r="V316" s="1" t="s">
        <v>64</v>
      </c>
      <c r="W316" s="23" t="b">
        <f>if(AND(H316=TRUE,N316=TRUE,P316=TRUE),TRUE,FALSE)</f>
        <v>0</v>
      </c>
      <c r="X316" s="23" t="str">
        <f>IFERROR(__xludf.DUMMYFUNCTION("if(COUNTA(FILTER(C:C, C:C = C316))=1,""no"",""yes"")"),"no")</f>
        <v>no</v>
      </c>
    </row>
    <row r="317">
      <c r="A317" s="75" t="s">
        <v>434</v>
      </c>
      <c r="B317" s="19">
        <v>3.0</v>
      </c>
      <c r="C317" s="19" t="s">
        <v>1005</v>
      </c>
      <c r="D317" s="58" t="str">
        <f t="shared" si="183"/>
        <v>pos</v>
      </c>
      <c r="E317" s="59">
        <f>Q317</f>
        <v>43677</v>
      </c>
      <c r="F317" s="60" t="str">
        <f>IFERROR(__xludf.DUMMYFUNCTION("iferror(ifna(IFNA(filter('2.1.clean'!E:E,'2.1.clean'!A:A=C317),filter('2.2.clean'!G:G,'2.2.clean'!D:D=C317)),filter('2.4.clean'!E:E,'2.4.clean'!A:A=C317)),)"),"")</f>
        <v/>
      </c>
      <c r="G317" s="59" t="str">
        <f>IFERROR(__xludf.DUMMYFUNCTION("iferror(filter('3.1.clean'!C:C,'3.1.clean'!A:A=C317),"""")"),"")</f>
        <v/>
      </c>
      <c r="H317" s="58"/>
      <c r="I317" s="58"/>
      <c r="J317" s="60"/>
      <c r="K317" s="58"/>
      <c r="L317" s="60"/>
      <c r="M317" s="59" t="str">
        <f>IFERROR(__xludf.DUMMYFUNCTION("iferror(filter('3.3.clean'!C:C,'3.3.clean'!A:A=C317),"""")"),"")</f>
        <v/>
      </c>
      <c r="N317" s="60" t="b">
        <f t="shared" si="178"/>
        <v>0</v>
      </c>
      <c r="O317" s="59" t="str">
        <f>IFERROR(__xludf.DUMMYFUNCTION("iferror(filter('3.4.clean'!C:C,'3.4.clean'!A:A=C317),"""")"),"")</f>
        <v/>
      </c>
      <c r="P317" s="60" t="b">
        <f t="shared" si="179"/>
        <v>0</v>
      </c>
      <c r="Q317" s="59">
        <f>IFERROR(__xludf.DUMMYFUNCTION("iferror(filter('3.5.clean'!C:C,'3.5.clean'!A:A=C317),"""")"),43677.0)</f>
        <v>43677</v>
      </c>
      <c r="R317" s="58" t="b">
        <f t="shared" si="181"/>
        <v>1</v>
      </c>
      <c r="S317" s="4">
        <f>IFERROR(__xludf.DUMMYFUNCTION("iferror(filter('3.5.clean'!H:H,'3.5.clean'!A:A=C317),"""")"),1.0)</f>
        <v>1</v>
      </c>
      <c r="U317" s="23"/>
      <c r="V317" s="1" t="s">
        <v>64</v>
      </c>
      <c r="W317" s="23" t="b">
        <f>if(AND(R317=TRUE,N317=TRUE,P317=TRUE),TRUE,FALSE)</f>
        <v>0</v>
      </c>
      <c r="X317" s="23" t="str">
        <f>IFERROR(__xludf.DUMMYFUNCTION("if(COUNTA(FILTER(C:C, C:C = C317))=1,""no"",""yes"")"),"no")</f>
        <v>no</v>
      </c>
    </row>
    <row r="318">
      <c r="A318" s="75" t="s">
        <v>434</v>
      </c>
      <c r="B318" s="28">
        <v>4.0</v>
      </c>
      <c r="C318" s="27" t="s">
        <v>1006</v>
      </c>
      <c r="D318" s="24"/>
      <c r="E318" s="24">
        <f>IFERROR(__xludf.DUMMYFUNCTION("ifna(IFNA(filter('2.1.clean'!C:C,'2.1.clean'!A:A=C318),filter('2.2.clean'!E:E,'2.2.clean'!D:D=C318)),filter('2.4.clean'!C:C,'2.4.clean'!A:A=C318))"),43677.0)</f>
        <v>43677</v>
      </c>
      <c r="F318" s="25">
        <f>IFERROR(__xludf.DUMMYFUNCTION("iferror(ifna(IFNA(filter('2.1.clean'!E:E,'2.1.clean'!A:A=C318),filter('2.2.clean'!G:G,'2.2.clean'!D:D=C318)),filter('2.4.clean'!E:E,'2.4.clean'!A:A=C318)),)"),2.1)</f>
        <v>2.1</v>
      </c>
      <c r="G318" s="24">
        <f>IFERROR(__xludf.DUMMYFUNCTION("iferror(filter('3.1.clean'!C:C,'3.1.clean'!A:A=C318),"""")"),43677.0)</f>
        <v>43677</v>
      </c>
      <c r="H318" s="23" t="b">
        <f t="shared" ref="H318:H320" si="184">if(G318="",FALSE,TRUE)</f>
        <v>1</v>
      </c>
      <c r="J318" s="25"/>
      <c r="K318" s="24">
        <f>IFERROR(__xludf.DUMMYFUNCTION("iferror(filter('3.2.clean'!C:C,'3.2.clean'!A:A=C318),"""")"),43678.0)</f>
        <v>43678</v>
      </c>
      <c r="L318" s="25" t="b">
        <f t="shared" ref="L318:L319" si="185">if(K318="",FALSE,TRUE)</f>
        <v>1</v>
      </c>
      <c r="M318" s="24" t="str">
        <f>IFERROR(__xludf.DUMMYFUNCTION("iferror(filter('3.3.clean'!C:C,'3.3.clean'!A:A=C318),"""")"),"")</f>
        <v/>
      </c>
      <c r="N318" s="25" t="b">
        <f t="shared" si="178"/>
        <v>0</v>
      </c>
      <c r="O318" s="24" t="str">
        <f>IFERROR(__xludf.DUMMYFUNCTION("iferror(filter('3.4.clean'!C:C,'3.4.clean'!A:A=C318),"""")"),"")</f>
        <v/>
      </c>
      <c r="P318" s="25" t="b">
        <f t="shared" si="179"/>
        <v>0</v>
      </c>
      <c r="Q318" s="24"/>
      <c r="S318" s="25"/>
      <c r="U318" s="1" t="s">
        <v>503</v>
      </c>
      <c r="V318" s="1" t="s">
        <v>83</v>
      </c>
      <c r="W318" s="23" t="b">
        <f t="shared" ref="W318:W319" si="186">IF(and(H318=TRUE,L318=TRUE,N318=TRUE,P318=TRUE),TRUE,FALSE)</f>
        <v>0</v>
      </c>
      <c r="X318" s="23" t="str">
        <f>IFERROR(__xludf.DUMMYFUNCTION("if(COUNTA(FILTER(C:C, C:C = C318))=1,""no"",""yes"")"),"no")</f>
        <v>no</v>
      </c>
    </row>
    <row r="319">
      <c r="A319" s="75" t="s">
        <v>434</v>
      </c>
      <c r="B319" s="28">
        <v>5.0</v>
      </c>
      <c r="C319" s="27" t="s">
        <v>1008</v>
      </c>
      <c r="D319" s="24"/>
      <c r="E319" s="24">
        <f>IFERROR(__xludf.DUMMYFUNCTION("ifna(IFNA(filter('2.1.clean'!C:C,'2.1.clean'!A:A=C319),filter('2.2.clean'!E:E,'2.2.clean'!D:D=C319)),filter('2.4.clean'!C:C,'2.4.clean'!A:A=C319))"),43677.0)</f>
        <v>43677</v>
      </c>
      <c r="F319" s="25">
        <f>IFERROR(__xludf.DUMMYFUNCTION("iferror(ifna(IFNA(filter('2.1.clean'!E:E,'2.1.clean'!A:A=C319),filter('2.2.clean'!G:G,'2.2.clean'!D:D=C319)),filter('2.4.clean'!E:E,'2.4.clean'!A:A=C319)),)"),2.1)</f>
        <v>2.1</v>
      </c>
      <c r="G319" s="24">
        <f>IFERROR(__xludf.DUMMYFUNCTION("iferror(filter('3.1.clean'!C:C,'3.1.clean'!A:A=C319),"""")"),43677.0)</f>
        <v>43677</v>
      </c>
      <c r="H319" s="23" t="b">
        <f t="shared" si="184"/>
        <v>1</v>
      </c>
      <c r="J319" s="25"/>
      <c r="K319" s="24">
        <f>IFERROR(__xludf.DUMMYFUNCTION("iferror(filter('3.2.clean'!C:C,'3.2.clean'!A:A=C319),"""")"),43678.0)</f>
        <v>43678</v>
      </c>
      <c r="L319" s="25" t="b">
        <f t="shared" si="185"/>
        <v>1</v>
      </c>
      <c r="M319" s="24" t="str">
        <f>IFERROR(__xludf.DUMMYFUNCTION("iferror(filter('3.3.clean'!C:C,'3.3.clean'!A:A=C319),"""")"),"")</f>
        <v/>
      </c>
      <c r="N319" s="25" t="b">
        <f t="shared" si="178"/>
        <v>0</v>
      </c>
      <c r="O319" s="24" t="str">
        <f>IFERROR(__xludf.DUMMYFUNCTION("iferror(filter('3.4.clean'!C:C,'3.4.clean'!A:A=C319),"""")"),"")</f>
        <v/>
      </c>
      <c r="P319" s="25" t="b">
        <f t="shared" si="179"/>
        <v>0</v>
      </c>
      <c r="Q319" s="24"/>
      <c r="S319" s="25"/>
      <c r="U319" s="1" t="s">
        <v>503</v>
      </c>
      <c r="V319" s="1" t="s">
        <v>83</v>
      </c>
      <c r="W319" s="23" t="b">
        <f t="shared" si="186"/>
        <v>0</v>
      </c>
      <c r="X319" s="23" t="str">
        <f>IFERROR(__xludf.DUMMYFUNCTION("if(COUNTA(FILTER(C:C, C:C = C319))=1,""no"",""yes"")"),"no")</f>
        <v>no</v>
      </c>
    </row>
    <row r="320">
      <c r="A320" s="75" t="s">
        <v>434</v>
      </c>
      <c r="B320" s="19">
        <v>6.0</v>
      </c>
      <c r="C320" s="19" t="s">
        <v>1009</v>
      </c>
      <c r="D320" s="76" t="str">
        <f t="shared" ref="D320:D321" si="187">if(or(I320=1,J320=1,S320=1),"pos","")</f>
        <v/>
      </c>
      <c r="E320" s="77">
        <f>G320</f>
        <v>43677</v>
      </c>
      <c r="F320" s="78" t="str">
        <f>IFERROR(__xludf.DUMMYFUNCTION("iferror(ifna(IFNA(filter('2.1.clean'!E:E,'2.1.clean'!A:A=C320),filter('2.2.clean'!G:G,'2.2.clean'!D:D=C320)),filter('2.4.clean'!E:E,'2.4.clean'!A:A=C320)),)"),"")</f>
        <v/>
      </c>
      <c r="G320" s="77">
        <f>IFERROR(__xludf.DUMMYFUNCTION("iferror(filter('3.1.clean'!C:C,'3.1.clean'!A:A=C320),"""")"),43677.0)</f>
        <v>43677</v>
      </c>
      <c r="H320" s="76" t="b">
        <f t="shared" si="184"/>
        <v>1</v>
      </c>
      <c r="I320" s="76">
        <f>IFERROR(__xludf.DUMMYFUNCTION("iferror(filter('3.1.clean'!G:G,'3.1.clean'!A:A=C320),"""")"),0.0)</f>
        <v>0</v>
      </c>
      <c r="J320" s="78">
        <f>IFERROR(__xludf.DUMMYFUNCTION("iferror(filter('3.1.clean'!I:I,'3.1.clean'!A:A=C320),"""")"),0.0)</f>
        <v>0</v>
      </c>
      <c r="K320" s="77"/>
      <c r="L320" s="78"/>
      <c r="M320" s="77"/>
      <c r="N320" s="78"/>
      <c r="O320" s="77"/>
      <c r="P320" s="78"/>
      <c r="Q320" s="77"/>
      <c r="R320" s="76"/>
      <c r="S320" s="25"/>
      <c r="T320" s="1"/>
      <c r="V320" s="1" t="s">
        <v>83</v>
      </c>
      <c r="W320" s="1" t="b">
        <v>1</v>
      </c>
      <c r="X320" s="23" t="str">
        <f>IFERROR(__xludf.DUMMYFUNCTION("if(COUNTA(FILTER(C:C, C:C = C320))=1,""no"",""yes"")"),"no")</f>
        <v>no</v>
      </c>
    </row>
    <row r="321">
      <c r="A321" s="75" t="s">
        <v>434</v>
      </c>
      <c r="B321" s="19">
        <v>7.0</v>
      </c>
      <c r="C321" s="19" t="s">
        <v>1010</v>
      </c>
      <c r="D321" s="22" t="str">
        <f t="shared" si="187"/>
        <v/>
      </c>
      <c r="E321" s="20">
        <f>Q321</f>
        <v>43677</v>
      </c>
      <c r="F321" s="79" t="str">
        <f>IFERROR(__xludf.DUMMYFUNCTION("iferror(ifna(IFNA(filter('2.1.clean'!E:E,'2.1.clean'!A:A=C321),filter('2.2.clean'!G:G,'2.2.clean'!D:D=C321)),filter('2.4.clean'!E:E,'2.4.clean'!A:A=C321)),)"),"")</f>
        <v/>
      </c>
      <c r="G321" s="20" t="str">
        <f>IFERROR(__xludf.DUMMYFUNCTION("iferror(filter('3.1.clean'!C:C,'3.1.clean'!A:A=C321),"""")"),"")</f>
        <v/>
      </c>
      <c r="H321" s="22"/>
      <c r="I321" s="22"/>
      <c r="J321" s="79"/>
      <c r="K321" s="20" t="str">
        <f>IFERROR(__xludf.DUMMYFUNCTION("iferror(filter('3.2.clean'!C:C,'3.2.clean'!A:A=C321),"""")"),"")</f>
        <v/>
      </c>
      <c r="L321" s="79"/>
      <c r="M321" s="20" t="str">
        <f>IFERROR(__xludf.DUMMYFUNCTION("iferror(filter('3.3.clean'!C:C,'3.3.clean'!A:A=C321),"""")"),"")</f>
        <v/>
      </c>
      <c r="N321" s="79" t="b">
        <f t="shared" ref="N321:N327" si="188">if(M321="",FALSE,TRUE)</f>
        <v>0</v>
      </c>
      <c r="O321" s="20" t="str">
        <f>IFERROR(__xludf.DUMMYFUNCTION("iferror(filter('3.4.clean'!C:C,'3.4.clean'!A:A=C321),"""")"),"")</f>
        <v/>
      </c>
      <c r="P321" s="79" t="b">
        <f t="shared" ref="P321:P327" si="189">if(O321="",FALSE,TRUE)</f>
        <v>0</v>
      </c>
      <c r="Q321" s="20">
        <f>IFERROR(__xludf.DUMMYFUNCTION("iferror(filter('3.5.clean'!C:C,'3.5.clean'!A:A=C321),"""")"),43677.0)</f>
        <v>43677</v>
      </c>
      <c r="R321" s="22" t="b">
        <f t="shared" ref="R321:R327" si="190">if(Q321="",FALSE,TRUE)</f>
        <v>1</v>
      </c>
      <c r="S321" s="4">
        <f>IFERROR(__xludf.DUMMYFUNCTION("iferror(filter('3.5.clean'!H:H,'3.5.clean'!A:A=C321),"""")"),0.0)</f>
        <v>0</v>
      </c>
      <c r="U321" s="1" t="s">
        <v>180</v>
      </c>
      <c r="V321" s="1" t="s">
        <v>64</v>
      </c>
      <c r="W321" s="23" t="b">
        <f t="shared" ref="W321:W325" si="191">IF(and(R321=TRUE,N321=TRUE,P321=TRUE),TRUE,FALSE)</f>
        <v>0</v>
      </c>
      <c r="X321" s="23" t="str">
        <f>IFERROR(__xludf.DUMMYFUNCTION("if(COUNTA(FILTER(C:C, C:C = C321))=1,""no"",""yes"")"),"no")</f>
        <v>no</v>
      </c>
    </row>
    <row r="322">
      <c r="A322" s="1" t="s">
        <v>439</v>
      </c>
      <c r="B322" s="2">
        <v>1.0</v>
      </c>
      <c r="C322" s="19" t="s">
        <v>1012</v>
      </c>
      <c r="E322" s="24">
        <f>IFERROR(__xludf.DUMMYFUNCTION("ifna(IFNA(filter('2.1.clean'!C:C,'2.1.clean'!A:A=C322),filter('2.2.clean'!E:E,'2.2.clean'!D:D=C322)),filter('2.4.clean'!C:C,'2.4.clean'!A:A=C322))"),43678.0)</f>
        <v>43678</v>
      </c>
      <c r="F322" s="25">
        <f>IFERROR(__xludf.DUMMYFUNCTION("iferror(ifna(IFNA(filter('2.1.clean'!E:E,'2.1.clean'!A:A=C322),filter('2.2.clean'!G:G,'2.2.clean'!D:D=C322)),filter('2.4.clean'!E:E,'2.4.clean'!A:A=C322)),)"),2.4)</f>
        <v>2.4</v>
      </c>
      <c r="G322" s="24"/>
      <c r="J322" s="25"/>
      <c r="K322" s="24"/>
      <c r="L322" s="25"/>
      <c r="M322" s="24">
        <f>IFERROR(__xludf.DUMMYFUNCTION("iferror(filter('3.3.clean'!C:C,'3.3.clean'!A:A=C322),"""")"),43683.0)</f>
        <v>43683</v>
      </c>
      <c r="N322" s="25" t="b">
        <f t="shared" si="188"/>
        <v>1</v>
      </c>
      <c r="O322" s="24">
        <f>IFERROR(__xludf.DUMMYFUNCTION("iferror(filter('3.4.clean'!C:C,'3.4.clean'!A:A=C322),"""")"),43684.0)</f>
        <v>43684</v>
      </c>
      <c r="P322" s="25" t="b">
        <f t="shared" si="189"/>
        <v>1</v>
      </c>
      <c r="Q322" s="24">
        <f>IFERROR(__xludf.DUMMYFUNCTION("iferror(filter('3.5.clean'!C:C,'3.5.clean'!A:A=C322),"""")"),43678.0)</f>
        <v>43678</v>
      </c>
      <c r="R322" s="23" t="b">
        <f t="shared" si="190"/>
        <v>1</v>
      </c>
      <c r="S322" s="25"/>
      <c r="U322" s="23"/>
      <c r="V322" s="1" t="s">
        <v>64</v>
      </c>
      <c r="W322" s="23" t="b">
        <f t="shared" si="191"/>
        <v>1</v>
      </c>
      <c r="X322" s="23" t="str">
        <f>IFERROR(__xludf.DUMMYFUNCTION("if(COUNTA(FILTER(C:C, C:C = C322))=1,""no"",""yes"")"),"no")</f>
        <v>no</v>
      </c>
    </row>
    <row r="323">
      <c r="A323" s="1" t="s">
        <v>439</v>
      </c>
      <c r="B323" s="2">
        <v>2.0</v>
      </c>
      <c r="C323" s="19" t="s">
        <v>1013</v>
      </c>
      <c r="E323" s="24">
        <f>IFERROR(__xludf.DUMMYFUNCTION("ifna(IFNA(filter('2.1.clean'!C:C,'2.1.clean'!A:A=C323),filter('2.2.clean'!E:E,'2.2.clean'!D:D=C323)),filter('2.4.clean'!C:C,'2.4.clean'!A:A=C323))"),43678.0)</f>
        <v>43678</v>
      </c>
      <c r="F323" s="25">
        <f>IFERROR(__xludf.DUMMYFUNCTION("iferror(ifna(IFNA(filter('2.1.clean'!E:E,'2.1.clean'!A:A=C323),filter('2.2.clean'!G:G,'2.2.clean'!D:D=C323)),filter('2.4.clean'!E:E,'2.4.clean'!A:A=C323)),)"),2.4)</f>
        <v>2.4</v>
      </c>
      <c r="G323" s="24"/>
      <c r="J323" s="25"/>
      <c r="K323" s="24"/>
      <c r="L323" s="25"/>
      <c r="M323" s="24">
        <f>IFERROR(__xludf.DUMMYFUNCTION("iferror(filter('3.3.clean'!C:C,'3.3.clean'!A:A=C323),"""")"),43683.0)</f>
        <v>43683</v>
      </c>
      <c r="N323" s="25" t="b">
        <f t="shared" si="188"/>
        <v>1</v>
      </c>
      <c r="O323" s="24">
        <f>IFERROR(__xludf.DUMMYFUNCTION("iferror(filter('3.4.clean'!C:C,'3.4.clean'!A:A=C323),"""")"),43684.0)</f>
        <v>43684</v>
      </c>
      <c r="P323" s="25" t="b">
        <f t="shared" si="189"/>
        <v>1</v>
      </c>
      <c r="Q323" s="24">
        <f>IFERROR(__xludf.DUMMYFUNCTION("iferror(filter('3.5.clean'!C:C,'3.5.clean'!A:A=C323),"""")"),43678.0)</f>
        <v>43678</v>
      </c>
      <c r="R323" s="23" t="b">
        <f t="shared" si="190"/>
        <v>1</v>
      </c>
      <c r="S323" s="25"/>
      <c r="U323" s="23"/>
      <c r="V323" s="1" t="s">
        <v>64</v>
      </c>
      <c r="W323" s="23" t="b">
        <f t="shared" si="191"/>
        <v>1</v>
      </c>
      <c r="X323" s="23" t="str">
        <f>IFERROR(__xludf.DUMMYFUNCTION("if(COUNTA(FILTER(C:C, C:C = C323))=1,""no"",""yes"")"),"no")</f>
        <v>no</v>
      </c>
    </row>
    <row r="324">
      <c r="A324" s="1" t="s">
        <v>439</v>
      </c>
      <c r="B324" s="2">
        <v>3.0</v>
      </c>
      <c r="C324" s="19" t="s">
        <v>1014</v>
      </c>
      <c r="E324" s="24">
        <f>IFERROR(__xludf.DUMMYFUNCTION("ifna(IFNA(filter('2.1.clean'!C:C,'2.1.clean'!A:A=C324),filter('2.2.clean'!E:E,'2.2.clean'!D:D=C324)),filter('2.4.clean'!C:C,'2.4.clean'!A:A=C324))"),43678.0)</f>
        <v>43678</v>
      </c>
      <c r="F324" s="25">
        <f>IFERROR(__xludf.DUMMYFUNCTION("iferror(ifna(IFNA(filter('2.1.clean'!E:E,'2.1.clean'!A:A=C324),filter('2.2.clean'!G:G,'2.2.clean'!D:D=C324)),filter('2.4.clean'!E:E,'2.4.clean'!A:A=C324)),)"),2.4)</f>
        <v>2.4</v>
      </c>
      <c r="G324" s="24"/>
      <c r="J324" s="25"/>
      <c r="K324" s="24"/>
      <c r="L324" s="25"/>
      <c r="M324" s="24">
        <f>IFERROR(__xludf.DUMMYFUNCTION("iferror(filter('3.3.clean'!C:C,'3.3.clean'!A:A=C324),"""")"),43683.0)</f>
        <v>43683</v>
      </c>
      <c r="N324" s="25" t="b">
        <f t="shared" si="188"/>
        <v>1</v>
      </c>
      <c r="O324" s="24">
        <f>IFERROR(__xludf.DUMMYFUNCTION("iferror(filter('3.4.clean'!C:C,'3.4.clean'!A:A=C324),"""")"),43684.0)</f>
        <v>43684</v>
      </c>
      <c r="P324" s="25" t="b">
        <f t="shared" si="189"/>
        <v>1</v>
      </c>
      <c r="Q324" s="24">
        <f>IFERROR(__xludf.DUMMYFUNCTION("iferror(filter('3.5.clean'!C:C,'3.5.clean'!A:A=C324),"""")"),43678.0)</f>
        <v>43678</v>
      </c>
      <c r="R324" s="23" t="b">
        <f t="shared" si="190"/>
        <v>1</v>
      </c>
      <c r="S324" s="25"/>
      <c r="U324" s="23"/>
      <c r="V324" s="1" t="s">
        <v>64</v>
      </c>
      <c r="W324" s="23" t="b">
        <f t="shared" si="191"/>
        <v>1</v>
      </c>
      <c r="X324" s="23" t="str">
        <f>IFERROR(__xludf.DUMMYFUNCTION("if(COUNTA(FILTER(C:C, C:C = C324))=1,""no"",""yes"")"),"no")</f>
        <v>no</v>
      </c>
    </row>
    <row r="325">
      <c r="A325" s="1" t="s">
        <v>439</v>
      </c>
      <c r="B325" s="2">
        <v>4.0</v>
      </c>
      <c r="C325" s="19" t="s">
        <v>1016</v>
      </c>
      <c r="E325" s="24">
        <f>IFERROR(__xludf.DUMMYFUNCTION("ifna(IFNA(filter('2.1.clean'!C:C,'2.1.clean'!A:A=C325),filter('2.2.clean'!E:E,'2.2.clean'!D:D=C325)),filter('2.4.clean'!C:C,'2.4.clean'!A:A=C325))"),43678.0)</f>
        <v>43678</v>
      </c>
      <c r="F325" s="25">
        <f>IFERROR(__xludf.DUMMYFUNCTION("iferror(ifna(IFNA(filter('2.1.clean'!E:E,'2.1.clean'!A:A=C325),filter('2.2.clean'!G:G,'2.2.clean'!D:D=C325)),filter('2.4.clean'!E:E,'2.4.clean'!A:A=C325)),)"),2.4)</f>
        <v>2.4</v>
      </c>
      <c r="G325" s="24"/>
      <c r="J325" s="25"/>
      <c r="K325" s="24"/>
      <c r="L325" s="25"/>
      <c r="M325" s="24">
        <f>IFERROR(__xludf.DUMMYFUNCTION("iferror(filter('3.3.clean'!C:C,'3.3.clean'!A:A=C325),"""")"),43683.0)</f>
        <v>43683</v>
      </c>
      <c r="N325" s="25" t="b">
        <f t="shared" si="188"/>
        <v>1</v>
      </c>
      <c r="O325" s="24">
        <f>IFERROR(__xludf.DUMMYFUNCTION("iferror(filter('3.4.clean'!C:C,'3.4.clean'!A:A=C325),"""")"),43684.0)</f>
        <v>43684</v>
      </c>
      <c r="P325" s="25" t="b">
        <f t="shared" si="189"/>
        <v>1</v>
      </c>
      <c r="Q325" s="24">
        <f>IFERROR(__xludf.DUMMYFUNCTION("iferror(filter('3.5.clean'!C:C,'3.5.clean'!A:A=C325),"""")"),43678.0)</f>
        <v>43678</v>
      </c>
      <c r="R325" s="23" t="b">
        <f t="shared" si="190"/>
        <v>1</v>
      </c>
      <c r="S325" s="25"/>
      <c r="U325" s="23"/>
      <c r="V325" s="1" t="s">
        <v>64</v>
      </c>
      <c r="W325" s="23" t="b">
        <f t="shared" si="191"/>
        <v>1</v>
      </c>
      <c r="X325" s="23" t="str">
        <f>IFERROR(__xludf.DUMMYFUNCTION("if(COUNTA(FILTER(C:C, C:C = C325))=1,""no"",""yes"")"),"no")</f>
        <v>no</v>
      </c>
    </row>
    <row r="326">
      <c r="A326" s="1" t="s">
        <v>439</v>
      </c>
      <c r="B326" s="19">
        <v>5.0</v>
      </c>
      <c r="C326" s="19" t="s">
        <v>1017</v>
      </c>
      <c r="D326" s="58" t="str">
        <f t="shared" ref="D326:D329" si="192">if(or(I326=1,J326=1,S326=1),"pos","")</f>
        <v/>
      </c>
      <c r="E326" s="59">
        <f>IFERROR(__xludf.DUMMYFUNCTION("ifna(IFNA(filter('2.1.clean'!C:C,'2.1.clean'!A:A=C326),filter('2.2.clean'!E:E,'2.2.clean'!D:D=C326)),filter('2.4.clean'!C:C,'2.4.clean'!A:A=C326))"),43678.0)</f>
        <v>43678</v>
      </c>
      <c r="F326" s="60">
        <f>IFERROR(__xludf.DUMMYFUNCTION("iferror(ifna(IFNA(filter('2.1.clean'!E:E,'2.1.clean'!A:A=C326),filter('2.2.clean'!G:G,'2.2.clean'!D:D=C326)),filter('2.4.clean'!E:E,'2.4.clean'!A:A=C326)),)"),2.4)</f>
        <v>2.4</v>
      </c>
      <c r="G326" s="59">
        <f>IFERROR(__xludf.DUMMYFUNCTION("iferror(filter('3.1.clean'!C:C,'3.1.clean'!A:A=C326),"""")"),43678.0)</f>
        <v>43678</v>
      </c>
      <c r="H326" s="58" t="b">
        <f>if(G326="",FALSE,TRUE)</f>
        <v>1</v>
      </c>
      <c r="I326" s="58">
        <f>IFERROR(__xludf.DUMMYFUNCTION("iferror(filter('3.1.clean'!G:G,'3.1.clean'!A:A=C326),"""")"),0.0)</f>
        <v>0</v>
      </c>
      <c r="J326" s="60">
        <f>IFERROR(__xludf.DUMMYFUNCTION("iferror(filter('3.1.clean'!I:I,'3.1.clean'!A:A=C326),"""")"),0.0)</f>
        <v>0</v>
      </c>
      <c r="K326" s="58"/>
      <c r="L326" s="60"/>
      <c r="M326" s="59" t="str">
        <f>IFERROR(__xludf.DUMMYFUNCTION("iferror(filter('3.3.clean'!C:C,'3.3.clean'!A:A=C326),"""")"),"")</f>
        <v/>
      </c>
      <c r="N326" s="60" t="b">
        <f t="shared" si="188"/>
        <v>0</v>
      </c>
      <c r="O326" s="59" t="str">
        <f>IFERROR(__xludf.DUMMYFUNCTION("iferror(filter('3.4.clean'!C:C,'3.4.clean'!A:A=C326),"""")"),"")</f>
        <v/>
      </c>
      <c r="P326" s="60" t="b">
        <f t="shared" si="189"/>
        <v>0</v>
      </c>
      <c r="Q326" s="59" t="str">
        <f>IFERROR(__xludf.DUMMYFUNCTION("iferror(filter('3.5.clean'!C:C,'3.5.clean'!A:A=C326),"""")"),"")</f>
        <v/>
      </c>
      <c r="R326" s="58" t="b">
        <f t="shared" si="190"/>
        <v>0</v>
      </c>
      <c r="S326" s="4" t="str">
        <f>IFERROR(__xludf.DUMMYFUNCTION("iferror(filter('3.5.clean'!H:H,'3.5.clean'!A:A=C326),"""")"),"")</f>
        <v/>
      </c>
      <c r="U326" s="23"/>
      <c r="V326" s="1" t="s">
        <v>64</v>
      </c>
      <c r="W326" s="23" t="b">
        <f>if(AND(H326=TRUE,N326=TRUE,P326=TRUE),TRUE,FALSE)</f>
        <v>0</v>
      </c>
      <c r="X326" s="23" t="str">
        <f>IFERROR(__xludf.DUMMYFUNCTION("if(COUNTA(FILTER(C:C, C:C = C326))=1,""no"",""yes"")"),"no")</f>
        <v>no</v>
      </c>
    </row>
    <row r="327">
      <c r="A327" s="1" t="s">
        <v>439</v>
      </c>
      <c r="B327" s="19">
        <v>6.0</v>
      </c>
      <c r="C327" s="19" t="s">
        <v>1018</v>
      </c>
      <c r="D327" s="58" t="str">
        <f t="shared" si="192"/>
        <v>pos</v>
      </c>
      <c r="E327" s="59">
        <f>Q327</f>
        <v>43678</v>
      </c>
      <c r="F327" s="60" t="str">
        <f>IFERROR(__xludf.DUMMYFUNCTION("iferror(ifna(IFNA(filter('2.1.clean'!E:E,'2.1.clean'!A:A=C327),filter('2.2.clean'!G:G,'2.2.clean'!D:D=C327)),filter('2.4.clean'!E:E,'2.4.clean'!A:A=C327)),)"),"")</f>
        <v/>
      </c>
      <c r="G327" s="59" t="str">
        <f>IFERROR(__xludf.DUMMYFUNCTION("iferror(filter('3.1.clean'!C:C,'3.1.clean'!A:A=C327),"""")"),"")</f>
        <v/>
      </c>
      <c r="H327" s="58"/>
      <c r="I327" s="58"/>
      <c r="J327" s="60"/>
      <c r="K327" s="58"/>
      <c r="L327" s="60"/>
      <c r="M327" s="59" t="str">
        <f>IFERROR(__xludf.DUMMYFUNCTION("iferror(filter('3.3.clean'!C:C,'3.3.clean'!A:A=C327),"""")"),"")</f>
        <v/>
      </c>
      <c r="N327" s="60" t="b">
        <f t="shared" si="188"/>
        <v>0</v>
      </c>
      <c r="O327" s="59" t="str">
        <f>IFERROR(__xludf.DUMMYFUNCTION("iferror(filter('3.4.clean'!C:C,'3.4.clean'!A:A=C327),"""")"),"")</f>
        <v/>
      </c>
      <c r="P327" s="60" t="b">
        <f t="shared" si="189"/>
        <v>0</v>
      </c>
      <c r="Q327" s="59">
        <f>IFERROR(__xludf.DUMMYFUNCTION("iferror(filter('3.5.clean'!C:C,'3.5.clean'!A:A=C327),"""")"),43678.0)</f>
        <v>43678</v>
      </c>
      <c r="R327" s="58" t="b">
        <f t="shared" si="190"/>
        <v>1</v>
      </c>
      <c r="S327" s="4">
        <f>IFERROR(__xludf.DUMMYFUNCTION("iferror(filter('3.5.clean'!H:H,'3.5.clean'!A:A=C327),"""")"),1.0)</f>
        <v>1</v>
      </c>
      <c r="U327" s="23"/>
      <c r="V327" s="1" t="s">
        <v>64</v>
      </c>
      <c r="W327" s="23" t="b">
        <f>if(AND(R327=TRUE,N327=TRUE,P327=TRUE),TRUE,FALSE)</f>
        <v>0</v>
      </c>
      <c r="X327" s="23" t="str">
        <f>IFERROR(__xludf.DUMMYFUNCTION("if(COUNTA(FILTER(C:C, C:C = C327))=1,""no"",""yes"")"),"no")</f>
        <v>no</v>
      </c>
    </row>
    <row r="328">
      <c r="A328" s="1" t="s">
        <v>439</v>
      </c>
      <c r="B328" s="19">
        <v>7.0</v>
      </c>
      <c r="C328" s="19" t="s">
        <v>1020</v>
      </c>
      <c r="D328" s="76" t="str">
        <f t="shared" si="192"/>
        <v/>
      </c>
      <c r="E328" s="77">
        <f>G328</f>
        <v>43678</v>
      </c>
      <c r="F328" s="78" t="str">
        <f>IFERROR(__xludf.DUMMYFUNCTION("iferror(ifna(IFNA(filter('2.1.clean'!E:E,'2.1.clean'!A:A=C328),filter('2.2.clean'!G:G,'2.2.clean'!D:D=C328)),filter('2.4.clean'!E:E,'2.4.clean'!A:A=C328)),)"),"")</f>
        <v/>
      </c>
      <c r="G328" s="77">
        <f>IFERROR(__xludf.DUMMYFUNCTION("iferror(filter('3.1.clean'!C:C,'3.1.clean'!A:A=C328),"""")"),43678.0)</f>
        <v>43678</v>
      </c>
      <c r="H328" s="76" t="b">
        <f>if(G328="",FALSE,TRUE)</f>
        <v>1</v>
      </c>
      <c r="I328" s="76">
        <f>IFERROR(__xludf.DUMMYFUNCTION("iferror(filter('3.1.clean'!G:G,'3.1.clean'!A:A=C328),"""")"),0.0)</f>
        <v>0</v>
      </c>
      <c r="J328" s="78">
        <f>IFERROR(__xludf.DUMMYFUNCTION("iferror(filter('3.1.clean'!I:I,'3.1.clean'!A:A=C328),"""")"),0.0)</f>
        <v>0</v>
      </c>
      <c r="K328" s="77"/>
      <c r="L328" s="78"/>
      <c r="M328" s="77"/>
      <c r="N328" s="78"/>
      <c r="O328" s="77"/>
      <c r="P328" s="78"/>
      <c r="Q328" s="77"/>
      <c r="R328" s="76"/>
      <c r="S328" s="25"/>
      <c r="T328" s="1"/>
      <c r="V328" s="1" t="s">
        <v>64</v>
      </c>
      <c r="W328" s="1" t="b">
        <v>1</v>
      </c>
      <c r="X328" s="23" t="str">
        <f>IFERROR(__xludf.DUMMYFUNCTION("if(COUNTA(FILTER(C:C, C:C = C328))=1,""no"",""yes"")"),"no")</f>
        <v>no</v>
      </c>
    </row>
    <row r="329">
      <c r="A329" s="1" t="s">
        <v>439</v>
      </c>
      <c r="B329" s="19">
        <v>8.0</v>
      </c>
      <c r="C329" s="19" t="s">
        <v>1021</v>
      </c>
      <c r="D329" s="22" t="str">
        <f t="shared" si="192"/>
        <v/>
      </c>
      <c r="E329" s="20">
        <f>Q329</f>
        <v>43678</v>
      </c>
      <c r="F329" s="79" t="str">
        <f>IFERROR(__xludf.DUMMYFUNCTION("iferror(ifna(IFNA(filter('2.1.clean'!E:E,'2.1.clean'!A:A=C329),filter('2.2.clean'!G:G,'2.2.clean'!D:D=C329)),filter('2.4.clean'!E:E,'2.4.clean'!A:A=C329)),)"),"")</f>
        <v/>
      </c>
      <c r="G329" s="20" t="str">
        <f>IFERROR(__xludf.DUMMYFUNCTION("iferror(filter('3.1.clean'!C:C,'3.1.clean'!A:A=C329),"""")"),"")</f>
        <v/>
      </c>
      <c r="H329" s="22"/>
      <c r="I329" s="22"/>
      <c r="J329" s="79"/>
      <c r="K329" s="20" t="str">
        <f>IFERROR(__xludf.DUMMYFUNCTION("iferror(filter('3.2.clean'!C:C,'3.2.clean'!A:A=C329),"""")"),"")</f>
        <v/>
      </c>
      <c r="L329" s="79"/>
      <c r="M329" s="20">
        <f>IFERROR(__xludf.DUMMYFUNCTION("iferror(filter('3.3.clean'!C:C,'3.3.clean'!A:A=C329),"""")"),43683.0)</f>
        <v>43683</v>
      </c>
      <c r="N329" s="79" t="b">
        <f t="shared" ref="N329:N333" si="193">if(M329="",FALSE,TRUE)</f>
        <v>1</v>
      </c>
      <c r="O329" s="20" t="str">
        <f>IFERROR(__xludf.DUMMYFUNCTION("iferror(filter('3.4.clean'!C:C,'3.4.clean'!A:A=C329),"""")"),"")</f>
        <v/>
      </c>
      <c r="P329" s="79" t="b">
        <f t="shared" ref="P329:P338" si="194">if(O329="",FALSE,TRUE)</f>
        <v>0</v>
      </c>
      <c r="Q329" s="20">
        <f>IFERROR(__xludf.DUMMYFUNCTION("iferror(filter('3.5.clean'!C:C,'3.5.clean'!A:A=C329),"""")"),43678.0)</f>
        <v>43678</v>
      </c>
      <c r="R329" s="22" t="b">
        <f>if(Q329="",FALSE,TRUE)</f>
        <v>1</v>
      </c>
      <c r="S329" s="4" t="str">
        <f>IFERROR(__xludf.DUMMYFUNCTION("iferror(filter('3.5.clean'!H:H,'3.5.clean'!A:A=C329),"""")"),"")</f>
        <v/>
      </c>
      <c r="V329" s="1" t="s">
        <v>64</v>
      </c>
      <c r="W329" s="23" t="b">
        <f>IF(and(R329=TRUE,N329=TRUE,P329=TRUE),TRUE,FALSE)</f>
        <v>0</v>
      </c>
      <c r="X329" s="23" t="str">
        <f>IFERROR(__xludf.DUMMYFUNCTION("if(COUNTA(FILTER(C:C, C:C = C329))=1,""no"",""yes"")"),"no")</f>
        <v>no</v>
      </c>
    </row>
    <row r="330">
      <c r="A330" s="75" t="s">
        <v>443</v>
      </c>
      <c r="B330" s="28">
        <v>1.0</v>
      </c>
      <c r="C330" s="27" t="s">
        <v>1023</v>
      </c>
      <c r="D330" s="24"/>
      <c r="E330" s="24">
        <f>IFERROR(__xludf.DUMMYFUNCTION("ifna(IFNA(filter('2.1.clean'!C:C,'2.1.clean'!A:A=C330),filter('2.2.clean'!E:E,'2.2.clean'!D:D=C330)),filter('2.4.clean'!C:C,'2.4.clean'!A:A=C330))"),43682.0)</f>
        <v>43682</v>
      </c>
      <c r="F330" s="25">
        <f>IFERROR(__xludf.DUMMYFUNCTION("iferror(ifna(IFNA(filter('2.1.clean'!E:E,'2.1.clean'!A:A=C330),filter('2.2.clean'!G:G,'2.2.clean'!D:D=C330)),filter('2.4.clean'!E:E,'2.4.clean'!A:A=C330)),)"),2.1)</f>
        <v>2.1</v>
      </c>
      <c r="G330" s="24">
        <f>IFERROR(__xludf.DUMMYFUNCTION("iferror(filter('3.1.clean'!C:C,'3.1.clean'!A:A=C330),"""")"),43682.0)</f>
        <v>43682</v>
      </c>
      <c r="H330" s="23" t="b">
        <f t="shared" ref="H330:H331" si="195">if(G330="",FALSE,TRUE)</f>
        <v>1</v>
      </c>
      <c r="J330" s="25"/>
      <c r="K330" s="24" t="str">
        <f>IFERROR(__xludf.DUMMYFUNCTION("iferror(filter('3.2.clean'!C:C,'3.2.clean'!A:A=C330),"""")"),"")</f>
        <v/>
      </c>
      <c r="L330" s="25" t="b">
        <f t="shared" ref="L330:L331" si="196">if(K330="",FALSE,TRUE)</f>
        <v>0</v>
      </c>
      <c r="M330" s="24" t="str">
        <f>IFERROR(__xludf.DUMMYFUNCTION("iferror(filter('3.3.clean'!C:C,'3.3.clean'!A:A=C330),"""")"),"")</f>
        <v/>
      </c>
      <c r="N330" s="25" t="b">
        <f t="shared" si="193"/>
        <v>0</v>
      </c>
      <c r="O330" s="24" t="str">
        <f>IFERROR(__xludf.DUMMYFUNCTION("iferror(filter('3.4.clean'!C:C,'3.4.clean'!A:A=C330),"""")"),"")</f>
        <v/>
      </c>
      <c r="P330" s="25" t="b">
        <f t="shared" si="194"/>
        <v>0</v>
      </c>
      <c r="Q330" s="24"/>
      <c r="S330" s="25"/>
      <c r="U330" s="1" t="s">
        <v>1024</v>
      </c>
      <c r="V330" s="1" t="s">
        <v>83</v>
      </c>
      <c r="W330" s="23" t="b">
        <f>IF(and(H330=TRUE,L330=TRUE,N330=TRUE,P330=TRUE),TRUE,FALSE)</f>
        <v>0</v>
      </c>
      <c r="X330" s="23" t="str">
        <f>IFERROR(__xludf.DUMMYFUNCTION("if(COUNTA(FILTER(C:C, C:C = C330))=1,""no"",""yes"")"),"no")</f>
        <v>no</v>
      </c>
    </row>
    <row r="331">
      <c r="A331" s="75" t="s">
        <v>443</v>
      </c>
      <c r="B331" s="19">
        <v>2.0</v>
      </c>
      <c r="C331" s="19" t="s">
        <v>1025</v>
      </c>
      <c r="D331" s="58" t="str">
        <f t="shared" ref="D331:D332" si="197">if(or(I331=1,J331=1,S331=1),"pos","")</f>
        <v>pos</v>
      </c>
      <c r="E331" s="59">
        <f>IFERROR(__xludf.DUMMYFUNCTION("ifna(IFNA(filter('2.1.clean'!C:C,'2.1.clean'!A:A=C331),filter('2.2.clean'!E:E,'2.2.clean'!D:D=C331)),filter('2.4.clean'!C:C,'2.4.clean'!A:A=C331))"),43682.0)</f>
        <v>43682</v>
      </c>
      <c r="F331" s="60">
        <f>IFERROR(__xludf.DUMMYFUNCTION("iferror(ifna(IFNA(filter('2.1.clean'!E:E,'2.1.clean'!A:A=C331),filter('2.2.clean'!G:G,'2.2.clean'!D:D=C331)),filter('2.4.clean'!E:E,'2.4.clean'!A:A=C331)),)"),2.1)</f>
        <v>2.1</v>
      </c>
      <c r="G331" s="59">
        <f>IFERROR(__xludf.DUMMYFUNCTION("iferror(filter('3.1.clean'!C:C,'3.1.clean'!A:A=C331),"""")"),43682.0)</f>
        <v>43682</v>
      </c>
      <c r="H331" s="58" t="b">
        <f t="shared" si="195"/>
        <v>1</v>
      </c>
      <c r="I331" s="58">
        <f>IFERROR(__xludf.DUMMYFUNCTION("iferror(filter('3.1.clean'!G:G,'3.1.clean'!A:A=C331),"""")"),0.0)</f>
        <v>0</v>
      </c>
      <c r="J331" s="60">
        <f>IFERROR(__xludf.DUMMYFUNCTION("iferror(filter('3.1.clean'!I:I,'3.1.clean'!A:A=C331),"""")"),1.0)</f>
        <v>1</v>
      </c>
      <c r="K331" s="58" t="str">
        <f>IFERROR(__xludf.DUMMYFUNCTION("iferror(filter('3.2.clean'!C:C,'3.2.clean'!A:A=C331),"""")"),"")</f>
        <v/>
      </c>
      <c r="L331" s="60" t="b">
        <f t="shared" si="196"/>
        <v>0</v>
      </c>
      <c r="M331" s="59" t="str">
        <f>IFERROR(__xludf.DUMMYFUNCTION("iferror(filter('3.3.clean'!C:C,'3.3.clean'!A:A=C331),"""")"),"")</f>
        <v/>
      </c>
      <c r="N331" s="60" t="b">
        <f t="shared" si="193"/>
        <v>0</v>
      </c>
      <c r="O331" s="59" t="str">
        <f>IFERROR(__xludf.DUMMYFUNCTION("iferror(filter('3.4.clean'!C:C,'3.4.clean'!A:A=C331),"""")"),"")</f>
        <v/>
      </c>
      <c r="P331" s="60" t="b">
        <f t="shared" si="194"/>
        <v>0</v>
      </c>
      <c r="Q331" s="59" t="str">
        <f>IFERROR(__xludf.DUMMYFUNCTION("iferror(filter('3.5.clean'!C:C,'3.5.clean'!A:A=C331),"""")"),"")</f>
        <v/>
      </c>
      <c r="R331" s="58" t="b">
        <f t="shared" ref="R331:R333" si="198">if(Q331="",FALSE,TRUE)</f>
        <v>0</v>
      </c>
      <c r="S331" s="4" t="str">
        <f>IFERROR(__xludf.DUMMYFUNCTION("iferror(filter('3.5.clean'!H:H,'3.5.clean'!A:A=C331),"""")"),"")</f>
        <v/>
      </c>
      <c r="U331" s="1" t="s">
        <v>180</v>
      </c>
      <c r="V331" s="1" t="s">
        <v>83</v>
      </c>
      <c r="W331" s="23" t="b">
        <f>if(AND(H331=TRUE,N331=TRUE,P331=TRUE),TRUE,FALSE)</f>
        <v>0</v>
      </c>
      <c r="X331" s="23" t="str">
        <f>IFERROR(__xludf.DUMMYFUNCTION("if(COUNTA(FILTER(C:C, C:C = C331))=1,""no"",""yes"")"),"no")</f>
        <v>no</v>
      </c>
    </row>
    <row r="332">
      <c r="A332" s="75" t="s">
        <v>443</v>
      </c>
      <c r="B332" s="19">
        <v>3.0</v>
      </c>
      <c r="C332" s="19" t="s">
        <v>1026</v>
      </c>
      <c r="D332" s="58" t="str">
        <f t="shared" si="197"/>
        <v>pos</v>
      </c>
      <c r="E332" s="59">
        <f>Q332</f>
        <v>43682</v>
      </c>
      <c r="F332" s="60" t="str">
        <f>IFERROR(__xludf.DUMMYFUNCTION("iferror(ifna(IFNA(filter('2.1.clean'!E:E,'2.1.clean'!A:A=C332),filter('2.2.clean'!G:G,'2.2.clean'!D:D=C332)),filter('2.4.clean'!E:E,'2.4.clean'!A:A=C332)),)"),"")</f>
        <v/>
      </c>
      <c r="G332" s="59" t="str">
        <f>IFERROR(__xludf.DUMMYFUNCTION("iferror(filter('3.1.clean'!C:C,'3.1.clean'!A:A=C332),"""")"),"")</f>
        <v/>
      </c>
      <c r="H332" s="58"/>
      <c r="I332" s="58"/>
      <c r="J332" s="60"/>
      <c r="K332" s="58"/>
      <c r="L332" s="60"/>
      <c r="M332" s="59" t="str">
        <f>IFERROR(__xludf.DUMMYFUNCTION("iferror(filter('3.3.clean'!C:C,'3.3.clean'!A:A=C332),"""")"),"")</f>
        <v/>
      </c>
      <c r="N332" s="60" t="b">
        <f t="shared" si="193"/>
        <v>0</v>
      </c>
      <c r="O332" s="59" t="str">
        <f>IFERROR(__xludf.DUMMYFUNCTION("iferror(filter('3.4.clean'!C:C,'3.4.clean'!A:A=C332),"""")"),"")</f>
        <v/>
      </c>
      <c r="P332" s="60" t="b">
        <f t="shared" si="194"/>
        <v>0</v>
      </c>
      <c r="Q332" s="59">
        <f>IFERROR(__xludf.DUMMYFUNCTION("iferror(filter('3.5.clean'!C:C,'3.5.clean'!A:A=C332),"""")"),43682.0)</f>
        <v>43682</v>
      </c>
      <c r="R332" s="58" t="b">
        <f t="shared" si="198"/>
        <v>1</v>
      </c>
      <c r="S332" s="4">
        <f>IFERROR(__xludf.DUMMYFUNCTION("iferror(filter('3.5.clean'!H:H,'3.5.clean'!A:A=C332),"""")"),1.0)</f>
        <v>1</v>
      </c>
      <c r="U332" s="23"/>
      <c r="V332" s="1" t="s">
        <v>64</v>
      </c>
      <c r="W332" s="23" t="b">
        <f>if(AND(R332=TRUE,N332=TRUE,P332=TRUE),TRUE,FALSE)</f>
        <v>0</v>
      </c>
      <c r="X332" s="23" t="str">
        <f>IFERROR(__xludf.DUMMYFUNCTION("if(COUNTA(FILTER(C:C, C:C = C332))=1,""no"",""yes"")"),"no")</f>
        <v>no</v>
      </c>
    </row>
    <row r="333">
      <c r="A333" s="75" t="s">
        <v>443</v>
      </c>
      <c r="B333" s="2">
        <v>4.0</v>
      </c>
      <c r="C333" s="19" t="s">
        <v>1028</v>
      </c>
      <c r="E333" s="24">
        <f>IFERROR(__xludf.DUMMYFUNCTION("ifna(IFNA(filter('2.1.clean'!C:C,'2.1.clean'!A:A=C333),filter('2.2.clean'!E:E,'2.2.clean'!D:D=C333)),filter('2.4.clean'!C:C,'2.4.clean'!A:A=C333))"),43682.0)</f>
        <v>43682</v>
      </c>
      <c r="F333" s="25">
        <f>IFERROR(__xludf.DUMMYFUNCTION("iferror(ifna(IFNA(filter('2.1.clean'!E:E,'2.1.clean'!A:A=C333),filter('2.2.clean'!G:G,'2.2.clean'!D:D=C333)),filter('2.4.clean'!E:E,'2.4.clean'!A:A=C333)),)"),2.4)</f>
        <v>2.4</v>
      </c>
      <c r="G333" s="24">
        <f>IFERROR(__xludf.DUMMYFUNCTION("iferror(filter('3.1.clean'!C:C,'3.1.clean'!A:A=C333),"""")"),43682.0)</f>
        <v>43682</v>
      </c>
      <c r="H333" s="23" t="b">
        <f>if(G333="",FALSE,TRUE)</f>
        <v>1</v>
      </c>
      <c r="J333" s="25"/>
      <c r="K333" s="24" t="str">
        <f>IFERROR(__xludf.DUMMYFUNCTION("iferror(filter('3.2.clean'!C:C,'3.2.clean'!A:A=C333),"""")"),"")</f>
        <v/>
      </c>
      <c r="L333" s="25" t="b">
        <f>if(K333="",FALSE,TRUE)</f>
        <v>0</v>
      </c>
      <c r="M333" s="24">
        <f>IFERROR(__xludf.DUMMYFUNCTION("iferror(filter('3.3.clean'!C:C,'3.3.clean'!A:A=C333),"""")"),43683.0)</f>
        <v>43683</v>
      </c>
      <c r="N333" s="25" t="b">
        <f t="shared" si="193"/>
        <v>1</v>
      </c>
      <c r="O333" s="24">
        <f>IFERROR(__xludf.DUMMYFUNCTION("iferror(filter('3.4.clean'!C:C,'3.4.clean'!A:A=C333),"""")"),43684.0)</f>
        <v>43684</v>
      </c>
      <c r="P333" s="25" t="b">
        <f t="shared" si="194"/>
        <v>1</v>
      </c>
      <c r="Q333" s="24">
        <f>IFERROR(__xludf.DUMMYFUNCTION("iferror(filter('3.5.clean'!C:C,'3.5.clean'!A:A=C333),"""")"),43682.0)</f>
        <v>43682</v>
      </c>
      <c r="R333" s="23" t="b">
        <f t="shared" si="198"/>
        <v>1</v>
      </c>
      <c r="S333" s="25"/>
      <c r="U333" s="23"/>
      <c r="V333" s="1" t="s">
        <v>64</v>
      </c>
      <c r="X333" s="23" t="str">
        <f>IFERROR(__xludf.DUMMYFUNCTION("if(COUNTA(FILTER(C:C, C:C = C333))=1,""no"",""yes"")"),"no")</f>
        <v>no</v>
      </c>
    </row>
    <row r="334">
      <c r="A334" s="75" t="s">
        <v>443</v>
      </c>
      <c r="B334" s="2">
        <v>5.0</v>
      </c>
      <c r="C334" s="69" t="s">
        <v>1029</v>
      </c>
      <c r="E334" s="24">
        <v>43682.0</v>
      </c>
      <c r="F334" s="25" t="str">
        <f>IFERROR(__xludf.DUMMYFUNCTION("iferror(ifna(IFNA(filter('2.1.clean'!E:E,'2.1.clean'!A:A=C334),filter('2.2.clean'!G:G,'2.2.clean'!D:D=C334)),filter('2.4.clean'!E:E,'2.4.clean'!A:A=C334)),)"),"")</f>
        <v/>
      </c>
      <c r="G334" s="24"/>
      <c r="J334" s="25"/>
      <c r="K334" s="24"/>
      <c r="L334" s="25"/>
      <c r="N334" s="25"/>
      <c r="O334" s="24">
        <f>IFERROR(__xludf.DUMMYFUNCTION("iferror(filter('3.4.clean'!C:C,'3.4.clean'!A:A=C334),"""")"),43684.0)</f>
        <v>43684</v>
      </c>
      <c r="P334" s="25" t="b">
        <f t="shared" si="194"/>
        <v>1</v>
      </c>
      <c r="Q334" s="24" t="str">
        <f>IFERROR(__xludf.DUMMYFUNCTION("iferror(filter('3.5.clean'!C:C,'3.5.clean'!A:A=C334),"""")"),"")</f>
        <v/>
      </c>
      <c r="S334" s="25"/>
      <c r="V334" s="1" t="s">
        <v>64</v>
      </c>
      <c r="X334" s="23" t="str">
        <f>IFERROR(__xludf.DUMMYFUNCTION("if(COUNTA(FILTER(C:C, C:C = C334))=1,""no"",""yes"")"),"no")</f>
        <v>no</v>
      </c>
    </row>
    <row r="335">
      <c r="A335" s="75" t="s">
        <v>443</v>
      </c>
      <c r="B335" s="19">
        <v>6.0</v>
      </c>
      <c r="C335" s="19" t="s">
        <v>1030</v>
      </c>
      <c r="D335" s="58" t="str">
        <f t="shared" ref="D335:D336" si="199">if(or(I335=1,J335=1,S335=1),"pos","")</f>
        <v/>
      </c>
      <c r="E335" s="59">
        <f>IFERROR(__xludf.DUMMYFUNCTION("ifna(IFNA(filter('2.1.clean'!C:C,'2.1.clean'!A:A=C335),filter('2.2.clean'!E:E,'2.2.clean'!D:D=C335)),filter('2.4.clean'!C:C,'2.4.clean'!A:A=C335))"),43682.0)</f>
        <v>43682</v>
      </c>
      <c r="F335" s="60">
        <f>IFERROR(__xludf.DUMMYFUNCTION("iferror(ifna(IFNA(filter('2.1.clean'!E:E,'2.1.clean'!A:A=C335),filter('2.2.clean'!G:G,'2.2.clean'!D:D=C335)),filter('2.4.clean'!E:E,'2.4.clean'!A:A=C335)),)"),2.4)</f>
        <v>2.4</v>
      </c>
      <c r="G335" s="59">
        <f>IFERROR(__xludf.DUMMYFUNCTION("iferror(filter('3.1.clean'!C:C,'3.1.clean'!A:A=C335),"""")"),43682.0)</f>
        <v>43682</v>
      </c>
      <c r="H335" s="58" t="b">
        <f>if(G335="",FALSE,TRUE)</f>
        <v>1</v>
      </c>
      <c r="I335" s="58">
        <f>IFERROR(__xludf.DUMMYFUNCTION("iferror(filter('3.1.clean'!G:G,'3.1.clean'!A:A=C335),"""")"),0.0)</f>
        <v>0</v>
      </c>
      <c r="J335" s="60">
        <f>IFERROR(__xludf.DUMMYFUNCTION("iferror(filter('3.1.clean'!I:I,'3.1.clean'!A:A=C335),"""")"),0.0)</f>
        <v>0</v>
      </c>
      <c r="K335" s="58"/>
      <c r="L335" s="60"/>
      <c r="M335" s="59">
        <f>IFERROR(__xludf.DUMMYFUNCTION("iferror(filter('3.3.clean'!C:C,'3.3.clean'!A:A=C335),"""")"),43683.0)</f>
        <v>43683</v>
      </c>
      <c r="N335" s="60" t="b">
        <f t="shared" ref="N335:N338" si="200">if(M335="",FALSE,TRUE)</f>
        <v>1</v>
      </c>
      <c r="O335" s="59" t="str">
        <f>IFERROR(__xludf.DUMMYFUNCTION("iferror(filter('3.4.clean'!C:C,'3.4.clean'!A:A=C335),"""")"),"")</f>
        <v/>
      </c>
      <c r="P335" s="60" t="b">
        <f t="shared" si="194"/>
        <v>0</v>
      </c>
      <c r="Q335" s="59" t="str">
        <f>IFERROR(__xludf.DUMMYFUNCTION("iferror(filter('3.5.clean'!C:C,'3.5.clean'!A:A=C335),"""")"),"")</f>
        <v/>
      </c>
      <c r="R335" s="58" t="b">
        <f t="shared" ref="R335:R336" si="201">if(Q335="",FALSE,TRUE)</f>
        <v>0</v>
      </c>
      <c r="S335" s="4" t="str">
        <f>IFERROR(__xludf.DUMMYFUNCTION("iferror(filter('3.5.clean'!H:H,'3.5.clean'!A:A=C335),"""")"),"")</f>
        <v/>
      </c>
      <c r="U335" s="23"/>
      <c r="V335" s="1" t="s">
        <v>64</v>
      </c>
      <c r="W335" s="23" t="b">
        <f>if(AND(H335=TRUE,N335=TRUE,P335=TRUE),TRUE,FALSE)</f>
        <v>0</v>
      </c>
      <c r="X335" s="23" t="str">
        <f>IFERROR(__xludf.DUMMYFUNCTION("if(COUNTA(FILTER(C:C, C:C = C335))=1,""no"",""yes"")"),"no")</f>
        <v>no</v>
      </c>
    </row>
    <row r="336">
      <c r="A336" s="75" t="s">
        <v>443</v>
      </c>
      <c r="B336" s="19">
        <v>7.0</v>
      </c>
      <c r="C336" s="19" t="s">
        <v>1032</v>
      </c>
      <c r="D336" s="58" t="str">
        <f t="shared" si="199"/>
        <v/>
      </c>
      <c r="E336" s="59">
        <f>Q336</f>
        <v>43682</v>
      </c>
      <c r="F336" s="60" t="str">
        <f>IFERROR(__xludf.DUMMYFUNCTION("iferror(ifna(IFNA(filter('2.1.clean'!E:E,'2.1.clean'!A:A=C336),filter('2.2.clean'!G:G,'2.2.clean'!D:D=C336)),filter('2.4.clean'!E:E,'2.4.clean'!A:A=C336)),)"),"")</f>
        <v/>
      </c>
      <c r="G336" s="59" t="str">
        <f>IFERROR(__xludf.DUMMYFUNCTION("iferror(filter('3.1.clean'!C:C,'3.1.clean'!A:A=C336),"""")"),"")</f>
        <v/>
      </c>
      <c r="H336" s="58"/>
      <c r="I336" s="58"/>
      <c r="J336" s="60"/>
      <c r="K336" s="58"/>
      <c r="L336" s="60"/>
      <c r="M336" s="59" t="str">
        <f>IFERROR(__xludf.DUMMYFUNCTION("iferror(filter('3.3.clean'!C:C,'3.3.clean'!A:A=C336),"""")"),"")</f>
        <v/>
      </c>
      <c r="N336" s="60" t="b">
        <f t="shared" si="200"/>
        <v>0</v>
      </c>
      <c r="O336" s="59">
        <f>IFERROR(__xludf.DUMMYFUNCTION("iferror(filter('3.4.clean'!C:C,'3.4.clean'!A:A=C336),"""")"),43684.0)</f>
        <v>43684</v>
      </c>
      <c r="P336" s="60" t="b">
        <f t="shared" si="194"/>
        <v>1</v>
      </c>
      <c r="Q336" s="59">
        <f>IFERROR(__xludf.DUMMYFUNCTION("iferror(filter('3.5.clean'!C:C,'3.5.clean'!A:A=C336),"""")"),43682.0)</f>
        <v>43682</v>
      </c>
      <c r="R336" s="58" t="b">
        <f t="shared" si="201"/>
        <v>1</v>
      </c>
      <c r="S336" s="4">
        <f>IFERROR(__xludf.DUMMYFUNCTION("iferror(filter('3.5.clean'!H:H,'3.5.clean'!A:A=C336),"""")"),0.0)</f>
        <v>0</v>
      </c>
      <c r="U336" s="23"/>
      <c r="V336" s="1" t="s">
        <v>64</v>
      </c>
      <c r="W336" s="23" t="b">
        <f>if(AND(R336=TRUE,N336=TRUE,P336=TRUE),TRUE,FALSE)</f>
        <v>0</v>
      </c>
      <c r="X336" s="23" t="str">
        <f>IFERROR(__xludf.DUMMYFUNCTION("if(COUNTA(FILTER(C:C, C:C = C336))=1,""no"",""yes"")"),"no")</f>
        <v>no</v>
      </c>
    </row>
    <row r="337">
      <c r="A337" s="75" t="s">
        <v>443</v>
      </c>
      <c r="B337" s="28">
        <v>8.0</v>
      </c>
      <c r="C337" s="27" t="s">
        <v>1033</v>
      </c>
      <c r="D337" s="24"/>
      <c r="E337" s="24">
        <f>IFERROR(__xludf.DUMMYFUNCTION("ifna(IFNA(filter('2.1.clean'!C:C,'2.1.clean'!A:A=C337),filter('2.2.clean'!E:E,'2.2.clean'!D:D=C337)),filter('2.4.clean'!C:C,'2.4.clean'!A:A=C337))"),43682.0)</f>
        <v>43682</v>
      </c>
      <c r="F337" s="25">
        <f>IFERROR(__xludf.DUMMYFUNCTION("iferror(ifna(IFNA(filter('2.1.clean'!E:E,'2.1.clean'!A:A=C337),filter('2.2.clean'!G:G,'2.2.clean'!D:D=C337)),filter('2.4.clean'!E:E,'2.4.clean'!A:A=C337)),)"),2.1)</f>
        <v>2.1</v>
      </c>
      <c r="G337" s="24">
        <f>IFERROR(__xludf.DUMMYFUNCTION("iferror(filter('3.1.clean'!C:C,'3.1.clean'!A:A=C337),"""")"),43682.0)</f>
        <v>43682</v>
      </c>
      <c r="H337" s="23" t="b">
        <f>if(G337="",FALSE,TRUE)</f>
        <v>1</v>
      </c>
      <c r="J337" s="25"/>
      <c r="K337" s="24">
        <f>IFERROR(__xludf.DUMMYFUNCTION("iferror(filter('3.2.clean'!C:C,'3.2.clean'!A:A=C337),"""")"),43685.0)</f>
        <v>43685</v>
      </c>
      <c r="L337" s="25" t="b">
        <f>if(K337="",FALSE,TRUE)</f>
        <v>1</v>
      </c>
      <c r="M337" s="24">
        <f>IFERROR(__xludf.DUMMYFUNCTION("iferror(filter('3.3.clean'!C:C,'3.3.clean'!A:A=C337),"""")"),43683.0)</f>
        <v>43683</v>
      </c>
      <c r="N337" s="25" t="b">
        <f t="shared" si="200"/>
        <v>1</v>
      </c>
      <c r="O337" s="24">
        <f>IFERROR(__xludf.DUMMYFUNCTION("iferror(filter('3.4.clean'!C:C,'3.4.clean'!A:A=C337),"""")"),43684.0)</f>
        <v>43684</v>
      </c>
      <c r="P337" s="25" t="b">
        <f t="shared" si="194"/>
        <v>1</v>
      </c>
      <c r="Q337" s="24"/>
      <c r="S337" s="25"/>
      <c r="U337" s="23"/>
      <c r="V337" s="1" t="s">
        <v>83</v>
      </c>
      <c r="W337" s="23" t="b">
        <f>IF(and(H337=TRUE,L337=TRUE,N337=TRUE,P337=TRUE),TRUE,FALSE)</f>
        <v>1</v>
      </c>
      <c r="X337" s="23" t="str">
        <f>IFERROR(__xludf.DUMMYFUNCTION("if(COUNTA(FILTER(C:C, C:C = C337))=1,""no"",""yes"")"),"no")</f>
        <v>no</v>
      </c>
    </row>
    <row r="338">
      <c r="A338" s="75" t="s">
        <v>443</v>
      </c>
      <c r="B338" s="19">
        <v>9.0</v>
      </c>
      <c r="C338" s="19" t="s">
        <v>1035</v>
      </c>
      <c r="D338" s="22" t="str">
        <f t="shared" ref="D338:D339" si="202">if(or(I338=1,J338=1,S338=1),"pos","")</f>
        <v/>
      </c>
      <c r="E338" s="20">
        <f>Q338</f>
        <v>43682</v>
      </c>
      <c r="F338" s="79" t="str">
        <f>IFERROR(__xludf.DUMMYFUNCTION("iferror(ifna(IFNA(filter('2.1.clean'!E:E,'2.1.clean'!A:A=C338),filter('2.2.clean'!G:G,'2.2.clean'!D:D=C338)),filter('2.4.clean'!E:E,'2.4.clean'!A:A=C338)),)"),"")</f>
        <v/>
      </c>
      <c r="G338" s="20" t="str">
        <f>IFERROR(__xludf.DUMMYFUNCTION("iferror(filter('3.1.clean'!C:C,'3.1.clean'!A:A=C338),"""")"),"")</f>
        <v/>
      </c>
      <c r="H338" s="22"/>
      <c r="I338" s="22"/>
      <c r="J338" s="79"/>
      <c r="K338" s="20" t="str">
        <f>IFERROR(__xludf.DUMMYFUNCTION("iferror(filter('3.2.clean'!C:C,'3.2.clean'!A:A=C338),"""")"),"")</f>
        <v/>
      </c>
      <c r="L338" s="79"/>
      <c r="M338" s="20">
        <f>IFERROR(__xludf.DUMMYFUNCTION("iferror(filter('3.3.clean'!C:C,'3.3.clean'!A:A=C338),"""")"),43683.0)</f>
        <v>43683</v>
      </c>
      <c r="N338" s="79" t="b">
        <f t="shared" si="200"/>
        <v>1</v>
      </c>
      <c r="O338" s="20" t="str">
        <f>IFERROR(__xludf.DUMMYFUNCTION("iferror(filter('3.4.clean'!C:C,'3.4.clean'!A:A=C338),"""")"),"")</f>
        <v/>
      </c>
      <c r="P338" s="79" t="b">
        <f t="shared" si="194"/>
        <v>0</v>
      </c>
      <c r="Q338" s="20">
        <f>IFERROR(__xludf.DUMMYFUNCTION("iferror(filter('3.5.clean'!C:C,'3.5.clean'!A:A=C338),"""")"),43682.0)</f>
        <v>43682</v>
      </c>
      <c r="R338" s="22" t="b">
        <f>if(Q338="",FALSE,TRUE)</f>
        <v>1</v>
      </c>
      <c r="S338" s="4">
        <f>IFERROR(__xludf.DUMMYFUNCTION("iferror(filter('3.5.clean'!H:H,'3.5.clean'!A:A=C338),"""")"),0.0)</f>
        <v>0</v>
      </c>
      <c r="U338" s="1" t="s">
        <v>382</v>
      </c>
      <c r="V338" s="1" t="s">
        <v>64</v>
      </c>
      <c r="W338" s="23" t="b">
        <f>IF(and(R338=TRUE,N338=TRUE,P338=TRUE),TRUE,FALSE)</f>
        <v>0</v>
      </c>
      <c r="X338" s="23" t="str">
        <f>IFERROR(__xludf.DUMMYFUNCTION("if(COUNTA(FILTER(C:C, C:C = C338))=1,""no"",""yes"")"),"no")</f>
        <v>no</v>
      </c>
    </row>
    <row r="339">
      <c r="A339" s="75" t="s">
        <v>443</v>
      </c>
      <c r="B339" s="19">
        <v>10.0</v>
      </c>
      <c r="C339" s="19" t="s">
        <v>1036</v>
      </c>
      <c r="D339" s="76" t="str">
        <f t="shared" si="202"/>
        <v/>
      </c>
      <c r="E339" s="77">
        <f>G339</f>
        <v>43682</v>
      </c>
      <c r="F339" s="78" t="str">
        <f>IFERROR(__xludf.DUMMYFUNCTION("iferror(ifna(IFNA(filter('2.1.clean'!E:E,'2.1.clean'!A:A=C339),filter('2.2.clean'!G:G,'2.2.clean'!D:D=C339)),filter('2.4.clean'!E:E,'2.4.clean'!A:A=C339)),)"),"")</f>
        <v/>
      </c>
      <c r="G339" s="77">
        <f>IFERROR(__xludf.DUMMYFUNCTION("iferror(filter('3.1.clean'!C:C,'3.1.clean'!A:A=C339),"""")"),43682.0)</f>
        <v>43682</v>
      </c>
      <c r="H339" s="76" t="b">
        <f>if(G339="",FALSE,TRUE)</f>
        <v>1</v>
      </c>
      <c r="I339" s="76">
        <f>IFERROR(__xludf.DUMMYFUNCTION("iferror(filter('3.1.clean'!G:G,'3.1.clean'!A:A=C339),"""")"),0.0)</f>
        <v>0</v>
      </c>
      <c r="J339" s="78">
        <f>IFERROR(__xludf.DUMMYFUNCTION("iferror(filter('3.1.clean'!I:I,'3.1.clean'!A:A=C339),"""")"),0.0)</f>
        <v>0</v>
      </c>
      <c r="K339" s="77"/>
      <c r="L339" s="78"/>
      <c r="M339" s="77"/>
      <c r="N339" s="78"/>
      <c r="O339" s="77"/>
      <c r="P339" s="78"/>
      <c r="Q339" s="77"/>
      <c r="R339" s="76"/>
      <c r="S339" s="25"/>
      <c r="T339" s="1"/>
      <c r="V339" s="1" t="s">
        <v>83</v>
      </c>
      <c r="W339" s="1" t="b">
        <v>1</v>
      </c>
      <c r="X339" s="23" t="str">
        <f>IFERROR(__xludf.DUMMYFUNCTION("if(COUNTA(FILTER(C:C, C:C = C339))=1,""no"",""yes"")"),"no")</f>
        <v>no</v>
      </c>
    </row>
    <row r="340">
      <c r="A340" s="1" t="s">
        <v>447</v>
      </c>
      <c r="B340" s="2">
        <v>1.0</v>
      </c>
      <c r="C340" s="19" t="s">
        <v>1037</v>
      </c>
      <c r="E340" s="24">
        <f>IFERROR(__xludf.DUMMYFUNCTION("ifna(IFNA(filter('2.1.clean'!C:C,'2.1.clean'!A:A=C340),filter('2.2.clean'!E:E,'2.2.clean'!D:D=C340)),filter('2.4.clean'!C:C,'2.4.clean'!A:A=C340))"),43683.0)</f>
        <v>43683</v>
      </c>
      <c r="F340" s="25">
        <f>IFERROR(__xludf.DUMMYFUNCTION("iferror(ifna(IFNA(filter('2.1.clean'!E:E,'2.1.clean'!A:A=C340),filter('2.2.clean'!G:G,'2.2.clean'!D:D=C340)),filter('2.4.clean'!E:E,'2.4.clean'!A:A=C340)),)"),2.4)</f>
        <v>2.4</v>
      </c>
      <c r="G340" s="24"/>
      <c r="J340" s="25"/>
      <c r="K340" s="24"/>
      <c r="L340" s="25"/>
      <c r="M340" s="24">
        <f>IFERROR(__xludf.DUMMYFUNCTION("iferror(filter('3.3.clean'!C:C,'3.3.clean'!A:A=C340),"""")"),43685.0)</f>
        <v>43685</v>
      </c>
      <c r="N340" s="25" t="b">
        <f t="shared" ref="N340:N350" si="203">if(M340="",FALSE,TRUE)</f>
        <v>1</v>
      </c>
      <c r="O340" s="24">
        <f>IFERROR(__xludf.DUMMYFUNCTION("iferror(filter('3.4.clean'!C:C,'3.4.clean'!A:A=C340),"""")"),43721.0)</f>
        <v>43721</v>
      </c>
      <c r="P340" s="25" t="b">
        <f t="shared" ref="P340:P350" si="204">if(O340="",FALSE,TRUE)</f>
        <v>1</v>
      </c>
      <c r="Q340" s="24">
        <f>IFERROR(__xludf.DUMMYFUNCTION("iferror(filter('3.5.clean'!C:C,'3.5.clean'!A:A=C340),"""")"),43683.0)</f>
        <v>43683</v>
      </c>
      <c r="R340" s="23" t="b">
        <f t="shared" ref="R340:R348" si="205">if(Q340="",FALSE,TRUE)</f>
        <v>1</v>
      </c>
      <c r="S340" s="25"/>
      <c r="V340" s="1" t="s">
        <v>64</v>
      </c>
      <c r="W340" s="23" t="b">
        <f>IF(and(R340=TRUE,N340=TRUE,P340=TRUE),TRUE,FALSE)</f>
        <v>1</v>
      </c>
      <c r="X340" s="23" t="str">
        <f>IFERROR(__xludf.DUMMYFUNCTION("if(COUNTA(FILTER(C:C, C:C = C340))=1,""no"",""yes"")"),"no")</f>
        <v>no</v>
      </c>
    </row>
    <row r="341">
      <c r="A341" s="1" t="s">
        <v>447</v>
      </c>
      <c r="B341" s="19">
        <v>2.0</v>
      </c>
      <c r="C341" s="19" t="s">
        <v>1039</v>
      </c>
      <c r="D341" s="58" t="str">
        <f t="shared" ref="D341:D342" si="206">if(or(I341=1,J341=1,S341=1),"pos","")</f>
        <v/>
      </c>
      <c r="E341" s="59">
        <f>IFERROR(__xludf.DUMMYFUNCTION("ifna(IFNA(filter('2.1.clean'!C:C,'2.1.clean'!A:A=C341),filter('2.2.clean'!E:E,'2.2.clean'!D:D=C341)),filter('2.4.clean'!C:C,'2.4.clean'!A:A=C341))"),43683.0)</f>
        <v>43683</v>
      </c>
      <c r="F341" s="60">
        <f>IFERROR(__xludf.DUMMYFUNCTION("iferror(ifna(IFNA(filter('2.1.clean'!E:E,'2.1.clean'!A:A=C341),filter('2.2.clean'!G:G,'2.2.clean'!D:D=C341)),filter('2.4.clean'!E:E,'2.4.clean'!A:A=C341)),)"),2.4)</f>
        <v>2.4</v>
      </c>
      <c r="G341" s="59">
        <f>IFERROR(__xludf.DUMMYFUNCTION("iferror(filter('3.1.clean'!C:C,'3.1.clean'!A:A=C341),"""")"),43683.0)</f>
        <v>43683</v>
      </c>
      <c r="H341" s="58" t="b">
        <f>if(G341="",FALSE,TRUE)</f>
        <v>1</v>
      </c>
      <c r="I341" s="58">
        <f>IFERROR(__xludf.DUMMYFUNCTION("iferror(filter('3.1.clean'!G:G,'3.1.clean'!A:A=C341),"""")"),0.0)</f>
        <v>0</v>
      </c>
      <c r="J341" s="60">
        <f>IFERROR(__xludf.DUMMYFUNCTION("iferror(filter('3.1.clean'!I:I,'3.1.clean'!A:A=C341),"""")"),0.0)</f>
        <v>0</v>
      </c>
      <c r="K341" s="58"/>
      <c r="L341" s="60"/>
      <c r="M341" s="59">
        <f>IFERROR(__xludf.DUMMYFUNCTION("iferror(filter('3.3.clean'!C:C,'3.3.clean'!A:A=C341),"""")"),43685.0)</f>
        <v>43685</v>
      </c>
      <c r="N341" s="60" t="b">
        <f t="shared" si="203"/>
        <v>1</v>
      </c>
      <c r="O341" s="59" t="str">
        <f>IFERROR(__xludf.DUMMYFUNCTION("iferror(filter('3.4.clean'!C:C,'3.4.clean'!A:A=C341),"""")"),"")</f>
        <v/>
      </c>
      <c r="P341" s="60" t="b">
        <f t="shared" si="204"/>
        <v>0</v>
      </c>
      <c r="Q341" s="59" t="str">
        <f>IFERROR(__xludf.DUMMYFUNCTION("iferror(filter('3.5.clean'!C:C,'3.5.clean'!A:A=C341),"""")"),"")</f>
        <v/>
      </c>
      <c r="R341" s="58" t="b">
        <f t="shared" si="205"/>
        <v>0</v>
      </c>
      <c r="S341" s="4" t="str">
        <f>IFERROR(__xludf.DUMMYFUNCTION("iferror(filter('3.5.clean'!H:H,'3.5.clean'!A:A=C341),"""")"),"")</f>
        <v/>
      </c>
      <c r="U341" s="23"/>
      <c r="V341" s="1" t="s">
        <v>64</v>
      </c>
      <c r="W341" s="23" t="b">
        <f>if(AND(H341=TRUE,N341=TRUE,P341=TRUE),TRUE,FALSE)</f>
        <v>0</v>
      </c>
      <c r="X341" s="23" t="str">
        <f>IFERROR(__xludf.DUMMYFUNCTION("if(COUNTA(FILTER(C:C, C:C = C341))=1,""no"",""yes"")"),"no")</f>
        <v>no</v>
      </c>
    </row>
    <row r="342">
      <c r="A342" s="1" t="s">
        <v>447</v>
      </c>
      <c r="B342" s="19">
        <v>3.0</v>
      </c>
      <c r="C342" s="19" t="s">
        <v>1040</v>
      </c>
      <c r="D342" s="58" t="str">
        <f t="shared" si="206"/>
        <v/>
      </c>
      <c r="E342" s="59">
        <f>Q342</f>
        <v>43683</v>
      </c>
      <c r="F342" s="60" t="str">
        <f>IFERROR(__xludf.DUMMYFUNCTION("iferror(ifna(IFNA(filter('2.1.clean'!E:E,'2.1.clean'!A:A=C342),filter('2.2.clean'!G:G,'2.2.clean'!D:D=C342)),filter('2.4.clean'!E:E,'2.4.clean'!A:A=C342)),)"),"")</f>
        <v/>
      </c>
      <c r="G342" s="59" t="str">
        <f>IFERROR(__xludf.DUMMYFUNCTION("iferror(filter('3.1.clean'!C:C,'3.1.clean'!A:A=C342),"""")"),"")</f>
        <v/>
      </c>
      <c r="H342" s="58"/>
      <c r="I342" s="58"/>
      <c r="J342" s="60"/>
      <c r="K342" s="58"/>
      <c r="L342" s="60"/>
      <c r="M342" s="59" t="str">
        <f>IFERROR(__xludf.DUMMYFUNCTION("iferror(filter('3.3.clean'!C:C,'3.3.clean'!A:A=C342),"""")"),"")</f>
        <v/>
      </c>
      <c r="N342" s="60" t="b">
        <f t="shared" si="203"/>
        <v>0</v>
      </c>
      <c r="O342" s="59">
        <f>IFERROR(__xludf.DUMMYFUNCTION("iferror(filter('3.4.clean'!C:C,'3.4.clean'!A:A=C342),"""")"),43721.0)</f>
        <v>43721</v>
      </c>
      <c r="P342" s="60" t="b">
        <f t="shared" si="204"/>
        <v>1</v>
      </c>
      <c r="Q342" s="59">
        <f>IFERROR(__xludf.DUMMYFUNCTION("iferror(filter('3.5.clean'!C:C,'3.5.clean'!A:A=C342),"""")"),43683.0)</f>
        <v>43683</v>
      </c>
      <c r="R342" s="58" t="b">
        <f t="shared" si="205"/>
        <v>1</v>
      </c>
      <c r="S342" s="4">
        <f>IFERROR(__xludf.DUMMYFUNCTION("iferror(filter('3.5.clean'!H:H,'3.5.clean'!A:A=C342),"""")"),0.0)</f>
        <v>0</v>
      </c>
      <c r="U342" s="23"/>
      <c r="V342" s="1" t="s">
        <v>64</v>
      </c>
      <c r="W342" s="23" t="b">
        <f>if(AND(R342=TRUE,N342=TRUE,P342=TRUE),TRUE,FALSE)</f>
        <v>0</v>
      </c>
      <c r="X342" s="23" t="str">
        <f>IFERROR(__xludf.DUMMYFUNCTION("if(COUNTA(FILTER(C:C, C:C = C342))=1,""no"",""yes"")"),"no")</f>
        <v>no</v>
      </c>
    </row>
    <row r="343">
      <c r="A343" s="1" t="s">
        <v>447</v>
      </c>
      <c r="B343" s="2">
        <v>4.0</v>
      </c>
      <c r="C343" s="19" t="s">
        <v>1042</v>
      </c>
      <c r="E343" s="24">
        <f>IFERROR(__xludf.DUMMYFUNCTION("ifna(IFNA(filter('2.1.clean'!C:C,'2.1.clean'!A:A=C343),filter('2.2.clean'!E:E,'2.2.clean'!D:D=C343)),filter('2.4.clean'!C:C,'2.4.clean'!A:A=C343))"),43683.0)</f>
        <v>43683</v>
      </c>
      <c r="F343" s="25">
        <f>IFERROR(__xludf.DUMMYFUNCTION("iferror(ifna(IFNA(filter('2.1.clean'!E:E,'2.1.clean'!A:A=C343),filter('2.2.clean'!G:G,'2.2.clean'!D:D=C343)),filter('2.4.clean'!E:E,'2.4.clean'!A:A=C343)),)"),2.4)</f>
        <v>2.4</v>
      </c>
      <c r="G343" s="24"/>
      <c r="J343" s="25"/>
      <c r="K343" s="24"/>
      <c r="L343" s="25"/>
      <c r="M343" s="24">
        <f>IFERROR(__xludf.DUMMYFUNCTION("iferror(filter('3.3.clean'!C:C,'3.3.clean'!A:A=C343),"""")"),43685.0)</f>
        <v>43685</v>
      </c>
      <c r="N343" s="25" t="b">
        <f t="shared" si="203"/>
        <v>1</v>
      </c>
      <c r="O343" s="24">
        <f>IFERROR(__xludf.DUMMYFUNCTION("iferror(filter('3.4.clean'!C:C,'3.4.clean'!A:A=C343),"""")"),43721.0)</f>
        <v>43721</v>
      </c>
      <c r="P343" s="25" t="b">
        <f t="shared" si="204"/>
        <v>1</v>
      </c>
      <c r="Q343" s="24">
        <f>IFERROR(__xludf.DUMMYFUNCTION("iferror(filter('3.5.clean'!C:C,'3.5.clean'!A:A=C343),"""")"),43683.0)</f>
        <v>43683</v>
      </c>
      <c r="R343" s="23" t="b">
        <f t="shared" si="205"/>
        <v>1</v>
      </c>
      <c r="S343" s="25"/>
      <c r="V343" s="1" t="s">
        <v>64</v>
      </c>
      <c r="W343" s="23" t="b">
        <f>IF(and(R343=TRUE,N343=TRUE,P343=TRUE),TRUE,FALSE)</f>
        <v>1</v>
      </c>
      <c r="X343" s="23" t="str">
        <f>IFERROR(__xludf.DUMMYFUNCTION("if(COUNTA(FILTER(C:C, C:C = C343))=1,""no"",""yes"")"),"no")</f>
        <v>no</v>
      </c>
    </row>
    <row r="344">
      <c r="A344" s="1" t="s">
        <v>447</v>
      </c>
      <c r="B344" s="19">
        <v>5.0</v>
      </c>
      <c r="C344" s="19" t="s">
        <v>1043</v>
      </c>
      <c r="D344" s="58" t="str">
        <f t="shared" ref="D344:D345" si="207">if(or(I344=1,J344=1,S344=1),"pos","")</f>
        <v/>
      </c>
      <c r="E344" s="59">
        <f>IFERROR(__xludf.DUMMYFUNCTION("ifna(IFNA(filter('2.1.clean'!C:C,'2.1.clean'!A:A=C344),filter('2.2.clean'!E:E,'2.2.clean'!D:D=C344)),filter('2.4.clean'!C:C,'2.4.clean'!A:A=C344))"),43683.0)</f>
        <v>43683</v>
      </c>
      <c r="F344" s="60">
        <f>IFERROR(__xludf.DUMMYFUNCTION("iferror(ifna(IFNA(filter('2.1.clean'!E:E,'2.1.clean'!A:A=C344),filter('2.2.clean'!G:G,'2.2.clean'!D:D=C344)),filter('2.4.clean'!E:E,'2.4.clean'!A:A=C344)),)"),2.4)</f>
        <v>2.4</v>
      </c>
      <c r="G344" s="59">
        <f>IFERROR(__xludf.DUMMYFUNCTION("iferror(filter('3.1.clean'!C:C,'3.1.clean'!A:A=C344),"""")"),43683.0)</f>
        <v>43683</v>
      </c>
      <c r="H344" s="58" t="b">
        <f>if(G344="",FALSE,TRUE)</f>
        <v>1</v>
      </c>
      <c r="I344" s="58">
        <f>IFERROR(__xludf.DUMMYFUNCTION("iferror(filter('3.1.clean'!G:G,'3.1.clean'!A:A=C344),"""")"),0.0)</f>
        <v>0</v>
      </c>
      <c r="J344" s="60">
        <f>IFERROR(__xludf.DUMMYFUNCTION("iferror(filter('3.1.clean'!I:I,'3.1.clean'!A:A=C344),"""")"),0.0)</f>
        <v>0</v>
      </c>
      <c r="K344" s="58"/>
      <c r="L344" s="60"/>
      <c r="M344" s="59">
        <f>IFERROR(__xludf.DUMMYFUNCTION("iferror(filter('3.3.clean'!C:C,'3.3.clean'!A:A=C344),"""")"),43685.0)</f>
        <v>43685</v>
      </c>
      <c r="N344" s="60" t="b">
        <f t="shared" si="203"/>
        <v>1</v>
      </c>
      <c r="O344" s="59" t="str">
        <f>IFERROR(__xludf.DUMMYFUNCTION("iferror(filter('3.4.clean'!C:C,'3.4.clean'!A:A=C344),"""")"),"")</f>
        <v/>
      </c>
      <c r="P344" s="60" t="b">
        <f t="shared" si="204"/>
        <v>0</v>
      </c>
      <c r="Q344" s="59" t="str">
        <f>IFERROR(__xludf.DUMMYFUNCTION("iferror(filter('3.5.clean'!C:C,'3.5.clean'!A:A=C344),"""")"),"")</f>
        <v/>
      </c>
      <c r="R344" s="58" t="b">
        <f t="shared" si="205"/>
        <v>0</v>
      </c>
      <c r="S344" s="4" t="str">
        <f>IFERROR(__xludf.DUMMYFUNCTION("iferror(filter('3.5.clean'!H:H,'3.5.clean'!A:A=C344),"""")"),"")</f>
        <v/>
      </c>
      <c r="U344" s="23"/>
      <c r="V344" s="1" t="s">
        <v>64</v>
      </c>
      <c r="W344" s="23" t="b">
        <f>if(AND(H344=TRUE,N344=TRUE,P344=TRUE),TRUE,FALSE)</f>
        <v>0</v>
      </c>
      <c r="X344" s="23" t="str">
        <f>IFERROR(__xludf.DUMMYFUNCTION("if(COUNTA(FILTER(C:C, C:C = C344))=1,""no"",""yes"")"),"no")</f>
        <v>no</v>
      </c>
    </row>
    <row r="345">
      <c r="A345" s="1" t="s">
        <v>447</v>
      </c>
      <c r="B345" s="19">
        <v>6.0</v>
      </c>
      <c r="C345" s="19" t="s">
        <v>1044</v>
      </c>
      <c r="D345" s="58" t="str">
        <f t="shared" si="207"/>
        <v/>
      </c>
      <c r="E345" s="59">
        <f>Q345</f>
        <v>43683</v>
      </c>
      <c r="F345" s="60" t="str">
        <f>IFERROR(__xludf.DUMMYFUNCTION("iferror(ifna(IFNA(filter('2.1.clean'!E:E,'2.1.clean'!A:A=C345),filter('2.2.clean'!G:G,'2.2.clean'!D:D=C345)),filter('2.4.clean'!E:E,'2.4.clean'!A:A=C345)),)"),"")</f>
        <v/>
      </c>
      <c r="G345" s="59" t="str">
        <f>IFERROR(__xludf.DUMMYFUNCTION("iferror(filter('3.1.clean'!C:C,'3.1.clean'!A:A=C345),"""")"),"")</f>
        <v/>
      </c>
      <c r="H345" s="58"/>
      <c r="I345" s="58"/>
      <c r="J345" s="60"/>
      <c r="K345" s="58"/>
      <c r="L345" s="60"/>
      <c r="M345" s="59" t="str">
        <f>IFERROR(__xludf.DUMMYFUNCTION("iferror(filter('3.3.clean'!C:C,'3.3.clean'!A:A=C345),"""")"),"")</f>
        <v/>
      </c>
      <c r="N345" s="60" t="b">
        <f t="shared" si="203"/>
        <v>0</v>
      </c>
      <c r="O345" s="59">
        <f>IFERROR(__xludf.DUMMYFUNCTION("iferror(filter('3.4.clean'!C:C,'3.4.clean'!A:A=C345),"""")"),43721.0)</f>
        <v>43721</v>
      </c>
      <c r="P345" s="60" t="b">
        <f t="shared" si="204"/>
        <v>1</v>
      </c>
      <c r="Q345" s="59">
        <f>IFERROR(__xludf.DUMMYFUNCTION("iferror(filter('3.5.clean'!C:C,'3.5.clean'!A:A=C345),"""")"),43683.0)</f>
        <v>43683</v>
      </c>
      <c r="R345" s="58" t="b">
        <f t="shared" si="205"/>
        <v>1</v>
      </c>
      <c r="S345" s="4">
        <f>IFERROR(__xludf.DUMMYFUNCTION("iferror(filter('3.5.clean'!H:H,'3.5.clean'!A:A=C345),"""")"),0.0)</f>
        <v>0</v>
      </c>
      <c r="U345" s="23"/>
      <c r="V345" s="1" t="s">
        <v>64</v>
      </c>
      <c r="W345" s="23" t="b">
        <f>if(AND(R345=TRUE,N345=TRUE,P345=TRUE),TRUE,FALSE)</f>
        <v>0</v>
      </c>
      <c r="X345" s="23" t="str">
        <f>IFERROR(__xludf.DUMMYFUNCTION("if(COUNTA(FILTER(C:C, C:C = C345))=1,""no"",""yes"")"),"no")</f>
        <v>no</v>
      </c>
    </row>
    <row r="346">
      <c r="A346" s="1" t="s">
        <v>447</v>
      </c>
      <c r="B346" s="2">
        <v>7.0</v>
      </c>
      <c r="C346" s="19" t="s">
        <v>1046</v>
      </c>
      <c r="E346" s="24">
        <f>IFERROR(__xludf.DUMMYFUNCTION("ifna(IFNA(filter('2.1.clean'!C:C,'2.1.clean'!A:A=C346),filter('2.2.clean'!E:E,'2.2.clean'!D:D=C346)),filter('2.4.clean'!C:C,'2.4.clean'!A:A=C346))"),43683.0)</f>
        <v>43683</v>
      </c>
      <c r="F346" s="25">
        <f>IFERROR(__xludf.DUMMYFUNCTION("iferror(ifna(IFNA(filter('2.1.clean'!E:E,'2.1.clean'!A:A=C346),filter('2.2.clean'!G:G,'2.2.clean'!D:D=C346)),filter('2.4.clean'!E:E,'2.4.clean'!A:A=C346)),)"),2.4)</f>
        <v>2.4</v>
      </c>
      <c r="G346" s="24"/>
      <c r="J346" s="25"/>
      <c r="K346" s="24"/>
      <c r="L346" s="25"/>
      <c r="M346" s="24">
        <f>IFERROR(__xludf.DUMMYFUNCTION("iferror(filter('3.3.clean'!C:C,'3.3.clean'!A:A=C346),"""")"),43685.0)</f>
        <v>43685</v>
      </c>
      <c r="N346" s="25" t="b">
        <f t="shared" si="203"/>
        <v>1</v>
      </c>
      <c r="O346" s="24">
        <f>IFERROR(__xludf.DUMMYFUNCTION("iferror(filter('3.4.clean'!C:C,'3.4.clean'!A:A=C346),"""")"),43721.0)</f>
        <v>43721</v>
      </c>
      <c r="P346" s="25" t="b">
        <f t="shared" si="204"/>
        <v>1</v>
      </c>
      <c r="Q346" s="24">
        <f>IFERROR(__xludf.DUMMYFUNCTION("iferror(filter('3.5.clean'!C:C,'3.5.clean'!A:A=C346),"""")"),43683.0)</f>
        <v>43683</v>
      </c>
      <c r="R346" s="23" t="b">
        <f t="shared" si="205"/>
        <v>1</v>
      </c>
      <c r="S346" s="25"/>
      <c r="V346" s="1" t="s">
        <v>64</v>
      </c>
      <c r="W346" s="23" t="b">
        <f t="shared" ref="W346:W347" si="208">IF(and(R346=TRUE,N346=TRUE,P346=TRUE),TRUE,FALSE)</f>
        <v>1</v>
      </c>
      <c r="X346" s="23" t="str">
        <f>IFERROR(__xludf.DUMMYFUNCTION("if(COUNTA(FILTER(C:C, C:C = C346))=1,""no"",""yes"")"),"no")</f>
        <v>no</v>
      </c>
    </row>
    <row r="347">
      <c r="A347" s="1" t="s">
        <v>447</v>
      </c>
      <c r="B347" s="2">
        <v>8.0</v>
      </c>
      <c r="C347" s="19" t="s">
        <v>1047</v>
      </c>
      <c r="E347" s="24">
        <f>IFERROR(__xludf.DUMMYFUNCTION("ifna(IFNA(filter('2.1.clean'!C:C,'2.1.clean'!A:A=C347),filter('2.2.clean'!E:E,'2.2.clean'!D:D=C347)),filter('2.4.clean'!C:C,'2.4.clean'!A:A=C347))"),43683.0)</f>
        <v>43683</v>
      </c>
      <c r="F347" s="25">
        <f>IFERROR(__xludf.DUMMYFUNCTION("iferror(ifna(IFNA(filter('2.1.clean'!E:E,'2.1.clean'!A:A=C347),filter('2.2.clean'!G:G,'2.2.clean'!D:D=C347)),filter('2.4.clean'!E:E,'2.4.clean'!A:A=C347)),)"),2.4)</f>
        <v>2.4</v>
      </c>
      <c r="G347" s="24"/>
      <c r="J347" s="25"/>
      <c r="K347" s="24"/>
      <c r="L347" s="25"/>
      <c r="M347" s="24">
        <f>IFERROR(__xludf.DUMMYFUNCTION("iferror(filter('3.3.clean'!C:C,'3.3.clean'!A:A=C347),"""")"),43685.0)</f>
        <v>43685</v>
      </c>
      <c r="N347" s="25" t="b">
        <f t="shared" si="203"/>
        <v>1</v>
      </c>
      <c r="O347" s="24">
        <f>IFERROR(__xludf.DUMMYFUNCTION("iferror(filter('3.4.clean'!C:C,'3.4.clean'!A:A=C347),"""")"),43721.0)</f>
        <v>43721</v>
      </c>
      <c r="P347" s="25" t="b">
        <f t="shared" si="204"/>
        <v>1</v>
      </c>
      <c r="Q347" s="24">
        <f>IFERROR(__xludf.DUMMYFUNCTION("iferror(filter('3.5.clean'!C:C,'3.5.clean'!A:A=C347),"""")"),43683.0)</f>
        <v>43683</v>
      </c>
      <c r="R347" s="23" t="b">
        <f t="shared" si="205"/>
        <v>1</v>
      </c>
      <c r="S347" s="25"/>
      <c r="V347" s="1" t="s">
        <v>64</v>
      </c>
      <c r="W347" s="23" t="b">
        <f t="shared" si="208"/>
        <v>1</v>
      </c>
      <c r="X347" s="23" t="str">
        <f>IFERROR(__xludf.DUMMYFUNCTION("if(COUNTA(FILTER(C:C, C:C = C347))=1,""no"",""yes"")"),"no")</f>
        <v>no</v>
      </c>
    </row>
    <row r="348">
      <c r="A348" s="1" t="s">
        <v>447</v>
      </c>
      <c r="B348" s="28">
        <v>9.0</v>
      </c>
      <c r="C348" s="27" t="s">
        <v>1048</v>
      </c>
      <c r="D348" s="24"/>
      <c r="E348" s="24">
        <f>IFERROR(__xludf.DUMMYFUNCTION("ifna(IFNA(filter('2.1.clean'!C:C,'2.1.clean'!A:A=C348),filter('2.2.clean'!E:E,'2.2.clean'!D:D=C348)),filter('2.4.clean'!C:C,'2.4.clean'!A:A=C348))"),43683.0)</f>
        <v>43683</v>
      </c>
      <c r="F348" s="25">
        <f>IFERROR(__xludf.DUMMYFUNCTION("iferror(ifna(IFNA(filter('2.1.clean'!E:E,'2.1.clean'!A:A=C348),filter('2.2.clean'!G:G,'2.2.clean'!D:D=C348)),filter('2.4.clean'!E:E,'2.4.clean'!A:A=C348)),)"),2.1)</f>
        <v>2.1</v>
      </c>
      <c r="G348" s="24">
        <f>IFERROR(__xludf.DUMMYFUNCTION("iferror(filter('3.1.clean'!C:C,'3.1.clean'!A:A=C348),"""")"),43683.0)</f>
        <v>43683</v>
      </c>
      <c r="H348" s="23" t="b">
        <f t="shared" ref="H348:H351" si="209">if(G348="",FALSE,TRUE)</f>
        <v>1</v>
      </c>
      <c r="J348" s="25"/>
      <c r="K348" s="24">
        <f>IFERROR(__xludf.DUMMYFUNCTION("iferror(filter('3.2.clean'!C:C,'3.2.clean'!A:A=C348),"""")"),43685.0)</f>
        <v>43685</v>
      </c>
      <c r="L348" s="25" t="b">
        <f t="shared" ref="L348:L350" si="210">if(K348="",FALSE,TRUE)</f>
        <v>1</v>
      </c>
      <c r="M348" s="24">
        <f>IFERROR(__xludf.DUMMYFUNCTION("iferror(filter('3.3.clean'!C:C,'3.3.clean'!A:A=C348),"""")"),43685.0)</f>
        <v>43685</v>
      </c>
      <c r="N348" s="25" t="b">
        <f t="shared" si="203"/>
        <v>1</v>
      </c>
      <c r="O348" s="24">
        <f>IFERROR(__xludf.DUMMYFUNCTION("iferror(filter('3.4.clean'!C:C,'3.4.clean'!A:A=C348),"""")"),43721.0)</f>
        <v>43721</v>
      </c>
      <c r="P348" s="25" t="b">
        <f t="shared" si="204"/>
        <v>1</v>
      </c>
      <c r="Q348" s="24" t="str">
        <f>IFERROR(__xludf.DUMMYFUNCTION("iferror(filter('3.5.clean'!C:C,'3.5.clean'!A:A=C348),"""")"),"")</f>
        <v/>
      </c>
      <c r="R348" s="23" t="b">
        <f t="shared" si="205"/>
        <v>0</v>
      </c>
      <c r="S348" s="25"/>
      <c r="U348" s="23"/>
      <c r="V348" s="1" t="s">
        <v>83</v>
      </c>
      <c r="W348" s="23" t="b">
        <f t="shared" ref="W348:W350" si="211">IF(and(H348=TRUE,L348=TRUE,N348=TRUE,P348=TRUE),TRUE,FALSE)</f>
        <v>1</v>
      </c>
      <c r="X348" s="23" t="str">
        <f>IFERROR(__xludf.DUMMYFUNCTION("if(COUNTA(FILTER(C:C, C:C = C348))=1,""no"",""yes"")"),"no")</f>
        <v>no</v>
      </c>
    </row>
    <row r="349">
      <c r="A349" s="1" t="s">
        <v>447</v>
      </c>
      <c r="B349" s="28">
        <v>10.0</v>
      </c>
      <c r="C349" s="27" t="s">
        <v>1050</v>
      </c>
      <c r="D349" s="24"/>
      <c r="E349" s="24">
        <f>IFERROR(__xludf.DUMMYFUNCTION("ifna(IFNA(filter('2.1.clean'!C:C,'2.1.clean'!A:A=C349),filter('2.2.clean'!E:E,'2.2.clean'!D:D=C349)),filter('2.4.clean'!C:C,'2.4.clean'!A:A=C349))"),43683.0)</f>
        <v>43683</v>
      </c>
      <c r="F349" s="25">
        <f>IFERROR(__xludf.DUMMYFUNCTION("iferror(ifna(IFNA(filter('2.1.clean'!E:E,'2.1.clean'!A:A=C349),filter('2.2.clean'!G:G,'2.2.clean'!D:D=C349)),filter('2.4.clean'!E:E,'2.4.clean'!A:A=C349)),)"),2.1)</f>
        <v>2.1</v>
      </c>
      <c r="G349" s="24">
        <f>IFERROR(__xludf.DUMMYFUNCTION("iferror(filter('3.1.clean'!C:C,'3.1.clean'!A:A=C349),"""")"),43683.0)</f>
        <v>43683</v>
      </c>
      <c r="H349" s="23" t="b">
        <f t="shared" si="209"/>
        <v>1</v>
      </c>
      <c r="J349" s="25"/>
      <c r="K349" s="24">
        <f>IFERROR(__xludf.DUMMYFUNCTION("iferror(filter('3.2.clean'!C:C,'3.2.clean'!A:A=C349),"""")"),43685.0)</f>
        <v>43685</v>
      </c>
      <c r="L349" s="25" t="b">
        <f t="shared" si="210"/>
        <v>1</v>
      </c>
      <c r="M349" s="24">
        <f>IFERROR(__xludf.DUMMYFUNCTION("iferror(filter('3.3.clean'!C:C,'3.3.clean'!A:A=C349),"""")"),43685.0)</f>
        <v>43685</v>
      </c>
      <c r="N349" s="25" t="b">
        <f t="shared" si="203"/>
        <v>1</v>
      </c>
      <c r="O349" s="24">
        <f>IFERROR(__xludf.DUMMYFUNCTION("iferror(filter('3.4.clean'!C:C,'3.4.clean'!A:A=C349),"""")"),43721.0)</f>
        <v>43721</v>
      </c>
      <c r="P349" s="25" t="b">
        <f t="shared" si="204"/>
        <v>1</v>
      </c>
      <c r="Q349" s="24"/>
      <c r="S349" s="25"/>
      <c r="U349" s="23"/>
      <c r="V349" s="1" t="s">
        <v>83</v>
      </c>
      <c r="W349" s="23" t="b">
        <f t="shared" si="211"/>
        <v>1</v>
      </c>
      <c r="X349" s="23" t="str">
        <f>IFERROR(__xludf.DUMMYFUNCTION("if(COUNTA(FILTER(C:C, C:C = C349))=1,""no"",""yes"")"),"no")</f>
        <v>no</v>
      </c>
    </row>
    <row r="350">
      <c r="A350" s="1" t="s">
        <v>447</v>
      </c>
      <c r="B350" s="28">
        <v>11.0</v>
      </c>
      <c r="C350" s="27" t="s">
        <v>1051</v>
      </c>
      <c r="D350" s="24"/>
      <c r="E350" s="24">
        <f>IFERROR(__xludf.DUMMYFUNCTION("ifna(IFNA(filter('2.1.clean'!C:C,'2.1.clean'!A:A=C350),filter('2.2.clean'!E:E,'2.2.clean'!D:D=C350)),filter('2.4.clean'!C:C,'2.4.clean'!A:A=C350))"),43683.0)</f>
        <v>43683</v>
      </c>
      <c r="F350" s="25">
        <f>IFERROR(__xludf.DUMMYFUNCTION("iferror(ifna(IFNA(filter('2.1.clean'!E:E,'2.1.clean'!A:A=C350),filter('2.2.clean'!G:G,'2.2.clean'!D:D=C350)),filter('2.4.clean'!E:E,'2.4.clean'!A:A=C350)),)"),2.1)</f>
        <v>2.1</v>
      </c>
      <c r="G350" s="24">
        <f>IFERROR(__xludf.DUMMYFUNCTION("iferror(filter('3.1.clean'!C:C,'3.1.clean'!A:A=C350),"""")"),43683.0)</f>
        <v>43683</v>
      </c>
      <c r="H350" s="23" t="b">
        <f t="shared" si="209"/>
        <v>1</v>
      </c>
      <c r="J350" s="25"/>
      <c r="K350" s="24">
        <f>IFERROR(__xludf.DUMMYFUNCTION("iferror(filter('3.2.clean'!C:C,'3.2.clean'!A:A=C350),"""")"),43685.0)</f>
        <v>43685</v>
      </c>
      <c r="L350" s="25" t="b">
        <f t="shared" si="210"/>
        <v>1</v>
      </c>
      <c r="M350" s="24">
        <f>IFERROR(__xludf.DUMMYFUNCTION("iferror(filter('3.3.clean'!C:C,'3.3.clean'!A:A=C350),"""")"),43685.0)</f>
        <v>43685</v>
      </c>
      <c r="N350" s="25" t="b">
        <f t="shared" si="203"/>
        <v>1</v>
      </c>
      <c r="O350" s="24">
        <f>IFERROR(__xludf.DUMMYFUNCTION("iferror(filter('3.4.clean'!C:C,'3.4.clean'!A:A=C350),"""")"),43721.0)</f>
        <v>43721</v>
      </c>
      <c r="P350" s="25" t="b">
        <f t="shared" si="204"/>
        <v>1</v>
      </c>
      <c r="Q350" s="24"/>
      <c r="S350" s="25"/>
      <c r="U350" s="23"/>
      <c r="V350" s="1" t="s">
        <v>83</v>
      </c>
      <c r="W350" s="23" t="b">
        <f t="shared" si="211"/>
        <v>1</v>
      </c>
      <c r="X350" s="23" t="str">
        <f>IFERROR(__xludf.DUMMYFUNCTION("if(COUNTA(FILTER(C:C, C:C = C350))=1,""no"",""yes"")"),"no")</f>
        <v>no</v>
      </c>
    </row>
    <row r="351">
      <c r="A351" s="1" t="s">
        <v>447</v>
      </c>
      <c r="B351" s="19">
        <v>12.0</v>
      </c>
      <c r="C351" s="19" t="s">
        <v>1052</v>
      </c>
      <c r="D351" s="76" t="str">
        <f t="shared" ref="D351:D352" si="212">if(or(I351=1,J351=1,S351=1),"pos","")</f>
        <v/>
      </c>
      <c r="E351" s="77">
        <f>G351</f>
        <v>43683</v>
      </c>
      <c r="F351" s="78" t="str">
        <f>IFERROR(__xludf.DUMMYFUNCTION("iferror(ifna(IFNA(filter('2.1.clean'!E:E,'2.1.clean'!A:A=C351),filter('2.2.clean'!G:G,'2.2.clean'!D:D=C351)),filter('2.4.clean'!E:E,'2.4.clean'!A:A=C351)),)"),"")</f>
        <v/>
      </c>
      <c r="G351" s="77">
        <f>IFERROR(__xludf.DUMMYFUNCTION("iferror(filter('3.1.clean'!C:C,'3.1.clean'!A:A=C351),"""")"),43683.0)</f>
        <v>43683</v>
      </c>
      <c r="H351" s="76" t="b">
        <f t="shared" si="209"/>
        <v>1</v>
      </c>
      <c r="I351" s="76">
        <f>IFERROR(__xludf.DUMMYFUNCTION("iferror(filter('3.1.clean'!G:G,'3.1.clean'!A:A=C351),"""")"),0.0)</f>
        <v>0</v>
      </c>
      <c r="J351" s="78">
        <f>IFERROR(__xludf.DUMMYFUNCTION("iferror(filter('3.1.clean'!I:I,'3.1.clean'!A:A=C351),"""")"),0.0)</f>
        <v>0</v>
      </c>
      <c r="K351" s="77"/>
      <c r="L351" s="78"/>
      <c r="M351" s="77"/>
      <c r="N351" s="78"/>
      <c r="O351" s="77"/>
      <c r="P351" s="78"/>
      <c r="Q351" s="77"/>
      <c r="R351" s="76"/>
      <c r="S351" s="25"/>
      <c r="T351" s="1"/>
      <c r="V351" s="1" t="s">
        <v>83</v>
      </c>
      <c r="W351" s="1" t="b">
        <v>1</v>
      </c>
      <c r="X351" s="23" t="str">
        <f>IFERROR(__xludf.DUMMYFUNCTION("if(COUNTA(FILTER(C:C, C:C = C351))=1,""no"",""yes"")"),"no")</f>
        <v>no</v>
      </c>
    </row>
    <row r="352">
      <c r="A352" s="1" t="s">
        <v>447</v>
      </c>
      <c r="B352" s="19">
        <v>13.0</v>
      </c>
      <c r="C352" s="19" t="s">
        <v>1054</v>
      </c>
      <c r="D352" s="22" t="str">
        <f t="shared" si="212"/>
        <v/>
      </c>
      <c r="E352" s="20">
        <f>Q352</f>
        <v>43683</v>
      </c>
      <c r="F352" s="79" t="str">
        <f>IFERROR(__xludf.DUMMYFUNCTION("iferror(ifna(IFNA(filter('2.1.clean'!E:E,'2.1.clean'!A:A=C352),filter('2.2.clean'!G:G,'2.2.clean'!D:D=C352)),filter('2.4.clean'!E:E,'2.4.clean'!A:A=C352)),)"),"")</f>
        <v/>
      </c>
      <c r="G352" s="20" t="str">
        <f>IFERROR(__xludf.DUMMYFUNCTION("iferror(filter('3.1.clean'!C:C,'3.1.clean'!A:A=C352),"""")"),"")</f>
        <v/>
      </c>
      <c r="H352" s="22"/>
      <c r="I352" s="22"/>
      <c r="J352" s="79"/>
      <c r="K352" s="20" t="str">
        <f>IFERROR(__xludf.DUMMYFUNCTION("iferror(filter('3.2.clean'!C:C,'3.2.clean'!A:A=C352),"""")"),"")</f>
        <v/>
      </c>
      <c r="L352" s="79"/>
      <c r="M352" s="20">
        <f>IFERROR(__xludf.DUMMYFUNCTION("iferror(filter('3.3.clean'!C:C,'3.3.clean'!A:A=C352),"""")"),43685.0)</f>
        <v>43685</v>
      </c>
      <c r="N352" s="79" t="b">
        <f t="shared" ref="N352:N358" si="213">if(M352="",FALSE,TRUE)</f>
        <v>1</v>
      </c>
      <c r="O352" s="20" t="str">
        <f>IFERROR(__xludf.DUMMYFUNCTION("iferror(filter('3.4.clean'!C:C,'3.4.clean'!A:A=C352),"""")"),"")</f>
        <v/>
      </c>
      <c r="P352" s="79" t="b">
        <f t="shared" ref="P352:P358" si="214">if(O352="",FALSE,TRUE)</f>
        <v>0</v>
      </c>
      <c r="Q352" s="20">
        <f>IFERROR(__xludf.DUMMYFUNCTION("iferror(filter('3.5.clean'!C:C,'3.5.clean'!A:A=C352),"""")"),43683.0)</f>
        <v>43683</v>
      </c>
      <c r="R352" s="22" t="b">
        <f t="shared" ref="R352:R358" si="215">if(Q352="",FALSE,TRUE)</f>
        <v>1</v>
      </c>
      <c r="S352" s="4">
        <f>IFERROR(__xludf.DUMMYFUNCTION("iferror(filter('3.5.clean'!H:H,'3.5.clean'!A:A=C352),"""")"),0.0)</f>
        <v>0</v>
      </c>
      <c r="U352" s="1" t="s">
        <v>382</v>
      </c>
      <c r="V352" s="1" t="s">
        <v>64</v>
      </c>
      <c r="W352" s="23" t="b">
        <f>IF(and(R352=TRUE,N352=TRUE,P352=TRUE),TRUE,FALSE)</f>
        <v>0</v>
      </c>
      <c r="X352" s="23" t="str">
        <f>IFERROR(__xludf.DUMMYFUNCTION("if(COUNTA(FILTER(C:C, C:C = C352))=1,""no"",""yes"")"),"no")</f>
        <v>no</v>
      </c>
    </row>
    <row r="353">
      <c r="A353" s="75" t="s">
        <v>451</v>
      </c>
      <c r="B353" s="28">
        <v>1.0</v>
      </c>
      <c r="C353" s="27" t="s">
        <v>1055</v>
      </c>
      <c r="D353" s="52"/>
      <c r="E353" s="24">
        <f>IFERROR(__xludf.DUMMYFUNCTION("ifna(IFNA(filter('2.1.clean'!C:C,'2.1.clean'!A:A=C353),filter('2.2.clean'!E:E,'2.2.clean'!D:D=C353)),filter('2.4.clean'!C:C,'2.4.clean'!A:A=C353))"),43684.0)</f>
        <v>43684</v>
      </c>
      <c r="F353" s="25">
        <f>IFERROR(__xludf.DUMMYFUNCTION("iferror(ifna(IFNA(filter('2.1.clean'!E:E,'2.1.clean'!A:A=C353),filter('2.2.clean'!G:G,'2.2.clean'!D:D=C353)),filter('2.4.clean'!E:E,'2.4.clean'!A:A=C353)),)"),2.4)</f>
        <v>2.4</v>
      </c>
      <c r="G353" s="24">
        <f>IFERROR(__xludf.DUMMYFUNCTION("iferror(filter('3.1.clean'!C:C,'3.1.clean'!A:A=C353),"""")"),43684.0)</f>
        <v>43684</v>
      </c>
      <c r="H353" s="23" t="b">
        <f t="shared" ref="H353:H354" si="216">if(G353="",FALSE,TRUE)</f>
        <v>1</v>
      </c>
      <c r="J353" s="25"/>
      <c r="K353" s="24" t="str">
        <f>IFERROR(__xludf.DUMMYFUNCTION("iferror(filter('3.2.clean'!C:C,'3.2.clean'!A:A=C353),"""")"),"")</f>
        <v/>
      </c>
      <c r="L353" s="25" t="b">
        <f>if(K353="",FALSE,TRUE)</f>
        <v>0</v>
      </c>
      <c r="M353" s="24">
        <f>IFERROR(__xludf.DUMMYFUNCTION("iferror(filter('3.3.clean'!C:C,'3.3.clean'!A:A=C353),"""")"),43686.0)</f>
        <v>43686</v>
      </c>
      <c r="N353" s="25" t="b">
        <f t="shared" si="213"/>
        <v>1</v>
      </c>
      <c r="O353" s="24">
        <f>IFERROR(__xludf.DUMMYFUNCTION("iferror(filter('3.4.clean'!C:C,'3.4.clean'!A:A=C353),"""")"),43721.0)</f>
        <v>43721</v>
      </c>
      <c r="P353" s="25" t="b">
        <f t="shared" si="214"/>
        <v>1</v>
      </c>
      <c r="Q353" s="24">
        <f>IFERROR(__xludf.DUMMYFUNCTION("iferror(filter('3.5.clean'!C:C,'3.5.clean'!A:A=C353),"""")"),43684.0)</f>
        <v>43684</v>
      </c>
      <c r="R353" s="23" t="b">
        <f t="shared" si="215"/>
        <v>1</v>
      </c>
      <c r="S353" s="25"/>
      <c r="V353" s="1" t="s">
        <v>64</v>
      </c>
      <c r="X353" s="23" t="str">
        <f>IFERROR(__xludf.DUMMYFUNCTION("if(COUNTA(FILTER(C:C, C:C = C353))=1,""no"",""yes"")"),"no")</f>
        <v>no</v>
      </c>
    </row>
    <row r="354">
      <c r="A354" s="75" t="s">
        <v>451</v>
      </c>
      <c r="B354" s="19">
        <v>2.0</v>
      </c>
      <c r="C354" s="19" t="s">
        <v>1057</v>
      </c>
      <c r="D354" s="58" t="str">
        <f t="shared" ref="D354:D355" si="217">if(or(I354=1,J354=1,S354=1),"pos","")</f>
        <v>pos</v>
      </c>
      <c r="E354" s="59">
        <f>IFERROR(__xludf.DUMMYFUNCTION("ifna(IFNA(filter('2.1.clean'!C:C,'2.1.clean'!A:A=C354),filter('2.2.clean'!E:E,'2.2.clean'!D:D=C354)),filter('2.4.clean'!C:C,'2.4.clean'!A:A=C354))"),43684.0)</f>
        <v>43684</v>
      </c>
      <c r="F354" s="60">
        <f>IFERROR(__xludf.DUMMYFUNCTION("iferror(ifna(IFNA(filter('2.1.clean'!E:E,'2.1.clean'!A:A=C354),filter('2.2.clean'!G:G,'2.2.clean'!D:D=C354)),filter('2.4.clean'!E:E,'2.4.clean'!A:A=C354)),)"),2.4)</f>
        <v>2.4</v>
      </c>
      <c r="G354" s="59">
        <f>IFERROR(__xludf.DUMMYFUNCTION("iferror(filter('3.1.clean'!C:C,'3.1.clean'!A:A=C354),"""")"),43684.0)</f>
        <v>43684</v>
      </c>
      <c r="H354" s="58" t="b">
        <f t="shared" si="216"/>
        <v>1</v>
      </c>
      <c r="I354" s="58">
        <f>IFERROR(__xludf.DUMMYFUNCTION("iferror(filter('3.1.clean'!G:G,'3.1.clean'!A:A=C354),"""")"),0.0)</f>
        <v>0</v>
      </c>
      <c r="J354" s="60">
        <f>IFERROR(__xludf.DUMMYFUNCTION("iferror(filter('3.1.clean'!I:I,'3.1.clean'!A:A=C354),"""")"),1.0)</f>
        <v>1</v>
      </c>
      <c r="K354" s="58"/>
      <c r="L354" s="60"/>
      <c r="M354" s="59">
        <f>IFERROR(__xludf.DUMMYFUNCTION("iferror(filter('3.3.clean'!C:C,'3.3.clean'!A:A=C354),"""")"),43686.0)</f>
        <v>43686</v>
      </c>
      <c r="N354" s="60" t="b">
        <f t="shared" si="213"/>
        <v>1</v>
      </c>
      <c r="O354" s="59" t="str">
        <f>IFERROR(__xludf.DUMMYFUNCTION("iferror(filter('3.4.clean'!C:C,'3.4.clean'!A:A=C354),"""")"),"")</f>
        <v/>
      </c>
      <c r="P354" s="60" t="b">
        <f t="shared" si="214"/>
        <v>0</v>
      </c>
      <c r="Q354" s="59" t="str">
        <f>IFERROR(__xludf.DUMMYFUNCTION("iferror(filter('3.5.clean'!C:C,'3.5.clean'!A:A=C354),"""")"),"")</f>
        <v/>
      </c>
      <c r="R354" s="58" t="b">
        <f t="shared" si="215"/>
        <v>0</v>
      </c>
      <c r="S354" s="4" t="str">
        <f>IFERROR(__xludf.DUMMYFUNCTION("iferror(filter('3.5.clean'!H:H,'3.5.clean'!A:A=C354),"""")"),"")</f>
        <v/>
      </c>
      <c r="U354" s="23"/>
      <c r="V354" s="1" t="s">
        <v>64</v>
      </c>
      <c r="W354" s="23" t="b">
        <f>if(AND(H354=TRUE,N354=TRUE,P354=TRUE),TRUE,FALSE)</f>
        <v>0</v>
      </c>
      <c r="X354" s="23" t="str">
        <f>IFERROR(__xludf.DUMMYFUNCTION("if(COUNTA(FILTER(C:C, C:C = C354))=1,""no"",""yes"")"),"no")</f>
        <v>no</v>
      </c>
    </row>
    <row r="355">
      <c r="A355" s="75" t="s">
        <v>451</v>
      </c>
      <c r="B355" s="19">
        <v>3.0</v>
      </c>
      <c r="C355" s="19" t="s">
        <v>1058</v>
      </c>
      <c r="D355" s="58" t="str">
        <f t="shared" si="217"/>
        <v>pos</v>
      </c>
      <c r="E355" s="59">
        <f>Q355</f>
        <v>43684</v>
      </c>
      <c r="F355" s="60" t="str">
        <f>IFERROR(__xludf.DUMMYFUNCTION("iferror(ifna(IFNA(filter('2.1.clean'!E:E,'2.1.clean'!A:A=C355),filter('2.2.clean'!G:G,'2.2.clean'!D:D=C355)),filter('2.4.clean'!E:E,'2.4.clean'!A:A=C355)),)"),"")</f>
        <v/>
      </c>
      <c r="G355" s="59" t="str">
        <f>IFERROR(__xludf.DUMMYFUNCTION("iferror(filter('3.1.clean'!C:C,'3.1.clean'!A:A=C355),"""")"),"")</f>
        <v/>
      </c>
      <c r="H355" s="58"/>
      <c r="I355" s="58"/>
      <c r="J355" s="60"/>
      <c r="K355" s="58"/>
      <c r="L355" s="60"/>
      <c r="M355" s="59" t="str">
        <f>IFERROR(__xludf.DUMMYFUNCTION("iferror(filter('3.3.clean'!C:C,'3.3.clean'!A:A=C355),"""")"),"")</f>
        <v/>
      </c>
      <c r="N355" s="60" t="b">
        <f t="shared" si="213"/>
        <v>0</v>
      </c>
      <c r="O355" s="59">
        <f>IFERROR(__xludf.DUMMYFUNCTION("iferror(filter('3.4.clean'!C:C,'3.4.clean'!A:A=C355),"""")"),43721.0)</f>
        <v>43721</v>
      </c>
      <c r="P355" s="60" t="b">
        <f t="shared" si="214"/>
        <v>1</v>
      </c>
      <c r="Q355" s="59">
        <f>IFERROR(__xludf.DUMMYFUNCTION("iferror(filter('3.5.clean'!C:C,'3.5.clean'!A:A=C355),"""")"),43684.0)</f>
        <v>43684</v>
      </c>
      <c r="R355" s="58" t="b">
        <f t="shared" si="215"/>
        <v>1</v>
      </c>
      <c r="S355" s="4">
        <f>IFERROR(__xludf.DUMMYFUNCTION("iferror(filter('3.5.clean'!H:H,'3.5.clean'!A:A=C355),"""")"),1.0)</f>
        <v>1</v>
      </c>
      <c r="T355" s="1"/>
      <c r="V355" s="1" t="s">
        <v>64</v>
      </c>
      <c r="W355" s="23" t="b">
        <f>if(AND(R355=TRUE,N355=TRUE,P355=TRUE),TRUE,FALSE)</f>
        <v>0</v>
      </c>
      <c r="X355" s="23" t="str">
        <f>IFERROR(__xludf.DUMMYFUNCTION("if(COUNTA(FILTER(C:C, C:C = C355))=1,""no"",""yes"")"),"no")</f>
        <v>no</v>
      </c>
    </row>
    <row r="356">
      <c r="A356" s="75" t="s">
        <v>451</v>
      </c>
      <c r="B356" s="28">
        <v>4.0</v>
      </c>
      <c r="C356" s="27" t="s">
        <v>1059</v>
      </c>
      <c r="D356" s="24"/>
      <c r="E356" s="24">
        <f>IFERROR(__xludf.DUMMYFUNCTION("ifna(IFNA(filter('2.1.clean'!C:C,'2.1.clean'!A:A=C356),filter('2.2.clean'!E:E,'2.2.clean'!D:D=C356)),filter('2.4.clean'!C:C,'2.4.clean'!A:A=C356))"),43684.0)</f>
        <v>43684</v>
      </c>
      <c r="F356" s="25">
        <f>IFERROR(__xludf.DUMMYFUNCTION("iferror(ifna(IFNA(filter('2.1.clean'!E:E,'2.1.clean'!A:A=C356),filter('2.2.clean'!G:G,'2.2.clean'!D:D=C356)),filter('2.4.clean'!E:E,'2.4.clean'!A:A=C356)),)"),2.1)</f>
        <v>2.1</v>
      </c>
      <c r="G356" s="24">
        <f>IFERROR(__xludf.DUMMYFUNCTION("iferror(filter('3.1.clean'!C:C,'3.1.clean'!A:A=C356),"""")"),43684.0)</f>
        <v>43684</v>
      </c>
      <c r="H356" s="23" t="b">
        <f t="shared" ref="H356:H357" si="218">if(G356="",FALSE,TRUE)</f>
        <v>1</v>
      </c>
      <c r="J356" s="25"/>
      <c r="K356" s="24" t="str">
        <f>IFERROR(__xludf.DUMMYFUNCTION("iferror(filter('3.2.clean'!C:C,'3.2.clean'!A:A=C356),"""")"),"")</f>
        <v/>
      </c>
      <c r="L356" s="25" t="b">
        <f t="shared" ref="L356:L357" si="219">if(K356="",FALSE,TRUE)</f>
        <v>0</v>
      </c>
      <c r="M356" s="24" t="str">
        <f>IFERROR(__xludf.DUMMYFUNCTION("iferror(filter('3.3.clean'!C:C,'3.3.clean'!A:A=C356),"""")"),"")</f>
        <v/>
      </c>
      <c r="N356" s="25" t="b">
        <f t="shared" si="213"/>
        <v>0</v>
      </c>
      <c r="O356" s="24" t="str">
        <f>IFERROR(__xludf.DUMMYFUNCTION("iferror(filter('3.4.clean'!C:C,'3.4.clean'!A:A=C356),"""")"),"")</f>
        <v/>
      </c>
      <c r="P356" s="25" t="b">
        <f t="shared" si="214"/>
        <v>0</v>
      </c>
      <c r="Q356" s="24" t="str">
        <f>IFERROR(__xludf.DUMMYFUNCTION("iferror(filter('3.5.clean'!C:C,'3.5.clean'!A:A=C356),"""")"),"")</f>
        <v/>
      </c>
      <c r="R356" s="23" t="b">
        <f t="shared" si="215"/>
        <v>0</v>
      </c>
      <c r="S356" s="25"/>
      <c r="U356" s="1" t="s">
        <v>1024</v>
      </c>
      <c r="V356" s="1" t="s">
        <v>83</v>
      </c>
      <c r="W356" s="23" t="b">
        <f>IF(and(H356=TRUE,L356=TRUE,N356=TRUE,P356=TRUE),TRUE,FALSE)</f>
        <v>0</v>
      </c>
      <c r="X356" s="23" t="str">
        <f>IFERROR(__xludf.DUMMYFUNCTION("if(COUNTA(FILTER(C:C, C:C = C356))=1,""no"",""yes"")"),"no")</f>
        <v>no</v>
      </c>
    </row>
    <row r="357">
      <c r="A357" s="75" t="s">
        <v>451</v>
      </c>
      <c r="B357" s="19">
        <v>5.0</v>
      </c>
      <c r="C357" s="19" t="s">
        <v>1061</v>
      </c>
      <c r="D357" s="58" t="str">
        <f t="shared" ref="D357:D360" si="220">if(or(I357=1,J357=1,S357=1),"pos","")</f>
        <v>pos</v>
      </c>
      <c r="E357" s="59">
        <f>IFERROR(__xludf.DUMMYFUNCTION("ifna(IFNA(filter('2.1.clean'!C:C,'2.1.clean'!A:A=C357),filter('2.2.clean'!E:E,'2.2.clean'!D:D=C357)),filter('2.4.clean'!C:C,'2.4.clean'!A:A=C357))"),43684.0)</f>
        <v>43684</v>
      </c>
      <c r="F357" s="60">
        <f>IFERROR(__xludf.DUMMYFUNCTION("iferror(ifna(IFNA(filter('2.1.clean'!E:E,'2.1.clean'!A:A=C357),filter('2.2.clean'!G:G,'2.2.clean'!D:D=C357)),filter('2.4.clean'!E:E,'2.4.clean'!A:A=C357)),)"),2.1)</f>
        <v>2.1</v>
      </c>
      <c r="G357" s="59">
        <f>IFERROR(__xludf.DUMMYFUNCTION("iferror(filter('3.1.clean'!C:C,'3.1.clean'!A:A=C357),"""")"),43684.0)</f>
        <v>43684</v>
      </c>
      <c r="H357" s="58" t="b">
        <f t="shared" si="218"/>
        <v>1</v>
      </c>
      <c r="I357" s="58">
        <f>IFERROR(__xludf.DUMMYFUNCTION("iferror(filter('3.1.clean'!G:G,'3.1.clean'!A:A=C357),"""")"),0.0)</f>
        <v>0</v>
      </c>
      <c r="J357" s="60">
        <f>IFERROR(__xludf.DUMMYFUNCTION("iferror(filter('3.1.clean'!I:I,'3.1.clean'!A:A=C357),"""")"),1.0)</f>
        <v>1</v>
      </c>
      <c r="K357" s="58" t="str">
        <f>IFERROR(__xludf.DUMMYFUNCTION("iferror(filter('3.2.clean'!C:C,'3.2.clean'!A:A=C357),"""")"),"")</f>
        <v/>
      </c>
      <c r="L357" s="60" t="b">
        <f t="shared" si="219"/>
        <v>0</v>
      </c>
      <c r="M357" s="59" t="str">
        <f>IFERROR(__xludf.DUMMYFUNCTION("iferror(filter('3.3.clean'!C:C,'3.3.clean'!A:A=C357),"""")"),"")</f>
        <v/>
      </c>
      <c r="N357" s="60" t="b">
        <f t="shared" si="213"/>
        <v>0</v>
      </c>
      <c r="O357" s="59" t="str">
        <f>IFERROR(__xludf.DUMMYFUNCTION("iferror(filter('3.4.clean'!C:C,'3.4.clean'!A:A=C357),"""")"),"")</f>
        <v/>
      </c>
      <c r="P357" s="60" t="b">
        <f t="shared" si="214"/>
        <v>0</v>
      </c>
      <c r="Q357" s="59" t="str">
        <f>IFERROR(__xludf.DUMMYFUNCTION("iferror(filter('3.5.clean'!C:C,'3.5.clean'!A:A=C357),"""")"),"")</f>
        <v/>
      </c>
      <c r="R357" s="58" t="b">
        <f t="shared" si="215"/>
        <v>0</v>
      </c>
      <c r="S357" s="4" t="str">
        <f>IFERROR(__xludf.DUMMYFUNCTION("iferror(filter('3.5.clean'!H:H,'3.5.clean'!A:A=C357),"""")"),"")</f>
        <v/>
      </c>
      <c r="U357" s="1" t="s">
        <v>180</v>
      </c>
      <c r="V357" s="1" t="s">
        <v>83</v>
      </c>
      <c r="W357" s="23" t="b">
        <f>if(AND(H357=TRUE,N357=TRUE,P357=TRUE),TRUE,FALSE)</f>
        <v>0</v>
      </c>
      <c r="X357" s="23" t="str">
        <f>IFERROR(__xludf.DUMMYFUNCTION("if(COUNTA(FILTER(C:C, C:C = C357))=1,""no"",""yes"")"),"no")</f>
        <v>no</v>
      </c>
    </row>
    <row r="358">
      <c r="A358" s="75" t="s">
        <v>451</v>
      </c>
      <c r="B358" s="19">
        <v>6.0</v>
      </c>
      <c r="C358" s="19" t="s">
        <v>1062</v>
      </c>
      <c r="D358" s="58" t="str">
        <f t="shared" si="220"/>
        <v>pos</v>
      </c>
      <c r="E358" s="59">
        <f>Q358</f>
        <v>43684</v>
      </c>
      <c r="F358" s="60" t="str">
        <f>IFERROR(__xludf.DUMMYFUNCTION("iferror(ifna(IFNA(filter('2.1.clean'!E:E,'2.1.clean'!A:A=C358),filter('2.2.clean'!G:G,'2.2.clean'!D:D=C358)),filter('2.4.clean'!E:E,'2.4.clean'!A:A=C358)),)"),"")</f>
        <v/>
      </c>
      <c r="G358" s="59" t="str">
        <f>IFERROR(__xludf.DUMMYFUNCTION("iferror(filter('3.1.clean'!C:C,'3.1.clean'!A:A=C358),"""")"),"")</f>
        <v/>
      </c>
      <c r="H358" s="58"/>
      <c r="I358" s="58"/>
      <c r="J358" s="60"/>
      <c r="K358" s="58"/>
      <c r="L358" s="60"/>
      <c r="M358" s="59" t="str">
        <f>IFERROR(__xludf.DUMMYFUNCTION("iferror(filter('3.3.clean'!C:C,'3.3.clean'!A:A=C358),"""")"),"")</f>
        <v/>
      </c>
      <c r="N358" s="60" t="b">
        <f t="shared" si="213"/>
        <v>0</v>
      </c>
      <c r="O358" s="59" t="str">
        <f>IFERROR(__xludf.DUMMYFUNCTION("iferror(filter('3.4.clean'!C:C,'3.4.clean'!A:A=C358),"""")"),"")</f>
        <v/>
      </c>
      <c r="P358" s="60" t="b">
        <f t="shared" si="214"/>
        <v>0</v>
      </c>
      <c r="Q358" s="59">
        <f>IFERROR(__xludf.DUMMYFUNCTION("iferror(filter('3.5.clean'!C:C,'3.5.clean'!A:A=C358),"""")"),43684.0)</f>
        <v>43684</v>
      </c>
      <c r="R358" s="58" t="b">
        <f t="shared" si="215"/>
        <v>1</v>
      </c>
      <c r="S358" s="4">
        <f>IFERROR(__xludf.DUMMYFUNCTION("iferror(filter('3.5.clean'!H:H,'3.5.clean'!A:A=C358),"""")"),1.0)</f>
        <v>1</v>
      </c>
      <c r="U358" s="23"/>
      <c r="V358" s="1" t="s">
        <v>64</v>
      </c>
      <c r="W358" s="23" t="b">
        <f>if(AND(R358=TRUE,N358=TRUE,P358=TRUE),TRUE,FALSE)</f>
        <v>0</v>
      </c>
      <c r="X358" s="23" t="str">
        <f>IFERROR(__xludf.DUMMYFUNCTION("if(COUNTA(FILTER(C:C, C:C = C358))=1,""no"",""yes"")"),"no")</f>
        <v>no</v>
      </c>
    </row>
    <row r="359">
      <c r="A359" s="75" t="s">
        <v>451</v>
      </c>
      <c r="B359" s="19">
        <v>7.0</v>
      </c>
      <c r="C359" s="19" t="s">
        <v>1064</v>
      </c>
      <c r="D359" s="76" t="str">
        <f t="shared" si="220"/>
        <v/>
      </c>
      <c r="E359" s="77">
        <f>G359</f>
        <v>43684</v>
      </c>
      <c r="F359" s="78" t="str">
        <f>IFERROR(__xludf.DUMMYFUNCTION("iferror(ifna(IFNA(filter('2.1.clean'!E:E,'2.1.clean'!A:A=C359),filter('2.2.clean'!G:G,'2.2.clean'!D:D=C359)),filter('2.4.clean'!E:E,'2.4.clean'!A:A=C359)),)"),"")</f>
        <v/>
      </c>
      <c r="G359" s="77">
        <f>IFERROR(__xludf.DUMMYFUNCTION("iferror(filter('3.1.clean'!C:C,'3.1.clean'!A:A=C359),"""")"),43684.0)</f>
        <v>43684</v>
      </c>
      <c r="H359" s="76" t="b">
        <f>if(G359="",FALSE,TRUE)</f>
        <v>1</v>
      </c>
      <c r="I359" s="76">
        <f>IFERROR(__xludf.DUMMYFUNCTION("iferror(filter('3.1.clean'!G:G,'3.1.clean'!A:A=C359),"""")"),0.0)</f>
        <v>0</v>
      </c>
      <c r="J359" s="78">
        <f>IFERROR(__xludf.DUMMYFUNCTION("iferror(filter('3.1.clean'!I:I,'3.1.clean'!A:A=C359),"""")"),0.0)</f>
        <v>0</v>
      </c>
      <c r="K359" s="77"/>
      <c r="L359" s="78"/>
      <c r="M359" s="77"/>
      <c r="N359" s="78"/>
      <c r="O359" s="77"/>
      <c r="P359" s="78"/>
      <c r="Q359" s="77"/>
      <c r="R359" s="76"/>
      <c r="S359" s="25"/>
      <c r="T359" s="1"/>
      <c r="V359" s="1" t="s">
        <v>83</v>
      </c>
      <c r="W359" s="1" t="b">
        <v>1</v>
      </c>
      <c r="X359" s="23" t="str">
        <f>IFERROR(__xludf.DUMMYFUNCTION("if(COUNTA(FILTER(C:C, C:C = C359))=1,""no"",""yes"")"),"no")</f>
        <v>no</v>
      </c>
    </row>
    <row r="360">
      <c r="A360" s="75" t="s">
        <v>451</v>
      </c>
      <c r="B360" s="19">
        <v>8.0</v>
      </c>
      <c r="C360" s="19" t="s">
        <v>1065</v>
      </c>
      <c r="D360" s="22" t="str">
        <f t="shared" si="220"/>
        <v/>
      </c>
      <c r="E360" s="20">
        <f>Q360</f>
        <v>43684</v>
      </c>
      <c r="F360" s="79" t="str">
        <f>IFERROR(__xludf.DUMMYFUNCTION("iferror(ifna(IFNA(filter('2.1.clean'!E:E,'2.1.clean'!A:A=C360),filter('2.2.clean'!G:G,'2.2.clean'!D:D=C360)),filter('2.4.clean'!E:E,'2.4.clean'!A:A=C360)),)"),"")</f>
        <v/>
      </c>
      <c r="G360" s="20" t="str">
        <f>IFERROR(__xludf.DUMMYFUNCTION("iferror(filter('3.1.clean'!C:C,'3.1.clean'!A:A=C360),"""")"),"")</f>
        <v/>
      </c>
      <c r="H360" s="22"/>
      <c r="I360" s="22"/>
      <c r="J360" s="79"/>
      <c r="K360" s="20" t="str">
        <f>IFERROR(__xludf.DUMMYFUNCTION("iferror(filter('3.2.clean'!C:C,'3.2.clean'!A:A=C360),"""")"),"")</f>
        <v/>
      </c>
      <c r="L360" s="79"/>
      <c r="M360" s="20">
        <f>IFERROR(__xludf.DUMMYFUNCTION("iferror(filter('3.3.clean'!C:C,'3.3.clean'!A:A=C360),"""")"),43686.0)</f>
        <v>43686</v>
      </c>
      <c r="N360" s="79" t="b">
        <f t="shared" ref="N360:N367" si="221">if(M360="",FALSE,TRUE)</f>
        <v>1</v>
      </c>
      <c r="O360" s="20" t="str">
        <f>IFERROR(__xludf.DUMMYFUNCTION("iferror(filter('3.4.clean'!C:C,'3.4.clean'!A:A=C360),"""")"),"")</f>
        <v/>
      </c>
      <c r="P360" s="79" t="b">
        <f t="shared" ref="P360:P367" si="222">if(O360="",FALSE,TRUE)</f>
        <v>0</v>
      </c>
      <c r="Q360" s="20">
        <f>IFERROR(__xludf.DUMMYFUNCTION("iferror(filter('3.5.clean'!C:C,'3.5.clean'!A:A=C360),"""")"),43684.0)</f>
        <v>43684</v>
      </c>
      <c r="R360" s="22" t="b">
        <f t="shared" ref="R360:R367" si="223">if(Q360="",FALSE,TRUE)</f>
        <v>1</v>
      </c>
      <c r="S360" s="4">
        <f>IFERROR(__xludf.DUMMYFUNCTION("iferror(filter('3.5.clean'!H:H,'3.5.clean'!A:A=C360),"""")"),0.0)</f>
        <v>0</v>
      </c>
      <c r="V360" s="1" t="s">
        <v>64</v>
      </c>
      <c r="W360" s="23" t="b">
        <f t="shared" ref="W360:W364" si="224">IF(and(R360=TRUE,N360=TRUE,P360=TRUE),TRUE,FALSE)</f>
        <v>0</v>
      </c>
      <c r="X360" s="23" t="str">
        <f>IFERROR(__xludf.DUMMYFUNCTION("if(COUNTA(FILTER(C:C, C:C = C360))=1,""no"",""yes"")"),"no")</f>
        <v>no</v>
      </c>
    </row>
    <row r="361">
      <c r="A361" s="1" t="s">
        <v>455</v>
      </c>
      <c r="B361" s="2">
        <v>1.0</v>
      </c>
      <c r="C361" s="19" t="s">
        <v>1066</v>
      </c>
      <c r="E361" s="24">
        <f>IFERROR(__xludf.DUMMYFUNCTION("ifna(IFNA(filter('2.1.clean'!C:C,'2.1.clean'!A:A=C361),filter('2.2.clean'!E:E,'2.2.clean'!D:D=C361)),filter('2.4.clean'!C:C,'2.4.clean'!A:A=C361))"),43685.0)</f>
        <v>43685</v>
      </c>
      <c r="F361" s="25">
        <f>IFERROR(__xludf.DUMMYFUNCTION("iferror(ifna(IFNA(filter('2.1.clean'!E:E,'2.1.clean'!A:A=C361),filter('2.2.clean'!G:G,'2.2.clean'!D:D=C361)),filter('2.4.clean'!E:E,'2.4.clean'!A:A=C361)),)"),2.4)</f>
        <v>2.4</v>
      </c>
      <c r="G361" s="24"/>
      <c r="J361" s="25"/>
      <c r="K361" s="24"/>
      <c r="L361" s="25"/>
      <c r="M361" s="24">
        <f>IFERROR(__xludf.DUMMYFUNCTION("iferror(filter('3.3.clean'!C:C,'3.3.clean'!A:A=C361),"""")"),43690.0)</f>
        <v>43690</v>
      </c>
      <c r="N361" s="25" t="b">
        <f t="shared" si="221"/>
        <v>1</v>
      </c>
      <c r="O361" s="24">
        <f>IFERROR(__xludf.DUMMYFUNCTION("iferror(filter('3.4.clean'!C:C,'3.4.clean'!A:A=C361),"""")"),43721.0)</f>
        <v>43721</v>
      </c>
      <c r="P361" s="25" t="b">
        <f t="shared" si="222"/>
        <v>1</v>
      </c>
      <c r="Q361" s="24">
        <f>IFERROR(__xludf.DUMMYFUNCTION("iferror(filter('3.5.clean'!C:C,'3.5.clean'!A:A=C361),"""")"),43685.0)</f>
        <v>43685</v>
      </c>
      <c r="R361" s="23" t="b">
        <f t="shared" si="223"/>
        <v>1</v>
      </c>
      <c r="S361" s="25"/>
      <c r="V361" s="1" t="s">
        <v>64</v>
      </c>
      <c r="W361" s="23" t="b">
        <f t="shared" si="224"/>
        <v>1</v>
      </c>
      <c r="X361" s="23" t="str">
        <f>IFERROR(__xludf.DUMMYFUNCTION("if(COUNTA(FILTER(C:C, C:C = C361))=1,""no"",""yes"")"),"no")</f>
        <v>no</v>
      </c>
    </row>
    <row r="362">
      <c r="A362" s="1" t="s">
        <v>455</v>
      </c>
      <c r="B362" s="2">
        <v>2.0</v>
      </c>
      <c r="C362" s="19" t="s">
        <v>1068</v>
      </c>
      <c r="E362" s="24">
        <f>IFERROR(__xludf.DUMMYFUNCTION("ifna(IFNA(filter('2.1.clean'!C:C,'2.1.clean'!A:A=C362),filter('2.2.clean'!E:E,'2.2.clean'!D:D=C362)),filter('2.4.clean'!C:C,'2.4.clean'!A:A=C362))"),43685.0)</f>
        <v>43685</v>
      </c>
      <c r="F362" s="25">
        <f>IFERROR(__xludf.DUMMYFUNCTION("iferror(ifna(IFNA(filter('2.1.clean'!E:E,'2.1.clean'!A:A=C362),filter('2.2.clean'!G:G,'2.2.clean'!D:D=C362)),filter('2.4.clean'!E:E,'2.4.clean'!A:A=C362)),)"),2.4)</f>
        <v>2.4</v>
      </c>
      <c r="G362" s="24"/>
      <c r="J362" s="25"/>
      <c r="K362" s="24"/>
      <c r="L362" s="25"/>
      <c r="M362" s="24">
        <f>IFERROR(__xludf.DUMMYFUNCTION("iferror(filter('3.3.clean'!C:C,'3.3.clean'!A:A=C362),"""")"),43690.0)</f>
        <v>43690</v>
      </c>
      <c r="N362" s="25" t="b">
        <f t="shared" si="221"/>
        <v>1</v>
      </c>
      <c r="O362" s="24">
        <f>IFERROR(__xludf.DUMMYFUNCTION("iferror(filter('3.4.clean'!C:C,'3.4.clean'!A:A=C362),"""")"),43721.0)</f>
        <v>43721</v>
      </c>
      <c r="P362" s="25" t="b">
        <f t="shared" si="222"/>
        <v>1</v>
      </c>
      <c r="Q362" s="24">
        <f>IFERROR(__xludf.DUMMYFUNCTION("iferror(filter('3.5.clean'!C:C,'3.5.clean'!A:A=C362),"""")"),43685.0)</f>
        <v>43685</v>
      </c>
      <c r="R362" s="23" t="b">
        <f t="shared" si="223"/>
        <v>1</v>
      </c>
      <c r="S362" s="25"/>
      <c r="V362" s="1" t="s">
        <v>64</v>
      </c>
      <c r="W362" s="23" t="b">
        <f t="shared" si="224"/>
        <v>1</v>
      </c>
      <c r="X362" s="23" t="str">
        <f>IFERROR(__xludf.DUMMYFUNCTION("if(COUNTA(FILTER(C:C, C:C = C362))=1,""no"",""yes"")"),"no")</f>
        <v>no</v>
      </c>
    </row>
    <row r="363">
      <c r="A363" s="1" t="s">
        <v>455</v>
      </c>
      <c r="B363" s="28">
        <v>3.0</v>
      </c>
      <c r="C363" s="27" t="s">
        <v>1069</v>
      </c>
      <c r="E363" s="24">
        <f>IFERROR(__xludf.DUMMYFUNCTION("ifna(IFNA(filter('2.1.clean'!C:C,'2.1.clean'!A:A=C363),filter('2.2.clean'!E:E,'2.2.clean'!D:D=C363)),filter('2.4.clean'!C:C,'2.4.clean'!A:A=C363))"),43685.0)</f>
        <v>43685</v>
      </c>
      <c r="F363" s="25">
        <f>IFERROR(__xludf.DUMMYFUNCTION("iferror(ifna(IFNA(filter('2.1.clean'!E:E,'2.1.clean'!A:A=C363),filter('2.2.clean'!G:G,'2.2.clean'!D:D=C363)),filter('2.4.clean'!E:E,'2.4.clean'!A:A=C363)),)"),2.4)</f>
        <v>2.4</v>
      </c>
      <c r="G363" s="24"/>
      <c r="J363" s="25"/>
      <c r="K363" s="24"/>
      <c r="L363" s="25"/>
      <c r="M363" s="24">
        <f>IFERROR(__xludf.DUMMYFUNCTION("iferror(filter('3.3.clean'!C:C,'3.3.clean'!A:A=C363),"""")"),43690.0)</f>
        <v>43690</v>
      </c>
      <c r="N363" s="25" t="b">
        <f t="shared" si="221"/>
        <v>1</v>
      </c>
      <c r="O363" s="24">
        <f>IFERROR(__xludf.DUMMYFUNCTION("iferror(filter('3.4.clean'!C:C,'3.4.clean'!A:A=C363),"""")"),43721.0)</f>
        <v>43721</v>
      </c>
      <c r="P363" s="25" t="b">
        <f t="shared" si="222"/>
        <v>1</v>
      </c>
      <c r="Q363" s="24">
        <f>IFERROR(__xludf.DUMMYFUNCTION("iferror(filter('3.5.clean'!C:C,'3.5.clean'!A:A=C363),"""")"),43685.0)</f>
        <v>43685</v>
      </c>
      <c r="R363" s="23" t="b">
        <f t="shared" si="223"/>
        <v>1</v>
      </c>
      <c r="S363" s="25"/>
      <c r="V363" s="1" t="s">
        <v>64</v>
      </c>
      <c r="W363" s="23" t="b">
        <f t="shared" si="224"/>
        <v>1</v>
      </c>
      <c r="X363" s="23" t="str">
        <f>IFERROR(__xludf.DUMMYFUNCTION("if(COUNTA(FILTER(C:C, C:C = C363))=1,""no"",""yes"")"),"no")</f>
        <v>no</v>
      </c>
    </row>
    <row r="364">
      <c r="A364" s="1" t="s">
        <v>455</v>
      </c>
      <c r="B364" s="28">
        <v>4.0</v>
      </c>
      <c r="C364" s="27" t="s">
        <v>1070</v>
      </c>
      <c r="E364" s="24">
        <f>IFERROR(__xludf.DUMMYFUNCTION("ifna(IFNA(filter('2.1.clean'!C:C,'2.1.clean'!A:A=C364),filter('2.2.clean'!E:E,'2.2.clean'!D:D=C364)),filter('2.4.clean'!C:C,'2.4.clean'!A:A=C364))"),43685.0)</f>
        <v>43685</v>
      </c>
      <c r="F364" s="25">
        <f>IFERROR(__xludf.DUMMYFUNCTION("iferror(ifna(IFNA(filter('2.1.clean'!E:E,'2.1.clean'!A:A=C364),filter('2.2.clean'!G:G,'2.2.clean'!D:D=C364)),filter('2.4.clean'!E:E,'2.4.clean'!A:A=C364)),)"),2.4)</f>
        <v>2.4</v>
      </c>
      <c r="G364" s="24"/>
      <c r="J364" s="25"/>
      <c r="K364" s="24"/>
      <c r="L364" s="25"/>
      <c r="M364" s="24">
        <f>IFERROR(__xludf.DUMMYFUNCTION("iferror(filter('3.3.clean'!C:C,'3.3.clean'!A:A=C364),"""")"),43690.0)</f>
        <v>43690</v>
      </c>
      <c r="N364" s="25" t="b">
        <f t="shared" si="221"/>
        <v>1</v>
      </c>
      <c r="O364" s="24">
        <f>IFERROR(__xludf.DUMMYFUNCTION("iferror(filter('3.4.clean'!C:C,'3.4.clean'!A:A=C364),"""")"),43721.0)</f>
        <v>43721</v>
      </c>
      <c r="P364" s="25" t="b">
        <f t="shared" si="222"/>
        <v>1</v>
      </c>
      <c r="Q364" s="24">
        <f>IFERROR(__xludf.DUMMYFUNCTION("iferror(filter('3.5.clean'!C:C,'3.5.clean'!A:A=C364),"""")"),43685.0)</f>
        <v>43685</v>
      </c>
      <c r="R364" s="23" t="b">
        <f t="shared" si="223"/>
        <v>1</v>
      </c>
      <c r="S364" s="25"/>
      <c r="V364" s="1" t="s">
        <v>64</v>
      </c>
      <c r="W364" s="23" t="b">
        <f t="shared" si="224"/>
        <v>1</v>
      </c>
      <c r="X364" s="23" t="str">
        <f>IFERROR(__xludf.DUMMYFUNCTION("if(COUNTA(FILTER(C:C, C:C = C364))=1,""no"",""yes"")"),"no")</f>
        <v>no</v>
      </c>
    </row>
    <row r="365">
      <c r="A365" s="1" t="s">
        <v>455</v>
      </c>
      <c r="B365" s="19">
        <v>5.0</v>
      </c>
      <c r="C365" s="19" t="s">
        <v>1071</v>
      </c>
      <c r="D365" s="58" t="str">
        <f t="shared" ref="D365:D366" si="225">if(or(I365=1,J365=1,S365=1),"pos","")</f>
        <v/>
      </c>
      <c r="E365" s="59">
        <f>IFERROR(__xludf.DUMMYFUNCTION("ifna(IFNA(filter('2.1.clean'!C:C,'2.1.clean'!A:A=C365),filter('2.2.clean'!E:E,'2.2.clean'!D:D=C365)),filter('2.4.clean'!C:C,'2.4.clean'!A:A=C365))"),43685.0)</f>
        <v>43685</v>
      </c>
      <c r="F365" s="60">
        <f>IFERROR(__xludf.DUMMYFUNCTION("iferror(ifna(IFNA(filter('2.1.clean'!E:E,'2.1.clean'!A:A=C365),filter('2.2.clean'!G:G,'2.2.clean'!D:D=C365)),filter('2.4.clean'!E:E,'2.4.clean'!A:A=C365)),)"),2.4)</f>
        <v>2.4</v>
      </c>
      <c r="G365" s="59">
        <f>IFERROR(__xludf.DUMMYFUNCTION("iferror(filter('3.1.clean'!C:C,'3.1.clean'!A:A=C365),"""")"),43685.0)</f>
        <v>43685</v>
      </c>
      <c r="H365" s="58" t="b">
        <f>if(G365="",FALSE,TRUE)</f>
        <v>1</v>
      </c>
      <c r="I365" s="58">
        <f>IFERROR(__xludf.DUMMYFUNCTION("iferror(filter('3.1.clean'!G:G,'3.1.clean'!A:A=C365),"""")"),0.0)</f>
        <v>0</v>
      </c>
      <c r="J365" s="60">
        <f>IFERROR(__xludf.DUMMYFUNCTION("iferror(filter('3.1.clean'!I:I,'3.1.clean'!A:A=C365),"""")"),0.0)</f>
        <v>0</v>
      </c>
      <c r="K365" s="58"/>
      <c r="L365" s="60"/>
      <c r="M365" s="59">
        <f>IFERROR(__xludf.DUMMYFUNCTION("iferror(filter('3.3.clean'!C:C,'3.3.clean'!A:A=C365),"""")"),43690.0)</f>
        <v>43690</v>
      </c>
      <c r="N365" s="60" t="b">
        <f t="shared" si="221"/>
        <v>1</v>
      </c>
      <c r="O365" s="59" t="str">
        <f>IFERROR(__xludf.DUMMYFUNCTION("iferror(filter('3.4.clean'!C:C,'3.4.clean'!A:A=C365),"""")"),"")</f>
        <v/>
      </c>
      <c r="P365" s="60" t="b">
        <f t="shared" si="222"/>
        <v>0</v>
      </c>
      <c r="Q365" s="59" t="str">
        <f>IFERROR(__xludf.DUMMYFUNCTION("iferror(filter('3.5.clean'!C:C,'3.5.clean'!A:A=C365),"""")"),"")</f>
        <v/>
      </c>
      <c r="R365" s="58" t="b">
        <f t="shared" si="223"/>
        <v>0</v>
      </c>
      <c r="S365" s="4" t="str">
        <f>IFERROR(__xludf.DUMMYFUNCTION("iferror(filter('3.5.clean'!H:H,'3.5.clean'!A:A=C365),"""")"),"")</f>
        <v/>
      </c>
      <c r="U365" s="23"/>
      <c r="V365" s="1" t="s">
        <v>64</v>
      </c>
      <c r="W365" s="23" t="b">
        <f>if(AND(H365=TRUE,N365=TRUE,P365=TRUE),TRUE,FALSE)</f>
        <v>0</v>
      </c>
      <c r="X365" s="23" t="str">
        <f>IFERROR(__xludf.DUMMYFUNCTION("if(COUNTA(FILTER(C:C, C:C = C365))=1,""no"",""yes"")"),"no")</f>
        <v>no</v>
      </c>
    </row>
    <row r="366">
      <c r="A366" s="1" t="s">
        <v>455</v>
      </c>
      <c r="B366" s="19">
        <v>6.0</v>
      </c>
      <c r="C366" s="19" t="s">
        <v>1073</v>
      </c>
      <c r="D366" s="58" t="str">
        <f t="shared" si="225"/>
        <v/>
      </c>
      <c r="E366" s="59">
        <f>Q366</f>
        <v>43685</v>
      </c>
      <c r="F366" s="60" t="str">
        <f>IFERROR(__xludf.DUMMYFUNCTION("iferror(ifna(IFNA(filter('2.1.clean'!E:E,'2.1.clean'!A:A=C366),filter('2.2.clean'!G:G,'2.2.clean'!D:D=C366)),filter('2.4.clean'!E:E,'2.4.clean'!A:A=C366)),)"),"")</f>
        <v/>
      </c>
      <c r="G366" s="59" t="str">
        <f>IFERROR(__xludf.DUMMYFUNCTION("iferror(filter('3.1.clean'!C:C,'3.1.clean'!A:A=C366),"""")"),"")</f>
        <v/>
      </c>
      <c r="H366" s="58"/>
      <c r="I366" s="58"/>
      <c r="J366" s="60"/>
      <c r="K366" s="58"/>
      <c r="L366" s="60"/>
      <c r="M366" s="59" t="str">
        <f>IFERROR(__xludf.DUMMYFUNCTION("iferror(filter('3.3.clean'!C:C,'3.3.clean'!A:A=C366),"""")"),"")</f>
        <v/>
      </c>
      <c r="N366" s="60" t="b">
        <f t="shared" si="221"/>
        <v>0</v>
      </c>
      <c r="O366" s="59">
        <f>IFERROR(__xludf.DUMMYFUNCTION("iferror(filter('3.4.clean'!C:C,'3.4.clean'!A:A=C366),"""")"),43721.0)</f>
        <v>43721</v>
      </c>
      <c r="P366" s="60" t="b">
        <f t="shared" si="222"/>
        <v>1</v>
      </c>
      <c r="Q366" s="59">
        <f>IFERROR(__xludf.DUMMYFUNCTION("iferror(filter('3.5.clean'!C:C,'3.5.clean'!A:A=C366),"""")"),43685.0)</f>
        <v>43685</v>
      </c>
      <c r="R366" s="58" t="b">
        <f t="shared" si="223"/>
        <v>1</v>
      </c>
      <c r="S366" s="4">
        <f>IFERROR(__xludf.DUMMYFUNCTION("iferror(filter('3.5.clean'!H:H,'3.5.clean'!A:A=C366),"""")"),0.0)</f>
        <v>0</v>
      </c>
      <c r="U366" s="23"/>
      <c r="V366" s="1" t="s">
        <v>64</v>
      </c>
      <c r="W366" s="23" t="b">
        <f>if(AND(R366=TRUE,N366=TRUE,P366=TRUE),TRUE,FALSE)</f>
        <v>0</v>
      </c>
      <c r="X366" s="23" t="str">
        <f>IFERROR(__xludf.DUMMYFUNCTION("if(COUNTA(FILTER(C:C, C:C = C366))=1,""no"",""yes"")"),"no")</f>
        <v>no</v>
      </c>
    </row>
    <row r="367">
      <c r="A367" s="1" t="s">
        <v>455</v>
      </c>
      <c r="B367" s="28">
        <v>7.0</v>
      </c>
      <c r="C367" s="27" t="s">
        <v>1074</v>
      </c>
      <c r="D367" s="24"/>
      <c r="E367" s="24">
        <f>IFERROR(__xludf.DUMMYFUNCTION("ifna(IFNA(filter('2.1.clean'!C:C,'2.1.clean'!A:A=C367),filter('2.2.clean'!E:E,'2.2.clean'!D:D=C367)),filter('2.4.clean'!C:C,'2.4.clean'!A:A=C367))"),43685.0)</f>
        <v>43685</v>
      </c>
      <c r="F367" s="25">
        <f>IFERROR(__xludf.DUMMYFUNCTION("iferror(ifna(IFNA(filter('2.1.clean'!E:E,'2.1.clean'!A:A=C367),filter('2.2.clean'!G:G,'2.2.clean'!D:D=C367)),filter('2.4.clean'!E:E,'2.4.clean'!A:A=C367)),)"),2.1)</f>
        <v>2.1</v>
      </c>
      <c r="G367" s="24">
        <f>IFERROR(__xludf.DUMMYFUNCTION("iferror(filter('3.1.clean'!C:C,'3.1.clean'!A:A=C367),"""")"),43685.0)</f>
        <v>43685</v>
      </c>
      <c r="H367" s="23" t="b">
        <f t="shared" ref="H367:H368" si="226">if(G367="",FALSE,TRUE)</f>
        <v>1</v>
      </c>
      <c r="J367" s="25"/>
      <c r="K367" s="24">
        <f>IFERROR(__xludf.DUMMYFUNCTION("iferror(filter('3.2.clean'!C:C,'3.2.clean'!A:A=C367),"""")"),43685.0)</f>
        <v>43685</v>
      </c>
      <c r="L367" s="25" t="b">
        <f>if(K367="",FALSE,TRUE)</f>
        <v>1</v>
      </c>
      <c r="M367" s="24">
        <f>IFERROR(__xludf.DUMMYFUNCTION("iferror(filter('3.3.clean'!C:C,'3.3.clean'!A:A=C367),"""")"),43690.0)</f>
        <v>43690</v>
      </c>
      <c r="N367" s="25" t="b">
        <f t="shared" si="221"/>
        <v>1</v>
      </c>
      <c r="O367" s="24">
        <f>IFERROR(__xludf.DUMMYFUNCTION("iferror(filter('3.4.clean'!C:C,'3.4.clean'!A:A=C367),"""")"),43721.0)</f>
        <v>43721</v>
      </c>
      <c r="P367" s="25" t="b">
        <f t="shared" si="222"/>
        <v>1</v>
      </c>
      <c r="Q367" s="24" t="str">
        <f>IFERROR(__xludf.DUMMYFUNCTION("iferror(filter('3.5.clean'!C:C,'3.5.clean'!A:A=C367),"""")"),"")</f>
        <v/>
      </c>
      <c r="R367" s="23" t="b">
        <f t="shared" si="223"/>
        <v>0</v>
      </c>
      <c r="S367" s="25"/>
      <c r="U367" s="23"/>
      <c r="V367" s="1" t="s">
        <v>83</v>
      </c>
      <c r="W367" s="23" t="b">
        <f>IF(and(H367=TRUE,L367=TRUE,N367=TRUE,P367=TRUE),TRUE,FALSE)</f>
        <v>1</v>
      </c>
      <c r="X367" s="23" t="str">
        <f>IFERROR(__xludf.DUMMYFUNCTION("if(COUNTA(FILTER(C:C, C:C = C367))=1,""no"",""yes"")"),"no")</f>
        <v>no</v>
      </c>
    </row>
    <row r="368">
      <c r="A368" s="1" t="s">
        <v>455</v>
      </c>
      <c r="B368" s="19">
        <v>8.0</v>
      </c>
      <c r="C368" s="19" t="s">
        <v>1076</v>
      </c>
      <c r="D368" s="76" t="str">
        <f t="shared" ref="D368:D372" si="227">if(or(I368=1,J368=1,S368=1),"pos","")</f>
        <v/>
      </c>
      <c r="E368" s="77">
        <f>G368</f>
        <v>43685</v>
      </c>
      <c r="F368" s="78" t="str">
        <f>IFERROR(__xludf.DUMMYFUNCTION("iferror(ifna(IFNA(filter('2.1.clean'!E:E,'2.1.clean'!A:A=C368),filter('2.2.clean'!G:G,'2.2.clean'!D:D=C368)),filter('2.4.clean'!E:E,'2.4.clean'!A:A=C368)),)"),"")</f>
        <v/>
      </c>
      <c r="G368" s="77">
        <f>IFERROR(__xludf.DUMMYFUNCTION("iferror(filter('3.1.clean'!C:C,'3.1.clean'!A:A=C368),"""")"),43685.0)</f>
        <v>43685</v>
      </c>
      <c r="H368" s="76" t="b">
        <f t="shared" si="226"/>
        <v>1</v>
      </c>
      <c r="I368" s="76">
        <f>IFERROR(__xludf.DUMMYFUNCTION("iferror(filter('3.1.clean'!G:G,'3.1.clean'!A:A=C368),"""")"),0.0)</f>
        <v>0</v>
      </c>
      <c r="J368" s="78">
        <f>IFERROR(__xludf.DUMMYFUNCTION("iferror(filter('3.1.clean'!I:I,'3.1.clean'!A:A=C368),"""")"),0.0)</f>
        <v>0</v>
      </c>
      <c r="K368" s="77"/>
      <c r="L368" s="78"/>
      <c r="M368" s="77"/>
      <c r="N368" s="78"/>
      <c r="O368" s="77"/>
      <c r="P368" s="78"/>
      <c r="Q368" s="77"/>
      <c r="R368" s="76"/>
      <c r="S368" s="25"/>
      <c r="T368" s="1"/>
      <c r="V368" s="1" t="s">
        <v>83</v>
      </c>
      <c r="W368" s="1" t="b">
        <v>1</v>
      </c>
      <c r="X368" s="23" t="str">
        <f>IFERROR(__xludf.DUMMYFUNCTION("if(COUNTA(FILTER(C:C, C:C = C368))=1,""no"",""yes"")"),"no")</f>
        <v>no</v>
      </c>
    </row>
    <row r="369">
      <c r="A369" s="1" t="s">
        <v>455</v>
      </c>
      <c r="B369" s="19">
        <v>9.0</v>
      </c>
      <c r="C369" s="19" t="s">
        <v>1077</v>
      </c>
      <c r="D369" s="22" t="str">
        <f t="shared" si="227"/>
        <v/>
      </c>
      <c r="E369" s="20">
        <f>Q369</f>
        <v>43685</v>
      </c>
      <c r="F369" s="79" t="str">
        <f>IFERROR(__xludf.DUMMYFUNCTION("iferror(ifna(IFNA(filter('2.1.clean'!E:E,'2.1.clean'!A:A=C369),filter('2.2.clean'!G:G,'2.2.clean'!D:D=C369)),filter('2.4.clean'!E:E,'2.4.clean'!A:A=C369)),)"),"")</f>
        <v/>
      </c>
      <c r="G369" s="20" t="str">
        <f>IFERROR(__xludf.DUMMYFUNCTION("iferror(filter('3.1.clean'!C:C,'3.1.clean'!A:A=C369),"""")"),"")</f>
        <v/>
      </c>
      <c r="H369" s="22"/>
      <c r="I369" s="22"/>
      <c r="J369" s="79"/>
      <c r="K369" s="20" t="str">
        <f>IFERROR(__xludf.DUMMYFUNCTION("iferror(filter('3.2.clean'!C:C,'3.2.clean'!A:A=C369),"""")"),"")</f>
        <v/>
      </c>
      <c r="L369" s="79"/>
      <c r="M369" s="20">
        <f>IFERROR(__xludf.DUMMYFUNCTION("iferror(filter('3.3.clean'!C:C,'3.3.clean'!A:A=C369),"""")"),43690.0)</f>
        <v>43690</v>
      </c>
      <c r="N369" s="79" t="b">
        <f>if(M369="",FALSE,TRUE)</f>
        <v>1</v>
      </c>
      <c r="O369" s="20" t="str">
        <f>IFERROR(__xludf.DUMMYFUNCTION("iferror(filter('3.4.clean'!C:C,'3.4.clean'!A:A=C369),"""")"),"")</f>
        <v/>
      </c>
      <c r="P369" s="79" t="b">
        <f>if(O369="",FALSE,TRUE)</f>
        <v>0</v>
      </c>
      <c r="Q369" s="20">
        <f>IFERROR(__xludf.DUMMYFUNCTION("iferror(filter('3.5.clean'!C:C,'3.5.clean'!A:A=C369),"""")"),43685.0)</f>
        <v>43685</v>
      </c>
      <c r="R369" s="22" t="b">
        <f>if(Q369="",FALSE,TRUE)</f>
        <v>1</v>
      </c>
      <c r="S369" s="4">
        <f>IFERROR(__xludf.DUMMYFUNCTION("iferror(filter('3.5.clean'!H:H,'3.5.clean'!A:A=C369),"""")"),0.0)</f>
        <v>0</v>
      </c>
      <c r="T369" s="18"/>
      <c r="U369" s="1" t="s">
        <v>382</v>
      </c>
      <c r="V369" s="1" t="s">
        <v>64</v>
      </c>
      <c r="W369" s="23" t="b">
        <f>IF(and(R369=TRUE,N369=TRUE,P369=TRUE),TRUE,FALSE)</f>
        <v>0</v>
      </c>
      <c r="X369" s="23" t="str">
        <f>IFERROR(__xludf.DUMMYFUNCTION("if(COUNTA(FILTER(C:C, C:C = C369))=1,""no"",""yes"")"),"no")</f>
        <v>no</v>
      </c>
    </row>
    <row r="370">
      <c r="A370" s="1" t="s">
        <v>455</v>
      </c>
      <c r="B370" s="2">
        <v>10.0</v>
      </c>
      <c r="C370" s="19" t="s">
        <v>1078</v>
      </c>
      <c r="D370" s="76" t="str">
        <f t="shared" si="227"/>
        <v/>
      </c>
      <c r="E370" s="77">
        <f>G370</f>
        <v>43686</v>
      </c>
      <c r="F370" s="78" t="str">
        <f>IFERROR(__xludf.DUMMYFUNCTION("iferror(ifna(IFNA(filter('2.1.clean'!E:E,'2.1.clean'!A:A=C370),filter('2.2.clean'!G:G,'2.2.clean'!D:D=C370)),filter('2.4.clean'!E:E,'2.4.clean'!A:A=C370)),)"),"")</f>
        <v/>
      </c>
      <c r="G370" s="77">
        <f>IFERROR(__xludf.DUMMYFUNCTION("iferror(filter('3.1.clean'!C:C,'3.1.clean'!A:A=C370),"""")"),43686.0)</f>
        <v>43686</v>
      </c>
      <c r="H370" s="76" t="b">
        <f t="shared" ref="H370:H371" si="228">if(G370="",FALSE,TRUE)</f>
        <v>1</v>
      </c>
      <c r="I370" s="76">
        <f>IFERROR(__xludf.DUMMYFUNCTION("iferror(filter('3.1.clean'!G:G,'3.1.clean'!A:A=C370),"""")"),0.0)</f>
        <v>0</v>
      </c>
      <c r="J370" s="78">
        <f>IFERROR(__xludf.DUMMYFUNCTION("iferror(filter('3.1.clean'!I:I,'3.1.clean'!A:A=C370),"""")"),0.0)</f>
        <v>0</v>
      </c>
      <c r="K370" s="77"/>
      <c r="L370" s="78"/>
      <c r="M370" s="77"/>
      <c r="N370" s="78"/>
      <c r="O370" s="77"/>
      <c r="P370" s="78"/>
      <c r="Q370" s="77"/>
      <c r="R370" s="76"/>
      <c r="S370" s="25"/>
      <c r="T370" s="1"/>
      <c r="V370" s="1" t="s">
        <v>83</v>
      </c>
      <c r="W370" s="1" t="b">
        <v>1</v>
      </c>
      <c r="X370" s="23" t="str">
        <f>IFERROR(__xludf.DUMMYFUNCTION("if(COUNTA(FILTER(C:C, C:C = C370))=1,""no"",""yes"")"),"no")</f>
        <v>no</v>
      </c>
    </row>
    <row r="371">
      <c r="A371" s="1" t="s">
        <v>455</v>
      </c>
      <c r="B371" s="2">
        <v>11.0</v>
      </c>
      <c r="C371" s="19" t="s">
        <v>1080</v>
      </c>
      <c r="D371" s="58" t="str">
        <f t="shared" si="227"/>
        <v/>
      </c>
      <c r="E371" s="59">
        <f>IFERROR(__xludf.DUMMYFUNCTION("ifna(IFNA(filter('2.1.clean'!C:C,'2.1.clean'!A:A=C371),filter('2.2.clean'!E:E,'2.2.clean'!D:D=C371)),filter('2.4.clean'!C:C,'2.4.clean'!A:A=C371))"),43686.0)</f>
        <v>43686</v>
      </c>
      <c r="F371" s="60">
        <f>IFERROR(__xludf.DUMMYFUNCTION("iferror(ifna(IFNA(filter('2.1.clean'!E:E,'2.1.clean'!A:A=C371),filter('2.2.clean'!G:G,'2.2.clean'!D:D=C371)),filter('2.4.clean'!E:E,'2.4.clean'!A:A=C371)),)"),2.1)</f>
        <v>2.1</v>
      </c>
      <c r="G371" s="59">
        <f>IFERROR(__xludf.DUMMYFUNCTION("iferror(filter('3.1.clean'!C:C,'3.1.clean'!A:A=C371),"""")"),43686.0)</f>
        <v>43686</v>
      </c>
      <c r="H371" s="58" t="b">
        <f t="shared" si="228"/>
        <v>1</v>
      </c>
      <c r="I371" s="58">
        <f>IFERROR(__xludf.DUMMYFUNCTION("iferror(filter('3.1.clean'!G:G,'3.1.clean'!A:A=C371),"""")"),0.0)</f>
        <v>0</v>
      </c>
      <c r="J371" s="60">
        <f>IFERROR(__xludf.DUMMYFUNCTION("iferror(filter('3.1.clean'!I:I,'3.1.clean'!A:A=C371),"""")"),0.0)</f>
        <v>0</v>
      </c>
      <c r="K371" s="58" t="str">
        <f>IFERROR(__xludf.DUMMYFUNCTION("iferror(filter('3.2.clean'!C:C,'3.2.clean'!A:A=C371),"""")"),"")</f>
        <v/>
      </c>
      <c r="L371" s="60" t="b">
        <f>if(K371="",FALSE,TRUE)</f>
        <v>0</v>
      </c>
      <c r="M371" s="59">
        <f>IFERROR(__xludf.DUMMYFUNCTION("iferror(filter('3.3.clean'!C:C,'3.3.clean'!A:A=C371),"""")"),43696.0)</f>
        <v>43696</v>
      </c>
      <c r="N371" s="60" t="b">
        <f t="shared" ref="N371:N373" si="229">if(M371="",FALSE,TRUE)</f>
        <v>1</v>
      </c>
      <c r="O371" s="59" t="str">
        <f>IFERROR(__xludf.DUMMYFUNCTION("iferror(filter('3.4.clean'!C:C,'3.4.clean'!A:A=C371),"""")"),"")</f>
        <v/>
      </c>
      <c r="P371" s="60" t="b">
        <f t="shared" ref="P371:P373" si="230">if(O371="",FALSE,TRUE)</f>
        <v>0</v>
      </c>
      <c r="Q371" s="59" t="str">
        <f>IFERROR(__xludf.DUMMYFUNCTION("iferror(filter('3.5.clean'!C:C,'3.5.clean'!A:A=C371),"""")"),"")</f>
        <v/>
      </c>
      <c r="R371" s="58" t="b">
        <f t="shared" ref="R371:R373" si="231">if(Q371="",FALSE,TRUE)</f>
        <v>0</v>
      </c>
      <c r="S371" s="4" t="str">
        <f>IFERROR(__xludf.DUMMYFUNCTION("iferror(filter('3.5.clean'!H:H,'3.5.clean'!A:A=C371),"""")"),"")</f>
        <v/>
      </c>
      <c r="U371" s="23"/>
      <c r="V371" s="1" t="s">
        <v>83</v>
      </c>
      <c r="W371" s="23" t="b">
        <f>if(AND(H371=TRUE,N371=TRUE,P371=TRUE),TRUE,FALSE)</f>
        <v>0</v>
      </c>
      <c r="X371" s="23" t="str">
        <f>IFERROR(__xludf.DUMMYFUNCTION("if(COUNTA(FILTER(C:C, C:C = C371))=1,""no"",""yes"")"),"no")</f>
        <v>no</v>
      </c>
    </row>
    <row r="372">
      <c r="A372" s="1" t="s">
        <v>455</v>
      </c>
      <c r="B372" s="2">
        <v>12.0</v>
      </c>
      <c r="C372" s="19" t="s">
        <v>1081</v>
      </c>
      <c r="D372" s="58" t="str">
        <f t="shared" si="227"/>
        <v/>
      </c>
      <c r="E372" s="59">
        <f>Q372</f>
        <v>43686</v>
      </c>
      <c r="F372" s="60" t="str">
        <f>IFERROR(__xludf.DUMMYFUNCTION("iferror(ifna(IFNA(filter('2.1.clean'!E:E,'2.1.clean'!A:A=C372),filter('2.2.clean'!G:G,'2.2.clean'!D:D=C372)),filter('2.4.clean'!E:E,'2.4.clean'!A:A=C372)),)"),"")</f>
        <v/>
      </c>
      <c r="G372" s="59" t="str">
        <f>IFERROR(__xludf.DUMMYFUNCTION("iferror(filter('3.1.clean'!C:C,'3.1.clean'!A:A=C372),"""")"),"")</f>
        <v/>
      </c>
      <c r="H372" s="58"/>
      <c r="I372" s="58"/>
      <c r="J372" s="60"/>
      <c r="K372" s="58"/>
      <c r="L372" s="60"/>
      <c r="M372" s="59" t="str">
        <f>IFERROR(__xludf.DUMMYFUNCTION("iferror(filter('3.3.clean'!C:C,'3.3.clean'!A:A=C372),"""")"),"")</f>
        <v/>
      </c>
      <c r="N372" s="60" t="b">
        <f t="shared" si="229"/>
        <v>0</v>
      </c>
      <c r="O372" s="59">
        <f>IFERROR(__xludf.DUMMYFUNCTION("iferror(filter('3.4.clean'!C:C,'3.4.clean'!A:A=C372),"""")"),43721.0)</f>
        <v>43721</v>
      </c>
      <c r="P372" s="60" t="b">
        <f t="shared" si="230"/>
        <v>1</v>
      </c>
      <c r="Q372" s="59">
        <f>IFERROR(__xludf.DUMMYFUNCTION("iferror(filter('3.5.clean'!C:C,'3.5.clean'!A:A=C372),"""")"),43686.0)</f>
        <v>43686</v>
      </c>
      <c r="R372" s="58" t="b">
        <f t="shared" si="231"/>
        <v>1</v>
      </c>
      <c r="S372" s="4">
        <f>IFERROR(__xludf.DUMMYFUNCTION("iferror(filter('3.5.clean'!H:H,'3.5.clean'!A:A=C372),"""")"),0.0)</f>
        <v>0</v>
      </c>
      <c r="T372" s="1" t="s">
        <v>1083</v>
      </c>
      <c r="U372" s="23"/>
      <c r="V372" s="1" t="s">
        <v>64</v>
      </c>
      <c r="W372" s="23" t="b">
        <f>if(AND(R372=TRUE,N372=TRUE,P372=TRUE),TRUE,FALSE)</f>
        <v>0</v>
      </c>
      <c r="X372" s="23" t="str">
        <f>IFERROR(__xludf.DUMMYFUNCTION("if(COUNTA(FILTER(C:C, C:C = C372))=1,""no"",""yes"")"),"no")</f>
        <v>no</v>
      </c>
    </row>
    <row r="373">
      <c r="A373" s="1" t="s">
        <v>460</v>
      </c>
      <c r="B373" s="82">
        <v>8.0</v>
      </c>
      <c r="C373" s="82" t="s">
        <v>954</v>
      </c>
      <c r="D373" s="39"/>
      <c r="E373" s="24">
        <f>IFERROR(__xludf.DUMMYFUNCTION("ifna(IFNA(filter('2.1.clean'!C:C,'2.1.clean'!A:A=C373),filter('2.2.clean'!E:E,'2.2.clean'!D:D=C373)),filter('2.4.clean'!C:C,'2.4.clean'!A:A=C373))"),43696.0)</f>
        <v>43696</v>
      </c>
      <c r="F373" s="25">
        <f>IFERROR(__xludf.DUMMYFUNCTION("iferror(ifna(IFNA(filter('2.1.clean'!E:E,'2.1.clean'!A:A=C373),filter('2.2.clean'!G:G,'2.2.clean'!D:D=C373)),filter('2.4.clean'!E:E,'2.4.clean'!A:A=C373)),)"),2.4)</f>
        <v>2.4</v>
      </c>
      <c r="G373" s="43" t="str">
        <f>IFERROR(__xludf.DUMMYFUNCTION("iferror(filter('3.1.clean'!C:C,'3.1.clean'!A:A=C373),"""")"),"")</f>
        <v/>
      </c>
      <c r="H373" s="23" t="b">
        <f t="shared" ref="H373:H376" si="232">if(G373="",FALSE,TRUE)</f>
        <v>0</v>
      </c>
      <c r="J373" s="25"/>
      <c r="K373" s="43">
        <f>IFERROR(__xludf.DUMMYFUNCTION("iferror(filter('3.2.clean'!C:C,'3.2.clean'!A:A=C373),"""")"),43697.0)</f>
        <v>43697</v>
      </c>
      <c r="L373" s="25" t="b">
        <f>if(K373="",FALSE,TRUE)</f>
        <v>1</v>
      </c>
      <c r="M373" s="24">
        <f>IFERROR(__xludf.DUMMYFUNCTION("iferror(filter('3.3.clean'!C:C,'3.3.clean'!A:A=C373),"""")"),43698.0)</f>
        <v>43698</v>
      </c>
      <c r="N373" s="25" t="b">
        <f t="shared" si="229"/>
        <v>1</v>
      </c>
      <c r="O373" s="24" t="str">
        <f>IFERROR(__xludf.DUMMYFUNCTION("iferror(filter('3.4.clean'!C:C,'3.4.clean'!A:A=C373),"""")"),"")</f>
        <v/>
      </c>
      <c r="P373" s="25" t="b">
        <f t="shared" si="230"/>
        <v>0</v>
      </c>
      <c r="Q373" s="24" t="str">
        <f>IFERROR(__xludf.DUMMYFUNCTION("iferror(filter('3.5.clean'!C:C,'3.5.clean'!A:A=C373),"""")"),"")</f>
        <v/>
      </c>
      <c r="R373" s="23" t="b">
        <f t="shared" si="231"/>
        <v>0</v>
      </c>
      <c r="S373" s="25"/>
      <c r="T373" s="48" t="s">
        <v>1084</v>
      </c>
      <c r="U373" s="23"/>
      <c r="V373" s="1" t="s">
        <v>64</v>
      </c>
      <c r="X373" s="23" t="str">
        <f>IFERROR(__xludf.DUMMYFUNCTION("if(COUNTA(FILTER(C:C, C:C = C373))=1,""no"",""yes"")"),"no")</f>
        <v>no</v>
      </c>
    </row>
    <row r="374">
      <c r="A374" s="1" t="s">
        <v>460</v>
      </c>
      <c r="B374" s="19"/>
      <c r="C374" s="19" t="s">
        <v>1085</v>
      </c>
      <c r="D374" s="76" t="str">
        <f>if(or(I374=1,J374=1,S374=1),"pos","")</f>
        <v/>
      </c>
      <c r="E374" s="77">
        <f>G374</f>
        <v>43696</v>
      </c>
      <c r="F374" s="78" t="str">
        <f>IFERROR(__xludf.DUMMYFUNCTION("iferror(ifna(IFNA(filter('2.1.clean'!E:E,'2.1.clean'!A:A=C374),filter('2.2.clean'!G:G,'2.2.clean'!D:D=C374)),filter('2.4.clean'!E:E,'2.4.clean'!A:A=C374)),)"),"")</f>
        <v/>
      </c>
      <c r="G374" s="77">
        <f>IFERROR(__xludf.DUMMYFUNCTION("iferror(filter('3.1.clean'!C:C,'3.1.clean'!A:A=C374),"""")"),43696.0)</f>
        <v>43696</v>
      </c>
      <c r="H374" s="76" t="b">
        <f t="shared" si="232"/>
        <v>1</v>
      </c>
      <c r="I374" s="76">
        <f>IFERROR(__xludf.DUMMYFUNCTION("iferror(filter('3.1.clean'!G:G,'3.1.clean'!A:A=C374),"""")"),0.0)</f>
        <v>0</v>
      </c>
      <c r="J374" s="78">
        <f>IFERROR(__xludf.DUMMYFUNCTION("iferror(filter('3.1.clean'!I:I,'3.1.clean'!A:A=C374),"""")"),0.0)</f>
        <v>0</v>
      </c>
      <c r="K374" s="77"/>
      <c r="L374" s="78"/>
      <c r="M374" s="77"/>
      <c r="N374" s="78"/>
      <c r="O374" s="77"/>
      <c r="P374" s="78"/>
      <c r="Q374" s="77"/>
      <c r="R374" s="76"/>
      <c r="S374" s="25"/>
      <c r="T374" s="1"/>
      <c r="V374" s="1" t="s">
        <v>64</v>
      </c>
      <c r="W374" s="1" t="b">
        <v>1</v>
      </c>
      <c r="X374" s="23" t="str">
        <f>IFERROR(__xludf.DUMMYFUNCTION("if(COUNTA(FILTER(C:C, C:C = C374))=1,""no"",""yes"")"),"no")</f>
        <v>no</v>
      </c>
    </row>
    <row r="375">
      <c r="A375" s="75" t="s">
        <v>463</v>
      </c>
      <c r="B375" s="28">
        <v>1.0</v>
      </c>
      <c r="C375" s="27" t="s">
        <v>1087</v>
      </c>
      <c r="E375" s="24">
        <f>IFERROR(__xludf.DUMMYFUNCTION("ifna(IFNA(filter('2.1.clean'!C:C,'2.1.clean'!A:A=C375),filter('2.2.clean'!E:E,'2.2.clean'!D:D=C375)),filter('2.4.clean'!C:C,'2.4.clean'!A:A=C375))"),43697.0)</f>
        <v>43697</v>
      </c>
      <c r="F375" s="25">
        <f>IFERROR(__xludf.DUMMYFUNCTION("iferror(ifna(IFNA(filter('2.1.clean'!E:E,'2.1.clean'!A:A=C375),filter('2.2.clean'!G:G,'2.2.clean'!D:D=C375)),filter('2.4.clean'!E:E,'2.4.clean'!A:A=C375)),)"),2.4)</f>
        <v>2.4</v>
      </c>
      <c r="G375" s="24">
        <f>IFERROR(__xludf.DUMMYFUNCTION("iferror(filter('3.1.clean'!C:C,'3.1.clean'!A:A=C375),"""")"),43697.0)</f>
        <v>43697</v>
      </c>
      <c r="H375" s="23" t="b">
        <f t="shared" si="232"/>
        <v>1</v>
      </c>
      <c r="J375" s="25"/>
      <c r="K375" s="24" t="str">
        <f>IFERROR(__xludf.DUMMYFUNCTION("iferror(filter('3.2.clean'!C:C,'3.2.clean'!A:A=C375),"""")"),"")</f>
        <v/>
      </c>
      <c r="L375" s="25" t="b">
        <f>if(K375="",FALSE,TRUE)</f>
        <v>0</v>
      </c>
      <c r="M375" s="24">
        <f>IFERROR(__xludf.DUMMYFUNCTION("iferror(filter('3.3.clean'!C:C,'3.3.clean'!A:A=C375),"""")"),43698.0)</f>
        <v>43698</v>
      </c>
      <c r="N375" s="25" t="b">
        <f t="shared" ref="N375:N381" si="233">if(M375="",FALSE,TRUE)</f>
        <v>1</v>
      </c>
      <c r="O375" s="24">
        <f>IFERROR(__xludf.DUMMYFUNCTION("iferror(filter('3.4.clean'!C:C,'3.4.clean'!A:A=C375),"""")"),43721.0)</f>
        <v>43721</v>
      </c>
      <c r="P375" s="25" t="b">
        <f t="shared" ref="P375:P381" si="234">if(O375="",FALSE,TRUE)</f>
        <v>1</v>
      </c>
      <c r="Q375" s="24">
        <f>IFERROR(__xludf.DUMMYFUNCTION("iferror(filter('3.5.clean'!C:C,'3.5.clean'!A:A=C375),"""")"),43697.0)</f>
        <v>43697</v>
      </c>
      <c r="R375" s="23" t="b">
        <f t="shared" ref="R375:R377" si="235">if(Q375="",FALSE,TRUE)</f>
        <v>1</v>
      </c>
      <c r="S375" s="25"/>
      <c r="U375" s="23"/>
      <c r="V375" s="1" t="s">
        <v>64</v>
      </c>
      <c r="X375" s="23" t="str">
        <f>IFERROR(__xludf.DUMMYFUNCTION("if(COUNTA(FILTER(C:C, C:C = C375))=1,""no"",""yes"")"),"no")</f>
        <v>no</v>
      </c>
    </row>
    <row r="376">
      <c r="A376" s="75" t="s">
        <v>463</v>
      </c>
      <c r="B376" s="19">
        <v>2.0</v>
      </c>
      <c r="C376" s="19" t="s">
        <v>1088</v>
      </c>
      <c r="D376" s="58" t="str">
        <f t="shared" ref="D376:D377" si="236">if(or(I376=1,J376=1,S376=1),"pos","")</f>
        <v/>
      </c>
      <c r="E376" s="59">
        <f>IFERROR(__xludf.DUMMYFUNCTION("ifna(IFNA(filter('2.1.clean'!C:C,'2.1.clean'!A:A=C376),filter('2.2.clean'!E:E,'2.2.clean'!D:D=C376)),filter('2.4.clean'!C:C,'2.4.clean'!A:A=C376))"),43697.0)</f>
        <v>43697</v>
      </c>
      <c r="F376" s="60">
        <f>IFERROR(__xludf.DUMMYFUNCTION("iferror(ifna(IFNA(filter('2.1.clean'!E:E,'2.1.clean'!A:A=C376),filter('2.2.clean'!G:G,'2.2.clean'!D:D=C376)),filter('2.4.clean'!E:E,'2.4.clean'!A:A=C376)),)"),2.4)</f>
        <v>2.4</v>
      </c>
      <c r="G376" s="59">
        <f>IFERROR(__xludf.DUMMYFUNCTION("iferror(filter('3.1.clean'!C:C,'3.1.clean'!A:A=C376),"""")"),43697.0)</f>
        <v>43697</v>
      </c>
      <c r="H376" s="58" t="b">
        <f t="shared" si="232"/>
        <v>1</v>
      </c>
      <c r="I376" s="58">
        <f>IFERROR(__xludf.DUMMYFUNCTION("iferror(filter('3.1.clean'!G:G,'3.1.clean'!A:A=C376),"""")"),0.0)</f>
        <v>0</v>
      </c>
      <c r="J376" s="60">
        <f>IFERROR(__xludf.DUMMYFUNCTION("iferror(filter('3.1.clean'!I:I,'3.1.clean'!A:A=C376),"""")"),0.0)</f>
        <v>0</v>
      </c>
      <c r="K376" s="58"/>
      <c r="L376" s="60"/>
      <c r="M376" s="59">
        <f>IFERROR(__xludf.DUMMYFUNCTION("iferror(filter('3.3.clean'!C:C,'3.3.clean'!A:A=C376),"""")"),43698.0)</f>
        <v>43698</v>
      </c>
      <c r="N376" s="60" t="b">
        <f t="shared" si="233"/>
        <v>1</v>
      </c>
      <c r="O376" s="59" t="str">
        <f>IFERROR(__xludf.DUMMYFUNCTION("iferror(filter('3.4.clean'!C:C,'3.4.clean'!A:A=C376),"""")"),"")</f>
        <v/>
      </c>
      <c r="P376" s="60" t="b">
        <f t="shared" si="234"/>
        <v>0</v>
      </c>
      <c r="Q376" s="59" t="str">
        <f>IFERROR(__xludf.DUMMYFUNCTION("iferror(filter('3.5.clean'!C:C,'3.5.clean'!A:A=C376),"""")"),"")</f>
        <v/>
      </c>
      <c r="R376" s="58" t="b">
        <f t="shared" si="235"/>
        <v>0</v>
      </c>
      <c r="S376" s="4" t="str">
        <f>IFERROR(__xludf.DUMMYFUNCTION("iferror(filter('3.5.clean'!H:H,'3.5.clean'!A:A=C376),"""")"),"")</f>
        <v/>
      </c>
      <c r="U376" s="23"/>
      <c r="V376" s="1" t="s">
        <v>64</v>
      </c>
      <c r="W376" s="23" t="b">
        <f>if(AND(H376=TRUE,N376=TRUE,P376=TRUE),TRUE,FALSE)</f>
        <v>0</v>
      </c>
      <c r="X376" s="23" t="str">
        <f>IFERROR(__xludf.DUMMYFUNCTION("if(COUNTA(FILTER(C:C, C:C = C376))=1,""no"",""yes"")"),"no")</f>
        <v>no</v>
      </c>
    </row>
    <row r="377">
      <c r="A377" s="75" t="s">
        <v>463</v>
      </c>
      <c r="B377" s="19">
        <v>3.0</v>
      </c>
      <c r="C377" s="19" t="s">
        <v>1090</v>
      </c>
      <c r="D377" s="58" t="str">
        <f t="shared" si="236"/>
        <v/>
      </c>
      <c r="E377" s="59">
        <f>Q377</f>
        <v>43697</v>
      </c>
      <c r="F377" s="60" t="str">
        <f>IFERROR(__xludf.DUMMYFUNCTION("iferror(ifna(IFNA(filter('2.1.clean'!E:E,'2.1.clean'!A:A=C377),filter('2.2.clean'!G:G,'2.2.clean'!D:D=C377)),filter('2.4.clean'!E:E,'2.4.clean'!A:A=C377)),)"),"")</f>
        <v/>
      </c>
      <c r="G377" s="59" t="str">
        <f>IFERROR(__xludf.DUMMYFUNCTION("iferror(filter('3.1.clean'!C:C,'3.1.clean'!A:A=C377),"""")"),"")</f>
        <v/>
      </c>
      <c r="H377" s="58"/>
      <c r="I377" s="58"/>
      <c r="J377" s="60"/>
      <c r="K377" s="58"/>
      <c r="L377" s="60"/>
      <c r="M377" s="59">
        <f>IFERROR(__xludf.DUMMYFUNCTION("iferror(filter('3.3.clean'!C:C,'3.3.clean'!A:A=C377),"""")"),43698.0)</f>
        <v>43698</v>
      </c>
      <c r="N377" s="60" t="b">
        <f t="shared" si="233"/>
        <v>1</v>
      </c>
      <c r="O377" s="59">
        <f>IFERROR(__xludf.DUMMYFUNCTION("iferror(filter('3.4.clean'!C:C,'3.4.clean'!A:A=C377),"""")"),43721.0)</f>
        <v>43721</v>
      </c>
      <c r="P377" s="60" t="b">
        <f t="shared" si="234"/>
        <v>1</v>
      </c>
      <c r="Q377" s="59">
        <f>IFERROR(__xludf.DUMMYFUNCTION("iferror(filter('3.5.clean'!C:C,'3.5.clean'!A:A=C377),"""")"),43697.0)</f>
        <v>43697</v>
      </c>
      <c r="R377" s="58" t="b">
        <f t="shared" si="235"/>
        <v>1</v>
      </c>
      <c r="S377" s="4">
        <f>IFERROR(__xludf.DUMMYFUNCTION("iferror(filter('3.5.clean'!H:H,'3.5.clean'!A:A=C377),"""")"),0.0)</f>
        <v>0</v>
      </c>
      <c r="U377" s="23"/>
      <c r="V377" s="1" t="s">
        <v>64</v>
      </c>
      <c r="W377" s="23" t="b">
        <f>if(AND(R377=TRUE,N377=TRUE,P377=TRUE),TRUE,FALSE)</f>
        <v>1</v>
      </c>
      <c r="X377" s="23" t="str">
        <f>IFERROR(__xludf.DUMMYFUNCTION("if(COUNTA(FILTER(C:C, C:C = C377))=1,""no"",""yes"")"),"no")</f>
        <v>no</v>
      </c>
    </row>
    <row r="378">
      <c r="A378" s="75" t="s">
        <v>463</v>
      </c>
      <c r="B378" s="28">
        <v>4.0</v>
      </c>
      <c r="C378" s="27" t="s">
        <v>1092</v>
      </c>
      <c r="D378" s="24"/>
      <c r="E378" s="24">
        <f>IFERROR(__xludf.DUMMYFUNCTION("ifna(IFNA(filter('2.1.clean'!C:C,'2.1.clean'!A:A=C378),filter('2.2.clean'!E:E,'2.2.clean'!D:D=C378)),filter('2.4.clean'!C:C,'2.4.clean'!A:A=C378))"),43697.0)</f>
        <v>43697</v>
      </c>
      <c r="F378" s="25">
        <f>IFERROR(__xludf.DUMMYFUNCTION("iferror(ifna(IFNA(filter('2.1.clean'!E:E,'2.1.clean'!A:A=C378),filter('2.2.clean'!G:G,'2.2.clean'!D:D=C378)),filter('2.4.clean'!E:E,'2.4.clean'!A:A=C378)),)"),2.1)</f>
        <v>2.1</v>
      </c>
      <c r="G378" s="24">
        <f>IFERROR(__xludf.DUMMYFUNCTION("iferror(filter('3.1.clean'!C:C,'3.1.clean'!A:A=C378),"""")"),43697.0)</f>
        <v>43697</v>
      </c>
      <c r="H378" s="23" t="b">
        <f t="shared" ref="H378:H380" si="237">if(G378="",FALSE,TRUE)</f>
        <v>1</v>
      </c>
      <c r="J378" s="25"/>
      <c r="K378" s="24">
        <f>IFERROR(__xludf.DUMMYFUNCTION("iferror(filter('3.2.clean'!C:C,'3.2.clean'!A:A=C378),"""")"),43697.0)</f>
        <v>43697</v>
      </c>
      <c r="L378" s="25" t="b">
        <f t="shared" ref="L378:L380" si="238">if(K378="",FALSE,TRUE)</f>
        <v>1</v>
      </c>
      <c r="M378" s="24">
        <f>IFERROR(__xludf.DUMMYFUNCTION("iferror(filter('3.3.clean'!C:C,'3.3.clean'!A:A=C378),"""")"),43698.0)</f>
        <v>43698</v>
      </c>
      <c r="N378" s="25" t="b">
        <f t="shared" si="233"/>
        <v>1</v>
      </c>
      <c r="O378" s="24">
        <f>IFERROR(__xludf.DUMMYFUNCTION("iferror(filter('3.4.clean'!C:C,'3.4.clean'!A:A=C378),"""")"),43721.0)</f>
        <v>43721</v>
      </c>
      <c r="P378" s="25" t="b">
        <f t="shared" si="234"/>
        <v>1</v>
      </c>
      <c r="Q378" s="24"/>
      <c r="S378" s="25"/>
      <c r="U378" s="23"/>
      <c r="V378" s="1" t="s">
        <v>83</v>
      </c>
      <c r="W378" s="23" t="b">
        <f t="shared" ref="W378:W379" si="239">IF(and(H378=TRUE,L378=TRUE,N378=TRUE,P378=TRUE),TRUE,FALSE)</f>
        <v>1</v>
      </c>
      <c r="X378" s="23" t="str">
        <f>IFERROR(__xludf.DUMMYFUNCTION("if(COUNTA(FILTER(C:C, C:C = C378))=1,""no"",""yes"")"),"no")</f>
        <v>no</v>
      </c>
    </row>
    <row r="379">
      <c r="A379" s="75" t="s">
        <v>463</v>
      </c>
      <c r="B379" s="28">
        <v>5.0</v>
      </c>
      <c r="C379" s="27" t="s">
        <v>1093</v>
      </c>
      <c r="D379" s="24"/>
      <c r="E379" s="24">
        <f>IFERROR(__xludf.DUMMYFUNCTION("ifna(IFNA(filter('2.1.clean'!C:C,'2.1.clean'!A:A=C379),filter('2.2.clean'!E:E,'2.2.clean'!D:D=C379)),filter('2.4.clean'!C:C,'2.4.clean'!A:A=C379))"),43697.0)</f>
        <v>43697</v>
      </c>
      <c r="F379" s="25">
        <f>IFERROR(__xludf.DUMMYFUNCTION("iferror(ifna(IFNA(filter('2.1.clean'!E:E,'2.1.clean'!A:A=C379),filter('2.2.clean'!G:G,'2.2.clean'!D:D=C379)),filter('2.4.clean'!E:E,'2.4.clean'!A:A=C379)),)"),2.1)</f>
        <v>2.1</v>
      </c>
      <c r="G379" s="24">
        <f>IFERROR(__xludf.DUMMYFUNCTION("iferror(filter('3.1.clean'!C:C,'3.1.clean'!A:A=C379),"""")"),43697.0)</f>
        <v>43697</v>
      </c>
      <c r="H379" s="23" t="b">
        <f t="shared" si="237"/>
        <v>1</v>
      </c>
      <c r="J379" s="25"/>
      <c r="K379" s="24">
        <f>IFERROR(__xludf.DUMMYFUNCTION("iferror(filter('3.2.clean'!C:C,'3.2.clean'!A:A=C379),"""")"),43697.0)</f>
        <v>43697</v>
      </c>
      <c r="L379" s="25" t="b">
        <f t="shared" si="238"/>
        <v>1</v>
      </c>
      <c r="M379" s="24">
        <f>IFERROR(__xludf.DUMMYFUNCTION("iferror(filter('3.3.clean'!C:C,'3.3.clean'!A:A=C379),"""")"),43698.0)</f>
        <v>43698</v>
      </c>
      <c r="N379" s="25" t="b">
        <f t="shared" si="233"/>
        <v>1</v>
      </c>
      <c r="O379" s="24">
        <f>IFERROR(__xludf.DUMMYFUNCTION("iferror(filter('3.4.clean'!C:C,'3.4.clean'!A:A=C379),"""")"),43721.0)</f>
        <v>43721</v>
      </c>
      <c r="P379" s="25" t="b">
        <f t="shared" si="234"/>
        <v>1</v>
      </c>
      <c r="Q379" s="24"/>
      <c r="S379" s="25"/>
      <c r="U379" s="23"/>
      <c r="V379" s="1" t="s">
        <v>83</v>
      </c>
      <c r="W379" s="23" t="b">
        <f t="shared" si="239"/>
        <v>1</v>
      </c>
      <c r="X379" s="23" t="str">
        <f>IFERROR(__xludf.DUMMYFUNCTION("if(COUNTA(FILTER(C:C, C:C = C379))=1,""no"",""yes"")"),"no")</f>
        <v>no</v>
      </c>
    </row>
    <row r="380">
      <c r="A380" s="75" t="s">
        <v>463</v>
      </c>
      <c r="B380" s="19">
        <v>6.0</v>
      </c>
      <c r="C380" s="19" t="s">
        <v>1094</v>
      </c>
      <c r="D380" s="58" t="str">
        <f t="shared" ref="D380:D387" si="240">if(or(I380=1,J380=1,S380=1),"pos","")</f>
        <v/>
      </c>
      <c r="E380" s="59">
        <f>IFERROR(__xludf.DUMMYFUNCTION("ifna(IFNA(filter('2.1.clean'!C:C,'2.1.clean'!A:A=C380),filter('2.2.clean'!E:E,'2.2.clean'!D:D=C380)),filter('2.4.clean'!C:C,'2.4.clean'!A:A=C380))"),43697.0)</f>
        <v>43697</v>
      </c>
      <c r="F380" s="60">
        <f>IFERROR(__xludf.DUMMYFUNCTION("iferror(ifna(IFNA(filter('2.1.clean'!E:E,'2.1.clean'!A:A=C380),filter('2.2.clean'!G:G,'2.2.clean'!D:D=C380)),filter('2.4.clean'!E:E,'2.4.clean'!A:A=C380)),)"),2.1)</f>
        <v>2.1</v>
      </c>
      <c r="G380" s="59">
        <f>IFERROR(__xludf.DUMMYFUNCTION("iferror(filter('3.1.clean'!C:C,'3.1.clean'!A:A=C380),"""")"),43697.0)</f>
        <v>43697</v>
      </c>
      <c r="H380" s="58" t="b">
        <f t="shared" si="237"/>
        <v>1</v>
      </c>
      <c r="I380" s="58">
        <f>IFERROR(__xludf.DUMMYFUNCTION("iferror(filter('3.1.clean'!G:G,'3.1.clean'!A:A=C380),"""")"),0.0)</f>
        <v>0</v>
      </c>
      <c r="J380" s="60">
        <f>IFERROR(__xludf.DUMMYFUNCTION("iferror(filter('3.1.clean'!I:I,'3.1.clean'!A:A=C380),"""")"),0.0)</f>
        <v>0</v>
      </c>
      <c r="K380" s="58" t="str">
        <f>IFERROR(__xludf.DUMMYFUNCTION("iferror(filter('3.2.clean'!C:C,'3.2.clean'!A:A=C380),"""")"),"")</f>
        <v/>
      </c>
      <c r="L380" s="60" t="b">
        <f t="shared" si="238"/>
        <v>0</v>
      </c>
      <c r="M380" s="59">
        <f>IFERROR(__xludf.DUMMYFUNCTION("iferror(filter('3.3.clean'!C:C,'3.3.clean'!A:A=C380),"""")"),43698.0)</f>
        <v>43698</v>
      </c>
      <c r="N380" s="60" t="b">
        <f t="shared" si="233"/>
        <v>1</v>
      </c>
      <c r="O380" s="59" t="str">
        <f>IFERROR(__xludf.DUMMYFUNCTION("iferror(filter('3.4.clean'!C:C,'3.4.clean'!A:A=C380),"""")"),"")</f>
        <v/>
      </c>
      <c r="P380" s="60" t="b">
        <f t="shared" si="234"/>
        <v>0</v>
      </c>
      <c r="Q380" s="59" t="str">
        <f>IFERROR(__xludf.DUMMYFUNCTION("iferror(filter('3.5.clean'!C:C,'3.5.clean'!A:A=C380),"""")"),"")</f>
        <v/>
      </c>
      <c r="R380" s="58" t="b">
        <f t="shared" ref="R380:R381" si="241">if(Q380="",FALSE,TRUE)</f>
        <v>0</v>
      </c>
      <c r="S380" s="4" t="str">
        <f>IFERROR(__xludf.DUMMYFUNCTION("iferror(filter('3.5.clean'!H:H,'3.5.clean'!A:A=C380),"""")"),"")</f>
        <v/>
      </c>
      <c r="U380" s="23"/>
      <c r="V380" s="1" t="s">
        <v>83</v>
      </c>
      <c r="W380" s="23" t="b">
        <f>if(AND(H380=TRUE,N380=TRUE,P380=TRUE),TRUE,FALSE)</f>
        <v>0</v>
      </c>
      <c r="X380" s="23" t="str">
        <f>IFERROR(__xludf.DUMMYFUNCTION("if(COUNTA(FILTER(C:C, C:C = C380))=1,""no"",""yes"")"),"no")</f>
        <v>no</v>
      </c>
    </row>
    <row r="381">
      <c r="A381" s="75" t="s">
        <v>463</v>
      </c>
      <c r="B381" s="19">
        <v>7.0</v>
      </c>
      <c r="C381" s="19" t="s">
        <v>1096</v>
      </c>
      <c r="D381" s="58" t="str">
        <f t="shared" si="240"/>
        <v/>
      </c>
      <c r="E381" s="59">
        <f>Q381</f>
        <v>43697</v>
      </c>
      <c r="F381" s="60" t="str">
        <f>IFERROR(__xludf.DUMMYFUNCTION("iferror(ifna(IFNA(filter('2.1.clean'!E:E,'2.1.clean'!A:A=C381),filter('2.2.clean'!G:G,'2.2.clean'!D:D=C381)),filter('2.4.clean'!E:E,'2.4.clean'!A:A=C381)),)"),"")</f>
        <v/>
      </c>
      <c r="G381" s="59" t="str">
        <f>IFERROR(__xludf.DUMMYFUNCTION("iferror(filter('3.1.clean'!C:C,'3.1.clean'!A:A=C381),"""")"),"")</f>
        <v/>
      </c>
      <c r="H381" s="58"/>
      <c r="I381" s="58"/>
      <c r="J381" s="60"/>
      <c r="K381" s="58"/>
      <c r="L381" s="60"/>
      <c r="M381" s="59">
        <f>IFERROR(__xludf.DUMMYFUNCTION("iferror(filter('3.3.clean'!C:C,'3.3.clean'!A:A=C381),"""")"),43698.0)</f>
        <v>43698</v>
      </c>
      <c r="N381" s="60" t="b">
        <f t="shared" si="233"/>
        <v>1</v>
      </c>
      <c r="O381" s="59">
        <f>IFERROR(__xludf.DUMMYFUNCTION("iferror(filter('3.4.clean'!C:C,'3.4.clean'!A:A=C381),"""")"),43721.0)</f>
        <v>43721</v>
      </c>
      <c r="P381" s="60" t="b">
        <f t="shared" si="234"/>
        <v>1</v>
      </c>
      <c r="Q381" s="59">
        <f>IFERROR(__xludf.DUMMYFUNCTION("iferror(filter('3.5.clean'!C:C,'3.5.clean'!A:A=C381),"""")"),43697.0)</f>
        <v>43697</v>
      </c>
      <c r="R381" s="58" t="b">
        <f t="shared" si="241"/>
        <v>1</v>
      </c>
      <c r="S381" s="4">
        <f>IFERROR(__xludf.DUMMYFUNCTION("iferror(filter('3.5.clean'!H:H,'3.5.clean'!A:A=C381),"""")"),0.0)</f>
        <v>0</v>
      </c>
      <c r="U381" s="23"/>
      <c r="V381" s="1" t="s">
        <v>64</v>
      </c>
      <c r="W381" s="23" t="b">
        <f>if(AND(R381=TRUE,N381=TRUE,P381=TRUE),TRUE,FALSE)</f>
        <v>1</v>
      </c>
      <c r="X381" s="23" t="str">
        <f>IFERROR(__xludf.DUMMYFUNCTION("if(COUNTA(FILTER(C:C, C:C = C381))=1,""no"",""yes"")"),"no")</f>
        <v>no</v>
      </c>
    </row>
    <row r="382">
      <c r="A382" s="75" t="s">
        <v>463</v>
      </c>
      <c r="B382" s="2">
        <v>9.0</v>
      </c>
      <c r="C382" s="19" t="s">
        <v>1097</v>
      </c>
      <c r="D382" s="76" t="str">
        <f t="shared" si="240"/>
        <v/>
      </c>
      <c r="E382" s="77">
        <f>G382</f>
        <v>43697</v>
      </c>
      <c r="F382" s="78" t="str">
        <f>IFERROR(__xludf.DUMMYFUNCTION("iferror(ifna(IFNA(filter('2.1.clean'!E:E,'2.1.clean'!A:A=C382),filter('2.2.clean'!G:G,'2.2.clean'!D:D=C382)),filter('2.4.clean'!E:E,'2.4.clean'!A:A=C382)),)"),"")</f>
        <v/>
      </c>
      <c r="G382" s="77">
        <f>IFERROR(__xludf.DUMMYFUNCTION("iferror(filter('3.1.clean'!C:C,'3.1.clean'!A:A=C382),"""")"),43697.0)</f>
        <v>43697</v>
      </c>
      <c r="H382" s="76" t="b">
        <f>if(G382="",FALSE,TRUE)</f>
        <v>1</v>
      </c>
      <c r="I382" s="76">
        <f>IFERROR(__xludf.DUMMYFUNCTION("iferror(filter('3.1.clean'!G:G,'3.1.clean'!A:A=C382),"""")"),0.0)</f>
        <v>0</v>
      </c>
      <c r="J382" s="78">
        <f>IFERROR(__xludf.DUMMYFUNCTION("iferror(filter('3.1.clean'!I:I,'3.1.clean'!A:A=C382),"""")"),0.0)</f>
        <v>0</v>
      </c>
      <c r="K382" s="77"/>
      <c r="L382" s="78"/>
      <c r="M382" s="77"/>
      <c r="N382" s="78"/>
      <c r="O382" s="77"/>
      <c r="P382" s="78"/>
      <c r="Q382" s="77"/>
      <c r="R382" s="76"/>
      <c r="S382" s="25"/>
      <c r="T382" s="1"/>
      <c r="V382" s="1" t="s">
        <v>83</v>
      </c>
      <c r="W382" s="1" t="b">
        <v>1</v>
      </c>
      <c r="X382" s="23" t="str">
        <f>IFERROR(__xludf.DUMMYFUNCTION("if(COUNTA(FILTER(C:C, C:C = C382))=1,""no"",""yes"")"),"no")</f>
        <v>no</v>
      </c>
    </row>
    <row r="383">
      <c r="A383" s="75" t="s">
        <v>463</v>
      </c>
      <c r="B383" s="2">
        <v>10.0</v>
      </c>
      <c r="C383" s="19" t="s">
        <v>1099</v>
      </c>
      <c r="D383" s="22" t="str">
        <f t="shared" si="240"/>
        <v/>
      </c>
      <c r="E383" s="20">
        <f>Q383</f>
        <v>43697</v>
      </c>
      <c r="F383" s="79" t="str">
        <f>IFERROR(__xludf.DUMMYFUNCTION("iferror(ifna(IFNA(filter('2.1.clean'!E:E,'2.1.clean'!A:A=C383),filter('2.2.clean'!G:G,'2.2.clean'!D:D=C383)),filter('2.4.clean'!E:E,'2.4.clean'!A:A=C383)),)"),"")</f>
        <v/>
      </c>
      <c r="G383" s="20" t="str">
        <f>IFERROR(__xludf.DUMMYFUNCTION("iferror(filter('3.1.clean'!C:C,'3.1.clean'!A:A=C383),"""")"),"")</f>
        <v/>
      </c>
      <c r="H383" s="22"/>
      <c r="I383" s="22"/>
      <c r="J383" s="79"/>
      <c r="K383" s="20" t="str">
        <f>IFERROR(__xludf.DUMMYFUNCTION("iferror(filter('3.2.clean'!C:C,'3.2.clean'!A:A=C383),"""")"),"")</f>
        <v/>
      </c>
      <c r="L383" s="79"/>
      <c r="M383" s="20"/>
      <c r="N383" s="79"/>
      <c r="O383" s="20"/>
      <c r="P383" s="79"/>
      <c r="Q383" s="20">
        <f>IFERROR(__xludf.DUMMYFUNCTION("iferror(filter('3.5.clean'!C:C,'3.5.clean'!A:A=C383),"""")"),43697.0)</f>
        <v>43697</v>
      </c>
      <c r="R383" s="22" t="b">
        <f t="shared" ref="R383:R392" si="242">if(Q383="",FALSE,TRUE)</f>
        <v>1</v>
      </c>
      <c r="S383" s="4" t="str">
        <f>IFERROR(__xludf.DUMMYFUNCTION("iferror(filter('3.5.clean'!H:H,'3.5.clean'!A:A=C383),"""")"),"")</f>
        <v/>
      </c>
      <c r="V383" s="1" t="s">
        <v>64</v>
      </c>
      <c r="W383" s="23" t="b">
        <f>IF(and(R383=TRUE),TRUE,FALSE)</f>
        <v>1</v>
      </c>
      <c r="X383" s="23" t="str">
        <f>IFERROR(__xludf.DUMMYFUNCTION("if(COUNTA(FILTER(C:C, C:C = C383))=1,""no"",""yes"")"),"no")</f>
        <v>no</v>
      </c>
    </row>
    <row r="384">
      <c r="A384" s="1" t="s">
        <v>466</v>
      </c>
      <c r="B384" s="19"/>
      <c r="C384" s="19" t="s">
        <v>1100</v>
      </c>
      <c r="D384" s="58" t="str">
        <f t="shared" si="240"/>
        <v/>
      </c>
      <c r="E384" s="59">
        <f>IFERROR(__xludf.DUMMYFUNCTION("ifna(IFNA(filter('2.1.clean'!C:C,'2.1.clean'!A:A=C384),filter('2.2.clean'!E:E,'2.2.clean'!D:D=C384)),filter('2.4.clean'!C:C,'2.4.clean'!A:A=C384))"),43698.0)</f>
        <v>43698</v>
      </c>
      <c r="F384" s="60">
        <f>IFERROR(__xludf.DUMMYFUNCTION("iferror(ifna(IFNA(filter('2.1.clean'!E:E,'2.1.clean'!A:A=C384),filter('2.2.clean'!G:G,'2.2.clean'!D:D=C384)),filter('2.4.clean'!E:E,'2.4.clean'!A:A=C384)),)"),2.1)</f>
        <v>2.1</v>
      </c>
      <c r="G384" s="59">
        <f>IFERROR(__xludf.DUMMYFUNCTION("iferror(filter('3.1.clean'!C:C,'3.1.clean'!A:A=C384),"""")"),43698.0)</f>
        <v>43698</v>
      </c>
      <c r="H384" s="58" t="b">
        <f>if(G384="",FALSE,TRUE)</f>
        <v>1</v>
      </c>
      <c r="I384" s="58">
        <f>IFERROR(__xludf.DUMMYFUNCTION("iferror(filter('3.1.clean'!G:G,'3.1.clean'!A:A=C384),"""")"),0.0)</f>
        <v>0</v>
      </c>
      <c r="J384" s="60">
        <f>IFERROR(__xludf.DUMMYFUNCTION("iferror(filter('3.1.clean'!I:I,'3.1.clean'!A:A=C384),"""")"),0.0)</f>
        <v>0</v>
      </c>
      <c r="K384" s="58" t="str">
        <f>IFERROR(__xludf.DUMMYFUNCTION("iferror(filter('3.2.clean'!C:C,'3.2.clean'!A:A=C384),"""")"),"")</f>
        <v/>
      </c>
      <c r="L384" s="60" t="b">
        <f>if(K384="",FALSE,TRUE)</f>
        <v>0</v>
      </c>
      <c r="M384" s="59" t="str">
        <f>IFERROR(__xludf.DUMMYFUNCTION("iferror(filter('3.3.clean'!C:C,'3.3.clean'!A:A=C384),"""")"),"#REF!")</f>
        <v>#REF!</v>
      </c>
      <c r="N384" s="60" t="str">
        <f t="shared" ref="N384:N392" si="243">if(M384="",FALSE,TRUE)</f>
        <v>#REF!</v>
      </c>
      <c r="O384" s="59" t="str">
        <f>IFERROR(__xludf.DUMMYFUNCTION("iferror(filter('3.4.clean'!C:C,'3.4.clean'!A:A=C384),"""")"),"")</f>
        <v/>
      </c>
      <c r="P384" s="60" t="b">
        <f t="shared" ref="P384:P392" si="244">if(O384="",FALSE,TRUE)</f>
        <v>0</v>
      </c>
      <c r="Q384" s="59" t="str">
        <f>IFERROR(__xludf.DUMMYFUNCTION("iferror(filter('3.5.clean'!C:C,'3.5.clean'!A:A=C384),"""")"),"")</f>
        <v/>
      </c>
      <c r="R384" s="58" t="b">
        <f t="shared" si="242"/>
        <v>0</v>
      </c>
      <c r="S384" s="4" t="str">
        <f>IFERROR(__xludf.DUMMYFUNCTION("iferror(filter('3.5.clean'!H:H,'3.5.clean'!A:A=C384),"""")"),"")</f>
        <v/>
      </c>
      <c r="T384" s="1" t="s">
        <v>1102</v>
      </c>
      <c r="U384" s="23"/>
      <c r="V384" s="1" t="s">
        <v>83</v>
      </c>
      <c r="W384" s="1" t="b">
        <v>1</v>
      </c>
      <c r="X384" s="23" t="str">
        <f>IFERROR(__xludf.DUMMYFUNCTION("if(COUNTA(FILTER(C:C, C:C = C384))=1,""no"",""yes"")"),"no")</f>
        <v>no</v>
      </c>
    </row>
    <row r="385">
      <c r="A385" s="1" t="s">
        <v>466</v>
      </c>
      <c r="B385" s="19"/>
      <c r="C385" s="19" t="s">
        <v>1103</v>
      </c>
      <c r="D385" s="58" t="str">
        <f t="shared" si="240"/>
        <v/>
      </c>
      <c r="E385" s="59">
        <f>Q385</f>
        <v>43698</v>
      </c>
      <c r="F385" s="60" t="str">
        <f>IFERROR(__xludf.DUMMYFUNCTION("iferror(ifna(IFNA(filter('2.1.clean'!E:E,'2.1.clean'!A:A=C385),filter('2.2.clean'!G:G,'2.2.clean'!D:D=C385)),filter('2.4.clean'!E:E,'2.4.clean'!A:A=C385)),)"),"")</f>
        <v/>
      </c>
      <c r="G385" s="59" t="str">
        <f>IFERROR(__xludf.DUMMYFUNCTION("iferror(filter('3.1.clean'!C:C,'3.1.clean'!A:A=C385),"""")"),"")</f>
        <v/>
      </c>
      <c r="H385" s="58"/>
      <c r="I385" s="58"/>
      <c r="J385" s="60"/>
      <c r="K385" s="58"/>
      <c r="L385" s="60"/>
      <c r="M385" s="59">
        <f>IFERROR(__xludf.DUMMYFUNCTION("iferror(filter('3.3.clean'!C:C,'3.3.clean'!A:A=C385),"""")"),43700.0)</f>
        <v>43700</v>
      </c>
      <c r="N385" s="60" t="b">
        <f t="shared" si="243"/>
        <v>1</v>
      </c>
      <c r="O385" s="59">
        <f>IFERROR(__xludf.DUMMYFUNCTION("iferror(filter('3.4.clean'!C:C,'3.4.clean'!A:A=C385),"""")"),43721.0)</f>
        <v>43721</v>
      </c>
      <c r="P385" s="60" t="b">
        <f t="shared" si="244"/>
        <v>1</v>
      </c>
      <c r="Q385" s="59">
        <f>IFERROR(__xludf.DUMMYFUNCTION("iferror(filter('3.5.clean'!C:C,'3.5.clean'!A:A=C385),"""")"),43698.0)</f>
        <v>43698</v>
      </c>
      <c r="R385" s="58" t="b">
        <f t="shared" si="242"/>
        <v>1</v>
      </c>
      <c r="S385" s="4">
        <f>IFERROR(__xludf.DUMMYFUNCTION("iferror(filter('3.5.clean'!H:H,'3.5.clean'!A:A=C385),"""")"),0.0)</f>
        <v>0</v>
      </c>
      <c r="U385" s="23"/>
      <c r="V385" s="1" t="s">
        <v>64</v>
      </c>
      <c r="W385" s="23" t="b">
        <f>if(AND(R385=TRUE,N385=TRUE,P385=TRUE),TRUE,FALSE)</f>
        <v>1</v>
      </c>
      <c r="X385" s="23" t="str">
        <f>IFERROR(__xludf.DUMMYFUNCTION("if(COUNTA(FILTER(C:C, C:C = C385))=1,""no"",""yes"")"),"no")</f>
        <v>no</v>
      </c>
    </row>
    <row r="386">
      <c r="A386" s="1" t="s">
        <v>466</v>
      </c>
      <c r="B386" s="19"/>
      <c r="C386" s="19" t="s">
        <v>1104</v>
      </c>
      <c r="D386" s="58" t="str">
        <f t="shared" si="240"/>
        <v/>
      </c>
      <c r="E386" s="59">
        <f>IFERROR(__xludf.DUMMYFUNCTION("ifna(IFNA(filter('2.1.clean'!C:C,'2.1.clean'!A:A=C386),filter('2.2.clean'!E:E,'2.2.clean'!D:D=C386)),filter('2.4.clean'!C:C,'2.4.clean'!A:A=C386))"),43698.0)</f>
        <v>43698</v>
      </c>
      <c r="F386" s="60">
        <f>IFERROR(__xludf.DUMMYFUNCTION("iferror(ifna(IFNA(filter('2.1.clean'!E:E,'2.1.clean'!A:A=C386),filter('2.2.clean'!G:G,'2.2.clean'!D:D=C386)),filter('2.4.clean'!E:E,'2.4.clean'!A:A=C386)),)"),2.1)</f>
        <v>2.1</v>
      </c>
      <c r="G386" s="59">
        <f>IFERROR(__xludf.DUMMYFUNCTION("iferror(filter('3.1.clean'!C:C,'3.1.clean'!A:A=C386),"""")"),43698.0)</f>
        <v>43698</v>
      </c>
      <c r="H386" s="58" t="b">
        <f>if(G386="",FALSE,TRUE)</f>
        <v>1</v>
      </c>
      <c r="I386" s="58">
        <f>IFERROR(__xludf.DUMMYFUNCTION("iferror(filter('3.1.clean'!G:G,'3.1.clean'!A:A=C386),"""")"),0.0)</f>
        <v>0</v>
      </c>
      <c r="J386" s="60">
        <f>IFERROR(__xludf.DUMMYFUNCTION("iferror(filter('3.1.clean'!I:I,'3.1.clean'!A:A=C386),"""")"),0.0)</f>
        <v>0</v>
      </c>
      <c r="K386" s="58" t="str">
        <f>IFERROR(__xludf.DUMMYFUNCTION("iferror(filter('3.2.clean'!C:C,'3.2.clean'!A:A=C386),"""")"),"")</f>
        <v/>
      </c>
      <c r="L386" s="60" t="b">
        <f>if(K386="",FALSE,TRUE)</f>
        <v>0</v>
      </c>
      <c r="M386" s="59">
        <f>IFERROR(__xludf.DUMMYFUNCTION("iferror(filter('3.3.clean'!C:C,'3.3.clean'!A:A=C386),"""")"),43700.0)</f>
        <v>43700</v>
      </c>
      <c r="N386" s="60" t="b">
        <f t="shared" si="243"/>
        <v>1</v>
      </c>
      <c r="O386" s="59" t="str">
        <f>IFERROR(__xludf.DUMMYFUNCTION("iferror(filter('3.4.clean'!C:C,'3.4.clean'!A:A=C386),"""")"),"")</f>
        <v/>
      </c>
      <c r="P386" s="60" t="b">
        <f t="shared" si="244"/>
        <v>0</v>
      </c>
      <c r="Q386" s="59" t="str">
        <f>IFERROR(__xludf.DUMMYFUNCTION("iferror(filter('3.5.clean'!C:C,'3.5.clean'!A:A=C386),"""")"),"")</f>
        <v/>
      </c>
      <c r="R386" s="58" t="b">
        <f t="shared" si="242"/>
        <v>0</v>
      </c>
      <c r="S386" s="4" t="str">
        <f>IFERROR(__xludf.DUMMYFUNCTION("iferror(filter('3.5.clean'!H:H,'3.5.clean'!A:A=C386),"""")"),"")</f>
        <v/>
      </c>
      <c r="U386" s="23"/>
      <c r="V386" s="1" t="s">
        <v>83</v>
      </c>
      <c r="W386" s="23" t="b">
        <f>if(AND(H386=TRUE,N386=TRUE,P386=TRUE),TRUE,FALSE)</f>
        <v>0</v>
      </c>
      <c r="X386" s="23" t="str">
        <f>IFERROR(__xludf.DUMMYFUNCTION("if(COUNTA(FILTER(C:C, C:C = C386))=1,""no"",""yes"")"),"no")</f>
        <v>no</v>
      </c>
    </row>
    <row r="387">
      <c r="A387" s="1" t="s">
        <v>466</v>
      </c>
      <c r="B387" s="19"/>
      <c r="C387" s="19" t="s">
        <v>1105</v>
      </c>
      <c r="D387" s="58" t="str">
        <f t="shared" si="240"/>
        <v/>
      </c>
      <c r="E387" s="59">
        <f>Q387</f>
        <v>43698</v>
      </c>
      <c r="F387" s="60" t="str">
        <f>IFERROR(__xludf.DUMMYFUNCTION("iferror(ifna(IFNA(filter('2.1.clean'!E:E,'2.1.clean'!A:A=C387),filter('2.2.clean'!G:G,'2.2.clean'!D:D=C387)),filter('2.4.clean'!E:E,'2.4.clean'!A:A=C387)),)"),"")</f>
        <v/>
      </c>
      <c r="G387" s="59" t="str">
        <f>IFERROR(__xludf.DUMMYFUNCTION("iferror(filter('3.1.clean'!C:C,'3.1.clean'!A:A=C387),"""")"),"")</f>
        <v/>
      </c>
      <c r="H387" s="58"/>
      <c r="I387" s="58"/>
      <c r="J387" s="60"/>
      <c r="K387" s="58"/>
      <c r="L387" s="60"/>
      <c r="M387" s="59">
        <f>IFERROR(__xludf.DUMMYFUNCTION("iferror(filter('3.3.clean'!C:C,'3.3.clean'!A:A=C387),"""")"),43700.0)</f>
        <v>43700</v>
      </c>
      <c r="N387" s="60" t="b">
        <f t="shared" si="243"/>
        <v>1</v>
      </c>
      <c r="O387" s="59">
        <f>IFERROR(__xludf.DUMMYFUNCTION("iferror(filter('3.4.clean'!C:C,'3.4.clean'!A:A=C387),"""")"),43721.0)</f>
        <v>43721</v>
      </c>
      <c r="P387" s="60" t="b">
        <f t="shared" si="244"/>
        <v>1</v>
      </c>
      <c r="Q387" s="59">
        <f>IFERROR(__xludf.DUMMYFUNCTION("iferror(filter('3.5.clean'!C:C,'3.5.clean'!A:A=C387),"""")"),43698.0)</f>
        <v>43698</v>
      </c>
      <c r="R387" s="58" t="b">
        <f t="shared" si="242"/>
        <v>1</v>
      </c>
      <c r="S387" s="4">
        <f>IFERROR(__xludf.DUMMYFUNCTION("iferror(filter('3.5.clean'!H:H,'3.5.clean'!A:A=C387),"""")"),0.0)</f>
        <v>0</v>
      </c>
      <c r="U387" s="23"/>
      <c r="V387" s="1" t="s">
        <v>64</v>
      </c>
      <c r="W387" s="23" t="b">
        <f>if(AND(R387=TRUE,N387=TRUE,P387=TRUE),TRUE,FALSE)</f>
        <v>1</v>
      </c>
      <c r="X387" s="23" t="str">
        <f>IFERROR(__xludf.DUMMYFUNCTION("if(COUNTA(FILTER(C:C, C:C = C387))=1,""no"",""yes"")"),"no")</f>
        <v>no</v>
      </c>
    </row>
    <row r="388">
      <c r="A388" s="1" t="s">
        <v>466</v>
      </c>
      <c r="B388" s="19"/>
      <c r="C388" s="19" t="s">
        <v>537</v>
      </c>
      <c r="E388" s="24">
        <f>IFERROR(__xludf.DUMMYFUNCTION("ifna(IFNA(filter('2.1.clean'!C:C,'2.1.clean'!A:A=C388),filter('2.2.clean'!E:E,'2.2.clean'!D:D=C388)),filter('2.4.clean'!C:C,'2.4.clean'!A:A=C388))"),43698.0)</f>
        <v>43698</v>
      </c>
      <c r="F388" s="25">
        <f>IFERROR(__xludf.DUMMYFUNCTION("iferror(ifna(IFNA(filter('2.1.clean'!E:E,'2.1.clean'!A:A=C388),filter('2.2.clean'!G:G,'2.2.clean'!D:D=C388)),filter('2.4.clean'!E:E,'2.4.clean'!A:A=C388)),)"),2.2)</f>
        <v>2.2</v>
      </c>
      <c r="G388" s="24">
        <f>IFERROR(__xludf.DUMMYFUNCTION("iferror(filter('3.1.clean'!C:C,'3.1.clean'!A:A=C388),"""")"),43698.0)</f>
        <v>43698</v>
      </c>
      <c r="H388" s="23" t="b">
        <f t="shared" ref="H388:H393" si="245">if(G388="",FALSE,TRUE)</f>
        <v>1</v>
      </c>
      <c r="J388" s="25"/>
      <c r="K388" s="24">
        <f>IFERROR(__xludf.DUMMYFUNCTION("iferror(filter('3.2.clean'!C:C,'3.2.clean'!A:A=C388),"""")"),43698.0)</f>
        <v>43698</v>
      </c>
      <c r="L388" s="25" t="b">
        <f t="shared" ref="L388:L392" si="246">if(K388="",FALSE,TRUE)</f>
        <v>1</v>
      </c>
      <c r="M388" s="24">
        <f>IFERROR(__xludf.DUMMYFUNCTION("iferror(filter('3.3.clean'!C:C,'3.3.clean'!A:A=C388),"""")"),43700.0)</f>
        <v>43700</v>
      </c>
      <c r="N388" s="25" t="b">
        <f t="shared" si="243"/>
        <v>1</v>
      </c>
      <c r="O388" s="24">
        <f>IFERROR(__xludf.DUMMYFUNCTION("iferror(filter('3.4.clean'!C:C,'3.4.clean'!A:A=C388),"""")"),43721.0)</f>
        <v>43721</v>
      </c>
      <c r="P388" s="25" t="b">
        <f t="shared" si="244"/>
        <v>1</v>
      </c>
      <c r="Q388" s="24" t="str">
        <f>IFERROR(__xludf.DUMMYFUNCTION("iferror(filter('3.5.clean'!C:C,'3.5.clean'!A:A=C388),"""")"),"")</f>
        <v/>
      </c>
      <c r="R388" s="23" t="b">
        <f t="shared" si="242"/>
        <v>0</v>
      </c>
      <c r="S388" s="25"/>
      <c r="U388" s="23"/>
      <c r="V388" s="1" t="s">
        <v>83</v>
      </c>
      <c r="W388" s="23" t="b">
        <f t="shared" ref="W388:W392" si="247">IF(and(H388=TRUE,L388=TRUE,N388=TRUE,P388=TRUE),TRUE,FALSE)</f>
        <v>1</v>
      </c>
      <c r="X388" s="23" t="str">
        <f>IFERROR(__xludf.DUMMYFUNCTION("if(COUNTA(FILTER(C:C, C:C = C388))=1,""no"",""yes"")"),"no")</f>
        <v>no</v>
      </c>
    </row>
    <row r="389">
      <c r="A389" s="1" t="s">
        <v>466</v>
      </c>
      <c r="B389" s="19"/>
      <c r="C389" s="19" t="s">
        <v>539</v>
      </c>
      <c r="E389" s="24">
        <f>IFERROR(__xludf.DUMMYFUNCTION("ifna(IFNA(filter('2.1.clean'!C:C,'2.1.clean'!A:A=C389),filter('2.2.clean'!E:E,'2.2.clean'!D:D=C389)),filter('2.4.clean'!C:C,'2.4.clean'!A:A=C389))"),43698.0)</f>
        <v>43698</v>
      </c>
      <c r="F389" s="25">
        <f>IFERROR(__xludf.DUMMYFUNCTION("iferror(ifna(IFNA(filter('2.1.clean'!E:E,'2.1.clean'!A:A=C389),filter('2.2.clean'!G:G,'2.2.clean'!D:D=C389)),filter('2.4.clean'!E:E,'2.4.clean'!A:A=C389)),)"),2.2)</f>
        <v>2.2</v>
      </c>
      <c r="G389" s="24">
        <f>IFERROR(__xludf.DUMMYFUNCTION("iferror(filter('3.1.clean'!C:C,'3.1.clean'!A:A=C389),"""")"),43698.0)</f>
        <v>43698</v>
      </c>
      <c r="H389" s="23" t="b">
        <f t="shared" si="245"/>
        <v>1</v>
      </c>
      <c r="J389" s="25"/>
      <c r="K389" s="24">
        <f>IFERROR(__xludf.DUMMYFUNCTION("iferror(filter('3.2.clean'!C:C,'3.2.clean'!A:A=C389),"""")"),43698.0)</f>
        <v>43698</v>
      </c>
      <c r="L389" s="25" t="b">
        <f t="shared" si="246"/>
        <v>1</v>
      </c>
      <c r="M389" s="24">
        <f>IFERROR(__xludf.DUMMYFUNCTION("iferror(filter('3.3.clean'!C:C,'3.3.clean'!A:A=C389),"""")"),43700.0)</f>
        <v>43700</v>
      </c>
      <c r="N389" s="25" t="b">
        <f t="shared" si="243"/>
        <v>1</v>
      </c>
      <c r="O389" s="24">
        <f>IFERROR(__xludf.DUMMYFUNCTION("iferror(filter('3.4.clean'!C:C,'3.4.clean'!A:A=C389),"""")"),43721.0)</f>
        <v>43721</v>
      </c>
      <c r="P389" s="25" t="b">
        <f t="shared" si="244"/>
        <v>1</v>
      </c>
      <c r="Q389" s="24" t="str">
        <f>IFERROR(__xludf.DUMMYFUNCTION("iferror(filter('3.5.clean'!C:C,'3.5.clean'!A:A=C389),"""")"),"")</f>
        <v/>
      </c>
      <c r="R389" s="23" t="b">
        <f t="shared" si="242"/>
        <v>0</v>
      </c>
      <c r="S389" s="25"/>
      <c r="U389" s="23"/>
      <c r="V389" s="1" t="s">
        <v>83</v>
      </c>
      <c r="W389" s="23" t="b">
        <f t="shared" si="247"/>
        <v>1</v>
      </c>
      <c r="X389" s="23" t="str">
        <f>IFERROR(__xludf.DUMMYFUNCTION("if(COUNTA(FILTER(C:C, C:C = C389))=1,""no"",""yes"")"),"no")</f>
        <v>no</v>
      </c>
    </row>
    <row r="390">
      <c r="A390" s="1" t="s">
        <v>466</v>
      </c>
      <c r="B390" s="19"/>
      <c r="C390" s="19" t="s">
        <v>543</v>
      </c>
      <c r="E390" s="24">
        <f>IFERROR(__xludf.DUMMYFUNCTION("ifna(IFNA(filter('2.1.clean'!C:C,'2.1.clean'!A:A=C390),filter('2.2.clean'!E:E,'2.2.clean'!D:D=C390)),filter('2.4.clean'!C:C,'2.4.clean'!A:A=C390))"),43698.0)</f>
        <v>43698</v>
      </c>
      <c r="F390" s="25">
        <f>IFERROR(__xludf.DUMMYFUNCTION("iferror(ifna(IFNA(filter('2.1.clean'!E:E,'2.1.clean'!A:A=C390),filter('2.2.clean'!G:G,'2.2.clean'!D:D=C390)),filter('2.4.clean'!E:E,'2.4.clean'!A:A=C390)),)"),2.2)</f>
        <v>2.2</v>
      </c>
      <c r="G390" s="24">
        <f>IFERROR(__xludf.DUMMYFUNCTION("iferror(filter('3.1.clean'!C:C,'3.1.clean'!A:A=C390),"""")"),43698.0)</f>
        <v>43698</v>
      </c>
      <c r="H390" s="23" t="b">
        <f t="shared" si="245"/>
        <v>1</v>
      </c>
      <c r="J390" s="25"/>
      <c r="K390" s="24" t="str">
        <f>IFERROR(__xludf.DUMMYFUNCTION("iferror(filter('3.2.clean'!C:C,'3.2.clean'!A:A=C390),"""")"),"")</f>
        <v/>
      </c>
      <c r="L390" s="25" t="b">
        <f t="shared" si="246"/>
        <v>0</v>
      </c>
      <c r="M390" s="24">
        <f>IFERROR(__xludf.DUMMYFUNCTION("iferror(filter('3.3.clean'!C:C,'3.3.clean'!A:A=C390),"""")"),43700.0)</f>
        <v>43700</v>
      </c>
      <c r="N390" s="25" t="b">
        <f t="shared" si="243"/>
        <v>1</v>
      </c>
      <c r="O390" s="24">
        <f>IFERROR(__xludf.DUMMYFUNCTION("iferror(filter('3.4.clean'!C:C,'3.4.clean'!A:A=C390),"""")"),43721.0)</f>
        <v>43721</v>
      </c>
      <c r="P390" s="25" t="b">
        <f t="shared" si="244"/>
        <v>1</v>
      </c>
      <c r="Q390" s="24" t="str">
        <f>IFERROR(__xludf.DUMMYFUNCTION("iferror(filter('3.5.clean'!C:C,'3.5.clean'!A:A=C390),"""")"),"")</f>
        <v/>
      </c>
      <c r="R390" s="23" t="b">
        <f t="shared" si="242"/>
        <v>0</v>
      </c>
      <c r="S390" s="25"/>
      <c r="U390" s="23" t="s">
        <v>21</v>
      </c>
      <c r="V390" s="1" t="s">
        <v>83</v>
      </c>
      <c r="W390" s="23" t="b">
        <f t="shared" si="247"/>
        <v>0</v>
      </c>
      <c r="X390" s="23" t="str">
        <f>IFERROR(__xludf.DUMMYFUNCTION("if(COUNTA(FILTER(C:C, C:C = C390))=1,""no"",""yes"")"),"no")</f>
        <v>no</v>
      </c>
    </row>
    <row r="391">
      <c r="A391" s="1" t="s">
        <v>466</v>
      </c>
      <c r="B391" s="19"/>
      <c r="C391" s="19" t="s">
        <v>545</v>
      </c>
      <c r="E391" s="24">
        <f>IFERROR(__xludf.DUMMYFUNCTION("ifna(IFNA(filter('2.1.clean'!C:C,'2.1.clean'!A:A=C391),filter('2.2.clean'!E:E,'2.2.clean'!D:D=C391)),filter('2.4.clean'!C:C,'2.4.clean'!A:A=C391))"),43698.0)</f>
        <v>43698</v>
      </c>
      <c r="F391" s="25">
        <f>IFERROR(__xludf.DUMMYFUNCTION("iferror(ifna(IFNA(filter('2.1.clean'!E:E,'2.1.clean'!A:A=C391),filter('2.2.clean'!G:G,'2.2.clean'!D:D=C391)),filter('2.4.clean'!E:E,'2.4.clean'!A:A=C391)),)"),2.2)</f>
        <v>2.2</v>
      </c>
      <c r="G391" s="24">
        <f>IFERROR(__xludf.DUMMYFUNCTION("iferror(filter('3.1.clean'!C:C,'3.1.clean'!A:A=C391),"""")"),43698.0)</f>
        <v>43698</v>
      </c>
      <c r="H391" s="23" t="b">
        <f t="shared" si="245"/>
        <v>1</v>
      </c>
      <c r="J391" s="25"/>
      <c r="K391" s="24">
        <f>IFERROR(__xludf.DUMMYFUNCTION("iferror(filter('3.2.clean'!C:C,'3.2.clean'!A:A=C391),"""")"),43698.0)</f>
        <v>43698</v>
      </c>
      <c r="L391" s="25" t="b">
        <f t="shared" si="246"/>
        <v>1</v>
      </c>
      <c r="M391" s="24">
        <f>IFERROR(__xludf.DUMMYFUNCTION("iferror(filter('3.3.clean'!C:C,'3.3.clean'!A:A=C391),"""")"),43700.0)</f>
        <v>43700</v>
      </c>
      <c r="N391" s="25" t="b">
        <f t="shared" si="243"/>
        <v>1</v>
      </c>
      <c r="O391" s="24">
        <f>IFERROR(__xludf.DUMMYFUNCTION("iferror(filter('3.4.clean'!C:C,'3.4.clean'!A:A=C391),"""")"),43721.0)</f>
        <v>43721</v>
      </c>
      <c r="P391" s="25" t="b">
        <f t="shared" si="244"/>
        <v>1</v>
      </c>
      <c r="Q391" s="24" t="str">
        <f>IFERROR(__xludf.DUMMYFUNCTION("iferror(filter('3.5.clean'!C:C,'3.5.clean'!A:A=C391),"""")"),"")</f>
        <v/>
      </c>
      <c r="R391" s="23" t="b">
        <f t="shared" si="242"/>
        <v>0</v>
      </c>
      <c r="S391" s="25"/>
      <c r="U391" s="23"/>
      <c r="V391" s="1" t="s">
        <v>83</v>
      </c>
      <c r="W391" s="23" t="b">
        <f t="shared" si="247"/>
        <v>1</v>
      </c>
      <c r="X391" s="23" t="str">
        <f>IFERROR(__xludf.DUMMYFUNCTION("if(COUNTA(FILTER(C:C, C:C = C391))=1,""no"",""yes"")"),"no")</f>
        <v>no</v>
      </c>
    </row>
    <row r="392">
      <c r="A392" s="1" t="s">
        <v>466</v>
      </c>
      <c r="B392" s="19"/>
      <c r="C392" s="19" t="s">
        <v>548</v>
      </c>
      <c r="E392" s="24">
        <f>IFERROR(__xludf.DUMMYFUNCTION("ifna(IFNA(filter('2.1.clean'!C:C,'2.1.clean'!A:A=C392),filter('2.2.clean'!E:E,'2.2.clean'!D:D=C392)),filter('2.4.clean'!C:C,'2.4.clean'!A:A=C392))"),43698.0)</f>
        <v>43698</v>
      </c>
      <c r="F392" s="25">
        <f>IFERROR(__xludf.DUMMYFUNCTION("iferror(ifna(IFNA(filter('2.1.clean'!E:E,'2.1.clean'!A:A=C392),filter('2.2.clean'!G:G,'2.2.clean'!D:D=C392)),filter('2.4.clean'!E:E,'2.4.clean'!A:A=C392)),)"),2.2)</f>
        <v>2.2</v>
      </c>
      <c r="G392" s="24">
        <f>IFERROR(__xludf.DUMMYFUNCTION("iferror(filter('3.1.clean'!C:C,'3.1.clean'!A:A=C392),"""")"),43698.0)</f>
        <v>43698</v>
      </c>
      <c r="H392" s="23" t="b">
        <f t="shared" si="245"/>
        <v>1</v>
      </c>
      <c r="J392" s="25"/>
      <c r="K392" s="24">
        <f>IFERROR(__xludf.DUMMYFUNCTION("iferror(filter('3.2.clean'!C:C,'3.2.clean'!A:A=C392),"""")"),43698.0)</f>
        <v>43698</v>
      </c>
      <c r="L392" s="25" t="b">
        <f t="shared" si="246"/>
        <v>1</v>
      </c>
      <c r="M392" s="24">
        <f>IFERROR(__xludf.DUMMYFUNCTION("iferror(filter('3.3.clean'!C:C,'3.3.clean'!A:A=C392),"""")"),43700.0)</f>
        <v>43700</v>
      </c>
      <c r="N392" s="25" t="b">
        <f t="shared" si="243"/>
        <v>1</v>
      </c>
      <c r="O392" s="24">
        <f>IFERROR(__xludf.DUMMYFUNCTION("iferror(filter('3.4.clean'!C:C,'3.4.clean'!A:A=C392),"""")"),43721.0)</f>
        <v>43721</v>
      </c>
      <c r="P392" s="25" t="b">
        <f t="shared" si="244"/>
        <v>1</v>
      </c>
      <c r="Q392" s="24" t="str">
        <f>IFERROR(__xludf.DUMMYFUNCTION("iferror(filter('3.5.clean'!C:C,'3.5.clean'!A:A=C392),"""")"),"")</f>
        <v/>
      </c>
      <c r="R392" s="23" t="b">
        <f t="shared" si="242"/>
        <v>0</v>
      </c>
      <c r="S392" s="25"/>
      <c r="U392" s="23"/>
      <c r="V392" s="1" t="s">
        <v>83</v>
      </c>
      <c r="W392" s="23" t="b">
        <f t="shared" si="247"/>
        <v>1</v>
      </c>
      <c r="X392" s="23" t="str">
        <f>IFERROR(__xludf.DUMMYFUNCTION("if(COUNTA(FILTER(C:C, C:C = C392))=1,""no"",""yes"")"),"no")</f>
        <v>no</v>
      </c>
    </row>
    <row r="393">
      <c r="A393" s="1" t="s">
        <v>466</v>
      </c>
      <c r="B393" s="19"/>
      <c r="C393" s="19" t="s">
        <v>1109</v>
      </c>
      <c r="D393" s="76" t="str">
        <f>if(or(I393=1,J393=1,S393=1),"pos","")</f>
        <v/>
      </c>
      <c r="E393" s="77">
        <f>G393</f>
        <v>43698</v>
      </c>
      <c r="F393" s="78" t="str">
        <f>IFERROR(__xludf.DUMMYFUNCTION("iferror(ifna(IFNA(filter('2.1.clean'!E:E,'2.1.clean'!A:A=C393),filter('2.2.clean'!G:G,'2.2.clean'!D:D=C393)),filter('2.4.clean'!E:E,'2.4.clean'!A:A=C393)),)"),"")</f>
        <v/>
      </c>
      <c r="G393" s="77">
        <f>IFERROR(__xludf.DUMMYFUNCTION("iferror(filter('3.1.clean'!C:C,'3.1.clean'!A:A=C393),"""")"),43698.0)</f>
        <v>43698</v>
      </c>
      <c r="H393" s="76" t="b">
        <f t="shared" si="245"/>
        <v>1</v>
      </c>
      <c r="I393" s="76">
        <f>IFERROR(__xludf.DUMMYFUNCTION("iferror(filter('3.1.clean'!G:G,'3.1.clean'!A:A=C393),"""")"),0.0)</f>
        <v>0</v>
      </c>
      <c r="J393" s="78">
        <f>IFERROR(__xludf.DUMMYFUNCTION("iferror(filter('3.1.clean'!I:I,'3.1.clean'!A:A=C393),"""")"),0.0)</f>
        <v>0</v>
      </c>
      <c r="K393" s="77">
        <f>IFERROR(__xludf.DUMMYFUNCTION("""COMPUTED_VALUE"""),43698.0)</f>
        <v>43698</v>
      </c>
      <c r="L393" s="78"/>
      <c r="M393" s="77"/>
      <c r="N393" s="78"/>
      <c r="O393" s="77"/>
      <c r="P393" s="78"/>
      <c r="Q393" s="77"/>
      <c r="R393" s="76"/>
      <c r="S393" s="25"/>
      <c r="T393" s="1"/>
      <c r="V393" s="1" t="s">
        <v>83</v>
      </c>
      <c r="W393" s="1" t="b">
        <v>1</v>
      </c>
      <c r="X393" s="23" t="str">
        <f>IFERROR(__xludf.DUMMYFUNCTION("if(COUNTA(FILTER(C:C, C:C = C393))=1,""no"",""yes"")"),"no")</f>
        <v>no</v>
      </c>
    </row>
    <row r="394">
      <c r="A394" s="1" t="s">
        <v>466</v>
      </c>
      <c r="B394" s="27"/>
      <c r="C394" s="27" t="s">
        <v>1110</v>
      </c>
      <c r="E394" s="24">
        <f>IFERROR(__xludf.DUMMYFUNCTION("ifna(IFNA(filter('2.1.clean'!C:C,'2.1.clean'!A:A=C394),filter('2.2.clean'!E:E,'2.2.clean'!D:D=C394)),filter('2.4.clean'!C:C,'2.4.clean'!A:A=C394))"),43698.0)</f>
        <v>43698</v>
      </c>
      <c r="F394" s="25">
        <f>IFERROR(__xludf.DUMMYFUNCTION("iferror(ifna(IFNA(filter('2.1.clean'!E:E,'2.1.clean'!A:A=C394),filter('2.2.clean'!G:G,'2.2.clean'!D:D=C394)),filter('2.4.clean'!E:E,'2.4.clean'!A:A=C394)),)"),2.4)</f>
        <v>2.4</v>
      </c>
      <c r="G394" s="24" t="str">
        <f>IFERROR(__xludf.DUMMYFUNCTION("iferror(filter('3.1.clean'!C:C,'3.1.clean'!A:A=C394),"""")"),"")</f>
        <v/>
      </c>
      <c r="J394" s="25"/>
      <c r="K394" s="24">
        <f>IFERROR(__xludf.DUMMYFUNCTION("iferror(filter('3.2.clean'!C:C,'3.2.clean'!A:A=C394),"""")"),43698.0)</f>
        <v>43698</v>
      </c>
      <c r="L394" s="25" t="b">
        <f t="shared" ref="L394:L399" si="248">if(K394="",FALSE,TRUE)</f>
        <v>1</v>
      </c>
      <c r="M394" s="24">
        <f>IFERROR(__xludf.DUMMYFUNCTION("iferror(filter('3.3.clean'!C:C,'3.3.clean'!A:A=C394),"""")"),43700.0)</f>
        <v>43700</v>
      </c>
      <c r="N394" s="25" t="b">
        <f t="shared" ref="N394:N406" si="249">if(M394="",FALSE,TRUE)</f>
        <v>1</v>
      </c>
      <c r="O394" s="24" t="str">
        <f>IFERROR(__xludf.DUMMYFUNCTION("iferror(filter('3.4.clean'!C:C,'3.4.clean'!A:A=C394),"""")"),"")</f>
        <v/>
      </c>
      <c r="P394" s="25" t="b">
        <f t="shared" ref="P394:P406" si="250">if(O394="",FALSE,TRUE)</f>
        <v>0</v>
      </c>
      <c r="Q394" s="24" t="str">
        <f>IFERROR(__xludf.DUMMYFUNCTION("iferror(filter('3.5.clean'!C:C,'3.5.clean'!A:A=C394),"""")"),"")</f>
        <v/>
      </c>
      <c r="R394" s="23" t="b">
        <f t="shared" ref="R394:R406" si="251">if(Q394="",FALSE,TRUE)</f>
        <v>0</v>
      </c>
      <c r="S394" s="25"/>
      <c r="U394" s="23"/>
      <c r="V394" s="1" t="s">
        <v>64</v>
      </c>
      <c r="X394" s="23" t="str">
        <f>IFERROR(__xludf.DUMMYFUNCTION("if(COUNTA(FILTER(C:C, C:C = C394))=1,""no"",""yes"")"),"no")</f>
        <v>no</v>
      </c>
    </row>
    <row r="395">
      <c r="A395" s="1" t="s">
        <v>469</v>
      </c>
      <c r="B395" s="2">
        <v>1.0</v>
      </c>
      <c r="C395" s="19" t="s">
        <v>551</v>
      </c>
      <c r="E395" s="24">
        <f>IFERROR(__xludf.DUMMYFUNCTION("ifna(IFNA(filter('2.1.clean'!C:C,'2.1.clean'!A:A=C395),filter('2.2.clean'!E:E,'2.2.clean'!D:D=C395)),filter('2.4.clean'!C:C,'2.4.clean'!A:A=C395))"),43699.0)</f>
        <v>43699</v>
      </c>
      <c r="F395" s="25">
        <f>IFERROR(__xludf.DUMMYFUNCTION("iferror(ifna(IFNA(filter('2.1.clean'!E:E,'2.1.clean'!A:A=C395),filter('2.2.clean'!G:G,'2.2.clean'!D:D=C395)),filter('2.4.clean'!E:E,'2.4.clean'!A:A=C395)),)"),2.2)</f>
        <v>2.2</v>
      </c>
      <c r="G395" s="24">
        <f>IFERROR(__xludf.DUMMYFUNCTION("iferror(filter('3.1.clean'!C:C,'3.1.clean'!A:A=C395),"""")"),43699.0)</f>
        <v>43699</v>
      </c>
      <c r="H395" s="23" t="b">
        <f t="shared" ref="H395:H399" si="252">if(G395="",FALSE,TRUE)</f>
        <v>1</v>
      </c>
      <c r="J395" s="25"/>
      <c r="K395" s="24">
        <f>IFERROR(__xludf.DUMMYFUNCTION("iferror(filter('3.2.clean'!C:C,'3.2.clean'!A:A=C395),"""")"),43700.0)</f>
        <v>43700</v>
      </c>
      <c r="L395" s="25" t="b">
        <f t="shared" si="248"/>
        <v>1</v>
      </c>
      <c r="M395" s="24">
        <f>IFERROR(__xludf.DUMMYFUNCTION("iferror(filter('3.3.clean'!C:C,'3.3.clean'!A:A=C395),"""")"),43700.0)</f>
        <v>43700</v>
      </c>
      <c r="N395" s="25" t="b">
        <f t="shared" si="249"/>
        <v>1</v>
      </c>
      <c r="O395" s="24">
        <f>IFERROR(__xludf.DUMMYFUNCTION("iferror(filter('3.4.clean'!C:C,'3.4.clean'!A:A=C395),"""")"),43721.0)</f>
        <v>43721</v>
      </c>
      <c r="P395" s="25" t="b">
        <f t="shared" si="250"/>
        <v>1</v>
      </c>
      <c r="Q395" s="24" t="str">
        <f>IFERROR(__xludf.DUMMYFUNCTION("iferror(filter('3.5.clean'!C:C,'3.5.clean'!A:A=C395),"""")"),"")</f>
        <v/>
      </c>
      <c r="R395" s="23" t="b">
        <f t="shared" si="251"/>
        <v>0</v>
      </c>
      <c r="S395" s="25"/>
      <c r="U395" s="23"/>
      <c r="V395" s="1" t="s">
        <v>83</v>
      </c>
      <c r="W395" s="23" t="b">
        <f t="shared" ref="W395:W397" si="253">IF(and(H395=TRUE,L395=TRUE,N395=TRUE,P395=TRUE),TRUE,FALSE)</f>
        <v>1</v>
      </c>
      <c r="X395" s="23" t="str">
        <f>IFERROR(__xludf.DUMMYFUNCTION("if(COUNTA(FILTER(C:C, C:C = C395))=1,""no"",""yes"")"),"no")</f>
        <v>no</v>
      </c>
    </row>
    <row r="396">
      <c r="A396" s="1" t="s">
        <v>469</v>
      </c>
      <c r="B396" s="2">
        <v>2.0</v>
      </c>
      <c r="C396" s="19" t="s">
        <v>556</v>
      </c>
      <c r="E396" s="24">
        <f>IFERROR(__xludf.DUMMYFUNCTION("ifna(IFNA(filter('2.1.clean'!C:C,'2.1.clean'!A:A=C396),filter('2.2.clean'!E:E,'2.2.clean'!D:D=C396)),filter('2.4.clean'!C:C,'2.4.clean'!A:A=C396))"),43699.0)</f>
        <v>43699</v>
      </c>
      <c r="F396" s="25">
        <f>IFERROR(__xludf.DUMMYFUNCTION("iferror(ifna(IFNA(filter('2.1.clean'!E:E,'2.1.clean'!A:A=C396),filter('2.2.clean'!G:G,'2.2.clean'!D:D=C396)),filter('2.4.clean'!E:E,'2.4.clean'!A:A=C396)),)"),2.2)</f>
        <v>2.2</v>
      </c>
      <c r="G396" s="24">
        <f>IFERROR(__xludf.DUMMYFUNCTION("iferror(filter('3.1.clean'!C:C,'3.1.clean'!A:A=C396),"""")"),43699.0)</f>
        <v>43699</v>
      </c>
      <c r="H396" s="23" t="b">
        <f t="shared" si="252"/>
        <v>1</v>
      </c>
      <c r="J396" s="25"/>
      <c r="K396" s="24">
        <f>IFERROR(__xludf.DUMMYFUNCTION("iferror(filter('3.2.clean'!C:C,'3.2.clean'!A:A=C396),"""")"),43700.0)</f>
        <v>43700</v>
      </c>
      <c r="L396" s="25" t="b">
        <f t="shared" si="248"/>
        <v>1</v>
      </c>
      <c r="M396" s="24">
        <f>IFERROR(__xludf.DUMMYFUNCTION("iferror(filter('3.3.clean'!C:C,'3.3.clean'!A:A=C396),"""")"),43700.0)</f>
        <v>43700</v>
      </c>
      <c r="N396" s="25" t="b">
        <f t="shared" si="249"/>
        <v>1</v>
      </c>
      <c r="O396" s="24">
        <f>IFERROR(__xludf.DUMMYFUNCTION("iferror(filter('3.4.clean'!C:C,'3.4.clean'!A:A=C396),"""")"),43721.0)</f>
        <v>43721</v>
      </c>
      <c r="P396" s="25" t="b">
        <f t="shared" si="250"/>
        <v>1</v>
      </c>
      <c r="Q396" s="24" t="str">
        <f>IFERROR(__xludf.DUMMYFUNCTION("iferror(filter('3.5.clean'!C:C,'3.5.clean'!A:A=C396),"""")"),"")</f>
        <v/>
      </c>
      <c r="R396" s="23" t="b">
        <f t="shared" si="251"/>
        <v>0</v>
      </c>
      <c r="S396" s="25"/>
      <c r="U396" s="23"/>
      <c r="V396" s="1" t="s">
        <v>83</v>
      </c>
      <c r="W396" s="23" t="b">
        <f t="shared" si="253"/>
        <v>1</v>
      </c>
      <c r="X396" s="23" t="str">
        <f>IFERROR(__xludf.DUMMYFUNCTION("if(COUNTA(FILTER(C:C, C:C = C396))=1,""no"",""yes"")"),"no")</f>
        <v>no</v>
      </c>
    </row>
    <row r="397">
      <c r="A397" s="1" t="s">
        <v>469</v>
      </c>
      <c r="B397" s="2">
        <v>3.0</v>
      </c>
      <c r="C397" s="19" t="s">
        <v>558</v>
      </c>
      <c r="E397" s="24">
        <f>IFERROR(__xludf.DUMMYFUNCTION("ifna(IFNA(filter('2.1.clean'!C:C,'2.1.clean'!A:A=C397),filter('2.2.clean'!E:E,'2.2.clean'!D:D=C397)),filter('2.4.clean'!C:C,'2.4.clean'!A:A=C397))"),43699.0)</f>
        <v>43699</v>
      </c>
      <c r="F397" s="25">
        <f>IFERROR(__xludf.DUMMYFUNCTION("iferror(ifna(IFNA(filter('2.1.clean'!E:E,'2.1.clean'!A:A=C397),filter('2.2.clean'!G:G,'2.2.clean'!D:D=C397)),filter('2.4.clean'!E:E,'2.4.clean'!A:A=C397)),)"),2.2)</f>
        <v>2.2</v>
      </c>
      <c r="G397" s="24">
        <f>IFERROR(__xludf.DUMMYFUNCTION("iferror(filter('3.1.clean'!C:C,'3.1.clean'!A:A=C397),"""")"),43699.0)</f>
        <v>43699</v>
      </c>
      <c r="H397" s="23" t="b">
        <f t="shared" si="252"/>
        <v>1</v>
      </c>
      <c r="J397" s="25"/>
      <c r="K397" s="24">
        <f>IFERROR(__xludf.DUMMYFUNCTION("iferror(filter('3.2.clean'!C:C,'3.2.clean'!A:A=C397),"""")"),43700.0)</f>
        <v>43700</v>
      </c>
      <c r="L397" s="25" t="b">
        <f t="shared" si="248"/>
        <v>1</v>
      </c>
      <c r="M397" s="24">
        <f>IFERROR(__xludf.DUMMYFUNCTION("iferror(filter('3.3.clean'!C:C,'3.3.clean'!A:A=C397),"""")"),43700.0)</f>
        <v>43700</v>
      </c>
      <c r="N397" s="25" t="b">
        <f t="shared" si="249"/>
        <v>1</v>
      </c>
      <c r="O397" s="24">
        <f>IFERROR(__xludf.DUMMYFUNCTION("iferror(filter('3.4.clean'!C:C,'3.4.clean'!A:A=C397),"""")"),43721.0)</f>
        <v>43721</v>
      </c>
      <c r="P397" s="25" t="b">
        <f t="shared" si="250"/>
        <v>1</v>
      </c>
      <c r="Q397" s="24" t="str">
        <f>IFERROR(__xludf.DUMMYFUNCTION("iferror(filter('3.5.clean'!C:C,'3.5.clean'!A:A=C397),"""")"),"")</f>
        <v/>
      </c>
      <c r="R397" s="23" t="b">
        <f t="shared" si="251"/>
        <v>0</v>
      </c>
      <c r="S397" s="25"/>
      <c r="U397" s="23"/>
      <c r="V397" s="1" t="s">
        <v>83</v>
      </c>
      <c r="W397" s="23" t="b">
        <f t="shared" si="253"/>
        <v>1</v>
      </c>
      <c r="X397" s="23" t="str">
        <f>IFERROR(__xludf.DUMMYFUNCTION("if(COUNTA(FILTER(C:C, C:C = C397))=1,""no"",""yes"")"),"no")</f>
        <v>no</v>
      </c>
    </row>
    <row r="398">
      <c r="A398" s="1" t="s">
        <v>469</v>
      </c>
      <c r="B398" s="2">
        <v>4.0</v>
      </c>
      <c r="C398" s="19" t="s">
        <v>215</v>
      </c>
      <c r="E398" s="24">
        <f>IFERROR(__xludf.DUMMYFUNCTION("ifna(IFNA(filter('2.1.clean'!C:C,'2.1.clean'!A:A=C398),filter('2.2.clean'!E:E,'2.2.clean'!D:D=C398)),filter('2.4.clean'!C:C,'2.4.clean'!A:A=C398))"),43699.0)</f>
        <v>43699</v>
      </c>
      <c r="F398" s="25">
        <f>IFERROR(__xludf.DUMMYFUNCTION("iferror(ifna(IFNA(filter('2.1.clean'!E:E,'2.1.clean'!A:A=C398),filter('2.2.clean'!G:G,'2.2.clean'!D:D=C398)),filter('2.4.clean'!E:E,'2.4.clean'!A:A=C398)),)"),2.2)</f>
        <v>2.2</v>
      </c>
      <c r="G398" s="24">
        <f>IFERROR(__xludf.DUMMYFUNCTION("iferror(filter('3.1.clean'!C:C,'3.1.clean'!A:A=C398),"""")"),43699.0)</f>
        <v>43699</v>
      </c>
      <c r="H398" s="23" t="b">
        <f t="shared" si="252"/>
        <v>1</v>
      </c>
      <c r="J398" s="25"/>
      <c r="K398" s="24">
        <f>IFERROR(__xludf.DUMMYFUNCTION("iferror(filter('3.2.clean'!C:C,'3.2.clean'!A:A=C398),"""")"),43700.0)</f>
        <v>43700</v>
      </c>
      <c r="L398" s="25" t="b">
        <f t="shared" si="248"/>
        <v>1</v>
      </c>
      <c r="M398" s="24" t="str">
        <f>IFERROR(__xludf.DUMMYFUNCTION("iferror(filter('3.3.clean'!C:C,'3.3.clean'!A:A=C398),"""")"),"#REF!")</f>
        <v>#REF!</v>
      </c>
      <c r="N398" s="25" t="str">
        <f t="shared" si="249"/>
        <v>#REF!</v>
      </c>
      <c r="O398" s="24">
        <f>IFERROR(__xludf.DUMMYFUNCTION("iferror(filter('3.4.clean'!C:C,'3.4.clean'!A:A=C398),"""")"),43721.0)</f>
        <v>43721</v>
      </c>
      <c r="P398" s="25" t="b">
        <f t="shared" si="250"/>
        <v>1</v>
      </c>
      <c r="Q398" s="24" t="str">
        <f>IFERROR(__xludf.DUMMYFUNCTION("iferror(filter('3.5.clean'!C:C,'3.5.clean'!A:A=C398),"""")"),"")</f>
        <v/>
      </c>
      <c r="R398" s="23" t="b">
        <f t="shared" si="251"/>
        <v>0</v>
      </c>
      <c r="S398" s="25"/>
      <c r="U398" s="23"/>
      <c r="V398" s="1" t="s">
        <v>83</v>
      </c>
      <c r="W398" s="1" t="b">
        <v>1</v>
      </c>
      <c r="X398" s="23" t="str">
        <f>IFERROR(__xludf.DUMMYFUNCTION("if(COUNTA(FILTER(C:C, C:C = C398))=1,""no"",""yes"")"),"no")</f>
        <v>no</v>
      </c>
    </row>
    <row r="399">
      <c r="A399" s="1" t="s">
        <v>469</v>
      </c>
      <c r="B399" s="19">
        <v>5.0</v>
      </c>
      <c r="C399" s="19" t="s">
        <v>1114</v>
      </c>
      <c r="D399" s="58" t="str">
        <f t="shared" ref="D399:D400" si="254">if(or(I399=1,J399=1,S399=1),"pos","")</f>
        <v/>
      </c>
      <c r="E399" s="59">
        <f>IFERROR(__xludf.DUMMYFUNCTION("ifna(IFNA(filter('2.1.clean'!C:C,'2.1.clean'!A:A=C399),filter('2.2.clean'!E:E,'2.2.clean'!D:D=C399)),filter('2.4.clean'!C:C,'2.4.clean'!A:A=C399))"),43699.0)</f>
        <v>43699</v>
      </c>
      <c r="F399" s="60">
        <f>IFERROR(__xludf.DUMMYFUNCTION("iferror(ifna(IFNA(filter('2.1.clean'!E:E,'2.1.clean'!A:A=C399),filter('2.2.clean'!G:G,'2.2.clean'!D:D=C399)),filter('2.4.clean'!E:E,'2.4.clean'!A:A=C399)),)"),2.1)</f>
        <v>2.1</v>
      </c>
      <c r="G399" s="59">
        <f>IFERROR(__xludf.DUMMYFUNCTION("iferror(filter('3.1.clean'!C:C,'3.1.clean'!A:A=C399),"""")"),43699.0)</f>
        <v>43699</v>
      </c>
      <c r="H399" s="58" t="b">
        <f t="shared" si="252"/>
        <v>1</v>
      </c>
      <c r="I399" s="58">
        <f>IFERROR(__xludf.DUMMYFUNCTION("iferror(filter('3.1.clean'!G:G,'3.1.clean'!A:A=C399),"""")"),0.0)</f>
        <v>0</v>
      </c>
      <c r="J399" s="60">
        <f>IFERROR(__xludf.DUMMYFUNCTION("iferror(filter('3.1.clean'!I:I,'3.1.clean'!A:A=C399),"""")"),0.0)</f>
        <v>0</v>
      </c>
      <c r="K399" s="58" t="str">
        <f>IFERROR(__xludf.DUMMYFUNCTION("iferror(filter('3.2.clean'!C:C,'3.2.clean'!A:A=C399),"""")"),"")</f>
        <v/>
      </c>
      <c r="L399" s="60" t="b">
        <f t="shared" si="248"/>
        <v>0</v>
      </c>
      <c r="M399" s="59">
        <f>IFERROR(__xludf.DUMMYFUNCTION("iferror(filter('3.3.clean'!C:C,'3.3.clean'!A:A=C399),"""")"),43700.0)</f>
        <v>43700</v>
      </c>
      <c r="N399" s="60" t="b">
        <f t="shared" si="249"/>
        <v>1</v>
      </c>
      <c r="O399" s="59" t="str">
        <f>IFERROR(__xludf.DUMMYFUNCTION("iferror(filter('3.4.clean'!C:C,'3.4.clean'!A:A=C399),"""")"),"")</f>
        <v/>
      </c>
      <c r="P399" s="60" t="b">
        <f t="shared" si="250"/>
        <v>0</v>
      </c>
      <c r="Q399" s="59" t="str">
        <f>IFERROR(__xludf.DUMMYFUNCTION("iferror(filter('3.5.clean'!C:C,'3.5.clean'!A:A=C399),"""")"),"")</f>
        <v/>
      </c>
      <c r="R399" s="58" t="b">
        <f t="shared" si="251"/>
        <v>0</v>
      </c>
      <c r="S399" s="4" t="str">
        <f>IFERROR(__xludf.DUMMYFUNCTION("iferror(filter('3.5.clean'!H:H,'3.5.clean'!A:A=C399),"""")"),"")</f>
        <v/>
      </c>
      <c r="U399" s="23"/>
      <c r="V399" s="1" t="s">
        <v>83</v>
      </c>
      <c r="W399" s="23" t="b">
        <f>if(AND(H399=TRUE,N399=TRUE,P399=TRUE),TRUE,FALSE)</f>
        <v>0</v>
      </c>
      <c r="X399" s="23" t="str">
        <f>IFERROR(__xludf.DUMMYFUNCTION("if(COUNTA(FILTER(C:C, C:C = C399))=1,""no"",""yes"")"),"no")</f>
        <v>no</v>
      </c>
    </row>
    <row r="400">
      <c r="A400" s="1" t="s">
        <v>469</v>
      </c>
      <c r="B400" s="19">
        <v>6.0</v>
      </c>
      <c r="C400" s="19" t="s">
        <v>1116</v>
      </c>
      <c r="D400" s="58" t="str">
        <f t="shared" si="254"/>
        <v/>
      </c>
      <c r="E400" s="59">
        <f>Q400</f>
        <v>43699</v>
      </c>
      <c r="F400" s="60" t="str">
        <f>IFERROR(__xludf.DUMMYFUNCTION("iferror(ifna(IFNA(filter('2.1.clean'!E:E,'2.1.clean'!A:A=C400),filter('2.2.clean'!G:G,'2.2.clean'!D:D=C400)),filter('2.4.clean'!E:E,'2.4.clean'!A:A=C400)),)"),"")</f>
        <v/>
      </c>
      <c r="G400" s="59" t="str">
        <f>IFERROR(__xludf.DUMMYFUNCTION("iferror(filter('3.1.clean'!C:C,'3.1.clean'!A:A=C400),"""")"),"")</f>
        <v/>
      </c>
      <c r="H400" s="58"/>
      <c r="I400" s="58"/>
      <c r="J400" s="60"/>
      <c r="K400" s="58"/>
      <c r="L400" s="60"/>
      <c r="M400" s="59">
        <f>IFERROR(__xludf.DUMMYFUNCTION("iferror(filter('3.3.clean'!C:C,'3.3.clean'!A:A=C400),"""")"),43705.0)</f>
        <v>43705</v>
      </c>
      <c r="N400" s="60" t="b">
        <f t="shared" si="249"/>
        <v>1</v>
      </c>
      <c r="O400" s="59">
        <f>IFERROR(__xludf.DUMMYFUNCTION("iferror(filter('3.4.clean'!C:C,'3.4.clean'!A:A=C400),"""")"),43721.0)</f>
        <v>43721</v>
      </c>
      <c r="P400" s="60" t="b">
        <f t="shared" si="250"/>
        <v>1</v>
      </c>
      <c r="Q400" s="59">
        <f>IFERROR(__xludf.DUMMYFUNCTION("iferror(filter('3.5.clean'!C:C,'3.5.clean'!A:A=C400),"""")"),43699.0)</f>
        <v>43699</v>
      </c>
      <c r="R400" s="58" t="b">
        <f t="shared" si="251"/>
        <v>1</v>
      </c>
      <c r="S400" s="4">
        <f>IFERROR(__xludf.DUMMYFUNCTION("iferror(filter('3.5.clean'!H:H,'3.5.clean'!A:A=C400),"""")"),0.0)</f>
        <v>0</v>
      </c>
      <c r="U400" s="23"/>
      <c r="V400" s="1" t="s">
        <v>64</v>
      </c>
      <c r="W400" s="23" t="b">
        <f>if(AND(R400=TRUE,N400=TRUE,P400=TRUE),TRUE,FALSE)</f>
        <v>1</v>
      </c>
      <c r="X400" s="23" t="str">
        <f>IFERROR(__xludf.DUMMYFUNCTION("if(COUNTA(FILTER(C:C, C:C = C400))=1,""no"",""yes"")"),"no")</f>
        <v>no</v>
      </c>
    </row>
    <row r="401">
      <c r="A401" s="1" t="s">
        <v>469</v>
      </c>
      <c r="B401" s="2">
        <v>7.0</v>
      </c>
      <c r="C401" s="19" t="s">
        <v>553</v>
      </c>
      <c r="E401" s="24">
        <f>IFERROR(__xludf.DUMMYFUNCTION("ifna(IFNA(filter('2.1.clean'!C:C,'2.1.clean'!A:A=C401),filter('2.2.clean'!E:E,'2.2.clean'!D:D=C401)),filter('2.4.clean'!C:C,'2.4.clean'!A:A=C401))"),43699.0)</f>
        <v>43699</v>
      </c>
      <c r="F401" s="25">
        <f>IFERROR(__xludf.DUMMYFUNCTION("iferror(ifna(IFNA(filter('2.1.clean'!E:E,'2.1.clean'!A:A=C401),filter('2.2.clean'!G:G,'2.2.clean'!D:D=C401)),filter('2.4.clean'!E:E,'2.4.clean'!A:A=C401)),)"),2.2)</f>
        <v>2.2</v>
      </c>
      <c r="G401" s="24">
        <f>IFERROR(__xludf.DUMMYFUNCTION("iferror(filter('3.1.clean'!C:C,'3.1.clean'!A:A=C401),"""")"),43699.0)</f>
        <v>43699</v>
      </c>
      <c r="H401" s="23" t="b">
        <f t="shared" ref="H401:H405" si="255">if(G401="",FALSE,TRUE)</f>
        <v>1</v>
      </c>
      <c r="J401" s="25"/>
      <c r="K401" s="24">
        <f>IFERROR(__xludf.DUMMYFUNCTION("iferror(filter('3.2.clean'!C:C,'3.2.clean'!A:A=C401),"""")"),43700.0)</f>
        <v>43700</v>
      </c>
      <c r="L401" s="25" t="b">
        <f t="shared" ref="L401:L405" si="256">if(K401="",FALSE,TRUE)</f>
        <v>1</v>
      </c>
      <c r="M401" s="24" t="str">
        <f>IFERROR(__xludf.DUMMYFUNCTION("iferror(filter('3.3.clean'!C:C,'3.3.clean'!A:A=C401),"""")"),"")</f>
        <v/>
      </c>
      <c r="N401" s="25" t="b">
        <f t="shared" si="249"/>
        <v>0</v>
      </c>
      <c r="O401" s="24">
        <f>IFERROR(__xludf.DUMMYFUNCTION("iferror(filter('3.4.clean'!C:C,'3.4.clean'!A:A=C401),"""")"),43721.0)</f>
        <v>43721</v>
      </c>
      <c r="P401" s="25" t="b">
        <f t="shared" si="250"/>
        <v>1</v>
      </c>
      <c r="Q401" s="24" t="str">
        <f>IFERROR(__xludf.DUMMYFUNCTION("iferror(filter('3.5.clean'!C:C,'3.5.clean'!A:A=C401),"""")"),"")</f>
        <v/>
      </c>
      <c r="R401" s="23" t="b">
        <f t="shared" si="251"/>
        <v>0</v>
      </c>
      <c r="S401" s="25"/>
      <c r="U401" s="23"/>
      <c r="V401" s="1" t="s">
        <v>83</v>
      </c>
      <c r="W401" s="23" t="b">
        <f t="shared" ref="W401:W404" si="257">IF(and(H401=TRUE,L401=TRUE,N401=TRUE,P401=TRUE),TRUE,FALSE)</f>
        <v>0</v>
      </c>
      <c r="X401" s="23" t="str">
        <f>IFERROR(__xludf.DUMMYFUNCTION("if(COUNTA(FILTER(C:C, C:C = C401))=1,""no"",""yes"")"),"no")</f>
        <v>no</v>
      </c>
    </row>
    <row r="402">
      <c r="A402" s="1" t="s">
        <v>469</v>
      </c>
      <c r="B402" s="2">
        <v>8.0</v>
      </c>
      <c r="C402" s="19" t="s">
        <v>562</v>
      </c>
      <c r="E402" s="24">
        <f>IFERROR(__xludf.DUMMYFUNCTION("ifna(IFNA(filter('2.1.clean'!C:C,'2.1.clean'!A:A=C402),filter('2.2.clean'!E:E,'2.2.clean'!D:D=C402)),filter('2.4.clean'!C:C,'2.4.clean'!A:A=C402))"),43699.0)</f>
        <v>43699</v>
      </c>
      <c r="F402" s="25">
        <f>IFERROR(__xludf.DUMMYFUNCTION("iferror(ifna(IFNA(filter('2.1.clean'!E:E,'2.1.clean'!A:A=C402),filter('2.2.clean'!G:G,'2.2.clean'!D:D=C402)),filter('2.4.clean'!E:E,'2.4.clean'!A:A=C402)),)"),2.2)</f>
        <v>2.2</v>
      </c>
      <c r="G402" s="24">
        <f>IFERROR(__xludf.DUMMYFUNCTION("iferror(filter('3.1.clean'!C:C,'3.1.clean'!A:A=C402),"""")"),43699.0)</f>
        <v>43699</v>
      </c>
      <c r="H402" s="23" t="b">
        <f t="shared" si="255"/>
        <v>1</v>
      </c>
      <c r="J402" s="25"/>
      <c r="K402" s="24">
        <f>IFERROR(__xludf.DUMMYFUNCTION("iferror(filter('3.2.clean'!C:C,'3.2.clean'!A:A=C402),"""")"),43700.0)</f>
        <v>43700</v>
      </c>
      <c r="L402" s="25" t="b">
        <f t="shared" si="256"/>
        <v>1</v>
      </c>
      <c r="M402" s="24">
        <f>IFERROR(__xludf.DUMMYFUNCTION("iferror(filter('3.3.clean'!C:C,'3.3.clean'!A:A=C402),"""")"),43700.0)</f>
        <v>43700</v>
      </c>
      <c r="N402" s="25" t="b">
        <f t="shared" si="249"/>
        <v>1</v>
      </c>
      <c r="O402" s="24">
        <f>IFERROR(__xludf.DUMMYFUNCTION("iferror(filter('3.4.clean'!C:C,'3.4.clean'!A:A=C402),"""")"),43721.0)</f>
        <v>43721</v>
      </c>
      <c r="P402" s="25" t="b">
        <f t="shared" si="250"/>
        <v>1</v>
      </c>
      <c r="Q402" s="24" t="str">
        <f>IFERROR(__xludf.DUMMYFUNCTION("iferror(filter('3.5.clean'!C:C,'3.5.clean'!A:A=C402),"""")"),"")</f>
        <v/>
      </c>
      <c r="R402" s="23" t="b">
        <f t="shared" si="251"/>
        <v>0</v>
      </c>
      <c r="S402" s="25"/>
      <c r="U402" s="23"/>
      <c r="V402" s="1" t="s">
        <v>83</v>
      </c>
      <c r="W402" s="23" t="b">
        <f t="shared" si="257"/>
        <v>1</v>
      </c>
      <c r="X402" s="23" t="str">
        <f>IFERROR(__xludf.DUMMYFUNCTION("if(COUNTA(FILTER(C:C, C:C = C402))=1,""no"",""yes"")"),"no")</f>
        <v>no</v>
      </c>
    </row>
    <row r="403">
      <c r="A403" s="1" t="s">
        <v>469</v>
      </c>
      <c r="B403" s="2">
        <v>9.0</v>
      </c>
      <c r="C403" s="19" t="s">
        <v>565</v>
      </c>
      <c r="E403" s="24">
        <f>IFERROR(__xludf.DUMMYFUNCTION("ifna(IFNA(filter('2.1.clean'!C:C,'2.1.clean'!A:A=C403),filter('2.2.clean'!E:E,'2.2.clean'!D:D=C403)),filter('2.4.clean'!C:C,'2.4.clean'!A:A=C403))"),43699.0)</f>
        <v>43699</v>
      </c>
      <c r="F403" s="25">
        <f>IFERROR(__xludf.DUMMYFUNCTION("iferror(ifna(IFNA(filter('2.1.clean'!E:E,'2.1.clean'!A:A=C403),filter('2.2.clean'!G:G,'2.2.clean'!D:D=C403)),filter('2.4.clean'!E:E,'2.4.clean'!A:A=C403)),)"),2.2)</f>
        <v>2.2</v>
      </c>
      <c r="G403" s="24">
        <f>IFERROR(__xludf.DUMMYFUNCTION("iferror(filter('3.1.clean'!C:C,'3.1.clean'!A:A=C403),"""")"),43699.0)</f>
        <v>43699</v>
      </c>
      <c r="H403" s="23" t="b">
        <f t="shared" si="255"/>
        <v>1</v>
      </c>
      <c r="J403" s="25"/>
      <c r="K403" s="24">
        <f>IFERROR(__xludf.DUMMYFUNCTION("iferror(filter('3.2.clean'!C:C,'3.2.clean'!A:A=C403),"""")"),43700.0)</f>
        <v>43700</v>
      </c>
      <c r="L403" s="25" t="b">
        <f t="shared" si="256"/>
        <v>1</v>
      </c>
      <c r="M403" s="24">
        <f>IFERROR(__xludf.DUMMYFUNCTION("iferror(filter('3.3.clean'!C:C,'3.3.clean'!A:A=C403),"""")"),43700.0)</f>
        <v>43700</v>
      </c>
      <c r="N403" s="25" t="b">
        <f t="shared" si="249"/>
        <v>1</v>
      </c>
      <c r="O403" s="24">
        <f>IFERROR(__xludf.DUMMYFUNCTION("iferror(filter('3.4.clean'!C:C,'3.4.clean'!A:A=C403),"""")"),43721.0)</f>
        <v>43721</v>
      </c>
      <c r="P403" s="25" t="b">
        <f t="shared" si="250"/>
        <v>1</v>
      </c>
      <c r="Q403" s="24" t="str">
        <f>IFERROR(__xludf.DUMMYFUNCTION("iferror(filter('3.5.clean'!C:C,'3.5.clean'!A:A=C403),"""")"),"")</f>
        <v/>
      </c>
      <c r="R403" s="23" t="b">
        <f t="shared" si="251"/>
        <v>0</v>
      </c>
      <c r="S403" s="25"/>
      <c r="U403" s="23"/>
      <c r="V403" s="1" t="s">
        <v>83</v>
      </c>
      <c r="W403" s="23" t="b">
        <f t="shared" si="257"/>
        <v>1</v>
      </c>
      <c r="X403" s="23" t="str">
        <f>IFERROR(__xludf.DUMMYFUNCTION("if(COUNTA(FILTER(C:C, C:C = C403))=1,""no"",""yes"")"),"no")</f>
        <v>no</v>
      </c>
      <c r="Y403" s="39"/>
      <c r="Z403" s="39"/>
      <c r="AA403" s="39"/>
      <c r="AB403" s="39"/>
      <c r="AC403" s="39"/>
      <c r="AD403" s="39"/>
      <c r="AE403" s="39"/>
      <c r="AF403" s="39"/>
      <c r="AG403" s="39"/>
      <c r="AH403" s="39"/>
    </row>
    <row r="404">
      <c r="A404" s="1" t="s">
        <v>469</v>
      </c>
      <c r="B404" s="2">
        <v>10.0</v>
      </c>
      <c r="C404" s="19" t="s">
        <v>567</v>
      </c>
      <c r="E404" s="24">
        <f>IFERROR(__xludf.DUMMYFUNCTION("ifna(IFNA(filter('2.1.clean'!C:C,'2.1.clean'!A:A=C404),filter('2.2.clean'!E:E,'2.2.clean'!D:D=C404)),filter('2.4.clean'!C:C,'2.4.clean'!A:A=C404))"),43699.0)</f>
        <v>43699</v>
      </c>
      <c r="F404" s="25">
        <f>IFERROR(__xludf.DUMMYFUNCTION("iferror(ifna(IFNA(filter('2.1.clean'!E:E,'2.1.clean'!A:A=C404),filter('2.2.clean'!G:G,'2.2.clean'!D:D=C404)),filter('2.4.clean'!E:E,'2.4.clean'!A:A=C404)),)"),2.2)</f>
        <v>2.2</v>
      </c>
      <c r="G404" s="24">
        <f>IFERROR(__xludf.DUMMYFUNCTION("iferror(filter('3.1.clean'!C:C,'3.1.clean'!A:A=C404),"""")"),43699.0)</f>
        <v>43699</v>
      </c>
      <c r="H404" s="23" t="b">
        <f t="shared" si="255"/>
        <v>1</v>
      </c>
      <c r="J404" s="25"/>
      <c r="K404" s="24">
        <f>IFERROR(__xludf.DUMMYFUNCTION("iferror(filter('3.2.clean'!C:C,'3.2.clean'!A:A=C404),"""")"),43700.0)</f>
        <v>43700</v>
      </c>
      <c r="L404" s="25" t="b">
        <f t="shared" si="256"/>
        <v>1</v>
      </c>
      <c r="M404" s="24">
        <f>IFERROR(__xludf.DUMMYFUNCTION("iferror(filter('3.3.clean'!C:C,'3.3.clean'!A:A=C404),"""")"),43700.0)</f>
        <v>43700</v>
      </c>
      <c r="N404" s="25" t="b">
        <f t="shared" si="249"/>
        <v>1</v>
      </c>
      <c r="O404" s="24">
        <f>IFERROR(__xludf.DUMMYFUNCTION("iferror(filter('3.4.clean'!C:C,'3.4.clean'!A:A=C404),"""")"),43721.0)</f>
        <v>43721</v>
      </c>
      <c r="P404" s="25" t="b">
        <f t="shared" si="250"/>
        <v>1</v>
      </c>
      <c r="Q404" s="24" t="str">
        <f>IFERROR(__xludf.DUMMYFUNCTION("iferror(filter('3.5.clean'!C:C,'3.5.clean'!A:A=C404),"""")"),"")</f>
        <v/>
      </c>
      <c r="R404" s="23" t="b">
        <f t="shared" si="251"/>
        <v>0</v>
      </c>
      <c r="S404" s="25"/>
      <c r="U404" s="23"/>
      <c r="V404" s="1" t="s">
        <v>83</v>
      </c>
      <c r="W404" s="23" t="b">
        <f t="shared" si="257"/>
        <v>1</v>
      </c>
      <c r="X404" s="23" t="str">
        <f>IFERROR(__xludf.DUMMYFUNCTION("if(COUNTA(FILTER(C:C, C:C = C404))=1,""no"",""yes"")"),"no")</f>
        <v>no</v>
      </c>
    </row>
    <row r="405">
      <c r="A405" s="1" t="s">
        <v>469</v>
      </c>
      <c r="B405" s="19">
        <v>11.0</v>
      </c>
      <c r="C405" s="19" t="s">
        <v>1119</v>
      </c>
      <c r="D405" s="58" t="str">
        <f t="shared" ref="D405:D407" si="258">if(or(I405=1,J405=1,S405=1),"pos","")</f>
        <v/>
      </c>
      <c r="E405" s="59">
        <f>IFERROR(__xludf.DUMMYFUNCTION("ifna(IFNA(filter('2.1.clean'!C:C,'2.1.clean'!A:A=C405),filter('2.2.clean'!E:E,'2.2.clean'!D:D=C405)),filter('2.4.clean'!C:C,'2.4.clean'!A:A=C405))"),43699.0)</f>
        <v>43699</v>
      </c>
      <c r="F405" s="60">
        <f>IFERROR(__xludf.DUMMYFUNCTION("iferror(ifna(IFNA(filter('2.1.clean'!E:E,'2.1.clean'!A:A=C405),filter('2.2.clean'!G:G,'2.2.clean'!D:D=C405)),filter('2.4.clean'!E:E,'2.4.clean'!A:A=C405)),)"),2.1)</f>
        <v>2.1</v>
      </c>
      <c r="G405" s="59">
        <f>IFERROR(__xludf.DUMMYFUNCTION("iferror(filter('3.1.clean'!C:C,'3.1.clean'!A:A=C405),"""")"),43699.0)</f>
        <v>43699</v>
      </c>
      <c r="H405" s="58" t="b">
        <f t="shared" si="255"/>
        <v>1</v>
      </c>
      <c r="I405" s="58">
        <f>IFERROR(__xludf.DUMMYFUNCTION("iferror(filter('3.1.clean'!G:G,'3.1.clean'!A:A=C405),"""")"),0.0)</f>
        <v>0</v>
      </c>
      <c r="J405" s="60">
        <f>IFERROR(__xludf.DUMMYFUNCTION("iferror(filter('3.1.clean'!I:I,'3.1.clean'!A:A=C405),"""")"),0.0)</f>
        <v>0</v>
      </c>
      <c r="K405" s="58" t="str">
        <f>IFERROR(__xludf.DUMMYFUNCTION("iferror(filter('3.2.clean'!C:C,'3.2.clean'!A:A=C405),"""")"),"")</f>
        <v/>
      </c>
      <c r="L405" s="60" t="b">
        <f t="shared" si="256"/>
        <v>0</v>
      </c>
      <c r="M405" s="59">
        <f>IFERROR(__xludf.DUMMYFUNCTION("iferror(filter('3.3.clean'!C:C,'3.3.clean'!A:A=C405),"""")"),43700.0)</f>
        <v>43700</v>
      </c>
      <c r="N405" s="60" t="b">
        <f t="shared" si="249"/>
        <v>1</v>
      </c>
      <c r="O405" s="59" t="str">
        <f>IFERROR(__xludf.DUMMYFUNCTION("iferror(filter('3.4.clean'!C:C,'3.4.clean'!A:A=C405),"""")"),"")</f>
        <v/>
      </c>
      <c r="P405" s="60" t="b">
        <f t="shared" si="250"/>
        <v>0</v>
      </c>
      <c r="Q405" s="59" t="str">
        <f>IFERROR(__xludf.DUMMYFUNCTION("iferror(filter('3.5.clean'!C:C,'3.5.clean'!A:A=C405),"""")"),"")</f>
        <v/>
      </c>
      <c r="R405" s="58" t="b">
        <f t="shared" si="251"/>
        <v>0</v>
      </c>
      <c r="S405" s="4" t="str">
        <f>IFERROR(__xludf.DUMMYFUNCTION("iferror(filter('3.5.clean'!H:H,'3.5.clean'!A:A=C405),"""")"),"")</f>
        <v/>
      </c>
      <c r="U405" s="23"/>
      <c r="V405" s="1" t="s">
        <v>83</v>
      </c>
      <c r="W405" s="23" t="b">
        <f>if(AND(H405=TRUE,N405=TRUE,P405=TRUE),TRUE,FALSE)</f>
        <v>0</v>
      </c>
      <c r="X405" s="23" t="str">
        <f>IFERROR(__xludf.DUMMYFUNCTION("if(COUNTA(FILTER(C:C, C:C = C405))=1,""no"",""yes"")"),"no")</f>
        <v>no</v>
      </c>
    </row>
    <row r="406">
      <c r="A406" s="1" t="s">
        <v>469</v>
      </c>
      <c r="B406" s="19">
        <v>12.0</v>
      </c>
      <c r="C406" s="19" t="s">
        <v>1120</v>
      </c>
      <c r="D406" s="58" t="str">
        <f t="shared" si="258"/>
        <v/>
      </c>
      <c r="E406" s="59">
        <f>Q406</f>
        <v>43699</v>
      </c>
      <c r="F406" s="60" t="str">
        <f>IFERROR(__xludf.DUMMYFUNCTION("iferror(ifna(IFNA(filter('2.1.clean'!E:E,'2.1.clean'!A:A=C406),filter('2.2.clean'!G:G,'2.2.clean'!D:D=C406)),filter('2.4.clean'!E:E,'2.4.clean'!A:A=C406)),)"),"")</f>
        <v/>
      </c>
      <c r="G406" s="59" t="str">
        <f>IFERROR(__xludf.DUMMYFUNCTION("iferror(filter('3.1.clean'!C:C,'3.1.clean'!A:A=C406),"""")"),"")</f>
        <v/>
      </c>
      <c r="H406" s="58"/>
      <c r="I406" s="58"/>
      <c r="J406" s="60"/>
      <c r="K406" s="58"/>
      <c r="L406" s="60"/>
      <c r="M406" s="59">
        <f>IFERROR(__xludf.DUMMYFUNCTION("iferror(filter('3.3.clean'!C:C,'3.3.clean'!A:A=C406),"""")"),43705.0)</f>
        <v>43705</v>
      </c>
      <c r="N406" s="60" t="b">
        <f t="shared" si="249"/>
        <v>1</v>
      </c>
      <c r="O406" s="59">
        <f>IFERROR(__xludf.DUMMYFUNCTION("iferror(filter('3.4.clean'!C:C,'3.4.clean'!A:A=C406),"""")"),43721.0)</f>
        <v>43721</v>
      </c>
      <c r="P406" s="60" t="b">
        <f t="shared" si="250"/>
        <v>1</v>
      </c>
      <c r="Q406" s="59">
        <f>IFERROR(__xludf.DUMMYFUNCTION("iferror(filter('3.5.clean'!C:C,'3.5.clean'!A:A=C406),"""")"),43699.0)</f>
        <v>43699</v>
      </c>
      <c r="R406" s="58" t="b">
        <f t="shared" si="251"/>
        <v>1</v>
      </c>
      <c r="S406" s="4">
        <f>IFERROR(__xludf.DUMMYFUNCTION("iferror(filter('3.5.clean'!H:H,'3.5.clean'!A:A=C406),"""")"),0.0)</f>
        <v>0</v>
      </c>
      <c r="U406" s="23"/>
      <c r="V406" s="1" t="s">
        <v>64</v>
      </c>
      <c r="W406" s="23" t="b">
        <f>if(AND(R406=TRUE,N406=TRUE,P406=TRUE),TRUE,FALSE)</f>
        <v>1</v>
      </c>
      <c r="X406" s="23" t="str">
        <f>IFERROR(__xludf.DUMMYFUNCTION("if(COUNTA(FILTER(C:C, C:C = C406))=1,""no"",""yes"")"),"no")</f>
        <v>no</v>
      </c>
    </row>
    <row r="407">
      <c r="A407" s="1" t="s">
        <v>469</v>
      </c>
      <c r="B407" s="19">
        <v>13.0</v>
      </c>
      <c r="C407" s="19" t="s">
        <v>1122</v>
      </c>
      <c r="D407" s="76" t="str">
        <f t="shared" si="258"/>
        <v/>
      </c>
      <c r="E407" s="77">
        <f>G407</f>
        <v>43699</v>
      </c>
      <c r="F407" s="78" t="str">
        <f>IFERROR(__xludf.DUMMYFUNCTION("iferror(ifna(IFNA(filter('2.1.clean'!E:E,'2.1.clean'!A:A=C407),filter('2.2.clean'!G:G,'2.2.clean'!D:D=C407)),filter('2.4.clean'!E:E,'2.4.clean'!A:A=C407)),)"),"")</f>
        <v/>
      </c>
      <c r="G407" s="77">
        <f>IFERROR(__xludf.DUMMYFUNCTION("iferror(filter('3.1.clean'!C:C,'3.1.clean'!A:A=C407),"""")"),43699.0)</f>
        <v>43699</v>
      </c>
      <c r="H407" s="76" t="b">
        <f t="shared" ref="H407:H409" si="259">if(G407="",FALSE,TRUE)</f>
        <v>1</v>
      </c>
      <c r="I407" s="76">
        <f>IFERROR(__xludf.DUMMYFUNCTION("iferror(filter('3.1.clean'!G:G,'3.1.clean'!A:A=C407),"""")"),0.0)</f>
        <v>0</v>
      </c>
      <c r="J407" s="78">
        <f>IFERROR(__xludf.DUMMYFUNCTION("iferror(filter('3.1.clean'!I:I,'3.1.clean'!A:A=C407),"""")"),0.0)</f>
        <v>0</v>
      </c>
      <c r="K407" s="77"/>
      <c r="L407" s="78"/>
      <c r="M407" s="77"/>
      <c r="N407" s="78"/>
      <c r="O407" s="77"/>
      <c r="P407" s="78"/>
      <c r="Q407" s="77"/>
      <c r="R407" s="76"/>
      <c r="S407" s="25"/>
      <c r="T407" s="1"/>
      <c r="V407" s="1" t="s">
        <v>83</v>
      </c>
      <c r="W407" s="1" t="b">
        <v>1</v>
      </c>
      <c r="X407" s="23" t="str">
        <f>IFERROR(__xludf.DUMMYFUNCTION("if(COUNTA(FILTER(C:C, C:C = C407))=1,""no"",""yes"")"),"no")</f>
        <v>no</v>
      </c>
    </row>
    <row r="408">
      <c r="A408" s="83" t="s">
        <v>472</v>
      </c>
      <c r="B408" s="28">
        <v>1.0</v>
      </c>
      <c r="C408" s="27" t="s">
        <v>1123</v>
      </c>
      <c r="D408" s="24"/>
      <c r="E408" s="24">
        <f>IFERROR(__xludf.DUMMYFUNCTION("ifna(IFNA(filter('2.1.clean'!C:C,'2.1.clean'!A:A=C408),filter('2.2.clean'!E:E,'2.2.clean'!D:D=C408)),filter('2.4.clean'!C:C,'2.4.clean'!A:A=C408))"),43703.0)</f>
        <v>43703</v>
      </c>
      <c r="F408" s="25">
        <f>IFERROR(__xludf.DUMMYFUNCTION("iferror(ifna(IFNA(filter('2.1.clean'!E:E,'2.1.clean'!A:A=C408),filter('2.2.clean'!G:G,'2.2.clean'!D:D=C408)),filter('2.4.clean'!E:E,'2.4.clean'!A:A=C408)),)"),2.1)</f>
        <v>2.1</v>
      </c>
      <c r="G408" s="24" t="str">
        <f>IFERROR(__xludf.DUMMYFUNCTION("iferror(filter('3.1.clean'!C:C,'3.1.clean'!B:B=C408),"""")"),"")</f>
        <v/>
      </c>
      <c r="H408" s="23" t="b">
        <f t="shared" si="259"/>
        <v>0</v>
      </c>
      <c r="J408" s="25"/>
      <c r="K408" s="24">
        <f>IFERROR(__xludf.DUMMYFUNCTION("iferror(filter('3.2.clean'!C:C,'3.2.clean'!A:A=C408),"""")"),43704.0)</f>
        <v>43704</v>
      </c>
      <c r="L408" s="25" t="b">
        <f t="shared" ref="L408:L417" si="260">if(K408="",FALSE,TRUE)</f>
        <v>1</v>
      </c>
      <c r="M408" s="24">
        <f>IFERROR(__xludf.DUMMYFUNCTION("iferror(filter('3.3.clean'!C:C,'3.3.clean'!A:A=C408),"""")"),43705.0)</f>
        <v>43705</v>
      </c>
      <c r="N408" s="25" t="b">
        <f t="shared" ref="N408:N417" si="261">if(M408="",FALSE,TRUE)</f>
        <v>1</v>
      </c>
      <c r="O408" s="24">
        <f>IFERROR(__xludf.DUMMYFUNCTION("iferror(filter('3.4.clean'!C:C,'3.4.clean'!A:A=C408),"""")"),43721.0)</f>
        <v>43721</v>
      </c>
      <c r="P408" s="25" t="b">
        <f t="shared" ref="P408:P417" si="262">if(O408="",FALSE,TRUE)</f>
        <v>1</v>
      </c>
      <c r="Q408" s="24"/>
      <c r="S408" s="25"/>
      <c r="U408" s="23" t="s">
        <v>177</v>
      </c>
      <c r="V408" s="1" t="s">
        <v>83</v>
      </c>
      <c r="W408" s="23" t="b">
        <f>IF(and(H408=TRUE,L408=TRUE,N408=TRUE,P408=TRUE),TRUE,FALSE)</f>
        <v>0</v>
      </c>
      <c r="X408" s="23" t="str">
        <f>IFERROR(__xludf.DUMMYFUNCTION("if(COUNTA(FILTER(C:C, C:C = C408))=1,""no"",""yes"")"),"no")</f>
        <v>no</v>
      </c>
    </row>
    <row r="409">
      <c r="A409" s="83" t="s">
        <v>472</v>
      </c>
      <c r="B409" s="19">
        <v>2.0</v>
      </c>
      <c r="C409" s="19" t="s">
        <v>1125</v>
      </c>
      <c r="D409" s="58" t="str">
        <f t="shared" ref="D409:D410" si="263">if(or(I409=1,J409=1,S409=1),"pos","")</f>
        <v/>
      </c>
      <c r="E409" s="59">
        <f>IFERROR(__xludf.DUMMYFUNCTION("ifna(IFNA(filter('2.1.clean'!C:C,'2.1.clean'!A:A=C409),filter('2.2.clean'!E:E,'2.2.clean'!D:D=C409)),filter('2.4.clean'!C:C,'2.4.clean'!A:A=C409))"),43703.0)</f>
        <v>43703</v>
      </c>
      <c r="F409" s="60">
        <f>IFERROR(__xludf.DUMMYFUNCTION("iferror(ifna(IFNA(filter('2.1.clean'!E:E,'2.1.clean'!A:A=C409),filter('2.2.clean'!G:G,'2.2.clean'!D:D=C409)),filter('2.4.clean'!E:E,'2.4.clean'!A:A=C409)),)"),2.1)</f>
        <v>2.1</v>
      </c>
      <c r="G409" s="59">
        <f>IFERROR(__xludf.DUMMYFUNCTION("iferror(filter('3.1.clean'!C:C,'3.1.clean'!A:A=C409),"""")"),43703.0)</f>
        <v>43703</v>
      </c>
      <c r="H409" s="58" t="b">
        <f t="shared" si="259"/>
        <v>1</v>
      </c>
      <c r="I409" s="58">
        <f>IFERROR(__xludf.DUMMYFUNCTION("iferror(filter('3.1.clean'!G:G,'3.1.clean'!A:A=C409),"""")"),0.0)</f>
        <v>0</v>
      </c>
      <c r="J409" s="60">
        <f>IFERROR(__xludf.DUMMYFUNCTION("iferror(filter('3.1.clean'!I:I,'3.1.clean'!A:A=C409),"""")"),0.0)</f>
        <v>0</v>
      </c>
      <c r="K409" s="58" t="str">
        <f>IFERROR(__xludf.DUMMYFUNCTION("iferror(filter('3.2.clean'!C:C,'3.2.clean'!A:A=C409),"""")"),"")</f>
        <v/>
      </c>
      <c r="L409" s="60" t="b">
        <f t="shared" si="260"/>
        <v>0</v>
      </c>
      <c r="M409" s="59">
        <f>IFERROR(__xludf.DUMMYFUNCTION("iferror(filter('3.3.clean'!C:C,'3.3.clean'!A:A=C409),"""")"),43705.0)</f>
        <v>43705</v>
      </c>
      <c r="N409" s="60" t="b">
        <f t="shared" si="261"/>
        <v>1</v>
      </c>
      <c r="O409" s="59" t="str">
        <f>IFERROR(__xludf.DUMMYFUNCTION("iferror(filter('3.4.clean'!C:C,'3.4.clean'!A:A=C409),"""")"),"")</f>
        <v/>
      </c>
      <c r="P409" s="60" t="b">
        <f t="shared" si="262"/>
        <v>0</v>
      </c>
      <c r="Q409" s="59" t="str">
        <f>IFERROR(__xludf.DUMMYFUNCTION("iferror(filter('3.5.clean'!C:C,'3.5.clean'!A:A=C409),"""")"),"")</f>
        <v/>
      </c>
      <c r="R409" s="58" t="b">
        <f t="shared" ref="R409:R410" si="264">if(Q409="",FALSE,TRUE)</f>
        <v>0</v>
      </c>
      <c r="S409" s="4" t="str">
        <f>IFERROR(__xludf.DUMMYFUNCTION("iferror(filter('3.5.clean'!H:H,'3.5.clean'!A:A=C409),"""")"),"")</f>
        <v/>
      </c>
      <c r="U409" s="23"/>
      <c r="V409" s="1" t="s">
        <v>83</v>
      </c>
      <c r="W409" s="23" t="b">
        <f>if(AND(H409=TRUE,N409=TRUE,P409=TRUE),TRUE,FALSE)</f>
        <v>0</v>
      </c>
      <c r="X409" s="23" t="str">
        <f>IFERROR(__xludf.DUMMYFUNCTION("if(COUNTA(FILTER(C:C, C:C = C409))=1,""no"",""yes"")"),"no")</f>
        <v>no</v>
      </c>
    </row>
    <row r="410">
      <c r="A410" s="83" t="s">
        <v>472</v>
      </c>
      <c r="B410" s="19">
        <v>3.0</v>
      </c>
      <c r="C410" s="19" t="s">
        <v>1126</v>
      </c>
      <c r="D410" s="58" t="str">
        <f t="shared" si="263"/>
        <v/>
      </c>
      <c r="E410" s="59">
        <f>Q410</f>
        <v>43703</v>
      </c>
      <c r="F410" s="60" t="str">
        <f>IFERROR(__xludf.DUMMYFUNCTION("iferror(ifna(IFNA(filter('2.1.clean'!E:E,'2.1.clean'!A:A=C410),filter('2.2.clean'!G:G,'2.2.clean'!D:D=C410)),filter('2.4.clean'!E:E,'2.4.clean'!A:A=C410)),)"),"")</f>
        <v/>
      </c>
      <c r="G410" s="59" t="str">
        <f>IFERROR(__xludf.DUMMYFUNCTION("iferror(filter('3.1.clean'!C:C,'3.1.clean'!B:B=C410),"""")"),"")</f>
        <v/>
      </c>
      <c r="H410" s="58"/>
      <c r="I410" s="58"/>
      <c r="J410" s="60"/>
      <c r="K410" s="58" t="str">
        <f>IFERROR(__xludf.DUMMYFUNCTION("iferror(filter('3.2.clean'!C:C,'3.2.clean'!A:A=C410),"""")"),"")</f>
        <v/>
      </c>
      <c r="L410" s="60" t="b">
        <f t="shared" si="260"/>
        <v>0</v>
      </c>
      <c r="M410" s="59">
        <f>IFERROR(__xludf.DUMMYFUNCTION("iferror(filter('3.3.clean'!C:C,'3.3.clean'!A:A=C410),"""")"),43705.0)</f>
        <v>43705</v>
      </c>
      <c r="N410" s="60" t="b">
        <f t="shared" si="261"/>
        <v>1</v>
      </c>
      <c r="O410" s="59">
        <f>IFERROR(__xludf.DUMMYFUNCTION("iferror(filter('3.4.clean'!C:C,'3.4.clean'!A:A=C410),"""")"),43721.0)</f>
        <v>43721</v>
      </c>
      <c r="P410" s="60" t="b">
        <f t="shared" si="262"/>
        <v>1</v>
      </c>
      <c r="Q410" s="59">
        <f>IFERROR(__xludf.DUMMYFUNCTION("iferror(filter('3.5.clean'!C:C,'3.5.clean'!A:A=C410),"""")"),43703.0)</f>
        <v>43703</v>
      </c>
      <c r="R410" s="58" t="b">
        <f t="shared" si="264"/>
        <v>1</v>
      </c>
      <c r="S410" s="4">
        <f>IFERROR(__xludf.DUMMYFUNCTION("iferror(filter('3.5.clean'!H:H,'3.5.clean'!A:A=C410),"""")"),0.0)</f>
        <v>0</v>
      </c>
      <c r="U410" s="23"/>
      <c r="V410" s="1" t="s">
        <v>83</v>
      </c>
      <c r="W410" s="23" t="b">
        <f>if(AND(R410=TRUE,N410=TRUE,P410=TRUE),TRUE,FALSE)</f>
        <v>1</v>
      </c>
      <c r="X410" s="23" t="str">
        <f>IFERROR(__xludf.DUMMYFUNCTION("if(COUNTA(FILTER(C:C, C:C = C410))=1,""no"",""yes"")"),"no")</f>
        <v>no</v>
      </c>
    </row>
    <row r="411">
      <c r="A411" s="83" t="s">
        <v>472</v>
      </c>
      <c r="B411" s="28">
        <v>4.0</v>
      </c>
      <c r="C411" s="27" t="s">
        <v>1128</v>
      </c>
      <c r="D411" s="24"/>
      <c r="E411" s="24">
        <f>IFERROR(__xludf.DUMMYFUNCTION("ifna(IFNA(filter('2.1.clean'!C:C,'2.1.clean'!A:A=C411),filter('2.2.clean'!E:E,'2.2.clean'!D:D=C411)),filter('2.4.clean'!C:C,'2.4.clean'!A:A=C411))"),43703.0)</f>
        <v>43703</v>
      </c>
      <c r="F411" s="25">
        <f>IFERROR(__xludf.DUMMYFUNCTION("iferror(ifna(IFNA(filter('2.1.clean'!E:E,'2.1.clean'!A:A=C411),filter('2.2.clean'!G:G,'2.2.clean'!D:D=C411)),filter('2.4.clean'!E:E,'2.4.clean'!A:A=C411)),)"),2.1)</f>
        <v>2.1</v>
      </c>
      <c r="G411" s="24" t="str">
        <f>IFERROR(__xludf.DUMMYFUNCTION("iferror(filter('3.1.clean'!C:C,'3.1.clean'!B:B=C411),"""")"),"")</f>
        <v/>
      </c>
      <c r="H411" s="23" t="b">
        <f t="shared" ref="H411:H412" si="265">if(G411="",FALSE,TRUE)</f>
        <v>0</v>
      </c>
      <c r="J411" s="25"/>
      <c r="K411" s="24">
        <f>IFERROR(__xludf.DUMMYFUNCTION("iferror(filter('3.2.clean'!C:C,'3.2.clean'!A:A=C411),"""")"),43673.0)</f>
        <v>43673</v>
      </c>
      <c r="L411" s="25" t="b">
        <f t="shared" si="260"/>
        <v>1</v>
      </c>
      <c r="M411" s="24">
        <f>IFERROR(__xludf.DUMMYFUNCTION("iferror(filter('3.3.clean'!C:C,'3.3.clean'!A:A=C411),"""")"),43705.0)</f>
        <v>43705</v>
      </c>
      <c r="N411" s="25" t="b">
        <f t="shared" si="261"/>
        <v>1</v>
      </c>
      <c r="O411" s="24">
        <f>IFERROR(__xludf.DUMMYFUNCTION("iferror(filter('3.4.clean'!C:C,'3.4.clean'!A:A=C411),"""")"),43721.0)</f>
        <v>43721</v>
      </c>
      <c r="P411" s="25" t="b">
        <f t="shared" si="262"/>
        <v>1</v>
      </c>
      <c r="Q411" s="24"/>
      <c r="S411" s="25"/>
      <c r="U411" s="23" t="s">
        <v>177</v>
      </c>
      <c r="V411" s="1" t="s">
        <v>83</v>
      </c>
      <c r="W411" s="23" t="b">
        <f>IF(and(H411=TRUE,L411=TRUE,N411=TRUE,P411=TRUE),TRUE,FALSE)</f>
        <v>0</v>
      </c>
      <c r="X411" s="23" t="str">
        <f>IFERROR(__xludf.DUMMYFUNCTION("if(COUNTA(FILTER(C:C, C:C = C411))=1,""no"",""yes"")"),"no")</f>
        <v>no</v>
      </c>
    </row>
    <row r="412">
      <c r="A412" s="83" t="s">
        <v>472</v>
      </c>
      <c r="B412" s="19">
        <v>5.0</v>
      </c>
      <c r="C412" s="19" t="s">
        <v>1129</v>
      </c>
      <c r="D412" s="58" t="str">
        <f t="shared" ref="D412:D413" si="266">if(or(I412=1,J412=1,S412=1),"pos","")</f>
        <v/>
      </c>
      <c r="E412" s="59">
        <f>IFERROR(__xludf.DUMMYFUNCTION("ifna(IFNA(filter('2.1.clean'!C:C,'2.1.clean'!A:A=C412),filter('2.2.clean'!E:E,'2.2.clean'!D:D=C412)),filter('2.4.clean'!C:C,'2.4.clean'!A:A=C412))"),43703.0)</f>
        <v>43703</v>
      </c>
      <c r="F412" s="60">
        <f>IFERROR(__xludf.DUMMYFUNCTION("iferror(ifna(IFNA(filter('2.1.clean'!E:E,'2.1.clean'!A:A=C412),filter('2.2.clean'!G:G,'2.2.clean'!D:D=C412)),filter('2.4.clean'!E:E,'2.4.clean'!A:A=C412)),)"),2.1)</f>
        <v>2.1</v>
      </c>
      <c r="G412" s="59">
        <f>IFERROR(__xludf.DUMMYFUNCTION("iferror(filter('3.1.clean'!C:C,'3.1.clean'!A:A=C412),"""")"),43703.0)</f>
        <v>43703</v>
      </c>
      <c r="H412" s="58" t="b">
        <f t="shared" si="265"/>
        <v>1</v>
      </c>
      <c r="I412" s="58">
        <f>IFERROR(__xludf.DUMMYFUNCTION("iferror(filter('3.1.clean'!G:G,'3.1.clean'!A:A=C412),"""")"),0.0)</f>
        <v>0</v>
      </c>
      <c r="J412" s="60">
        <f>IFERROR(__xludf.DUMMYFUNCTION("iferror(filter('3.1.clean'!I:I,'3.1.clean'!A:A=C412),"""")"),0.0)</f>
        <v>0</v>
      </c>
      <c r="K412" s="58" t="str">
        <f>IFERROR(__xludf.DUMMYFUNCTION("iferror(filter('3.2.clean'!C:C,'3.2.clean'!A:A=C412),"""")"),"")</f>
        <v/>
      </c>
      <c r="L412" s="60" t="b">
        <f t="shared" si="260"/>
        <v>0</v>
      </c>
      <c r="M412" s="59">
        <f>IFERROR(__xludf.DUMMYFUNCTION("iferror(filter('3.3.clean'!C:C,'3.3.clean'!A:A=C412),"""")"),43705.0)</f>
        <v>43705</v>
      </c>
      <c r="N412" s="60" t="b">
        <f t="shared" si="261"/>
        <v>1</v>
      </c>
      <c r="O412" s="59" t="str">
        <f>IFERROR(__xludf.DUMMYFUNCTION("iferror(filter('3.4.clean'!C:C,'3.4.clean'!A:A=C412),"""")"),"")</f>
        <v/>
      </c>
      <c r="P412" s="60" t="b">
        <f t="shared" si="262"/>
        <v>0</v>
      </c>
      <c r="Q412" s="59" t="str">
        <f>IFERROR(__xludf.DUMMYFUNCTION("iferror(filter('3.5.clean'!C:C,'3.5.clean'!A:A=C412),"""")"),"")</f>
        <v/>
      </c>
      <c r="R412" s="58" t="b">
        <f t="shared" ref="R412:R413" si="267">if(Q412="",FALSE,TRUE)</f>
        <v>0</v>
      </c>
      <c r="S412" s="4" t="str">
        <f>IFERROR(__xludf.DUMMYFUNCTION("iferror(filter('3.5.clean'!H:H,'3.5.clean'!A:A=C412),"""")"),"")</f>
        <v/>
      </c>
      <c r="U412" s="23"/>
      <c r="V412" s="1" t="s">
        <v>83</v>
      </c>
      <c r="W412" s="23" t="b">
        <f>if(AND(H412=TRUE,N412=TRUE,P412=TRUE),TRUE,FALSE)</f>
        <v>0</v>
      </c>
      <c r="X412" s="23" t="str">
        <f>IFERROR(__xludf.DUMMYFUNCTION("if(COUNTA(FILTER(C:C, C:C = C412))=1,""no"",""yes"")"),"no")</f>
        <v>no</v>
      </c>
    </row>
    <row r="413">
      <c r="A413" s="83" t="s">
        <v>472</v>
      </c>
      <c r="B413" s="19">
        <v>6.0</v>
      </c>
      <c r="C413" s="19" t="s">
        <v>1131</v>
      </c>
      <c r="D413" s="58" t="str">
        <f t="shared" si="266"/>
        <v/>
      </c>
      <c r="E413" s="59">
        <f>Q413</f>
        <v>43703</v>
      </c>
      <c r="F413" s="60" t="str">
        <f>IFERROR(__xludf.DUMMYFUNCTION("iferror(ifna(IFNA(filter('2.1.clean'!E:E,'2.1.clean'!A:A=C413),filter('2.2.clean'!G:G,'2.2.clean'!D:D=C413)),filter('2.4.clean'!E:E,'2.4.clean'!A:A=C413)),)"),"")</f>
        <v/>
      </c>
      <c r="G413" s="59" t="str">
        <f>IFERROR(__xludf.DUMMYFUNCTION("iferror(filter('3.1.clean'!C:C,'3.1.clean'!B:B=C413),"""")"),"")</f>
        <v/>
      </c>
      <c r="H413" s="58"/>
      <c r="I413" s="58"/>
      <c r="J413" s="60"/>
      <c r="K413" s="58" t="str">
        <f>IFERROR(__xludf.DUMMYFUNCTION("iferror(filter('3.2.clean'!C:C,'3.2.clean'!A:A=C413),"""")"),"")</f>
        <v/>
      </c>
      <c r="L413" s="60" t="b">
        <f t="shared" si="260"/>
        <v>0</v>
      </c>
      <c r="M413" s="59">
        <f>IFERROR(__xludf.DUMMYFUNCTION("iferror(filter('3.3.clean'!C:C,'3.3.clean'!A:A=C413),"""")"),43705.0)</f>
        <v>43705</v>
      </c>
      <c r="N413" s="60" t="b">
        <f t="shared" si="261"/>
        <v>1</v>
      </c>
      <c r="O413" s="59">
        <f>IFERROR(__xludf.DUMMYFUNCTION("iferror(filter('3.4.clean'!C:C,'3.4.clean'!A:A=C413),"""")"),43721.0)</f>
        <v>43721</v>
      </c>
      <c r="P413" s="60" t="b">
        <f t="shared" si="262"/>
        <v>1</v>
      </c>
      <c r="Q413" s="59">
        <f>IFERROR(__xludf.DUMMYFUNCTION("iferror(filter('3.5.clean'!C:C,'3.5.clean'!A:A=C413),"""")"),43703.0)</f>
        <v>43703</v>
      </c>
      <c r="R413" s="58" t="b">
        <f t="shared" si="267"/>
        <v>1</v>
      </c>
      <c r="S413" s="4">
        <f>IFERROR(__xludf.DUMMYFUNCTION("iferror(filter('3.5.clean'!H:H,'3.5.clean'!A:A=C413),"""")"),0.0)</f>
        <v>0</v>
      </c>
      <c r="U413" s="23"/>
      <c r="V413" s="1" t="s">
        <v>83</v>
      </c>
      <c r="W413" s="23" t="b">
        <f>if(AND(R413=TRUE,N413=TRUE,P413=TRUE),TRUE,FALSE)</f>
        <v>1</v>
      </c>
      <c r="X413" s="23" t="str">
        <f>IFERROR(__xludf.DUMMYFUNCTION("if(COUNTA(FILTER(C:C, C:C = C413))=1,""no"",""yes"")"),"no")</f>
        <v>no</v>
      </c>
    </row>
    <row r="414">
      <c r="A414" s="83" t="s">
        <v>472</v>
      </c>
      <c r="B414" s="28">
        <v>7.0</v>
      </c>
      <c r="C414" s="27" t="s">
        <v>1132</v>
      </c>
      <c r="D414" s="24"/>
      <c r="E414" s="24">
        <f>IFERROR(__xludf.DUMMYFUNCTION("ifna(IFNA(filter('2.1.clean'!C:C,'2.1.clean'!A:A=C414),filter('2.2.clean'!E:E,'2.2.clean'!D:D=C414)),filter('2.4.clean'!C:C,'2.4.clean'!A:A=C414))"),43703.0)</f>
        <v>43703</v>
      </c>
      <c r="F414" s="25">
        <f>IFERROR(__xludf.DUMMYFUNCTION("iferror(ifna(IFNA(filter('2.1.clean'!E:E,'2.1.clean'!A:A=C414),filter('2.2.clean'!G:G,'2.2.clean'!D:D=C414)),filter('2.4.clean'!E:E,'2.4.clean'!A:A=C414)),)"),2.1)</f>
        <v>2.1</v>
      </c>
      <c r="G414" s="24">
        <f>IFERROR(__xludf.DUMMYFUNCTION("iferror(filter('3.1.clean'!C:C,'3.1.clean'!A:A=C414),"""")"),43703.0)</f>
        <v>43703</v>
      </c>
      <c r="H414" s="23" t="b">
        <f t="shared" ref="H414:H415" si="268">if(G414="",FALSE,TRUE)</f>
        <v>1</v>
      </c>
      <c r="J414" s="25"/>
      <c r="K414" s="24" t="str">
        <f>IFERROR(__xludf.DUMMYFUNCTION("iferror(filter('3.2.clean'!C:C,'3.2.clean'!A:A=C414),"""")"),"#REF!")</f>
        <v>#REF!</v>
      </c>
      <c r="L414" s="25" t="str">
        <f t="shared" si="260"/>
        <v>#REF!</v>
      </c>
      <c r="M414" s="24">
        <f>IFERROR(__xludf.DUMMYFUNCTION("iferror(filter('3.3.clean'!C:C,'3.3.clean'!A:A=C414),"""")"),43705.0)</f>
        <v>43705</v>
      </c>
      <c r="N414" s="25" t="b">
        <f t="shared" si="261"/>
        <v>1</v>
      </c>
      <c r="O414" s="24">
        <f>IFERROR(__xludf.DUMMYFUNCTION("iferror(filter('3.4.clean'!C:C,'3.4.clean'!A:A=C414),"""")"),43721.0)</f>
        <v>43721</v>
      </c>
      <c r="P414" s="25" t="b">
        <f t="shared" si="262"/>
        <v>1</v>
      </c>
      <c r="Q414" s="24"/>
      <c r="S414" s="25"/>
      <c r="U414" s="23"/>
      <c r="V414" s="1" t="s">
        <v>83</v>
      </c>
      <c r="W414" s="23" t="str">
        <f>IF(and(H414=TRUE,L414=TRUE,N414=TRUE,P414=TRUE),TRUE,FALSE)</f>
        <v>#REF!</v>
      </c>
      <c r="X414" s="23" t="str">
        <f>IFERROR(__xludf.DUMMYFUNCTION("if(COUNTA(FILTER(C:C, C:C = C414))=1,""no"",""yes"")"),"no")</f>
        <v>no</v>
      </c>
    </row>
    <row r="415">
      <c r="A415" s="83" t="s">
        <v>472</v>
      </c>
      <c r="B415" s="19">
        <v>8.0</v>
      </c>
      <c r="C415" s="19" t="s">
        <v>1134</v>
      </c>
      <c r="D415" s="58" t="str">
        <f t="shared" ref="D415:D416" si="269">if(or(I415=1,J415=1,S415=1),"pos","")</f>
        <v/>
      </c>
      <c r="E415" s="59">
        <f>IFERROR(__xludf.DUMMYFUNCTION("ifna(IFNA(filter('2.1.clean'!C:C,'2.1.clean'!A:A=C415),filter('2.2.clean'!E:E,'2.2.clean'!D:D=C415)),filter('2.4.clean'!C:C,'2.4.clean'!A:A=C415))"),43703.0)</f>
        <v>43703</v>
      </c>
      <c r="F415" s="60">
        <f>IFERROR(__xludf.DUMMYFUNCTION("iferror(ifna(IFNA(filter('2.1.clean'!E:E,'2.1.clean'!A:A=C415),filter('2.2.clean'!G:G,'2.2.clean'!D:D=C415)),filter('2.4.clean'!E:E,'2.4.clean'!A:A=C415)),)"),2.1)</f>
        <v>2.1</v>
      </c>
      <c r="G415" s="59">
        <f>IFERROR(__xludf.DUMMYFUNCTION("iferror(filter('3.1.clean'!C:C,'3.1.clean'!A:A=C415),"""")"),43703.0)</f>
        <v>43703</v>
      </c>
      <c r="H415" s="58" t="b">
        <f t="shared" si="268"/>
        <v>1</v>
      </c>
      <c r="I415" s="58">
        <f>IFERROR(__xludf.DUMMYFUNCTION("iferror(filter('3.1.clean'!G:G,'3.1.clean'!A:A=C415),"""")"),0.0)</f>
        <v>0</v>
      </c>
      <c r="J415" s="60">
        <f>IFERROR(__xludf.DUMMYFUNCTION("iferror(filter('3.1.clean'!I:I,'3.1.clean'!A:A=C415),"""")"),0.0)</f>
        <v>0</v>
      </c>
      <c r="K415" s="58" t="str">
        <f>IFERROR(__xludf.DUMMYFUNCTION("iferror(filter('3.2.clean'!C:C,'3.2.clean'!A:A=C415),"""")"),"")</f>
        <v/>
      </c>
      <c r="L415" s="60" t="b">
        <f t="shared" si="260"/>
        <v>0</v>
      </c>
      <c r="M415" s="59">
        <f>IFERROR(__xludf.DUMMYFUNCTION("iferror(filter('3.3.clean'!C:C,'3.3.clean'!A:A=C415),"""")"),43705.0)</f>
        <v>43705</v>
      </c>
      <c r="N415" s="60" t="b">
        <f t="shared" si="261"/>
        <v>1</v>
      </c>
      <c r="O415" s="59" t="str">
        <f>IFERROR(__xludf.DUMMYFUNCTION("iferror(filter('3.4.clean'!C:C,'3.4.clean'!A:A=C415),"""")"),"")</f>
        <v/>
      </c>
      <c r="P415" s="60" t="b">
        <f t="shared" si="262"/>
        <v>0</v>
      </c>
      <c r="Q415" s="59" t="str">
        <f>IFERROR(__xludf.DUMMYFUNCTION("iferror(filter('3.5.clean'!C:C,'3.5.clean'!A:A=C415),"""")"),"")</f>
        <v/>
      </c>
      <c r="R415" s="58"/>
      <c r="S415" s="4" t="str">
        <f>IFERROR(__xludf.DUMMYFUNCTION("iferror(filter('3.5.clean'!H:H,'3.5.clean'!A:A=C415),"""")"),"")</f>
        <v/>
      </c>
      <c r="U415" s="23"/>
      <c r="V415" s="1" t="s">
        <v>83</v>
      </c>
      <c r="W415" s="23" t="b">
        <f>if(AND(H415=TRUE,N415=TRUE,P415=TRUE),TRUE,FALSE)</f>
        <v>0</v>
      </c>
      <c r="X415" s="23" t="str">
        <f>IFERROR(__xludf.DUMMYFUNCTION("if(COUNTA(FILTER(C:C, C:C = C415))=1,""no"",""yes"")"),"no")</f>
        <v>no</v>
      </c>
    </row>
    <row r="416">
      <c r="A416" s="83" t="s">
        <v>472</v>
      </c>
      <c r="B416" s="19">
        <v>9.0</v>
      </c>
      <c r="C416" s="19" t="s">
        <v>1136</v>
      </c>
      <c r="D416" s="58" t="str">
        <f t="shared" si="269"/>
        <v/>
      </c>
      <c r="E416" s="59">
        <f>Q416</f>
        <v>43703</v>
      </c>
      <c r="F416" s="60" t="str">
        <f>IFERROR(__xludf.DUMMYFUNCTION("iferror(ifna(IFNA(filter('2.1.clean'!E:E,'2.1.clean'!A:A=C416),filter('2.2.clean'!G:G,'2.2.clean'!D:D=C416)),filter('2.4.clean'!E:E,'2.4.clean'!A:A=C416)),)"),"")</f>
        <v/>
      </c>
      <c r="G416" s="59" t="str">
        <f>IFERROR(__xludf.DUMMYFUNCTION("iferror(filter('3.1.clean'!C:C,'3.1.clean'!B:B=C416),"""")"),"")</f>
        <v/>
      </c>
      <c r="H416" s="58"/>
      <c r="I416" s="58"/>
      <c r="J416" s="60"/>
      <c r="K416" s="58" t="str">
        <f>IFERROR(__xludf.DUMMYFUNCTION("iferror(filter('3.2.clean'!C:C,'3.2.clean'!A:A=C416),"""")"),"")</f>
        <v/>
      </c>
      <c r="L416" s="60" t="b">
        <f t="shared" si="260"/>
        <v>0</v>
      </c>
      <c r="M416" s="59">
        <f>IFERROR(__xludf.DUMMYFUNCTION("iferror(filter('3.3.clean'!C:C,'3.3.clean'!A:A=C416),"""")"),43705.0)</f>
        <v>43705</v>
      </c>
      <c r="N416" s="60" t="b">
        <f t="shared" si="261"/>
        <v>1</v>
      </c>
      <c r="O416" s="59">
        <f>IFERROR(__xludf.DUMMYFUNCTION("iferror(filter('3.4.clean'!C:C,'3.4.clean'!A:A=C416),"""")"),43724.0)</f>
        <v>43724</v>
      </c>
      <c r="P416" s="60" t="b">
        <f t="shared" si="262"/>
        <v>1</v>
      </c>
      <c r="Q416" s="59">
        <f>IFERROR(__xludf.DUMMYFUNCTION("iferror(filter('3.5.clean'!C:C,'3.5.clean'!A:A=C416),"""")"),43703.0)</f>
        <v>43703</v>
      </c>
      <c r="R416" s="58" t="b">
        <f t="shared" ref="R416:R417" si="270">if(Q416="",FALSE,TRUE)</f>
        <v>1</v>
      </c>
      <c r="S416" s="4">
        <f>IFERROR(__xludf.DUMMYFUNCTION("iferror(filter('3.5.clean'!H:H,'3.5.clean'!A:A=C416),"""")"),0.0)</f>
        <v>0</v>
      </c>
      <c r="U416" s="23"/>
      <c r="V416" s="1" t="s">
        <v>83</v>
      </c>
      <c r="W416" s="23" t="b">
        <f>if(AND(R416=TRUE,N416=TRUE,P416=TRUE),TRUE,FALSE)</f>
        <v>1</v>
      </c>
      <c r="X416" s="23" t="str">
        <f>IFERROR(__xludf.DUMMYFUNCTION("if(COUNTA(FILTER(C:C, C:C = C416))=1,""no"",""yes"")"),"no")</f>
        <v>no</v>
      </c>
    </row>
    <row r="417">
      <c r="A417" s="83" t="s">
        <v>472</v>
      </c>
      <c r="B417" s="28">
        <v>10.0</v>
      </c>
      <c r="C417" s="27" t="s">
        <v>1137</v>
      </c>
      <c r="E417" s="24">
        <f>IFERROR(__xludf.DUMMYFUNCTION("ifna(IFNA(filter('2.1.clean'!C:C,'2.1.clean'!A:A=C417),filter('2.2.clean'!E:E,'2.2.clean'!D:D=C417)),filter('2.4.clean'!C:C,'2.4.clean'!A:A=C417))"),43703.0)</f>
        <v>43703</v>
      </c>
      <c r="F417" s="25">
        <f>IFERROR(__xludf.DUMMYFUNCTION("iferror(ifna(IFNA(filter('2.1.clean'!E:E,'2.1.clean'!A:A=C417),filter('2.2.clean'!G:G,'2.2.clean'!D:D=C417)),filter('2.4.clean'!E:E,'2.4.clean'!A:A=C417)),)"),2.4)</f>
        <v>2.4</v>
      </c>
      <c r="G417" s="24" t="str">
        <f>IFERROR(__xludf.DUMMYFUNCTION("iferror(filter('3.1.clean'!C:C,'3.1.clean'!A:A=C417),"""")"),"")</f>
        <v/>
      </c>
      <c r="H417" s="23" t="b">
        <f t="shared" ref="H417:H418" si="271">if(G417="",FALSE,TRUE)</f>
        <v>0</v>
      </c>
      <c r="J417" s="25"/>
      <c r="K417" s="24" t="str">
        <f>IFERROR(__xludf.DUMMYFUNCTION("iferror(filter('3.2.clean'!C:C,'3.2.clean'!A:A=C417),"""")"),"")</f>
        <v/>
      </c>
      <c r="L417" s="25" t="b">
        <f t="shared" si="260"/>
        <v>0</v>
      </c>
      <c r="M417" s="24">
        <f>IFERROR(__xludf.DUMMYFUNCTION("iferror(filter('3.3.clean'!C:C,'3.3.clean'!A:A=C417),"""")"),43705.0)</f>
        <v>43705</v>
      </c>
      <c r="N417" s="25" t="b">
        <f t="shared" si="261"/>
        <v>1</v>
      </c>
      <c r="O417" s="24" t="str">
        <f>IFERROR(__xludf.DUMMYFUNCTION("iferror(filter('3.4.clean'!C:C,'3.4.clean'!A:A=C417),"""")"),"")</f>
        <v/>
      </c>
      <c r="P417" s="25" t="b">
        <f t="shared" si="262"/>
        <v>0</v>
      </c>
      <c r="Q417" s="24" t="str">
        <f>IFERROR(__xludf.DUMMYFUNCTION("iferror(filter('3.5.clean'!C:C,'3.5.clean'!A:A=C417),"""")"),"")</f>
        <v/>
      </c>
      <c r="R417" s="23" t="b">
        <f t="shared" si="270"/>
        <v>0</v>
      </c>
      <c r="S417" s="25"/>
      <c r="U417" s="23"/>
      <c r="V417" s="1" t="s">
        <v>64</v>
      </c>
      <c r="X417" s="23" t="str">
        <f>IFERROR(__xludf.DUMMYFUNCTION("if(COUNTA(FILTER(C:C, C:C = C417))=1,""no"",""yes"")"),"no")</f>
        <v>no</v>
      </c>
    </row>
    <row r="418">
      <c r="A418" s="83" t="s">
        <v>472</v>
      </c>
      <c r="B418" s="19">
        <v>11.0</v>
      </c>
      <c r="C418" s="19" t="s">
        <v>1138</v>
      </c>
      <c r="D418" s="76" t="str">
        <f>if(or(I418=1,J418=1,S418=1),"pos","")</f>
        <v/>
      </c>
      <c r="E418" s="77">
        <f>G418</f>
        <v>43703</v>
      </c>
      <c r="F418" s="78" t="str">
        <f>IFERROR(__xludf.DUMMYFUNCTION("iferror(ifna(IFNA(filter('2.1.clean'!E:E,'2.1.clean'!A:A=C418),filter('2.2.clean'!G:G,'2.2.clean'!D:D=C418)),filter('2.4.clean'!E:E,'2.4.clean'!A:A=C418)),)"),"")</f>
        <v/>
      </c>
      <c r="G418" s="77">
        <f>IFERROR(__xludf.DUMMYFUNCTION("iferror(filter('3.1.clean'!C:C,'3.1.clean'!A:A=C418),"""")"),43703.0)</f>
        <v>43703</v>
      </c>
      <c r="H418" s="76" t="b">
        <f t="shared" si="271"/>
        <v>1</v>
      </c>
      <c r="I418" s="76">
        <f>IFERROR(__xludf.DUMMYFUNCTION("iferror(filter('3.1.clean'!G:G,'3.1.clean'!A:A=C418),"""")"),0.0)</f>
        <v>0</v>
      </c>
      <c r="J418" s="78">
        <f>IFERROR(__xludf.DUMMYFUNCTION("iferror(filter('3.1.clean'!I:I,'3.1.clean'!A:A=C418),"""")"),0.0)</f>
        <v>0</v>
      </c>
      <c r="K418" s="77"/>
      <c r="L418" s="78"/>
      <c r="M418" s="77"/>
      <c r="N418" s="78"/>
      <c r="O418" s="77"/>
      <c r="P418" s="78"/>
      <c r="Q418" s="77"/>
      <c r="R418" s="76"/>
      <c r="S418" s="25"/>
      <c r="T418" s="1"/>
      <c r="V418" s="1" t="s">
        <v>83</v>
      </c>
      <c r="W418" s="1" t="b">
        <v>1</v>
      </c>
      <c r="X418" s="23" t="str">
        <f>IFERROR(__xludf.DUMMYFUNCTION("if(COUNTA(FILTER(C:C, C:C = C418))=1,""no"",""yes"")"),"no")</f>
        <v>no</v>
      </c>
    </row>
    <row r="419">
      <c r="A419" s="75" t="s">
        <v>478</v>
      </c>
      <c r="B419" s="28">
        <v>1.0</v>
      </c>
      <c r="C419" s="27" t="s">
        <v>1140</v>
      </c>
      <c r="E419" s="24">
        <f>IFERROR(__xludf.DUMMYFUNCTION("ifna(IFNA(filter('2.1.clean'!C:C,'2.1.clean'!A:A=C419),filter('2.2.clean'!E:E,'2.2.clean'!D:D=C419)),filter('2.4.clean'!C:C,'2.4.clean'!A:A=C419))"),43704.0)</f>
        <v>43704</v>
      </c>
      <c r="F419" s="25">
        <f>IFERROR(__xludf.DUMMYFUNCTION("iferror(ifna(IFNA(filter('2.1.clean'!E:E,'2.1.clean'!A:A=C419),filter('2.2.clean'!G:G,'2.2.clean'!D:D=C419)),filter('2.4.clean'!E:E,'2.4.clean'!A:A=C419)),)"),2.4)</f>
        <v>2.4</v>
      </c>
      <c r="G419" s="24"/>
      <c r="J419" s="25"/>
      <c r="K419" s="24"/>
      <c r="L419" s="25"/>
      <c r="M419" s="24">
        <f>IFERROR(__xludf.DUMMYFUNCTION("iferror(filter('3.3.clean'!C:C,'3.3.clean'!A:A=C419),"""")"),43705.0)</f>
        <v>43705</v>
      </c>
      <c r="N419" s="25" t="b">
        <f t="shared" ref="N419:N426" si="272">if(M419="",FALSE,TRUE)</f>
        <v>1</v>
      </c>
      <c r="O419" s="24" t="str">
        <f>IFERROR(__xludf.DUMMYFUNCTION("iferror(filter('3.4.clean'!C:C,'3.4.clean'!A:A=C419),"""")"),"")</f>
        <v/>
      </c>
      <c r="P419" s="25" t="b">
        <f t="shared" ref="P419:P426" si="273">if(O419="",FALSE,TRUE)</f>
        <v>0</v>
      </c>
      <c r="Q419" s="24">
        <f>IFERROR(__xludf.DUMMYFUNCTION("iferror(filter('3.5.clean'!C:C,'3.5.clean'!A:A=C419),"""")"),43704.0)</f>
        <v>43704</v>
      </c>
      <c r="R419" s="23" t="b">
        <f>if(Q419="",FALSE,TRUE)</f>
        <v>1</v>
      </c>
      <c r="S419" s="25"/>
      <c r="U419" s="1" t="s">
        <v>382</v>
      </c>
      <c r="V419" s="1" t="s">
        <v>64</v>
      </c>
      <c r="W419" s="23" t="b">
        <f>IF(and(R419=TRUE,N419=TRUE,P419=TRUE),TRUE,FALSE)</f>
        <v>0</v>
      </c>
      <c r="X419" s="23" t="str">
        <f>IFERROR(__xludf.DUMMYFUNCTION("if(COUNTA(FILTER(C:C, C:C = C419))=1,""no"",""yes"")"),"no")</f>
        <v>no</v>
      </c>
    </row>
    <row r="420">
      <c r="A420" s="75" t="s">
        <v>478</v>
      </c>
      <c r="B420" s="19">
        <v>2.0</v>
      </c>
      <c r="C420" s="19" t="s">
        <v>1141</v>
      </c>
      <c r="D420" s="58" t="str">
        <f t="shared" ref="D420:D421" si="274">if(or(I420=1,J420=1,S420=1),"pos","")</f>
        <v/>
      </c>
      <c r="E420" s="59">
        <f>IFERROR(__xludf.DUMMYFUNCTION("ifna(IFNA(filter('2.1.clean'!C:C,'2.1.clean'!A:A=C420),filter('2.2.clean'!E:E,'2.2.clean'!D:D=C420)),filter('2.4.clean'!C:C,'2.4.clean'!A:A=C420))"),43704.0)</f>
        <v>43704</v>
      </c>
      <c r="F420" s="60">
        <f>IFERROR(__xludf.DUMMYFUNCTION("iferror(ifna(IFNA(filter('2.1.clean'!E:E,'2.1.clean'!A:A=C420),filter('2.2.clean'!G:G,'2.2.clean'!D:D=C420)),filter('2.4.clean'!E:E,'2.4.clean'!A:A=C420)),)"),2.4)</f>
        <v>2.4</v>
      </c>
      <c r="G420" s="59">
        <f>IFERROR(__xludf.DUMMYFUNCTION("iferror(filter('3.1.clean'!C:C,'3.1.clean'!A:A=C420),"""")"),43704.0)</f>
        <v>43704</v>
      </c>
      <c r="H420" s="58" t="b">
        <f>if(G420="",FALSE,TRUE)</f>
        <v>1</v>
      </c>
      <c r="I420" s="58">
        <f>IFERROR(__xludf.DUMMYFUNCTION("iferror(filter('3.1.clean'!G:G,'3.1.clean'!A:A=C420),"""")"),0.0)</f>
        <v>0</v>
      </c>
      <c r="J420" s="60">
        <f>IFERROR(__xludf.DUMMYFUNCTION("iferror(filter('3.1.clean'!I:I,'3.1.clean'!A:A=C420),"""")"),0.0)</f>
        <v>0</v>
      </c>
      <c r="K420" s="58"/>
      <c r="L420" s="60"/>
      <c r="M420" s="59">
        <f>IFERROR(__xludf.DUMMYFUNCTION("iferror(filter('3.3.clean'!C:C,'3.3.clean'!A:A=C420),"""")"),43710.0)</f>
        <v>43710</v>
      </c>
      <c r="N420" s="60" t="b">
        <f t="shared" si="272"/>
        <v>1</v>
      </c>
      <c r="O420" s="59" t="str">
        <f>IFERROR(__xludf.DUMMYFUNCTION("iferror(filter('3.4.clean'!C:C,'3.4.clean'!A:A=C420),"""")"),"")</f>
        <v/>
      </c>
      <c r="P420" s="60" t="b">
        <f t="shared" si="273"/>
        <v>0</v>
      </c>
      <c r="Q420" s="59" t="str">
        <f>IFERROR(__xludf.DUMMYFUNCTION("iferror(filter('3.5.clean'!C:C,'3.5.clean'!A:A=C420),"""")"),"")</f>
        <v/>
      </c>
      <c r="R420" s="58"/>
      <c r="S420" s="4" t="str">
        <f>IFERROR(__xludf.DUMMYFUNCTION("iferror(filter('3.5.clean'!H:H,'3.5.clean'!A:A=C420),"""")"),"")</f>
        <v/>
      </c>
      <c r="U420" s="23"/>
      <c r="V420" s="1" t="s">
        <v>64</v>
      </c>
      <c r="W420" s="23" t="b">
        <f>if(AND(H420=TRUE,N420=TRUE,P420=TRUE),TRUE,FALSE)</f>
        <v>0</v>
      </c>
      <c r="X420" s="23" t="str">
        <f>IFERROR(__xludf.DUMMYFUNCTION("if(COUNTA(FILTER(C:C, C:C = C420))=1,""no"",""yes"")"),"no")</f>
        <v>no</v>
      </c>
    </row>
    <row r="421">
      <c r="A421" s="75" t="s">
        <v>478</v>
      </c>
      <c r="B421" s="19">
        <v>3.0</v>
      </c>
      <c r="C421" s="19" t="s">
        <v>1143</v>
      </c>
      <c r="D421" s="58" t="str">
        <f t="shared" si="274"/>
        <v/>
      </c>
      <c r="E421" s="59">
        <f>Q421</f>
        <v>43704</v>
      </c>
      <c r="F421" s="60" t="str">
        <f>IFERROR(__xludf.DUMMYFUNCTION("iferror(ifna(IFNA(filter('2.1.clean'!E:E,'2.1.clean'!A:A=C421),filter('2.2.clean'!G:G,'2.2.clean'!D:D=C421)),filter('2.4.clean'!E:E,'2.4.clean'!A:A=C421)),)"),"")</f>
        <v/>
      </c>
      <c r="G421" s="59" t="str">
        <f>IFERROR(__xludf.DUMMYFUNCTION("iferror(filter('3.1.clean'!C:C,'3.1.clean'!A:A=C421),"""")"),"")</f>
        <v/>
      </c>
      <c r="H421" s="58"/>
      <c r="I421" s="58"/>
      <c r="J421" s="60"/>
      <c r="K421" s="58"/>
      <c r="L421" s="60"/>
      <c r="M421" s="59">
        <f>IFERROR(__xludf.DUMMYFUNCTION("iferror(filter('3.3.clean'!C:C,'3.3.clean'!A:A=C421),"""")"),43710.0)</f>
        <v>43710</v>
      </c>
      <c r="N421" s="60" t="b">
        <f t="shared" si="272"/>
        <v>1</v>
      </c>
      <c r="O421" s="59" t="str">
        <f>IFERROR(__xludf.DUMMYFUNCTION("iferror(filter('3.4.clean'!C:C,'3.4.clean'!A:A=C421),"""")"),"")</f>
        <v/>
      </c>
      <c r="P421" s="60" t="b">
        <f t="shared" si="273"/>
        <v>0</v>
      </c>
      <c r="Q421" s="59">
        <f>IFERROR(__xludf.DUMMYFUNCTION("iferror(filter('3.5.clean'!C:C,'3.5.clean'!A:A=C421),"""")"),43704.0)</f>
        <v>43704</v>
      </c>
      <c r="R421" s="58" t="b">
        <f t="shared" ref="R421:R422" si="275">if(Q421="",FALSE,TRUE)</f>
        <v>1</v>
      </c>
      <c r="S421" s="4">
        <f>IFERROR(__xludf.DUMMYFUNCTION("iferror(filter('3.5.clean'!H:H,'3.5.clean'!A:A=C421),"""")"),0.0)</f>
        <v>0</v>
      </c>
      <c r="U421" s="23"/>
      <c r="V421" s="1" t="s">
        <v>64</v>
      </c>
      <c r="W421" s="23" t="b">
        <f>if(AND(R421=TRUE,N421=TRUE,P421=TRUE),TRUE,FALSE)</f>
        <v>0</v>
      </c>
      <c r="X421" s="23" t="str">
        <f>IFERROR(__xludf.DUMMYFUNCTION("if(COUNTA(FILTER(C:C, C:C = C421))=1,""no"",""yes"")"),"no")</f>
        <v>no</v>
      </c>
    </row>
    <row r="422">
      <c r="A422" s="75" t="s">
        <v>478</v>
      </c>
      <c r="B422" s="28">
        <v>4.0</v>
      </c>
      <c r="C422" s="27" t="s">
        <v>1144</v>
      </c>
      <c r="E422" s="24">
        <f>IFERROR(__xludf.DUMMYFUNCTION("ifna(IFNA(filter('2.1.clean'!C:C,'2.1.clean'!A:A=C422),filter('2.2.clean'!E:E,'2.2.clean'!D:D=C422)),filter('2.4.clean'!C:C,'2.4.clean'!A:A=C422))"),43704.0)</f>
        <v>43704</v>
      </c>
      <c r="F422" s="25">
        <f>IFERROR(__xludf.DUMMYFUNCTION("iferror(ifna(IFNA(filter('2.1.clean'!E:E,'2.1.clean'!A:A=C422),filter('2.2.clean'!G:G,'2.2.clean'!D:D=C422)),filter('2.4.clean'!E:E,'2.4.clean'!A:A=C422)),)"),2.4)</f>
        <v>2.4</v>
      </c>
      <c r="G422" s="24">
        <f>IFERROR(__xludf.DUMMYFUNCTION("iferror(filter('3.1.clean'!C:C,'3.1.clean'!A:A=C422),"""")"),43704.0)</f>
        <v>43704</v>
      </c>
      <c r="H422" s="23" t="b">
        <f>if(G422="",FALSE,TRUE)</f>
        <v>1</v>
      </c>
      <c r="J422" s="25"/>
      <c r="K422" s="24" t="str">
        <f>IFERROR(__xludf.DUMMYFUNCTION("iferror(filter('3.2.clean'!C:C,'3.2.clean'!A:A=C422),"""")"),"")</f>
        <v/>
      </c>
      <c r="L422" s="25" t="b">
        <f>if(K422="",FALSE,TRUE)</f>
        <v>0</v>
      </c>
      <c r="M422" s="24">
        <f>IFERROR(__xludf.DUMMYFUNCTION("iferror(filter('3.3.clean'!C:C,'3.3.clean'!A:A=C422),"""")"),43706.0)</f>
        <v>43706</v>
      </c>
      <c r="N422" s="25" t="b">
        <f t="shared" si="272"/>
        <v>1</v>
      </c>
      <c r="O422" s="24" t="str">
        <f>IFERROR(__xludf.DUMMYFUNCTION("iferror(filter('3.4.clean'!C:C,'3.4.clean'!A:A=C422),"""")"),"")</f>
        <v/>
      </c>
      <c r="P422" s="25" t="b">
        <f t="shared" si="273"/>
        <v>0</v>
      </c>
      <c r="Q422" s="24">
        <f>IFERROR(__xludf.DUMMYFUNCTION("iferror(filter('3.5.clean'!C:C,'3.5.clean'!A:A=C422),"""")"),43704.0)</f>
        <v>43704</v>
      </c>
      <c r="R422" s="23" t="b">
        <f t="shared" si="275"/>
        <v>1</v>
      </c>
      <c r="S422" s="25"/>
      <c r="U422" s="23"/>
      <c r="V422" s="1" t="s">
        <v>64</v>
      </c>
      <c r="X422" s="23" t="str">
        <f>IFERROR(__xludf.DUMMYFUNCTION("if(COUNTA(FILTER(C:C, C:C = C422))=1,""no"",""yes"")"),"no")</f>
        <v>no</v>
      </c>
    </row>
    <row r="423">
      <c r="A423" s="75" t="s">
        <v>478</v>
      </c>
      <c r="B423" s="2">
        <v>5.0</v>
      </c>
      <c r="C423" s="69" t="s">
        <v>1146</v>
      </c>
      <c r="E423" s="24">
        <v>43704.0</v>
      </c>
      <c r="F423" s="25" t="str">
        <f>IFERROR(__xludf.DUMMYFUNCTION("iferror(ifna(IFNA(filter('2.1.clean'!E:E,'2.1.clean'!A:A=C423),filter('2.2.clean'!G:G,'2.2.clean'!D:D=C423)),filter('2.4.clean'!E:E,'2.4.clean'!A:A=C423)),)"),"")</f>
        <v/>
      </c>
      <c r="G423" s="24"/>
      <c r="J423" s="25"/>
      <c r="K423" s="24"/>
      <c r="L423" s="25"/>
      <c r="M423" s="84" t="s">
        <v>814</v>
      </c>
      <c r="N423" s="25" t="b">
        <f t="shared" si="272"/>
        <v>1</v>
      </c>
      <c r="O423" s="24" t="str">
        <f>IFERROR(__xludf.DUMMYFUNCTION("iferror(filter('3.4.clean'!C:C,'3.4.clean'!A:A=C423),"""")"),"")</f>
        <v/>
      </c>
      <c r="P423" s="25" t="b">
        <f t="shared" si="273"/>
        <v>0</v>
      </c>
      <c r="Q423" s="24" t="str">
        <f>IFERROR(__xludf.DUMMYFUNCTION("iferror(filter('3.5.clean'!C:C,'3.5.clean'!A:A=C423),"""")"),"")</f>
        <v/>
      </c>
      <c r="S423" s="25"/>
      <c r="V423" s="1" t="s">
        <v>64</v>
      </c>
      <c r="X423" s="23" t="str">
        <f>IFERROR(__xludf.DUMMYFUNCTION("if(COUNTA(FILTER(C:C, C:C = C423))=1,""no"",""yes"")"),"no")</f>
        <v>no</v>
      </c>
    </row>
    <row r="424">
      <c r="A424" s="75" t="s">
        <v>478</v>
      </c>
      <c r="B424" s="19">
        <v>6.0</v>
      </c>
      <c r="C424" s="19" t="s">
        <v>1147</v>
      </c>
      <c r="D424" s="58" t="str">
        <f t="shared" ref="D424:D425" si="276">if(or(I424=1,J424=1,S424=1),"pos","")</f>
        <v/>
      </c>
      <c r="E424" s="59">
        <f>IFERROR(__xludf.DUMMYFUNCTION("ifna(IFNA(filter('2.1.clean'!C:C,'2.1.clean'!A:A=C424),filter('2.2.clean'!E:E,'2.2.clean'!D:D=C424)),filter('2.4.clean'!C:C,'2.4.clean'!A:A=C424))"),43704.0)</f>
        <v>43704</v>
      </c>
      <c r="F424" s="60">
        <f>IFERROR(__xludf.DUMMYFUNCTION("iferror(ifna(IFNA(filter('2.1.clean'!E:E,'2.1.clean'!A:A=C424),filter('2.2.clean'!G:G,'2.2.clean'!D:D=C424)),filter('2.4.clean'!E:E,'2.4.clean'!A:A=C424)),)"),2.4)</f>
        <v>2.4</v>
      </c>
      <c r="G424" s="59">
        <f>IFERROR(__xludf.DUMMYFUNCTION("iferror(filter('3.1.clean'!C:C,'3.1.clean'!A:A=C424),"""")"),43704.0)</f>
        <v>43704</v>
      </c>
      <c r="H424" s="58" t="b">
        <f>if(G424="",FALSE,TRUE)</f>
        <v>1</v>
      </c>
      <c r="I424" s="58">
        <f>IFERROR(__xludf.DUMMYFUNCTION("iferror(filter('3.1.clean'!G:G,'3.1.clean'!A:A=C424),"""")"),0.0)</f>
        <v>0</v>
      </c>
      <c r="J424" s="60">
        <f>IFERROR(__xludf.DUMMYFUNCTION("iferror(filter('3.1.clean'!I:I,'3.1.clean'!A:A=C424),"""")"),0.0)</f>
        <v>0</v>
      </c>
      <c r="K424" s="58"/>
      <c r="L424" s="60"/>
      <c r="M424" s="59">
        <f>IFERROR(__xludf.DUMMYFUNCTION("iferror(filter('3.3.clean'!C:C,'3.3.clean'!A:A=C424),"""")"),43705.0)</f>
        <v>43705</v>
      </c>
      <c r="N424" s="60" t="b">
        <f t="shared" si="272"/>
        <v>1</v>
      </c>
      <c r="O424" s="59" t="str">
        <f>IFERROR(__xludf.DUMMYFUNCTION("iferror(filter('3.4.clean'!C:C,'3.4.clean'!A:A=C424),"""")"),"")</f>
        <v/>
      </c>
      <c r="P424" s="60" t="b">
        <f t="shared" si="273"/>
        <v>0</v>
      </c>
      <c r="Q424" s="59" t="str">
        <f>IFERROR(__xludf.DUMMYFUNCTION("iferror(filter('3.5.clean'!C:C,'3.5.clean'!A:A=C424),"""")"),"")</f>
        <v/>
      </c>
      <c r="R424" s="58"/>
      <c r="S424" s="4" t="str">
        <f>IFERROR(__xludf.DUMMYFUNCTION("iferror(filter('3.5.clean'!H:H,'3.5.clean'!A:A=C424),"""")"),"")</f>
        <v/>
      </c>
      <c r="U424" s="23"/>
      <c r="V424" s="1" t="s">
        <v>64</v>
      </c>
      <c r="W424" s="23" t="b">
        <f>if(AND(H424=TRUE,N424=TRUE,P424=TRUE),TRUE,FALSE)</f>
        <v>0</v>
      </c>
      <c r="X424" s="23" t="str">
        <f>IFERROR(__xludf.DUMMYFUNCTION("if(COUNTA(FILTER(C:C, C:C = C424))=1,""no"",""yes"")"),"no")</f>
        <v>no</v>
      </c>
    </row>
    <row r="425">
      <c r="A425" s="75" t="s">
        <v>478</v>
      </c>
      <c r="B425" s="19">
        <v>7.0</v>
      </c>
      <c r="C425" s="19" t="s">
        <v>1149</v>
      </c>
      <c r="D425" s="58" t="str">
        <f t="shared" si="276"/>
        <v/>
      </c>
      <c r="E425" s="59">
        <f>Q425</f>
        <v>43704</v>
      </c>
      <c r="F425" s="60" t="str">
        <f>IFERROR(__xludf.DUMMYFUNCTION("iferror(ifna(IFNA(filter('2.1.clean'!E:E,'2.1.clean'!A:A=C425),filter('2.2.clean'!G:G,'2.2.clean'!D:D=C425)),filter('2.4.clean'!E:E,'2.4.clean'!A:A=C425)),)"),"")</f>
        <v/>
      </c>
      <c r="G425" s="59" t="str">
        <f>IFERROR(__xludf.DUMMYFUNCTION("iferror(filter('3.1.clean'!C:C,'3.1.clean'!A:A=C425),"""")"),"")</f>
        <v/>
      </c>
      <c r="H425" s="58"/>
      <c r="I425" s="58"/>
      <c r="J425" s="60"/>
      <c r="K425" s="58"/>
      <c r="L425" s="60"/>
      <c r="M425" s="59">
        <f>IFERROR(__xludf.DUMMYFUNCTION("iferror(filter('3.3.clean'!C:C,'3.3.clean'!A:A=C425),"""")"),43705.0)</f>
        <v>43705</v>
      </c>
      <c r="N425" s="60" t="b">
        <f t="shared" si="272"/>
        <v>1</v>
      </c>
      <c r="O425" s="59" t="str">
        <f>IFERROR(__xludf.DUMMYFUNCTION("iferror(filter('3.4.clean'!C:C,'3.4.clean'!A:A=C425),"""")"),"")</f>
        <v/>
      </c>
      <c r="P425" s="60" t="b">
        <f t="shared" si="273"/>
        <v>0</v>
      </c>
      <c r="Q425" s="59">
        <f>IFERROR(__xludf.DUMMYFUNCTION("iferror(filter('3.5.clean'!C:C,'3.5.clean'!A:A=C425),"""")"),43704.0)</f>
        <v>43704</v>
      </c>
      <c r="R425" s="58" t="b">
        <f t="shared" ref="R425:R426" si="277">if(Q425="",FALSE,TRUE)</f>
        <v>1</v>
      </c>
      <c r="S425" s="4">
        <f>IFERROR(__xludf.DUMMYFUNCTION("iferror(filter('3.5.clean'!H:H,'3.5.clean'!A:A=C425),"""")"),0.0)</f>
        <v>0</v>
      </c>
      <c r="U425" s="23"/>
      <c r="V425" s="1" t="s">
        <v>64</v>
      </c>
      <c r="W425" s="23" t="b">
        <f>if(AND(R425=TRUE,N425=TRUE,P425=TRUE),TRUE,FALSE)</f>
        <v>0</v>
      </c>
      <c r="X425" s="23" t="str">
        <f>IFERROR(__xludf.DUMMYFUNCTION("if(COUNTA(FILTER(C:C, C:C = C425))=1,""no"",""yes"")"),"no")</f>
        <v>no</v>
      </c>
    </row>
    <row r="426">
      <c r="A426" s="75" t="s">
        <v>478</v>
      </c>
      <c r="B426" s="82">
        <v>8.0</v>
      </c>
      <c r="C426" s="85" t="s">
        <v>1150</v>
      </c>
      <c r="E426" s="24">
        <f>IFERROR(__xludf.DUMMYFUNCTION("ifna(IFNA(filter('2.1.clean'!C:C,'2.1.clean'!A:A=C426),filter('2.2.clean'!E:E,'2.2.clean'!D:D=C426)),filter('2.4.clean'!C:C,'2.4.clean'!A:A=C426))"),43704.0)</f>
        <v>43704</v>
      </c>
      <c r="F426" s="25">
        <f>IFERROR(__xludf.DUMMYFUNCTION("iferror(ifna(IFNA(filter('2.1.clean'!E:E,'2.1.clean'!A:A=C426),filter('2.2.clean'!G:G,'2.2.clean'!D:D=C426)),filter('2.4.clean'!E:E,'2.4.clean'!A:A=C426)),)"),2.4)</f>
        <v>2.4</v>
      </c>
      <c r="G426" s="24" t="str">
        <f>IFERROR(__xludf.DUMMYFUNCTION("iferror(filter('3.1.clean'!C:C,'3.1.clean'!A:A=C426),"""")"),"")</f>
        <v/>
      </c>
      <c r="H426" s="23" t="b">
        <f t="shared" ref="H426:H429" si="278">if(G426="",FALSE,TRUE)</f>
        <v>0</v>
      </c>
      <c r="J426" s="25"/>
      <c r="K426" s="24" t="str">
        <f>IFERROR(__xludf.DUMMYFUNCTION("iferror(filter('3.2.clean'!C:C,'3.2.clean'!A:A=C426),"""")"),"")</f>
        <v/>
      </c>
      <c r="L426" s="25" t="b">
        <f>if(K426="",FALSE,TRUE)</f>
        <v>0</v>
      </c>
      <c r="M426" s="24">
        <f>IFERROR(__xludf.DUMMYFUNCTION("iferror(filter('3.3.clean'!C:C,'3.3.clean'!A:A=C426),"""")"),43706.0)</f>
        <v>43706</v>
      </c>
      <c r="N426" s="25" t="b">
        <f t="shared" si="272"/>
        <v>1</v>
      </c>
      <c r="O426" s="24" t="str">
        <f>IFERROR(__xludf.DUMMYFUNCTION("iferror(filter('3.4.clean'!C:C,'3.4.clean'!A:A=C426),"""")"),"")</f>
        <v/>
      </c>
      <c r="P426" s="25" t="b">
        <f t="shared" si="273"/>
        <v>0</v>
      </c>
      <c r="Q426" s="24" t="str">
        <f>IFERROR(__xludf.DUMMYFUNCTION("iferror(filter('3.5.clean'!C:C,'3.5.clean'!A:A=C426),"""")"),"")</f>
        <v/>
      </c>
      <c r="R426" s="23" t="b">
        <f t="shared" si="277"/>
        <v>0</v>
      </c>
      <c r="S426" s="25"/>
      <c r="U426" s="23"/>
      <c r="V426" s="1" t="s">
        <v>64</v>
      </c>
      <c r="X426" s="23" t="str">
        <f>IFERROR(__xludf.DUMMYFUNCTION("if(COUNTA(FILTER(C:C, C:C = C426))=1,""no"",""yes"")"),"no")</f>
        <v>no</v>
      </c>
    </row>
    <row r="427">
      <c r="A427" s="75" t="s">
        <v>478</v>
      </c>
      <c r="B427" s="19">
        <v>9.0</v>
      </c>
      <c r="C427" s="19" t="s">
        <v>1152</v>
      </c>
      <c r="D427" s="76" t="str">
        <f>if(or(I427=1,J427=1,S427=1),"pos","")</f>
        <v/>
      </c>
      <c r="E427" s="77">
        <f>G427</f>
        <v>43704</v>
      </c>
      <c r="F427" s="78" t="str">
        <f>IFERROR(__xludf.DUMMYFUNCTION("iferror(ifna(IFNA(filter('2.1.clean'!E:E,'2.1.clean'!A:A=C427),filter('2.2.clean'!G:G,'2.2.clean'!D:D=C427)),filter('2.4.clean'!E:E,'2.4.clean'!A:A=C427)),)"),"")</f>
        <v/>
      </c>
      <c r="G427" s="77">
        <f>IFERROR(__xludf.DUMMYFUNCTION("iferror(filter('3.1.clean'!C:C,'3.1.clean'!A:A=C427),"""")"),43704.0)</f>
        <v>43704</v>
      </c>
      <c r="H427" s="76" t="b">
        <f t="shared" si="278"/>
        <v>1</v>
      </c>
      <c r="I427" s="76">
        <f>IFERROR(__xludf.DUMMYFUNCTION("iferror(filter('3.1.clean'!G:G,'3.1.clean'!A:A=C427),"""")"),0.0)</f>
        <v>0</v>
      </c>
      <c r="J427" s="78">
        <f>IFERROR(__xludf.DUMMYFUNCTION("iferror(filter('3.1.clean'!I:I,'3.1.clean'!A:A=C427),"""")"),0.0)</f>
        <v>0</v>
      </c>
      <c r="K427" s="77"/>
      <c r="L427" s="78"/>
      <c r="M427" s="77"/>
      <c r="N427" s="78"/>
      <c r="O427" s="77"/>
      <c r="P427" s="78"/>
      <c r="Q427" s="77"/>
      <c r="R427" s="76"/>
      <c r="S427" s="25"/>
      <c r="T427" s="1"/>
      <c r="V427" s="1" t="s">
        <v>64</v>
      </c>
      <c r="W427" s="1" t="b">
        <v>1</v>
      </c>
      <c r="X427" s="23" t="str">
        <f>IFERROR(__xludf.DUMMYFUNCTION("if(COUNTA(FILTER(C:C, C:C = C427))=1,""no"",""yes"")"),"no")</f>
        <v>no</v>
      </c>
    </row>
    <row r="428">
      <c r="A428" s="1" t="s">
        <v>484</v>
      </c>
      <c r="B428" s="28">
        <v>1.0</v>
      </c>
      <c r="C428" s="27" t="s">
        <v>1153</v>
      </c>
      <c r="D428" s="24"/>
      <c r="E428" s="24">
        <f>IFERROR(__xludf.DUMMYFUNCTION("ifna(IFNA(filter('2.1.clean'!C:C,'2.1.clean'!A:A=C428),filter('2.2.clean'!E:E,'2.2.clean'!D:D=C428)),filter('2.4.clean'!C:C,'2.4.clean'!A:A=C428))"),43706.0)</f>
        <v>43706</v>
      </c>
      <c r="F428" s="25">
        <f>IFERROR(__xludf.DUMMYFUNCTION("iferror(ifna(IFNA(filter('2.1.clean'!E:E,'2.1.clean'!A:A=C428),filter('2.2.clean'!G:G,'2.2.clean'!D:D=C428)),filter('2.4.clean'!E:E,'2.4.clean'!A:A=C428)),)"),2.1)</f>
        <v>2.1</v>
      </c>
      <c r="G428" s="24">
        <f>IFERROR(__xludf.DUMMYFUNCTION("iferror(filter('3.1.clean'!C:C,'3.1.clean'!A:A=C428),"""")"),43706.0)</f>
        <v>43706</v>
      </c>
      <c r="H428" s="23" t="b">
        <f t="shared" si="278"/>
        <v>1</v>
      </c>
      <c r="J428" s="25"/>
      <c r="K428" s="24" t="str">
        <f>IFERROR(__xludf.DUMMYFUNCTION("iferror(filter('3.2.clean'!C:C,'3.2.clean'!A:A=C428),"""")"),"")</f>
        <v/>
      </c>
      <c r="L428" s="25" t="b">
        <f t="shared" ref="L428:L429" si="279">if(K428="",FALSE,TRUE)</f>
        <v>0</v>
      </c>
      <c r="M428" s="24">
        <f>IFERROR(__xludf.DUMMYFUNCTION("iferror(filter('3.3.clean'!C:C,'3.3.clean'!A:A=C428),"""")"),43710.0)</f>
        <v>43710</v>
      </c>
      <c r="N428" s="25" t="b">
        <f t="shared" ref="N428:N436" si="280">if(M428="",FALSE,TRUE)</f>
        <v>1</v>
      </c>
      <c r="O428" s="24">
        <f>IFERROR(__xludf.DUMMYFUNCTION("iferror(filter('3.4.clean'!C:C,'3.4.clean'!A:A=C428),"""")"),43712.0)</f>
        <v>43712</v>
      </c>
      <c r="P428" s="25" t="b">
        <f t="shared" ref="P428:P436" si="281">if(O428="",FALSE,TRUE)</f>
        <v>1</v>
      </c>
      <c r="Q428" s="24">
        <f>IFERROR(__xludf.DUMMYFUNCTION("iferror(filter('3.5.clean'!C:C,'3.5.clean'!A:A=C428),"""")"),43706.0)</f>
        <v>43706</v>
      </c>
      <c r="R428" s="23" t="b">
        <f>if(Q428="",FALSE,TRUE)</f>
        <v>1</v>
      </c>
      <c r="S428" s="25"/>
      <c r="U428" s="23" t="s">
        <v>21</v>
      </c>
      <c r="V428" s="1" t="s">
        <v>83</v>
      </c>
      <c r="W428" s="23" t="b">
        <f>IF(and(H428=TRUE,L428=TRUE,N428=TRUE,P428=TRUE),TRUE,FALSE)</f>
        <v>0</v>
      </c>
      <c r="X428" s="23" t="str">
        <f>IFERROR(__xludf.DUMMYFUNCTION("if(COUNTA(FILTER(C:C, C:C = C428))=1,""no"",""yes"")"),"no")</f>
        <v>no</v>
      </c>
    </row>
    <row r="429">
      <c r="A429" s="1" t="s">
        <v>484</v>
      </c>
      <c r="B429" s="19">
        <v>2.0</v>
      </c>
      <c r="C429" s="19" t="s">
        <v>1155</v>
      </c>
      <c r="D429" s="58" t="str">
        <f t="shared" ref="D429:D430" si="282">if(or(I429=1,J429=1,S429=1),"pos","")</f>
        <v/>
      </c>
      <c r="E429" s="59">
        <f>IFERROR(__xludf.DUMMYFUNCTION("ifna(IFNA(filter('2.1.clean'!C:C,'2.1.clean'!A:A=C429),filter('2.2.clean'!E:E,'2.2.clean'!D:D=C429)),filter('2.4.clean'!C:C,'2.4.clean'!A:A=C429))"),43706.0)</f>
        <v>43706</v>
      </c>
      <c r="F429" s="60">
        <f>IFERROR(__xludf.DUMMYFUNCTION("iferror(ifna(IFNA(filter('2.1.clean'!E:E,'2.1.clean'!A:A=C429),filter('2.2.clean'!G:G,'2.2.clean'!D:D=C429)),filter('2.4.clean'!E:E,'2.4.clean'!A:A=C429)),)"),2.1)</f>
        <v>2.1</v>
      </c>
      <c r="G429" s="59">
        <f>IFERROR(__xludf.DUMMYFUNCTION("iferror(filter('3.1.clean'!C:C,'3.1.clean'!A:A=C429),"""")"),43706.0)</f>
        <v>43706</v>
      </c>
      <c r="H429" s="58" t="b">
        <f t="shared" si="278"/>
        <v>1</v>
      </c>
      <c r="I429" s="58">
        <f>IFERROR(__xludf.DUMMYFUNCTION("iferror(filter('3.1.clean'!G:G,'3.1.clean'!A:A=C429),"""")"),0.0)</f>
        <v>0</v>
      </c>
      <c r="J429" s="60">
        <f>IFERROR(__xludf.DUMMYFUNCTION("iferror(filter('3.1.clean'!I:I,'3.1.clean'!A:A=C429),"""")"),0.0)</f>
        <v>0</v>
      </c>
      <c r="K429" s="58" t="str">
        <f>IFERROR(__xludf.DUMMYFUNCTION("iferror(filter('3.2.clean'!C:C,'3.2.clean'!A:A=C429),"""")"),"")</f>
        <v/>
      </c>
      <c r="L429" s="60" t="b">
        <f t="shared" si="279"/>
        <v>0</v>
      </c>
      <c r="M429" s="59">
        <f>IFERROR(__xludf.DUMMYFUNCTION("iferror(filter('3.3.clean'!C:C,'3.3.clean'!A:A=C429),"""")"),43710.0)</f>
        <v>43710</v>
      </c>
      <c r="N429" s="60" t="b">
        <f t="shared" si="280"/>
        <v>1</v>
      </c>
      <c r="O429" s="59">
        <f>IFERROR(__xludf.DUMMYFUNCTION("iferror(filter('3.4.clean'!C:C,'3.4.clean'!A:A=C429),"""")"),43712.0)</f>
        <v>43712</v>
      </c>
      <c r="P429" s="60" t="b">
        <f t="shared" si="281"/>
        <v>1</v>
      </c>
      <c r="Q429" s="59" t="str">
        <f>IFERROR(__xludf.DUMMYFUNCTION("iferror(filter('3.5.clean'!C:C,'3.5.clean'!A:A=C429),"""")"),"")</f>
        <v/>
      </c>
      <c r="R429" s="58"/>
      <c r="S429" s="4" t="str">
        <f>IFERROR(__xludf.DUMMYFUNCTION("iferror(filter('3.5.clean'!H:H,'3.5.clean'!A:A=C429),"""")"),"")</f>
        <v/>
      </c>
      <c r="U429" s="23"/>
      <c r="V429" s="1" t="s">
        <v>83</v>
      </c>
      <c r="W429" s="23" t="b">
        <f>if(AND(H429=TRUE,N429=TRUE,P429=TRUE),TRUE,FALSE)</f>
        <v>1</v>
      </c>
      <c r="X429" s="23" t="str">
        <f>IFERROR(__xludf.DUMMYFUNCTION("if(COUNTA(FILTER(C:C, C:C = C429))=1,""no"",""yes"")"),"no")</f>
        <v>no</v>
      </c>
    </row>
    <row r="430">
      <c r="A430" s="1" t="s">
        <v>484</v>
      </c>
      <c r="B430" s="19">
        <v>3.0</v>
      </c>
      <c r="C430" s="19" t="s">
        <v>1156</v>
      </c>
      <c r="D430" s="58" t="str">
        <f t="shared" si="282"/>
        <v/>
      </c>
      <c r="E430" s="59">
        <f>Q430</f>
        <v>43706</v>
      </c>
      <c r="F430" s="60" t="str">
        <f>IFERROR(__xludf.DUMMYFUNCTION("iferror(ifna(IFNA(filter('2.1.clean'!E:E,'2.1.clean'!A:A=C430),filter('2.2.clean'!G:G,'2.2.clean'!D:D=C430)),filter('2.4.clean'!E:E,'2.4.clean'!A:A=C430)),)"),"")</f>
        <v/>
      </c>
      <c r="G430" s="59" t="str">
        <f>IFERROR(__xludf.DUMMYFUNCTION("iferror(filter('3.1.clean'!C:C,'3.1.clean'!A:A=C430),"""")"),"")</f>
        <v/>
      </c>
      <c r="H430" s="58"/>
      <c r="I430" s="58"/>
      <c r="J430" s="60"/>
      <c r="K430" s="58"/>
      <c r="L430" s="60"/>
      <c r="M430" s="59">
        <f>IFERROR(__xludf.DUMMYFUNCTION("iferror(filter('3.3.clean'!C:C,'3.3.clean'!A:A=C430),"""")"),43710.0)</f>
        <v>43710</v>
      </c>
      <c r="N430" s="60" t="b">
        <f t="shared" si="280"/>
        <v>1</v>
      </c>
      <c r="O430" s="59">
        <f>IFERROR(__xludf.DUMMYFUNCTION("iferror(filter('3.4.clean'!C:C,'3.4.clean'!A:A=C430),"""")"),43712.0)</f>
        <v>43712</v>
      </c>
      <c r="P430" s="60" t="b">
        <f t="shared" si="281"/>
        <v>1</v>
      </c>
      <c r="Q430" s="59">
        <f>IFERROR(__xludf.DUMMYFUNCTION("iferror(filter('3.5.clean'!C:C,'3.5.clean'!A:A=C430),"""")"),43706.0)</f>
        <v>43706</v>
      </c>
      <c r="R430" s="58" t="b">
        <f t="shared" ref="R430:R433" si="283">if(Q430="",FALSE,TRUE)</f>
        <v>1</v>
      </c>
      <c r="S430" s="4">
        <f>IFERROR(__xludf.DUMMYFUNCTION("iferror(filter('3.5.clean'!H:H,'3.5.clean'!A:A=C430),"""")"),0.0)</f>
        <v>0</v>
      </c>
      <c r="U430" s="23"/>
      <c r="V430" s="1" t="s">
        <v>64</v>
      </c>
      <c r="W430" s="23" t="b">
        <f>if(AND(R430=TRUE,N430=TRUE,P430=TRUE),TRUE,FALSE)</f>
        <v>1</v>
      </c>
      <c r="X430" s="23" t="str">
        <f>IFERROR(__xludf.DUMMYFUNCTION("if(COUNTA(FILTER(C:C, C:C = C430))=1,""no"",""yes"")"),"no")</f>
        <v>no</v>
      </c>
    </row>
    <row r="431">
      <c r="A431" s="1" t="s">
        <v>484</v>
      </c>
      <c r="B431" s="28">
        <v>4.0</v>
      </c>
      <c r="C431" s="27" t="s">
        <v>1158</v>
      </c>
      <c r="D431" s="86"/>
      <c r="E431" s="24">
        <f>IFERROR(__xludf.DUMMYFUNCTION("ifna(IFNA(filter('2.1.clean'!C:C,'2.1.clean'!A:A=C431),filter('2.2.clean'!E:E,'2.2.clean'!D:D=C431)),filter('2.4.clean'!C:C,'2.4.clean'!A:A=C431))"),43706.0)</f>
        <v>43706</v>
      </c>
      <c r="F431" s="25">
        <f>IFERROR(__xludf.DUMMYFUNCTION("iferror(ifna(IFNA(filter('2.1.clean'!E:E,'2.1.clean'!A:A=C431),filter('2.2.clean'!G:G,'2.2.clean'!D:D=C431)),filter('2.4.clean'!E:E,'2.4.clean'!A:A=C431)),)"),2.1)</f>
        <v>2.1</v>
      </c>
      <c r="G431" s="24" t="str">
        <f>IFERROR(__xludf.DUMMYFUNCTION("iferror(filter('3.1.clean'!C:C,'3.1.clean'!B:B=C431),"""")"),"")</f>
        <v/>
      </c>
      <c r="H431" s="23" t="b">
        <f t="shared" ref="H431:H434" si="284">if(G431="",FALSE,TRUE)</f>
        <v>0</v>
      </c>
      <c r="J431" s="25"/>
      <c r="K431" s="24" t="str">
        <f>IFERROR(__xludf.DUMMYFUNCTION("iferror(filter('3.2.clean'!C:C,'3.2.clean'!A:A=C431),"""")"),"")</f>
        <v/>
      </c>
      <c r="L431" s="25" t="b">
        <f t="shared" ref="L431:L434" si="285">if(K431="",FALSE,TRUE)</f>
        <v>0</v>
      </c>
      <c r="M431" s="24" t="str">
        <f>IFERROR(__xludf.DUMMYFUNCTION("iferror(filter('3.3.clean'!C:C,'3.3.clean'!A:A=C431),"""")"),"")</f>
        <v/>
      </c>
      <c r="N431" s="25" t="b">
        <f t="shared" si="280"/>
        <v>0</v>
      </c>
      <c r="O431" s="24" t="str">
        <f>IFERROR(__xludf.DUMMYFUNCTION("iferror(filter('3.4.clean'!C:C,'3.4.clean'!A:A=C431),"""")"),"")</f>
        <v/>
      </c>
      <c r="P431" s="25" t="b">
        <f t="shared" si="281"/>
        <v>0</v>
      </c>
      <c r="Q431" s="24" t="str">
        <f>IFERROR(__xludf.DUMMYFUNCTION("iferror(filter('3.5.clean'!C:C,'3.5.clean'!A:A=C431),"""")"),"")</f>
        <v/>
      </c>
      <c r="R431" s="23" t="b">
        <f t="shared" si="283"/>
        <v>0</v>
      </c>
      <c r="S431" s="25"/>
      <c r="U431" s="23" t="s">
        <v>128</v>
      </c>
      <c r="V431" s="1" t="s">
        <v>83</v>
      </c>
      <c r="W431" s="23" t="b">
        <f t="shared" ref="W431:W433" si="286">IF(and(H431=TRUE,L431=TRUE,N431=TRUE,P431=TRUE),TRUE,FALSE)</f>
        <v>0</v>
      </c>
      <c r="X431" s="23" t="str">
        <f>IFERROR(__xludf.DUMMYFUNCTION("if(COUNTA(FILTER(C:C, C:C = C431))=1,""no"",""yes"")"),"no")</f>
        <v>no</v>
      </c>
    </row>
    <row r="432">
      <c r="A432" s="1" t="s">
        <v>484</v>
      </c>
      <c r="B432" s="28">
        <v>5.0</v>
      </c>
      <c r="C432" s="28" t="s">
        <v>1159</v>
      </c>
      <c r="D432" s="24"/>
      <c r="E432" s="24">
        <v>43706.0</v>
      </c>
      <c r="F432" s="25" t="str">
        <f>IFERROR(__xludf.DUMMYFUNCTION("iferror(ifna(IFNA(filter('2.1.clean'!E:E,'2.1.clean'!A:A=C432),filter('2.2.clean'!G:G,'2.2.clean'!D:D=C432)),filter('2.4.clean'!E:E,'2.4.clean'!A:A=C432)),)"),"")</f>
        <v/>
      </c>
      <c r="G432" s="24" t="str">
        <f>IFERROR(__xludf.DUMMYFUNCTION("iferror(filter('3.1.clean'!C:C,'3.1.clean'!B:B=C432),"""")"),"")</f>
        <v/>
      </c>
      <c r="H432" s="23" t="b">
        <f t="shared" si="284"/>
        <v>0</v>
      </c>
      <c r="J432" s="25"/>
      <c r="K432" s="24" t="str">
        <f>IFERROR(__xludf.DUMMYFUNCTION("iferror(filter('3.2.clean'!C:C,'3.2.clean'!A:A=C432),"""")"),"")</f>
        <v/>
      </c>
      <c r="L432" s="25" t="b">
        <f t="shared" si="285"/>
        <v>0</v>
      </c>
      <c r="M432" s="24">
        <f>IFERROR(__xludf.DUMMYFUNCTION("iferror(filter('3.3.clean'!C:C,'3.3.clean'!A:A=C432),"""")"),43710.0)</f>
        <v>43710</v>
      </c>
      <c r="N432" s="25" t="b">
        <f t="shared" si="280"/>
        <v>1</v>
      </c>
      <c r="O432" s="24">
        <f>IFERROR(__xludf.DUMMYFUNCTION("iferror(filter('3.4.clean'!C:C,'3.4.clean'!A:A=C432),"""")"),43712.0)</f>
        <v>43712</v>
      </c>
      <c r="P432" s="25" t="b">
        <f t="shared" si="281"/>
        <v>1</v>
      </c>
      <c r="Q432" s="24">
        <f>IFERROR(__xludf.DUMMYFUNCTION("iferror(filter('3.5.clean'!C:C,'3.5.clean'!A:A=C432),"""")"),43706.0)</f>
        <v>43706</v>
      </c>
      <c r="R432" s="23" t="b">
        <f t="shared" si="283"/>
        <v>1</v>
      </c>
      <c r="S432" s="25"/>
      <c r="T432" s="86"/>
      <c r="U432" s="23" t="s">
        <v>128</v>
      </c>
      <c r="V432" s="1" t="s">
        <v>83</v>
      </c>
      <c r="W432" s="23" t="b">
        <f t="shared" si="286"/>
        <v>0</v>
      </c>
      <c r="X432" s="23" t="str">
        <f>IFERROR(__xludf.DUMMYFUNCTION("if(COUNTA(FILTER(C:C, C:C = C432))=1,""no"",""yes"")"),"no")</f>
        <v>no</v>
      </c>
    </row>
    <row r="433">
      <c r="A433" s="1" t="s">
        <v>484</v>
      </c>
      <c r="B433" s="28">
        <v>6.0</v>
      </c>
      <c r="C433" s="28" t="s">
        <v>1161</v>
      </c>
      <c r="D433" s="24"/>
      <c r="E433" s="24">
        <v>43706.0</v>
      </c>
      <c r="F433" s="25" t="str">
        <f>IFERROR(__xludf.DUMMYFUNCTION("iferror(ifna(IFNA(filter('2.1.clean'!E:E,'2.1.clean'!A:A=C433),filter('2.2.clean'!G:G,'2.2.clean'!D:D=C433)),filter('2.4.clean'!E:E,'2.4.clean'!A:A=C433)),)"),"")</f>
        <v/>
      </c>
      <c r="G433" s="24" t="str">
        <f>IFERROR(__xludf.DUMMYFUNCTION("iferror(filter('3.1.clean'!C:C,'3.1.clean'!B:B=C433),"""")"),"")</f>
        <v/>
      </c>
      <c r="H433" s="23" t="b">
        <f t="shared" si="284"/>
        <v>0</v>
      </c>
      <c r="J433" s="25"/>
      <c r="K433" s="24" t="str">
        <f>IFERROR(__xludf.DUMMYFUNCTION("iferror(filter('3.2.clean'!C:C,'3.2.clean'!A:A=C433),"""")"),"")</f>
        <v/>
      </c>
      <c r="L433" s="25" t="b">
        <f t="shared" si="285"/>
        <v>0</v>
      </c>
      <c r="M433" s="24">
        <f>IFERROR(__xludf.DUMMYFUNCTION("iferror(filter('3.3.clean'!C:C,'3.3.clean'!A:A=C433),"""")"),43710.0)</f>
        <v>43710</v>
      </c>
      <c r="N433" s="25" t="b">
        <f t="shared" si="280"/>
        <v>1</v>
      </c>
      <c r="O433" s="24">
        <f>IFERROR(__xludf.DUMMYFUNCTION("iferror(filter('3.4.clean'!C:C,'3.4.clean'!A:A=C433),"""")"),43712.0)</f>
        <v>43712</v>
      </c>
      <c r="P433" s="25" t="b">
        <f t="shared" si="281"/>
        <v>1</v>
      </c>
      <c r="Q433" s="24">
        <f>IFERROR(__xludf.DUMMYFUNCTION("iferror(filter('3.5.clean'!C:C,'3.5.clean'!A:A=C433),"""")"),43706.0)</f>
        <v>43706</v>
      </c>
      <c r="R433" s="23" t="b">
        <f t="shared" si="283"/>
        <v>1</v>
      </c>
      <c r="S433" s="25"/>
      <c r="U433" s="23" t="s">
        <v>128</v>
      </c>
      <c r="V433" s="1" t="s">
        <v>83</v>
      </c>
      <c r="W433" s="23" t="b">
        <f t="shared" si="286"/>
        <v>0</v>
      </c>
      <c r="X433" s="23" t="str">
        <f>IFERROR(__xludf.DUMMYFUNCTION("if(COUNTA(FILTER(C:C, C:C = C433))=1,""no"",""yes"")"),"no")</f>
        <v>no</v>
      </c>
    </row>
    <row r="434">
      <c r="A434" s="1" t="s">
        <v>484</v>
      </c>
      <c r="B434" s="19">
        <v>7.0</v>
      </c>
      <c r="C434" s="19" t="s">
        <v>1162</v>
      </c>
      <c r="D434" s="58" t="str">
        <f t="shared" ref="D434:D435" si="287">if(or(I434=1,J434=1,S434=1),"pos","")</f>
        <v/>
      </c>
      <c r="E434" s="59">
        <f>IFERROR(__xludf.DUMMYFUNCTION("ifna(IFNA(filter('2.1.clean'!C:C,'2.1.clean'!A:A=C434),filter('2.2.clean'!E:E,'2.2.clean'!D:D=C434)),filter('2.4.clean'!C:C,'2.4.clean'!A:A=C434))"),43706.0)</f>
        <v>43706</v>
      </c>
      <c r="F434" s="60">
        <f>IFERROR(__xludf.DUMMYFUNCTION("iferror(ifna(IFNA(filter('2.1.clean'!E:E,'2.1.clean'!A:A=C434),filter('2.2.clean'!G:G,'2.2.clean'!D:D=C434)),filter('2.4.clean'!E:E,'2.4.clean'!A:A=C434)),)"),2.1)</f>
        <v>2.1</v>
      </c>
      <c r="G434" s="59">
        <f>IFERROR(__xludf.DUMMYFUNCTION("iferror(filter('3.1.clean'!C:C,'3.1.clean'!A:A=C434),"""")"),43706.0)</f>
        <v>43706</v>
      </c>
      <c r="H434" s="58" t="b">
        <f t="shared" si="284"/>
        <v>1</v>
      </c>
      <c r="I434" s="58">
        <f>IFERROR(__xludf.DUMMYFUNCTION("iferror(filter('3.1.clean'!G:G,'3.1.clean'!A:A=C434),"""")"),0.0)</f>
        <v>0</v>
      </c>
      <c r="J434" s="60">
        <f>IFERROR(__xludf.DUMMYFUNCTION("iferror(filter('3.1.clean'!I:I,'3.1.clean'!A:A=C434),"""")"),0.0)</f>
        <v>0</v>
      </c>
      <c r="K434" s="58" t="str">
        <f>IFERROR(__xludf.DUMMYFUNCTION("iferror(filter('3.2.clean'!C:C,'3.2.clean'!A:A=C434),"""")"),"")</f>
        <v/>
      </c>
      <c r="L434" s="60" t="b">
        <f t="shared" si="285"/>
        <v>0</v>
      </c>
      <c r="M434" s="59">
        <f>IFERROR(__xludf.DUMMYFUNCTION("iferror(filter('3.3.clean'!C:C,'3.3.clean'!A:A=C434),"""")"),43710.0)</f>
        <v>43710</v>
      </c>
      <c r="N434" s="60" t="b">
        <f t="shared" si="280"/>
        <v>1</v>
      </c>
      <c r="O434" s="59">
        <f>IFERROR(__xludf.DUMMYFUNCTION("iferror(filter('3.4.clean'!C:C,'3.4.clean'!A:A=C434),"""")"),43712.0)</f>
        <v>43712</v>
      </c>
      <c r="P434" s="60" t="b">
        <f t="shared" si="281"/>
        <v>1</v>
      </c>
      <c r="Q434" s="59" t="str">
        <f>IFERROR(__xludf.DUMMYFUNCTION("iferror(filter('3.5.clean'!C:C,'3.5.clean'!A:A=C434),"""")"),"")</f>
        <v/>
      </c>
      <c r="R434" s="58"/>
      <c r="S434" s="4" t="str">
        <f>IFERROR(__xludf.DUMMYFUNCTION("iferror(filter('3.5.clean'!H:H,'3.5.clean'!A:A=C434),"""")"),"")</f>
        <v/>
      </c>
      <c r="U434" s="23"/>
      <c r="V434" s="1" t="s">
        <v>83</v>
      </c>
      <c r="W434" s="23" t="b">
        <f>if(AND(H434=TRUE,N434=TRUE,P434=TRUE),TRUE,FALSE)</f>
        <v>1</v>
      </c>
      <c r="X434" s="23" t="str">
        <f>IFERROR(__xludf.DUMMYFUNCTION("if(COUNTA(FILTER(C:C, C:C = C434))=1,""no"",""yes"")"),"no")</f>
        <v>no</v>
      </c>
    </row>
    <row r="435">
      <c r="A435" s="1" t="s">
        <v>484</v>
      </c>
      <c r="B435" s="19">
        <v>8.0</v>
      </c>
      <c r="C435" s="19" t="s">
        <v>1164</v>
      </c>
      <c r="D435" s="58" t="str">
        <f t="shared" si="287"/>
        <v/>
      </c>
      <c r="E435" s="59">
        <f>Q435</f>
        <v>43706</v>
      </c>
      <c r="F435" s="60" t="str">
        <f>IFERROR(__xludf.DUMMYFUNCTION("iferror(ifna(IFNA(filter('2.1.clean'!E:E,'2.1.clean'!A:A=C435),filter('2.2.clean'!G:G,'2.2.clean'!D:D=C435)),filter('2.4.clean'!E:E,'2.4.clean'!A:A=C435)),)"),"")</f>
        <v/>
      </c>
      <c r="G435" s="59" t="str">
        <f>IFERROR(__xludf.DUMMYFUNCTION("iferror(filter('3.1.clean'!C:C,'3.1.clean'!A:A=C435),"""")"),"")</f>
        <v/>
      </c>
      <c r="H435" s="58"/>
      <c r="I435" s="58"/>
      <c r="J435" s="60"/>
      <c r="K435" s="58"/>
      <c r="L435" s="60"/>
      <c r="M435" s="59">
        <f>IFERROR(__xludf.DUMMYFUNCTION("iferror(filter('3.3.clean'!C:C,'3.3.clean'!A:A=C435),"""")"),43710.0)</f>
        <v>43710</v>
      </c>
      <c r="N435" s="60" t="b">
        <f t="shared" si="280"/>
        <v>1</v>
      </c>
      <c r="O435" s="59">
        <f>IFERROR(__xludf.DUMMYFUNCTION("iferror(filter('3.4.clean'!C:C,'3.4.clean'!A:A=C435),"""")"),43712.0)</f>
        <v>43712</v>
      </c>
      <c r="P435" s="60" t="b">
        <f t="shared" si="281"/>
        <v>1</v>
      </c>
      <c r="Q435" s="59">
        <f>IFERROR(__xludf.DUMMYFUNCTION("iferror(filter('3.5.clean'!C:C,'3.5.clean'!A:A=C435),"""")"),43706.0)</f>
        <v>43706</v>
      </c>
      <c r="R435" s="58" t="b">
        <f>if(Q435="",FALSE,TRUE)</f>
        <v>1</v>
      </c>
      <c r="S435" s="4">
        <f>IFERROR(__xludf.DUMMYFUNCTION("iferror(filter('3.5.clean'!H:H,'3.5.clean'!A:A=C435),"""")"),0.0)</f>
        <v>0</v>
      </c>
      <c r="U435" s="23"/>
      <c r="V435" s="1" t="s">
        <v>64</v>
      </c>
      <c r="W435" s="23" t="b">
        <f>if(AND(R435=TRUE,N435=TRUE,P435=TRUE),TRUE,FALSE)</f>
        <v>1</v>
      </c>
      <c r="X435" s="23" t="str">
        <f>IFERROR(__xludf.DUMMYFUNCTION("if(COUNTA(FILTER(C:C, C:C = C435))=1,""no"",""yes"")"),"no")</f>
        <v>no</v>
      </c>
    </row>
    <row r="436">
      <c r="A436" s="1" t="s">
        <v>484</v>
      </c>
      <c r="B436" s="28">
        <v>9.0</v>
      </c>
      <c r="C436" s="27" t="s">
        <v>1165</v>
      </c>
      <c r="D436" s="24"/>
      <c r="E436" s="24">
        <f>IFERROR(__xludf.DUMMYFUNCTION("ifna(IFNA(filter('2.1.clean'!C:C,'2.1.clean'!A:A=C436),filter('2.2.clean'!E:E,'2.2.clean'!D:D=C436)),filter('2.4.clean'!C:C,'2.4.clean'!A:A=C436))"),43706.0)</f>
        <v>43706</v>
      </c>
      <c r="F436" s="25">
        <f>IFERROR(__xludf.DUMMYFUNCTION("iferror(ifna(IFNA(filter('2.1.clean'!E:E,'2.1.clean'!A:A=C436),filter('2.2.clean'!G:G,'2.2.clean'!D:D=C436)),filter('2.4.clean'!E:E,'2.4.clean'!A:A=C436)),)"),2.1)</f>
        <v>2.1</v>
      </c>
      <c r="G436" s="24">
        <f>IFERROR(__xludf.DUMMYFUNCTION("iferror(filter('3.1.clean'!C:C,'3.1.clean'!A:A=C436),"""")"),43706.0)</f>
        <v>43706</v>
      </c>
      <c r="H436" s="23" t="b">
        <f t="shared" ref="H436:H439" si="288">if(G436="",FALSE,TRUE)</f>
        <v>1</v>
      </c>
      <c r="J436" s="25"/>
      <c r="K436" s="24" t="str">
        <f>IFERROR(__xludf.DUMMYFUNCTION("iferror(filter('3.2.clean'!C:C,'3.2.clean'!A:A=C436),"""")"),"")</f>
        <v/>
      </c>
      <c r="L436" s="25" t="b">
        <f>if(K436="",FALSE,TRUE)</f>
        <v>0</v>
      </c>
      <c r="M436" s="24">
        <f>IFERROR(__xludf.DUMMYFUNCTION("iferror(filter('3.3.clean'!C:C,'3.3.clean'!A:A=C436),"""")"),43710.0)</f>
        <v>43710</v>
      </c>
      <c r="N436" s="25" t="b">
        <f t="shared" si="280"/>
        <v>1</v>
      </c>
      <c r="O436" s="24">
        <f>IFERROR(__xludf.DUMMYFUNCTION("iferror(filter('3.4.clean'!C:C,'3.4.clean'!A:A=C436),"""")"),43712.0)</f>
        <v>43712</v>
      </c>
      <c r="P436" s="25" t="b">
        <f t="shared" si="281"/>
        <v>1</v>
      </c>
      <c r="Q436" s="24"/>
      <c r="S436" s="25"/>
      <c r="U436" s="23" t="s">
        <v>21</v>
      </c>
      <c r="V436" s="1" t="s">
        <v>83</v>
      </c>
      <c r="W436" s="23" t="b">
        <f>IF(and(H436=TRUE,L436=TRUE,N436=TRUE,P436=TRUE),TRUE,FALSE)</f>
        <v>0</v>
      </c>
      <c r="X436" s="23" t="str">
        <f>IFERROR(__xludf.DUMMYFUNCTION("if(COUNTA(FILTER(C:C, C:C = C436))=1,""no"",""yes"")"),"no")</f>
        <v>no</v>
      </c>
    </row>
    <row r="437">
      <c r="A437" s="1" t="s">
        <v>484</v>
      </c>
      <c r="B437" s="19">
        <v>10.0</v>
      </c>
      <c r="C437" s="19" t="s">
        <v>1167</v>
      </c>
      <c r="D437" s="76" t="str">
        <f>if(or(I437=1,J437=1,S437=1),"pos","")</f>
        <v/>
      </c>
      <c r="E437" s="77">
        <f>G437</f>
        <v>43706</v>
      </c>
      <c r="F437" s="78" t="str">
        <f>IFERROR(__xludf.DUMMYFUNCTION("iferror(ifna(IFNA(filter('2.1.clean'!E:E,'2.1.clean'!A:A=C437),filter('2.2.clean'!G:G,'2.2.clean'!D:D=C437)),filter('2.4.clean'!E:E,'2.4.clean'!A:A=C437)),)"),"")</f>
        <v/>
      </c>
      <c r="G437" s="77">
        <f>IFERROR(__xludf.DUMMYFUNCTION("iferror(filter('3.1.clean'!C:C,'3.1.clean'!A:A=C437),"""")"),43706.0)</f>
        <v>43706</v>
      </c>
      <c r="H437" s="76" t="b">
        <f t="shared" si="288"/>
        <v>1</v>
      </c>
      <c r="I437" s="76">
        <f>IFERROR(__xludf.DUMMYFUNCTION("iferror(filter('3.1.clean'!G:G,'3.1.clean'!A:A=C437),"""")"),0.0)</f>
        <v>0</v>
      </c>
      <c r="J437" s="78">
        <f>IFERROR(__xludf.DUMMYFUNCTION("iferror(filter('3.1.clean'!I:I,'3.1.clean'!A:A=C437),"""")"),0.0)</f>
        <v>0</v>
      </c>
      <c r="K437" s="77"/>
      <c r="L437" s="78"/>
      <c r="M437" s="77"/>
      <c r="N437" s="78"/>
      <c r="O437" s="77"/>
      <c r="P437" s="78"/>
      <c r="Q437" s="77"/>
      <c r="R437" s="76"/>
      <c r="S437" s="25"/>
      <c r="T437" s="1"/>
      <c r="V437" s="1" t="s">
        <v>83</v>
      </c>
      <c r="W437" s="1" t="b">
        <v>1</v>
      </c>
      <c r="X437" s="23" t="str">
        <f>IFERROR(__xludf.DUMMYFUNCTION("if(COUNTA(FILTER(C:C, C:C = C437))=1,""no"",""yes"")"),"no")</f>
        <v>no</v>
      </c>
    </row>
    <row r="438">
      <c r="A438" s="83" t="s">
        <v>487</v>
      </c>
      <c r="B438" s="28">
        <v>1.0</v>
      </c>
      <c r="C438" s="27" t="s">
        <v>1168</v>
      </c>
      <c r="D438" s="1"/>
      <c r="E438" s="24">
        <f>IFERROR(__xludf.DUMMYFUNCTION("ifna(IFNA(filter('2.1.clean'!C:C,'2.1.clean'!A:A=C438),filter('2.2.clean'!E:E,'2.2.clean'!D:D=C438)),filter('2.4.clean'!C:C,'2.4.clean'!A:A=C438))"),43710.0)</f>
        <v>43710</v>
      </c>
      <c r="F438" s="25">
        <f>IFERROR(__xludf.DUMMYFUNCTION("iferror(ifna(IFNA(filter('2.1.clean'!E:E,'2.1.clean'!A:A=C438),filter('2.2.clean'!G:G,'2.2.clean'!D:D=C438)),filter('2.4.clean'!E:E,'2.4.clean'!A:A=C438)),)"),2.1)</f>
        <v>2.1</v>
      </c>
      <c r="G438" s="24">
        <f>IFERROR(__xludf.DUMMYFUNCTION("iferror(filter('3.1.clean'!C:C,'3.1.clean'!A:A=C438),"""")"),43710.0)</f>
        <v>43710</v>
      </c>
      <c r="H438" s="23" t="b">
        <f t="shared" si="288"/>
        <v>1</v>
      </c>
      <c r="J438" s="25"/>
      <c r="K438" s="24" t="str">
        <f>IFERROR(__xludf.DUMMYFUNCTION("iferror(filter('3.2.clean'!C:C,'3.2.clean'!A:A=C438),"""")"),"")</f>
        <v/>
      </c>
      <c r="L438" s="25" t="b">
        <f t="shared" ref="L438:L445" si="289">if(K438="",FALSE,TRUE)</f>
        <v>0</v>
      </c>
      <c r="M438" s="24">
        <f>IFERROR(__xludf.DUMMYFUNCTION("iferror(filter('3.3.clean'!C:C,'3.3.clean'!A:A=C438),"""")"),43711.0)</f>
        <v>43711</v>
      </c>
      <c r="N438" s="25" t="b">
        <f t="shared" ref="N438:N452" si="290">if(M438="",FALSE,TRUE)</f>
        <v>1</v>
      </c>
      <c r="O438" s="24" t="str">
        <f>IFERROR(__xludf.DUMMYFUNCTION("iferror(filter('3.4.clean'!C:C,'3.4.clean'!A:A=#REF!),"""")"),"")</f>
        <v/>
      </c>
      <c r="P438" s="25" t="b">
        <f t="shared" ref="P438:P452" si="291">if(O438="",FALSE,TRUE)</f>
        <v>0</v>
      </c>
      <c r="Q438" s="24"/>
      <c r="S438" s="25"/>
      <c r="V438" s="1" t="s">
        <v>83</v>
      </c>
      <c r="W438" s="23" t="b">
        <f>IF(and(H438=TRUE,L438=TRUE,N438=TRUE,P438=TRUE),TRUE,FALSE)</f>
        <v>0</v>
      </c>
      <c r="X438" s="23" t="str">
        <f>IFERROR(__xludf.DUMMYFUNCTION("if(COUNTA(FILTER(C:C, C:C = C438))=1,""no"",""yes"")"),"no")</f>
        <v>no</v>
      </c>
    </row>
    <row r="439">
      <c r="A439" s="83" t="s">
        <v>487</v>
      </c>
      <c r="B439" s="19">
        <v>2.0</v>
      </c>
      <c r="C439" s="19" t="s">
        <v>1169</v>
      </c>
      <c r="D439" s="58" t="str">
        <f t="shared" ref="D439:D440" si="292">if(or(I439=1,J439=1,S439=1),"pos","")</f>
        <v/>
      </c>
      <c r="E439" s="59">
        <f>IFERROR(__xludf.DUMMYFUNCTION("ifna(IFNA(filter('2.1.clean'!C:C,'2.1.clean'!A:A=C439),filter('2.2.clean'!E:E,'2.2.clean'!D:D=C439)),filter('2.4.clean'!C:C,'2.4.clean'!A:A=C439))"),43710.0)</f>
        <v>43710</v>
      </c>
      <c r="F439" s="60">
        <f>IFERROR(__xludf.DUMMYFUNCTION("iferror(ifna(IFNA(filter('2.1.clean'!E:E,'2.1.clean'!A:A=C439),filter('2.2.clean'!G:G,'2.2.clean'!D:D=C439)),filter('2.4.clean'!E:E,'2.4.clean'!A:A=C439)),)"),2.1)</f>
        <v>2.1</v>
      </c>
      <c r="G439" s="59">
        <f>IFERROR(__xludf.DUMMYFUNCTION("iferror(filter('3.1.clean'!C:C,'3.1.clean'!A:A=C439),"""")"),43710.0)</f>
        <v>43710</v>
      </c>
      <c r="H439" s="58" t="b">
        <f t="shared" si="288"/>
        <v>1</v>
      </c>
      <c r="I439" s="58">
        <f>IFERROR(__xludf.DUMMYFUNCTION("iferror(filter('3.1.clean'!G:G,'3.1.clean'!A:A=C439),"""")"),0.0)</f>
        <v>0</v>
      </c>
      <c r="J439" s="60">
        <f>IFERROR(__xludf.DUMMYFUNCTION("iferror(filter('3.1.clean'!I:I,'3.1.clean'!A:A=C439),"""")"),0.0)</f>
        <v>0</v>
      </c>
      <c r="K439" s="58" t="str">
        <f>IFERROR(__xludf.DUMMYFUNCTION("iferror(filter('3.2.clean'!C:C,'3.2.clean'!A:A=C439),"""")"),"")</f>
        <v/>
      </c>
      <c r="L439" s="60" t="b">
        <f t="shared" si="289"/>
        <v>0</v>
      </c>
      <c r="M439" s="59">
        <f>IFERROR(__xludf.DUMMYFUNCTION("iferror(filter('3.3.clean'!C:C,'3.3.clean'!A:A=C439),"""")"),43714.0)</f>
        <v>43714</v>
      </c>
      <c r="N439" s="60" t="b">
        <f t="shared" si="290"/>
        <v>1</v>
      </c>
      <c r="O439" s="59">
        <f>IFERROR(__xludf.DUMMYFUNCTION("iferror(filter('3.4.clean'!C:C,'3.4.clean'!A:A=C439),"""")"),43712.0)</f>
        <v>43712</v>
      </c>
      <c r="P439" s="60" t="b">
        <f t="shared" si="291"/>
        <v>1</v>
      </c>
      <c r="Q439" s="59" t="str">
        <f>IFERROR(__xludf.DUMMYFUNCTION("iferror(filter('3.5.clean'!C:C,'3.5.clean'!A:A=C439),"""")"),"")</f>
        <v/>
      </c>
      <c r="R439" s="58"/>
      <c r="S439" s="4" t="str">
        <f>IFERROR(__xludf.DUMMYFUNCTION("iferror(filter('3.5.clean'!H:H,'3.5.clean'!A:A=C439),"""")"),"")</f>
        <v/>
      </c>
      <c r="U439" s="23"/>
      <c r="V439" s="1" t="s">
        <v>83</v>
      </c>
      <c r="W439" s="1" t="b">
        <v>1</v>
      </c>
      <c r="X439" s="23" t="str">
        <f>IFERROR(__xludf.DUMMYFUNCTION("if(COUNTA(FILTER(C:C, C:C = C439))=1,""no"",""yes"")"),"no")</f>
        <v>no</v>
      </c>
    </row>
    <row r="440">
      <c r="A440" s="83" t="s">
        <v>487</v>
      </c>
      <c r="B440" s="19">
        <v>3.0</v>
      </c>
      <c r="C440" s="19" t="s">
        <v>1171</v>
      </c>
      <c r="D440" s="58" t="str">
        <f t="shared" si="292"/>
        <v>pos</v>
      </c>
      <c r="E440" s="59">
        <f>Q440</f>
        <v>43710</v>
      </c>
      <c r="F440" s="60" t="str">
        <f>IFERROR(__xludf.DUMMYFUNCTION("iferror(ifna(IFNA(filter('2.1.clean'!E:E,'2.1.clean'!A:A=C440),filter('2.2.clean'!G:G,'2.2.clean'!D:D=C440)),filter('2.4.clean'!E:E,'2.4.clean'!A:A=C440)),)"),"")</f>
        <v/>
      </c>
      <c r="G440" s="59" t="str">
        <f>IFERROR(__xludf.DUMMYFUNCTION("iferror(filter('3.1.clean'!C:C,'3.1.clean'!B:B=C440),"""")"),"")</f>
        <v/>
      </c>
      <c r="H440" s="58"/>
      <c r="I440" s="58"/>
      <c r="J440" s="60"/>
      <c r="K440" s="58" t="str">
        <f>IFERROR(__xludf.DUMMYFUNCTION("iferror(filter('3.2.clean'!C:C,'3.2.clean'!A:A=C440),"""")"),"")</f>
        <v/>
      </c>
      <c r="L440" s="60" t="b">
        <f t="shared" si="289"/>
        <v>0</v>
      </c>
      <c r="M440" s="59">
        <f>IFERROR(__xludf.DUMMYFUNCTION("iferror(filter('3.3.clean'!C:C,'3.3.clean'!A:A=C440),"""")"),43714.0)</f>
        <v>43714</v>
      </c>
      <c r="N440" s="60" t="b">
        <f t="shared" si="290"/>
        <v>1</v>
      </c>
      <c r="O440" s="59" t="str">
        <f>IFERROR(__xludf.DUMMYFUNCTION("iferror(filter('3.4.clean'!C:C,'3.4.clean'!A:A=C440),"""")"),"")</f>
        <v/>
      </c>
      <c r="P440" s="60" t="b">
        <f t="shared" si="291"/>
        <v>0</v>
      </c>
      <c r="Q440" s="59">
        <f>IFERROR(__xludf.DUMMYFUNCTION("iferror(filter('3.5.clean'!C:C,'3.5.clean'!A:A=C440),"""")"),43710.0)</f>
        <v>43710</v>
      </c>
      <c r="R440" s="58" t="b">
        <f>if(Q440="",FALSE,TRUE)</f>
        <v>1</v>
      </c>
      <c r="S440" s="4">
        <f>IFERROR(__xludf.DUMMYFUNCTION("iferror(filter('3.5.clean'!H:H,'3.5.clean'!A:A=C440),"""")"),1.0)</f>
        <v>1</v>
      </c>
      <c r="U440" s="23"/>
      <c r="V440" s="1" t="s">
        <v>83</v>
      </c>
      <c r="W440" s="23" t="b">
        <f>if(AND(R440=TRUE,N440=TRUE,P440=TRUE),TRUE,FALSE)</f>
        <v>0</v>
      </c>
      <c r="X440" s="23" t="str">
        <f>IFERROR(__xludf.DUMMYFUNCTION("if(COUNTA(FILTER(C:C, C:C = C440))=1,""no"",""yes"")"),"no")</f>
        <v>no</v>
      </c>
    </row>
    <row r="441">
      <c r="A441" s="83" t="s">
        <v>487</v>
      </c>
      <c r="B441" s="28">
        <v>4.0</v>
      </c>
      <c r="C441" s="27" t="s">
        <v>1172</v>
      </c>
      <c r="D441" s="24"/>
      <c r="E441" s="24">
        <f>IFERROR(__xludf.DUMMYFUNCTION("ifna(IFNA(filter('2.1.clean'!C:C,'2.1.clean'!A:A=C441),filter('2.2.clean'!E:E,'2.2.clean'!D:D=C441)),filter('2.4.clean'!C:C,'2.4.clean'!A:A=C441))"),43710.0)</f>
        <v>43710</v>
      </c>
      <c r="F441" s="25">
        <f>IFERROR(__xludf.DUMMYFUNCTION("iferror(ifna(IFNA(filter('2.1.clean'!E:E,'2.1.clean'!A:A=C441),filter('2.2.clean'!G:G,'2.2.clean'!D:D=C441)),filter('2.4.clean'!E:E,'2.4.clean'!A:A=C441)),)"),2.1)</f>
        <v>2.1</v>
      </c>
      <c r="G441" s="24">
        <f>IFERROR(__xludf.DUMMYFUNCTION("iferror(filter('3.1.clean'!C:C,'3.1.clean'!A:A=C441),"""")"),43710.0)</f>
        <v>43710</v>
      </c>
      <c r="H441" s="23" t="b">
        <f t="shared" ref="H441:H442" si="293">if(G441="",FALSE,TRUE)</f>
        <v>1</v>
      </c>
      <c r="J441" s="25"/>
      <c r="K441" s="24" t="str">
        <f>IFERROR(__xludf.DUMMYFUNCTION("iferror(filter('3.2.clean'!C:C,'3.2.clean'!A:A=C441),"""")"),"")</f>
        <v/>
      </c>
      <c r="L441" s="25" t="b">
        <f t="shared" si="289"/>
        <v>0</v>
      </c>
      <c r="M441" s="24">
        <f>IFERROR(__xludf.DUMMYFUNCTION("iferror(filter('3.3.clean'!C:C,'3.3.clean'!A:A=C441),"""")"),43711.0)</f>
        <v>43711</v>
      </c>
      <c r="N441" s="25" t="b">
        <f t="shared" si="290"/>
        <v>1</v>
      </c>
      <c r="O441" s="24">
        <f>IFERROR(__xludf.DUMMYFUNCTION("iferror(filter('3.4.clean'!C:C,'3.4.clean'!A:A=C441),"""")"),43712.0)</f>
        <v>43712</v>
      </c>
      <c r="P441" s="25" t="b">
        <f t="shared" si="291"/>
        <v>1</v>
      </c>
      <c r="Q441" s="24"/>
      <c r="S441" s="25"/>
      <c r="U441" s="23" t="s">
        <v>21</v>
      </c>
      <c r="V441" s="1" t="s">
        <v>83</v>
      </c>
      <c r="W441" s="23" t="b">
        <f>IF(and(H441=TRUE,L441=TRUE,N441=TRUE,P441=TRUE),TRUE,FALSE)</f>
        <v>0</v>
      </c>
      <c r="X441" s="23" t="str">
        <f>IFERROR(__xludf.DUMMYFUNCTION("if(COUNTA(FILTER(C:C, C:C = C441))=1,""no"",""yes"")"),"no")</f>
        <v>no</v>
      </c>
    </row>
    <row r="442">
      <c r="A442" s="83" t="s">
        <v>487</v>
      </c>
      <c r="B442" s="19">
        <v>5.0</v>
      </c>
      <c r="C442" s="19" t="s">
        <v>1174</v>
      </c>
      <c r="D442" s="58" t="str">
        <f t="shared" ref="D442:D443" si="294">if(or(I442=1,J442=1,S442=1),"pos","")</f>
        <v/>
      </c>
      <c r="E442" s="59">
        <f>IFERROR(__xludf.DUMMYFUNCTION("ifna(IFNA(filter('2.1.clean'!C:C,'2.1.clean'!A:A=C442),filter('2.2.clean'!E:E,'2.2.clean'!D:D=C442)),filter('2.4.clean'!C:C,'2.4.clean'!A:A=C442))"),43710.0)</f>
        <v>43710</v>
      </c>
      <c r="F442" s="60">
        <f>IFERROR(__xludf.DUMMYFUNCTION("iferror(ifna(IFNA(filter('2.1.clean'!E:E,'2.1.clean'!A:A=C442),filter('2.2.clean'!G:G,'2.2.clean'!D:D=C442)),filter('2.4.clean'!E:E,'2.4.clean'!A:A=C442)),)"),2.1)</f>
        <v>2.1</v>
      </c>
      <c r="G442" s="59">
        <f>IFERROR(__xludf.DUMMYFUNCTION("iferror(filter('3.1.clean'!C:C,'3.1.clean'!A:A=C442),"""")"),43710.0)</f>
        <v>43710</v>
      </c>
      <c r="H442" s="58" t="b">
        <f t="shared" si="293"/>
        <v>1</v>
      </c>
      <c r="I442" s="58">
        <f>IFERROR(__xludf.DUMMYFUNCTION("iferror(filter('3.1.clean'!G:G,'3.1.clean'!A:A=C442),"""")"),0.0)</f>
        <v>0</v>
      </c>
      <c r="J442" s="60">
        <f>IFERROR(__xludf.DUMMYFUNCTION("iferror(filter('3.1.clean'!I:I,'3.1.clean'!A:A=C442),"""")"),0.0)</f>
        <v>0</v>
      </c>
      <c r="K442" s="58" t="str">
        <f>IFERROR(__xludf.DUMMYFUNCTION("iferror(filter('3.2.clean'!C:C,'3.2.clean'!A:A=C442),"""")"),"")</f>
        <v/>
      </c>
      <c r="L442" s="60" t="b">
        <f t="shared" si="289"/>
        <v>0</v>
      </c>
      <c r="M442" s="59">
        <f>IFERROR(__xludf.DUMMYFUNCTION("iferror(filter('3.3.clean'!C:C,'3.3.clean'!A:A=C442),"""")"),43711.0)</f>
        <v>43711</v>
      </c>
      <c r="N442" s="60" t="b">
        <f t="shared" si="290"/>
        <v>1</v>
      </c>
      <c r="O442" s="59">
        <f>IFERROR(__xludf.DUMMYFUNCTION("iferror(filter('3.4.clean'!C:C,'3.4.clean'!A:A=C442),"""")"),43712.0)</f>
        <v>43712</v>
      </c>
      <c r="P442" s="60" t="b">
        <f t="shared" si="291"/>
        <v>1</v>
      </c>
      <c r="Q442" s="59" t="str">
        <f>IFERROR(__xludf.DUMMYFUNCTION("iferror(filter('3.5.clean'!C:C,'3.5.clean'!A:A=C442),"""")"),"")</f>
        <v/>
      </c>
      <c r="R442" s="58"/>
      <c r="S442" s="4" t="str">
        <f>IFERROR(__xludf.DUMMYFUNCTION("iferror(filter('3.5.clean'!H:H,'3.5.clean'!A:A=C442),"""")"),"")</f>
        <v/>
      </c>
      <c r="U442" s="23"/>
      <c r="V442" s="1" t="s">
        <v>83</v>
      </c>
      <c r="W442" s="23" t="b">
        <f>if(AND(H442=TRUE,N442=TRUE,P442=TRUE),TRUE,FALSE)</f>
        <v>1</v>
      </c>
      <c r="X442" s="23" t="str">
        <f>IFERROR(__xludf.DUMMYFUNCTION("if(COUNTA(FILTER(C:C, C:C = C442))=1,""no"",""yes"")"),"no")</f>
        <v>no</v>
      </c>
    </row>
    <row r="443">
      <c r="A443" s="83" t="s">
        <v>487</v>
      </c>
      <c r="B443" s="19">
        <v>6.0</v>
      </c>
      <c r="C443" s="19" t="s">
        <v>1175</v>
      </c>
      <c r="D443" s="58" t="str">
        <f t="shared" si="294"/>
        <v>pos</v>
      </c>
      <c r="E443" s="59">
        <f>Q443</f>
        <v>43710</v>
      </c>
      <c r="F443" s="60" t="str">
        <f>IFERROR(__xludf.DUMMYFUNCTION("iferror(ifna(IFNA(filter('2.1.clean'!E:E,'2.1.clean'!A:A=C443),filter('2.2.clean'!G:G,'2.2.clean'!D:D=C443)),filter('2.4.clean'!E:E,'2.4.clean'!A:A=C443)),)"),"")</f>
        <v/>
      </c>
      <c r="G443" s="59" t="str">
        <f>IFERROR(__xludf.DUMMYFUNCTION("iferror(filter('3.1.clean'!C:C,'3.1.clean'!B:B=C443),"""")"),"")</f>
        <v/>
      </c>
      <c r="H443" s="58"/>
      <c r="I443" s="58"/>
      <c r="J443" s="60"/>
      <c r="K443" s="58" t="str">
        <f>IFERROR(__xludf.DUMMYFUNCTION("iferror(filter('3.2.clean'!C:C,'3.2.clean'!A:A=C443),"""")"),"")</f>
        <v/>
      </c>
      <c r="L443" s="60" t="b">
        <f t="shared" si="289"/>
        <v>0</v>
      </c>
      <c r="M443" s="59">
        <f>IFERROR(__xludf.DUMMYFUNCTION("iferror(filter('3.3.clean'!C:C,'3.3.clean'!A:A=C443),"""")"),43714.0)</f>
        <v>43714</v>
      </c>
      <c r="N443" s="60" t="b">
        <f t="shared" si="290"/>
        <v>1</v>
      </c>
      <c r="O443" s="59">
        <f>IFERROR(__xludf.DUMMYFUNCTION("iferror(filter('3.4.clean'!C:C,'3.4.clean'!A:A=C443),"""")"),43712.0)</f>
        <v>43712</v>
      </c>
      <c r="P443" s="60" t="b">
        <f t="shared" si="291"/>
        <v>1</v>
      </c>
      <c r="Q443" s="59">
        <f>IFERROR(__xludf.DUMMYFUNCTION("iferror(filter('3.5.clean'!C:C,'3.5.clean'!A:A=C443),"""")"),43710.0)</f>
        <v>43710</v>
      </c>
      <c r="R443" s="58" t="b">
        <f>if(Q443="",FALSE,TRUE)</f>
        <v>1</v>
      </c>
      <c r="S443" s="4">
        <f>IFERROR(__xludf.DUMMYFUNCTION("iferror(filter('3.5.clean'!H:H,'3.5.clean'!A:A=C443),"""")"),1.0)</f>
        <v>1</v>
      </c>
      <c r="U443" s="23"/>
      <c r="V443" s="1" t="s">
        <v>83</v>
      </c>
      <c r="W443" s="23" t="b">
        <f>if(AND(R443=TRUE,N443=TRUE,P443=TRUE),TRUE,FALSE)</f>
        <v>1</v>
      </c>
      <c r="X443" s="23" t="str">
        <f>IFERROR(__xludf.DUMMYFUNCTION("if(COUNTA(FILTER(C:C, C:C = C443))=1,""no"",""yes"")"),"no")</f>
        <v>no</v>
      </c>
    </row>
    <row r="444">
      <c r="A444" s="83" t="s">
        <v>487</v>
      </c>
      <c r="B444" s="28">
        <v>7.0</v>
      </c>
      <c r="C444" s="27" t="s">
        <v>1177</v>
      </c>
      <c r="D444" s="24"/>
      <c r="E444" s="24">
        <f>IFERROR(__xludf.DUMMYFUNCTION("ifna(IFNA(filter('2.1.clean'!C:C,'2.1.clean'!A:A=C444),filter('2.2.clean'!E:E,'2.2.clean'!D:D=C444)),filter('2.4.clean'!C:C,'2.4.clean'!A:A=C444))"),43710.0)</f>
        <v>43710</v>
      </c>
      <c r="F444" s="25">
        <f>IFERROR(__xludf.DUMMYFUNCTION("iferror(ifna(IFNA(filter('2.1.clean'!E:E,'2.1.clean'!A:A=C444),filter('2.2.clean'!G:G,'2.2.clean'!D:D=C444)),filter('2.4.clean'!E:E,'2.4.clean'!A:A=C444)),)"),2.1)</f>
        <v>2.1</v>
      </c>
      <c r="G444" s="24">
        <f>IFERROR(__xludf.DUMMYFUNCTION("iferror(filter('3.1.clean'!C:C,'3.1.clean'!A:A=C444),"""")"),43710.0)</f>
        <v>43710</v>
      </c>
      <c r="H444" s="23" t="b">
        <f t="shared" ref="H444:H445" si="295">if(G444="",FALSE,TRUE)</f>
        <v>1</v>
      </c>
      <c r="J444" s="25"/>
      <c r="K444" s="24" t="str">
        <f>IFERROR(__xludf.DUMMYFUNCTION("iferror(filter('3.2.clean'!C:C,'3.2.clean'!A:A=C444),"""")"),"")</f>
        <v/>
      </c>
      <c r="L444" s="25" t="b">
        <f t="shared" si="289"/>
        <v>0</v>
      </c>
      <c r="M444" s="24">
        <f>IFERROR(__xludf.DUMMYFUNCTION("iferror(filter('3.3.clean'!C:C,'3.3.clean'!A:A=C444),"""")"),43711.0)</f>
        <v>43711</v>
      </c>
      <c r="N444" s="25" t="b">
        <f t="shared" si="290"/>
        <v>1</v>
      </c>
      <c r="O444" s="24">
        <f>IFERROR(__xludf.DUMMYFUNCTION("iferror(filter('3.4.clean'!C:C,'3.4.clean'!A:A=C444),"""")"),43712.0)</f>
        <v>43712</v>
      </c>
      <c r="P444" s="25" t="b">
        <f t="shared" si="291"/>
        <v>1</v>
      </c>
      <c r="Q444" s="24"/>
      <c r="S444" s="25"/>
      <c r="U444" s="23" t="s">
        <v>21</v>
      </c>
      <c r="V444" s="1" t="s">
        <v>83</v>
      </c>
      <c r="W444" s="23" t="b">
        <f>IF(and(H444=TRUE,L444=TRUE,N444=TRUE,P444=TRUE),TRUE,FALSE)</f>
        <v>0</v>
      </c>
      <c r="X444" s="23" t="str">
        <f>IFERROR(__xludf.DUMMYFUNCTION("if(COUNTA(FILTER(C:C, C:C = C444))=1,""no"",""yes"")"),"no")</f>
        <v>no</v>
      </c>
    </row>
    <row r="445">
      <c r="A445" s="83" t="s">
        <v>487</v>
      </c>
      <c r="B445" s="19">
        <v>8.0</v>
      </c>
      <c r="C445" s="19" t="s">
        <v>1178</v>
      </c>
      <c r="D445" s="58" t="str">
        <f t="shared" ref="D445:D446" si="296">if(or(I445=1,J445=1,S445=1),"pos","")</f>
        <v/>
      </c>
      <c r="E445" s="59">
        <f>IFERROR(__xludf.DUMMYFUNCTION("ifna(IFNA(filter('2.1.clean'!C:C,'2.1.clean'!A:A=C445),filter('2.2.clean'!E:E,'2.2.clean'!D:D=C445)),filter('2.4.clean'!C:C,'2.4.clean'!A:A=C445))"),43710.0)</f>
        <v>43710</v>
      </c>
      <c r="F445" s="60">
        <f>IFERROR(__xludf.DUMMYFUNCTION("iferror(ifna(IFNA(filter('2.1.clean'!E:E,'2.1.clean'!A:A=C445),filter('2.2.clean'!G:G,'2.2.clean'!D:D=C445)),filter('2.4.clean'!E:E,'2.4.clean'!A:A=C445)),)"),2.1)</f>
        <v>2.1</v>
      </c>
      <c r="G445" s="59">
        <f>IFERROR(__xludf.DUMMYFUNCTION("iferror(filter('3.1.clean'!C:C,'3.1.clean'!A:A=C445),"""")"),43710.0)</f>
        <v>43710</v>
      </c>
      <c r="H445" s="58" t="b">
        <f t="shared" si="295"/>
        <v>1</v>
      </c>
      <c r="I445" s="58">
        <f>IFERROR(__xludf.DUMMYFUNCTION("iferror(filter('3.1.clean'!G:G,'3.1.clean'!A:A=C445),"""")"),0.0)</f>
        <v>0</v>
      </c>
      <c r="J445" s="60">
        <f>IFERROR(__xludf.DUMMYFUNCTION("iferror(filter('3.1.clean'!I:I,'3.1.clean'!A:A=C445),"""")"),0.0)</f>
        <v>0</v>
      </c>
      <c r="K445" s="58" t="str">
        <f>IFERROR(__xludf.DUMMYFUNCTION("iferror(filter('3.2.clean'!C:C,'3.2.clean'!A:A=C445),"""")"),"")</f>
        <v/>
      </c>
      <c r="L445" s="60" t="b">
        <f t="shared" si="289"/>
        <v>0</v>
      </c>
      <c r="M445" s="59">
        <f>IFERROR(__xludf.DUMMYFUNCTION("iferror(filter('3.3.clean'!C:C,'3.3.clean'!A:A=C445),"""")"),43711.0)</f>
        <v>43711</v>
      </c>
      <c r="N445" s="60" t="b">
        <f t="shared" si="290"/>
        <v>1</v>
      </c>
      <c r="O445" s="59">
        <f>IFERROR(__xludf.DUMMYFUNCTION("iferror(filter('3.4.clean'!C:C,'3.4.clean'!A:A=C445),"""")"),43712.0)</f>
        <v>43712</v>
      </c>
      <c r="P445" s="60" t="b">
        <f t="shared" si="291"/>
        <v>1</v>
      </c>
      <c r="Q445" s="59" t="str">
        <f>IFERROR(__xludf.DUMMYFUNCTION("iferror(filter('3.5.clean'!C:C,'3.5.clean'!A:A=C445),"""")"),"")</f>
        <v/>
      </c>
      <c r="R445" s="58"/>
      <c r="S445" s="4" t="str">
        <f>IFERROR(__xludf.DUMMYFUNCTION("iferror(filter('3.5.clean'!H:H,'3.5.clean'!A:A=C445),"""")"),"")</f>
        <v/>
      </c>
      <c r="U445" s="23"/>
      <c r="V445" s="1" t="s">
        <v>83</v>
      </c>
      <c r="W445" s="23" t="b">
        <f>if(AND(H445=TRUE,N445=TRUE,P445=TRUE),TRUE,FALSE)</f>
        <v>1</v>
      </c>
      <c r="X445" s="23" t="str">
        <f>IFERROR(__xludf.DUMMYFUNCTION("if(COUNTA(FILTER(C:C, C:C = C445))=1,""no"",""yes"")"),"no")</f>
        <v>no</v>
      </c>
    </row>
    <row r="446">
      <c r="A446" s="83" t="s">
        <v>487</v>
      </c>
      <c r="B446" s="19">
        <v>9.0</v>
      </c>
      <c r="C446" s="19" t="s">
        <v>1180</v>
      </c>
      <c r="D446" s="58" t="str">
        <f t="shared" si="296"/>
        <v/>
      </c>
      <c r="E446" s="59">
        <f>Q446</f>
        <v>43710</v>
      </c>
      <c r="F446" s="60" t="str">
        <f>IFERROR(__xludf.DUMMYFUNCTION("iferror(ifna(IFNA(filter('2.1.clean'!E:E,'2.1.clean'!A:A=C446),filter('2.2.clean'!G:G,'2.2.clean'!D:D=C446)),filter('2.4.clean'!E:E,'2.4.clean'!A:A=C446)),)"),"")</f>
        <v/>
      </c>
      <c r="G446" s="59" t="str">
        <f>IFERROR(__xludf.DUMMYFUNCTION("iferror(filter('3.1.clean'!C:C,'3.1.clean'!A:A=C446),"""")"),"")</f>
        <v/>
      </c>
      <c r="H446" s="58"/>
      <c r="I446" s="58"/>
      <c r="J446" s="60"/>
      <c r="K446" s="58"/>
      <c r="L446" s="60"/>
      <c r="M446" s="59">
        <f>IFERROR(__xludf.DUMMYFUNCTION("iferror(filter('3.3.clean'!C:C,'3.3.clean'!A:A=C446),"""")"),43714.0)</f>
        <v>43714</v>
      </c>
      <c r="N446" s="60" t="b">
        <f t="shared" si="290"/>
        <v>1</v>
      </c>
      <c r="O446" s="59">
        <f>IFERROR(__xludf.DUMMYFUNCTION("iferror(filter('3.4.clean'!C:C,'3.4.clean'!A:A=C446),"""")"),43717.0)</f>
        <v>43717</v>
      </c>
      <c r="P446" s="60" t="b">
        <f t="shared" si="291"/>
        <v>1</v>
      </c>
      <c r="Q446" s="59">
        <f>IFERROR(__xludf.DUMMYFUNCTION("iferror(filter('3.5.clean'!C:C,'3.5.clean'!A:A=C446),"""")"),43710.0)</f>
        <v>43710</v>
      </c>
      <c r="R446" s="58" t="b">
        <f>if(Q446="",FALSE,TRUE)</f>
        <v>1</v>
      </c>
      <c r="S446" s="4">
        <f>IFERROR(__xludf.DUMMYFUNCTION("iferror(filter('3.5.clean'!H:H,'3.5.clean'!A:A=C446),"""")"),0.0)</f>
        <v>0</v>
      </c>
      <c r="U446" s="23"/>
      <c r="V446" s="1" t="s">
        <v>64</v>
      </c>
      <c r="W446" s="23" t="b">
        <f>if(AND(R446=TRUE,N446=TRUE,P446=TRUE),TRUE,FALSE)</f>
        <v>1</v>
      </c>
      <c r="X446" s="23" t="str">
        <f>IFERROR(__xludf.DUMMYFUNCTION("if(COUNTA(FILTER(C:C, C:C = C446))=1,""no"",""yes"")"),"no")</f>
        <v>no</v>
      </c>
    </row>
    <row r="447">
      <c r="A447" s="83" t="s">
        <v>487</v>
      </c>
      <c r="B447" s="28">
        <v>10.0</v>
      </c>
      <c r="C447" s="27" t="s">
        <v>1181</v>
      </c>
      <c r="D447" s="24"/>
      <c r="E447" s="24">
        <f>IFERROR(__xludf.DUMMYFUNCTION("ifna(IFNA(filter('2.1.clean'!C:C,'2.1.clean'!A:A=C447),filter('2.2.clean'!E:E,'2.2.clean'!D:D=C447)),filter('2.4.clean'!C:C,'2.4.clean'!A:A=C447))"),43710.0)</f>
        <v>43710</v>
      </c>
      <c r="F447" s="25">
        <f>IFERROR(__xludf.DUMMYFUNCTION("iferror(ifna(IFNA(filter('2.1.clean'!E:E,'2.1.clean'!A:A=C447),filter('2.2.clean'!G:G,'2.2.clean'!D:D=C447)),filter('2.4.clean'!E:E,'2.4.clean'!A:A=C447)),)"),2.1)</f>
        <v>2.1</v>
      </c>
      <c r="G447" s="24">
        <f>IFERROR(__xludf.DUMMYFUNCTION("iferror(filter('3.1.clean'!C:C,'3.1.clean'!A:A=C447),"""")"),43710.0)</f>
        <v>43710</v>
      </c>
      <c r="H447" s="23" t="b">
        <f t="shared" ref="H447:H450" si="297">if(G447="",FALSE,TRUE)</f>
        <v>1</v>
      </c>
      <c r="J447" s="25"/>
      <c r="K447" s="24" t="str">
        <f>IFERROR(__xludf.DUMMYFUNCTION("iferror(filter('3.2.clean'!C:C,'3.2.clean'!A:A=C447),"""")"),"")</f>
        <v/>
      </c>
      <c r="L447" s="25" t="b">
        <f t="shared" ref="L447:L450" si="298">if(K447="",FALSE,TRUE)</f>
        <v>0</v>
      </c>
      <c r="M447" s="24">
        <f>IFERROR(__xludf.DUMMYFUNCTION("iferror(filter('3.3.clean'!C:C,'3.3.clean'!A:A=C447),"""")"),43711.0)</f>
        <v>43711</v>
      </c>
      <c r="N447" s="25" t="b">
        <f t="shared" si="290"/>
        <v>1</v>
      </c>
      <c r="O447" s="24" t="str">
        <f>IFERROR(__xludf.DUMMYFUNCTION("iferror(filter('3.4.clean'!C:C,'3.4.clean'!A:A=C447),"""")"),"")</f>
        <v/>
      </c>
      <c r="P447" s="25" t="b">
        <f t="shared" si="291"/>
        <v>0</v>
      </c>
      <c r="Q447" s="24"/>
      <c r="S447" s="25"/>
      <c r="U447" s="1" t="s">
        <v>21</v>
      </c>
      <c r="V447" s="1" t="s">
        <v>83</v>
      </c>
      <c r="W447" s="23" t="b">
        <f t="shared" ref="W447:W449" si="299">IF(and(H447=TRUE,L447=TRUE,N447=TRUE,P447=TRUE),TRUE,FALSE)</f>
        <v>0</v>
      </c>
      <c r="X447" s="23" t="str">
        <f>IFERROR(__xludf.DUMMYFUNCTION("if(COUNTA(FILTER(C:C, C:C = C447))=1,""no"",""yes"")"),"no")</f>
        <v>no</v>
      </c>
    </row>
    <row r="448">
      <c r="A448" s="83" t="s">
        <v>487</v>
      </c>
      <c r="B448" s="28">
        <v>11.0</v>
      </c>
      <c r="C448" s="27" t="s">
        <v>1183</v>
      </c>
      <c r="D448" s="24"/>
      <c r="E448" s="24">
        <f>IFERROR(__xludf.DUMMYFUNCTION("ifna(IFNA(filter('2.1.clean'!C:C,'2.1.clean'!A:A=C448),filter('2.2.clean'!E:E,'2.2.clean'!D:D=C448)),filter('2.4.clean'!C:C,'2.4.clean'!A:A=C448))"),43710.0)</f>
        <v>43710</v>
      </c>
      <c r="F448" s="25">
        <f>IFERROR(__xludf.DUMMYFUNCTION("iferror(ifna(IFNA(filter('2.1.clean'!E:E,'2.1.clean'!A:A=C448),filter('2.2.clean'!G:G,'2.2.clean'!D:D=C448)),filter('2.4.clean'!E:E,'2.4.clean'!A:A=C448)),)"),2.1)</f>
        <v>2.1</v>
      </c>
      <c r="G448" s="24">
        <f>IFERROR(__xludf.DUMMYFUNCTION("iferror(filter('3.1.clean'!C:C,'3.1.clean'!A:A=C448),"""")"),43710.0)</f>
        <v>43710</v>
      </c>
      <c r="H448" s="23" t="b">
        <f t="shared" si="297"/>
        <v>1</v>
      </c>
      <c r="J448" s="25"/>
      <c r="K448" s="24" t="str">
        <f>IFERROR(__xludf.DUMMYFUNCTION("iferror(filter('3.2.clean'!C:C,'3.2.clean'!A:A=C448),"""")"),"")</f>
        <v/>
      </c>
      <c r="L448" s="25" t="b">
        <f t="shared" si="298"/>
        <v>0</v>
      </c>
      <c r="M448" s="24">
        <f>IFERROR(__xludf.DUMMYFUNCTION("iferror(filter('3.3.clean'!C:C,'3.3.clean'!A:A=C448),"""")"),43711.0)</f>
        <v>43711</v>
      </c>
      <c r="N448" s="25" t="b">
        <f t="shared" si="290"/>
        <v>1</v>
      </c>
      <c r="O448" s="24" t="str">
        <f>IFERROR(__xludf.DUMMYFUNCTION("iferror(filter('3.4.clean'!C:C,'3.4.clean'!A:A=C448),"""")"),"")</f>
        <v/>
      </c>
      <c r="P448" s="25" t="b">
        <f t="shared" si="291"/>
        <v>0</v>
      </c>
      <c r="Q448" s="24"/>
      <c r="S448" s="25"/>
      <c r="U448" s="23" t="s">
        <v>21</v>
      </c>
      <c r="V448" s="1" t="s">
        <v>83</v>
      </c>
      <c r="W448" s="23" t="b">
        <f t="shared" si="299"/>
        <v>0</v>
      </c>
      <c r="X448" s="23" t="str">
        <f>IFERROR(__xludf.DUMMYFUNCTION("if(COUNTA(FILTER(C:C, C:C = C448))=1,""no"",""yes"")"),"no")</f>
        <v>no</v>
      </c>
    </row>
    <row r="449">
      <c r="A449" s="83" t="s">
        <v>487</v>
      </c>
      <c r="B449" s="28">
        <v>12.0</v>
      </c>
      <c r="C449" s="27" t="s">
        <v>1184</v>
      </c>
      <c r="D449" s="24"/>
      <c r="E449" s="24">
        <f>IFERROR(__xludf.DUMMYFUNCTION("ifna(IFNA(filter('2.1.clean'!C:C,'2.1.clean'!A:A=C449),filter('2.2.clean'!E:E,'2.2.clean'!D:D=C449)),filter('2.4.clean'!C:C,'2.4.clean'!A:A=C449))"),43710.0)</f>
        <v>43710</v>
      </c>
      <c r="F449" s="25">
        <f>IFERROR(__xludf.DUMMYFUNCTION("iferror(ifna(IFNA(filter('2.1.clean'!E:E,'2.1.clean'!A:A=C449),filter('2.2.clean'!G:G,'2.2.clean'!D:D=C449)),filter('2.4.clean'!E:E,'2.4.clean'!A:A=C449)),)"),2.1)</f>
        <v>2.1</v>
      </c>
      <c r="G449" s="24">
        <f>IFERROR(__xludf.DUMMYFUNCTION("iferror(filter('3.1.clean'!C:C,'3.1.clean'!A:A=C449),"""")"),43710.0)</f>
        <v>43710</v>
      </c>
      <c r="H449" s="23" t="b">
        <f t="shared" si="297"/>
        <v>1</v>
      </c>
      <c r="J449" s="25"/>
      <c r="K449" s="24" t="str">
        <f>IFERROR(__xludf.DUMMYFUNCTION("iferror(filter('3.2.clean'!C:C,'3.2.clean'!A:A=C449),"""")"),"")</f>
        <v/>
      </c>
      <c r="L449" s="25" t="b">
        <f t="shared" si="298"/>
        <v>0</v>
      </c>
      <c r="M449" s="24">
        <f>IFERROR(__xludf.DUMMYFUNCTION("iferror(filter('3.3.clean'!C:C,'3.3.clean'!A:A=C449),"""")"),43711.0)</f>
        <v>43711</v>
      </c>
      <c r="N449" s="25" t="b">
        <f t="shared" si="290"/>
        <v>1</v>
      </c>
      <c r="O449" s="24" t="str">
        <f>IFERROR(__xludf.DUMMYFUNCTION("iferror(filter('3.4.clean'!C:C,'3.4.clean'!A:A=C449),"""")"),"")</f>
        <v/>
      </c>
      <c r="P449" s="25" t="b">
        <f t="shared" si="291"/>
        <v>0</v>
      </c>
      <c r="Q449" s="24"/>
      <c r="S449" s="25"/>
      <c r="U449" s="23" t="s">
        <v>21</v>
      </c>
      <c r="V449" s="1" t="s">
        <v>83</v>
      </c>
      <c r="W449" s="23" t="b">
        <f t="shared" si="299"/>
        <v>0</v>
      </c>
      <c r="X449" s="23" t="str">
        <f>IFERROR(__xludf.DUMMYFUNCTION("if(COUNTA(FILTER(C:C, C:C = C449))=1,""no"",""yes"")"),"no")</f>
        <v>no</v>
      </c>
    </row>
    <row r="450">
      <c r="A450" s="83" t="s">
        <v>487</v>
      </c>
      <c r="B450" s="19">
        <v>13.0</v>
      </c>
      <c r="C450" s="19" t="s">
        <v>1186</v>
      </c>
      <c r="D450" s="58" t="str">
        <f t="shared" ref="D450:D451" si="300">if(or(I450=1,J450=1,S450=1),"pos","")</f>
        <v/>
      </c>
      <c r="E450" s="59">
        <f>IFERROR(__xludf.DUMMYFUNCTION("ifna(IFNA(filter('2.1.clean'!C:C,'2.1.clean'!A:A=C450),filter('2.2.clean'!E:E,'2.2.clean'!D:D=C450)),filter('2.4.clean'!C:C,'2.4.clean'!A:A=C450))"),43710.0)</f>
        <v>43710</v>
      </c>
      <c r="F450" s="60">
        <f>IFERROR(__xludf.DUMMYFUNCTION("iferror(ifna(IFNA(filter('2.1.clean'!E:E,'2.1.clean'!A:A=C450),filter('2.2.clean'!G:G,'2.2.clean'!D:D=C450)),filter('2.4.clean'!E:E,'2.4.clean'!A:A=C450)),)"),2.1)</f>
        <v>2.1</v>
      </c>
      <c r="G450" s="59">
        <f>IFERROR(__xludf.DUMMYFUNCTION("iferror(filter('3.1.clean'!C:C,'3.1.clean'!A:A=C450),"""")"),43710.0)</f>
        <v>43710</v>
      </c>
      <c r="H450" s="58" t="b">
        <f t="shared" si="297"/>
        <v>1</v>
      </c>
      <c r="I450" s="58">
        <f>IFERROR(__xludf.DUMMYFUNCTION("iferror(filter('3.1.clean'!G:G,'3.1.clean'!A:A=C450),"""")"),0.0)</f>
        <v>0</v>
      </c>
      <c r="J450" s="60">
        <f>IFERROR(__xludf.DUMMYFUNCTION("iferror(filter('3.1.clean'!I:I,'3.1.clean'!A:A=C450),"""")"),0.0)</f>
        <v>0</v>
      </c>
      <c r="K450" s="58" t="str">
        <f>IFERROR(__xludf.DUMMYFUNCTION("iferror(filter('3.2.clean'!C:C,'3.2.clean'!A:A=C450),"""")"),"")</f>
        <v/>
      </c>
      <c r="L450" s="60" t="b">
        <f t="shared" si="298"/>
        <v>0</v>
      </c>
      <c r="M450" s="59">
        <f>IFERROR(__xludf.DUMMYFUNCTION("iferror(filter('3.3.clean'!C:C,'3.3.clean'!A:A=C450),"""")"),43711.0)</f>
        <v>43711</v>
      </c>
      <c r="N450" s="60" t="b">
        <f t="shared" si="290"/>
        <v>1</v>
      </c>
      <c r="O450" s="59" t="str">
        <f>IFERROR(__xludf.DUMMYFUNCTION("iferror(filter('3.4.clean'!C:C,'3.4.clean'!A:A=C450),"""")"),"")</f>
        <v/>
      </c>
      <c r="P450" s="60" t="b">
        <f t="shared" si="291"/>
        <v>0</v>
      </c>
      <c r="Q450" s="59" t="str">
        <f>IFERROR(__xludf.DUMMYFUNCTION("iferror(filter('3.5.clean'!C:C,'3.5.clean'!A:A=C450),"""")"),"")</f>
        <v/>
      </c>
      <c r="R450" s="58"/>
      <c r="S450" s="4" t="str">
        <f>IFERROR(__xludf.DUMMYFUNCTION("iferror(filter('3.5.clean'!H:H,'3.5.clean'!A:A=C450),"""")"),"")</f>
        <v/>
      </c>
      <c r="U450" s="23"/>
      <c r="V450" s="1" t="s">
        <v>83</v>
      </c>
      <c r="W450" s="23" t="b">
        <f>if(AND(H450=TRUE,N450=TRUE,P450=TRUE),TRUE,FALSE)</f>
        <v>0</v>
      </c>
      <c r="X450" s="23" t="str">
        <f>IFERROR(__xludf.DUMMYFUNCTION("if(COUNTA(FILTER(C:C, C:C = C450))=1,""no"",""yes"")"),"no")</f>
        <v>no</v>
      </c>
    </row>
    <row r="451">
      <c r="A451" s="83" t="s">
        <v>487</v>
      </c>
      <c r="B451" s="19">
        <v>14.0</v>
      </c>
      <c r="C451" s="19" t="s">
        <v>1187</v>
      </c>
      <c r="D451" s="58" t="str">
        <f t="shared" si="300"/>
        <v/>
      </c>
      <c r="E451" s="59">
        <f>Q451</f>
        <v>43710</v>
      </c>
      <c r="F451" s="60" t="str">
        <f>IFERROR(__xludf.DUMMYFUNCTION("iferror(ifna(IFNA(filter('2.1.clean'!E:E,'2.1.clean'!A:A=C451),filter('2.2.clean'!G:G,'2.2.clean'!D:D=C451)),filter('2.4.clean'!E:E,'2.4.clean'!A:A=C451)),)"),"")</f>
        <v/>
      </c>
      <c r="G451" s="59" t="str">
        <f>IFERROR(__xludf.DUMMYFUNCTION("iferror(filter('3.1.clean'!C:C,'3.1.clean'!A:A=C451),"""")"),"")</f>
        <v/>
      </c>
      <c r="H451" s="58"/>
      <c r="I451" s="58"/>
      <c r="J451" s="60"/>
      <c r="K451" s="58"/>
      <c r="L451" s="60"/>
      <c r="M451" s="59">
        <f>IFERROR(__xludf.DUMMYFUNCTION("iferror(filter('3.3.clean'!C:C,'3.3.clean'!A:A=C451),"""")"),43714.0)</f>
        <v>43714</v>
      </c>
      <c r="N451" s="60" t="b">
        <f t="shared" si="290"/>
        <v>1</v>
      </c>
      <c r="O451" s="59" t="str">
        <f>IFERROR(__xludf.DUMMYFUNCTION("iferror(filter('3.4.clean'!C:C,'3.4.clean'!A:A=C451),"""")"),"")</f>
        <v/>
      </c>
      <c r="P451" s="60" t="b">
        <f t="shared" si="291"/>
        <v>0</v>
      </c>
      <c r="Q451" s="59">
        <f>IFERROR(__xludf.DUMMYFUNCTION("iferror(filter('3.5.clean'!C:C,'3.5.clean'!A:A=C451),"""")"),43710.0)</f>
        <v>43710</v>
      </c>
      <c r="R451" s="58" t="b">
        <f t="shared" ref="R451:R452" si="301">if(Q451="",FALSE,TRUE)</f>
        <v>1</v>
      </c>
      <c r="S451" s="4">
        <f>IFERROR(__xludf.DUMMYFUNCTION("iferror(filter('3.5.clean'!H:H,'3.5.clean'!A:A=C451),"""")"),0.0)</f>
        <v>0</v>
      </c>
      <c r="U451" s="23"/>
      <c r="V451" s="1" t="s">
        <v>64</v>
      </c>
      <c r="W451" s="23" t="b">
        <f>if(AND(R451=TRUE,N451=TRUE,P451=TRUE),TRUE,FALSE)</f>
        <v>0</v>
      </c>
      <c r="X451" s="23" t="str">
        <f>IFERROR(__xludf.DUMMYFUNCTION("if(COUNTA(FILTER(C:C, C:C = C451))=1,""no"",""yes"")"),"no")</f>
        <v>no</v>
      </c>
    </row>
    <row r="452">
      <c r="A452" s="83" t="s">
        <v>487</v>
      </c>
      <c r="B452" s="82">
        <v>15.0</v>
      </c>
      <c r="C452" s="85" t="s">
        <v>1189</v>
      </c>
      <c r="E452" s="24">
        <f>IFERROR(__xludf.DUMMYFUNCTION("ifna(IFNA(filter('2.1.clean'!C:C,'2.1.clean'!A:A=C452),filter('2.2.clean'!E:E,'2.2.clean'!D:D=C452)),filter('2.4.clean'!C:C,'2.4.clean'!A:A=C452))"),43710.0)</f>
        <v>43710</v>
      </c>
      <c r="F452" s="25">
        <f>IFERROR(__xludf.DUMMYFUNCTION("iferror(ifna(IFNA(filter('2.1.clean'!E:E,'2.1.clean'!A:A=C452),filter('2.2.clean'!G:G,'2.2.clean'!D:D=C452)),filter('2.4.clean'!E:E,'2.4.clean'!A:A=C452)),)"),2.4)</f>
        <v>2.4</v>
      </c>
      <c r="G452" s="24">
        <f>IFERROR(__xludf.DUMMYFUNCTION("iferror(filter('3.1.clean'!C:C,'3.1.clean'!A:A=C452),"""")"),43710.0)</f>
        <v>43710</v>
      </c>
      <c r="H452" s="23" t="b">
        <f t="shared" ref="H452:H453" si="302">if(G452="",FALSE,TRUE)</f>
        <v>1</v>
      </c>
      <c r="J452" s="25"/>
      <c r="K452" s="24" t="str">
        <f>IFERROR(__xludf.DUMMYFUNCTION("iferror(filter('3.2.clean'!C:C,'3.2.clean'!A:A=C452),"""")"),"")</f>
        <v/>
      </c>
      <c r="L452" s="25" t="b">
        <f>if(K452="",FALSE,TRUE)</f>
        <v>0</v>
      </c>
      <c r="M452" s="24">
        <f>IFERROR(__xludf.DUMMYFUNCTION("iferror(filter('3.3.clean'!C:C,'3.3.clean'!A:A=C452),"""")"),43712.0)</f>
        <v>43712</v>
      </c>
      <c r="N452" s="25" t="b">
        <f t="shared" si="290"/>
        <v>1</v>
      </c>
      <c r="O452" s="24">
        <f>IFERROR(__xludf.DUMMYFUNCTION("iferror(filter('3.4.clean'!C:C,'3.4.clean'!A:A=C452),"""")"),43713.0)</f>
        <v>43713</v>
      </c>
      <c r="P452" s="25" t="b">
        <f t="shared" si="291"/>
        <v>1</v>
      </c>
      <c r="Q452" s="24" t="str">
        <f>IFERROR(__xludf.DUMMYFUNCTION("iferror(filter('3.5.clean'!C:C,'3.5.clean'!A:A=C452),"""")"),"")</f>
        <v/>
      </c>
      <c r="R452" s="23" t="b">
        <f t="shared" si="301"/>
        <v>0</v>
      </c>
      <c r="S452" s="25"/>
      <c r="U452" s="23"/>
      <c r="V452" s="1" t="s">
        <v>64</v>
      </c>
      <c r="X452" s="23" t="str">
        <f>IFERROR(__xludf.DUMMYFUNCTION("if(COUNTA(FILTER(C:C, C:C = C452))=1,""no"",""yes"")"),"no")</f>
        <v>no</v>
      </c>
    </row>
    <row r="453">
      <c r="A453" s="83" t="s">
        <v>487</v>
      </c>
      <c r="B453" s="19">
        <v>16.0</v>
      </c>
      <c r="C453" s="19" t="s">
        <v>1190</v>
      </c>
      <c r="D453" s="76" t="str">
        <f>if(or(I453=1,J453=1,S453=1),"pos","")</f>
        <v/>
      </c>
      <c r="E453" s="77">
        <f>G453</f>
        <v>43710</v>
      </c>
      <c r="F453" s="78" t="str">
        <f>IFERROR(__xludf.DUMMYFUNCTION("iferror(ifna(IFNA(filter('2.1.clean'!E:E,'2.1.clean'!A:A=C453),filter('2.2.clean'!G:G,'2.2.clean'!D:D=C453)),filter('2.4.clean'!E:E,'2.4.clean'!A:A=C453)),)"),"")</f>
        <v/>
      </c>
      <c r="G453" s="77">
        <f>IFERROR(__xludf.DUMMYFUNCTION("iferror(filter('3.1.clean'!C:C,'3.1.clean'!A:A=C453),"""")"),43710.0)</f>
        <v>43710</v>
      </c>
      <c r="H453" s="76" t="b">
        <f t="shared" si="302"/>
        <v>1</v>
      </c>
      <c r="I453" s="76">
        <f>IFERROR(__xludf.DUMMYFUNCTION("iferror(filter('3.1.clean'!G:G,'3.1.clean'!A:A=C453),"""")"),0.0)</f>
        <v>0</v>
      </c>
      <c r="J453" s="78">
        <f>IFERROR(__xludf.DUMMYFUNCTION("iferror(filter('3.1.clean'!I:I,'3.1.clean'!A:A=C453),"""")"),0.0)</f>
        <v>0</v>
      </c>
      <c r="K453" s="77"/>
      <c r="L453" s="78"/>
      <c r="M453" s="77"/>
      <c r="N453" s="78"/>
      <c r="O453" s="77"/>
      <c r="P453" s="78"/>
      <c r="Q453" s="77"/>
      <c r="R453" s="76"/>
      <c r="S453" s="25"/>
      <c r="T453" s="1"/>
      <c r="V453" s="1" t="s">
        <v>83</v>
      </c>
      <c r="W453" s="1" t="b">
        <v>1</v>
      </c>
      <c r="X453" s="23" t="str">
        <f>IFERROR(__xludf.DUMMYFUNCTION("if(COUNTA(FILTER(C:C, C:C = C453))=1,""no"",""yes"")"),"no")</f>
        <v>no</v>
      </c>
    </row>
    <row r="454">
      <c r="A454" s="83" t="s">
        <v>487</v>
      </c>
      <c r="B454" s="2">
        <v>17.0</v>
      </c>
      <c r="C454" s="69" t="s">
        <v>31</v>
      </c>
      <c r="E454" s="24">
        <v>43710.0</v>
      </c>
      <c r="F454" s="25" t="str">
        <f>IFERROR(__xludf.DUMMYFUNCTION("iferror(ifna(IFNA(filter('2.1.clean'!E:E,'2.1.clean'!A:A=C454),filter('2.2.clean'!G:G,'2.2.clean'!D:D=C454)),filter('2.4.clean'!E:E,'2.4.clean'!A:A=C454)),)"),"")</f>
        <v/>
      </c>
      <c r="G454" s="24" t="str">
        <f>IFERROR(__xludf.DUMMYFUNCTION("iferror(filter('3.1.clean'!C:C,'3.1.clean'!B:B=C454),"""")"),"")</f>
        <v/>
      </c>
      <c r="J454" s="25"/>
      <c r="K454" s="24" t="str">
        <f>IFERROR(__xludf.DUMMYFUNCTION("iferror(filter('3.2.clean'!C:C,'3.2.clean'!A:A=C454),"""")"),"")</f>
        <v/>
      </c>
      <c r="L454" s="25"/>
      <c r="M454" s="24" t="str">
        <f>IFERROR(__xludf.DUMMYFUNCTION("iferror(filter('3.3.clean'!C:C,'3.3.clean'!A:A=C454),"""")"),"")</f>
        <v/>
      </c>
      <c r="N454" s="25" t="b">
        <f t="shared" ref="N454:N463" si="303">if(M454="",FALSE,TRUE)</f>
        <v>0</v>
      </c>
      <c r="O454" s="26">
        <v>43710.0</v>
      </c>
      <c r="P454" s="25" t="b">
        <f t="shared" ref="P454:P463" si="304">if(O454="",FALSE,TRUE)</f>
        <v>1</v>
      </c>
      <c r="Q454" s="24" t="str">
        <f>IFERROR(__xludf.DUMMYFUNCTION("iferror(filter('3.5.clean'!C:C,'3.5.clean'!A:A=C454),"""")"),"")</f>
        <v/>
      </c>
      <c r="S454" s="25"/>
      <c r="T454" s="1" t="s">
        <v>422</v>
      </c>
      <c r="V454" s="1" t="s">
        <v>83</v>
      </c>
      <c r="X454" s="23" t="str">
        <f>IFERROR(__xludf.DUMMYFUNCTION("if(COUNTA(FILTER(C:C, C:C = C454))=1,""no"",""yes"")"),"yes")</f>
        <v>yes</v>
      </c>
    </row>
    <row r="455">
      <c r="A455" s="1" t="s">
        <v>492</v>
      </c>
      <c r="B455" s="28">
        <v>1.0</v>
      </c>
      <c r="C455" s="27" t="s">
        <v>1192</v>
      </c>
      <c r="E455" s="24">
        <f>IFERROR(__xludf.DUMMYFUNCTION("ifna(IFNA(filter('2.1.clean'!C:C,'2.1.clean'!A:A=C455),filter('2.2.clean'!E:E,'2.2.clean'!D:D=C455)),filter('2.4.clean'!C:C,'2.4.clean'!A:A=C455))"),43711.0)</f>
        <v>43711</v>
      </c>
      <c r="F455" s="25">
        <f>IFERROR(__xludf.DUMMYFUNCTION("iferror(ifna(IFNA(filter('2.1.clean'!E:E,'2.1.clean'!A:A=C455),filter('2.2.clean'!G:G,'2.2.clean'!D:D=C455)),filter('2.4.clean'!E:E,'2.4.clean'!A:A=C455)),)"),2.4)</f>
        <v>2.4</v>
      </c>
      <c r="G455" s="24"/>
      <c r="J455" s="25"/>
      <c r="K455" s="24"/>
      <c r="L455" s="25"/>
      <c r="M455" s="24">
        <f>IFERROR(__xludf.DUMMYFUNCTION("iferror(filter('3.3.clean'!C:C,'3.3.clean'!A:A=C455),"""")"),43714.0)</f>
        <v>43714</v>
      </c>
      <c r="N455" s="25" t="b">
        <f t="shared" si="303"/>
        <v>1</v>
      </c>
      <c r="O455" s="24">
        <f>IFERROR(__xludf.DUMMYFUNCTION("iferror(filter('3.4.clean'!C:C,'3.4.clean'!A:A=C455),"""")"),43717.0)</f>
        <v>43717</v>
      </c>
      <c r="P455" s="25" t="b">
        <f t="shared" si="304"/>
        <v>1</v>
      </c>
      <c r="Q455" s="24">
        <f>IFERROR(__xludf.DUMMYFUNCTION("iferror(filter('3.5.clean'!C:C,'3.5.clean'!A:A=C455),"""")"),43711.0)</f>
        <v>43711</v>
      </c>
      <c r="R455" s="23" t="b">
        <f t="shared" ref="R455:R456" si="305">if(Q455="",FALSE,TRUE)</f>
        <v>1</v>
      </c>
      <c r="S455" s="25"/>
      <c r="U455" s="1" t="s">
        <v>382</v>
      </c>
      <c r="V455" s="1" t="s">
        <v>64</v>
      </c>
      <c r="W455" s="23" t="b">
        <f t="shared" ref="W455:W456" si="306">IF(and(R455=TRUE,N455=TRUE,P455=TRUE),TRUE,FALSE)</f>
        <v>1</v>
      </c>
      <c r="X455" s="23" t="str">
        <f>IFERROR(__xludf.DUMMYFUNCTION("if(COUNTA(FILTER(C:C, C:C = C455))=1,""no"",""yes"")"),"no")</f>
        <v>no</v>
      </c>
    </row>
    <row r="456">
      <c r="A456" s="1" t="s">
        <v>492</v>
      </c>
      <c r="B456" s="2">
        <v>2.0</v>
      </c>
      <c r="C456" s="19" t="s">
        <v>1193</v>
      </c>
      <c r="E456" s="24">
        <v>43711.0</v>
      </c>
      <c r="F456" s="25" t="str">
        <f>IFERROR(__xludf.DUMMYFUNCTION("iferror(ifna(IFNA(filter('2.1.clean'!E:E,'2.1.clean'!A:A=C456),filter('2.2.clean'!G:G,'2.2.clean'!D:D=C456)),filter('2.4.clean'!E:E,'2.4.clean'!A:A=C456)),)"),"")</f>
        <v/>
      </c>
      <c r="G456" s="24"/>
      <c r="J456" s="25"/>
      <c r="K456" s="24"/>
      <c r="L456" s="25"/>
      <c r="M456" s="24" t="str">
        <f>IFERROR(__xludf.DUMMYFUNCTION("iferror(filter('3.3.clean'!C:C,'3.3.clean'!A:A=C456),"""")"),"")</f>
        <v/>
      </c>
      <c r="N456" s="25" t="b">
        <f t="shared" si="303"/>
        <v>0</v>
      </c>
      <c r="O456" s="24">
        <f>IFERROR(__xludf.DUMMYFUNCTION("iferror(filter('3.4.clean'!C:C,'3.4.clean'!A:A=C456),"""")"),43717.0)</f>
        <v>43717</v>
      </c>
      <c r="P456" s="25" t="b">
        <f t="shared" si="304"/>
        <v>1</v>
      </c>
      <c r="Q456" s="24" t="str">
        <f>IFERROR(__xludf.DUMMYFUNCTION("iferror(filter('3.5.clean'!C:C,'3.5.clean'!A:A=C456),"""")"),"")</f>
        <v/>
      </c>
      <c r="R456" s="23" t="b">
        <f t="shared" si="305"/>
        <v>0</v>
      </c>
      <c r="S456" s="25"/>
      <c r="V456" s="52" t="s">
        <v>64</v>
      </c>
      <c r="W456" s="23" t="b">
        <f t="shared" si="306"/>
        <v>0</v>
      </c>
      <c r="X456" s="23" t="str">
        <f>IFERROR(__xludf.DUMMYFUNCTION("if(COUNTA(FILTER(C:C, C:C = C456))=1,""no"",""yes"")"),"no")</f>
        <v>no</v>
      </c>
    </row>
    <row r="457">
      <c r="A457" s="1" t="s">
        <v>492</v>
      </c>
      <c r="B457" s="19">
        <v>3.0</v>
      </c>
      <c r="C457" s="19" t="s">
        <v>1195</v>
      </c>
      <c r="D457" s="58" t="str">
        <f t="shared" ref="D457:D458" si="307">if(or(I457=1,J457=1,S457=1),"pos","")</f>
        <v/>
      </c>
      <c r="E457" s="59">
        <f>IFERROR(__xludf.DUMMYFUNCTION("ifna(IFNA(filter('2.1.clean'!C:C,'2.1.clean'!A:A=C457),filter('2.2.clean'!E:E,'2.2.clean'!D:D=C457)),filter('2.4.clean'!C:C,'2.4.clean'!A:A=C457))"),43711.0)</f>
        <v>43711</v>
      </c>
      <c r="F457" s="60">
        <f>IFERROR(__xludf.DUMMYFUNCTION("iferror(ifna(IFNA(filter('2.1.clean'!E:E,'2.1.clean'!A:A=C457),filter('2.2.clean'!G:G,'2.2.clean'!D:D=C457)),filter('2.4.clean'!E:E,'2.4.clean'!A:A=C457)),)"),2.4)</f>
        <v>2.4</v>
      </c>
      <c r="G457" s="59">
        <f>IFERROR(__xludf.DUMMYFUNCTION("iferror(filter('3.1.clean'!C:C,'3.1.clean'!A:A=C457),"""")"),43711.0)</f>
        <v>43711</v>
      </c>
      <c r="H457" s="58" t="b">
        <f>if(G457="",FALSE,TRUE)</f>
        <v>1</v>
      </c>
      <c r="I457" s="58">
        <f>IFERROR(__xludf.DUMMYFUNCTION("iferror(filter('3.1.clean'!G:G,'3.1.clean'!A:A=C457),"""")"),0.0)</f>
        <v>0</v>
      </c>
      <c r="J457" s="60">
        <f>IFERROR(__xludf.DUMMYFUNCTION("iferror(filter('3.1.clean'!I:I,'3.1.clean'!A:A=C457),"""")"),0.0)</f>
        <v>0</v>
      </c>
      <c r="K457" s="58"/>
      <c r="L457" s="60"/>
      <c r="M457" s="59">
        <f>IFERROR(__xludf.DUMMYFUNCTION("iferror(filter('3.3.clean'!C:C,'3.3.clean'!A:A=C457),"""")"),43714.0)</f>
        <v>43714</v>
      </c>
      <c r="N457" s="60" t="b">
        <f t="shared" si="303"/>
        <v>1</v>
      </c>
      <c r="O457" s="59" t="str">
        <f>IFERROR(__xludf.DUMMYFUNCTION("iferror(filter('3.4.clean'!C:C,'3.4.clean'!A:A=C457),"""")"),"")</f>
        <v/>
      </c>
      <c r="P457" s="60" t="b">
        <f t="shared" si="304"/>
        <v>0</v>
      </c>
      <c r="Q457" s="59" t="str">
        <f>IFERROR(__xludf.DUMMYFUNCTION("iferror(filter('3.5.clean'!C:C,'3.5.clean'!A:A=C457),"""")"),"")</f>
        <v/>
      </c>
      <c r="R457" s="58"/>
      <c r="S457" s="4" t="str">
        <f>IFERROR(__xludf.DUMMYFUNCTION("iferror(filter('3.5.clean'!H:H,'3.5.clean'!A:A=C457),"""")"),"")</f>
        <v/>
      </c>
      <c r="U457" s="23"/>
      <c r="V457" s="1" t="s">
        <v>64</v>
      </c>
      <c r="W457" s="23" t="b">
        <f>if(AND(H457=TRUE,N457=TRUE,P457=TRUE),TRUE,FALSE)</f>
        <v>0</v>
      </c>
      <c r="X457" s="23" t="str">
        <f>IFERROR(__xludf.DUMMYFUNCTION("if(COUNTA(FILTER(C:C, C:C = C457))=1,""no"",""yes"")"),"no")</f>
        <v>no</v>
      </c>
    </row>
    <row r="458">
      <c r="A458" s="1" t="s">
        <v>492</v>
      </c>
      <c r="B458" s="19">
        <v>4.0</v>
      </c>
      <c r="C458" s="19" t="s">
        <v>1196</v>
      </c>
      <c r="D458" s="58" t="str">
        <f t="shared" si="307"/>
        <v>pos</v>
      </c>
      <c r="E458" s="59">
        <f>Q458</f>
        <v>43711</v>
      </c>
      <c r="F458" s="60" t="str">
        <f>IFERROR(__xludf.DUMMYFUNCTION("iferror(ifna(IFNA(filter('2.1.clean'!E:E,'2.1.clean'!A:A=C458),filter('2.2.clean'!G:G,'2.2.clean'!D:D=C458)),filter('2.4.clean'!E:E,'2.4.clean'!A:A=C458)),)"),"")</f>
        <v/>
      </c>
      <c r="G458" s="59" t="str">
        <f>IFERROR(__xludf.DUMMYFUNCTION("iferror(filter('3.1.clean'!C:C,'3.1.clean'!A:A=C458),"""")"),"")</f>
        <v/>
      </c>
      <c r="H458" s="58"/>
      <c r="I458" s="58"/>
      <c r="J458" s="60"/>
      <c r="K458" s="58"/>
      <c r="L458" s="60"/>
      <c r="M458" s="59">
        <f>IFERROR(__xludf.DUMMYFUNCTION("iferror(filter('3.3.clean'!C:C,'3.3.clean'!A:A=C458),"""")"),43714.0)</f>
        <v>43714</v>
      </c>
      <c r="N458" s="60" t="b">
        <f t="shared" si="303"/>
        <v>1</v>
      </c>
      <c r="O458" s="59">
        <f>IFERROR(__xludf.DUMMYFUNCTION("iferror(filter('3.4.clean'!C:C,'3.4.clean'!A:A=C458),"""")"),43717.0)</f>
        <v>43717</v>
      </c>
      <c r="P458" s="60" t="b">
        <f t="shared" si="304"/>
        <v>1</v>
      </c>
      <c r="Q458" s="59">
        <f>IFERROR(__xludf.DUMMYFUNCTION("iferror(filter('3.5.clean'!C:C,'3.5.clean'!A:A=C458),"""")"),43711.0)</f>
        <v>43711</v>
      </c>
      <c r="R458" s="58" t="b">
        <f t="shared" ref="R458:R460" si="308">if(Q458="",FALSE,TRUE)</f>
        <v>1</v>
      </c>
      <c r="S458" s="4">
        <f>IFERROR(__xludf.DUMMYFUNCTION("iferror(filter('3.5.clean'!H:H,'3.5.clean'!A:A=C458),"""")"),1.0)</f>
        <v>1</v>
      </c>
      <c r="U458" s="23"/>
      <c r="V458" s="1" t="s">
        <v>64</v>
      </c>
      <c r="W458" s="23" t="b">
        <f>if(AND(R458=TRUE,N458=TRUE,P458=TRUE),TRUE,FALSE)</f>
        <v>1</v>
      </c>
      <c r="X458" s="23" t="str">
        <f>IFERROR(__xludf.DUMMYFUNCTION("if(COUNTA(FILTER(C:C, C:C = C458))=1,""no"",""yes"")"),"no")</f>
        <v>no</v>
      </c>
    </row>
    <row r="459">
      <c r="A459" s="1" t="s">
        <v>492</v>
      </c>
      <c r="B459" s="28">
        <v>5.0</v>
      </c>
      <c r="C459" s="27" t="s">
        <v>1198</v>
      </c>
      <c r="E459" s="24">
        <f>IFERROR(__xludf.DUMMYFUNCTION("ifna(IFNA(filter('2.1.clean'!C:C,'2.1.clean'!A:A=C459),filter('2.2.clean'!E:E,'2.2.clean'!D:D=C459)),filter('2.4.clean'!C:C,'2.4.clean'!A:A=C459))"),43711.0)</f>
        <v>43711</v>
      </c>
      <c r="F459" s="25">
        <f>IFERROR(__xludf.DUMMYFUNCTION("iferror(ifna(IFNA(filter('2.1.clean'!E:E,'2.1.clean'!A:A=C459),filter('2.2.clean'!G:G,'2.2.clean'!D:D=C459)),filter('2.4.clean'!E:E,'2.4.clean'!A:A=C459)),)"),2.4)</f>
        <v>2.4</v>
      </c>
      <c r="G459" s="24">
        <f>IFERROR(__xludf.DUMMYFUNCTION("iferror(filter('3.1.clean'!C:C,'3.1.clean'!A:A=C459),"""")"),43711.0)</f>
        <v>43711</v>
      </c>
      <c r="H459" s="23" t="b">
        <f t="shared" ref="H459:H461" si="309">if(G459="",FALSE,TRUE)</f>
        <v>1</v>
      </c>
      <c r="J459" s="25"/>
      <c r="K459" s="24" t="str">
        <f>IFERROR(__xludf.DUMMYFUNCTION("iferror(filter('3.2.clean'!C:C,'3.2.clean'!A:A=C459),"""")"),"")</f>
        <v/>
      </c>
      <c r="L459" s="25" t="b">
        <f t="shared" ref="L459:L460" si="310">if(K459="",FALSE,TRUE)</f>
        <v>0</v>
      </c>
      <c r="M459" s="24">
        <f>IFERROR(__xludf.DUMMYFUNCTION("iferror(filter('3.3.clean'!C:C,'3.3.clean'!A:A=C459),"""")"),43714.0)</f>
        <v>43714</v>
      </c>
      <c r="N459" s="25" t="b">
        <f t="shared" si="303"/>
        <v>1</v>
      </c>
      <c r="O459" s="24">
        <f>IFERROR(__xludf.DUMMYFUNCTION("iferror(filter('3.4.clean'!C:C,'3.4.clean'!A:A=C459),"""")"),43717.0)</f>
        <v>43717</v>
      </c>
      <c r="P459" s="25" t="b">
        <f t="shared" si="304"/>
        <v>1</v>
      </c>
      <c r="Q459" s="24">
        <f>IFERROR(__xludf.DUMMYFUNCTION("iferror(filter('3.5.clean'!C:C,'3.5.clean'!A:A=C459),"""")"),43711.0)</f>
        <v>43711</v>
      </c>
      <c r="R459" s="23" t="b">
        <f t="shared" si="308"/>
        <v>1</v>
      </c>
      <c r="S459" s="25"/>
      <c r="U459" s="23"/>
      <c r="V459" s="1" t="s">
        <v>64</v>
      </c>
      <c r="X459" s="23" t="str">
        <f>IFERROR(__xludf.DUMMYFUNCTION("if(COUNTA(FILTER(C:C, C:C = C459))=1,""no"",""yes"")"),"no")</f>
        <v>no</v>
      </c>
    </row>
    <row r="460">
      <c r="A460" s="1" t="s">
        <v>492</v>
      </c>
      <c r="B460" s="28">
        <v>6.0</v>
      </c>
      <c r="C460" s="27" t="s">
        <v>1199</v>
      </c>
      <c r="E460" s="24">
        <f>IFERROR(__xludf.DUMMYFUNCTION("ifna(IFNA(filter('2.1.clean'!C:C,'2.1.clean'!A:A=C460),filter('2.2.clean'!E:E,'2.2.clean'!D:D=C460)),filter('2.4.clean'!C:C,'2.4.clean'!A:A=C460))"),43711.0)</f>
        <v>43711</v>
      </c>
      <c r="F460" s="25">
        <f>IFERROR(__xludf.DUMMYFUNCTION("iferror(ifna(IFNA(filter('2.1.clean'!E:E,'2.1.clean'!A:A=C460),filter('2.2.clean'!G:G,'2.2.clean'!D:D=C460)),filter('2.4.clean'!E:E,'2.4.clean'!A:A=C460)),)"),2.4)</f>
        <v>2.4</v>
      </c>
      <c r="G460" s="24">
        <f>IFERROR(__xludf.DUMMYFUNCTION("iferror(filter('3.1.clean'!C:C,'3.1.clean'!A:A=C460),"""")"),43711.0)</f>
        <v>43711</v>
      </c>
      <c r="H460" s="23" t="b">
        <f t="shared" si="309"/>
        <v>1</v>
      </c>
      <c r="J460" s="25"/>
      <c r="K460" s="24" t="str">
        <f>IFERROR(__xludf.DUMMYFUNCTION("iferror(filter('3.2.clean'!C:C,'3.2.clean'!A:A=C460),"""")"),"")</f>
        <v/>
      </c>
      <c r="L460" s="25" t="b">
        <f t="shared" si="310"/>
        <v>0</v>
      </c>
      <c r="M460" s="24">
        <f>IFERROR(__xludf.DUMMYFUNCTION("iferror(filter('3.3.clean'!C:C,'3.3.clean'!A:A=C460),"""")"),43714.0)</f>
        <v>43714</v>
      </c>
      <c r="N460" s="25" t="b">
        <f t="shared" si="303"/>
        <v>1</v>
      </c>
      <c r="O460" s="24">
        <f>IFERROR(__xludf.DUMMYFUNCTION("iferror(filter('3.4.clean'!C:C,'3.4.clean'!A:A=C460),"""")"),43717.0)</f>
        <v>43717</v>
      </c>
      <c r="P460" s="25" t="b">
        <f t="shared" si="304"/>
        <v>1</v>
      </c>
      <c r="Q460" s="24">
        <f>IFERROR(__xludf.DUMMYFUNCTION("iferror(filter('3.5.clean'!C:C,'3.5.clean'!A:A=C460),"""")"),43711.0)</f>
        <v>43711</v>
      </c>
      <c r="R460" s="23" t="b">
        <f t="shared" si="308"/>
        <v>1</v>
      </c>
      <c r="S460" s="25"/>
      <c r="U460" s="23"/>
      <c r="V460" s="1" t="s">
        <v>64</v>
      </c>
      <c r="X460" s="23" t="str">
        <f>IFERROR(__xludf.DUMMYFUNCTION("if(COUNTA(FILTER(C:C, C:C = C460))=1,""no"",""yes"")"),"no")</f>
        <v>no</v>
      </c>
    </row>
    <row r="461">
      <c r="A461" s="1" t="s">
        <v>492</v>
      </c>
      <c r="B461" s="19">
        <v>7.0</v>
      </c>
      <c r="C461" s="19" t="s">
        <v>1200</v>
      </c>
      <c r="D461" s="58" t="str">
        <f t="shared" ref="D461:D462" si="311">if(or(I461=1,J461=1,S461=1),"pos","")</f>
        <v/>
      </c>
      <c r="E461" s="59">
        <f>IFERROR(__xludf.DUMMYFUNCTION("ifna(IFNA(filter('2.1.clean'!C:C,'2.1.clean'!A:A=C461),filter('2.2.clean'!E:E,'2.2.clean'!D:D=C461)),filter('2.4.clean'!C:C,'2.4.clean'!A:A=C461))"),43711.0)</f>
        <v>43711</v>
      </c>
      <c r="F461" s="60">
        <f>IFERROR(__xludf.DUMMYFUNCTION("iferror(ifna(IFNA(filter('2.1.clean'!E:E,'2.1.clean'!A:A=C461),filter('2.2.clean'!G:G,'2.2.clean'!D:D=C461)),filter('2.4.clean'!E:E,'2.4.clean'!A:A=C461)),)"),2.4)</f>
        <v>2.4</v>
      </c>
      <c r="G461" s="59">
        <f>IFERROR(__xludf.DUMMYFUNCTION("iferror(filter('3.1.clean'!C:C,'3.1.clean'!A:A=C461),"""")"),43711.0)</f>
        <v>43711</v>
      </c>
      <c r="H461" s="58" t="b">
        <f t="shared" si="309"/>
        <v>1</v>
      </c>
      <c r="I461" s="58">
        <f>IFERROR(__xludf.DUMMYFUNCTION("iferror(filter('3.1.clean'!G:G,'3.1.clean'!A:A=C461),"""")"),0.0)</f>
        <v>0</v>
      </c>
      <c r="J461" s="60" t="str">
        <f>IFERROR(__xludf.DUMMYFUNCTION("iferror(filter('3.1.clean'!I:I,'3.1.clean'!A:A=C461),"""")"),"")</f>
        <v/>
      </c>
      <c r="K461" s="58"/>
      <c r="L461" s="60"/>
      <c r="M461" s="59">
        <f>IFERROR(__xludf.DUMMYFUNCTION("iferror(filter('3.3.clean'!C:C,'3.3.clean'!A:A=C461),"""")"),43714.0)</f>
        <v>43714</v>
      </c>
      <c r="N461" s="60" t="b">
        <f t="shared" si="303"/>
        <v>1</v>
      </c>
      <c r="O461" s="59" t="str">
        <f>IFERROR(__xludf.DUMMYFUNCTION("iferror(filter('3.4.clean'!C:C,'3.4.clean'!A:A=C461),"""")"),"")</f>
        <v/>
      </c>
      <c r="P461" s="60" t="b">
        <f t="shared" si="304"/>
        <v>0</v>
      </c>
      <c r="Q461" s="59" t="str">
        <f>IFERROR(__xludf.DUMMYFUNCTION("iferror(filter('3.5.clean'!C:C,'3.5.clean'!A:A=C461),"""")"),"")</f>
        <v/>
      </c>
      <c r="R461" s="58"/>
      <c r="S461" s="4" t="str">
        <f>IFERROR(__xludf.DUMMYFUNCTION("iferror(filter('3.5.clean'!H:H,'3.5.clean'!A:A=C461),"""")"),"")</f>
        <v/>
      </c>
      <c r="U461" s="23"/>
      <c r="V461" s="1" t="s">
        <v>64</v>
      </c>
      <c r="W461" s="23" t="b">
        <f>if(AND(H461=TRUE,N461=TRUE,P461=TRUE),TRUE,FALSE)</f>
        <v>0</v>
      </c>
      <c r="X461" s="23" t="str">
        <f>IFERROR(__xludf.DUMMYFUNCTION("if(COUNTA(FILTER(C:C, C:C = C461))=1,""no"",""yes"")"),"no")</f>
        <v>no</v>
      </c>
    </row>
    <row r="462">
      <c r="A462" s="1" t="s">
        <v>492</v>
      </c>
      <c r="B462" s="19">
        <v>8.0</v>
      </c>
      <c r="C462" s="19" t="s">
        <v>1202</v>
      </c>
      <c r="D462" s="58" t="str">
        <f t="shared" si="311"/>
        <v>pos</v>
      </c>
      <c r="E462" s="59">
        <f>Q462</f>
        <v>43711</v>
      </c>
      <c r="F462" s="60" t="str">
        <f>IFERROR(__xludf.DUMMYFUNCTION("iferror(ifna(IFNA(filter('2.1.clean'!E:E,'2.1.clean'!A:A=C462),filter('2.2.clean'!G:G,'2.2.clean'!D:D=C462)),filter('2.4.clean'!E:E,'2.4.clean'!A:A=C462)),)"),"")</f>
        <v/>
      </c>
      <c r="G462" s="59" t="str">
        <f>IFERROR(__xludf.DUMMYFUNCTION("iferror(filter('3.1.clean'!C:C,'3.1.clean'!A:A=C462),"""")"),"")</f>
        <v/>
      </c>
      <c r="H462" s="58"/>
      <c r="I462" s="58"/>
      <c r="J462" s="60"/>
      <c r="K462" s="58"/>
      <c r="L462" s="60"/>
      <c r="M462" s="59">
        <f>IFERROR(__xludf.DUMMYFUNCTION("iferror(filter('3.3.clean'!C:C,'3.3.clean'!A:A=C462),"""")"),43714.0)</f>
        <v>43714</v>
      </c>
      <c r="N462" s="60" t="b">
        <f t="shared" si="303"/>
        <v>1</v>
      </c>
      <c r="O462" s="59">
        <f>IFERROR(__xludf.DUMMYFUNCTION("iferror(filter('3.4.clean'!C:C,'3.4.clean'!A:A=C462),"""")"),43717.0)</f>
        <v>43717</v>
      </c>
      <c r="P462" s="60" t="b">
        <f t="shared" si="304"/>
        <v>1</v>
      </c>
      <c r="Q462" s="59">
        <f>IFERROR(__xludf.DUMMYFUNCTION("iferror(filter('3.5.clean'!C:C,'3.5.clean'!A:A=C462),"""")"),43711.0)</f>
        <v>43711</v>
      </c>
      <c r="R462" s="58" t="b">
        <f t="shared" ref="R462:R463" si="312">if(Q462="",FALSE,TRUE)</f>
        <v>1</v>
      </c>
      <c r="S462" s="4">
        <f>IFERROR(__xludf.DUMMYFUNCTION("iferror(filter('3.5.clean'!H:H,'3.5.clean'!A:A=C462),"""")"),1.0)</f>
        <v>1</v>
      </c>
      <c r="U462" s="23"/>
      <c r="V462" s="1" t="s">
        <v>64</v>
      </c>
      <c r="W462" s="23" t="b">
        <f>if(AND(R462=TRUE,N462=TRUE,P462=TRUE),TRUE,FALSE)</f>
        <v>1</v>
      </c>
      <c r="X462" s="23" t="str">
        <f>IFERROR(__xludf.DUMMYFUNCTION("if(COUNTA(FILTER(C:C, C:C = C462))=1,""no"",""yes"")"),"no")</f>
        <v>no</v>
      </c>
    </row>
    <row r="463">
      <c r="A463" s="1" t="s">
        <v>492</v>
      </c>
      <c r="B463" s="28">
        <v>9.0</v>
      </c>
      <c r="C463" s="27" t="s">
        <v>1203</v>
      </c>
      <c r="E463" s="24">
        <f>IFERROR(__xludf.DUMMYFUNCTION("ifna(IFNA(filter('2.1.clean'!C:C,'2.1.clean'!A:A=C463),filter('2.2.clean'!E:E,'2.2.clean'!D:D=C463)),filter('2.4.clean'!C:C,'2.4.clean'!A:A=C463))"),43711.0)</f>
        <v>43711</v>
      </c>
      <c r="F463" s="25">
        <f>IFERROR(__xludf.DUMMYFUNCTION("iferror(ifna(IFNA(filter('2.1.clean'!E:E,'2.1.clean'!A:A=C463),filter('2.2.clean'!G:G,'2.2.clean'!D:D=C463)),filter('2.4.clean'!E:E,'2.4.clean'!A:A=C463)),)"),2.4)</f>
        <v>2.4</v>
      </c>
      <c r="G463" s="24">
        <f>IFERROR(__xludf.DUMMYFUNCTION("iferror(filter('3.1.clean'!C:C,'3.1.clean'!A:A=C463),"""")"),43711.0)</f>
        <v>43711</v>
      </c>
      <c r="H463" s="23" t="b">
        <f t="shared" ref="H463:H464" si="313">if(G463="",FALSE,TRUE)</f>
        <v>1</v>
      </c>
      <c r="J463" s="25"/>
      <c r="K463" s="24" t="str">
        <f>IFERROR(__xludf.DUMMYFUNCTION("iferror(filter('3.2.clean'!C:C,'3.2.clean'!A:A=C463),"""")"),"")</f>
        <v/>
      </c>
      <c r="L463" s="25" t="b">
        <f>if(K463="",FALSE,TRUE)</f>
        <v>0</v>
      </c>
      <c r="M463" s="24">
        <f>IFERROR(__xludf.DUMMYFUNCTION("iferror(filter('3.3.clean'!C:C,'3.3.clean'!A:A=C463),"""")"),43713.0)</f>
        <v>43713</v>
      </c>
      <c r="N463" s="25" t="b">
        <f t="shared" si="303"/>
        <v>1</v>
      </c>
      <c r="O463" s="24">
        <f>IFERROR(__xludf.DUMMYFUNCTION("iferror(filter('3.4.clean'!C:C,'3.4.clean'!A:A=C463),"""")"),43717.0)</f>
        <v>43717</v>
      </c>
      <c r="P463" s="25" t="b">
        <f t="shared" si="304"/>
        <v>1</v>
      </c>
      <c r="Q463" s="24" t="str">
        <f>IFERROR(__xludf.DUMMYFUNCTION("iferror(filter('3.5.clean'!C:C,'3.5.clean'!A:A=C463),"""")"),"")</f>
        <v/>
      </c>
      <c r="R463" s="23" t="b">
        <f t="shared" si="312"/>
        <v>0</v>
      </c>
      <c r="S463" s="25"/>
      <c r="U463" s="23"/>
      <c r="V463" s="1" t="s">
        <v>64</v>
      </c>
      <c r="X463" s="23" t="str">
        <f>IFERROR(__xludf.DUMMYFUNCTION("if(COUNTA(FILTER(C:C, C:C = C463))=1,""no"",""yes"")"),"no")</f>
        <v>no</v>
      </c>
    </row>
    <row r="464">
      <c r="A464" s="1" t="s">
        <v>492</v>
      </c>
      <c r="B464" s="19">
        <v>10.0</v>
      </c>
      <c r="C464" s="19" t="s">
        <v>1205</v>
      </c>
      <c r="D464" s="76" t="str">
        <f>if(or(I464=1,J464=1,S464=1),"pos","")</f>
        <v/>
      </c>
      <c r="E464" s="77">
        <f>G464</f>
        <v>43711</v>
      </c>
      <c r="F464" s="78" t="str">
        <f>IFERROR(__xludf.DUMMYFUNCTION("iferror(ifna(IFNA(filter('2.1.clean'!E:E,'2.1.clean'!A:A=C464),filter('2.2.clean'!G:G,'2.2.clean'!D:D=C464)),filter('2.4.clean'!E:E,'2.4.clean'!A:A=C464)),)"),"")</f>
        <v/>
      </c>
      <c r="G464" s="77">
        <f>IFERROR(__xludf.DUMMYFUNCTION("iferror(filter('3.1.clean'!C:C,'3.1.clean'!A:A=C464),"""")"),43711.0)</f>
        <v>43711</v>
      </c>
      <c r="H464" s="76" t="b">
        <f t="shared" si="313"/>
        <v>1</v>
      </c>
      <c r="I464" s="76">
        <f>IFERROR(__xludf.DUMMYFUNCTION("iferror(filter('3.1.clean'!G:G,'3.1.clean'!A:A=C464),"""")"),0.0)</f>
        <v>0</v>
      </c>
      <c r="J464" s="78">
        <f>IFERROR(__xludf.DUMMYFUNCTION("iferror(filter('3.1.clean'!I:I,'3.1.clean'!A:A=C464),"""")"),0.0)</f>
        <v>0</v>
      </c>
      <c r="K464" s="77"/>
      <c r="L464" s="78"/>
      <c r="M464" s="77"/>
      <c r="N464" s="78"/>
      <c r="O464" s="77"/>
      <c r="P464" s="78"/>
      <c r="Q464" s="77"/>
      <c r="R464" s="76"/>
      <c r="S464" s="25"/>
      <c r="T464" s="1"/>
      <c r="V464" s="1" t="s">
        <v>64</v>
      </c>
      <c r="W464" s="1" t="b">
        <v>1</v>
      </c>
      <c r="X464" s="23" t="str">
        <f>IFERROR(__xludf.DUMMYFUNCTION("if(COUNTA(FILTER(C:C, C:C = C464))=1,""no"",""yes"")"),"no")</f>
        <v>no</v>
      </c>
    </row>
    <row r="465">
      <c r="A465" s="75" t="s">
        <v>497</v>
      </c>
      <c r="B465" s="82">
        <v>1.0</v>
      </c>
      <c r="C465" s="85" t="s">
        <v>1207</v>
      </c>
      <c r="E465" s="24">
        <f>IFERROR(__xludf.DUMMYFUNCTION("ifna(IFNA(filter('2.1.clean'!C:C,'2.1.clean'!A:A=C465),filter('2.2.clean'!E:E,'2.2.clean'!D:D=C465)),filter('2.4.clean'!C:C,'2.4.clean'!A:A=C465))"),43712.0)</f>
        <v>43712</v>
      </c>
      <c r="F465" s="25">
        <f>IFERROR(__xludf.DUMMYFUNCTION("iferror(ifna(IFNA(filter('2.1.clean'!E:E,'2.1.clean'!A:A=C465),filter('2.2.clean'!G:G,'2.2.clean'!D:D=C465)),filter('2.4.clean'!E:E,'2.4.clean'!A:A=C465)),)"),2.4)</f>
        <v>2.4</v>
      </c>
      <c r="G465" s="24"/>
      <c r="J465" s="25"/>
      <c r="K465" s="24"/>
      <c r="L465" s="25"/>
      <c r="M465" s="24">
        <f>IFERROR(__xludf.DUMMYFUNCTION("iferror(filter('3.3.clean'!C:C,'3.3.clean'!A:A=C465),"""")"),43714.0)</f>
        <v>43714</v>
      </c>
      <c r="N465" s="25" t="b">
        <f t="shared" ref="N465:N481" si="314">if(M465="",FALSE,TRUE)</f>
        <v>1</v>
      </c>
      <c r="O465" s="24">
        <f>IFERROR(__xludf.DUMMYFUNCTION("iferror(filter('3.4.clean'!C:C,'3.4.clean'!A:A=C465),"""")"),43717.0)</f>
        <v>43717</v>
      </c>
      <c r="P465" s="25" t="b">
        <f t="shared" ref="P465:P481" si="315">if(O465="",FALSE,TRUE)</f>
        <v>1</v>
      </c>
      <c r="Q465" s="24">
        <f>IFERROR(__xludf.DUMMYFUNCTION("iferror(filter('3.5.clean'!C:C,'3.5.clean'!A:A=C465),"""")"),43712.0)</f>
        <v>43712</v>
      </c>
      <c r="R465" s="23" t="b">
        <f>if(Q465="",FALSE,TRUE)</f>
        <v>1</v>
      </c>
      <c r="S465" s="25"/>
      <c r="V465" s="1" t="s">
        <v>64</v>
      </c>
      <c r="W465" s="23" t="b">
        <f>IF(and(R465=TRUE,N465=TRUE,P465=TRUE),TRUE,FALSE)</f>
        <v>1</v>
      </c>
      <c r="X465" s="23" t="str">
        <f>IFERROR(__xludf.DUMMYFUNCTION("if(COUNTA(FILTER(C:C, C:C = C465))=1,""no"",""yes"")"),"no")</f>
        <v>no</v>
      </c>
    </row>
    <row r="466">
      <c r="A466" s="75" t="s">
        <v>497</v>
      </c>
      <c r="B466" s="19">
        <v>2.0</v>
      </c>
      <c r="C466" s="19" t="s">
        <v>1208</v>
      </c>
      <c r="D466" s="58" t="str">
        <f t="shared" ref="D466:D467" si="316">if(or(I466=1,J466=1,S466=1),"pos","")</f>
        <v/>
      </c>
      <c r="E466" s="59">
        <f>IFERROR(__xludf.DUMMYFUNCTION("ifna(IFNA(filter('2.1.clean'!C:C,'2.1.clean'!A:A=C466),filter('2.2.clean'!E:E,'2.2.clean'!D:D=C466)),filter('2.4.clean'!C:C,'2.4.clean'!A:A=C466))"),43712.0)</f>
        <v>43712</v>
      </c>
      <c r="F466" s="60">
        <f>IFERROR(__xludf.DUMMYFUNCTION("iferror(ifna(IFNA(filter('2.1.clean'!E:E,'2.1.clean'!A:A=C466),filter('2.2.clean'!G:G,'2.2.clean'!D:D=C466)),filter('2.4.clean'!E:E,'2.4.clean'!A:A=C466)),)"),2.4)</f>
        <v>2.4</v>
      </c>
      <c r="G466" s="59">
        <f>IFERROR(__xludf.DUMMYFUNCTION("iferror(filter('3.1.clean'!C:C,'3.1.clean'!A:A=C466),"""")"),43713.0)</f>
        <v>43713</v>
      </c>
      <c r="H466" s="58" t="b">
        <f>if(G466="",FALSE,TRUE)</f>
        <v>1</v>
      </c>
      <c r="I466" s="58">
        <f>IFERROR(__xludf.DUMMYFUNCTION("iferror(filter('3.1.clean'!G:G,'3.1.clean'!A:A=C466),"""")"),0.0)</f>
        <v>0</v>
      </c>
      <c r="J466" s="60">
        <f>IFERROR(__xludf.DUMMYFUNCTION("iferror(filter('3.1.clean'!I:I,'3.1.clean'!A:A=C466),"""")"),0.0)</f>
        <v>0</v>
      </c>
      <c r="K466" s="58"/>
      <c r="L466" s="60"/>
      <c r="M466" s="59">
        <f>IFERROR(__xludf.DUMMYFUNCTION("iferror(filter('3.3.clean'!C:C,'3.3.clean'!A:A=C466),"""")"),43714.0)</f>
        <v>43714</v>
      </c>
      <c r="N466" s="60" t="b">
        <f t="shared" si="314"/>
        <v>1</v>
      </c>
      <c r="O466" s="59" t="str">
        <f>IFERROR(__xludf.DUMMYFUNCTION("iferror(filter('3.4.clean'!C:C,'3.4.clean'!A:A=C466),"""")"),"")</f>
        <v/>
      </c>
      <c r="P466" s="60" t="b">
        <f t="shared" si="315"/>
        <v>0</v>
      </c>
      <c r="Q466" s="59" t="str">
        <f>IFERROR(__xludf.DUMMYFUNCTION("iferror(filter('3.5.clean'!C:C,'3.5.clean'!A:A=C466),"""")"),"")</f>
        <v/>
      </c>
      <c r="R466" s="58"/>
      <c r="S466" s="4" t="str">
        <f>IFERROR(__xludf.DUMMYFUNCTION("iferror(filter('3.5.clean'!H:H,'3.5.clean'!A:A=C466),"""")"),"")</f>
        <v/>
      </c>
      <c r="U466" s="23"/>
      <c r="V466" s="1" t="s">
        <v>64</v>
      </c>
      <c r="W466" s="23" t="b">
        <f>if(AND(H466=TRUE,N466=TRUE,P466=TRUE),TRUE,FALSE)</f>
        <v>0</v>
      </c>
      <c r="X466" s="23" t="str">
        <f>IFERROR(__xludf.DUMMYFUNCTION("if(COUNTA(FILTER(C:C, C:C = C466))=1,""no"",""yes"")"),"no")</f>
        <v>no</v>
      </c>
    </row>
    <row r="467">
      <c r="A467" s="75" t="s">
        <v>497</v>
      </c>
      <c r="B467" s="19">
        <v>3.0</v>
      </c>
      <c r="C467" s="19" t="s">
        <v>1209</v>
      </c>
      <c r="D467" s="58" t="str">
        <f t="shared" si="316"/>
        <v>pos</v>
      </c>
      <c r="E467" s="59">
        <v>43712.0</v>
      </c>
      <c r="F467" s="60" t="str">
        <f>IFERROR(__xludf.DUMMYFUNCTION("iferror(ifna(IFNA(filter('2.1.clean'!E:E,'2.1.clean'!A:A=C467),filter('2.2.clean'!G:G,'2.2.clean'!D:D=C467)),filter('2.4.clean'!E:E,'2.4.clean'!A:A=C467)),)"),"")</f>
        <v/>
      </c>
      <c r="G467" s="59" t="str">
        <f>IFERROR(__xludf.DUMMYFUNCTION("iferror(filter('3.1.clean'!C:C,'3.1.clean'!A:A=C467),"""")"),"")</f>
        <v/>
      </c>
      <c r="H467" s="58"/>
      <c r="I467" s="58"/>
      <c r="J467" s="60"/>
      <c r="K467" s="58"/>
      <c r="L467" s="60"/>
      <c r="M467" s="59">
        <f>IFERROR(__xludf.DUMMYFUNCTION("iferror(filter('3.3.clean'!C:C,'3.3.clean'!A:A=C467),"""")"),43714.0)</f>
        <v>43714</v>
      </c>
      <c r="N467" s="60" t="b">
        <f t="shared" si="314"/>
        <v>1</v>
      </c>
      <c r="O467" s="59">
        <f>IFERROR(__xludf.DUMMYFUNCTION("iferror(filter('3.4.clean'!C:C,'3.4.clean'!A:A=C467),"""")"),43717.0)</f>
        <v>43717</v>
      </c>
      <c r="P467" s="60" t="b">
        <f t="shared" si="315"/>
        <v>1</v>
      </c>
      <c r="Q467" s="59">
        <f>IFERROR(__xludf.DUMMYFUNCTION("iferror(filter('3.5.clean'!C:C,'3.5.clean'!A:A=C467),"""")"),43713.0)</f>
        <v>43713</v>
      </c>
      <c r="R467" s="58" t="b">
        <f t="shared" ref="R467:R468" si="317">if(Q467="",FALSE,TRUE)</f>
        <v>1</v>
      </c>
      <c r="S467" s="4">
        <f>IFERROR(__xludf.DUMMYFUNCTION("iferror(filter('3.5.clean'!H:H,'3.5.clean'!A:A=C467),"""")"),1.0)</f>
        <v>1</v>
      </c>
      <c r="U467" s="23"/>
      <c r="V467" s="1" t="s">
        <v>64</v>
      </c>
      <c r="W467" s="1" t="b">
        <v>1</v>
      </c>
      <c r="X467" s="23" t="str">
        <f>IFERROR(__xludf.DUMMYFUNCTION("if(COUNTA(FILTER(C:C, C:C = C467))=1,""no"",""yes"")"),"no")</f>
        <v>no</v>
      </c>
    </row>
    <row r="468">
      <c r="A468" s="75" t="s">
        <v>497</v>
      </c>
      <c r="B468" s="82">
        <v>4.0</v>
      </c>
      <c r="C468" s="85" t="s">
        <v>1211</v>
      </c>
      <c r="E468" s="24">
        <f>IFERROR(__xludf.DUMMYFUNCTION("ifna(IFNA(filter('2.1.clean'!C:C,'2.1.clean'!A:A=C468),filter('2.2.clean'!E:E,'2.2.clean'!D:D=C468)),filter('2.4.clean'!C:C,'2.4.clean'!A:A=C468))"),43712.0)</f>
        <v>43712</v>
      </c>
      <c r="F468" s="25">
        <f>IFERROR(__xludf.DUMMYFUNCTION("iferror(ifna(IFNA(filter('2.1.clean'!E:E,'2.1.clean'!A:A=C468),filter('2.2.clean'!G:G,'2.2.clean'!D:D=C468)),filter('2.4.clean'!E:E,'2.4.clean'!A:A=C468)),)"),2.4)</f>
        <v>2.4</v>
      </c>
      <c r="G468" s="24">
        <f>IFERROR(__xludf.DUMMYFUNCTION("iferror(filter('3.1.clean'!C:C,'3.1.clean'!A:A=C468),"""")"),43712.0)</f>
        <v>43712</v>
      </c>
      <c r="H468" s="23" t="b">
        <f t="shared" ref="H468:H469" si="318">if(G468="",FALSE,TRUE)</f>
        <v>1</v>
      </c>
      <c r="J468" s="25"/>
      <c r="K468" s="24">
        <f>IFERROR(__xludf.DUMMYFUNCTION("iferror(filter('3.2.clean'!C:C,'3.2.clean'!A:A=C468),"""")"),43734.0)</f>
        <v>43734</v>
      </c>
      <c r="L468" s="25" t="b">
        <f>if(K468="",FALSE,TRUE)</f>
        <v>1</v>
      </c>
      <c r="M468" s="24">
        <f>IFERROR(__xludf.DUMMYFUNCTION("iferror(filter('3.3.clean'!C:C,'3.3.clean'!A:A=C468),"""")"),43714.0)</f>
        <v>43714</v>
      </c>
      <c r="N468" s="25" t="b">
        <f t="shared" si="314"/>
        <v>1</v>
      </c>
      <c r="O468" s="24" t="str">
        <f>IFERROR(__xludf.DUMMYFUNCTION("iferror(filter('3.4.clean'!C:C,'3.4.clean'!A:A=C468),"""")"),"")</f>
        <v/>
      </c>
      <c r="P468" s="25" t="b">
        <f t="shared" si="315"/>
        <v>0</v>
      </c>
      <c r="Q468" s="24">
        <f>IFERROR(__xludf.DUMMYFUNCTION("iferror(filter('3.5.clean'!C:C,'3.5.clean'!A:A=C468),"""")"),43712.0)</f>
        <v>43712</v>
      </c>
      <c r="R468" s="23" t="b">
        <f t="shared" si="317"/>
        <v>1</v>
      </c>
      <c r="S468" s="25"/>
      <c r="U468" s="23"/>
      <c r="V468" s="1" t="s">
        <v>64</v>
      </c>
      <c r="X468" s="23" t="str">
        <f>IFERROR(__xludf.DUMMYFUNCTION("if(COUNTA(FILTER(C:C, C:C = C468))=1,""no"",""yes"")"),"no")</f>
        <v>no</v>
      </c>
    </row>
    <row r="469">
      <c r="A469" s="75" t="s">
        <v>497</v>
      </c>
      <c r="B469" s="19">
        <v>5.0</v>
      </c>
      <c r="C469" s="19" t="s">
        <v>1212</v>
      </c>
      <c r="D469" s="58" t="str">
        <f t="shared" ref="D469:D470" si="319">if(or(I469=1,J469=1,S469=1),"pos","")</f>
        <v>pos</v>
      </c>
      <c r="E469" s="59">
        <f>IFERROR(__xludf.DUMMYFUNCTION("ifna(IFNA(filter('2.1.clean'!C:C,'2.1.clean'!A:A=C469),filter('2.2.clean'!E:E,'2.2.clean'!D:D=C469)),filter('2.4.clean'!C:C,'2.4.clean'!A:A=C469))"),43712.0)</f>
        <v>43712</v>
      </c>
      <c r="F469" s="60">
        <f>IFERROR(__xludf.DUMMYFUNCTION("iferror(ifna(IFNA(filter('2.1.clean'!E:E,'2.1.clean'!A:A=C469),filter('2.2.clean'!G:G,'2.2.clean'!D:D=C469)),filter('2.4.clean'!E:E,'2.4.clean'!A:A=C469)),)"),2.4)</f>
        <v>2.4</v>
      </c>
      <c r="G469" s="59">
        <f>IFERROR(__xludf.DUMMYFUNCTION("iferror(filter('3.1.clean'!C:C,'3.1.clean'!A:A=C469),"""")"),43712.0)</f>
        <v>43712</v>
      </c>
      <c r="H469" s="58" t="b">
        <f t="shared" si="318"/>
        <v>1</v>
      </c>
      <c r="I469" s="58">
        <f>IFERROR(__xludf.DUMMYFUNCTION("iferror(filter('3.1.clean'!G:G,'3.1.clean'!A:A=C469),"""")"),1.0)</f>
        <v>1</v>
      </c>
      <c r="J469" s="60">
        <f>IFERROR(__xludf.DUMMYFUNCTION("iferror(filter('3.1.clean'!I:I,'3.1.clean'!A:A=C469),"""")"),1.0)</f>
        <v>1</v>
      </c>
      <c r="K469" s="58"/>
      <c r="L469" s="60"/>
      <c r="M469" s="59">
        <f>IFERROR(__xludf.DUMMYFUNCTION("iferror(filter('3.3.clean'!C:C,'3.3.clean'!A:A=C469),"""")"),43714.0)</f>
        <v>43714</v>
      </c>
      <c r="N469" s="60" t="b">
        <f t="shared" si="314"/>
        <v>1</v>
      </c>
      <c r="O469" s="59" t="str">
        <f>IFERROR(__xludf.DUMMYFUNCTION("iferror(filter('3.4.clean'!C:C,'3.4.clean'!A:A=C469),"""")"),"")</f>
        <v/>
      </c>
      <c r="P469" s="60" t="b">
        <f t="shared" si="315"/>
        <v>0</v>
      </c>
      <c r="Q469" s="59" t="str">
        <f>IFERROR(__xludf.DUMMYFUNCTION("iferror(filter('3.5.clean'!C:C,'3.5.clean'!A:A=C469),"""")"),"")</f>
        <v/>
      </c>
      <c r="R469" s="58"/>
      <c r="S469" s="4" t="str">
        <f>IFERROR(__xludf.DUMMYFUNCTION("iferror(filter('3.5.clean'!H:H,'3.5.clean'!A:A=C469),"""")"),"")</f>
        <v/>
      </c>
      <c r="U469" s="23"/>
      <c r="V469" s="1" t="s">
        <v>64</v>
      </c>
      <c r="W469" s="23" t="b">
        <f>if(AND(H469=TRUE,N469=TRUE,P469=TRUE),TRUE,FALSE)</f>
        <v>0</v>
      </c>
      <c r="X469" s="23" t="str">
        <f>IFERROR(__xludf.DUMMYFUNCTION("if(COUNTA(FILTER(C:C, C:C = C469))=1,""no"",""yes"")"),"no")</f>
        <v>no</v>
      </c>
    </row>
    <row r="470">
      <c r="A470" s="75" t="s">
        <v>497</v>
      </c>
      <c r="B470" s="19">
        <v>6.0</v>
      </c>
      <c r="C470" s="19" t="s">
        <v>1214</v>
      </c>
      <c r="D470" s="58" t="str">
        <f t="shared" si="319"/>
        <v>pos</v>
      </c>
      <c r="E470" s="59">
        <f>Q470</f>
        <v>43712</v>
      </c>
      <c r="F470" s="60" t="str">
        <f>IFERROR(__xludf.DUMMYFUNCTION("iferror(ifna(IFNA(filter('2.1.clean'!E:E,'2.1.clean'!A:A=C470),filter('2.2.clean'!G:G,'2.2.clean'!D:D=C470)),filter('2.4.clean'!E:E,'2.4.clean'!A:A=C470)),)"),"")</f>
        <v/>
      </c>
      <c r="G470" s="59" t="str">
        <f>IFERROR(__xludf.DUMMYFUNCTION("iferror(filter('3.1.clean'!C:C,'3.1.clean'!A:A=C470),"""")"),"")</f>
        <v/>
      </c>
      <c r="H470" s="58"/>
      <c r="I470" s="58"/>
      <c r="J470" s="60"/>
      <c r="K470" s="58"/>
      <c r="L470" s="60"/>
      <c r="M470" s="59">
        <f>IFERROR(__xludf.DUMMYFUNCTION("iferror(filter('3.3.clean'!C:C,'3.3.clean'!A:A=C470),"""")"),43714.0)</f>
        <v>43714</v>
      </c>
      <c r="N470" s="60" t="b">
        <f t="shared" si="314"/>
        <v>1</v>
      </c>
      <c r="O470" s="59">
        <f>IFERROR(__xludf.DUMMYFUNCTION("iferror(filter('3.4.clean'!C:C,'3.4.clean'!A:A=C470),"""")"),43717.0)</f>
        <v>43717</v>
      </c>
      <c r="P470" s="60" t="b">
        <f t="shared" si="315"/>
        <v>1</v>
      </c>
      <c r="Q470" s="59">
        <f>IFERROR(__xludf.DUMMYFUNCTION("iferror(filter('3.5.clean'!C:C,'3.5.clean'!A:A=C470),"""")"),43712.0)</f>
        <v>43712</v>
      </c>
      <c r="R470" s="58" t="b">
        <f t="shared" ref="R470:R471" si="320">if(Q470="",FALSE,TRUE)</f>
        <v>1</v>
      </c>
      <c r="S470" s="4">
        <f>IFERROR(__xludf.DUMMYFUNCTION("iferror(filter('3.5.clean'!H:H,'3.5.clean'!A:A=C470),"""")"),1.0)</f>
        <v>1</v>
      </c>
      <c r="U470" s="23"/>
      <c r="V470" s="1" t="s">
        <v>64</v>
      </c>
      <c r="W470" s="23" t="b">
        <f>if(AND(R470=TRUE,N470=TRUE,P470=TRUE),TRUE,FALSE)</f>
        <v>1</v>
      </c>
      <c r="X470" s="23" t="str">
        <f>IFERROR(__xludf.DUMMYFUNCTION("if(COUNTA(FILTER(C:C, C:C = C470))=1,""no"",""yes"")"),"no")</f>
        <v>no</v>
      </c>
    </row>
    <row r="471">
      <c r="A471" s="75" t="s">
        <v>497</v>
      </c>
      <c r="B471" s="82">
        <v>7.0</v>
      </c>
      <c r="C471" s="85" t="s">
        <v>1215</v>
      </c>
      <c r="E471" s="24">
        <v>43712.0</v>
      </c>
      <c r="F471" s="25">
        <f>IFERROR(__xludf.DUMMYFUNCTION("iferror(ifna(IFNA(filter('2.1.clean'!E:E,'2.1.clean'!A:A=C471),filter('2.2.clean'!G:G,'2.2.clean'!D:D=C471)),filter('2.4.clean'!E:E,'2.4.clean'!A:A=C471)),)"),2.1)</f>
        <v>2.1</v>
      </c>
      <c r="G471" s="24" t="str">
        <f>IFERROR(__xludf.DUMMYFUNCTION("iferror(filter('3.1.clean'!C:C,'3.1.clean'!B:B=C471),"""")"),"")</f>
        <v/>
      </c>
      <c r="H471" s="23" t="b">
        <f t="shared" ref="H471:H472" si="321">if(G471="",FALSE,TRUE)</f>
        <v>0</v>
      </c>
      <c r="J471" s="25"/>
      <c r="K471" s="24" t="str">
        <f>IFERROR(__xludf.DUMMYFUNCTION("iferror(filter('3.2.clean'!C:C,'3.2.clean'!A:A=C471),"""")"),"")</f>
        <v/>
      </c>
      <c r="L471" s="25" t="b">
        <f t="shared" ref="L471:L472" si="322">if(K471="",FALSE,TRUE)</f>
        <v>0</v>
      </c>
      <c r="M471" s="24" t="str">
        <f>IFERROR(__xludf.DUMMYFUNCTION("iferror(filter('3.3.clean'!C:C,'3.3.clean'!A:A=C471),"""")"),"")</f>
        <v/>
      </c>
      <c r="N471" s="25" t="b">
        <f t="shared" si="314"/>
        <v>0</v>
      </c>
      <c r="O471" s="24">
        <f>IFERROR(__xludf.DUMMYFUNCTION("iferror(filter('3.4.clean'!C:C,'3.4.clean'!A:A=C471),"""")"),43717.0)</f>
        <v>43717</v>
      </c>
      <c r="P471" s="25" t="b">
        <f t="shared" si="315"/>
        <v>1</v>
      </c>
      <c r="Q471" s="24" t="str">
        <f>IFERROR(__xludf.DUMMYFUNCTION("iferror(filter('3.5.clean'!C:C,'3.5.clean'!A:A=C471),"""")"),"")</f>
        <v/>
      </c>
      <c r="R471" s="23" t="b">
        <f t="shared" si="320"/>
        <v>0</v>
      </c>
      <c r="S471" s="25"/>
      <c r="V471" s="1" t="s">
        <v>83</v>
      </c>
      <c r="W471" s="23" t="b">
        <f>IF(and(H471=TRUE,L471=TRUE,N471=TRUE,P471=TRUE),TRUE,FALSE)</f>
        <v>0</v>
      </c>
      <c r="X471" s="23" t="str">
        <f>IFERROR(__xludf.DUMMYFUNCTION("if(COUNTA(FILTER(C:C, C:C = C471))=1,""no"",""yes"")"),"no")</f>
        <v>no</v>
      </c>
    </row>
    <row r="472">
      <c r="A472" s="75" t="s">
        <v>497</v>
      </c>
      <c r="B472" s="19">
        <v>8.0</v>
      </c>
      <c r="C472" s="19" t="s">
        <v>1217</v>
      </c>
      <c r="D472" s="58" t="str">
        <f t="shared" ref="D472:D473" si="323">if(or(I472=1,J472=1,S472=1),"pos","")</f>
        <v/>
      </c>
      <c r="E472" s="59">
        <f>IFERROR(__xludf.DUMMYFUNCTION("ifna(IFNA(filter('2.1.clean'!C:C,'2.1.clean'!A:A=C472),filter('2.2.clean'!E:E,'2.2.clean'!D:D=C472)),filter('2.4.clean'!C:C,'2.4.clean'!A:A=C472))"),43712.0)</f>
        <v>43712</v>
      </c>
      <c r="F472" s="60">
        <f>IFERROR(__xludf.DUMMYFUNCTION("iferror(ifna(IFNA(filter('2.1.clean'!E:E,'2.1.clean'!A:A=C472),filter('2.2.clean'!G:G,'2.2.clean'!D:D=C472)),filter('2.4.clean'!E:E,'2.4.clean'!A:A=C472)),)"),2.1)</f>
        <v>2.1</v>
      </c>
      <c r="G472" s="59">
        <f>IFERROR(__xludf.DUMMYFUNCTION("iferror(filter('3.1.clean'!C:C,'3.1.clean'!A:A=C472),"""")"),43712.0)</f>
        <v>43712</v>
      </c>
      <c r="H472" s="58" t="b">
        <f t="shared" si="321"/>
        <v>1</v>
      </c>
      <c r="I472" s="58">
        <f>IFERROR(__xludf.DUMMYFUNCTION("iferror(filter('3.1.clean'!G:G,'3.1.clean'!A:A=C472),"""")"),0.0)</f>
        <v>0</v>
      </c>
      <c r="J472" s="60">
        <f>IFERROR(__xludf.DUMMYFUNCTION("iferror(filter('3.1.clean'!I:I,'3.1.clean'!A:A=C472),"""")"),0.0)</f>
        <v>0</v>
      </c>
      <c r="K472" s="58" t="str">
        <f>IFERROR(__xludf.DUMMYFUNCTION("iferror(filter('3.2.clean'!C:C,'3.2.clean'!A:A=C472),"""")"),"")</f>
        <v/>
      </c>
      <c r="L472" s="60" t="b">
        <f t="shared" si="322"/>
        <v>0</v>
      </c>
      <c r="M472" s="59">
        <f>IFERROR(__xludf.DUMMYFUNCTION("iferror(filter('3.3.clean'!C:C,'3.3.clean'!A:A=C472),"""")"),43714.0)</f>
        <v>43714</v>
      </c>
      <c r="N472" s="60" t="b">
        <f t="shared" si="314"/>
        <v>1</v>
      </c>
      <c r="O472" s="59">
        <f>IFERROR(__xludf.DUMMYFUNCTION("iferror(filter('3.4.clean'!C:C,'3.4.clean'!A:A=C472),"""")"),43717.0)</f>
        <v>43717</v>
      </c>
      <c r="P472" s="60" t="b">
        <f t="shared" si="315"/>
        <v>1</v>
      </c>
      <c r="Q472" s="59" t="str">
        <f>IFERROR(__xludf.DUMMYFUNCTION("iferror(filter('3.5.clean'!C:C,'3.5.clean'!A:A=C472),"""")"),"")</f>
        <v/>
      </c>
      <c r="R472" s="58"/>
      <c r="S472" s="4" t="str">
        <f>IFERROR(__xludf.DUMMYFUNCTION("iferror(filter('3.5.clean'!H:H,'3.5.clean'!A:A=C472),"""")"),"")</f>
        <v/>
      </c>
      <c r="U472" s="23"/>
      <c r="V472" s="1" t="s">
        <v>83</v>
      </c>
      <c r="W472" s="23" t="b">
        <f>if(AND(H472=TRUE,N472=TRUE,P472=TRUE),TRUE,FALSE)</f>
        <v>1</v>
      </c>
      <c r="X472" s="23" t="str">
        <f>IFERROR(__xludf.DUMMYFUNCTION("if(COUNTA(FILTER(C:C, C:C = C472))=1,""no"",""yes"")"),"no")</f>
        <v>no</v>
      </c>
    </row>
    <row r="473">
      <c r="A473" s="75" t="s">
        <v>497</v>
      </c>
      <c r="B473" s="19">
        <v>9.0</v>
      </c>
      <c r="C473" s="19" t="s">
        <v>1218</v>
      </c>
      <c r="D473" s="58" t="str">
        <f t="shared" si="323"/>
        <v>pos</v>
      </c>
      <c r="E473" s="59">
        <f>Q473</f>
        <v>43712</v>
      </c>
      <c r="F473" s="60" t="str">
        <f>IFERROR(__xludf.DUMMYFUNCTION("iferror(ifna(IFNA(filter('2.1.clean'!E:E,'2.1.clean'!A:A=C473),filter('2.2.clean'!G:G,'2.2.clean'!D:D=C473)),filter('2.4.clean'!E:E,'2.4.clean'!A:A=C473)),)"),"")</f>
        <v/>
      </c>
      <c r="G473" s="59" t="str">
        <f>IFERROR(__xludf.DUMMYFUNCTION("iferror(filter('3.1.clean'!C:C,'3.1.clean'!A:A=C473),"""")"),"")</f>
        <v/>
      </c>
      <c r="H473" s="58"/>
      <c r="I473" s="58"/>
      <c r="J473" s="60"/>
      <c r="K473" s="58"/>
      <c r="L473" s="60"/>
      <c r="M473" s="59">
        <f>IFERROR(__xludf.DUMMYFUNCTION("iferror(filter('3.3.clean'!C:C,'3.3.clean'!A:A=C473),"""")"),43714.0)</f>
        <v>43714</v>
      </c>
      <c r="N473" s="60" t="b">
        <f t="shared" si="314"/>
        <v>1</v>
      </c>
      <c r="O473" s="59">
        <f>IFERROR(__xludf.DUMMYFUNCTION("iferror(filter('3.4.clean'!C:C,'3.4.clean'!A:A=C473),"""")"),43717.0)</f>
        <v>43717</v>
      </c>
      <c r="P473" s="60" t="b">
        <f t="shared" si="315"/>
        <v>1</v>
      </c>
      <c r="Q473" s="59">
        <f>IFERROR(__xludf.DUMMYFUNCTION("iferror(filter('3.5.clean'!C:C,'3.5.clean'!A:A=C473),"""")"),43712.0)</f>
        <v>43712</v>
      </c>
      <c r="R473" s="58" t="b">
        <f>if(Q473="",FALSE,TRUE)</f>
        <v>1</v>
      </c>
      <c r="S473" s="4">
        <f>IFERROR(__xludf.DUMMYFUNCTION("iferror(filter('3.5.clean'!H:H,'3.5.clean'!A:A=C473),"""")"),1.0)</f>
        <v>1</v>
      </c>
      <c r="U473" s="23"/>
      <c r="V473" s="1" t="s">
        <v>64</v>
      </c>
      <c r="W473" s="23" t="b">
        <f>if(AND(R473=TRUE,N473=TRUE,P473=TRUE),TRUE,FALSE)</f>
        <v>1</v>
      </c>
      <c r="X473" s="23" t="str">
        <f>IFERROR(__xludf.DUMMYFUNCTION("if(COUNTA(FILTER(C:C, C:C = C473))=1,""no"",""yes"")"),"no")</f>
        <v>no</v>
      </c>
    </row>
    <row r="474">
      <c r="A474" s="75" t="s">
        <v>497</v>
      </c>
      <c r="B474" s="28">
        <v>10.0</v>
      </c>
      <c r="C474" s="27" t="s">
        <v>1219</v>
      </c>
      <c r="D474" s="24"/>
      <c r="E474" s="24">
        <f>IFERROR(__xludf.DUMMYFUNCTION("ifna(IFNA(filter('2.1.clean'!C:C,'2.1.clean'!A:A=C474),filter('2.2.clean'!E:E,'2.2.clean'!D:D=C474)),filter('2.4.clean'!C:C,'2.4.clean'!A:A=C474))"),43712.0)</f>
        <v>43712</v>
      </c>
      <c r="F474" s="25">
        <f>IFERROR(__xludf.DUMMYFUNCTION("iferror(ifna(IFNA(filter('2.1.clean'!E:E,'2.1.clean'!A:A=C474),filter('2.2.clean'!G:G,'2.2.clean'!D:D=C474)),filter('2.4.clean'!E:E,'2.4.clean'!A:A=C474)),)"),2.1)</f>
        <v>2.1</v>
      </c>
      <c r="G474" s="24">
        <f>IFERROR(__xludf.DUMMYFUNCTION("iferror(filter('3.1.clean'!C:C,'3.1.clean'!A:A=C474),"""")"),43712.0)</f>
        <v>43712</v>
      </c>
      <c r="H474" s="23" t="b">
        <f t="shared" ref="H474:H476" si="324">if(G474="",FALSE,TRUE)</f>
        <v>1</v>
      </c>
      <c r="J474" s="25"/>
      <c r="K474" s="24" t="str">
        <f>IFERROR(__xludf.DUMMYFUNCTION("iferror(filter('3.2.clean'!C:C,'3.2.clean'!A:A=C474),"""")"),"")</f>
        <v/>
      </c>
      <c r="L474" s="25" t="b">
        <f t="shared" ref="L474:L476" si="325">if(K474="",FALSE,TRUE)</f>
        <v>0</v>
      </c>
      <c r="M474" s="24">
        <f>IFERROR(__xludf.DUMMYFUNCTION("iferror(filter('3.3.clean'!C:C,'3.3.clean'!A:A=C474),"""")"),43714.0)</f>
        <v>43714</v>
      </c>
      <c r="N474" s="25" t="b">
        <f t="shared" si="314"/>
        <v>1</v>
      </c>
      <c r="O474" s="24">
        <f>IFERROR(__xludf.DUMMYFUNCTION("iferror(filter('3.4.clean'!C:C,'3.4.clean'!A:A=C474),"""")"),43717.0)</f>
        <v>43717</v>
      </c>
      <c r="P474" s="25" t="b">
        <f t="shared" si="315"/>
        <v>1</v>
      </c>
      <c r="Q474" s="24"/>
      <c r="S474" s="25"/>
      <c r="U474" s="23" t="s">
        <v>21</v>
      </c>
      <c r="V474" s="1" t="s">
        <v>83</v>
      </c>
      <c r="W474" s="23" t="b">
        <f t="shared" ref="W474:W475" si="326">IF(and(H474=TRUE,L474=TRUE,N474=TRUE,P474=TRUE),TRUE,FALSE)</f>
        <v>0</v>
      </c>
      <c r="X474" s="23" t="str">
        <f>IFERROR(__xludf.DUMMYFUNCTION("if(COUNTA(FILTER(C:C, C:C = C474))=1,""no"",""yes"")"),"no")</f>
        <v>no</v>
      </c>
    </row>
    <row r="475">
      <c r="A475" s="75" t="s">
        <v>497</v>
      </c>
      <c r="B475" s="28">
        <v>11.0</v>
      </c>
      <c r="C475" s="27" t="s">
        <v>1221</v>
      </c>
      <c r="D475" s="24"/>
      <c r="E475" s="24">
        <f>IFERROR(__xludf.DUMMYFUNCTION("ifna(IFNA(filter('2.1.clean'!C:C,'2.1.clean'!A:A=C475),filter('2.2.clean'!E:E,'2.2.clean'!D:D=C475)),filter('2.4.clean'!C:C,'2.4.clean'!A:A=C475))"),43712.0)</f>
        <v>43712</v>
      </c>
      <c r="F475" s="25">
        <f>IFERROR(__xludf.DUMMYFUNCTION("iferror(ifna(IFNA(filter('2.1.clean'!E:E,'2.1.clean'!A:A=C475),filter('2.2.clean'!G:G,'2.2.clean'!D:D=C475)),filter('2.4.clean'!E:E,'2.4.clean'!A:A=C475)),)"),2.1)</f>
        <v>2.1</v>
      </c>
      <c r="G475" s="24">
        <f>IFERROR(__xludf.DUMMYFUNCTION("iferror(filter('3.1.clean'!C:C,'3.1.clean'!A:A=C475),"""")"),43712.0)</f>
        <v>43712</v>
      </c>
      <c r="H475" s="23" t="b">
        <f t="shared" si="324"/>
        <v>1</v>
      </c>
      <c r="J475" s="25"/>
      <c r="K475" s="24" t="str">
        <f>IFERROR(__xludf.DUMMYFUNCTION("iferror(filter('3.2.clean'!C:C,'3.2.clean'!A:A=C475),"""")"),"")</f>
        <v/>
      </c>
      <c r="L475" s="25" t="b">
        <f t="shared" si="325"/>
        <v>0</v>
      </c>
      <c r="M475" s="24">
        <f>IFERROR(__xludf.DUMMYFUNCTION("iferror(filter('3.3.clean'!C:C,'3.3.clean'!A:A=C475),"""")"),43714.0)</f>
        <v>43714</v>
      </c>
      <c r="N475" s="25" t="b">
        <f t="shared" si="314"/>
        <v>1</v>
      </c>
      <c r="O475" s="24">
        <f>IFERROR(__xludf.DUMMYFUNCTION("iferror(filter('3.4.clean'!C:C,'3.4.clean'!A:A=C475),"""")"),43717.0)</f>
        <v>43717</v>
      </c>
      <c r="P475" s="25" t="b">
        <f t="shared" si="315"/>
        <v>1</v>
      </c>
      <c r="Q475" s="24"/>
      <c r="S475" s="25"/>
      <c r="U475" s="23" t="s">
        <v>21</v>
      </c>
      <c r="V475" s="1" t="s">
        <v>83</v>
      </c>
      <c r="W475" s="23" t="b">
        <f t="shared" si="326"/>
        <v>0</v>
      </c>
      <c r="X475" s="23" t="str">
        <f>IFERROR(__xludf.DUMMYFUNCTION("if(COUNTA(FILTER(C:C, C:C = C475))=1,""no"",""yes"")"),"no")</f>
        <v>no</v>
      </c>
    </row>
    <row r="476">
      <c r="A476" s="75" t="s">
        <v>497</v>
      </c>
      <c r="B476" s="19">
        <v>12.0</v>
      </c>
      <c r="C476" s="19" t="s">
        <v>1222</v>
      </c>
      <c r="D476" s="58" t="str">
        <f t="shared" ref="D476:D477" si="327">if(or(I476=1,J476=1,S476=1),"pos","")</f>
        <v/>
      </c>
      <c r="E476" s="59">
        <f>IFERROR(__xludf.DUMMYFUNCTION("ifna(IFNA(filter('2.1.clean'!C:C,'2.1.clean'!A:A=C476),filter('2.2.clean'!E:E,'2.2.clean'!D:D=C476)),filter('2.4.clean'!C:C,'2.4.clean'!A:A=C476))"),43712.0)</f>
        <v>43712</v>
      </c>
      <c r="F476" s="60">
        <f>IFERROR(__xludf.DUMMYFUNCTION("iferror(ifna(IFNA(filter('2.1.clean'!E:E,'2.1.clean'!A:A=C476),filter('2.2.clean'!G:G,'2.2.clean'!D:D=C476)),filter('2.4.clean'!E:E,'2.4.clean'!A:A=C476)),)"),2.1)</f>
        <v>2.1</v>
      </c>
      <c r="G476" s="59">
        <f>IFERROR(__xludf.DUMMYFUNCTION("iferror(filter('3.1.clean'!C:C,'3.1.clean'!A:A=C476),"""")"),43712.0)</f>
        <v>43712</v>
      </c>
      <c r="H476" s="58" t="b">
        <f t="shared" si="324"/>
        <v>1</v>
      </c>
      <c r="I476" s="58">
        <f>IFERROR(__xludf.DUMMYFUNCTION("iferror(filter('3.1.clean'!G:G,'3.1.clean'!A:A=C476),"""")"),0.0)</f>
        <v>0</v>
      </c>
      <c r="J476" s="60">
        <f>IFERROR(__xludf.DUMMYFUNCTION("iferror(filter('3.1.clean'!I:I,'3.1.clean'!A:A=C476),"""")"),0.0)</f>
        <v>0</v>
      </c>
      <c r="K476" s="58" t="str">
        <f>IFERROR(__xludf.DUMMYFUNCTION("iferror(filter('3.2.clean'!C:C,'3.2.clean'!A:A=C476),"""")"),"")</f>
        <v/>
      </c>
      <c r="L476" s="60" t="b">
        <f t="shared" si="325"/>
        <v>0</v>
      </c>
      <c r="M476" s="59">
        <f>IFERROR(__xludf.DUMMYFUNCTION("iferror(filter('3.3.clean'!C:C,'3.3.clean'!A:A=C476),"""")"),43714.0)</f>
        <v>43714</v>
      </c>
      <c r="N476" s="60" t="b">
        <f t="shared" si="314"/>
        <v>1</v>
      </c>
      <c r="O476" s="59">
        <f>IFERROR(__xludf.DUMMYFUNCTION("iferror(filter('3.4.clean'!C:C,'3.4.clean'!A:A=C476),"""")"),43717.0)</f>
        <v>43717</v>
      </c>
      <c r="P476" s="60" t="b">
        <f t="shared" si="315"/>
        <v>1</v>
      </c>
      <c r="Q476" s="59" t="str">
        <f>IFERROR(__xludf.DUMMYFUNCTION("iferror(filter('3.5.clean'!C:C,'3.5.clean'!A:A=C476),"""")"),"")</f>
        <v/>
      </c>
      <c r="R476" s="58"/>
      <c r="S476" s="4" t="str">
        <f>IFERROR(__xludf.DUMMYFUNCTION("iferror(filter('3.5.clean'!H:H,'3.5.clean'!A:A=C476),"""")"),"")</f>
        <v/>
      </c>
      <c r="U476" s="23"/>
      <c r="V476" s="1" t="s">
        <v>83</v>
      </c>
      <c r="W476" s="23" t="b">
        <f>if(AND(H476=TRUE,N476=TRUE,P476=TRUE),TRUE,FALSE)</f>
        <v>1</v>
      </c>
      <c r="X476" s="23" t="str">
        <f>IFERROR(__xludf.DUMMYFUNCTION("if(COUNTA(FILTER(C:C, C:C = C476))=1,""no"",""yes"")"),"no")</f>
        <v>no</v>
      </c>
    </row>
    <row r="477">
      <c r="A477" s="75" t="s">
        <v>497</v>
      </c>
      <c r="B477" s="19">
        <v>13.0</v>
      </c>
      <c r="C477" s="19" t="s">
        <v>1224</v>
      </c>
      <c r="D477" s="58" t="str">
        <f t="shared" si="327"/>
        <v>pos</v>
      </c>
      <c r="E477" s="59">
        <f>Q477</f>
        <v>43712</v>
      </c>
      <c r="F477" s="60" t="str">
        <f>IFERROR(__xludf.DUMMYFUNCTION("iferror(ifna(IFNA(filter('2.1.clean'!E:E,'2.1.clean'!A:A=C477),filter('2.2.clean'!G:G,'2.2.clean'!D:D=C477)),filter('2.4.clean'!E:E,'2.4.clean'!A:A=C477)),)"),"")</f>
        <v/>
      </c>
      <c r="G477" s="59" t="str">
        <f>IFERROR(__xludf.DUMMYFUNCTION("iferror(filter('3.1.clean'!C:C,'3.1.clean'!A:A=C477),"""")"),"")</f>
        <v/>
      </c>
      <c r="H477" s="58"/>
      <c r="I477" s="58"/>
      <c r="J477" s="60"/>
      <c r="K477" s="58"/>
      <c r="L477" s="60"/>
      <c r="M477" s="59">
        <f>IFERROR(__xludf.DUMMYFUNCTION("iferror(filter('3.3.clean'!C:C,'3.3.clean'!A:A=C477),"""")"),43714.0)</f>
        <v>43714</v>
      </c>
      <c r="N477" s="60" t="b">
        <f t="shared" si="314"/>
        <v>1</v>
      </c>
      <c r="O477" s="59">
        <f>IFERROR(__xludf.DUMMYFUNCTION("iferror(filter('3.4.clean'!C:C,'3.4.clean'!A:A=C477),"""")"),43717.0)</f>
        <v>43717</v>
      </c>
      <c r="P477" s="60" t="b">
        <f t="shared" si="315"/>
        <v>1</v>
      </c>
      <c r="Q477" s="59">
        <f>IFERROR(__xludf.DUMMYFUNCTION("iferror(filter('3.5.clean'!C:C,'3.5.clean'!A:A=C477),"""")"),43712.0)</f>
        <v>43712</v>
      </c>
      <c r="R477" s="58" t="b">
        <f t="shared" ref="R477:R481" si="328">if(Q477="",FALSE,TRUE)</f>
        <v>1</v>
      </c>
      <c r="S477" s="4">
        <f>IFERROR(__xludf.DUMMYFUNCTION("iferror(filter('3.5.clean'!H:H,'3.5.clean'!A:A=C477),"""")"),1.0)</f>
        <v>1</v>
      </c>
      <c r="U477" s="23"/>
      <c r="V477" s="1" t="s">
        <v>64</v>
      </c>
      <c r="W477" s="23" t="b">
        <f>if(AND(R477=TRUE,N477=TRUE,P477=TRUE),TRUE,FALSE)</f>
        <v>1</v>
      </c>
      <c r="X477" s="23" t="str">
        <f>IFERROR(__xludf.DUMMYFUNCTION("if(COUNTA(FILTER(C:C, C:C = C477))=1,""no"",""yes"")"),"no")</f>
        <v>no</v>
      </c>
    </row>
    <row r="478">
      <c r="A478" s="75" t="s">
        <v>497</v>
      </c>
      <c r="B478" s="28">
        <v>14.0</v>
      </c>
      <c r="C478" s="27" t="s">
        <v>1225</v>
      </c>
      <c r="E478" s="24">
        <f>IFERROR(__xludf.DUMMYFUNCTION("ifna(IFNA(filter('2.1.clean'!C:C,'2.1.clean'!A:A=C478),filter('2.2.clean'!E:E,'2.2.clean'!D:D=C478)),filter('2.4.clean'!C:C,'2.4.clean'!A:A=C478))"),43712.0)</f>
        <v>43712</v>
      </c>
      <c r="F478" s="25">
        <f>IFERROR(__xludf.DUMMYFUNCTION("iferror(ifna(IFNA(filter('2.1.clean'!E:E,'2.1.clean'!A:A=C478),filter('2.2.clean'!G:G,'2.2.clean'!D:D=C478)),filter('2.4.clean'!E:E,'2.4.clean'!A:A=C478)),)"),2.1)</f>
        <v>2.1</v>
      </c>
      <c r="G478" s="24">
        <f>IFERROR(__xludf.DUMMYFUNCTION("iferror(filter('3.1.clean'!C:C,'3.1.clean'!A:A=C478),"""")"),43712.0)</f>
        <v>43712</v>
      </c>
      <c r="H478" s="23" t="b">
        <f t="shared" ref="H478:H482" si="329">if(G478="",FALSE,TRUE)</f>
        <v>1</v>
      </c>
      <c r="J478" s="25"/>
      <c r="K478" s="24" t="str">
        <f>IFERROR(__xludf.DUMMYFUNCTION("iferror(filter('3.2.clean'!C:C,'3.2.clean'!A:A=C478),"""")"),"")</f>
        <v/>
      </c>
      <c r="L478" s="25" t="b">
        <f t="shared" ref="L478:L481" si="330">if(K478="",FALSE,TRUE)</f>
        <v>0</v>
      </c>
      <c r="M478" s="24">
        <f>IFERROR(__xludf.DUMMYFUNCTION("iferror(filter('3.3.clean'!C:C,'3.3.clean'!A:A=C478),"""")"),43722.0)</f>
        <v>43722</v>
      </c>
      <c r="N478" s="25" t="b">
        <f t="shared" si="314"/>
        <v>1</v>
      </c>
      <c r="O478" s="24">
        <f>IFERROR(__xludf.DUMMYFUNCTION("iferror(filter('3.4.clean'!C:C,'3.4.clean'!A:A=C478),"""")"),43724.0)</f>
        <v>43724</v>
      </c>
      <c r="P478" s="25" t="b">
        <f t="shared" si="315"/>
        <v>1</v>
      </c>
      <c r="Q478" s="24">
        <f>IFERROR(__xludf.DUMMYFUNCTION("iferror(filter('3.5.clean'!C:C,'3.5.clean'!A:A=C478),"""")"),43712.0)</f>
        <v>43712</v>
      </c>
      <c r="R478" s="23" t="b">
        <f t="shared" si="328"/>
        <v>1</v>
      </c>
      <c r="S478" s="25"/>
      <c r="U478" s="23" t="s">
        <v>21</v>
      </c>
      <c r="V478" s="1" t="s">
        <v>83</v>
      </c>
      <c r="W478" s="23" t="b">
        <f t="shared" ref="W478:W480" si="331">IF(and(H478=TRUE,L478=TRUE,N478=TRUE,P478=TRUE),TRUE,FALSE)</f>
        <v>0</v>
      </c>
      <c r="X478" s="23" t="str">
        <f>IFERROR(__xludf.DUMMYFUNCTION("if(COUNTA(FILTER(C:C, C:C = C478))=1,""no"",""yes"")"),"no")</f>
        <v>no</v>
      </c>
    </row>
    <row r="479">
      <c r="A479" s="75" t="s">
        <v>497</v>
      </c>
      <c r="B479" s="2">
        <v>15.0</v>
      </c>
      <c r="C479" s="19" t="s">
        <v>1227</v>
      </c>
      <c r="E479" s="24">
        <v>43712.0</v>
      </c>
      <c r="F479" s="25" t="str">
        <f>IFERROR(__xludf.DUMMYFUNCTION("iferror(ifna(IFNA(filter('2.1.clean'!E:E,'2.1.clean'!A:A=C479),filter('2.2.clean'!G:G,'2.2.clean'!D:D=C479)),filter('2.4.clean'!E:E,'2.4.clean'!A:A=C479)),)"),"")</f>
        <v/>
      </c>
      <c r="G479" s="24">
        <f>IFERROR(__xludf.DUMMYFUNCTION("iferror(filter('3.1.clean'!C:C,'3.1.clean'!A:A=C479),"""")"),43713.0)</f>
        <v>43713</v>
      </c>
      <c r="H479" s="23" t="b">
        <f t="shared" si="329"/>
        <v>1</v>
      </c>
      <c r="J479" s="25"/>
      <c r="K479" s="24" t="str">
        <f>IFERROR(__xludf.DUMMYFUNCTION("iferror(filter('3.2.clean'!C:C,'3.2.clean'!A:A=C479),"""")"),"")</f>
        <v/>
      </c>
      <c r="L479" s="25" t="b">
        <f t="shared" si="330"/>
        <v>0</v>
      </c>
      <c r="M479" s="24">
        <f>IFERROR(__xludf.DUMMYFUNCTION("iferror(filter('3.3.clean'!C:C,'3.3.clean'!A:A=C479),"""")"),43722.0)</f>
        <v>43722</v>
      </c>
      <c r="N479" s="25" t="b">
        <f t="shared" si="314"/>
        <v>1</v>
      </c>
      <c r="O479" s="24" t="str">
        <f>IFERROR(__xludf.DUMMYFUNCTION("iferror(filter('3.4.clean'!C:C,'3.4.clean'!A:A=C479),"""")"),"")</f>
        <v/>
      </c>
      <c r="P479" s="25" t="b">
        <f t="shared" si="315"/>
        <v>0</v>
      </c>
      <c r="Q479" s="24">
        <f>IFERROR(__xludf.DUMMYFUNCTION("iferror(filter('3.5.clean'!C:C,'3.5.clean'!A:A=C479),"""")"),43713.0)</f>
        <v>43713</v>
      </c>
      <c r="R479" s="23" t="b">
        <f t="shared" si="328"/>
        <v>1</v>
      </c>
      <c r="S479" s="25"/>
      <c r="V479" s="1" t="s">
        <v>83</v>
      </c>
      <c r="W479" s="23" t="b">
        <f t="shared" si="331"/>
        <v>0</v>
      </c>
      <c r="X479" s="23" t="str">
        <f>IFERROR(__xludf.DUMMYFUNCTION("if(COUNTA(FILTER(C:C, C:C = C479))=1,""no"",""yes"")"),"no")</f>
        <v>no</v>
      </c>
    </row>
    <row r="480">
      <c r="A480" s="75" t="s">
        <v>497</v>
      </c>
      <c r="B480" s="2">
        <v>16.0</v>
      </c>
      <c r="C480" s="19" t="s">
        <v>1228</v>
      </c>
      <c r="E480" s="24">
        <v>43712.0</v>
      </c>
      <c r="F480" s="25" t="str">
        <f>IFERROR(__xludf.DUMMYFUNCTION("iferror(ifna(IFNA(filter('2.1.clean'!E:E,'2.1.clean'!A:A=C480),filter('2.2.clean'!G:G,'2.2.clean'!D:D=C480)),filter('2.4.clean'!E:E,'2.4.clean'!A:A=C480)),)"),"")</f>
        <v/>
      </c>
      <c r="G480" s="24">
        <f>IFERROR(__xludf.DUMMYFUNCTION("iferror(filter('3.1.clean'!C:C,'3.1.clean'!A:A=C480),"""")"),43713.0)</f>
        <v>43713</v>
      </c>
      <c r="H480" s="23" t="b">
        <f t="shared" si="329"/>
        <v>1</v>
      </c>
      <c r="J480" s="25"/>
      <c r="K480" s="24" t="str">
        <f>IFERROR(__xludf.DUMMYFUNCTION("iferror(filter('3.2.clean'!C:C,'3.2.clean'!A:A=C480),"""")"),"")</f>
        <v/>
      </c>
      <c r="L480" s="25" t="b">
        <f t="shared" si="330"/>
        <v>0</v>
      </c>
      <c r="M480" s="24">
        <f>IFERROR(__xludf.DUMMYFUNCTION("iferror(filter('3.3.clean'!C:C,'3.3.clean'!A:A=C480),"""")"),43714.0)</f>
        <v>43714</v>
      </c>
      <c r="N480" s="25" t="b">
        <f t="shared" si="314"/>
        <v>1</v>
      </c>
      <c r="O480" s="24" t="str">
        <f>IFERROR(__xludf.DUMMYFUNCTION("iferror(filter('3.4.clean'!C:C,'3.4.clean'!A:A=C480),"""")"),"")</f>
        <v/>
      </c>
      <c r="P480" s="25" t="b">
        <f t="shared" si="315"/>
        <v>0</v>
      </c>
      <c r="Q480" s="24">
        <f>IFERROR(__xludf.DUMMYFUNCTION("iferror(filter('3.5.clean'!C:C,'3.5.clean'!A:A=C480),"""")"),43713.0)</f>
        <v>43713</v>
      </c>
      <c r="R480" s="23" t="b">
        <f t="shared" si="328"/>
        <v>1</v>
      </c>
      <c r="S480" s="25"/>
      <c r="V480" s="1" t="s">
        <v>83</v>
      </c>
      <c r="W480" s="23" t="b">
        <f t="shared" si="331"/>
        <v>0</v>
      </c>
      <c r="X480" s="23" t="str">
        <f>IFERROR(__xludf.DUMMYFUNCTION("if(COUNTA(FILTER(C:C, C:C = C480))=1,""no"",""yes"")"),"no")</f>
        <v>no</v>
      </c>
    </row>
    <row r="481">
      <c r="A481" s="75" t="s">
        <v>497</v>
      </c>
      <c r="B481" s="82">
        <v>17.0</v>
      </c>
      <c r="C481" s="85" t="s">
        <v>1230</v>
      </c>
      <c r="E481" s="24">
        <f>IFERROR(__xludf.DUMMYFUNCTION("ifna(IFNA(filter('2.1.clean'!C:C,'2.1.clean'!A:A=C481),filter('2.2.clean'!E:E,'2.2.clean'!D:D=C481)),filter('2.4.clean'!C:C,'2.4.clean'!A:A=C481))"),43712.0)</f>
        <v>43712</v>
      </c>
      <c r="F481" s="25">
        <f>IFERROR(__xludf.DUMMYFUNCTION("iferror(ifna(IFNA(filter('2.1.clean'!E:E,'2.1.clean'!A:A=C481),filter('2.2.clean'!G:G,'2.2.clean'!D:D=C481)),filter('2.4.clean'!E:E,'2.4.clean'!A:A=C481)),)"),2.4)</f>
        <v>2.4</v>
      </c>
      <c r="G481" s="24">
        <f>IFERROR(__xludf.DUMMYFUNCTION("iferror(filter('3.1.clean'!C:C,'3.1.clean'!A:A=C481),"""")"),43712.0)</f>
        <v>43712</v>
      </c>
      <c r="H481" s="23" t="b">
        <f t="shared" si="329"/>
        <v>1</v>
      </c>
      <c r="J481" s="25"/>
      <c r="K481" s="24" t="str">
        <f>IFERROR(__xludf.DUMMYFUNCTION("iferror(filter('3.2.clean'!C:C,'3.2.clean'!A:A=C481),"""")"),"")</f>
        <v/>
      </c>
      <c r="L481" s="25" t="b">
        <f t="shared" si="330"/>
        <v>0</v>
      </c>
      <c r="M481" s="24">
        <f>IFERROR(__xludf.DUMMYFUNCTION("iferror(filter('3.3.clean'!C:C,'3.3.clean'!A:A=C481),"""")"),43714.0)</f>
        <v>43714</v>
      </c>
      <c r="N481" s="25" t="b">
        <f t="shared" si="314"/>
        <v>1</v>
      </c>
      <c r="O481" s="24">
        <f>IFERROR(__xludf.DUMMYFUNCTION("iferror(filter('3.4.clean'!C:C,'3.4.clean'!A:A=C481),"""")"),43717.0)</f>
        <v>43717</v>
      </c>
      <c r="P481" s="25" t="b">
        <f t="shared" si="315"/>
        <v>1</v>
      </c>
      <c r="Q481" s="24" t="str">
        <f>IFERROR(__xludf.DUMMYFUNCTION("iferror(filter('3.5.clean'!C:C,'3.5.clean'!A:A=C481),"""")"),"")</f>
        <v/>
      </c>
      <c r="R481" s="23" t="b">
        <f t="shared" si="328"/>
        <v>0</v>
      </c>
      <c r="S481" s="25"/>
      <c r="U481" s="23"/>
      <c r="V481" s="1" t="s">
        <v>64</v>
      </c>
      <c r="X481" s="23" t="str">
        <f>IFERROR(__xludf.DUMMYFUNCTION("if(COUNTA(FILTER(C:C, C:C = C481))=1,""no"",""yes"")"),"no")</f>
        <v>no</v>
      </c>
    </row>
    <row r="482">
      <c r="A482" s="75" t="s">
        <v>497</v>
      </c>
      <c r="B482" s="19">
        <v>18.0</v>
      </c>
      <c r="C482" s="19" t="s">
        <v>1231</v>
      </c>
      <c r="D482" s="76" t="str">
        <f>if(or(I482=1,J482=1,S482=1),"pos","")</f>
        <v/>
      </c>
      <c r="E482" s="77">
        <f>G482</f>
        <v>43712</v>
      </c>
      <c r="F482" s="78" t="str">
        <f>IFERROR(__xludf.DUMMYFUNCTION("iferror(ifna(IFNA(filter('2.1.clean'!E:E,'2.1.clean'!A:A=C482),filter('2.2.clean'!G:G,'2.2.clean'!D:D=C482)),filter('2.4.clean'!E:E,'2.4.clean'!A:A=C482)),)"),"")</f>
        <v/>
      </c>
      <c r="G482" s="77">
        <f>IFERROR(__xludf.DUMMYFUNCTION("iferror(filter('3.1.clean'!C:C,'3.1.clean'!A:A=C482),"""")"),43712.0)</f>
        <v>43712</v>
      </c>
      <c r="H482" s="76" t="b">
        <f t="shared" si="329"/>
        <v>1</v>
      </c>
      <c r="I482" s="76">
        <f>IFERROR(__xludf.DUMMYFUNCTION("iferror(filter('3.1.clean'!G:G,'3.1.clean'!A:A=C482),"""")"),0.0)</f>
        <v>0</v>
      </c>
      <c r="J482" s="78">
        <f>IFERROR(__xludf.DUMMYFUNCTION("iferror(filter('3.1.clean'!I:I,'3.1.clean'!A:A=C482),"""")"),0.0)</f>
        <v>0</v>
      </c>
      <c r="K482" s="77"/>
      <c r="L482" s="78"/>
      <c r="M482" s="77"/>
      <c r="N482" s="78"/>
      <c r="O482" s="77"/>
      <c r="P482" s="78"/>
      <c r="Q482" s="77"/>
      <c r="R482" s="76"/>
      <c r="S482" s="25"/>
      <c r="T482" s="1"/>
      <c r="V482" s="1" t="s">
        <v>83</v>
      </c>
      <c r="W482" s="1" t="b">
        <v>1</v>
      </c>
      <c r="X482" s="23" t="str">
        <f>IFERROR(__xludf.DUMMYFUNCTION("if(COUNTA(FILTER(C:C, C:C = C482))=1,""no"",""yes"")"),"no")</f>
        <v>no</v>
      </c>
    </row>
    <row r="483">
      <c r="A483" s="75" t="s">
        <v>497</v>
      </c>
      <c r="B483" s="2">
        <v>19.0</v>
      </c>
      <c r="C483" s="69" t="s">
        <v>31</v>
      </c>
      <c r="E483" s="24">
        <v>43712.0</v>
      </c>
      <c r="F483" s="25" t="str">
        <f>IFERROR(__xludf.DUMMYFUNCTION("iferror(ifna(IFNA(filter('2.1.clean'!E:E,'2.1.clean'!A:A=C483),filter('2.2.clean'!G:G,'2.2.clean'!D:D=C483)),filter('2.4.clean'!E:E,'2.4.clean'!A:A=C483)),)"),"")</f>
        <v/>
      </c>
      <c r="G483" s="24" t="str">
        <f>IFERROR(__xludf.DUMMYFUNCTION("iferror(filter('3.1.clean'!C:C,'3.1.clean'!B:B=C483),"""")"),"")</f>
        <v/>
      </c>
      <c r="J483" s="25"/>
      <c r="K483" s="24" t="str">
        <f>IFERROR(__xludf.DUMMYFUNCTION("iferror(filter('3.2.clean'!C:C,'3.2.clean'!A:A=C483),"""")"),"")</f>
        <v/>
      </c>
      <c r="L483" s="25"/>
      <c r="M483" s="24" t="str">
        <f>IFERROR(__xludf.DUMMYFUNCTION("iferror(filter('3.3.clean'!C:C,'3.3.clean'!A:A=C483),"""")"),"")</f>
        <v/>
      </c>
      <c r="N483" s="25" t="b">
        <f t="shared" ref="N483:N490" si="332">if(M483="",FALSE,TRUE)</f>
        <v>0</v>
      </c>
      <c r="O483" s="26">
        <v>43712.0</v>
      </c>
      <c r="P483" s="25" t="b">
        <f t="shared" ref="P483:P490" si="333">if(O483="",FALSE,TRUE)</f>
        <v>1</v>
      </c>
      <c r="Q483" s="24" t="str">
        <f>IFERROR(__xludf.DUMMYFUNCTION("iferror(filter('3.5.clean'!C:C,'3.5.clean'!A:A=C483),"""")"),"")</f>
        <v/>
      </c>
      <c r="S483" s="25"/>
      <c r="T483" s="1" t="s">
        <v>422</v>
      </c>
      <c r="V483" s="1" t="s">
        <v>83</v>
      </c>
      <c r="X483" s="23" t="str">
        <f>IFERROR(__xludf.DUMMYFUNCTION("if(COUNTA(FILTER(C:C, C:C = C483))=1,""no"",""yes"")"),"yes")</f>
        <v>yes</v>
      </c>
    </row>
    <row r="484">
      <c r="A484" s="75" t="s">
        <v>497</v>
      </c>
      <c r="B484" s="2">
        <v>20.0</v>
      </c>
      <c r="C484" s="69" t="s">
        <v>31</v>
      </c>
      <c r="E484" s="24">
        <v>43712.0</v>
      </c>
      <c r="F484" s="25" t="str">
        <f>IFERROR(__xludf.DUMMYFUNCTION("iferror(ifna(IFNA(filter('2.1.clean'!E:E,'2.1.clean'!A:A=C484),filter('2.2.clean'!G:G,'2.2.clean'!D:D=C484)),filter('2.4.clean'!E:E,'2.4.clean'!A:A=C484)),)"),"")</f>
        <v/>
      </c>
      <c r="G484" s="24" t="str">
        <f>IFERROR(__xludf.DUMMYFUNCTION("iferror(filter('3.1.clean'!C:C,'3.1.clean'!B:B=C484),"""")"),"")</f>
        <v/>
      </c>
      <c r="J484" s="25"/>
      <c r="K484" s="24" t="str">
        <f>IFERROR(__xludf.DUMMYFUNCTION("iferror(filter('3.2.clean'!C:C,'3.2.clean'!A:A=C484),"""")"),"")</f>
        <v/>
      </c>
      <c r="L484" s="25"/>
      <c r="M484" s="24" t="str">
        <f>IFERROR(__xludf.DUMMYFUNCTION("iferror(filter('3.3.clean'!C:C,'3.3.clean'!A:A=C484),"""")"),"")</f>
        <v/>
      </c>
      <c r="N484" s="25" t="b">
        <f t="shared" si="332"/>
        <v>0</v>
      </c>
      <c r="O484" s="26">
        <v>43713.0</v>
      </c>
      <c r="P484" s="25" t="b">
        <f t="shared" si="333"/>
        <v>1</v>
      </c>
      <c r="Q484" s="24" t="str">
        <f>IFERROR(__xludf.DUMMYFUNCTION("iferror(filter('3.5.clean'!C:C,'3.5.clean'!A:A=C484),"""")"),"")</f>
        <v/>
      </c>
      <c r="S484" s="25"/>
      <c r="T484" s="1" t="s">
        <v>422</v>
      </c>
      <c r="V484" s="1" t="s">
        <v>83</v>
      </c>
      <c r="X484" s="23" t="str">
        <f>IFERROR(__xludf.DUMMYFUNCTION("if(COUNTA(FILTER(C:C, C:C = C484))=1,""no"",""yes"")"),"yes")</f>
        <v>yes</v>
      </c>
    </row>
    <row r="485">
      <c r="A485" s="1" t="s">
        <v>500</v>
      </c>
      <c r="B485" s="28">
        <v>1.0</v>
      </c>
      <c r="C485" s="27" t="s">
        <v>1233</v>
      </c>
      <c r="D485" s="24"/>
      <c r="E485" s="24">
        <f>IFERROR(__xludf.DUMMYFUNCTION("ifna(IFNA(filter('2.1.clean'!C:C,'2.1.clean'!A:A=C485),filter('2.2.clean'!E:E,'2.2.clean'!D:D=C485)),filter('2.4.clean'!C:C,'2.4.clean'!A:A=C485))"),43719.0)</f>
        <v>43719</v>
      </c>
      <c r="F485" s="25">
        <f>IFERROR(__xludf.DUMMYFUNCTION("iferror(ifna(IFNA(filter('2.1.clean'!E:E,'2.1.clean'!A:A=C485),filter('2.2.clean'!G:G,'2.2.clean'!D:D=C485)),filter('2.4.clean'!E:E,'2.4.clean'!A:A=C485)),)"),2.1)</f>
        <v>2.1</v>
      </c>
      <c r="G485" s="24">
        <f>IFERROR(__xludf.DUMMYFUNCTION("iferror(filter('3.1.clean'!C:C,'3.1.clean'!A:A=C485),"""")"),43719.0)</f>
        <v>43719</v>
      </c>
      <c r="H485" s="23" t="b">
        <f t="shared" ref="H485:H486" si="334">if(G485="",FALSE,TRUE)</f>
        <v>1</v>
      </c>
      <c r="J485" s="25"/>
      <c r="K485" s="24">
        <f>IFERROR(__xludf.DUMMYFUNCTION("iferror(filter('3.2.clean'!C:C,'3.2.clean'!A:A=C485),"""")"),43720.0)</f>
        <v>43720</v>
      </c>
      <c r="L485" s="25" t="b">
        <f t="shared" ref="L485:L486" si="335">if(K485="",FALSE,TRUE)</f>
        <v>1</v>
      </c>
      <c r="M485" s="24">
        <f>IFERROR(__xludf.DUMMYFUNCTION("iferror(filter('3.3.clean'!C:C,'3.3.clean'!A:A=C485),"""")"),43721.0)</f>
        <v>43721</v>
      </c>
      <c r="N485" s="25" t="b">
        <f t="shared" si="332"/>
        <v>1</v>
      </c>
      <c r="O485" s="24">
        <f>IFERROR(__xludf.DUMMYFUNCTION("iferror(filter('3.4.clean'!C:C,'3.4.clean'!A:A=C485),"""")"),43754.0)</f>
        <v>43754</v>
      </c>
      <c r="P485" s="25" t="b">
        <f t="shared" si="333"/>
        <v>1</v>
      </c>
      <c r="Q485" s="24"/>
      <c r="S485" s="25"/>
      <c r="U485" s="23"/>
      <c r="V485" s="1" t="s">
        <v>83</v>
      </c>
      <c r="W485" s="23" t="b">
        <f>IF(and(H485=TRUE,L485=TRUE,N485=TRUE,P485=TRUE),TRUE,FALSE)</f>
        <v>1</v>
      </c>
      <c r="X485" s="23" t="str">
        <f>IFERROR(__xludf.DUMMYFUNCTION("if(COUNTA(FILTER(C:C, C:C = C485))=1,""no"",""yes"")"),"no")</f>
        <v>no</v>
      </c>
    </row>
    <row r="486">
      <c r="A486" s="1" t="s">
        <v>500</v>
      </c>
      <c r="B486" s="19">
        <v>2.0</v>
      </c>
      <c r="C486" s="19" t="s">
        <v>1234</v>
      </c>
      <c r="D486" s="58" t="str">
        <f t="shared" ref="D486:D487" si="336">if(or(I486=1,J486=1,S486=1),"pos","")</f>
        <v>pos</v>
      </c>
      <c r="E486" s="59">
        <f>IFERROR(__xludf.DUMMYFUNCTION("ifna(IFNA(filter('2.1.clean'!C:C,'2.1.clean'!A:A=C486),filter('2.2.clean'!E:E,'2.2.clean'!D:D=C486)),filter('2.4.clean'!C:C,'2.4.clean'!A:A=C486))"),43719.0)</f>
        <v>43719</v>
      </c>
      <c r="F486" s="60">
        <f>IFERROR(__xludf.DUMMYFUNCTION("iferror(ifna(IFNA(filter('2.1.clean'!E:E,'2.1.clean'!A:A=C486),filter('2.2.clean'!G:G,'2.2.clean'!D:D=C486)),filter('2.4.clean'!E:E,'2.4.clean'!A:A=C486)),)"),2.1)</f>
        <v>2.1</v>
      </c>
      <c r="G486" s="59">
        <f>IFERROR(__xludf.DUMMYFUNCTION("iferror(filter('3.1.clean'!C:C,'3.1.clean'!A:A=C486),"""")"),43719.0)</f>
        <v>43719</v>
      </c>
      <c r="H486" s="58" t="b">
        <f t="shared" si="334"/>
        <v>1</v>
      </c>
      <c r="I486" s="58">
        <f>IFERROR(__xludf.DUMMYFUNCTION("iferror(filter('3.1.clean'!G:G,'3.1.clean'!A:A=C486),"""")"),1.0)</f>
        <v>1</v>
      </c>
      <c r="J486" s="60">
        <f>IFERROR(__xludf.DUMMYFUNCTION("iferror(filter('3.1.clean'!I:I,'3.1.clean'!A:A=C486),"""")"),1.0)</f>
        <v>1</v>
      </c>
      <c r="K486" s="58" t="str">
        <f>IFERROR(__xludf.DUMMYFUNCTION("iferror(filter('3.2.clean'!C:C,'3.2.clean'!A:A=C486),"""")"),"")</f>
        <v/>
      </c>
      <c r="L486" s="60" t="b">
        <f t="shared" si="335"/>
        <v>0</v>
      </c>
      <c r="M486" s="59" t="str">
        <f>IFERROR(__xludf.DUMMYFUNCTION("iferror(filter('3.3.clean'!C:C,'3.3.clean'!A:A=C486),"""")"),"#REF!")</f>
        <v>#REF!</v>
      </c>
      <c r="N486" s="60" t="str">
        <f t="shared" si="332"/>
        <v>#REF!</v>
      </c>
      <c r="O486" s="59" t="str">
        <f>IFERROR(__xludf.DUMMYFUNCTION("iferror(filter('3.4.clean'!C:C,'3.4.clean'!A:A=C486),"""")"),"")</f>
        <v/>
      </c>
      <c r="P486" s="60" t="b">
        <f t="shared" si="333"/>
        <v>0</v>
      </c>
      <c r="Q486" s="59" t="str">
        <f>IFERROR(__xludf.DUMMYFUNCTION("iferror(filter('3.5.clean'!C:C,'3.5.clean'!A:A=C486),"""")"),"")</f>
        <v/>
      </c>
      <c r="R486" s="58" t="b">
        <f t="shared" ref="R486:R487" si="337">if(Q486="",FALSE,TRUE)</f>
        <v>0</v>
      </c>
      <c r="S486" s="4" t="str">
        <f>IFERROR(__xludf.DUMMYFUNCTION("iferror(filter('3.5.clean'!H:H,'3.5.clean'!A:A=C486),"""")"),"")</f>
        <v/>
      </c>
      <c r="U486" s="23"/>
      <c r="V486" s="1" t="s">
        <v>83</v>
      </c>
      <c r="W486" s="1" t="b">
        <v>1</v>
      </c>
      <c r="X486" s="23" t="str">
        <f>IFERROR(__xludf.DUMMYFUNCTION("if(COUNTA(FILTER(C:C, C:C = C486))=1,""no"",""yes"")"),"no")</f>
        <v>no</v>
      </c>
    </row>
    <row r="487">
      <c r="A487" s="1" t="s">
        <v>500</v>
      </c>
      <c r="B487" s="19">
        <v>3.0</v>
      </c>
      <c r="C487" s="19" t="s">
        <v>1236</v>
      </c>
      <c r="D487" s="58" t="str">
        <f t="shared" si="336"/>
        <v/>
      </c>
      <c r="E487" s="59">
        <f>Q487</f>
        <v>43719</v>
      </c>
      <c r="F487" s="60" t="str">
        <f>IFERROR(__xludf.DUMMYFUNCTION("iferror(ifna(IFNA(filter('2.1.clean'!E:E,'2.1.clean'!A:A=C487),filter('2.2.clean'!G:G,'2.2.clean'!D:D=C487)),filter('2.4.clean'!E:E,'2.4.clean'!A:A=C487)),)"),"")</f>
        <v/>
      </c>
      <c r="G487" s="59" t="str">
        <f>IFERROR(__xludf.DUMMYFUNCTION("iferror(filter('3.1.clean'!C:C,'3.1.clean'!A:A=C487),"""")"),"")</f>
        <v/>
      </c>
      <c r="H487" s="58"/>
      <c r="I487" s="58"/>
      <c r="J487" s="60"/>
      <c r="K487" s="58"/>
      <c r="L487" s="60"/>
      <c r="M487" s="59">
        <f>IFERROR(__xludf.DUMMYFUNCTION("iferror(filter('3.3.clean'!C:C,'3.3.clean'!A:A=C487),"""")"),43721.0)</f>
        <v>43721</v>
      </c>
      <c r="N487" s="60" t="b">
        <f t="shared" si="332"/>
        <v>1</v>
      </c>
      <c r="O487" s="59">
        <f>IFERROR(__xludf.DUMMYFUNCTION("iferror(filter('3.4.clean'!C:C,'3.4.clean'!A:A=C487),"""")"),43724.0)</f>
        <v>43724</v>
      </c>
      <c r="P487" s="60" t="b">
        <f t="shared" si="333"/>
        <v>1</v>
      </c>
      <c r="Q487" s="59">
        <f>IFERROR(__xludf.DUMMYFUNCTION("iferror(filter('3.5.clean'!C:C,'3.5.clean'!A:A=C487),"""")"),43719.0)</f>
        <v>43719</v>
      </c>
      <c r="R487" s="58" t="b">
        <f t="shared" si="337"/>
        <v>1</v>
      </c>
      <c r="S487" s="4">
        <f>IFERROR(__xludf.DUMMYFUNCTION("iferror(filter('3.5.clean'!H:H,'3.5.clean'!A:A=C487),"""")"),0.0)</f>
        <v>0</v>
      </c>
      <c r="T487" s="1"/>
      <c r="U487" s="23"/>
      <c r="V487" s="1" t="s">
        <v>64</v>
      </c>
      <c r="W487" s="1" t="b">
        <v>1</v>
      </c>
      <c r="X487" s="23" t="str">
        <f>IFERROR(__xludf.DUMMYFUNCTION("if(COUNTA(FILTER(C:C, C:C = C487))=1,""no"",""yes"")"),"no")</f>
        <v>no</v>
      </c>
    </row>
    <row r="488">
      <c r="A488" s="1" t="s">
        <v>500</v>
      </c>
      <c r="B488" s="28">
        <v>4.0</v>
      </c>
      <c r="C488" s="27" t="s">
        <v>1237</v>
      </c>
      <c r="D488" s="24"/>
      <c r="E488" s="24">
        <f>IFERROR(__xludf.DUMMYFUNCTION("ifna(IFNA(filter('2.1.clean'!C:C,'2.1.clean'!A:A=C488),filter('2.2.clean'!E:E,'2.2.clean'!D:D=C488)),filter('2.4.clean'!C:C,'2.4.clean'!A:A=C488))"),43719.0)</f>
        <v>43719</v>
      </c>
      <c r="F488" s="25">
        <f>IFERROR(__xludf.DUMMYFUNCTION("iferror(ifna(IFNA(filter('2.1.clean'!E:E,'2.1.clean'!A:A=C488),filter('2.2.clean'!G:G,'2.2.clean'!D:D=C488)),filter('2.4.clean'!E:E,'2.4.clean'!A:A=C488)),)"),2.1)</f>
        <v>2.1</v>
      </c>
      <c r="G488" s="24">
        <f>IFERROR(__xludf.DUMMYFUNCTION("iferror(filter('3.1.clean'!C:C,'3.1.clean'!A:A=C488),"""")"),43719.0)</f>
        <v>43719</v>
      </c>
      <c r="H488" s="23" t="b">
        <f t="shared" ref="H488:H489" si="338">if(G488="",FALSE,TRUE)</f>
        <v>1</v>
      </c>
      <c r="J488" s="25"/>
      <c r="K488" s="24">
        <f>IFERROR(__xludf.DUMMYFUNCTION("iferror(filter('3.2.clean'!C:C,'3.2.clean'!A:A=C488),"""")"),43720.0)</f>
        <v>43720</v>
      </c>
      <c r="L488" s="25" t="b">
        <f t="shared" ref="L488:L489" si="339">if(K488="",FALSE,TRUE)</f>
        <v>1</v>
      </c>
      <c r="M488" s="24">
        <f>IFERROR(__xludf.DUMMYFUNCTION("iferror(filter('3.3.clean'!C:C,'3.3.clean'!A:A=C488),"""")"),43721.0)</f>
        <v>43721</v>
      </c>
      <c r="N488" s="25" t="b">
        <f t="shared" si="332"/>
        <v>1</v>
      </c>
      <c r="O488" s="24">
        <f>IFERROR(__xludf.DUMMYFUNCTION("iferror(filter('3.4.clean'!C:C,'3.4.clean'!A:A=C488),"""")"),43724.0)</f>
        <v>43724</v>
      </c>
      <c r="P488" s="25" t="b">
        <f t="shared" si="333"/>
        <v>1</v>
      </c>
      <c r="Q488" s="24"/>
      <c r="S488" s="25"/>
      <c r="U488" s="23"/>
      <c r="V488" s="1" t="s">
        <v>83</v>
      </c>
      <c r="W488" s="23" t="b">
        <f>IF(and(H488=TRUE,L488=TRUE,N488=TRUE,P488=TRUE),TRUE,FALSE)</f>
        <v>1</v>
      </c>
      <c r="X488" s="23" t="str">
        <f>IFERROR(__xludf.DUMMYFUNCTION("if(COUNTA(FILTER(C:C, C:C = C488))=1,""no"",""yes"")"),"no")</f>
        <v>no</v>
      </c>
    </row>
    <row r="489">
      <c r="A489" s="1" t="s">
        <v>500</v>
      </c>
      <c r="B489" s="19">
        <v>5.0</v>
      </c>
      <c r="C489" s="19" t="s">
        <v>1239</v>
      </c>
      <c r="D489" s="58" t="str">
        <f t="shared" ref="D489:D491" si="340">if(or(I489=1,J489=1,S489=1),"pos","")</f>
        <v/>
      </c>
      <c r="E489" s="59">
        <f>IFERROR(__xludf.DUMMYFUNCTION("ifna(IFNA(filter('2.1.clean'!C:C,'2.1.clean'!A:A=C489),filter('2.2.clean'!E:E,'2.2.clean'!D:D=C489)),filter('2.4.clean'!C:C,'2.4.clean'!A:A=C489))"),43719.0)</f>
        <v>43719</v>
      </c>
      <c r="F489" s="60">
        <f>IFERROR(__xludf.DUMMYFUNCTION("iferror(ifna(IFNA(filter('2.1.clean'!E:E,'2.1.clean'!A:A=C489),filter('2.2.clean'!G:G,'2.2.clean'!D:D=C489)),filter('2.4.clean'!E:E,'2.4.clean'!A:A=C489)),)"),2.1)</f>
        <v>2.1</v>
      </c>
      <c r="G489" s="59">
        <f>IFERROR(__xludf.DUMMYFUNCTION("iferror(filter('3.1.clean'!C:C,'3.1.clean'!A:A=C489),"""")"),43719.0)</f>
        <v>43719</v>
      </c>
      <c r="H489" s="58" t="b">
        <f t="shared" si="338"/>
        <v>1</v>
      </c>
      <c r="I489" s="58">
        <f>IFERROR(__xludf.DUMMYFUNCTION("iferror(filter('3.1.clean'!G:G,'3.1.clean'!A:A=C489),"""")"),0.0)</f>
        <v>0</v>
      </c>
      <c r="J489" s="60" t="str">
        <f>IFERROR(__xludf.DUMMYFUNCTION("iferror(filter('3.1.clean'!I:I,'3.1.clean'!A:A=C489),"""")"),"")</f>
        <v/>
      </c>
      <c r="K489" s="58" t="str">
        <f>IFERROR(__xludf.DUMMYFUNCTION("iferror(filter('3.2.clean'!C:C,'3.2.clean'!A:A=C489),"""")"),"")</f>
        <v/>
      </c>
      <c r="L489" s="60" t="b">
        <f t="shared" si="339"/>
        <v>0</v>
      </c>
      <c r="M489" s="59">
        <f>IFERROR(__xludf.DUMMYFUNCTION("iferror(filter('3.3.clean'!C:C,'3.3.clean'!A:A=C489),"""")"),43721.0)</f>
        <v>43721</v>
      </c>
      <c r="N489" s="60" t="b">
        <f t="shared" si="332"/>
        <v>1</v>
      </c>
      <c r="O489" s="59" t="str">
        <f>IFERROR(__xludf.DUMMYFUNCTION("iferror(filter('3.4.clean'!C:C,'3.4.clean'!A:A=C489),"""")"),"")</f>
        <v/>
      </c>
      <c r="P489" s="60" t="b">
        <f t="shared" si="333"/>
        <v>0</v>
      </c>
      <c r="Q489" s="59">
        <f>IFERROR(__xludf.DUMMYFUNCTION("iferror(filter('3.5.clean'!C:C,'3.5.clean'!A:A=C489),"""")"),43719.0)</f>
        <v>43719</v>
      </c>
      <c r="R489" s="58" t="b">
        <f t="shared" ref="R489:R490" si="341">if(Q489="",FALSE,TRUE)</f>
        <v>1</v>
      </c>
      <c r="S489" s="4">
        <f>IFERROR(__xludf.DUMMYFUNCTION("iferror(filter('3.5.clean'!H:H,'3.5.clean'!A:A=C489),"""")"),0.0)</f>
        <v>0</v>
      </c>
      <c r="U489" s="23"/>
      <c r="V489" s="1" t="s">
        <v>83</v>
      </c>
      <c r="W489" s="23" t="b">
        <f>if(AND(H489=TRUE,N489=TRUE,P489=TRUE),TRUE,FALSE)</f>
        <v>0</v>
      </c>
      <c r="X489" s="23" t="str">
        <f>IFERROR(__xludf.DUMMYFUNCTION("if(COUNTA(FILTER(C:C, C:C = C489))=1,""no"",""yes"")"),"no")</f>
        <v>no</v>
      </c>
    </row>
    <row r="490">
      <c r="A490" s="1" t="s">
        <v>500</v>
      </c>
      <c r="B490" s="19">
        <v>6.0</v>
      </c>
      <c r="C490" s="19" t="s">
        <v>1240</v>
      </c>
      <c r="D490" s="58" t="str">
        <f t="shared" si="340"/>
        <v/>
      </c>
      <c r="E490" s="59">
        <f>Q490</f>
        <v>43719</v>
      </c>
      <c r="F490" s="60" t="str">
        <f>IFERROR(__xludf.DUMMYFUNCTION("iferror(ifna(IFNA(filter('2.1.clean'!E:E,'2.1.clean'!A:A=C490),filter('2.2.clean'!G:G,'2.2.clean'!D:D=C490)),filter('2.4.clean'!E:E,'2.4.clean'!A:A=C490)),)"),"")</f>
        <v/>
      </c>
      <c r="G490" s="59" t="str">
        <f>IFERROR(__xludf.DUMMYFUNCTION("iferror(filter('3.1.clean'!C:C,'3.1.clean'!A:A=C490),"""")"),"")</f>
        <v/>
      </c>
      <c r="H490" s="58"/>
      <c r="I490" s="58"/>
      <c r="J490" s="60"/>
      <c r="K490" s="58"/>
      <c r="L490" s="60"/>
      <c r="M490" s="59">
        <f>IFERROR(__xludf.DUMMYFUNCTION("iferror(filter('3.3.clean'!C:C,'3.3.clean'!A:A=C490),"""")"),43721.0)</f>
        <v>43721</v>
      </c>
      <c r="N490" s="60" t="b">
        <f t="shared" si="332"/>
        <v>1</v>
      </c>
      <c r="O490" s="59">
        <f>IFERROR(__xludf.DUMMYFUNCTION("iferror(filter('3.4.clean'!C:C,'3.4.clean'!A:A=C490),"""")"),43724.0)</f>
        <v>43724</v>
      </c>
      <c r="P490" s="60" t="b">
        <f t="shared" si="333"/>
        <v>1</v>
      </c>
      <c r="Q490" s="59">
        <f>IFERROR(__xludf.DUMMYFUNCTION("iferror(filter('3.5.clean'!C:C,'3.5.clean'!A:A=C490),"""")"),43719.0)</f>
        <v>43719</v>
      </c>
      <c r="R490" s="58" t="b">
        <f t="shared" si="341"/>
        <v>1</v>
      </c>
      <c r="S490" s="4">
        <f>IFERROR(__xludf.DUMMYFUNCTION("iferror(filter('3.5.clean'!H:H,'3.5.clean'!A:A=C490),"""")"),0.0)</f>
        <v>0</v>
      </c>
      <c r="U490" s="23"/>
      <c r="V490" s="1" t="s">
        <v>64</v>
      </c>
      <c r="W490" s="23" t="b">
        <f>if(AND(R490=TRUE,N490=TRUE,P490=TRUE),TRUE,FALSE)</f>
        <v>1</v>
      </c>
      <c r="X490" s="23" t="str">
        <f>IFERROR(__xludf.DUMMYFUNCTION("if(COUNTA(FILTER(C:C, C:C = C490))=1,""no"",""yes"")"),"no")</f>
        <v>no</v>
      </c>
    </row>
    <row r="491">
      <c r="A491" s="1" t="s">
        <v>500</v>
      </c>
      <c r="B491" s="19">
        <v>7.0</v>
      </c>
      <c r="C491" s="19" t="s">
        <v>1242</v>
      </c>
      <c r="D491" s="76" t="str">
        <f t="shared" si="340"/>
        <v/>
      </c>
      <c r="E491" s="77">
        <f>G491</f>
        <v>43719</v>
      </c>
      <c r="F491" s="78" t="str">
        <f>IFERROR(__xludf.DUMMYFUNCTION("iferror(ifna(IFNA(filter('2.1.clean'!E:E,'2.1.clean'!A:A=C491),filter('2.2.clean'!G:G,'2.2.clean'!D:D=C491)),filter('2.4.clean'!E:E,'2.4.clean'!A:A=C491)),)"),"")</f>
        <v/>
      </c>
      <c r="G491" s="77">
        <f>IFERROR(__xludf.DUMMYFUNCTION("iferror(filter('3.1.clean'!C:C,'3.1.clean'!A:A=C491),"""")"),43719.0)</f>
        <v>43719</v>
      </c>
      <c r="H491" s="76" t="b">
        <f t="shared" ref="H491:H497" si="342">if(G491="",FALSE,TRUE)</f>
        <v>1</v>
      </c>
      <c r="I491" s="76">
        <f>IFERROR(__xludf.DUMMYFUNCTION("iferror(filter('3.1.clean'!G:G,'3.1.clean'!A:A=C491),"""")"),0.0)</f>
        <v>0</v>
      </c>
      <c r="J491" s="78">
        <f>IFERROR(__xludf.DUMMYFUNCTION("iferror(filter('3.1.clean'!I:I,'3.1.clean'!A:A=C491),"""")"),0.0)</f>
        <v>0</v>
      </c>
      <c r="K491" s="77"/>
      <c r="L491" s="78"/>
      <c r="M491" s="77"/>
      <c r="N491" s="78"/>
      <c r="O491" s="77"/>
      <c r="P491" s="78"/>
      <c r="Q491" s="77"/>
      <c r="R491" s="76"/>
      <c r="S491" s="25"/>
      <c r="T491" s="1"/>
      <c r="V491" s="1" t="s">
        <v>83</v>
      </c>
      <c r="W491" s="1" t="b">
        <v>1</v>
      </c>
      <c r="X491" s="23" t="str">
        <f>IFERROR(__xludf.DUMMYFUNCTION("if(COUNTA(FILTER(C:C, C:C = C491))=1,""no"",""yes"")"),"no")</f>
        <v>no</v>
      </c>
    </row>
    <row r="492">
      <c r="A492" s="75" t="s">
        <v>506</v>
      </c>
      <c r="B492" s="2">
        <v>1.0</v>
      </c>
      <c r="C492" s="87" t="s">
        <v>638</v>
      </c>
      <c r="E492" s="24">
        <f>IFERROR(__xludf.DUMMYFUNCTION("ifna(IFNA(filter('2.1.clean'!C:C,'2.1.clean'!A:A=C492),filter('2.2.clean'!E:E,'2.2.clean'!D:D=C492)),filter('2.4.clean'!C:C,'2.4.clean'!A:A=C492))"),43720.0)</f>
        <v>43720</v>
      </c>
      <c r="F492" s="25">
        <f>IFERROR(__xludf.DUMMYFUNCTION("iferror(ifna(IFNA(filter('2.1.clean'!E:E,'2.1.clean'!A:A=C492),filter('2.2.clean'!G:G,'2.2.clean'!D:D=C492)),filter('2.4.clean'!E:E,'2.4.clean'!A:A=C492)),)"),2.2)</f>
        <v>2.2</v>
      </c>
      <c r="G492" s="24">
        <f>IFERROR(__xludf.DUMMYFUNCTION("iferror(filter('3.1.clean'!C:C,'3.1.clean'!A:A=C492),"""")"),43720.0)</f>
        <v>43720</v>
      </c>
      <c r="H492" s="23" t="b">
        <f t="shared" si="342"/>
        <v>1</v>
      </c>
      <c r="J492" s="25"/>
      <c r="K492" s="24">
        <f>IFERROR(__xludf.DUMMYFUNCTION("iferror(filter('3.2.clean'!C:C,'3.2.clean'!A:A=C492),"""")"),43720.0)</f>
        <v>43720</v>
      </c>
      <c r="L492" s="25" t="b">
        <f t="shared" ref="L492:L497" si="343">if(K492="",FALSE,TRUE)</f>
        <v>1</v>
      </c>
      <c r="M492" s="24">
        <f>IFERROR(__xludf.DUMMYFUNCTION("iferror(filter('3.3.clean'!C:C,'3.3.clean'!A:A=C492),"""")"),43721.0)</f>
        <v>43721</v>
      </c>
      <c r="N492" s="25" t="b">
        <f t="shared" ref="N492:N498" si="344">if(M492="",FALSE,TRUE)</f>
        <v>1</v>
      </c>
      <c r="O492" s="24">
        <f>IFERROR(__xludf.DUMMYFUNCTION("iferror(filter('3.4.clean'!C:C,'3.4.clean'!A:A=C492),"""")"),43724.0)</f>
        <v>43724</v>
      </c>
      <c r="P492" s="25" t="b">
        <f t="shared" ref="P492:P498" si="345">if(O492="",FALSE,TRUE)</f>
        <v>1</v>
      </c>
      <c r="Q492" s="1" t="s">
        <v>814</v>
      </c>
      <c r="R492" s="23" t="b">
        <f t="shared" ref="R492:R498" si="346">if(Q492="",FALSE,TRUE)</f>
        <v>1</v>
      </c>
      <c r="S492" s="25"/>
      <c r="U492" s="23"/>
      <c r="V492" s="1" t="s">
        <v>83</v>
      </c>
      <c r="W492" s="23" t="b">
        <f t="shared" ref="W492:W496" si="347">IF(and(H492=TRUE,L492=TRUE,N492=TRUE,P492=TRUE),TRUE,FALSE)</f>
        <v>1</v>
      </c>
      <c r="X492" s="23" t="str">
        <f>IFERROR(__xludf.DUMMYFUNCTION("if(COUNTA(FILTER(C:C, C:C = C492))=1,""no"",""yes"")"),"no")</f>
        <v>no</v>
      </c>
    </row>
    <row r="493">
      <c r="A493" s="75" t="s">
        <v>506</v>
      </c>
      <c r="B493" s="2">
        <v>2.0</v>
      </c>
      <c r="C493" s="87" t="s">
        <v>641</v>
      </c>
      <c r="E493" s="24">
        <f>IFERROR(__xludf.DUMMYFUNCTION("ifna(IFNA(filter('2.1.clean'!C:C,'2.1.clean'!A:A=C493),filter('2.2.clean'!E:E,'2.2.clean'!D:D=C493)),filter('2.4.clean'!C:C,'2.4.clean'!A:A=C493))"),43720.0)</f>
        <v>43720</v>
      </c>
      <c r="F493" s="25">
        <f>IFERROR(__xludf.DUMMYFUNCTION("iferror(ifna(IFNA(filter('2.1.clean'!E:E,'2.1.clean'!A:A=C493),filter('2.2.clean'!G:G,'2.2.clean'!D:D=C493)),filter('2.4.clean'!E:E,'2.4.clean'!A:A=C493)),)"),2.2)</f>
        <v>2.2</v>
      </c>
      <c r="G493" s="24">
        <f>IFERROR(__xludf.DUMMYFUNCTION("iferror(filter('3.1.clean'!C:C,'3.1.clean'!A:A=C493),"""")"),43720.0)</f>
        <v>43720</v>
      </c>
      <c r="H493" s="23" t="b">
        <f t="shared" si="342"/>
        <v>1</v>
      </c>
      <c r="J493" s="25"/>
      <c r="K493" s="24">
        <f>IFERROR(__xludf.DUMMYFUNCTION("iferror(filter('3.2.clean'!C:C,'3.2.clean'!A:A=C493),"""")"),43720.0)</f>
        <v>43720</v>
      </c>
      <c r="L493" s="25" t="b">
        <f t="shared" si="343"/>
        <v>1</v>
      </c>
      <c r="M493" s="24">
        <f>IFERROR(__xludf.DUMMYFUNCTION("iferror(filter('3.3.clean'!C:C,'3.3.clean'!A:A=C493),"""")"),43721.0)</f>
        <v>43721</v>
      </c>
      <c r="N493" s="25" t="b">
        <f t="shared" si="344"/>
        <v>1</v>
      </c>
      <c r="O493" s="24">
        <f>IFERROR(__xludf.DUMMYFUNCTION("iferror(filter('3.4.clean'!C:C,'3.4.clean'!A:A=C493),"""")"),43724.0)</f>
        <v>43724</v>
      </c>
      <c r="P493" s="25" t="b">
        <f t="shared" si="345"/>
        <v>1</v>
      </c>
      <c r="Q493" s="1" t="s">
        <v>814</v>
      </c>
      <c r="R493" s="23" t="b">
        <f t="shared" si="346"/>
        <v>1</v>
      </c>
      <c r="S493" s="25"/>
      <c r="U493" s="23"/>
      <c r="V493" s="1" t="s">
        <v>83</v>
      </c>
      <c r="W493" s="23" t="b">
        <f t="shared" si="347"/>
        <v>1</v>
      </c>
      <c r="X493" s="23" t="str">
        <f>IFERROR(__xludf.DUMMYFUNCTION("if(COUNTA(FILTER(C:C, C:C = C493))=1,""no"",""yes"")"),"no")</f>
        <v>no</v>
      </c>
    </row>
    <row r="494">
      <c r="A494" s="75" t="s">
        <v>506</v>
      </c>
      <c r="B494" s="2">
        <v>3.0</v>
      </c>
      <c r="C494" s="87" t="s">
        <v>644</v>
      </c>
      <c r="E494" s="24">
        <f>IFERROR(__xludf.DUMMYFUNCTION("ifna(IFNA(filter('2.1.clean'!C:C,'2.1.clean'!A:A=C494),filter('2.2.clean'!E:E,'2.2.clean'!D:D=C494)),filter('2.4.clean'!C:C,'2.4.clean'!A:A=C494))"),43720.0)</f>
        <v>43720</v>
      </c>
      <c r="F494" s="25">
        <f>IFERROR(__xludf.DUMMYFUNCTION("iferror(ifna(IFNA(filter('2.1.clean'!E:E,'2.1.clean'!A:A=C494),filter('2.2.clean'!G:G,'2.2.clean'!D:D=C494)),filter('2.4.clean'!E:E,'2.4.clean'!A:A=C494)),)"),2.2)</f>
        <v>2.2</v>
      </c>
      <c r="G494" s="24">
        <f>IFERROR(__xludf.DUMMYFUNCTION("iferror(filter('3.1.clean'!C:C,'3.1.clean'!A:A=C494),"""")"),43720.0)</f>
        <v>43720</v>
      </c>
      <c r="H494" s="23" t="b">
        <f t="shared" si="342"/>
        <v>1</v>
      </c>
      <c r="J494" s="25"/>
      <c r="K494" s="24">
        <f>IFERROR(__xludf.DUMMYFUNCTION("iferror(filter('3.2.clean'!C:C,'3.2.clean'!A:A=C494),"""")"),43720.0)</f>
        <v>43720</v>
      </c>
      <c r="L494" s="25" t="b">
        <f t="shared" si="343"/>
        <v>1</v>
      </c>
      <c r="M494" s="24">
        <f>IFERROR(__xludf.DUMMYFUNCTION("iferror(filter('3.3.clean'!C:C,'3.3.clean'!A:A=C494),"""")"),43721.0)</f>
        <v>43721</v>
      </c>
      <c r="N494" s="25" t="b">
        <f t="shared" si="344"/>
        <v>1</v>
      </c>
      <c r="O494" s="24">
        <f>IFERROR(__xludf.DUMMYFUNCTION("iferror(filter('3.4.clean'!C:C,'3.4.clean'!A:A=C494),"""")"),43724.0)</f>
        <v>43724</v>
      </c>
      <c r="P494" s="25" t="b">
        <f t="shared" si="345"/>
        <v>1</v>
      </c>
      <c r="Q494" s="1" t="s">
        <v>814</v>
      </c>
      <c r="R494" s="23" t="b">
        <f t="shared" si="346"/>
        <v>1</v>
      </c>
      <c r="S494" s="25"/>
      <c r="U494" s="23"/>
      <c r="V494" s="1" t="s">
        <v>83</v>
      </c>
      <c r="W494" s="23" t="b">
        <f t="shared" si="347"/>
        <v>1</v>
      </c>
      <c r="X494" s="23" t="str">
        <f>IFERROR(__xludf.DUMMYFUNCTION("if(COUNTA(FILTER(C:C, C:C = C494))=1,""no"",""yes"")"),"no")</f>
        <v>no</v>
      </c>
    </row>
    <row r="495">
      <c r="A495" s="75" t="s">
        <v>506</v>
      </c>
      <c r="B495" s="2">
        <v>4.0</v>
      </c>
      <c r="C495" s="87" t="s">
        <v>646</v>
      </c>
      <c r="E495" s="24">
        <f>IFERROR(__xludf.DUMMYFUNCTION("ifna(IFNA(filter('2.1.clean'!C:C,'2.1.clean'!A:A=C495),filter('2.2.clean'!E:E,'2.2.clean'!D:D=C495)),filter('2.4.clean'!C:C,'2.4.clean'!A:A=C495))"),43720.0)</f>
        <v>43720</v>
      </c>
      <c r="F495" s="25">
        <f>IFERROR(__xludf.DUMMYFUNCTION("iferror(ifna(IFNA(filter('2.1.clean'!E:E,'2.1.clean'!A:A=C495),filter('2.2.clean'!G:G,'2.2.clean'!D:D=C495)),filter('2.4.clean'!E:E,'2.4.clean'!A:A=C495)),)"),2.2)</f>
        <v>2.2</v>
      </c>
      <c r="G495" s="24">
        <f>IFERROR(__xludf.DUMMYFUNCTION("iferror(filter('3.1.clean'!C:C,'3.1.clean'!A:A=C495),"""")"),43720.0)</f>
        <v>43720</v>
      </c>
      <c r="H495" s="23" t="b">
        <f t="shared" si="342"/>
        <v>1</v>
      </c>
      <c r="J495" s="25"/>
      <c r="K495" s="24">
        <f>IFERROR(__xludf.DUMMYFUNCTION("iferror(filter('3.2.clean'!C:C,'3.2.clean'!A:A=C495),"""")"),43720.0)</f>
        <v>43720</v>
      </c>
      <c r="L495" s="25" t="b">
        <f t="shared" si="343"/>
        <v>1</v>
      </c>
      <c r="M495" s="24">
        <f>IFERROR(__xludf.DUMMYFUNCTION("iferror(filter('3.3.clean'!C:C,'3.3.clean'!A:A=C495),"""")"),43721.0)</f>
        <v>43721</v>
      </c>
      <c r="N495" s="25" t="b">
        <f t="shared" si="344"/>
        <v>1</v>
      </c>
      <c r="O495" s="24">
        <f>IFERROR(__xludf.DUMMYFUNCTION("iferror(filter('3.4.clean'!C:C,'3.4.clean'!A:A=C495),"""")"),43724.0)</f>
        <v>43724</v>
      </c>
      <c r="P495" s="25" t="b">
        <f t="shared" si="345"/>
        <v>1</v>
      </c>
      <c r="Q495" s="1" t="s">
        <v>814</v>
      </c>
      <c r="R495" s="23" t="b">
        <f t="shared" si="346"/>
        <v>1</v>
      </c>
      <c r="S495" s="25"/>
      <c r="U495" s="23"/>
      <c r="V495" s="1" t="s">
        <v>83</v>
      </c>
      <c r="W495" s="23" t="b">
        <f t="shared" si="347"/>
        <v>1</v>
      </c>
      <c r="X495" s="23" t="str">
        <f>IFERROR(__xludf.DUMMYFUNCTION("if(COUNTA(FILTER(C:C, C:C = C495))=1,""no"",""yes"")"),"no")</f>
        <v>no</v>
      </c>
    </row>
    <row r="496">
      <c r="A496" s="75" t="s">
        <v>506</v>
      </c>
      <c r="B496" s="2">
        <v>5.0</v>
      </c>
      <c r="C496" s="87" t="s">
        <v>649</v>
      </c>
      <c r="E496" s="24">
        <f>IFERROR(__xludf.DUMMYFUNCTION("ifna(IFNA(filter('2.1.clean'!C:C,'2.1.clean'!A:A=C496),filter('2.2.clean'!E:E,'2.2.clean'!D:D=C496)),filter('2.4.clean'!C:C,'2.4.clean'!A:A=C496))"),43720.0)</f>
        <v>43720</v>
      </c>
      <c r="F496" s="25">
        <f>IFERROR(__xludf.DUMMYFUNCTION("iferror(ifna(IFNA(filter('2.1.clean'!E:E,'2.1.clean'!A:A=C496),filter('2.2.clean'!G:G,'2.2.clean'!D:D=C496)),filter('2.4.clean'!E:E,'2.4.clean'!A:A=C496)),)"),2.2)</f>
        <v>2.2</v>
      </c>
      <c r="G496" s="24">
        <f>IFERROR(__xludf.DUMMYFUNCTION("iferror(filter('3.1.clean'!C:C,'3.1.clean'!A:A=C496),"""")"),43720.0)</f>
        <v>43720</v>
      </c>
      <c r="H496" s="23" t="b">
        <f t="shared" si="342"/>
        <v>1</v>
      </c>
      <c r="J496" s="25"/>
      <c r="K496" s="24">
        <f>IFERROR(__xludf.DUMMYFUNCTION("iferror(filter('3.2.clean'!C:C,'3.2.clean'!A:A=C496),"""")"),43720.0)</f>
        <v>43720</v>
      </c>
      <c r="L496" s="25" t="b">
        <f t="shared" si="343"/>
        <v>1</v>
      </c>
      <c r="M496" s="24">
        <f>IFERROR(__xludf.DUMMYFUNCTION("iferror(filter('3.3.clean'!C:C,'3.3.clean'!A:A=C496),"""")"),43721.0)</f>
        <v>43721</v>
      </c>
      <c r="N496" s="25" t="b">
        <f t="shared" si="344"/>
        <v>1</v>
      </c>
      <c r="O496" s="24">
        <f>IFERROR(__xludf.DUMMYFUNCTION("iferror(filter('3.4.clean'!C:C,'3.4.clean'!A:A=C496),"""")"),43724.0)</f>
        <v>43724</v>
      </c>
      <c r="P496" s="25" t="b">
        <f t="shared" si="345"/>
        <v>1</v>
      </c>
      <c r="Q496" s="1" t="s">
        <v>814</v>
      </c>
      <c r="R496" s="23" t="b">
        <f t="shared" si="346"/>
        <v>1</v>
      </c>
      <c r="S496" s="25"/>
      <c r="U496" s="23"/>
      <c r="V496" s="1" t="s">
        <v>83</v>
      </c>
      <c r="W496" s="23" t="b">
        <f t="shared" si="347"/>
        <v>1</v>
      </c>
      <c r="X496" s="23" t="str">
        <f>IFERROR(__xludf.DUMMYFUNCTION("if(COUNTA(FILTER(C:C, C:C = C496))=1,""no"",""yes"")"),"no")</f>
        <v>no</v>
      </c>
    </row>
    <row r="497">
      <c r="A497" s="75" t="s">
        <v>506</v>
      </c>
      <c r="B497" s="19">
        <v>6.0</v>
      </c>
      <c r="C497" s="19" t="s">
        <v>1246</v>
      </c>
      <c r="D497" s="58" t="str">
        <f t="shared" ref="D497:D499" si="348">if(or(I497=1,J497=1,S497=1),"pos","")</f>
        <v>pos</v>
      </c>
      <c r="E497" s="59">
        <f>IFERROR(__xludf.DUMMYFUNCTION("ifna(IFNA(filter('2.1.clean'!C:C,'2.1.clean'!A:A=C497),filter('2.2.clean'!E:E,'2.2.clean'!D:D=C497)),filter('2.4.clean'!C:C,'2.4.clean'!A:A=C497))"),43720.0)</f>
        <v>43720</v>
      </c>
      <c r="F497" s="60">
        <f>IFERROR(__xludf.DUMMYFUNCTION("iferror(ifna(IFNA(filter('2.1.clean'!E:E,'2.1.clean'!A:A=C497),filter('2.2.clean'!G:G,'2.2.clean'!D:D=C497)),filter('2.4.clean'!E:E,'2.4.clean'!A:A=C497)),)"),2.1)</f>
        <v>2.1</v>
      </c>
      <c r="G497" s="59">
        <f>IFERROR(__xludf.DUMMYFUNCTION("iferror(filter('3.1.clean'!C:C,'3.1.clean'!A:A=C497),"""")"),43720.0)</f>
        <v>43720</v>
      </c>
      <c r="H497" s="58" t="b">
        <f t="shared" si="342"/>
        <v>1</v>
      </c>
      <c r="I497" s="58">
        <f>IFERROR(__xludf.DUMMYFUNCTION("iferror(filter('3.1.clean'!G:G,'3.1.clean'!A:A=C497),"""")"),1.0)</f>
        <v>1</v>
      </c>
      <c r="J497" s="60">
        <f>IFERROR(__xludf.DUMMYFUNCTION("iferror(filter('3.1.clean'!I:I,'3.1.clean'!A:A=C497),"""")"),0.0)</f>
        <v>0</v>
      </c>
      <c r="K497" s="58" t="str">
        <f>IFERROR(__xludf.DUMMYFUNCTION("iferror(filter('3.2.clean'!C:C,'3.2.clean'!A:A=C497),"""")"),"")</f>
        <v/>
      </c>
      <c r="L497" s="60" t="b">
        <f t="shared" si="343"/>
        <v>0</v>
      </c>
      <c r="M497" s="59">
        <f>IFERROR(__xludf.DUMMYFUNCTION("iferror(filter('3.3.clean'!C:C,'3.3.clean'!A:A=C497),"""")"),43721.0)</f>
        <v>43721</v>
      </c>
      <c r="N497" s="60" t="b">
        <f t="shared" si="344"/>
        <v>1</v>
      </c>
      <c r="O497" s="59" t="str">
        <f>IFERROR(__xludf.DUMMYFUNCTION("iferror(filter('3.4.clean'!C:C,'3.4.clean'!A:A=C497),"""")"),"")</f>
        <v/>
      </c>
      <c r="P497" s="60" t="b">
        <f t="shared" si="345"/>
        <v>0</v>
      </c>
      <c r="Q497" s="59" t="str">
        <f>IFERROR(__xludf.DUMMYFUNCTION("iferror(filter('3.5.clean'!C:C,'3.5.clean'!A:A=C497),"""")"),"")</f>
        <v/>
      </c>
      <c r="R497" s="58" t="b">
        <f t="shared" si="346"/>
        <v>0</v>
      </c>
      <c r="S497" s="4" t="str">
        <f>IFERROR(__xludf.DUMMYFUNCTION("iferror(filter('3.5.clean'!H:H,'3.5.clean'!A:A=C497),"""")"),"")</f>
        <v/>
      </c>
      <c r="U497" s="23"/>
      <c r="V497" s="1" t="s">
        <v>83</v>
      </c>
      <c r="W497" s="23" t="b">
        <f>if(AND(H497=TRUE,N497=TRUE,P497=TRUE),TRUE,FALSE)</f>
        <v>0</v>
      </c>
      <c r="X497" s="23" t="str">
        <f>IFERROR(__xludf.DUMMYFUNCTION("if(COUNTA(FILTER(C:C, C:C = C497))=1,""no"",""yes"")"),"no")</f>
        <v>no</v>
      </c>
    </row>
    <row r="498">
      <c r="A498" s="75" t="s">
        <v>506</v>
      </c>
      <c r="B498" s="19">
        <v>7.0</v>
      </c>
      <c r="C498" s="19" t="s">
        <v>1248</v>
      </c>
      <c r="D498" s="58" t="str">
        <f t="shared" si="348"/>
        <v/>
      </c>
      <c r="E498" s="59">
        <f>Q498</f>
        <v>43720</v>
      </c>
      <c r="F498" s="60" t="str">
        <f>IFERROR(__xludf.DUMMYFUNCTION("iferror(ifna(IFNA(filter('2.1.clean'!E:E,'2.1.clean'!A:A=C498),filter('2.2.clean'!G:G,'2.2.clean'!D:D=C498)),filter('2.4.clean'!E:E,'2.4.clean'!A:A=C498)),)"),"")</f>
        <v/>
      </c>
      <c r="G498" s="59" t="str">
        <f>IFERROR(__xludf.DUMMYFUNCTION("iferror(filter('3.1.clean'!C:C,'3.1.clean'!A:A=C498),"""")"),"")</f>
        <v/>
      </c>
      <c r="H498" s="58"/>
      <c r="I498" s="58"/>
      <c r="J498" s="60"/>
      <c r="K498" s="58"/>
      <c r="L498" s="60"/>
      <c r="M498" s="59">
        <f>IFERROR(__xludf.DUMMYFUNCTION("iferror(filter('3.3.clean'!C:C,'3.3.clean'!A:A=C498),"""")"),43721.0)</f>
        <v>43721</v>
      </c>
      <c r="N498" s="60" t="b">
        <f t="shared" si="344"/>
        <v>1</v>
      </c>
      <c r="O498" s="59">
        <f>IFERROR(__xludf.DUMMYFUNCTION("iferror(filter('3.4.clean'!C:C,'3.4.clean'!A:A=C498),"""")"),43724.0)</f>
        <v>43724</v>
      </c>
      <c r="P498" s="60" t="b">
        <f t="shared" si="345"/>
        <v>1</v>
      </c>
      <c r="Q498" s="59">
        <f>IFERROR(__xludf.DUMMYFUNCTION("iferror(filter('3.5.clean'!C:C,'3.5.clean'!A:A=C498),"""")"),43720.0)</f>
        <v>43720</v>
      </c>
      <c r="R498" s="58" t="b">
        <f t="shared" si="346"/>
        <v>1</v>
      </c>
      <c r="S498" s="4">
        <f>IFERROR(__xludf.DUMMYFUNCTION("iferror(filter('3.5.clean'!H:H,'3.5.clean'!A:A=C498),"""")"),0.0)</f>
        <v>0</v>
      </c>
      <c r="U498" s="23"/>
      <c r="V498" s="1" t="s">
        <v>64</v>
      </c>
      <c r="W498" s="23" t="b">
        <f>if(AND(R498=TRUE,N498=TRUE,P498=TRUE),TRUE,FALSE)</f>
        <v>1</v>
      </c>
      <c r="X498" s="23" t="str">
        <f>IFERROR(__xludf.DUMMYFUNCTION("if(COUNTA(FILTER(C:C, C:C = C498))=1,""no"",""yes"")"),"no")</f>
        <v>no</v>
      </c>
    </row>
    <row r="499">
      <c r="A499" s="75" t="s">
        <v>506</v>
      </c>
      <c r="B499" s="19">
        <v>8.0</v>
      </c>
      <c r="C499" s="19" t="s">
        <v>1249</v>
      </c>
      <c r="D499" s="76" t="str">
        <f t="shared" si="348"/>
        <v/>
      </c>
      <c r="E499" s="77">
        <f>G499</f>
        <v>43720</v>
      </c>
      <c r="F499" s="78" t="str">
        <f>IFERROR(__xludf.DUMMYFUNCTION("iferror(ifna(IFNA(filter('2.1.clean'!E:E,'2.1.clean'!A:A=C499),filter('2.2.clean'!G:G,'2.2.clean'!D:D=C499)),filter('2.4.clean'!E:E,'2.4.clean'!A:A=C499)),)"),"")</f>
        <v/>
      </c>
      <c r="G499" s="77">
        <f>IFERROR(__xludf.DUMMYFUNCTION("iferror(filter('3.1.clean'!C:C,'3.1.clean'!A:A=C499),"""")"),43720.0)</f>
        <v>43720</v>
      </c>
      <c r="H499" s="76" t="b">
        <f t="shared" ref="H499:H500" si="349">if(G499="",FALSE,TRUE)</f>
        <v>1</v>
      </c>
      <c r="I499" s="76">
        <f>IFERROR(__xludf.DUMMYFUNCTION("iferror(filter('3.1.clean'!G:G,'3.1.clean'!A:A=C499),"""")"),0.0)</f>
        <v>0</v>
      </c>
      <c r="J499" s="78">
        <f>IFERROR(__xludf.DUMMYFUNCTION("iferror(filter('3.1.clean'!I:I,'3.1.clean'!A:A=C499),"""")"),0.0)</f>
        <v>0</v>
      </c>
      <c r="K499" s="77"/>
      <c r="L499" s="78"/>
      <c r="M499" s="77"/>
      <c r="N499" s="78"/>
      <c r="O499" s="77"/>
      <c r="P499" s="78"/>
      <c r="Q499" s="77"/>
      <c r="R499" s="76"/>
      <c r="S499" s="25"/>
      <c r="T499" s="1"/>
      <c r="V499" s="1" t="s">
        <v>83</v>
      </c>
      <c r="W499" s="1" t="b">
        <v>1</v>
      </c>
      <c r="X499" s="23" t="str">
        <f>IFERROR(__xludf.DUMMYFUNCTION("if(COUNTA(FILTER(C:C, C:C = C499))=1,""no"",""yes"")"),"no")</f>
        <v>no</v>
      </c>
    </row>
    <row r="500">
      <c r="A500" s="1" t="s">
        <v>513</v>
      </c>
      <c r="B500" s="82">
        <v>1.0</v>
      </c>
      <c r="C500" s="85" t="s">
        <v>1250</v>
      </c>
      <c r="E500" s="24">
        <f>IFERROR(__xludf.DUMMYFUNCTION("ifna(IFNA(filter('2.1.clean'!C:C,'2.1.clean'!A:A=C500),filter('2.2.clean'!E:E,'2.2.clean'!D:D=C500)),filter('2.4.clean'!C:C,'2.4.clean'!A:A=C500))"),43724.0)</f>
        <v>43724</v>
      </c>
      <c r="F500" s="25">
        <f>IFERROR(__xludf.DUMMYFUNCTION("iferror(ifna(IFNA(filter('2.1.clean'!E:E,'2.1.clean'!A:A=C500),filter('2.2.clean'!G:G,'2.2.clean'!D:D=C500)),filter('2.4.clean'!E:E,'2.4.clean'!A:A=C500)),)"),2.4)</f>
        <v>2.4</v>
      </c>
      <c r="G500" s="24">
        <f>IFERROR(__xludf.DUMMYFUNCTION("iferror(filter('3.1.clean'!C:C,'3.1.clean'!A:A=C500),"""")"),43724.0)</f>
        <v>43724</v>
      </c>
      <c r="H500" s="23" t="b">
        <f t="shared" si="349"/>
        <v>1</v>
      </c>
      <c r="J500" s="25"/>
      <c r="K500" s="24" t="str">
        <f>IFERROR(__xludf.DUMMYFUNCTION("iferror(filter('3.2.clean'!C:C,'3.2.clean'!A:A=C500),"""")"),"")</f>
        <v/>
      </c>
      <c r="L500" s="25" t="b">
        <f>if(K500="",FALSE,TRUE)</f>
        <v>0</v>
      </c>
      <c r="M500" s="24">
        <f>IFERROR(__xludf.DUMMYFUNCTION("iferror(filter('3.3.clean'!C:C,'3.3.clean'!A:A=C500),"""")"),43726.0)</f>
        <v>43726</v>
      </c>
      <c r="N500" s="25" t="b">
        <f t="shared" ref="N500:N503" si="350">if(M500="",FALSE,TRUE)</f>
        <v>1</v>
      </c>
      <c r="O500" s="24">
        <f>IFERROR(__xludf.DUMMYFUNCTION("iferror(filter('3.4.clean'!C:C,'3.4.clean'!A:A=C500),"""")"),43735.0)</f>
        <v>43735</v>
      </c>
      <c r="P500" s="25" t="b">
        <f t="shared" ref="P500:P503" si="351">if(O500="",FALSE,TRUE)</f>
        <v>1</v>
      </c>
      <c r="Q500" s="24">
        <f>IFERROR(__xludf.DUMMYFUNCTION("iferror(filter('3.5.clean'!C:C,'3.5.clean'!A:A=C500),"""")"),43724.0)</f>
        <v>43724</v>
      </c>
      <c r="R500" s="23" t="b">
        <f t="shared" ref="R500:R501" si="352">if(Q500="",FALSE,TRUE)</f>
        <v>1</v>
      </c>
      <c r="S500" s="25"/>
      <c r="V500" s="1" t="s">
        <v>64</v>
      </c>
      <c r="X500" s="23" t="str">
        <f>IFERROR(__xludf.DUMMYFUNCTION("if(COUNTA(FILTER(C:C, C:C = C500))=1,""no"",""yes"")"),"no")</f>
        <v>no</v>
      </c>
    </row>
    <row r="501">
      <c r="A501" s="1" t="s">
        <v>513</v>
      </c>
      <c r="B501" s="2">
        <v>2.0</v>
      </c>
      <c r="C501" s="19" t="s">
        <v>1252</v>
      </c>
      <c r="E501" s="24">
        <v>43724.0</v>
      </c>
      <c r="F501" s="25" t="str">
        <f>IFERROR(__xludf.DUMMYFUNCTION("iferror(ifna(IFNA(filter('2.1.clean'!E:E,'2.1.clean'!A:A=C501),filter('2.2.clean'!G:G,'2.2.clean'!D:D=C501)),filter('2.4.clean'!E:E,'2.4.clean'!A:A=C501)),)"),"")</f>
        <v/>
      </c>
      <c r="G501" s="24"/>
      <c r="J501" s="25"/>
      <c r="K501" s="24"/>
      <c r="L501" s="25"/>
      <c r="M501" s="24" t="str">
        <f>IFERROR(__xludf.DUMMYFUNCTION("iferror(filter('3.3.clean'!C:C,'3.3.clean'!A:A=C501),"""")"),"")</f>
        <v/>
      </c>
      <c r="N501" s="25" t="b">
        <f t="shared" si="350"/>
        <v>0</v>
      </c>
      <c r="O501" s="24" t="str">
        <f>IFERROR(__xludf.DUMMYFUNCTION("iferror(filter('3.4.clean'!C:C,'3.4.clean'!A:A=C501),"""")"),"")</f>
        <v/>
      </c>
      <c r="P501" s="25" t="b">
        <f t="shared" si="351"/>
        <v>0</v>
      </c>
      <c r="Q501" s="24">
        <f>IFERROR(__xludf.DUMMYFUNCTION("iferror(filter('3.5.clean'!C:C,'3.5.clean'!A:A=C501),"""")"),43724.0)</f>
        <v>43724</v>
      </c>
      <c r="R501" s="23" t="b">
        <f t="shared" si="352"/>
        <v>1</v>
      </c>
      <c r="S501" s="25"/>
      <c r="U501" s="1" t="s">
        <v>503</v>
      </c>
      <c r="V501" s="1" t="s">
        <v>64</v>
      </c>
      <c r="X501" s="23" t="str">
        <f>IFERROR(__xludf.DUMMYFUNCTION("if(COUNTA(FILTER(C:C, C:C = C501))=1,""no"",""yes"")"),"no")</f>
        <v>no</v>
      </c>
    </row>
    <row r="502">
      <c r="A502" s="1" t="s">
        <v>513</v>
      </c>
      <c r="B502" s="19">
        <v>3.0</v>
      </c>
      <c r="C502" s="19" t="s">
        <v>1253</v>
      </c>
      <c r="D502" s="58" t="str">
        <f t="shared" ref="D502:D504" si="353">if(or(I502=1,J502=1,S502=1),"pos","")</f>
        <v>pos</v>
      </c>
      <c r="E502" s="59">
        <f>IFERROR(__xludf.DUMMYFUNCTION("ifna(IFNA(filter('2.1.clean'!C:C,'2.1.clean'!A:A=C502),filter('2.2.clean'!E:E,'2.2.clean'!D:D=C502)),filter('2.4.clean'!C:C,'2.4.clean'!A:A=C502))"),43724.0)</f>
        <v>43724</v>
      </c>
      <c r="F502" s="60">
        <f>IFERROR(__xludf.DUMMYFUNCTION("iferror(ifna(IFNA(filter('2.1.clean'!E:E,'2.1.clean'!A:A=C502),filter('2.2.clean'!G:G,'2.2.clean'!D:D=C502)),filter('2.4.clean'!E:E,'2.4.clean'!A:A=C502)),)"),2.4)</f>
        <v>2.4</v>
      </c>
      <c r="G502" s="59">
        <f>IFERROR(__xludf.DUMMYFUNCTION("iferror(filter('3.1.clean'!C:C,'3.1.clean'!A:A=C502),"""")"),43724.0)</f>
        <v>43724</v>
      </c>
      <c r="H502" s="58" t="b">
        <f>if(G502="",FALSE,TRUE)</f>
        <v>1</v>
      </c>
      <c r="I502" s="58">
        <f>IFERROR(__xludf.DUMMYFUNCTION("iferror(filter('3.1.clean'!G:G,'3.1.clean'!A:A=C502),"""")"),0.0)</f>
        <v>0</v>
      </c>
      <c r="J502" s="60">
        <f>IFERROR(__xludf.DUMMYFUNCTION("iferror(filter('3.1.clean'!I:I,'3.1.clean'!A:A=C502),"""")"),1.0)</f>
        <v>1</v>
      </c>
      <c r="K502" s="58"/>
      <c r="L502" s="60"/>
      <c r="M502" s="59">
        <f>IFERROR(__xludf.DUMMYFUNCTION("iferror(filter('3.3.clean'!C:C,'3.3.clean'!A:A=C502),"""")"),43726.0)</f>
        <v>43726</v>
      </c>
      <c r="N502" s="60" t="b">
        <f t="shared" si="350"/>
        <v>1</v>
      </c>
      <c r="O502" s="59" t="str">
        <f>IFERROR(__xludf.DUMMYFUNCTION("iferror(filter('3.4.clean'!C:C,'3.4.clean'!A:A=C502),"""")"),"")</f>
        <v/>
      </c>
      <c r="P502" s="60" t="b">
        <f t="shared" si="351"/>
        <v>0</v>
      </c>
      <c r="Q502" s="59" t="str">
        <f>IFERROR(__xludf.DUMMYFUNCTION("iferror(filter('3.5.clean'!C:C,'3.5.clean'!A:A=C502),"""")"),"")</f>
        <v/>
      </c>
      <c r="R502" s="58"/>
      <c r="S502" s="4" t="str">
        <f>IFERROR(__xludf.DUMMYFUNCTION("iferror(filter('3.5.clean'!H:H,'3.5.clean'!A:A=C502),"""")"),"")</f>
        <v/>
      </c>
      <c r="U502" s="23"/>
      <c r="V502" s="1" t="s">
        <v>64</v>
      </c>
      <c r="W502" s="23" t="b">
        <f>if(AND(H502=TRUE,N502=TRUE,P502=TRUE),TRUE,FALSE)</f>
        <v>0</v>
      </c>
      <c r="X502" s="23" t="str">
        <f>IFERROR(__xludf.DUMMYFUNCTION("if(COUNTA(FILTER(C:C, C:C = C502))=1,""no"",""yes"")"),"no")</f>
        <v>no</v>
      </c>
    </row>
    <row r="503">
      <c r="A503" s="1" t="s">
        <v>513</v>
      </c>
      <c r="B503" s="19">
        <v>4.0</v>
      </c>
      <c r="C503" s="19" t="s">
        <v>1255</v>
      </c>
      <c r="D503" s="58" t="str">
        <f t="shared" si="353"/>
        <v>pos</v>
      </c>
      <c r="E503" s="59">
        <f>Q503</f>
        <v>43724</v>
      </c>
      <c r="F503" s="60" t="str">
        <f>IFERROR(__xludf.DUMMYFUNCTION("iferror(ifna(IFNA(filter('2.1.clean'!E:E,'2.1.clean'!A:A=C503),filter('2.2.clean'!G:G,'2.2.clean'!D:D=C503)),filter('2.4.clean'!E:E,'2.4.clean'!A:A=C503)),)"),"")</f>
        <v/>
      </c>
      <c r="G503" s="59" t="str">
        <f>IFERROR(__xludf.DUMMYFUNCTION("iferror(filter('3.1.clean'!C:C,'3.1.clean'!A:A=C503),"""")"),"")</f>
        <v/>
      </c>
      <c r="H503" s="58"/>
      <c r="I503" s="58"/>
      <c r="J503" s="60"/>
      <c r="K503" s="58"/>
      <c r="L503" s="60"/>
      <c r="M503" s="81" t="s">
        <v>814</v>
      </c>
      <c r="N503" s="60" t="b">
        <f t="shared" si="350"/>
        <v>1</v>
      </c>
      <c r="O503" s="59">
        <f>IFERROR(__xludf.DUMMYFUNCTION("iferror(filter('3.4.clean'!C:C,'3.4.clean'!A:A=C503),"""")"),43735.0)</f>
        <v>43735</v>
      </c>
      <c r="P503" s="60" t="b">
        <f t="shared" si="351"/>
        <v>1</v>
      </c>
      <c r="Q503" s="59">
        <f>IFERROR(__xludf.DUMMYFUNCTION("iferror(filter('3.5.clean'!C:C,'3.5.clean'!A:A=C503),"""")"),43724.0)</f>
        <v>43724</v>
      </c>
      <c r="R503" s="58" t="b">
        <f>if(Q503="",FALSE,TRUE)</f>
        <v>1</v>
      </c>
      <c r="S503" s="4">
        <f>IFERROR(__xludf.DUMMYFUNCTION("iferror(filter('3.5.clean'!H:H,'3.5.clean'!A:A=C503),"""")"),1.0)</f>
        <v>1</v>
      </c>
      <c r="U503" s="23"/>
      <c r="V503" s="1" t="s">
        <v>64</v>
      </c>
      <c r="W503" s="23" t="b">
        <f>if(AND(R503=TRUE,N503=TRUE,P503=TRUE),TRUE,FALSE)</f>
        <v>1</v>
      </c>
      <c r="X503" s="23" t="str">
        <f>IFERROR(__xludf.DUMMYFUNCTION("if(COUNTA(FILTER(C:C, C:C = C503))=1,""no"",""yes"")"),"no")</f>
        <v>no</v>
      </c>
    </row>
    <row r="504">
      <c r="A504" s="1" t="s">
        <v>513</v>
      </c>
      <c r="B504" s="19">
        <v>5.0</v>
      </c>
      <c r="C504" s="19" t="s">
        <v>1256</v>
      </c>
      <c r="D504" s="76" t="str">
        <f t="shared" si="353"/>
        <v/>
      </c>
      <c r="E504" s="77">
        <f>G504</f>
        <v>43724</v>
      </c>
      <c r="F504" s="78" t="str">
        <f>IFERROR(__xludf.DUMMYFUNCTION("iferror(ifna(IFNA(filter('2.1.clean'!E:E,'2.1.clean'!A:A=C504),filter('2.2.clean'!G:G,'2.2.clean'!D:D=C504)),filter('2.4.clean'!E:E,'2.4.clean'!A:A=C504)),)"),"")</f>
        <v/>
      </c>
      <c r="G504" s="77">
        <f>IFERROR(__xludf.DUMMYFUNCTION("iferror(filter('3.1.clean'!C:C,'3.1.clean'!A:A=C504),"""")"),43724.0)</f>
        <v>43724</v>
      </c>
      <c r="H504" s="76" t="b">
        <f>if(G504="",FALSE,TRUE)</f>
        <v>1</v>
      </c>
      <c r="I504" s="76">
        <f>IFERROR(__xludf.DUMMYFUNCTION("iferror(filter('3.1.clean'!G:G,'3.1.clean'!A:A=C504),"""")"),0.0)</f>
        <v>0</v>
      </c>
      <c r="J504" s="78">
        <f>IFERROR(__xludf.DUMMYFUNCTION("iferror(filter('3.1.clean'!I:I,'3.1.clean'!A:A=C504),"""")"),0.0)</f>
        <v>0</v>
      </c>
      <c r="K504" s="77"/>
      <c r="L504" s="78"/>
      <c r="M504" s="77"/>
      <c r="N504" s="78"/>
      <c r="O504" s="77"/>
      <c r="P504" s="78"/>
      <c r="Q504" s="77"/>
      <c r="R504" s="76"/>
      <c r="S504" s="25"/>
      <c r="T504" s="1"/>
      <c r="V504" s="1" t="s">
        <v>64</v>
      </c>
      <c r="W504" s="1" t="b">
        <v>1</v>
      </c>
      <c r="X504" s="23" t="str">
        <f>IFERROR(__xludf.DUMMYFUNCTION("if(COUNTA(FILTER(C:C, C:C = C504))=1,""no"",""yes"")"),"no")</f>
        <v>no</v>
      </c>
    </row>
    <row r="505">
      <c r="A505" s="1" t="s">
        <v>513</v>
      </c>
      <c r="B505" s="2">
        <v>6.0</v>
      </c>
      <c r="C505" s="69" t="s">
        <v>31</v>
      </c>
      <c r="E505" s="24">
        <v>43724.0</v>
      </c>
      <c r="F505" s="25" t="str">
        <f>IFERROR(__xludf.DUMMYFUNCTION("iferror(ifna(IFNA(filter('2.1.clean'!E:E,'2.1.clean'!A:A=C505),filter('2.2.clean'!G:G,'2.2.clean'!D:D=C505)),filter('2.4.clean'!E:E,'2.4.clean'!A:A=C505)),)"),"")</f>
        <v/>
      </c>
      <c r="G505" s="24" t="str">
        <f>IFERROR(__xludf.DUMMYFUNCTION("iferror(filter('3.1.clean'!C:C,'3.1.clean'!B:B=C505),"""")"),"")</f>
        <v/>
      </c>
      <c r="J505" s="25"/>
      <c r="K505" s="24" t="str">
        <f>IFERROR(__xludf.DUMMYFUNCTION("iferror(filter('3.2.clean'!C:C,'3.2.clean'!A:A=C505),"""")"),"")</f>
        <v/>
      </c>
      <c r="L505" s="25"/>
      <c r="M505" s="24" t="str">
        <f>IFERROR(__xludf.DUMMYFUNCTION("iferror(filter('3.3.clean'!C:C,'3.3.clean'!A:A=C505),"""")"),"")</f>
        <v/>
      </c>
      <c r="N505" s="25" t="b">
        <f t="shared" ref="N505:N522" si="354">if(M505="",FALSE,TRUE)</f>
        <v>0</v>
      </c>
      <c r="O505" s="26">
        <v>76596.0</v>
      </c>
      <c r="P505" s="25" t="b">
        <f t="shared" ref="P505:P522" si="355">if(O505="",FALSE,TRUE)</f>
        <v>1</v>
      </c>
      <c r="Q505" s="24" t="str">
        <f>IFERROR(__xludf.DUMMYFUNCTION("iferror(filter('3.5.clean'!C:C,'3.5.clean'!A:A=C505),"""")"),"")</f>
        <v/>
      </c>
      <c r="S505" s="25"/>
      <c r="T505" s="1" t="s">
        <v>422</v>
      </c>
      <c r="V505" s="1" t="s">
        <v>83</v>
      </c>
      <c r="X505" s="23" t="str">
        <f>IFERROR(__xludf.DUMMYFUNCTION("if(COUNTA(FILTER(C:C, C:C = C505))=1,""no"",""yes"")"),"yes")</f>
        <v>yes</v>
      </c>
    </row>
    <row r="506">
      <c r="A506" s="75" t="s">
        <v>519</v>
      </c>
      <c r="B506" s="82">
        <v>1.0</v>
      </c>
      <c r="C506" s="85" t="s">
        <v>1258</v>
      </c>
      <c r="E506" s="24">
        <f>IFERROR(__xludf.DUMMYFUNCTION("ifna(IFNA(filter('2.1.clean'!C:C,'2.1.clean'!A:A=C506),filter('2.2.clean'!E:E,'2.2.clean'!D:D=C506)),filter('2.4.clean'!C:C,'2.4.clean'!A:A=C506))"),43725.0)</f>
        <v>43725</v>
      </c>
      <c r="F506" s="25">
        <f>IFERROR(__xludf.DUMMYFUNCTION("iferror(ifna(IFNA(filter('2.1.clean'!E:E,'2.1.clean'!A:A=C506),filter('2.2.clean'!G:G,'2.2.clean'!D:D=C506)),filter('2.4.clean'!E:E,'2.4.clean'!A:A=C506)),)"),2.4)</f>
        <v>2.4</v>
      </c>
      <c r="G506" s="24"/>
      <c r="J506" s="25"/>
      <c r="K506" s="24"/>
      <c r="L506" s="25"/>
      <c r="M506" s="24">
        <f>IFERROR(__xludf.DUMMYFUNCTION("iferror(filter('3.3.clean'!C:C,'3.3.clean'!A:A=C506),"""")"),43727.0)</f>
        <v>43727</v>
      </c>
      <c r="N506" s="25" t="b">
        <f t="shared" si="354"/>
        <v>1</v>
      </c>
      <c r="O506" s="24">
        <f>IFERROR(__xludf.DUMMYFUNCTION("iferror(filter('3.4.clean'!C:C,'3.4.clean'!A:A=C506),"""")"),43735.0)</f>
        <v>43735</v>
      </c>
      <c r="P506" s="25" t="b">
        <f t="shared" si="355"/>
        <v>1</v>
      </c>
      <c r="Q506" s="24">
        <f>IFERROR(__xludf.DUMMYFUNCTION("iferror(filter('3.5.clean'!C:C,'3.5.clean'!A:A=C506),"""")"),43725.0)</f>
        <v>43725</v>
      </c>
      <c r="R506" s="23" t="b">
        <f>if(Q506="",FALSE,TRUE)</f>
        <v>1</v>
      </c>
      <c r="S506" s="25"/>
      <c r="V506" s="1" t="s">
        <v>64</v>
      </c>
      <c r="W506" s="23" t="b">
        <f>IF(and(R506=TRUE,N506=TRUE,P506=TRUE),TRUE,FALSE)</f>
        <v>1</v>
      </c>
      <c r="X506" s="23" t="str">
        <f>IFERROR(__xludf.DUMMYFUNCTION("if(COUNTA(FILTER(C:C, C:C = C506))=1,""no"",""yes"")"),"no")</f>
        <v>no</v>
      </c>
    </row>
    <row r="507">
      <c r="A507" s="75" t="s">
        <v>519</v>
      </c>
      <c r="B507" s="19">
        <v>2.0</v>
      </c>
      <c r="C507" s="19" t="s">
        <v>1259</v>
      </c>
      <c r="D507" s="58" t="str">
        <f t="shared" ref="D507:D508" si="356">if(or(I507=1,J507=1,S507=1),"pos","")</f>
        <v/>
      </c>
      <c r="E507" s="59">
        <f>IFERROR(__xludf.DUMMYFUNCTION("ifna(IFNA(filter('2.1.clean'!C:C,'2.1.clean'!A:A=C507),filter('2.2.clean'!E:E,'2.2.clean'!D:D=C507)),filter('2.4.clean'!C:C,'2.4.clean'!A:A=C507))"),43725.0)</f>
        <v>43725</v>
      </c>
      <c r="F507" s="60">
        <f>IFERROR(__xludf.DUMMYFUNCTION("iferror(ifna(IFNA(filter('2.1.clean'!E:E,'2.1.clean'!A:A=C507),filter('2.2.clean'!G:G,'2.2.clean'!D:D=C507)),filter('2.4.clean'!E:E,'2.4.clean'!A:A=C507)),)"),2.4)</f>
        <v>2.4</v>
      </c>
      <c r="G507" s="59">
        <f>IFERROR(__xludf.DUMMYFUNCTION("iferror(filter('3.1.clean'!C:C,'3.1.clean'!A:A=C507),"""")"),43725.0)</f>
        <v>43725</v>
      </c>
      <c r="H507" s="58" t="b">
        <f>if(G507="",FALSE,TRUE)</f>
        <v>1</v>
      </c>
      <c r="I507" s="58">
        <f>IFERROR(__xludf.DUMMYFUNCTION("iferror(filter('3.1.clean'!G:G,'3.1.clean'!A:A=C507),"""")"),0.0)</f>
        <v>0</v>
      </c>
      <c r="J507" s="60">
        <f>IFERROR(__xludf.DUMMYFUNCTION("iferror(filter('3.1.clean'!I:I,'3.1.clean'!A:A=C507),"""")"),0.0)</f>
        <v>0</v>
      </c>
      <c r="K507" s="58"/>
      <c r="L507" s="60"/>
      <c r="M507" s="59">
        <f>IFERROR(__xludf.DUMMYFUNCTION("iferror(filter('3.3.clean'!C:C,'3.3.clean'!A:A=C507),"""")"),43727.0)</f>
        <v>43727</v>
      </c>
      <c r="N507" s="60" t="b">
        <f t="shared" si="354"/>
        <v>1</v>
      </c>
      <c r="O507" s="59" t="str">
        <f>IFERROR(__xludf.DUMMYFUNCTION("iferror(filter('3.4.clean'!C:C,'3.4.clean'!A:A=C507),"""")"),"")</f>
        <v/>
      </c>
      <c r="P507" s="60" t="b">
        <f t="shared" si="355"/>
        <v>0</v>
      </c>
      <c r="Q507" s="59" t="str">
        <f>IFERROR(__xludf.DUMMYFUNCTION("iferror(filter('3.5.clean'!C:C,'3.5.clean'!A:A=C507),"""")"),"")</f>
        <v/>
      </c>
      <c r="R507" s="58"/>
      <c r="S507" s="4" t="str">
        <f>IFERROR(__xludf.DUMMYFUNCTION("iferror(filter('3.5.clean'!H:H,'3.5.clean'!A:A=C507),"""")"),"")</f>
        <v/>
      </c>
      <c r="T507" s="1" t="s">
        <v>814</v>
      </c>
      <c r="U507" s="23"/>
      <c r="V507" s="1" t="s">
        <v>64</v>
      </c>
      <c r="W507" s="23" t="b">
        <f>if(AND(H507=TRUE,N507=TRUE,P507=TRUE),TRUE,FALSE)</f>
        <v>0</v>
      </c>
      <c r="X507" s="23" t="str">
        <f>IFERROR(__xludf.DUMMYFUNCTION("if(COUNTA(FILTER(C:C, C:C = C507))=1,""no"",""yes"")"),"no")</f>
        <v>no</v>
      </c>
    </row>
    <row r="508">
      <c r="A508" s="75" t="s">
        <v>519</v>
      </c>
      <c r="B508" s="19">
        <v>3.0</v>
      </c>
      <c r="C508" s="19" t="s">
        <v>1261</v>
      </c>
      <c r="D508" s="58" t="str">
        <f t="shared" si="356"/>
        <v/>
      </c>
      <c r="E508" s="59">
        <f>Q508</f>
        <v>43725</v>
      </c>
      <c r="F508" s="60" t="str">
        <f>IFERROR(__xludf.DUMMYFUNCTION("iferror(ifna(IFNA(filter('2.1.clean'!E:E,'2.1.clean'!A:A=C508),filter('2.2.clean'!G:G,'2.2.clean'!D:D=C508)),filter('2.4.clean'!E:E,'2.4.clean'!A:A=C508)),)"),"")</f>
        <v/>
      </c>
      <c r="G508" s="59" t="str">
        <f>IFERROR(__xludf.DUMMYFUNCTION("iferror(filter('3.1.clean'!C:C,'3.1.clean'!A:A=C508),"""")"),"")</f>
        <v/>
      </c>
      <c r="H508" s="58"/>
      <c r="I508" s="58"/>
      <c r="J508" s="60"/>
      <c r="K508" s="58"/>
      <c r="L508" s="60"/>
      <c r="M508" s="81" t="s">
        <v>814</v>
      </c>
      <c r="N508" s="60" t="b">
        <f t="shared" si="354"/>
        <v>1</v>
      </c>
      <c r="O508" s="59">
        <f>IFERROR(__xludf.DUMMYFUNCTION("iferror(filter('3.4.clean'!C:C,'3.4.clean'!A:A=C508),"""")"),43735.0)</f>
        <v>43735</v>
      </c>
      <c r="P508" s="60" t="b">
        <f t="shared" si="355"/>
        <v>1</v>
      </c>
      <c r="Q508" s="59">
        <f>IFERROR(__xludf.DUMMYFUNCTION("iferror(filter('3.5.clean'!C:C,'3.5.clean'!A:A=C508),"""")"),43725.0)</f>
        <v>43725</v>
      </c>
      <c r="R508" s="58" t="b">
        <f t="shared" ref="R508:R522" si="357">if(Q508="",FALSE,TRUE)</f>
        <v>1</v>
      </c>
      <c r="S508" s="4">
        <f>IFERROR(__xludf.DUMMYFUNCTION("iferror(filter('3.5.clean'!H:H,'3.5.clean'!A:A=C508),"""")"),0.0)</f>
        <v>0</v>
      </c>
      <c r="U508" s="23"/>
      <c r="V508" s="1" t="s">
        <v>64</v>
      </c>
      <c r="W508" s="23" t="b">
        <f>if(AND(R508=TRUE,N508=TRUE,P508=TRUE),TRUE,FALSE)</f>
        <v>1</v>
      </c>
      <c r="X508" s="23" t="str">
        <f>IFERROR(__xludf.DUMMYFUNCTION("if(COUNTA(FILTER(C:C, C:C = C508))=1,""no"",""yes"")"),"no")</f>
        <v>no</v>
      </c>
    </row>
    <row r="509">
      <c r="A509" s="75" t="s">
        <v>519</v>
      </c>
      <c r="B509" s="2">
        <v>4.0</v>
      </c>
      <c r="C509" s="19" t="s">
        <v>216</v>
      </c>
      <c r="E509" s="24">
        <f>IFERROR(__xludf.DUMMYFUNCTION("ifna(IFNA(filter('2.1.clean'!C:C,'2.1.clean'!A:A=C509),filter('2.2.clean'!E:E,'2.2.clean'!D:D=C509)),filter('2.4.clean'!C:C,'2.4.clean'!A:A=C509))"),43725.0)</f>
        <v>43725</v>
      </c>
      <c r="F509" s="25">
        <f>IFERROR(__xludf.DUMMYFUNCTION("iferror(ifna(IFNA(filter('2.1.clean'!E:E,'2.1.clean'!A:A=C509),filter('2.2.clean'!G:G,'2.2.clean'!D:D=C509)),filter('2.4.clean'!E:E,'2.4.clean'!A:A=C509)),)"),2.2)</f>
        <v>2.2</v>
      </c>
      <c r="G509" s="24">
        <f>IFERROR(__xludf.DUMMYFUNCTION("iferror(filter('3.1.clean'!C:C,'3.1.clean'!A:A=C509),"""")"),43725.0)</f>
        <v>43725</v>
      </c>
      <c r="H509" s="23" t="b">
        <f t="shared" ref="H509:H513" si="358">if(G509="",FALSE,TRUE)</f>
        <v>1</v>
      </c>
      <c r="J509" s="25"/>
      <c r="K509" s="24">
        <f>IFERROR(__xludf.DUMMYFUNCTION("iferror(filter('3.2.clean'!C:C,'3.2.clean'!A:A=C509),"""")"),43725.0)</f>
        <v>43725</v>
      </c>
      <c r="L509" s="25" t="b">
        <f t="shared" ref="L509:L513" si="359">if(K509="",FALSE,TRUE)</f>
        <v>1</v>
      </c>
      <c r="M509" s="24">
        <f>IFERROR(__xludf.DUMMYFUNCTION("iferror(filter('3.3.clean'!C:C,'3.3.clean'!A:A=C509),"""")"),43727.0)</f>
        <v>43727</v>
      </c>
      <c r="N509" s="25" t="b">
        <f t="shared" si="354"/>
        <v>1</v>
      </c>
      <c r="O509" s="24">
        <f>IFERROR(__xludf.DUMMYFUNCTION("iferror(filter('3.4.clean'!C:C,'3.4.clean'!A:A=C509),"""")"),43735.0)</f>
        <v>43735</v>
      </c>
      <c r="P509" s="25" t="b">
        <f t="shared" si="355"/>
        <v>1</v>
      </c>
      <c r="Q509" s="24" t="str">
        <f>IFERROR(__xludf.DUMMYFUNCTION("iferror(filter('3.5.clean'!C:C,'3.5.clean'!A:A=C509),"""")"),"")</f>
        <v/>
      </c>
      <c r="R509" s="23" t="b">
        <f t="shared" si="357"/>
        <v>0</v>
      </c>
      <c r="S509" s="25"/>
      <c r="U509" s="23"/>
      <c r="V509" s="1" t="s">
        <v>83</v>
      </c>
      <c r="W509" s="23" t="b">
        <f t="shared" ref="W509:W512" si="360">IF(and(H509=TRUE,L509=TRUE,N509=TRUE,P509=TRUE),TRUE,FALSE)</f>
        <v>1</v>
      </c>
      <c r="X509" s="23" t="str">
        <f>IFERROR(__xludf.DUMMYFUNCTION("if(COUNTA(FILTER(C:C, C:C = C509))=1,""no"",""yes"")"),"no")</f>
        <v>no</v>
      </c>
    </row>
    <row r="510">
      <c r="A510" s="75" t="s">
        <v>519</v>
      </c>
      <c r="B510" s="2">
        <v>5.0</v>
      </c>
      <c r="C510" s="19" t="s">
        <v>572</v>
      </c>
      <c r="E510" s="24">
        <f>IFERROR(__xludf.DUMMYFUNCTION("ifna(IFNA(filter('2.1.clean'!C:C,'2.1.clean'!A:A=C510),filter('2.2.clean'!E:E,'2.2.clean'!D:D=C510)),filter('2.4.clean'!C:C,'2.4.clean'!A:A=C510))"),43725.0)</f>
        <v>43725</v>
      </c>
      <c r="F510" s="25">
        <f>IFERROR(__xludf.DUMMYFUNCTION("iferror(ifna(IFNA(filter('2.1.clean'!E:E,'2.1.clean'!A:A=C510),filter('2.2.clean'!G:G,'2.2.clean'!D:D=C510)),filter('2.4.clean'!E:E,'2.4.clean'!A:A=C510)),)"),2.2)</f>
        <v>2.2</v>
      </c>
      <c r="G510" s="24">
        <f>IFERROR(__xludf.DUMMYFUNCTION("iferror(filter('3.1.clean'!C:C,'3.1.clean'!A:A=C510),"""")"),43725.0)</f>
        <v>43725</v>
      </c>
      <c r="H510" s="23" t="b">
        <f t="shared" si="358"/>
        <v>1</v>
      </c>
      <c r="J510" s="25"/>
      <c r="K510" s="24">
        <f>IFERROR(__xludf.DUMMYFUNCTION("iferror(filter('3.2.clean'!C:C,'3.2.clean'!A:A=C510),"""")"),43725.0)</f>
        <v>43725</v>
      </c>
      <c r="L510" s="25" t="b">
        <f t="shared" si="359"/>
        <v>1</v>
      </c>
      <c r="M510" s="24">
        <f>IFERROR(__xludf.DUMMYFUNCTION("iferror(filter('3.3.clean'!C:C,'3.3.clean'!A:A=C510),"""")"),43727.0)</f>
        <v>43727</v>
      </c>
      <c r="N510" s="25" t="b">
        <f t="shared" si="354"/>
        <v>1</v>
      </c>
      <c r="O510" s="24">
        <f>IFERROR(__xludf.DUMMYFUNCTION("iferror(filter('3.4.clean'!C:C,'3.4.clean'!A:A=C510),"""")"),43735.0)</f>
        <v>43735</v>
      </c>
      <c r="P510" s="25" t="b">
        <f t="shared" si="355"/>
        <v>1</v>
      </c>
      <c r="Q510" s="24" t="str">
        <f>IFERROR(__xludf.DUMMYFUNCTION("iferror(filter('3.5.clean'!C:C,'3.5.clean'!A:A=C510),"""")"),"")</f>
        <v/>
      </c>
      <c r="R510" s="23" t="b">
        <f t="shared" si="357"/>
        <v>0</v>
      </c>
      <c r="S510" s="25"/>
      <c r="U510" s="23"/>
      <c r="V510" s="1" t="s">
        <v>83</v>
      </c>
      <c r="W510" s="23" t="b">
        <f t="shared" si="360"/>
        <v>1</v>
      </c>
      <c r="X510" s="23" t="str">
        <f>IFERROR(__xludf.DUMMYFUNCTION("if(COUNTA(FILTER(C:C, C:C = C510))=1,""no"",""yes"")"),"no")</f>
        <v>no</v>
      </c>
    </row>
    <row r="511">
      <c r="A511" s="75" t="s">
        <v>519</v>
      </c>
      <c r="B511" s="2">
        <v>6.0</v>
      </c>
      <c r="C511" s="19" t="s">
        <v>573</v>
      </c>
      <c r="E511" s="24">
        <f>IFERROR(__xludf.DUMMYFUNCTION("ifna(IFNA(filter('2.1.clean'!C:C,'2.1.clean'!A:A=C511),filter('2.2.clean'!E:E,'2.2.clean'!D:D=C511)),filter('2.4.clean'!C:C,'2.4.clean'!A:A=C511))"),43725.0)</f>
        <v>43725</v>
      </c>
      <c r="F511" s="25">
        <f>IFERROR(__xludf.DUMMYFUNCTION("iferror(ifna(IFNA(filter('2.1.clean'!E:E,'2.1.clean'!A:A=C511),filter('2.2.clean'!G:G,'2.2.clean'!D:D=C511)),filter('2.4.clean'!E:E,'2.4.clean'!A:A=C511)),)"),2.2)</f>
        <v>2.2</v>
      </c>
      <c r="G511" s="24">
        <f>IFERROR(__xludf.DUMMYFUNCTION("iferror(filter('3.1.clean'!C:C,'3.1.clean'!A:A=C511),"""")"),43725.0)</f>
        <v>43725</v>
      </c>
      <c r="H511" s="23" t="b">
        <f t="shared" si="358"/>
        <v>1</v>
      </c>
      <c r="J511" s="25"/>
      <c r="K511" s="24">
        <f>IFERROR(__xludf.DUMMYFUNCTION("iferror(filter('3.2.clean'!C:C,'3.2.clean'!A:A=C511),"""")"),43725.0)</f>
        <v>43725</v>
      </c>
      <c r="L511" s="25" t="b">
        <f t="shared" si="359"/>
        <v>1</v>
      </c>
      <c r="M511" s="24">
        <f>IFERROR(__xludf.DUMMYFUNCTION("iferror(filter('3.3.clean'!C:C,'3.3.clean'!A:A=C511),"""")"),43727.0)</f>
        <v>43727</v>
      </c>
      <c r="N511" s="25" t="b">
        <f t="shared" si="354"/>
        <v>1</v>
      </c>
      <c r="O511" s="24">
        <f>IFERROR(__xludf.DUMMYFUNCTION("iferror(filter('3.4.clean'!C:C,'3.4.clean'!A:A=C511),"""")"),43735.0)</f>
        <v>43735</v>
      </c>
      <c r="P511" s="25" t="b">
        <f t="shared" si="355"/>
        <v>1</v>
      </c>
      <c r="Q511" s="24" t="str">
        <f>IFERROR(__xludf.DUMMYFUNCTION("iferror(filter('3.5.clean'!C:C,'3.5.clean'!A:A=C511),"""")"),"")</f>
        <v/>
      </c>
      <c r="R511" s="23" t="b">
        <f t="shared" si="357"/>
        <v>0</v>
      </c>
      <c r="S511" s="25"/>
      <c r="U511" s="23"/>
      <c r="V511" s="1" t="s">
        <v>83</v>
      </c>
      <c r="W511" s="23" t="b">
        <f t="shared" si="360"/>
        <v>1</v>
      </c>
      <c r="X511" s="23" t="str">
        <f>IFERROR(__xludf.DUMMYFUNCTION("if(COUNTA(FILTER(C:C, C:C = C511))=1,""no"",""yes"")"),"no")</f>
        <v>no</v>
      </c>
    </row>
    <row r="512">
      <c r="A512" s="75" t="s">
        <v>519</v>
      </c>
      <c r="B512" s="2">
        <v>7.0</v>
      </c>
      <c r="C512" s="19" t="s">
        <v>575</v>
      </c>
      <c r="E512" s="24">
        <f>IFERROR(__xludf.DUMMYFUNCTION("ifna(IFNA(filter('2.1.clean'!C:C,'2.1.clean'!A:A=C512),filter('2.2.clean'!E:E,'2.2.clean'!D:D=C512)),filter('2.4.clean'!C:C,'2.4.clean'!A:A=C512))"),43725.0)</f>
        <v>43725</v>
      </c>
      <c r="F512" s="25">
        <f>IFERROR(__xludf.DUMMYFUNCTION("iferror(ifna(IFNA(filter('2.1.clean'!E:E,'2.1.clean'!A:A=C512),filter('2.2.clean'!G:G,'2.2.clean'!D:D=C512)),filter('2.4.clean'!E:E,'2.4.clean'!A:A=C512)),)"),2.2)</f>
        <v>2.2</v>
      </c>
      <c r="G512" s="24">
        <f>IFERROR(__xludf.DUMMYFUNCTION("iferror(filter('3.1.clean'!C:C,'3.1.clean'!A:A=C512),"""")"),43725.0)</f>
        <v>43725</v>
      </c>
      <c r="H512" s="23" t="b">
        <f t="shared" si="358"/>
        <v>1</v>
      </c>
      <c r="J512" s="25"/>
      <c r="K512" s="24">
        <f>IFERROR(__xludf.DUMMYFUNCTION("iferror(filter('3.2.clean'!C:C,'3.2.clean'!A:A=C512),"""")"),43725.0)</f>
        <v>43725</v>
      </c>
      <c r="L512" s="25" t="b">
        <f t="shared" si="359"/>
        <v>1</v>
      </c>
      <c r="M512" s="24">
        <f>IFERROR(__xludf.DUMMYFUNCTION("iferror(filter('3.3.clean'!C:C,'3.3.clean'!A:A=C512),"""")"),43727.0)</f>
        <v>43727</v>
      </c>
      <c r="N512" s="25" t="b">
        <f t="shared" si="354"/>
        <v>1</v>
      </c>
      <c r="O512" s="24">
        <f>IFERROR(__xludf.DUMMYFUNCTION("iferror(filter('3.4.clean'!C:C,'3.4.clean'!A:A=C512),"""")"),43735.0)</f>
        <v>43735</v>
      </c>
      <c r="P512" s="25" t="b">
        <f t="shared" si="355"/>
        <v>1</v>
      </c>
      <c r="Q512" s="24" t="str">
        <f>IFERROR(__xludf.DUMMYFUNCTION("iferror(filter('3.5.clean'!C:C,'3.5.clean'!A:A=C512),"""")"),"")</f>
        <v/>
      </c>
      <c r="R512" s="23" t="b">
        <f t="shared" si="357"/>
        <v>0</v>
      </c>
      <c r="S512" s="25"/>
      <c r="U512" s="23"/>
      <c r="V512" s="1" t="s">
        <v>83</v>
      </c>
      <c r="W512" s="23" t="b">
        <f t="shared" si="360"/>
        <v>1</v>
      </c>
      <c r="X512" s="23" t="str">
        <f>IFERROR(__xludf.DUMMYFUNCTION("if(COUNTA(FILTER(C:C, C:C = C512))=1,""no"",""yes"")"),"no")</f>
        <v>no</v>
      </c>
    </row>
    <row r="513">
      <c r="A513" s="75" t="s">
        <v>519</v>
      </c>
      <c r="B513" s="19">
        <v>8.0</v>
      </c>
      <c r="C513" s="19" t="s">
        <v>1264</v>
      </c>
      <c r="D513" s="58" t="str">
        <f t="shared" ref="D513:D514" si="361">if(or(I513=1,J513=1,S513=1),"pos","")</f>
        <v/>
      </c>
      <c r="E513" s="59">
        <f>IFERROR(__xludf.DUMMYFUNCTION("ifna(IFNA(filter('2.1.clean'!C:C,'2.1.clean'!A:A=C513),filter('2.2.clean'!E:E,'2.2.clean'!D:D=C513)),filter('2.4.clean'!C:C,'2.4.clean'!A:A=C513))"),43725.0)</f>
        <v>43725</v>
      </c>
      <c r="F513" s="60">
        <f>IFERROR(__xludf.DUMMYFUNCTION("iferror(ifna(IFNA(filter('2.1.clean'!E:E,'2.1.clean'!A:A=C513),filter('2.2.clean'!G:G,'2.2.clean'!D:D=C513)),filter('2.4.clean'!E:E,'2.4.clean'!A:A=C513)),)"),2.1)</f>
        <v>2.1</v>
      </c>
      <c r="G513" s="59">
        <f>IFERROR(__xludf.DUMMYFUNCTION("iferror(filter('3.1.clean'!C:C,'3.1.clean'!A:A=C513),"""")"),43725.0)</f>
        <v>43725</v>
      </c>
      <c r="H513" s="58" t="b">
        <f t="shared" si="358"/>
        <v>1</v>
      </c>
      <c r="I513" s="58">
        <f>IFERROR(__xludf.DUMMYFUNCTION("iferror(filter('3.1.clean'!G:G,'3.1.clean'!A:A=C513),"""")"),0.0)</f>
        <v>0</v>
      </c>
      <c r="J513" s="60">
        <f>IFERROR(__xludf.DUMMYFUNCTION("iferror(filter('3.1.clean'!I:I,'3.1.clean'!A:A=C513),"""")"),0.0)</f>
        <v>0</v>
      </c>
      <c r="K513" s="58" t="str">
        <f>IFERROR(__xludf.DUMMYFUNCTION("iferror(filter('3.2.clean'!C:C,'3.2.clean'!A:A=C513),"""")"),"")</f>
        <v/>
      </c>
      <c r="L513" s="60" t="b">
        <f t="shared" si="359"/>
        <v>0</v>
      </c>
      <c r="M513" s="59">
        <f>IFERROR(__xludf.DUMMYFUNCTION("iferror(filter('3.3.clean'!C:C,'3.3.clean'!A:A=C513),"""")"),43727.0)</f>
        <v>43727</v>
      </c>
      <c r="N513" s="60" t="b">
        <f t="shared" si="354"/>
        <v>1</v>
      </c>
      <c r="O513" s="59">
        <f>IFERROR(__xludf.DUMMYFUNCTION("iferror(filter('3.4.clean'!C:C,'3.4.clean'!A:A=C513),"""")"),43735.0)</f>
        <v>43735</v>
      </c>
      <c r="P513" s="60" t="b">
        <f t="shared" si="355"/>
        <v>1</v>
      </c>
      <c r="Q513" s="59" t="str">
        <f>IFERROR(__xludf.DUMMYFUNCTION("iferror(filter('3.5.clean'!C:C,'3.5.clean'!A:A=C513),"""")"),"")</f>
        <v/>
      </c>
      <c r="R513" s="58" t="b">
        <f t="shared" si="357"/>
        <v>0</v>
      </c>
      <c r="S513" s="4" t="str">
        <f>IFERROR(__xludf.DUMMYFUNCTION("iferror(filter('3.5.clean'!H:H,'3.5.clean'!A:A=C513),"""")"),"")</f>
        <v/>
      </c>
      <c r="U513" s="23"/>
      <c r="V513" s="1" t="s">
        <v>83</v>
      </c>
      <c r="W513" s="23" t="b">
        <f>if(AND(H513=TRUE,N513=TRUE,P513=TRUE),TRUE,FALSE)</f>
        <v>1</v>
      </c>
      <c r="X513" s="23" t="str">
        <f>IFERROR(__xludf.DUMMYFUNCTION("if(COUNTA(FILTER(C:C, C:C = C513))=1,""no"",""yes"")"),"no")</f>
        <v>no</v>
      </c>
    </row>
    <row r="514">
      <c r="A514" s="75" t="s">
        <v>519</v>
      </c>
      <c r="B514" s="19">
        <v>9.0</v>
      </c>
      <c r="C514" s="19" t="s">
        <v>1265</v>
      </c>
      <c r="D514" s="58" t="str">
        <f t="shared" si="361"/>
        <v/>
      </c>
      <c r="E514" s="59">
        <f>Q514</f>
        <v>43725</v>
      </c>
      <c r="F514" s="60" t="str">
        <f>IFERROR(__xludf.DUMMYFUNCTION("iferror(ifna(IFNA(filter('2.1.clean'!E:E,'2.1.clean'!A:A=C514),filter('2.2.clean'!G:G,'2.2.clean'!D:D=C514)),filter('2.4.clean'!E:E,'2.4.clean'!A:A=C514)),)"),"")</f>
        <v/>
      </c>
      <c r="G514" s="59" t="str">
        <f>IFERROR(__xludf.DUMMYFUNCTION("iferror(filter('3.1.clean'!C:C,'3.1.clean'!A:A=C514),"""")"),"")</f>
        <v/>
      </c>
      <c r="H514" s="58"/>
      <c r="I514" s="58"/>
      <c r="J514" s="60"/>
      <c r="K514" s="58"/>
      <c r="L514" s="60"/>
      <c r="M514" s="59" t="str">
        <f>IFERROR(__xludf.DUMMYFUNCTION("iferror(filter('3.3.clean'!C:C,'3.3.clean'!A:A=C514),"""")"),"")</f>
        <v/>
      </c>
      <c r="N514" s="60" t="b">
        <f t="shared" si="354"/>
        <v>0</v>
      </c>
      <c r="O514" s="59">
        <f>IFERROR(__xludf.DUMMYFUNCTION("iferror(filter('3.4.clean'!C:C,'3.4.clean'!A:A=C514),"""")"),43735.0)</f>
        <v>43735</v>
      </c>
      <c r="P514" s="60" t="b">
        <f t="shared" si="355"/>
        <v>1</v>
      </c>
      <c r="Q514" s="59">
        <f>IFERROR(__xludf.DUMMYFUNCTION("iferror(filter('3.5.clean'!C:C,'3.5.clean'!A:A=C514),"""")"),43725.0)</f>
        <v>43725</v>
      </c>
      <c r="R514" s="58" t="b">
        <f t="shared" si="357"/>
        <v>1</v>
      </c>
      <c r="S514" s="4">
        <f>IFERROR(__xludf.DUMMYFUNCTION("iferror(filter('3.5.clean'!H:H,'3.5.clean'!A:A=C514),"""")"),0.0)</f>
        <v>0</v>
      </c>
      <c r="U514" s="23"/>
      <c r="V514" s="1" t="s">
        <v>64</v>
      </c>
      <c r="W514" s="23" t="b">
        <f>if(AND(R514=TRUE,N514=TRUE,P514=TRUE),TRUE,FALSE)</f>
        <v>0</v>
      </c>
      <c r="X514" s="23" t="str">
        <f>IFERROR(__xludf.DUMMYFUNCTION("if(COUNTA(FILTER(C:C, C:C = C514))=1,""no"",""yes"")"),"no")</f>
        <v>no</v>
      </c>
    </row>
    <row r="515">
      <c r="A515" s="75" t="s">
        <v>519</v>
      </c>
      <c r="B515" s="2">
        <v>10.0</v>
      </c>
      <c r="C515" s="87" t="s">
        <v>578</v>
      </c>
      <c r="E515" s="24">
        <f>IFERROR(__xludf.DUMMYFUNCTION("ifna(IFNA(filter('2.1.clean'!C:C,'2.1.clean'!A:A=C515),filter('2.2.clean'!E:E,'2.2.clean'!D:D=C515)),filter('2.4.clean'!C:C,'2.4.clean'!A:A=C515))"),43725.0)</f>
        <v>43725</v>
      </c>
      <c r="F515" s="25">
        <f>IFERROR(__xludf.DUMMYFUNCTION("iferror(ifna(IFNA(filter('2.1.clean'!E:E,'2.1.clean'!A:A=C515),filter('2.2.clean'!G:G,'2.2.clean'!D:D=C515)),filter('2.4.clean'!E:E,'2.4.clean'!A:A=C515)),)"),2.2)</f>
        <v>2.2</v>
      </c>
      <c r="G515" s="24">
        <f>IFERROR(__xludf.DUMMYFUNCTION("iferror(filter('3.1.clean'!C:C,'3.1.clean'!A:A=C515),"""")"),43725.0)</f>
        <v>43725</v>
      </c>
      <c r="H515" s="23" t="b">
        <f t="shared" ref="H515:H520" si="362">if(G515="",FALSE,TRUE)</f>
        <v>1</v>
      </c>
      <c r="J515" s="25"/>
      <c r="K515" s="24">
        <f>IFERROR(__xludf.DUMMYFUNCTION("iferror(filter('3.2.clean'!C:C,'3.2.clean'!A:A=C515),"""")"),43725.0)</f>
        <v>43725</v>
      </c>
      <c r="L515" s="25" t="b">
        <f t="shared" ref="L515:L520" si="363">if(K515="",FALSE,TRUE)</f>
        <v>1</v>
      </c>
      <c r="M515" s="24">
        <f>IFERROR(__xludf.DUMMYFUNCTION("iferror(filter('3.3.clean'!C:C,'3.3.clean'!A:A=C515),"""")"),43727.0)</f>
        <v>43727</v>
      </c>
      <c r="N515" s="25" t="b">
        <f t="shared" si="354"/>
        <v>1</v>
      </c>
      <c r="O515" s="24">
        <f>IFERROR(__xludf.DUMMYFUNCTION("iferror(filter('3.4.clean'!C:C,'3.4.clean'!A:A=C515),"""")"),43735.0)</f>
        <v>43735</v>
      </c>
      <c r="P515" s="25" t="b">
        <f t="shared" si="355"/>
        <v>1</v>
      </c>
      <c r="Q515" s="24" t="str">
        <f>IFERROR(__xludf.DUMMYFUNCTION("iferror(filter('3.5.clean'!C:C,'3.5.clean'!A:A=C515),"""")"),"")</f>
        <v/>
      </c>
      <c r="R515" s="23" t="b">
        <f t="shared" si="357"/>
        <v>0</v>
      </c>
      <c r="S515" s="25"/>
      <c r="V515" s="1" t="s">
        <v>83</v>
      </c>
      <c r="W515" s="23" t="b">
        <f t="shared" ref="W515:W519" si="364">IF(and(H515=TRUE,L515=TRUE,N515=TRUE,P515=TRUE),TRUE,FALSE)</f>
        <v>1</v>
      </c>
      <c r="X515" s="23" t="str">
        <f>IFERROR(__xludf.DUMMYFUNCTION("if(COUNTA(FILTER(C:C, C:C = C515))=1,""no"",""yes"")"),"no")</f>
        <v>no</v>
      </c>
    </row>
    <row r="516">
      <c r="A516" s="75" t="s">
        <v>519</v>
      </c>
      <c r="B516" s="2">
        <v>11.0</v>
      </c>
      <c r="C516" s="87" t="s">
        <v>580</v>
      </c>
      <c r="E516" s="24">
        <f>IFERROR(__xludf.DUMMYFUNCTION("ifna(IFNA(filter('2.1.clean'!C:C,'2.1.clean'!A:A=C516),filter('2.2.clean'!E:E,'2.2.clean'!D:D=C516)),filter('2.4.clean'!C:C,'2.4.clean'!A:A=C516))"),43725.0)</f>
        <v>43725</v>
      </c>
      <c r="F516" s="25">
        <f>IFERROR(__xludf.DUMMYFUNCTION("iferror(ifna(IFNA(filter('2.1.clean'!E:E,'2.1.clean'!A:A=C516),filter('2.2.clean'!G:G,'2.2.clean'!D:D=C516)),filter('2.4.clean'!E:E,'2.4.clean'!A:A=C516)),)"),2.2)</f>
        <v>2.2</v>
      </c>
      <c r="G516" s="24">
        <f>IFERROR(__xludf.DUMMYFUNCTION("iferror(filter('3.1.clean'!C:C,'3.1.clean'!A:A=C516),"""")"),43725.0)</f>
        <v>43725</v>
      </c>
      <c r="H516" s="23" t="b">
        <f t="shared" si="362"/>
        <v>1</v>
      </c>
      <c r="J516" s="25"/>
      <c r="K516" s="24">
        <f>IFERROR(__xludf.DUMMYFUNCTION("iferror(filter('3.2.clean'!C:C,'3.2.clean'!A:A=C516),"""")"),43725.0)</f>
        <v>43725</v>
      </c>
      <c r="L516" s="25" t="b">
        <f t="shared" si="363"/>
        <v>1</v>
      </c>
      <c r="M516" s="24">
        <f>IFERROR(__xludf.DUMMYFUNCTION("iferror(filter('3.3.clean'!C:C,'3.3.clean'!A:A=C516),"""")"),43727.0)</f>
        <v>43727</v>
      </c>
      <c r="N516" s="25" t="b">
        <f t="shared" si="354"/>
        <v>1</v>
      </c>
      <c r="O516" s="24">
        <f>IFERROR(__xludf.DUMMYFUNCTION("iferror(filter('3.4.clean'!C:C,'3.4.clean'!A:A=C516),"""")"),43735.0)</f>
        <v>43735</v>
      </c>
      <c r="P516" s="25" t="b">
        <f t="shared" si="355"/>
        <v>1</v>
      </c>
      <c r="Q516" s="24" t="str">
        <f>IFERROR(__xludf.DUMMYFUNCTION("iferror(filter('3.5.clean'!C:C,'3.5.clean'!A:A=C516),"""")"),"")</f>
        <v/>
      </c>
      <c r="R516" s="23" t="b">
        <f t="shared" si="357"/>
        <v>0</v>
      </c>
      <c r="S516" s="25"/>
      <c r="V516" s="1" t="s">
        <v>83</v>
      </c>
      <c r="W516" s="23" t="b">
        <f t="shared" si="364"/>
        <v>1</v>
      </c>
      <c r="X516" s="23" t="str">
        <f>IFERROR(__xludf.DUMMYFUNCTION("if(COUNTA(FILTER(C:C, C:C = C516))=1,""no"",""yes"")"),"no")</f>
        <v>no</v>
      </c>
    </row>
    <row r="517">
      <c r="A517" s="75" t="s">
        <v>519</v>
      </c>
      <c r="B517" s="2">
        <v>12.0</v>
      </c>
      <c r="C517" s="87" t="s">
        <v>582</v>
      </c>
      <c r="E517" s="24">
        <f>IFERROR(__xludf.DUMMYFUNCTION("ifna(IFNA(filter('2.1.clean'!C:C,'2.1.clean'!A:A=C517),filter('2.2.clean'!E:E,'2.2.clean'!D:D=C517)),filter('2.4.clean'!C:C,'2.4.clean'!A:A=C517))"),43725.0)</f>
        <v>43725</v>
      </c>
      <c r="F517" s="25">
        <f>IFERROR(__xludf.DUMMYFUNCTION("iferror(ifna(IFNA(filter('2.1.clean'!E:E,'2.1.clean'!A:A=C517),filter('2.2.clean'!G:G,'2.2.clean'!D:D=C517)),filter('2.4.clean'!E:E,'2.4.clean'!A:A=C517)),)"),2.2)</f>
        <v>2.2</v>
      </c>
      <c r="G517" s="24">
        <f>IFERROR(__xludf.DUMMYFUNCTION("iferror(filter('3.1.clean'!C:C,'3.1.clean'!A:A=C517),"""")"),43725.0)</f>
        <v>43725</v>
      </c>
      <c r="H517" s="23" t="b">
        <f t="shared" si="362"/>
        <v>1</v>
      </c>
      <c r="J517" s="25"/>
      <c r="K517" s="24">
        <f>IFERROR(__xludf.DUMMYFUNCTION("iferror(filter('3.2.clean'!C:C,'3.2.clean'!A:A=C517),"""")"),43725.0)</f>
        <v>43725</v>
      </c>
      <c r="L517" s="25" t="b">
        <f t="shared" si="363"/>
        <v>1</v>
      </c>
      <c r="M517" s="24">
        <f>IFERROR(__xludf.DUMMYFUNCTION("iferror(filter('3.3.clean'!C:C,'3.3.clean'!A:A=C517),"""")"),43727.0)</f>
        <v>43727</v>
      </c>
      <c r="N517" s="25" t="b">
        <f t="shared" si="354"/>
        <v>1</v>
      </c>
      <c r="O517" s="24">
        <f>IFERROR(__xludf.DUMMYFUNCTION("iferror(filter('3.4.clean'!C:C,'3.4.clean'!A:A=C517),"""")"),43735.0)</f>
        <v>43735</v>
      </c>
      <c r="P517" s="25" t="b">
        <f t="shared" si="355"/>
        <v>1</v>
      </c>
      <c r="Q517" s="24" t="str">
        <f>IFERROR(__xludf.DUMMYFUNCTION("iferror(filter('3.5.clean'!C:C,'3.5.clean'!A:A=C517),"""")"),"")</f>
        <v/>
      </c>
      <c r="R517" s="23" t="b">
        <f t="shared" si="357"/>
        <v>0</v>
      </c>
      <c r="S517" s="25"/>
      <c r="V517" s="1" t="s">
        <v>83</v>
      </c>
      <c r="W517" s="23" t="b">
        <f t="shared" si="364"/>
        <v>1</v>
      </c>
      <c r="X517" s="23" t="str">
        <f>IFERROR(__xludf.DUMMYFUNCTION("if(COUNTA(FILTER(C:C, C:C = C517))=1,""no"",""yes"")"),"no")</f>
        <v>no</v>
      </c>
    </row>
    <row r="518">
      <c r="A518" s="75" t="s">
        <v>519</v>
      </c>
      <c r="B518" s="2">
        <v>13.0</v>
      </c>
      <c r="C518" s="87" t="s">
        <v>584</v>
      </c>
      <c r="E518" s="24">
        <f>IFERROR(__xludf.DUMMYFUNCTION("ifna(IFNA(filter('2.1.clean'!C:C,'2.1.clean'!A:A=C518),filter('2.2.clean'!E:E,'2.2.clean'!D:D=C518)),filter('2.4.clean'!C:C,'2.4.clean'!A:A=C518))"),43725.0)</f>
        <v>43725</v>
      </c>
      <c r="F518" s="25">
        <f>IFERROR(__xludf.DUMMYFUNCTION("iferror(ifna(IFNA(filter('2.1.clean'!E:E,'2.1.clean'!A:A=C518),filter('2.2.clean'!G:G,'2.2.clean'!D:D=C518)),filter('2.4.clean'!E:E,'2.4.clean'!A:A=C518)),)"),2.2)</f>
        <v>2.2</v>
      </c>
      <c r="G518" s="24">
        <f>IFERROR(__xludf.DUMMYFUNCTION("iferror(filter('3.1.clean'!C:C,'3.1.clean'!A:A=C518),"""")"),43725.0)</f>
        <v>43725</v>
      </c>
      <c r="H518" s="23" t="b">
        <f t="shared" si="362"/>
        <v>1</v>
      </c>
      <c r="J518" s="25"/>
      <c r="K518" s="24">
        <f>IFERROR(__xludf.DUMMYFUNCTION("iferror(filter('3.2.clean'!C:C,'3.2.clean'!A:A=C518),"""")"),43725.0)</f>
        <v>43725</v>
      </c>
      <c r="L518" s="25" t="b">
        <f t="shared" si="363"/>
        <v>1</v>
      </c>
      <c r="M518" s="24">
        <f>IFERROR(__xludf.DUMMYFUNCTION("iferror(filter('3.3.clean'!C:C,'3.3.clean'!A:A=C518),"""")"),43727.0)</f>
        <v>43727</v>
      </c>
      <c r="N518" s="25" t="b">
        <f t="shared" si="354"/>
        <v>1</v>
      </c>
      <c r="O518" s="24">
        <f>IFERROR(__xludf.DUMMYFUNCTION("iferror(filter('3.4.clean'!C:C,'3.4.clean'!A:A=C518),"""")"),43735.0)</f>
        <v>43735</v>
      </c>
      <c r="P518" s="25" t="b">
        <f t="shared" si="355"/>
        <v>1</v>
      </c>
      <c r="Q518" s="24" t="str">
        <f>IFERROR(__xludf.DUMMYFUNCTION("iferror(filter('3.5.clean'!C:C,'3.5.clean'!A:A=C518),"""")"),"")</f>
        <v/>
      </c>
      <c r="R518" s="23" t="b">
        <f t="shared" si="357"/>
        <v>0</v>
      </c>
      <c r="S518" s="25"/>
      <c r="V518" s="1" t="s">
        <v>83</v>
      </c>
      <c r="W518" s="23" t="b">
        <f t="shared" si="364"/>
        <v>1</v>
      </c>
      <c r="X518" s="23" t="str">
        <f>IFERROR(__xludf.DUMMYFUNCTION("if(COUNTA(FILTER(C:C, C:C = C518))=1,""no"",""yes"")"),"no")</f>
        <v>no</v>
      </c>
    </row>
    <row r="519">
      <c r="A519" s="75" t="s">
        <v>519</v>
      </c>
      <c r="B519" s="2">
        <v>14.0</v>
      </c>
      <c r="C519" s="87" t="s">
        <v>587</v>
      </c>
      <c r="E519" s="24">
        <f>IFERROR(__xludf.DUMMYFUNCTION("ifna(IFNA(filter('2.1.clean'!C:C,'2.1.clean'!A:A=C519),filter('2.2.clean'!E:E,'2.2.clean'!D:D=C519)),filter('2.4.clean'!C:C,'2.4.clean'!A:A=C519))"),43725.0)</f>
        <v>43725</v>
      </c>
      <c r="F519" s="25">
        <f>IFERROR(__xludf.DUMMYFUNCTION("iferror(ifna(IFNA(filter('2.1.clean'!E:E,'2.1.clean'!A:A=C519),filter('2.2.clean'!G:G,'2.2.clean'!D:D=C519)),filter('2.4.clean'!E:E,'2.4.clean'!A:A=C519)),)"),2.2)</f>
        <v>2.2</v>
      </c>
      <c r="G519" s="24">
        <f>IFERROR(__xludf.DUMMYFUNCTION("iferror(filter('3.1.clean'!C:C,'3.1.clean'!A:A=C519),"""")"),43725.0)</f>
        <v>43725</v>
      </c>
      <c r="H519" s="23" t="b">
        <f t="shared" si="362"/>
        <v>1</v>
      </c>
      <c r="J519" s="25"/>
      <c r="K519" s="24" t="str">
        <f>IFERROR(__xludf.DUMMYFUNCTION("iferror(filter('3.2.clean'!C:C,'3.2.clean'!A:A=C519),"""")"),"")</f>
        <v/>
      </c>
      <c r="L519" s="25" t="b">
        <f t="shared" si="363"/>
        <v>0</v>
      </c>
      <c r="M519" s="24">
        <f>IFERROR(__xludf.DUMMYFUNCTION("iferror(filter('3.3.clean'!C:C,'3.3.clean'!A:A=C519),"""")"),43727.0)</f>
        <v>43727</v>
      </c>
      <c r="N519" s="25" t="b">
        <f t="shared" si="354"/>
        <v>1</v>
      </c>
      <c r="O519" s="24">
        <f>IFERROR(__xludf.DUMMYFUNCTION("iferror(filter('3.4.clean'!C:C,'3.4.clean'!A:A=C519),"""")"),43735.0)</f>
        <v>43735</v>
      </c>
      <c r="P519" s="25" t="b">
        <f t="shared" si="355"/>
        <v>1</v>
      </c>
      <c r="Q519" s="24" t="str">
        <f>IFERROR(__xludf.DUMMYFUNCTION("iferror(filter('3.5.clean'!C:C,'3.5.clean'!A:A=C519),"""")"),"")</f>
        <v/>
      </c>
      <c r="R519" s="23" t="b">
        <f t="shared" si="357"/>
        <v>0</v>
      </c>
      <c r="S519" s="25"/>
      <c r="V519" s="1" t="s">
        <v>83</v>
      </c>
      <c r="W519" s="23" t="b">
        <f t="shared" si="364"/>
        <v>0</v>
      </c>
      <c r="X519" s="23" t="str">
        <f>IFERROR(__xludf.DUMMYFUNCTION("if(COUNTA(FILTER(C:C, C:C = C519))=1,""no"",""yes"")"),"no")</f>
        <v>no</v>
      </c>
    </row>
    <row r="520">
      <c r="A520" s="75" t="s">
        <v>519</v>
      </c>
      <c r="B520" s="19">
        <v>15.0</v>
      </c>
      <c r="C520" s="19" t="s">
        <v>1269</v>
      </c>
      <c r="D520" s="58" t="str">
        <f t="shared" ref="D520:D523" si="365">if(or(I520=1,J520=1,S520=1),"pos","")</f>
        <v>pos</v>
      </c>
      <c r="E520" s="59">
        <f>IFERROR(__xludf.DUMMYFUNCTION("ifna(IFNA(filter('2.1.clean'!C:C,'2.1.clean'!A:A=C520),filter('2.2.clean'!E:E,'2.2.clean'!D:D=C520)),filter('2.4.clean'!C:C,'2.4.clean'!A:A=C520))"),43725.0)</f>
        <v>43725</v>
      </c>
      <c r="F520" s="60">
        <f>IFERROR(__xludf.DUMMYFUNCTION("iferror(ifna(IFNA(filter('2.1.clean'!E:E,'2.1.clean'!A:A=C520),filter('2.2.clean'!G:G,'2.2.clean'!D:D=C520)),filter('2.4.clean'!E:E,'2.4.clean'!A:A=C520)),)"),2.1)</f>
        <v>2.1</v>
      </c>
      <c r="G520" s="59">
        <f>IFERROR(__xludf.DUMMYFUNCTION("iferror(filter('3.1.clean'!C:C,'3.1.clean'!A:A=C520),"""")"),43725.0)</f>
        <v>43725</v>
      </c>
      <c r="H520" s="58" t="b">
        <f t="shared" si="362"/>
        <v>1</v>
      </c>
      <c r="I520" s="58">
        <f>IFERROR(__xludf.DUMMYFUNCTION("iferror(filter('3.1.clean'!G:G,'3.1.clean'!A:A=C520),"""")"),1.0)</f>
        <v>1</v>
      </c>
      <c r="J520" s="60">
        <f>IFERROR(__xludf.DUMMYFUNCTION("iferror(filter('3.1.clean'!I:I,'3.1.clean'!A:A=C520),"""")"),1.0)</f>
        <v>1</v>
      </c>
      <c r="K520" s="58" t="str">
        <f>IFERROR(__xludf.DUMMYFUNCTION("iferror(filter('3.2.clean'!C:C,'3.2.clean'!A:A=C520),"""")"),"")</f>
        <v/>
      </c>
      <c r="L520" s="60" t="b">
        <f t="shared" si="363"/>
        <v>0</v>
      </c>
      <c r="M520" s="59">
        <f>IFERROR(__xludf.DUMMYFUNCTION("iferror(filter('3.3.clean'!C:C,'3.3.clean'!A:A=C520),"""")"),43727.0)</f>
        <v>43727</v>
      </c>
      <c r="N520" s="60" t="b">
        <f t="shared" si="354"/>
        <v>1</v>
      </c>
      <c r="O520" s="59">
        <f>IFERROR(__xludf.DUMMYFUNCTION("iferror(filter('3.4.clean'!C:C,'3.4.clean'!A:A=C520),"""")"),43735.0)</f>
        <v>43735</v>
      </c>
      <c r="P520" s="60" t="b">
        <f t="shared" si="355"/>
        <v>1</v>
      </c>
      <c r="Q520" s="59" t="str">
        <f>IFERROR(__xludf.DUMMYFUNCTION("iferror(filter('3.5.clean'!C:C,'3.5.clean'!A:A=C520),"""")"),"")</f>
        <v/>
      </c>
      <c r="R520" s="58" t="b">
        <f t="shared" si="357"/>
        <v>0</v>
      </c>
      <c r="S520" s="4" t="str">
        <f>IFERROR(__xludf.DUMMYFUNCTION("iferror(filter('3.5.clean'!H:H,'3.5.clean'!A:A=C520),"""")"),"")</f>
        <v/>
      </c>
      <c r="U520" s="23"/>
      <c r="V520" s="1" t="s">
        <v>83</v>
      </c>
      <c r="W520" s="23" t="b">
        <f>if(AND(H520=TRUE,N520=TRUE,P520=TRUE),TRUE,FALSE)</f>
        <v>1</v>
      </c>
      <c r="X520" s="23" t="str">
        <f>IFERROR(__xludf.DUMMYFUNCTION("if(COUNTA(FILTER(C:C, C:C = C520))=1,""no"",""yes"")"),"no")</f>
        <v>no</v>
      </c>
    </row>
    <row r="521">
      <c r="A521" s="75" t="s">
        <v>519</v>
      </c>
      <c r="B521" s="19">
        <v>16.0</v>
      </c>
      <c r="C521" s="19" t="s">
        <v>1271</v>
      </c>
      <c r="D521" s="58" t="str">
        <f t="shared" si="365"/>
        <v/>
      </c>
      <c r="E521" s="59">
        <f t="shared" ref="E521:E522" si="366">Q521</f>
        <v>43725</v>
      </c>
      <c r="F521" s="60" t="str">
        <f>IFERROR(__xludf.DUMMYFUNCTION("iferror(ifna(IFNA(filter('2.1.clean'!E:E,'2.1.clean'!A:A=C521),filter('2.2.clean'!G:G,'2.2.clean'!D:D=C521)),filter('2.4.clean'!E:E,'2.4.clean'!A:A=C521)),)"),"")</f>
        <v/>
      </c>
      <c r="G521" s="59" t="str">
        <f>IFERROR(__xludf.DUMMYFUNCTION("iferror(filter('3.1.clean'!C:C,'3.1.clean'!A:A=C521),"""")"),"")</f>
        <v/>
      </c>
      <c r="H521" s="58"/>
      <c r="I521" s="58"/>
      <c r="J521" s="60"/>
      <c r="K521" s="58"/>
      <c r="L521" s="60"/>
      <c r="M521" s="81" t="s">
        <v>814</v>
      </c>
      <c r="N521" s="60" t="b">
        <f t="shared" si="354"/>
        <v>1</v>
      </c>
      <c r="O521" s="59">
        <f>IFERROR(__xludf.DUMMYFUNCTION("iferror(filter('3.4.clean'!C:C,'3.4.clean'!A:A=C521),"""")"),43735.0)</f>
        <v>43735</v>
      </c>
      <c r="P521" s="60" t="b">
        <f t="shared" si="355"/>
        <v>1</v>
      </c>
      <c r="Q521" s="59">
        <f>IFERROR(__xludf.DUMMYFUNCTION("iferror(filter('3.5.clean'!C:C,'3.5.clean'!A:A=C521),"""")"),43725.0)</f>
        <v>43725</v>
      </c>
      <c r="R521" s="58" t="b">
        <f t="shared" si="357"/>
        <v>1</v>
      </c>
      <c r="S521" s="4" t="str">
        <f>IFERROR(__xludf.DUMMYFUNCTION("iferror(filter('3.5.clean'!H:H,'3.5.clean'!A:A=C521),"""")"),"")</f>
        <v/>
      </c>
      <c r="U521" s="23"/>
      <c r="V521" s="1" t="s">
        <v>64</v>
      </c>
      <c r="W521" s="23" t="b">
        <f>if(AND(R521=TRUE,N521=TRUE,P521=TRUE),TRUE,FALSE)</f>
        <v>1</v>
      </c>
      <c r="X521" s="23" t="str">
        <f>IFERROR(__xludf.DUMMYFUNCTION("if(COUNTA(FILTER(C:C, C:C = C521))=1,""no"",""yes"")"),"no")</f>
        <v>no</v>
      </c>
    </row>
    <row r="522">
      <c r="A522" s="75" t="s">
        <v>519</v>
      </c>
      <c r="B522" s="19">
        <v>17.0</v>
      </c>
      <c r="C522" s="19" t="s">
        <v>1272</v>
      </c>
      <c r="D522" s="22" t="str">
        <f t="shared" si="365"/>
        <v/>
      </c>
      <c r="E522" s="20">
        <f t="shared" si="366"/>
        <v>43725</v>
      </c>
      <c r="F522" s="79" t="str">
        <f>IFERROR(__xludf.DUMMYFUNCTION("iferror(ifna(IFNA(filter('2.1.clean'!E:E,'2.1.clean'!A:A=C522),filter('2.2.clean'!G:G,'2.2.clean'!D:D=C522)),filter('2.4.clean'!E:E,'2.4.clean'!A:A=C522)),)"),"")</f>
        <v/>
      </c>
      <c r="G522" s="20" t="str">
        <f>IFERROR(__xludf.DUMMYFUNCTION("iferror(filter('3.1.clean'!C:C,'3.1.clean'!A:A=C522),"""")"),"")</f>
        <v/>
      </c>
      <c r="H522" s="22"/>
      <c r="I522" s="22"/>
      <c r="J522" s="79"/>
      <c r="K522" s="20" t="str">
        <f>IFERROR(__xludf.DUMMYFUNCTION("iferror(filter('3.2.clean'!C:C,'3.2.clean'!A:A=C522),"""")"),"")</f>
        <v/>
      </c>
      <c r="L522" s="79"/>
      <c r="M522" s="20">
        <f>IFERROR(__xludf.DUMMYFUNCTION("iferror(filter('3.3.clean'!C:C,'3.3.clean'!A:A=C522),"""")"),43727.0)</f>
        <v>43727</v>
      </c>
      <c r="N522" s="79" t="b">
        <f t="shared" si="354"/>
        <v>1</v>
      </c>
      <c r="O522" s="20" t="str">
        <f>IFERROR(__xludf.DUMMYFUNCTION("iferror(filter('3.4.clean'!C:C,'3.4.clean'!A:A=C522),"""")"),"")</f>
        <v/>
      </c>
      <c r="P522" s="79" t="b">
        <f t="shared" si="355"/>
        <v>0</v>
      </c>
      <c r="Q522" s="20">
        <f>IFERROR(__xludf.DUMMYFUNCTION("iferror(filter('3.5.clean'!C:C,'3.5.clean'!A:A=C522),"""")"),43725.0)</f>
        <v>43725</v>
      </c>
      <c r="R522" s="22" t="b">
        <f t="shared" si="357"/>
        <v>1</v>
      </c>
      <c r="S522" s="4">
        <f>IFERROR(__xludf.DUMMYFUNCTION("iferror(filter('3.5.clean'!H:H,'3.5.clean'!A:A=C522),"""")"),0.0)</f>
        <v>0</v>
      </c>
      <c r="U522" s="1" t="s">
        <v>382</v>
      </c>
      <c r="V522" s="1" t="s">
        <v>64</v>
      </c>
      <c r="W522" s="23" t="b">
        <f>IF(and(R522=TRUE,N522=TRUE,P522=TRUE),TRUE,FALSE)</f>
        <v>0</v>
      </c>
      <c r="X522" s="23" t="str">
        <f>IFERROR(__xludf.DUMMYFUNCTION("if(COUNTA(FILTER(C:C, C:C = C522))=1,""no"",""yes"")"),"no")</f>
        <v>no</v>
      </c>
    </row>
    <row r="523">
      <c r="A523" s="75" t="s">
        <v>519</v>
      </c>
      <c r="B523" s="19">
        <v>18.0</v>
      </c>
      <c r="C523" s="19" t="s">
        <v>1280</v>
      </c>
      <c r="D523" s="76" t="str">
        <f t="shared" si="365"/>
        <v/>
      </c>
      <c r="E523" s="77">
        <f>G523</f>
        <v>43725</v>
      </c>
      <c r="F523" s="78" t="str">
        <f>IFERROR(__xludf.DUMMYFUNCTION("iferror(ifna(IFNA(filter('2.1.clean'!E:E,'2.1.clean'!A:A=C523),filter('2.2.clean'!G:G,'2.2.clean'!D:D=C523)),filter('2.4.clean'!E:E,'2.4.clean'!A:A=C523)),)"),"")</f>
        <v/>
      </c>
      <c r="G523" s="77">
        <f>IFERROR(__xludf.DUMMYFUNCTION("iferror(filter('3.1.clean'!C:C,'3.1.clean'!A:A=C523),"""")"),43725.0)</f>
        <v>43725</v>
      </c>
      <c r="H523" s="76" t="b">
        <f>if(G523="",FALSE,TRUE)</f>
        <v>1</v>
      </c>
      <c r="I523" s="76">
        <f>IFERROR(__xludf.DUMMYFUNCTION("iferror(filter('3.1.clean'!G:G,'3.1.clean'!A:A=C523),"""")"),0.0)</f>
        <v>0</v>
      </c>
      <c r="J523" s="78">
        <f>IFERROR(__xludf.DUMMYFUNCTION("iferror(filter('3.1.clean'!I:I,'3.1.clean'!A:A=C523),"""")"),0.0)</f>
        <v>0</v>
      </c>
      <c r="K523" s="77"/>
      <c r="L523" s="78"/>
      <c r="M523" s="77">
        <f>IFERROR(__xludf.DUMMYFUNCTION("""COMPUTED_VALUE"""),43727.0)</f>
        <v>43727</v>
      </c>
      <c r="N523" s="78"/>
      <c r="O523" s="77"/>
      <c r="P523" s="78"/>
      <c r="Q523" s="77"/>
      <c r="R523" s="76"/>
      <c r="S523" s="25"/>
      <c r="T523" s="1"/>
      <c r="V523" s="1" t="s">
        <v>83</v>
      </c>
      <c r="W523" s="1" t="b">
        <v>1</v>
      </c>
      <c r="X523" s="23" t="str">
        <f>IFERROR(__xludf.DUMMYFUNCTION("if(COUNTA(FILTER(C:C, C:C = C523))=1,""no"",""yes"")"),"no")</f>
        <v>no</v>
      </c>
    </row>
    <row r="524">
      <c r="A524" s="1" t="s">
        <v>542</v>
      </c>
      <c r="B524" s="2">
        <v>1.0</v>
      </c>
      <c r="C524" s="19" t="s">
        <v>1281</v>
      </c>
      <c r="E524" s="24">
        <f>IFERROR(__xludf.DUMMYFUNCTION("ifna(IFNA(filter('2.1.clean'!C:C,'2.1.clean'!A:A=C524),filter('2.2.clean'!E:E,'2.2.clean'!D:D=C524)),filter('2.4.clean'!C:C,'2.4.clean'!A:A=C524))"),43727.0)</f>
        <v>43727</v>
      </c>
      <c r="F524" s="25">
        <f>IFERROR(__xludf.DUMMYFUNCTION("iferror(ifna(IFNA(filter('2.1.clean'!E:E,'2.1.clean'!A:A=C524),filter('2.2.clean'!G:G,'2.2.clean'!D:D=C524)),filter('2.4.clean'!E:E,'2.4.clean'!A:A=C524)),)"),2.4)</f>
        <v>2.4</v>
      </c>
      <c r="G524" s="24"/>
      <c r="J524" s="25"/>
      <c r="K524" s="24"/>
      <c r="L524" s="25"/>
      <c r="M524" s="24">
        <f>IFERROR(__xludf.DUMMYFUNCTION("iferror(filter('3.3.clean'!C:C,'3.3.clean'!A:A=C524),"""")"),43731.0)</f>
        <v>43731</v>
      </c>
      <c r="N524" s="25" t="b">
        <f t="shared" ref="N524:N527" si="367">if(M524="",FALSE,TRUE)</f>
        <v>1</v>
      </c>
      <c r="O524" s="24">
        <f>IFERROR(__xludf.DUMMYFUNCTION("iferror(filter('3.4.clean'!C:C,'3.4.clean'!A:A=C524),"""")"),43735.0)</f>
        <v>43735</v>
      </c>
      <c r="P524" s="25" t="b">
        <f t="shared" ref="P524:P531" si="368">if(O524="",FALSE,TRUE)</f>
        <v>1</v>
      </c>
      <c r="Q524" s="24">
        <f>IFERROR(__xludf.DUMMYFUNCTION("iferror(filter('3.5.clean'!C:C,'3.5.clean'!A:A=C524),"""")"),43727.0)</f>
        <v>43727</v>
      </c>
      <c r="R524" s="23" t="b">
        <f>if(Q524="",FALSE,TRUE)</f>
        <v>1</v>
      </c>
      <c r="S524" s="25"/>
      <c r="V524" s="1" t="s">
        <v>64</v>
      </c>
      <c r="W524" s="23" t="b">
        <f>IF(and(R524=TRUE,N524=TRUE,P524=TRUE),TRUE,FALSE)</f>
        <v>1</v>
      </c>
      <c r="X524" s="23" t="str">
        <f>IFERROR(__xludf.DUMMYFUNCTION("if(COUNTA(FILTER(C:C, C:C = C524))=1,""no"",""yes"")"),"no")</f>
        <v>no</v>
      </c>
    </row>
    <row r="525">
      <c r="A525" s="1" t="s">
        <v>542</v>
      </c>
      <c r="B525" s="19">
        <v>2.0</v>
      </c>
      <c r="C525" s="19" t="s">
        <v>271</v>
      </c>
      <c r="D525" s="58" t="str">
        <f t="shared" ref="D525:D526" si="369">if(or(I525=1,J525=1,S525=1),"pos","")</f>
        <v/>
      </c>
      <c r="E525" s="59">
        <f>IFERROR(__xludf.DUMMYFUNCTION("ifna(IFNA(filter('2.1.clean'!C:C,'2.1.clean'!A:A=C525),filter('2.2.clean'!E:E,'2.2.clean'!D:D=C525)),filter('2.4.clean'!C:C,'2.4.clean'!A:A=C525))"),43727.0)</f>
        <v>43727</v>
      </c>
      <c r="F525" s="60">
        <f>IFERROR(__xludf.DUMMYFUNCTION("iferror(ifna(IFNA(filter('2.1.clean'!E:E,'2.1.clean'!A:A=C525),filter('2.2.clean'!G:G,'2.2.clean'!D:D=C525)),filter('2.4.clean'!E:E,'2.4.clean'!A:A=C525)),)"),2.4)</f>
        <v>2.4</v>
      </c>
      <c r="G525" s="59">
        <f>IFERROR(__xludf.DUMMYFUNCTION("iferror(filter('3.1.clean'!C:C,'3.1.clean'!A:A=C525),"""")"),43727.0)</f>
        <v>43727</v>
      </c>
      <c r="H525" s="58" t="b">
        <f>if(G525="",FALSE,TRUE)</f>
        <v>1</v>
      </c>
      <c r="I525" s="58">
        <f>IFERROR(__xludf.DUMMYFUNCTION("iferror(filter('3.1.clean'!G:G,'3.1.clean'!A:A=C525),"""")"),0.0)</f>
        <v>0</v>
      </c>
      <c r="J525" s="60">
        <f>IFERROR(__xludf.DUMMYFUNCTION("iferror(filter('3.1.clean'!I:I,'3.1.clean'!A:A=C525),"""")"),0.0)</f>
        <v>0</v>
      </c>
      <c r="K525" s="58"/>
      <c r="L525" s="60"/>
      <c r="M525" s="59">
        <f>IFERROR(__xludf.DUMMYFUNCTION("iferror(filter('3.3.clean'!C:C,'3.3.clean'!A:A=C525),"""")"),43731.0)</f>
        <v>43731</v>
      </c>
      <c r="N525" s="60" t="b">
        <f t="shared" si="367"/>
        <v>1</v>
      </c>
      <c r="O525" s="59" t="str">
        <f>IFERROR(__xludf.DUMMYFUNCTION("iferror(filter('3.4.clean'!C:C,'3.4.clean'!A:A=C525),"""")"),"")</f>
        <v/>
      </c>
      <c r="P525" s="60" t="b">
        <f t="shared" si="368"/>
        <v>0</v>
      </c>
      <c r="Q525" s="59" t="str">
        <f>IFERROR(__xludf.DUMMYFUNCTION("iferror(filter('3.5.clean'!C:C,'3.5.clean'!A:A=C525),"""")"),"")</f>
        <v/>
      </c>
      <c r="R525" s="58"/>
      <c r="S525" s="4" t="str">
        <f>IFERROR(__xludf.DUMMYFUNCTION("iferror(filter('3.5.clean'!H:H,'3.5.clean'!A:A=C525),"""")"),"")</f>
        <v/>
      </c>
      <c r="V525" s="1" t="s">
        <v>64</v>
      </c>
      <c r="W525" s="23" t="b">
        <f>if(AND(H525=TRUE,N525=TRUE,P525=TRUE),TRUE,FALSE)</f>
        <v>0</v>
      </c>
      <c r="X525" s="23" t="str">
        <f>IFERROR(__xludf.DUMMYFUNCTION("if(COUNTA(FILTER(C:C, C:C = C525))=1,""no"",""yes"")"),"no")</f>
        <v>no</v>
      </c>
    </row>
    <row r="526">
      <c r="A526" s="1" t="s">
        <v>542</v>
      </c>
      <c r="B526" s="19">
        <v>3.0</v>
      </c>
      <c r="C526" s="19" t="s">
        <v>270</v>
      </c>
      <c r="D526" s="58" t="str">
        <f t="shared" si="369"/>
        <v>pos</v>
      </c>
      <c r="E526" s="59">
        <f>Q526</f>
        <v>43727</v>
      </c>
      <c r="F526" s="60" t="str">
        <f>IFERROR(__xludf.DUMMYFUNCTION("iferror(ifna(IFNA(filter('2.1.clean'!E:E,'2.1.clean'!A:A=C526),filter('2.2.clean'!G:G,'2.2.clean'!D:D=C526)),filter('2.4.clean'!E:E,'2.4.clean'!A:A=C526)),)"),"")</f>
        <v/>
      </c>
      <c r="G526" s="59" t="str">
        <f>IFERROR(__xludf.DUMMYFUNCTION("iferror(filter('3.1.clean'!C:C,'3.1.clean'!A:A=C526),"""")"),"")</f>
        <v/>
      </c>
      <c r="H526" s="58"/>
      <c r="I526" s="58"/>
      <c r="J526" s="60"/>
      <c r="K526" s="58"/>
      <c r="L526" s="60"/>
      <c r="M526" s="59">
        <f>IFERROR(__xludf.DUMMYFUNCTION("iferror(filter('3.3.clean'!C:C,'3.3.clean'!A:A=C526),"""")"),43731.0)</f>
        <v>43731</v>
      </c>
      <c r="N526" s="60" t="b">
        <f t="shared" si="367"/>
        <v>1</v>
      </c>
      <c r="O526" s="59">
        <f>IFERROR(__xludf.DUMMYFUNCTION("iferror(filter('3.4.clean'!C:C,'3.4.clean'!A:A=C526),"""")"),43735.0)</f>
        <v>43735</v>
      </c>
      <c r="P526" s="60" t="b">
        <f t="shared" si="368"/>
        <v>1</v>
      </c>
      <c r="Q526" s="59">
        <f>IFERROR(__xludf.DUMMYFUNCTION("iferror(filter('3.5.clean'!C:C,'3.5.clean'!A:A=C526),"""")"),43727.0)</f>
        <v>43727</v>
      </c>
      <c r="R526" s="58" t="b">
        <f t="shared" ref="R526:R527" si="370">if(Q526="",FALSE,TRUE)</f>
        <v>1</v>
      </c>
      <c r="S526" s="4">
        <f>IFERROR(__xludf.DUMMYFUNCTION("iferror(filter('3.5.clean'!H:H,'3.5.clean'!A:A=C526),"""")"),1.0)</f>
        <v>1</v>
      </c>
      <c r="V526" s="1" t="s">
        <v>64</v>
      </c>
      <c r="W526" s="23" t="b">
        <f>if(AND(R526=TRUE,N526=TRUE,P526=TRUE),TRUE,FALSE)</f>
        <v>1</v>
      </c>
      <c r="X526" s="23" t="str">
        <f>IFERROR(__xludf.DUMMYFUNCTION("if(COUNTA(FILTER(C:C, C:C = C526))=1,""no"",""yes"")"),"no")</f>
        <v>no</v>
      </c>
    </row>
    <row r="527">
      <c r="A527" s="1" t="s">
        <v>542</v>
      </c>
      <c r="B527" s="2">
        <v>4.0</v>
      </c>
      <c r="C527" s="19" t="s">
        <v>1284</v>
      </c>
      <c r="E527" s="24">
        <f>IFERROR(__xludf.DUMMYFUNCTION("ifna(IFNA(filter('2.1.clean'!C:C,'2.1.clean'!A:A=C527),filter('2.2.clean'!E:E,'2.2.clean'!D:D=C527)),filter('2.4.clean'!C:C,'2.4.clean'!A:A=C527))"),43727.0)</f>
        <v>43727</v>
      </c>
      <c r="F527" s="25">
        <f>IFERROR(__xludf.DUMMYFUNCTION("iferror(ifna(IFNA(filter('2.1.clean'!E:E,'2.1.clean'!A:A=C527),filter('2.2.clean'!G:G,'2.2.clean'!D:D=C527)),filter('2.4.clean'!E:E,'2.4.clean'!A:A=C527)),)"),2.4)</f>
        <v>2.4</v>
      </c>
      <c r="G527" s="24">
        <f>IFERROR(__xludf.DUMMYFUNCTION("iferror(filter('3.1.clean'!C:C,'3.1.clean'!A:A=C527),"""")"),43727.0)</f>
        <v>43727</v>
      </c>
      <c r="H527" s="23" t="b">
        <f>if(G527="",FALSE,TRUE)</f>
        <v>1</v>
      </c>
      <c r="J527" s="25"/>
      <c r="K527" s="24" t="str">
        <f>IFERROR(__xludf.DUMMYFUNCTION("iferror(filter('3.2.clean'!C:C,'3.2.clean'!A:A=C527),"""")"),"")</f>
        <v/>
      </c>
      <c r="L527" s="25" t="b">
        <f>if(K527="",FALSE,TRUE)</f>
        <v>0</v>
      </c>
      <c r="M527" s="24">
        <f>IFERROR(__xludf.DUMMYFUNCTION("iferror(filter('3.3.clean'!C:C,'3.3.clean'!A:A=C527),"""")"),43731.0)</f>
        <v>43731</v>
      </c>
      <c r="N527" s="25" t="b">
        <f t="shared" si="367"/>
        <v>1</v>
      </c>
      <c r="O527" s="24">
        <f>IFERROR(__xludf.DUMMYFUNCTION("iferror(filter('3.4.clean'!C:C,'3.4.clean'!A:A=C527),"""")"),43735.0)</f>
        <v>43735</v>
      </c>
      <c r="P527" s="25" t="b">
        <f t="shared" si="368"/>
        <v>1</v>
      </c>
      <c r="Q527" s="24">
        <f>IFERROR(__xludf.DUMMYFUNCTION("iferror(filter('3.5.clean'!C:C,'3.5.clean'!A:A=C527),"""")"),43727.0)</f>
        <v>43727</v>
      </c>
      <c r="R527" s="23" t="b">
        <f t="shared" si="370"/>
        <v>1</v>
      </c>
      <c r="S527" s="25"/>
      <c r="V527" s="1" t="s">
        <v>64</v>
      </c>
      <c r="X527" s="23" t="str">
        <f>IFERROR(__xludf.DUMMYFUNCTION("if(COUNTA(FILTER(C:C, C:C = C527))=1,""no"",""yes"")"),"no")</f>
        <v>no</v>
      </c>
    </row>
    <row r="528">
      <c r="A528" s="1" t="s">
        <v>542</v>
      </c>
      <c r="B528" s="2">
        <v>5.0</v>
      </c>
      <c r="C528" s="19" t="s">
        <v>1285</v>
      </c>
      <c r="E528" s="24">
        <v>43727.0</v>
      </c>
      <c r="F528" s="25" t="str">
        <f>IFERROR(__xludf.DUMMYFUNCTION("iferror(ifna(IFNA(filter('2.1.clean'!E:E,'2.1.clean'!A:A=C528),filter('2.2.clean'!G:G,'2.2.clean'!D:D=C528)),filter('2.4.clean'!E:E,'2.4.clean'!A:A=C528)),)"),"")</f>
        <v/>
      </c>
      <c r="G528" s="24"/>
      <c r="J528" s="25"/>
      <c r="K528" s="24"/>
      <c r="L528" s="25"/>
      <c r="M528" s="24"/>
      <c r="N528" s="25"/>
      <c r="O528" s="24">
        <f>IFERROR(__xludf.DUMMYFUNCTION("iferror(filter('3.4.clean'!C:C,'3.4.clean'!A:A=C528),"""")"),43735.0)</f>
        <v>43735</v>
      </c>
      <c r="P528" s="25" t="b">
        <f t="shared" si="368"/>
        <v>1</v>
      </c>
      <c r="Q528" s="24" t="str">
        <f>IFERROR(__xludf.DUMMYFUNCTION("iferror(filter('3.5.clean'!C:C,'3.5.clean'!A:A=C528),"""")"),"")</f>
        <v/>
      </c>
      <c r="S528" s="25"/>
      <c r="V528" s="1" t="s">
        <v>64</v>
      </c>
      <c r="X528" s="23" t="str">
        <f>IFERROR(__xludf.DUMMYFUNCTION("if(COUNTA(FILTER(C:C, C:C = C528))=1,""no"",""yes"")"),"no")</f>
        <v>no</v>
      </c>
    </row>
    <row r="529">
      <c r="A529" s="1" t="s">
        <v>542</v>
      </c>
      <c r="B529" s="19">
        <v>6.0</v>
      </c>
      <c r="C529" s="19" t="s">
        <v>1286</v>
      </c>
      <c r="D529" s="58" t="str">
        <f t="shared" ref="D529:D532" si="371">if(or(I529=1,J529=1,S529=1),"pos","")</f>
        <v>pos</v>
      </c>
      <c r="E529" s="59">
        <f>IFERROR(__xludf.DUMMYFUNCTION("ifna(IFNA(filter('2.1.clean'!C:C,'2.1.clean'!A:A=C529),filter('2.2.clean'!E:E,'2.2.clean'!D:D=C529)),filter('2.4.clean'!C:C,'2.4.clean'!A:A=C529))"),43727.0)</f>
        <v>43727</v>
      </c>
      <c r="F529" s="60">
        <f>IFERROR(__xludf.DUMMYFUNCTION("iferror(ifna(IFNA(filter('2.1.clean'!E:E,'2.1.clean'!A:A=C529),filter('2.2.clean'!G:G,'2.2.clean'!D:D=C529)),filter('2.4.clean'!E:E,'2.4.clean'!A:A=C529)),)"),2.4)</f>
        <v>2.4</v>
      </c>
      <c r="G529" s="59">
        <f>IFERROR(__xludf.DUMMYFUNCTION("iferror(filter('3.1.clean'!C:C,'3.1.clean'!A:A=C529),"""")"),43727.0)</f>
        <v>43727</v>
      </c>
      <c r="H529" s="58" t="b">
        <f>if(G529="",FALSE,TRUE)</f>
        <v>1</v>
      </c>
      <c r="I529" s="58">
        <f>IFERROR(__xludf.DUMMYFUNCTION("iferror(filter('3.1.clean'!G:G,'3.1.clean'!A:A=C529),"""")"),0.0)</f>
        <v>0</v>
      </c>
      <c r="J529" s="60">
        <f>IFERROR(__xludf.DUMMYFUNCTION("iferror(filter('3.1.clean'!I:I,'3.1.clean'!A:A=C529),"""")"),1.0)</f>
        <v>1</v>
      </c>
      <c r="K529" s="58"/>
      <c r="L529" s="60"/>
      <c r="M529" s="59">
        <f>IFERROR(__xludf.DUMMYFUNCTION("iferror(filter('3.3.clean'!C:C,'3.3.clean'!A:A=C529),"""")"),43731.0)</f>
        <v>43731</v>
      </c>
      <c r="N529" s="60" t="b">
        <f t="shared" ref="N529:N531" si="372">if(M529="",FALSE,TRUE)</f>
        <v>1</v>
      </c>
      <c r="O529" s="59" t="str">
        <f>IFERROR(__xludf.DUMMYFUNCTION("iferror(filter('3.4.clean'!C:C,'3.4.clean'!A:A=C529),"""")"),"")</f>
        <v/>
      </c>
      <c r="P529" s="60" t="b">
        <f t="shared" si="368"/>
        <v>0</v>
      </c>
      <c r="Q529" s="58" t="str">
        <f>IFERROR(__xludf.DUMMYFUNCTION("iferror(filter('3.5.clean'!C:C,'3.5.clean'!A:A=C529),"""")"),"")</f>
        <v/>
      </c>
      <c r="R529" s="58"/>
      <c r="S529" s="4" t="str">
        <f>IFERROR(__xludf.DUMMYFUNCTION("iferror(filter('3.5.clean'!H:H,'3.5.clean'!A:A=C529),"""")"),"")</f>
        <v/>
      </c>
      <c r="V529" s="1" t="s">
        <v>64</v>
      </c>
      <c r="W529" s="23" t="b">
        <f>if(AND(H529=TRUE,N529=TRUE,P529=TRUE),TRUE,FALSE)</f>
        <v>0</v>
      </c>
      <c r="X529" s="23" t="str">
        <f>IFERROR(__xludf.DUMMYFUNCTION("if(COUNTA(FILTER(C:C, C:C = C529))=1,""no"",""yes"")"),"no")</f>
        <v>no</v>
      </c>
    </row>
    <row r="530">
      <c r="A530" s="1" t="s">
        <v>542</v>
      </c>
      <c r="B530" s="19">
        <v>7.0</v>
      </c>
      <c r="C530" s="19" t="s">
        <v>1288</v>
      </c>
      <c r="D530" s="58" t="str">
        <f t="shared" si="371"/>
        <v/>
      </c>
      <c r="E530" s="59">
        <f t="shared" ref="E530:E531" si="373">Q530</f>
        <v>43727</v>
      </c>
      <c r="F530" s="60" t="str">
        <f>IFERROR(__xludf.DUMMYFUNCTION("iferror(ifna(IFNA(filter('2.1.clean'!E:E,'2.1.clean'!A:A=C530),filter('2.2.clean'!G:G,'2.2.clean'!D:D=C530)),filter('2.4.clean'!E:E,'2.4.clean'!A:A=C530)),)"),"")</f>
        <v/>
      </c>
      <c r="G530" s="59" t="str">
        <f>IFERROR(__xludf.DUMMYFUNCTION("iferror(filter('3.1.clean'!C:C,'3.1.clean'!A:A=C530),"""")"),"")</f>
        <v/>
      </c>
      <c r="H530" s="58"/>
      <c r="I530" s="58"/>
      <c r="J530" s="60"/>
      <c r="K530" s="58"/>
      <c r="L530" s="60"/>
      <c r="M530" s="59">
        <f>IFERROR(__xludf.DUMMYFUNCTION("iferror(filter('3.3.clean'!C:C,'3.3.clean'!A:A=C530),"""")"),43731.0)</f>
        <v>43731</v>
      </c>
      <c r="N530" s="60" t="b">
        <f t="shared" si="372"/>
        <v>1</v>
      </c>
      <c r="O530" s="59">
        <f>IFERROR(__xludf.DUMMYFUNCTION("iferror(filter('3.4.clean'!C:C,'3.4.clean'!A:A=C530),"""")"),43735.0)</f>
        <v>43735</v>
      </c>
      <c r="P530" s="60" t="b">
        <f t="shared" si="368"/>
        <v>1</v>
      </c>
      <c r="Q530" s="59">
        <f>IFERROR(__xludf.DUMMYFUNCTION("iferror(filter('3.5.clean'!C:C,'3.5.clean'!A:A=C530),"""")"),43727.0)</f>
        <v>43727</v>
      </c>
      <c r="R530" s="58" t="b">
        <f t="shared" ref="R530:R531" si="374">if(Q530="",FALSE,TRUE)</f>
        <v>1</v>
      </c>
      <c r="S530" s="4">
        <f>IFERROR(__xludf.DUMMYFUNCTION("iferror(filter('3.5.clean'!H:H,'3.5.clean'!A:A=C530),"""")"),0.0)</f>
        <v>0</v>
      </c>
      <c r="V530" s="1" t="s">
        <v>64</v>
      </c>
      <c r="W530" s="23" t="b">
        <f>if(AND(R530=TRUE,N530=TRUE,P530=TRUE),TRUE,FALSE)</f>
        <v>1</v>
      </c>
      <c r="X530" s="23" t="str">
        <f>IFERROR(__xludf.DUMMYFUNCTION("if(COUNTA(FILTER(C:C, C:C = C530))=1,""no"",""yes"")"),"no")</f>
        <v>no</v>
      </c>
    </row>
    <row r="531">
      <c r="A531" s="1" t="s">
        <v>542</v>
      </c>
      <c r="B531" s="19">
        <v>8.0</v>
      </c>
      <c r="C531" s="19" t="s">
        <v>1289</v>
      </c>
      <c r="D531" s="22" t="str">
        <f t="shared" si="371"/>
        <v/>
      </c>
      <c r="E531" s="20">
        <f t="shared" si="373"/>
        <v>43727</v>
      </c>
      <c r="F531" s="79" t="str">
        <f>IFERROR(__xludf.DUMMYFUNCTION("iferror(ifna(IFNA(filter('2.1.clean'!E:E,'2.1.clean'!A:A=C531),filter('2.2.clean'!G:G,'2.2.clean'!D:D=C531)),filter('2.4.clean'!E:E,'2.4.clean'!A:A=C531)),)"),"")</f>
        <v/>
      </c>
      <c r="G531" s="20" t="str">
        <f>IFERROR(__xludf.DUMMYFUNCTION("iferror(filter('3.1.clean'!C:C,'3.1.clean'!A:A=C531),"""")"),"")</f>
        <v/>
      </c>
      <c r="H531" s="22"/>
      <c r="I531" s="22"/>
      <c r="J531" s="79"/>
      <c r="K531" s="20" t="str">
        <f>IFERROR(__xludf.DUMMYFUNCTION("iferror(filter('3.2.clean'!C:C,'3.2.clean'!A:A=C531),"""")"),"")</f>
        <v/>
      </c>
      <c r="L531" s="79"/>
      <c r="M531" s="20">
        <f>IFERROR(__xludf.DUMMYFUNCTION("iferror(filter('3.3.clean'!C:C,'3.3.clean'!A:A=C531),"""")"),43731.0)</f>
        <v>43731</v>
      </c>
      <c r="N531" s="79" t="b">
        <f t="shared" si="372"/>
        <v>1</v>
      </c>
      <c r="O531" s="20" t="str">
        <f>IFERROR(__xludf.DUMMYFUNCTION("iferror(filter('3.4.clean'!C:C,'3.4.clean'!A:A=C531),"""")"),"")</f>
        <v/>
      </c>
      <c r="P531" s="79" t="b">
        <f t="shared" si="368"/>
        <v>0</v>
      </c>
      <c r="Q531" s="20">
        <f>IFERROR(__xludf.DUMMYFUNCTION("iferror(filter('3.5.clean'!C:C,'3.5.clean'!A:A=C531),"""")"),43727.0)</f>
        <v>43727</v>
      </c>
      <c r="R531" s="22" t="b">
        <f t="shared" si="374"/>
        <v>1</v>
      </c>
      <c r="S531" s="4">
        <f>IFERROR(__xludf.DUMMYFUNCTION("iferror(filter('3.5.clean'!H:H,'3.5.clean'!A:A=C531),"""")"),0.0)</f>
        <v>0</v>
      </c>
      <c r="U531" s="1" t="s">
        <v>382</v>
      </c>
      <c r="V531" s="1" t="s">
        <v>64</v>
      </c>
      <c r="W531" s="23" t="b">
        <f>IF(and(R531=TRUE,N531=TRUE,P531=TRUE),TRUE,FALSE)</f>
        <v>0</v>
      </c>
      <c r="X531" s="23" t="str">
        <f>IFERROR(__xludf.DUMMYFUNCTION("if(COUNTA(FILTER(C:C, C:C = C531))=1,""no"",""yes"")"),"no")</f>
        <v>no</v>
      </c>
    </row>
    <row r="532">
      <c r="A532" s="1" t="s">
        <v>542</v>
      </c>
      <c r="B532" s="19">
        <v>9.0</v>
      </c>
      <c r="C532" s="19" t="s">
        <v>1291</v>
      </c>
      <c r="D532" s="76" t="str">
        <f t="shared" si="371"/>
        <v/>
      </c>
      <c r="E532" s="77">
        <f>G532</f>
        <v>43727</v>
      </c>
      <c r="F532" s="78" t="str">
        <f>IFERROR(__xludf.DUMMYFUNCTION("iferror(ifna(IFNA(filter('2.1.clean'!E:E,'2.1.clean'!A:A=C532),filter('2.2.clean'!G:G,'2.2.clean'!D:D=C532)),filter('2.4.clean'!E:E,'2.4.clean'!A:A=C532)),)"),"")</f>
        <v/>
      </c>
      <c r="G532" s="77">
        <f>IFERROR(__xludf.DUMMYFUNCTION("iferror(filter('3.1.clean'!C:C,'3.1.clean'!A:A=C532),"""")"),43727.0)</f>
        <v>43727</v>
      </c>
      <c r="H532" s="76" t="b">
        <f t="shared" ref="H532:H533" si="375">if(G532="",FALSE,TRUE)</f>
        <v>1</v>
      </c>
      <c r="I532" s="76">
        <f>IFERROR(__xludf.DUMMYFUNCTION("iferror(filter('3.1.clean'!G:G,'3.1.clean'!A:A=C532),"""")"),0.0)</f>
        <v>0</v>
      </c>
      <c r="J532" s="78">
        <f>IFERROR(__xludf.DUMMYFUNCTION("iferror(filter('3.1.clean'!I:I,'3.1.clean'!A:A=C532),"""")"),0.0)</f>
        <v>0</v>
      </c>
      <c r="K532" s="77"/>
      <c r="L532" s="78"/>
      <c r="M532" s="77"/>
      <c r="N532" s="78"/>
      <c r="O532" s="77"/>
      <c r="P532" s="78"/>
      <c r="Q532" s="77"/>
      <c r="R532" s="76"/>
      <c r="S532" s="25"/>
      <c r="T532" s="1"/>
      <c r="V532" s="1" t="s">
        <v>64</v>
      </c>
      <c r="W532" s="1" t="b">
        <v>1</v>
      </c>
      <c r="X532" s="23" t="str">
        <f>IFERROR(__xludf.DUMMYFUNCTION("if(COUNTA(FILTER(C:C, C:C = C532))=1,""no"",""yes"")"),"no")</f>
        <v>no</v>
      </c>
    </row>
    <row r="533">
      <c r="A533" s="75" t="s">
        <v>571</v>
      </c>
      <c r="B533" s="2">
        <v>1.0</v>
      </c>
      <c r="C533" s="19" t="s">
        <v>1292</v>
      </c>
      <c r="E533" s="24">
        <f>IFERROR(__xludf.DUMMYFUNCTION("ifna(IFNA(filter('2.1.clean'!C:C,'2.1.clean'!A:A=C533),filter('2.2.clean'!E:E,'2.2.clean'!D:D=C533)),filter('2.4.clean'!C:C,'2.4.clean'!A:A=C533))"),43731.0)</f>
        <v>43731</v>
      </c>
      <c r="F533" s="25">
        <f>IFERROR(__xludf.DUMMYFUNCTION("iferror(ifna(IFNA(filter('2.1.clean'!E:E,'2.1.clean'!A:A=C533),filter('2.2.clean'!G:G,'2.2.clean'!D:D=C533)),filter('2.4.clean'!E:E,'2.4.clean'!A:A=C533)),)"),2.4)</f>
        <v>2.4</v>
      </c>
      <c r="G533" s="24">
        <f>IFERROR(__xludf.DUMMYFUNCTION("iferror(filter('3.1.clean'!C:C,'3.1.clean'!A:A=C533),"""")"),43731.0)</f>
        <v>43731</v>
      </c>
      <c r="H533" s="23" t="b">
        <f t="shared" si="375"/>
        <v>1</v>
      </c>
      <c r="J533" s="25"/>
      <c r="K533" s="24">
        <f>IFERROR(__xludf.DUMMYFUNCTION("iferror(filter('3.2.clean'!C:C,'3.2.clean'!A:A=C533),"""")"),43732.0)</f>
        <v>43732</v>
      </c>
      <c r="L533" s="25" t="b">
        <f>if(K533="",FALSE,TRUE)</f>
        <v>1</v>
      </c>
      <c r="M533" s="24">
        <f>IFERROR(__xludf.DUMMYFUNCTION("iferror(filter('3.3.clean'!C:C,'3.3.clean'!A:A=C533),"""")"),43733.0)</f>
        <v>43733</v>
      </c>
      <c r="N533" s="25" t="b">
        <f>if(M533="",FALSE,TRUE)</f>
        <v>1</v>
      </c>
      <c r="O533" s="24">
        <f>IFERROR(__xludf.DUMMYFUNCTION("iferror(filter('3.4.clean'!C:C,'3.4.clean'!A:A=C533),"""")"),43735.0)</f>
        <v>43735</v>
      </c>
      <c r="P533" s="25" t="b">
        <f t="shared" ref="P533:P537" si="376">if(O533="",FALSE,TRUE)</f>
        <v>1</v>
      </c>
      <c r="Q533" s="24">
        <f>IFERROR(__xludf.DUMMYFUNCTION("iferror(filter('3.5.clean'!C:C,'3.5.clean'!A:A=C533),"""")"),43731.0)</f>
        <v>43731</v>
      </c>
      <c r="R533" s="23" t="b">
        <f>if(Q533="",FALSE,TRUE)</f>
        <v>1</v>
      </c>
      <c r="S533" s="25"/>
      <c r="V533" s="1" t="s">
        <v>64</v>
      </c>
      <c r="X533" s="23" t="str">
        <f>IFERROR(__xludf.DUMMYFUNCTION("if(COUNTA(FILTER(C:C, C:C = C533))=1,""no"",""yes"")"),"no")</f>
        <v>no</v>
      </c>
    </row>
    <row r="534">
      <c r="A534" s="75" t="s">
        <v>571</v>
      </c>
      <c r="B534" s="2">
        <v>2.0</v>
      </c>
      <c r="C534" s="19" t="s">
        <v>1294</v>
      </c>
      <c r="E534" s="24">
        <v>43731.0</v>
      </c>
      <c r="F534" s="25" t="str">
        <f>IFERROR(__xludf.DUMMYFUNCTION("iferror(ifna(IFNA(filter('2.1.clean'!E:E,'2.1.clean'!A:A=C534),filter('2.2.clean'!G:G,'2.2.clean'!D:D=C534)),filter('2.4.clean'!E:E,'2.4.clean'!A:A=C534)),)"),"")</f>
        <v/>
      </c>
      <c r="G534" s="24"/>
      <c r="J534" s="25"/>
      <c r="K534" s="24"/>
      <c r="L534" s="25"/>
      <c r="M534" s="24"/>
      <c r="N534" s="25"/>
      <c r="O534" s="24">
        <f>IFERROR(__xludf.DUMMYFUNCTION("iferror(filter('3.4.clean'!C:C,'3.4.clean'!A:A=C534),"""")"),43735.0)</f>
        <v>43735</v>
      </c>
      <c r="P534" s="25" t="b">
        <f t="shared" si="376"/>
        <v>1</v>
      </c>
      <c r="Q534" s="24" t="str">
        <f>IFERROR(__xludf.DUMMYFUNCTION("iferror(filter('3.5.clean'!C:C,'3.5.clean'!A:A=C534),"""")"),"")</f>
        <v/>
      </c>
      <c r="S534" s="25"/>
      <c r="V534" s="1" t="s">
        <v>64</v>
      </c>
      <c r="X534" s="23" t="str">
        <f>IFERROR(__xludf.DUMMYFUNCTION("if(COUNTA(FILTER(C:C, C:C = C534))=1,""no"",""yes"")"),"no")</f>
        <v>no</v>
      </c>
    </row>
    <row r="535">
      <c r="A535" s="75" t="s">
        <v>571</v>
      </c>
      <c r="B535" s="19">
        <v>3.0</v>
      </c>
      <c r="C535" s="19" t="s">
        <v>1295</v>
      </c>
      <c r="D535" s="58" t="str">
        <f t="shared" ref="D535:D538" si="377">if(or(I535=1,J535=1,S535=1),"pos","")</f>
        <v/>
      </c>
      <c r="E535" s="59">
        <f>IFERROR(__xludf.DUMMYFUNCTION("ifna(IFNA(filter('2.1.clean'!C:C,'2.1.clean'!A:A=C535),filter('2.2.clean'!E:E,'2.2.clean'!D:D=C535)),filter('2.4.clean'!C:C,'2.4.clean'!A:A=C535))"),43731.0)</f>
        <v>43731</v>
      </c>
      <c r="F535" s="60">
        <f>IFERROR(__xludf.DUMMYFUNCTION("iferror(ifna(IFNA(filter('2.1.clean'!E:E,'2.1.clean'!A:A=C535),filter('2.2.clean'!G:G,'2.2.clean'!D:D=C535)),filter('2.4.clean'!E:E,'2.4.clean'!A:A=C535)),)"),2.4)</f>
        <v>2.4</v>
      </c>
      <c r="G535" s="59">
        <f>IFERROR(__xludf.DUMMYFUNCTION("iferror(filter('3.1.clean'!C:C,'3.1.clean'!A:A=C535),"""")"),43731.0)</f>
        <v>43731</v>
      </c>
      <c r="H535" s="58" t="b">
        <f>if(G535="",FALSE,TRUE)</f>
        <v>1</v>
      </c>
      <c r="I535" s="58">
        <f>IFERROR(__xludf.DUMMYFUNCTION("iferror(filter('3.1.clean'!G:G,'3.1.clean'!A:A=C535),"""")"),0.0)</f>
        <v>0</v>
      </c>
      <c r="J535" s="60" t="str">
        <f>IFERROR(__xludf.DUMMYFUNCTION("iferror(filter('3.1.clean'!I:I,'3.1.clean'!A:A=C535),"""")"),"")</f>
        <v/>
      </c>
      <c r="K535" s="58"/>
      <c r="L535" s="60"/>
      <c r="M535" s="59">
        <f>IFERROR(__xludf.DUMMYFUNCTION("iferror(filter('3.3.clean'!C:C,'3.3.clean'!A:A=C535),"""")"),43733.0)</f>
        <v>43733</v>
      </c>
      <c r="N535" s="60" t="b">
        <f t="shared" ref="N535:N537" si="378">if(M535="",FALSE,TRUE)</f>
        <v>1</v>
      </c>
      <c r="O535" s="59" t="str">
        <f>IFERROR(__xludf.DUMMYFUNCTION("iferror(filter('3.4.clean'!C:C,'3.4.clean'!A:A=C535),"""")"),"")</f>
        <v/>
      </c>
      <c r="P535" s="60" t="b">
        <f t="shared" si="376"/>
        <v>0</v>
      </c>
      <c r="Q535" s="59" t="str">
        <f>IFERROR(__xludf.DUMMYFUNCTION("iferror(filter('3.5.clean'!C:C,'3.5.clean'!A:A=C535),"""")"),"")</f>
        <v/>
      </c>
      <c r="R535" s="58"/>
      <c r="S535" s="4" t="str">
        <f>IFERROR(__xludf.DUMMYFUNCTION("iferror(filter('3.5.clean'!H:H,'3.5.clean'!A:A=C535),"""")"),"")</f>
        <v/>
      </c>
      <c r="V535" s="1" t="s">
        <v>64</v>
      </c>
      <c r="W535" s="23" t="b">
        <f>if(AND(H535=TRUE,N535=TRUE,P535=TRUE),TRUE,FALSE)</f>
        <v>0</v>
      </c>
      <c r="X535" s="23" t="str">
        <f>IFERROR(__xludf.DUMMYFUNCTION("if(COUNTA(FILTER(C:C, C:C = C535))=1,""no"",""yes"")"),"no")</f>
        <v>no</v>
      </c>
    </row>
    <row r="536">
      <c r="A536" s="75" t="s">
        <v>571</v>
      </c>
      <c r="B536" s="19">
        <v>4.0</v>
      </c>
      <c r="C536" s="19" t="s">
        <v>1297</v>
      </c>
      <c r="D536" s="58" t="str">
        <f t="shared" si="377"/>
        <v/>
      </c>
      <c r="E536" s="59">
        <f t="shared" ref="E536:E537" si="379">Q536</f>
        <v>43731</v>
      </c>
      <c r="F536" s="60" t="str">
        <f>IFERROR(__xludf.DUMMYFUNCTION("iferror(ifna(IFNA(filter('2.1.clean'!E:E,'2.1.clean'!A:A=C536),filter('2.2.clean'!G:G,'2.2.clean'!D:D=C536)),filter('2.4.clean'!E:E,'2.4.clean'!A:A=C536)),)"),"")</f>
        <v/>
      </c>
      <c r="G536" s="59" t="str">
        <f>IFERROR(__xludf.DUMMYFUNCTION("iferror(filter('3.1.clean'!C:C,'3.1.clean'!A:A=C536),"""")"),"")</f>
        <v/>
      </c>
      <c r="H536" s="58"/>
      <c r="I536" s="58"/>
      <c r="J536" s="60"/>
      <c r="K536" s="58"/>
      <c r="L536" s="60"/>
      <c r="M536" s="59">
        <f>IFERROR(__xludf.DUMMYFUNCTION("iferror(filter('3.3.clean'!C:C,'3.3.clean'!A:A=C536),"""")"),43733.0)</f>
        <v>43733</v>
      </c>
      <c r="N536" s="60" t="b">
        <f t="shared" si="378"/>
        <v>1</v>
      </c>
      <c r="O536" s="59">
        <f>IFERROR(__xludf.DUMMYFUNCTION("iferror(filter('3.4.clean'!C:C,'3.4.clean'!A:A=C536),"""")"),43735.0)</f>
        <v>43735</v>
      </c>
      <c r="P536" s="60" t="b">
        <f t="shared" si="376"/>
        <v>1</v>
      </c>
      <c r="Q536" s="59">
        <f>IFERROR(__xludf.DUMMYFUNCTION("iferror(filter('3.5.clean'!C:C,'3.5.clean'!A:A=C536),"""")"),43731.0)</f>
        <v>43731</v>
      </c>
      <c r="R536" s="58" t="b">
        <f t="shared" ref="R536:R537" si="380">if(Q536="",FALSE,TRUE)</f>
        <v>1</v>
      </c>
      <c r="S536" s="4">
        <f>IFERROR(__xludf.DUMMYFUNCTION("iferror(filter('3.5.clean'!H:H,'3.5.clean'!A:A=C536),"""")"),0.0)</f>
        <v>0</v>
      </c>
      <c r="V536" s="1" t="s">
        <v>64</v>
      </c>
      <c r="W536" s="23" t="b">
        <f>if(AND(R536=TRUE,N536=TRUE,P536=TRUE),TRUE,FALSE)</f>
        <v>1</v>
      </c>
      <c r="X536" s="23" t="str">
        <f>IFERROR(__xludf.DUMMYFUNCTION("if(COUNTA(FILTER(C:C, C:C = C536))=1,""no"",""yes"")"),"no")</f>
        <v>no</v>
      </c>
    </row>
    <row r="537">
      <c r="A537" s="75" t="s">
        <v>571</v>
      </c>
      <c r="B537" s="19">
        <v>5.0</v>
      </c>
      <c r="C537" s="19" t="s">
        <v>1298</v>
      </c>
      <c r="D537" s="22" t="str">
        <f t="shared" si="377"/>
        <v/>
      </c>
      <c r="E537" s="20">
        <f t="shared" si="379"/>
        <v>43731</v>
      </c>
      <c r="F537" s="79" t="str">
        <f>IFERROR(__xludf.DUMMYFUNCTION("iferror(ifna(IFNA(filter('2.1.clean'!E:E,'2.1.clean'!A:A=C537),filter('2.2.clean'!G:G,'2.2.clean'!D:D=C537)),filter('2.4.clean'!E:E,'2.4.clean'!A:A=C537)),)"),"")</f>
        <v/>
      </c>
      <c r="G537" s="20" t="str">
        <f>IFERROR(__xludf.DUMMYFUNCTION("iferror(filter('3.1.clean'!C:C,'3.1.clean'!A:A=C537),"""")"),"")</f>
        <v/>
      </c>
      <c r="H537" s="22"/>
      <c r="I537" s="22"/>
      <c r="J537" s="79"/>
      <c r="K537" s="20" t="str">
        <f>IFERROR(__xludf.DUMMYFUNCTION("iferror(filter('3.2.clean'!C:C,'3.2.clean'!A:A=C537),"""")"),"")</f>
        <v/>
      </c>
      <c r="L537" s="79"/>
      <c r="M537" s="20">
        <f>IFERROR(__xludf.DUMMYFUNCTION("iferror(filter('3.3.clean'!C:C,'3.3.clean'!A:A=C537),"""")"),43733.0)</f>
        <v>43733</v>
      </c>
      <c r="N537" s="79" t="b">
        <f t="shared" si="378"/>
        <v>1</v>
      </c>
      <c r="O537" s="20" t="str">
        <f>IFERROR(__xludf.DUMMYFUNCTION("iferror(filter('3.4.clean'!C:C,'3.4.clean'!A:A=C537),"""")"),"")</f>
        <v/>
      </c>
      <c r="P537" s="79" t="b">
        <f t="shared" si="376"/>
        <v>0</v>
      </c>
      <c r="Q537" s="20">
        <f>IFERROR(__xludf.DUMMYFUNCTION("iferror(filter('3.5.clean'!C:C,'3.5.clean'!A:A=C537),"""")"),43731.0)</f>
        <v>43731</v>
      </c>
      <c r="R537" s="22" t="b">
        <f t="shared" si="380"/>
        <v>1</v>
      </c>
      <c r="S537" s="4">
        <f>IFERROR(__xludf.DUMMYFUNCTION("iferror(filter('3.5.clean'!H:H,'3.5.clean'!A:A=C537),"""")"),0.0)</f>
        <v>0</v>
      </c>
      <c r="U537" s="1" t="s">
        <v>382</v>
      </c>
      <c r="V537" s="1" t="s">
        <v>64</v>
      </c>
      <c r="W537" s="23" t="b">
        <f>IF(and(R537=TRUE,N537=TRUE,P537=TRUE),TRUE,FALSE)</f>
        <v>0</v>
      </c>
      <c r="X537" s="23" t="str">
        <f>IFERROR(__xludf.DUMMYFUNCTION("if(COUNTA(FILTER(C:C, C:C = C537))=1,""no"",""yes"")"),"no")</f>
        <v>no</v>
      </c>
    </row>
    <row r="538">
      <c r="A538" s="75" t="s">
        <v>571</v>
      </c>
      <c r="B538" s="19">
        <v>6.0</v>
      </c>
      <c r="C538" s="19" t="s">
        <v>1300</v>
      </c>
      <c r="D538" s="76" t="str">
        <f t="shared" si="377"/>
        <v/>
      </c>
      <c r="E538" s="77">
        <f>G538</f>
        <v>43731</v>
      </c>
      <c r="F538" s="78" t="str">
        <f>IFERROR(__xludf.DUMMYFUNCTION("iferror(ifna(IFNA(filter('2.1.clean'!E:E,'2.1.clean'!A:A=C538),filter('2.2.clean'!G:G,'2.2.clean'!D:D=C538)),filter('2.4.clean'!E:E,'2.4.clean'!A:A=C538)),)"),"")</f>
        <v/>
      </c>
      <c r="G538" s="77">
        <f>IFERROR(__xludf.DUMMYFUNCTION("iferror(filter('3.1.clean'!C:C,'3.1.clean'!A:A=C538),"""")"),43731.0)</f>
        <v>43731</v>
      </c>
      <c r="H538" s="76" t="b">
        <f>if(G538="",FALSE,TRUE)</f>
        <v>1</v>
      </c>
      <c r="I538" s="76">
        <f>IFERROR(__xludf.DUMMYFUNCTION("iferror(filter('3.1.clean'!G:G,'3.1.clean'!A:A=C538),"""")"),0.0)</f>
        <v>0</v>
      </c>
      <c r="J538" s="78">
        <f>IFERROR(__xludf.DUMMYFUNCTION("iferror(filter('3.1.clean'!I:I,'3.1.clean'!A:A=C538),"""")"),0.0)</f>
        <v>0</v>
      </c>
      <c r="K538" s="77"/>
      <c r="L538" s="78"/>
      <c r="M538" s="77"/>
      <c r="N538" s="78"/>
      <c r="O538" s="77"/>
      <c r="P538" s="78"/>
      <c r="Q538" s="77"/>
      <c r="R538" s="76"/>
      <c r="S538" s="25"/>
      <c r="T538" s="1"/>
      <c r="V538" s="1" t="s">
        <v>64</v>
      </c>
      <c r="W538" s="1" t="b">
        <v>1</v>
      </c>
      <c r="X538" s="23" t="str">
        <f>IFERROR(__xludf.DUMMYFUNCTION("if(COUNTA(FILTER(C:C, C:C = C538))=1,""no"",""yes"")"),"no")</f>
        <v>no</v>
      </c>
    </row>
    <row r="539">
      <c r="A539" s="1" t="s">
        <v>595</v>
      </c>
      <c r="B539" s="2">
        <v>1.0</v>
      </c>
      <c r="C539" s="19" t="s">
        <v>1301</v>
      </c>
      <c r="E539" s="24">
        <f>IFERROR(__xludf.DUMMYFUNCTION("ifna(IFNA(filter('2.1.clean'!C:C,'2.1.clean'!A:A=C539),filter('2.2.clean'!E:E,'2.2.clean'!D:D=C539)),filter('2.4.clean'!C:C,'2.4.clean'!A:A=C539))"),43732.0)</f>
        <v>43732</v>
      </c>
      <c r="F539" s="25">
        <f>IFERROR(__xludf.DUMMYFUNCTION("iferror(ifna(IFNA(filter('2.1.clean'!E:E,'2.1.clean'!A:A=C539),filter('2.2.clean'!G:G,'2.2.clean'!D:D=C539)),filter('2.4.clean'!E:E,'2.4.clean'!A:A=C539)),)"),2.4)</f>
        <v>2.4</v>
      </c>
      <c r="G539" s="24"/>
      <c r="J539" s="25"/>
      <c r="K539" s="24"/>
      <c r="L539" s="25"/>
      <c r="M539" s="24" t="str">
        <f>IFERROR(__xludf.DUMMYFUNCTION("iferror(filter('3.3.clean'!C:C,'3.3.clean'!A:A=C539),"""")"),"")</f>
        <v/>
      </c>
      <c r="N539" s="25" t="b">
        <f t="shared" ref="N539:N545" si="381">if(M539="",FALSE,TRUE)</f>
        <v>0</v>
      </c>
      <c r="O539" s="24" t="str">
        <f>IFERROR(__xludf.DUMMYFUNCTION("iferror(filter('3.4.clean'!C:C,'3.4.clean'!A:A=C539),"""")"),"")</f>
        <v/>
      </c>
      <c r="P539" s="25" t="b">
        <f t="shared" ref="P539:P545" si="382">if(O539="",FALSE,TRUE)</f>
        <v>0</v>
      </c>
      <c r="Q539" s="24">
        <f>IFERROR(__xludf.DUMMYFUNCTION("iferror(filter('3.5.clean'!C:C,'3.5.clean'!A:A=C539),"""")"),43732.0)</f>
        <v>43732</v>
      </c>
      <c r="R539" s="23" t="b">
        <f>if(Q539="",FALSE,TRUE)</f>
        <v>1</v>
      </c>
      <c r="S539" s="25"/>
      <c r="U539" s="1" t="s">
        <v>180</v>
      </c>
      <c r="V539" s="1" t="s">
        <v>64</v>
      </c>
      <c r="W539" s="23" t="b">
        <f>IF(and(R539=TRUE,N539=TRUE,P539=TRUE),TRUE,FALSE)</f>
        <v>0</v>
      </c>
      <c r="X539" s="23" t="str">
        <f>IFERROR(__xludf.DUMMYFUNCTION("if(COUNTA(FILTER(C:C, C:C = C539))=1,""no"",""yes"")"),"no")</f>
        <v>no</v>
      </c>
    </row>
    <row r="540">
      <c r="A540" s="1" t="s">
        <v>595</v>
      </c>
      <c r="B540" s="19">
        <v>2.0</v>
      </c>
      <c r="C540" s="19" t="s">
        <v>1303</v>
      </c>
      <c r="D540" s="58" t="str">
        <f t="shared" ref="D540:D541" si="383">if(or(I540=1,J540=1,S540=1),"pos","")</f>
        <v/>
      </c>
      <c r="E540" s="59">
        <f>IFERROR(__xludf.DUMMYFUNCTION("ifna(IFNA(filter('2.1.clean'!C:C,'2.1.clean'!A:A=C540),filter('2.2.clean'!E:E,'2.2.clean'!D:D=C540)),filter('2.4.clean'!C:C,'2.4.clean'!A:A=C540))"),43732.0)</f>
        <v>43732</v>
      </c>
      <c r="F540" s="60">
        <f>IFERROR(__xludf.DUMMYFUNCTION("iferror(ifna(IFNA(filter('2.1.clean'!E:E,'2.1.clean'!A:A=C540),filter('2.2.clean'!G:G,'2.2.clean'!D:D=C540)),filter('2.4.clean'!E:E,'2.4.clean'!A:A=C540)),)"),2.4)</f>
        <v>2.4</v>
      </c>
      <c r="G540" s="59">
        <f>IFERROR(__xludf.DUMMYFUNCTION("iferror(filter('3.1.clean'!C:C,'3.1.clean'!A:A=C540),"""")"),43732.0)</f>
        <v>43732</v>
      </c>
      <c r="H540" s="58" t="b">
        <f>if(G540="",FALSE,TRUE)</f>
        <v>1</v>
      </c>
      <c r="I540" s="58">
        <f>IFERROR(__xludf.DUMMYFUNCTION("iferror(filter('3.1.clean'!G:G,'3.1.clean'!A:A=C540),"""")"),0.0)</f>
        <v>0</v>
      </c>
      <c r="J540" s="60" t="str">
        <f>IFERROR(__xludf.DUMMYFUNCTION("iferror(filter('3.1.clean'!I:I,'3.1.clean'!A:A=C540),"""")"),"")</f>
        <v/>
      </c>
      <c r="K540" s="58"/>
      <c r="L540" s="60"/>
      <c r="M540" s="59" t="str">
        <f>IFERROR(__xludf.DUMMYFUNCTION("iferror(filter('3.3.clean'!C:C,'3.3.clean'!A:A=C540),"""")"),"")</f>
        <v/>
      </c>
      <c r="N540" s="60" t="b">
        <f t="shared" si="381"/>
        <v>0</v>
      </c>
      <c r="O540" s="59" t="str">
        <f>IFERROR(__xludf.DUMMYFUNCTION("iferror(filter('3.4.clean'!C:C,'3.4.clean'!A:A=C540),"""")"),"")</f>
        <v/>
      </c>
      <c r="P540" s="60" t="b">
        <f t="shared" si="382"/>
        <v>0</v>
      </c>
      <c r="Q540" s="59" t="str">
        <f>IFERROR(__xludf.DUMMYFUNCTION("iferror(filter('3.5.clean'!C:C,'3.5.clean'!A:A=C540),"""")"),"")</f>
        <v/>
      </c>
      <c r="R540" s="58"/>
      <c r="S540" s="4" t="str">
        <f>IFERROR(__xludf.DUMMYFUNCTION("iferror(filter('3.5.clean'!H:H,'3.5.clean'!A:A=C540),"""")"),"")</f>
        <v/>
      </c>
      <c r="V540" s="1" t="s">
        <v>64</v>
      </c>
      <c r="W540" s="23" t="b">
        <f>if(AND(H540=TRUE,N540=TRUE,P540=TRUE),TRUE,FALSE)</f>
        <v>0</v>
      </c>
      <c r="X540" s="23" t="str">
        <f>IFERROR(__xludf.DUMMYFUNCTION("if(COUNTA(FILTER(C:C, C:C = C540))=1,""no"",""yes"")"),"no")</f>
        <v>no</v>
      </c>
    </row>
    <row r="541">
      <c r="A541" s="1" t="s">
        <v>595</v>
      </c>
      <c r="B541" s="19">
        <v>3.0</v>
      </c>
      <c r="C541" s="19" t="s">
        <v>1304</v>
      </c>
      <c r="D541" s="58" t="str">
        <f t="shared" si="383"/>
        <v>pos</v>
      </c>
      <c r="E541" s="59">
        <f>Q541</f>
        <v>43732</v>
      </c>
      <c r="F541" s="60" t="str">
        <f>IFERROR(__xludf.DUMMYFUNCTION("iferror(ifna(IFNA(filter('2.1.clean'!E:E,'2.1.clean'!A:A=C541),filter('2.2.clean'!G:G,'2.2.clean'!D:D=C541)),filter('2.4.clean'!E:E,'2.4.clean'!A:A=C541)),)"),"")</f>
        <v/>
      </c>
      <c r="G541" s="59" t="str">
        <f>IFERROR(__xludf.DUMMYFUNCTION("iferror(filter('3.1.clean'!C:C,'3.1.clean'!A:A=C541),"""")"),"")</f>
        <v/>
      </c>
      <c r="H541" s="58"/>
      <c r="I541" s="58"/>
      <c r="J541" s="60"/>
      <c r="K541" s="59"/>
      <c r="L541" s="60"/>
      <c r="M541" s="59" t="str">
        <f>IFERROR(__xludf.DUMMYFUNCTION("iferror(filter('3.3.clean'!C:C,'3.3.clean'!A:A=C541),"""")"),"")</f>
        <v/>
      </c>
      <c r="N541" s="60" t="b">
        <f t="shared" si="381"/>
        <v>0</v>
      </c>
      <c r="O541" s="59" t="str">
        <f>IFERROR(__xludf.DUMMYFUNCTION("iferror(filter('3.4.clean'!C:C,'3.4.clean'!A:A=C541),"""")"),"")</f>
        <v/>
      </c>
      <c r="P541" s="60" t="b">
        <f t="shared" si="382"/>
        <v>0</v>
      </c>
      <c r="Q541" s="59">
        <f>IFERROR(__xludf.DUMMYFUNCTION("iferror(filter('3.5.clean'!C:C,'3.5.clean'!A:A=C541),"""")"),43732.0)</f>
        <v>43732</v>
      </c>
      <c r="R541" s="58" t="b">
        <f t="shared" ref="R541:R542" si="384">if(Q541="",FALSE,TRUE)</f>
        <v>1</v>
      </c>
      <c r="S541" s="4">
        <f>IFERROR(__xludf.DUMMYFUNCTION("iferror(filter('3.5.clean'!H:H,'3.5.clean'!A:A=C541),"""")"),1.0)</f>
        <v>1</v>
      </c>
      <c r="V541" s="1" t="s">
        <v>64</v>
      </c>
      <c r="W541" s="23" t="b">
        <f>if(AND(R541=TRUE,N541=TRUE,P541=TRUE),TRUE,FALSE)</f>
        <v>0</v>
      </c>
      <c r="X541" s="23" t="str">
        <f>IFERROR(__xludf.DUMMYFUNCTION("if(COUNTA(FILTER(C:C, C:C = C541))=1,""no"",""yes"")"),"no")</f>
        <v>no</v>
      </c>
    </row>
    <row r="542">
      <c r="A542" s="1" t="s">
        <v>595</v>
      </c>
      <c r="B542" s="2">
        <v>4.0</v>
      </c>
      <c r="C542" s="19" t="s">
        <v>1306</v>
      </c>
      <c r="E542" s="24">
        <f>IFERROR(__xludf.DUMMYFUNCTION("ifna(IFNA(filter('2.1.clean'!C:C,'2.1.clean'!A:A=C542),filter('2.2.clean'!E:E,'2.2.clean'!D:D=C542)),filter('2.4.clean'!C:C,'2.4.clean'!A:A=C542))"),43732.0)</f>
        <v>43732</v>
      </c>
      <c r="F542" s="25">
        <f>IFERROR(__xludf.DUMMYFUNCTION("iferror(ifna(IFNA(filter('2.1.clean'!E:E,'2.1.clean'!A:A=C542),filter('2.2.clean'!G:G,'2.2.clean'!D:D=C542)),filter('2.4.clean'!E:E,'2.4.clean'!A:A=C542)),)"),2.4)</f>
        <v>2.4</v>
      </c>
      <c r="G542" s="24"/>
      <c r="J542" s="25"/>
      <c r="K542" s="24"/>
      <c r="L542" s="25"/>
      <c r="M542" s="24" t="str">
        <f>IFERROR(__xludf.DUMMYFUNCTION("iferror(filter('3.3.clean'!C:C,'3.3.clean'!A:A=C542),"""")"),"")</f>
        <v/>
      </c>
      <c r="N542" s="25" t="b">
        <f t="shared" si="381"/>
        <v>0</v>
      </c>
      <c r="O542" s="24" t="str">
        <f>IFERROR(__xludf.DUMMYFUNCTION("iferror(filter('3.4.clean'!C:C,'3.4.clean'!A:A=C542),"""")"),"")</f>
        <v/>
      </c>
      <c r="P542" s="25" t="b">
        <f t="shared" si="382"/>
        <v>0</v>
      </c>
      <c r="Q542" s="24">
        <f>IFERROR(__xludf.DUMMYFUNCTION("iferror(filter('3.5.clean'!C:C,'3.5.clean'!A:A=C542),"""")"),43732.0)</f>
        <v>43732</v>
      </c>
      <c r="R542" s="23" t="b">
        <f t="shared" si="384"/>
        <v>1</v>
      </c>
      <c r="S542" s="25"/>
      <c r="U542" s="1" t="s">
        <v>180</v>
      </c>
      <c r="V542" s="1" t="s">
        <v>64</v>
      </c>
      <c r="W542" s="23" t="b">
        <f>IF(and(R542=TRUE,N542=TRUE,P542=TRUE),TRUE,FALSE)</f>
        <v>0</v>
      </c>
      <c r="X542" s="23" t="str">
        <f>IFERROR(__xludf.DUMMYFUNCTION("if(COUNTA(FILTER(C:C, C:C = C542))=1,""no"",""yes"")"),"no")</f>
        <v>no</v>
      </c>
    </row>
    <row r="543">
      <c r="A543" s="1" t="s">
        <v>595</v>
      </c>
      <c r="B543" s="19">
        <v>5.0</v>
      </c>
      <c r="C543" s="19" t="s">
        <v>1307</v>
      </c>
      <c r="D543" s="58" t="str">
        <f t="shared" ref="D543:D546" si="385">if(or(I543=1,J543=1,S543=1),"pos","")</f>
        <v/>
      </c>
      <c r="E543" s="59">
        <f>IFERROR(__xludf.DUMMYFUNCTION("ifna(IFNA(filter('2.1.clean'!C:C,'2.1.clean'!A:A=C543),filter('2.2.clean'!E:E,'2.2.clean'!D:D=C543)),filter('2.4.clean'!C:C,'2.4.clean'!A:A=C543))"),43732.0)</f>
        <v>43732</v>
      </c>
      <c r="F543" s="60">
        <f>IFERROR(__xludf.DUMMYFUNCTION("iferror(ifna(IFNA(filter('2.1.clean'!E:E,'2.1.clean'!A:A=C543),filter('2.2.clean'!G:G,'2.2.clean'!D:D=C543)),filter('2.4.clean'!E:E,'2.4.clean'!A:A=C543)),)"),2.4)</f>
        <v>2.4</v>
      </c>
      <c r="G543" s="59">
        <f>IFERROR(__xludf.DUMMYFUNCTION("iferror(filter('3.1.clean'!C:C,'3.1.clean'!A:A=C543),"""")"),43732.0)</f>
        <v>43732</v>
      </c>
      <c r="H543" s="58" t="b">
        <f>if(G543="",FALSE,TRUE)</f>
        <v>1</v>
      </c>
      <c r="I543" s="58">
        <f>IFERROR(__xludf.DUMMYFUNCTION("iferror(filter('3.1.clean'!G:G,'3.1.clean'!A:A=C543),"""")"),0.0)</f>
        <v>0</v>
      </c>
      <c r="J543" s="60" t="str">
        <f>IFERROR(__xludf.DUMMYFUNCTION("iferror(filter('3.1.clean'!I:I,'3.1.clean'!A:A=C543),"""")"),"")</f>
        <v/>
      </c>
      <c r="K543" s="58"/>
      <c r="L543" s="60"/>
      <c r="M543" s="59" t="str">
        <f>IFERROR(__xludf.DUMMYFUNCTION("iferror(filter('3.3.clean'!C:C,'3.3.clean'!A:A=C543),"""")"),"")</f>
        <v/>
      </c>
      <c r="N543" s="60" t="b">
        <f t="shared" si="381"/>
        <v>0</v>
      </c>
      <c r="O543" s="59" t="str">
        <f>IFERROR(__xludf.DUMMYFUNCTION("iferror(filter('3.4.clean'!C:C,'3.4.clean'!A:A=C543),"""")"),"")</f>
        <v/>
      </c>
      <c r="P543" s="60" t="b">
        <f t="shared" si="382"/>
        <v>0</v>
      </c>
      <c r="Q543" s="59" t="str">
        <f>IFERROR(__xludf.DUMMYFUNCTION("iferror(filter('3.5.clean'!C:C,'3.5.clean'!A:A=C543),"""")"),"")</f>
        <v/>
      </c>
      <c r="R543" s="58"/>
      <c r="S543" s="4" t="str">
        <f>IFERROR(__xludf.DUMMYFUNCTION("iferror(filter('3.5.clean'!H:H,'3.5.clean'!A:A=C543),"""")"),"")</f>
        <v/>
      </c>
      <c r="V543" s="1" t="s">
        <v>64</v>
      </c>
      <c r="W543" s="23" t="b">
        <f>if(AND(H543=TRUE,N543=TRUE,P543=TRUE),TRUE,FALSE)</f>
        <v>0</v>
      </c>
      <c r="X543" s="23" t="str">
        <f>IFERROR(__xludf.DUMMYFUNCTION("if(COUNTA(FILTER(C:C, C:C = C543))=1,""no"",""yes"")"),"no")</f>
        <v>no</v>
      </c>
    </row>
    <row r="544">
      <c r="A544" s="1" t="s">
        <v>595</v>
      </c>
      <c r="B544" s="19">
        <v>6.0</v>
      </c>
      <c r="C544" s="19" t="s">
        <v>1309</v>
      </c>
      <c r="D544" s="58" t="str">
        <f t="shared" si="385"/>
        <v>pos</v>
      </c>
      <c r="E544" s="59">
        <f t="shared" ref="E544:E545" si="386">Q544</f>
        <v>43732</v>
      </c>
      <c r="F544" s="60" t="str">
        <f>IFERROR(__xludf.DUMMYFUNCTION("iferror(ifna(IFNA(filter('2.1.clean'!E:E,'2.1.clean'!A:A=C544),filter('2.2.clean'!G:G,'2.2.clean'!D:D=C544)),filter('2.4.clean'!E:E,'2.4.clean'!A:A=C544)),)"),"")</f>
        <v/>
      </c>
      <c r="G544" s="59" t="str">
        <f>IFERROR(__xludf.DUMMYFUNCTION("iferror(filter('3.1.clean'!C:C,'3.1.clean'!A:A=C544),"""")"),"")</f>
        <v/>
      </c>
      <c r="H544" s="58"/>
      <c r="I544" s="58"/>
      <c r="J544" s="60"/>
      <c r="K544" s="59"/>
      <c r="L544" s="60"/>
      <c r="M544" s="59" t="str">
        <f>IFERROR(__xludf.DUMMYFUNCTION("iferror(filter('3.3.clean'!C:C,'3.3.clean'!A:A=C544),"""")"),"")</f>
        <v/>
      </c>
      <c r="N544" s="60" t="b">
        <f t="shared" si="381"/>
        <v>0</v>
      </c>
      <c r="O544" s="59" t="str">
        <f>IFERROR(__xludf.DUMMYFUNCTION("iferror(filter('3.4.clean'!C:C,'3.4.clean'!A:A=C544),"""")"),"")</f>
        <v/>
      </c>
      <c r="P544" s="60" t="b">
        <f t="shared" si="382"/>
        <v>0</v>
      </c>
      <c r="Q544" s="59">
        <f>IFERROR(__xludf.DUMMYFUNCTION("iferror(filter('3.5.clean'!C:C,'3.5.clean'!A:A=C544),"""")"),43732.0)</f>
        <v>43732</v>
      </c>
      <c r="R544" s="58" t="b">
        <f t="shared" ref="R544:R545" si="387">if(Q544="",FALSE,TRUE)</f>
        <v>1</v>
      </c>
      <c r="S544" s="4">
        <f>IFERROR(__xludf.DUMMYFUNCTION("iferror(filter('3.5.clean'!H:H,'3.5.clean'!A:A=C544),"""")"),1.0)</f>
        <v>1</v>
      </c>
      <c r="V544" s="1" t="s">
        <v>64</v>
      </c>
      <c r="W544" s="23" t="b">
        <f>if(AND(R544=TRUE,N544=TRUE,P544=TRUE),TRUE,FALSE)</f>
        <v>0</v>
      </c>
      <c r="X544" s="23" t="str">
        <f>IFERROR(__xludf.DUMMYFUNCTION("if(COUNTA(FILTER(C:C, C:C = C544))=1,""no"",""yes"")"),"no")</f>
        <v>no</v>
      </c>
    </row>
    <row r="545">
      <c r="A545" s="1" t="s">
        <v>595</v>
      </c>
      <c r="B545" s="19">
        <v>7.0</v>
      </c>
      <c r="C545" s="19" t="s">
        <v>1310</v>
      </c>
      <c r="D545" s="22" t="str">
        <f t="shared" si="385"/>
        <v>pos</v>
      </c>
      <c r="E545" s="20">
        <f t="shared" si="386"/>
        <v>43732</v>
      </c>
      <c r="F545" s="79" t="str">
        <f>IFERROR(__xludf.DUMMYFUNCTION("iferror(ifna(IFNA(filter('2.1.clean'!E:E,'2.1.clean'!A:A=C545),filter('2.2.clean'!G:G,'2.2.clean'!D:D=C545)),filter('2.4.clean'!E:E,'2.4.clean'!A:A=C545)),)"),"")</f>
        <v/>
      </c>
      <c r="G545" s="20" t="str">
        <f>IFERROR(__xludf.DUMMYFUNCTION("iferror(filter('3.1.clean'!C:C,'3.1.clean'!A:A=C545),"""")"),"")</f>
        <v/>
      </c>
      <c r="H545" s="22"/>
      <c r="I545" s="22"/>
      <c r="J545" s="79"/>
      <c r="K545" s="20" t="str">
        <f>IFERROR(__xludf.DUMMYFUNCTION("iferror(filter('3.2.clean'!C:C,'3.2.clean'!A:A=C545),"""")"),"")</f>
        <v/>
      </c>
      <c r="L545" s="79"/>
      <c r="M545" s="20" t="str">
        <f>IFERROR(__xludf.DUMMYFUNCTION("iferror(filter('3.3.clean'!C:C,'3.3.clean'!A:A=C545),"""")"),"")</f>
        <v/>
      </c>
      <c r="N545" s="79" t="b">
        <f t="shared" si="381"/>
        <v>0</v>
      </c>
      <c r="O545" s="20" t="str">
        <f>IFERROR(__xludf.DUMMYFUNCTION("iferror(filter('3.4.clean'!C:C,'3.4.clean'!A:A=C545),"""")"),"")</f>
        <v/>
      </c>
      <c r="P545" s="79" t="b">
        <f t="shared" si="382"/>
        <v>0</v>
      </c>
      <c r="Q545" s="20">
        <f>IFERROR(__xludf.DUMMYFUNCTION("iferror(filter('3.5.clean'!C:C,'3.5.clean'!A:A=C545),"""")"),43732.0)</f>
        <v>43732</v>
      </c>
      <c r="R545" s="22" t="b">
        <f t="shared" si="387"/>
        <v>1</v>
      </c>
      <c r="S545" s="4">
        <f>IFERROR(__xludf.DUMMYFUNCTION("iferror(filter('3.5.clean'!H:H,'3.5.clean'!A:A=C545),"""")"),1.0)</f>
        <v>1</v>
      </c>
      <c r="U545" s="1" t="s">
        <v>180</v>
      </c>
      <c r="V545" s="1" t="s">
        <v>64</v>
      </c>
      <c r="W545" s="23" t="b">
        <f>IF(and(R545=TRUE,N545=TRUE,P545=TRUE),TRUE,FALSE)</f>
        <v>0</v>
      </c>
      <c r="X545" s="23" t="str">
        <f>IFERROR(__xludf.DUMMYFUNCTION("if(COUNTA(FILTER(C:C, C:C = C545))=1,""no"",""yes"")"),"no")</f>
        <v>no</v>
      </c>
    </row>
    <row r="546">
      <c r="A546" s="1" t="s">
        <v>595</v>
      </c>
      <c r="B546" s="19">
        <v>8.0</v>
      </c>
      <c r="C546" s="19" t="s">
        <v>1312</v>
      </c>
      <c r="D546" s="76" t="str">
        <f t="shared" si="385"/>
        <v/>
      </c>
      <c r="E546" s="77">
        <f>G546</f>
        <v>43732</v>
      </c>
      <c r="F546" s="78" t="str">
        <f>IFERROR(__xludf.DUMMYFUNCTION("iferror(ifna(IFNA(filter('2.1.clean'!E:E,'2.1.clean'!A:A=C546),filter('2.2.clean'!G:G,'2.2.clean'!D:D=C546)),filter('2.4.clean'!E:E,'2.4.clean'!A:A=C546)),)"),"")</f>
        <v/>
      </c>
      <c r="G546" s="77">
        <f>IFERROR(__xludf.DUMMYFUNCTION("iferror(filter('3.1.clean'!C:C,'3.1.clean'!A:A=C546),"""")"),43732.0)</f>
        <v>43732</v>
      </c>
      <c r="H546" s="76" t="b">
        <f>if(G546="",FALSE,TRUE)</f>
        <v>1</v>
      </c>
      <c r="I546" s="76">
        <f>IFERROR(__xludf.DUMMYFUNCTION("iferror(filter('3.1.clean'!G:G,'3.1.clean'!A:A=C546),"""")"),0.0)</f>
        <v>0</v>
      </c>
      <c r="J546" s="78">
        <f>IFERROR(__xludf.DUMMYFUNCTION("iferror(filter('3.1.clean'!I:I,'3.1.clean'!A:A=C546),"""")"),0.0)</f>
        <v>0</v>
      </c>
      <c r="K546" s="77"/>
      <c r="L546" s="78"/>
      <c r="M546" s="77"/>
      <c r="N546" s="78"/>
      <c r="O546" s="77"/>
      <c r="P546" s="78"/>
      <c r="Q546" s="77"/>
      <c r="R546" s="76"/>
      <c r="S546" s="25"/>
      <c r="V546" s="1" t="s">
        <v>64</v>
      </c>
      <c r="W546" s="1" t="b">
        <v>1</v>
      </c>
      <c r="X546" s="23" t="str">
        <f>IFERROR(__xludf.DUMMYFUNCTION("if(COUNTA(FILTER(C:C, C:C = C546))=1,""no"",""yes"")"),"no")</f>
        <v>no</v>
      </c>
    </row>
    <row r="547">
      <c r="A547" s="75" t="s">
        <v>618</v>
      </c>
      <c r="B547" s="2">
        <v>1.0</v>
      </c>
      <c r="C547" s="19" t="s">
        <v>1313</v>
      </c>
      <c r="E547" s="24">
        <f>IFERROR(__xludf.DUMMYFUNCTION("ifna(IFNA(filter('2.1.clean'!C:C,'2.1.clean'!A:A=C547),filter('2.2.clean'!E:E,'2.2.clean'!D:D=C547)),filter('2.4.clean'!C:C,'2.4.clean'!A:A=C547))"),43734.0)</f>
        <v>43734</v>
      </c>
      <c r="F547" s="25">
        <f>IFERROR(__xludf.DUMMYFUNCTION("iferror(ifna(IFNA(filter('2.1.clean'!E:E,'2.1.clean'!A:A=C547),filter('2.2.clean'!G:G,'2.2.clean'!D:D=C547)),filter('2.4.clean'!E:E,'2.4.clean'!A:A=C547)),)"),2.4)</f>
        <v>2.4</v>
      </c>
      <c r="G547" s="24"/>
      <c r="J547" s="25"/>
      <c r="K547" s="24"/>
      <c r="L547" s="25"/>
      <c r="M547" s="24">
        <f>IFERROR(__xludf.DUMMYFUNCTION("iferror(filter('3.3.clean'!C:C,'3.3.clean'!A:A=C547),"""")"),43735.0)</f>
        <v>43735</v>
      </c>
      <c r="N547" s="25" t="b">
        <f>if(M547="",FALSE,TRUE)</f>
        <v>1</v>
      </c>
      <c r="O547" s="24" t="str">
        <f>IFERROR(__xludf.DUMMYFUNCTION("iferror(filter('3.4.clean'!C:C,'3.4.clean'!A:A=C547),"""")"),"")</f>
        <v/>
      </c>
      <c r="P547" s="25" t="b">
        <f t="shared" ref="P547:P559" si="388">if(O547="",FALSE,TRUE)</f>
        <v>0</v>
      </c>
      <c r="Q547" s="24">
        <f>IFERROR(__xludf.DUMMYFUNCTION("iferror(filter('3.5.clean'!C:C,'3.5.clean'!A:A=C547),"""")"),43734.0)</f>
        <v>43734</v>
      </c>
      <c r="R547" s="23" t="b">
        <f>if(Q547="",FALSE,TRUE)</f>
        <v>1</v>
      </c>
      <c r="S547" s="25"/>
      <c r="U547" s="1" t="s">
        <v>382</v>
      </c>
      <c r="V547" s="1" t="s">
        <v>64</v>
      </c>
      <c r="W547" s="23" t="b">
        <f t="shared" ref="W547:W548" si="389">IF(and(R547=TRUE,N547=TRUE,P547=TRUE),TRUE,FALSE)</f>
        <v>0</v>
      </c>
      <c r="X547" s="23" t="str">
        <f>IFERROR(__xludf.DUMMYFUNCTION("if(COUNTA(FILTER(C:C, C:C = C547))=1,""no"",""yes"")"),"no")</f>
        <v>no</v>
      </c>
    </row>
    <row r="548">
      <c r="A548" s="75" t="s">
        <v>618</v>
      </c>
      <c r="B548" s="2">
        <v>2.0</v>
      </c>
      <c r="C548" s="19" t="s">
        <v>1315</v>
      </c>
      <c r="E548" s="24">
        <v>43734.0</v>
      </c>
      <c r="F548" s="25" t="str">
        <f>IFERROR(__xludf.DUMMYFUNCTION("iferror(ifna(IFNA(filter('2.1.clean'!E:E,'2.1.clean'!A:A=C548),filter('2.2.clean'!G:G,'2.2.clean'!D:D=C548)),filter('2.4.clean'!E:E,'2.4.clean'!A:A=C548)),)"),"")</f>
        <v/>
      </c>
      <c r="G548" s="24"/>
      <c r="J548" s="25"/>
      <c r="K548" s="24"/>
      <c r="L548" s="25"/>
      <c r="M548" s="24" t="str">
        <f>IFERROR(__xludf.DUMMYFUNCTION("iferror(filter('3.3.clean'!C:C,'3.3.clean'!A:A=C548),"""")"),"")</f>
        <v/>
      </c>
      <c r="N548" s="25"/>
      <c r="O548" s="24">
        <f>IFERROR(__xludf.DUMMYFUNCTION("iferror(filter('3.4.clean'!C:C,'3.4.clean'!A:A=C548),"""")"),43767.0)</f>
        <v>43767</v>
      </c>
      <c r="P548" s="25" t="b">
        <f t="shared" si="388"/>
        <v>1</v>
      </c>
      <c r="Q548" s="24" t="str">
        <f>IFERROR(__xludf.DUMMYFUNCTION("iferror(filter('3.5.clean'!C:C,'3.5.clean'!A:A=C548),"""")"),"")</f>
        <v/>
      </c>
      <c r="S548" s="25"/>
      <c r="V548" s="1" t="s">
        <v>64</v>
      </c>
      <c r="W548" s="23" t="b">
        <f t="shared" si="389"/>
        <v>0</v>
      </c>
      <c r="X548" s="23" t="str">
        <f>IFERROR(__xludf.DUMMYFUNCTION("if(COUNTA(FILTER(C:C, C:C = C548))=1,""no"",""yes"")"),"no")</f>
        <v>no</v>
      </c>
    </row>
    <row r="549">
      <c r="A549" s="75" t="s">
        <v>618</v>
      </c>
      <c r="B549" s="19">
        <v>3.0</v>
      </c>
      <c r="C549" s="19" t="s">
        <v>1316</v>
      </c>
      <c r="D549" s="58" t="str">
        <f t="shared" ref="D549:D550" si="390">if(or(I549=1,J549=1,S549=1),"pos","")</f>
        <v/>
      </c>
      <c r="E549" s="59">
        <f>IFERROR(__xludf.DUMMYFUNCTION("ifna(IFNA(filter('2.1.clean'!C:C,'2.1.clean'!A:A=C549),filter('2.2.clean'!E:E,'2.2.clean'!D:D=C549)),filter('2.4.clean'!C:C,'2.4.clean'!A:A=C549))"),43734.0)</f>
        <v>43734</v>
      </c>
      <c r="F549" s="60">
        <f>IFERROR(__xludf.DUMMYFUNCTION("iferror(ifna(IFNA(filter('2.1.clean'!E:E,'2.1.clean'!A:A=C549),filter('2.2.clean'!G:G,'2.2.clean'!D:D=C549)),filter('2.4.clean'!E:E,'2.4.clean'!A:A=C549)),)"),2.4)</f>
        <v>2.4</v>
      </c>
      <c r="G549" s="59">
        <f>IFERROR(__xludf.DUMMYFUNCTION("iferror(filter('3.1.clean'!C:C,'3.1.clean'!A:A=C549),"""")"),43734.0)</f>
        <v>43734</v>
      </c>
      <c r="H549" s="58" t="b">
        <f>if(G549="",FALSE,TRUE)</f>
        <v>1</v>
      </c>
      <c r="I549" s="58">
        <f>IFERROR(__xludf.DUMMYFUNCTION("iferror(filter('3.1.clean'!G:G,'3.1.clean'!A:A=C549),"""")"),0.0)</f>
        <v>0</v>
      </c>
      <c r="J549" s="60">
        <f>IFERROR(__xludf.DUMMYFUNCTION("iferror(filter('3.1.clean'!I:I,'3.1.clean'!A:A=C549),"""")"),0.0)</f>
        <v>0</v>
      </c>
      <c r="K549" s="59"/>
      <c r="L549" s="60"/>
      <c r="M549" s="59">
        <f>IFERROR(__xludf.DUMMYFUNCTION("iferror(filter('3.3.clean'!C:C,'3.3.clean'!A:A=C549),"""")"),43735.0)</f>
        <v>43735</v>
      </c>
      <c r="N549" s="60" t="b">
        <f t="shared" ref="N549:N551" si="391">if(M549="",FALSE,TRUE)</f>
        <v>1</v>
      </c>
      <c r="O549" s="59" t="str">
        <f>IFERROR(__xludf.DUMMYFUNCTION("iferror(filter('3.4.clean'!C:C,'3.4.clean'!A:A=C549),"""")"),"")</f>
        <v/>
      </c>
      <c r="P549" s="60" t="b">
        <f t="shared" si="388"/>
        <v>0</v>
      </c>
      <c r="Q549" s="59">
        <f>IFERROR(__xludf.DUMMYFUNCTION("iferror(filter('3.5.clean'!C:C,'3.5.clean'!A:A=C549),"""")"),43734.0)</f>
        <v>43734</v>
      </c>
      <c r="R549" s="58" t="b">
        <f t="shared" ref="R549:R551" si="392">if(Q549="",FALSE,TRUE)</f>
        <v>1</v>
      </c>
      <c r="S549" s="4">
        <f>IFERROR(__xludf.DUMMYFUNCTION("iferror(filter('3.5.clean'!H:H,'3.5.clean'!A:A=C549),"""")"),0.0)</f>
        <v>0</v>
      </c>
      <c r="V549" s="1" t="s">
        <v>64</v>
      </c>
      <c r="W549" s="23" t="b">
        <f>if(AND(H549=TRUE,N549=TRUE,P549=TRUE),TRUE,FALSE)</f>
        <v>0</v>
      </c>
      <c r="X549" s="23" t="str">
        <f>IFERROR(__xludf.DUMMYFUNCTION("if(COUNTA(FILTER(C:C, C:C = C549))=1,""no"",""yes"")"),"no")</f>
        <v>no</v>
      </c>
    </row>
    <row r="550">
      <c r="A550" s="75" t="s">
        <v>618</v>
      </c>
      <c r="B550" s="19">
        <v>4.0</v>
      </c>
      <c r="C550" s="19" t="s">
        <v>1317</v>
      </c>
      <c r="D550" s="58" t="str">
        <f t="shared" si="390"/>
        <v/>
      </c>
      <c r="E550" s="59">
        <v>43734.0</v>
      </c>
      <c r="F550" s="60" t="str">
        <f>IFERROR(__xludf.DUMMYFUNCTION("iferror(ifna(IFNA(filter('2.1.clean'!E:E,'2.1.clean'!A:A=C550),filter('2.2.clean'!G:G,'2.2.clean'!D:D=C550)),filter('2.4.clean'!E:E,'2.4.clean'!A:A=C550)),)"),"")</f>
        <v/>
      </c>
      <c r="G550" s="59" t="str">
        <f>IFERROR(__xludf.DUMMYFUNCTION("iferror(filter('3.1.clean'!C:C,'3.1.clean'!A:A=C550),"""")"),"")</f>
        <v/>
      </c>
      <c r="H550" s="58"/>
      <c r="I550" s="58"/>
      <c r="J550" s="60"/>
      <c r="K550" s="59"/>
      <c r="L550" s="60"/>
      <c r="M550" s="59">
        <f>IFERROR(__xludf.DUMMYFUNCTION("iferror(filter('3.3.clean'!C:C,'3.3.clean'!A:A=C550),"""")"),43735.0)</f>
        <v>43735</v>
      </c>
      <c r="N550" s="60" t="b">
        <f t="shared" si="391"/>
        <v>1</v>
      </c>
      <c r="O550" s="59">
        <f>IFERROR(__xludf.DUMMYFUNCTION("iferror(filter('3.4.clean'!C:C,'3.4.clean'!A:A=C550),"""")"),43767.0)</f>
        <v>43767</v>
      </c>
      <c r="P550" s="60" t="b">
        <f t="shared" si="388"/>
        <v>1</v>
      </c>
      <c r="Q550" s="59" t="str">
        <f>IFERROR(__xludf.DUMMYFUNCTION("iferror(filter('3.5.clean'!C:C,'3.5.clean'!A:A=C550),"""")"),"")</f>
        <v/>
      </c>
      <c r="R550" s="58" t="b">
        <f t="shared" si="392"/>
        <v>0</v>
      </c>
      <c r="S550" s="4" t="str">
        <f>IFERROR(__xludf.DUMMYFUNCTION("iferror(filter('3.5.clean'!H:H,'3.5.clean'!A:A=C550),"""")"),"")</f>
        <v/>
      </c>
      <c r="T550" s="1"/>
      <c r="U550" s="1" t="s">
        <v>829</v>
      </c>
      <c r="V550" s="1" t="s">
        <v>64</v>
      </c>
      <c r="W550" s="23" t="b">
        <f>if(AND(R550=TRUE,N550=TRUE,P550=TRUE),TRUE,FALSE)</f>
        <v>0</v>
      </c>
      <c r="X550" s="23" t="str">
        <f>IFERROR(__xludf.DUMMYFUNCTION("if(COUNTA(FILTER(C:C, C:C = C550))=1,""no"",""yes"")"),"no")</f>
        <v>no</v>
      </c>
    </row>
    <row r="551">
      <c r="A551" s="75" t="s">
        <v>618</v>
      </c>
      <c r="B551" s="2">
        <v>5.0</v>
      </c>
      <c r="C551" s="19" t="s">
        <v>1319</v>
      </c>
      <c r="E551" s="24">
        <f>IFERROR(__xludf.DUMMYFUNCTION("ifna(IFNA(filter('2.1.clean'!C:C,'2.1.clean'!A:A=C551),filter('2.2.clean'!E:E,'2.2.clean'!D:D=C551)),filter('2.4.clean'!C:C,'2.4.clean'!A:A=C551))"),43734.0)</f>
        <v>43734</v>
      </c>
      <c r="F551" s="25">
        <f>IFERROR(__xludf.DUMMYFUNCTION("iferror(ifna(IFNA(filter('2.1.clean'!E:E,'2.1.clean'!A:A=C551),filter('2.2.clean'!G:G,'2.2.clean'!D:D=C551)),filter('2.4.clean'!E:E,'2.4.clean'!A:A=C551)),)"),2.4)</f>
        <v>2.4</v>
      </c>
      <c r="G551" s="24"/>
      <c r="J551" s="25"/>
      <c r="K551" s="24"/>
      <c r="L551" s="25"/>
      <c r="M551" s="24">
        <f>IFERROR(__xludf.DUMMYFUNCTION("iferror(filter('3.3.clean'!C:C,'3.3.clean'!A:A=C551),"""")"),43735.0)</f>
        <v>43735</v>
      </c>
      <c r="N551" s="25" t="b">
        <f t="shared" si="391"/>
        <v>1</v>
      </c>
      <c r="O551" s="24">
        <f>IFERROR(__xludf.DUMMYFUNCTION("iferror(filter('3.4.clean'!C:C,'3.4.clean'!A:A=C551),"""")"),43767.0)</f>
        <v>43767</v>
      </c>
      <c r="P551" s="25" t="b">
        <f t="shared" si="388"/>
        <v>1</v>
      </c>
      <c r="Q551" s="24">
        <f>IFERROR(__xludf.DUMMYFUNCTION("iferror(filter('3.5.clean'!C:C,'3.5.clean'!A:A=C551),"""")"),43734.0)</f>
        <v>43734</v>
      </c>
      <c r="R551" s="23" t="b">
        <f t="shared" si="392"/>
        <v>1</v>
      </c>
      <c r="S551" s="25"/>
      <c r="V551" s="1" t="s">
        <v>64</v>
      </c>
      <c r="W551" s="23" t="b">
        <f>IF(and(R551=TRUE,N551=TRUE,P551=TRUE),TRUE,FALSE)</f>
        <v>1</v>
      </c>
      <c r="X551" s="23" t="str">
        <f>IFERROR(__xludf.DUMMYFUNCTION("if(COUNTA(FILTER(C:C, C:C = C551))=1,""no"",""yes"")"),"no")</f>
        <v>no</v>
      </c>
    </row>
    <row r="552">
      <c r="A552" s="75" t="s">
        <v>618</v>
      </c>
      <c r="B552" s="2">
        <v>6.0</v>
      </c>
      <c r="C552" s="19" t="s">
        <v>1320</v>
      </c>
      <c r="E552" s="24">
        <v>43734.0</v>
      </c>
      <c r="F552" s="25" t="str">
        <f>IFERROR(__xludf.DUMMYFUNCTION("iferror(ifna(IFNA(filter('2.1.clean'!E:E,'2.1.clean'!A:A=C552),filter('2.2.clean'!G:G,'2.2.clean'!D:D=C552)),filter('2.4.clean'!E:E,'2.4.clean'!A:A=C552)),)"),"")</f>
        <v/>
      </c>
      <c r="J552" s="25"/>
      <c r="L552" s="25"/>
      <c r="N552" s="25"/>
      <c r="O552" s="24">
        <f>IFERROR(__xludf.DUMMYFUNCTION("iferror(filter('3.4.clean'!C:C,'3.4.clean'!A:A=C552),"""")"),43767.0)</f>
        <v>43767</v>
      </c>
      <c r="P552" s="25" t="b">
        <f t="shared" si="388"/>
        <v>1</v>
      </c>
      <c r="S552" s="25"/>
    </row>
    <row r="553">
      <c r="A553" s="75" t="s">
        <v>618</v>
      </c>
      <c r="B553" s="19">
        <v>7.0</v>
      </c>
      <c r="C553" s="19" t="s">
        <v>1321</v>
      </c>
      <c r="D553" s="58" t="str">
        <f t="shared" ref="D553:D554" si="393">if(or(I553=1,J553=1,S553=1),"pos","")</f>
        <v/>
      </c>
      <c r="E553" s="59">
        <f>IFERROR(__xludf.DUMMYFUNCTION("ifna(IFNA(filter('2.1.clean'!C:C,'2.1.clean'!A:A=C553),filter('2.2.clean'!E:E,'2.2.clean'!D:D=C553)),filter('2.4.clean'!C:C,'2.4.clean'!A:A=C553))"),43734.0)</f>
        <v>43734</v>
      </c>
      <c r="F553" s="60">
        <f>IFERROR(__xludf.DUMMYFUNCTION("iferror(ifna(IFNA(filter('2.1.clean'!E:E,'2.1.clean'!A:A=C553),filter('2.2.clean'!G:G,'2.2.clean'!D:D=C553)),filter('2.4.clean'!E:E,'2.4.clean'!A:A=C553)),)"),2.4)</f>
        <v>2.4</v>
      </c>
      <c r="G553" s="59">
        <f>IFERROR(__xludf.DUMMYFUNCTION("iferror(filter('3.1.clean'!C:C,'3.1.clean'!A:A=C553),"""")"),43734.0)</f>
        <v>43734</v>
      </c>
      <c r="H553" s="58" t="b">
        <f>if(G553="",FALSE,TRUE)</f>
        <v>1</v>
      </c>
      <c r="I553" s="58">
        <f>IFERROR(__xludf.DUMMYFUNCTION("iferror(filter('3.1.clean'!G:G,'3.1.clean'!A:A=C553),"""")"),0.0)</f>
        <v>0</v>
      </c>
      <c r="J553" s="60">
        <f>IFERROR(__xludf.DUMMYFUNCTION("iferror(filter('3.1.clean'!I:I,'3.1.clean'!A:A=C553),"""")"),0.0)</f>
        <v>0</v>
      </c>
      <c r="K553" s="59"/>
      <c r="L553" s="60"/>
      <c r="M553" s="59">
        <f>IFERROR(__xludf.DUMMYFUNCTION("iferror(filter('3.3.clean'!C:C,'3.3.clean'!A:A=C553),"""")"),43735.0)</f>
        <v>43735</v>
      </c>
      <c r="N553" s="60" t="b">
        <f t="shared" ref="N553:N555" si="394">if(M553="",FALSE,TRUE)</f>
        <v>1</v>
      </c>
      <c r="O553" s="59" t="str">
        <f>IFERROR(__xludf.DUMMYFUNCTION("iferror(filter('3.4.clean'!C:C,'3.4.clean'!A:A=C553),"""")"),"")</f>
        <v/>
      </c>
      <c r="P553" s="60" t="b">
        <f t="shared" si="388"/>
        <v>0</v>
      </c>
      <c r="Q553" s="59" t="str">
        <f>IFERROR(__xludf.DUMMYFUNCTION("iferror(filter('3.5.clean'!C:C,'3.5.clean'!A:A=C553),"""")"),"")</f>
        <v/>
      </c>
      <c r="R553" s="58"/>
      <c r="S553" s="4" t="str">
        <f>IFERROR(__xludf.DUMMYFUNCTION("iferror(filter('3.5.clean'!H:H,'3.5.clean'!A:A=C553),"""")"),"")</f>
        <v/>
      </c>
      <c r="V553" s="1" t="s">
        <v>64</v>
      </c>
      <c r="W553" s="23" t="b">
        <f>if(AND(H553=TRUE,N553=TRUE,P553=TRUE),TRUE,FALSE)</f>
        <v>0</v>
      </c>
      <c r="X553" s="23" t="str">
        <f>IFERROR(__xludf.DUMMYFUNCTION("if(COUNTA(FILTER(C:C, C:C = C553))=1,""no"",""yes"")"),"no")</f>
        <v>no</v>
      </c>
    </row>
    <row r="554">
      <c r="A554" s="75" t="s">
        <v>618</v>
      </c>
      <c r="B554" s="19">
        <v>8.0</v>
      </c>
      <c r="C554" s="19" t="s">
        <v>1323</v>
      </c>
      <c r="D554" s="58" t="str">
        <f t="shared" si="393"/>
        <v/>
      </c>
      <c r="E554" s="59">
        <f>Q554</f>
        <v>43734</v>
      </c>
      <c r="F554" s="60" t="str">
        <f>IFERROR(__xludf.DUMMYFUNCTION("iferror(ifna(IFNA(filter('2.1.clean'!E:E,'2.1.clean'!A:A=C554),filter('2.2.clean'!G:G,'2.2.clean'!D:D=C554)),filter('2.4.clean'!E:E,'2.4.clean'!A:A=C554)),)"),"")</f>
        <v/>
      </c>
      <c r="G554" s="59" t="str">
        <f>IFERROR(__xludf.DUMMYFUNCTION("iferror(filter('3.1.clean'!C:C,'3.1.clean'!A:A=C554),"""")"),"")</f>
        <v/>
      </c>
      <c r="H554" s="58"/>
      <c r="I554" s="58"/>
      <c r="J554" s="60"/>
      <c r="K554" s="59"/>
      <c r="L554" s="60"/>
      <c r="M554" s="59">
        <f>IFERROR(__xludf.DUMMYFUNCTION("iferror(filter('3.3.clean'!C:C,'3.3.clean'!A:A=C554),"""")"),43735.0)</f>
        <v>43735</v>
      </c>
      <c r="N554" s="60" t="b">
        <f t="shared" si="394"/>
        <v>1</v>
      </c>
      <c r="O554" s="59">
        <f>IFERROR(__xludf.DUMMYFUNCTION("iferror(filter('3.4.clean'!C:C,'3.4.clean'!A:A=C554),"""")"),43767.0)</f>
        <v>43767</v>
      </c>
      <c r="P554" s="60" t="b">
        <f t="shared" si="388"/>
        <v>1</v>
      </c>
      <c r="Q554" s="59">
        <f>IFERROR(__xludf.DUMMYFUNCTION("iferror(filter('3.5.clean'!C:C,'3.5.clean'!A:A=C554),"""")"),43734.0)</f>
        <v>43734</v>
      </c>
      <c r="R554" s="58" t="b">
        <f t="shared" ref="R554:R555" si="395">if(Q554="",FALSE,TRUE)</f>
        <v>1</v>
      </c>
      <c r="S554" s="4">
        <f>IFERROR(__xludf.DUMMYFUNCTION("iferror(filter('3.5.clean'!H:H,'3.5.clean'!A:A=C554),"""")"),0.0)</f>
        <v>0</v>
      </c>
      <c r="V554" s="1" t="s">
        <v>64</v>
      </c>
      <c r="W554" s="23" t="b">
        <f>if(AND(R554=TRUE,N554=TRUE,P554=TRUE),TRUE,FALSE)</f>
        <v>1</v>
      </c>
      <c r="X554" s="23" t="str">
        <f>IFERROR(__xludf.DUMMYFUNCTION("if(COUNTA(FILTER(C:C, C:C = C554))=1,""no"",""yes"")"),"no")</f>
        <v>no</v>
      </c>
    </row>
    <row r="555">
      <c r="A555" s="75" t="s">
        <v>618</v>
      </c>
      <c r="B555" s="2">
        <v>9.0</v>
      </c>
      <c r="C555" s="19" t="s">
        <v>1325</v>
      </c>
      <c r="E555" s="24">
        <f>IFERROR(__xludf.DUMMYFUNCTION("ifna(IFNA(filter('2.1.clean'!C:C,'2.1.clean'!A:A=C555),filter('2.2.clean'!E:E,'2.2.clean'!D:D=C555)),filter('2.4.clean'!C:C,'2.4.clean'!A:A=C555))"),43734.0)</f>
        <v>43734</v>
      </c>
      <c r="F555" s="25">
        <f>IFERROR(__xludf.DUMMYFUNCTION("iferror(ifna(IFNA(filter('2.1.clean'!E:E,'2.1.clean'!A:A=C555),filter('2.2.clean'!G:G,'2.2.clean'!D:D=C555)),filter('2.4.clean'!E:E,'2.4.clean'!A:A=C555)),)"),2.4)</f>
        <v>2.4</v>
      </c>
      <c r="G555" s="24">
        <f>IFERROR(__xludf.DUMMYFUNCTION("iferror(filter('3.1.clean'!C:C,'3.1.clean'!A:A=C555),"""")"),43734.0)</f>
        <v>43734</v>
      </c>
      <c r="H555" s="23" t="b">
        <f>if(G555="",FALSE,TRUE)</f>
        <v>1</v>
      </c>
      <c r="J555" s="25"/>
      <c r="K555" s="24">
        <f>IFERROR(__xludf.DUMMYFUNCTION("iferror(filter('3.2.clean'!C:C,'3.2.clean'!A:A=C555),"""")"),43734.0)</f>
        <v>43734</v>
      </c>
      <c r="L555" s="25" t="b">
        <f>if(K555="",FALSE,TRUE)</f>
        <v>1</v>
      </c>
      <c r="M555" s="24">
        <f>IFERROR(__xludf.DUMMYFUNCTION("iferror(filter('3.3.clean'!C:C,'3.3.clean'!A:A=C555),"""")"),43735.0)</f>
        <v>43735</v>
      </c>
      <c r="N555" s="25" t="b">
        <f t="shared" si="394"/>
        <v>1</v>
      </c>
      <c r="O555" s="24">
        <f>IFERROR(__xludf.DUMMYFUNCTION("iferror(filter('3.4.clean'!C:C,'3.4.clean'!A:A=C555),"""")"),43768.0)</f>
        <v>43768</v>
      </c>
      <c r="P555" s="25" t="b">
        <f t="shared" si="388"/>
        <v>1</v>
      </c>
      <c r="Q555" s="24">
        <f>IFERROR(__xludf.DUMMYFUNCTION("iferror(filter('3.5.clean'!C:C,'3.5.clean'!A:A=C555),"""")"),43734.0)</f>
        <v>43734</v>
      </c>
      <c r="R555" s="23" t="b">
        <f t="shared" si="395"/>
        <v>1</v>
      </c>
      <c r="S555" s="25"/>
      <c r="V555" s="1" t="s">
        <v>64</v>
      </c>
      <c r="X555" s="23" t="str">
        <f>IFERROR(__xludf.DUMMYFUNCTION("if(COUNTA(FILTER(C:C, C:C = C555))=1,""no"",""yes"")"),"no")</f>
        <v>no</v>
      </c>
    </row>
    <row r="556">
      <c r="A556" s="75" t="s">
        <v>618</v>
      </c>
      <c r="B556" s="2">
        <v>10.0</v>
      </c>
      <c r="C556" s="19" t="s">
        <v>1326</v>
      </c>
      <c r="E556" s="24">
        <v>43734.0</v>
      </c>
      <c r="F556" s="25" t="str">
        <f>IFERROR(__xludf.DUMMYFUNCTION("iferror(ifna(IFNA(filter('2.1.clean'!E:E,'2.1.clean'!A:A=C556),filter('2.2.clean'!G:G,'2.2.clean'!D:D=C556)),filter('2.4.clean'!E:E,'2.4.clean'!A:A=C556)),)"),"")</f>
        <v/>
      </c>
      <c r="G556" s="24"/>
      <c r="J556" s="25"/>
      <c r="K556" s="24"/>
      <c r="L556" s="25"/>
      <c r="M556" s="24" t="str">
        <f>IFERROR(__xludf.DUMMYFUNCTION("iferror(filter('3.3.clean'!C:C,'3.3.clean'!A:A=C556),"""")"),"")</f>
        <v/>
      </c>
      <c r="N556" s="25"/>
      <c r="O556" s="24">
        <f>IFERROR(__xludf.DUMMYFUNCTION("iferror(filter('3.4.clean'!C:C,'3.4.clean'!A:A=C556),"""")"),43768.0)</f>
        <v>43768</v>
      </c>
      <c r="P556" s="25" t="b">
        <f t="shared" si="388"/>
        <v>1</v>
      </c>
      <c r="Q556" s="24" t="str">
        <f>IFERROR(__xludf.DUMMYFUNCTION("iferror(filter('3.5.clean'!C:C,'3.5.clean'!A:A=C556),"""")"),"")</f>
        <v/>
      </c>
      <c r="S556" s="25"/>
      <c r="V556" s="1" t="s">
        <v>64</v>
      </c>
      <c r="X556" s="23" t="str">
        <f>IFERROR(__xludf.DUMMYFUNCTION("if(COUNTA(FILTER(C:C, C:C = C556))=1,""no"",""yes"")"),"no")</f>
        <v>no</v>
      </c>
    </row>
    <row r="557">
      <c r="A557" s="75" t="s">
        <v>618</v>
      </c>
      <c r="B557" s="19">
        <v>11.0</v>
      </c>
      <c r="C557" s="19" t="s">
        <v>1327</v>
      </c>
      <c r="D557" s="58" t="str">
        <f t="shared" ref="D557:D560" si="396">if(or(I557=1,J557=1,S557=1),"pos","")</f>
        <v/>
      </c>
      <c r="E557" s="59">
        <f>IFERROR(__xludf.DUMMYFUNCTION("ifna(IFNA(filter('2.1.clean'!C:C,'2.1.clean'!A:A=C557),filter('2.2.clean'!E:E,'2.2.clean'!D:D=C557)),filter('2.4.clean'!C:C,'2.4.clean'!A:A=C557))"),43734.0)</f>
        <v>43734</v>
      </c>
      <c r="F557" s="60">
        <f>IFERROR(__xludf.DUMMYFUNCTION("iferror(ifna(IFNA(filter('2.1.clean'!E:E,'2.1.clean'!A:A=C557),filter('2.2.clean'!G:G,'2.2.clean'!D:D=C557)),filter('2.4.clean'!E:E,'2.4.clean'!A:A=C557)),)"),2.4)</f>
        <v>2.4</v>
      </c>
      <c r="G557" s="59">
        <f>IFERROR(__xludf.DUMMYFUNCTION("iferror(filter('3.1.clean'!C:C,'3.1.clean'!A:A=C557),"""")"),43734.0)</f>
        <v>43734</v>
      </c>
      <c r="H557" s="58" t="b">
        <f>if(G557="",FALSE,TRUE)</f>
        <v>1</v>
      </c>
      <c r="I557" s="58">
        <f>IFERROR(__xludf.DUMMYFUNCTION("iferror(filter('3.1.clean'!G:G,'3.1.clean'!A:A=C557),"""")"),0.0)</f>
        <v>0</v>
      </c>
      <c r="J557" s="60">
        <f>IFERROR(__xludf.DUMMYFUNCTION("iferror(filter('3.1.clean'!I:I,'3.1.clean'!A:A=C557),"""")"),0.0)</f>
        <v>0</v>
      </c>
      <c r="K557" s="59"/>
      <c r="L557" s="60"/>
      <c r="M557" s="59">
        <f>IFERROR(__xludf.DUMMYFUNCTION("iferror(filter('3.3.clean'!C:C,'3.3.clean'!A:A=C557),"""")"),43735.0)</f>
        <v>43735</v>
      </c>
      <c r="N557" s="60" t="b">
        <f t="shared" ref="N557:N559" si="397">if(M557="",FALSE,TRUE)</f>
        <v>1</v>
      </c>
      <c r="O557" s="59" t="str">
        <f>IFERROR(__xludf.DUMMYFUNCTION("iferror(filter('3.4.clean'!C:C,'3.4.clean'!A:A=C557),"""")"),"")</f>
        <v/>
      </c>
      <c r="P557" s="60" t="b">
        <f t="shared" si="388"/>
        <v>0</v>
      </c>
      <c r="Q557" s="59">
        <f>IFERROR(__xludf.DUMMYFUNCTION("iferror(filter('3.5.clean'!C:C,'3.5.clean'!A:A=C557),"""")"),43734.0)</f>
        <v>43734</v>
      </c>
      <c r="R557" s="58" t="b">
        <f>if(Q557="",FALSE,TRUE)</f>
        <v>1</v>
      </c>
      <c r="S557" s="4">
        <f>IFERROR(__xludf.DUMMYFUNCTION("iferror(filter('3.5.clean'!H:H,'3.5.clean'!A:A=C557),"""")"),0.0)</f>
        <v>0</v>
      </c>
      <c r="V557" s="1" t="s">
        <v>64</v>
      </c>
      <c r="W557" s="23" t="b">
        <f>if(AND(H557=TRUE,N557=TRUE,P557=TRUE),TRUE,FALSE)</f>
        <v>0</v>
      </c>
      <c r="X557" s="23" t="str">
        <f>IFERROR(__xludf.DUMMYFUNCTION("if(COUNTA(FILTER(C:C, C:C = C557))=1,""no"",""yes"")"),"no")</f>
        <v>no</v>
      </c>
    </row>
    <row r="558">
      <c r="A558" s="75" t="s">
        <v>618</v>
      </c>
      <c r="B558" s="19">
        <v>12.0</v>
      </c>
      <c r="C558" s="19" t="s">
        <v>1329</v>
      </c>
      <c r="D558" s="58" t="str">
        <f t="shared" si="396"/>
        <v/>
      </c>
      <c r="E558" s="59">
        <v>43734.0</v>
      </c>
      <c r="F558" s="60" t="str">
        <f>IFERROR(__xludf.DUMMYFUNCTION("iferror(ifna(IFNA(filter('2.1.clean'!E:E,'2.1.clean'!A:A=C558),filter('2.2.clean'!G:G,'2.2.clean'!D:D=C558)),filter('2.4.clean'!E:E,'2.4.clean'!A:A=C558)),)"),"")</f>
        <v/>
      </c>
      <c r="G558" s="59" t="str">
        <f>IFERROR(__xludf.DUMMYFUNCTION("iferror(filter('3.1.clean'!C:C,'3.1.clean'!A:A=C558),"""")"),"")</f>
        <v/>
      </c>
      <c r="H558" s="58"/>
      <c r="I558" s="58"/>
      <c r="J558" s="60"/>
      <c r="K558" s="59"/>
      <c r="L558" s="60"/>
      <c r="M558" s="59">
        <f>IFERROR(__xludf.DUMMYFUNCTION("iferror(filter('3.3.clean'!C:C,'3.3.clean'!A:A=C558),"""")"),43735.0)</f>
        <v>43735</v>
      </c>
      <c r="N558" s="60" t="b">
        <f t="shared" si="397"/>
        <v>1</v>
      </c>
      <c r="O558" s="59">
        <f>IFERROR(__xludf.DUMMYFUNCTION("iferror(filter('3.4.clean'!C:C,'3.4.clean'!A:A=C558),"""")"),43768.0)</f>
        <v>43768</v>
      </c>
      <c r="P558" s="60" t="b">
        <f t="shared" si="388"/>
        <v>1</v>
      </c>
      <c r="Q558" s="59" t="str">
        <f>IFERROR(__xludf.DUMMYFUNCTION("iferror(filter('3.5.clean'!C:C,'3.5.clean'!A:A=C558),"""")"),"")</f>
        <v/>
      </c>
      <c r="R558" s="58"/>
      <c r="S558" s="4" t="str">
        <f>IFERROR(__xludf.DUMMYFUNCTION("iferror(filter('3.5.clean'!H:H,'3.5.clean'!A:A=C558),"""")"),"")</f>
        <v/>
      </c>
      <c r="T558" s="1"/>
      <c r="V558" s="1" t="s">
        <v>64</v>
      </c>
      <c r="W558" s="23" t="b">
        <f>if(AND(R558=TRUE,N558=TRUE,P558=TRUE),TRUE,FALSE)</f>
        <v>0</v>
      </c>
      <c r="X558" s="23" t="str">
        <f>IFERROR(__xludf.DUMMYFUNCTION("if(COUNTA(FILTER(C:C, C:C = C558))=1,""no"",""yes"")"),"no")</f>
        <v>no</v>
      </c>
    </row>
    <row r="559">
      <c r="A559" s="75" t="s">
        <v>618</v>
      </c>
      <c r="B559" s="19">
        <v>13.0</v>
      </c>
      <c r="C559" s="19" t="s">
        <v>1331</v>
      </c>
      <c r="D559" s="22" t="str">
        <f t="shared" si="396"/>
        <v/>
      </c>
      <c r="E559" s="20">
        <f>Q559</f>
        <v>43734</v>
      </c>
      <c r="F559" s="79" t="str">
        <f>IFERROR(__xludf.DUMMYFUNCTION("iferror(ifna(IFNA(filter('2.1.clean'!E:E,'2.1.clean'!A:A=C559),filter('2.2.clean'!G:G,'2.2.clean'!D:D=C559)),filter('2.4.clean'!E:E,'2.4.clean'!A:A=C559)),)"),"")</f>
        <v/>
      </c>
      <c r="G559" s="20" t="str">
        <f>IFERROR(__xludf.DUMMYFUNCTION("iferror(filter('3.1.clean'!C:C,'3.1.clean'!A:A=C559),"""")"),"")</f>
        <v/>
      </c>
      <c r="H559" s="22"/>
      <c r="I559" s="22"/>
      <c r="J559" s="79"/>
      <c r="K559" s="20" t="str">
        <f>IFERROR(__xludf.DUMMYFUNCTION("iferror(filter('3.2.clean'!C:C,'3.2.clean'!A:A=C559),"""")"),"")</f>
        <v/>
      </c>
      <c r="L559" s="79"/>
      <c r="M559" s="20">
        <f>IFERROR(__xludf.DUMMYFUNCTION("iferror(filter('3.3.clean'!C:C,'3.3.clean'!A:A=C559),"""")"),43735.0)</f>
        <v>43735</v>
      </c>
      <c r="N559" s="79" t="b">
        <f t="shared" si="397"/>
        <v>1</v>
      </c>
      <c r="O559" s="20" t="str">
        <f>IFERROR(__xludf.DUMMYFUNCTION("iferror(filter('3.4.clean'!C:C,'3.4.clean'!A:A=C559),"""")"),"")</f>
        <v/>
      </c>
      <c r="P559" s="79" t="b">
        <f t="shared" si="388"/>
        <v>0</v>
      </c>
      <c r="Q559" s="20">
        <f>IFERROR(__xludf.DUMMYFUNCTION("iferror(filter('3.5.clean'!C:C,'3.5.clean'!A:A=C559),"""")"),43734.0)</f>
        <v>43734</v>
      </c>
      <c r="R559" s="22" t="b">
        <f>if(Q559="",FALSE,TRUE)</f>
        <v>1</v>
      </c>
      <c r="S559" s="4">
        <f>IFERROR(__xludf.DUMMYFUNCTION("iferror(filter('3.5.clean'!H:H,'3.5.clean'!A:A=C559),"""")"),0.0)</f>
        <v>0</v>
      </c>
      <c r="U559" s="1" t="s">
        <v>382</v>
      </c>
      <c r="V559" s="1" t="s">
        <v>64</v>
      </c>
      <c r="W559" s="23" t="b">
        <f>IF(and(R559=TRUE,N559=TRUE,P559=TRUE),TRUE,FALSE)</f>
        <v>0</v>
      </c>
      <c r="X559" s="23" t="str">
        <f>IFERROR(__xludf.DUMMYFUNCTION("if(COUNTA(FILTER(C:C, C:C = C559))=1,""no"",""yes"")"),"no")</f>
        <v>no</v>
      </c>
    </row>
    <row r="560">
      <c r="A560" s="75" t="s">
        <v>618</v>
      </c>
      <c r="B560" s="19">
        <v>14.0</v>
      </c>
      <c r="C560" s="19" t="s">
        <v>1332</v>
      </c>
      <c r="D560" s="76" t="str">
        <f t="shared" si="396"/>
        <v/>
      </c>
      <c r="E560" s="77">
        <f>G560</f>
        <v>43734</v>
      </c>
      <c r="F560" s="78" t="str">
        <f>IFERROR(__xludf.DUMMYFUNCTION("iferror(ifna(IFNA(filter('2.1.clean'!E:E,'2.1.clean'!A:A=C560),filter('2.2.clean'!G:G,'2.2.clean'!D:D=C560)),filter('2.4.clean'!E:E,'2.4.clean'!A:A=C560)),)"),"")</f>
        <v/>
      </c>
      <c r="G560" s="77">
        <f>IFERROR(__xludf.DUMMYFUNCTION("iferror(filter('3.1.clean'!C:C,'3.1.clean'!A:A=C560),"""")"),43734.0)</f>
        <v>43734</v>
      </c>
      <c r="H560" s="76" t="b">
        <f>if(G560="",FALSE,TRUE)</f>
        <v>1</v>
      </c>
      <c r="I560" s="76">
        <f>IFERROR(__xludf.DUMMYFUNCTION("iferror(filter('3.1.clean'!G:G,'3.1.clean'!A:A=C560),"""")"),0.0)</f>
        <v>0</v>
      </c>
      <c r="J560" s="78">
        <f>IFERROR(__xludf.DUMMYFUNCTION("iferror(filter('3.1.clean'!I:I,'3.1.clean'!A:A=C560),"""")"),0.0)</f>
        <v>0</v>
      </c>
      <c r="K560" s="77"/>
      <c r="L560" s="78"/>
      <c r="M560" s="77"/>
      <c r="N560" s="78"/>
      <c r="O560" s="77"/>
      <c r="P560" s="78"/>
      <c r="Q560" s="77"/>
      <c r="R560" s="76"/>
      <c r="S560" s="25"/>
      <c r="V560" s="1" t="s">
        <v>64</v>
      </c>
      <c r="W560" s="1" t="b">
        <v>1</v>
      </c>
      <c r="X560" s="23" t="str">
        <f>IFERROR(__xludf.DUMMYFUNCTION("if(COUNTA(FILTER(C:C, C:C = C560))=1,""no"",""yes"")"),"no")</f>
        <v>no</v>
      </c>
    </row>
    <row r="561">
      <c r="A561" s="75" t="s">
        <v>618</v>
      </c>
      <c r="B561" s="2">
        <v>15.0</v>
      </c>
      <c r="C561" s="19" t="s">
        <v>1334</v>
      </c>
      <c r="E561" s="24">
        <v>43734.0</v>
      </c>
      <c r="F561" s="25" t="str">
        <f>IFERROR(__xludf.DUMMYFUNCTION("iferror(ifna(IFNA(filter('2.1.clean'!E:E,'2.1.clean'!A:A=C561),filter('2.2.clean'!G:G,'2.2.clean'!D:D=C561)),filter('2.4.clean'!E:E,'2.4.clean'!A:A=C561)),)"),"")</f>
        <v/>
      </c>
      <c r="G561" s="24" t="str">
        <f>IFERROR(__xludf.DUMMYFUNCTION("iferror(filter('3.1.clean'!C:C,'3.1.clean'!A:A=C561),"""")"),"")</f>
        <v/>
      </c>
      <c r="J561" s="25"/>
      <c r="K561" s="24" t="str">
        <f>IFERROR(__xludf.DUMMYFUNCTION("iferror(filter('3.2.clean'!C:C,'3.2.clean'!A:A=C561),"""")"),"")</f>
        <v/>
      </c>
      <c r="L561" s="25"/>
      <c r="M561" s="24">
        <f>IFERROR(__xludf.DUMMYFUNCTION("iferror(filter('3.3.clean'!C:C,'3.3.clean'!A:A=C561),"""")"),43735.0)</f>
        <v>43735</v>
      </c>
      <c r="N561" s="25" t="b">
        <f t="shared" ref="N561:N562" si="398">if(M561="",FALSE,TRUE)</f>
        <v>1</v>
      </c>
      <c r="O561" s="24" t="str">
        <f>IFERROR(__xludf.DUMMYFUNCTION("iferror(filter('3.4.clean'!C:C,'3.4.clean'!A:A=C561),"""")"),"")</f>
        <v/>
      </c>
      <c r="P561" s="25" t="b">
        <f t="shared" ref="P561:P574" si="399">if(O561="",FALSE,TRUE)</f>
        <v>0</v>
      </c>
      <c r="Q561" s="24" t="str">
        <f>IFERROR(__xludf.DUMMYFUNCTION("iferror(filter('3.5.clean'!C:C,'3.5.clean'!A:A=C561),"""")"),"")</f>
        <v/>
      </c>
      <c r="S561" s="25"/>
      <c r="V561" s="1" t="s">
        <v>64</v>
      </c>
      <c r="X561" s="23" t="str">
        <f>IFERROR(__xludf.DUMMYFUNCTION("if(COUNTA(FILTER(C:C, C:C = C561))=1,""no"",""yes"")"),"no")</f>
        <v>no</v>
      </c>
    </row>
    <row r="562">
      <c r="A562" s="1" t="s">
        <v>639</v>
      </c>
      <c r="B562" s="2">
        <v>1.0</v>
      </c>
      <c r="C562" s="19" t="s">
        <v>1335</v>
      </c>
      <c r="E562" s="24">
        <f>IFERROR(__xludf.DUMMYFUNCTION("ifna(IFNA(filter('2.1.clean'!C:C,'2.1.clean'!A:A=C562),filter('2.2.clean'!E:E,'2.2.clean'!D:D=C562)),filter('2.4.clean'!C:C,'2.4.clean'!A:A=C562))"),43738.0)</f>
        <v>43738</v>
      </c>
      <c r="F562" s="25">
        <f>IFERROR(__xludf.DUMMYFUNCTION("iferror(ifna(IFNA(filter('2.1.clean'!E:E,'2.1.clean'!A:A=C562),filter('2.2.clean'!G:G,'2.2.clean'!D:D=C562)),filter('2.4.clean'!E:E,'2.4.clean'!A:A=C562)),)"),2.4)</f>
        <v>2.4</v>
      </c>
      <c r="G562" s="24">
        <f>IFERROR(__xludf.DUMMYFUNCTION("iferror(filter('3.1.clean'!C:C,'3.1.clean'!A:A=C562),"""")"),43738.0)</f>
        <v>43738</v>
      </c>
      <c r="H562" s="23" t="b">
        <f>if(G562="",FALSE,TRUE)</f>
        <v>1</v>
      </c>
      <c r="J562" s="25"/>
      <c r="K562" s="24">
        <f>IFERROR(__xludf.DUMMYFUNCTION("iferror(filter('3.2.clean'!C:C,'3.2.clean'!A:A=C562),"""")"),43741.0)</f>
        <v>43741</v>
      </c>
      <c r="L562" s="25" t="b">
        <f>if(K562="",FALSE,TRUE)</f>
        <v>1</v>
      </c>
      <c r="M562" s="24">
        <f>IFERROR(__xludf.DUMMYFUNCTION("iferror(filter('3.3.clean'!C:C,'3.3.clean'!A:A=C562),"""")"),43741.0)</f>
        <v>43741</v>
      </c>
      <c r="N562" s="25" t="b">
        <f t="shared" si="398"/>
        <v>1</v>
      </c>
      <c r="O562" s="24">
        <f>IFERROR(__xludf.DUMMYFUNCTION("iferror(filter('3.4.clean'!C:C,'3.4.clean'!A:A=C562),"""")"),43767.0)</f>
        <v>43767</v>
      </c>
      <c r="P562" s="25" t="b">
        <f t="shared" si="399"/>
        <v>1</v>
      </c>
      <c r="Q562" s="24">
        <f>IFERROR(__xludf.DUMMYFUNCTION("iferror(filter('3.5.clean'!C:C,'3.5.clean'!A:A=C562),"""")"),43738.0)</f>
        <v>43738</v>
      </c>
      <c r="R562" s="23" t="b">
        <f>if(Q562="",FALSE,TRUE)</f>
        <v>1</v>
      </c>
      <c r="S562" s="25"/>
      <c r="V562" s="1" t="s">
        <v>64</v>
      </c>
      <c r="X562" s="23" t="str">
        <f>IFERROR(__xludf.DUMMYFUNCTION("if(COUNTA(FILTER(C:C, C:C = C562))=1,""no"",""yes"")"),"no")</f>
        <v>no</v>
      </c>
    </row>
    <row r="563">
      <c r="A563" s="1" t="s">
        <v>639</v>
      </c>
      <c r="B563" s="2">
        <v>2.0</v>
      </c>
      <c r="C563" s="19" t="s">
        <v>1337</v>
      </c>
      <c r="E563" s="24">
        <v>43738.0</v>
      </c>
      <c r="F563" s="25" t="str">
        <f>IFERROR(__xludf.DUMMYFUNCTION("iferror(ifna(IFNA(filter('2.1.clean'!E:E,'2.1.clean'!A:A=C563),filter('2.2.clean'!G:G,'2.2.clean'!D:D=C563)),filter('2.4.clean'!E:E,'2.4.clean'!A:A=C563)),)"),"")</f>
        <v/>
      </c>
      <c r="G563" s="24"/>
      <c r="J563" s="25"/>
      <c r="K563" s="24"/>
      <c r="L563" s="25"/>
      <c r="M563" s="24" t="str">
        <f>IFERROR(__xludf.DUMMYFUNCTION("iferror(filter('3.3.clean'!C:C,'3.3.clean'!A:A=C563),"""")"),"")</f>
        <v/>
      </c>
      <c r="N563" s="25"/>
      <c r="O563" s="24">
        <f>IFERROR(__xludf.DUMMYFUNCTION("iferror(filter('3.4.clean'!C:C,'3.4.clean'!A:A=C563),"""")"),43767.0)</f>
        <v>43767</v>
      </c>
      <c r="P563" s="25" t="b">
        <f t="shared" si="399"/>
        <v>1</v>
      </c>
      <c r="Q563" s="24" t="str">
        <f>IFERROR(__xludf.DUMMYFUNCTION("iferror(filter('3.5.clean'!C:C,'3.5.clean'!A:A=C563),"""")"),"")</f>
        <v/>
      </c>
      <c r="S563" s="25"/>
      <c r="V563" s="1" t="s">
        <v>64</v>
      </c>
      <c r="X563" s="23" t="str">
        <f>IFERROR(__xludf.DUMMYFUNCTION("if(COUNTA(FILTER(C:C, C:C = C563))=1,""no"",""yes"")"),"no")</f>
        <v>no</v>
      </c>
    </row>
    <row r="564">
      <c r="A564" s="1" t="s">
        <v>639</v>
      </c>
      <c r="B564" s="19">
        <v>3.0</v>
      </c>
      <c r="C564" s="19" t="s">
        <v>1338</v>
      </c>
      <c r="D564" s="58" t="str">
        <f t="shared" ref="D564:D565" si="400">if(or(I564=1,J564=1,S564=1),"pos","")</f>
        <v/>
      </c>
      <c r="E564" s="59">
        <f>IFERROR(__xludf.DUMMYFUNCTION("ifna(IFNA(filter('2.1.clean'!C:C,'2.1.clean'!A:A=C564),filter('2.2.clean'!E:E,'2.2.clean'!D:D=C564)),filter('2.4.clean'!C:C,'2.4.clean'!A:A=C564))"),43738.0)</f>
        <v>43738</v>
      </c>
      <c r="F564" s="60">
        <f>IFERROR(__xludf.DUMMYFUNCTION("iferror(ifna(IFNA(filter('2.1.clean'!E:E,'2.1.clean'!A:A=C564),filter('2.2.clean'!G:G,'2.2.clean'!D:D=C564)),filter('2.4.clean'!E:E,'2.4.clean'!A:A=C564)),)"),2.4)</f>
        <v>2.4</v>
      </c>
      <c r="G564" s="59">
        <f>IFERROR(__xludf.DUMMYFUNCTION("iferror(filter('3.1.clean'!C:C,'3.1.clean'!A:A=C564),"""")"),43738.0)</f>
        <v>43738</v>
      </c>
      <c r="H564" s="58" t="b">
        <f>if(G564="",FALSE,TRUE)</f>
        <v>1</v>
      </c>
      <c r="I564" s="58">
        <f>IFERROR(__xludf.DUMMYFUNCTION("iferror(filter('3.1.clean'!G:G,'3.1.clean'!A:A=C564),"""")"),0.0)</f>
        <v>0</v>
      </c>
      <c r="J564" s="60">
        <f>IFERROR(__xludf.DUMMYFUNCTION("iferror(filter('3.1.clean'!I:I,'3.1.clean'!A:A=C564),"""")"),0.0)</f>
        <v>0</v>
      </c>
      <c r="K564" s="59"/>
      <c r="L564" s="60"/>
      <c r="M564" s="59">
        <f>IFERROR(__xludf.DUMMYFUNCTION("iferror(filter('3.3.clean'!C:C,'3.3.clean'!A:A=C564),"""")"),43741.0)</f>
        <v>43741</v>
      </c>
      <c r="N564" s="60" t="b">
        <f t="shared" ref="N564:N566" si="401">if(M564="",FALSE,TRUE)</f>
        <v>1</v>
      </c>
      <c r="O564" s="59" t="str">
        <f>IFERROR(__xludf.DUMMYFUNCTION("iferror(filter('3.4.clean'!C:C,'3.4.clean'!A:A=C564),"""")"),"")</f>
        <v/>
      </c>
      <c r="P564" s="60" t="b">
        <f t="shared" si="399"/>
        <v>0</v>
      </c>
      <c r="Q564" s="59" t="str">
        <f>IFERROR(__xludf.DUMMYFUNCTION("iferror(filter('3.5.clean'!C:C,'3.5.clean'!A:A=C564),"""")"),"")</f>
        <v/>
      </c>
      <c r="R564" s="58"/>
      <c r="S564" s="4" t="str">
        <f>IFERROR(__xludf.DUMMYFUNCTION("iferror(filter('3.5.clean'!H:H,'3.5.clean'!A:A=C564),"""")"),"")</f>
        <v/>
      </c>
      <c r="V564" s="1" t="s">
        <v>64</v>
      </c>
      <c r="W564" s="23" t="b">
        <f>if(AND(H564=TRUE,N564=TRUE,P564=TRUE),TRUE,FALSE)</f>
        <v>0</v>
      </c>
      <c r="X564" s="23" t="str">
        <f>IFERROR(__xludf.DUMMYFUNCTION("if(COUNTA(FILTER(C:C, C:C = C564))=1,""no"",""yes"")"),"no")</f>
        <v>no</v>
      </c>
    </row>
    <row r="565">
      <c r="A565" s="1" t="s">
        <v>639</v>
      </c>
      <c r="B565" s="19">
        <v>4.0</v>
      </c>
      <c r="C565" s="19" t="s">
        <v>1339</v>
      </c>
      <c r="D565" s="58" t="str">
        <f t="shared" si="400"/>
        <v>pos</v>
      </c>
      <c r="E565" s="59">
        <f>Q565</f>
        <v>43738</v>
      </c>
      <c r="F565" s="60" t="str">
        <f>IFERROR(__xludf.DUMMYFUNCTION("iferror(ifna(IFNA(filter('2.1.clean'!E:E,'2.1.clean'!A:A=C565),filter('2.2.clean'!G:G,'2.2.clean'!D:D=C565)),filter('2.4.clean'!E:E,'2.4.clean'!A:A=C565)),)"),"")</f>
        <v/>
      </c>
      <c r="G565" s="59" t="str">
        <f>IFERROR(__xludf.DUMMYFUNCTION("iferror(filter('3.1.clean'!C:C,'3.1.clean'!A:A=C565),"""")"),"")</f>
        <v/>
      </c>
      <c r="H565" s="58"/>
      <c r="I565" s="58"/>
      <c r="J565" s="60"/>
      <c r="K565" s="59"/>
      <c r="L565" s="60"/>
      <c r="M565" s="81" t="s">
        <v>814</v>
      </c>
      <c r="N565" s="60" t="b">
        <f t="shared" si="401"/>
        <v>1</v>
      </c>
      <c r="O565" s="59">
        <f>IFERROR(__xludf.DUMMYFUNCTION("iferror(filter('3.4.clean'!C:C,'3.4.clean'!A:A=C565),"""")"),43767.0)</f>
        <v>43767</v>
      </c>
      <c r="P565" s="60" t="b">
        <f t="shared" si="399"/>
        <v>1</v>
      </c>
      <c r="Q565" s="59">
        <f>IFERROR(__xludf.DUMMYFUNCTION("iferror(filter('3.5.clean'!C:C,'3.5.clean'!A:A=C565),"""")"),43738.0)</f>
        <v>43738</v>
      </c>
      <c r="R565" s="58" t="b">
        <f t="shared" ref="R565:R566" si="402">if(Q565="",FALSE,TRUE)</f>
        <v>1</v>
      </c>
      <c r="S565" s="4">
        <f>IFERROR(__xludf.DUMMYFUNCTION("iferror(filter('3.5.clean'!H:H,'3.5.clean'!A:A=C565),"""")"),1.0)</f>
        <v>1</v>
      </c>
      <c r="V565" s="1" t="s">
        <v>64</v>
      </c>
      <c r="W565" s="23" t="b">
        <f>if(AND(R565=TRUE,N565=TRUE,P565=TRUE),TRUE,FALSE)</f>
        <v>1</v>
      </c>
      <c r="X565" s="23" t="str">
        <f>IFERROR(__xludf.DUMMYFUNCTION("if(COUNTA(FILTER(C:C, C:C = C565))=1,""no"",""yes"")"),"no")</f>
        <v>no</v>
      </c>
    </row>
    <row r="566">
      <c r="A566" s="1" t="s">
        <v>639</v>
      </c>
      <c r="B566" s="2">
        <v>5.0</v>
      </c>
      <c r="C566" s="19" t="s">
        <v>1341</v>
      </c>
      <c r="E566" s="24">
        <f>IFERROR(__xludf.DUMMYFUNCTION("ifna(IFNA(filter('2.1.clean'!C:C,'2.1.clean'!A:A=C566),filter('2.2.clean'!E:E,'2.2.clean'!D:D=C566)),filter('2.4.clean'!C:C,'2.4.clean'!A:A=C566))"),43738.0)</f>
        <v>43738</v>
      </c>
      <c r="F566" s="25">
        <f>IFERROR(__xludf.DUMMYFUNCTION("iferror(ifna(IFNA(filter('2.1.clean'!E:E,'2.1.clean'!A:A=C566),filter('2.2.clean'!G:G,'2.2.clean'!D:D=C566)),filter('2.4.clean'!E:E,'2.4.clean'!A:A=C566)),)"),2.4)</f>
        <v>2.4</v>
      </c>
      <c r="G566" s="24">
        <f>IFERROR(__xludf.DUMMYFUNCTION("iferror(filter('3.1.clean'!C:C,'3.1.clean'!A:A=C566),"""")"),43738.0)</f>
        <v>43738</v>
      </c>
      <c r="H566" s="23" t="b">
        <f>if(G566="",FALSE,TRUE)</f>
        <v>1</v>
      </c>
      <c r="J566" s="25"/>
      <c r="K566" s="24">
        <f>IFERROR(__xludf.DUMMYFUNCTION("iferror(filter('3.2.clean'!C:C,'3.2.clean'!A:A=C566),"""")"),43741.0)</f>
        <v>43741</v>
      </c>
      <c r="L566" s="25" t="b">
        <f>if(K566="",FALSE,TRUE)</f>
        <v>1</v>
      </c>
      <c r="M566" s="24">
        <f>IFERROR(__xludf.DUMMYFUNCTION("iferror(filter('3.3.clean'!C:C,'3.3.clean'!A:A=C566),"""")"),43741.0)</f>
        <v>43741</v>
      </c>
      <c r="N566" s="25" t="b">
        <f t="shared" si="401"/>
        <v>1</v>
      </c>
      <c r="O566" s="24">
        <f>IFERROR(__xludf.DUMMYFUNCTION("iferror(filter('3.4.clean'!C:C,'3.4.clean'!A:A=C566),"""")"),43767.0)</f>
        <v>43767</v>
      </c>
      <c r="P566" s="25" t="b">
        <f t="shared" si="399"/>
        <v>1</v>
      </c>
      <c r="Q566" s="24">
        <f>IFERROR(__xludf.DUMMYFUNCTION("iferror(filter('3.5.clean'!C:C,'3.5.clean'!A:A=C566),"""")"),43738.0)</f>
        <v>43738</v>
      </c>
      <c r="R566" s="23" t="b">
        <f t="shared" si="402"/>
        <v>1</v>
      </c>
      <c r="S566" s="25"/>
      <c r="V566" s="1" t="s">
        <v>64</v>
      </c>
      <c r="X566" s="23" t="str">
        <f>IFERROR(__xludf.DUMMYFUNCTION("if(COUNTA(FILTER(C:C, C:C = C566))=1,""no"",""yes"")"),"no")</f>
        <v>no</v>
      </c>
    </row>
    <row r="567">
      <c r="A567" s="1" t="s">
        <v>639</v>
      </c>
      <c r="B567" s="2">
        <v>6.0</v>
      </c>
      <c r="C567" s="19" t="s">
        <v>1342</v>
      </c>
      <c r="E567" s="24">
        <v>43738.0</v>
      </c>
      <c r="F567" s="25" t="str">
        <f>IFERROR(__xludf.DUMMYFUNCTION("iferror(ifna(IFNA(filter('2.1.clean'!E:E,'2.1.clean'!A:A=C567),filter('2.2.clean'!G:G,'2.2.clean'!D:D=C567)),filter('2.4.clean'!E:E,'2.4.clean'!A:A=C567)),)"),"")</f>
        <v/>
      </c>
      <c r="G567" s="24"/>
      <c r="J567" s="25"/>
      <c r="K567" s="24"/>
      <c r="L567" s="25"/>
      <c r="M567" s="24" t="str">
        <f>IFERROR(__xludf.DUMMYFUNCTION("iferror(filter('3.3.clean'!C:C,'3.3.clean'!A:A=C567),"""")"),"")</f>
        <v/>
      </c>
      <c r="N567" s="25"/>
      <c r="O567" s="24">
        <f>IFERROR(__xludf.DUMMYFUNCTION("iferror(filter('3.4.clean'!C:C,'3.4.clean'!A:A=C567),"""")"),43767.0)</f>
        <v>43767</v>
      </c>
      <c r="P567" s="25" t="b">
        <f t="shared" si="399"/>
        <v>1</v>
      </c>
      <c r="Q567" s="24" t="str">
        <f>IFERROR(__xludf.DUMMYFUNCTION("iferror(filter('3.5.clean'!C:C,'3.5.clean'!A:A=C567),"""")"),"")</f>
        <v/>
      </c>
      <c r="S567" s="25"/>
      <c r="V567" s="1" t="s">
        <v>64</v>
      </c>
      <c r="X567" s="23" t="str">
        <f>IFERROR(__xludf.DUMMYFUNCTION("if(COUNTA(FILTER(C:C, C:C = C567))=1,""no"",""yes"")"),"no")</f>
        <v>no</v>
      </c>
    </row>
    <row r="568">
      <c r="A568" s="1" t="s">
        <v>639</v>
      </c>
      <c r="B568" s="19">
        <v>7.0</v>
      </c>
      <c r="C568" s="19" t="s">
        <v>1344</v>
      </c>
      <c r="D568" s="58" t="str">
        <f t="shared" ref="D568:D569" si="403">if(or(I568=1,J568=1,S568=1),"pos","")</f>
        <v/>
      </c>
      <c r="E568" s="59">
        <f>IFERROR(__xludf.DUMMYFUNCTION("ifna(IFNA(filter('2.1.clean'!C:C,'2.1.clean'!A:A=C568),filter('2.2.clean'!E:E,'2.2.clean'!D:D=C568)),filter('2.4.clean'!C:C,'2.4.clean'!A:A=C568))"),43738.0)</f>
        <v>43738</v>
      </c>
      <c r="F568" s="60">
        <f>IFERROR(__xludf.DUMMYFUNCTION("iferror(ifna(IFNA(filter('2.1.clean'!E:E,'2.1.clean'!A:A=C568),filter('2.2.clean'!G:G,'2.2.clean'!D:D=C568)),filter('2.4.clean'!E:E,'2.4.clean'!A:A=C568)),)"),2.4)</f>
        <v>2.4</v>
      </c>
      <c r="G568" s="59">
        <f>IFERROR(__xludf.DUMMYFUNCTION("iferror(filter('3.1.clean'!C:C,'3.1.clean'!A:A=C568),"""")"),43738.0)</f>
        <v>43738</v>
      </c>
      <c r="H568" s="58" t="b">
        <f>if(G568="",FALSE,TRUE)</f>
        <v>1</v>
      </c>
      <c r="I568" s="58">
        <f>IFERROR(__xludf.DUMMYFUNCTION("iferror(filter('3.1.clean'!G:G,'3.1.clean'!A:A=C568),"""")"),0.0)</f>
        <v>0</v>
      </c>
      <c r="J568" s="60">
        <f>IFERROR(__xludf.DUMMYFUNCTION("iferror(filter('3.1.clean'!I:I,'3.1.clean'!A:A=C568),"""")"),0.0)</f>
        <v>0</v>
      </c>
      <c r="K568" s="59"/>
      <c r="L568" s="60"/>
      <c r="M568" s="59">
        <f>IFERROR(__xludf.DUMMYFUNCTION("iferror(filter('3.3.clean'!C:C,'3.3.clean'!A:A=C568),"""")"),43741.0)</f>
        <v>43741</v>
      </c>
      <c r="N568" s="60" t="b">
        <f t="shared" ref="N568:N570" si="404">if(M568="",FALSE,TRUE)</f>
        <v>1</v>
      </c>
      <c r="O568" s="59" t="str">
        <f>IFERROR(__xludf.DUMMYFUNCTION("iferror(filter('3.4.clean'!C:C,'3.4.clean'!A:A=C568),"""")"),"")</f>
        <v/>
      </c>
      <c r="P568" s="60" t="b">
        <f t="shared" si="399"/>
        <v>0</v>
      </c>
      <c r="Q568" s="59" t="str">
        <f>IFERROR(__xludf.DUMMYFUNCTION("iferror(filter('3.5.clean'!C:C,'3.5.clean'!A:A=C568),"""")"),"")</f>
        <v/>
      </c>
      <c r="R568" s="58"/>
      <c r="S568" s="4" t="str">
        <f>IFERROR(__xludf.DUMMYFUNCTION("iferror(filter('3.5.clean'!H:H,'3.5.clean'!A:A=C568),"""")"),"")</f>
        <v/>
      </c>
      <c r="V568" s="1" t="s">
        <v>64</v>
      </c>
      <c r="W568" s="23" t="b">
        <f>if(AND(H568=TRUE,N568=TRUE,P568=TRUE),TRUE,FALSE)</f>
        <v>0</v>
      </c>
      <c r="X568" s="23" t="str">
        <f>IFERROR(__xludf.DUMMYFUNCTION("if(COUNTA(FILTER(C:C, C:C = C568))=1,""no"",""yes"")"),"no")</f>
        <v>no</v>
      </c>
    </row>
    <row r="569">
      <c r="A569" s="1" t="s">
        <v>639</v>
      </c>
      <c r="B569" s="19">
        <v>8.0</v>
      </c>
      <c r="C569" s="19" t="s">
        <v>1345</v>
      </c>
      <c r="D569" s="58" t="str">
        <f t="shared" si="403"/>
        <v/>
      </c>
      <c r="E569" s="59">
        <f>Q569</f>
        <v>43738</v>
      </c>
      <c r="F569" s="60" t="str">
        <f>IFERROR(__xludf.DUMMYFUNCTION("iferror(ifna(IFNA(filter('2.1.clean'!E:E,'2.1.clean'!A:A=C569),filter('2.2.clean'!G:G,'2.2.clean'!D:D=C569)),filter('2.4.clean'!E:E,'2.4.clean'!A:A=C569)),)"),"")</f>
        <v/>
      </c>
      <c r="G569" s="59" t="str">
        <f>IFERROR(__xludf.DUMMYFUNCTION("iferror(filter('3.1.clean'!C:C,'3.1.clean'!A:A=C569),"""")"),"")</f>
        <v/>
      </c>
      <c r="H569" s="58"/>
      <c r="I569" s="58"/>
      <c r="J569" s="60"/>
      <c r="K569" s="59"/>
      <c r="L569" s="60"/>
      <c r="M569" s="81" t="s">
        <v>814</v>
      </c>
      <c r="N569" s="60" t="b">
        <f t="shared" si="404"/>
        <v>1</v>
      </c>
      <c r="O569" s="59">
        <f>IFERROR(__xludf.DUMMYFUNCTION("iferror(filter('3.4.clean'!C:C,'3.4.clean'!A:A=C569),"""")"),43767.0)</f>
        <v>43767</v>
      </c>
      <c r="P569" s="60" t="b">
        <f t="shared" si="399"/>
        <v>1</v>
      </c>
      <c r="Q569" s="59">
        <f>IFERROR(__xludf.DUMMYFUNCTION("iferror(filter('3.5.clean'!C:C,'3.5.clean'!A:A=C569),"""")"),43738.0)</f>
        <v>43738</v>
      </c>
      <c r="R569" s="58" t="b">
        <f t="shared" ref="R569:R570" si="405">if(Q569="",FALSE,TRUE)</f>
        <v>1</v>
      </c>
      <c r="S569" s="4">
        <f>IFERROR(__xludf.DUMMYFUNCTION("iferror(filter('3.5.clean'!H:H,'3.5.clean'!A:A=C569),"""")"),0.0)</f>
        <v>0</v>
      </c>
      <c r="V569" s="1" t="s">
        <v>64</v>
      </c>
      <c r="W569" s="23" t="b">
        <f>if(AND(R569=TRUE,N569=TRUE,P569=TRUE),TRUE,FALSE)</f>
        <v>1</v>
      </c>
      <c r="X569" s="23" t="str">
        <f>IFERROR(__xludf.DUMMYFUNCTION("if(COUNTA(FILTER(C:C, C:C = C569))=1,""no"",""yes"")"),"no")</f>
        <v>no</v>
      </c>
    </row>
    <row r="570">
      <c r="A570" s="1" t="s">
        <v>639</v>
      </c>
      <c r="B570" s="2">
        <v>9.0</v>
      </c>
      <c r="C570" s="19" t="s">
        <v>1346</v>
      </c>
      <c r="E570" s="24">
        <f>IFERROR(__xludf.DUMMYFUNCTION("ifna(IFNA(filter('2.1.clean'!C:C,'2.1.clean'!A:A=C570),filter('2.2.clean'!E:E,'2.2.clean'!D:D=C570)),filter('2.4.clean'!C:C,'2.4.clean'!A:A=C570))"),43738.0)</f>
        <v>43738</v>
      </c>
      <c r="F570" s="25">
        <f>IFERROR(__xludf.DUMMYFUNCTION("iferror(ifna(IFNA(filter('2.1.clean'!E:E,'2.1.clean'!A:A=C570),filter('2.2.clean'!G:G,'2.2.clean'!D:D=C570)),filter('2.4.clean'!E:E,'2.4.clean'!A:A=C570)),)"),2.4)</f>
        <v>2.4</v>
      </c>
      <c r="G570" s="24">
        <f>IFERROR(__xludf.DUMMYFUNCTION("iferror(filter('3.1.clean'!C:C,'3.1.clean'!A:A=C570),"""")"),43738.0)</f>
        <v>43738</v>
      </c>
      <c r="H570" s="23" t="b">
        <f>if(G570="",FALSE,TRUE)</f>
        <v>1</v>
      </c>
      <c r="J570" s="25"/>
      <c r="K570" s="24">
        <f>IFERROR(__xludf.DUMMYFUNCTION("iferror(filter('3.2.clean'!C:C,'3.2.clean'!A:A=C570),"""")"),43741.0)</f>
        <v>43741</v>
      </c>
      <c r="L570" s="25" t="b">
        <f>if(K570="",FALSE,TRUE)</f>
        <v>1</v>
      </c>
      <c r="M570" s="24">
        <f>IFERROR(__xludf.DUMMYFUNCTION("iferror(filter('3.3.clean'!C:C,'3.3.clean'!A:A=C570),"""")"),43741.0)</f>
        <v>43741</v>
      </c>
      <c r="N570" s="25" t="b">
        <f t="shared" si="404"/>
        <v>1</v>
      </c>
      <c r="O570" s="24">
        <f>IFERROR(__xludf.DUMMYFUNCTION("iferror(filter('3.4.clean'!C:C,'3.4.clean'!A:A=C570),"""")"),43763.0)</f>
        <v>43763</v>
      </c>
      <c r="P570" s="25" t="b">
        <f t="shared" si="399"/>
        <v>1</v>
      </c>
      <c r="Q570" s="24">
        <f>IFERROR(__xludf.DUMMYFUNCTION("iferror(filter('3.5.clean'!C:C,'3.5.clean'!A:A=C570),"""")"),43738.0)</f>
        <v>43738</v>
      </c>
      <c r="R570" s="23" t="b">
        <f t="shared" si="405"/>
        <v>1</v>
      </c>
      <c r="S570" s="25"/>
      <c r="V570" s="1" t="s">
        <v>64</v>
      </c>
      <c r="X570" s="23" t="str">
        <f>IFERROR(__xludf.DUMMYFUNCTION("if(COUNTA(FILTER(C:C, C:C = C570))=1,""no"",""yes"")"),"no")</f>
        <v>no</v>
      </c>
    </row>
    <row r="571">
      <c r="A571" s="1" t="s">
        <v>639</v>
      </c>
      <c r="B571" s="2">
        <v>10.0</v>
      </c>
      <c r="C571" s="19" t="s">
        <v>1348</v>
      </c>
      <c r="E571" s="24">
        <v>43738.0</v>
      </c>
      <c r="F571" s="25" t="str">
        <f>IFERROR(__xludf.DUMMYFUNCTION("iferror(ifna(IFNA(filter('2.1.clean'!E:E,'2.1.clean'!A:A=C571),filter('2.2.clean'!G:G,'2.2.clean'!D:D=C571)),filter('2.4.clean'!E:E,'2.4.clean'!A:A=C571)),)"),"")</f>
        <v/>
      </c>
      <c r="G571" s="24"/>
      <c r="J571" s="25"/>
      <c r="K571" s="24"/>
      <c r="L571" s="25"/>
      <c r="M571" s="24" t="str">
        <f>IFERROR(__xludf.DUMMYFUNCTION("iferror(filter('3.3.clean'!C:C,'3.3.clean'!A:A=C571),"""")"),"")</f>
        <v/>
      </c>
      <c r="N571" s="25"/>
      <c r="O571" s="24">
        <f>IFERROR(__xludf.DUMMYFUNCTION("iferror(filter('3.4.clean'!C:C,'3.4.clean'!A:A=C571),"""")"),43763.0)</f>
        <v>43763</v>
      </c>
      <c r="P571" s="25" t="b">
        <f t="shared" si="399"/>
        <v>1</v>
      </c>
      <c r="Q571" s="24" t="str">
        <f>IFERROR(__xludf.DUMMYFUNCTION("iferror(filter('3.5.clean'!C:C,'3.5.clean'!A:A=C571),"""")"),"")</f>
        <v/>
      </c>
      <c r="S571" s="25"/>
      <c r="V571" s="1" t="s">
        <v>64</v>
      </c>
      <c r="X571" s="23" t="str">
        <f>IFERROR(__xludf.DUMMYFUNCTION("if(COUNTA(FILTER(C:C, C:C = C571))=1,""no"",""yes"")"),"no")</f>
        <v>no</v>
      </c>
    </row>
    <row r="572">
      <c r="A572" s="1" t="s">
        <v>639</v>
      </c>
      <c r="B572" s="19">
        <v>11.0</v>
      </c>
      <c r="C572" s="19" t="s">
        <v>1349</v>
      </c>
      <c r="D572" s="58" t="str">
        <f t="shared" ref="D572:D575" si="406">if(or(I572=1,J572=1,S572=1),"pos","")</f>
        <v/>
      </c>
      <c r="E572" s="59">
        <f>IFERROR(__xludf.DUMMYFUNCTION("ifna(IFNA(filter('2.1.clean'!C:C,'2.1.clean'!A:A=C572),filter('2.2.clean'!E:E,'2.2.clean'!D:D=C572)),filter('2.4.clean'!C:C,'2.4.clean'!A:A=C572))"),43738.0)</f>
        <v>43738</v>
      </c>
      <c r="F572" s="60">
        <f>IFERROR(__xludf.DUMMYFUNCTION("iferror(ifna(IFNA(filter('2.1.clean'!E:E,'2.1.clean'!A:A=C572),filter('2.2.clean'!G:G,'2.2.clean'!D:D=C572)),filter('2.4.clean'!E:E,'2.4.clean'!A:A=C572)),)"),2.4)</f>
        <v>2.4</v>
      </c>
      <c r="G572" s="59">
        <f>IFERROR(__xludf.DUMMYFUNCTION("iferror(filter('3.1.clean'!C:C,'3.1.clean'!A:A=C572),"""")"),43738.0)</f>
        <v>43738</v>
      </c>
      <c r="H572" s="58" t="b">
        <f>if(G572="",FALSE,TRUE)</f>
        <v>1</v>
      </c>
      <c r="I572" s="58">
        <f>IFERROR(__xludf.DUMMYFUNCTION("iferror(filter('3.1.clean'!G:G,'3.1.clean'!A:A=C572),"""")"),0.0)</f>
        <v>0</v>
      </c>
      <c r="J572" s="60">
        <f>IFERROR(__xludf.DUMMYFUNCTION("iferror(filter('3.1.clean'!I:I,'3.1.clean'!A:A=C572),"""")"),0.0)</f>
        <v>0</v>
      </c>
      <c r="K572" s="59"/>
      <c r="L572" s="60"/>
      <c r="M572" s="59">
        <f>IFERROR(__xludf.DUMMYFUNCTION("iferror(filter('3.3.clean'!C:C,'3.3.clean'!A:A=C572),"""")"),43741.0)</f>
        <v>43741</v>
      </c>
      <c r="N572" s="60" t="b">
        <f t="shared" ref="N572:N574" si="407">if(M572="",FALSE,TRUE)</f>
        <v>1</v>
      </c>
      <c r="O572" s="59" t="str">
        <f>IFERROR(__xludf.DUMMYFUNCTION("iferror(filter('3.4.clean'!C:C,'3.4.clean'!A:A=C572),"""")"),"")</f>
        <v/>
      </c>
      <c r="P572" s="60" t="b">
        <f t="shared" si="399"/>
        <v>0</v>
      </c>
      <c r="Q572" s="59" t="str">
        <f>IFERROR(__xludf.DUMMYFUNCTION("iferror(filter('3.5.clean'!C:C,'3.5.clean'!A:A=C572),"""")"),"")</f>
        <v/>
      </c>
      <c r="R572" s="58"/>
      <c r="S572" s="4" t="str">
        <f>IFERROR(__xludf.DUMMYFUNCTION("iferror(filter('3.5.clean'!H:H,'3.5.clean'!A:A=C572),"""")"),"")</f>
        <v/>
      </c>
      <c r="V572" s="1" t="s">
        <v>64</v>
      </c>
      <c r="W572" s="23" t="b">
        <f>if(AND(H572=TRUE,N572=TRUE,P572=TRUE),TRUE,FALSE)</f>
        <v>0</v>
      </c>
      <c r="X572" s="23" t="str">
        <f>IFERROR(__xludf.DUMMYFUNCTION("if(COUNTA(FILTER(C:C, C:C = C572))=1,""no"",""yes"")"),"no")</f>
        <v>no</v>
      </c>
    </row>
    <row r="573">
      <c r="A573" s="1" t="s">
        <v>639</v>
      </c>
      <c r="B573" s="19">
        <v>12.0</v>
      </c>
      <c r="C573" s="19" t="s">
        <v>1351</v>
      </c>
      <c r="D573" s="58" t="str">
        <f t="shared" si="406"/>
        <v/>
      </c>
      <c r="E573" s="59">
        <f t="shared" ref="E573:E574" si="408">Q573</f>
        <v>43738</v>
      </c>
      <c r="F573" s="60" t="str">
        <f>IFERROR(__xludf.DUMMYFUNCTION("iferror(ifna(IFNA(filter('2.1.clean'!E:E,'2.1.clean'!A:A=C573),filter('2.2.clean'!G:G,'2.2.clean'!D:D=C573)),filter('2.4.clean'!E:E,'2.4.clean'!A:A=C573)),)"),"")</f>
        <v/>
      </c>
      <c r="G573" s="59" t="str">
        <f>IFERROR(__xludf.DUMMYFUNCTION("iferror(filter('3.1.clean'!C:C,'3.1.clean'!A:A=C573),"""")"),"")</f>
        <v/>
      </c>
      <c r="H573" s="58"/>
      <c r="I573" s="58"/>
      <c r="J573" s="60"/>
      <c r="K573" s="59"/>
      <c r="L573" s="60"/>
      <c r="M573" s="81" t="s">
        <v>814</v>
      </c>
      <c r="N573" s="60" t="b">
        <f t="shared" si="407"/>
        <v>1</v>
      </c>
      <c r="O573" s="59">
        <f>IFERROR(__xludf.DUMMYFUNCTION("iferror(filter('3.4.clean'!C:C,'3.4.clean'!A:A=C573),"""")"),43763.0)</f>
        <v>43763</v>
      </c>
      <c r="P573" s="60" t="b">
        <f t="shared" si="399"/>
        <v>1</v>
      </c>
      <c r="Q573" s="59">
        <f>IFERROR(__xludf.DUMMYFUNCTION("iferror(filter('3.5.clean'!C:C,'3.5.clean'!A:A=C573),"""")"),43738.0)</f>
        <v>43738</v>
      </c>
      <c r="R573" s="58" t="b">
        <f t="shared" ref="R573:R574" si="409">if(Q573="",FALSE,TRUE)</f>
        <v>1</v>
      </c>
      <c r="S573" s="4">
        <f>IFERROR(__xludf.DUMMYFUNCTION("iferror(filter('3.5.clean'!H:H,'3.5.clean'!A:A=C573),"""")"),0.0)</f>
        <v>0</v>
      </c>
      <c r="V573" s="1" t="s">
        <v>64</v>
      </c>
      <c r="W573" s="23" t="b">
        <f>if(AND(R573=TRUE,N573=TRUE,P573=TRUE),TRUE,FALSE)</f>
        <v>1</v>
      </c>
      <c r="X573" s="23" t="str">
        <f>IFERROR(__xludf.DUMMYFUNCTION("if(COUNTA(FILTER(C:C, C:C = C573))=1,""no"",""yes"")"),"no")</f>
        <v>no</v>
      </c>
    </row>
    <row r="574">
      <c r="A574" s="1" t="s">
        <v>639</v>
      </c>
      <c r="B574" s="19">
        <v>13.0</v>
      </c>
      <c r="C574" s="19" t="s">
        <v>1352</v>
      </c>
      <c r="D574" s="22" t="str">
        <f t="shared" si="406"/>
        <v/>
      </c>
      <c r="E574" s="20">
        <f t="shared" si="408"/>
        <v>43738</v>
      </c>
      <c r="F574" s="79" t="str">
        <f>IFERROR(__xludf.DUMMYFUNCTION("iferror(ifna(IFNA(filter('2.1.clean'!E:E,'2.1.clean'!A:A=C574),filter('2.2.clean'!G:G,'2.2.clean'!D:D=C574)),filter('2.4.clean'!E:E,'2.4.clean'!A:A=C574)),)"),"")</f>
        <v/>
      </c>
      <c r="G574" s="20" t="str">
        <f>IFERROR(__xludf.DUMMYFUNCTION("iferror(filter('3.1.clean'!C:C,'3.1.clean'!A:A=C574),"""")"),"")</f>
        <v/>
      </c>
      <c r="H574" s="22"/>
      <c r="I574" s="22"/>
      <c r="J574" s="79"/>
      <c r="K574" s="20" t="str">
        <f>IFERROR(__xludf.DUMMYFUNCTION("iferror(filter('3.2.clean'!C:C,'3.2.clean'!A:A=C574),"""")"),"")</f>
        <v/>
      </c>
      <c r="L574" s="79"/>
      <c r="M574" s="20">
        <f>IFERROR(__xludf.DUMMYFUNCTION("iferror(filter('3.3.clean'!C:C,'3.3.clean'!A:A=C574),"""")"),43741.0)</f>
        <v>43741</v>
      </c>
      <c r="N574" s="79" t="b">
        <f t="shared" si="407"/>
        <v>1</v>
      </c>
      <c r="O574" s="20" t="str">
        <f>IFERROR(__xludf.DUMMYFUNCTION("iferror(filter('3.4.clean'!C:C,'3.4.clean'!A:A=C574),"""")"),"")</f>
        <v/>
      </c>
      <c r="P574" s="79" t="b">
        <f t="shared" si="399"/>
        <v>0</v>
      </c>
      <c r="Q574" s="20">
        <f>IFERROR(__xludf.DUMMYFUNCTION("iferror(filter('3.5.clean'!C:C,'3.5.clean'!A:A=C574),"""")"),43738.0)</f>
        <v>43738</v>
      </c>
      <c r="R574" s="22" t="b">
        <f t="shared" si="409"/>
        <v>1</v>
      </c>
      <c r="S574" s="4">
        <f>IFERROR(__xludf.DUMMYFUNCTION("iferror(filter('3.5.clean'!H:H,'3.5.clean'!A:A=C574),"""")"),0.0)</f>
        <v>0</v>
      </c>
      <c r="U574" s="1"/>
      <c r="V574" s="1" t="s">
        <v>64</v>
      </c>
      <c r="W574" s="23" t="b">
        <f>IF(and(R574=TRUE,N574=TRUE,P574=TRUE),TRUE,FALSE)</f>
        <v>0</v>
      </c>
      <c r="X574" s="23" t="str">
        <f>IFERROR(__xludf.DUMMYFUNCTION("if(COUNTA(FILTER(C:C, C:C = C574))=1,""no"",""yes"")"),"no")</f>
        <v>no</v>
      </c>
      <c r="Y574" s="39"/>
      <c r="Z574" s="39"/>
      <c r="AA574" s="39"/>
      <c r="AB574" s="39"/>
      <c r="AC574" s="39"/>
      <c r="AD574" s="39"/>
      <c r="AE574" s="39"/>
      <c r="AF574" s="39"/>
      <c r="AG574" s="39"/>
      <c r="AH574" s="39"/>
    </row>
    <row r="575">
      <c r="A575" s="1" t="s">
        <v>639</v>
      </c>
      <c r="B575" s="19">
        <v>14.0</v>
      </c>
      <c r="C575" s="19" t="s">
        <v>1353</v>
      </c>
      <c r="D575" s="76" t="str">
        <f t="shared" si="406"/>
        <v/>
      </c>
      <c r="E575" s="77">
        <f>G575</f>
        <v>43738</v>
      </c>
      <c r="F575" s="78" t="str">
        <f>IFERROR(__xludf.DUMMYFUNCTION("iferror(ifna(IFNA(filter('2.1.clean'!E:E,'2.1.clean'!A:A=C575),filter('2.2.clean'!G:G,'2.2.clean'!D:D=C575)),filter('2.4.clean'!E:E,'2.4.clean'!A:A=C575)),)"),"")</f>
        <v/>
      </c>
      <c r="G575" s="77">
        <f>IFERROR(__xludf.DUMMYFUNCTION("iferror(filter('3.1.clean'!C:C,'3.1.clean'!A:A=C575),"""")"),43738.0)</f>
        <v>43738</v>
      </c>
      <c r="H575" s="76" t="b">
        <f>if(G575="",FALSE,TRUE)</f>
        <v>1</v>
      </c>
      <c r="I575" s="76">
        <f>IFERROR(__xludf.DUMMYFUNCTION("iferror(filter('3.1.clean'!G:G,'3.1.clean'!A:A=C575),"""")"),0.0)</f>
        <v>0</v>
      </c>
      <c r="J575" s="78">
        <f>IFERROR(__xludf.DUMMYFUNCTION("iferror(filter('3.1.clean'!I:I,'3.1.clean'!A:A=C575),"""")"),0.0)</f>
        <v>0</v>
      </c>
      <c r="K575" s="77"/>
      <c r="L575" s="78"/>
      <c r="M575" s="77"/>
      <c r="N575" s="78"/>
      <c r="O575" s="77"/>
      <c r="P575" s="78"/>
      <c r="Q575" s="77"/>
      <c r="R575" s="76"/>
      <c r="S575" s="25"/>
      <c r="V575" s="1" t="s">
        <v>64</v>
      </c>
      <c r="W575" s="1" t="b">
        <v>1</v>
      </c>
      <c r="X575" s="23" t="str">
        <f>IFERROR(__xludf.DUMMYFUNCTION("if(COUNTA(FILTER(C:C, C:C = C575))=1,""no"",""yes"")"),"no")</f>
        <v>no</v>
      </c>
    </row>
    <row r="576">
      <c r="A576" s="1" t="s">
        <v>639</v>
      </c>
      <c r="B576" s="2">
        <v>15.0</v>
      </c>
      <c r="C576" s="19" t="s">
        <v>1355</v>
      </c>
      <c r="E576" s="24">
        <v>43738.0</v>
      </c>
      <c r="F576" s="25" t="str">
        <f>IFERROR(__xludf.DUMMYFUNCTION("iferror(ifna(IFNA(filter('2.1.clean'!E:E,'2.1.clean'!A:A=C576),filter('2.2.clean'!G:G,'2.2.clean'!D:D=C576)),filter('2.4.clean'!E:E,'2.4.clean'!A:A=C576)),)"),"")</f>
        <v/>
      </c>
      <c r="G576" s="24" t="str">
        <f>IFERROR(__xludf.DUMMYFUNCTION("iferror(filter('3.1.clean'!C:C,'3.1.clean'!A:A=C576),"""")"),"")</f>
        <v/>
      </c>
      <c r="J576" s="25"/>
      <c r="K576" s="24" t="str">
        <f>IFERROR(__xludf.DUMMYFUNCTION("iferror(filter('3.2.clean'!C:C,'3.2.clean'!A:A=C576),"""")"),"")</f>
        <v/>
      </c>
      <c r="L576" s="25"/>
      <c r="M576" s="24">
        <f>IFERROR(__xludf.DUMMYFUNCTION("iferror(filter('3.3.clean'!C:C,'3.3.clean'!A:A=C576),"""")"),43741.0)</f>
        <v>43741</v>
      </c>
      <c r="N576" s="25" t="b">
        <f t="shared" ref="N576:N577" si="410">if(M576="",FALSE,TRUE)</f>
        <v>1</v>
      </c>
      <c r="O576" s="24" t="str">
        <f>IFERROR(__xludf.DUMMYFUNCTION("iferror(filter('3.4.clean'!C:C,'3.4.clean'!A:A=C576),"""")"),"")</f>
        <v/>
      </c>
      <c r="P576" s="25" t="b">
        <f t="shared" ref="P576:P588" si="411">if(O576="",FALSE,TRUE)</f>
        <v>0</v>
      </c>
      <c r="Q576" s="24" t="str">
        <f>IFERROR(__xludf.DUMMYFUNCTION("iferror(filter('3.5.clean'!C:C,'3.5.clean'!A:A=C576),"""")"),"")</f>
        <v/>
      </c>
      <c r="S576" s="25"/>
      <c r="V576" s="1" t="s">
        <v>64</v>
      </c>
      <c r="X576" s="23" t="str">
        <f>IFERROR(__xludf.DUMMYFUNCTION("if(COUNTA(FILTER(C:C, C:C = C576))=1,""no"",""yes"")"),"no")</f>
        <v>no</v>
      </c>
    </row>
    <row r="577">
      <c r="A577" s="75" t="s">
        <v>660</v>
      </c>
      <c r="B577" s="2">
        <v>1.0</v>
      </c>
      <c r="C577" s="19" t="s">
        <v>1356</v>
      </c>
      <c r="E577" s="24">
        <f>IFERROR(__xludf.DUMMYFUNCTION("ifna(IFNA(filter('2.1.clean'!C:C,'2.1.clean'!A:A=C577),filter('2.2.clean'!E:E,'2.2.clean'!D:D=C577)),filter('2.4.clean'!C:C,'2.4.clean'!A:A=C577))"),43741.0)</f>
        <v>43741</v>
      </c>
      <c r="F577" s="25">
        <f>IFERROR(__xludf.DUMMYFUNCTION("iferror(ifna(IFNA(filter('2.1.clean'!E:E,'2.1.clean'!A:A=C577),filter('2.2.clean'!G:G,'2.2.clean'!D:D=C577)),filter('2.4.clean'!E:E,'2.4.clean'!A:A=C577)),)"),2.4)</f>
        <v>2.4</v>
      </c>
      <c r="G577" s="24">
        <f>IFERROR(__xludf.DUMMYFUNCTION("iferror(filter('3.1.clean'!C:C,'3.1.clean'!A:A=C577),"""")"),43741.0)</f>
        <v>43741</v>
      </c>
      <c r="H577" s="23" t="b">
        <f>if(G577="",FALSE,TRUE)</f>
        <v>1</v>
      </c>
      <c r="J577" s="25"/>
      <c r="K577" s="24">
        <f>IFERROR(__xludf.DUMMYFUNCTION("iferror(filter('3.2.clean'!C:C,'3.2.clean'!A:A=C577),"""")"),43741.0)</f>
        <v>43741</v>
      </c>
      <c r="L577" s="25" t="b">
        <f>if(K577="",FALSE,TRUE)</f>
        <v>1</v>
      </c>
      <c r="M577" s="24">
        <f>IFERROR(__xludf.DUMMYFUNCTION("iferror(filter('3.3.clean'!C:C,'3.3.clean'!A:A=C577),"""")"),43748.0)</f>
        <v>43748</v>
      </c>
      <c r="N577" s="25" t="b">
        <f t="shared" si="410"/>
        <v>1</v>
      </c>
      <c r="O577" s="24">
        <f>IFERROR(__xludf.DUMMYFUNCTION("iferror(filter('3.4.clean'!C:C,'3.4.clean'!A:A=C577),"""")"),43763.0)</f>
        <v>43763</v>
      </c>
      <c r="P577" s="25" t="b">
        <f t="shared" si="411"/>
        <v>1</v>
      </c>
      <c r="Q577" s="24">
        <f>IFERROR(__xludf.DUMMYFUNCTION("iferror(filter('3.5.clean'!C:C,'3.5.clean'!A:A=C577),"""")"),43741.0)</f>
        <v>43741</v>
      </c>
      <c r="R577" s="23" t="b">
        <f>if(Q577="",FALSE,TRUE)</f>
        <v>1</v>
      </c>
      <c r="S577" s="25"/>
      <c r="V577" s="1" t="s">
        <v>64</v>
      </c>
      <c r="X577" s="23" t="str">
        <f>IFERROR(__xludf.DUMMYFUNCTION("if(COUNTA(FILTER(C:C, C:C = C577))=1,""no"",""yes"")"),"no")</f>
        <v>no</v>
      </c>
    </row>
    <row r="578">
      <c r="A578" s="75" t="s">
        <v>660</v>
      </c>
      <c r="B578" s="2">
        <v>2.0</v>
      </c>
      <c r="C578" s="19" t="s">
        <v>1357</v>
      </c>
      <c r="E578" s="24">
        <v>43741.0</v>
      </c>
      <c r="F578" s="25" t="str">
        <f>IFERROR(__xludf.DUMMYFUNCTION("iferror(ifna(IFNA(filter('2.1.clean'!E:E,'2.1.clean'!A:A=C578),filter('2.2.clean'!G:G,'2.2.clean'!D:D=C578)),filter('2.4.clean'!E:E,'2.4.clean'!A:A=C578)),)"),"")</f>
        <v/>
      </c>
      <c r="G578" s="24"/>
      <c r="J578" s="25"/>
      <c r="K578" s="24"/>
      <c r="L578" s="25"/>
      <c r="M578" s="24" t="str">
        <f>IFERROR(__xludf.DUMMYFUNCTION("iferror(filter('3.3.clean'!C:C,'3.3.clean'!A:A=C578),"""")"),"")</f>
        <v/>
      </c>
      <c r="N578" s="25"/>
      <c r="O578" s="24">
        <f>IFERROR(__xludf.DUMMYFUNCTION("iferror(filter('3.4.clean'!C:C,'3.4.clean'!A:A=C578),"""")"),43763.0)</f>
        <v>43763</v>
      </c>
      <c r="P578" s="25" t="b">
        <f t="shared" si="411"/>
        <v>1</v>
      </c>
      <c r="Q578" s="24" t="str">
        <f>IFERROR(__xludf.DUMMYFUNCTION("iferror(filter('3.5.clean'!C:C,'3.5.clean'!A:A=C578),"""")"),"")</f>
        <v/>
      </c>
      <c r="S578" s="25"/>
      <c r="V578" s="1" t="s">
        <v>64</v>
      </c>
      <c r="X578" s="23" t="str">
        <f>IFERROR(__xludf.DUMMYFUNCTION("if(COUNTA(FILTER(C:C, C:C = C578))=1,""no"",""yes"")"),"no")</f>
        <v>no</v>
      </c>
    </row>
    <row r="579">
      <c r="A579" s="75" t="s">
        <v>660</v>
      </c>
      <c r="B579" s="19">
        <v>3.0</v>
      </c>
      <c r="C579" s="19" t="s">
        <v>1358</v>
      </c>
      <c r="D579" s="58" t="str">
        <f t="shared" ref="D579:D580" si="412">if(or(I579=1,J579=1,S579=1),"pos","")</f>
        <v/>
      </c>
      <c r="E579" s="59">
        <f>IFERROR(__xludf.DUMMYFUNCTION("ifna(IFNA(filter('2.1.clean'!C:C,'2.1.clean'!A:A=C579),filter('2.2.clean'!E:E,'2.2.clean'!D:D=C579)),filter('2.4.clean'!C:C,'2.4.clean'!A:A=C579))"),43741.0)</f>
        <v>43741</v>
      </c>
      <c r="F579" s="60">
        <f>IFERROR(__xludf.DUMMYFUNCTION("iferror(ifna(IFNA(filter('2.1.clean'!E:E,'2.1.clean'!A:A=C579),filter('2.2.clean'!G:G,'2.2.clean'!D:D=C579)),filter('2.4.clean'!E:E,'2.4.clean'!A:A=C579)),)"),2.4)</f>
        <v>2.4</v>
      </c>
      <c r="G579" s="59">
        <f>IFERROR(__xludf.DUMMYFUNCTION("iferror(filter('3.1.clean'!C:C,'3.1.clean'!A:A=C579),"""")"),43741.0)</f>
        <v>43741</v>
      </c>
      <c r="H579" s="58" t="b">
        <f>if(G579="",FALSE,TRUE)</f>
        <v>1</v>
      </c>
      <c r="I579" s="58">
        <f>IFERROR(__xludf.DUMMYFUNCTION("iferror(filter('3.1.clean'!G:G,'3.1.clean'!A:A=C579),"""")"),0.0)</f>
        <v>0</v>
      </c>
      <c r="J579" s="60">
        <f>IFERROR(__xludf.DUMMYFUNCTION("iferror(filter('3.1.clean'!I:I,'3.1.clean'!A:A=C579),"""")"),0.0)</f>
        <v>0</v>
      </c>
      <c r="K579" s="59"/>
      <c r="L579" s="60"/>
      <c r="M579" s="59">
        <f>IFERROR(__xludf.DUMMYFUNCTION("iferror(filter('3.3.clean'!C:C,'3.3.clean'!A:A=C579),"""")"),43748.0)</f>
        <v>43748</v>
      </c>
      <c r="N579" s="60" t="b">
        <f t="shared" ref="N579:N584" si="413">if(M579="",FALSE,TRUE)</f>
        <v>1</v>
      </c>
      <c r="O579" s="59" t="str">
        <f>IFERROR(__xludf.DUMMYFUNCTION("iferror(filter('3.4.clean'!C:C,'3.4.clean'!A:A=C579),"""")"),"")</f>
        <v/>
      </c>
      <c r="P579" s="60" t="b">
        <f t="shared" si="411"/>
        <v>0</v>
      </c>
      <c r="Q579" s="59" t="str">
        <f>IFERROR(__xludf.DUMMYFUNCTION("iferror(filter('3.5.clean'!C:C,'3.5.clean'!A:A=C579),"""")"),"")</f>
        <v/>
      </c>
      <c r="R579" s="58"/>
      <c r="S579" s="4" t="str">
        <f>IFERROR(__xludf.DUMMYFUNCTION("iferror(filter('3.5.clean'!H:H,'3.5.clean'!A:A=C579),"""")"),"")</f>
        <v/>
      </c>
      <c r="V579" s="1" t="s">
        <v>64</v>
      </c>
      <c r="W579" s="23" t="b">
        <f>if(AND(H579=TRUE,N579=TRUE,P579=TRUE),TRUE,FALSE)</f>
        <v>0</v>
      </c>
      <c r="X579" s="23" t="str">
        <f>IFERROR(__xludf.DUMMYFUNCTION("if(COUNTA(FILTER(C:C, C:C = C579))=1,""no"",""yes"")"),"no")</f>
        <v>no</v>
      </c>
    </row>
    <row r="580">
      <c r="A580" s="75" t="s">
        <v>660</v>
      </c>
      <c r="B580" s="19">
        <v>4.0</v>
      </c>
      <c r="C580" s="19" t="s">
        <v>1360</v>
      </c>
      <c r="D580" s="58" t="str">
        <f t="shared" si="412"/>
        <v/>
      </c>
      <c r="E580" s="59">
        <f>Q580</f>
        <v>43741</v>
      </c>
      <c r="F580" s="60" t="str">
        <f>IFERROR(__xludf.DUMMYFUNCTION("iferror(ifna(IFNA(filter('2.1.clean'!E:E,'2.1.clean'!A:A=C580),filter('2.2.clean'!G:G,'2.2.clean'!D:D=C580)),filter('2.4.clean'!E:E,'2.4.clean'!A:A=C580)),)"),"")</f>
        <v/>
      </c>
      <c r="G580" s="59" t="str">
        <f>IFERROR(__xludf.DUMMYFUNCTION("iferror(filter('3.1.clean'!C:C,'3.1.clean'!A:A=C580),"""")"),"")</f>
        <v/>
      </c>
      <c r="H580" s="58"/>
      <c r="I580" s="58"/>
      <c r="J580" s="60"/>
      <c r="K580" s="59"/>
      <c r="L580" s="60"/>
      <c r="M580" s="59">
        <f>IFERROR(__xludf.DUMMYFUNCTION("iferror(filter('3.3.clean'!C:C,'3.3.clean'!A:A=C580),"""")"),43748.0)</f>
        <v>43748</v>
      </c>
      <c r="N580" s="60" t="b">
        <f t="shared" si="413"/>
        <v>1</v>
      </c>
      <c r="O580" s="59">
        <f>IFERROR(__xludf.DUMMYFUNCTION("iferror(filter('3.4.clean'!C:C,'3.4.clean'!A:A=C580),"""")"),43763.0)</f>
        <v>43763</v>
      </c>
      <c r="P580" s="60" t="b">
        <f t="shared" si="411"/>
        <v>1</v>
      </c>
      <c r="Q580" s="59">
        <f>IFERROR(__xludf.DUMMYFUNCTION("iferror(filter('3.5.clean'!C:C,'3.5.clean'!A:A=C580),"""")"),43741.0)</f>
        <v>43741</v>
      </c>
      <c r="R580" s="58" t="b">
        <f t="shared" ref="R580:R581" si="414">if(Q580="",FALSE,TRUE)</f>
        <v>1</v>
      </c>
      <c r="S580" s="4">
        <f>IFERROR(__xludf.DUMMYFUNCTION("iferror(filter('3.5.clean'!H:H,'3.5.clean'!A:A=C580),"""")"),0.0)</f>
        <v>0</v>
      </c>
      <c r="V580" s="1" t="s">
        <v>64</v>
      </c>
      <c r="W580" s="23" t="b">
        <f>if(AND(R580=TRUE,N580=TRUE,P580=TRUE),TRUE,FALSE)</f>
        <v>1</v>
      </c>
      <c r="X580" s="23" t="str">
        <f>IFERROR(__xludf.DUMMYFUNCTION("if(COUNTA(FILTER(C:C, C:C = C580))=1,""no"",""yes"")"),"no")</f>
        <v>no</v>
      </c>
    </row>
    <row r="581">
      <c r="A581" s="75" t="s">
        <v>660</v>
      </c>
      <c r="B581" s="2">
        <v>5.0</v>
      </c>
      <c r="C581" s="19" t="s">
        <v>1361</v>
      </c>
      <c r="E581" s="24">
        <f>IFERROR(__xludf.DUMMYFUNCTION("ifna(IFNA(filter('2.1.clean'!C:C,'2.1.clean'!A:A=C581),filter('2.2.clean'!E:E,'2.2.clean'!D:D=C581)),filter('2.4.clean'!C:C,'2.4.clean'!A:A=C581))"),43741.0)</f>
        <v>43741</v>
      </c>
      <c r="F581" s="25">
        <f>IFERROR(__xludf.DUMMYFUNCTION("iferror(ifna(IFNA(filter('2.1.clean'!E:E,'2.1.clean'!A:A=C581),filter('2.2.clean'!G:G,'2.2.clean'!D:D=C581)),filter('2.4.clean'!E:E,'2.4.clean'!A:A=C581)),)"),2.4)</f>
        <v>2.4</v>
      </c>
      <c r="G581" s="24">
        <f>IFERROR(__xludf.DUMMYFUNCTION("iferror(filter('3.1.clean'!C:C,'3.1.clean'!A:A=C581),"""")"),43741.0)</f>
        <v>43741</v>
      </c>
      <c r="H581" s="23" t="b">
        <f t="shared" ref="H581:H582" si="415">if(G581="",FALSE,TRUE)</f>
        <v>1</v>
      </c>
      <c r="J581" s="25"/>
      <c r="K581" s="24">
        <f>IFERROR(__xludf.DUMMYFUNCTION("iferror(filter('3.2.clean'!C:C,'3.2.clean'!A:A=C581),"""")"),43741.0)</f>
        <v>43741</v>
      </c>
      <c r="L581" s="25" t="b">
        <f>if(K581="",FALSE,TRUE)</f>
        <v>1</v>
      </c>
      <c r="M581" s="24">
        <f>IFERROR(__xludf.DUMMYFUNCTION("iferror(filter('3.3.clean'!C:C,'3.3.clean'!A:A=C581),"""")"),43748.0)</f>
        <v>43748</v>
      </c>
      <c r="N581" s="25" t="b">
        <f t="shared" si="413"/>
        <v>1</v>
      </c>
      <c r="O581" s="24">
        <f>IFERROR(__xludf.DUMMYFUNCTION("iferror(filter('3.4.clean'!C:C,'3.4.clean'!A:A=C581),"""")"),43763.0)</f>
        <v>43763</v>
      </c>
      <c r="P581" s="25" t="b">
        <f t="shared" si="411"/>
        <v>1</v>
      </c>
      <c r="Q581" s="24">
        <f>IFERROR(__xludf.DUMMYFUNCTION("iferror(filter('3.5.clean'!C:C,'3.5.clean'!A:A=C581),"""")"),43741.0)</f>
        <v>43741</v>
      </c>
      <c r="R581" s="23" t="b">
        <f t="shared" si="414"/>
        <v>1</v>
      </c>
      <c r="S581" s="25"/>
      <c r="V581" s="1" t="s">
        <v>64</v>
      </c>
      <c r="X581" s="23" t="str">
        <f>IFERROR(__xludf.DUMMYFUNCTION("if(COUNTA(FILTER(C:C, C:C = C581))=1,""no"",""yes"")"),"no")</f>
        <v>no</v>
      </c>
    </row>
    <row r="582">
      <c r="A582" s="75" t="s">
        <v>660</v>
      </c>
      <c r="B582" s="19">
        <v>6.0</v>
      </c>
      <c r="C582" s="19" t="s">
        <v>220</v>
      </c>
      <c r="D582" s="58" t="str">
        <f t="shared" ref="D582:D583" si="416">if(or(I582=1,J582=1,S582=1),"pos","")</f>
        <v/>
      </c>
      <c r="E582" s="59">
        <f>IFERROR(__xludf.DUMMYFUNCTION("ifna(IFNA(filter('2.1.clean'!C:C,'2.1.clean'!A:A=C582),filter('2.2.clean'!E:E,'2.2.clean'!D:D=C582)),filter('2.4.clean'!C:C,'2.4.clean'!A:A=C582))"),43741.0)</f>
        <v>43741</v>
      </c>
      <c r="F582" s="60">
        <f>IFERROR(__xludf.DUMMYFUNCTION("iferror(ifna(IFNA(filter('2.1.clean'!E:E,'2.1.clean'!A:A=C582),filter('2.2.clean'!G:G,'2.2.clean'!D:D=C582)),filter('2.4.clean'!E:E,'2.4.clean'!A:A=C582)),)"),2.4)</f>
        <v>2.4</v>
      </c>
      <c r="G582" s="59">
        <f>IFERROR(__xludf.DUMMYFUNCTION("iferror(filter('3.1.clean'!C:C,'3.1.clean'!A:A=C582),"""")"),43741.0)</f>
        <v>43741</v>
      </c>
      <c r="H582" s="58" t="b">
        <f t="shared" si="415"/>
        <v>1</v>
      </c>
      <c r="I582" s="58">
        <f>IFERROR(__xludf.DUMMYFUNCTION("iferror(filter('3.1.clean'!G:G,'3.1.clean'!A:A=C582),"""")"),0.0)</f>
        <v>0</v>
      </c>
      <c r="J582" s="60">
        <f>IFERROR(__xludf.DUMMYFUNCTION("iferror(filter('3.1.clean'!I:I,'3.1.clean'!A:A=C582),"""")"),0.0)</f>
        <v>0</v>
      </c>
      <c r="K582" s="59"/>
      <c r="L582" s="60"/>
      <c r="M582" s="59">
        <f>IFERROR(__xludf.DUMMYFUNCTION("iferror(filter('3.3.clean'!C:C,'3.3.clean'!A:A=C582),"""")"),43748.0)</f>
        <v>43748</v>
      </c>
      <c r="N582" s="60" t="b">
        <f t="shared" si="413"/>
        <v>1</v>
      </c>
      <c r="O582" s="59" t="str">
        <f>IFERROR(__xludf.DUMMYFUNCTION("iferror(filter('3.4.clean'!C:C,'3.4.clean'!A:A=C582),"""")"),"")</f>
        <v/>
      </c>
      <c r="P582" s="60" t="b">
        <f t="shared" si="411"/>
        <v>0</v>
      </c>
      <c r="Q582" s="59" t="str">
        <f>IFERROR(__xludf.DUMMYFUNCTION("iferror(filter('3.5.clean'!C:C,'3.5.clean'!A:A=C582),"""")"),"")</f>
        <v/>
      </c>
      <c r="R582" s="58"/>
      <c r="S582" s="4" t="str">
        <f>IFERROR(__xludf.DUMMYFUNCTION("iferror(filter('3.5.clean'!H:H,'3.5.clean'!A:A=C582),"""")"),"")</f>
        <v/>
      </c>
      <c r="V582" s="1" t="s">
        <v>64</v>
      </c>
      <c r="W582" s="23" t="b">
        <f>if(AND(H582=TRUE,N582=TRUE,P582=TRUE),TRUE,FALSE)</f>
        <v>0</v>
      </c>
      <c r="X582" s="23" t="str">
        <f>IFERROR(__xludf.DUMMYFUNCTION("if(COUNTA(FILTER(C:C, C:C = C582))=1,""no"",""yes"")"),"no")</f>
        <v>no</v>
      </c>
    </row>
    <row r="583">
      <c r="A583" s="75" t="s">
        <v>660</v>
      </c>
      <c r="B583" s="19">
        <v>7.0</v>
      </c>
      <c r="C583" s="19" t="s">
        <v>222</v>
      </c>
      <c r="D583" s="58" t="str">
        <f t="shared" si="416"/>
        <v/>
      </c>
      <c r="E583" s="59">
        <f>Q583</f>
        <v>43741</v>
      </c>
      <c r="F583" s="60" t="str">
        <f>IFERROR(__xludf.DUMMYFUNCTION("iferror(ifna(IFNA(filter('2.1.clean'!E:E,'2.1.clean'!A:A=C583),filter('2.2.clean'!G:G,'2.2.clean'!D:D=C583)),filter('2.4.clean'!E:E,'2.4.clean'!A:A=C583)),)"),"")</f>
        <v/>
      </c>
      <c r="G583" s="59" t="str">
        <f>IFERROR(__xludf.DUMMYFUNCTION("iferror(filter('3.1.clean'!C:C,'3.1.clean'!B:B=C583),"""")"),"")</f>
        <v/>
      </c>
      <c r="H583" s="58"/>
      <c r="I583" s="58"/>
      <c r="J583" s="60"/>
      <c r="K583" s="59"/>
      <c r="L583" s="60"/>
      <c r="M583" s="59">
        <f>IFERROR(__xludf.DUMMYFUNCTION("iferror(filter('3.3.clean'!C:C,'3.3.clean'!A:A=C583),"""")"),43748.0)</f>
        <v>43748</v>
      </c>
      <c r="N583" s="60" t="b">
        <f t="shared" si="413"/>
        <v>1</v>
      </c>
      <c r="O583" s="59">
        <f>IFERROR(__xludf.DUMMYFUNCTION("iferror(filter('3.4.clean'!C:C,'3.4.clean'!A:A=C583),"""")"),43763.0)</f>
        <v>43763</v>
      </c>
      <c r="P583" s="60" t="b">
        <f t="shared" si="411"/>
        <v>1</v>
      </c>
      <c r="Q583" s="59">
        <f>IFERROR(__xludf.DUMMYFUNCTION("iferror(filter('3.5.clean'!C:C,'3.5.clean'!A:A=C583),"""")"),43741.0)</f>
        <v>43741</v>
      </c>
      <c r="R583" s="58" t="b">
        <f t="shared" ref="R583:R584" si="417">if(Q583="",FALSE,TRUE)</f>
        <v>1</v>
      </c>
      <c r="S583" s="4">
        <f>IFERROR(__xludf.DUMMYFUNCTION("iferror(filter('3.5.clean'!H:H,'3.5.clean'!A:A=C583),"""")"),0.0)</f>
        <v>0</v>
      </c>
      <c r="W583" s="23" t="b">
        <f>if(AND(R583=TRUE,N583=TRUE,P583=TRUE),TRUE,FALSE)</f>
        <v>1</v>
      </c>
      <c r="X583" s="23" t="str">
        <f>IFERROR(__xludf.DUMMYFUNCTION("if(COUNTA(FILTER(C:C, C:C = C583))=1,""no"",""yes"")"),"no")</f>
        <v>no</v>
      </c>
    </row>
    <row r="584">
      <c r="A584" s="75" t="s">
        <v>660</v>
      </c>
      <c r="B584" s="2">
        <v>8.0</v>
      </c>
      <c r="C584" s="19" t="s">
        <v>1364</v>
      </c>
      <c r="E584" s="24">
        <f>IFERROR(__xludf.DUMMYFUNCTION("ifna(IFNA(filter('2.1.clean'!C:C,'2.1.clean'!A:A=C584),filter('2.2.clean'!E:E,'2.2.clean'!D:D=C584)),filter('2.4.clean'!C:C,'2.4.clean'!A:A=C584))"),43741.0)</f>
        <v>43741</v>
      </c>
      <c r="F584" s="25">
        <f>IFERROR(__xludf.DUMMYFUNCTION("iferror(ifna(IFNA(filter('2.1.clean'!E:E,'2.1.clean'!A:A=C584),filter('2.2.clean'!G:G,'2.2.clean'!D:D=C584)),filter('2.4.clean'!E:E,'2.4.clean'!A:A=C584)),)"),2.4)</f>
        <v>2.4</v>
      </c>
      <c r="G584" s="24">
        <f>IFERROR(__xludf.DUMMYFUNCTION("iferror(filter('3.1.clean'!C:C,'3.1.clean'!A:A=C584),"""")"),43741.0)</f>
        <v>43741</v>
      </c>
      <c r="H584" s="23" t="b">
        <f>if(G584="",FALSE,TRUE)</f>
        <v>1</v>
      </c>
      <c r="J584" s="25"/>
      <c r="K584" s="24">
        <f>IFERROR(__xludf.DUMMYFUNCTION("iferror(filter('3.2.clean'!C:C,'3.2.clean'!A:A=C584),"""")"),43741.0)</f>
        <v>43741</v>
      </c>
      <c r="L584" s="25" t="b">
        <f>if(K584="",FALSE,TRUE)</f>
        <v>1</v>
      </c>
      <c r="M584" s="24">
        <f>IFERROR(__xludf.DUMMYFUNCTION("iferror(filter('3.3.clean'!C:C,'3.3.clean'!A:A=C584),"""")"),43748.0)</f>
        <v>43748</v>
      </c>
      <c r="N584" s="25" t="b">
        <f t="shared" si="413"/>
        <v>1</v>
      </c>
      <c r="O584" s="24">
        <f>IFERROR(__xludf.DUMMYFUNCTION("iferror(filter('3.4.clean'!C:C,'3.4.clean'!A:A=C584),"""")"),43763.0)</f>
        <v>43763</v>
      </c>
      <c r="P584" s="25" t="b">
        <f t="shared" si="411"/>
        <v>1</v>
      </c>
      <c r="Q584" s="24">
        <f>IFERROR(__xludf.DUMMYFUNCTION("iferror(filter('3.5.clean'!C:C,'3.5.clean'!A:A=C584),"""")"),43741.0)</f>
        <v>43741</v>
      </c>
      <c r="R584" s="23" t="b">
        <f t="shared" si="417"/>
        <v>1</v>
      </c>
      <c r="S584" s="25"/>
      <c r="V584" s="1" t="s">
        <v>64</v>
      </c>
      <c r="X584" s="23" t="str">
        <f>IFERROR(__xludf.DUMMYFUNCTION("if(COUNTA(FILTER(C:C, C:C = C584))=1,""no"",""yes"")"),"no")</f>
        <v>no</v>
      </c>
    </row>
    <row r="585">
      <c r="A585" s="75" t="s">
        <v>660</v>
      </c>
      <c r="B585" s="2">
        <v>9.0</v>
      </c>
      <c r="C585" s="19" t="s">
        <v>1365</v>
      </c>
      <c r="E585" s="24">
        <v>43741.0</v>
      </c>
      <c r="F585" s="25" t="str">
        <f>IFERROR(__xludf.DUMMYFUNCTION("iferror(ifna(IFNA(filter('2.1.clean'!E:E,'2.1.clean'!A:A=C585),filter('2.2.clean'!G:G,'2.2.clean'!D:D=C585)),filter('2.4.clean'!E:E,'2.4.clean'!A:A=C585)),)"),"")</f>
        <v/>
      </c>
      <c r="G585" s="24"/>
      <c r="J585" s="25"/>
      <c r="K585" s="24"/>
      <c r="L585" s="25"/>
      <c r="M585" s="24" t="str">
        <f>IFERROR(__xludf.DUMMYFUNCTION("iferror(filter('3.3.clean'!C:C,'3.3.clean'!A:A=C585),"""")"),"")</f>
        <v/>
      </c>
      <c r="N585" s="25"/>
      <c r="O585" s="24">
        <f>IFERROR(__xludf.DUMMYFUNCTION("iferror(filter('3.4.clean'!C:C,'3.4.clean'!A:A=C585),"""")"),43763.0)</f>
        <v>43763</v>
      </c>
      <c r="P585" s="25" t="b">
        <f t="shared" si="411"/>
        <v>1</v>
      </c>
      <c r="Q585" s="24" t="str">
        <f>IFERROR(__xludf.DUMMYFUNCTION("iferror(filter('3.5.clean'!C:C,'3.5.clean'!A:A=C585),"""")"),"")</f>
        <v/>
      </c>
      <c r="S585" s="25"/>
      <c r="V585" s="1" t="s">
        <v>64</v>
      </c>
      <c r="X585" s="23" t="str">
        <f>IFERROR(__xludf.DUMMYFUNCTION("if(COUNTA(FILTER(C:C, C:C = C585))=1,""no"",""yes"")"),"no")</f>
        <v>no</v>
      </c>
    </row>
    <row r="586">
      <c r="A586" s="75" t="s">
        <v>660</v>
      </c>
      <c r="B586" s="19">
        <v>10.0</v>
      </c>
      <c r="C586" s="19" t="s">
        <v>219</v>
      </c>
      <c r="D586" s="58" t="str">
        <f t="shared" ref="D586:D589" si="418">if(or(I586=1,J586=1,S586=1),"pos","")</f>
        <v/>
      </c>
      <c r="E586" s="59">
        <f>IFERROR(__xludf.DUMMYFUNCTION("ifna(IFNA(filter('2.1.clean'!C:C,'2.1.clean'!A:A=C586),filter('2.2.clean'!E:E,'2.2.clean'!D:D=C586)),filter('2.4.clean'!C:C,'2.4.clean'!A:A=C586))"),43741.0)</f>
        <v>43741</v>
      </c>
      <c r="F586" s="60">
        <f>IFERROR(__xludf.DUMMYFUNCTION("iferror(ifna(IFNA(filter('2.1.clean'!E:E,'2.1.clean'!A:A=C586),filter('2.2.clean'!G:G,'2.2.clean'!D:D=C586)),filter('2.4.clean'!E:E,'2.4.clean'!A:A=C586)),)"),2.4)</f>
        <v>2.4</v>
      </c>
      <c r="G586" s="59">
        <f>IFERROR(__xludf.DUMMYFUNCTION("iferror(filter('3.1.clean'!C:C,'3.1.clean'!A:A=C586),"""")"),43741.0)</f>
        <v>43741</v>
      </c>
      <c r="H586" s="58" t="b">
        <f>if(G586="",FALSE,TRUE)</f>
        <v>1</v>
      </c>
      <c r="I586" s="58">
        <f>IFERROR(__xludf.DUMMYFUNCTION("iferror(filter('3.1.clean'!G:G,'3.1.clean'!A:A=C586),"""")"),0.0)</f>
        <v>0</v>
      </c>
      <c r="J586" s="60">
        <f>IFERROR(__xludf.DUMMYFUNCTION("iferror(filter('3.1.clean'!I:I,'3.1.clean'!A:A=C586),"""")"),0.0)</f>
        <v>0</v>
      </c>
      <c r="K586" s="59"/>
      <c r="L586" s="60"/>
      <c r="M586" s="59">
        <f>IFERROR(__xludf.DUMMYFUNCTION("iferror(filter('3.3.clean'!C:C,'3.3.clean'!A:A=C586),"""")"),43748.0)</f>
        <v>43748</v>
      </c>
      <c r="N586" s="60" t="b">
        <f t="shared" ref="N586:N588" si="419">if(M586="",FALSE,TRUE)</f>
        <v>1</v>
      </c>
      <c r="O586" s="59" t="str">
        <f>IFERROR(__xludf.DUMMYFUNCTION("iferror(filter('3.4.clean'!C:C,'3.4.clean'!A:A=C586),"""")"),"")</f>
        <v/>
      </c>
      <c r="P586" s="60" t="b">
        <f t="shared" si="411"/>
        <v>0</v>
      </c>
      <c r="Q586" s="59" t="str">
        <f>IFERROR(__xludf.DUMMYFUNCTION("iferror(filter('3.5.clean'!C:C,'3.5.clean'!A:A=C586),"""")"),"")</f>
        <v/>
      </c>
      <c r="R586" s="58"/>
      <c r="S586" s="4" t="str">
        <f>IFERROR(__xludf.DUMMYFUNCTION("iferror(filter('3.5.clean'!H:H,'3.5.clean'!A:A=C586),"""")"),"")</f>
        <v/>
      </c>
      <c r="V586" s="1" t="s">
        <v>64</v>
      </c>
      <c r="W586" s="23" t="b">
        <f>if(AND(H586=TRUE,N586=TRUE,P586=TRUE),TRUE,FALSE)</f>
        <v>0</v>
      </c>
      <c r="X586" s="23" t="str">
        <f>IFERROR(__xludf.DUMMYFUNCTION("if(COUNTA(FILTER(C:C, C:C = C586))=1,""no"",""yes"")"),"no")</f>
        <v>no</v>
      </c>
    </row>
    <row r="587">
      <c r="A587" s="75" t="s">
        <v>660</v>
      </c>
      <c r="B587" s="19">
        <v>11.0</v>
      </c>
      <c r="C587" s="19" t="s">
        <v>221</v>
      </c>
      <c r="D587" s="58" t="str">
        <f t="shared" si="418"/>
        <v/>
      </c>
      <c r="E587" s="59">
        <f t="shared" ref="E587:E588" si="420">Q587</f>
        <v>43741</v>
      </c>
      <c r="F587" s="60" t="str">
        <f>IFERROR(__xludf.DUMMYFUNCTION("iferror(ifna(IFNA(filter('2.1.clean'!E:E,'2.1.clean'!A:A=C587),filter('2.2.clean'!G:G,'2.2.clean'!D:D=C587)),filter('2.4.clean'!E:E,'2.4.clean'!A:A=C587)),)"),"")</f>
        <v/>
      </c>
      <c r="G587" s="59" t="str">
        <f>IFERROR(__xludf.DUMMYFUNCTION("iferror(filter('3.1.clean'!C:C,'3.1.clean'!A:A=C587),"""")"),"")</f>
        <v/>
      </c>
      <c r="H587" s="58"/>
      <c r="I587" s="58"/>
      <c r="J587" s="60"/>
      <c r="K587" s="59"/>
      <c r="L587" s="60"/>
      <c r="M587" s="59">
        <f>IFERROR(__xludf.DUMMYFUNCTION("iferror(filter('3.3.clean'!C:C,'3.3.clean'!A:A=C587),"""")"),43748.0)</f>
        <v>43748</v>
      </c>
      <c r="N587" s="60" t="b">
        <f t="shared" si="419"/>
        <v>1</v>
      </c>
      <c r="O587" s="59">
        <f>IFERROR(__xludf.DUMMYFUNCTION("iferror(filter('3.4.clean'!C:C,'3.4.clean'!A:A=C587),"""")"),43763.0)</f>
        <v>43763</v>
      </c>
      <c r="P587" s="60" t="b">
        <f t="shared" si="411"/>
        <v>1</v>
      </c>
      <c r="Q587" s="59">
        <f>IFERROR(__xludf.DUMMYFUNCTION("iferror(filter('3.5.clean'!C:C,'3.5.clean'!A:A=C587),"""")"),43741.0)</f>
        <v>43741</v>
      </c>
      <c r="R587" s="58" t="b">
        <f t="shared" ref="R587:R588" si="421">if(Q587="",FALSE,TRUE)</f>
        <v>1</v>
      </c>
      <c r="S587" s="4">
        <f>IFERROR(__xludf.DUMMYFUNCTION("iferror(filter('3.5.clean'!H:H,'3.5.clean'!A:A=C587),"""")"),0.0)</f>
        <v>0</v>
      </c>
      <c r="V587" s="1" t="s">
        <v>64</v>
      </c>
      <c r="W587" s="23" t="b">
        <f>if(AND(R587=TRUE,N587=TRUE,P587=TRUE),TRUE,FALSE)</f>
        <v>1</v>
      </c>
      <c r="X587" s="23" t="str">
        <f>IFERROR(__xludf.DUMMYFUNCTION("if(COUNTA(FILTER(C:C, C:C = C587))=1,""no"",""yes"")"),"no")</f>
        <v>no</v>
      </c>
    </row>
    <row r="588">
      <c r="A588" s="75" t="s">
        <v>660</v>
      </c>
      <c r="B588" s="19">
        <v>12.0</v>
      </c>
      <c r="C588" s="19" t="s">
        <v>1367</v>
      </c>
      <c r="D588" s="22" t="str">
        <f t="shared" si="418"/>
        <v/>
      </c>
      <c r="E588" s="20">
        <f t="shared" si="420"/>
        <v>43741</v>
      </c>
      <c r="F588" s="79" t="str">
        <f>IFERROR(__xludf.DUMMYFUNCTION("iferror(ifna(IFNA(filter('2.1.clean'!E:E,'2.1.clean'!A:A=C588),filter('2.2.clean'!G:G,'2.2.clean'!D:D=C588)),filter('2.4.clean'!E:E,'2.4.clean'!A:A=C588)),)"),"")</f>
        <v/>
      </c>
      <c r="G588" s="20" t="str">
        <f>IFERROR(__xludf.DUMMYFUNCTION("iferror(filter('3.1.clean'!C:C,'3.1.clean'!A:A=C588),"""")"),"")</f>
        <v/>
      </c>
      <c r="H588" s="22"/>
      <c r="I588" s="22"/>
      <c r="J588" s="79"/>
      <c r="K588" s="20" t="str">
        <f>IFERROR(__xludf.DUMMYFUNCTION("iferror(filter('3.2.clean'!C:C,'3.2.clean'!A:A=C588),"""")"),"")</f>
        <v/>
      </c>
      <c r="L588" s="79"/>
      <c r="M588" s="20">
        <f>IFERROR(__xludf.DUMMYFUNCTION("iferror(filter('3.3.clean'!C:C,'3.3.clean'!A:A=C588),"""")"),43748.0)</f>
        <v>43748</v>
      </c>
      <c r="N588" s="79" t="b">
        <f t="shared" si="419"/>
        <v>1</v>
      </c>
      <c r="O588" s="20" t="str">
        <f>IFERROR(__xludf.DUMMYFUNCTION("iferror(filter('3.4.clean'!C:C,'3.4.clean'!A:A=C588),"""")"),"")</f>
        <v/>
      </c>
      <c r="P588" s="79" t="b">
        <f t="shared" si="411"/>
        <v>0</v>
      </c>
      <c r="Q588" s="20">
        <f>IFERROR(__xludf.DUMMYFUNCTION("iferror(filter('3.5.clean'!C:C,'3.5.clean'!A:A=C588),"""")"),43741.0)</f>
        <v>43741</v>
      </c>
      <c r="R588" s="22" t="b">
        <f t="shared" si="421"/>
        <v>1</v>
      </c>
      <c r="S588" s="4">
        <f>IFERROR(__xludf.DUMMYFUNCTION("iferror(filter('3.5.clean'!H:H,'3.5.clean'!A:A=C588),"""")"),0.0)</f>
        <v>0</v>
      </c>
      <c r="U588" s="1"/>
      <c r="V588" s="1" t="s">
        <v>64</v>
      </c>
      <c r="W588" s="23" t="b">
        <f>IF(and(R588=TRUE,N588=TRUE,P588=TRUE),TRUE,FALSE)</f>
        <v>0</v>
      </c>
      <c r="X588" s="23" t="str">
        <f>IFERROR(__xludf.DUMMYFUNCTION("if(COUNTA(FILTER(C:C, C:C = C588))=1,""no"",""yes"")"),"no")</f>
        <v>no</v>
      </c>
    </row>
    <row r="589">
      <c r="A589" s="75" t="s">
        <v>660</v>
      </c>
      <c r="B589" s="19">
        <v>13.0</v>
      </c>
      <c r="C589" s="19" t="s">
        <v>1369</v>
      </c>
      <c r="D589" s="76" t="str">
        <f t="shared" si="418"/>
        <v/>
      </c>
      <c r="E589" s="77">
        <f>G589</f>
        <v>43741</v>
      </c>
      <c r="F589" s="78" t="str">
        <f>IFERROR(__xludf.DUMMYFUNCTION("iferror(ifna(IFNA(filter('2.1.clean'!E:E,'2.1.clean'!A:A=C589),filter('2.2.clean'!G:G,'2.2.clean'!D:D=C589)),filter('2.4.clean'!E:E,'2.4.clean'!A:A=C589)),)"),"")</f>
        <v/>
      </c>
      <c r="G589" s="77">
        <f>IFERROR(__xludf.DUMMYFUNCTION("iferror(filter('3.1.clean'!C:C,'3.1.clean'!A:A=C589),"""")"),43741.0)</f>
        <v>43741</v>
      </c>
      <c r="H589" s="76" t="b">
        <f>if(G589="",FALSE,TRUE)</f>
        <v>1</v>
      </c>
      <c r="I589" s="76">
        <f>IFERROR(__xludf.DUMMYFUNCTION("iferror(filter('3.1.clean'!G:G,'3.1.clean'!A:A=C589),"""")"),0.0)</f>
        <v>0</v>
      </c>
      <c r="J589" s="78" t="str">
        <f>IFERROR(__xludf.DUMMYFUNCTION("iferror(filter('3.1.clean'!I:I,'3.1.clean'!A:A=C589),"""")"),"")</f>
        <v/>
      </c>
      <c r="K589" s="77"/>
      <c r="L589" s="78"/>
      <c r="M589" s="77"/>
      <c r="N589" s="78"/>
      <c r="O589" s="77"/>
      <c r="P589" s="78"/>
      <c r="Q589" s="77"/>
      <c r="R589" s="76"/>
      <c r="S589" s="25"/>
      <c r="V589" s="1" t="s">
        <v>64</v>
      </c>
      <c r="W589" s="1" t="b">
        <v>1</v>
      </c>
      <c r="X589" s="23" t="str">
        <f>IFERROR(__xludf.DUMMYFUNCTION("if(COUNTA(FILTER(C:C, C:C = C589))=1,""no"",""yes"")"),"no")</f>
        <v>no</v>
      </c>
    </row>
    <row r="590">
      <c r="A590" s="75" t="s">
        <v>660</v>
      </c>
      <c r="B590" s="2">
        <v>14.0</v>
      </c>
      <c r="C590" s="19" t="s">
        <v>1370</v>
      </c>
      <c r="E590" s="24">
        <v>43741.0</v>
      </c>
      <c r="F590" s="25" t="str">
        <f>IFERROR(__xludf.DUMMYFUNCTION("iferror(ifna(IFNA(filter('2.1.clean'!E:E,'2.1.clean'!A:A=C590),filter('2.2.clean'!G:G,'2.2.clean'!D:D=C590)),filter('2.4.clean'!E:E,'2.4.clean'!A:A=C590)),)"),"")</f>
        <v/>
      </c>
      <c r="G590" s="24" t="str">
        <f>IFERROR(__xludf.DUMMYFUNCTION("iferror(filter('3.1.clean'!C:C,'3.1.clean'!A:A=C590),"""")"),"")</f>
        <v/>
      </c>
      <c r="J590" s="25"/>
      <c r="K590" s="24" t="str">
        <f>IFERROR(__xludf.DUMMYFUNCTION("iferror(filter('3.2.clean'!C:C,'3.2.clean'!A:A=C590),"""")"),"")</f>
        <v/>
      </c>
      <c r="L590" s="25"/>
      <c r="M590" s="24">
        <f>IFERROR(__xludf.DUMMYFUNCTION("iferror(filter('3.3.clean'!C:C,'3.3.clean'!A:A=C590),"""")"),43748.0)</f>
        <v>43748</v>
      </c>
      <c r="N590" s="25" t="b">
        <f t="shared" ref="N590:N591" si="422">if(M590="",FALSE,TRUE)</f>
        <v>1</v>
      </c>
      <c r="O590" s="24" t="str">
        <f>IFERROR(__xludf.DUMMYFUNCTION("iferror(filter('3.4.clean'!C:C,'3.4.clean'!A:A=C590),"""")"),"")</f>
        <v/>
      </c>
      <c r="P590" s="25" t="b">
        <f t="shared" ref="P590:P599" si="423">if(O590="",FALSE,TRUE)</f>
        <v>0</v>
      </c>
      <c r="Q590" s="24" t="str">
        <f>IFERROR(__xludf.DUMMYFUNCTION("iferror(filter('3.5.clean'!C:C,'3.5.clean'!A:A=C590),"""")"),"")</f>
        <v/>
      </c>
      <c r="S590" s="25"/>
      <c r="V590" s="1" t="s">
        <v>64</v>
      </c>
      <c r="X590" s="23" t="str">
        <f>IFERROR(__xludf.DUMMYFUNCTION("if(COUNTA(FILTER(C:C, C:C = C590))=1,""no"",""yes"")"),"no")</f>
        <v>no</v>
      </c>
    </row>
    <row r="591">
      <c r="A591" s="1" t="s">
        <v>682</v>
      </c>
      <c r="B591" s="2">
        <v>1.0</v>
      </c>
      <c r="C591" s="19" t="s">
        <v>1371</v>
      </c>
      <c r="E591" s="24">
        <f>IFERROR(__xludf.DUMMYFUNCTION("ifna(IFNA(filter('2.1.clean'!C:C,'2.1.clean'!A:A=C591),filter('2.2.clean'!E:E,'2.2.clean'!D:D=C591)),filter('2.4.clean'!C:C,'2.4.clean'!A:A=C591))"),43752.0)</f>
        <v>43752</v>
      </c>
      <c r="F591" s="25">
        <f>IFERROR(__xludf.DUMMYFUNCTION("iferror(ifna(IFNA(filter('2.1.clean'!E:E,'2.1.clean'!A:A=C591),filter('2.2.clean'!G:G,'2.2.clean'!D:D=C591)),filter('2.4.clean'!E:E,'2.4.clean'!A:A=C591)),)"),2.4)</f>
        <v>2.4</v>
      </c>
      <c r="G591" s="24">
        <f>IFERROR(__xludf.DUMMYFUNCTION("iferror(filter('3.1.clean'!C:C,'3.1.clean'!A:A=C591),"""")"),43752.0)</f>
        <v>43752</v>
      </c>
      <c r="H591" s="23" t="b">
        <f>if(G591="",FALSE,TRUE)</f>
        <v>1</v>
      </c>
      <c r="J591" s="25"/>
      <c r="K591" s="24">
        <f>IFERROR(__xludf.DUMMYFUNCTION("iferror(filter('3.2.clean'!C:C,'3.2.clean'!A:A=C591),"""")"),43753.0)</f>
        <v>43753</v>
      </c>
      <c r="L591" s="25" t="b">
        <f>if(K591="",FALSE,TRUE)</f>
        <v>1</v>
      </c>
      <c r="M591" s="24">
        <f>IFERROR(__xludf.DUMMYFUNCTION("iferror(filter('3.3.clean'!C:C,'3.3.clean'!A:A=C591),"""")"),43754.0)</f>
        <v>43754</v>
      </c>
      <c r="N591" s="25" t="b">
        <f t="shared" si="422"/>
        <v>1</v>
      </c>
      <c r="O591" s="24">
        <f>IFERROR(__xludf.DUMMYFUNCTION("iferror(filter('3.4.clean'!C:C,'3.4.clean'!A:A=C591),"""")"),43762.0)</f>
        <v>43762</v>
      </c>
      <c r="P591" s="25" t="b">
        <f t="shared" si="423"/>
        <v>1</v>
      </c>
      <c r="Q591" s="24">
        <f>IFERROR(__xludf.DUMMYFUNCTION("iferror(filter('3.5.clean'!C:C,'3.5.clean'!A:A=C591),"""")"),43752.0)</f>
        <v>43752</v>
      </c>
      <c r="R591" s="23" t="b">
        <f>if(Q591="",FALSE,TRUE)</f>
        <v>1</v>
      </c>
      <c r="S591" s="25"/>
      <c r="V591" s="1" t="s">
        <v>64</v>
      </c>
      <c r="X591" s="23" t="str">
        <f>IFERROR(__xludf.DUMMYFUNCTION("if(COUNTA(FILTER(C:C, C:C = C591))=1,""no"",""yes"")"),"no")</f>
        <v>no</v>
      </c>
    </row>
    <row r="592">
      <c r="A592" s="1" t="s">
        <v>682</v>
      </c>
      <c r="B592" s="2">
        <v>2.0</v>
      </c>
      <c r="C592" s="19" t="s">
        <v>1373</v>
      </c>
      <c r="E592" s="24">
        <v>43752.0</v>
      </c>
      <c r="F592" s="25" t="str">
        <f>IFERROR(__xludf.DUMMYFUNCTION("iferror(ifna(IFNA(filter('2.1.clean'!E:E,'2.1.clean'!A:A=C592),filter('2.2.clean'!G:G,'2.2.clean'!D:D=C592)),filter('2.4.clean'!E:E,'2.4.clean'!A:A=C592)),)"),"")</f>
        <v/>
      </c>
      <c r="G592" s="24"/>
      <c r="J592" s="25"/>
      <c r="K592" s="24"/>
      <c r="L592" s="25"/>
      <c r="M592" s="24" t="str">
        <f>IFERROR(__xludf.DUMMYFUNCTION("iferror(filter('3.3.clean'!C:C,'3.3.clean'!A:A=C592),"""")"),"")</f>
        <v/>
      </c>
      <c r="N592" s="25"/>
      <c r="O592" s="24">
        <f>IFERROR(__xludf.DUMMYFUNCTION("iferror(filter('3.4.clean'!C:C,'3.4.clean'!A:A=C592),"""")"),43762.0)</f>
        <v>43762</v>
      </c>
      <c r="P592" s="25" t="b">
        <f t="shared" si="423"/>
        <v>1</v>
      </c>
      <c r="Q592" s="24" t="str">
        <f>IFERROR(__xludf.DUMMYFUNCTION("iferror(filter('3.5.clean'!C:C,'3.5.clean'!A:A=C592),"""")"),"")</f>
        <v/>
      </c>
      <c r="S592" s="25"/>
      <c r="V592" s="1" t="s">
        <v>64</v>
      </c>
      <c r="X592" s="23" t="str">
        <f>IFERROR(__xludf.DUMMYFUNCTION("if(COUNTA(FILTER(C:C, C:C = C592))=1,""no"",""yes"")"),"no")</f>
        <v>no</v>
      </c>
    </row>
    <row r="593">
      <c r="A593" s="1" t="s">
        <v>682</v>
      </c>
      <c r="B593" s="19">
        <v>3.0</v>
      </c>
      <c r="C593" s="19" t="s">
        <v>1374</v>
      </c>
      <c r="D593" s="58" t="str">
        <f t="shared" ref="D593:D594" si="424">if(or(I593=1,J593=1,S593=1),"pos","")</f>
        <v/>
      </c>
      <c r="E593" s="59">
        <f>IFERROR(__xludf.DUMMYFUNCTION("ifna(IFNA(filter('2.1.clean'!C:C,'2.1.clean'!A:A=C593),filter('2.2.clean'!E:E,'2.2.clean'!D:D=C593)),filter('2.4.clean'!C:C,'2.4.clean'!A:A=C593))"),43752.0)</f>
        <v>43752</v>
      </c>
      <c r="F593" s="60">
        <f>IFERROR(__xludf.DUMMYFUNCTION("iferror(ifna(IFNA(filter('2.1.clean'!E:E,'2.1.clean'!A:A=C593),filter('2.2.clean'!G:G,'2.2.clean'!D:D=C593)),filter('2.4.clean'!E:E,'2.4.clean'!A:A=C593)),)"),2.4)</f>
        <v>2.4</v>
      </c>
      <c r="G593" s="59">
        <f>IFERROR(__xludf.DUMMYFUNCTION("iferror(filter('3.1.clean'!C:C,'3.1.clean'!A:A=C593),"""")"),43752.0)</f>
        <v>43752</v>
      </c>
      <c r="H593" s="58" t="b">
        <f>if(G593="",FALSE,TRUE)</f>
        <v>1</v>
      </c>
      <c r="I593" s="58">
        <f>IFERROR(__xludf.DUMMYFUNCTION("iferror(filter('3.1.clean'!G:G,'3.1.clean'!A:A=C593),"""")"),0.0)</f>
        <v>0</v>
      </c>
      <c r="J593" s="60">
        <f>IFERROR(__xludf.DUMMYFUNCTION("iferror(filter('3.1.clean'!I:I,'3.1.clean'!A:A=C593),"""")"),0.0)</f>
        <v>0</v>
      </c>
      <c r="K593" s="59"/>
      <c r="L593" s="60"/>
      <c r="M593" s="59">
        <f>IFERROR(__xludf.DUMMYFUNCTION("iferror(filter('3.3.clean'!C:C,'3.3.clean'!A:A=C593),"""")"),43754.0)</f>
        <v>43754</v>
      </c>
      <c r="N593" s="60" t="b">
        <f t="shared" ref="N593:N595" si="425">if(M593="",FALSE,TRUE)</f>
        <v>1</v>
      </c>
      <c r="O593" s="59" t="str">
        <f>IFERROR(__xludf.DUMMYFUNCTION("iferror(filter('3.4.clean'!C:C,'3.4.clean'!A:A=C593),"""")"),"")</f>
        <v/>
      </c>
      <c r="P593" s="60" t="b">
        <f t="shared" si="423"/>
        <v>0</v>
      </c>
      <c r="Q593" s="59" t="str">
        <f>IFERROR(__xludf.DUMMYFUNCTION("iferror(filter('3.5.clean'!C:C,'3.5.clean'!A:A=C593),"""")"),"")</f>
        <v/>
      </c>
      <c r="R593" s="58"/>
      <c r="S593" s="4" t="str">
        <f>IFERROR(__xludf.DUMMYFUNCTION("iferror(filter('3.5.clean'!H:H,'3.5.clean'!A:A=C593),"""")"),"")</f>
        <v/>
      </c>
      <c r="V593" s="1" t="s">
        <v>64</v>
      </c>
      <c r="W593" s="23" t="b">
        <f>if(AND(H593=TRUE,N593=TRUE,P593=TRUE),TRUE,FALSE)</f>
        <v>0</v>
      </c>
      <c r="X593" s="23" t="str">
        <f>IFERROR(__xludf.DUMMYFUNCTION("if(COUNTA(FILTER(C:C, C:C = C593))=1,""no"",""yes"")"),"no")</f>
        <v>no</v>
      </c>
    </row>
    <row r="594">
      <c r="A594" s="1" t="s">
        <v>682</v>
      </c>
      <c r="B594" s="19">
        <v>4.0</v>
      </c>
      <c r="C594" s="19" t="s">
        <v>1375</v>
      </c>
      <c r="D594" s="58" t="str">
        <f t="shared" si="424"/>
        <v/>
      </c>
      <c r="E594" s="59">
        <f>Q594</f>
        <v>43752</v>
      </c>
      <c r="F594" s="60" t="str">
        <f>IFERROR(__xludf.DUMMYFUNCTION("iferror(ifna(IFNA(filter('2.1.clean'!E:E,'2.1.clean'!A:A=C594),filter('2.2.clean'!G:G,'2.2.clean'!D:D=C594)),filter('2.4.clean'!E:E,'2.4.clean'!A:A=C594)),)"),"")</f>
        <v/>
      </c>
      <c r="G594" s="59" t="str">
        <f>IFERROR(__xludf.DUMMYFUNCTION("iferror(filter('3.1.clean'!C:C,'3.1.clean'!A:A=C594),"""")"),"")</f>
        <v/>
      </c>
      <c r="H594" s="58"/>
      <c r="I594" s="58"/>
      <c r="J594" s="60"/>
      <c r="K594" s="59"/>
      <c r="L594" s="60"/>
      <c r="M594" s="59">
        <f>IFERROR(__xludf.DUMMYFUNCTION("iferror(filter('3.3.clean'!C:C,'3.3.clean'!A:A=C594),"""")"),43754.0)</f>
        <v>43754</v>
      </c>
      <c r="N594" s="60" t="b">
        <f t="shared" si="425"/>
        <v>1</v>
      </c>
      <c r="O594" s="59">
        <f>IFERROR(__xludf.DUMMYFUNCTION("iferror(filter('3.4.clean'!C:C,'3.4.clean'!A:A=C594),"""")"),43762.0)</f>
        <v>43762</v>
      </c>
      <c r="P594" s="60" t="b">
        <f t="shared" si="423"/>
        <v>1</v>
      </c>
      <c r="Q594" s="59">
        <f>IFERROR(__xludf.DUMMYFUNCTION("iferror(filter('3.5.clean'!C:C,'3.5.clean'!A:A=C594),"""")"),43752.0)</f>
        <v>43752</v>
      </c>
      <c r="R594" s="58" t="b">
        <f t="shared" ref="R594:R595" si="426">if(Q594="",FALSE,TRUE)</f>
        <v>1</v>
      </c>
      <c r="S594" s="4">
        <f>IFERROR(__xludf.DUMMYFUNCTION("iferror(filter('3.5.clean'!H:H,'3.5.clean'!A:A=C594),"""")"),0.0)</f>
        <v>0</v>
      </c>
      <c r="V594" s="52" t="s">
        <v>64</v>
      </c>
      <c r="W594" s="23" t="b">
        <f>if(AND(R594=TRUE,N594=TRUE,P594=TRUE),TRUE,FALSE)</f>
        <v>1</v>
      </c>
      <c r="X594" s="23" t="str">
        <f>IFERROR(__xludf.DUMMYFUNCTION("if(COUNTA(FILTER(C:C, C:C = C594))=1,""no"",""yes"")"),"no")</f>
        <v>no</v>
      </c>
    </row>
    <row r="595">
      <c r="A595" s="1" t="s">
        <v>682</v>
      </c>
      <c r="B595" s="2">
        <v>5.0</v>
      </c>
      <c r="C595" s="19" t="s">
        <v>1377</v>
      </c>
      <c r="E595" s="24">
        <f>IFERROR(__xludf.DUMMYFUNCTION("ifna(IFNA(filter('2.1.clean'!C:C,'2.1.clean'!A:A=C595),filter('2.2.clean'!E:E,'2.2.clean'!D:D=C595)),filter('2.4.clean'!C:C,'2.4.clean'!A:A=C595))"),43752.0)</f>
        <v>43752</v>
      </c>
      <c r="F595" s="25">
        <f>IFERROR(__xludf.DUMMYFUNCTION("iferror(ifna(IFNA(filter('2.1.clean'!E:E,'2.1.clean'!A:A=C595),filter('2.2.clean'!G:G,'2.2.clean'!D:D=C595)),filter('2.4.clean'!E:E,'2.4.clean'!A:A=C595)),)"),2.4)</f>
        <v>2.4</v>
      </c>
      <c r="G595" s="24">
        <f>IFERROR(__xludf.DUMMYFUNCTION("iferror(filter('3.1.clean'!C:C,'3.1.clean'!A:A=C595),"""")"),43752.0)</f>
        <v>43752</v>
      </c>
      <c r="H595" s="23" t="b">
        <f>if(G595="",FALSE,TRUE)</f>
        <v>1</v>
      </c>
      <c r="J595" s="25"/>
      <c r="K595" s="24">
        <f>IFERROR(__xludf.DUMMYFUNCTION("iferror(filter('3.2.clean'!C:C,'3.2.clean'!A:A=C595),"""")"),43753.0)</f>
        <v>43753</v>
      </c>
      <c r="L595" s="25" t="b">
        <f>if(K595="",FALSE,TRUE)</f>
        <v>1</v>
      </c>
      <c r="M595" s="24">
        <f>IFERROR(__xludf.DUMMYFUNCTION("iferror(filter('3.3.clean'!C:C,'3.3.clean'!A:A=C595),"""")"),43754.0)</f>
        <v>43754</v>
      </c>
      <c r="N595" s="25" t="b">
        <f t="shared" si="425"/>
        <v>1</v>
      </c>
      <c r="O595" s="24">
        <f>IFERROR(__xludf.DUMMYFUNCTION("iferror(filter('3.4.clean'!C:C,'3.4.clean'!A:A=C595),"""")"),43762.0)</f>
        <v>43762</v>
      </c>
      <c r="P595" s="25" t="b">
        <f t="shared" si="423"/>
        <v>1</v>
      </c>
      <c r="Q595" s="24">
        <f>IFERROR(__xludf.DUMMYFUNCTION("iferror(filter('3.5.clean'!C:C,'3.5.clean'!A:A=C595),"""")"),43752.0)</f>
        <v>43752</v>
      </c>
      <c r="R595" s="23" t="b">
        <f t="shared" si="426"/>
        <v>1</v>
      </c>
      <c r="S595" s="25"/>
      <c r="V595" s="1" t="s">
        <v>64</v>
      </c>
      <c r="X595" s="23" t="str">
        <f>IFERROR(__xludf.DUMMYFUNCTION("if(COUNTA(FILTER(C:C, C:C = C595))=1,""no"",""yes"")"),"no")</f>
        <v>no</v>
      </c>
    </row>
    <row r="596">
      <c r="A596" s="1" t="s">
        <v>682</v>
      </c>
      <c r="B596" s="2">
        <v>6.0</v>
      </c>
      <c r="C596" s="19" t="s">
        <v>1378</v>
      </c>
      <c r="E596" s="24">
        <v>43752.0</v>
      </c>
      <c r="F596" s="25" t="str">
        <f>IFERROR(__xludf.DUMMYFUNCTION("iferror(ifna(IFNA(filter('2.1.clean'!E:E,'2.1.clean'!A:A=C596),filter('2.2.clean'!G:G,'2.2.clean'!D:D=C596)),filter('2.4.clean'!E:E,'2.4.clean'!A:A=C596)),)"),"")</f>
        <v/>
      </c>
      <c r="G596" s="24"/>
      <c r="J596" s="25"/>
      <c r="K596" s="24"/>
      <c r="L596" s="25"/>
      <c r="M596" s="24" t="str">
        <f>IFERROR(__xludf.DUMMYFUNCTION("iferror(filter('3.3.clean'!C:C,'3.3.clean'!A:A=C596),"""")"),"")</f>
        <v/>
      </c>
      <c r="N596" s="25"/>
      <c r="O596" s="24">
        <f>IFERROR(__xludf.DUMMYFUNCTION("iferror(filter('3.4.clean'!C:C,'3.4.clean'!A:A=C596),"""")"),43762.0)</f>
        <v>43762</v>
      </c>
      <c r="P596" s="25" t="b">
        <f t="shared" si="423"/>
        <v>1</v>
      </c>
      <c r="Q596" s="24" t="str">
        <f>IFERROR(__xludf.DUMMYFUNCTION("iferror(filter('3.5.clean'!C:C,'3.5.clean'!A:A=C596),"""")"),"")</f>
        <v/>
      </c>
      <c r="S596" s="25"/>
      <c r="V596" s="1" t="s">
        <v>64</v>
      </c>
      <c r="X596" s="23" t="str">
        <f>IFERROR(__xludf.DUMMYFUNCTION("if(COUNTA(FILTER(C:C, C:C = C596))=1,""no"",""yes"")"),"no")</f>
        <v>no</v>
      </c>
    </row>
    <row r="597">
      <c r="A597" s="1" t="s">
        <v>682</v>
      </c>
      <c r="B597" s="19">
        <v>7.0</v>
      </c>
      <c r="C597" s="19" t="s">
        <v>1379</v>
      </c>
      <c r="D597" s="58" t="str">
        <f t="shared" ref="D597:D600" si="427">if(or(I597=1,J597=1,S597=1),"pos","")</f>
        <v/>
      </c>
      <c r="E597" s="59">
        <f>IFERROR(__xludf.DUMMYFUNCTION("ifna(IFNA(filter('2.1.clean'!C:C,'2.1.clean'!A:A=C597),filter('2.2.clean'!E:E,'2.2.clean'!D:D=C597)),filter('2.4.clean'!C:C,'2.4.clean'!A:A=C597))"),43752.0)</f>
        <v>43752</v>
      </c>
      <c r="F597" s="60">
        <f>IFERROR(__xludf.DUMMYFUNCTION("iferror(ifna(IFNA(filter('2.1.clean'!E:E,'2.1.clean'!A:A=C597),filter('2.2.clean'!G:G,'2.2.clean'!D:D=C597)),filter('2.4.clean'!E:E,'2.4.clean'!A:A=C597)),)"),2.4)</f>
        <v>2.4</v>
      </c>
      <c r="G597" s="59">
        <f>IFERROR(__xludf.DUMMYFUNCTION("iferror(filter('3.1.clean'!C:C,'3.1.clean'!A:A=C597),"""")"),43752.0)</f>
        <v>43752</v>
      </c>
      <c r="H597" s="58" t="b">
        <f>if(G597="",FALSE,TRUE)</f>
        <v>1</v>
      </c>
      <c r="I597" s="58">
        <f>IFERROR(__xludf.DUMMYFUNCTION("iferror(filter('3.1.clean'!G:G,'3.1.clean'!A:A=C597),"""")"),0.0)</f>
        <v>0</v>
      </c>
      <c r="J597" s="60">
        <f>IFERROR(__xludf.DUMMYFUNCTION("iferror(filter('3.1.clean'!I:I,'3.1.clean'!A:A=C597),"""")"),0.0)</f>
        <v>0</v>
      </c>
      <c r="K597" s="59"/>
      <c r="L597" s="60"/>
      <c r="M597" s="59">
        <f>IFERROR(__xludf.DUMMYFUNCTION("iferror(filter('3.3.clean'!C:C,'3.3.clean'!A:A=C597),"""")"),43754.0)</f>
        <v>43754</v>
      </c>
      <c r="N597" s="60" t="b">
        <f t="shared" ref="N597:N599" si="428">if(M597="",FALSE,TRUE)</f>
        <v>1</v>
      </c>
      <c r="O597" s="59" t="str">
        <f>IFERROR(__xludf.DUMMYFUNCTION("iferror(filter('3.4.clean'!C:C,'3.4.clean'!A:A=C597),"""")"),"")</f>
        <v/>
      </c>
      <c r="P597" s="60" t="b">
        <f t="shared" si="423"/>
        <v>0</v>
      </c>
      <c r="Q597" s="59" t="str">
        <f>IFERROR(__xludf.DUMMYFUNCTION("iferror(filter('3.5.clean'!C:C,'3.5.clean'!A:A=C597),"""")"),"")</f>
        <v/>
      </c>
      <c r="R597" s="58"/>
      <c r="S597" s="4" t="str">
        <f>IFERROR(__xludf.DUMMYFUNCTION("iferror(filter('3.5.clean'!H:H,'3.5.clean'!A:A=C597),"""")"),"")</f>
        <v/>
      </c>
      <c r="V597" s="1" t="s">
        <v>64</v>
      </c>
      <c r="W597" s="23" t="b">
        <f>if(AND(H597=TRUE,N597=TRUE,P597=TRUE),TRUE,FALSE)</f>
        <v>0</v>
      </c>
      <c r="X597" s="23" t="str">
        <f>IFERROR(__xludf.DUMMYFUNCTION("if(COUNTA(FILTER(C:C, C:C = C597))=1,""no"",""yes"")"),"no")</f>
        <v>no</v>
      </c>
    </row>
    <row r="598">
      <c r="A598" s="1" t="s">
        <v>682</v>
      </c>
      <c r="B598" s="19">
        <v>8.0</v>
      </c>
      <c r="C598" s="19" t="s">
        <v>1381</v>
      </c>
      <c r="D598" s="58" t="str">
        <f t="shared" si="427"/>
        <v/>
      </c>
      <c r="E598" s="59">
        <f t="shared" ref="E598:E599" si="429">Q598</f>
        <v>43752</v>
      </c>
      <c r="F598" s="60" t="str">
        <f>IFERROR(__xludf.DUMMYFUNCTION("iferror(ifna(IFNA(filter('2.1.clean'!E:E,'2.1.clean'!A:A=C598),filter('2.2.clean'!G:G,'2.2.clean'!D:D=C598)),filter('2.4.clean'!E:E,'2.4.clean'!A:A=C598)),)"),"")</f>
        <v/>
      </c>
      <c r="G598" s="59" t="str">
        <f>IFERROR(__xludf.DUMMYFUNCTION("iferror(filter('3.1.clean'!C:C,'3.1.clean'!A:A=C598),"""")"),"")</f>
        <v/>
      </c>
      <c r="H598" s="58"/>
      <c r="I598" s="58"/>
      <c r="J598" s="60"/>
      <c r="K598" s="59"/>
      <c r="L598" s="60"/>
      <c r="M598" s="59">
        <f>IFERROR(__xludf.DUMMYFUNCTION("iferror(filter('3.3.clean'!C:C,'3.3.clean'!A:A=C598),"""")"),43754.0)</f>
        <v>43754</v>
      </c>
      <c r="N598" s="60" t="b">
        <f t="shared" si="428"/>
        <v>1</v>
      </c>
      <c r="O598" s="59">
        <f>IFERROR(__xludf.DUMMYFUNCTION("iferror(filter('3.4.clean'!C:C,'3.4.clean'!A:A=C598),"""")"),43762.0)</f>
        <v>43762</v>
      </c>
      <c r="P598" s="60" t="b">
        <f t="shared" si="423"/>
        <v>1</v>
      </c>
      <c r="Q598" s="59">
        <f>IFERROR(__xludf.DUMMYFUNCTION("iferror(filter('3.5.clean'!C:C,'3.5.clean'!A:A=C598),"""")"),43752.0)</f>
        <v>43752</v>
      </c>
      <c r="R598" s="58" t="b">
        <f t="shared" ref="R598:R599" si="430">if(Q598="",FALSE,TRUE)</f>
        <v>1</v>
      </c>
      <c r="S598" s="4">
        <f>IFERROR(__xludf.DUMMYFUNCTION("iferror(filter('3.5.clean'!H:H,'3.5.clean'!A:A=C598),"""")"),0.0)</f>
        <v>0</v>
      </c>
      <c r="V598" s="52" t="s">
        <v>64</v>
      </c>
      <c r="W598" s="23" t="b">
        <f>if(AND(R598=TRUE,N598=TRUE,P598=TRUE),TRUE,FALSE)</f>
        <v>1</v>
      </c>
      <c r="X598" s="23" t="str">
        <f>IFERROR(__xludf.DUMMYFUNCTION("if(COUNTA(FILTER(C:C, C:C = C598))=1,""no"",""yes"")"),"no")</f>
        <v>no</v>
      </c>
    </row>
    <row r="599">
      <c r="A599" s="1" t="s">
        <v>682</v>
      </c>
      <c r="B599" s="19">
        <v>9.0</v>
      </c>
      <c r="C599" s="19" t="s">
        <v>1382</v>
      </c>
      <c r="D599" s="22" t="str">
        <f t="shared" si="427"/>
        <v/>
      </c>
      <c r="E599" s="20">
        <f t="shared" si="429"/>
        <v>43752</v>
      </c>
      <c r="F599" s="79" t="str">
        <f>IFERROR(__xludf.DUMMYFUNCTION("iferror(ifna(IFNA(filter('2.1.clean'!E:E,'2.1.clean'!A:A=C599),filter('2.2.clean'!G:G,'2.2.clean'!D:D=C599)),filter('2.4.clean'!E:E,'2.4.clean'!A:A=C599)),)"),"")</f>
        <v/>
      </c>
      <c r="G599" s="20" t="str">
        <f>IFERROR(__xludf.DUMMYFUNCTION("iferror(filter('3.1.clean'!C:C,'3.1.clean'!A:A=C599),"""")"),"")</f>
        <v/>
      </c>
      <c r="H599" s="22"/>
      <c r="I599" s="22"/>
      <c r="J599" s="79"/>
      <c r="K599" s="20" t="str">
        <f>IFERROR(__xludf.DUMMYFUNCTION("iferror(filter('3.2.clean'!C:C,'3.2.clean'!A:A=C599),"""")"),"")</f>
        <v/>
      </c>
      <c r="L599" s="79"/>
      <c r="M599" s="20">
        <f>IFERROR(__xludf.DUMMYFUNCTION("iferror(filter('3.3.clean'!C:C,'3.3.clean'!A:A=C599),"""")"),43754.0)</f>
        <v>43754</v>
      </c>
      <c r="N599" s="79" t="b">
        <f t="shared" si="428"/>
        <v>1</v>
      </c>
      <c r="O599" s="20" t="str">
        <f>IFERROR(__xludf.DUMMYFUNCTION("iferror(filter('3.4.clean'!C:C,'3.4.clean'!A:A=C599),"""")"),"")</f>
        <v/>
      </c>
      <c r="P599" s="79" t="b">
        <f t="shared" si="423"/>
        <v>0</v>
      </c>
      <c r="Q599" s="20">
        <f>IFERROR(__xludf.DUMMYFUNCTION("iferror(filter('3.5.clean'!C:C,'3.5.clean'!A:A=C599),"""")"),43752.0)</f>
        <v>43752</v>
      </c>
      <c r="R599" s="22" t="b">
        <f t="shared" si="430"/>
        <v>1</v>
      </c>
      <c r="S599" s="4">
        <f>IFERROR(__xludf.DUMMYFUNCTION("iferror(filter('3.5.clean'!H:H,'3.5.clean'!A:A=C599),"""")"),0.0)</f>
        <v>0</v>
      </c>
      <c r="V599" s="52" t="s">
        <v>64</v>
      </c>
      <c r="W599" s="23" t="b">
        <f>IF(and(R599=TRUE,N599=TRUE,P599=TRUE),TRUE,FALSE)</f>
        <v>0</v>
      </c>
      <c r="X599" s="23" t="str">
        <f>IFERROR(__xludf.DUMMYFUNCTION("if(COUNTA(FILTER(C:C, C:C = C599))=1,""no"",""yes"")"),"no")</f>
        <v>no</v>
      </c>
    </row>
    <row r="600">
      <c r="A600" s="1" t="s">
        <v>682</v>
      </c>
      <c r="B600" s="19">
        <v>10.0</v>
      </c>
      <c r="C600" s="19" t="s">
        <v>1384</v>
      </c>
      <c r="D600" s="76" t="str">
        <f t="shared" si="427"/>
        <v/>
      </c>
      <c r="E600" s="77">
        <f>G600</f>
        <v>43752</v>
      </c>
      <c r="F600" s="78" t="str">
        <f>IFERROR(__xludf.DUMMYFUNCTION("iferror(ifna(IFNA(filter('2.1.clean'!E:E,'2.1.clean'!A:A=C600),filter('2.2.clean'!G:G,'2.2.clean'!D:D=C600)),filter('2.4.clean'!E:E,'2.4.clean'!A:A=C600)),)"),"")</f>
        <v/>
      </c>
      <c r="G600" s="77">
        <f>IFERROR(__xludf.DUMMYFUNCTION("iferror(filter('3.1.clean'!C:C,'3.1.clean'!A:A=C600),"""")"),43752.0)</f>
        <v>43752</v>
      </c>
      <c r="H600" s="76" t="b">
        <f>if(G600="",FALSE,TRUE)</f>
        <v>1</v>
      </c>
      <c r="I600" s="76">
        <f>IFERROR(__xludf.DUMMYFUNCTION("iferror(filter('3.1.clean'!G:G,'3.1.clean'!A:A=C600),"""")"),0.0)</f>
        <v>0</v>
      </c>
      <c r="J600" s="78" t="str">
        <f>IFERROR(__xludf.DUMMYFUNCTION("iferror(filter('3.1.clean'!I:I,'3.1.clean'!A:A=C600),"""")"),"")</f>
        <v/>
      </c>
      <c r="K600" s="77"/>
      <c r="L600" s="78"/>
      <c r="M600" s="77"/>
      <c r="N600" s="78"/>
      <c r="O600" s="77"/>
      <c r="P600" s="78"/>
      <c r="Q600" s="77"/>
      <c r="R600" s="76"/>
      <c r="S600" s="25"/>
      <c r="V600" s="1" t="s">
        <v>64</v>
      </c>
      <c r="W600" s="1" t="b">
        <v>1</v>
      </c>
      <c r="X600" s="23" t="str">
        <f>IFERROR(__xludf.DUMMYFUNCTION("if(COUNTA(FILTER(C:C, C:C = C600))=1,""no"",""yes"")"),"no")</f>
        <v>no</v>
      </c>
    </row>
    <row r="601">
      <c r="A601" s="1" t="s">
        <v>682</v>
      </c>
      <c r="B601" s="2">
        <v>11.0</v>
      </c>
      <c r="C601" s="19" t="s">
        <v>1385</v>
      </c>
      <c r="E601" s="24">
        <v>43752.0</v>
      </c>
      <c r="F601" s="25" t="str">
        <f>IFERROR(__xludf.DUMMYFUNCTION("iferror(ifna(IFNA(filter('2.1.clean'!E:E,'2.1.clean'!A:A=C601),filter('2.2.clean'!G:G,'2.2.clean'!D:D=C601)),filter('2.4.clean'!E:E,'2.4.clean'!A:A=C601)),)"),"")</f>
        <v/>
      </c>
      <c r="G601" s="24" t="str">
        <f>IFERROR(__xludf.DUMMYFUNCTION("iferror(filter('3.1.clean'!C:C,'3.1.clean'!A:A=C601),"""")"),"")</f>
        <v/>
      </c>
      <c r="J601" s="25"/>
      <c r="K601" s="24" t="str">
        <f>IFERROR(__xludf.DUMMYFUNCTION("iferror(filter('3.2.clean'!C:C,'3.2.clean'!A:A=C601),"""")"),"")</f>
        <v/>
      </c>
      <c r="L601" s="25"/>
      <c r="M601" s="24">
        <f>IFERROR(__xludf.DUMMYFUNCTION("iferror(filter('3.3.clean'!C:C,'3.3.clean'!A:A=C601),"""")"),43754.0)</f>
        <v>43754</v>
      </c>
      <c r="N601" s="25" t="b">
        <f t="shared" ref="N601:N608" si="431">if(M601="",FALSE,TRUE)</f>
        <v>1</v>
      </c>
      <c r="O601" s="24" t="str">
        <f>IFERROR(__xludf.DUMMYFUNCTION("iferror(filter('3.4.clean'!C:C,'3.4.clean'!A:A=C601),"""")"),"")</f>
        <v/>
      </c>
      <c r="P601" s="25" t="b">
        <f t="shared" ref="P601:P608" si="432">if(O601="",FALSE,TRUE)</f>
        <v>0</v>
      </c>
      <c r="Q601" s="24" t="str">
        <f>IFERROR(__xludf.DUMMYFUNCTION("iferror(filter('3.5.clean'!C:C,'3.5.clean'!A:A=C601),"""")"),"")</f>
        <v/>
      </c>
      <c r="S601" s="25"/>
      <c r="V601" s="52" t="s">
        <v>64</v>
      </c>
      <c r="X601" s="23" t="str">
        <f>IFERROR(__xludf.DUMMYFUNCTION("if(COUNTA(FILTER(C:C, C:C = C601))=1,""no"",""yes"")"),"no")</f>
        <v>no</v>
      </c>
    </row>
    <row r="602">
      <c r="A602" s="75" t="s">
        <v>714</v>
      </c>
      <c r="B602" s="41">
        <v>1.0</v>
      </c>
      <c r="C602" s="40" t="s">
        <v>1386</v>
      </c>
      <c r="E602" s="24">
        <f>IFERROR(__xludf.DUMMYFUNCTION("ifna(IFNA(filter('2.1.clean'!C:C,'2.1.clean'!A:A=C602),filter('2.2.clean'!E:E,'2.2.clean'!D:D=C602)),filter('2.4.clean'!C:C,'2.4.clean'!A:A=C602))"),43753.0)</f>
        <v>43753</v>
      </c>
      <c r="F602" s="25">
        <f>IFERROR(__xludf.DUMMYFUNCTION("iferror(ifna(IFNA(filter('2.1.clean'!E:E,'2.1.clean'!A:A=C602),filter('2.2.clean'!G:G,'2.2.clean'!D:D=C602)),filter('2.4.clean'!E:E,'2.4.clean'!A:A=C602)),)"),2.4)</f>
        <v>2.4</v>
      </c>
      <c r="G602" s="24"/>
      <c r="J602" s="25"/>
      <c r="K602" s="24"/>
      <c r="L602" s="25"/>
      <c r="M602" s="24">
        <f>IFERROR(__xludf.DUMMYFUNCTION("iferror(filter('3.3.clean'!C:C,'3.3.clean'!A:A=C602),"""")"),43755.0)</f>
        <v>43755</v>
      </c>
      <c r="N602" s="25" t="b">
        <f t="shared" si="431"/>
        <v>1</v>
      </c>
      <c r="O602" s="24">
        <f>IFERROR(__xludf.DUMMYFUNCTION("iferror(filter('3.4.clean'!C:C,'3.4.clean'!A:A=C602),"""")"),43762.0)</f>
        <v>43762</v>
      </c>
      <c r="P602" s="25" t="b">
        <f t="shared" si="432"/>
        <v>1</v>
      </c>
      <c r="Q602" s="24">
        <f>IFERROR(__xludf.DUMMYFUNCTION("iferror(filter('3.5.clean'!C:C,'3.5.clean'!A:A=C602),"""")"),43753.0)</f>
        <v>43753</v>
      </c>
      <c r="R602" s="23" t="b">
        <f>if(Q602="",FALSE,TRUE)</f>
        <v>1</v>
      </c>
      <c r="S602" s="25"/>
      <c r="V602" s="52" t="s">
        <v>64</v>
      </c>
      <c r="W602" s="23" t="b">
        <f>IF(and(R602=TRUE,N602=TRUE,P602=TRUE),TRUE,FALSE)</f>
        <v>1</v>
      </c>
      <c r="X602" s="23" t="str">
        <f>IFERROR(__xludf.DUMMYFUNCTION("if(COUNTA(FILTER(C:C, C:C = C602))=1,""no"",""yes"")"),"no")</f>
        <v>no</v>
      </c>
    </row>
    <row r="603">
      <c r="A603" s="75" t="s">
        <v>714</v>
      </c>
      <c r="B603" s="19">
        <v>2.0</v>
      </c>
      <c r="C603" s="19" t="s">
        <v>1387</v>
      </c>
      <c r="D603" s="58" t="str">
        <f t="shared" ref="D603:D604" si="433">if(or(I603=1,J603=1,S603=1),"pos","")</f>
        <v/>
      </c>
      <c r="E603" s="59">
        <f>IFERROR(__xludf.DUMMYFUNCTION("ifna(IFNA(filter('2.1.clean'!C:C,'2.1.clean'!A:A=C603),filter('2.2.clean'!E:E,'2.2.clean'!D:D=C603)),filter('2.4.clean'!C:C,'2.4.clean'!A:A=C603))"),43753.0)</f>
        <v>43753</v>
      </c>
      <c r="F603" s="60">
        <f>IFERROR(__xludf.DUMMYFUNCTION("iferror(ifna(IFNA(filter('2.1.clean'!E:E,'2.1.clean'!A:A=C603),filter('2.2.clean'!G:G,'2.2.clean'!D:D=C603)),filter('2.4.clean'!E:E,'2.4.clean'!A:A=C603)),)"),2.4)</f>
        <v>2.4</v>
      </c>
      <c r="G603" s="59">
        <f>IFERROR(__xludf.DUMMYFUNCTION("iferror(filter('3.1.clean'!C:C,'3.1.clean'!A:A=C603),"""")"),43753.0)</f>
        <v>43753</v>
      </c>
      <c r="H603" s="58" t="b">
        <f>if(G603="",FALSE,TRUE)</f>
        <v>1</v>
      </c>
      <c r="I603" s="58">
        <f>IFERROR(__xludf.DUMMYFUNCTION("iferror(filter('3.1.clean'!G:G,'3.1.clean'!A:A=C603),"""")"),0.0)</f>
        <v>0</v>
      </c>
      <c r="J603" s="60">
        <f>IFERROR(__xludf.DUMMYFUNCTION("iferror(filter('3.1.clean'!I:I,'3.1.clean'!A:A=C603),"""")"),0.0)</f>
        <v>0</v>
      </c>
      <c r="K603" s="58"/>
      <c r="L603" s="60"/>
      <c r="M603" s="59">
        <f>IFERROR(__xludf.DUMMYFUNCTION("iferror(filter('3.3.clean'!C:C,'3.3.clean'!A:A=C603),"""")"),43755.0)</f>
        <v>43755</v>
      </c>
      <c r="N603" s="60" t="b">
        <f t="shared" si="431"/>
        <v>1</v>
      </c>
      <c r="O603" s="59">
        <f>IFERROR(__xludf.DUMMYFUNCTION("iferror(filter('3.4.clean'!C:C,'3.4.clean'!A:A=C603),"""")"),43762.0)</f>
        <v>43762</v>
      </c>
      <c r="P603" s="60" t="b">
        <f t="shared" si="432"/>
        <v>1</v>
      </c>
      <c r="Q603" s="59" t="str">
        <f>IFERROR(__xludf.DUMMYFUNCTION("iferror(filter('3.5.clean'!C:C,'3.5.clean'!A:A=C603),"""")"),"")</f>
        <v/>
      </c>
      <c r="R603" s="58"/>
      <c r="S603" s="4" t="str">
        <f>IFERROR(__xludf.DUMMYFUNCTION("iferror(filter('3.5.clean'!H:H,'3.5.clean'!A:A=C603),"""")"),"")</f>
        <v/>
      </c>
      <c r="V603" s="52" t="s">
        <v>64</v>
      </c>
      <c r="W603" s="23" t="b">
        <f>if(AND(H603=TRUE,N603=TRUE,P603=TRUE),TRUE,FALSE)</f>
        <v>1</v>
      </c>
      <c r="X603" s="23" t="str">
        <f>IFERROR(__xludf.DUMMYFUNCTION("if(COUNTA(FILTER(C:C, C:C = C603))=1,""no"",""yes"")"),"no")</f>
        <v>no</v>
      </c>
      <c r="Y603" s="39"/>
      <c r="Z603" s="39"/>
      <c r="AA603" s="39"/>
      <c r="AB603" s="39"/>
      <c r="AC603" s="39"/>
      <c r="AD603" s="39"/>
      <c r="AE603" s="39"/>
      <c r="AF603" s="39"/>
      <c r="AG603" s="39"/>
      <c r="AH603" s="39"/>
    </row>
    <row r="604">
      <c r="A604" s="75" t="s">
        <v>714</v>
      </c>
      <c r="B604" s="19">
        <v>3.0</v>
      </c>
      <c r="C604" s="19" t="s">
        <v>1389</v>
      </c>
      <c r="D604" s="58" t="str">
        <f t="shared" si="433"/>
        <v/>
      </c>
      <c r="E604" s="59">
        <f>Q604</f>
        <v>43753</v>
      </c>
      <c r="F604" s="60" t="str">
        <f>IFERROR(__xludf.DUMMYFUNCTION("iferror(ifna(IFNA(filter('2.1.clean'!E:E,'2.1.clean'!A:A=C604),filter('2.2.clean'!G:G,'2.2.clean'!D:D=C604)),filter('2.4.clean'!E:E,'2.4.clean'!A:A=C604)),)"),"")</f>
        <v/>
      </c>
      <c r="G604" s="59" t="str">
        <f>IFERROR(__xludf.DUMMYFUNCTION("iferror(filter('3.1.clean'!C:C,'3.1.clean'!A:A=C604),"""")"),"")</f>
        <v/>
      </c>
      <c r="H604" s="58"/>
      <c r="I604" s="58"/>
      <c r="J604" s="60"/>
      <c r="K604" s="59"/>
      <c r="L604" s="60"/>
      <c r="M604" s="59">
        <f>IFERROR(__xludf.DUMMYFUNCTION("iferror(filter('3.3.clean'!C:C,'3.3.clean'!A:A=C604),"""")"),43755.0)</f>
        <v>43755</v>
      </c>
      <c r="N604" s="60" t="b">
        <f t="shared" si="431"/>
        <v>1</v>
      </c>
      <c r="O604" s="59" t="str">
        <f>IFERROR(__xludf.DUMMYFUNCTION("iferror(filter('3.4.clean'!C:C,'3.4.clean'!A:A=C604),"""")"),"")</f>
        <v/>
      </c>
      <c r="P604" s="60" t="b">
        <f t="shared" si="432"/>
        <v>0</v>
      </c>
      <c r="Q604" s="59">
        <f>IFERROR(__xludf.DUMMYFUNCTION("iferror(filter('3.5.clean'!C:C,'3.5.clean'!A:A=C604),"""")"),43753.0)</f>
        <v>43753</v>
      </c>
      <c r="R604" s="58" t="b">
        <f t="shared" ref="R604:R605" si="434">if(Q604="",FALSE,TRUE)</f>
        <v>1</v>
      </c>
      <c r="S604" s="4">
        <f>IFERROR(__xludf.DUMMYFUNCTION("iferror(filter('3.5.clean'!H:H,'3.5.clean'!A:A=C604),"""")"),0.0)</f>
        <v>0</v>
      </c>
      <c r="V604" s="52" t="s">
        <v>64</v>
      </c>
      <c r="W604" s="23" t="b">
        <f>if(AND(R604=TRUE,N604=TRUE,P604=TRUE),TRUE,FALSE)</f>
        <v>0</v>
      </c>
      <c r="X604" s="23" t="str">
        <f>IFERROR(__xludf.DUMMYFUNCTION("if(COUNTA(FILTER(C:C, C:C = C604))=1,""no"",""yes"")"),"no")</f>
        <v>no</v>
      </c>
    </row>
    <row r="605">
      <c r="A605" s="75" t="s">
        <v>714</v>
      </c>
      <c r="B605" s="41">
        <v>4.0</v>
      </c>
      <c r="C605" s="40" t="s">
        <v>1390</v>
      </c>
      <c r="E605" s="24">
        <f>IFERROR(__xludf.DUMMYFUNCTION("ifna(IFNA(filter('2.1.clean'!C:C,'2.1.clean'!A:A=C605),filter('2.2.clean'!E:E,'2.2.clean'!D:D=C605)),filter('2.4.clean'!C:C,'2.4.clean'!A:A=C605))"),43753.0)</f>
        <v>43753</v>
      </c>
      <c r="F605" s="25">
        <f>IFERROR(__xludf.DUMMYFUNCTION("iferror(ifna(IFNA(filter('2.1.clean'!E:E,'2.1.clean'!A:A=C605),filter('2.2.clean'!G:G,'2.2.clean'!D:D=C605)),filter('2.4.clean'!E:E,'2.4.clean'!A:A=C605)),)"),2.4)</f>
        <v>2.4</v>
      </c>
      <c r="G605" s="24"/>
      <c r="J605" s="25"/>
      <c r="K605" s="24"/>
      <c r="L605" s="25"/>
      <c r="M605" s="24">
        <f>IFERROR(__xludf.DUMMYFUNCTION("iferror(filter('3.3.clean'!C:C,'3.3.clean'!A:A=C605),"""")"),43755.0)</f>
        <v>43755</v>
      </c>
      <c r="N605" s="25" t="b">
        <f t="shared" si="431"/>
        <v>1</v>
      </c>
      <c r="O605" s="24">
        <f>IFERROR(__xludf.DUMMYFUNCTION("iferror(filter('3.4.clean'!C:C,'3.4.clean'!A:A=C605),"""")"),43762.0)</f>
        <v>43762</v>
      </c>
      <c r="P605" s="25" t="b">
        <f t="shared" si="432"/>
        <v>1</v>
      </c>
      <c r="Q605" s="24">
        <f>IFERROR(__xludf.DUMMYFUNCTION("iferror(filter('3.5.clean'!C:C,'3.5.clean'!A:A=C605),"""")"),43753.0)</f>
        <v>43753</v>
      </c>
      <c r="R605" s="23" t="b">
        <f t="shared" si="434"/>
        <v>1</v>
      </c>
      <c r="S605" s="25"/>
      <c r="V605" s="52" t="s">
        <v>64</v>
      </c>
      <c r="W605" s="23" t="b">
        <f>IF(and(R605=TRUE,N605=TRUE,P605=TRUE),TRUE,FALSE)</f>
        <v>1</v>
      </c>
      <c r="X605" s="23" t="str">
        <f>IFERROR(__xludf.DUMMYFUNCTION("if(COUNTA(FILTER(C:C, C:C = C605))=1,""no"",""yes"")"),"no")</f>
        <v>no</v>
      </c>
    </row>
    <row r="606">
      <c r="A606" s="75" t="s">
        <v>714</v>
      </c>
      <c r="B606" s="19">
        <v>5.0</v>
      </c>
      <c r="C606" s="19" t="s">
        <v>1392</v>
      </c>
      <c r="D606" s="58" t="str">
        <f t="shared" ref="D606:D609" si="435">if(or(I606=1,J606=1,S606=1),"pos","")</f>
        <v/>
      </c>
      <c r="E606" s="59">
        <f>IFERROR(__xludf.DUMMYFUNCTION("ifna(IFNA(filter('2.1.clean'!C:C,'2.1.clean'!A:A=C606),filter('2.2.clean'!E:E,'2.2.clean'!D:D=C606)),filter('2.4.clean'!C:C,'2.4.clean'!A:A=C606))"),43753.0)</f>
        <v>43753</v>
      </c>
      <c r="F606" s="60">
        <f>IFERROR(__xludf.DUMMYFUNCTION("iferror(ifna(IFNA(filter('2.1.clean'!E:E,'2.1.clean'!A:A=C606),filter('2.2.clean'!G:G,'2.2.clean'!D:D=C606)),filter('2.4.clean'!E:E,'2.4.clean'!A:A=C606)),)"),2.4)</f>
        <v>2.4</v>
      </c>
      <c r="G606" s="59">
        <f>IFERROR(__xludf.DUMMYFUNCTION("iferror(filter('3.1.clean'!C:C,'3.1.clean'!A:A=C606),"""")"),43753.0)</f>
        <v>43753</v>
      </c>
      <c r="H606" s="58" t="b">
        <f>if(G606="",FALSE,TRUE)</f>
        <v>1</v>
      </c>
      <c r="I606" s="58">
        <f>IFERROR(__xludf.DUMMYFUNCTION("iferror(filter('3.1.clean'!G:G,'3.1.clean'!A:A=C606),"""")"),0.0)</f>
        <v>0</v>
      </c>
      <c r="J606" s="60">
        <f>IFERROR(__xludf.DUMMYFUNCTION("iferror(filter('3.1.clean'!I:I,'3.1.clean'!A:A=C606),"""")"),0.0)</f>
        <v>0</v>
      </c>
      <c r="K606" s="58"/>
      <c r="L606" s="60"/>
      <c r="M606" s="59">
        <f>IFERROR(__xludf.DUMMYFUNCTION("iferror(filter('3.3.clean'!C:C,'3.3.clean'!A:A=C606),"""")"),43755.0)</f>
        <v>43755</v>
      </c>
      <c r="N606" s="60" t="b">
        <f t="shared" si="431"/>
        <v>1</v>
      </c>
      <c r="O606" s="59" t="str">
        <f>IFERROR(__xludf.DUMMYFUNCTION("iferror(filter('3.4.clean'!C:C,'3.4.clean'!A:A=C606),"""")"),"")</f>
        <v/>
      </c>
      <c r="P606" s="60" t="b">
        <f t="shared" si="432"/>
        <v>0</v>
      </c>
      <c r="Q606" s="59" t="str">
        <f>IFERROR(__xludf.DUMMYFUNCTION("iferror(filter('3.5.clean'!C:C,'3.5.clean'!A:A=C606),"""")"),"")</f>
        <v/>
      </c>
      <c r="R606" s="58"/>
      <c r="S606" s="4" t="str">
        <f>IFERROR(__xludf.DUMMYFUNCTION("iferror(filter('3.5.clean'!H:H,'3.5.clean'!A:A=C606),"""")"),"")</f>
        <v/>
      </c>
      <c r="V606" s="52" t="s">
        <v>64</v>
      </c>
      <c r="W606" s="23" t="b">
        <f>if(AND(H606=TRUE,N606=TRUE,P606=TRUE),TRUE,FALSE)</f>
        <v>0</v>
      </c>
      <c r="X606" s="23" t="str">
        <f>IFERROR(__xludf.DUMMYFUNCTION("if(COUNTA(FILTER(C:C, C:C = C606))=1,""no"",""yes"")"),"no")</f>
        <v>no</v>
      </c>
    </row>
    <row r="607">
      <c r="A607" s="75" t="s">
        <v>714</v>
      </c>
      <c r="B607" s="19">
        <v>6.0</v>
      </c>
      <c r="C607" s="19" t="s">
        <v>1393</v>
      </c>
      <c r="D607" s="58" t="str">
        <f t="shared" si="435"/>
        <v/>
      </c>
      <c r="E607" s="59">
        <f t="shared" ref="E607:E608" si="436">Q607</f>
        <v>43753</v>
      </c>
      <c r="F607" s="60" t="str">
        <f>IFERROR(__xludf.DUMMYFUNCTION("iferror(ifna(IFNA(filter('2.1.clean'!E:E,'2.1.clean'!A:A=C607),filter('2.2.clean'!G:G,'2.2.clean'!D:D=C607)),filter('2.4.clean'!E:E,'2.4.clean'!A:A=C607)),)"),"")</f>
        <v/>
      </c>
      <c r="G607" s="59" t="str">
        <f>IFERROR(__xludf.DUMMYFUNCTION("iferror(filter('3.1.clean'!C:C,'3.1.clean'!A:A=C607),"""")"),"")</f>
        <v/>
      </c>
      <c r="H607" s="58"/>
      <c r="I607" s="58"/>
      <c r="J607" s="60"/>
      <c r="K607" s="59"/>
      <c r="L607" s="60"/>
      <c r="M607" s="59">
        <f>IFERROR(__xludf.DUMMYFUNCTION("iferror(filter('3.3.clean'!C:C,'3.3.clean'!A:A=C607),"""")"),43755.0)</f>
        <v>43755</v>
      </c>
      <c r="N607" s="60" t="b">
        <f t="shared" si="431"/>
        <v>1</v>
      </c>
      <c r="O607" s="59">
        <f>IFERROR(__xludf.DUMMYFUNCTION("iferror(filter('3.4.clean'!C:C,'3.4.clean'!A:A=C607),"""")"),43762.0)</f>
        <v>43762</v>
      </c>
      <c r="P607" s="60" t="b">
        <f t="shared" si="432"/>
        <v>1</v>
      </c>
      <c r="Q607" s="59">
        <f>IFERROR(__xludf.DUMMYFUNCTION("iferror(filter('3.5.clean'!C:C,'3.5.clean'!A:A=C607),"""")"),43753.0)</f>
        <v>43753</v>
      </c>
      <c r="R607" s="58" t="b">
        <f t="shared" ref="R607:R608" si="437">if(Q607="",FALSE,TRUE)</f>
        <v>1</v>
      </c>
      <c r="S607" s="4">
        <f>IFERROR(__xludf.DUMMYFUNCTION("iferror(filter('3.5.clean'!H:H,'3.5.clean'!A:A=C607),"""")"),0.0)</f>
        <v>0</v>
      </c>
      <c r="V607" s="52" t="s">
        <v>64</v>
      </c>
      <c r="W607" s="23" t="b">
        <f>if(AND(R607=TRUE,N607=TRUE,P607=TRUE),TRUE,FALSE)</f>
        <v>1</v>
      </c>
      <c r="X607" s="23" t="str">
        <f>IFERROR(__xludf.DUMMYFUNCTION("if(COUNTA(FILTER(C:C, C:C = C607))=1,""no"",""yes"")"),"no")</f>
        <v>no</v>
      </c>
    </row>
    <row r="608">
      <c r="A608" s="75" t="s">
        <v>714</v>
      </c>
      <c r="B608" s="19">
        <v>7.0</v>
      </c>
      <c r="C608" s="19" t="s">
        <v>1394</v>
      </c>
      <c r="D608" s="22" t="str">
        <f t="shared" si="435"/>
        <v/>
      </c>
      <c r="E608" s="20">
        <f t="shared" si="436"/>
        <v>43753</v>
      </c>
      <c r="F608" s="79" t="str">
        <f>IFERROR(__xludf.DUMMYFUNCTION("iferror(ifna(IFNA(filter('2.1.clean'!E:E,'2.1.clean'!A:A=C608),filter('2.2.clean'!G:G,'2.2.clean'!D:D=C608)),filter('2.4.clean'!E:E,'2.4.clean'!A:A=C608)),)"),"")</f>
        <v/>
      </c>
      <c r="G608" s="20" t="str">
        <f>IFERROR(__xludf.DUMMYFUNCTION("iferror(filter('3.1.clean'!C:C,'3.1.clean'!A:A=C608),"""")"),"")</f>
        <v/>
      </c>
      <c r="H608" s="22"/>
      <c r="I608" s="22"/>
      <c r="J608" s="79"/>
      <c r="K608" s="20" t="str">
        <f>IFERROR(__xludf.DUMMYFUNCTION("iferror(filter('3.2.clean'!C:C,'3.2.clean'!A:A=C608),"""")"),"")</f>
        <v/>
      </c>
      <c r="L608" s="79"/>
      <c r="M608" s="20">
        <f>IFERROR(__xludf.DUMMYFUNCTION("iferror(filter('3.3.clean'!C:C,'3.3.clean'!A:A=C608),"""")"),43755.0)</f>
        <v>43755</v>
      </c>
      <c r="N608" s="79" t="b">
        <f t="shared" si="431"/>
        <v>1</v>
      </c>
      <c r="O608" s="20" t="str">
        <f>IFERROR(__xludf.DUMMYFUNCTION("iferror(filter('3.4.clean'!C:C,'3.4.clean'!A:A=C608),"""")"),"")</f>
        <v/>
      </c>
      <c r="P608" s="79" t="b">
        <f t="shared" si="432"/>
        <v>0</v>
      </c>
      <c r="Q608" s="20">
        <f>IFERROR(__xludf.DUMMYFUNCTION("iferror(filter('3.5.clean'!C:C,'3.5.clean'!A:A=C608),"""")"),43753.0)</f>
        <v>43753</v>
      </c>
      <c r="R608" s="22" t="b">
        <f t="shared" si="437"/>
        <v>1</v>
      </c>
      <c r="S608" s="4">
        <f>IFERROR(__xludf.DUMMYFUNCTION("iferror(filter('3.5.clean'!H:H,'3.5.clean'!A:A=C608),"""")"),0.0)</f>
        <v>0</v>
      </c>
      <c r="V608" s="52" t="s">
        <v>64</v>
      </c>
      <c r="W608" s="23" t="b">
        <f>IF(and(R608=TRUE,N608=TRUE,P608=TRUE),TRUE,FALSE)</f>
        <v>0</v>
      </c>
      <c r="X608" s="23" t="str">
        <f>IFERROR(__xludf.DUMMYFUNCTION("if(COUNTA(FILTER(C:C, C:C = C608))=1,""no"",""yes"")"),"no")</f>
        <v>no</v>
      </c>
    </row>
    <row r="609">
      <c r="A609" s="75" t="s">
        <v>714</v>
      </c>
      <c r="B609" s="19">
        <v>8.0</v>
      </c>
      <c r="C609" s="19" t="s">
        <v>1395</v>
      </c>
      <c r="D609" s="76" t="str">
        <f t="shared" si="435"/>
        <v/>
      </c>
      <c r="E609" s="77">
        <f>G609</f>
        <v>43753</v>
      </c>
      <c r="F609" s="78" t="str">
        <f>IFERROR(__xludf.DUMMYFUNCTION("iferror(ifna(IFNA(filter('2.1.clean'!E:E,'2.1.clean'!A:A=C609),filter('2.2.clean'!G:G,'2.2.clean'!D:D=C609)),filter('2.4.clean'!E:E,'2.4.clean'!A:A=C609)),)"),"")</f>
        <v/>
      </c>
      <c r="G609" s="77">
        <f>IFERROR(__xludf.DUMMYFUNCTION("iferror(filter('3.1.clean'!C:C,'3.1.clean'!A:A=C609),"""")"),43753.0)</f>
        <v>43753</v>
      </c>
      <c r="H609" s="76" t="b">
        <f>if(G609="",FALSE,TRUE)</f>
        <v>1</v>
      </c>
      <c r="I609" s="76">
        <f>IFERROR(__xludf.DUMMYFUNCTION("iferror(filter('3.1.clean'!G:G,'3.1.clean'!A:A=C609),"""")"),0.0)</f>
        <v>0</v>
      </c>
      <c r="J609" s="78">
        <f>IFERROR(__xludf.DUMMYFUNCTION("iferror(filter('3.1.clean'!I:I,'3.1.clean'!A:A=C609),"""")"),0.0)</f>
        <v>0</v>
      </c>
      <c r="K609" s="77"/>
      <c r="L609" s="78"/>
      <c r="M609" s="77"/>
      <c r="N609" s="78"/>
      <c r="O609" s="77"/>
      <c r="P609" s="78"/>
      <c r="Q609" s="77"/>
      <c r="R609" s="76"/>
      <c r="S609" s="25"/>
      <c r="V609" s="1" t="s">
        <v>64</v>
      </c>
      <c r="W609" s="1" t="b">
        <v>1</v>
      </c>
      <c r="X609" s="23" t="str">
        <f>IFERROR(__xludf.DUMMYFUNCTION("if(COUNTA(FILTER(C:C, C:C = C609))=1,""no"",""yes"")"),"no")</f>
        <v>no</v>
      </c>
    </row>
    <row r="610">
      <c r="A610" s="75" t="s">
        <v>714</v>
      </c>
      <c r="B610" s="19">
        <v>9.0</v>
      </c>
      <c r="C610" s="19" t="s">
        <v>1397</v>
      </c>
      <c r="E610" s="24">
        <v>43753.0</v>
      </c>
      <c r="F610" s="25" t="str">
        <f>IFERROR(__xludf.DUMMYFUNCTION("iferror(ifna(IFNA(filter('2.1.clean'!E:E,'2.1.clean'!A:A=C610),filter('2.2.clean'!G:G,'2.2.clean'!D:D=C610)),filter('2.4.clean'!E:E,'2.4.clean'!A:A=C610)),)"),"")</f>
        <v/>
      </c>
      <c r="G610" s="24" t="str">
        <f>IFERROR(__xludf.DUMMYFUNCTION("iferror(filter('3.1.clean'!C:C,'3.1.clean'!A:A=C610),"""")"),"")</f>
        <v/>
      </c>
      <c r="J610" s="25"/>
      <c r="K610" s="24" t="str">
        <f>IFERROR(__xludf.DUMMYFUNCTION("iferror(filter('3.2.clean'!C:C,'3.2.clean'!A:A=C610),"""")"),"")</f>
        <v/>
      </c>
      <c r="L610" s="25"/>
      <c r="M610" s="24">
        <f>IFERROR(__xludf.DUMMYFUNCTION("iferror(filter('3.3.clean'!C:C,'3.3.clean'!A:A=C610),"""")"),43755.0)</f>
        <v>43755</v>
      </c>
      <c r="N610" s="25" t="b">
        <f t="shared" ref="N610:N617" si="438">if(M610="",FALSE,TRUE)</f>
        <v>1</v>
      </c>
      <c r="O610" s="24" t="str">
        <f>IFERROR(__xludf.DUMMYFUNCTION("iferror(filter('3.4.clean'!C:C,'3.4.clean'!A:A=C610),"""")"),"")</f>
        <v/>
      </c>
      <c r="P610" s="25" t="b">
        <f t="shared" ref="P610:P625" si="439">if(O610="",FALSE,TRUE)</f>
        <v>0</v>
      </c>
      <c r="Q610" s="24" t="str">
        <f>IFERROR(__xludf.DUMMYFUNCTION("iferror(filter('3.5.clean'!C:C,'3.5.clean'!A:A=C610),"""")"),"")</f>
        <v/>
      </c>
      <c r="S610" s="25"/>
      <c r="V610" s="52" t="s">
        <v>64</v>
      </c>
      <c r="X610" s="23" t="str">
        <f>IFERROR(__xludf.DUMMYFUNCTION("if(COUNTA(FILTER(C:C, C:C = C610))=1,""no"",""yes"")"),"no")</f>
        <v>no</v>
      </c>
    </row>
    <row r="611">
      <c r="A611" s="1" t="s">
        <v>741</v>
      </c>
      <c r="B611" s="41">
        <v>1.0</v>
      </c>
      <c r="C611" s="40" t="s">
        <v>1398</v>
      </c>
      <c r="E611" s="24">
        <f>IFERROR(__xludf.DUMMYFUNCTION("ifna(IFNA(filter('2.1.clean'!C:C,'2.1.clean'!A:A=C611),filter('2.2.clean'!E:E,'2.2.clean'!D:D=C611)),filter('2.4.clean'!C:C,'2.4.clean'!A:A=C611))"),43755.0)</f>
        <v>43755</v>
      </c>
      <c r="F611" s="25">
        <f>IFERROR(__xludf.DUMMYFUNCTION("iferror(ifna(IFNA(filter('2.1.clean'!E:E,'2.1.clean'!A:A=C611),filter('2.2.clean'!G:G,'2.2.clean'!D:D=C611)),filter('2.4.clean'!E:E,'2.4.clean'!A:A=C611)),)"),2.4)</f>
        <v>2.4</v>
      </c>
      <c r="G611" s="24"/>
      <c r="J611" s="25"/>
      <c r="K611" s="24"/>
      <c r="L611" s="25"/>
      <c r="M611" s="24">
        <f>IFERROR(__xludf.DUMMYFUNCTION("iferror(filter('3.3.clean'!C:C,'3.3.clean'!A:A=C611),"""")"),43759.0)</f>
        <v>43759</v>
      </c>
      <c r="N611" s="25" t="b">
        <f t="shared" si="438"/>
        <v>1</v>
      </c>
      <c r="O611" s="24">
        <f>IFERROR(__xludf.DUMMYFUNCTION("iferror(filter('3.4.clean'!C:C,'3.4.clean'!A:A=C611),"""")"),43761.0)</f>
        <v>43761</v>
      </c>
      <c r="P611" s="25" t="b">
        <f t="shared" si="439"/>
        <v>1</v>
      </c>
      <c r="Q611" s="24">
        <f>IFERROR(__xludf.DUMMYFUNCTION("iferror(filter('3.5.clean'!C:C,'3.5.clean'!A:A=C611),"""")"),43755.0)</f>
        <v>43755</v>
      </c>
      <c r="R611" s="23" t="b">
        <f>if(Q611="",FALSE,TRUE)</f>
        <v>1</v>
      </c>
      <c r="S611" s="25"/>
      <c r="V611" s="52" t="s">
        <v>64</v>
      </c>
      <c r="W611" s="23" t="b">
        <f>IF(and(R611=TRUE,N611=TRUE,P611=TRUE),TRUE,FALSE)</f>
        <v>1</v>
      </c>
      <c r="X611" s="23" t="str">
        <f>IFERROR(__xludf.DUMMYFUNCTION("if(COUNTA(FILTER(C:C, C:C = C611))=1,""no"",""yes"")"),"no")</f>
        <v>no</v>
      </c>
    </row>
    <row r="612">
      <c r="A612" s="1" t="s">
        <v>741</v>
      </c>
      <c r="B612" s="19">
        <v>2.0</v>
      </c>
      <c r="C612" s="19" t="s">
        <v>1399</v>
      </c>
      <c r="D612" s="58" t="str">
        <f t="shared" ref="D612:D613" si="440">if(or(I612=1,J612=1,S612=1),"pos","")</f>
        <v/>
      </c>
      <c r="E612" s="59">
        <f>IFERROR(__xludf.DUMMYFUNCTION("ifna(IFNA(filter('2.1.clean'!C:C,'2.1.clean'!A:A=C612),filter('2.2.clean'!E:E,'2.2.clean'!D:D=C612)),filter('2.4.clean'!C:C,'2.4.clean'!A:A=C612))"),43755.0)</f>
        <v>43755</v>
      </c>
      <c r="F612" s="60">
        <f>IFERROR(__xludf.DUMMYFUNCTION("iferror(ifna(IFNA(filter('2.1.clean'!E:E,'2.1.clean'!A:A=C612),filter('2.2.clean'!G:G,'2.2.clean'!D:D=C612)),filter('2.4.clean'!E:E,'2.4.clean'!A:A=C612)),)"),2.4)</f>
        <v>2.4</v>
      </c>
      <c r="G612" s="59">
        <f>IFERROR(__xludf.DUMMYFUNCTION("iferror(filter('3.1.clean'!C:C,'3.1.clean'!A:A=C612),"""")"),43755.0)</f>
        <v>43755</v>
      </c>
      <c r="H612" s="58" t="b">
        <f>if(G612="",FALSE,TRUE)</f>
        <v>1</v>
      </c>
      <c r="I612" s="58">
        <f>IFERROR(__xludf.DUMMYFUNCTION("iferror(filter('3.1.clean'!G:G,'3.1.clean'!A:A=C612),"""")"),0.0)</f>
        <v>0</v>
      </c>
      <c r="J612" s="60">
        <f>IFERROR(__xludf.DUMMYFUNCTION("iferror(filter('3.1.clean'!I:I,'3.1.clean'!A:A=C612),"""")"),0.0)</f>
        <v>0</v>
      </c>
      <c r="K612" s="58"/>
      <c r="L612" s="60"/>
      <c r="M612" s="59">
        <f>IFERROR(__xludf.DUMMYFUNCTION("iferror(filter('3.3.clean'!C:C,'3.3.clean'!A:A=C612),"""")"),43759.0)</f>
        <v>43759</v>
      </c>
      <c r="N612" s="60" t="b">
        <f t="shared" si="438"/>
        <v>1</v>
      </c>
      <c r="O612" s="59" t="str">
        <f>IFERROR(__xludf.DUMMYFUNCTION("iferror(filter('3.4.clean'!C:C,'3.4.clean'!A:A=C612),"""")"),"")</f>
        <v/>
      </c>
      <c r="P612" s="60" t="b">
        <f t="shared" si="439"/>
        <v>0</v>
      </c>
      <c r="Q612" s="59" t="str">
        <f>IFERROR(__xludf.DUMMYFUNCTION("iferror(filter('3.5.clean'!C:C,'3.5.clean'!A:A=C612),"""")"),"")</f>
        <v/>
      </c>
      <c r="R612" s="58"/>
      <c r="S612" s="4" t="str">
        <f>IFERROR(__xludf.DUMMYFUNCTION("iferror(filter('3.5.clean'!H:H,'3.5.clean'!A:A=C612),"""")"),"")</f>
        <v/>
      </c>
      <c r="V612" s="52" t="s">
        <v>64</v>
      </c>
      <c r="W612" s="23" t="b">
        <f>if(AND(H612=TRUE,N612=TRUE,P612=TRUE),TRUE,FALSE)</f>
        <v>0</v>
      </c>
      <c r="X612" s="23" t="str">
        <f>IFERROR(__xludf.DUMMYFUNCTION("if(COUNTA(FILTER(C:C, C:C = C612))=1,""no"",""yes"")"),"no")</f>
        <v>no</v>
      </c>
    </row>
    <row r="613">
      <c r="A613" s="1" t="s">
        <v>741</v>
      </c>
      <c r="B613" s="19">
        <v>3.0</v>
      </c>
      <c r="C613" s="19" t="s">
        <v>1401</v>
      </c>
      <c r="D613" s="58" t="str">
        <f t="shared" si="440"/>
        <v/>
      </c>
      <c r="E613" s="59">
        <f>Q613</f>
        <v>43755</v>
      </c>
      <c r="F613" s="60" t="str">
        <f>IFERROR(__xludf.DUMMYFUNCTION("iferror(ifna(IFNA(filter('2.1.clean'!E:E,'2.1.clean'!A:A=C613),filter('2.2.clean'!G:G,'2.2.clean'!D:D=C613)),filter('2.4.clean'!E:E,'2.4.clean'!A:A=C613)),)"),"")</f>
        <v/>
      </c>
      <c r="G613" s="59" t="str">
        <f>IFERROR(__xludf.DUMMYFUNCTION("iferror(filter('3.1.clean'!C:C,'3.1.clean'!A:A=C613),"""")"),"")</f>
        <v/>
      </c>
      <c r="H613" s="58"/>
      <c r="I613" s="58"/>
      <c r="J613" s="60"/>
      <c r="K613" s="59"/>
      <c r="L613" s="60"/>
      <c r="M613" s="59">
        <f>IFERROR(__xludf.DUMMYFUNCTION("iferror(filter('3.3.clean'!C:C,'3.3.clean'!A:A=C613),"""")"),43759.0)</f>
        <v>43759</v>
      </c>
      <c r="N613" s="60" t="b">
        <f t="shared" si="438"/>
        <v>1</v>
      </c>
      <c r="O613" s="59">
        <f>IFERROR(__xludf.DUMMYFUNCTION("iferror(filter('3.4.clean'!C:C,'3.4.clean'!A:A=C613),"""")"),43761.0)</f>
        <v>43761</v>
      </c>
      <c r="P613" s="60" t="b">
        <f t="shared" si="439"/>
        <v>1</v>
      </c>
      <c r="Q613" s="59">
        <f>IFERROR(__xludf.DUMMYFUNCTION("iferror(filter('3.5.clean'!C:C,'3.5.clean'!A:A=C613),"""")"),43755.0)</f>
        <v>43755</v>
      </c>
      <c r="R613" s="58" t="b">
        <f t="shared" ref="R613:R614" si="441">if(Q613="",FALSE,TRUE)</f>
        <v>1</v>
      </c>
      <c r="S613" s="4">
        <f>IFERROR(__xludf.DUMMYFUNCTION("iferror(filter('3.5.clean'!H:H,'3.5.clean'!A:A=C613),"""")"),0.0)</f>
        <v>0</v>
      </c>
      <c r="V613" s="52" t="s">
        <v>64</v>
      </c>
      <c r="W613" s="23" t="b">
        <f>if(AND(R613=TRUE,N613=TRUE,P613=TRUE),TRUE,FALSE)</f>
        <v>1</v>
      </c>
      <c r="X613" s="23" t="str">
        <f>IFERROR(__xludf.DUMMYFUNCTION("if(COUNTA(FILTER(C:C, C:C = C613))=1,""no"",""yes"")"),"no")</f>
        <v>no</v>
      </c>
    </row>
    <row r="614">
      <c r="A614" s="1" t="s">
        <v>741</v>
      </c>
      <c r="B614" s="41">
        <v>4.0</v>
      </c>
      <c r="C614" s="40" t="s">
        <v>1402</v>
      </c>
      <c r="E614" s="24">
        <f>IFERROR(__xludf.DUMMYFUNCTION("ifna(IFNA(filter('2.1.clean'!C:C,'2.1.clean'!A:A=C614),filter('2.2.clean'!E:E,'2.2.clean'!D:D=C614)),filter('2.4.clean'!C:C,'2.4.clean'!A:A=C614))"),43755.0)</f>
        <v>43755</v>
      </c>
      <c r="F614" s="25">
        <f>IFERROR(__xludf.DUMMYFUNCTION("iferror(ifna(IFNA(filter('2.1.clean'!E:E,'2.1.clean'!A:A=C614),filter('2.2.clean'!G:G,'2.2.clean'!D:D=C614)),filter('2.4.clean'!E:E,'2.4.clean'!A:A=C614)),)"),2.4)</f>
        <v>2.4</v>
      </c>
      <c r="G614" s="24"/>
      <c r="J614" s="25"/>
      <c r="K614" s="24"/>
      <c r="L614" s="25"/>
      <c r="M614" s="24">
        <f>IFERROR(__xludf.DUMMYFUNCTION("iferror(filter('3.3.clean'!C:C,'3.3.clean'!A:A=C614),"""")"),43759.0)</f>
        <v>43759</v>
      </c>
      <c r="N614" s="25" t="b">
        <f t="shared" si="438"/>
        <v>1</v>
      </c>
      <c r="O614" s="24">
        <f>IFERROR(__xludf.DUMMYFUNCTION("iferror(filter('3.4.clean'!C:C,'3.4.clean'!A:A=C614),"""")"),43761.0)</f>
        <v>43761</v>
      </c>
      <c r="P614" s="25" t="b">
        <f t="shared" si="439"/>
        <v>1</v>
      </c>
      <c r="Q614" s="24">
        <f>IFERROR(__xludf.DUMMYFUNCTION("iferror(filter('3.5.clean'!C:C,'3.5.clean'!A:A=C614),"""")"),43755.0)</f>
        <v>43755</v>
      </c>
      <c r="R614" s="23" t="b">
        <f t="shared" si="441"/>
        <v>1</v>
      </c>
      <c r="S614" s="25"/>
      <c r="V614" s="52" t="s">
        <v>64</v>
      </c>
      <c r="W614" s="23" t="b">
        <f>IF(and(R614=TRUE,N614=TRUE,P614=TRUE),TRUE,FALSE)</f>
        <v>1</v>
      </c>
      <c r="X614" s="23" t="str">
        <f>IFERROR(__xludf.DUMMYFUNCTION("if(COUNTA(FILTER(C:C, C:C = C614))=1,""no"",""yes"")"),"no")</f>
        <v>no</v>
      </c>
    </row>
    <row r="615">
      <c r="A615" s="1" t="s">
        <v>741</v>
      </c>
      <c r="B615" s="19">
        <v>5.0</v>
      </c>
      <c r="C615" s="19" t="s">
        <v>1404</v>
      </c>
      <c r="D615" s="58" t="str">
        <f t="shared" ref="D615:D616" si="442">if(or(I615=1,J615=1,S615=1),"pos","")</f>
        <v/>
      </c>
      <c r="E615" s="59">
        <f>IFERROR(__xludf.DUMMYFUNCTION("ifna(IFNA(filter('2.1.clean'!C:C,'2.1.clean'!A:A=C615),filter('2.2.clean'!E:E,'2.2.clean'!D:D=C615)),filter('2.4.clean'!C:C,'2.4.clean'!A:A=C615))"),43755.0)</f>
        <v>43755</v>
      </c>
      <c r="F615" s="60">
        <f>IFERROR(__xludf.DUMMYFUNCTION("iferror(ifna(IFNA(filter('2.1.clean'!E:E,'2.1.clean'!A:A=C615),filter('2.2.clean'!G:G,'2.2.clean'!D:D=C615)),filter('2.4.clean'!E:E,'2.4.clean'!A:A=C615)),)"),2.4)</f>
        <v>2.4</v>
      </c>
      <c r="G615" s="59">
        <f>IFERROR(__xludf.DUMMYFUNCTION("iferror(filter('3.1.clean'!C:C,'3.1.clean'!A:A=C615),"""")"),43755.0)</f>
        <v>43755</v>
      </c>
      <c r="H615" s="58" t="b">
        <f>if(G615="",FALSE,TRUE)</f>
        <v>1</v>
      </c>
      <c r="I615" s="58">
        <f>IFERROR(__xludf.DUMMYFUNCTION("iferror(filter('3.1.clean'!G:G,'3.1.clean'!A:A=C615),"""")"),0.0)</f>
        <v>0</v>
      </c>
      <c r="J615" s="60">
        <f>IFERROR(__xludf.DUMMYFUNCTION("iferror(filter('3.1.clean'!I:I,'3.1.clean'!A:A=C615),"""")"),0.0)</f>
        <v>0</v>
      </c>
      <c r="K615" s="58"/>
      <c r="L615" s="60"/>
      <c r="M615" s="59">
        <f>IFERROR(__xludf.DUMMYFUNCTION("iferror(filter('3.3.clean'!C:C,'3.3.clean'!A:A=C615),"""")"),43759.0)</f>
        <v>43759</v>
      </c>
      <c r="N615" s="60" t="b">
        <f t="shared" si="438"/>
        <v>1</v>
      </c>
      <c r="O615" s="59" t="str">
        <f>IFERROR(__xludf.DUMMYFUNCTION("iferror(filter('3.4.clean'!C:C,'3.4.clean'!A:A=C615),"""")"),"")</f>
        <v/>
      </c>
      <c r="P615" s="60" t="b">
        <f t="shared" si="439"/>
        <v>0</v>
      </c>
      <c r="Q615" s="59" t="str">
        <f>IFERROR(__xludf.DUMMYFUNCTION("iferror(filter('3.5.clean'!C:C,'3.5.clean'!A:A=C615),"""")"),"")</f>
        <v/>
      </c>
      <c r="R615" s="58"/>
      <c r="S615" s="4" t="str">
        <f>IFERROR(__xludf.DUMMYFUNCTION("iferror(filter('3.5.clean'!H:H,'3.5.clean'!A:A=C615),"""")"),"")</f>
        <v/>
      </c>
      <c r="V615" s="52" t="s">
        <v>64</v>
      </c>
      <c r="W615" s="23" t="b">
        <f>if(AND(H615=TRUE,N615=TRUE,P615=TRUE),TRUE,FALSE)</f>
        <v>0</v>
      </c>
      <c r="X615" s="23" t="str">
        <f>IFERROR(__xludf.DUMMYFUNCTION("if(COUNTA(FILTER(C:C, C:C = C615))=1,""no"",""yes"")"),"no")</f>
        <v>no</v>
      </c>
    </row>
    <row r="616">
      <c r="A616" s="1" t="s">
        <v>741</v>
      </c>
      <c r="B616" s="19">
        <v>6.0</v>
      </c>
      <c r="C616" s="19" t="s">
        <v>1405</v>
      </c>
      <c r="D616" s="58" t="str">
        <f t="shared" si="442"/>
        <v/>
      </c>
      <c r="E616" s="59">
        <f>Q616</f>
        <v>43755</v>
      </c>
      <c r="F616" s="60" t="str">
        <f>IFERROR(__xludf.DUMMYFUNCTION("iferror(ifna(IFNA(filter('2.1.clean'!E:E,'2.1.clean'!A:A=C616),filter('2.2.clean'!G:G,'2.2.clean'!D:D=C616)),filter('2.4.clean'!E:E,'2.4.clean'!A:A=C616)),)"),"")</f>
        <v/>
      </c>
      <c r="G616" s="59" t="str">
        <f>IFERROR(__xludf.DUMMYFUNCTION("iferror(filter('3.1.clean'!C:C,'3.1.clean'!A:A=C616),"""")"),"")</f>
        <v/>
      </c>
      <c r="H616" s="58"/>
      <c r="I616" s="58"/>
      <c r="J616" s="60"/>
      <c r="K616" s="59"/>
      <c r="L616" s="60"/>
      <c r="M616" s="59">
        <f>IFERROR(__xludf.DUMMYFUNCTION("iferror(filter('3.3.clean'!C:C,'3.3.clean'!A:A=C616),"""")"),43759.0)</f>
        <v>43759</v>
      </c>
      <c r="N616" s="60" t="b">
        <f t="shared" si="438"/>
        <v>1</v>
      </c>
      <c r="O616" s="59">
        <f>IFERROR(__xludf.DUMMYFUNCTION("iferror(filter('3.4.clean'!C:C,'3.4.clean'!A:A=C616),"""")"),43761.0)</f>
        <v>43761</v>
      </c>
      <c r="P616" s="60" t="b">
        <f t="shared" si="439"/>
        <v>1</v>
      </c>
      <c r="Q616" s="59">
        <f>IFERROR(__xludf.DUMMYFUNCTION("iferror(filter('3.5.clean'!C:C,'3.5.clean'!A:A=C616),"""")"),43755.0)</f>
        <v>43755</v>
      </c>
      <c r="R616" s="58" t="b">
        <f t="shared" ref="R616:R617" si="443">if(Q616="",FALSE,TRUE)</f>
        <v>1</v>
      </c>
      <c r="S616" s="4">
        <f>IFERROR(__xludf.DUMMYFUNCTION("iferror(filter('3.5.clean'!H:H,'3.5.clean'!A:A=C616),"""")"),0.0)</f>
        <v>0</v>
      </c>
      <c r="V616" s="52" t="s">
        <v>64</v>
      </c>
      <c r="W616" s="23" t="b">
        <f>if(AND(R616=TRUE,N616=TRUE,P616=TRUE),TRUE,FALSE)</f>
        <v>1</v>
      </c>
      <c r="X616" s="23" t="str">
        <f>IFERROR(__xludf.DUMMYFUNCTION("if(COUNTA(FILTER(C:C, C:C = C616))=1,""no"",""yes"")"),"no")</f>
        <v>no</v>
      </c>
    </row>
    <row r="617">
      <c r="A617" s="1" t="s">
        <v>741</v>
      </c>
      <c r="B617" s="41">
        <v>7.0</v>
      </c>
      <c r="C617" s="40" t="s">
        <v>1406</v>
      </c>
      <c r="E617" s="24">
        <f>IFERROR(__xludf.DUMMYFUNCTION("ifna(IFNA(filter('2.1.clean'!C:C,'2.1.clean'!A:A=C617),filter('2.2.clean'!E:E,'2.2.clean'!D:D=C617)),filter('2.4.clean'!C:C,'2.4.clean'!A:A=C617))"),43755.0)</f>
        <v>43755</v>
      </c>
      <c r="F617" s="25">
        <f>IFERROR(__xludf.DUMMYFUNCTION("iferror(ifna(IFNA(filter('2.1.clean'!E:E,'2.1.clean'!A:A=C617),filter('2.2.clean'!G:G,'2.2.clean'!D:D=C617)),filter('2.4.clean'!E:E,'2.4.clean'!A:A=C617)),)"),2.4)</f>
        <v>2.4</v>
      </c>
      <c r="G617" s="24">
        <f>IFERROR(__xludf.DUMMYFUNCTION("iferror(filter('3.1.clean'!C:C,'3.1.clean'!A:A=C617),"""")"),43755.0)</f>
        <v>43755</v>
      </c>
      <c r="H617" s="23" t="b">
        <f>if(G617="",FALSE,TRUE)</f>
        <v>1</v>
      </c>
      <c r="J617" s="25"/>
      <c r="K617" s="24">
        <f>IFERROR(__xludf.DUMMYFUNCTION("iferror(filter('3.2.clean'!C:C,'3.2.clean'!A:A=C617),"""")"),43755.0)</f>
        <v>43755</v>
      </c>
      <c r="L617" s="25" t="b">
        <f>if(K617="",FALSE,TRUE)</f>
        <v>1</v>
      </c>
      <c r="M617" s="24">
        <f>IFERROR(__xludf.DUMMYFUNCTION("iferror(filter('3.3.clean'!C:C,'3.3.clean'!A:A=C617),"""")"),43759.0)</f>
        <v>43759</v>
      </c>
      <c r="N617" s="25" t="b">
        <f t="shared" si="438"/>
        <v>1</v>
      </c>
      <c r="O617" s="24">
        <f>IFERROR(__xludf.DUMMYFUNCTION("iferror(filter('3.4.clean'!C:C,'3.4.clean'!A:A=C617),"""")"),43761.0)</f>
        <v>43761</v>
      </c>
      <c r="P617" s="25" t="b">
        <f t="shared" si="439"/>
        <v>1</v>
      </c>
      <c r="Q617" s="24">
        <f>IFERROR(__xludf.DUMMYFUNCTION("iferror(filter('3.5.clean'!C:C,'3.5.clean'!A:A=C617),"""")"),43755.0)</f>
        <v>43755</v>
      </c>
      <c r="R617" s="23" t="b">
        <f t="shared" si="443"/>
        <v>1</v>
      </c>
      <c r="S617" s="25"/>
      <c r="V617" s="52" t="s">
        <v>64</v>
      </c>
      <c r="X617" s="23" t="str">
        <f>IFERROR(__xludf.DUMMYFUNCTION("if(COUNTA(FILTER(C:C, C:C = C617))=1,""no"",""yes"")"),"no")</f>
        <v>no</v>
      </c>
    </row>
    <row r="618">
      <c r="A618" s="1" t="s">
        <v>741</v>
      </c>
      <c r="B618" s="41">
        <v>8.0</v>
      </c>
      <c r="C618" s="41" t="s">
        <v>1408</v>
      </c>
      <c r="E618" s="24">
        <v>43755.0</v>
      </c>
      <c r="F618" s="25" t="str">
        <f>IFERROR(__xludf.DUMMYFUNCTION("iferror(ifna(IFNA(filter('2.1.clean'!E:E,'2.1.clean'!A:A=C618),filter('2.2.clean'!G:G,'2.2.clean'!D:D=C618)),filter('2.4.clean'!E:E,'2.4.clean'!A:A=C618)),)"),"")</f>
        <v/>
      </c>
      <c r="G618" s="24" t="str">
        <f>IFERROR(__xludf.DUMMYFUNCTION("iferror(filter('3.1.clean'!C:C,'3.1.clean'!A:A=C618),"""")"),"")</f>
        <v/>
      </c>
      <c r="J618" s="25"/>
      <c r="K618" s="24"/>
      <c r="L618" s="25"/>
      <c r="M618" s="24"/>
      <c r="N618" s="25"/>
      <c r="O618" s="24">
        <f>IFERROR(__xludf.DUMMYFUNCTION("iferror(filter('3.4.clean'!C:C,'3.4.clean'!A:A=C618),"""")"),43761.0)</f>
        <v>43761</v>
      </c>
      <c r="P618" s="25" t="b">
        <f t="shared" si="439"/>
        <v>1</v>
      </c>
      <c r="Q618" s="24" t="str">
        <f>IFERROR(__xludf.DUMMYFUNCTION("iferror(filter('3.5.clean'!C:C,'3.5.clean'!A:A=C618),"""")"),"")</f>
        <v/>
      </c>
      <c r="S618" s="25"/>
      <c r="V618" s="52" t="s">
        <v>64</v>
      </c>
      <c r="X618" s="23" t="str">
        <f>IFERROR(__xludf.DUMMYFUNCTION("if(COUNTA(FILTER(C:C, C:C = C618))=1,""no"",""yes"")"),"no")</f>
        <v>no</v>
      </c>
    </row>
    <row r="619">
      <c r="A619" s="1" t="s">
        <v>741</v>
      </c>
      <c r="B619" s="19">
        <v>9.0</v>
      </c>
      <c r="C619" s="19" t="s">
        <v>1409</v>
      </c>
      <c r="D619" s="58" t="str">
        <f t="shared" ref="D619:D620" si="444">if(or(I619=1,J619=1,S619=1),"pos","")</f>
        <v/>
      </c>
      <c r="E619" s="59">
        <f>IFERROR(__xludf.DUMMYFUNCTION("ifna(IFNA(filter('2.1.clean'!C:C,'2.1.clean'!A:A=C619),filter('2.2.clean'!E:E,'2.2.clean'!D:D=C619)),filter('2.4.clean'!C:C,'2.4.clean'!A:A=C619))"),43755.0)</f>
        <v>43755</v>
      </c>
      <c r="F619" s="60">
        <f>IFERROR(__xludf.DUMMYFUNCTION("iferror(ifna(IFNA(filter('2.1.clean'!E:E,'2.1.clean'!A:A=C619),filter('2.2.clean'!G:G,'2.2.clean'!D:D=C619)),filter('2.4.clean'!E:E,'2.4.clean'!A:A=C619)),)"),2.4)</f>
        <v>2.4</v>
      </c>
      <c r="G619" s="59">
        <f>IFERROR(__xludf.DUMMYFUNCTION("iferror(filter('3.1.clean'!C:C,'3.1.clean'!A:A=C619),"""")"),43755.0)</f>
        <v>43755</v>
      </c>
      <c r="H619" s="58" t="b">
        <f>if(G619="",FALSE,TRUE)</f>
        <v>1</v>
      </c>
      <c r="I619" s="58">
        <f>IFERROR(__xludf.DUMMYFUNCTION("iferror(filter('3.1.clean'!G:G,'3.1.clean'!A:A=C619),"""")"),0.0)</f>
        <v>0</v>
      </c>
      <c r="J619" s="60">
        <f>IFERROR(__xludf.DUMMYFUNCTION("iferror(filter('3.1.clean'!I:I,'3.1.clean'!A:A=C619),"""")"),0.0)</f>
        <v>0</v>
      </c>
      <c r="K619" s="58"/>
      <c r="L619" s="60"/>
      <c r="M619" s="59">
        <f>IFERROR(__xludf.DUMMYFUNCTION("iferror(filter('3.3.clean'!C:C,'3.3.clean'!A:A=C619),"""")"),43759.0)</f>
        <v>43759</v>
      </c>
      <c r="N619" s="60" t="b">
        <f t="shared" ref="N619:N621" si="445">if(M619="",FALSE,TRUE)</f>
        <v>1</v>
      </c>
      <c r="O619" s="59" t="str">
        <f>IFERROR(__xludf.DUMMYFUNCTION("iferror(filter('3.4.clean'!C:C,'3.4.clean'!A:A=C619),"""")"),"")</f>
        <v/>
      </c>
      <c r="P619" s="60" t="b">
        <f t="shared" si="439"/>
        <v>0</v>
      </c>
      <c r="Q619" s="59" t="str">
        <f>IFERROR(__xludf.DUMMYFUNCTION("iferror(filter('3.5.clean'!C:C,'3.5.clean'!A:A=C619),"""")"),"")</f>
        <v/>
      </c>
      <c r="R619" s="58"/>
      <c r="S619" s="4" t="str">
        <f>IFERROR(__xludf.DUMMYFUNCTION("iferror(filter('3.5.clean'!H:H,'3.5.clean'!A:A=C619),"""")"),"")</f>
        <v/>
      </c>
      <c r="V619" s="52" t="s">
        <v>64</v>
      </c>
      <c r="W619" s="23" t="b">
        <f>if(AND(H619=TRUE,N619=TRUE,P619=TRUE),TRUE,FALSE)</f>
        <v>0</v>
      </c>
      <c r="X619" s="23" t="str">
        <f>IFERROR(__xludf.DUMMYFUNCTION("if(COUNTA(FILTER(C:C, C:C = C619))=1,""no"",""yes"")"),"no")</f>
        <v>no</v>
      </c>
    </row>
    <row r="620">
      <c r="A620" s="1" t="s">
        <v>741</v>
      </c>
      <c r="B620" s="19">
        <v>10.0</v>
      </c>
      <c r="C620" s="19" t="s">
        <v>1410</v>
      </c>
      <c r="D620" s="58" t="str">
        <f t="shared" si="444"/>
        <v/>
      </c>
      <c r="E620" s="59">
        <f>Q620</f>
        <v>43755</v>
      </c>
      <c r="F620" s="60" t="str">
        <f>IFERROR(__xludf.DUMMYFUNCTION("iferror(ifna(IFNA(filter('2.1.clean'!E:E,'2.1.clean'!A:A=C620),filter('2.2.clean'!G:G,'2.2.clean'!D:D=C620)),filter('2.4.clean'!E:E,'2.4.clean'!A:A=C620)),)"),"")</f>
        <v/>
      </c>
      <c r="G620" s="59" t="str">
        <f>IFERROR(__xludf.DUMMYFUNCTION("iferror(filter('3.1.clean'!C:C,'3.1.clean'!A:A=C620),"""")"),"")</f>
        <v/>
      </c>
      <c r="H620" s="58"/>
      <c r="I620" s="58"/>
      <c r="J620" s="60"/>
      <c r="K620" s="59"/>
      <c r="L620" s="60"/>
      <c r="M620" s="59">
        <f>IFERROR(__xludf.DUMMYFUNCTION("iferror(filter('3.3.clean'!C:C,'3.3.clean'!A:A=C620),"""")"),43759.0)</f>
        <v>43759</v>
      </c>
      <c r="N620" s="60" t="b">
        <f t="shared" si="445"/>
        <v>1</v>
      </c>
      <c r="O620" s="59">
        <f>IFERROR(__xludf.DUMMYFUNCTION("iferror(filter('3.4.clean'!C:C,'3.4.clean'!A:A=C620),"""")"),43761.0)</f>
        <v>43761</v>
      </c>
      <c r="P620" s="60" t="b">
        <f t="shared" si="439"/>
        <v>1</v>
      </c>
      <c r="Q620" s="59">
        <f>IFERROR(__xludf.DUMMYFUNCTION("iferror(filter('3.5.clean'!C:C,'3.5.clean'!A:A=C620),"""")"),43755.0)</f>
        <v>43755</v>
      </c>
      <c r="R620" s="58" t="b">
        <f t="shared" ref="R620:R621" si="446">if(Q620="",FALSE,TRUE)</f>
        <v>1</v>
      </c>
      <c r="S620" s="4">
        <f>IFERROR(__xludf.DUMMYFUNCTION("iferror(filter('3.5.clean'!H:H,'3.5.clean'!A:A=C620),"""")"),0.0)</f>
        <v>0</v>
      </c>
      <c r="V620" s="52" t="s">
        <v>64</v>
      </c>
      <c r="W620" s="23" t="b">
        <f>if(AND(R620=TRUE,N620=TRUE,P620=TRUE),TRUE,FALSE)</f>
        <v>1</v>
      </c>
      <c r="X620" s="23" t="str">
        <f>IFERROR(__xludf.DUMMYFUNCTION("if(COUNTA(FILTER(C:C, C:C = C620))=1,""no"",""yes"")"),"no")</f>
        <v>no</v>
      </c>
    </row>
    <row r="621">
      <c r="A621" s="1" t="s">
        <v>741</v>
      </c>
      <c r="B621" s="41">
        <v>11.0</v>
      </c>
      <c r="C621" s="40" t="s">
        <v>1412</v>
      </c>
      <c r="E621" s="24">
        <f>IFERROR(__xludf.DUMMYFUNCTION("ifna(IFNA(filter('2.1.clean'!C:C,'2.1.clean'!A:A=C621),filter('2.2.clean'!E:E,'2.2.clean'!D:D=C621)),filter('2.4.clean'!C:C,'2.4.clean'!A:A=C621))"),43755.0)</f>
        <v>43755</v>
      </c>
      <c r="F621" s="25">
        <f>IFERROR(__xludf.DUMMYFUNCTION("iferror(ifna(IFNA(filter('2.1.clean'!E:E,'2.1.clean'!A:A=C621),filter('2.2.clean'!G:G,'2.2.clean'!D:D=C621)),filter('2.4.clean'!E:E,'2.4.clean'!A:A=C621)),)"),2.4)</f>
        <v>2.4</v>
      </c>
      <c r="G621" s="24">
        <f>IFERROR(__xludf.DUMMYFUNCTION("iferror(filter('3.1.clean'!C:C,'3.1.clean'!A:A=C621),"""")"),43755.0)</f>
        <v>43755</v>
      </c>
      <c r="H621" s="23" t="b">
        <f>if(G621="",FALSE,TRUE)</f>
        <v>1</v>
      </c>
      <c r="J621" s="25"/>
      <c r="K621" s="24">
        <f>IFERROR(__xludf.DUMMYFUNCTION("iferror(filter('3.2.clean'!C:C,'3.2.clean'!A:A=C621),"""")"),43755.0)</f>
        <v>43755</v>
      </c>
      <c r="L621" s="25" t="b">
        <f>if(K621="",FALSE,TRUE)</f>
        <v>1</v>
      </c>
      <c r="M621" s="24">
        <f>IFERROR(__xludf.DUMMYFUNCTION("iferror(filter('3.3.clean'!C:C,'3.3.clean'!A:A=C621),"""")"),43759.0)</f>
        <v>43759</v>
      </c>
      <c r="N621" s="25" t="b">
        <f t="shared" si="445"/>
        <v>1</v>
      </c>
      <c r="O621" s="24">
        <f>IFERROR(__xludf.DUMMYFUNCTION("iferror(filter('3.4.clean'!C:C,'3.4.clean'!A:A=C621),"""")"),43761.0)</f>
        <v>43761</v>
      </c>
      <c r="P621" s="25" t="b">
        <f t="shared" si="439"/>
        <v>1</v>
      </c>
      <c r="Q621" s="24">
        <f>IFERROR(__xludf.DUMMYFUNCTION("iferror(filter('3.5.clean'!C:C,'3.5.clean'!A:A=C621),"""")"),43755.0)</f>
        <v>43755</v>
      </c>
      <c r="R621" s="23" t="b">
        <f t="shared" si="446"/>
        <v>1</v>
      </c>
      <c r="S621" s="25"/>
      <c r="V621" s="52" t="s">
        <v>64</v>
      </c>
      <c r="X621" s="23" t="str">
        <f>IFERROR(__xludf.DUMMYFUNCTION("if(COUNTA(FILTER(C:C, C:C = C621))=1,""no"",""yes"")"),"no")</f>
        <v>no</v>
      </c>
    </row>
    <row r="622">
      <c r="A622" s="46" t="s">
        <v>741</v>
      </c>
      <c r="B622" s="88">
        <v>12.0</v>
      </c>
      <c r="C622" s="41" t="s">
        <v>1414</v>
      </c>
      <c r="D622" s="39"/>
      <c r="E622" s="43">
        <v>43755.0</v>
      </c>
      <c r="F622" s="44" t="str">
        <f>IFERROR(__xludf.DUMMYFUNCTION("iferror(ifna(IFNA(filter('2.1.clean'!E:E,'2.1.clean'!A:A=C622),filter('2.2.clean'!G:G,'2.2.clean'!D:D=C622)),filter('2.4.clean'!E:E,'2.4.clean'!A:A=C622)),)"),"")</f>
        <v/>
      </c>
      <c r="G622" s="43" t="str">
        <f>IFERROR(__xludf.DUMMYFUNCTION("iferror(filter('3.1.clean'!C:C,'3.1.clean'!A:A=C622),"""")"),"")</f>
        <v/>
      </c>
      <c r="H622" s="23"/>
      <c r="I622" s="39"/>
      <c r="J622" s="45"/>
      <c r="K622" s="43"/>
      <c r="L622" s="25"/>
      <c r="M622" s="43"/>
      <c r="N622" s="25"/>
      <c r="O622" s="43">
        <f>IFERROR(__xludf.DUMMYFUNCTION("iferror(filter('3.4.clean'!C:C,'3.4.clean'!A:A=C622),"""")"),43761.0)</f>
        <v>43761</v>
      </c>
      <c r="P622" s="25" t="b">
        <f t="shared" si="439"/>
        <v>1</v>
      </c>
      <c r="Q622" s="43" t="str">
        <f>IFERROR(__xludf.DUMMYFUNCTION("iferror(filter('3.5.clean'!C:C,'3.5.clean'!A:A=C622),"""")"),"")</f>
        <v/>
      </c>
      <c r="R622" s="23"/>
      <c r="S622" s="67"/>
      <c r="T622" s="39"/>
      <c r="U622" s="39"/>
      <c r="V622" s="39" t="s">
        <v>64</v>
      </c>
      <c r="W622" s="39"/>
      <c r="X622" s="39" t="str">
        <f>IFERROR(__xludf.DUMMYFUNCTION("if(COUNTA(FILTER(C:C, C:C = C622))=1,""no"",""yes"")"),"no")</f>
        <v>no</v>
      </c>
    </row>
    <row r="623">
      <c r="A623" s="1" t="s">
        <v>741</v>
      </c>
      <c r="B623" s="19">
        <v>13.0</v>
      </c>
      <c r="C623" s="19" t="s">
        <v>1415</v>
      </c>
      <c r="D623" s="58" t="str">
        <f t="shared" ref="D623:D626" si="447">if(or(I623=1,J623=1,S623=1),"pos","")</f>
        <v/>
      </c>
      <c r="E623" s="59">
        <f>IFERROR(__xludf.DUMMYFUNCTION("ifna(IFNA(filter('2.1.clean'!C:C,'2.1.clean'!A:A=C623),filter('2.2.clean'!E:E,'2.2.clean'!D:D=C623)),filter('2.4.clean'!C:C,'2.4.clean'!A:A=C623))"),43755.0)</f>
        <v>43755</v>
      </c>
      <c r="F623" s="60">
        <f>IFERROR(__xludf.DUMMYFUNCTION("iferror(ifna(IFNA(filter('2.1.clean'!E:E,'2.1.clean'!A:A=C623),filter('2.2.clean'!G:G,'2.2.clean'!D:D=C623)),filter('2.4.clean'!E:E,'2.4.clean'!A:A=C623)),)"),2.4)</f>
        <v>2.4</v>
      </c>
      <c r="G623" s="59">
        <f>IFERROR(__xludf.DUMMYFUNCTION("iferror(filter('3.1.clean'!C:C,'3.1.clean'!A:A=C623),"""")"),43755.0)</f>
        <v>43755</v>
      </c>
      <c r="H623" s="58" t="b">
        <f>if(G623="",FALSE,TRUE)</f>
        <v>1</v>
      </c>
      <c r="I623" s="58">
        <f>IFERROR(__xludf.DUMMYFUNCTION("iferror(filter('3.1.clean'!G:G,'3.1.clean'!A:A=C623),"""")"),0.0)</f>
        <v>0</v>
      </c>
      <c r="J623" s="60">
        <f>IFERROR(__xludf.DUMMYFUNCTION("iferror(filter('3.1.clean'!I:I,'3.1.clean'!A:A=C623),"""")"),0.0)</f>
        <v>0</v>
      </c>
      <c r="K623" s="58"/>
      <c r="L623" s="60"/>
      <c r="M623" s="59">
        <f>IFERROR(__xludf.DUMMYFUNCTION("iferror(filter('3.3.clean'!C:C,'3.3.clean'!A:A=C623),"""")"),43759.0)</f>
        <v>43759</v>
      </c>
      <c r="N623" s="60" t="b">
        <f t="shared" ref="N623:N625" si="448">if(M623="",FALSE,TRUE)</f>
        <v>1</v>
      </c>
      <c r="O623" s="59" t="str">
        <f>IFERROR(__xludf.DUMMYFUNCTION("iferror(filter('3.4.clean'!C:C,'3.4.clean'!A:A=C623),"""")"),"")</f>
        <v/>
      </c>
      <c r="P623" s="60" t="b">
        <f t="shared" si="439"/>
        <v>0</v>
      </c>
      <c r="Q623" s="59" t="str">
        <f>IFERROR(__xludf.DUMMYFUNCTION("iferror(filter('3.5.clean'!C:C,'3.5.clean'!A:A=C623),"""")"),"")</f>
        <v/>
      </c>
      <c r="R623" s="58"/>
      <c r="S623" s="4" t="str">
        <f>IFERROR(__xludf.DUMMYFUNCTION("iferror(filter('3.5.clean'!H:H,'3.5.clean'!A:A=C623),"""")"),"")</f>
        <v/>
      </c>
      <c r="V623" s="52" t="s">
        <v>64</v>
      </c>
      <c r="W623" s="23" t="b">
        <f>if(AND(H623=TRUE,N623=TRUE,P623=TRUE),TRUE,FALSE)</f>
        <v>0</v>
      </c>
      <c r="X623" s="23" t="str">
        <f>IFERROR(__xludf.DUMMYFUNCTION("if(COUNTA(FILTER(C:C, C:C = C623))=1,""no"",""yes"")"),"no")</f>
        <v>no</v>
      </c>
    </row>
    <row r="624">
      <c r="A624" s="1" t="s">
        <v>741</v>
      </c>
      <c r="B624" s="19">
        <v>14.0</v>
      </c>
      <c r="C624" s="19" t="s">
        <v>1416</v>
      </c>
      <c r="D624" s="58" t="str">
        <f t="shared" si="447"/>
        <v/>
      </c>
      <c r="E624" s="59">
        <f t="shared" ref="E624:E625" si="449">Q624</f>
        <v>43755</v>
      </c>
      <c r="F624" s="60" t="str">
        <f>IFERROR(__xludf.DUMMYFUNCTION("iferror(ifna(IFNA(filter('2.1.clean'!E:E,'2.1.clean'!A:A=C624),filter('2.2.clean'!G:G,'2.2.clean'!D:D=C624)),filter('2.4.clean'!E:E,'2.4.clean'!A:A=C624)),)"),"")</f>
        <v/>
      </c>
      <c r="G624" s="59" t="str">
        <f>IFERROR(__xludf.DUMMYFUNCTION("iferror(filter('3.1.clean'!C:C,'3.1.clean'!A:A=C624),"""")"),"")</f>
        <v/>
      </c>
      <c r="H624" s="58"/>
      <c r="I624" s="58"/>
      <c r="J624" s="60"/>
      <c r="K624" s="59"/>
      <c r="L624" s="60"/>
      <c r="M624" s="59">
        <f>IFERROR(__xludf.DUMMYFUNCTION("iferror(filter('3.3.clean'!C:C,'3.3.clean'!A:A=C624),"""")"),43759.0)</f>
        <v>43759</v>
      </c>
      <c r="N624" s="60" t="b">
        <f t="shared" si="448"/>
        <v>1</v>
      </c>
      <c r="O624" s="59">
        <f>IFERROR(__xludf.DUMMYFUNCTION("iferror(filter('3.4.clean'!C:C,'3.4.clean'!A:A=C624),"""")"),43761.0)</f>
        <v>43761</v>
      </c>
      <c r="P624" s="60" t="b">
        <f t="shared" si="439"/>
        <v>1</v>
      </c>
      <c r="Q624" s="59">
        <f>IFERROR(__xludf.DUMMYFUNCTION("iferror(filter('3.5.clean'!C:C,'3.5.clean'!A:A=C624),"""")"),43755.0)</f>
        <v>43755</v>
      </c>
      <c r="R624" s="58" t="b">
        <f t="shared" ref="R624:R625" si="450">if(Q624="",FALSE,TRUE)</f>
        <v>1</v>
      </c>
      <c r="S624" s="4">
        <f>IFERROR(__xludf.DUMMYFUNCTION("iferror(filter('3.5.clean'!H:H,'3.5.clean'!A:A=C624),"""")"),0.0)</f>
        <v>0</v>
      </c>
      <c r="V624" s="52" t="s">
        <v>64</v>
      </c>
      <c r="W624" s="23" t="b">
        <f>if(AND(R624=TRUE,N624=TRUE,P624=TRUE),TRUE,FALSE)</f>
        <v>1</v>
      </c>
      <c r="X624" s="23" t="str">
        <f>IFERROR(__xludf.DUMMYFUNCTION("if(COUNTA(FILTER(C:C, C:C = C624))=1,""no"",""yes"")"),"no")</f>
        <v>no</v>
      </c>
    </row>
    <row r="625">
      <c r="A625" s="1" t="s">
        <v>741</v>
      </c>
      <c r="B625" s="19">
        <v>15.0</v>
      </c>
      <c r="C625" s="19" t="s">
        <v>1418</v>
      </c>
      <c r="D625" s="22" t="str">
        <f t="shared" si="447"/>
        <v/>
      </c>
      <c r="E625" s="20">
        <f t="shared" si="449"/>
        <v>43755</v>
      </c>
      <c r="F625" s="79" t="str">
        <f>IFERROR(__xludf.DUMMYFUNCTION("iferror(ifna(IFNA(filter('2.1.clean'!E:E,'2.1.clean'!A:A=C625),filter('2.2.clean'!G:G,'2.2.clean'!D:D=C625)),filter('2.4.clean'!E:E,'2.4.clean'!A:A=C625)),)"),"")</f>
        <v/>
      </c>
      <c r="G625" s="20" t="str">
        <f>IFERROR(__xludf.DUMMYFUNCTION("iferror(filter('3.1.clean'!C:C,'3.1.clean'!A:A=C625),"""")"),"")</f>
        <v/>
      </c>
      <c r="H625" s="22"/>
      <c r="I625" s="22"/>
      <c r="J625" s="79"/>
      <c r="K625" s="20" t="str">
        <f>IFERROR(__xludf.DUMMYFUNCTION("iferror(filter('3.2.clean'!C:C,'3.2.clean'!A:A=C625),"""")"),"")</f>
        <v/>
      </c>
      <c r="L625" s="79"/>
      <c r="M625" s="20">
        <f>IFERROR(__xludf.DUMMYFUNCTION("iferror(filter('3.3.clean'!C:C,'3.3.clean'!A:A=C625),"""")"),43759.0)</f>
        <v>43759</v>
      </c>
      <c r="N625" s="79" t="b">
        <f t="shared" si="448"/>
        <v>1</v>
      </c>
      <c r="O625" s="20" t="str">
        <f>IFERROR(__xludf.DUMMYFUNCTION("iferror(filter('3.4.clean'!C:C,'3.4.clean'!A:A=C625),"""")"),"")</f>
        <v/>
      </c>
      <c r="P625" s="79" t="b">
        <f t="shared" si="439"/>
        <v>0</v>
      </c>
      <c r="Q625" s="20">
        <f>IFERROR(__xludf.DUMMYFUNCTION("iferror(filter('3.5.clean'!C:C,'3.5.clean'!A:A=C625),"""")"),43755.0)</f>
        <v>43755</v>
      </c>
      <c r="R625" s="22" t="b">
        <f t="shared" si="450"/>
        <v>1</v>
      </c>
      <c r="S625" s="4">
        <f>IFERROR(__xludf.DUMMYFUNCTION("iferror(filter('3.5.clean'!H:H,'3.5.clean'!A:A=C625),"""")"),0.0)</f>
        <v>0</v>
      </c>
      <c r="V625" s="52" t="s">
        <v>64</v>
      </c>
      <c r="W625" s="23" t="b">
        <f>IF(and(R625=TRUE,N625=TRUE,P625=TRUE),TRUE,FALSE)</f>
        <v>0</v>
      </c>
      <c r="X625" s="23" t="str">
        <f>IFERROR(__xludf.DUMMYFUNCTION("if(COUNTA(FILTER(C:C, C:C = C625))=1,""no"",""yes"")"),"no")</f>
        <v>no</v>
      </c>
    </row>
    <row r="626">
      <c r="A626" s="1" t="s">
        <v>741</v>
      </c>
      <c r="B626" s="19">
        <v>16.0</v>
      </c>
      <c r="C626" s="19" t="s">
        <v>1419</v>
      </c>
      <c r="D626" s="76" t="str">
        <f t="shared" si="447"/>
        <v/>
      </c>
      <c r="E626" s="77">
        <f>G626</f>
        <v>43755</v>
      </c>
      <c r="F626" s="78" t="str">
        <f>IFERROR(__xludf.DUMMYFUNCTION("iferror(ifna(IFNA(filter('2.1.clean'!E:E,'2.1.clean'!A:A=C626),filter('2.2.clean'!G:G,'2.2.clean'!D:D=C626)),filter('2.4.clean'!E:E,'2.4.clean'!A:A=C626)),)"),"")</f>
        <v/>
      </c>
      <c r="G626" s="77">
        <f>IFERROR(__xludf.DUMMYFUNCTION("iferror(filter('3.1.clean'!C:C,'3.1.clean'!A:A=C626),"""")"),43755.0)</f>
        <v>43755</v>
      </c>
      <c r="H626" s="76" t="b">
        <f>if(G626="",FALSE,TRUE)</f>
        <v>1</v>
      </c>
      <c r="I626" s="76">
        <f>IFERROR(__xludf.DUMMYFUNCTION("iferror(filter('3.1.clean'!G:G,'3.1.clean'!A:A=C626),"""")"),0.0)</f>
        <v>0</v>
      </c>
      <c r="J626" s="78">
        <f>IFERROR(__xludf.DUMMYFUNCTION("iferror(filter('3.1.clean'!I:I,'3.1.clean'!A:A=C626),"""")"),0.0)</f>
        <v>0</v>
      </c>
      <c r="K626" s="77"/>
      <c r="L626" s="78"/>
      <c r="M626" s="77"/>
      <c r="N626" s="78"/>
      <c r="O626" s="77"/>
      <c r="P626" s="78"/>
      <c r="Q626" s="77"/>
      <c r="R626" s="76"/>
      <c r="S626" s="25"/>
      <c r="V626" s="1" t="s">
        <v>64</v>
      </c>
      <c r="W626" s="1" t="b">
        <v>1</v>
      </c>
      <c r="X626" s="23" t="str">
        <f>IFERROR(__xludf.DUMMYFUNCTION("if(COUNTA(FILTER(C:C, C:C = C626))=1,""no"",""yes"")"),"no")</f>
        <v>no</v>
      </c>
    </row>
    <row r="627">
      <c r="A627" s="1" t="s">
        <v>741</v>
      </c>
      <c r="B627" s="2">
        <v>17.0</v>
      </c>
      <c r="C627" s="19" t="s">
        <v>1421</v>
      </c>
      <c r="E627" s="24">
        <v>43755.0</v>
      </c>
      <c r="F627" s="25" t="str">
        <f>IFERROR(__xludf.DUMMYFUNCTION("iferror(ifna(IFNA(filter('2.1.clean'!E:E,'2.1.clean'!A:A=C627),filter('2.2.clean'!G:G,'2.2.clean'!D:D=C627)),filter('2.4.clean'!E:E,'2.4.clean'!A:A=C627)),)"),"")</f>
        <v/>
      </c>
      <c r="G627" s="24" t="str">
        <f>IFERROR(__xludf.DUMMYFUNCTION("iferror(filter('3.1.clean'!C:C,'3.1.clean'!A:A=C627),"""")"),"")</f>
        <v/>
      </c>
      <c r="J627" s="25"/>
      <c r="K627" s="24" t="str">
        <f>IFERROR(__xludf.DUMMYFUNCTION("iferror(filter('3.2.clean'!C:C,'3.2.clean'!A:A=C627),"""")"),"")</f>
        <v/>
      </c>
      <c r="L627" s="25"/>
      <c r="M627" s="24">
        <f>IFERROR(__xludf.DUMMYFUNCTION("iferror(filter('3.3.clean'!C:C,'3.3.clean'!A:A=C627),"""")"),43759.0)</f>
        <v>43759</v>
      </c>
      <c r="N627" s="25" t="b">
        <f t="shared" ref="N627:N643" si="451">if(M627="",FALSE,TRUE)</f>
        <v>1</v>
      </c>
      <c r="O627" s="24" t="str">
        <f>IFERROR(__xludf.DUMMYFUNCTION("iferror(filter('3.4.clean'!C:C,'3.4.clean'!A:A=C627),"""")"),"")</f>
        <v/>
      </c>
      <c r="P627" s="25" t="b">
        <f t="shared" ref="P627:P643" si="452">if(O627="",FALSE,TRUE)</f>
        <v>0</v>
      </c>
      <c r="Q627" s="24" t="str">
        <f>IFERROR(__xludf.DUMMYFUNCTION("iferror(filter('3.5.clean'!C:C,'3.5.clean'!A:A=C627),"""")"),"")</f>
        <v/>
      </c>
      <c r="S627" s="25"/>
      <c r="V627" s="52" t="s">
        <v>64</v>
      </c>
      <c r="X627" s="23" t="str">
        <f>IFERROR(__xludf.DUMMYFUNCTION("if(COUNTA(FILTER(C:C, C:C = C627))=1,""no"",""yes"")"),"no")</f>
        <v>no</v>
      </c>
    </row>
    <row r="628">
      <c r="A628" s="75" t="s">
        <v>773</v>
      </c>
      <c r="B628" s="2">
        <v>1.0</v>
      </c>
      <c r="C628" s="19" t="s">
        <v>1422</v>
      </c>
      <c r="E628" s="24">
        <f>IFERROR(__xludf.DUMMYFUNCTION("ifna(IFNA(filter('2.1.clean'!C:C,'2.1.clean'!A:A=C628),filter('2.2.clean'!E:E,'2.2.clean'!D:D=C628)),filter('2.4.clean'!C:C,'2.4.clean'!A:A=C628))"),43759.0)</f>
        <v>43759</v>
      </c>
      <c r="F628" s="25">
        <f>IFERROR(__xludf.DUMMYFUNCTION("iferror(ifna(IFNA(filter('2.1.clean'!E:E,'2.1.clean'!A:A=C628),filter('2.2.clean'!G:G,'2.2.clean'!D:D=C628)),filter('2.4.clean'!E:E,'2.4.clean'!A:A=C628)),)"),2.4)</f>
        <v>2.4</v>
      </c>
      <c r="G628" s="24">
        <f>IFERROR(__xludf.DUMMYFUNCTION("iferror(filter('3.1.clean'!C:C,'3.1.clean'!A:A=C628),"""")"),43759.0)</f>
        <v>43759</v>
      </c>
      <c r="H628" s="23" t="b">
        <f t="shared" ref="H628:H629" si="453">if(G628="",FALSE,TRUE)</f>
        <v>1</v>
      </c>
      <c r="J628" s="25"/>
      <c r="K628" s="24">
        <f>IFERROR(__xludf.DUMMYFUNCTION("iferror(filter('3.2.clean'!C:C,'3.2.clean'!A:A=C628),"""")"),43760.0)</f>
        <v>43760</v>
      </c>
      <c r="L628" s="25" t="b">
        <f>if(K628="",FALSE,TRUE)</f>
        <v>1</v>
      </c>
      <c r="M628" s="24">
        <f>IFERROR(__xludf.DUMMYFUNCTION("iferror(filter('3.3.clean'!C:C,'3.3.clean'!A:A=C628),"""")"),43761.0)</f>
        <v>43761</v>
      </c>
      <c r="N628" s="25" t="b">
        <f t="shared" si="451"/>
        <v>1</v>
      </c>
      <c r="O628" s="24">
        <f>IFERROR(__xludf.DUMMYFUNCTION("iferror(filter('3.4.clean'!C:C,'3.4.clean'!A:A=C628),"""")"),43768.0)</f>
        <v>43768</v>
      </c>
      <c r="P628" s="25" t="b">
        <f t="shared" si="452"/>
        <v>1</v>
      </c>
      <c r="Q628" s="24">
        <f>IFERROR(__xludf.DUMMYFUNCTION("iferror(filter('3.5.clean'!C:C,'3.5.clean'!A:A=C628),"""")"),43759.0)</f>
        <v>43759</v>
      </c>
      <c r="R628" s="23" t="b">
        <f>if(Q628="",FALSE,TRUE)</f>
        <v>1</v>
      </c>
      <c r="S628" s="25"/>
      <c r="V628" s="52" t="s">
        <v>64</v>
      </c>
      <c r="X628" s="23" t="str">
        <f>IFERROR(__xludf.DUMMYFUNCTION("if(COUNTA(FILTER(C:C, C:C = C628))=1,""no"",""yes"")"),"no")</f>
        <v>no</v>
      </c>
    </row>
    <row r="629">
      <c r="A629" s="75" t="s">
        <v>773</v>
      </c>
      <c r="B629" s="19">
        <v>2.0</v>
      </c>
      <c r="C629" s="19" t="s">
        <v>1424</v>
      </c>
      <c r="D629" s="58" t="str">
        <f t="shared" ref="D629:D630" si="454">if(or(I629=1,J629=1,S629=1),"pos","")</f>
        <v/>
      </c>
      <c r="E629" s="59">
        <f>IFERROR(__xludf.DUMMYFUNCTION("ifna(IFNA(filter('2.1.clean'!C:C,'2.1.clean'!A:A=C629),filter('2.2.clean'!E:E,'2.2.clean'!D:D=C629)),filter('2.4.clean'!C:C,'2.4.clean'!A:A=C629))"),43759.0)</f>
        <v>43759</v>
      </c>
      <c r="F629" s="60">
        <f>IFERROR(__xludf.DUMMYFUNCTION("iferror(ifna(IFNA(filter('2.1.clean'!E:E,'2.1.clean'!A:A=C629),filter('2.2.clean'!G:G,'2.2.clean'!D:D=C629)),filter('2.4.clean'!E:E,'2.4.clean'!A:A=C629)),)"),2.4)</f>
        <v>2.4</v>
      </c>
      <c r="G629" s="59">
        <f>IFERROR(__xludf.DUMMYFUNCTION("iferror(filter('3.1.clean'!C:C,'3.1.clean'!A:A=C629),"""")"),43759.0)</f>
        <v>43759</v>
      </c>
      <c r="H629" s="58" t="b">
        <f t="shared" si="453"/>
        <v>1</v>
      </c>
      <c r="I629" s="58">
        <f>IFERROR(__xludf.DUMMYFUNCTION("iferror(filter('3.1.clean'!G:G,'3.1.clean'!A:A=C629),"""")"),0.0)</f>
        <v>0</v>
      </c>
      <c r="J629" s="60">
        <f>IFERROR(__xludf.DUMMYFUNCTION("iferror(filter('3.1.clean'!I:I,'3.1.clean'!A:A=C629),"""")"),0.0)</f>
        <v>0</v>
      </c>
      <c r="K629" s="58"/>
      <c r="L629" s="60"/>
      <c r="M629" s="59">
        <f>IFERROR(__xludf.DUMMYFUNCTION("iferror(filter('3.3.clean'!C:C,'3.3.clean'!A:A=C629),"""")"),43761.0)</f>
        <v>43761</v>
      </c>
      <c r="N629" s="60" t="b">
        <f t="shared" si="451"/>
        <v>1</v>
      </c>
      <c r="O629" s="59">
        <f>IFERROR(__xludf.DUMMYFUNCTION("iferror(filter('3.4.clean'!C:C,'3.4.clean'!A:A=C629),"""")"),43768.0)</f>
        <v>43768</v>
      </c>
      <c r="P629" s="60" t="b">
        <f t="shared" si="452"/>
        <v>1</v>
      </c>
      <c r="Q629" s="59" t="str">
        <f>IFERROR(__xludf.DUMMYFUNCTION("iferror(filter('3.5.clean'!C:C,'3.5.clean'!A:A=C629),"""")"),"")</f>
        <v/>
      </c>
      <c r="R629" s="58"/>
      <c r="S629" s="4" t="str">
        <f>IFERROR(__xludf.DUMMYFUNCTION("iferror(filter('3.5.clean'!H:H,'3.5.clean'!A:A=C629),"""")"),"")</f>
        <v/>
      </c>
      <c r="V629" s="52" t="s">
        <v>64</v>
      </c>
      <c r="W629" s="23" t="b">
        <f>if(AND(H629=TRUE,N629=TRUE,P629=TRUE),TRUE,FALSE)</f>
        <v>1</v>
      </c>
      <c r="X629" s="23" t="str">
        <f>IFERROR(__xludf.DUMMYFUNCTION("if(COUNTA(FILTER(C:C, C:C = C629))=1,""no"",""yes"")"),"no")</f>
        <v>no</v>
      </c>
    </row>
    <row r="630">
      <c r="A630" s="75" t="s">
        <v>773</v>
      </c>
      <c r="B630" s="19">
        <v>3.0</v>
      </c>
      <c r="C630" s="19" t="s">
        <v>1425</v>
      </c>
      <c r="D630" s="58" t="str">
        <f t="shared" si="454"/>
        <v/>
      </c>
      <c r="E630" s="59">
        <f>Q630</f>
        <v>43759</v>
      </c>
      <c r="F630" s="60" t="str">
        <f>IFERROR(__xludf.DUMMYFUNCTION("iferror(ifna(IFNA(filter('2.1.clean'!E:E,'2.1.clean'!A:A=C630),filter('2.2.clean'!G:G,'2.2.clean'!D:D=C630)),filter('2.4.clean'!E:E,'2.4.clean'!A:A=C630)),)"),"")</f>
        <v/>
      </c>
      <c r="G630" s="59" t="str">
        <f>IFERROR(__xludf.DUMMYFUNCTION("iferror(filter('3.1.clean'!C:C,'3.1.clean'!A:A=C630),"""")"),"")</f>
        <v/>
      </c>
      <c r="H630" s="58"/>
      <c r="I630" s="58"/>
      <c r="J630" s="60"/>
      <c r="K630" s="59"/>
      <c r="L630" s="60"/>
      <c r="M630" s="59">
        <f>IFERROR(__xludf.DUMMYFUNCTION("iferror(filter('3.3.clean'!C:C,'3.3.clean'!A:A=C630),"""")"),43761.0)</f>
        <v>43761</v>
      </c>
      <c r="N630" s="60" t="b">
        <f t="shared" si="451"/>
        <v>1</v>
      </c>
      <c r="O630" s="59" t="str">
        <f>IFERROR(__xludf.DUMMYFUNCTION("iferror(filter('3.4.clean'!C:C,'3.4.clean'!A:A=C630),"""")"),"")</f>
        <v/>
      </c>
      <c r="P630" s="60" t="b">
        <f t="shared" si="452"/>
        <v>0</v>
      </c>
      <c r="Q630" s="59">
        <f>IFERROR(__xludf.DUMMYFUNCTION("iferror(filter('3.5.clean'!C:C,'3.5.clean'!A:A=C630),"""")"),43759.0)</f>
        <v>43759</v>
      </c>
      <c r="R630" s="58" t="b">
        <f t="shared" ref="R630:R631" si="455">if(Q630="",FALSE,TRUE)</f>
        <v>1</v>
      </c>
      <c r="S630" s="4">
        <f>IFERROR(__xludf.DUMMYFUNCTION("iferror(filter('3.5.clean'!H:H,'3.5.clean'!A:A=C630),"""")"),0.0)</f>
        <v>0</v>
      </c>
      <c r="V630" s="52" t="s">
        <v>64</v>
      </c>
      <c r="W630" s="23" t="b">
        <f>if(AND(R630=TRUE,N630=TRUE,P630=TRUE),TRUE,FALSE)</f>
        <v>0</v>
      </c>
      <c r="X630" s="23" t="str">
        <f>IFERROR(__xludf.DUMMYFUNCTION("if(COUNTA(FILTER(C:C, C:C = C630))=1,""no"",""yes"")"),"no")</f>
        <v>no</v>
      </c>
    </row>
    <row r="631">
      <c r="A631" s="75" t="s">
        <v>773</v>
      </c>
      <c r="B631" s="2">
        <v>4.0</v>
      </c>
      <c r="C631" s="19" t="s">
        <v>1426</v>
      </c>
      <c r="E631" s="24">
        <f>IFERROR(__xludf.DUMMYFUNCTION("ifna(IFNA(filter('2.1.clean'!C:C,'2.1.clean'!A:A=C631),filter('2.2.clean'!E:E,'2.2.clean'!D:D=C631)),filter('2.4.clean'!C:C,'2.4.clean'!A:A=C631))"),43759.0)</f>
        <v>43759</v>
      </c>
      <c r="F631" s="25">
        <f>IFERROR(__xludf.DUMMYFUNCTION("iferror(ifna(IFNA(filter('2.1.clean'!E:E,'2.1.clean'!A:A=C631),filter('2.2.clean'!G:G,'2.2.clean'!D:D=C631)),filter('2.4.clean'!E:E,'2.4.clean'!A:A=C631)),)"),2.4)</f>
        <v>2.4</v>
      </c>
      <c r="G631" s="24">
        <f>IFERROR(__xludf.DUMMYFUNCTION("iferror(filter('3.1.clean'!C:C,'3.1.clean'!A:A=C631),"""")"),43759.0)</f>
        <v>43759</v>
      </c>
      <c r="H631" s="23" t="b">
        <f t="shared" ref="H631:H632" si="456">if(G631="",FALSE,TRUE)</f>
        <v>1</v>
      </c>
      <c r="J631" s="25"/>
      <c r="K631" s="24">
        <f>IFERROR(__xludf.DUMMYFUNCTION("iferror(filter('3.2.clean'!C:C,'3.2.clean'!A:A=C631),"""")"),43760.0)</f>
        <v>43760</v>
      </c>
      <c r="L631" s="25" t="b">
        <f>if(K631="",FALSE,TRUE)</f>
        <v>1</v>
      </c>
      <c r="M631" s="24">
        <f>IFERROR(__xludf.DUMMYFUNCTION("iferror(filter('3.3.clean'!C:C,'3.3.clean'!A:A=C631),"""")"),43761.0)</f>
        <v>43761</v>
      </c>
      <c r="N631" s="25" t="b">
        <f t="shared" si="451"/>
        <v>1</v>
      </c>
      <c r="O631" s="24">
        <f>IFERROR(__xludf.DUMMYFUNCTION("iferror(filter('3.4.clean'!C:C,'3.4.clean'!A:A=C631),"""")"),43768.0)</f>
        <v>43768</v>
      </c>
      <c r="P631" s="25" t="b">
        <f t="shared" si="452"/>
        <v>1</v>
      </c>
      <c r="Q631" s="24">
        <f>IFERROR(__xludf.DUMMYFUNCTION("iferror(filter('3.5.clean'!C:C,'3.5.clean'!A:A=C631),"""")"),43759.0)</f>
        <v>43759</v>
      </c>
      <c r="R631" s="23" t="b">
        <f t="shared" si="455"/>
        <v>1</v>
      </c>
      <c r="S631" s="25"/>
      <c r="V631" s="52" t="s">
        <v>64</v>
      </c>
      <c r="X631" s="23" t="str">
        <f>IFERROR(__xludf.DUMMYFUNCTION("if(COUNTA(FILTER(C:C, C:C = C631))=1,""no"",""yes"")"),"no")</f>
        <v>no</v>
      </c>
    </row>
    <row r="632">
      <c r="A632" s="75" t="s">
        <v>773</v>
      </c>
      <c r="B632" s="19">
        <v>5.0</v>
      </c>
      <c r="C632" s="19" t="s">
        <v>1428</v>
      </c>
      <c r="D632" s="58" t="str">
        <f t="shared" ref="D632:D633" si="457">if(or(I632=1,J632=1,S632=1),"pos","")</f>
        <v/>
      </c>
      <c r="E632" s="59">
        <f>IFERROR(__xludf.DUMMYFUNCTION("ifna(IFNA(filter('2.1.clean'!C:C,'2.1.clean'!A:A=C632),filter('2.2.clean'!E:E,'2.2.clean'!D:D=C632)),filter('2.4.clean'!C:C,'2.4.clean'!A:A=C632))"),43759.0)</f>
        <v>43759</v>
      </c>
      <c r="F632" s="60">
        <f>IFERROR(__xludf.DUMMYFUNCTION("iferror(ifna(IFNA(filter('2.1.clean'!E:E,'2.1.clean'!A:A=C632),filter('2.2.clean'!G:G,'2.2.clean'!D:D=C632)),filter('2.4.clean'!E:E,'2.4.clean'!A:A=C632)),)"),2.4)</f>
        <v>2.4</v>
      </c>
      <c r="G632" s="59">
        <f>IFERROR(__xludf.DUMMYFUNCTION("iferror(filter('3.1.clean'!C:C,'3.1.clean'!A:A=C632),"""")"),43759.0)</f>
        <v>43759</v>
      </c>
      <c r="H632" s="58" t="b">
        <f t="shared" si="456"/>
        <v>1</v>
      </c>
      <c r="I632" s="58">
        <f>IFERROR(__xludf.DUMMYFUNCTION("iferror(filter('3.1.clean'!G:G,'3.1.clean'!A:A=C632),"""")"),0.0)</f>
        <v>0</v>
      </c>
      <c r="J632" s="60">
        <f>IFERROR(__xludf.DUMMYFUNCTION("iferror(filter('3.1.clean'!I:I,'3.1.clean'!A:A=C632),"""")"),0.0)</f>
        <v>0</v>
      </c>
      <c r="K632" s="58"/>
      <c r="L632" s="60"/>
      <c r="M632" s="59">
        <f>IFERROR(__xludf.DUMMYFUNCTION("iferror(filter('3.3.clean'!C:C,'3.3.clean'!A:A=C632),"""")"),43761.0)</f>
        <v>43761</v>
      </c>
      <c r="N632" s="60" t="b">
        <f t="shared" si="451"/>
        <v>1</v>
      </c>
      <c r="O632" s="59" t="str">
        <f>IFERROR(__xludf.DUMMYFUNCTION("iferror(filter('3.4.clean'!C:C,'3.4.clean'!A:A=C632),"""")"),"")</f>
        <v/>
      </c>
      <c r="P632" s="60" t="b">
        <f t="shared" si="452"/>
        <v>0</v>
      </c>
      <c r="Q632" s="59" t="str">
        <f>IFERROR(__xludf.DUMMYFUNCTION("iferror(filter('3.5.clean'!C:C,'3.5.clean'!A:A=C632),"""")"),"")</f>
        <v/>
      </c>
      <c r="R632" s="58"/>
      <c r="S632" s="4" t="str">
        <f>IFERROR(__xludf.DUMMYFUNCTION("iferror(filter('3.5.clean'!H:H,'3.5.clean'!A:A=C632),"""")"),"")</f>
        <v/>
      </c>
      <c r="V632" s="52" t="s">
        <v>64</v>
      </c>
      <c r="W632" s="23" t="b">
        <f>if(AND(H632=TRUE,N632=TRUE,P632=TRUE),TRUE,FALSE)</f>
        <v>0</v>
      </c>
      <c r="X632" s="23" t="str">
        <f>IFERROR(__xludf.DUMMYFUNCTION("if(COUNTA(FILTER(C:C, C:C = C632))=1,""no"",""yes"")"),"no")</f>
        <v>no</v>
      </c>
    </row>
    <row r="633">
      <c r="A633" s="75" t="s">
        <v>773</v>
      </c>
      <c r="B633" s="19">
        <v>6.0</v>
      </c>
      <c r="C633" s="19" t="s">
        <v>1429</v>
      </c>
      <c r="D633" s="58" t="str">
        <f t="shared" si="457"/>
        <v/>
      </c>
      <c r="E633" s="59">
        <f>Q633</f>
        <v>43759</v>
      </c>
      <c r="F633" s="60" t="str">
        <f>IFERROR(__xludf.DUMMYFUNCTION("iferror(ifna(IFNA(filter('2.1.clean'!E:E,'2.1.clean'!A:A=C633),filter('2.2.clean'!G:G,'2.2.clean'!D:D=C633)),filter('2.4.clean'!E:E,'2.4.clean'!A:A=C633)),)"),"")</f>
        <v/>
      </c>
      <c r="G633" s="59" t="str">
        <f>IFERROR(__xludf.DUMMYFUNCTION("iferror(filter('3.1.clean'!C:C,'3.1.clean'!A:A=C633),"""")"),"")</f>
        <v/>
      </c>
      <c r="H633" s="58"/>
      <c r="I633" s="58"/>
      <c r="J633" s="60"/>
      <c r="K633" s="59"/>
      <c r="L633" s="60"/>
      <c r="M633" s="59">
        <f>IFERROR(__xludf.DUMMYFUNCTION("iferror(filter('3.3.clean'!C:C,'3.3.clean'!A:A=C633),"""")"),43761.0)</f>
        <v>43761</v>
      </c>
      <c r="N633" s="60" t="b">
        <f t="shared" si="451"/>
        <v>1</v>
      </c>
      <c r="O633" s="59">
        <f>IFERROR(__xludf.DUMMYFUNCTION("iferror(filter('3.4.clean'!C:C,'3.4.clean'!A:A=C633),"""")"),43768.0)</f>
        <v>43768</v>
      </c>
      <c r="P633" s="60" t="b">
        <f t="shared" si="452"/>
        <v>1</v>
      </c>
      <c r="Q633" s="59">
        <f>IFERROR(__xludf.DUMMYFUNCTION("iferror(filter('3.5.clean'!C:C,'3.5.clean'!A:A=C633),"""")"),43759.0)</f>
        <v>43759</v>
      </c>
      <c r="R633" s="58" t="b">
        <f t="shared" ref="R633:R634" si="458">if(Q633="",FALSE,TRUE)</f>
        <v>1</v>
      </c>
      <c r="S633" s="4">
        <f>IFERROR(__xludf.DUMMYFUNCTION("iferror(filter('3.5.clean'!H:H,'3.5.clean'!A:A=C633),"""")"),0.0)</f>
        <v>0</v>
      </c>
      <c r="V633" s="52" t="s">
        <v>64</v>
      </c>
      <c r="W633" s="23" t="b">
        <f>if(AND(R633=TRUE,N633=TRUE,P633=TRUE),TRUE,FALSE)</f>
        <v>1</v>
      </c>
      <c r="X633" s="23" t="str">
        <f>IFERROR(__xludf.DUMMYFUNCTION("if(COUNTA(FILTER(C:C, C:C = C633))=1,""no"",""yes"")"),"no")</f>
        <v>no</v>
      </c>
    </row>
    <row r="634">
      <c r="A634" s="75" t="s">
        <v>773</v>
      </c>
      <c r="B634" s="2">
        <v>7.0</v>
      </c>
      <c r="C634" s="19" t="s">
        <v>1430</v>
      </c>
      <c r="E634" s="24">
        <f>IFERROR(__xludf.DUMMYFUNCTION("ifna(IFNA(filter('2.1.clean'!C:C,'2.1.clean'!A:A=C634),filter('2.2.clean'!E:E,'2.2.clean'!D:D=C634)),filter('2.4.clean'!C:C,'2.4.clean'!A:A=C634))"),43759.0)</f>
        <v>43759</v>
      </c>
      <c r="F634" s="25">
        <f>IFERROR(__xludf.DUMMYFUNCTION("iferror(ifna(IFNA(filter('2.1.clean'!E:E,'2.1.clean'!A:A=C634),filter('2.2.clean'!G:G,'2.2.clean'!D:D=C634)),filter('2.4.clean'!E:E,'2.4.clean'!A:A=C634)),)"),2.4)</f>
        <v>2.4</v>
      </c>
      <c r="G634" s="24">
        <f>IFERROR(__xludf.DUMMYFUNCTION("iferror(filter('3.1.clean'!C:C,'3.1.clean'!A:A=C634),"""")"),43759.0)</f>
        <v>43759</v>
      </c>
      <c r="H634" s="23" t="b">
        <f t="shared" ref="H634:H635" si="459">if(G634="",FALSE,TRUE)</f>
        <v>1</v>
      </c>
      <c r="J634" s="25"/>
      <c r="K634" s="24">
        <f>IFERROR(__xludf.DUMMYFUNCTION("iferror(filter('3.2.clean'!C:C,'3.2.clean'!A:A=C634),"""")"),43760.0)</f>
        <v>43760</v>
      </c>
      <c r="L634" s="25" t="b">
        <f>if(K634="",FALSE,TRUE)</f>
        <v>1</v>
      </c>
      <c r="M634" s="24">
        <f>IFERROR(__xludf.DUMMYFUNCTION("iferror(filter('3.3.clean'!C:C,'3.3.clean'!A:A=C634),"""")"),43761.0)</f>
        <v>43761</v>
      </c>
      <c r="N634" s="25" t="b">
        <f t="shared" si="451"/>
        <v>1</v>
      </c>
      <c r="O634" s="24">
        <f>IFERROR(__xludf.DUMMYFUNCTION("iferror(filter('3.4.clean'!C:C,'3.4.clean'!A:A=C634),"""")"),43768.0)</f>
        <v>43768</v>
      </c>
      <c r="P634" s="25" t="b">
        <f t="shared" si="452"/>
        <v>1</v>
      </c>
      <c r="Q634" s="24">
        <f>IFERROR(__xludf.DUMMYFUNCTION("iferror(filter('3.5.clean'!C:C,'3.5.clean'!A:A=C634),"""")"),43759.0)</f>
        <v>43759</v>
      </c>
      <c r="R634" s="23" t="b">
        <f t="shared" si="458"/>
        <v>1</v>
      </c>
      <c r="S634" s="25"/>
      <c r="V634" s="52" t="s">
        <v>64</v>
      </c>
      <c r="X634" s="23" t="str">
        <f>IFERROR(__xludf.DUMMYFUNCTION("if(COUNTA(FILTER(C:C, C:C = C634))=1,""no"",""yes"")"),"no")</f>
        <v>no</v>
      </c>
    </row>
    <row r="635">
      <c r="A635" s="75" t="s">
        <v>773</v>
      </c>
      <c r="B635" s="19">
        <v>8.0</v>
      </c>
      <c r="C635" s="19" t="s">
        <v>1432</v>
      </c>
      <c r="D635" s="58" t="str">
        <f t="shared" ref="D635:D636" si="460">if(or(I635=1,J635=1,S635=1),"pos","")</f>
        <v/>
      </c>
      <c r="E635" s="59">
        <f>IFERROR(__xludf.DUMMYFUNCTION("ifna(IFNA(filter('2.1.clean'!C:C,'2.1.clean'!A:A=C635),filter('2.2.clean'!E:E,'2.2.clean'!D:D=C635)),filter('2.4.clean'!C:C,'2.4.clean'!A:A=C635))"),43759.0)</f>
        <v>43759</v>
      </c>
      <c r="F635" s="60">
        <f>IFERROR(__xludf.DUMMYFUNCTION("iferror(ifna(IFNA(filter('2.1.clean'!E:E,'2.1.clean'!A:A=C635),filter('2.2.clean'!G:G,'2.2.clean'!D:D=C635)),filter('2.4.clean'!E:E,'2.4.clean'!A:A=C635)),)"),2.4)</f>
        <v>2.4</v>
      </c>
      <c r="G635" s="59">
        <f>IFERROR(__xludf.DUMMYFUNCTION("iferror(filter('3.1.clean'!C:C,'3.1.clean'!A:A=C635),"""")"),43759.0)</f>
        <v>43759</v>
      </c>
      <c r="H635" s="58" t="b">
        <f t="shared" si="459"/>
        <v>1</v>
      </c>
      <c r="I635" s="58">
        <f>IFERROR(__xludf.DUMMYFUNCTION("iferror(filter('3.1.clean'!G:G,'3.1.clean'!A:A=C635),"""")"),0.0)</f>
        <v>0</v>
      </c>
      <c r="J635" s="60">
        <f>IFERROR(__xludf.DUMMYFUNCTION("iferror(filter('3.1.clean'!I:I,'3.1.clean'!A:A=C635),"""")"),0.0)</f>
        <v>0</v>
      </c>
      <c r="K635" s="58"/>
      <c r="L635" s="60"/>
      <c r="M635" s="59">
        <f>IFERROR(__xludf.DUMMYFUNCTION("iferror(filter('3.3.clean'!C:C,'3.3.clean'!A:A=C635),"""")"),43761.0)</f>
        <v>43761</v>
      </c>
      <c r="N635" s="60" t="b">
        <f t="shared" si="451"/>
        <v>1</v>
      </c>
      <c r="O635" s="59" t="str">
        <f>IFERROR(__xludf.DUMMYFUNCTION("iferror(filter('3.4.clean'!C:C,'3.4.clean'!A:A=C635),"""")"),"")</f>
        <v/>
      </c>
      <c r="P635" s="60" t="b">
        <f t="shared" si="452"/>
        <v>0</v>
      </c>
      <c r="Q635" s="59" t="str">
        <f>IFERROR(__xludf.DUMMYFUNCTION("iferror(filter('3.5.clean'!C:C,'3.5.clean'!A:A=C635),"""")"),"")</f>
        <v/>
      </c>
      <c r="R635" s="58"/>
      <c r="S635" s="4" t="str">
        <f>IFERROR(__xludf.DUMMYFUNCTION("iferror(filter('3.5.clean'!H:H,'3.5.clean'!A:A=C635),"""")"),"")</f>
        <v/>
      </c>
      <c r="V635" s="52" t="s">
        <v>64</v>
      </c>
      <c r="W635" s="23" t="b">
        <f>if(AND(H635=TRUE,N635=TRUE,P635=TRUE),TRUE,FALSE)</f>
        <v>0</v>
      </c>
      <c r="X635" s="23" t="str">
        <f>IFERROR(__xludf.DUMMYFUNCTION("if(COUNTA(FILTER(C:C, C:C = C635))=1,""no"",""yes"")"),"no")</f>
        <v>no</v>
      </c>
    </row>
    <row r="636">
      <c r="A636" s="75" t="s">
        <v>773</v>
      </c>
      <c r="B636" s="19">
        <v>9.0</v>
      </c>
      <c r="C636" s="19" t="s">
        <v>1433</v>
      </c>
      <c r="D636" s="58" t="str">
        <f t="shared" si="460"/>
        <v/>
      </c>
      <c r="E636" s="59">
        <f>Q636</f>
        <v>43759</v>
      </c>
      <c r="F636" s="60" t="str">
        <f>IFERROR(__xludf.DUMMYFUNCTION("iferror(ifna(IFNA(filter('2.1.clean'!E:E,'2.1.clean'!A:A=C636),filter('2.2.clean'!G:G,'2.2.clean'!D:D=C636)),filter('2.4.clean'!E:E,'2.4.clean'!A:A=C636)),)"),"")</f>
        <v/>
      </c>
      <c r="G636" s="59" t="str">
        <f>IFERROR(__xludf.DUMMYFUNCTION("iferror(filter('3.1.clean'!C:C,'3.1.clean'!A:A=C636),"""")"),"")</f>
        <v/>
      </c>
      <c r="H636" s="58"/>
      <c r="I636" s="58"/>
      <c r="J636" s="60"/>
      <c r="K636" s="59"/>
      <c r="L636" s="60"/>
      <c r="M636" s="59">
        <f>IFERROR(__xludf.DUMMYFUNCTION("iferror(filter('3.3.clean'!C:C,'3.3.clean'!A:A=C636),"""")"),43761.0)</f>
        <v>43761</v>
      </c>
      <c r="N636" s="60" t="b">
        <f t="shared" si="451"/>
        <v>1</v>
      </c>
      <c r="O636" s="59">
        <f>IFERROR(__xludf.DUMMYFUNCTION("iferror(filter('3.4.clean'!C:C,'3.4.clean'!A:A=C636),"""")"),43768.0)</f>
        <v>43768</v>
      </c>
      <c r="P636" s="60" t="b">
        <f t="shared" si="452"/>
        <v>1</v>
      </c>
      <c r="Q636" s="59">
        <f>IFERROR(__xludf.DUMMYFUNCTION("iferror(filter('3.5.clean'!C:C,'3.5.clean'!A:A=C636),"""")"),43759.0)</f>
        <v>43759</v>
      </c>
      <c r="R636" s="58" t="b">
        <f t="shared" ref="R636:R637" si="461">if(Q636="",FALSE,TRUE)</f>
        <v>1</v>
      </c>
      <c r="S636" s="4">
        <f>IFERROR(__xludf.DUMMYFUNCTION("iferror(filter('3.5.clean'!H:H,'3.5.clean'!A:A=C636),"""")"),0.0)</f>
        <v>0</v>
      </c>
      <c r="V636" s="52" t="s">
        <v>64</v>
      </c>
      <c r="W636" s="23" t="b">
        <f>if(AND(R636=TRUE,N636=TRUE,P636=TRUE),TRUE,FALSE)</f>
        <v>1</v>
      </c>
      <c r="X636" s="23" t="str">
        <f>IFERROR(__xludf.DUMMYFUNCTION("if(COUNTA(FILTER(C:C, C:C = C636))=1,""no"",""yes"")"),"no")</f>
        <v>no</v>
      </c>
    </row>
    <row r="637">
      <c r="A637" s="75" t="s">
        <v>773</v>
      </c>
      <c r="B637" s="2">
        <v>10.0</v>
      </c>
      <c r="C637" s="19" t="s">
        <v>1434</v>
      </c>
      <c r="E637" s="24">
        <f>IFERROR(__xludf.DUMMYFUNCTION("ifna(IFNA(filter('2.1.clean'!C:C,'2.1.clean'!A:A=C637),filter('2.2.clean'!E:E,'2.2.clean'!D:D=C637)),filter('2.4.clean'!C:C,'2.4.clean'!A:A=C637))"),43759.0)</f>
        <v>43759</v>
      </c>
      <c r="F637" s="25">
        <f>IFERROR(__xludf.DUMMYFUNCTION("iferror(ifna(IFNA(filter('2.1.clean'!E:E,'2.1.clean'!A:A=C637),filter('2.2.clean'!G:G,'2.2.clean'!D:D=C637)),filter('2.4.clean'!E:E,'2.4.clean'!A:A=C637)),)"),2.4)</f>
        <v>2.4</v>
      </c>
      <c r="G637" s="24">
        <f>IFERROR(__xludf.DUMMYFUNCTION("iferror(filter('3.1.clean'!C:C,'3.1.clean'!A:A=C637),"""")"),43759.0)</f>
        <v>43759</v>
      </c>
      <c r="H637" s="23" t="b">
        <f t="shared" ref="H637:H638" si="462">if(G637="",FALSE,TRUE)</f>
        <v>1</v>
      </c>
      <c r="J637" s="25"/>
      <c r="K637" s="24">
        <f>IFERROR(__xludf.DUMMYFUNCTION("iferror(filter('3.2.clean'!C:C,'3.2.clean'!A:A=C637),"""")"),43760.0)</f>
        <v>43760</v>
      </c>
      <c r="L637" s="25" t="b">
        <f>if(K637="",FALSE,TRUE)</f>
        <v>1</v>
      </c>
      <c r="M637" s="24">
        <f>IFERROR(__xludf.DUMMYFUNCTION("iferror(filter('3.3.clean'!C:C,'3.3.clean'!A:A=C637),"""")"),43761.0)</f>
        <v>43761</v>
      </c>
      <c r="N637" s="25" t="b">
        <f t="shared" si="451"/>
        <v>1</v>
      </c>
      <c r="O637" s="24">
        <f>IFERROR(__xludf.DUMMYFUNCTION("iferror(filter('3.4.clean'!C:C,'3.4.clean'!A:A=C637),"""")"),43768.0)</f>
        <v>43768</v>
      </c>
      <c r="P637" s="25" t="b">
        <f t="shared" si="452"/>
        <v>1</v>
      </c>
      <c r="Q637" s="24">
        <f>IFERROR(__xludf.DUMMYFUNCTION("iferror(filter('3.5.clean'!C:C,'3.5.clean'!A:A=C637),"""")"),43759.0)</f>
        <v>43759</v>
      </c>
      <c r="R637" s="23" t="b">
        <f t="shared" si="461"/>
        <v>1</v>
      </c>
      <c r="S637" s="25"/>
      <c r="V637" s="52" t="s">
        <v>64</v>
      </c>
      <c r="X637" s="23" t="str">
        <f>IFERROR(__xludf.DUMMYFUNCTION("if(COUNTA(FILTER(C:C, C:C = C637))=1,""no"",""yes"")"),"no")</f>
        <v>no</v>
      </c>
    </row>
    <row r="638">
      <c r="A638" s="75" t="s">
        <v>773</v>
      </c>
      <c r="B638" s="19">
        <v>11.0</v>
      </c>
      <c r="C638" s="19" t="s">
        <v>1435</v>
      </c>
      <c r="D638" s="58" t="str">
        <f t="shared" ref="D638:D639" si="463">if(or(I638=1,J638=1,S638=1),"pos","")</f>
        <v/>
      </c>
      <c r="E638" s="59">
        <f>IFERROR(__xludf.DUMMYFUNCTION("ifna(IFNA(filter('2.1.clean'!C:C,'2.1.clean'!A:A=C638),filter('2.2.clean'!E:E,'2.2.clean'!D:D=C638)),filter('2.4.clean'!C:C,'2.4.clean'!A:A=C638))"),43759.0)</f>
        <v>43759</v>
      </c>
      <c r="F638" s="60">
        <f>IFERROR(__xludf.DUMMYFUNCTION("iferror(ifna(IFNA(filter('2.1.clean'!E:E,'2.1.clean'!A:A=C638),filter('2.2.clean'!G:G,'2.2.clean'!D:D=C638)),filter('2.4.clean'!E:E,'2.4.clean'!A:A=C638)),)"),2.4)</f>
        <v>2.4</v>
      </c>
      <c r="G638" s="59">
        <f>IFERROR(__xludf.DUMMYFUNCTION("iferror(filter('3.1.clean'!C:C,'3.1.clean'!A:A=C638),"""")"),43759.0)</f>
        <v>43759</v>
      </c>
      <c r="H638" s="58" t="b">
        <f t="shared" si="462"/>
        <v>1</v>
      </c>
      <c r="I638" s="58">
        <f>IFERROR(__xludf.DUMMYFUNCTION("iferror(filter('3.1.clean'!G:G,'3.1.clean'!A:A=C638),"""")"),0.0)</f>
        <v>0</v>
      </c>
      <c r="J638" s="60">
        <f>IFERROR(__xludf.DUMMYFUNCTION("iferror(filter('3.1.clean'!I:I,'3.1.clean'!A:A=C638),"""")"),0.0)</f>
        <v>0</v>
      </c>
      <c r="K638" s="58"/>
      <c r="L638" s="60"/>
      <c r="M638" s="59">
        <f>IFERROR(__xludf.DUMMYFUNCTION("iferror(filter('3.3.clean'!C:C,'3.3.clean'!A:A=C638),"""")"),43761.0)</f>
        <v>43761</v>
      </c>
      <c r="N638" s="60" t="b">
        <f t="shared" si="451"/>
        <v>1</v>
      </c>
      <c r="O638" s="59" t="str">
        <f>IFERROR(__xludf.DUMMYFUNCTION("iferror(filter('3.4.clean'!C:C,'3.4.clean'!A:A=C638),"""")"),"")</f>
        <v/>
      </c>
      <c r="P638" s="60" t="b">
        <f t="shared" si="452"/>
        <v>0</v>
      </c>
      <c r="Q638" s="59" t="str">
        <f>IFERROR(__xludf.DUMMYFUNCTION("iferror(filter('3.5.clean'!C:C,'3.5.clean'!A:A=C638),"""")"),"")</f>
        <v/>
      </c>
      <c r="R638" s="58"/>
      <c r="S638" s="4" t="str">
        <f>IFERROR(__xludf.DUMMYFUNCTION("iferror(filter('3.5.clean'!H:H,'3.5.clean'!A:A=C638),"""")"),"")</f>
        <v/>
      </c>
      <c r="V638" s="52" t="s">
        <v>64</v>
      </c>
      <c r="W638" s="23" t="b">
        <f>if(AND(H638=TRUE,N638=TRUE,P638=TRUE),TRUE,FALSE)</f>
        <v>0</v>
      </c>
      <c r="X638" s="23" t="str">
        <f>IFERROR(__xludf.DUMMYFUNCTION("if(COUNTA(FILTER(C:C, C:C = C638))=1,""no"",""yes"")"),"no")</f>
        <v>no</v>
      </c>
    </row>
    <row r="639">
      <c r="A639" s="75" t="s">
        <v>773</v>
      </c>
      <c r="B639" s="19">
        <v>12.0</v>
      </c>
      <c r="C639" s="19" t="s">
        <v>1437</v>
      </c>
      <c r="D639" s="58" t="str">
        <f t="shared" si="463"/>
        <v/>
      </c>
      <c r="E639" s="59">
        <f>Q639</f>
        <v>43759</v>
      </c>
      <c r="F639" s="60" t="str">
        <f>IFERROR(__xludf.DUMMYFUNCTION("iferror(ifna(IFNA(filter('2.1.clean'!E:E,'2.1.clean'!A:A=C639),filter('2.2.clean'!G:G,'2.2.clean'!D:D=C639)),filter('2.4.clean'!E:E,'2.4.clean'!A:A=C639)),)"),"")</f>
        <v/>
      </c>
      <c r="G639" s="59" t="str">
        <f>IFERROR(__xludf.DUMMYFUNCTION("iferror(filter('3.1.clean'!C:C,'3.1.clean'!A:A=C639),"""")"),"")</f>
        <v/>
      </c>
      <c r="H639" s="58"/>
      <c r="I639" s="58"/>
      <c r="J639" s="60"/>
      <c r="K639" s="59"/>
      <c r="L639" s="60"/>
      <c r="M639" s="59">
        <f>IFERROR(__xludf.DUMMYFUNCTION("iferror(filter('3.3.clean'!C:C,'3.3.clean'!A:A=C639),"""")"),43761.0)</f>
        <v>43761</v>
      </c>
      <c r="N639" s="60" t="b">
        <f t="shared" si="451"/>
        <v>1</v>
      </c>
      <c r="O639" s="59">
        <f>IFERROR(__xludf.DUMMYFUNCTION("iferror(filter('3.4.clean'!C:C,'3.4.clean'!A:A=C639),"""")"),43768.0)</f>
        <v>43768</v>
      </c>
      <c r="P639" s="60" t="b">
        <f t="shared" si="452"/>
        <v>1</v>
      </c>
      <c r="Q639" s="59">
        <f>IFERROR(__xludf.DUMMYFUNCTION("iferror(filter('3.5.clean'!C:C,'3.5.clean'!A:A=C639),"""")"),43759.0)</f>
        <v>43759</v>
      </c>
      <c r="R639" s="58" t="b">
        <f t="shared" ref="R639:R640" si="464">if(Q639="",FALSE,TRUE)</f>
        <v>1</v>
      </c>
      <c r="S639" s="4">
        <f>IFERROR(__xludf.DUMMYFUNCTION("iferror(filter('3.5.clean'!H:H,'3.5.clean'!A:A=C639),"""")"),0.0)</f>
        <v>0</v>
      </c>
      <c r="V639" s="52" t="s">
        <v>64</v>
      </c>
      <c r="W639" s="23" t="b">
        <f>if(AND(R639=TRUE,N639=TRUE,P639=TRUE),TRUE,FALSE)</f>
        <v>1</v>
      </c>
      <c r="X639" s="23" t="str">
        <f>IFERROR(__xludf.DUMMYFUNCTION("if(COUNTA(FILTER(C:C, C:C = C639))=1,""no"",""yes"")"),"no")</f>
        <v>no</v>
      </c>
    </row>
    <row r="640">
      <c r="A640" s="75" t="s">
        <v>773</v>
      </c>
      <c r="B640" s="2">
        <v>13.0</v>
      </c>
      <c r="C640" s="19" t="s">
        <v>1438</v>
      </c>
      <c r="E640" s="24">
        <f>IFERROR(__xludf.DUMMYFUNCTION("ifna(IFNA(filter('2.1.clean'!C:C,'2.1.clean'!A:A=C640),filter('2.2.clean'!E:E,'2.2.clean'!D:D=C640)),filter('2.4.clean'!C:C,'2.4.clean'!A:A=C640))"),43759.0)</f>
        <v>43759</v>
      </c>
      <c r="F640" s="25">
        <f>IFERROR(__xludf.DUMMYFUNCTION("iferror(ifna(IFNA(filter('2.1.clean'!E:E,'2.1.clean'!A:A=C640),filter('2.2.clean'!G:G,'2.2.clean'!D:D=C640)),filter('2.4.clean'!E:E,'2.4.clean'!A:A=C640)),)"),2.4)</f>
        <v>2.4</v>
      </c>
      <c r="G640" s="24">
        <f>IFERROR(__xludf.DUMMYFUNCTION("iferror(filter('3.1.clean'!C:C,'3.1.clean'!A:A=C640),"""")"),43759.0)</f>
        <v>43759</v>
      </c>
      <c r="H640" s="23" t="b">
        <f t="shared" ref="H640:H641" si="465">if(G640="",FALSE,TRUE)</f>
        <v>1</v>
      </c>
      <c r="J640" s="25"/>
      <c r="K640" s="24">
        <f>IFERROR(__xludf.DUMMYFUNCTION("iferror(filter('3.2.clean'!C:C,'3.2.clean'!A:A=C640),"""")"),43760.0)</f>
        <v>43760</v>
      </c>
      <c r="L640" s="25" t="b">
        <f>if(K640="",FALSE,TRUE)</f>
        <v>1</v>
      </c>
      <c r="M640" s="24">
        <f>IFERROR(__xludf.DUMMYFUNCTION("iferror(filter('3.3.clean'!C:C,'3.3.clean'!A:A=C640),"""")"),43761.0)</f>
        <v>43761</v>
      </c>
      <c r="N640" s="25" t="b">
        <f t="shared" si="451"/>
        <v>1</v>
      </c>
      <c r="O640" s="24">
        <f>IFERROR(__xludf.DUMMYFUNCTION("iferror(filter('3.4.clean'!C:C,'3.4.clean'!A:A=C640),"""")"),43769.0)</f>
        <v>43769</v>
      </c>
      <c r="P640" s="25" t="b">
        <f t="shared" si="452"/>
        <v>1</v>
      </c>
      <c r="Q640" s="24">
        <f>IFERROR(__xludf.DUMMYFUNCTION("iferror(filter('3.5.clean'!C:C,'3.5.clean'!A:A=C640),"""")"),43759.0)</f>
        <v>43759</v>
      </c>
      <c r="R640" s="23" t="b">
        <f t="shared" si="464"/>
        <v>1</v>
      </c>
      <c r="S640" s="25"/>
      <c r="V640" s="52" t="s">
        <v>64</v>
      </c>
      <c r="X640" s="23" t="str">
        <f>IFERROR(__xludf.DUMMYFUNCTION("if(COUNTA(FILTER(C:C, C:C = C640))=1,""no"",""yes"")"),"no")</f>
        <v>no</v>
      </c>
    </row>
    <row r="641">
      <c r="A641" s="75" t="s">
        <v>773</v>
      </c>
      <c r="B641" s="19">
        <v>14.0</v>
      </c>
      <c r="C641" s="19" t="s">
        <v>1439</v>
      </c>
      <c r="D641" s="58" t="str">
        <f t="shared" ref="D641:D644" si="466">if(or(I641=1,J641=1,S641=1),"pos","")</f>
        <v/>
      </c>
      <c r="E641" s="59">
        <f>IFERROR(__xludf.DUMMYFUNCTION("ifna(IFNA(filter('2.1.clean'!C:C,'2.1.clean'!A:A=C641),filter('2.2.clean'!E:E,'2.2.clean'!D:D=C641)),filter('2.4.clean'!C:C,'2.4.clean'!A:A=C641))"),43759.0)</f>
        <v>43759</v>
      </c>
      <c r="F641" s="60">
        <f>IFERROR(__xludf.DUMMYFUNCTION("iferror(ifna(IFNA(filter('2.1.clean'!E:E,'2.1.clean'!A:A=C641),filter('2.2.clean'!G:G,'2.2.clean'!D:D=C641)),filter('2.4.clean'!E:E,'2.4.clean'!A:A=C641)),)"),2.4)</f>
        <v>2.4</v>
      </c>
      <c r="G641" s="59">
        <f>IFERROR(__xludf.DUMMYFUNCTION("iferror(filter('3.1.clean'!C:C,'3.1.clean'!A:A=C641),"""")"),43759.0)</f>
        <v>43759</v>
      </c>
      <c r="H641" s="58" t="b">
        <f t="shared" si="465"/>
        <v>1</v>
      </c>
      <c r="I641" s="58">
        <f>IFERROR(__xludf.DUMMYFUNCTION("iferror(filter('3.1.clean'!G:G,'3.1.clean'!A:A=C641),"""")"),0.0)</f>
        <v>0</v>
      </c>
      <c r="J641" s="60">
        <f>IFERROR(__xludf.DUMMYFUNCTION("iferror(filter('3.1.clean'!I:I,'3.1.clean'!A:A=C641),"""")"),0.0)</f>
        <v>0</v>
      </c>
      <c r="K641" s="58"/>
      <c r="L641" s="60"/>
      <c r="M641" s="59">
        <f>IFERROR(__xludf.DUMMYFUNCTION("iferror(filter('3.3.clean'!C:C,'3.3.clean'!A:A=C641),"""")"),43761.0)</f>
        <v>43761</v>
      </c>
      <c r="N641" s="60" t="b">
        <f t="shared" si="451"/>
        <v>1</v>
      </c>
      <c r="O641" s="59" t="str">
        <f>IFERROR(__xludf.DUMMYFUNCTION("iferror(filter('3.4.clean'!C:C,'3.4.clean'!A:A=C641),"""")"),"")</f>
        <v/>
      </c>
      <c r="P641" s="60" t="b">
        <f t="shared" si="452"/>
        <v>0</v>
      </c>
      <c r="Q641" s="59" t="str">
        <f>IFERROR(__xludf.DUMMYFUNCTION("iferror(filter('3.5.clean'!C:C,'3.5.clean'!A:A=C641),"""")"),"")</f>
        <v/>
      </c>
      <c r="R641" s="58"/>
      <c r="S641" s="4" t="str">
        <f>IFERROR(__xludf.DUMMYFUNCTION("iferror(filter('3.5.clean'!H:H,'3.5.clean'!A:A=C641),"""")"),"")</f>
        <v/>
      </c>
      <c r="V641" s="52" t="s">
        <v>64</v>
      </c>
      <c r="W641" s="23" t="b">
        <f>if(AND(H641=TRUE,N641=TRUE,P641=TRUE),TRUE,FALSE)</f>
        <v>0</v>
      </c>
      <c r="X641" s="23" t="str">
        <f>IFERROR(__xludf.DUMMYFUNCTION("if(COUNTA(FILTER(C:C, C:C = C641))=1,""no"",""yes"")"),"no")</f>
        <v>no</v>
      </c>
    </row>
    <row r="642">
      <c r="A642" s="75" t="s">
        <v>773</v>
      </c>
      <c r="B642" s="19">
        <v>15.0</v>
      </c>
      <c r="C642" s="19" t="s">
        <v>1441</v>
      </c>
      <c r="D642" s="58" t="str">
        <f t="shared" si="466"/>
        <v/>
      </c>
      <c r="E642" s="59">
        <f t="shared" ref="E642:E643" si="467">Q642</f>
        <v>43759</v>
      </c>
      <c r="F642" s="60" t="str">
        <f>IFERROR(__xludf.DUMMYFUNCTION("iferror(ifna(IFNA(filter('2.1.clean'!E:E,'2.1.clean'!A:A=C642),filter('2.2.clean'!G:G,'2.2.clean'!D:D=C642)),filter('2.4.clean'!E:E,'2.4.clean'!A:A=C642)),)"),"")</f>
        <v/>
      </c>
      <c r="G642" s="59" t="str">
        <f>IFERROR(__xludf.DUMMYFUNCTION("iferror(filter('3.1.clean'!C:C,'3.1.clean'!A:A=C642),"""")"),"")</f>
        <v/>
      </c>
      <c r="H642" s="58"/>
      <c r="I642" s="58"/>
      <c r="J642" s="60"/>
      <c r="K642" s="59"/>
      <c r="L642" s="60"/>
      <c r="M642" s="59">
        <f>IFERROR(__xludf.DUMMYFUNCTION("iferror(filter('3.3.clean'!C:C,'3.3.clean'!A:A=C642),"""")"),43761.0)</f>
        <v>43761</v>
      </c>
      <c r="N642" s="60" t="b">
        <f t="shared" si="451"/>
        <v>1</v>
      </c>
      <c r="O642" s="59">
        <f>IFERROR(__xludf.DUMMYFUNCTION("iferror(filter('3.4.clean'!C:C,'3.4.clean'!A:A=C642),"""")"),43769.0)</f>
        <v>43769</v>
      </c>
      <c r="P642" s="60" t="b">
        <f t="shared" si="452"/>
        <v>1</v>
      </c>
      <c r="Q642" s="59">
        <f>IFERROR(__xludf.DUMMYFUNCTION("iferror(filter('3.5.clean'!C:C,'3.5.clean'!A:A=C642),"""")"),43759.0)</f>
        <v>43759</v>
      </c>
      <c r="R642" s="58" t="b">
        <f t="shared" ref="R642:R643" si="468">if(Q642="",FALSE,TRUE)</f>
        <v>1</v>
      </c>
      <c r="S642" s="4">
        <f>IFERROR(__xludf.DUMMYFUNCTION("iferror(filter('3.5.clean'!H:H,'3.5.clean'!A:A=C642),"""")"),0.0)</f>
        <v>0</v>
      </c>
      <c r="V642" s="52" t="s">
        <v>64</v>
      </c>
      <c r="W642" s="23" t="b">
        <f>if(AND(R642=TRUE,N642=TRUE,P642=TRUE),TRUE,FALSE)</f>
        <v>1</v>
      </c>
      <c r="X642" s="23" t="str">
        <f>IFERROR(__xludf.DUMMYFUNCTION("if(COUNTA(FILTER(C:C, C:C = C642))=1,""no"",""yes"")"),"no")</f>
        <v>no</v>
      </c>
    </row>
    <row r="643">
      <c r="A643" s="75" t="s">
        <v>773</v>
      </c>
      <c r="B643" s="19">
        <v>16.0</v>
      </c>
      <c r="C643" s="19" t="s">
        <v>1442</v>
      </c>
      <c r="D643" s="22" t="str">
        <f t="shared" si="466"/>
        <v/>
      </c>
      <c r="E643" s="20">
        <f t="shared" si="467"/>
        <v>43759</v>
      </c>
      <c r="F643" s="79" t="str">
        <f>IFERROR(__xludf.DUMMYFUNCTION("iferror(ifna(IFNA(filter('2.1.clean'!E:E,'2.1.clean'!A:A=C643),filter('2.2.clean'!G:G,'2.2.clean'!D:D=C643)),filter('2.4.clean'!E:E,'2.4.clean'!A:A=C643)),)"),"")</f>
        <v/>
      </c>
      <c r="G643" s="20" t="str">
        <f>IFERROR(__xludf.DUMMYFUNCTION("iferror(filter('3.1.clean'!C:C,'3.1.clean'!A:A=C643),"""")"),"")</f>
        <v/>
      </c>
      <c r="H643" s="22"/>
      <c r="I643" s="22"/>
      <c r="J643" s="79"/>
      <c r="K643" s="20" t="str">
        <f>IFERROR(__xludf.DUMMYFUNCTION("iferror(filter('3.2.clean'!C:C,'3.2.clean'!A:A=C643),"""")"),"")</f>
        <v/>
      </c>
      <c r="L643" s="79"/>
      <c r="M643" s="20">
        <f>IFERROR(__xludf.DUMMYFUNCTION("iferror(filter('3.3.clean'!C:C,'3.3.clean'!A:A=C643),"""")"),43761.0)</f>
        <v>43761</v>
      </c>
      <c r="N643" s="79" t="b">
        <f t="shared" si="451"/>
        <v>1</v>
      </c>
      <c r="O643" s="20" t="str">
        <f>IFERROR(__xludf.DUMMYFUNCTION("iferror(filter('3.4.clean'!C:C,'3.4.clean'!A:A=C643),"""")"),"")</f>
        <v/>
      </c>
      <c r="P643" s="79" t="b">
        <f t="shared" si="452"/>
        <v>0</v>
      </c>
      <c r="Q643" s="20">
        <f>IFERROR(__xludf.DUMMYFUNCTION("iferror(filter('3.5.clean'!C:C,'3.5.clean'!A:A=C643),"""")"),43759.0)</f>
        <v>43759</v>
      </c>
      <c r="R643" s="22" t="b">
        <f t="shared" si="468"/>
        <v>1</v>
      </c>
      <c r="S643" s="4">
        <f>IFERROR(__xludf.DUMMYFUNCTION("iferror(filter('3.5.clean'!H:H,'3.5.clean'!A:A=C643),"""")"),0.0)</f>
        <v>0</v>
      </c>
      <c r="V643" s="52" t="s">
        <v>64</v>
      </c>
      <c r="W643" s="23" t="b">
        <f>IF(and(R643=TRUE,N643=TRUE,P643=TRUE),TRUE,FALSE)</f>
        <v>0</v>
      </c>
      <c r="X643" s="23" t="str">
        <f>IFERROR(__xludf.DUMMYFUNCTION("if(COUNTA(FILTER(C:C, C:C = C643))=1,""no"",""yes"")"),"no")</f>
        <v>no</v>
      </c>
    </row>
    <row r="644">
      <c r="A644" s="75" t="s">
        <v>773</v>
      </c>
      <c r="B644" s="19">
        <v>17.0</v>
      </c>
      <c r="C644" s="19" t="s">
        <v>1443</v>
      </c>
      <c r="D644" s="76" t="str">
        <f t="shared" si="466"/>
        <v/>
      </c>
      <c r="E644" s="77">
        <f>G644</f>
        <v>43759</v>
      </c>
      <c r="F644" s="78" t="str">
        <f>IFERROR(__xludf.DUMMYFUNCTION("iferror(ifna(IFNA(filter('2.1.clean'!E:E,'2.1.clean'!A:A=C644),filter('2.2.clean'!G:G,'2.2.clean'!D:D=C644)),filter('2.4.clean'!E:E,'2.4.clean'!A:A=C644)),)"),"")</f>
        <v/>
      </c>
      <c r="G644" s="77">
        <f>IFERROR(__xludf.DUMMYFUNCTION("iferror(filter('3.1.clean'!C:C,'3.1.clean'!A:A=C644),"""")"),43759.0)</f>
        <v>43759</v>
      </c>
      <c r="H644" s="76" t="b">
        <f>if(G644="",FALSE,TRUE)</f>
        <v>1</v>
      </c>
      <c r="I644" s="76">
        <f>IFERROR(__xludf.DUMMYFUNCTION("iferror(filter('3.1.clean'!G:G,'3.1.clean'!A:A=C644),"""")"),0.0)</f>
        <v>0</v>
      </c>
      <c r="J644" s="78">
        <f>IFERROR(__xludf.DUMMYFUNCTION("iferror(filter('3.1.clean'!I:I,'3.1.clean'!A:A=C644),"""")"),0.0)</f>
        <v>0</v>
      </c>
      <c r="K644" s="77"/>
      <c r="L644" s="78"/>
      <c r="M644" s="77"/>
      <c r="N644" s="78"/>
      <c r="O644" s="77"/>
      <c r="P644" s="78"/>
      <c r="Q644" s="77"/>
      <c r="R644" s="76"/>
      <c r="S644" s="25"/>
      <c r="V644" s="1" t="s">
        <v>64</v>
      </c>
      <c r="W644" s="1" t="b">
        <v>1</v>
      </c>
      <c r="X644" s="23" t="str">
        <f>IFERROR(__xludf.DUMMYFUNCTION("if(COUNTA(FILTER(C:C, C:C = C644))=1,""no"",""yes"")"),"no")</f>
        <v>no</v>
      </c>
    </row>
    <row r="645">
      <c r="A645" s="75" t="s">
        <v>773</v>
      </c>
      <c r="B645" s="2">
        <v>18.0</v>
      </c>
      <c r="C645" s="19" t="s">
        <v>1445</v>
      </c>
      <c r="E645" s="26">
        <v>43759.0</v>
      </c>
      <c r="F645" s="25" t="str">
        <f>IFERROR(__xludf.DUMMYFUNCTION("iferror(ifna(IFNA(filter('2.1.clean'!E:E,'2.1.clean'!A:A=C645),filter('2.2.clean'!G:G,'2.2.clean'!D:D=C645)),filter('2.4.clean'!E:E,'2.4.clean'!A:A=C645)),)"),"")</f>
        <v/>
      </c>
      <c r="G645" s="24" t="str">
        <f>IFERROR(__xludf.DUMMYFUNCTION("iferror(filter('3.1.clean'!C:C,'3.1.clean'!A:A=C645),"""")"),"")</f>
        <v/>
      </c>
      <c r="J645" s="25"/>
      <c r="K645" s="24" t="str">
        <f>IFERROR(__xludf.DUMMYFUNCTION("iferror(filter('3.2.clean'!C:C,'3.2.clean'!A:A=C645),"""")"),"")</f>
        <v/>
      </c>
      <c r="L645" s="25"/>
      <c r="M645" s="24">
        <f>IFERROR(__xludf.DUMMYFUNCTION("iferror(filter('3.3.clean'!C:C,'3.3.clean'!A:A=C645),"""")"),43761.0)</f>
        <v>43761</v>
      </c>
      <c r="N645" s="25" t="b">
        <f t="shared" ref="N645:N646" si="469">if(M645="",FALSE,TRUE)</f>
        <v>1</v>
      </c>
      <c r="O645" s="24" t="str">
        <f>IFERROR(__xludf.DUMMYFUNCTION("iferror(filter('3.4.clean'!C:C,'3.4.clean'!A:A=C645),"""")"),"")</f>
        <v/>
      </c>
      <c r="P645" s="25" t="b">
        <f t="shared" ref="P645:P654" si="470">if(O645="",FALSE,TRUE)</f>
        <v>0</v>
      </c>
      <c r="Q645" s="24" t="str">
        <f>IFERROR(__xludf.DUMMYFUNCTION("iferror(filter('3.5.clean'!C:C,'3.5.clean'!A:A=C645),"""")"),"")</f>
        <v/>
      </c>
      <c r="S645" s="25"/>
      <c r="V645" s="52" t="s">
        <v>64</v>
      </c>
      <c r="X645" s="23" t="str">
        <f>IFERROR(__xludf.DUMMYFUNCTION("if(COUNTA(FILTER(C:C, C:C = C645))=1,""no"",""yes"")"),"no")</f>
        <v>no</v>
      </c>
    </row>
    <row r="646">
      <c r="A646" s="1" t="s">
        <v>798</v>
      </c>
      <c r="B646" s="2">
        <v>1.0</v>
      </c>
      <c r="C646" s="19" t="s">
        <v>1446</v>
      </c>
      <c r="E646" s="24">
        <f>IFERROR(__xludf.DUMMYFUNCTION("ifna(IFNA(filter('2.1.clean'!C:C,'2.1.clean'!A:A=C646),filter('2.2.clean'!E:E,'2.2.clean'!D:D=C646)),filter('2.4.clean'!C:C,'2.4.clean'!A:A=C646))"),43760.0)</f>
        <v>43760</v>
      </c>
      <c r="F646" s="25">
        <f>IFERROR(__xludf.DUMMYFUNCTION("iferror(ifna(IFNA(filter('2.1.clean'!E:E,'2.1.clean'!A:A=C646),filter('2.2.clean'!G:G,'2.2.clean'!D:D=C646)),filter('2.4.clean'!E:E,'2.4.clean'!A:A=C646)),)"),2.4)</f>
        <v>2.4</v>
      </c>
      <c r="G646" s="24"/>
      <c r="J646" s="25"/>
      <c r="K646" s="24"/>
      <c r="L646" s="25"/>
      <c r="M646" s="24">
        <f>IFERROR(__xludf.DUMMYFUNCTION("iferror(filter('3.3.clean'!C:C,'3.3.clean'!A:A=C646),"""")"),43762.0)</f>
        <v>43762</v>
      </c>
      <c r="N646" s="25" t="b">
        <f t="shared" si="469"/>
        <v>1</v>
      </c>
      <c r="O646" s="24">
        <f>IFERROR(__xludf.DUMMYFUNCTION("iferror(filter('3.4.clean'!C:C,'3.4.clean'!A:A=C646),"""")"),43769.0)</f>
        <v>43769</v>
      </c>
      <c r="P646" s="25" t="b">
        <f t="shared" si="470"/>
        <v>1</v>
      </c>
      <c r="Q646" s="24">
        <f>IFERROR(__xludf.DUMMYFUNCTION("iferror(filter('3.5.clean'!C:C,'3.5.clean'!A:A=C646),"""")"),43760.0)</f>
        <v>43760</v>
      </c>
      <c r="R646" s="23" t="b">
        <f>if(Q646="",FALSE,TRUE)</f>
        <v>1</v>
      </c>
      <c r="S646" s="25"/>
      <c r="V646" s="52" t="s">
        <v>64</v>
      </c>
      <c r="W646" s="23" t="b">
        <f t="shared" ref="W646:W647" si="471">IF(and(R646=TRUE,N646=TRUE,P646=TRUE),TRUE,FALSE)</f>
        <v>1</v>
      </c>
      <c r="X646" s="23" t="str">
        <f>IFERROR(__xludf.DUMMYFUNCTION("if(COUNTA(FILTER(C:C, C:C = C646))=1,""no"",""yes"")"),"no")</f>
        <v>no</v>
      </c>
    </row>
    <row r="647">
      <c r="A647" s="1" t="s">
        <v>798</v>
      </c>
      <c r="B647" s="2">
        <v>2.0</v>
      </c>
      <c r="C647" s="2" t="s">
        <v>1447</v>
      </c>
      <c r="E647" s="24">
        <v>43760.0</v>
      </c>
      <c r="F647" s="25" t="str">
        <f>IFERROR(__xludf.DUMMYFUNCTION("iferror(ifna(IFNA(filter('2.1.clean'!E:E,'2.1.clean'!A:A=C647),filter('2.2.clean'!G:G,'2.2.clean'!D:D=C647)),filter('2.4.clean'!E:E,'2.4.clean'!A:A=C647)),)"),"")</f>
        <v/>
      </c>
      <c r="G647" s="24"/>
      <c r="J647" s="25"/>
      <c r="K647" s="24"/>
      <c r="L647" s="25"/>
      <c r="M647" s="24"/>
      <c r="N647" s="25"/>
      <c r="O647" s="24">
        <f>IFERROR(__xludf.DUMMYFUNCTION("iferror(filter('3.4.clean'!C:C,'3.4.clean'!A:A=C647),"""")"),43769.0)</f>
        <v>43769</v>
      </c>
      <c r="P647" s="25" t="b">
        <f t="shared" si="470"/>
        <v>1</v>
      </c>
      <c r="Q647" s="24" t="str">
        <f>IFERROR(__xludf.DUMMYFUNCTION("iferror(filter('3.5.clean'!C:C,'3.5.clean'!A:A=C647),"""")"),"")</f>
        <v/>
      </c>
      <c r="S647" s="25"/>
      <c r="V647" s="52" t="s">
        <v>64</v>
      </c>
      <c r="W647" s="23" t="b">
        <f t="shared" si="471"/>
        <v>0</v>
      </c>
      <c r="X647" s="23" t="str">
        <f>IFERROR(__xludf.DUMMYFUNCTION("if(COUNTA(FILTER(C:C, C:C = C647))=1,""no"",""yes"")"),"no")</f>
        <v>no</v>
      </c>
    </row>
    <row r="648">
      <c r="A648" s="1" t="s">
        <v>798</v>
      </c>
      <c r="B648" s="19">
        <v>3.0</v>
      </c>
      <c r="C648" s="19" t="s">
        <v>1448</v>
      </c>
      <c r="D648" s="58" t="str">
        <f t="shared" ref="D648:D649" si="472">if(or(I648=1,J648=1,S648=1),"pos","")</f>
        <v/>
      </c>
      <c r="E648" s="59">
        <f>IFERROR(__xludf.DUMMYFUNCTION("ifna(IFNA(filter('2.1.clean'!C:C,'2.1.clean'!A:A=C648),filter('2.2.clean'!E:E,'2.2.clean'!D:D=C648)),filter('2.4.clean'!C:C,'2.4.clean'!A:A=C648))"),43760.0)</f>
        <v>43760</v>
      </c>
      <c r="F648" s="60">
        <f>IFERROR(__xludf.DUMMYFUNCTION("iferror(ifna(IFNA(filter('2.1.clean'!E:E,'2.1.clean'!A:A=C648),filter('2.2.clean'!G:G,'2.2.clean'!D:D=C648)),filter('2.4.clean'!E:E,'2.4.clean'!A:A=C648)),)"),2.4)</f>
        <v>2.4</v>
      </c>
      <c r="G648" s="59">
        <f>IFERROR(__xludf.DUMMYFUNCTION("iferror(filter('3.1.clean'!C:C,'3.1.clean'!A:A=C648),"""")"),43760.0)</f>
        <v>43760</v>
      </c>
      <c r="H648" s="58" t="b">
        <f>if(G648="",FALSE,TRUE)</f>
        <v>1</v>
      </c>
      <c r="I648" s="58">
        <f>IFERROR(__xludf.DUMMYFUNCTION("iferror(filter('3.1.clean'!G:G,'3.1.clean'!A:A=C648),"""")"),0.0)</f>
        <v>0</v>
      </c>
      <c r="J648" s="60">
        <f>IFERROR(__xludf.DUMMYFUNCTION("iferror(filter('3.1.clean'!I:I,'3.1.clean'!A:A=C648),"""")"),0.0)</f>
        <v>0</v>
      </c>
      <c r="K648" s="58"/>
      <c r="L648" s="60"/>
      <c r="M648" s="59">
        <f>IFERROR(__xludf.DUMMYFUNCTION("iferror(filter('3.3.clean'!C:C,'3.3.clean'!A:A=C648),"""")"),43762.0)</f>
        <v>43762</v>
      </c>
      <c r="N648" s="60" t="b">
        <f t="shared" ref="N648:N650" si="473">if(M648="",FALSE,TRUE)</f>
        <v>1</v>
      </c>
      <c r="O648" s="59" t="str">
        <f>IFERROR(__xludf.DUMMYFUNCTION("iferror(filter('3.4.clean'!C:C,'3.4.clean'!A:A=C648),"""")"),"")</f>
        <v/>
      </c>
      <c r="P648" s="60" t="b">
        <f t="shared" si="470"/>
        <v>0</v>
      </c>
      <c r="Q648" s="59" t="str">
        <f>IFERROR(__xludf.DUMMYFUNCTION("iferror(filter('3.5.clean'!C:C,'3.5.clean'!A:A=C648),"""")"),"")</f>
        <v/>
      </c>
      <c r="R648" s="58"/>
      <c r="S648" s="4" t="str">
        <f>IFERROR(__xludf.DUMMYFUNCTION("iferror(filter('3.5.clean'!H:H,'3.5.clean'!A:A=C648),"""")"),"")</f>
        <v/>
      </c>
      <c r="V648" s="52" t="s">
        <v>64</v>
      </c>
      <c r="W648" s="23" t="b">
        <f>if(AND(H648=TRUE,N648=TRUE,P648=TRUE),TRUE,FALSE)</f>
        <v>0</v>
      </c>
      <c r="X648" s="23" t="str">
        <f>IFERROR(__xludf.DUMMYFUNCTION("if(COUNTA(FILTER(C:C, C:C = C648))=1,""no"",""yes"")"),"no")</f>
        <v>no</v>
      </c>
    </row>
    <row r="649">
      <c r="A649" s="1" t="s">
        <v>798</v>
      </c>
      <c r="B649" s="19">
        <v>4.0</v>
      </c>
      <c r="C649" s="19" t="s">
        <v>1450</v>
      </c>
      <c r="D649" s="58" t="str">
        <f t="shared" si="472"/>
        <v/>
      </c>
      <c r="E649" s="59">
        <f>Q649</f>
        <v>43760</v>
      </c>
      <c r="F649" s="60" t="str">
        <f>IFERROR(__xludf.DUMMYFUNCTION("iferror(ifna(IFNA(filter('2.1.clean'!E:E,'2.1.clean'!A:A=C649),filter('2.2.clean'!G:G,'2.2.clean'!D:D=C649)),filter('2.4.clean'!E:E,'2.4.clean'!A:A=C649)),)"),"")</f>
        <v/>
      </c>
      <c r="G649" s="59" t="str">
        <f>IFERROR(__xludf.DUMMYFUNCTION("iferror(filter('3.1.clean'!C:C,'3.1.clean'!A:A=C649),"""")"),"")</f>
        <v/>
      </c>
      <c r="H649" s="58"/>
      <c r="I649" s="58"/>
      <c r="J649" s="60"/>
      <c r="K649" s="59"/>
      <c r="L649" s="60"/>
      <c r="M649" s="81" t="s">
        <v>814</v>
      </c>
      <c r="N649" s="60" t="b">
        <f t="shared" si="473"/>
        <v>1</v>
      </c>
      <c r="O649" s="59">
        <f>IFERROR(__xludf.DUMMYFUNCTION("iferror(filter('3.4.clean'!C:C,'3.4.clean'!A:A=C649),"""")"),43769.0)</f>
        <v>43769</v>
      </c>
      <c r="P649" s="60" t="b">
        <f t="shared" si="470"/>
        <v>1</v>
      </c>
      <c r="Q649" s="59">
        <f>IFERROR(__xludf.DUMMYFUNCTION("iferror(filter('3.5.clean'!C:C,'3.5.clean'!A:A=C649),"""")"),43760.0)</f>
        <v>43760</v>
      </c>
      <c r="R649" s="58" t="b">
        <f t="shared" ref="R649:R650" si="474">if(Q649="",FALSE,TRUE)</f>
        <v>1</v>
      </c>
      <c r="S649" s="4">
        <f>IFERROR(__xludf.DUMMYFUNCTION("iferror(filter('3.5.clean'!H:H,'3.5.clean'!A:A=C649),"""")"),0.0)</f>
        <v>0</v>
      </c>
      <c r="V649" s="52" t="s">
        <v>64</v>
      </c>
      <c r="W649" s="23" t="b">
        <f>if(AND(R649=TRUE,N649=TRUE,P649=TRUE),TRUE,FALSE)</f>
        <v>1</v>
      </c>
      <c r="X649" s="23" t="str">
        <f>IFERROR(__xludf.DUMMYFUNCTION("if(COUNTA(FILTER(C:C, C:C = C649))=1,""no"",""yes"")"),"no")</f>
        <v>no</v>
      </c>
    </row>
    <row r="650">
      <c r="A650" s="1" t="s">
        <v>798</v>
      </c>
      <c r="B650" s="2">
        <v>5.0</v>
      </c>
      <c r="C650" s="19" t="s">
        <v>1451</v>
      </c>
      <c r="E650" s="24">
        <f>IFERROR(__xludf.DUMMYFUNCTION("ifna(IFNA(filter('2.1.clean'!C:C,'2.1.clean'!A:A=C650),filter('2.2.clean'!E:E,'2.2.clean'!D:D=C650)),filter('2.4.clean'!C:C,'2.4.clean'!A:A=C650))"),43760.0)</f>
        <v>43760</v>
      </c>
      <c r="F650" s="25">
        <f>IFERROR(__xludf.DUMMYFUNCTION("iferror(ifna(IFNA(filter('2.1.clean'!E:E,'2.1.clean'!A:A=C650),filter('2.2.clean'!G:G,'2.2.clean'!D:D=C650)),filter('2.4.clean'!E:E,'2.4.clean'!A:A=C650)),)"),2.4)</f>
        <v>2.4</v>
      </c>
      <c r="G650" s="24"/>
      <c r="J650" s="25"/>
      <c r="K650" s="24"/>
      <c r="L650" s="25"/>
      <c r="M650" s="24">
        <f>IFERROR(__xludf.DUMMYFUNCTION("iferror(filter('3.3.clean'!C:C,'3.3.clean'!A:A=C650),"""")"),43762.0)</f>
        <v>43762</v>
      </c>
      <c r="N650" s="25" t="b">
        <f t="shared" si="473"/>
        <v>1</v>
      </c>
      <c r="O650" s="24">
        <f>IFERROR(__xludf.DUMMYFUNCTION("iferror(filter('3.4.clean'!C:C,'3.4.clean'!A:A=C650),"""")"),43769.0)</f>
        <v>43769</v>
      </c>
      <c r="P650" s="25" t="b">
        <f t="shared" si="470"/>
        <v>1</v>
      </c>
      <c r="Q650" s="24">
        <f>IFERROR(__xludf.DUMMYFUNCTION("iferror(filter('3.5.clean'!C:C,'3.5.clean'!A:A=C650),"""")"),43760.0)</f>
        <v>43760</v>
      </c>
      <c r="R650" s="23" t="b">
        <f t="shared" si="474"/>
        <v>1</v>
      </c>
      <c r="S650" s="25"/>
      <c r="V650" s="52" t="s">
        <v>64</v>
      </c>
      <c r="W650" s="23" t="b">
        <f t="shared" ref="W650:W651" si="475">IF(and(R650=TRUE,N650=TRUE,P650=TRUE),TRUE,FALSE)</f>
        <v>1</v>
      </c>
      <c r="X650" s="23" t="str">
        <f>IFERROR(__xludf.DUMMYFUNCTION("if(COUNTA(FILTER(C:C, C:C = C650))=1,""no"",""yes"")"),"no")</f>
        <v>no</v>
      </c>
    </row>
    <row r="651">
      <c r="A651" s="46" t="s">
        <v>798</v>
      </c>
      <c r="B651" s="88">
        <v>6.0</v>
      </c>
      <c r="C651" s="41" t="s">
        <v>1453</v>
      </c>
      <c r="D651" s="39"/>
      <c r="E651" s="24">
        <v>43760.0</v>
      </c>
      <c r="F651" s="44" t="str">
        <f>IFERROR(__xludf.DUMMYFUNCTION("iferror(ifna(IFNA(filter('2.1.clean'!E:E,'2.1.clean'!A:A=C651),filter('2.2.clean'!G:G,'2.2.clean'!D:D=C651)),filter('2.4.clean'!E:E,'2.4.clean'!A:A=C651)),)"),"")</f>
        <v/>
      </c>
      <c r="G651" s="42"/>
      <c r="H651" s="39"/>
      <c r="I651" s="39"/>
      <c r="J651" s="45"/>
      <c r="K651" s="42"/>
      <c r="L651" s="45"/>
      <c r="M651" s="43" t="str">
        <f>IFERROR(__xludf.DUMMYFUNCTION("iferror(filter('3.3.clean'!C:C,'3.3.clean'!A:A=C651),"""")"),"")</f>
        <v/>
      </c>
      <c r="N651" s="25"/>
      <c r="O651" s="43">
        <f>IFERROR(__xludf.DUMMYFUNCTION("iferror(filter('3.4.clean'!C:C,'3.4.clean'!A:A=C651),"""")"),43769.0)</f>
        <v>43769</v>
      </c>
      <c r="P651" s="25" t="b">
        <f t="shared" si="470"/>
        <v>1</v>
      </c>
      <c r="Q651" s="43" t="str">
        <f>IFERROR(__xludf.DUMMYFUNCTION("iferror(filter('3.5.clean'!C:C,'3.5.clean'!A:A=C651),"""")"),"")</f>
        <v/>
      </c>
      <c r="R651" s="23"/>
      <c r="S651" s="67"/>
      <c r="T651" s="39"/>
      <c r="U651" s="39"/>
      <c r="V651" s="39" t="s">
        <v>64</v>
      </c>
      <c r="W651" s="23" t="b">
        <f t="shared" si="475"/>
        <v>0</v>
      </c>
      <c r="X651" s="39" t="str">
        <f>IFERROR(__xludf.DUMMYFUNCTION("if(COUNTA(FILTER(C:C, C:C = C651))=1,""no"",""yes"")"),"no")</f>
        <v>no</v>
      </c>
    </row>
    <row r="652">
      <c r="A652" s="1" t="s">
        <v>798</v>
      </c>
      <c r="B652" s="19">
        <v>7.0</v>
      </c>
      <c r="C652" s="19" t="s">
        <v>1455</v>
      </c>
      <c r="D652" s="58" t="str">
        <f t="shared" ref="D652:D655" si="476">if(or(I652=1,J652=1,S652=1),"pos","")</f>
        <v/>
      </c>
      <c r="E652" s="59">
        <f>IFERROR(__xludf.DUMMYFUNCTION("ifna(IFNA(filter('2.1.clean'!C:C,'2.1.clean'!A:A=C652),filter('2.2.clean'!E:E,'2.2.clean'!D:D=C652)),filter('2.4.clean'!C:C,'2.4.clean'!A:A=C652))"),43760.0)</f>
        <v>43760</v>
      </c>
      <c r="F652" s="60">
        <f>IFERROR(__xludf.DUMMYFUNCTION("iferror(ifna(IFNA(filter('2.1.clean'!E:E,'2.1.clean'!A:A=C652),filter('2.2.clean'!G:G,'2.2.clean'!D:D=C652)),filter('2.4.clean'!E:E,'2.4.clean'!A:A=C652)),)"),2.4)</f>
        <v>2.4</v>
      </c>
      <c r="G652" s="59">
        <f>IFERROR(__xludf.DUMMYFUNCTION("iferror(filter('3.1.clean'!C:C,'3.1.clean'!A:A=C652),"""")"),43760.0)</f>
        <v>43760</v>
      </c>
      <c r="H652" s="58" t="b">
        <f>if(G652="",FALSE,TRUE)</f>
        <v>1</v>
      </c>
      <c r="I652" s="58">
        <f>IFERROR(__xludf.DUMMYFUNCTION("iferror(filter('3.1.clean'!G:G,'3.1.clean'!A:A=C652),"""")"),0.0)</f>
        <v>0</v>
      </c>
      <c r="J652" s="60">
        <f>IFERROR(__xludf.DUMMYFUNCTION("iferror(filter('3.1.clean'!I:I,'3.1.clean'!A:A=C652),"""")"),0.0)</f>
        <v>0</v>
      </c>
      <c r="K652" s="58"/>
      <c r="L652" s="60"/>
      <c r="M652" s="59">
        <f>IFERROR(__xludf.DUMMYFUNCTION("iferror(filter('3.3.clean'!C:C,'3.3.clean'!A:A=C652),"""")"),43762.0)</f>
        <v>43762</v>
      </c>
      <c r="N652" s="60" t="b">
        <f t="shared" ref="N652:N654" si="477">if(M652="",FALSE,TRUE)</f>
        <v>1</v>
      </c>
      <c r="O652" s="59" t="str">
        <f>IFERROR(__xludf.DUMMYFUNCTION("iferror(filter('3.4.clean'!C:C,'3.4.clean'!A:A=C652),"""")"),"")</f>
        <v/>
      </c>
      <c r="P652" s="60" t="b">
        <f t="shared" si="470"/>
        <v>0</v>
      </c>
      <c r="Q652" s="59" t="str">
        <f>IFERROR(__xludf.DUMMYFUNCTION("iferror(filter('3.5.clean'!C:C,'3.5.clean'!A:A=C652),"""")"),"")</f>
        <v/>
      </c>
      <c r="R652" s="58"/>
      <c r="S652" s="4" t="str">
        <f>IFERROR(__xludf.DUMMYFUNCTION("iferror(filter('3.5.clean'!H:H,'3.5.clean'!A:A=C652),"""")"),"")</f>
        <v/>
      </c>
      <c r="V652" s="52" t="s">
        <v>64</v>
      </c>
      <c r="W652" s="23" t="b">
        <f>if(AND(H652=TRUE,N652=TRUE,P652=TRUE),TRUE,FALSE)</f>
        <v>0</v>
      </c>
      <c r="X652" s="23" t="str">
        <f>IFERROR(__xludf.DUMMYFUNCTION("if(COUNTA(FILTER(C:C, C:C = C652))=1,""no"",""yes"")"),"no")</f>
        <v>no</v>
      </c>
    </row>
    <row r="653">
      <c r="A653" s="1" t="s">
        <v>798</v>
      </c>
      <c r="B653" s="19">
        <v>8.0</v>
      </c>
      <c r="C653" s="19" t="s">
        <v>1456</v>
      </c>
      <c r="D653" s="58" t="str">
        <f t="shared" si="476"/>
        <v/>
      </c>
      <c r="E653" s="59">
        <f t="shared" ref="E653:E654" si="478">Q653</f>
        <v>43760</v>
      </c>
      <c r="F653" s="60" t="str">
        <f>IFERROR(__xludf.DUMMYFUNCTION("iferror(ifna(IFNA(filter('2.1.clean'!E:E,'2.1.clean'!A:A=C653),filter('2.2.clean'!G:G,'2.2.clean'!D:D=C653)),filter('2.4.clean'!E:E,'2.4.clean'!A:A=C653)),)"),"")</f>
        <v/>
      </c>
      <c r="G653" s="59" t="str">
        <f>IFERROR(__xludf.DUMMYFUNCTION("iferror(filter('3.1.clean'!C:C,'3.1.clean'!A:A=C653),"""")"),"")</f>
        <v/>
      </c>
      <c r="H653" s="58"/>
      <c r="I653" s="58" t="str">
        <f>IFERROR(__xludf.DUMMYFUNCTION("iferror(filter('3.1.clean'!G:G,'3.1.clean'!A:A=C653),"""")"),"")</f>
        <v/>
      </c>
      <c r="J653" s="60" t="str">
        <f>IFERROR(__xludf.DUMMYFUNCTION("iferror(filter('3.1.clean'!I:I,'3.1.clean'!A:A=C653),"""")"),"")</f>
        <v/>
      </c>
      <c r="K653" s="59"/>
      <c r="L653" s="60"/>
      <c r="M653" s="81" t="s">
        <v>814</v>
      </c>
      <c r="N653" s="60" t="b">
        <f t="shared" si="477"/>
        <v>1</v>
      </c>
      <c r="O653" s="59">
        <f>IFERROR(__xludf.DUMMYFUNCTION("iferror(filter('3.4.clean'!C:C,'3.4.clean'!A:A=C653),"""")"),43769.0)</f>
        <v>43769</v>
      </c>
      <c r="P653" s="60" t="b">
        <f t="shared" si="470"/>
        <v>1</v>
      </c>
      <c r="Q653" s="59">
        <f>IFERROR(__xludf.DUMMYFUNCTION("iferror(filter('3.5.clean'!C:C,'3.5.clean'!A:A=C653),"""")"),43760.0)</f>
        <v>43760</v>
      </c>
      <c r="R653" s="58" t="b">
        <f t="shared" ref="R653:R654" si="479">if(Q653="",FALSE,TRUE)</f>
        <v>1</v>
      </c>
      <c r="S653" s="4">
        <f>IFERROR(__xludf.DUMMYFUNCTION("iferror(filter('3.5.clean'!H:H,'3.5.clean'!A:A=C653),"""")"),0.0)</f>
        <v>0</v>
      </c>
      <c r="V653" s="52" t="s">
        <v>64</v>
      </c>
      <c r="W653" s="23" t="b">
        <f>if(AND(R653=TRUE,N653=TRUE,P653=TRUE),TRUE,FALSE)</f>
        <v>1</v>
      </c>
      <c r="X653" s="23" t="str">
        <f>IFERROR(__xludf.DUMMYFUNCTION("if(COUNTA(FILTER(C:C, C:C = C653))=1,""no"",""yes"")"),"no")</f>
        <v>no</v>
      </c>
    </row>
    <row r="654">
      <c r="A654" s="1" t="s">
        <v>798</v>
      </c>
      <c r="B654" s="19">
        <v>9.0</v>
      </c>
      <c r="C654" s="19" t="s">
        <v>1458</v>
      </c>
      <c r="D654" s="22" t="str">
        <f t="shared" si="476"/>
        <v/>
      </c>
      <c r="E654" s="20">
        <f t="shared" si="478"/>
        <v>43760</v>
      </c>
      <c r="F654" s="79" t="str">
        <f>IFERROR(__xludf.DUMMYFUNCTION("iferror(ifna(IFNA(filter('2.1.clean'!E:E,'2.1.clean'!A:A=C654),filter('2.2.clean'!G:G,'2.2.clean'!D:D=C654)),filter('2.4.clean'!E:E,'2.4.clean'!A:A=C654)),)"),"")</f>
        <v/>
      </c>
      <c r="G654" s="20" t="str">
        <f>IFERROR(__xludf.DUMMYFUNCTION("iferror(filter('3.1.clean'!C:C,'3.1.clean'!A:A=C654),"""")"),"")</f>
        <v/>
      </c>
      <c r="H654" s="22"/>
      <c r="I654" s="22"/>
      <c r="J654" s="79"/>
      <c r="K654" s="20" t="str">
        <f>IFERROR(__xludf.DUMMYFUNCTION("iferror(filter('3.2.clean'!C:C,'3.2.clean'!A:A=C654),"""")"),"")</f>
        <v/>
      </c>
      <c r="L654" s="79"/>
      <c r="M654" s="20">
        <f>IFERROR(__xludf.DUMMYFUNCTION("iferror(filter('3.3.clean'!C:C,'3.3.clean'!A:A=C654),"""")"),43762.0)</f>
        <v>43762</v>
      </c>
      <c r="N654" s="79" t="b">
        <f t="shared" si="477"/>
        <v>1</v>
      </c>
      <c r="O654" s="20" t="str">
        <f>IFERROR(__xludf.DUMMYFUNCTION("iferror(filter('3.4.clean'!C:C,'3.4.clean'!A:A=C654),"""")"),"")</f>
        <v/>
      </c>
      <c r="P654" s="79" t="b">
        <f t="shared" si="470"/>
        <v>0</v>
      </c>
      <c r="Q654" s="20">
        <f>IFERROR(__xludf.DUMMYFUNCTION("iferror(filter('3.5.clean'!C:C,'3.5.clean'!A:A=C654),"""")"),43760.0)</f>
        <v>43760</v>
      </c>
      <c r="R654" s="22" t="b">
        <f t="shared" si="479"/>
        <v>1</v>
      </c>
      <c r="S654" s="25"/>
      <c r="V654" s="52" t="s">
        <v>64</v>
      </c>
      <c r="W654" s="23" t="b">
        <f>IF(and(R654=TRUE,N654=TRUE,P654=TRUE),TRUE,FALSE)</f>
        <v>0</v>
      </c>
      <c r="X654" s="23" t="str">
        <f>IFERROR(__xludf.DUMMYFUNCTION("if(COUNTA(FILTER(C:C, C:C = C654))=1,""no"",""yes"")"),"no")</f>
        <v>no</v>
      </c>
    </row>
    <row r="655">
      <c r="A655" s="1" t="s">
        <v>798</v>
      </c>
      <c r="B655" s="19">
        <v>10.0</v>
      </c>
      <c r="C655" s="19" t="s">
        <v>1459</v>
      </c>
      <c r="D655" s="76" t="str">
        <f t="shared" si="476"/>
        <v/>
      </c>
      <c r="E655" s="77">
        <f>G655</f>
        <v>43760</v>
      </c>
      <c r="F655" s="78" t="str">
        <f>IFERROR(__xludf.DUMMYFUNCTION("iferror(ifna(IFNA(filter('2.1.clean'!E:E,'2.1.clean'!A:A=C655),filter('2.2.clean'!G:G,'2.2.clean'!D:D=C655)),filter('2.4.clean'!E:E,'2.4.clean'!A:A=C655)),)"),"")</f>
        <v/>
      </c>
      <c r="G655" s="77">
        <f>IFERROR(__xludf.DUMMYFUNCTION("iferror(filter('3.1.clean'!C:C,'3.1.clean'!A:A=C655),"""")"),43760.0)</f>
        <v>43760</v>
      </c>
      <c r="H655" s="76" t="b">
        <f t="shared" ref="H655:H661" si="480">if(G655="",FALSE,TRUE)</f>
        <v>1</v>
      </c>
      <c r="I655" s="76">
        <f>IFERROR(__xludf.DUMMYFUNCTION("iferror(filter('3.1.clean'!G:G,'3.1.clean'!A:A=C655),"""")"),0.0)</f>
        <v>0</v>
      </c>
      <c r="J655" s="78">
        <f>IFERROR(__xludf.DUMMYFUNCTION("iferror(filter('3.1.clean'!I:I,'3.1.clean'!A:A=C655),"""")"),0.0)</f>
        <v>0</v>
      </c>
      <c r="K655" s="77"/>
      <c r="L655" s="78"/>
      <c r="M655" s="77"/>
      <c r="N655" s="78"/>
      <c r="O655" s="77"/>
      <c r="P655" s="78"/>
      <c r="Q655" s="77"/>
      <c r="R655" s="76"/>
      <c r="S655" s="25"/>
      <c r="V655" s="1" t="s">
        <v>64</v>
      </c>
      <c r="W655" s="1" t="b">
        <v>1</v>
      </c>
      <c r="X655" s="23" t="str">
        <f>IFERROR(__xludf.DUMMYFUNCTION("if(COUNTA(FILTER(C:C, C:C = C655))=1,""no"",""yes"")"),"no")</f>
        <v>no</v>
      </c>
    </row>
    <row r="656">
      <c r="A656" s="75" t="s">
        <v>812</v>
      </c>
      <c r="B656" s="2">
        <v>1.0</v>
      </c>
      <c r="C656" s="2" t="s">
        <v>223</v>
      </c>
      <c r="E656" s="24">
        <f>IFERROR(__xludf.DUMMYFUNCTION("ifna(IFNA(filter('2.1.clean'!C:C,'2.1.clean'!A:A=C656),filter('2.2.clean'!E:E,'2.2.clean'!D:D=C656)),filter('2.4.clean'!C:C,'2.4.clean'!A:A=C656))"),43761.0)</f>
        <v>43761</v>
      </c>
      <c r="F656" s="25">
        <f>IFERROR(__xludf.DUMMYFUNCTION("iferror(ifna(IFNA(filter('2.1.clean'!E:E,'2.1.clean'!A:A=C656),filter('2.2.clean'!G:G,'2.2.clean'!D:D=C656)),filter('2.4.clean'!E:E,'2.4.clean'!A:A=C656)),)"),2.2)</f>
        <v>2.2</v>
      </c>
      <c r="G656" s="24">
        <f>IFERROR(__xludf.DUMMYFUNCTION("iferror(filter('3.1.clean'!C:C,'3.1.clean'!A:A=C656),"""")"),43761.0)</f>
        <v>43761</v>
      </c>
      <c r="H656" s="23" t="b">
        <f t="shared" si="480"/>
        <v>1</v>
      </c>
      <c r="J656" s="25"/>
      <c r="K656" s="24">
        <f>IFERROR(__xludf.DUMMYFUNCTION("iferror(filter('3.2.clean'!C:C,'3.2.clean'!A:A=C656),"""")"),43762.0)</f>
        <v>43762</v>
      </c>
      <c r="L656" s="25" t="b">
        <f t="shared" ref="L656:L660" si="481">if(K656="",FALSE,TRUE)</f>
        <v>1</v>
      </c>
      <c r="M656" s="24">
        <f>IFERROR(__xludf.DUMMYFUNCTION("iferror(filter('3.3.clean'!C:C,'3.3.clean'!A:A=C656),"""")"),43762.0)</f>
        <v>43762</v>
      </c>
      <c r="N656" s="25" t="b">
        <f t="shared" ref="N656:N663" si="482">if(M656="",FALSE,TRUE)</f>
        <v>1</v>
      </c>
      <c r="O656" s="24">
        <f>IFERROR(__xludf.DUMMYFUNCTION("iferror(filter('3.4.clean'!C:C,'3.4.clean'!A:A=C656),"""")"),43769.0)</f>
        <v>43769</v>
      </c>
      <c r="P656" s="25" t="b">
        <f t="shared" ref="P656:P663" si="483">if(O656="",FALSE,TRUE)</f>
        <v>1</v>
      </c>
      <c r="Q656" s="24" t="str">
        <f>IFERROR(__xludf.DUMMYFUNCTION("iferror(filter('3.5.clean'!C:C,'3.5.clean'!A:A=C656),"""")"),"")</f>
        <v/>
      </c>
      <c r="S656" s="25"/>
      <c r="W656" s="23" t="b">
        <f t="shared" ref="W656:W660" si="484">IF(and(H656=TRUE,L656=TRUE,N656=TRUE,P656=TRUE),TRUE,FALSE)</f>
        <v>1</v>
      </c>
      <c r="X656" s="23" t="str">
        <f>IFERROR(__xludf.DUMMYFUNCTION("if(COUNTA(FILTER(C:C, C:C = C656))=1,""no"",""yes"")"),"no")</f>
        <v>no</v>
      </c>
    </row>
    <row r="657">
      <c r="A657" s="75" t="s">
        <v>812</v>
      </c>
      <c r="B657" s="2">
        <v>2.0</v>
      </c>
      <c r="C657" s="2" t="s">
        <v>225</v>
      </c>
      <c r="E657" s="24">
        <f>IFERROR(__xludf.DUMMYFUNCTION("ifna(IFNA(filter('2.1.clean'!C:C,'2.1.clean'!A:A=C657),filter('2.2.clean'!E:E,'2.2.clean'!D:D=C657)),filter('2.4.clean'!C:C,'2.4.clean'!A:A=C657))"),43761.0)</f>
        <v>43761</v>
      </c>
      <c r="F657" s="25">
        <f>IFERROR(__xludf.DUMMYFUNCTION("iferror(ifna(IFNA(filter('2.1.clean'!E:E,'2.1.clean'!A:A=C657),filter('2.2.clean'!G:G,'2.2.clean'!D:D=C657)),filter('2.4.clean'!E:E,'2.4.clean'!A:A=C657)),)"),2.2)</f>
        <v>2.2</v>
      </c>
      <c r="G657" s="24">
        <f>IFERROR(__xludf.DUMMYFUNCTION("iferror(filter('3.1.clean'!C:C,'3.1.clean'!A:A=C657),"""")"),43761.0)</f>
        <v>43761</v>
      </c>
      <c r="H657" s="23" t="b">
        <f t="shared" si="480"/>
        <v>1</v>
      </c>
      <c r="J657" s="25"/>
      <c r="K657" s="24">
        <f>IFERROR(__xludf.DUMMYFUNCTION("iferror(filter('3.2.clean'!C:C,'3.2.clean'!A:A=C657),"""")"),43762.0)</f>
        <v>43762</v>
      </c>
      <c r="L657" s="25" t="b">
        <f t="shared" si="481"/>
        <v>1</v>
      </c>
      <c r="M657" s="24">
        <f>IFERROR(__xludf.DUMMYFUNCTION("iferror(filter('3.3.clean'!C:C,'3.3.clean'!A:A=C657),"""")"),43762.0)</f>
        <v>43762</v>
      </c>
      <c r="N657" s="25" t="b">
        <f t="shared" si="482"/>
        <v>1</v>
      </c>
      <c r="O657" s="24">
        <f>IFERROR(__xludf.DUMMYFUNCTION("iferror(filter('3.4.clean'!C:C,'3.4.clean'!A:A=C657),"""")"),43769.0)</f>
        <v>43769</v>
      </c>
      <c r="P657" s="25" t="b">
        <f t="shared" si="483"/>
        <v>1</v>
      </c>
      <c r="Q657" s="24" t="str">
        <f>IFERROR(__xludf.DUMMYFUNCTION("iferror(filter('3.5.clean'!C:C,'3.5.clean'!A:A=C657),"""")"),"")</f>
        <v/>
      </c>
      <c r="S657" s="25"/>
      <c r="W657" s="23" t="b">
        <f t="shared" si="484"/>
        <v>1</v>
      </c>
      <c r="X657" s="23" t="str">
        <f>IFERROR(__xludf.DUMMYFUNCTION("if(COUNTA(FILTER(C:C, C:C = C657))=1,""no"",""yes"")"),"no")</f>
        <v>no</v>
      </c>
    </row>
    <row r="658">
      <c r="A658" s="75" t="s">
        <v>812</v>
      </c>
      <c r="B658" s="2">
        <v>3.0</v>
      </c>
      <c r="C658" s="2" t="s">
        <v>227</v>
      </c>
      <c r="E658" s="24">
        <f>IFERROR(__xludf.DUMMYFUNCTION("ifna(IFNA(filter('2.1.clean'!C:C,'2.1.clean'!A:A=C658),filter('2.2.clean'!E:E,'2.2.clean'!D:D=C658)),filter('2.4.clean'!C:C,'2.4.clean'!A:A=C658))"),43761.0)</f>
        <v>43761</v>
      </c>
      <c r="F658" s="25">
        <f>IFERROR(__xludf.DUMMYFUNCTION("iferror(ifna(IFNA(filter('2.1.clean'!E:E,'2.1.clean'!A:A=C658),filter('2.2.clean'!G:G,'2.2.clean'!D:D=C658)),filter('2.4.clean'!E:E,'2.4.clean'!A:A=C658)),)"),2.2)</f>
        <v>2.2</v>
      </c>
      <c r="G658" s="24">
        <f>IFERROR(__xludf.DUMMYFUNCTION("iferror(filter('3.1.clean'!C:C,'3.1.clean'!A:A=C658),"""")"),43761.0)</f>
        <v>43761</v>
      </c>
      <c r="H658" s="23" t="b">
        <f t="shared" si="480"/>
        <v>1</v>
      </c>
      <c r="J658" s="25"/>
      <c r="K658" s="24">
        <f>IFERROR(__xludf.DUMMYFUNCTION("iferror(filter('3.2.clean'!C:C,'3.2.clean'!A:A=C658),"""")"),43793.0)</f>
        <v>43793</v>
      </c>
      <c r="L658" s="25" t="b">
        <f t="shared" si="481"/>
        <v>1</v>
      </c>
      <c r="M658" s="24">
        <f>IFERROR(__xludf.DUMMYFUNCTION("iferror(filter('3.3.clean'!C:C,'3.3.clean'!A:A=C658),"""")"),43762.0)</f>
        <v>43762</v>
      </c>
      <c r="N658" s="25" t="b">
        <f t="shared" si="482"/>
        <v>1</v>
      </c>
      <c r="O658" s="24">
        <f>IFERROR(__xludf.DUMMYFUNCTION("iferror(filter('3.4.clean'!C:C,'3.4.clean'!A:A=C658),"""")"),43769.0)</f>
        <v>43769</v>
      </c>
      <c r="P658" s="25" t="b">
        <f t="shared" si="483"/>
        <v>1</v>
      </c>
      <c r="Q658" s="24" t="str">
        <f>IFERROR(__xludf.DUMMYFUNCTION("iferror(filter('3.5.clean'!C:C,'3.5.clean'!A:A=C658),"""")"),"")</f>
        <v/>
      </c>
      <c r="S658" s="25"/>
      <c r="W658" s="23" t="b">
        <f t="shared" si="484"/>
        <v>1</v>
      </c>
      <c r="X658" s="23" t="str">
        <f>IFERROR(__xludf.DUMMYFUNCTION("if(COUNTA(FILTER(C:C, C:C = C658))=1,""no"",""yes"")"),"no")</f>
        <v>no</v>
      </c>
    </row>
    <row r="659">
      <c r="A659" s="75" t="s">
        <v>812</v>
      </c>
      <c r="B659" s="2">
        <v>4.0</v>
      </c>
      <c r="C659" s="2" t="s">
        <v>229</v>
      </c>
      <c r="E659" s="24">
        <f>IFERROR(__xludf.DUMMYFUNCTION("ifna(IFNA(filter('2.1.clean'!C:C,'2.1.clean'!A:A=C659),filter('2.2.clean'!E:E,'2.2.clean'!D:D=C659)),filter('2.4.clean'!C:C,'2.4.clean'!A:A=C659))"),43761.0)</f>
        <v>43761</v>
      </c>
      <c r="F659" s="25">
        <f>IFERROR(__xludf.DUMMYFUNCTION("iferror(ifna(IFNA(filter('2.1.clean'!E:E,'2.1.clean'!A:A=C659),filter('2.2.clean'!G:G,'2.2.clean'!D:D=C659)),filter('2.4.clean'!E:E,'2.4.clean'!A:A=C659)),)"),2.2)</f>
        <v>2.2</v>
      </c>
      <c r="G659" s="24">
        <f>IFERROR(__xludf.DUMMYFUNCTION("iferror(filter('3.1.clean'!C:C,'3.1.clean'!A:A=C659),"""")"),43761.0)</f>
        <v>43761</v>
      </c>
      <c r="H659" s="23" t="b">
        <f t="shared" si="480"/>
        <v>1</v>
      </c>
      <c r="J659" s="25"/>
      <c r="K659" s="24">
        <f>IFERROR(__xludf.DUMMYFUNCTION("iferror(filter('3.2.clean'!C:C,'3.2.clean'!A:A=C659),"""")"),43762.0)</f>
        <v>43762</v>
      </c>
      <c r="L659" s="25" t="b">
        <f t="shared" si="481"/>
        <v>1</v>
      </c>
      <c r="M659" s="24">
        <f>IFERROR(__xludf.DUMMYFUNCTION("iferror(filter('3.3.clean'!C:C,'3.3.clean'!A:A=C659),"""")"),43762.0)</f>
        <v>43762</v>
      </c>
      <c r="N659" s="25" t="b">
        <f t="shared" si="482"/>
        <v>1</v>
      </c>
      <c r="O659" s="24">
        <f>IFERROR(__xludf.DUMMYFUNCTION("iferror(filter('3.4.clean'!C:C,'3.4.clean'!A:A=C659),"""")"),43769.0)</f>
        <v>43769</v>
      </c>
      <c r="P659" s="25" t="b">
        <f t="shared" si="483"/>
        <v>1</v>
      </c>
      <c r="Q659" s="24" t="str">
        <f>IFERROR(__xludf.DUMMYFUNCTION("iferror(filter('3.5.clean'!C:C,'3.5.clean'!A:A=C659),"""")"),"")</f>
        <v/>
      </c>
      <c r="S659" s="25"/>
      <c r="W659" s="23" t="b">
        <f t="shared" si="484"/>
        <v>1</v>
      </c>
      <c r="X659" s="23" t="str">
        <f>IFERROR(__xludf.DUMMYFUNCTION("if(COUNTA(FILTER(C:C, C:C = C659))=1,""no"",""yes"")"),"no")</f>
        <v>no</v>
      </c>
    </row>
    <row r="660">
      <c r="A660" s="75" t="s">
        <v>812</v>
      </c>
      <c r="B660" s="2">
        <v>5.0</v>
      </c>
      <c r="C660" s="2" t="s">
        <v>231</v>
      </c>
      <c r="E660" s="24">
        <f>IFERROR(__xludf.DUMMYFUNCTION("ifna(IFNA(filter('2.1.clean'!C:C,'2.1.clean'!A:A=C660),filter('2.2.clean'!E:E,'2.2.clean'!D:D=C660)),filter('2.4.clean'!C:C,'2.4.clean'!A:A=C660))"),43761.0)</f>
        <v>43761</v>
      </c>
      <c r="F660" s="25">
        <f>IFERROR(__xludf.DUMMYFUNCTION("iferror(ifna(IFNA(filter('2.1.clean'!E:E,'2.1.clean'!A:A=C660),filter('2.2.clean'!G:G,'2.2.clean'!D:D=C660)),filter('2.4.clean'!E:E,'2.4.clean'!A:A=C660)),)"),2.2)</f>
        <v>2.2</v>
      </c>
      <c r="G660" s="24">
        <f>IFERROR(__xludf.DUMMYFUNCTION("iferror(filter('3.1.clean'!C:C,'3.1.clean'!A:A=C660),"""")"),43761.0)</f>
        <v>43761</v>
      </c>
      <c r="H660" s="23" t="b">
        <f t="shared" si="480"/>
        <v>1</v>
      </c>
      <c r="J660" s="25"/>
      <c r="K660" s="24">
        <f>IFERROR(__xludf.DUMMYFUNCTION("iferror(filter('3.2.clean'!C:C,'3.2.clean'!A:A=C660),"""")"),43762.0)</f>
        <v>43762</v>
      </c>
      <c r="L660" s="25" t="b">
        <f t="shared" si="481"/>
        <v>1</v>
      </c>
      <c r="M660" s="24">
        <f>IFERROR(__xludf.DUMMYFUNCTION("iferror(filter('3.3.clean'!C:C,'3.3.clean'!A:A=C660),"""")"),43762.0)</f>
        <v>43762</v>
      </c>
      <c r="N660" s="25" t="b">
        <f t="shared" si="482"/>
        <v>1</v>
      </c>
      <c r="O660" s="24">
        <f>IFERROR(__xludf.DUMMYFUNCTION("iferror(filter('3.4.clean'!C:C,'3.4.clean'!A:A=C660),"""")"),43769.0)</f>
        <v>43769</v>
      </c>
      <c r="P660" s="25" t="b">
        <f t="shared" si="483"/>
        <v>1</v>
      </c>
      <c r="Q660" s="24" t="str">
        <f>IFERROR(__xludf.DUMMYFUNCTION("iferror(filter('3.5.clean'!C:C,'3.5.clean'!A:A=C660),"""")"),"")</f>
        <v/>
      </c>
      <c r="S660" s="25"/>
      <c r="W660" s="23" t="b">
        <f t="shared" si="484"/>
        <v>1</v>
      </c>
      <c r="X660" s="23" t="str">
        <f>IFERROR(__xludf.DUMMYFUNCTION("if(COUNTA(FILTER(C:C, C:C = C660))=1,""no"",""yes"")"),"no")</f>
        <v>no</v>
      </c>
    </row>
    <row r="661">
      <c r="A661" s="75" t="s">
        <v>812</v>
      </c>
      <c r="B661" s="19">
        <v>6.0</v>
      </c>
      <c r="C661" s="19" t="s">
        <v>603</v>
      </c>
      <c r="D661" s="61" t="str">
        <f t="shared" ref="D661:D664" si="485">if(or(I661=1,J661=1,S661=1),"pos","")</f>
        <v/>
      </c>
      <c r="E661" s="59">
        <f>IFERROR(__xludf.DUMMYFUNCTION("ifna(IFNA(filter('2.1.clean'!C:C,'2.1.clean'!A:A=C661),filter('2.2.clean'!E:E,'2.2.clean'!D:D=C661)),filter('2.4.clean'!C:C,'2.4.clean'!A:A=C661))"),43761.0)</f>
        <v>43761</v>
      </c>
      <c r="F661" s="60">
        <f>IFERROR(__xludf.DUMMYFUNCTION("iferror(ifna(IFNA(filter('2.1.clean'!E:E,'2.1.clean'!A:A=C661),filter('2.2.clean'!G:G,'2.2.clean'!D:D=C661)),filter('2.4.clean'!E:E,'2.4.clean'!A:A=C661)),)"),2.2)</f>
        <v>2.2</v>
      </c>
      <c r="G661" s="59">
        <f>IFERROR(__xludf.DUMMYFUNCTION("iferror(filter('3.1.clean'!C:C,'3.1.clean'!A:A=C661),"""")"),43761.0)</f>
        <v>43761</v>
      </c>
      <c r="H661" s="58" t="b">
        <f t="shared" si="480"/>
        <v>1</v>
      </c>
      <c r="I661" s="61">
        <f>IFERROR(__xludf.DUMMYFUNCTION("iferror(filter('3.1.clean'!G:G,'3.1.clean'!A:A=C661),"""")"),0.0)</f>
        <v>0</v>
      </c>
      <c r="J661" s="65">
        <f>IFERROR(__xludf.DUMMYFUNCTION("iferror(filter('3.1.clean'!I:I,'3.1.clean'!A:A=C661),"""")"),0.0)</f>
        <v>0</v>
      </c>
      <c r="K661" s="61"/>
      <c r="L661" s="65"/>
      <c r="M661" s="66">
        <f>IFERROR(__xludf.DUMMYFUNCTION("iferror(filter('3.3.clean'!C:C,'3.3.clean'!A:A=C661),"""")"),43762.0)</f>
        <v>43762</v>
      </c>
      <c r="N661" s="60" t="b">
        <f t="shared" si="482"/>
        <v>1</v>
      </c>
      <c r="O661" s="66" t="str">
        <f>IFERROR(__xludf.DUMMYFUNCTION("iferror(filter('3.4.clean'!C:C,'3.4.clean'!A:A=C661),"""")"),"")</f>
        <v/>
      </c>
      <c r="P661" s="60" t="b">
        <f t="shared" si="483"/>
        <v>0</v>
      </c>
      <c r="Q661" s="66" t="str">
        <f>IFERROR(__xludf.DUMMYFUNCTION("iferror(filter('3.5.clean'!C:C,'3.5.clean'!A:A=C661),"""")"),"")</f>
        <v/>
      </c>
      <c r="R661" s="58"/>
      <c r="S661" s="67" t="str">
        <f>IFERROR(__xludf.DUMMYFUNCTION("iferror(filter('3.5.clean'!H:H,'3.5.clean'!A:A=C661),"""")"),"")</f>
        <v/>
      </c>
      <c r="T661" s="48"/>
      <c r="U661" s="39"/>
      <c r="V661" s="39"/>
      <c r="W661" s="23" t="b">
        <f>if(AND(H661=TRUE,N661=TRUE,P661=TRUE),TRUE,FALSE)</f>
        <v>0</v>
      </c>
      <c r="X661" s="39" t="str">
        <f>IFERROR(__xludf.DUMMYFUNCTION("if(COUNTA(FILTER(C:C, C:C = C661))=1,""no"",""yes"")"),"no")</f>
        <v>no</v>
      </c>
    </row>
    <row r="662">
      <c r="A662" s="75" t="s">
        <v>812</v>
      </c>
      <c r="B662" s="19">
        <v>7.0</v>
      </c>
      <c r="C662" s="19" t="s">
        <v>1462</v>
      </c>
      <c r="D662" s="58" t="str">
        <f t="shared" si="485"/>
        <v>pos</v>
      </c>
      <c r="E662" s="59">
        <f t="shared" ref="E662:E663" si="486">Q662</f>
        <v>43761</v>
      </c>
      <c r="F662" s="60" t="str">
        <f>IFERROR(__xludf.DUMMYFUNCTION("iferror(ifna(IFNA(filter('2.1.clean'!E:E,'2.1.clean'!A:A=C662),filter('2.2.clean'!G:G,'2.2.clean'!D:D=C662)),filter('2.4.clean'!E:E,'2.4.clean'!A:A=C662)),)"),"")</f>
        <v/>
      </c>
      <c r="G662" s="59" t="str">
        <f>IFERROR(__xludf.DUMMYFUNCTION("iferror(filter('3.1.clean'!C:C,'3.1.clean'!A:A=C662),"""")"),"")</f>
        <v/>
      </c>
      <c r="H662" s="58"/>
      <c r="I662" s="58" t="str">
        <f>IFERROR(__xludf.DUMMYFUNCTION("iferror(filter('3.1.clean'!G:G,'3.1.clean'!A:A=C662),"""")"),"")</f>
        <v/>
      </c>
      <c r="J662" s="60" t="str">
        <f>IFERROR(__xludf.DUMMYFUNCTION("iferror(filter('3.1.clean'!I:I,'3.1.clean'!A:A=C662),"""")"),"")</f>
        <v/>
      </c>
      <c r="K662" s="59"/>
      <c r="L662" s="60"/>
      <c r="M662" s="81" t="s">
        <v>814</v>
      </c>
      <c r="N662" s="60" t="b">
        <f t="shared" si="482"/>
        <v>1</v>
      </c>
      <c r="O662" s="59">
        <f>IFERROR(__xludf.DUMMYFUNCTION("iferror(filter('3.4.clean'!C:C,'3.4.clean'!A:A=C662),"""")"),43769.0)</f>
        <v>43769</v>
      </c>
      <c r="P662" s="60" t="b">
        <f t="shared" si="483"/>
        <v>1</v>
      </c>
      <c r="Q662" s="59">
        <f>IFERROR(__xludf.DUMMYFUNCTION("iferror(filter('3.5.clean'!C:C,'3.5.clean'!A:A=C662),"""")"),43761.0)</f>
        <v>43761</v>
      </c>
      <c r="R662" s="58" t="b">
        <f t="shared" ref="R662:R663" si="487">if(Q662="",FALSE,TRUE)</f>
        <v>1</v>
      </c>
      <c r="S662" s="4">
        <f>IFERROR(__xludf.DUMMYFUNCTION("iferror(filter('3.5.clean'!H:H,'3.5.clean'!A:A=C662),"""")"),1.0)</f>
        <v>1</v>
      </c>
      <c r="V662" s="52" t="s">
        <v>64</v>
      </c>
      <c r="W662" s="23" t="b">
        <f>if(AND(R662=TRUE,N662=TRUE,P662=TRUE),TRUE,FALSE)</f>
        <v>1</v>
      </c>
      <c r="X662" s="23" t="str">
        <f>IFERROR(__xludf.DUMMYFUNCTION("if(COUNTA(FILTER(C:C, C:C = C662))=1,""no"",""yes"")"),"no")</f>
        <v>no</v>
      </c>
    </row>
    <row r="663">
      <c r="A663" s="75" t="s">
        <v>812</v>
      </c>
      <c r="B663" s="19">
        <v>8.0</v>
      </c>
      <c r="C663" s="19" t="s">
        <v>1464</v>
      </c>
      <c r="D663" s="92" t="str">
        <f t="shared" si="485"/>
        <v/>
      </c>
      <c r="E663" s="20">
        <f t="shared" si="486"/>
        <v>43761</v>
      </c>
      <c r="F663" s="79" t="str">
        <f>IFERROR(__xludf.DUMMYFUNCTION("iferror(ifna(IFNA(filter('2.1.clean'!E:E,'2.1.clean'!A:A=C663),filter('2.2.clean'!G:G,'2.2.clean'!D:D=C663)),filter('2.4.clean'!E:E,'2.4.clean'!A:A=C663)),)"),"")</f>
        <v/>
      </c>
      <c r="G663" s="93" t="str">
        <f>IFERROR(__xludf.DUMMYFUNCTION("iferror(filter('3.1.clean'!C:C,'3.1.clean'!A:A=C663),"""")"),"")</f>
        <v/>
      </c>
      <c r="H663" s="92"/>
      <c r="I663" s="92"/>
      <c r="J663" s="94"/>
      <c r="K663" s="93" t="str">
        <f>IFERROR(__xludf.DUMMYFUNCTION("iferror(filter('3.2.clean'!C:C,'3.2.clean'!A:A=C663),"""")"),"")</f>
        <v/>
      </c>
      <c r="L663" s="94"/>
      <c r="M663" s="95">
        <f>IFERROR(__xludf.DUMMYFUNCTION("iferror(filter('3.3.clean'!C:C,'3.3.clean'!A:A=C663),"""")"),43762.0)</f>
        <v>43762</v>
      </c>
      <c r="N663" s="79" t="b">
        <f t="shared" si="482"/>
        <v>1</v>
      </c>
      <c r="O663" s="93" t="str">
        <f>IFERROR(__xludf.DUMMYFUNCTION("iferror(filter('3.4.clean'!C:C,'3.4.clean'!A:A=C663),"""")"),"")</f>
        <v/>
      </c>
      <c r="P663" s="79" t="b">
        <f t="shared" si="483"/>
        <v>0</v>
      </c>
      <c r="Q663" s="95">
        <f>IFERROR(__xludf.DUMMYFUNCTION("iferror(filter('3.5.clean'!C:C,'3.5.clean'!A:A=C663),"""")"),43761.0)</f>
        <v>43761</v>
      </c>
      <c r="R663" s="22" t="b">
        <f t="shared" si="487"/>
        <v>1</v>
      </c>
      <c r="S663" s="25"/>
      <c r="V663" s="52" t="s">
        <v>64</v>
      </c>
      <c r="W663" s="23" t="b">
        <f>IF(and(R663=TRUE,N663=TRUE,P663=TRUE),TRUE,FALSE)</f>
        <v>0</v>
      </c>
      <c r="X663" s="23" t="str">
        <f>IFERROR(__xludf.DUMMYFUNCTION("if(COUNTA(FILTER(C:C, C:C = C663))=1,""no"",""yes"")"),"no")</f>
        <v>no</v>
      </c>
    </row>
    <row r="664">
      <c r="A664" s="75" t="s">
        <v>812</v>
      </c>
      <c r="B664" s="19">
        <v>9.0</v>
      </c>
      <c r="C664" s="19" t="s">
        <v>1465</v>
      </c>
      <c r="D664" s="76" t="str">
        <f t="shared" si="485"/>
        <v/>
      </c>
      <c r="E664" s="77">
        <f>G664</f>
        <v>43761</v>
      </c>
      <c r="F664" s="78" t="str">
        <f>IFERROR(__xludf.DUMMYFUNCTION("iferror(ifna(IFNA(filter('2.1.clean'!E:E,'2.1.clean'!A:A=C664),filter('2.2.clean'!G:G,'2.2.clean'!D:D=C664)),filter('2.4.clean'!E:E,'2.4.clean'!A:A=C664)),)"),"")</f>
        <v/>
      </c>
      <c r="G664" s="77">
        <f>IFERROR(__xludf.DUMMYFUNCTION("iferror(filter('3.1.clean'!C:C,'3.1.clean'!A:A=C664),"""")"),43761.0)</f>
        <v>43761</v>
      </c>
      <c r="H664" s="76" t="b">
        <f>if(G664="",FALSE,TRUE)</f>
        <v>1</v>
      </c>
      <c r="I664" s="76">
        <f>IFERROR(__xludf.DUMMYFUNCTION("iferror(filter('3.1.clean'!G:G,'3.1.clean'!A:A=C664),"""")"),0.0)</f>
        <v>0</v>
      </c>
      <c r="J664" s="78">
        <f>IFERROR(__xludf.DUMMYFUNCTION("iferror(filter('3.1.clean'!I:I,'3.1.clean'!A:A=C664),"""")"),0.0)</f>
        <v>0</v>
      </c>
      <c r="K664" s="77"/>
      <c r="L664" s="78"/>
      <c r="M664" s="77"/>
      <c r="N664" s="78"/>
      <c r="O664" s="77"/>
      <c r="P664" s="78"/>
      <c r="Q664" s="77"/>
      <c r="R664" s="76"/>
      <c r="S664" s="25"/>
      <c r="V664" s="1" t="s">
        <v>64</v>
      </c>
      <c r="W664" s="1" t="b">
        <v>1</v>
      </c>
      <c r="X664" s="23" t="str">
        <f>IFERROR(__xludf.DUMMYFUNCTION("if(COUNTA(FILTER(C:C, C:C = C664))=1,""no"",""yes"")"),"no")</f>
        <v>no</v>
      </c>
    </row>
    <row r="665">
      <c r="A665" s="75" t="s">
        <v>812</v>
      </c>
      <c r="B665" s="2">
        <v>10.0</v>
      </c>
      <c r="C665" s="19" t="s">
        <v>1467</v>
      </c>
      <c r="E665" s="24">
        <v>43761.0</v>
      </c>
      <c r="F665" s="25" t="str">
        <f>IFERROR(__xludf.DUMMYFUNCTION("iferror(ifna(IFNA(filter('2.1.clean'!E:E,'2.1.clean'!A:A=C665),filter('2.2.clean'!G:G,'2.2.clean'!D:D=C665)),filter('2.4.clean'!E:E,'2.4.clean'!A:A=C665)),)"),"")</f>
        <v/>
      </c>
      <c r="G665" s="24" t="str">
        <f>IFERROR(__xludf.DUMMYFUNCTION("iferror(filter('3.1.clean'!C:C,'3.1.clean'!A:A=C665),"""")"),"")</f>
        <v/>
      </c>
      <c r="J665" s="25"/>
      <c r="K665" s="24" t="str">
        <f>IFERROR(__xludf.DUMMYFUNCTION("iferror(filter('3.2.clean'!C:C,'3.2.clean'!A:A=C665),"""")"),"")</f>
        <v/>
      </c>
      <c r="L665" s="25"/>
      <c r="M665" s="24">
        <f>IFERROR(__xludf.DUMMYFUNCTION("iferror(filter('3.3.clean'!C:C,'3.3.clean'!A:A=C665),"""")"),43762.0)</f>
        <v>43762</v>
      </c>
      <c r="N665" s="25" t="b">
        <f t="shared" ref="N665:N688" si="488">if(M665="",FALSE,TRUE)</f>
        <v>1</v>
      </c>
      <c r="O665" s="24" t="str">
        <f>IFERROR(__xludf.DUMMYFUNCTION("iferror(filter('3.4.clean'!C:C,'3.4.clean'!A:A=C665),"""")"),"")</f>
        <v/>
      </c>
      <c r="P665" s="25" t="b">
        <f t="shared" ref="P665:P688" si="489">if(O665="",FALSE,TRUE)</f>
        <v>0</v>
      </c>
      <c r="Q665" s="24" t="str">
        <f>IFERROR(__xludf.DUMMYFUNCTION("iferror(filter('3.5.clean'!C:C,'3.5.clean'!A:A=C665),"""")"),"")</f>
        <v/>
      </c>
      <c r="S665" s="25"/>
      <c r="V665" s="52" t="s">
        <v>64</v>
      </c>
      <c r="X665" s="23" t="str">
        <f>IFERROR(__xludf.DUMMYFUNCTION("if(COUNTA(FILTER(C:C, C:C = C665))=1,""no"",""yes"")"),"no")</f>
        <v>no</v>
      </c>
    </row>
    <row r="666">
      <c r="A666" s="1" t="s">
        <v>817</v>
      </c>
      <c r="B666" s="2">
        <v>1.0</v>
      </c>
      <c r="C666" s="19" t="s">
        <v>1468</v>
      </c>
      <c r="E666" s="24">
        <f>IFERROR(__xludf.DUMMYFUNCTION("ifna(IFNA(filter('2.1.clean'!C:C,'2.1.clean'!A:A=C666),filter('2.2.clean'!E:E,'2.2.clean'!D:D=C666)),filter('2.4.clean'!C:C,'2.4.clean'!A:A=C666))"),43762.0)</f>
        <v>43762</v>
      </c>
      <c r="F666" s="25">
        <f>IFERROR(__xludf.DUMMYFUNCTION("iferror(ifna(IFNA(filter('2.1.clean'!E:E,'2.1.clean'!A:A=C666),filter('2.2.clean'!G:G,'2.2.clean'!D:D=C666)),filter('2.4.clean'!E:E,'2.4.clean'!A:A=C666)),)"),2.4)</f>
        <v>2.4</v>
      </c>
      <c r="G666" s="24"/>
      <c r="J666" s="25"/>
      <c r="K666" s="24"/>
      <c r="L666" s="25"/>
      <c r="M666" s="24">
        <f>IFERROR(__xludf.DUMMYFUNCTION("iferror(filter('3.3.clean'!C:C,'3.3.clean'!A:A=C666),"""")"),43766.0)</f>
        <v>43766</v>
      </c>
      <c r="N666" s="25" t="b">
        <f t="shared" si="488"/>
        <v>1</v>
      </c>
      <c r="O666" s="24">
        <f>IFERROR(__xludf.DUMMYFUNCTION("iferror(filter('3.4.clean'!C:C,'3.4.clean'!A:A=C666),"""")"),43770.0)</f>
        <v>43770</v>
      </c>
      <c r="P666" s="25" t="b">
        <f t="shared" si="489"/>
        <v>1</v>
      </c>
      <c r="Q666" s="24">
        <f>IFERROR(__xludf.DUMMYFUNCTION("iferror(filter('3.5.clean'!C:C,'3.5.clean'!A:A=C666),"""")"),43762.0)</f>
        <v>43762</v>
      </c>
      <c r="R666" s="23" t="b">
        <f>if(Q666="",FALSE,TRUE)</f>
        <v>1</v>
      </c>
      <c r="S666" s="25"/>
      <c r="V666" s="52" t="s">
        <v>64</v>
      </c>
      <c r="W666" s="23" t="b">
        <f>IF(and(R666=TRUE,N666=TRUE,P666=TRUE),TRUE,FALSE)</f>
        <v>1</v>
      </c>
      <c r="X666" s="23" t="str">
        <f>IFERROR(__xludf.DUMMYFUNCTION("if(COUNTA(FILTER(C:C, C:C = C666))=1,""no"",""yes"")"),"no")</f>
        <v>no</v>
      </c>
    </row>
    <row r="667">
      <c r="A667" s="1" t="s">
        <v>817</v>
      </c>
      <c r="B667" s="19">
        <v>2.0</v>
      </c>
      <c r="C667" s="19" t="s">
        <v>994</v>
      </c>
      <c r="D667" s="58" t="str">
        <f t="shared" ref="D667:D668" si="490">if(or(I667=1,J667=1,S667=1),"pos","")</f>
        <v/>
      </c>
      <c r="E667" s="59">
        <f>IFERROR(__xludf.DUMMYFUNCTION("ifna(IFNA(filter('2.1.clean'!C:C,'2.1.clean'!A:A=C667),filter('2.2.clean'!E:E,'2.2.clean'!D:D=C667)),filter('2.4.clean'!C:C,'2.4.clean'!A:A=C667))"),43762.0)</f>
        <v>43762</v>
      </c>
      <c r="F667" s="60">
        <f>IFERROR(__xludf.DUMMYFUNCTION("iferror(ifna(IFNA(filter('2.1.clean'!E:E,'2.1.clean'!A:A=C667),filter('2.2.clean'!G:G,'2.2.clean'!D:D=C667)),filter('2.4.clean'!E:E,'2.4.clean'!A:A=C667)),)"),2.4)</f>
        <v>2.4</v>
      </c>
      <c r="G667" s="59">
        <f>IFERROR(__xludf.DUMMYFUNCTION("iferror(filter('3.1.clean'!C:C,'3.1.clean'!A:A=C667),"""")"),43762.0)</f>
        <v>43762</v>
      </c>
      <c r="H667" s="58" t="b">
        <f>if(G667="",FALSE,TRUE)</f>
        <v>1</v>
      </c>
      <c r="I667" s="58">
        <f>IFERROR(__xludf.DUMMYFUNCTION("iferror(filter('3.1.clean'!G:G,'3.1.clean'!A:A=C667),"""")"),0.0)</f>
        <v>0</v>
      </c>
      <c r="J667" s="60">
        <f>IFERROR(__xludf.DUMMYFUNCTION("iferror(filter('3.1.clean'!I:I,'3.1.clean'!A:A=C667),"""")"),0.0)</f>
        <v>0</v>
      </c>
      <c r="K667" s="58"/>
      <c r="L667" s="60"/>
      <c r="M667" s="59">
        <f>IFERROR(__xludf.DUMMYFUNCTION("iferror(filter('3.3.clean'!C:C,'3.3.clean'!A:A=C667),"""")"),43766.0)</f>
        <v>43766</v>
      </c>
      <c r="N667" s="60" t="b">
        <f t="shared" si="488"/>
        <v>1</v>
      </c>
      <c r="O667" s="59" t="str">
        <f>IFERROR(__xludf.DUMMYFUNCTION("iferror(filter('3.4.clean'!C:C,'3.4.clean'!A:A=C667),"""")"),"")</f>
        <v/>
      </c>
      <c r="P667" s="60" t="b">
        <f t="shared" si="489"/>
        <v>0</v>
      </c>
      <c r="Q667" s="59" t="str">
        <f>IFERROR(__xludf.DUMMYFUNCTION("iferror(filter('3.5.clean'!C:C,'3.5.clean'!A:A=C667),"""")"),"")</f>
        <v/>
      </c>
      <c r="R667" s="58"/>
      <c r="S667" s="4" t="str">
        <f>IFERROR(__xludf.DUMMYFUNCTION("iferror(filter('3.5.clean'!H:H,'3.5.clean'!A:A=C667),"""")"),"")</f>
        <v/>
      </c>
      <c r="W667" s="23" t="b">
        <f>if(AND(H667=TRUE,N667=TRUE,P667=TRUE),TRUE,FALSE)</f>
        <v>0</v>
      </c>
      <c r="X667" s="23" t="str">
        <f>IFERROR(__xludf.DUMMYFUNCTION("if(COUNTA(FILTER(C:C, C:C = C667))=1,""no"",""yes"")"),"no")</f>
        <v>no</v>
      </c>
    </row>
    <row r="668">
      <c r="A668" s="1" t="s">
        <v>817</v>
      </c>
      <c r="B668" s="19">
        <v>3.0</v>
      </c>
      <c r="C668" s="19" t="s">
        <v>1470</v>
      </c>
      <c r="D668" s="58" t="str">
        <f t="shared" si="490"/>
        <v/>
      </c>
      <c r="E668" s="59">
        <f>Q668</f>
        <v>43762</v>
      </c>
      <c r="F668" s="60" t="str">
        <f>IFERROR(__xludf.DUMMYFUNCTION("iferror(ifna(IFNA(filter('2.1.clean'!E:E,'2.1.clean'!A:A=C668),filter('2.2.clean'!G:G,'2.2.clean'!D:D=C668)),filter('2.4.clean'!E:E,'2.4.clean'!A:A=C668)),)"),"")</f>
        <v/>
      </c>
      <c r="G668" s="59" t="str">
        <f>IFERROR(__xludf.DUMMYFUNCTION("iferror(filter('3.1.clean'!C:C,'3.1.clean'!A:A=C668),"""")"),"")</f>
        <v/>
      </c>
      <c r="H668" s="58"/>
      <c r="I668" s="58" t="str">
        <f>IFERROR(__xludf.DUMMYFUNCTION("iferror(filter('3.1.clean'!G:G,'3.1.clean'!A:A=C668),"""")"),"")</f>
        <v/>
      </c>
      <c r="J668" s="60" t="str">
        <f>IFERROR(__xludf.DUMMYFUNCTION("iferror(filter('3.1.clean'!I:I,'3.1.clean'!A:A=C668),"""")"),"")</f>
        <v/>
      </c>
      <c r="K668" s="59"/>
      <c r="L668" s="60"/>
      <c r="M668" s="59">
        <f>IFERROR(__xludf.DUMMYFUNCTION("iferror(filter('3.3.clean'!C:C,'3.3.clean'!A:A=C668),"""")"),43766.0)</f>
        <v>43766</v>
      </c>
      <c r="N668" s="60" t="b">
        <f t="shared" si="488"/>
        <v>1</v>
      </c>
      <c r="O668" s="59">
        <f>IFERROR(__xludf.DUMMYFUNCTION("iferror(filter('3.4.clean'!C:C,'3.4.clean'!A:A=C668),"""")"),43770.0)</f>
        <v>43770</v>
      </c>
      <c r="P668" s="60" t="b">
        <f t="shared" si="489"/>
        <v>1</v>
      </c>
      <c r="Q668" s="59">
        <f>IFERROR(__xludf.DUMMYFUNCTION("iferror(filter('3.5.clean'!C:C,'3.5.clean'!A:A=C668),"""")"),43762.0)</f>
        <v>43762</v>
      </c>
      <c r="R668" s="58" t="b">
        <f t="shared" ref="R668:R669" si="491">if(Q668="",FALSE,TRUE)</f>
        <v>1</v>
      </c>
      <c r="S668" s="4" t="str">
        <f>IFERROR(__xludf.DUMMYFUNCTION("iferror(filter('3.5.clean'!H:H,'3.5.clean'!A:A=C668),"""")"),"")</f>
        <v/>
      </c>
      <c r="V668" s="52" t="s">
        <v>64</v>
      </c>
      <c r="W668" s="23" t="b">
        <f>if(AND(R668=TRUE,N668=TRUE,P668=TRUE),TRUE,FALSE)</f>
        <v>1</v>
      </c>
      <c r="X668" s="23" t="str">
        <f>IFERROR(__xludf.DUMMYFUNCTION("if(COUNTA(FILTER(C:C, C:C = C668))=1,""no"",""yes"")"),"no")</f>
        <v>no</v>
      </c>
    </row>
    <row r="669">
      <c r="A669" s="1" t="s">
        <v>817</v>
      </c>
      <c r="B669" s="2">
        <v>4.0</v>
      </c>
      <c r="C669" s="19" t="s">
        <v>1471</v>
      </c>
      <c r="E669" s="24">
        <f>IFERROR(__xludf.DUMMYFUNCTION("ifna(IFNA(filter('2.1.clean'!C:C,'2.1.clean'!A:A=C669),filter('2.2.clean'!E:E,'2.2.clean'!D:D=C669)),filter('2.4.clean'!C:C,'2.4.clean'!A:A=C669))"),43762.0)</f>
        <v>43762</v>
      </c>
      <c r="F669" s="25">
        <f>IFERROR(__xludf.DUMMYFUNCTION("iferror(ifna(IFNA(filter('2.1.clean'!E:E,'2.1.clean'!A:A=C669),filter('2.2.clean'!G:G,'2.2.clean'!D:D=C669)),filter('2.4.clean'!E:E,'2.4.clean'!A:A=C669)),)"),2.4)</f>
        <v>2.4</v>
      </c>
      <c r="G669" s="24"/>
      <c r="J669" s="25"/>
      <c r="K669" s="24"/>
      <c r="L669" s="25"/>
      <c r="M669" s="24">
        <f>IFERROR(__xludf.DUMMYFUNCTION("iferror(filter('3.3.clean'!C:C,'3.3.clean'!A:A=C669),"""")"),43766.0)</f>
        <v>43766</v>
      </c>
      <c r="N669" s="25" t="b">
        <f t="shared" si="488"/>
        <v>1</v>
      </c>
      <c r="O669" s="24">
        <f>IFERROR(__xludf.DUMMYFUNCTION("iferror(filter('3.4.clean'!C:C,'3.4.clean'!A:A=C669),"""")"),43770.0)</f>
        <v>43770</v>
      </c>
      <c r="P669" s="25" t="b">
        <f t="shared" si="489"/>
        <v>1</v>
      </c>
      <c r="Q669" s="24">
        <f>IFERROR(__xludf.DUMMYFUNCTION("iferror(filter('3.5.clean'!C:C,'3.5.clean'!A:A=C669),"""")"),43762.0)</f>
        <v>43762</v>
      </c>
      <c r="R669" s="23" t="b">
        <f t="shared" si="491"/>
        <v>1</v>
      </c>
      <c r="S669" s="25"/>
      <c r="V669" s="52" t="s">
        <v>64</v>
      </c>
      <c r="W669" s="23" t="b">
        <f>IF(and(R669=TRUE,N669=TRUE,P669=TRUE),TRUE,FALSE)</f>
        <v>1</v>
      </c>
      <c r="X669" s="23" t="str">
        <f>IFERROR(__xludf.DUMMYFUNCTION("if(COUNTA(FILTER(C:C, C:C = C669))=1,""no"",""yes"")"),"no")</f>
        <v>no</v>
      </c>
    </row>
    <row r="670">
      <c r="A670" s="1" t="s">
        <v>817</v>
      </c>
      <c r="B670" s="19">
        <v>5.0</v>
      </c>
      <c r="C670" s="19" t="s">
        <v>233</v>
      </c>
      <c r="D670" s="58" t="str">
        <f t="shared" ref="D670:D671" si="492">if(or(I670=1,J670=1,S670=1),"pos","")</f>
        <v/>
      </c>
      <c r="E670" s="59">
        <f>IFERROR(__xludf.DUMMYFUNCTION("ifna(IFNA(filter('2.1.clean'!C:C,'2.1.clean'!A:A=C670),filter('2.2.clean'!E:E,'2.2.clean'!D:D=C670)),filter('2.4.clean'!C:C,'2.4.clean'!A:A=C670))"),43762.0)</f>
        <v>43762</v>
      </c>
      <c r="F670" s="60">
        <f>IFERROR(__xludf.DUMMYFUNCTION("iferror(ifna(IFNA(filter('2.1.clean'!E:E,'2.1.clean'!A:A=C670),filter('2.2.clean'!G:G,'2.2.clean'!D:D=C670)),filter('2.4.clean'!E:E,'2.4.clean'!A:A=C670)),)"),2.4)</f>
        <v>2.4</v>
      </c>
      <c r="G670" s="59">
        <f>IFERROR(__xludf.DUMMYFUNCTION("iferror(filter('3.1.clean'!C:C,'3.1.clean'!A:A=C670),"""")"),43762.0)</f>
        <v>43762</v>
      </c>
      <c r="H670" s="58" t="b">
        <f>if(G670="",FALSE,TRUE)</f>
        <v>1</v>
      </c>
      <c r="I670" s="58">
        <f>IFERROR(__xludf.DUMMYFUNCTION("iferror(filter('3.1.clean'!G:G,'3.1.clean'!A:A=C670),"""")"),0.0)</f>
        <v>0</v>
      </c>
      <c r="J670" s="60">
        <f>IFERROR(__xludf.DUMMYFUNCTION("iferror(filter('3.1.clean'!I:I,'3.1.clean'!A:A=C670),"""")"),0.0)</f>
        <v>0</v>
      </c>
      <c r="K670" s="58"/>
      <c r="L670" s="60"/>
      <c r="M670" s="59">
        <f>IFERROR(__xludf.DUMMYFUNCTION("iferror(filter('3.3.clean'!C:C,'3.3.clean'!A:A=C670),"""")"),43766.0)</f>
        <v>43766</v>
      </c>
      <c r="N670" s="60" t="b">
        <f t="shared" si="488"/>
        <v>1</v>
      </c>
      <c r="O670" s="59">
        <f>IFERROR(__xludf.DUMMYFUNCTION("iferror(filter('3.4.clean'!C:C,'3.4.clean'!A:A=C670),"""")"),43770.0)</f>
        <v>43770</v>
      </c>
      <c r="P670" s="60" t="b">
        <f t="shared" si="489"/>
        <v>1</v>
      </c>
      <c r="Q670" s="59" t="str">
        <f>IFERROR(__xludf.DUMMYFUNCTION("iferror(filter('3.5.clean'!C:C,'3.5.clean'!A:A=C670),"""")"),"")</f>
        <v/>
      </c>
      <c r="R670" s="58"/>
      <c r="S670" s="4" t="str">
        <f>IFERROR(__xludf.DUMMYFUNCTION("iferror(filter('3.5.clean'!H:H,'3.5.clean'!A:A=C670),"""")"),"")</f>
        <v/>
      </c>
      <c r="W670" s="23" t="b">
        <f>if(AND(H670=TRUE,N670=TRUE,P670=TRUE),TRUE,FALSE)</f>
        <v>1</v>
      </c>
      <c r="X670" s="23" t="str">
        <f>IFERROR(__xludf.DUMMYFUNCTION("if(COUNTA(FILTER(C:C, C:C = C670))=1,""no"",""yes"")"),"no")</f>
        <v>no</v>
      </c>
    </row>
    <row r="671">
      <c r="A671" s="1" t="s">
        <v>817</v>
      </c>
      <c r="B671" s="19">
        <v>6.0</v>
      </c>
      <c r="C671" s="19" t="s">
        <v>236</v>
      </c>
      <c r="D671" s="58" t="str">
        <f t="shared" si="492"/>
        <v/>
      </c>
      <c r="E671" s="59">
        <f>Q671</f>
        <v>43762</v>
      </c>
      <c r="F671" s="60" t="str">
        <f>IFERROR(__xludf.DUMMYFUNCTION("iferror(ifna(IFNA(filter('2.1.clean'!E:E,'2.1.clean'!A:A=C671),filter('2.2.clean'!G:G,'2.2.clean'!D:D=C671)),filter('2.4.clean'!E:E,'2.4.clean'!A:A=C671)),)"),"")</f>
        <v/>
      </c>
      <c r="G671" s="59" t="str">
        <f>IFERROR(__xludf.DUMMYFUNCTION("iferror(filter('3.1.clean'!C:C,'3.1.clean'!A:A=C671),"""")"),"")</f>
        <v/>
      </c>
      <c r="H671" s="58"/>
      <c r="I671" s="58" t="str">
        <f>IFERROR(__xludf.DUMMYFUNCTION("iferror(filter('3.1.clean'!G:G,'3.1.clean'!A:A=C671),"""")"),"")</f>
        <v/>
      </c>
      <c r="J671" s="60" t="str">
        <f>IFERROR(__xludf.DUMMYFUNCTION("iferror(filter('3.1.clean'!I:I,'3.1.clean'!A:A=C671),"""")"),"")</f>
        <v/>
      </c>
      <c r="K671" s="59"/>
      <c r="L671" s="60"/>
      <c r="M671" s="59">
        <f>IFERROR(__xludf.DUMMYFUNCTION("iferror(filter('3.3.clean'!C:C,'3.3.clean'!A:A=C671),"""")"),43766.0)</f>
        <v>43766</v>
      </c>
      <c r="N671" s="60" t="b">
        <f t="shared" si="488"/>
        <v>1</v>
      </c>
      <c r="O671" s="59">
        <f>IFERROR(__xludf.DUMMYFUNCTION("iferror(filter('3.4.clean'!C:C,'3.4.clean'!A:A=C671),"""")"),43770.0)</f>
        <v>43770</v>
      </c>
      <c r="P671" s="60" t="b">
        <f t="shared" si="489"/>
        <v>1</v>
      </c>
      <c r="Q671" s="59">
        <f>IFERROR(__xludf.DUMMYFUNCTION("iferror(filter('3.5.clean'!C:C,'3.5.clean'!A:A=C671),"""")"),43762.0)</f>
        <v>43762</v>
      </c>
      <c r="R671" s="58" t="b">
        <f t="shared" ref="R671:R673" si="493">if(Q671="",FALSE,TRUE)</f>
        <v>1</v>
      </c>
      <c r="S671" s="4" t="str">
        <f>IFERROR(__xludf.DUMMYFUNCTION("iferror(filter('3.5.clean'!H:H,'3.5.clean'!A:A=C671),"""")"),"")</f>
        <v/>
      </c>
      <c r="V671" s="52" t="s">
        <v>64</v>
      </c>
      <c r="W671" s="23" t="b">
        <f>if(AND(R671=TRUE,N671=TRUE,P671=TRUE),TRUE,FALSE)</f>
        <v>1</v>
      </c>
      <c r="X671" s="23" t="str">
        <f>IFERROR(__xludf.DUMMYFUNCTION("if(COUNTA(FILTER(C:C, C:C = C671))=1,""no"",""yes"")"),"no")</f>
        <v>no</v>
      </c>
    </row>
    <row r="672">
      <c r="A672" s="1" t="s">
        <v>817</v>
      </c>
      <c r="B672" s="2">
        <v>7.0</v>
      </c>
      <c r="C672" s="19" t="s">
        <v>1473</v>
      </c>
      <c r="E672" s="24">
        <f>IFERROR(__xludf.DUMMYFUNCTION("ifna(IFNA(filter('2.1.clean'!C:C,'2.1.clean'!A:A=C672),filter('2.2.clean'!E:E,'2.2.clean'!D:D=C672)),filter('2.4.clean'!C:C,'2.4.clean'!A:A=C672))"),43762.0)</f>
        <v>43762</v>
      </c>
      <c r="F672" s="25">
        <f>IFERROR(__xludf.DUMMYFUNCTION("iferror(ifna(IFNA(filter('2.1.clean'!E:E,'2.1.clean'!A:A=C672),filter('2.2.clean'!G:G,'2.2.clean'!D:D=C672)),filter('2.4.clean'!E:E,'2.4.clean'!A:A=C672)),)"),2.4)</f>
        <v>2.4</v>
      </c>
      <c r="G672" s="24">
        <f>IFERROR(__xludf.DUMMYFUNCTION("iferror(filter('3.1.clean'!C:C,'3.1.clean'!A:A=C672),"""")"),43762.0)</f>
        <v>43762</v>
      </c>
      <c r="H672" s="23" t="b">
        <f>if(G672="",FALSE,TRUE)</f>
        <v>1</v>
      </c>
      <c r="J672" s="25"/>
      <c r="K672" s="24">
        <f>IFERROR(__xludf.DUMMYFUNCTION("iferror(filter('3.2.clean'!C:C,'3.2.clean'!A:A=C672),"""")"),43762.0)</f>
        <v>43762</v>
      </c>
      <c r="L672" s="25" t="b">
        <f>if(K672="",FALSE,TRUE)</f>
        <v>1</v>
      </c>
      <c r="M672" s="1" t="s">
        <v>814</v>
      </c>
      <c r="N672" s="25" t="b">
        <f t="shared" si="488"/>
        <v>1</v>
      </c>
      <c r="O672" s="24">
        <f>IFERROR(__xludf.DUMMYFUNCTION("iferror(filter('3.4.clean'!C:C,'3.4.clean'!A:A=C672),"""")"),43770.0)</f>
        <v>43770</v>
      </c>
      <c r="P672" s="25" t="b">
        <f t="shared" si="489"/>
        <v>1</v>
      </c>
      <c r="Q672" s="24">
        <f>IFERROR(__xludf.DUMMYFUNCTION("iferror(filter('3.5.clean'!C:C,'3.5.clean'!A:A=C672),"""")"),43762.0)</f>
        <v>43762</v>
      </c>
      <c r="R672" s="23" t="b">
        <f t="shared" si="493"/>
        <v>1</v>
      </c>
      <c r="S672" s="25"/>
      <c r="V672" s="1" t="s">
        <v>64</v>
      </c>
      <c r="X672" s="23" t="str">
        <f>IFERROR(__xludf.DUMMYFUNCTION("if(COUNTA(FILTER(C:C, C:C = C672))=1,""no"",""yes"")"),"no")</f>
        <v>no</v>
      </c>
    </row>
    <row r="673">
      <c r="A673" s="1" t="s">
        <v>817</v>
      </c>
      <c r="B673" s="2">
        <v>8.0</v>
      </c>
      <c r="C673" s="2" t="s">
        <v>1474</v>
      </c>
      <c r="E673" s="24">
        <v>43762.0</v>
      </c>
      <c r="F673" s="25" t="str">
        <f>IFERROR(__xludf.DUMMYFUNCTION("iferror(ifna(IFNA(filter('2.1.clean'!E:E,'2.1.clean'!A:A=C673),filter('2.2.clean'!G:G,'2.2.clean'!D:D=C673)),filter('2.4.clean'!E:E,'2.4.clean'!A:A=C673)),)"),"")</f>
        <v/>
      </c>
      <c r="G673" s="24" t="str">
        <f>IFERROR(__xludf.DUMMYFUNCTION("iferror(filter('3.1.clean'!C:C,'3.1.clean'!A:A=C673),"""")"),"")</f>
        <v/>
      </c>
      <c r="J673" s="25"/>
      <c r="K673" s="24" t="str">
        <f>IFERROR(__xludf.DUMMYFUNCTION("iferror(filter('3.2.clean'!C:C,'3.2.clean'!A:A=C673),"""")"),"")</f>
        <v/>
      </c>
      <c r="L673" s="25"/>
      <c r="M673" s="24">
        <f>IFERROR(__xludf.DUMMYFUNCTION("iferror(filter('3.3.clean'!C:C,'3.3.clean'!A:A=C673),"""")"),43766.0)</f>
        <v>43766</v>
      </c>
      <c r="N673" s="25" t="b">
        <f t="shared" si="488"/>
        <v>1</v>
      </c>
      <c r="O673" s="24" t="str">
        <f>IFERROR(__xludf.DUMMYFUNCTION("iferror(filter('3.4.clean'!C:C,'3.4.clean'!A:A=C673),"""")"),"")</f>
        <v/>
      </c>
      <c r="P673" s="25" t="b">
        <f t="shared" si="489"/>
        <v>0</v>
      </c>
      <c r="Q673" s="1" t="s">
        <v>814</v>
      </c>
      <c r="R673" s="23" t="b">
        <f t="shared" si="493"/>
        <v>1</v>
      </c>
      <c r="S673" s="25"/>
      <c r="V673" s="1" t="s">
        <v>64</v>
      </c>
      <c r="X673" s="23" t="str">
        <f>IFERROR(__xludf.DUMMYFUNCTION("if(COUNTA(FILTER(C:C, C:C = C673))=1,""no"",""yes"")"),"no")</f>
        <v>no</v>
      </c>
    </row>
    <row r="674">
      <c r="A674" s="1" t="s">
        <v>817</v>
      </c>
      <c r="B674" s="19">
        <v>9.0</v>
      </c>
      <c r="C674" s="19" t="s">
        <v>237</v>
      </c>
      <c r="D674" s="58" t="str">
        <f t="shared" ref="D674:D675" si="494">if(or(I674=1,J674=1,S674=1),"pos","")</f>
        <v/>
      </c>
      <c r="E674" s="59">
        <f>IFERROR(__xludf.DUMMYFUNCTION("ifna(IFNA(filter('2.1.clean'!C:C,'2.1.clean'!A:A=C674),filter('2.2.clean'!E:E,'2.2.clean'!D:D=C674)),filter('2.4.clean'!C:C,'2.4.clean'!A:A=C674))"),43762.0)</f>
        <v>43762</v>
      </c>
      <c r="F674" s="60">
        <f>IFERROR(__xludf.DUMMYFUNCTION("iferror(ifna(IFNA(filter('2.1.clean'!E:E,'2.1.clean'!A:A=C674),filter('2.2.clean'!G:G,'2.2.clean'!D:D=C674)),filter('2.4.clean'!E:E,'2.4.clean'!A:A=C674)),)"),2.4)</f>
        <v>2.4</v>
      </c>
      <c r="G674" s="59">
        <f>IFERROR(__xludf.DUMMYFUNCTION("iferror(filter('3.1.clean'!C:C,'3.1.clean'!A:A=C674),"""")"),43762.0)</f>
        <v>43762</v>
      </c>
      <c r="H674" s="58" t="b">
        <f>if(G674="",FALSE,TRUE)</f>
        <v>1</v>
      </c>
      <c r="I674" s="58">
        <f>IFERROR(__xludf.DUMMYFUNCTION("iferror(filter('3.1.clean'!G:G,'3.1.clean'!A:A=C674),"""")"),0.0)</f>
        <v>0</v>
      </c>
      <c r="J674" s="60">
        <f>IFERROR(__xludf.DUMMYFUNCTION("iferror(filter('3.1.clean'!I:I,'3.1.clean'!A:A=C674),"""")"),0.0)</f>
        <v>0</v>
      </c>
      <c r="K674" s="58"/>
      <c r="L674" s="60"/>
      <c r="M674" s="59">
        <f>IFERROR(__xludf.DUMMYFUNCTION("iferror(filter('3.3.clean'!C:C,'3.3.clean'!A:A=C674),"""")"),43766.0)</f>
        <v>43766</v>
      </c>
      <c r="N674" s="60" t="b">
        <f t="shared" si="488"/>
        <v>1</v>
      </c>
      <c r="O674" s="59">
        <f>IFERROR(__xludf.DUMMYFUNCTION("iferror(filter('3.4.clean'!C:C,'3.4.clean'!A:A=C674),"""")"),43770.0)</f>
        <v>43770</v>
      </c>
      <c r="P674" s="60" t="b">
        <f t="shared" si="489"/>
        <v>1</v>
      </c>
      <c r="Q674" s="59" t="str">
        <f>IFERROR(__xludf.DUMMYFUNCTION("iferror(filter('3.5.clean'!C:C,'3.5.clean'!A:A=C674),"""")"),"")</f>
        <v/>
      </c>
      <c r="R674" s="58"/>
      <c r="S674" s="4" t="str">
        <f>IFERROR(__xludf.DUMMYFUNCTION("iferror(filter('3.5.clean'!H:H,'3.5.clean'!A:A=C674),"""")"),"")</f>
        <v/>
      </c>
      <c r="W674" s="23" t="b">
        <f>if(AND(H674=TRUE,N674=TRUE,P674=TRUE),TRUE,FALSE)</f>
        <v>1</v>
      </c>
      <c r="X674" s="23" t="str">
        <f>IFERROR(__xludf.DUMMYFUNCTION("if(COUNTA(FILTER(C:C, C:C = C674))=1,""no"",""yes"")"),"no")</f>
        <v>no</v>
      </c>
    </row>
    <row r="675">
      <c r="A675" s="1" t="s">
        <v>817</v>
      </c>
      <c r="B675" s="19">
        <v>10.0</v>
      </c>
      <c r="C675" s="19" t="s">
        <v>239</v>
      </c>
      <c r="D675" s="58" t="str">
        <f t="shared" si="494"/>
        <v/>
      </c>
      <c r="E675" s="59">
        <f>Q675</f>
        <v>43762</v>
      </c>
      <c r="F675" s="60" t="str">
        <f>IFERROR(__xludf.DUMMYFUNCTION("iferror(ifna(IFNA(filter('2.1.clean'!E:E,'2.1.clean'!A:A=C675),filter('2.2.clean'!G:G,'2.2.clean'!D:D=C675)),filter('2.4.clean'!E:E,'2.4.clean'!A:A=C675)),)"),"")</f>
        <v/>
      </c>
      <c r="G675" s="59" t="str">
        <f>IFERROR(__xludf.DUMMYFUNCTION("iferror(filter('3.1.clean'!C:C,'3.1.clean'!A:A=C675),"""")"),"")</f>
        <v/>
      </c>
      <c r="H675" s="58"/>
      <c r="I675" s="58" t="str">
        <f>IFERROR(__xludf.DUMMYFUNCTION("iferror(filter('3.1.clean'!G:G,'3.1.clean'!A:A=C675),"""")"),"")</f>
        <v/>
      </c>
      <c r="J675" s="60" t="str">
        <f>IFERROR(__xludf.DUMMYFUNCTION("iferror(filter('3.1.clean'!I:I,'3.1.clean'!A:A=C675),"""")"),"")</f>
        <v/>
      </c>
      <c r="K675" s="59"/>
      <c r="L675" s="60"/>
      <c r="M675" s="59">
        <f>IFERROR(__xludf.DUMMYFUNCTION("iferror(filter('3.3.clean'!C:C,'3.3.clean'!A:A=C675),"""")"),43766.0)</f>
        <v>43766</v>
      </c>
      <c r="N675" s="60" t="b">
        <f t="shared" si="488"/>
        <v>1</v>
      </c>
      <c r="O675" s="59">
        <f>IFERROR(__xludf.DUMMYFUNCTION("iferror(filter('3.4.clean'!C:C,'3.4.clean'!A:A=C675),"""")"),43770.0)</f>
        <v>43770</v>
      </c>
      <c r="P675" s="60" t="b">
        <f t="shared" si="489"/>
        <v>1</v>
      </c>
      <c r="Q675" s="59">
        <f>IFERROR(__xludf.DUMMYFUNCTION("iferror(filter('3.5.clean'!C:C,'3.5.clean'!A:A=C675),"""")"),43762.0)</f>
        <v>43762</v>
      </c>
      <c r="R675" s="58" t="b">
        <f t="shared" ref="R675:R676" si="495">if(Q675="",FALSE,TRUE)</f>
        <v>1</v>
      </c>
      <c r="S675" s="4" t="str">
        <f>IFERROR(__xludf.DUMMYFUNCTION("iferror(filter('3.5.clean'!H:H,'3.5.clean'!A:A=C675),"""")"),"")</f>
        <v/>
      </c>
      <c r="V675" s="52" t="s">
        <v>64</v>
      </c>
      <c r="W675" s="23" t="b">
        <f>if(AND(R675=TRUE,N675=TRUE,P675=TRUE),TRUE,FALSE)</f>
        <v>1</v>
      </c>
      <c r="X675" s="23" t="str">
        <f>IFERROR(__xludf.DUMMYFUNCTION("if(COUNTA(FILTER(C:C, C:C = C675))=1,""no"",""yes"")"),"no")</f>
        <v>no</v>
      </c>
    </row>
    <row r="676">
      <c r="A676" s="1" t="s">
        <v>817</v>
      </c>
      <c r="B676" s="2">
        <v>11.0</v>
      </c>
      <c r="C676" s="19" t="s">
        <v>1476</v>
      </c>
      <c r="E676" s="24">
        <f>IFERROR(__xludf.DUMMYFUNCTION("ifna(IFNA(filter('2.1.clean'!C:C,'2.1.clean'!A:A=C676),filter('2.2.clean'!E:E,'2.2.clean'!D:D=C676)),filter('2.4.clean'!C:C,'2.4.clean'!A:A=C676))"),43762.0)</f>
        <v>43762</v>
      </c>
      <c r="F676" s="25">
        <f>IFERROR(__xludf.DUMMYFUNCTION("iferror(ifna(IFNA(filter('2.1.clean'!E:E,'2.1.clean'!A:A=C676),filter('2.2.clean'!G:G,'2.2.clean'!D:D=C676)),filter('2.4.clean'!E:E,'2.4.clean'!A:A=C676)),)"),2.4)</f>
        <v>2.4</v>
      </c>
      <c r="G676" s="24">
        <f>IFERROR(__xludf.DUMMYFUNCTION("iferror(filter('3.1.clean'!C:C,'3.1.clean'!A:A=C676),"""")"),43762.0)</f>
        <v>43762</v>
      </c>
      <c r="H676" s="23" t="b">
        <f t="shared" ref="H676:H677" si="496">if(G676="",FALSE,TRUE)</f>
        <v>1</v>
      </c>
      <c r="J676" s="25"/>
      <c r="K676" s="24">
        <f>IFERROR(__xludf.DUMMYFUNCTION("iferror(filter('3.2.clean'!C:C,'3.2.clean'!A:A=C676),"""")"),43762.0)</f>
        <v>43762</v>
      </c>
      <c r="L676" s="25" t="b">
        <f>if(K676="",FALSE,TRUE)</f>
        <v>1</v>
      </c>
      <c r="M676" s="24">
        <f>IFERROR(__xludf.DUMMYFUNCTION("iferror(filter('3.3.clean'!C:C,'3.3.clean'!A:A=C676),"""")"),43766.0)</f>
        <v>43766</v>
      </c>
      <c r="N676" s="25" t="b">
        <f t="shared" si="488"/>
        <v>1</v>
      </c>
      <c r="O676" s="24">
        <f>IFERROR(__xludf.DUMMYFUNCTION("iferror(filter('3.4.clean'!C:C,'3.4.clean'!A:A=C676),"""")"),43770.0)</f>
        <v>43770</v>
      </c>
      <c r="P676" s="25" t="b">
        <f t="shared" si="489"/>
        <v>1</v>
      </c>
      <c r="Q676" s="24">
        <f>IFERROR(__xludf.DUMMYFUNCTION("iferror(filter('3.5.clean'!C:C,'3.5.clean'!A:A=C676),"""")"),43762.0)</f>
        <v>43762</v>
      </c>
      <c r="R676" s="23" t="b">
        <f t="shared" si="495"/>
        <v>1</v>
      </c>
      <c r="S676" s="25"/>
      <c r="V676" s="1" t="s">
        <v>64</v>
      </c>
      <c r="X676" s="23" t="str">
        <f>IFERROR(__xludf.DUMMYFUNCTION("if(COUNTA(FILTER(C:C, C:C = C676))=1,""no"",""yes"")"),"no")</f>
        <v>no</v>
      </c>
    </row>
    <row r="677">
      <c r="A677" s="1" t="s">
        <v>817</v>
      </c>
      <c r="B677" s="19">
        <v>12.0</v>
      </c>
      <c r="C677" s="19" t="s">
        <v>240</v>
      </c>
      <c r="D677" s="58" t="str">
        <f t="shared" ref="D677:D678" si="497">if(or(I677=1,J677=1,S677=1),"pos","")</f>
        <v/>
      </c>
      <c r="E677" s="59">
        <f>IFERROR(__xludf.DUMMYFUNCTION("ifna(IFNA(filter('2.1.clean'!C:C,'2.1.clean'!A:A=C677),filter('2.2.clean'!E:E,'2.2.clean'!D:D=C677)),filter('2.4.clean'!C:C,'2.4.clean'!A:A=C677))"),43762.0)</f>
        <v>43762</v>
      </c>
      <c r="F677" s="60">
        <f>IFERROR(__xludf.DUMMYFUNCTION("iferror(ifna(IFNA(filter('2.1.clean'!E:E,'2.1.clean'!A:A=C677),filter('2.2.clean'!G:G,'2.2.clean'!D:D=C677)),filter('2.4.clean'!E:E,'2.4.clean'!A:A=C677)),)"),2.4)</f>
        <v>2.4</v>
      </c>
      <c r="G677" s="59">
        <f>IFERROR(__xludf.DUMMYFUNCTION("iferror(filter('3.1.clean'!C:C,'3.1.clean'!A:A=C677),"""")"),43762.0)</f>
        <v>43762</v>
      </c>
      <c r="H677" s="58" t="b">
        <f t="shared" si="496"/>
        <v>1</v>
      </c>
      <c r="I677" s="58">
        <f>IFERROR(__xludf.DUMMYFUNCTION("iferror(filter('3.1.clean'!G:G,'3.1.clean'!A:A=C677),"""")"),0.0)</f>
        <v>0</v>
      </c>
      <c r="J677" s="60">
        <f>IFERROR(__xludf.DUMMYFUNCTION("iferror(filter('3.1.clean'!I:I,'3.1.clean'!A:A=C677),"""")"),0.0)</f>
        <v>0</v>
      </c>
      <c r="K677" s="58"/>
      <c r="L677" s="60"/>
      <c r="M677" s="59">
        <f>IFERROR(__xludf.DUMMYFUNCTION("iferror(filter('3.3.clean'!C:C,'3.3.clean'!A:A=C677),"""")"),43766.0)</f>
        <v>43766</v>
      </c>
      <c r="N677" s="60" t="b">
        <f t="shared" si="488"/>
        <v>1</v>
      </c>
      <c r="O677" s="59" t="str">
        <f>IFERROR(__xludf.DUMMYFUNCTION("iferror(filter('3.4.clean'!C:C,'3.4.clean'!A:A=C677),"""")"),"")</f>
        <v/>
      </c>
      <c r="P677" s="60" t="b">
        <f t="shared" si="489"/>
        <v>0</v>
      </c>
      <c r="Q677" s="59" t="str">
        <f>IFERROR(__xludf.DUMMYFUNCTION("iferror(filter('3.5.clean'!C:C,'3.5.clean'!A:A=C677),"""")"),"")</f>
        <v/>
      </c>
      <c r="R677" s="58"/>
      <c r="S677" s="4" t="str">
        <f>IFERROR(__xludf.DUMMYFUNCTION("iferror(filter('3.5.clean'!H:H,'3.5.clean'!A:A=C677),"""")"),"")</f>
        <v/>
      </c>
      <c r="W677" s="23" t="b">
        <f>if(AND(H677=TRUE,N677=TRUE,P677=TRUE),TRUE,FALSE)</f>
        <v>0</v>
      </c>
      <c r="X677" s="23" t="str">
        <f>IFERROR(__xludf.DUMMYFUNCTION("if(COUNTA(FILTER(C:C, C:C = C677))=1,""no"",""yes"")"),"no")</f>
        <v>no</v>
      </c>
    </row>
    <row r="678">
      <c r="A678" s="1" t="s">
        <v>817</v>
      </c>
      <c r="B678" s="19">
        <v>13.0</v>
      </c>
      <c r="C678" s="19" t="s">
        <v>242</v>
      </c>
      <c r="D678" s="58" t="str">
        <f t="shared" si="497"/>
        <v/>
      </c>
      <c r="E678" s="59">
        <f>Q678</f>
        <v>43762</v>
      </c>
      <c r="F678" s="60" t="str">
        <f>IFERROR(__xludf.DUMMYFUNCTION("iferror(ifna(IFNA(filter('2.1.clean'!E:E,'2.1.clean'!A:A=C678),filter('2.2.clean'!G:G,'2.2.clean'!D:D=C678)),filter('2.4.clean'!E:E,'2.4.clean'!A:A=C678)),)"),"")</f>
        <v/>
      </c>
      <c r="G678" s="59" t="str">
        <f>IFERROR(__xludf.DUMMYFUNCTION("iferror(filter('3.1.clean'!C:C,'3.1.clean'!A:A=C678),"""")"),"")</f>
        <v/>
      </c>
      <c r="H678" s="58"/>
      <c r="I678" s="58" t="str">
        <f>IFERROR(__xludf.DUMMYFUNCTION("iferror(filter('3.1.clean'!G:G,'3.1.clean'!A:A=C678),"""")"),"")</f>
        <v/>
      </c>
      <c r="J678" s="60" t="str">
        <f>IFERROR(__xludf.DUMMYFUNCTION("iferror(filter('3.1.clean'!I:I,'3.1.clean'!A:A=C678),"""")"),"")</f>
        <v/>
      </c>
      <c r="K678" s="59"/>
      <c r="L678" s="60"/>
      <c r="M678" s="59">
        <f>IFERROR(__xludf.DUMMYFUNCTION("iferror(filter('3.3.clean'!C:C,'3.3.clean'!A:A=C678),"""")"),43766.0)</f>
        <v>43766</v>
      </c>
      <c r="N678" s="60" t="b">
        <f t="shared" si="488"/>
        <v>1</v>
      </c>
      <c r="O678" s="59">
        <f>IFERROR(__xludf.DUMMYFUNCTION("iferror(filter('3.4.clean'!C:C,'3.4.clean'!A:A=C678),"""")"),43770.0)</f>
        <v>43770</v>
      </c>
      <c r="P678" s="60" t="b">
        <f t="shared" si="489"/>
        <v>1</v>
      </c>
      <c r="Q678" s="59">
        <f>IFERROR(__xludf.DUMMYFUNCTION("iferror(filter('3.5.clean'!C:C,'3.5.clean'!A:A=C678),"""")"),43762.0)</f>
        <v>43762</v>
      </c>
      <c r="R678" s="58" t="b">
        <f t="shared" ref="R678:R679" si="498">if(Q678="",FALSE,TRUE)</f>
        <v>1</v>
      </c>
      <c r="S678" s="4" t="str">
        <f>IFERROR(__xludf.DUMMYFUNCTION("iferror(filter('3.5.clean'!H:H,'3.5.clean'!A:A=C678),"""")"),"")</f>
        <v/>
      </c>
      <c r="V678" s="52" t="s">
        <v>64</v>
      </c>
      <c r="W678" s="23" t="b">
        <f>if(AND(R678=TRUE,N678=TRUE,P678=TRUE),TRUE,FALSE)</f>
        <v>1</v>
      </c>
      <c r="X678" s="23" t="str">
        <f>IFERROR(__xludf.DUMMYFUNCTION("if(COUNTA(FILTER(C:C, C:C = C678))=1,""no"",""yes"")"),"no")</f>
        <v>no</v>
      </c>
    </row>
    <row r="679">
      <c r="A679" s="1" t="s">
        <v>817</v>
      </c>
      <c r="B679" s="2">
        <v>14.0</v>
      </c>
      <c r="C679" s="19" t="s">
        <v>1479</v>
      </c>
      <c r="E679" s="24">
        <f>IFERROR(__xludf.DUMMYFUNCTION("ifna(IFNA(filter('2.1.clean'!C:C,'2.1.clean'!A:A=C679),filter('2.2.clean'!E:E,'2.2.clean'!D:D=C679)),filter('2.4.clean'!C:C,'2.4.clean'!A:A=C679))"),43762.0)</f>
        <v>43762</v>
      </c>
      <c r="F679" s="25">
        <f>IFERROR(__xludf.DUMMYFUNCTION("iferror(ifna(IFNA(filter('2.1.clean'!E:E,'2.1.clean'!A:A=C679),filter('2.2.clean'!G:G,'2.2.clean'!D:D=C679)),filter('2.4.clean'!E:E,'2.4.clean'!A:A=C679)),)"),2.4)</f>
        <v>2.4</v>
      </c>
      <c r="G679" s="24">
        <f>IFERROR(__xludf.DUMMYFUNCTION("iferror(filter('3.1.clean'!C:C,'3.1.clean'!A:A=C679),"""")"),43762.0)</f>
        <v>43762</v>
      </c>
      <c r="H679" s="23" t="b">
        <f t="shared" ref="H679:H680" si="499">if(G679="",FALSE,TRUE)</f>
        <v>1</v>
      </c>
      <c r="J679" s="25"/>
      <c r="K679" s="24">
        <f>IFERROR(__xludf.DUMMYFUNCTION("iferror(filter('3.2.clean'!C:C,'3.2.clean'!A:A=C679),"""")"),43762.0)</f>
        <v>43762</v>
      </c>
      <c r="L679" s="25" t="b">
        <f>if(K679="",FALSE,TRUE)</f>
        <v>1</v>
      </c>
      <c r="M679" s="24">
        <f>IFERROR(__xludf.DUMMYFUNCTION("iferror(filter('3.3.clean'!C:C,'3.3.clean'!A:A=C679),"""")"),43766.0)</f>
        <v>43766</v>
      </c>
      <c r="N679" s="25" t="b">
        <f t="shared" si="488"/>
        <v>1</v>
      </c>
      <c r="O679" s="24">
        <f>IFERROR(__xludf.DUMMYFUNCTION("iferror(filter('3.4.clean'!C:C,'3.4.clean'!A:A=C679),"""")"),43770.0)</f>
        <v>43770</v>
      </c>
      <c r="P679" s="25" t="b">
        <f t="shared" si="489"/>
        <v>1</v>
      </c>
      <c r="Q679" s="24">
        <f>IFERROR(__xludf.DUMMYFUNCTION("iferror(filter('3.5.clean'!C:C,'3.5.clean'!A:A=C679),"""")"),43762.0)</f>
        <v>43762</v>
      </c>
      <c r="R679" s="23" t="b">
        <f t="shared" si="498"/>
        <v>1</v>
      </c>
      <c r="S679" s="25"/>
      <c r="V679" s="1" t="s">
        <v>64</v>
      </c>
      <c r="X679" s="23" t="str">
        <f>IFERROR(__xludf.DUMMYFUNCTION("if(COUNTA(FILTER(C:C, C:C = C679))=1,""no"",""yes"")"),"no")</f>
        <v>no</v>
      </c>
    </row>
    <row r="680">
      <c r="A680" s="1" t="s">
        <v>817</v>
      </c>
      <c r="B680" s="19">
        <v>15.0</v>
      </c>
      <c r="C680" s="19" t="s">
        <v>243</v>
      </c>
      <c r="D680" s="58" t="str">
        <f t="shared" ref="D680:D681" si="500">if(or(I680=1,J680=1,S680=1),"pos","")</f>
        <v/>
      </c>
      <c r="E680" s="59">
        <f>IFERROR(__xludf.DUMMYFUNCTION("ifna(IFNA(filter('2.1.clean'!C:C,'2.1.clean'!A:A=C680),filter('2.2.clean'!E:E,'2.2.clean'!D:D=C680)),filter('2.4.clean'!C:C,'2.4.clean'!A:A=C680))"),43762.0)</f>
        <v>43762</v>
      </c>
      <c r="F680" s="60">
        <f>IFERROR(__xludf.DUMMYFUNCTION("iferror(ifna(IFNA(filter('2.1.clean'!E:E,'2.1.clean'!A:A=C680),filter('2.2.clean'!G:G,'2.2.clean'!D:D=C680)),filter('2.4.clean'!E:E,'2.4.clean'!A:A=C680)),)"),2.4)</f>
        <v>2.4</v>
      </c>
      <c r="G680" s="59">
        <f>IFERROR(__xludf.DUMMYFUNCTION("iferror(filter('3.1.clean'!C:C,'3.1.clean'!A:A=C680),"""")"),43762.0)</f>
        <v>43762</v>
      </c>
      <c r="H680" s="58" t="b">
        <f t="shared" si="499"/>
        <v>1</v>
      </c>
      <c r="I680" s="58">
        <f>IFERROR(__xludf.DUMMYFUNCTION("iferror(filter('3.1.clean'!G:G,'3.1.clean'!A:A=C680),"""")"),0.0)</f>
        <v>0</v>
      </c>
      <c r="J680" s="60">
        <f>IFERROR(__xludf.DUMMYFUNCTION("iferror(filter('3.1.clean'!I:I,'3.1.clean'!A:A=C680),"""")"),0.0)</f>
        <v>0</v>
      </c>
      <c r="K680" s="58"/>
      <c r="L680" s="60"/>
      <c r="M680" s="59">
        <f>IFERROR(__xludf.DUMMYFUNCTION("iferror(filter('3.3.clean'!C:C,'3.3.clean'!A:A=C680),"""")"),43766.0)</f>
        <v>43766</v>
      </c>
      <c r="N680" s="60" t="b">
        <f t="shared" si="488"/>
        <v>1</v>
      </c>
      <c r="O680" s="59" t="str">
        <f>IFERROR(__xludf.DUMMYFUNCTION("iferror(filter('3.4.clean'!C:C,'3.4.clean'!A:A=C680),"""")"),"")</f>
        <v/>
      </c>
      <c r="P680" s="60" t="b">
        <f t="shared" si="489"/>
        <v>0</v>
      </c>
      <c r="Q680" s="59" t="str">
        <f>IFERROR(__xludf.DUMMYFUNCTION("iferror(filter('3.5.clean'!C:C,'3.5.clean'!A:A=C680),"""")"),"")</f>
        <v/>
      </c>
      <c r="R680" s="58"/>
      <c r="S680" s="4" t="str">
        <f>IFERROR(__xludf.DUMMYFUNCTION("iferror(filter('3.5.clean'!H:H,'3.5.clean'!A:A=C680),"""")"),"")</f>
        <v/>
      </c>
      <c r="W680" s="23" t="b">
        <f>if(AND(H680=TRUE,N680=TRUE,P680=TRUE),TRUE,FALSE)</f>
        <v>0</v>
      </c>
      <c r="X680" s="23" t="str">
        <f>IFERROR(__xludf.DUMMYFUNCTION("if(COUNTA(FILTER(C:C, C:C = C680))=1,""no"",""yes"")"),"no")</f>
        <v>no</v>
      </c>
    </row>
    <row r="681">
      <c r="A681" s="1" t="s">
        <v>817</v>
      </c>
      <c r="B681" s="19">
        <v>16.0</v>
      </c>
      <c r="C681" s="19" t="s">
        <v>246</v>
      </c>
      <c r="D681" s="58" t="str">
        <f t="shared" si="500"/>
        <v/>
      </c>
      <c r="E681" s="59">
        <f>Q681</f>
        <v>43762</v>
      </c>
      <c r="F681" s="60" t="str">
        <f>IFERROR(__xludf.DUMMYFUNCTION("iferror(ifna(IFNA(filter('2.1.clean'!E:E,'2.1.clean'!A:A=C681),filter('2.2.clean'!G:G,'2.2.clean'!D:D=C681)),filter('2.4.clean'!E:E,'2.4.clean'!A:A=C681)),)"),"")</f>
        <v/>
      </c>
      <c r="G681" s="59" t="str">
        <f>IFERROR(__xludf.DUMMYFUNCTION("iferror(filter('3.1.clean'!C:C,'3.1.clean'!A:A=C681),"""")"),"")</f>
        <v/>
      </c>
      <c r="H681" s="58"/>
      <c r="I681" s="58" t="str">
        <f>IFERROR(__xludf.DUMMYFUNCTION("iferror(filter('3.1.clean'!G:G,'3.1.clean'!A:A=C681),"""")"),"")</f>
        <v/>
      </c>
      <c r="J681" s="60" t="str">
        <f>IFERROR(__xludf.DUMMYFUNCTION("iferror(filter('3.1.clean'!I:I,'3.1.clean'!A:A=C681),"""")"),"")</f>
        <v/>
      </c>
      <c r="K681" s="59"/>
      <c r="L681" s="60"/>
      <c r="M681" s="59">
        <f>IFERROR(__xludf.DUMMYFUNCTION("iferror(filter('3.3.clean'!C:C,'3.3.clean'!A:A=C681),"""")"),43766.0)</f>
        <v>43766</v>
      </c>
      <c r="N681" s="60" t="b">
        <f t="shared" si="488"/>
        <v>1</v>
      </c>
      <c r="O681" s="59">
        <f>IFERROR(__xludf.DUMMYFUNCTION("iferror(filter('3.4.clean'!C:C,'3.4.clean'!A:A=C681),"""")"),43770.0)</f>
        <v>43770</v>
      </c>
      <c r="P681" s="60" t="b">
        <f t="shared" si="489"/>
        <v>1</v>
      </c>
      <c r="Q681" s="59">
        <f>IFERROR(__xludf.DUMMYFUNCTION("iferror(filter('3.5.clean'!C:C,'3.5.clean'!A:A=C681),"""")"),43762.0)</f>
        <v>43762</v>
      </c>
      <c r="R681" s="58" t="b">
        <f t="shared" ref="R681:R682" si="501">if(Q681="",FALSE,TRUE)</f>
        <v>1</v>
      </c>
      <c r="S681" s="4" t="str">
        <f>IFERROR(__xludf.DUMMYFUNCTION("iferror(filter('3.5.clean'!H:H,'3.5.clean'!A:A=C681),"""")"),"")</f>
        <v/>
      </c>
      <c r="V681" s="52" t="s">
        <v>64</v>
      </c>
      <c r="W681" s="23" t="b">
        <f>if(AND(R681=TRUE,N681=TRUE,P681=TRUE),TRUE,FALSE)</f>
        <v>1</v>
      </c>
      <c r="X681" s="23" t="str">
        <f>IFERROR(__xludf.DUMMYFUNCTION("if(COUNTA(FILTER(C:C, C:C = C681))=1,""no"",""yes"")"),"no")</f>
        <v>no</v>
      </c>
    </row>
    <row r="682">
      <c r="A682" s="1" t="s">
        <v>817</v>
      </c>
      <c r="B682" s="2">
        <v>17.0</v>
      </c>
      <c r="C682" s="19" t="s">
        <v>1481</v>
      </c>
      <c r="E682" s="24">
        <f>IFERROR(__xludf.DUMMYFUNCTION("ifna(IFNA(filter('2.1.clean'!C:C,'2.1.clean'!A:A=C682),filter('2.2.clean'!E:E,'2.2.clean'!D:D=C682)),filter('2.4.clean'!C:C,'2.4.clean'!A:A=C682))"),43762.0)</f>
        <v>43762</v>
      </c>
      <c r="F682" s="25">
        <f>IFERROR(__xludf.DUMMYFUNCTION("iferror(ifna(IFNA(filter('2.1.clean'!E:E,'2.1.clean'!A:A=C682),filter('2.2.clean'!G:G,'2.2.clean'!D:D=C682)),filter('2.4.clean'!E:E,'2.4.clean'!A:A=C682)),)"),2.4)</f>
        <v>2.4</v>
      </c>
      <c r="G682" s="24">
        <f>IFERROR(__xludf.DUMMYFUNCTION("iferror(filter('3.1.clean'!C:C,'3.1.clean'!A:A=C682),"""")"),43762.0)</f>
        <v>43762</v>
      </c>
      <c r="H682" s="23" t="b">
        <f t="shared" ref="H682:H683" si="502">if(G682="",FALSE,TRUE)</f>
        <v>1</v>
      </c>
      <c r="J682" s="25"/>
      <c r="K682" s="24">
        <f>IFERROR(__xludf.DUMMYFUNCTION("iferror(filter('3.2.clean'!C:C,'3.2.clean'!A:A=C682),"""")"),43762.0)</f>
        <v>43762</v>
      </c>
      <c r="L682" s="25" t="b">
        <f>if(K682="",FALSE,TRUE)</f>
        <v>1</v>
      </c>
      <c r="M682" s="24">
        <f>IFERROR(__xludf.DUMMYFUNCTION("iferror(filter('3.3.clean'!C:C,'3.3.clean'!A:A=C682),"""")"),43766.0)</f>
        <v>43766</v>
      </c>
      <c r="N682" s="25" t="b">
        <f t="shared" si="488"/>
        <v>1</v>
      </c>
      <c r="O682" s="24">
        <f>IFERROR(__xludf.DUMMYFUNCTION("iferror(filter('3.4.clean'!C:C,'3.4.clean'!A:A=C682),"""")"),43770.0)</f>
        <v>43770</v>
      </c>
      <c r="P682" s="25" t="b">
        <f t="shared" si="489"/>
        <v>1</v>
      </c>
      <c r="Q682" s="24">
        <f>IFERROR(__xludf.DUMMYFUNCTION("iferror(filter('3.5.clean'!C:C,'3.5.clean'!A:A=C682),"""")"),43762.0)</f>
        <v>43762</v>
      </c>
      <c r="R682" s="23" t="b">
        <f t="shared" si="501"/>
        <v>1</v>
      </c>
      <c r="S682" s="25"/>
      <c r="V682" s="1" t="s">
        <v>64</v>
      </c>
      <c r="X682" s="23" t="str">
        <f>IFERROR(__xludf.DUMMYFUNCTION("if(COUNTA(FILTER(C:C, C:C = C682))=1,""no"",""yes"")"),"no")</f>
        <v>no</v>
      </c>
    </row>
    <row r="683">
      <c r="A683" s="1" t="s">
        <v>817</v>
      </c>
      <c r="B683" s="19">
        <v>18.0</v>
      </c>
      <c r="C683" s="19" t="s">
        <v>247</v>
      </c>
      <c r="D683" s="58" t="str">
        <f t="shared" ref="D683:D684" si="503">if(or(I683=1,J683=1,S683=1),"pos","")</f>
        <v/>
      </c>
      <c r="E683" s="59">
        <f>IFERROR(__xludf.DUMMYFUNCTION("ifna(IFNA(filter('2.1.clean'!C:C,'2.1.clean'!A:A=C683),filter('2.2.clean'!E:E,'2.2.clean'!D:D=C683)),filter('2.4.clean'!C:C,'2.4.clean'!A:A=C683))"),43762.0)</f>
        <v>43762</v>
      </c>
      <c r="F683" s="60">
        <f>IFERROR(__xludf.DUMMYFUNCTION("iferror(ifna(IFNA(filter('2.1.clean'!E:E,'2.1.clean'!A:A=C683),filter('2.2.clean'!G:G,'2.2.clean'!D:D=C683)),filter('2.4.clean'!E:E,'2.4.clean'!A:A=C683)),)"),2.4)</f>
        <v>2.4</v>
      </c>
      <c r="G683" s="59">
        <f>IFERROR(__xludf.DUMMYFUNCTION("iferror(filter('3.1.clean'!C:C,'3.1.clean'!A:A=C683),"""")"),43762.0)</f>
        <v>43762</v>
      </c>
      <c r="H683" s="58" t="b">
        <f t="shared" si="502"/>
        <v>1</v>
      </c>
      <c r="I683" s="58">
        <f>IFERROR(__xludf.DUMMYFUNCTION("iferror(filter('3.1.clean'!G:G,'3.1.clean'!A:A=C683),"""")"),0.0)</f>
        <v>0</v>
      </c>
      <c r="J683" s="60">
        <f>IFERROR(__xludf.DUMMYFUNCTION("iferror(filter('3.1.clean'!I:I,'3.1.clean'!A:A=C683),"""")"),0.0)</f>
        <v>0</v>
      </c>
      <c r="K683" s="58"/>
      <c r="L683" s="60"/>
      <c r="M683" s="59">
        <f>IFERROR(__xludf.DUMMYFUNCTION("iferror(filter('3.3.clean'!C:C,'3.3.clean'!A:A=C683),"""")"),43766.0)</f>
        <v>43766</v>
      </c>
      <c r="N683" s="60" t="b">
        <f t="shared" si="488"/>
        <v>1</v>
      </c>
      <c r="O683" s="59" t="str">
        <f>IFERROR(__xludf.DUMMYFUNCTION("iferror(filter('3.4.clean'!C:C,'3.4.clean'!A:A=C683),"""")"),"")</f>
        <v/>
      </c>
      <c r="P683" s="60" t="b">
        <f t="shared" si="489"/>
        <v>0</v>
      </c>
      <c r="Q683" s="59" t="str">
        <f>IFERROR(__xludf.DUMMYFUNCTION("iferror(filter('3.5.clean'!C:C,'3.5.clean'!A:A=C683),"""")"),"")</f>
        <v/>
      </c>
      <c r="R683" s="58"/>
      <c r="S683" s="4" t="str">
        <f>IFERROR(__xludf.DUMMYFUNCTION("iferror(filter('3.5.clean'!H:H,'3.5.clean'!A:A=C683),"""")"),"")</f>
        <v/>
      </c>
      <c r="W683" s="23" t="b">
        <f>if(AND(H683=TRUE,N683=TRUE,P683=TRUE),TRUE,FALSE)</f>
        <v>0</v>
      </c>
      <c r="X683" s="23" t="str">
        <f>IFERROR(__xludf.DUMMYFUNCTION("if(COUNTA(FILTER(C:C, C:C = C683))=1,""no"",""yes"")"),"no")</f>
        <v>no</v>
      </c>
    </row>
    <row r="684">
      <c r="A684" s="1" t="s">
        <v>817</v>
      </c>
      <c r="B684" s="19">
        <v>19.0</v>
      </c>
      <c r="C684" s="19" t="s">
        <v>249</v>
      </c>
      <c r="D684" s="58" t="str">
        <f t="shared" si="503"/>
        <v/>
      </c>
      <c r="E684" s="59">
        <f>Q684</f>
        <v>43762</v>
      </c>
      <c r="F684" s="60" t="str">
        <f>IFERROR(__xludf.DUMMYFUNCTION("iferror(ifna(IFNA(filter('2.1.clean'!E:E,'2.1.clean'!A:A=C684),filter('2.2.clean'!G:G,'2.2.clean'!D:D=C684)),filter('2.4.clean'!E:E,'2.4.clean'!A:A=C684)),)"),"")</f>
        <v/>
      </c>
      <c r="G684" s="59" t="str">
        <f>IFERROR(__xludf.DUMMYFUNCTION("iferror(filter('3.1.clean'!C:C,'3.1.clean'!A:A=C684),"""")"),"")</f>
        <v/>
      </c>
      <c r="H684" s="58"/>
      <c r="I684" s="58" t="str">
        <f>IFERROR(__xludf.DUMMYFUNCTION("iferror(filter('3.1.clean'!G:G,'3.1.clean'!A:A=C684),"""")"),"")</f>
        <v/>
      </c>
      <c r="J684" s="60" t="str">
        <f>IFERROR(__xludf.DUMMYFUNCTION("iferror(filter('3.1.clean'!I:I,'3.1.clean'!A:A=C684),"""")"),"")</f>
        <v/>
      </c>
      <c r="K684" s="59"/>
      <c r="L684" s="60"/>
      <c r="M684" s="59">
        <f>IFERROR(__xludf.DUMMYFUNCTION("iferror(filter('3.3.clean'!C:C,'3.3.clean'!A:A=C684),"""")"),43766.0)</f>
        <v>43766</v>
      </c>
      <c r="N684" s="60" t="b">
        <f t="shared" si="488"/>
        <v>1</v>
      </c>
      <c r="O684" s="59">
        <f>IFERROR(__xludf.DUMMYFUNCTION("iferror(filter('3.4.clean'!C:C,'3.4.clean'!A:A=C684),"""")"),43770.0)</f>
        <v>43770</v>
      </c>
      <c r="P684" s="60" t="b">
        <f t="shared" si="489"/>
        <v>1</v>
      </c>
      <c r="Q684" s="59">
        <f>IFERROR(__xludf.DUMMYFUNCTION("iferror(filter('3.5.clean'!C:C,'3.5.clean'!A:A=C684),"""")"),43762.0)</f>
        <v>43762</v>
      </c>
      <c r="R684" s="58" t="b">
        <f t="shared" ref="R684:R685" si="504">if(Q684="",FALSE,TRUE)</f>
        <v>1</v>
      </c>
      <c r="S684" s="4">
        <f>IFERROR(__xludf.DUMMYFUNCTION("iferror(filter('3.5.clean'!H:H,'3.5.clean'!A:A=C684),"""")"),0.0)</f>
        <v>0</v>
      </c>
      <c r="V684" s="52" t="s">
        <v>64</v>
      </c>
      <c r="W684" s="23" t="b">
        <f>if(AND(R684=TRUE,N684=TRUE,P684=TRUE),TRUE,FALSE)</f>
        <v>1</v>
      </c>
      <c r="X684" s="23" t="str">
        <f>IFERROR(__xludf.DUMMYFUNCTION("if(COUNTA(FILTER(C:C, C:C = C684))=1,""no"",""yes"")"),"no")</f>
        <v>no</v>
      </c>
    </row>
    <row r="685">
      <c r="A685" s="1" t="s">
        <v>817</v>
      </c>
      <c r="B685" s="2">
        <v>20.0</v>
      </c>
      <c r="C685" s="19" t="s">
        <v>1483</v>
      </c>
      <c r="E685" s="24">
        <f>IFERROR(__xludf.DUMMYFUNCTION("ifna(IFNA(filter('2.1.clean'!C:C,'2.1.clean'!A:A=C685),filter('2.2.clean'!E:E,'2.2.clean'!D:D=C685)),filter('2.4.clean'!C:C,'2.4.clean'!A:A=C685))"),43762.0)</f>
        <v>43762</v>
      </c>
      <c r="F685" s="25">
        <f>IFERROR(__xludf.DUMMYFUNCTION("iferror(ifna(IFNA(filter('2.1.clean'!E:E,'2.1.clean'!A:A=C685),filter('2.2.clean'!G:G,'2.2.clean'!D:D=C685)),filter('2.4.clean'!E:E,'2.4.clean'!A:A=C685)),)"),2.4)</f>
        <v>2.4</v>
      </c>
      <c r="G685" s="24">
        <f>IFERROR(__xludf.DUMMYFUNCTION("iferror(filter('3.1.clean'!C:C,'3.1.clean'!A:A=C685),"""")"),43762.0)</f>
        <v>43762</v>
      </c>
      <c r="H685" s="23" t="b">
        <f t="shared" ref="H685:H686" si="505">if(G685="",FALSE,TRUE)</f>
        <v>1</v>
      </c>
      <c r="J685" s="25"/>
      <c r="K685" s="24">
        <f>IFERROR(__xludf.DUMMYFUNCTION("iferror(filter('3.2.clean'!C:C,'3.2.clean'!A:A=C685),"""")"),43762.0)</f>
        <v>43762</v>
      </c>
      <c r="L685" s="25" t="b">
        <f>if(K685="",FALSE,TRUE)</f>
        <v>1</v>
      </c>
      <c r="M685" s="24">
        <f>IFERROR(__xludf.DUMMYFUNCTION("iferror(filter('3.3.clean'!C:C,'3.3.clean'!A:A=C685),"""")"),43766.0)</f>
        <v>43766</v>
      </c>
      <c r="N685" s="25" t="b">
        <f t="shared" si="488"/>
        <v>1</v>
      </c>
      <c r="O685" s="24">
        <f>IFERROR(__xludf.DUMMYFUNCTION("iferror(filter('3.4.clean'!C:C,'3.4.clean'!A:A=C685),"""")"),43771.0)</f>
        <v>43771</v>
      </c>
      <c r="P685" s="25" t="b">
        <f t="shared" si="489"/>
        <v>1</v>
      </c>
      <c r="Q685" s="24">
        <f>IFERROR(__xludf.DUMMYFUNCTION("iferror(filter('3.5.clean'!C:C,'3.5.clean'!A:A=C685),"""")"),43762.0)</f>
        <v>43762</v>
      </c>
      <c r="R685" s="23" t="b">
        <f t="shared" si="504"/>
        <v>1</v>
      </c>
      <c r="S685" s="25"/>
      <c r="V685" s="1" t="s">
        <v>64</v>
      </c>
      <c r="X685" s="23" t="str">
        <f>IFERROR(__xludf.DUMMYFUNCTION("if(COUNTA(FILTER(C:C, C:C = C685))=1,""no"",""yes"")"),"no")</f>
        <v>no</v>
      </c>
    </row>
    <row r="686">
      <c r="A686" s="1" t="s">
        <v>817</v>
      </c>
      <c r="B686" s="19">
        <v>21.0</v>
      </c>
      <c r="C686" s="19" t="s">
        <v>250</v>
      </c>
      <c r="D686" s="58" t="str">
        <f t="shared" ref="D686:D689" si="506">if(or(I686=1,J686=1,S686=1),"pos","")</f>
        <v/>
      </c>
      <c r="E686" s="59">
        <f>IFERROR(__xludf.DUMMYFUNCTION("ifna(IFNA(filter('2.1.clean'!C:C,'2.1.clean'!A:A=C686),filter('2.2.clean'!E:E,'2.2.clean'!D:D=C686)),filter('2.4.clean'!C:C,'2.4.clean'!A:A=C686))"),43762.0)</f>
        <v>43762</v>
      </c>
      <c r="F686" s="60">
        <f>IFERROR(__xludf.DUMMYFUNCTION("iferror(ifna(IFNA(filter('2.1.clean'!E:E,'2.1.clean'!A:A=C686),filter('2.2.clean'!G:G,'2.2.clean'!D:D=C686)),filter('2.4.clean'!E:E,'2.4.clean'!A:A=C686)),)"),2.4)</f>
        <v>2.4</v>
      </c>
      <c r="G686" s="59">
        <f>IFERROR(__xludf.DUMMYFUNCTION("iferror(filter('3.1.clean'!C:C,'3.1.clean'!A:A=C686),"""")"),43762.0)</f>
        <v>43762</v>
      </c>
      <c r="H686" s="58" t="b">
        <f t="shared" si="505"/>
        <v>1</v>
      </c>
      <c r="I686" s="58">
        <f>IFERROR(__xludf.DUMMYFUNCTION("iferror(filter('3.1.clean'!G:G,'3.1.clean'!A:A=C686),"""")"),0.0)</f>
        <v>0</v>
      </c>
      <c r="J686" s="60">
        <f>IFERROR(__xludf.DUMMYFUNCTION("iferror(filter('3.1.clean'!I:I,'3.1.clean'!A:A=C686),"""")"),0.0)</f>
        <v>0</v>
      </c>
      <c r="K686" s="58"/>
      <c r="L686" s="60"/>
      <c r="M686" s="59">
        <f>IFERROR(__xludf.DUMMYFUNCTION("iferror(filter('3.3.clean'!C:C,'3.3.clean'!A:A=C686),"""")"),43766.0)</f>
        <v>43766</v>
      </c>
      <c r="N686" s="60" t="b">
        <f t="shared" si="488"/>
        <v>1</v>
      </c>
      <c r="O686" s="59" t="str">
        <f>IFERROR(__xludf.DUMMYFUNCTION("iferror(filter('3.4.clean'!C:C,'3.4.clean'!A:A=C686),"""")"),"")</f>
        <v/>
      </c>
      <c r="P686" s="60" t="b">
        <f t="shared" si="489"/>
        <v>0</v>
      </c>
      <c r="Q686" s="59" t="str">
        <f>IFERROR(__xludf.DUMMYFUNCTION("iferror(filter('3.5.clean'!C:C,'3.5.clean'!A:A=C686),"""")"),"")</f>
        <v/>
      </c>
      <c r="R686" s="58"/>
      <c r="S686" s="4" t="str">
        <f>IFERROR(__xludf.DUMMYFUNCTION("iferror(filter('3.5.clean'!H:H,'3.5.clean'!A:A=C686),"""")"),"")</f>
        <v/>
      </c>
      <c r="W686" s="23" t="b">
        <f>if(AND(H686=TRUE,N686=TRUE,P686=TRUE),TRUE,FALSE)</f>
        <v>0</v>
      </c>
      <c r="X686" s="23" t="str">
        <f>IFERROR(__xludf.DUMMYFUNCTION("if(COUNTA(FILTER(C:C, C:C = C686))=1,""no"",""yes"")"),"no")</f>
        <v>no</v>
      </c>
    </row>
    <row r="687">
      <c r="A687" s="1" t="s">
        <v>817</v>
      </c>
      <c r="B687" s="19">
        <v>22.0</v>
      </c>
      <c r="C687" s="19" t="s">
        <v>252</v>
      </c>
      <c r="D687" s="58" t="str">
        <f t="shared" si="506"/>
        <v/>
      </c>
      <c r="E687" s="59">
        <f t="shared" ref="E687:E688" si="507">Q687</f>
        <v>43762</v>
      </c>
      <c r="F687" s="60" t="str">
        <f>IFERROR(__xludf.DUMMYFUNCTION("iferror(ifna(IFNA(filter('2.1.clean'!E:E,'2.1.clean'!A:A=C687),filter('2.2.clean'!G:G,'2.2.clean'!D:D=C687)),filter('2.4.clean'!E:E,'2.4.clean'!A:A=C687)),)"),"")</f>
        <v/>
      </c>
      <c r="G687" s="59" t="str">
        <f>IFERROR(__xludf.DUMMYFUNCTION("iferror(filter('3.1.clean'!C:C,'3.1.clean'!A:A=C687),"""")"),"")</f>
        <v/>
      </c>
      <c r="H687" s="58"/>
      <c r="I687" s="58" t="str">
        <f>IFERROR(__xludf.DUMMYFUNCTION("iferror(filter('3.1.clean'!G:G,'3.1.clean'!A:A=C687),"""")"),"")</f>
        <v/>
      </c>
      <c r="J687" s="60" t="str">
        <f>IFERROR(__xludf.DUMMYFUNCTION("iferror(filter('3.1.clean'!I:I,'3.1.clean'!A:A=C687),"""")"),"")</f>
        <v/>
      </c>
      <c r="K687" s="59"/>
      <c r="L687" s="60"/>
      <c r="M687" s="59">
        <f>IFERROR(__xludf.DUMMYFUNCTION("iferror(filter('3.3.clean'!C:C,'3.3.clean'!A:A=C687),"""")"),43766.0)</f>
        <v>43766</v>
      </c>
      <c r="N687" s="60" t="b">
        <f t="shared" si="488"/>
        <v>1</v>
      </c>
      <c r="O687" s="59">
        <f>IFERROR(__xludf.DUMMYFUNCTION("iferror(filter('3.4.clean'!C:C,'3.4.clean'!A:A=C687),"""")"),43771.0)</f>
        <v>43771</v>
      </c>
      <c r="P687" s="60" t="b">
        <f t="shared" si="489"/>
        <v>1</v>
      </c>
      <c r="Q687" s="59">
        <f>IFERROR(__xludf.DUMMYFUNCTION("iferror(filter('3.5.clean'!C:C,'3.5.clean'!A:A=C687),"""")"),43762.0)</f>
        <v>43762</v>
      </c>
      <c r="R687" s="58" t="b">
        <f t="shared" ref="R687:R688" si="508">if(Q687="",FALSE,TRUE)</f>
        <v>1</v>
      </c>
      <c r="S687" s="4">
        <f>IFERROR(__xludf.DUMMYFUNCTION("iferror(filter('3.5.clean'!H:H,'3.5.clean'!A:A=C687),"""")"),0.0)</f>
        <v>0</v>
      </c>
      <c r="V687" s="52" t="s">
        <v>64</v>
      </c>
      <c r="W687" s="23" t="b">
        <f>if(AND(R687=TRUE,N687=TRUE,P687=TRUE),TRUE,FALSE)</f>
        <v>1</v>
      </c>
      <c r="X687" s="23" t="str">
        <f>IFERROR(__xludf.DUMMYFUNCTION("if(COUNTA(FILTER(C:C, C:C = C687))=1,""no"",""yes"")"),"no")</f>
        <v>no</v>
      </c>
    </row>
    <row r="688">
      <c r="A688" s="1" t="s">
        <v>817</v>
      </c>
      <c r="B688" s="19">
        <v>23.0</v>
      </c>
      <c r="C688" s="19" t="s">
        <v>1484</v>
      </c>
      <c r="D688" s="92" t="str">
        <f t="shared" si="506"/>
        <v/>
      </c>
      <c r="E688" s="20">
        <f t="shared" si="507"/>
        <v>43762</v>
      </c>
      <c r="F688" s="79" t="str">
        <f>IFERROR(__xludf.DUMMYFUNCTION("iferror(ifna(IFNA(filter('2.1.clean'!E:E,'2.1.clean'!A:A=C688),filter('2.2.clean'!G:G,'2.2.clean'!D:D=C688)),filter('2.4.clean'!E:E,'2.4.clean'!A:A=C688)),)"),"")</f>
        <v/>
      </c>
      <c r="G688" s="93" t="str">
        <f>IFERROR(__xludf.DUMMYFUNCTION("iferror(filter('3.1.clean'!C:C,'3.1.clean'!A:A=C688),"""")"),"")</f>
        <v/>
      </c>
      <c r="H688" s="92"/>
      <c r="I688" s="92"/>
      <c r="J688" s="94"/>
      <c r="K688" s="93" t="str">
        <f>IFERROR(__xludf.DUMMYFUNCTION("iferror(filter('3.2.clean'!C:C,'3.2.clean'!A:A=C688),"""")"),"")</f>
        <v/>
      </c>
      <c r="L688" s="94"/>
      <c r="M688" s="95">
        <f>IFERROR(__xludf.DUMMYFUNCTION("iferror(filter('3.3.clean'!C:C,'3.3.clean'!A:A=C688),"""")"),43766.0)</f>
        <v>43766</v>
      </c>
      <c r="N688" s="79" t="b">
        <f t="shared" si="488"/>
        <v>1</v>
      </c>
      <c r="O688" s="93" t="str">
        <f>IFERROR(__xludf.DUMMYFUNCTION("iferror(filter('3.4.clean'!C:C,'3.4.clean'!A:A=C688),"""")"),"")</f>
        <v/>
      </c>
      <c r="P688" s="79" t="b">
        <f t="shared" si="489"/>
        <v>0</v>
      </c>
      <c r="Q688" s="95">
        <f>IFERROR(__xludf.DUMMYFUNCTION("iferror(filter('3.5.clean'!C:C,'3.5.clean'!A:A=C688),"""")"),43762.0)</f>
        <v>43762</v>
      </c>
      <c r="R688" s="22" t="b">
        <f t="shared" si="508"/>
        <v>1</v>
      </c>
      <c r="S688" s="25"/>
      <c r="V688" s="52" t="s">
        <v>64</v>
      </c>
      <c r="W688" s="23" t="b">
        <f>IF(and(R688=TRUE,N688=TRUE,P688=TRUE),TRUE,FALSE)</f>
        <v>0</v>
      </c>
      <c r="X688" s="23" t="str">
        <f>IFERROR(__xludf.DUMMYFUNCTION("if(COUNTA(FILTER(C:C, C:C = C688))=1,""no"",""yes"")"),"no")</f>
        <v>no</v>
      </c>
    </row>
    <row r="689">
      <c r="A689" s="1" t="s">
        <v>817</v>
      </c>
      <c r="B689" s="19">
        <v>24.0</v>
      </c>
      <c r="C689" s="19" t="s">
        <v>1485</v>
      </c>
      <c r="D689" s="76" t="str">
        <f t="shared" si="506"/>
        <v/>
      </c>
      <c r="E689" s="77">
        <f>G689</f>
        <v>43762</v>
      </c>
      <c r="F689" s="78" t="str">
        <f>IFERROR(__xludf.DUMMYFUNCTION("iferror(ifna(IFNA(filter('2.1.clean'!E:E,'2.1.clean'!A:A=C689),filter('2.2.clean'!G:G,'2.2.clean'!D:D=C689)),filter('2.4.clean'!E:E,'2.4.clean'!A:A=C689)),)"),"")</f>
        <v/>
      </c>
      <c r="G689" s="77">
        <f>IFERROR(__xludf.DUMMYFUNCTION("iferror(filter('3.1.clean'!C:C,'3.1.clean'!A:A=C689),"""")"),43762.0)</f>
        <v>43762</v>
      </c>
      <c r="H689" s="76" t="b">
        <f t="shared" ref="H689:H691" si="509">if(G689="",FALSE,TRUE)</f>
        <v>1</v>
      </c>
      <c r="I689" s="76">
        <f>IFERROR(__xludf.DUMMYFUNCTION("iferror(filter('3.1.clean'!G:G,'3.1.clean'!A:A=C689),"""")"),0.0)</f>
        <v>0</v>
      </c>
      <c r="J689" s="78">
        <f>IFERROR(__xludf.DUMMYFUNCTION("iferror(filter('3.1.clean'!I:I,'3.1.clean'!A:A=C689),"""")"),0.0)</f>
        <v>0</v>
      </c>
      <c r="K689" s="77"/>
      <c r="L689" s="78"/>
      <c r="M689" s="77"/>
      <c r="N689" s="78"/>
      <c r="O689" s="77"/>
      <c r="P689" s="78"/>
      <c r="Q689" s="77"/>
      <c r="R689" s="76"/>
      <c r="S689" s="25"/>
      <c r="V689" s="1" t="s">
        <v>64</v>
      </c>
      <c r="W689" s="1" t="b">
        <v>1</v>
      </c>
      <c r="X689" s="23" t="str">
        <f>IFERROR(__xludf.DUMMYFUNCTION("if(COUNTA(FILTER(C:C, C:C = C689))=1,""no"",""yes"")"),"no")</f>
        <v>no</v>
      </c>
    </row>
    <row r="690">
      <c r="A690" s="75" t="s">
        <v>821</v>
      </c>
      <c r="B690" s="2">
        <v>1.0</v>
      </c>
      <c r="C690" s="19" t="s">
        <v>1486</v>
      </c>
      <c r="E690" s="24">
        <f>IFERROR(__xludf.DUMMYFUNCTION("ifna(IFNA(filter('2.1.clean'!C:C,'2.1.clean'!A:A=C690),filter('2.2.clean'!E:E,'2.2.clean'!D:D=C690)),filter('2.4.clean'!C:C,'2.4.clean'!A:A=C690))"),43766.0)</f>
        <v>43766</v>
      </c>
      <c r="F690" s="25">
        <f>IFERROR(__xludf.DUMMYFUNCTION("iferror(ifna(IFNA(filter('2.1.clean'!E:E,'2.1.clean'!A:A=C690),filter('2.2.clean'!G:G,'2.2.clean'!D:D=C690)),filter('2.4.clean'!E:E,'2.4.clean'!A:A=C690)),)"),2.4)</f>
        <v>2.4</v>
      </c>
      <c r="G690" s="24">
        <f>IFERROR(__xludf.DUMMYFUNCTION("iferror(filter('3.1.clean'!C:C,'3.1.clean'!A:A=C690),"""")"),43766.0)</f>
        <v>43766</v>
      </c>
      <c r="H690" s="23" t="b">
        <f t="shared" si="509"/>
        <v>1</v>
      </c>
      <c r="J690" s="25"/>
      <c r="K690" s="24">
        <f>IFERROR(__xludf.DUMMYFUNCTION("iferror(filter('3.2.clean'!C:C,'3.2.clean'!A:A=C690),"""")"),43768.0)</f>
        <v>43768</v>
      </c>
      <c r="L690" s="25" t="b">
        <f>if(K690="",FALSE,TRUE)</f>
        <v>1</v>
      </c>
      <c r="M690" s="24">
        <f>IFERROR(__xludf.DUMMYFUNCTION("iferror(filter('3.3.clean'!C:C,'3.3.clean'!A:A=C690),"""")"),43766.0)</f>
        <v>43766</v>
      </c>
      <c r="N690" s="25" t="b">
        <f t="shared" ref="N690:N706" si="510">if(M690="",FALSE,TRUE)</f>
        <v>1</v>
      </c>
      <c r="O690" s="24">
        <f>IFERROR(__xludf.DUMMYFUNCTION("iferror(filter('3.4.clean'!C:C,'3.4.clean'!A:A=C690),"""")"),43771.0)</f>
        <v>43771</v>
      </c>
      <c r="P690" s="25" t="b">
        <f t="shared" ref="P690:P706" si="511">if(O690="",FALSE,TRUE)</f>
        <v>1</v>
      </c>
      <c r="Q690" s="24">
        <f>IFERROR(__xludf.DUMMYFUNCTION("iferror(filter('3.5.clean'!C:C,'3.5.clean'!A:A=C690),"""")"),43766.0)</f>
        <v>43766</v>
      </c>
      <c r="R690" s="23" t="b">
        <f>if(Q690="",FALSE,TRUE)</f>
        <v>1</v>
      </c>
      <c r="S690" s="25"/>
      <c r="V690" s="1" t="s">
        <v>64</v>
      </c>
      <c r="X690" s="23" t="str">
        <f>IFERROR(__xludf.DUMMYFUNCTION("if(COUNTA(FILTER(C:C, C:C = C690))=1,""no"",""yes"")"),"no")</f>
        <v>no</v>
      </c>
    </row>
    <row r="691">
      <c r="A691" s="75" t="s">
        <v>821</v>
      </c>
      <c r="B691" s="19">
        <v>2.0</v>
      </c>
      <c r="C691" s="19" t="s">
        <v>253</v>
      </c>
      <c r="D691" s="58" t="str">
        <f t="shared" ref="D691:D692" si="512">if(or(I691=1,J691=1,S691=1),"pos","")</f>
        <v/>
      </c>
      <c r="E691" s="59">
        <f>IFERROR(__xludf.DUMMYFUNCTION("ifna(IFNA(filter('2.1.clean'!C:C,'2.1.clean'!A:A=C691),filter('2.2.clean'!E:E,'2.2.clean'!D:D=C691)),filter('2.4.clean'!C:C,'2.4.clean'!A:A=C691))"),43766.0)</f>
        <v>43766</v>
      </c>
      <c r="F691" s="60">
        <f>IFERROR(__xludf.DUMMYFUNCTION("iferror(ifna(IFNA(filter('2.1.clean'!E:E,'2.1.clean'!A:A=C691),filter('2.2.clean'!G:G,'2.2.clean'!D:D=C691)),filter('2.4.clean'!E:E,'2.4.clean'!A:A=C691)),)"),2.4)</f>
        <v>2.4</v>
      </c>
      <c r="G691" s="59">
        <f>IFERROR(__xludf.DUMMYFUNCTION("iferror(filter('3.1.clean'!C:C,'3.1.clean'!A:A=C691),"""")"),43766.0)</f>
        <v>43766</v>
      </c>
      <c r="H691" s="58" t="b">
        <f t="shared" si="509"/>
        <v>1</v>
      </c>
      <c r="I691" s="58">
        <f>IFERROR(__xludf.DUMMYFUNCTION("iferror(filter('3.1.clean'!G:G,'3.1.clean'!A:A=C691),"""")"),0.0)</f>
        <v>0</v>
      </c>
      <c r="J691" s="60">
        <f>IFERROR(__xludf.DUMMYFUNCTION("iferror(filter('3.1.clean'!I:I,'3.1.clean'!A:A=C691),"""")"),0.0)</f>
        <v>0</v>
      </c>
      <c r="K691" s="58"/>
      <c r="L691" s="60"/>
      <c r="M691" s="59">
        <f>IFERROR(__xludf.DUMMYFUNCTION("iferror(filter('3.3.clean'!C:C,'3.3.clean'!A:A=C691),"""")"),43766.0)</f>
        <v>43766</v>
      </c>
      <c r="N691" s="60" t="b">
        <f t="shared" si="510"/>
        <v>1</v>
      </c>
      <c r="O691" s="59" t="str">
        <f>IFERROR(__xludf.DUMMYFUNCTION("iferror(filter('3.4.clean'!C:C,'3.4.clean'!A:A=C691),"""")"),"")</f>
        <v/>
      </c>
      <c r="P691" s="60" t="b">
        <f t="shared" si="511"/>
        <v>0</v>
      </c>
      <c r="Q691" s="59" t="str">
        <f>IFERROR(__xludf.DUMMYFUNCTION("iferror(filter('3.5.clean'!C:C,'3.5.clean'!A:A=C691),"""")"),"")</f>
        <v/>
      </c>
      <c r="R691" s="58"/>
      <c r="S691" s="4" t="str">
        <f>IFERROR(__xludf.DUMMYFUNCTION("iferror(filter('3.5.clean'!H:H,'3.5.clean'!A:A=C691),"""")"),"")</f>
        <v/>
      </c>
      <c r="W691" s="23" t="b">
        <f>if(AND(H691=TRUE,N691=TRUE,P691=TRUE),TRUE,FALSE)</f>
        <v>0</v>
      </c>
      <c r="X691" s="23" t="str">
        <f>IFERROR(__xludf.DUMMYFUNCTION("if(COUNTA(FILTER(C:C, C:C = C691))=1,""no"",""yes"")"),"no")</f>
        <v>no</v>
      </c>
    </row>
    <row r="692">
      <c r="A692" s="75" t="s">
        <v>821</v>
      </c>
      <c r="B692" s="19">
        <v>3.0</v>
      </c>
      <c r="C692" s="19" t="s">
        <v>255</v>
      </c>
      <c r="D692" s="58" t="str">
        <f t="shared" si="512"/>
        <v/>
      </c>
      <c r="E692" s="59">
        <f>Q692</f>
        <v>43766</v>
      </c>
      <c r="F692" s="60" t="str">
        <f>IFERROR(__xludf.DUMMYFUNCTION("iferror(ifna(IFNA(filter('2.1.clean'!E:E,'2.1.clean'!A:A=C692),filter('2.2.clean'!G:G,'2.2.clean'!D:D=C692)),filter('2.4.clean'!E:E,'2.4.clean'!A:A=C692)),)"),"")</f>
        <v/>
      </c>
      <c r="G692" s="59" t="str">
        <f>IFERROR(__xludf.DUMMYFUNCTION("iferror(filter('3.1.clean'!C:C,'3.1.clean'!A:A=C692),"""")"),"")</f>
        <v/>
      </c>
      <c r="H692" s="58"/>
      <c r="I692" s="58" t="str">
        <f>IFERROR(__xludf.DUMMYFUNCTION("iferror(filter('3.1.clean'!G:G,'3.1.clean'!A:A=C692),"""")"),"")</f>
        <v/>
      </c>
      <c r="J692" s="60" t="str">
        <f>IFERROR(__xludf.DUMMYFUNCTION("iferror(filter('3.1.clean'!I:I,'3.1.clean'!A:A=C692),"""")"),"")</f>
        <v/>
      </c>
      <c r="K692" s="59"/>
      <c r="L692" s="60"/>
      <c r="M692" s="59">
        <f>IFERROR(__xludf.DUMMYFUNCTION("iferror(filter('3.3.clean'!C:C,'3.3.clean'!A:A=C692),"""")"),43766.0)</f>
        <v>43766</v>
      </c>
      <c r="N692" s="60" t="b">
        <f t="shared" si="510"/>
        <v>1</v>
      </c>
      <c r="O692" s="59">
        <f>IFERROR(__xludf.DUMMYFUNCTION("iferror(filter('3.4.clean'!C:C,'3.4.clean'!A:A=C692),"""")"),43771.0)</f>
        <v>43771</v>
      </c>
      <c r="P692" s="60" t="b">
        <f t="shared" si="511"/>
        <v>1</v>
      </c>
      <c r="Q692" s="59">
        <f>IFERROR(__xludf.DUMMYFUNCTION("iferror(filter('3.5.clean'!C:C,'3.5.clean'!A:A=C692),"""")"),43766.0)</f>
        <v>43766</v>
      </c>
      <c r="R692" s="58" t="b">
        <f t="shared" ref="R692:R693" si="513">if(Q692="",FALSE,TRUE)</f>
        <v>1</v>
      </c>
      <c r="S692" s="4">
        <f>IFERROR(__xludf.DUMMYFUNCTION("iferror(filter('3.5.clean'!H:H,'3.5.clean'!A:A=C692),"""")"),0.0)</f>
        <v>0</v>
      </c>
      <c r="V692" s="52" t="s">
        <v>64</v>
      </c>
      <c r="W692" s="23" t="b">
        <f>if(AND(R692=TRUE,N692=TRUE,P692=TRUE),TRUE,FALSE)</f>
        <v>1</v>
      </c>
      <c r="X692" s="23" t="str">
        <f>IFERROR(__xludf.DUMMYFUNCTION("if(COUNTA(FILTER(C:C, C:C = C692))=1,""no"",""yes"")"),"no")</f>
        <v>no</v>
      </c>
    </row>
    <row r="693">
      <c r="A693" s="75" t="s">
        <v>821</v>
      </c>
      <c r="B693" s="2">
        <v>4.0</v>
      </c>
      <c r="C693" s="19" t="s">
        <v>1487</v>
      </c>
      <c r="E693" s="24">
        <f>IFERROR(__xludf.DUMMYFUNCTION("ifna(IFNA(filter('2.1.clean'!C:C,'2.1.clean'!A:A=C693),filter('2.2.clean'!E:E,'2.2.clean'!D:D=C693)),filter('2.4.clean'!C:C,'2.4.clean'!A:A=C693))"),43766.0)</f>
        <v>43766</v>
      </c>
      <c r="F693" s="25">
        <f>IFERROR(__xludf.DUMMYFUNCTION("iferror(ifna(IFNA(filter('2.1.clean'!E:E,'2.1.clean'!A:A=C693),filter('2.2.clean'!G:G,'2.2.clean'!D:D=C693)),filter('2.4.clean'!E:E,'2.4.clean'!A:A=C693)),)"),2.4)</f>
        <v>2.4</v>
      </c>
      <c r="G693" s="24">
        <f>IFERROR(__xludf.DUMMYFUNCTION("iferror(filter('3.1.clean'!C:C,'3.1.clean'!A:A=C693),"""")"),43766.0)</f>
        <v>43766</v>
      </c>
      <c r="H693" s="23" t="b">
        <f t="shared" ref="H693:H694" si="514">if(G693="",FALSE,TRUE)</f>
        <v>1</v>
      </c>
      <c r="J693" s="25"/>
      <c r="K693" s="24">
        <f>IFERROR(__xludf.DUMMYFUNCTION("iferror(filter('3.2.clean'!C:C,'3.2.clean'!A:A=C693),"""")"),43768.0)</f>
        <v>43768</v>
      </c>
      <c r="L693" s="25" t="b">
        <f>if(K693="",FALSE,TRUE)</f>
        <v>1</v>
      </c>
      <c r="M693" s="24">
        <f>IFERROR(__xludf.DUMMYFUNCTION("iferror(filter('3.3.clean'!C:C,'3.3.clean'!A:A=C693),"""")"),43768.0)</f>
        <v>43768</v>
      </c>
      <c r="N693" s="25" t="b">
        <f t="shared" si="510"/>
        <v>1</v>
      </c>
      <c r="O693" s="24">
        <f>IFERROR(__xludf.DUMMYFUNCTION("iferror(filter('3.4.clean'!C:C,'3.4.clean'!A:A=C693),"""")"),43771.0)</f>
        <v>43771</v>
      </c>
      <c r="P693" s="25" t="b">
        <f t="shared" si="511"/>
        <v>1</v>
      </c>
      <c r="Q693" s="24">
        <f>IFERROR(__xludf.DUMMYFUNCTION("iferror(filter('3.5.clean'!C:C,'3.5.clean'!A:A=C693),"""")"),43766.0)</f>
        <v>43766</v>
      </c>
      <c r="R693" s="23" t="b">
        <f t="shared" si="513"/>
        <v>1</v>
      </c>
      <c r="S693" s="25"/>
      <c r="V693" s="1" t="s">
        <v>64</v>
      </c>
      <c r="X693" s="23" t="str">
        <f>IFERROR(__xludf.DUMMYFUNCTION("if(COUNTA(FILTER(C:C, C:C = C693))=1,""no"",""yes"")"),"no")</f>
        <v>no</v>
      </c>
    </row>
    <row r="694">
      <c r="A694" s="75" t="s">
        <v>821</v>
      </c>
      <c r="B694" s="19">
        <v>5.0</v>
      </c>
      <c r="C694" s="19" t="s">
        <v>256</v>
      </c>
      <c r="D694" s="58" t="str">
        <f t="shared" ref="D694:D695" si="515">if(or(I694=1,J694=1,S694=1),"pos","")</f>
        <v/>
      </c>
      <c r="E694" s="59">
        <f>IFERROR(__xludf.DUMMYFUNCTION("ifna(IFNA(filter('2.1.clean'!C:C,'2.1.clean'!A:A=C694),filter('2.2.clean'!E:E,'2.2.clean'!D:D=C694)),filter('2.4.clean'!C:C,'2.4.clean'!A:A=C694))"),43766.0)</f>
        <v>43766</v>
      </c>
      <c r="F694" s="60">
        <f>IFERROR(__xludf.DUMMYFUNCTION("iferror(ifna(IFNA(filter('2.1.clean'!E:E,'2.1.clean'!A:A=C694),filter('2.2.clean'!G:G,'2.2.clean'!D:D=C694)),filter('2.4.clean'!E:E,'2.4.clean'!A:A=C694)),)"),2.4)</f>
        <v>2.4</v>
      </c>
      <c r="G694" s="59">
        <f>IFERROR(__xludf.DUMMYFUNCTION("iferror(filter('3.1.clean'!C:C,'3.1.clean'!A:A=C694),"""")"),43766.0)</f>
        <v>43766</v>
      </c>
      <c r="H694" s="58" t="b">
        <f t="shared" si="514"/>
        <v>1</v>
      </c>
      <c r="I694" s="58">
        <f>IFERROR(__xludf.DUMMYFUNCTION("iferror(filter('3.1.clean'!G:G,'3.1.clean'!A:A=C694),"""")"),0.0)</f>
        <v>0</v>
      </c>
      <c r="J694" s="60">
        <f>IFERROR(__xludf.DUMMYFUNCTION("iferror(filter('3.1.clean'!I:I,'3.1.clean'!A:A=C694),"""")"),0.0)</f>
        <v>0</v>
      </c>
      <c r="K694" s="58"/>
      <c r="L694" s="60"/>
      <c r="M694" s="59">
        <f>IFERROR(__xludf.DUMMYFUNCTION("iferror(filter('3.3.clean'!C:C,'3.3.clean'!A:A=C694),"""")"),43768.0)</f>
        <v>43768</v>
      </c>
      <c r="N694" s="60" t="b">
        <f t="shared" si="510"/>
        <v>1</v>
      </c>
      <c r="O694" s="59">
        <f>IFERROR(__xludf.DUMMYFUNCTION("iferror(filter('3.4.clean'!C:C,'3.4.clean'!A:A=C694),"""")"),43771.0)</f>
        <v>43771</v>
      </c>
      <c r="P694" s="60" t="b">
        <f t="shared" si="511"/>
        <v>1</v>
      </c>
      <c r="Q694" s="59" t="str">
        <f>IFERROR(__xludf.DUMMYFUNCTION("iferror(filter('3.5.clean'!C:C,'3.5.clean'!A:A=C694),"""")"),"")</f>
        <v/>
      </c>
      <c r="R694" s="58"/>
      <c r="S694" s="4" t="str">
        <f>IFERROR(__xludf.DUMMYFUNCTION("iferror(filter('3.5.clean'!H:H,'3.5.clean'!A:A=C694),"""")"),"")</f>
        <v/>
      </c>
      <c r="W694" s="23" t="b">
        <f>if(AND(H694=TRUE,N694=TRUE,P694=TRUE),TRUE,FALSE)</f>
        <v>1</v>
      </c>
      <c r="X694" s="23" t="str">
        <f>IFERROR(__xludf.DUMMYFUNCTION("if(COUNTA(FILTER(C:C, C:C = C694))=1,""no"",""yes"")"),"no")</f>
        <v>no</v>
      </c>
    </row>
    <row r="695">
      <c r="A695" s="75" t="s">
        <v>821</v>
      </c>
      <c r="B695" s="19">
        <v>6.0</v>
      </c>
      <c r="C695" s="19" t="s">
        <v>258</v>
      </c>
      <c r="D695" s="58" t="str">
        <f t="shared" si="515"/>
        <v/>
      </c>
      <c r="E695" s="59">
        <f>Q695</f>
        <v>43766</v>
      </c>
      <c r="F695" s="60" t="str">
        <f>IFERROR(__xludf.DUMMYFUNCTION("iferror(ifna(IFNA(filter('2.1.clean'!E:E,'2.1.clean'!A:A=C695),filter('2.2.clean'!G:G,'2.2.clean'!D:D=C695)),filter('2.4.clean'!E:E,'2.4.clean'!A:A=C695)),)"),"")</f>
        <v/>
      </c>
      <c r="G695" s="59" t="str">
        <f>IFERROR(__xludf.DUMMYFUNCTION("iferror(filter('3.1.clean'!C:C,'3.1.clean'!A:A=C695),"""")"),"")</f>
        <v/>
      </c>
      <c r="H695" s="58"/>
      <c r="I695" s="58" t="str">
        <f>IFERROR(__xludf.DUMMYFUNCTION("iferror(filter('3.1.clean'!G:G,'3.1.clean'!A:A=C695),"""")"),"")</f>
        <v/>
      </c>
      <c r="J695" s="60" t="str">
        <f>IFERROR(__xludf.DUMMYFUNCTION("iferror(filter('3.1.clean'!I:I,'3.1.clean'!A:A=C695),"""")"),"")</f>
        <v/>
      </c>
      <c r="K695" s="59"/>
      <c r="L695" s="60"/>
      <c r="M695" s="59">
        <f>IFERROR(__xludf.DUMMYFUNCTION("iferror(filter('3.3.clean'!C:C,'3.3.clean'!A:A=C695),"""")"),43768.0)</f>
        <v>43768</v>
      </c>
      <c r="N695" s="60" t="b">
        <f t="shared" si="510"/>
        <v>1</v>
      </c>
      <c r="O695" s="59" t="str">
        <f>IFERROR(__xludf.DUMMYFUNCTION("iferror(filter('3.4.clean'!C:C,'3.4.clean'!A:A=C695),"""")"),"")</f>
        <v/>
      </c>
      <c r="P695" s="60" t="b">
        <f t="shared" si="511"/>
        <v>0</v>
      </c>
      <c r="Q695" s="59">
        <f>IFERROR(__xludf.DUMMYFUNCTION("iferror(filter('3.5.clean'!C:C,'3.5.clean'!A:A=C695),"""")"),43766.0)</f>
        <v>43766</v>
      </c>
      <c r="R695" s="58" t="b">
        <f t="shared" ref="R695:R696" si="516">if(Q695="",FALSE,TRUE)</f>
        <v>1</v>
      </c>
      <c r="S695" s="4">
        <f>IFERROR(__xludf.DUMMYFUNCTION("iferror(filter('3.5.clean'!H:H,'3.5.clean'!A:A=C695),"""")"),0.0)</f>
        <v>0</v>
      </c>
      <c r="V695" s="52" t="s">
        <v>64</v>
      </c>
      <c r="W695" s="23" t="b">
        <f>if(AND(R695=TRUE,N695=TRUE,P695=TRUE),TRUE,FALSE)</f>
        <v>0</v>
      </c>
      <c r="X695" s="23" t="str">
        <f>IFERROR(__xludf.DUMMYFUNCTION("if(COUNTA(FILTER(C:C, C:C = C695))=1,""no"",""yes"")"),"no")</f>
        <v>no</v>
      </c>
    </row>
    <row r="696">
      <c r="A696" s="75" t="s">
        <v>821</v>
      </c>
      <c r="B696" s="2">
        <v>7.0</v>
      </c>
      <c r="C696" s="19" t="s">
        <v>1488</v>
      </c>
      <c r="E696" s="24">
        <f>IFERROR(__xludf.DUMMYFUNCTION("ifna(IFNA(filter('2.1.clean'!C:C,'2.1.clean'!A:A=C696),filter('2.2.clean'!E:E,'2.2.clean'!D:D=C696)),filter('2.4.clean'!C:C,'2.4.clean'!A:A=C696))"),43766.0)</f>
        <v>43766</v>
      </c>
      <c r="F696" s="25">
        <f>IFERROR(__xludf.DUMMYFUNCTION("iferror(ifna(IFNA(filter('2.1.clean'!E:E,'2.1.clean'!A:A=C696),filter('2.2.clean'!G:G,'2.2.clean'!D:D=C696)),filter('2.4.clean'!E:E,'2.4.clean'!A:A=C696)),)"),2.4)</f>
        <v>2.4</v>
      </c>
      <c r="G696" s="24">
        <f>IFERROR(__xludf.DUMMYFUNCTION("iferror(filter('3.1.clean'!C:C,'3.1.clean'!A:A=C696),"""")"),43766.0)</f>
        <v>43766</v>
      </c>
      <c r="H696" s="23" t="b">
        <f t="shared" ref="H696:H697" si="517">if(G696="",FALSE,TRUE)</f>
        <v>1</v>
      </c>
      <c r="J696" s="25"/>
      <c r="K696" s="24">
        <f>IFERROR(__xludf.DUMMYFUNCTION("iferror(filter('3.2.clean'!C:C,'3.2.clean'!A:A=C696),"""")"),43768.0)</f>
        <v>43768</v>
      </c>
      <c r="L696" s="25" t="b">
        <f>if(K696="",FALSE,TRUE)</f>
        <v>1</v>
      </c>
      <c r="M696" s="24">
        <f>IFERROR(__xludf.DUMMYFUNCTION("iferror(filter('3.3.clean'!C:C,'3.3.clean'!A:A=C696),"""")"),43768.0)</f>
        <v>43768</v>
      </c>
      <c r="N696" s="25" t="b">
        <f t="shared" si="510"/>
        <v>1</v>
      </c>
      <c r="O696" s="24">
        <f>IFERROR(__xludf.DUMMYFUNCTION("iferror(filter('3.4.clean'!C:C,'3.4.clean'!A:A=C696),"""")"),43771.0)</f>
        <v>43771</v>
      </c>
      <c r="P696" s="25" t="b">
        <f t="shared" si="511"/>
        <v>1</v>
      </c>
      <c r="Q696" s="24">
        <f>IFERROR(__xludf.DUMMYFUNCTION("iferror(filter('3.5.clean'!C:C,'3.5.clean'!A:A=C696),"""")"),43766.0)</f>
        <v>43766</v>
      </c>
      <c r="R696" s="23" t="b">
        <f t="shared" si="516"/>
        <v>1</v>
      </c>
      <c r="S696" s="25"/>
      <c r="V696" s="1" t="s">
        <v>64</v>
      </c>
      <c r="X696" s="23" t="str">
        <f>IFERROR(__xludf.DUMMYFUNCTION("if(COUNTA(FILTER(C:C, C:C = C696))=1,""no"",""yes"")"),"no")</f>
        <v>no</v>
      </c>
    </row>
    <row r="697">
      <c r="A697" s="75" t="s">
        <v>821</v>
      </c>
      <c r="B697" s="19">
        <v>8.0</v>
      </c>
      <c r="C697" s="19" t="s">
        <v>259</v>
      </c>
      <c r="D697" s="58" t="str">
        <f t="shared" ref="D697:D698" si="518">if(or(I697=1,J697=1,S697=1),"pos","")</f>
        <v/>
      </c>
      <c r="E697" s="59">
        <f>IFERROR(__xludf.DUMMYFUNCTION("ifna(IFNA(filter('2.1.clean'!C:C,'2.1.clean'!A:A=C697),filter('2.2.clean'!E:E,'2.2.clean'!D:D=C697)),filter('2.4.clean'!C:C,'2.4.clean'!A:A=C697))"),43766.0)</f>
        <v>43766</v>
      </c>
      <c r="F697" s="60">
        <f>IFERROR(__xludf.DUMMYFUNCTION("iferror(ifna(IFNA(filter('2.1.clean'!E:E,'2.1.clean'!A:A=C697),filter('2.2.clean'!G:G,'2.2.clean'!D:D=C697)),filter('2.4.clean'!E:E,'2.4.clean'!A:A=C697)),)"),2.4)</f>
        <v>2.4</v>
      </c>
      <c r="G697" s="59">
        <f>IFERROR(__xludf.DUMMYFUNCTION("iferror(filter('3.1.clean'!C:C,'3.1.clean'!A:A=C697),"""")"),43766.0)</f>
        <v>43766</v>
      </c>
      <c r="H697" s="58" t="b">
        <f t="shared" si="517"/>
        <v>1</v>
      </c>
      <c r="I697" s="58">
        <f>IFERROR(__xludf.DUMMYFUNCTION("iferror(filter('3.1.clean'!G:G,'3.1.clean'!A:A=C697),"""")"),0.0)</f>
        <v>0</v>
      </c>
      <c r="J697" s="60">
        <f>IFERROR(__xludf.DUMMYFUNCTION("iferror(filter('3.1.clean'!I:I,'3.1.clean'!A:A=C697),"""")"),0.0)</f>
        <v>0</v>
      </c>
      <c r="K697" s="58"/>
      <c r="L697" s="60"/>
      <c r="M697" s="59">
        <f>IFERROR(__xludf.DUMMYFUNCTION("iferror(filter('3.3.clean'!C:C,'3.3.clean'!A:A=C697),"""")"),43768.0)</f>
        <v>43768</v>
      </c>
      <c r="N697" s="60" t="b">
        <f t="shared" si="510"/>
        <v>1</v>
      </c>
      <c r="O697" s="59">
        <f>IFERROR(__xludf.DUMMYFUNCTION("iferror(filter('3.4.clean'!C:C,'3.4.clean'!A:A=C697),"""")"),43771.0)</f>
        <v>43771</v>
      </c>
      <c r="P697" s="60" t="b">
        <f t="shared" si="511"/>
        <v>1</v>
      </c>
      <c r="Q697" s="59" t="str">
        <f>IFERROR(__xludf.DUMMYFUNCTION("iferror(filter('3.5.clean'!C:C,'3.5.clean'!A:A=C697),"""")"),"")</f>
        <v/>
      </c>
      <c r="R697" s="58"/>
      <c r="S697" s="4" t="str">
        <f>IFERROR(__xludf.DUMMYFUNCTION("iferror(filter('3.5.clean'!H:H,'3.5.clean'!A:A=C697),"""")"),"")</f>
        <v/>
      </c>
      <c r="W697" s="23" t="b">
        <f>if(AND(H697=TRUE,N697=TRUE,P697=TRUE),TRUE,FALSE)</f>
        <v>1</v>
      </c>
      <c r="X697" s="23" t="str">
        <f>IFERROR(__xludf.DUMMYFUNCTION("if(COUNTA(FILTER(C:C, C:C = C697))=1,""no"",""yes"")"),"no")</f>
        <v>no</v>
      </c>
    </row>
    <row r="698">
      <c r="A698" s="75" t="s">
        <v>821</v>
      </c>
      <c r="B698" s="19">
        <v>9.0</v>
      </c>
      <c r="C698" s="19" t="s">
        <v>261</v>
      </c>
      <c r="D698" s="58" t="str">
        <f t="shared" si="518"/>
        <v/>
      </c>
      <c r="E698" s="59">
        <f>Q698</f>
        <v>43766</v>
      </c>
      <c r="F698" s="60" t="str">
        <f>IFERROR(__xludf.DUMMYFUNCTION("iferror(ifna(IFNA(filter('2.1.clean'!E:E,'2.1.clean'!A:A=C698),filter('2.2.clean'!G:G,'2.2.clean'!D:D=C698)),filter('2.4.clean'!E:E,'2.4.clean'!A:A=C698)),)"),"")</f>
        <v/>
      </c>
      <c r="G698" s="59" t="str">
        <f>IFERROR(__xludf.DUMMYFUNCTION("iferror(filter('3.1.clean'!C:C,'3.1.clean'!A:A=C698),"""")"),"")</f>
        <v/>
      </c>
      <c r="H698" s="58"/>
      <c r="I698" s="58" t="str">
        <f>IFERROR(__xludf.DUMMYFUNCTION("iferror(filter('3.1.clean'!G:G,'3.1.clean'!A:A=C698),"""")"),"")</f>
        <v/>
      </c>
      <c r="J698" s="60" t="str">
        <f>IFERROR(__xludf.DUMMYFUNCTION("iferror(filter('3.1.clean'!I:I,'3.1.clean'!A:A=C698),"""")"),"")</f>
        <v/>
      </c>
      <c r="K698" s="59"/>
      <c r="L698" s="60"/>
      <c r="M698" s="59">
        <f>IFERROR(__xludf.DUMMYFUNCTION("iferror(filter('3.3.clean'!C:C,'3.3.clean'!A:A=C698),"""")"),43768.0)</f>
        <v>43768</v>
      </c>
      <c r="N698" s="60" t="b">
        <f t="shared" si="510"/>
        <v>1</v>
      </c>
      <c r="O698" s="59" t="str">
        <f>IFERROR(__xludf.DUMMYFUNCTION("iferror(filter('3.4.clean'!C:C,'3.4.clean'!A:A=C698),"""")"),"")</f>
        <v/>
      </c>
      <c r="P698" s="60" t="b">
        <f t="shared" si="511"/>
        <v>0</v>
      </c>
      <c r="Q698" s="59">
        <f>IFERROR(__xludf.DUMMYFUNCTION("iferror(filter('3.5.clean'!C:C,'3.5.clean'!A:A=C698),"""")"),43766.0)</f>
        <v>43766</v>
      </c>
      <c r="R698" s="58" t="b">
        <f t="shared" ref="R698:R699" si="519">if(Q698="",FALSE,TRUE)</f>
        <v>1</v>
      </c>
      <c r="S698" s="4">
        <f>IFERROR(__xludf.DUMMYFUNCTION("iferror(filter('3.5.clean'!H:H,'3.5.clean'!A:A=C698),"""")"),0.0)</f>
        <v>0</v>
      </c>
      <c r="V698" s="52" t="s">
        <v>64</v>
      </c>
      <c r="W698" s="23" t="b">
        <f>if(AND(R698=TRUE,N698=TRUE,P698=TRUE),TRUE,FALSE)</f>
        <v>0</v>
      </c>
      <c r="X698" s="23" t="str">
        <f>IFERROR(__xludf.DUMMYFUNCTION("if(COUNTA(FILTER(C:C, C:C = C698))=1,""no"",""yes"")"),"no")</f>
        <v>no</v>
      </c>
    </row>
    <row r="699">
      <c r="A699" s="75" t="s">
        <v>821</v>
      </c>
      <c r="B699" s="2">
        <v>10.0</v>
      </c>
      <c r="C699" s="19" t="s">
        <v>1489</v>
      </c>
      <c r="E699" s="24">
        <f>IFERROR(__xludf.DUMMYFUNCTION("ifna(IFNA(filter('2.1.clean'!C:C,'2.1.clean'!A:A=C699),filter('2.2.clean'!E:E,'2.2.clean'!D:D=C699)),filter('2.4.clean'!C:C,'2.4.clean'!A:A=C699))"),43766.0)</f>
        <v>43766</v>
      </c>
      <c r="F699" s="25">
        <f>IFERROR(__xludf.DUMMYFUNCTION("iferror(ifna(IFNA(filter('2.1.clean'!E:E,'2.1.clean'!A:A=C699),filter('2.2.clean'!G:G,'2.2.clean'!D:D=C699)),filter('2.4.clean'!E:E,'2.4.clean'!A:A=C699)),)"),2.4)</f>
        <v>2.4</v>
      </c>
      <c r="G699" s="24">
        <f>IFERROR(__xludf.DUMMYFUNCTION("iferror(filter('3.1.clean'!C:C,'3.1.clean'!A:A=C699),"""")"),43766.0)</f>
        <v>43766</v>
      </c>
      <c r="H699" s="23" t="b">
        <f t="shared" ref="H699:H700" si="520">if(G699="",FALSE,TRUE)</f>
        <v>1</v>
      </c>
      <c r="J699" s="25"/>
      <c r="K699" s="24">
        <f>IFERROR(__xludf.DUMMYFUNCTION("iferror(filter('3.2.clean'!C:C,'3.2.clean'!A:A=C699),"""")"),43768.0)</f>
        <v>43768</v>
      </c>
      <c r="L699" s="25" t="b">
        <f>if(K699="",FALSE,TRUE)</f>
        <v>1</v>
      </c>
      <c r="M699" s="24">
        <f>IFERROR(__xludf.DUMMYFUNCTION("iferror(filter('3.3.clean'!C:C,'3.3.clean'!A:A=C699),"""")"),43768.0)</f>
        <v>43768</v>
      </c>
      <c r="N699" s="25" t="b">
        <f t="shared" si="510"/>
        <v>1</v>
      </c>
      <c r="O699" s="24">
        <f>IFERROR(__xludf.DUMMYFUNCTION("iferror(filter('3.4.clean'!C:C,'3.4.clean'!A:A=C699),"""")"),43771.0)</f>
        <v>43771</v>
      </c>
      <c r="P699" s="25" t="b">
        <f t="shared" si="511"/>
        <v>1</v>
      </c>
      <c r="Q699" s="24">
        <f>IFERROR(__xludf.DUMMYFUNCTION("iferror(filter('3.5.clean'!C:C,'3.5.clean'!A:A=C699),"""")"),43766.0)</f>
        <v>43766</v>
      </c>
      <c r="R699" s="23" t="b">
        <f t="shared" si="519"/>
        <v>1</v>
      </c>
      <c r="S699" s="25"/>
      <c r="V699" s="1" t="s">
        <v>64</v>
      </c>
      <c r="X699" s="23" t="str">
        <f>IFERROR(__xludf.DUMMYFUNCTION("if(COUNTA(FILTER(C:C, C:C = C699))=1,""no"",""yes"")"),"no")</f>
        <v>no</v>
      </c>
    </row>
    <row r="700">
      <c r="A700" s="75" t="s">
        <v>821</v>
      </c>
      <c r="B700" s="19">
        <v>11.0</v>
      </c>
      <c r="C700" s="19" t="s">
        <v>262</v>
      </c>
      <c r="D700" s="58" t="str">
        <f t="shared" ref="D700:D701" si="521">if(or(I700=1,J700=1,S700=1),"pos","")</f>
        <v/>
      </c>
      <c r="E700" s="59">
        <f>IFERROR(__xludf.DUMMYFUNCTION("ifna(IFNA(filter('2.1.clean'!C:C,'2.1.clean'!A:A=C700),filter('2.2.clean'!E:E,'2.2.clean'!D:D=C700)),filter('2.4.clean'!C:C,'2.4.clean'!A:A=C700))"),43766.0)</f>
        <v>43766</v>
      </c>
      <c r="F700" s="60">
        <f>IFERROR(__xludf.DUMMYFUNCTION("iferror(ifna(IFNA(filter('2.1.clean'!E:E,'2.1.clean'!A:A=C700),filter('2.2.clean'!G:G,'2.2.clean'!D:D=C700)),filter('2.4.clean'!E:E,'2.4.clean'!A:A=C700)),)"),2.4)</f>
        <v>2.4</v>
      </c>
      <c r="G700" s="59">
        <f>IFERROR(__xludf.DUMMYFUNCTION("iferror(filter('3.1.clean'!C:C,'3.1.clean'!A:A=C700),"""")"),43766.0)</f>
        <v>43766</v>
      </c>
      <c r="H700" s="58" t="b">
        <f t="shared" si="520"/>
        <v>1</v>
      </c>
      <c r="I700" s="58">
        <f>IFERROR(__xludf.DUMMYFUNCTION("iferror(filter('3.1.clean'!G:G,'3.1.clean'!A:A=C700),"""")"),0.0)</f>
        <v>0</v>
      </c>
      <c r="J700" s="60">
        <f>IFERROR(__xludf.DUMMYFUNCTION("iferror(filter('3.1.clean'!I:I,'3.1.clean'!A:A=C700),"""")"),0.0)</f>
        <v>0</v>
      </c>
      <c r="K700" s="58"/>
      <c r="L700" s="60"/>
      <c r="M700" s="59">
        <f>IFERROR(__xludf.DUMMYFUNCTION("iferror(filter('3.3.clean'!C:C,'3.3.clean'!A:A=C700),"""")"),43768.0)</f>
        <v>43768</v>
      </c>
      <c r="N700" s="60" t="b">
        <f t="shared" si="510"/>
        <v>1</v>
      </c>
      <c r="O700" s="59">
        <f>IFERROR(__xludf.DUMMYFUNCTION("iferror(filter('3.4.clean'!C:C,'3.4.clean'!A:A=C700),"""")"),43771.0)</f>
        <v>43771</v>
      </c>
      <c r="P700" s="60" t="b">
        <f t="shared" si="511"/>
        <v>1</v>
      </c>
      <c r="Q700" s="59" t="str">
        <f>IFERROR(__xludf.DUMMYFUNCTION("iferror(filter('3.5.clean'!C:C,'3.5.clean'!A:A=C700),"""")"),"")</f>
        <v/>
      </c>
      <c r="R700" s="58"/>
      <c r="S700" s="4" t="str">
        <f>IFERROR(__xludf.DUMMYFUNCTION("iferror(filter('3.5.clean'!H:H,'3.5.clean'!A:A=C700),"""")"),"")</f>
        <v/>
      </c>
      <c r="W700" s="23" t="b">
        <f>if(AND(H700=TRUE,N700=TRUE,P700=TRUE),TRUE,FALSE)</f>
        <v>1</v>
      </c>
      <c r="X700" s="23" t="str">
        <f>IFERROR(__xludf.DUMMYFUNCTION("if(COUNTA(FILTER(C:C, C:C = C700))=1,""no"",""yes"")"),"no")</f>
        <v>no</v>
      </c>
    </row>
    <row r="701">
      <c r="A701" s="75" t="s">
        <v>821</v>
      </c>
      <c r="B701" s="19">
        <v>12.0</v>
      </c>
      <c r="C701" s="19" t="s">
        <v>264</v>
      </c>
      <c r="D701" s="58" t="str">
        <f t="shared" si="521"/>
        <v/>
      </c>
      <c r="E701" s="59">
        <f>Q701</f>
        <v>43766</v>
      </c>
      <c r="F701" s="60" t="str">
        <f>IFERROR(__xludf.DUMMYFUNCTION("iferror(ifna(IFNA(filter('2.1.clean'!E:E,'2.1.clean'!A:A=C701),filter('2.2.clean'!G:G,'2.2.clean'!D:D=C701)),filter('2.4.clean'!E:E,'2.4.clean'!A:A=C701)),)"),"")</f>
        <v/>
      </c>
      <c r="G701" s="59" t="str">
        <f>IFERROR(__xludf.DUMMYFUNCTION("iferror(filter('3.1.clean'!C:C,'3.1.clean'!A:A=C701),"""")"),"")</f>
        <v/>
      </c>
      <c r="H701" s="58"/>
      <c r="I701" s="58" t="str">
        <f>IFERROR(__xludf.DUMMYFUNCTION("iferror(filter('3.1.clean'!G:G,'3.1.clean'!A:A=C701),"""")"),"")</f>
        <v/>
      </c>
      <c r="J701" s="60" t="str">
        <f>IFERROR(__xludf.DUMMYFUNCTION("iferror(filter('3.1.clean'!I:I,'3.1.clean'!A:A=C701),"""")"),"")</f>
        <v/>
      </c>
      <c r="K701" s="59"/>
      <c r="L701" s="60"/>
      <c r="M701" s="59">
        <f>IFERROR(__xludf.DUMMYFUNCTION("iferror(filter('3.3.clean'!C:C,'3.3.clean'!A:A=C701),"""")"),43768.0)</f>
        <v>43768</v>
      </c>
      <c r="N701" s="60" t="b">
        <f t="shared" si="510"/>
        <v>1</v>
      </c>
      <c r="O701" s="59" t="str">
        <f>IFERROR(__xludf.DUMMYFUNCTION("iferror(filter('3.4.clean'!C:C,'3.4.clean'!A:A=C701),"""")"),"")</f>
        <v/>
      </c>
      <c r="P701" s="60" t="b">
        <f t="shared" si="511"/>
        <v>0</v>
      </c>
      <c r="Q701" s="59">
        <f>IFERROR(__xludf.DUMMYFUNCTION("iferror(filter('3.5.clean'!C:C,'3.5.clean'!A:A=C701),"""")"),43766.0)</f>
        <v>43766</v>
      </c>
      <c r="R701" s="58" t="b">
        <f t="shared" ref="R701:R703" si="522">if(Q701="",FALSE,TRUE)</f>
        <v>1</v>
      </c>
      <c r="S701" s="4">
        <f>IFERROR(__xludf.DUMMYFUNCTION("iferror(filter('3.5.clean'!H:H,'3.5.clean'!A:A=C701),"""")"),0.0)</f>
        <v>0</v>
      </c>
      <c r="V701" s="52" t="s">
        <v>64</v>
      </c>
      <c r="W701" s="23" t="b">
        <f>if(AND(R701=TRUE,N701=TRUE,P701=TRUE),TRUE,FALSE)</f>
        <v>0</v>
      </c>
      <c r="X701" s="23" t="str">
        <f>IFERROR(__xludf.DUMMYFUNCTION("if(COUNTA(FILTER(C:C, C:C = C701))=1,""no"",""yes"")"),"no")</f>
        <v>no</v>
      </c>
    </row>
    <row r="702">
      <c r="A702" s="75" t="s">
        <v>821</v>
      </c>
      <c r="B702" s="2">
        <v>13.0</v>
      </c>
      <c r="C702" s="19" t="s">
        <v>1490</v>
      </c>
      <c r="E702" s="24">
        <f>IFERROR(__xludf.DUMMYFUNCTION("ifna(IFNA(filter('2.1.clean'!C:C,'2.1.clean'!A:A=C702),filter('2.2.clean'!E:E,'2.2.clean'!D:D=C702)),filter('2.4.clean'!C:C,'2.4.clean'!A:A=C702))"),43766.0)</f>
        <v>43766</v>
      </c>
      <c r="F702" s="25">
        <f>IFERROR(__xludf.DUMMYFUNCTION("iferror(ifna(IFNA(filter('2.1.clean'!E:E,'2.1.clean'!A:A=C702),filter('2.2.clean'!G:G,'2.2.clean'!D:D=C702)),filter('2.4.clean'!E:E,'2.4.clean'!A:A=C702)),)"),2.4)</f>
        <v>2.4</v>
      </c>
      <c r="G702" s="24">
        <f>IFERROR(__xludf.DUMMYFUNCTION("iferror(filter('3.1.clean'!C:C,'3.1.clean'!A:A=C702),"""")"),43766.0)</f>
        <v>43766</v>
      </c>
      <c r="H702" s="23" t="b">
        <f>if(G702="",FALSE,TRUE)</f>
        <v>1</v>
      </c>
      <c r="J702" s="25"/>
      <c r="K702" s="24">
        <f>IFERROR(__xludf.DUMMYFUNCTION("iferror(filter('3.2.clean'!C:C,'3.2.clean'!A:A=C702),"""")"),43768.0)</f>
        <v>43768</v>
      </c>
      <c r="L702" s="25" t="b">
        <f>if(K702="",FALSE,TRUE)</f>
        <v>1</v>
      </c>
      <c r="M702" s="24">
        <f>IFERROR(__xludf.DUMMYFUNCTION("iferror(filter('3.3.clean'!C:C,'3.3.clean'!A:A=C702),"""")"),43768.0)</f>
        <v>43768</v>
      </c>
      <c r="N702" s="25" t="b">
        <f t="shared" si="510"/>
        <v>1</v>
      </c>
      <c r="O702" s="24">
        <f>IFERROR(__xludf.DUMMYFUNCTION("iferror(filter('3.4.clean'!C:C,'3.4.clean'!A:A=C702),"""")"),43771.0)</f>
        <v>43771</v>
      </c>
      <c r="P702" s="25" t="b">
        <f t="shared" si="511"/>
        <v>1</v>
      </c>
      <c r="Q702" s="24">
        <f>IFERROR(__xludf.DUMMYFUNCTION("iferror(filter('3.5.clean'!C:C,'3.5.clean'!A:A=C702),"""")"),43766.0)</f>
        <v>43766</v>
      </c>
      <c r="R702" s="23" t="b">
        <f t="shared" si="522"/>
        <v>1</v>
      </c>
      <c r="S702" s="25"/>
      <c r="V702" s="1" t="s">
        <v>64</v>
      </c>
      <c r="X702" s="23" t="str">
        <f>IFERROR(__xludf.DUMMYFUNCTION("if(COUNTA(FILTER(C:C, C:C = C702))=1,""no"",""yes"")"),"no")</f>
        <v>no</v>
      </c>
    </row>
    <row r="703">
      <c r="A703" s="75" t="s">
        <v>821</v>
      </c>
      <c r="B703" s="2">
        <v>14.0</v>
      </c>
      <c r="C703" s="19" t="s">
        <v>1491</v>
      </c>
      <c r="E703" s="24">
        <f>Q703</f>
        <v>43766</v>
      </c>
      <c r="F703" s="25" t="str">
        <f>IFERROR(__xludf.DUMMYFUNCTION("iferror(ifna(IFNA(filter('2.1.clean'!E:E,'2.1.clean'!A:A=C703),filter('2.2.clean'!G:G,'2.2.clean'!D:D=C703)),filter('2.4.clean'!E:E,'2.4.clean'!A:A=C703)),)"),"")</f>
        <v/>
      </c>
      <c r="G703" s="24"/>
      <c r="J703" s="25"/>
      <c r="K703" s="24"/>
      <c r="L703" s="25"/>
      <c r="M703" s="24" t="str">
        <f>IFERROR(__xludf.DUMMYFUNCTION("iferror(filter('3.3.clean'!C:C,'3.3.clean'!A:A=C703),"""")"),"")</f>
        <v/>
      </c>
      <c r="N703" s="25" t="b">
        <f t="shared" si="510"/>
        <v>0</v>
      </c>
      <c r="O703" s="24" t="str">
        <f>IFERROR(__xludf.DUMMYFUNCTION("iferror(filter('3.4.clean'!C:C,'3.4.clean'!A:A=C703),"""")"),"")</f>
        <v/>
      </c>
      <c r="P703" s="25" t="b">
        <f t="shared" si="511"/>
        <v>0</v>
      </c>
      <c r="Q703" s="24">
        <f>IFERROR(__xludf.DUMMYFUNCTION("iferror(filter('3.5.clean'!C:C,'3.5.clean'!A:A=C703),"""")"),43766.0)</f>
        <v>43766</v>
      </c>
      <c r="R703" s="23" t="b">
        <f t="shared" si="522"/>
        <v>1</v>
      </c>
      <c r="S703" s="25"/>
      <c r="V703" s="1" t="s">
        <v>64</v>
      </c>
      <c r="X703" s="23" t="str">
        <f>IFERROR(__xludf.DUMMYFUNCTION("if(COUNTA(FILTER(C:C, C:C = C703))=1,""no"",""yes"")"),"no")</f>
        <v>no</v>
      </c>
    </row>
    <row r="704">
      <c r="A704" s="75" t="s">
        <v>821</v>
      </c>
      <c r="B704" s="19">
        <v>16.0</v>
      </c>
      <c r="C704" s="19" t="s">
        <v>265</v>
      </c>
      <c r="D704" s="58" t="str">
        <f t="shared" ref="D704:D707" si="523">if(or(I704=1,J704=1,S704=1),"pos","")</f>
        <v/>
      </c>
      <c r="E704" s="59">
        <f>IFERROR(__xludf.DUMMYFUNCTION("ifna(IFNA(filter('2.1.clean'!C:C,'2.1.clean'!A:A=C704),filter('2.2.clean'!E:E,'2.2.clean'!D:D=C704)),filter('2.4.clean'!C:C,'2.4.clean'!A:A=C704))"),43766.0)</f>
        <v>43766</v>
      </c>
      <c r="F704" s="60">
        <f>IFERROR(__xludf.DUMMYFUNCTION("iferror(ifna(IFNA(filter('2.1.clean'!E:E,'2.1.clean'!A:A=C704),filter('2.2.clean'!G:G,'2.2.clean'!D:D=C704)),filter('2.4.clean'!E:E,'2.4.clean'!A:A=C704)),)"),2.4)</f>
        <v>2.4</v>
      </c>
      <c r="G704" s="59">
        <f>IFERROR(__xludf.DUMMYFUNCTION("iferror(filter('3.1.clean'!C:C,'3.1.clean'!A:A=C704),"""")"),43766.0)</f>
        <v>43766</v>
      </c>
      <c r="H704" s="58" t="b">
        <f>if(G704="",FALSE,TRUE)</f>
        <v>1</v>
      </c>
      <c r="I704" s="58">
        <f>IFERROR(__xludf.DUMMYFUNCTION("iferror(filter('3.1.clean'!G:G,'3.1.clean'!A:A=C704),"""")"),0.0)</f>
        <v>0</v>
      </c>
      <c r="J704" s="60">
        <f>IFERROR(__xludf.DUMMYFUNCTION("iferror(filter('3.1.clean'!I:I,'3.1.clean'!A:A=C704),"""")"),0.0)</f>
        <v>0</v>
      </c>
      <c r="K704" s="58"/>
      <c r="L704" s="60"/>
      <c r="M704" s="59">
        <f>IFERROR(__xludf.DUMMYFUNCTION("iferror(filter('3.3.clean'!C:C,'3.3.clean'!A:A=C704),"""")"),43768.0)</f>
        <v>43768</v>
      </c>
      <c r="N704" s="60" t="b">
        <f t="shared" si="510"/>
        <v>1</v>
      </c>
      <c r="O704" s="59">
        <f>IFERROR(__xludf.DUMMYFUNCTION("iferror(filter('3.4.clean'!C:C,'3.4.clean'!A:A=C704),"""")"),43771.0)</f>
        <v>43771</v>
      </c>
      <c r="P704" s="60" t="b">
        <f t="shared" si="511"/>
        <v>1</v>
      </c>
      <c r="Q704" s="59" t="str">
        <f>IFERROR(__xludf.DUMMYFUNCTION("iferror(filter('3.5.clean'!C:C,'3.5.clean'!A:A=C704),"""")"),"")</f>
        <v/>
      </c>
      <c r="R704" s="58"/>
      <c r="S704" s="4" t="str">
        <f>IFERROR(__xludf.DUMMYFUNCTION("iferror(filter('3.5.clean'!H:H,'3.5.clean'!A:A=C704),"""")"),"")</f>
        <v/>
      </c>
      <c r="W704" s="23" t="b">
        <f>if(AND(H704=TRUE,N704=TRUE,P704=TRUE),TRUE,FALSE)</f>
        <v>1</v>
      </c>
      <c r="X704" s="23" t="str">
        <f>IFERROR(__xludf.DUMMYFUNCTION("if(COUNTA(FILTER(C:C, C:C = C704))=1,""no"",""yes"")"),"no")</f>
        <v>no</v>
      </c>
    </row>
    <row r="705">
      <c r="A705" s="75" t="s">
        <v>821</v>
      </c>
      <c r="B705" s="19">
        <v>17.0</v>
      </c>
      <c r="C705" s="19" t="s">
        <v>267</v>
      </c>
      <c r="D705" s="58" t="str">
        <f t="shared" si="523"/>
        <v/>
      </c>
      <c r="E705" s="59">
        <f t="shared" ref="E705:E706" si="524">Q705</f>
        <v>43766</v>
      </c>
      <c r="F705" s="60" t="str">
        <f>IFERROR(__xludf.DUMMYFUNCTION("iferror(ifna(IFNA(filter('2.1.clean'!E:E,'2.1.clean'!A:A=C705),filter('2.2.clean'!G:G,'2.2.clean'!D:D=C705)),filter('2.4.clean'!E:E,'2.4.clean'!A:A=C705)),)"),"")</f>
        <v/>
      </c>
      <c r="G705" s="59" t="str">
        <f>IFERROR(__xludf.DUMMYFUNCTION("iferror(filter('3.1.clean'!C:C,'3.1.clean'!A:A=C705),"""")"),"")</f>
        <v/>
      </c>
      <c r="H705" s="58"/>
      <c r="I705" s="58" t="str">
        <f>IFERROR(__xludf.DUMMYFUNCTION("iferror(filter('3.1.clean'!G:G,'3.1.clean'!A:A=C705),"""")"),"")</f>
        <v/>
      </c>
      <c r="J705" s="60" t="str">
        <f>IFERROR(__xludf.DUMMYFUNCTION("iferror(filter('3.1.clean'!I:I,'3.1.clean'!A:A=C705),"""")"),"")</f>
        <v/>
      </c>
      <c r="K705" s="59"/>
      <c r="L705" s="60"/>
      <c r="M705" s="59">
        <f>IFERROR(__xludf.DUMMYFUNCTION("iferror(filter('3.3.clean'!C:C,'3.3.clean'!A:A=C705),"""")"),43768.0)</f>
        <v>43768</v>
      </c>
      <c r="N705" s="60" t="b">
        <f t="shared" si="510"/>
        <v>1</v>
      </c>
      <c r="O705" s="59" t="str">
        <f>IFERROR(__xludf.DUMMYFUNCTION("iferror(filter('3.4.clean'!C:C,'3.4.clean'!A:A=C705),"""")"),"")</f>
        <v/>
      </c>
      <c r="P705" s="60" t="b">
        <f t="shared" si="511"/>
        <v>0</v>
      </c>
      <c r="Q705" s="59">
        <f>IFERROR(__xludf.DUMMYFUNCTION("iferror(filter('3.5.clean'!C:C,'3.5.clean'!A:A=C705),"""")"),43766.0)</f>
        <v>43766</v>
      </c>
      <c r="R705" s="58" t="b">
        <f t="shared" ref="R705:R706" si="525">if(Q705="",FALSE,TRUE)</f>
        <v>1</v>
      </c>
      <c r="S705" s="4">
        <f>IFERROR(__xludf.DUMMYFUNCTION("iferror(filter('3.5.clean'!H:H,'3.5.clean'!A:A=C705),"""")"),0.0)</f>
        <v>0</v>
      </c>
      <c r="V705" s="52" t="s">
        <v>64</v>
      </c>
      <c r="W705" s="23" t="b">
        <f>if(AND(R705=TRUE,N705=TRUE,P705=TRUE),TRUE,FALSE)</f>
        <v>0</v>
      </c>
      <c r="X705" s="23" t="str">
        <f>IFERROR(__xludf.DUMMYFUNCTION("if(COUNTA(FILTER(C:C, C:C = C705))=1,""no"",""yes"")"),"no")</f>
        <v>no</v>
      </c>
    </row>
    <row r="706">
      <c r="A706" s="75" t="s">
        <v>821</v>
      </c>
      <c r="B706" s="19">
        <v>18.0</v>
      </c>
      <c r="C706" s="19" t="s">
        <v>1492</v>
      </c>
      <c r="D706" s="92" t="str">
        <f t="shared" si="523"/>
        <v/>
      </c>
      <c r="E706" s="20">
        <f t="shared" si="524"/>
        <v>43766</v>
      </c>
      <c r="F706" s="79" t="str">
        <f>IFERROR(__xludf.DUMMYFUNCTION("iferror(ifna(IFNA(filter('2.1.clean'!E:E,'2.1.clean'!A:A=C706),filter('2.2.clean'!G:G,'2.2.clean'!D:D=C706)),filter('2.4.clean'!E:E,'2.4.clean'!A:A=C706)),)"),"")</f>
        <v/>
      </c>
      <c r="G706" s="93" t="str">
        <f>IFERROR(__xludf.DUMMYFUNCTION("iferror(filter('3.1.clean'!C:C,'3.1.clean'!A:A=C706),"""")"),"")</f>
        <v/>
      </c>
      <c r="H706" s="92"/>
      <c r="I706" s="92"/>
      <c r="J706" s="94"/>
      <c r="K706" s="93" t="str">
        <f>IFERROR(__xludf.DUMMYFUNCTION("iferror(filter('3.2.clean'!C:C,'3.2.clean'!A:A=C706),"""")"),"")</f>
        <v/>
      </c>
      <c r="L706" s="94"/>
      <c r="M706" s="95">
        <f>IFERROR(__xludf.DUMMYFUNCTION("iferror(filter('3.3.clean'!C:C,'3.3.clean'!A:A=C706),"""")"),43768.0)</f>
        <v>43768</v>
      </c>
      <c r="N706" s="79" t="b">
        <f t="shared" si="510"/>
        <v>1</v>
      </c>
      <c r="O706" s="93" t="str">
        <f>IFERROR(__xludf.DUMMYFUNCTION("iferror(filter('3.4.clean'!C:C,'3.4.clean'!A:A=C706),"""")"),"")</f>
        <v/>
      </c>
      <c r="P706" s="79" t="b">
        <f t="shared" si="511"/>
        <v>0</v>
      </c>
      <c r="Q706" s="95">
        <f>IFERROR(__xludf.DUMMYFUNCTION("iferror(filter('3.5.clean'!C:C,'3.5.clean'!A:A=C706),"""")"),43766.0)</f>
        <v>43766</v>
      </c>
      <c r="R706" s="22" t="b">
        <f t="shared" si="525"/>
        <v>1</v>
      </c>
      <c r="S706" s="25"/>
      <c r="V706" s="52" t="s">
        <v>64</v>
      </c>
      <c r="W706" s="23" t="b">
        <f>IF(and(R706=TRUE,N706=TRUE,P706=TRUE),TRUE,FALSE)</f>
        <v>0</v>
      </c>
      <c r="X706" s="23" t="str">
        <f>IFERROR(__xludf.DUMMYFUNCTION("if(COUNTA(FILTER(C:C, C:C = C706))=1,""no"",""yes"")"),"no")</f>
        <v>no</v>
      </c>
    </row>
    <row r="707">
      <c r="A707" s="75" t="s">
        <v>821</v>
      </c>
      <c r="B707" s="19">
        <v>19.0</v>
      </c>
      <c r="C707" s="19" t="s">
        <v>1493</v>
      </c>
      <c r="D707" s="76" t="str">
        <f t="shared" si="523"/>
        <v/>
      </c>
      <c r="E707" s="77">
        <f>G707</f>
        <v>43766</v>
      </c>
      <c r="F707" s="78" t="str">
        <f>IFERROR(__xludf.DUMMYFUNCTION("iferror(ifna(IFNA(filter('2.1.clean'!E:E,'2.1.clean'!A:A=C707),filter('2.2.clean'!G:G,'2.2.clean'!D:D=C707)),filter('2.4.clean'!E:E,'2.4.clean'!A:A=C707)),)"),"")</f>
        <v/>
      </c>
      <c r="G707" s="77">
        <f>IFERROR(__xludf.DUMMYFUNCTION("iferror(filter('3.1.clean'!C:C,'3.1.clean'!A:A=C707),"""")"),43766.0)</f>
        <v>43766</v>
      </c>
      <c r="H707" s="76" t="b">
        <f>if(G707="",FALSE,TRUE)</f>
        <v>1</v>
      </c>
      <c r="I707" s="76">
        <f>IFERROR(__xludf.DUMMYFUNCTION("iferror(filter('3.1.clean'!G:G,'3.1.clean'!A:A=C707),"""")"),0.0)</f>
        <v>0</v>
      </c>
      <c r="J707" s="78">
        <f>IFERROR(__xludf.DUMMYFUNCTION("iferror(filter('3.1.clean'!I:I,'3.1.clean'!A:A=C707),"""")"),0.0)</f>
        <v>0</v>
      </c>
      <c r="K707" s="77"/>
      <c r="L707" s="78"/>
      <c r="M707" s="77"/>
      <c r="N707" s="78"/>
      <c r="O707" s="77"/>
      <c r="P707" s="78"/>
      <c r="Q707" s="77"/>
      <c r="R707" s="76"/>
      <c r="S707" s="25"/>
      <c r="V707" s="1" t="s">
        <v>64</v>
      </c>
      <c r="W707" s="1" t="b">
        <v>1</v>
      </c>
      <c r="X707" s="23" t="str">
        <f>IFERROR(__xludf.DUMMYFUNCTION("if(COUNTA(FILTER(C:C, C:C = C707))=1,""no"",""yes"")"),"no")</f>
        <v>no</v>
      </c>
    </row>
    <row r="708">
      <c r="A708" s="1" t="s">
        <v>825</v>
      </c>
      <c r="B708" s="2">
        <v>1.0</v>
      </c>
      <c r="C708" s="19" t="s">
        <v>1494</v>
      </c>
      <c r="E708" s="24">
        <f>IFERROR(__xludf.DUMMYFUNCTION("ifna(IFNA(filter('2.1.clean'!C:C,'2.1.clean'!A:A=C708),filter('2.2.clean'!E:E,'2.2.clean'!D:D=C708)),filter('2.4.clean'!C:C,'2.4.clean'!A:A=C708))"),43767.0)</f>
        <v>43767</v>
      </c>
      <c r="F708" s="25">
        <f>IFERROR(__xludf.DUMMYFUNCTION("iferror(ifna(IFNA(filter('2.1.clean'!E:E,'2.1.clean'!A:A=C708),filter('2.2.clean'!G:G,'2.2.clean'!D:D=C708)),filter('2.4.clean'!E:E,'2.4.clean'!A:A=C708)),)"),2.4)</f>
        <v>2.4</v>
      </c>
      <c r="G708" s="24"/>
      <c r="J708" s="25"/>
      <c r="K708" s="24"/>
      <c r="L708" s="25"/>
      <c r="M708" s="24">
        <f>IFERROR(__xludf.DUMMYFUNCTION("iferror(filter('3.3.clean'!C:C,'3.3.clean'!A:A=C708),"""")"),43773.0)</f>
        <v>43773</v>
      </c>
      <c r="N708" s="25" t="b">
        <f t="shared" ref="N708:N714" si="526">if(M708="",FALSE,TRUE)</f>
        <v>1</v>
      </c>
      <c r="O708" s="24">
        <f>IFERROR(__xludf.DUMMYFUNCTION("iferror(filter('3.4.clean'!C:C,'3.4.clean'!A:A=C708),"""")"),43775.0)</f>
        <v>43775</v>
      </c>
      <c r="P708" s="25" t="b">
        <f t="shared" ref="P708:P714" si="527">if(O708="",FALSE,TRUE)</f>
        <v>1</v>
      </c>
      <c r="Q708" s="24">
        <f>IFERROR(__xludf.DUMMYFUNCTION("iferror(filter('3.5.clean'!C:C,'3.5.clean'!A:A=C708),"""")"),43767.0)</f>
        <v>43767</v>
      </c>
      <c r="R708" s="23" t="b">
        <f>if(Q708="",FALSE,TRUE)</f>
        <v>1</v>
      </c>
      <c r="S708" s="25"/>
      <c r="V708" s="52" t="s">
        <v>64</v>
      </c>
      <c r="W708" s="23" t="b">
        <f>IF(and(R708=TRUE,N708=TRUE,P708=TRUE),TRUE,FALSE)</f>
        <v>1</v>
      </c>
      <c r="X708" s="23" t="str">
        <f>IFERROR(__xludf.DUMMYFUNCTION("if(COUNTA(FILTER(C:C, C:C = C708))=1,""no"",""yes"")"),"no")</f>
        <v>no</v>
      </c>
    </row>
    <row r="709">
      <c r="A709" s="1" t="s">
        <v>825</v>
      </c>
      <c r="B709" s="19">
        <v>2.0</v>
      </c>
      <c r="C709" s="19" t="s">
        <v>1495</v>
      </c>
      <c r="D709" s="58" t="str">
        <f t="shared" ref="D709:D710" si="528">if(or(I709=1,J709=1,S709=1),"pos","")</f>
        <v/>
      </c>
      <c r="E709" s="59">
        <f>IFERROR(__xludf.DUMMYFUNCTION("ifna(IFNA(filter('2.1.clean'!C:C,'2.1.clean'!A:A=C709),filter('2.2.clean'!E:E,'2.2.clean'!D:D=C709)),filter('2.4.clean'!C:C,'2.4.clean'!A:A=C709))"),43767.0)</f>
        <v>43767</v>
      </c>
      <c r="F709" s="60">
        <f>IFERROR(__xludf.DUMMYFUNCTION("iferror(ifna(IFNA(filter('2.1.clean'!E:E,'2.1.clean'!A:A=C709),filter('2.2.clean'!G:G,'2.2.clean'!D:D=C709)),filter('2.4.clean'!E:E,'2.4.clean'!A:A=C709)),)"),2.4)</f>
        <v>2.4</v>
      </c>
      <c r="G709" s="59">
        <f>IFERROR(__xludf.DUMMYFUNCTION("iferror(filter('3.1.clean'!C:C,'3.1.clean'!A:A=C709),"""")"),43767.0)</f>
        <v>43767</v>
      </c>
      <c r="H709" s="58" t="b">
        <f>if(G709="",FALSE,TRUE)</f>
        <v>1</v>
      </c>
      <c r="I709" s="58">
        <f>IFERROR(__xludf.DUMMYFUNCTION("iferror(filter('3.1.clean'!G:G,'3.1.clean'!A:A=C709),"""")"),0.0)</f>
        <v>0</v>
      </c>
      <c r="J709" s="60">
        <f>IFERROR(__xludf.DUMMYFUNCTION("iferror(filter('3.1.clean'!I:I,'3.1.clean'!A:A=C709),"""")"),0.0)</f>
        <v>0</v>
      </c>
      <c r="K709" s="58"/>
      <c r="L709" s="60"/>
      <c r="M709" s="59">
        <f>IFERROR(__xludf.DUMMYFUNCTION("iferror(filter('3.3.clean'!C:C,'3.3.clean'!A:A=C709),"""")"),43773.0)</f>
        <v>43773</v>
      </c>
      <c r="N709" s="60" t="b">
        <f t="shared" si="526"/>
        <v>1</v>
      </c>
      <c r="O709" s="59" t="str">
        <f>IFERROR(__xludf.DUMMYFUNCTION("iferror(filter('3.4.clean'!C:C,'3.4.clean'!A:A=C709),"""")"),"")</f>
        <v/>
      </c>
      <c r="P709" s="60" t="b">
        <f t="shared" si="527"/>
        <v>0</v>
      </c>
      <c r="Q709" s="59" t="str">
        <f>IFERROR(__xludf.DUMMYFUNCTION("iferror(filter('3.5.clean'!C:C,'3.5.clean'!A:A=C709),"""")"),"")</f>
        <v/>
      </c>
      <c r="R709" s="58"/>
      <c r="S709" s="4" t="str">
        <f>IFERROR(__xludf.DUMMYFUNCTION("iferror(filter('3.5.clean'!H:H,'3.5.clean'!A:A=C709),"""")"),"")</f>
        <v/>
      </c>
      <c r="W709" s="23" t="b">
        <f>if(AND(H709=TRUE,N709=TRUE,P709=TRUE),TRUE,FALSE)</f>
        <v>0</v>
      </c>
      <c r="X709" s="23" t="str">
        <f>IFERROR(__xludf.DUMMYFUNCTION("if(COUNTA(FILTER(C:C, C:C = C709))=1,""no"",""yes"")"),"no")</f>
        <v>no</v>
      </c>
    </row>
    <row r="710">
      <c r="A710" s="1" t="s">
        <v>825</v>
      </c>
      <c r="B710" s="19">
        <v>3.0</v>
      </c>
      <c r="C710" s="19" t="s">
        <v>1496</v>
      </c>
      <c r="D710" s="58" t="str">
        <f t="shared" si="528"/>
        <v/>
      </c>
      <c r="E710" s="59">
        <f>Q710</f>
        <v>43767</v>
      </c>
      <c r="F710" s="60" t="str">
        <f>IFERROR(__xludf.DUMMYFUNCTION("iferror(ifna(IFNA(filter('2.1.clean'!E:E,'2.1.clean'!A:A=C710),filter('2.2.clean'!G:G,'2.2.clean'!D:D=C710)),filter('2.4.clean'!E:E,'2.4.clean'!A:A=C710)),)"),"")</f>
        <v/>
      </c>
      <c r="G710" s="59" t="str">
        <f>IFERROR(__xludf.DUMMYFUNCTION("iferror(filter('3.1.clean'!C:C,'3.1.clean'!A:A=C710),"""")"),"")</f>
        <v/>
      </c>
      <c r="H710" s="58"/>
      <c r="I710" s="58" t="str">
        <f>IFERROR(__xludf.DUMMYFUNCTION("iferror(filter('3.1.clean'!G:G,'3.1.clean'!A:A=C710),"""")"),"")</f>
        <v/>
      </c>
      <c r="J710" s="60" t="str">
        <f>IFERROR(__xludf.DUMMYFUNCTION("iferror(filter('3.1.clean'!I:I,'3.1.clean'!A:A=C710),"""")"),"")</f>
        <v/>
      </c>
      <c r="K710" s="59"/>
      <c r="L710" s="60"/>
      <c r="M710" s="59">
        <f>IFERROR(__xludf.DUMMYFUNCTION("iferror(filter('3.3.clean'!C:C,'3.3.clean'!A:A=C710),"""")"),43773.0)</f>
        <v>43773</v>
      </c>
      <c r="N710" s="60" t="b">
        <f t="shared" si="526"/>
        <v>1</v>
      </c>
      <c r="O710" s="59">
        <f>IFERROR(__xludf.DUMMYFUNCTION("iferror(filter('3.4.clean'!C:C,'3.4.clean'!A:A=C710),"""")"),43775.0)</f>
        <v>43775</v>
      </c>
      <c r="P710" s="60" t="b">
        <f t="shared" si="527"/>
        <v>1</v>
      </c>
      <c r="Q710" s="59">
        <f>IFERROR(__xludf.DUMMYFUNCTION("iferror(filter('3.5.clean'!C:C,'3.5.clean'!A:A=C710),"""")"),43767.0)</f>
        <v>43767</v>
      </c>
      <c r="R710" s="58" t="b">
        <f t="shared" ref="R710:R711" si="529">if(Q710="",FALSE,TRUE)</f>
        <v>1</v>
      </c>
      <c r="S710" s="4">
        <f>IFERROR(__xludf.DUMMYFUNCTION("iferror(filter('3.5.clean'!H:H,'3.5.clean'!A:A=C710),"""")"),0.0)</f>
        <v>0</v>
      </c>
      <c r="V710" s="52" t="s">
        <v>64</v>
      </c>
      <c r="W710" s="23" t="b">
        <f>if(AND(R710=TRUE,N710=TRUE,P710=TRUE),TRUE,FALSE)</f>
        <v>1</v>
      </c>
      <c r="X710" s="23" t="str">
        <f>IFERROR(__xludf.DUMMYFUNCTION("if(COUNTA(FILTER(C:C, C:C = C710))=1,""no"",""yes"")"),"no")</f>
        <v>no</v>
      </c>
    </row>
    <row r="711">
      <c r="A711" s="1" t="s">
        <v>825</v>
      </c>
      <c r="B711" s="2">
        <v>4.0</v>
      </c>
      <c r="C711" s="19" t="s">
        <v>1497</v>
      </c>
      <c r="E711" s="24">
        <f>IFERROR(__xludf.DUMMYFUNCTION("ifna(IFNA(filter('2.1.clean'!C:C,'2.1.clean'!A:A=C711),filter('2.2.clean'!E:E,'2.2.clean'!D:D=C711)),filter('2.4.clean'!C:C,'2.4.clean'!A:A=C711))"),43767.0)</f>
        <v>43767</v>
      </c>
      <c r="F711" s="25">
        <f>IFERROR(__xludf.DUMMYFUNCTION("iferror(ifna(IFNA(filter('2.1.clean'!E:E,'2.1.clean'!A:A=C711),filter('2.2.clean'!G:G,'2.2.clean'!D:D=C711)),filter('2.4.clean'!E:E,'2.4.clean'!A:A=C711)),)"),2.4)</f>
        <v>2.4</v>
      </c>
      <c r="G711" s="24"/>
      <c r="J711" s="25"/>
      <c r="K711" s="24"/>
      <c r="L711" s="25"/>
      <c r="M711" s="24">
        <f>IFERROR(__xludf.DUMMYFUNCTION("iferror(filter('3.3.clean'!C:C,'3.3.clean'!A:A=C711),"""")"),43773.0)</f>
        <v>43773</v>
      </c>
      <c r="N711" s="25" t="b">
        <f t="shared" si="526"/>
        <v>1</v>
      </c>
      <c r="O711" s="24">
        <f>IFERROR(__xludf.DUMMYFUNCTION("iferror(filter('3.4.clean'!C:C,'3.4.clean'!A:A=C711),"""")"),43775.0)</f>
        <v>43775</v>
      </c>
      <c r="P711" s="25" t="b">
        <f t="shared" si="527"/>
        <v>1</v>
      </c>
      <c r="Q711" s="24">
        <f>IFERROR(__xludf.DUMMYFUNCTION("iferror(filter('3.5.clean'!C:C,'3.5.clean'!A:A=C711),"""")"),43767.0)</f>
        <v>43767</v>
      </c>
      <c r="R711" s="23" t="b">
        <f t="shared" si="529"/>
        <v>1</v>
      </c>
      <c r="S711" s="25"/>
      <c r="V711" s="52" t="s">
        <v>64</v>
      </c>
      <c r="W711" s="23" t="b">
        <f>IF(and(R711=TRUE,N711=TRUE,P711=TRUE),TRUE,FALSE)</f>
        <v>1</v>
      </c>
      <c r="X711" s="23" t="str">
        <f>IFERROR(__xludf.DUMMYFUNCTION("if(COUNTA(FILTER(C:C, C:C = C711))=1,""no"",""yes"")"),"no")</f>
        <v>no</v>
      </c>
    </row>
    <row r="712">
      <c r="A712" s="1" t="s">
        <v>825</v>
      </c>
      <c r="B712" s="19">
        <v>5.0</v>
      </c>
      <c r="C712" s="19" t="s">
        <v>1498</v>
      </c>
      <c r="D712" s="58" t="str">
        <f t="shared" ref="D712:D715" si="530">if(or(I712=1,J712=1,S712=1),"pos","")</f>
        <v/>
      </c>
      <c r="E712" s="59">
        <f>IFERROR(__xludf.DUMMYFUNCTION("ifna(IFNA(filter('2.1.clean'!C:C,'2.1.clean'!A:A=C712),filter('2.2.clean'!E:E,'2.2.clean'!D:D=C712)),filter('2.4.clean'!C:C,'2.4.clean'!A:A=C712))"),43767.0)</f>
        <v>43767</v>
      </c>
      <c r="F712" s="60">
        <f>IFERROR(__xludf.DUMMYFUNCTION("iferror(ifna(IFNA(filter('2.1.clean'!E:E,'2.1.clean'!A:A=C712),filter('2.2.clean'!G:G,'2.2.clean'!D:D=C712)),filter('2.4.clean'!E:E,'2.4.clean'!A:A=C712)),)"),2.4)</f>
        <v>2.4</v>
      </c>
      <c r="G712" s="59">
        <f>IFERROR(__xludf.DUMMYFUNCTION("iferror(filter('3.1.clean'!C:C,'3.1.clean'!A:A=C712),"""")"),43767.0)</f>
        <v>43767</v>
      </c>
      <c r="H712" s="58" t="b">
        <f>if(G712="",FALSE,TRUE)</f>
        <v>1</v>
      </c>
      <c r="I712" s="58">
        <f>IFERROR(__xludf.DUMMYFUNCTION("iferror(filter('3.1.clean'!G:G,'3.1.clean'!A:A=C712),"""")"),0.0)</f>
        <v>0</v>
      </c>
      <c r="J712" s="60">
        <f>IFERROR(__xludf.DUMMYFUNCTION("iferror(filter('3.1.clean'!I:I,'3.1.clean'!A:A=C712),"""")"),0.0)</f>
        <v>0</v>
      </c>
      <c r="K712" s="58"/>
      <c r="L712" s="60"/>
      <c r="M712" s="59">
        <f>IFERROR(__xludf.DUMMYFUNCTION("iferror(filter('3.3.clean'!C:C,'3.3.clean'!A:A=C712),"""")"),43773.0)</f>
        <v>43773</v>
      </c>
      <c r="N712" s="60" t="b">
        <f t="shared" si="526"/>
        <v>1</v>
      </c>
      <c r="O712" s="59">
        <f>IFERROR(__xludf.DUMMYFUNCTION("iferror(filter('3.4.clean'!C:C,'3.4.clean'!A:A=C712),"""")"),43775.0)</f>
        <v>43775</v>
      </c>
      <c r="P712" s="60" t="b">
        <f t="shared" si="527"/>
        <v>1</v>
      </c>
      <c r="Q712" s="59" t="str">
        <f>IFERROR(__xludf.DUMMYFUNCTION("iferror(filter('3.5.clean'!C:C,'3.5.clean'!A:A=C712),"""")"),"")</f>
        <v/>
      </c>
      <c r="R712" s="58"/>
      <c r="S712" s="4" t="str">
        <f>IFERROR(__xludf.DUMMYFUNCTION("iferror(filter('3.5.clean'!H:H,'3.5.clean'!A:A=C712),"""")"),"")</f>
        <v/>
      </c>
      <c r="W712" s="23" t="b">
        <f>if(AND(H712=TRUE,N712=TRUE,P712=TRUE),TRUE,FALSE)</f>
        <v>1</v>
      </c>
      <c r="X712" s="23" t="str">
        <f>IFERROR(__xludf.DUMMYFUNCTION("if(COUNTA(FILTER(C:C, C:C = C712))=1,""no"",""yes"")"),"no")</f>
        <v>no</v>
      </c>
    </row>
    <row r="713">
      <c r="A713" s="1" t="s">
        <v>825</v>
      </c>
      <c r="B713" s="19">
        <v>6.0</v>
      </c>
      <c r="C713" s="19" t="s">
        <v>1499</v>
      </c>
      <c r="D713" s="58" t="str">
        <f t="shared" si="530"/>
        <v/>
      </c>
      <c r="E713" s="59">
        <f t="shared" ref="E713:E714" si="531">Q713</f>
        <v>43767</v>
      </c>
      <c r="F713" s="60" t="str">
        <f>IFERROR(__xludf.DUMMYFUNCTION("iferror(ifna(IFNA(filter('2.1.clean'!E:E,'2.1.clean'!A:A=C713),filter('2.2.clean'!G:G,'2.2.clean'!D:D=C713)),filter('2.4.clean'!E:E,'2.4.clean'!A:A=C713)),)"),"")</f>
        <v/>
      </c>
      <c r="G713" s="59" t="str">
        <f>IFERROR(__xludf.DUMMYFUNCTION("iferror(filter('3.1.clean'!C:C,'3.1.clean'!A:A=C713),"""")"),"")</f>
        <v/>
      </c>
      <c r="H713" s="58"/>
      <c r="I713" s="58" t="str">
        <f>IFERROR(__xludf.DUMMYFUNCTION("iferror(filter('3.1.clean'!G:G,'3.1.clean'!A:A=C713),"""")"),"")</f>
        <v/>
      </c>
      <c r="J713" s="60" t="str">
        <f>IFERROR(__xludf.DUMMYFUNCTION("iferror(filter('3.1.clean'!I:I,'3.1.clean'!A:A=C713),"""")"),"")</f>
        <v/>
      </c>
      <c r="K713" s="59"/>
      <c r="L713" s="60"/>
      <c r="M713" s="59">
        <f>IFERROR(__xludf.DUMMYFUNCTION("iferror(filter('3.3.clean'!C:C,'3.3.clean'!A:A=C713),"""")"),43773.0)</f>
        <v>43773</v>
      </c>
      <c r="N713" s="60" t="b">
        <f t="shared" si="526"/>
        <v>1</v>
      </c>
      <c r="O713" s="59" t="str">
        <f>IFERROR(__xludf.DUMMYFUNCTION("iferror(filter('3.4.clean'!C:C,'3.4.clean'!A:A=C713),"""")"),"")</f>
        <v/>
      </c>
      <c r="P713" s="60" t="b">
        <f t="shared" si="527"/>
        <v>0</v>
      </c>
      <c r="Q713" s="59">
        <f>IFERROR(__xludf.DUMMYFUNCTION("iferror(filter('3.5.clean'!C:C,'3.5.clean'!A:A=C713),"""")"),43767.0)</f>
        <v>43767</v>
      </c>
      <c r="R713" s="58" t="b">
        <f t="shared" ref="R713:R714" si="532">if(Q713="",FALSE,TRUE)</f>
        <v>1</v>
      </c>
      <c r="S713" s="4">
        <f>IFERROR(__xludf.DUMMYFUNCTION("iferror(filter('3.5.clean'!H:H,'3.5.clean'!A:A=C713),"""")"),0.0)</f>
        <v>0</v>
      </c>
      <c r="V713" s="52" t="s">
        <v>64</v>
      </c>
      <c r="W713" s="23" t="b">
        <f>if(AND(R713=TRUE,N713=TRUE,P713=TRUE),TRUE,FALSE)</f>
        <v>0</v>
      </c>
      <c r="X713" s="23" t="str">
        <f>IFERROR(__xludf.DUMMYFUNCTION("if(COUNTA(FILTER(C:C, C:C = C713))=1,""no"",""yes"")"),"no")</f>
        <v>no</v>
      </c>
    </row>
    <row r="714">
      <c r="A714" s="1" t="s">
        <v>825</v>
      </c>
      <c r="B714" s="19">
        <v>7.0</v>
      </c>
      <c r="C714" s="19" t="s">
        <v>1500</v>
      </c>
      <c r="D714" s="92" t="str">
        <f t="shared" si="530"/>
        <v/>
      </c>
      <c r="E714" s="20">
        <f t="shared" si="531"/>
        <v>43767</v>
      </c>
      <c r="F714" s="79" t="str">
        <f>IFERROR(__xludf.DUMMYFUNCTION("iferror(ifna(IFNA(filter('2.1.clean'!E:E,'2.1.clean'!A:A=C714),filter('2.2.clean'!G:G,'2.2.clean'!D:D=C714)),filter('2.4.clean'!E:E,'2.4.clean'!A:A=C714)),)"),"")</f>
        <v/>
      </c>
      <c r="G714" s="93" t="str">
        <f>IFERROR(__xludf.DUMMYFUNCTION("iferror(filter('3.1.clean'!C:C,'3.1.clean'!A:A=C714),"""")"),"")</f>
        <v/>
      </c>
      <c r="H714" s="92"/>
      <c r="I714" s="92"/>
      <c r="J714" s="94"/>
      <c r="K714" s="93" t="str">
        <f>IFERROR(__xludf.DUMMYFUNCTION("iferror(filter('3.2.clean'!C:C,'3.2.clean'!A:A=C714),"""")"),"")</f>
        <v/>
      </c>
      <c r="L714" s="94"/>
      <c r="M714" s="95">
        <f>IFERROR(__xludf.DUMMYFUNCTION("iferror(filter('3.3.clean'!C:C,'3.3.clean'!A:A=C714),"""")"),43773.0)</f>
        <v>43773</v>
      </c>
      <c r="N714" s="79" t="b">
        <f t="shared" si="526"/>
        <v>1</v>
      </c>
      <c r="O714" s="93" t="str">
        <f>IFERROR(__xludf.DUMMYFUNCTION("iferror(filter('3.4.clean'!C:C,'3.4.clean'!A:A=C714),"""")"),"")</f>
        <v/>
      </c>
      <c r="P714" s="79" t="b">
        <f t="shared" si="527"/>
        <v>0</v>
      </c>
      <c r="Q714" s="95">
        <f>IFERROR(__xludf.DUMMYFUNCTION("iferror(filter('3.5.clean'!C:C,'3.5.clean'!A:A=C714),"""")"),43767.0)</f>
        <v>43767</v>
      </c>
      <c r="R714" s="22" t="b">
        <f t="shared" si="532"/>
        <v>1</v>
      </c>
      <c r="S714" s="25"/>
      <c r="V714" s="52" t="s">
        <v>64</v>
      </c>
      <c r="W714" s="23" t="b">
        <f>IF(and(R714=TRUE,N714=TRUE,P714=TRUE),TRUE,FALSE)</f>
        <v>0</v>
      </c>
      <c r="X714" s="23" t="str">
        <f>IFERROR(__xludf.DUMMYFUNCTION("if(COUNTA(FILTER(C:C, C:C = C714))=1,""no"",""yes"")"),"no")</f>
        <v>no</v>
      </c>
    </row>
    <row r="715">
      <c r="A715" s="1" t="s">
        <v>825</v>
      </c>
      <c r="B715" s="19">
        <v>8.0</v>
      </c>
      <c r="C715" s="19" t="s">
        <v>1501</v>
      </c>
      <c r="D715" s="76" t="str">
        <f t="shared" si="530"/>
        <v/>
      </c>
      <c r="E715" s="77">
        <f>G715</f>
        <v>43767</v>
      </c>
      <c r="F715" s="78" t="str">
        <f>IFERROR(__xludf.DUMMYFUNCTION("iferror(ifna(IFNA(filter('2.1.clean'!E:E,'2.1.clean'!A:A=C715),filter('2.2.clean'!G:G,'2.2.clean'!D:D=C715)),filter('2.4.clean'!E:E,'2.4.clean'!A:A=C715)),)"),"")</f>
        <v/>
      </c>
      <c r="G715" s="77">
        <f>IFERROR(__xludf.DUMMYFUNCTION("iferror(filter('3.1.clean'!C:C,'3.1.clean'!A:A=C715),"""")"),43767.0)</f>
        <v>43767</v>
      </c>
      <c r="H715" s="76" t="b">
        <f>if(G715="",FALSE,TRUE)</f>
        <v>1</v>
      </c>
      <c r="I715" s="76">
        <f>IFERROR(__xludf.DUMMYFUNCTION("iferror(filter('3.1.clean'!G:G,'3.1.clean'!A:A=C715),"""")"),0.0)</f>
        <v>0</v>
      </c>
      <c r="J715" s="78">
        <f>IFERROR(__xludf.DUMMYFUNCTION("iferror(filter('3.1.clean'!I:I,'3.1.clean'!A:A=C715),"""")"),0.0)</f>
        <v>0</v>
      </c>
      <c r="K715" s="77"/>
      <c r="L715" s="78"/>
      <c r="M715" s="77"/>
      <c r="N715" s="78"/>
      <c r="O715" s="77"/>
      <c r="P715" s="78"/>
      <c r="Q715" s="77"/>
      <c r="R715" s="76"/>
      <c r="S715" s="25"/>
      <c r="V715" s="1" t="s">
        <v>64</v>
      </c>
      <c r="W715" s="1" t="b">
        <v>1</v>
      </c>
      <c r="X715" s="23" t="str">
        <f>IFERROR(__xludf.DUMMYFUNCTION("if(COUNTA(FILTER(C:C, C:C = C715))=1,""no"",""yes"")"),"no")</f>
        <v>no</v>
      </c>
    </row>
    <row r="716">
      <c r="A716" s="75" t="s">
        <v>828</v>
      </c>
      <c r="B716" s="2">
        <v>1.0</v>
      </c>
      <c r="C716" s="19" t="s">
        <v>1502</v>
      </c>
      <c r="E716" s="24">
        <f>IFERROR(__xludf.DUMMYFUNCTION("ifna(IFNA(filter('2.1.clean'!C:C,'2.1.clean'!A:A=C716),filter('2.2.clean'!E:E,'2.2.clean'!D:D=C716)),filter('2.4.clean'!C:C,'2.4.clean'!A:A=C716))"),43769.0)</f>
        <v>43769</v>
      </c>
      <c r="F716" s="25">
        <f>IFERROR(__xludf.DUMMYFUNCTION("iferror(ifna(IFNA(filter('2.1.clean'!E:E,'2.1.clean'!A:A=C716),filter('2.2.clean'!G:G,'2.2.clean'!D:D=C716)),filter('2.4.clean'!E:E,'2.4.clean'!A:A=C716)),)"),2.4)</f>
        <v>2.4</v>
      </c>
      <c r="G716" s="24"/>
      <c r="J716" s="25"/>
      <c r="K716" s="24"/>
      <c r="L716" s="25"/>
      <c r="M716" s="24">
        <f>IFERROR(__xludf.DUMMYFUNCTION("iferror(filter('3.3.clean'!C:C,'3.3.clean'!A:A=C716),"""")"),43773.0)</f>
        <v>43773</v>
      </c>
      <c r="N716" s="25" t="b">
        <f t="shared" ref="N716:N737" si="533">if(M716="",FALSE,TRUE)</f>
        <v>1</v>
      </c>
      <c r="O716" s="24">
        <f>IFERROR(__xludf.DUMMYFUNCTION("iferror(filter('3.4.clean'!C:C,'3.4.clean'!A:A=C716),"""")"),43775.0)</f>
        <v>43775</v>
      </c>
      <c r="P716" s="25" t="b">
        <f t="shared" ref="P716:P737" si="534">if(O716="",FALSE,TRUE)</f>
        <v>1</v>
      </c>
      <c r="Q716" s="24">
        <f>IFERROR(__xludf.DUMMYFUNCTION("iferror(filter('3.5.clean'!C:C,'3.5.clean'!A:A=C716),"""")"),43769.0)</f>
        <v>43769</v>
      </c>
      <c r="R716" s="23" t="b">
        <f>if(Q716="",FALSE,TRUE)</f>
        <v>1</v>
      </c>
      <c r="S716" s="25"/>
      <c r="V716" s="52" t="s">
        <v>64</v>
      </c>
      <c r="W716" s="23" t="b">
        <f>IF(and(R716=TRUE,N716=TRUE,P716=TRUE),TRUE,FALSE)</f>
        <v>1</v>
      </c>
      <c r="X716" s="23" t="str">
        <f>IFERROR(__xludf.DUMMYFUNCTION("if(COUNTA(FILTER(C:C, C:C = C716))=1,""no"",""yes"")"),"no")</f>
        <v>no</v>
      </c>
    </row>
    <row r="717">
      <c r="A717" s="75" t="s">
        <v>828</v>
      </c>
      <c r="B717" s="19">
        <v>2.0</v>
      </c>
      <c r="C717" s="19" t="s">
        <v>1503</v>
      </c>
      <c r="D717" s="58" t="str">
        <f t="shared" ref="D717:D718" si="535">if(or(I717=1,J717=1,S717=1),"pos","")</f>
        <v/>
      </c>
      <c r="E717" s="59">
        <f>IFERROR(__xludf.DUMMYFUNCTION("ifna(IFNA(filter('2.1.clean'!C:C,'2.1.clean'!A:A=C717),filter('2.2.clean'!E:E,'2.2.clean'!D:D=C717)),filter('2.4.clean'!C:C,'2.4.clean'!A:A=C717))"),43769.0)</f>
        <v>43769</v>
      </c>
      <c r="F717" s="60">
        <f>IFERROR(__xludf.DUMMYFUNCTION("iferror(ifna(IFNA(filter('2.1.clean'!E:E,'2.1.clean'!A:A=C717),filter('2.2.clean'!G:G,'2.2.clean'!D:D=C717)),filter('2.4.clean'!E:E,'2.4.clean'!A:A=C717)),)"),2.4)</f>
        <v>2.4</v>
      </c>
      <c r="G717" s="59">
        <f>IFERROR(__xludf.DUMMYFUNCTION("iferror(filter('3.1.clean'!C:C,'3.1.clean'!A:A=C717),"""")"),43769.0)</f>
        <v>43769</v>
      </c>
      <c r="H717" s="58" t="b">
        <f>if(G717="",FALSE,TRUE)</f>
        <v>1</v>
      </c>
      <c r="I717" s="58">
        <f>IFERROR(__xludf.DUMMYFUNCTION("iferror(filter('3.1.clean'!G:G,'3.1.clean'!A:A=C717),"""")"),0.0)</f>
        <v>0</v>
      </c>
      <c r="J717" s="60">
        <f>IFERROR(__xludf.DUMMYFUNCTION("iferror(filter('3.1.clean'!I:I,'3.1.clean'!A:A=C717),"""")"),0.0)</f>
        <v>0</v>
      </c>
      <c r="K717" s="58"/>
      <c r="L717" s="60"/>
      <c r="M717" s="59">
        <f>IFERROR(__xludf.DUMMYFUNCTION("iferror(filter('3.3.clean'!C:C,'3.3.clean'!A:A=C717),"""")"),43773.0)</f>
        <v>43773</v>
      </c>
      <c r="N717" s="60" t="b">
        <f t="shared" si="533"/>
        <v>1</v>
      </c>
      <c r="O717" s="59">
        <f>IFERROR(__xludf.DUMMYFUNCTION("iferror(filter('3.4.clean'!C:C,'3.4.clean'!A:A=C717),"""")"),43775.0)</f>
        <v>43775</v>
      </c>
      <c r="P717" s="60" t="b">
        <f t="shared" si="534"/>
        <v>1</v>
      </c>
      <c r="Q717" s="59" t="str">
        <f>IFERROR(__xludf.DUMMYFUNCTION("iferror(filter('3.5.clean'!C:C,'3.5.clean'!A:A=C717),"""")"),"")</f>
        <v/>
      </c>
      <c r="R717" s="58"/>
      <c r="S717" s="4" t="str">
        <f>IFERROR(__xludf.DUMMYFUNCTION("iferror(filter('3.5.clean'!H:H,'3.5.clean'!A:A=C717),"""")"),"")</f>
        <v/>
      </c>
      <c r="W717" s="23" t="b">
        <f>if(AND(H717=TRUE,N717=TRUE,P717=TRUE),TRUE,FALSE)</f>
        <v>1</v>
      </c>
      <c r="X717" s="23" t="str">
        <f>IFERROR(__xludf.DUMMYFUNCTION("if(COUNTA(FILTER(C:C, C:C = C717))=1,""no"",""yes"")"),"no")</f>
        <v>no</v>
      </c>
    </row>
    <row r="718">
      <c r="A718" s="75" t="s">
        <v>828</v>
      </c>
      <c r="B718" s="19">
        <v>3.0</v>
      </c>
      <c r="C718" s="19" t="s">
        <v>1504</v>
      </c>
      <c r="D718" s="58" t="str">
        <f t="shared" si="535"/>
        <v>pos</v>
      </c>
      <c r="E718" s="59">
        <f>Q718</f>
        <v>43769</v>
      </c>
      <c r="F718" s="60" t="str">
        <f>IFERROR(__xludf.DUMMYFUNCTION("iferror(ifna(IFNA(filter('2.1.clean'!E:E,'2.1.clean'!A:A=C718),filter('2.2.clean'!G:G,'2.2.clean'!D:D=C718)),filter('2.4.clean'!E:E,'2.4.clean'!A:A=C718)),)"),"")</f>
        <v/>
      </c>
      <c r="G718" s="59" t="str">
        <f>IFERROR(__xludf.DUMMYFUNCTION("iferror(filter('3.1.clean'!C:C,'3.1.clean'!A:A=C718),"""")"),"")</f>
        <v/>
      </c>
      <c r="H718" s="58"/>
      <c r="I718" s="58" t="str">
        <f>IFERROR(__xludf.DUMMYFUNCTION("iferror(filter('3.1.clean'!G:G,'3.1.clean'!A:A=C718),"""")"),"")</f>
        <v/>
      </c>
      <c r="J718" s="60" t="str">
        <f>IFERROR(__xludf.DUMMYFUNCTION("iferror(filter('3.1.clean'!I:I,'3.1.clean'!A:A=C718),"""")"),"")</f>
        <v/>
      </c>
      <c r="K718" s="59"/>
      <c r="L718" s="60"/>
      <c r="M718" s="59">
        <f>IFERROR(__xludf.DUMMYFUNCTION("iferror(filter('3.3.clean'!C:C,'3.3.clean'!A:A=C718),"""")"),43773.0)</f>
        <v>43773</v>
      </c>
      <c r="N718" s="60" t="b">
        <f t="shared" si="533"/>
        <v>1</v>
      </c>
      <c r="O718" s="59" t="str">
        <f>IFERROR(__xludf.DUMMYFUNCTION("iferror(filter('3.4.clean'!C:C,'3.4.clean'!A:A=C718),"""")"),"")</f>
        <v/>
      </c>
      <c r="P718" s="60" t="b">
        <f t="shared" si="534"/>
        <v>0</v>
      </c>
      <c r="Q718" s="59">
        <f>IFERROR(__xludf.DUMMYFUNCTION("iferror(filter('3.5.clean'!C:C,'3.5.clean'!A:A=C718),"""")"),43769.0)</f>
        <v>43769</v>
      </c>
      <c r="R718" s="58" t="b">
        <f t="shared" ref="R718:R719" si="536">if(Q718="",FALSE,TRUE)</f>
        <v>1</v>
      </c>
      <c r="S718" s="4">
        <f>IFERROR(__xludf.DUMMYFUNCTION("iferror(filter('3.5.clean'!H:H,'3.5.clean'!A:A=C718),"""")"),1.0)</f>
        <v>1</v>
      </c>
      <c r="V718" s="52" t="s">
        <v>64</v>
      </c>
      <c r="W718" s="23" t="b">
        <f>if(AND(R718=TRUE,N718=TRUE,P718=TRUE),TRUE,FALSE)</f>
        <v>0</v>
      </c>
      <c r="X718" s="23" t="str">
        <f>IFERROR(__xludf.DUMMYFUNCTION("if(COUNTA(FILTER(C:C, C:C = C718))=1,""no"",""yes"")"),"no")</f>
        <v>no</v>
      </c>
    </row>
    <row r="719">
      <c r="A719" s="75" t="s">
        <v>828</v>
      </c>
      <c r="B719" s="2">
        <v>4.0</v>
      </c>
      <c r="C719" s="19" t="s">
        <v>1505</v>
      </c>
      <c r="E719" s="24">
        <f>IFERROR(__xludf.DUMMYFUNCTION("ifna(IFNA(filter('2.1.clean'!C:C,'2.1.clean'!A:A=C719),filter('2.2.clean'!E:E,'2.2.clean'!D:D=C719)),filter('2.4.clean'!C:C,'2.4.clean'!A:A=C719))"),43769.0)</f>
        <v>43769</v>
      </c>
      <c r="F719" s="25">
        <f>IFERROR(__xludf.DUMMYFUNCTION("iferror(ifna(IFNA(filter('2.1.clean'!E:E,'2.1.clean'!A:A=C719),filter('2.2.clean'!G:G,'2.2.clean'!D:D=C719)),filter('2.4.clean'!E:E,'2.4.clean'!A:A=C719)),)"),2.4)</f>
        <v>2.4</v>
      </c>
      <c r="G719" s="24"/>
      <c r="J719" s="25"/>
      <c r="K719" s="24"/>
      <c r="L719" s="25"/>
      <c r="M719" s="24">
        <f>IFERROR(__xludf.DUMMYFUNCTION("iferror(filter('3.3.clean'!C:C,'3.3.clean'!A:A=C719),"""")"),43773.0)</f>
        <v>43773</v>
      </c>
      <c r="N719" s="25" t="b">
        <f t="shared" si="533"/>
        <v>1</v>
      </c>
      <c r="O719" s="24">
        <f>IFERROR(__xludf.DUMMYFUNCTION("iferror(filter('3.4.clean'!C:C,'3.4.clean'!A:A=C719),"""")"),43775.0)</f>
        <v>43775</v>
      </c>
      <c r="P719" s="25" t="b">
        <f t="shared" si="534"/>
        <v>1</v>
      </c>
      <c r="Q719" s="24">
        <f>IFERROR(__xludf.DUMMYFUNCTION("iferror(filter('3.5.clean'!C:C,'3.5.clean'!A:A=C719),"""")"),43769.0)</f>
        <v>43769</v>
      </c>
      <c r="R719" s="23" t="b">
        <f t="shared" si="536"/>
        <v>1</v>
      </c>
      <c r="S719" s="25"/>
      <c r="V719" s="52" t="s">
        <v>64</v>
      </c>
      <c r="W719" s="23" t="b">
        <f>IF(and(R719=TRUE,N719=TRUE,P719=TRUE),TRUE,FALSE)</f>
        <v>1</v>
      </c>
      <c r="X719" s="23" t="str">
        <f>IFERROR(__xludf.DUMMYFUNCTION("if(COUNTA(FILTER(C:C, C:C = C719))=1,""no"",""yes"")"),"no")</f>
        <v>no</v>
      </c>
    </row>
    <row r="720">
      <c r="A720" s="75" t="s">
        <v>828</v>
      </c>
      <c r="B720" s="19">
        <v>5.0</v>
      </c>
      <c r="C720" s="19" t="s">
        <v>1506</v>
      </c>
      <c r="D720" s="58" t="str">
        <f t="shared" ref="D720:D721" si="537">if(or(I720=1,J720=1,S720=1),"pos","")</f>
        <v/>
      </c>
      <c r="E720" s="59">
        <f>IFERROR(__xludf.DUMMYFUNCTION("ifna(IFNA(filter('2.1.clean'!C:C,'2.1.clean'!A:A=C720),filter('2.2.clean'!E:E,'2.2.clean'!D:D=C720)),filter('2.4.clean'!C:C,'2.4.clean'!A:A=C720))"),43769.0)</f>
        <v>43769</v>
      </c>
      <c r="F720" s="60">
        <f>IFERROR(__xludf.DUMMYFUNCTION("iferror(ifna(IFNA(filter('2.1.clean'!E:E,'2.1.clean'!A:A=C720),filter('2.2.clean'!G:G,'2.2.clean'!D:D=C720)),filter('2.4.clean'!E:E,'2.4.clean'!A:A=C720)),)"),2.4)</f>
        <v>2.4</v>
      </c>
      <c r="G720" s="59">
        <f>IFERROR(__xludf.DUMMYFUNCTION("iferror(filter('3.1.clean'!C:C,'3.1.clean'!A:A=C720),"""")"),43769.0)</f>
        <v>43769</v>
      </c>
      <c r="H720" s="58" t="b">
        <f>if(G720="",FALSE,TRUE)</f>
        <v>1</v>
      </c>
      <c r="I720" s="58">
        <f>IFERROR(__xludf.DUMMYFUNCTION("iferror(filter('3.1.clean'!G:G,'3.1.clean'!A:A=C720),"""")"),0.0)</f>
        <v>0</v>
      </c>
      <c r="J720" s="60">
        <f>IFERROR(__xludf.DUMMYFUNCTION("iferror(filter('3.1.clean'!I:I,'3.1.clean'!A:A=C720),"""")"),0.0)</f>
        <v>0</v>
      </c>
      <c r="K720" s="58"/>
      <c r="L720" s="60"/>
      <c r="M720" s="59">
        <f>IFERROR(__xludf.DUMMYFUNCTION("iferror(filter('3.3.clean'!C:C,'3.3.clean'!A:A=C720),"""")"),43773.0)</f>
        <v>43773</v>
      </c>
      <c r="N720" s="60" t="b">
        <f t="shared" si="533"/>
        <v>1</v>
      </c>
      <c r="O720" s="59" t="str">
        <f>IFERROR(__xludf.DUMMYFUNCTION("iferror(filter('3.4.clean'!C:C,'3.4.clean'!A:A=C720),"""")"),"")</f>
        <v/>
      </c>
      <c r="P720" s="60" t="b">
        <f t="shared" si="534"/>
        <v>0</v>
      </c>
      <c r="Q720" s="59" t="str">
        <f>IFERROR(__xludf.DUMMYFUNCTION("iferror(filter('3.5.clean'!C:C,'3.5.clean'!A:A=C720),"""")"),"")</f>
        <v/>
      </c>
      <c r="R720" s="58"/>
      <c r="S720" s="4" t="str">
        <f>IFERROR(__xludf.DUMMYFUNCTION("iferror(filter('3.5.clean'!H:H,'3.5.clean'!A:A=C720),"""")"),"")</f>
        <v/>
      </c>
      <c r="W720" s="23" t="b">
        <f>if(AND(H720=TRUE,N720=TRUE,P720=TRUE),TRUE,FALSE)</f>
        <v>0</v>
      </c>
      <c r="X720" s="23" t="str">
        <f>IFERROR(__xludf.DUMMYFUNCTION("if(COUNTA(FILTER(C:C, C:C = C720))=1,""no"",""yes"")"),"no")</f>
        <v>no</v>
      </c>
    </row>
    <row r="721">
      <c r="A721" s="75" t="s">
        <v>828</v>
      </c>
      <c r="B721" s="19">
        <v>6.0</v>
      </c>
      <c r="C721" s="19" t="s">
        <v>1507</v>
      </c>
      <c r="D721" s="58" t="str">
        <f t="shared" si="537"/>
        <v/>
      </c>
      <c r="E721" s="59">
        <f>Q721</f>
        <v>43769</v>
      </c>
      <c r="F721" s="60" t="str">
        <f>IFERROR(__xludf.DUMMYFUNCTION("iferror(ifna(IFNA(filter('2.1.clean'!E:E,'2.1.clean'!A:A=C721),filter('2.2.clean'!G:G,'2.2.clean'!D:D=C721)),filter('2.4.clean'!E:E,'2.4.clean'!A:A=C721)),)"),"")</f>
        <v/>
      </c>
      <c r="G721" s="59" t="str">
        <f>IFERROR(__xludf.DUMMYFUNCTION("iferror(filter('3.1.clean'!C:C,'3.1.clean'!A:A=C721),"""")"),"")</f>
        <v/>
      </c>
      <c r="H721" s="58"/>
      <c r="I721" s="58" t="str">
        <f>IFERROR(__xludf.DUMMYFUNCTION("iferror(filter('3.1.clean'!G:G,'3.1.clean'!A:A=C721),"""")"),"")</f>
        <v/>
      </c>
      <c r="J721" s="60" t="str">
        <f>IFERROR(__xludf.DUMMYFUNCTION("iferror(filter('3.1.clean'!I:I,'3.1.clean'!A:A=C721),"""")"),"")</f>
        <v/>
      </c>
      <c r="K721" s="59"/>
      <c r="L721" s="60"/>
      <c r="M721" s="59">
        <f>IFERROR(__xludf.DUMMYFUNCTION("iferror(filter('3.3.clean'!C:C,'3.3.clean'!A:A=C721),"""")"),43773.0)</f>
        <v>43773</v>
      </c>
      <c r="N721" s="60" t="b">
        <f t="shared" si="533"/>
        <v>1</v>
      </c>
      <c r="O721" s="59">
        <f>IFERROR(__xludf.DUMMYFUNCTION("iferror(filter('3.4.clean'!C:C,'3.4.clean'!A:A=C721),"""")"),43775.0)</f>
        <v>43775</v>
      </c>
      <c r="P721" s="60" t="b">
        <f t="shared" si="534"/>
        <v>1</v>
      </c>
      <c r="Q721" s="59">
        <f>IFERROR(__xludf.DUMMYFUNCTION("iferror(filter('3.5.clean'!C:C,'3.5.clean'!A:A=C721),"""")"),43769.0)</f>
        <v>43769</v>
      </c>
      <c r="R721" s="58" t="b">
        <f t="shared" ref="R721:R722" si="538">if(Q721="",FALSE,TRUE)</f>
        <v>1</v>
      </c>
      <c r="S721" s="4">
        <f>IFERROR(__xludf.DUMMYFUNCTION("iferror(filter('3.5.clean'!H:H,'3.5.clean'!A:A=C721),"""")"),0.0)</f>
        <v>0</v>
      </c>
      <c r="V721" s="52" t="s">
        <v>64</v>
      </c>
      <c r="W721" s="23" t="b">
        <f>if(AND(R721=TRUE,N721=TRUE,P721=TRUE),TRUE,FALSE)</f>
        <v>1</v>
      </c>
      <c r="X721" s="23" t="str">
        <f>IFERROR(__xludf.DUMMYFUNCTION("if(COUNTA(FILTER(C:C, C:C = C721))=1,""no"",""yes"")"),"no")</f>
        <v>no</v>
      </c>
    </row>
    <row r="722">
      <c r="A722" s="75" t="s">
        <v>828</v>
      </c>
      <c r="B722" s="2">
        <v>7.0</v>
      </c>
      <c r="C722" s="19" t="s">
        <v>1508</v>
      </c>
      <c r="E722" s="24">
        <f>IFERROR(__xludf.DUMMYFUNCTION("ifna(IFNA(filter('2.1.clean'!C:C,'2.1.clean'!A:A=C722),filter('2.2.clean'!E:E,'2.2.clean'!D:D=C722)),filter('2.4.clean'!C:C,'2.4.clean'!A:A=C722))"),43769.0)</f>
        <v>43769</v>
      </c>
      <c r="F722" s="25">
        <f>IFERROR(__xludf.DUMMYFUNCTION("iferror(ifna(IFNA(filter('2.1.clean'!E:E,'2.1.clean'!A:A=C722),filter('2.2.clean'!G:G,'2.2.clean'!D:D=C722)),filter('2.4.clean'!E:E,'2.4.clean'!A:A=C722)),)"),2.4)</f>
        <v>2.4</v>
      </c>
      <c r="G722" s="24">
        <f>IFERROR(__xludf.DUMMYFUNCTION("iferror(filter('3.1.clean'!C:C,'3.1.clean'!A:A=C722),"""")"),43769.0)</f>
        <v>43769</v>
      </c>
      <c r="H722" s="23" t="b">
        <f t="shared" ref="H722:H723" si="539">if(G722="",FALSE,TRUE)</f>
        <v>1</v>
      </c>
      <c r="J722" s="25"/>
      <c r="K722" s="24">
        <f>IFERROR(__xludf.DUMMYFUNCTION("iferror(filter('3.2.clean'!C:C,'3.2.clean'!A:A=C722),"""")"),43769.0)</f>
        <v>43769</v>
      </c>
      <c r="L722" s="25" t="b">
        <f>if(K722="",FALSE,TRUE)</f>
        <v>1</v>
      </c>
      <c r="M722" s="24">
        <f>IFERROR(__xludf.DUMMYFUNCTION("iferror(filter('3.3.clean'!C:C,'3.3.clean'!A:A=C722),"""")"),43773.0)</f>
        <v>43773</v>
      </c>
      <c r="N722" s="25" t="b">
        <f t="shared" si="533"/>
        <v>1</v>
      </c>
      <c r="O722" s="24">
        <f>IFERROR(__xludf.DUMMYFUNCTION("iferror(filter('3.4.clean'!C:C,'3.4.clean'!A:A=C722),"""")"),43775.0)</f>
        <v>43775</v>
      </c>
      <c r="P722" s="25" t="b">
        <f t="shared" si="534"/>
        <v>1</v>
      </c>
      <c r="Q722" s="24">
        <f>IFERROR(__xludf.DUMMYFUNCTION("iferror(filter('3.5.clean'!C:C,'3.5.clean'!A:A=C722),"""")"),43769.0)</f>
        <v>43769</v>
      </c>
      <c r="R722" s="23" t="b">
        <f t="shared" si="538"/>
        <v>1</v>
      </c>
      <c r="S722" s="25"/>
      <c r="V722" s="1" t="s">
        <v>64</v>
      </c>
      <c r="X722" s="23" t="str">
        <f>IFERROR(__xludf.DUMMYFUNCTION("if(COUNTA(FILTER(C:C, C:C = C722))=1,""no"",""yes"")"),"no")</f>
        <v>no</v>
      </c>
    </row>
    <row r="723">
      <c r="A723" s="75" t="s">
        <v>828</v>
      </c>
      <c r="B723" s="19">
        <v>8.0</v>
      </c>
      <c r="C723" s="19" t="s">
        <v>1509</v>
      </c>
      <c r="D723" s="58" t="str">
        <f t="shared" ref="D723:D724" si="540">if(or(I723=1,J723=1,S723=1),"pos","")</f>
        <v/>
      </c>
      <c r="E723" s="59">
        <f>IFERROR(__xludf.DUMMYFUNCTION("ifna(IFNA(filter('2.1.clean'!C:C,'2.1.clean'!A:A=C723),filter('2.2.clean'!E:E,'2.2.clean'!D:D=C723)),filter('2.4.clean'!C:C,'2.4.clean'!A:A=C723))"),43769.0)</f>
        <v>43769</v>
      </c>
      <c r="F723" s="60">
        <f>IFERROR(__xludf.DUMMYFUNCTION("iferror(ifna(IFNA(filter('2.1.clean'!E:E,'2.1.clean'!A:A=C723),filter('2.2.clean'!G:G,'2.2.clean'!D:D=C723)),filter('2.4.clean'!E:E,'2.4.clean'!A:A=C723)),)"),2.4)</f>
        <v>2.4</v>
      </c>
      <c r="G723" s="59">
        <f>IFERROR(__xludf.DUMMYFUNCTION("iferror(filter('3.1.clean'!C:C,'3.1.clean'!A:A=C723),"""")"),43769.0)</f>
        <v>43769</v>
      </c>
      <c r="H723" s="58" t="b">
        <f t="shared" si="539"/>
        <v>1</v>
      </c>
      <c r="I723" s="58">
        <f>IFERROR(__xludf.DUMMYFUNCTION("iferror(filter('3.1.clean'!G:G,'3.1.clean'!A:A=C723),"""")"),0.0)</f>
        <v>0</v>
      </c>
      <c r="J723" s="60">
        <f>IFERROR(__xludf.DUMMYFUNCTION("iferror(filter('3.1.clean'!I:I,'3.1.clean'!A:A=C723),"""")"),0.0)</f>
        <v>0</v>
      </c>
      <c r="K723" s="58"/>
      <c r="L723" s="60"/>
      <c r="M723" s="59">
        <f>IFERROR(__xludf.DUMMYFUNCTION("iferror(filter('3.3.clean'!C:C,'3.3.clean'!A:A=C723),"""")"),43773.0)</f>
        <v>43773</v>
      </c>
      <c r="N723" s="60" t="b">
        <f t="shared" si="533"/>
        <v>1</v>
      </c>
      <c r="O723" s="59" t="str">
        <f>IFERROR(__xludf.DUMMYFUNCTION("iferror(filter('3.4.clean'!C:C,'3.4.clean'!A:A=C723),"""")"),"")</f>
        <v/>
      </c>
      <c r="P723" s="60" t="b">
        <f t="shared" si="534"/>
        <v>0</v>
      </c>
      <c r="Q723" s="59" t="str">
        <f>IFERROR(__xludf.DUMMYFUNCTION("iferror(filter('3.5.clean'!C:C,'3.5.clean'!A:A=C723),"""")"),"")</f>
        <v/>
      </c>
      <c r="R723" s="58"/>
      <c r="S723" s="4" t="str">
        <f>IFERROR(__xludf.DUMMYFUNCTION("iferror(filter('3.5.clean'!H:H,'3.5.clean'!A:A=C723),"""")"),"")</f>
        <v/>
      </c>
      <c r="W723" s="23" t="b">
        <f>if(AND(H723=TRUE,N723=TRUE,P723=TRUE),TRUE,FALSE)</f>
        <v>0</v>
      </c>
      <c r="X723" s="23" t="str">
        <f>IFERROR(__xludf.DUMMYFUNCTION("if(COUNTA(FILTER(C:C, C:C = C723))=1,""no"",""yes"")"),"no")</f>
        <v>no</v>
      </c>
    </row>
    <row r="724">
      <c r="A724" s="75" t="s">
        <v>828</v>
      </c>
      <c r="B724" s="19">
        <v>9.0</v>
      </c>
      <c r="C724" s="19" t="s">
        <v>1510</v>
      </c>
      <c r="D724" s="58" t="str">
        <f t="shared" si="540"/>
        <v>pos</v>
      </c>
      <c r="E724" s="59">
        <f>Q724</f>
        <v>43769</v>
      </c>
      <c r="F724" s="60" t="str">
        <f>IFERROR(__xludf.DUMMYFUNCTION("iferror(ifna(IFNA(filter('2.1.clean'!E:E,'2.1.clean'!A:A=C724),filter('2.2.clean'!G:G,'2.2.clean'!D:D=C724)),filter('2.4.clean'!E:E,'2.4.clean'!A:A=C724)),)"),"")</f>
        <v/>
      </c>
      <c r="G724" s="59" t="str">
        <f>IFERROR(__xludf.DUMMYFUNCTION("iferror(filter('3.1.clean'!C:C,'3.1.clean'!A:A=C724),"""")"),"")</f>
        <v/>
      </c>
      <c r="H724" s="58"/>
      <c r="I724" s="58" t="str">
        <f>IFERROR(__xludf.DUMMYFUNCTION("iferror(filter('3.1.clean'!G:G,'3.1.clean'!A:A=C724),"""")"),"")</f>
        <v/>
      </c>
      <c r="J724" s="60" t="str">
        <f>IFERROR(__xludf.DUMMYFUNCTION("iferror(filter('3.1.clean'!I:I,'3.1.clean'!A:A=C724),"""")"),"")</f>
        <v/>
      </c>
      <c r="K724" s="59"/>
      <c r="L724" s="60"/>
      <c r="M724" s="59">
        <f>IFERROR(__xludf.DUMMYFUNCTION("iferror(filter('3.3.clean'!C:C,'3.3.clean'!A:A=C724),"""")"),43773.0)</f>
        <v>43773</v>
      </c>
      <c r="N724" s="60" t="b">
        <f t="shared" si="533"/>
        <v>1</v>
      </c>
      <c r="O724" s="59">
        <f>IFERROR(__xludf.DUMMYFUNCTION("iferror(filter('3.4.clean'!C:C,'3.4.clean'!A:A=C724),"""")"),43775.0)</f>
        <v>43775</v>
      </c>
      <c r="P724" s="60" t="b">
        <f t="shared" si="534"/>
        <v>1</v>
      </c>
      <c r="Q724" s="59">
        <f>IFERROR(__xludf.DUMMYFUNCTION("iferror(filter('3.5.clean'!C:C,'3.5.clean'!A:A=C724),"""")"),43769.0)</f>
        <v>43769</v>
      </c>
      <c r="R724" s="58" t="b">
        <f t="shared" ref="R724:R725" si="541">if(Q724="",FALSE,TRUE)</f>
        <v>1</v>
      </c>
      <c r="S724" s="4">
        <f>IFERROR(__xludf.DUMMYFUNCTION("iferror(filter('3.5.clean'!H:H,'3.5.clean'!A:A=C724),"""")"),1.0)</f>
        <v>1</v>
      </c>
      <c r="V724" s="52" t="s">
        <v>64</v>
      </c>
      <c r="W724" s="23" t="b">
        <f>if(AND(R724=TRUE,N724=TRUE,P724=TRUE),TRUE,FALSE)</f>
        <v>1</v>
      </c>
      <c r="X724" s="23" t="str">
        <f>IFERROR(__xludf.DUMMYFUNCTION("if(COUNTA(FILTER(C:C, C:C = C724))=1,""no"",""yes"")"),"no")</f>
        <v>no</v>
      </c>
    </row>
    <row r="725">
      <c r="A725" s="75" t="s">
        <v>828</v>
      </c>
      <c r="B725" s="2">
        <v>10.0</v>
      </c>
      <c r="C725" s="19" t="s">
        <v>1511</v>
      </c>
      <c r="E725" s="24">
        <f>IFERROR(__xludf.DUMMYFUNCTION("ifna(IFNA(filter('2.1.clean'!C:C,'2.1.clean'!A:A=C725),filter('2.2.clean'!E:E,'2.2.clean'!D:D=C725)),filter('2.4.clean'!C:C,'2.4.clean'!A:A=C725))"),43769.0)</f>
        <v>43769</v>
      </c>
      <c r="F725" s="25">
        <f>IFERROR(__xludf.DUMMYFUNCTION("iferror(ifna(IFNA(filter('2.1.clean'!E:E,'2.1.clean'!A:A=C725),filter('2.2.clean'!G:G,'2.2.clean'!D:D=C725)),filter('2.4.clean'!E:E,'2.4.clean'!A:A=C725)),)"),2.4)</f>
        <v>2.4</v>
      </c>
      <c r="G725" s="24">
        <f>IFERROR(__xludf.DUMMYFUNCTION("iferror(filter('3.1.clean'!C:C,'3.1.clean'!A:A=C725),"""")"),43769.0)</f>
        <v>43769</v>
      </c>
      <c r="H725" s="23" t="b">
        <f t="shared" ref="H725:H726" si="542">if(G725="",FALSE,TRUE)</f>
        <v>1</v>
      </c>
      <c r="J725" s="25"/>
      <c r="K725" s="24">
        <f>IFERROR(__xludf.DUMMYFUNCTION("iferror(filter('3.2.clean'!C:C,'3.2.clean'!A:A=C725),"""")"),43769.0)</f>
        <v>43769</v>
      </c>
      <c r="L725" s="25" t="b">
        <f>if(K725="",FALSE,TRUE)</f>
        <v>1</v>
      </c>
      <c r="M725" s="24">
        <f>IFERROR(__xludf.DUMMYFUNCTION("iferror(filter('3.3.clean'!C:C,'3.3.clean'!A:A=C725),"""")"),43773.0)</f>
        <v>43773</v>
      </c>
      <c r="N725" s="25" t="b">
        <f t="shared" si="533"/>
        <v>1</v>
      </c>
      <c r="O725" s="24">
        <f>IFERROR(__xludf.DUMMYFUNCTION("iferror(filter('3.4.clean'!C:C,'3.4.clean'!A:A=C725),"""")"),43775.0)</f>
        <v>43775</v>
      </c>
      <c r="P725" s="25" t="b">
        <f t="shared" si="534"/>
        <v>1</v>
      </c>
      <c r="Q725" s="24">
        <f>IFERROR(__xludf.DUMMYFUNCTION("iferror(filter('3.5.clean'!C:C,'3.5.clean'!A:A=C725),"""")"),43769.0)</f>
        <v>43769</v>
      </c>
      <c r="R725" s="23" t="b">
        <f t="shared" si="541"/>
        <v>1</v>
      </c>
      <c r="S725" s="25"/>
      <c r="V725" s="1" t="s">
        <v>64</v>
      </c>
      <c r="X725" s="23" t="str">
        <f>IFERROR(__xludf.DUMMYFUNCTION("if(COUNTA(FILTER(C:C, C:C = C725))=1,""no"",""yes"")"),"no")</f>
        <v>no</v>
      </c>
    </row>
    <row r="726">
      <c r="A726" s="75" t="s">
        <v>828</v>
      </c>
      <c r="B726" s="19">
        <v>11.0</v>
      </c>
      <c r="C726" s="19" t="s">
        <v>1512</v>
      </c>
      <c r="D726" s="58" t="str">
        <f t="shared" ref="D726:D727" si="543">if(or(I726=1,J726=1,S726=1),"pos","")</f>
        <v/>
      </c>
      <c r="E726" s="59">
        <f>IFERROR(__xludf.DUMMYFUNCTION("ifna(IFNA(filter('2.1.clean'!C:C,'2.1.clean'!A:A=C726),filter('2.2.clean'!E:E,'2.2.clean'!D:D=C726)),filter('2.4.clean'!C:C,'2.4.clean'!A:A=C726))"),43769.0)</f>
        <v>43769</v>
      </c>
      <c r="F726" s="60">
        <f>IFERROR(__xludf.DUMMYFUNCTION("iferror(ifna(IFNA(filter('2.1.clean'!E:E,'2.1.clean'!A:A=C726),filter('2.2.clean'!G:G,'2.2.clean'!D:D=C726)),filter('2.4.clean'!E:E,'2.4.clean'!A:A=C726)),)"),2.4)</f>
        <v>2.4</v>
      </c>
      <c r="G726" s="59" t="s">
        <v>964</v>
      </c>
      <c r="H726" s="58" t="b">
        <f t="shared" si="542"/>
        <v>1</v>
      </c>
      <c r="I726" s="58" t="str">
        <f>IFERROR(__xludf.DUMMYFUNCTION("iferror(filter('3.1.clean'!G:G,'3.1.clean'!A:A=C726),"""")"),"")</f>
        <v/>
      </c>
      <c r="J726" s="60" t="str">
        <f>IFERROR(__xludf.DUMMYFUNCTION("iferror(filter('3.1.clean'!I:I,'3.1.clean'!A:A=C726),"""")"),"")</f>
        <v/>
      </c>
      <c r="K726" s="58"/>
      <c r="L726" s="60"/>
      <c r="M726" s="59">
        <f>IFERROR(__xludf.DUMMYFUNCTION("iferror(filter('3.3.clean'!C:C,'3.3.clean'!A:A=C726),"""")"),43773.0)</f>
        <v>43773</v>
      </c>
      <c r="N726" s="60" t="b">
        <f t="shared" si="533"/>
        <v>1</v>
      </c>
      <c r="O726" s="59">
        <f>IFERROR(__xludf.DUMMYFUNCTION("iferror(filter('3.4.clean'!C:C,'3.4.clean'!A:A=C726),"""")"),43775.0)</f>
        <v>43775</v>
      </c>
      <c r="P726" s="60" t="b">
        <f t="shared" si="534"/>
        <v>1</v>
      </c>
      <c r="Q726" s="59" t="str">
        <f>IFERROR(__xludf.DUMMYFUNCTION("iferror(filter('3.5.clean'!C:C,'3.5.clean'!A:A=C726),"""")"),"")</f>
        <v/>
      </c>
      <c r="R726" s="58"/>
      <c r="S726" s="4" t="str">
        <f>IFERROR(__xludf.DUMMYFUNCTION("iferror(filter('3.5.clean'!H:H,'3.5.clean'!A:A=C726),"""")"),"")</f>
        <v/>
      </c>
      <c r="W726" s="23" t="b">
        <f>if(AND(H726=TRUE,N726=TRUE,P726=TRUE),TRUE,FALSE)</f>
        <v>1</v>
      </c>
      <c r="X726" s="23" t="str">
        <f>IFERROR(__xludf.DUMMYFUNCTION("if(COUNTA(FILTER(C:C, C:C = C726))=1,""no"",""yes"")"),"no")</f>
        <v>no</v>
      </c>
    </row>
    <row r="727">
      <c r="A727" s="75" t="s">
        <v>828</v>
      </c>
      <c r="B727" s="19">
        <v>12.0</v>
      </c>
      <c r="C727" s="19" t="s">
        <v>1513</v>
      </c>
      <c r="D727" s="58" t="str">
        <f t="shared" si="543"/>
        <v>pos</v>
      </c>
      <c r="E727" s="59">
        <f>Q727</f>
        <v>43769</v>
      </c>
      <c r="F727" s="60" t="str">
        <f>IFERROR(__xludf.DUMMYFUNCTION("iferror(ifna(IFNA(filter('2.1.clean'!E:E,'2.1.clean'!A:A=C727),filter('2.2.clean'!G:G,'2.2.clean'!D:D=C727)),filter('2.4.clean'!E:E,'2.4.clean'!A:A=C727)),)"),"")</f>
        <v/>
      </c>
      <c r="G727" s="59" t="str">
        <f>IFERROR(__xludf.DUMMYFUNCTION("iferror(filter('3.1.clean'!C:C,'3.1.clean'!A:A=C727),"""")"),"")</f>
        <v/>
      </c>
      <c r="H727" s="58"/>
      <c r="I727" s="58" t="str">
        <f>IFERROR(__xludf.DUMMYFUNCTION("iferror(filter('3.1.clean'!G:G,'3.1.clean'!A:A=C727),"""")"),"")</f>
        <v/>
      </c>
      <c r="J727" s="60" t="str">
        <f>IFERROR(__xludf.DUMMYFUNCTION("iferror(filter('3.1.clean'!I:I,'3.1.clean'!A:A=C727),"""")"),"")</f>
        <v/>
      </c>
      <c r="K727" s="59"/>
      <c r="L727" s="60"/>
      <c r="M727" s="59">
        <f>IFERROR(__xludf.DUMMYFUNCTION("iferror(filter('3.3.clean'!C:C,'3.3.clean'!A:A=C727),"""")"),43773.0)</f>
        <v>43773</v>
      </c>
      <c r="N727" s="60" t="b">
        <f t="shared" si="533"/>
        <v>1</v>
      </c>
      <c r="O727" s="59" t="str">
        <f>IFERROR(__xludf.DUMMYFUNCTION("iferror(filter('3.4.clean'!C:C,'3.4.clean'!A:A=C727),"""")"),"")</f>
        <v/>
      </c>
      <c r="P727" s="60" t="b">
        <f t="shared" si="534"/>
        <v>0</v>
      </c>
      <c r="Q727" s="59">
        <f>IFERROR(__xludf.DUMMYFUNCTION("iferror(filter('3.5.clean'!C:C,'3.5.clean'!A:A=C727),"""")"),43769.0)</f>
        <v>43769</v>
      </c>
      <c r="R727" s="58" t="b">
        <f t="shared" ref="R727:R728" si="544">if(Q727="",FALSE,TRUE)</f>
        <v>1</v>
      </c>
      <c r="S727" s="4">
        <f>IFERROR(__xludf.DUMMYFUNCTION("iferror(filter('3.5.clean'!H:H,'3.5.clean'!A:A=C727),"""")"),1.0)</f>
        <v>1</v>
      </c>
      <c r="V727" s="52" t="s">
        <v>64</v>
      </c>
      <c r="W727" s="23" t="b">
        <f>if(AND(R727=TRUE,N727=TRUE,P727=TRUE),TRUE,FALSE)</f>
        <v>0</v>
      </c>
      <c r="X727" s="23" t="str">
        <f>IFERROR(__xludf.DUMMYFUNCTION("if(COUNTA(FILTER(C:C, C:C = C727))=1,""no"",""yes"")"),"no")</f>
        <v>no</v>
      </c>
    </row>
    <row r="728">
      <c r="A728" s="75" t="s">
        <v>828</v>
      </c>
      <c r="B728" s="2">
        <v>13.0</v>
      </c>
      <c r="C728" s="19" t="s">
        <v>1514</v>
      </c>
      <c r="E728" s="24">
        <f>IFERROR(__xludf.DUMMYFUNCTION("ifna(IFNA(filter('2.1.clean'!C:C,'2.1.clean'!A:A=C728),filter('2.2.clean'!E:E,'2.2.clean'!D:D=C728)),filter('2.4.clean'!C:C,'2.4.clean'!A:A=C728))"),43769.0)</f>
        <v>43769</v>
      </c>
      <c r="F728" s="25">
        <f>IFERROR(__xludf.DUMMYFUNCTION("iferror(ifna(IFNA(filter('2.1.clean'!E:E,'2.1.clean'!A:A=C728),filter('2.2.clean'!G:G,'2.2.clean'!D:D=C728)),filter('2.4.clean'!E:E,'2.4.clean'!A:A=C728)),)"),2.4)</f>
        <v>2.4</v>
      </c>
      <c r="G728" s="24">
        <f>IFERROR(__xludf.DUMMYFUNCTION("iferror(filter('3.1.clean'!C:C,'3.1.clean'!A:A=C728),"""")"),43769.0)</f>
        <v>43769</v>
      </c>
      <c r="H728" s="23" t="b">
        <f t="shared" ref="H728:H729" si="545">if(G728="",FALSE,TRUE)</f>
        <v>1</v>
      </c>
      <c r="J728" s="25"/>
      <c r="K728" s="24">
        <f>IFERROR(__xludf.DUMMYFUNCTION("iferror(filter('3.2.clean'!C:C,'3.2.clean'!A:A=C728),"""")"),43769.0)</f>
        <v>43769</v>
      </c>
      <c r="L728" s="25" t="b">
        <f>if(K728="",FALSE,TRUE)</f>
        <v>1</v>
      </c>
      <c r="M728" s="24">
        <f>IFERROR(__xludf.DUMMYFUNCTION("iferror(filter('3.3.clean'!C:C,'3.3.clean'!A:A=C728),"""")"),43773.0)</f>
        <v>43773</v>
      </c>
      <c r="N728" s="25" t="b">
        <f t="shared" si="533"/>
        <v>1</v>
      </c>
      <c r="O728" s="24">
        <f>IFERROR(__xludf.DUMMYFUNCTION("iferror(filter('3.4.clean'!C:C,'3.4.clean'!A:A=C728),"""")"),43775.0)</f>
        <v>43775</v>
      </c>
      <c r="P728" s="25" t="b">
        <f t="shared" si="534"/>
        <v>1</v>
      </c>
      <c r="Q728" s="24">
        <f>IFERROR(__xludf.DUMMYFUNCTION("iferror(filter('3.5.clean'!C:C,'3.5.clean'!A:A=C728),"""")"),43769.0)</f>
        <v>43769</v>
      </c>
      <c r="R728" s="23" t="b">
        <f t="shared" si="544"/>
        <v>1</v>
      </c>
      <c r="S728" s="25"/>
      <c r="V728" s="1" t="s">
        <v>64</v>
      </c>
      <c r="X728" s="23" t="str">
        <f>IFERROR(__xludf.DUMMYFUNCTION("if(COUNTA(FILTER(C:C, C:C = C728))=1,""no"",""yes"")"),"no")</f>
        <v>no</v>
      </c>
    </row>
    <row r="729">
      <c r="A729" s="75" t="s">
        <v>828</v>
      </c>
      <c r="B729" s="19">
        <v>14.0</v>
      </c>
      <c r="C729" s="19" t="s">
        <v>1515</v>
      </c>
      <c r="D729" s="58" t="str">
        <f t="shared" ref="D729:D730" si="546">if(or(I729=1,J729=1,S729=1),"pos","")</f>
        <v/>
      </c>
      <c r="E729" s="59">
        <f>IFERROR(__xludf.DUMMYFUNCTION("ifna(IFNA(filter('2.1.clean'!C:C,'2.1.clean'!A:A=C729),filter('2.2.clean'!E:E,'2.2.clean'!D:D=C729)),filter('2.4.clean'!C:C,'2.4.clean'!A:A=C729))"),43769.0)</f>
        <v>43769</v>
      </c>
      <c r="F729" s="60">
        <f>IFERROR(__xludf.DUMMYFUNCTION("iferror(ifna(IFNA(filter('2.1.clean'!E:E,'2.1.clean'!A:A=C729),filter('2.2.clean'!G:G,'2.2.clean'!D:D=C729)),filter('2.4.clean'!E:E,'2.4.clean'!A:A=C729)),)"),2.4)</f>
        <v>2.4</v>
      </c>
      <c r="G729" s="59">
        <f>IFERROR(__xludf.DUMMYFUNCTION("iferror(filter('3.1.clean'!C:C,'3.1.clean'!A:A=C729),"""")"),43769.0)</f>
        <v>43769</v>
      </c>
      <c r="H729" s="58" t="b">
        <f t="shared" si="545"/>
        <v>1</v>
      </c>
      <c r="I729" s="58">
        <f>IFERROR(__xludf.DUMMYFUNCTION("iferror(filter('3.1.clean'!G:G,'3.1.clean'!A:A=C729),"""")"),0.0)</f>
        <v>0</v>
      </c>
      <c r="J729" s="60">
        <f>IFERROR(__xludf.DUMMYFUNCTION("iferror(filter('3.1.clean'!I:I,'3.1.clean'!A:A=C729),"""")"),0.0)</f>
        <v>0</v>
      </c>
      <c r="K729" s="58"/>
      <c r="L729" s="60"/>
      <c r="M729" s="59">
        <f>IFERROR(__xludf.DUMMYFUNCTION("iferror(filter('3.3.clean'!C:C,'3.3.clean'!A:A=C729),"""")"),43773.0)</f>
        <v>43773</v>
      </c>
      <c r="N729" s="60" t="b">
        <f t="shared" si="533"/>
        <v>1</v>
      </c>
      <c r="O729" s="59" t="str">
        <f>IFERROR(__xludf.DUMMYFUNCTION("iferror(filter('3.4.clean'!C:C,'3.4.clean'!A:A=C729),"""")"),"")</f>
        <v/>
      </c>
      <c r="P729" s="60" t="b">
        <f t="shared" si="534"/>
        <v>0</v>
      </c>
      <c r="Q729" s="59" t="str">
        <f>IFERROR(__xludf.DUMMYFUNCTION("iferror(filter('3.5.clean'!C:C,'3.5.clean'!A:A=C729),"""")"),"")</f>
        <v/>
      </c>
      <c r="R729" s="58"/>
      <c r="S729" s="4" t="str">
        <f>IFERROR(__xludf.DUMMYFUNCTION("iferror(filter('3.5.clean'!H:H,'3.5.clean'!A:A=C729),"""")"),"")</f>
        <v/>
      </c>
      <c r="W729" s="23" t="b">
        <f>if(AND(H729=TRUE,N729=TRUE,P729=TRUE),TRUE,FALSE)</f>
        <v>0</v>
      </c>
      <c r="X729" s="23" t="str">
        <f>IFERROR(__xludf.DUMMYFUNCTION("if(COUNTA(FILTER(C:C, C:C = C729))=1,""no"",""yes"")"),"no")</f>
        <v>no</v>
      </c>
    </row>
    <row r="730">
      <c r="A730" s="75" t="s">
        <v>828</v>
      </c>
      <c r="B730" s="19">
        <v>15.0</v>
      </c>
      <c r="C730" s="19" t="s">
        <v>1516</v>
      </c>
      <c r="D730" s="58" t="str">
        <f t="shared" si="546"/>
        <v>pos</v>
      </c>
      <c r="E730" s="59">
        <f>Q730</f>
        <v>43769</v>
      </c>
      <c r="F730" s="60" t="str">
        <f>IFERROR(__xludf.DUMMYFUNCTION("iferror(ifna(IFNA(filter('2.1.clean'!E:E,'2.1.clean'!A:A=C730),filter('2.2.clean'!G:G,'2.2.clean'!D:D=C730)),filter('2.4.clean'!E:E,'2.4.clean'!A:A=C730)),)"),"")</f>
        <v/>
      </c>
      <c r="G730" s="59" t="str">
        <f>IFERROR(__xludf.DUMMYFUNCTION("iferror(filter('3.1.clean'!C:C,'3.1.clean'!A:A=C730),"""")"),"")</f>
        <v/>
      </c>
      <c r="H730" s="58"/>
      <c r="I730" s="58" t="str">
        <f>IFERROR(__xludf.DUMMYFUNCTION("iferror(filter('3.1.clean'!G:G,'3.1.clean'!A:A=C730),"""")"),"")</f>
        <v/>
      </c>
      <c r="J730" s="60" t="str">
        <f>IFERROR(__xludf.DUMMYFUNCTION("iferror(filter('3.1.clean'!I:I,'3.1.clean'!A:A=C730),"""")"),"")</f>
        <v/>
      </c>
      <c r="K730" s="59"/>
      <c r="L730" s="60"/>
      <c r="M730" s="59">
        <f>IFERROR(__xludf.DUMMYFUNCTION("iferror(filter('3.3.clean'!C:C,'3.3.clean'!A:A=C730),"""")"),43773.0)</f>
        <v>43773</v>
      </c>
      <c r="N730" s="60" t="b">
        <f t="shared" si="533"/>
        <v>1</v>
      </c>
      <c r="O730" s="59">
        <f>IFERROR(__xludf.DUMMYFUNCTION("iferror(filter('3.4.clean'!C:C,'3.4.clean'!A:A=C730),"""")"),43775.0)</f>
        <v>43775</v>
      </c>
      <c r="P730" s="60" t="b">
        <f t="shared" si="534"/>
        <v>1</v>
      </c>
      <c r="Q730" s="59">
        <f>IFERROR(__xludf.DUMMYFUNCTION("iferror(filter('3.5.clean'!C:C,'3.5.clean'!A:A=C730),"""")"),43769.0)</f>
        <v>43769</v>
      </c>
      <c r="R730" s="58" t="b">
        <f t="shared" ref="R730:R731" si="547">if(Q730="",FALSE,TRUE)</f>
        <v>1</v>
      </c>
      <c r="S730" s="4">
        <f>IFERROR(__xludf.DUMMYFUNCTION("iferror(filter('3.5.clean'!H:H,'3.5.clean'!A:A=C730),"""")"),1.0)</f>
        <v>1</v>
      </c>
      <c r="V730" s="52" t="s">
        <v>64</v>
      </c>
      <c r="W730" s="23" t="b">
        <f>if(AND(R730=TRUE,N730=TRUE,P730=TRUE),TRUE,FALSE)</f>
        <v>1</v>
      </c>
      <c r="X730" s="23" t="str">
        <f>IFERROR(__xludf.DUMMYFUNCTION("if(COUNTA(FILTER(C:C, C:C = C730))=1,""no"",""yes"")"),"no")</f>
        <v>no</v>
      </c>
    </row>
    <row r="731">
      <c r="A731" s="75" t="s">
        <v>828</v>
      </c>
      <c r="B731" s="2">
        <v>16.0</v>
      </c>
      <c r="C731" s="19" t="s">
        <v>1517</v>
      </c>
      <c r="E731" s="24">
        <f>IFERROR(__xludf.DUMMYFUNCTION("ifna(IFNA(filter('2.1.clean'!C:C,'2.1.clean'!A:A=C731),filter('2.2.clean'!E:E,'2.2.clean'!D:D=C731)),filter('2.4.clean'!C:C,'2.4.clean'!A:A=C731))"),43769.0)</f>
        <v>43769</v>
      </c>
      <c r="F731" s="25">
        <f>IFERROR(__xludf.DUMMYFUNCTION("iferror(ifna(IFNA(filter('2.1.clean'!E:E,'2.1.clean'!A:A=C731),filter('2.2.clean'!G:G,'2.2.clean'!D:D=C731)),filter('2.4.clean'!E:E,'2.4.clean'!A:A=C731)),)"),2.4)</f>
        <v>2.4</v>
      </c>
      <c r="G731" s="24">
        <f>IFERROR(__xludf.DUMMYFUNCTION("iferror(filter('3.1.clean'!C:C,'3.1.clean'!A:A=C731),"""")"),43769.0)</f>
        <v>43769</v>
      </c>
      <c r="H731" s="23" t="b">
        <f t="shared" ref="H731:H732" si="548">if(G731="",FALSE,TRUE)</f>
        <v>1</v>
      </c>
      <c r="J731" s="25"/>
      <c r="K731" s="24">
        <f>IFERROR(__xludf.DUMMYFUNCTION("iferror(filter('3.2.clean'!C:C,'3.2.clean'!A:A=C731),"""")"),43769.0)</f>
        <v>43769</v>
      </c>
      <c r="L731" s="25" t="b">
        <f>if(K731="",FALSE,TRUE)</f>
        <v>1</v>
      </c>
      <c r="M731" s="24">
        <f>IFERROR(__xludf.DUMMYFUNCTION("iferror(filter('3.3.clean'!C:C,'3.3.clean'!A:A=C731),"""")"),43773.0)</f>
        <v>43773</v>
      </c>
      <c r="N731" s="25" t="b">
        <f t="shared" si="533"/>
        <v>1</v>
      </c>
      <c r="O731" s="24">
        <f>IFERROR(__xludf.DUMMYFUNCTION("iferror(filter('3.4.clean'!C:C,'3.4.clean'!A:A=C731),"""")"),43775.0)</f>
        <v>43775</v>
      </c>
      <c r="P731" s="25" t="b">
        <f t="shared" si="534"/>
        <v>1</v>
      </c>
      <c r="Q731" s="24">
        <f>IFERROR(__xludf.DUMMYFUNCTION("iferror(filter('3.5.clean'!C:C,'3.5.clean'!A:A=C731),"""")"),43769.0)</f>
        <v>43769</v>
      </c>
      <c r="R731" s="23" t="b">
        <f t="shared" si="547"/>
        <v>1</v>
      </c>
      <c r="S731" s="25"/>
      <c r="V731" s="1" t="s">
        <v>64</v>
      </c>
      <c r="X731" s="23" t="str">
        <f>IFERROR(__xludf.DUMMYFUNCTION("if(COUNTA(FILTER(C:C, C:C = C731))=1,""no"",""yes"")"),"no")</f>
        <v>no</v>
      </c>
    </row>
    <row r="732">
      <c r="A732" s="75" t="s">
        <v>828</v>
      </c>
      <c r="B732" s="19">
        <v>17.0</v>
      </c>
      <c r="C732" s="19" t="s">
        <v>1518</v>
      </c>
      <c r="D732" s="58" t="str">
        <f t="shared" ref="D732:D733" si="549">if(or(I732=1,J732=1,S732=1),"pos","")</f>
        <v/>
      </c>
      <c r="E732" s="59">
        <f>IFERROR(__xludf.DUMMYFUNCTION("ifna(IFNA(filter('2.1.clean'!C:C,'2.1.clean'!A:A=C732),filter('2.2.clean'!E:E,'2.2.clean'!D:D=C732)),filter('2.4.clean'!C:C,'2.4.clean'!A:A=C732))"),43769.0)</f>
        <v>43769</v>
      </c>
      <c r="F732" s="60">
        <f>IFERROR(__xludf.DUMMYFUNCTION("iferror(ifna(IFNA(filter('2.1.clean'!E:E,'2.1.clean'!A:A=C732),filter('2.2.clean'!G:G,'2.2.clean'!D:D=C732)),filter('2.4.clean'!E:E,'2.4.clean'!A:A=C732)),)"),2.4)</f>
        <v>2.4</v>
      </c>
      <c r="G732" s="59">
        <f>IFERROR(__xludf.DUMMYFUNCTION("iferror(filter('3.1.clean'!C:C,'3.1.clean'!A:A=C732),"""")"),43769.0)</f>
        <v>43769</v>
      </c>
      <c r="H732" s="58" t="b">
        <f t="shared" si="548"/>
        <v>1</v>
      </c>
      <c r="I732" s="58">
        <f>IFERROR(__xludf.DUMMYFUNCTION("iferror(filter('3.1.clean'!G:G,'3.1.clean'!A:A=C732),"""")"),0.0)</f>
        <v>0</v>
      </c>
      <c r="J732" s="60" t="str">
        <f>IFERROR(__xludf.DUMMYFUNCTION("iferror(filter('3.1.clean'!I:I,'3.1.clean'!A:A=C732),"""")"),"")</f>
        <v/>
      </c>
      <c r="K732" s="58"/>
      <c r="L732" s="60"/>
      <c r="M732" s="59">
        <f>IFERROR(__xludf.DUMMYFUNCTION("iferror(filter('3.3.clean'!C:C,'3.3.clean'!A:A=C732),"""")"),43773.0)</f>
        <v>43773</v>
      </c>
      <c r="N732" s="60" t="b">
        <f t="shared" si="533"/>
        <v>1</v>
      </c>
      <c r="O732" s="59" t="str">
        <f>IFERROR(__xludf.DUMMYFUNCTION("iferror(filter('3.4.clean'!C:C,'3.4.clean'!A:A=C732),"""")"),"")</f>
        <v/>
      </c>
      <c r="P732" s="60" t="b">
        <f t="shared" si="534"/>
        <v>0</v>
      </c>
      <c r="Q732" s="59" t="str">
        <f>IFERROR(__xludf.DUMMYFUNCTION("iferror(filter('3.5.clean'!C:C,'3.5.clean'!A:A=C732),"""")"),"")</f>
        <v/>
      </c>
      <c r="R732" s="58"/>
      <c r="S732" s="4" t="str">
        <f>IFERROR(__xludf.DUMMYFUNCTION("iferror(filter('3.5.clean'!H:H,'3.5.clean'!A:A=C732),"""")"),"")</f>
        <v/>
      </c>
      <c r="W732" s="23" t="b">
        <f>if(AND(H732=TRUE,N732=TRUE,P732=TRUE),TRUE,FALSE)</f>
        <v>0</v>
      </c>
      <c r="X732" s="23" t="str">
        <f>IFERROR(__xludf.DUMMYFUNCTION("if(COUNTA(FILTER(C:C, C:C = C732))=1,""no"",""yes"")"),"no")</f>
        <v>no</v>
      </c>
    </row>
    <row r="733">
      <c r="A733" s="75" t="s">
        <v>828</v>
      </c>
      <c r="B733" s="19">
        <v>18.0</v>
      </c>
      <c r="C733" s="19" t="s">
        <v>1519</v>
      </c>
      <c r="D733" s="58" t="str">
        <f t="shared" si="549"/>
        <v/>
      </c>
      <c r="E733" s="59">
        <f>Q733</f>
        <v>43769</v>
      </c>
      <c r="F733" s="60" t="str">
        <f>IFERROR(__xludf.DUMMYFUNCTION("iferror(ifna(IFNA(filter('2.1.clean'!E:E,'2.1.clean'!A:A=C733),filter('2.2.clean'!G:G,'2.2.clean'!D:D=C733)),filter('2.4.clean'!E:E,'2.4.clean'!A:A=C733)),)"),"")</f>
        <v/>
      </c>
      <c r="G733" s="59" t="str">
        <f>IFERROR(__xludf.DUMMYFUNCTION("iferror(filter('3.1.clean'!C:C,'3.1.clean'!A:A=C733),"""")"),"")</f>
        <v/>
      </c>
      <c r="H733" s="58"/>
      <c r="I733" s="58" t="str">
        <f>IFERROR(__xludf.DUMMYFUNCTION("iferror(filter('3.1.clean'!G:G,'3.1.clean'!A:A=C733),"""")"),"")</f>
        <v/>
      </c>
      <c r="J733" s="60" t="str">
        <f>IFERROR(__xludf.DUMMYFUNCTION("iferror(filter('3.1.clean'!I:I,'3.1.clean'!A:A=C733),"""")"),"")</f>
        <v/>
      </c>
      <c r="K733" s="59"/>
      <c r="L733" s="60"/>
      <c r="M733" s="59">
        <f>IFERROR(__xludf.DUMMYFUNCTION("iferror(filter('3.3.clean'!C:C,'3.3.clean'!A:A=C733),"""")"),43773.0)</f>
        <v>43773</v>
      </c>
      <c r="N733" s="60" t="b">
        <f t="shared" si="533"/>
        <v>1</v>
      </c>
      <c r="O733" s="59">
        <f>IFERROR(__xludf.DUMMYFUNCTION("iferror(filter('3.4.clean'!C:C,'3.4.clean'!A:A=C733),"""")"),43775.0)</f>
        <v>43775</v>
      </c>
      <c r="P733" s="60" t="b">
        <f t="shared" si="534"/>
        <v>1</v>
      </c>
      <c r="Q733" s="59">
        <f>IFERROR(__xludf.DUMMYFUNCTION("iferror(filter('3.5.clean'!C:C,'3.5.clean'!A:A=C733),"""")"),43769.0)</f>
        <v>43769</v>
      </c>
      <c r="R733" s="58" t="b">
        <f t="shared" ref="R733:R734" si="550">if(Q733="",FALSE,TRUE)</f>
        <v>1</v>
      </c>
      <c r="S733" s="4">
        <f>IFERROR(__xludf.DUMMYFUNCTION("iferror(filter('3.5.clean'!H:H,'3.5.clean'!A:A=C733),"""")"),0.0)</f>
        <v>0</v>
      </c>
      <c r="V733" s="52" t="s">
        <v>64</v>
      </c>
      <c r="W733" s="23" t="b">
        <f>if(AND(R733=TRUE,N733=TRUE,P733=TRUE),TRUE,FALSE)</f>
        <v>1</v>
      </c>
      <c r="X733" s="23" t="str">
        <f>IFERROR(__xludf.DUMMYFUNCTION("if(COUNTA(FILTER(C:C, C:C = C733))=1,""no"",""yes"")"),"no")</f>
        <v>no</v>
      </c>
    </row>
    <row r="734">
      <c r="A734" s="75" t="s">
        <v>828</v>
      </c>
      <c r="B734" s="2">
        <v>19.0</v>
      </c>
      <c r="C734" s="19" t="s">
        <v>1520</v>
      </c>
      <c r="E734" s="24">
        <f>IFERROR(__xludf.DUMMYFUNCTION("ifna(IFNA(filter('2.1.clean'!C:C,'2.1.clean'!A:A=C734),filter('2.2.clean'!E:E,'2.2.clean'!D:D=C734)),filter('2.4.clean'!C:C,'2.4.clean'!A:A=C734))"),43769.0)</f>
        <v>43769</v>
      </c>
      <c r="F734" s="25">
        <f>IFERROR(__xludf.DUMMYFUNCTION("iferror(ifna(IFNA(filter('2.1.clean'!E:E,'2.1.clean'!A:A=C734),filter('2.2.clean'!G:G,'2.2.clean'!D:D=C734)),filter('2.4.clean'!E:E,'2.4.clean'!A:A=C734)),)"),2.4)</f>
        <v>2.4</v>
      </c>
      <c r="G734" s="24">
        <f>IFERROR(__xludf.DUMMYFUNCTION("iferror(filter('3.1.clean'!C:C,'3.1.clean'!A:A=C734),"""")"),43769.0)</f>
        <v>43769</v>
      </c>
      <c r="H734" s="23" t="b">
        <f t="shared" ref="H734:H735" si="551">if(G734="",FALSE,TRUE)</f>
        <v>1</v>
      </c>
      <c r="J734" s="25"/>
      <c r="K734" s="24">
        <f>IFERROR(__xludf.DUMMYFUNCTION("iferror(filter('3.2.clean'!C:C,'3.2.clean'!A:A=C734),"""")"),43769.0)</f>
        <v>43769</v>
      </c>
      <c r="L734" s="25" t="b">
        <f>if(K734="",FALSE,TRUE)</f>
        <v>1</v>
      </c>
      <c r="M734" s="24">
        <f>IFERROR(__xludf.DUMMYFUNCTION("iferror(filter('3.3.clean'!C:C,'3.3.clean'!A:A=C734),"""")"),43773.0)</f>
        <v>43773</v>
      </c>
      <c r="N734" s="25" t="b">
        <f t="shared" si="533"/>
        <v>1</v>
      </c>
      <c r="O734" s="24">
        <f>IFERROR(__xludf.DUMMYFUNCTION("iferror(filter('3.4.clean'!C:C,'3.4.clean'!A:A=C734),"""")"),43775.0)</f>
        <v>43775</v>
      </c>
      <c r="P734" s="25" t="b">
        <f t="shared" si="534"/>
        <v>1</v>
      </c>
      <c r="Q734" s="24">
        <f>IFERROR(__xludf.DUMMYFUNCTION("iferror(filter('3.5.clean'!C:C,'3.5.clean'!A:A=C734),"""")"),43769.0)</f>
        <v>43769</v>
      </c>
      <c r="R734" s="23" t="b">
        <f t="shared" si="550"/>
        <v>1</v>
      </c>
      <c r="S734" s="25"/>
      <c r="V734" s="1" t="s">
        <v>64</v>
      </c>
      <c r="X734" s="23" t="str">
        <f>IFERROR(__xludf.DUMMYFUNCTION("if(COUNTA(FILTER(C:C, C:C = C734))=1,""no"",""yes"")"),"no")</f>
        <v>no</v>
      </c>
    </row>
    <row r="735">
      <c r="A735" s="75" t="s">
        <v>828</v>
      </c>
      <c r="B735" s="19">
        <v>20.0</v>
      </c>
      <c r="C735" s="19" t="s">
        <v>1521</v>
      </c>
      <c r="D735" s="58" t="str">
        <f t="shared" ref="D735:D738" si="552">if(or(I735=1,J735=1,S735=1),"pos","")</f>
        <v/>
      </c>
      <c r="E735" s="59">
        <f>IFERROR(__xludf.DUMMYFUNCTION("ifna(IFNA(filter('2.1.clean'!C:C,'2.1.clean'!A:A=C735),filter('2.2.clean'!E:E,'2.2.clean'!D:D=C735)),filter('2.4.clean'!C:C,'2.4.clean'!A:A=C735))"),43769.0)</f>
        <v>43769</v>
      </c>
      <c r="F735" s="60">
        <f>IFERROR(__xludf.DUMMYFUNCTION("iferror(ifna(IFNA(filter('2.1.clean'!E:E,'2.1.clean'!A:A=C735),filter('2.2.clean'!G:G,'2.2.clean'!D:D=C735)),filter('2.4.clean'!E:E,'2.4.clean'!A:A=C735)),)"),2.4)</f>
        <v>2.4</v>
      </c>
      <c r="G735" s="59">
        <f>IFERROR(__xludf.DUMMYFUNCTION("iferror(filter('3.1.clean'!C:C,'3.1.clean'!A:A=C735),"""")"),43769.0)</f>
        <v>43769</v>
      </c>
      <c r="H735" s="58" t="b">
        <f t="shared" si="551"/>
        <v>1</v>
      </c>
      <c r="I735" s="58">
        <f>IFERROR(__xludf.DUMMYFUNCTION("iferror(filter('3.1.clean'!G:G,'3.1.clean'!A:A=C735),"""")"),0.0)</f>
        <v>0</v>
      </c>
      <c r="J735" s="60">
        <f>IFERROR(__xludf.DUMMYFUNCTION("iferror(filter('3.1.clean'!I:I,'3.1.clean'!A:A=C735),"""")"),0.0)</f>
        <v>0</v>
      </c>
      <c r="K735" s="58"/>
      <c r="L735" s="60"/>
      <c r="M735" s="59">
        <f>IFERROR(__xludf.DUMMYFUNCTION("iferror(filter('3.3.clean'!C:C,'3.3.clean'!A:A=C735),"""")"),43773.0)</f>
        <v>43773</v>
      </c>
      <c r="N735" s="60" t="b">
        <f t="shared" si="533"/>
        <v>1</v>
      </c>
      <c r="O735" s="59">
        <f>IFERROR(__xludf.DUMMYFUNCTION("iferror(filter('3.4.clean'!C:C,'3.4.clean'!A:A=C735),"""")"),43775.0)</f>
        <v>43775</v>
      </c>
      <c r="P735" s="60" t="b">
        <f t="shared" si="534"/>
        <v>1</v>
      </c>
      <c r="Q735" s="59" t="str">
        <f>IFERROR(__xludf.DUMMYFUNCTION("iferror(filter('3.5.clean'!C:C,'3.5.clean'!A:A=C735),"""")"),"")</f>
        <v/>
      </c>
      <c r="R735" s="58"/>
      <c r="S735" s="4" t="str">
        <f>IFERROR(__xludf.DUMMYFUNCTION("iferror(filter('3.5.clean'!H:H,'3.5.clean'!A:A=C735),"""")"),"")</f>
        <v/>
      </c>
      <c r="W735" s="23" t="b">
        <f>if(AND(H735=TRUE,N735=TRUE,P735=TRUE),TRUE,FALSE)</f>
        <v>1</v>
      </c>
      <c r="X735" s="23" t="str">
        <f>IFERROR(__xludf.DUMMYFUNCTION("if(COUNTA(FILTER(C:C, C:C = C735))=1,""no"",""yes"")"),"no")</f>
        <v>no</v>
      </c>
    </row>
    <row r="736">
      <c r="A736" s="75" t="s">
        <v>828</v>
      </c>
      <c r="B736" s="19">
        <v>21.0</v>
      </c>
      <c r="C736" s="19" t="s">
        <v>1522</v>
      </c>
      <c r="D736" s="58" t="str">
        <f t="shared" si="552"/>
        <v>pos</v>
      </c>
      <c r="E736" s="59">
        <f t="shared" ref="E736:E737" si="553">Q736</f>
        <v>43769</v>
      </c>
      <c r="F736" s="60" t="str">
        <f>IFERROR(__xludf.DUMMYFUNCTION("iferror(ifna(IFNA(filter('2.1.clean'!E:E,'2.1.clean'!A:A=C736),filter('2.2.clean'!G:G,'2.2.clean'!D:D=C736)),filter('2.4.clean'!E:E,'2.4.clean'!A:A=C736)),)"),"")</f>
        <v/>
      </c>
      <c r="G736" s="59" t="str">
        <f>IFERROR(__xludf.DUMMYFUNCTION("iferror(filter('3.1.clean'!C:C,'3.1.clean'!A:A=C736),"""")"),"")</f>
        <v/>
      </c>
      <c r="H736" s="58"/>
      <c r="I736" s="58" t="str">
        <f>IFERROR(__xludf.DUMMYFUNCTION("iferror(filter('3.1.clean'!G:G,'3.1.clean'!A:A=C736),"""")"),"")</f>
        <v/>
      </c>
      <c r="J736" s="60" t="str">
        <f>IFERROR(__xludf.DUMMYFUNCTION("iferror(filter('3.1.clean'!I:I,'3.1.clean'!A:A=C736),"""")"),"")</f>
        <v/>
      </c>
      <c r="K736" s="59"/>
      <c r="L736" s="60"/>
      <c r="M736" s="59">
        <f>IFERROR(__xludf.DUMMYFUNCTION("iferror(filter('3.3.clean'!C:C,'3.3.clean'!A:A=C736),"""")"),43773.0)</f>
        <v>43773</v>
      </c>
      <c r="N736" s="60" t="b">
        <f t="shared" si="533"/>
        <v>1</v>
      </c>
      <c r="O736" s="59" t="str">
        <f>IFERROR(__xludf.DUMMYFUNCTION("iferror(filter('3.4.clean'!C:C,'3.4.clean'!A:A=C736),"""")"),"")</f>
        <v/>
      </c>
      <c r="P736" s="60" t="b">
        <f t="shared" si="534"/>
        <v>0</v>
      </c>
      <c r="Q736" s="59">
        <f>IFERROR(__xludf.DUMMYFUNCTION("iferror(filter('3.5.clean'!C:C,'3.5.clean'!A:A=C736),"""")"),43769.0)</f>
        <v>43769</v>
      </c>
      <c r="R736" s="58" t="b">
        <f t="shared" ref="R736:R737" si="554">if(Q736="",FALSE,TRUE)</f>
        <v>1</v>
      </c>
      <c r="S736" s="4">
        <f>IFERROR(__xludf.DUMMYFUNCTION("iferror(filter('3.5.clean'!H:H,'3.5.clean'!A:A=C736),"""")"),1.0)</f>
        <v>1</v>
      </c>
      <c r="V736" s="52" t="s">
        <v>64</v>
      </c>
      <c r="W736" s="23" t="b">
        <f>if(AND(R736=TRUE,N736=TRUE,P736=TRUE),TRUE,FALSE)</f>
        <v>0</v>
      </c>
      <c r="X736" s="23" t="str">
        <f>IFERROR(__xludf.DUMMYFUNCTION("if(COUNTA(FILTER(C:C, C:C = C736))=1,""no"",""yes"")"),"no")</f>
        <v>no</v>
      </c>
    </row>
    <row r="737">
      <c r="A737" s="75" t="s">
        <v>828</v>
      </c>
      <c r="B737" s="19">
        <v>22.0</v>
      </c>
      <c r="C737" s="19" t="s">
        <v>1523</v>
      </c>
      <c r="D737" s="22" t="str">
        <f t="shared" si="552"/>
        <v/>
      </c>
      <c r="E737" s="20">
        <f t="shared" si="553"/>
        <v>43769</v>
      </c>
      <c r="F737" s="79" t="str">
        <f>IFERROR(__xludf.DUMMYFUNCTION("iferror(ifna(IFNA(filter('2.1.clean'!E:E,'2.1.clean'!A:A=C737),filter('2.2.clean'!G:G,'2.2.clean'!D:D=C737)),filter('2.4.clean'!E:E,'2.4.clean'!A:A=C737)),)"),"")</f>
        <v/>
      </c>
      <c r="G737" s="20" t="str">
        <f>IFERROR(__xludf.DUMMYFUNCTION("iferror(filter('3.1.clean'!C:C,'3.1.clean'!A:A=C737),"""")"),"")</f>
        <v/>
      </c>
      <c r="H737" s="22"/>
      <c r="I737" s="22"/>
      <c r="J737" s="79"/>
      <c r="K737" s="20" t="str">
        <f>IFERROR(__xludf.DUMMYFUNCTION("iferror(filter('3.2.clean'!C:C,'3.2.clean'!A:A=C737),"""")"),"")</f>
        <v/>
      </c>
      <c r="L737" s="79"/>
      <c r="M737" s="20">
        <f>IFERROR(__xludf.DUMMYFUNCTION("iferror(filter('3.3.clean'!C:C,'3.3.clean'!A:A=C737),"""")"),43773.0)</f>
        <v>43773</v>
      </c>
      <c r="N737" s="79" t="b">
        <f t="shared" si="533"/>
        <v>1</v>
      </c>
      <c r="O737" s="20" t="str">
        <f>IFERROR(__xludf.DUMMYFUNCTION("iferror(filter('3.4.clean'!C:C,'3.4.clean'!A:A=C737),"""")"),"")</f>
        <v/>
      </c>
      <c r="P737" s="79" t="b">
        <f t="shared" si="534"/>
        <v>0</v>
      </c>
      <c r="Q737" s="20">
        <f>IFERROR(__xludf.DUMMYFUNCTION("iferror(filter('3.5.clean'!C:C,'3.5.clean'!A:A=C737),"""")"),43769.0)</f>
        <v>43769</v>
      </c>
      <c r="R737" s="22" t="b">
        <f t="shared" si="554"/>
        <v>1</v>
      </c>
      <c r="S737" s="4">
        <f>IFERROR(__xludf.DUMMYFUNCTION("iferror(filter('3.5.clean'!H:H,'3.5.clean'!A:A=C737),"""")"),0.0)</f>
        <v>0</v>
      </c>
      <c r="V737" s="1" t="s">
        <v>64</v>
      </c>
      <c r="W737" s="23" t="b">
        <f>IF(and(R737=TRUE,N737=TRUE,P737=TRUE),TRUE,FALSE)</f>
        <v>0</v>
      </c>
      <c r="X737" s="23" t="str">
        <f>IFERROR(__xludf.DUMMYFUNCTION("if(COUNTA(FILTER(C:C, C:C = C737))=1,""no"",""yes"")"),"no")</f>
        <v>no</v>
      </c>
    </row>
    <row r="738">
      <c r="A738" s="75" t="s">
        <v>828</v>
      </c>
      <c r="B738" s="19">
        <v>23.0</v>
      </c>
      <c r="C738" s="19" t="s">
        <v>1524</v>
      </c>
      <c r="D738" s="76" t="str">
        <f t="shared" si="552"/>
        <v/>
      </c>
      <c r="E738" s="77">
        <f>G738</f>
        <v>43769</v>
      </c>
      <c r="F738" s="78" t="str">
        <f>IFERROR(__xludf.DUMMYFUNCTION("iferror(ifna(IFNA(filter('2.1.clean'!E:E,'2.1.clean'!A:A=C738),filter('2.2.clean'!G:G,'2.2.clean'!D:D=C738)),filter('2.4.clean'!E:E,'2.4.clean'!A:A=C738)),)"),"")</f>
        <v/>
      </c>
      <c r="G738" s="77">
        <f>IFERROR(__xludf.DUMMYFUNCTION("iferror(filter('3.1.clean'!C:C,'3.1.clean'!A:A=C738),"""")"),43769.0)</f>
        <v>43769</v>
      </c>
      <c r="H738" s="76" t="b">
        <f t="shared" ref="H738:H740" si="555">if(G738="",FALSE,TRUE)</f>
        <v>1</v>
      </c>
      <c r="I738" s="76">
        <f>IFERROR(__xludf.DUMMYFUNCTION("iferror(filter('3.1.clean'!G:G,'3.1.clean'!A:A=C738),"""")"),0.0)</f>
        <v>0</v>
      </c>
      <c r="J738" s="78">
        <f>IFERROR(__xludf.DUMMYFUNCTION("iferror(filter('3.1.clean'!I:I,'3.1.clean'!A:A=C738),"""")"),0.0)</f>
        <v>0</v>
      </c>
      <c r="K738" s="77"/>
      <c r="L738" s="78"/>
      <c r="M738" s="77"/>
      <c r="N738" s="78"/>
      <c r="O738" s="77"/>
      <c r="P738" s="78"/>
      <c r="Q738" s="77"/>
      <c r="R738" s="76"/>
      <c r="S738" s="25"/>
      <c r="V738" s="1" t="s">
        <v>64</v>
      </c>
      <c r="W738" s="1" t="b">
        <v>1</v>
      </c>
      <c r="X738" s="23" t="str">
        <f>IFERROR(__xludf.DUMMYFUNCTION("if(COUNTA(FILTER(C:C, C:C = C738))=1,""no"",""yes"")"),"no")</f>
        <v>no</v>
      </c>
    </row>
    <row r="739">
      <c r="A739" s="1" t="s">
        <v>832</v>
      </c>
      <c r="B739" s="2">
        <v>1.0</v>
      </c>
      <c r="C739" s="19" t="s">
        <v>1525</v>
      </c>
      <c r="E739" s="24">
        <f>IFERROR(__xludf.DUMMYFUNCTION("ifna(IFNA(filter('2.1.clean'!C:C,'2.1.clean'!A:A=C739),filter('2.2.clean'!E:E,'2.2.clean'!D:D=C739)),filter('2.4.clean'!C:C,'2.4.clean'!A:A=C739))"),43770.0)</f>
        <v>43770</v>
      </c>
      <c r="F739" s="25">
        <f>IFERROR(__xludf.DUMMYFUNCTION("iferror(ifna(IFNA(filter('2.1.clean'!E:E,'2.1.clean'!A:A=C739),filter('2.2.clean'!G:G,'2.2.clean'!D:D=C739)),filter('2.4.clean'!E:E,'2.4.clean'!A:A=C739)),)"),2.4)</f>
        <v>2.4</v>
      </c>
      <c r="G739" s="24">
        <f>IFERROR(__xludf.DUMMYFUNCTION("iferror(filter('3.1.clean'!C:C,'3.1.clean'!A:A=C739),"""")"),43770.0)</f>
        <v>43770</v>
      </c>
      <c r="H739" s="23" t="b">
        <f t="shared" si="555"/>
        <v>1</v>
      </c>
      <c r="J739" s="25"/>
      <c r="K739" s="24">
        <f>IFERROR(__xludf.DUMMYFUNCTION("iferror(filter('3.2.clean'!C:C,'3.2.clean'!A:A=C739),"""")"),43770.0)</f>
        <v>43770</v>
      </c>
      <c r="L739" s="25" t="b">
        <f>if(K739="",FALSE,TRUE)</f>
        <v>1</v>
      </c>
      <c r="M739" s="24">
        <f>IFERROR(__xludf.DUMMYFUNCTION("iferror(filter('3.3.clean'!C:C,'3.3.clean'!A:A=C739),"""")"),43773.0)</f>
        <v>43773</v>
      </c>
      <c r="N739" s="25" t="b">
        <f t="shared" ref="N739:N751" si="556">if(M739="",FALSE,TRUE)</f>
        <v>1</v>
      </c>
      <c r="O739" s="24">
        <f>IFERROR(__xludf.DUMMYFUNCTION("iferror(filter('3.4.clean'!C:C,'3.4.clean'!A:A=C739),"""")"),43777.0)</f>
        <v>43777</v>
      </c>
      <c r="P739" s="25" t="b">
        <f t="shared" ref="P739:P751" si="557">if(O739="",FALSE,TRUE)</f>
        <v>1</v>
      </c>
      <c r="Q739" s="24">
        <f>IFERROR(__xludf.DUMMYFUNCTION("iferror(filter('3.5.clean'!C:C,'3.5.clean'!A:A=C739),"""")"),43770.0)</f>
        <v>43770</v>
      </c>
      <c r="R739" s="23" t="b">
        <f>if(Q739="",FALSE,TRUE)</f>
        <v>1</v>
      </c>
      <c r="S739" s="25"/>
      <c r="V739" s="1" t="s">
        <v>64</v>
      </c>
      <c r="X739" s="23" t="str">
        <f>IFERROR(__xludf.DUMMYFUNCTION("if(COUNTA(FILTER(C:C, C:C = C739))=1,""no"",""yes"")"),"no")</f>
        <v>no</v>
      </c>
    </row>
    <row r="740">
      <c r="A740" s="1" t="s">
        <v>832</v>
      </c>
      <c r="B740" s="19">
        <v>2.0</v>
      </c>
      <c r="C740" s="19" t="s">
        <v>1526</v>
      </c>
      <c r="D740" s="58" t="str">
        <f t="shared" ref="D740:D741" si="558">if(or(I740=1,J740=1,S740=1),"pos","")</f>
        <v/>
      </c>
      <c r="E740" s="59">
        <f>IFERROR(__xludf.DUMMYFUNCTION("ifna(IFNA(filter('2.1.clean'!C:C,'2.1.clean'!A:A=C740),filter('2.2.clean'!E:E,'2.2.clean'!D:D=C740)),filter('2.4.clean'!C:C,'2.4.clean'!A:A=C740))"),43770.0)</f>
        <v>43770</v>
      </c>
      <c r="F740" s="60">
        <f>IFERROR(__xludf.DUMMYFUNCTION("iferror(ifna(IFNA(filter('2.1.clean'!E:E,'2.1.clean'!A:A=C740),filter('2.2.clean'!G:G,'2.2.clean'!D:D=C740)),filter('2.4.clean'!E:E,'2.4.clean'!A:A=C740)),)"),2.4)</f>
        <v>2.4</v>
      </c>
      <c r="G740" s="59">
        <f>IFERROR(__xludf.DUMMYFUNCTION("iferror(filter('3.1.clean'!C:C,'3.1.clean'!A:A=C740),"""")"),43770.0)</f>
        <v>43770</v>
      </c>
      <c r="H740" s="58" t="b">
        <f t="shared" si="555"/>
        <v>1</v>
      </c>
      <c r="I740" s="58">
        <f>IFERROR(__xludf.DUMMYFUNCTION("iferror(filter('3.1.clean'!G:G,'3.1.clean'!A:A=C740),"""")"),0.0)</f>
        <v>0</v>
      </c>
      <c r="J740" s="60">
        <f>IFERROR(__xludf.DUMMYFUNCTION("iferror(filter('3.1.clean'!I:I,'3.1.clean'!A:A=C740),"""")"),0.0)</f>
        <v>0</v>
      </c>
      <c r="K740" s="58"/>
      <c r="L740" s="60"/>
      <c r="M740" s="59">
        <f>IFERROR(__xludf.DUMMYFUNCTION("iferror(filter('3.3.clean'!C:C,'3.3.clean'!A:A=C740),"""")"),43773.0)</f>
        <v>43773</v>
      </c>
      <c r="N740" s="60" t="b">
        <f t="shared" si="556"/>
        <v>1</v>
      </c>
      <c r="O740" s="59" t="str">
        <f>IFERROR(__xludf.DUMMYFUNCTION("iferror(filter('3.4.clean'!C:C,'3.4.clean'!A:A=C740),"""")"),"")</f>
        <v/>
      </c>
      <c r="P740" s="60" t="b">
        <f t="shared" si="557"/>
        <v>0</v>
      </c>
      <c r="Q740" s="59" t="str">
        <f>IFERROR(__xludf.DUMMYFUNCTION("iferror(filter('3.5.clean'!C:C,'3.5.clean'!A:A=C740),"""")"),"")</f>
        <v/>
      </c>
      <c r="R740" s="58"/>
      <c r="S740" s="4" t="str">
        <f>IFERROR(__xludf.DUMMYFUNCTION("iferror(filter('3.5.clean'!H:H,'3.5.clean'!A:A=C740),"""")"),"")</f>
        <v/>
      </c>
      <c r="W740" s="23" t="b">
        <f>if(AND(H740=TRUE,N740=TRUE,P740=TRUE),TRUE,FALSE)</f>
        <v>0</v>
      </c>
      <c r="X740" s="23" t="str">
        <f>IFERROR(__xludf.DUMMYFUNCTION("if(COUNTA(FILTER(C:C, C:C = C740))=1,""no"",""yes"")"),"no")</f>
        <v>no</v>
      </c>
    </row>
    <row r="741">
      <c r="A741" s="1" t="s">
        <v>832</v>
      </c>
      <c r="B741" s="19">
        <v>3.0</v>
      </c>
      <c r="C741" s="19" t="s">
        <v>1527</v>
      </c>
      <c r="D741" s="58" t="str">
        <f t="shared" si="558"/>
        <v/>
      </c>
      <c r="E741" s="59">
        <f>Q741</f>
        <v>43770</v>
      </c>
      <c r="F741" s="60" t="str">
        <f>IFERROR(__xludf.DUMMYFUNCTION("iferror(ifna(IFNA(filter('2.1.clean'!E:E,'2.1.clean'!A:A=C741),filter('2.2.clean'!G:G,'2.2.clean'!D:D=C741)),filter('2.4.clean'!E:E,'2.4.clean'!A:A=C741)),)"),"")</f>
        <v/>
      </c>
      <c r="G741" s="59" t="str">
        <f>IFERROR(__xludf.DUMMYFUNCTION("iferror(filter('3.1.clean'!C:C,'3.1.clean'!A:A=C741),"""")"),"")</f>
        <v/>
      </c>
      <c r="H741" s="58"/>
      <c r="I741" s="58" t="str">
        <f>IFERROR(__xludf.DUMMYFUNCTION("iferror(filter('3.1.clean'!G:G,'3.1.clean'!A:A=C741),"""")"),"")</f>
        <v/>
      </c>
      <c r="J741" s="60" t="str">
        <f>IFERROR(__xludf.DUMMYFUNCTION("iferror(filter('3.1.clean'!I:I,'3.1.clean'!A:A=C741),"""")"),"")</f>
        <v/>
      </c>
      <c r="K741" s="59"/>
      <c r="L741" s="60"/>
      <c r="M741" s="59">
        <f>IFERROR(__xludf.DUMMYFUNCTION("iferror(filter('3.3.clean'!C:C,'3.3.clean'!A:A=C741),"""")"),43773.0)</f>
        <v>43773</v>
      </c>
      <c r="N741" s="60" t="b">
        <f t="shared" si="556"/>
        <v>1</v>
      </c>
      <c r="O741" s="59">
        <f>IFERROR(__xludf.DUMMYFUNCTION("iferror(filter('3.4.clean'!C:C,'3.4.clean'!A:A=C741),"""")"),43777.0)</f>
        <v>43777</v>
      </c>
      <c r="P741" s="60" t="b">
        <f t="shared" si="557"/>
        <v>1</v>
      </c>
      <c r="Q741" s="59">
        <f>IFERROR(__xludf.DUMMYFUNCTION("iferror(filter('3.5.clean'!C:C,'3.5.clean'!A:A=C741),"""")"),43770.0)</f>
        <v>43770</v>
      </c>
      <c r="R741" s="58" t="b">
        <f t="shared" ref="R741:R742" si="559">if(Q741="",FALSE,TRUE)</f>
        <v>1</v>
      </c>
      <c r="S741" s="4">
        <f>IFERROR(__xludf.DUMMYFUNCTION("iferror(filter('3.5.clean'!H:H,'3.5.clean'!A:A=C741),"""")"),0.0)</f>
        <v>0</v>
      </c>
      <c r="V741" s="52" t="s">
        <v>64</v>
      </c>
      <c r="W741" s="23" t="b">
        <f>if(AND(R741=TRUE,N741=TRUE,P741=TRUE),TRUE,FALSE)</f>
        <v>1</v>
      </c>
      <c r="X741" s="23" t="str">
        <f>IFERROR(__xludf.DUMMYFUNCTION("if(COUNTA(FILTER(C:C, C:C = C741))=1,""no"",""yes"")"),"no")</f>
        <v>no</v>
      </c>
    </row>
    <row r="742">
      <c r="A742" s="1" t="s">
        <v>832</v>
      </c>
      <c r="B742" s="2">
        <v>4.0</v>
      </c>
      <c r="C742" s="19" t="s">
        <v>1528</v>
      </c>
      <c r="E742" s="24">
        <f>IFERROR(__xludf.DUMMYFUNCTION("ifna(IFNA(filter('2.1.clean'!C:C,'2.1.clean'!A:A=C742),filter('2.2.clean'!E:E,'2.2.clean'!D:D=C742)),filter('2.4.clean'!C:C,'2.4.clean'!A:A=C742))"),43770.0)</f>
        <v>43770</v>
      </c>
      <c r="F742" s="25">
        <f>IFERROR(__xludf.DUMMYFUNCTION("iferror(ifna(IFNA(filter('2.1.clean'!E:E,'2.1.clean'!A:A=C742),filter('2.2.clean'!G:G,'2.2.clean'!D:D=C742)),filter('2.4.clean'!E:E,'2.4.clean'!A:A=C742)),)"),2.4)</f>
        <v>2.4</v>
      </c>
      <c r="G742" s="24">
        <f>IFERROR(__xludf.DUMMYFUNCTION("iferror(filter('3.1.clean'!C:C,'3.1.clean'!A:A=C742),"""")"),43770.0)</f>
        <v>43770</v>
      </c>
      <c r="H742" s="23" t="b">
        <f t="shared" ref="H742:H743" si="560">if(G742="",FALSE,TRUE)</f>
        <v>1</v>
      </c>
      <c r="J742" s="25"/>
      <c r="K742" s="24">
        <f>IFERROR(__xludf.DUMMYFUNCTION("iferror(filter('3.2.clean'!C:C,'3.2.clean'!A:A=C742),"""")"),43770.0)</f>
        <v>43770</v>
      </c>
      <c r="L742" s="25" t="b">
        <f>if(K742="",FALSE,TRUE)</f>
        <v>1</v>
      </c>
      <c r="M742" s="24">
        <f>IFERROR(__xludf.DUMMYFUNCTION("iferror(filter('3.3.clean'!C:C,'3.3.clean'!A:A=C742),"""")"),43773.0)</f>
        <v>43773</v>
      </c>
      <c r="N742" s="25" t="b">
        <f t="shared" si="556"/>
        <v>1</v>
      </c>
      <c r="O742" s="24">
        <f>IFERROR(__xludf.DUMMYFUNCTION("iferror(filter('3.4.clean'!C:C,'3.4.clean'!A:A=C742),"""")"),43777.0)</f>
        <v>43777</v>
      </c>
      <c r="P742" s="25" t="b">
        <f t="shared" si="557"/>
        <v>1</v>
      </c>
      <c r="Q742" s="24">
        <f>IFERROR(__xludf.DUMMYFUNCTION("iferror(filter('3.5.clean'!C:C,'3.5.clean'!A:A=C742),"""")"),43770.0)</f>
        <v>43770</v>
      </c>
      <c r="R742" s="23" t="b">
        <f t="shared" si="559"/>
        <v>1</v>
      </c>
      <c r="S742" s="25"/>
      <c r="V742" s="1" t="s">
        <v>64</v>
      </c>
      <c r="X742" s="23" t="str">
        <f>IFERROR(__xludf.DUMMYFUNCTION("if(COUNTA(FILTER(C:C, C:C = C742))=1,""no"",""yes"")"),"no")</f>
        <v>no</v>
      </c>
    </row>
    <row r="743">
      <c r="A743" s="1" t="s">
        <v>832</v>
      </c>
      <c r="B743" s="19">
        <v>5.0</v>
      </c>
      <c r="C743" s="19" t="s">
        <v>1529</v>
      </c>
      <c r="D743" s="58" t="str">
        <f t="shared" ref="D743:D744" si="561">if(or(I743=1,J743=1,S743=1),"pos","")</f>
        <v/>
      </c>
      <c r="E743" s="59">
        <f>IFERROR(__xludf.DUMMYFUNCTION("ifna(IFNA(filter('2.1.clean'!C:C,'2.1.clean'!A:A=C743),filter('2.2.clean'!E:E,'2.2.clean'!D:D=C743)),filter('2.4.clean'!C:C,'2.4.clean'!A:A=C743))"),43770.0)</f>
        <v>43770</v>
      </c>
      <c r="F743" s="60">
        <f>IFERROR(__xludf.DUMMYFUNCTION("iferror(ifna(IFNA(filter('2.1.clean'!E:E,'2.1.clean'!A:A=C743),filter('2.2.clean'!G:G,'2.2.clean'!D:D=C743)),filter('2.4.clean'!E:E,'2.4.clean'!A:A=C743)),)"),2.4)</f>
        <v>2.4</v>
      </c>
      <c r="G743" s="59">
        <f>IFERROR(__xludf.DUMMYFUNCTION("iferror(filter('3.1.clean'!C:C,'3.1.clean'!A:A=C743),"""")"),43770.0)</f>
        <v>43770</v>
      </c>
      <c r="H743" s="58" t="b">
        <f t="shared" si="560"/>
        <v>1</v>
      </c>
      <c r="I743" s="58">
        <f>IFERROR(__xludf.DUMMYFUNCTION("iferror(filter('3.1.clean'!G:G,'3.1.clean'!A:A=C743),"""")"),0.0)</f>
        <v>0</v>
      </c>
      <c r="J743" s="60">
        <f>IFERROR(__xludf.DUMMYFUNCTION("iferror(filter('3.1.clean'!I:I,'3.1.clean'!A:A=C743),"""")"),0.0)</f>
        <v>0</v>
      </c>
      <c r="K743" s="58"/>
      <c r="L743" s="60"/>
      <c r="M743" s="59">
        <f>IFERROR(__xludf.DUMMYFUNCTION("iferror(filter('3.3.clean'!C:C,'3.3.clean'!A:A=C743),"""")"),43773.0)</f>
        <v>43773</v>
      </c>
      <c r="N743" s="60" t="b">
        <f t="shared" si="556"/>
        <v>1</v>
      </c>
      <c r="O743" s="59" t="str">
        <f>IFERROR(__xludf.DUMMYFUNCTION("iferror(filter('3.4.clean'!C:C,'3.4.clean'!A:A=C743),"""")"),"")</f>
        <v/>
      </c>
      <c r="P743" s="60" t="b">
        <f t="shared" si="557"/>
        <v>0</v>
      </c>
      <c r="Q743" s="59" t="str">
        <f>IFERROR(__xludf.DUMMYFUNCTION("iferror(filter('3.5.clean'!C:C,'3.5.clean'!A:A=C743),"""")"),"")</f>
        <v/>
      </c>
      <c r="R743" s="58"/>
      <c r="S743" s="4" t="str">
        <f>IFERROR(__xludf.DUMMYFUNCTION("iferror(filter('3.5.clean'!H:H,'3.5.clean'!A:A=C743),"""")"),"")</f>
        <v/>
      </c>
      <c r="W743" s="23" t="b">
        <f>if(AND(H743=TRUE,N743=TRUE,P743=TRUE),TRUE,FALSE)</f>
        <v>0</v>
      </c>
      <c r="X743" s="23" t="str">
        <f>IFERROR(__xludf.DUMMYFUNCTION("if(COUNTA(FILTER(C:C, C:C = C743))=1,""no"",""yes"")"),"no")</f>
        <v>no</v>
      </c>
    </row>
    <row r="744">
      <c r="A744" s="1" t="s">
        <v>832</v>
      </c>
      <c r="B744" s="19">
        <v>6.0</v>
      </c>
      <c r="C744" s="19" t="s">
        <v>1530</v>
      </c>
      <c r="D744" s="58" t="str">
        <f t="shared" si="561"/>
        <v/>
      </c>
      <c r="E744" s="59">
        <f>Q744</f>
        <v>43770</v>
      </c>
      <c r="F744" s="60" t="str">
        <f>IFERROR(__xludf.DUMMYFUNCTION("iferror(ifna(IFNA(filter('2.1.clean'!E:E,'2.1.clean'!A:A=C744),filter('2.2.clean'!G:G,'2.2.clean'!D:D=C744)),filter('2.4.clean'!E:E,'2.4.clean'!A:A=C744)),)"),"")</f>
        <v/>
      </c>
      <c r="G744" s="59" t="str">
        <f>IFERROR(__xludf.DUMMYFUNCTION("iferror(filter('3.1.clean'!C:C,'3.1.clean'!A:A=C744),"""")"),"")</f>
        <v/>
      </c>
      <c r="H744" s="58"/>
      <c r="I744" s="58" t="str">
        <f>IFERROR(__xludf.DUMMYFUNCTION("iferror(filter('3.1.clean'!G:G,'3.1.clean'!A:A=C744),"""")"),"")</f>
        <v/>
      </c>
      <c r="J744" s="60" t="str">
        <f>IFERROR(__xludf.DUMMYFUNCTION("iferror(filter('3.1.clean'!I:I,'3.1.clean'!A:A=C744),"""")"),"")</f>
        <v/>
      </c>
      <c r="K744" s="59"/>
      <c r="L744" s="60"/>
      <c r="M744" s="59">
        <f>IFERROR(__xludf.DUMMYFUNCTION("iferror(filter('3.3.clean'!C:C,'3.3.clean'!A:A=C744),"""")"),43773.0)</f>
        <v>43773</v>
      </c>
      <c r="N744" s="60" t="b">
        <f t="shared" si="556"/>
        <v>1</v>
      </c>
      <c r="O744" s="59">
        <f>IFERROR(__xludf.DUMMYFUNCTION("iferror(filter('3.4.clean'!C:C,'3.4.clean'!A:A=C744),"""")"),43777.0)</f>
        <v>43777</v>
      </c>
      <c r="P744" s="60" t="b">
        <f t="shared" si="557"/>
        <v>1</v>
      </c>
      <c r="Q744" s="59">
        <f>IFERROR(__xludf.DUMMYFUNCTION("iferror(filter('3.5.clean'!C:C,'3.5.clean'!A:A=C744),"""")"),43770.0)</f>
        <v>43770</v>
      </c>
      <c r="R744" s="58" t="b">
        <f>if(Q744="",FALSE,TRUE)</f>
        <v>1</v>
      </c>
      <c r="S744" s="4">
        <f>IFERROR(__xludf.DUMMYFUNCTION("iferror(filter('3.5.clean'!H:H,'3.5.clean'!A:A=C744),"""")"),0.0)</f>
        <v>0</v>
      </c>
      <c r="V744" s="52" t="s">
        <v>64</v>
      </c>
      <c r="W744" s="23" t="b">
        <f>if(AND(R744=TRUE,N744=TRUE,P744=TRUE),TRUE,FALSE)</f>
        <v>1</v>
      </c>
      <c r="X744" s="23" t="str">
        <f>IFERROR(__xludf.DUMMYFUNCTION("if(COUNTA(FILTER(C:C, C:C = C744))=1,""no"",""yes"")"),"no")</f>
        <v>no</v>
      </c>
    </row>
    <row r="745">
      <c r="A745" s="1" t="s">
        <v>832</v>
      </c>
      <c r="B745" s="2">
        <v>7.0</v>
      </c>
      <c r="C745" s="69" t="s">
        <v>609</v>
      </c>
      <c r="E745" s="24">
        <f>IFERROR(__xludf.DUMMYFUNCTION("ifna(IFNA(filter('2.1.clean'!C:C,'2.1.clean'!A:A=C745),filter('2.2.clean'!E:E,'2.2.clean'!D:D=C745)),filter('2.4.clean'!C:C,'2.4.clean'!A:A=C745))"),43770.0)</f>
        <v>43770</v>
      </c>
      <c r="F745" s="25">
        <f>IFERROR(__xludf.DUMMYFUNCTION("iferror(ifna(IFNA(filter('2.1.clean'!E:E,'2.1.clean'!A:A=C745),filter('2.2.clean'!G:G,'2.2.clean'!D:D=C745)),filter('2.4.clean'!E:E,'2.4.clean'!A:A=C745)),)"),2.2)</f>
        <v>2.2</v>
      </c>
      <c r="G745" s="24">
        <f>IFERROR(__xludf.DUMMYFUNCTION("iferror(filter('3.1.clean'!C:C,'3.1.clean'!A:A=C745),"""")"),43770.0)</f>
        <v>43770</v>
      </c>
      <c r="H745" s="23" t="b">
        <f t="shared" ref="H745:H749" si="562">if(G745="",FALSE,TRUE)</f>
        <v>1</v>
      </c>
      <c r="J745" s="25"/>
      <c r="K745" s="24">
        <f>IFERROR(__xludf.DUMMYFUNCTION("iferror(filter('3.2.clean'!C:C,'3.2.clean'!A:A=C745),"""")"),43770.0)</f>
        <v>43770</v>
      </c>
      <c r="L745" s="25" t="b">
        <f t="shared" ref="L745:L748" si="563">if(K745="",FALSE,TRUE)</f>
        <v>1</v>
      </c>
      <c r="M745" s="24">
        <f>IFERROR(__xludf.DUMMYFUNCTION("iferror(filter('3.3.clean'!C:C,'3.3.clean'!A:A=C745),"""")"),43773.0)</f>
        <v>43773</v>
      </c>
      <c r="N745" s="25" t="b">
        <f t="shared" si="556"/>
        <v>1</v>
      </c>
      <c r="O745" s="24">
        <f>IFERROR(__xludf.DUMMYFUNCTION("iferror(filter('3.4.clean'!C:C,'3.4.clean'!A:A=C745),"""")"),43777.0)</f>
        <v>43777</v>
      </c>
      <c r="P745" s="25" t="b">
        <f t="shared" si="557"/>
        <v>1</v>
      </c>
      <c r="Q745" s="24" t="str">
        <f>IFERROR(__xludf.DUMMYFUNCTION("iferror(filter('3.5.clean'!C:C,'3.5.clean'!A:A=C745),"""")"),"")</f>
        <v/>
      </c>
      <c r="S745" s="25"/>
      <c r="W745" s="23" t="b">
        <f t="shared" ref="W745:W748" si="564">IF(and(H745=TRUE,L745=TRUE,N745=TRUE,P745=TRUE),TRUE,FALSE)</f>
        <v>1</v>
      </c>
      <c r="X745" s="23" t="str">
        <f>IFERROR(__xludf.DUMMYFUNCTION("if(COUNTA(FILTER(C:C, C:C = C745))=1,""no"",""yes"")"),"no")</f>
        <v>no</v>
      </c>
    </row>
    <row r="746">
      <c r="A746" s="1" t="s">
        <v>832</v>
      </c>
      <c r="B746" s="2">
        <v>8.0</v>
      </c>
      <c r="C746" s="19" t="s">
        <v>606</v>
      </c>
      <c r="E746" s="24">
        <f>IFERROR(__xludf.DUMMYFUNCTION("ifna(IFNA(filter('2.1.clean'!C:C,'2.1.clean'!A:A=C746),filter('2.2.clean'!E:E,'2.2.clean'!D:D=C746)),filter('2.4.clean'!C:C,'2.4.clean'!A:A=C746))"),43770.0)</f>
        <v>43770</v>
      </c>
      <c r="F746" s="25">
        <f>IFERROR(__xludf.DUMMYFUNCTION("iferror(ifna(IFNA(filter('2.1.clean'!E:E,'2.1.clean'!A:A=C746),filter('2.2.clean'!G:G,'2.2.clean'!D:D=C746)),filter('2.4.clean'!E:E,'2.4.clean'!A:A=C746)),)"),2.2)</f>
        <v>2.2</v>
      </c>
      <c r="G746" s="24">
        <f>IFERROR(__xludf.DUMMYFUNCTION("iferror(filter('3.1.clean'!C:C,'3.1.clean'!A:A=C746),"""")"),43770.0)</f>
        <v>43770</v>
      </c>
      <c r="H746" s="23" t="b">
        <f t="shared" si="562"/>
        <v>1</v>
      </c>
      <c r="J746" s="25"/>
      <c r="K746" s="24">
        <f>IFERROR(__xludf.DUMMYFUNCTION("iferror(filter('3.2.clean'!C:C,'3.2.clean'!A:A=C746),"""")"),43770.0)</f>
        <v>43770</v>
      </c>
      <c r="L746" s="25" t="b">
        <f t="shared" si="563"/>
        <v>1</v>
      </c>
      <c r="M746" s="24">
        <f>IFERROR(__xludf.DUMMYFUNCTION("iferror(filter('3.3.clean'!C:C,'3.3.clean'!A:A=C746),"""")"),43773.0)</f>
        <v>43773</v>
      </c>
      <c r="N746" s="25" t="b">
        <f t="shared" si="556"/>
        <v>1</v>
      </c>
      <c r="O746" s="24">
        <f>IFERROR(__xludf.DUMMYFUNCTION("iferror(filter('3.4.clean'!C:C,'3.4.clean'!A:A=C746),"""")"),43777.0)</f>
        <v>43777</v>
      </c>
      <c r="P746" s="25" t="b">
        <f t="shared" si="557"/>
        <v>1</v>
      </c>
      <c r="Q746" s="24" t="str">
        <f>IFERROR(__xludf.DUMMYFUNCTION("iferror(filter('3.5.clean'!C:C,'3.5.clean'!A:A=C746),"""")"),"")</f>
        <v/>
      </c>
      <c r="S746" s="25"/>
      <c r="W746" s="23" t="b">
        <f t="shared" si="564"/>
        <v>1</v>
      </c>
      <c r="X746" s="23" t="str">
        <f>IFERROR(__xludf.DUMMYFUNCTION("if(COUNTA(FILTER(C:C, C:C = C746))=1,""no"",""yes"")"),"no")</f>
        <v>no</v>
      </c>
    </row>
    <row r="747">
      <c r="A747" s="1" t="s">
        <v>832</v>
      </c>
      <c r="B747" s="2">
        <v>9.0</v>
      </c>
      <c r="C747" s="19" t="s">
        <v>610</v>
      </c>
      <c r="E747" s="24">
        <f>IFERROR(__xludf.DUMMYFUNCTION("ifna(IFNA(filter('2.1.clean'!C:C,'2.1.clean'!A:A=C747),filter('2.2.clean'!E:E,'2.2.clean'!D:D=C747)),filter('2.4.clean'!C:C,'2.4.clean'!A:A=C747))"),43770.0)</f>
        <v>43770</v>
      </c>
      <c r="F747" s="25">
        <f>IFERROR(__xludf.DUMMYFUNCTION("iferror(ifna(IFNA(filter('2.1.clean'!E:E,'2.1.clean'!A:A=C747),filter('2.2.clean'!G:G,'2.2.clean'!D:D=C747)),filter('2.4.clean'!E:E,'2.4.clean'!A:A=C747)),)"),2.2)</f>
        <v>2.2</v>
      </c>
      <c r="G747" s="24">
        <f>IFERROR(__xludf.DUMMYFUNCTION("iferror(filter('3.1.clean'!C:C,'3.1.clean'!A:A=C747),"""")"),43770.0)</f>
        <v>43770</v>
      </c>
      <c r="H747" s="23" t="b">
        <f t="shared" si="562"/>
        <v>1</v>
      </c>
      <c r="J747" s="25"/>
      <c r="K747" s="24">
        <f>IFERROR(__xludf.DUMMYFUNCTION("iferror(filter('3.2.clean'!C:C,'3.2.clean'!A:A=C747),"""")"),43770.0)</f>
        <v>43770</v>
      </c>
      <c r="L747" s="25" t="b">
        <f t="shared" si="563"/>
        <v>1</v>
      </c>
      <c r="M747" s="24">
        <f>IFERROR(__xludf.DUMMYFUNCTION("iferror(filter('3.3.clean'!C:C,'3.3.clean'!A:A=C747),"""")"),43773.0)</f>
        <v>43773</v>
      </c>
      <c r="N747" s="25" t="b">
        <f t="shared" si="556"/>
        <v>1</v>
      </c>
      <c r="O747" s="24">
        <f>IFERROR(__xludf.DUMMYFUNCTION("iferror(filter('3.4.clean'!C:C,'3.4.clean'!A:A=C747),"""")"),43777.0)</f>
        <v>43777</v>
      </c>
      <c r="P747" s="25" t="b">
        <f t="shared" si="557"/>
        <v>1</v>
      </c>
      <c r="Q747" s="24" t="str">
        <f>IFERROR(__xludf.DUMMYFUNCTION("iferror(filter('3.5.clean'!C:C,'3.5.clean'!A:A=C747),"""")"),"")</f>
        <v/>
      </c>
      <c r="S747" s="25"/>
      <c r="W747" s="23" t="b">
        <f t="shared" si="564"/>
        <v>1</v>
      </c>
      <c r="X747" s="23" t="str">
        <f>IFERROR(__xludf.DUMMYFUNCTION("if(COUNTA(FILTER(C:C, C:C = C747))=1,""no"",""yes"")"),"no")</f>
        <v>no</v>
      </c>
    </row>
    <row r="748">
      <c r="A748" s="1" t="s">
        <v>832</v>
      </c>
      <c r="B748" s="2">
        <v>10.0</v>
      </c>
      <c r="C748" s="69" t="s">
        <v>612</v>
      </c>
      <c r="E748" s="24">
        <f>IFERROR(__xludf.DUMMYFUNCTION("ifna(IFNA(filter('2.1.clean'!C:C,'2.1.clean'!A:A=C748),filter('2.2.clean'!E:E,'2.2.clean'!D:D=C748)),filter('2.4.clean'!C:C,'2.4.clean'!A:A=C748))"),43770.0)</f>
        <v>43770</v>
      </c>
      <c r="F748" s="25">
        <f>IFERROR(__xludf.DUMMYFUNCTION("iferror(ifna(IFNA(filter('2.1.clean'!E:E,'2.1.clean'!A:A=C748),filter('2.2.clean'!G:G,'2.2.clean'!D:D=C748)),filter('2.4.clean'!E:E,'2.4.clean'!A:A=C748)),)"),2.2)</f>
        <v>2.2</v>
      </c>
      <c r="G748" s="24">
        <f>IFERROR(__xludf.DUMMYFUNCTION("iferror(filter('3.1.clean'!C:C,'3.1.clean'!A:A=C748),"""")"),43770.0)</f>
        <v>43770</v>
      </c>
      <c r="H748" s="23" t="b">
        <f t="shared" si="562"/>
        <v>1</v>
      </c>
      <c r="J748" s="25"/>
      <c r="K748" s="24">
        <f>IFERROR(__xludf.DUMMYFUNCTION("iferror(filter('3.2.clean'!C:C,'3.2.clean'!A:A=C748),"""")"),43770.0)</f>
        <v>43770</v>
      </c>
      <c r="L748" s="25" t="b">
        <f t="shared" si="563"/>
        <v>1</v>
      </c>
      <c r="M748" s="24">
        <f>IFERROR(__xludf.DUMMYFUNCTION("iferror(filter('3.3.clean'!C:C,'3.3.clean'!A:A=C748),"""")"),43773.0)</f>
        <v>43773</v>
      </c>
      <c r="N748" s="25" t="b">
        <f t="shared" si="556"/>
        <v>1</v>
      </c>
      <c r="O748" s="24">
        <f>IFERROR(__xludf.DUMMYFUNCTION("iferror(filter('3.4.clean'!C:C,'3.4.clean'!A:A=C748),"""")"),43777.0)</f>
        <v>43777</v>
      </c>
      <c r="P748" s="25" t="b">
        <f t="shared" si="557"/>
        <v>1</v>
      </c>
      <c r="Q748" s="24" t="str">
        <f>IFERROR(__xludf.DUMMYFUNCTION("iferror(filter('3.5.clean'!C:C,'3.5.clean'!A:A=C748),"""")"),"")</f>
        <v/>
      </c>
      <c r="S748" s="25"/>
      <c r="W748" s="23" t="b">
        <f t="shared" si="564"/>
        <v>1</v>
      </c>
      <c r="X748" s="23" t="str">
        <f>IFERROR(__xludf.DUMMYFUNCTION("if(COUNTA(FILTER(C:C, C:C = C748))=1,""no"",""yes"")"),"no")</f>
        <v>no</v>
      </c>
    </row>
    <row r="749">
      <c r="A749" s="1" t="s">
        <v>832</v>
      </c>
      <c r="B749" s="19">
        <v>11.0</v>
      </c>
      <c r="C749" s="19" t="s">
        <v>614</v>
      </c>
      <c r="D749" s="58" t="str">
        <f t="shared" ref="D749:D752" si="565">if(or(I749=1,J749=1,S749=1),"pos","")</f>
        <v/>
      </c>
      <c r="E749" s="59">
        <f>IFERROR(__xludf.DUMMYFUNCTION("ifna(IFNA(filter('2.1.clean'!C:C,'2.1.clean'!A:A=C749),filter('2.2.clean'!E:E,'2.2.clean'!D:D=C749)),filter('2.4.clean'!C:C,'2.4.clean'!A:A=C749))"),43770.0)</f>
        <v>43770</v>
      </c>
      <c r="F749" s="60">
        <f>IFERROR(__xludf.DUMMYFUNCTION("iferror(ifna(IFNA(filter('2.1.clean'!E:E,'2.1.clean'!A:A=C749),filter('2.2.clean'!G:G,'2.2.clean'!D:D=C749)),filter('2.4.clean'!E:E,'2.4.clean'!A:A=C749)),)"),2.2)</f>
        <v>2.2</v>
      </c>
      <c r="G749" s="59">
        <f>IFERROR(__xludf.DUMMYFUNCTION("iferror(filter('3.1.clean'!C:C,'3.1.clean'!A:A=C749),"""")"),43770.0)</f>
        <v>43770</v>
      </c>
      <c r="H749" s="58" t="b">
        <f t="shared" si="562"/>
        <v>1</v>
      </c>
      <c r="I749" s="58">
        <f>IFERROR(__xludf.DUMMYFUNCTION("iferror(filter('3.1.clean'!G:G,'3.1.clean'!A:A=C749),"""")"),0.0)</f>
        <v>0</v>
      </c>
      <c r="J749" s="60">
        <f>IFERROR(__xludf.DUMMYFUNCTION("iferror(filter('3.1.clean'!I:I,'3.1.clean'!A:A=C749),"""")"),0.0)</f>
        <v>0</v>
      </c>
      <c r="K749" s="58"/>
      <c r="L749" s="60"/>
      <c r="M749" s="59">
        <f>IFERROR(__xludf.DUMMYFUNCTION("iferror(filter('3.3.clean'!C:C,'3.3.clean'!A:A=C749),"""")"),43773.0)</f>
        <v>43773</v>
      </c>
      <c r="N749" s="60" t="b">
        <f t="shared" si="556"/>
        <v>1</v>
      </c>
      <c r="O749" s="59">
        <f>IFERROR(__xludf.DUMMYFUNCTION("iferror(filter('3.4.clean'!C:C,'3.4.clean'!A:A=C749),"""")"),43777.0)</f>
        <v>43777</v>
      </c>
      <c r="P749" s="60" t="b">
        <f t="shared" si="557"/>
        <v>1</v>
      </c>
      <c r="Q749" s="59" t="str">
        <f>IFERROR(__xludf.DUMMYFUNCTION("iferror(filter('3.5.clean'!C:C,'3.5.clean'!A:A=C749),"""")"),"")</f>
        <v/>
      </c>
      <c r="R749" s="58"/>
      <c r="S749" s="4" t="str">
        <f>IFERROR(__xludf.DUMMYFUNCTION("iferror(filter('3.5.clean'!H:H,'3.5.clean'!A:A=C749),"""")"),"")</f>
        <v/>
      </c>
      <c r="W749" s="23" t="b">
        <f>if(AND(H749=TRUE,N749=TRUE,P749=TRUE),TRUE,FALSE)</f>
        <v>1</v>
      </c>
      <c r="X749" s="23" t="str">
        <f>IFERROR(__xludf.DUMMYFUNCTION("if(COUNTA(FILTER(C:C, C:C = C749))=1,""no"",""yes"")"),"no")</f>
        <v>no</v>
      </c>
    </row>
    <row r="750">
      <c r="A750" s="1" t="s">
        <v>832</v>
      </c>
      <c r="B750" s="19">
        <v>12.0</v>
      </c>
      <c r="C750" s="19" t="s">
        <v>1531</v>
      </c>
      <c r="D750" s="58" t="str">
        <f t="shared" si="565"/>
        <v/>
      </c>
      <c r="E750" s="59">
        <f t="shared" ref="E750:E751" si="566">Q750</f>
        <v>43770</v>
      </c>
      <c r="F750" s="60" t="str">
        <f>IFERROR(__xludf.DUMMYFUNCTION("iferror(ifna(IFNA(filter('2.1.clean'!E:E,'2.1.clean'!A:A=C750),filter('2.2.clean'!G:G,'2.2.clean'!D:D=C750)),filter('2.4.clean'!E:E,'2.4.clean'!A:A=C750)),)"),"")</f>
        <v/>
      </c>
      <c r="G750" s="59" t="str">
        <f>IFERROR(__xludf.DUMMYFUNCTION("iferror(filter('3.1.clean'!C:C,'3.1.clean'!A:A=C750),"""")"),"")</f>
        <v/>
      </c>
      <c r="H750" s="58"/>
      <c r="I750" s="58" t="str">
        <f>IFERROR(__xludf.DUMMYFUNCTION("iferror(filter('3.1.clean'!G:G,'3.1.clean'!A:A=C750),"""")"),"")</f>
        <v/>
      </c>
      <c r="J750" s="60" t="str">
        <f>IFERROR(__xludf.DUMMYFUNCTION("iferror(filter('3.1.clean'!I:I,'3.1.clean'!A:A=C750),"""")"),"")</f>
        <v/>
      </c>
      <c r="K750" s="59"/>
      <c r="L750" s="60"/>
      <c r="M750" s="59">
        <f>IFERROR(__xludf.DUMMYFUNCTION("iferror(filter('3.3.clean'!C:C,'3.3.clean'!A:A=C750),"""")"),43773.0)</f>
        <v>43773</v>
      </c>
      <c r="N750" s="60" t="b">
        <f t="shared" si="556"/>
        <v>1</v>
      </c>
      <c r="O750" s="59">
        <f>IFERROR(__xludf.DUMMYFUNCTION("iferror(filter('3.4.clean'!C:C,'3.4.clean'!A:A=C750),"""")"),43777.0)</f>
        <v>43777</v>
      </c>
      <c r="P750" s="60" t="b">
        <f t="shared" si="557"/>
        <v>1</v>
      </c>
      <c r="Q750" s="59">
        <f>IFERROR(__xludf.DUMMYFUNCTION("iferror(filter('3.5.clean'!C:C,'3.5.clean'!A:A=C750),"""")"),43770.0)</f>
        <v>43770</v>
      </c>
      <c r="R750" s="58" t="b">
        <f t="shared" ref="R750:R751" si="567">if(Q750="",FALSE,TRUE)</f>
        <v>1</v>
      </c>
      <c r="S750" s="4">
        <f>IFERROR(__xludf.DUMMYFUNCTION("iferror(filter('3.5.clean'!H:H,'3.5.clean'!A:A=C750),"""")"),0.0)</f>
        <v>0</v>
      </c>
      <c r="V750" s="52" t="s">
        <v>64</v>
      </c>
      <c r="W750" s="23" t="b">
        <f>if(AND(R750=TRUE,N750=TRUE,P750=TRUE),TRUE,FALSE)</f>
        <v>1</v>
      </c>
      <c r="X750" s="23" t="str">
        <f>IFERROR(__xludf.DUMMYFUNCTION("if(COUNTA(FILTER(C:C, C:C = C750))=1,""no"",""yes"")"),"no")</f>
        <v>no</v>
      </c>
    </row>
    <row r="751">
      <c r="A751" s="1" t="s">
        <v>832</v>
      </c>
      <c r="B751" s="19">
        <v>13.0</v>
      </c>
      <c r="C751" s="19" t="s">
        <v>1532</v>
      </c>
      <c r="D751" s="22" t="str">
        <f t="shared" si="565"/>
        <v/>
      </c>
      <c r="E751" s="20">
        <f t="shared" si="566"/>
        <v>43770</v>
      </c>
      <c r="F751" s="79" t="str">
        <f>IFERROR(__xludf.DUMMYFUNCTION("iferror(ifna(IFNA(filter('2.1.clean'!E:E,'2.1.clean'!A:A=C751),filter('2.2.clean'!G:G,'2.2.clean'!D:D=C751)),filter('2.4.clean'!E:E,'2.4.clean'!A:A=C751)),)"),"")</f>
        <v/>
      </c>
      <c r="G751" s="20" t="str">
        <f>IFERROR(__xludf.DUMMYFUNCTION("iferror(filter('3.1.clean'!C:C,'3.1.clean'!A:A=C751),"""")"),"")</f>
        <v/>
      </c>
      <c r="H751" s="22"/>
      <c r="I751" s="22"/>
      <c r="J751" s="79"/>
      <c r="K751" s="20" t="str">
        <f>IFERROR(__xludf.DUMMYFUNCTION("iferror(filter('3.2.clean'!C:C,'3.2.clean'!A:A=C751),"""")"),"")</f>
        <v/>
      </c>
      <c r="L751" s="79"/>
      <c r="M751" s="20">
        <f>IFERROR(__xludf.DUMMYFUNCTION("iferror(filter('3.3.clean'!C:C,'3.3.clean'!A:A=C751),"""")"),43773.0)</f>
        <v>43773</v>
      </c>
      <c r="N751" s="79" t="b">
        <f t="shared" si="556"/>
        <v>1</v>
      </c>
      <c r="O751" s="20" t="str">
        <f>IFERROR(__xludf.DUMMYFUNCTION("iferror(filter('3.4.clean'!C:C,'3.4.clean'!A:A=C751),"""")"),"")</f>
        <v/>
      </c>
      <c r="P751" s="79" t="b">
        <f t="shared" si="557"/>
        <v>0</v>
      </c>
      <c r="Q751" s="20">
        <f>IFERROR(__xludf.DUMMYFUNCTION("iferror(filter('3.5.clean'!C:C,'3.5.clean'!A:A=C751),"""")"),43770.0)</f>
        <v>43770</v>
      </c>
      <c r="R751" s="22" t="b">
        <f t="shared" si="567"/>
        <v>1</v>
      </c>
      <c r="S751" s="4">
        <f>IFERROR(__xludf.DUMMYFUNCTION("iferror(filter('3.5.clean'!H:H,'3.5.clean'!A:A=C751),"""")"),0.0)</f>
        <v>0</v>
      </c>
      <c r="V751" s="1" t="s">
        <v>64</v>
      </c>
      <c r="W751" s="23" t="b">
        <f>IF(and(R751=TRUE,N751=TRUE,P751=TRUE),TRUE,FALSE)</f>
        <v>0</v>
      </c>
      <c r="X751" s="23" t="str">
        <f>IFERROR(__xludf.DUMMYFUNCTION("if(COUNTA(FILTER(C:C, C:C = C751))=1,""no"",""yes"")"),"no")</f>
        <v>no</v>
      </c>
    </row>
    <row r="752">
      <c r="A752" s="1" t="s">
        <v>832</v>
      </c>
      <c r="B752" s="19">
        <v>14.0</v>
      </c>
      <c r="C752" s="19" t="s">
        <v>1533</v>
      </c>
      <c r="D752" s="76" t="str">
        <f t="shared" si="565"/>
        <v/>
      </c>
      <c r="E752" s="77">
        <f>G752</f>
        <v>43770</v>
      </c>
      <c r="F752" s="78" t="str">
        <f>IFERROR(__xludf.DUMMYFUNCTION("iferror(ifna(IFNA(filter('2.1.clean'!E:E,'2.1.clean'!A:A=C752),filter('2.2.clean'!G:G,'2.2.clean'!D:D=C752)),filter('2.4.clean'!E:E,'2.4.clean'!A:A=C752)),)"),"")</f>
        <v/>
      </c>
      <c r="G752" s="77">
        <f>IFERROR(__xludf.DUMMYFUNCTION("iferror(filter('3.1.clean'!C:C,'3.1.clean'!A:A=C752),"""")"),43770.0)</f>
        <v>43770</v>
      </c>
      <c r="H752" s="76" t="b">
        <f>if(G752="",FALSE,TRUE)</f>
        <v>1</v>
      </c>
      <c r="I752" s="76">
        <f>IFERROR(__xludf.DUMMYFUNCTION("iferror(filter('3.1.clean'!G:G,'3.1.clean'!A:A=C752),"""")"),0.0)</f>
        <v>0</v>
      </c>
      <c r="J752" s="78">
        <f>IFERROR(__xludf.DUMMYFUNCTION("iferror(filter('3.1.clean'!I:I,'3.1.clean'!A:A=C752),"""")"),0.0)</f>
        <v>0</v>
      </c>
      <c r="K752" s="77"/>
      <c r="L752" s="78"/>
      <c r="M752" s="77"/>
      <c r="N752" s="78"/>
      <c r="O752" s="77"/>
      <c r="P752" s="78"/>
      <c r="Q752" s="77"/>
      <c r="R752" s="76"/>
      <c r="S752" s="25"/>
      <c r="V752" s="1" t="s">
        <v>64</v>
      </c>
      <c r="W752" s="1" t="b">
        <v>1</v>
      </c>
      <c r="X752" s="23" t="str">
        <f>IFERROR(__xludf.DUMMYFUNCTION("if(COUNTA(FILTER(C:C, C:C = C752))=1,""no"",""yes"")"),"no")</f>
        <v>no</v>
      </c>
    </row>
    <row r="753">
      <c r="A753" s="1" t="s">
        <v>832</v>
      </c>
      <c r="B753" s="2">
        <v>15.0</v>
      </c>
      <c r="C753" s="19" t="s">
        <v>1534</v>
      </c>
      <c r="E753" s="24">
        <v>43770.0</v>
      </c>
      <c r="F753" s="25" t="str">
        <f>IFERROR(__xludf.DUMMYFUNCTION("iferror(ifna(IFNA(filter('2.1.clean'!E:E,'2.1.clean'!A:A=C753),filter('2.2.clean'!G:G,'2.2.clean'!D:D=C753)),filter('2.4.clean'!E:E,'2.4.clean'!A:A=C753)),)"),"")</f>
        <v/>
      </c>
      <c r="G753" s="24" t="str">
        <f>IFERROR(__xludf.DUMMYFUNCTION("iferror(filter('3.1.clean'!C:C,'3.1.clean'!A:A=C753),"""")"),"")</f>
        <v/>
      </c>
      <c r="J753" s="25"/>
      <c r="K753" s="24" t="str">
        <f>IFERROR(__xludf.DUMMYFUNCTION("iferror(filter('3.2.clean'!C:C,'3.2.clean'!A:A=C753),"""")"),"")</f>
        <v/>
      </c>
      <c r="L753" s="25"/>
      <c r="M753" s="24">
        <f>IFERROR(__xludf.DUMMYFUNCTION("iferror(filter('3.3.clean'!C:C,'3.3.clean'!A:A=C753),"""")"),43773.0)</f>
        <v>43773</v>
      </c>
      <c r="N753" s="25" t="b">
        <f t="shared" ref="N753:N769" si="568">if(M753="",FALSE,TRUE)</f>
        <v>1</v>
      </c>
      <c r="O753" s="24">
        <f>IFERROR(__xludf.DUMMYFUNCTION("iferror(filter('3.4.clean'!C:C,'3.4.clean'!A:A=C753),"""")"),43777.0)</f>
        <v>43777</v>
      </c>
      <c r="P753" s="25" t="b">
        <f t="shared" ref="P753:P769" si="569">if(O753="",FALSE,TRUE)</f>
        <v>1</v>
      </c>
      <c r="Q753" s="24" t="str">
        <f>IFERROR(__xludf.DUMMYFUNCTION("iferror(filter('3.5.clean'!C:C,'3.5.clean'!A:A=C753),"""")"),"")</f>
        <v/>
      </c>
      <c r="S753" s="25"/>
      <c r="V753" s="52" t="s">
        <v>64</v>
      </c>
      <c r="X753" s="23" t="str">
        <f>IFERROR(__xludf.DUMMYFUNCTION("if(COUNTA(FILTER(C:C, C:C = C753))=1,""no"",""yes"")"),"no")</f>
        <v>no</v>
      </c>
    </row>
    <row r="754">
      <c r="A754" s="75" t="s">
        <v>837</v>
      </c>
      <c r="B754" s="2">
        <v>1.0</v>
      </c>
      <c r="C754" s="19" t="s">
        <v>1535</v>
      </c>
      <c r="E754" s="24">
        <f>IFERROR(__xludf.DUMMYFUNCTION("ifna(IFNA(filter('2.1.clean'!C:C,'2.1.clean'!A:A=C754),filter('2.2.clean'!E:E,'2.2.clean'!D:D=C754)),filter('2.4.clean'!C:C,'2.4.clean'!A:A=C754))"),43773.0)</f>
        <v>43773</v>
      </c>
      <c r="F754" s="25">
        <f>IFERROR(__xludf.DUMMYFUNCTION("iferror(ifna(IFNA(filter('2.1.clean'!E:E,'2.1.clean'!A:A=C754),filter('2.2.clean'!G:G,'2.2.clean'!D:D=C754)),filter('2.4.clean'!E:E,'2.4.clean'!A:A=C754)),)"),2.4)</f>
        <v>2.4</v>
      </c>
      <c r="G754" s="24">
        <f>IFERROR(__xludf.DUMMYFUNCTION("iferror(filter('3.1.clean'!C:C,'3.1.clean'!A:A=C754),"""")"),43773.0)</f>
        <v>43773</v>
      </c>
      <c r="H754" s="23" t="b">
        <f t="shared" ref="H754:H755" si="570">if(G754="",FALSE,TRUE)</f>
        <v>1</v>
      </c>
      <c r="J754" s="25"/>
      <c r="K754" s="24">
        <f>IFERROR(__xludf.DUMMYFUNCTION("iferror(filter('3.2.clean'!C:C,'3.2.clean'!A:A=C754),"""")"),43774.0)</f>
        <v>43774</v>
      </c>
      <c r="L754" s="25" t="b">
        <f>if(K754="",FALSE,TRUE)</f>
        <v>1</v>
      </c>
      <c r="M754" s="24">
        <f>IFERROR(__xludf.DUMMYFUNCTION("iferror(filter('3.3.clean'!C:C,'3.3.clean'!A:A=C754),"""")"),43775.0)</f>
        <v>43775</v>
      </c>
      <c r="N754" s="25" t="b">
        <f t="shared" si="568"/>
        <v>1</v>
      </c>
      <c r="O754" s="24">
        <f>IFERROR(__xludf.DUMMYFUNCTION("iferror(filter('3.4.clean'!C:C,'3.4.clean'!A:A=C754),"""")"),43777.0)</f>
        <v>43777</v>
      </c>
      <c r="P754" s="25" t="b">
        <f t="shared" si="569"/>
        <v>1</v>
      </c>
      <c r="Q754" s="24">
        <f>IFERROR(__xludf.DUMMYFUNCTION("iferror(filter('3.5.clean'!C:C,'3.5.clean'!A:A=C754),"""")"),43773.0)</f>
        <v>43773</v>
      </c>
      <c r="R754" s="23" t="b">
        <f>if(Q754="",FALSE,TRUE)</f>
        <v>1</v>
      </c>
      <c r="S754" s="25"/>
      <c r="V754" s="1" t="s">
        <v>64</v>
      </c>
      <c r="X754" s="23" t="str">
        <f>IFERROR(__xludf.DUMMYFUNCTION("if(COUNTA(FILTER(C:C, C:C = C754))=1,""no"",""yes"")"),"no")</f>
        <v>no</v>
      </c>
    </row>
    <row r="755">
      <c r="A755" s="75" t="s">
        <v>837</v>
      </c>
      <c r="B755" s="19">
        <v>2.0</v>
      </c>
      <c r="C755" s="19" t="s">
        <v>1536</v>
      </c>
      <c r="D755" s="58" t="str">
        <f t="shared" ref="D755:D756" si="571">if(or(I755=1,J755=1,S755=1),"pos","")</f>
        <v/>
      </c>
      <c r="E755" s="59">
        <f>IFERROR(__xludf.DUMMYFUNCTION("ifna(IFNA(filter('2.1.clean'!C:C,'2.1.clean'!A:A=C755),filter('2.2.clean'!E:E,'2.2.clean'!D:D=C755)),filter('2.4.clean'!C:C,'2.4.clean'!A:A=C755))"),43773.0)</f>
        <v>43773</v>
      </c>
      <c r="F755" s="60">
        <f>IFERROR(__xludf.DUMMYFUNCTION("iferror(ifna(IFNA(filter('2.1.clean'!E:E,'2.1.clean'!A:A=C755),filter('2.2.clean'!G:G,'2.2.clean'!D:D=C755)),filter('2.4.clean'!E:E,'2.4.clean'!A:A=C755)),)"),2.4)</f>
        <v>2.4</v>
      </c>
      <c r="G755" s="59">
        <f>IFERROR(__xludf.DUMMYFUNCTION("iferror(filter('3.1.clean'!C:C,'3.1.clean'!A:A=C755),"""")"),43773.0)</f>
        <v>43773</v>
      </c>
      <c r="H755" s="58" t="b">
        <f t="shared" si="570"/>
        <v>1</v>
      </c>
      <c r="I755" s="58">
        <f>IFERROR(__xludf.DUMMYFUNCTION("iferror(filter('3.1.clean'!G:G,'3.1.clean'!A:A=C755),"""")"),0.0)</f>
        <v>0</v>
      </c>
      <c r="J755" s="60" t="str">
        <f>IFERROR(__xludf.DUMMYFUNCTION("iferror(filter('3.1.clean'!I:I,'3.1.clean'!A:A=C755),"""")"),"")</f>
        <v/>
      </c>
      <c r="K755" s="58"/>
      <c r="L755" s="60"/>
      <c r="M755" s="59">
        <f>IFERROR(__xludf.DUMMYFUNCTION("iferror(filter('3.3.clean'!C:C,'3.3.clean'!A:A=C755),"""")"),43775.0)</f>
        <v>43775</v>
      </c>
      <c r="N755" s="60" t="b">
        <f t="shared" si="568"/>
        <v>1</v>
      </c>
      <c r="O755" s="59" t="str">
        <f>IFERROR(__xludf.DUMMYFUNCTION("iferror(filter('3.4.clean'!C:C,'3.4.clean'!A:A=C755),"""")"),"")</f>
        <v/>
      </c>
      <c r="P755" s="60" t="b">
        <f t="shared" si="569"/>
        <v>0</v>
      </c>
      <c r="Q755" s="59" t="str">
        <f>IFERROR(__xludf.DUMMYFUNCTION("iferror(filter('3.5.clean'!C:C,'3.5.clean'!A:A=C755),"""")"),"")</f>
        <v/>
      </c>
      <c r="R755" s="58"/>
      <c r="S755" s="4" t="str">
        <f>IFERROR(__xludf.DUMMYFUNCTION("iferror(filter('3.5.clean'!H:H,'3.5.clean'!A:A=C755),"""")"),"")</f>
        <v/>
      </c>
      <c r="W755" s="23" t="b">
        <f>if(AND(H755=TRUE,N755=TRUE,P755=TRUE),TRUE,FALSE)</f>
        <v>0</v>
      </c>
      <c r="X755" s="23" t="str">
        <f>IFERROR(__xludf.DUMMYFUNCTION("if(COUNTA(FILTER(C:C, C:C = C755))=1,""no"",""yes"")"),"no")</f>
        <v>no</v>
      </c>
    </row>
    <row r="756">
      <c r="A756" s="75" t="s">
        <v>837</v>
      </c>
      <c r="B756" s="19">
        <v>3.0</v>
      </c>
      <c r="C756" s="19" t="s">
        <v>1537</v>
      </c>
      <c r="D756" s="58" t="str">
        <f t="shared" si="571"/>
        <v/>
      </c>
      <c r="E756" s="59">
        <f>Q756</f>
        <v>43773</v>
      </c>
      <c r="F756" s="60" t="str">
        <f>IFERROR(__xludf.DUMMYFUNCTION("iferror(ifna(IFNA(filter('2.1.clean'!E:E,'2.1.clean'!A:A=C756),filter('2.2.clean'!G:G,'2.2.clean'!D:D=C756)),filter('2.4.clean'!E:E,'2.4.clean'!A:A=C756)),)"),"")</f>
        <v/>
      </c>
      <c r="G756" s="59" t="str">
        <f>IFERROR(__xludf.DUMMYFUNCTION("iferror(filter('3.1.clean'!C:C,'3.1.clean'!A:A=C756),"""")"),"")</f>
        <v/>
      </c>
      <c r="H756" s="58"/>
      <c r="I756" s="58" t="str">
        <f>IFERROR(__xludf.DUMMYFUNCTION("iferror(filter('3.1.clean'!G:G,'3.1.clean'!A:A=C756),"""")"),"")</f>
        <v/>
      </c>
      <c r="J756" s="60" t="str">
        <f>IFERROR(__xludf.DUMMYFUNCTION("iferror(filter('3.1.clean'!I:I,'3.1.clean'!A:A=C756),"""")"),"")</f>
        <v/>
      </c>
      <c r="K756" s="59"/>
      <c r="L756" s="60"/>
      <c r="M756" s="59">
        <f>IFERROR(__xludf.DUMMYFUNCTION("iferror(filter('3.3.clean'!C:C,'3.3.clean'!A:A=C756),"""")"),43775.0)</f>
        <v>43775</v>
      </c>
      <c r="N756" s="60" t="b">
        <f t="shared" si="568"/>
        <v>1</v>
      </c>
      <c r="O756" s="59">
        <f>IFERROR(__xludf.DUMMYFUNCTION("iferror(filter('3.4.clean'!C:C,'3.4.clean'!A:A=C756),"""")"),43777.0)</f>
        <v>43777</v>
      </c>
      <c r="P756" s="60" t="b">
        <f t="shared" si="569"/>
        <v>1</v>
      </c>
      <c r="Q756" s="59">
        <f>IFERROR(__xludf.DUMMYFUNCTION("iferror(filter('3.5.clean'!C:C,'3.5.clean'!A:A=C756),"""")"),43773.0)</f>
        <v>43773</v>
      </c>
      <c r="R756" s="58" t="b">
        <f t="shared" ref="R756:R757" si="572">if(Q756="",FALSE,TRUE)</f>
        <v>1</v>
      </c>
      <c r="S756" s="4">
        <f>IFERROR(__xludf.DUMMYFUNCTION("iferror(filter('3.5.clean'!H:H,'3.5.clean'!A:A=C756),"""")"),0.0)</f>
        <v>0</v>
      </c>
      <c r="V756" s="52" t="s">
        <v>64</v>
      </c>
      <c r="W756" s="23" t="b">
        <f>if(AND(R756=TRUE,N756=TRUE,P756=TRUE),TRUE,FALSE)</f>
        <v>1</v>
      </c>
      <c r="X756" s="23" t="str">
        <f>IFERROR(__xludf.DUMMYFUNCTION("if(COUNTA(FILTER(C:C, C:C = C756))=1,""no"",""yes"")"),"no")</f>
        <v>no</v>
      </c>
    </row>
    <row r="757">
      <c r="A757" s="75" t="s">
        <v>837</v>
      </c>
      <c r="B757" s="2">
        <v>4.0</v>
      </c>
      <c r="C757" s="19" t="s">
        <v>1538</v>
      </c>
      <c r="E757" s="24">
        <f>IFERROR(__xludf.DUMMYFUNCTION("ifna(IFNA(filter('2.1.clean'!C:C,'2.1.clean'!A:A=C757),filter('2.2.clean'!E:E,'2.2.clean'!D:D=C757)),filter('2.4.clean'!C:C,'2.4.clean'!A:A=C757))"),43773.0)</f>
        <v>43773</v>
      </c>
      <c r="F757" s="25">
        <f>IFERROR(__xludf.DUMMYFUNCTION("iferror(ifna(IFNA(filter('2.1.clean'!E:E,'2.1.clean'!A:A=C757),filter('2.2.clean'!G:G,'2.2.clean'!D:D=C757)),filter('2.4.clean'!E:E,'2.4.clean'!A:A=C757)),)"),2.4)</f>
        <v>2.4</v>
      </c>
      <c r="G757" s="24">
        <f>IFERROR(__xludf.DUMMYFUNCTION("iferror(filter('3.1.clean'!C:C,'3.1.clean'!A:A=C757),"""")"),43773.0)</f>
        <v>43773</v>
      </c>
      <c r="H757" s="23" t="b">
        <f t="shared" ref="H757:H758" si="573">if(G757="",FALSE,TRUE)</f>
        <v>1</v>
      </c>
      <c r="J757" s="25"/>
      <c r="K757" s="24">
        <f>IFERROR(__xludf.DUMMYFUNCTION("iferror(filter('3.2.clean'!C:C,'3.2.clean'!A:A=C757),"""")"),43774.0)</f>
        <v>43774</v>
      </c>
      <c r="L757" s="25" t="b">
        <f>if(K757="",FALSE,TRUE)</f>
        <v>1</v>
      </c>
      <c r="M757" s="24">
        <f>IFERROR(__xludf.DUMMYFUNCTION("iferror(filter('3.3.clean'!C:C,'3.3.clean'!A:A=C757),"""")"),43775.0)</f>
        <v>43775</v>
      </c>
      <c r="N757" s="25" t="b">
        <f t="shared" si="568"/>
        <v>1</v>
      </c>
      <c r="O757" s="24">
        <f>IFERROR(__xludf.DUMMYFUNCTION("iferror(filter('3.4.clean'!C:C,'3.4.clean'!A:A=C757),"""")"),43777.0)</f>
        <v>43777</v>
      </c>
      <c r="P757" s="25" t="b">
        <f t="shared" si="569"/>
        <v>1</v>
      </c>
      <c r="Q757" s="24">
        <f>IFERROR(__xludf.DUMMYFUNCTION("iferror(filter('3.5.clean'!C:C,'3.5.clean'!A:A=C757),"""")"),43773.0)</f>
        <v>43773</v>
      </c>
      <c r="R757" s="23" t="b">
        <f t="shared" si="572"/>
        <v>1</v>
      </c>
      <c r="S757" s="25"/>
      <c r="V757" s="1" t="s">
        <v>64</v>
      </c>
      <c r="X757" s="23" t="str">
        <f>IFERROR(__xludf.DUMMYFUNCTION("if(COUNTA(FILTER(C:C, C:C = C757))=1,""no"",""yes"")"),"no")</f>
        <v>no</v>
      </c>
    </row>
    <row r="758">
      <c r="A758" s="75" t="s">
        <v>837</v>
      </c>
      <c r="B758" s="19">
        <v>5.0</v>
      </c>
      <c r="C758" s="19" t="s">
        <v>1539</v>
      </c>
      <c r="D758" s="58" t="str">
        <f t="shared" ref="D758:D759" si="574">if(or(I758=1,J758=1,S758=1),"pos","")</f>
        <v/>
      </c>
      <c r="E758" s="59">
        <f>IFERROR(__xludf.DUMMYFUNCTION("ifna(IFNA(filter('2.1.clean'!C:C,'2.1.clean'!A:A=C758),filter('2.2.clean'!E:E,'2.2.clean'!D:D=C758)),filter('2.4.clean'!C:C,'2.4.clean'!A:A=C758))"),43773.0)</f>
        <v>43773</v>
      </c>
      <c r="F758" s="60">
        <f>IFERROR(__xludf.DUMMYFUNCTION("iferror(ifna(IFNA(filter('2.1.clean'!E:E,'2.1.clean'!A:A=C758),filter('2.2.clean'!G:G,'2.2.clean'!D:D=C758)),filter('2.4.clean'!E:E,'2.4.clean'!A:A=C758)),)"),2.4)</f>
        <v>2.4</v>
      </c>
      <c r="G758" s="59">
        <f>IFERROR(__xludf.DUMMYFUNCTION("iferror(filter('3.1.clean'!C:C,'3.1.clean'!A:A=C758),"""")"),43773.0)</f>
        <v>43773</v>
      </c>
      <c r="H758" s="58" t="b">
        <f t="shared" si="573"/>
        <v>1</v>
      </c>
      <c r="I758" s="58">
        <f>IFERROR(__xludf.DUMMYFUNCTION("iferror(filter('3.1.clean'!G:G,'3.1.clean'!A:A=C758),"""")"),0.0)</f>
        <v>0</v>
      </c>
      <c r="J758" s="60" t="str">
        <f>IFERROR(__xludf.DUMMYFUNCTION("iferror(filter('3.1.clean'!I:I,'3.1.clean'!A:A=C758),"""")"),"")</f>
        <v/>
      </c>
      <c r="K758" s="58"/>
      <c r="L758" s="60"/>
      <c r="M758" s="59" t="str">
        <f>IFERROR(__xludf.DUMMYFUNCTION("iferror(filter('3.3.clean'!C:C,'3.3.clean'!A:A=C758),"""")"),"")</f>
        <v/>
      </c>
      <c r="N758" s="60" t="b">
        <f t="shared" si="568"/>
        <v>0</v>
      </c>
      <c r="O758" s="59" t="str">
        <f>IFERROR(__xludf.DUMMYFUNCTION("iferror(filter('3.4.clean'!C:C,'3.4.clean'!A:A=C758),"""")"),"")</f>
        <v/>
      </c>
      <c r="P758" s="60" t="b">
        <f t="shared" si="569"/>
        <v>0</v>
      </c>
      <c r="Q758" s="59" t="str">
        <f>IFERROR(__xludf.DUMMYFUNCTION("iferror(filter('3.5.clean'!C:C,'3.5.clean'!A:A=C758),"""")"),"")</f>
        <v/>
      </c>
      <c r="R758" s="58"/>
      <c r="S758" s="4" t="str">
        <f>IFERROR(__xludf.DUMMYFUNCTION("iferror(filter('3.5.clean'!H:H,'3.5.clean'!A:A=C758),"""")"),"")</f>
        <v/>
      </c>
      <c r="W758" s="23" t="b">
        <f>if(AND(H758=TRUE,N758=TRUE,P758=TRUE),TRUE,FALSE)</f>
        <v>0</v>
      </c>
      <c r="X758" s="23" t="str">
        <f>IFERROR(__xludf.DUMMYFUNCTION("if(COUNTA(FILTER(C:C, C:C = C758))=1,""no"",""yes"")"),"no")</f>
        <v>no</v>
      </c>
    </row>
    <row r="759">
      <c r="A759" s="75" t="s">
        <v>837</v>
      </c>
      <c r="B759" s="19">
        <v>6.0</v>
      </c>
      <c r="C759" s="19" t="s">
        <v>1540</v>
      </c>
      <c r="D759" s="58" t="str">
        <f t="shared" si="574"/>
        <v/>
      </c>
      <c r="E759" s="59">
        <f>Q759</f>
        <v>43773</v>
      </c>
      <c r="F759" s="60" t="str">
        <f>IFERROR(__xludf.DUMMYFUNCTION("iferror(ifna(IFNA(filter('2.1.clean'!E:E,'2.1.clean'!A:A=C759),filter('2.2.clean'!G:G,'2.2.clean'!D:D=C759)),filter('2.4.clean'!E:E,'2.4.clean'!A:A=C759)),)"),"")</f>
        <v/>
      </c>
      <c r="G759" s="59" t="str">
        <f>IFERROR(__xludf.DUMMYFUNCTION("iferror(filter('3.1.clean'!C:C,'3.1.clean'!A:A=C759),"""")"),"")</f>
        <v/>
      </c>
      <c r="H759" s="58"/>
      <c r="I759" s="58" t="str">
        <f>IFERROR(__xludf.DUMMYFUNCTION("iferror(filter('3.1.clean'!G:G,'3.1.clean'!A:A=C759),"""")"),"")</f>
        <v/>
      </c>
      <c r="J759" s="60" t="str">
        <f>IFERROR(__xludf.DUMMYFUNCTION("iferror(filter('3.1.clean'!I:I,'3.1.clean'!A:A=C759),"""")"),"")</f>
        <v/>
      </c>
      <c r="K759" s="59"/>
      <c r="L759" s="60"/>
      <c r="M759" s="59">
        <f>IFERROR(__xludf.DUMMYFUNCTION("iferror(filter('3.3.clean'!C:C,'3.3.clean'!A:A=C759),"""")"),43775.0)</f>
        <v>43775</v>
      </c>
      <c r="N759" s="60" t="b">
        <f t="shared" si="568"/>
        <v>1</v>
      </c>
      <c r="O759" s="59">
        <f>IFERROR(__xludf.DUMMYFUNCTION("iferror(filter('3.4.clean'!C:C,'3.4.clean'!A:A=C759),"""")"),43777.0)</f>
        <v>43777</v>
      </c>
      <c r="P759" s="60" t="b">
        <f t="shared" si="569"/>
        <v>1</v>
      </c>
      <c r="Q759" s="59">
        <f>IFERROR(__xludf.DUMMYFUNCTION("iferror(filter('3.5.clean'!C:C,'3.5.clean'!A:A=C759),"""")"),43773.0)</f>
        <v>43773</v>
      </c>
      <c r="R759" s="58" t="b">
        <f t="shared" ref="R759:R760" si="575">if(Q759="",FALSE,TRUE)</f>
        <v>1</v>
      </c>
      <c r="S759" s="4">
        <f>IFERROR(__xludf.DUMMYFUNCTION("iferror(filter('3.5.clean'!H:H,'3.5.clean'!A:A=C759),"""")"),0.0)</f>
        <v>0</v>
      </c>
      <c r="V759" s="52" t="s">
        <v>64</v>
      </c>
      <c r="W759" s="23" t="b">
        <f>if(AND(R759=TRUE,N759=TRUE,P759=TRUE),TRUE,FALSE)</f>
        <v>1</v>
      </c>
      <c r="X759" s="23" t="str">
        <f>IFERROR(__xludf.DUMMYFUNCTION("if(COUNTA(FILTER(C:C, C:C = C759))=1,""no"",""yes"")"),"no")</f>
        <v>no</v>
      </c>
    </row>
    <row r="760">
      <c r="A760" s="75" t="s">
        <v>837</v>
      </c>
      <c r="B760" s="2">
        <v>7.0</v>
      </c>
      <c r="C760" s="19" t="s">
        <v>1541</v>
      </c>
      <c r="E760" s="24">
        <f>IFERROR(__xludf.DUMMYFUNCTION("ifna(IFNA(filter('2.1.clean'!C:C,'2.1.clean'!A:A=C760),filter('2.2.clean'!E:E,'2.2.clean'!D:D=C760)),filter('2.4.clean'!C:C,'2.4.clean'!A:A=C760))"),43773.0)</f>
        <v>43773</v>
      </c>
      <c r="F760" s="25">
        <f>IFERROR(__xludf.DUMMYFUNCTION("iferror(ifna(IFNA(filter('2.1.clean'!E:E,'2.1.clean'!A:A=C760),filter('2.2.clean'!G:G,'2.2.clean'!D:D=C760)),filter('2.4.clean'!E:E,'2.4.clean'!A:A=C760)),)"),2.4)</f>
        <v>2.4</v>
      </c>
      <c r="G760" s="24">
        <f>IFERROR(__xludf.DUMMYFUNCTION("iferror(filter('3.1.clean'!C:C,'3.1.clean'!A:A=C760),"""")"),43773.0)</f>
        <v>43773</v>
      </c>
      <c r="H760" s="23" t="b">
        <f t="shared" ref="H760:H761" si="576">if(G760="",FALSE,TRUE)</f>
        <v>1</v>
      </c>
      <c r="J760" s="25"/>
      <c r="K760" s="24">
        <f>IFERROR(__xludf.DUMMYFUNCTION("iferror(filter('3.2.clean'!C:C,'3.2.clean'!A:A=C760),"""")"),43774.0)</f>
        <v>43774</v>
      </c>
      <c r="L760" s="25" t="b">
        <f>if(K760="",FALSE,TRUE)</f>
        <v>1</v>
      </c>
      <c r="M760" s="24">
        <f>IFERROR(__xludf.DUMMYFUNCTION("iferror(filter('3.3.clean'!C:C,'3.3.clean'!A:A=C760),"""")"),43775.0)</f>
        <v>43775</v>
      </c>
      <c r="N760" s="25" t="b">
        <f t="shared" si="568"/>
        <v>1</v>
      </c>
      <c r="O760" s="24">
        <f>IFERROR(__xludf.DUMMYFUNCTION("iferror(filter('3.4.clean'!C:C,'3.4.clean'!A:A=C760),"""")"),43777.0)</f>
        <v>43777</v>
      </c>
      <c r="P760" s="25" t="b">
        <f t="shared" si="569"/>
        <v>1</v>
      </c>
      <c r="Q760" s="24">
        <f>IFERROR(__xludf.DUMMYFUNCTION("iferror(filter('3.5.clean'!C:C,'3.5.clean'!A:A=C760),"""")"),43773.0)</f>
        <v>43773</v>
      </c>
      <c r="R760" s="23" t="b">
        <f t="shared" si="575"/>
        <v>1</v>
      </c>
      <c r="S760" s="25"/>
      <c r="V760" s="1" t="s">
        <v>64</v>
      </c>
      <c r="X760" s="23" t="str">
        <f>IFERROR(__xludf.DUMMYFUNCTION("if(COUNTA(FILTER(C:C, C:C = C760))=1,""no"",""yes"")"),"no")</f>
        <v>no</v>
      </c>
    </row>
    <row r="761">
      <c r="A761" s="75" t="s">
        <v>837</v>
      </c>
      <c r="B761" s="19">
        <v>8.0</v>
      </c>
      <c r="C761" s="19" t="s">
        <v>1542</v>
      </c>
      <c r="D761" s="58" t="str">
        <f t="shared" ref="D761:D762" si="577">if(or(I761=1,J761=1,S761=1),"pos","")</f>
        <v/>
      </c>
      <c r="E761" s="59">
        <f>IFERROR(__xludf.DUMMYFUNCTION("ifna(IFNA(filter('2.1.clean'!C:C,'2.1.clean'!A:A=C761),filter('2.2.clean'!E:E,'2.2.clean'!D:D=C761)),filter('2.4.clean'!C:C,'2.4.clean'!A:A=C761))"),43773.0)</f>
        <v>43773</v>
      </c>
      <c r="F761" s="60">
        <f>IFERROR(__xludf.DUMMYFUNCTION("iferror(ifna(IFNA(filter('2.1.clean'!E:E,'2.1.clean'!A:A=C761),filter('2.2.clean'!G:G,'2.2.clean'!D:D=C761)),filter('2.4.clean'!E:E,'2.4.clean'!A:A=C761)),)"),2.4)</f>
        <v>2.4</v>
      </c>
      <c r="G761" s="59">
        <f>IFERROR(__xludf.DUMMYFUNCTION("iferror(filter('3.1.clean'!C:C,'3.1.clean'!A:A=C761),"""")"),43773.0)</f>
        <v>43773</v>
      </c>
      <c r="H761" s="58" t="b">
        <f t="shared" si="576"/>
        <v>1</v>
      </c>
      <c r="I761" s="58">
        <f>IFERROR(__xludf.DUMMYFUNCTION("iferror(filter('3.1.clean'!G:G,'3.1.clean'!A:A=C761),"""")"),0.0)</f>
        <v>0</v>
      </c>
      <c r="J761" s="60" t="str">
        <f>IFERROR(__xludf.DUMMYFUNCTION("iferror(filter('3.1.clean'!I:I,'3.1.clean'!A:A=C761),"""")"),"")</f>
        <v/>
      </c>
      <c r="K761" s="58"/>
      <c r="L761" s="60"/>
      <c r="M761" s="59" t="str">
        <f>IFERROR(__xludf.DUMMYFUNCTION("iferror(filter('3.3.clean'!C:C,'3.3.clean'!A:A=C761),"""")"),"")</f>
        <v/>
      </c>
      <c r="N761" s="60" t="b">
        <f t="shared" si="568"/>
        <v>0</v>
      </c>
      <c r="O761" s="59" t="str">
        <f>IFERROR(__xludf.DUMMYFUNCTION("iferror(filter('3.4.clean'!C:C,'3.4.clean'!A:A=C761),"""")"),"")</f>
        <v/>
      </c>
      <c r="P761" s="60" t="b">
        <f t="shared" si="569"/>
        <v>0</v>
      </c>
      <c r="Q761" s="59" t="str">
        <f>IFERROR(__xludf.DUMMYFUNCTION("iferror(filter('3.5.clean'!C:C,'3.5.clean'!A:A=C761),"""")"),"")</f>
        <v/>
      </c>
      <c r="R761" s="58"/>
      <c r="S761" s="4" t="str">
        <f>IFERROR(__xludf.DUMMYFUNCTION("iferror(filter('3.5.clean'!H:H,'3.5.clean'!A:A=C761),"""")"),"")</f>
        <v/>
      </c>
      <c r="W761" s="23" t="b">
        <f>if(AND(H761=TRUE,N761=TRUE,P761=TRUE),TRUE,FALSE)</f>
        <v>0</v>
      </c>
      <c r="X761" s="23" t="str">
        <f>IFERROR(__xludf.DUMMYFUNCTION("if(COUNTA(FILTER(C:C, C:C = C761))=1,""no"",""yes"")"),"no")</f>
        <v>no</v>
      </c>
    </row>
    <row r="762">
      <c r="A762" s="75" t="s">
        <v>837</v>
      </c>
      <c r="B762" s="19">
        <v>9.0</v>
      </c>
      <c r="C762" s="19" t="s">
        <v>272</v>
      </c>
      <c r="D762" s="58" t="str">
        <f t="shared" si="577"/>
        <v/>
      </c>
      <c r="E762" s="59">
        <f>Q762</f>
        <v>43773</v>
      </c>
      <c r="F762" s="60" t="str">
        <f>IFERROR(__xludf.DUMMYFUNCTION("iferror(ifna(IFNA(filter('2.1.clean'!E:E,'2.1.clean'!A:A=C762),filter('2.2.clean'!G:G,'2.2.clean'!D:D=C762)),filter('2.4.clean'!E:E,'2.4.clean'!A:A=C762)),)"),"")</f>
        <v/>
      </c>
      <c r="G762" s="59" t="str">
        <f>IFERROR(__xludf.DUMMYFUNCTION("iferror(filter('3.1.clean'!C:C,'3.1.clean'!A:A=C762),"""")"),"")</f>
        <v/>
      </c>
      <c r="H762" s="58"/>
      <c r="I762" s="58" t="str">
        <f>IFERROR(__xludf.DUMMYFUNCTION("iferror(filter('3.1.clean'!G:G,'3.1.clean'!A:A=C762),"""")"),"")</f>
        <v/>
      </c>
      <c r="J762" s="60" t="str">
        <f>IFERROR(__xludf.DUMMYFUNCTION("iferror(filter('3.1.clean'!I:I,'3.1.clean'!A:A=C762),"""")"),"")</f>
        <v/>
      </c>
      <c r="K762" s="59"/>
      <c r="L762" s="60"/>
      <c r="M762" s="59">
        <f>IFERROR(__xludf.DUMMYFUNCTION("iferror(filter('3.3.clean'!C:C,'3.3.clean'!A:A=C762),"""")"),43775.0)</f>
        <v>43775</v>
      </c>
      <c r="N762" s="60" t="b">
        <f t="shared" si="568"/>
        <v>1</v>
      </c>
      <c r="O762" s="59">
        <f>IFERROR(__xludf.DUMMYFUNCTION("iferror(filter('3.4.clean'!C:C,'3.4.clean'!A:A=C762),"""")"),43777.0)</f>
        <v>43777</v>
      </c>
      <c r="P762" s="60" t="b">
        <f t="shared" si="569"/>
        <v>1</v>
      </c>
      <c r="Q762" s="59">
        <f>IFERROR(__xludf.DUMMYFUNCTION("iferror(filter('3.5.clean'!C:C,'3.5.clean'!A:A=C762),"""")"),43773.0)</f>
        <v>43773</v>
      </c>
      <c r="R762" s="58" t="b">
        <f t="shared" ref="R762:R763" si="578">if(Q762="",FALSE,TRUE)</f>
        <v>1</v>
      </c>
      <c r="S762" s="4">
        <f>IFERROR(__xludf.DUMMYFUNCTION("iferror(filter('3.5.clean'!H:H,'3.5.clean'!A:A=C762),"""")"),0.0)</f>
        <v>0</v>
      </c>
      <c r="V762" s="52" t="s">
        <v>64</v>
      </c>
      <c r="W762" s="23" t="b">
        <f>if(AND(R762=TRUE,N762=TRUE,P762=TRUE),TRUE,FALSE)</f>
        <v>1</v>
      </c>
      <c r="X762" s="23" t="str">
        <f>IFERROR(__xludf.DUMMYFUNCTION("if(COUNTA(FILTER(C:C, C:C = C762))=1,""no"",""yes"")"),"no")</f>
        <v>no</v>
      </c>
    </row>
    <row r="763">
      <c r="A763" s="75" t="s">
        <v>837</v>
      </c>
      <c r="B763" s="2">
        <v>10.0</v>
      </c>
      <c r="C763" s="19" t="s">
        <v>1547</v>
      </c>
      <c r="E763" s="24">
        <f>IFERROR(__xludf.DUMMYFUNCTION("ifna(IFNA(filter('2.1.clean'!C:C,'2.1.clean'!A:A=C763),filter('2.2.clean'!E:E,'2.2.clean'!D:D=C763)),filter('2.4.clean'!C:C,'2.4.clean'!A:A=C763))"),43773.0)</f>
        <v>43773</v>
      </c>
      <c r="F763" s="25">
        <f>IFERROR(__xludf.DUMMYFUNCTION("iferror(ifna(IFNA(filter('2.1.clean'!E:E,'2.1.clean'!A:A=C763),filter('2.2.clean'!G:G,'2.2.clean'!D:D=C763)),filter('2.4.clean'!E:E,'2.4.clean'!A:A=C763)),)"),2.4)</f>
        <v>2.4</v>
      </c>
      <c r="G763" s="24">
        <f>IFERROR(__xludf.DUMMYFUNCTION("iferror(filter('3.1.clean'!C:C,'3.1.clean'!A:A=C763),"""")"),43773.0)</f>
        <v>43773</v>
      </c>
      <c r="H763" s="23" t="b">
        <f t="shared" ref="H763:H764" si="579">if(G763="",FALSE,TRUE)</f>
        <v>1</v>
      </c>
      <c r="J763" s="25"/>
      <c r="K763" s="24">
        <f>IFERROR(__xludf.DUMMYFUNCTION("iferror(filter('3.2.clean'!C:C,'3.2.clean'!A:A=C763),"""")"),43774.0)</f>
        <v>43774</v>
      </c>
      <c r="L763" s="25" t="b">
        <f>if(K763="",FALSE,TRUE)</f>
        <v>1</v>
      </c>
      <c r="M763" s="24">
        <f>IFERROR(__xludf.DUMMYFUNCTION("iferror(filter('3.3.clean'!C:C,'3.3.clean'!A:A=C763),"""")"),43775.0)</f>
        <v>43775</v>
      </c>
      <c r="N763" s="25" t="b">
        <f t="shared" si="568"/>
        <v>1</v>
      </c>
      <c r="O763" s="24">
        <f>IFERROR(__xludf.DUMMYFUNCTION("iferror(filter('3.4.clean'!C:C,'3.4.clean'!A:A=C763),"""")"),43777.0)</f>
        <v>43777</v>
      </c>
      <c r="P763" s="25" t="b">
        <f t="shared" si="569"/>
        <v>1</v>
      </c>
      <c r="Q763" s="24">
        <f>IFERROR(__xludf.DUMMYFUNCTION("iferror(filter('3.5.clean'!C:C,'3.5.clean'!A:A=C763),"""")"),43773.0)</f>
        <v>43773</v>
      </c>
      <c r="R763" s="23" t="b">
        <f t="shared" si="578"/>
        <v>1</v>
      </c>
      <c r="S763" s="25"/>
      <c r="V763" s="1" t="s">
        <v>64</v>
      </c>
      <c r="X763" s="23" t="str">
        <f>IFERROR(__xludf.DUMMYFUNCTION("if(COUNTA(FILTER(C:C, C:C = C763))=1,""no"",""yes"")"),"no")</f>
        <v>no</v>
      </c>
    </row>
    <row r="764">
      <c r="A764" s="75" t="s">
        <v>837</v>
      </c>
      <c r="B764" s="19">
        <v>11.0</v>
      </c>
      <c r="C764" s="19" t="s">
        <v>1548</v>
      </c>
      <c r="D764" s="58" t="str">
        <f t="shared" ref="D764:D765" si="580">if(or(I764=1,J764=1,S764=1),"pos","")</f>
        <v/>
      </c>
      <c r="E764" s="59">
        <f>IFERROR(__xludf.DUMMYFUNCTION("ifna(IFNA(filter('2.1.clean'!C:C,'2.1.clean'!A:A=C764),filter('2.2.clean'!E:E,'2.2.clean'!D:D=C764)),filter('2.4.clean'!C:C,'2.4.clean'!A:A=C764))"),43773.0)</f>
        <v>43773</v>
      </c>
      <c r="F764" s="60">
        <f>IFERROR(__xludf.DUMMYFUNCTION("iferror(ifna(IFNA(filter('2.1.clean'!E:E,'2.1.clean'!A:A=C764),filter('2.2.clean'!G:G,'2.2.clean'!D:D=C764)),filter('2.4.clean'!E:E,'2.4.clean'!A:A=C764)),)"),2.4)</f>
        <v>2.4</v>
      </c>
      <c r="G764" s="59">
        <f>IFERROR(__xludf.DUMMYFUNCTION("iferror(filter('3.1.clean'!C:C,'3.1.clean'!A:A=C764),"""")"),43773.0)</f>
        <v>43773</v>
      </c>
      <c r="H764" s="58" t="b">
        <f t="shared" si="579"/>
        <v>1</v>
      </c>
      <c r="I764" s="58">
        <f>IFERROR(__xludf.DUMMYFUNCTION("iferror(filter('3.1.clean'!G:G,'3.1.clean'!A:A=C764),"""")"),0.0)</f>
        <v>0</v>
      </c>
      <c r="J764" s="60" t="str">
        <f>IFERROR(__xludf.DUMMYFUNCTION("iferror(filter('3.1.clean'!I:I,'3.1.clean'!A:A=C764),"""")"),"")</f>
        <v/>
      </c>
      <c r="K764" s="58"/>
      <c r="L764" s="60"/>
      <c r="M764" s="59" t="str">
        <f>IFERROR(__xludf.DUMMYFUNCTION("iferror(filter('3.3.clean'!C:C,'3.3.clean'!A:A=C764),"""")"),"")</f>
        <v/>
      </c>
      <c r="N764" s="60" t="b">
        <f t="shared" si="568"/>
        <v>0</v>
      </c>
      <c r="O764" s="59" t="str">
        <f>IFERROR(__xludf.DUMMYFUNCTION("iferror(filter('3.4.clean'!C:C,'3.4.clean'!A:A=C764),"""")"),"")</f>
        <v/>
      </c>
      <c r="P764" s="60" t="b">
        <f t="shared" si="569"/>
        <v>0</v>
      </c>
      <c r="Q764" s="59" t="str">
        <f>IFERROR(__xludf.DUMMYFUNCTION("iferror(filter('3.5.clean'!C:C,'3.5.clean'!A:A=C764),"""")"),"")</f>
        <v/>
      </c>
      <c r="R764" s="58"/>
      <c r="S764" s="4" t="str">
        <f>IFERROR(__xludf.DUMMYFUNCTION("iferror(filter('3.5.clean'!H:H,'3.5.clean'!A:A=C764),"""")"),"")</f>
        <v/>
      </c>
      <c r="W764" s="23" t="b">
        <f>if(AND(H764=TRUE,N764=TRUE,P764=TRUE),TRUE,FALSE)</f>
        <v>0</v>
      </c>
      <c r="X764" s="23" t="str">
        <f>IFERROR(__xludf.DUMMYFUNCTION("if(COUNTA(FILTER(C:C, C:C = C764))=1,""no"",""yes"")"),"no")</f>
        <v>no</v>
      </c>
    </row>
    <row r="765">
      <c r="A765" s="75" t="s">
        <v>837</v>
      </c>
      <c r="B765" s="19">
        <v>12.0</v>
      </c>
      <c r="C765" s="19" t="s">
        <v>1549</v>
      </c>
      <c r="D765" s="58" t="str">
        <f t="shared" si="580"/>
        <v/>
      </c>
      <c r="E765" s="59">
        <f>Q765</f>
        <v>43773</v>
      </c>
      <c r="F765" s="60" t="str">
        <f>IFERROR(__xludf.DUMMYFUNCTION("iferror(ifna(IFNA(filter('2.1.clean'!E:E,'2.1.clean'!A:A=C765),filter('2.2.clean'!G:G,'2.2.clean'!D:D=C765)),filter('2.4.clean'!E:E,'2.4.clean'!A:A=C765)),)"),"")</f>
        <v/>
      </c>
      <c r="G765" s="59" t="str">
        <f>IFERROR(__xludf.DUMMYFUNCTION("iferror(filter('3.1.clean'!C:C,'3.1.clean'!A:A=C765),"""")"),"")</f>
        <v/>
      </c>
      <c r="H765" s="58"/>
      <c r="I765" s="58" t="str">
        <f>IFERROR(__xludf.DUMMYFUNCTION("iferror(filter('3.1.clean'!G:G,'3.1.clean'!A:A=C765),"""")"),"")</f>
        <v/>
      </c>
      <c r="J765" s="60" t="str">
        <f>IFERROR(__xludf.DUMMYFUNCTION("iferror(filter('3.1.clean'!I:I,'3.1.clean'!A:A=C765),"""")"),"")</f>
        <v/>
      </c>
      <c r="K765" s="59"/>
      <c r="L765" s="60"/>
      <c r="M765" s="59">
        <f>IFERROR(__xludf.DUMMYFUNCTION("iferror(filter('3.3.clean'!C:C,'3.3.clean'!A:A=C765),"""")"),43775.0)</f>
        <v>43775</v>
      </c>
      <c r="N765" s="60" t="b">
        <f t="shared" si="568"/>
        <v>1</v>
      </c>
      <c r="O765" s="59">
        <f>IFERROR(__xludf.DUMMYFUNCTION("iferror(filter('3.4.clean'!C:C,'3.4.clean'!A:A=C765),"""")"),43777.0)</f>
        <v>43777</v>
      </c>
      <c r="P765" s="60" t="b">
        <f t="shared" si="569"/>
        <v>1</v>
      </c>
      <c r="Q765" s="59">
        <f>IFERROR(__xludf.DUMMYFUNCTION("iferror(filter('3.5.clean'!C:C,'3.5.clean'!A:A=C765),"""")"),43773.0)</f>
        <v>43773</v>
      </c>
      <c r="R765" s="58" t="b">
        <f t="shared" ref="R765:R766" si="581">if(Q765="",FALSE,TRUE)</f>
        <v>1</v>
      </c>
      <c r="S765" s="4">
        <f>IFERROR(__xludf.DUMMYFUNCTION("iferror(filter('3.5.clean'!H:H,'3.5.clean'!A:A=C765),"""")"),0.0)</f>
        <v>0</v>
      </c>
      <c r="V765" s="52" t="s">
        <v>64</v>
      </c>
      <c r="W765" s="23" t="b">
        <f>if(AND(R765=TRUE,N765=TRUE,P765=TRUE),TRUE,FALSE)</f>
        <v>1</v>
      </c>
      <c r="X765" s="23" t="str">
        <f>IFERROR(__xludf.DUMMYFUNCTION("if(COUNTA(FILTER(C:C, C:C = C765))=1,""no"",""yes"")"),"no")</f>
        <v>no</v>
      </c>
    </row>
    <row r="766">
      <c r="A766" s="75" t="s">
        <v>837</v>
      </c>
      <c r="B766" s="2">
        <v>13.0</v>
      </c>
      <c r="C766" s="19" t="s">
        <v>1550</v>
      </c>
      <c r="E766" s="24">
        <f>IFERROR(__xludf.DUMMYFUNCTION("ifna(IFNA(filter('2.1.clean'!C:C,'2.1.clean'!A:A=C766),filter('2.2.clean'!E:E,'2.2.clean'!D:D=C766)),filter('2.4.clean'!C:C,'2.4.clean'!A:A=C766))"),43773.0)</f>
        <v>43773</v>
      </c>
      <c r="F766" s="25">
        <f>IFERROR(__xludf.DUMMYFUNCTION("iferror(ifna(IFNA(filter('2.1.clean'!E:E,'2.1.clean'!A:A=C766),filter('2.2.clean'!G:G,'2.2.clean'!D:D=C766)),filter('2.4.clean'!E:E,'2.4.clean'!A:A=C766)),)"),2.4)</f>
        <v>2.4</v>
      </c>
      <c r="G766" s="24">
        <f>IFERROR(__xludf.DUMMYFUNCTION("iferror(filter('3.1.clean'!C:C,'3.1.clean'!A:A=C766),"""")"),43773.0)</f>
        <v>43773</v>
      </c>
      <c r="H766" s="23" t="b">
        <f t="shared" ref="H766:H767" si="582">if(G766="",FALSE,TRUE)</f>
        <v>1</v>
      </c>
      <c r="J766" s="25"/>
      <c r="K766" s="24">
        <f>IFERROR(__xludf.DUMMYFUNCTION("iferror(filter('3.2.clean'!C:C,'3.2.clean'!A:A=C766),"""")"),43774.0)</f>
        <v>43774</v>
      </c>
      <c r="L766" s="25" t="b">
        <f>if(K766="",FALSE,TRUE)</f>
        <v>1</v>
      </c>
      <c r="M766" s="24">
        <f>IFERROR(__xludf.DUMMYFUNCTION("iferror(filter('3.3.clean'!C:C,'3.3.clean'!A:A=C766),"""")"),43775.0)</f>
        <v>43775</v>
      </c>
      <c r="N766" s="25" t="b">
        <f t="shared" si="568"/>
        <v>1</v>
      </c>
      <c r="O766" s="24">
        <f>IFERROR(__xludf.DUMMYFUNCTION("iferror(filter('3.4.clean'!C:C,'3.4.clean'!A:A=C766),"""")"),43777.0)</f>
        <v>43777</v>
      </c>
      <c r="P766" s="25" t="b">
        <f t="shared" si="569"/>
        <v>1</v>
      </c>
      <c r="Q766" s="24">
        <f>IFERROR(__xludf.DUMMYFUNCTION("iferror(filter('3.5.clean'!C:C,'3.5.clean'!A:A=C766),"""")"),43773.0)</f>
        <v>43773</v>
      </c>
      <c r="R766" s="23" t="b">
        <f t="shared" si="581"/>
        <v>1</v>
      </c>
      <c r="S766" s="25"/>
      <c r="V766" s="1" t="s">
        <v>64</v>
      </c>
      <c r="X766" s="23" t="str">
        <f>IFERROR(__xludf.DUMMYFUNCTION("if(COUNTA(FILTER(C:C, C:C = C766))=1,""no"",""yes"")"),"no")</f>
        <v>no</v>
      </c>
    </row>
    <row r="767">
      <c r="A767" s="75" t="s">
        <v>837</v>
      </c>
      <c r="B767" s="19">
        <v>14.0</v>
      </c>
      <c r="C767" s="19" t="s">
        <v>1551</v>
      </c>
      <c r="D767" s="58" t="str">
        <f t="shared" ref="D767:D770" si="583">if(or(I767=1,J767=1,S767=1),"pos","")</f>
        <v/>
      </c>
      <c r="E767" s="59">
        <f>IFERROR(__xludf.DUMMYFUNCTION("ifna(IFNA(filter('2.1.clean'!C:C,'2.1.clean'!A:A=C767),filter('2.2.clean'!E:E,'2.2.clean'!D:D=C767)),filter('2.4.clean'!C:C,'2.4.clean'!A:A=C767))"),43773.0)</f>
        <v>43773</v>
      </c>
      <c r="F767" s="60">
        <f>IFERROR(__xludf.DUMMYFUNCTION("iferror(ifna(IFNA(filter('2.1.clean'!E:E,'2.1.clean'!A:A=C767),filter('2.2.clean'!G:G,'2.2.clean'!D:D=C767)),filter('2.4.clean'!E:E,'2.4.clean'!A:A=C767)),)"),2.4)</f>
        <v>2.4</v>
      </c>
      <c r="G767" s="59">
        <f>IFERROR(__xludf.DUMMYFUNCTION("iferror(filter('3.1.clean'!C:C,'3.1.clean'!A:A=C767),"""")"),43773.0)</f>
        <v>43773</v>
      </c>
      <c r="H767" s="58" t="b">
        <f t="shared" si="582"/>
        <v>1</v>
      </c>
      <c r="I767" s="58">
        <f>IFERROR(__xludf.DUMMYFUNCTION("iferror(filter('3.1.clean'!G:G,'3.1.clean'!A:A=C767),"""")"),0.0)</f>
        <v>0</v>
      </c>
      <c r="J767" s="60" t="str">
        <f>IFERROR(__xludf.DUMMYFUNCTION("iferror(filter('3.1.clean'!I:I,'3.1.clean'!A:A=C767),"""")"),"")</f>
        <v/>
      </c>
      <c r="K767" s="58"/>
      <c r="L767" s="60"/>
      <c r="M767" s="59" t="str">
        <f>IFERROR(__xludf.DUMMYFUNCTION("iferror(filter('3.3.clean'!C:C,'3.3.clean'!A:A=C767),"""")"),"")</f>
        <v/>
      </c>
      <c r="N767" s="60" t="b">
        <f t="shared" si="568"/>
        <v>0</v>
      </c>
      <c r="O767" s="59" t="str">
        <f>IFERROR(__xludf.DUMMYFUNCTION("iferror(filter('3.4.clean'!C:C,'3.4.clean'!A:A=C767),"""")"),"")</f>
        <v/>
      </c>
      <c r="P767" s="60" t="b">
        <f t="shared" si="569"/>
        <v>0</v>
      </c>
      <c r="Q767" s="59" t="str">
        <f>IFERROR(__xludf.DUMMYFUNCTION("iferror(filter('3.5.clean'!C:C,'3.5.clean'!A:A=C767),"""")"),"")</f>
        <v/>
      </c>
      <c r="R767" s="58"/>
      <c r="S767" s="4" t="str">
        <f>IFERROR(__xludf.DUMMYFUNCTION("iferror(filter('3.5.clean'!H:H,'3.5.clean'!A:A=C767),"""")"),"")</f>
        <v/>
      </c>
      <c r="W767" s="23" t="b">
        <f>if(AND(H767=TRUE,N767=TRUE,P767=TRUE),TRUE,FALSE)</f>
        <v>0</v>
      </c>
      <c r="X767" s="23" t="str">
        <f>IFERROR(__xludf.DUMMYFUNCTION("if(COUNTA(FILTER(C:C, C:C = C767))=1,""no"",""yes"")"),"no")</f>
        <v>no</v>
      </c>
    </row>
    <row r="768">
      <c r="A768" s="75" t="s">
        <v>837</v>
      </c>
      <c r="B768" s="19">
        <v>15.0</v>
      </c>
      <c r="C768" s="19" t="s">
        <v>1553</v>
      </c>
      <c r="D768" s="58" t="str">
        <f t="shared" si="583"/>
        <v/>
      </c>
      <c r="E768" s="59">
        <f t="shared" ref="E768:E769" si="584">Q768</f>
        <v>43773</v>
      </c>
      <c r="F768" s="60" t="str">
        <f>IFERROR(__xludf.DUMMYFUNCTION("iferror(ifna(IFNA(filter('2.1.clean'!E:E,'2.1.clean'!A:A=C768),filter('2.2.clean'!G:G,'2.2.clean'!D:D=C768)),filter('2.4.clean'!E:E,'2.4.clean'!A:A=C768)),)"),"")</f>
        <v/>
      </c>
      <c r="G768" s="59" t="str">
        <f>IFERROR(__xludf.DUMMYFUNCTION("iferror(filter('3.1.clean'!C:C,'3.1.clean'!A:A=C768),"""")"),"")</f>
        <v/>
      </c>
      <c r="H768" s="58"/>
      <c r="I768" s="58" t="str">
        <f>IFERROR(__xludf.DUMMYFUNCTION("iferror(filter('3.1.clean'!G:G,'3.1.clean'!A:A=C768),"""")"),"")</f>
        <v/>
      </c>
      <c r="J768" s="60" t="str">
        <f>IFERROR(__xludf.DUMMYFUNCTION("iferror(filter('3.1.clean'!I:I,'3.1.clean'!A:A=C768),"""")"),"")</f>
        <v/>
      </c>
      <c r="K768" s="59"/>
      <c r="L768" s="60"/>
      <c r="M768" s="59">
        <f>IFERROR(__xludf.DUMMYFUNCTION("iferror(filter('3.3.clean'!C:C,'3.3.clean'!A:A=C768),"""")"),43775.0)</f>
        <v>43775</v>
      </c>
      <c r="N768" s="60" t="b">
        <f t="shared" si="568"/>
        <v>1</v>
      </c>
      <c r="O768" s="59">
        <f>IFERROR(__xludf.DUMMYFUNCTION("iferror(filter('3.4.clean'!C:C,'3.4.clean'!A:A=C768),"""")"),43777.0)</f>
        <v>43777</v>
      </c>
      <c r="P768" s="60" t="b">
        <f t="shared" si="569"/>
        <v>1</v>
      </c>
      <c r="Q768" s="59">
        <f>IFERROR(__xludf.DUMMYFUNCTION("iferror(filter('3.5.clean'!C:C,'3.5.clean'!A:A=C768),"""")"),43773.0)</f>
        <v>43773</v>
      </c>
      <c r="R768" s="58" t="b">
        <f t="shared" ref="R768:R769" si="585">if(Q768="",FALSE,TRUE)</f>
        <v>1</v>
      </c>
      <c r="S768" s="4">
        <f>IFERROR(__xludf.DUMMYFUNCTION("iferror(filter('3.5.clean'!H:H,'3.5.clean'!A:A=C768),"""")"),0.0)</f>
        <v>0</v>
      </c>
      <c r="V768" s="52" t="s">
        <v>64</v>
      </c>
      <c r="W768" s="23" t="b">
        <f>if(AND(R768=TRUE,N768=TRUE,P768=TRUE),TRUE,FALSE)</f>
        <v>1</v>
      </c>
      <c r="X768" s="23" t="str">
        <f>IFERROR(__xludf.DUMMYFUNCTION("if(COUNTA(FILTER(C:C, C:C = C768))=1,""no"",""yes"")"),"no")</f>
        <v>no</v>
      </c>
    </row>
    <row r="769">
      <c r="A769" s="75" t="s">
        <v>837</v>
      </c>
      <c r="B769" s="19">
        <v>16.0</v>
      </c>
      <c r="C769" s="19" t="s">
        <v>1554</v>
      </c>
      <c r="D769" s="22" t="str">
        <f t="shared" si="583"/>
        <v/>
      </c>
      <c r="E769" s="20">
        <f t="shared" si="584"/>
        <v>43773</v>
      </c>
      <c r="F769" s="79" t="str">
        <f>IFERROR(__xludf.DUMMYFUNCTION("iferror(ifna(IFNA(filter('2.1.clean'!E:E,'2.1.clean'!A:A=C769),filter('2.2.clean'!G:G,'2.2.clean'!D:D=C769)),filter('2.4.clean'!E:E,'2.4.clean'!A:A=C769)),)"),"")</f>
        <v/>
      </c>
      <c r="G769" s="20" t="str">
        <f>IFERROR(__xludf.DUMMYFUNCTION("iferror(filter('3.1.clean'!C:C,'3.1.clean'!A:A=C769),"""")"),"")</f>
        <v/>
      </c>
      <c r="H769" s="22"/>
      <c r="I769" s="22"/>
      <c r="J769" s="79"/>
      <c r="K769" s="20" t="str">
        <f>IFERROR(__xludf.DUMMYFUNCTION("iferror(filter('3.2.clean'!C:C,'3.2.clean'!A:A=C769),"""")"),"")</f>
        <v/>
      </c>
      <c r="L769" s="79"/>
      <c r="M769" s="20">
        <f>IFERROR(__xludf.DUMMYFUNCTION("iferror(filter('3.3.clean'!C:C,'3.3.clean'!A:A=C769),"""")"),43775.0)</f>
        <v>43775</v>
      </c>
      <c r="N769" s="79" t="b">
        <f t="shared" si="568"/>
        <v>1</v>
      </c>
      <c r="O769" s="20" t="str">
        <f>IFERROR(__xludf.DUMMYFUNCTION("iferror(filter('3.4.clean'!C:C,'3.4.clean'!A:A=C769),"""")"),"")</f>
        <v/>
      </c>
      <c r="P769" s="79" t="b">
        <f t="shared" si="569"/>
        <v>0</v>
      </c>
      <c r="Q769" s="20">
        <f>IFERROR(__xludf.DUMMYFUNCTION("iferror(filter('3.5.clean'!C:C,'3.5.clean'!A:A=C769),"""")"),43773.0)</f>
        <v>43773</v>
      </c>
      <c r="R769" s="22" t="b">
        <f t="shared" si="585"/>
        <v>1</v>
      </c>
      <c r="S769" s="4">
        <f>IFERROR(__xludf.DUMMYFUNCTION("iferror(filter('3.5.clean'!H:H,'3.5.clean'!A:A=C769),"""")"),0.0)</f>
        <v>0</v>
      </c>
      <c r="V769" s="1" t="s">
        <v>64</v>
      </c>
      <c r="W769" s="23" t="b">
        <f>IF(and(R769=TRUE,N769=TRUE,P769=TRUE),TRUE,FALSE)</f>
        <v>0</v>
      </c>
      <c r="X769" s="23" t="str">
        <f>IFERROR(__xludf.DUMMYFUNCTION("if(COUNTA(FILTER(C:C, C:C = C769))=1,""no"",""yes"")"),"no")</f>
        <v>no</v>
      </c>
    </row>
    <row r="770">
      <c r="A770" s="75" t="s">
        <v>837</v>
      </c>
      <c r="B770" s="19">
        <v>17.0</v>
      </c>
      <c r="C770" s="19" t="s">
        <v>1555</v>
      </c>
      <c r="D770" s="76" t="str">
        <f t="shared" si="583"/>
        <v/>
      </c>
      <c r="E770" s="77">
        <f>G770</f>
        <v>43773</v>
      </c>
      <c r="F770" s="78" t="str">
        <f>IFERROR(__xludf.DUMMYFUNCTION("iferror(ifna(IFNA(filter('2.1.clean'!E:E,'2.1.clean'!A:A=C770),filter('2.2.clean'!G:G,'2.2.clean'!D:D=C770)),filter('2.4.clean'!E:E,'2.4.clean'!A:A=C770)),)"),"")</f>
        <v/>
      </c>
      <c r="G770" s="77">
        <f>IFERROR(__xludf.DUMMYFUNCTION("iferror(filter('3.1.clean'!C:C,'3.1.clean'!A:A=C770),"""")"),43773.0)</f>
        <v>43773</v>
      </c>
      <c r="H770" s="76" t="b">
        <f>if(G770="",FALSE,TRUE)</f>
        <v>1</v>
      </c>
      <c r="I770" s="76">
        <f>IFERROR(__xludf.DUMMYFUNCTION("iferror(filter('3.1.clean'!G:G,'3.1.clean'!A:A=C770),"""")"),0.0)</f>
        <v>0</v>
      </c>
      <c r="J770" s="78" t="str">
        <f>IFERROR(__xludf.DUMMYFUNCTION("iferror(filter('3.1.clean'!I:I,'3.1.clean'!A:A=C770),"""")"),"")</f>
        <v/>
      </c>
      <c r="K770" s="77"/>
      <c r="L770" s="78"/>
      <c r="M770" s="77"/>
      <c r="N770" s="78"/>
      <c r="O770" s="77"/>
      <c r="P770" s="78"/>
      <c r="Q770" s="77"/>
      <c r="R770" s="76"/>
      <c r="S770" s="25"/>
      <c r="V770" s="1" t="s">
        <v>64</v>
      </c>
      <c r="W770" s="1" t="b">
        <v>1</v>
      </c>
      <c r="X770" s="23" t="str">
        <f>IFERROR(__xludf.DUMMYFUNCTION("if(COUNTA(FILTER(C:C, C:C = C770))=1,""no"",""yes"")"),"no")</f>
        <v>no</v>
      </c>
    </row>
    <row r="771">
      <c r="A771" s="75" t="s">
        <v>837</v>
      </c>
      <c r="B771" s="2">
        <v>18.0</v>
      </c>
      <c r="C771" s="19" t="s">
        <v>1556</v>
      </c>
      <c r="E771" s="26">
        <v>43773.0</v>
      </c>
      <c r="F771" s="25" t="str">
        <f>IFERROR(__xludf.DUMMYFUNCTION("iferror(ifna(IFNA(filter('2.1.clean'!E:E,'2.1.clean'!A:A=C771),filter('2.2.clean'!G:G,'2.2.clean'!D:D=C771)),filter('2.4.clean'!E:E,'2.4.clean'!A:A=C771)),)"),"")</f>
        <v/>
      </c>
      <c r="G771" s="24" t="str">
        <f>IFERROR(__xludf.DUMMYFUNCTION("iferror(filter('3.1.clean'!C:C,'3.1.clean'!A:A=C771),"""")"),"")</f>
        <v/>
      </c>
      <c r="J771" s="25"/>
      <c r="K771" s="24" t="str">
        <f>IFERROR(__xludf.DUMMYFUNCTION("iferror(filter('3.2.clean'!C:C,'3.2.clean'!A:A=C771),"""")"),"")</f>
        <v/>
      </c>
      <c r="L771" s="25"/>
      <c r="M771" s="24">
        <f>IFERROR(__xludf.DUMMYFUNCTION("iferror(filter('3.3.clean'!C:C,'3.3.clean'!A:A=C771),"""")"),43775.0)</f>
        <v>43775</v>
      </c>
      <c r="N771" s="25" t="b">
        <f t="shared" ref="N771:N784" si="586">if(M771="",FALSE,TRUE)</f>
        <v>1</v>
      </c>
      <c r="O771" s="24">
        <f>IFERROR(__xludf.DUMMYFUNCTION("iferror(filter('3.4.clean'!C:C,'3.4.clean'!A:A=C771),"""")"),43777.0)</f>
        <v>43777</v>
      </c>
      <c r="P771" s="25" t="b">
        <f t="shared" ref="P771:P784" si="587">if(O771="",FALSE,TRUE)</f>
        <v>1</v>
      </c>
      <c r="Q771" s="24" t="str">
        <f>IFERROR(__xludf.DUMMYFUNCTION("iferror(filter('3.5.clean'!C:C,'3.5.clean'!A:A=C771),"""")"),"")</f>
        <v/>
      </c>
      <c r="S771" s="25"/>
      <c r="V771" s="52" t="s">
        <v>64</v>
      </c>
      <c r="X771" s="23" t="str">
        <f>IFERROR(__xludf.DUMMYFUNCTION("if(COUNTA(FILTER(C:C, C:C = C771))=1,""no"",""yes"")"),"no")</f>
        <v>no</v>
      </c>
    </row>
    <row r="772">
      <c r="A772" s="1" t="s">
        <v>841</v>
      </c>
      <c r="B772" s="2">
        <v>1.0</v>
      </c>
      <c r="C772" s="19" t="s">
        <v>1557</v>
      </c>
      <c r="E772" s="24">
        <f>IFERROR(__xludf.DUMMYFUNCTION("ifna(IFNA(filter('2.1.clean'!C:C,'2.1.clean'!A:A=C772),filter('2.2.clean'!E:E,'2.2.clean'!D:D=C772)),filter('2.4.clean'!C:C,'2.4.clean'!A:A=C772))"),43774.0)</f>
        <v>43774</v>
      </c>
      <c r="F772" s="25">
        <f>IFERROR(__xludf.DUMMYFUNCTION("iferror(ifna(IFNA(filter('2.1.clean'!E:E,'2.1.clean'!A:A=C772),filter('2.2.clean'!G:G,'2.2.clean'!D:D=C772)),filter('2.4.clean'!E:E,'2.4.clean'!A:A=C772)),)"),2.4)</f>
        <v>2.4</v>
      </c>
      <c r="G772" s="24"/>
      <c r="J772" s="25"/>
      <c r="K772" s="24"/>
      <c r="L772" s="25"/>
      <c r="M772" s="24">
        <f>IFERROR(__xludf.DUMMYFUNCTION("iferror(filter('3.3.clean'!C:C,'3.3.clean'!A:A=C772),"""")"),43775.0)</f>
        <v>43775</v>
      </c>
      <c r="N772" s="25" t="b">
        <f t="shared" si="586"/>
        <v>1</v>
      </c>
      <c r="O772" s="24">
        <f>IFERROR(__xludf.DUMMYFUNCTION("iferror(filter('3.4.clean'!C:C,'3.4.clean'!A:A=C772),"""")"),43777.0)</f>
        <v>43777</v>
      </c>
      <c r="P772" s="25" t="b">
        <f t="shared" si="587"/>
        <v>1</v>
      </c>
      <c r="Q772" s="24">
        <f>IFERROR(__xludf.DUMMYFUNCTION("iferror(filter('3.5.clean'!C:C,'3.5.clean'!A:A=C772),"""")"),43774.0)</f>
        <v>43774</v>
      </c>
      <c r="R772" s="23" t="b">
        <f>if(Q772="",FALSE,TRUE)</f>
        <v>1</v>
      </c>
      <c r="S772" s="25"/>
      <c r="V772" s="52" t="s">
        <v>64</v>
      </c>
      <c r="W772" s="23" t="b">
        <f>IF(and(R772=TRUE,N772=TRUE,P772=TRUE),TRUE,FALSE)</f>
        <v>1</v>
      </c>
      <c r="X772" s="23" t="str">
        <f>IFERROR(__xludf.DUMMYFUNCTION("if(COUNTA(FILTER(C:C, C:C = C772))=1,""no"",""yes"")"),"no")</f>
        <v>no</v>
      </c>
    </row>
    <row r="773">
      <c r="A773" s="1" t="s">
        <v>841</v>
      </c>
      <c r="B773" s="19">
        <v>2.0</v>
      </c>
      <c r="C773" s="19" t="s">
        <v>269</v>
      </c>
      <c r="D773" s="58" t="str">
        <f t="shared" ref="D773:D774" si="588">if(or(I773=1,J773=1,S773=1),"pos","")</f>
        <v/>
      </c>
      <c r="E773" s="59">
        <f>IFERROR(__xludf.DUMMYFUNCTION("ifna(IFNA(filter('2.1.clean'!C:C,'2.1.clean'!A:A=C773),filter('2.2.clean'!E:E,'2.2.clean'!D:D=C773)),filter('2.4.clean'!C:C,'2.4.clean'!A:A=C773))"),43774.0)</f>
        <v>43774</v>
      </c>
      <c r="F773" s="60">
        <f>IFERROR(__xludf.DUMMYFUNCTION("iferror(ifna(IFNA(filter('2.1.clean'!E:E,'2.1.clean'!A:A=C773),filter('2.2.clean'!G:G,'2.2.clean'!D:D=C773)),filter('2.4.clean'!E:E,'2.4.clean'!A:A=C773)),)"),2.4)</f>
        <v>2.4</v>
      </c>
      <c r="G773" s="59">
        <f>IFERROR(__xludf.DUMMYFUNCTION("iferror(filter('3.1.clean'!C:C,'3.1.clean'!A:A=C773),"""")"),43774.0)</f>
        <v>43774</v>
      </c>
      <c r="H773" s="58" t="b">
        <f>if(G773="",FALSE,TRUE)</f>
        <v>1</v>
      </c>
      <c r="I773" s="58">
        <f>IFERROR(__xludf.DUMMYFUNCTION("iferror(filter('3.1.clean'!G:G,'3.1.clean'!A:A=C773),"""")"),0.0)</f>
        <v>0</v>
      </c>
      <c r="J773" s="60" t="str">
        <f>IFERROR(__xludf.DUMMYFUNCTION("iferror(filter('3.1.clean'!I:I,'3.1.clean'!A:A=C773),"""")"),"")</f>
        <v/>
      </c>
      <c r="K773" s="58"/>
      <c r="L773" s="60"/>
      <c r="M773" s="59" t="str">
        <f>IFERROR(__xludf.DUMMYFUNCTION("iferror(filter('3.3.clean'!C:C,'3.3.clean'!A:A=C773),"""")"),"")</f>
        <v/>
      </c>
      <c r="N773" s="60" t="b">
        <f t="shared" si="586"/>
        <v>0</v>
      </c>
      <c r="O773" s="59" t="str">
        <f>IFERROR(__xludf.DUMMYFUNCTION("iferror(filter('3.4.clean'!C:C,'3.4.clean'!A:A=C773),"""")"),"")</f>
        <v/>
      </c>
      <c r="P773" s="60" t="b">
        <f t="shared" si="587"/>
        <v>0</v>
      </c>
      <c r="Q773" s="59" t="str">
        <f>IFERROR(__xludf.DUMMYFUNCTION("iferror(filter('3.5.clean'!C:C,'3.5.clean'!A:A=C773),"""")"),"")</f>
        <v/>
      </c>
      <c r="R773" s="58"/>
      <c r="S773" s="4" t="str">
        <f>IFERROR(__xludf.DUMMYFUNCTION("iferror(filter('3.5.clean'!H:H,'3.5.clean'!A:A=C773),"""")"),"")</f>
        <v/>
      </c>
      <c r="W773" s="23" t="b">
        <f>if(AND(H773=TRUE,N773=TRUE,P773=TRUE),TRUE,FALSE)</f>
        <v>0</v>
      </c>
      <c r="X773" s="23" t="str">
        <f>IFERROR(__xludf.DUMMYFUNCTION("if(COUNTA(FILTER(C:C, C:C = C773))=1,""no"",""yes"")"),"no")</f>
        <v>no</v>
      </c>
    </row>
    <row r="774">
      <c r="A774" s="1" t="s">
        <v>841</v>
      </c>
      <c r="B774" s="19">
        <v>3.0</v>
      </c>
      <c r="C774" s="19" t="s">
        <v>268</v>
      </c>
      <c r="D774" s="58" t="str">
        <f t="shared" si="588"/>
        <v/>
      </c>
      <c r="E774" s="59">
        <f>Q774</f>
        <v>43774</v>
      </c>
      <c r="F774" s="60" t="str">
        <f>IFERROR(__xludf.DUMMYFUNCTION("iferror(ifna(IFNA(filter('2.1.clean'!E:E,'2.1.clean'!A:A=C774),filter('2.2.clean'!G:G,'2.2.clean'!D:D=C774)),filter('2.4.clean'!E:E,'2.4.clean'!A:A=C774)),)"),"")</f>
        <v/>
      </c>
      <c r="G774" s="59" t="str">
        <f>IFERROR(__xludf.DUMMYFUNCTION("iferror(filter('3.1.clean'!C:C,'3.1.clean'!A:A=C774),"""")"),"")</f>
        <v/>
      </c>
      <c r="H774" s="58"/>
      <c r="I774" s="58" t="str">
        <f>IFERROR(__xludf.DUMMYFUNCTION("iferror(filter('3.1.clean'!G:G,'3.1.clean'!A:A=C774),"""")"),"")</f>
        <v/>
      </c>
      <c r="J774" s="60" t="str">
        <f>IFERROR(__xludf.DUMMYFUNCTION("iferror(filter('3.1.clean'!I:I,'3.1.clean'!A:A=C774),"""")"),"")</f>
        <v/>
      </c>
      <c r="K774" s="59"/>
      <c r="L774" s="60"/>
      <c r="M774" s="59">
        <f>IFERROR(__xludf.DUMMYFUNCTION("iferror(filter('3.3.clean'!C:C,'3.3.clean'!A:A=C774),"""")"),43775.0)</f>
        <v>43775</v>
      </c>
      <c r="N774" s="60" t="b">
        <f t="shared" si="586"/>
        <v>1</v>
      </c>
      <c r="O774" s="59">
        <f>IFERROR(__xludf.DUMMYFUNCTION("iferror(filter('3.4.clean'!C:C,'3.4.clean'!A:A=C774),"""")"),43777.0)</f>
        <v>43777</v>
      </c>
      <c r="P774" s="60" t="b">
        <f t="shared" si="587"/>
        <v>1</v>
      </c>
      <c r="Q774" s="59">
        <f>IFERROR(__xludf.DUMMYFUNCTION("iferror(filter('3.5.clean'!C:C,'3.5.clean'!A:A=C774),"""")"),43774.0)</f>
        <v>43774</v>
      </c>
      <c r="R774" s="58" t="b">
        <f t="shared" ref="R774:R775" si="589">if(Q774="",FALSE,TRUE)</f>
        <v>1</v>
      </c>
      <c r="S774" s="4">
        <f>IFERROR(__xludf.DUMMYFUNCTION("iferror(filter('3.5.clean'!H:H,'3.5.clean'!A:A=C774),"""")"),0.0)</f>
        <v>0</v>
      </c>
      <c r="V774" s="52" t="s">
        <v>64</v>
      </c>
      <c r="W774" s="23" t="b">
        <f>if(AND(R774=TRUE,N774=TRUE,P774=TRUE),TRUE,FALSE)</f>
        <v>1</v>
      </c>
      <c r="X774" s="23" t="str">
        <f>IFERROR(__xludf.DUMMYFUNCTION("if(COUNTA(FILTER(C:C, C:C = C774))=1,""no"",""yes"")"),"no")</f>
        <v>no</v>
      </c>
    </row>
    <row r="775">
      <c r="A775" s="1" t="s">
        <v>841</v>
      </c>
      <c r="B775" s="2">
        <v>4.0</v>
      </c>
      <c r="C775" s="19" t="s">
        <v>1558</v>
      </c>
      <c r="E775" s="24">
        <f>IFERROR(__xludf.DUMMYFUNCTION("ifna(IFNA(filter('2.1.clean'!C:C,'2.1.clean'!A:A=C775),filter('2.2.clean'!E:E,'2.2.clean'!D:D=C775)),filter('2.4.clean'!C:C,'2.4.clean'!A:A=C775))"),43774.0)</f>
        <v>43774</v>
      </c>
      <c r="F775" s="25">
        <f>IFERROR(__xludf.DUMMYFUNCTION("iferror(ifna(IFNA(filter('2.1.clean'!E:E,'2.1.clean'!A:A=C775),filter('2.2.clean'!G:G,'2.2.clean'!D:D=C775)),filter('2.4.clean'!E:E,'2.4.clean'!A:A=C775)),)"),2.4)</f>
        <v>2.4</v>
      </c>
      <c r="G775" s="24"/>
      <c r="J775" s="25"/>
      <c r="K775" s="24"/>
      <c r="L775" s="25"/>
      <c r="M775" s="24">
        <f>IFERROR(__xludf.DUMMYFUNCTION("iferror(filter('3.3.clean'!C:C,'3.3.clean'!A:A=C775),"""")"),43775.0)</f>
        <v>43775</v>
      </c>
      <c r="N775" s="25" t="b">
        <f t="shared" si="586"/>
        <v>1</v>
      </c>
      <c r="O775" s="24">
        <f>IFERROR(__xludf.DUMMYFUNCTION("iferror(filter('3.4.clean'!C:C,'3.4.clean'!A:A=C775),"""")"),43777.0)</f>
        <v>43777</v>
      </c>
      <c r="P775" s="25" t="b">
        <f t="shared" si="587"/>
        <v>1</v>
      </c>
      <c r="Q775" s="24">
        <f>IFERROR(__xludf.DUMMYFUNCTION("iferror(filter('3.5.clean'!C:C,'3.5.clean'!A:A=C775),"""")"),43774.0)</f>
        <v>43774</v>
      </c>
      <c r="R775" s="23" t="b">
        <f t="shared" si="589"/>
        <v>1</v>
      </c>
      <c r="S775" s="25"/>
      <c r="V775" s="52" t="s">
        <v>64</v>
      </c>
      <c r="W775" s="23" t="b">
        <f>IF(and(R775=TRUE,N775=TRUE,P775=TRUE),TRUE,FALSE)</f>
        <v>1</v>
      </c>
      <c r="X775" s="23" t="str">
        <f>IFERROR(__xludf.DUMMYFUNCTION("if(COUNTA(FILTER(C:C, C:C = C775))=1,""no"",""yes"")"),"no")</f>
        <v>no</v>
      </c>
    </row>
    <row r="776">
      <c r="A776" s="1" t="s">
        <v>841</v>
      </c>
      <c r="B776" s="19">
        <v>5.0</v>
      </c>
      <c r="C776" s="19" t="s">
        <v>1559</v>
      </c>
      <c r="D776" s="58" t="str">
        <f t="shared" ref="D776:D777" si="590">if(or(I776=1,J776=1,S776=1),"pos","")</f>
        <v/>
      </c>
      <c r="E776" s="59">
        <f>IFERROR(__xludf.DUMMYFUNCTION("ifna(IFNA(filter('2.1.clean'!C:C,'2.1.clean'!A:A=C776),filter('2.2.clean'!E:E,'2.2.clean'!D:D=C776)),filter('2.4.clean'!C:C,'2.4.clean'!A:A=C776))"),43774.0)</f>
        <v>43774</v>
      </c>
      <c r="F776" s="60">
        <f>IFERROR(__xludf.DUMMYFUNCTION("iferror(ifna(IFNA(filter('2.1.clean'!E:E,'2.1.clean'!A:A=C776),filter('2.2.clean'!G:G,'2.2.clean'!D:D=C776)),filter('2.4.clean'!E:E,'2.4.clean'!A:A=C776)),)"),2.4)</f>
        <v>2.4</v>
      </c>
      <c r="G776" s="59">
        <f>IFERROR(__xludf.DUMMYFUNCTION("iferror(filter('3.1.clean'!C:C,'3.1.clean'!A:A=C776),"""")"),43774.0)</f>
        <v>43774</v>
      </c>
      <c r="H776" s="58" t="b">
        <f>if(G776="",FALSE,TRUE)</f>
        <v>1</v>
      </c>
      <c r="I776" s="58">
        <f>IFERROR(__xludf.DUMMYFUNCTION("iferror(filter('3.1.clean'!G:G,'3.1.clean'!A:A=C776),"""")"),0.0)</f>
        <v>0</v>
      </c>
      <c r="J776" s="60" t="str">
        <f>IFERROR(__xludf.DUMMYFUNCTION("iferror(filter('3.1.clean'!I:I,'3.1.clean'!A:A=C776),"""")"),"")</f>
        <v/>
      </c>
      <c r="K776" s="58"/>
      <c r="L776" s="60"/>
      <c r="M776" s="59" t="str">
        <f>IFERROR(__xludf.DUMMYFUNCTION("iferror(filter('3.3.clean'!C:C,'3.3.clean'!A:A=C776),"""")"),"")</f>
        <v/>
      </c>
      <c r="N776" s="60" t="b">
        <f t="shared" si="586"/>
        <v>0</v>
      </c>
      <c r="O776" s="59" t="str">
        <f>IFERROR(__xludf.DUMMYFUNCTION("iferror(filter('3.4.clean'!C:C,'3.4.clean'!A:A=C776),"""")"),"")</f>
        <v/>
      </c>
      <c r="P776" s="60" t="b">
        <f t="shared" si="587"/>
        <v>0</v>
      </c>
      <c r="Q776" s="59" t="str">
        <f>IFERROR(__xludf.DUMMYFUNCTION("iferror(filter('3.5.clean'!C:C,'3.5.clean'!A:A=C776),"""")"),"")</f>
        <v/>
      </c>
      <c r="R776" s="58"/>
      <c r="S776" s="4" t="str">
        <f>IFERROR(__xludf.DUMMYFUNCTION("iferror(filter('3.5.clean'!H:H,'3.5.clean'!A:A=C776),"""")"),"")</f>
        <v/>
      </c>
      <c r="W776" s="23" t="b">
        <f>if(AND(H776=TRUE,N776=TRUE,P776=TRUE),TRUE,FALSE)</f>
        <v>0</v>
      </c>
      <c r="X776" s="23" t="str">
        <f>IFERROR(__xludf.DUMMYFUNCTION("if(COUNTA(FILTER(C:C, C:C = C776))=1,""no"",""yes"")"),"no")</f>
        <v>no</v>
      </c>
    </row>
    <row r="777">
      <c r="A777" s="1" t="s">
        <v>841</v>
      </c>
      <c r="B777" s="19">
        <v>6.0</v>
      </c>
      <c r="C777" s="19" t="s">
        <v>1560</v>
      </c>
      <c r="D777" s="58" t="str">
        <f t="shared" si="590"/>
        <v/>
      </c>
      <c r="E777" s="59">
        <f>Q777</f>
        <v>43774</v>
      </c>
      <c r="F777" s="60" t="str">
        <f>IFERROR(__xludf.DUMMYFUNCTION("iferror(ifna(IFNA(filter('2.1.clean'!E:E,'2.1.clean'!A:A=C777),filter('2.2.clean'!G:G,'2.2.clean'!D:D=C777)),filter('2.4.clean'!E:E,'2.4.clean'!A:A=C777)),)"),"")</f>
        <v/>
      </c>
      <c r="G777" s="59" t="str">
        <f>IFERROR(__xludf.DUMMYFUNCTION("iferror(filter('3.1.clean'!C:C,'3.1.clean'!A:A=C777),"""")"),"")</f>
        <v/>
      </c>
      <c r="H777" s="58"/>
      <c r="I777" s="58" t="str">
        <f>IFERROR(__xludf.DUMMYFUNCTION("iferror(filter('3.1.clean'!G:G,'3.1.clean'!A:A=C777),"""")"),"")</f>
        <v/>
      </c>
      <c r="J777" s="60" t="str">
        <f>IFERROR(__xludf.DUMMYFUNCTION("iferror(filter('3.1.clean'!I:I,'3.1.clean'!A:A=C777),"""")"),"")</f>
        <v/>
      </c>
      <c r="K777" s="59"/>
      <c r="L777" s="60"/>
      <c r="M777" s="59">
        <f>IFERROR(__xludf.DUMMYFUNCTION("iferror(filter('3.3.clean'!C:C,'3.3.clean'!A:A=C777),"""")"),43775.0)</f>
        <v>43775</v>
      </c>
      <c r="N777" s="60" t="b">
        <f t="shared" si="586"/>
        <v>1</v>
      </c>
      <c r="O777" s="59">
        <f>IFERROR(__xludf.DUMMYFUNCTION("iferror(filter('3.4.clean'!C:C,'3.4.clean'!A:A=C777),"""")"),43777.0)</f>
        <v>43777</v>
      </c>
      <c r="P777" s="60" t="b">
        <f t="shared" si="587"/>
        <v>1</v>
      </c>
      <c r="Q777" s="59">
        <f>IFERROR(__xludf.DUMMYFUNCTION("iferror(filter('3.5.clean'!C:C,'3.5.clean'!A:A=C777),"""")"),43774.0)</f>
        <v>43774</v>
      </c>
      <c r="R777" s="58" t="b">
        <f t="shared" ref="R777:R778" si="591">if(Q777="",FALSE,TRUE)</f>
        <v>1</v>
      </c>
      <c r="S777" s="4">
        <f>IFERROR(__xludf.DUMMYFUNCTION("iferror(filter('3.5.clean'!H:H,'3.5.clean'!A:A=C777),"""")"),0.0)</f>
        <v>0</v>
      </c>
      <c r="V777" s="52" t="s">
        <v>64</v>
      </c>
      <c r="W777" s="23" t="b">
        <f>if(AND(R777=TRUE,N777=TRUE,P777=TRUE),TRUE,FALSE)</f>
        <v>1</v>
      </c>
      <c r="X777" s="23" t="str">
        <f>IFERROR(__xludf.DUMMYFUNCTION("if(COUNTA(FILTER(C:C, C:C = C777))=1,""no"",""yes"")"),"no")</f>
        <v>no</v>
      </c>
    </row>
    <row r="778">
      <c r="A778" s="1" t="s">
        <v>841</v>
      </c>
      <c r="B778" s="2">
        <v>7.0</v>
      </c>
      <c r="C778" s="19" t="s">
        <v>1561</v>
      </c>
      <c r="E778" s="24">
        <f>IFERROR(__xludf.DUMMYFUNCTION("ifna(IFNA(filter('2.1.clean'!C:C,'2.1.clean'!A:A=C778),filter('2.2.clean'!E:E,'2.2.clean'!D:D=C778)),filter('2.4.clean'!C:C,'2.4.clean'!A:A=C778))"),43774.0)</f>
        <v>43774</v>
      </c>
      <c r="F778" s="25">
        <f>IFERROR(__xludf.DUMMYFUNCTION("iferror(ifna(IFNA(filter('2.1.clean'!E:E,'2.1.clean'!A:A=C778),filter('2.2.clean'!G:G,'2.2.clean'!D:D=C778)),filter('2.4.clean'!E:E,'2.4.clean'!A:A=C778)),)"),2.4)</f>
        <v>2.4</v>
      </c>
      <c r="G778" s="24">
        <f>IFERROR(__xludf.DUMMYFUNCTION("iferror(filter('3.1.clean'!C:C,'3.1.clean'!A:A=C778),"""")"),43774.0)</f>
        <v>43774</v>
      </c>
      <c r="H778" s="23" t="b">
        <f t="shared" ref="H778:H779" si="592">if(G778="",FALSE,TRUE)</f>
        <v>1</v>
      </c>
      <c r="J778" s="25"/>
      <c r="K778" s="24">
        <f>IFERROR(__xludf.DUMMYFUNCTION("iferror(filter('3.2.clean'!C:C,'3.2.clean'!A:A=C778),"""")"),43774.0)</f>
        <v>43774</v>
      </c>
      <c r="L778" s="25" t="b">
        <f>if(K778="",FALSE,TRUE)</f>
        <v>1</v>
      </c>
      <c r="M778" s="24">
        <f>IFERROR(__xludf.DUMMYFUNCTION("iferror(filter('3.3.clean'!C:C,'3.3.clean'!A:A=C778),"""")"),43775.0)</f>
        <v>43775</v>
      </c>
      <c r="N778" s="25" t="b">
        <f t="shared" si="586"/>
        <v>1</v>
      </c>
      <c r="O778" s="24">
        <f>IFERROR(__xludf.DUMMYFUNCTION("iferror(filter('3.4.clean'!C:C,'3.4.clean'!A:A=C778),"""")"),43777.0)</f>
        <v>43777</v>
      </c>
      <c r="P778" s="25" t="b">
        <f t="shared" si="587"/>
        <v>1</v>
      </c>
      <c r="Q778" s="24">
        <f>IFERROR(__xludf.DUMMYFUNCTION("iferror(filter('3.5.clean'!C:C,'3.5.clean'!A:A=C778),"""")"),43774.0)</f>
        <v>43774</v>
      </c>
      <c r="R778" s="23" t="b">
        <f t="shared" si="591"/>
        <v>1</v>
      </c>
      <c r="S778" s="25"/>
      <c r="V778" s="1" t="s">
        <v>64</v>
      </c>
      <c r="X778" s="23" t="str">
        <f>IFERROR(__xludf.DUMMYFUNCTION("if(COUNTA(FILTER(C:C, C:C = C778))=1,""no"",""yes"")"),"no")</f>
        <v>no</v>
      </c>
    </row>
    <row r="779">
      <c r="A779" s="1" t="s">
        <v>841</v>
      </c>
      <c r="B779" s="19">
        <v>8.0</v>
      </c>
      <c r="C779" s="19" t="s">
        <v>1562</v>
      </c>
      <c r="D779" s="58" t="str">
        <f t="shared" ref="D779:D780" si="593">if(or(I779=1,J779=1,S779=1),"pos","")</f>
        <v/>
      </c>
      <c r="E779" s="59">
        <f>IFERROR(__xludf.DUMMYFUNCTION("ifna(IFNA(filter('2.1.clean'!C:C,'2.1.clean'!A:A=C779),filter('2.2.clean'!E:E,'2.2.clean'!D:D=C779)),filter('2.4.clean'!C:C,'2.4.clean'!A:A=C779))"),43774.0)</f>
        <v>43774</v>
      </c>
      <c r="F779" s="60">
        <f>IFERROR(__xludf.DUMMYFUNCTION("iferror(ifna(IFNA(filter('2.1.clean'!E:E,'2.1.clean'!A:A=C779),filter('2.2.clean'!G:G,'2.2.clean'!D:D=C779)),filter('2.4.clean'!E:E,'2.4.clean'!A:A=C779)),)"),2.4)</f>
        <v>2.4</v>
      </c>
      <c r="G779" s="59">
        <f>IFERROR(__xludf.DUMMYFUNCTION("iferror(filter('3.1.clean'!C:C,'3.1.clean'!A:A=C779),"""")"),43774.0)</f>
        <v>43774</v>
      </c>
      <c r="H779" s="58" t="b">
        <f t="shared" si="592"/>
        <v>1</v>
      </c>
      <c r="I779" s="58">
        <f>IFERROR(__xludf.DUMMYFUNCTION("iferror(filter('3.1.clean'!G:G,'3.1.clean'!A:A=C779),"""")"),0.0)</f>
        <v>0</v>
      </c>
      <c r="J779" s="60" t="str">
        <f>IFERROR(__xludf.DUMMYFUNCTION("iferror(filter('3.1.clean'!I:I,'3.1.clean'!A:A=C779),"""")"),"")</f>
        <v/>
      </c>
      <c r="K779" s="58"/>
      <c r="L779" s="60"/>
      <c r="M779" s="59" t="str">
        <f>IFERROR(__xludf.DUMMYFUNCTION("iferror(filter('3.3.clean'!C:C,'3.3.clean'!A:A=C779),"""")"),"")</f>
        <v/>
      </c>
      <c r="N779" s="60" t="b">
        <f t="shared" si="586"/>
        <v>0</v>
      </c>
      <c r="O779" s="59" t="str">
        <f>IFERROR(__xludf.DUMMYFUNCTION("iferror(filter('3.4.clean'!C:C,'3.4.clean'!A:A=C779),"""")"),"")</f>
        <v/>
      </c>
      <c r="P779" s="60" t="b">
        <f t="shared" si="587"/>
        <v>0</v>
      </c>
      <c r="Q779" s="59" t="str">
        <f>IFERROR(__xludf.DUMMYFUNCTION("iferror(filter('3.5.clean'!C:C,'3.5.clean'!A:A=C779),"""")"),"")</f>
        <v/>
      </c>
      <c r="R779" s="58"/>
      <c r="S779" s="4" t="str">
        <f>IFERROR(__xludf.DUMMYFUNCTION("iferror(filter('3.5.clean'!H:H,'3.5.clean'!A:A=C779),"""")"),"")</f>
        <v/>
      </c>
      <c r="W779" s="23" t="b">
        <f>if(AND(H779=TRUE,N779=TRUE,P779=TRUE),TRUE,FALSE)</f>
        <v>0</v>
      </c>
      <c r="X779" s="23" t="str">
        <f>IFERROR(__xludf.DUMMYFUNCTION("if(COUNTA(FILTER(C:C, C:C = C779))=1,""no"",""yes"")"),"no")</f>
        <v>no</v>
      </c>
    </row>
    <row r="780">
      <c r="A780" s="1" t="s">
        <v>841</v>
      </c>
      <c r="B780" s="19">
        <v>9.0</v>
      </c>
      <c r="C780" s="19" t="s">
        <v>1563</v>
      </c>
      <c r="D780" s="58" t="str">
        <f t="shared" si="593"/>
        <v/>
      </c>
      <c r="E780" s="59">
        <f>Q780</f>
        <v>43774</v>
      </c>
      <c r="F780" s="60" t="str">
        <f>IFERROR(__xludf.DUMMYFUNCTION("iferror(ifna(IFNA(filter('2.1.clean'!E:E,'2.1.clean'!A:A=C780),filter('2.2.clean'!G:G,'2.2.clean'!D:D=C780)),filter('2.4.clean'!E:E,'2.4.clean'!A:A=C780)),)"),"")</f>
        <v/>
      </c>
      <c r="G780" s="59" t="str">
        <f>IFERROR(__xludf.DUMMYFUNCTION("iferror(filter('3.1.clean'!C:C,'3.1.clean'!A:A=C780),"""")"),"")</f>
        <v/>
      </c>
      <c r="H780" s="58"/>
      <c r="I780" s="58" t="str">
        <f>IFERROR(__xludf.DUMMYFUNCTION("iferror(filter('3.1.clean'!G:G,'3.1.clean'!A:A=C780),"""")"),"")</f>
        <v/>
      </c>
      <c r="J780" s="60" t="str">
        <f>IFERROR(__xludf.DUMMYFUNCTION("iferror(filter('3.1.clean'!I:I,'3.1.clean'!A:A=C780),"""")"),"")</f>
        <v/>
      </c>
      <c r="K780" s="59"/>
      <c r="L780" s="60"/>
      <c r="M780" s="59">
        <f>IFERROR(__xludf.DUMMYFUNCTION("iferror(filter('3.3.clean'!C:C,'3.3.clean'!A:A=C780),"""")"),43775.0)</f>
        <v>43775</v>
      </c>
      <c r="N780" s="60" t="b">
        <f t="shared" si="586"/>
        <v>1</v>
      </c>
      <c r="O780" s="59">
        <f>IFERROR(__xludf.DUMMYFUNCTION("iferror(filter('3.4.clean'!C:C,'3.4.clean'!A:A=C780),"""")"),43777.0)</f>
        <v>43777</v>
      </c>
      <c r="P780" s="60" t="b">
        <f t="shared" si="587"/>
        <v>1</v>
      </c>
      <c r="Q780" s="59">
        <f>IFERROR(__xludf.DUMMYFUNCTION("iferror(filter('3.5.clean'!C:C,'3.5.clean'!A:A=C780),"""")"),43774.0)</f>
        <v>43774</v>
      </c>
      <c r="R780" s="58" t="b">
        <f t="shared" ref="R780:R781" si="594">if(Q780="",FALSE,TRUE)</f>
        <v>1</v>
      </c>
      <c r="S780" s="4">
        <f>IFERROR(__xludf.DUMMYFUNCTION("iferror(filter('3.5.clean'!H:H,'3.5.clean'!A:A=C780),"""")"),0.0)</f>
        <v>0</v>
      </c>
      <c r="V780" s="52" t="s">
        <v>64</v>
      </c>
      <c r="W780" s="23" t="b">
        <f>if(AND(R780=TRUE,N780=TRUE,P780=TRUE),TRUE,FALSE)</f>
        <v>1</v>
      </c>
      <c r="X780" s="23" t="str">
        <f>IFERROR(__xludf.DUMMYFUNCTION("if(COUNTA(FILTER(C:C, C:C = C780))=1,""no"",""yes"")"),"no")</f>
        <v>no</v>
      </c>
    </row>
    <row r="781">
      <c r="A781" s="1" t="s">
        <v>841</v>
      </c>
      <c r="B781" s="2">
        <v>10.0</v>
      </c>
      <c r="C781" s="19" t="s">
        <v>1564</v>
      </c>
      <c r="E781" s="24">
        <f>IFERROR(__xludf.DUMMYFUNCTION("ifna(IFNA(filter('2.1.clean'!C:C,'2.1.clean'!A:A=C781),filter('2.2.clean'!E:E,'2.2.clean'!D:D=C781)),filter('2.4.clean'!C:C,'2.4.clean'!A:A=C781))"),43774.0)</f>
        <v>43774</v>
      </c>
      <c r="F781" s="25">
        <f>IFERROR(__xludf.DUMMYFUNCTION("iferror(ifna(IFNA(filter('2.1.clean'!E:E,'2.1.clean'!A:A=C781),filter('2.2.clean'!G:G,'2.2.clean'!D:D=C781)),filter('2.4.clean'!E:E,'2.4.clean'!A:A=C781)),)"),2.4)</f>
        <v>2.4</v>
      </c>
      <c r="G781" s="24">
        <f>IFERROR(__xludf.DUMMYFUNCTION("iferror(filter('3.1.clean'!C:C,'3.1.clean'!A:A=C781),"""")"),43774.0)</f>
        <v>43774</v>
      </c>
      <c r="H781" s="23" t="b">
        <f t="shared" ref="H781:H782" si="595">if(G781="",FALSE,TRUE)</f>
        <v>1</v>
      </c>
      <c r="J781" s="25"/>
      <c r="K781" s="24">
        <f>IFERROR(__xludf.DUMMYFUNCTION("iferror(filter('3.2.clean'!C:C,'3.2.clean'!A:A=C781),"""")"),43774.0)</f>
        <v>43774</v>
      </c>
      <c r="L781" s="25" t="b">
        <f>if(K781="",FALSE,TRUE)</f>
        <v>1</v>
      </c>
      <c r="M781" s="24">
        <f>IFERROR(__xludf.DUMMYFUNCTION("iferror(filter('3.3.clean'!C:C,'3.3.clean'!A:A=C781),"""")"),43775.0)</f>
        <v>43775</v>
      </c>
      <c r="N781" s="25" t="b">
        <f t="shared" si="586"/>
        <v>1</v>
      </c>
      <c r="O781" s="24">
        <f>IFERROR(__xludf.DUMMYFUNCTION("iferror(filter('3.4.clean'!C:C,'3.4.clean'!A:A=C781),"""")"),43777.0)</f>
        <v>43777</v>
      </c>
      <c r="P781" s="25" t="b">
        <f t="shared" si="587"/>
        <v>1</v>
      </c>
      <c r="Q781" s="24">
        <f>IFERROR(__xludf.DUMMYFUNCTION("iferror(filter('3.5.clean'!C:C,'3.5.clean'!A:A=C781),"""")"),43774.0)</f>
        <v>43774</v>
      </c>
      <c r="R781" s="23" t="b">
        <f t="shared" si="594"/>
        <v>1</v>
      </c>
      <c r="S781" s="25"/>
      <c r="V781" s="1" t="s">
        <v>64</v>
      </c>
      <c r="X781" s="23" t="str">
        <f>IFERROR(__xludf.DUMMYFUNCTION("if(COUNTA(FILTER(C:C, C:C = C781))=1,""no"",""yes"")"),"no")</f>
        <v>no</v>
      </c>
    </row>
    <row r="782">
      <c r="A782" s="1" t="s">
        <v>841</v>
      </c>
      <c r="B782" s="19">
        <v>11.0</v>
      </c>
      <c r="C782" s="19" t="s">
        <v>1565</v>
      </c>
      <c r="D782" s="58" t="str">
        <f t="shared" ref="D782:D785" si="596">if(or(I782=1,J782=1,S782=1),"pos","")</f>
        <v/>
      </c>
      <c r="E782" s="59">
        <f>IFERROR(__xludf.DUMMYFUNCTION("ifna(IFNA(filter('2.1.clean'!C:C,'2.1.clean'!A:A=C782),filter('2.2.clean'!E:E,'2.2.clean'!D:D=C782)),filter('2.4.clean'!C:C,'2.4.clean'!A:A=C782))"),43774.0)</f>
        <v>43774</v>
      </c>
      <c r="F782" s="60">
        <f>IFERROR(__xludf.DUMMYFUNCTION("iferror(ifna(IFNA(filter('2.1.clean'!E:E,'2.1.clean'!A:A=C782),filter('2.2.clean'!G:G,'2.2.clean'!D:D=C782)),filter('2.4.clean'!E:E,'2.4.clean'!A:A=C782)),)"),2.4)</f>
        <v>2.4</v>
      </c>
      <c r="G782" s="59">
        <f>IFERROR(__xludf.DUMMYFUNCTION("iferror(filter('3.1.clean'!C:C,'3.1.clean'!A:A=C782),"""")"),43774.0)</f>
        <v>43774</v>
      </c>
      <c r="H782" s="58" t="b">
        <f t="shared" si="595"/>
        <v>1</v>
      </c>
      <c r="I782" s="58">
        <f>IFERROR(__xludf.DUMMYFUNCTION("iferror(filter('3.1.clean'!G:G,'3.1.clean'!A:A=C782),"""")"),0.0)</f>
        <v>0</v>
      </c>
      <c r="J782" s="60" t="str">
        <f>IFERROR(__xludf.DUMMYFUNCTION("iferror(filter('3.1.clean'!I:I,'3.1.clean'!A:A=C782),"""")"),"")</f>
        <v/>
      </c>
      <c r="K782" s="58"/>
      <c r="L782" s="60"/>
      <c r="M782" s="59" t="str">
        <f>IFERROR(__xludf.DUMMYFUNCTION("iferror(filter('3.3.clean'!C:C,'3.3.clean'!A:A=C782),"""")"),"")</f>
        <v/>
      </c>
      <c r="N782" s="60" t="b">
        <f t="shared" si="586"/>
        <v>0</v>
      </c>
      <c r="O782" s="59" t="str">
        <f>IFERROR(__xludf.DUMMYFUNCTION("iferror(filter('3.4.clean'!C:C,'3.4.clean'!A:A=C782),"""")"),"")</f>
        <v/>
      </c>
      <c r="P782" s="60" t="b">
        <f t="shared" si="587"/>
        <v>0</v>
      </c>
      <c r="Q782" s="59" t="str">
        <f>IFERROR(__xludf.DUMMYFUNCTION("iferror(filter('3.5.clean'!C:C,'3.5.clean'!A:A=C782),"""")"),"")</f>
        <v/>
      </c>
      <c r="R782" s="58"/>
      <c r="S782" s="4" t="str">
        <f>IFERROR(__xludf.DUMMYFUNCTION("iferror(filter('3.5.clean'!H:H,'3.5.clean'!A:A=C782),"""")"),"")</f>
        <v/>
      </c>
      <c r="W782" s="23" t="b">
        <f>if(AND(H782=TRUE,N782=TRUE,P782=TRUE),TRUE,FALSE)</f>
        <v>0</v>
      </c>
      <c r="X782" s="23" t="str">
        <f>IFERROR(__xludf.DUMMYFUNCTION("if(COUNTA(FILTER(C:C, C:C = C782))=1,""no"",""yes"")"),"no")</f>
        <v>no</v>
      </c>
    </row>
    <row r="783">
      <c r="A783" s="1" t="s">
        <v>841</v>
      </c>
      <c r="B783" s="19">
        <v>12.0</v>
      </c>
      <c r="C783" s="19" t="s">
        <v>1566</v>
      </c>
      <c r="D783" s="58" t="str">
        <f t="shared" si="596"/>
        <v/>
      </c>
      <c r="E783" s="59">
        <f t="shared" ref="E783:E784" si="597">Q783</f>
        <v>43774</v>
      </c>
      <c r="F783" s="60" t="str">
        <f>IFERROR(__xludf.DUMMYFUNCTION("iferror(ifna(IFNA(filter('2.1.clean'!E:E,'2.1.clean'!A:A=C783),filter('2.2.clean'!G:G,'2.2.clean'!D:D=C783)),filter('2.4.clean'!E:E,'2.4.clean'!A:A=C783)),)"),"")</f>
        <v/>
      </c>
      <c r="G783" s="59" t="str">
        <f>IFERROR(__xludf.DUMMYFUNCTION("iferror(filter('3.1.clean'!C:C,'3.1.clean'!A:A=C783),"""")"),"")</f>
        <v/>
      </c>
      <c r="H783" s="58"/>
      <c r="I783" s="58" t="str">
        <f>IFERROR(__xludf.DUMMYFUNCTION("iferror(filter('3.1.clean'!G:G,'3.1.clean'!A:A=C783),"""")"),"")</f>
        <v/>
      </c>
      <c r="J783" s="60" t="str">
        <f>IFERROR(__xludf.DUMMYFUNCTION("iferror(filter('3.1.clean'!I:I,'3.1.clean'!A:A=C783),"""")"),"")</f>
        <v/>
      </c>
      <c r="K783" s="59"/>
      <c r="L783" s="60"/>
      <c r="M783" s="59">
        <f>IFERROR(__xludf.DUMMYFUNCTION("iferror(filter('3.3.clean'!C:C,'3.3.clean'!A:A=C783),"""")"),43775.0)</f>
        <v>43775</v>
      </c>
      <c r="N783" s="60" t="b">
        <f t="shared" si="586"/>
        <v>1</v>
      </c>
      <c r="O783" s="59">
        <f>IFERROR(__xludf.DUMMYFUNCTION("iferror(filter('3.4.clean'!C:C,'3.4.clean'!A:A=C783),"""")"),43777.0)</f>
        <v>43777</v>
      </c>
      <c r="P783" s="60" t="b">
        <f t="shared" si="587"/>
        <v>1</v>
      </c>
      <c r="Q783" s="59">
        <f>IFERROR(__xludf.DUMMYFUNCTION("iferror(filter('3.5.clean'!C:C,'3.5.clean'!A:A=C783),"""")"),43774.0)</f>
        <v>43774</v>
      </c>
      <c r="R783" s="58" t="b">
        <f t="shared" ref="R783:R784" si="598">if(Q783="",FALSE,TRUE)</f>
        <v>1</v>
      </c>
      <c r="S783" s="4">
        <f>IFERROR(__xludf.DUMMYFUNCTION("iferror(filter('3.5.clean'!H:H,'3.5.clean'!A:A=C783),"""")"),0.0)</f>
        <v>0</v>
      </c>
      <c r="V783" s="52" t="s">
        <v>64</v>
      </c>
      <c r="W783" s="23" t="b">
        <f>if(AND(R783=TRUE,N783=TRUE,P783=TRUE),TRUE,FALSE)</f>
        <v>1</v>
      </c>
      <c r="X783" s="23" t="str">
        <f>IFERROR(__xludf.DUMMYFUNCTION("if(COUNTA(FILTER(C:C, C:C = C783))=1,""no"",""yes"")"),"no")</f>
        <v>no</v>
      </c>
    </row>
    <row r="784">
      <c r="A784" s="1" t="s">
        <v>841</v>
      </c>
      <c r="B784" s="19">
        <v>13.0</v>
      </c>
      <c r="C784" s="19" t="s">
        <v>1567</v>
      </c>
      <c r="D784" s="22" t="str">
        <f t="shared" si="596"/>
        <v/>
      </c>
      <c r="E784" s="20">
        <f t="shared" si="597"/>
        <v>43774</v>
      </c>
      <c r="F784" s="79" t="str">
        <f>IFERROR(__xludf.DUMMYFUNCTION("iferror(ifna(IFNA(filter('2.1.clean'!E:E,'2.1.clean'!A:A=C784),filter('2.2.clean'!G:G,'2.2.clean'!D:D=C784)),filter('2.4.clean'!E:E,'2.4.clean'!A:A=C784)),)"),"")</f>
        <v/>
      </c>
      <c r="G784" s="20" t="str">
        <f>IFERROR(__xludf.DUMMYFUNCTION("iferror(filter('3.1.clean'!C:C,'3.1.clean'!A:A=C784),"""")"),"")</f>
        <v/>
      </c>
      <c r="H784" s="22"/>
      <c r="I784" s="22"/>
      <c r="J784" s="79"/>
      <c r="K784" s="20" t="str">
        <f>IFERROR(__xludf.DUMMYFUNCTION("iferror(filter('3.2.clean'!C:C,'3.2.clean'!A:A=C784),"""")"),"")</f>
        <v/>
      </c>
      <c r="L784" s="79"/>
      <c r="M784" s="20">
        <f>IFERROR(__xludf.DUMMYFUNCTION("iferror(filter('3.3.clean'!C:C,'3.3.clean'!A:A=C784),"""")"),43775.0)</f>
        <v>43775</v>
      </c>
      <c r="N784" s="79" t="b">
        <f t="shared" si="586"/>
        <v>1</v>
      </c>
      <c r="O784" s="20" t="str">
        <f>IFERROR(__xludf.DUMMYFUNCTION("iferror(filter('3.4.clean'!C:C,'3.4.clean'!A:A=C784),"""")"),"")</f>
        <v/>
      </c>
      <c r="P784" s="79" t="b">
        <f t="shared" si="587"/>
        <v>0</v>
      </c>
      <c r="Q784" s="20">
        <f>IFERROR(__xludf.DUMMYFUNCTION("iferror(filter('3.5.clean'!C:C,'3.5.clean'!A:A=C784),"""")"),43774.0)</f>
        <v>43774</v>
      </c>
      <c r="R784" s="22" t="b">
        <f t="shared" si="598"/>
        <v>1</v>
      </c>
      <c r="S784" s="4">
        <f>IFERROR(__xludf.DUMMYFUNCTION("iferror(filter('3.5.clean'!H:H,'3.5.clean'!A:A=C784),"""")"),0.0)</f>
        <v>0</v>
      </c>
      <c r="V784" s="1" t="s">
        <v>64</v>
      </c>
      <c r="W784" s="23" t="b">
        <f>IF(and(R784=TRUE,N784=TRUE,P784=TRUE),TRUE,FALSE)</f>
        <v>0</v>
      </c>
      <c r="X784" s="23" t="str">
        <f>IFERROR(__xludf.DUMMYFUNCTION("if(COUNTA(FILTER(C:C, C:C = C784))=1,""no"",""yes"")"),"no")</f>
        <v>no</v>
      </c>
    </row>
    <row r="785">
      <c r="A785" s="1" t="s">
        <v>841</v>
      </c>
      <c r="B785" s="19">
        <v>14.0</v>
      </c>
      <c r="C785" s="19" t="s">
        <v>1568</v>
      </c>
      <c r="D785" s="76" t="str">
        <f t="shared" si="596"/>
        <v/>
      </c>
      <c r="E785" s="77">
        <f>G785</f>
        <v>43774</v>
      </c>
      <c r="F785" s="78" t="str">
        <f>IFERROR(__xludf.DUMMYFUNCTION("iferror(ifna(IFNA(filter('2.1.clean'!E:E,'2.1.clean'!A:A=C785),filter('2.2.clean'!G:G,'2.2.clean'!D:D=C785)),filter('2.4.clean'!E:E,'2.4.clean'!A:A=C785)),)"),"")</f>
        <v/>
      </c>
      <c r="G785" s="77">
        <f>IFERROR(__xludf.DUMMYFUNCTION("iferror(filter('3.1.clean'!C:C,'3.1.clean'!A:A=C785),"""")"),43774.0)</f>
        <v>43774</v>
      </c>
      <c r="H785" s="76" t="b">
        <f t="shared" ref="H785:H791" si="599">if(G785="",FALSE,TRUE)</f>
        <v>1</v>
      </c>
      <c r="I785" s="76">
        <f>IFERROR(__xludf.DUMMYFUNCTION("iferror(filter('3.1.clean'!G:G,'3.1.clean'!A:A=C785),"""")"),0.0)</f>
        <v>0</v>
      </c>
      <c r="J785" s="78" t="str">
        <f>IFERROR(__xludf.DUMMYFUNCTION("iferror(filter('3.1.clean'!I:I,'3.1.clean'!A:A=C785),"""")"),"")</f>
        <v/>
      </c>
      <c r="K785" s="77"/>
      <c r="L785" s="78"/>
      <c r="M785" s="77"/>
      <c r="N785" s="78"/>
      <c r="O785" s="77"/>
      <c r="P785" s="78"/>
      <c r="Q785" s="77"/>
      <c r="R785" s="76"/>
      <c r="S785" s="25"/>
      <c r="V785" s="1" t="s">
        <v>64</v>
      </c>
      <c r="W785" s="1" t="b">
        <v>1</v>
      </c>
      <c r="X785" s="23" t="str">
        <f>IFERROR(__xludf.DUMMYFUNCTION("if(COUNTA(FILTER(C:C, C:C = C785))=1,""no"",""yes"")"),"no")</f>
        <v>no</v>
      </c>
    </row>
    <row r="786">
      <c r="A786" s="75" t="s">
        <v>844</v>
      </c>
      <c r="B786" s="2">
        <v>1.0</v>
      </c>
      <c r="C786" s="69" t="s">
        <v>589</v>
      </c>
      <c r="E786" s="24">
        <f>IFERROR(__xludf.DUMMYFUNCTION("ifna(IFNA(filter('2.1.clean'!C:C,'2.1.clean'!A:A=C786),filter('2.2.clean'!E:E,'2.2.clean'!D:D=C786)),filter('2.4.clean'!C:C,'2.4.clean'!A:A=C786))"),43775.0)</f>
        <v>43775</v>
      </c>
      <c r="F786" s="25">
        <f>IFERROR(__xludf.DUMMYFUNCTION("iferror(ifna(IFNA(filter('2.1.clean'!E:E,'2.1.clean'!A:A=C786),filter('2.2.clean'!G:G,'2.2.clean'!D:D=C786)),filter('2.4.clean'!E:E,'2.4.clean'!A:A=C786)),)"),2.2)</f>
        <v>2.2</v>
      </c>
      <c r="G786" s="24">
        <f>IFERROR(__xludf.DUMMYFUNCTION("iferror(filter('3.1.clean'!C:C,'3.1.clean'!A:A=C786),"""")"),43775.0)</f>
        <v>43775</v>
      </c>
      <c r="H786" s="23" t="b">
        <f t="shared" si="599"/>
        <v>1</v>
      </c>
      <c r="J786" s="25"/>
      <c r="K786" s="24">
        <f>IFERROR(__xludf.DUMMYFUNCTION("iferror(filter('3.2.clean'!C:C,'3.2.clean'!A:A=C786),"""")"),43776.0)</f>
        <v>43776</v>
      </c>
      <c r="L786" s="25" t="b">
        <f t="shared" ref="L786:L790" si="600">if(K786="",FALSE,TRUE)</f>
        <v>1</v>
      </c>
      <c r="M786" s="24">
        <f>IFERROR(__xludf.DUMMYFUNCTION("iferror(filter('3.3.clean'!C:C,'3.3.clean'!A:A=C786),"""")"),43776.0)</f>
        <v>43776</v>
      </c>
      <c r="N786" s="25" t="b">
        <f t="shared" ref="N786:N793" si="601">if(M786="",FALSE,TRUE)</f>
        <v>1</v>
      </c>
      <c r="O786" s="24">
        <f>IFERROR(__xludf.DUMMYFUNCTION("iferror(filter('3.4.clean'!C:C,'3.4.clean'!A:A=C786),"""")"),43787.0)</f>
        <v>43787</v>
      </c>
      <c r="P786" s="25" t="b">
        <f t="shared" ref="P786:P793" si="602">if(O786="",FALSE,TRUE)</f>
        <v>1</v>
      </c>
      <c r="Q786" s="24" t="str">
        <f>IFERROR(__xludf.DUMMYFUNCTION("iferror(filter('3.5.clean'!C:C,'3.5.clean'!A:A=C786),"""")"),"")</f>
        <v/>
      </c>
      <c r="S786" s="25"/>
      <c r="W786" s="23" t="b">
        <f t="shared" ref="W786:W790" si="603">IF(and(H786=TRUE,L786=TRUE,N786=TRUE,P786=TRUE),TRUE,FALSE)</f>
        <v>1</v>
      </c>
      <c r="X786" s="23" t="str">
        <f>IFERROR(__xludf.DUMMYFUNCTION("if(COUNTA(FILTER(C:C, C:C = C786))=1,""no"",""yes"")"),"no")</f>
        <v>no</v>
      </c>
    </row>
    <row r="787">
      <c r="A787" s="75" t="s">
        <v>844</v>
      </c>
      <c r="B787" s="2">
        <v>2.0</v>
      </c>
      <c r="C787" s="69" t="s">
        <v>591</v>
      </c>
      <c r="E787" s="24">
        <f>IFERROR(__xludf.DUMMYFUNCTION("ifna(IFNA(filter('2.1.clean'!C:C,'2.1.clean'!A:A=C787),filter('2.2.clean'!E:E,'2.2.clean'!D:D=C787)),filter('2.4.clean'!C:C,'2.4.clean'!A:A=C787))"),43775.0)</f>
        <v>43775</v>
      </c>
      <c r="F787" s="25">
        <f>IFERROR(__xludf.DUMMYFUNCTION("iferror(ifna(IFNA(filter('2.1.clean'!E:E,'2.1.clean'!A:A=C787),filter('2.2.clean'!G:G,'2.2.clean'!D:D=C787)),filter('2.4.clean'!E:E,'2.4.clean'!A:A=C787)),)"),2.2)</f>
        <v>2.2</v>
      </c>
      <c r="G787" s="24">
        <f>IFERROR(__xludf.DUMMYFUNCTION("iferror(filter('3.1.clean'!C:C,'3.1.clean'!A:A=C787),"""")"),43775.0)</f>
        <v>43775</v>
      </c>
      <c r="H787" s="23" t="b">
        <f t="shared" si="599"/>
        <v>1</v>
      </c>
      <c r="J787" s="25"/>
      <c r="K787" s="24">
        <f>IFERROR(__xludf.DUMMYFUNCTION("iferror(filter('3.2.clean'!C:C,'3.2.clean'!A:A=C787),"""")"),43776.0)</f>
        <v>43776</v>
      </c>
      <c r="L787" s="25" t="b">
        <f t="shared" si="600"/>
        <v>1</v>
      </c>
      <c r="M787" s="24">
        <f>IFERROR(__xludf.DUMMYFUNCTION("iferror(filter('3.3.clean'!C:C,'3.3.clean'!A:A=C787),"""")"),43776.0)</f>
        <v>43776</v>
      </c>
      <c r="N787" s="25" t="b">
        <f t="shared" si="601"/>
        <v>1</v>
      </c>
      <c r="O787" s="24" t="str">
        <f>IFERROR(__xludf.DUMMYFUNCTION("iferror(filter('3.4.clean'!C:C,'3.4.clean'!A:A=C787),"""")"),"")</f>
        <v/>
      </c>
      <c r="P787" s="25" t="b">
        <f t="shared" si="602"/>
        <v>0</v>
      </c>
      <c r="Q787" s="24" t="str">
        <f>IFERROR(__xludf.DUMMYFUNCTION("iferror(filter('3.5.clean'!C:C,'3.5.clean'!A:A=C787),"""")"),"")</f>
        <v/>
      </c>
      <c r="S787" s="25"/>
      <c r="W787" s="23" t="b">
        <f t="shared" si="603"/>
        <v>0</v>
      </c>
      <c r="X787" s="23" t="str">
        <f>IFERROR(__xludf.DUMMYFUNCTION("if(COUNTA(FILTER(C:C, C:C = C787))=1,""no"",""yes"")"),"no")</f>
        <v>no</v>
      </c>
    </row>
    <row r="788">
      <c r="A788" s="75" t="s">
        <v>844</v>
      </c>
      <c r="B788" s="2">
        <v>3.0</v>
      </c>
      <c r="C788" s="69" t="s">
        <v>594</v>
      </c>
      <c r="E788" s="24">
        <f>IFERROR(__xludf.DUMMYFUNCTION("ifna(IFNA(filter('2.1.clean'!C:C,'2.1.clean'!A:A=C788),filter('2.2.clean'!E:E,'2.2.clean'!D:D=C788)),filter('2.4.clean'!C:C,'2.4.clean'!A:A=C788))"),43775.0)</f>
        <v>43775</v>
      </c>
      <c r="F788" s="25">
        <f>IFERROR(__xludf.DUMMYFUNCTION("iferror(ifna(IFNA(filter('2.1.clean'!E:E,'2.1.clean'!A:A=C788),filter('2.2.clean'!G:G,'2.2.clean'!D:D=C788)),filter('2.4.clean'!E:E,'2.4.clean'!A:A=C788)),)"),2.2)</f>
        <v>2.2</v>
      </c>
      <c r="G788" s="24">
        <f>IFERROR(__xludf.DUMMYFUNCTION("iferror(filter('3.1.clean'!C:C,'3.1.clean'!A:A=C788),"""")"),43775.0)</f>
        <v>43775</v>
      </c>
      <c r="H788" s="23" t="b">
        <f t="shared" si="599"/>
        <v>1</v>
      </c>
      <c r="J788" s="25"/>
      <c r="K788" s="24">
        <f>IFERROR(__xludf.DUMMYFUNCTION("iferror(filter('3.2.clean'!C:C,'3.2.clean'!A:A=C788),"""")"),43776.0)</f>
        <v>43776</v>
      </c>
      <c r="L788" s="25" t="b">
        <f t="shared" si="600"/>
        <v>1</v>
      </c>
      <c r="M788" s="24">
        <f>IFERROR(__xludf.DUMMYFUNCTION("iferror(filter('3.3.clean'!C:C,'3.3.clean'!A:A=C788),"""")"),43776.0)</f>
        <v>43776</v>
      </c>
      <c r="N788" s="25" t="b">
        <f t="shared" si="601"/>
        <v>1</v>
      </c>
      <c r="O788" s="24">
        <f>IFERROR(__xludf.DUMMYFUNCTION("iferror(filter('3.4.clean'!C:C,'3.4.clean'!A:A=C788),"""")"),43787.0)</f>
        <v>43787</v>
      </c>
      <c r="P788" s="25" t="b">
        <f t="shared" si="602"/>
        <v>1</v>
      </c>
      <c r="Q788" s="24" t="str">
        <f>IFERROR(__xludf.DUMMYFUNCTION("iferror(filter('3.5.clean'!C:C,'3.5.clean'!A:A=C788),"""")"),"")</f>
        <v/>
      </c>
      <c r="S788" s="25"/>
      <c r="W788" s="23" t="b">
        <f t="shared" si="603"/>
        <v>1</v>
      </c>
      <c r="X788" s="23" t="str">
        <f>IFERROR(__xludf.DUMMYFUNCTION("if(COUNTA(FILTER(C:C, C:C = C788))=1,""no"",""yes"")"),"no")</f>
        <v>no</v>
      </c>
    </row>
    <row r="789">
      <c r="A789" s="75" t="s">
        <v>844</v>
      </c>
      <c r="B789" s="2">
        <v>4.0</v>
      </c>
      <c r="C789" s="69" t="s">
        <v>598</v>
      </c>
      <c r="E789" s="24">
        <f>IFERROR(__xludf.DUMMYFUNCTION("ifna(IFNA(filter('2.1.clean'!C:C,'2.1.clean'!A:A=C789),filter('2.2.clean'!E:E,'2.2.clean'!D:D=C789)),filter('2.4.clean'!C:C,'2.4.clean'!A:A=C789))"),43775.0)</f>
        <v>43775</v>
      </c>
      <c r="F789" s="25">
        <f>IFERROR(__xludf.DUMMYFUNCTION("iferror(ifna(IFNA(filter('2.1.clean'!E:E,'2.1.clean'!A:A=C789),filter('2.2.clean'!G:G,'2.2.clean'!D:D=C789)),filter('2.4.clean'!E:E,'2.4.clean'!A:A=C789)),)"),2.2)</f>
        <v>2.2</v>
      </c>
      <c r="G789" s="24">
        <f>IFERROR(__xludf.DUMMYFUNCTION("iferror(filter('3.1.clean'!C:C,'3.1.clean'!A:A=C789),"""")"),43775.0)</f>
        <v>43775</v>
      </c>
      <c r="H789" s="23" t="b">
        <f t="shared" si="599"/>
        <v>1</v>
      </c>
      <c r="J789" s="25"/>
      <c r="K789" s="24">
        <f>IFERROR(__xludf.DUMMYFUNCTION("iferror(filter('3.2.clean'!C:C,'3.2.clean'!A:A=C789),"""")"),43776.0)</f>
        <v>43776</v>
      </c>
      <c r="L789" s="25" t="b">
        <f t="shared" si="600"/>
        <v>1</v>
      </c>
      <c r="M789" s="24">
        <f>IFERROR(__xludf.DUMMYFUNCTION("iferror(filter('3.3.clean'!C:C,'3.3.clean'!A:A=C789),"""")"),43776.0)</f>
        <v>43776</v>
      </c>
      <c r="N789" s="25" t="b">
        <f t="shared" si="601"/>
        <v>1</v>
      </c>
      <c r="O789" s="24" t="str">
        <f>IFERROR(__xludf.DUMMYFUNCTION("iferror(filter('3.4.clean'!C:C,'3.4.clean'!A:A=C789),"""")"),"")</f>
        <v/>
      </c>
      <c r="P789" s="25" t="b">
        <f t="shared" si="602"/>
        <v>0</v>
      </c>
      <c r="Q789" s="24" t="str">
        <f>IFERROR(__xludf.DUMMYFUNCTION("iferror(filter('3.5.clean'!C:C,'3.5.clean'!A:A=C789),"""")"),"")</f>
        <v/>
      </c>
      <c r="S789" s="25"/>
      <c r="W789" s="23" t="b">
        <f t="shared" si="603"/>
        <v>0</v>
      </c>
      <c r="X789" s="23" t="str">
        <f>IFERROR(__xludf.DUMMYFUNCTION("if(COUNTA(FILTER(C:C, C:C = C789))=1,""no"",""yes"")"),"no")</f>
        <v>no</v>
      </c>
    </row>
    <row r="790">
      <c r="A790" s="75" t="s">
        <v>844</v>
      </c>
      <c r="B790" s="2">
        <v>5.0</v>
      </c>
      <c r="C790" s="69" t="s">
        <v>601</v>
      </c>
      <c r="E790" s="24">
        <f>IFERROR(__xludf.DUMMYFUNCTION("ifna(IFNA(filter('2.1.clean'!C:C,'2.1.clean'!A:A=C790),filter('2.2.clean'!E:E,'2.2.clean'!D:D=C790)),filter('2.4.clean'!C:C,'2.4.clean'!A:A=C790))"),43775.0)</f>
        <v>43775</v>
      </c>
      <c r="F790" s="25">
        <f>IFERROR(__xludf.DUMMYFUNCTION("iferror(ifna(IFNA(filter('2.1.clean'!E:E,'2.1.clean'!A:A=C790),filter('2.2.clean'!G:G,'2.2.clean'!D:D=C790)),filter('2.4.clean'!E:E,'2.4.clean'!A:A=C790)),)"),2.2)</f>
        <v>2.2</v>
      </c>
      <c r="G790" s="24">
        <f>IFERROR(__xludf.DUMMYFUNCTION("iferror(filter('3.1.clean'!C:C,'3.1.clean'!A:A=C790),"""")"),43775.0)</f>
        <v>43775</v>
      </c>
      <c r="H790" s="23" t="b">
        <f t="shared" si="599"/>
        <v>1</v>
      </c>
      <c r="J790" s="25"/>
      <c r="K790" s="24">
        <f>IFERROR(__xludf.DUMMYFUNCTION("iferror(filter('3.2.clean'!C:C,'3.2.clean'!A:A=C790),"""")"),43776.0)</f>
        <v>43776</v>
      </c>
      <c r="L790" s="25" t="b">
        <f t="shared" si="600"/>
        <v>1</v>
      </c>
      <c r="M790" s="24">
        <f>IFERROR(__xludf.DUMMYFUNCTION("iferror(filter('3.3.clean'!C:C,'3.3.clean'!A:A=C790),"""")"),43776.0)</f>
        <v>43776</v>
      </c>
      <c r="N790" s="25" t="b">
        <f t="shared" si="601"/>
        <v>1</v>
      </c>
      <c r="O790" s="24">
        <f>IFERROR(__xludf.DUMMYFUNCTION("iferror(filter('3.4.clean'!C:C,'3.4.clean'!A:A=C790),"""")"),43787.0)</f>
        <v>43787</v>
      </c>
      <c r="P790" s="25" t="b">
        <f t="shared" si="602"/>
        <v>1</v>
      </c>
      <c r="Q790" s="24" t="str">
        <f>IFERROR(__xludf.DUMMYFUNCTION("iferror(filter('3.5.clean'!C:C,'3.5.clean'!A:A=C790),"""")"),"")</f>
        <v/>
      </c>
      <c r="S790" s="25"/>
      <c r="W790" s="23" t="b">
        <f t="shared" si="603"/>
        <v>1</v>
      </c>
      <c r="X790" s="23" t="str">
        <f>IFERROR(__xludf.DUMMYFUNCTION("if(COUNTA(FILTER(C:C, C:C = C790))=1,""no"",""yes"")"),"no")</f>
        <v>no</v>
      </c>
    </row>
    <row r="791">
      <c r="A791" s="75" t="s">
        <v>844</v>
      </c>
      <c r="B791" s="19">
        <v>6.0</v>
      </c>
      <c r="C791" s="19" t="s">
        <v>617</v>
      </c>
      <c r="D791" s="58" t="str">
        <f t="shared" ref="D791:D794" si="604">if(or(I791=1,J791=1,S791=1),"pos","")</f>
        <v/>
      </c>
      <c r="E791" s="59">
        <f>IFERROR(__xludf.DUMMYFUNCTION("ifna(IFNA(filter('2.1.clean'!C:C,'2.1.clean'!A:A=C791),filter('2.2.clean'!E:E,'2.2.clean'!D:D=C791)),filter('2.4.clean'!C:C,'2.4.clean'!A:A=C791))"),43775.0)</f>
        <v>43775</v>
      </c>
      <c r="F791" s="60">
        <f>IFERROR(__xludf.DUMMYFUNCTION("iferror(ifna(IFNA(filter('2.1.clean'!E:E,'2.1.clean'!A:A=C791),filter('2.2.clean'!G:G,'2.2.clean'!D:D=C791)),filter('2.4.clean'!E:E,'2.4.clean'!A:A=C791)),)"),2.2)</f>
        <v>2.2</v>
      </c>
      <c r="G791" s="59">
        <f>IFERROR(__xludf.DUMMYFUNCTION("iferror(filter('3.1.clean'!C:C,'3.1.clean'!A:A=C791),"""")"),43775.0)</f>
        <v>43775</v>
      </c>
      <c r="H791" s="58" t="b">
        <f t="shared" si="599"/>
        <v>1</v>
      </c>
      <c r="I791" s="58">
        <f>IFERROR(__xludf.DUMMYFUNCTION("iferror(filter('3.1.clean'!G:G,'3.1.clean'!A:A=C791),"""")"),0.0)</f>
        <v>0</v>
      </c>
      <c r="J791" s="60" t="str">
        <f>IFERROR(__xludf.DUMMYFUNCTION("iferror(filter('3.1.clean'!I:I,'3.1.clean'!A:A=C791),"""")"),"")</f>
        <v/>
      </c>
      <c r="K791" s="58"/>
      <c r="L791" s="60"/>
      <c r="M791" s="59" t="str">
        <f>IFERROR(__xludf.DUMMYFUNCTION("iferror(filter('3.3.clean'!C:C,'3.3.clean'!A:A=C791),"""")"),"")</f>
        <v/>
      </c>
      <c r="N791" s="60" t="b">
        <f t="shared" si="601"/>
        <v>0</v>
      </c>
      <c r="O791" s="59" t="str">
        <f>IFERROR(__xludf.DUMMYFUNCTION("iferror(filter('3.4.clean'!C:C,'3.4.clean'!A:A=C791),"""")"),"")</f>
        <v/>
      </c>
      <c r="P791" s="60" t="b">
        <f t="shared" si="602"/>
        <v>0</v>
      </c>
      <c r="Q791" s="59" t="str">
        <f>IFERROR(__xludf.DUMMYFUNCTION("iferror(filter('3.5.clean'!C:C,'3.5.clean'!A:A=C791),"""")"),"")</f>
        <v/>
      </c>
      <c r="R791" s="58"/>
      <c r="S791" s="4" t="str">
        <f>IFERROR(__xludf.DUMMYFUNCTION("iferror(filter('3.5.clean'!H:H,'3.5.clean'!A:A=C791),"""")"),"")</f>
        <v/>
      </c>
      <c r="W791" s="23" t="b">
        <f>if(AND(H791=TRUE,N791=TRUE,P791=TRUE),TRUE,FALSE)</f>
        <v>0</v>
      </c>
      <c r="X791" s="23" t="str">
        <f>IFERROR(__xludf.DUMMYFUNCTION("if(COUNTA(FILTER(C:C, C:C = C791))=1,""no"",""yes"")"),"no")</f>
        <v>no</v>
      </c>
    </row>
    <row r="792">
      <c r="A792" s="75" t="s">
        <v>844</v>
      </c>
      <c r="B792" s="19">
        <v>7.0</v>
      </c>
      <c r="C792" s="19" t="s">
        <v>1569</v>
      </c>
      <c r="D792" s="58" t="str">
        <f t="shared" si="604"/>
        <v/>
      </c>
      <c r="E792" s="59">
        <f t="shared" ref="E792:E793" si="605">Q792</f>
        <v>43775</v>
      </c>
      <c r="F792" s="60" t="str">
        <f>IFERROR(__xludf.DUMMYFUNCTION("iferror(ifna(IFNA(filter('2.1.clean'!E:E,'2.1.clean'!A:A=C792),filter('2.2.clean'!G:G,'2.2.clean'!D:D=C792)),filter('2.4.clean'!E:E,'2.4.clean'!A:A=C792)),)"),"")</f>
        <v/>
      </c>
      <c r="G792" s="59" t="str">
        <f>IFERROR(__xludf.DUMMYFUNCTION("iferror(filter('3.1.clean'!C:C,'3.1.clean'!A:A=C792),"""")"),"")</f>
        <v/>
      </c>
      <c r="H792" s="58"/>
      <c r="I792" s="58" t="str">
        <f>IFERROR(__xludf.DUMMYFUNCTION("iferror(filter('3.1.clean'!G:G,'3.1.clean'!A:A=C792),"""")"),"")</f>
        <v/>
      </c>
      <c r="J792" s="60" t="str">
        <f>IFERROR(__xludf.DUMMYFUNCTION("iferror(filter('3.1.clean'!I:I,'3.1.clean'!A:A=C792),"""")"),"")</f>
        <v/>
      </c>
      <c r="K792" s="59"/>
      <c r="L792" s="60"/>
      <c r="M792" s="59">
        <f>IFERROR(__xludf.DUMMYFUNCTION("iferror(filter('3.3.clean'!C:C,'3.3.clean'!A:A=C792),"""")"),43776.0)</f>
        <v>43776</v>
      </c>
      <c r="N792" s="60" t="b">
        <f t="shared" si="601"/>
        <v>1</v>
      </c>
      <c r="O792" s="59">
        <f>IFERROR(__xludf.DUMMYFUNCTION("iferror(filter('3.4.clean'!C:C,'3.4.clean'!A:A=C792),"""")"),43787.0)</f>
        <v>43787</v>
      </c>
      <c r="P792" s="60" t="b">
        <f t="shared" si="602"/>
        <v>1</v>
      </c>
      <c r="Q792" s="59">
        <f>IFERROR(__xludf.DUMMYFUNCTION("iferror(filter('3.5.clean'!C:C,'3.5.clean'!A:A=C792),"""")"),43775.0)</f>
        <v>43775</v>
      </c>
      <c r="R792" s="58" t="b">
        <f t="shared" ref="R792:R793" si="606">if(Q792="",FALSE,TRUE)</f>
        <v>1</v>
      </c>
      <c r="S792" s="4">
        <f>IFERROR(__xludf.DUMMYFUNCTION("iferror(filter('3.5.clean'!H:H,'3.5.clean'!A:A=C792),"""")"),0.0)</f>
        <v>0</v>
      </c>
      <c r="V792" s="52" t="s">
        <v>64</v>
      </c>
      <c r="W792" s="23" t="b">
        <f>if(AND(R792=TRUE,N792=TRUE,P792=TRUE),TRUE,FALSE)</f>
        <v>1</v>
      </c>
      <c r="X792" s="23" t="str">
        <f>IFERROR(__xludf.DUMMYFUNCTION("if(COUNTA(FILTER(C:C, C:C = C792))=1,""no"",""yes"")"),"no")</f>
        <v>no</v>
      </c>
    </row>
    <row r="793">
      <c r="A793" s="75" t="s">
        <v>844</v>
      </c>
      <c r="B793" s="19">
        <v>8.0</v>
      </c>
      <c r="C793" s="19" t="s">
        <v>1570</v>
      </c>
      <c r="D793" s="22" t="str">
        <f t="shared" si="604"/>
        <v/>
      </c>
      <c r="E793" s="20">
        <f t="shared" si="605"/>
        <v>43775</v>
      </c>
      <c r="F793" s="79" t="str">
        <f>IFERROR(__xludf.DUMMYFUNCTION("iferror(ifna(IFNA(filter('2.1.clean'!E:E,'2.1.clean'!A:A=C793),filter('2.2.clean'!G:G,'2.2.clean'!D:D=C793)),filter('2.4.clean'!E:E,'2.4.clean'!A:A=C793)),)"),"")</f>
        <v/>
      </c>
      <c r="G793" s="20" t="str">
        <f>IFERROR(__xludf.DUMMYFUNCTION("iferror(filter('3.1.clean'!C:C,'3.1.clean'!A:A=C793),"""")"),"")</f>
        <v/>
      </c>
      <c r="H793" s="22"/>
      <c r="I793" s="22"/>
      <c r="J793" s="79"/>
      <c r="K793" s="20" t="str">
        <f>IFERROR(__xludf.DUMMYFUNCTION("iferror(filter('3.2.clean'!C:C,'3.2.clean'!A:A=C793),"""")"),"")</f>
        <v/>
      </c>
      <c r="L793" s="79"/>
      <c r="M793" s="20">
        <f>IFERROR(__xludf.DUMMYFUNCTION("iferror(filter('3.3.clean'!C:C,'3.3.clean'!A:A=C793),"""")"),43776.0)</f>
        <v>43776</v>
      </c>
      <c r="N793" s="79" t="b">
        <f t="shared" si="601"/>
        <v>1</v>
      </c>
      <c r="O793" s="20" t="str">
        <f>IFERROR(__xludf.DUMMYFUNCTION("iferror(filter('3.4.clean'!C:C,'3.4.clean'!A:A=C793),"""")"),"")</f>
        <v/>
      </c>
      <c r="P793" s="79" t="b">
        <f t="shared" si="602"/>
        <v>0</v>
      </c>
      <c r="Q793" s="20">
        <f>IFERROR(__xludf.DUMMYFUNCTION("iferror(filter('3.5.clean'!C:C,'3.5.clean'!A:A=C793),"""")"),43775.0)</f>
        <v>43775</v>
      </c>
      <c r="R793" s="22" t="b">
        <f t="shared" si="606"/>
        <v>1</v>
      </c>
      <c r="S793" s="4">
        <f>IFERROR(__xludf.DUMMYFUNCTION("iferror(filter('3.5.clean'!H:H,'3.5.clean'!A:A=C793),"""")"),0.0)</f>
        <v>0</v>
      </c>
      <c r="V793" s="1" t="s">
        <v>64</v>
      </c>
      <c r="W793" s="23" t="b">
        <f>IF(and(R793=TRUE,N793=TRUE,P793=TRUE),TRUE,FALSE)</f>
        <v>0</v>
      </c>
      <c r="X793" s="23" t="str">
        <f>IFERROR(__xludf.DUMMYFUNCTION("if(COUNTA(FILTER(C:C, C:C = C793))=1,""no"",""yes"")"),"no")</f>
        <v>no</v>
      </c>
    </row>
    <row r="794">
      <c r="A794" s="75" t="s">
        <v>844</v>
      </c>
      <c r="B794" s="19">
        <v>9.0</v>
      </c>
      <c r="C794" s="19" t="s">
        <v>1571</v>
      </c>
      <c r="D794" s="76" t="str">
        <f t="shared" si="604"/>
        <v/>
      </c>
      <c r="E794" s="77">
        <f>G794</f>
        <v>43775</v>
      </c>
      <c r="F794" s="78" t="str">
        <f>IFERROR(__xludf.DUMMYFUNCTION("iferror(ifna(IFNA(filter('2.1.clean'!E:E,'2.1.clean'!A:A=C794),filter('2.2.clean'!G:G,'2.2.clean'!D:D=C794)),filter('2.4.clean'!E:E,'2.4.clean'!A:A=C794)),)"),"")</f>
        <v/>
      </c>
      <c r="G794" s="77">
        <f>IFERROR(__xludf.DUMMYFUNCTION("iferror(filter('3.1.clean'!C:C,'3.1.clean'!A:A=C794),"""")"),43775.0)</f>
        <v>43775</v>
      </c>
      <c r="H794" s="76" t="b">
        <f>if(G794="",FALSE,TRUE)</f>
        <v>1</v>
      </c>
      <c r="I794" s="76">
        <f>IFERROR(__xludf.DUMMYFUNCTION("iferror(filter('3.1.clean'!G:G,'3.1.clean'!A:A=C794),"""")"),0.0)</f>
        <v>0</v>
      </c>
      <c r="J794" s="78" t="str">
        <f>IFERROR(__xludf.DUMMYFUNCTION("iferror(filter('3.1.clean'!I:I,'3.1.clean'!A:A=C794),"""")"),"")</f>
        <v/>
      </c>
      <c r="K794" s="77"/>
      <c r="L794" s="78"/>
      <c r="M794" s="77"/>
      <c r="N794" s="78"/>
      <c r="O794" s="77"/>
      <c r="P794" s="78"/>
      <c r="Q794" s="77"/>
      <c r="R794" s="76"/>
      <c r="S794" s="25"/>
      <c r="V794" s="1" t="s">
        <v>64</v>
      </c>
      <c r="W794" s="1" t="b">
        <v>1</v>
      </c>
      <c r="X794" s="23" t="str">
        <f>IFERROR(__xludf.DUMMYFUNCTION("if(COUNTA(FILTER(C:C, C:C = C794))=1,""no"",""yes"")"),"no")</f>
        <v>no</v>
      </c>
    </row>
    <row r="795">
      <c r="A795" s="75" t="s">
        <v>844</v>
      </c>
      <c r="B795" s="2">
        <v>10.0</v>
      </c>
      <c r="C795" s="19" t="s">
        <v>1572</v>
      </c>
      <c r="E795" s="26">
        <v>43775.0</v>
      </c>
      <c r="F795" s="25" t="str">
        <f>IFERROR(__xludf.DUMMYFUNCTION("iferror(ifna(IFNA(filter('2.1.clean'!E:E,'2.1.clean'!A:A=C795),filter('2.2.clean'!G:G,'2.2.clean'!D:D=C795)),filter('2.4.clean'!E:E,'2.4.clean'!A:A=C795)),)"),"")</f>
        <v/>
      </c>
      <c r="G795" s="24" t="str">
        <f>IFERROR(__xludf.DUMMYFUNCTION("iferror(filter('3.1.clean'!C:C,'3.1.clean'!A:A=C795),"""")"),"")</f>
        <v/>
      </c>
      <c r="J795" s="25"/>
      <c r="K795" s="24" t="str">
        <f>IFERROR(__xludf.DUMMYFUNCTION("iferror(filter('3.2.clean'!C:C,'3.2.clean'!A:A=C795),"""")"),"")</f>
        <v/>
      </c>
      <c r="L795" s="25"/>
      <c r="M795" s="24">
        <f>IFERROR(__xludf.DUMMYFUNCTION("iferror(filter('3.3.clean'!C:C,'3.3.clean'!A:A=C795),"""")"),43776.0)</f>
        <v>43776</v>
      </c>
      <c r="N795" s="25" t="b">
        <f t="shared" ref="N795:N817" si="607">if(M795="",FALSE,TRUE)</f>
        <v>1</v>
      </c>
      <c r="O795" s="24">
        <f>IFERROR(__xludf.DUMMYFUNCTION("iferror(filter('3.4.clean'!C:C,'3.4.clean'!A:A=C795),"""")"),43787.0)</f>
        <v>43787</v>
      </c>
      <c r="P795" s="25" t="b">
        <f t="shared" ref="P795:P817" si="608">if(O795="",FALSE,TRUE)</f>
        <v>1</v>
      </c>
      <c r="Q795" s="24" t="str">
        <f>IFERROR(__xludf.DUMMYFUNCTION("iferror(filter('3.5.clean'!C:C,'3.5.clean'!A:A=C795),"""")"),"")</f>
        <v/>
      </c>
      <c r="S795" s="25"/>
      <c r="V795" s="52" t="s">
        <v>64</v>
      </c>
      <c r="X795" s="23" t="str">
        <f>IFERROR(__xludf.DUMMYFUNCTION("if(COUNTA(FILTER(C:C, C:C = C795))=1,""no"",""yes"")"),"no")</f>
        <v>no</v>
      </c>
    </row>
    <row r="796">
      <c r="A796" s="1" t="s">
        <v>848</v>
      </c>
      <c r="B796" s="2">
        <v>1.0</v>
      </c>
      <c r="C796" s="19" t="s">
        <v>1573</v>
      </c>
      <c r="E796" s="24">
        <f>IFERROR(__xludf.DUMMYFUNCTION("ifna(IFNA(filter('2.1.clean'!C:C,'2.1.clean'!A:A=C796),filter('2.2.clean'!E:E,'2.2.clean'!D:D=C796)),filter('2.4.clean'!C:C,'2.4.clean'!A:A=C796))"),43776.0)</f>
        <v>43776</v>
      </c>
      <c r="F796" s="25">
        <f>IFERROR(__xludf.DUMMYFUNCTION("iferror(ifna(IFNA(filter('2.1.clean'!E:E,'2.1.clean'!A:A=C796),filter('2.2.clean'!G:G,'2.2.clean'!D:D=C796)),filter('2.4.clean'!E:E,'2.4.clean'!A:A=C796)),)"),2.4)</f>
        <v>2.4</v>
      </c>
      <c r="G796" s="24"/>
      <c r="J796" s="25"/>
      <c r="K796" s="24"/>
      <c r="L796" s="25"/>
      <c r="M796" s="24">
        <f>IFERROR(__xludf.DUMMYFUNCTION("iferror(filter('3.3.clean'!C:C,'3.3.clean'!A:A=C796),"""")"),43777.0)</f>
        <v>43777</v>
      </c>
      <c r="N796" s="25" t="b">
        <f t="shared" si="607"/>
        <v>1</v>
      </c>
      <c r="O796" s="24">
        <f>IFERROR(__xludf.DUMMYFUNCTION("iferror(filter('3.4.clean'!C:C,'3.4.clean'!A:A=C796),"""")"),43787.0)</f>
        <v>43787</v>
      </c>
      <c r="P796" s="25" t="b">
        <f t="shared" si="608"/>
        <v>1</v>
      </c>
      <c r="Q796" s="24">
        <f>IFERROR(__xludf.DUMMYFUNCTION("iferror(filter('3.5.clean'!C:C,'3.5.clean'!A:A=C796),"""")"),43776.0)</f>
        <v>43776</v>
      </c>
      <c r="R796" s="23" t="b">
        <f>if(Q796="",FALSE,TRUE)</f>
        <v>1</v>
      </c>
      <c r="S796" s="25"/>
      <c r="V796" s="52" t="s">
        <v>64</v>
      </c>
      <c r="W796" s="23" t="b">
        <f>IF(and(R796=TRUE,N796=TRUE,P796=TRUE),TRUE,FALSE)</f>
        <v>1</v>
      </c>
      <c r="X796" s="23" t="str">
        <f>IFERROR(__xludf.DUMMYFUNCTION("if(COUNTA(FILTER(C:C, C:C = C796))=1,""no"",""yes"")"),"no")</f>
        <v>no</v>
      </c>
    </row>
    <row r="797">
      <c r="A797" s="1" t="s">
        <v>848</v>
      </c>
      <c r="B797" s="19">
        <v>2.0</v>
      </c>
      <c r="C797" s="19" t="s">
        <v>1574</v>
      </c>
      <c r="D797" s="58" t="str">
        <f t="shared" ref="D797:D798" si="609">if(or(I797=1,J797=1,S797=1),"pos","")</f>
        <v/>
      </c>
      <c r="E797" s="59">
        <f>IFERROR(__xludf.DUMMYFUNCTION("ifna(IFNA(filter('2.1.clean'!C:C,'2.1.clean'!A:A=C797),filter('2.2.clean'!E:E,'2.2.clean'!D:D=C797)),filter('2.4.clean'!C:C,'2.4.clean'!A:A=C797))"),43776.0)</f>
        <v>43776</v>
      </c>
      <c r="F797" s="60">
        <f>IFERROR(__xludf.DUMMYFUNCTION("iferror(ifna(IFNA(filter('2.1.clean'!E:E,'2.1.clean'!A:A=C797),filter('2.2.clean'!G:G,'2.2.clean'!D:D=C797)),filter('2.4.clean'!E:E,'2.4.clean'!A:A=C797)),)"),2.4)</f>
        <v>2.4</v>
      </c>
      <c r="G797" s="59">
        <f>IFERROR(__xludf.DUMMYFUNCTION("iferror(filter('3.1.clean'!C:C,'3.1.clean'!A:A=C797),"""")"),43776.0)</f>
        <v>43776</v>
      </c>
      <c r="H797" s="58" t="b">
        <f>if(G797="",FALSE,TRUE)</f>
        <v>1</v>
      </c>
      <c r="I797" s="58">
        <f>IFERROR(__xludf.DUMMYFUNCTION("iferror(filter('3.1.clean'!G:G,'3.1.clean'!A:A=C797),"""")"),0.0)</f>
        <v>0</v>
      </c>
      <c r="J797" s="60" t="str">
        <f>IFERROR(__xludf.DUMMYFUNCTION("iferror(filter('3.1.clean'!I:I,'3.1.clean'!A:A=C797),"""")"),"")</f>
        <v/>
      </c>
      <c r="K797" s="58"/>
      <c r="L797" s="60"/>
      <c r="M797" s="59" t="str">
        <f>IFERROR(__xludf.DUMMYFUNCTION("iferror(filter('3.3.clean'!C:C,'3.3.clean'!A:A=C797),"""")"),"")</f>
        <v/>
      </c>
      <c r="N797" s="60" t="b">
        <f t="shared" si="607"/>
        <v>0</v>
      </c>
      <c r="O797" s="59" t="str">
        <f>IFERROR(__xludf.DUMMYFUNCTION("iferror(filter('3.4.clean'!C:C,'3.4.clean'!A:A=C797),"""")"),"")</f>
        <v/>
      </c>
      <c r="P797" s="60" t="b">
        <f t="shared" si="608"/>
        <v>0</v>
      </c>
      <c r="Q797" s="59" t="str">
        <f>IFERROR(__xludf.DUMMYFUNCTION("iferror(filter('3.5.clean'!C:C,'3.5.clean'!A:A=C797),"""")"),"")</f>
        <v/>
      </c>
      <c r="R797" s="58"/>
      <c r="S797" s="4" t="str">
        <f>IFERROR(__xludf.DUMMYFUNCTION("iferror(filter('3.5.clean'!H:H,'3.5.clean'!A:A=C797),"""")"),"")</f>
        <v/>
      </c>
      <c r="W797" s="23" t="b">
        <f>if(AND(H797=TRUE,N797=TRUE,P797=TRUE),TRUE,FALSE)</f>
        <v>0</v>
      </c>
      <c r="X797" s="23" t="str">
        <f>IFERROR(__xludf.DUMMYFUNCTION("if(COUNTA(FILTER(C:C, C:C = C797))=1,""no"",""yes"")"),"no")</f>
        <v>no</v>
      </c>
    </row>
    <row r="798">
      <c r="A798" s="1" t="s">
        <v>848</v>
      </c>
      <c r="B798" s="19">
        <v>3.0</v>
      </c>
      <c r="C798" s="19" t="s">
        <v>1575</v>
      </c>
      <c r="D798" s="58" t="str">
        <f t="shared" si="609"/>
        <v/>
      </c>
      <c r="E798" s="59">
        <f>Q798</f>
        <v>43776</v>
      </c>
      <c r="F798" s="60" t="str">
        <f>IFERROR(__xludf.DUMMYFUNCTION("iferror(ifna(IFNA(filter('2.1.clean'!E:E,'2.1.clean'!A:A=C798),filter('2.2.clean'!G:G,'2.2.clean'!D:D=C798)),filter('2.4.clean'!E:E,'2.4.clean'!A:A=C798)),)"),"")</f>
        <v/>
      </c>
      <c r="G798" s="59" t="str">
        <f>IFERROR(__xludf.DUMMYFUNCTION("iferror(filter('3.1.clean'!C:C,'3.1.clean'!A:A=C798),"""")"),"")</f>
        <v/>
      </c>
      <c r="H798" s="58"/>
      <c r="I798" s="58" t="str">
        <f>IFERROR(__xludf.DUMMYFUNCTION("iferror(filter('3.1.clean'!G:G,'3.1.clean'!A:A=C798),"""")"),"")</f>
        <v/>
      </c>
      <c r="J798" s="60" t="str">
        <f>IFERROR(__xludf.DUMMYFUNCTION("iferror(filter('3.1.clean'!I:I,'3.1.clean'!A:A=C798),"""")"),"")</f>
        <v/>
      </c>
      <c r="K798" s="59"/>
      <c r="L798" s="60"/>
      <c r="M798" s="59">
        <f>IFERROR(__xludf.DUMMYFUNCTION("iferror(filter('3.3.clean'!C:C,'3.3.clean'!A:A=C798),"""")"),43777.0)</f>
        <v>43777</v>
      </c>
      <c r="N798" s="60" t="b">
        <f t="shared" si="607"/>
        <v>1</v>
      </c>
      <c r="O798" s="59" t="str">
        <f>IFERROR(__xludf.DUMMYFUNCTION("iferror(filter('3.4.clean'!C:C,'3.4.clean'!A:A=C798),"""")"),"")</f>
        <v/>
      </c>
      <c r="P798" s="60" t="b">
        <f t="shared" si="608"/>
        <v>0</v>
      </c>
      <c r="Q798" s="59">
        <f>IFERROR(__xludf.DUMMYFUNCTION("iferror(filter('3.5.clean'!C:C,'3.5.clean'!A:A=C798),"""")"),43776.0)</f>
        <v>43776</v>
      </c>
      <c r="R798" s="58" t="b">
        <f t="shared" ref="R798:R799" si="610">if(Q798="",FALSE,TRUE)</f>
        <v>1</v>
      </c>
      <c r="S798" s="4">
        <f>IFERROR(__xludf.DUMMYFUNCTION("iferror(filter('3.5.clean'!H:H,'3.5.clean'!A:A=C798),"""")"),0.0)</f>
        <v>0</v>
      </c>
      <c r="V798" s="52" t="s">
        <v>64</v>
      </c>
      <c r="W798" s="23" t="b">
        <f>if(AND(R798=TRUE,N798=TRUE,P798=TRUE),TRUE,FALSE)</f>
        <v>0</v>
      </c>
      <c r="X798" s="23" t="str">
        <f>IFERROR(__xludf.DUMMYFUNCTION("if(COUNTA(FILTER(C:C, C:C = C798))=1,""no"",""yes"")"),"no")</f>
        <v>no</v>
      </c>
    </row>
    <row r="799">
      <c r="A799" s="1" t="s">
        <v>848</v>
      </c>
      <c r="B799" s="2">
        <v>4.0</v>
      </c>
      <c r="C799" s="19" t="s">
        <v>1576</v>
      </c>
      <c r="E799" s="24">
        <f>IFERROR(__xludf.DUMMYFUNCTION("ifna(IFNA(filter('2.1.clean'!C:C,'2.1.clean'!A:A=C799),filter('2.2.clean'!E:E,'2.2.clean'!D:D=C799)),filter('2.4.clean'!C:C,'2.4.clean'!A:A=C799))"),43776.0)</f>
        <v>43776</v>
      </c>
      <c r="F799" s="25">
        <f>IFERROR(__xludf.DUMMYFUNCTION("iferror(ifna(IFNA(filter('2.1.clean'!E:E,'2.1.clean'!A:A=C799),filter('2.2.clean'!G:G,'2.2.clean'!D:D=C799)),filter('2.4.clean'!E:E,'2.4.clean'!A:A=C799)),)"),2.4)</f>
        <v>2.4</v>
      </c>
      <c r="G799" s="24"/>
      <c r="J799" s="25"/>
      <c r="K799" s="24"/>
      <c r="L799" s="25"/>
      <c r="M799" s="24">
        <f>IFERROR(__xludf.DUMMYFUNCTION("iferror(filter('3.3.clean'!C:C,'3.3.clean'!A:A=C799),"""")"),43777.0)</f>
        <v>43777</v>
      </c>
      <c r="N799" s="25" t="b">
        <f t="shared" si="607"/>
        <v>1</v>
      </c>
      <c r="O799" s="24">
        <f>IFERROR(__xludf.DUMMYFUNCTION("iferror(filter('3.4.clean'!C:C,'3.4.clean'!A:A=C799),"""")"),43787.0)</f>
        <v>43787</v>
      </c>
      <c r="P799" s="25" t="b">
        <f t="shared" si="608"/>
        <v>1</v>
      </c>
      <c r="Q799" s="24">
        <f>IFERROR(__xludf.DUMMYFUNCTION("iferror(filter('3.5.clean'!C:C,'3.5.clean'!A:A=C799),"""")"),43776.0)</f>
        <v>43776</v>
      </c>
      <c r="R799" s="23" t="b">
        <f t="shared" si="610"/>
        <v>1</v>
      </c>
      <c r="S799" s="25"/>
      <c r="V799" s="52" t="s">
        <v>64</v>
      </c>
      <c r="W799" s="23" t="b">
        <f>IF(and(R799=TRUE,N799=TRUE,P799=TRUE),TRUE,FALSE)</f>
        <v>1</v>
      </c>
      <c r="X799" s="23" t="str">
        <f>IFERROR(__xludf.DUMMYFUNCTION("if(COUNTA(FILTER(C:C, C:C = C799))=1,""no"",""yes"")"),"no")</f>
        <v>no</v>
      </c>
    </row>
    <row r="800">
      <c r="A800" s="1" t="s">
        <v>848</v>
      </c>
      <c r="B800" s="19">
        <v>5.0</v>
      </c>
      <c r="C800" s="19" t="s">
        <v>1577</v>
      </c>
      <c r="D800" s="58" t="str">
        <f t="shared" ref="D800:D801" si="611">if(or(I800=1,J800=1,S800=1),"pos","")</f>
        <v/>
      </c>
      <c r="E800" s="59">
        <f>IFERROR(__xludf.DUMMYFUNCTION("ifna(IFNA(filter('2.1.clean'!C:C,'2.1.clean'!A:A=C800),filter('2.2.clean'!E:E,'2.2.clean'!D:D=C800)),filter('2.4.clean'!C:C,'2.4.clean'!A:A=C800))"),43776.0)</f>
        <v>43776</v>
      </c>
      <c r="F800" s="60">
        <f>IFERROR(__xludf.DUMMYFUNCTION("iferror(ifna(IFNA(filter('2.1.clean'!E:E,'2.1.clean'!A:A=C800),filter('2.2.clean'!G:G,'2.2.clean'!D:D=C800)),filter('2.4.clean'!E:E,'2.4.clean'!A:A=C800)),)"),2.4)</f>
        <v>2.4</v>
      </c>
      <c r="G800" s="59">
        <f>IFERROR(__xludf.DUMMYFUNCTION("iferror(filter('3.1.clean'!C:C,'3.1.clean'!A:A=C800),"""")"),43776.0)</f>
        <v>43776</v>
      </c>
      <c r="H800" s="58" t="b">
        <f>if(G800="",FALSE,TRUE)</f>
        <v>1</v>
      </c>
      <c r="I800" s="58">
        <f>IFERROR(__xludf.DUMMYFUNCTION("iferror(filter('3.1.clean'!G:G,'3.1.clean'!A:A=C800),"""")"),0.0)</f>
        <v>0</v>
      </c>
      <c r="J800" s="60" t="str">
        <f>IFERROR(__xludf.DUMMYFUNCTION("iferror(filter('3.1.clean'!I:I,'3.1.clean'!A:A=C800),"""")"),"")</f>
        <v/>
      </c>
      <c r="K800" s="58"/>
      <c r="L800" s="60"/>
      <c r="M800" s="59" t="str">
        <f>IFERROR(__xludf.DUMMYFUNCTION("iferror(filter('3.3.clean'!C:C,'3.3.clean'!A:A=C800),"""")"),"")</f>
        <v/>
      </c>
      <c r="N800" s="60" t="b">
        <f t="shared" si="607"/>
        <v>0</v>
      </c>
      <c r="O800" s="59" t="str">
        <f>IFERROR(__xludf.DUMMYFUNCTION("iferror(filter('3.4.clean'!C:C,'3.4.clean'!A:A=C800),"""")"),"")</f>
        <v/>
      </c>
      <c r="P800" s="60" t="b">
        <f t="shared" si="608"/>
        <v>0</v>
      </c>
      <c r="Q800" s="59" t="str">
        <f>IFERROR(__xludf.DUMMYFUNCTION("iferror(filter('3.5.clean'!C:C,'3.5.clean'!A:A=C800),"""")"),"")</f>
        <v/>
      </c>
      <c r="R800" s="58"/>
      <c r="S800" s="4" t="str">
        <f>IFERROR(__xludf.DUMMYFUNCTION("iferror(filter('3.5.clean'!H:H,'3.5.clean'!A:A=C800),"""")"),"")</f>
        <v/>
      </c>
      <c r="W800" s="23" t="b">
        <f>if(AND(H800=TRUE,N800=TRUE,P800=TRUE),TRUE,FALSE)</f>
        <v>0</v>
      </c>
      <c r="X800" s="23" t="str">
        <f>IFERROR(__xludf.DUMMYFUNCTION("if(COUNTA(FILTER(C:C, C:C = C800))=1,""no"",""yes"")"),"no")</f>
        <v>no</v>
      </c>
    </row>
    <row r="801">
      <c r="A801" s="1" t="s">
        <v>848</v>
      </c>
      <c r="B801" s="19">
        <v>6.0</v>
      </c>
      <c r="C801" s="19" t="s">
        <v>1578</v>
      </c>
      <c r="D801" s="58" t="str">
        <f t="shared" si="611"/>
        <v/>
      </c>
      <c r="E801" s="59">
        <f>Q801</f>
        <v>43776</v>
      </c>
      <c r="F801" s="60" t="str">
        <f>IFERROR(__xludf.DUMMYFUNCTION("iferror(ifna(IFNA(filter('2.1.clean'!E:E,'2.1.clean'!A:A=C801),filter('2.2.clean'!G:G,'2.2.clean'!D:D=C801)),filter('2.4.clean'!E:E,'2.4.clean'!A:A=C801)),)"),"")</f>
        <v/>
      </c>
      <c r="G801" s="59" t="str">
        <f>IFERROR(__xludf.DUMMYFUNCTION("iferror(filter('3.1.clean'!C:C,'3.1.clean'!A:A=C801),"""")"),"")</f>
        <v/>
      </c>
      <c r="H801" s="58"/>
      <c r="I801" s="58" t="str">
        <f>IFERROR(__xludf.DUMMYFUNCTION("iferror(filter('3.1.clean'!G:G,'3.1.clean'!A:A=C801),"""")"),"")</f>
        <v/>
      </c>
      <c r="J801" s="60" t="str">
        <f>IFERROR(__xludf.DUMMYFUNCTION("iferror(filter('3.1.clean'!I:I,'3.1.clean'!A:A=C801),"""")"),"")</f>
        <v/>
      </c>
      <c r="K801" s="59"/>
      <c r="L801" s="60"/>
      <c r="M801" s="59">
        <f>IFERROR(__xludf.DUMMYFUNCTION("iferror(filter('3.3.clean'!C:C,'3.3.clean'!A:A=C801),"""")"),43777.0)</f>
        <v>43777</v>
      </c>
      <c r="N801" s="60" t="b">
        <f t="shared" si="607"/>
        <v>1</v>
      </c>
      <c r="O801" s="59" t="str">
        <f>IFERROR(__xludf.DUMMYFUNCTION("iferror(filter('3.4.clean'!C:C,'3.4.clean'!A:A=C801),"""")"),"")</f>
        <v/>
      </c>
      <c r="P801" s="60" t="b">
        <f t="shared" si="608"/>
        <v>0</v>
      </c>
      <c r="Q801" s="59">
        <f>IFERROR(__xludf.DUMMYFUNCTION("iferror(filter('3.5.clean'!C:C,'3.5.clean'!A:A=C801),"""")"),43776.0)</f>
        <v>43776</v>
      </c>
      <c r="R801" s="58" t="b">
        <f t="shared" ref="R801:R802" si="612">if(Q801="",FALSE,TRUE)</f>
        <v>1</v>
      </c>
      <c r="S801" s="4">
        <f>IFERROR(__xludf.DUMMYFUNCTION("iferror(filter('3.5.clean'!H:H,'3.5.clean'!A:A=C801),"""")"),0.0)</f>
        <v>0</v>
      </c>
      <c r="V801" s="52" t="s">
        <v>64</v>
      </c>
      <c r="W801" s="23" t="b">
        <f>if(AND(R801=TRUE,N801=TRUE,P801=TRUE),TRUE,FALSE)</f>
        <v>0</v>
      </c>
      <c r="X801" s="23" t="str">
        <f>IFERROR(__xludf.DUMMYFUNCTION("if(COUNTA(FILTER(C:C, C:C = C801))=1,""no"",""yes"")"),"no")</f>
        <v>no</v>
      </c>
    </row>
    <row r="802">
      <c r="A802" s="1" t="s">
        <v>848</v>
      </c>
      <c r="B802" s="2">
        <v>7.0</v>
      </c>
      <c r="C802" s="19" t="s">
        <v>1579</v>
      </c>
      <c r="E802" s="24">
        <f>IFERROR(__xludf.DUMMYFUNCTION("ifna(IFNA(filter('2.1.clean'!C:C,'2.1.clean'!A:A=C802),filter('2.2.clean'!E:E,'2.2.clean'!D:D=C802)),filter('2.4.clean'!C:C,'2.4.clean'!A:A=C802))"),43776.0)</f>
        <v>43776</v>
      </c>
      <c r="F802" s="25">
        <f>IFERROR(__xludf.DUMMYFUNCTION("iferror(ifna(IFNA(filter('2.1.clean'!E:E,'2.1.clean'!A:A=C802),filter('2.2.clean'!G:G,'2.2.clean'!D:D=C802)),filter('2.4.clean'!E:E,'2.4.clean'!A:A=C802)),)"),2.4)</f>
        <v>2.4</v>
      </c>
      <c r="G802" s="24">
        <f>IFERROR(__xludf.DUMMYFUNCTION("iferror(filter('3.1.clean'!C:C,'3.1.clean'!A:A=C802),"""")"),43776.0)</f>
        <v>43776</v>
      </c>
      <c r="H802" s="23" t="b">
        <f t="shared" ref="H802:H803" si="613">if(G802="",FALSE,TRUE)</f>
        <v>1</v>
      </c>
      <c r="J802" s="25"/>
      <c r="K802" s="24">
        <f>IFERROR(__xludf.DUMMYFUNCTION("iferror(filter('3.2.clean'!C:C,'3.2.clean'!A:A=C802),"""")"),43776.0)</f>
        <v>43776</v>
      </c>
      <c r="L802" s="25" t="b">
        <f>if(K802="",FALSE,TRUE)</f>
        <v>1</v>
      </c>
      <c r="M802" s="24">
        <f>IFERROR(__xludf.DUMMYFUNCTION("iferror(filter('3.3.clean'!C:C,'3.3.clean'!A:A=C802),"""")"),43777.0)</f>
        <v>43777</v>
      </c>
      <c r="N802" s="25" t="b">
        <f t="shared" si="607"/>
        <v>1</v>
      </c>
      <c r="O802" s="24">
        <f>IFERROR(__xludf.DUMMYFUNCTION("iferror(filter('3.4.clean'!C:C,'3.4.clean'!A:A=C802),"""")"),43787.0)</f>
        <v>43787</v>
      </c>
      <c r="P802" s="25" t="b">
        <f t="shared" si="608"/>
        <v>1</v>
      </c>
      <c r="Q802" s="24">
        <f>IFERROR(__xludf.DUMMYFUNCTION("iferror(filter('3.5.clean'!C:C,'3.5.clean'!A:A=C802),"""")"),43776.0)</f>
        <v>43776</v>
      </c>
      <c r="R802" s="23" t="b">
        <f t="shared" si="612"/>
        <v>1</v>
      </c>
      <c r="S802" s="25"/>
      <c r="V802" s="1" t="s">
        <v>64</v>
      </c>
      <c r="X802" s="23" t="str">
        <f>IFERROR(__xludf.DUMMYFUNCTION("if(COUNTA(FILTER(C:C, C:C = C802))=1,""no"",""yes"")"),"no")</f>
        <v>no</v>
      </c>
    </row>
    <row r="803">
      <c r="A803" s="1" t="s">
        <v>848</v>
      </c>
      <c r="B803" s="19">
        <v>8.0</v>
      </c>
      <c r="C803" s="19" t="s">
        <v>1580</v>
      </c>
      <c r="D803" s="58" t="str">
        <f t="shared" ref="D803:D804" si="614">if(or(I803=1,J803=1,S803=1),"pos","")</f>
        <v/>
      </c>
      <c r="E803" s="59">
        <f>IFERROR(__xludf.DUMMYFUNCTION("ifna(IFNA(filter('2.1.clean'!C:C,'2.1.clean'!A:A=C803),filter('2.2.clean'!E:E,'2.2.clean'!D:D=C803)),filter('2.4.clean'!C:C,'2.4.clean'!A:A=C803))"),43776.0)</f>
        <v>43776</v>
      </c>
      <c r="F803" s="60">
        <f>IFERROR(__xludf.DUMMYFUNCTION("iferror(ifna(IFNA(filter('2.1.clean'!E:E,'2.1.clean'!A:A=C803),filter('2.2.clean'!G:G,'2.2.clean'!D:D=C803)),filter('2.4.clean'!E:E,'2.4.clean'!A:A=C803)),)"),2.4)</f>
        <v>2.4</v>
      </c>
      <c r="G803" s="59">
        <f>IFERROR(__xludf.DUMMYFUNCTION("iferror(filter('3.1.clean'!C:C,'3.1.clean'!A:A=C803),"""")"),43776.0)</f>
        <v>43776</v>
      </c>
      <c r="H803" s="58" t="b">
        <f t="shared" si="613"/>
        <v>1</v>
      </c>
      <c r="I803" s="58">
        <f>IFERROR(__xludf.DUMMYFUNCTION("iferror(filter('3.1.clean'!G:G,'3.1.clean'!A:A=C803),"""")"),0.0)</f>
        <v>0</v>
      </c>
      <c r="J803" s="60" t="str">
        <f>IFERROR(__xludf.DUMMYFUNCTION("iferror(filter('3.1.clean'!I:I,'3.1.clean'!A:A=C803),"""")"),"")</f>
        <v/>
      </c>
      <c r="K803" s="58"/>
      <c r="L803" s="60"/>
      <c r="M803" s="59" t="str">
        <f>IFERROR(__xludf.DUMMYFUNCTION("iferror(filter('3.3.clean'!C:C,'3.3.clean'!A:A=C803),"""")"),"")</f>
        <v/>
      </c>
      <c r="N803" s="60" t="b">
        <f t="shared" si="607"/>
        <v>0</v>
      </c>
      <c r="O803" s="59" t="str">
        <f>IFERROR(__xludf.DUMMYFUNCTION("iferror(filter('3.4.clean'!C:C,'3.4.clean'!A:A=C803),"""")"),"")</f>
        <v/>
      </c>
      <c r="P803" s="60" t="b">
        <f t="shared" si="608"/>
        <v>0</v>
      </c>
      <c r="Q803" s="59" t="str">
        <f>IFERROR(__xludf.DUMMYFUNCTION("iferror(filter('3.5.clean'!C:C,'3.5.clean'!A:A=C803),"""")"),"")</f>
        <v/>
      </c>
      <c r="R803" s="58"/>
      <c r="S803" s="4" t="str">
        <f>IFERROR(__xludf.DUMMYFUNCTION("iferror(filter('3.5.clean'!H:H,'3.5.clean'!A:A=C803),"""")"),"")</f>
        <v/>
      </c>
      <c r="W803" s="23" t="b">
        <f>if(AND(H803=TRUE,N803=TRUE,P803=TRUE),TRUE,FALSE)</f>
        <v>0</v>
      </c>
      <c r="X803" s="23" t="str">
        <f>IFERROR(__xludf.DUMMYFUNCTION("if(COUNTA(FILTER(C:C, C:C = C803))=1,""no"",""yes"")"),"no")</f>
        <v>no</v>
      </c>
    </row>
    <row r="804">
      <c r="A804" s="1" t="s">
        <v>848</v>
      </c>
      <c r="B804" s="19">
        <v>9.0</v>
      </c>
      <c r="C804" s="19" t="s">
        <v>1581</v>
      </c>
      <c r="D804" s="58" t="str">
        <f t="shared" si="614"/>
        <v>pos</v>
      </c>
      <c r="E804" s="59">
        <f>Q804</f>
        <v>43776</v>
      </c>
      <c r="F804" s="60" t="str">
        <f>IFERROR(__xludf.DUMMYFUNCTION("iferror(ifna(IFNA(filter('2.1.clean'!E:E,'2.1.clean'!A:A=C804),filter('2.2.clean'!G:G,'2.2.clean'!D:D=C804)),filter('2.4.clean'!E:E,'2.4.clean'!A:A=C804)),)"),"")</f>
        <v/>
      </c>
      <c r="G804" s="59" t="str">
        <f>IFERROR(__xludf.DUMMYFUNCTION("iferror(filter('3.1.clean'!C:C,'3.1.clean'!A:A=C804),"""")"),"")</f>
        <v/>
      </c>
      <c r="H804" s="58"/>
      <c r="I804" s="58" t="str">
        <f>IFERROR(__xludf.DUMMYFUNCTION("iferror(filter('3.1.clean'!G:G,'3.1.clean'!A:A=C804),"""")"),"")</f>
        <v/>
      </c>
      <c r="J804" s="60" t="str">
        <f>IFERROR(__xludf.DUMMYFUNCTION("iferror(filter('3.1.clean'!I:I,'3.1.clean'!A:A=C804),"""")"),"")</f>
        <v/>
      </c>
      <c r="K804" s="59"/>
      <c r="L804" s="60"/>
      <c r="M804" s="59">
        <f>IFERROR(__xludf.DUMMYFUNCTION("iferror(filter('3.3.clean'!C:C,'3.3.clean'!A:A=C804),"""")"),43777.0)</f>
        <v>43777</v>
      </c>
      <c r="N804" s="60" t="b">
        <f t="shared" si="607"/>
        <v>1</v>
      </c>
      <c r="O804" s="59">
        <f>IFERROR(__xludf.DUMMYFUNCTION("iferror(filter('3.4.clean'!C:C,'3.4.clean'!A:A=C804),"""")"),43787.0)</f>
        <v>43787</v>
      </c>
      <c r="P804" s="60" t="b">
        <f t="shared" si="608"/>
        <v>1</v>
      </c>
      <c r="Q804" s="59">
        <f>IFERROR(__xludf.DUMMYFUNCTION("iferror(filter('3.5.clean'!C:C,'3.5.clean'!A:A=C804),"""")"),43776.0)</f>
        <v>43776</v>
      </c>
      <c r="R804" s="58" t="b">
        <f t="shared" ref="R804:R805" si="615">if(Q804="",FALSE,TRUE)</f>
        <v>1</v>
      </c>
      <c r="S804" s="4">
        <f>IFERROR(__xludf.DUMMYFUNCTION("iferror(filter('3.5.clean'!H:H,'3.5.clean'!A:A=C804),"""")"),1.0)</f>
        <v>1</v>
      </c>
      <c r="V804" s="52" t="s">
        <v>64</v>
      </c>
      <c r="W804" s="23" t="b">
        <f>if(AND(R804=TRUE,N804=TRUE,P804=TRUE),TRUE,FALSE)</f>
        <v>1</v>
      </c>
      <c r="X804" s="23" t="str">
        <f>IFERROR(__xludf.DUMMYFUNCTION("if(COUNTA(FILTER(C:C, C:C = C804))=1,""no"",""yes"")"),"no")</f>
        <v>no</v>
      </c>
    </row>
    <row r="805">
      <c r="A805" s="1" t="s">
        <v>848</v>
      </c>
      <c r="B805" s="2">
        <v>10.0</v>
      </c>
      <c r="C805" s="19" t="s">
        <v>1582</v>
      </c>
      <c r="E805" s="24">
        <f>IFERROR(__xludf.DUMMYFUNCTION("ifna(IFNA(filter('2.1.clean'!C:C,'2.1.clean'!A:A=C805),filter('2.2.clean'!E:E,'2.2.clean'!D:D=C805)),filter('2.4.clean'!C:C,'2.4.clean'!A:A=C805))"),43776.0)</f>
        <v>43776</v>
      </c>
      <c r="F805" s="25">
        <f>IFERROR(__xludf.DUMMYFUNCTION("iferror(ifna(IFNA(filter('2.1.clean'!E:E,'2.1.clean'!A:A=C805),filter('2.2.clean'!G:G,'2.2.clean'!D:D=C805)),filter('2.4.clean'!E:E,'2.4.clean'!A:A=C805)),)"),2.4)</f>
        <v>2.4</v>
      </c>
      <c r="G805" s="24">
        <f>IFERROR(__xludf.DUMMYFUNCTION("iferror(filter('3.1.clean'!C:C,'3.1.clean'!A:A=C805),"""")"),43776.0)</f>
        <v>43776</v>
      </c>
      <c r="H805" s="23" t="b">
        <f t="shared" ref="H805:H806" si="616">if(G805="",FALSE,TRUE)</f>
        <v>1</v>
      </c>
      <c r="J805" s="25"/>
      <c r="K805" s="24">
        <f>IFERROR(__xludf.DUMMYFUNCTION("iferror(filter('3.2.clean'!C:C,'3.2.clean'!A:A=C805),"""")"),43776.0)</f>
        <v>43776</v>
      </c>
      <c r="L805" s="25" t="b">
        <f>if(K805="",FALSE,TRUE)</f>
        <v>1</v>
      </c>
      <c r="M805" s="24">
        <f>IFERROR(__xludf.DUMMYFUNCTION("iferror(filter('3.3.clean'!C:C,'3.3.clean'!A:A=C805),"""")"),43777.0)</f>
        <v>43777</v>
      </c>
      <c r="N805" s="25" t="b">
        <f t="shared" si="607"/>
        <v>1</v>
      </c>
      <c r="O805" s="24">
        <f>IFERROR(__xludf.DUMMYFUNCTION("iferror(filter('3.4.clean'!C:C,'3.4.clean'!A:A=C805),"""")"),43787.0)</f>
        <v>43787</v>
      </c>
      <c r="P805" s="25" t="b">
        <f t="shared" si="608"/>
        <v>1</v>
      </c>
      <c r="Q805" s="24">
        <f>IFERROR(__xludf.DUMMYFUNCTION("iferror(filter('3.5.clean'!C:C,'3.5.clean'!A:A=C805),"""")"),43776.0)</f>
        <v>43776</v>
      </c>
      <c r="R805" s="23" t="b">
        <f t="shared" si="615"/>
        <v>1</v>
      </c>
      <c r="S805" s="25"/>
      <c r="V805" s="1" t="s">
        <v>64</v>
      </c>
      <c r="X805" s="23" t="str">
        <f>IFERROR(__xludf.DUMMYFUNCTION("if(COUNTA(FILTER(C:C, C:C = C805))=1,""no"",""yes"")"),"no")</f>
        <v>no</v>
      </c>
    </row>
    <row r="806">
      <c r="A806" s="1" t="s">
        <v>848</v>
      </c>
      <c r="B806" s="19">
        <v>11.0</v>
      </c>
      <c r="C806" s="19" t="s">
        <v>275</v>
      </c>
      <c r="D806" s="58" t="str">
        <f t="shared" ref="D806:D807" si="617">if(or(I806=1,J806=1,S806=1),"pos","")</f>
        <v>pos</v>
      </c>
      <c r="E806" s="59">
        <f>IFERROR(__xludf.DUMMYFUNCTION("ifna(IFNA(filter('2.1.clean'!C:C,'2.1.clean'!A:A=C806),filter('2.2.clean'!E:E,'2.2.clean'!D:D=C806)),filter('2.4.clean'!C:C,'2.4.clean'!A:A=C806))"),43776.0)</f>
        <v>43776</v>
      </c>
      <c r="F806" s="60">
        <f>IFERROR(__xludf.DUMMYFUNCTION("iferror(ifna(IFNA(filter('2.1.clean'!E:E,'2.1.clean'!A:A=C806),filter('2.2.clean'!G:G,'2.2.clean'!D:D=C806)),filter('2.4.clean'!E:E,'2.4.clean'!A:A=C806)),)"),2.4)</f>
        <v>2.4</v>
      </c>
      <c r="G806" s="59">
        <f>IFERROR(__xludf.DUMMYFUNCTION("iferror(filter('3.1.clean'!C:C,'3.1.clean'!A:A=C806),"""")"),43776.0)</f>
        <v>43776</v>
      </c>
      <c r="H806" s="58" t="b">
        <f t="shared" si="616"/>
        <v>1</v>
      </c>
      <c r="I806" s="58">
        <f>IFERROR(__xludf.DUMMYFUNCTION("iferror(filter('3.1.clean'!G:G,'3.1.clean'!A:A=C806),"""")"),1.0)</f>
        <v>1</v>
      </c>
      <c r="J806" s="60" t="str">
        <f>IFERROR(__xludf.DUMMYFUNCTION("iferror(filter('3.1.clean'!I:I,'3.1.clean'!A:A=C806),"""")"),"")</f>
        <v/>
      </c>
      <c r="K806" s="58"/>
      <c r="L806" s="60"/>
      <c r="M806" s="59" t="str">
        <f>IFERROR(__xludf.DUMMYFUNCTION("iferror(filter('3.3.clean'!C:C,'3.3.clean'!A:A=C806),"""")"),"")</f>
        <v/>
      </c>
      <c r="N806" s="60" t="b">
        <f t="shared" si="607"/>
        <v>0</v>
      </c>
      <c r="O806" s="59" t="str">
        <f>IFERROR(__xludf.DUMMYFUNCTION("iferror(filter('3.4.clean'!C:C,'3.4.clean'!A:A=C806),"""")"),"")</f>
        <v/>
      </c>
      <c r="P806" s="60" t="b">
        <f t="shared" si="608"/>
        <v>0</v>
      </c>
      <c r="Q806" s="59" t="str">
        <f>IFERROR(__xludf.DUMMYFUNCTION("iferror(filter('3.5.clean'!C:C,'3.5.clean'!A:A=C806),"""")"),"")</f>
        <v/>
      </c>
      <c r="R806" s="58"/>
      <c r="S806" s="4" t="str">
        <f>IFERROR(__xludf.DUMMYFUNCTION("iferror(filter('3.5.clean'!H:H,'3.5.clean'!A:A=C806),"""")"),"")</f>
        <v/>
      </c>
      <c r="W806" s="23" t="b">
        <f>if(AND(H806=TRUE,N806=TRUE,P806=TRUE),TRUE,FALSE)</f>
        <v>0</v>
      </c>
      <c r="X806" s="23" t="str">
        <f>IFERROR(__xludf.DUMMYFUNCTION("if(COUNTA(FILTER(C:C, C:C = C806))=1,""no"",""yes"")"),"no")</f>
        <v>no</v>
      </c>
    </row>
    <row r="807">
      <c r="A807" s="1" t="s">
        <v>848</v>
      </c>
      <c r="B807" s="19">
        <v>12.0</v>
      </c>
      <c r="C807" s="19" t="s">
        <v>274</v>
      </c>
      <c r="D807" s="58" t="str">
        <f t="shared" si="617"/>
        <v>pos</v>
      </c>
      <c r="E807" s="59">
        <f>Q807</f>
        <v>43776</v>
      </c>
      <c r="F807" s="60" t="str">
        <f>IFERROR(__xludf.DUMMYFUNCTION("iferror(ifna(IFNA(filter('2.1.clean'!E:E,'2.1.clean'!A:A=C807),filter('2.2.clean'!G:G,'2.2.clean'!D:D=C807)),filter('2.4.clean'!E:E,'2.4.clean'!A:A=C807)),)"),"")</f>
        <v/>
      </c>
      <c r="G807" s="59" t="str">
        <f>IFERROR(__xludf.DUMMYFUNCTION("iferror(filter('3.1.clean'!C:C,'3.1.clean'!A:A=C807),"""")"),"")</f>
        <v/>
      </c>
      <c r="H807" s="58"/>
      <c r="I807" s="58" t="str">
        <f>IFERROR(__xludf.DUMMYFUNCTION("iferror(filter('3.1.clean'!G:G,'3.1.clean'!A:A=C807),"""")"),"")</f>
        <v/>
      </c>
      <c r="J807" s="60" t="str">
        <f>IFERROR(__xludf.DUMMYFUNCTION("iferror(filter('3.1.clean'!I:I,'3.1.clean'!A:A=C807),"""")"),"")</f>
        <v/>
      </c>
      <c r="K807" s="59"/>
      <c r="L807" s="60"/>
      <c r="M807" s="59">
        <f>IFERROR(__xludf.DUMMYFUNCTION("iferror(filter('3.3.clean'!C:C,'3.3.clean'!A:A=C807),"""")"),43777.0)</f>
        <v>43777</v>
      </c>
      <c r="N807" s="60" t="b">
        <f t="shared" si="607"/>
        <v>1</v>
      </c>
      <c r="O807" s="59">
        <f>IFERROR(__xludf.DUMMYFUNCTION("iferror(filter('3.4.clean'!C:C,'3.4.clean'!A:A=C807),"""")"),43787.0)</f>
        <v>43787</v>
      </c>
      <c r="P807" s="60" t="b">
        <f t="shared" si="608"/>
        <v>1</v>
      </c>
      <c r="Q807" s="59">
        <f>IFERROR(__xludf.DUMMYFUNCTION("iferror(filter('3.5.clean'!C:C,'3.5.clean'!A:A=C807),"""")"),43776.0)</f>
        <v>43776</v>
      </c>
      <c r="R807" s="58" t="b">
        <f t="shared" ref="R807:R808" si="618">if(Q807="",FALSE,TRUE)</f>
        <v>1</v>
      </c>
      <c r="S807" s="4">
        <f>IFERROR(__xludf.DUMMYFUNCTION("iferror(filter('3.5.clean'!H:H,'3.5.clean'!A:A=C807),"""")"),1.0)</f>
        <v>1</v>
      </c>
      <c r="V807" s="52" t="s">
        <v>64</v>
      </c>
      <c r="W807" s="23" t="b">
        <f>if(AND(R807=TRUE,N807=TRUE,P807=TRUE),TRUE,FALSE)</f>
        <v>1</v>
      </c>
      <c r="X807" s="23" t="str">
        <f>IFERROR(__xludf.DUMMYFUNCTION("if(COUNTA(FILTER(C:C, C:C = C807))=1,""no"",""yes"")"),"no")</f>
        <v>no</v>
      </c>
    </row>
    <row r="808">
      <c r="A808" s="1" t="s">
        <v>848</v>
      </c>
      <c r="B808" s="2">
        <v>13.0</v>
      </c>
      <c r="C808" s="19" t="s">
        <v>1583</v>
      </c>
      <c r="E808" s="24">
        <f>IFERROR(__xludf.DUMMYFUNCTION("ifna(IFNA(filter('2.1.clean'!C:C,'2.1.clean'!A:A=C808),filter('2.2.clean'!E:E,'2.2.clean'!D:D=C808)),filter('2.4.clean'!C:C,'2.4.clean'!A:A=C808))"),43776.0)</f>
        <v>43776</v>
      </c>
      <c r="F808" s="25">
        <f>IFERROR(__xludf.DUMMYFUNCTION("iferror(ifna(IFNA(filter('2.1.clean'!E:E,'2.1.clean'!A:A=C808),filter('2.2.clean'!G:G,'2.2.clean'!D:D=C808)),filter('2.4.clean'!E:E,'2.4.clean'!A:A=C808)),)"),2.4)</f>
        <v>2.4</v>
      </c>
      <c r="G808" s="24">
        <f>IFERROR(__xludf.DUMMYFUNCTION("iferror(filter('3.1.clean'!C:C,'3.1.clean'!A:A=C808),"""")"),43776.0)</f>
        <v>43776</v>
      </c>
      <c r="H808" s="23" t="b">
        <f t="shared" ref="H808:H809" si="619">if(G808="",FALSE,TRUE)</f>
        <v>1</v>
      </c>
      <c r="J808" s="25"/>
      <c r="K808" s="24">
        <f>IFERROR(__xludf.DUMMYFUNCTION("iferror(filter('3.2.clean'!C:C,'3.2.clean'!A:A=C808),"""")"),43776.0)</f>
        <v>43776</v>
      </c>
      <c r="L808" s="25" t="b">
        <f>if(K808="",FALSE,TRUE)</f>
        <v>1</v>
      </c>
      <c r="M808" s="24">
        <f>IFERROR(__xludf.DUMMYFUNCTION("iferror(filter('3.3.clean'!C:C,'3.3.clean'!A:A=C808),"""")"),43777.0)</f>
        <v>43777</v>
      </c>
      <c r="N808" s="25" t="b">
        <f t="shared" si="607"/>
        <v>1</v>
      </c>
      <c r="O808" s="24">
        <f>IFERROR(__xludf.DUMMYFUNCTION("iferror(filter('3.4.clean'!C:C,'3.4.clean'!A:A=C808),"""")"),43787.0)</f>
        <v>43787</v>
      </c>
      <c r="P808" s="25" t="b">
        <f t="shared" si="608"/>
        <v>1</v>
      </c>
      <c r="Q808" s="24">
        <f>IFERROR(__xludf.DUMMYFUNCTION("iferror(filter('3.5.clean'!C:C,'3.5.clean'!A:A=C808),"""")"),43776.0)</f>
        <v>43776</v>
      </c>
      <c r="R808" s="23" t="b">
        <f t="shared" si="618"/>
        <v>1</v>
      </c>
      <c r="S808" s="25"/>
      <c r="V808" s="1" t="s">
        <v>64</v>
      </c>
      <c r="X808" s="23" t="str">
        <f>IFERROR(__xludf.DUMMYFUNCTION("if(COUNTA(FILTER(C:C, C:C = C808))=1,""no"",""yes"")"),"no")</f>
        <v>no</v>
      </c>
    </row>
    <row r="809">
      <c r="A809" s="1" t="s">
        <v>848</v>
      </c>
      <c r="B809" s="19">
        <v>14.0</v>
      </c>
      <c r="C809" s="19" t="s">
        <v>1584</v>
      </c>
      <c r="D809" s="58" t="str">
        <f t="shared" ref="D809:D810" si="620">if(or(I809=1,J809=1,S809=1),"pos","")</f>
        <v/>
      </c>
      <c r="E809" s="59">
        <f>IFERROR(__xludf.DUMMYFUNCTION("ifna(IFNA(filter('2.1.clean'!C:C,'2.1.clean'!A:A=C809),filter('2.2.clean'!E:E,'2.2.clean'!D:D=C809)),filter('2.4.clean'!C:C,'2.4.clean'!A:A=C809))"),43776.0)</f>
        <v>43776</v>
      </c>
      <c r="F809" s="60">
        <f>IFERROR(__xludf.DUMMYFUNCTION("iferror(ifna(IFNA(filter('2.1.clean'!E:E,'2.1.clean'!A:A=C809),filter('2.2.clean'!G:G,'2.2.clean'!D:D=C809)),filter('2.4.clean'!E:E,'2.4.clean'!A:A=C809)),)"),2.4)</f>
        <v>2.4</v>
      </c>
      <c r="G809" s="59">
        <f>IFERROR(__xludf.DUMMYFUNCTION("iferror(filter('3.1.clean'!C:C,'3.1.clean'!A:A=C809),"""")"),43776.0)</f>
        <v>43776</v>
      </c>
      <c r="H809" s="58" t="b">
        <f t="shared" si="619"/>
        <v>1</v>
      </c>
      <c r="I809" s="58">
        <f>IFERROR(__xludf.DUMMYFUNCTION("iferror(filter('3.1.clean'!G:G,'3.1.clean'!A:A=C809),"""")"),0.0)</f>
        <v>0</v>
      </c>
      <c r="J809" s="60" t="str">
        <f>IFERROR(__xludf.DUMMYFUNCTION("iferror(filter('3.1.clean'!I:I,'3.1.clean'!A:A=C809),"""")"),"")</f>
        <v/>
      </c>
      <c r="K809" s="58"/>
      <c r="L809" s="60"/>
      <c r="M809" s="59" t="str">
        <f>IFERROR(__xludf.DUMMYFUNCTION("iferror(filter('3.3.clean'!C:C,'3.3.clean'!A:A=C809),"""")"),"")</f>
        <v/>
      </c>
      <c r="N809" s="60" t="b">
        <f t="shared" si="607"/>
        <v>0</v>
      </c>
      <c r="O809" s="59" t="str">
        <f>IFERROR(__xludf.DUMMYFUNCTION("iferror(filter('3.4.clean'!C:C,'3.4.clean'!A:A=C809),"""")"),"")</f>
        <v/>
      </c>
      <c r="P809" s="60" t="b">
        <f t="shared" si="608"/>
        <v>0</v>
      </c>
      <c r="Q809" s="59" t="str">
        <f>IFERROR(__xludf.DUMMYFUNCTION("iferror(filter('3.5.clean'!C:C,'3.5.clean'!A:A=C809),"""")"),"")</f>
        <v/>
      </c>
      <c r="R809" s="58"/>
      <c r="S809" s="4" t="str">
        <f>IFERROR(__xludf.DUMMYFUNCTION("iferror(filter('3.5.clean'!H:H,'3.5.clean'!A:A=C809),"""")"),"")</f>
        <v/>
      </c>
      <c r="W809" s="23" t="b">
        <f>if(AND(H809=TRUE,N809=TRUE,P809=TRUE),TRUE,FALSE)</f>
        <v>0</v>
      </c>
      <c r="X809" s="23" t="str">
        <f>IFERROR(__xludf.DUMMYFUNCTION("if(COUNTA(FILTER(C:C, C:C = C809))=1,""no"",""yes"")"),"no")</f>
        <v>no</v>
      </c>
    </row>
    <row r="810">
      <c r="A810" s="1" t="s">
        <v>848</v>
      </c>
      <c r="B810" s="19">
        <v>15.0</v>
      </c>
      <c r="C810" s="19" t="s">
        <v>1585</v>
      </c>
      <c r="D810" s="58" t="str">
        <f t="shared" si="620"/>
        <v>pos</v>
      </c>
      <c r="E810" s="59">
        <f>Q810</f>
        <v>43776</v>
      </c>
      <c r="F810" s="60" t="str">
        <f>IFERROR(__xludf.DUMMYFUNCTION("iferror(ifna(IFNA(filter('2.1.clean'!E:E,'2.1.clean'!A:A=C810),filter('2.2.clean'!G:G,'2.2.clean'!D:D=C810)),filter('2.4.clean'!E:E,'2.4.clean'!A:A=C810)),)"),"")</f>
        <v/>
      </c>
      <c r="G810" s="59" t="str">
        <f>IFERROR(__xludf.DUMMYFUNCTION("iferror(filter('3.1.clean'!C:C,'3.1.clean'!A:A=C810),"""")"),"")</f>
        <v/>
      </c>
      <c r="H810" s="58"/>
      <c r="I810" s="58" t="str">
        <f>IFERROR(__xludf.DUMMYFUNCTION("iferror(filter('3.1.clean'!G:G,'3.1.clean'!A:A=C810),"""")"),"")</f>
        <v/>
      </c>
      <c r="J810" s="60" t="str">
        <f>IFERROR(__xludf.DUMMYFUNCTION("iferror(filter('3.1.clean'!I:I,'3.1.clean'!A:A=C810),"""")"),"")</f>
        <v/>
      </c>
      <c r="K810" s="59"/>
      <c r="L810" s="60"/>
      <c r="M810" s="59">
        <f>IFERROR(__xludf.DUMMYFUNCTION("iferror(filter('3.3.clean'!C:C,'3.3.clean'!A:A=C810),"""")"),43777.0)</f>
        <v>43777</v>
      </c>
      <c r="N810" s="60" t="b">
        <f t="shared" si="607"/>
        <v>1</v>
      </c>
      <c r="O810" s="59" t="str">
        <f>IFERROR(__xludf.DUMMYFUNCTION("iferror(filter('3.4.clean'!C:C,'3.4.clean'!A:A=C810),"""")"),"")</f>
        <v/>
      </c>
      <c r="P810" s="60" t="b">
        <f t="shared" si="608"/>
        <v>0</v>
      </c>
      <c r="Q810" s="59">
        <f>IFERROR(__xludf.DUMMYFUNCTION("iferror(filter('3.5.clean'!C:C,'3.5.clean'!A:A=C810),"""")"),43776.0)</f>
        <v>43776</v>
      </c>
      <c r="R810" s="58" t="b">
        <f t="shared" ref="R810:R811" si="621">if(Q810="",FALSE,TRUE)</f>
        <v>1</v>
      </c>
      <c r="S810" s="4">
        <f>IFERROR(__xludf.DUMMYFUNCTION("iferror(filter('3.5.clean'!H:H,'3.5.clean'!A:A=C810),"""")"),1.0)</f>
        <v>1</v>
      </c>
      <c r="V810" s="52" t="s">
        <v>64</v>
      </c>
      <c r="W810" s="23" t="b">
        <f>if(AND(R810=TRUE,N810=TRUE,P810=TRUE),TRUE,FALSE)</f>
        <v>0</v>
      </c>
      <c r="X810" s="23" t="str">
        <f>IFERROR(__xludf.DUMMYFUNCTION("if(COUNTA(FILTER(C:C, C:C = C810))=1,""no"",""yes"")"),"no")</f>
        <v>no</v>
      </c>
    </row>
    <row r="811">
      <c r="A811" s="1" t="s">
        <v>848</v>
      </c>
      <c r="B811" s="2">
        <v>16.0</v>
      </c>
      <c r="C811" s="19" t="s">
        <v>1586</v>
      </c>
      <c r="E811" s="24">
        <f>IFERROR(__xludf.DUMMYFUNCTION("ifna(IFNA(filter('2.1.clean'!C:C,'2.1.clean'!A:A=C811),filter('2.2.clean'!E:E,'2.2.clean'!D:D=C811)),filter('2.4.clean'!C:C,'2.4.clean'!A:A=C811))"),43776.0)</f>
        <v>43776</v>
      </c>
      <c r="F811" s="25">
        <f>IFERROR(__xludf.DUMMYFUNCTION("iferror(ifna(IFNA(filter('2.1.clean'!E:E,'2.1.clean'!A:A=C811),filter('2.2.clean'!G:G,'2.2.clean'!D:D=C811)),filter('2.4.clean'!E:E,'2.4.clean'!A:A=C811)),)"),2.4)</f>
        <v>2.4</v>
      </c>
      <c r="G811" s="24">
        <f>IFERROR(__xludf.DUMMYFUNCTION("iferror(filter('3.1.clean'!C:C,'3.1.clean'!A:A=C811),"""")"),43776.0)</f>
        <v>43776</v>
      </c>
      <c r="H811" s="23" t="b">
        <f t="shared" ref="H811:H812" si="622">if(G811="",FALSE,TRUE)</f>
        <v>1</v>
      </c>
      <c r="J811" s="25"/>
      <c r="K811" s="24">
        <f>IFERROR(__xludf.DUMMYFUNCTION("iferror(filter('3.2.clean'!C:C,'3.2.clean'!A:A=C811),"""")"),43776.0)</f>
        <v>43776</v>
      </c>
      <c r="L811" s="25" t="b">
        <f>if(K811="",FALSE,TRUE)</f>
        <v>1</v>
      </c>
      <c r="M811" s="24">
        <f>IFERROR(__xludf.DUMMYFUNCTION("iferror(filter('3.3.clean'!C:C,'3.3.clean'!A:A=C811),"""")"),43777.0)</f>
        <v>43777</v>
      </c>
      <c r="N811" s="25" t="b">
        <f t="shared" si="607"/>
        <v>1</v>
      </c>
      <c r="O811" s="24">
        <f>IFERROR(__xludf.DUMMYFUNCTION("iferror(filter('3.4.clean'!C:C,'3.4.clean'!A:A=C811),"""")"),43787.0)</f>
        <v>43787</v>
      </c>
      <c r="P811" s="25" t="b">
        <f t="shared" si="608"/>
        <v>1</v>
      </c>
      <c r="Q811" s="24">
        <f>IFERROR(__xludf.DUMMYFUNCTION("iferror(filter('3.5.clean'!C:C,'3.5.clean'!A:A=C811),"""")"),43776.0)</f>
        <v>43776</v>
      </c>
      <c r="R811" s="23" t="b">
        <f t="shared" si="621"/>
        <v>1</v>
      </c>
      <c r="S811" s="25"/>
      <c r="V811" s="1" t="s">
        <v>64</v>
      </c>
      <c r="X811" s="23" t="str">
        <f>IFERROR(__xludf.DUMMYFUNCTION("if(COUNTA(FILTER(C:C, C:C = C811))=1,""no"",""yes"")"),"no")</f>
        <v>no</v>
      </c>
    </row>
    <row r="812">
      <c r="A812" s="1" t="s">
        <v>848</v>
      </c>
      <c r="B812" s="19">
        <v>17.0</v>
      </c>
      <c r="C812" s="19" t="s">
        <v>1587</v>
      </c>
      <c r="D812" s="58" t="str">
        <f t="shared" ref="D812:D813" si="623">if(or(I812=1,J812=1,S812=1),"pos","")</f>
        <v/>
      </c>
      <c r="E812" s="59">
        <f>IFERROR(__xludf.DUMMYFUNCTION("ifna(IFNA(filter('2.1.clean'!C:C,'2.1.clean'!A:A=C812),filter('2.2.clean'!E:E,'2.2.clean'!D:D=C812)),filter('2.4.clean'!C:C,'2.4.clean'!A:A=C812))"),43776.0)</f>
        <v>43776</v>
      </c>
      <c r="F812" s="60">
        <f>IFERROR(__xludf.DUMMYFUNCTION("iferror(ifna(IFNA(filter('2.1.clean'!E:E,'2.1.clean'!A:A=C812),filter('2.2.clean'!G:G,'2.2.clean'!D:D=C812)),filter('2.4.clean'!E:E,'2.4.clean'!A:A=C812)),)"),2.4)</f>
        <v>2.4</v>
      </c>
      <c r="G812" s="59">
        <f>IFERROR(__xludf.DUMMYFUNCTION("iferror(filter('3.1.clean'!C:C,'3.1.clean'!A:A=C812),"""")"),43776.0)</f>
        <v>43776</v>
      </c>
      <c r="H812" s="58" t="b">
        <f t="shared" si="622"/>
        <v>1</v>
      </c>
      <c r="I812" s="58">
        <f>IFERROR(__xludf.DUMMYFUNCTION("iferror(filter('3.1.clean'!G:G,'3.1.clean'!A:A=C812),"""")"),0.0)</f>
        <v>0</v>
      </c>
      <c r="J812" s="60" t="str">
        <f>IFERROR(__xludf.DUMMYFUNCTION("iferror(filter('3.1.clean'!I:I,'3.1.clean'!A:A=C812),"""")"),"")</f>
        <v/>
      </c>
      <c r="K812" s="58"/>
      <c r="L812" s="60"/>
      <c r="M812" s="59">
        <f>IFERROR(__xludf.DUMMYFUNCTION("iferror(filter('3.3.clean'!C:C,'3.3.clean'!A:A=C812),"""")"),43777.0)</f>
        <v>43777</v>
      </c>
      <c r="N812" s="60" t="b">
        <f t="shared" si="607"/>
        <v>1</v>
      </c>
      <c r="O812" s="59" t="str">
        <f>IFERROR(__xludf.DUMMYFUNCTION("iferror(filter('3.4.clean'!C:C,'3.4.clean'!A:A=C812),"""")"),"")</f>
        <v/>
      </c>
      <c r="P812" s="60" t="b">
        <f t="shared" si="608"/>
        <v>0</v>
      </c>
      <c r="Q812" s="59" t="str">
        <f>IFERROR(__xludf.DUMMYFUNCTION("iferror(filter('3.5.clean'!C:C,'3.5.clean'!A:A=C812),"""")"),"")</f>
        <v/>
      </c>
      <c r="R812" s="58"/>
      <c r="S812" s="4" t="str">
        <f>IFERROR(__xludf.DUMMYFUNCTION("iferror(filter('3.5.clean'!H:H,'3.5.clean'!A:A=C812),"""")"),"")</f>
        <v/>
      </c>
      <c r="W812" s="23" t="b">
        <f>if(AND(H812=TRUE,N812=TRUE,P812=TRUE),TRUE,FALSE)</f>
        <v>0</v>
      </c>
      <c r="X812" s="23" t="str">
        <f>IFERROR(__xludf.DUMMYFUNCTION("if(COUNTA(FILTER(C:C, C:C = C812))=1,""no"",""yes"")"),"no")</f>
        <v>no</v>
      </c>
    </row>
    <row r="813">
      <c r="A813" s="1" t="s">
        <v>848</v>
      </c>
      <c r="B813" s="19">
        <v>18.0</v>
      </c>
      <c r="C813" s="19" t="s">
        <v>1588</v>
      </c>
      <c r="D813" s="58" t="str">
        <f t="shared" si="623"/>
        <v/>
      </c>
      <c r="E813" s="59">
        <f>Q813</f>
        <v>43776</v>
      </c>
      <c r="F813" s="60" t="str">
        <f>IFERROR(__xludf.DUMMYFUNCTION("iferror(ifna(IFNA(filter('2.1.clean'!E:E,'2.1.clean'!A:A=C813),filter('2.2.clean'!G:G,'2.2.clean'!D:D=C813)),filter('2.4.clean'!E:E,'2.4.clean'!A:A=C813)),)"),"")</f>
        <v/>
      </c>
      <c r="G813" s="59" t="str">
        <f>IFERROR(__xludf.DUMMYFUNCTION("iferror(filter('3.1.clean'!C:C,'3.1.clean'!A:A=C813),"""")"),"")</f>
        <v/>
      </c>
      <c r="H813" s="58"/>
      <c r="I813" s="58" t="str">
        <f>IFERROR(__xludf.DUMMYFUNCTION("iferror(filter('3.1.clean'!G:G,'3.1.clean'!A:A=C813),"""")"),"")</f>
        <v/>
      </c>
      <c r="J813" s="60" t="str">
        <f>IFERROR(__xludf.DUMMYFUNCTION("iferror(filter('3.1.clean'!I:I,'3.1.clean'!A:A=C813),"""")"),"")</f>
        <v/>
      </c>
      <c r="K813" s="59"/>
      <c r="L813" s="60"/>
      <c r="M813" s="59" t="str">
        <f>IFERROR(__xludf.DUMMYFUNCTION("iferror(filter('3.3.clean'!C:C,'3.3.clean'!A:A=C813),"""")"),"")</f>
        <v/>
      </c>
      <c r="N813" s="60" t="b">
        <f t="shared" si="607"/>
        <v>0</v>
      </c>
      <c r="O813" s="59" t="str">
        <f>IFERROR(__xludf.DUMMYFUNCTION("iferror(filter('3.4.clean'!C:C,'3.4.clean'!A:A=C813),"""")"),"")</f>
        <v/>
      </c>
      <c r="P813" s="60" t="b">
        <f t="shared" si="608"/>
        <v>0</v>
      </c>
      <c r="Q813" s="59">
        <f>IFERROR(__xludf.DUMMYFUNCTION("iferror(filter('3.5.clean'!C:C,'3.5.clean'!A:A=C813),"""")"),43776.0)</f>
        <v>43776</v>
      </c>
      <c r="R813" s="58" t="b">
        <f t="shared" ref="R813:R814" si="624">if(Q813="",FALSE,TRUE)</f>
        <v>1</v>
      </c>
      <c r="S813" s="4">
        <f>IFERROR(__xludf.DUMMYFUNCTION("iferror(filter('3.5.clean'!H:H,'3.5.clean'!A:A=C813),"""")"),0.0)</f>
        <v>0</v>
      </c>
      <c r="V813" s="52" t="s">
        <v>64</v>
      </c>
      <c r="W813" s="23" t="b">
        <f>if(AND(R813=TRUE,N813=TRUE,P813=TRUE),TRUE,FALSE)</f>
        <v>0</v>
      </c>
      <c r="X813" s="23" t="str">
        <f>IFERROR(__xludf.DUMMYFUNCTION("if(COUNTA(FILTER(C:C, C:C = C813))=1,""no"",""yes"")"),"no")</f>
        <v>no</v>
      </c>
    </row>
    <row r="814">
      <c r="A814" s="1" t="s">
        <v>848</v>
      </c>
      <c r="B814" s="2">
        <v>19.0</v>
      </c>
      <c r="C814" s="19" t="s">
        <v>1589</v>
      </c>
      <c r="E814" s="24">
        <f>IFERROR(__xludf.DUMMYFUNCTION("ifna(IFNA(filter('2.1.clean'!C:C,'2.1.clean'!A:A=C814),filter('2.2.clean'!E:E,'2.2.clean'!D:D=C814)),filter('2.4.clean'!C:C,'2.4.clean'!A:A=C814))"),43776.0)</f>
        <v>43776</v>
      </c>
      <c r="F814" s="25">
        <f>IFERROR(__xludf.DUMMYFUNCTION("iferror(ifna(IFNA(filter('2.1.clean'!E:E,'2.1.clean'!A:A=C814),filter('2.2.clean'!G:G,'2.2.clean'!D:D=C814)),filter('2.4.clean'!E:E,'2.4.clean'!A:A=C814)),)"),2.4)</f>
        <v>2.4</v>
      </c>
      <c r="G814" s="24">
        <f>IFERROR(__xludf.DUMMYFUNCTION("iferror(filter('3.1.clean'!C:C,'3.1.clean'!A:A=C814),"""")"),43776.0)</f>
        <v>43776</v>
      </c>
      <c r="H814" s="23" t="b">
        <f t="shared" ref="H814:H815" si="625">if(G814="",FALSE,TRUE)</f>
        <v>1</v>
      </c>
      <c r="J814" s="25"/>
      <c r="K814" s="24">
        <f>IFERROR(__xludf.DUMMYFUNCTION("iferror(filter('3.2.clean'!C:C,'3.2.clean'!A:A=C814),"""")"),43776.0)</f>
        <v>43776</v>
      </c>
      <c r="L814" s="25" t="b">
        <f>if(K814="",FALSE,TRUE)</f>
        <v>1</v>
      </c>
      <c r="M814" s="24">
        <f>IFERROR(__xludf.DUMMYFUNCTION("iferror(filter('3.3.clean'!C:C,'3.3.clean'!A:A=C814),"""")"),43777.0)</f>
        <v>43777</v>
      </c>
      <c r="N814" s="25" t="b">
        <f t="shared" si="607"/>
        <v>1</v>
      </c>
      <c r="O814" s="24">
        <f>IFERROR(__xludf.DUMMYFUNCTION("iferror(filter('3.4.clean'!C:C,'3.4.clean'!A:A=C814),"""")"),43787.0)</f>
        <v>43787</v>
      </c>
      <c r="P814" s="25" t="b">
        <f t="shared" si="608"/>
        <v>1</v>
      </c>
      <c r="Q814" s="24">
        <f>IFERROR(__xludf.DUMMYFUNCTION("iferror(filter('3.5.clean'!C:C,'3.5.clean'!A:A=C814),"""")"),43776.0)</f>
        <v>43776</v>
      </c>
      <c r="R814" s="23" t="b">
        <f t="shared" si="624"/>
        <v>1</v>
      </c>
      <c r="S814" s="25"/>
      <c r="V814" s="1" t="s">
        <v>64</v>
      </c>
      <c r="X814" s="23" t="str">
        <f>IFERROR(__xludf.DUMMYFUNCTION("if(COUNTA(FILTER(C:C, C:C = C814))=1,""no"",""yes"")"),"no")</f>
        <v>no</v>
      </c>
    </row>
    <row r="815">
      <c r="A815" s="1" t="s">
        <v>848</v>
      </c>
      <c r="B815" s="19">
        <v>20.0</v>
      </c>
      <c r="C815" s="19" t="s">
        <v>1590</v>
      </c>
      <c r="D815" s="58" t="str">
        <f t="shared" ref="D815:D818" si="626">if(or(I815=1,J815=1,S815=1),"pos","")</f>
        <v/>
      </c>
      <c r="E815" s="59">
        <f>IFERROR(__xludf.DUMMYFUNCTION("ifna(IFNA(filter('2.1.clean'!C:C,'2.1.clean'!A:A=C815),filter('2.2.clean'!E:E,'2.2.clean'!D:D=C815)),filter('2.4.clean'!C:C,'2.4.clean'!A:A=C815))"),43776.0)</f>
        <v>43776</v>
      </c>
      <c r="F815" s="60">
        <f>IFERROR(__xludf.DUMMYFUNCTION("iferror(ifna(IFNA(filter('2.1.clean'!E:E,'2.1.clean'!A:A=C815),filter('2.2.clean'!G:G,'2.2.clean'!D:D=C815)),filter('2.4.clean'!E:E,'2.4.clean'!A:A=C815)),)"),2.4)</f>
        <v>2.4</v>
      </c>
      <c r="G815" s="59">
        <f>IFERROR(__xludf.DUMMYFUNCTION("iferror(filter('3.1.clean'!C:C,'3.1.clean'!A:A=C815),"""")"),43776.0)</f>
        <v>43776</v>
      </c>
      <c r="H815" s="58" t="b">
        <f t="shared" si="625"/>
        <v>1</v>
      </c>
      <c r="I815" s="58">
        <f>IFERROR(__xludf.DUMMYFUNCTION("iferror(filter('3.1.clean'!G:G,'3.1.clean'!A:A=C815),"""")"),0.0)</f>
        <v>0</v>
      </c>
      <c r="J815" s="60" t="str">
        <f>IFERROR(__xludf.DUMMYFUNCTION("iferror(filter('3.1.clean'!I:I,'3.1.clean'!A:A=C815),"""")"),"")</f>
        <v/>
      </c>
      <c r="K815" s="58"/>
      <c r="L815" s="60"/>
      <c r="M815" s="59" t="str">
        <f>IFERROR(__xludf.DUMMYFUNCTION("iferror(filter('3.3.clean'!C:C,'3.3.clean'!A:A=C815),"""")"),"")</f>
        <v/>
      </c>
      <c r="N815" s="60" t="b">
        <f t="shared" si="607"/>
        <v>0</v>
      </c>
      <c r="O815" s="59" t="str">
        <f>IFERROR(__xludf.DUMMYFUNCTION("iferror(filter('3.4.clean'!C:C,'3.4.clean'!A:A=C815),"""")"),"")</f>
        <v/>
      </c>
      <c r="P815" s="60" t="b">
        <f t="shared" si="608"/>
        <v>0</v>
      </c>
      <c r="Q815" s="59" t="str">
        <f>IFERROR(__xludf.DUMMYFUNCTION("iferror(filter('3.5.clean'!C:C,'3.5.clean'!A:A=C815),"""")"),"")</f>
        <v/>
      </c>
      <c r="R815" s="58"/>
      <c r="S815" s="4" t="str">
        <f>IFERROR(__xludf.DUMMYFUNCTION("iferror(filter('3.5.clean'!H:H,'3.5.clean'!A:A=C815),"""")"),"")</f>
        <v/>
      </c>
      <c r="W815" s="23" t="b">
        <f>if(AND(H815=TRUE,N815=TRUE,P815=TRUE),TRUE,FALSE)</f>
        <v>0</v>
      </c>
      <c r="X815" s="23" t="str">
        <f>IFERROR(__xludf.DUMMYFUNCTION("if(COUNTA(FILTER(C:C, C:C = C815))=1,""no"",""yes"")"),"no")</f>
        <v>no</v>
      </c>
    </row>
    <row r="816">
      <c r="A816" s="1" t="s">
        <v>848</v>
      </c>
      <c r="B816" s="19">
        <v>21.0</v>
      </c>
      <c r="C816" s="19" t="s">
        <v>1591</v>
      </c>
      <c r="D816" s="58" t="str">
        <f t="shared" si="626"/>
        <v/>
      </c>
      <c r="E816" s="59">
        <f t="shared" ref="E816:E817" si="627">Q816</f>
        <v>43776</v>
      </c>
      <c r="F816" s="60" t="str">
        <f>IFERROR(__xludf.DUMMYFUNCTION("iferror(ifna(IFNA(filter('2.1.clean'!E:E,'2.1.clean'!A:A=C816),filter('2.2.clean'!G:G,'2.2.clean'!D:D=C816)),filter('2.4.clean'!E:E,'2.4.clean'!A:A=C816)),)"),"")</f>
        <v/>
      </c>
      <c r="G816" s="59" t="str">
        <f>IFERROR(__xludf.DUMMYFUNCTION("iferror(filter('3.1.clean'!C:C,'3.1.clean'!A:A=C816),"""")"),"")</f>
        <v/>
      </c>
      <c r="H816" s="58"/>
      <c r="I816" s="58" t="str">
        <f>IFERROR(__xludf.DUMMYFUNCTION("iferror(filter('3.1.clean'!G:G,'3.1.clean'!A:A=C816),"""")"),"")</f>
        <v/>
      </c>
      <c r="J816" s="60" t="str">
        <f>IFERROR(__xludf.DUMMYFUNCTION("iferror(filter('3.1.clean'!I:I,'3.1.clean'!A:A=C816),"""")"),"")</f>
        <v/>
      </c>
      <c r="K816" s="59"/>
      <c r="L816" s="60"/>
      <c r="M816" s="59">
        <f>IFERROR(__xludf.DUMMYFUNCTION("iferror(filter('3.3.clean'!C:C,'3.3.clean'!A:A=C816),"""")"),43777.0)</f>
        <v>43777</v>
      </c>
      <c r="N816" s="60" t="b">
        <f t="shared" si="607"/>
        <v>1</v>
      </c>
      <c r="O816" s="59" t="str">
        <f>IFERROR(__xludf.DUMMYFUNCTION("iferror(filter('3.4.clean'!C:C,'3.4.clean'!A:A=C816),"""")"),"")</f>
        <v/>
      </c>
      <c r="P816" s="60" t="b">
        <f t="shared" si="608"/>
        <v>0</v>
      </c>
      <c r="Q816" s="59">
        <f>IFERROR(__xludf.DUMMYFUNCTION("iferror(filter('3.5.clean'!C:C,'3.5.clean'!A:A=C816),"""")"),43776.0)</f>
        <v>43776</v>
      </c>
      <c r="R816" s="58" t="b">
        <f t="shared" ref="R816:R817" si="628">if(Q816="",FALSE,TRUE)</f>
        <v>1</v>
      </c>
      <c r="S816" s="4">
        <f>IFERROR(__xludf.DUMMYFUNCTION("iferror(filter('3.5.clean'!H:H,'3.5.clean'!A:A=C816),"""")"),0.0)</f>
        <v>0</v>
      </c>
      <c r="V816" s="52" t="s">
        <v>64</v>
      </c>
      <c r="W816" s="23" t="b">
        <f>if(AND(R816=TRUE,N816=TRUE,P816=TRUE),TRUE,FALSE)</f>
        <v>0</v>
      </c>
      <c r="X816" s="23" t="str">
        <f>IFERROR(__xludf.DUMMYFUNCTION("if(COUNTA(FILTER(C:C, C:C = C816))=1,""no"",""yes"")"),"no")</f>
        <v>no</v>
      </c>
    </row>
    <row r="817">
      <c r="A817" s="1" t="s">
        <v>848</v>
      </c>
      <c r="B817" s="19">
        <v>22.0</v>
      </c>
      <c r="C817" s="19" t="s">
        <v>1592</v>
      </c>
      <c r="D817" s="22" t="str">
        <f t="shared" si="626"/>
        <v/>
      </c>
      <c r="E817" s="20">
        <f t="shared" si="627"/>
        <v>43776</v>
      </c>
      <c r="F817" s="79" t="str">
        <f>IFERROR(__xludf.DUMMYFUNCTION("iferror(ifna(IFNA(filter('2.1.clean'!E:E,'2.1.clean'!A:A=C817),filter('2.2.clean'!G:G,'2.2.clean'!D:D=C817)),filter('2.4.clean'!E:E,'2.4.clean'!A:A=C817)),)"),"")</f>
        <v/>
      </c>
      <c r="G817" s="20" t="str">
        <f>IFERROR(__xludf.DUMMYFUNCTION("iferror(filter('3.1.clean'!C:C,'3.1.clean'!A:A=C817),"""")"),"")</f>
        <v/>
      </c>
      <c r="H817" s="22"/>
      <c r="I817" s="22"/>
      <c r="J817" s="79"/>
      <c r="K817" s="20" t="str">
        <f>IFERROR(__xludf.DUMMYFUNCTION("iferror(filter('3.2.clean'!C:C,'3.2.clean'!A:A=C817),"""")"),"")</f>
        <v/>
      </c>
      <c r="L817" s="79"/>
      <c r="M817" s="20">
        <f>IFERROR(__xludf.DUMMYFUNCTION("iferror(filter('3.3.clean'!C:C,'3.3.clean'!A:A=C817),"""")"),43777.0)</f>
        <v>43777</v>
      </c>
      <c r="N817" s="79" t="b">
        <f t="shared" si="607"/>
        <v>1</v>
      </c>
      <c r="O817" s="20" t="str">
        <f>IFERROR(__xludf.DUMMYFUNCTION("iferror(filter('3.4.clean'!C:C,'3.4.clean'!A:A=C817),"""")"),"")</f>
        <v/>
      </c>
      <c r="P817" s="79" t="b">
        <f t="shared" si="608"/>
        <v>0</v>
      </c>
      <c r="Q817" s="20">
        <f>IFERROR(__xludf.DUMMYFUNCTION("iferror(filter('3.5.clean'!C:C,'3.5.clean'!A:A=C817),"""")"),43776.0)</f>
        <v>43776</v>
      </c>
      <c r="R817" s="22" t="b">
        <f t="shared" si="628"/>
        <v>1</v>
      </c>
      <c r="S817" s="4">
        <f>IFERROR(__xludf.DUMMYFUNCTION("iferror(filter('3.5.clean'!H:H,'3.5.clean'!A:A=C817),"""")"),0.0)</f>
        <v>0</v>
      </c>
      <c r="V817" s="1" t="s">
        <v>64</v>
      </c>
      <c r="W817" s="23" t="b">
        <f>IF(and(R817=TRUE,N817=TRUE,P817=TRUE),TRUE,FALSE)</f>
        <v>0</v>
      </c>
      <c r="X817" s="23" t="str">
        <f>IFERROR(__xludf.DUMMYFUNCTION("if(COUNTA(FILTER(C:C, C:C = C817))=1,""no"",""yes"")"),"no")</f>
        <v>no</v>
      </c>
    </row>
    <row r="818">
      <c r="A818" s="1" t="s">
        <v>848</v>
      </c>
      <c r="B818" s="19">
        <v>23.0</v>
      </c>
      <c r="C818" s="19" t="s">
        <v>1593</v>
      </c>
      <c r="D818" s="76" t="str">
        <f t="shared" si="626"/>
        <v/>
      </c>
      <c r="E818" s="77">
        <f>G818</f>
        <v>43776</v>
      </c>
      <c r="F818" s="78" t="str">
        <f>IFERROR(__xludf.DUMMYFUNCTION("iferror(ifna(IFNA(filter('2.1.clean'!E:E,'2.1.clean'!A:A=C818),filter('2.2.clean'!G:G,'2.2.clean'!D:D=C818)),filter('2.4.clean'!E:E,'2.4.clean'!A:A=C818)),)"),"")</f>
        <v/>
      </c>
      <c r="G818" s="77">
        <f>IFERROR(__xludf.DUMMYFUNCTION("iferror(filter('3.1.clean'!C:C,'3.1.clean'!A:A=C818),"""")"),43776.0)</f>
        <v>43776</v>
      </c>
      <c r="H818" s="76" t="b">
        <f>if(G818="",FALSE,TRUE)</f>
        <v>1</v>
      </c>
      <c r="I818" s="76">
        <f>IFERROR(__xludf.DUMMYFUNCTION("iferror(filter('3.1.clean'!G:G,'3.1.clean'!A:A=C818),"""")"),0.0)</f>
        <v>0</v>
      </c>
      <c r="J818" s="78" t="str">
        <f>IFERROR(__xludf.DUMMYFUNCTION("iferror(filter('3.1.clean'!I:I,'3.1.clean'!A:A=C818),"""")"),"")</f>
        <v/>
      </c>
      <c r="K818" s="77"/>
      <c r="L818" s="78"/>
      <c r="M818" s="77"/>
      <c r="N818" s="78"/>
      <c r="O818" s="77"/>
      <c r="P818" s="78"/>
      <c r="Q818" s="77"/>
      <c r="R818" s="76"/>
      <c r="S818" s="25"/>
      <c r="V818" s="1" t="s">
        <v>64</v>
      </c>
      <c r="W818" s="1" t="b">
        <v>1</v>
      </c>
      <c r="X818" s="23" t="str">
        <f>IFERROR(__xludf.DUMMYFUNCTION("if(COUNTA(FILTER(C:C, C:C = C818))=1,""no"",""yes"")"),"no")</f>
        <v>no</v>
      </c>
    </row>
    <row r="819">
      <c r="A819" s="1" t="s">
        <v>848</v>
      </c>
      <c r="B819" s="2">
        <v>24.0</v>
      </c>
      <c r="C819" s="19" t="s">
        <v>1594</v>
      </c>
      <c r="E819" s="24">
        <v>43776.0</v>
      </c>
      <c r="F819" s="25" t="str">
        <f>IFERROR(__xludf.DUMMYFUNCTION("iferror(ifna(IFNA(filter('2.1.clean'!E:E,'2.1.clean'!A:A=C819),filter('2.2.clean'!G:G,'2.2.clean'!D:D=C819)),filter('2.4.clean'!E:E,'2.4.clean'!A:A=C819)),)"),"")</f>
        <v/>
      </c>
      <c r="G819" s="24" t="str">
        <f>IFERROR(__xludf.DUMMYFUNCTION("iferror(filter('3.1.clean'!C:C,'3.1.clean'!A:A=C819),"""")"),"")</f>
        <v/>
      </c>
      <c r="J819" s="25"/>
      <c r="K819" s="24" t="str">
        <f>IFERROR(__xludf.DUMMYFUNCTION("iferror(filter('3.2.clean'!C:C,'3.2.clean'!A:A=C819),"""")"),"")</f>
        <v/>
      </c>
      <c r="L819" s="25"/>
      <c r="M819" s="24">
        <f>IFERROR(__xludf.DUMMYFUNCTION("iferror(filter('3.3.clean'!C:C,'3.3.clean'!A:A=C819),"""")"),43777.0)</f>
        <v>43777</v>
      </c>
      <c r="N819" s="25" t="b">
        <f t="shared" ref="N819:N835" si="629">if(M819="",FALSE,TRUE)</f>
        <v>1</v>
      </c>
      <c r="O819" s="24" t="str">
        <f>IFERROR(__xludf.DUMMYFUNCTION("iferror(filter('3.4.clean'!C:C,'3.4.clean'!A:A=C819),"""")"),"")</f>
        <v/>
      </c>
      <c r="P819" s="25" t="b">
        <f t="shared" ref="P819:P835" si="630">if(O819="",FALSE,TRUE)</f>
        <v>0</v>
      </c>
      <c r="Q819" s="24" t="str">
        <f>IFERROR(__xludf.DUMMYFUNCTION("iferror(filter('3.5.clean'!C:C,'3.5.clean'!A:A=C819),"""")"),"")</f>
        <v/>
      </c>
      <c r="S819" s="25"/>
      <c r="V819" s="52" t="s">
        <v>64</v>
      </c>
      <c r="X819" s="23" t="str">
        <f>IFERROR(__xludf.DUMMYFUNCTION("if(COUNTA(FILTER(C:C, C:C = C819))=1,""no"",""yes"")"),"no")</f>
        <v>no</v>
      </c>
    </row>
    <row r="820">
      <c r="A820" s="75" t="s">
        <v>852</v>
      </c>
      <c r="B820" s="2">
        <v>1.0</v>
      </c>
      <c r="C820" s="19" t="s">
        <v>1595</v>
      </c>
      <c r="E820" s="24">
        <f>IFERROR(__xludf.DUMMYFUNCTION("ifna(IFNA(filter('2.1.clean'!C:C,'2.1.clean'!A:A=C820),filter('2.2.clean'!E:E,'2.2.clean'!D:D=C820)),filter('2.4.clean'!C:C,'2.4.clean'!A:A=C820))"),43777.0)</f>
        <v>43777</v>
      </c>
      <c r="F820" s="25">
        <f>IFERROR(__xludf.DUMMYFUNCTION("iferror(ifna(IFNA(filter('2.1.clean'!E:E,'2.1.clean'!A:A=C820),filter('2.2.clean'!G:G,'2.2.clean'!D:D=C820)),filter('2.4.clean'!E:E,'2.4.clean'!A:A=C820)),)"),2.4)</f>
        <v>2.4</v>
      </c>
      <c r="G820" s="24">
        <f>IFERROR(__xludf.DUMMYFUNCTION("iferror(filter('3.1.clean'!C:C,'3.1.clean'!A:A=C820),"""")"),43777.0)</f>
        <v>43777</v>
      </c>
      <c r="H820" s="23" t="b">
        <f t="shared" ref="H820:H821" si="631">if(G820="",FALSE,TRUE)</f>
        <v>1</v>
      </c>
      <c r="J820" s="25"/>
      <c r="K820" s="24">
        <f>IFERROR(__xludf.DUMMYFUNCTION("iferror(filter('3.2.clean'!C:C,'3.2.clean'!A:A=C820),"""")"),43777.0)</f>
        <v>43777</v>
      </c>
      <c r="L820" s="25" t="b">
        <f>if(K820="",FALSE,TRUE)</f>
        <v>1</v>
      </c>
      <c r="M820" s="24">
        <f>IFERROR(__xludf.DUMMYFUNCTION("iferror(filter('3.3.clean'!C:C,'3.3.clean'!A:A=C820),"""")"),43780.0)</f>
        <v>43780</v>
      </c>
      <c r="N820" s="25" t="b">
        <f t="shared" si="629"/>
        <v>1</v>
      </c>
      <c r="O820" s="24">
        <f>IFERROR(__xludf.DUMMYFUNCTION("iferror(filter('3.4.clean'!C:C,'3.4.clean'!A:A=C820),"""")"),43787.0)</f>
        <v>43787</v>
      </c>
      <c r="P820" s="25" t="b">
        <f t="shared" si="630"/>
        <v>1</v>
      </c>
      <c r="Q820" s="24">
        <f>IFERROR(__xludf.DUMMYFUNCTION("iferror(filter('3.5.clean'!C:C,'3.5.clean'!A:A=C820),"""")"),43777.0)</f>
        <v>43777</v>
      </c>
      <c r="R820" s="23" t="b">
        <f>if(Q820="",FALSE,TRUE)</f>
        <v>1</v>
      </c>
      <c r="S820" s="25"/>
      <c r="V820" s="1" t="s">
        <v>64</v>
      </c>
      <c r="X820" s="23" t="str">
        <f>IFERROR(__xludf.DUMMYFUNCTION("if(COUNTA(FILTER(C:C, C:C = C820))=1,""no"",""yes"")"),"no")</f>
        <v>no</v>
      </c>
    </row>
    <row r="821">
      <c r="A821" s="75" t="s">
        <v>852</v>
      </c>
      <c r="B821" s="19">
        <v>2.0</v>
      </c>
      <c r="C821" s="19" t="s">
        <v>279</v>
      </c>
      <c r="D821" s="58" t="str">
        <f t="shared" ref="D821:D822" si="632">if(or(I821=1,J821=1,S821=1),"pos","")</f>
        <v/>
      </c>
      <c r="E821" s="59">
        <f>IFERROR(__xludf.DUMMYFUNCTION("ifna(IFNA(filter('2.1.clean'!C:C,'2.1.clean'!A:A=C821),filter('2.2.clean'!E:E,'2.2.clean'!D:D=C821)),filter('2.4.clean'!C:C,'2.4.clean'!A:A=C821))"),43777.0)</f>
        <v>43777</v>
      </c>
      <c r="F821" s="60">
        <f>IFERROR(__xludf.DUMMYFUNCTION("iferror(ifna(IFNA(filter('2.1.clean'!E:E,'2.1.clean'!A:A=C821),filter('2.2.clean'!G:G,'2.2.clean'!D:D=C821)),filter('2.4.clean'!E:E,'2.4.clean'!A:A=C821)),)"),2.4)</f>
        <v>2.4</v>
      </c>
      <c r="G821" s="59">
        <f>IFERROR(__xludf.DUMMYFUNCTION("iferror(filter('3.1.clean'!C:C,'3.1.clean'!A:A=C821),"""")"),43777.0)</f>
        <v>43777</v>
      </c>
      <c r="H821" s="58" t="b">
        <f t="shared" si="631"/>
        <v>1</v>
      </c>
      <c r="I821" s="58">
        <f>IFERROR(__xludf.DUMMYFUNCTION("iferror(filter('3.1.clean'!G:G,'3.1.clean'!A:A=C821),"""")"),0.0)</f>
        <v>0</v>
      </c>
      <c r="J821" s="60" t="str">
        <f>IFERROR(__xludf.DUMMYFUNCTION("iferror(filter('3.1.clean'!I:I,'3.1.clean'!A:A=C821),"""")"),"")</f>
        <v/>
      </c>
      <c r="K821" s="58"/>
      <c r="L821" s="60"/>
      <c r="M821" s="59" t="str">
        <f>IFERROR(__xludf.DUMMYFUNCTION("iferror(filter('3.3.clean'!C:C,'3.3.clean'!A:A=C821),"""")"),"")</f>
        <v/>
      </c>
      <c r="N821" s="60" t="b">
        <f t="shared" si="629"/>
        <v>0</v>
      </c>
      <c r="O821" s="59" t="str">
        <f>IFERROR(__xludf.DUMMYFUNCTION("iferror(filter('3.4.clean'!C:C,'3.4.clean'!A:A=C821),"""")"),"")</f>
        <v/>
      </c>
      <c r="P821" s="60" t="b">
        <f t="shared" si="630"/>
        <v>0</v>
      </c>
      <c r="Q821" s="59" t="str">
        <f>IFERROR(__xludf.DUMMYFUNCTION("iferror(filter('3.5.clean'!C:C,'3.5.clean'!A:A=C821),"""")"),"")</f>
        <v/>
      </c>
      <c r="R821" s="58"/>
      <c r="S821" s="4" t="str">
        <f>IFERROR(__xludf.DUMMYFUNCTION("iferror(filter('3.5.clean'!H:H,'3.5.clean'!A:A=C821),"""")"),"")</f>
        <v/>
      </c>
      <c r="W821" s="23" t="b">
        <f>if(AND(H821=TRUE,N821=TRUE,P821=TRUE),TRUE,FALSE)</f>
        <v>0</v>
      </c>
      <c r="X821" s="23" t="str">
        <f>IFERROR(__xludf.DUMMYFUNCTION("if(COUNTA(FILTER(C:C, C:C = C821))=1,""no"",""yes"")"),"no")</f>
        <v>no</v>
      </c>
    </row>
    <row r="822">
      <c r="A822" s="75" t="s">
        <v>852</v>
      </c>
      <c r="B822" s="19">
        <v>3.0</v>
      </c>
      <c r="C822" s="19" t="s">
        <v>278</v>
      </c>
      <c r="D822" s="61" t="str">
        <f t="shared" si="632"/>
        <v/>
      </c>
      <c r="E822" s="59">
        <f>Q822</f>
        <v>43777</v>
      </c>
      <c r="F822" s="60" t="str">
        <f>IFERROR(__xludf.DUMMYFUNCTION("iferror(ifna(IFNA(filter('2.1.clean'!E:E,'2.1.clean'!A:A=C822),filter('2.2.clean'!G:G,'2.2.clean'!D:D=C822)),filter('2.4.clean'!E:E,'2.4.clean'!A:A=C822)),)"),"")</f>
        <v/>
      </c>
      <c r="G822" s="59"/>
      <c r="H822" s="61"/>
      <c r="I822" s="61"/>
      <c r="J822" s="65" t="str">
        <f>IFERROR(__xludf.DUMMYFUNCTION("iferror(filter('3.1.clean'!I:I,'3.1.clean'!A:A=C822),"""")"),"")</f>
        <v/>
      </c>
      <c r="K822" s="66"/>
      <c r="L822" s="65"/>
      <c r="M822" s="66" t="str">
        <f>IFERROR(__xludf.DUMMYFUNCTION("iferror(filter('3.3.clean'!C:C,'3.3.clean'!A:A=C822),"""")"),"")</f>
        <v/>
      </c>
      <c r="N822" s="60" t="b">
        <f t="shared" si="629"/>
        <v>0</v>
      </c>
      <c r="O822" s="66" t="str">
        <f>IFERROR(__xludf.DUMMYFUNCTION("iferror(filter('3.4.clean'!C:C,'3.4.clean'!A:A=C822),"""")"),"")</f>
        <v/>
      </c>
      <c r="P822" s="60" t="b">
        <f t="shared" si="630"/>
        <v>0</v>
      </c>
      <c r="Q822" s="62">
        <f>IFERROR(__xludf.DUMMYFUNCTION("iferror(filter('3.5.clean'!C:C,'3.5.clean'!A:A=C822),"""")"),43777.0)</f>
        <v>43777</v>
      </c>
      <c r="R822" s="58" t="b">
        <f t="shared" ref="R822:R823" si="633">if(Q822="",FALSE,TRUE)</f>
        <v>1</v>
      </c>
      <c r="S822" s="98">
        <f>IFERROR(__xludf.DUMMYFUNCTION("iferror(filter('3.5.clean'!H:H,'3.5.clean'!A:A=C822),"""")"),0.0)</f>
        <v>0</v>
      </c>
      <c r="T822" s="39"/>
      <c r="U822" s="39"/>
      <c r="V822" s="39" t="s">
        <v>64</v>
      </c>
      <c r="W822" s="23" t="b">
        <f>if(AND(R822=TRUE,N822=TRUE,P822=TRUE),TRUE,FALSE)</f>
        <v>0</v>
      </c>
      <c r="X822" s="39" t="str">
        <f>IFERROR(__xludf.DUMMYFUNCTION("if(COUNTA(FILTER(C:C, C:C = C822))=1,""no"",""yes"")"),"no")</f>
        <v>no</v>
      </c>
    </row>
    <row r="823">
      <c r="A823" s="75" t="s">
        <v>852</v>
      </c>
      <c r="B823" s="2">
        <v>4.0</v>
      </c>
      <c r="C823" s="19" t="s">
        <v>1596</v>
      </c>
      <c r="E823" s="24">
        <f>IFERROR(__xludf.DUMMYFUNCTION("ifna(IFNA(filter('2.1.clean'!C:C,'2.1.clean'!A:A=C823),filter('2.2.clean'!E:E,'2.2.clean'!D:D=C823)),filter('2.4.clean'!C:C,'2.4.clean'!A:A=C823))"),43777.0)</f>
        <v>43777</v>
      </c>
      <c r="F823" s="25">
        <f>IFERROR(__xludf.DUMMYFUNCTION("iferror(ifna(IFNA(filter('2.1.clean'!E:E,'2.1.clean'!A:A=C823),filter('2.2.clean'!G:G,'2.2.clean'!D:D=C823)),filter('2.4.clean'!E:E,'2.4.clean'!A:A=C823)),)"),2.4)</f>
        <v>2.4</v>
      </c>
      <c r="G823" s="24">
        <f>IFERROR(__xludf.DUMMYFUNCTION("iferror(filter('3.1.clean'!C:C,'3.1.clean'!A:A=C823),"""")"),43777.0)</f>
        <v>43777</v>
      </c>
      <c r="H823" s="23" t="b">
        <f t="shared" ref="H823:H824" si="634">if(G823="",FALSE,TRUE)</f>
        <v>1</v>
      </c>
      <c r="J823" s="25"/>
      <c r="K823" s="24">
        <f>IFERROR(__xludf.DUMMYFUNCTION("iferror(filter('3.2.clean'!C:C,'3.2.clean'!A:A=C823),"""")"),43777.0)</f>
        <v>43777</v>
      </c>
      <c r="L823" s="25" t="b">
        <f>if(K823="",FALSE,TRUE)</f>
        <v>1</v>
      </c>
      <c r="M823" s="24">
        <f>IFERROR(__xludf.DUMMYFUNCTION("iferror(filter('3.3.clean'!C:C,'3.3.clean'!A:A=C823),"""")"),43780.0)</f>
        <v>43780</v>
      </c>
      <c r="N823" s="25" t="b">
        <f t="shared" si="629"/>
        <v>1</v>
      </c>
      <c r="O823" s="24">
        <f>IFERROR(__xludf.DUMMYFUNCTION("iferror(filter('3.4.clean'!C:C,'3.4.clean'!A:A=C823),"""")"),43787.0)</f>
        <v>43787</v>
      </c>
      <c r="P823" s="25" t="b">
        <f t="shared" si="630"/>
        <v>1</v>
      </c>
      <c r="Q823" s="24">
        <f>IFERROR(__xludf.DUMMYFUNCTION("iferror(filter('3.5.clean'!C:C,'3.5.clean'!A:A=C823),"""")"),43777.0)</f>
        <v>43777</v>
      </c>
      <c r="R823" s="23" t="b">
        <f t="shared" si="633"/>
        <v>1</v>
      </c>
      <c r="S823" s="25"/>
      <c r="V823" s="1" t="s">
        <v>64</v>
      </c>
      <c r="X823" s="23" t="str">
        <f>IFERROR(__xludf.DUMMYFUNCTION("if(COUNTA(FILTER(C:C, C:C = C823))=1,""no"",""yes"")"),"no")</f>
        <v>no</v>
      </c>
    </row>
    <row r="824">
      <c r="A824" s="75" t="s">
        <v>852</v>
      </c>
      <c r="B824" s="19">
        <v>5.0</v>
      </c>
      <c r="C824" s="19" t="s">
        <v>1597</v>
      </c>
      <c r="D824" s="58" t="str">
        <f t="shared" ref="D824:D825" si="635">if(or(I824=1,J824=1,S824=1),"pos","")</f>
        <v/>
      </c>
      <c r="E824" s="59">
        <f>IFERROR(__xludf.DUMMYFUNCTION("ifna(IFNA(filter('2.1.clean'!C:C,'2.1.clean'!A:A=C824),filter('2.2.clean'!E:E,'2.2.clean'!D:D=C824)),filter('2.4.clean'!C:C,'2.4.clean'!A:A=C824))"),43777.0)</f>
        <v>43777</v>
      </c>
      <c r="F824" s="60">
        <f>IFERROR(__xludf.DUMMYFUNCTION("iferror(ifna(IFNA(filter('2.1.clean'!E:E,'2.1.clean'!A:A=C824),filter('2.2.clean'!G:G,'2.2.clean'!D:D=C824)),filter('2.4.clean'!E:E,'2.4.clean'!A:A=C824)),)"),2.4)</f>
        <v>2.4</v>
      </c>
      <c r="G824" s="59">
        <f>IFERROR(__xludf.DUMMYFUNCTION("iferror(filter('3.1.clean'!C:C,'3.1.clean'!A:A=C824),"""")"),43777.0)</f>
        <v>43777</v>
      </c>
      <c r="H824" s="58" t="b">
        <f t="shared" si="634"/>
        <v>1</v>
      </c>
      <c r="I824" s="58">
        <f>IFERROR(__xludf.DUMMYFUNCTION("iferror(filter('3.1.clean'!G:G,'3.1.clean'!A:A=C824),"""")"),0.0)</f>
        <v>0</v>
      </c>
      <c r="J824" s="60" t="str">
        <f>IFERROR(__xludf.DUMMYFUNCTION("iferror(filter('3.1.clean'!I:I,'3.1.clean'!A:A=C824),"""")"),"")</f>
        <v/>
      </c>
      <c r="K824" s="58"/>
      <c r="L824" s="60"/>
      <c r="M824" s="59" t="str">
        <f>IFERROR(__xludf.DUMMYFUNCTION("iferror(filter('3.3.clean'!C:C,'3.3.clean'!A:A=C824),"""")"),"")</f>
        <v/>
      </c>
      <c r="N824" s="60" t="b">
        <f t="shared" si="629"/>
        <v>0</v>
      </c>
      <c r="O824" s="59" t="str">
        <f>IFERROR(__xludf.DUMMYFUNCTION("iferror(filter('3.4.clean'!C:C,'3.4.clean'!A:A=C824),"""")"),"")</f>
        <v/>
      </c>
      <c r="P824" s="60" t="b">
        <f t="shared" si="630"/>
        <v>0</v>
      </c>
      <c r="Q824" s="59" t="str">
        <f>IFERROR(__xludf.DUMMYFUNCTION("iferror(filter('3.5.clean'!C:C,'3.5.clean'!A:A=C824),"""")"),"")</f>
        <v/>
      </c>
      <c r="R824" s="58"/>
      <c r="S824" s="4" t="str">
        <f>IFERROR(__xludf.DUMMYFUNCTION("iferror(filter('3.5.clean'!H:H,'3.5.clean'!A:A=C824),"""")"),"")</f>
        <v/>
      </c>
      <c r="W824" s="23" t="b">
        <f>if(AND(H824=TRUE,N824=TRUE,P824=TRUE),TRUE,FALSE)</f>
        <v>0</v>
      </c>
      <c r="X824" s="23" t="str">
        <f>IFERROR(__xludf.DUMMYFUNCTION("if(COUNTA(FILTER(C:C, C:C = C824))=1,""no"",""yes"")"),"no")</f>
        <v>no</v>
      </c>
    </row>
    <row r="825">
      <c r="A825" s="75" t="s">
        <v>852</v>
      </c>
      <c r="B825" s="19">
        <v>6.0</v>
      </c>
      <c r="C825" s="19" t="s">
        <v>1598</v>
      </c>
      <c r="D825" s="58" t="str">
        <f t="shared" si="635"/>
        <v/>
      </c>
      <c r="E825" s="59">
        <f>Q825</f>
        <v>43777</v>
      </c>
      <c r="F825" s="60" t="str">
        <f>IFERROR(__xludf.DUMMYFUNCTION("iferror(ifna(IFNA(filter('2.1.clean'!E:E,'2.1.clean'!A:A=C825),filter('2.2.clean'!G:G,'2.2.clean'!D:D=C825)),filter('2.4.clean'!E:E,'2.4.clean'!A:A=C825)),)"),"")</f>
        <v/>
      </c>
      <c r="G825" s="59" t="str">
        <f>IFERROR(__xludf.DUMMYFUNCTION("iferror(filter('3.1.clean'!C:C,'3.1.clean'!A:A=C825),"""")"),"")</f>
        <v/>
      </c>
      <c r="H825" s="58"/>
      <c r="I825" s="58" t="str">
        <f>IFERROR(__xludf.DUMMYFUNCTION("iferror(filter('3.1.clean'!G:G,'3.1.clean'!A:A=C825),"""")"),"")</f>
        <v/>
      </c>
      <c r="J825" s="60" t="str">
        <f>IFERROR(__xludf.DUMMYFUNCTION("iferror(filter('3.1.clean'!I:I,'3.1.clean'!A:A=C825),"""")"),"")</f>
        <v/>
      </c>
      <c r="K825" s="59"/>
      <c r="L825" s="60"/>
      <c r="M825" s="59" t="str">
        <f>IFERROR(__xludf.DUMMYFUNCTION("iferror(filter('3.3.clean'!C:C,'3.3.clean'!A:A=C825),"""")"),"")</f>
        <v/>
      </c>
      <c r="N825" s="60" t="b">
        <f t="shared" si="629"/>
        <v>0</v>
      </c>
      <c r="O825" s="59" t="str">
        <f>IFERROR(__xludf.DUMMYFUNCTION("iferror(filter('3.4.clean'!C:C,'3.4.clean'!A:A=C825),"""")"),"")</f>
        <v/>
      </c>
      <c r="P825" s="60" t="b">
        <f t="shared" si="630"/>
        <v>0</v>
      </c>
      <c r="Q825" s="59">
        <f>IFERROR(__xludf.DUMMYFUNCTION("iferror(filter('3.5.clean'!C:C,'3.5.clean'!A:A=C825),"""")"),43777.0)</f>
        <v>43777</v>
      </c>
      <c r="R825" s="58" t="b">
        <f t="shared" ref="R825:R826" si="636">if(Q825="",FALSE,TRUE)</f>
        <v>1</v>
      </c>
      <c r="S825" s="4">
        <f>IFERROR(__xludf.DUMMYFUNCTION("iferror(filter('3.5.clean'!H:H,'3.5.clean'!A:A=C825),"""")"),0.0)</f>
        <v>0</v>
      </c>
      <c r="V825" s="52" t="s">
        <v>64</v>
      </c>
      <c r="W825" s="23" t="b">
        <f>if(AND(R825=TRUE,N825=TRUE,P825=TRUE),TRUE,FALSE)</f>
        <v>0</v>
      </c>
      <c r="X825" s="23" t="str">
        <f>IFERROR(__xludf.DUMMYFUNCTION("if(COUNTA(FILTER(C:C, C:C = C825))=1,""no"",""yes"")"),"no")</f>
        <v>no</v>
      </c>
    </row>
    <row r="826">
      <c r="A826" s="75" t="s">
        <v>852</v>
      </c>
      <c r="B826" s="2">
        <v>7.0</v>
      </c>
      <c r="C826" s="19" t="s">
        <v>1599</v>
      </c>
      <c r="E826" s="24">
        <f>IFERROR(__xludf.DUMMYFUNCTION("ifna(IFNA(filter('2.1.clean'!C:C,'2.1.clean'!A:A=C826),filter('2.2.clean'!E:E,'2.2.clean'!D:D=C826)),filter('2.4.clean'!C:C,'2.4.clean'!A:A=C826))"),43777.0)</f>
        <v>43777</v>
      </c>
      <c r="F826" s="25">
        <f>IFERROR(__xludf.DUMMYFUNCTION("iferror(ifna(IFNA(filter('2.1.clean'!E:E,'2.1.clean'!A:A=C826),filter('2.2.clean'!G:G,'2.2.clean'!D:D=C826)),filter('2.4.clean'!E:E,'2.4.clean'!A:A=C826)),)"),2.4)</f>
        <v>2.4</v>
      </c>
      <c r="G826" s="24">
        <f>IFERROR(__xludf.DUMMYFUNCTION("iferror(filter('3.1.clean'!C:C,'3.1.clean'!A:A=C826),"""")"),43777.0)</f>
        <v>43777</v>
      </c>
      <c r="H826" s="23" t="b">
        <f t="shared" ref="H826:H827" si="637">if(G826="",FALSE,TRUE)</f>
        <v>1</v>
      </c>
      <c r="J826" s="25"/>
      <c r="K826" s="24">
        <f>IFERROR(__xludf.DUMMYFUNCTION("iferror(filter('3.2.clean'!C:C,'3.2.clean'!A:A=C826),"""")"),43777.0)</f>
        <v>43777</v>
      </c>
      <c r="L826" s="25" t="b">
        <f>if(K826="",FALSE,TRUE)</f>
        <v>1</v>
      </c>
      <c r="M826" s="24">
        <f>IFERROR(__xludf.DUMMYFUNCTION("iferror(filter('3.3.clean'!C:C,'3.3.clean'!A:A=C826),"""")"),43780.0)</f>
        <v>43780</v>
      </c>
      <c r="N826" s="25" t="b">
        <f t="shared" si="629"/>
        <v>1</v>
      </c>
      <c r="O826" s="24">
        <f>IFERROR(__xludf.DUMMYFUNCTION("iferror(filter('3.4.clean'!C:C,'3.4.clean'!A:A=C826),"""")"),43787.0)</f>
        <v>43787</v>
      </c>
      <c r="P826" s="25" t="b">
        <f t="shared" si="630"/>
        <v>1</v>
      </c>
      <c r="Q826" s="24">
        <f>IFERROR(__xludf.DUMMYFUNCTION("iferror(filter('3.5.clean'!C:C,'3.5.clean'!A:A=C826),"""")"),43777.0)</f>
        <v>43777</v>
      </c>
      <c r="R826" s="23" t="b">
        <f t="shared" si="636"/>
        <v>1</v>
      </c>
      <c r="S826" s="25"/>
      <c r="V826" s="1" t="s">
        <v>64</v>
      </c>
      <c r="X826" s="23" t="str">
        <f>IFERROR(__xludf.DUMMYFUNCTION("if(COUNTA(FILTER(C:C, C:C = C826))=1,""no"",""yes"")"),"no")</f>
        <v>no</v>
      </c>
    </row>
    <row r="827">
      <c r="A827" s="75" t="s">
        <v>852</v>
      </c>
      <c r="B827" s="19">
        <v>8.0</v>
      </c>
      <c r="C827" s="19" t="s">
        <v>282</v>
      </c>
      <c r="D827" s="58" t="str">
        <f t="shared" ref="D827:D828" si="638">if(or(I827=1,J827=1,S827=1),"pos","")</f>
        <v/>
      </c>
      <c r="E827" s="59">
        <f>IFERROR(__xludf.DUMMYFUNCTION("ifna(IFNA(filter('2.1.clean'!C:C,'2.1.clean'!A:A=C827),filter('2.2.clean'!E:E,'2.2.clean'!D:D=C827)),filter('2.4.clean'!C:C,'2.4.clean'!A:A=C827))"),43777.0)</f>
        <v>43777</v>
      </c>
      <c r="F827" s="60">
        <f>IFERROR(__xludf.DUMMYFUNCTION("iferror(ifna(IFNA(filter('2.1.clean'!E:E,'2.1.clean'!A:A=C827),filter('2.2.clean'!G:G,'2.2.clean'!D:D=C827)),filter('2.4.clean'!E:E,'2.4.clean'!A:A=C827)),)"),2.4)</f>
        <v>2.4</v>
      </c>
      <c r="G827" s="59">
        <f>IFERROR(__xludf.DUMMYFUNCTION("iferror(filter('3.1.clean'!C:C,'3.1.clean'!A:A=C827),"""")"),43777.0)</f>
        <v>43777</v>
      </c>
      <c r="H827" s="58" t="b">
        <f t="shared" si="637"/>
        <v>1</v>
      </c>
      <c r="I827" s="58">
        <f>IFERROR(__xludf.DUMMYFUNCTION("iferror(filter('3.1.clean'!G:G,'3.1.clean'!A:A=C827),"""")"),0.0)</f>
        <v>0</v>
      </c>
      <c r="J827" s="60" t="str">
        <f>IFERROR(__xludf.DUMMYFUNCTION("iferror(filter('3.1.clean'!I:I,'3.1.clean'!A:A=C827),"""")"),"")</f>
        <v/>
      </c>
      <c r="K827" s="58"/>
      <c r="L827" s="60"/>
      <c r="M827" s="59" t="str">
        <f>IFERROR(__xludf.DUMMYFUNCTION("iferror(filter('3.3.clean'!C:C,'3.3.clean'!A:A=C827),"""")"),"")</f>
        <v/>
      </c>
      <c r="N827" s="60" t="b">
        <f t="shared" si="629"/>
        <v>0</v>
      </c>
      <c r="O827" s="59" t="str">
        <f>IFERROR(__xludf.DUMMYFUNCTION("iferror(filter('3.4.clean'!C:C,'3.4.clean'!A:A=C827),"""")"),"")</f>
        <v/>
      </c>
      <c r="P827" s="60" t="b">
        <f t="shared" si="630"/>
        <v>0</v>
      </c>
      <c r="Q827" s="59" t="str">
        <f>IFERROR(__xludf.DUMMYFUNCTION("iferror(filter('3.5.clean'!C:C,'3.5.clean'!A:A=C827),"""")"),"")</f>
        <v/>
      </c>
      <c r="R827" s="58"/>
      <c r="S827" s="4" t="str">
        <f>IFERROR(__xludf.DUMMYFUNCTION("iferror(filter('3.5.clean'!H:H,'3.5.clean'!A:A=C827),"""")"),"")</f>
        <v/>
      </c>
      <c r="W827" s="23" t="b">
        <f>if(AND(H827=TRUE,N827=TRUE,P827=TRUE),TRUE,FALSE)</f>
        <v>0</v>
      </c>
      <c r="X827" s="23" t="str">
        <f>IFERROR(__xludf.DUMMYFUNCTION("if(COUNTA(FILTER(C:C, C:C = C827))=1,""no"",""yes"")"),"no")</f>
        <v>no</v>
      </c>
    </row>
    <row r="828">
      <c r="A828" s="75" t="s">
        <v>852</v>
      </c>
      <c r="B828" s="19">
        <v>9.0</v>
      </c>
      <c r="C828" s="19" t="s">
        <v>281</v>
      </c>
      <c r="D828" s="58" t="str">
        <f t="shared" si="638"/>
        <v/>
      </c>
      <c r="E828" s="59">
        <f>Q828</f>
        <v>43777</v>
      </c>
      <c r="F828" s="60" t="str">
        <f>IFERROR(__xludf.DUMMYFUNCTION("iferror(ifna(IFNA(filter('2.1.clean'!E:E,'2.1.clean'!A:A=C828),filter('2.2.clean'!G:G,'2.2.clean'!D:D=C828)),filter('2.4.clean'!E:E,'2.4.clean'!A:A=C828)),)"),"")</f>
        <v/>
      </c>
      <c r="G828" s="59" t="str">
        <f>IFERROR(__xludf.DUMMYFUNCTION("iferror(filter('3.1.clean'!C:C,'3.1.clean'!A:A=C828),"""")"),"")</f>
        <v/>
      </c>
      <c r="H828" s="58"/>
      <c r="I828" s="58" t="str">
        <f>IFERROR(__xludf.DUMMYFUNCTION("iferror(filter('3.1.clean'!G:G,'3.1.clean'!A:A=C828),"""")"),"")</f>
        <v/>
      </c>
      <c r="J828" s="60" t="str">
        <f>IFERROR(__xludf.DUMMYFUNCTION("iferror(filter('3.1.clean'!I:I,'3.1.clean'!A:A=C828),"""")"),"")</f>
        <v/>
      </c>
      <c r="K828" s="59"/>
      <c r="L828" s="60"/>
      <c r="M828" s="59">
        <f>IFERROR(__xludf.DUMMYFUNCTION("iferror(filter('3.3.clean'!C:C,'3.3.clean'!A:A=C828),"""")"),43780.0)</f>
        <v>43780</v>
      </c>
      <c r="N828" s="60" t="b">
        <f t="shared" si="629"/>
        <v>1</v>
      </c>
      <c r="O828" s="59">
        <f>IFERROR(__xludf.DUMMYFUNCTION("iferror(filter('3.4.clean'!C:C,'3.4.clean'!A:A=C828),"""")"),43787.0)</f>
        <v>43787</v>
      </c>
      <c r="P828" s="60" t="b">
        <f t="shared" si="630"/>
        <v>1</v>
      </c>
      <c r="Q828" s="59">
        <f>IFERROR(__xludf.DUMMYFUNCTION("iferror(filter('3.5.clean'!C:C,'3.5.clean'!A:A=C828),"""")"),43777.0)</f>
        <v>43777</v>
      </c>
      <c r="R828" s="58" t="b">
        <f>if(Q828="",FALSE,TRUE)</f>
        <v>1</v>
      </c>
      <c r="S828" s="4">
        <f>IFERROR(__xludf.DUMMYFUNCTION("iferror(filter('3.5.clean'!H:H,'3.5.clean'!A:A=C828),"""")"),0.0)</f>
        <v>0</v>
      </c>
      <c r="V828" s="52" t="s">
        <v>64</v>
      </c>
      <c r="W828" s="23" t="b">
        <f>if(AND(R828=TRUE,N828=TRUE,P828=TRUE),TRUE,FALSE)</f>
        <v>1</v>
      </c>
      <c r="X828" s="23" t="str">
        <f>IFERROR(__xludf.DUMMYFUNCTION("if(COUNTA(FILTER(C:C, C:C = C828))=1,""no"",""yes"")"),"no")</f>
        <v>no</v>
      </c>
    </row>
    <row r="829">
      <c r="A829" s="75" t="s">
        <v>852</v>
      </c>
      <c r="B829" s="2">
        <v>10.0</v>
      </c>
      <c r="C829" s="69" t="s">
        <v>628</v>
      </c>
      <c r="E829" s="24">
        <f>IFERROR(__xludf.DUMMYFUNCTION("ifna(IFNA(filter('2.1.clean'!C:C,'2.1.clean'!A:A=C829),filter('2.2.clean'!E:E,'2.2.clean'!D:D=C829)),filter('2.4.clean'!C:C,'2.4.clean'!A:A=C829))"),43777.0)</f>
        <v>43777</v>
      </c>
      <c r="F829" s="25">
        <f>IFERROR(__xludf.DUMMYFUNCTION("iferror(ifna(IFNA(filter('2.1.clean'!E:E,'2.1.clean'!A:A=C829),filter('2.2.clean'!G:G,'2.2.clean'!D:D=C829)),filter('2.4.clean'!E:E,'2.4.clean'!A:A=C829)),)"),2.2)</f>
        <v>2.2</v>
      </c>
      <c r="G829" s="24">
        <f>IFERROR(__xludf.DUMMYFUNCTION("iferror(filter('3.1.clean'!C:C,'3.1.clean'!A:A=C829),"""")"),43777.0)</f>
        <v>43777</v>
      </c>
      <c r="H829" s="23" t="b">
        <f t="shared" ref="H829:H833" si="639">if(G829="",FALSE,TRUE)</f>
        <v>1</v>
      </c>
      <c r="J829" s="25"/>
      <c r="K829" s="24">
        <f>IFERROR(__xludf.DUMMYFUNCTION("iferror(filter('3.2.clean'!C:C,'3.2.clean'!A:A=C829),"""")"),43777.0)</f>
        <v>43777</v>
      </c>
      <c r="L829" s="25" t="b">
        <f t="shared" ref="L829:L832" si="640">if(K829="",FALSE,TRUE)</f>
        <v>1</v>
      </c>
      <c r="M829" s="24">
        <f>IFERROR(__xludf.DUMMYFUNCTION("iferror(filter('3.3.clean'!C:C,'3.3.clean'!A:A=C829),"""")"),43780.0)</f>
        <v>43780</v>
      </c>
      <c r="N829" s="25" t="b">
        <f t="shared" si="629"/>
        <v>1</v>
      </c>
      <c r="O829" s="24">
        <f>IFERROR(__xludf.DUMMYFUNCTION("iferror(filter('3.4.clean'!C:C,'3.4.clean'!A:A=C829),"""")"),43787.0)</f>
        <v>43787</v>
      </c>
      <c r="P829" s="25" t="b">
        <f t="shared" si="630"/>
        <v>1</v>
      </c>
      <c r="Q829" s="24" t="str">
        <f>IFERROR(__xludf.DUMMYFUNCTION("iferror(filter('3.5.clean'!C:C,'3.5.clean'!A:A=C829),"""")"),"")</f>
        <v/>
      </c>
      <c r="S829" s="25"/>
      <c r="W829" s="23" t="b">
        <f t="shared" ref="W829:W832" si="641">IF(and(H829=TRUE,L829=TRUE,N829=TRUE,P829=TRUE),TRUE,FALSE)</f>
        <v>1</v>
      </c>
      <c r="X829" s="23" t="str">
        <f>IFERROR(__xludf.DUMMYFUNCTION("if(COUNTA(FILTER(C:C, C:C = C829))=1,""no"",""yes"")"),"no")</f>
        <v>no</v>
      </c>
    </row>
    <row r="830">
      <c r="A830" s="75" t="s">
        <v>852</v>
      </c>
      <c r="B830" s="2">
        <v>11.0</v>
      </c>
      <c r="C830" s="19" t="s">
        <v>631</v>
      </c>
      <c r="E830" s="24">
        <f>IFERROR(__xludf.DUMMYFUNCTION("ifna(IFNA(filter('2.1.clean'!C:C,'2.1.clean'!A:A=C830),filter('2.2.clean'!E:E,'2.2.clean'!D:D=C830)),filter('2.4.clean'!C:C,'2.4.clean'!A:A=C830))"),43777.0)</f>
        <v>43777</v>
      </c>
      <c r="F830" s="25">
        <f>IFERROR(__xludf.DUMMYFUNCTION("iferror(ifna(IFNA(filter('2.1.clean'!E:E,'2.1.clean'!A:A=C830),filter('2.2.clean'!G:G,'2.2.clean'!D:D=C830)),filter('2.4.clean'!E:E,'2.4.clean'!A:A=C830)),)"),2.2)</f>
        <v>2.2</v>
      </c>
      <c r="G830" s="24">
        <f>IFERROR(__xludf.DUMMYFUNCTION("iferror(filter('3.1.clean'!C:C,'3.1.clean'!A:A=C830),"""")"),43777.0)</f>
        <v>43777</v>
      </c>
      <c r="H830" s="23" t="b">
        <f t="shared" si="639"/>
        <v>1</v>
      </c>
      <c r="J830" s="25"/>
      <c r="K830" s="24">
        <f>IFERROR(__xludf.DUMMYFUNCTION("iferror(filter('3.2.clean'!C:C,'3.2.clean'!A:A=C830),"""")"),43777.0)</f>
        <v>43777</v>
      </c>
      <c r="L830" s="25" t="b">
        <f t="shared" si="640"/>
        <v>1</v>
      </c>
      <c r="M830" s="24">
        <f>IFERROR(__xludf.DUMMYFUNCTION("iferror(filter('3.3.clean'!C:C,'3.3.clean'!A:A=C830),"""")"),43780.0)</f>
        <v>43780</v>
      </c>
      <c r="N830" s="25" t="b">
        <f t="shared" si="629"/>
        <v>1</v>
      </c>
      <c r="O830" s="24">
        <f>IFERROR(__xludf.DUMMYFUNCTION("iferror(filter('3.4.clean'!C:C,'3.4.clean'!A:A=C830),"""")"),43787.0)</f>
        <v>43787</v>
      </c>
      <c r="P830" s="25" t="b">
        <f t="shared" si="630"/>
        <v>1</v>
      </c>
      <c r="Q830" s="24" t="str">
        <f>IFERROR(__xludf.DUMMYFUNCTION("iferror(filter('3.5.clean'!C:C,'3.5.clean'!A:A=C830),"""")"),"")</f>
        <v/>
      </c>
      <c r="S830" s="25"/>
      <c r="W830" s="23" t="b">
        <f t="shared" si="641"/>
        <v>1</v>
      </c>
      <c r="X830" s="23" t="str">
        <f>IFERROR(__xludf.DUMMYFUNCTION("if(COUNTA(FILTER(C:C, C:C = C830))=1,""no"",""yes"")"),"no")</f>
        <v>no</v>
      </c>
    </row>
    <row r="831">
      <c r="A831" s="75" t="s">
        <v>852</v>
      </c>
      <c r="B831" s="2">
        <v>12.0</v>
      </c>
      <c r="C831" s="19" t="s">
        <v>633</v>
      </c>
      <c r="E831" s="24">
        <f>IFERROR(__xludf.DUMMYFUNCTION("ifna(IFNA(filter('2.1.clean'!C:C,'2.1.clean'!A:A=C831),filter('2.2.clean'!E:E,'2.2.clean'!D:D=C831)),filter('2.4.clean'!C:C,'2.4.clean'!A:A=C831))"),43777.0)</f>
        <v>43777</v>
      </c>
      <c r="F831" s="25">
        <f>IFERROR(__xludf.DUMMYFUNCTION("iferror(ifna(IFNA(filter('2.1.clean'!E:E,'2.1.clean'!A:A=C831),filter('2.2.clean'!G:G,'2.2.clean'!D:D=C831)),filter('2.4.clean'!E:E,'2.4.clean'!A:A=C831)),)"),2.2)</f>
        <v>2.2</v>
      </c>
      <c r="G831" s="24">
        <f>IFERROR(__xludf.DUMMYFUNCTION("iferror(filter('3.1.clean'!C:C,'3.1.clean'!A:A=C831),"""")"),43777.0)</f>
        <v>43777</v>
      </c>
      <c r="H831" s="23" t="b">
        <f t="shared" si="639"/>
        <v>1</v>
      </c>
      <c r="J831" s="25"/>
      <c r="K831" s="24">
        <f>IFERROR(__xludf.DUMMYFUNCTION("iferror(filter('3.2.clean'!C:C,'3.2.clean'!A:A=C831),"""")"),43777.0)</f>
        <v>43777</v>
      </c>
      <c r="L831" s="25" t="b">
        <f t="shared" si="640"/>
        <v>1</v>
      </c>
      <c r="M831" s="24">
        <f>IFERROR(__xludf.DUMMYFUNCTION("iferror(filter('3.3.clean'!C:C,'3.3.clean'!A:A=C831),"""")"),43780.0)</f>
        <v>43780</v>
      </c>
      <c r="N831" s="25" t="b">
        <f t="shared" si="629"/>
        <v>1</v>
      </c>
      <c r="O831" s="24">
        <f>IFERROR(__xludf.DUMMYFUNCTION("iferror(filter('3.4.clean'!C:C,'3.4.clean'!A:A=C831),"""")"),43787.0)</f>
        <v>43787</v>
      </c>
      <c r="P831" s="25" t="b">
        <f t="shared" si="630"/>
        <v>1</v>
      </c>
      <c r="Q831" s="24" t="str">
        <f>IFERROR(__xludf.DUMMYFUNCTION("iferror(filter('3.5.clean'!C:C,'3.5.clean'!A:A=C831),"""")"),"")</f>
        <v/>
      </c>
      <c r="S831" s="25"/>
      <c r="W831" s="23" t="b">
        <f t="shared" si="641"/>
        <v>1</v>
      </c>
      <c r="X831" s="23" t="str">
        <f>IFERROR(__xludf.DUMMYFUNCTION("if(COUNTA(FILTER(C:C, C:C = C831))=1,""no"",""yes"")"),"no")</f>
        <v>no</v>
      </c>
    </row>
    <row r="832">
      <c r="A832" s="75" t="s">
        <v>852</v>
      </c>
      <c r="B832" s="2">
        <v>13.0</v>
      </c>
      <c r="C832" s="69" t="s">
        <v>634</v>
      </c>
      <c r="E832" s="24">
        <f>IFERROR(__xludf.DUMMYFUNCTION("ifna(IFNA(filter('2.1.clean'!C:C,'2.1.clean'!A:A=C832),filter('2.2.clean'!E:E,'2.2.clean'!D:D=C832)),filter('2.4.clean'!C:C,'2.4.clean'!A:A=C832))"),43777.0)</f>
        <v>43777</v>
      </c>
      <c r="F832" s="25">
        <f>IFERROR(__xludf.DUMMYFUNCTION("iferror(ifna(IFNA(filter('2.1.clean'!E:E,'2.1.clean'!A:A=C832),filter('2.2.clean'!G:G,'2.2.clean'!D:D=C832)),filter('2.4.clean'!E:E,'2.4.clean'!A:A=C832)),)"),2.2)</f>
        <v>2.2</v>
      </c>
      <c r="G832" s="24">
        <f>IFERROR(__xludf.DUMMYFUNCTION("iferror(filter('3.1.clean'!C:C,'3.1.clean'!A:A=C832),"""")"),43777.0)</f>
        <v>43777</v>
      </c>
      <c r="H832" s="23" t="b">
        <f t="shared" si="639"/>
        <v>1</v>
      </c>
      <c r="J832" s="25"/>
      <c r="K832" s="24">
        <f>IFERROR(__xludf.DUMMYFUNCTION("iferror(filter('3.2.clean'!C:C,'3.2.clean'!A:A=C832),"""")"),43777.0)</f>
        <v>43777</v>
      </c>
      <c r="L832" s="25" t="b">
        <f t="shared" si="640"/>
        <v>1</v>
      </c>
      <c r="M832" s="24">
        <f>IFERROR(__xludf.DUMMYFUNCTION("iferror(filter('3.3.clean'!C:C,'3.3.clean'!A:A=C832),"""")"),43780.0)</f>
        <v>43780</v>
      </c>
      <c r="N832" s="25" t="b">
        <f t="shared" si="629"/>
        <v>1</v>
      </c>
      <c r="O832" s="24">
        <f>IFERROR(__xludf.DUMMYFUNCTION("iferror(filter('3.4.clean'!C:C,'3.4.clean'!A:A=C832),"""")"),43787.0)</f>
        <v>43787</v>
      </c>
      <c r="P832" s="25" t="b">
        <f t="shared" si="630"/>
        <v>1</v>
      </c>
      <c r="Q832" s="24" t="str">
        <f>IFERROR(__xludf.DUMMYFUNCTION("iferror(filter('3.5.clean'!C:C,'3.5.clean'!A:A=C832),"""")"),"")</f>
        <v/>
      </c>
      <c r="S832" s="25"/>
      <c r="W832" s="23" t="b">
        <f t="shared" si="641"/>
        <v>1</v>
      </c>
      <c r="X832" s="23" t="str">
        <f>IFERROR(__xludf.DUMMYFUNCTION("if(COUNTA(FILTER(C:C, C:C = C832))=1,""no"",""yes"")"),"no")</f>
        <v>no</v>
      </c>
    </row>
    <row r="833">
      <c r="A833" s="75" t="s">
        <v>852</v>
      </c>
      <c r="B833" s="19">
        <v>14.0</v>
      </c>
      <c r="C833" s="19" t="s">
        <v>277</v>
      </c>
      <c r="D833" s="58" t="str">
        <f t="shared" ref="D833:D836" si="642">if(or(I833=1,J833=1,S833=1),"pos","")</f>
        <v/>
      </c>
      <c r="E833" s="59">
        <f>IFERROR(__xludf.DUMMYFUNCTION("ifna(IFNA(filter('2.1.clean'!C:C,'2.1.clean'!A:A=C833),filter('2.2.clean'!E:E,'2.2.clean'!D:D=C833)),filter('2.4.clean'!C:C,'2.4.clean'!A:A=C833))"),43777.0)</f>
        <v>43777</v>
      </c>
      <c r="F833" s="60">
        <f>IFERROR(__xludf.DUMMYFUNCTION("iferror(ifna(IFNA(filter('2.1.clean'!E:E,'2.1.clean'!A:A=C833),filter('2.2.clean'!G:G,'2.2.clean'!D:D=C833)),filter('2.4.clean'!E:E,'2.4.clean'!A:A=C833)),)"),2.2)</f>
        <v>2.2</v>
      </c>
      <c r="G833" s="59">
        <f>IFERROR(__xludf.DUMMYFUNCTION("iferror(filter('3.1.clean'!C:C,'3.1.clean'!A:A=C833),"""")"),43777.0)</f>
        <v>43777</v>
      </c>
      <c r="H833" s="58" t="b">
        <f t="shared" si="639"/>
        <v>1</v>
      </c>
      <c r="I833" s="58">
        <f>IFERROR(__xludf.DUMMYFUNCTION("iferror(filter('3.1.clean'!G:G,'3.1.clean'!A:A=C833),"""")"),0.0)</f>
        <v>0</v>
      </c>
      <c r="J833" s="60" t="str">
        <f>IFERROR(__xludf.DUMMYFUNCTION("iferror(filter('3.1.clean'!I:I,'3.1.clean'!A:A=C833),"""")"),"")</f>
        <v/>
      </c>
      <c r="K833" s="58"/>
      <c r="L833" s="60"/>
      <c r="M833" s="59">
        <f>IFERROR(__xludf.DUMMYFUNCTION("iferror(filter('3.3.clean'!C:C,'3.3.clean'!A:A=C833),"""")"),43823.0)</f>
        <v>43823</v>
      </c>
      <c r="N833" s="60" t="b">
        <f t="shared" si="629"/>
        <v>1</v>
      </c>
      <c r="O833" s="59" t="str">
        <f>IFERROR(__xludf.DUMMYFUNCTION("iferror(filter('3.4.clean'!C:C,'3.4.clean'!A:A=C833),"""")"),"")</f>
        <v/>
      </c>
      <c r="P833" s="60" t="b">
        <f t="shared" si="630"/>
        <v>0</v>
      </c>
      <c r="Q833" s="59" t="str">
        <f>IFERROR(__xludf.DUMMYFUNCTION("iferror(filter('3.5.clean'!C:C,'3.5.clean'!A:A=C833),"""")"),"")</f>
        <v/>
      </c>
      <c r="R833" s="58"/>
      <c r="S833" s="4" t="str">
        <f>IFERROR(__xludf.DUMMYFUNCTION("iferror(filter('3.5.clean'!H:H,'3.5.clean'!A:A=C833),"""")"),"")</f>
        <v/>
      </c>
      <c r="W833" s="23" t="b">
        <f>if(AND(H833=TRUE,N833=TRUE,P833=TRUE),TRUE,FALSE)</f>
        <v>0</v>
      </c>
      <c r="X833" s="23" t="str">
        <f>IFERROR(__xludf.DUMMYFUNCTION("if(COUNTA(FILTER(C:C, C:C = C833))=1,""no"",""yes"")"),"no")</f>
        <v>no</v>
      </c>
    </row>
    <row r="834">
      <c r="A834" s="75" t="s">
        <v>852</v>
      </c>
      <c r="B834" s="19">
        <v>15.0</v>
      </c>
      <c r="C834" s="19" t="s">
        <v>276</v>
      </c>
      <c r="D834" s="61" t="str">
        <f t="shared" si="642"/>
        <v/>
      </c>
      <c r="E834" s="59">
        <f t="shared" ref="E834:E835" si="643">Q834</f>
        <v>43777</v>
      </c>
      <c r="F834" s="60" t="str">
        <f>IFERROR(__xludf.DUMMYFUNCTION("iferror(ifna(IFNA(filter('2.1.clean'!E:E,'2.1.clean'!A:A=C834),filter('2.2.clean'!G:G,'2.2.clean'!D:D=C834)),filter('2.4.clean'!E:E,'2.4.clean'!A:A=C834)),)"),"")</f>
        <v/>
      </c>
      <c r="G834" s="59"/>
      <c r="H834" s="61"/>
      <c r="I834" s="61"/>
      <c r="J834" s="65" t="str">
        <f>IFERROR(__xludf.DUMMYFUNCTION("iferror(filter('3.1.clean'!I:I,'3.1.clean'!A:A=C834),"""")"),"")</f>
        <v/>
      </c>
      <c r="K834" s="66"/>
      <c r="L834" s="65"/>
      <c r="M834" s="66" t="str">
        <f>IFERROR(__xludf.DUMMYFUNCTION("iferror(filter('3.3.clean'!C:C,'3.3.clean'!A:A=C834),"""")"),"")</f>
        <v/>
      </c>
      <c r="N834" s="60" t="b">
        <f t="shared" si="629"/>
        <v>0</v>
      </c>
      <c r="O834" s="66" t="str">
        <f>IFERROR(__xludf.DUMMYFUNCTION("iferror(filter('3.4.clean'!C:C,'3.4.clean'!A:A=C834),"""")"),"")</f>
        <v/>
      </c>
      <c r="P834" s="60" t="b">
        <f t="shared" si="630"/>
        <v>0</v>
      </c>
      <c r="Q834" s="62">
        <f>IFERROR(__xludf.DUMMYFUNCTION("iferror(filter('3.5.clean'!C:C,'3.5.clean'!A:A=C834),"""")"),43777.0)</f>
        <v>43777</v>
      </c>
      <c r="R834" s="58" t="b">
        <f t="shared" ref="R834:R835" si="644">if(Q834="",FALSE,TRUE)</f>
        <v>1</v>
      </c>
      <c r="S834" s="98">
        <f>IFERROR(__xludf.DUMMYFUNCTION("iferror(filter('3.5.clean'!H:H,'3.5.clean'!A:A=C834),"""")"),0.0)</f>
        <v>0</v>
      </c>
      <c r="T834" s="39"/>
      <c r="U834" s="39"/>
      <c r="V834" s="39" t="s">
        <v>64</v>
      </c>
      <c r="W834" s="23" t="b">
        <f>if(AND(R834=TRUE,N834=TRUE,P834=TRUE),TRUE,FALSE)</f>
        <v>0</v>
      </c>
      <c r="X834" s="39" t="str">
        <f>IFERROR(__xludf.DUMMYFUNCTION("if(COUNTA(FILTER(C:C, C:C = C834))=1,""no"",""yes"")"),"no")</f>
        <v>no</v>
      </c>
    </row>
    <row r="835">
      <c r="A835" s="75" t="s">
        <v>852</v>
      </c>
      <c r="B835" s="19">
        <v>16.0</v>
      </c>
      <c r="C835" s="19" t="s">
        <v>1600</v>
      </c>
      <c r="D835" s="22" t="str">
        <f t="shared" si="642"/>
        <v/>
      </c>
      <c r="E835" s="20">
        <f t="shared" si="643"/>
        <v>43777</v>
      </c>
      <c r="F835" s="79" t="str">
        <f>IFERROR(__xludf.DUMMYFUNCTION("iferror(ifna(IFNA(filter('2.1.clean'!E:E,'2.1.clean'!A:A=C835),filter('2.2.clean'!G:G,'2.2.clean'!D:D=C835)),filter('2.4.clean'!E:E,'2.4.clean'!A:A=C835)),)"),"")</f>
        <v/>
      </c>
      <c r="G835" s="20" t="str">
        <f>IFERROR(__xludf.DUMMYFUNCTION("iferror(filter('3.1.clean'!C:C,'3.1.clean'!A:A=C835),"""")"),"")</f>
        <v/>
      </c>
      <c r="H835" s="22"/>
      <c r="I835" s="22"/>
      <c r="J835" s="79"/>
      <c r="K835" s="20" t="str">
        <f>IFERROR(__xludf.DUMMYFUNCTION("iferror(filter('3.2.clean'!C:C,'3.2.clean'!A:A=C835),"""")"),"")</f>
        <v/>
      </c>
      <c r="L835" s="79"/>
      <c r="M835" s="20">
        <f>IFERROR(__xludf.DUMMYFUNCTION("iferror(filter('3.3.clean'!C:C,'3.3.clean'!A:A=C835),"""")"),43780.0)</f>
        <v>43780</v>
      </c>
      <c r="N835" s="79" t="b">
        <f t="shared" si="629"/>
        <v>1</v>
      </c>
      <c r="O835" s="20" t="str">
        <f>IFERROR(__xludf.DUMMYFUNCTION("iferror(filter('3.4.clean'!C:C,'3.4.clean'!A:A=C835),"""")"),"")</f>
        <v/>
      </c>
      <c r="P835" s="79" t="b">
        <f t="shared" si="630"/>
        <v>0</v>
      </c>
      <c r="Q835" s="20">
        <f>IFERROR(__xludf.DUMMYFUNCTION("iferror(filter('3.5.clean'!C:C,'3.5.clean'!A:A=C835),"""")"),43777.0)</f>
        <v>43777</v>
      </c>
      <c r="R835" s="22" t="b">
        <f t="shared" si="644"/>
        <v>1</v>
      </c>
      <c r="S835" s="4">
        <f>IFERROR(__xludf.DUMMYFUNCTION("iferror(filter('3.5.clean'!H:H,'3.5.clean'!A:A=C835),"""")"),0.0)</f>
        <v>0</v>
      </c>
      <c r="V835" s="1" t="s">
        <v>64</v>
      </c>
      <c r="W835" s="23" t="b">
        <f>IF(and(R835=TRUE,N835=TRUE,P835=TRUE),TRUE,FALSE)</f>
        <v>0</v>
      </c>
      <c r="X835" s="23" t="str">
        <f>IFERROR(__xludf.DUMMYFUNCTION("if(COUNTA(FILTER(C:C, C:C = C835))=1,""no"",""yes"")"),"no")</f>
        <v>no</v>
      </c>
    </row>
    <row r="836">
      <c r="A836" s="75" t="s">
        <v>852</v>
      </c>
      <c r="B836" s="19">
        <v>17.0</v>
      </c>
      <c r="C836" s="19" t="s">
        <v>1601</v>
      </c>
      <c r="D836" s="76" t="str">
        <f t="shared" si="642"/>
        <v/>
      </c>
      <c r="E836" s="77">
        <f>G836</f>
        <v>43777</v>
      </c>
      <c r="F836" s="78" t="str">
        <f>IFERROR(__xludf.DUMMYFUNCTION("iferror(ifna(IFNA(filter('2.1.clean'!E:E,'2.1.clean'!A:A=C836),filter('2.2.clean'!G:G,'2.2.clean'!D:D=C836)),filter('2.4.clean'!E:E,'2.4.clean'!A:A=C836)),)"),"")</f>
        <v/>
      </c>
      <c r="G836" s="77">
        <f>IFERROR(__xludf.DUMMYFUNCTION("iferror(filter('3.1.clean'!C:C,'3.1.clean'!A:A=C836),"""")"),43777.0)</f>
        <v>43777</v>
      </c>
      <c r="H836" s="76" t="b">
        <f>if(G836="",FALSE,TRUE)</f>
        <v>1</v>
      </c>
      <c r="I836" s="76">
        <f>IFERROR(__xludf.DUMMYFUNCTION("iferror(filter('3.1.clean'!G:G,'3.1.clean'!A:A=C836),"""")"),0.0)</f>
        <v>0</v>
      </c>
      <c r="J836" s="78" t="str">
        <f>IFERROR(__xludf.DUMMYFUNCTION("iferror(filter('3.1.clean'!I:I,'3.1.clean'!A:A=C836),"""")"),"")</f>
        <v/>
      </c>
      <c r="K836" s="77"/>
      <c r="L836" s="78"/>
      <c r="M836" s="77"/>
      <c r="N836" s="78"/>
      <c r="O836" s="77"/>
      <c r="P836" s="78"/>
      <c r="Q836" s="77"/>
      <c r="R836" s="76"/>
      <c r="S836" s="25"/>
      <c r="V836" s="1" t="s">
        <v>64</v>
      </c>
      <c r="W836" s="1" t="b">
        <v>1</v>
      </c>
      <c r="X836" s="23" t="str">
        <f>IFERROR(__xludf.DUMMYFUNCTION("if(COUNTA(FILTER(C:C, C:C = C836))=1,""no"",""yes"")"),"no")</f>
        <v>no</v>
      </c>
    </row>
    <row r="837">
      <c r="A837" s="75" t="s">
        <v>852</v>
      </c>
      <c r="B837" s="2">
        <v>18.0</v>
      </c>
      <c r="C837" s="19" t="s">
        <v>1602</v>
      </c>
      <c r="E837" s="24">
        <f>M837</f>
        <v>43780</v>
      </c>
      <c r="F837" s="25" t="str">
        <f>IFERROR(__xludf.DUMMYFUNCTION("iferror(ifna(IFNA(filter('2.1.clean'!E:E,'2.1.clean'!A:A=C837),filter('2.2.clean'!G:G,'2.2.clean'!D:D=C837)),filter('2.4.clean'!E:E,'2.4.clean'!A:A=C837)),)"),"")</f>
        <v/>
      </c>
      <c r="G837" s="24" t="str">
        <f>IFERROR(__xludf.DUMMYFUNCTION("iferror(filter('3.1.clean'!C:C,'3.1.clean'!A:A=C837),"""")"),"")</f>
        <v/>
      </c>
      <c r="J837" s="25"/>
      <c r="K837" s="24" t="str">
        <f>IFERROR(__xludf.DUMMYFUNCTION("iferror(filter('3.2.clean'!C:C,'3.2.clean'!A:A=C837),"""")"),"")</f>
        <v/>
      </c>
      <c r="L837" s="25"/>
      <c r="M837" s="24">
        <f>IFERROR(__xludf.DUMMYFUNCTION("iferror(filter('3.3.clean'!C:C,'3.3.clean'!A:A=C837),"""")"),43780.0)</f>
        <v>43780</v>
      </c>
      <c r="N837" s="25" t="b">
        <f t="shared" ref="N837:N844" si="645">if(M837="",FALSE,TRUE)</f>
        <v>1</v>
      </c>
      <c r="O837" s="24" t="str">
        <f>IFERROR(__xludf.DUMMYFUNCTION("iferror(filter('3.4.clean'!C:C,'3.4.clean'!A:A=C837),"""")"),"")</f>
        <v/>
      </c>
      <c r="P837" s="25" t="b">
        <f t="shared" ref="P837:P844" si="646">if(O837="",FALSE,TRUE)</f>
        <v>0</v>
      </c>
      <c r="Q837" s="24" t="str">
        <f>IFERROR(__xludf.DUMMYFUNCTION("iferror(filter('3.5.clean'!C:C,'3.5.clean'!A:A=C837),"""")"),"")</f>
        <v/>
      </c>
      <c r="S837" s="25"/>
      <c r="V837" s="52" t="s">
        <v>64</v>
      </c>
      <c r="X837" s="23" t="str">
        <f>IFERROR(__xludf.DUMMYFUNCTION("if(COUNTA(FILTER(C:C, C:C = C837))=1,""no"",""yes"")"),"no")</f>
        <v>no</v>
      </c>
    </row>
    <row r="838">
      <c r="A838" s="1" t="s">
        <v>856</v>
      </c>
      <c r="B838" s="2">
        <v>1.0</v>
      </c>
      <c r="C838" s="19" t="s">
        <v>1603</v>
      </c>
      <c r="E838" s="24">
        <f>IFERROR(__xludf.DUMMYFUNCTION("ifna(IFNA(filter('2.1.clean'!C:C,'2.1.clean'!A:A=C838),filter('2.2.clean'!E:E,'2.2.clean'!D:D=C838)),filter('2.4.clean'!C:C,'2.4.clean'!A:A=C838))"),43783.0)</f>
        <v>43783</v>
      </c>
      <c r="F838" s="25">
        <f>IFERROR(__xludf.DUMMYFUNCTION("iferror(ifna(IFNA(filter('2.1.clean'!E:E,'2.1.clean'!A:A=C838),filter('2.2.clean'!G:G,'2.2.clean'!D:D=C838)),filter('2.4.clean'!E:E,'2.4.clean'!A:A=C838)),)"),2.4)</f>
        <v>2.4</v>
      </c>
      <c r="G838" s="24"/>
      <c r="J838" s="25"/>
      <c r="K838" s="24"/>
      <c r="L838" s="25"/>
      <c r="M838" s="24">
        <f>IFERROR(__xludf.DUMMYFUNCTION("iferror(filter('3.3.clean'!C:C,'3.3.clean'!A:A=C838),"""")"),43784.0)</f>
        <v>43784</v>
      </c>
      <c r="N838" s="25" t="b">
        <f t="shared" si="645"/>
        <v>1</v>
      </c>
      <c r="O838" s="24">
        <f>IFERROR(__xludf.DUMMYFUNCTION("iferror(filter('3.4.clean'!C:C,'3.4.clean'!A:A=C838),"""")"),43788.0)</f>
        <v>43788</v>
      </c>
      <c r="P838" s="25" t="b">
        <f t="shared" si="646"/>
        <v>1</v>
      </c>
      <c r="Q838" s="24">
        <f>IFERROR(__xludf.DUMMYFUNCTION("iferror(filter('3.5.clean'!C:C,'3.5.clean'!A:A=C838),"""")"),43783.0)</f>
        <v>43783</v>
      </c>
      <c r="R838" s="23" t="b">
        <f>if(Q838="",FALSE,TRUE)</f>
        <v>1</v>
      </c>
      <c r="S838" s="25"/>
      <c r="V838" s="52" t="s">
        <v>64</v>
      </c>
      <c r="W838" s="23" t="b">
        <f>IF(and(R838=TRUE,N838=TRUE,P838=TRUE),TRUE,FALSE)</f>
        <v>1</v>
      </c>
      <c r="X838" s="23" t="str">
        <f>IFERROR(__xludf.DUMMYFUNCTION("if(COUNTA(FILTER(C:C, C:C = C838))=1,""no"",""yes"")"),"no")</f>
        <v>no</v>
      </c>
    </row>
    <row r="839">
      <c r="A839" s="1" t="s">
        <v>856</v>
      </c>
      <c r="B839" s="19">
        <v>2.0</v>
      </c>
      <c r="C839" s="19" t="s">
        <v>1604</v>
      </c>
      <c r="D839" s="58" t="str">
        <f t="shared" ref="D839:D840" si="647">if(or(I839=1,J839=1,S839=1),"pos","")</f>
        <v/>
      </c>
      <c r="E839" s="59">
        <f>IFERROR(__xludf.DUMMYFUNCTION("ifna(IFNA(filter('2.1.clean'!C:C,'2.1.clean'!A:A=C839),filter('2.2.clean'!E:E,'2.2.clean'!D:D=C839)),filter('2.4.clean'!C:C,'2.4.clean'!A:A=C839))"),43783.0)</f>
        <v>43783</v>
      </c>
      <c r="F839" s="60">
        <f>IFERROR(__xludf.DUMMYFUNCTION("iferror(ifna(IFNA(filter('2.1.clean'!E:E,'2.1.clean'!A:A=C839),filter('2.2.clean'!G:G,'2.2.clean'!D:D=C839)),filter('2.4.clean'!E:E,'2.4.clean'!A:A=C839)),)"),2.4)</f>
        <v>2.4</v>
      </c>
      <c r="G839" s="59">
        <f>IFERROR(__xludf.DUMMYFUNCTION("iferror(filter('3.1.clean'!C:C,'3.1.clean'!A:A=C839),"""")"),43783.0)</f>
        <v>43783</v>
      </c>
      <c r="H839" s="58" t="b">
        <f>if(G839="",FALSE,TRUE)</f>
        <v>1</v>
      </c>
      <c r="I839" s="58">
        <f>IFERROR(__xludf.DUMMYFUNCTION("iferror(filter('3.1.clean'!G:G,'3.1.clean'!A:A=C839),"""")"),0.0)</f>
        <v>0</v>
      </c>
      <c r="J839" s="60" t="str">
        <f>IFERROR(__xludf.DUMMYFUNCTION("iferror(filter('3.1.clean'!I:I,'3.1.clean'!A:A=C839),"""")"),"")</f>
        <v/>
      </c>
      <c r="K839" s="58"/>
      <c r="L839" s="60"/>
      <c r="M839" s="59" t="str">
        <f>IFERROR(__xludf.DUMMYFUNCTION("iferror(filter('3.3.clean'!C:C,'3.3.clean'!A:A=C839),"""")"),"")</f>
        <v/>
      </c>
      <c r="N839" s="60" t="b">
        <f t="shared" si="645"/>
        <v>0</v>
      </c>
      <c r="O839" s="59" t="str">
        <f>IFERROR(__xludf.DUMMYFUNCTION("iferror(filter('3.4.clean'!C:C,'3.4.clean'!A:A=C839),"""")"),"")</f>
        <v/>
      </c>
      <c r="P839" s="60" t="b">
        <f t="shared" si="646"/>
        <v>0</v>
      </c>
      <c r="Q839" s="59" t="str">
        <f>IFERROR(__xludf.DUMMYFUNCTION("iferror(filter('3.5.clean'!C:C,'3.5.clean'!A:A=C839),"""")"),"")</f>
        <v/>
      </c>
      <c r="R839" s="58"/>
      <c r="S839" s="4" t="str">
        <f>IFERROR(__xludf.DUMMYFUNCTION("iferror(filter('3.5.clean'!H:H,'3.5.clean'!A:A=C839),"""")"),"")</f>
        <v/>
      </c>
      <c r="W839" s="23" t="b">
        <f>if(AND(H839=TRUE,N839=TRUE,P839=TRUE),TRUE,FALSE)</f>
        <v>0</v>
      </c>
      <c r="X839" s="23" t="str">
        <f>IFERROR(__xludf.DUMMYFUNCTION("if(COUNTA(FILTER(C:C, C:C = C839))=1,""no"",""yes"")"),"no")</f>
        <v>no</v>
      </c>
    </row>
    <row r="840">
      <c r="A840" s="1" t="s">
        <v>856</v>
      </c>
      <c r="B840" s="19">
        <v>3.0</v>
      </c>
      <c r="C840" s="19" t="s">
        <v>1605</v>
      </c>
      <c r="D840" s="58" t="str">
        <f t="shared" si="647"/>
        <v/>
      </c>
      <c r="E840" s="59">
        <f>Q840</f>
        <v>43783</v>
      </c>
      <c r="F840" s="60" t="str">
        <f>IFERROR(__xludf.DUMMYFUNCTION("iferror(ifna(IFNA(filter('2.1.clean'!E:E,'2.1.clean'!A:A=C840),filter('2.2.clean'!G:G,'2.2.clean'!D:D=C840)),filter('2.4.clean'!E:E,'2.4.clean'!A:A=C840)),)"),"")</f>
        <v/>
      </c>
      <c r="G840" s="59" t="str">
        <f>IFERROR(__xludf.DUMMYFUNCTION("iferror(filter('3.1.clean'!C:C,'3.1.clean'!A:A=C840),"""")"),"")</f>
        <v/>
      </c>
      <c r="H840" s="58"/>
      <c r="I840" s="58" t="str">
        <f>IFERROR(__xludf.DUMMYFUNCTION("iferror(filter('3.1.clean'!G:G,'3.1.clean'!A:A=C840),"""")"),"")</f>
        <v/>
      </c>
      <c r="J840" s="60" t="str">
        <f>IFERROR(__xludf.DUMMYFUNCTION("iferror(filter('3.1.clean'!I:I,'3.1.clean'!A:A=C840),"""")"),"")</f>
        <v/>
      </c>
      <c r="K840" s="59"/>
      <c r="L840" s="60"/>
      <c r="M840" s="59" t="str">
        <f>IFERROR(__xludf.DUMMYFUNCTION("iferror(filter('3.3.clean'!C:C,'3.3.clean'!A:A=C840),"""")"),"")</f>
        <v/>
      </c>
      <c r="N840" s="60" t="b">
        <f t="shared" si="645"/>
        <v>0</v>
      </c>
      <c r="O840" s="59" t="str">
        <f>IFERROR(__xludf.DUMMYFUNCTION("iferror(filter('3.4.clean'!C:C,'3.4.clean'!A:A=C840),"""")"),"")</f>
        <v/>
      </c>
      <c r="P840" s="60" t="b">
        <f t="shared" si="646"/>
        <v>0</v>
      </c>
      <c r="Q840" s="59">
        <f>IFERROR(__xludf.DUMMYFUNCTION("iferror(filter('3.5.clean'!C:C,'3.5.clean'!A:A=C840),"""")"),43783.0)</f>
        <v>43783</v>
      </c>
      <c r="R840" s="58" t="b">
        <f t="shared" ref="R840:R841" si="648">if(Q840="",FALSE,TRUE)</f>
        <v>1</v>
      </c>
      <c r="S840" s="4">
        <f>IFERROR(__xludf.DUMMYFUNCTION("iferror(filter('3.5.clean'!H:H,'3.5.clean'!A:A=C840),"""")"),0.0)</f>
        <v>0</v>
      </c>
      <c r="V840" s="52" t="s">
        <v>64</v>
      </c>
      <c r="W840" s="23" t="b">
        <f>if(AND(R840=TRUE,N840=TRUE,P840=TRUE),TRUE,FALSE)</f>
        <v>0</v>
      </c>
      <c r="X840" s="23" t="str">
        <f>IFERROR(__xludf.DUMMYFUNCTION("if(COUNTA(FILTER(C:C, C:C = C840))=1,""no"",""yes"")"),"no")</f>
        <v>no</v>
      </c>
    </row>
    <row r="841">
      <c r="A841" s="1" t="s">
        <v>856</v>
      </c>
      <c r="B841" s="2">
        <v>4.0</v>
      </c>
      <c r="C841" s="19" t="s">
        <v>1606</v>
      </c>
      <c r="E841" s="24">
        <f>IFERROR(__xludf.DUMMYFUNCTION("ifna(IFNA(filter('2.1.clean'!C:C,'2.1.clean'!A:A=C841),filter('2.2.clean'!E:E,'2.2.clean'!D:D=C841)),filter('2.4.clean'!C:C,'2.4.clean'!A:A=C841))"),43783.0)</f>
        <v>43783</v>
      </c>
      <c r="F841" s="25">
        <f>IFERROR(__xludf.DUMMYFUNCTION("iferror(ifna(IFNA(filter('2.1.clean'!E:E,'2.1.clean'!A:A=C841),filter('2.2.clean'!G:G,'2.2.clean'!D:D=C841)),filter('2.4.clean'!E:E,'2.4.clean'!A:A=C841)),)"),2.4)</f>
        <v>2.4</v>
      </c>
      <c r="G841" s="24"/>
      <c r="J841" s="25"/>
      <c r="K841" s="24"/>
      <c r="L841" s="25"/>
      <c r="M841" s="24">
        <f>IFERROR(__xludf.DUMMYFUNCTION("iferror(filter('3.3.clean'!C:C,'3.3.clean'!A:A=C841),"""")"),43784.0)</f>
        <v>43784</v>
      </c>
      <c r="N841" s="25" t="b">
        <f t="shared" si="645"/>
        <v>1</v>
      </c>
      <c r="O841" s="24">
        <f>IFERROR(__xludf.DUMMYFUNCTION("iferror(filter('3.4.clean'!C:C,'3.4.clean'!A:A=C841),"""")"),43788.0)</f>
        <v>43788</v>
      </c>
      <c r="P841" s="25" t="b">
        <f t="shared" si="646"/>
        <v>1</v>
      </c>
      <c r="Q841" s="24">
        <f>IFERROR(__xludf.DUMMYFUNCTION("iferror(filter('3.5.clean'!C:C,'3.5.clean'!A:A=C841),"""")"),43783.0)</f>
        <v>43783</v>
      </c>
      <c r="R841" s="23" t="b">
        <f t="shared" si="648"/>
        <v>1</v>
      </c>
      <c r="S841" s="25"/>
      <c r="V841" s="52" t="s">
        <v>64</v>
      </c>
      <c r="W841" s="23" t="b">
        <f>IF(and(R841=TRUE,N841=TRUE,P841=TRUE),TRUE,FALSE)</f>
        <v>1</v>
      </c>
      <c r="X841" s="23" t="str">
        <f>IFERROR(__xludf.DUMMYFUNCTION("if(COUNTA(FILTER(C:C, C:C = C841))=1,""no"",""yes"")"),"no")</f>
        <v>no</v>
      </c>
    </row>
    <row r="842">
      <c r="A842" s="1" t="s">
        <v>856</v>
      </c>
      <c r="B842" s="19">
        <v>5.0</v>
      </c>
      <c r="C842" s="19" t="s">
        <v>1607</v>
      </c>
      <c r="D842" s="58" t="str">
        <f t="shared" ref="D842:D845" si="649">if(or(I842=1,J842=1,S842=1),"pos","")</f>
        <v/>
      </c>
      <c r="E842" s="59">
        <f>IFERROR(__xludf.DUMMYFUNCTION("ifna(IFNA(filter('2.1.clean'!C:C,'2.1.clean'!A:A=C842),filter('2.2.clean'!E:E,'2.2.clean'!D:D=C842)),filter('2.4.clean'!C:C,'2.4.clean'!A:A=C842))"),43783.0)</f>
        <v>43783</v>
      </c>
      <c r="F842" s="60">
        <f>IFERROR(__xludf.DUMMYFUNCTION("iferror(ifna(IFNA(filter('2.1.clean'!E:E,'2.1.clean'!A:A=C842),filter('2.2.clean'!G:G,'2.2.clean'!D:D=C842)),filter('2.4.clean'!E:E,'2.4.clean'!A:A=C842)),)"),2.4)</f>
        <v>2.4</v>
      </c>
      <c r="G842" s="59">
        <f>IFERROR(__xludf.DUMMYFUNCTION("iferror(filter('3.1.clean'!C:C,'3.1.clean'!A:A=C842),"""")"),43783.0)</f>
        <v>43783</v>
      </c>
      <c r="H842" s="58" t="b">
        <f>if(G842="",FALSE,TRUE)</f>
        <v>1</v>
      </c>
      <c r="I842" s="58">
        <f>IFERROR(__xludf.DUMMYFUNCTION("iferror(filter('3.1.clean'!G:G,'3.1.clean'!A:A=C842),"""")"),0.0)</f>
        <v>0</v>
      </c>
      <c r="J842" s="60" t="str">
        <f>IFERROR(__xludf.DUMMYFUNCTION("iferror(filter('3.1.clean'!I:I,'3.1.clean'!A:A=C842),"""")"),"")</f>
        <v/>
      </c>
      <c r="K842" s="58"/>
      <c r="L842" s="60"/>
      <c r="M842" s="59" t="str">
        <f>IFERROR(__xludf.DUMMYFUNCTION("iferror(filter('3.3.clean'!C:C,'3.3.clean'!A:A=C842),"""")"),"")</f>
        <v/>
      </c>
      <c r="N842" s="60" t="b">
        <f t="shared" si="645"/>
        <v>0</v>
      </c>
      <c r="O842" s="59" t="str">
        <f>IFERROR(__xludf.DUMMYFUNCTION("iferror(filter('3.4.clean'!C:C,'3.4.clean'!A:A=C842),"""")"),"")</f>
        <v/>
      </c>
      <c r="P842" s="60" t="b">
        <f t="shared" si="646"/>
        <v>0</v>
      </c>
      <c r="Q842" s="59" t="str">
        <f>IFERROR(__xludf.DUMMYFUNCTION("iferror(filter('3.5.clean'!C:C,'3.5.clean'!A:A=C842),"""")"),"")</f>
        <v/>
      </c>
      <c r="R842" s="58"/>
      <c r="S842" s="4" t="str">
        <f>IFERROR(__xludf.DUMMYFUNCTION("iferror(filter('3.5.clean'!H:H,'3.5.clean'!A:A=C842),"""")"),"")</f>
        <v/>
      </c>
      <c r="W842" s="23" t="b">
        <f>if(AND(H842=TRUE,N842=TRUE,P842=TRUE),TRUE,FALSE)</f>
        <v>0</v>
      </c>
      <c r="X842" s="23" t="str">
        <f>IFERROR(__xludf.DUMMYFUNCTION("if(COUNTA(FILTER(C:C, C:C = C842))=1,""no"",""yes"")"),"no")</f>
        <v>no</v>
      </c>
    </row>
    <row r="843">
      <c r="A843" s="1" t="s">
        <v>856</v>
      </c>
      <c r="B843" s="19">
        <v>6.0</v>
      </c>
      <c r="C843" s="19" t="s">
        <v>341</v>
      </c>
      <c r="D843" s="58" t="str">
        <f t="shared" si="649"/>
        <v/>
      </c>
      <c r="E843" s="59">
        <f t="shared" ref="E843:E844" si="650">Q843</f>
        <v>43783</v>
      </c>
      <c r="F843" s="60" t="str">
        <f>IFERROR(__xludf.DUMMYFUNCTION("iferror(ifna(IFNA(filter('2.1.clean'!E:E,'2.1.clean'!A:A=C843),filter('2.2.clean'!G:G,'2.2.clean'!D:D=C843)),filter('2.4.clean'!E:E,'2.4.clean'!A:A=C843)),)"),"")</f>
        <v/>
      </c>
      <c r="G843" s="59" t="str">
        <f>IFERROR(__xludf.DUMMYFUNCTION("iferror(filter('3.1.clean'!C:C,'3.1.clean'!A:A=C843),"""")"),"")</f>
        <v/>
      </c>
      <c r="H843" s="58"/>
      <c r="I843" s="58" t="str">
        <f>IFERROR(__xludf.DUMMYFUNCTION("iferror(filter('3.1.clean'!G:G,'3.1.clean'!A:A=C843),"""")"),"")</f>
        <v/>
      </c>
      <c r="J843" s="60" t="str">
        <f>IFERROR(__xludf.DUMMYFUNCTION("iferror(filter('3.1.clean'!I:I,'3.1.clean'!A:A=C843),"""")"),"")</f>
        <v/>
      </c>
      <c r="K843" s="59"/>
      <c r="L843" s="60"/>
      <c r="M843" s="59">
        <f>IFERROR(__xludf.DUMMYFUNCTION("iferror(filter('3.3.clean'!C:C,'3.3.clean'!A:A=C843),"""")"),43784.0)</f>
        <v>43784</v>
      </c>
      <c r="N843" s="60" t="b">
        <f t="shared" si="645"/>
        <v>1</v>
      </c>
      <c r="O843" s="59">
        <f>IFERROR(__xludf.DUMMYFUNCTION("iferror(filter('3.4.clean'!C:C,'3.4.clean'!A:A=C843),"""")"),43788.0)</f>
        <v>43788</v>
      </c>
      <c r="P843" s="60" t="b">
        <f t="shared" si="646"/>
        <v>1</v>
      </c>
      <c r="Q843" s="59">
        <f>IFERROR(__xludf.DUMMYFUNCTION("iferror(filter('3.5.clean'!C:C,'3.5.clean'!A:A=C843),"""")"),43783.0)</f>
        <v>43783</v>
      </c>
      <c r="R843" s="58" t="b">
        <f t="shared" ref="R843:R844" si="651">if(Q843="",FALSE,TRUE)</f>
        <v>1</v>
      </c>
      <c r="S843" s="4">
        <f>IFERROR(__xludf.DUMMYFUNCTION("iferror(filter('3.5.clean'!H:H,'3.5.clean'!A:A=C843),"""")"),0.0)</f>
        <v>0</v>
      </c>
      <c r="V843" s="52" t="s">
        <v>64</v>
      </c>
      <c r="W843" s="23" t="b">
        <f>if(AND(R843=TRUE,N843=TRUE,P843=TRUE),TRUE,FALSE)</f>
        <v>1</v>
      </c>
      <c r="X843" s="23" t="str">
        <f>IFERROR(__xludf.DUMMYFUNCTION("if(COUNTA(FILTER(C:C, C:C = C843))=1,""no"",""yes"")"),"no")</f>
        <v>no</v>
      </c>
    </row>
    <row r="844">
      <c r="A844" s="1" t="s">
        <v>856</v>
      </c>
      <c r="B844" s="19">
        <v>7.0</v>
      </c>
      <c r="C844" s="19" t="s">
        <v>1608</v>
      </c>
      <c r="D844" s="22" t="str">
        <f t="shared" si="649"/>
        <v/>
      </c>
      <c r="E844" s="20">
        <f t="shared" si="650"/>
        <v>43783</v>
      </c>
      <c r="F844" s="79" t="str">
        <f>IFERROR(__xludf.DUMMYFUNCTION("iferror(ifna(IFNA(filter('2.1.clean'!E:E,'2.1.clean'!A:A=C844),filter('2.2.clean'!G:G,'2.2.clean'!D:D=C844)),filter('2.4.clean'!E:E,'2.4.clean'!A:A=C844)),)"),"")</f>
        <v/>
      </c>
      <c r="G844" s="20" t="str">
        <f>IFERROR(__xludf.DUMMYFUNCTION("iferror(filter('3.1.clean'!C:C,'3.1.clean'!A:A=C844),"""")"),"")</f>
        <v/>
      </c>
      <c r="H844" s="22"/>
      <c r="I844" s="22"/>
      <c r="J844" s="79"/>
      <c r="K844" s="20" t="str">
        <f>IFERROR(__xludf.DUMMYFUNCTION("iferror(filter('3.2.clean'!C:C,'3.2.clean'!A:A=C844),"""")"),"")</f>
        <v/>
      </c>
      <c r="L844" s="79"/>
      <c r="M844" s="20">
        <f>IFERROR(__xludf.DUMMYFUNCTION("iferror(filter('3.3.clean'!C:C,'3.3.clean'!A:A=C844),"""")"),43785.0)</f>
        <v>43785</v>
      </c>
      <c r="N844" s="79" t="b">
        <f t="shared" si="645"/>
        <v>1</v>
      </c>
      <c r="O844" s="20" t="str">
        <f>IFERROR(__xludf.DUMMYFUNCTION("iferror(filter('3.4.clean'!C:C,'3.4.clean'!A:A=C844),"""")"),"")</f>
        <v/>
      </c>
      <c r="P844" s="79" t="b">
        <f t="shared" si="646"/>
        <v>0</v>
      </c>
      <c r="Q844" s="20">
        <f>IFERROR(__xludf.DUMMYFUNCTION("iferror(filter('3.5.clean'!C:C,'3.5.clean'!A:A=C844),"""")"),43783.0)</f>
        <v>43783</v>
      </c>
      <c r="R844" s="22" t="b">
        <f t="shared" si="651"/>
        <v>1</v>
      </c>
      <c r="S844" s="4">
        <f>IFERROR(__xludf.DUMMYFUNCTION("iferror(filter('3.5.clean'!H:H,'3.5.clean'!A:A=C844),"""")"),0.0)</f>
        <v>0</v>
      </c>
      <c r="V844" s="1" t="s">
        <v>64</v>
      </c>
      <c r="W844" s="23" t="b">
        <f>IF(and(R844=TRUE,N844=TRUE,P844=TRUE),TRUE,FALSE)</f>
        <v>0</v>
      </c>
      <c r="X844" s="23" t="str">
        <f>IFERROR(__xludf.DUMMYFUNCTION("if(COUNTA(FILTER(C:C, C:C = C844))=1,""no"",""yes"")"),"no")</f>
        <v>no</v>
      </c>
    </row>
    <row r="845">
      <c r="A845" s="1" t="s">
        <v>856</v>
      </c>
      <c r="B845" s="19">
        <v>8.0</v>
      </c>
      <c r="C845" s="19" t="s">
        <v>1609</v>
      </c>
      <c r="D845" s="76" t="str">
        <f t="shared" si="649"/>
        <v/>
      </c>
      <c r="E845" s="77">
        <f>G845</f>
        <v>43783</v>
      </c>
      <c r="F845" s="78" t="str">
        <f>IFERROR(__xludf.DUMMYFUNCTION("iferror(ifna(IFNA(filter('2.1.clean'!E:E,'2.1.clean'!A:A=C845),filter('2.2.clean'!G:G,'2.2.clean'!D:D=C845)),filter('2.4.clean'!E:E,'2.4.clean'!A:A=C845)),)"),"")</f>
        <v/>
      </c>
      <c r="G845" s="77">
        <f>IFERROR(__xludf.DUMMYFUNCTION("iferror(filter('3.1.clean'!C:C,'3.1.clean'!A:A=C845),"""")"),43783.0)</f>
        <v>43783</v>
      </c>
      <c r="H845" s="76" t="b">
        <f>if(G845="",FALSE,TRUE)</f>
        <v>1</v>
      </c>
      <c r="I845" s="76">
        <f>IFERROR(__xludf.DUMMYFUNCTION("iferror(filter('3.1.clean'!G:G,'3.1.clean'!A:A=C845),"""")"),0.0)</f>
        <v>0</v>
      </c>
      <c r="J845" s="78" t="str">
        <f>IFERROR(__xludf.DUMMYFUNCTION("iferror(filter('3.1.clean'!I:I,'3.1.clean'!A:A=C845),"""")"),"")</f>
        <v/>
      </c>
      <c r="K845" s="77"/>
      <c r="L845" s="78"/>
      <c r="M845" s="77"/>
      <c r="N845" s="78"/>
      <c r="O845" s="77"/>
      <c r="P845" s="78"/>
      <c r="Q845" s="77"/>
      <c r="R845" s="76"/>
      <c r="S845" s="25"/>
      <c r="V845" s="1" t="s">
        <v>64</v>
      </c>
      <c r="W845" s="1" t="b">
        <v>1</v>
      </c>
      <c r="X845" s="23" t="str">
        <f>IFERROR(__xludf.DUMMYFUNCTION("if(COUNTA(FILTER(C:C, C:C = C845))=1,""no"",""yes"")"),"no")</f>
        <v>no</v>
      </c>
    </row>
    <row r="846">
      <c r="A846" s="1" t="s">
        <v>856</v>
      </c>
      <c r="B846" s="2">
        <v>9.0</v>
      </c>
      <c r="C846" s="19" t="s">
        <v>1610</v>
      </c>
      <c r="E846" s="24">
        <v>43783.0</v>
      </c>
      <c r="F846" s="25" t="str">
        <f>IFERROR(__xludf.DUMMYFUNCTION("iferror(ifna(IFNA(filter('2.1.clean'!E:E,'2.1.clean'!A:A=C846),filter('2.2.clean'!G:G,'2.2.clean'!D:D=C846)),filter('2.4.clean'!E:E,'2.4.clean'!A:A=C846)),)"),"")</f>
        <v/>
      </c>
      <c r="G846" s="24" t="str">
        <f>IFERROR(__xludf.DUMMYFUNCTION("iferror(filter('3.1.clean'!C:C,'3.1.clean'!A:A=C846),"""")"),"")</f>
        <v/>
      </c>
      <c r="J846" s="25"/>
      <c r="K846" s="24" t="str">
        <f>IFERROR(__xludf.DUMMYFUNCTION("iferror(filter('3.2.clean'!C:C,'3.2.clean'!A:A=C846),"""")"),"")</f>
        <v/>
      </c>
      <c r="L846" s="25"/>
      <c r="M846" s="24">
        <f>IFERROR(__xludf.DUMMYFUNCTION("iferror(filter('3.3.clean'!C:C,'3.3.clean'!A:A=C846),"""")"),43784.0)</f>
        <v>43784</v>
      </c>
      <c r="N846" s="25" t="b">
        <f t="shared" ref="N846:N869" si="652">if(M846="",FALSE,TRUE)</f>
        <v>1</v>
      </c>
      <c r="O846" s="24" t="str">
        <f>IFERROR(__xludf.DUMMYFUNCTION("iferror(filter('3.4.clean'!C:C,'3.4.clean'!A:A=C846),"""")"),"")</f>
        <v/>
      </c>
      <c r="P846" s="25" t="b">
        <f t="shared" ref="P846:P869" si="653">if(O846="",FALSE,TRUE)</f>
        <v>0</v>
      </c>
      <c r="Q846" s="24" t="str">
        <f>IFERROR(__xludf.DUMMYFUNCTION("iferror(filter('3.5.clean'!C:C,'3.5.clean'!A:A=C846),"""")"),"")</f>
        <v/>
      </c>
      <c r="S846" s="25"/>
      <c r="V846" s="52" t="s">
        <v>64</v>
      </c>
      <c r="X846" s="23" t="str">
        <f>IFERROR(__xludf.DUMMYFUNCTION("if(COUNTA(FILTER(C:C, C:C = C846))=1,""no"",""yes"")"),"no")</f>
        <v>no</v>
      </c>
    </row>
    <row r="847">
      <c r="A847" s="75" t="s">
        <v>859</v>
      </c>
      <c r="B847" s="2">
        <v>1.0</v>
      </c>
      <c r="C847" s="19" t="s">
        <v>1611</v>
      </c>
      <c r="E847" s="24">
        <f>IFERROR(__xludf.DUMMYFUNCTION("ifna(IFNA(filter('2.1.clean'!C:C,'2.1.clean'!A:A=C847),filter('2.2.clean'!E:E,'2.2.clean'!D:D=C847)),filter('2.4.clean'!C:C,'2.4.clean'!A:A=C847))"),43784.0)</f>
        <v>43784</v>
      </c>
      <c r="F847" s="25">
        <f>IFERROR(__xludf.DUMMYFUNCTION("iferror(ifna(IFNA(filter('2.1.clean'!E:E,'2.1.clean'!A:A=C847),filter('2.2.clean'!G:G,'2.2.clean'!D:D=C847)),filter('2.4.clean'!E:E,'2.4.clean'!A:A=C847)),)"),2.4)</f>
        <v>2.4</v>
      </c>
      <c r="G847" s="24">
        <f>IFERROR(__xludf.DUMMYFUNCTION("iferror(filter('3.1.clean'!C:C,'3.1.clean'!A:A=C847),"""")"),43784.0)</f>
        <v>43784</v>
      </c>
      <c r="H847" s="23" t="b">
        <f t="shared" ref="H847:H848" si="654">if(G847="",FALSE,TRUE)</f>
        <v>1</v>
      </c>
      <c r="J847" s="25"/>
      <c r="K847" s="24">
        <f>IFERROR(__xludf.DUMMYFUNCTION("iferror(filter('3.2.clean'!C:C,'3.2.clean'!A:A=C847),"""")"),43784.0)</f>
        <v>43784</v>
      </c>
      <c r="L847" s="25" t="b">
        <f>if(K847="",FALSE,TRUE)</f>
        <v>1</v>
      </c>
      <c r="M847" s="24">
        <f>IFERROR(__xludf.DUMMYFUNCTION("iferror(filter('3.3.clean'!C:C,'3.3.clean'!A:A=C847),"""")"),43785.0)</f>
        <v>43785</v>
      </c>
      <c r="N847" s="25" t="b">
        <f t="shared" si="652"/>
        <v>1</v>
      </c>
      <c r="O847" s="24">
        <f>IFERROR(__xludf.DUMMYFUNCTION("iferror(filter('3.4.clean'!C:C,'3.4.clean'!A:A=C847),"""")"),43788.0)</f>
        <v>43788</v>
      </c>
      <c r="P847" s="25" t="b">
        <f t="shared" si="653"/>
        <v>1</v>
      </c>
      <c r="Q847" s="24">
        <f>IFERROR(__xludf.DUMMYFUNCTION("iferror(filter('3.5.clean'!C:C,'3.5.clean'!A:A=C847),"""")"),43784.0)</f>
        <v>43784</v>
      </c>
      <c r="R847" s="23" t="b">
        <f>if(Q847="",FALSE,TRUE)</f>
        <v>1</v>
      </c>
      <c r="S847" s="25"/>
      <c r="V847" s="1" t="s">
        <v>64</v>
      </c>
      <c r="X847" s="23" t="str">
        <f>IFERROR(__xludf.DUMMYFUNCTION("if(COUNTA(FILTER(C:C, C:C = C847))=1,""no"",""yes"")"),"no")</f>
        <v>no</v>
      </c>
    </row>
    <row r="848">
      <c r="A848" s="75" t="s">
        <v>859</v>
      </c>
      <c r="B848" s="19">
        <v>2.0</v>
      </c>
      <c r="C848" s="19" t="s">
        <v>1552</v>
      </c>
      <c r="D848" s="58" t="str">
        <f t="shared" ref="D848:D849" si="655">if(or(I848=1,J848=1,S848=1),"pos","")</f>
        <v/>
      </c>
      <c r="E848" s="59">
        <f>IFERROR(__xludf.DUMMYFUNCTION("ifna(IFNA(filter('2.1.clean'!C:C,'2.1.clean'!A:A=C848),filter('2.2.clean'!E:E,'2.2.clean'!D:D=C848)),filter('2.4.clean'!C:C,'2.4.clean'!A:A=C848))"),43784.0)</f>
        <v>43784</v>
      </c>
      <c r="F848" s="60">
        <f>IFERROR(__xludf.DUMMYFUNCTION("iferror(ifna(IFNA(filter('2.1.clean'!E:E,'2.1.clean'!A:A=C848),filter('2.2.clean'!G:G,'2.2.clean'!D:D=C848)),filter('2.4.clean'!E:E,'2.4.clean'!A:A=C848)),)"),2.4)</f>
        <v>2.4</v>
      </c>
      <c r="G848" s="59">
        <f>IFERROR(__xludf.DUMMYFUNCTION("iferror(filter('3.1.clean'!C:C,'3.1.clean'!A:A=C848),"""")"),43784.0)</f>
        <v>43784</v>
      </c>
      <c r="H848" s="58" t="b">
        <f t="shared" si="654"/>
        <v>1</v>
      </c>
      <c r="I848" s="58">
        <f>IFERROR(__xludf.DUMMYFUNCTION("iferror(filter('3.1.clean'!G:G,'3.1.clean'!A:A=C848),"""")"),0.0)</f>
        <v>0</v>
      </c>
      <c r="J848" s="60" t="str">
        <f>IFERROR(__xludf.DUMMYFUNCTION("iferror(filter('3.1.clean'!I:I,'3.1.clean'!A:A=C848),"""")"),"")</f>
        <v/>
      </c>
      <c r="K848" s="58"/>
      <c r="L848" s="60"/>
      <c r="M848" s="59" t="str">
        <f>IFERROR(__xludf.DUMMYFUNCTION("iferror(filter('3.3.clean'!C:C,'3.3.clean'!A:A=C848),"""")"),"")</f>
        <v/>
      </c>
      <c r="N848" s="60" t="b">
        <f t="shared" si="652"/>
        <v>0</v>
      </c>
      <c r="O848" s="59" t="str">
        <f>IFERROR(__xludf.DUMMYFUNCTION("iferror(filter('3.4.clean'!C:C,'3.4.clean'!A:A=C848),"""")"),"")</f>
        <v/>
      </c>
      <c r="P848" s="60" t="b">
        <f t="shared" si="653"/>
        <v>0</v>
      </c>
      <c r="Q848" s="59" t="str">
        <f>IFERROR(__xludf.DUMMYFUNCTION("iferror(filter('3.5.clean'!C:C,'3.5.clean'!A:A=C848),"""")"),"")</f>
        <v/>
      </c>
      <c r="R848" s="58"/>
      <c r="S848" s="4" t="str">
        <f>IFERROR(__xludf.DUMMYFUNCTION("iferror(filter('3.5.clean'!H:H,'3.5.clean'!A:A=C848),"""")"),"")</f>
        <v/>
      </c>
      <c r="W848" s="23" t="b">
        <f>if(AND(H848=TRUE,N848=TRUE,P848=TRUE),TRUE,FALSE)</f>
        <v>0</v>
      </c>
      <c r="X848" s="23" t="str">
        <f>IFERROR(__xludf.DUMMYFUNCTION("if(COUNTA(FILTER(C:C, C:C = C848))=1,""no"",""yes"")"),"no")</f>
        <v>no</v>
      </c>
    </row>
    <row r="849">
      <c r="A849" s="75" t="s">
        <v>859</v>
      </c>
      <c r="B849" s="19">
        <v>3.0</v>
      </c>
      <c r="C849" s="19" t="s">
        <v>1612</v>
      </c>
      <c r="D849" s="58" t="str">
        <f t="shared" si="655"/>
        <v/>
      </c>
      <c r="E849" s="59">
        <f>Q849</f>
        <v>43784</v>
      </c>
      <c r="F849" s="60" t="str">
        <f>IFERROR(__xludf.DUMMYFUNCTION("iferror(ifna(IFNA(filter('2.1.clean'!E:E,'2.1.clean'!A:A=C849),filter('2.2.clean'!G:G,'2.2.clean'!D:D=C849)),filter('2.4.clean'!E:E,'2.4.clean'!A:A=C849)),)"),"")</f>
        <v/>
      </c>
      <c r="G849" s="59" t="str">
        <f>IFERROR(__xludf.DUMMYFUNCTION("iferror(filter('3.1.clean'!C:C,'3.1.clean'!A:A=C849),"""")"),"")</f>
        <v/>
      </c>
      <c r="H849" s="58"/>
      <c r="I849" s="58" t="str">
        <f>IFERROR(__xludf.DUMMYFUNCTION("iferror(filter('3.1.clean'!G:G,'3.1.clean'!A:A=C849),"""")"),"")</f>
        <v/>
      </c>
      <c r="J849" s="60" t="str">
        <f>IFERROR(__xludf.DUMMYFUNCTION("iferror(filter('3.1.clean'!I:I,'3.1.clean'!A:A=C849),"""")"),"")</f>
        <v/>
      </c>
      <c r="K849" s="59"/>
      <c r="L849" s="60"/>
      <c r="M849" s="59" t="str">
        <f>IFERROR(__xludf.DUMMYFUNCTION("iferror(filter('3.3.clean'!C:C,'3.3.clean'!A:A=C849),"""")"),"")</f>
        <v/>
      </c>
      <c r="N849" s="60" t="b">
        <f t="shared" si="652"/>
        <v>0</v>
      </c>
      <c r="O849" s="59" t="str">
        <f>IFERROR(__xludf.DUMMYFUNCTION("iferror(filter('3.4.clean'!C:C,'3.4.clean'!A:A=C849),"""")"),"")</f>
        <v/>
      </c>
      <c r="P849" s="60" t="b">
        <f t="shared" si="653"/>
        <v>0</v>
      </c>
      <c r="Q849" s="59">
        <f>IFERROR(__xludf.DUMMYFUNCTION("iferror(filter('3.5.clean'!C:C,'3.5.clean'!A:A=C849),"""")"),43784.0)</f>
        <v>43784</v>
      </c>
      <c r="R849" s="58" t="b">
        <f t="shared" ref="R849:R850" si="656">if(Q849="",FALSE,TRUE)</f>
        <v>1</v>
      </c>
      <c r="S849" s="4">
        <f>IFERROR(__xludf.DUMMYFUNCTION("iferror(filter('3.5.clean'!H:H,'3.5.clean'!A:A=C849),"""")"),0.0)</f>
        <v>0</v>
      </c>
      <c r="V849" s="52" t="s">
        <v>64</v>
      </c>
      <c r="W849" s="23" t="b">
        <f>if(AND(R849=TRUE,N849=TRUE,P849=TRUE),TRUE,FALSE)</f>
        <v>0</v>
      </c>
      <c r="X849" s="23" t="str">
        <f>IFERROR(__xludf.DUMMYFUNCTION("if(COUNTA(FILTER(C:C, C:C = C849))=1,""no"",""yes"")"),"no")</f>
        <v>no</v>
      </c>
    </row>
    <row r="850">
      <c r="A850" s="75" t="s">
        <v>859</v>
      </c>
      <c r="B850" s="2">
        <v>4.0</v>
      </c>
      <c r="C850" s="19" t="s">
        <v>1613</v>
      </c>
      <c r="E850" s="24">
        <f>IFERROR(__xludf.DUMMYFUNCTION("ifna(IFNA(filter('2.1.clean'!C:C,'2.1.clean'!A:A=C850),filter('2.2.clean'!E:E,'2.2.clean'!D:D=C850)),filter('2.4.clean'!C:C,'2.4.clean'!A:A=C850))"),43784.0)</f>
        <v>43784</v>
      </c>
      <c r="F850" s="25">
        <f>IFERROR(__xludf.DUMMYFUNCTION("iferror(ifna(IFNA(filter('2.1.clean'!E:E,'2.1.clean'!A:A=C850),filter('2.2.clean'!G:G,'2.2.clean'!D:D=C850)),filter('2.4.clean'!E:E,'2.4.clean'!A:A=C850)),)"),2.4)</f>
        <v>2.4</v>
      </c>
      <c r="G850" s="24">
        <f>IFERROR(__xludf.DUMMYFUNCTION("iferror(filter('3.1.clean'!C:C,'3.1.clean'!A:A=C850),"""")"),43784.0)</f>
        <v>43784</v>
      </c>
      <c r="H850" s="23" t="b">
        <f t="shared" ref="H850:H851" si="657">if(G850="",FALSE,TRUE)</f>
        <v>1</v>
      </c>
      <c r="J850" s="25"/>
      <c r="K850" s="24">
        <f>IFERROR(__xludf.DUMMYFUNCTION("iferror(filter('3.2.clean'!C:C,'3.2.clean'!A:A=C850),"""")"),43784.0)</f>
        <v>43784</v>
      </c>
      <c r="L850" s="25" t="b">
        <f>if(K850="",FALSE,TRUE)</f>
        <v>1</v>
      </c>
      <c r="M850" s="24">
        <f>IFERROR(__xludf.DUMMYFUNCTION("iferror(filter('3.3.clean'!C:C,'3.3.clean'!A:A=C850),"""")"),43785.0)</f>
        <v>43785</v>
      </c>
      <c r="N850" s="25" t="b">
        <f t="shared" si="652"/>
        <v>1</v>
      </c>
      <c r="O850" s="24">
        <f>IFERROR(__xludf.DUMMYFUNCTION("iferror(filter('3.4.clean'!C:C,'3.4.clean'!A:A=C850),"""")"),43788.0)</f>
        <v>43788</v>
      </c>
      <c r="P850" s="25" t="b">
        <f t="shared" si="653"/>
        <v>1</v>
      </c>
      <c r="Q850" s="24">
        <f>IFERROR(__xludf.DUMMYFUNCTION("iferror(filter('3.5.clean'!C:C,'3.5.clean'!A:A=C850),"""")"),43784.0)</f>
        <v>43784</v>
      </c>
      <c r="R850" s="23" t="b">
        <f t="shared" si="656"/>
        <v>1</v>
      </c>
      <c r="S850" s="25"/>
      <c r="V850" s="1" t="s">
        <v>64</v>
      </c>
      <c r="X850" s="23" t="str">
        <f>IFERROR(__xludf.DUMMYFUNCTION("if(COUNTA(FILTER(C:C, C:C = C850))=1,""no"",""yes"")"),"no")</f>
        <v>no</v>
      </c>
    </row>
    <row r="851">
      <c r="A851" s="75" t="s">
        <v>859</v>
      </c>
      <c r="B851" s="19">
        <v>5.0</v>
      </c>
      <c r="C851" s="19" t="s">
        <v>1614</v>
      </c>
      <c r="D851" s="58" t="str">
        <f t="shared" ref="D851:D852" si="658">if(or(I851=1,J851=1,S851=1),"pos","")</f>
        <v/>
      </c>
      <c r="E851" s="59">
        <f>IFERROR(__xludf.DUMMYFUNCTION("ifna(IFNA(filter('2.1.clean'!C:C,'2.1.clean'!A:A=C851),filter('2.2.clean'!E:E,'2.2.clean'!D:D=C851)),filter('2.4.clean'!C:C,'2.4.clean'!A:A=C851))"),43784.0)</f>
        <v>43784</v>
      </c>
      <c r="F851" s="60">
        <f>IFERROR(__xludf.DUMMYFUNCTION("iferror(ifna(IFNA(filter('2.1.clean'!E:E,'2.1.clean'!A:A=C851),filter('2.2.clean'!G:G,'2.2.clean'!D:D=C851)),filter('2.4.clean'!E:E,'2.4.clean'!A:A=C851)),)"),2.4)</f>
        <v>2.4</v>
      </c>
      <c r="G851" s="59">
        <f>IFERROR(__xludf.DUMMYFUNCTION("iferror(filter('3.1.clean'!C:C,'3.1.clean'!A:A=C851),"""")"),43784.0)</f>
        <v>43784</v>
      </c>
      <c r="H851" s="58" t="b">
        <f t="shared" si="657"/>
        <v>1</v>
      </c>
      <c r="I851" s="58">
        <f>IFERROR(__xludf.DUMMYFUNCTION("iferror(filter('3.1.clean'!G:G,'3.1.clean'!A:A=C851),"""")"),0.0)</f>
        <v>0</v>
      </c>
      <c r="J851" s="60" t="str">
        <f>IFERROR(__xludf.DUMMYFUNCTION("iferror(filter('3.1.clean'!I:I,'3.1.clean'!A:A=C851),"""")"),"")</f>
        <v/>
      </c>
      <c r="K851" s="58"/>
      <c r="L851" s="60"/>
      <c r="M851" s="59" t="str">
        <f>IFERROR(__xludf.DUMMYFUNCTION("iferror(filter('3.3.clean'!C:C,'3.3.clean'!A:A=C851),"""")"),"")</f>
        <v/>
      </c>
      <c r="N851" s="60" t="b">
        <f t="shared" si="652"/>
        <v>0</v>
      </c>
      <c r="O851" s="59" t="str">
        <f>IFERROR(__xludf.DUMMYFUNCTION("iferror(filter('3.4.clean'!C:C,'3.4.clean'!A:A=C851),"""")"),"")</f>
        <v/>
      </c>
      <c r="P851" s="60" t="b">
        <f t="shared" si="653"/>
        <v>0</v>
      </c>
      <c r="Q851" s="59" t="str">
        <f>IFERROR(__xludf.DUMMYFUNCTION("iferror(filter('3.5.clean'!C:C,'3.5.clean'!A:A=C851),"""")"),"")</f>
        <v/>
      </c>
      <c r="R851" s="58"/>
      <c r="S851" s="4" t="str">
        <f>IFERROR(__xludf.DUMMYFUNCTION("iferror(filter('3.5.clean'!H:H,'3.5.clean'!A:A=C851),"""")"),"")</f>
        <v/>
      </c>
      <c r="W851" s="23" t="b">
        <f>if(AND(H851=TRUE,N851=TRUE,P851=TRUE),TRUE,FALSE)</f>
        <v>0</v>
      </c>
      <c r="X851" s="23" t="str">
        <f>IFERROR(__xludf.DUMMYFUNCTION("if(COUNTA(FILTER(C:C, C:C = C851))=1,""no"",""yes"")"),"no")</f>
        <v>no</v>
      </c>
    </row>
    <row r="852">
      <c r="A852" s="75" t="s">
        <v>859</v>
      </c>
      <c r="B852" s="19">
        <v>6.0</v>
      </c>
      <c r="C852" s="19" t="s">
        <v>1615</v>
      </c>
      <c r="D852" s="58" t="str">
        <f t="shared" si="658"/>
        <v/>
      </c>
      <c r="E852" s="59">
        <f>Q852</f>
        <v>43784</v>
      </c>
      <c r="F852" s="60" t="str">
        <f>IFERROR(__xludf.DUMMYFUNCTION("iferror(ifna(IFNA(filter('2.1.clean'!E:E,'2.1.clean'!A:A=C852),filter('2.2.clean'!G:G,'2.2.clean'!D:D=C852)),filter('2.4.clean'!E:E,'2.4.clean'!A:A=C852)),)"),"")</f>
        <v/>
      </c>
      <c r="G852" s="59" t="str">
        <f>IFERROR(__xludf.DUMMYFUNCTION("iferror(filter('3.1.clean'!C:C,'3.1.clean'!A:A=C852),"""")"),"")</f>
        <v/>
      </c>
      <c r="H852" s="58"/>
      <c r="I852" s="58" t="str">
        <f>IFERROR(__xludf.DUMMYFUNCTION("iferror(filter('3.1.clean'!G:G,'3.1.clean'!A:A=C852),"""")"),"")</f>
        <v/>
      </c>
      <c r="J852" s="60" t="str">
        <f>IFERROR(__xludf.DUMMYFUNCTION("iferror(filter('3.1.clean'!I:I,'3.1.clean'!A:A=C852),"""")"),"")</f>
        <v/>
      </c>
      <c r="K852" s="59"/>
      <c r="L852" s="60"/>
      <c r="M852" s="59" t="str">
        <f>IFERROR(__xludf.DUMMYFUNCTION("iferror(filter('3.3.clean'!C:C,'3.3.clean'!A:A=C852),"""")"),"")</f>
        <v/>
      </c>
      <c r="N852" s="60" t="b">
        <f t="shared" si="652"/>
        <v>0</v>
      </c>
      <c r="O852" s="59" t="str">
        <f>IFERROR(__xludf.DUMMYFUNCTION("iferror(filter('3.4.clean'!C:C,'3.4.clean'!A:A=C852),"""")"),"")</f>
        <v/>
      </c>
      <c r="P852" s="60" t="b">
        <f t="shared" si="653"/>
        <v>0</v>
      </c>
      <c r="Q852" s="59">
        <f>IFERROR(__xludf.DUMMYFUNCTION("iferror(filter('3.5.clean'!C:C,'3.5.clean'!A:A=C852),"""")"),43784.0)</f>
        <v>43784</v>
      </c>
      <c r="R852" s="58" t="b">
        <f t="shared" ref="R852:R853" si="659">if(Q852="",FALSE,TRUE)</f>
        <v>1</v>
      </c>
      <c r="S852" s="4">
        <f>IFERROR(__xludf.DUMMYFUNCTION("iferror(filter('3.5.clean'!H:H,'3.5.clean'!A:A=C852),"""")"),0.0)</f>
        <v>0</v>
      </c>
      <c r="V852" s="52" t="s">
        <v>64</v>
      </c>
      <c r="W852" s="23" t="b">
        <f>if(AND(R852=TRUE,N852=TRUE,P852=TRUE),TRUE,FALSE)</f>
        <v>0</v>
      </c>
      <c r="X852" s="23" t="str">
        <f>IFERROR(__xludf.DUMMYFUNCTION("if(COUNTA(FILTER(C:C, C:C = C852))=1,""no"",""yes"")"),"no")</f>
        <v>no</v>
      </c>
    </row>
    <row r="853">
      <c r="A853" s="75" t="s">
        <v>859</v>
      </c>
      <c r="B853" s="2">
        <v>7.0</v>
      </c>
      <c r="C853" s="19" t="s">
        <v>1616</v>
      </c>
      <c r="E853" s="24">
        <f>IFERROR(__xludf.DUMMYFUNCTION("ifna(IFNA(filter('2.1.clean'!C:C,'2.1.clean'!A:A=C853),filter('2.2.clean'!E:E,'2.2.clean'!D:D=C853)),filter('2.4.clean'!C:C,'2.4.clean'!A:A=C853))"),43784.0)</f>
        <v>43784</v>
      </c>
      <c r="F853" s="25">
        <f>IFERROR(__xludf.DUMMYFUNCTION("iferror(ifna(IFNA(filter('2.1.clean'!E:E,'2.1.clean'!A:A=C853),filter('2.2.clean'!G:G,'2.2.clean'!D:D=C853)),filter('2.4.clean'!E:E,'2.4.clean'!A:A=C853)),)"),2.4)</f>
        <v>2.4</v>
      </c>
      <c r="G853" s="24">
        <f>IFERROR(__xludf.DUMMYFUNCTION("iferror(filter('3.1.clean'!C:C,'3.1.clean'!A:A=C853),"""")"),43784.0)</f>
        <v>43784</v>
      </c>
      <c r="H853" s="23" t="b">
        <f t="shared" ref="H853:H854" si="660">if(G853="",FALSE,TRUE)</f>
        <v>1</v>
      </c>
      <c r="J853" s="25"/>
      <c r="K853" s="24">
        <f>IFERROR(__xludf.DUMMYFUNCTION("iferror(filter('3.2.clean'!C:C,'3.2.clean'!A:A=C853),"""")"),43784.0)</f>
        <v>43784</v>
      </c>
      <c r="L853" s="25" t="b">
        <f>if(K853="",FALSE,TRUE)</f>
        <v>1</v>
      </c>
      <c r="M853" s="24">
        <f>IFERROR(__xludf.DUMMYFUNCTION("iferror(filter('3.3.clean'!C:C,'3.3.clean'!A:A=C853),"""")"),43785.0)</f>
        <v>43785</v>
      </c>
      <c r="N853" s="25" t="b">
        <f t="shared" si="652"/>
        <v>1</v>
      </c>
      <c r="O853" s="24">
        <f>IFERROR(__xludf.DUMMYFUNCTION("iferror(filter('3.4.clean'!C:C,'3.4.clean'!A:A=C853),"""")"),43788.0)</f>
        <v>43788</v>
      </c>
      <c r="P853" s="25" t="b">
        <f t="shared" si="653"/>
        <v>1</v>
      </c>
      <c r="Q853" s="24">
        <f>IFERROR(__xludf.DUMMYFUNCTION("iferror(filter('3.5.clean'!C:C,'3.5.clean'!A:A=C853),"""")"),43784.0)</f>
        <v>43784</v>
      </c>
      <c r="R853" s="23" t="b">
        <f t="shared" si="659"/>
        <v>1</v>
      </c>
      <c r="S853" s="25"/>
      <c r="V853" s="1" t="s">
        <v>64</v>
      </c>
      <c r="X853" s="23" t="str">
        <f>IFERROR(__xludf.DUMMYFUNCTION("if(COUNTA(FILTER(C:C, C:C = C853))=1,""no"",""yes"")"),"no")</f>
        <v>no</v>
      </c>
    </row>
    <row r="854">
      <c r="A854" s="75" t="s">
        <v>859</v>
      </c>
      <c r="B854" s="19">
        <v>8.0</v>
      </c>
      <c r="C854" s="19" t="s">
        <v>1617</v>
      </c>
      <c r="D854" s="58" t="str">
        <f t="shared" ref="D854:D855" si="661">if(or(I854=1,J854=1,S854=1),"pos","")</f>
        <v/>
      </c>
      <c r="E854" s="59">
        <f>IFERROR(__xludf.DUMMYFUNCTION("ifna(IFNA(filter('2.1.clean'!C:C,'2.1.clean'!A:A=C854),filter('2.2.clean'!E:E,'2.2.clean'!D:D=C854)),filter('2.4.clean'!C:C,'2.4.clean'!A:A=C854))"),43784.0)</f>
        <v>43784</v>
      </c>
      <c r="F854" s="60">
        <f>IFERROR(__xludf.DUMMYFUNCTION("iferror(ifna(IFNA(filter('2.1.clean'!E:E,'2.1.clean'!A:A=C854),filter('2.2.clean'!G:G,'2.2.clean'!D:D=C854)),filter('2.4.clean'!E:E,'2.4.clean'!A:A=C854)),)"),2.4)</f>
        <v>2.4</v>
      </c>
      <c r="G854" s="59">
        <f>IFERROR(__xludf.DUMMYFUNCTION("iferror(filter('3.1.clean'!C:C,'3.1.clean'!A:A=C854),"""")"),43784.0)</f>
        <v>43784</v>
      </c>
      <c r="H854" s="58" t="b">
        <f t="shared" si="660"/>
        <v>1</v>
      </c>
      <c r="I854" s="58">
        <f>IFERROR(__xludf.DUMMYFUNCTION("iferror(filter('3.1.clean'!G:G,'3.1.clean'!A:A=C854),"""")"),0.0)</f>
        <v>0</v>
      </c>
      <c r="J854" s="60" t="str">
        <f>IFERROR(__xludf.DUMMYFUNCTION("iferror(filter('3.1.clean'!I:I,'3.1.clean'!A:A=C854),"""")"),"")</f>
        <v/>
      </c>
      <c r="K854" s="58"/>
      <c r="L854" s="60"/>
      <c r="M854" s="59" t="str">
        <f>IFERROR(__xludf.DUMMYFUNCTION("iferror(filter('3.3.clean'!C:C,'3.3.clean'!A:A=C854),"""")"),"")</f>
        <v/>
      </c>
      <c r="N854" s="60" t="b">
        <f t="shared" si="652"/>
        <v>0</v>
      </c>
      <c r="O854" s="59" t="str">
        <f>IFERROR(__xludf.DUMMYFUNCTION("iferror(filter('3.4.clean'!C:C,'3.4.clean'!A:A=C854),"""")"),"")</f>
        <v/>
      </c>
      <c r="P854" s="60" t="b">
        <f t="shared" si="653"/>
        <v>0</v>
      </c>
      <c r="Q854" s="59" t="str">
        <f>IFERROR(__xludf.DUMMYFUNCTION("iferror(filter('3.5.clean'!C:C,'3.5.clean'!A:A=C854),"""")"),"")</f>
        <v/>
      </c>
      <c r="R854" s="58"/>
      <c r="S854" s="4" t="str">
        <f>IFERROR(__xludf.DUMMYFUNCTION("iferror(filter('3.5.clean'!H:H,'3.5.clean'!A:A=C854),"""")"),"")</f>
        <v/>
      </c>
      <c r="W854" s="23" t="b">
        <f>if(AND(H854=TRUE,N854=TRUE,P854=TRUE),TRUE,FALSE)</f>
        <v>0</v>
      </c>
      <c r="X854" s="23" t="str">
        <f>IFERROR(__xludf.DUMMYFUNCTION("if(COUNTA(FILTER(C:C, C:C = C854))=1,""no"",""yes"")"),"no")</f>
        <v>no</v>
      </c>
    </row>
    <row r="855">
      <c r="A855" s="75" t="s">
        <v>859</v>
      </c>
      <c r="B855" s="19">
        <v>9.0</v>
      </c>
      <c r="C855" s="19" t="s">
        <v>1618</v>
      </c>
      <c r="D855" s="58" t="str">
        <f t="shared" si="661"/>
        <v/>
      </c>
      <c r="E855" s="59">
        <f>Q855</f>
        <v>43784</v>
      </c>
      <c r="F855" s="60" t="str">
        <f>IFERROR(__xludf.DUMMYFUNCTION("iferror(ifna(IFNA(filter('2.1.clean'!E:E,'2.1.clean'!A:A=C855),filter('2.2.clean'!G:G,'2.2.clean'!D:D=C855)),filter('2.4.clean'!E:E,'2.4.clean'!A:A=C855)),)"),"")</f>
        <v/>
      </c>
      <c r="G855" s="59" t="str">
        <f>IFERROR(__xludf.DUMMYFUNCTION("iferror(filter('3.1.clean'!C:C,'3.1.clean'!A:A=C855),"""")"),"")</f>
        <v/>
      </c>
      <c r="H855" s="58"/>
      <c r="I855" s="58" t="str">
        <f>IFERROR(__xludf.DUMMYFUNCTION("iferror(filter('3.1.clean'!G:G,'3.1.clean'!A:A=C855),"""")"),"")</f>
        <v/>
      </c>
      <c r="J855" s="60" t="str">
        <f>IFERROR(__xludf.DUMMYFUNCTION("iferror(filter('3.1.clean'!I:I,'3.1.clean'!A:A=C855),"""")"),"")</f>
        <v/>
      </c>
      <c r="K855" s="59"/>
      <c r="L855" s="60"/>
      <c r="M855" s="59" t="str">
        <f>IFERROR(__xludf.DUMMYFUNCTION("iferror(filter('3.3.clean'!C:C,'3.3.clean'!A:A=C855),"""")"),"")</f>
        <v/>
      </c>
      <c r="N855" s="60" t="b">
        <f t="shared" si="652"/>
        <v>0</v>
      </c>
      <c r="O855" s="59" t="str">
        <f>IFERROR(__xludf.DUMMYFUNCTION("iferror(filter('3.4.clean'!C:C,'3.4.clean'!A:A=C855),"""")"),"")</f>
        <v/>
      </c>
      <c r="P855" s="60" t="b">
        <f t="shared" si="653"/>
        <v>0</v>
      </c>
      <c r="Q855" s="59">
        <f>IFERROR(__xludf.DUMMYFUNCTION("iferror(filter('3.5.clean'!C:C,'3.5.clean'!A:A=C855),"""")"),43784.0)</f>
        <v>43784</v>
      </c>
      <c r="R855" s="58" t="b">
        <f t="shared" ref="R855:R856" si="662">if(Q855="",FALSE,TRUE)</f>
        <v>1</v>
      </c>
      <c r="S855" s="4">
        <f>IFERROR(__xludf.DUMMYFUNCTION("iferror(filter('3.5.clean'!H:H,'3.5.clean'!A:A=C855),"""")"),0.0)</f>
        <v>0</v>
      </c>
      <c r="V855" s="52" t="s">
        <v>64</v>
      </c>
      <c r="W855" s="23" t="b">
        <f>if(AND(R855=TRUE,N855=TRUE,P855=TRUE),TRUE,FALSE)</f>
        <v>0</v>
      </c>
      <c r="X855" s="23" t="str">
        <f>IFERROR(__xludf.DUMMYFUNCTION("if(COUNTA(FILTER(C:C, C:C = C855))=1,""no"",""yes"")"),"no")</f>
        <v>no</v>
      </c>
    </row>
    <row r="856">
      <c r="A856" s="75" t="s">
        <v>859</v>
      </c>
      <c r="B856" s="2">
        <v>10.0</v>
      </c>
      <c r="C856" s="19" t="s">
        <v>1619</v>
      </c>
      <c r="E856" s="24">
        <f>IFERROR(__xludf.DUMMYFUNCTION("ifna(IFNA(filter('2.1.clean'!C:C,'2.1.clean'!A:A=C856),filter('2.2.clean'!E:E,'2.2.clean'!D:D=C856)),filter('2.4.clean'!C:C,'2.4.clean'!A:A=C856))"),43784.0)</f>
        <v>43784</v>
      </c>
      <c r="F856" s="25">
        <f>IFERROR(__xludf.DUMMYFUNCTION("iferror(ifna(IFNA(filter('2.1.clean'!E:E,'2.1.clean'!A:A=C856),filter('2.2.clean'!G:G,'2.2.clean'!D:D=C856)),filter('2.4.clean'!E:E,'2.4.clean'!A:A=C856)),)"),2.4)</f>
        <v>2.4</v>
      </c>
      <c r="G856" s="24">
        <f>IFERROR(__xludf.DUMMYFUNCTION("iferror(filter('3.1.clean'!C:C,'3.1.clean'!A:A=C856),"""")"),43784.0)</f>
        <v>43784</v>
      </c>
      <c r="H856" s="23" t="b">
        <f t="shared" ref="H856:H857" si="663">if(G856="",FALSE,TRUE)</f>
        <v>1</v>
      </c>
      <c r="J856" s="25"/>
      <c r="K856" s="24">
        <f>IFERROR(__xludf.DUMMYFUNCTION("iferror(filter('3.2.clean'!C:C,'3.2.clean'!A:A=C856),"""")"),43784.0)</f>
        <v>43784</v>
      </c>
      <c r="L856" s="25" t="b">
        <f>if(K856="",FALSE,TRUE)</f>
        <v>1</v>
      </c>
      <c r="M856" s="24">
        <f>IFERROR(__xludf.DUMMYFUNCTION("iferror(filter('3.3.clean'!C:C,'3.3.clean'!A:A=C856),"""")"),43785.0)</f>
        <v>43785</v>
      </c>
      <c r="N856" s="25" t="b">
        <f t="shared" si="652"/>
        <v>1</v>
      </c>
      <c r="O856" s="24">
        <f>IFERROR(__xludf.DUMMYFUNCTION("iferror(filter('3.4.clean'!C:C,'3.4.clean'!A:A=C856),"""")"),43788.0)</f>
        <v>43788</v>
      </c>
      <c r="P856" s="25" t="b">
        <f t="shared" si="653"/>
        <v>1</v>
      </c>
      <c r="Q856" s="24">
        <f>IFERROR(__xludf.DUMMYFUNCTION("iferror(filter('3.5.clean'!C:C,'3.5.clean'!A:A=C856),"""")"),43784.0)</f>
        <v>43784</v>
      </c>
      <c r="R856" s="23" t="b">
        <f t="shared" si="662"/>
        <v>1</v>
      </c>
      <c r="S856" s="25"/>
      <c r="V856" s="1" t="s">
        <v>64</v>
      </c>
      <c r="X856" s="23" t="str">
        <f>IFERROR(__xludf.DUMMYFUNCTION("if(COUNTA(FILTER(C:C, C:C = C856))=1,""no"",""yes"")"),"no")</f>
        <v>no</v>
      </c>
    </row>
    <row r="857">
      <c r="A857" s="75" t="s">
        <v>859</v>
      </c>
      <c r="B857" s="19">
        <v>11.0</v>
      </c>
      <c r="C857" s="19" t="s">
        <v>1620</v>
      </c>
      <c r="D857" s="58" t="str">
        <f t="shared" ref="D857:D858" si="664">if(or(I857=1,J857=1,S857=1),"pos","")</f>
        <v/>
      </c>
      <c r="E857" s="59">
        <f>IFERROR(__xludf.DUMMYFUNCTION("ifna(IFNA(filter('2.1.clean'!C:C,'2.1.clean'!A:A=C857),filter('2.2.clean'!E:E,'2.2.clean'!D:D=C857)),filter('2.4.clean'!C:C,'2.4.clean'!A:A=C857))"),43784.0)</f>
        <v>43784</v>
      </c>
      <c r="F857" s="60">
        <f>IFERROR(__xludf.DUMMYFUNCTION("iferror(ifna(IFNA(filter('2.1.clean'!E:E,'2.1.clean'!A:A=C857),filter('2.2.clean'!G:G,'2.2.clean'!D:D=C857)),filter('2.4.clean'!E:E,'2.4.clean'!A:A=C857)),)"),2.4)</f>
        <v>2.4</v>
      </c>
      <c r="G857" s="59">
        <f>IFERROR(__xludf.DUMMYFUNCTION("iferror(filter('3.1.clean'!C:C,'3.1.clean'!A:A=C857),"""")"),43784.0)</f>
        <v>43784</v>
      </c>
      <c r="H857" s="58" t="b">
        <f t="shared" si="663"/>
        <v>1</v>
      </c>
      <c r="I857" s="58">
        <f>IFERROR(__xludf.DUMMYFUNCTION("iferror(filter('3.1.clean'!G:G,'3.1.clean'!A:A=C857),"""")"),0.0)</f>
        <v>0</v>
      </c>
      <c r="J857" s="60" t="str">
        <f>IFERROR(__xludf.DUMMYFUNCTION("iferror(filter('3.1.clean'!I:I,'3.1.clean'!A:A=C857),"""")"),"")</f>
        <v/>
      </c>
      <c r="K857" s="58"/>
      <c r="L857" s="60"/>
      <c r="M857" s="59" t="str">
        <f>IFERROR(__xludf.DUMMYFUNCTION("iferror(filter('3.3.clean'!C:C,'3.3.clean'!A:A=C857),"""")"),"")</f>
        <v/>
      </c>
      <c r="N857" s="60" t="b">
        <f t="shared" si="652"/>
        <v>0</v>
      </c>
      <c r="O857" s="59" t="str">
        <f>IFERROR(__xludf.DUMMYFUNCTION("iferror(filter('3.4.clean'!C:C,'3.4.clean'!A:A=C857),"""")"),"")</f>
        <v/>
      </c>
      <c r="P857" s="60" t="b">
        <f t="shared" si="653"/>
        <v>0</v>
      </c>
      <c r="Q857" s="59" t="str">
        <f>IFERROR(__xludf.DUMMYFUNCTION("iferror(filter('3.5.clean'!C:C,'3.5.clean'!A:A=C857),"""")"),"")</f>
        <v/>
      </c>
      <c r="R857" s="58"/>
      <c r="S857" s="4" t="str">
        <f>IFERROR(__xludf.DUMMYFUNCTION("iferror(filter('3.5.clean'!H:H,'3.5.clean'!A:A=C857),"""")"),"")</f>
        <v/>
      </c>
      <c r="W857" s="23" t="b">
        <f>if(AND(H857=TRUE,N857=TRUE,P857=TRUE),TRUE,FALSE)</f>
        <v>0</v>
      </c>
      <c r="X857" s="23" t="str">
        <f>IFERROR(__xludf.DUMMYFUNCTION("if(COUNTA(FILTER(C:C, C:C = C857))=1,""no"",""yes"")"),"no")</f>
        <v>no</v>
      </c>
    </row>
    <row r="858">
      <c r="A858" s="75" t="s">
        <v>859</v>
      </c>
      <c r="B858" s="19">
        <v>12.0</v>
      </c>
      <c r="C858" s="19" t="s">
        <v>1621</v>
      </c>
      <c r="D858" s="58" t="str">
        <f t="shared" si="664"/>
        <v/>
      </c>
      <c r="E858" s="59">
        <f>Q858</f>
        <v>43784</v>
      </c>
      <c r="F858" s="60" t="str">
        <f>IFERROR(__xludf.DUMMYFUNCTION("iferror(ifna(IFNA(filter('2.1.clean'!E:E,'2.1.clean'!A:A=C858),filter('2.2.clean'!G:G,'2.2.clean'!D:D=C858)),filter('2.4.clean'!E:E,'2.4.clean'!A:A=C858)),)"),"")</f>
        <v/>
      </c>
      <c r="G858" s="59" t="str">
        <f>IFERROR(__xludf.DUMMYFUNCTION("iferror(filter('3.1.clean'!C:C,'3.1.clean'!A:A=C858),"""")"),"")</f>
        <v/>
      </c>
      <c r="H858" s="58"/>
      <c r="I858" s="58" t="str">
        <f>IFERROR(__xludf.DUMMYFUNCTION("iferror(filter('3.1.clean'!G:G,'3.1.clean'!A:A=C858),"""")"),"")</f>
        <v/>
      </c>
      <c r="J858" s="60" t="str">
        <f>IFERROR(__xludf.DUMMYFUNCTION("iferror(filter('3.1.clean'!I:I,'3.1.clean'!A:A=C858),"""")"),"")</f>
        <v/>
      </c>
      <c r="K858" s="59"/>
      <c r="L858" s="60"/>
      <c r="M858" s="59" t="str">
        <f>IFERROR(__xludf.DUMMYFUNCTION("iferror(filter('3.3.clean'!C:C,'3.3.clean'!A:A=C858),"""")"),"")</f>
        <v/>
      </c>
      <c r="N858" s="60" t="b">
        <f t="shared" si="652"/>
        <v>0</v>
      </c>
      <c r="O858" s="59" t="str">
        <f>IFERROR(__xludf.DUMMYFUNCTION("iferror(filter('3.4.clean'!C:C,'3.4.clean'!A:A=C858),"""")"),"")</f>
        <v/>
      </c>
      <c r="P858" s="60" t="b">
        <f t="shared" si="653"/>
        <v>0</v>
      </c>
      <c r="Q858" s="59">
        <f>IFERROR(__xludf.DUMMYFUNCTION("iferror(filter('3.5.clean'!C:C,'3.5.clean'!A:A=C858),"""")"),43784.0)</f>
        <v>43784</v>
      </c>
      <c r="R858" s="58" t="b">
        <f t="shared" ref="R858:R859" si="665">if(Q858="",FALSE,TRUE)</f>
        <v>1</v>
      </c>
      <c r="S858" s="4">
        <f>IFERROR(__xludf.DUMMYFUNCTION("iferror(filter('3.5.clean'!H:H,'3.5.clean'!A:A=C858),"""")"),0.0)</f>
        <v>0</v>
      </c>
      <c r="V858" s="52" t="s">
        <v>64</v>
      </c>
      <c r="W858" s="23" t="b">
        <f>if(AND(R858=TRUE,N858=TRUE,P858=TRUE),TRUE,FALSE)</f>
        <v>0</v>
      </c>
      <c r="X858" s="23" t="str">
        <f>IFERROR(__xludf.DUMMYFUNCTION("if(COUNTA(FILTER(C:C, C:C = C858))=1,""no"",""yes"")"),"no")</f>
        <v>no</v>
      </c>
    </row>
    <row r="859">
      <c r="A859" s="75" t="s">
        <v>859</v>
      </c>
      <c r="B859" s="2">
        <v>13.0</v>
      </c>
      <c r="C859" s="19" t="s">
        <v>1622</v>
      </c>
      <c r="E859" s="24">
        <f>IFERROR(__xludf.DUMMYFUNCTION("ifna(IFNA(filter('2.1.clean'!C:C,'2.1.clean'!A:A=C859),filter('2.2.clean'!E:E,'2.2.clean'!D:D=C859)),filter('2.4.clean'!C:C,'2.4.clean'!A:A=C859))"),43784.0)</f>
        <v>43784</v>
      </c>
      <c r="F859" s="25">
        <f>IFERROR(__xludf.DUMMYFUNCTION("iferror(ifna(IFNA(filter('2.1.clean'!E:E,'2.1.clean'!A:A=C859),filter('2.2.clean'!G:G,'2.2.clean'!D:D=C859)),filter('2.4.clean'!E:E,'2.4.clean'!A:A=C859)),)"),2.4)</f>
        <v>2.4</v>
      </c>
      <c r="G859" s="24">
        <f>IFERROR(__xludf.DUMMYFUNCTION("iferror(filter('3.1.clean'!C:C,'3.1.clean'!A:A=C859),"""")"),43784.0)</f>
        <v>43784</v>
      </c>
      <c r="H859" s="23" t="b">
        <f t="shared" ref="H859:H860" si="666">if(G859="",FALSE,TRUE)</f>
        <v>1</v>
      </c>
      <c r="J859" s="25"/>
      <c r="K859" s="24">
        <f>IFERROR(__xludf.DUMMYFUNCTION("iferror(filter('3.2.clean'!C:C,'3.2.clean'!A:A=C859),"""")"),43784.0)</f>
        <v>43784</v>
      </c>
      <c r="L859" s="25" t="b">
        <f>if(K859="",FALSE,TRUE)</f>
        <v>1</v>
      </c>
      <c r="M859" s="24">
        <f>IFERROR(__xludf.DUMMYFUNCTION("iferror(filter('3.3.clean'!C:C,'3.3.clean'!A:A=C859),"""")"),43785.0)</f>
        <v>43785</v>
      </c>
      <c r="N859" s="25" t="b">
        <f t="shared" si="652"/>
        <v>1</v>
      </c>
      <c r="O859" s="24">
        <f>IFERROR(__xludf.DUMMYFUNCTION("iferror(filter('3.4.clean'!C:C,'3.4.clean'!A:A=C859),"""")"),43788.0)</f>
        <v>43788</v>
      </c>
      <c r="P859" s="25" t="b">
        <f t="shared" si="653"/>
        <v>1</v>
      </c>
      <c r="Q859" s="24">
        <f>IFERROR(__xludf.DUMMYFUNCTION("iferror(filter('3.5.clean'!C:C,'3.5.clean'!A:A=C859),"""")"),43784.0)</f>
        <v>43784</v>
      </c>
      <c r="R859" s="23" t="b">
        <f t="shared" si="665"/>
        <v>1</v>
      </c>
      <c r="S859" s="25"/>
      <c r="V859" s="1" t="s">
        <v>64</v>
      </c>
      <c r="X859" s="23" t="str">
        <f>IFERROR(__xludf.DUMMYFUNCTION("if(COUNTA(FILTER(C:C, C:C = C859))=1,""no"",""yes"")"),"no")</f>
        <v>no</v>
      </c>
    </row>
    <row r="860">
      <c r="A860" s="75" t="s">
        <v>859</v>
      </c>
      <c r="B860" s="19">
        <v>14.0</v>
      </c>
      <c r="C860" s="19" t="s">
        <v>1623</v>
      </c>
      <c r="D860" s="58" t="str">
        <f t="shared" ref="D860:D861" si="667">if(or(I860=1,J860=1,S860=1),"pos","")</f>
        <v/>
      </c>
      <c r="E860" s="59">
        <f>IFERROR(__xludf.DUMMYFUNCTION("ifna(IFNA(filter('2.1.clean'!C:C,'2.1.clean'!A:A=C860),filter('2.2.clean'!E:E,'2.2.clean'!D:D=C860)),filter('2.4.clean'!C:C,'2.4.clean'!A:A=C860))"),43784.0)</f>
        <v>43784</v>
      </c>
      <c r="F860" s="60">
        <f>IFERROR(__xludf.DUMMYFUNCTION("iferror(ifna(IFNA(filter('2.1.clean'!E:E,'2.1.clean'!A:A=C860),filter('2.2.clean'!G:G,'2.2.clean'!D:D=C860)),filter('2.4.clean'!E:E,'2.4.clean'!A:A=C860)),)"),2.4)</f>
        <v>2.4</v>
      </c>
      <c r="G860" s="59">
        <f>IFERROR(__xludf.DUMMYFUNCTION("iferror(filter('3.1.clean'!C:C,'3.1.clean'!A:A=C860),"""")"),43784.0)</f>
        <v>43784</v>
      </c>
      <c r="H860" s="58" t="b">
        <f t="shared" si="666"/>
        <v>1</v>
      </c>
      <c r="I860" s="58">
        <f>IFERROR(__xludf.DUMMYFUNCTION("iferror(filter('3.1.clean'!G:G,'3.1.clean'!A:A=C860),"""")"),0.0)</f>
        <v>0</v>
      </c>
      <c r="J860" s="60" t="str">
        <f>IFERROR(__xludf.DUMMYFUNCTION("iferror(filter('3.1.clean'!I:I,'3.1.clean'!A:A=C860),"""")"),"")</f>
        <v/>
      </c>
      <c r="K860" s="58"/>
      <c r="L860" s="60"/>
      <c r="M860" s="59" t="str">
        <f>IFERROR(__xludf.DUMMYFUNCTION("iferror(filter('3.3.clean'!C:C,'3.3.clean'!A:A=C860),"""")"),"")</f>
        <v/>
      </c>
      <c r="N860" s="60" t="b">
        <f t="shared" si="652"/>
        <v>0</v>
      </c>
      <c r="O860" s="59" t="str">
        <f>IFERROR(__xludf.DUMMYFUNCTION("iferror(filter('3.4.clean'!C:C,'3.4.clean'!A:A=C860),"""")"),"")</f>
        <v/>
      </c>
      <c r="P860" s="60" t="b">
        <f t="shared" si="653"/>
        <v>0</v>
      </c>
      <c r="Q860" s="59" t="str">
        <f>IFERROR(__xludf.DUMMYFUNCTION("iferror(filter('3.5.clean'!C:C,'3.5.clean'!A:A=C860),"""")"),"")</f>
        <v/>
      </c>
      <c r="R860" s="58"/>
      <c r="S860" s="4" t="str">
        <f>IFERROR(__xludf.DUMMYFUNCTION("iferror(filter('3.5.clean'!H:H,'3.5.clean'!A:A=C860),"""")"),"")</f>
        <v/>
      </c>
      <c r="W860" s="23" t="b">
        <f>if(AND(H860=TRUE,N860=TRUE,P860=TRUE),TRUE,FALSE)</f>
        <v>0</v>
      </c>
      <c r="X860" s="23" t="str">
        <f>IFERROR(__xludf.DUMMYFUNCTION("if(COUNTA(FILTER(C:C, C:C = C860))=1,""no"",""yes"")"),"no")</f>
        <v>no</v>
      </c>
    </row>
    <row r="861">
      <c r="A861" s="75" t="s">
        <v>859</v>
      </c>
      <c r="B861" s="19">
        <v>15.0</v>
      </c>
      <c r="C861" s="19" t="s">
        <v>1624</v>
      </c>
      <c r="D861" s="58" t="str">
        <f t="shared" si="667"/>
        <v/>
      </c>
      <c r="E861" s="59">
        <f>Q861</f>
        <v>43784</v>
      </c>
      <c r="F861" s="60" t="str">
        <f>IFERROR(__xludf.DUMMYFUNCTION("iferror(ifna(IFNA(filter('2.1.clean'!E:E,'2.1.clean'!A:A=C861),filter('2.2.clean'!G:G,'2.2.clean'!D:D=C861)),filter('2.4.clean'!E:E,'2.4.clean'!A:A=C861)),)"),"")</f>
        <v/>
      </c>
      <c r="G861" s="59" t="str">
        <f>IFERROR(__xludf.DUMMYFUNCTION("iferror(filter('3.1.clean'!C:C,'3.1.clean'!A:A=C861),"""")"),"")</f>
        <v/>
      </c>
      <c r="H861" s="58"/>
      <c r="I861" s="58" t="str">
        <f>IFERROR(__xludf.DUMMYFUNCTION("iferror(filter('3.1.clean'!G:G,'3.1.clean'!A:A=C861),"""")"),"")</f>
        <v/>
      </c>
      <c r="J861" s="60" t="str">
        <f>IFERROR(__xludf.DUMMYFUNCTION("iferror(filter('3.1.clean'!I:I,'3.1.clean'!A:A=C861),"""")"),"")</f>
        <v/>
      </c>
      <c r="K861" s="59"/>
      <c r="L861" s="60"/>
      <c r="M861" s="59">
        <f>IFERROR(__xludf.DUMMYFUNCTION("iferror(filter('3.3.clean'!C:C,'3.3.clean'!A:A=C861),"""")"),43785.0)</f>
        <v>43785</v>
      </c>
      <c r="N861" s="60" t="b">
        <f t="shared" si="652"/>
        <v>1</v>
      </c>
      <c r="O861" s="59">
        <f>IFERROR(__xludf.DUMMYFUNCTION("iferror(filter('3.4.clean'!C:C,'3.4.clean'!A:A=C861),"""")"),43788.0)</f>
        <v>43788</v>
      </c>
      <c r="P861" s="60" t="b">
        <f t="shared" si="653"/>
        <v>1</v>
      </c>
      <c r="Q861" s="59">
        <f>IFERROR(__xludf.DUMMYFUNCTION("iferror(filter('3.5.clean'!C:C,'3.5.clean'!A:A=C861),"""")"),43784.0)</f>
        <v>43784</v>
      </c>
      <c r="R861" s="58" t="b">
        <f>if(Q861="",FALSE,TRUE)</f>
        <v>1</v>
      </c>
      <c r="S861" s="4">
        <f>IFERROR(__xludf.DUMMYFUNCTION("iferror(filter('3.5.clean'!H:H,'3.5.clean'!A:A=C861),"""")"),0.0)</f>
        <v>0</v>
      </c>
      <c r="V861" s="52" t="s">
        <v>64</v>
      </c>
      <c r="W861" s="23" t="b">
        <f>if(AND(R861=TRUE,N861=TRUE,P861=TRUE),TRUE,FALSE)</f>
        <v>1</v>
      </c>
      <c r="X861" s="23" t="str">
        <f>IFERROR(__xludf.DUMMYFUNCTION("if(COUNTA(FILTER(C:C, C:C = C861))=1,""no"",""yes"")"),"no")</f>
        <v>no</v>
      </c>
    </row>
    <row r="862">
      <c r="A862" s="75" t="s">
        <v>859</v>
      </c>
      <c r="B862" s="2">
        <v>16.0</v>
      </c>
      <c r="C862" s="69" t="s">
        <v>666</v>
      </c>
      <c r="E862" s="24">
        <f>IFERROR(__xludf.DUMMYFUNCTION("ifna(IFNA(filter('2.1.clean'!C:C,'2.1.clean'!A:A=C862),filter('2.2.clean'!E:E,'2.2.clean'!D:D=C862)),filter('2.4.clean'!C:C,'2.4.clean'!A:A=C862))"),43784.0)</f>
        <v>43784</v>
      </c>
      <c r="F862" s="25">
        <f>IFERROR(__xludf.DUMMYFUNCTION("iferror(ifna(IFNA(filter('2.1.clean'!E:E,'2.1.clean'!A:A=C862),filter('2.2.clean'!G:G,'2.2.clean'!D:D=C862)),filter('2.4.clean'!E:E,'2.4.clean'!A:A=C862)),)"),2.2)</f>
        <v>2.2</v>
      </c>
      <c r="G862" s="24">
        <f>IFERROR(__xludf.DUMMYFUNCTION("iferror(filter('3.1.clean'!C:C,'3.1.clean'!A:A=C862),"""")"),43784.0)</f>
        <v>43784</v>
      </c>
      <c r="H862" s="23" t="b">
        <f t="shared" ref="H862:H867" si="668">if(G862="",FALSE,TRUE)</f>
        <v>1</v>
      </c>
      <c r="J862" s="25"/>
      <c r="K862" s="24">
        <f>IFERROR(__xludf.DUMMYFUNCTION("iferror(filter('3.2.clean'!C:C,'3.2.clean'!A:A=C862),"""")"),43784.0)</f>
        <v>43784</v>
      </c>
      <c r="L862" s="25" t="b">
        <f t="shared" ref="L862:L866" si="669">if(K862="",FALSE,TRUE)</f>
        <v>1</v>
      </c>
      <c r="M862" s="24">
        <f>IFERROR(__xludf.DUMMYFUNCTION("iferror(filter('3.3.clean'!C:C,'3.3.clean'!A:A=C862),"""")"),43785.0)</f>
        <v>43785</v>
      </c>
      <c r="N862" s="25" t="b">
        <f t="shared" si="652"/>
        <v>1</v>
      </c>
      <c r="O862" s="24">
        <f>IFERROR(__xludf.DUMMYFUNCTION("iferror(filter('3.4.clean'!C:C,'3.4.clean'!A:A=C862),"""")"),43788.0)</f>
        <v>43788</v>
      </c>
      <c r="P862" s="25" t="b">
        <f t="shared" si="653"/>
        <v>1</v>
      </c>
      <c r="Q862" s="24" t="str">
        <f>IFERROR(__xludf.DUMMYFUNCTION("iferror(filter('3.5.clean'!C:C,'3.5.clean'!A:A=C862),"""")"),"")</f>
        <v/>
      </c>
      <c r="S862" s="25"/>
      <c r="W862" s="23" t="b">
        <f t="shared" ref="W862:W866" si="670">IF(and(H862=TRUE,L862=TRUE,N862=TRUE,P862=TRUE),TRUE,FALSE)</f>
        <v>1</v>
      </c>
      <c r="X862" s="23" t="str">
        <f>IFERROR(__xludf.DUMMYFUNCTION("if(COUNTA(FILTER(C:C, C:C = C862))=1,""no"",""yes"")"),"no")</f>
        <v>no</v>
      </c>
    </row>
    <row r="863">
      <c r="A863" s="75" t="s">
        <v>859</v>
      </c>
      <c r="B863" s="2">
        <v>17.0</v>
      </c>
      <c r="C863" s="69" t="s">
        <v>667</v>
      </c>
      <c r="E863" s="24">
        <f>IFERROR(__xludf.DUMMYFUNCTION("ifna(IFNA(filter('2.1.clean'!C:C,'2.1.clean'!A:A=C863),filter('2.2.clean'!E:E,'2.2.clean'!D:D=C863)),filter('2.4.clean'!C:C,'2.4.clean'!A:A=C863))"),43784.0)</f>
        <v>43784</v>
      </c>
      <c r="F863" s="25">
        <f>IFERROR(__xludf.DUMMYFUNCTION("iferror(ifna(IFNA(filter('2.1.clean'!E:E,'2.1.clean'!A:A=C863),filter('2.2.clean'!G:G,'2.2.clean'!D:D=C863)),filter('2.4.clean'!E:E,'2.4.clean'!A:A=C863)),)"),2.2)</f>
        <v>2.2</v>
      </c>
      <c r="G863" s="24">
        <f>IFERROR(__xludf.DUMMYFUNCTION("iferror(filter('3.1.clean'!C:C,'3.1.clean'!A:A=C863),"""")"),43784.0)</f>
        <v>43784</v>
      </c>
      <c r="H863" s="23" t="b">
        <f t="shared" si="668"/>
        <v>1</v>
      </c>
      <c r="J863" s="25"/>
      <c r="K863" s="24">
        <f>IFERROR(__xludf.DUMMYFUNCTION("iferror(filter('3.2.clean'!C:C,'3.2.clean'!A:A=C863),"""")"),43784.0)</f>
        <v>43784</v>
      </c>
      <c r="L863" s="25" t="b">
        <f t="shared" si="669"/>
        <v>1</v>
      </c>
      <c r="M863" s="24">
        <f>IFERROR(__xludf.DUMMYFUNCTION("iferror(filter('3.3.clean'!C:C,'3.3.clean'!A:A=C863),"""")"),43785.0)</f>
        <v>43785</v>
      </c>
      <c r="N863" s="25" t="b">
        <f t="shared" si="652"/>
        <v>1</v>
      </c>
      <c r="O863" s="24">
        <f>IFERROR(__xludf.DUMMYFUNCTION("iferror(filter('3.4.clean'!C:C,'3.4.clean'!A:A=C863),"""")"),43788.0)</f>
        <v>43788</v>
      </c>
      <c r="P863" s="25" t="b">
        <f t="shared" si="653"/>
        <v>1</v>
      </c>
      <c r="Q863" s="24" t="str">
        <f>IFERROR(__xludf.DUMMYFUNCTION("iferror(filter('3.5.clean'!C:C,'3.5.clean'!A:A=C863),"""")"),"")</f>
        <v/>
      </c>
      <c r="S863" s="25"/>
      <c r="W863" s="23" t="b">
        <f t="shared" si="670"/>
        <v>1</v>
      </c>
      <c r="X863" s="23" t="str">
        <f>IFERROR(__xludf.DUMMYFUNCTION("if(COUNTA(FILTER(C:C, C:C = C863))=1,""no"",""yes"")"),"no")</f>
        <v>no</v>
      </c>
    </row>
    <row r="864">
      <c r="A864" s="75" t="s">
        <v>859</v>
      </c>
      <c r="B864" s="2">
        <v>18.0</v>
      </c>
      <c r="C864" s="69" t="s">
        <v>669</v>
      </c>
      <c r="E864" s="24">
        <f>IFERROR(__xludf.DUMMYFUNCTION("ifna(IFNA(filter('2.1.clean'!C:C,'2.1.clean'!A:A=C864),filter('2.2.clean'!E:E,'2.2.clean'!D:D=C864)),filter('2.4.clean'!C:C,'2.4.clean'!A:A=C864))"),43784.0)</f>
        <v>43784</v>
      </c>
      <c r="F864" s="25">
        <f>IFERROR(__xludf.DUMMYFUNCTION("iferror(ifna(IFNA(filter('2.1.clean'!E:E,'2.1.clean'!A:A=C864),filter('2.2.clean'!G:G,'2.2.clean'!D:D=C864)),filter('2.4.clean'!E:E,'2.4.clean'!A:A=C864)),)"),2.2)</f>
        <v>2.2</v>
      </c>
      <c r="G864" s="24">
        <f>IFERROR(__xludf.DUMMYFUNCTION("iferror(filter('3.1.clean'!C:C,'3.1.clean'!A:A=C864),"""")"),43784.0)</f>
        <v>43784</v>
      </c>
      <c r="H864" s="23" t="b">
        <f t="shared" si="668"/>
        <v>1</v>
      </c>
      <c r="J864" s="25"/>
      <c r="K864" s="24">
        <f>IFERROR(__xludf.DUMMYFUNCTION("iferror(filter('3.2.clean'!C:C,'3.2.clean'!A:A=C864),"""")"),43784.0)</f>
        <v>43784</v>
      </c>
      <c r="L864" s="25" t="b">
        <f t="shared" si="669"/>
        <v>1</v>
      </c>
      <c r="M864" s="24">
        <f>IFERROR(__xludf.DUMMYFUNCTION("iferror(filter('3.3.clean'!C:C,'3.3.clean'!A:A=C864),"""")"),43785.0)</f>
        <v>43785</v>
      </c>
      <c r="N864" s="25" t="b">
        <f t="shared" si="652"/>
        <v>1</v>
      </c>
      <c r="O864" s="24">
        <f>IFERROR(__xludf.DUMMYFUNCTION("iferror(filter('3.4.clean'!C:C,'3.4.clean'!A:A=C864),"""")"),43788.0)</f>
        <v>43788</v>
      </c>
      <c r="P864" s="25" t="b">
        <f t="shared" si="653"/>
        <v>1</v>
      </c>
      <c r="Q864" s="24" t="str">
        <f>IFERROR(__xludf.DUMMYFUNCTION("iferror(filter('3.5.clean'!C:C,'3.5.clean'!A:A=C864),"""")"),"")</f>
        <v/>
      </c>
      <c r="S864" s="25"/>
      <c r="W864" s="23" t="b">
        <f t="shared" si="670"/>
        <v>1</v>
      </c>
      <c r="X864" s="23" t="str">
        <f>IFERROR(__xludf.DUMMYFUNCTION("if(COUNTA(FILTER(C:C, C:C = C864))=1,""no"",""yes"")"),"no")</f>
        <v>no</v>
      </c>
    </row>
    <row r="865">
      <c r="A865" s="75" t="s">
        <v>859</v>
      </c>
      <c r="B865" s="2">
        <v>19.0</v>
      </c>
      <c r="C865" s="69" t="s">
        <v>671</v>
      </c>
      <c r="E865" s="24">
        <f>IFERROR(__xludf.DUMMYFUNCTION("ifna(IFNA(filter('2.1.clean'!C:C,'2.1.clean'!A:A=C865),filter('2.2.clean'!E:E,'2.2.clean'!D:D=C865)),filter('2.4.clean'!C:C,'2.4.clean'!A:A=C865))"),43784.0)</f>
        <v>43784</v>
      </c>
      <c r="F865" s="25">
        <f>IFERROR(__xludf.DUMMYFUNCTION("iferror(ifna(IFNA(filter('2.1.clean'!E:E,'2.1.clean'!A:A=C865),filter('2.2.clean'!G:G,'2.2.clean'!D:D=C865)),filter('2.4.clean'!E:E,'2.4.clean'!A:A=C865)),)"),2.2)</f>
        <v>2.2</v>
      </c>
      <c r="G865" s="24">
        <f>IFERROR(__xludf.DUMMYFUNCTION("iferror(filter('3.1.clean'!C:C,'3.1.clean'!A:A=C865),"""")"),43784.0)</f>
        <v>43784</v>
      </c>
      <c r="H865" s="23" t="b">
        <f t="shared" si="668"/>
        <v>1</v>
      </c>
      <c r="J865" s="25"/>
      <c r="K865" s="24">
        <f>IFERROR(__xludf.DUMMYFUNCTION("iferror(filter('3.2.clean'!C:C,'3.2.clean'!A:A=C865),"""")"),43784.0)</f>
        <v>43784</v>
      </c>
      <c r="L865" s="25" t="b">
        <f t="shared" si="669"/>
        <v>1</v>
      </c>
      <c r="M865" s="24">
        <f>IFERROR(__xludf.DUMMYFUNCTION("iferror(filter('3.3.clean'!C:C,'3.3.clean'!A:A=C865),"""")"),43785.0)</f>
        <v>43785</v>
      </c>
      <c r="N865" s="25" t="b">
        <f t="shared" si="652"/>
        <v>1</v>
      </c>
      <c r="O865" s="24">
        <f>IFERROR(__xludf.DUMMYFUNCTION("iferror(filter('3.4.clean'!C:C,'3.4.clean'!A:A=C865),"""")"),43788.0)</f>
        <v>43788</v>
      </c>
      <c r="P865" s="25" t="b">
        <f t="shared" si="653"/>
        <v>1</v>
      </c>
      <c r="Q865" s="24" t="str">
        <f>IFERROR(__xludf.DUMMYFUNCTION("iferror(filter('3.5.clean'!C:C,'3.5.clean'!A:A=C865),"""")"),"")</f>
        <v/>
      </c>
      <c r="S865" s="25"/>
      <c r="W865" s="23" t="b">
        <f t="shared" si="670"/>
        <v>1</v>
      </c>
      <c r="X865" s="23" t="str">
        <f>IFERROR(__xludf.DUMMYFUNCTION("if(COUNTA(FILTER(C:C, C:C = C865))=1,""no"",""yes"")"),"no")</f>
        <v>no</v>
      </c>
    </row>
    <row r="866">
      <c r="A866" s="75" t="s">
        <v>859</v>
      </c>
      <c r="B866" s="2">
        <v>20.0</v>
      </c>
      <c r="C866" s="69" t="s">
        <v>673</v>
      </c>
      <c r="E866" s="24">
        <f>IFERROR(__xludf.DUMMYFUNCTION("ifna(IFNA(filter('2.1.clean'!C:C,'2.1.clean'!A:A=C866),filter('2.2.clean'!E:E,'2.2.clean'!D:D=C866)),filter('2.4.clean'!C:C,'2.4.clean'!A:A=C866))"),43784.0)</f>
        <v>43784</v>
      </c>
      <c r="F866" s="25">
        <f>IFERROR(__xludf.DUMMYFUNCTION("iferror(ifna(IFNA(filter('2.1.clean'!E:E,'2.1.clean'!A:A=C866),filter('2.2.clean'!G:G,'2.2.clean'!D:D=C866)),filter('2.4.clean'!E:E,'2.4.clean'!A:A=C866)),)"),2.2)</f>
        <v>2.2</v>
      </c>
      <c r="G866" s="24">
        <f>IFERROR(__xludf.DUMMYFUNCTION("iferror(filter('3.1.clean'!C:C,'3.1.clean'!A:A=C866),"""")"),43784.0)</f>
        <v>43784</v>
      </c>
      <c r="H866" s="23" t="b">
        <f t="shared" si="668"/>
        <v>1</v>
      </c>
      <c r="J866" s="25"/>
      <c r="K866" s="24">
        <f>IFERROR(__xludf.DUMMYFUNCTION("iferror(filter('3.2.clean'!C:C,'3.2.clean'!A:A=C866),"""")"),43784.0)</f>
        <v>43784</v>
      </c>
      <c r="L866" s="25" t="b">
        <f t="shared" si="669"/>
        <v>1</v>
      </c>
      <c r="M866" s="24">
        <f>IFERROR(__xludf.DUMMYFUNCTION("iferror(filter('3.3.clean'!C:C,'3.3.clean'!A:A=C866),"""")"),43785.0)</f>
        <v>43785</v>
      </c>
      <c r="N866" s="25" t="b">
        <f t="shared" si="652"/>
        <v>1</v>
      </c>
      <c r="O866" s="24">
        <f>IFERROR(__xludf.DUMMYFUNCTION("iferror(filter('3.4.clean'!C:C,'3.4.clean'!A:A=C866),"""")"),43788.0)</f>
        <v>43788</v>
      </c>
      <c r="P866" s="25" t="b">
        <f t="shared" si="653"/>
        <v>1</v>
      </c>
      <c r="Q866" s="24" t="str">
        <f>IFERROR(__xludf.DUMMYFUNCTION("iferror(filter('3.5.clean'!C:C,'3.5.clean'!A:A=C866),"""")"),"")</f>
        <v/>
      </c>
      <c r="S866" s="25"/>
      <c r="W866" s="23" t="b">
        <f t="shared" si="670"/>
        <v>1</v>
      </c>
      <c r="X866" s="23" t="str">
        <f>IFERROR(__xludf.DUMMYFUNCTION("if(COUNTA(FILTER(C:C, C:C = C866))=1,""no"",""yes"")"),"no")</f>
        <v>no</v>
      </c>
    </row>
    <row r="867">
      <c r="A867" s="75" t="s">
        <v>859</v>
      </c>
      <c r="B867" s="19">
        <v>21.0</v>
      </c>
      <c r="C867" s="19" t="s">
        <v>651</v>
      </c>
      <c r="D867" s="58" t="str">
        <f t="shared" ref="D867:D870" si="671">if(or(I867=1,J867=1,S867=1),"pos","")</f>
        <v/>
      </c>
      <c r="E867" s="59">
        <f>IFERROR(__xludf.DUMMYFUNCTION("ifna(IFNA(filter('2.1.clean'!C:C,'2.1.clean'!A:A=C867),filter('2.2.clean'!E:E,'2.2.clean'!D:D=C867)),filter('2.4.clean'!C:C,'2.4.clean'!A:A=C867))"),43784.0)</f>
        <v>43784</v>
      </c>
      <c r="F867" s="60">
        <f>IFERROR(__xludf.DUMMYFUNCTION("iferror(ifna(IFNA(filter('2.1.clean'!E:E,'2.1.clean'!A:A=C867),filter('2.2.clean'!G:G,'2.2.clean'!D:D=C867)),filter('2.4.clean'!E:E,'2.4.clean'!A:A=C867)),)"),2.2)</f>
        <v>2.2</v>
      </c>
      <c r="G867" s="59">
        <f>IFERROR(__xludf.DUMMYFUNCTION("iferror(filter('3.1.clean'!C:C,'3.1.clean'!A:A=C867),"""")"),43784.0)</f>
        <v>43784</v>
      </c>
      <c r="H867" s="58" t="b">
        <f t="shared" si="668"/>
        <v>1</v>
      </c>
      <c r="I867" s="58">
        <f>IFERROR(__xludf.DUMMYFUNCTION("iferror(filter('3.1.clean'!G:G,'3.1.clean'!A:A=C867),"""")"),0.0)</f>
        <v>0</v>
      </c>
      <c r="J867" s="60" t="str">
        <f>IFERROR(__xludf.DUMMYFUNCTION("iferror(filter('3.1.clean'!I:I,'3.1.clean'!A:A=C867),"""")"),"")</f>
        <v/>
      </c>
      <c r="K867" s="58"/>
      <c r="L867" s="60"/>
      <c r="M867" s="59" t="str">
        <f>IFERROR(__xludf.DUMMYFUNCTION("iferror(filter('3.3.clean'!C:C,'3.3.clean'!A:A=C867),"""")"),"")</f>
        <v/>
      </c>
      <c r="N867" s="60" t="b">
        <f t="shared" si="652"/>
        <v>0</v>
      </c>
      <c r="O867" s="59" t="str">
        <f>IFERROR(__xludf.DUMMYFUNCTION("iferror(filter('3.4.clean'!C:C,'3.4.clean'!A:A=C867),"""")"),"")</f>
        <v/>
      </c>
      <c r="P867" s="60" t="b">
        <f t="shared" si="653"/>
        <v>0</v>
      </c>
      <c r="Q867" s="59" t="str">
        <f>IFERROR(__xludf.DUMMYFUNCTION("iferror(filter('3.5.clean'!C:C,'3.5.clean'!A:A=C867),"""")"),"")</f>
        <v/>
      </c>
      <c r="R867" s="58"/>
      <c r="S867" s="4" t="str">
        <f>IFERROR(__xludf.DUMMYFUNCTION("iferror(filter('3.5.clean'!H:H,'3.5.clean'!A:A=C867),"""")"),"")</f>
        <v/>
      </c>
      <c r="W867" s="23" t="b">
        <f>if(AND(H867=TRUE,N867=TRUE,P867=TRUE),TRUE,FALSE)</f>
        <v>0</v>
      </c>
      <c r="X867" s="23" t="str">
        <f>IFERROR(__xludf.DUMMYFUNCTION("if(COUNTA(FILTER(C:C, C:C = C867))=1,""no"",""yes"")"),"no")</f>
        <v>no</v>
      </c>
    </row>
    <row r="868">
      <c r="A868" s="75" t="s">
        <v>859</v>
      </c>
      <c r="B868" s="19">
        <v>22.0</v>
      </c>
      <c r="C868" s="19" t="s">
        <v>1625</v>
      </c>
      <c r="D868" s="58" t="str">
        <f t="shared" si="671"/>
        <v/>
      </c>
      <c r="E868" s="59">
        <f t="shared" ref="E868:E869" si="672">Q868</f>
        <v>43784</v>
      </c>
      <c r="F868" s="60" t="str">
        <f>IFERROR(__xludf.DUMMYFUNCTION("iferror(ifna(IFNA(filter('2.1.clean'!E:E,'2.1.clean'!A:A=C868),filter('2.2.clean'!G:G,'2.2.clean'!D:D=C868)),filter('2.4.clean'!E:E,'2.4.clean'!A:A=C868)),)"),"")</f>
        <v/>
      </c>
      <c r="G868" s="59" t="str">
        <f>IFERROR(__xludf.DUMMYFUNCTION("iferror(filter('3.1.clean'!C:C,'3.1.clean'!A:A=C868),"""")"),"")</f>
        <v/>
      </c>
      <c r="H868" s="58"/>
      <c r="I868" s="58" t="str">
        <f>IFERROR(__xludf.DUMMYFUNCTION("iferror(filter('3.1.clean'!G:G,'3.1.clean'!A:A=C868),"""")"),"")</f>
        <v/>
      </c>
      <c r="J868" s="60" t="str">
        <f>IFERROR(__xludf.DUMMYFUNCTION("iferror(filter('3.1.clean'!I:I,'3.1.clean'!A:A=C868),"""")"),"")</f>
        <v/>
      </c>
      <c r="K868" s="59"/>
      <c r="L868" s="60"/>
      <c r="M868" s="59" t="str">
        <f>IFERROR(__xludf.DUMMYFUNCTION("iferror(filter('3.3.clean'!C:C,'3.3.clean'!A:A=C868),"""")"),"")</f>
        <v/>
      </c>
      <c r="N868" s="60" t="b">
        <f t="shared" si="652"/>
        <v>0</v>
      </c>
      <c r="O868" s="59" t="str">
        <f>IFERROR(__xludf.DUMMYFUNCTION("iferror(filter('3.4.clean'!C:C,'3.4.clean'!A:A=C868),"""")"),"")</f>
        <v/>
      </c>
      <c r="P868" s="60" t="b">
        <f t="shared" si="653"/>
        <v>0</v>
      </c>
      <c r="Q868" s="59">
        <f>IFERROR(__xludf.DUMMYFUNCTION("iferror(filter('3.5.clean'!C:C,'3.5.clean'!A:A=C868),"""")"),43784.0)</f>
        <v>43784</v>
      </c>
      <c r="R868" s="58" t="b">
        <f t="shared" ref="R868:R869" si="673">if(Q868="",FALSE,TRUE)</f>
        <v>1</v>
      </c>
      <c r="S868" s="4">
        <f>IFERROR(__xludf.DUMMYFUNCTION("iferror(filter('3.5.clean'!H:H,'3.5.clean'!A:A=C868),"""")"),0.0)</f>
        <v>0</v>
      </c>
      <c r="V868" s="52" t="s">
        <v>64</v>
      </c>
      <c r="W868" s="23" t="b">
        <f>if(AND(R868=TRUE,N868=TRUE,P868=TRUE),TRUE,FALSE)</f>
        <v>0</v>
      </c>
      <c r="X868" s="23" t="str">
        <f>IFERROR(__xludf.DUMMYFUNCTION("if(COUNTA(FILTER(C:C, C:C = C868))=1,""no"",""yes"")"),"no")</f>
        <v>no</v>
      </c>
    </row>
    <row r="869">
      <c r="A869" s="75" t="s">
        <v>859</v>
      </c>
      <c r="B869" s="19">
        <v>23.0</v>
      </c>
      <c r="C869" s="19" t="s">
        <v>283</v>
      </c>
      <c r="D869" s="22" t="str">
        <f t="shared" si="671"/>
        <v/>
      </c>
      <c r="E869" s="20">
        <f t="shared" si="672"/>
        <v>43784</v>
      </c>
      <c r="F869" s="79" t="str">
        <f>IFERROR(__xludf.DUMMYFUNCTION("iferror(ifna(IFNA(filter('2.1.clean'!E:E,'2.1.clean'!A:A=C869),filter('2.2.clean'!G:G,'2.2.clean'!D:D=C869)),filter('2.4.clean'!E:E,'2.4.clean'!A:A=C869)),)"),"")</f>
        <v/>
      </c>
      <c r="G869" s="20" t="str">
        <f>IFERROR(__xludf.DUMMYFUNCTION("iferror(filter('3.1.clean'!C:C,'3.1.clean'!A:A=C869),"""")"),"")</f>
        <v/>
      </c>
      <c r="H869" s="22"/>
      <c r="I869" s="22"/>
      <c r="J869" s="79"/>
      <c r="K869" s="20" t="str">
        <f>IFERROR(__xludf.DUMMYFUNCTION("iferror(filter('3.2.clean'!C:C,'3.2.clean'!A:A=C869),"""")"),"")</f>
        <v/>
      </c>
      <c r="L869" s="79"/>
      <c r="M869" s="20" t="str">
        <f>IFERROR(__xludf.DUMMYFUNCTION("iferror(filter('3.3.clean'!C:C,'3.3.clean'!A:A=C869),"""")"),"")</f>
        <v/>
      </c>
      <c r="N869" s="79" t="b">
        <f t="shared" si="652"/>
        <v>0</v>
      </c>
      <c r="O869" s="20" t="str">
        <f>IFERROR(__xludf.DUMMYFUNCTION("iferror(filter('3.4.clean'!C:C,'3.4.clean'!A:A=C869),"""")"),"")</f>
        <v/>
      </c>
      <c r="P869" s="79" t="b">
        <f t="shared" si="653"/>
        <v>0</v>
      </c>
      <c r="Q869" s="20">
        <f>IFERROR(__xludf.DUMMYFUNCTION("iferror(filter('3.5.clean'!C:C,'3.5.clean'!A:A=C869),"""")"),43784.0)</f>
        <v>43784</v>
      </c>
      <c r="R869" s="22" t="b">
        <f t="shared" si="673"/>
        <v>1</v>
      </c>
      <c r="S869" s="4">
        <f>IFERROR(__xludf.DUMMYFUNCTION("iferror(filter('3.5.clean'!H:H,'3.5.clean'!A:A=C869),"""")"),0.0)</f>
        <v>0</v>
      </c>
      <c r="V869" s="1" t="s">
        <v>64</v>
      </c>
      <c r="W869" s="23" t="b">
        <f>IF(and(R869=TRUE,N869=TRUE,P869=TRUE),TRUE,FALSE)</f>
        <v>0</v>
      </c>
      <c r="X869" s="23" t="str">
        <f>IFERROR(__xludf.DUMMYFUNCTION("if(COUNTA(FILTER(C:C, C:C = C869))=1,""no"",""yes"")"),"no")</f>
        <v>no</v>
      </c>
    </row>
    <row r="870">
      <c r="A870" s="75" t="s">
        <v>859</v>
      </c>
      <c r="B870" s="19">
        <v>24.0</v>
      </c>
      <c r="C870" s="19" t="s">
        <v>1626</v>
      </c>
      <c r="D870" s="76" t="str">
        <f t="shared" si="671"/>
        <v/>
      </c>
      <c r="E870" s="77">
        <f>G870</f>
        <v>43784</v>
      </c>
      <c r="F870" s="78" t="str">
        <f>IFERROR(__xludf.DUMMYFUNCTION("iferror(ifna(IFNA(filter('2.1.clean'!E:E,'2.1.clean'!A:A=C870),filter('2.2.clean'!G:G,'2.2.clean'!D:D=C870)),filter('2.4.clean'!E:E,'2.4.clean'!A:A=C870)),)"),"")</f>
        <v/>
      </c>
      <c r="G870" s="77">
        <f>IFERROR(__xludf.DUMMYFUNCTION("iferror(filter('3.1.clean'!C:C,'3.1.clean'!A:A=C870),"""")"),43784.0)</f>
        <v>43784</v>
      </c>
      <c r="H870" s="76" t="b">
        <f>if(G870="",FALSE,TRUE)</f>
        <v>1</v>
      </c>
      <c r="I870" s="76">
        <f>IFERROR(__xludf.DUMMYFUNCTION("iferror(filter('3.1.clean'!G:G,'3.1.clean'!A:A=C870),"""")"),0.0)</f>
        <v>0</v>
      </c>
      <c r="J870" s="78" t="str">
        <f>IFERROR(__xludf.DUMMYFUNCTION("iferror(filter('3.1.clean'!I:I,'3.1.clean'!A:A=C870),"""")"),"")</f>
        <v/>
      </c>
      <c r="K870" s="77"/>
      <c r="L870" s="78"/>
      <c r="M870" s="77"/>
      <c r="N870" s="78"/>
      <c r="O870" s="77"/>
      <c r="P870" s="78"/>
      <c r="Q870" s="77"/>
      <c r="R870" s="76"/>
      <c r="S870" s="25"/>
      <c r="V870" s="1" t="s">
        <v>64</v>
      </c>
      <c r="W870" s="1" t="b">
        <v>1</v>
      </c>
      <c r="X870" s="23" t="str">
        <f>IFERROR(__xludf.DUMMYFUNCTION("if(COUNTA(FILTER(C:C, C:C = C870))=1,""no"",""yes"")"),"no")</f>
        <v>no</v>
      </c>
    </row>
    <row r="871">
      <c r="A871" s="75" t="s">
        <v>859</v>
      </c>
      <c r="B871" s="2">
        <v>25.0</v>
      </c>
      <c r="C871" s="19" t="s">
        <v>1627</v>
      </c>
      <c r="E871" s="24">
        <v>43784.0</v>
      </c>
      <c r="F871" s="25" t="str">
        <f>IFERROR(__xludf.DUMMYFUNCTION("iferror(ifna(IFNA(filter('2.1.clean'!E:E,'2.1.clean'!A:A=C871),filter('2.2.clean'!G:G,'2.2.clean'!D:D=C871)),filter('2.4.clean'!E:E,'2.4.clean'!A:A=C871)),)"),"")</f>
        <v/>
      </c>
      <c r="G871" s="24" t="str">
        <f>IFERROR(__xludf.DUMMYFUNCTION("iferror(filter('3.1.clean'!C:C,'3.1.clean'!A:A=C871),"""")"),"")</f>
        <v/>
      </c>
      <c r="J871" s="25"/>
      <c r="K871" s="24" t="str">
        <f>IFERROR(__xludf.DUMMYFUNCTION("iferror(filter('3.2.clean'!C:C,'3.2.clean'!A:A=C871),"""")"),"")</f>
        <v/>
      </c>
      <c r="L871" s="25"/>
      <c r="M871" s="24">
        <f>IFERROR(__xludf.DUMMYFUNCTION("iferror(filter('3.3.clean'!C:C,'3.3.clean'!A:A=C871),"""")"),43785.0)</f>
        <v>43785</v>
      </c>
      <c r="N871" s="25" t="b">
        <f t="shared" ref="N871:N884" si="674">if(M871="",FALSE,TRUE)</f>
        <v>1</v>
      </c>
      <c r="O871" s="24" t="str">
        <f>IFERROR(__xludf.DUMMYFUNCTION("iferror(filter('3.4.clean'!C:C,'3.4.clean'!A:A=C871),"""")"),"")</f>
        <v/>
      </c>
      <c r="P871" s="25" t="b">
        <f t="shared" ref="P871:P884" si="675">if(O871="",FALSE,TRUE)</f>
        <v>0</v>
      </c>
      <c r="Q871" s="24" t="str">
        <f>IFERROR(__xludf.DUMMYFUNCTION("iferror(filter('3.5.clean'!C:C,'3.5.clean'!A:A=C871),"""")"),"")</f>
        <v/>
      </c>
      <c r="S871" s="25"/>
      <c r="V871" s="52" t="s">
        <v>64</v>
      </c>
      <c r="X871" s="23" t="str">
        <f>IFERROR(__xludf.DUMMYFUNCTION("if(COUNTA(FILTER(C:C, C:C = C871))=1,""no"",""yes"")"),"no")</f>
        <v>no</v>
      </c>
    </row>
    <row r="872">
      <c r="A872" s="1" t="s">
        <v>862</v>
      </c>
      <c r="B872" s="2">
        <v>1.0</v>
      </c>
      <c r="C872" s="19" t="s">
        <v>1628</v>
      </c>
      <c r="E872" s="24">
        <f>IFERROR(__xludf.DUMMYFUNCTION("ifna(IFNA(filter('2.1.clean'!C:C,'2.1.clean'!A:A=C872),filter('2.2.clean'!E:E,'2.2.clean'!D:D=C872)),filter('2.4.clean'!C:C,'2.4.clean'!A:A=C872))"),43787.0)</f>
        <v>43787</v>
      </c>
      <c r="F872" s="25">
        <f>IFERROR(__xludf.DUMMYFUNCTION("iferror(ifna(IFNA(filter('2.1.clean'!E:E,'2.1.clean'!A:A=C872),filter('2.2.clean'!G:G,'2.2.clean'!D:D=C872)),filter('2.4.clean'!E:E,'2.4.clean'!A:A=C872)),)"),2.4)</f>
        <v>2.4</v>
      </c>
      <c r="G872" s="24">
        <f>IFERROR(__xludf.DUMMYFUNCTION("iferror(filter('3.1.clean'!C:C,'3.1.clean'!A:A=C872),"""")"),43787.0)</f>
        <v>43787</v>
      </c>
      <c r="H872" s="23" t="b">
        <f t="shared" ref="H872:H873" si="676">if(G872="",FALSE,TRUE)</f>
        <v>1</v>
      </c>
      <c r="J872" s="25"/>
      <c r="K872" s="24">
        <f>IFERROR(__xludf.DUMMYFUNCTION("iferror(filter('3.2.clean'!C:C,'3.2.clean'!A:A=C872),"""")"),43788.0)</f>
        <v>43788</v>
      </c>
      <c r="L872" s="25" t="b">
        <f>if(K872="",FALSE,TRUE)</f>
        <v>1</v>
      </c>
      <c r="M872" s="24">
        <f>IFERROR(__xludf.DUMMYFUNCTION("iferror(filter('3.3.clean'!C:C,'3.3.clean'!A:A=C872),"""")"),43789.0)</f>
        <v>43789</v>
      </c>
      <c r="N872" s="25" t="b">
        <f t="shared" si="674"/>
        <v>1</v>
      </c>
      <c r="O872" s="24">
        <f>IFERROR(__xludf.DUMMYFUNCTION("iferror(filter('3.4.clean'!C:C,'3.4.clean'!A:A=C872),"""")"),43791.0)</f>
        <v>43791</v>
      </c>
      <c r="P872" s="25" t="b">
        <f t="shared" si="675"/>
        <v>1</v>
      </c>
      <c r="Q872" s="24">
        <f>IFERROR(__xludf.DUMMYFUNCTION("iferror(filter('3.5.clean'!C:C,'3.5.clean'!A:A=C872),"""")"),43787.0)</f>
        <v>43787</v>
      </c>
      <c r="R872" s="23" t="b">
        <f>if(Q872="",FALSE,TRUE)</f>
        <v>1</v>
      </c>
      <c r="S872" s="25"/>
      <c r="V872" s="1" t="s">
        <v>64</v>
      </c>
      <c r="X872" s="23" t="str">
        <f>IFERROR(__xludf.DUMMYFUNCTION("if(COUNTA(FILTER(C:C, C:C = C872))=1,""no"",""yes"")"),"no")</f>
        <v>no</v>
      </c>
    </row>
    <row r="873">
      <c r="A873" s="1" t="s">
        <v>862</v>
      </c>
      <c r="B873" s="19">
        <v>2.0</v>
      </c>
      <c r="C873" s="19" t="s">
        <v>1629</v>
      </c>
      <c r="D873" s="58" t="str">
        <f t="shared" ref="D873:D874" si="677">if(or(I873=1,J873=1,S873=1),"pos","")</f>
        <v/>
      </c>
      <c r="E873" s="59">
        <f>IFERROR(__xludf.DUMMYFUNCTION("ifna(IFNA(filter('2.1.clean'!C:C,'2.1.clean'!A:A=C873),filter('2.2.clean'!E:E,'2.2.clean'!D:D=C873)),filter('2.4.clean'!C:C,'2.4.clean'!A:A=C873))"),43787.0)</f>
        <v>43787</v>
      </c>
      <c r="F873" s="60">
        <f>IFERROR(__xludf.DUMMYFUNCTION("iferror(ifna(IFNA(filter('2.1.clean'!E:E,'2.1.clean'!A:A=C873),filter('2.2.clean'!G:G,'2.2.clean'!D:D=C873)),filter('2.4.clean'!E:E,'2.4.clean'!A:A=C873)),)"),2.4)</f>
        <v>2.4</v>
      </c>
      <c r="G873" s="59">
        <f>IFERROR(__xludf.DUMMYFUNCTION("iferror(filter('3.1.clean'!C:C,'3.1.clean'!A:A=C873),"""")"),43787.0)</f>
        <v>43787</v>
      </c>
      <c r="H873" s="58" t="b">
        <f t="shared" si="676"/>
        <v>1</v>
      </c>
      <c r="I873" s="58">
        <f>IFERROR(__xludf.DUMMYFUNCTION("iferror(filter('3.1.clean'!G:G,'3.1.clean'!A:A=C873),"""")"),0.0)</f>
        <v>0</v>
      </c>
      <c r="J873" s="60" t="str">
        <f>IFERROR(__xludf.DUMMYFUNCTION("iferror(filter('3.1.clean'!I:I,'3.1.clean'!A:A=C873),"""")"),"")</f>
        <v/>
      </c>
      <c r="K873" s="58"/>
      <c r="L873" s="60"/>
      <c r="M873" s="59">
        <f>IFERROR(__xludf.DUMMYFUNCTION("iferror(filter('3.3.clean'!C:C,'3.3.clean'!A:A=C873),"""")"),43789.0)</f>
        <v>43789</v>
      </c>
      <c r="N873" s="60" t="b">
        <f t="shared" si="674"/>
        <v>1</v>
      </c>
      <c r="O873" s="59">
        <f>IFERROR(__xludf.DUMMYFUNCTION("iferror(filter('3.4.clean'!C:C,'3.4.clean'!A:A=C873),"""")"),43791.0)</f>
        <v>43791</v>
      </c>
      <c r="P873" s="60" t="b">
        <f t="shared" si="675"/>
        <v>1</v>
      </c>
      <c r="Q873" s="59" t="str">
        <f>IFERROR(__xludf.DUMMYFUNCTION("iferror(filter('3.5.clean'!C:C,'3.5.clean'!A:A=C873),"""")"),"")</f>
        <v/>
      </c>
      <c r="R873" s="58"/>
      <c r="S873" s="4" t="str">
        <f>IFERROR(__xludf.DUMMYFUNCTION("iferror(filter('3.5.clean'!H:H,'3.5.clean'!A:A=C873),"""")"),"")</f>
        <v/>
      </c>
      <c r="W873" s="23" t="b">
        <f>if(AND(H873=TRUE,N873=TRUE,P873=TRUE),TRUE,FALSE)</f>
        <v>1</v>
      </c>
      <c r="X873" s="23" t="str">
        <f>IFERROR(__xludf.DUMMYFUNCTION("if(COUNTA(FILTER(C:C, C:C = C873))=1,""no"",""yes"")"),"no")</f>
        <v>no</v>
      </c>
    </row>
    <row r="874">
      <c r="A874" s="1" t="s">
        <v>862</v>
      </c>
      <c r="B874" s="19">
        <v>3.0</v>
      </c>
      <c r="C874" s="19" t="s">
        <v>1630</v>
      </c>
      <c r="D874" s="58" t="str">
        <f t="shared" si="677"/>
        <v/>
      </c>
      <c r="E874" s="59">
        <f>Q874</f>
        <v>43787</v>
      </c>
      <c r="F874" s="60" t="str">
        <f>IFERROR(__xludf.DUMMYFUNCTION("iferror(ifna(IFNA(filter('2.1.clean'!E:E,'2.1.clean'!A:A=C874),filter('2.2.clean'!G:G,'2.2.clean'!D:D=C874)),filter('2.4.clean'!E:E,'2.4.clean'!A:A=C874)),)"),"")</f>
        <v/>
      </c>
      <c r="G874" s="59" t="str">
        <f>IFERROR(__xludf.DUMMYFUNCTION("iferror(filter('3.1.clean'!C:C,'3.1.clean'!A:A=C874),"""")"),"")</f>
        <v/>
      </c>
      <c r="H874" s="58"/>
      <c r="I874" s="58" t="str">
        <f>IFERROR(__xludf.DUMMYFUNCTION("iferror(filter('3.1.clean'!G:G,'3.1.clean'!A:A=C874),"""")"),"")</f>
        <v/>
      </c>
      <c r="J874" s="60" t="str">
        <f>IFERROR(__xludf.DUMMYFUNCTION("iferror(filter('3.1.clean'!I:I,'3.1.clean'!A:A=C874),"""")"),"")</f>
        <v/>
      </c>
      <c r="K874" s="59"/>
      <c r="L874" s="60"/>
      <c r="M874" s="59" t="str">
        <f>IFERROR(__xludf.DUMMYFUNCTION("iferror(filter('3.3.clean'!C:C,'3.3.clean'!A:A=C874),"""")"),"")</f>
        <v/>
      </c>
      <c r="N874" s="60" t="b">
        <f t="shared" si="674"/>
        <v>0</v>
      </c>
      <c r="O874" s="59" t="str">
        <f>IFERROR(__xludf.DUMMYFUNCTION("iferror(filter('3.4.clean'!C:C,'3.4.clean'!A:A=C874),"""")"),"")</f>
        <v/>
      </c>
      <c r="P874" s="60" t="b">
        <f t="shared" si="675"/>
        <v>0</v>
      </c>
      <c r="Q874" s="59">
        <f>IFERROR(__xludf.DUMMYFUNCTION("iferror(filter('3.5.clean'!C:C,'3.5.clean'!A:A=C874),"""")"),43787.0)</f>
        <v>43787</v>
      </c>
      <c r="R874" s="58" t="b">
        <f t="shared" ref="R874:R875" si="678">if(Q874="",FALSE,TRUE)</f>
        <v>1</v>
      </c>
      <c r="S874" s="4">
        <f>IFERROR(__xludf.DUMMYFUNCTION("iferror(filter('3.5.clean'!H:H,'3.5.clean'!A:A=C874),"""")"),0.0)</f>
        <v>0</v>
      </c>
      <c r="V874" s="52" t="s">
        <v>64</v>
      </c>
      <c r="W874" s="23" t="b">
        <f>if(AND(R874=TRUE,N874=TRUE,P874=TRUE),TRUE,FALSE)</f>
        <v>0</v>
      </c>
      <c r="X874" s="23" t="str">
        <f>IFERROR(__xludf.DUMMYFUNCTION("if(COUNTA(FILTER(C:C, C:C = C874))=1,""no"",""yes"")"),"no")</f>
        <v>no</v>
      </c>
    </row>
    <row r="875">
      <c r="A875" s="1" t="s">
        <v>862</v>
      </c>
      <c r="B875" s="2">
        <v>4.0</v>
      </c>
      <c r="C875" s="19" t="s">
        <v>1631</v>
      </c>
      <c r="E875" s="24">
        <f>IFERROR(__xludf.DUMMYFUNCTION("ifna(IFNA(filter('2.1.clean'!C:C,'2.1.clean'!A:A=C875),filter('2.2.clean'!E:E,'2.2.clean'!D:D=C875)),filter('2.4.clean'!C:C,'2.4.clean'!A:A=C875))"),43787.0)</f>
        <v>43787</v>
      </c>
      <c r="F875" s="25">
        <f>IFERROR(__xludf.DUMMYFUNCTION("iferror(ifna(IFNA(filter('2.1.clean'!E:E,'2.1.clean'!A:A=C875),filter('2.2.clean'!G:G,'2.2.clean'!D:D=C875)),filter('2.4.clean'!E:E,'2.4.clean'!A:A=C875)),)"),2.4)</f>
        <v>2.4</v>
      </c>
      <c r="G875" s="24">
        <f>IFERROR(__xludf.DUMMYFUNCTION("iferror(filter('3.1.clean'!C:C,'3.1.clean'!A:A=C875),"""")"),43787.0)</f>
        <v>43787</v>
      </c>
      <c r="H875" s="23" t="b">
        <f t="shared" ref="H875:H876" si="679">if(G875="",FALSE,TRUE)</f>
        <v>1</v>
      </c>
      <c r="J875" s="25"/>
      <c r="K875" s="24">
        <f>IFERROR(__xludf.DUMMYFUNCTION("iferror(filter('3.2.clean'!C:C,'3.2.clean'!A:A=C875),"""")"),43788.0)</f>
        <v>43788</v>
      </c>
      <c r="L875" s="25" t="b">
        <f>if(K875="",FALSE,TRUE)</f>
        <v>1</v>
      </c>
      <c r="M875" s="24">
        <f>IFERROR(__xludf.DUMMYFUNCTION("iferror(filter('3.3.clean'!C:C,'3.3.clean'!A:A=C875),"""")"),43789.0)</f>
        <v>43789</v>
      </c>
      <c r="N875" s="25" t="b">
        <f t="shared" si="674"/>
        <v>1</v>
      </c>
      <c r="O875" s="24">
        <f>IFERROR(__xludf.DUMMYFUNCTION("iferror(filter('3.4.clean'!C:C,'3.4.clean'!A:A=C875),"""")"),43791.0)</f>
        <v>43791</v>
      </c>
      <c r="P875" s="25" t="b">
        <f t="shared" si="675"/>
        <v>1</v>
      </c>
      <c r="Q875" s="24">
        <f>IFERROR(__xludf.DUMMYFUNCTION("iferror(filter('3.5.clean'!C:C,'3.5.clean'!A:A=C875),"""")"),43787.0)</f>
        <v>43787</v>
      </c>
      <c r="R875" s="23" t="b">
        <f t="shared" si="678"/>
        <v>1</v>
      </c>
      <c r="S875" s="25"/>
      <c r="V875" s="1" t="s">
        <v>64</v>
      </c>
      <c r="X875" s="23" t="str">
        <f>IFERROR(__xludf.DUMMYFUNCTION("if(COUNTA(FILTER(C:C, C:C = C875))=1,""no"",""yes"")"),"no")</f>
        <v>no</v>
      </c>
    </row>
    <row r="876">
      <c r="A876" s="1" t="s">
        <v>862</v>
      </c>
      <c r="B876" s="19">
        <v>5.0</v>
      </c>
      <c r="C876" s="19" t="s">
        <v>1632</v>
      </c>
      <c r="D876" s="58" t="str">
        <f t="shared" ref="D876:D877" si="680">if(or(I876=1,J876=1,S876=1),"pos","")</f>
        <v/>
      </c>
      <c r="E876" s="59">
        <f>IFERROR(__xludf.DUMMYFUNCTION("ifna(IFNA(filter('2.1.clean'!C:C,'2.1.clean'!A:A=C876),filter('2.2.clean'!E:E,'2.2.clean'!D:D=C876)),filter('2.4.clean'!C:C,'2.4.clean'!A:A=C876))"),43787.0)</f>
        <v>43787</v>
      </c>
      <c r="F876" s="60">
        <f>IFERROR(__xludf.DUMMYFUNCTION("iferror(ifna(IFNA(filter('2.1.clean'!E:E,'2.1.clean'!A:A=C876),filter('2.2.clean'!G:G,'2.2.clean'!D:D=C876)),filter('2.4.clean'!E:E,'2.4.clean'!A:A=C876)),)"),2.4)</f>
        <v>2.4</v>
      </c>
      <c r="G876" s="59">
        <f>IFERROR(__xludf.DUMMYFUNCTION("iferror(filter('3.1.clean'!C:C,'3.1.clean'!A:A=C876),"""")"),43787.0)</f>
        <v>43787</v>
      </c>
      <c r="H876" s="58" t="b">
        <f t="shared" si="679"/>
        <v>1</v>
      </c>
      <c r="I876" s="58">
        <f>IFERROR(__xludf.DUMMYFUNCTION("iferror(filter('3.1.clean'!G:G,'3.1.clean'!A:A=C876),"""")"),0.0)</f>
        <v>0</v>
      </c>
      <c r="J876" s="60" t="str">
        <f>IFERROR(__xludf.DUMMYFUNCTION("iferror(filter('3.1.clean'!I:I,'3.1.clean'!A:A=C876),"""")"),"")</f>
        <v/>
      </c>
      <c r="K876" s="58"/>
      <c r="L876" s="60"/>
      <c r="M876" s="59" t="str">
        <f>IFERROR(__xludf.DUMMYFUNCTION("iferror(filter('3.3.clean'!C:C,'3.3.clean'!A:A=C876),"""")"),"")</f>
        <v/>
      </c>
      <c r="N876" s="60" t="b">
        <f t="shared" si="674"/>
        <v>0</v>
      </c>
      <c r="O876" s="59" t="str">
        <f>IFERROR(__xludf.DUMMYFUNCTION("iferror(filter('3.4.clean'!C:C,'3.4.clean'!A:A=C876),"""")"),"")</f>
        <v/>
      </c>
      <c r="P876" s="60" t="b">
        <f t="shared" si="675"/>
        <v>0</v>
      </c>
      <c r="Q876" s="59" t="str">
        <f>IFERROR(__xludf.DUMMYFUNCTION("iferror(filter('3.5.clean'!C:C,'3.5.clean'!A:A=C876),"""")"),"")</f>
        <v/>
      </c>
      <c r="R876" s="58"/>
      <c r="S876" s="4" t="str">
        <f>IFERROR(__xludf.DUMMYFUNCTION("iferror(filter('3.5.clean'!H:H,'3.5.clean'!A:A=C876),"""")"),"")</f>
        <v/>
      </c>
      <c r="W876" s="23" t="b">
        <f>if(AND(H876=TRUE,N876=TRUE,P876=TRUE),TRUE,FALSE)</f>
        <v>0</v>
      </c>
      <c r="X876" s="23" t="str">
        <f>IFERROR(__xludf.DUMMYFUNCTION("if(COUNTA(FILTER(C:C, C:C = C876))=1,""no"",""yes"")"),"no")</f>
        <v>no</v>
      </c>
    </row>
    <row r="877">
      <c r="A877" s="1" t="s">
        <v>862</v>
      </c>
      <c r="B877" s="19">
        <v>6.0</v>
      </c>
      <c r="C877" s="19" t="s">
        <v>1633</v>
      </c>
      <c r="D877" s="58" t="str">
        <f t="shared" si="680"/>
        <v/>
      </c>
      <c r="E877" s="59">
        <f>Q877</f>
        <v>43787</v>
      </c>
      <c r="F877" s="60" t="str">
        <f>IFERROR(__xludf.DUMMYFUNCTION("iferror(ifna(IFNA(filter('2.1.clean'!E:E,'2.1.clean'!A:A=C877),filter('2.2.clean'!G:G,'2.2.clean'!D:D=C877)),filter('2.4.clean'!E:E,'2.4.clean'!A:A=C877)),)"),"")</f>
        <v/>
      </c>
      <c r="G877" s="59" t="str">
        <f>IFERROR(__xludf.DUMMYFUNCTION("iferror(filter('3.1.clean'!C:C,'3.1.clean'!A:A=C877),"""")"),"")</f>
        <v/>
      </c>
      <c r="H877" s="58"/>
      <c r="I877" s="58" t="str">
        <f>IFERROR(__xludf.DUMMYFUNCTION("iferror(filter('3.1.clean'!G:G,'3.1.clean'!A:A=C877),"""")"),"")</f>
        <v/>
      </c>
      <c r="J877" s="60" t="str">
        <f>IFERROR(__xludf.DUMMYFUNCTION("iferror(filter('3.1.clean'!I:I,'3.1.clean'!A:A=C877),"""")"),"")</f>
        <v/>
      </c>
      <c r="K877" s="59"/>
      <c r="L877" s="60"/>
      <c r="M877" s="59" t="str">
        <f>IFERROR(__xludf.DUMMYFUNCTION("iferror(filter('3.3.clean'!C:C,'3.3.clean'!A:A=C877),"""")"),"")</f>
        <v/>
      </c>
      <c r="N877" s="60" t="b">
        <f t="shared" si="674"/>
        <v>0</v>
      </c>
      <c r="O877" s="59" t="str">
        <f>IFERROR(__xludf.DUMMYFUNCTION("iferror(filter('3.4.clean'!C:C,'3.4.clean'!A:A=C877),"""")"),"")</f>
        <v/>
      </c>
      <c r="P877" s="60" t="b">
        <f t="shared" si="675"/>
        <v>0</v>
      </c>
      <c r="Q877" s="59">
        <f>IFERROR(__xludf.DUMMYFUNCTION("iferror(filter('3.5.clean'!C:C,'3.5.clean'!A:A=C877),"""")"),43787.0)</f>
        <v>43787</v>
      </c>
      <c r="R877" s="58" t="b">
        <f t="shared" ref="R877:R878" si="681">if(Q877="",FALSE,TRUE)</f>
        <v>1</v>
      </c>
      <c r="S877" s="4">
        <f>IFERROR(__xludf.DUMMYFUNCTION("iferror(filter('3.5.clean'!H:H,'3.5.clean'!A:A=C877),"""")"),0.0)</f>
        <v>0</v>
      </c>
      <c r="V877" s="52" t="s">
        <v>64</v>
      </c>
      <c r="W877" s="23" t="b">
        <f>if(AND(R877=TRUE,N877=TRUE,P877=TRUE),TRUE,FALSE)</f>
        <v>0</v>
      </c>
      <c r="X877" s="23" t="str">
        <f>IFERROR(__xludf.DUMMYFUNCTION("if(COUNTA(FILTER(C:C, C:C = C877))=1,""no"",""yes"")"),"no")</f>
        <v>no</v>
      </c>
    </row>
    <row r="878">
      <c r="A878" s="1" t="s">
        <v>862</v>
      </c>
      <c r="B878" s="2">
        <v>7.0</v>
      </c>
      <c r="C878" s="19" t="s">
        <v>1634</v>
      </c>
      <c r="E878" s="24">
        <f>IFERROR(__xludf.DUMMYFUNCTION("ifna(IFNA(filter('2.1.clean'!C:C,'2.1.clean'!A:A=C878),filter('2.2.clean'!E:E,'2.2.clean'!D:D=C878)),filter('2.4.clean'!C:C,'2.4.clean'!A:A=C878))"),43787.0)</f>
        <v>43787</v>
      </c>
      <c r="F878" s="25">
        <f>IFERROR(__xludf.DUMMYFUNCTION("iferror(ifna(IFNA(filter('2.1.clean'!E:E,'2.1.clean'!A:A=C878),filter('2.2.clean'!G:G,'2.2.clean'!D:D=C878)),filter('2.4.clean'!E:E,'2.4.clean'!A:A=C878)),)"),2.4)</f>
        <v>2.4</v>
      </c>
      <c r="G878" s="24">
        <f>IFERROR(__xludf.DUMMYFUNCTION("iferror(filter('3.1.clean'!C:C,'3.1.clean'!A:A=C878),"""")"),43787.0)</f>
        <v>43787</v>
      </c>
      <c r="H878" s="23" t="b">
        <f t="shared" ref="H878:H879" si="682">if(G878="",FALSE,TRUE)</f>
        <v>1</v>
      </c>
      <c r="J878" s="25"/>
      <c r="K878" s="24">
        <f>IFERROR(__xludf.DUMMYFUNCTION("iferror(filter('3.2.clean'!C:C,'3.2.clean'!A:A=C878),"""")"),43788.0)</f>
        <v>43788</v>
      </c>
      <c r="L878" s="25" t="b">
        <f>if(K878="",FALSE,TRUE)</f>
        <v>1</v>
      </c>
      <c r="M878" s="24">
        <f>IFERROR(__xludf.DUMMYFUNCTION("iferror(filter('3.3.clean'!C:C,'3.3.clean'!A:A=C878),"""")"),43789.0)</f>
        <v>43789</v>
      </c>
      <c r="N878" s="25" t="b">
        <f t="shared" si="674"/>
        <v>1</v>
      </c>
      <c r="O878" s="24">
        <f>IFERROR(__xludf.DUMMYFUNCTION("iferror(filter('3.4.clean'!C:C,'3.4.clean'!A:A=C878),"""")"),43791.0)</f>
        <v>43791</v>
      </c>
      <c r="P878" s="25" t="b">
        <f t="shared" si="675"/>
        <v>1</v>
      </c>
      <c r="Q878" s="24">
        <f>IFERROR(__xludf.DUMMYFUNCTION("iferror(filter('3.5.clean'!C:C,'3.5.clean'!A:A=C878),"""")"),43787.0)</f>
        <v>43787</v>
      </c>
      <c r="R878" s="23" t="b">
        <f t="shared" si="681"/>
        <v>1</v>
      </c>
      <c r="S878" s="25"/>
      <c r="V878" s="1" t="s">
        <v>64</v>
      </c>
      <c r="X878" s="23" t="str">
        <f>IFERROR(__xludf.DUMMYFUNCTION("if(COUNTA(FILTER(C:C, C:C = C878))=1,""no"",""yes"")"),"no")</f>
        <v>no</v>
      </c>
    </row>
    <row r="879">
      <c r="A879" s="1" t="s">
        <v>862</v>
      </c>
      <c r="B879" s="19">
        <v>8.0</v>
      </c>
      <c r="C879" s="19" t="s">
        <v>1635</v>
      </c>
      <c r="D879" s="58" t="str">
        <f t="shared" ref="D879:D880" si="683">if(or(I879=1,J879=1,S879=1),"pos","")</f>
        <v/>
      </c>
      <c r="E879" s="59">
        <f>IFERROR(__xludf.DUMMYFUNCTION("ifna(IFNA(filter('2.1.clean'!C:C,'2.1.clean'!A:A=C879),filter('2.2.clean'!E:E,'2.2.clean'!D:D=C879)),filter('2.4.clean'!C:C,'2.4.clean'!A:A=C879))"),43787.0)</f>
        <v>43787</v>
      </c>
      <c r="F879" s="60">
        <f>IFERROR(__xludf.DUMMYFUNCTION("iferror(ifna(IFNA(filter('2.1.clean'!E:E,'2.1.clean'!A:A=C879),filter('2.2.clean'!G:G,'2.2.clean'!D:D=C879)),filter('2.4.clean'!E:E,'2.4.clean'!A:A=C879)),)"),2.4)</f>
        <v>2.4</v>
      </c>
      <c r="G879" s="59">
        <f>IFERROR(__xludf.DUMMYFUNCTION("iferror(filter('3.1.clean'!C:C,'3.1.clean'!A:A=C879),"""")"),43787.0)</f>
        <v>43787</v>
      </c>
      <c r="H879" s="58" t="b">
        <f t="shared" si="682"/>
        <v>1</v>
      </c>
      <c r="I879" s="58">
        <f>IFERROR(__xludf.DUMMYFUNCTION("iferror(filter('3.1.clean'!G:G,'3.1.clean'!A:A=C879),"""")"),0.0)</f>
        <v>0</v>
      </c>
      <c r="J879" s="60" t="str">
        <f>IFERROR(__xludf.DUMMYFUNCTION("iferror(filter('3.1.clean'!I:I,'3.1.clean'!A:A=C879),"""")"),"")</f>
        <v/>
      </c>
      <c r="K879" s="58"/>
      <c r="L879" s="60"/>
      <c r="M879" s="59" t="str">
        <f>IFERROR(__xludf.DUMMYFUNCTION("iferror(filter('3.3.clean'!C:C,'3.3.clean'!A:A=C879),"""")"),"")</f>
        <v/>
      </c>
      <c r="N879" s="60" t="b">
        <f t="shared" si="674"/>
        <v>0</v>
      </c>
      <c r="O879" s="59" t="str">
        <f>IFERROR(__xludf.DUMMYFUNCTION("iferror(filter('3.4.clean'!C:C,'3.4.clean'!A:A=C879),"""")"),"")</f>
        <v/>
      </c>
      <c r="P879" s="60" t="b">
        <f t="shared" si="675"/>
        <v>0</v>
      </c>
      <c r="Q879" s="59" t="str">
        <f>IFERROR(__xludf.DUMMYFUNCTION("iferror(filter('3.5.clean'!C:C,'3.5.clean'!A:A=C879),"""")"),"")</f>
        <v/>
      </c>
      <c r="R879" s="58"/>
      <c r="S879" s="4" t="str">
        <f>IFERROR(__xludf.DUMMYFUNCTION("iferror(filter('3.5.clean'!H:H,'3.5.clean'!A:A=C879),"""")"),"")</f>
        <v/>
      </c>
      <c r="W879" s="23" t="b">
        <f>if(AND(H879=TRUE,N879=TRUE,P879=TRUE),TRUE,FALSE)</f>
        <v>0</v>
      </c>
      <c r="X879" s="23" t="str">
        <f>IFERROR(__xludf.DUMMYFUNCTION("if(COUNTA(FILTER(C:C, C:C = C879))=1,""no"",""yes"")"),"no")</f>
        <v>no</v>
      </c>
    </row>
    <row r="880">
      <c r="A880" s="1" t="s">
        <v>862</v>
      </c>
      <c r="B880" s="19">
        <v>9.0</v>
      </c>
      <c r="C880" s="19" t="s">
        <v>1636</v>
      </c>
      <c r="D880" s="58" t="str">
        <f t="shared" si="683"/>
        <v/>
      </c>
      <c r="E880" s="59">
        <f>Q880</f>
        <v>43787</v>
      </c>
      <c r="F880" s="60" t="str">
        <f>IFERROR(__xludf.DUMMYFUNCTION("iferror(ifna(IFNA(filter('2.1.clean'!E:E,'2.1.clean'!A:A=C880),filter('2.2.clean'!G:G,'2.2.clean'!D:D=C880)),filter('2.4.clean'!E:E,'2.4.clean'!A:A=C880)),)"),"")</f>
        <v/>
      </c>
      <c r="G880" s="59" t="str">
        <f>IFERROR(__xludf.DUMMYFUNCTION("iferror(filter('3.1.clean'!C:C,'3.1.clean'!A:A=C880),"""")"),"")</f>
        <v/>
      </c>
      <c r="H880" s="58"/>
      <c r="I880" s="58" t="str">
        <f>IFERROR(__xludf.DUMMYFUNCTION("iferror(filter('3.1.clean'!G:G,'3.1.clean'!A:A=C880),"""")"),"")</f>
        <v/>
      </c>
      <c r="J880" s="60" t="str">
        <f>IFERROR(__xludf.DUMMYFUNCTION("iferror(filter('3.1.clean'!I:I,'3.1.clean'!A:A=C880),"""")"),"")</f>
        <v/>
      </c>
      <c r="K880" s="59"/>
      <c r="L880" s="60"/>
      <c r="M880" s="59" t="str">
        <f>IFERROR(__xludf.DUMMYFUNCTION("iferror(filter('3.3.clean'!C:C,'3.3.clean'!A:A=C880),"""")"),"")</f>
        <v/>
      </c>
      <c r="N880" s="60" t="b">
        <f t="shared" si="674"/>
        <v>0</v>
      </c>
      <c r="O880" s="59" t="str">
        <f>IFERROR(__xludf.DUMMYFUNCTION("iferror(filter('3.4.clean'!C:C,'3.4.clean'!A:A=C880),"""")"),"")</f>
        <v/>
      </c>
      <c r="P880" s="60" t="b">
        <f t="shared" si="675"/>
        <v>0</v>
      </c>
      <c r="Q880" s="59">
        <f>IFERROR(__xludf.DUMMYFUNCTION("iferror(filter('3.5.clean'!C:C,'3.5.clean'!A:A=C880),"""")"),43787.0)</f>
        <v>43787</v>
      </c>
      <c r="R880" s="58" t="b">
        <f t="shared" ref="R880:R881" si="684">if(Q880="",FALSE,TRUE)</f>
        <v>1</v>
      </c>
      <c r="S880" s="4">
        <f>IFERROR(__xludf.DUMMYFUNCTION("iferror(filter('3.5.clean'!H:H,'3.5.clean'!A:A=C880),"""")"),0.0)</f>
        <v>0</v>
      </c>
      <c r="V880" s="52" t="s">
        <v>64</v>
      </c>
      <c r="W880" s="23" t="b">
        <f>if(AND(R880=TRUE,N880=TRUE,P880=TRUE),TRUE,FALSE)</f>
        <v>0</v>
      </c>
      <c r="X880" s="23" t="str">
        <f>IFERROR(__xludf.DUMMYFUNCTION("if(COUNTA(FILTER(C:C, C:C = C880))=1,""no"",""yes"")"),"no")</f>
        <v>no</v>
      </c>
    </row>
    <row r="881">
      <c r="A881" s="1" t="s">
        <v>862</v>
      </c>
      <c r="B881" s="2">
        <v>10.0</v>
      </c>
      <c r="C881" s="19" t="s">
        <v>1637</v>
      </c>
      <c r="E881" s="24">
        <f>IFERROR(__xludf.DUMMYFUNCTION("ifna(IFNA(filter('2.1.clean'!C:C,'2.1.clean'!A:A=C881),filter('2.2.clean'!E:E,'2.2.clean'!D:D=C881)),filter('2.4.clean'!C:C,'2.4.clean'!A:A=C881))"),43787.0)</f>
        <v>43787</v>
      </c>
      <c r="F881" s="25">
        <f>IFERROR(__xludf.DUMMYFUNCTION("iferror(ifna(IFNA(filter('2.1.clean'!E:E,'2.1.clean'!A:A=C881),filter('2.2.clean'!G:G,'2.2.clean'!D:D=C881)),filter('2.4.clean'!E:E,'2.4.clean'!A:A=C881)),)"),2.4)</f>
        <v>2.4</v>
      </c>
      <c r="G881" s="24">
        <f>IFERROR(__xludf.DUMMYFUNCTION("iferror(filter('3.1.clean'!C:C,'3.1.clean'!A:A=C881),"""")"),43787.0)</f>
        <v>43787</v>
      </c>
      <c r="H881" s="23" t="b">
        <f t="shared" ref="H881:H882" si="685">if(G881="",FALSE,TRUE)</f>
        <v>1</v>
      </c>
      <c r="J881" s="25"/>
      <c r="K881" s="24">
        <f>IFERROR(__xludf.DUMMYFUNCTION("iferror(filter('3.2.clean'!C:C,'3.2.clean'!A:A=C881),"""")"),43788.0)</f>
        <v>43788</v>
      </c>
      <c r="L881" s="25" t="b">
        <f>if(K881="",FALSE,TRUE)</f>
        <v>1</v>
      </c>
      <c r="M881" s="24">
        <f>IFERROR(__xludf.DUMMYFUNCTION("iferror(filter('3.3.clean'!C:C,'3.3.clean'!A:A=C881),"""")"),43789.0)</f>
        <v>43789</v>
      </c>
      <c r="N881" s="25" t="b">
        <f t="shared" si="674"/>
        <v>1</v>
      </c>
      <c r="O881" s="24">
        <f>IFERROR(__xludf.DUMMYFUNCTION("iferror(filter('3.4.clean'!C:C,'3.4.clean'!A:A=C881),"""")"),43791.0)</f>
        <v>43791</v>
      </c>
      <c r="P881" s="25" t="b">
        <f t="shared" si="675"/>
        <v>1</v>
      </c>
      <c r="Q881" s="24">
        <f>IFERROR(__xludf.DUMMYFUNCTION("iferror(filter('3.5.clean'!C:C,'3.5.clean'!A:A=C881),"""")"),43787.0)</f>
        <v>43787</v>
      </c>
      <c r="R881" s="23" t="b">
        <f t="shared" si="684"/>
        <v>1</v>
      </c>
      <c r="S881" s="25"/>
      <c r="V881" s="1" t="s">
        <v>64</v>
      </c>
      <c r="X881" s="23" t="str">
        <f>IFERROR(__xludf.DUMMYFUNCTION("if(COUNTA(FILTER(C:C, C:C = C881))=1,""no"",""yes"")"),"no")</f>
        <v>no</v>
      </c>
    </row>
    <row r="882">
      <c r="A882" s="1" t="s">
        <v>862</v>
      </c>
      <c r="B882" s="19">
        <v>11.0</v>
      </c>
      <c r="C882" s="19" t="s">
        <v>1638</v>
      </c>
      <c r="D882" s="58" t="str">
        <f t="shared" ref="D882:D885" si="686">if(or(I882=1,J882=1,S882=1),"pos","")</f>
        <v/>
      </c>
      <c r="E882" s="59">
        <f>IFERROR(__xludf.DUMMYFUNCTION("ifna(IFNA(filter('2.1.clean'!C:C,'2.1.clean'!A:A=C882),filter('2.2.clean'!E:E,'2.2.clean'!D:D=C882)),filter('2.4.clean'!C:C,'2.4.clean'!A:A=C882))"),43787.0)</f>
        <v>43787</v>
      </c>
      <c r="F882" s="60">
        <f>IFERROR(__xludf.DUMMYFUNCTION("iferror(ifna(IFNA(filter('2.1.clean'!E:E,'2.1.clean'!A:A=C882),filter('2.2.clean'!G:G,'2.2.clean'!D:D=C882)),filter('2.4.clean'!E:E,'2.4.clean'!A:A=C882)),)"),2.4)</f>
        <v>2.4</v>
      </c>
      <c r="G882" s="59">
        <f>IFERROR(__xludf.DUMMYFUNCTION("iferror(filter('3.1.clean'!C:C,'3.1.clean'!A:A=C882),"""")"),43787.0)</f>
        <v>43787</v>
      </c>
      <c r="H882" s="58" t="b">
        <f t="shared" si="685"/>
        <v>1</v>
      </c>
      <c r="I882" s="58">
        <f>IFERROR(__xludf.DUMMYFUNCTION("iferror(filter('3.1.clean'!G:G,'3.1.clean'!A:A=C882),"""")"),0.0)</f>
        <v>0</v>
      </c>
      <c r="J882" s="60" t="str">
        <f>IFERROR(__xludf.DUMMYFUNCTION("iferror(filter('3.1.clean'!I:I,'3.1.clean'!A:A=C882),"""")"),"")</f>
        <v/>
      </c>
      <c r="K882" s="58"/>
      <c r="L882" s="60"/>
      <c r="M882" s="59" t="str">
        <f>IFERROR(__xludf.DUMMYFUNCTION("iferror(filter('3.3.clean'!C:C,'3.3.clean'!A:A=C882),"""")"),"")</f>
        <v/>
      </c>
      <c r="N882" s="60" t="b">
        <f t="shared" si="674"/>
        <v>0</v>
      </c>
      <c r="O882" s="59" t="str">
        <f>IFERROR(__xludf.DUMMYFUNCTION("iferror(filter('3.4.clean'!C:C,'3.4.clean'!A:A=C882),"""")"),"")</f>
        <v/>
      </c>
      <c r="P882" s="60" t="b">
        <f t="shared" si="675"/>
        <v>0</v>
      </c>
      <c r="Q882" s="59" t="str">
        <f>IFERROR(__xludf.DUMMYFUNCTION("iferror(filter('3.5.clean'!C:C,'3.5.clean'!A:A=C882),"""")"),"")</f>
        <v/>
      </c>
      <c r="R882" s="58"/>
      <c r="S882" s="4" t="str">
        <f>IFERROR(__xludf.DUMMYFUNCTION("iferror(filter('3.5.clean'!H:H,'3.5.clean'!A:A=C882),"""")"),"")</f>
        <v/>
      </c>
      <c r="W882" s="23" t="b">
        <f>if(AND(H882=TRUE,N882=TRUE,P882=TRUE),TRUE,FALSE)</f>
        <v>0</v>
      </c>
      <c r="X882" s="23" t="str">
        <f>IFERROR(__xludf.DUMMYFUNCTION("if(COUNTA(FILTER(C:C, C:C = C882))=1,""no"",""yes"")"),"no")</f>
        <v>no</v>
      </c>
    </row>
    <row r="883">
      <c r="A883" s="1" t="s">
        <v>862</v>
      </c>
      <c r="B883" s="19">
        <v>12.0</v>
      </c>
      <c r="C883" s="19" t="s">
        <v>1639</v>
      </c>
      <c r="D883" s="58" t="str">
        <f t="shared" si="686"/>
        <v/>
      </c>
      <c r="E883" s="59">
        <f t="shared" ref="E883:E884" si="687">Q883</f>
        <v>43787</v>
      </c>
      <c r="F883" s="60" t="str">
        <f>IFERROR(__xludf.DUMMYFUNCTION("iferror(ifna(IFNA(filter('2.1.clean'!E:E,'2.1.clean'!A:A=C883),filter('2.2.clean'!G:G,'2.2.clean'!D:D=C883)),filter('2.4.clean'!E:E,'2.4.clean'!A:A=C883)),)"),"")</f>
        <v/>
      </c>
      <c r="G883" s="59" t="str">
        <f>IFERROR(__xludf.DUMMYFUNCTION("iferror(filter('3.1.clean'!C:C,'3.1.clean'!A:A=C883),"""")"),"")</f>
        <v/>
      </c>
      <c r="H883" s="58"/>
      <c r="I883" s="58" t="str">
        <f>IFERROR(__xludf.DUMMYFUNCTION("iferror(filter('3.1.clean'!G:G,'3.1.clean'!A:A=C883),"""")"),"")</f>
        <v/>
      </c>
      <c r="J883" s="60" t="str">
        <f>IFERROR(__xludf.DUMMYFUNCTION("iferror(filter('3.1.clean'!I:I,'3.1.clean'!A:A=C883),"""")"),"")</f>
        <v/>
      </c>
      <c r="K883" s="59"/>
      <c r="L883" s="60"/>
      <c r="M883" s="59" t="str">
        <f>IFERROR(__xludf.DUMMYFUNCTION("iferror(filter('3.3.clean'!C:C,'3.3.clean'!A:A=C883),"""")"),"")</f>
        <v/>
      </c>
      <c r="N883" s="60" t="b">
        <f t="shared" si="674"/>
        <v>0</v>
      </c>
      <c r="O883" s="59" t="str">
        <f>IFERROR(__xludf.DUMMYFUNCTION("iferror(filter('3.4.clean'!C:C,'3.4.clean'!A:A=C883),"""")"),"")</f>
        <v/>
      </c>
      <c r="P883" s="60" t="b">
        <f t="shared" si="675"/>
        <v>0</v>
      </c>
      <c r="Q883" s="59">
        <f>IFERROR(__xludf.DUMMYFUNCTION("iferror(filter('3.5.clean'!C:C,'3.5.clean'!A:A=C883),"""")"),43787.0)</f>
        <v>43787</v>
      </c>
      <c r="R883" s="60" t="b">
        <f t="shared" ref="R883:R884" si="688">if(Q883="",FALSE,TRUE)</f>
        <v>1</v>
      </c>
      <c r="S883" s="4">
        <f>IFERROR(__xludf.DUMMYFUNCTION("iferror(filter('3.5.clean'!H:H,'3.5.clean'!A:A=C883),"""")"),0.0)</f>
        <v>0</v>
      </c>
      <c r="V883" s="52" t="s">
        <v>64</v>
      </c>
      <c r="W883" s="23" t="b">
        <f>if(AND(R883=TRUE,N883=TRUE,P883=TRUE),TRUE,FALSE)</f>
        <v>0</v>
      </c>
      <c r="X883" s="23" t="str">
        <f>IFERROR(__xludf.DUMMYFUNCTION("if(COUNTA(FILTER(C:C, C:C = C883))=1,""no"",""yes"")"),"no")</f>
        <v>no</v>
      </c>
    </row>
    <row r="884">
      <c r="A884" s="1" t="s">
        <v>862</v>
      </c>
      <c r="B884" s="19">
        <v>13.0</v>
      </c>
      <c r="C884" s="19" t="s">
        <v>284</v>
      </c>
      <c r="D884" s="22" t="str">
        <f t="shared" si="686"/>
        <v/>
      </c>
      <c r="E884" s="20">
        <f t="shared" si="687"/>
        <v>43787</v>
      </c>
      <c r="F884" s="79" t="str">
        <f>IFERROR(__xludf.DUMMYFUNCTION("iferror(ifna(IFNA(filter('2.1.clean'!E:E,'2.1.clean'!A:A=C884),filter('2.2.clean'!G:G,'2.2.clean'!D:D=C884)),filter('2.4.clean'!E:E,'2.4.clean'!A:A=C884)),)"),"")</f>
        <v/>
      </c>
      <c r="G884" s="20" t="str">
        <f>IFERROR(__xludf.DUMMYFUNCTION("iferror(filter('3.1.clean'!C:C,'3.1.clean'!A:A=C884),"""")"),"")</f>
        <v/>
      </c>
      <c r="H884" s="22"/>
      <c r="I884" s="22"/>
      <c r="J884" s="79"/>
      <c r="K884" s="20" t="str">
        <f>IFERROR(__xludf.DUMMYFUNCTION("iferror(filter('3.2.clean'!C:C,'3.2.clean'!A:A=C884),"""")"),"")</f>
        <v/>
      </c>
      <c r="L884" s="79"/>
      <c r="M884" s="20" t="str">
        <f>IFERROR(__xludf.DUMMYFUNCTION("iferror(filter('3.3.clean'!C:C,'3.3.clean'!A:A=C884),"""")"),"")</f>
        <v/>
      </c>
      <c r="N884" s="79" t="b">
        <f t="shared" si="674"/>
        <v>0</v>
      </c>
      <c r="O884" s="20" t="str">
        <f>IFERROR(__xludf.DUMMYFUNCTION("iferror(filter('3.4.clean'!C:C,'3.4.clean'!A:A=C884),"""")"),"")</f>
        <v/>
      </c>
      <c r="P884" s="79" t="b">
        <f t="shared" si="675"/>
        <v>0</v>
      </c>
      <c r="Q884" s="20">
        <f>IFERROR(__xludf.DUMMYFUNCTION("iferror(filter('3.5.clean'!C:C,'3.5.clean'!A:A=C884),"""")"),43787.0)</f>
        <v>43787</v>
      </c>
      <c r="R884" s="22" t="b">
        <f t="shared" si="688"/>
        <v>1</v>
      </c>
      <c r="S884" s="4">
        <f>IFERROR(__xludf.DUMMYFUNCTION("iferror(filter('3.5.clean'!H:H,'3.5.clean'!A:A=C884),"""")"),0.0)</f>
        <v>0</v>
      </c>
      <c r="V884" s="1" t="s">
        <v>64</v>
      </c>
      <c r="W884" s="23" t="b">
        <f>IF(and(R884=TRUE,N884=TRUE,P884=TRUE),TRUE,FALSE)</f>
        <v>0</v>
      </c>
      <c r="X884" s="23" t="str">
        <f>IFERROR(__xludf.DUMMYFUNCTION("if(COUNTA(FILTER(C:C, C:C = C884))=1,""no"",""yes"")"),"no")</f>
        <v>no</v>
      </c>
    </row>
    <row r="885">
      <c r="A885" s="1" t="s">
        <v>862</v>
      </c>
      <c r="B885" s="19">
        <v>14.0</v>
      </c>
      <c r="C885" s="19" t="s">
        <v>1640</v>
      </c>
      <c r="D885" s="76" t="str">
        <f t="shared" si="686"/>
        <v/>
      </c>
      <c r="E885" s="77">
        <f>G885</f>
        <v>43787</v>
      </c>
      <c r="F885" s="78" t="str">
        <f>IFERROR(__xludf.DUMMYFUNCTION("iferror(ifna(IFNA(filter('2.1.clean'!E:E,'2.1.clean'!A:A=C885),filter('2.2.clean'!G:G,'2.2.clean'!D:D=C885)),filter('2.4.clean'!E:E,'2.4.clean'!A:A=C885)),)"),"")</f>
        <v/>
      </c>
      <c r="G885" s="77">
        <f>IFERROR(__xludf.DUMMYFUNCTION("iferror(filter('3.1.clean'!C:C,'3.1.clean'!A:A=C885),"""")"),43787.0)</f>
        <v>43787</v>
      </c>
      <c r="H885" s="76" t="b">
        <f>if(G885="",FALSE,TRUE)</f>
        <v>1</v>
      </c>
      <c r="I885" s="76">
        <f>IFERROR(__xludf.DUMMYFUNCTION("iferror(filter('3.1.clean'!G:G,'3.1.clean'!A:A=C885),"""")"),0.0)</f>
        <v>0</v>
      </c>
      <c r="J885" s="78" t="str">
        <f>IFERROR(__xludf.DUMMYFUNCTION("iferror(filter('3.1.clean'!I:I,'3.1.clean'!A:A=C885),"""")"),"")</f>
        <v/>
      </c>
      <c r="K885" s="77"/>
      <c r="L885" s="78"/>
      <c r="M885" s="77"/>
      <c r="N885" s="78"/>
      <c r="O885" s="77"/>
      <c r="P885" s="78"/>
      <c r="Q885" s="77"/>
      <c r="R885" s="78"/>
      <c r="S885" s="25"/>
      <c r="V885" s="1" t="s">
        <v>64</v>
      </c>
      <c r="W885" s="1" t="b">
        <v>1</v>
      </c>
      <c r="X885" s="23" t="str">
        <f>IFERROR(__xludf.DUMMYFUNCTION("if(COUNTA(FILTER(C:C, C:C = C885))=1,""no"",""yes"")"),"no")</f>
        <v>no</v>
      </c>
    </row>
    <row r="886">
      <c r="A886" s="75" t="s">
        <v>866</v>
      </c>
      <c r="B886" s="2">
        <v>1.0</v>
      </c>
      <c r="C886" s="19" t="s">
        <v>1641</v>
      </c>
      <c r="E886" s="24">
        <f>IFERROR(__xludf.DUMMYFUNCTION("ifna(IFNA(filter('2.1.clean'!C:C,'2.1.clean'!A:A=C886),filter('2.2.clean'!E:E,'2.2.clean'!D:D=C886)),filter('2.4.clean'!C:C,'2.4.clean'!A:A=C886))"),43788.0)</f>
        <v>43788</v>
      </c>
      <c r="F886" s="25">
        <f>IFERROR(__xludf.DUMMYFUNCTION("iferror(ifna(IFNA(filter('2.1.clean'!E:E,'2.1.clean'!A:A=C886),filter('2.2.clean'!G:G,'2.2.clean'!D:D=C886)),filter('2.4.clean'!E:E,'2.4.clean'!A:A=C886)),)"),2.4)</f>
        <v>2.4</v>
      </c>
      <c r="G886" s="24"/>
      <c r="J886" s="25"/>
      <c r="K886" s="24"/>
      <c r="L886" s="25"/>
      <c r="M886" s="24">
        <f>IFERROR(__xludf.DUMMYFUNCTION("iferror(filter('3.3.clean'!C:C,'3.3.clean'!A:A=C886),"""")"),43789.0)</f>
        <v>43789</v>
      </c>
      <c r="N886" s="25" t="b">
        <f t="shared" ref="N886:N901" si="689">if(M886="",FALSE,TRUE)</f>
        <v>1</v>
      </c>
      <c r="O886" s="24">
        <f>IFERROR(__xludf.DUMMYFUNCTION("iferror(filter('3.4.clean'!C:C,'3.4.clean'!A:A=C886),"""")"),43791.0)</f>
        <v>43791</v>
      </c>
      <c r="P886" s="25" t="b">
        <f t="shared" ref="P886:P901" si="690">if(O886="",FALSE,TRUE)</f>
        <v>1</v>
      </c>
      <c r="Q886" s="24">
        <f>IFERROR(__xludf.DUMMYFUNCTION("iferror(filter('3.5.clean'!C:C,'3.5.clean'!A:A=C886),"""")"),43788.0)</f>
        <v>43788</v>
      </c>
      <c r="R886" s="23" t="b">
        <f>if(Q886="",FALSE,TRUE)</f>
        <v>1</v>
      </c>
      <c r="S886" s="25"/>
      <c r="V886" s="52" t="s">
        <v>64</v>
      </c>
      <c r="W886" s="23" t="b">
        <f>IF(and(R886=TRUE,N886=TRUE,P886=TRUE),TRUE,FALSE)</f>
        <v>1</v>
      </c>
      <c r="X886" s="23" t="str">
        <f>IFERROR(__xludf.DUMMYFUNCTION("if(COUNTA(FILTER(C:C, C:C = C886))=1,""no"",""yes"")"),"no")</f>
        <v>no</v>
      </c>
    </row>
    <row r="887">
      <c r="A887" s="75" t="s">
        <v>866</v>
      </c>
      <c r="B887" s="19">
        <v>2.0</v>
      </c>
      <c r="C887" s="19" t="s">
        <v>294</v>
      </c>
      <c r="D887" s="58" t="str">
        <f t="shared" ref="D887:D888" si="691">if(or(I887=1,J887=1,S887=1),"pos","")</f>
        <v/>
      </c>
      <c r="E887" s="59">
        <f>IFERROR(__xludf.DUMMYFUNCTION("ifna(IFNA(filter('2.1.clean'!C:C,'2.1.clean'!A:A=C887),filter('2.2.clean'!E:E,'2.2.clean'!D:D=C887)),filter('2.4.clean'!C:C,'2.4.clean'!A:A=C887))"),43788.0)</f>
        <v>43788</v>
      </c>
      <c r="F887" s="60">
        <f>IFERROR(__xludf.DUMMYFUNCTION("iferror(ifna(IFNA(filter('2.1.clean'!E:E,'2.1.clean'!A:A=C887),filter('2.2.clean'!G:G,'2.2.clean'!D:D=C887)),filter('2.4.clean'!E:E,'2.4.clean'!A:A=C887)),)"),2.4)</f>
        <v>2.4</v>
      </c>
      <c r="G887" s="59">
        <f>IFERROR(__xludf.DUMMYFUNCTION("iferror(filter('3.1.clean'!C:C,'3.1.clean'!A:A=C887),"""")"),43788.0)</f>
        <v>43788</v>
      </c>
      <c r="H887" s="58" t="b">
        <f>if(G887="",FALSE,TRUE)</f>
        <v>1</v>
      </c>
      <c r="I887" s="58">
        <f>IFERROR(__xludf.DUMMYFUNCTION("iferror(filter('3.1.clean'!G:G,'3.1.clean'!A:A=C887),"""")"),0.0)</f>
        <v>0</v>
      </c>
      <c r="J887" s="60" t="str">
        <f>IFERROR(__xludf.DUMMYFUNCTION("iferror(filter('3.1.clean'!I:I,'3.1.clean'!A:A=C887),"""")"),"")</f>
        <v/>
      </c>
      <c r="K887" s="58"/>
      <c r="L887" s="60"/>
      <c r="M887" s="59">
        <f>IFERROR(__xludf.DUMMYFUNCTION("iferror(filter('3.3.clean'!C:C,'3.3.clean'!A:A=C887),"""")"),43789.0)</f>
        <v>43789</v>
      </c>
      <c r="N887" s="60" t="b">
        <f t="shared" si="689"/>
        <v>1</v>
      </c>
      <c r="O887" s="59" t="str">
        <f>IFERROR(__xludf.DUMMYFUNCTION("iferror(filter('3.4.clean'!C:C,'3.4.clean'!A:A=C887),"""")"),"")</f>
        <v/>
      </c>
      <c r="P887" s="60" t="b">
        <f t="shared" si="690"/>
        <v>0</v>
      </c>
      <c r="Q887" s="59" t="str">
        <f>IFERROR(__xludf.DUMMYFUNCTION("iferror(filter('3.5.clean'!C:C,'3.5.clean'!A:A=C887),"""")"),"")</f>
        <v/>
      </c>
      <c r="R887" s="58"/>
      <c r="S887" s="4" t="str">
        <f>IFERROR(__xludf.DUMMYFUNCTION("iferror(filter('3.5.clean'!H:H,'3.5.clean'!A:A=C887),"""")"),"")</f>
        <v/>
      </c>
      <c r="W887" s="23" t="b">
        <f>if(AND(H887=TRUE,N887=TRUE,P887=TRUE),TRUE,FALSE)</f>
        <v>0</v>
      </c>
      <c r="X887" s="23" t="str">
        <f>IFERROR(__xludf.DUMMYFUNCTION("if(COUNTA(FILTER(C:C, C:C = C887))=1,""no"",""yes"")"),"no")</f>
        <v>no</v>
      </c>
    </row>
    <row r="888">
      <c r="A888" s="75" t="s">
        <v>866</v>
      </c>
      <c r="B888" s="19">
        <v>3.0</v>
      </c>
      <c r="C888" s="19" t="s">
        <v>293</v>
      </c>
      <c r="D888" s="61" t="str">
        <f t="shared" si="691"/>
        <v/>
      </c>
      <c r="E888" s="59">
        <f>Q888</f>
        <v>43788</v>
      </c>
      <c r="F888" s="60" t="str">
        <f>IFERROR(__xludf.DUMMYFUNCTION("iferror(ifna(IFNA(filter('2.1.clean'!E:E,'2.1.clean'!A:A=C888),filter('2.2.clean'!G:G,'2.2.clean'!D:D=C888)),filter('2.4.clean'!E:E,'2.4.clean'!A:A=C888)),)"),"")</f>
        <v/>
      </c>
      <c r="G888" s="59" t="str">
        <f>IFERROR(__xludf.DUMMYFUNCTION("iferror(filter('3.1.clean'!C:C,'3.1.clean'!A:A=C888),"""")"),"")</f>
        <v/>
      </c>
      <c r="H888" s="61"/>
      <c r="I888" s="61" t="str">
        <f>IFERROR(__xludf.DUMMYFUNCTION("iferror(filter('3.1.clean'!G:G,'3.1.clean'!A:A=C888),"""")"),"")</f>
        <v/>
      </c>
      <c r="J888" s="61" t="str">
        <f>IFERROR(__xludf.DUMMYFUNCTION("iferror(filter('3.1.clean'!I:I,'3.1.clean'!A:A=C888),"""")"),"")</f>
        <v/>
      </c>
      <c r="K888" s="66"/>
      <c r="L888" s="61"/>
      <c r="M888" s="66" t="str">
        <f>IFERROR(__xludf.DUMMYFUNCTION("iferror(filter('3.3.clean'!C:C,'3.3.clean'!A:A=C888),"""")"),"")</f>
        <v/>
      </c>
      <c r="N888" s="58" t="b">
        <f t="shared" si="689"/>
        <v>0</v>
      </c>
      <c r="O888" s="66" t="str">
        <f>IFERROR(__xludf.DUMMYFUNCTION("iferror(filter('3.4.clean'!C:C,'3.4.clean'!A:A=C888),"""")"),"")</f>
        <v/>
      </c>
      <c r="P888" s="58" t="b">
        <f t="shared" si="690"/>
        <v>0</v>
      </c>
      <c r="Q888" s="62">
        <f>IFERROR(__xludf.DUMMYFUNCTION("iferror(filter('3.5.clean'!C:C,'3.5.clean'!A:A=C888),"""")"),43788.0)</f>
        <v>43788</v>
      </c>
      <c r="R888" s="58" t="b">
        <f t="shared" ref="R888:R889" si="692">if(Q888="",FALSE,TRUE)</f>
        <v>1</v>
      </c>
      <c r="S888" s="99">
        <f>IFERROR(__xludf.DUMMYFUNCTION("iferror(filter('3.5.clean'!H:H,'3.5.clean'!A:A=C888),"""")"),0.0)</f>
        <v>0</v>
      </c>
      <c r="T888" s="39"/>
      <c r="U888" s="39"/>
      <c r="V888" s="39" t="s">
        <v>64</v>
      </c>
      <c r="W888" s="23" t="b">
        <f>if(AND(R888=TRUE,N888=TRUE,P888=TRUE),TRUE,FALSE)</f>
        <v>0</v>
      </c>
      <c r="X888" s="39" t="str">
        <f>IFERROR(__xludf.DUMMYFUNCTION("if(COUNTA(FILTER(C:C, C:C = C888))=1,""no"",""yes"")"),"no")</f>
        <v>no</v>
      </c>
    </row>
    <row r="889">
      <c r="A889" s="75" t="s">
        <v>866</v>
      </c>
      <c r="B889" s="2">
        <v>4.0</v>
      </c>
      <c r="C889" s="19" t="s">
        <v>1642</v>
      </c>
      <c r="E889" s="24">
        <f>IFERROR(__xludf.DUMMYFUNCTION("ifna(IFNA(filter('2.1.clean'!C:C,'2.1.clean'!A:A=C889),filter('2.2.clean'!E:E,'2.2.clean'!D:D=C889)),filter('2.4.clean'!C:C,'2.4.clean'!A:A=C889))"),43788.0)</f>
        <v>43788</v>
      </c>
      <c r="F889" s="25">
        <f>IFERROR(__xludf.DUMMYFUNCTION("iferror(ifna(IFNA(filter('2.1.clean'!E:E,'2.1.clean'!A:A=C889),filter('2.2.clean'!G:G,'2.2.clean'!D:D=C889)),filter('2.4.clean'!E:E,'2.4.clean'!A:A=C889)),)"),2.4)</f>
        <v>2.4</v>
      </c>
      <c r="G889" s="24"/>
      <c r="J889" s="25"/>
      <c r="K889" s="24"/>
      <c r="L889" s="25"/>
      <c r="M889" s="24">
        <f>IFERROR(__xludf.DUMMYFUNCTION("iferror(filter('3.3.clean'!C:C,'3.3.clean'!A:A=C889),"""")"),43789.0)</f>
        <v>43789</v>
      </c>
      <c r="N889" s="25" t="b">
        <f t="shared" si="689"/>
        <v>1</v>
      </c>
      <c r="O889" s="24">
        <f>IFERROR(__xludf.DUMMYFUNCTION("iferror(filter('3.4.clean'!C:C,'3.4.clean'!A:A=C889),"""")"),43791.0)</f>
        <v>43791</v>
      </c>
      <c r="P889" s="25" t="b">
        <f t="shared" si="690"/>
        <v>1</v>
      </c>
      <c r="Q889" s="24">
        <f>IFERROR(__xludf.DUMMYFUNCTION("iferror(filter('3.5.clean'!C:C,'3.5.clean'!A:A=C889),"""")"),43788.0)</f>
        <v>43788</v>
      </c>
      <c r="R889" s="23" t="b">
        <f t="shared" si="692"/>
        <v>1</v>
      </c>
      <c r="S889" s="25"/>
      <c r="V889" s="52" t="s">
        <v>64</v>
      </c>
      <c r="W889" s="23" t="b">
        <f>IF(and(R889=TRUE,N889=TRUE,P889=TRUE),TRUE,FALSE)</f>
        <v>1</v>
      </c>
      <c r="X889" s="23" t="str">
        <f>IFERROR(__xludf.DUMMYFUNCTION("if(COUNTA(FILTER(C:C, C:C = C889))=1,""no"",""yes"")"),"no")</f>
        <v>no</v>
      </c>
    </row>
    <row r="890">
      <c r="A890" s="75" t="s">
        <v>866</v>
      </c>
      <c r="B890" s="19">
        <v>5.0</v>
      </c>
      <c r="C890" s="19" t="s">
        <v>296</v>
      </c>
      <c r="D890" s="58" t="str">
        <f t="shared" ref="D890:D891" si="693">if(or(I890=1,J890=1,S890=1),"pos","")</f>
        <v/>
      </c>
      <c r="E890" s="59">
        <f>IFERROR(__xludf.DUMMYFUNCTION("ifna(IFNA(filter('2.1.clean'!C:C,'2.1.clean'!A:A=C890),filter('2.2.clean'!E:E,'2.2.clean'!D:D=C890)),filter('2.4.clean'!C:C,'2.4.clean'!A:A=C890))"),43788.0)</f>
        <v>43788</v>
      </c>
      <c r="F890" s="60">
        <f>IFERROR(__xludf.DUMMYFUNCTION("iferror(ifna(IFNA(filter('2.1.clean'!E:E,'2.1.clean'!A:A=C890),filter('2.2.clean'!G:G,'2.2.clean'!D:D=C890)),filter('2.4.clean'!E:E,'2.4.clean'!A:A=C890)),)"),2.4)</f>
        <v>2.4</v>
      </c>
      <c r="G890" s="59">
        <f>IFERROR(__xludf.DUMMYFUNCTION("iferror(filter('3.1.clean'!C:C,'3.1.clean'!A:A=C890),"""")"),43788.0)</f>
        <v>43788</v>
      </c>
      <c r="H890" s="58" t="b">
        <f>if(G890="",FALSE,TRUE)</f>
        <v>1</v>
      </c>
      <c r="I890" s="58">
        <f>IFERROR(__xludf.DUMMYFUNCTION("iferror(filter('3.1.clean'!G:G,'3.1.clean'!A:A=C890),"""")"),0.0)</f>
        <v>0</v>
      </c>
      <c r="J890" s="60" t="str">
        <f>IFERROR(__xludf.DUMMYFUNCTION("iferror(filter('3.1.clean'!I:I,'3.1.clean'!A:A=C890),"""")"),"")</f>
        <v/>
      </c>
      <c r="K890" s="58"/>
      <c r="L890" s="60"/>
      <c r="M890" s="59" t="str">
        <f>IFERROR(__xludf.DUMMYFUNCTION("iferror(filter('3.3.clean'!C:C,'3.3.clean'!A:A=C890),"""")"),"")</f>
        <v/>
      </c>
      <c r="N890" s="60" t="b">
        <f t="shared" si="689"/>
        <v>0</v>
      </c>
      <c r="O890" s="59" t="str">
        <f>IFERROR(__xludf.DUMMYFUNCTION("iferror(filter('3.4.clean'!C:C,'3.4.clean'!A:A=C890),"""")"),"")</f>
        <v/>
      </c>
      <c r="P890" s="60" t="b">
        <f t="shared" si="690"/>
        <v>0</v>
      </c>
      <c r="Q890" s="59" t="str">
        <f>IFERROR(__xludf.DUMMYFUNCTION("iferror(filter('3.5.clean'!C:C,'3.5.clean'!A:A=C890),"""")"),"")</f>
        <v/>
      </c>
      <c r="R890" s="58"/>
      <c r="S890" s="4" t="str">
        <f>IFERROR(__xludf.DUMMYFUNCTION("iferror(filter('3.5.clean'!H:H,'3.5.clean'!A:A=C890),"""")"),"")</f>
        <v/>
      </c>
      <c r="W890" s="23" t="b">
        <f>if(AND(H890=TRUE,N890=TRUE,P890=TRUE),TRUE,FALSE)</f>
        <v>0</v>
      </c>
      <c r="X890" s="23" t="str">
        <f>IFERROR(__xludf.DUMMYFUNCTION("if(COUNTA(FILTER(C:C, C:C = C890))=1,""no"",""yes"")"),"no")</f>
        <v>no</v>
      </c>
    </row>
    <row r="891">
      <c r="A891" s="75" t="s">
        <v>866</v>
      </c>
      <c r="B891" s="19">
        <v>6.0</v>
      </c>
      <c r="C891" s="19" t="s">
        <v>295</v>
      </c>
      <c r="D891" s="61" t="str">
        <f t="shared" si="693"/>
        <v/>
      </c>
      <c r="E891" s="59">
        <f>Q891</f>
        <v>43788</v>
      </c>
      <c r="F891" s="60" t="str">
        <f>IFERROR(__xludf.DUMMYFUNCTION("iferror(ifna(IFNA(filter('2.1.clean'!E:E,'2.1.clean'!A:A=C891),filter('2.2.clean'!G:G,'2.2.clean'!D:D=C891)),filter('2.4.clean'!E:E,'2.4.clean'!A:A=C891)),)"),"")</f>
        <v/>
      </c>
      <c r="G891" s="59" t="str">
        <f>IFERROR(__xludf.DUMMYFUNCTION("iferror(filter('3.1.clean'!C:C,'3.1.clean'!A:A=C891),"""")"),"")</f>
        <v/>
      </c>
      <c r="H891" s="61"/>
      <c r="I891" s="61" t="str">
        <f>IFERROR(__xludf.DUMMYFUNCTION("iferror(filter('3.1.clean'!G:G,'3.1.clean'!A:A=C891),"""")"),"")</f>
        <v/>
      </c>
      <c r="J891" s="65" t="str">
        <f>IFERROR(__xludf.DUMMYFUNCTION("iferror(filter('3.1.clean'!I:I,'3.1.clean'!A:A=C891),"""")"),"")</f>
        <v/>
      </c>
      <c r="K891" s="66"/>
      <c r="L891" s="65"/>
      <c r="M891" s="66" t="str">
        <f>IFERROR(__xludf.DUMMYFUNCTION("iferror(filter('3.3.clean'!C:C,'3.3.clean'!A:A=C891),"""")"),"")</f>
        <v/>
      </c>
      <c r="N891" s="60" t="b">
        <f t="shared" si="689"/>
        <v>0</v>
      </c>
      <c r="O891" s="66" t="str">
        <f>IFERROR(__xludf.DUMMYFUNCTION("iferror(filter('3.4.clean'!C:C,'3.4.clean'!A:A=C891),"""")"),"")</f>
        <v/>
      </c>
      <c r="P891" s="60" t="b">
        <f t="shared" si="690"/>
        <v>0</v>
      </c>
      <c r="Q891" s="62">
        <f>IFERROR(__xludf.DUMMYFUNCTION("iferror(filter('3.5.clean'!C:C,'3.5.clean'!A:A=C891),"""")"),43788.0)</f>
        <v>43788</v>
      </c>
      <c r="R891" s="58" t="b">
        <f t="shared" ref="R891:R892" si="694">if(Q891="",FALSE,TRUE)</f>
        <v>1</v>
      </c>
      <c r="S891" s="44">
        <f>IFERROR(__xludf.DUMMYFUNCTION("iferror(filter('3.5.clean'!H:H,'3.5.clean'!A:A=C891),"""")"),0.0)</f>
        <v>0</v>
      </c>
      <c r="T891" s="39"/>
      <c r="U891" s="39"/>
      <c r="V891" s="39" t="s">
        <v>64</v>
      </c>
      <c r="W891" s="23" t="b">
        <f>if(AND(R891=TRUE,N891=TRUE,P891=TRUE),TRUE,FALSE)</f>
        <v>0</v>
      </c>
      <c r="X891" s="39" t="str">
        <f>IFERROR(__xludf.DUMMYFUNCTION("if(COUNTA(FILTER(C:C, C:C = C891))=1,""no"",""yes"")"),"no")</f>
        <v>no</v>
      </c>
    </row>
    <row r="892">
      <c r="A892" s="75" t="s">
        <v>866</v>
      </c>
      <c r="B892" s="2">
        <v>7.0</v>
      </c>
      <c r="C892" s="19" t="s">
        <v>1643</v>
      </c>
      <c r="E892" s="24">
        <f>IFERROR(__xludf.DUMMYFUNCTION("ifna(IFNA(filter('2.1.clean'!C:C,'2.1.clean'!A:A=C892),filter('2.2.clean'!E:E,'2.2.clean'!D:D=C892)),filter('2.4.clean'!C:C,'2.4.clean'!A:A=C892))"),43788.0)</f>
        <v>43788</v>
      </c>
      <c r="F892" s="25">
        <f>IFERROR(__xludf.DUMMYFUNCTION("iferror(ifna(IFNA(filter('2.1.clean'!E:E,'2.1.clean'!A:A=C892),filter('2.2.clean'!G:G,'2.2.clean'!D:D=C892)),filter('2.4.clean'!E:E,'2.4.clean'!A:A=C892)),)"),2.4)</f>
        <v>2.4</v>
      </c>
      <c r="G892" s="24">
        <f>IFERROR(__xludf.DUMMYFUNCTION("iferror(filter('3.1.clean'!C:C,'3.1.clean'!A:A=C892),"""")"),43788.0)</f>
        <v>43788</v>
      </c>
      <c r="H892" s="23" t="b">
        <f t="shared" ref="H892:H893" si="695">if(G892="",FALSE,TRUE)</f>
        <v>1</v>
      </c>
      <c r="J892" s="25"/>
      <c r="K892" s="24">
        <f>IFERROR(__xludf.DUMMYFUNCTION("iferror(filter('3.2.clean'!C:C,'3.2.clean'!A:A=C892),"""")"),43788.0)</f>
        <v>43788</v>
      </c>
      <c r="L892" s="25" t="b">
        <f>if(K892="",FALSE,TRUE)</f>
        <v>1</v>
      </c>
      <c r="M892" s="24">
        <f>IFERROR(__xludf.DUMMYFUNCTION("iferror(filter('3.3.clean'!C:C,'3.3.clean'!A:A=C892),"""")"),43789.0)</f>
        <v>43789</v>
      </c>
      <c r="N892" s="25" t="b">
        <f t="shared" si="689"/>
        <v>1</v>
      </c>
      <c r="O892" s="24">
        <f>IFERROR(__xludf.DUMMYFUNCTION("iferror(filter('3.4.clean'!C:C,'3.4.clean'!A:A=C892),"""")"),43791.0)</f>
        <v>43791</v>
      </c>
      <c r="P892" s="25" t="b">
        <f t="shared" si="690"/>
        <v>1</v>
      </c>
      <c r="Q892" s="24">
        <f>IFERROR(__xludf.DUMMYFUNCTION("iferror(filter('3.5.clean'!C:C,'3.5.clean'!A:A=C892),"""")"),43788.0)</f>
        <v>43788</v>
      </c>
      <c r="R892" s="23" t="b">
        <f t="shared" si="694"/>
        <v>1</v>
      </c>
      <c r="S892" s="25"/>
      <c r="V892" s="1" t="s">
        <v>64</v>
      </c>
      <c r="X892" s="23" t="str">
        <f>IFERROR(__xludf.DUMMYFUNCTION("if(COUNTA(FILTER(C:C, C:C = C892))=1,""no"",""yes"")"),"no")</f>
        <v>no</v>
      </c>
    </row>
    <row r="893">
      <c r="A893" s="75" t="s">
        <v>866</v>
      </c>
      <c r="B893" s="19">
        <v>8.0</v>
      </c>
      <c r="C893" s="19" t="s">
        <v>287</v>
      </c>
      <c r="D893" s="58" t="str">
        <f t="shared" ref="D893:D894" si="696">if(or(I893=1,J893=1,S893=1),"pos","")</f>
        <v/>
      </c>
      <c r="E893" s="59">
        <f>IFERROR(__xludf.DUMMYFUNCTION("ifna(IFNA(filter('2.1.clean'!C:C,'2.1.clean'!A:A=C893),filter('2.2.clean'!E:E,'2.2.clean'!D:D=C893)),filter('2.4.clean'!C:C,'2.4.clean'!A:A=C893))"),43788.0)</f>
        <v>43788</v>
      </c>
      <c r="F893" s="60">
        <f>IFERROR(__xludf.DUMMYFUNCTION("iferror(ifna(IFNA(filter('2.1.clean'!E:E,'2.1.clean'!A:A=C893),filter('2.2.clean'!G:G,'2.2.clean'!D:D=C893)),filter('2.4.clean'!E:E,'2.4.clean'!A:A=C893)),)"),2.4)</f>
        <v>2.4</v>
      </c>
      <c r="G893" s="59">
        <f>IFERROR(__xludf.DUMMYFUNCTION("iferror(filter('3.1.clean'!C:C,'3.1.clean'!A:A=C893),"""")"),43788.0)</f>
        <v>43788</v>
      </c>
      <c r="H893" s="58" t="b">
        <f t="shared" si="695"/>
        <v>1</v>
      </c>
      <c r="I893" s="58">
        <f>IFERROR(__xludf.DUMMYFUNCTION("iferror(filter('3.1.clean'!G:G,'3.1.clean'!A:A=C893),"""")"),0.0)</f>
        <v>0</v>
      </c>
      <c r="J893" s="60" t="str">
        <f>IFERROR(__xludf.DUMMYFUNCTION("iferror(filter('3.1.clean'!I:I,'3.1.clean'!A:A=C893),"""")"),"")</f>
        <v/>
      </c>
      <c r="K893" s="58"/>
      <c r="L893" s="60"/>
      <c r="M893" s="59" t="str">
        <f>IFERROR(__xludf.DUMMYFUNCTION("iferror(filter('3.3.clean'!C:C,'3.3.clean'!A:A=C893),"""")"),"")</f>
        <v/>
      </c>
      <c r="N893" s="60" t="b">
        <f t="shared" si="689"/>
        <v>0</v>
      </c>
      <c r="O893" s="59" t="str">
        <f>IFERROR(__xludf.DUMMYFUNCTION("iferror(filter('3.4.clean'!C:C,'3.4.clean'!A:A=C893),"""")"),"")</f>
        <v/>
      </c>
      <c r="P893" s="60" t="b">
        <f t="shared" si="690"/>
        <v>0</v>
      </c>
      <c r="Q893" s="59" t="str">
        <f>IFERROR(__xludf.DUMMYFUNCTION("iferror(filter('3.5.clean'!C:C,'3.5.clean'!A:A=C893),"""")"),"")</f>
        <v/>
      </c>
      <c r="R893" s="58"/>
      <c r="S893" s="4" t="str">
        <f>IFERROR(__xludf.DUMMYFUNCTION("iferror(filter('3.5.clean'!H:H,'3.5.clean'!A:A=C893),"""")"),"")</f>
        <v/>
      </c>
      <c r="W893" s="23" t="b">
        <f>if(AND(H893=TRUE,N893=TRUE,P893=TRUE),TRUE,FALSE)</f>
        <v>0</v>
      </c>
      <c r="X893" s="23" t="str">
        <f>IFERROR(__xludf.DUMMYFUNCTION("if(COUNTA(FILTER(C:C, C:C = C893))=1,""no"",""yes"")"),"no")</f>
        <v>no</v>
      </c>
    </row>
    <row r="894">
      <c r="A894" s="75" t="s">
        <v>866</v>
      </c>
      <c r="B894" s="19">
        <v>9.0</v>
      </c>
      <c r="C894" s="19" t="s">
        <v>286</v>
      </c>
      <c r="D894" s="61" t="str">
        <f t="shared" si="696"/>
        <v/>
      </c>
      <c r="E894" s="59">
        <f>Q894</f>
        <v>43788</v>
      </c>
      <c r="F894" s="60" t="str">
        <f>IFERROR(__xludf.DUMMYFUNCTION("iferror(ifna(IFNA(filter('2.1.clean'!E:E,'2.1.clean'!A:A=C894),filter('2.2.clean'!G:G,'2.2.clean'!D:D=C894)),filter('2.4.clean'!E:E,'2.4.clean'!A:A=C894)),)"),"")</f>
        <v/>
      </c>
      <c r="G894" s="59" t="str">
        <f>IFERROR(__xludf.DUMMYFUNCTION("iferror(filter('3.1.clean'!C:C,'3.1.clean'!A:A=C894),"""")"),"")</f>
        <v/>
      </c>
      <c r="H894" s="61"/>
      <c r="I894" s="61" t="str">
        <f>IFERROR(__xludf.DUMMYFUNCTION("iferror(filter('3.1.clean'!G:G,'3.1.clean'!A:A=C894),"""")"),"")</f>
        <v/>
      </c>
      <c r="J894" s="65" t="str">
        <f>IFERROR(__xludf.DUMMYFUNCTION("iferror(filter('3.1.clean'!I:I,'3.1.clean'!A:A=C894),"""")"),"")</f>
        <v/>
      </c>
      <c r="K894" s="66"/>
      <c r="L894" s="65"/>
      <c r="M894" s="66" t="str">
        <f>IFERROR(__xludf.DUMMYFUNCTION("iferror(filter('3.3.clean'!C:C,'3.3.clean'!A:A=C894),"""")"),"")</f>
        <v/>
      </c>
      <c r="N894" s="60" t="b">
        <f t="shared" si="689"/>
        <v>0</v>
      </c>
      <c r="O894" s="66" t="str">
        <f>IFERROR(__xludf.DUMMYFUNCTION("iferror(filter('3.4.clean'!C:C,'3.4.clean'!A:A=C894),"""")"),"")</f>
        <v/>
      </c>
      <c r="P894" s="60" t="b">
        <f t="shared" si="690"/>
        <v>0</v>
      </c>
      <c r="Q894" s="62">
        <f>IFERROR(__xludf.DUMMYFUNCTION("iferror(filter('3.5.clean'!C:C,'3.5.clean'!A:A=C894),"""")"),43788.0)</f>
        <v>43788</v>
      </c>
      <c r="R894" s="58" t="b">
        <f t="shared" ref="R894:R895" si="697">if(Q894="",FALSE,TRUE)</f>
        <v>1</v>
      </c>
      <c r="S894" s="44">
        <f>IFERROR(__xludf.DUMMYFUNCTION("iferror(filter('3.5.clean'!H:H,'3.5.clean'!A:A=C894),"""")"),0.0)</f>
        <v>0</v>
      </c>
      <c r="T894" s="39"/>
      <c r="U894" s="39"/>
      <c r="V894" s="39" t="s">
        <v>64</v>
      </c>
      <c r="W894" s="23" t="b">
        <f>if(AND(R894=TRUE,N894=TRUE,P894=TRUE),TRUE,FALSE)</f>
        <v>0</v>
      </c>
      <c r="X894" s="39" t="str">
        <f>IFERROR(__xludf.DUMMYFUNCTION("if(COUNTA(FILTER(C:C, C:C = C894))=1,""no"",""yes"")"),"no")</f>
        <v>no</v>
      </c>
    </row>
    <row r="895">
      <c r="A895" s="75" t="s">
        <v>866</v>
      </c>
      <c r="B895" s="2">
        <v>10.0</v>
      </c>
      <c r="C895" s="19" t="s">
        <v>1644</v>
      </c>
      <c r="E895" s="24">
        <f>IFERROR(__xludf.DUMMYFUNCTION("ifna(IFNA(filter('2.1.clean'!C:C,'2.1.clean'!A:A=C895),filter('2.2.clean'!E:E,'2.2.clean'!D:D=C895)),filter('2.4.clean'!C:C,'2.4.clean'!A:A=C895))"),43788.0)</f>
        <v>43788</v>
      </c>
      <c r="F895" s="25">
        <f>IFERROR(__xludf.DUMMYFUNCTION("iferror(ifna(IFNA(filter('2.1.clean'!E:E,'2.1.clean'!A:A=C895),filter('2.2.clean'!G:G,'2.2.clean'!D:D=C895)),filter('2.4.clean'!E:E,'2.4.clean'!A:A=C895)),)"),2.4)</f>
        <v>2.4</v>
      </c>
      <c r="G895" s="24">
        <f>IFERROR(__xludf.DUMMYFUNCTION("iferror(filter('3.1.clean'!C:C,'3.1.clean'!A:A=C895),"""")"),43788.0)</f>
        <v>43788</v>
      </c>
      <c r="H895" s="23" t="b">
        <f t="shared" ref="H895:H896" si="698">if(G895="",FALSE,TRUE)</f>
        <v>1</v>
      </c>
      <c r="J895" s="25"/>
      <c r="K895" s="24">
        <f>IFERROR(__xludf.DUMMYFUNCTION("iferror(filter('3.2.clean'!C:C,'3.2.clean'!A:A=C895),"""")"),43788.0)</f>
        <v>43788</v>
      </c>
      <c r="L895" s="25" t="b">
        <f>if(K895="",FALSE,TRUE)</f>
        <v>1</v>
      </c>
      <c r="M895" s="24">
        <f>IFERROR(__xludf.DUMMYFUNCTION("iferror(filter('3.3.clean'!C:C,'3.3.clean'!A:A=C895),"""")"),43789.0)</f>
        <v>43789</v>
      </c>
      <c r="N895" s="25" t="b">
        <f t="shared" si="689"/>
        <v>1</v>
      </c>
      <c r="O895" s="24">
        <f>IFERROR(__xludf.DUMMYFUNCTION("iferror(filter('3.4.clean'!C:C,'3.4.clean'!A:A=C895),"""")"),43791.0)</f>
        <v>43791</v>
      </c>
      <c r="P895" s="25" t="b">
        <f t="shared" si="690"/>
        <v>1</v>
      </c>
      <c r="Q895" s="24">
        <f>IFERROR(__xludf.DUMMYFUNCTION("iferror(filter('3.5.clean'!C:C,'3.5.clean'!A:A=C895),"""")"),43788.0)</f>
        <v>43788</v>
      </c>
      <c r="R895" s="23" t="b">
        <f t="shared" si="697"/>
        <v>1</v>
      </c>
      <c r="S895" s="25"/>
      <c r="V895" s="1" t="s">
        <v>64</v>
      </c>
      <c r="X895" s="23" t="str">
        <f>IFERROR(__xludf.DUMMYFUNCTION("if(COUNTA(FILTER(C:C, C:C = C895))=1,""no"",""yes"")"),"no")</f>
        <v>no</v>
      </c>
    </row>
    <row r="896">
      <c r="A896" s="75" t="s">
        <v>866</v>
      </c>
      <c r="B896" s="19">
        <v>11.0</v>
      </c>
      <c r="C896" s="19" t="s">
        <v>290</v>
      </c>
      <c r="D896" s="58" t="str">
        <f t="shared" ref="D896:D897" si="699">if(or(I896=1,J896=1,S896=1),"pos","")</f>
        <v/>
      </c>
      <c r="E896" s="59">
        <f>IFERROR(__xludf.DUMMYFUNCTION("ifna(IFNA(filter('2.1.clean'!C:C,'2.1.clean'!A:A=C896),filter('2.2.clean'!E:E,'2.2.clean'!D:D=C896)),filter('2.4.clean'!C:C,'2.4.clean'!A:A=C896))"),43788.0)</f>
        <v>43788</v>
      </c>
      <c r="F896" s="60">
        <f>IFERROR(__xludf.DUMMYFUNCTION("iferror(ifna(IFNA(filter('2.1.clean'!E:E,'2.1.clean'!A:A=C896),filter('2.2.clean'!G:G,'2.2.clean'!D:D=C896)),filter('2.4.clean'!E:E,'2.4.clean'!A:A=C896)),)"),2.4)</f>
        <v>2.4</v>
      </c>
      <c r="G896" s="59">
        <f>IFERROR(__xludf.DUMMYFUNCTION("iferror(filter('3.1.clean'!C:C,'3.1.clean'!A:A=C896),"""")"),43788.0)</f>
        <v>43788</v>
      </c>
      <c r="H896" s="58" t="b">
        <f t="shared" si="698"/>
        <v>1</v>
      </c>
      <c r="I896" s="58">
        <f>IFERROR(__xludf.DUMMYFUNCTION("iferror(filter('3.1.clean'!G:G,'3.1.clean'!A:A=C896),"""")"),0.0)</f>
        <v>0</v>
      </c>
      <c r="J896" s="60" t="str">
        <f>IFERROR(__xludf.DUMMYFUNCTION("iferror(filter('3.1.clean'!I:I,'3.1.clean'!A:A=C896),"""")"),"")</f>
        <v/>
      </c>
      <c r="K896" s="58"/>
      <c r="L896" s="60"/>
      <c r="M896" s="59" t="str">
        <f>IFERROR(__xludf.DUMMYFUNCTION("iferror(filter('3.3.clean'!C:C,'3.3.clean'!A:A=C896),"""")"),"")</f>
        <v/>
      </c>
      <c r="N896" s="60" t="b">
        <f t="shared" si="689"/>
        <v>0</v>
      </c>
      <c r="O896" s="59" t="str">
        <f>IFERROR(__xludf.DUMMYFUNCTION("iferror(filter('3.4.clean'!C:C,'3.4.clean'!A:A=C896),"""")"),"")</f>
        <v/>
      </c>
      <c r="P896" s="60" t="b">
        <f t="shared" si="690"/>
        <v>0</v>
      </c>
      <c r="Q896" s="59" t="str">
        <f>IFERROR(__xludf.DUMMYFUNCTION("iferror(filter('3.5.clean'!C:C,'3.5.clean'!A:A=C896),"""")"),"")</f>
        <v/>
      </c>
      <c r="R896" s="58"/>
      <c r="S896" s="4" t="str">
        <f>IFERROR(__xludf.DUMMYFUNCTION("iferror(filter('3.5.clean'!H:H,'3.5.clean'!A:A=C896),"""")"),"")</f>
        <v/>
      </c>
      <c r="W896" s="23" t="b">
        <f>if(AND(H896=TRUE,N896=TRUE,P896=TRUE),TRUE,FALSE)</f>
        <v>0</v>
      </c>
      <c r="X896" s="23" t="str">
        <f>IFERROR(__xludf.DUMMYFUNCTION("if(COUNTA(FILTER(C:C, C:C = C896))=1,""no"",""yes"")"),"no")</f>
        <v>no</v>
      </c>
    </row>
    <row r="897">
      <c r="A897" s="75" t="s">
        <v>866</v>
      </c>
      <c r="B897" s="19">
        <v>12.0</v>
      </c>
      <c r="C897" s="19" t="s">
        <v>289</v>
      </c>
      <c r="D897" s="61" t="str">
        <f t="shared" si="699"/>
        <v/>
      </c>
      <c r="E897" s="59">
        <f>Q897</f>
        <v>43788</v>
      </c>
      <c r="F897" s="60" t="str">
        <f>IFERROR(__xludf.DUMMYFUNCTION("iferror(ifna(IFNA(filter('2.1.clean'!E:E,'2.1.clean'!A:A=C897),filter('2.2.clean'!G:G,'2.2.clean'!D:D=C897)),filter('2.4.clean'!E:E,'2.4.clean'!A:A=C897)),)"),"")</f>
        <v/>
      </c>
      <c r="G897" s="59" t="str">
        <f>IFERROR(__xludf.DUMMYFUNCTION("iferror(filter('3.1.clean'!C:C,'3.1.clean'!A:A=C897),"""")"),"")</f>
        <v/>
      </c>
      <c r="H897" s="61"/>
      <c r="I897" s="61" t="str">
        <f>IFERROR(__xludf.DUMMYFUNCTION("iferror(filter('3.1.clean'!G:G,'3.1.clean'!A:A=C897),"""")"),"")</f>
        <v/>
      </c>
      <c r="J897" s="65" t="str">
        <f>IFERROR(__xludf.DUMMYFUNCTION("iferror(filter('3.1.clean'!I:I,'3.1.clean'!A:A=C897),"""")"),"")</f>
        <v/>
      </c>
      <c r="K897" s="66"/>
      <c r="L897" s="65"/>
      <c r="M897" s="66" t="str">
        <f>IFERROR(__xludf.DUMMYFUNCTION("iferror(filter('3.3.clean'!C:C,'3.3.clean'!A:A=C897),"""")"),"")</f>
        <v/>
      </c>
      <c r="N897" s="60" t="b">
        <f t="shared" si="689"/>
        <v>0</v>
      </c>
      <c r="O897" s="66" t="str">
        <f>IFERROR(__xludf.DUMMYFUNCTION("iferror(filter('3.4.clean'!C:C,'3.4.clean'!A:A=C897),"""")"),"")</f>
        <v/>
      </c>
      <c r="P897" s="60" t="b">
        <f t="shared" si="690"/>
        <v>0</v>
      </c>
      <c r="Q897" s="62">
        <f>IFERROR(__xludf.DUMMYFUNCTION("iferror(filter('3.5.clean'!C:C,'3.5.clean'!A:A=C897),"""")"),43788.0)</f>
        <v>43788</v>
      </c>
      <c r="R897" s="58" t="b">
        <f t="shared" ref="R897:R898" si="700">if(Q897="",FALSE,TRUE)</f>
        <v>1</v>
      </c>
      <c r="S897" s="44">
        <f>IFERROR(__xludf.DUMMYFUNCTION("iferror(filter('3.5.clean'!H:H,'3.5.clean'!A:A=C897),"""")"),0.0)</f>
        <v>0</v>
      </c>
      <c r="T897" s="39"/>
      <c r="U897" s="39"/>
      <c r="V897" s="39" t="s">
        <v>64</v>
      </c>
      <c r="W897" s="23" t="b">
        <f>if(AND(R897=TRUE,N897=TRUE,P897=TRUE),TRUE,FALSE)</f>
        <v>0</v>
      </c>
      <c r="X897" s="39" t="str">
        <f>IFERROR(__xludf.DUMMYFUNCTION("if(COUNTA(FILTER(C:C, C:C = C897))=1,""no"",""yes"")"),"no")</f>
        <v>no</v>
      </c>
    </row>
    <row r="898">
      <c r="A898" s="75" t="s">
        <v>866</v>
      </c>
      <c r="B898" s="2">
        <v>13.0</v>
      </c>
      <c r="C898" s="19" t="s">
        <v>1645</v>
      </c>
      <c r="E898" s="24">
        <f>IFERROR(__xludf.DUMMYFUNCTION("ifna(IFNA(filter('2.1.clean'!C:C,'2.1.clean'!A:A=C898),filter('2.2.clean'!E:E,'2.2.clean'!D:D=C898)),filter('2.4.clean'!C:C,'2.4.clean'!A:A=C898))"),43788.0)</f>
        <v>43788</v>
      </c>
      <c r="F898" s="25">
        <f>IFERROR(__xludf.DUMMYFUNCTION("iferror(ifna(IFNA(filter('2.1.clean'!E:E,'2.1.clean'!A:A=C898),filter('2.2.clean'!G:G,'2.2.clean'!D:D=C898)),filter('2.4.clean'!E:E,'2.4.clean'!A:A=C898)),)"),2.4)</f>
        <v>2.4</v>
      </c>
      <c r="G898" s="24">
        <f>IFERROR(__xludf.DUMMYFUNCTION("iferror(filter('3.1.clean'!C:C,'3.1.clean'!A:A=C898),"""")"),43788.0)</f>
        <v>43788</v>
      </c>
      <c r="H898" s="23" t="b">
        <f t="shared" ref="H898:H899" si="701">if(G898="",FALSE,TRUE)</f>
        <v>1</v>
      </c>
      <c r="K898" s="24">
        <f>IFERROR(__xludf.DUMMYFUNCTION("iferror(filter('3.2.clean'!C:C,'3.2.clean'!A:A=C898),"""")"),43788.0)</f>
        <v>43788</v>
      </c>
      <c r="L898" s="23" t="b">
        <f>if(K898="",FALSE,TRUE)</f>
        <v>1</v>
      </c>
      <c r="M898" s="24">
        <f>IFERROR(__xludf.DUMMYFUNCTION("iferror(filter('3.3.clean'!C:C,'3.3.clean'!A:A=C898),"""")"),43789.0)</f>
        <v>43789</v>
      </c>
      <c r="N898" s="23" t="b">
        <f t="shared" si="689"/>
        <v>1</v>
      </c>
      <c r="O898" s="24">
        <f>IFERROR(__xludf.DUMMYFUNCTION("iferror(filter('3.4.clean'!C:C,'3.4.clean'!A:A=C898),"""")"),43791.0)</f>
        <v>43791</v>
      </c>
      <c r="P898" s="23" t="b">
        <f t="shared" si="690"/>
        <v>1</v>
      </c>
      <c r="Q898" s="24">
        <f>IFERROR(__xludf.DUMMYFUNCTION("iferror(filter('3.5.clean'!C:C,'3.5.clean'!A:A=C898),"""")"),43788.0)</f>
        <v>43788</v>
      </c>
      <c r="R898" s="23" t="b">
        <f t="shared" si="700"/>
        <v>1</v>
      </c>
      <c r="V898" s="1" t="s">
        <v>64</v>
      </c>
      <c r="X898" s="23" t="str">
        <f>IFERROR(__xludf.DUMMYFUNCTION("if(COUNTA(FILTER(C:C, C:C = C898))=1,""no"",""yes"")"),"no")</f>
        <v>no</v>
      </c>
    </row>
    <row r="899">
      <c r="A899" s="75" t="s">
        <v>866</v>
      </c>
      <c r="B899" s="19">
        <v>14.0</v>
      </c>
      <c r="C899" s="19" t="s">
        <v>292</v>
      </c>
      <c r="D899" s="58" t="str">
        <f t="shared" ref="D899:D902" si="702">if(or(I899=1,J899=1,S899=1),"pos","")</f>
        <v/>
      </c>
      <c r="E899" s="59">
        <f>IFERROR(__xludf.DUMMYFUNCTION("ifna(IFNA(filter('2.1.clean'!C:C,'2.1.clean'!A:A=C899),filter('2.2.clean'!E:E,'2.2.clean'!D:D=C899)),filter('2.4.clean'!C:C,'2.4.clean'!A:A=C899))"),43788.0)</f>
        <v>43788</v>
      </c>
      <c r="F899" s="60">
        <f>IFERROR(__xludf.DUMMYFUNCTION("iferror(ifna(IFNA(filter('2.1.clean'!E:E,'2.1.clean'!A:A=C899),filter('2.2.clean'!G:G,'2.2.clean'!D:D=C899)),filter('2.4.clean'!E:E,'2.4.clean'!A:A=C899)),)"),2.4)</f>
        <v>2.4</v>
      </c>
      <c r="G899" s="59">
        <f>IFERROR(__xludf.DUMMYFUNCTION("iferror(filter('3.1.clean'!C:C,'3.1.clean'!A:A=C899),"""")"),43788.0)</f>
        <v>43788</v>
      </c>
      <c r="H899" s="58" t="b">
        <f t="shared" si="701"/>
        <v>1</v>
      </c>
      <c r="I899" s="58">
        <f>IFERROR(__xludf.DUMMYFUNCTION("iferror(filter('3.1.clean'!G:G,'3.1.clean'!A:A=C899),"""")"),0.0)</f>
        <v>0</v>
      </c>
      <c r="J899" s="60" t="str">
        <f>IFERROR(__xludf.DUMMYFUNCTION("iferror(filter('3.1.clean'!I:I,'3.1.clean'!A:A=C899),"""")"),"")</f>
        <v/>
      </c>
      <c r="K899" s="58"/>
      <c r="L899" s="60"/>
      <c r="M899" s="59" t="str">
        <f>IFERROR(__xludf.DUMMYFUNCTION("iferror(filter('3.3.clean'!C:C,'3.3.clean'!A:A=C899),"""")"),"")</f>
        <v/>
      </c>
      <c r="N899" s="60" t="b">
        <f t="shared" si="689"/>
        <v>0</v>
      </c>
      <c r="O899" s="59" t="str">
        <f>IFERROR(__xludf.DUMMYFUNCTION("iferror(filter('3.4.clean'!C:C,'3.4.clean'!A:A=C899),"""")"),"")</f>
        <v/>
      </c>
      <c r="P899" s="60" t="b">
        <f t="shared" si="690"/>
        <v>0</v>
      </c>
      <c r="Q899" s="59" t="str">
        <f>IFERROR(__xludf.DUMMYFUNCTION("iferror(filter('3.5.clean'!C:C,'3.5.clean'!A:A=C899),"""")"),"")</f>
        <v/>
      </c>
      <c r="R899" s="58"/>
      <c r="S899" s="4" t="str">
        <f>IFERROR(__xludf.DUMMYFUNCTION("iferror(filter('3.5.clean'!H:H,'3.5.clean'!A:A=C899),"""")"),"")</f>
        <v/>
      </c>
      <c r="W899" s="23" t="b">
        <f>if(AND(H899=TRUE,N899=TRUE,P899=TRUE),TRUE,FALSE)</f>
        <v>0</v>
      </c>
      <c r="X899" s="23" t="str">
        <f>IFERROR(__xludf.DUMMYFUNCTION("if(COUNTA(FILTER(C:C, C:C = C899))=1,""no"",""yes"")"),"no")</f>
        <v>no</v>
      </c>
    </row>
    <row r="900">
      <c r="A900" s="75" t="s">
        <v>866</v>
      </c>
      <c r="B900" s="19">
        <v>15.0</v>
      </c>
      <c r="C900" s="19" t="s">
        <v>291</v>
      </c>
      <c r="D900" s="61" t="str">
        <f t="shared" si="702"/>
        <v/>
      </c>
      <c r="E900" s="59">
        <f t="shared" ref="E900:E901" si="703">Q900</f>
        <v>43788</v>
      </c>
      <c r="F900" s="60" t="str">
        <f>IFERROR(__xludf.DUMMYFUNCTION("iferror(ifna(IFNA(filter('2.1.clean'!E:E,'2.1.clean'!A:A=C900),filter('2.2.clean'!G:G,'2.2.clean'!D:D=C900)),filter('2.4.clean'!E:E,'2.4.clean'!A:A=C900)),)"),"")</f>
        <v/>
      </c>
      <c r="G900" s="59" t="str">
        <f>IFERROR(__xludf.DUMMYFUNCTION("iferror(filter('3.1.clean'!C:C,'3.1.clean'!A:A=C900),"""")"),"")</f>
        <v/>
      </c>
      <c r="H900" s="61"/>
      <c r="I900" s="61" t="str">
        <f>IFERROR(__xludf.DUMMYFUNCTION("iferror(filter('3.1.clean'!G:G,'3.1.clean'!A:A=C900),"""")"),"")</f>
        <v/>
      </c>
      <c r="J900" s="65" t="str">
        <f>IFERROR(__xludf.DUMMYFUNCTION("iferror(filter('3.1.clean'!I:I,'3.1.clean'!A:A=C900),"""")"),"")</f>
        <v/>
      </c>
      <c r="K900" s="66"/>
      <c r="L900" s="65"/>
      <c r="M900" s="66" t="str">
        <f>IFERROR(__xludf.DUMMYFUNCTION("iferror(filter('3.3.clean'!C:C,'3.3.clean'!A:A=C900),"""")"),"")</f>
        <v/>
      </c>
      <c r="N900" s="60" t="b">
        <f t="shared" si="689"/>
        <v>0</v>
      </c>
      <c r="O900" s="66" t="str">
        <f>IFERROR(__xludf.DUMMYFUNCTION("iferror(filter('3.4.clean'!C:C,'3.4.clean'!A:A=C900),"""")"),"")</f>
        <v/>
      </c>
      <c r="P900" s="60" t="b">
        <f t="shared" si="690"/>
        <v>0</v>
      </c>
      <c r="Q900" s="62">
        <f>IFERROR(__xludf.DUMMYFUNCTION("iferror(filter('3.5.clean'!C:C,'3.5.clean'!A:A=C900),"""")"),43788.0)</f>
        <v>43788</v>
      </c>
      <c r="R900" s="58" t="b">
        <f t="shared" ref="R900:R901" si="704">if(Q900="",FALSE,TRUE)</f>
        <v>1</v>
      </c>
      <c r="S900" s="44">
        <f>IFERROR(__xludf.DUMMYFUNCTION("iferror(filter('3.5.clean'!H:H,'3.5.clean'!A:A=C900),"""")"),0.0)</f>
        <v>0</v>
      </c>
      <c r="T900" s="39"/>
      <c r="U900" s="39"/>
      <c r="V900" s="39" t="s">
        <v>64</v>
      </c>
      <c r="W900" s="23" t="b">
        <f>if(AND(R900=TRUE,N900=TRUE,P900=TRUE),TRUE,FALSE)</f>
        <v>0</v>
      </c>
      <c r="X900" s="39" t="str">
        <f>IFERROR(__xludf.DUMMYFUNCTION("if(COUNTA(FILTER(C:C, C:C = C900))=1,""no"",""yes"")"),"no")</f>
        <v>no</v>
      </c>
    </row>
    <row r="901">
      <c r="A901" s="75" t="s">
        <v>866</v>
      </c>
      <c r="B901" s="19">
        <v>16.0</v>
      </c>
      <c r="C901" s="19" t="s">
        <v>1646</v>
      </c>
      <c r="D901" s="22" t="str">
        <f t="shared" si="702"/>
        <v/>
      </c>
      <c r="E901" s="20">
        <f t="shared" si="703"/>
        <v>43788</v>
      </c>
      <c r="F901" s="79" t="str">
        <f>IFERROR(__xludf.DUMMYFUNCTION("iferror(ifna(IFNA(filter('2.1.clean'!E:E,'2.1.clean'!A:A=C901),filter('2.2.clean'!G:G,'2.2.clean'!D:D=C901)),filter('2.4.clean'!E:E,'2.4.clean'!A:A=C901)),)"),"")</f>
        <v/>
      </c>
      <c r="G901" s="20" t="str">
        <f>IFERROR(__xludf.DUMMYFUNCTION("iferror(filter('3.1.clean'!C:C,'3.1.clean'!A:A=C901),"""")"),"")</f>
        <v/>
      </c>
      <c r="H901" s="22"/>
      <c r="I901" s="22"/>
      <c r="J901" s="79"/>
      <c r="K901" s="20" t="str">
        <f>IFERROR(__xludf.DUMMYFUNCTION("iferror(filter('3.2.clean'!C:C,'3.2.clean'!A:A=C901),"""")"),"")</f>
        <v/>
      </c>
      <c r="L901" s="79"/>
      <c r="M901" s="20" t="str">
        <f>IFERROR(__xludf.DUMMYFUNCTION("iferror(filter('3.3.clean'!C:C,'3.3.clean'!A:A=C901),"""")"),"")</f>
        <v/>
      </c>
      <c r="N901" s="79" t="b">
        <f t="shared" si="689"/>
        <v>0</v>
      </c>
      <c r="O901" s="20" t="str">
        <f>IFERROR(__xludf.DUMMYFUNCTION("iferror(filter('3.4.clean'!C:C,'3.4.clean'!A:A=C901),"""")"),"")</f>
        <v/>
      </c>
      <c r="P901" s="79" t="b">
        <f t="shared" si="690"/>
        <v>0</v>
      </c>
      <c r="Q901" s="20">
        <f>IFERROR(__xludf.DUMMYFUNCTION("iferror(filter('3.5.clean'!C:C,'3.5.clean'!A:A=C901),"""")"),43788.0)</f>
        <v>43788</v>
      </c>
      <c r="R901" s="22" t="b">
        <f t="shared" si="704"/>
        <v>1</v>
      </c>
      <c r="S901" s="4">
        <f>IFERROR(__xludf.DUMMYFUNCTION("iferror(filter('3.5.clean'!H:H,'3.5.clean'!A:A=C901),"""")"),0.0)</f>
        <v>0</v>
      </c>
      <c r="V901" s="1" t="s">
        <v>64</v>
      </c>
      <c r="W901" s="23" t="b">
        <f>IF(and(R901=TRUE,N901=TRUE,P901=TRUE),TRUE,FALSE)</f>
        <v>0</v>
      </c>
      <c r="X901" s="23" t="str">
        <f>IFERROR(__xludf.DUMMYFUNCTION("if(COUNTA(FILTER(C:C, C:C = C901))=1,""no"",""yes"")"),"no")</f>
        <v>no</v>
      </c>
    </row>
    <row r="902">
      <c r="A902" s="75" t="s">
        <v>866</v>
      </c>
      <c r="B902" s="19">
        <v>17.0</v>
      </c>
      <c r="C902" s="19" t="s">
        <v>1647</v>
      </c>
      <c r="D902" s="76" t="str">
        <f t="shared" si="702"/>
        <v/>
      </c>
      <c r="E902" s="77">
        <f>G902</f>
        <v>43788</v>
      </c>
      <c r="F902" s="78" t="str">
        <f>IFERROR(__xludf.DUMMYFUNCTION("iferror(ifna(IFNA(filter('2.1.clean'!E:E,'2.1.clean'!A:A=C902),filter('2.2.clean'!G:G,'2.2.clean'!D:D=C902)),filter('2.4.clean'!E:E,'2.4.clean'!A:A=C902)),)"),"")</f>
        <v/>
      </c>
      <c r="G902" s="77">
        <f>IFERROR(__xludf.DUMMYFUNCTION("iferror(filter('3.1.clean'!C:C,'3.1.clean'!A:A=C902),"""")"),43788.0)</f>
        <v>43788</v>
      </c>
      <c r="H902" s="76" t="b">
        <f>if(G902="",FALSE,TRUE)</f>
        <v>1</v>
      </c>
      <c r="I902" s="76">
        <f>IFERROR(__xludf.DUMMYFUNCTION("iferror(filter('3.1.clean'!G:G,'3.1.clean'!A:A=C902),"""")"),0.0)</f>
        <v>0</v>
      </c>
      <c r="J902" s="78" t="str">
        <f>IFERROR(__xludf.DUMMYFUNCTION("iferror(filter('3.1.clean'!I:I,'3.1.clean'!A:A=C902),"""")"),"")</f>
        <v/>
      </c>
      <c r="K902" s="77"/>
      <c r="L902" s="78"/>
      <c r="M902" s="77"/>
      <c r="N902" s="78"/>
      <c r="O902" s="77"/>
      <c r="P902" s="78"/>
      <c r="Q902" s="77"/>
      <c r="R902" s="76"/>
      <c r="S902" s="25"/>
      <c r="V902" s="1" t="s">
        <v>64</v>
      </c>
      <c r="W902" s="1" t="b">
        <v>1</v>
      </c>
      <c r="X902" s="23" t="str">
        <f>IFERROR(__xludf.DUMMYFUNCTION("if(COUNTA(FILTER(C:C, C:C = C902))=1,""no"",""yes"")"),"no")</f>
        <v>no</v>
      </c>
    </row>
    <row r="903">
      <c r="A903" s="75" t="s">
        <v>866</v>
      </c>
      <c r="B903" s="2">
        <v>18.0</v>
      </c>
      <c r="C903" s="19" t="s">
        <v>1648</v>
      </c>
      <c r="E903" s="24">
        <v>43788.0</v>
      </c>
      <c r="F903" s="25" t="str">
        <f>IFERROR(__xludf.DUMMYFUNCTION("iferror(ifna(IFNA(filter('2.1.clean'!E:E,'2.1.clean'!A:A=C903),filter('2.2.clean'!G:G,'2.2.clean'!D:D=C903)),filter('2.4.clean'!E:E,'2.4.clean'!A:A=C903)),)"),"")</f>
        <v/>
      </c>
      <c r="G903" s="24" t="str">
        <f>IFERROR(__xludf.DUMMYFUNCTION("iferror(filter('3.1.clean'!C:C,'3.1.clean'!A:A=C903),"""")"),"")</f>
        <v/>
      </c>
      <c r="J903" s="25"/>
      <c r="K903" s="24" t="str">
        <f>IFERROR(__xludf.DUMMYFUNCTION("iferror(filter('3.2.clean'!C:C,'3.2.clean'!A:A=C903),"""")"),"")</f>
        <v/>
      </c>
      <c r="L903" s="25"/>
      <c r="M903" s="24">
        <f>IFERROR(__xludf.DUMMYFUNCTION("iferror(filter('3.3.clean'!C:C,'3.3.clean'!A:A=C903),"""")"),43789.0)</f>
        <v>43789</v>
      </c>
      <c r="N903" s="25" t="b">
        <f t="shared" ref="N903:N910" si="705">if(M903="",FALSE,TRUE)</f>
        <v>1</v>
      </c>
      <c r="O903" s="24">
        <f>IFERROR(__xludf.DUMMYFUNCTION("iferror(filter('3.4.clean'!C:C,'3.4.clean'!A:A=C903),"""")"),43791.0)</f>
        <v>43791</v>
      </c>
      <c r="P903" s="25" t="b">
        <f t="shared" ref="P903:P910" si="706">if(O903="",FALSE,TRUE)</f>
        <v>1</v>
      </c>
      <c r="Q903" s="24" t="str">
        <f>IFERROR(__xludf.DUMMYFUNCTION("iferror(filter('3.5.clean'!C:C,'3.5.clean'!A:A=C903),"""")"),"")</f>
        <v/>
      </c>
      <c r="S903" s="25"/>
      <c r="V903" s="52" t="s">
        <v>64</v>
      </c>
      <c r="X903" s="23" t="str">
        <f>IFERROR(__xludf.DUMMYFUNCTION("if(COUNTA(FILTER(C:C, C:C = C903))=1,""no"",""yes"")"),"no")</f>
        <v>no</v>
      </c>
    </row>
    <row r="904">
      <c r="A904" s="1" t="s">
        <v>870</v>
      </c>
      <c r="B904" s="2">
        <v>1.0</v>
      </c>
      <c r="C904" s="100" t="s">
        <v>654</v>
      </c>
      <c r="E904" s="24">
        <f>IFERROR(__xludf.DUMMYFUNCTION("ifna(IFNA(filter('2.1.clean'!C:C,'2.1.clean'!A:A=C904),filter('2.2.clean'!E:E,'2.2.clean'!D:D=C904)),filter('2.4.clean'!C:C,'2.4.clean'!A:A=C904))"),43789.0)</f>
        <v>43789</v>
      </c>
      <c r="F904" s="25">
        <f>IFERROR(__xludf.DUMMYFUNCTION("iferror(ifna(IFNA(filter('2.1.clean'!E:E,'2.1.clean'!A:A=C904),filter('2.2.clean'!G:G,'2.2.clean'!D:D=C904)),filter('2.4.clean'!E:E,'2.4.clean'!A:A=C904)),)"),2.2)</f>
        <v>2.2</v>
      </c>
      <c r="G904" s="24">
        <f>IFERROR(__xludf.DUMMYFUNCTION("iferror(filter('3.1.clean'!C:C,'3.1.clean'!A:A=C904),"""")"),43789.0)</f>
        <v>43789</v>
      </c>
      <c r="H904" s="23" t="b">
        <f t="shared" ref="H904:H908" si="707">if(G904="",FALSE,TRUE)</f>
        <v>1</v>
      </c>
      <c r="J904" s="25"/>
      <c r="K904" s="24">
        <f>IFERROR(__xludf.DUMMYFUNCTION("iferror(filter('3.2.clean'!C:C,'3.2.clean'!A:A=C904),"""")"),43791.0)</f>
        <v>43791</v>
      </c>
      <c r="L904" s="25" t="b">
        <f t="shared" ref="L904:L907" si="708">if(K904="",FALSE,TRUE)</f>
        <v>1</v>
      </c>
      <c r="M904" s="24">
        <f>IFERROR(__xludf.DUMMYFUNCTION("iferror(filter('3.3.clean'!C:C,'3.3.clean'!A:A=C904),"""")"),43790.0)</f>
        <v>43790</v>
      </c>
      <c r="N904" s="25" t="b">
        <f t="shared" si="705"/>
        <v>1</v>
      </c>
      <c r="O904" s="24">
        <f>IFERROR(__xludf.DUMMYFUNCTION("iferror(filter('3.4.clean'!C:C,'3.4.clean'!A:A=C904),"""")"),43791.0)</f>
        <v>43791</v>
      </c>
      <c r="P904" s="25" t="b">
        <f t="shared" si="706"/>
        <v>1</v>
      </c>
      <c r="Q904" s="24" t="str">
        <f>IFERROR(__xludf.DUMMYFUNCTION("iferror(filter('3.5.clean'!C:C,'3.5.clean'!A:A=C904),"""")"),"")</f>
        <v/>
      </c>
      <c r="S904" s="25"/>
      <c r="W904" s="23" t="b">
        <f t="shared" ref="W904:W907" si="709">IF(and(H904=TRUE,L904=TRUE,N904=TRUE,P904=TRUE),TRUE,FALSE)</f>
        <v>1</v>
      </c>
      <c r="X904" s="23" t="str">
        <f>IFERROR(__xludf.DUMMYFUNCTION("if(COUNTA(FILTER(C:C, C:C = C904))=1,""no"",""yes"")"),"no")</f>
        <v>no</v>
      </c>
    </row>
    <row r="905">
      <c r="A905" s="1" t="s">
        <v>870</v>
      </c>
      <c r="B905" s="2">
        <v>2.0</v>
      </c>
      <c r="C905" s="100" t="s">
        <v>657</v>
      </c>
      <c r="E905" s="24">
        <f>IFERROR(__xludf.DUMMYFUNCTION("ifna(IFNA(filter('2.1.clean'!C:C,'2.1.clean'!A:A=C905),filter('2.2.clean'!E:E,'2.2.clean'!D:D=C905)),filter('2.4.clean'!C:C,'2.4.clean'!A:A=C905))"),43789.0)</f>
        <v>43789</v>
      </c>
      <c r="F905" s="25">
        <f>IFERROR(__xludf.DUMMYFUNCTION("iferror(ifna(IFNA(filter('2.1.clean'!E:E,'2.1.clean'!A:A=C905),filter('2.2.clean'!G:G,'2.2.clean'!D:D=C905)),filter('2.4.clean'!E:E,'2.4.clean'!A:A=C905)),)"),2.2)</f>
        <v>2.2</v>
      </c>
      <c r="G905" s="24">
        <f>IFERROR(__xludf.DUMMYFUNCTION("iferror(filter('3.1.clean'!C:C,'3.1.clean'!A:A=C905),"""")"),43789.0)</f>
        <v>43789</v>
      </c>
      <c r="H905" s="23" t="b">
        <f t="shared" si="707"/>
        <v>1</v>
      </c>
      <c r="J905" s="25"/>
      <c r="K905" s="24">
        <f>IFERROR(__xludf.DUMMYFUNCTION("iferror(filter('3.2.clean'!C:C,'3.2.clean'!A:A=C905),"""")"),43791.0)</f>
        <v>43791</v>
      </c>
      <c r="L905" s="25" t="b">
        <f t="shared" si="708"/>
        <v>1</v>
      </c>
      <c r="M905" s="24">
        <f>IFERROR(__xludf.DUMMYFUNCTION("iferror(filter('3.3.clean'!C:C,'3.3.clean'!A:A=C905),"""")"),43790.0)</f>
        <v>43790</v>
      </c>
      <c r="N905" s="25" t="b">
        <f t="shared" si="705"/>
        <v>1</v>
      </c>
      <c r="O905" s="24">
        <f>IFERROR(__xludf.DUMMYFUNCTION("iferror(filter('3.4.clean'!C:C,'3.4.clean'!A:A=C905),"""")"),43791.0)</f>
        <v>43791</v>
      </c>
      <c r="P905" s="25" t="b">
        <f t="shared" si="706"/>
        <v>1</v>
      </c>
      <c r="Q905" s="24" t="str">
        <f>IFERROR(__xludf.DUMMYFUNCTION("iferror(filter('3.5.clean'!C:C,'3.5.clean'!A:A=C905),"""")"),"")</f>
        <v/>
      </c>
      <c r="S905" s="25"/>
      <c r="W905" s="23" t="b">
        <f t="shared" si="709"/>
        <v>1</v>
      </c>
      <c r="X905" s="23" t="str">
        <f>IFERROR(__xludf.DUMMYFUNCTION("if(COUNTA(FILTER(C:C, C:C = C905))=1,""no"",""yes"")"),"no")</f>
        <v>no</v>
      </c>
    </row>
    <row r="906">
      <c r="A906" s="1" t="s">
        <v>870</v>
      </c>
      <c r="B906" s="2">
        <v>3.0</v>
      </c>
      <c r="C906" s="100" t="s">
        <v>659</v>
      </c>
      <c r="E906" s="24">
        <f>IFERROR(__xludf.DUMMYFUNCTION("ifna(IFNA(filter('2.1.clean'!C:C,'2.1.clean'!A:A=C906),filter('2.2.clean'!E:E,'2.2.clean'!D:D=C906)),filter('2.4.clean'!C:C,'2.4.clean'!A:A=C906))"),43789.0)</f>
        <v>43789</v>
      </c>
      <c r="F906" s="25">
        <f>IFERROR(__xludf.DUMMYFUNCTION("iferror(ifna(IFNA(filter('2.1.clean'!E:E,'2.1.clean'!A:A=C906),filter('2.2.clean'!G:G,'2.2.clean'!D:D=C906)),filter('2.4.clean'!E:E,'2.4.clean'!A:A=C906)),)"),2.2)</f>
        <v>2.2</v>
      </c>
      <c r="G906" s="24">
        <f>IFERROR(__xludf.DUMMYFUNCTION("iferror(filter('3.1.clean'!C:C,'3.1.clean'!A:A=C906),"""")"),43789.0)</f>
        <v>43789</v>
      </c>
      <c r="H906" s="23" t="b">
        <f t="shared" si="707"/>
        <v>1</v>
      </c>
      <c r="J906" s="25"/>
      <c r="K906" s="24">
        <f>IFERROR(__xludf.DUMMYFUNCTION("iferror(filter('3.2.clean'!C:C,'3.2.clean'!A:A=C906),"""")"),43791.0)</f>
        <v>43791</v>
      </c>
      <c r="L906" s="25" t="b">
        <f t="shared" si="708"/>
        <v>1</v>
      </c>
      <c r="M906" s="24">
        <f>IFERROR(__xludf.DUMMYFUNCTION("iferror(filter('3.3.clean'!C:C,'3.3.clean'!A:A=C906),"""")"),43790.0)</f>
        <v>43790</v>
      </c>
      <c r="N906" s="25" t="b">
        <f t="shared" si="705"/>
        <v>1</v>
      </c>
      <c r="O906" s="24">
        <f>IFERROR(__xludf.DUMMYFUNCTION("iferror(filter('3.4.clean'!C:C,'3.4.clean'!A:A=C906),"""")"),43791.0)</f>
        <v>43791</v>
      </c>
      <c r="P906" s="25" t="b">
        <f t="shared" si="706"/>
        <v>1</v>
      </c>
      <c r="Q906" s="24" t="str">
        <f>IFERROR(__xludf.DUMMYFUNCTION("iferror(filter('3.5.clean'!C:C,'3.5.clean'!A:A=C906),"""")"),"")</f>
        <v/>
      </c>
      <c r="S906" s="25"/>
      <c r="W906" s="23" t="b">
        <f t="shared" si="709"/>
        <v>1</v>
      </c>
      <c r="X906" s="23" t="str">
        <f>IFERROR(__xludf.DUMMYFUNCTION("if(COUNTA(FILTER(C:C, C:C = C906))=1,""no"",""yes"")"),"no")</f>
        <v>no</v>
      </c>
    </row>
    <row r="907">
      <c r="A907" s="1" t="s">
        <v>870</v>
      </c>
      <c r="B907" s="2">
        <v>4.0</v>
      </c>
      <c r="C907" s="100" t="s">
        <v>661</v>
      </c>
      <c r="E907" s="24">
        <f>IFERROR(__xludf.DUMMYFUNCTION("ifna(IFNA(filter('2.1.clean'!C:C,'2.1.clean'!A:A=C907),filter('2.2.clean'!E:E,'2.2.clean'!D:D=C907)),filter('2.4.clean'!C:C,'2.4.clean'!A:A=C907))"),43789.0)</f>
        <v>43789</v>
      </c>
      <c r="F907" s="25">
        <f>IFERROR(__xludf.DUMMYFUNCTION("iferror(ifna(IFNA(filter('2.1.clean'!E:E,'2.1.clean'!A:A=C907),filter('2.2.clean'!G:G,'2.2.clean'!D:D=C907)),filter('2.4.clean'!E:E,'2.4.clean'!A:A=C907)),)"),2.2)</f>
        <v>2.2</v>
      </c>
      <c r="G907" s="24">
        <f>IFERROR(__xludf.DUMMYFUNCTION("iferror(filter('3.1.clean'!C:C,'3.1.clean'!A:A=C907),"""")"),43789.0)</f>
        <v>43789</v>
      </c>
      <c r="H907" s="23" t="b">
        <f t="shared" si="707"/>
        <v>1</v>
      </c>
      <c r="J907" s="25"/>
      <c r="K907" s="24">
        <f>IFERROR(__xludf.DUMMYFUNCTION("iferror(filter('3.2.clean'!C:C,'3.2.clean'!A:A=C907),"""")"),43791.0)</f>
        <v>43791</v>
      </c>
      <c r="L907" s="25" t="b">
        <f t="shared" si="708"/>
        <v>1</v>
      </c>
      <c r="M907" s="24">
        <f>IFERROR(__xludf.DUMMYFUNCTION("iferror(filter('3.3.clean'!C:C,'3.3.clean'!A:A=C907),"""")"),43790.0)</f>
        <v>43790</v>
      </c>
      <c r="N907" s="25" t="b">
        <f t="shared" si="705"/>
        <v>1</v>
      </c>
      <c r="O907" s="24">
        <f>IFERROR(__xludf.DUMMYFUNCTION("iferror(filter('3.4.clean'!C:C,'3.4.clean'!A:A=C907),"""")"),43791.0)</f>
        <v>43791</v>
      </c>
      <c r="P907" s="25" t="b">
        <f t="shared" si="706"/>
        <v>1</v>
      </c>
      <c r="Q907" s="24" t="str">
        <f>IFERROR(__xludf.DUMMYFUNCTION("iferror(filter('3.5.clean'!C:C,'3.5.clean'!A:A=C907),"""")"),"")</f>
        <v/>
      </c>
      <c r="S907" s="25"/>
      <c r="W907" s="23" t="b">
        <f t="shared" si="709"/>
        <v>1</v>
      </c>
      <c r="X907" s="23" t="str">
        <f>IFERROR(__xludf.DUMMYFUNCTION("if(COUNTA(FILTER(C:C, C:C = C907))=1,""no"",""yes"")"),"no")</f>
        <v>no</v>
      </c>
    </row>
    <row r="908">
      <c r="A908" s="1" t="s">
        <v>870</v>
      </c>
      <c r="B908" s="19">
        <v>5.0</v>
      </c>
      <c r="C908" s="19" t="s">
        <v>664</v>
      </c>
      <c r="D908" s="58" t="str">
        <f t="shared" ref="D908:D911" si="710">if(or(I908=1,J908=1,S908=1),"pos","")</f>
        <v/>
      </c>
      <c r="E908" s="59">
        <f>IFERROR(__xludf.DUMMYFUNCTION("ifna(IFNA(filter('2.1.clean'!C:C,'2.1.clean'!A:A=C908),filter('2.2.clean'!E:E,'2.2.clean'!D:D=C908)),filter('2.4.clean'!C:C,'2.4.clean'!A:A=C908))"),43789.0)</f>
        <v>43789</v>
      </c>
      <c r="F908" s="60">
        <f>IFERROR(__xludf.DUMMYFUNCTION("iferror(ifna(IFNA(filter('2.1.clean'!E:E,'2.1.clean'!A:A=C908),filter('2.2.clean'!G:G,'2.2.clean'!D:D=C908)),filter('2.4.clean'!E:E,'2.4.clean'!A:A=C908)),)"),2.2)</f>
        <v>2.2</v>
      </c>
      <c r="G908" s="59">
        <f>IFERROR(__xludf.DUMMYFUNCTION("iferror(filter('3.1.clean'!C:C,'3.1.clean'!A:A=C908),"""")"),43789.0)</f>
        <v>43789</v>
      </c>
      <c r="H908" s="58" t="b">
        <f t="shared" si="707"/>
        <v>1</v>
      </c>
      <c r="I908" s="58">
        <f>IFERROR(__xludf.DUMMYFUNCTION("iferror(filter('3.1.clean'!G:G,'3.1.clean'!A:A=C908),"""")"),0.0)</f>
        <v>0</v>
      </c>
      <c r="J908" s="60" t="str">
        <f>IFERROR(__xludf.DUMMYFUNCTION("iferror(filter('3.1.clean'!I:I,'3.1.clean'!A:A=C908),"""")"),"")</f>
        <v/>
      </c>
      <c r="K908" s="58"/>
      <c r="L908" s="60"/>
      <c r="M908" s="59">
        <f>IFERROR(__xludf.DUMMYFUNCTION("iferror(filter('3.3.clean'!C:C,'3.3.clean'!A:A=C908),"""")"),43790.0)</f>
        <v>43790</v>
      </c>
      <c r="N908" s="60" t="b">
        <f t="shared" si="705"/>
        <v>1</v>
      </c>
      <c r="O908" s="59">
        <f>IFERROR(__xludf.DUMMYFUNCTION("iferror(filter('3.4.clean'!C:C,'3.4.clean'!A:A=C908),"""")"),43791.0)</f>
        <v>43791</v>
      </c>
      <c r="P908" s="60" t="b">
        <f t="shared" si="706"/>
        <v>1</v>
      </c>
      <c r="Q908" s="59" t="str">
        <f>IFERROR(__xludf.DUMMYFUNCTION("iferror(filter('3.5.clean'!C:C,'3.5.clean'!A:A=C908),"""")"),"")</f>
        <v/>
      </c>
      <c r="R908" s="58"/>
      <c r="S908" s="4" t="str">
        <f>IFERROR(__xludf.DUMMYFUNCTION("iferror(filter('3.5.clean'!H:H,'3.5.clean'!A:A=C908),"""")"),"")</f>
        <v/>
      </c>
      <c r="W908" s="23" t="b">
        <f>if(AND(H908=TRUE,N908=TRUE,P908=TRUE),TRUE,FALSE)</f>
        <v>1</v>
      </c>
      <c r="X908" s="23" t="str">
        <f>IFERROR(__xludf.DUMMYFUNCTION("if(COUNTA(FILTER(C:C, C:C = C908))=1,""no"",""yes"")"),"no")</f>
        <v>no</v>
      </c>
    </row>
    <row r="909">
      <c r="A909" s="1" t="s">
        <v>870</v>
      </c>
      <c r="B909" s="19">
        <v>6.0</v>
      </c>
      <c r="C909" s="19" t="s">
        <v>1649</v>
      </c>
      <c r="D909" s="58" t="str">
        <f t="shared" si="710"/>
        <v>pos</v>
      </c>
      <c r="E909" s="59">
        <f t="shared" ref="E909:E910" si="711">Q909</f>
        <v>43789</v>
      </c>
      <c r="F909" s="60" t="str">
        <f>IFERROR(__xludf.DUMMYFUNCTION("iferror(ifna(IFNA(filter('2.1.clean'!E:E,'2.1.clean'!A:A=C909),filter('2.2.clean'!G:G,'2.2.clean'!D:D=C909)),filter('2.4.clean'!E:E,'2.4.clean'!A:A=C909)),)"),"")</f>
        <v/>
      </c>
      <c r="G909" s="59" t="str">
        <f>IFERROR(__xludf.DUMMYFUNCTION("iferror(filter('3.1.clean'!C:C,'3.1.clean'!A:A=C909),"""")"),"")</f>
        <v/>
      </c>
      <c r="H909" s="58"/>
      <c r="I909" s="58" t="str">
        <f>IFERROR(__xludf.DUMMYFUNCTION("iferror(filter('3.1.clean'!G:G,'3.1.clean'!A:A=C909),"""")"),"")</f>
        <v/>
      </c>
      <c r="J909" s="60" t="str">
        <f>IFERROR(__xludf.DUMMYFUNCTION("iferror(filter('3.1.clean'!I:I,'3.1.clean'!A:A=C909),"""")"),"")</f>
        <v/>
      </c>
      <c r="K909" s="59"/>
      <c r="L909" s="60"/>
      <c r="M909" s="59" t="str">
        <f>IFERROR(__xludf.DUMMYFUNCTION("iferror(filter('3.3.clean'!C:C,'3.3.clean'!A:A=C909),"""")"),"")</f>
        <v/>
      </c>
      <c r="N909" s="60" t="b">
        <f t="shared" si="705"/>
        <v>0</v>
      </c>
      <c r="O909" s="59" t="str">
        <f>IFERROR(__xludf.DUMMYFUNCTION("iferror(filter('3.4.clean'!C:C,'3.4.clean'!A:A=C909),"""")"),"")</f>
        <v/>
      </c>
      <c r="P909" s="60" t="b">
        <f t="shared" si="706"/>
        <v>0</v>
      </c>
      <c r="Q909" s="59">
        <f>IFERROR(__xludf.DUMMYFUNCTION("iferror(filter('3.5.clean'!C:C,'3.5.clean'!A:A=C909),"""")"),43789.0)</f>
        <v>43789</v>
      </c>
      <c r="R909" s="58" t="b">
        <f t="shared" ref="R909:R910" si="712">if(Q909="",FALSE,TRUE)</f>
        <v>1</v>
      </c>
      <c r="S909" s="4">
        <f>IFERROR(__xludf.DUMMYFUNCTION("iferror(filter('3.5.clean'!H:H,'3.5.clean'!A:A=C909),"""")"),1.0)</f>
        <v>1</v>
      </c>
      <c r="V909" s="52" t="s">
        <v>64</v>
      </c>
      <c r="W909" s="23" t="b">
        <f>if(AND(R909=TRUE,N909=TRUE,P909=TRUE),TRUE,FALSE)</f>
        <v>0</v>
      </c>
      <c r="X909" s="23" t="str">
        <f>IFERROR(__xludf.DUMMYFUNCTION("if(COUNTA(FILTER(C:C, C:C = C909))=1,""no"",""yes"")"),"no")</f>
        <v>no</v>
      </c>
    </row>
    <row r="910">
      <c r="A910" s="1" t="s">
        <v>870</v>
      </c>
      <c r="B910" s="19">
        <v>7.0</v>
      </c>
      <c r="C910" s="19" t="s">
        <v>1650</v>
      </c>
      <c r="D910" s="22" t="str">
        <f t="shared" si="710"/>
        <v/>
      </c>
      <c r="E910" s="20">
        <f t="shared" si="711"/>
        <v>43789</v>
      </c>
      <c r="F910" s="79" t="str">
        <f>IFERROR(__xludf.DUMMYFUNCTION("iferror(ifna(IFNA(filter('2.1.clean'!E:E,'2.1.clean'!A:A=C910),filter('2.2.clean'!G:G,'2.2.clean'!D:D=C910)),filter('2.4.clean'!E:E,'2.4.clean'!A:A=C910)),)"),"")</f>
        <v/>
      </c>
      <c r="G910" s="20" t="str">
        <f>IFERROR(__xludf.DUMMYFUNCTION("iferror(filter('3.1.clean'!C:C,'3.1.clean'!A:A=C910),"""")"),"")</f>
        <v/>
      </c>
      <c r="H910" s="22"/>
      <c r="I910" s="22"/>
      <c r="J910" s="79"/>
      <c r="K910" s="20" t="str">
        <f>IFERROR(__xludf.DUMMYFUNCTION("iferror(filter('3.2.clean'!C:C,'3.2.clean'!A:A=C910),"""")"),"")</f>
        <v/>
      </c>
      <c r="L910" s="79"/>
      <c r="M910" s="20" t="str">
        <f>IFERROR(__xludf.DUMMYFUNCTION("iferror(filter('3.3.clean'!C:C,'3.3.clean'!A:A=C910),"""")"),"")</f>
        <v/>
      </c>
      <c r="N910" s="79" t="b">
        <f t="shared" si="705"/>
        <v>0</v>
      </c>
      <c r="O910" s="20" t="str">
        <f>IFERROR(__xludf.DUMMYFUNCTION("iferror(filter('3.4.clean'!C:C,'3.4.clean'!A:A=C910),"""")"),"")</f>
        <v/>
      </c>
      <c r="P910" s="79" t="b">
        <f t="shared" si="706"/>
        <v>0</v>
      </c>
      <c r="Q910" s="20">
        <f>IFERROR(__xludf.DUMMYFUNCTION("iferror(filter('3.5.clean'!C:C,'3.5.clean'!A:A=C910),"""")"),43789.0)</f>
        <v>43789</v>
      </c>
      <c r="R910" s="22" t="b">
        <f t="shared" si="712"/>
        <v>1</v>
      </c>
      <c r="S910" s="4">
        <f>IFERROR(__xludf.DUMMYFUNCTION("iferror(filter('3.5.clean'!H:H,'3.5.clean'!A:A=C910),"""")"),0.0)</f>
        <v>0</v>
      </c>
      <c r="V910" s="1" t="s">
        <v>64</v>
      </c>
      <c r="W910" s="23" t="b">
        <f>IF(and(R910=TRUE,N910=TRUE,P910=TRUE),TRUE,FALSE)</f>
        <v>0</v>
      </c>
      <c r="X910" s="23" t="str">
        <f>IFERROR(__xludf.DUMMYFUNCTION("if(COUNTA(FILTER(C:C, C:C = C910))=1,""no"",""yes"")"),"no")</f>
        <v>no</v>
      </c>
    </row>
    <row r="911">
      <c r="A911" s="1" t="s">
        <v>870</v>
      </c>
      <c r="B911" s="19">
        <v>8.0</v>
      </c>
      <c r="C911" s="19" t="s">
        <v>1651</v>
      </c>
      <c r="D911" s="76" t="str">
        <f t="shared" si="710"/>
        <v/>
      </c>
      <c r="E911" s="77">
        <f>G911</f>
        <v>43789</v>
      </c>
      <c r="F911" s="78" t="str">
        <f>IFERROR(__xludf.DUMMYFUNCTION("iferror(ifna(IFNA(filter('2.1.clean'!E:E,'2.1.clean'!A:A=C911),filter('2.2.clean'!G:G,'2.2.clean'!D:D=C911)),filter('2.4.clean'!E:E,'2.4.clean'!A:A=C911)),)"),"")</f>
        <v/>
      </c>
      <c r="G911" s="77">
        <f>IFERROR(__xludf.DUMMYFUNCTION("iferror(filter('3.1.clean'!C:C,'3.1.clean'!A:A=C911),"""")"),43789.0)</f>
        <v>43789</v>
      </c>
      <c r="H911" s="76" t="b">
        <f>if(G911="",FALSE,TRUE)</f>
        <v>1</v>
      </c>
      <c r="I911" s="76">
        <f>IFERROR(__xludf.DUMMYFUNCTION("iferror(filter('3.1.clean'!G:G,'3.1.clean'!A:A=C911),"""")"),0.0)</f>
        <v>0</v>
      </c>
      <c r="J911" s="78" t="str">
        <f>IFERROR(__xludf.DUMMYFUNCTION("iferror(filter('3.1.clean'!I:I,'3.1.clean'!A:A=C911),"""")"),"")</f>
        <v/>
      </c>
      <c r="K911" s="77"/>
      <c r="L911" s="78"/>
      <c r="M911" s="77"/>
      <c r="N911" s="78"/>
      <c r="O911" s="77"/>
      <c r="P911" s="78"/>
      <c r="Q911" s="77"/>
      <c r="R911" s="76"/>
      <c r="S911" s="25"/>
      <c r="V911" s="1" t="s">
        <v>64</v>
      </c>
      <c r="W911" s="1" t="b">
        <v>1</v>
      </c>
      <c r="X911" s="23" t="str">
        <f>IFERROR(__xludf.DUMMYFUNCTION("if(COUNTA(FILTER(C:C, C:C = C911))=1,""no"",""yes"")"),"no")</f>
        <v>no</v>
      </c>
    </row>
    <row r="912">
      <c r="A912" s="1" t="s">
        <v>870</v>
      </c>
      <c r="B912" s="2">
        <v>9.0</v>
      </c>
      <c r="C912" s="19" t="s">
        <v>1652</v>
      </c>
      <c r="E912" s="24">
        <v>43789.0</v>
      </c>
      <c r="F912" s="25" t="str">
        <f>IFERROR(__xludf.DUMMYFUNCTION("iferror(ifna(IFNA(filter('2.1.clean'!E:E,'2.1.clean'!A:A=C912),filter('2.2.clean'!G:G,'2.2.clean'!D:D=C912)),filter('2.4.clean'!E:E,'2.4.clean'!A:A=C912)),)"),"")</f>
        <v/>
      </c>
      <c r="G912" s="24" t="str">
        <f>IFERROR(__xludf.DUMMYFUNCTION("iferror(filter('3.1.clean'!C:C,'3.1.clean'!A:A=C912),"""")"),"")</f>
        <v/>
      </c>
      <c r="J912" s="25"/>
      <c r="K912" s="24" t="str">
        <f>IFERROR(__xludf.DUMMYFUNCTION("iferror(filter('3.2.clean'!C:C,'3.2.clean'!A:A=C912),"""")"),"")</f>
        <v/>
      </c>
      <c r="L912" s="25"/>
      <c r="M912" s="24">
        <f>IFERROR(__xludf.DUMMYFUNCTION("iferror(filter('3.3.clean'!C:C,'3.3.clean'!A:A=C912),"""")"),43790.0)</f>
        <v>43790</v>
      </c>
      <c r="N912" s="25" t="b">
        <f t="shared" ref="N912:N931" si="713">if(M912="",FALSE,TRUE)</f>
        <v>1</v>
      </c>
      <c r="O912" s="24">
        <f>IFERROR(__xludf.DUMMYFUNCTION("iferror(filter('3.4.clean'!C:C,'3.4.clean'!A:A=C912),"""")"),43791.0)</f>
        <v>43791</v>
      </c>
      <c r="P912" s="25" t="b">
        <f t="shared" ref="P912:P931" si="714">if(O912="",FALSE,TRUE)</f>
        <v>1</v>
      </c>
      <c r="Q912" s="24" t="str">
        <f>IFERROR(__xludf.DUMMYFUNCTION("iferror(filter('3.5.clean'!C:C,'3.5.clean'!A:A=C912),"""")"),"")</f>
        <v/>
      </c>
      <c r="S912" s="25"/>
      <c r="V912" s="52" t="s">
        <v>64</v>
      </c>
      <c r="X912" s="23" t="str">
        <f>IFERROR(__xludf.DUMMYFUNCTION("if(COUNTA(FILTER(C:C, C:C = C912))=1,""no"",""yes"")"),"no")</f>
        <v>no</v>
      </c>
    </row>
    <row r="913">
      <c r="A913" s="1" t="s">
        <v>870</v>
      </c>
      <c r="B913" s="2">
        <v>10.0</v>
      </c>
      <c r="C913" s="19" t="s">
        <v>1653</v>
      </c>
      <c r="E913" s="24">
        <f>IFERROR(__xludf.DUMMYFUNCTION("ifna(IFNA(filter('2.1.clean'!C:C,'2.1.clean'!A:A=C913),filter('2.2.clean'!E:E,'2.2.clean'!D:D=C913)),filter('2.4.clean'!C:C,'2.4.clean'!A:A=C913))"),43789.0)</f>
        <v>43789</v>
      </c>
      <c r="F913" s="25">
        <f>IFERROR(__xludf.DUMMYFUNCTION("iferror(ifna(IFNA(filter('2.1.clean'!E:E,'2.1.clean'!A:A=C913),filter('2.2.clean'!G:G,'2.2.clean'!D:D=C913)),filter('2.4.clean'!E:E,'2.4.clean'!A:A=C913)),)"),2.4)</f>
        <v>2.4</v>
      </c>
      <c r="G913" s="24">
        <f>IFERROR(__xludf.DUMMYFUNCTION("iferror(filter('3.1.clean'!C:C,'3.1.clean'!A:A=C913),"""")"),43789.0)</f>
        <v>43789</v>
      </c>
      <c r="H913" s="23" t="b">
        <f>if(G913="",FALSE,TRUE)</f>
        <v>1</v>
      </c>
      <c r="J913" s="25"/>
      <c r="K913" s="24">
        <f>IFERROR(__xludf.DUMMYFUNCTION("iferror(filter('3.2.clean'!C:C,'3.2.clean'!A:A=C913),"""")"),43791.0)</f>
        <v>43791</v>
      </c>
      <c r="L913" s="25" t="b">
        <f>if(K913="",FALSE,TRUE)</f>
        <v>1</v>
      </c>
      <c r="M913" s="24">
        <f>IFERROR(__xludf.DUMMYFUNCTION("iferror(filter('3.3.clean'!C:C,'3.3.clean'!A:A=C913),"""")"),43790.0)</f>
        <v>43790</v>
      </c>
      <c r="N913" s="25" t="b">
        <f t="shared" si="713"/>
        <v>1</v>
      </c>
      <c r="O913" s="24">
        <f>IFERROR(__xludf.DUMMYFUNCTION("iferror(filter('3.4.clean'!C:C,'3.4.clean'!A:A=C913),"""")"),43791.0)</f>
        <v>43791</v>
      </c>
      <c r="P913" s="25" t="b">
        <f t="shared" si="714"/>
        <v>1</v>
      </c>
      <c r="Q913" s="24" t="str">
        <f>IFERROR(__xludf.DUMMYFUNCTION("iferror(filter('3.5.clean'!C:C,'3.5.clean'!A:A=C913),"""")"),"")</f>
        <v/>
      </c>
      <c r="R913" s="23" t="b">
        <f t="shared" ref="R913:R914" si="715">if(Q913="",FALSE,TRUE)</f>
        <v>0</v>
      </c>
      <c r="S913" s="25"/>
      <c r="U913" s="23"/>
      <c r="V913" s="1" t="s">
        <v>64</v>
      </c>
      <c r="X913" s="23" t="str">
        <f>IFERROR(__xludf.DUMMYFUNCTION("if(COUNTA(FILTER(C:C, C:C = C913))=1,""no"",""yes"")"),"no")</f>
        <v>no</v>
      </c>
    </row>
    <row r="914">
      <c r="A914" s="75" t="s">
        <v>874</v>
      </c>
      <c r="B914" s="2">
        <v>1.0</v>
      </c>
      <c r="C914" s="19" t="s">
        <v>1654</v>
      </c>
      <c r="E914" s="24">
        <f>IFERROR(__xludf.DUMMYFUNCTION("ifna(IFNA(filter('2.1.clean'!C:C,'2.1.clean'!A:A=C914),filter('2.2.clean'!E:E,'2.2.clean'!D:D=C914)),filter('2.4.clean'!C:C,'2.4.clean'!A:A=C914))"),43790.0)</f>
        <v>43790</v>
      </c>
      <c r="F914" s="25">
        <f>IFERROR(__xludf.DUMMYFUNCTION("iferror(ifna(IFNA(filter('2.1.clean'!E:E,'2.1.clean'!A:A=C914),filter('2.2.clean'!G:G,'2.2.clean'!D:D=C914)),filter('2.4.clean'!E:E,'2.4.clean'!A:A=C914)),)"),2.4)</f>
        <v>2.4</v>
      </c>
      <c r="G914" s="24"/>
      <c r="J914" s="25"/>
      <c r="K914" s="24"/>
      <c r="L914" s="25"/>
      <c r="M914" s="24">
        <f>IFERROR(__xludf.DUMMYFUNCTION("iferror(filter('3.3.clean'!C:C,'3.3.clean'!A:A=C914),"""")"),43791.0)</f>
        <v>43791</v>
      </c>
      <c r="N914" s="25" t="b">
        <f t="shared" si="713"/>
        <v>1</v>
      </c>
      <c r="O914" s="24">
        <f>IFERROR(__xludf.DUMMYFUNCTION("iferror(filter('3.4.clean'!C:C,'3.4.clean'!A:A=C914),"""")"),43795.0)</f>
        <v>43795</v>
      </c>
      <c r="P914" s="25" t="b">
        <f t="shared" si="714"/>
        <v>1</v>
      </c>
      <c r="Q914" s="24">
        <f>IFERROR(__xludf.DUMMYFUNCTION("iferror(filter('3.5.clean'!C:C,'3.5.clean'!A:A=C914),"""")"),43790.0)</f>
        <v>43790</v>
      </c>
      <c r="R914" s="23" t="b">
        <f t="shared" si="715"/>
        <v>1</v>
      </c>
      <c r="S914" s="25"/>
      <c r="V914" s="52" t="s">
        <v>64</v>
      </c>
      <c r="W914" s="23" t="b">
        <f>IF(and(R914=TRUE,N914=TRUE,P914=TRUE),TRUE,FALSE)</f>
        <v>1</v>
      </c>
      <c r="X914" s="23" t="str">
        <f>IFERROR(__xludf.DUMMYFUNCTION("if(COUNTA(FILTER(C:C, C:C = C914))=1,""no"",""yes"")"),"no")</f>
        <v>no</v>
      </c>
    </row>
    <row r="915">
      <c r="A915" s="75" t="s">
        <v>874</v>
      </c>
      <c r="B915" s="19">
        <v>2.0</v>
      </c>
      <c r="C915" s="19" t="s">
        <v>306</v>
      </c>
      <c r="D915" s="58" t="str">
        <f t="shared" ref="D915:D916" si="716">if(or(I915=1,J915=1,S915=1),"pos","")</f>
        <v/>
      </c>
      <c r="E915" s="59">
        <f>IFERROR(__xludf.DUMMYFUNCTION("ifna(IFNA(filter('2.1.clean'!C:C,'2.1.clean'!A:A=C915),filter('2.2.clean'!E:E,'2.2.clean'!D:D=C915)),filter('2.4.clean'!C:C,'2.4.clean'!A:A=C915))"),43790.0)</f>
        <v>43790</v>
      </c>
      <c r="F915" s="60">
        <f>IFERROR(__xludf.DUMMYFUNCTION("iferror(ifna(IFNA(filter('2.1.clean'!E:E,'2.1.clean'!A:A=C915),filter('2.2.clean'!G:G,'2.2.clean'!D:D=C915)),filter('2.4.clean'!E:E,'2.4.clean'!A:A=C915)),)"),2.4)</f>
        <v>2.4</v>
      </c>
      <c r="G915" s="59">
        <f>IFERROR(__xludf.DUMMYFUNCTION("iferror(filter('3.1.clean'!C:C,'3.1.clean'!A:A=C915),"""")"),43790.0)</f>
        <v>43790</v>
      </c>
      <c r="H915" s="58" t="b">
        <f>if(G915="",FALSE,TRUE)</f>
        <v>1</v>
      </c>
      <c r="I915" s="58">
        <f>IFERROR(__xludf.DUMMYFUNCTION("iferror(filter('3.1.clean'!G:G,'3.1.clean'!A:A=C915),"""")"),0.0)</f>
        <v>0</v>
      </c>
      <c r="J915" s="60" t="str">
        <f>IFERROR(__xludf.DUMMYFUNCTION("iferror(filter('3.1.clean'!I:I,'3.1.clean'!A:A=C915),"""")"),"")</f>
        <v/>
      </c>
      <c r="K915" s="58"/>
      <c r="L915" s="60"/>
      <c r="M915" s="59">
        <f>IFERROR(__xludf.DUMMYFUNCTION("iferror(filter('3.3.clean'!C:C,'3.3.clean'!A:A=C915),"""")"),43791.0)</f>
        <v>43791</v>
      </c>
      <c r="N915" s="60" t="b">
        <f t="shared" si="713"/>
        <v>1</v>
      </c>
      <c r="O915" s="59" t="str">
        <f>IFERROR(__xludf.DUMMYFUNCTION("iferror(filter('3.4.clean'!C:C,'3.4.clean'!A:A=C915),"""")"),"")</f>
        <v/>
      </c>
      <c r="P915" s="60" t="b">
        <f t="shared" si="714"/>
        <v>0</v>
      </c>
      <c r="Q915" s="59" t="str">
        <f>IFERROR(__xludf.DUMMYFUNCTION("iferror(filter('3.5.clean'!C:C,'3.5.clean'!A:A=C915),"""")"),"")</f>
        <v/>
      </c>
      <c r="R915" s="58"/>
      <c r="S915" s="4" t="str">
        <f>IFERROR(__xludf.DUMMYFUNCTION("iferror(filter('3.5.clean'!H:H,'3.5.clean'!A:A=C915),"""")"),"")</f>
        <v/>
      </c>
      <c r="W915" s="23" t="b">
        <f>if(AND(H915=TRUE,N915=TRUE,P915=TRUE),TRUE,FALSE)</f>
        <v>0</v>
      </c>
      <c r="X915" s="23" t="str">
        <f>IFERROR(__xludf.DUMMYFUNCTION("if(COUNTA(FILTER(C:C, C:C = C915))=1,""no"",""yes"")"),"no")</f>
        <v>no</v>
      </c>
    </row>
    <row r="916">
      <c r="A916" s="75" t="s">
        <v>874</v>
      </c>
      <c r="B916" s="19">
        <v>3.0</v>
      </c>
      <c r="C916" s="19" t="s">
        <v>305</v>
      </c>
      <c r="D916" s="58" t="str">
        <f t="shared" si="716"/>
        <v/>
      </c>
      <c r="E916" s="59">
        <f>Q916</f>
        <v>43790</v>
      </c>
      <c r="F916" s="60" t="str">
        <f>IFERROR(__xludf.DUMMYFUNCTION("iferror(ifna(IFNA(filter('2.1.clean'!E:E,'2.1.clean'!A:A=C916),filter('2.2.clean'!G:G,'2.2.clean'!D:D=C916)),filter('2.4.clean'!E:E,'2.4.clean'!A:A=C916)),)"),"")</f>
        <v/>
      </c>
      <c r="G916" s="59" t="str">
        <f>IFERROR(__xludf.DUMMYFUNCTION("iferror(filter('3.1.clean'!C:C,'3.1.clean'!A:A=C916),"""")"),"")</f>
        <v/>
      </c>
      <c r="H916" s="58"/>
      <c r="I916" s="58" t="str">
        <f>IFERROR(__xludf.DUMMYFUNCTION("iferror(filter('3.1.clean'!G:G,'3.1.clean'!A:A=C916),"""")"),"")</f>
        <v/>
      </c>
      <c r="J916" s="58" t="str">
        <f>IFERROR(__xludf.DUMMYFUNCTION("iferror(filter('3.1.clean'!I:I,'3.1.clean'!A:A=C916),"""")"),"")</f>
        <v/>
      </c>
      <c r="K916" s="59"/>
      <c r="L916" s="58"/>
      <c r="M916" s="59" t="str">
        <f>IFERROR(__xludf.DUMMYFUNCTION("iferror(filter('3.3.clean'!C:C,'3.3.clean'!A:A=C916),"""")"),"")</f>
        <v/>
      </c>
      <c r="N916" s="58" t="b">
        <f t="shared" si="713"/>
        <v>0</v>
      </c>
      <c r="O916" s="59" t="str">
        <f>IFERROR(__xludf.DUMMYFUNCTION("iferror(filter('3.4.clean'!C:C,'3.4.clean'!A:A=C916),"""")"),"")</f>
        <v/>
      </c>
      <c r="P916" s="58" t="b">
        <f t="shared" si="714"/>
        <v>0</v>
      </c>
      <c r="Q916" s="59">
        <f>IFERROR(__xludf.DUMMYFUNCTION("iferror(filter('3.5.clean'!C:C,'3.5.clean'!A:A=C916),"""")"),43790.0)</f>
        <v>43790</v>
      </c>
      <c r="R916" s="58" t="b">
        <f t="shared" ref="R916:R917" si="717">if(Q916="",FALSE,TRUE)</f>
        <v>1</v>
      </c>
      <c r="S916" s="1">
        <f>IFERROR(__xludf.DUMMYFUNCTION("iferror(filter('3.5.clean'!H:H,'3.5.clean'!A:A=C916),"""")"),0.0)</f>
        <v>0</v>
      </c>
      <c r="V916" s="52" t="s">
        <v>64</v>
      </c>
      <c r="W916" s="23" t="b">
        <f>if(AND(R916=TRUE,N916=TRUE,P916=TRUE),TRUE,FALSE)</f>
        <v>0</v>
      </c>
      <c r="X916" s="23" t="str">
        <f>IFERROR(__xludf.DUMMYFUNCTION("if(COUNTA(FILTER(C:C, C:C = C916))=1,""no"",""yes"")"),"no")</f>
        <v>no</v>
      </c>
    </row>
    <row r="917">
      <c r="A917" s="75" t="s">
        <v>874</v>
      </c>
      <c r="B917" s="2">
        <v>4.0</v>
      </c>
      <c r="C917" s="19" t="s">
        <v>1655</v>
      </c>
      <c r="E917" s="24">
        <f>IFERROR(__xludf.DUMMYFUNCTION("ifna(IFNA(filter('2.1.clean'!C:C,'2.1.clean'!A:A=C917),filter('2.2.clean'!E:E,'2.2.clean'!D:D=C917)),filter('2.4.clean'!C:C,'2.4.clean'!A:A=C917))"),43790.0)</f>
        <v>43790</v>
      </c>
      <c r="F917" s="25">
        <f>IFERROR(__xludf.DUMMYFUNCTION("iferror(ifna(IFNA(filter('2.1.clean'!E:E,'2.1.clean'!A:A=C917),filter('2.2.clean'!G:G,'2.2.clean'!D:D=C917)),filter('2.4.clean'!E:E,'2.4.clean'!A:A=C917)),)"),2.4)</f>
        <v>2.4</v>
      </c>
      <c r="G917" s="24"/>
      <c r="J917" s="25"/>
      <c r="K917" s="24"/>
      <c r="L917" s="25"/>
      <c r="M917" s="24">
        <f>IFERROR(__xludf.DUMMYFUNCTION("iferror(filter('3.3.clean'!C:C,'3.3.clean'!A:A=C917),"""")"),43791.0)</f>
        <v>43791</v>
      </c>
      <c r="N917" s="25" t="b">
        <f t="shared" si="713"/>
        <v>1</v>
      </c>
      <c r="O917" s="24">
        <f>IFERROR(__xludf.DUMMYFUNCTION("iferror(filter('3.4.clean'!C:C,'3.4.clean'!A:A=C917),"""")"),43795.0)</f>
        <v>43795</v>
      </c>
      <c r="P917" s="25" t="b">
        <f t="shared" si="714"/>
        <v>1</v>
      </c>
      <c r="Q917" s="24" t="str">
        <f>IFERROR(__xludf.DUMMYFUNCTION("iferror(filter('3.5.clean'!C:C,'3.5.clean'!A:A=C917),"""")"),"")</f>
        <v/>
      </c>
      <c r="R917" s="23" t="b">
        <f t="shared" si="717"/>
        <v>0</v>
      </c>
      <c r="S917" s="25"/>
      <c r="V917" s="52" t="s">
        <v>64</v>
      </c>
      <c r="W917" s="23" t="b">
        <f>IF(and(R917=TRUE,N917=TRUE,P917=TRUE),TRUE,FALSE)</f>
        <v>0</v>
      </c>
      <c r="X917" s="23" t="str">
        <f>IFERROR(__xludf.DUMMYFUNCTION("if(COUNTA(FILTER(C:C, C:C = C917))=1,""no"",""yes"")"),"no")</f>
        <v>no</v>
      </c>
    </row>
    <row r="918">
      <c r="A918" s="75" t="s">
        <v>874</v>
      </c>
      <c r="B918" s="19">
        <v>5.0</v>
      </c>
      <c r="C918" s="19" t="s">
        <v>1656</v>
      </c>
      <c r="D918" s="58" t="str">
        <f>if(or(I918=1,J918=1,S918=1),"pos","")</f>
        <v/>
      </c>
      <c r="E918" s="59">
        <f>IFERROR(__xludf.DUMMYFUNCTION("ifna(IFNA(filter('2.1.clean'!C:C,'2.1.clean'!A:A=C918),filter('2.2.clean'!E:E,'2.2.clean'!D:D=C918)),filter('2.4.clean'!C:C,'2.4.clean'!A:A=C918))"),43790.0)</f>
        <v>43790</v>
      </c>
      <c r="F918" s="60">
        <f>IFERROR(__xludf.DUMMYFUNCTION("iferror(ifna(IFNA(filter('2.1.clean'!E:E,'2.1.clean'!A:A=C918),filter('2.2.clean'!G:G,'2.2.clean'!D:D=C918)),filter('2.4.clean'!E:E,'2.4.clean'!A:A=C918)),)"),2.4)</f>
        <v>2.4</v>
      </c>
      <c r="G918" s="59" t="str">
        <f>IFERROR(__xludf.DUMMYFUNCTION("iferror(filter('3.1.clean'!C:C,'3.1.clean'!A:A=C918),"""")"),"")</f>
        <v/>
      </c>
      <c r="H918" s="58" t="b">
        <f t="shared" ref="H918:H920" si="718">if(G918="",FALSE,TRUE)</f>
        <v>0</v>
      </c>
      <c r="I918" s="58" t="str">
        <f>IFERROR(__xludf.DUMMYFUNCTION("iferror(filter('3.1.clean'!G:G,'3.1.clean'!A:A=C918),"""")"),"")</f>
        <v/>
      </c>
      <c r="J918" s="60" t="str">
        <f>IFERROR(__xludf.DUMMYFUNCTION("iferror(filter('3.1.clean'!I:I,'3.1.clean'!A:A=C918),"""")"),"")</f>
        <v/>
      </c>
      <c r="K918" s="58"/>
      <c r="L918" s="60"/>
      <c r="M918" s="59">
        <f>IFERROR(__xludf.DUMMYFUNCTION("iferror(filter('3.3.clean'!C:C,'3.3.clean'!A:A=C918),"""")"),43791.0)</f>
        <v>43791</v>
      </c>
      <c r="N918" s="60" t="b">
        <f t="shared" si="713"/>
        <v>1</v>
      </c>
      <c r="O918" s="59">
        <f>IFERROR(__xludf.DUMMYFUNCTION("iferror(filter('3.4.clean'!C:C,'3.4.clean'!A:A=C918),"""")"),43795.0)</f>
        <v>43795</v>
      </c>
      <c r="P918" s="60" t="b">
        <f t="shared" si="714"/>
        <v>1</v>
      </c>
      <c r="Q918" s="59" t="str">
        <f>IFERROR(__xludf.DUMMYFUNCTION("iferror(filter('3.5.clean'!C:C,'3.5.clean'!A:A=C918),"""")"),"")</f>
        <v/>
      </c>
      <c r="R918" s="58"/>
      <c r="S918" s="4" t="str">
        <f>IFERROR(__xludf.DUMMYFUNCTION("iferror(filter('3.5.clean'!H:H,'3.5.clean'!A:A=C918),"""")"),"")</f>
        <v/>
      </c>
      <c r="W918" s="23" t="b">
        <f>if(AND(H918=TRUE,N918=TRUE,P918=TRUE),TRUE,FALSE)</f>
        <v>0</v>
      </c>
      <c r="X918" s="23" t="str">
        <f>IFERROR(__xludf.DUMMYFUNCTION("if(COUNTA(FILTER(C:C, C:C = C918))=1,""no"",""yes"")"),"no")</f>
        <v>no</v>
      </c>
    </row>
    <row r="919">
      <c r="A919" s="75" t="s">
        <v>874</v>
      </c>
      <c r="B919" s="2">
        <v>7.0</v>
      </c>
      <c r="C919" s="19" t="s">
        <v>1657</v>
      </c>
      <c r="E919" s="24">
        <f>IFERROR(__xludf.DUMMYFUNCTION("ifna(IFNA(filter('2.1.clean'!C:C,'2.1.clean'!A:A=C919),filter('2.2.clean'!E:E,'2.2.clean'!D:D=C919)),filter('2.4.clean'!C:C,'2.4.clean'!A:A=C919))"),43790.0)</f>
        <v>43790</v>
      </c>
      <c r="F919" s="25">
        <f>IFERROR(__xludf.DUMMYFUNCTION("iferror(ifna(IFNA(filter('2.1.clean'!E:E,'2.1.clean'!A:A=C919),filter('2.2.clean'!G:G,'2.2.clean'!D:D=C919)),filter('2.4.clean'!E:E,'2.4.clean'!A:A=C919)),)"),2.4)</f>
        <v>2.4</v>
      </c>
      <c r="G919" s="24">
        <f>IFERROR(__xludf.DUMMYFUNCTION("iferror(filter('3.1.clean'!C:C,'3.1.clean'!A:A=C919),"""")"),43790.0)</f>
        <v>43790</v>
      </c>
      <c r="H919" s="23" t="b">
        <f t="shared" si="718"/>
        <v>1</v>
      </c>
      <c r="J919" s="25"/>
      <c r="K919" s="24">
        <f>IFERROR(__xludf.DUMMYFUNCTION("iferror(filter('3.2.clean'!C:C,'3.2.clean'!A:A=C919),"""")"),43791.0)</f>
        <v>43791</v>
      </c>
      <c r="L919" s="25" t="b">
        <f>if(K919="",FALSE,TRUE)</f>
        <v>1</v>
      </c>
      <c r="M919" s="24">
        <f>IFERROR(__xludf.DUMMYFUNCTION("iferror(filter('3.3.clean'!C:C,'3.3.clean'!A:A=C919),"""")"),43791.0)</f>
        <v>43791</v>
      </c>
      <c r="N919" s="25" t="b">
        <f t="shared" si="713"/>
        <v>1</v>
      </c>
      <c r="O919" s="24">
        <f>IFERROR(__xludf.DUMMYFUNCTION("iferror(filter('3.4.clean'!C:C,'3.4.clean'!A:A=C919),"""")"),43795.0)</f>
        <v>43795</v>
      </c>
      <c r="P919" s="25" t="b">
        <f t="shared" si="714"/>
        <v>1</v>
      </c>
      <c r="Q919" s="24">
        <f>IFERROR(__xludf.DUMMYFUNCTION("iferror(filter('3.5.clean'!C:C,'3.5.clean'!A:A=C919),"""")"),43790.0)</f>
        <v>43790</v>
      </c>
      <c r="R919" s="23" t="b">
        <f>if(Q919="",FALSE,TRUE)</f>
        <v>1</v>
      </c>
      <c r="S919" s="25"/>
      <c r="V919" s="1" t="s">
        <v>64</v>
      </c>
      <c r="X919" s="23" t="str">
        <f>IFERROR(__xludf.DUMMYFUNCTION("if(COUNTA(FILTER(C:C, C:C = C919))=1,""no"",""yes"")"),"no")</f>
        <v>no</v>
      </c>
    </row>
    <row r="920">
      <c r="A920" s="75" t="s">
        <v>874</v>
      </c>
      <c r="B920" s="19">
        <v>8.0</v>
      </c>
      <c r="C920" s="19" t="s">
        <v>298</v>
      </c>
      <c r="D920" s="58" t="str">
        <f t="shared" ref="D920:D921" si="719">if(or(I920=1,J920=1,S920=1),"pos","")</f>
        <v/>
      </c>
      <c r="E920" s="59">
        <f>IFERROR(__xludf.DUMMYFUNCTION("ifna(IFNA(filter('2.1.clean'!C:C,'2.1.clean'!A:A=C920),filter('2.2.clean'!E:E,'2.2.clean'!D:D=C920)),filter('2.4.clean'!C:C,'2.4.clean'!A:A=C920))"),43790.0)</f>
        <v>43790</v>
      </c>
      <c r="F920" s="60">
        <f>IFERROR(__xludf.DUMMYFUNCTION("iferror(ifna(IFNA(filter('2.1.clean'!E:E,'2.1.clean'!A:A=C920),filter('2.2.clean'!G:G,'2.2.clean'!D:D=C920)),filter('2.4.clean'!E:E,'2.4.clean'!A:A=C920)),)"),2.4)</f>
        <v>2.4</v>
      </c>
      <c r="G920" s="59">
        <f>IFERROR(__xludf.DUMMYFUNCTION("iferror(filter('3.1.clean'!C:C,'3.1.clean'!A:A=C920),"""")"),43790.0)</f>
        <v>43790</v>
      </c>
      <c r="H920" s="58" t="b">
        <f t="shared" si="718"/>
        <v>1</v>
      </c>
      <c r="I920" s="58">
        <f>IFERROR(__xludf.DUMMYFUNCTION("iferror(filter('3.1.clean'!G:G,'3.1.clean'!A:A=C920),"""")"),0.0)</f>
        <v>0</v>
      </c>
      <c r="J920" s="60" t="str">
        <f>IFERROR(__xludf.DUMMYFUNCTION("iferror(filter('3.1.clean'!I:I,'3.1.clean'!A:A=C920),"""")"),"")</f>
        <v/>
      </c>
      <c r="K920" s="58"/>
      <c r="L920" s="60"/>
      <c r="M920" s="59">
        <f>IFERROR(__xludf.DUMMYFUNCTION("iferror(filter('3.3.clean'!C:C,'3.3.clean'!A:A=C920),"""")"),43791.0)</f>
        <v>43791</v>
      </c>
      <c r="N920" s="60" t="b">
        <f t="shared" si="713"/>
        <v>1</v>
      </c>
      <c r="O920" s="59">
        <f>IFERROR(__xludf.DUMMYFUNCTION("iferror(filter('3.4.clean'!C:C,'3.4.clean'!A:A=C920),"""")"),43795.0)</f>
        <v>43795</v>
      </c>
      <c r="P920" s="60" t="b">
        <f t="shared" si="714"/>
        <v>1</v>
      </c>
      <c r="Q920" s="59" t="str">
        <f>IFERROR(__xludf.DUMMYFUNCTION("iferror(filter('3.5.clean'!C:C,'3.5.clean'!A:A=C920),"""")"),"")</f>
        <v/>
      </c>
      <c r="R920" s="58"/>
      <c r="S920" s="4" t="str">
        <f>IFERROR(__xludf.DUMMYFUNCTION("iferror(filter('3.5.clean'!H:H,'3.5.clean'!A:A=C920),"""")"),"")</f>
        <v/>
      </c>
      <c r="W920" s="23" t="b">
        <f>if(AND(H920=TRUE,N920=TRUE,P920=TRUE),TRUE,FALSE)</f>
        <v>1</v>
      </c>
      <c r="X920" s="23" t="str">
        <f>IFERROR(__xludf.DUMMYFUNCTION("if(COUNTA(FILTER(C:C, C:C = C920))=1,""no"",""yes"")"),"no")</f>
        <v>no</v>
      </c>
    </row>
    <row r="921">
      <c r="A921" s="75" t="s">
        <v>874</v>
      </c>
      <c r="B921" s="19">
        <v>9.0</v>
      </c>
      <c r="C921" s="19" t="s">
        <v>297</v>
      </c>
      <c r="D921" s="61" t="str">
        <f t="shared" si="719"/>
        <v>pos</v>
      </c>
      <c r="E921" s="59">
        <f>Q921</f>
        <v>43790</v>
      </c>
      <c r="F921" s="60" t="str">
        <f>IFERROR(__xludf.DUMMYFUNCTION("iferror(ifna(IFNA(filter('2.1.clean'!E:E,'2.1.clean'!A:A=C921),filter('2.2.clean'!G:G,'2.2.clean'!D:D=C921)),filter('2.4.clean'!E:E,'2.4.clean'!A:A=C921)),)"),"")</f>
        <v/>
      </c>
      <c r="G921" s="59" t="str">
        <f>IFERROR(__xludf.DUMMYFUNCTION("iferror(filter('3.1.clean'!C:C,'3.1.clean'!A:A=C921),"""")"),"")</f>
        <v/>
      </c>
      <c r="H921" s="61"/>
      <c r="I921" s="61" t="str">
        <f>IFERROR(__xludf.DUMMYFUNCTION("iferror(filter('3.1.clean'!G:G,'3.1.clean'!A:A=C921),"""")"),"")</f>
        <v/>
      </c>
      <c r="J921" s="65" t="str">
        <f>IFERROR(__xludf.DUMMYFUNCTION("iferror(filter('3.1.clean'!I:I,'3.1.clean'!A:A=C921),"""")"),"")</f>
        <v/>
      </c>
      <c r="K921" s="66"/>
      <c r="L921" s="65"/>
      <c r="M921" s="66" t="str">
        <f>IFERROR(__xludf.DUMMYFUNCTION("iferror(filter('3.3.clean'!C:C,'3.3.clean'!A:A=C921),"""")"),"")</f>
        <v/>
      </c>
      <c r="N921" s="60" t="b">
        <f t="shared" si="713"/>
        <v>0</v>
      </c>
      <c r="O921" s="66" t="str">
        <f>IFERROR(__xludf.DUMMYFUNCTION("iferror(filter('3.4.clean'!C:C,'3.4.clean'!A:A=C921),"""")"),"")</f>
        <v/>
      </c>
      <c r="P921" s="60" t="b">
        <f t="shared" si="714"/>
        <v>0</v>
      </c>
      <c r="Q921" s="62">
        <f>IFERROR(__xludf.DUMMYFUNCTION("iferror(filter('3.5.clean'!C:C,'3.5.clean'!A:A=C921),"""")"),43790.0)</f>
        <v>43790</v>
      </c>
      <c r="R921" s="58" t="b">
        <f t="shared" ref="R921:R922" si="720">if(Q921="",FALSE,TRUE)</f>
        <v>1</v>
      </c>
      <c r="S921" s="98">
        <f>IFERROR(__xludf.DUMMYFUNCTION("iferror(filter('3.5.clean'!H:H,'3.5.clean'!A:A=C921),"""")"),1.0)</f>
        <v>1</v>
      </c>
      <c r="T921" s="39"/>
      <c r="U921" s="39"/>
      <c r="V921" s="39" t="s">
        <v>64</v>
      </c>
      <c r="W921" s="23" t="b">
        <f>if(AND(R921=TRUE,N921=TRUE,P921=TRUE),TRUE,FALSE)</f>
        <v>0</v>
      </c>
      <c r="X921" s="39" t="str">
        <f>IFERROR(__xludf.DUMMYFUNCTION("if(COUNTA(FILTER(C:C, C:C = C921))=1,""no"",""yes"")"),"no")</f>
        <v>no</v>
      </c>
    </row>
    <row r="922">
      <c r="A922" s="75" t="s">
        <v>874</v>
      </c>
      <c r="B922" s="2">
        <v>10.0</v>
      </c>
      <c r="C922" s="19" t="s">
        <v>1658</v>
      </c>
      <c r="E922" s="24">
        <f>IFERROR(__xludf.DUMMYFUNCTION("ifna(IFNA(filter('2.1.clean'!C:C,'2.1.clean'!A:A=C922),filter('2.2.clean'!E:E,'2.2.clean'!D:D=C922)),filter('2.4.clean'!C:C,'2.4.clean'!A:A=C922))"),43790.0)</f>
        <v>43790</v>
      </c>
      <c r="F922" s="25">
        <f>IFERROR(__xludf.DUMMYFUNCTION("iferror(ifna(IFNA(filter('2.1.clean'!E:E,'2.1.clean'!A:A=C922),filter('2.2.clean'!G:G,'2.2.clean'!D:D=C922)),filter('2.4.clean'!E:E,'2.4.clean'!A:A=C922)),)"),2.4)</f>
        <v>2.4</v>
      </c>
      <c r="G922" s="24">
        <f>IFERROR(__xludf.DUMMYFUNCTION("iferror(filter('3.1.clean'!C:C,'3.1.clean'!A:A=C922),"""")"),43790.0)</f>
        <v>43790</v>
      </c>
      <c r="H922" s="23" t="b">
        <f t="shared" ref="H922:H923" si="721">if(G922="",FALSE,TRUE)</f>
        <v>1</v>
      </c>
      <c r="J922" s="25"/>
      <c r="K922" s="24">
        <f>IFERROR(__xludf.DUMMYFUNCTION("iferror(filter('3.2.clean'!C:C,'3.2.clean'!A:A=C922),"""")"),43791.0)</f>
        <v>43791</v>
      </c>
      <c r="L922" s="25" t="b">
        <f>if(K922="",FALSE,TRUE)</f>
        <v>1</v>
      </c>
      <c r="M922" s="24">
        <f>IFERROR(__xludf.DUMMYFUNCTION("iferror(filter('3.3.clean'!C:C,'3.3.clean'!A:A=C922),"""")"),43791.0)</f>
        <v>43791</v>
      </c>
      <c r="N922" s="25" t="b">
        <f t="shared" si="713"/>
        <v>1</v>
      </c>
      <c r="O922" s="24">
        <f>IFERROR(__xludf.DUMMYFUNCTION("iferror(filter('3.4.clean'!C:C,'3.4.clean'!A:A=C922),"""")"),43795.0)</f>
        <v>43795</v>
      </c>
      <c r="P922" s="25" t="b">
        <f t="shared" si="714"/>
        <v>1</v>
      </c>
      <c r="Q922" s="24">
        <f>IFERROR(__xludf.DUMMYFUNCTION("iferror(filter('3.5.clean'!C:C,'3.5.clean'!A:A=C922),"""")"),43790.0)</f>
        <v>43790</v>
      </c>
      <c r="R922" s="23" t="b">
        <f t="shared" si="720"/>
        <v>1</v>
      </c>
      <c r="S922" s="25"/>
      <c r="V922" s="1" t="s">
        <v>64</v>
      </c>
      <c r="X922" s="23" t="str">
        <f>IFERROR(__xludf.DUMMYFUNCTION("if(COUNTA(FILTER(C:C, C:C = C922))=1,""no"",""yes"")"),"no")</f>
        <v>no</v>
      </c>
    </row>
    <row r="923">
      <c r="A923" s="75" t="s">
        <v>874</v>
      </c>
      <c r="B923" s="19">
        <v>11.0</v>
      </c>
      <c r="C923" s="19" t="s">
        <v>300</v>
      </c>
      <c r="D923" s="58" t="str">
        <f t="shared" ref="D923:D924" si="722">if(or(I923=1,J923=1,S923=1),"pos","")</f>
        <v/>
      </c>
      <c r="E923" s="59">
        <f>IFERROR(__xludf.DUMMYFUNCTION("ifna(IFNA(filter('2.1.clean'!C:C,'2.1.clean'!A:A=C923),filter('2.2.clean'!E:E,'2.2.clean'!D:D=C923)),filter('2.4.clean'!C:C,'2.4.clean'!A:A=C923))"),43790.0)</f>
        <v>43790</v>
      </c>
      <c r="F923" s="60">
        <f>IFERROR(__xludf.DUMMYFUNCTION("iferror(ifna(IFNA(filter('2.1.clean'!E:E,'2.1.clean'!A:A=C923),filter('2.2.clean'!G:G,'2.2.clean'!D:D=C923)),filter('2.4.clean'!E:E,'2.4.clean'!A:A=C923)),)"),2.4)</f>
        <v>2.4</v>
      </c>
      <c r="G923" s="59">
        <f>IFERROR(__xludf.DUMMYFUNCTION("iferror(filter('3.1.clean'!C:C,'3.1.clean'!A:A=C923),"""")"),43790.0)</f>
        <v>43790</v>
      </c>
      <c r="H923" s="58" t="b">
        <f t="shared" si="721"/>
        <v>1</v>
      </c>
      <c r="I923" s="58">
        <f>IFERROR(__xludf.DUMMYFUNCTION("iferror(filter('3.1.clean'!G:G,'3.1.clean'!A:A=C923),"""")"),0.0)</f>
        <v>0</v>
      </c>
      <c r="J923" s="60" t="str">
        <f>IFERROR(__xludf.DUMMYFUNCTION("iferror(filter('3.1.clean'!I:I,'3.1.clean'!A:A=C923),"""")"),"")</f>
        <v/>
      </c>
      <c r="K923" s="58"/>
      <c r="L923" s="60"/>
      <c r="M923" s="59">
        <f>IFERROR(__xludf.DUMMYFUNCTION("iferror(filter('3.3.clean'!C:C,'3.3.clean'!A:A=C923),"""")"),43791.0)</f>
        <v>43791</v>
      </c>
      <c r="N923" s="60" t="b">
        <f t="shared" si="713"/>
        <v>1</v>
      </c>
      <c r="O923" s="59">
        <f>IFERROR(__xludf.DUMMYFUNCTION("iferror(filter('3.4.clean'!C:C,'3.4.clean'!A:A=C923),"""")"),43795.0)</f>
        <v>43795</v>
      </c>
      <c r="P923" s="60" t="b">
        <f t="shared" si="714"/>
        <v>1</v>
      </c>
      <c r="Q923" s="59" t="str">
        <f>IFERROR(__xludf.DUMMYFUNCTION("iferror(filter('3.5.clean'!C:C,'3.5.clean'!A:A=C923),"""")"),"")</f>
        <v/>
      </c>
      <c r="R923" s="58"/>
      <c r="S923" s="4" t="str">
        <f>IFERROR(__xludf.DUMMYFUNCTION("iferror(filter('3.5.clean'!H:H,'3.5.clean'!A:A=C923),"""")"),"")</f>
        <v/>
      </c>
      <c r="W923" s="23" t="b">
        <f>if(AND(H923=TRUE,N923=TRUE,P923=TRUE),TRUE,FALSE)</f>
        <v>1</v>
      </c>
      <c r="X923" s="23" t="str">
        <f>IFERROR(__xludf.DUMMYFUNCTION("if(COUNTA(FILTER(C:C, C:C = C923))=1,""no"",""yes"")"),"no")</f>
        <v>no</v>
      </c>
    </row>
    <row r="924">
      <c r="A924" s="75" t="s">
        <v>874</v>
      </c>
      <c r="B924" s="19">
        <v>12.0</v>
      </c>
      <c r="C924" s="19" t="s">
        <v>299</v>
      </c>
      <c r="D924" s="61" t="str">
        <f t="shared" si="722"/>
        <v/>
      </c>
      <c r="E924" s="59">
        <f>Q924</f>
        <v>43790</v>
      </c>
      <c r="F924" s="60" t="str">
        <f>IFERROR(__xludf.DUMMYFUNCTION("iferror(ifna(IFNA(filter('2.1.clean'!E:E,'2.1.clean'!A:A=C924),filter('2.2.clean'!G:G,'2.2.clean'!D:D=C924)),filter('2.4.clean'!E:E,'2.4.clean'!A:A=C924)),)"),"")</f>
        <v/>
      </c>
      <c r="G924" s="59" t="str">
        <f>IFERROR(__xludf.DUMMYFUNCTION("iferror(filter('3.1.clean'!C:C,'3.1.clean'!A:A=C924),"""")"),"")</f>
        <v/>
      </c>
      <c r="H924" s="61"/>
      <c r="I924" s="61" t="str">
        <f>IFERROR(__xludf.DUMMYFUNCTION("iferror(filter('3.1.clean'!G:G,'3.1.clean'!A:A=C924),"""")"),"")</f>
        <v/>
      </c>
      <c r="J924" s="65" t="str">
        <f>IFERROR(__xludf.DUMMYFUNCTION("iferror(filter('3.1.clean'!I:I,'3.1.clean'!A:A=C924),"""")"),"")</f>
        <v/>
      </c>
      <c r="K924" s="66"/>
      <c r="L924" s="65"/>
      <c r="M924" s="66" t="str">
        <f>IFERROR(__xludf.DUMMYFUNCTION("iferror(filter('3.3.clean'!C:C,'3.3.clean'!A:A=C924),"""")"),"")</f>
        <v/>
      </c>
      <c r="N924" s="60" t="b">
        <f t="shared" si="713"/>
        <v>0</v>
      </c>
      <c r="O924" s="66" t="str">
        <f>IFERROR(__xludf.DUMMYFUNCTION("iferror(filter('3.4.clean'!C:C,'3.4.clean'!A:A=C924),"""")"),"")</f>
        <v/>
      </c>
      <c r="P924" s="60" t="b">
        <f t="shared" si="714"/>
        <v>0</v>
      </c>
      <c r="Q924" s="62">
        <f>IFERROR(__xludf.DUMMYFUNCTION("iferror(filter('3.5.clean'!C:C,'3.5.clean'!A:A=C924),"""")"),43790.0)</f>
        <v>43790</v>
      </c>
      <c r="R924" s="58" t="b">
        <f t="shared" ref="R924:R925" si="723">if(Q924="",FALSE,TRUE)</f>
        <v>1</v>
      </c>
      <c r="S924" s="98">
        <f>IFERROR(__xludf.DUMMYFUNCTION("iferror(filter('3.5.clean'!H:H,'3.5.clean'!A:A=C924),"""")"),0.0)</f>
        <v>0</v>
      </c>
      <c r="T924" s="39"/>
      <c r="U924" s="39"/>
      <c r="V924" s="39" t="s">
        <v>64</v>
      </c>
      <c r="W924" s="23" t="b">
        <f>if(AND(R924=TRUE,N924=TRUE,P924=TRUE),TRUE,FALSE)</f>
        <v>0</v>
      </c>
      <c r="X924" s="39" t="str">
        <f>IFERROR(__xludf.DUMMYFUNCTION("if(COUNTA(FILTER(C:C, C:C = C924))=1,""no"",""yes"")"),"no")</f>
        <v>no</v>
      </c>
    </row>
    <row r="925">
      <c r="A925" s="75" t="s">
        <v>874</v>
      </c>
      <c r="B925" s="2">
        <v>13.0</v>
      </c>
      <c r="C925" s="19" t="s">
        <v>1659</v>
      </c>
      <c r="E925" s="24">
        <f>IFERROR(__xludf.DUMMYFUNCTION("ifna(IFNA(filter('2.1.clean'!C:C,'2.1.clean'!A:A=C925),filter('2.2.clean'!E:E,'2.2.clean'!D:D=C925)),filter('2.4.clean'!C:C,'2.4.clean'!A:A=C925))"),43790.0)</f>
        <v>43790</v>
      </c>
      <c r="F925" s="25">
        <f>IFERROR(__xludf.DUMMYFUNCTION("iferror(ifna(IFNA(filter('2.1.clean'!E:E,'2.1.clean'!A:A=C925),filter('2.2.clean'!G:G,'2.2.clean'!D:D=C925)),filter('2.4.clean'!E:E,'2.4.clean'!A:A=C925)),)"),2.4)</f>
        <v>2.4</v>
      </c>
      <c r="G925" s="24">
        <f>IFERROR(__xludf.DUMMYFUNCTION("iferror(filter('3.1.clean'!C:C,'3.1.clean'!A:A=C925),"""")"),43790.0)</f>
        <v>43790</v>
      </c>
      <c r="H925" s="23" t="b">
        <f t="shared" ref="H925:H926" si="724">if(G925="",FALSE,TRUE)</f>
        <v>1</v>
      </c>
      <c r="J925" s="25"/>
      <c r="K925" s="24">
        <f>IFERROR(__xludf.DUMMYFUNCTION("iferror(filter('3.2.clean'!C:C,'3.2.clean'!A:A=C925),"""")"),43791.0)</f>
        <v>43791</v>
      </c>
      <c r="L925" s="25" t="b">
        <f>if(K925="",FALSE,TRUE)</f>
        <v>1</v>
      </c>
      <c r="M925" s="24">
        <f>IFERROR(__xludf.DUMMYFUNCTION("iferror(filter('3.3.clean'!C:C,'3.3.clean'!A:A=C925),"""")"),43791.0)</f>
        <v>43791</v>
      </c>
      <c r="N925" s="25" t="b">
        <f t="shared" si="713"/>
        <v>1</v>
      </c>
      <c r="O925" s="24">
        <f>IFERROR(__xludf.DUMMYFUNCTION("iferror(filter('3.4.clean'!C:C,'3.4.clean'!A:A=C925),"""")"),43795.0)</f>
        <v>43795</v>
      </c>
      <c r="P925" s="25" t="b">
        <f t="shared" si="714"/>
        <v>1</v>
      </c>
      <c r="Q925" s="24">
        <f>IFERROR(__xludf.DUMMYFUNCTION("iferror(filter('3.5.clean'!C:C,'3.5.clean'!A:A=C925),"""")"),43790.0)</f>
        <v>43790</v>
      </c>
      <c r="R925" s="23" t="b">
        <f t="shared" si="723"/>
        <v>1</v>
      </c>
      <c r="S925" s="25"/>
      <c r="V925" s="1" t="s">
        <v>64</v>
      </c>
      <c r="X925" s="23" t="str">
        <f>IFERROR(__xludf.DUMMYFUNCTION("if(COUNTA(FILTER(C:C, C:C = C925))=1,""no"",""yes"")"),"no")</f>
        <v>no</v>
      </c>
    </row>
    <row r="926">
      <c r="A926" s="75" t="s">
        <v>874</v>
      </c>
      <c r="B926" s="19">
        <v>14.0</v>
      </c>
      <c r="C926" s="19" t="s">
        <v>302</v>
      </c>
      <c r="D926" s="58" t="str">
        <f t="shared" ref="D926:D927" si="725">if(or(I926=1,J926=1,S926=1),"pos","")</f>
        <v/>
      </c>
      <c r="E926" s="59">
        <f>IFERROR(__xludf.DUMMYFUNCTION("ifna(IFNA(filter('2.1.clean'!C:C,'2.1.clean'!A:A=C926),filter('2.2.clean'!E:E,'2.2.clean'!D:D=C926)),filter('2.4.clean'!C:C,'2.4.clean'!A:A=C926))"),43790.0)</f>
        <v>43790</v>
      </c>
      <c r="F926" s="60">
        <f>IFERROR(__xludf.DUMMYFUNCTION("iferror(ifna(IFNA(filter('2.1.clean'!E:E,'2.1.clean'!A:A=C926),filter('2.2.clean'!G:G,'2.2.clean'!D:D=C926)),filter('2.4.clean'!E:E,'2.4.clean'!A:A=C926)),)"),2.4)</f>
        <v>2.4</v>
      </c>
      <c r="G926" s="59">
        <f>IFERROR(__xludf.DUMMYFUNCTION("iferror(filter('3.1.clean'!C:C,'3.1.clean'!A:A=C926),"""")"),43790.0)</f>
        <v>43790</v>
      </c>
      <c r="H926" s="58" t="b">
        <f t="shared" si="724"/>
        <v>1</v>
      </c>
      <c r="I926" s="58">
        <f>IFERROR(__xludf.DUMMYFUNCTION("iferror(filter('3.1.clean'!G:G,'3.1.clean'!A:A=C926),"""")"),0.0)</f>
        <v>0</v>
      </c>
      <c r="J926" s="60" t="str">
        <f>IFERROR(__xludf.DUMMYFUNCTION("iferror(filter('3.1.clean'!I:I,'3.1.clean'!A:A=C926),"""")"),"")</f>
        <v/>
      </c>
      <c r="K926" s="58"/>
      <c r="L926" s="60"/>
      <c r="M926" s="59">
        <f>IFERROR(__xludf.DUMMYFUNCTION("iferror(filter('3.3.clean'!C:C,'3.3.clean'!A:A=C926),"""")"),43791.0)</f>
        <v>43791</v>
      </c>
      <c r="N926" s="60" t="b">
        <f t="shared" si="713"/>
        <v>1</v>
      </c>
      <c r="O926" s="59" t="str">
        <f>IFERROR(__xludf.DUMMYFUNCTION("iferror(filter('3.4.clean'!C:C,'3.4.clean'!A:A=C926),"""")"),"")</f>
        <v/>
      </c>
      <c r="P926" s="60" t="b">
        <f t="shared" si="714"/>
        <v>0</v>
      </c>
      <c r="Q926" s="59" t="str">
        <f>IFERROR(__xludf.DUMMYFUNCTION("iferror(filter('3.5.clean'!C:C,'3.5.clean'!A:A=C926),"""")"),"")</f>
        <v/>
      </c>
      <c r="R926" s="58"/>
      <c r="S926" s="4" t="str">
        <f>IFERROR(__xludf.DUMMYFUNCTION("iferror(filter('3.5.clean'!H:H,'3.5.clean'!A:A=C926),"""")"),"")</f>
        <v/>
      </c>
      <c r="W926" s="23" t="b">
        <f>if(AND(H926=TRUE,N926=TRUE,P926=TRUE),TRUE,FALSE)</f>
        <v>0</v>
      </c>
      <c r="X926" s="23" t="str">
        <f>IFERROR(__xludf.DUMMYFUNCTION("if(COUNTA(FILTER(C:C, C:C = C926))=1,""no"",""yes"")"),"no")</f>
        <v>no</v>
      </c>
    </row>
    <row r="927">
      <c r="A927" s="75" t="s">
        <v>874</v>
      </c>
      <c r="B927" s="19">
        <v>15.0</v>
      </c>
      <c r="C927" s="19" t="s">
        <v>301</v>
      </c>
      <c r="D927" s="61" t="str">
        <f t="shared" si="725"/>
        <v/>
      </c>
      <c r="E927" s="59">
        <f>Q927</f>
        <v>43790</v>
      </c>
      <c r="F927" s="60" t="str">
        <f>IFERROR(__xludf.DUMMYFUNCTION("iferror(ifna(IFNA(filter('2.1.clean'!E:E,'2.1.clean'!A:A=C927),filter('2.2.clean'!G:G,'2.2.clean'!D:D=C927)),filter('2.4.clean'!E:E,'2.4.clean'!A:A=C927)),)"),"")</f>
        <v/>
      </c>
      <c r="G927" s="59" t="str">
        <f>IFERROR(__xludf.DUMMYFUNCTION("iferror(filter('3.1.clean'!C:C,'3.1.clean'!A:A=C927),"""")"),"")</f>
        <v/>
      </c>
      <c r="H927" s="61"/>
      <c r="I927" s="61" t="str">
        <f>IFERROR(__xludf.DUMMYFUNCTION("iferror(filter('3.1.clean'!G:G,'3.1.clean'!A:A=C927),"""")"),"")</f>
        <v/>
      </c>
      <c r="J927" s="65" t="str">
        <f>IFERROR(__xludf.DUMMYFUNCTION("iferror(filter('3.1.clean'!I:I,'3.1.clean'!A:A=C927),"""")"),"")</f>
        <v/>
      </c>
      <c r="K927" s="66"/>
      <c r="L927" s="65"/>
      <c r="M927" s="66" t="str">
        <f>IFERROR(__xludf.DUMMYFUNCTION("iferror(filter('3.3.clean'!C:C,'3.3.clean'!A:A=C927),"""")"),"")</f>
        <v/>
      </c>
      <c r="N927" s="60" t="b">
        <f t="shared" si="713"/>
        <v>0</v>
      </c>
      <c r="O927" s="66" t="str">
        <f>IFERROR(__xludf.DUMMYFUNCTION("iferror(filter('3.4.clean'!C:C,'3.4.clean'!A:A=C927),"""")"),"")</f>
        <v/>
      </c>
      <c r="P927" s="60" t="b">
        <f t="shared" si="714"/>
        <v>0</v>
      </c>
      <c r="Q927" s="62">
        <f>IFERROR(__xludf.DUMMYFUNCTION("iferror(filter('3.5.clean'!C:C,'3.5.clean'!A:A=C927),"""")"),43790.0)</f>
        <v>43790</v>
      </c>
      <c r="R927" s="58" t="b">
        <f t="shared" ref="R927:R928" si="726">if(Q927="",FALSE,TRUE)</f>
        <v>1</v>
      </c>
      <c r="S927" s="98">
        <f>IFERROR(__xludf.DUMMYFUNCTION("iferror(filter('3.5.clean'!H:H,'3.5.clean'!A:A=C927),"""")"),0.0)</f>
        <v>0</v>
      </c>
      <c r="T927" s="39"/>
      <c r="U927" s="39"/>
      <c r="V927" s="39" t="s">
        <v>64</v>
      </c>
      <c r="W927" s="23" t="b">
        <f>if(AND(R927=TRUE,N927=TRUE,P927=TRUE),TRUE,FALSE)</f>
        <v>0</v>
      </c>
      <c r="X927" s="39" t="str">
        <f>IFERROR(__xludf.DUMMYFUNCTION("if(COUNTA(FILTER(C:C, C:C = C927))=1,""no"",""yes"")"),"no")</f>
        <v>no</v>
      </c>
    </row>
    <row r="928">
      <c r="A928" s="75" t="s">
        <v>874</v>
      </c>
      <c r="B928" s="2">
        <v>16.0</v>
      </c>
      <c r="C928" s="19" t="s">
        <v>1660</v>
      </c>
      <c r="E928" s="24">
        <f>IFERROR(__xludf.DUMMYFUNCTION("ifna(IFNA(filter('2.1.clean'!C:C,'2.1.clean'!A:A=C928),filter('2.2.clean'!E:E,'2.2.clean'!D:D=C928)),filter('2.4.clean'!C:C,'2.4.clean'!A:A=C928))"),43790.0)</f>
        <v>43790</v>
      </c>
      <c r="F928" s="25">
        <f>IFERROR(__xludf.DUMMYFUNCTION("iferror(ifna(IFNA(filter('2.1.clean'!E:E,'2.1.clean'!A:A=C928),filter('2.2.clean'!G:G,'2.2.clean'!D:D=C928)),filter('2.4.clean'!E:E,'2.4.clean'!A:A=C928)),)"),2.4)</f>
        <v>2.4</v>
      </c>
      <c r="G928" s="24">
        <f>IFERROR(__xludf.DUMMYFUNCTION("iferror(filter('3.1.clean'!C:C,'3.1.clean'!A:A=C928),"""")"),43790.0)</f>
        <v>43790</v>
      </c>
      <c r="H928" s="23" t="b">
        <f t="shared" ref="H928:H929" si="727">if(G928="",FALSE,TRUE)</f>
        <v>1</v>
      </c>
      <c r="J928" s="25"/>
      <c r="K928" s="24">
        <f>IFERROR(__xludf.DUMMYFUNCTION("iferror(filter('3.2.clean'!C:C,'3.2.clean'!A:A=C928),"""")"),43791.0)</f>
        <v>43791</v>
      </c>
      <c r="L928" s="25" t="b">
        <f>if(K928="",FALSE,TRUE)</f>
        <v>1</v>
      </c>
      <c r="M928" s="24">
        <f>IFERROR(__xludf.DUMMYFUNCTION("iferror(filter('3.3.clean'!C:C,'3.3.clean'!A:A=C928),"""")"),43791.0)</f>
        <v>43791</v>
      </c>
      <c r="N928" s="25" t="b">
        <f t="shared" si="713"/>
        <v>1</v>
      </c>
      <c r="O928" s="24">
        <f>IFERROR(__xludf.DUMMYFUNCTION("iferror(filter('3.4.clean'!C:C,'3.4.clean'!A:A=C928),"""")"),43795.0)</f>
        <v>43795</v>
      </c>
      <c r="P928" s="25" t="b">
        <f t="shared" si="714"/>
        <v>1</v>
      </c>
      <c r="Q928" s="24">
        <f>IFERROR(__xludf.DUMMYFUNCTION("iferror(filter('3.5.clean'!C:C,'3.5.clean'!A:A=C928),"""")"),43790.0)</f>
        <v>43790</v>
      </c>
      <c r="R928" s="23" t="b">
        <f t="shared" si="726"/>
        <v>1</v>
      </c>
      <c r="S928" s="25"/>
      <c r="V928" s="1" t="s">
        <v>64</v>
      </c>
      <c r="X928" s="23" t="str">
        <f>IFERROR(__xludf.DUMMYFUNCTION("if(COUNTA(FILTER(C:C, C:C = C928))=1,""no"",""yes"")"),"no")</f>
        <v>no</v>
      </c>
    </row>
    <row r="929">
      <c r="A929" s="75" t="s">
        <v>874</v>
      </c>
      <c r="B929" s="19">
        <v>17.0</v>
      </c>
      <c r="C929" s="19" t="s">
        <v>304</v>
      </c>
      <c r="D929" s="58" t="str">
        <f t="shared" ref="D929:D932" si="728">if(or(I929=1,J929=1,S929=1),"pos","")</f>
        <v/>
      </c>
      <c r="E929" s="59">
        <f>IFERROR(__xludf.DUMMYFUNCTION("ifna(IFNA(filter('2.1.clean'!C:C,'2.1.clean'!A:A=C929),filter('2.2.clean'!E:E,'2.2.clean'!D:D=C929)),filter('2.4.clean'!C:C,'2.4.clean'!A:A=C929))"),43790.0)</f>
        <v>43790</v>
      </c>
      <c r="F929" s="60">
        <f>IFERROR(__xludf.DUMMYFUNCTION("iferror(ifna(IFNA(filter('2.1.clean'!E:E,'2.1.clean'!A:A=C929),filter('2.2.clean'!G:G,'2.2.clean'!D:D=C929)),filter('2.4.clean'!E:E,'2.4.clean'!A:A=C929)),)"),2.4)</f>
        <v>2.4</v>
      </c>
      <c r="G929" s="59">
        <f>IFERROR(__xludf.DUMMYFUNCTION("iferror(filter('3.1.clean'!C:C,'3.1.clean'!A:A=C929),"""")"),43790.0)</f>
        <v>43790</v>
      </c>
      <c r="H929" s="58" t="b">
        <f t="shared" si="727"/>
        <v>1</v>
      </c>
      <c r="I929" s="58">
        <f>IFERROR(__xludf.DUMMYFUNCTION("iferror(filter('3.1.clean'!G:G,'3.1.clean'!A:A=C929),"""")"),0.0)</f>
        <v>0</v>
      </c>
      <c r="J929" s="60" t="str">
        <f>IFERROR(__xludf.DUMMYFUNCTION("iferror(filter('3.1.clean'!I:I,'3.1.clean'!A:A=C929),"""")"),"")</f>
        <v/>
      </c>
      <c r="K929" s="58"/>
      <c r="L929" s="60"/>
      <c r="M929" s="59">
        <f>IFERROR(__xludf.DUMMYFUNCTION("iferror(filter('3.3.clean'!C:C,'3.3.clean'!A:A=C929),"""")"),43791.0)</f>
        <v>43791</v>
      </c>
      <c r="N929" s="60" t="b">
        <f t="shared" si="713"/>
        <v>1</v>
      </c>
      <c r="O929" s="59" t="str">
        <f>IFERROR(__xludf.DUMMYFUNCTION("iferror(filter('3.4.clean'!C:C,'3.4.clean'!A:A=C929),"""")"),"")</f>
        <v/>
      </c>
      <c r="P929" s="60" t="b">
        <f t="shared" si="714"/>
        <v>0</v>
      </c>
      <c r="Q929" s="59" t="str">
        <f>IFERROR(__xludf.DUMMYFUNCTION("iferror(filter('3.5.clean'!C:C,'3.5.clean'!A:A=C929),"""")"),"")</f>
        <v/>
      </c>
      <c r="R929" s="58"/>
      <c r="S929" s="4" t="str">
        <f>IFERROR(__xludf.DUMMYFUNCTION("iferror(filter('3.5.clean'!H:H,'3.5.clean'!A:A=C929),"""")"),"")</f>
        <v/>
      </c>
      <c r="W929" s="23" t="b">
        <f>if(AND(H929=TRUE,N929=TRUE,P929=TRUE),TRUE,FALSE)</f>
        <v>0</v>
      </c>
      <c r="X929" s="23" t="str">
        <f>IFERROR(__xludf.DUMMYFUNCTION("if(COUNTA(FILTER(C:C, C:C = C929))=1,""no"",""yes"")"),"no")</f>
        <v>no</v>
      </c>
    </row>
    <row r="930">
      <c r="A930" s="75" t="s">
        <v>874</v>
      </c>
      <c r="B930" s="19">
        <v>18.0</v>
      </c>
      <c r="C930" s="19" t="s">
        <v>303</v>
      </c>
      <c r="D930" s="61" t="str">
        <f t="shared" si="728"/>
        <v/>
      </c>
      <c r="E930" s="59">
        <f t="shared" ref="E930:E931" si="729">Q930</f>
        <v>43790</v>
      </c>
      <c r="F930" s="60" t="str">
        <f>IFERROR(__xludf.DUMMYFUNCTION("iferror(ifna(IFNA(filter('2.1.clean'!E:E,'2.1.clean'!A:A=C930),filter('2.2.clean'!G:G,'2.2.clean'!D:D=C930)),filter('2.4.clean'!E:E,'2.4.clean'!A:A=C930)),)"),"")</f>
        <v/>
      </c>
      <c r="G930" s="59" t="str">
        <f>IFERROR(__xludf.DUMMYFUNCTION("iferror(filter('3.1.clean'!C:C,'3.1.clean'!A:A=C930),"""")"),"")</f>
        <v/>
      </c>
      <c r="H930" s="61"/>
      <c r="I930" s="61" t="str">
        <f>IFERROR(__xludf.DUMMYFUNCTION("iferror(filter('3.1.clean'!G:G,'3.1.clean'!A:A=C930),"""")"),"")</f>
        <v/>
      </c>
      <c r="J930" s="61" t="str">
        <f>IFERROR(__xludf.DUMMYFUNCTION("iferror(filter('3.1.clean'!I:I,'3.1.clean'!A:A=C930),"""")"),"")</f>
        <v/>
      </c>
      <c r="K930" s="66"/>
      <c r="L930" s="61"/>
      <c r="M930" s="66" t="str">
        <f>IFERROR(__xludf.DUMMYFUNCTION("iferror(filter('3.3.clean'!C:C,'3.3.clean'!A:A=C930),"""")"),"")</f>
        <v/>
      </c>
      <c r="N930" s="58" t="b">
        <f t="shared" si="713"/>
        <v>0</v>
      </c>
      <c r="O930" s="66" t="str">
        <f>IFERROR(__xludf.DUMMYFUNCTION("iferror(filter('3.4.clean'!C:C,'3.4.clean'!A:A=C930),"""")"),"")</f>
        <v/>
      </c>
      <c r="P930" s="58" t="b">
        <f t="shared" si="714"/>
        <v>0</v>
      </c>
      <c r="Q930" s="62">
        <f>IFERROR(__xludf.DUMMYFUNCTION("iferror(filter('3.5.clean'!C:C,'3.5.clean'!A:A=C930),"""")"),43790.0)</f>
        <v>43790</v>
      </c>
      <c r="R930" s="58" t="b">
        <f t="shared" ref="R930:R931" si="730">if(Q930="",FALSE,TRUE)</f>
        <v>1</v>
      </c>
      <c r="S930" s="99">
        <f>IFERROR(__xludf.DUMMYFUNCTION("iferror(filter('3.5.clean'!H:H,'3.5.clean'!A:A=C930),"""")"),0.0)</f>
        <v>0</v>
      </c>
      <c r="T930" s="39"/>
      <c r="U930" s="39"/>
      <c r="V930" s="39" t="s">
        <v>64</v>
      </c>
      <c r="W930" s="23" t="b">
        <f>if(AND(R930=TRUE,N930=TRUE,P930=TRUE),TRUE,FALSE)</f>
        <v>0</v>
      </c>
      <c r="X930" s="39" t="str">
        <f>IFERROR(__xludf.DUMMYFUNCTION("if(COUNTA(FILTER(C:C, C:C = C930))=1,""no"",""yes"")"),"no")</f>
        <v>no</v>
      </c>
    </row>
    <row r="931">
      <c r="A931" s="75" t="s">
        <v>874</v>
      </c>
      <c r="B931" s="19">
        <v>19.0</v>
      </c>
      <c r="C931" s="19" t="s">
        <v>1661</v>
      </c>
      <c r="D931" s="22" t="str">
        <f t="shared" si="728"/>
        <v/>
      </c>
      <c r="E931" s="20">
        <f t="shared" si="729"/>
        <v>43790</v>
      </c>
      <c r="F931" s="79" t="str">
        <f>IFERROR(__xludf.DUMMYFUNCTION("iferror(ifna(IFNA(filter('2.1.clean'!E:E,'2.1.clean'!A:A=C931),filter('2.2.clean'!G:G,'2.2.clean'!D:D=C931)),filter('2.4.clean'!E:E,'2.4.clean'!A:A=C931)),)"),"")</f>
        <v/>
      </c>
      <c r="G931" s="20" t="str">
        <f>IFERROR(__xludf.DUMMYFUNCTION("iferror(filter('3.1.clean'!C:C,'3.1.clean'!A:A=C931),"""")"),"")</f>
        <v/>
      </c>
      <c r="H931" s="22"/>
      <c r="I931" s="22"/>
      <c r="J931" s="79"/>
      <c r="K931" s="20" t="str">
        <f>IFERROR(__xludf.DUMMYFUNCTION("iferror(filter('3.2.clean'!C:C,'3.2.clean'!A:A=C931),"""")"),"")</f>
        <v/>
      </c>
      <c r="L931" s="79"/>
      <c r="M931" s="20" t="str">
        <f>IFERROR(__xludf.DUMMYFUNCTION("iferror(filter('3.3.clean'!C:C,'3.3.clean'!A:A=C931),"""")"),"")</f>
        <v/>
      </c>
      <c r="N931" s="79" t="b">
        <f t="shared" si="713"/>
        <v>0</v>
      </c>
      <c r="O931" s="20" t="str">
        <f>IFERROR(__xludf.DUMMYFUNCTION("iferror(filter('3.4.clean'!C:C,'3.4.clean'!A:A=C931),"""")"),"")</f>
        <v/>
      </c>
      <c r="P931" s="79" t="b">
        <f t="shared" si="714"/>
        <v>0</v>
      </c>
      <c r="Q931" s="20">
        <f>IFERROR(__xludf.DUMMYFUNCTION("iferror(filter('3.5.clean'!C:C,'3.5.clean'!A:A=C931),"""")"),43790.0)</f>
        <v>43790</v>
      </c>
      <c r="R931" s="22" t="b">
        <f t="shared" si="730"/>
        <v>1</v>
      </c>
      <c r="S931" s="4">
        <f>IFERROR(__xludf.DUMMYFUNCTION("iferror(filter('3.5.clean'!H:H,'3.5.clean'!A:A=C931),"""")"),0.0)</f>
        <v>0</v>
      </c>
      <c r="V931" s="1" t="s">
        <v>64</v>
      </c>
      <c r="W931" s="23" t="b">
        <f>IF(and(R931=TRUE,N931=TRUE,P931=TRUE),TRUE,FALSE)</f>
        <v>0</v>
      </c>
      <c r="X931" s="23" t="str">
        <f>IFERROR(__xludf.DUMMYFUNCTION("if(COUNTA(FILTER(C:C, C:C = C931))=1,""no"",""yes"")"),"no")</f>
        <v>no</v>
      </c>
      <c r="Y931" s="39"/>
      <c r="Z931" s="39"/>
      <c r="AA931" s="39"/>
      <c r="AB931" s="39"/>
      <c r="AC931" s="39"/>
      <c r="AD931" s="39"/>
      <c r="AE931" s="39"/>
      <c r="AF931" s="39"/>
      <c r="AG931" s="39"/>
      <c r="AH931" s="39"/>
    </row>
    <row r="932">
      <c r="A932" s="75" t="s">
        <v>874</v>
      </c>
      <c r="B932" s="19">
        <v>20.0</v>
      </c>
      <c r="C932" s="19" t="s">
        <v>1662</v>
      </c>
      <c r="D932" s="76" t="str">
        <f t="shared" si="728"/>
        <v/>
      </c>
      <c r="E932" s="77">
        <f>G932</f>
        <v>43790</v>
      </c>
      <c r="F932" s="78" t="str">
        <f>IFERROR(__xludf.DUMMYFUNCTION("iferror(ifna(IFNA(filter('2.1.clean'!E:E,'2.1.clean'!A:A=C932),filter('2.2.clean'!G:G,'2.2.clean'!D:D=C932)),filter('2.4.clean'!E:E,'2.4.clean'!A:A=C932)),)"),"")</f>
        <v/>
      </c>
      <c r="G932" s="77">
        <f>IFERROR(__xludf.DUMMYFUNCTION("iferror(filter('3.1.clean'!C:C,'3.1.clean'!A:A=C932),"""")"),43790.0)</f>
        <v>43790</v>
      </c>
      <c r="H932" s="76" t="b">
        <f>if(G932="",FALSE,TRUE)</f>
        <v>1</v>
      </c>
      <c r="I932" s="76">
        <f>IFERROR(__xludf.DUMMYFUNCTION("iferror(filter('3.1.clean'!G:G,'3.1.clean'!A:A=C932),"""")"),0.0)</f>
        <v>0</v>
      </c>
      <c r="J932" s="78" t="str">
        <f>IFERROR(__xludf.DUMMYFUNCTION("iferror(filter('3.1.clean'!I:I,'3.1.clean'!A:A=C932),"""")"),"")</f>
        <v/>
      </c>
      <c r="K932" s="77"/>
      <c r="L932" s="78"/>
      <c r="M932" s="77"/>
      <c r="N932" s="78"/>
      <c r="O932" s="77"/>
      <c r="P932" s="78"/>
      <c r="Q932" s="77"/>
      <c r="R932" s="76"/>
      <c r="S932" s="25"/>
      <c r="V932" s="1" t="s">
        <v>64</v>
      </c>
      <c r="W932" s="1" t="b">
        <v>1</v>
      </c>
      <c r="X932" s="23" t="str">
        <f>IFERROR(__xludf.DUMMYFUNCTION("if(COUNTA(FILTER(C:C, C:C = C932))=1,""no"",""yes"")"),"no")</f>
        <v>no</v>
      </c>
    </row>
    <row r="933">
      <c r="A933" s="75" t="s">
        <v>874</v>
      </c>
      <c r="B933" s="2">
        <v>21.0</v>
      </c>
      <c r="C933" s="19" t="s">
        <v>1663</v>
      </c>
      <c r="E933" s="24">
        <v>43790.0</v>
      </c>
      <c r="F933" s="25" t="str">
        <f>IFERROR(__xludf.DUMMYFUNCTION("iferror(ifna(IFNA(filter('2.1.clean'!E:E,'2.1.clean'!A:A=C933),filter('2.2.clean'!G:G,'2.2.clean'!D:D=C933)),filter('2.4.clean'!E:E,'2.4.clean'!A:A=C933)),)"),"")</f>
        <v/>
      </c>
      <c r="G933" s="24" t="str">
        <f>IFERROR(__xludf.DUMMYFUNCTION("iferror(filter('3.1.clean'!C:C,'3.1.clean'!A:A=C933),"""")"),"")</f>
        <v/>
      </c>
      <c r="J933" s="25"/>
      <c r="K933" s="24" t="str">
        <f>IFERROR(__xludf.DUMMYFUNCTION("iferror(filter('3.2.clean'!C:C,'3.2.clean'!A:A=C933),"""")"),"")</f>
        <v/>
      </c>
      <c r="L933" s="25"/>
      <c r="M933" s="24">
        <f>IFERROR(__xludf.DUMMYFUNCTION("iferror(filter('3.3.clean'!C:C,'3.3.clean'!A:A=C933),"""")"),43791.0)</f>
        <v>43791</v>
      </c>
      <c r="N933" s="25" t="b">
        <f t="shared" ref="N933:N935" si="731">if(M933="",FALSE,TRUE)</f>
        <v>1</v>
      </c>
      <c r="O933" s="24">
        <f>IFERROR(__xludf.DUMMYFUNCTION("iferror(filter('3.4.clean'!C:C,'3.4.clean'!A:A=C933),"""")"),43795.0)</f>
        <v>43795</v>
      </c>
      <c r="P933" s="25" t="b">
        <f t="shared" ref="P933:P935" si="732">if(O933="",FALSE,TRUE)</f>
        <v>1</v>
      </c>
      <c r="Q933" s="24" t="str">
        <f>IFERROR(__xludf.DUMMYFUNCTION("iferror(filter('3.5.clean'!C:C,'3.5.clean'!A:A=C933),"""")"),"")</f>
        <v/>
      </c>
      <c r="S933" s="25"/>
      <c r="V933" s="52" t="s">
        <v>64</v>
      </c>
      <c r="X933" s="23" t="str">
        <f>IFERROR(__xludf.DUMMYFUNCTION("if(COUNTA(FILTER(C:C, C:C = C933))=1,""no"",""yes"")"),"no")</f>
        <v>no</v>
      </c>
      <c r="Y933" s="39"/>
      <c r="Z933" s="39"/>
      <c r="AA933" s="39"/>
      <c r="AB933" s="39"/>
      <c r="AC933" s="39"/>
      <c r="AD933" s="39"/>
      <c r="AE933" s="39"/>
      <c r="AF933" s="39"/>
      <c r="AG933" s="39"/>
      <c r="AH933" s="39"/>
    </row>
    <row r="934">
      <c r="A934" s="1" t="s">
        <v>878</v>
      </c>
      <c r="B934" s="2">
        <v>1.0</v>
      </c>
      <c r="C934" s="19" t="s">
        <v>1664</v>
      </c>
      <c r="E934" s="24">
        <f>IFERROR(__xludf.DUMMYFUNCTION("ifna(IFNA(filter('2.1.clean'!C:C,'2.1.clean'!A:A=C934),filter('2.2.clean'!E:E,'2.2.clean'!D:D=C934)),filter('2.4.clean'!C:C,'2.4.clean'!A:A=C934))"),43791.0)</f>
        <v>43791</v>
      </c>
      <c r="F934" s="25">
        <f>IFERROR(__xludf.DUMMYFUNCTION("iferror(ifna(IFNA(filter('2.1.clean'!E:E,'2.1.clean'!A:A=C934),filter('2.2.clean'!G:G,'2.2.clean'!D:D=C934)),filter('2.4.clean'!E:E,'2.4.clean'!A:A=C934)),)"),2.4)</f>
        <v>2.4</v>
      </c>
      <c r="G934" s="24">
        <f>IFERROR(__xludf.DUMMYFUNCTION("iferror(filter('3.1.clean'!C:C,'3.1.clean'!A:A=C934),"""")"),43791.0)</f>
        <v>43791</v>
      </c>
      <c r="H934" s="23" t="b">
        <f t="shared" ref="H934:H935" si="733">if(G934="",FALSE,TRUE)</f>
        <v>1</v>
      </c>
      <c r="J934" s="25"/>
      <c r="K934" s="24">
        <f>IFERROR(__xludf.DUMMYFUNCTION("iferror(filter('3.2.clean'!C:C,'3.2.clean'!A:A=C934),"""")"),43791.0)</f>
        <v>43791</v>
      </c>
      <c r="L934" s="25" t="b">
        <f>if(K934="",FALSE,TRUE)</f>
        <v>1</v>
      </c>
      <c r="M934" s="24">
        <f>IFERROR(__xludf.DUMMYFUNCTION("iferror(filter('3.3.clean'!C:C,'3.3.clean'!A:A=C934),"""")"),43794.0)</f>
        <v>43794</v>
      </c>
      <c r="N934" s="25" t="b">
        <f t="shared" si="731"/>
        <v>1</v>
      </c>
      <c r="O934" s="24">
        <f>IFERROR(__xludf.DUMMYFUNCTION("iferror(filter('3.4.clean'!C:C,'3.4.clean'!A:A=C934),"""")"),43795.0)</f>
        <v>43795</v>
      </c>
      <c r="P934" s="25" t="b">
        <f t="shared" si="732"/>
        <v>1</v>
      </c>
      <c r="Q934" s="24">
        <f>IFERROR(__xludf.DUMMYFUNCTION("iferror(filter('3.5.clean'!C:C,'3.5.clean'!A:A=C934),"""")"),43791.0)</f>
        <v>43791</v>
      </c>
      <c r="R934" s="23" t="b">
        <f>if(Q934="",FALSE,TRUE)</f>
        <v>1</v>
      </c>
      <c r="S934" s="25"/>
      <c r="V934" s="1" t="s">
        <v>64</v>
      </c>
      <c r="X934" s="23" t="str">
        <f>IFERROR(__xludf.DUMMYFUNCTION("if(COUNTA(FILTER(C:C, C:C = C934))=1,""no"",""yes"")"),"no")</f>
        <v>no</v>
      </c>
    </row>
    <row r="935">
      <c r="A935" s="1" t="s">
        <v>878</v>
      </c>
      <c r="B935" s="19">
        <v>2.0</v>
      </c>
      <c r="C935" s="19" t="s">
        <v>308</v>
      </c>
      <c r="D935" s="58" t="str">
        <f t="shared" ref="D935:D936" si="734">if(or(I935=1,J935=1,S935=1),"pos","")</f>
        <v/>
      </c>
      <c r="E935" s="59">
        <f>IFERROR(__xludf.DUMMYFUNCTION("ifna(IFNA(filter('2.1.clean'!C:C,'2.1.clean'!A:A=C935),filter('2.2.clean'!E:E,'2.2.clean'!D:D=C935)),filter('2.4.clean'!C:C,'2.4.clean'!A:A=C935))"),43791.0)</f>
        <v>43791</v>
      </c>
      <c r="F935" s="60">
        <f>IFERROR(__xludf.DUMMYFUNCTION("iferror(ifna(IFNA(filter('2.1.clean'!E:E,'2.1.clean'!A:A=C935),filter('2.2.clean'!G:G,'2.2.clean'!D:D=C935)),filter('2.4.clean'!E:E,'2.4.clean'!A:A=C935)),)"),2.4)</f>
        <v>2.4</v>
      </c>
      <c r="G935" s="59">
        <f>IFERROR(__xludf.DUMMYFUNCTION("iferror(filter('3.1.clean'!C:C,'3.1.clean'!A:A=C935),"""")"),43791.0)</f>
        <v>43791</v>
      </c>
      <c r="H935" s="58" t="b">
        <f t="shared" si="733"/>
        <v>1</v>
      </c>
      <c r="I935" s="58">
        <f>IFERROR(__xludf.DUMMYFUNCTION("iferror(filter('3.1.clean'!G:G,'3.1.clean'!A:A=C935),"""")"),0.0)</f>
        <v>0</v>
      </c>
      <c r="J935" s="60" t="str">
        <f>IFERROR(__xludf.DUMMYFUNCTION("iferror(filter('3.1.clean'!I:I,'3.1.clean'!A:A=C935),"""")"),"")</f>
        <v/>
      </c>
      <c r="K935" s="58"/>
      <c r="L935" s="60"/>
      <c r="M935" s="101" t="s">
        <v>964</v>
      </c>
      <c r="N935" s="60" t="b">
        <f t="shared" si="731"/>
        <v>1</v>
      </c>
      <c r="O935" s="101" t="s">
        <v>964</v>
      </c>
      <c r="P935" s="60" t="b">
        <f t="shared" si="732"/>
        <v>1</v>
      </c>
      <c r="Q935" s="59" t="str">
        <f>IFERROR(__xludf.DUMMYFUNCTION("iferror(filter('3.5.clean'!C:C,'3.5.clean'!A:A=C935),"""")"),"")</f>
        <v/>
      </c>
      <c r="R935" s="58"/>
      <c r="S935" s="4" t="str">
        <f>IFERROR(__xludf.DUMMYFUNCTION("iferror(filter('3.5.clean'!H:H,'3.5.clean'!A:A=C935),"""")"),"")</f>
        <v/>
      </c>
      <c r="W935" s="23" t="b">
        <f>if(AND(H935=TRUE,N935=TRUE,P935=TRUE),TRUE,FALSE)</f>
        <v>1</v>
      </c>
      <c r="X935" s="23" t="str">
        <f>IFERROR(__xludf.DUMMYFUNCTION("if(COUNTA(FILTER(C:C, C:C = C935))=1,""no"",""yes"")"),"no")</f>
        <v>no</v>
      </c>
      <c r="Y935" s="39"/>
      <c r="Z935" s="39"/>
      <c r="AA935" s="39"/>
      <c r="AB935" s="39"/>
      <c r="AC935" s="39"/>
      <c r="AD935" s="39"/>
      <c r="AE935" s="39"/>
      <c r="AF935" s="39"/>
      <c r="AG935" s="39"/>
      <c r="AH935" s="39"/>
    </row>
    <row r="936">
      <c r="A936" s="1" t="s">
        <v>878</v>
      </c>
      <c r="B936" s="19">
        <v>3.0</v>
      </c>
      <c r="C936" s="19" t="s">
        <v>307</v>
      </c>
      <c r="D936" s="58" t="str">
        <f t="shared" si="734"/>
        <v/>
      </c>
      <c r="E936" s="59">
        <f>Q936</f>
        <v>43791</v>
      </c>
      <c r="F936" s="60" t="str">
        <f>IFERROR(__xludf.DUMMYFUNCTION("iferror(ifna(IFNA(filter('2.1.clean'!E:E,'2.1.clean'!A:A=C936),filter('2.2.clean'!G:G,'2.2.clean'!D:D=C936)),filter('2.4.clean'!E:E,'2.4.clean'!A:A=C936)),)"),"")</f>
        <v/>
      </c>
      <c r="G936" s="59" t="str">
        <f>IFERROR(__xludf.DUMMYFUNCTION("iferror(filter('3.1.clean'!C:C,'3.1.clean'!A:A=C936),"""")"),"")</f>
        <v/>
      </c>
      <c r="H936" s="58"/>
      <c r="I936" s="58" t="str">
        <f>IFERROR(__xludf.DUMMYFUNCTION("iferror(filter('3.1.clean'!G:G,'3.1.clean'!A:A=C936),"""")"),"")</f>
        <v/>
      </c>
      <c r="J936" s="60" t="str">
        <f>IFERROR(__xludf.DUMMYFUNCTION("iferror(filter('3.1.clean'!I:I,'3.1.clean'!A:A=C936),"""")"),"")</f>
        <v/>
      </c>
      <c r="K936" s="59"/>
      <c r="L936" s="60"/>
      <c r="M936" s="59" t="str">
        <f>IFERROR(__xludf.DUMMYFUNCTION("iferror(filter('3.3.clean'!C:C,'3.3.clean'!A:A=C936),"""")"),"")</f>
        <v/>
      </c>
      <c r="N936" s="60"/>
      <c r="O936" s="59" t="str">
        <f>IFERROR(__xludf.DUMMYFUNCTION("iferror(filter('3.4.clean'!C:C,'3.4.clean'!A:A=C936),"""")"),"")</f>
        <v/>
      </c>
      <c r="P936" s="60"/>
      <c r="Q936" s="59">
        <f>IFERROR(__xludf.DUMMYFUNCTION("iferror(filter('3.5.clean'!C:C,'3.5.clean'!A:A=C936),"""")"),43791.0)</f>
        <v>43791</v>
      </c>
      <c r="R936" s="58" t="b">
        <f t="shared" ref="R936:R937" si="735">if(Q936="",FALSE,TRUE)</f>
        <v>1</v>
      </c>
      <c r="S936" s="4">
        <f>IFERROR(__xludf.DUMMYFUNCTION("iferror(filter('3.5.clean'!H:H,'3.5.clean'!A:A=C936),"""")"),0.0)</f>
        <v>0</v>
      </c>
      <c r="V936" s="52" t="s">
        <v>64</v>
      </c>
      <c r="W936" s="23" t="b">
        <f>if(AND(R936=TRUE,N936=TRUE,P936=TRUE),TRUE,FALSE)</f>
        <v>0</v>
      </c>
      <c r="X936" s="23" t="str">
        <f>IFERROR(__xludf.DUMMYFUNCTION("if(COUNTA(FILTER(C:C, C:C = C936))=1,""no"",""yes"")"),"no")</f>
        <v>no</v>
      </c>
    </row>
    <row r="937">
      <c r="A937" s="1" t="s">
        <v>878</v>
      </c>
      <c r="B937" s="2">
        <v>4.0</v>
      </c>
      <c r="C937" s="19" t="s">
        <v>1665</v>
      </c>
      <c r="E937" s="24">
        <f>IFERROR(__xludf.DUMMYFUNCTION("ifna(IFNA(filter('2.1.clean'!C:C,'2.1.clean'!A:A=C937),filter('2.2.clean'!E:E,'2.2.clean'!D:D=C937)),filter('2.4.clean'!C:C,'2.4.clean'!A:A=C937))"),43791.0)</f>
        <v>43791</v>
      </c>
      <c r="F937" s="25">
        <f>IFERROR(__xludf.DUMMYFUNCTION("iferror(ifna(IFNA(filter('2.1.clean'!E:E,'2.1.clean'!A:A=C937),filter('2.2.clean'!G:G,'2.2.clean'!D:D=C937)),filter('2.4.clean'!E:E,'2.4.clean'!A:A=C937)),)"),2.4)</f>
        <v>2.4</v>
      </c>
      <c r="G937" s="24">
        <f>IFERROR(__xludf.DUMMYFUNCTION("iferror(filter('3.1.clean'!C:C,'3.1.clean'!A:A=C937),"""")"),43791.0)</f>
        <v>43791</v>
      </c>
      <c r="H937" s="23" t="b">
        <f t="shared" ref="H937:H938" si="736">if(G937="",FALSE,TRUE)</f>
        <v>1</v>
      </c>
      <c r="J937" s="25"/>
      <c r="K937" s="24">
        <f>IFERROR(__xludf.DUMMYFUNCTION("iferror(filter('3.2.clean'!C:C,'3.2.clean'!A:A=C937),"""")"),43791.0)</f>
        <v>43791</v>
      </c>
      <c r="L937" s="25" t="b">
        <f>if(K937="",FALSE,TRUE)</f>
        <v>1</v>
      </c>
      <c r="M937" s="24">
        <f>IFERROR(__xludf.DUMMYFUNCTION("iferror(filter('3.3.clean'!C:C,'3.3.clean'!A:A=C937),"""")"),43794.0)</f>
        <v>43794</v>
      </c>
      <c r="N937" s="25" t="b">
        <f t="shared" ref="N937:N938" si="737">if(M937="",FALSE,TRUE)</f>
        <v>1</v>
      </c>
      <c r="O937" s="24">
        <f>IFERROR(__xludf.DUMMYFUNCTION("iferror(filter('3.4.clean'!C:C,'3.4.clean'!A:A=C937),"""")"),43795.0)</f>
        <v>43795</v>
      </c>
      <c r="P937" s="25" t="b">
        <f t="shared" ref="P937:P938" si="738">if(O937="",FALSE,TRUE)</f>
        <v>1</v>
      </c>
      <c r="Q937" s="24">
        <f>IFERROR(__xludf.DUMMYFUNCTION("iferror(filter('3.5.clean'!C:C,'3.5.clean'!A:A=C937),"""")"),43791.0)</f>
        <v>43791</v>
      </c>
      <c r="R937" s="23" t="b">
        <f t="shared" si="735"/>
        <v>1</v>
      </c>
      <c r="S937" s="25"/>
      <c r="V937" s="1" t="s">
        <v>64</v>
      </c>
      <c r="X937" s="23" t="str">
        <f>IFERROR(__xludf.DUMMYFUNCTION("if(COUNTA(FILTER(C:C, C:C = C937))=1,""no"",""yes"")"),"no")</f>
        <v>no</v>
      </c>
    </row>
    <row r="938">
      <c r="A938" s="1" t="s">
        <v>878</v>
      </c>
      <c r="B938" s="19">
        <v>5.0</v>
      </c>
      <c r="C938" s="19" t="s">
        <v>310</v>
      </c>
      <c r="D938" s="58" t="str">
        <f t="shared" ref="D938:D939" si="739">if(or(I938=1,J938=1,S938=1),"pos","")</f>
        <v/>
      </c>
      <c r="E938" s="59">
        <f>IFERROR(__xludf.DUMMYFUNCTION("ifna(IFNA(filter('2.1.clean'!C:C,'2.1.clean'!A:A=C938),filter('2.2.clean'!E:E,'2.2.clean'!D:D=C938)),filter('2.4.clean'!C:C,'2.4.clean'!A:A=C938))"),43791.0)</f>
        <v>43791</v>
      </c>
      <c r="F938" s="60">
        <f>IFERROR(__xludf.DUMMYFUNCTION("iferror(ifna(IFNA(filter('2.1.clean'!E:E,'2.1.clean'!A:A=C938),filter('2.2.clean'!G:G,'2.2.clean'!D:D=C938)),filter('2.4.clean'!E:E,'2.4.clean'!A:A=C938)),)"),2.4)</f>
        <v>2.4</v>
      </c>
      <c r="G938" s="59">
        <f>IFERROR(__xludf.DUMMYFUNCTION("iferror(filter('3.1.clean'!C:C,'3.1.clean'!A:A=C938),"""")"),43791.0)</f>
        <v>43791</v>
      </c>
      <c r="H938" s="58" t="b">
        <f t="shared" si="736"/>
        <v>1</v>
      </c>
      <c r="I938" s="58">
        <f>IFERROR(__xludf.DUMMYFUNCTION("iferror(filter('3.1.clean'!G:G,'3.1.clean'!A:A=C938),"""")"),0.0)</f>
        <v>0</v>
      </c>
      <c r="J938" s="60" t="str">
        <f>IFERROR(__xludf.DUMMYFUNCTION("iferror(filter('3.1.clean'!I:I,'3.1.clean'!A:A=C938),"""")"),"")</f>
        <v/>
      </c>
      <c r="K938" s="58"/>
      <c r="L938" s="60"/>
      <c r="M938" s="101" t="s">
        <v>964</v>
      </c>
      <c r="N938" s="60" t="b">
        <f t="shared" si="737"/>
        <v>1</v>
      </c>
      <c r="O938" s="101" t="s">
        <v>964</v>
      </c>
      <c r="P938" s="60" t="b">
        <f t="shared" si="738"/>
        <v>1</v>
      </c>
      <c r="Q938" s="59" t="str">
        <f>IFERROR(__xludf.DUMMYFUNCTION("iferror(filter('3.5.clean'!C:C,'3.5.clean'!A:A=C938),"""")"),"")</f>
        <v/>
      </c>
      <c r="R938" s="58"/>
      <c r="S938" s="4" t="str">
        <f>IFERROR(__xludf.DUMMYFUNCTION("iferror(filter('3.5.clean'!H:H,'3.5.clean'!A:A=C938),"""")"),"")</f>
        <v/>
      </c>
      <c r="W938" s="23" t="b">
        <f>if(AND(H938=TRUE,N938=TRUE,P938=TRUE),TRUE,FALSE)</f>
        <v>1</v>
      </c>
      <c r="X938" s="23" t="str">
        <f>IFERROR(__xludf.DUMMYFUNCTION("if(COUNTA(FILTER(C:C, C:C = C938))=1,""no"",""yes"")"),"no")</f>
        <v>no</v>
      </c>
    </row>
    <row r="939">
      <c r="A939" s="1" t="s">
        <v>878</v>
      </c>
      <c r="B939" s="19">
        <v>6.0</v>
      </c>
      <c r="C939" s="19" t="s">
        <v>309</v>
      </c>
      <c r="D939" s="61" t="str">
        <f t="shared" si="739"/>
        <v/>
      </c>
      <c r="E939" s="59">
        <f>Q939</f>
        <v>43791</v>
      </c>
      <c r="F939" s="60" t="str">
        <f>IFERROR(__xludf.DUMMYFUNCTION("iferror(ifna(IFNA(filter('2.1.clean'!E:E,'2.1.clean'!A:A=C939),filter('2.2.clean'!G:G,'2.2.clean'!D:D=C939)),filter('2.4.clean'!E:E,'2.4.clean'!A:A=C939)),)"),"")</f>
        <v/>
      </c>
      <c r="G939" s="59" t="str">
        <f>IFERROR(__xludf.DUMMYFUNCTION("iferror(filter('3.1.clean'!C:C,'3.1.clean'!A:A=C939),"""")"),"")</f>
        <v/>
      </c>
      <c r="H939" s="61"/>
      <c r="I939" s="61" t="str">
        <f>IFERROR(__xludf.DUMMYFUNCTION("iferror(filter('3.1.clean'!G:G,'3.1.clean'!A:A=C939),"""")"),"")</f>
        <v/>
      </c>
      <c r="J939" s="65" t="str">
        <f>IFERROR(__xludf.DUMMYFUNCTION("iferror(filter('3.1.clean'!I:I,'3.1.clean'!A:A=C939),"""")"),"")</f>
        <v/>
      </c>
      <c r="K939" s="66"/>
      <c r="L939" s="65"/>
      <c r="M939" s="66" t="str">
        <f>IFERROR(__xludf.DUMMYFUNCTION("iferror(filter('3.3.clean'!C:C,'3.3.clean'!A:A=C939),"""")"),"")</f>
        <v/>
      </c>
      <c r="N939" s="60"/>
      <c r="O939" s="66" t="str">
        <f>IFERROR(__xludf.DUMMYFUNCTION("iferror(filter('3.4.clean'!C:C,'3.4.clean'!A:A=C939),"""")"),"")</f>
        <v/>
      </c>
      <c r="P939" s="60"/>
      <c r="Q939" s="62">
        <f>IFERROR(__xludf.DUMMYFUNCTION("iferror(filter('3.5.clean'!C:C,'3.5.clean'!A:A=C939),"""")"),43791.0)</f>
        <v>43791</v>
      </c>
      <c r="R939" s="58" t="b">
        <f t="shared" ref="R939:R940" si="740">if(Q939="",FALSE,TRUE)</f>
        <v>1</v>
      </c>
      <c r="S939" s="98">
        <f>IFERROR(__xludf.DUMMYFUNCTION("iferror(filter('3.5.clean'!H:H,'3.5.clean'!A:A=C939),"""")"),0.0)</f>
        <v>0</v>
      </c>
      <c r="T939" s="39"/>
      <c r="U939" s="39"/>
      <c r="V939" s="39" t="s">
        <v>64</v>
      </c>
      <c r="W939" s="23" t="b">
        <f>if(AND(R939=TRUE,N939=TRUE,P939=TRUE),TRUE,FALSE)</f>
        <v>0</v>
      </c>
      <c r="X939" s="39" t="str">
        <f>IFERROR(__xludf.DUMMYFUNCTION("if(COUNTA(FILTER(C:C, C:C = C939))=1,""no"",""yes"")"),"no")</f>
        <v>no</v>
      </c>
    </row>
    <row r="940">
      <c r="A940" s="1" t="s">
        <v>878</v>
      </c>
      <c r="B940" s="2">
        <v>7.0</v>
      </c>
      <c r="C940" s="19" t="s">
        <v>1666</v>
      </c>
      <c r="E940" s="24">
        <f>IFERROR(__xludf.DUMMYFUNCTION("ifna(IFNA(filter('2.1.clean'!C:C,'2.1.clean'!A:A=C940),filter('2.2.clean'!E:E,'2.2.clean'!D:D=C940)),filter('2.4.clean'!C:C,'2.4.clean'!A:A=C940))"),43791.0)</f>
        <v>43791</v>
      </c>
      <c r="F940" s="25">
        <f>IFERROR(__xludf.DUMMYFUNCTION("iferror(ifna(IFNA(filter('2.1.clean'!E:E,'2.1.clean'!A:A=C940),filter('2.2.clean'!G:G,'2.2.clean'!D:D=C940)),filter('2.4.clean'!E:E,'2.4.clean'!A:A=C940)),)"),2.4)</f>
        <v>2.4</v>
      </c>
      <c r="G940" s="24">
        <f>IFERROR(__xludf.DUMMYFUNCTION("iferror(filter('3.1.clean'!C:C,'3.1.clean'!A:A=C940),"""")"),43791.0)</f>
        <v>43791</v>
      </c>
      <c r="H940" s="23" t="b">
        <f t="shared" ref="H940:H941" si="741">if(G940="",FALSE,TRUE)</f>
        <v>1</v>
      </c>
      <c r="J940" s="25"/>
      <c r="K940" s="24">
        <f>IFERROR(__xludf.DUMMYFUNCTION("iferror(filter('3.2.clean'!C:C,'3.2.clean'!A:A=C940),"""")"),43791.0)</f>
        <v>43791</v>
      </c>
      <c r="L940" s="25" t="b">
        <f>if(K940="",FALSE,TRUE)</f>
        <v>1</v>
      </c>
      <c r="M940" s="24">
        <f>IFERROR(__xludf.DUMMYFUNCTION("iferror(filter('3.3.clean'!C:C,'3.3.clean'!A:A=C940),"""")"),43794.0)</f>
        <v>43794</v>
      </c>
      <c r="N940" s="25" t="b">
        <f t="shared" ref="N940:N941" si="742">if(M940="",FALSE,TRUE)</f>
        <v>1</v>
      </c>
      <c r="O940" s="24">
        <f>IFERROR(__xludf.DUMMYFUNCTION("iferror(filter('3.4.clean'!C:C,'3.4.clean'!A:A=C940),"""")"),43795.0)</f>
        <v>43795</v>
      </c>
      <c r="P940" s="25" t="b">
        <f t="shared" ref="P940:P941" si="743">if(O940="",FALSE,TRUE)</f>
        <v>1</v>
      </c>
      <c r="Q940" s="24">
        <f>IFERROR(__xludf.DUMMYFUNCTION("iferror(filter('3.5.clean'!C:C,'3.5.clean'!A:A=C940),"""")"),43791.0)</f>
        <v>43791</v>
      </c>
      <c r="R940" s="23" t="b">
        <f t="shared" si="740"/>
        <v>1</v>
      </c>
      <c r="S940" s="25"/>
      <c r="V940" s="1" t="s">
        <v>64</v>
      </c>
      <c r="X940" s="23" t="str">
        <f>IFERROR(__xludf.DUMMYFUNCTION("if(COUNTA(FILTER(C:C, C:C = C940))=1,""no"",""yes"")"),"no")</f>
        <v>no</v>
      </c>
    </row>
    <row r="941">
      <c r="A941" s="1" t="s">
        <v>878</v>
      </c>
      <c r="B941" s="19">
        <v>8.0</v>
      </c>
      <c r="C941" s="19" t="s">
        <v>312</v>
      </c>
      <c r="D941" s="58" t="str">
        <f t="shared" ref="D941:D944" si="744">if(or(I941=1,J941=1,S941=1),"pos","")</f>
        <v/>
      </c>
      <c r="E941" s="59">
        <f>IFERROR(__xludf.DUMMYFUNCTION("ifna(IFNA(filter('2.1.clean'!C:C,'2.1.clean'!A:A=C941),filter('2.2.clean'!E:E,'2.2.clean'!D:D=C941)),filter('2.4.clean'!C:C,'2.4.clean'!A:A=C941))"),43791.0)</f>
        <v>43791</v>
      </c>
      <c r="F941" s="60">
        <f>IFERROR(__xludf.DUMMYFUNCTION("iferror(ifna(IFNA(filter('2.1.clean'!E:E,'2.1.clean'!A:A=C941),filter('2.2.clean'!G:G,'2.2.clean'!D:D=C941)),filter('2.4.clean'!E:E,'2.4.clean'!A:A=C941)),)"),2.4)</f>
        <v>2.4</v>
      </c>
      <c r="G941" s="59">
        <f>IFERROR(__xludf.DUMMYFUNCTION("iferror(filter('3.1.clean'!C:C,'3.1.clean'!A:A=C941),"""")"),43791.0)</f>
        <v>43791</v>
      </c>
      <c r="H941" s="58" t="b">
        <f t="shared" si="741"/>
        <v>1</v>
      </c>
      <c r="I941" s="58">
        <f>IFERROR(__xludf.DUMMYFUNCTION("iferror(filter('3.1.clean'!G:G,'3.1.clean'!A:A=C941),"""")"),0.0)</f>
        <v>0</v>
      </c>
      <c r="J941" s="58" t="str">
        <f>IFERROR(__xludf.DUMMYFUNCTION("iferror(filter('3.1.clean'!I:I,'3.1.clean'!A:A=C941),"""")"),"")</f>
        <v/>
      </c>
      <c r="K941" s="58"/>
      <c r="L941" s="58"/>
      <c r="M941" s="59">
        <f>IFERROR(__xludf.DUMMYFUNCTION("iferror(filter('3.3.clean'!C:C,'3.3.clean'!A:A=C941),"""")"),43794.0)</f>
        <v>43794</v>
      </c>
      <c r="N941" s="58" t="b">
        <f t="shared" si="742"/>
        <v>1</v>
      </c>
      <c r="O941" s="59">
        <f>IFERROR(__xludf.DUMMYFUNCTION("iferror(filter('3.4.clean'!C:C,'3.4.clean'!A:A=C941),"""")"),43795.0)</f>
        <v>43795</v>
      </c>
      <c r="P941" s="58" t="b">
        <f t="shared" si="743"/>
        <v>1</v>
      </c>
      <c r="Q941" s="59" t="str">
        <f>IFERROR(__xludf.DUMMYFUNCTION("iferror(filter('3.5.clean'!C:C,'3.5.clean'!A:A=C941),"""")"),"")</f>
        <v/>
      </c>
      <c r="R941" s="58"/>
      <c r="S941" s="1" t="str">
        <f>IFERROR(__xludf.DUMMYFUNCTION("iferror(filter('3.5.clean'!H:H,'3.5.clean'!A:A=C941),"""")"),"")</f>
        <v/>
      </c>
      <c r="W941" s="23" t="b">
        <f>if(AND(H941=TRUE,N941=TRUE,P941=TRUE),TRUE,FALSE)</f>
        <v>1</v>
      </c>
      <c r="X941" s="23" t="str">
        <f>IFERROR(__xludf.DUMMYFUNCTION("if(COUNTA(FILTER(C:C, C:C = C941))=1,""no"",""yes"")"),"no")</f>
        <v>no</v>
      </c>
    </row>
    <row r="942">
      <c r="A942" s="1" t="s">
        <v>878</v>
      </c>
      <c r="B942" s="19">
        <v>9.0</v>
      </c>
      <c r="C942" s="19" t="s">
        <v>311</v>
      </c>
      <c r="D942" s="61" t="str">
        <f t="shared" si="744"/>
        <v/>
      </c>
      <c r="E942" s="59">
        <f t="shared" ref="E942:E943" si="745">Q942</f>
        <v>43791</v>
      </c>
      <c r="F942" s="60" t="str">
        <f>IFERROR(__xludf.DUMMYFUNCTION("iferror(ifna(IFNA(filter('2.1.clean'!E:E,'2.1.clean'!A:A=C942),filter('2.2.clean'!G:G,'2.2.clean'!D:D=C942)),filter('2.4.clean'!E:E,'2.4.clean'!A:A=C942)),)"),"")</f>
        <v/>
      </c>
      <c r="G942" s="59" t="str">
        <f>IFERROR(__xludf.DUMMYFUNCTION("iferror(filter('3.1.clean'!C:C,'3.1.clean'!A:A=C942),"""")"),"")</f>
        <v/>
      </c>
      <c r="H942" s="61"/>
      <c r="I942" s="61" t="str">
        <f>IFERROR(__xludf.DUMMYFUNCTION("iferror(filter('3.1.clean'!G:G,'3.1.clean'!A:A=C942),"""")"),"")</f>
        <v/>
      </c>
      <c r="J942" s="65" t="str">
        <f>IFERROR(__xludf.DUMMYFUNCTION("iferror(filter('3.1.clean'!I:I,'3.1.clean'!A:A=C942),"""")"),"")</f>
        <v/>
      </c>
      <c r="K942" s="66"/>
      <c r="L942" s="65"/>
      <c r="M942" s="59" t="str">
        <f>IFERROR(__xludf.DUMMYFUNCTION("iferror(filter('3.3.clean'!C:C,'3.3.clean'!A:A=C942),"""")"),"")</f>
        <v/>
      </c>
      <c r="N942" s="60"/>
      <c r="O942" s="59" t="str">
        <f>IFERROR(__xludf.DUMMYFUNCTION("iferror(filter('3.4.clean'!C:C,'3.4.clean'!A:A=C942),"""")"),"")</f>
        <v/>
      </c>
      <c r="P942" s="60"/>
      <c r="Q942" s="59">
        <f>IFERROR(__xludf.DUMMYFUNCTION("iferror(filter('3.5.clean'!C:C,'3.5.clean'!A:A=C942),"""")"),43791.0)</f>
        <v>43791</v>
      </c>
      <c r="R942" s="58" t="b">
        <f t="shared" ref="R942:R943" si="746">if(Q942="",FALSE,TRUE)</f>
        <v>1</v>
      </c>
      <c r="S942" s="44">
        <f>IFERROR(__xludf.DUMMYFUNCTION("iferror(filter('3.5.clean'!H:H,'3.5.clean'!A:A=C942),"""")"),0.0)</f>
        <v>0</v>
      </c>
      <c r="T942" s="39"/>
      <c r="U942" s="39"/>
      <c r="V942" s="46" t="s">
        <v>64</v>
      </c>
      <c r="W942" s="18" t="b">
        <f>if(AND(R942=TRUE,N942=TRUE,P942=TRUE),TRUE,FALSE)</f>
        <v>0</v>
      </c>
      <c r="X942" s="39" t="str">
        <f>IFERROR(__xludf.DUMMYFUNCTION("if(COUNTA(FILTER(C:C, C:C = C942))=1,""no"",""yes"")"),"no")</f>
        <v>no</v>
      </c>
    </row>
    <row r="943">
      <c r="A943" s="1" t="s">
        <v>878</v>
      </c>
      <c r="B943" s="19">
        <v>10.0</v>
      </c>
      <c r="C943" s="19" t="s">
        <v>1667</v>
      </c>
      <c r="D943" s="22" t="str">
        <f t="shared" si="744"/>
        <v/>
      </c>
      <c r="E943" s="20">
        <f t="shared" si="745"/>
        <v>43791</v>
      </c>
      <c r="F943" s="79" t="str">
        <f>IFERROR(__xludf.DUMMYFUNCTION("iferror(ifna(IFNA(filter('2.1.clean'!E:E,'2.1.clean'!A:A=C943),filter('2.2.clean'!G:G,'2.2.clean'!D:D=C943)),filter('2.4.clean'!E:E,'2.4.clean'!A:A=C943)),)"),"")</f>
        <v/>
      </c>
      <c r="G943" s="20" t="str">
        <f>IFERROR(__xludf.DUMMYFUNCTION("iferror(filter('3.1.clean'!C:C,'3.1.clean'!A:A=C943),"""")"),"")</f>
        <v/>
      </c>
      <c r="H943" s="22"/>
      <c r="I943" s="22"/>
      <c r="J943" s="79"/>
      <c r="K943" s="20" t="str">
        <f>IFERROR(__xludf.DUMMYFUNCTION("iferror(filter('3.2.clean'!C:C,'3.2.clean'!A:A=C943),"""")"),"")</f>
        <v/>
      </c>
      <c r="L943" s="79"/>
      <c r="M943" s="20"/>
      <c r="N943" s="79"/>
      <c r="O943" s="20"/>
      <c r="P943" s="79"/>
      <c r="Q943" s="20">
        <f>IFERROR(__xludf.DUMMYFUNCTION("iferror(filter('3.5.clean'!C:C,'3.5.clean'!A:A=C943),"""")"),43791.0)</f>
        <v>43791</v>
      </c>
      <c r="R943" s="22" t="b">
        <f t="shared" si="746"/>
        <v>1</v>
      </c>
      <c r="S943" s="4">
        <f>IFERROR(__xludf.DUMMYFUNCTION("iferror(filter('3.5.clean'!H:H,'3.5.clean'!A:A=C943),"""")"),0.0)</f>
        <v>0</v>
      </c>
      <c r="V943" s="1" t="s">
        <v>64</v>
      </c>
      <c r="W943" s="23" t="b">
        <f>IF(and(R943=TRUE,N943=TRUE,P943=TRUE),TRUE,FALSE)</f>
        <v>0</v>
      </c>
      <c r="X943" s="23" t="str">
        <f>IFERROR(__xludf.DUMMYFUNCTION("if(COUNTA(FILTER(C:C, C:C = C943))=1,""no"",""yes"")"),"no")</f>
        <v>no</v>
      </c>
    </row>
    <row r="944">
      <c r="A944" s="1" t="s">
        <v>878</v>
      </c>
      <c r="B944" s="19">
        <v>11.0</v>
      </c>
      <c r="C944" s="19" t="s">
        <v>1668</v>
      </c>
      <c r="D944" s="76" t="str">
        <f t="shared" si="744"/>
        <v/>
      </c>
      <c r="E944" s="77">
        <f>G944</f>
        <v>43791</v>
      </c>
      <c r="F944" s="78" t="str">
        <f>IFERROR(__xludf.DUMMYFUNCTION("iferror(ifna(IFNA(filter('2.1.clean'!E:E,'2.1.clean'!A:A=C944),filter('2.2.clean'!G:G,'2.2.clean'!D:D=C944)),filter('2.4.clean'!E:E,'2.4.clean'!A:A=C944)),)"),"")</f>
        <v/>
      </c>
      <c r="G944" s="77">
        <f>IFERROR(__xludf.DUMMYFUNCTION("iferror(filter('3.1.clean'!C:C,'3.1.clean'!A:A=C944),"""")"),43791.0)</f>
        <v>43791</v>
      </c>
      <c r="H944" s="76" t="b">
        <f>if(G944="",FALSE,TRUE)</f>
        <v>1</v>
      </c>
      <c r="I944" s="76">
        <f>IFERROR(__xludf.DUMMYFUNCTION("iferror(filter('3.1.clean'!G:G,'3.1.clean'!A:A=C944),"""")"),0.0)</f>
        <v>0</v>
      </c>
      <c r="J944" s="78" t="str">
        <f>IFERROR(__xludf.DUMMYFUNCTION("iferror(filter('3.1.clean'!I:I,'3.1.clean'!A:A=C944),"""")"),"")</f>
        <v/>
      </c>
      <c r="K944" s="77"/>
      <c r="L944" s="78"/>
      <c r="M944" s="77"/>
      <c r="N944" s="78"/>
      <c r="O944" s="77"/>
      <c r="P944" s="78"/>
      <c r="Q944" s="77"/>
      <c r="R944" s="76"/>
      <c r="S944" s="25"/>
      <c r="V944" s="1" t="s">
        <v>64</v>
      </c>
      <c r="W944" s="1" t="b">
        <v>1</v>
      </c>
      <c r="X944" s="23" t="str">
        <f>IFERROR(__xludf.DUMMYFUNCTION("if(COUNTA(FILTER(C:C, C:C = C944))=1,""no"",""yes"")"),"no")</f>
        <v>no</v>
      </c>
    </row>
    <row r="945">
      <c r="A945" s="1" t="s">
        <v>878</v>
      </c>
      <c r="B945" s="2">
        <v>12.0</v>
      </c>
      <c r="C945" s="19" t="s">
        <v>1669</v>
      </c>
      <c r="E945" s="24">
        <v>43791.0</v>
      </c>
      <c r="F945" s="25" t="str">
        <f>IFERROR(__xludf.DUMMYFUNCTION("iferror(ifna(IFNA(filter('2.1.clean'!E:E,'2.1.clean'!A:A=C945),filter('2.2.clean'!G:G,'2.2.clean'!D:D=C945)),filter('2.4.clean'!E:E,'2.4.clean'!A:A=C945)),)"),"")</f>
        <v/>
      </c>
      <c r="G945" s="24" t="str">
        <f>IFERROR(__xludf.DUMMYFUNCTION("iferror(filter('3.1.clean'!C:C,'3.1.clean'!A:A=C945),"""")"),"")</f>
        <v/>
      </c>
      <c r="J945" s="25"/>
      <c r="K945" s="24" t="str">
        <f>IFERROR(__xludf.DUMMYFUNCTION("iferror(filter('3.2.clean'!C:C,'3.2.clean'!A:A=C945),"""")"),"")</f>
        <v/>
      </c>
      <c r="L945" s="25"/>
      <c r="M945" s="24">
        <f>IFERROR(__xludf.DUMMYFUNCTION("iferror(filter('3.3.clean'!C:C,'3.3.clean'!A:A=C945),"""")"),43794.0)</f>
        <v>43794</v>
      </c>
      <c r="N945" s="25" t="b">
        <f t="shared" ref="N945:N952" si="747">if(M945="",FALSE,TRUE)</f>
        <v>1</v>
      </c>
      <c r="O945" s="24">
        <f>IFERROR(__xludf.DUMMYFUNCTION("iferror(filter('3.4.clean'!C:C,'3.4.clean'!A:A=C945),"""")"),43795.0)</f>
        <v>43795</v>
      </c>
      <c r="P945" s="25" t="b">
        <f t="shared" ref="P945:P952" si="748">if(O945="",FALSE,TRUE)</f>
        <v>1</v>
      </c>
      <c r="Q945" s="24" t="str">
        <f>IFERROR(__xludf.DUMMYFUNCTION("iferror(filter('3.5.clean'!C:C,'3.5.clean'!A:A=C945),"""")"),"")</f>
        <v/>
      </c>
      <c r="S945" s="25"/>
      <c r="V945" s="52" t="s">
        <v>64</v>
      </c>
      <c r="X945" s="23" t="str">
        <f>IFERROR(__xludf.DUMMYFUNCTION("if(COUNTA(FILTER(C:C, C:C = C945))=1,""no"",""yes"")"),"no")</f>
        <v>no</v>
      </c>
    </row>
    <row r="946">
      <c r="A946" s="75" t="s">
        <v>883</v>
      </c>
      <c r="B946" s="2">
        <v>1.0</v>
      </c>
      <c r="C946" s="19" t="s">
        <v>1670</v>
      </c>
      <c r="E946" s="24">
        <f>IFERROR(__xludf.DUMMYFUNCTION("ifna(IFNA(filter('2.1.clean'!C:C,'2.1.clean'!A:A=C946),filter('2.2.clean'!E:E,'2.2.clean'!D:D=C946)),filter('2.4.clean'!C:C,'2.4.clean'!A:A=C946))"),43794.0)</f>
        <v>43794</v>
      </c>
      <c r="F946" s="25">
        <f>IFERROR(__xludf.DUMMYFUNCTION("iferror(ifna(IFNA(filter('2.1.clean'!E:E,'2.1.clean'!A:A=C946),filter('2.2.clean'!G:G,'2.2.clean'!D:D=C946)),filter('2.4.clean'!E:E,'2.4.clean'!A:A=C946)),)"),2.4)</f>
        <v>2.4</v>
      </c>
      <c r="G946" s="24">
        <f>IFERROR(__xludf.DUMMYFUNCTION("iferror(filter('3.1.clean'!C:C,'3.1.clean'!A:A=C946),"""")"),43794.0)</f>
        <v>43794</v>
      </c>
      <c r="H946" s="23" t="b">
        <f t="shared" ref="H946:H947" si="749">if(G946="",FALSE,TRUE)</f>
        <v>1</v>
      </c>
      <c r="J946" s="25"/>
      <c r="K946" s="24">
        <f>IFERROR(__xludf.DUMMYFUNCTION("iferror(filter('3.2.clean'!C:C,'3.2.clean'!A:A=C946),"""")"),43796.0)</f>
        <v>43796</v>
      </c>
      <c r="L946" s="25" t="b">
        <f>if(K946="",FALSE,TRUE)</f>
        <v>1</v>
      </c>
      <c r="M946" s="24">
        <f>IFERROR(__xludf.DUMMYFUNCTION("iferror(filter('3.3.clean'!C:C,'3.3.clean'!A:A=C946),"""")"),43796.0)</f>
        <v>43796</v>
      </c>
      <c r="N946" s="25" t="b">
        <f t="shared" si="747"/>
        <v>1</v>
      </c>
      <c r="O946" s="24">
        <f>IFERROR(__xludf.DUMMYFUNCTION("iferror(filter('3.4.clean'!C:C,'3.4.clean'!A:A=C946),"""")"),43767.0)</f>
        <v>43767</v>
      </c>
      <c r="P946" s="25" t="b">
        <f t="shared" si="748"/>
        <v>1</v>
      </c>
      <c r="Q946" s="24">
        <f>IFERROR(__xludf.DUMMYFUNCTION("iferror(filter('3.5.clean'!C:C,'3.5.clean'!A:A=C946),"""")"),43794.0)</f>
        <v>43794</v>
      </c>
      <c r="R946" s="23" t="b">
        <f>if(Q946="",FALSE,TRUE)</f>
        <v>1</v>
      </c>
      <c r="S946" s="25"/>
      <c r="V946" s="1" t="s">
        <v>64</v>
      </c>
      <c r="X946" s="23" t="str">
        <f>IFERROR(__xludf.DUMMYFUNCTION("if(COUNTA(FILTER(C:C, C:C = C946))=1,""no"",""yes"")"),"no")</f>
        <v>no</v>
      </c>
    </row>
    <row r="947">
      <c r="A947" s="75" t="s">
        <v>883</v>
      </c>
      <c r="B947" s="19">
        <v>2.0</v>
      </c>
      <c r="C947" s="19" t="s">
        <v>1671</v>
      </c>
      <c r="D947" s="58" t="str">
        <f t="shared" ref="D947:D948" si="750">if(or(I947=1,J947=1,S947=1),"pos","")</f>
        <v/>
      </c>
      <c r="E947" s="59">
        <f>IFERROR(__xludf.DUMMYFUNCTION("ifna(IFNA(filter('2.1.clean'!C:C,'2.1.clean'!A:A=C947),filter('2.2.clean'!E:E,'2.2.clean'!D:D=C947)),filter('2.4.clean'!C:C,'2.4.clean'!A:A=C947))"),43794.0)</f>
        <v>43794</v>
      </c>
      <c r="F947" s="60">
        <f>IFERROR(__xludf.DUMMYFUNCTION("iferror(ifna(IFNA(filter('2.1.clean'!E:E,'2.1.clean'!A:A=C947),filter('2.2.clean'!G:G,'2.2.clean'!D:D=C947)),filter('2.4.clean'!E:E,'2.4.clean'!A:A=C947)),)"),2.4)</f>
        <v>2.4</v>
      </c>
      <c r="G947" s="59">
        <f>IFERROR(__xludf.DUMMYFUNCTION("iferror(filter('3.1.clean'!C:C,'3.1.clean'!A:A=C947),"""")"),43794.0)</f>
        <v>43794</v>
      </c>
      <c r="H947" s="58" t="b">
        <f t="shared" si="749"/>
        <v>1</v>
      </c>
      <c r="I947" s="58">
        <f>IFERROR(__xludf.DUMMYFUNCTION("iferror(filter('3.1.clean'!G:G,'3.1.clean'!A:A=C947),"""")"),0.0)</f>
        <v>0</v>
      </c>
      <c r="J947" s="60" t="str">
        <f>IFERROR(__xludf.DUMMYFUNCTION("iferror(filter('3.1.clean'!I:I,'3.1.clean'!A:A=C947),"""")"),"")</f>
        <v/>
      </c>
      <c r="K947" s="58"/>
      <c r="L947" s="60"/>
      <c r="M947" s="59" t="str">
        <f>IFERROR(__xludf.DUMMYFUNCTION("iferror(filter('3.3.clean'!C:C,'3.3.clean'!A:A=C947),"""")"),"")</f>
        <v/>
      </c>
      <c r="N947" s="60" t="b">
        <f t="shared" si="747"/>
        <v>0</v>
      </c>
      <c r="O947" s="59" t="str">
        <f>IFERROR(__xludf.DUMMYFUNCTION("iferror(filter('3.4.clean'!C:C,'3.4.clean'!A:A=C947),"""")"),"")</f>
        <v/>
      </c>
      <c r="P947" s="60" t="b">
        <f t="shared" si="748"/>
        <v>0</v>
      </c>
      <c r="Q947" s="59" t="str">
        <f>IFERROR(__xludf.DUMMYFUNCTION("iferror(filter('3.5.clean'!C:C,'3.5.clean'!A:A=C947),"""")"),"")</f>
        <v/>
      </c>
      <c r="R947" s="58"/>
      <c r="S947" s="4" t="str">
        <f>IFERROR(__xludf.DUMMYFUNCTION("iferror(filter('3.5.clean'!H:H,'3.5.clean'!A:A=C947),"""")"),"")</f>
        <v/>
      </c>
      <c r="W947" s="23" t="b">
        <f>if(AND(H947=TRUE,N947=TRUE,P947=TRUE),TRUE,FALSE)</f>
        <v>0</v>
      </c>
      <c r="X947" s="23" t="str">
        <f>IFERROR(__xludf.DUMMYFUNCTION("if(COUNTA(FILTER(C:C, C:C = C947))=1,""no"",""yes"")"),"no")</f>
        <v>no</v>
      </c>
    </row>
    <row r="948">
      <c r="A948" s="75" t="s">
        <v>883</v>
      </c>
      <c r="B948" s="19">
        <v>3.0</v>
      </c>
      <c r="C948" s="19" t="s">
        <v>1672</v>
      </c>
      <c r="D948" s="58" t="str">
        <f t="shared" si="750"/>
        <v/>
      </c>
      <c r="E948" s="59">
        <f>Q948</f>
        <v>43794</v>
      </c>
      <c r="F948" s="60" t="str">
        <f>IFERROR(__xludf.DUMMYFUNCTION("iferror(ifna(IFNA(filter('2.1.clean'!E:E,'2.1.clean'!A:A=C948),filter('2.2.clean'!G:G,'2.2.clean'!D:D=C948)),filter('2.4.clean'!E:E,'2.4.clean'!A:A=C948)),)"),"")</f>
        <v/>
      </c>
      <c r="G948" s="59" t="str">
        <f>IFERROR(__xludf.DUMMYFUNCTION("iferror(filter('3.1.clean'!C:C,'3.1.clean'!A:A=C948),"""")"),"")</f>
        <v/>
      </c>
      <c r="H948" s="58"/>
      <c r="I948" s="58" t="str">
        <f>IFERROR(__xludf.DUMMYFUNCTION("iferror(filter('3.1.clean'!G:G,'3.1.clean'!A:A=C948),"""")"),"")</f>
        <v/>
      </c>
      <c r="J948" s="60" t="str">
        <f>IFERROR(__xludf.DUMMYFUNCTION("iferror(filter('3.1.clean'!I:I,'3.1.clean'!A:A=C948),"""")"),"")</f>
        <v/>
      </c>
      <c r="K948" s="59"/>
      <c r="L948" s="60"/>
      <c r="M948" s="59" t="str">
        <f>IFERROR(__xludf.DUMMYFUNCTION("iferror(filter('3.3.clean'!C:C,'3.3.clean'!A:A=C948),"""")"),"")</f>
        <v/>
      </c>
      <c r="N948" s="60" t="b">
        <f t="shared" si="747"/>
        <v>0</v>
      </c>
      <c r="O948" s="59" t="str">
        <f>IFERROR(__xludf.DUMMYFUNCTION("iferror(filter('3.4.clean'!C:C,'3.4.clean'!A:A=C948),"""")"),"")</f>
        <v/>
      </c>
      <c r="P948" s="60" t="b">
        <f t="shared" si="748"/>
        <v>0</v>
      </c>
      <c r="Q948" s="59">
        <f>IFERROR(__xludf.DUMMYFUNCTION("iferror(filter('3.5.clean'!C:C,'3.5.clean'!A:A=C948),"""")"),43794.0)</f>
        <v>43794</v>
      </c>
      <c r="R948" s="58" t="b">
        <f t="shared" ref="R948:R949" si="751">if(Q948="",FALSE,TRUE)</f>
        <v>1</v>
      </c>
      <c r="S948" s="4">
        <f>IFERROR(__xludf.DUMMYFUNCTION("iferror(filter('3.5.clean'!H:H,'3.5.clean'!A:A=C948),"""")"),0.0)</f>
        <v>0</v>
      </c>
      <c r="V948" s="52" t="s">
        <v>64</v>
      </c>
      <c r="W948" s="23" t="b">
        <f>if(AND(R948=TRUE,N948=TRUE,P948=TRUE),TRUE,FALSE)</f>
        <v>0</v>
      </c>
      <c r="X948" s="23" t="str">
        <f>IFERROR(__xludf.DUMMYFUNCTION("if(COUNTA(FILTER(C:C, C:C = C948))=1,""no"",""yes"")"),"no")</f>
        <v>no</v>
      </c>
    </row>
    <row r="949">
      <c r="A949" s="75" t="s">
        <v>883</v>
      </c>
      <c r="B949" s="2">
        <v>4.0</v>
      </c>
      <c r="C949" s="19" t="s">
        <v>1673</v>
      </c>
      <c r="E949" s="24">
        <f>IFERROR(__xludf.DUMMYFUNCTION("ifna(IFNA(filter('2.1.clean'!C:C,'2.1.clean'!A:A=C949),filter('2.2.clean'!E:E,'2.2.clean'!D:D=C949)),filter('2.4.clean'!C:C,'2.4.clean'!A:A=C949))"),43794.0)</f>
        <v>43794</v>
      </c>
      <c r="F949" s="25">
        <f>IFERROR(__xludf.DUMMYFUNCTION("iferror(ifna(IFNA(filter('2.1.clean'!E:E,'2.1.clean'!A:A=C949),filter('2.2.clean'!G:G,'2.2.clean'!D:D=C949)),filter('2.4.clean'!E:E,'2.4.clean'!A:A=C949)),)"),2.4)</f>
        <v>2.4</v>
      </c>
      <c r="G949" s="24">
        <f>IFERROR(__xludf.DUMMYFUNCTION("iferror(filter('3.1.clean'!C:C,'3.1.clean'!A:A=C949),"""")"),43794.0)</f>
        <v>43794</v>
      </c>
      <c r="H949" s="23" t="b">
        <f t="shared" ref="H949:H950" si="752">if(G949="",FALSE,TRUE)</f>
        <v>1</v>
      </c>
      <c r="J949" s="25"/>
      <c r="K949" s="24">
        <f>IFERROR(__xludf.DUMMYFUNCTION("iferror(filter('3.2.clean'!C:C,'3.2.clean'!A:A=C949),"""")"),43796.0)</f>
        <v>43796</v>
      </c>
      <c r="L949" s="25" t="b">
        <f>if(K949="",FALSE,TRUE)</f>
        <v>1</v>
      </c>
      <c r="M949" s="24">
        <f>IFERROR(__xludf.DUMMYFUNCTION("iferror(filter('3.3.clean'!C:C,'3.3.clean'!A:A=C949),"""")"),43796.0)</f>
        <v>43796</v>
      </c>
      <c r="N949" s="25" t="b">
        <f t="shared" si="747"/>
        <v>1</v>
      </c>
      <c r="O949" s="24" t="str">
        <f>IFERROR(__xludf.DUMMYFUNCTION("iferror(filter('3.4.clean'!C:C,'3.4.clean'!A:A=C949),"""")"),"")</f>
        <v/>
      </c>
      <c r="P949" s="25" t="b">
        <f t="shared" si="748"/>
        <v>0</v>
      </c>
      <c r="Q949" s="24">
        <f>IFERROR(__xludf.DUMMYFUNCTION("iferror(filter('3.5.clean'!C:C,'3.5.clean'!A:A=C949),"""")"),43794.0)</f>
        <v>43794</v>
      </c>
      <c r="R949" s="23" t="b">
        <f t="shared" si="751"/>
        <v>1</v>
      </c>
      <c r="S949" s="25"/>
      <c r="V949" s="1" t="s">
        <v>64</v>
      </c>
      <c r="X949" s="23" t="str">
        <f>IFERROR(__xludf.DUMMYFUNCTION("if(COUNTA(FILTER(C:C, C:C = C949))=1,""no"",""yes"")"),"no")</f>
        <v>no</v>
      </c>
    </row>
    <row r="950">
      <c r="A950" s="75" t="s">
        <v>883</v>
      </c>
      <c r="B950" s="19">
        <v>5.0</v>
      </c>
      <c r="C950" s="19" t="s">
        <v>1674</v>
      </c>
      <c r="D950" s="58" t="str">
        <f t="shared" ref="D950:D953" si="753">if(or(I950=1,J950=1,S950=1),"pos","")</f>
        <v/>
      </c>
      <c r="E950" s="59">
        <f>IFERROR(__xludf.DUMMYFUNCTION("ifna(IFNA(filter('2.1.clean'!C:C,'2.1.clean'!A:A=C950),filter('2.2.clean'!E:E,'2.2.clean'!D:D=C950)),filter('2.4.clean'!C:C,'2.4.clean'!A:A=C950))"),43794.0)</f>
        <v>43794</v>
      </c>
      <c r="F950" s="60">
        <f>IFERROR(__xludf.DUMMYFUNCTION("iferror(ifna(IFNA(filter('2.1.clean'!E:E,'2.1.clean'!A:A=C950),filter('2.2.clean'!G:G,'2.2.clean'!D:D=C950)),filter('2.4.clean'!E:E,'2.4.clean'!A:A=C950)),)"),2.4)</f>
        <v>2.4</v>
      </c>
      <c r="G950" s="59">
        <f>IFERROR(__xludf.DUMMYFUNCTION("iferror(filter('3.1.clean'!C:C,'3.1.clean'!A:A=C950),"""")"),43794.0)</f>
        <v>43794</v>
      </c>
      <c r="H950" s="58" t="b">
        <f t="shared" si="752"/>
        <v>1</v>
      </c>
      <c r="I950" s="58">
        <f>IFERROR(__xludf.DUMMYFUNCTION("iferror(filter('3.1.clean'!G:G,'3.1.clean'!A:A=C950),"""")"),0.0)</f>
        <v>0</v>
      </c>
      <c r="J950" s="60" t="str">
        <f>IFERROR(__xludf.DUMMYFUNCTION("iferror(filter('3.1.clean'!I:I,'3.1.clean'!A:A=C950),"""")"),"")</f>
        <v/>
      </c>
      <c r="K950" s="58"/>
      <c r="L950" s="60"/>
      <c r="M950" s="59">
        <f>IFERROR(__xludf.DUMMYFUNCTION("iferror(filter('3.3.clean'!C:C,'3.3.clean'!A:A=C950),"""")"),43796.0)</f>
        <v>43796</v>
      </c>
      <c r="N950" s="60" t="b">
        <f t="shared" si="747"/>
        <v>1</v>
      </c>
      <c r="O950" s="59">
        <f>IFERROR(__xludf.DUMMYFUNCTION("iferror(filter('3.4.clean'!C:C,'3.4.clean'!A:A=C950),"""")"),43798.0)</f>
        <v>43798</v>
      </c>
      <c r="P950" s="60" t="b">
        <f t="shared" si="748"/>
        <v>1</v>
      </c>
      <c r="Q950" s="59" t="str">
        <f>IFERROR(__xludf.DUMMYFUNCTION("iferror(filter('3.5.clean'!C:C,'3.5.clean'!A:A=C950),"""")"),"")</f>
        <v/>
      </c>
      <c r="R950" s="58"/>
      <c r="S950" s="4" t="str">
        <f>IFERROR(__xludf.DUMMYFUNCTION("iferror(filter('3.5.clean'!H:H,'3.5.clean'!A:A=C950),"""")"),"")</f>
        <v/>
      </c>
      <c r="W950" s="23" t="b">
        <f>if(AND(H950=TRUE,N950=TRUE,P950=TRUE),TRUE,FALSE)</f>
        <v>1</v>
      </c>
      <c r="X950" s="23" t="str">
        <f>IFERROR(__xludf.DUMMYFUNCTION("if(COUNTA(FILTER(C:C, C:C = C950))=1,""no"",""yes"")"),"no")</f>
        <v>no</v>
      </c>
    </row>
    <row r="951">
      <c r="A951" s="75" t="s">
        <v>883</v>
      </c>
      <c r="B951" s="19">
        <v>6.0</v>
      </c>
      <c r="C951" s="19" t="s">
        <v>1675</v>
      </c>
      <c r="D951" s="58" t="str">
        <f t="shared" si="753"/>
        <v/>
      </c>
      <c r="E951" s="59">
        <f t="shared" ref="E951:E952" si="754">Q951</f>
        <v>43794</v>
      </c>
      <c r="F951" s="60" t="str">
        <f>IFERROR(__xludf.DUMMYFUNCTION("iferror(ifna(IFNA(filter('2.1.clean'!E:E,'2.1.clean'!A:A=C951),filter('2.2.clean'!G:G,'2.2.clean'!D:D=C951)),filter('2.4.clean'!E:E,'2.4.clean'!A:A=C951)),)"),"")</f>
        <v/>
      </c>
      <c r="G951" s="59" t="str">
        <f>IFERROR(__xludf.DUMMYFUNCTION("iferror(filter('3.1.clean'!C:C,'3.1.clean'!A:A=C951),"""")"),"")</f>
        <v/>
      </c>
      <c r="H951" s="58"/>
      <c r="I951" s="58" t="str">
        <f>IFERROR(__xludf.DUMMYFUNCTION("iferror(filter('3.1.clean'!G:G,'3.1.clean'!A:A=C951),"""")"),"")</f>
        <v/>
      </c>
      <c r="J951" s="60" t="str">
        <f>IFERROR(__xludf.DUMMYFUNCTION("iferror(filter('3.1.clean'!I:I,'3.1.clean'!A:A=C951),"""")"),"")</f>
        <v/>
      </c>
      <c r="K951" s="59"/>
      <c r="L951" s="60"/>
      <c r="M951" s="59" t="str">
        <f>IFERROR(__xludf.DUMMYFUNCTION("iferror(filter('3.3.clean'!C:C,'3.3.clean'!A:A=C951),"""")"),"")</f>
        <v/>
      </c>
      <c r="N951" s="60" t="b">
        <f t="shared" si="747"/>
        <v>0</v>
      </c>
      <c r="O951" s="59" t="str">
        <f>IFERROR(__xludf.DUMMYFUNCTION("iferror(filter('3.4.clean'!C:C,'3.4.clean'!A:A=C951),"""")"),"")</f>
        <v/>
      </c>
      <c r="P951" s="60" t="b">
        <f t="shared" si="748"/>
        <v>0</v>
      </c>
      <c r="Q951" s="59">
        <f>IFERROR(__xludf.DUMMYFUNCTION("iferror(filter('3.5.clean'!C:C,'3.5.clean'!A:A=C951),"""")"),43794.0)</f>
        <v>43794</v>
      </c>
      <c r="R951" s="58" t="b">
        <f t="shared" ref="R951:R952" si="755">if(Q951="",FALSE,TRUE)</f>
        <v>1</v>
      </c>
      <c r="S951" s="4">
        <f>IFERROR(__xludf.DUMMYFUNCTION("iferror(filter('3.5.clean'!H:H,'3.5.clean'!A:A=C951),"""")"),0.0)</f>
        <v>0</v>
      </c>
      <c r="V951" s="52" t="s">
        <v>64</v>
      </c>
      <c r="W951" s="23" t="b">
        <f>if(AND(R951=TRUE,N951=TRUE,P951=TRUE),TRUE,FALSE)</f>
        <v>0</v>
      </c>
      <c r="X951" s="23" t="str">
        <f>IFERROR(__xludf.DUMMYFUNCTION("if(COUNTA(FILTER(C:C, C:C = C951))=1,""no"",""yes"")"),"no")</f>
        <v>no</v>
      </c>
    </row>
    <row r="952">
      <c r="A952" s="75" t="s">
        <v>883</v>
      </c>
      <c r="B952" s="19">
        <v>7.0</v>
      </c>
      <c r="C952" s="19" t="s">
        <v>1676</v>
      </c>
      <c r="D952" s="22" t="str">
        <f t="shared" si="753"/>
        <v/>
      </c>
      <c r="E952" s="20">
        <f t="shared" si="754"/>
        <v>43794</v>
      </c>
      <c r="F952" s="79" t="str">
        <f>IFERROR(__xludf.DUMMYFUNCTION("iferror(ifna(IFNA(filter('2.1.clean'!E:E,'2.1.clean'!A:A=C952),filter('2.2.clean'!G:G,'2.2.clean'!D:D=C952)),filter('2.4.clean'!E:E,'2.4.clean'!A:A=C952)),)"),"")</f>
        <v/>
      </c>
      <c r="G952" s="20" t="str">
        <f>IFERROR(__xludf.DUMMYFUNCTION("iferror(filter('3.1.clean'!C:C,'3.1.clean'!A:A=C952),"""")"),"")</f>
        <v/>
      </c>
      <c r="H952" s="22"/>
      <c r="I952" s="22"/>
      <c r="J952" s="79"/>
      <c r="K952" s="20" t="str">
        <f>IFERROR(__xludf.DUMMYFUNCTION("iferror(filter('3.2.clean'!C:C,'3.2.clean'!A:A=C952),"""")"),"")</f>
        <v/>
      </c>
      <c r="L952" s="79"/>
      <c r="M952" s="20" t="str">
        <f>IFERROR(__xludf.DUMMYFUNCTION("iferror(filter('3.3.clean'!C:C,'3.3.clean'!A:A=C952),"""")"),"")</f>
        <v/>
      </c>
      <c r="N952" s="79" t="b">
        <f t="shared" si="747"/>
        <v>0</v>
      </c>
      <c r="O952" s="20" t="str">
        <f>IFERROR(__xludf.DUMMYFUNCTION("iferror(filter('3.4.clean'!C:C,'3.4.clean'!A:A=C952),"""")"),"")</f>
        <v/>
      </c>
      <c r="P952" s="79" t="b">
        <f t="shared" si="748"/>
        <v>0</v>
      </c>
      <c r="Q952" s="20">
        <f>IFERROR(__xludf.DUMMYFUNCTION("iferror(filter('3.5.clean'!C:C,'3.5.clean'!A:A=C952),"""")"),43794.0)</f>
        <v>43794</v>
      </c>
      <c r="R952" s="22" t="b">
        <f t="shared" si="755"/>
        <v>1</v>
      </c>
      <c r="S952" s="4">
        <f>IFERROR(__xludf.DUMMYFUNCTION("iferror(filter('3.5.clean'!H:H,'3.5.clean'!A:A=C952),"""")"),0.0)</f>
        <v>0</v>
      </c>
      <c r="V952" s="1" t="s">
        <v>64</v>
      </c>
      <c r="W952" s="23" t="b">
        <f>IF(and(R952=TRUE,N952=TRUE,P952=TRUE),TRUE,FALSE)</f>
        <v>0</v>
      </c>
      <c r="X952" s="23" t="str">
        <f>IFERROR(__xludf.DUMMYFUNCTION("if(COUNTA(FILTER(C:C, C:C = C952))=1,""no"",""yes"")"),"no")</f>
        <v>no</v>
      </c>
    </row>
    <row r="953">
      <c r="A953" s="75" t="s">
        <v>883</v>
      </c>
      <c r="B953" s="19">
        <v>8.0</v>
      </c>
      <c r="C953" s="19" t="s">
        <v>1677</v>
      </c>
      <c r="D953" s="76" t="str">
        <f t="shared" si="753"/>
        <v/>
      </c>
      <c r="E953" s="77">
        <f>G953</f>
        <v>43794</v>
      </c>
      <c r="F953" s="78" t="str">
        <f>IFERROR(__xludf.DUMMYFUNCTION("iferror(ifna(IFNA(filter('2.1.clean'!E:E,'2.1.clean'!A:A=C953),filter('2.2.clean'!G:G,'2.2.clean'!D:D=C953)),filter('2.4.clean'!E:E,'2.4.clean'!A:A=C953)),)"),"")</f>
        <v/>
      </c>
      <c r="G953" s="77">
        <f>IFERROR(__xludf.DUMMYFUNCTION("iferror(filter('3.1.clean'!C:C,'3.1.clean'!A:A=C953),"""")"),43794.0)</f>
        <v>43794</v>
      </c>
      <c r="H953" s="76" t="b">
        <f>if(G953="",FALSE,TRUE)</f>
        <v>1</v>
      </c>
      <c r="I953" s="76">
        <f>IFERROR(__xludf.DUMMYFUNCTION("iferror(filter('3.1.clean'!G:G,'3.1.clean'!A:A=C953),"""")"),0.0)</f>
        <v>0</v>
      </c>
      <c r="J953" s="78" t="str">
        <f>IFERROR(__xludf.DUMMYFUNCTION("iferror(filter('3.1.clean'!I:I,'3.1.clean'!A:A=C953),"""")"),"")</f>
        <v/>
      </c>
      <c r="K953" s="77"/>
      <c r="L953" s="78"/>
      <c r="M953" s="77"/>
      <c r="N953" s="78"/>
      <c r="O953" s="77"/>
      <c r="P953" s="78"/>
      <c r="Q953" s="77"/>
      <c r="R953" s="76"/>
      <c r="S953" s="25"/>
      <c r="V953" s="1" t="s">
        <v>64</v>
      </c>
      <c r="W953" s="1" t="b">
        <v>1</v>
      </c>
      <c r="X953" s="23" t="str">
        <f>IFERROR(__xludf.DUMMYFUNCTION("if(COUNTA(FILTER(C:C, C:C = C953))=1,""no"",""yes"")"),"no")</f>
        <v>no</v>
      </c>
    </row>
    <row r="954">
      <c r="A954" s="1" t="s">
        <v>887</v>
      </c>
      <c r="B954" s="2">
        <v>1.0</v>
      </c>
      <c r="C954" s="19" t="s">
        <v>1678</v>
      </c>
      <c r="E954" s="24">
        <f>IFERROR(__xludf.DUMMYFUNCTION("ifna(IFNA(filter('2.1.clean'!C:C,'2.1.clean'!A:A=C954),filter('2.2.clean'!E:E,'2.2.clean'!D:D=C954)),filter('2.4.clean'!C:C,'2.4.clean'!A:A=C954))"),43795.0)</f>
        <v>43795</v>
      </c>
      <c r="F954" s="25">
        <f>IFERROR(__xludf.DUMMYFUNCTION("iferror(ifna(IFNA(filter('2.1.clean'!E:E,'2.1.clean'!A:A=C954),filter('2.2.clean'!G:G,'2.2.clean'!D:D=C954)),filter('2.4.clean'!E:E,'2.4.clean'!A:A=C954)),)"),2.4)</f>
        <v>2.4</v>
      </c>
      <c r="G954" s="24"/>
      <c r="J954" s="25"/>
      <c r="K954" s="24"/>
      <c r="L954" s="25"/>
      <c r="M954" s="24">
        <f>IFERROR(__xludf.DUMMYFUNCTION("iferror(filter('3.3.clean'!C:C,'3.3.clean'!A:A=C954),"""")"),43796.0)</f>
        <v>43796</v>
      </c>
      <c r="N954" s="25" t="b">
        <f t="shared" ref="N954:N969" si="756">if(M954="",FALSE,TRUE)</f>
        <v>1</v>
      </c>
      <c r="O954" s="24">
        <f>IFERROR(__xludf.DUMMYFUNCTION("iferror(filter('3.4.clean'!C:C,'3.4.clean'!A:A=C954),"""")"),43798.0)</f>
        <v>43798</v>
      </c>
      <c r="P954" s="25" t="b">
        <f t="shared" ref="P954:P969" si="757">if(O954="",FALSE,TRUE)</f>
        <v>1</v>
      </c>
      <c r="Q954" s="24">
        <f>IFERROR(__xludf.DUMMYFUNCTION("iferror(filter('3.5.clean'!C:C,'3.5.clean'!A:A=C954),"""")"),43795.0)</f>
        <v>43795</v>
      </c>
      <c r="R954" s="23" t="b">
        <f>if(Q954="",FALSE,TRUE)</f>
        <v>1</v>
      </c>
      <c r="S954" s="25"/>
      <c r="V954" s="52" t="s">
        <v>64</v>
      </c>
      <c r="W954" s="23" t="b">
        <f>IF(and(R954=TRUE,N954=TRUE,P954=TRUE),TRUE,FALSE)</f>
        <v>1</v>
      </c>
      <c r="X954" s="23" t="str">
        <f>IFERROR(__xludf.DUMMYFUNCTION("if(COUNTA(FILTER(C:C, C:C = C954))=1,""no"",""yes"")"),"no")</f>
        <v>no</v>
      </c>
    </row>
    <row r="955">
      <c r="A955" s="1" t="s">
        <v>887</v>
      </c>
      <c r="B955" s="19">
        <v>2.0</v>
      </c>
      <c r="C955" s="19" t="s">
        <v>1679</v>
      </c>
      <c r="D955" s="58" t="str">
        <f t="shared" ref="D955:D956" si="758">if(or(I955=1,J955=1,S955=1),"pos","")</f>
        <v/>
      </c>
      <c r="E955" s="59">
        <f>IFERROR(__xludf.DUMMYFUNCTION("ifna(IFNA(filter('2.1.clean'!C:C,'2.1.clean'!A:A=C955),filter('2.2.clean'!E:E,'2.2.clean'!D:D=C955)),filter('2.4.clean'!C:C,'2.4.clean'!A:A=C955))"),43795.0)</f>
        <v>43795</v>
      </c>
      <c r="F955" s="60">
        <f>IFERROR(__xludf.DUMMYFUNCTION("iferror(ifna(IFNA(filter('2.1.clean'!E:E,'2.1.clean'!A:A=C955),filter('2.2.clean'!G:G,'2.2.clean'!D:D=C955)),filter('2.4.clean'!E:E,'2.4.clean'!A:A=C955)),)"),2.4)</f>
        <v>2.4</v>
      </c>
      <c r="G955" s="59">
        <f>IFERROR(__xludf.DUMMYFUNCTION("iferror(filter('3.1.clean'!C:C,'3.1.clean'!A:A=C955),"""")"),43795.0)</f>
        <v>43795</v>
      </c>
      <c r="H955" s="58" t="b">
        <f>if(G955="",FALSE,TRUE)</f>
        <v>1</v>
      </c>
      <c r="I955" s="58">
        <f>IFERROR(__xludf.DUMMYFUNCTION("iferror(filter('3.1.clean'!G:G,'3.1.clean'!A:A=C955),"""")"),0.0)</f>
        <v>0</v>
      </c>
      <c r="J955" s="60" t="str">
        <f>IFERROR(__xludf.DUMMYFUNCTION("iferror(filter('3.1.clean'!I:I,'3.1.clean'!A:A=C955),"""")"),"")</f>
        <v/>
      </c>
      <c r="K955" s="58"/>
      <c r="L955" s="60"/>
      <c r="M955" s="59">
        <f>IFERROR(__xludf.DUMMYFUNCTION("iferror(filter('3.3.clean'!C:C,'3.3.clean'!A:A=C955),"""")"),43796.0)</f>
        <v>43796</v>
      </c>
      <c r="N955" s="60" t="b">
        <f t="shared" si="756"/>
        <v>1</v>
      </c>
      <c r="O955" s="59">
        <f>IFERROR(__xludf.DUMMYFUNCTION("iferror(filter('3.4.clean'!C:C,'3.4.clean'!A:A=C955),"""")"),43798.0)</f>
        <v>43798</v>
      </c>
      <c r="P955" s="60" t="b">
        <f t="shared" si="757"/>
        <v>1</v>
      </c>
      <c r="Q955" s="59" t="str">
        <f>IFERROR(__xludf.DUMMYFUNCTION("iferror(filter('3.5.clean'!C:C,'3.5.clean'!A:A=C955),"""")"),"")</f>
        <v/>
      </c>
      <c r="R955" s="58"/>
      <c r="S955" s="4" t="str">
        <f>IFERROR(__xludf.DUMMYFUNCTION("iferror(filter('3.5.clean'!H:H,'3.5.clean'!A:A=C955),"""")"),"")</f>
        <v/>
      </c>
      <c r="W955" s="23" t="b">
        <f>if(AND(H955=TRUE,N955=TRUE,P955=TRUE),TRUE,FALSE)</f>
        <v>1</v>
      </c>
      <c r="X955" s="23" t="str">
        <f>IFERROR(__xludf.DUMMYFUNCTION("if(COUNTA(FILTER(C:C, C:C = C955))=1,""no"",""yes"")"),"no")</f>
        <v>no</v>
      </c>
    </row>
    <row r="956">
      <c r="A956" s="1" t="s">
        <v>887</v>
      </c>
      <c r="B956" s="19">
        <v>3.0</v>
      </c>
      <c r="C956" s="19" t="s">
        <v>1680</v>
      </c>
      <c r="D956" s="58" t="str">
        <f t="shared" si="758"/>
        <v/>
      </c>
      <c r="E956" s="59">
        <f>Q956</f>
        <v>43795</v>
      </c>
      <c r="F956" s="60" t="str">
        <f>IFERROR(__xludf.DUMMYFUNCTION("iferror(ifna(IFNA(filter('2.1.clean'!E:E,'2.1.clean'!A:A=C956),filter('2.2.clean'!G:G,'2.2.clean'!D:D=C956)),filter('2.4.clean'!E:E,'2.4.clean'!A:A=C956)),)"),"")</f>
        <v/>
      </c>
      <c r="G956" s="59" t="str">
        <f>IFERROR(__xludf.DUMMYFUNCTION("iferror(filter('3.1.clean'!C:C,'3.1.clean'!A:A=C956),"""")"),"")</f>
        <v/>
      </c>
      <c r="H956" s="58"/>
      <c r="I956" s="58" t="str">
        <f>IFERROR(__xludf.DUMMYFUNCTION("iferror(filter('3.1.clean'!G:G,'3.1.clean'!A:A=C956),"""")"),"")</f>
        <v/>
      </c>
      <c r="J956" s="60" t="str">
        <f>IFERROR(__xludf.DUMMYFUNCTION("iferror(filter('3.1.clean'!I:I,'3.1.clean'!A:A=C956),"""")"),"")</f>
        <v/>
      </c>
      <c r="K956" s="59"/>
      <c r="L956" s="60"/>
      <c r="M956" s="59" t="str">
        <f>IFERROR(__xludf.DUMMYFUNCTION("iferror(filter('3.3.clean'!C:C,'3.3.clean'!A:A=C956),"""")"),"")</f>
        <v/>
      </c>
      <c r="N956" s="60" t="b">
        <f t="shared" si="756"/>
        <v>0</v>
      </c>
      <c r="O956" s="59" t="str">
        <f>IFERROR(__xludf.DUMMYFUNCTION("iferror(filter('3.4.clean'!C:C,'3.4.clean'!A:A=C956),"""")"),"")</f>
        <v/>
      </c>
      <c r="P956" s="60" t="b">
        <f t="shared" si="757"/>
        <v>0</v>
      </c>
      <c r="Q956" s="59">
        <f>IFERROR(__xludf.DUMMYFUNCTION("iferror(filter('3.5.clean'!C:C,'3.5.clean'!A:A=C956),"""")"),43795.0)</f>
        <v>43795</v>
      </c>
      <c r="R956" s="58" t="b">
        <f t="shared" ref="R956:R957" si="759">if(Q956="",FALSE,TRUE)</f>
        <v>1</v>
      </c>
      <c r="S956" s="4">
        <f>IFERROR(__xludf.DUMMYFUNCTION("iferror(filter('3.5.clean'!H:H,'3.5.clean'!A:A=C956),"""")"),0.0)</f>
        <v>0</v>
      </c>
      <c r="V956" s="52" t="s">
        <v>64</v>
      </c>
      <c r="W956" s="23" t="b">
        <f>if(AND(R956=TRUE,N956=TRUE,P956=TRUE),TRUE,FALSE)</f>
        <v>0</v>
      </c>
      <c r="X956" s="23" t="str">
        <f>IFERROR(__xludf.DUMMYFUNCTION("if(COUNTA(FILTER(C:C, C:C = C956))=1,""no"",""yes"")"),"no")</f>
        <v>no</v>
      </c>
    </row>
    <row r="957">
      <c r="A957" s="1" t="s">
        <v>887</v>
      </c>
      <c r="B957" s="2">
        <v>4.0</v>
      </c>
      <c r="C957" s="19" t="s">
        <v>1681</v>
      </c>
      <c r="E957" s="24">
        <f>IFERROR(__xludf.DUMMYFUNCTION("ifna(IFNA(filter('2.1.clean'!C:C,'2.1.clean'!A:A=C957),filter('2.2.clean'!E:E,'2.2.clean'!D:D=C957)),filter('2.4.clean'!C:C,'2.4.clean'!A:A=C957))"),43795.0)</f>
        <v>43795</v>
      </c>
      <c r="F957" s="25">
        <f>IFERROR(__xludf.DUMMYFUNCTION("iferror(ifna(IFNA(filter('2.1.clean'!E:E,'2.1.clean'!A:A=C957),filter('2.2.clean'!G:G,'2.2.clean'!D:D=C957)),filter('2.4.clean'!E:E,'2.4.clean'!A:A=C957)),)"),2.4)</f>
        <v>2.4</v>
      </c>
      <c r="G957" s="24"/>
      <c r="J957" s="25"/>
      <c r="K957" s="24"/>
      <c r="L957" s="25"/>
      <c r="M957" s="24">
        <f>IFERROR(__xludf.DUMMYFUNCTION("iferror(filter('3.3.clean'!C:C,'3.3.clean'!A:A=C957),"""")"),43796.0)</f>
        <v>43796</v>
      </c>
      <c r="N957" s="25" t="b">
        <f t="shared" si="756"/>
        <v>1</v>
      </c>
      <c r="O957" s="24">
        <f>IFERROR(__xludf.DUMMYFUNCTION("iferror(filter('3.4.clean'!C:C,'3.4.clean'!A:A=C957),"""")"),43798.0)</f>
        <v>43798</v>
      </c>
      <c r="P957" s="25" t="b">
        <f t="shared" si="757"/>
        <v>1</v>
      </c>
      <c r="Q957" s="24">
        <f>IFERROR(__xludf.DUMMYFUNCTION("iferror(filter('3.5.clean'!C:C,'3.5.clean'!A:A=C957),"""")"),43795.0)</f>
        <v>43795</v>
      </c>
      <c r="R957" s="23" t="b">
        <f t="shared" si="759"/>
        <v>1</v>
      </c>
      <c r="S957" s="25"/>
      <c r="V957" s="52" t="s">
        <v>64</v>
      </c>
      <c r="W957" s="23" t="b">
        <f>IF(and(R957=TRUE,N957=TRUE,P957=TRUE),TRUE,FALSE)</f>
        <v>1</v>
      </c>
      <c r="X957" s="23" t="str">
        <f>IFERROR(__xludf.DUMMYFUNCTION("if(COUNTA(FILTER(C:C, C:C = C957))=1,""no"",""yes"")"),"no")</f>
        <v>no</v>
      </c>
    </row>
    <row r="958">
      <c r="A958" s="1" t="s">
        <v>887</v>
      </c>
      <c r="B958" s="19">
        <v>5.0</v>
      </c>
      <c r="C958" s="19" t="s">
        <v>1682</v>
      </c>
      <c r="D958" s="58" t="str">
        <f t="shared" ref="D958:D959" si="760">if(or(I958=1,J958=1,S958=1),"pos","")</f>
        <v/>
      </c>
      <c r="E958" s="59">
        <f>IFERROR(__xludf.DUMMYFUNCTION("ifna(IFNA(filter('2.1.clean'!C:C,'2.1.clean'!A:A=C958),filter('2.2.clean'!E:E,'2.2.clean'!D:D=C958)),filter('2.4.clean'!C:C,'2.4.clean'!A:A=C958))"),43795.0)</f>
        <v>43795</v>
      </c>
      <c r="F958" s="60">
        <f>IFERROR(__xludf.DUMMYFUNCTION("iferror(ifna(IFNA(filter('2.1.clean'!E:E,'2.1.clean'!A:A=C958),filter('2.2.clean'!G:G,'2.2.clean'!D:D=C958)),filter('2.4.clean'!E:E,'2.4.clean'!A:A=C958)),)"),2.4)</f>
        <v>2.4</v>
      </c>
      <c r="G958" s="59">
        <f>IFERROR(__xludf.DUMMYFUNCTION("iferror(filter('3.1.clean'!C:C,'3.1.clean'!A:A=C958),"""")"),43795.0)</f>
        <v>43795</v>
      </c>
      <c r="H958" s="58" t="b">
        <f>if(G958="",FALSE,TRUE)</f>
        <v>1</v>
      </c>
      <c r="I958" s="58">
        <f>IFERROR(__xludf.DUMMYFUNCTION("iferror(filter('3.1.clean'!G:G,'3.1.clean'!A:A=C958),"""")"),0.0)</f>
        <v>0</v>
      </c>
      <c r="J958" s="60" t="str">
        <f>IFERROR(__xludf.DUMMYFUNCTION("iferror(filter('3.1.clean'!I:I,'3.1.clean'!A:A=C958),"""")"),"")</f>
        <v/>
      </c>
      <c r="K958" s="58"/>
      <c r="L958" s="60"/>
      <c r="M958" s="59" t="str">
        <f>IFERROR(__xludf.DUMMYFUNCTION("iferror(filter('3.3.clean'!C:C,'3.3.clean'!A:A=C958),"""")"),"")</f>
        <v/>
      </c>
      <c r="N958" s="60" t="b">
        <f t="shared" si="756"/>
        <v>0</v>
      </c>
      <c r="O958" s="59" t="str">
        <f>IFERROR(__xludf.DUMMYFUNCTION("iferror(filter('3.4.clean'!C:C,'3.4.clean'!A:A=C958),"""")"),"")</f>
        <v/>
      </c>
      <c r="P958" s="60" t="b">
        <f t="shared" si="757"/>
        <v>0</v>
      </c>
      <c r="Q958" s="59" t="str">
        <f>IFERROR(__xludf.DUMMYFUNCTION("iferror(filter('3.5.clean'!C:C,'3.5.clean'!A:A=C958),"""")"),"")</f>
        <v/>
      </c>
      <c r="R958" s="58"/>
      <c r="S958" s="4" t="str">
        <f>IFERROR(__xludf.DUMMYFUNCTION("iferror(filter('3.5.clean'!H:H,'3.5.clean'!A:A=C958),"""")"),"")</f>
        <v/>
      </c>
      <c r="W958" s="23" t="b">
        <f>if(AND(H958=TRUE,N958=TRUE,P958=TRUE),TRUE,FALSE)</f>
        <v>0</v>
      </c>
      <c r="X958" s="23" t="str">
        <f>IFERROR(__xludf.DUMMYFUNCTION("if(COUNTA(FILTER(C:C, C:C = C958))=1,""no"",""yes"")"),"no")</f>
        <v>no</v>
      </c>
    </row>
    <row r="959">
      <c r="A959" s="1" t="s">
        <v>887</v>
      </c>
      <c r="B959" s="19">
        <v>6.0</v>
      </c>
      <c r="C959" s="19" t="s">
        <v>1683</v>
      </c>
      <c r="D959" s="58" t="str">
        <f t="shared" si="760"/>
        <v/>
      </c>
      <c r="E959" s="59">
        <f>Q959</f>
        <v>43795</v>
      </c>
      <c r="F959" s="60" t="str">
        <f>IFERROR(__xludf.DUMMYFUNCTION("iferror(ifna(IFNA(filter('2.1.clean'!E:E,'2.1.clean'!A:A=C959),filter('2.2.clean'!G:G,'2.2.clean'!D:D=C959)),filter('2.4.clean'!E:E,'2.4.clean'!A:A=C959)),)"),"")</f>
        <v/>
      </c>
      <c r="G959" s="59" t="str">
        <f>IFERROR(__xludf.DUMMYFUNCTION("iferror(filter('3.1.clean'!C:C,'3.1.clean'!A:A=C959),"""")"),"")</f>
        <v/>
      </c>
      <c r="H959" s="58"/>
      <c r="I959" s="58" t="str">
        <f>IFERROR(__xludf.DUMMYFUNCTION("iferror(filter('3.1.clean'!G:G,'3.1.clean'!A:A=C959),"""")"),"")</f>
        <v/>
      </c>
      <c r="J959" s="60" t="str">
        <f>IFERROR(__xludf.DUMMYFUNCTION("iferror(filter('3.1.clean'!I:I,'3.1.clean'!A:A=C959),"""")"),"")</f>
        <v/>
      </c>
      <c r="K959" s="59"/>
      <c r="L959" s="60"/>
      <c r="M959" s="59" t="str">
        <f>IFERROR(__xludf.DUMMYFUNCTION("iferror(filter('3.3.clean'!C:C,'3.3.clean'!A:A=C959),"""")"),"")</f>
        <v/>
      </c>
      <c r="N959" s="60" t="b">
        <f t="shared" si="756"/>
        <v>0</v>
      </c>
      <c r="O959" s="59" t="str">
        <f>IFERROR(__xludf.DUMMYFUNCTION("iferror(filter('3.4.clean'!C:C,'3.4.clean'!A:A=C959),"""")"),"")</f>
        <v/>
      </c>
      <c r="P959" s="60" t="b">
        <f t="shared" si="757"/>
        <v>0</v>
      </c>
      <c r="Q959" s="59">
        <f>IFERROR(__xludf.DUMMYFUNCTION("iferror(filter('3.5.clean'!C:C,'3.5.clean'!A:A=C959),"""")"),43795.0)</f>
        <v>43795</v>
      </c>
      <c r="R959" s="58" t="b">
        <f t="shared" ref="R959:R960" si="761">if(Q959="",FALSE,TRUE)</f>
        <v>1</v>
      </c>
      <c r="S959" s="4">
        <f>IFERROR(__xludf.DUMMYFUNCTION("iferror(filter('3.5.clean'!H:H,'3.5.clean'!A:A=C959),"""")"),0.0)</f>
        <v>0</v>
      </c>
      <c r="V959" s="52" t="s">
        <v>64</v>
      </c>
      <c r="W959" s="23" t="b">
        <f>if(AND(R959=TRUE,N959=TRUE,P959=TRUE),TRUE,FALSE)</f>
        <v>0</v>
      </c>
      <c r="X959" s="23" t="str">
        <f>IFERROR(__xludf.DUMMYFUNCTION("if(COUNTA(FILTER(C:C, C:C = C959))=1,""no"",""yes"")"),"no")</f>
        <v>no</v>
      </c>
    </row>
    <row r="960">
      <c r="A960" s="1" t="s">
        <v>887</v>
      </c>
      <c r="B960" s="2">
        <v>7.0</v>
      </c>
      <c r="C960" s="19" t="s">
        <v>1684</v>
      </c>
      <c r="E960" s="24">
        <f>IFERROR(__xludf.DUMMYFUNCTION("ifna(IFNA(filter('2.1.clean'!C:C,'2.1.clean'!A:A=C960),filter('2.2.clean'!E:E,'2.2.clean'!D:D=C960)),filter('2.4.clean'!C:C,'2.4.clean'!A:A=C960))"),43795.0)</f>
        <v>43795</v>
      </c>
      <c r="F960" s="25">
        <f>IFERROR(__xludf.DUMMYFUNCTION("iferror(ifna(IFNA(filter('2.1.clean'!E:E,'2.1.clean'!A:A=C960),filter('2.2.clean'!G:G,'2.2.clean'!D:D=C960)),filter('2.4.clean'!E:E,'2.4.clean'!A:A=C960)),)"),2.4)</f>
        <v>2.4</v>
      </c>
      <c r="G960" s="24">
        <f>IFERROR(__xludf.DUMMYFUNCTION("iferror(filter('3.1.clean'!C:C,'3.1.clean'!A:A=C960),"""")"),43795.0)</f>
        <v>43795</v>
      </c>
      <c r="H960" s="23" t="b">
        <f t="shared" ref="H960:H961" si="762">if(G960="",FALSE,TRUE)</f>
        <v>1</v>
      </c>
      <c r="J960" s="25"/>
      <c r="K960" s="24">
        <f>IFERROR(__xludf.DUMMYFUNCTION("iferror(filter('3.2.clean'!C:C,'3.2.clean'!A:A=C960),"""")"),43796.0)</f>
        <v>43796</v>
      </c>
      <c r="L960" s="25" t="b">
        <f>if(K960="",FALSE,TRUE)</f>
        <v>1</v>
      </c>
      <c r="M960" s="24">
        <f>IFERROR(__xludf.DUMMYFUNCTION("iferror(filter('3.3.clean'!C:C,'3.3.clean'!A:A=C960),"""")"),43796.0)</f>
        <v>43796</v>
      </c>
      <c r="N960" s="25" t="b">
        <f t="shared" si="756"/>
        <v>1</v>
      </c>
      <c r="O960" s="24">
        <f>IFERROR(__xludf.DUMMYFUNCTION("iferror(filter('3.4.clean'!C:C,'3.4.clean'!A:A=C960),"""")"),43798.0)</f>
        <v>43798</v>
      </c>
      <c r="P960" s="25" t="b">
        <f t="shared" si="757"/>
        <v>1</v>
      </c>
      <c r="Q960" s="24">
        <f>IFERROR(__xludf.DUMMYFUNCTION("iferror(filter('3.5.clean'!C:C,'3.5.clean'!A:A=C960),"""")"),43795.0)</f>
        <v>43795</v>
      </c>
      <c r="R960" s="23" t="b">
        <f t="shared" si="761"/>
        <v>1</v>
      </c>
      <c r="S960" s="25"/>
      <c r="V960" s="1" t="s">
        <v>64</v>
      </c>
      <c r="X960" s="23" t="str">
        <f>IFERROR(__xludf.DUMMYFUNCTION("if(COUNTA(FILTER(C:C, C:C = C960))=1,""no"",""yes"")"),"no")</f>
        <v>no</v>
      </c>
    </row>
    <row r="961">
      <c r="A961" s="1" t="s">
        <v>887</v>
      </c>
      <c r="B961" s="19">
        <v>8.0</v>
      </c>
      <c r="C961" s="19" t="s">
        <v>1685</v>
      </c>
      <c r="D961" s="58" t="str">
        <f t="shared" ref="D961:D962" si="763">if(or(I961=1,J961=1,S961=1),"pos","")</f>
        <v/>
      </c>
      <c r="E961" s="59">
        <f>IFERROR(__xludf.DUMMYFUNCTION("ifna(IFNA(filter('2.1.clean'!C:C,'2.1.clean'!A:A=C961),filter('2.2.clean'!E:E,'2.2.clean'!D:D=C961)),filter('2.4.clean'!C:C,'2.4.clean'!A:A=C961))"),43795.0)</f>
        <v>43795</v>
      </c>
      <c r="F961" s="60">
        <f>IFERROR(__xludf.DUMMYFUNCTION("iferror(ifna(IFNA(filter('2.1.clean'!E:E,'2.1.clean'!A:A=C961),filter('2.2.clean'!G:G,'2.2.clean'!D:D=C961)),filter('2.4.clean'!E:E,'2.4.clean'!A:A=C961)),)"),2.4)</f>
        <v>2.4</v>
      </c>
      <c r="G961" s="59">
        <f>IFERROR(__xludf.DUMMYFUNCTION("iferror(filter('3.1.clean'!C:C,'3.1.clean'!A:A=C961),"""")"),43795.0)</f>
        <v>43795</v>
      </c>
      <c r="H961" s="58" t="b">
        <f t="shared" si="762"/>
        <v>1</v>
      </c>
      <c r="I961" s="58">
        <f>IFERROR(__xludf.DUMMYFUNCTION("iferror(filter('3.1.clean'!G:G,'3.1.clean'!A:A=C961),"""")"),0.0)</f>
        <v>0</v>
      </c>
      <c r="J961" s="60" t="str">
        <f>IFERROR(__xludf.DUMMYFUNCTION("iferror(filter('3.1.clean'!I:I,'3.1.clean'!A:A=C961),"""")"),"")</f>
        <v/>
      </c>
      <c r="K961" s="58"/>
      <c r="L961" s="60"/>
      <c r="M961" s="59" t="str">
        <f>IFERROR(__xludf.DUMMYFUNCTION("iferror(filter('3.3.clean'!C:C,'3.3.clean'!A:A=C961),"""")"),"")</f>
        <v/>
      </c>
      <c r="N961" s="60" t="b">
        <f t="shared" si="756"/>
        <v>0</v>
      </c>
      <c r="O961" s="59" t="str">
        <f>IFERROR(__xludf.DUMMYFUNCTION("iferror(filter('3.4.clean'!C:C,'3.4.clean'!A:A=C961),"""")"),"")</f>
        <v/>
      </c>
      <c r="P961" s="60" t="b">
        <f t="shared" si="757"/>
        <v>0</v>
      </c>
      <c r="Q961" s="59" t="str">
        <f>IFERROR(__xludf.DUMMYFUNCTION("iferror(filter('3.5.clean'!C:C,'3.5.clean'!A:A=C961),"""")"),"")</f>
        <v/>
      </c>
      <c r="R961" s="58"/>
      <c r="S961" s="4" t="str">
        <f>IFERROR(__xludf.DUMMYFUNCTION("iferror(filter('3.5.clean'!H:H,'3.5.clean'!A:A=C961),"""")"),"")</f>
        <v/>
      </c>
      <c r="W961" s="23" t="b">
        <f>if(AND(H961=TRUE,N961=TRUE,P961=TRUE),TRUE,FALSE)</f>
        <v>0</v>
      </c>
      <c r="X961" s="23" t="str">
        <f>IFERROR(__xludf.DUMMYFUNCTION("if(COUNTA(FILTER(C:C, C:C = C961))=1,""no"",""yes"")"),"no")</f>
        <v>no</v>
      </c>
    </row>
    <row r="962">
      <c r="A962" s="1" t="s">
        <v>887</v>
      </c>
      <c r="B962" s="19">
        <v>9.0</v>
      </c>
      <c r="C962" s="19" t="s">
        <v>1686</v>
      </c>
      <c r="D962" s="58" t="str">
        <f t="shared" si="763"/>
        <v/>
      </c>
      <c r="E962" s="59">
        <f>Q962</f>
        <v>43795</v>
      </c>
      <c r="F962" s="60" t="str">
        <f>IFERROR(__xludf.DUMMYFUNCTION("iferror(ifna(IFNA(filter('2.1.clean'!E:E,'2.1.clean'!A:A=C962),filter('2.2.clean'!G:G,'2.2.clean'!D:D=C962)),filter('2.4.clean'!E:E,'2.4.clean'!A:A=C962)),)"),"")</f>
        <v/>
      </c>
      <c r="G962" s="59" t="str">
        <f>IFERROR(__xludf.DUMMYFUNCTION("iferror(filter('3.1.clean'!C:C,'3.1.clean'!A:A=C962),"""")"),"")</f>
        <v/>
      </c>
      <c r="H962" s="58"/>
      <c r="I962" s="58" t="str">
        <f>IFERROR(__xludf.DUMMYFUNCTION("iferror(filter('3.1.clean'!G:G,'3.1.clean'!A:A=C962),"""")"),"")</f>
        <v/>
      </c>
      <c r="J962" s="60" t="str">
        <f>IFERROR(__xludf.DUMMYFUNCTION("iferror(filter('3.1.clean'!I:I,'3.1.clean'!A:A=C962),"""")"),"")</f>
        <v/>
      </c>
      <c r="K962" s="59"/>
      <c r="L962" s="60"/>
      <c r="M962" s="59" t="str">
        <f>IFERROR(__xludf.DUMMYFUNCTION("iferror(filter('3.3.clean'!C:C,'3.3.clean'!A:A=C962),"""")"),"")</f>
        <v/>
      </c>
      <c r="N962" s="60" t="b">
        <f t="shared" si="756"/>
        <v>0</v>
      </c>
      <c r="O962" s="59" t="str">
        <f>IFERROR(__xludf.DUMMYFUNCTION("iferror(filter('3.4.clean'!C:C,'3.4.clean'!A:A=C962),"""")"),"")</f>
        <v/>
      </c>
      <c r="P962" s="60" t="b">
        <f t="shared" si="757"/>
        <v>0</v>
      </c>
      <c r="Q962" s="59">
        <f>IFERROR(__xludf.DUMMYFUNCTION("iferror(filter('3.5.clean'!C:C,'3.5.clean'!A:A=C962),"""")"),43795.0)</f>
        <v>43795</v>
      </c>
      <c r="R962" s="58" t="b">
        <f t="shared" ref="R962:R963" si="764">if(Q962="",FALSE,TRUE)</f>
        <v>1</v>
      </c>
      <c r="S962" s="4">
        <f>IFERROR(__xludf.DUMMYFUNCTION("iferror(filter('3.5.clean'!H:H,'3.5.clean'!A:A=C962),"""")"),0.0)</f>
        <v>0</v>
      </c>
      <c r="V962" s="52" t="s">
        <v>64</v>
      </c>
      <c r="W962" s="23" t="b">
        <f>if(AND(R962=TRUE,N962=TRUE,P962=TRUE),TRUE,FALSE)</f>
        <v>0</v>
      </c>
      <c r="X962" s="23" t="str">
        <f>IFERROR(__xludf.DUMMYFUNCTION("if(COUNTA(FILTER(C:C, C:C = C962))=1,""no"",""yes"")"),"no")</f>
        <v>no</v>
      </c>
    </row>
    <row r="963">
      <c r="A963" s="1" t="s">
        <v>887</v>
      </c>
      <c r="B963" s="2">
        <v>10.0</v>
      </c>
      <c r="C963" s="19" t="s">
        <v>1687</v>
      </c>
      <c r="E963" s="24">
        <f>IFERROR(__xludf.DUMMYFUNCTION("ifna(IFNA(filter('2.1.clean'!C:C,'2.1.clean'!A:A=C963),filter('2.2.clean'!E:E,'2.2.clean'!D:D=C963)),filter('2.4.clean'!C:C,'2.4.clean'!A:A=C963))"),43795.0)</f>
        <v>43795</v>
      </c>
      <c r="F963" s="25">
        <f>IFERROR(__xludf.DUMMYFUNCTION("iferror(ifna(IFNA(filter('2.1.clean'!E:E,'2.1.clean'!A:A=C963),filter('2.2.clean'!G:G,'2.2.clean'!D:D=C963)),filter('2.4.clean'!E:E,'2.4.clean'!A:A=C963)),)"),2.4)</f>
        <v>2.4</v>
      </c>
      <c r="G963" s="24">
        <f>IFERROR(__xludf.DUMMYFUNCTION("iferror(filter('3.1.clean'!C:C,'3.1.clean'!A:A=C963),"""")"),43795.0)</f>
        <v>43795</v>
      </c>
      <c r="H963" s="23" t="b">
        <f t="shared" ref="H963:H964" si="765">if(G963="",FALSE,TRUE)</f>
        <v>1</v>
      </c>
      <c r="J963" s="25"/>
      <c r="K963" s="24">
        <f>IFERROR(__xludf.DUMMYFUNCTION("iferror(filter('3.2.clean'!C:C,'3.2.clean'!A:A=C963),"""")"),43796.0)</f>
        <v>43796</v>
      </c>
      <c r="L963" s="25" t="b">
        <f>if(K963="",FALSE,TRUE)</f>
        <v>1</v>
      </c>
      <c r="M963" s="24">
        <f>IFERROR(__xludf.DUMMYFUNCTION("iferror(filter('3.3.clean'!C:C,'3.3.clean'!A:A=C963),"""")"),43796.0)</f>
        <v>43796</v>
      </c>
      <c r="N963" s="25" t="b">
        <f t="shared" si="756"/>
        <v>1</v>
      </c>
      <c r="O963" s="24">
        <f>IFERROR(__xludf.DUMMYFUNCTION("iferror(filter('3.4.clean'!C:C,'3.4.clean'!A:A=C963),"""")"),43798.0)</f>
        <v>43798</v>
      </c>
      <c r="P963" s="25" t="b">
        <f t="shared" si="757"/>
        <v>1</v>
      </c>
      <c r="Q963" s="24">
        <f>IFERROR(__xludf.DUMMYFUNCTION("iferror(filter('3.5.clean'!C:C,'3.5.clean'!A:A=C963),"""")"),43795.0)</f>
        <v>43795</v>
      </c>
      <c r="R963" s="23" t="b">
        <f t="shared" si="764"/>
        <v>1</v>
      </c>
      <c r="S963" s="25"/>
      <c r="V963" s="1" t="s">
        <v>64</v>
      </c>
      <c r="X963" s="23" t="str">
        <f>IFERROR(__xludf.DUMMYFUNCTION("if(COUNTA(FILTER(C:C, C:C = C963))=1,""no"",""yes"")"),"no")</f>
        <v>no</v>
      </c>
    </row>
    <row r="964">
      <c r="A964" s="1" t="s">
        <v>887</v>
      </c>
      <c r="B964" s="19">
        <v>11.0</v>
      </c>
      <c r="C964" s="19" t="s">
        <v>1688</v>
      </c>
      <c r="D964" s="58" t="str">
        <f t="shared" ref="D964:D965" si="766">if(or(I964=1,J964=1,S964=1),"pos","")</f>
        <v/>
      </c>
      <c r="E964" s="59">
        <f>IFERROR(__xludf.DUMMYFUNCTION("ifna(IFNA(filter('2.1.clean'!C:C,'2.1.clean'!A:A=C964),filter('2.2.clean'!E:E,'2.2.clean'!D:D=C964)),filter('2.4.clean'!C:C,'2.4.clean'!A:A=C964))"),43795.0)</f>
        <v>43795</v>
      </c>
      <c r="F964" s="60">
        <f>IFERROR(__xludf.DUMMYFUNCTION("iferror(ifna(IFNA(filter('2.1.clean'!E:E,'2.1.clean'!A:A=C964),filter('2.2.clean'!G:G,'2.2.clean'!D:D=C964)),filter('2.4.clean'!E:E,'2.4.clean'!A:A=C964)),)"),2.4)</f>
        <v>2.4</v>
      </c>
      <c r="G964" s="59">
        <f>IFERROR(__xludf.DUMMYFUNCTION("iferror(filter('3.1.clean'!C:C,'3.1.clean'!A:A=C964),"""")"),43795.0)</f>
        <v>43795</v>
      </c>
      <c r="H964" s="58" t="b">
        <f t="shared" si="765"/>
        <v>1</v>
      </c>
      <c r="I964" s="58">
        <f>IFERROR(__xludf.DUMMYFUNCTION("iferror(filter('3.1.clean'!G:G,'3.1.clean'!A:A=C964),"""")"),0.0)</f>
        <v>0</v>
      </c>
      <c r="J964" s="60" t="str">
        <f>IFERROR(__xludf.DUMMYFUNCTION("iferror(filter('3.1.clean'!I:I,'3.1.clean'!A:A=C964),"""")"),"")</f>
        <v/>
      </c>
      <c r="K964" s="58"/>
      <c r="L964" s="60"/>
      <c r="M964" s="59" t="str">
        <f>IFERROR(__xludf.DUMMYFUNCTION("iferror(filter('3.3.clean'!C:C,'3.3.clean'!A:A=C964),"""")"),"")</f>
        <v/>
      </c>
      <c r="N964" s="60" t="b">
        <f t="shared" si="756"/>
        <v>0</v>
      </c>
      <c r="O964" s="59" t="str">
        <f>IFERROR(__xludf.DUMMYFUNCTION("iferror(filter('3.4.clean'!C:C,'3.4.clean'!A:A=C964),"""")"),"")</f>
        <v/>
      </c>
      <c r="P964" s="60" t="b">
        <f t="shared" si="757"/>
        <v>0</v>
      </c>
      <c r="Q964" s="59" t="str">
        <f>IFERROR(__xludf.DUMMYFUNCTION("iferror(filter('3.5.clean'!C:C,'3.5.clean'!A:A=C964),"""")"),"")</f>
        <v/>
      </c>
      <c r="R964" s="58"/>
      <c r="S964" s="4" t="str">
        <f>IFERROR(__xludf.DUMMYFUNCTION("iferror(filter('3.5.clean'!H:H,'3.5.clean'!A:A=C964),"""")"),"")</f>
        <v/>
      </c>
      <c r="W964" s="23" t="b">
        <f>if(AND(H964=TRUE,N964=TRUE,P964=TRUE),TRUE,FALSE)</f>
        <v>0</v>
      </c>
      <c r="X964" s="23" t="str">
        <f>IFERROR(__xludf.DUMMYFUNCTION("if(COUNTA(FILTER(C:C, C:C = C964))=1,""no"",""yes"")"),"no")</f>
        <v>no</v>
      </c>
    </row>
    <row r="965">
      <c r="A965" s="1" t="s">
        <v>887</v>
      </c>
      <c r="B965" s="19">
        <v>12.0</v>
      </c>
      <c r="C965" s="19" t="s">
        <v>1689</v>
      </c>
      <c r="D965" s="58" t="str">
        <f t="shared" si="766"/>
        <v/>
      </c>
      <c r="E965" s="59">
        <f>Q965</f>
        <v>43795</v>
      </c>
      <c r="F965" s="60" t="str">
        <f>IFERROR(__xludf.DUMMYFUNCTION("iferror(ifna(IFNA(filter('2.1.clean'!E:E,'2.1.clean'!A:A=C965),filter('2.2.clean'!G:G,'2.2.clean'!D:D=C965)),filter('2.4.clean'!E:E,'2.4.clean'!A:A=C965)),)"),"")</f>
        <v/>
      </c>
      <c r="G965" s="59" t="str">
        <f>IFERROR(__xludf.DUMMYFUNCTION("iferror(filter('3.1.clean'!C:C,'3.1.clean'!A:A=C965),"""")"),"")</f>
        <v/>
      </c>
      <c r="H965" s="58"/>
      <c r="I965" s="58" t="str">
        <f>IFERROR(__xludf.DUMMYFUNCTION("iferror(filter('3.1.clean'!G:G,'3.1.clean'!A:A=C965),"""")"),"")</f>
        <v/>
      </c>
      <c r="J965" s="60" t="str">
        <f>IFERROR(__xludf.DUMMYFUNCTION("iferror(filter('3.1.clean'!I:I,'3.1.clean'!A:A=C965),"""")"),"")</f>
        <v/>
      </c>
      <c r="K965" s="59"/>
      <c r="L965" s="60"/>
      <c r="M965" s="59" t="str">
        <f>IFERROR(__xludf.DUMMYFUNCTION("iferror(filter('3.3.clean'!C:C,'3.3.clean'!A:A=C965),"""")"),"")</f>
        <v/>
      </c>
      <c r="N965" s="60" t="b">
        <f t="shared" si="756"/>
        <v>0</v>
      </c>
      <c r="O965" s="59" t="str">
        <f>IFERROR(__xludf.DUMMYFUNCTION("iferror(filter('3.4.clean'!C:C,'3.4.clean'!A:A=C965),"""")"),"")</f>
        <v/>
      </c>
      <c r="P965" s="60" t="b">
        <f t="shared" si="757"/>
        <v>0</v>
      </c>
      <c r="Q965" s="59">
        <f>IFERROR(__xludf.DUMMYFUNCTION("iferror(filter('3.5.clean'!C:C,'3.5.clean'!A:A=C965),"""")"),43795.0)</f>
        <v>43795</v>
      </c>
      <c r="R965" s="58" t="b">
        <f t="shared" ref="R965:R966" si="767">if(Q965="",FALSE,TRUE)</f>
        <v>1</v>
      </c>
      <c r="S965" s="4">
        <f>IFERROR(__xludf.DUMMYFUNCTION("iferror(filter('3.5.clean'!H:H,'3.5.clean'!A:A=C965),"""")"),0.0)</f>
        <v>0</v>
      </c>
      <c r="V965" s="52" t="s">
        <v>64</v>
      </c>
      <c r="W965" s="23" t="b">
        <f>if(AND(R965=TRUE,N965=TRUE,P965=TRUE),TRUE,FALSE)</f>
        <v>0</v>
      </c>
      <c r="X965" s="23" t="str">
        <f>IFERROR(__xludf.DUMMYFUNCTION("if(COUNTA(FILTER(C:C, C:C = C965))=1,""no"",""yes"")"),"no")</f>
        <v>no</v>
      </c>
    </row>
    <row r="966">
      <c r="A966" s="1" t="s">
        <v>887</v>
      </c>
      <c r="B966" s="2">
        <v>13.0</v>
      </c>
      <c r="C966" s="19" t="s">
        <v>1690</v>
      </c>
      <c r="E966" s="24">
        <f>IFERROR(__xludf.DUMMYFUNCTION("ifna(IFNA(filter('2.1.clean'!C:C,'2.1.clean'!A:A=C966),filter('2.2.clean'!E:E,'2.2.clean'!D:D=C966)),filter('2.4.clean'!C:C,'2.4.clean'!A:A=C966))"),43795.0)</f>
        <v>43795</v>
      </c>
      <c r="F966" s="25">
        <f>IFERROR(__xludf.DUMMYFUNCTION("iferror(ifna(IFNA(filter('2.1.clean'!E:E,'2.1.clean'!A:A=C966),filter('2.2.clean'!G:G,'2.2.clean'!D:D=C966)),filter('2.4.clean'!E:E,'2.4.clean'!A:A=C966)),)"),2.4)</f>
        <v>2.4</v>
      </c>
      <c r="G966" s="24">
        <f>IFERROR(__xludf.DUMMYFUNCTION("iferror(filter('3.1.clean'!C:C,'3.1.clean'!A:A=C966),"""")"),43795.0)</f>
        <v>43795</v>
      </c>
      <c r="H966" s="23" t="b">
        <f t="shared" ref="H966:H967" si="768">if(G966="",FALSE,TRUE)</f>
        <v>1</v>
      </c>
      <c r="J966" s="25"/>
      <c r="K966" s="24">
        <f>IFERROR(__xludf.DUMMYFUNCTION("iferror(filter('3.2.clean'!C:C,'3.2.clean'!A:A=C966),"""")"),43796.0)</f>
        <v>43796</v>
      </c>
      <c r="L966" s="25" t="b">
        <f>if(K966="",FALSE,TRUE)</f>
        <v>1</v>
      </c>
      <c r="M966" s="24">
        <f>IFERROR(__xludf.DUMMYFUNCTION("iferror(filter('3.3.clean'!C:C,'3.3.clean'!A:A=C966),"""")"),43796.0)</f>
        <v>43796</v>
      </c>
      <c r="N966" s="25" t="b">
        <f t="shared" si="756"/>
        <v>1</v>
      </c>
      <c r="O966" s="24">
        <f>IFERROR(__xludf.DUMMYFUNCTION("iferror(filter('3.4.clean'!C:C,'3.4.clean'!A:A=C966),"""")"),43798.0)</f>
        <v>43798</v>
      </c>
      <c r="P966" s="25" t="b">
        <f t="shared" si="757"/>
        <v>1</v>
      </c>
      <c r="Q966" s="24">
        <f>IFERROR(__xludf.DUMMYFUNCTION("iferror(filter('3.5.clean'!C:C,'3.5.clean'!A:A=C966),"""")"),43795.0)</f>
        <v>43795</v>
      </c>
      <c r="R966" s="23" t="b">
        <f t="shared" si="767"/>
        <v>1</v>
      </c>
      <c r="S966" s="25"/>
      <c r="V966" s="1" t="s">
        <v>64</v>
      </c>
      <c r="X966" s="23" t="str">
        <f>IFERROR(__xludf.DUMMYFUNCTION("if(COUNTA(FILTER(C:C, C:C = C966))=1,""no"",""yes"")"),"no")</f>
        <v>no</v>
      </c>
    </row>
    <row r="967">
      <c r="A967" s="1" t="s">
        <v>887</v>
      </c>
      <c r="B967" s="19">
        <v>14.0</v>
      </c>
      <c r="C967" s="19" t="s">
        <v>1691</v>
      </c>
      <c r="D967" s="58" t="str">
        <f t="shared" ref="D967:D970" si="769">if(or(I967=1,J967=1,S967=1),"pos","")</f>
        <v/>
      </c>
      <c r="E967" s="59">
        <f>IFERROR(__xludf.DUMMYFUNCTION("ifna(IFNA(filter('2.1.clean'!C:C,'2.1.clean'!A:A=C967),filter('2.2.clean'!E:E,'2.2.clean'!D:D=C967)),filter('2.4.clean'!C:C,'2.4.clean'!A:A=C967))"),43795.0)</f>
        <v>43795</v>
      </c>
      <c r="F967" s="60">
        <f>IFERROR(__xludf.DUMMYFUNCTION("iferror(ifna(IFNA(filter('2.1.clean'!E:E,'2.1.clean'!A:A=C967),filter('2.2.clean'!G:G,'2.2.clean'!D:D=C967)),filter('2.4.clean'!E:E,'2.4.clean'!A:A=C967)),)"),2.4)</f>
        <v>2.4</v>
      </c>
      <c r="G967" s="59">
        <f>IFERROR(__xludf.DUMMYFUNCTION("iferror(filter('3.1.clean'!C:C,'3.1.clean'!A:A=C967),"""")"),43795.0)</f>
        <v>43795</v>
      </c>
      <c r="H967" s="58" t="b">
        <f t="shared" si="768"/>
        <v>1</v>
      </c>
      <c r="I967" s="58">
        <f>IFERROR(__xludf.DUMMYFUNCTION("iferror(filter('3.1.clean'!G:G,'3.1.clean'!A:A=C967),"""")"),0.0)</f>
        <v>0</v>
      </c>
      <c r="J967" s="60" t="str">
        <f>IFERROR(__xludf.DUMMYFUNCTION("iferror(filter('3.1.clean'!I:I,'3.1.clean'!A:A=C967),"""")"),"")</f>
        <v/>
      </c>
      <c r="K967" s="58"/>
      <c r="L967" s="60"/>
      <c r="M967" s="59" t="str">
        <f>IFERROR(__xludf.DUMMYFUNCTION("iferror(filter('3.3.clean'!C:C,'3.3.clean'!A:A=C967),"""")"),"")</f>
        <v/>
      </c>
      <c r="N967" s="60" t="b">
        <f t="shared" si="756"/>
        <v>0</v>
      </c>
      <c r="O967" s="59" t="str">
        <f>IFERROR(__xludf.DUMMYFUNCTION("iferror(filter('3.4.clean'!C:C,'3.4.clean'!A:A=C967),"""")"),"")</f>
        <v/>
      </c>
      <c r="P967" s="60" t="b">
        <f t="shared" si="757"/>
        <v>0</v>
      </c>
      <c r="Q967" s="59" t="str">
        <f>IFERROR(__xludf.DUMMYFUNCTION("iferror(filter('3.5.clean'!C:C,'3.5.clean'!A:A=C967),"""")"),"")</f>
        <v/>
      </c>
      <c r="R967" s="58"/>
      <c r="S967" s="4" t="str">
        <f>IFERROR(__xludf.DUMMYFUNCTION("iferror(filter('3.5.clean'!H:H,'3.5.clean'!A:A=C967),"""")"),"")</f>
        <v/>
      </c>
      <c r="W967" s="23" t="b">
        <f>if(AND(H967=TRUE,N967=TRUE,P967=TRUE),TRUE,FALSE)</f>
        <v>0</v>
      </c>
      <c r="X967" s="23" t="str">
        <f>IFERROR(__xludf.DUMMYFUNCTION("if(COUNTA(FILTER(C:C, C:C = C967))=1,""no"",""yes"")"),"no")</f>
        <v>no</v>
      </c>
    </row>
    <row r="968">
      <c r="A968" s="1" t="s">
        <v>887</v>
      </c>
      <c r="B968" s="19">
        <v>15.0</v>
      </c>
      <c r="C968" s="19" t="s">
        <v>1692</v>
      </c>
      <c r="D968" s="58" t="str">
        <f t="shared" si="769"/>
        <v/>
      </c>
      <c r="E968" s="59">
        <f t="shared" ref="E968:E969" si="770">Q968</f>
        <v>43795</v>
      </c>
      <c r="F968" s="60" t="str">
        <f>IFERROR(__xludf.DUMMYFUNCTION("iferror(ifna(IFNA(filter('2.1.clean'!E:E,'2.1.clean'!A:A=C968),filter('2.2.clean'!G:G,'2.2.clean'!D:D=C968)),filter('2.4.clean'!E:E,'2.4.clean'!A:A=C968)),)"),"")</f>
        <v/>
      </c>
      <c r="G968" s="59" t="str">
        <f>IFERROR(__xludf.DUMMYFUNCTION("iferror(filter('3.1.clean'!C:C,'3.1.clean'!A:A=C968),"""")"),"")</f>
        <v/>
      </c>
      <c r="H968" s="58"/>
      <c r="I968" s="58" t="str">
        <f>IFERROR(__xludf.DUMMYFUNCTION("iferror(filter('3.1.clean'!G:G,'3.1.clean'!A:A=C968),"""")"),"")</f>
        <v/>
      </c>
      <c r="J968" s="60" t="str">
        <f>IFERROR(__xludf.DUMMYFUNCTION("iferror(filter('3.1.clean'!I:I,'3.1.clean'!A:A=C968),"""")"),"")</f>
        <v/>
      </c>
      <c r="K968" s="59"/>
      <c r="L968" s="60"/>
      <c r="M968" s="59" t="str">
        <f>IFERROR(__xludf.DUMMYFUNCTION("iferror(filter('3.3.clean'!C:C,'3.3.clean'!A:A=C968),"""")"),"")</f>
        <v/>
      </c>
      <c r="N968" s="60" t="b">
        <f t="shared" si="756"/>
        <v>0</v>
      </c>
      <c r="O968" s="59" t="str">
        <f>IFERROR(__xludf.DUMMYFUNCTION("iferror(filter('3.4.clean'!C:C,'3.4.clean'!A:A=C968),"""")"),"")</f>
        <v/>
      </c>
      <c r="P968" s="60" t="b">
        <f t="shared" si="757"/>
        <v>0</v>
      </c>
      <c r="Q968" s="59">
        <f>IFERROR(__xludf.DUMMYFUNCTION("iferror(filter('3.5.clean'!C:C,'3.5.clean'!A:A=C968),"""")"),43795.0)</f>
        <v>43795</v>
      </c>
      <c r="R968" s="58" t="b">
        <f t="shared" ref="R968:R969" si="771">if(Q968="",FALSE,TRUE)</f>
        <v>1</v>
      </c>
      <c r="S968" s="4">
        <f>IFERROR(__xludf.DUMMYFUNCTION("iferror(filter('3.5.clean'!H:H,'3.5.clean'!A:A=C968),"""")"),0.0)</f>
        <v>0</v>
      </c>
      <c r="V968" s="52" t="s">
        <v>64</v>
      </c>
      <c r="W968" s="23" t="b">
        <f>if(AND(R968=TRUE,N968=TRUE,P968=TRUE),TRUE,FALSE)</f>
        <v>0</v>
      </c>
      <c r="X968" s="23" t="str">
        <f>IFERROR(__xludf.DUMMYFUNCTION("if(COUNTA(FILTER(C:C, C:C = C968))=1,""no"",""yes"")"),"no")</f>
        <v>no</v>
      </c>
    </row>
    <row r="969">
      <c r="A969" s="1" t="s">
        <v>887</v>
      </c>
      <c r="B969" s="19">
        <v>16.0</v>
      </c>
      <c r="C969" s="19" t="s">
        <v>1693</v>
      </c>
      <c r="D969" s="22" t="str">
        <f t="shared" si="769"/>
        <v/>
      </c>
      <c r="E969" s="20">
        <f t="shared" si="770"/>
        <v>43795</v>
      </c>
      <c r="F969" s="79" t="str">
        <f>IFERROR(__xludf.DUMMYFUNCTION("iferror(ifna(IFNA(filter('2.1.clean'!E:E,'2.1.clean'!A:A=C969),filter('2.2.clean'!G:G,'2.2.clean'!D:D=C969)),filter('2.4.clean'!E:E,'2.4.clean'!A:A=C969)),)"),"")</f>
        <v/>
      </c>
      <c r="G969" s="20" t="str">
        <f>IFERROR(__xludf.DUMMYFUNCTION("iferror(filter('3.1.clean'!C:C,'3.1.clean'!A:A=C969),"""")"),"")</f>
        <v/>
      </c>
      <c r="H969" s="22"/>
      <c r="I969" s="22"/>
      <c r="J969" s="79"/>
      <c r="K969" s="20" t="str">
        <f>IFERROR(__xludf.DUMMYFUNCTION("iferror(filter('3.2.clean'!C:C,'3.2.clean'!A:A=C969),"""")"),"")</f>
        <v/>
      </c>
      <c r="L969" s="79"/>
      <c r="M969" s="20" t="str">
        <f>IFERROR(__xludf.DUMMYFUNCTION("iferror(filter('3.3.clean'!C:C,'3.3.clean'!A:A=C969),"""")"),"")</f>
        <v/>
      </c>
      <c r="N969" s="79" t="b">
        <f t="shared" si="756"/>
        <v>0</v>
      </c>
      <c r="O969" s="20" t="str">
        <f>IFERROR(__xludf.DUMMYFUNCTION("iferror(filter('3.4.clean'!C:C,'3.4.clean'!A:A=C969),"""")"),"")</f>
        <v/>
      </c>
      <c r="P969" s="79" t="b">
        <f t="shared" si="757"/>
        <v>0</v>
      </c>
      <c r="Q969" s="20">
        <f>IFERROR(__xludf.DUMMYFUNCTION("iferror(filter('3.5.clean'!C:C,'3.5.clean'!A:A=C969),"""")"),43795.0)</f>
        <v>43795</v>
      </c>
      <c r="R969" s="22" t="b">
        <f t="shared" si="771"/>
        <v>1</v>
      </c>
      <c r="S969" s="4">
        <f>IFERROR(__xludf.DUMMYFUNCTION("iferror(filter('3.5.clean'!H:H,'3.5.clean'!A:A=C969),"""")"),0.0)</f>
        <v>0</v>
      </c>
      <c r="V969" s="1" t="s">
        <v>64</v>
      </c>
      <c r="W969" s="23" t="b">
        <f>IF(and(R969=TRUE,N969=TRUE,P969=TRUE),TRUE,FALSE)</f>
        <v>0</v>
      </c>
      <c r="X969" s="23" t="str">
        <f>IFERROR(__xludf.DUMMYFUNCTION("if(COUNTA(FILTER(C:C, C:C = C969))=1,""no"",""yes"")"),"no")</f>
        <v>no</v>
      </c>
    </row>
    <row r="970">
      <c r="A970" s="1" t="s">
        <v>887</v>
      </c>
      <c r="B970" s="19">
        <v>17.0</v>
      </c>
      <c r="C970" s="19" t="s">
        <v>1694</v>
      </c>
      <c r="D970" s="76" t="str">
        <f t="shared" si="769"/>
        <v/>
      </c>
      <c r="E970" s="77">
        <f>G970</f>
        <v>43795</v>
      </c>
      <c r="F970" s="78" t="str">
        <f>IFERROR(__xludf.DUMMYFUNCTION("iferror(ifna(IFNA(filter('2.1.clean'!E:E,'2.1.clean'!A:A=C970),filter('2.2.clean'!G:G,'2.2.clean'!D:D=C970)),filter('2.4.clean'!E:E,'2.4.clean'!A:A=C970)),)"),"")</f>
        <v/>
      </c>
      <c r="G970" s="77">
        <f>IFERROR(__xludf.DUMMYFUNCTION("iferror(filter('3.1.clean'!C:C,'3.1.clean'!A:A=C970),"""")"),43795.0)</f>
        <v>43795</v>
      </c>
      <c r="H970" s="76" t="b">
        <f>if(G970="",FALSE,TRUE)</f>
        <v>1</v>
      </c>
      <c r="I970" s="76">
        <f>IFERROR(__xludf.DUMMYFUNCTION("iferror(filter('3.1.clean'!G:G,'3.1.clean'!A:A=C970),"""")"),0.0)</f>
        <v>0</v>
      </c>
      <c r="J970" s="78" t="str">
        <f>IFERROR(__xludf.DUMMYFUNCTION("iferror(filter('3.1.clean'!I:I,'3.1.clean'!A:A=C970),"""")"),"")</f>
        <v/>
      </c>
      <c r="K970" s="77"/>
      <c r="L970" s="78"/>
      <c r="M970" s="77"/>
      <c r="N970" s="78"/>
      <c r="O970" s="77"/>
      <c r="P970" s="78"/>
      <c r="Q970" s="77"/>
      <c r="R970" s="76"/>
      <c r="S970" s="25"/>
      <c r="V970" s="1" t="s">
        <v>64</v>
      </c>
      <c r="W970" s="1" t="b">
        <v>1</v>
      </c>
      <c r="X970" s="23" t="str">
        <f>IFERROR(__xludf.DUMMYFUNCTION("if(COUNTA(FILTER(C:C, C:C = C970))=1,""no"",""yes"")"),"no")</f>
        <v>no</v>
      </c>
    </row>
    <row r="971">
      <c r="A971" s="1" t="s">
        <v>887</v>
      </c>
      <c r="B971" s="2">
        <v>18.0</v>
      </c>
      <c r="C971" s="19" t="s">
        <v>1695</v>
      </c>
      <c r="E971" s="24">
        <v>43795.0</v>
      </c>
      <c r="F971" s="25" t="str">
        <f>IFERROR(__xludf.DUMMYFUNCTION("iferror(ifna(IFNA(filter('2.1.clean'!E:E,'2.1.clean'!A:A=C971),filter('2.2.clean'!G:G,'2.2.clean'!D:D=C971)),filter('2.4.clean'!E:E,'2.4.clean'!A:A=C971)),)"),"")</f>
        <v/>
      </c>
      <c r="G971" s="24" t="str">
        <f>IFERROR(__xludf.DUMMYFUNCTION("iferror(filter('3.1.clean'!C:C,'3.1.clean'!A:A=C971),"""")"),"")</f>
        <v/>
      </c>
      <c r="J971" s="25"/>
      <c r="K971" s="24" t="str">
        <f>IFERROR(__xludf.DUMMYFUNCTION("iferror(filter('3.2.clean'!C:C,'3.2.clean'!A:A=C971),"""")"),"")</f>
        <v/>
      </c>
      <c r="L971" s="25"/>
      <c r="M971" s="24">
        <f>IFERROR(__xludf.DUMMYFUNCTION("iferror(filter('3.3.clean'!C:C,'3.3.clean'!A:A=C971),"""")"),43796.0)</f>
        <v>43796</v>
      </c>
      <c r="N971" s="25" t="b">
        <f t="shared" ref="N971:N979" si="772">if(M971="",FALSE,TRUE)</f>
        <v>1</v>
      </c>
      <c r="O971" s="24">
        <f>IFERROR(__xludf.DUMMYFUNCTION("iferror(filter('3.4.clean'!C:C,'3.4.clean'!A:A=C971),"""")"),43798.0)</f>
        <v>43798</v>
      </c>
      <c r="P971" s="25" t="b">
        <f t="shared" ref="P971:P979" si="773">if(O971="",FALSE,TRUE)</f>
        <v>1</v>
      </c>
      <c r="Q971" s="24" t="str">
        <f>IFERROR(__xludf.DUMMYFUNCTION("iferror(filter('3.5.clean'!C:C,'3.5.clean'!A:A=C971),"""")"),"")</f>
        <v/>
      </c>
      <c r="S971" s="25"/>
      <c r="V971" s="52" t="s">
        <v>64</v>
      </c>
      <c r="X971" s="23" t="str">
        <f>IFERROR(__xludf.DUMMYFUNCTION("if(COUNTA(FILTER(C:C, C:C = C971))=1,""no"",""yes"")"),"no")</f>
        <v>no</v>
      </c>
    </row>
    <row r="972">
      <c r="A972" s="75" t="s">
        <v>891</v>
      </c>
      <c r="B972" s="2">
        <v>1.0</v>
      </c>
      <c r="C972" s="19" t="s">
        <v>532</v>
      </c>
      <c r="E972" s="24">
        <f>IFERROR(__xludf.DUMMYFUNCTION("ifna(IFNA(filter('2.1.clean'!C:C,'2.1.clean'!A:A=C972),filter('2.2.clean'!E:E,'2.2.clean'!D:D=C972)),filter('2.4.clean'!C:C,'2.4.clean'!A:A=C972))"),43796.0)</f>
        <v>43796</v>
      </c>
      <c r="F972" s="25">
        <f>IFERROR(__xludf.DUMMYFUNCTION("iferror(ifna(IFNA(filter('2.1.clean'!E:E,'2.1.clean'!A:A=C972),filter('2.2.clean'!G:G,'2.2.clean'!D:D=C972)),filter('2.4.clean'!E:E,'2.4.clean'!A:A=C972)),)"),2.2)</f>
        <v>2.2</v>
      </c>
      <c r="G972" s="24">
        <f>IFERROR(__xludf.DUMMYFUNCTION("iferror(filter('3.1.clean'!C:C,'3.1.clean'!A:A=C972),"""")"),43796.0)</f>
        <v>43796</v>
      </c>
      <c r="H972" s="23" t="b">
        <f t="shared" ref="H972:H977" si="774">if(G972="",FALSE,TRUE)</f>
        <v>1</v>
      </c>
      <c r="J972" s="25"/>
      <c r="K972" s="24">
        <f>IFERROR(__xludf.DUMMYFUNCTION("iferror(filter('3.2.clean'!C:C,'3.2.clean'!A:A=C972),"""")"),43796.0)</f>
        <v>43796</v>
      </c>
      <c r="L972" s="25" t="b">
        <f t="shared" ref="L972:L976" si="775">if(K972="",FALSE,TRUE)</f>
        <v>1</v>
      </c>
      <c r="M972" s="24">
        <f>IFERROR(__xludf.DUMMYFUNCTION("iferror(filter('3.3.clean'!C:C,'3.3.clean'!A:A=C972),"""")"),43798.0)</f>
        <v>43798</v>
      </c>
      <c r="N972" s="25" t="b">
        <f t="shared" si="772"/>
        <v>1</v>
      </c>
      <c r="O972" s="24">
        <f>IFERROR(__xludf.DUMMYFUNCTION("iferror(filter('3.4.clean'!C:C,'3.4.clean'!A:A=C972),"""")"),43798.0)</f>
        <v>43798</v>
      </c>
      <c r="P972" s="25" t="b">
        <f t="shared" si="773"/>
        <v>1</v>
      </c>
      <c r="Q972" s="24" t="str">
        <f>IFERROR(__xludf.DUMMYFUNCTION("iferror(filter('3.5.clean'!C:C,'3.5.clean'!A:A=C972),"""")"),"")</f>
        <v/>
      </c>
      <c r="S972" s="25"/>
      <c r="W972" s="23" t="b">
        <f t="shared" ref="W972:W976" si="776">IF(and(H972=TRUE,L972=TRUE,N972=TRUE,P972=TRUE),TRUE,FALSE)</f>
        <v>1</v>
      </c>
      <c r="X972" s="23" t="str">
        <f>IFERROR(__xludf.DUMMYFUNCTION("if(COUNTA(FILTER(C:C, C:C = C972))=1,""no"",""yes"")"),"no")</f>
        <v>no</v>
      </c>
    </row>
    <row r="973">
      <c r="A973" s="75" t="s">
        <v>891</v>
      </c>
      <c r="B973" s="2">
        <v>2.0</v>
      </c>
      <c r="C973" s="19" t="s">
        <v>530</v>
      </c>
      <c r="E973" s="24">
        <f>IFERROR(__xludf.DUMMYFUNCTION("ifna(IFNA(filter('2.1.clean'!C:C,'2.1.clean'!A:A=C973),filter('2.2.clean'!E:E,'2.2.clean'!D:D=C973)),filter('2.4.clean'!C:C,'2.4.clean'!A:A=C973))"),43796.0)</f>
        <v>43796</v>
      </c>
      <c r="F973" s="25">
        <f>IFERROR(__xludf.DUMMYFUNCTION("iferror(ifna(IFNA(filter('2.1.clean'!E:E,'2.1.clean'!A:A=C973),filter('2.2.clean'!G:G,'2.2.clean'!D:D=C973)),filter('2.4.clean'!E:E,'2.4.clean'!A:A=C973)),)"),2.2)</f>
        <v>2.2</v>
      </c>
      <c r="G973" s="24">
        <f>IFERROR(__xludf.DUMMYFUNCTION("iferror(filter('3.1.clean'!C:C,'3.1.clean'!A:A=C973),"""")"),43796.0)</f>
        <v>43796</v>
      </c>
      <c r="H973" s="23" t="b">
        <f t="shared" si="774"/>
        <v>1</v>
      </c>
      <c r="J973" s="25"/>
      <c r="K973" s="24">
        <f>IFERROR(__xludf.DUMMYFUNCTION("iferror(filter('3.2.clean'!C:C,'3.2.clean'!A:A=C973),"""")"),43796.0)</f>
        <v>43796</v>
      </c>
      <c r="L973" s="25" t="b">
        <f t="shared" si="775"/>
        <v>1</v>
      </c>
      <c r="M973" s="24">
        <f>IFERROR(__xludf.DUMMYFUNCTION("iferror(filter('3.3.clean'!C:C,'3.3.clean'!A:A=C973),"""")"),43798.0)</f>
        <v>43798</v>
      </c>
      <c r="N973" s="25" t="b">
        <f t="shared" si="772"/>
        <v>1</v>
      </c>
      <c r="O973" s="24">
        <f>IFERROR(__xludf.DUMMYFUNCTION("iferror(filter('3.4.clean'!C:C,'3.4.clean'!A:A=C973),"""")"),43798.0)</f>
        <v>43798</v>
      </c>
      <c r="P973" s="25" t="b">
        <f t="shared" si="773"/>
        <v>1</v>
      </c>
      <c r="Q973" s="24" t="str">
        <f>IFERROR(__xludf.DUMMYFUNCTION("iferror(filter('3.5.clean'!C:C,'3.5.clean'!A:A=C973),"""")"),"")</f>
        <v/>
      </c>
      <c r="S973" s="25"/>
      <c r="W973" s="23" t="b">
        <f t="shared" si="776"/>
        <v>1</v>
      </c>
      <c r="X973" s="23" t="str">
        <f>IFERROR(__xludf.DUMMYFUNCTION("if(COUNTA(FILTER(C:C, C:C = C973))=1,""no"",""yes"")"),"no")</f>
        <v>no</v>
      </c>
    </row>
    <row r="974">
      <c r="A974" s="75" t="s">
        <v>891</v>
      </c>
      <c r="B974" s="2">
        <v>3.0</v>
      </c>
      <c r="C974" s="19" t="s">
        <v>533</v>
      </c>
      <c r="E974" s="24">
        <f>IFERROR(__xludf.DUMMYFUNCTION("ifna(IFNA(filter('2.1.clean'!C:C,'2.1.clean'!A:A=C974),filter('2.2.clean'!E:E,'2.2.clean'!D:D=C974)),filter('2.4.clean'!C:C,'2.4.clean'!A:A=C974))"),43796.0)</f>
        <v>43796</v>
      </c>
      <c r="F974" s="25">
        <f>IFERROR(__xludf.DUMMYFUNCTION("iferror(ifna(IFNA(filter('2.1.clean'!E:E,'2.1.clean'!A:A=C974),filter('2.2.clean'!G:G,'2.2.clean'!D:D=C974)),filter('2.4.clean'!E:E,'2.4.clean'!A:A=C974)),)"),2.2)</f>
        <v>2.2</v>
      </c>
      <c r="G974" s="24">
        <f>IFERROR(__xludf.DUMMYFUNCTION("iferror(filter('3.1.clean'!C:C,'3.1.clean'!A:A=C974),"""")"),43796.0)</f>
        <v>43796</v>
      </c>
      <c r="H974" s="23" t="b">
        <f t="shared" si="774"/>
        <v>1</v>
      </c>
      <c r="J974" s="25"/>
      <c r="K974" s="24">
        <f>IFERROR(__xludf.DUMMYFUNCTION("iferror(filter('3.2.clean'!C:C,'3.2.clean'!A:A=C974),"""")"),43796.0)</f>
        <v>43796</v>
      </c>
      <c r="L974" s="25" t="b">
        <f t="shared" si="775"/>
        <v>1</v>
      </c>
      <c r="M974" s="24">
        <f>IFERROR(__xludf.DUMMYFUNCTION("iferror(filter('3.3.clean'!C:C,'3.3.clean'!A:A=C974),"""")"),43798.0)</f>
        <v>43798</v>
      </c>
      <c r="N974" s="25" t="b">
        <f t="shared" si="772"/>
        <v>1</v>
      </c>
      <c r="O974" s="24">
        <f>IFERROR(__xludf.DUMMYFUNCTION("iferror(filter('3.4.clean'!C:C,'3.4.clean'!A:A=C974),"""")"),43798.0)</f>
        <v>43798</v>
      </c>
      <c r="P974" s="25" t="b">
        <f t="shared" si="773"/>
        <v>1</v>
      </c>
      <c r="Q974" s="24" t="str">
        <f>IFERROR(__xludf.DUMMYFUNCTION("iferror(filter('3.5.clean'!C:C,'3.5.clean'!A:A=C974),"""")"),"")</f>
        <v/>
      </c>
      <c r="S974" s="25"/>
      <c r="W974" s="23" t="b">
        <f t="shared" si="776"/>
        <v>1</v>
      </c>
      <c r="X974" s="23" t="str">
        <f>IFERROR(__xludf.DUMMYFUNCTION("if(COUNTA(FILTER(C:C, C:C = C974))=1,""no"",""yes"")"),"no")</f>
        <v>no</v>
      </c>
    </row>
    <row r="975">
      <c r="A975" s="75" t="s">
        <v>891</v>
      </c>
      <c r="B975" s="2">
        <v>4.0</v>
      </c>
      <c r="C975" s="19" t="s">
        <v>528</v>
      </c>
      <c r="E975" s="24">
        <f>IFERROR(__xludf.DUMMYFUNCTION("ifna(IFNA(filter('2.1.clean'!C:C,'2.1.clean'!A:A=C975),filter('2.2.clean'!E:E,'2.2.clean'!D:D=C975)),filter('2.4.clean'!C:C,'2.4.clean'!A:A=C975))"),43796.0)</f>
        <v>43796</v>
      </c>
      <c r="F975" s="25">
        <f>IFERROR(__xludf.DUMMYFUNCTION("iferror(ifna(IFNA(filter('2.1.clean'!E:E,'2.1.clean'!A:A=C975),filter('2.2.clean'!G:G,'2.2.clean'!D:D=C975)),filter('2.4.clean'!E:E,'2.4.clean'!A:A=C975)),)"),2.2)</f>
        <v>2.2</v>
      </c>
      <c r="G975" s="24">
        <f>IFERROR(__xludf.DUMMYFUNCTION("iferror(filter('3.1.clean'!C:C,'3.1.clean'!A:A=C975),"""")"),43796.0)</f>
        <v>43796</v>
      </c>
      <c r="H975" s="23" t="b">
        <f t="shared" si="774"/>
        <v>1</v>
      </c>
      <c r="J975" s="25"/>
      <c r="K975" s="24">
        <f>IFERROR(__xludf.DUMMYFUNCTION("iferror(filter('3.2.clean'!C:C,'3.2.clean'!A:A=C975),"""")"),43796.0)</f>
        <v>43796</v>
      </c>
      <c r="L975" s="25" t="b">
        <f t="shared" si="775"/>
        <v>1</v>
      </c>
      <c r="M975" s="24">
        <f>IFERROR(__xludf.DUMMYFUNCTION("iferror(filter('3.3.clean'!C:C,'3.3.clean'!A:A=C975),"""")"),43798.0)</f>
        <v>43798</v>
      </c>
      <c r="N975" s="25" t="b">
        <f t="shared" si="772"/>
        <v>1</v>
      </c>
      <c r="O975" s="24">
        <f>IFERROR(__xludf.DUMMYFUNCTION("iferror(filter('3.4.clean'!C:C,'3.4.clean'!A:A=C975),"""")"),43798.0)</f>
        <v>43798</v>
      </c>
      <c r="P975" s="25" t="b">
        <f t="shared" si="773"/>
        <v>1</v>
      </c>
      <c r="Q975" s="24" t="str">
        <f>IFERROR(__xludf.DUMMYFUNCTION("iferror(filter('3.5.clean'!C:C,'3.5.clean'!A:A=C975),"""")"),"")</f>
        <v/>
      </c>
      <c r="S975" s="25"/>
      <c r="W975" s="23" t="b">
        <f t="shared" si="776"/>
        <v>1</v>
      </c>
      <c r="X975" s="23" t="str">
        <f>IFERROR(__xludf.DUMMYFUNCTION("if(COUNTA(FILTER(C:C, C:C = C975))=1,""no"",""yes"")"),"no")</f>
        <v>no</v>
      </c>
    </row>
    <row r="976">
      <c r="A976" s="75" t="s">
        <v>891</v>
      </c>
      <c r="B976" s="2">
        <v>5.0</v>
      </c>
      <c r="C976" s="19" t="s">
        <v>535</v>
      </c>
      <c r="E976" s="24">
        <f>IFERROR(__xludf.DUMMYFUNCTION("ifna(IFNA(filter('2.1.clean'!C:C,'2.1.clean'!A:A=C976),filter('2.2.clean'!E:E,'2.2.clean'!D:D=C976)),filter('2.4.clean'!C:C,'2.4.clean'!A:A=C976))"),43796.0)</f>
        <v>43796</v>
      </c>
      <c r="F976" s="25">
        <f>IFERROR(__xludf.DUMMYFUNCTION("iferror(ifna(IFNA(filter('2.1.clean'!E:E,'2.1.clean'!A:A=C976),filter('2.2.clean'!G:G,'2.2.clean'!D:D=C976)),filter('2.4.clean'!E:E,'2.4.clean'!A:A=C976)),)"),2.2)</f>
        <v>2.2</v>
      </c>
      <c r="G976" s="24">
        <f>IFERROR(__xludf.DUMMYFUNCTION("iferror(filter('3.1.clean'!C:C,'3.1.clean'!A:A=C976),"""")"),43796.0)</f>
        <v>43796</v>
      </c>
      <c r="H976" s="23" t="b">
        <f t="shared" si="774"/>
        <v>1</v>
      </c>
      <c r="J976" s="25"/>
      <c r="K976" s="24">
        <f>IFERROR(__xludf.DUMMYFUNCTION("iferror(filter('3.2.clean'!C:C,'3.2.clean'!A:A=C976),"""")"),43796.0)</f>
        <v>43796</v>
      </c>
      <c r="L976" s="25" t="b">
        <f t="shared" si="775"/>
        <v>1</v>
      </c>
      <c r="M976" s="24">
        <f>IFERROR(__xludf.DUMMYFUNCTION("iferror(filter('3.3.clean'!C:C,'3.3.clean'!A:A=C976),"""")"),43798.0)</f>
        <v>43798</v>
      </c>
      <c r="N976" s="25" t="b">
        <f t="shared" si="772"/>
        <v>1</v>
      </c>
      <c r="O976" s="24">
        <f>IFERROR(__xludf.DUMMYFUNCTION("iferror(filter('3.4.clean'!C:C,'3.4.clean'!A:A=C976),"""")"),43798.0)</f>
        <v>43798</v>
      </c>
      <c r="P976" s="25" t="b">
        <f t="shared" si="773"/>
        <v>1</v>
      </c>
      <c r="Q976" s="24" t="str">
        <f>IFERROR(__xludf.DUMMYFUNCTION("iferror(filter('3.5.clean'!C:C,'3.5.clean'!A:A=C976),"""")"),"")</f>
        <v/>
      </c>
      <c r="S976" s="25"/>
      <c r="W976" s="23" t="b">
        <f t="shared" si="776"/>
        <v>1</v>
      </c>
      <c r="X976" s="23" t="str">
        <f>IFERROR(__xludf.DUMMYFUNCTION("if(COUNTA(FILTER(C:C, C:C = C976))=1,""no"",""yes"")"),"no")</f>
        <v>no</v>
      </c>
    </row>
    <row r="977">
      <c r="A977" s="75" t="s">
        <v>891</v>
      </c>
      <c r="B977" s="19">
        <v>6.0</v>
      </c>
      <c r="C977" s="19" t="s">
        <v>674</v>
      </c>
      <c r="D977" s="58" t="str">
        <f t="shared" ref="D977:D980" si="777">if(or(I977=1,J977=1,S977=1),"pos","")</f>
        <v/>
      </c>
      <c r="E977" s="59">
        <f>IFERROR(__xludf.DUMMYFUNCTION("ifna(IFNA(filter('2.1.clean'!C:C,'2.1.clean'!A:A=C977),filter('2.2.clean'!E:E,'2.2.clean'!D:D=C977)),filter('2.4.clean'!C:C,'2.4.clean'!A:A=C977))"),43796.0)</f>
        <v>43796</v>
      </c>
      <c r="F977" s="60">
        <f>IFERROR(__xludf.DUMMYFUNCTION("iferror(ifna(IFNA(filter('2.1.clean'!E:E,'2.1.clean'!A:A=C977),filter('2.2.clean'!G:G,'2.2.clean'!D:D=C977)),filter('2.4.clean'!E:E,'2.4.clean'!A:A=C977)),)"),2.2)</f>
        <v>2.2</v>
      </c>
      <c r="G977" s="59">
        <f>IFERROR(__xludf.DUMMYFUNCTION("iferror(filter('3.1.clean'!C:C,'3.1.clean'!A:A=C977),"""")"),43796.0)</f>
        <v>43796</v>
      </c>
      <c r="H977" s="58" t="b">
        <f t="shared" si="774"/>
        <v>1</v>
      </c>
      <c r="I977" s="58">
        <f>IFERROR(__xludf.DUMMYFUNCTION("iferror(filter('3.1.clean'!G:G,'3.1.clean'!A:A=C977),"""")"),0.0)</f>
        <v>0</v>
      </c>
      <c r="J977" s="58" t="str">
        <f>IFERROR(__xludf.DUMMYFUNCTION("iferror(filter('3.1.clean'!I:I,'3.1.clean'!A:A=C977),"""")"),"")</f>
        <v/>
      </c>
      <c r="K977" s="58"/>
      <c r="L977" s="58"/>
      <c r="M977" s="59">
        <f>IFERROR(__xludf.DUMMYFUNCTION("iferror(filter('3.3.clean'!C:C,'3.3.clean'!A:A=C977),"""")"),43798.0)</f>
        <v>43798</v>
      </c>
      <c r="N977" s="58" t="b">
        <f t="shared" si="772"/>
        <v>1</v>
      </c>
      <c r="O977" s="59" t="str">
        <f>IFERROR(__xludf.DUMMYFUNCTION("iferror(filter('3.4.clean'!C:C,'3.4.clean'!A:A=C977),"""")"),"")</f>
        <v/>
      </c>
      <c r="P977" s="58" t="b">
        <f t="shared" si="773"/>
        <v>0</v>
      </c>
      <c r="Q977" s="59" t="str">
        <f>IFERROR(__xludf.DUMMYFUNCTION("iferror(filter('3.5.clean'!C:C,'3.5.clean'!A:A=C977),"""")"),"")</f>
        <v/>
      </c>
      <c r="R977" s="58"/>
      <c r="S977" s="1" t="str">
        <f>IFERROR(__xludf.DUMMYFUNCTION("iferror(filter('3.5.clean'!H:H,'3.5.clean'!A:A=C977),"""")"),"")</f>
        <v/>
      </c>
      <c r="W977" s="23" t="b">
        <f>if(AND(H977=TRUE,N977=TRUE,P977=TRUE),TRUE,FALSE)</f>
        <v>0</v>
      </c>
      <c r="X977" s="23" t="str">
        <f>IFERROR(__xludf.DUMMYFUNCTION("if(COUNTA(FILTER(C:C, C:C = C977))=1,""no"",""yes"")"),"no")</f>
        <v>no</v>
      </c>
    </row>
    <row r="978">
      <c r="A978" s="75" t="s">
        <v>891</v>
      </c>
      <c r="B978" s="19">
        <v>7.0</v>
      </c>
      <c r="C978" s="19" t="s">
        <v>1696</v>
      </c>
      <c r="D978" s="58" t="str">
        <f t="shared" si="777"/>
        <v/>
      </c>
      <c r="E978" s="59">
        <f t="shared" ref="E978:E979" si="778">Q978</f>
        <v>43796</v>
      </c>
      <c r="F978" s="60" t="str">
        <f>IFERROR(__xludf.DUMMYFUNCTION("iferror(ifna(IFNA(filter('2.1.clean'!E:E,'2.1.clean'!A:A=C978),filter('2.2.clean'!G:G,'2.2.clean'!D:D=C978)),filter('2.4.clean'!E:E,'2.4.clean'!A:A=C978)),)"),"")</f>
        <v/>
      </c>
      <c r="G978" s="59" t="str">
        <f>IFERROR(__xludf.DUMMYFUNCTION("iferror(filter('3.1.clean'!C:C,'3.1.clean'!A:A=C978),"""")"),"")</f>
        <v/>
      </c>
      <c r="H978" s="58"/>
      <c r="I978" s="58" t="str">
        <f>IFERROR(__xludf.DUMMYFUNCTION("iferror(filter('3.1.clean'!G:G,'3.1.clean'!A:A=C978),"""")"),"")</f>
        <v/>
      </c>
      <c r="J978" s="60" t="str">
        <f>IFERROR(__xludf.DUMMYFUNCTION("iferror(filter('3.1.clean'!I:I,'3.1.clean'!A:A=C978),"""")"),"")</f>
        <v/>
      </c>
      <c r="K978" s="59"/>
      <c r="L978" s="60"/>
      <c r="M978" s="59" t="str">
        <f>IFERROR(__xludf.DUMMYFUNCTION("iferror(filter('3.3.clean'!C:C,'3.3.clean'!A:A=C978),"""")"),"")</f>
        <v/>
      </c>
      <c r="N978" s="60" t="b">
        <f t="shared" si="772"/>
        <v>0</v>
      </c>
      <c r="O978" s="59" t="str">
        <f>IFERROR(__xludf.DUMMYFUNCTION("iferror(filter('3.4.clean'!C:C,'3.4.clean'!A:A=C978),"""")"),"")</f>
        <v/>
      </c>
      <c r="P978" s="60" t="b">
        <f t="shared" si="773"/>
        <v>0</v>
      </c>
      <c r="Q978" s="59">
        <f>IFERROR(__xludf.DUMMYFUNCTION("iferror(filter('3.5.clean'!C:C,'3.5.clean'!A:A=C978),"""")"),43796.0)</f>
        <v>43796</v>
      </c>
      <c r="R978" s="58" t="b">
        <f t="shared" ref="R978:R979" si="779">if(Q978="",FALSE,TRUE)</f>
        <v>1</v>
      </c>
      <c r="S978" s="4">
        <f>IFERROR(__xludf.DUMMYFUNCTION("iferror(filter('3.5.clean'!H:H,'3.5.clean'!A:A=C978),"""")"),0.0)</f>
        <v>0</v>
      </c>
      <c r="V978" s="52" t="s">
        <v>64</v>
      </c>
      <c r="W978" s="23" t="b">
        <f>if(AND(R978=TRUE,N978=TRUE,P978=TRUE),TRUE,FALSE)</f>
        <v>0</v>
      </c>
      <c r="X978" s="23" t="str">
        <f>IFERROR(__xludf.DUMMYFUNCTION("if(COUNTA(FILTER(C:C, C:C = C978))=1,""no"",""yes"")"),"no")</f>
        <v>no</v>
      </c>
    </row>
    <row r="979">
      <c r="A979" s="75" t="s">
        <v>891</v>
      </c>
      <c r="B979" s="19">
        <v>8.0</v>
      </c>
      <c r="C979" s="19" t="s">
        <v>1697</v>
      </c>
      <c r="D979" s="22" t="str">
        <f t="shared" si="777"/>
        <v/>
      </c>
      <c r="E979" s="20">
        <f t="shared" si="778"/>
        <v>43796</v>
      </c>
      <c r="F979" s="79" t="str">
        <f>IFERROR(__xludf.DUMMYFUNCTION("iferror(ifna(IFNA(filter('2.1.clean'!E:E,'2.1.clean'!A:A=C979),filter('2.2.clean'!G:G,'2.2.clean'!D:D=C979)),filter('2.4.clean'!E:E,'2.4.clean'!A:A=C979)),)"),"")</f>
        <v/>
      </c>
      <c r="G979" s="20" t="str">
        <f>IFERROR(__xludf.DUMMYFUNCTION("iferror(filter('3.1.clean'!C:C,'3.1.clean'!A:A=C979),"""")"),"")</f>
        <v/>
      </c>
      <c r="H979" s="22"/>
      <c r="I979" s="22"/>
      <c r="J979" s="79"/>
      <c r="K979" s="20" t="str">
        <f>IFERROR(__xludf.DUMMYFUNCTION("iferror(filter('3.2.clean'!C:C,'3.2.clean'!A:A=C979),"""")"),"")</f>
        <v/>
      </c>
      <c r="L979" s="79"/>
      <c r="M979" s="20" t="str">
        <f>IFERROR(__xludf.DUMMYFUNCTION("iferror(filter('3.3.clean'!C:C,'3.3.clean'!A:A=C979),"""")"),"")</f>
        <v/>
      </c>
      <c r="N979" s="79" t="b">
        <f t="shared" si="772"/>
        <v>0</v>
      </c>
      <c r="O979" s="20" t="str">
        <f>IFERROR(__xludf.DUMMYFUNCTION("iferror(filter('3.4.clean'!C:C,'3.4.clean'!A:A=C979),"""")"),"")</f>
        <v/>
      </c>
      <c r="P979" s="79" t="b">
        <f t="shared" si="773"/>
        <v>0</v>
      </c>
      <c r="Q979" s="20">
        <f>IFERROR(__xludf.DUMMYFUNCTION("iferror(filter('3.5.clean'!C:C,'3.5.clean'!A:A=C979),"""")"),43796.0)</f>
        <v>43796</v>
      </c>
      <c r="R979" s="22" t="b">
        <f t="shared" si="779"/>
        <v>1</v>
      </c>
      <c r="S979" s="4">
        <f>IFERROR(__xludf.DUMMYFUNCTION("iferror(filter('3.5.clean'!H:H,'3.5.clean'!A:A=C979),"""")"),0.0)</f>
        <v>0</v>
      </c>
      <c r="V979" s="1" t="s">
        <v>64</v>
      </c>
      <c r="W979" s="23" t="b">
        <f>IF(and(R979=TRUE,N979=TRUE,P979=TRUE),TRUE,FALSE)</f>
        <v>0</v>
      </c>
      <c r="X979" s="23" t="str">
        <f>IFERROR(__xludf.DUMMYFUNCTION("if(COUNTA(FILTER(C:C, C:C = C979))=1,""no"",""yes"")"),"no")</f>
        <v>no</v>
      </c>
    </row>
    <row r="980">
      <c r="A980" s="75" t="s">
        <v>891</v>
      </c>
      <c r="B980" s="19">
        <v>9.0</v>
      </c>
      <c r="C980" s="19" t="s">
        <v>1698</v>
      </c>
      <c r="D980" s="76" t="str">
        <f t="shared" si="777"/>
        <v/>
      </c>
      <c r="E980" s="77">
        <f>G980</f>
        <v>43796</v>
      </c>
      <c r="F980" s="78" t="str">
        <f>IFERROR(__xludf.DUMMYFUNCTION("iferror(ifna(IFNA(filter('2.1.clean'!E:E,'2.1.clean'!A:A=C980),filter('2.2.clean'!G:G,'2.2.clean'!D:D=C980)),filter('2.4.clean'!E:E,'2.4.clean'!A:A=C980)),)"),"")</f>
        <v/>
      </c>
      <c r="G980" s="77">
        <f>IFERROR(__xludf.DUMMYFUNCTION("iferror(filter('3.1.clean'!C:C,'3.1.clean'!A:A=C980),"""")"),43796.0)</f>
        <v>43796</v>
      </c>
      <c r="H980" s="76" t="b">
        <f t="shared" ref="H980:H981" si="780">if(G980="",FALSE,TRUE)</f>
        <v>1</v>
      </c>
      <c r="I980" s="76">
        <f>IFERROR(__xludf.DUMMYFUNCTION("iferror(filter('3.1.clean'!G:G,'3.1.clean'!A:A=C980),"""")"),0.0)</f>
        <v>0</v>
      </c>
      <c r="J980" s="78" t="str">
        <f>IFERROR(__xludf.DUMMYFUNCTION("iferror(filter('3.1.clean'!I:I,'3.1.clean'!A:A=C980),"""")"),"")</f>
        <v/>
      </c>
      <c r="K980" s="77"/>
      <c r="L980" s="78"/>
      <c r="M980" s="77"/>
      <c r="N980" s="78"/>
      <c r="O980" s="77"/>
      <c r="P980" s="78"/>
      <c r="Q980" s="77"/>
      <c r="R980" s="76"/>
      <c r="S980" s="25"/>
      <c r="V980" s="1" t="s">
        <v>64</v>
      </c>
      <c r="W980" s="1" t="b">
        <v>1</v>
      </c>
      <c r="X980" s="23" t="str">
        <f>IFERROR(__xludf.DUMMYFUNCTION("if(COUNTA(FILTER(C:C, C:C = C980))=1,""no"",""yes"")"),"no")</f>
        <v>no</v>
      </c>
    </row>
    <row r="981">
      <c r="A981" s="75" t="s">
        <v>891</v>
      </c>
      <c r="B981" s="2">
        <v>10.0</v>
      </c>
      <c r="C981" s="19" t="s">
        <v>1699</v>
      </c>
      <c r="E981" s="24">
        <f>IFERROR(__xludf.DUMMYFUNCTION("ifna(IFNA(filter('2.1.clean'!C:C,'2.1.clean'!A:A=C981),filter('2.2.clean'!E:E,'2.2.clean'!D:D=C981)),filter('2.4.clean'!C:C,'2.4.clean'!A:A=C981))"),43796.0)</f>
        <v>43796</v>
      </c>
      <c r="F981" s="25">
        <f>IFERROR(__xludf.DUMMYFUNCTION("iferror(ifna(IFNA(filter('2.1.clean'!E:E,'2.1.clean'!A:A=C981),filter('2.2.clean'!G:G,'2.2.clean'!D:D=C981)),filter('2.4.clean'!E:E,'2.4.clean'!A:A=C981)),)"),2.4)</f>
        <v>2.4</v>
      </c>
      <c r="G981" s="24">
        <f>IFERROR(__xludf.DUMMYFUNCTION("iferror(filter('3.1.clean'!C:C,'3.1.clean'!A:A=C981),"""")"),43796.0)</f>
        <v>43796</v>
      </c>
      <c r="H981" s="23" t="b">
        <f t="shared" si="780"/>
        <v>1</v>
      </c>
      <c r="J981" s="25"/>
      <c r="K981" s="24">
        <f>IFERROR(__xludf.DUMMYFUNCTION("iferror(filter('3.2.clean'!C:C,'3.2.clean'!A:A=C981),"""")"),43796.0)</f>
        <v>43796</v>
      </c>
      <c r="L981" s="25" t="b">
        <f>if(K981="",FALSE,TRUE)</f>
        <v>1</v>
      </c>
      <c r="M981" s="24">
        <f>IFERROR(__xludf.DUMMYFUNCTION("iferror(filter('3.3.clean'!C:C,'3.3.clean'!A:A=C981),"""")"),43798.0)</f>
        <v>43798</v>
      </c>
      <c r="N981" s="25" t="b">
        <f t="shared" ref="N981:N993" si="781">if(M981="",FALSE,TRUE)</f>
        <v>1</v>
      </c>
      <c r="O981" s="24">
        <f>IFERROR(__xludf.DUMMYFUNCTION("iferror(filter('3.4.clean'!C:C,'3.4.clean'!A:A=C981),"""")"),43798.0)</f>
        <v>43798</v>
      </c>
      <c r="P981" s="25" t="b">
        <f t="shared" ref="P981:P993" si="782">if(O981="",FALSE,TRUE)</f>
        <v>1</v>
      </c>
      <c r="Q981" s="24" t="str">
        <f>IFERROR(__xludf.DUMMYFUNCTION("iferror(filter('3.5.clean'!C:C,'3.5.clean'!A:A=C981),"""")"),"")</f>
        <v/>
      </c>
      <c r="R981" s="23" t="b">
        <f t="shared" ref="R981:R982" si="783">if(Q981="",FALSE,TRUE)</f>
        <v>0</v>
      </c>
      <c r="S981" s="25"/>
      <c r="U981" s="23"/>
      <c r="V981" s="1" t="s">
        <v>64</v>
      </c>
      <c r="X981" s="23" t="str">
        <f>IFERROR(__xludf.DUMMYFUNCTION("if(COUNTA(FILTER(C:C, C:C = C981))=1,""no"",""yes"")"),"no")</f>
        <v>no</v>
      </c>
    </row>
    <row r="982">
      <c r="A982" s="1" t="s">
        <v>896</v>
      </c>
      <c r="B982" s="2">
        <v>1.0</v>
      </c>
      <c r="C982" s="19" t="s">
        <v>1700</v>
      </c>
      <c r="E982" s="24">
        <f>IFERROR(__xludf.DUMMYFUNCTION("ifna(IFNA(filter('2.1.clean'!C:C,'2.1.clean'!A:A=C982),filter('2.2.clean'!E:E,'2.2.clean'!D:D=C982)),filter('2.4.clean'!C:C,'2.4.clean'!A:A=C982))"),43797.0)</f>
        <v>43797</v>
      </c>
      <c r="F982" s="25">
        <f>IFERROR(__xludf.DUMMYFUNCTION("iferror(ifna(IFNA(filter('2.1.clean'!E:E,'2.1.clean'!A:A=C982),filter('2.2.clean'!G:G,'2.2.clean'!D:D=C982)),filter('2.4.clean'!E:E,'2.4.clean'!A:A=C982)),)"),2.4)</f>
        <v>2.4</v>
      </c>
      <c r="G982" s="24"/>
      <c r="J982" s="25"/>
      <c r="K982" s="24"/>
      <c r="L982" s="25"/>
      <c r="M982" s="24">
        <f>IFERROR(__xludf.DUMMYFUNCTION("iferror(filter('3.3.clean'!C:C,'3.3.clean'!A:A=C982),"""")"),43798.0)</f>
        <v>43798</v>
      </c>
      <c r="N982" s="25" t="b">
        <f t="shared" si="781"/>
        <v>1</v>
      </c>
      <c r="O982" s="24">
        <f>IFERROR(__xludf.DUMMYFUNCTION("iferror(filter('3.4.clean'!C:C,'3.4.clean'!A:A=C982),"""")"),43798.0)</f>
        <v>43798</v>
      </c>
      <c r="P982" s="25" t="b">
        <f t="shared" si="782"/>
        <v>1</v>
      </c>
      <c r="Q982" s="24">
        <f>IFERROR(__xludf.DUMMYFUNCTION("iferror(filter('3.5.clean'!C:C,'3.5.clean'!A:A=C982),"""")"),43797.0)</f>
        <v>43797</v>
      </c>
      <c r="R982" s="23" t="b">
        <f t="shared" si="783"/>
        <v>1</v>
      </c>
      <c r="S982" s="25"/>
      <c r="V982" s="52" t="s">
        <v>64</v>
      </c>
      <c r="W982" s="23" t="b">
        <f>IF(and(R982=TRUE,N982=TRUE,P982=TRUE),TRUE,FALSE)</f>
        <v>1</v>
      </c>
      <c r="X982" s="23" t="str">
        <f>IFERROR(__xludf.DUMMYFUNCTION("if(COUNTA(FILTER(C:C, C:C = C982))=1,""no"",""yes"")"),"no")</f>
        <v>no</v>
      </c>
    </row>
    <row r="983">
      <c r="A983" s="1" t="s">
        <v>896</v>
      </c>
      <c r="B983" s="19">
        <v>2.0</v>
      </c>
      <c r="C983" s="19" t="s">
        <v>318</v>
      </c>
      <c r="D983" s="58" t="str">
        <f t="shared" ref="D983:D984" si="784">if(or(I983=1,J983=1,S983=1),"pos","")</f>
        <v/>
      </c>
      <c r="E983" s="59">
        <f>IFERROR(__xludf.DUMMYFUNCTION("ifna(IFNA(filter('2.1.clean'!C:C,'2.1.clean'!A:A=C983),filter('2.2.clean'!E:E,'2.2.clean'!D:D=C983)),filter('2.4.clean'!C:C,'2.4.clean'!A:A=C983))"),43797.0)</f>
        <v>43797</v>
      </c>
      <c r="F983" s="60">
        <f>IFERROR(__xludf.DUMMYFUNCTION("iferror(ifna(IFNA(filter('2.1.clean'!E:E,'2.1.clean'!A:A=C983),filter('2.2.clean'!G:G,'2.2.clean'!D:D=C983)),filter('2.4.clean'!E:E,'2.4.clean'!A:A=C983)),)"),2.4)</f>
        <v>2.4</v>
      </c>
      <c r="G983" s="59">
        <f>IFERROR(__xludf.DUMMYFUNCTION("iferror(filter('3.1.clean'!C:C,'3.1.clean'!A:A=C983),"""")"),43797.0)</f>
        <v>43797</v>
      </c>
      <c r="H983" s="58" t="b">
        <f>if(G983="",FALSE,TRUE)</f>
        <v>1</v>
      </c>
      <c r="I983" s="58">
        <f>IFERROR(__xludf.DUMMYFUNCTION("iferror(filter('3.1.clean'!G:G,'3.1.clean'!A:A=C983),"""")"),0.0)</f>
        <v>0</v>
      </c>
      <c r="J983" s="60" t="str">
        <f>IFERROR(__xludf.DUMMYFUNCTION("iferror(filter('3.1.clean'!I:I,'3.1.clean'!A:A=C983),"""")"),"")</f>
        <v/>
      </c>
      <c r="K983" s="58"/>
      <c r="L983" s="60"/>
      <c r="M983" s="59" t="str">
        <f>IFERROR(__xludf.DUMMYFUNCTION("iferror(filter('3.3.clean'!C:C,'3.3.clean'!A:A=C983),"""")"),"")</f>
        <v/>
      </c>
      <c r="N983" s="60" t="b">
        <f t="shared" si="781"/>
        <v>0</v>
      </c>
      <c r="O983" s="59" t="str">
        <f>IFERROR(__xludf.DUMMYFUNCTION("iferror(filter('3.4.clean'!C:C,'3.4.clean'!A:A=C983),"""")"),"")</f>
        <v/>
      </c>
      <c r="P983" s="60" t="b">
        <f t="shared" si="782"/>
        <v>0</v>
      </c>
      <c r="Q983" s="59" t="str">
        <f>IFERROR(__xludf.DUMMYFUNCTION("iferror(filter('3.5.clean'!C:C,'3.5.clean'!A:A=C983),"""")"),"")</f>
        <v/>
      </c>
      <c r="R983" s="58"/>
      <c r="S983" s="4" t="str">
        <f>IFERROR(__xludf.DUMMYFUNCTION("iferror(filter('3.5.clean'!H:H,'3.5.clean'!A:A=C983),"""")"),"")</f>
        <v/>
      </c>
      <c r="W983" s="23" t="b">
        <f>if(AND(H983=TRUE,N983=TRUE,P983=TRUE),TRUE,FALSE)</f>
        <v>0</v>
      </c>
      <c r="X983" s="23" t="str">
        <f>IFERROR(__xludf.DUMMYFUNCTION("if(COUNTA(FILTER(C:C, C:C = C983))=1,""no"",""yes"")"),"no")</f>
        <v>no</v>
      </c>
    </row>
    <row r="984">
      <c r="A984" s="1" t="s">
        <v>896</v>
      </c>
      <c r="B984" s="19">
        <v>3.0</v>
      </c>
      <c r="C984" s="19" t="s">
        <v>317</v>
      </c>
      <c r="D984" s="61" t="str">
        <f t="shared" si="784"/>
        <v/>
      </c>
      <c r="E984" s="59">
        <f>Q984</f>
        <v>43797</v>
      </c>
      <c r="F984" s="60" t="str">
        <f>IFERROR(__xludf.DUMMYFUNCTION("iferror(ifna(IFNA(filter('2.1.clean'!E:E,'2.1.clean'!A:A=C984),filter('2.2.clean'!G:G,'2.2.clean'!D:D=C984)),filter('2.4.clean'!E:E,'2.4.clean'!A:A=C984)),)"),"")</f>
        <v/>
      </c>
      <c r="G984" s="59" t="str">
        <f>IFERROR(__xludf.DUMMYFUNCTION("iferror(filter('3.1.clean'!C:C,'3.1.clean'!A:A=C984),"""")"),"")</f>
        <v/>
      </c>
      <c r="H984" s="61"/>
      <c r="I984" s="61" t="str">
        <f>IFERROR(__xludf.DUMMYFUNCTION("iferror(filter('3.1.clean'!G:G,'3.1.clean'!A:A=C984),"""")"),"")</f>
        <v/>
      </c>
      <c r="J984" s="65" t="str">
        <f>IFERROR(__xludf.DUMMYFUNCTION("iferror(filter('3.1.clean'!I:I,'3.1.clean'!A:A=C984),"""")"),"")</f>
        <v/>
      </c>
      <c r="K984" s="66"/>
      <c r="L984" s="65"/>
      <c r="M984" s="66" t="str">
        <f>IFERROR(__xludf.DUMMYFUNCTION("iferror(filter('3.3.clean'!C:C,'3.3.clean'!A:A=C984),"""")"),"")</f>
        <v/>
      </c>
      <c r="N984" s="60" t="b">
        <f t="shared" si="781"/>
        <v>0</v>
      </c>
      <c r="O984" s="66" t="str">
        <f>IFERROR(__xludf.DUMMYFUNCTION("iferror(filter('3.4.clean'!C:C,'3.4.clean'!A:A=C984),"""")"),"")</f>
        <v/>
      </c>
      <c r="P984" s="60" t="b">
        <f t="shared" si="782"/>
        <v>0</v>
      </c>
      <c r="Q984" s="62">
        <f>IFERROR(__xludf.DUMMYFUNCTION("iferror(filter('3.5.clean'!C:C,'3.5.clean'!A:A=C984),"""")"),43797.0)</f>
        <v>43797</v>
      </c>
      <c r="R984" s="58" t="b">
        <f t="shared" ref="R984:R985" si="785">if(Q984="",FALSE,TRUE)</f>
        <v>1</v>
      </c>
      <c r="S984" s="98">
        <f>IFERROR(__xludf.DUMMYFUNCTION("iferror(filter('3.5.clean'!H:H,'3.5.clean'!A:A=C984),"""")"),0.0)</f>
        <v>0</v>
      </c>
      <c r="T984" s="39"/>
      <c r="U984" s="39"/>
      <c r="V984" s="39" t="s">
        <v>64</v>
      </c>
      <c r="W984" s="23" t="b">
        <f>if(AND(R984=TRUE,N984=TRUE,P984=TRUE),TRUE,FALSE)</f>
        <v>0</v>
      </c>
      <c r="X984" s="39" t="str">
        <f>IFERROR(__xludf.DUMMYFUNCTION("if(COUNTA(FILTER(C:C, C:C = C984))=1,""no"",""yes"")"),"no")</f>
        <v>no</v>
      </c>
    </row>
    <row r="985">
      <c r="A985" s="1" t="s">
        <v>896</v>
      </c>
      <c r="B985" s="2">
        <v>4.0</v>
      </c>
      <c r="C985" s="19" t="s">
        <v>1701</v>
      </c>
      <c r="E985" s="24">
        <f>IFERROR(__xludf.DUMMYFUNCTION("ifna(IFNA(filter('2.1.clean'!C:C,'2.1.clean'!A:A=C985),filter('2.2.clean'!E:E,'2.2.clean'!D:D=C985)),filter('2.4.clean'!C:C,'2.4.clean'!A:A=C985))"),43797.0)</f>
        <v>43797</v>
      </c>
      <c r="F985" s="25">
        <f>IFERROR(__xludf.DUMMYFUNCTION("iferror(ifna(IFNA(filter('2.1.clean'!E:E,'2.1.clean'!A:A=C985),filter('2.2.clean'!G:G,'2.2.clean'!D:D=C985)),filter('2.4.clean'!E:E,'2.4.clean'!A:A=C985)),)"),2.4)</f>
        <v>2.4</v>
      </c>
      <c r="G985" s="24"/>
      <c r="J985" s="25"/>
      <c r="K985" s="24"/>
      <c r="L985" s="25"/>
      <c r="M985" s="24">
        <f>IFERROR(__xludf.DUMMYFUNCTION("iferror(filter('3.3.clean'!C:C,'3.3.clean'!A:A=C985),"""")"),43798.0)</f>
        <v>43798</v>
      </c>
      <c r="N985" s="25" t="b">
        <f t="shared" si="781"/>
        <v>1</v>
      </c>
      <c r="O985" s="24">
        <f>IFERROR(__xludf.DUMMYFUNCTION("iferror(filter('3.4.clean'!C:C,'3.4.clean'!A:A=C985),"""")"),43798.0)</f>
        <v>43798</v>
      </c>
      <c r="P985" s="25" t="b">
        <f t="shared" si="782"/>
        <v>1</v>
      </c>
      <c r="Q985" s="24">
        <f>IFERROR(__xludf.DUMMYFUNCTION("iferror(filter('3.5.clean'!C:C,'3.5.clean'!A:A=C985),"""")"),43797.0)</f>
        <v>43797</v>
      </c>
      <c r="R985" s="23" t="b">
        <f t="shared" si="785"/>
        <v>1</v>
      </c>
      <c r="S985" s="25"/>
      <c r="V985" s="52" t="s">
        <v>64</v>
      </c>
      <c r="W985" s="23" t="b">
        <f>IF(and(R985=TRUE,N985=TRUE,P985=TRUE),TRUE,FALSE)</f>
        <v>1</v>
      </c>
      <c r="X985" s="23" t="str">
        <f>IFERROR(__xludf.DUMMYFUNCTION("if(COUNTA(FILTER(C:C, C:C = C985))=1,""no"",""yes"")"),"no")</f>
        <v>no</v>
      </c>
    </row>
    <row r="986">
      <c r="A986" s="1" t="s">
        <v>896</v>
      </c>
      <c r="B986" s="19">
        <v>5.0</v>
      </c>
      <c r="C986" s="19" t="s">
        <v>320</v>
      </c>
      <c r="D986" s="58" t="str">
        <f t="shared" ref="D986:D987" si="786">if(or(I986=1,J986=1,S986=1),"pos","")</f>
        <v/>
      </c>
      <c r="E986" s="59">
        <f>IFERROR(__xludf.DUMMYFUNCTION("ifna(IFNA(filter('2.1.clean'!C:C,'2.1.clean'!A:A=C986),filter('2.2.clean'!E:E,'2.2.clean'!D:D=C986)),filter('2.4.clean'!C:C,'2.4.clean'!A:A=C986))"),43797.0)</f>
        <v>43797</v>
      </c>
      <c r="F986" s="60">
        <f>IFERROR(__xludf.DUMMYFUNCTION("iferror(ifna(IFNA(filter('2.1.clean'!E:E,'2.1.clean'!A:A=C986),filter('2.2.clean'!G:G,'2.2.clean'!D:D=C986)),filter('2.4.clean'!E:E,'2.4.clean'!A:A=C986)),)"),2.4)</f>
        <v>2.4</v>
      </c>
      <c r="G986" s="59">
        <f>IFERROR(__xludf.DUMMYFUNCTION("iferror(filter('3.1.clean'!C:C,'3.1.clean'!A:A=C986),"""")"),43797.0)</f>
        <v>43797</v>
      </c>
      <c r="H986" s="58" t="b">
        <f>if(G986="",FALSE,TRUE)</f>
        <v>1</v>
      </c>
      <c r="I986" s="58">
        <f>IFERROR(__xludf.DUMMYFUNCTION("iferror(filter('3.1.clean'!G:G,'3.1.clean'!A:A=C986),"""")"),0.0)</f>
        <v>0</v>
      </c>
      <c r="J986" s="60" t="str">
        <f>IFERROR(__xludf.DUMMYFUNCTION("iferror(filter('3.1.clean'!I:I,'3.1.clean'!A:A=C986),"""")"),"")</f>
        <v/>
      </c>
      <c r="K986" s="58"/>
      <c r="L986" s="60"/>
      <c r="M986" s="59">
        <f>IFERROR(__xludf.DUMMYFUNCTION("iferror(filter('3.3.clean'!C:C,'3.3.clean'!A:A=C986),"""")"),43798.0)</f>
        <v>43798</v>
      </c>
      <c r="N986" s="60" t="b">
        <f t="shared" si="781"/>
        <v>1</v>
      </c>
      <c r="O986" s="59">
        <f>IFERROR(__xludf.DUMMYFUNCTION("iferror(filter('3.4.clean'!C:C,'3.4.clean'!A:A=C986),"""")"),43798.0)</f>
        <v>43798</v>
      </c>
      <c r="P986" s="60" t="b">
        <f t="shared" si="782"/>
        <v>1</v>
      </c>
      <c r="Q986" s="59" t="str">
        <f>IFERROR(__xludf.DUMMYFUNCTION("iferror(filter('3.5.clean'!C:C,'3.5.clean'!A:A=C986),"""")"),"")</f>
        <v/>
      </c>
      <c r="R986" s="58"/>
      <c r="S986" s="4" t="str">
        <f>IFERROR(__xludf.DUMMYFUNCTION("iferror(filter('3.5.clean'!H:H,'3.5.clean'!A:A=C986),"""")"),"")</f>
        <v/>
      </c>
      <c r="W986" s="23" t="b">
        <f>if(AND(H986=TRUE,N986=TRUE,P986=TRUE),TRUE,FALSE)</f>
        <v>1</v>
      </c>
      <c r="X986" s="23" t="str">
        <f>IFERROR(__xludf.DUMMYFUNCTION("if(COUNTA(FILTER(C:C, C:C = C986))=1,""no"",""yes"")"),"no")</f>
        <v>no</v>
      </c>
    </row>
    <row r="987">
      <c r="A987" s="1" t="s">
        <v>896</v>
      </c>
      <c r="B987" s="19">
        <v>6.0</v>
      </c>
      <c r="C987" s="19" t="s">
        <v>319</v>
      </c>
      <c r="D987" s="61" t="str">
        <f t="shared" si="786"/>
        <v/>
      </c>
      <c r="E987" s="59">
        <f>Q987</f>
        <v>43797</v>
      </c>
      <c r="F987" s="60" t="str">
        <f>IFERROR(__xludf.DUMMYFUNCTION("iferror(ifna(IFNA(filter('2.1.clean'!E:E,'2.1.clean'!A:A=C987),filter('2.2.clean'!G:G,'2.2.clean'!D:D=C987)),filter('2.4.clean'!E:E,'2.4.clean'!A:A=C987)),)"),"")</f>
        <v/>
      </c>
      <c r="G987" s="59" t="str">
        <f>IFERROR(__xludf.DUMMYFUNCTION("iferror(filter('3.1.clean'!C:C,'3.1.clean'!A:A=C987),"""")"),"")</f>
        <v/>
      </c>
      <c r="H987" s="61"/>
      <c r="I987" s="61" t="str">
        <f>IFERROR(__xludf.DUMMYFUNCTION("iferror(filter('3.1.clean'!G:G,'3.1.clean'!A:A=C987),"""")"),"")</f>
        <v/>
      </c>
      <c r="J987" s="65" t="str">
        <f>IFERROR(__xludf.DUMMYFUNCTION("iferror(filter('3.1.clean'!I:I,'3.1.clean'!A:A=C987),"""")"),"")</f>
        <v/>
      </c>
      <c r="K987" s="66"/>
      <c r="L987" s="65"/>
      <c r="M987" s="66" t="str">
        <f>IFERROR(__xludf.DUMMYFUNCTION("iferror(filter('3.3.clean'!C:C,'3.3.clean'!A:A=C987),"""")"),"")</f>
        <v/>
      </c>
      <c r="N987" s="60" t="b">
        <f t="shared" si="781"/>
        <v>0</v>
      </c>
      <c r="O987" s="66" t="str">
        <f>IFERROR(__xludf.DUMMYFUNCTION("iferror(filter('3.4.clean'!C:C,'3.4.clean'!A:A=C987),"""")"),"")</f>
        <v/>
      </c>
      <c r="P987" s="60" t="b">
        <f t="shared" si="782"/>
        <v>0</v>
      </c>
      <c r="Q987" s="62">
        <f>IFERROR(__xludf.DUMMYFUNCTION("iferror(filter('3.5.clean'!C:C,'3.5.clean'!A:A=C987),"""")"),43797.0)</f>
        <v>43797</v>
      </c>
      <c r="R987" s="58" t="b">
        <f t="shared" ref="R987:R988" si="787">if(Q987="",FALSE,TRUE)</f>
        <v>1</v>
      </c>
      <c r="S987" s="44">
        <f>IFERROR(__xludf.DUMMYFUNCTION("iferror(filter('3.5.clean'!H:H,'3.5.clean'!A:A=C987),"""")"),0.0)</f>
        <v>0</v>
      </c>
      <c r="T987" s="39"/>
      <c r="U987" s="39"/>
      <c r="V987" s="39" t="s">
        <v>64</v>
      </c>
      <c r="W987" s="23" t="b">
        <f>if(AND(R987=TRUE,N987=TRUE,P987=TRUE),TRUE,FALSE)</f>
        <v>0</v>
      </c>
      <c r="X987" s="39" t="str">
        <f>IFERROR(__xludf.DUMMYFUNCTION("if(COUNTA(FILTER(C:C, C:C = C987))=1,""no"",""yes"")"),"no")</f>
        <v>no</v>
      </c>
    </row>
    <row r="988">
      <c r="A988" s="1" t="s">
        <v>896</v>
      </c>
      <c r="B988" s="2">
        <v>7.0</v>
      </c>
      <c r="C988" s="19" t="s">
        <v>1704</v>
      </c>
      <c r="E988" s="24">
        <f>IFERROR(__xludf.DUMMYFUNCTION("ifna(IFNA(filter('2.1.clean'!C:C,'2.1.clean'!A:A=C988),filter('2.2.clean'!E:E,'2.2.clean'!D:D=C988)),filter('2.4.clean'!C:C,'2.4.clean'!A:A=C988))"),43797.0)</f>
        <v>43797</v>
      </c>
      <c r="F988" s="25">
        <f>IFERROR(__xludf.DUMMYFUNCTION("iferror(ifna(IFNA(filter('2.1.clean'!E:E,'2.1.clean'!A:A=C988),filter('2.2.clean'!G:G,'2.2.clean'!D:D=C988)),filter('2.4.clean'!E:E,'2.4.clean'!A:A=C988)),)"),2.4)</f>
        <v>2.4</v>
      </c>
      <c r="G988" s="24">
        <f>IFERROR(__xludf.DUMMYFUNCTION("iferror(filter('3.1.clean'!C:C,'3.1.clean'!A:A=C988),"""")"),43797.0)</f>
        <v>43797</v>
      </c>
      <c r="H988" s="23" t="b">
        <f t="shared" ref="H988:H989" si="788">if(G988="",FALSE,TRUE)</f>
        <v>1</v>
      </c>
      <c r="J988" s="25"/>
      <c r="K988" s="24">
        <f>IFERROR(__xludf.DUMMYFUNCTION("iferror(filter('3.2.clean'!C:C,'3.2.clean'!A:A=C988),"""")"),43798.0)</f>
        <v>43798</v>
      </c>
      <c r="L988" s="25" t="b">
        <f>if(K988="",FALSE,TRUE)</f>
        <v>1</v>
      </c>
      <c r="M988" s="24">
        <f>IFERROR(__xludf.DUMMYFUNCTION("iferror(filter('3.3.clean'!C:C,'3.3.clean'!A:A=C988),"""")"),43798.0)</f>
        <v>43798</v>
      </c>
      <c r="N988" s="25" t="b">
        <f t="shared" si="781"/>
        <v>1</v>
      </c>
      <c r="O988" s="24">
        <f>IFERROR(__xludf.DUMMYFUNCTION("iferror(filter('3.4.clean'!C:C,'3.4.clean'!A:A=C988),"""")"),43798.0)</f>
        <v>43798</v>
      </c>
      <c r="P988" s="25" t="b">
        <f t="shared" si="782"/>
        <v>1</v>
      </c>
      <c r="Q988" s="24">
        <f>IFERROR(__xludf.DUMMYFUNCTION("iferror(filter('3.5.clean'!C:C,'3.5.clean'!A:A=C988),"""")"),43797.0)</f>
        <v>43797</v>
      </c>
      <c r="R988" s="23" t="b">
        <f t="shared" si="787"/>
        <v>1</v>
      </c>
      <c r="S988" s="25"/>
      <c r="V988" s="1" t="s">
        <v>64</v>
      </c>
      <c r="X988" s="23" t="str">
        <f>IFERROR(__xludf.DUMMYFUNCTION("if(COUNTA(FILTER(C:C, C:C = C988))=1,""no"",""yes"")"),"no")</f>
        <v>no</v>
      </c>
    </row>
    <row r="989">
      <c r="A989" s="1" t="s">
        <v>896</v>
      </c>
      <c r="B989" s="19">
        <v>8.0</v>
      </c>
      <c r="C989" s="19" t="s">
        <v>314</v>
      </c>
      <c r="D989" s="58" t="str">
        <f t="shared" ref="D989:D990" si="789">if(or(I989=1,J989=1,S989=1),"pos","")</f>
        <v/>
      </c>
      <c r="E989" s="59">
        <f>IFERROR(__xludf.DUMMYFUNCTION("ifna(IFNA(filter('2.1.clean'!C:C,'2.1.clean'!A:A=C989),filter('2.2.clean'!E:E,'2.2.clean'!D:D=C989)),filter('2.4.clean'!C:C,'2.4.clean'!A:A=C989))"),43797.0)</f>
        <v>43797</v>
      </c>
      <c r="F989" s="60">
        <f>IFERROR(__xludf.DUMMYFUNCTION("iferror(ifna(IFNA(filter('2.1.clean'!E:E,'2.1.clean'!A:A=C989),filter('2.2.clean'!G:G,'2.2.clean'!D:D=C989)),filter('2.4.clean'!E:E,'2.4.clean'!A:A=C989)),)"),2.4)</f>
        <v>2.4</v>
      </c>
      <c r="G989" s="59">
        <f>IFERROR(__xludf.DUMMYFUNCTION("iferror(filter('3.1.clean'!C:C,'3.1.clean'!A:A=C989),"""")"),43797.0)</f>
        <v>43797</v>
      </c>
      <c r="H989" s="58" t="b">
        <f t="shared" si="788"/>
        <v>1</v>
      </c>
      <c r="I989" s="58">
        <f>IFERROR(__xludf.DUMMYFUNCTION("iferror(filter('3.1.clean'!G:G,'3.1.clean'!A:A=C989),"""")"),0.0)</f>
        <v>0</v>
      </c>
      <c r="J989" s="60" t="str">
        <f>IFERROR(__xludf.DUMMYFUNCTION("iferror(filter('3.1.clean'!I:I,'3.1.clean'!A:A=C989),"""")"),"")</f>
        <v/>
      </c>
      <c r="K989" s="58"/>
      <c r="L989" s="60"/>
      <c r="M989" s="59" t="str">
        <f>IFERROR(__xludf.DUMMYFUNCTION("iferror(filter('3.3.clean'!C:C,'3.3.clean'!A:A=C989),"""")"),"")</f>
        <v/>
      </c>
      <c r="N989" s="60" t="b">
        <f t="shared" si="781"/>
        <v>0</v>
      </c>
      <c r="O989" s="59" t="str">
        <f>IFERROR(__xludf.DUMMYFUNCTION("iferror(filter('3.4.clean'!C:C,'3.4.clean'!A:A=C989),"""")"),"")</f>
        <v/>
      </c>
      <c r="P989" s="60" t="b">
        <f t="shared" si="782"/>
        <v>0</v>
      </c>
      <c r="Q989" s="59" t="str">
        <f>IFERROR(__xludf.DUMMYFUNCTION("iferror(filter('3.5.clean'!C:C,'3.5.clean'!A:A=C989),"""")"),"")</f>
        <v/>
      </c>
      <c r="R989" s="58"/>
      <c r="S989" s="4" t="str">
        <f>IFERROR(__xludf.DUMMYFUNCTION("iferror(filter('3.5.clean'!H:H,'3.5.clean'!A:A=C989),"""")"),"")</f>
        <v/>
      </c>
      <c r="W989" s="23" t="b">
        <f>if(AND(H989=TRUE,N989=TRUE,P989=TRUE),TRUE,FALSE)</f>
        <v>0</v>
      </c>
      <c r="X989" s="23" t="str">
        <f>IFERROR(__xludf.DUMMYFUNCTION("if(COUNTA(FILTER(C:C, C:C = C989))=1,""no"",""yes"")"),"no")</f>
        <v>no</v>
      </c>
    </row>
    <row r="990">
      <c r="A990" s="1" t="s">
        <v>896</v>
      </c>
      <c r="B990" s="19">
        <v>9.0</v>
      </c>
      <c r="C990" s="19" t="s">
        <v>313</v>
      </c>
      <c r="D990" s="58" t="str">
        <f t="shared" si="789"/>
        <v/>
      </c>
      <c r="E990" s="59">
        <f>Q990</f>
        <v>43797</v>
      </c>
      <c r="F990" s="60" t="str">
        <f>IFERROR(__xludf.DUMMYFUNCTION("iferror(ifna(IFNA(filter('2.1.clean'!E:E,'2.1.clean'!A:A=C990),filter('2.2.clean'!G:G,'2.2.clean'!D:D=C990)),filter('2.4.clean'!E:E,'2.4.clean'!A:A=C990)),)"),"")</f>
        <v/>
      </c>
      <c r="G990" s="59" t="str">
        <f>IFERROR(__xludf.DUMMYFUNCTION("iferror(filter('3.1.clean'!C:C,'3.1.clean'!A:A=C990),"""")"),"")</f>
        <v/>
      </c>
      <c r="H990" s="58"/>
      <c r="I990" s="58" t="str">
        <f>IFERROR(__xludf.DUMMYFUNCTION("iferror(filter('3.1.clean'!G:G,'3.1.clean'!A:A=C990),"""")"),"")</f>
        <v/>
      </c>
      <c r="J990" s="60" t="str">
        <f>IFERROR(__xludf.DUMMYFUNCTION("iferror(filter('3.1.clean'!I:I,'3.1.clean'!A:A=C990),"""")"),"")</f>
        <v/>
      </c>
      <c r="K990" s="59"/>
      <c r="L990" s="60"/>
      <c r="M990" s="59" t="str">
        <f>IFERROR(__xludf.DUMMYFUNCTION("iferror(filter('3.3.clean'!C:C,'3.3.clean'!A:A=C990),"""")"),"")</f>
        <v/>
      </c>
      <c r="N990" s="60" t="b">
        <f t="shared" si="781"/>
        <v>0</v>
      </c>
      <c r="O990" s="59" t="str">
        <f>IFERROR(__xludf.DUMMYFUNCTION("iferror(filter('3.4.clean'!C:C,'3.4.clean'!A:A=C990),"""")"),"")</f>
        <v/>
      </c>
      <c r="P990" s="60" t="b">
        <f t="shared" si="782"/>
        <v>0</v>
      </c>
      <c r="Q990" s="59">
        <f>IFERROR(__xludf.DUMMYFUNCTION("iferror(filter('3.5.clean'!C:C,'3.5.clean'!A:A=C990),"""")"),43797.0)</f>
        <v>43797</v>
      </c>
      <c r="R990" s="58" t="b">
        <f t="shared" ref="R990:R991" si="790">if(Q990="",FALSE,TRUE)</f>
        <v>1</v>
      </c>
      <c r="S990" s="4">
        <f>IFERROR(__xludf.DUMMYFUNCTION("iferror(filter('3.5.clean'!H:H,'3.5.clean'!A:A=C990),"""")"),0.0)</f>
        <v>0</v>
      </c>
      <c r="V990" s="52" t="s">
        <v>64</v>
      </c>
      <c r="W990" s="23" t="b">
        <f>if(AND(R990=TRUE,N990=TRUE,P990=TRUE),TRUE,FALSE)</f>
        <v>0</v>
      </c>
      <c r="X990" s="23" t="str">
        <f>IFERROR(__xludf.DUMMYFUNCTION("if(COUNTA(FILTER(C:C, C:C = C990))=1,""no"",""yes"")"),"no")</f>
        <v>no</v>
      </c>
    </row>
    <row r="991">
      <c r="A991" s="1" t="s">
        <v>896</v>
      </c>
      <c r="B991" s="2">
        <v>10.0</v>
      </c>
      <c r="C991" s="19" t="s">
        <v>1705</v>
      </c>
      <c r="E991" s="24">
        <f>IFERROR(__xludf.DUMMYFUNCTION("ifna(IFNA(filter('2.1.clean'!C:C,'2.1.clean'!A:A=C991),filter('2.2.clean'!E:E,'2.2.clean'!D:D=C991)),filter('2.4.clean'!C:C,'2.4.clean'!A:A=C991))"),43797.0)</f>
        <v>43797</v>
      </c>
      <c r="F991" s="25">
        <f>IFERROR(__xludf.DUMMYFUNCTION("iferror(ifna(IFNA(filter('2.1.clean'!E:E,'2.1.clean'!A:A=C991),filter('2.2.clean'!G:G,'2.2.clean'!D:D=C991)),filter('2.4.clean'!E:E,'2.4.clean'!A:A=C991)),)"),2.4)</f>
        <v>2.4</v>
      </c>
      <c r="G991" s="24">
        <f>IFERROR(__xludf.DUMMYFUNCTION("iferror(filter('3.1.clean'!C:C,'3.1.clean'!A:A=C991),"""")"),43797.0)</f>
        <v>43797</v>
      </c>
      <c r="H991" s="23" t="b">
        <f t="shared" ref="H991:H992" si="791">if(G991="",FALSE,TRUE)</f>
        <v>1</v>
      </c>
      <c r="J991" s="25"/>
      <c r="K991" s="24">
        <f>IFERROR(__xludf.DUMMYFUNCTION("iferror(filter('3.2.clean'!C:C,'3.2.clean'!A:A=C991),"""")"),43798.0)</f>
        <v>43798</v>
      </c>
      <c r="L991" s="25" t="b">
        <f>if(K991="",FALSE,TRUE)</f>
        <v>1</v>
      </c>
      <c r="M991" s="24">
        <f>IFERROR(__xludf.DUMMYFUNCTION("iferror(filter('3.3.clean'!C:C,'3.3.clean'!A:A=C991),"""")"),43798.0)</f>
        <v>43798</v>
      </c>
      <c r="N991" s="25" t="b">
        <f t="shared" si="781"/>
        <v>1</v>
      </c>
      <c r="O991" s="24">
        <f>IFERROR(__xludf.DUMMYFUNCTION("iferror(filter('3.4.clean'!C:C,'3.4.clean'!A:A=C991),"""")"),43798.0)</f>
        <v>43798</v>
      </c>
      <c r="P991" s="25" t="b">
        <f t="shared" si="782"/>
        <v>1</v>
      </c>
      <c r="Q991" s="24">
        <f>IFERROR(__xludf.DUMMYFUNCTION("iferror(filter('3.5.clean'!C:C,'3.5.clean'!A:A=C991),"""")"),43797.0)</f>
        <v>43797</v>
      </c>
      <c r="R991" s="23" t="b">
        <f t="shared" si="790"/>
        <v>1</v>
      </c>
      <c r="S991" s="25"/>
      <c r="V991" s="1" t="s">
        <v>64</v>
      </c>
      <c r="X991" s="23" t="str">
        <f>IFERROR(__xludf.DUMMYFUNCTION("if(COUNTA(FILTER(C:C, C:C = C991))=1,""no"",""yes"")"),"no")</f>
        <v>no</v>
      </c>
    </row>
    <row r="992">
      <c r="A992" s="1" t="s">
        <v>896</v>
      </c>
      <c r="B992" s="19">
        <v>11.0</v>
      </c>
      <c r="C992" s="19" t="s">
        <v>316</v>
      </c>
      <c r="D992" s="58" t="str">
        <f t="shared" ref="D992:D995" si="792">if(or(I992=1,J992=1,S992=1),"pos","")</f>
        <v/>
      </c>
      <c r="E992" s="59">
        <f>IFERROR(__xludf.DUMMYFUNCTION("ifna(IFNA(filter('2.1.clean'!C:C,'2.1.clean'!A:A=C992),filter('2.2.clean'!E:E,'2.2.clean'!D:D=C992)),filter('2.4.clean'!C:C,'2.4.clean'!A:A=C992))"),43797.0)</f>
        <v>43797</v>
      </c>
      <c r="F992" s="60">
        <f>IFERROR(__xludf.DUMMYFUNCTION("iferror(ifna(IFNA(filter('2.1.clean'!E:E,'2.1.clean'!A:A=C992),filter('2.2.clean'!G:G,'2.2.clean'!D:D=C992)),filter('2.4.clean'!E:E,'2.4.clean'!A:A=C992)),)"),2.4)</f>
        <v>2.4</v>
      </c>
      <c r="G992" s="59">
        <f>IFERROR(__xludf.DUMMYFUNCTION("iferror(filter('3.1.clean'!C:C,'3.1.clean'!A:A=C992),"""")"),43797.0)</f>
        <v>43797</v>
      </c>
      <c r="H992" s="58" t="b">
        <f t="shared" si="791"/>
        <v>1</v>
      </c>
      <c r="I992" s="58">
        <f>IFERROR(__xludf.DUMMYFUNCTION("iferror(filter('3.1.clean'!G:G,'3.1.clean'!A:A=C992),"""")"),0.0)</f>
        <v>0</v>
      </c>
      <c r="J992" s="60" t="str">
        <f>IFERROR(__xludf.DUMMYFUNCTION("iferror(filter('3.1.clean'!I:I,'3.1.clean'!A:A=C992),"""")"),"")</f>
        <v/>
      </c>
      <c r="K992" s="58"/>
      <c r="L992" s="60"/>
      <c r="M992" s="59" t="str">
        <f>IFERROR(__xludf.DUMMYFUNCTION("iferror(filter('3.3.clean'!C:C,'3.3.clean'!A:A=C992),"""")"),"")</f>
        <v/>
      </c>
      <c r="N992" s="60" t="b">
        <f t="shared" si="781"/>
        <v>0</v>
      </c>
      <c r="O992" s="59" t="str">
        <f>IFERROR(__xludf.DUMMYFUNCTION("iferror(filter('3.4.clean'!C:C,'3.4.clean'!A:A=C992),"""")"),"")</f>
        <v/>
      </c>
      <c r="P992" s="60" t="b">
        <f t="shared" si="782"/>
        <v>0</v>
      </c>
      <c r="Q992" s="59" t="str">
        <f>IFERROR(__xludf.DUMMYFUNCTION("iferror(filter('3.5.clean'!C:C,'3.5.clean'!A:A=C992),"""")"),"")</f>
        <v/>
      </c>
      <c r="R992" s="58"/>
      <c r="S992" s="4" t="str">
        <f>IFERROR(__xludf.DUMMYFUNCTION("iferror(filter('3.5.clean'!H:H,'3.5.clean'!A:A=C992),"""")"),"")</f>
        <v/>
      </c>
      <c r="W992" s="23" t="b">
        <f>if(AND(H992=TRUE,N992=TRUE,P992=TRUE),TRUE,FALSE)</f>
        <v>0</v>
      </c>
      <c r="X992" s="23" t="str">
        <f>IFERROR(__xludf.DUMMYFUNCTION("if(COUNTA(FILTER(C:C, C:C = C992))=1,""no"",""yes"")"),"no")</f>
        <v>no</v>
      </c>
    </row>
    <row r="993">
      <c r="A993" s="1" t="s">
        <v>896</v>
      </c>
      <c r="B993" s="19">
        <v>12.0</v>
      </c>
      <c r="C993" s="19" t="s">
        <v>315</v>
      </c>
      <c r="D993" s="61" t="str">
        <f t="shared" si="792"/>
        <v/>
      </c>
      <c r="E993" s="59">
        <f>Q993</f>
        <v>43797</v>
      </c>
      <c r="F993" s="60" t="str">
        <f>IFERROR(__xludf.DUMMYFUNCTION("iferror(ifna(IFNA(filter('2.1.clean'!E:E,'2.1.clean'!A:A=C993),filter('2.2.clean'!G:G,'2.2.clean'!D:D=C993)),filter('2.4.clean'!E:E,'2.4.clean'!A:A=C993)),)"),"")</f>
        <v/>
      </c>
      <c r="G993" s="59" t="str">
        <f>IFERROR(__xludf.DUMMYFUNCTION("iferror(filter('3.1.clean'!C:C,'3.1.clean'!A:A=C993),"""")"),"")</f>
        <v/>
      </c>
      <c r="H993" s="61"/>
      <c r="I993" s="61" t="str">
        <f>IFERROR(__xludf.DUMMYFUNCTION("iferror(filter('3.1.clean'!G:G,'3.1.clean'!A:A=C993),"""")"),"")</f>
        <v/>
      </c>
      <c r="J993" s="65" t="str">
        <f>IFERROR(__xludf.DUMMYFUNCTION("iferror(filter('3.1.clean'!I:I,'3.1.clean'!A:A=C993),"""")"),"")</f>
        <v/>
      </c>
      <c r="K993" s="66"/>
      <c r="L993" s="65"/>
      <c r="M993" s="66" t="str">
        <f>IFERROR(__xludf.DUMMYFUNCTION("iferror(filter('3.3.clean'!C:C,'3.3.clean'!A:A=C993),"""")"),"")</f>
        <v/>
      </c>
      <c r="N993" s="60" t="b">
        <f t="shared" si="781"/>
        <v>0</v>
      </c>
      <c r="O993" s="66" t="str">
        <f>IFERROR(__xludf.DUMMYFUNCTION("iferror(filter('3.4.clean'!C:C,'3.4.clean'!A:A=C993),"""")"),"")</f>
        <v/>
      </c>
      <c r="P993" s="60" t="b">
        <f t="shared" si="782"/>
        <v>0</v>
      </c>
      <c r="Q993" s="62">
        <f>IFERROR(__xludf.DUMMYFUNCTION("iferror(filter('3.5.clean'!C:C,'3.5.clean'!A:A=C993),"""")"),43797.0)</f>
        <v>43797</v>
      </c>
      <c r="R993" s="58" t="b">
        <f>if(Q993="",FALSE,TRUE)</f>
        <v>1</v>
      </c>
      <c r="S993" s="98">
        <f>IFERROR(__xludf.DUMMYFUNCTION("iferror(filter('3.5.clean'!H:H,'3.5.clean'!A:A=C993),"""")"),0.0)</f>
        <v>0</v>
      </c>
      <c r="T993" s="39"/>
      <c r="U993" s="39"/>
      <c r="V993" s="39" t="s">
        <v>64</v>
      </c>
      <c r="W993" s="23" t="b">
        <f>if(AND(R993=TRUE,N993=TRUE,P993=TRUE),TRUE,FALSE)</f>
        <v>0</v>
      </c>
      <c r="X993" s="39" t="str">
        <f>IFERROR(__xludf.DUMMYFUNCTION("if(COUNTA(FILTER(C:C, C:C = C993))=1,""no"",""yes"")"),"no")</f>
        <v>no</v>
      </c>
    </row>
    <row r="994">
      <c r="A994" s="1" t="s">
        <v>896</v>
      </c>
      <c r="B994" s="19">
        <v>12.0</v>
      </c>
      <c r="C994" s="19" t="s">
        <v>1706</v>
      </c>
      <c r="D994" s="76" t="str">
        <f t="shared" si="792"/>
        <v/>
      </c>
      <c r="E994" s="77">
        <f>G994</f>
        <v>43797</v>
      </c>
      <c r="F994" s="78" t="str">
        <f>IFERROR(__xludf.DUMMYFUNCTION("iferror(ifna(IFNA(filter('2.1.clean'!E:E,'2.1.clean'!A:A=C994),filter('2.2.clean'!G:G,'2.2.clean'!D:D=C994)),filter('2.4.clean'!E:E,'2.4.clean'!A:A=C994)),)"),"")</f>
        <v/>
      </c>
      <c r="G994" s="77">
        <f>IFERROR(__xludf.DUMMYFUNCTION("iferror(filter('3.1.clean'!C:C,'3.1.clean'!A:A=C994),"""")"),43797.0)</f>
        <v>43797</v>
      </c>
      <c r="H994" s="76" t="b">
        <f>if(G994="",FALSE,TRUE)</f>
        <v>1</v>
      </c>
      <c r="I994" s="76">
        <f>IFERROR(__xludf.DUMMYFUNCTION("iferror(filter('3.1.clean'!G:G,'3.1.clean'!A:A=C994),"""")"),0.0)</f>
        <v>0</v>
      </c>
      <c r="J994" s="78" t="str">
        <f>IFERROR(__xludf.DUMMYFUNCTION("iferror(filter('3.1.clean'!I:I,'3.1.clean'!A:A=C994),"""")"),"")</f>
        <v/>
      </c>
      <c r="K994" s="77"/>
      <c r="L994" s="78"/>
      <c r="M994" s="77"/>
      <c r="N994" s="78"/>
      <c r="O994" s="77"/>
      <c r="P994" s="78"/>
      <c r="Q994" s="77"/>
      <c r="R994" s="76"/>
      <c r="S994" s="25"/>
      <c r="V994" s="1" t="s">
        <v>64</v>
      </c>
      <c r="W994" s="1" t="b">
        <v>1</v>
      </c>
      <c r="X994" s="23" t="str">
        <f>IFERROR(__xludf.DUMMYFUNCTION("if(COUNTA(FILTER(C:C, C:C = C994))=1,""no"",""yes"")"),"no")</f>
        <v>no</v>
      </c>
    </row>
    <row r="995">
      <c r="A995" s="1" t="s">
        <v>896</v>
      </c>
      <c r="B995" s="19">
        <v>13.0</v>
      </c>
      <c r="C995" s="19" t="s">
        <v>1707</v>
      </c>
      <c r="D995" s="22" t="str">
        <f t="shared" si="792"/>
        <v/>
      </c>
      <c r="E995" s="20">
        <f>Q995</f>
        <v>43797</v>
      </c>
      <c r="F995" s="79" t="str">
        <f>IFERROR(__xludf.DUMMYFUNCTION("iferror(ifna(IFNA(filter('2.1.clean'!E:E,'2.1.clean'!A:A=C995),filter('2.2.clean'!G:G,'2.2.clean'!D:D=C995)),filter('2.4.clean'!E:E,'2.4.clean'!A:A=C995)),)"),"")</f>
        <v/>
      </c>
      <c r="G995" s="20" t="str">
        <f>IFERROR(__xludf.DUMMYFUNCTION("iferror(filter('3.1.clean'!C:C,'3.1.clean'!A:A=C995),"""")"),"")</f>
        <v/>
      </c>
      <c r="H995" s="22"/>
      <c r="I995" s="22"/>
      <c r="J995" s="79"/>
      <c r="K995" s="20" t="str">
        <f>IFERROR(__xludf.DUMMYFUNCTION("iferror(filter('3.2.clean'!C:C,'3.2.clean'!A:A=C995),"""")"),"")</f>
        <v/>
      </c>
      <c r="L995" s="79"/>
      <c r="M995" s="20" t="str">
        <f>IFERROR(__xludf.DUMMYFUNCTION("iferror(filter('3.3.clean'!C:C,'3.3.clean'!A:A=C995),"""")"),"")</f>
        <v/>
      </c>
      <c r="N995" s="79" t="b">
        <f t="shared" ref="N995:N1005" si="793">if(M995="",FALSE,TRUE)</f>
        <v>0</v>
      </c>
      <c r="O995" s="20" t="str">
        <f>IFERROR(__xludf.DUMMYFUNCTION("iferror(filter('3.4.clean'!C:C,'3.4.clean'!A:A=C995),"""")"),"")</f>
        <v/>
      </c>
      <c r="P995" s="79" t="b">
        <f t="shared" ref="P995:P1005" si="794">if(O995="",FALSE,TRUE)</f>
        <v>0</v>
      </c>
      <c r="Q995" s="20">
        <f>IFERROR(__xludf.DUMMYFUNCTION("iferror(filter('3.5.clean'!C:C,'3.5.clean'!A:A=C995),"""")"),43797.0)</f>
        <v>43797</v>
      </c>
      <c r="R995" s="22" t="b">
        <f>if(Q995="",FALSE,TRUE)</f>
        <v>1</v>
      </c>
      <c r="S995" s="4" t="str">
        <f>IFERROR(__xludf.DUMMYFUNCTION("iferror(filter('3.5.clean'!H:H,'3.5.clean'!A:A=C995),"""")"),"")</f>
        <v/>
      </c>
      <c r="V995" s="1" t="s">
        <v>64</v>
      </c>
      <c r="W995" s="23" t="b">
        <f>IF(and(R995=TRUE,N995=TRUE,P995=TRUE),TRUE,FALSE)</f>
        <v>0</v>
      </c>
      <c r="X995" s="23" t="str">
        <f>IFERROR(__xludf.DUMMYFUNCTION("if(COUNTA(FILTER(C:C, C:C = C995))=1,""no"",""yes"")"),"no")</f>
        <v>no</v>
      </c>
    </row>
    <row r="996">
      <c r="A996" s="1" t="s">
        <v>896</v>
      </c>
      <c r="B996" s="2">
        <v>14.0</v>
      </c>
      <c r="C996" s="69" t="s">
        <v>1708</v>
      </c>
      <c r="E996" s="24">
        <v>43797.0</v>
      </c>
      <c r="F996" s="25" t="str">
        <f>IFERROR(__xludf.DUMMYFUNCTION("iferror(ifna(IFNA(filter('2.1.clean'!E:E,'2.1.clean'!A:A=C996),filter('2.2.clean'!G:G,'2.2.clean'!D:D=C996)),filter('2.4.clean'!E:E,'2.4.clean'!A:A=C996)),)"),"")</f>
        <v/>
      </c>
      <c r="G996" s="24" t="str">
        <f>IFERROR(__xludf.DUMMYFUNCTION("iferror(filter('3.1.clean'!C:C,'3.1.clean'!A:A=C996),"""")"),"")</f>
        <v/>
      </c>
      <c r="J996" s="25"/>
      <c r="K996" s="24" t="str">
        <f>IFERROR(__xludf.DUMMYFUNCTION("iferror(filter('3.2.clean'!C:C,'3.2.clean'!A:A=C996),"""")"),"")</f>
        <v/>
      </c>
      <c r="L996" s="25"/>
      <c r="M996" s="24">
        <f>IFERROR(__xludf.DUMMYFUNCTION("iferror(filter('3.3.clean'!C:C,'3.3.clean'!A:A=C996),"""")"),43798.0)</f>
        <v>43798</v>
      </c>
      <c r="N996" s="25" t="b">
        <f t="shared" si="793"/>
        <v>1</v>
      </c>
      <c r="O996" s="24">
        <f>IFERROR(__xludf.DUMMYFUNCTION("iferror(filter('3.4.clean'!C:C,'3.4.clean'!A:A=C996),"""")"),43798.0)</f>
        <v>43798</v>
      </c>
      <c r="P996" s="25" t="b">
        <f t="shared" si="794"/>
        <v>1</v>
      </c>
      <c r="Q996" s="24" t="str">
        <f>IFERROR(__xludf.DUMMYFUNCTION("iferror(filter('3.5.clean'!C:C,'3.5.clean'!A:A=C996),"""")"),"")</f>
        <v/>
      </c>
      <c r="S996" s="25"/>
      <c r="V996" s="52" t="s">
        <v>64</v>
      </c>
      <c r="X996" s="23" t="str">
        <f>IFERROR(__xludf.DUMMYFUNCTION("if(COUNTA(FILTER(C:C, C:C = C996))=1,""no"",""yes"")"),"no")</f>
        <v>no</v>
      </c>
    </row>
    <row r="997">
      <c r="A997" s="75" t="s">
        <v>899</v>
      </c>
      <c r="B997" s="2">
        <v>1.0</v>
      </c>
      <c r="C997" s="19" t="s">
        <v>1709</v>
      </c>
      <c r="E997" s="24">
        <f>IFERROR(__xludf.DUMMYFUNCTION("ifna(IFNA(filter('2.1.clean'!C:C,'2.1.clean'!A:A=C997),filter('2.2.clean'!E:E,'2.2.clean'!D:D=C997)),filter('2.4.clean'!C:C,'2.4.clean'!A:A=C997))"),43798.0)</f>
        <v>43798</v>
      </c>
      <c r="F997" s="25">
        <f>IFERROR(__xludf.DUMMYFUNCTION("iferror(ifna(IFNA(filter('2.1.clean'!E:E,'2.1.clean'!A:A=C997),filter('2.2.clean'!G:G,'2.2.clean'!D:D=C997)),filter('2.4.clean'!E:E,'2.4.clean'!A:A=C997)),)"),2.4)</f>
        <v>2.4</v>
      </c>
      <c r="G997" s="24">
        <f>IFERROR(__xludf.DUMMYFUNCTION("iferror(filter('3.1.clean'!C:C,'3.1.clean'!A:A=C997),"""")"),43798.0)</f>
        <v>43798</v>
      </c>
      <c r="H997" s="23" t="b">
        <f t="shared" ref="H997:H998" si="795">if(G997="",FALSE,TRUE)</f>
        <v>1</v>
      </c>
      <c r="J997" s="25"/>
      <c r="K997" s="24">
        <f>IFERROR(__xludf.DUMMYFUNCTION("iferror(filter('3.2.clean'!C:C,'3.2.clean'!A:A=C997),"""")"),43798.0)</f>
        <v>43798</v>
      </c>
      <c r="L997" s="25" t="b">
        <f>if(K997="",FALSE,TRUE)</f>
        <v>1</v>
      </c>
      <c r="M997" s="24">
        <f>IFERROR(__xludf.DUMMYFUNCTION("iferror(filter('3.3.clean'!C:C,'3.3.clean'!A:A=C997),"""")"),43802.0)</f>
        <v>43802</v>
      </c>
      <c r="N997" s="25" t="b">
        <f t="shared" si="793"/>
        <v>1</v>
      </c>
      <c r="O997" s="24">
        <f>IFERROR(__xludf.DUMMYFUNCTION("iferror(filter('3.4.clean'!C:C,'3.4.clean'!A:A=C997),"""")"),43805.0)</f>
        <v>43805</v>
      </c>
      <c r="P997" s="25" t="b">
        <f t="shared" si="794"/>
        <v>1</v>
      </c>
      <c r="Q997" s="24">
        <f>IFERROR(__xludf.DUMMYFUNCTION("iferror(filter('3.5.clean'!C:C,'3.5.clean'!A:A=C997),"""")"),43798.0)</f>
        <v>43798</v>
      </c>
      <c r="R997" s="23" t="b">
        <f>if(Q997="",FALSE,TRUE)</f>
        <v>1</v>
      </c>
      <c r="S997" s="25"/>
      <c r="V997" s="1" t="s">
        <v>64</v>
      </c>
      <c r="X997" s="23" t="str">
        <f>IFERROR(__xludf.DUMMYFUNCTION("if(COUNTA(FILTER(C:C, C:C = C997))=1,""no"",""yes"")"),"no")</f>
        <v>no</v>
      </c>
    </row>
    <row r="998">
      <c r="A998" s="75" t="s">
        <v>899</v>
      </c>
      <c r="B998" s="19">
        <v>2.0</v>
      </c>
      <c r="C998" s="19" t="s">
        <v>1710</v>
      </c>
      <c r="D998" s="58" t="str">
        <f t="shared" ref="D998:D999" si="796">if(or(I998=1,J998=1,S998=1),"pos","")</f>
        <v/>
      </c>
      <c r="E998" s="59">
        <f>IFERROR(__xludf.DUMMYFUNCTION("ifna(IFNA(filter('2.1.clean'!C:C,'2.1.clean'!A:A=C998),filter('2.2.clean'!E:E,'2.2.clean'!D:D=C998)),filter('2.4.clean'!C:C,'2.4.clean'!A:A=C998))"),43798.0)</f>
        <v>43798</v>
      </c>
      <c r="F998" s="60">
        <f>IFERROR(__xludf.DUMMYFUNCTION("iferror(ifna(IFNA(filter('2.1.clean'!E:E,'2.1.clean'!A:A=C998),filter('2.2.clean'!G:G,'2.2.clean'!D:D=C998)),filter('2.4.clean'!E:E,'2.4.clean'!A:A=C998)),)"),2.4)</f>
        <v>2.4</v>
      </c>
      <c r="G998" s="59">
        <f>IFERROR(__xludf.DUMMYFUNCTION("iferror(filter('3.1.clean'!C:C,'3.1.clean'!A:A=C998),"""")"),43798.0)</f>
        <v>43798</v>
      </c>
      <c r="H998" s="58" t="b">
        <f t="shared" si="795"/>
        <v>1</v>
      </c>
      <c r="I998" s="58">
        <f>IFERROR(__xludf.DUMMYFUNCTION("iferror(filter('3.1.clean'!G:G,'3.1.clean'!A:A=C998),"""")"),0.0)</f>
        <v>0</v>
      </c>
      <c r="J998" s="60" t="str">
        <f>IFERROR(__xludf.DUMMYFUNCTION("iferror(filter('3.1.clean'!I:I,'3.1.clean'!A:A=C998),"""")"),"")</f>
        <v/>
      </c>
      <c r="K998" s="58"/>
      <c r="L998" s="60"/>
      <c r="M998" s="59" t="str">
        <f>IFERROR(__xludf.DUMMYFUNCTION("iferror(filter('3.3.clean'!C:C,'3.3.clean'!A:A=C998),"""")"),"")</f>
        <v/>
      </c>
      <c r="N998" s="60" t="b">
        <f t="shared" si="793"/>
        <v>0</v>
      </c>
      <c r="O998" s="59" t="str">
        <f>IFERROR(__xludf.DUMMYFUNCTION("iferror(filter('3.4.clean'!C:C,'3.4.clean'!A:A=C998),"""")"),"")</f>
        <v/>
      </c>
      <c r="P998" s="60" t="b">
        <f t="shared" si="794"/>
        <v>0</v>
      </c>
      <c r="Q998" s="59" t="str">
        <f>IFERROR(__xludf.DUMMYFUNCTION("iferror(filter('3.5.clean'!C:C,'3.5.clean'!A:A=C998),"""")"),"")</f>
        <v/>
      </c>
      <c r="R998" s="58"/>
      <c r="S998" s="4" t="str">
        <f>IFERROR(__xludf.DUMMYFUNCTION("iferror(filter('3.5.clean'!H:H,'3.5.clean'!A:A=C998),"""")"),"")</f>
        <v/>
      </c>
      <c r="W998" s="23" t="b">
        <f>if(AND(H998=TRUE,N998=TRUE,P998=TRUE),TRUE,FALSE)</f>
        <v>0</v>
      </c>
      <c r="X998" s="23" t="str">
        <f>IFERROR(__xludf.DUMMYFUNCTION("if(COUNTA(FILTER(C:C, C:C = C998))=1,""no"",""yes"")"),"no")</f>
        <v>no</v>
      </c>
    </row>
    <row r="999">
      <c r="A999" s="75" t="s">
        <v>899</v>
      </c>
      <c r="B999" s="19">
        <v>3.0</v>
      </c>
      <c r="C999" s="19" t="s">
        <v>1711</v>
      </c>
      <c r="D999" s="58" t="str">
        <f t="shared" si="796"/>
        <v/>
      </c>
      <c r="E999" s="59">
        <f>Q999</f>
        <v>43798</v>
      </c>
      <c r="F999" s="60" t="str">
        <f>IFERROR(__xludf.DUMMYFUNCTION("iferror(ifna(IFNA(filter('2.1.clean'!E:E,'2.1.clean'!A:A=C999),filter('2.2.clean'!G:G,'2.2.clean'!D:D=C999)),filter('2.4.clean'!E:E,'2.4.clean'!A:A=C999)),)"),"")</f>
        <v/>
      </c>
      <c r="G999" s="59" t="str">
        <f>IFERROR(__xludf.DUMMYFUNCTION("iferror(filter('3.1.clean'!C:C,'3.1.clean'!A:A=C999),"""")"),"")</f>
        <v/>
      </c>
      <c r="H999" s="58"/>
      <c r="I999" s="58" t="str">
        <f>IFERROR(__xludf.DUMMYFUNCTION("iferror(filter('3.1.clean'!G:G,'3.1.clean'!A:A=C999),"""")"),"")</f>
        <v/>
      </c>
      <c r="J999" s="60" t="str">
        <f>IFERROR(__xludf.DUMMYFUNCTION("iferror(filter('3.1.clean'!I:I,'3.1.clean'!A:A=C999),"""")"),"")</f>
        <v/>
      </c>
      <c r="K999" s="59"/>
      <c r="L999" s="60"/>
      <c r="M999" s="59" t="str">
        <f>IFERROR(__xludf.DUMMYFUNCTION("iferror(filter('3.3.clean'!C:C,'3.3.clean'!A:A=C999),"""")"),"")</f>
        <v/>
      </c>
      <c r="N999" s="60" t="b">
        <f t="shared" si="793"/>
        <v>0</v>
      </c>
      <c r="O999" s="59" t="str">
        <f>IFERROR(__xludf.DUMMYFUNCTION("iferror(filter('3.4.clean'!C:C,'3.4.clean'!A:A=C999),"""")"),"")</f>
        <v/>
      </c>
      <c r="P999" s="60" t="b">
        <f t="shared" si="794"/>
        <v>0</v>
      </c>
      <c r="Q999" s="59">
        <f>IFERROR(__xludf.DUMMYFUNCTION("iferror(filter('3.5.clean'!C:C,'3.5.clean'!A:A=C999),"""")"),43798.0)</f>
        <v>43798</v>
      </c>
      <c r="R999" s="58" t="b">
        <f t="shared" ref="R999:R1000" si="797">if(Q999="",FALSE,TRUE)</f>
        <v>1</v>
      </c>
      <c r="S999" s="4">
        <f>IFERROR(__xludf.DUMMYFUNCTION("iferror(filter('3.5.clean'!H:H,'3.5.clean'!A:A=C999),"""")"),0.0)</f>
        <v>0</v>
      </c>
      <c r="V999" s="52" t="s">
        <v>64</v>
      </c>
      <c r="W999" s="23" t="b">
        <f>if(AND(R999=TRUE,N999=TRUE,P999=TRUE),TRUE,FALSE)</f>
        <v>0</v>
      </c>
      <c r="X999" s="23" t="str">
        <f>IFERROR(__xludf.DUMMYFUNCTION("if(COUNTA(FILTER(C:C, C:C = C999))=1,""no"",""yes"")"),"no")</f>
        <v>no</v>
      </c>
    </row>
    <row r="1000">
      <c r="A1000" s="75" t="s">
        <v>899</v>
      </c>
      <c r="B1000" s="2">
        <v>4.0</v>
      </c>
      <c r="C1000" s="19" t="s">
        <v>1712</v>
      </c>
      <c r="E1000" s="24">
        <f>IFERROR(__xludf.DUMMYFUNCTION("ifna(IFNA(filter('2.1.clean'!C:C,'2.1.clean'!A:A=C1000),filter('2.2.clean'!E:E,'2.2.clean'!D:D=C1000)),filter('2.4.clean'!C:C,'2.4.clean'!A:A=C1000))"),43798.0)</f>
        <v>43798</v>
      </c>
      <c r="F1000" s="25">
        <f>IFERROR(__xludf.DUMMYFUNCTION("iferror(ifna(IFNA(filter('2.1.clean'!E:E,'2.1.clean'!A:A=C1000),filter('2.2.clean'!G:G,'2.2.clean'!D:D=C1000)),filter('2.4.clean'!E:E,'2.4.clean'!A:A=C1000)),)"),2.4)</f>
        <v>2.4</v>
      </c>
      <c r="G1000" s="24">
        <f>IFERROR(__xludf.DUMMYFUNCTION("iferror(filter('3.1.clean'!C:C,'3.1.clean'!A:A=C1000),"""")"),43798.0)</f>
        <v>43798</v>
      </c>
      <c r="H1000" s="23" t="b">
        <f t="shared" ref="H1000:H1001" si="798">if(G1000="",FALSE,TRUE)</f>
        <v>1</v>
      </c>
      <c r="J1000" s="25"/>
      <c r="K1000" s="24">
        <f>IFERROR(__xludf.DUMMYFUNCTION("iferror(filter('3.2.clean'!C:C,'3.2.clean'!A:A=C1000),"""")"),43798.0)</f>
        <v>43798</v>
      </c>
      <c r="L1000" s="25" t="b">
        <f>if(K1000="",FALSE,TRUE)</f>
        <v>1</v>
      </c>
      <c r="M1000" s="24">
        <f>IFERROR(__xludf.DUMMYFUNCTION("iferror(filter('3.3.clean'!C:C,'3.3.clean'!A:A=C1000),"""")"),43802.0)</f>
        <v>43802</v>
      </c>
      <c r="N1000" s="25" t="b">
        <f t="shared" si="793"/>
        <v>1</v>
      </c>
      <c r="O1000" s="24">
        <f>IFERROR(__xludf.DUMMYFUNCTION("iferror(filter('3.4.clean'!C:C,'3.4.clean'!A:A=C1000),"""")"),43805.0)</f>
        <v>43805</v>
      </c>
      <c r="P1000" s="25" t="b">
        <f t="shared" si="794"/>
        <v>1</v>
      </c>
      <c r="Q1000" s="24">
        <f>IFERROR(__xludf.DUMMYFUNCTION("iferror(filter('3.5.clean'!C:C,'3.5.clean'!A:A=C1000),"""")"),43798.0)</f>
        <v>43798</v>
      </c>
      <c r="R1000" s="23" t="b">
        <f t="shared" si="797"/>
        <v>1</v>
      </c>
      <c r="S1000" s="25"/>
      <c r="V1000" s="1" t="s">
        <v>64</v>
      </c>
      <c r="X1000" s="23" t="str">
        <f>IFERROR(__xludf.DUMMYFUNCTION("if(COUNTA(FILTER(C:C, C:C = C1000))=1,""no"",""yes"")"),"no")</f>
        <v>no</v>
      </c>
    </row>
    <row r="1001">
      <c r="A1001" s="75" t="s">
        <v>899</v>
      </c>
      <c r="B1001" s="19">
        <v>5.0</v>
      </c>
      <c r="C1001" s="19" t="s">
        <v>1713</v>
      </c>
      <c r="D1001" s="58" t="str">
        <f t="shared" ref="D1001:D1002" si="799">if(or(I1001=1,J1001=1,S1001=1),"pos","")</f>
        <v/>
      </c>
      <c r="E1001" s="59">
        <f>IFERROR(__xludf.DUMMYFUNCTION("ifna(IFNA(filter('2.1.clean'!C:C,'2.1.clean'!A:A=C1001),filter('2.2.clean'!E:E,'2.2.clean'!D:D=C1001)),filter('2.4.clean'!C:C,'2.4.clean'!A:A=C1001))"),43798.0)</f>
        <v>43798</v>
      </c>
      <c r="F1001" s="60">
        <f>IFERROR(__xludf.DUMMYFUNCTION("iferror(ifna(IFNA(filter('2.1.clean'!E:E,'2.1.clean'!A:A=C1001),filter('2.2.clean'!G:G,'2.2.clean'!D:D=C1001)),filter('2.4.clean'!E:E,'2.4.clean'!A:A=C1001)),)"),2.4)</f>
        <v>2.4</v>
      </c>
      <c r="G1001" s="59">
        <f>IFERROR(__xludf.DUMMYFUNCTION("iferror(filter('3.1.clean'!C:C,'3.1.clean'!A:A=C1001),"""")"),43798.0)</f>
        <v>43798</v>
      </c>
      <c r="H1001" s="58" t="b">
        <f t="shared" si="798"/>
        <v>1</v>
      </c>
      <c r="I1001" s="58">
        <f>IFERROR(__xludf.DUMMYFUNCTION("iferror(filter('3.1.clean'!G:G,'3.1.clean'!A:A=C1001),"""")"),0.0)</f>
        <v>0</v>
      </c>
      <c r="J1001" s="60" t="str">
        <f>IFERROR(__xludf.DUMMYFUNCTION("iferror(filter('3.1.clean'!I:I,'3.1.clean'!A:A=C1001),"""")"),"")</f>
        <v/>
      </c>
      <c r="K1001" s="58"/>
      <c r="L1001" s="60"/>
      <c r="M1001" s="59">
        <f>IFERROR(__xludf.DUMMYFUNCTION("iferror(filter('3.3.clean'!C:C,'3.3.clean'!A:A=C1001),"""")"),43802.0)</f>
        <v>43802</v>
      </c>
      <c r="N1001" s="60" t="b">
        <f t="shared" si="793"/>
        <v>1</v>
      </c>
      <c r="O1001" s="59" t="str">
        <f>IFERROR(__xludf.DUMMYFUNCTION("iferror(filter('3.4.clean'!C:C,'3.4.clean'!A:A=C1001),"""")"),"")</f>
        <v/>
      </c>
      <c r="P1001" s="60" t="b">
        <f t="shared" si="794"/>
        <v>0</v>
      </c>
      <c r="Q1001" s="59" t="str">
        <f>IFERROR(__xludf.DUMMYFUNCTION("iferror(filter('3.5.clean'!C:C,'3.5.clean'!A:A=C1001),"""")"),"")</f>
        <v/>
      </c>
      <c r="R1001" s="58"/>
      <c r="S1001" s="4" t="str">
        <f>IFERROR(__xludf.DUMMYFUNCTION("iferror(filter('3.5.clean'!H:H,'3.5.clean'!A:A=C1001),"""")"),"")</f>
        <v/>
      </c>
      <c r="W1001" s="23" t="b">
        <f>if(AND(H1001=TRUE,N1001=TRUE,P1001=TRUE),TRUE,FALSE)</f>
        <v>0</v>
      </c>
      <c r="X1001" s="23" t="str">
        <f>IFERROR(__xludf.DUMMYFUNCTION("if(COUNTA(FILTER(C:C, C:C = C1001))=1,""no"",""yes"")"),"no")</f>
        <v>no</v>
      </c>
    </row>
    <row r="1002">
      <c r="A1002" s="75" t="s">
        <v>899</v>
      </c>
      <c r="B1002" s="19">
        <v>6.0</v>
      </c>
      <c r="C1002" s="19" t="s">
        <v>1714</v>
      </c>
      <c r="D1002" s="58" t="str">
        <f t="shared" si="799"/>
        <v/>
      </c>
      <c r="E1002" s="59">
        <f>Q1002</f>
        <v>43798</v>
      </c>
      <c r="F1002" s="60" t="str">
        <f>IFERROR(__xludf.DUMMYFUNCTION("iferror(ifna(IFNA(filter('2.1.clean'!E:E,'2.1.clean'!A:A=C1002),filter('2.2.clean'!G:G,'2.2.clean'!D:D=C1002)),filter('2.4.clean'!E:E,'2.4.clean'!A:A=C1002)),)"),"")</f>
        <v/>
      </c>
      <c r="G1002" s="59" t="str">
        <f>IFERROR(__xludf.DUMMYFUNCTION("iferror(filter('3.1.clean'!C:C,'3.1.clean'!A:A=C1002),"""")"),"")</f>
        <v/>
      </c>
      <c r="H1002" s="58"/>
      <c r="I1002" s="58" t="str">
        <f>IFERROR(__xludf.DUMMYFUNCTION("iferror(filter('3.1.clean'!G:G,'3.1.clean'!A:A=C1002),"""")"),"")</f>
        <v/>
      </c>
      <c r="J1002" s="60" t="str">
        <f>IFERROR(__xludf.DUMMYFUNCTION("iferror(filter('3.1.clean'!I:I,'3.1.clean'!A:A=C1002),"""")"),"")</f>
        <v/>
      </c>
      <c r="K1002" s="59"/>
      <c r="L1002" s="60"/>
      <c r="M1002" s="59" t="str">
        <f>IFERROR(__xludf.DUMMYFUNCTION("iferror(filter('3.3.clean'!C:C,'3.3.clean'!A:A=C1002),"""")"),"")</f>
        <v/>
      </c>
      <c r="N1002" s="60" t="b">
        <f t="shared" si="793"/>
        <v>0</v>
      </c>
      <c r="O1002" s="59">
        <f>IFERROR(__xludf.DUMMYFUNCTION("iferror(filter('3.4.clean'!C:C,'3.4.clean'!A:A=C1002),"""")"),43805.0)</f>
        <v>43805</v>
      </c>
      <c r="P1002" s="60" t="b">
        <f t="shared" si="794"/>
        <v>1</v>
      </c>
      <c r="Q1002" s="59">
        <f>IFERROR(__xludf.DUMMYFUNCTION("iferror(filter('3.5.clean'!C:C,'3.5.clean'!A:A=C1002),"""")"),43798.0)</f>
        <v>43798</v>
      </c>
      <c r="R1002" s="58" t="b">
        <f t="shared" ref="R1002:R1003" si="800">if(Q1002="",FALSE,TRUE)</f>
        <v>1</v>
      </c>
      <c r="S1002" s="4">
        <f>IFERROR(__xludf.DUMMYFUNCTION("iferror(filter('3.5.clean'!H:H,'3.5.clean'!A:A=C1002),"""")"),0.0)</f>
        <v>0</v>
      </c>
      <c r="V1002" s="52" t="s">
        <v>64</v>
      </c>
      <c r="W1002" s="23" t="b">
        <f>if(AND(R1002=TRUE,N1002=TRUE,P1002=TRUE),TRUE,FALSE)</f>
        <v>0</v>
      </c>
      <c r="X1002" s="23" t="str">
        <f>IFERROR(__xludf.DUMMYFUNCTION("if(COUNTA(FILTER(C:C, C:C = C1002))=1,""no"",""yes"")"),"no")</f>
        <v>no</v>
      </c>
    </row>
    <row r="1003">
      <c r="A1003" s="75" t="s">
        <v>899</v>
      </c>
      <c r="B1003" s="2">
        <v>7.0</v>
      </c>
      <c r="C1003" s="19" t="s">
        <v>1715</v>
      </c>
      <c r="E1003" s="24">
        <f>IFERROR(__xludf.DUMMYFUNCTION("ifna(IFNA(filter('2.1.clean'!C:C,'2.1.clean'!A:A=C1003),filter('2.2.clean'!E:E,'2.2.clean'!D:D=C1003)),filter('2.4.clean'!C:C,'2.4.clean'!A:A=C1003))"),43798.0)</f>
        <v>43798</v>
      </c>
      <c r="F1003" s="25">
        <f>IFERROR(__xludf.DUMMYFUNCTION("iferror(ifna(IFNA(filter('2.1.clean'!E:E,'2.1.clean'!A:A=C1003),filter('2.2.clean'!G:G,'2.2.clean'!D:D=C1003)),filter('2.4.clean'!E:E,'2.4.clean'!A:A=C1003)),)"),2.4)</f>
        <v>2.4</v>
      </c>
      <c r="G1003" s="24">
        <f>IFERROR(__xludf.DUMMYFUNCTION("iferror(filter('3.1.clean'!C:C,'3.1.clean'!A:A=C1003),"""")"),43798.0)</f>
        <v>43798</v>
      </c>
      <c r="H1003" s="23" t="b">
        <f t="shared" ref="H1003:H1004" si="801">if(G1003="",FALSE,TRUE)</f>
        <v>1</v>
      </c>
      <c r="J1003" s="25"/>
      <c r="K1003" s="24">
        <f>IFERROR(__xludf.DUMMYFUNCTION("iferror(filter('3.2.clean'!C:C,'3.2.clean'!A:A=C1003),"""")"),43798.0)</f>
        <v>43798</v>
      </c>
      <c r="L1003" s="25" t="b">
        <f>if(K1003="",FALSE,TRUE)</f>
        <v>1</v>
      </c>
      <c r="M1003" s="24">
        <f>IFERROR(__xludf.DUMMYFUNCTION("iferror(filter('3.3.clean'!C:C,'3.3.clean'!A:A=C1003),"""")"),43802.0)</f>
        <v>43802</v>
      </c>
      <c r="N1003" s="25" t="b">
        <f t="shared" si="793"/>
        <v>1</v>
      </c>
      <c r="O1003" s="24">
        <f>IFERROR(__xludf.DUMMYFUNCTION("iferror(filter('3.4.clean'!C:C,'3.4.clean'!A:A=C1003),"""")"),43805.0)</f>
        <v>43805</v>
      </c>
      <c r="P1003" s="25" t="b">
        <f t="shared" si="794"/>
        <v>1</v>
      </c>
      <c r="Q1003" s="24">
        <f>IFERROR(__xludf.DUMMYFUNCTION("iferror(filter('3.5.clean'!C:C,'3.5.clean'!A:A=C1003),"""")"),43798.0)</f>
        <v>43798</v>
      </c>
      <c r="R1003" s="23" t="b">
        <f t="shared" si="800"/>
        <v>1</v>
      </c>
      <c r="S1003" s="25"/>
      <c r="V1003" s="1" t="s">
        <v>64</v>
      </c>
      <c r="X1003" s="23" t="str">
        <f>IFERROR(__xludf.DUMMYFUNCTION("if(COUNTA(FILTER(C:C, C:C = C1003))=1,""no"",""yes"")"),"no")</f>
        <v>no</v>
      </c>
    </row>
    <row r="1004">
      <c r="A1004" s="75" t="s">
        <v>899</v>
      </c>
      <c r="B1004" s="19">
        <v>8.0</v>
      </c>
      <c r="C1004" s="19" t="s">
        <v>1716</v>
      </c>
      <c r="D1004" s="58" t="str">
        <f t="shared" ref="D1004:D1007" si="802">if(or(I1004=1,J1004=1,S1004=1),"pos","")</f>
        <v/>
      </c>
      <c r="E1004" s="59">
        <f>IFERROR(__xludf.DUMMYFUNCTION("ifna(IFNA(filter('2.1.clean'!C:C,'2.1.clean'!A:A=C1004),filter('2.2.clean'!E:E,'2.2.clean'!D:D=C1004)),filter('2.4.clean'!C:C,'2.4.clean'!A:A=C1004))"),43798.0)</f>
        <v>43798</v>
      </c>
      <c r="F1004" s="60">
        <f>IFERROR(__xludf.DUMMYFUNCTION("iferror(ifna(IFNA(filter('2.1.clean'!E:E,'2.1.clean'!A:A=C1004),filter('2.2.clean'!G:G,'2.2.clean'!D:D=C1004)),filter('2.4.clean'!E:E,'2.4.clean'!A:A=C1004)),)"),2.4)</f>
        <v>2.4</v>
      </c>
      <c r="G1004" s="59">
        <f>IFERROR(__xludf.DUMMYFUNCTION("iferror(filter('3.1.clean'!C:C,'3.1.clean'!A:A=C1004),"""")"),43798.0)</f>
        <v>43798</v>
      </c>
      <c r="H1004" s="58" t="b">
        <f t="shared" si="801"/>
        <v>1</v>
      </c>
      <c r="I1004" s="58">
        <f>IFERROR(__xludf.DUMMYFUNCTION("iferror(filter('3.1.clean'!G:G,'3.1.clean'!A:A=C1004),"""")"),0.0)</f>
        <v>0</v>
      </c>
      <c r="J1004" s="60" t="str">
        <f>IFERROR(__xludf.DUMMYFUNCTION("iferror(filter('3.1.clean'!I:I,'3.1.clean'!A:A=C1004),"""")"),"")</f>
        <v/>
      </c>
      <c r="K1004" s="58"/>
      <c r="L1004" s="60"/>
      <c r="M1004" s="59" t="str">
        <f>IFERROR(__xludf.DUMMYFUNCTION("iferror(filter('3.3.clean'!C:C,'3.3.clean'!A:A=C1004),"""")"),"")</f>
        <v/>
      </c>
      <c r="N1004" s="60" t="b">
        <f t="shared" si="793"/>
        <v>0</v>
      </c>
      <c r="O1004" s="59" t="str">
        <f>IFERROR(__xludf.DUMMYFUNCTION("iferror(filter('3.4.clean'!C:C,'3.4.clean'!A:A=C1004),"""")"),"")</f>
        <v/>
      </c>
      <c r="P1004" s="60" t="b">
        <f t="shared" si="794"/>
        <v>0</v>
      </c>
      <c r="Q1004" s="59" t="str">
        <f>IFERROR(__xludf.DUMMYFUNCTION("iferror(filter('3.5.clean'!C:C,'3.5.clean'!A:A=C1004),"""")"),"")</f>
        <v/>
      </c>
      <c r="R1004" s="58"/>
      <c r="S1004" s="4" t="str">
        <f>IFERROR(__xludf.DUMMYFUNCTION("iferror(filter('3.5.clean'!H:H,'3.5.clean'!A:A=C1004),"""")"),"")</f>
        <v/>
      </c>
      <c r="W1004" s="23" t="b">
        <f>if(AND(H1004=TRUE,N1004=TRUE,P1004=TRUE),TRUE,FALSE)</f>
        <v>0</v>
      </c>
      <c r="X1004" s="23" t="str">
        <f>IFERROR(__xludf.DUMMYFUNCTION("if(COUNTA(FILTER(C:C, C:C = C1004))=1,""no"",""yes"")"),"no")</f>
        <v>no</v>
      </c>
    </row>
    <row r="1005">
      <c r="A1005" s="75" t="s">
        <v>899</v>
      </c>
      <c r="B1005" s="19">
        <v>9.0</v>
      </c>
      <c r="C1005" s="19" t="s">
        <v>1717</v>
      </c>
      <c r="D1005" s="58" t="str">
        <f t="shared" si="802"/>
        <v/>
      </c>
      <c r="E1005" s="59">
        <f>Q1005</f>
        <v>43798</v>
      </c>
      <c r="F1005" s="60" t="str">
        <f>IFERROR(__xludf.DUMMYFUNCTION("iferror(ifna(IFNA(filter('2.1.clean'!E:E,'2.1.clean'!A:A=C1005),filter('2.2.clean'!G:G,'2.2.clean'!D:D=C1005)),filter('2.4.clean'!E:E,'2.4.clean'!A:A=C1005)),)"),"")</f>
        <v/>
      </c>
      <c r="G1005" s="59" t="str">
        <f>IFERROR(__xludf.DUMMYFUNCTION("iferror(filter('3.1.clean'!C:C,'3.1.clean'!A:A=C1005),"""")"),"")</f>
        <v/>
      </c>
      <c r="H1005" s="58"/>
      <c r="I1005" s="58" t="str">
        <f>IFERROR(__xludf.DUMMYFUNCTION("iferror(filter('3.1.clean'!G:G,'3.1.clean'!A:A=C1005),"""")"),"")</f>
        <v/>
      </c>
      <c r="J1005" s="60" t="str">
        <f>IFERROR(__xludf.DUMMYFUNCTION("iferror(filter('3.1.clean'!I:I,'3.1.clean'!A:A=C1005),"""")"),"")</f>
        <v/>
      </c>
      <c r="K1005" s="59"/>
      <c r="L1005" s="60"/>
      <c r="M1005" s="59" t="str">
        <f>IFERROR(__xludf.DUMMYFUNCTION("iferror(filter('3.3.clean'!C:C,'3.3.clean'!A:A=C1005),"""")"),"")</f>
        <v/>
      </c>
      <c r="N1005" s="60" t="b">
        <f t="shared" si="793"/>
        <v>0</v>
      </c>
      <c r="O1005" s="59" t="str">
        <f>IFERROR(__xludf.DUMMYFUNCTION("iferror(filter('3.4.clean'!C:C,'3.4.clean'!A:A=C1005),"""")"),"")</f>
        <v/>
      </c>
      <c r="P1005" s="60" t="b">
        <f t="shared" si="794"/>
        <v>0</v>
      </c>
      <c r="Q1005" s="59">
        <f>IFERROR(__xludf.DUMMYFUNCTION("iferror(filter('3.5.clean'!C:C,'3.5.clean'!A:A=C1005),"""")"),43798.0)</f>
        <v>43798</v>
      </c>
      <c r="R1005" s="58" t="b">
        <f>if(Q1005="",FALSE,TRUE)</f>
        <v>1</v>
      </c>
      <c r="S1005" s="4">
        <f>IFERROR(__xludf.DUMMYFUNCTION("iferror(filter('3.5.clean'!H:H,'3.5.clean'!A:A=C1005),"""")"),0.0)</f>
        <v>0</v>
      </c>
      <c r="V1005" s="52" t="s">
        <v>64</v>
      </c>
      <c r="W1005" s="23" t="b">
        <f>if(AND(R1005=TRUE,N1005=TRUE,P1005=TRUE),TRUE,FALSE)</f>
        <v>0</v>
      </c>
      <c r="X1005" s="23" t="str">
        <f>IFERROR(__xludf.DUMMYFUNCTION("if(COUNTA(FILTER(C:C, C:C = C1005))=1,""no"",""yes"")"),"no")</f>
        <v>no</v>
      </c>
    </row>
    <row r="1006">
      <c r="A1006" s="75" t="s">
        <v>899</v>
      </c>
      <c r="B1006" s="19">
        <v>10.0</v>
      </c>
      <c r="C1006" s="19" t="s">
        <v>1718</v>
      </c>
      <c r="D1006" s="76" t="str">
        <f t="shared" si="802"/>
        <v/>
      </c>
      <c r="E1006" s="77">
        <f>G1006</f>
        <v>43798</v>
      </c>
      <c r="F1006" s="78" t="str">
        <f>IFERROR(__xludf.DUMMYFUNCTION("iferror(ifna(IFNA(filter('2.1.clean'!E:E,'2.1.clean'!A:A=C1006),filter('2.2.clean'!G:G,'2.2.clean'!D:D=C1006)),filter('2.4.clean'!E:E,'2.4.clean'!A:A=C1006)),)"),"")</f>
        <v/>
      </c>
      <c r="G1006" s="77">
        <f>IFERROR(__xludf.DUMMYFUNCTION("iferror(filter('3.1.clean'!C:C,'3.1.clean'!A:A=C1006),"""")"),43798.0)</f>
        <v>43798</v>
      </c>
      <c r="H1006" s="76" t="b">
        <f>if(G1006="",FALSE,TRUE)</f>
        <v>1</v>
      </c>
      <c r="I1006" s="76">
        <f>IFERROR(__xludf.DUMMYFUNCTION("iferror(filter('3.1.clean'!G:G,'3.1.clean'!A:A=C1006),"""")"),0.0)</f>
        <v>0</v>
      </c>
      <c r="J1006" s="78" t="str">
        <f>IFERROR(__xludf.DUMMYFUNCTION("iferror(filter('3.1.clean'!I:I,'3.1.clean'!A:A=C1006),"""")"),"")</f>
        <v/>
      </c>
      <c r="K1006" s="77"/>
      <c r="L1006" s="78"/>
      <c r="M1006" s="77"/>
      <c r="N1006" s="78"/>
      <c r="O1006" s="77"/>
      <c r="P1006" s="78"/>
      <c r="Q1006" s="77"/>
      <c r="R1006" s="76"/>
      <c r="S1006" s="25"/>
      <c r="V1006" s="1" t="s">
        <v>64</v>
      </c>
      <c r="W1006" s="1" t="b">
        <v>1</v>
      </c>
      <c r="X1006" s="23" t="str">
        <f>IFERROR(__xludf.DUMMYFUNCTION("if(COUNTA(FILTER(C:C, C:C = C1006))=1,""no"",""yes"")"),"no")</f>
        <v>no</v>
      </c>
    </row>
    <row r="1007">
      <c r="A1007" s="75" t="s">
        <v>899</v>
      </c>
      <c r="B1007" s="19">
        <v>11.0</v>
      </c>
      <c r="C1007" s="19" t="s">
        <v>1719</v>
      </c>
      <c r="D1007" s="22" t="str">
        <f t="shared" si="802"/>
        <v/>
      </c>
      <c r="E1007" s="20">
        <f>Q1007</f>
        <v>43798</v>
      </c>
      <c r="F1007" s="79" t="str">
        <f>IFERROR(__xludf.DUMMYFUNCTION("iferror(ifna(IFNA(filter('2.1.clean'!E:E,'2.1.clean'!A:A=C1007),filter('2.2.clean'!G:G,'2.2.clean'!D:D=C1007)),filter('2.4.clean'!E:E,'2.4.clean'!A:A=C1007)),)"),"")</f>
        <v/>
      </c>
      <c r="G1007" s="20" t="str">
        <f>IFERROR(__xludf.DUMMYFUNCTION("iferror(filter('3.1.clean'!C:C,'3.1.clean'!A:A=C1007),"""")"),"")</f>
        <v/>
      </c>
      <c r="H1007" s="22"/>
      <c r="I1007" s="22"/>
      <c r="J1007" s="79"/>
      <c r="K1007" s="20" t="str">
        <f>IFERROR(__xludf.DUMMYFUNCTION("iferror(filter('3.2.clean'!C:C,'3.2.clean'!A:A=C1007),"""")"),"")</f>
        <v/>
      </c>
      <c r="L1007" s="79"/>
      <c r="M1007" s="20" t="str">
        <f>IFERROR(__xludf.DUMMYFUNCTION("iferror(filter('3.3.clean'!C:C,'3.3.clean'!A:A=C1007),"""")"),"")</f>
        <v/>
      </c>
      <c r="N1007" s="79" t="b">
        <f t="shared" ref="N1007:N1013" si="803">if(M1007="",FALSE,TRUE)</f>
        <v>0</v>
      </c>
      <c r="O1007" s="20" t="str">
        <f>IFERROR(__xludf.DUMMYFUNCTION("iferror(filter('3.4.clean'!C:C,'3.4.clean'!A:A=C1007),"""")"),"")</f>
        <v/>
      </c>
      <c r="P1007" s="79" t="b">
        <f t="shared" ref="P1007:P1013" si="804">if(O1007="",FALSE,TRUE)</f>
        <v>0</v>
      </c>
      <c r="Q1007" s="20">
        <f>IFERROR(__xludf.DUMMYFUNCTION("iferror(filter('3.5.clean'!C:C,'3.5.clean'!A:A=C1007),"""")"),43798.0)</f>
        <v>43798</v>
      </c>
      <c r="R1007" s="22" t="b">
        <f t="shared" ref="R1007:R1008" si="805">if(Q1007="",FALSE,TRUE)</f>
        <v>1</v>
      </c>
      <c r="S1007" s="4" t="str">
        <f>IFERROR(__xludf.DUMMYFUNCTION("iferror(filter('3.5.clean'!H:H,'3.5.clean'!A:A=C1007),"""")"),"")</f>
        <v/>
      </c>
      <c r="V1007" s="1" t="s">
        <v>64</v>
      </c>
      <c r="W1007" s="23" t="b">
        <f>IF(and(R1007=TRUE,N1007=TRUE,P1007=TRUE),TRUE,FALSE)</f>
        <v>0</v>
      </c>
      <c r="X1007" s="23" t="str">
        <f>IFERROR(__xludf.DUMMYFUNCTION("if(COUNTA(FILTER(C:C, C:C = C1007))=1,""no"",""yes"")"),"no")</f>
        <v>no</v>
      </c>
    </row>
    <row r="1008">
      <c r="A1008" s="1" t="s">
        <v>904</v>
      </c>
      <c r="B1008" s="2">
        <v>1.0</v>
      </c>
      <c r="C1008" s="19" t="s">
        <v>1720</v>
      </c>
      <c r="E1008" s="24">
        <f>IFERROR(__xludf.DUMMYFUNCTION("ifna(IFNA(filter('2.1.clean'!C:C,'2.1.clean'!A:A=C1008),filter('2.2.clean'!E:E,'2.2.clean'!D:D=C1008)),filter('2.4.clean'!C:C,'2.4.clean'!A:A=C1008))"),43801.0)</f>
        <v>43801</v>
      </c>
      <c r="F1008" s="25">
        <f>IFERROR(__xludf.DUMMYFUNCTION("iferror(ifna(IFNA(filter('2.1.clean'!E:E,'2.1.clean'!A:A=C1008),filter('2.2.clean'!G:G,'2.2.clean'!D:D=C1008)),filter('2.4.clean'!E:E,'2.4.clean'!A:A=C1008)),)"),2.4)</f>
        <v>2.4</v>
      </c>
      <c r="G1008" s="24">
        <f>IFERROR(__xludf.DUMMYFUNCTION("iferror(filter('3.1.clean'!C:C,'3.1.clean'!A:A=C1008),"""")"),43801.0)</f>
        <v>43801</v>
      </c>
      <c r="H1008" s="23" t="b">
        <f t="shared" ref="H1008:H1009" si="806">if(G1008="",FALSE,TRUE)</f>
        <v>1</v>
      </c>
      <c r="J1008" s="25"/>
      <c r="K1008" s="24">
        <f>IFERROR(__xludf.DUMMYFUNCTION("iferror(filter('3.2.clean'!C:C,'3.2.clean'!A:A=C1008),"""")"),43803.0)</f>
        <v>43803</v>
      </c>
      <c r="L1008" s="25" t="b">
        <f>if(K1008="",FALSE,TRUE)</f>
        <v>1</v>
      </c>
      <c r="M1008" s="24">
        <f>IFERROR(__xludf.DUMMYFUNCTION("iferror(filter('3.3.clean'!C:C,'3.3.clean'!A:A=C1008),"""")"),43802.0)</f>
        <v>43802</v>
      </c>
      <c r="N1008" s="25" t="b">
        <f t="shared" si="803"/>
        <v>1</v>
      </c>
      <c r="O1008" s="24">
        <f>IFERROR(__xludf.DUMMYFUNCTION("iferror(filter('3.4.clean'!C:C,'3.4.clean'!A:A=C1008),"""")"),43805.0)</f>
        <v>43805</v>
      </c>
      <c r="P1008" s="25" t="b">
        <f t="shared" si="804"/>
        <v>1</v>
      </c>
      <c r="Q1008" s="24">
        <f>IFERROR(__xludf.DUMMYFUNCTION("iferror(filter('3.5.clean'!C:C,'3.5.clean'!A:A=C1008),"""")"),43801.0)</f>
        <v>43801</v>
      </c>
      <c r="R1008" s="23" t="b">
        <f t="shared" si="805"/>
        <v>1</v>
      </c>
      <c r="S1008" s="25"/>
      <c r="V1008" s="1" t="s">
        <v>64</v>
      </c>
      <c r="X1008" s="23" t="str">
        <f>IFERROR(__xludf.DUMMYFUNCTION("if(COUNTA(FILTER(C:C, C:C = C1008))=1,""no"",""yes"")"),"no")</f>
        <v>no</v>
      </c>
    </row>
    <row r="1009">
      <c r="A1009" s="1" t="s">
        <v>904</v>
      </c>
      <c r="B1009" s="19">
        <v>2.0</v>
      </c>
      <c r="C1009" s="19" t="s">
        <v>1721</v>
      </c>
      <c r="D1009" s="58" t="str">
        <f t="shared" ref="D1009:D1010" si="807">if(or(I1009=1,J1009=1,S1009=1),"pos","")</f>
        <v/>
      </c>
      <c r="E1009" s="59">
        <f>IFERROR(__xludf.DUMMYFUNCTION("ifna(IFNA(filter('2.1.clean'!C:C,'2.1.clean'!A:A=C1009),filter('2.2.clean'!E:E,'2.2.clean'!D:D=C1009)),filter('2.4.clean'!C:C,'2.4.clean'!A:A=C1009))"),43801.0)</f>
        <v>43801</v>
      </c>
      <c r="F1009" s="60">
        <f>IFERROR(__xludf.DUMMYFUNCTION("iferror(ifna(IFNA(filter('2.1.clean'!E:E,'2.1.clean'!A:A=C1009),filter('2.2.clean'!G:G,'2.2.clean'!D:D=C1009)),filter('2.4.clean'!E:E,'2.4.clean'!A:A=C1009)),)"),2.4)</f>
        <v>2.4</v>
      </c>
      <c r="G1009" s="59">
        <f>IFERROR(__xludf.DUMMYFUNCTION("iferror(filter('3.1.clean'!C:C,'3.1.clean'!A:A=C1009),"""")"),43801.0)</f>
        <v>43801</v>
      </c>
      <c r="H1009" s="58" t="b">
        <f t="shared" si="806"/>
        <v>1</v>
      </c>
      <c r="I1009" s="58">
        <f>IFERROR(__xludf.DUMMYFUNCTION("iferror(filter('3.1.clean'!G:G,'3.1.clean'!A:A=C1009),"""")"),0.0)</f>
        <v>0</v>
      </c>
      <c r="J1009" s="60" t="str">
        <f>IFERROR(__xludf.DUMMYFUNCTION("iferror(filter('3.1.clean'!I:I,'3.1.clean'!A:A=C1009),"""")"),"")</f>
        <v/>
      </c>
      <c r="K1009" s="58"/>
      <c r="L1009" s="60"/>
      <c r="M1009" s="59">
        <f>IFERROR(__xludf.DUMMYFUNCTION("iferror(filter('3.3.clean'!C:C,'3.3.clean'!A:A=C1009),"""")"),43802.0)</f>
        <v>43802</v>
      </c>
      <c r="N1009" s="60" t="b">
        <f t="shared" si="803"/>
        <v>1</v>
      </c>
      <c r="O1009" s="59" t="str">
        <f>IFERROR(__xludf.DUMMYFUNCTION("iferror(filter('3.4.clean'!C:C,'3.4.clean'!A:A=C1009),"""")"),"")</f>
        <v/>
      </c>
      <c r="P1009" s="60" t="b">
        <f t="shared" si="804"/>
        <v>0</v>
      </c>
      <c r="Q1009" s="59" t="str">
        <f>IFERROR(__xludf.DUMMYFUNCTION("iferror(filter('3.5.clean'!C:C,'3.5.clean'!A:A=C1009),"""")"),"")</f>
        <v/>
      </c>
      <c r="R1009" s="58"/>
      <c r="S1009" s="4" t="str">
        <f>IFERROR(__xludf.DUMMYFUNCTION("iferror(filter('3.5.clean'!H:H,'3.5.clean'!A:A=C1009),"""")"),"")</f>
        <v/>
      </c>
      <c r="W1009" s="23" t="b">
        <f>if(AND(H1009=TRUE,N1009=TRUE,P1009=TRUE),TRUE,FALSE)</f>
        <v>0</v>
      </c>
      <c r="X1009" s="23" t="str">
        <f>IFERROR(__xludf.DUMMYFUNCTION("if(COUNTA(FILTER(C:C, C:C = C1009))=1,""no"",""yes"")"),"no")</f>
        <v>no</v>
      </c>
    </row>
    <row r="1010">
      <c r="A1010" s="1" t="s">
        <v>904</v>
      </c>
      <c r="B1010" s="19">
        <v>3.0</v>
      </c>
      <c r="C1010" s="19" t="s">
        <v>1722</v>
      </c>
      <c r="D1010" s="58" t="str">
        <f t="shared" si="807"/>
        <v/>
      </c>
      <c r="E1010" s="59">
        <f>Q1010</f>
        <v>43801</v>
      </c>
      <c r="F1010" s="60" t="str">
        <f>IFERROR(__xludf.DUMMYFUNCTION("iferror(ifna(IFNA(filter('2.1.clean'!E:E,'2.1.clean'!A:A=C1010),filter('2.2.clean'!G:G,'2.2.clean'!D:D=C1010)),filter('2.4.clean'!E:E,'2.4.clean'!A:A=C1010)),)"),"")</f>
        <v/>
      </c>
      <c r="G1010" s="59" t="str">
        <f>IFERROR(__xludf.DUMMYFUNCTION("iferror(filter('3.1.clean'!C:C,'3.1.clean'!A:A=C1010),"""")"),"")</f>
        <v/>
      </c>
      <c r="H1010" s="58"/>
      <c r="I1010" s="58" t="str">
        <f>IFERROR(__xludf.DUMMYFUNCTION("iferror(filter('3.1.clean'!G:G,'3.1.clean'!A:A=C1010),"""")"),"")</f>
        <v/>
      </c>
      <c r="J1010" s="60" t="str">
        <f>IFERROR(__xludf.DUMMYFUNCTION("iferror(filter('3.1.clean'!I:I,'3.1.clean'!A:A=C1010),"""")"),"")</f>
        <v/>
      </c>
      <c r="K1010" s="59"/>
      <c r="L1010" s="60"/>
      <c r="M1010" s="59" t="str">
        <f>IFERROR(__xludf.DUMMYFUNCTION("iferror(filter('3.3.clean'!C:C,'3.3.clean'!A:A=C1010),"""")"),"")</f>
        <v/>
      </c>
      <c r="N1010" s="60" t="b">
        <f t="shared" si="803"/>
        <v>0</v>
      </c>
      <c r="O1010" s="59" t="str">
        <f>IFERROR(__xludf.DUMMYFUNCTION("iferror(filter('3.4.clean'!C:C,'3.4.clean'!A:A=C1010),"""")"),"")</f>
        <v/>
      </c>
      <c r="P1010" s="60" t="b">
        <f t="shared" si="804"/>
        <v>0</v>
      </c>
      <c r="Q1010" s="59">
        <f>IFERROR(__xludf.DUMMYFUNCTION("iferror(filter('3.5.clean'!C:C,'3.5.clean'!A:A=C1010),"""")"),43801.0)</f>
        <v>43801</v>
      </c>
      <c r="R1010" s="58" t="b">
        <f t="shared" ref="R1010:R1011" si="808">if(Q1010="",FALSE,TRUE)</f>
        <v>1</v>
      </c>
      <c r="S1010" s="4">
        <f>IFERROR(__xludf.DUMMYFUNCTION("iferror(filter('3.5.clean'!H:H,'3.5.clean'!A:A=C1010),"""")"),0.0)</f>
        <v>0</v>
      </c>
      <c r="V1010" s="52" t="s">
        <v>64</v>
      </c>
      <c r="W1010" s="23" t="b">
        <f>if(AND(R1010=TRUE,N1010=TRUE,P1010=TRUE),TRUE,FALSE)</f>
        <v>0</v>
      </c>
      <c r="X1010" s="23" t="str">
        <f>IFERROR(__xludf.DUMMYFUNCTION("if(COUNTA(FILTER(C:C, C:C = C1010))=1,""no"",""yes"")"),"no")</f>
        <v>no</v>
      </c>
    </row>
    <row r="1011">
      <c r="A1011" s="1" t="s">
        <v>904</v>
      </c>
      <c r="B1011" s="2">
        <v>4.0</v>
      </c>
      <c r="C1011" s="19" t="s">
        <v>1723</v>
      </c>
      <c r="E1011" s="24">
        <f>IFERROR(__xludf.DUMMYFUNCTION("ifna(IFNA(filter('2.1.clean'!C:C,'2.1.clean'!A:A=C1011),filter('2.2.clean'!E:E,'2.2.clean'!D:D=C1011)),filter('2.4.clean'!C:C,'2.4.clean'!A:A=C1011))"),43801.0)</f>
        <v>43801</v>
      </c>
      <c r="F1011" s="25">
        <f>IFERROR(__xludf.DUMMYFUNCTION("iferror(ifna(IFNA(filter('2.1.clean'!E:E,'2.1.clean'!A:A=C1011),filter('2.2.clean'!G:G,'2.2.clean'!D:D=C1011)),filter('2.4.clean'!E:E,'2.4.clean'!A:A=C1011)),)"),2.4)</f>
        <v>2.4</v>
      </c>
      <c r="G1011" s="24">
        <f>IFERROR(__xludf.DUMMYFUNCTION("iferror(filter('3.1.clean'!C:C,'3.1.clean'!A:A=C1011),"""")"),43801.0)</f>
        <v>43801</v>
      </c>
      <c r="H1011" s="23" t="b">
        <f t="shared" ref="H1011:H1012" si="809">if(G1011="",FALSE,TRUE)</f>
        <v>1</v>
      </c>
      <c r="J1011" s="25"/>
      <c r="K1011" s="24">
        <f>IFERROR(__xludf.DUMMYFUNCTION("iferror(filter('3.2.clean'!C:C,'3.2.clean'!A:A=C1011),"""")"),43803.0)</f>
        <v>43803</v>
      </c>
      <c r="L1011" s="25" t="b">
        <f>if(K1011="",FALSE,TRUE)</f>
        <v>1</v>
      </c>
      <c r="M1011" s="24">
        <f>IFERROR(__xludf.DUMMYFUNCTION("iferror(filter('3.3.clean'!C:C,'3.3.clean'!A:A=C1011),"""")"),43802.0)</f>
        <v>43802</v>
      </c>
      <c r="N1011" s="25" t="b">
        <f t="shared" si="803"/>
        <v>1</v>
      </c>
      <c r="O1011" s="24">
        <f>IFERROR(__xludf.DUMMYFUNCTION("iferror(filter('3.4.clean'!C:C,'3.4.clean'!A:A=C1011),"""")"),43805.0)</f>
        <v>43805</v>
      </c>
      <c r="P1011" s="25" t="b">
        <f t="shared" si="804"/>
        <v>1</v>
      </c>
      <c r="Q1011" s="24">
        <f>IFERROR(__xludf.DUMMYFUNCTION("iferror(filter('3.5.clean'!C:C,'3.5.clean'!A:A=C1011),"""")"),43801.0)</f>
        <v>43801</v>
      </c>
      <c r="R1011" s="23" t="b">
        <f t="shared" si="808"/>
        <v>1</v>
      </c>
      <c r="S1011" s="25"/>
      <c r="V1011" s="1" t="s">
        <v>64</v>
      </c>
      <c r="X1011" s="23" t="str">
        <f>IFERROR(__xludf.DUMMYFUNCTION("if(COUNTA(FILTER(C:C, C:C = C1011))=1,""no"",""yes"")"),"no")</f>
        <v>no</v>
      </c>
    </row>
    <row r="1012">
      <c r="A1012" s="1" t="s">
        <v>904</v>
      </c>
      <c r="B1012" s="19">
        <v>5.0</v>
      </c>
      <c r="C1012" s="19" t="s">
        <v>1724</v>
      </c>
      <c r="D1012" s="58" t="str">
        <f t="shared" ref="D1012:D1015" si="810">if(or(I1012=1,J1012=1,S1012=1),"pos","")</f>
        <v/>
      </c>
      <c r="E1012" s="59">
        <f>IFERROR(__xludf.DUMMYFUNCTION("ifna(IFNA(filter('2.1.clean'!C:C,'2.1.clean'!A:A=C1012),filter('2.2.clean'!E:E,'2.2.clean'!D:D=C1012)),filter('2.4.clean'!C:C,'2.4.clean'!A:A=C1012))"),43801.0)</f>
        <v>43801</v>
      </c>
      <c r="F1012" s="60">
        <f>IFERROR(__xludf.DUMMYFUNCTION("iferror(ifna(IFNA(filter('2.1.clean'!E:E,'2.1.clean'!A:A=C1012),filter('2.2.clean'!G:G,'2.2.clean'!D:D=C1012)),filter('2.4.clean'!E:E,'2.4.clean'!A:A=C1012)),)"),2.4)</f>
        <v>2.4</v>
      </c>
      <c r="G1012" s="59">
        <f>IFERROR(__xludf.DUMMYFUNCTION("iferror(filter('3.1.clean'!C:C,'3.1.clean'!A:A=C1012),"""")"),43801.0)</f>
        <v>43801</v>
      </c>
      <c r="H1012" s="58" t="b">
        <f t="shared" si="809"/>
        <v>1</v>
      </c>
      <c r="I1012" s="58">
        <f>IFERROR(__xludf.DUMMYFUNCTION("iferror(filter('3.1.clean'!G:G,'3.1.clean'!A:A=C1012),"""")"),0.0)</f>
        <v>0</v>
      </c>
      <c r="J1012" s="60" t="str">
        <f>IFERROR(__xludf.DUMMYFUNCTION("iferror(filter('3.1.clean'!I:I,'3.1.clean'!A:A=C1012),"""")"),"")</f>
        <v/>
      </c>
      <c r="K1012" s="58"/>
      <c r="L1012" s="60"/>
      <c r="M1012" s="59" t="str">
        <f>IFERROR(__xludf.DUMMYFUNCTION("iferror(filter('3.3.clean'!C:C,'3.3.clean'!A:A=C1012),"""")"),"")</f>
        <v/>
      </c>
      <c r="N1012" s="60" t="b">
        <f t="shared" si="803"/>
        <v>0</v>
      </c>
      <c r="O1012" s="59" t="str">
        <f>IFERROR(__xludf.DUMMYFUNCTION("iferror(filter('3.4.clean'!C:C,'3.4.clean'!A:A=C1012),"""")"),"")</f>
        <v/>
      </c>
      <c r="P1012" s="60" t="b">
        <f t="shared" si="804"/>
        <v>0</v>
      </c>
      <c r="Q1012" s="59" t="str">
        <f>IFERROR(__xludf.DUMMYFUNCTION("iferror(filter('3.5.clean'!C:C,'3.5.clean'!A:A=C1012),"""")"),"")</f>
        <v/>
      </c>
      <c r="R1012" s="58"/>
      <c r="S1012" s="4" t="str">
        <f>IFERROR(__xludf.DUMMYFUNCTION("iferror(filter('3.5.clean'!H:H,'3.5.clean'!A:A=C1012),"""")"),"")</f>
        <v/>
      </c>
      <c r="W1012" s="23" t="b">
        <f>if(AND(H1012=TRUE,N1012=TRUE,P1012=TRUE),TRUE,FALSE)</f>
        <v>0</v>
      </c>
      <c r="X1012" s="23" t="str">
        <f>IFERROR(__xludf.DUMMYFUNCTION("if(COUNTA(FILTER(C:C, C:C = C1012))=1,""no"",""yes"")"),"no")</f>
        <v>no</v>
      </c>
    </row>
    <row r="1013">
      <c r="A1013" s="1" t="s">
        <v>904</v>
      </c>
      <c r="B1013" s="19">
        <v>6.0</v>
      </c>
      <c r="C1013" s="19" t="s">
        <v>1725</v>
      </c>
      <c r="D1013" s="58" t="str">
        <f t="shared" si="810"/>
        <v/>
      </c>
      <c r="E1013" s="59">
        <f>Q1013</f>
        <v>43801</v>
      </c>
      <c r="F1013" s="60" t="str">
        <f>IFERROR(__xludf.DUMMYFUNCTION("iferror(ifna(IFNA(filter('2.1.clean'!E:E,'2.1.clean'!A:A=C1013),filter('2.2.clean'!G:G,'2.2.clean'!D:D=C1013)),filter('2.4.clean'!E:E,'2.4.clean'!A:A=C1013)),)"),"")</f>
        <v/>
      </c>
      <c r="G1013" s="59" t="str">
        <f>IFERROR(__xludf.DUMMYFUNCTION("iferror(filter('3.1.clean'!C:C,'3.1.clean'!A:A=C1013),"""")"),"")</f>
        <v/>
      </c>
      <c r="H1013" s="58"/>
      <c r="I1013" s="58" t="str">
        <f>IFERROR(__xludf.DUMMYFUNCTION("iferror(filter('3.1.clean'!G:G,'3.1.clean'!A:A=C1013),"""")"),"")</f>
        <v/>
      </c>
      <c r="J1013" s="60" t="str">
        <f>IFERROR(__xludf.DUMMYFUNCTION("iferror(filter('3.1.clean'!I:I,'3.1.clean'!A:A=C1013),"""")"),"")</f>
        <v/>
      </c>
      <c r="K1013" s="59"/>
      <c r="L1013" s="60"/>
      <c r="M1013" s="59" t="str">
        <f>IFERROR(__xludf.DUMMYFUNCTION("iferror(filter('3.3.clean'!C:C,'3.3.clean'!A:A=C1013),"""")"),"")</f>
        <v/>
      </c>
      <c r="N1013" s="60" t="b">
        <f t="shared" si="803"/>
        <v>0</v>
      </c>
      <c r="O1013" s="59" t="str">
        <f>IFERROR(__xludf.DUMMYFUNCTION("iferror(filter('3.4.clean'!C:C,'3.4.clean'!A:A=C1013),"""")"),"")</f>
        <v/>
      </c>
      <c r="P1013" s="60" t="b">
        <f t="shared" si="804"/>
        <v>0</v>
      </c>
      <c r="Q1013" s="59">
        <f>IFERROR(__xludf.DUMMYFUNCTION("iferror(filter('3.5.clean'!C:C,'3.5.clean'!A:A=C1013),"""")"),43801.0)</f>
        <v>43801</v>
      </c>
      <c r="R1013" s="58" t="b">
        <f>if(Q1013="",FALSE,TRUE)</f>
        <v>1</v>
      </c>
      <c r="S1013" s="4">
        <f>IFERROR(__xludf.DUMMYFUNCTION("iferror(filter('3.5.clean'!H:H,'3.5.clean'!A:A=C1013),"""")"),0.0)</f>
        <v>0</v>
      </c>
      <c r="V1013" s="52" t="s">
        <v>64</v>
      </c>
      <c r="W1013" s="23" t="b">
        <f>if(AND(R1013=TRUE,N1013=TRUE,P1013=TRUE),TRUE,FALSE)</f>
        <v>0</v>
      </c>
      <c r="X1013" s="23" t="str">
        <f>IFERROR(__xludf.DUMMYFUNCTION("if(COUNTA(FILTER(C:C, C:C = C1013))=1,""no"",""yes"")"),"no")</f>
        <v>no</v>
      </c>
    </row>
    <row r="1014">
      <c r="A1014" s="1" t="s">
        <v>904</v>
      </c>
      <c r="B1014" s="19">
        <v>7.0</v>
      </c>
      <c r="C1014" s="19" t="s">
        <v>1726</v>
      </c>
      <c r="D1014" s="76" t="str">
        <f t="shared" si="810"/>
        <v/>
      </c>
      <c r="E1014" s="77">
        <f>G1014</f>
        <v>43801</v>
      </c>
      <c r="F1014" s="78" t="str">
        <f>IFERROR(__xludf.DUMMYFUNCTION("iferror(ifna(IFNA(filter('2.1.clean'!E:E,'2.1.clean'!A:A=C1014),filter('2.2.clean'!G:G,'2.2.clean'!D:D=C1014)),filter('2.4.clean'!E:E,'2.4.clean'!A:A=C1014)),)"),"")</f>
        <v/>
      </c>
      <c r="G1014" s="77">
        <f>IFERROR(__xludf.DUMMYFUNCTION("iferror(filter('3.1.clean'!C:C,'3.1.clean'!A:A=C1014),"""")"),43801.0)</f>
        <v>43801</v>
      </c>
      <c r="H1014" s="76" t="b">
        <f>if(G1014="",FALSE,TRUE)</f>
        <v>1</v>
      </c>
      <c r="I1014" s="76">
        <f>IFERROR(__xludf.DUMMYFUNCTION("iferror(filter('3.1.clean'!G:G,'3.1.clean'!A:A=C1014),"""")"),0.0)</f>
        <v>0</v>
      </c>
      <c r="J1014" s="78" t="str">
        <f>IFERROR(__xludf.DUMMYFUNCTION("iferror(filter('3.1.clean'!I:I,'3.1.clean'!A:A=C1014),"""")"),"")</f>
        <v/>
      </c>
      <c r="K1014" s="77"/>
      <c r="L1014" s="78"/>
      <c r="M1014" s="77"/>
      <c r="N1014" s="78"/>
      <c r="O1014" s="77"/>
      <c r="P1014" s="78"/>
      <c r="Q1014" s="77"/>
      <c r="R1014" s="76"/>
      <c r="S1014" s="25"/>
      <c r="V1014" s="1" t="s">
        <v>64</v>
      </c>
      <c r="W1014" s="1" t="b">
        <v>1</v>
      </c>
      <c r="X1014" s="23" t="str">
        <f>IFERROR(__xludf.DUMMYFUNCTION("if(COUNTA(FILTER(C:C, C:C = C1014))=1,""no"",""yes"")"),"no")</f>
        <v>no</v>
      </c>
    </row>
    <row r="1015">
      <c r="A1015" s="1" t="s">
        <v>904</v>
      </c>
      <c r="B1015" s="19">
        <v>8.0</v>
      </c>
      <c r="C1015" s="19" t="s">
        <v>1727</v>
      </c>
      <c r="D1015" s="22" t="str">
        <f t="shared" si="810"/>
        <v/>
      </c>
      <c r="E1015" s="20">
        <f>Q1015</f>
        <v>43801</v>
      </c>
      <c r="F1015" s="79" t="str">
        <f>IFERROR(__xludf.DUMMYFUNCTION("iferror(ifna(IFNA(filter('2.1.clean'!E:E,'2.1.clean'!A:A=C1015),filter('2.2.clean'!G:G,'2.2.clean'!D:D=C1015)),filter('2.4.clean'!E:E,'2.4.clean'!A:A=C1015)),)"),"")</f>
        <v/>
      </c>
      <c r="G1015" s="20" t="str">
        <f>IFERROR(__xludf.DUMMYFUNCTION("iferror(filter('3.1.clean'!C:C,'3.1.clean'!A:A=C1015),"""")"),"")</f>
        <v/>
      </c>
      <c r="H1015" s="22"/>
      <c r="I1015" s="22"/>
      <c r="J1015" s="79"/>
      <c r="K1015" s="20" t="str">
        <f>IFERROR(__xludf.DUMMYFUNCTION("iferror(filter('3.2.clean'!C:C,'3.2.clean'!A:A=C1015),"""")"),"")</f>
        <v/>
      </c>
      <c r="L1015" s="79"/>
      <c r="M1015" s="20" t="str">
        <f>IFERROR(__xludf.DUMMYFUNCTION("iferror(filter('3.3.clean'!C:C,'3.3.clean'!A:A=C1015),"""")"),"")</f>
        <v/>
      </c>
      <c r="N1015" s="79" t="b">
        <f t="shared" ref="N1015:N1032" si="811">if(M1015="",FALSE,TRUE)</f>
        <v>0</v>
      </c>
      <c r="O1015" s="20" t="str">
        <f>IFERROR(__xludf.DUMMYFUNCTION("iferror(filter('3.4.clean'!C:C,'3.4.clean'!A:A=C1015),"""")"),"")</f>
        <v/>
      </c>
      <c r="P1015" s="79" t="b">
        <f t="shared" ref="P1015:P1032" si="812">if(O1015="",FALSE,TRUE)</f>
        <v>0</v>
      </c>
      <c r="Q1015" s="20">
        <f>IFERROR(__xludf.DUMMYFUNCTION("iferror(filter('3.5.clean'!C:C,'3.5.clean'!A:A=C1015),"""")"),43801.0)</f>
        <v>43801</v>
      </c>
      <c r="R1015" s="22" t="b">
        <f>if(Q1015="",FALSE,TRUE)</f>
        <v>1</v>
      </c>
      <c r="S1015" s="4" t="str">
        <f>IFERROR(__xludf.DUMMYFUNCTION("iferror(filter('3.5.clean'!H:H,'3.5.clean'!A:A=C1015),"""")"),"")</f>
        <v/>
      </c>
      <c r="V1015" s="1" t="s">
        <v>64</v>
      </c>
      <c r="W1015" s="23" t="b">
        <f>IF(and(R1015=TRUE,N1015=TRUE,P1015=TRUE),TRUE,FALSE)</f>
        <v>0</v>
      </c>
      <c r="X1015" s="23" t="str">
        <f>IFERROR(__xludf.DUMMYFUNCTION("if(COUNTA(FILTER(C:C, C:C = C1015))=1,""no"",""yes"")"),"no")</f>
        <v>no</v>
      </c>
    </row>
    <row r="1016">
      <c r="A1016" s="1" t="s">
        <v>904</v>
      </c>
      <c r="B1016" s="2">
        <v>9.0</v>
      </c>
      <c r="C1016" s="19" t="s">
        <v>1728</v>
      </c>
      <c r="E1016" s="24">
        <v>43801.0</v>
      </c>
      <c r="F1016" s="25" t="str">
        <f>IFERROR(__xludf.DUMMYFUNCTION("iferror(ifna(IFNA(filter('2.1.clean'!E:E,'2.1.clean'!A:A=C1016),filter('2.2.clean'!G:G,'2.2.clean'!D:D=C1016)),filter('2.4.clean'!E:E,'2.4.clean'!A:A=C1016)),)"),"")</f>
        <v/>
      </c>
      <c r="G1016" s="24" t="str">
        <f>IFERROR(__xludf.DUMMYFUNCTION("iferror(filter('3.1.clean'!C:C,'3.1.clean'!A:A=C1016),"""")"),"")</f>
        <v/>
      </c>
      <c r="J1016" s="25"/>
      <c r="K1016" s="24" t="str">
        <f>IFERROR(__xludf.DUMMYFUNCTION("iferror(filter('3.2.clean'!C:C,'3.2.clean'!A:A=C1016),"""")"),"")</f>
        <v/>
      </c>
      <c r="L1016" s="25"/>
      <c r="M1016" s="24">
        <f>IFERROR(__xludf.DUMMYFUNCTION("iferror(filter('3.3.clean'!C:C,'3.3.clean'!A:A=C1016),"""")"),43802.0)</f>
        <v>43802</v>
      </c>
      <c r="N1016" s="25" t="b">
        <f t="shared" si="811"/>
        <v>1</v>
      </c>
      <c r="O1016" s="24">
        <f>IFERROR(__xludf.DUMMYFUNCTION("iferror(filter('3.4.clean'!C:C,'3.4.clean'!A:A=C1016),"""")"),43805.0)</f>
        <v>43805</v>
      </c>
      <c r="P1016" s="25" t="b">
        <f t="shared" si="812"/>
        <v>1</v>
      </c>
      <c r="Q1016" s="24" t="str">
        <f>IFERROR(__xludf.DUMMYFUNCTION("iferror(filter('3.5.clean'!C:C,'3.5.clean'!A:A=C1016),"""")"),"")</f>
        <v/>
      </c>
      <c r="S1016" s="25"/>
      <c r="V1016" s="52" t="s">
        <v>64</v>
      </c>
      <c r="X1016" s="23" t="str">
        <f>IFERROR(__xludf.DUMMYFUNCTION("if(COUNTA(FILTER(C:C, C:C = C1016))=1,""no"",""yes"")"),"no")</f>
        <v>no</v>
      </c>
    </row>
    <row r="1017">
      <c r="A1017" s="75" t="s">
        <v>908</v>
      </c>
      <c r="B1017" s="2">
        <v>1.0</v>
      </c>
      <c r="C1017" s="19" t="s">
        <v>1729</v>
      </c>
      <c r="E1017" s="24">
        <f>IFERROR(__xludf.DUMMYFUNCTION("ifna(IFNA(filter('2.1.clean'!C:C,'2.1.clean'!A:A=C1017),filter('2.2.clean'!E:E,'2.2.clean'!D:D=C1017)),filter('2.4.clean'!C:C,'2.4.clean'!A:A=C1017))"),43802.0)</f>
        <v>43802</v>
      </c>
      <c r="F1017" s="25">
        <f>IFERROR(__xludf.DUMMYFUNCTION("iferror(ifna(IFNA(filter('2.1.clean'!E:E,'2.1.clean'!A:A=C1017),filter('2.2.clean'!G:G,'2.2.clean'!D:D=C1017)),filter('2.4.clean'!E:E,'2.4.clean'!A:A=C1017)),)"),2.4)</f>
        <v>2.4</v>
      </c>
      <c r="G1017" s="24"/>
      <c r="J1017" s="25"/>
      <c r="K1017" s="24"/>
      <c r="L1017" s="25"/>
      <c r="M1017" s="24">
        <f>IFERROR(__xludf.DUMMYFUNCTION("iferror(filter('3.3.clean'!C:C,'3.3.clean'!A:A=C1017),"""")"),43804.0)</f>
        <v>43804</v>
      </c>
      <c r="N1017" s="25" t="b">
        <f t="shared" si="811"/>
        <v>1</v>
      </c>
      <c r="O1017" s="24">
        <f>IFERROR(__xludf.DUMMYFUNCTION("iferror(filter('3.4.clean'!C:C,'3.4.clean'!A:A=C1017),"""")"),43805.0)</f>
        <v>43805</v>
      </c>
      <c r="P1017" s="25" t="b">
        <f t="shared" si="812"/>
        <v>1</v>
      </c>
      <c r="Q1017" s="24">
        <f>IFERROR(__xludf.DUMMYFUNCTION("iferror(filter('3.5.clean'!C:C,'3.5.clean'!A:A=C1017),"""")"),43802.0)</f>
        <v>43802</v>
      </c>
      <c r="R1017" s="23" t="b">
        <f>if(Q1017="",FALSE,TRUE)</f>
        <v>1</v>
      </c>
      <c r="S1017" s="25"/>
      <c r="V1017" s="52" t="s">
        <v>64</v>
      </c>
      <c r="W1017" s="23" t="b">
        <f>IF(and(R1017=TRUE,N1017=TRUE,P1017=TRUE),TRUE,FALSE)</f>
        <v>1</v>
      </c>
      <c r="X1017" s="23" t="str">
        <f>IFERROR(__xludf.DUMMYFUNCTION("if(COUNTA(FILTER(C:C, C:C = C1017))=1,""no"",""yes"")"),"no")</f>
        <v>no</v>
      </c>
    </row>
    <row r="1018">
      <c r="A1018" s="75" t="s">
        <v>908</v>
      </c>
      <c r="B1018" s="19">
        <v>2.0</v>
      </c>
      <c r="C1018" s="19" t="s">
        <v>1730</v>
      </c>
      <c r="D1018" s="58" t="str">
        <f t="shared" ref="D1018:D1019" si="813">if(or(I1018=1,J1018=1,S1018=1),"pos","")</f>
        <v/>
      </c>
      <c r="E1018" s="59">
        <f>IFERROR(__xludf.DUMMYFUNCTION("ifna(IFNA(filter('2.1.clean'!C:C,'2.1.clean'!A:A=C1018),filter('2.2.clean'!E:E,'2.2.clean'!D:D=C1018)),filter('2.4.clean'!C:C,'2.4.clean'!A:A=C1018))"),43802.0)</f>
        <v>43802</v>
      </c>
      <c r="F1018" s="60">
        <f>IFERROR(__xludf.DUMMYFUNCTION("iferror(ifna(IFNA(filter('2.1.clean'!E:E,'2.1.clean'!A:A=C1018),filter('2.2.clean'!G:G,'2.2.clean'!D:D=C1018)),filter('2.4.clean'!E:E,'2.4.clean'!A:A=C1018)),)"),2.4)</f>
        <v>2.4</v>
      </c>
      <c r="G1018" s="59">
        <f>IFERROR(__xludf.DUMMYFUNCTION("iferror(filter('3.1.clean'!C:C,'3.1.clean'!A:A=C1018),"""")"),43802.0)</f>
        <v>43802</v>
      </c>
      <c r="H1018" s="58" t="b">
        <f>if(G1018="",FALSE,TRUE)</f>
        <v>1</v>
      </c>
      <c r="I1018" s="58">
        <f>IFERROR(__xludf.DUMMYFUNCTION("iferror(filter('3.1.clean'!G:G,'3.1.clean'!A:A=C1018),"""")"),0.0)</f>
        <v>0</v>
      </c>
      <c r="J1018" s="60" t="str">
        <f>IFERROR(__xludf.DUMMYFUNCTION("iferror(filter('3.1.clean'!I:I,'3.1.clean'!A:A=C1018),"""")"),"")</f>
        <v/>
      </c>
      <c r="K1018" s="58"/>
      <c r="L1018" s="60"/>
      <c r="M1018" s="59" t="str">
        <f>IFERROR(__xludf.DUMMYFUNCTION("iferror(filter('3.3.clean'!C:C,'3.3.clean'!A:A=C1018),"""")"),"")</f>
        <v/>
      </c>
      <c r="N1018" s="60" t="b">
        <f t="shared" si="811"/>
        <v>0</v>
      </c>
      <c r="O1018" s="59" t="str">
        <f>IFERROR(__xludf.DUMMYFUNCTION("iferror(filter('3.4.clean'!C:C,'3.4.clean'!A:A=C1018),"""")"),"")</f>
        <v/>
      </c>
      <c r="P1018" s="60" t="b">
        <f t="shared" si="812"/>
        <v>0</v>
      </c>
      <c r="Q1018" s="59" t="str">
        <f>IFERROR(__xludf.DUMMYFUNCTION("iferror(filter('3.5.clean'!C:C,'3.5.clean'!A:A=C1018),"""")"),"")</f>
        <v/>
      </c>
      <c r="R1018" s="58"/>
      <c r="S1018" s="4" t="str">
        <f>IFERROR(__xludf.DUMMYFUNCTION("iferror(filter('3.5.clean'!H:H,'3.5.clean'!A:A=C1018),"""")"),"")</f>
        <v/>
      </c>
      <c r="W1018" s="23" t="b">
        <f>if(AND(H1018=TRUE,N1018=TRUE,P1018=TRUE),TRUE,FALSE)</f>
        <v>0</v>
      </c>
      <c r="X1018" s="23" t="str">
        <f>IFERROR(__xludf.DUMMYFUNCTION("if(COUNTA(FILTER(C:C, C:C = C1018))=1,""no"",""yes"")"),"no")</f>
        <v>no</v>
      </c>
    </row>
    <row r="1019">
      <c r="A1019" s="75" t="s">
        <v>908</v>
      </c>
      <c r="B1019" s="19">
        <v>3.0</v>
      </c>
      <c r="C1019" s="19" t="s">
        <v>1731</v>
      </c>
      <c r="D1019" s="58" t="str">
        <f t="shared" si="813"/>
        <v/>
      </c>
      <c r="E1019" s="59">
        <f>Q1019</f>
        <v>43802</v>
      </c>
      <c r="F1019" s="60" t="str">
        <f>IFERROR(__xludf.DUMMYFUNCTION("iferror(ifna(IFNA(filter('2.1.clean'!E:E,'2.1.clean'!A:A=C1019),filter('2.2.clean'!G:G,'2.2.clean'!D:D=C1019)),filter('2.4.clean'!E:E,'2.4.clean'!A:A=C1019)),)"),"")</f>
        <v/>
      </c>
      <c r="G1019" s="59" t="str">
        <f>IFERROR(__xludf.DUMMYFUNCTION("iferror(filter('3.1.clean'!C:C,'3.1.clean'!A:A=C1019),"""")"),"")</f>
        <v/>
      </c>
      <c r="H1019" s="58"/>
      <c r="I1019" s="58" t="str">
        <f>IFERROR(__xludf.DUMMYFUNCTION("iferror(filter('3.1.clean'!G:G,'3.1.clean'!A:A=C1019),"""")"),"")</f>
        <v/>
      </c>
      <c r="J1019" s="60" t="str">
        <f>IFERROR(__xludf.DUMMYFUNCTION("iferror(filter('3.1.clean'!I:I,'3.1.clean'!A:A=C1019),"""")"),"")</f>
        <v/>
      </c>
      <c r="K1019" s="59"/>
      <c r="L1019" s="60"/>
      <c r="M1019" s="59" t="str">
        <f>IFERROR(__xludf.DUMMYFUNCTION("iferror(filter('3.3.clean'!C:C,'3.3.clean'!A:A=C1019),"""")"),"")</f>
        <v/>
      </c>
      <c r="N1019" s="60" t="b">
        <f t="shared" si="811"/>
        <v>0</v>
      </c>
      <c r="O1019" s="59" t="str">
        <f>IFERROR(__xludf.DUMMYFUNCTION("iferror(filter('3.4.clean'!C:C,'3.4.clean'!A:A=C1019),"""")"),"")</f>
        <v/>
      </c>
      <c r="P1019" s="60" t="b">
        <f t="shared" si="812"/>
        <v>0</v>
      </c>
      <c r="Q1019" s="59">
        <f>IFERROR(__xludf.DUMMYFUNCTION("iferror(filter('3.5.clean'!C:C,'3.5.clean'!A:A=C1019),"""")"),43802.0)</f>
        <v>43802</v>
      </c>
      <c r="R1019" s="58" t="b">
        <f t="shared" ref="R1019:R1020" si="814">if(Q1019="",FALSE,TRUE)</f>
        <v>1</v>
      </c>
      <c r="S1019" s="4">
        <f>IFERROR(__xludf.DUMMYFUNCTION("iferror(filter('3.5.clean'!H:H,'3.5.clean'!A:A=C1019),"""")"),0.0)</f>
        <v>0</v>
      </c>
      <c r="V1019" s="52" t="s">
        <v>64</v>
      </c>
      <c r="W1019" s="23" t="b">
        <f>if(AND(R1019=TRUE,N1019=TRUE,P1019=TRUE),TRUE,FALSE)</f>
        <v>0</v>
      </c>
      <c r="X1019" s="23" t="str">
        <f>IFERROR(__xludf.DUMMYFUNCTION("if(COUNTA(FILTER(C:C, C:C = C1019))=1,""no"",""yes"")"),"no")</f>
        <v>no</v>
      </c>
    </row>
    <row r="1020">
      <c r="A1020" s="75" t="s">
        <v>908</v>
      </c>
      <c r="B1020" s="2">
        <v>4.0</v>
      </c>
      <c r="C1020" s="19" t="s">
        <v>1732</v>
      </c>
      <c r="E1020" s="24">
        <f>IFERROR(__xludf.DUMMYFUNCTION("ifna(IFNA(filter('2.1.clean'!C:C,'2.1.clean'!A:A=C1020),filter('2.2.clean'!E:E,'2.2.clean'!D:D=C1020)),filter('2.4.clean'!C:C,'2.4.clean'!A:A=C1020))"),43802.0)</f>
        <v>43802</v>
      </c>
      <c r="F1020" s="25">
        <f>IFERROR(__xludf.DUMMYFUNCTION("iferror(ifna(IFNA(filter('2.1.clean'!E:E,'2.1.clean'!A:A=C1020),filter('2.2.clean'!G:G,'2.2.clean'!D:D=C1020)),filter('2.4.clean'!E:E,'2.4.clean'!A:A=C1020)),)"),2.4)</f>
        <v>2.4</v>
      </c>
      <c r="G1020" s="24"/>
      <c r="J1020" s="25"/>
      <c r="K1020" s="24"/>
      <c r="L1020" s="25"/>
      <c r="M1020" s="24">
        <f>IFERROR(__xludf.DUMMYFUNCTION("iferror(filter('3.3.clean'!C:C,'3.3.clean'!A:A=C1020),"""")"),43804.0)</f>
        <v>43804</v>
      </c>
      <c r="N1020" s="25" t="b">
        <f t="shared" si="811"/>
        <v>1</v>
      </c>
      <c r="O1020" s="24">
        <f>IFERROR(__xludf.DUMMYFUNCTION("iferror(filter('3.4.clean'!C:C,'3.4.clean'!A:A=C1020),"""")"),43805.0)</f>
        <v>43805</v>
      </c>
      <c r="P1020" s="25" t="b">
        <f t="shared" si="812"/>
        <v>1</v>
      </c>
      <c r="Q1020" s="24">
        <f>IFERROR(__xludf.DUMMYFUNCTION("iferror(filter('3.5.clean'!C:C,'3.5.clean'!A:A=C1020),"""")"),43802.0)</f>
        <v>43802</v>
      </c>
      <c r="R1020" s="23" t="b">
        <f t="shared" si="814"/>
        <v>1</v>
      </c>
      <c r="S1020" s="25"/>
      <c r="V1020" s="52" t="s">
        <v>64</v>
      </c>
      <c r="W1020" s="23" t="b">
        <f>IF(and(R1020=TRUE,N1020=TRUE,P1020=TRUE),TRUE,FALSE)</f>
        <v>1</v>
      </c>
      <c r="X1020" s="23" t="str">
        <f>IFERROR(__xludf.DUMMYFUNCTION("if(COUNTA(FILTER(C:C, C:C = C1020))=1,""no"",""yes"")"),"no")</f>
        <v>no</v>
      </c>
    </row>
    <row r="1021">
      <c r="A1021" s="75" t="s">
        <v>908</v>
      </c>
      <c r="B1021" s="19">
        <v>5.0</v>
      </c>
      <c r="C1021" s="19" t="s">
        <v>1733</v>
      </c>
      <c r="D1021" s="58" t="str">
        <f t="shared" ref="D1021:D1022" si="815">if(or(I1021=1,J1021=1,S1021=1),"pos","")</f>
        <v/>
      </c>
      <c r="E1021" s="59">
        <f>IFERROR(__xludf.DUMMYFUNCTION("ifna(IFNA(filter('2.1.clean'!C:C,'2.1.clean'!A:A=C1021),filter('2.2.clean'!E:E,'2.2.clean'!D:D=C1021)),filter('2.4.clean'!C:C,'2.4.clean'!A:A=C1021))"),43802.0)</f>
        <v>43802</v>
      </c>
      <c r="F1021" s="60">
        <f>IFERROR(__xludf.DUMMYFUNCTION("iferror(ifna(IFNA(filter('2.1.clean'!E:E,'2.1.clean'!A:A=C1021),filter('2.2.clean'!G:G,'2.2.clean'!D:D=C1021)),filter('2.4.clean'!E:E,'2.4.clean'!A:A=C1021)),)"),2.4)</f>
        <v>2.4</v>
      </c>
      <c r="G1021" s="59">
        <f>IFERROR(__xludf.DUMMYFUNCTION("iferror(filter('3.1.clean'!C:C,'3.1.clean'!A:A=C1021),"""")"),43802.0)</f>
        <v>43802</v>
      </c>
      <c r="H1021" s="58" t="b">
        <f>if(G1021="",FALSE,TRUE)</f>
        <v>1</v>
      </c>
      <c r="I1021" s="58">
        <f>IFERROR(__xludf.DUMMYFUNCTION("iferror(filter('3.1.clean'!G:G,'3.1.clean'!A:A=C1021),"""")"),0.0)</f>
        <v>0</v>
      </c>
      <c r="J1021" s="60" t="str">
        <f>IFERROR(__xludf.DUMMYFUNCTION("iferror(filter('3.1.clean'!I:I,'3.1.clean'!A:A=C1021),"""")"),"")</f>
        <v/>
      </c>
      <c r="K1021" s="58"/>
      <c r="L1021" s="60"/>
      <c r="M1021" s="59" t="str">
        <f>IFERROR(__xludf.DUMMYFUNCTION("iferror(filter('3.3.clean'!C:C,'3.3.clean'!A:A=C1021),"""")"),"")</f>
        <v/>
      </c>
      <c r="N1021" s="60" t="b">
        <f t="shared" si="811"/>
        <v>0</v>
      </c>
      <c r="O1021" s="59" t="str">
        <f>IFERROR(__xludf.DUMMYFUNCTION("iferror(filter('3.4.clean'!C:C,'3.4.clean'!A:A=C1021),"""")"),"")</f>
        <v/>
      </c>
      <c r="P1021" s="60" t="b">
        <f t="shared" si="812"/>
        <v>0</v>
      </c>
      <c r="Q1021" s="59" t="str">
        <f>IFERROR(__xludf.DUMMYFUNCTION("iferror(filter('3.5.clean'!C:C,'3.5.clean'!A:A=C1021),"""")"),"")</f>
        <v/>
      </c>
      <c r="R1021" s="58"/>
      <c r="S1021" s="4" t="str">
        <f>IFERROR(__xludf.DUMMYFUNCTION("iferror(filter('3.5.clean'!H:H,'3.5.clean'!A:A=C1021),"""")"),"")</f>
        <v/>
      </c>
      <c r="W1021" s="23" t="b">
        <f>if(AND(H1021=TRUE,N1021=TRUE,P1021=TRUE),TRUE,FALSE)</f>
        <v>0</v>
      </c>
      <c r="X1021" s="23" t="str">
        <f>IFERROR(__xludf.DUMMYFUNCTION("if(COUNTA(FILTER(C:C, C:C = C1021))=1,""no"",""yes"")"),"no")</f>
        <v>no</v>
      </c>
    </row>
    <row r="1022">
      <c r="A1022" s="75" t="s">
        <v>908</v>
      </c>
      <c r="B1022" s="19">
        <v>6.0</v>
      </c>
      <c r="C1022" s="19" t="s">
        <v>1734</v>
      </c>
      <c r="D1022" s="58" t="str">
        <f t="shared" si="815"/>
        <v/>
      </c>
      <c r="E1022" s="59">
        <f>Q1022</f>
        <v>43802</v>
      </c>
      <c r="F1022" s="60" t="str">
        <f>IFERROR(__xludf.DUMMYFUNCTION("iferror(ifna(IFNA(filter('2.1.clean'!E:E,'2.1.clean'!A:A=C1022),filter('2.2.clean'!G:G,'2.2.clean'!D:D=C1022)),filter('2.4.clean'!E:E,'2.4.clean'!A:A=C1022)),)"),"")</f>
        <v/>
      </c>
      <c r="G1022" s="59" t="str">
        <f>IFERROR(__xludf.DUMMYFUNCTION("iferror(filter('3.1.clean'!C:C,'3.1.clean'!A:A=C1022),"""")"),"")</f>
        <v/>
      </c>
      <c r="H1022" s="58"/>
      <c r="I1022" s="58" t="str">
        <f>IFERROR(__xludf.DUMMYFUNCTION("iferror(filter('3.1.clean'!G:G,'3.1.clean'!A:A=C1022),"""")"),"")</f>
        <v/>
      </c>
      <c r="J1022" s="60" t="str">
        <f>IFERROR(__xludf.DUMMYFUNCTION("iferror(filter('3.1.clean'!I:I,'3.1.clean'!A:A=C1022),"""")"),"")</f>
        <v/>
      </c>
      <c r="K1022" s="59"/>
      <c r="L1022" s="60"/>
      <c r="M1022" s="59" t="str">
        <f>IFERROR(__xludf.DUMMYFUNCTION("iferror(filter('3.3.clean'!C:C,'3.3.clean'!A:A=C1022),"""")"),"")</f>
        <v/>
      </c>
      <c r="N1022" s="60" t="b">
        <f t="shared" si="811"/>
        <v>0</v>
      </c>
      <c r="O1022" s="59" t="str">
        <f>IFERROR(__xludf.DUMMYFUNCTION("iferror(filter('3.4.clean'!C:C,'3.4.clean'!A:A=C1022),"""")"),"")</f>
        <v/>
      </c>
      <c r="P1022" s="60" t="b">
        <f t="shared" si="812"/>
        <v>0</v>
      </c>
      <c r="Q1022" s="59">
        <f>IFERROR(__xludf.DUMMYFUNCTION("iferror(filter('3.5.clean'!C:C,'3.5.clean'!A:A=C1022),"""")"),43802.0)</f>
        <v>43802</v>
      </c>
      <c r="R1022" s="58" t="b">
        <f t="shared" ref="R1022:R1023" si="816">if(Q1022="",FALSE,TRUE)</f>
        <v>1</v>
      </c>
      <c r="S1022" s="4">
        <f>IFERROR(__xludf.DUMMYFUNCTION("iferror(filter('3.5.clean'!H:H,'3.5.clean'!A:A=C1022),"""")"),0.0)</f>
        <v>0</v>
      </c>
      <c r="V1022" s="52" t="s">
        <v>64</v>
      </c>
      <c r="W1022" s="23" t="b">
        <f>if(AND(R1022=TRUE,N1022=TRUE,P1022=TRUE),TRUE,FALSE)</f>
        <v>0</v>
      </c>
      <c r="X1022" s="23" t="str">
        <f>IFERROR(__xludf.DUMMYFUNCTION("if(COUNTA(FILTER(C:C, C:C = C1022))=1,""no"",""yes"")"),"no")</f>
        <v>no</v>
      </c>
    </row>
    <row r="1023">
      <c r="A1023" s="75" t="s">
        <v>908</v>
      </c>
      <c r="B1023" s="2">
        <v>7.0</v>
      </c>
      <c r="C1023" s="19" t="s">
        <v>1735</v>
      </c>
      <c r="E1023" s="24">
        <f>IFERROR(__xludf.DUMMYFUNCTION("ifna(IFNA(filter('2.1.clean'!C:C,'2.1.clean'!A:A=C1023),filter('2.2.clean'!E:E,'2.2.clean'!D:D=C1023)),filter('2.4.clean'!C:C,'2.4.clean'!A:A=C1023))"),43802.0)</f>
        <v>43802</v>
      </c>
      <c r="F1023" s="25">
        <f>IFERROR(__xludf.DUMMYFUNCTION("iferror(ifna(IFNA(filter('2.1.clean'!E:E,'2.1.clean'!A:A=C1023),filter('2.2.clean'!G:G,'2.2.clean'!D:D=C1023)),filter('2.4.clean'!E:E,'2.4.clean'!A:A=C1023)),)"),2.4)</f>
        <v>2.4</v>
      </c>
      <c r="G1023" s="24">
        <f>IFERROR(__xludf.DUMMYFUNCTION("iferror(filter('3.1.clean'!C:C,'3.1.clean'!A:A=C1023),"""")"),43802.0)</f>
        <v>43802</v>
      </c>
      <c r="H1023" s="23" t="b">
        <f t="shared" ref="H1023:H1024" si="817">if(G1023="",FALSE,TRUE)</f>
        <v>1</v>
      </c>
      <c r="J1023" s="25"/>
      <c r="K1023" s="24">
        <f>IFERROR(__xludf.DUMMYFUNCTION("iferror(filter('3.2.clean'!C:C,'3.2.clean'!A:A=C1023),"""")"),43803.0)</f>
        <v>43803</v>
      </c>
      <c r="L1023" s="25" t="b">
        <f>if(K1023="",FALSE,TRUE)</f>
        <v>1</v>
      </c>
      <c r="M1023" s="24">
        <f>IFERROR(__xludf.DUMMYFUNCTION("iferror(filter('3.3.clean'!C:C,'3.3.clean'!A:A=C1023),"""")"),43804.0)</f>
        <v>43804</v>
      </c>
      <c r="N1023" s="25" t="b">
        <f t="shared" si="811"/>
        <v>1</v>
      </c>
      <c r="O1023" s="24">
        <f>IFERROR(__xludf.DUMMYFUNCTION("iferror(filter('3.4.clean'!C:C,'3.4.clean'!A:A=C1023),"""")"),43805.0)</f>
        <v>43805</v>
      </c>
      <c r="P1023" s="25" t="b">
        <f t="shared" si="812"/>
        <v>1</v>
      </c>
      <c r="Q1023" s="24">
        <f>IFERROR(__xludf.DUMMYFUNCTION("iferror(filter('3.5.clean'!C:C,'3.5.clean'!A:A=C1023),"""")"),43802.0)</f>
        <v>43802</v>
      </c>
      <c r="R1023" s="23" t="b">
        <f t="shared" si="816"/>
        <v>1</v>
      </c>
      <c r="S1023" s="25"/>
      <c r="V1023" s="1" t="s">
        <v>64</v>
      </c>
      <c r="X1023" s="23" t="str">
        <f>IFERROR(__xludf.DUMMYFUNCTION("if(COUNTA(FILTER(C:C, C:C = C1023))=1,""no"",""yes"")"),"no")</f>
        <v>no</v>
      </c>
    </row>
    <row r="1024">
      <c r="A1024" s="75" t="s">
        <v>908</v>
      </c>
      <c r="B1024" s="19">
        <v>8.0</v>
      </c>
      <c r="C1024" s="19" t="s">
        <v>1736</v>
      </c>
      <c r="D1024" s="58" t="str">
        <f t="shared" ref="D1024:D1025" si="818">if(or(I1024=1,J1024=1,S1024=1),"pos","")</f>
        <v/>
      </c>
      <c r="E1024" s="59">
        <f>IFERROR(__xludf.DUMMYFUNCTION("ifna(IFNA(filter('2.1.clean'!C:C,'2.1.clean'!A:A=C1024),filter('2.2.clean'!E:E,'2.2.clean'!D:D=C1024)),filter('2.4.clean'!C:C,'2.4.clean'!A:A=C1024))"),43802.0)</f>
        <v>43802</v>
      </c>
      <c r="F1024" s="60">
        <f>IFERROR(__xludf.DUMMYFUNCTION("iferror(ifna(IFNA(filter('2.1.clean'!E:E,'2.1.clean'!A:A=C1024),filter('2.2.clean'!G:G,'2.2.clean'!D:D=C1024)),filter('2.4.clean'!E:E,'2.4.clean'!A:A=C1024)),)"),2.4)</f>
        <v>2.4</v>
      </c>
      <c r="G1024" s="59">
        <f>IFERROR(__xludf.DUMMYFUNCTION("iferror(filter('3.1.clean'!C:C,'3.1.clean'!A:A=C1024),"""")"),43802.0)</f>
        <v>43802</v>
      </c>
      <c r="H1024" s="58" t="b">
        <f t="shared" si="817"/>
        <v>1</v>
      </c>
      <c r="I1024" s="58">
        <f>IFERROR(__xludf.DUMMYFUNCTION("iferror(filter('3.1.clean'!G:G,'3.1.clean'!A:A=C1024),"""")"),0.0)</f>
        <v>0</v>
      </c>
      <c r="J1024" s="60" t="str">
        <f>IFERROR(__xludf.DUMMYFUNCTION("iferror(filter('3.1.clean'!I:I,'3.1.clean'!A:A=C1024),"""")"),"")</f>
        <v/>
      </c>
      <c r="K1024" s="58"/>
      <c r="L1024" s="60"/>
      <c r="M1024" s="59" t="str">
        <f>IFERROR(__xludf.DUMMYFUNCTION("iferror(filter('3.3.clean'!C:C,'3.3.clean'!A:A=C1024),"""")"),"")</f>
        <v/>
      </c>
      <c r="N1024" s="60" t="b">
        <f t="shared" si="811"/>
        <v>0</v>
      </c>
      <c r="O1024" s="59" t="str">
        <f>IFERROR(__xludf.DUMMYFUNCTION("iferror(filter('3.4.clean'!C:C,'3.4.clean'!A:A=C1024),"""")"),"")</f>
        <v/>
      </c>
      <c r="P1024" s="60" t="b">
        <f t="shared" si="812"/>
        <v>0</v>
      </c>
      <c r="Q1024" s="59" t="str">
        <f>IFERROR(__xludf.DUMMYFUNCTION("iferror(filter('3.5.clean'!C:C,'3.5.clean'!A:A=C1024),"""")"),"")</f>
        <v/>
      </c>
      <c r="R1024" s="58"/>
      <c r="S1024" s="4" t="str">
        <f>IFERROR(__xludf.DUMMYFUNCTION("iferror(filter('3.5.clean'!H:H,'3.5.clean'!A:A=C1024),"""")"),"")</f>
        <v/>
      </c>
      <c r="W1024" s="23" t="b">
        <f>if(AND(H1024=TRUE,N1024=TRUE,P1024=TRUE),TRUE,FALSE)</f>
        <v>0</v>
      </c>
      <c r="X1024" s="23" t="str">
        <f>IFERROR(__xludf.DUMMYFUNCTION("if(COUNTA(FILTER(C:C, C:C = C1024))=1,""no"",""yes"")"),"no")</f>
        <v>no</v>
      </c>
    </row>
    <row r="1025">
      <c r="A1025" s="75" t="s">
        <v>908</v>
      </c>
      <c r="B1025" s="19">
        <v>9.0</v>
      </c>
      <c r="C1025" s="19" t="s">
        <v>1737</v>
      </c>
      <c r="D1025" s="58" t="str">
        <f t="shared" si="818"/>
        <v/>
      </c>
      <c r="E1025" s="59">
        <f>Q1025</f>
        <v>43802</v>
      </c>
      <c r="F1025" s="60" t="str">
        <f>IFERROR(__xludf.DUMMYFUNCTION("iferror(ifna(IFNA(filter('2.1.clean'!E:E,'2.1.clean'!A:A=C1025),filter('2.2.clean'!G:G,'2.2.clean'!D:D=C1025)),filter('2.4.clean'!E:E,'2.4.clean'!A:A=C1025)),)"),"")</f>
        <v/>
      </c>
      <c r="G1025" s="59" t="str">
        <f>IFERROR(__xludf.DUMMYFUNCTION("iferror(filter('3.1.clean'!C:C,'3.1.clean'!A:A=C1025),"""")"),"")</f>
        <v/>
      </c>
      <c r="H1025" s="58"/>
      <c r="I1025" s="58" t="str">
        <f>IFERROR(__xludf.DUMMYFUNCTION("iferror(filter('3.1.clean'!G:G,'3.1.clean'!A:A=C1025),"""")"),"")</f>
        <v/>
      </c>
      <c r="J1025" s="60" t="str">
        <f>IFERROR(__xludf.DUMMYFUNCTION("iferror(filter('3.1.clean'!I:I,'3.1.clean'!A:A=C1025),"""")"),"")</f>
        <v/>
      </c>
      <c r="K1025" s="59"/>
      <c r="L1025" s="60"/>
      <c r="M1025" s="59" t="str">
        <f>IFERROR(__xludf.DUMMYFUNCTION("iferror(filter('3.3.clean'!C:C,'3.3.clean'!A:A=C1025),"""")"),"")</f>
        <v/>
      </c>
      <c r="N1025" s="60" t="b">
        <f t="shared" si="811"/>
        <v>0</v>
      </c>
      <c r="O1025" s="59" t="str">
        <f>IFERROR(__xludf.DUMMYFUNCTION("iferror(filter('3.4.clean'!C:C,'3.4.clean'!A:A=C1025),"""")"),"")</f>
        <v/>
      </c>
      <c r="P1025" s="60" t="b">
        <f t="shared" si="812"/>
        <v>0</v>
      </c>
      <c r="Q1025" s="59">
        <f>IFERROR(__xludf.DUMMYFUNCTION("iferror(filter('3.5.clean'!C:C,'3.5.clean'!A:A=C1025),"""")"),43802.0)</f>
        <v>43802</v>
      </c>
      <c r="R1025" s="58" t="b">
        <f t="shared" ref="R1025:R1026" si="819">if(Q1025="",FALSE,TRUE)</f>
        <v>1</v>
      </c>
      <c r="S1025" s="4">
        <f>IFERROR(__xludf.DUMMYFUNCTION("iferror(filter('3.5.clean'!H:H,'3.5.clean'!A:A=C1025),"""")"),0.0)</f>
        <v>0</v>
      </c>
      <c r="V1025" s="52" t="s">
        <v>64</v>
      </c>
      <c r="W1025" s="23" t="b">
        <f>if(AND(R1025=TRUE,N1025=TRUE,P1025=TRUE),TRUE,FALSE)</f>
        <v>0</v>
      </c>
      <c r="X1025" s="23" t="str">
        <f>IFERROR(__xludf.DUMMYFUNCTION("if(COUNTA(FILTER(C:C, C:C = C1025))=1,""no"",""yes"")"),"no")</f>
        <v>no</v>
      </c>
    </row>
    <row r="1026">
      <c r="A1026" s="75" t="s">
        <v>908</v>
      </c>
      <c r="B1026" s="2">
        <v>10.0</v>
      </c>
      <c r="C1026" s="19" t="s">
        <v>1738</v>
      </c>
      <c r="E1026" s="24">
        <f>IFERROR(__xludf.DUMMYFUNCTION("ifna(IFNA(filter('2.1.clean'!C:C,'2.1.clean'!A:A=C1026),filter('2.2.clean'!E:E,'2.2.clean'!D:D=C1026)),filter('2.4.clean'!C:C,'2.4.clean'!A:A=C1026))"),43802.0)</f>
        <v>43802</v>
      </c>
      <c r="F1026" s="25">
        <f>IFERROR(__xludf.DUMMYFUNCTION("iferror(ifna(IFNA(filter('2.1.clean'!E:E,'2.1.clean'!A:A=C1026),filter('2.2.clean'!G:G,'2.2.clean'!D:D=C1026)),filter('2.4.clean'!E:E,'2.4.clean'!A:A=C1026)),)"),2.4)</f>
        <v>2.4</v>
      </c>
      <c r="G1026" s="24">
        <f>IFERROR(__xludf.DUMMYFUNCTION("iferror(filter('3.1.clean'!C:C,'3.1.clean'!A:A=C1026),"""")"),43802.0)</f>
        <v>43802</v>
      </c>
      <c r="H1026" s="23" t="b">
        <f t="shared" ref="H1026:H1027" si="820">if(G1026="",FALSE,TRUE)</f>
        <v>1</v>
      </c>
      <c r="J1026" s="25"/>
      <c r="K1026" s="24">
        <f>IFERROR(__xludf.DUMMYFUNCTION("iferror(filter('3.2.clean'!C:C,'3.2.clean'!A:A=C1026),"""")"),43803.0)</f>
        <v>43803</v>
      </c>
      <c r="L1026" s="25" t="b">
        <f>if(K1026="",FALSE,TRUE)</f>
        <v>1</v>
      </c>
      <c r="M1026" s="24">
        <f>IFERROR(__xludf.DUMMYFUNCTION("iferror(filter('3.3.clean'!C:C,'3.3.clean'!A:A=C1026),"""")"),43804.0)</f>
        <v>43804</v>
      </c>
      <c r="N1026" s="25" t="b">
        <f t="shared" si="811"/>
        <v>1</v>
      </c>
      <c r="O1026" s="24">
        <f>IFERROR(__xludf.DUMMYFUNCTION("iferror(filter('3.4.clean'!C:C,'3.4.clean'!A:A=C1026),"""")"),43805.0)</f>
        <v>43805</v>
      </c>
      <c r="P1026" s="25" t="b">
        <f t="shared" si="812"/>
        <v>1</v>
      </c>
      <c r="Q1026" s="24">
        <f>IFERROR(__xludf.DUMMYFUNCTION("iferror(filter('3.5.clean'!C:C,'3.5.clean'!A:A=C1026),"""")"),43802.0)</f>
        <v>43802</v>
      </c>
      <c r="R1026" s="23" t="b">
        <f t="shared" si="819"/>
        <v>1</v>
      </c>
      <c r="S1026" s="25"/>
      <c r="V1026" s="1" t="s">
        <v>64</v>
      </c>
      <c r="X1026" s="23" t="str">
        <f>IFERROR(__xludf.DUMMYFUNCTION("if(COUNTA(FILTER(C:C, C:C = C1026))=1,""no"",""yes"")"),"no")</f>
        <v>no</v>
      </c>
    </row>
    <row r="1027">
      <c r="A1027" s="75" t="s">
        <v>908</v>
      </c>
      <c r="B1027" s="19">
        <v>11.0</v>
      </c>
      <c r="C1027" s="19" t="s">
        <v>1739</v>
      </c>
      <c r="D1027" s="58" t="str">
        <f t="shared" ref="D1027:D1028" si="821">if(or(I1027=1,J1027=1,S1027=1),"pos","")</f>
        <v/>
      </c>
      <c r="E1027" s="59">
        <f>IFERROR(__xludf.DUMMYFUNCTION("ifna(IFNA(filter('2.1.clean'!C:C,'2.1.clean'!A:A=C1027),filter('2.2.clean'!E:E,'2.2.clean'!D:D=C1027)),filter('2.4.clean'!C:C,'2.4.clean'!A:A=C1027))"),43802.0)</f>
        <v>43802</v>
      </c>
      <c r="F1027" s="60">
        <f>IFERROR(__xludf.DUMMYFUNCTION("iferror(ifna(IFNA(filter('2.1.clean'!E:E,'2.1.clean'!A:A=C1027),filter('2.2.clean'!G:G,'2.2.clean'!D:D=C1027)),filter('2.4.clean'!E:E,'2.4.clean'!A:A=C1027)),)"),2.4)</f>
        <v>2.4</v>
      </c>
      <c r="G1027" s="59">
        <f>IFERROR(__xludf.DUMMYFUNCTION("iferror(filter('3.1.clean'!C:C,'3.1.clean'!A:A=C1027),"""")"),43802.0)</f>
        <v>43802</v>
      </c>
      <c r="H1027" s="58" t="b">
        <f t="shared" si="820"/>
        <v>1</v>
      </c>
      <c r="I1027" s="58">
        <f>IFERROR(__xludf.DUMMYFUNCTION("iferror(filter('3.1.clean'!G:G,'3.1.clean'!A:A=C1027),"""")"),0.0)</f>
        <v>0</v>
      </c>
      <c r="J1027" s="60" t="str">
        <f>IFERROR(__xludf.DUMMYFUNCTION("iferror(filter('3.1.clean'!I:I,'3.1.clean'!A:A=C1027),"""")"),"")</f>
        <v/>
      </c>
      <c r="K1027" s="58"/>
      <c r="L1027" s="60"/>
      <c r="M1027" s="59" t="str">
        <f>IFERROR(__xludf.DUMMYFUNCTION("iferror(filter('3.3.clean'!C:C,'3.3.clean'!A:A=C1027),"""")"),"")</f>
        <v/>
      </c>
      <c r="N1027" s="60" t="b">
        <f t="shared" si="811"/>
        <v>0</v>
      </c>
      <c r="O1027" s="59" t="str">
        <f>IFERROR(__xludf.DUMMYFUNCTION("iferror(filter('3.4.clean'!C:C,'3.4.clean'!A:A=C1027),"""")"),"")</f>
        <v/>
      </c>
      <c r="P1027" s="60" t="b">
        <f t="shared" si="812"/>
        <v>0</v>
      </c>
      <c r="Q1027" s="59" t="str">
        <f>IFERROR(__xludf.DUMMYFUNCTION("iferror(filter('3.5.clean'!C:C,'3.5.clean'!A:A=C1027),"""")"),"")</f>
        <v/>
      </c>
      <c r="R1027" s="58"/>
      <c r="S1027" s="4" t="str">
        <f>IFERROR(__xludf.DUMMYFUNCTION("iferror(filter('3.5.clean'!H:H,'3.5.clean'!A:A=C1027),"""")"),"")</f>
        <v/>
      </c>
      <c r="W1027" s="23" t="b">
        <f>if(AND(H1027=TRUE,N1027=TRUE,P1027=TRUE),TRUE,FALSE)</f>
        <v>0</v>
      </c>
      <c r="X1027" s="23" t="str">
        <f>IFERROR(__xludf.DUMMYFUNCTION("if(COUNTA(FILTER(C:C, C:C = C1027))=1,""no"",""yes"")"),"no")</f>
        <v>no</v>
      </c>
    </row>
    <row r="1028">
      <c r="A1028" s="75" t="s">
        <v>908</v>
      </c>
      <c r="B1028" s="19">
        <v>12.0</v>
      </c>
      <c r="C1028" s="19" t="s">
        <v>1740</v>
      </c>
      <c r="D1028" s="58" t="str">
        <f t="shared" si="821"/>
        <v/>
      </c>
      <c r="E1028" s="59">
        <f>Q1028</f>
        <v>43802</v>
      </c>
      <c r="F1028" s="60" t="str">
        <f>IFERROR(__xludf.DUMMYFUNCTION("iferror(ifna(IFNA(filter('2.1.clean'!E:E,'2.1.clean'!A:A=C1028),filter('2.2.clean'!G:G,'2.2.clean'!D:D=C1028)),filter('2.4.clean'!E:E,'2.4.clean'!A:A=C1028)),)"),"")</f>
        <v/>
      </c>
      <c r="G1028" s="59" t="str">
        <f>IFERROR(__xludf.DUMMYFUNCTION("iferror(filter('3.1.clean'!C:C,'3.1.clean'!A:A=C1028),"""")"),"")</f>
        <v/>
      </c>
      <c r="H1028" s="58"/>
      <c r="I1028" s="58" t="str">
        <f>IFERROR(__xludf.DUMMYFUNCTION("iferror(filter('3.1.clean'!G:G,'3.1.clean'!A:A=C1028),"""")"),"")</f>
        <v/>
      </c>
      <c r="J1028" s="60" t="str">
        <f>IFERROR(__xludf.DUMMYFUNCTION("iferror(filter('3.1.clean'!I:I,'3.1.clean'!A:A=C1028),"""")"),"")</f>
        <v/>
      </c>
      <c r="K1028" s="59"/>
      <c r="L1028" s="60"/>
      <c r="M1028" s="59" t="str">
        <f>IFERROR(__xludf.DUMMYFUNCTION("iferror(filter('3.3.clean'!C:C,'3.3.clean'!A:A=C1028),"""")"),"")</f>
        <v/>
      </c>
      <c r="N1028" s="60" t="b">
        <f t="shared" si="811"/>
        <v>0</v>
      </c>
      <c r="O1028" s="59" t="str">
        <f>IFERROR(__xludf.DUMMYFUNCTION("iferror(filter('3.4.clean'!C:C,'3.4.clean'!A:A=C1028),"""")"),"")</f>
        <v/>
      </c>
      <c r="P1028" s="60" t="b">
        <f t="shared" si="812"/>
        <v>0</v>
      </c>
      <c r="Q1028" s="59">
        <f>IFERROR(__xludf.DUMMYFUNCTION("iferror(filter('3.5.clean'!C:C,'3.5.clean'!A:A=C1028),"""")"),43802.0)</f>
        <v>43802</v>
      </c>
      <c r="R1028" s="58" t="b">
        <f t="shared" ref="R1028:R1029" si="822">if(Q1028="",FALSE,TRUE)</f>
        <v>1</v>
      </c>
      <c r="S1028" s="4">
        <f>IFERROR(__xludf.DUMMYFUNCTION("iferror(filter('3.5.clean'!H:H,'3.5.clean'!A:A=C1028),"""")"),0.0)</f>
        <v>0</v>
      </c>
      <c r="V1028" s="52" t="s">
        <v>64</v>
      </c>
      <c r="W1028" s="23" t="b">
        <f>if(AND(R1028=TRUE,N1028=TRUE,P1028=TRUE),TRUE,FALSE)</f>
        <v>0</v>
      </c>
      <c r="X1028" s="23" t="str">
        <f>IFERROR(__xludf.DUMMYFUNCTION("if(COUNTA(FILTER(C:C, C:C = C1028))=1,""no"",""yes"")"),"no")</f>
        <v>no</v>
      </c>
    </row>
    <row r="1029">
      <c r="A1029" s="75" t="s">
        <v>908</v>
      </c>
      <c r="B1029" s="2">
        <v>13.0</v>
      </c>
      <c r="C1029" s="19" t="s">
        <v>1741</v>
      </c>
      <c r="E1029" s="24">
        <f>IFERROR(__xludf.DUMMYFUNCTION("ifna(IFNA(filter('2.1.clean'!C:C,'2.1.clean'!A:A=C1029),filter('2.2.clean'!E:E,'2.2.clean'!D:D=C1029)),filter('2.4.clean'!C:C,'2.4.clean'!A:A=C1029))"),43802.0)</f>
        <v>43802</v>
      </c>
      <c r="F1029" s="25">
        <f>IFERROR(__xludf.DUMMYFUNCTION("iferror(ifna(IFNA(filter('2.1.clean'!E:E,'2.1.clean'!A:A=C1029),filter('2.2.clean'!G:G,'2.2.clean'!D:D=C1029)),filter('2.4.clean'!E:E,'2.4.clean'!A:A=C1029)),)"),2.4)</f>
        <v>2.4</v>
      </c>
      <c r="G1029" s="24">
        <f>IFERROR(__xludf.DUMMYFUNCTION("iferror(filter('3.1.clean'!C:C,'3.1.clean'!A:A=C1029),"""")"),43802.0)</f>
        <v>43802</v>
      </c>
      <c r="H1029" s="23" t="b">
        <f t="shared" ref="H1029:H1030" si="823">if(G1029="",FALSE,TRUE)</f>
        <v>1</v>
      </c>
      <c r="J1029" s="25"/>
      <c r="K1029" s="24">
        <f>IFERROR(__xludf.DUMMYFUNCTION("iferror(filter('3.2.clean'!C:C,'3.2.clean'!A:A=C1029),"""")"),43803.0)</f>
        <v>43803</v>
      </c>
      <c r="L1029" s="25" t="b">
        <f>if(K1029="",FALSE,TRUE)</f>
        <v>1</v>
      </c>
      <c r="M1029" s="24">
        <f>IFERROR(__xludf.DUMMYFUNCTION("iferror(filter('3.3.clean'!C:C,'3.3.clean'!A:A=C1029),"""")"),43804.0)</f>
        <v>43804</v>
      </c>
      <c r="N1029" s="25" t="b">
        <f t="shared" si="811"/>
        <v>1</v>
      </c>
      <c r="O1029" s="24">
        <f>IFERROR(__xludf.DUMMYFUNCTION("iferror(filter('3.4.clean'!C:C,'3.4.clean'!A:A=C1029),"""")"),43805.0)</f>
        <v>43805</v>
      </c>
      <c r="P1029" s="25" t="b">
        <f t="shared" si="812"/>
        <v>1</v>
      </c>
      <c r="Q1029" s="24">
        <f>IFERROR(__xludf.DUMMYFUNCTION("iferror(filter('3.5.clean'!C:C,'3.5.clean'!A:A=C1029),"""")"),43802.0)</f>
        <v>43802</v>
      </c>
      <c r="R1029" s="23" t="b">
        <f t="shared" si="822"/>
        <v>1</v>
      </c>
      <c r="S1029" s="25"/>
      <c r="V1029" s="1" t="s">
        <v>64</v>
      </c>
      <c r="X1029" s="23" t="str">
        <f>IFERROR(__xludf.DUMMYFUNCTION("if(COUNTA(FILTER(C:C, C:C = C1029))=1,""no"",""yes"")"),"no")</f>
        <v>no</v>
      </c>
    </row>
    <row r="1030">
      <c r="A1030" s="75" t="s">
        <v>908</v>
      </c>
      <c r="B1030" s="19">
        <v>14.0</v>
      </c>
      <c r="C1030" s="19" t="s">
        <v>1742</v>
      </c>
      <c r="D1030" s="58" t="str">
        <f t="shared" ref="D1030:D1033" si="824">if(or(I1030=1,J1030=1,S1030=1),"pos","")</f>
        <v/>
      </c>
      <c r="E1030" s="59">
        <f>IFERROR(__xludf.DUMMYFUNCTION("ifna(IFNA(filter('2.1.clean'!C:C,'2.1.clean'!A:A=C1030),filter('2.2.clean'!E:E,'2.2.clean'!D:D=C1030)),filter('2.4.clean'!C:C,'2.4.clean'!A:A=C1030))"),43802.0)</f>
        <v>43802</v>
      </c>
      <c r="F1030" s="60">
        <f>IFERROR(__xludf.DUMMYFUNCTION("iferror(ifna(IFNA(filter('2.1.clean'!E:E,'2.1.clean'!A:A=C1030),filter('2.2.clean'!G:G,'2.2.clean'!D:D=C1030)),filter('2.4.clean'!E:E,'2.4.clean'!A:A=C1030)),)"),2.4)</f>
        <v>2.4</v>
      </c>
      <c r="G1030" s="59">
        <f>IFERROR(__xludf.DUMMYFUNCTION("iferror(filter('3.1.clean'!C:C,'3.1.clean'!A:A=C1030),"""")"),43802.0)</f>
        <v>43802</v>
      </c>
      <c r="H1030" s="58" t="b">
        <f t="shared" si="823"/>
        <v>1</v>
      </c>
      <c r="I1030" s="58">
        <f>IFERROR(__xludf.DUMMYFUNCTION("iferror(filter('3.1.clean'!G:G,'3.1.clean'!A:A=C1030),"""")"),0.0)</f>
        <v>0</v>
      </c>
      <c r="J1030" s="60" t="str">
        <f>IFERROR(__xludf.DUMMYFUNCTION("iferror(filter('3.1.clean'!I:I,'3.1.clean'!A:A=C1030),"""")"),"")</f>
        <v/>
      </c>
      <c r="K1030" s="58"/>
      <c r="L1030" s="60"/>
      <c r="M1030" s="59" t="str">
        <f>IFERROR(__xludf.DUMMYFUNCTION("iferror(filter('3.3.clean'!C:C,'3.3.clean'!A:A=C1030),"""")"),"")</f>
        <v/>
      </c>
      <c r="N1030" s="60" t="b">
        <f t="shared" si="811"/>
        <v>0</v>
      </c>
      <c r="O1030" s="59" t="str">
        <f>IFERROR(__xludf.DUMMYFUNCTION("iferror(filter('3.4.clean'!C:C,'3.4.clean'!A:A=C1030),"""")"),"")</f>
        <v/>
      </c>
      <c r="P1030" s="60" t="b">
        <f t="shared" si="812"/>
        <v>0</v>
      </c>
      <c r="Q1030" s="59">
        <f>IFERROR(__xludf.DUMMYFUNCTION("iferror(filter('3.5.clean'!C:C,'3.5.clean'!A:A=C1030),"""")"),43802.0)</f>
        <v>43802</v>
      </c>
      <c r="R1030" s="58"/>
      <c r="S1030" s="4">
        <f>IFERROR(__xludf.DUMMYFUNCTION("iferror(filter('3.5.clean'!H:H,'3.5.clean'!A:A=C1030),"""")"),0.0)</f>
        <v>0</v>
      </c>
      <c r="W1030" s="23" t="b">
        <f>if(AND(H1030=TRUE,N1030=TRUE,P1030=TRUE),TRUE,FALSE)</f>
        <v>0</v>
      </c>
      <c r="X1030" s="23" t="str">
        <f>IFERROR(__xludf.DUMMYFUNCTION("if(COUNTA(FILTER(C:C, C:C = C1030))=1,""no"",""yes"")"),"no")</f>
        <v>no</v>
      </c>
    </row>
    <row r="1031">
      <c r="A1031" s="75" t="s">
        <v>908</v>
      </c>
      <c r="B1031" s="19">
        <v>15.0</v>
      </c>
      <c r="C1031" s="19" t="s">
        <v>1743</v>
      </c>
      <c r="D1031" s="58" t="str">
        <f t="shared" si="824"/>
        <v/>
      </c>
      <c r="E1031" s="59">
        <v>43802.0</v>
      </c>
      <c r="F1031" s="60" t="str">
        <f>IFERROR(__xludf.DUMMYFUNCTION("iferror(ifna(IFNA(filter('2.1.clean'!E:E,'2.1.clean'!A:A=C1031),filter('2.2.clean'!G:G,'2.2.clean'!D:D=C1031)),filter('2.4.clean'!E:E,'2.4.clean'!A:A=C1031)),)"),"")</f>
        <v/>
      </c>
      <c r="G1031" s="59" t="str">
        <f>IFERROR(__xludf.DUMMYFUNCTION("iferror(filter('3.1.clean'!C:C,'3.1.clean'!A:A=C1031),"""")"),"")</f>
        <v/>
      </c>
      <c r="H1031" s="58"/>
      <c r="I1031" s="58" t="str">
        <f>IFERROR(__xludf.DUMMYFUNCTION("iferror(filter('3.1.clean'!G:G,'3.1.clean'!A:A=C1031),"""")"),"")</f>
        <v/>
      </c>
      <c r="J1031" s="60" t="str">
        <f>IFERROR(__xludf.DUMMYFUNCTION("iferror(filter('3.1.clean'!I:I,'3.1.clean'!A:A=C1031),"""")"),"")</f>
        <v/>
      </c>
      <c r="K1031" s="59"/>
      <c r="L1031" s="60"/>
      <c r="M1031" s="59">
        <f>IFERROR(__xludf.DUMMYFUNCTION("iferror(filter('3.3.clean'!C:C,'3.3.clean'!A:A=C1031),"""")"),43804.0)</f>
        <v>43804</v>
      </c>
      <c r="N1031" s="60" t="b">
        <f t="shared" si="811"/>
        <v>1</v>
      </c>
      <c r="O1031" s="59">
        <f>IFERROR(__xludf.DUMMYFUNCTION("iferror(filter('3.4.clean'!C:C,'3.4.clean'!A:A=C1031),"""")"),43805.0)</f>
        <v>43805</v>
      </c>
      <c r="P1031" s="60" t="b">
        <f t="shared" si="812"/>
        <v>1</v>
      </c>
      <c r="Q1031" s="59" t="str">
        <f>IFERROR(__xludf.DUMMYFUNCTION("iferror(filter('3.5.clean'!C:C,'3.5.clean'!A:A=C1031),"""")"),"")</f>
        <v/>
      </c>
      <c r="R1031" s="58" t="b">
        <f t="shared" ref="R1031:R1032" si="825">if(Q1031="",FALSE,TRUE)</f>
        <v>0</v>
      </c>
      <c r="S1031" s="4" t="str">
        <f>IFERROR(__xludf.DUMMYFUNCTION("iferror(filter('3.5.clean'!H:H,'3.5.clean'!A:A=C1031),"""")"),"")</f>
        <v/>
      </c>
      <c r="V1031" s="52" t="s">
        <v>64</v>
      </c>
      <c r="W1031" s="23" t="b">
        <f>if(AND(R1031=TRUE,N1031=TRUE,P1031=TRUE),TRUE,FALSE)</f>
        <v>0</v>
      </c>
      <c r="X1031" s="23" t="str">
        <f>IFERROR(__xludf.DUMMYFUNCTION("if(COUNTA(FILTER(C:C, C:C = C1031))=1,""no"",""yes"")"),"no")</f>
        <v>no</v>
      </c>
    </row>
    <row r="1032">
      <c r="A1032" s="75" t="s">
        <v>908</v>
      </c>
      <c r="B1032" s="19">
        <v>16.0</v>
      </c>
      <c r="C1032" s="19" t="s">
        <v>1744</v>
      </c>
      <c r="D1032" s="22" t="str">
        <f t="shared" si="824"/>
        <v/>
      </c>
      <c r="E1032" s="20">
        <f>Q1032</f>
        <v>43802</v>
      </c>
      <c r="F1032" s="79" t="str">
        <f>IFERROR(__xludf.DUMMYFUNCTION("iferror(ifna(IFNA(filter('2.1.clean'!E:E,'2.1.clean'!A:A=C1032),filter('2.2.clean'!G:G,'2.2.clean'!D:D=C1032)),filter('2.4.clean'!E:E,'2.4.clean'!A:A=C1032)),)"),"")</f>
        <v/>
      </c>
      <c r="G1032" s="20" t="str">
        <f>IFERROR(__xludf.DUMMYFUNCTION("iferror(filter('3.1.clean'!C:C,'3.1.clean'!A:A=C1032),"""")"),"")</f>
        <v/>
      </c>
      <c r="H1032" s="22"/>
      <c r="I1032" s="22"/>
      <c r="J1032" s="79"/>
      <c r="K1032" s="20" t="str">
        <f>IFERROR(__xludf.DUMMYFUNCTION("iferror(filter('3.2.clean'!C:C,'3.2.clean'!A:A=C1032),"""")"),"")</f>
        <v/>
      </c>
      <c r="L1032" s="79"/>
      <c r="M1032" s="20" t="str">
        <f>IFERROR(__xludf.DUMMYFUNCTION("iferror(filter('3.3.clean'!C:C,'3.3.clean'!A:A=C1032),"""")"),"")</f>
        <v/>
      </c>
      <c r="N1032" s="79" t="b">
        <f t="shared" si="811"/>
        <v>0</v>
      </c>
      <c r="O1032" s="20" t="str">
        <f>IFERROR(__xludf.DUMMYFUNCTION("iferror(filter('3.4.clean'!C:C,'3.4.clean'!A:A=C1032),"""")"),"")</f>
        <v/>
      </c>
      <c r="P1032" s="79" t="b">
        <f t="shared" si="812"/>
        <v>0</v>
      </c>
      <c r="Q1032" s="20">
        <f>IFERROR(__xludf.DUMMYFUNCTION("iferror(filter('3.5.clean'!C:C,'3.5.clean'!A:A=C1032),"""")"),43802.0)</f>
        <v>43802</v>
      </c>
      <c r="R1032" s="22" t="b">
        <f t="shared" si="825"/>
        <v>1</v>
      </c>
      <c r="S1032" s="4">
        <f>IFERROR(__xludf.DUMMYFUNCTION("iferror(filter('3.5.clean'!H:H,'3.5.clean'!A:A=C1032),"""")"),0.0)</f>
        <v>0</v>
      </c>
      <c r="V1032" s="1" t="s">
        <v>64</v>
      </c>
      <c r="W1032" s="23" t="b">
        <f>IF(and(R1032=TRUE,N1032=TRUE,P1032=TRUE),TRUE,FALSE)</f>
        <v>0</v>
      </c>
      <c r="X1032" s="23" t="str">
        <f>IFERROR(__xludf.DUMMYFUNCTION("if(COUNTA(FILTER(C:C, C:C = C1032))=1,""no"",""yes"")"),"no")</f>
        <v>no</v>
      </c>
    </row>
    <row r="1033">
      <c r="A1033" s="75" t="s">
        <v>908</v>
      </c>
      <c r="B1033" s="19">
        <v>17.0</v>
      </c>
      <c r="C1033" s="19" t="s">
        <v>1745</v>
      </c>
      <c r="D1033" s="76" t="str">
        <f t="shared" si="824"/>
        <v/>
      </c>
      <c r="E1033" s="77">
        <f>G1033</f>
        <v>43802</v>
      </c>
      <c r="F1033" s="78" t="str">
        <f>IFERROR(__xludf.DUMMYFUNCTION("iferror(ifna(IFNA(filter('2.1.clean'!E:E,'2.1.clean'!A:A=C1033),filter('2.2.clean'!G:G,'2.2.clean'!D:D=C1033)),filter('2.4.clean'!E:E,'2.4.clean'!A:A=C1033)),)"),"")</f>
        <v/>
      </c>
      <c r="G1033" s="77">
        <f>IFERROR(__xludf.DUMMYFUNCTION("iferror(filter('3.1.clean'!C:C,'3.1.clean'!A:A=C1033),"""")"),43802.0)</f>
        <v>43802</v>
      </c>
      <c r="H1033" s="76" t="b">
        <f>if(G1033="",FALSE,TRUE)</f>
        <v>1</v>
      </c>
      <c r="I1033" s="76">
        <f>IFERROR(__xludf.DUMMYFUNCTION("iferror(filter('3.1.clean'!G:G,'3.1.clean'!A:A=C1033),"""")"),0.0)</f>
        <v>0</v>
      </c>
      <c r="J1033" s="78" t="str">
        <f>IFERROR(__xludf.DUMMYFUNCTION("iferror(filter('3.1.clean'!I:I,'3.1.clean'!A:A=C1033),"""")"),"")</f>
        <v/>
      </c>
      <c r="K1033" s="77"/>
      <c r="L1033" s="78"/>
      <c r="M1033" s="77"/>
      <c r="N1033" s="78"/>
      <c r="O1033" s="77"/>
      <c r="P1033" s="78"/>
      <c r="Q1033" s="77"/>
      <c r="R1033" s="76"/>
      <c r="S1033" s="25"/>
      <c r="V1033" s="1" t="s">
        <v>64</v>
      </c>
      <c r="W1033" s="1" t="b">
        <v>1</v>
      </c>
      <c r="X1033" s="23" t="str">
        <f>IFERROR(__xludf.DUMMYFUNCTION("if(COUNTA(FILTER(C:C, C:C = C1033))=1,""no"",""yes"")"),"no")</f>
        <v>no</v>
      </c>
    </row>
    <row r="1034">
      <c r="A1034" s="75" t="s">
        <v>908</v>
      </c>
      <c r="B1034" s="2">
        <v>18.0</v>
      </c>
      <c r="C1034" s="19" t="s">
        <v>1746</v>
      </c>
      <c r="E1034" s="24">
        <v>43802.0</v>
      </c>
      <c r="F1034" s="25" t="str">
        <f>IFERROR(__xludf.DUMMYFUNCTION("iferror(ifna(IFNA(filter('2.1.clean'!E:E,'2.1.clean'!A:A=C1034),filter('2.2.clean'!G:G,'2.2.clean'!D:D=C1034)),filter('2.4.clean'!E:E,'2.4.clean'!A:A=C1034)),)"),"")</f>
        <v/>
      </c>
      <c r="G1034" s="24" t="str">
        <f>IFERROR(__xludf.DUMMYFUNCTION("iferror(filter('3.1.clean'!C:C,'3.1.clean'!A:A=C1034),"""")"),"")</f>
        <v/>
      </c>
      <c r="J1034" s="25"/>
      <c r="K1034" s="24" t="str">
        <f>IFERROR(__xludf.DUMMYFUNCTION("iferror(filter('3.2.clean'!C:C,'3.2.clean'!A:A=C1034),"""")"),"")</f>
        <v/>
      </c>
      <c r="L1034" s="25"/>
      <c r="M1034" s="24">
        <f>IFERROR(__xludf.DUMMYFUNCTION("iferror(filter('3.3.clean'!C:C,'3.3.clean'!A:A=C1034),"""")"),43804.0)</f>
        <v>43804</v>
      </c>
      <c r="N1034" s="25" t="b">
        <f t="shared" ref="N1034:N1036" si="826">if(M1034="",FALSE,TRUE)</f>
        <v>1</v>
      </c>
      <c r="O1034" s="24">
        <f>IFERROR(__xludf.DUMMYFUNCTION("iferror(filter('3.4.clean'!C:C,'3.4.clean'!A:A=C1034),"""")"),43805.0)</f>
        <v>43805</v>
      </c>
      <c r="P1034" s="25" t="b">
        <f t="shared" ref="P1034:P1036" si="827">if(O1034="",FALSE,TRUE)</f>
        <v>1</v>
      </c>
      <c r="Q1034" s="24" t="str">
        <f>IFERROR(__xludf.DUMMYFUNCTION("iferror(filter('3.5.clean'!C:C,'3.5.clean'!A:A=C1034),"""")"),"")</f>
        <v/>
      </c>
      <c r="S1034" s="25"/>
      <c r="V1034" s="52" t="s">
        <v>64</v>
      </c>
      <c r="X1034" s="23" t="str">
        <f>IFERROR(__xludf.DUMMYFUNCTION("if(COUNTA(FILTER(C:C, C:C = C1034))=1,""no"",""yes"")"),"no")</f>
        <v>no</v>
      </c>
    </row>
    <row r="1035">
      <c r="A1035" s="1" t="s">
        <v>911</v>
      </c>
      <c r="B1035" s="2">
        <v>1.0</v>
      </c>
      <c r="C1035" s="19" t="s">
        <v>1747</v>
      </c>
      <c r="E1035" s="24">
        <f>IFERROR(__xludf.DUMMYFUNCTION("ifna(IFNA(filter('2.1.clean'!C:C,'2.1.clean'!A:A=C1035),filter('2.2.clean'!E:E,'2.2.clean'!D:D=C1035)),filter('2.4.clean'!C:C,'2.4.clean'!A:A=C1035))"),43803.0)</f>
        <v>43803</v>
      </c>
      <c r="F1035" s="25">
        <f>IFERROR(__xludf.DUMMYFUNCTION("iferror(ifna(IFNA(filter('2.1.clean'!E:E,'2.1.clean'!A:A=C1035),filter('2.2.clean'!G:G,'2.2.clean'!D:D=C1035)),filter('2.4.clean'!E:E,'2.4.clean'!A:A=C1035)),)"),2.4)</f>
        <v>2.4</v>
      </c>
      <c r="G1035" s="24">
        <f>IFERROR(__xludf.DUMMYFUNCTION("iferror(filter('3.1.clean'!C:C,'3.1.clean'!A:A=C1035),"""")"),43803.0)</f>
        <v>43803</v>
      </c>
      <c r="H1035" s="23" t="b">
        <f>if(G1035="",FALSE,TRUE)</f>
        <v>1</v>
      </c>
      <c r="J1035" s="25"/>
      <c r="K1035" s="24">
        <f>IFERROR(__xludf.DUMMYFUNCTION("iferror(filter('3.2.clean'!C:C,'3.2.clean'!A:A=C1035),"""")"),43803.0)</f>
        <v>43803</v>
      </c>
      <c r="L1035" s="25" t="b">
        <f>if(K1035="",FALSE,TRUE)</f>
        <v>1</v>
      </c>
      <c r="M1035" s="24">
        <f>IFERROR(__xludf.DUMMYFUNCTION("iferror(filter('3.3.clean'!C:C,'3.3.clean'!A:A=C1035),"""")"),43804.0)</f>
        <v>43804</v>
      </c>
      <c r="N1035" s="25" t="b">
        <f t="shared" si="826"/>
        <v>1</v>
      </c>
      <c r="O1035" s="24">
        <f>IFERROR(__xludf.DUMMYFUNCTION("iferror(filter('3.4.clean'!C:C,'3.4.clean'!A:A=C1035),"""")"),43805.0)</f>
        <v>43805</v>
      </c>
      <c r="P1035" s="25" t="b">
        <f t="shared" si="827"/>
        <v>1</v>
      </c>
      <c r="Q1035" s="24" t="str">
        <f>IFERROR(__xludf.DUMMYFUNCTION("iferror(filter('3.5.clean'!C:C,'3.5.clean'!A:A=C1035),"""")"),"")</f>
        <v/>
      </c>
      <c r="S1035" s="25"/>
      <c r="U1035" s="23"/>
      <c r="V1035" s="1" t="s">
        <v>64</v>
      </c>
      <c r="X1035" s="23" t="str">
        <f>IFERROR(__xludf.DUMMYFUNCTION("if(COUNTA(FILTER(C:C, C:C = C1035))=1,""no"",""yes"")"),"no")</f>
        <v>no</v>
      </c>
    </row>
    <row r="1036">
      <c r="A1036" s="1" t="s">
        <v>911</v>
      </c>
      <c r="B1036" s="2">
        <v>2.0</v>
      </c>
      <c r="C1036" s="19" t="s">
        <v>1748</v>
      </c>
      <c r="E1036" s="24">
        <v>43803.0</v>
      </c>
      <c r="F1036" s="25" t="str">
        <f>IFERROR(__xludf.DUMMYFUNCTION("iferror(ifna(IFNA(filter('2.1.clean'!E:E,'2.1.clean'!A:A=C1036),filter('2.2.clean'!G:G,'2.2.clean'!D:D=C1036)),filter('2.4.clean'!E:E,'2.4.clean'!A:A=C1036)),)"),"")</f>
        <v/>
      </c>
      <c r="G1036" s="24" t="str">
        <f>IFERROR(__xludf.DUMMYFUNCTION("iferror(filter('3.1.clean'!C:C,'3.1.clean'!A:A=C1036),"""")"),"")</f>
        <v/>
      </c>
      <c r="J1036" s="25"/>
      <c r="K1036" s="24" t="str">
        <f>IFERROR(__xludf.DUMMYFUNCTION("iferror(filter('3.2.clean'!C:C,'3.2.clean'!A:A=C1036),"""")"),"")</f>
        <v/>
      </c>
      <c r="L1036" s="25"/>
      <c r="M1036" s="24">
        <f>IFERROR(__xludf.DUMMYFUNCTION("iferror(filter('3.3.clean'!C:C,'3.3.clean'!A:A=C1036),"""")"),43804.0)</f>
        <v>43804</v>
      </c>
      <c r="N1036" s="25" t="b">
        <f t="shared" si="826"/>
        <v>1</v>
      </c>
      <c r="O1036" s="24">
        <f>IFERROR(__xludf.DUMMYFUNCTION("iferror(filter('3.4.clean'!C:C,'3.4.clean'!A:A=C1036),"""")"),43805.0)</f>
        <v>43805</v>
      </c>
      <c r="P1036" s="25" t="b">
        <f t="shared" si="827"/>
        <v>1</v>
      </c>
      <c r="Q1036" s="24" t="str">
        <f>IFERROR(__xludf.DUMMYFUNCTION("iferror(filter('3.5.clean'!C:C,'3.5.clean'!A:A=C1036),"""")"),"")</f>
        <v/>
      </c>
      <c r="S1036" s="25"/>
      <c r="U1036" s="23"/>
      <c r="V1036" s="1" t="s">
        <v>64</v>
      </c>
      <c r="X1036" s="23" t="str">
        <f>IFERROR(__xludf.DUMMYFUNCTION("if(COUNTA(FILTER(C:C, C:C = C1036))=1,""no"",""yes"")"),"no")</f>
        <v>no</v>
      </c>
    </row>
    <row r="1037">
      <c r="A1037" s="1" t="s">
        <v>911</v>
      </c>
      <c r="B1037" s="19">
        <v>3.0</v>
      </c>
      <c r="C1037" s="19" t="s">
        <v>1749</v>
      </c>
      <c r="D1037" s="76" t="str">
        <f>if(or(I1037=1,J1037=1,S1037=1),"pos","")</f>
        <v/>
      </c>
      <c r="E1037" s="77">
        <f>G1037</f>
        <v>43803</v>
      </c>
      <c r="F1037" s="78" t="str">
        <f>IFERROR(__xludf.DUMMYFUNCTION("iferror(ifna(IFNA(filter('2.1.clean'!E:E,'2.1.clean'!A:A=C1037),filter('2.2.clean'!G:G,'2.2.clean'!D:D=C1037)),filter('2.4.clean'!E:E,'2.4.clean'!A:A=C1037)),)"),"")</f>
        <v/>
      </c>
      <c r="G1037" s="77">
        <f>IFERROR(__xludf.DUMMYFUNCTION("iferror(filter('3.1.clean'!C:C,'3.1.clean'!A:A=C1037),"""")"),43803.0)</f>
        <v>43803</v>
      </c>
      <c r="H1037" s="76" t="b">
        <f>if(G1037="",FALSE,TRUE)</f>
        <v>1</v>
      </c>
      <c r="I1037" s="76">
        <f>IFERROR(__xludf.DUMMYFUNCTION("iferror(filter('3.1.clean'!G:G,'3.1.clean'!A:A=C1037),"""")"),0.0)</f>
        <v>0</v>
      </c>
      <c r="J1037" s="78" t="str">
        <f>IFERROR(__xludf.DUMMYFUNCTION("iferror(filter('3.1.clean'!I:I,'3.1.clean'!A:A=C1037),"""")"),"")</f>
        <v/>
      </c>
      <c r="K1037" s="77"/>
      <c r="L1037" s="78"/>
      <c r="M1037" s="77"/>
      <c r="N1037" s="78"/>
      <c r="O1037" s="77"/>
      <c r="P1037" s="78"/>
      <c r="Q1037" s="77"/>
      <c r="R1037" s="76"/>
      <c r="S1037" s="25"/>
      <c r="V1037" s="1" t="s">
        <v>64</v>
      </c>
      <c r="W1037" s="1" t="b">
        <v>1</v>
      </c>
      <c r="X1037" s="23" t="str">
        <f>IFERROR(__xludf.DUMMYFUNCTION("if(COUNTA(FILTER(C:C, C:C = C1037))=1,""no"",""yes"")"),"no")</f>
        <v>no</v>
      </c>
    </row>
    <row r="1038">
      <c r="A1038" s="75" t="s">
        <v>915</v>
      </c>
      <c r="B1038" s="2">
        <v>1.0</v>
      </c>
      <c r="C1038" s="19" t="s">
        <v>1750</v>
      </c>
      <c r="E1038" s="24">
        <f>IFERROR(__xludf.DUMMYFUNCTION("ifna(IFNA(filter('2.1.clean'!C:C,'2.1.clean'!A:A=C1038),filter('2.2.clean'!E:E,'2.2.clean'!D:D=C1038)),filter('2.4.clean'!C:C,'2.4.clean'!A:A=C1038))"),43804.0)</f>
        <v>43804</v>
      </c>
      <c r="F1038" s="25">
        <f>IFERROR(__xludf.DUMMYFUNCTION("iferror(ifna(IFNA(filter('2.1.clean'!E:E,'2.1.clean'!A:A=C1038),filter('2.2.clean'!G:G,'2.2.clean'!D:D=C1038)),filter('2.4.clean'!E:E,'2.4.clean'!A:A=C1038)),)"),2.4)</f>
        <v>2.4</v>
      </c>
      <c r="G1038" s="24"/>
      <c r="J1038" s="25"/>
      <c r="K1038" s="24"/>
      <c r="L1038" s="25"/>
      <c r="M1038" s="24">
        <f>IFERROR(__xludf.DUMMYFUNCTION("iferror(filter('3.3.clean'!C:C,'3.3.clean'!A:A=C1038),"""")"),43808.0)</f>
        <v>43808</v>
      </c>
      <c r="N1038" s="25" t="b">
        <f t="shared" ref="N1038:N1056" si="828">if(M1038="",FALSE,TRUE)</f>
        <v>1</v>
      </c>
      <c r="O1038" s="24">
        <f>IFERROR(__xludf.DUMMYFUNCTION("iferror(filter('3.4.clean'!C:C,'3.4.clean'!A:A=C1038),"""")"),43810.0)</f>
        <v>43810</v>
      </c>
      <c r="P1038" s="25" t="b">
        <f t="shared" ref="P1038:P1056" si="829">if(O1038="",FALSE,TRUE)</f>
        <v>1</v>
      </c>
      <c r="Q1038" s="24">
        <f>IFERROR(__xludf.DUMMYFUNCTION("iferror(filter('3.5.clean'!C:C,'3.5.clean'!A:A=C1038),"""")"),43804.0)</f>
        <v>43804</v>
      </c>
      <c r="R1038" s="23" t="b">
        <f>if(Q1038="",FALSE,TRUE)</f>
        <v>1</v>
      </c>
      <c r="S1038" s="25"/>
      <c r="V1038" s="52" t="s">
        <v>64</v>
      </c>
      <c r="W1038" s="23" t="b">
        <f>IF(and(R1038=TRUE,N1038=TRUE,P1038=TRUE),TRUE,FALSE)</f>
        <v>1</v>
      </c>
      <c r="X1038" s="23" t="str">
        <f>IFERROR(__xludf.DUMMYFUNCTION("if(COUNTA(FILTER(C:C, C:C = C1038))=1,""no"",""yes"")"),"no")</f>
        <v>no</v>
      </c>
    </row>
    <row r="1039">
      <c r="A1039" s="75" t="s">
        <v>915</v>
      </c>
      <c r="B1039" s="19">
        <v>2.0</v>
      </c>
      <c r="C1039" s="19" t="s">
        <v>1751</v>
      </c>
      <c r="D1039" s="58" t="str">
        <f t="shared" ref="D1039:D1040" si="830">if(or(I1039=1,J1039=1,S1039=1),"pos","")</f>
        <v/>
      </c>
      <c r="E1039" s="59">
        <f>IFERROR(__xludf.DUMMYFUNCTION("ifna(IFNA(filter('2.1.clean'!C:C,'2.1.clean'!A:A=C1039),filter('2.2.clean'!E:E,'2.2.clean'!D:D=C1039)),filter('2.4.clean'!C:C,'2.4.clean'!A:A=C1039))"),43804.0)</f>
        <v>43804</v>
      </c>
      <c r="F1039" s="60">
        <f>IFERROR(__xludf.DUMMYFUNCTION("iferror(ifna(IFNA(filter('2.1.clean'!E:E,'2.1.clean'!A:A=C1039),filter('2.2.clean'!G:G,'2.2.clean'!D:D=C1039)),filter('2.4.clean'!E:E,'2.4.clean'!A:A=C1039)),)"),2.4)</f>
        <v>2.4</v>
      </c>
      <c r="G1039" s="59">
        <f>IFERROR(__xludf.DUMMYFUNCTION("iferror(filter('3.1.clean'!C:C,'3.1.clean'!A:A=C1039),"""")"),43804.0)</f>
        <v>43804</v>
      </c>
      <c r="H1039" s="58" t="b">
        <f>if(G1039="",FALSE,TRUE)</f>
        <v>1</v>
      </c>
      <c r="I1039" s="58">
        <f>IFERROR(__xludf.DUMMYFUNCTION("iferror(filter('3.1.clean'!G:G,'3.1.clean'!A:A=C1039),"""")"),0.0)</f>
        <v>0</v>
      </c>
      <c r="J1039" s="60" t="str">
        <f>IFERROR(__xludf.DUMMYFUNCTION("iferror(filter('3.1.clean'!I:I,'3.1.clean'!A:A=C1039),"""")"),"")</f>
        <v/>
      </c>
      <c r="K1039" s="58"/>
      <c r="L1039" s="60"/>
      <c r="M1039" s="59" t="str">
        <f>IFERROR(__xludf.DUMMYFUNCTION("iferror(filter('3.3.clean'!C:C,'3.3.clean'!A:A=C1039),"""")"),"")</f>
        <v/>
      </c>
      <c r="N1039" s="60" t="b">
        <f t="shared" si="828"/>
        <v>0</v>
      </c>
      <c r="O1039" s="59" t="str">
        <f>IFERROR(__xludf.DUMMYFUNCTION("iferror(filter('3.4.clean'!C:C,'3.4.clean'!A:A=C1039),"""")"),"")</f>
        <v/>
      </c>
      <c r="P1039" s="60" t="b">
        <f t="shared" si="829"/>
        <v>0</v>
      </c>
      <c r="Q1039" s="59" t="str">
        <f>IFERROR(__xludf.DUMMYFUNCTION("iferror(filter('3.5.clean'!C:C,'3.5.clean'!A:A=C1039),"""")"),"")</f>
        <v/>
      </c>
      <c r="R1039" s="58"/>
      <c r="S1039" s="4" t="str">
        <f>IFERROR(__xludf.DUMMYFUNCTION("iferror(filter('3.5.clean'!H:H,'3.5.clean'!A:A=C1039),"""")"),"")</f>
        <v/>
      </c>
      <c r="W1039" s="23" t="b">
        <f>if(AND(H1039=TRUE,N1039=TRUE,P1039=TRUE),TRUE,FALSE)</f>
        <v>0</v>
      </c>
      <c r="X1039" s="23" t="str">
        <f>IFERROR(__xludf.DUMMYFUNCTION("if(COUNTA(FILTER(C:C, C:C = C1039))=1,""no"",""yes"")"),"no")</f>
        <v>no</v>
      </c>
    </row>
    <row r="1040">
      <c r="A1040" s="75" t="s">
        <v>915</v>
      </c>
      <c r="B1040" s="19">
        <v>3.0</v>
      </c>
      <c r="C1040" s="19" t="s">
        <v>1752</v>
      </c>
      <c r="D1040" s="58" t="str">
        <f t="shared" si="830"/>
        <v/>
      </c>
      <c r="E1040" s="59">
        <f>Q1040</f>
        <v>43804</v>
      </c>
      <c r="F1040" s="60" t="str">
        <f>IFERROR(__xludf.DUMMYFUNCTION("iferror(ifna(IFNA(filter('2.1.clean'!E:E,'2.1.clean'!A:A=C1040),filter('2.2.clean'!G:G,'2.2.clean'!D:D=C1040)),filter('2.4.clean'!E:E,'2.4.clean'!A:A=C1040)),)"),"")</f>
        <v/>
      </c>
      <c r="G1040" s="59" t="str">
        <f>IFERROR(__xludf.DUMMYFUNCTION("iferror(filter('3.1.clean'!C:C,'3.1.clean'!A:A=C1040),"""")"),"")</f>
        <v/>
      </c>
      <c r="H1040" s="58"/>
      <c r="I1040" s="58" t="str">
        <f>IFERROR(__xludf.DUMMYFUNCTION("iferror(filter('3.1.clean'!G:G,'3.1.clean'!A:A=C1040),"""")"),"")</f>
        <v/>
      </c>
      <c r="J1040" s="60" t="str">
        <f>IFERROR(__xludf.DUMMYFUNCTION("iferror(filter('3.1.clean'!I:I,'3.1.clean'!A:A=C1040),"""")"),"")</f>
        <v/>
      </c>
      <c r="K1040" s="59"/>
      <c r="L1040" s="60"/>
      <c r="M1040" s="59" t="str">
        <f>IFERROR(__xludf.DUMMYFUNCTION("iferror(filter('3.3.clean'!C:C,'3.3.clean'!A:A=C1040),"""")"),"")</f>
        <v/>
      </c>
      <c r="N1040" s="60" t="b">
        <f t="shared" si="828"/>
        <v>0</v>
      </c>
      <c r="O1040" s="59" t="str">
        <f>IFERROR(__xludf.DUMMYFUNCTION("iferror(filter('3.4.clean'!C:C,'3.4.clean'!A:A=C1040),"""")"),"")</f>
        <v/>
      </c>
      <c r="P1040" s="60" t="b">
        <f t="shared" si="829"/>
        <v>0</v>
      </c>
      <c r="Q1040" s="59">
        <f>IFERROR(__xludf.DUMMYFUNCTION("iferror(filter('3.5.clean'!C:C,'3.5.clean'!A:A=C1040),"""")"),43804.0)</f>
        <v>43804</v>
      </c>
      <c r="R1040" s="58" t="b">
        <f t="shared" ref="R1040:R1041" si="831">if(Q1040="",FALSE,TRUE)</f>
        <v>1</v>
      </c>
      <c r="S1040" s="4">
        <f>IFERROR(__xludf.DUMMYFUNCTION("iferror(filter('3.5.clean'!H:H,'3.5.clean'!A:A=C1040),"""")"),0.0)</f>
        <v>0</v>
      </c>
      <c r="V1040" s="52" t="s">
        <v>64</v>
      </c>
      <c r="W1040" s="23" t="b">
        <f>if(AND(R1040=TRUE,N1040=TRUE,P1040=TRUE),TRUE,FALSE)</f>
        <v>0</v>
      </c>
      <c r="X1040" s="23" t="str">
        <f>IFERROR(__xludf.DUMMYFUNCTION("if(COUNTA(FILTER(C:C, C:C = C1040))=1,""no"",""yes"")"),"no")</f>
        <v>no</v>
      </c>
    </row>
    <row r="1041">
      <c r="A1041" s="75" t="s">
        <v>915</v>
      </c>
      <c r="B1041" s="2">
        <v>4.0</v>
      </c>
      <c r="C1041" s="19" t="s">
        <v>1753</v>
      </c>
      <c r="E1041" s="24">
        <f>IFERROR(__xludf.DUMMYFUNCTION("ifna(IFNA(filter('2.1.clean'!C:C,'2.1.clean'!A:A=C1041),filter('2.2.clean'!E:E,'2.2.clean'!D:D=C1041)),filter('2.4.clean'!C:C,'2.4.clean'!A:A=C1041))"),43804.0)</f>
        <v>43804</v>
      </c>
      <c r="F1041" s="25">
        <f>IFERROR(__xludf.DUMMYFUNCTION("iferror(ifna(IFNA(filter('2.1.clean'!E:E,'2.1.clean'!A:A=C1041),filter('2.2.clean'!G:G,'2.2.clean'!D:D=C1041)),filter('2.4.clean'!E:E,'2.4.clean'!A:A=C1041)),)"),2.4)</f>
        <v>2.4</v>
      </c>
      <c r="G1041" s="24"/>
      <c r="J1041" s="25"/>
      <c r="K1041" s="24"/>
      <c r="L1041" s="25"/>
      <c r="M1041" s="24">
        <f>IFERROR(__xludf.DUMMYFUNCTION("iferror(filter('3.3.clean'!C:C,'3.3.clean'!A:A=C1041),"""")"),43808.0)</f>
        <v>43808</v>
      </c>
      <c r="N1041" s="25" t="b">
        <f t="shared" si="828"/>
        <v>1</v>
      </c>
      <c r="O1041" s="24">
        <f>IFERROR(__xludf.DUMMYFUNCTION("iferror(filter('3.4.clean'!C:C,'3.4.clean'!A:A=C1041),"""")"),43810.0)</f>
        <v>43810</v>
      </c>
      <c r="P1041" s="25" t="b">
        <f t="shared" si="829"/>
        <v>1</v>
      </c>
      <c r="Q1041" s="24">
        <f>IFERROR(__xludf.DUMMYFUNCTION("iferror(filter('3.5.clean'!C:C,'3.5.clean'!A:A=C1041),"""")"),43804.0)</f>
        <v>43804</v>
      </c>
      <c r="R1041" s="23" t="b">
        <f t="shared" si="831"/>
        <v>1</v>
      </c>
      <c r="S1041" s="25"/>
      <c r="V1041" s="52" t="s">
        <v>64</v>
      </c>
      <c r="W1041" s="23" t="b">
        <f>IF(and(R1041=TRUE,N1041=TRUE,P1041=TRUE),TRUE,FALSE)</f>
        <v>1</v>
      </c>
      <c r="X1041" s="23" t="str">
        <f>IFERROR(__xludf.DUMMYFUNCTION("if(COUNTA(FILTER(C:C, C:C = C1041))=1,""no"",""yes"")"),"no")</f>
        <v>no</v>
      </c>
    </row>
    <row r="1042">
      <c r="A1042" s="75" t="s">
        <v>915</v>
      </c>
      <c r="B1042" s="19">
        <v>5.0</v>
      </c>
      <c r="C1042" s="19" t="s">
        <v>1754</v>
      </c>
      <c r="D1042" s="58" t="str">
        <f t="shared" ref="D1042:D1043" si="832">if(or(I1042=1,J1042=1,S1042=1),"pos","")</f>
        <v/>
      </c>
      <c r="E1042" s="59">
        <f>IFERROR(__xludf.DUMMYFUNCTION("ifna(IFNA(filter('2.1.clean'!C:C,'2.1.clean'!A:A=C1042),filter('2.2.clean'!E:E,'2.2.clean'!D:D=C1042)),filter('2.4.clean'!C:C,'2.4.clean'!A:A=C1042))"),43804.0)</f>
        <v>43804</v>
      </c>
      <c r="F1042" s="60">
        <f>IFERROR(__xludf.DUMMYFUNCTION("iferror(ifna(IFNA(filter('2.1.clean'!E:E,'2.1.clean'!A:A=C1042),filter('2.2.clean'!G:G,'2.2.clean'!D:D=C1042)),filter('2.4.clean'!E:E,'2.4.clean'!A:A=C1042)),)"),2.4)</f>
        <v>2.4</v>
      </c>
      <c r="G1042" s="59">
        <f>IFERROR(__xludf.DUMMYFUNCTION("iferror(filter('3.1.clean'!C:C,'3.1.clean'!A:A=C1042),"""")"),43804.0)</f>
        <v>43804</v>
      </c>
      <c r="H1042" s="58" t="b">
        <f>if(G1042="",FALSE,TRUE)</f>
        <v>1</v>
      </c>
      <c r="I1042" s="58">
        <f>IFERROR(__xludf.DUMMYFUNCTION("iferror(filter('3.1.clean'!G:G,'3.1.clean'!A:A=C1042),"""")"),0.0)</f>
        <v>0</v>
      </c>
      <c r="J1042" s="60" t="str">
        <f>IFERROR(__xludf.DUMMYFUNCTION("iferror(filter('3.1.clean'!I:I,'3.1.clean'!A:A=C1042),"""")"),"")</f>
        <v/>
      </c>
      <c r="K1042" s="58"/>
      <c r="L1042" s="60"/>
      <c r="M1042" s="59">
        <f>IFERROR(__xludf.DUMMYFUNCTION("iferror(filter('3.3.clean'!C:C,'3.3.clean'!A:A=C1042),"""")"),43808.0)</f>
        <v>43808</v>
      </c>
      <c r="N1042" s="60" t="b">
        <f t="shared" si="828"/>
        <v>1</v>
      </c>
      <c r="O1042" s="59" t="str">
        <f>IFERROR(__xludf.DUMMYFUNCTION("iferror(filter('3.4.clean'!C:C,'3.4.clean'!A:A=C1042),"""")"),"")</f>
        <v/>
      </c>
      <c r="P1042" s="60" t="b">
        <f t="shared" si="829"/>
        <v>0</v>
      </c>
      <c r="Q1042" s="59" t="str">
        <f>IFERROR(__xludf.DUMMYFUNCTION("iferror(filter('3.5.clean'!C:C,'3.5.clean'!A:A=C1042),"""")"),"")</f>
        <v/>
      </c>
      <c r="R1042" s="58"/>
      <c r="S1042" s="4" t="str">
        <f>IFERROR(__xludf.DUMMYFUNCTION("iferror(filter('3.5.clean'!H:H,'3.5.clean'!A:A=C1042),"""")"),"")</f>
        <v/>
      </c>
      <c r="W1042" s="23" t="b">
        <f>if(AND(H1042=TRUE,N1042=TRUE,P1042=TRUE),TRUE,FALSE)</f>
        <v>0</v>
      </c>
      <c r="X1042" s="23" t="str">
        <f>IFERROR(__xludf.DUMMYFUNCTION("if(COUNTA(FILTER(C:C, C:C = C1042))=1,""no"",""yes"")"),"no")</f>
        <v>no</v>
      </c>
    </row>
    <row r="1043">
      <c r="A1043" s="75" t="s">
        <v>915</v>
      </c>
      <c r="B1043" s="19">
        <v>6.0</v>
      </c>
      <c r="C1043" s="19" t="s">
        <v>1755</v>
      </c>
      <c r="D1043" s="58" t="str">
        <f t="shared" si="832"/>
        <v/>
      </c>
      <c r="E1043" s="59">
        <f>Q1043</f>
        <v>43804</v>
      </c>
      <c r="F1043" s="60" t="str">
        <f>IFERROR(__xludf.DUMMYFUNCTION("iferror(ifna(IFNA(filter('2.1.clean'!E:E,'2.1.clean'!A:A=C1043),filter('2.2.clean'!G:G,'2.2.clean'!D:D=C1043)),filter('2.4.clean'!E:E,'2.4.clean'!A:A=C1043)),)"),"")</f>
        <v/>
      </c>
      <c r="G1043" s="59" t="str">
        <f>IFERROR(__xludf.DUMMYFUNCTION("iferror(filter('3.1.clean'!C:C,'3.1.clean'!A:A=C1043),"""")"),"")</f>
        <v/>
      </c>
      <c r="H1043" s="58"/>
      <c r="I1043" s="58" t="str">
        <f>IFERROR(__xludf.DUMMYFUNCTION("iferror(filter('3.1.clean'!G:G,'3.1.clean'!A:A=C1043),"""")"),"")</f>
        <v/>
      </c>
      <c r="J1043" s="60" t="str">
        <f>IFERROR(__xludf.DUMMYFUNCTION("iferror(filter('3.1.clean'!I:I,'3.1.clean'!A:A=C1043),"""")"),"")</f>
        <v/>
      </c>
      <c r="K1043" s="59"/>
      <c r="L1043" s="60"/>
      <c r="M1043" s="59" t="str">
        <f>IFERROR(__xludf.DUMMYFUNCTION("iferror(filter('3.3.clean'!C:C,'3.3.clean'!A:A=C1043),"""")"),"")</f>
        <v/>
      </c>
      <c r="N1043" s="60" t="b">
        <f t="shared" si="828"/>
        <v>0</v>
      </c>
      <c r="O1043" s="59">
        <f>IFERROR(__xludf.DUMMYFUNCTION("iferror(filter('3.4.clean'!C:C,'3.4.clean'!A:A=C1043),"""")"),43810.0)</f>
        <v>43810</v>
      </c>
      <c r="P1043" s="60" t="b">
        <f t="shared" si="829"/>
        <v>1</v>
      </c>
      <c r="Q1043" s="59">
        <f>IFERROR(__xludf.DUMMYFUNCTION("iferror(filter('3.5.clean'!C:C,'3.5.clean'!A:A=C1043),"""")"),43804.0)</f>
        <v>43804</v>
      </c>
      <c r="R1043" s="58" t="b">
        <f t="shared" ref="R1043:R1044" si="833">if(Q1043="",FALSE,TRUE)</f>
        <v>1</v>
      </c>
      <c r="S1043" s="4">
        <f>IFERROR(__xludf.DUMMYFUNCTION("iferror(filter('3.5.clean'!H:H,'3.5.clean'!A:A=C1043),"""")"),0.0)</f>
        <v>0</v>
      </c>
      <c r="V1043" s="52" t="s">
        <v>64</v>
      </c>
      <c r="W1043" s="23" t="b">
        <f>if(AND(R1043=TRUE,N1043=TRUE,P1043=TRUE),TRUE,FALSE)</f>
        <v>0</v>
      </c>
      <c r="X1043" s="23" t="str">
        <f>IFERROR(__xludf.DUMMYFUNCTION("if(COUNTA(FILTER(C:C, C:C = C1043))=1,""no"",""yes"")"),"no")</f>
        <v>no</v>
      </c>
    </row>
    <row r="1044">
      <c r="A1044" s="75" t="s">
        <v>915</v>
      </c>
      <c r="B1044" s="2">
        <v>7.0</v>
      </c>
      <c r="C1044" s="19" t="s">
        <v>1756</v>
      </c>
      <c r="E1044" s="24">
        <f>IFERROR(__xludf.DUMMYFUNCTION("ifna(IFNA(filter('2.1.clean'!C:C,'2.1.clean'!A:A=C1044),filter('2.2.clean'!E:E,'2.2.clean'!D:D=C1044)),filter('2.4.clean'!C:C,'2.4.clean'!A:A=C1044))"),43804.0)</f>
        <v>43804</v>
      </c>
      <c r="F1044" s="25">
        <f>IFERROR(__xludf.DUMMYFUNCTION("iferror(ifna(IFNA(filter('2.1.clean'!E:E,'2.1.clean'!A:A=C1044),filter('2.2.clean'!G:G,'2.2.clean'!D:D=C1044)),filter('2.4.clean'!E:E,'2.4.clean'!A:A=C1044)),)"),2.4)</f>
        <v>2.4</v>
      </c>
      <c r="G1044" s="24">
        <f>IFERROR(__xludf.DUMMYFUNCTION("iferror(filter('3.1.clean'!C:C,'3.1.clean'!A:A=C1044),"""")"),43804.0)</f>
        <v>43804</v>
      </c>
      <c r="H1044" s="23" t="b">
        <f t="shared" ref="H1044:H1045" si="834">if(G1044="",FALSE,TRUE)</f>
        <v>1</v>
      </c>
      <c r="J1044" s="25"/>
      <c r="K1044" s="24">
        <f>IFERROR(__xludf.DUMMYFUNCTION("iferror(filter('3.2.clean'!C:C,'3.2.clean'!A:A=C1044),"""")"),43805.0)</f>
        <v>43805</v>
      </c>
      <c r="L1044" s="25" t="b">
        <f>if(K1044="",FALSE,TRUE)</f>
        <v>1</v>
      </c>
      <c r="M1044" s="24">
        <f>IFERROR(__xludf.DUMMYFUNCTION("iferror(filter('3.3.clean'!C:C,'3.3.clean'!A:A=C1044),"""")"),43808.0)</f>
        <v>43808</v>
      </c>
      <c r="N1044" s="25" t="b">
        <f t="shared" si="828"/>
        <v>1</v>
      </c>
      <c r="O1044" s="24">
        <f>IFERROR(__xludf.DUMMYFUNCTION("iferror(filter('3.4.clean'!C:C,'3.4.clean'!A:A=C1044),"""")"),43810.0)</f>
        <v>43810</v>
      </c>
      <c r="P1044" s="25" t="b">
        <f t="shared" si="829"/>
        <v>1</v>
      </c>
      <c r="Q1044" s="24">
        <f>IFERROR(__xludf.DUMMYFUNCTION("iferror(filter('3.5.clean'!C:C,'3.5.clean'!A:A=C1044),"""")"),43804.0)</f>
        <v>43804</v>
      </c>
      <c r="R1044" s="23" t="b">
        <f t="shared" si="833"/>
        <v>1</v>
      </c>
      <c r="S1044" s="25"/>
      <c r="V1044" s="1" t="s">
        <v>64</v>
      </c>
      <c r="X1044" s="23" t="str">
        <f>IFERROR(__xludf.DUMMYFUNCTION("if(COUNTA(FILTER(C:C, C:C = C1044))=1,""no"",""yes"")"),"no")</f>
        <v>no</v>
      </c>
    </row>
    <row r="1045">
      <c r="A1045" s="75" t="s">
        <v>915</v>
      </c>
      <c r="B1045" s="19">
        <v>8.0</v>
      </c>
      <c r="C1045" s="19" t="s">
        <v>1757</v>
      </c>
      <c r="D1045" s="58" t="str">
        <f t="shared" ref="D1045:D1046" si="835">if(or(I1045=1,J1045=1,S1045=1),"pos","")</f>
        <v/>
      </c>
      <c r="E1045" s="59">
        <f>IFERROR(__xludf.DUMMYFUNCTION("ifna(IFNA(filter('2.1.clean'!C:C,'2.1.clean'!A:A=C1045),filter('2.2.clean'!E:E,'2.2.clean'!D:D=C1045)),filter('2.4.clean'!C:C,'2.4.clean'!A:A=C1045))"),43804.0)</f>
        <v>43804</v>
      </c>
      <c r="F1045" s="60">
        <f>IFERROR(__xludf.DUMMYFUNCTION("iferror(ifna(IFNA(filter('2.1.clean'!E:E,'2.1.clean'!A:A=C1045),filter('2.2.clean'!G:G,'2.2.clean'!D:D=C1045)),filter('2.4.clean'!E:E,'2.4.clean'!A:A=C1045)),)"),2.4)</f>
        <v>2.4</v>
      </c>
      <c r="G1045" s="59">
        <f>IFERROR(__xludf.DUMMYFUNCTION("iferror(filter('3.1.clean'!C:C,'3.1.clean'!A:A=C1045),"""")"),43804.0)</f>
        <v>43804</v>
      </c>
      <c r="H1045" s="58" t="b">
        <f t="shared" si="834"/>
        <v>1</v>
      </c>
      <c r="I1045" s="58">
        <f>IFERROR(__xludf.DUMMYFUNCTION("iferror(filter('3.1.clean'!G:G,'3.1.clean'!A:A=C1045),"""")"),0.0)</f>
        <v>0</v>
      </c>
      <c r="J1045" s="60" t="str">
        <f>IFERROR(__xludf.DUMMYFUNCTION("iferror(filter('3.1.clean'!I:I,'3.1.clean'!A:A=C1045),"""")"),"")</f>
        <v/>
      </c>
      <c r="K1045" s="58"/>
      <c r="L1045" s="60"/>
      <c r="M1045" s="59" t="str">
        <f>IFERROR(__xludf.DUMMYFUNCTION("iferror(filter('3.3.clean'!C:C,'3.3.clean'!A:A=C1045),"""")"),"")</f>
        <v/>
      </c>
      <c r="N1045" s="60" t="b">
        <f t="shared" si="828"/>
        <v>0</v>
      </c>
      <c r="O1045" s="59" t="str">
        <f>IFERROR(__xludf.DUMMYFUNCTION("iferror(filter('3.4.clean'!C:C,'3.4.clean'!A:A=C1045),"""")"),"")</f>
        <v/>
      </c>
      <c r="P1045" s="60" t="b">
        <f t="shared" si="829"/>
        <v>0</v>
      </c>
      <c r="Q1045" s="59" t="str">
        <f>IFERROR(__xludf.DUMMYFUNCTION("iferror(filter('3.5.clean'!C:C,'3.5.clean'!A:A=C1045),"""")"),"")</f>
        <v/>
      </c>
      <c r="R1045" s="58"/>
      <c r="S1045" s="4" t="str">
        <f>IFERROR(__xludf.DUMMYFUNCTION("iferror(filter('3.5.clean'!H:H,'3.5.clean'!A:A=C1045),"""")"),"")</f>
        <v/>
      </c>
      <c r="W1045" s="23" t="b">
        <f>if(AND(H1045=TRUE,N1045=TRUE,P1045=TRUE),TRUE,FALSE)</f>
        <v>0</v>
      </c>
      <c r="X1045" s="23" t="str">
        <f>IFERROR(__xludf.DUMMYFUNCTION("if(COUNTA(FILTER(C:C, C:C = C1045))=1,""no"",""yes"")"),"no")</f>
        <v>no</v>
      </c>
    </row>
    <row r="1046">
      <c r="A1046" s="75" t="s">
        <v>915</v>
      </c>
      <c r="B1046" s="19">
        <v>9.0</v>
      </c>
      <c r="C1046" s="19" t="s">
        <v>1758</v>
      </c>
      <c r="D1046" s="58" t="str">
        <f t="shared" si="835"/>
        <v/>
      </c>
      <c r="E1046" s="59">
        <f>Q1046</f>
        <v>43804</v>
      </c>
      <c r="F1046" s="60" t="str">
        <f>IFERROR(__xludf.DUMMYFUNCTION("iferror(ifna(IFNA(filter('2.1.clean'!E:E,'2.1.clean'!A:A=C1046),filter('2.2.clean'!G:G,'2.2.clean'!D:D=C1046)),filter('2.4.clean'!E:E,'2.4.clean'!A:A=C1046)),)"),"")</f>
        <v/>
      </c>
      <c r="G1046" s="59" t="str">
        <f>IFERROR(__xludf.DUMMYFUNCTION("iferror(filter('3.1.clean'!C:C,'3.1.clean'!A:A=C1046),"""")"),"")</f>
        <v/>
      </c>
      <c r="H1046" s="58"/>
      <c r="I1046" s="58" t="str">
        <f>IFERROR(__xludf.DUMMYFUNCTION("iferror(filter('3.1.clean'!G:G,'3.1.clean'!A:A=C1046),"""")"),"")</f>
        <v/>
      </c>
      <c r="J1046" s="60" t="str">
        <f>IFERROR(__xludf.DUMMYFUNCTION("iferror(filter('3.1.clean'!I:I,'3.1.clean'!A:A=C1046),"""")"),"")</f>
        <v/>
      </c>
      <c r="K1046" s="59"/>
      <c r="L1046" s="60"/>
      <c r="M1046" s="59" t="str">
        <f>IFERROR(__xludf.DUMMYFUNCTION("iferror(filter('3.3.clean'!C:C,'3.3.clean'!A:A=C1046),"""")"),"")</f>
        <v/>
      </c>
      <c r="N1046" s="60" t="b">
        <f t="shared" si="828"/>
        <v>0</v>
      </c>
      <c r="O1046" s="59" t="str">
        <f>IFERROR(__xludf.DUMMYFUNCTION("iferror(filter('3.4.clean'!C:C,'3.4.clean'!A:A=C1046),"""")"),"")</f>
        <v/>
      </c>
      <c r="P1046" s="60" t="b">
        <f t="shared" si="829"/>
        <v>0</v>
      </c>
      <c r="Q1046" s="59">
        <f>IFERROR(__xludf.DUMMYFUNCTION("iferror(filter('3.5.clean'!C:C,'3.5.clean'!A:A=C1046),"""")"),43804.0)</f>
        <v>43804</v>
      </c>
      <c r="R1046" s="58" t="b">
        <f t="shared" ref="R1046:R1047" si="836">if(Q1046="",FALSE,TRUE)</f>
        <v>1</v>
      </c>
      <c r="S1046" s="4">
        <f>IFERROR(__xludf.DUMMYFUNCTION("iferror(filter('3.5.clean'!H:H,'3.5.clean'!A:A=C1046),"""")"),0.0)</f>
        <v>0</v>
      </c>
      <c r="V1046" s="52" t="s">
        <v>64</v>
      </c>
      <c r="W1046" s="23" t="b">
        <f>if(AND(R1046=TRUE,N1046=TRUE,P1046=TRUE),TRUE,FALSE)</f>
        <v>0</v>
      </c>
      <c r="X1046" s="23" t="str">
        <f>IFERROR(__xludf.DUMMYFUNCTION("if(COUNTA(FILTER(C:C, C:C = C1046))=1,""no"",""yes"")"),"no")</f>
        <v>no</v>
      </c>
    </row>
    <row r="1047">
      <c r="A1047" s="75" t="s">
        <v>915</v>
      </c>
      <c r="B1047" s="2">
        <v>10.0</v>
      </c>
      <c r="C1047" s="19" t="s">
        <v>321</v>
      </c>
      <c r="E1047" s="24">
        <f>IFERROR(__xludf.DUMMYFUNCTION("ifna(IFNA(filter('2.1.clean'!C:C,'2.1.clean'!A:A=C1047),filter('2.2.clean'!E:E,'2.2.clean'!D:D=C1047)),filter('2.4.clean'!C:C,'2.4.clean'!A:A=C1047))"),43804.0)</f>
        <v>43804</v>
      </c>
      <c r="F1047" s="25">
        <f>IFERROR(__xludf.DUMMYFUNCTION("iferror(ifna(IFNA(filter('2.1.clean'!E:E,'2.1.clean'!A:A=C1047),filter('2.2.clean'!G:G,'2.2.clean'!D:D=C1047)),filter('2.4.clean'!E:E,'2.4.clean'!A:A=C1047)),)"),2.4)</f>
        <v>2.4</v>
      </c>
      <c r="G1047" s="24">
        <f>IFERROR(__xludf.DUMMYFUNCTION("iferror(filter('3.1.clean'!C:C,'3.1.clean'!A:A=C1047),"""")"),43804.0)</f>
        <v>43804</v>
      </c>
      <c r="H1047" s="23" t="b">
        <f t="shared" ref="H1047:H1048" si="837">if(G1047="",FALSE,TRUE)</f>
        <v>1</v>
      </c>
      <c r="J1047" s="25"/>
      <c r="K1047" s="24">
        <f>IFERROR(__xludf.DUMMYFUNCTION("iferror(filter('3.2.clean'!C:C,'3.2.clean'!A:A=C1047),"""")"),43805.0)</f>
        <v>43805</v>
      </c>
      <c r="L1047" s="25" t="b">
        <f>if(K1047="",FALSE,TRUE)</f>
        <v>1</v>
      </c>
      <c r="M1047" s="24">
        <f>IFERROR(__xludf.DUMMYFUNCTION("iferror(filter('3.3.clean'!C:C,'3.3.clean'!A:A=C1047),"""")"),43808.0)</f>
        <v>43808</v>
      </c>
      <c r="N1047" s="25" t="b">
        <f t="shared" si="828"/>
        <v>1</v>
      </c>
      <c r="O1047" s="24">
        <f>IFERROR(__xludf.DUMMYFUNCTION("iferror(filter('3.4.clean'!C:C,'3.4.clean'!A:A=C1047),"""")"),43810.0)</f>
        <v>43810</v>
      </c>
      <c r="P1047" s="25" t="b">
        <f t="shared" si="829"/>
        <v>1</v>
      </c>
      <c r="Q1047" s="24">
        <f>IFERROR(__xludf.DUMMYFUNCTION("iferror(filter('3.5.clean'!C:C,'3.5.clean'!A:A=C1047),"""")"),43804.0)</f>
        <v>43804</v>
      </c>
      <c r="R1047" s="23" t="b">
        <f t="shared" si="836"/>
        <v>1</v>
      </c>
      <c r="S1047" s="25"/>
      <c r="V1047" s="1" t="s">
        <v>64</v>
      </c>
      <c r="X1047" s="23" t="str">
        <f>IFERROR(__xludf.DUMMYFUNCTION("if(COUNTA(FILTER(C:C, C:C = C1047))=1,""no"",""yes"")"),"no")</f>
        <v>no</v>
      </c>
    </row>
    <row r="1048">
      <c r="A1048" s="75" t="s">
        <v>915</v>
      </c>
      <c r="B1048" s="19">
        <v>11.0</v>
      </c>
      <c r="C1048" s="19" t="s">
        <v>1759</v>
      </c>
      <c r="D1048" s="58" t="str">
        <f t="shared" ref="D1048:D1049" si="838">if(or(I1048=1,J1048=1,S1048=1),"pos","")</f>
        <v/>
      </c>
      <c r="E1048" s="59">
        <f>IFERROR(__xludf.DUMMYFUNCTION("ifna(IFNA(filter('2.1.clean'!C:C,'2.1.clean'!A:A=C1048),filter('2.2.clean'!E:E,'2.2.clean'!D:D=C1048)),filter('2.4.clean'!C:C,'2.4.clean'!A:A=C1048))"),43804.0)</f>
        <v>43804</v>
      </c>
      <c r="F1048" s="60">
        <f>IFERROR(__xludf.DUMMYFUNCTION("iferror(ifna(IFNA(filter('2.1.clean'!E:E,'2.1.clean'!A:A=C1048),filter('2.2.clean'!G:G,'2.2.clean'!D:D=C1048)),filter('2.4.clean'!E:E,'2.4.clean'!A:A=C1048)),)"),2.4)</f>
        <v>2.4</v>
      </c>
      <c r="G1048" s="59">
        <f>IFERROR(__xludf.DUMMYFUNCTION("iferror(filter('3.1.clean'!C:C,'3.1.clean'!A:A=C1048),"""")"),43804.0)</f>
        <v>43804</v>
      </c>
      <c r="H1048" s="58" t="b">
        <f t="shared" si="837"/>
        <v>1</v>
      </c>
      <c r="I1048" s="58">
        <f>IFERROR(__xludf.DUMMYFUNCTION("iferror(filter('3.1.clean'!G:G,'3.1.clean'!A:A=C1048),"""")"),0.0)</f>
        <v>0</v>
      </c>
      <c r="J1048" s="60" t="str">
        <f>IFERROR(__xludf.DUMMYFUNCTION("iferror(filter('3.1.clean'!I:I,'3.1.clean'!A:A=C1048),"""")"),"")</f>
        <v/>
      </c>
      <c r="K1048" s="58"/>
      <c r="L1048" s="60"/>
      <c r="M1048" s="59" t="str">
        <f>IFERROR(__xludf.DUMMYFUNCTION("iferror(filter('3.3.clean'!C:C,'3.3.clean'!A:A=C1048),"""")"),"")</f>
        <v/>
      </c>
      <c r="N1048" s="60" t="b">
        <f t="shared" si="828"/>
        <v>0</v>
      </c>
      <c r="O1048" s="59" t="str">
        <f>IFERROR(__xludf.DUMMYFUNCTION("iferror(filter('3.4.clean'!C:C,'3.4.clean'!A:A=C1048),"""")"),"")</f>
        <v/>
      </c>
      <c r="P1048" s="60" t="b">
        <f t="shared" si="829"/>
        <v>0</v>
      </c>
      <c r="Q1048" s="59" t="str">
        <f>IFERROR(__xludf.DUMMYFUNCTION("iferror(filter('3.5.clean'!C:C,'3.5.clean'!A:A=C1048),"""")"),"")</f>
        <v/>
      </c>
      <c r="R1048" s="58"/>
      <c r="S1048" s="4" t="str">
        <f>IFERROR(__xludf.DUMMYFUNCTION("iferror(filter('3.5.clean'!H:H,'3.5.clean'!A:A=C1048),"""")"),"")</f>
        <v/>
      </c>
      <c r="W1048" s="23" t="b">
        <f>if(AND(H1048=TRUE,N1048=TRUE,P1048=TRUE),TRUE,FALSE)</f>
        <v>0</v>
      </c>
      <c r="X1048" s="23" t="str">
        <f>IFERROR(__xludf.DUMMYFUNCTION("if(COUNTA(FILTER(C:C, C:C = C1048))=1,""no"",""yes"")"),"no")</f>
        <v>no</v>
      </c>
    </row>
    <row r="1049">
      <c r="A1049" s="75" t="s">
        <v>915</v>
      </c>
      <c r="B1049" s="19">
        <v>12.0</v>
      </c>
      <c r="C1049" s="19" t="s">
        <v>1760</v>
      </c>
      <c r="D1049" s="58" t="str">
        <f t="shared" si="838"/>
        <v/>
      </c>
      <c r="E1049" s="59">
        <f>Q1049</f>
        <v>43804</v>
      </c>
      <c r="F1049" s="60" t="str">
        <f>IFERROR(__xludf.DUMMYFUNCTION("iferror(ifna(IFNA(filter('2.1.clean'!E:E,'2.1.clean'!A:A=C1049),filter('2.2.clean'!G:G,'2.2.clean'!D:D=C1049)),filter('2.4.clean'!E:E,'2.4.clean'!A:A=C1049)),)"),"")</f>
        <v/>
      </c>
      <c r="G1049" s="59" t="str">
        <f>IFERROR(__xludf.DUMMYFUNCTION("iferror(filter('3.1.clean'!C:C,'3.1.clean'!A:A=C1049),"""")"),"")</f>
        <v/>
      </c>
      <c r="H1049" s="58"/>
      <c r="I1049" s="58" t="str">
        <f>IFERROR(__xludf.DUMMYFUNCTION("iferror(filter('3.1.clean'!G:G,'3.1.clean'!A:A=C1049),"""")"),"")</f>
        <v/>
      </c>
      <c r="J1049" s="60" t="str">
        <f>IFERROR(__xludf.DUMMYFUNCTION("iferror(filter('3.1.clean'!I:I,'3.1.clean'!A:A=C1049),"""")"),"")</f>
        <v/>
      </c>
      <c r="K1049" s="59"/>
      <c r="L1049" s="60"/>
      <c r="M1049" s="59" t="str">
        <f>IFERROR(__xludf.DUMMYFUNCTION("iferror(filter('3.3.clean'!C:C,'3.3.clean'!A:A=C1049),"""")"),"")</f>
        <v/>
      </c>
      <c r="N1049" s="60" t="b">
        <f t="shared" si="828"/>
        <v>0</v>
      </c>
      <c r="O1049" s="59" t="str">
        <f>IFERROR(__xludf.DUMMYFUNCTION("iferror(filter('3.4.clean'!C:C,'3.4.clean'!A:A=C1049),"""")"),"")</f>
        <v/>
      </c>
      <c r="P1049" s="60" t="b">
        <f t="shared" si="829"/>
        <v>0</v>
      </c>
      <c r="Q1049" s="59">
        <f>IFERROR(__xludf.DUMMYFUNCTION("iferror(filter('3.5.clean'!C:C,'3.5.clean'!A:A=C1049),"""")"),43804.0)</f>
        <v>43804</v>
      </c>
      <c r="R1049" s="58" t="b">
        <f t="shared" ref="R1049:R1050" si="839">if(Q1049="",FALSE,TRUE)</f>
        <v>1</v>
      </c>
      <c r="S1049" s="4">
        <f>IFERROR(__xludf.DUMMYFUNCTION("iferror(filter('3.5.clean'!H:H,'3.5.clean'!A:A=C1049),"""")"),0.0)</f>
        <v>0</v>
      </c>
      <c r="V1049" s="52" t="s">
        <v>64</v>
      </c>
      <c r="W1049" s="23" t="b">
        <f>if(AND(R1049=TRUE,N1049=TRUE,P1049=TRUE),TRUE,FALSE)</f>
        <v>0</v>
      </c>
      <c r="X1049" s="23" t="str">
        <f>IFERROR(__xludf.DUMMYFUNCTION("if(COUNTA(FILTER(C:C, C:C = C1049))=1,""no"",""yes"")"),"no")</f>
        <v>no</v>
      </c>
    </row>
    <row r="1050">
      <c r="A1050" s="75" t="s">
        <v>915</v>
      </c>
      <c r="B1050" s="2">
        <v>13.0</v>
      </c>
      <c r="C1050" s="19" t="s">
        <v>1761</v>
      </c>
      <c r="E1050" s="24">
        <f>IFERROR(__xludf.DUMMYFUNCTION("ifna(IFNA(filter('2.1.clean'!C:C,'2.1.clean'!A:A=C1050),filter('2.2.clean'!E:E,'2.2.clean'!D:D=C1050)),filter('2.4.clean'!C:C,'2.4.clean'!A:A=C1050))"),43804.0)</f>
        <v>43804</v>
      </c>
      <c r="F1050" s="25">
        <f>IFERROR(__xludf.DUMMYFUNCTION("iferror(ifna(IFNA(filter('2.1.clean'!E:E,'2.1.clean'!A:A=C1050),filter('2.2.clean'!G:G,'2.2.clean'!D:D=C1050)),filter('2.4.clean'!E:E,'2.4.clean'!A:A=C1050)),)"),2.4)</f>
        <v>2.4</v>
      </c>
      <c r="G1050" s="24">
        <f>IFERROR(__xludf.DUMMYFUNCTION("iferror(filter('3.1.clean'!C:C,'3.1.clean'!A:A=C1050),"""")"),43804.0)</f>
        <v>43804</v>
      </c>
      <c r="H1050" s="23" t="b">
        <f t="shared" ref="H1050:H1051" si="840">if(G1050="",FALSE,TRUE)</f>
        <v>1</v>
      </c>
      <c r="J1050" s="25"/>
      <c r="K1050" s="24">
        <f>IFERROR(__xludf.DUMMYFUNCTION("iferror(filter('3.2.clean'!C:C,'3.2.clean'!A:A=C1050),"""")"),43805.0)</f>
        <v>43805</v>
      </c>
      <c r="L1050" s="25" t="b">
        <f>if(K1050="",FALSE,TRUE)</f>
        <v>1</v>
      </c>
      <c r="M1050" s="24">
        <f>IFERROR(__xludf.DUMMYFUNCTION("iferror(filter('3.3.clean'!C:C,'3.3.clean'!A:A=C1050),"""")"),43808.0)</f>
        <v>43808</v>
      </c>
      <c r="N1050" s="25" t="b">
        <f t="shared" si="828"/>
        <v>1</v>
      </c>
      <c r="O1050" s="24">
        <f>IFERROR(__xludf.DUMMYFUNCTION("iferror(filter('3.4.clean'!C:C,'3.4.clean'!A:A=C1050),"""")"),43810.0)</f>
        <v>43810</v>
      </c>
      <c r="P1050" s="25" t="b">
        <f t="shared" si="829"/>
        <v>1</v>
      </c>
      <c r="Q1050" s="24">
        <f>IFERROR(__xludf.DUMMYFUNCTION("iferror(filter('3.5.clean'!C:C,'3.5.clean'!A:A=C1050),"""")"),43804.0)</f>
        <v>43804</v>
      </c>
      <c r="R1050" s="23" t="b">
        <f t="shared" si="839"/>
        <v>1</v>
      </c>
      <c r="S1050" s="25"/>
      <c r="V1050" s="1" t="s">
        <v>64</v>
      </c>
      <c r="X1050" s="23" t="str">
        <f>IFERROR(__xludf.DUMMYFUNCTION("if(COUNTA(FILTER(C:C, C:C = C1050))=1,""no"",""yes"")"),"no")</f>
        <v>no</v>
      </c>
    </row>
    <row r="1051">
      <c r="A1051" s="75" t="s">
        <v>915</v>
      </c>
      <c r="B1051" s="19">
        <v>14.0</v>
      </c>
      <c r="C1051" s="19" t="s">
        <v>1762</v>
      </c>
      <c r="D1051" s="58" t="str">
        <f t="shared" ref="D1051:D1052" si="841">if(or(I1051=1,J1051=1,S1051=1),"pos","")</f>
        <v/>
      </c>
      <c r="E1051" s="59">
        <f>IFERROR(__xludf.DUMMYFUNCTION("ifna(IFNA(filter('2.1.clean'!C:C,'2.1.clean'!A:A=C1051),filter('2.2.clean'!E:E,'2.2.clean'!D:D=C1051)),filter('2.4.clean'!C:C,'2.4.clean'!A:A=C1051))"),43804.0)</f>
        <v>43804</v>
      </c>
      <c r="F1051" s="60">
        <f>IFERROR(__xludf.DUMMYFUNCTION("iferror(ifna(IFNA(filter('2.1.clean'!E:E,'2.1.clean'!A:A=C1051),filter('2.2.clean'!G:G,'2.2.clean'!D:D=C1051)),filter('2.4.clean'!E:E,'2.4.clean'!A:A=C1051)),)"),2.4)</f>
        <v>2.4</v>
      </c>
      <c r="G1051" s="59">
        <f>IFERROR(__xludf.DUMMYFUNCTION("iferror(filter('3.1.clean'!C:C,'3.1.clean'!A:A=C1051),"""")"),43804.0)</f>
        <v>43804</v>
      </c>
      <c r="H1051" s="58" t="b">
        <f t="shared" si="840"/>
        <v>1</v>
      </c>
      <c r="I1051" s="58">
        <f>IFERROR(__xludf.DUMMYFUNCTION("iferror(filter('3.1.clean'!G:G,'3.1.clean'!A:A=C1051),"""")"),0.0)</f>
        <v>0</v>
      </c>
      <c r="J1051" s="60" t="str">
        <f>IFERROR(__xludf.DUMMYFUNCTION("iferror(filter('3.1.clean'!I:I,'3.1.clean'!A:A=C1051),"""")"),"")</f>
        <v/>
      </c>
      <c r="K1051" s="58"/>
      <c r="L1051" s="60"/>
      <c r="M1051" s="59" t="str">
        <f>IFERROR(__xludf.DUMMYFUNCTION("iferror(filter('3.3.clean'!C:C,'3.3.clean'!A:A=C1051),"""")"),"")</f>
        <v/>
      </c>
      <c r="N1051" s="60" t="b">
        <f t="shared" si="828"/>
        <v>0</v>
      </c>
      <c r="O1051" s="59" t="str">
        <f>IFERROR(__xludf.DUMMYFUNCTION("iferror(filter('3.4.clean'!C:C,'3.4.clean'!A:A=C1051),"""")"),"")</f>
        <v/>
      </c>
      <c r="P1051" s="60" t="b">
        <f t="shared" si="829"/>
        <v>0</v>
      </c>
      <c r="Q1051" s="59" t="str">
        <f>IFERROR(__xludf.DUMMYFUNCTION("iferror(filter('3.5.clean'!C:C,'3.5.clean'!A:A=C1051),"""")"),"")</f>
        <v/>
      </c>
      <c r="R1051" s="58"/>
      <c r="S1051" s="4" t="str">
        <f>IFERROR(__xludf.DUMMYFUNCTION("iferror(filter('3.5.clean'!H:H,'3.5.clean'!A:A=C1051),"""")"),"")</f>
        <v/>
      </c>
      <c r="W1051" s="23" t="b">
        <f>if(AND(H1051=TRUE,N1051=TRUE,P1051=TRUE),TRUE,FALSE)</f>
        <v>0</v>
      </c>
      <c r="X1051" s="23" t="str">
        <f>IFERROR(__xludf.DUMMYFUNCTION("if(COUNTA(FILTER(C:C, C:C = C1051))=1,""no"",""yes"")"),"no")</f>
        <v>no</v>
      </c>
    </row>
    <row r="1052">
      <c r="A1052" s="75" t="s">
        <v>915</v>
      </c>
      <c r="B1052" s="19">
        <v>15.0</v>
      </c>
      <c r="C1052" s="19" t="s">
        <v>1763</v>
      </c>
      <c r="D1052" s="58" t="str">
        <f t="shared" si="841"/>
        <v/>
      </c>
      <c r="E1052" s="59">
        <f>Q1052</f>
        <v>43804</v>
      </c>
      <c r="F1052" s="60" t="str">
        <f>IFERROR(__xludf.DUMMYFUNCTION("iferror(ifna(IFNA(filter('2.1.clean'!E:E,'2.1.clean'!A:A=C1052),filter('2.2.clean'!G:G,'2.2.clean'!D:D=C1052)),filter('2.4.clean'!E:E,'2.4.clean'!A:A=C1052)),)"),"")</f>
        <v/>
      </c>
      <c r="G1052" s="59" t="str">
        <f>IFERROR(__xludf.DUMMYFUNCTION("iferror(filter('3.1.clean'!C:C,'3.1.clean'!A:A=C1052),"""")"),"")</f>
        <v/>
      </c>
      <c r="H1052" s="58"/>
      <c r="I1052" s="58" t="str">
        <f>IFERROR(__xludf.DUMMYFUNCTION("iferror(filter('3.1.clean'!G:G,'3.1.clean'!A:A=C1052),"""")"),"")</f>
        <v/>
      </c>
      <c r="J1052" s="60" t="str">
        <f>IFERROR(__xludf.DUMMYFUNCTION("iferror(filter('3.1.clean'!I:I,'3.1.clean'!A:A=C1052),"""")"),"")</f>
        <v/>
      </c>
      <c r="K1052" s="59"/>
      <c r="L1052" s="60"/>
      <c r="M1052" s="59" t="str">
        <f>IFERROR(__xludf.DUMMYFUNCTION("iferror(filter('3.3.clean'!C:C,'3.3.clean'!A:A=C1052),"""")"),"")</f>
        <v/>
      </c>
      <c r="N1052" s="60" t="b">
        <f t="shared" si="828"/>
        <v>0</v>
      </c>
      <c r="O1052" s="59" t="str">
        <f>IFERROR(__xludf.DUMMYFUNCTION("iferror(filter('3.4.clean'!C:C,'3.4.clean'!A:A=C1052),"""")"),"")</f>
        <v/>
      </c>
      <c r="P1052" s="60" t="b">
        <f t="shared" si="829"/>
        <v>0</v>
      </c>
      <c r="Q1052" s="59">
        <f>IFERROR(__xludf.DUMMYFUNCTION("iferror(filter('3.5.clean'!C:C,'3.5.clean'!A:A=C1052),"""")"),43804.0)</f>
        <v>43804</v>
      </c>
      <c r="R1052" s="58" t="b">
        <f t="shared" ref="R1052:R1053" si="842">if(Q1052="",FALSE,TRUE)</f>
        <v>1</v>
      </c>
      <c r="S1052" s="4">
        <f>IFERROR(__xludf.DUMMYFUNCTION("iferror(filter('3.5.clean'!H:H,'3.5.clean'!A:A=C1052),"""")"),0.0)</f>
        <v>0</v>
      </c>
      <c r="V1052" s="52" t="s">
        <v>64</v>
      </c>
      <c r="W1052" s="23" t="b">
        <f>if(AND(R1052=TRUE,N1052=TRUE,P1052=TRUE),TRUE,FALSE)</f>
        <v>0</v>
      </c>
      <c r="X1052" s="23" t="str">
        <f>IFERROR(__xludf.DUMMYFUNCTION("if(COUNTA(FILTER(C:C, C:C = C1052))=1,""no"",""yes"")"),"no")</f>
        <v>no</v>
      </c>
    </row>
    <row r="1053">
      <c r="A1053" s="75" t="s">
        <v>915</v>
      </c>
      <c r="B1053" s="2">
        <v>16.0</v>
      </c>
      <c r="C1053" s="19" t="s">
        <v>1764</v>
      </c>
      <c r="E1053" s="24">
        <f>IFERROR(__xludf.DUMMYFUNCTION("ifna(IFNA(filter('2.1.clean'!C:C,'2.1.clean'!A:A=C1053),filter('2.2.clean'!E:E,'2.2.clean'!D:D=C1053)),filter('2.4.clean'!C:C,'2.4.clean'!A:A=C1053))"),43804.0)</f>
        <v>43804</v>
      </c>
      <c r="F1053" s="25">
        <f>IFERROR(__xludf.DUMMYFUNCTION("iferror(ifna(IFNA(filter('2.1.clean'!E:E,'2.1.clean'!A:A=C1053),filter('2.2.clean'!G:G,'2.2.clean'!D:D=C1053)),filter('2.4.clean'!E:E,'2.4.clean'!A:A=C1053)),)"),2.4)</f>
        <v>2.4</v>
      </c>
      <c r="G1053" s="24">
        <f>IFERROR(__xludf.DUMMYFUNCTION("iferror(filter('3.1.clean'!C:C,'3.1.clean'!A:A=C1053),"""")"),43804.0)</f>
        <v>43804</v>
      </c>
      <c r="H1053" s="23" t="b">
        <f t="shared" ref="H1053:H1054" si="843">if(G1053="",FALSE,TRUE)</f>
        <v>1</v>
      </c>
      <c r="J1053" s="25"/>
      <c r="K1053" s="24">
        <f>IFERROR(__xludf.DUMMYFUNCTION("iferror(filter('3.2.clean'!C:C,'3.2.clean'!A:A=C1053),"""")"),43805.0)</f>
        <v>43805</v>
      </c>
      <c r="L1053" s="25" t="b">
        <f>if(K1053="",FALSE,TRUE)</f>
        <v>1</v>
      </c>
      <c r="M1053" s="24">
        <f>IFERROR(__xludf.DUMMYFUNCTION("iferror(filter('3.3.clean'!C:C,'3.3.clean'!A:A=C1053),"""")"),43808.0)</f>
        <v>43808</v>
      </c>
      <c r="N1053" s="25" t="b">
        <f t="shared" si="828"/>
        <v>1</v>
      </c>
      <c r="O1053" s="24">
        <f>IFERROR(__xludf.DUMMYFUNCTION("iferror(filter('3.4.clean'!C:C,'3.4.clean'!A:A=C1053),"""")"),43810.0)</f>
        <v>43810</v>
      </c>
      <c r="P1053" s="25" t="b">
        <f t="shared" si="829"/>
        <v>1</v>
      </c>
      <c r="Q1053" s="24">
        <f>IFERROR(__xludf.DUMMYFUNCTION("iferror(filter('3.5.clean'!C:C,'3.5.clean'!A:A=C1053),"""")"),43804.0)</f>
        <v>43804</v>
      </c>
      <c r="R1053" s="23" t="b">
        <f t="shared" si="842"/>
        <v>1</v>
      </c>
      <c r="S1053" s="25"/>
      <c r="V1053" s="1" t="s">
        <v>64</v>
      </c>
      <c r="X1053" s="23" t="str">
        <f>IFERROR(__xludf.DUMMYFUNCTION("if(COUNTA(FILTER(C:C, C:C = C1053))=1,""no"",""yes"")"),"no")</f>
        <v>no</v>
      </c>
    </row>
    <row r="1054">
      <c r="A1054" s="75" t="s">
        <v>915</v>
      </c>
      <c r="B1054" s="19">
        <v>17.0</v>
      </c>
      <c r="C1054" s="19" t="s">
        <v>1765</v>
      </c>
      <c r="D1054" s="58" t="str">
        <f t="shared" ref="D1054:D1057" si="844">if(or(I1054=1,J1054=1,S1054=1),"pos","")</f>
        <v/>
      </c>
      <c r="E1054" s="59">
        <f>IFERROR(__xludf.DUMMYFUNCTION("ifna(IFNA(filter('2.1.clean'!C:C,'2.1.clean'!A:A=C1054),filter('2.2.clean'!E:E,'2.2.clean'!D:D=C1054)),filter('2.4.clean'!C:C,'2.4.clean'!A:A=C1054))"),43804.0)</f>
        <v>43804</v>
      </c>
      <c r="F1054" s="60">
        <f>IFERROR(__xludf.DUMMYFUNCTION("iferror(ifna(IFNA(filter('2.1.clean'!E:E,'2.1.clean'!A:A=C1054),filter('2.2.clean'!G:G,'2.2.clean'!D:D=C1054)),filter('2.4.clean'!E:E,'2.4.clean'!A:A=C1054)),)"),2.4)</f>
        <v>2.4</v>
      </c>
      <c r="G1054" s="59">
        <f>IFERROR(__xludf.DUMMYFUNCTION("iferror(filter('3.1.clean'!C:C,'3.1.clean'!A:A=C1054),"""")"),43804.0)</f>
        <v>43804</v>
      </c>
      <c r="H1054" s="58" t="b">
        <f t="shared" si="843"/>
        <v>1</v>
      </c>
      <c r="I1054" s="58">
        <f>IFERROR(__xludf.DUMMYFUNCTION("iferror(filter('3.1.clean'!G:G,'3.1.clean'!A:A=C1054),"""")"),0.0)</f>
        <v>0</v>
      </c>
      <c r="J1054" s="60" t="str">
        <f>IFERROR(__xludf.DUMMYFUNCTION("iferror(filter('3.1.clean'!I:I,'3.1.clean'!A:A=C1054),"""")"),"")</f>
        <v/>
      </c>
      <c r="K1054" s="58"/>
      <c r="L1054" s="60"/>
      <c r="M1054" s="59" t="str">
        <f>IFERROR(__xludf.DUMMYFUNCTION("iferror(filter('3.3.clean'!C:C,'3.3.clean'!A:A=C1054),"""")"),"")</f>
        <v/>
      </c>
      <c r="N1054" s="60" t="b">
        <f t="shared" si="828"/>
        <v>0</v>
      </c>
      <c r="O1054" s="59" t="str">
        <f>IFERROR(__xludf.DUMMYFUNCTION("iferror(filter('3.4.clean'!C:C,'3.4.clean'!A:A=C1054),"""")"),"")</f>
        <v/>
      </c>
      <c r="P1054" s="60" t="b">
        <f t="shared" si="829"/>
        <v>0</v>
      </c>
      <c r="Q1054" s="59" t="str">
        <f>IFERROR(__xludf.DUMMYFUNCTION("iferror(filter('3.5.clean'!C:C,'3.5.clean'!A:A=C1054),"""")"),"")</f>
        <v/>
      </c>
      <c r="R1054" s="58"/>
      <c r="S1054" s="4" t="str">
        <f>IFERROR(__xludf.DUMMYFUNCTION("iferror(filter('3.5.clean'!H:H,'3.5.clean'!A:A=C1054),"""")"),"")</f>
        <v/>
      </c>
      <c r="W1054" s="23" t="b">
        <f>if(AND(H1054=TRUE,N1054=TRUE,P1054=TRUE),TRUE,FALSE)</f>
        <v>0</v>
      </c>
      <c r="X1054" s="23" t="str">
        <f>IFERROR(__xludf.DUMMYFUNCTION("if(COUNTA(FILTER(C:C, C:C = C1054))=1,""no"",""yes"")"),"no")</f>
        <v>no</v>
      </c>
    </row>
    <row r="1055">
      <c r="A1055" s="75" t="s">
        <v>915</v>
      </c>
      <c r="B1055" s="19">
        <v>18.0</v>
      </c>
      <c r="C1055" s="19" t="s">
        <v>1766</v>
      </c>
      <c r="D1055" s="58" t="str">
        <f t="shared" si="844"/>
        <v/>
      </c>
      <c r="E1055" s="59">
        <f t="shared" ref="E1055:E1056" si="845">Q1055</f>
        <v>43804</v>
      </c>
      <c r="F1055" s="60" t="str">
        <f>IFERROR(__xludf.DUMMYFUNCTION("iferror(ifna(IFNA(filter('2.1.clean'!E:E,'2.1.clean'!A:A=C1055),filter('2.2.clean'!G:G,'2.2.clean'!D:D=C1055)),filter('2.4.clean'!E:E,'2.4.clean'!A:A=C1055)),)"),"")</f>
        <v/>
      </c>
      <c r="G1055" s="59" t="str">
        <f>IFERROR(__xludf.DUMMYFUNCTION("iferror(filter('3.1.clean'!C:C,'3.1.clean'!A:A=C1055),"""")"),"")</f>
        <v/>
      </c>
      <c r="H1055" s="58"/>
      <c r="I1055" s="58" t="str">
        <f>IFERROR(__xludf.DUMMYFUNCTION("iferror(filter('3.1.clean'!G:G,'3.1.clean'!A:A=C1055),"""")"),"")</f>
        <v/>
      </c>
      <c r="J1055" s="60" t="str">
        <f>IFERROR(__xludf.DUMMYFUNCTION("iferror(filter('3.1.clean'!I:I,'3.1.clean'!A:A=C1055),"""")"),"")</f>
        <v/>
      </c>
      <c r="K1055" s="59"/>
      <c r="L1055" s="60"/>
      <c r="M1055" s="59" t="str">
        <f>IFERROR(__xludf.DUMMYFUNCTION("iferror(filter('3.3.clean'!C:C,'3.3.clean'!A:A=C1055),"""")"),"")</f>
        <v/>
      </c>
      <c r="N1055" s="60" t="b">
        <f t="shared" si="828"/>
        <v>0</v>
      </c>
      <c r="O1055" s="59" t="str">
        <f>IFERROR(__xludf.DUMMYFUNCTION("iferror(filter('3.4.clean'!C:C,'3.4.clean'!A:A=C1055),"""")"),"")</f>
        <v/>
      </c>
      <c r="P1055" s="60" t="b">
        <f t="shared" si="829"/>
        <v>0</v>
      </c>
      <c r="Q1055" s="59">
        <f>IFERROR(__xludf.DUMMYFUNCTION("iferror(filter('3.5.clean'!C:C,'3.5.clean'!A:A=C1055),"""")"),43804.0)</f>
        <v>43804</v>
      </c>
      <c r="R1055" s="58" t="b">
        <f t="shared" ref="R1055:R1056" si="846">if(Q1055="",FALSE,TRUE)</f>
        <v>1</v>
      </c>
      <c r="S1055" s="4">
        <f>IFERROR(__xludf.DUMMYFUNCTION("iferror(filter('3.5.clean'!H:H,'3.5.clean'!A:A=C1055),"""")"),0.0)</f>
        <v>0</v>
      </c>
      <c r="V1055" s="52" t="s">
        <v>64</v>
      </c>
      <c r="W1055" s="23" t="b">
        <f>if(AND(R1055=TRUE,N1055=TRUE,P1055=TRUE),TRUE,FALSE)</f>
        <v>0</v>
      </c>
      <c r="X1055" s="23" t="str">
        <f>IFERROR(__xludf.DUMMYFUNCTION("if(COUNTA(FILTER(C:C, C:C = C1055))=1,""no"",""yes"")"),"no")</f>
        <v>no</v>
      </c>
    </row>
    <row r="1056">
      <c r="A1056" s="75" t="s">
        <v>915</v>
      </c>
      <c r="B1056" s="19">
        <v>22.0</v>
      </c>
      <c r="C1056" s="19" t="s">
        <v>1767</v>
      </c>
      <c r="D1056" s="22" t="str">
        <f t="shared" si="844"/>
        <v/>
      </c>
      <c r="E1056" s="20">
        <f t="shared" si="845"/>
        <v>43804</v>
      </c>
      <c r="F1056" s="79" t="str">
        <f>IFERROR(__xludf.DUMMYFUNCTION("iferror(ifna(IFNA(filter('2.1.clean'!E:E,'2.1.clean'!A:A=C1056),filter('2.2.clean'!G:G,'2.2.clean'!D:D=C1056)),filter('2.4.clean'!E:E,'2.4.clean'!A:A=C1056)),)"),"")</f>
        <v/>
      </c>
      <c r="G1056" s="20" t="str">
        <f>IFERROR(__xludf.DUMMYFUNCTION("iferror(filter('3.1.clean'!C:C,'3.1.clean'!A:A=C1056),"""")"),"")</f>
        <v/>
      </c>
      <c r="H1056" s="22"/>
      <c r="I1056" s="22"/>
      <c r="J1056" s="79"/>
      <c r="K1056" s="20" t="str">
        <f>IFERROR(__xludf.DUMMYFUNCTION("iferror(filter('3.2.clean'!C:C,'3.2.clean'!A:A=C1056),"""")"),"")</f>
        <v/>
      </c>
      <c r="L1056" s="79"/>
      <c r="M1056" s="20" t="str">
        <f>IFERROR(__xludf.DUMMYFUNCTION("iferror(filter('3.3.clean'!C:C,'3.3.clean'!A:A=C1056),"""")"),"")</f>
        <v/>
      </c>
      <c r="N1056" s="79" t="b">
        <f t="shared" si="828"/>
        <v>0</v>
      </c>
      <c r="O1056" s="20" t="str">
        <f>IFERROR(__xludf.DUMMYFUNCTION("iferror(filter('3.4.clean'!C:C,'3.4.clean'!A:A=C1056),"""")"),"")</f>
        <v/>
      </c>
      <c r="P1056" s="79" t="b">
        <f t="shared" si="829"/>
        <v>0</v>
      </c>
      <c r="Q1056" s="20">
        <f>IFERROR(__xludf.DUMMYFUNCTION("iferror(filter('3.5.clean'!C:C,'3.5.clean'!A:A=C1056),"""")"),43804.0)</f>
        <v>43804</v>
      </c>
      <c r="R1056" s="22" t="b">
        <f t="shared" si="846"/>
        <v>1</v>
      </c>
      <c r="S1056" s="4">
        <f>IFERROR(__xludf.DUMMYFUNCTION("iferror(filter('3.5.clean'!H:H,'3.5.clean'!A:A=C1056),"""")"),0.0)</f>
        <v>0</v>
      </c>
      <c r="V1056" s="1" t="s">
        <v>64</v>
      </c>
      <c r="W1056" s="23" t="b">
        <f>IF(and(R1056=TRUE,N1056=TRUE,P1056=TRUE),TRUE,FALSE)</f>
        <v>0</v>
      </c>
      <c r="X1056" s="23" t="str">
        <f>IFERROR(__xludf.DUMMYFUNCTION("if(COUNTA(FILTER(C:C, C:C = C1056))=1,""no"",""yes"")"),"no")</f>
        <v>no</v>
      </c>
    </row>
    <row r="1057">
      <c r="A1057" s="75" t="s">
        <v>915</v>
      </c>
      <c r="B1057" s="19">
        <v>23.0</v>
      </c>
      <c r="C1057" s="19" t="s">
        <v>1452</v>
      </c>
      <c r="D1057" s="76" t="str">
        <f t="shared" si="844"/>
        <v/>
      </c>
      <c r="E1057" s="77">
        <f>G1057</f>
        <v>43804</v>
      </c>
      <c r="F1057" s="78" t="str">
        <f>IFERROR(__xludf.DUMMYFUNCTION("iferror(ifna(IFNA(filter('2.1.clean'!E:E,'2.1.clean'!A:A=C1057),filter('2.2.clean'!G:G,'2.2.clean'!D:D=C1057)),filter('2.4.clean'!E:E,'2.4.clean'!A:A=C1057)),)"),"")</f>
        <v/>
      </c>
      <c r="G1057" s="77">
        <f>IFERROR(__xludf.DUMMYFUNCTION("iferror(filter('3.1.clean'!C:C,'3.1.clean'!A:A=C1057),"""")"),43804.0)</f>
        <v>43804</v>
      </c>
      <c r="H1057" s="76" t="b">
        <f>if(G1057="",FALSE,TRUE)</f>
        <v>1</v>
      </c>
      <c r="I1057" s="76">
        <f>IFERROR(__xludf.DUMMYFUNCTION("iferror(filter('3.1.clean'!G:G,'3.1.clean'!A:A=C1057),"""")"),0.0)</f>
        <v>0</v>
      </c>
      <c r="J1057" s="78" t="str">
        <f>IFERROR(__xludf.DUMMYFUNCTION("iferror(filter('3.1.clean'!I:I,'3.1.clean'!A:A=C1057),"""")"),"")</f>
        <v/>
      </c>
      <c r="K1057" s="77"/>
      <c r="L1057" s="78"/>
      <c r="M1057" s="77"/>
      <c r="N1057" s="78"/>
      <c r="O1057" s="77"/>
      <c r="P1057" s="78"/>
      <c r="Q1057" s="77"/>
      <c r="R1057" s="76"/>
      <c r="S1057" s="25"/>
      <c r="V1057" s="1" t="s">
        <v>64</v>
      </c>
      <c r="W1057" s="1" t="b">
        <v>1</v>
      </c>
      <c r="X1057" s="23" t="str">
        <f>IFERROR(__xludf.DUMMYFUNCTION("if(COUNTA(FILTER(C:C, C:C = C1057))=1,""no"",""yes"")"),"no")</f>
        <v>no</v>
      </c>
    </row>
    <row r="1058">
      <c r="A1058" s="75" t="s">
        <v>915</v>
      </c>
      <c r="B1058" s="2">
        <v>24.0</v>
      </c>
      <c r="C1058" s="2" t="s">
        <v>1768</v>
      </c>
      <c r="E1058" s="24">
        <v>43804.0</v>
      </c>
      <c r="F1058" s="25" t="str">
        <f>IFERROR(__xludf.DUMMYFUNCTION("iferror(ifna(IFNA(filter('2.1.clean'!E:E,'2.1.clean'!A:A=C1058),filter('2.2.clean'!G:G,'2.2.clean'!D:D=C1058)),filter('2.4.clean'!E:E,'2.4.clean'!A:A=C1058)),)"),"")</f>
        <v/>
      </c>
      <c r="G1058" s="24" t="str">
        <f>IFERROR(__xludf.DUMMYFUNCTION("iferror(filter('3.1.clean'!C:C,'3.1.clean'!A:A=C1058),"""")"),"")</f>
        <v/>
      </c>
      <c r="J1058" s="25"/>
      <c r="K1058" s="24" t="str">
        <f>IFERROR(__xludf.DUMMYFUNCTION("iferror(filter('3.2.clean'!C:C,'3.2.clean'!A:A=C1058),"""")"),"")</f>
        <v/>
      </c>
      <c r="L1058" s="25"/>
      <c r="M1058" s="24">
        <f>IFERROR(__xludf.DUMMYFUNCTION("iferror(filter('3.3.clean'!C:C,'3.3.clean'!A:A=C1058),"""")"),43808.0)</f>
        <v>43808</v>
      </c>
      <c r="N1058" s="25" t="b">
        <f t="shared" ref="N1058:N1071" si="847">if(M1058="",FALSE,TRUE)</f>
        <v>1</v>
      </c>
      <c r="O1058" s="24">
        <f>IFERROR(__xludf.DUMMYFUNCTION("iferror(filter('3.4.clean'!C:C,'3.4.clean'!A:A=C1058),"""")"),43810.0)</f>
        <v>43810</v>
      </c>
      <c r="P1058" s="25" t="b">
        <f t="shared" ref="P1058:P1071" si="848">if(O1058="",FALSE,TRUE)</f>
        <v>1</v>
      </c>
      <c r="Q1058" s="24" t="str">
        <f>IFERROR(__xludf.DUMMYFUNCTION("iferror(filter('3.5.clean'!C:C,'3.5.clean'!A:A=C1058),"""")"),"")</f>
        <v/>
      </c>
      <c r="S1058" s="25"/>
      <c r="V1058" s="52" t="s">
        <v>64</v>
      </c>
      <c r="X1058" s="23" t="str">
        <f>IFERROR(__xludf.DUMMYFUNCTION("if(COUNTA(FILTER(C:C, C:C = C1058))=1,""no"",""yes"")"),"no")</f>
        <v>no</v>
      </c>
    </row>
    <row r="1059">
      <c r="A1059" s="1" t="s">
        <v>919</v>
      </c>
      <c r="B1059" s="2">
        <v>1.0</v>
      </c>
      <c r="C1059" s="19" t="s">
        <v>1769</v>
      </c>
      <c r="E1059" s="24">
        <f>IFERROR(__xludf.DUMMYFUNCTION("ifna(IFNA(filter('2.1.clean'!C:C,'2.1.clean'!A:A=C1059),filter('2.2.clean'!E:E,'2.2.clean'!D:D=C1059)),filter('2.4.clean'!C:C,'2.4.clean'!A:A=C1059))"),43805.0)</f>
        <v>43805</v>
      </c>
      <c r="F1059" s="25">
        <f>IFERROR(__xludf.DUMMYFUNCTION("iferror(ifna(IFNA(filter('2.1.clean'!E:E,'2.1.clean'!A:A=C1059),filter('2.2.clean'!G:G,'2.2.clean'!D:D=C1059)),filter('2.4.clean'!E:E,'2.4.clean'!A:A=C1059)),)"),2.4)</f>
        <v>2.4</v>
      </c>
      <c r="G1059" s="24">
        <f>IFERROR(__xludf.DUMMYFUNCTION("iferror(filter('3.1.clean'!C:C,'3.1.clean'!A:A=C1059),"""")"),43805.0)</f>
        <v>43805</v>
      </c>
      <c r="H1059" s="23" t="b">
        <f t="shared" ref="H1059:H1060" si="849">if(G1059="",FALSE,TRUE)</f>
        <v>1</v>
      </c>
      <c r="J1059" s="25"/>
      <c r="K1059" s="24">
        <f>IFERROR(__xludf.DUMMYFUNCTION("iferror(filter('3.2.clean'!C:C,'3.2.clean'!A:A=C1059),"""")"),43805.0)</f>
        <v>43805</v>
      </c>
      <c r="L1059" s="25" t="b">
        <f>if(K1059="",FALSE,TRUE)</f>
        <v>1</v>
      </c>
      <c r="M1059" s="24">
        <f>IFERROR(__xludf.DUMMYFUNCTION("iferror(filter('3.3.clean'!C:C,'3.3.clean'!A:A=C1059),"""")"),43808.0)</f>
        <v>43808</v>
      </c>
      <c r="N1059" s="25" t="b">
        <f t="shared" si="847"/>
        <v>1</v>
      </c>
      <c r="O1059" s="24">
        <f>IFERROR(__xludf.DUMMYFUNCTION("iferror(filter('3.4.clean'!C:C,'3.4.clean'!A:A=C1059),"""")"),43810.0)</f>
        <v>43810</v>
      </c>
      <c r="P1059" s="25" t="b">
        <f t="shared" si="848"/>
        <v>1</v>
      </c>
      <c r="Q1059" s="24">
        <f>IFERROR(__xludf.DUMMYFUNCTION("iferror(filter('3.5.clean'!C:C,'3.5.clean'!A:A=C1059),"""")"),43805.0)</f>
        <v>43805</v>
      </c>
      <c r="R1059" s="23" t="b">
        <f>if(Q1059="",FALSE,TRUE)</f>
        <v>1</v>
      </c>
      <c r="S1059" s="25"/>
      <c r="V1059" s="1" t="s">
        <v>64</v>
      </c>
      <c r="X1059" s="23" t="str">
        <f>IFERROR(__xludf.DUMMYFUNCTION("if(COUNTA(FILTER(C:C, C:C = C1059))=1,""no"",""yes"")"),"no")</f>
        <v>no</v>
      </c>
    </row>
    <row r="1060">
      <c r="A1060" s="1" t="s">
        <v>919</v>
      </c>
      <c r="B1060" s="19">
        <v>2.0</v>
      </c>
      <c r="C1060" s="19" t="s">
        <v>1770</v>
      </c>
      <c r="D1060" s="58" t="str">
        <f t="shared" ref="D1060:D1061" si="850">if(or(I1060=1,J1060=1,S1060=1),"pos","")</f>
        <v/>
      </c>
      <c r="E1060" s="59">
        <f>IFERROR(__xludf.DUMMYFUNCTION("ifna(IFNA(filter('2.1.clean'!C:C,'2.1.clean'!A:A=C1060),filter('2.2.clean'!E:E,'2.2.clean'!D:D=C1060)),filter('2.4.clean'!C:C,'2.4.clean'!A:A=C1060))"),43805.0)</f>
        <v>43805</v>
      </c>
      <c r="F1060" s="60">
        <f>IFERROR(__xludf.DUMMYFUNCTION("iferror(ifna(IFNA(filter('2.1.clean'!E:E,'2.1.clean'!A:A=C1060),filter('2.2.clean'!G:G,'2.2.clean'!D:D=C1060)),filter('2.4.clean'!E:E,'2.4.clean'!A:A=C1060)),)"),2.4)</f>
        <v>2.4</v>
      </c>
      <c r="G1060" s="59">
        <f>IFERROR(__xludf.DUMMYFUNCTION("iferror(filter('3.1.clean'!C:C,'3.1.clean'!A:A=C1060),"""")"),43805.0)</f>
        <v>43805</v>
      </c>
      <c r="H1060" s="58" t="b">
        <f t="shared" si="849"/>
        <v>1</v>
      </c>
      <c r="I1060" s="58">
        <f>IFERROR(__xludf.DUMMYFUNCTION("iferror(filter('3.1.clean'!G:G,'3.1.clean'!A:A=C1060),"""")"),0.0)</f>
        <v>0</v>
      </c>
      <c r="J1060" s="60" t="str">
        <f>IFERROR(__xludf.DUMMYFUNCTION("iferror(filter('3.1.clean'!I:I,'3.1.clean'!A:A=C1060),"""")"),"")</f>
        <v/>
      </c>
      <c r="K1060" s="58"/>
      <c r="L1060" s="60"/>
      <c r="M1060" s="59" t="str">
        <f>IFERROR(__xludf.DUMMYFUNCTION("iferror(filter('3.3.clean'!C:C,'3.3.clean'!A:A=C1060),"""")"),"")</f>
        <v/>
      </c>
      <c r="N1060" s="60" t="b">
        <f t="shared" si="847"/>
        <v>0</v>
      </c>
      <c r="O1060" s="59" t="str">
        <f>IFERROR(__xludf.DUMMYFUNCTION("iferror(filter('3.4.clean'!C:C,'3.4.clean'!A:A=C1060),"""")"),"")</f>
        <v/>
      </c>
      <c r="P1060" s="60" t="b">
        <f t="shared" si="848"/>
        <v>0</v>
      </c>
      <c r="Q1060" s="59" t="str">
        <f>IFERROR(__xludf.DUMMYFUNCTION("iferror(filter('3.5.clean'!C:C,'3.5.clean'!A:A=C1060),"""")"),"")</f>
        <v/>
      </c>
      <c r="R1060" s="58"/>
      <c r="S1060" s="4" t="str">
        <f>IFERROR(__xludf.DUMMYFUNCTION("iferror(filter('3.5.clean'!H:H,'3.5.clean'!A:A=C1060),"""")"),"")</f>
        <v/>
      </c>
      <c r="W1060" s="23" t="b">
        <f>if(AND(H1060=TRUE,N1060=TRUE,P1060=TRUE),TRUE,FALSE)</f>
        <v>0</v>
      </c>
      <c r="X1060" s="23" t="str">
        <f>IFERROR(__xludf.DUMMYFUNCTION("if(COUNTA(FILTER(C:C, C:C = C1060))=1,""no"",""yes"")"),"no")</f>
        <v>no</v>
      </c>
    </row>
    <row r="1061">
      <c r="A1061" s="1" t="s">
        <v>919</v>
      </c>
      <c r="B1061" s="19">
        <v>3.0</v>
      </c>
      <c r="C1061" s="19" t="s">
        <v>1771</v>
      </c>
      <c r="D1061" s="58" t="str">
        <f t="shared" si="850"/>
        <v/>
      </c>
      <c r="E1061" s="59">
        <f>Q1061</f>
        <v>43805</v>
      </c>
      <c r="F1061" s="60" t="str">
        <f>IFERROR(__xludf.DUMMYFUNCTION("iferror(ifna(IFNA(filter('2.1.clean'!E:E,'2.1.clean'!A:A=C1061),filter('2.2.clean'!G:G,'2.2.clean'!D:D=C1061)),filter('2.4.clean'!E:E,'2.4.clean'!A:A=C1061)),)"),"")</f>
        <v/>
      </c>
      <c r="G1061" s="59" t="str">
        <f>IFERROR(__xludf.DUMMYFUNCTION("iferror(filter('3.1.clean'!C:C,'3.1.clean'!A:A=C1061),"""")"),"")</f>
        <v/>
      </c>
      <c r="H1061" s="58"/>
      <c r="I1061" s="58" t="str">
        <f>IFERROR(__xludf.DUMMYFUNCTION("iferror(filter('3.1.clean'!G:G,'3.1.clean'!A:A=C1061),"""")"),"")</f>
        <v/>
      </c>
      <c r="J1061" s="60" t="str">
        <f>IFERROR(__xludf.DUMMYFUNCTION("iferror(filter('3.1.clean'!I:I,'3.1.clean'!A:A=C1061),"""")"),"")</f>
        <v/>
      </c>
      <c r="K1061" s="59"/>
      <c r="L1061" s="60"/>
      <c r="M1061" s="59" t="str">
        <f>IFERROR(__xludf.DUMMYFUNCTION("iferror(filter('3.3.clean'!C:C,'3.3.clean'!A:A=C1061),"""")"),"")</f>
        <v/>
      </c>
      <c r="N1061" s="60" t="b">
        <f t="shared" si="847"/>
        <v>0</v>
      </c>
      <c r="O1061" s="59" t="str">
        <f>IFERROR(__xludf.DUMMYFUNCTION("iferror(filter('3.4.clean'!C:C,'3.4.clean'!A:A=C1061),"""")"),"")</f>
        <v/>
      </c>
      <c r="P1061" s="60" t="b">
        <f t="shared" si="848"/>
        <v>0</v>
      </c>
      <c r="Q1061" s="59">
        <f>IFERROR(__xludf.DUMMYFUNCTION("iferror(filter('3.5.clean'!C:C,'3.5.clean'!A:A=C1061),"""")"),43805.0)</f>
        <v>43805</v>
      </c>
      <c r="R1061" s="58" t="b">
        <f t="shared" ref="R1061:R1062" si="851">if(Q1061="",FALSE,TRUE)</f>
        <v>1</v>
      </c>
      <c r="S1061" s="4">
        <f>IFERROR(__xludf.DUMMYFUNCTION("iferror(filter('3.5.clean'!H:H,'3.5.clean'!A:A=C1061),"""")"),0.0)</f>
        <v>0</v>
      </c>
      <c r="V1061" s="52" t="s">
        <v>64</v>
      </c>
      <c r="W1061" s="23" t="b">
        <f>if(AND(R1061=TRUE,N1061=TRUE,P1061=TRUE),TRUE,FALSE)</f>
        <v>0</v>
      </c>
      <c r="X1061" s="23" t="str">
        <f>IFERROR(__xludf.DUMMYFUNCTION("if(COUNTA(FILTER(C:C, C:C = C1061))=1,""no"",""yes"")"),"no")</f>
        <v>no</v>
      </c>
    </row>
    <row r="1062">
      <c r="A1062" s="1" t="s">
        <v>919</v>
      </c>
      <c r="B1062" s="2">
        <v>4.0</v>
      </c>
      <c r="C1062" s="19" t="s">
        <v>1772</v>
      </c>
      <c r="E1062" s="24">
        <f>IFERROR(__xludf.DUMMYFUNCTION("ifna(IFNA(filter('2.1.clean'!C:C,'2.1.clean'!A:A=C1062),filter('2.2.clean'!E:E,'2.2.clean'!D:D=C1062)),filter('2.4.clean'!C:C,'2.4.clean'!A:A=C1062))"),43805.0)</f>
        <v>43805</v>
      </c>
      <c r="F1062" s="25">
        <f>IFERROR(__xludf.DUMMYFUNCTION("iferror(ifna(IFNA(filter('2.1.clean'!E:E,'2.1.clean'!A:A=C1062),filter('2.2.clean'!G:G,'2.2.clean'!D:D=C1062)),filter('2.4.clean'!E:E,'2.4.clean'!A:A=C1062)),)"),2.4)</f>
        <v>2.4</v>
      </c>
      <c r="G1062" s="24">
        <f>IFERROR(__xludf.DUMMYFUNCTION("iferror(filter('3.1.clean'!C:C,'3.1.clean'!A:A=C1062),"""")"),43805.0)</f>
        <v>43805</v>
      </c>
      <c r="H1062" s="23" t="b">
        <f t="shared" ref="H1062:H1063" si="852">if(G1062="",FALSE,TRUE)</f>
        <v>1</v>
      </c>
      <c r="J1062" s="25"/>
      <c r="K1062" s="24">
        <f>IFERROR(__xludf.DUMMYFUNCTION("iferror(filter('3.2.clean'!C:C,'3.2.clean'!A:A=C1062),"""")"),43805.0)</f>
        <v>43805</v>
      </c>
      <c r="L1062" s="25" t="b">
        <f>if(K1062="",FALSE,TRUE)</f>
        <v>1</v>
      </c>
      <c r="M1062" s="24">
        <f>IFERROR(__xludf.DUMMYFUNCTION("iferror(filter('3.3.clean'!C:C,'3.3.clean'!A:A=C1062),"""")"),43808.0)</f>
        <v>43808</v>
      </c>
      <c r="N1062" s="25" t="b">
        <f t="shared" si="847"/>
        <v>1</v>
      </c>
      <c r="O1062" s="24">
        <f>IFERROR(__xludf.DUMMYFUNCTION("iferror(filter('3.4.clean'!C:C,'3.4.clean'!A:A=C1062),"""")"),43810.0)</f>
        <v>43810</v>
      </c>
      <c r="P1062" s="25" t="b">
        <f t="shared" si="848"/>
        <v>1</v>
      </c>
      <c r="Q1062" s="24">
        <f>IFERROR(__xludf.DUMMYFUNCTION("iferror(filter('3.5.clean'!C:C,'3.5.clean'!A:A=C1062),"""")"),43805.0)</f>
        <v>43805</v>
      </c>
      <c r="R1062" s="23" t="b">
        <f t="shared" si="851"/>
        <v>1</v>
      </c>
      <c r="S1062" s="25"/>
      <c r="V1062" s="1" t="s">
        <v>64</v>
      </c>
      <c r="X1062" s="23" t="str">
        <f>IFERROR(__xludf.DUMMYFUNCTION("if(COUNTA(FILTER(C:C, C:C = C1062))=1,""no"",""yes"")"),"no")</f>
        <v>no</v>
      </c>
    </row>
    <row r="1063">
      <c r="A1063" s="1" t="s">
        <v>919</v>
      </c>
      <c r="B1063" s="19">
        <v>5.0</v>
      </c>
      <c r="C1063" s="19" t="s">
        <v>1773</v>
      </c>
      <c r="D1063" s="58" t="str">
        <f t="shared" ref="D1063:D1064" si="853">if(or(I1063=1,J1063=1,S1063=1),"pos","")</f>
        <v/>
      </c>
      <c r="E1063" s="59">
        <f>IFERROR(__xludf.DUMMYFUNCTION("ifna(IFNA(filter('2.1.clean'!C:C,'2.1.clean'!A:A=C1063),filter('2.2.clean'!E:E,'2.2.clean'!D:D=C1063)),filter('2.4.clean'!C:C,'2.4.clean'!A:A=C1063))"),43805.0)</f>
        <v>43805</v>
      </c>
      <c r="F1063" s="60">
        <f>IFERROR(__xludf.DUMMYFUNCTION("iferror(ifna(IFNA(filter('2.1.clean'!E:E,'2.1.clean'!A:A=C1063),filter('2.2.clean'!G:G,'2.2.clean'!D:D=C1063)),filter('2.4.clean'!E:E,'2.4.clean'!A:A=C1063)),)"),2.4)</f>
        <v>2.4</v>
      </c>
      <c r="G1063" s="59">
        <f>IFERROR(__xludf.DUMMYFUNCTION("iferror(filter('3.1.clean'!C:C,'3.1.clean'!A:A=C1063),"""")"),43805.0)</f>
        <v>43805</v>
      </c>
      <c r="H1063" s="58" t="b">
        <f t="shared" si="852"/>
        <v>1</v>
      </c>
      <c r="I1063" s="58">
        <f>IFERROR(__xludf.DUMMYFUNCTION("iferror(filter('3.1.clean'!G:G,'3.1.clean'!A:A=C1063),"""")"),0.0)</f>
        <v>0</v>
      </c>
      <c r="J1063" s="60" t="str">
        <f>IFERROR(__xludf.DUMMYFUNCTION("iferror(filter('3.1.clean'!I:I,'3.1.clean'!A:A=C1063),"""")"),"")</f>
        <v/>
      </c>
      <c r="K1063" s="58"/>
      <c r="L1063" s="60"/>
      <c r="M1063" s="59" t="str">
        <f>IFERROR(__xludf.DUMMYFUNCTION("iferror(filter('3.3.clean'!C:C,'3.3.clean'!A:A=C1063),"""")"),"")</f>
        <v/>
      </c>
      <c r="N1063" s="60" t="b">
        <f t="shared" si="847"/>
        <v>0</v>
      </c>
      <c r="O1063" s="59" t="str">
        <f>IFERROR(__xludf.DUMMYFUNCTION("iferror(filter('3.4.clean'!C:C,'3.4.clean'!A:A=C1063),"""")"),"")</f>
        <v/>
      </c>
      <c r="P1063" s="60" t="b">
        <f t="shared" si="848"/>
        <v>0</v>
      </c>
      <c r="Q1063" s="59" t="str">
        <f>IFERROR(__xludf.DUMMYFUNCTION("iferror(filter('3.5.clean'!C:C,'3.5.clean'!A:A=C1063),"""")"),"")</f>
        <v/>
      </c>
      <c r="R1063" s="58"/>
      <c r="S1063" s="4" t="str">
        <f>IFERROR(__xludf.DUMMYFUNCTION("iferror(filter('3.5.clean'!H:H,'3.5.clean'!A:A=C1063),"""")"),"")</f>
        <v/>
      </c>
      <c r="W1063" s="23" t="b">
        <f>if(AND(H1063=TRUE,N1063=TRUE,P1063=TRUE),TRUE,FALSE)</f>
        <v>0</v>
      </c>
      <c r="X1063" s="23" t="str">
        <f>IFERROR(__xludf.DUMMYFUNCTION("if(COUNTA(FILTER(C:C, C:C = C1063))=1,""no"",""yes"")"),"no")</f>
        <v>no</v>
      </c>
    </row>
    <row r="1064">
      <c r="A1064" s="1" t="s">
        <v>919</v>
      </c>
      <c r="B1064" s="19">
        <v>6.0</v>
      </c>
      <c r="C1064" s="19" t="s">
        <v>1774</v>
      </c>
      <c r="D1064" s="58" t="str">
        <f t="shared" si="853"/>
        <v/>
      </c>
      <c r="E1064" s="59">
        <f>Q1064</f>
        <v>43805</v>
      </c>
      <c r="F1064" s="60" t="str">
        <f>IFERROR(__xludf.DUMMYFUNCTION("iferror(ifna(IFNA(filter('2.1.clean'!E:E,'2.1.clean'!A:A=C1064),filter('2.2.clean'!G:G,'2.2.clean'!D:D=C1064)),filter('2.4.clean'!E:E,'2.4.clean'!A:A=C1064)),)"),"")</f>
        <v/>
      </c>
      <c r="G1064" s="59" t="str">
        <f>IFERROR(__xludf.DUMMYFUNCTION("iferror(filter('3.1.clean'!C:C,'3.1.clean'!A:A=C1064),"""")"),"")</f>
        <v/>
      </c>
      <c r="H1064" s="58"/>
      <c r="I1064" s="58" t="str">
        <f>IFERROR(__xludf.DUMMYFUNCTION("iferror(filter('3.1.clean'!G:G,'3.1.clean'!A:A=C1064),"""")"),"")</f>
        <v/>
      </c>
      <c r="J1064" s="60" t="str">
        <f>IFERROR(__xludf.DUMMYFUNCTION("iferror(filter('3.1.clean'!I:I,'3.1.clean'!A:A=C1064),"""")"),"")</f>
        <v/>
      </c>
      <c r="K1064" s="59"/>
      <c r="L1064" s="60"/>
      <c r="M1064" s="59" t="str">
        <f>IFERROR(__xludf.DUMMYFUNCTION("iferror(filter('3.3.clean'!C:C,'3.3.clean'!A:A=C1064),"""")"),"")</f>
        <v/>
      </c>
      <c r="N1064" s="60" t="b">
        <f t="shared" si="847"/>
        <v>0</v>
      </c>
      <c r="O1064" s="59" t="str">
        <f>IFERROR(__xludf.DUMMYFUNCTION("iferror(filter('3.4.clean'!C:C,'3.4.clean'!A:A=C1064),"""")"),"")</f>
        <v/>
      </c>
      <c r="P1064" s="60" t="b">
        <f t="shared" si="848"/>
        <v>0</v>
      </c>
      <c r="Q1064" s="59">
        <f>IFERROR(__xludf.DUMMYFUNCTION("iferror(filter('3.5.clean'!C:C,'3.5.clean'!A:A=C1064),"""")"),43805.0)</f>
        <v>43805</v>
      </c>
      <c r="R1064" s="58" t="b">
        <f t="shared" ref="R1064:R1065" si="854">if(Q1064="",FALSE,TRUE)</f>
        <v>1</v>
      </c>
      <c r="S1064" s="4">
        <f>IFERROR(__xludf.DUMMYFUNCTION("iferror(filter('3.5.clean'!H:H,'3.5.clean'!A:A=C1064),"""")"),0.0)</f>
        <v>0</v>
      </c>
      <c r="V1064" s="52" t="s">
        <v>64</v>
      </c>
      <c r="W1064" s="23" t="b">
        <f>if(AND(R1064=TRUE,N1064=TRUE,P1064=TRUE),TRUE,FALSE)</f>
        <v>0</v>
      </c>
      <c r="X1064" s="23" t="str">
        <f>IFERROR(__xludf.DUMMYFUNCTION("if(COUNTA(FILTER(C:C, C:C = C1064))=1,""no"",""yes"")"),"no")</f>
        <v>no</v>
      </c>
    </row>
    <row r="1065">
      <c r="A1065" s="1" t="s">
        <v>919</v>
      </c>
      <c r="B1065" s="2">
        <v>7.0</v>
      </c>
      <c r="C1065" s="19" t="s">
        <v>1775</v>
      </c>
      <c r="E1065" s="24">
        <f>IFERROR(__xludf.DUMMYFUNCTION("ifna(IFNA(filter('2.1.clean'!C:C,'2.1.clean'!A:A=C1065),filter('2.2.clean'!E:E,'2.2.clean'!D:D=C1065)),filter('2.4.clean'!C:C,'2.4.clean'!A:A=C1065))"),43805.0)</f>
        <v>43805</v>
      </c>
      <c r="F1065" s="25">
        <f>IFERROR(__xludf.DUMMYFUNCTION("iferror(ifna(IFNA(filter('2.1.clean'!E:E,'2.1.clean'!A:A=C1065),filter('2.2.clean'!G:G,'2.2.clean'!D:D=C1065)),filter('2.4.clean'!E:E,'2.4.clean'!A:A=C1065)),)"),2.4)</f>
        <v>2.4</v>
      </c>
      <c r="G1065" s="24">
        <f>IFERROR(__xludf.DUMMYFUNCTION("iferror(filter('3.1.clean'!C:C,'3.1.clean'!A:A=C1065),"""")"),43805.0)</f>
        <v>43805</v>
      </c>
      <c r="H1065" s="23" t="b">
        <f t="shared" ref="H1065:H1066" si="855">if(G1065="",FALSE,TRUE)</f>
        <v>1</v>
      </c>
      <c r="J1065" s="25"/>
      <c r="K1065" s="24">
        <f>IFERROR(__xludf.DUMMYFUNCTION("iferror(filter('3.2.clean'!C:C,'3.2.clean'!A:A=C1065),"""")"),43805.0)</f>
        <v>43805</v>
      </c>
      <c r="L1065" s="25" t="b">
        <f>if(K1065="",FALSE,TRUE)</f>
        <v>1</v>
      </c>
      <c r="M1065" s="24">
        <f>IFERROR(__xludf.DUMMYFUNCTION("iferror(filter('3.3.clean'!C:C,'3.3.clean'!A:A=C1065),"""")"),43808.0)</f>
        <v>43808</v>
      </c>
      <c r="N1065" s="25" t="b">
        <f t="shared" si="847"/>
        <v>1</v>
      </c>
      <c r="O1065" s="24">
        <f>IFERROR(__xludf.DUMMYFUNCTION("iferror(filter('3.4.clean'!C:C,'3.4.clean'!A:A=C1065),"""")"),43810.0)</f>
        <v>43810</v>
      </c>
      <c r="P1065" s="25" t="b">
        <f t="shared" si="848"/>
        <v>1</v>
      </c>
      <c r="Q1065" s="24">
        <f>IFERROR(__xludf.DUMMYFUNCTION("iferror(filter('3.5.clean'!C:C,'3.5.clean'!A:A=C1065),"""")"),43805.0)</f>
        <v>43805</v>
      </c>
      <c r="R1065" s="23" t="b">
        <f t="shared" si="854"/>
        <v>1</v>
      </c>
      <c r="S1065" s="25"/>
      <c r="V1065" s="1" t="s">
        <v>64</v>
      </c>
      <c r="X1065" s="23" t="str">
        <f>IFERROR(__xludf.DUMMYFUNCTION("if(COUNTA(FILTER(C:C, C:C = C1065))=1,""no"",""yes"")"),"no")</f>
        <v>no</v>
      </c>
    </row>
    <row r="1066">
      <c r="A1066" s="1" t="s">
        <v>919</v>
      </c>
      <c r="B1066" s="19">
        <v>8.0</v>
      </c>
      <c r="C1066" s="19" t="s">
        <v>1776</v>
      </c>
      <c r="D1066" s="58" t="str">
        <f t="shared" ref="D1066:D1067" si="856">if(or(I1066=1,J1066=1,S1066=1),"pos","")</f>
        <v/>
      </c>
      <c r="E1066" s="59">
        <f>IFERROR(__xludf.DUMMYFUNCTION("ifna(IFNA(filter('2.1.clean'!C:C,'2.1.clean'!A:A=C1066),filter('2.2.clean'!E:E,'2.2.clean'!D:D=C1066)),filter('2.4.clean'!C:C,'2.4.clean'!A:A=C1066))"),43805.0)</f>
        <v>43805</v>
      </c>
      <c r="F1066" s="60">
        <f>IFERROR(__xludf.DUMMYFUNCTION("iferror(ifna(IFNA(filter('2.1.clean'!E:E,'2.1.clean'!A:A=C1066),filter('2.2.clean'!G:G,'2.2.clean'!D:D=C1066)),filter('2.4.clean'!E:E,'2.4.clean'!A:A=C1066)),)"),2.4)</f>
        <v>2.4</v>
      </c>
      <c r="G1066" s="59">
        <f>IFERROR(__xludf.DUMMYFUNCTION("iferror(filter('3.1.clean'!C:C,'3.1.clean'!A:A=C1066),"""")"),43805.0)</f>
        <v>43805</v>
      </c>
      <c r="H1066" s="58" t="b">
        <f t="shared" si="855"/>
        <v>1</v>
      </c>
      <c r="I1066" s="58">
        <f>IFERROR(__xludf.DUMMYFUNCTION("iferror(filter('3.1.clean'!G:G,'3.1.clean'!A:A=C1066),"""")"),0.0)</f>
        <v>0</v>
      </c>
      <c r="J1066" s="60" t="str">
        <f>IFERROR(__xludf.DUMMYFUNCTION("iferror(filter('3.1.clean'!I:I,'3.1.clean'!A:A=C1066),"""")"),"")</f>
        <v/>
      </c>
      <c r="K1066" s="58"/>
      <c r="L1066" s="60"/>
      <c r="M1066" s="59">
        <f>IFERROR(__xludf.DUMMYFUNCTION("iferror(filter('3.3.clean'!C:C,'3.3.clean'!A:A=C1066),"""")"),43808.0)</f>
        <v>43808</v>
      </c>
      <c r="N1066" s="60" t="b">
        <f t="shared" si="847"/>
        <v>1</v>
      </c>
      <c r="O1066" s="59">
        <f>IFERROR(__xludf.DUMMYFUNCTION("iferror(filter('3.4.clean'!C:C,'3.4.clean'!A:A=C1066),"""")"),43810.0)</f>
        <v>43810</v>
      </c>
      <c r="P1066" s="60" t="b">
        <f t="shared" si="848"/>
        <v>1</v>
      </c>
      <c r="Q1066" s="59" t="str">
        <f>IFERROR(__xludf.DUMMYFUNCTION("iferror(filter('3.5.clean'!C:C,'3.5.clean'!A:A=C1066),"""")"),"")</f>
        <v/>
      </c>
      <c r="R1066" s="58"/>
      <c r="S1066" s="4" t="str">
        <f>IFERROR(__xludf.DUMMYFUNCTION("iferror(filter('3.5.clean'!H:H,'3.5.clean'!A:A=C1066),"""")"),"")</f>
        <v/>
      </c>
      <c r="W1066" s="23" t="b">
        <f>if(AND(H1066=TRUE,N1066=TRUE,P1066=TRUE),TRUE,FALSE)</f>
        <v>1</v>
      </c>
      <c r="X1066" s="23" t="str">
        <f>IFERROR(__xludf.DUMMYFUNCTION("if(COUNTA(FILTER(C:C, C:C = C1066))=1,""no"",""yes"")"),"no")</f>
        <v>no</v>
      </c>
    </row>
    <row r="1067">
      <c r="A1067" s="1" t="s">
        <v>919</v>
      </c>
      <c r="B1067" s="19">
        <v>9.0</v>
      </c>
      <c r="C1067" s="19" t="s">
        <v>1777</v>
      </c>
      <c r="D1067" s="58" t="str">
        <f t="shared" si="856"/>
        <v/>
      </c>
      <c r="E1067" s="59">
        <f>Q1067</f>
        <v>43805</v>
      </c>
      <c r="F1067" s="60" t="str">
        <f>IFERROR(__xludf.DUMMYFUNCTION("iferror(ifna(IFNA(filter('2.1.clean'!E:E,'2.1.clean'!A:A=C1067),filter('2.2.clean'!G:G,'2.2.clean'!D:D=C1067)),filter('2.4.clean'!E:E,'2.4.clean'!A:A=C1067)),)"),"")</f>
        <v/>
      </c>
      <c r="G1067" s="59" t="str">
        <f>IFERROR(__xludf.DUMMYFUNCTION("iferror(filter('3.1.clean'!C:C,'3.1.clean'!A:A=C1067),"""")"),"")</f>
        <v/>
      </c>
      <c r="H1067" s="58"/>
      <c r="I1067" s="58" t="str">
        <f>IFERROR(__xludf.DUMMYFUNCTION("iferror(filter('3.1.clean'!G:G,'3.1.clean'!A:A=C1067),"""")"),"")</f>
        <v/>
      </c>
      <c r="J1067" s="60" t="str">
        <f>IFERROR(__xludf.DUMMYFUNCTION("iferror(filter('3.1.clean'!I:I,'3.1.clean'!A:A=C1067),"""")"),"")</f>
        <v/>
      </c>
      <c r="K1067" s="59"/>
      <c r="L1067" s="60"/>
      <c r="M1067" s="59" t="str">
        <f>IFERROR(__xludf.DUMMYFUNCTION("iferror(filter('3.3.clean'!C:C,'3.3.clean'!A:A=C1067),"""")"),"")</f>
        <v/>
      </c>
      <c r="N1067" s="60" t="b">
        <f t="shared" si="847"/>
        <v>0</v>
      </c>
      <c r="O1067" s="59" t="str">
        <f>IFERROR(__xludf.DUMMYFUNCTION("iferror(filter('3.4.clean'!C:C,'3.4.clean'!A:A=C1067),"""")"),"")</f>
        <v/>
      </c>
      <c r="P1067" s="60" t="b">
        <f t="shared" si="848"/>
        <v>0</v>
      </c>
      <c r="Q1067" s="59">
        <f>IFERROR(__xludf.DUMMYFUNCTION("iferror(filter('3.5.clean'!C:C,'3.5.clean'!A:A=C1067),"""")"),43805.0)</f>
        <v>43805</v>
      </c>
      <c r="R1067" s="58" t="b">
        <f t="shared" ref="R1067:R1068" si="857">if(Q1067="",FALSE,TRUE)</f>
        <v>1</v>
      </c>
      <c r="S1067" s="4">
        <f>IFERROR(__xludf.DUMMYFUNCTION("iferror(filter('3.5.clean'!H:H,'3.5.clean'!A:A=C1067),"""")"),0.0)</f>
        <v>0</v>
      </c>
      <c r="V1067" s="52" t="s">
        <v>64</v>
      </c>
      <c r="W1067" s="23" t="b">
        <f>if(AND(R1067=TRUE,N1067=TRUE,P1067=TRUE),TRUE,FALSE)</f>
        <v>0</v>
      </c>
      <c r="X1067" s="23" t="str">
        <f>IFERROR(__xludf.DUMMYFUNCTION("if(COUNTA(FILTER(C:C, C:C = C1067))=1,""no"",""yes"")"),"no")</f>
        <v>no</v>
      </c>
    </row>
    <row r="1068">
      <c r="A1068" s="1" t="s">
        <v>919</v>
      </c>
      <c r="B1068" s="2">
        <v>10.0</v>
      </c>
      <c r="C1068" s="19" t="s">
        <v>1778</v>
      </c>
      <c r="E1068" s="24">
        <f>IFERROR(__xludf.DUMMYFUNCTION("ifna(IFNA(filter('2.1.clean'!C:C,'2.1.clean'!A:A=C1068),filter('2.2.clean'!E:E,'2.2.clean'!D:D=C1068)),filter('2.4.clean'!C:C,'2.4.clean'!A:A=C1068))"),43805.0)</f>
        <v>43805</v>
      </c>
      <c r="F1068" s="25">
        <f>IFERROR(__xludf.DUMMYFUNCTION("iferror(ifna(IFNA(filter('2.1.clean'!E:E,'2.1.clean'!A:A=C1068),filter('2.2.clean'!G:G,'2.2.clean'!D:D=C1068)),filter('2.4.clean'!E:E,'2.4.clean'!A:A=C1068)),)"),2.4)</f>
        <v>2.4</v>
      </c>
      <c r="G1068" s="24">
        <f>IFERROR(__xludf.DUMMYFUNCTION("iferror(filter('3.1.clean'!C:C,'3.1.clean'!A:A=C1068),"""")"),43805.0)</f>
        <v>43805</v>
      </c>
      <c r="H1068" s="23" t="b">
        <f t="shared" ref="H1068:H1069" si="858">if(G1068="",FALSE,TRUE)</f>
        <v>1</v>
      </c>
      <c r="J1068" s="25"/>
      <c r="K1068" s="24">
        <f>IFERROR(__xludf.DUMMYFUNCTION("iferror(filter('3.2.clean'!C:C,'3.2.clean'!A:A=C1068),"""")"),43805.0)</f>
        <v>43805</v>
      </c>
      <c r="L1068" s="25" t="b">
        <f>if(K1068="",FALSE,TRUE)</f>
        <v>1</v>
      </c>
      <c r="M1068" s="24">
        <f>IFERROR(__xludf.DUMMYFUNCTION("iferror(filter('3.3.clean'!C:C,'3.3.clean'!A:A=C1068),"""")"),43808.0)</f>
        <v>43808</v>
      </c>
      <c r="N1068" s="25" t="b">
        <f t="shared" si="847"/>
        <v>1</v>
      </c>
      <c r="O1068" s="24">
        <f>IFERROR(__xludf.DUMMYFUNCTION("iferror(filter('3.4.clean'!C:C,'3.4.clean'!A:A=C1068),"""")"),43810.0)</f>
        <v>43810</v>
      </c>
      <c r="P1068" s="25" t="b">
        <f t="shared" si="848"/>
        <v>1</v>
      </c>
      <c r="Q1068" s="24">
        <f>IFERROR(__xludf.DUMMYFUNCTION("iferror(filter('3.5.clean'!C:C,'3.5.clean'!A:A=C1068),"""")"),43805.0)</f>
        <v>43805</v>
      </c>
      <c r="R1068" s="23" t="b">
        <f t="shared" si="857"/>
        <v>1</v>
      </c>
      <c r="S1068" s="25"/>
      <c r="V1068" s="1" t="s">
        <v>64</v>
      </c>
      <c r="X1068" s="23" t="str">
        <f>IFERROR(__xludf.DUMMYFUNCTION("if(COUNTA(FILTER(C:C, C:C = C1068))=1,""no"",""yes"")"),"no")</f>
        <v>no</v>
      </c>
    </row>
    <row r="1069">
      <c r="A1069" s="1" t="s">
        <v>919</v>
      </c>
      <c r="B1069" s="19">
        <v>11.0</v>
      </c>
      <c r="C1069" s="19" t="s">
        <v>1779</v>
      </c>
      <c r="D1069" s="58" t="str">
        <f t="shared" ref="D1069:D1072" si="859">if(or(I1069=1,J1069=1,S1069=1),"pos","")</f>
        <v/>
      </c>
      <c r="E1069" s="59">
        <f>IFERROR(__xludf.DUMMYFUNCTION("ifna(IFNA(filter('2.1.clean'!C:C,'2.1.clean'!A:A=C1069),filter('2.2.clean'!E:E,'2.2.clean'!D:D=C1069)),filter('2.4.clean'!C:C,'2.4.clean'!A:A=C1069))"),43805.0)</f>
        <v>43805</v>
      </c>
      <c r="F1069" s="60">
        <f>IFERROR(__xludf.DUMMYFUNCTION("iferror(ifna(IFNA(filter('2.1.clean'!E:E,'2.1.clean'!A:A=C1069),filter('2.2.clean'!G:G,'2.2.clean'!D:D=C1069)),filter('2.4.clean'!E:E,'2.4.clean'!A:A=C1069)),)"),2.4)</f>
        <v>2.4</v>
      </c>
      <c r="G1069" s="59">
        <f>IFERROR(__xludf.DUMMYFUNCTION("iferror(filter('3.1.clean'!C:C,'3.1.clean'!A:A=C1069),"""")"),43805.0)</f>
        <v>43805</v>
      </c>
      <c r="H1069" s="58" t="b">
        <f t="shared" si="858"/>
        <v>1</v>
      </c>
      <c r="I1069" s="58">
        <f>IFERROR(__xludf.DUMMYFUNCTION("iferror(filter('3.1.clean'!G:G,'3.1.clean'!A:A=C1069),"""")"),0.0)</f>
        <v>0</v>
      </c>
      <c r="J1069" s="60" t="str">
        <f>IFERROR(__xludf.DUMMYFUNCTION("iferror(filter('3.1.clean'!I:I,'3.1.clean'!A:A=C1069),"""")"),"")</f>
        <v/>
      </c>
      <c r="K1069" s="58"/>
      <c r="L1069" s="60"/>
      <c r="M1069" s="59" t="str">
        <f>IFERROR(__xludf.DUMMYFUNCTION("iferror(filter('3.3.clean'!C:C,'3.3.clean'!A:A=C1069),"""")"),"")</f>
        <v/>
      </c>
      <c r="N1069" s="60" t="b">
        <f t="shared" si="847"/>
        <v>0</v>
      </c>
      <c r="O1069" s="59" t="str">
        <f>IFERROR(__xludf.DUMMYFUNCTION("iferror(filter('3.4.clean'!C:C,'3.4.clean'!A:A=C1069),"""")"),"")</f>
        <v/>
      </c>
      <c r="P1069" s="60" t="b">
        <f t="shared" si="848"/>
        <v>0</v>
      </c>
      <c r="Q1069" s="59" t="str">
        <f>IFERROR(__xludf.DUMMYFUNCTION("iferror(filter('3.5.clean'!C:C,'3.5.clean'!A:A=C1069),"""")"),"")</f>
        <v/>
      </c>
      <c r="R1069" s="58"/>
      <c r="S1069" s="4" t="str">
        <f>IFERROR(__xludf.DUMMYFUNCTION("iferror(filter('3.5.clean'!H:H,'3.5.clean'!A:A=C1069),"""")"),"")</f>
        <v/>
      </c>
      <c r="W1069" s="23" t="b">
        <f>if(AND(H1069=TRUE,N1069=TRUE,P1069=TRUE),TRUE,FALSE)</f>
        <v>0</v>
      </c>
      <c r="X1069" s="23" t="str">
        <f>IFERROR(__xludf.DUMMYFUNCTION("if(COUNTA(FILTER(C:C, C:C = C1069))=1,""no"",""yes"")"),"no")</f>
        <v>no</v>
      </c>
    </row>
    <row r="1070">
      <c r="A1070" s="1" t="s">
        <v>919</v>
      </c>
      <c r="B1070" s="19">
        <v>12.0</v>
      </c>
      <c r="C1070" s="19" t="s">
        <v>1780</v>
      </c>
      <c r="D1070" s="58" t="str">
        <f t="shared" si="859"/>
        <v/>
      </c>
      <c r="E1070" s="59">
        <f t="shared" ref="E1070:E1071" si="860">Q1070</f>
        <v>43805</v>
      </c>
      <c r="F1070" s="60" t="str">
        <f>IFERROR(__xludf.DUMMYFUNCTION("iferror(ifna(IFNA(filter('2.1.clean'!E:E,'2.1.clean'!A:A=C1070),filter('2.2.clean'!G:G,'2.2.clean'!D:D=C1070)),filter('2.4.clean'!E:E,'2.4.clean'!A:A=C1070)),)"),"")</f>
        <v/>
      </c>
      <c r="G1070" s="59" t="str">
        <f>IFERROR(__xludf.DUMMYFUNCTION("iferror(filter('3.1.clean'!C:C,'3.1.clean'!A:A=C1070),"""")"),"")</f>
        <v/>
      </c>
      <c r="H1070" s="58"/>
      <c r="I1070" s="58" t="str">
        <f>IFERROR(__xludf.DUMMYFUNCTION("iferror(filter('3.1.clean'!G:G,'3.1.clean'!A:A=C1070),"""")"),"")</f>
        <v/>
      </c>
      <c r="J1070" s="60" t="str">
        <f>IFERROR(__xludf.DUMMYFUNCTION("iferror(filter('3.1.clean'!I:I,'3.1.clean'!A:A=C1070),"""")"),"")</f>
        <v/>
      </c>
      <c r="K1070" s="59"/>
      <c r="L1070" s="60"/>
      <c r="M1070" s="59" t="str">
        <f>IFERROR(__xludf.DUMMYFUNCTION("iferror(filter('3.3.clean'!C:C,'3.3.clean'!A:A=C1070),"""")"),"")</f>
        <v/>
      </c>
      <c r="N1070" s="60" t="b">
        <f t="shared" si="847"/>
        <v>0</v>
      </c>
      <c r="O1070" s="59" t="str">
        <f>IFERROR(__xludf.DUMMYFUNCTION("iferror(filter('3.4.clean'!C:C,'3.4.clean'!A:A=C1070),"""")"),"")</f>
        <v/>
      </c>
      <c r="P1070" s="60" t="b">
        <f t="shared" si="848"/>
        <v>0</v>
      </c>
      <c r="Q1070" s="59">
        <f>IFERROR(__xludf.DUMMYFUNCTION("iferror(filter('3.5.clean'!C:C,'3.5.clean'!A:A=C1070),"""")"),43805.0)</f>
        <v>43805</v>
      </c>
      <c r="R1070" s="58" t="b">
        <f t="shared" ref="R1070:R1071" si="861">if(Q1070="",FALSE,TRUE)</f>
        <v>1</v>
      </c>
      <c r="S1070" s="4">
        <f>IFERROR(__xludf.DUMMYFUNCTION("iferror(filter('3.5.clean'!H:H,'3.5.clean'!A:A=C1070),"""")"),0.0)</f>
        <v>0</v>
      </c>
      <c r="V1070" s="52" t="s">
        <v>64</v>
      </c>
      <c r="W1070" s="23" t="b">
        <f>if(AND(R1070=TRUE,N1070=TRUE,P1070=TRUE),TRUE,FALSE)</f>
        <v>0</v>
      </c>
      <c r="X1070" s="23" t="str">
        <f>IFERROR(__xludf.DUMMYFUNCTION("if(COUNTA(FILTER(C:C, C:C = C1070))=1,""no"",""yes"")"),"no")</f>
        <v>no</v>
      </c>
    </row>
    <row r="1071">
      <c r="A1071" s="1" t="s">
        <v>919</v>
      </c>
      <c r="B1071" s="19">
        <v>13.0</v>
      </c>
      <c r="C1071" s="19" t="s">
        <v>1781</v>
      </c>
      <c r="D1071" s="22" t="str">
        <f t="shared" si="859"/>
        <v/>
      </c>
      <c r="E1071" s="20">
        <f t="shared" si="860"/>
        <v>43805</v>
      </c>
      <c r="F1071" s="25" t="str">
        <f>IFERROR(__xludf.DUMMYFUNCTION("iferror(ifna(IFNA(filter('2.1.clean'!E:E,'2.1.clean'!A:A=C1071),filter('2.2.clean'!G:G,'2.2.clean'!D:D=C1071)),filter('2.4.clean'!E:E,'2.4.clean'!A:A=C1071)),)"),"")</f>
        <v/>
      </c>
      <c r="G1071" s="20" t="str">
        <f>IFERROR(__xludf.DUMMYFUNCTION("iferror(filter('3.1.clean'!C:C,'3.1.clean'!A:A=C1071),"""")"),"")</f>
        <v/>
      </c>
      <c r="H1071" s="22"/>
      <c r="I1071" s="22"/>
      <c r="J1071" s="79"/>
      <c r="K1071" s="20" t="str">
        <f>IFERROR(__xludf.DUMMYFUNCTION("iferror(filter('3.2.clean'!C:C,'3.2.clean'!A:A=C1071),"""")"),"")</f>
        <v/>
      </c>
      <c r="L1071" s="79"/>
      <c r="M1071" s="20" t="str">
        <f>IFERROR(__xludf.DUMMYFUNCTION("iferror(filter('3.3.clean'!C:C,'3.3.clean'!A:A=C1071),"""")"),"")</f>
        <v/>
      </c>
      <c r="N1071" s="79" t="b">
        <f t="shared" si="847"/>
        <v>0</v>
      </c>
      <c r="O1071" s="20" t="str">
        <f>IFERROR(__xludf.DUMMYFUNCTION("iferror(filter('3.4.clean'!C:C,'3.4.clean'!A:A=C1071),"""")"),"")</f>
        <v/>
      </c>
      <c r="P1071" s="79" t="b">
        <f t="shared" si="848"/>
        <v>0</v>
      </c>
      <c r="Q1071" s="20">
        <f>IFERROR(__xludf.DUMMYFUNCTION("iferror(filter('3.5.clean'!C:C,'3.5.clean'!A:A=C1071),"""")"),43805.0)</f>
        <v>43805</v>
      </c>
      <c r="R1071" s="22" t="b">
        <f t="shared" si="861"/>
        <v>1</v>
      </c>
      <c r="S1071" s="4">
        <f>IFERROR(__xludf.DUMMYFUNCTION("iferror(filter('3.5.clean'!H:H,'3.5.clean'!A:A=C1071),"""")"),0.0)</f>
        <v>0</v>
      </c>
      <c r="V1071" s="1" t="s">
        <v>64</v>
      </c>
      <c r="W1071" s="23" t="b">
        <f>IF(and(R1071=TRUE,N1071=TRUE,P1071=TRUE),TRUE,FALSE)</f>
        <v>0</v>
      </c>
      <c r="X1071" s="23" t="str">
        <f>IFERROR(__xludf.DUMMYFUNCTION("if(COUNTA(FILTER(C:C, C:C = C1071))=1,""no"",""yes"")"),"no")</f>
        <v>no</v>
      </c>
    </row>
    <row r="1072">
      <c r="A1072" s="1" t="s">
        <v>919</v>
      </c>
      <c r="B1072" s="19">
        <v>14.0</v>
      </c>
      <c r="C1072" s="19" t="s">
        <v>1782</v>
      </c>
      <c r="D1072" s="76" t="str">
        <f t="shared" si="859"/>
        <v/>
      </c>
      <c r="E1072" s="77">
        <f>G1072</f>
        <v>43805</v>
      </c>
      <c r="F1072" s="78" t="str">
        <f>IFERROR(__xludf.DUMMYFUNCTION("iferror(ifna(IFNA(filter('2.1.clean'!E:E,'2.1.clean'!A:A=C1072),filter('2.2.clean'!G:G,'2.2.clean'!D:D=C1072)),filter('2.4.clean'!E:E,'2.4.clean'!A:A=C1072)),)"),"")</f>
        <v/>
      </c>
      <c r="G1072" s="77">
        <f>IFERROR(__xludf.DUMMYFUNCTION("iferror(filter('3.1.clean'!C:C,'3.1.clean'!A:A=C1072),"""")"),43805.0)</f>
        <v>43805</v>
      </c>
      <c r="H1072" s="76" t="b">
        <f t="shared" ref="H1072:H1074" si="862">if(G1072="",FALSE,TRUE)</f>
        <v>1</v>
      </c>
      <c r="I1072" s="76">
        <f>IFERROR(__xludf.DUMMYFUNCTION("iferror(filter('3.1.clean'!G:G,'3.1.clean'!A:A=C1072),"""")"),0.0)</f>
        <v>0</v>
      </c>
      <c r="J1072" s="78" t="str">
        <f>IFERROR(__xludf.DUMMYFUNCTION("iferror(filter('3.1.clean'!I:I,'3.1.clean'!A:A=C1072),"""")"),"")</f>
        <v/>
      </c>
      <c r="K1072" s="77"/>
      <c r="L1072" s="78"/>
      <c r="M1072" s="77"/>
      <c r="N1072" s="78"/>
      <c r="O1072" s="77"/>
      <c r="P1072" s="78"/>
      <c r="Q1072" s="77"/>
      <c r="R1072" s="76"/>
      <c r="S1072" s="25"/>
      <c r="V1072" s="1" t="s">
        <v>64</v>
      </c>
      <c r="W1072" s="1" t="b">
        <v>1</v>
      </c>
      <c r="X1072" s="23" t="str">
        <f>IFERROR(__xludf.DUMMYFUNCTION("if(COUNTA(FILTER(C:C, C:C = C1072))=1,""no"",""yes"")"),"no")</f>
        <v>no</v>
      </c>
    </row>
    <row r="1073">
      <c r="A1073" s="75" t="s">
        <v>923</v>
      </c>
      <c r="B1073" s="2">
        <v>1.0</v>
      </c>
      <c r="C1073" s="19" t="s">
        <v>1783</v>
      </c>
      <c r="E1073" s="24">
        <f>IFERROR(__xludf.DUMMYFUNCTION("ifna(IFNA(filter('2.1.clean'!C:C,'2.1.clean'!A:A=C1073),filter('2.2.clean'!E:E,'2.2.clean'!D:D=C1073)),filter('2.4.clean'!C:C,'2.4.clean'!A:A=C1073))"),43808.0)</f>
        <v>43808</v>
      </c>
      <c r="F1073" s="25">
        <f>IFERROR(__xludf.DUMMYFUNCTION("iferror(ifna(IFNA(filter('2.1.clean'!E:E,'2.1.clean'!A:A=C1073),filter('2.2.clean'!G:G,'2.2.clean'!D:D=C1073)),filter('2.4.clean'!E:E,'2.4.clean'!A:A=C1073)),)"),2.4)</f>
        <v>2.4</v>
      </c>
      <c r="G1073" s="24">
        <f>IFERROR(__xludf.DUMMYFUNCTION("iferror(filter('3.1.clean'!C:C,'3.1.clean'!A:A=C1073),"""")"),43808.0)</f>
        <v>43808</v>
      </c>
      <c r="H1073" s="23" t="b">
        <f t="shared" si="862"/>
        <v>1</v>
      </c>
      <c r="J1073" s="25"/>
      <c r="K1073" s="24">
        <f>IFERROR(__xludf.DUMMYFUNCTION("iferror(filter('3.2.clean'!C:C,'3.2.clean'!A:A=C1073),"""")"),43810.0)</f>
        <v>43810</v>
      </c>
      <c r="L1073" s="25" t="b">
        <f>if(K1073="",FALSE,TRUE)</f>
        <v>1</v>
      </c>
      <c r="M1073" s="24">
        <f>IFERROR(__xludf.DUMMYFUNCTION("iferror(filter('3.3.clean'!C:C,'3.3.clean'!A:A=C1073),"""")"),43810.0)</f>
        <v>43810</v>
      </c>
      <c r="N1073" s="25" t="b">
        <f t="shared" ref="N1073:N1085" si="863">if(M1073="",FALSE,TRUE)</f>
        <v>1</v>
      </c>
      <c r="O1073" s="24">
        <f>IFERROR(__xludf.DUMMYFUNCTION("iferror(filter('3.4.clean'!C:C,'3.4.clean'!A:A=C1073),"""")"),43810.0)</f>
        <v>43810</v>
      </c>
      <c r="P1073" s="25" t="b">
        <f t="shared" ref="P1073:P1085" si="864">if(O1073="",FALSE,TRUE)</f>
        <v>1</v>
      </c>
      <c r="Q1073" s="24">
        <f>IFERROR(__xludf.DUMMYFUNCTION("iferror(filter('3.5.clean'!C:C,'3.5.clean'!A:A=C1073),"""")"),43808.0)</f>
        <v>43808</v>
      </c>
      <c r="R1073" s="23" t="b">
        <f>if(Q1073="",FALSE,TRUE)</f>
        <v>1</v>
      </c>
      <c r="S1073" s="25"/>
      <c r="V1073" s="1" t="s">
        <v>64</v>
      </c>
      <c r="X1073" s="23" t="str">
        <f>IFERROR(__xludf.DUMMYFUNCTION("if(COUNTA(FILTER(C:C, C:C = C1073))=1,""no"",""yes"")"),"no")</f>
        <v>no</v>
      </c>
    </row>
    <row r="1074">
      <c r="A1074" s="75" t="s">
        <v>923</v>
      </c>
      <c r="B1074" s="19">
        <v>2.0</v>
      </c>
      <c r="C1074" s="19" t="s">
        <v>1784</v>
      </c>
      <c r="D1074" s="58" t="str">
        <f t="shared" ref="D1074:D1075" si="865">if(or(I1074=1,J1074=1,S1074=1),"pos","")</f>
        <v/>
      </c>
      <c r="E1074" s="59">
        <f>IFERROR(__xludf.DUMMYFUNCTION("ifna(IFNA(filter('2.1.clean'!C:C,'2.1.clean'!A:A=C1074),filter('2.2.clean'!E:E,'2.2.clean'!D:D=C1074)),filter('2.4.clean'!C:C,'2.4.clean'!A:A=C1074))"),43808.0)</f>
        <v>43808</v>
      </c>
      <c r="F1074" s="60">
        <f>IFERROR(__xludf.DUMMYFUNCTION("iferror(ifna(IFNA(filter('2.1.clean'!E:E,'2.1.clean'!A:A=C1074),filter('2.2.clean'!G:G,'2.2.clean'!D:D=C1074)),filter('2.4.clean'!E:E,'2.4.clean'!A:A=C1074)),)"),2.4)</f>
        <v>2.4</v>
      </c>
      <c r="G1074" s="59">
        <f>IFERROR(__xludf.DUMMYFUNCTION("iferror(filter('3.1.clean'!C:C,'3.1.clean'!A:A=C1074),"""")"),43808.0)</f>
        <v>43808</v>
      </c>
      <c r="H1074" s="58" t="b">
        <f t="shared" si="862"/>
        <v>1</v>
      </c>
      <c r="I1074" s="58">
        <f>IFERROR(__xludf.DUMMYFUNCTION("iferror(filter('3.1.clean'!G:G,'3.1.clean'!A:A=C1074),"""")"),0.0)</f>
        <v>0</v>
      </c>
      <c r="J1074" s="60" t="str">
        <f>IFERROR(__xludf.DUMMYFUNCTION("iferror(filter('3.1.clean'!I:I,'3.1.clean'!A:A=C1074),"""")"),"")</f>
        <v/>
      </c>
      <c r="K1074" s="58"/>
      <c r="L1074" s="60"/>
      <c r="M1074" s="59">
        <f>IFERROR(__xludf.DUMMYFUNCTION("iferror(filter('3.3.clean'!C:C,'3.3.clean'!A:A=C1074),"""")"),43810.0)</f>
        <v>43810</v>
      </c>
      <c r="N1074" s="60" t="b">
        <f t="shared" si="863"/>
        <v>1</v>
      </c>
      <c r="O1074" s="59" t="str">
        <f>IFERROR(__xludf.DUMMYFUNCTION("iferror(filter('3.4.clean'!C:C,'3.4.clean'!A:A=C1074),"""")"),"")</f>
        <v/>
      </c>
      <c r="P1074" s="60" t="b">
        <f t="shared" si="864"/>
        <v>0</v>
      </c>
      <c r="Q1074" s="59" t="str">
        <f>IFERROR(__xludf.DUMMYFUNCTION("iferror(filter('3.5.clean'!C:C,'3.5.clean'!A:A=C1074),"""")"),"")</f>
        <v/>
      </c>
      <c r="R1074" s="58"/>
      <c r="S1074" s="4" t="str">
        <f>IFERROR(__xludf.DUMMYFUNCTION("iferror(filter('3.5.clean'!H:H,'3.5.clean'!A:A=C1074),"""")"),"")</f>
        <v/>
      </c>
      <c r="W1074" s="23" t="b">
        <f>if(AND(H1074=TRUE,N1074=TRUE,P1074=TRUE),TRUE,FALSE)</f>
        <v>0</v>
      </c>
      <c r="X1074" s="23" t="str">
        <f>IFERROR(__xludf.DUMMYFUNCTION("if(COUNTA(FILTER(C:C, C:C = C1074))=1,""no"",""yes"")"),"no")</f>
        <v>no</v>
      </c>
    </row>
    <row r="1075">
      <c r="A1075" s="75" t="s">
        <v>923</v>
      </c>
      <c r="B1075" s="19">
        <v>3.0</v>
      </c>
      <c r="C1075" s="19" t="s">
        <v>1785</v>
      </c>
      <c r="D1075" s="58" t="str">
        <f t="shared" si="865"/>
        <v/>
      </c>
      <c r="E1075" s="59">
        <f>Q1075</f>
        <v>43808</v>
      </c>
      <c r="F1075" s="60" t="str">
        <f>IFERROR(__xludf.DUMMYFUNCTION("iferror(ifna(IFNA(filter('2.1.clean'!E:E,'2.1.clean'!A:A=C1075),filter('2.2.clean'!G:G,'2.2.clean'!D:D=C1075)),filter('2.4.clean'!E:E,'2.4.clean'!A:A=C1075)),)"),"")</f>
        <v/>
      </c>
      <c r="G1075" s="59" t="str">
        <f>IFERROR(__xludf.DUMMYFUNCTION("iferror(filter('3.1.clean'!C:C,'3.1.clean'!A:A=C1075),"""")"),"")</f>
        <v/>
      </c>
      <c r="H1075" s="58"/>
      <c r="I1075" s="58" t="str">
        <f>IFERROR(__xludf.DUMMYFUNCTION("iferror(filter('3.1.clean'!G:G,'3.1.clean'!A:A=C1075),"""")"),"")</f>
        <v/>
      </c>
      <c r="J1075" s="60" t="str">
        <f>IFERROR(__xludf.DUMMYFUNCTION("iferror(filter('3.1.clean'!I:I,'3.1.clean'!A:A=C1075),"""")"),"")</f>
        <v/>
      </c>
      <c r="K1075" s="59"/>
      <c r="L1075" s="60"/>
      <c r="M1075" s="59" t="str">
        <f>IFERROR(__xludf.DUMMYFUNCTION("iferror(filter('3.3.clean'!C:C,'3.3.clean'!A:A=C1075),"""")"),"")</f>
        <v/>
      </c>
      <c r="N1075" s="60" t="b">
        <f t="shared" si="863"/>
        <v>0</v>
      </c>
      <c r="O1075" s="59">
        <f>IFERROR(__xludf.DUMMYFUNCTION("iferror(filter('3.4.clean'!C:C,'3.4.clean'!A:A=C1075),"""")"),43810.0)</f>
        <v>43810</v>
      </c>
      <c r="P1075" s="60" t="b">
        <f t="shared" si="864"/>
        <v>1</v>
      </c>
      <c r="Q1075" s="59">
        <f>IFERROR(__xludf.DUMMYFUNCTION("iferror(filter('3.5.clean'!C:C,'3.5.clean'!A:A=C1075),"""")"),43808.0)</f>
        <v>43808</v>
      </c>
      <c r="R1075" s="58" t="b">
        <f t="shared" ref="R1075:R1076" si="866">if(Q1075="",FALSE,TRUE)</f>
        <v>1</v>
      </c>
      <c r="S1075" s="4">
        <f>IFERROR(__xludf.DUMMYFUNCTION("iferror(filter('3.5.clean'!H:H,'3.5.clean'!A:A=C1075),"""")"),0.0)</f>
        <v>0</v>
      </c>
      <c r="V1075" s="52" t="s">
        <v>64</v>
      </c>
      <c r="W1075" s="23" t="b">
        <f>if(AND(R1075=TRUE,N1075=TRUE,P1075=TRUE),TRUE,FALSE)</f>
        <v>0</v>
      </c>
      <c r="X1075" s="23" t="str">
        <f>IFERROR(__xludf.DUMMYFUNCTION("if(COUNTA(FILTER(C:C, C:C = C1075))=1,""no"",""yes"")"),"no")</f>
        <v>no</v>
      </c>
    </row>
    <row r="1076">
      <c r="A1076" s="75" t="s">
        <v>923</v>
      </c>
      <c r="B1076" s="2">
        <v>4.0</v>
      </c>
      <c r="C1076" s="19" t="s">
        <v>1786</v>
      </c>
      <c r="E1076" s="24">
        <f>IFERROR(__xludf.DUMMYFUNCTION("ifna(IFNA(filter('2.1.clean'!C:C,'2.1.clean'!A:A=C1076),filter('2.2.clean'!E:E,'2.2.clean'!D:D=C1076)),filter('2.4.clean'!C:C,'2.4.clean'!A:A=C1076))"),43808.0)</f>
        <v>43808</v>
      </c>
      <c r="F1076" s="25">
        <f>IFERROR(__xludf.DUMMYFUNCTION("iferror(ifna(IFNA(filter('2.1.clean'!E:E,'2.1.clean'!A:A=C1076),filter('2.2.clean'!G:G,'2.2.clean'!D:D=C1076)),filter('2.4.clean'!E:E,'2.4.clean'!A:A=C1076)),)"),2.4)</f>
        <v>2.4</v>
      </c>
      <c r="G1076" s="24">
        <f>IFERROR(__xludf.DUMMYFUNCTION("iferror(filter('3.1.clean'!C:C,'3.1.clean'!A:A=C1076),"""")"),43808.0)</f>
        <v>43808</v>
      </c>
      <c r="H1076" s="23" t="b">
        <f t="shared" ref="H1076:H1077" si="867">if(G1076="",FALSE,TRUE)</f>
        <v>1</v>
      </c>
      <c r="J1076" s="25"/>
      <c r="K1076" s="24">
        <f>IFERROR(__xludf.DUMMYFUNCTION("iferror(filter('3.2.clean'!C:C,'3.2.clean'!A:A=C1076),"""")"),43810.0)</f>
        <v>43810</v>
      </c>
      <c r="L1076" s="25" t="b">
        <f>if(K1076="",FALSE,TRUE)</f>
        <v>1</v>
      </c>
      <c r="M1076" s="24">
        <f>IFERROR(__xludf.DUMMYFUNCTION("iferror(filter('3.3.clean'!C:C,'3.3.clean'!A:A=C1076),"""")"),43810.0)</f>
        <v>43810</v>
      </c>
      <c r="N1076" s="25" t="b">
        <f t="shared" si="863"/>
        <v>1</v>
      </c>
      <c r="O1076" s="24">
        <f>IFERROR(__xludf.DUMMYFUNCTION("iferror(filter('3.4.clean'!C:C,'3.4.clean'!A:A=C1076),"""")"),43810.0)</f>
        <v>43810</v>
      </c>
      <c r="P1076" s="25" t="b">
        <f t="shared" si="864"/>
        <v>1</v>
      </c>
      <c r="Q1076" s="24">
        <f>IFERROR(__xludf.DUMMYFUNCTION("iferror(filter('3.5.clean'!C:C,'3.5.clean'!A:A=C1076),"""")"),43808.0)</f>
        <v>43808</v>
      </c>
      <c r="R1076" s="23" t="b">
        <f t="shared" si="866"/>
        <v>1</v>
      </c>
      <c r="S1076" s="25"/>
      <c r="V1076" s="1" t="s">
        <v>64</v>
      </c>
      <c r="X1076" s="23" t="str">
        <f>IFERROR(__xludf.DUMMYFUNCTION("if(COUNTA(FILTER(C:C, C:C = C1076))=1,""no"",""yes"")"),"no")</f>
        <v>no</v>
      </c>
    </row>
    <row r="1077">
      <c r="A1077" s="75" t="s">
        <v>923</v>
      </c>
      <c r="B1077" s="19">
        <v>5.0</v>
      </c>
      <c r="C1077" s="19" t="s">
        <v>1787</v>
      </c>
      <c r="D1077" s="58" t="str">
        <f t="shared" ref="D1077:D1078" si="868">if(or(I1077=1,J1077=1,S1077=1),"pos","")</f>
        <v/>
      </c>
      <c r="E1077" s="59">
        <f>IFERROR(__xludf.DUMMYFUNCTION("ifna(IFNA(filter('2.1.clean'!C:C,'2.1.clean'!A:A=C1077),filter('2.2.clean'!E:E,'2.2.clean'!D:D=C1077)),filter('2.4.clean'!C:C,'2.4.clean'!A:A=C1077))"),43808.0)</f>
        <v>43808</v>
      </c>
      <c r="F1077" s="60">
        <f>IFERROR(__xludf.DUMMYFUNCTION("iferror(ifna(IFNA(filter('2.1.clean'!E:E,'2.1.clean'!A:A=C1077),filter('2.2.clean'!G:G,'2.2.clean'!D:D=C1077)),filter('2.4.clean'!E:E,'2.4.clean'!A:A=C1077)),)"),2.4)</f>
        <v>2.4</v>
      </c>
      <c r="G1077" s="59">
        <f>IFERROR(__xludf.DUMMYFUNCTION("iferror(filter('3.1.clean'!C:C,'3.1.clean'!A:A=C1077),"""")"),43808.0)</f>
        <v>43808</v>
      </c>
      <c r="H1077" s="58" t="b">
        <f t="shared" si="867"/>
        <v>1</v>
      </c>
      <c r="I1077" s="58">
        <f>IFERROR(__xludf.DUMMYFUNCTION("iferror(filter('3.1.clean'!G:G,'3.1.clean'!A:A=C1077),"""")"),0.0)</f>
        <v>0</v>
      </c>
      <c r="J1077" s="60" t="str">
        <f>IFERROR(__xludf.DUMMYFUNCTION("iferror(filter('3.1.clean'!I:I,'3.1.clean'!A:A=C1077),"""")"),"")</f>
        <v/>
      </c>
      <c r="K1077" s="58"/>
      <c r="L1077" s="60"/>
      <c r="M1077" s="59" t="str">
        <f>IFERROR(__xludf.DUMMYFUNCTION("iferror(filter('3.3.clean'!C:C,'3.3.clean'!A:A=C1077),"""")"),"")</f>
        <v/>
      </c>
      <c r="N1077" s="60" t="b">
        <f t="shared" si="863"/>
        <v>0</v>
      </c>
      <c r="O1077" s="59" t="str">
        <f>IFERROR(__xludf.DUMMYFUNCTION("iferror(filter('3.4.clean'!C:C,'3.4.clean'!A:A=C1077),"""")"),"")</f>
        <v/>
      </c>
      <c r="P1077" s="60" t="b">
        <f t="shared" si="864"/>
        <v>0</v>
      </c>
      <c r="Q1077" s="59" t="str">
        <f>IFERROR(__xludf.DUMMYFUNCTION("iferror(filter('3.5.clean'!C:C,'3.5.clean'!A:A=C1077),"""")"),"")</f>
        <v/>
      </c>
      <c r="R1077" s="58"/>
      <c r="S1077" s="4" t="str">
        <f>IFERROR(__xludf.DUMMYFUNCTION("iferror(filter('3.5.clean'!H:H,'3.5.clean'!A:A=C1077),"""")"),"")</f>
        <v/>
      </c>
      <c r="W1077" s="23" t="b">
        <f>if(AND(H1077=TRUE,N1077=TRUE,P1077=TRUE),TRUE,FALSE)</f>
        <v>0</v>
      </c>
      <c r="X1077" s="23" t="str">
        <f>IFERROR(__xludf.DUMMYFUNCTION("if(COUNTA(FILTER(C:C, C:C = C1077))=1,""no"",""yes"")"),"no")</f>
        <v>no</v>
      </c>
    </row>
    <row r="1078">
      <c r="A1078" s="75" t="s">
        <v>923</v>
      </c>
      <c r="B1078" s="19">
        <v>6.0</v>
      </c>
      <c r="C1078" s="19" t="s">
        <v>1788</v>
      </c>
      <c r="D1078" s="58" t="str">
        <f t="shared" si="868"/>
        <v/>
      </c>
      <c r="E1078" s="59">
        <f>Q1078</f>
        <v>43808</v>
      </c>
      <c r="F1078" s="60" t="str">
        <f>IFERROR(__xludf.DUMMYFUNCTION("iferror(ifna(IFNA(filter('2.1.clean'!E:E,'2.1.clean'!A:A=C1078),filter('2.2.clean'!G:G,'2.2.clean'!D:D=C1078)),filter('2.4.clean'!E:E,'2.4.clean'!A:A=C1078)),)"),"")</f>
        <v/>
      </c>
      <c r="G1078" s="59" t="str">
        <f>IFERROR(__xludf.DUMMYFUNCTION("iferror(filter('3.1.clean'!C:C,'3.1.clean'!A:A=C1078),"""")"),"")</f>
        <v/>
      </c>
      <c r="H1078" s="58"/>
      <c r="I1078" s="58" t="str">
        <f>IFERROR(__xludf.DUMMYFUNCTION("iferror(filter('3.1.clean'!G:G,'3.1.clean'!A:A=C1078),"""")"),"")</f>
        <v/>
      </c>
      <c r="J1078" s="60" t="str">
        <f>IFERROR(__xludf.DUMMYFUNCTION("iferror(filter('3.1.clean'!I:I,'3.1.clean'!A:A=C1078),"""")"),"")</f>
        <v/>
      </c>
      <c r="K1078" s="59"/>
      <c r="L1078" s="60"/>
      <c r="M1078" s="59" t="str">
        <f>IFERROR(__xludf.DUMMYFUNCTION("iferror(filter('3.3.clean'!C:C,'3.3.clean'!A:A=C1078),"""")"),"")</f>
        <v/>
      </c>
      <c r="N1078" s="60" t="b">
        <f t="shared" si="863"/>
        <v>0</v>
      </c>
      <c r="O1078" s="59" t="str">
        <f>IFERROR(__xludf.DUMMYFUNCTION("iferror(filter('3.4.clean'!C:C,'3.4.clean'!A:A=C1078),"""")"),"")</f>
        <v/>
      </c>
      <c r="P1078" s="60" t="b">
        <f t="shared" si="864"/>
        <v>0</v>
      </c>
      <c r="Q1078" s="59">
        <f>IFERROR(__xludf.DUMMYFUNCTION("iferror(filter('3.5.clean'!C:C,'3.5.clean'!A:A=C1078),"""")"),43808.0)</f>
        <v>43808</v>
      </c>
      <c r="R1078" s="58" t="b">
        <f t="shared" ref="R1078:R1079" si="869">if(Q1078="",FALSE,TRUE)</f>
        <v>1</v>
      </c>
      <c r="S1078" s="4">
        <f>IFERROR(__xludf.DUMMYFUNCTION("iferror(filter('3.5.clean'!H:H,'3.5.clean'!A:A=C1078),"""")"),0.0)</f>
        <v>0</v>
      </c>
      <c r="V1078" s="52" t="s">
        <v>64</v>
      </c>
      <c r="W1078" s="23" t="b">
        <f>if(AND(R1078=TRUE,N1078=TRUE,P1078=TRUE),TRUE,FALSE)</f>
        <v>0</v>
      </c>
      <c r="X1078" s="23" t="str">
        <f>IFERROR(__xludf.DUMMYFUNCTION("if(COUNTA(FILTER(C:C, C:C = C1078))=1,""no"",""yes"")"),"no")</f>
        <v>no</v>
      </c>
    </row>
    <row r="1079">
      <c r="A1079" s="75" t="s">
        <v>923</v>
      </c>
      <c r="B1079" s="2">
        <v>7.0</v>
      </c>
      <c r="C1079" s="19" t="s">
        <v>1789</v>
      </c>
      <c r="E1079" s="24">
        <f>IFERROR(__xludf.DUMMYFUNCTION("ifna(IFNA(filter('2.1.clean'!C:C,'2.1.clean'!A:A=C1079),filter('2.2.clean'!E:E,'2.2.clean'!D:D=C1079)),filter('2.4.clean'!C:C,'2.4.clean'!A:A=C1079))"),43808.0)</f>
        <v>43808</v>
      </c>
      <c r="F1079" s="25">
        <f>IFERROR(__xludf.DUMMYFUNCTION("iferror(ifna(IFNA(filter('2.1.clean'!E:E,'2.1.clean'!A:A=C1079),filter('2.2.clean'!G:G,'2.2.clean'!D:D=C1079)),filter('2.4.clean'!E:E,'2.4.clean'!A:A=C1079)),)"),2.4)</f>
        <v>2.4</v>
      </c>
      <c r="G1079" s="24">
        <f>IFERROR(__xludf.DUMMYFUNCTION("iferror(filter('3.1.clean'!C:C,'3.1.clean'!A:A=C1079),"""")"),43808.0)</f>
        <v>43808</v>
      </c>
      <c r="H1079" s="23" t="b">
        <f t="shared" ref="H1079:H1080" si="870">if(G1079="",FALSE,TRUE)</f>
        <v>1</v>
      </c>
      <c r="J1079" s="25"/>
      <c r="K1079" s="24">
        <f>IFERROR(__xludf.DUMMYFUNCTION("iferror(filter('3.2.clean'!C:C,'3.2.clean'!A:A=C1079),"""")"),43810.0)</f>
        <v>43810</v>
      </c>
      <c r="L1079" s="25" t="b">
        <f>if(K1079="",FALSE,TRUE)</f>
        <v>1</v>
      </c>
      <c r="M1079" s="24">
        <f>IFERROR(__xludf.DUMMYFUNCTION("iferror(filter('3.3.clean'!C:C,'3.3.clean'!A:A=C1079),"""")"),43810.0)</f>
        <v>43810</v>
      </c>
      <c r="N1079" s="25" t="b">
        <f t="shared" si="863"/>
        <v>1</v>
      </c>
      <c r="O1079" s="24">
        <f>IFERROR(__xludf.DUMMYFUNCTION("iferror(filter('3.4.clean'!C:C,'3.4.clean'!A:A=C1079),"""")"),43810.0)</f>
        <v>43810</v>
      </c>
      <c r="P1079" s="25" t="b">
        <f t="shared" si="864"/>
        <v>1</v>
      </c>
      <c r="Q1079" s="24">
        <f>IFERROR(__xludf.DUMMYFUNCTION("iferror(filter('3.5.clean'!C:C,'3.5.clean'!A:A=C1079),"""")"),43808.0)</f>
        <v>43808</v>
      </c>
      <c r="R1079" s="23" t="b">
        <f t="shared" si="869"/>
        <v>1</v>
      </c>
      <c r="S1079" s="25"/>
      <c r="V1079" s="1" t="s">
        <v>64</v>
      </c>
      <c r="X1079" s="23" t="str">
        <f>IFERROR(__xludf.DUMMYFUNCTION("if(COUNTA(FILTER(C:C, C:C = C1079))=1,""no"",""yes"")"),"no")</f>
        <v>no</v>
      </c>
    </row>
    <row r="1080">
      <c r="A1080" s="75" t="s">
        <v>923</v>
      </c>
      <c r="B1080" s="19">
        <v>8.0</v>
      </c>
      <c r="C1080" s="19" t="s">
        <v>1790</v>
      </c>
      <c r="D1080" s="58" t="str">
        <f t="shared" ref="D1080:D1081" si="871">if(or(I1080=1,J1080=1,S1080=1),"pos","")</f>
        <v/>
      </c>
      <c r="E1080" s="59">
        <f>IFERROR(__xludf.DUMMYFUNCTION("ifna(IFNA(filter('2.1.clean'!C:C,'2.1.clean'!A:A=C1080),filter('2.2.clean'!E:E,'2.2.clean'!D:D=C1080)),filter('2.4.clean'!C:C,'2.4.clean'!A:A=C1080))"),43808.0)</f>
        <v>43808</v>
      </c>
      <c r="F1080" s="60">
        <f>IFERROR(__xludf.DUMMYFUNCTION("iferror(ifna(IFNA(filter('2.1.clean'!E:E,'2.1.clean'!A:A=C1080),filter('2.2.clean'!G:G,'2.2.clean'!D:D=C1080)),filter('2.4.clean'!E:E,'2.4.clean'!A:A=C1080)),)"),2.4)</f>
        <v>2.4</v>
      </c>
      <c r="G1080" s="59">
        <f>IFERROR(__xludf.DUMMYFUNCTION("iferror(filter('3.1.clean'!C:C,'3.1.clean'!A:A=C1080),"""")"),43808.0)</f>
        <v>43808</v>
      </c>
      <c r="H1080" s="58" t="b">
        <f t="shared" si="870"/>
        <v>1</v>
      </c>
      <c r="I1080" s="58">
        <f>IFERROR(__xludf.DUMMYFUNCTION("iferror(filter('3.1.clean'!G:G,'3.1.clean'!A:A=C1080),"""")"),0.0)</f>
        <v>0</v>
      </c>
      <c r="J1080" s="60" t="str">
        <f>IFERROR(__xludf.DUMMYFUNCTION("iferror(filter('3.1.clean'!I:I,'3.1.clean'!A:A=C1080),"""")"),"")</f>
        <v/>
      </c>
      <c r="K1080" s="58"/>
      <c r="L1080" s="60"/>
      <c r="M1080" s="59" t="str">
        <f>IFERROR(__xludf.DUMMYFUNCTION("iferror(filter('3.3.clean'!C:C,'3.3.clean'!A:A=C1080),"""")"),"")</f>
        <v/>
      </c>
      <c r="N1080" s="60" t="b">
        <f t="shared" si="863"/>
        <v>0</v>
      </c>
      <c r="O1080" s="59" t="str">
        <f>IFERROR(__xludf.DUMMYFUNCTION("iferror(filter('3.4.clean'!C:C,'3.4.clean'!A:A=C1080),"""")"),"")</f>
        <v/>
      </c>
      <c r="P1080" s="60" t="b">
        <f t="shared" si="864"/>
        <v>0</v>
      </c>
      <c r="Q1080" s="59" t="str">
        <f>IFERROR(__xludf.DUMMYFUNCTION("iferror(filter('3.5.clean'!C:C,'3.5.clean'!A:A=C1080),"""")"),"")</f>
        <v/>
      </c>
      <c r="R1080" s="58"/>
      <c r="S1080" s="4" t="str">
        <f>IFERROR(__xludf.DUMMYFUNCTION("iferror(filter('3.5.clean'!H:H,'3.5.clean'!A:A=C1080),"""")"),"")</f>
        <v/>
      </c>
      <c r="W1080" s="23" t="b">
        <f>if(AND(H1080=TRUE,N1080=TRUE,P1080=TRUE),TRUE,FALSE)</f>
        <v>0</v>
      </c>
      <c r="X1080" s="23" t="str">
        <f>IFERROR(__xludf.DUMMYFUNCTION("if(COUNTA(FILTER(C:C, C:C = C1080))=1,""no"",""yes"")"),"no")</f>
        <v>no</v>
      </c>
    </row>
    <row r="1081">
      <c r="A1081" s="75" t="s">
        <v>923</v>
      </c>
      <c r="B1081" s="19">
        <v>9.0</v>
      </c>
      <c r="C1081" s="19" t="s">
        <v>1791</v>
      </c>
      <c r="D1081" s="58" t="str">
        <f t="shared" si="871"/>
        <v/>
      </c>
      <c r="E1081" s="59">
        <f>Q1081</f>
        <v>43808</v>
      </c>
      <c r="F1081" s="60" t="str">
        <f>IFERROR(__xludf.DUMMYFUNCTION("iferror(ifna(IFNA(filter('2.1.clean'!E:E,'2.1.clean'!A:A=C1081),filter('2.2.clean'!G:G,'2.2.clean'!D:D=C1081)),filter('2.4.clean'!E:E,'2.4.clean'!A:A=C1081)),)"),"")</f>
        <v/>
      </c>
      <c r="G1081" s="59" t="str">
        <f>IFERROR(__xludf.DUMMYFUNCTION("iferror(filter('3.1.clean'!C:C,'3.1.clean'!A:A=C1081),"""")"),"")</f>
        <v/>
      </c>
      <c r="H1081" s="58"/>
      <c r="I1081" s="58" t="str">
        <f>IFERROR(__xludf.DUMMYFUNCTION("iferror(filter('3.1.clean'!G:G,'3.1.clean'!A:A=C1081),"""")"),"")</f>
        <v/>
      </c>
      <c r="J1081" s="60" t="str">
        <f>IFERROR(__xludf.DUMMYFUNCTION("iferror(filter('3.1.clean'!I:I,'3.1.clean'!A:A=C1081),"""")"),"")</f>
        <v/>
      </c>
      <c r="K1081" s="59"/>
      <c r="L1081" s="60"/>
      <c r="M1081" s="59" t="str">
        <f>IFERROR(__xludf.DUMMYFUNCTION("iferror(filter('3.3.clean'!C:C,'3.3.clean'!A:A=C1081),"""")"),"")</f>
        <v/>
      </c>
      <c r="N1081" s="60" t="b">
        <f t="shared" si="863"/>
        <v>0</v>
      </c>
      <c r="O1081" s="59" t="str">
        <f>IFERROR(__xludf.DUMMYFUNCTION("iferror(filter('3.4.clean'!C:C,'3.4.clean'!A:A=C1081),"""")"),"")</f>
        <v/>
      </c>
      <c r="P1081" s="60" t="b">
        <f t="shared" si="864"/>
        <v>0</v>
      </c>
      <c r="Q1081" s="59">
        <f>IFERROR(__xludf.DUMMYFUNCTION("iferror(filter('3.5.clean'!C:C,'3.5.clean'!A:A=C1081),"""")"),43808.0)</f>
        <v>43808</v>
      </c>
      <c r="R1081" s="58" t="b">
        <f t="shared" ref="R1081:R1082" si="872">if(Q1081="",FALSE,TRUE)</f>
        <v>1</v>
      </c>
      <c r="S1081" s="4">
        <f>IFERROR(__xludf.DUMMYFUNCTION("iferror(filter('3.5.clean'!H:H,'3.5.clean'!A:A=C1081),"""")"),0.0)</f>
        <v>0</v>
      </c>
      <c r="V1081" s="52" t="s">
        <v>64</v>
      </c>
      <c r="W1081" s="23" t="b">
        <f>if(AND(R1081=TRUE,N1081=TRUE,P1081=TRUE),TRUE,FALSE)</f>
        <v>0</v>
      </c>
      <c r="X1081" s="23" t="str">
        <f>IFERROR(__xludf.DUMMYFUNCTION("if(COUNTA(FILTER(C:C, C:C = C1081))=1,""no"",""yes"")"),"no")</f>
        <v>no</v>
      </c>
    </row>
    <row r="1082">
      <c r="A1082" s="75" t="s">
        <v>923</v>
      </c>
      <c r="B1082" s="2">
        <v>10.0</v>
      </c>
      <c r="C1082" s="19" t="s">
        <v>1792</v>
      </c>
      <c r="E1082" s="24">
        <f>IFERROR(__xludf.DUMMYFUNCTION("ifna(IFNA(filter('2.1.clean'!C:C,'2.1.clean'!A:A=C1082),filter('2.2.clean'!E:E,'2.2.clean'!D:D=C1082)),filter('2.4.clean'!C:C,'2.4.clean'!A:A=C1082))"),43808.0)</f>
        <v>43808</v>
      </c>
      <c r="F1082" s="25">
        <f>IFERROR(__xludf.DUMMYFUNCTION("iferror(ifna(IFNA(filter('2.1.clean'!E:E,'2.1.clean'!A:A=C1082),filter('2.2.clean'!G:G,'2.2.clean'!D:D=C1082)),filter('2.4.clean'!E:E,'2.4.clean'!A:A=C1082)),)"),2.4)</f>
        <v>2.4</v>
      </c>
      <c r="G1082" s="24">
        <f>IFERROR(__xludf.DUMMYFUNCTION("iferror(filter('3.1.clean'!C:C,'3.1.clean'!A:A=C1082),"""")"),43808.0)</f>
        <v>43808</v>
      </c>
      <c r="H1082" s="23" t="b">
        <f t="shared" ref="H1082:H1083" si="873">if(G1082="",FALSE,TRUE)</f>
        <v>1</v>
      </c>
      <c r="J1082" s="25"/>
      <c r="K1082" s="24">
        <f>IFERROR(__xludf.DUMMYFUNCTION("iferror(filter('3.2.clean'!C:C,'3.2.clean'!A:A=C1082),"""")"),43810.0)</f>
        <v>43810</v>
      </c>
      <c r="L1082" s="25" t="b">
        <f>if(K1082="",FALSE,TRUE)</f>
        <v>1</v>
      </c>
      <c r="M1082" s="24">
        <f>IFERROR(__xludf.DUMMYFUNCTION("iferror(filter('3.3.clean'!C:C,'3.3.clean'!A:A=C1082),"""")"),43810.0)</f>
        <v>43810</v>
      </c>
      <c r="N1082" s="25" t="b">
        <f t="shared" si="863"/>
        <v>1</v>
      </c>
      <c r="O1082" s="24">
        <f>IFERROR(__xludf.DUMMYFUNCTION("iferror(filter('3.4.clean'!C:C,'3.4.clean'!A:A=C1082),"""")"),43810.0)</f>
        <v>43810</v>
      </c>
      <c r="P1082" s="25" t="b">
        <f t="shared" si="864"/>
        <v>1</v>
      </c>
      <c r="Q1082" s="24">
        <f>IFERROR(__xludf.DUMMYFUNCTION("iferror(filter('3.5.clean'!C:C,'3.5.clean'!A:A=C1082),"""")"),43808.0)</f>
        <v>43808</v>
      </c>
      <c r="R1082" s="23" t="b">
        <f t="shared" si="872"/>
        <v>1</v>
      </c>
      <c r="S1082" s="25"/>
      <c r="V1082" s="1" t="s">
        <v>64</v>
      </c>
      <c r="X1082" s="23" t="str">
        <f>IFERROR(__xludf.DUMMYFUNCTION("if(COUNTA(FILTER(C:C, C:C = C1082))=1,""no"",""yes"")"),"no")</f>
        <v>no</v>
      </c>
    </row>
    <row r="1083">
      <c r="A1083" s="75" t="s">
        <v>923</v>
      </c>
      <c r="B1083" s="19">
        <v>11.0</v>
      </c>
      <c r="C1083" s="19" t="s">
        <v>1793</v>
      </c>
      <c r="D1083" s="58" t="str">
        <f t="shared" ref="D1083:D1086" si="874">if(or(I1083=1,J1083=1,S1083=1),"pos","")</f>
        <v/>
      </c>
      <c r="E1083" s="59">
        <f>IFERROR(__xludf.DUMMYFUNCTION("ifna(IFNA(filter('2.1.clean'!C:C,'2.1.clean'!A:A=C1083),filter('2.2.clean'!E:E,'2.2.clean'!D:D=C1083)),filter('2.4.clean'!C:C,'2.4.clean'!A:A=C1083))"),43808.0)</f>
        <v>43808</v>
      </c>
      <c r="F1083" s="60">
        <f>IFERROR(__xludf.DUMMYFUNCTION("iferror(ifna(IFNA(filter('2.1.clean'!E:E,'2.1.clean'!A:A=C1083),filter('2.2.clean'!G:G,'2.2.clean'!D:D=C1083)),filter('2.4.clean'!E:E,'2.4.clean'!A:A=C1083)),)"),2.4)</f>
        <v>2.4</v>
      </c>
      <c r="G1083" s="59">
        <f>IFERROR(__xludf.DUMMYFUNCTION("iferror(filter('3.1.clean'!C:C,'3.1.clean'!A:A=C1083),"""")"),43808.0)</f>
        <v>43808</v>
      </c>
      <c r="H1083" s="58" t="b">
        <f t="shared" si="873"/>
        <v>1</v>
      </c>
      <c r="I1083" s="58">
        <f>IFERROR(__xludf.DUMMYFUNCTION("iferror(filter('3.1.clean'!G:G,'3.1.clean'!A:A=C1083),"""")"),0.0)</f>
        <v>0</v>
      </c>
      <c r="J1083" s="60" t="str">
        <f>IFERROR(__xludf.DUMMYFUNCTION("iferror(filter('3.1.clean'!I:I,'3.1.clean'!A:A=C1083),"""")"),"")</f>
        <v/>
      </c>
      <c r="K1083" s="58"/>
      <c r="L1083" s="60"/>
      <c r="M1083" s="59" t="str">
        <f>IFERROR(__xludf.DUMMYFUNCTION("iferror(filter('3.3.clean'!C:C,'3.3.clean'!A:A=C1083),"""")"),"")</f>
        <v/>
      </c>
      <c r="N1083" s="60" t="b">
        <f t="shared" si="863"/>
        <v>0</v>
      </c>
      <c r="O1083" s="59" t="str">
        <f>IFERROR(__xludf.DUMMYFUNCTION("iferror(filter('3.4.clean'!C:C,'3.4.clean'!A:A=C1083),"""")"),"")</f>
        <v/>
      </c>
      <c r="P1083" s="60" t="b">
        <f t="shared" si="864"/>
        <v>0</v>
      </c>
      <c r="Q1083" s="59" t="str">
        <f>IFERROR(__xludf.DUMMYFUNCTION("iferror(filter('3.5.clean'!C:C,'3.5.clean'!A:A=C1083),"""")"),"")</f>
        <v/>
      </c>
      <c r="R1083" s="58"/>
      <c r="S1083" s="4" t="str">
        <f>IFERROR(__xludf.DUMMYFUNCTION("iferror(filter('3.5.clean'!H:H,'3.5.clean'!A:A=C1083),"""")"),"")</f>
        <v/>
      </c>
      <c r="W1083" s="23" t="b">
        <f>if(AND(H1083=TRUE,N1083=TRUE,P1083=TRUE),TRUE,FALSE)</f>
        <v>0</v>
      </c>
      <c r="X1083" s="23" t="str">
        <f>IFERROR(__xludf.DUMMYFUNCTION("if(COUNTA(FILTER(C:C, C:C = C1083))=1,""no"",""yes"")"),"no")</f>
        <v>no</v>
      </c>
    </row>
    <row r="1084">
      <c r="A1084" s="75" t="s">
        <v>923</v>
      </c>
      <c r="B1084" s="19">
        <v>12.0</v>
      </c>
      <c r="C1084" s="19" t="s">
        <v>1794</v>
      </c>
      <c r="D1084" s="58" t="str">
        <f t="shared" si="874"/>
        <v/>
      </c>
      <c r="E1084" s="59">
        <f t="shared" ref="E1084:E1085" si="875">Q1084</f>
        <v>43808</v>
      </c>
      <c r="F1084" s="60" t="str">
        <f>IFERROR(__xludf.DUMMYFUNCTION("iferror(ifna(IFNA(filter('2.1.clean'!E:E,'2.1.clean'!A:A=C1084),filter('2.2.clean'!G:G,'2.2.clean'!D:D=C1084)),filter('2.4.clean'!E:E,'2.4.clean'!A:A=C1084)),)"),"")</f>
        <v/>
      </c>
      <c r="G1084" s="59" t="str">
        <f>IFERROR(__xludf.DUMMYFUNCTION("iferror(filter('3.1.clean'!C:C,'3.1.clean'!A:A=C1084),"""")"),"")</f>
        <v/>
      </c>
      <c r="H1084" s="58"/>
      <c r="I1084" s="58" t="str">
        <f>IFERROR(__xludf.DUMMYFUNCTION("iferror(filter('3.1.clean'!G:G,'3.1.clean'!A:A=C1084),"""")"),"")</f>
        <v/>
      </c>
      <c r="J1084" s="60" t="str">
        <f>IFERROR(__xludf.DUMMYFUNCTION("iferror(filter('3.1.clean'!I:I,'3.1.clean'!A:A=C1084),"""")"),"")</f>
        <v/>
      </c>
      <c r="K1084" s="59"/>
      <c r="L1084" s="60"/>
      <c r="M1084" s="59" t="str">
        <f>IFERROR(__xludf.DUMMYFUNCTION("iferror(filter('3.3.clean'!C:C,'3.3.clean'!A:A=C1084),"""")"),"")</f>
        <v/>
      </c>
      <c r="N1084" s="60" t="b">
        <f t="shared" si="863"/>
        <v>0</v>
      </c>
      <c r="O1084" s="59" t="str">
        <f>IFERROR(__xludf.DUMMYFUNCTION("iferror(filter('3.4.clean'!C:C,'3.4.clean'!A:A=C1084),"""")"),"")</f>
        <v/>
      </c>
      <c r="P1084" s="60" t="b">
        <f t="shared" si="864"/>
        <v>0</v>
      </c>
      <c r="Q1084" s="59">
        <f>IFERROR(__xludf.DUMMYFUNCTION("iferror(filter('3.5.clean'!C:C,'3.5.clean'!A:A=C1084),"""")"),43808.0)</f>
        <v>43808</v>
      </c>
      <c r="R1084" s="58" t="b">
        <f t="shared" ref="R1084:R1085" si="876">if(Q1084="",FALSE,TRUE)</f>
        <v>1</v>
      </c>
      <c r="S1084" s="4">
        <f>IFERROR(__xludf.DUMMYFUNCTION("iferror(filter('3.5.clean'!H:H,'3.5.clean'!A:A=C1084),"""")"),0.0)</f>
        <v>0</v>
      </c>
      <c r="V1084" s="52" t="s">
        <v>64</v>
      </c>
      <c r="W1084" s="23" t="b">
        <f>if(AND(R1084=TRUE,N1084=TRUE,P1084=TRUE),TRUE,FALSE)</f>
        <v>0</v>
      </c>
      <c r="X1084" s="23" t="str">
        <f>IFERROR(__xludf.DUMMYFUNCTION("if(COUNTA(FILTER(C:C, C:C = C1084))=1,""no"",""yes"")"),"no")</f>
        <v>no</v>
      </c>
    </row>
    <row r="1085">
      <c r="A1085" s="75" t="s">
        <v>923</v>
      </c>
      <c r="B1085" s="19">
        <v>13.0</v>
      </c>
      <c r="C1085" s="19" t="s">
        <v>1795</v>
      </c>
      <c r="D1085" s="22" t="str">
        <f t="shared" si="874"/>
        <v/>
      </c>
      <c r="E1085" s="20">
        <f t="shared" si="875"/>
        <v>43808</v>
      </c>
      <c r="F1085" s="79" t="str">
        <f>IFERROR(__xludf.DUMMYFUNCTION("iferror(ifna(IFNA(filter('2.1.clean'!E:E,'2.1.clean'!A:A=C1085),filter('2.2.clean'!G:G,'2.2.clean'!D:D=C1085)),filter('2.4.clean'!E:E,'2.4.clean'!A:A=C1085)),)"),"")</f>
        <v/>
      </c>
      <c r="G1085" s="20" t="str">
        <f>IFERROR(__xludf.DUMMYFUNCTION("iferror(filter('3.1.clean'!C:C,'3.1.clean'!A:A=C1085),"""")"),"")</f>
        <v/>
      </c>
      <c r="H1085" s="22"/>
      <c r="I1085" s="22"/>
      <c r="J1085" s="79"/>
      <c r="K1085" s="20" t="str">
        <f>IFERROR(__xludf.DUMMYFUNCTION("iferror(filter('3.2.clean'!C:C,'3.2.clean'!A:A=C1085),"""")"),"")</f>
        <v/>
      </c>
      <c r="L1085" s="79"/>
      <c r="M1085" s="20" t="str">
        <f>IFERROR(__xludf.DUMMYFUNCTION("iferror(filter('3.3.clean'!C:C,'3.3.clean'!A:A=C1085),"""")"),"")</f>
        <v/>
      </c>
      <c r="N1085" s="79" t="b">
        <f t="shared" si="863"/>
        <v>0</v>
      </c>
      <c r="O1085" s="20" t="str">
        <f>IFERROR(__xludf.DUMMYFUNCTION("iferror(filter('3.4.clean'!C:C,'3.4.clean'!A:A=C1085),"""")"),"")</f>
        <v/>
      </c>
      <c r="P1085" s="79" t="b">
        <f t="shared" si="864"/>
        <v>0</v>
      </c>
      <c r="Q1085" s="20">
        <f>IFERROR(__xludf.DUMMYFUNCTION("iferror(filter('3.5.clean'!C:C,'3.5.clean'!A:A=C1085),"""")"),43808.0)</f>
        <v>43808</v>
      </c>
      <c r="R1085" s="22" t="b">
        <f t="shared" si="876"/>
        <v>1</v>
      </c>
      <c r="S1085" s="4">
        <f>IFERROR(__xludf.DUMMYFUNCTION("iferror(filter('3.5.clean'!H:H,'3.5.clean'!A:A=C1085),"""")"),0.0)</f>
        <v>0</v>
      </c>
      <c r="V1085" s="1" t="s">
        <v>64</v>
      </c>
      <c r="W1085" s="23" t="b">
        <f>IF(and(R1085=TRUE,N1085=TRUE,P1085=TRUE),TRUE,FALSE)</f>
        <v>0</v>
      </c>
      <c r="X1085" s="23" t="str">
        <f>IFERROR(__xludf.DUMMYFUNCTION("if(COUNTA(FILTER(C:C, C:C = C1085))=1,""no"",""yes"")"),"no")</f>
        <v>no</v>
      </c>
    </row>
    <row r="1086">
      <c r="A1086" s="75" t="s">
        <v>923</v>
      </c>
      <c r="B1086" s="19">
        <v>14.0</v>
      </c>
      <c r="C1086" s="19" t="s">
        <v>1796</v>
      </c>
      <c r="D1086" s="76" t="str">
        <f t="shared" si="874"/>
        <v/>
      </c>
      <c r="E1086" s="77">
        <f>G1086</f>
        <v>43808</v>
      </c>
      <c r="F1086" s="78" t="str">
        <f>IFERROR(__xludf.DUMMYFUNCTION("iferror(ifna(IFNA(filter('2.1.clean'!E:E,'2.1.clean'!A:A=C1086),filter('2.2.clean'!G:G,'2.2.clean'!D:D=C1086)),filter('2.4.clean'!E:E,'2.4.clean'!A:A=C1086)),)"),"")</f>
        <v/>
      </c>
      <c r="G1086" s="77">
        <f>IFERROR(__xludf.DUMMYFUNCTION("iferror(filter('3.1.clean'!C:C,'3.1.clean'!A:A=C1086),"""")"),43808.0)</f>
        <v>43808</v>
      </c>
      <c r="H1086" s="76" t="b">
        <f>if(G1086="",FALSE,TRUE)</f>
        <v>1</v>
      </c>
      <c r="I1086" s="76">
        <f>IFERROR(__xludf.DUMMYFUNCTION("iferror(filter('3.1.clean'!G:G,'3.1.clean'!A:A=C1086),"""")"),0.0)</f>
        <v>0</v>
      </c>
      <c r="J1086" s="78" t="str">
        <f>IFERROR(__xludf.DUMMYFUNCTION("iferror(filter('3.1.clean'!I:I,'3.1.clean'!A:A=C1086),"""")"),"")</f>
        <v/>
      </c>
      <c r="K1086" s="77"/>
      <c r="L1086" s="78"/>
      <c r="M1086" s="77"/>
      <c r="N1086" s="78"/>
      <c r="O1086" s="77"/>
      <c r="P1086" s="78"/>
      <c r="Q1086" s="77"/>
      <c r="R1086" s="76"/>
      <c r="S1086" s="25"/>
      <c r="V1086" s="1" t="s">
        <v>64</v>
      </c>
      <c r="W1086" s="1" t="b">
        <v>1</v>
      </c>
      <c r="X1086" s="23" t="str">
        <f>IFERROR(__xludf.DUMMYFUNCTION("if(COUNTA(FILTER(C:C, C:C = C1086))=1,""no"",""yes"")"),"no")</f>
        <v>no</v>
      </c>
    </row>
    <row r="1087">
      <c r="A1087" s="1" t="s">
        <v>927</v>
      </c>
      <c r="B1087" s="2">
        <v>1.0</v>
      </c>
      <c r="C1087" s="19" t="s">
        <v>1797</v>
      </c>
      <c r="E1087" s="24">
        <f>IFERROR(__xludf.DUMMYFUNCTION("ifna(IFNA(filter('2.1.clean'!C:C,'2.1.clean'!A:A=C1087),filter('2.2.clean'!E:E,'2.2.clean'!D:D=C1087)),filter('2.4.clean'!C:C,'2.4.clean'!A:A=C1087))"),43809.0)</f>
        <v>43809</v>
      </c>
      <c r="F1087" s="25">
        <f>IFERROR(__xludf.DUMMYFUNCTION("iferror(ifna(IFNA(filter('2.1.clean'!E:E,'2.1.clean'!A:A=C1087),filter('2.2.clean'!G:G,'2.2.clean'!D:D=C1087)),filter('2.4.clean'!E:E,'2.4.clean'!A:A=C1087)),)"),2.4)</f>
        <v>2.4</v>
      </c>
      <c r="G1087" s="24"/>
      <c r="J1087" s="25"/>
      <c r="K1087" s="24"/>
      <c r="L1087" s="25"/>
      <c r="M1087" s="24">
        <f>IFERROR(__xludf.DUMMYFUNCTION("iferror(filter('3.3.clean'!C:C,'3.3.clean'!A:A=C1087),"""")"),43810.0)</f>
        <v>43810</v>
      </c>
      <c r="N1087" s="25" t="b">
        <f t="shared" ref="N1087:N1105" si="877">if(M1087="",FALSE,TRUE)</f>
        <v>1</v>
      </c>
      <c r="O1087" s="24">
        <f>IFERROR(__xludf.DUMMYFUNCTION("iferror(filter('3.4.clean'!C:C,'3.4.clean'!A:A=C1087),"""")"),43810.0)</f>
        <v>43810</v>
      </c>
      <c r="P1087" s="25" t="b">
        <f t="shared" ref="P1087:P1105" si="878">if(O1087="",FALSE,TRUE)</f>
        <v>1</v>
      </c>
      <c r="Q1087" s="24">
        <f>IFERROR(__xludf.DUMMYFUNCTION("iferror(filter('3.5.clean'!C:C,'3.5.clean'!A:A=C1087),"""")"),43809.0)</f>
        <v>43809</v>
      </c>
      <c r="R1087" s="23" t="b">
        <f>if(Q1087="",FALSE,TRUE)</f>
        <v>1</v>
      </c>
      <c r="S1087" s="25"/>
      <c r="V1087" s="52" t="s">
        <v>64</v>
      </c>
      <c r="W1087" s="23" t="b">
        <f>IF(and(R1087=TRUE,N1087=TRUE,P1087=TRUE),TRUE,FALSE)</f>
        <v>1</v>
      </c>
      <c r="X1087" s="23" t="str">
        <f>IFERROR(__xludf.DUMMYFUNCTION("if(COUNTA(FILTER(C:C, C:C = C1087))=1,""no"",""yes"")"),"no")</f>
        <v>no</v>
      </c>
    </row>
    <row r="1088">
      <c r="A1088" s="1" t="s">
        <v>927</v>
      </c>
      <c r="B1088" s="19">
        <v>2.0</v>
      </c>
      <c r="C1088" s="19" t="s">
        <v>1798</v>
      </c>
      <c r="D1088" s="58" t="str">
        <f t="shared" ref="D1088:D1089" si="879">if(or(I1088=1,J1088=1,S1088=1),"pos","")</f>
        <v/>
      </c>
      <c r="E1088" s="59">
        <f>IFERROR(__xludf.DUMMYFUNCTION("ifna(IFNA(filter('2.1.clean'!C:C,'2.1.clean'!A:A=C1088),filter('2.2.clean'!E:E,'2.2.clean'!D:D=C1088)),filter('2.4.clean'!C:C,'2.4.clean'!A:A=C1088))"),43809.0)</f>
        <v>43809</v>
      </c>
      <c r="F1088" s="60">
        <f>IFERROR(__xludf.DUMMYFUNCTION("iferror(ifna(IFNA(filter('2.1.clean'!E:E,'2.1.clean'!A:A=C1088),filter('2.2.clean'!G:G,'2.2.clean'!D:D=C1088)),filter('2.4.clean'!E:E,'2.4.clean'!A:A=C1088)),)"),2.4)</f>
        <v>2.4</v>
      </c>
      <c r="G1088" s="59">
        <f>IFERROR(__xludf.DUMMYFUNCTION("iferror(filter('3.1.clean'!C:C,'3.1.clean'!A:A=C1088),"""")"),43809.0)</f>
        <v>43809</v>
      </c>
      <c r="H1088" s="58" t="b">
        <f>if(G1088="",FALSE,TRUE)</f>
        <v>1</v>
      </c>
      <c r="I1088" s="58">
        <f>IFERROR(__xludf.DUMMYFUNCTION("iferror(filter('3.1.clean'!G:G,'3.1.clean'!A:A=C1088),"""")"),0.0)</f>
        <v>0</v>
      </c>
      <c r="J1088" s="60" t="str">
        <f>IFERROR(__xludf.DUMMYFUNCTION("iferror(filter('3.1.clean'!I:I,'3.1.clean'!A:A=C1088),"""")"),"")</f>
        <v/>
      </c>
      <c r="K1088" s="58"/>
      <c r="L1088" s="60"/>
      <c r="M1088" s="59" t="str">
        <f>IFERROR(__xludf.DUMMYFUNCTION("iferror(filter('3.3.clean'!C:C,'3.3.clean'!A:A=C1088),"""")"),"")</f>
        <v/>
      </c>
      <c r="N1088" s="60" t="b">
        <f t="shared" si="877"/>
        <v>0</v>
      </c>
      <c r="O1088" s="59" t="str">
        <f>IFERROR(__xludf.DUMMYFUNCTION("iferror(filter('3.4.clean'!C:C,'3.4.clean'!A:A=C1088),"""")"),"")</f>
        <v/>
      </c>
      <c r="P1088" s="60" t="b">
        <f t="shared" si="878"/>
        <v>0</v>
      </c>
      <c r="Q1088" s="59" t="str">
        <f>IFERROR(__xludf.DUMMYFUNCTION("iferror(filter('3.5.clean'!C:C,'3.5.clean'!A:A=C1088),"""")"),"")</f>
        <v/>
      </c>
      <c r="R1088" s="58"/>
      <c r="S1088" s="4" t="str">
        <f>IFERROR(__xludf.DUMMYFUNCTION("iferror(filter('3.5.clean'!H:H,'3.5.clean'!A:A=C1088),"""")"),"")</f>
        <v/>
      </c>
      <c r="W1088" s="23" t="b">
        <f>if(AND(H1088=TRUE,N1088=TRUE,P1088=TRUE),TRUE,FALSE)</f>
        <v>0</v>
      </c>
      <c r="X1088" s="23" t="str">
        <f>IFERROR(__xludf.DUMMYFUNCTION("if(COUNTA(FILTER(C:C, C:C = C1088))=1,""no"",""yes"")"),"no")</f>
        <v>no</v>
      </c>
    </row>
    <row r="1089">
      <c r="A1089" s="1" t="s">
        <v>927</v>
      </c>
      <c r="B1089" s="19">
        <v>3.0</v>
      </c>
      <c r="C1089" s="19" t="s">
        <v>1799</v>
      </c>
      <c r="D1089" s="58" t="str">
        <f t="shared" si="879"/>
        <v/>
      </c>
      <c r="E1089" s="59">
        <f>Q1089</f>
        <v>43809</v>
      </c>
      <c r="F1089" s="60" t="str">
        <f>IFERROR(__xludf.DUMMYFUNCTION("iferror(ifna(IFNA(filter('2.1.clean'!E:E,'2.1.clean'!A:A=C1089),filter('2.2.clean'!G:G,'2.2.clean'!D:D=C1089)),filter('2.4.clean'!E:E,'2.4.clean'!A:A=C1089)),)"),"")</f>
        <v/>
      </c>
      <c r="G1089" s="59" t="str">
        <f>IFERROR(__xludf.DUMMYFUNCTION("iferror(filter('3.1.clean'!C:C,'3.1.clean'!A:A=C1089),"""")"),"")</f>
        <v/>
      </c>
      <c r="H1089" s="58"/>
      <c r="I1089" s="58" t="str">
        <f>IFERROR(__xludf.DUMMYFUNCTION("iferror(filter('3.1.clean'!G:G,'3.1.clean'!A:A=C1089),"""")"),"")</f>
        <v/>
      </c>
      <c r="J1089" s="60" t="str">
        <f>IFERROR(__xludf.DUMMYFUNCTION("iferror(filter('3.1.clean'!I:I,'3.1.clean'!A:A=C1089),"""")"),"")</f>
        <v/>
      </c>
      <c r="K1089" s="59"/>
      <c r="L1089" s="60"/>
      <c r="M1089" s="59" t="str">
        <f>IFERROR(__xludf.DUMMYFUNCTION("iferror(filter('3.3.clean'!C:C,'3.3.clean'!A:A=C1089),"""")"),"")</f>
        <v/>
      </c>
      <c r="N1089" s="60" t="b">
        <f t="shared" si="877"/>
        <v>0</v>
      </c>
      <c r="O1089" s="59" t="str">
        <f>IFERROR(__xludf.DUMMYFUNCTION("iferror(filter('3.4.clean'!C:C,'3.4.clean'!A:A=C1089),"""")"),"")</f>
        <v/>
      </c>
      <c r="P1089" s="60" t="b">
        <f t="shared" si="878"/>
        <v>0</v>
      </c>
      <c r="Q1089" s="59">
        <f>IFERROR(__xludf.DUMMYFUNCTION("iferror(filter('3.5.clean'!C:C,'3.5.clean'!A:A=C1089),"""")"),43809.0)</f>
        <v>43809</v>
      </c>
      <c r="R1089" s="58" t="b">
        <f t="shared" ref="R1089:R1090" si="880">if(Q1089="",FALSE,TRUE)</f>
        <v>1</v>
      </c>
      <c r="S1089" s="4">
        <f>IFERROR(__xludf.DUMMYFUNCTION("iferror(filter('3.5.clean'!H:H,'3.5.clean'!A:A=C1089),"""")"),0.0)</f>
        <v>0</v>
      </c>
      <c r="V1089" s="52" t="s">
        <v>64</v>
      </c>
      <c r="W1089" s="23" t="b">
        <f>if(AND(R1089=TRUE,N1089=TRUE,P1089=TRUE),TRUE,FALSE)</f>
        <v>0</v>
      </c>
      <c r="X1089" s="23" t="str">
        <f>IFERROR(__xludf.DUMMYFUNCTION("if(COUNTA(FILTER(C:C, C:C = C1089))=1,""no"",""yes"")"),"no")</f>
        <v>no</v>
      </c>
    </row>
    <row r="1090">
      <c r="A1090" s="1" t="s">
        <v>927</v>
      </c>
      <c r="B1090" s="2">
        <v>4.0</v>
      </c>
      <c r="C1090" s="19" t="s">
        <v>1800</v>
      </c>
      <c r="E1090" s="24">
        <f>IFERROR(__xludf.DUMMYFUNCTION("ifna(IFNA(filter('2.1.clean'!C:C,'2.1.clean'!A:A=C1090),filter('2.2.clean'!E:E,'2.2.clean'!D:D=C1090)),filter('2.4.clean'!C:C,'2.4.clean'!A:A=C1090))"),43809.0)</f>
        <v>43809</v>
      </c>
      <c r="F1090" s="25">
        <f>IFERROR(__xludf.DUMMYFUNCTION("iferror(ifna(IFNA(filter('2.1.clean'!E:E,'2.1.clean'!A:A=C1090),filter('2.2.clean'!G:G,'2.2.clean'!D:D=C1090)),filter('2.4.clean'!E:E,'2.4.clean'!A:A=C1090)),)"),2.4)</f>
        <v>2.4</v>
      </c>
      <c r="G1090" s="24"/>
      <c r="J1090" s="25"/>
      <c r="K1090" s="24"/>
      <c r="L1090" s="25"/>
      <c r="M1090" s="24">
        <f>IFERROR(__xludf.DUMMYFUNCTION("iferror(filter('3.3.clean'!C:C,'3.3.clean'!A:A=C1090),"""")"),43810.0)</f>
        <v>43810</v>
      </c>
      <c r="N1090" s="25" t="b">
        <f t="shared" si="877"/>
        <v>1</v>
      </c>
      <c r="O1090" s="24">
        <f>IFERROR(__xludf.DUMMYFUNCTION("iferror(filter('3.4.clean'!C:C,'3.4.clean'!A:A=C1090),"""")"),43810.0)</f>
        <v>43810</v>
      </c>
      <c r="P1090" s="25" t="b">
        <f t="shared" si="878"/>
        <v>1</v>
      </c>
      <c r="Q1090" s="24">
        <f>IFERROR(__xludf.DUMMYFUNCTION("iferror(filter('3.5.clean'!C:C,'3.5.clean'!A:A=C1090),"""")"),43809.0)</f>
        <v>43809</v>
      </c>
      <c r="R1090" s="23" t="b">
        <f t="shared" si="880"/>
        <v>1</v>
      </c>
      <c r="S1090" s="25"/>
      <c r="V1090" s="52" t="s">
        <v>64</v>
      </c>
      <c r="W1090" s="23" t="b">
        <f>IF(and(R1090=TRUE,N1090=TRUE,P1090=TRUE),TRUE,FALSE)</f>
        <v>1</v>
      </c>
      <c r="X1090" s="23" t="str">
        <f>IFERROR(__xludf.DUMMYFUNCTION("if(COUNTA(FILTER(C:C, C:C = C1090))=1,""no"",""yes"")"),"no")</f>
        <v>no</v>
      </c>
    </row>
    <row r="1091">
      <c r="A1091" s="1" t="s">
        <v>927</v>
      </c>
      <c r="B1091" s="19">
        <v>5.0</v>
      </c>
      <c r="C1091" s="19" t="s">
        <v>1801</v>
      </c>
      <c r="D1091" s="58" t="str">
        <f t="shared" ref="D1091:D1092" si="881">if(or(I1091=1,J1091=1,S1091=1),"pos","")</f>
        <v/>
      </c>
      <c r="E1091" s="59">
        <f>IFERROR(__xludf.DUMMYFUNCTION("ifna(IFNA(filter('2.1.clean'!C:C,'2.1.clean'!A:A=C1091),filter('2.2.clean'!E:E,'2.2.clean'!D:D=C1091)),filter('2.4.clean'!C:C,'2.4.clean'!A:A=C1091))"),43809.0)</f>
        <v>43809</v>
      </c>
      <c r="F1091" s="60">
        <f>IFERROR(__xludf.DUMMYFUNCTION("iferror(ifna(IFNA(filter('2.1.clean'!E:E,'2.1.clean'!A:A=C1091),filter('2.2.clean'!G:G,'2.2.clean'!D:D=C1091)),filter('2.4.clean'!E:E,'2.4.clean'!A:A=C1091)),)"),2.4)</f>
        <v>2.4</v>
      </c>
      <c r="G1091" s="59">
        <f>IFERROR(__xludf.DUMMYFUNCTION("iferror(filter('3.1.clean'!C:C,'3.1.clean'!A:A=C1091),"""")"),43809.0)</f>
        <v>43809</v>
      </c>
      <c r="H1091" s="58" t="b">
        <f>if(G1091="",FALSE,TRUE)</f>
        <v>1</v>
      </c>
      <c r="I1091" s="58">
        <f>IFERROR(__xludf.DUMMYFUNCTION("iferror(filter('3.1.clean'!G:G,'3.1.clean'!A:A=C1091),"""")"),0.0)</f>
        <v>0</v>
      </c>
      <c r="J1091" s="60" t="str">
        <f>IFERROR(__xludf.DUMMYFUNCTION("iferror(filter('3.1.clean'!I:I,'3.1.clean'!A:A=C1091),"""")"),"")</f>
        <v/>
      </c>
      <c r="K1091" s="58"/>
      <c r="L1091" s="60"/>
      <c r="M1091" s="59" t="str">
        <f>IFERROR(__xludf.DUMMYFUNCTION("iferror(filter('3.3.clean'!C:C,'3.3.clean'!A:A=C1091),"""")"),"")</f>
        <v/>
      </c>
      <c r="N1091" s="60" t="b">
        <f t="shared" si="877"/>
        <v>0</v>
      </c>
      <c r="O1091" s="59" t="str">
        <f>IFERROR(__xludf.DUMMYFUNCTION("iferror(filter('3.4.clean'!C:C,'3.4.clean'!A:A=C1091),"""")"),"")</f>
        <v/>
      </c>
      <c r="P1091" s="60" t="b">
        <f t="shared" si="878"/>
        <v>0</v>
      </c>
      <c r="Q1091" s="59" t="str">
        <f>IFERROR(__xludf.DUMMYFUNCTION("iferror(filter('3.5.clean'!C:C,'3.5.clean'!A:A=C1091),"""")"),"")</f>
        <v/>
      </c>
      <c r="R1091" s="58"/>
      <c r="S1091" s="4" t="str">
        <f>IFERROR(__xludf.DUMMYFUNCTION("iferror(filter('3.5.clean'!H:H,'3.5.clean'!A:A=C1091),"""")"),"")</f>
        <v/>
      </c>
      <c r="W1091" s="23" t="b">
        <f>if(AND(H1091=TRUE,N1091=TRUE,P1091=TRUE),TRUE,FALSE)</f>
        <v>0</v>
      </c>
      <c r="X1091" s="23" t="str">
        <f>IFERROR(__xludf.DUMMYFUNCTION("if(COUNTA(FILTER(C:C, C:C = C1091))=1,""no"",""yes"")"),"no")</f>
        <v>no</v>
      </c>
    </row>
    <row r="1092">
      <c r="A1092" s="1" t="s">
        <v>927</v>
      </c>
      <c r="B1092" s="19">
        <v>6.0</v>
      </c>
      <c r="C1092" s="19" t="s">
        <v>1802</v>
      </c>
      <c r="D1092" s="58" t="str">
        <f t="shared" si="881"/>
        <v/>
      </c>
      <c r="E1092" s="59">
        <f>Q1092</f>
        <v>43809</v>
      </c>
      <c r="F1092" s="60" t="str">
        <f>IFERROR(__xludf.DUMMYFUNCTION("iferror(ifna(IFNA(filter('2.1.clean'!E:E,'2.1.clean'!A:A=C1092),filter('2.2.clean'!G:G,'2.2.clean'!D:D=C1092)),filter('2.4.clean'!E:E,'2.4.clean'!A:A=C1092)),)"),"")</f>
        <v/>
      </c>
      <c r="G1092" s="59" t="str">
        <f>IFERROR(__xludf.DUMMYFUNCTION("iferror(filter('3.1.clean'!C:C,'3.1.clean'!A:A=C1092),"""")"),"")</f>
        <v/>
      </c>
      <c r="H1092" s="58"/>
      <c r="I1092" s="58" t="str">
        <f>IFERROR(__xludf.DUMMYFUNCTION("iferror(filter('3.1.clean'!G:G,'3.1.clean'!A:A=C1092),"""")"),"")</f>
        <v/>
      </c>
      <c r="J1092" s="60" t="str">
        <f>IFERROR(__xludf.DUMMYFUNCTION("iferror(filter('3.1.clean'!I:I,'3.1.clean'!A:A=C1092),"""")"),"")</f>
        <v/>
      </c>
      <c r="K1092" s="59"/>
      <c r="L1092" s="60"/>
      <c r="M1092" s="59" t="str">
        <f>IFERROR(__xludf.DUMMYFUNCTION("iferror(filter('3.3.clean'!C:C,'3.3.clean'!A:A=C1092),"""")"),"")</f>
        <v/>
      </c>
      <c r="N1092" s="60" t="b">
        <f t="shared" si="877"/>
        <v>0</v>
      </c>
      <c r="O1092" s="59" t="str">
        <f>IFERROR(__xludf.DUMMYFUNCTION("iferror(filter('3.4.clean'!C:C,'3.4.clean'!A:A=C1092),"""")"),"")</f>
        <v/>
      </c>
      <c r="P1092" s="60" t="b">
        <f t="shared" si="878"/>
        <v>0</v>
      </c>
      <c r="Q1092" s="59">
        <f>IFERROR(__xludf.DUMMYFUNCTION("iferror(filter('3.5.clean'!C:C,'3.5.clean'!A:A=C1092),"""")"),43809.0)</f>
        <v>43809</v>
      </c>
      <c r="R1092" s="58" t="b">
        <f t="shared" ref="R1092:R1093" si="882">if(Q1092="",FALSE,TRUE)</f>
        <v>1</v>
      </c>
      <c r="S1092" s="4">
        <f>IFERROR(__xludf.DUMMYFUNCTION("iferror(filter('3.5.clean'!H:H,'3.5.clean'!A:A=C1092),"""")"),0.0)</f>
        <v>0</v>
      </c>
      <c r="V1092" s="52" t="s">
        <v>64</v>
      </c>
      <c r="W1092" s="23" t="b">
        <f>if(AND(R1092=TRUE,N1092=TRUE,P1092=TRUE),TRUE,FALSE)</f>
        <v>0</v>
      </c>
      <c r="X1092" s="23" t="str">
        <f>IFERROR(__xludf.DUMMYFUNCTION("if(COUNTA(FILTER(C:C, C:C = C1092))=1,""no"",""yes"")"),"no")</f>
        <v>no</v>
      </c>
    </row>
    <row r="1093">
      <c r="A1093" s="1" t="s">
        <v>927</v>
      </c>
      <c r="B1093" s="2">
        <v>7.0</v>
      </c>
      <c r="C1093" s="51" t="s">
        <v>359</v>
      </c>
      <c r="E1093" s="24">
        <f>IFERROR(__xludf.DUMMYFUNCTION("ifna(IFNA(filter('2.1.clean'!C:C,'2.1.clean'!A:A=C1093),filter('2.2.clean'!E:E,'2.2.clean'!D:D=C1093)),filter('2.4.clean'!C:C,'2.4.clean'!A:A=C1093))"),43809.0)</f>
        <v>43809</v>
      </c>
      <c r="F1093" s="25">
        <f>IFERROR(__xludf.DUMMYFUNCTION("iferror(ifna(IFNA(filter('2.1.clean'!E:E,'2.1.clean'!A:A=C1093),filter('2.2.clean'!G:G,'2.2.clean'!D:D=C1093)),filter('2.4.clean'!E:E,'2.4.clean'!A:A=C1093)),)"),2.4)</f>
        <v>2.4</v>
      </c>
      <c r="G1093" s="24">
        <f>IFERROR(__xludf.DUMMYFUNCTION("iferror(filter('3.1.clean'!C:C,'3.1.clean'!A:A=C1093),"""")"),43809.0)</f>
        <v>43809</v>
      </c>
      <c r="H1093" s="23" t="b">
        <f t="shared" ref="H1093:H1094" si="883">if(G1093="",FALSE,TRUE)</f>
        <v>1</v>
      </c>
      <c r="J1093" s="25"/>
      <c r="K1093" s="24">
        <f>IFERROR(__xludf.DUMMYFUNCTION("iferror(filter('3.2.clean'!C:C,'3.2.clean'!A:A=C1093),"""")"),43810.0)</f>
        <v>43810</v>
      </c>
      <c r="L1093" s="25" t="b">
        <f>if(K1093="",FALSE,TRUE)</f>
        <v>1</v>
      </c>
      <c r="M1093" s="24">
        <f>IFERROR(__xludf.DUMMYFUNCTION("iferror(filter('3.3.clean'!C:C,'3.3.clean'!A:A=C1093),"""")"),43810.0)</f>
        <v>43810</v>
      </c>
      <c r="N1093" s="25" t="b">
        <f t="shared" si="877"/>
        <v>1</v>
      </c>
      <c r="O1093" s="24">
        <f>IFERROR(__xludf.DUMMYFUNCTION("iferror(filter('3.4.clean'!C:C,'3.4.clean'!A:A=C1093),"""")"),43818.0)</f>
        <v>43818</v>
      </c>
      <c r="P1093" s="25" t="b">
        <f t="shared" si="878"/>
        <v>1</v>
      </c>
      <c r="Q1093" s="24">
        <f>IFERROR(__xludf.DUMMYFUNCTION("iferror(filter('3.5.clean'!C:C,'3.5.clean'!A:A=C1093),"""")"),43809.0)</f>
        <v>43809</v>
      </c>
      <c r="R1093" s="23" t="b">
        <f t="shared" si="882"/>
        <v>1</v>
      </c>
      <c r="S1093" s="25"/>
      <c r="V1093" s="1" t="s">
        <v>64</v>
      </c>
      <c r="X1093" s="23" t="str">
        <f>IFERROR(__xludf.DUMMYFUNCTION("if(COUNTA(FILTER(C:C, C:C = C1093))=1,""no"",""yes"")"),"no")</f>
        <v>no</v>
      </c>
    </row>
    <row r="1094">
      <c r="A1094" s="1" t="s">
        <v>927</v>
      </c>
      <c r="B1094" s="19">
        <v>8.0</v>
      </c>
      <c r="C1094" s="19" t="s">
        <v>1803</v>
      </c>
      <c r="D1094" s="58" t="str">
        <f t="shared" ref="D1094:D1095" si="884">if(or(I1094=1,J1094=1,S1094=1),"pos","")</f>
        <v/>
      </c>
      <c r="E1094" s="59">
        <f>IFERROR(__xludf.DUMMYFUNCTION("ifna(IFNA(filter('2.1.clean'!C:C,'2.1.clean'!A:A=C1094),filter('2.2.clean'!E:E,'2.2.clean'!D:D=C1094)),filter('2.4.clean'!C:C,'2.4.clean'!A:A=C1094))"),43809.0)</f>
        <v>43809</v>
      </c>
      <c r="F1094" s="60">
        <f>IFERROR(__xludf.DUMMYFUNCTION("iferror(ifna(IFNA(filter('2.1.clean'!E:E,'2.1.clean'!A:A=C1094),filter('2.2.clean'!G:G,'2.2.clean'!D:D=C1094)),filter('2.4.clean'!E:E,'2.4.clean'!A:A=C1094)),)"),2.4)</f>
        <v>2.4</v>
      </c>
      <c r="G1094" s="59">
        <f>IFERROR(__xludf.DUMMYFUNCTION("iferror(filter('3.1.clean'!C:C,'3.1.clean'!A:A=C1094),"""")"),43809.0)</f>
        <v>43809</v>
      </c>
      <c r="H1094" s="58" t="b">
        <f t="shared" si="883"/>
        <v>1</v>
      </c>
      <c r="I1094" s="58">
        <f>IFERROR(__xludf.DUMMYFUNCTION("iferror(filter('3.1.clean'!G:G,'3.1.clean'!A:A=C1094),"""")"),0.0)</f>
        <v>0</v>
      </c>
      <c r="J1094" s="60" t="str">
        <f>IFERROR(__xludf.DUMMYFUNCTION("iferror(filter('3.1.clean'!I:I,'3.1.clean'!A:A=C1094),"""")"),"")</f>
        <v/>
      </c>
      <c r="K1094" s="58"/>
      <c r="L1094" s="60"/>
      <c r="M1094" s="59" t="str">
        <f>IFERROR(__xludf.DUMMYFUNCTION("iferror(filter('3.3.clean'!C:C,'3.3.clean'!A:A=C1094),"""")"),"")</f>
        <v/>
      </c>
      <c r="N1094" s="60" t="b">
        <f t="shared" si="877"/>
        <v>0</v>
      </c>
      <c r="O1094" s="59" t="str">
        <f>IFERROR(__xludf.DUMMYFUNCTION("iferror(filter('3.4.clean'!C:C,'3.4.clean'!A:A=C1094),"""")"),"")</f>
        <v/>
      </c>
      <c r="P1094" s="60" t="b">
        <f t="shared" si="878"/>
        <v>0</v>
      </c>
      <c r="Q1094" s="59" t="str">
        <f>IFERROR(__xludf.DUMMYFUNCTION("iferror(filter('3.5.clean'!C:C,'3.5.clean'!A:A=C1094),"""")"),"")</f>
        <v/>
      </c>
      <c r="R1094" s="58"/>
      <c r="S1094" s="4" t="str">
        <f>IFERROR(__xludf.DUMMYFUNCTION("iferror(filter('3.5.clean'!H:H,'3.5.clean'!A:A=C1094),"""")"),"")</f>
        <v/>
      </c>
      <c r="W1094" s="23" t="b">
        <f>if(AND(H1094=TRUE,N1094=TRUE,P1094=TRUE),TRUE,FALSE)</f>
        <v>0</v>
      </c>
      <c r="X1094" s="23" t="str">
        <f>IFERROR(__xludf.DUMMYFUNCTION("if(COUNTA(FILTER(C:C, C:C = C1094))=1,""no"",""yes"")"),"no")</f>
        <v>no</v>
      </c>
    </row>
    <row r="1095">
      <c r="A1095" s="1" t="s">
        <v>927</v>
      </c>
      <c r="B1095" s="19">
        <v>9.0</v>
      </c>
      <c r="C1095" s="19" t="s">
        <v>1804</v>
      </c>
      <c r="D1095" s="58" t="str">
        <f t="shared" si="884"/>
        <v/>
      </c>
      <c r="E1095" s="59">
        <f>Q1095</f>
        <v>43809</v>
      </c>
      <c r="F1095" s="60" t="str">
        <f>IFERROR(__xludf.DUMMYFUNCTION("iferror(ifna(IFNA(filter('2.1.clean'!E:E,'2.1.clean'!A:A=C1095),filter('2.2.clean'!G:G,'2.2.clean'!D:D=C1095)),filter('2.4.clean'!E:E,'2.4.clean'!A:A=C1095)),)"),"")</f>
        <v/>
      </c>
      <c r="G1095" s="59" t="str">
        <f>IFERROR(__xludf.DUMMYFUNCTION("iferror(filter('3.1.clean'!C:C,'3.1.clean'!A:A=C1095),"""")"),"")</f>
        <v/>
      </c>
      <c r="H1095" s="58"/>
      <c r="I1095" s="58" t="str">
        <f>IFERROR(__xludf.DUMMYFUNCTION("iferror(filter('3.1.clean'!G:G,'3.1.clean'!A:A=C1095),"""")"),"")</f>
        <v/>
      </c>
      <c r="J1095" s="60" t="str">
        <f>IFERROR(__xludf.DUMMYFUNCTION("iferror(filter('3.1.clean'!I:I,'3.1.clean'!A:A=C1095),"""")"),"")</f>
        <v/>
      </c>
      <c r="K1095" s="59"/>
      <c r="L1095" s="60"/>
      <c r="M1095" s="59" t="str">
        <f>IFERROR(__xludf.DUMMYFUNCTION("iferror(filter('3.3.clean'!C:C,'3.3.clean'!A:A=C1095),"""")"),"")</f>
        <v/>
      </c>
      <c r="N1095" s="60" t="b">
        <f t="shared" si="877"/>
        <v>0</v>
      </c>
      <c r="O1095" s="59" t="str">
        <f>IFERROR(__xludf.DUMMYFUNCTION("iferror(filter('3.4.clean'!C:C,'3.4.clean'!A:A=C1095),"""")"),"")</f>
        <v/>
      </c>
      <c r="P1095" s="60" t="b">
        <f t="shared" si="878"/>
        <v>0</v>
      </c>
      <c r="Q1095" s="59">
        <f>IFERROR(__xludf.DUMMYFUNCTION("iferror(filter('3.5.clean'!C:C,'3.5.clean'!A:A=C1095),"""")"),43809.0)</f>
        <v>43809</v>
      </c>
      <c r="R1095" s="58" t="b">
        <f t="shared" ref="R1095:R1096" si="885">if(Q1095="",FALSE,TRUE)</f>
        <v>1</v>
      </c>
      <c r="S1095" s="4">
        <f>IFERROR(__xludf.DUMMYFUNCTION("iferror(filter('3.5.clean'!H:H,'3.5.clean'!A:A=C1095),"""")"),0.0)</f>
        <v>0</v>
      </c>
      <c r="V1095" s="52" t="s">
        <v>64</v>
      </c>
      <c r="W1095" s="23" t="b">
        <f>if(AND(R1095=TRUE,N1095=TRUE,P1095=TRUE),TRUE,FALSE)</f>
        <v>0</v>
      </c>
      <c r="X1095" s="23" t="str">
        <f>IFERROR(__xludf.DUMMYFUNCTION("if(COUNTA(FILTER(C:C, C:C = C1095))=1,""no"",""yes"")"),"no")</f>
        <v>no</v>
      </c>
    </row>
    <row r="1096">
      <c r="A1096" s="39" t="s">
        <v>927</v>
      </c>
      <c r="B1096" s="99">
        <v>10.0</v>
      </c>
      <c r="C1096" s="51" t="s">
        <v>363</v>
      </c>
      <c r="E1096" s="24">
        <f>IFERROR(__xludf.DUMMYFUNCTION("ifna(IFNA(filter('2.1.clean'!C:C,'2.1.clean'!A:A=C1096),filter('2.2.clean'!E:E,'2.2.clean'!D:D=C1096)),filter('2.4.clean'!C:C,'2.4.clean'!A:A=C1096))"),43809.0)</f>
        <v>43809</v>
      </c>
      <c r="F1096" s="25">
        <f>IFERROR(__xludf.DUMMYFUNCTION("iferror(ifna(IFNA(filter('2.1.clean'!E:E,'2.1.clean'!A:A=C1096),filter('2.2.clean'!G:G,'2.2.clean'!D:D=C1096)),filter('2.4.clean'!E:E,'2.4.clean'!A:A=C1096)),)"),2.4)</f>
        <v>2.4</v>
      </c>
      <c r="G1096" s="24">
        <f>IFERROR(__xludf.DUMMYFUNCTION("iferror(filter('3.1.clean'!C:C,'3.1.clean'!A:A=C1096),"""")"),43809.0)</f>
        <v>43809</v>
      </c>
      <c r="H1096" s="23" t="b">
        <f t="shared" ref="H1096:H1097" si="886">if(G1096="",FALSE,TRUE)</f>
        <v>1</v>
      </c>
      <c r="J1096" s="25"/>
      <c r="K1096" s="24">
        <f>IFERROR(__xludf.DUMMYFUNCTION("iferror(filter('3.2.clean'!C:C,'3.2.clean'!A:A=C1096),"""")"),43810.0)</f>
        <v>43810</v>
      </c>
      <c r="L1096" s="25" t="b">
        <f>if(K1096="",FALSE,TRUE)</f>
        <v>1</v>
      </c>
      <c r="M1096" s="24">
        <f>IFERROR(__xludf.DUMMYFUNCTION("iferror(filter('3.3.clean'!C:C,'3.3.clean'!A:A=C1096),"""")"),43810.0)</f>
        <v>43810</v>
      </c>
      <c r="N1096" s="25" t="b">
        <f t="shared" si="877"/>
        <v>1</v>
      </c>
      <c r="O1096" s="24">
        <f>IFERROR(__xludf.DUMMYFUNCTION("iferror(filter('3.4.clean'!C:C,'3.4.clean'!A:A=C1096),"""")"),43818.0)</f>
        <v>43818</v>
      </c>
      <c r="P1096" s="25" t="b">
        <f t="shared" si="878"/>
        <v>1</v>
      </c>
      <c r="Q1096" s="24">
        <f>IFERROR(__xludf.DUMMYFUNCTION("iferror(filter('3.5.clean'!C:C,'3.5.clean'!A:A=C1096),"""")"),43809.0)</f>
        <v>43809</v>
      </c>
      <c r="R1096" s="23" t="b">
        <f t="shared" si="885"/>
        <v>1</v>
      </c>
      <c r="S1096" s="25"/>
      <c r="V1096" s="1" t="s">
        <v>64</v>
      </c>
      <c r="X1096" s="23" t="str">
        <f>IFERROR(__xludf.DUMMYFUNCTION("if(COUNTA(FILTER(C:C, C:C = C1096))=1,""no"",""yes"")"),"no")</f>
        <v>no</v>
      </c>
    </row>
    <row r="1097">
      <c r="A1097" s="1" t="s">
        <v>927</v>
      </c>
      <c r="B1097" s="19">
        <v>11.0</v>
      </c>
      <c r="C1097" s="19" t="s">
        <v>1805</v>
      </c>
      <c r="D1097" s="58" t="str">
        <f t="shared" ref="D1097:D1098" si="887">if(or(I1097=1,J1097=1,S1097=1),"pos","")</f>
        <v/>
      </c>
      <c r="E1097" s="59">
        <f>IFERROR(__xludf.DUMMYFUNCTION("ifna(IFNA(filter('2.1.clean'!C:C,'2.1.clean'!A:A=C1097),filter('2.2.clean'!E:E,'2.2.clean'!D:D=C1097)),filter('2.4.clean'!C:C,'2.4.clean'!A:A=C1097))"),43809.0)</f>
        <v>43809</v>
      </c>
      <c r="F1097" s="60">
        <f>IFERROR(__xludf.DUMMYFUNCTION("iferror(ifna(IFNA(filter('2.1.clean'!E:E,'2.1.clean'!A:A=C1097),filter('2.2.clean'!G:G,'2.2.clean'!D:D=C1097)),filter('2.4.clean'!E:E,'2.4.clean'!A:A=C1097)),)"),2.4)</f>
        <v>2.4</v>
      </c>
      <c r="G1097" s="59">
        <f>IFERROR(__xludf.DUMMYFUNCTION("iferror(filter('3.1.clean'!C:C,'3.1.clean'!A:A=C1097),"""")"),43809.0)</f>
        <v>43809</v>
      </c>
      <c r="H1097" s="58" t="b">
        <f t="shared" si="886"/>
        <v>1</v>
      </c>
      <c r="I1097" s="58">
        <f>IFERROR(__xludf.DUMMYFUNCTION("iferror(filter('3.1.clean'!G:G,'3.1.clean'!A:A=C1097),"""")"),0.0)</f>
        <v>0</v>
      </c>
      <c r="J1097" s="60" t="str">
        <f>IFERROR(__xludf.DUMMYFUNCTION("iferror(filter('3.1.clean'!I:I,'3.1.clean'!A:A=C1097),"""")"),"")</f>
        <v/>
      </c>
      <c r="K1097" s="58"/>
      <c r="L1097" s="60"/>
      <c r="M1097" s="59" t="str">
        <f>IFERROR(__xludf.DUMMYFUNCTION("iferror(filter('3.3.clean'!C:C,'3.3.clean'!A:A=C1097),"""")"),"")</f>
        <v/>
      </c>
      <c r="N1097" s="60" t="b">
        <f t="shared" si="877"/>
        <v>0</v>
      </c>
      <c r="O1097" s="59" t="str">
        <f>IFERROR(__xludf.DUMMYFUNCTION("iferror(filter('3.4.clean'!C:C,'3.4.clean'!A:A=C1097),"""")"),"")</f>
        <v/>
      </c>
      <c r="P1097" s="60" t="b">
        <f t="shared" si="878"/>
        <v>0</v>
      </c>
      <c r="Q1097" s="59" t="str">
        <f>IFERROR(__xludf.DUMMYFUNCTION("iferror(filter('3.5.clean'!C:C,'3.5.clean'!A:A=C1097),"""")"),"")</f>
        <v/>
      </c>
      <c r="R1097" s="58"/>
      <c r="S1097" s="4" t="str">
        <f>IFERROR(__xludf.DUMMYFUNCTION("iferror(filter('3.5.clean'!H:H,'3.5.clean'!A:A=C1097),"""")"),"")</f>
        <v/>
      </c>
      <c r="W1097" s="23" t="b">
        <f>if(AND(H1097=TRUE,N1097=TRUE,P1097=TRUE),TRUE,FALSE)</f>
        <v>0</v>
      </c>
      <c r="X1097" s="23" t="str">
        <f>IFERROR(__xludf.DUMMYFUNCTION("if(COUNTA(FILTER(C:C, C:C = C1097))=1,""no"",""yes"")"),"no")</f>
        <v>no</v>
      </c>
    </row>
    <row r="1098">
      <c r="A1098" s="1" t="s">
        <v>927</v>
      </c>
      <c r="B1098" s="19">
        <v>12.0</v>
      </c>
      <c r="C1098" s="19" t="s">
        <v>1806</v>
      </c>
      <c r="D1098" s="58" t="str">
        <f t="shared" si="887"/>
        <v/>
      </c>
      <c r="E1098" s="59">
        <f>Q1098</f>
        <v>43809</v>
      </c>
      <c r="F1098" s="60" t="str">
        <f>IFERROR(__xludf.DUMMYFUNCTION("iferror(ifna(IFNA(filter('2.1.clean'!E:E,'2.1.clean'!A:A=C1098),filter('2.2.clean'!G:G,'2.2.clean'!D:D=C1098)),filter('2.4.clean'!E:E,'2.4.clean'!A:A=C1098)),)"),"")</f>
        <v/>
      </c>
      <c r="G1098" s="59" t="str">
        <f>IFERROR(__xludf.DUMMYFUNCTION("iferror(filter('3.1.clean'!C:C,'3.1.clean'!A:A=C1098),"""")"),"")</f>
        <v/>
      </c>
      <c r="H1098" s="58"/>
      <c r="I1098" s="58" t="str">
        <f>IFERROR(__xludf.DUMMYFUNCTION("iferror(filter('3.1.clean'!G:G,'3.1.clean'!A:A=C1098),"""")"),"")</f>
        <v/>
      </c>
      <c r="J1098" s="60" t="str">
        <f>IFERROR(__xludf.DUMMYFUNCTION("iferror(filter('3.1.clean'!I:I,'3.1.clean'!A:A=C1098),"""")"),"")</f>
        <v/>
      </c>
      <c r="K1098" s="59"/>
      <c r="L1098" s="60"/>
      <c r="M1098" s="59" t="str">
        <f>IFERROR(__xludf.DUMMYFUNCTION("iferror(filter('3.3.clean'!C:C,'3.3.clean'!A:A=C1098),"""")"),"")</f>
        <v/>
      </c>
      <c r="N1098" s="60" t="b">
        <f t="shared" si="877"/>
        <v>0</v>
      </c>
      <c r="O1098" s="59" t="str">
        <f>IFERROR(__xludf.DUMMYFUNCTION("iferror(filter('3.4.clean'!C:C,'3.4.clean'!A:A=C1098),"""")"),"")</f>
        <v/>
      </c>
      <c r="P1098" s="60" t="b">
        <f t="shared" si="878"/>
        <v>0</v>
      </c>
      <c r="Q1098" s="59">
        <f>IFERROR(__xludf.DUMMYFUNCTION("iferror(filter('3.5.clean'!C:C,'3.5.clean'!A:A=C1098),"""")"),43809.0)</f>
        <v>43809</v>
      </c>
      <c r="R1098" s="58" t="b">
        <f t="shared" ref="R1098:R1099" si="888">if(Q1098="",FALSE,TRUE)</f>
        <v>1</v>
      </c>
      <c r="S1098" s="4">
        <f>IFERROR(__xludf.DUMMYFUNCTION("iferror(filter('3.5.clean'!H:H,'3.5.clean'!A:A=C1098),"""")"),0.0)</f>
        <v>0</v>
      </c>
      <c r="V1098" s="52" t="s">
        <v>64</v>
      </c>
      <c r="W1098" s="23" t="b">
        <f>if(AND(R1098=TRUE,N1098=TRUE,P1098=TRUE),TRUE,FALSE)</f>
        <v>0</v>
      </c>
      <c r="X1098" s="23" t="str">
        <f>IFERROR(__xludf.DUMMYFUNCTION("if(COUNTA(FILTER(C:C, C:C = C1098))=1,""no"",""yes"")"),"no")</f>
        <v>no</v>
      </c>
    </row>
    <row r="1099">
      <c r="A1099" s="1" t="s">
        <v>927</v>
      </c>
      <c r="B1099" s="2">
        <v>13.0</v>
      </c>
      <c r="C1099" s="19" t="s">
        <v>1807</v>
      </c>
      <c r="E1099" s="24">
        <f>IFERROR(__xludf.DUMMYFUNCTION("ifna(IFNA(filter('2.1.clean'!C:C,'2.1.clean'!A:A=C1099),filter('2.2.clean'!E:E,'2.2.clean'!D:D=C1099)),filter('2.4.clean'!C:C,'2.4.clean'!A:A=C1099))"),43809.0)</f>
        <v>43809</v>
      </c>
      <c r="F1099" s="25">
        <f>IFERROR(__xludf.DUMMYFUNCTION("iferror(ifna(IFNA(filter('2.1.clean'!E:E,'2.1.clean'!A:A=C1099),filter('2.2.clean'!G:G,'2.2.clean'!D:D=C1099)),filter('2.4.clean'!E:E,'2.4.clean'!A:A=C1099)),)"),2.4)</f>
        <v>2.4</v>
      </c>
      <c r="G1099" s="24">
        <f>IFERROR(__xludf.DUMMYFUNCTION("iferror(filter('3.1.clean'!C:C,'3.1.clean'!A:A=C1099),"""")"),43809.0)</f>
        <v>43809</v>
      </c>
      <c r="H1099" s="23" t="b">
        <f t="shared" ref="H1099:H1100" si="889">if(G1099="",FALSE,TRUE)</f>
        <v>1</v>
      </c>
      <c r="J1099" s="25"/>
      <c r="K1099" s="24">
        <f>IFERROR(__xludf.DUMMYFUNCTION("iferror(filter('3.2.clean'!C:C,'3.2.clean'!A:A=C1099),"""")"),43810.0)</f>
        <v>43810</v>
      </c>
      <c r="L1099" s="25" t="b">
        <f>if(K1099="",FALSE,TRUE)</f>
        <v>1</v>
      </c>
      <c r="M1099" s="24">
        <f>IFERROR(__xludf.DUMMYFUNCTION("iferror(filter('3.3.clean'!C:C,'3.3.clean'!A:A=C1099),"""")"),43810.0)</f>
        <v>43810</v>
      </c>
      <c r="N1099" s="25" t="b">
        <f t="shared" si="877"/>
        <v>1</v>
      </c>
      <c r="O1099" s="24">
        <f>IFERROR(__xludf.DUMMYFUNCTION("iferror(filter('3.4.clean'!C:C,'3.4.clean'!A:A=C1099),"""")"),43818.0)</f>
        <v>43818</v>
      </c>
      <c r="P1099" s="25" t="b">
        <f t="shared" si="878"/>
        <v>1</v>
      </c>
      <c r="Q1099" s="24">
        <f>IFERROR(__xludf.DUMMYFUNCTION("iferror(filter('3.5.clean'!C:C,'3.5.clean'!A:A=C1099),"""")"),43809.0)</f>
        <v>43809</v>
      </c>
      <c r="R1099" s="23" t="b">
        <f t="shared" si="888"/>
        <v>1</v>
      </c>
      <c r="S1099" s="25"/>
      <c r="V1099" s="1" t="s">
        <v>64</v>
      </c>
      <c r="X1099" s="23" t="str">
        <f>IFERROR(__xludf.DUMMYFUNCTION("if(COUNTA(FILTER(C:C, C:C = C1099))=1,""no"",""yes"")"),"no")</f>
        <v>no</v>
      </c>
    </row>
    <row r="1100">
      <c r="A1100" s="1" t="s">
        <v>927</v>
      </c>
      <c r="B1100" s="19">
        <v>14.0</v>
      </c>
      <c r="C1100" s="19" t="s">
        <v>1808</v>
      </c>
      <c r="D1100" s="58" t="str">
        <f t="shared" ref="D1100:D1101" si="890">if(or(I1100=1,J1100=1,S1100=1),"pos","")</f>
        <v/>
      </c>
      <c r="E1100" s="59">
        <f>IFERROR(__xludf.DUMMYFUNCTION("ifna(IFNA(filter('2.1.clean'!C:C,'2.1.clean'!A:A=C1100),filter('2.2.clean'!E:E,'2.2.clean'!D:D=C1100)),filter('2.4.clean'!C:C,'2.4.clean'!A:A=C1100))"),43809.0)</f>
        <v>43809</v>
      </c>
      <c r="F1100" s="60">
        <f>IFERROR(__xludf.DUMMYFUNCTION("iferror(ifna(IFNA(filter('2.1.clean'!E:E,'2.1.clean'!A:A=C1100),filter('2.2.clean'!G:G,'2.2.clean'!D:D=C1100)),filter('2.4.clean'!E:E,'2.4.clean'!A:A=C1100)),)"),2.4)</f>
        <v>2.4</v>
      </c>
      <c r="G1100" s="59">
        <f>IFERROR(__xludf.DUMMYFUNCTION("iferror(filter('3.1.clean'!C:C,'3.1.clean'!A:A=C1100),"""")"),43809.0)</f>
        <v>43809</v>
      </c>
      <c r="H1100" s="58" t="b">
        <f t="shared" si="889"/>
        <v>1</v>
      </c>
      <c r="I1100" s="58">
        <f>IFERROR(__xludf.DUMMYFUNCTION("iferror(filter('3.1.clean'!G:G,'3.1.clean'!A:A=C1100),"""")"),0.0)</f>
        <v>0</v>
      </c>
      <c r="J1100" s="60" t="str">
        <f>IFERROR(__xludf.DUMMYFUNCTION("iferror(filter('3.1.clean'!I:I,'3.1.clean'!A:A=C1100),"""")"),"")</f>
        <v/>
      </c>
      <c r="K1100" s="58"/>
      <c r="L1100" s="60"/>
      <c r="M1100" s="59">
        <f>IFERROR(__xludf.DUMMYFUNCTION("iferror(filter('3.3.clean'!C:C,'3.3.clean'!A:A=C1100),"""")"),43810.0)</f>
        <v>43810</v>
      </c>
      <c r="N1100" s="60" t="b">
        <f t="shared" si="877"/>
        <v>1</v>
      </c>
      <c r="O1100" s="59" t="str">
        <f>IFERROR(__xludf.DUMMYFUNCTION("iferror(filter('3.4.clean'!C:C,'3.4.clean'!A:A=C1100),"""")"),"#REF!")</f>
        <v>#REF!</v>
      </c>
      <c r="P1100" s="60" t="str">
        <f t="shared" si="878"/>
        <v>#REF!</v>
      </c>
      <c r="Q1100" s="59" t="str">
        <f>IFERROR(__xludf.DUMMYFUNCTION("iferror(filter('3.5.clean'!C:C,'3.5.clean'!A:A=C1100),"""")"),"")</f>
        <v/>
      </c>
      <c r="R1100" s="58"/>
      <c r="S1100" s="4" t="str">
        <f>IFERROR(__xludf.DUMMYFUNCTION("iferror(filter('3.5.clean'!H:H,'3.5.clean'!A:A=C1100),"""")"),"")</f>
        <v/>
      </c>
      <c r="W1100" s="23" t="str">
        <f>if(AND(H1100=TRUE,N1100=TRUE,P1100=TRUE),TRUE,FALSE)</f>
        <v>#REF!</v>
      </c>
      <c r="X1100" s="23" t="str">
        <f>IFERROR(__xludf.DUMMYFUNCTION("if(COUNTA(FILTER(C:C, C:C = C1100))=1,""no"",""yes"")"),"no")</f>
        <v>no</v>
      </c>
    </row>
    <row r="1101">
      <c r="A1101" s="1" t="s">
        <v>927</v>
      </c>
      <c r="B1101" s="19">
        <v>15.0</v>
      </c>
      <c r="C1101" s="19" t="s">
        <v>1809</v>
      </c>
      <c r="D1101" s="58" t="str">
        <f t="shared" si="890"/>
        <v/>
      </c>
      <c r="E1101" s="59">
        <f>Q1101</f>
        <v>43809</v>
      </c>
      <c r="F1101" s="60" t="str">
        <f>IFERROR(__xludf.DUMMYFUNCTION("iferror(ifna(IFNA(filter('2.1.clean'!E:E,'2.1.clean'!A:A=C1101),filter('2.2.clean'!G:G,'2.2.clean'!D:D=C1101)),filter('2.4.clean'!E:E,'2.4.clean'!A:A=C1101)),)"),"")</f>
        <v/>
      </c>
      <c r="G1101" s="59" t="str">
        <f>IFERROR(__xludf.DUMMYFUNCTION("iferror(filter('3.1.clean'!C:C,'3.1.clean'!A:A=C1101),"""")"),"")</f>
        <v/>
      </c>
      <c r="H1101" s="58"/>
      <c r="I1101" s="58" t="str">
        <f>IFERROR(__xludf.DUMMYFUNCTION("iferror(filter('3.1.clean'!G:G,'3.1.clean'!A:A=C1101),"""")"),"")</f>
        <v/>
      </c>
      <c r="J1101" s="60" t="str">
        <f>IFERROR(__xludf.DUMMYFUNCTION("iferror(filter('3.1.clean'!I:I,'3.1.clean'!A:A=C1101),"""")"),"")</f>
        <v/>
      </c>
      <c r="K1101" s="59"/>
      <c r="L1101" s="60"/>
      <c r="M1101" s="59" t="str">
        <f>IFERROR(__xludf.DUMMYFUNCTION("iferror(filter('3.3.clean'!C:C,'3.3.clean'!A:A=C1101),"""")"),"")</f>
        <v/>
      </c>
      <c r="N1101" s="60" t="b">
        <f t="shared" si="877"/>
        <v>0</v>
      </c>
      <c r="O1101" s="59" t="str">
        <f>IFERROR(__xludf.DUMMYFUNCTION("iferror(filter('3.4.clean'!C:C,'3.4.clean'!A:A=C1101),"""")"),"")</f>
        <v/>
      </c>
      <c r="P1101" s="60" t="b">
        <f t="shared" si="878"/>
        <v>0</v>
      </c>
      <c r="Q1101" s="59">
        <f>IFERROR(__xludf.DUMMYFUNCTION("iferror(filter('3.5.clean'!C:C,'3.5.clean'!A:A=C1101),"""")"),43809.0)</f>
        <v>43809</v>
      </c>
      <c r="R1101" s="58" t="b">
        <f t="shared" ref="R1101:R1102" si="891">if(Q1101="",FALSE,TRUE)</f>
        <v>1</v>
      </c>
      <c r="S1101" s="4">
        <f>IFERROR(__xludf.DUMMYFUNCTION("iferror(filter('3.5.clean'!H:H,'3.5.clean'!A:A=C1101),"""")"),0.0)</f>
        <v>0</v>
      </c>
      <c r="V1101" s="52" t="s">
        <v>64</v>
      </c>
      <c r="W1101" s="23" t="b">
        <f>if(AND(R1101=TRUE,N1101=TRUE,P1101=TRUE),TRUE,FALSE)</f>
        <v>0</v>
      </c>
      <c r="X1101" s="23" t="str">
        <f>IFERROR(__xludf.DUMMYFUNCTION("if(COUNTA(FILTER(C:C, C:C = C1101))=1,""no"",""yes"")"),"no")</f>
        <v>no</v>
      </c>
    </row>
    <row r="1102">
      <c r="A1102" s="1" t="s">
        <v>927</v>
      </c>
      <c r="B1102" s="2">
        <v>16.0</v>
      </c>
      <c r="C1102" s="19" t="s">
        <v>1810</v>
      </c>
      <c r="E1102" s="24">
        <f>IFERROR(__xludf.DUMMYFUNCTION("ifna(IFNA(filter('2.1.clean'!C:C,'2.1.clean'!A:A=C1102),filter('2.2.clean'!E:E,'2.2.clean'!D:D=C1102)),filter('2.4.clean'!C:C,'2.4.clean'!A:A=C1102))"),43809.0)</f>
        <v>43809</v>
      </c>
      <c r="F1102" s="25">
        <f>IFERROR(__xludf.DUMMYFUNCTION("iferror(ifna(IFNA(filter('2.1.clean'!E:E,'2.1.clean'!A:A=C1102),filter('2.2.clean'!G:G,'2.2.clean'!D:D=C1102)),filter('2.4.clean'!E:E,'2.4.clean'!A:A=C1102)),)"),2.4)</f>
        <v>2.4</v>
      </c>
      <c r="G1102" s="24">
        <f>IFERROR(__xludf.DUMMYFUNCTION("iferror(filter('3.1.clean'!C:C,'3.1.clean'!A:A=C1102),"""")"),43809.0)</f>
        <v>43809</v>
      </c>
      <c r="H1102" s="23" t="b">
        <f t="shared" ref="H1102:H1103" si="892">if(G1102="",FALSE,TRUE)</f>
        <v>1</v>
      </c>
      <c r="J1102" s="25"/>
      <c r="K1102" s="24">
        <f>IFERROR(__xludf.DUMMYFUNCTION("iferror(filter('3.2.clean'!C:C,'3.2.clean'!A:A=C1102),"""")"),43810.0)</f>
        <v>43810</v>
      </c>
      <c r="L1102" s="25" t="b">
        <f>if(K1102="",FALSE,TRUE)</f>
        <v>1</v>
      </c>
      <c r="M1102" s="24">
        <f>IFERROR(__xludf.DUMMYFUNCTION("iferror(filter('3.3.clean'!C:C,'3.3.clean'!A:A=C1102),"""")"),43810.0)</f>
        <v>43810</v>
      </c>
      <c r="N1102" s="25" t="b">
        <f t="shared" si="877"/>
        <v>1</v>
      </c>
      <c r="O1102" s="24">
        <f>IFERROR(__xludf.DUMMYFUNCTION("iferror(filter('3.4.clean'!C:C,'3.4.clean'!A:A=C1102),"""")"),43818.0)</f>
        <v>43818</v>
      </c>
      <c r="P1102" s="25" t="b">
        <f t="shared" si="878"/>
        <v>1</v>
      </c>
      <c r="Q1102" s="24">
        <f>IFERROR(__xludf.DUMMYFUNCTION("iferror(filter('3.5.clean'!C:C,'3.5.clean'!A:A=C1102),"""")"),43809.0)</f>
        <v>43809</v>
      </c>
      <c r="R1102" s="23" t="b">
        <f t="shared" si="891"/>
        <v>1</v>
      </c>
      <c r="S1102" s="25"/>
      <c r="V1102" s="1" t="s">
        <v>64</v>
      </c>
      <c r="X1102" s="23" t="str">
        <f>IFERROR(__xludf.DUMMYFUNCTION("if(COUNTA(FILTER(C:C, C:C = C1102))=1,""no"",""yes"")"),"no")</f>
        <v>no</v>
      </c>
    </row>
    <row r="1103">
      <c r="A1103" s="1" t="s">
        <v>927</v>
      </c>
      <c r="B1103" s="19">
        <v>17.0</v>
      </c>
      <c r="C1103" s="19" t="s">
        <v>1811</v>
      </c>
      <c r="D1103" s="58" t="str">
        <f t="shared" ref="D1103:D1106" si="893">if(or(I1103=1,J1103=1,S1103=1),"pos","")</f>
        <v/>
      </c>
      <c r="E1103" s="59">
        <f>IFERROR(__xludf.DUMMYFUNCTION("ifna(IFNA(filter('2.1.clean'!C:C,'2.1.clean'!A:A=C1103),filter('2.2.clean'!E:E,'2.2.clean'!D:D=C1103)),filter('2.4.clean'!C:C,'2.4.clean'!A:A=C1103))"),43809.0)</f>
        <v>43809</v>
      </c>
      <c r="F1103" s="60">
        <f>IFERROR(__xludf.DUMMYFUNCTION("iferror(ifna(IFNA(filter('2.1.clean'!E:E,'2.1.clean'!A:A=C1103),filter('2.2.clean'!G:G,'2.2.clean'!D:D=C1103)),filter('2.4.clean'!E:E,'2.4.clean'!A:A=C1103)),)"),2.4)</f>
        <v>2.4</v>
      </c>
      <c r="G1103" s="59">
        <f>IFERROR(__xludf.DUMMYFUNCTION("iferror(filter('3.1.clean'!C:C,'3.1.clean'!A:A=C1103),"""")"),43809.0)</f>
        <v>43809</v>
      </c>
      <c r="H1103" s="58" t="b">
        <f t="shared" si="892"/>
        <v>1</v>
      </c>
      <c r="I1103" s="58">
        <f>IFERROR(__xludf.DUMMYFUNCTION("iferror(filter('3.1.clean'!G:G,'3.1.clean'!A:A=C1103),"""")"),0.0)</f>
        <v>0</v>
      </c>
      <c r="J1103" s="60" t="str">
        <f>IFERROR(__xludf.DUMMYFUNCTION("iferror(filter('3.1.clean'!I:I,'3.1.clean'!A:A=C1103),"""")"),"")</f>
        <v/>
      </c>
      <c r="K1103" s="58"/>
      <c r="L1103" s="60"/>
      <c r="M1103" s="59" t="str">
        <f>IFERROR(__xludf.DUMMYFUNCTION("iferror(filter('3.3.clean'!C:C,'3.3.clean'!A:A=C1103),"""")"),"")</f>
        <v/>
      </c>
      <c r="N1103" s="60" t="b">
        <f t="shared" si="877"/>
        <v>0</v>
      </c>
      <c r="O1103" s="59" t="str">
        <f>IFERROR(__xludf.DUMMYFUNCTION("iferror(filter('3.4.clean'!C:C,'3.4.clean'!A:A=C1103),"""")"),"")</f>
        <v/>
      </c>
      <c r="P1103" s="60" t="b">
        <f t="shared" si="878"/>
        <v>0</v>
      </c>
      <c r="Q1103" s="59" t="str">
        <f>IFERROR(__xludf.DUMMYFUNCTION("iferror(filter('3.5.clean'!C:C,'3.5.clean'!A:A=C1103),"""")"),"")</f>
        <v/>
      </c>
      <c r="R1103" s="58"/>
      <c r="S1103" s="4" t="str">
        <f>IFERROR(__xludf.DUMMYFUNCTION("iferror(filter('3.5.clean'!H:H,'3.5.clean'!A:A=C1103),"""")"),"")</f>
        <v/>
      </c>
      <c r="W1103" s="23" t="b">
        <f>if(AND(H1103=TRUE,N1103=TRUE,P1103=TRUE),TRUE,FALSE)</f>
        <v>0</v>
      </c>
      <c r="X1103" s="23" t="str">
        <f>IFERROR(__xludf.DUMMYFUNCTION("if(COUNTA(FILTER(C:C, C:C = C1103))=1,""no"",""yes"")"),"no")</f>
        <v>no</v>
      </c>
    </row>
    <row r="1104">
      <c r="A1104" s="1" t="s">
        <v>927</v>
      </c>
      <c r="B1104" s="19">
        <v>18.0</v>
      </c>
      <c r="C1104" s="19" t="s">
        <v>1812</v>
      </c>
      <c r="D1104" s="58" t="str">
        <f t="shared" si="893"/>
        <v/>
      </c>
      <c r="E1104" s="59">
        <f t="shared" ref="E1104:E1105" si="894">Q1104</f>
        <v>43809</v>
      </c>
      <c r="F1104" s="60" t="str">
        <f>IFERROR(__xludf.DUMMYFUNCTION("iferror(ifna(IFNA(filter('2.1.clean'!E:E,'2.1.clean'!A:A=C1104),filter('2.2.clean'!G:G,'2.2.clean'!D:D=C1104)),filter('2.4.clean'!E:E,'2.4.clean'!A:A=C1104)),)"),"")</f>
        <v/>
      </c>
      <c r="G1104" s="59" t="str">
        <f>IFERROR(__xludf.DUMMYFUNCTION("iferror(filter('3.1.clean'!C:C,'3.1.clean'!A:A=C1104),"""")"),"")</f>
        <v/>
      </c>
      <c r="H1104" s="58"/>
      <c r="I1104" s="58" t="str">
        <f>IFERROR(__xludf.DUMMYFUNCTION("iferror(filter('3.1.clean'!G:G,'3.1.clean'!A:A=C1104),"""")"),"")</f>
        <v/>
      </c>
      <c r="J1104" s="60" t="str">
        <f>IFERROR(__xludf.DUMMYFUNCTION("iferror(filter('3.1.clean'!I:I,'3.1.clean'!A:A=C1104),"""")"),"")</f>
        <v/>
      </c>
      <c r="K1104" s="59"/>
      <c r="L1104" s="60"/>
      <c r="M1104" s="59" t="str">
        <f>IFERROR(__xludf.DUMMYFUNCTION("iferror(filter('3.3.clean'!C:C,'3.3.clean'!A:A=C1104),"""")"),"")</f>
        <v/>
      </c>
      <c r="N1104" s="60" t="b">
        <f t="shared" si="877"/>
        <v>0</v>
      </c>
      <c r="O1104" s="59" t="str">
        <f>IFERROR(__xludf.DUMMYFUNCTION("iferror(filter('3.4.clean'!C:C,'3.4.clean'!A:A=C1104),"""")"),"")</f>
        <v/>
      </c>
      <c r="P1104" s="60" t="b">
        <f t="shared" si="878"/>
        <v>0</v>
      </c>
      <c r="Q1104" s="59">
        <f>IFERROR(__xludf.DUMMYFUNCTION("iferror(filter('3.5.clean'!C:C,'3.5.clean'!A:A=C1104),"""")"),43809.0)</f>
        <v>43809</v>
      </c>
      <c r="R1104" s="58" t="b">
        <f t="shared" ref="R1104:R1105" si="895">if(Q1104="",FALSE,TRUE)</f>
        <v>1</v>
      </c>
      <c r="S1104" s="4">
        <f>IFERROR(__xludf.DUMMYFUNCTION("iferror(filter('3.5.clean'!H:H,'3.5.clean'!A:A=C1104),"""")"),0.0)</f>
        <v>0</v>
      </c>
      <c r="V1104" s="52" t="s">
        <v>64</v>
      </c>
      <c r="W1104" s="23" t="b">
        <f>if(AND(R1104=TRUE,N1104=TRUE,P1104=TRUE),TRUE,FALSE)</f>
        <v>0</v>
      </c>
      <c r="X1104" s="23" t="str">
        <f>IFERROR(__xludf.DUMMYFUNCTION("if(COUNTA(FILTER(C:C, C:C = C1104))=1,""no"",""yes"")"),"no")</f>
        <v>no</v>
      </c>
    </row>
    <row r="1105">
      <c r="A1105" s="1" t="s">
        <v>927</v>
      </c>
      <c r="B1105" s="19">
        <v>19.0</v>
      </c>
      <c r="C1105" s="19" t="s">
        <v>1813</v>
      </c>
      <c r="D1105" s="22" t="str">
        <f t="shared" si="893"/>
        <v/>
      </c>
      <c r="E1105" s="20">
        <f t="shared" si="894"/>
        <v>43809</v>
      </c>
      <c r="F1105" s="79" t="str">
        <f>IFERROR(__xludf.DUMMYFUNCTION("iferror(ifna(IFNA(filter('2.1.clean'!E:E,'2.1.clean'!A:A=C1105),filter('2.2.clean'!G:G,'2.2.clean'!D:D=C1105)),filter('2.4.clean'!E:E,'2.4.clean'!A:A=C1105)),)"),"")</f>
        <v/>
      </c>
      <c r="G1105" s="20" t="str">
        <f>IFERROR(__xludf.DUMMYFUNCTION("iferror(filter('3.1.clean'!C:C,'3.1.clean'!A:A=C1105),"""")"),"")</f>
        <v/>
      </c>
      <c r="H1105" s="22"/>
      <c r="I1105" s="22"/>
      <c r="J1105" s="79"/>
      <c r="K1105" s="20" t="str">
        <f>IFERROR(__xludf.DUMMYFUNCTION("iferror(filter('3.2.clean'!C:C,'3.2.clean'!A:A=C1105),"""")"),"")</f>
        <v/>
      </c>
      <c r="L1105" s="79"/>
      <c r="M1105" s="20" t="str">
        <f>IFERROR(__xludf.DUMMYFUNCTION("iferror(filter('3.3.clean'!C:C,'3.3.clean'!A:A=C1105),"""")"),"")</f>
        <v/>
      </c>
      <c r="N1105" s="79" t="b">
        <f t="shared" si="877"/>
        <v>0</v>
      </c>
      <c r="O1105" s="20" t="str">
        <f>IFERROR(__xludf.DUMMYFUNCTION("iferror(filter('3.4.clean'!C:C,'3.4.clean'!A:A=C1105),"""")"),"")</f>
        <v/>
      </c>
      <c r="P1105" s="79" t="b">
        <f t="shared" si="878"/>
        <v>0</v>
      </c>
      <c r="Q1105" s="20">
        <f>IFERROR(__xludf.DUMMYFUNCTION("iferror(filter('3.5.clean'!C:C,'3.5.clean'!A:A=C1105),"""")"),43809.0)</f>
        <v>43809</v>
      </c>
      <c r="R1105" s="22" t="b">
        <f t="shared" si="895"/>
        <v>1</v>
      </c>
      <c r="S1105" s="4">
        <f>IFERROR(__xludf.DUMMYFUNCTION("iferror(filter('3.5.clean'!H:H,'3.5.clean'!A:A=C1105),"""")"),0.0)</f>
        <v>0</v>
      </c>
      <c r="V1105" s="1" t="s">
        <v>64</v>
      </c>
      <c r="W1105" s="23" t="b">
        <f>IF(and(R1105=TRUE,N1105=TRUE,P1105=TRUE),TRUE,FALSE)</f>
        <v>0</v>
      </c>
      <c r="X1105" s="23" t="str">
        <f>IFERROR(__xludf.DUMMYFUNCTION("if(COUNTA(FILTER(C:C, C:C = C1105))=1,""no"",""yes"")"),"no")</f>
        <v>no</v>
      </c>
    </row>
    <row r="1106">
      <c r="A1106" s="1" t="s">
        <v>927</v>
      </c>
      <c r="B1106" s="19">
        <v>20.0</v>
      </c>
      <c r="C1106" s="19" t="s">
        <v>1814</v>
      </c>
      <c r="D1106" s="76" t="str">
        <f t="shared" si="893"/>
        <v/>
      </c>
      <c r="E1106" s="77">
        <f>G1106</f>
        <v>43809</v>
      </c>
      <c r="F1106" s="78" t="str">
        <f>IFERROR(__xludf.DUMMYFUNCTION("iferror(ifna(IFNA(filter('2.1.clean'!E:E,'2.1.clean'!A:A=C1106),filter('2.2.clean'!G:G,'2.2.clean'!D:D=C1106)),filter('2.4.clean'!E:E,'2.4.clean'!A:A=C1106)),)"),"")</f>
        <v/>
      </c>
      <c r="G1106" s="77">
        <f>IFERROR(__xludf.DUMMYFUNCTION("iferror(filter('3.1.clean'!C:C,'3.1.clean'!A:A=C1106),"""")"),43809.0)</f>
        <v>43809</v>
      </c>
      <c r="H1106" s="76" t="b">
        <f>if(G1106="",FALSE,TRUE)</f>
        <v>1</v>
      </c>
      <c r="I1106" s="76">
        <f>IFERROR(__xludf.DUMMYFUNCTION("iferror(filter('3.1.clean'!G:G,'3.1.clean'!A:A=C1106),"""")"),0.0)</f>
        <v>0</v>
      </c>
      <c r="J1106" s="78" t="str">
        <f>IFERROR(__xludf.DUMMYFUNCTION("iferror(filter('3.1.clean'!I:I,'3.1.clean'!A:A=C1106),"""")"),"")</f>
        <v/>
      </c>
      <c r="K1106" s="77"/>
      <c r="L1106" s="78"/>
      <c r="M1106" s="77"/>
      <c r="N1106" s="78"/>
      <c r="O1106" s="77"/>
      <c r="P1106" s="78"/>
      <c r="Q1106" s="77"/>
      <c r="R1106" s="76"/>
      <c r="S1106" s="25"/>
      <c r="V1106" s="1" t="s">
        <v>64</v>
      </c>
      <c r="W1106" s="1" t="b">
        <v>1</v>
      </c>
      <c r="X1106" s="23" t="str">
        <f>IFERROR(__xludf.DUMMYFUNCTION("if(COUNTA(FILTER(C:C, C:C = C1106))=1,""no"",""yes"")"),"no")</f>
        <v>no</v>
      </c>
    </row>
    <row r="1107">
      <c r="A1107" s="1" t="s">
        <v>927</v>
      </c>
      <c r="B1107" s="2">
        <v>21.0</v>
      </c>
      <c r="C1107" s="19" t="s">
        <v>1815</v>
      </c>
      <c r="E1107" s="24">
        <v>43809.0</v>
      </c>
      <c r="F1107" s="25" t="str">
        <f>IFERROR(__xludf.DUMMYFUNCTION("iferror(ifna(IFNA(filter('2.1.clean'!E:E,'2.1.clean'!A:A=C1107),filter('2.2.clean'!G:G,'2.2.clean'!D:D=C1107)),filter('2.4.clean'!E:E,'2.4.clean'!A:A=C1107)),)"),"")</f>
        <v/>
      </c>
      <c r="G1107" s="24" t="str">
        <f>IFERROR(__xludf.DUMMYFUNCTION("iferror(filter('3.1.clean'!C:C,'3.1.clean'!A:A=C1107),"""")"),"")</f>
        <v/>
      </c>
      <c r="J1107" s="25"/>
      <c r="K1107" s="24" t="str">
        <f>IFERROR(__xludf.DUMMYFUNCTION("iferror(filter('3.2.clean'!C:C,'3.2.clean'!A:A=C1107),"""")"),"")</f>
        <v/>
      </c>
      <c r="L1107" s="25"/>
      <c r="M1107" s="24">
        <f>IFERROR(__xludf.DUMMYFUNCTION("iferror(filter('3.3.clean'!C:C,'3.3.clean'!A:A=C1107),"""")"),43810.0)</f>
        <v>43810</v>
      </c>
      <c r="N1107" s="25" t="b">
        <f t="shared" ref="N1107:N1110" si="896">if(M1107="",FALSE,TRUE)</f>
        <v>1</v>
      </c>
      <c r="O1107" s="24">
        <f>IFERROR(__xludf.DUMMYFUNCTION("iferror(filter('3.4.clean'!C:C,'3.4.clean'!A:A=C1107),"""")"),43810.0)</f>
        <v>43810</v>
      </c>
      <c r="P1107" s="25" t="b">
        <f t="shared" ref="P1107:P1110" si="897">if(O1107="",FALSE,TRUE)</f>
        <v>1</v>
      </c>
      <c r="Q1107" s="24" t="str">
        <f>IFERROR(__xludf.DUMMYFUNCTION("iferror(filter('3.5.clean'!C:C,'3.5.clean'!A:A=C1107),"""")"),"")</f>
        <v/>
      </c>
      <c r="S1107" s="25"/>
      <c r="V1107" s="52" t="s">
        <v>64</v>
      </c>
      <c r="X1107" s="23" t="str">
        <f>IFERROR(__xludf.DUMMYFUNCTION("if(COUNTA(FILTER(C:C, C:C = C1107))=1,""no"",""yes"")"),"no")</f>
        <v>no</v>
      </c>
    </row>
    <row r="1108">
      <c r="A1108" s="83" t="s">
        <v>932</v>
      </c>
      <c r="B1108" s="2">
        <v>1.0</v>
      </c>
      <c r="C1108" s="19" t="s">
        <v>1816</v>
      </c>
      <c r="D1108" s="39"/>
      <c r="E1108" s="24">
        <f>IFERROR(__xludf.DUMMYFUNCTION("ifna(IFNA(filter('2.1.clean'!C:C,'2.1.clean'!A:A=C1108),filter('2.2.clean'!E:E,'2.2.clean'!D:D=C1108)),filter('2.4.clean'!C:C,'2.4.clean'!A:A=C1108))"),43810.0)</f>
        <v>43810</v>
      </c>
      <c r="F1108" s="25">
        <f>IFERROR(__xludf.DUMMYFUNCTION("iferror(ifna(IFNA(filter('2.1.clean'!E:E,'2.1.clean'!A:A=C1108),filter('2.2.clean'!G:G,'2.2.clean'!D:D=C1108)),filter('2.4.clean'!E:E,'2.4.clean'!A:A=C1108)),)"),2.4)</f>
        <v>2.4</v>
      </c>
      <c r="G1108" s="24">
        <f>IFERROR(__xludf.DUMMYFUNCTION("iferror(filter('3.1.clean'!C:C,'3.1.clean'!A:A=C1108),"""")"),43810.0)</f>
        <v>43810</v>
      </c>
      <c r="H1108" s="23" t="b">
        <f>if(G1108="",FALSE,TRUE)</f>
        <v>1</v>
      </c>
      <c r="J1108" s="25"/>
      <c r="K1108" s="43">
        <f>IFERROR(__xludf.DUMMYFUNCTION("iferror(filter('3.2.clean'!C:C,'3.2.clean'!A:A=C1108),"""")"),43810.0)</f>
        <v>43810</v>
      </c>
      <c r="L1108" s="25" t="b">
        <f>if(K1108="",FALSE,TRUE)</f>
        <v>1</v>
      </c>
      <c r="M1108" s="24">
        <f>IFERROR(__xludf.DUMMYFUNCTION("iferror(filter('3.3.clean'!C:C,'3.3.clean'!A:A=C1108),"""")"),43811.0)</f>
        <v>43811</v>
      </c>
      <c r="N1108" s="25" t="b">
        <f t="shared" si="896"/>
        <v>1</v>
      </c>
      <c r="O1108" s="24">
        <f>IFERROR(__xludf.DUMMYFUNCTION("iferror(filter('3.4.clean'!C:C,'3.4.clean'!A:A=C1108),"""")"),43818.0)</f>
        <v>43818</v>
      </c>
      <c r="P1108" s="25" t="b">
        <f t="shared" si="897"/>
        <v>1</v>
      </c>
      <c r="Q1108" s="24" t="str">
        <f>IFERROR(__xludf.DUMMYFUNCTION("iferror(filter('3.5.clean'!C:C,'3.5.clean'!A:A=C1108),"""")"),"")</f>
        <v/>
      </c>
      <c r="R1108" s="23" t="b">
        <f t="shared" ref="R1108:R1110" si="898">if(Q1108="",FALSE,TRUE)</f>
        <v>0</v>
      </c>
      <c r="S1108" s="25"/>
      <c r="T1108" s="48"/>
      <c r="U1108" s="23"/>
      <c r="V1108" s="1" t="s">
        <v>64</v>
      </c>
      <c r="X1108" s="23" t="str">
        <f>IFERROR(__xludf.DUMMYFUNCTION("if(COUNTA(FILTER(C:C, C:C = C1108))=1,""no"",""yes"")"),"no")</f>
        <v>no</v>
      </c>
    </row>
    <row r="1109">
      <c r="A1109" s="83" t="s">
        <v>932</v>
      </c>
      <c r="B1109" s="2">
        <v>2.0</v>
      </c>
      <c r="C1109" s="19" t="s">
        <v>1817</v>
      </c>
      <c r="D1109" s="39"/>
      <c r="E1109" s="24">
        <v>43810.0</v>
      </c>
      <c r="F1109" s="25" t="str">
        <f>IFERROR(__xludf.DUMMYFUNCTION("iferror(ifna(IFNA(filter('2.1.clean'!E:E,'2.1.clean'!A:A=C1109),filter('2.2.clean'!G:G,'2.2.clean'!D:D=C1109)),filter('2.4.clean'!E:E,'2.4.clean'!A:A=C1109)),)"),"")</f>
        <v/>
      </c>
      <c r="G1109" s="43" t="str">
        <f>IFERROR(__xludf.DUMMYFUNCTION("iferror(filter('3.1.clean'!C:C,'3.1.clean'!A:A=C1109),"""")"),"")</f>
        <v/>
      </c>
      <c r="H1109" s="23"/>
      <c r="J1109" s="25"/>
      <c r="K1109" s="43" t="str">
        <f>IFERROR(__xludf.DUMMYFUNCTION("iferror(filter('3.2.clean'!C:C,'3.2.clean'!A:A=C1109),"""")"),"")</f>
        <v/>
      </c>
      <c r="L1109" s="25"/>
      <c r="M1109" s="24">
        <f>IFERROR(__xludf.DUMMYFUNCTION("iferror(filter('3.3.clean'!C:C,'3.3.clean'!A:A=C1109),"""")"),43811.0)</f>
        <v>43811</v>
      </c>
      <c r="N1109" s="25" t="b">
        <f t="shared" si="896"/>
        <v>1</v>
      </c>
      <c r="O1109" s="24" t="str">
        <f>IFERROR(__xludf.DUMMYFUNCTION("iferror(filter('3.4.clean'!C:C,'3.4.clean'!A:A=C1109),"""")"),"")</f>
        <v/>
      </c>
      <c r="P1109" s="25" t="b">
        <f t="shared" si="897"/>
        <v>0</v>
      </c>
      <c r="Q1109" s="24" t="str">
        <f>IFERROR(__xludf.DUMMYFUNCTION("iferror(filter('3.5.clean'!C:C,'3.5.clean'!A:A=C1109),"""")"),"")</f>
        <v/>
      </c>
      <c r="R1109" s="23" t="b">
        <f t="shared" si="898"/>
        <v>0</v>
      </c>
      <c r="S1109" s="25"/>
      <c r="T1109" s="48"/>
      <c r="U1109" s="23"/>
      <c r="V1109" s="1" t="s">
        <v>64</v>
      </c>
      <c r="X1109" s="23" t="str">
        <f>IFERROR(__xludf.DUMMYFUNCTION("if(COUNTA(FILTER(C:C, C:C = C1109))=1,""no"",""yes"")"),"no")</f>
        <v>no</v>
      </c>
    </row>
    <row r="1110">
      <c r="A1110" s="83" t="s">
        <v>932</v>
      </c>
      <c r="B1110" s="2">
        <v>3.0</v>
      </c>
      <c r="C1110" s="19" t="s">
        <v>1818</v>
      </c>
      <c r="E1110" s="24">
        <v>43810.0</v>
      </c>
      <c r="F1110" s="25" t="str">
        <f>IFERROR(__xludf.DUMMYFUNCTION("iferror(ifna(IFNA(filter('2.1.clean'!E:E,'2.1.clean'!A:A=C1110),filter('2.2.clean'!G:G,'2.2.clean'!D:D=C1110)),filter('2.4.clean'!E:E,'2.4.clean'!A:A=C1110)),)"),"")</f>
        <v/>
      </c>
      <c r="G1110" s="24" t="str">
        <f>IFERROR(__xludf.DUMMYFUNCTION("iferror(filter('3.1.clean'!C:C,'3.1.clean'!A:A=C1110),"""")"),"")</f>
        <v/>
      </c>
      <c r="J1110" s="25"/>
      <c r="K1110" s="24" t="str">
        <f>IFERROR(__xludf.DUMMYFUNCTION("iferror(filter('3.2.clean'!C:C,'3.2.clean'!A:A=C1110),"""")"),"")</f>
        <v/>
      </c>
      <c r="L1110" s="25"/>
      <c r="M1110" s="24">
        <f>IFERROR(__xludf.DUMMYFUNCTION("iferror(filter('3.3.clean'!C:C,'3.3.clean'!A:A=C1110),"""")"),43815.0)</f>
        <v>43815</v>
      </c>
      <c r="N1110" s="25" t="b">
        <f t="shared" si="896"/>
        <v>1</v>
      </c>
      <c r="O1110" s="24">
        <f>IFERROR(__xludf.DUMMYFUNCTION("iferror(filter('3.4.clean'!C:C,'3.4.clean'!A:A=C1110),"""")"),43818.0)</f>
        <v>43818</v>
      </c>
      <c r="P1110" s="25" t="b">
        <f t="shared" si="897"/>
        <v>1</v>
      </c>
      <c r="Q1110" s="24" t="str">
        <f>IFERROR(__xludf.DUMMYFUNCTION("iferror(filter('3.5.clean'!C:C,'3.5.clean'!A:A=C1110),"""")"),"")</f>
        <v/>
      </c>
      <c r="R1110" s="23" t="b">
        <f t="shared" si="898"/>
        <v>0</v>
      </c>
      <c r="S1110" s="25"/>
      <c r="U1110" s="23"/>
      <c r="V1110" s="1" t="s">
        <v>64</v>
      </c>
      <c r="X1110" s="23" t="str">
        <f>IFERROR(__xludf.DUMMYFUNCTION("if(COUNTA(FILTER(C:C, C:C = C1110))=1,""no"",""yes"")"),"no")</f>
        <v>no</v>
      </c>
    </row>
    <row r="1111">
      <c r="A1111" s="83" t="s">
        <v>932</v>
      </c>
      <c r="B1111" s="19">
        <v>4.0</v>
      </c>
      <c r="C1111" s="19" t="s">
        <v>1819</v>
      </c>
      <c r="D1111" s="76" t="str">
        <f>if(or(I1111=1,J1111=1,S1111=1),"pos","")</f>
        <v/>
      </c>
      <c r="E1111" s="77">
        <f>G1111</f>
        <v>43810</v>
      </c>
      <c r="F1111" s="78" t="str">
        <f>IFERROR(__xludf.DUMMYFUNCTION("iferror(ifna(IFNA(filter('2.1.clean'!E:E,'2.1.clean'!A:A=C1111),filter('2.2.clean'!G:G,'2.2.clean'!D:D=C1111)),filter('2.4.clean'!E:E,'2.4.clean'!A:A=C1111)),)"),"")</f>
        <v/>
      </c>
      <c r="G1111" s="77">
        <f>IFERROR(__xludf.DUMMYFUNCTION("iferror(filter('3.1.clean'!C:C,'3.1.clean'!A:A=C1111),"""")"),43810.0)</f>
        <v>43810</v>
      </c>
      <c r="H1111" s="76" t="b">
        <f>if(G1111="",FALSE,TRUE)</f>
        <v>1</v>
      </c>
      <c r="I1111" s="76">
        <f>IFERROR(__xludf.DUMMYFUNCTION("iferror(filter('3.1.clean'!G:G,'3.1.clean'!A:A=C1111),"""")"),0.0)</f>
        <v>0</v>
      </c>
      <c r="J1111" s="78" t="str">
        <f>IFERROR(__xludf.DUMMYFUNCTION("iferror(filter('3.1.clean'!I:I,'3.1.clean'!A:A=C1111),"""")"),"")</f>
        <v/>
      </c>
      <c r="K1111" s="77"/>
      <c r="L1111" s="78"/>
      <c r="M1111" s="77"/>
      <c r="N1111" s="78"/>
      <c r="O1111" s="77"/>
      <c r="P1111" s="78"/>
      <c r="Q1111" s="77"/>
      <c r="R1111" s="76"/>
      <c r="S1111" s="25"/>
      <c r="V1111" s="1" t="s">
        <v>64</v>
      </c>
      <c r="W1111" s="1" t="b">
        <v>1</v>
      </c>
      <c r="X1111" s="23" t="str">
        <f>IFERROR(__xludf.DUMMYFUNCTION("if(COUNTA(FILTER(C:C, C:C = C1111))=1,""no"",""yes"")"),"no")</f>
        <v>no</v>
      </c>
    </row>
    <row r="1112">
      <c r="A1112" s="83" t="s">
        <v>932</v>
      </c>
      <c r="B1112" s="2">
        <v>5.0</v>
      </c>
      <c r="C1112" s="19" t="s">
        <v>1820</v>
      </c>
      <c r="E1112" s="24">
        <v>43810.0</v>
      </c>
      <c r="F1112" s="25" t="str">
        <f>IFERROR(__xludf.DUMMYFUNCTION("iferror(ifna(IFNA(filter('2.1.clean'!E:E,'2.1.clean'!A:A=C1112),filter('2.2.clean'!G:G,'2.2.clean'!D:D=C1112)),filter('2.4.clean'!E:E,'2.4.clean'!A:A=C1112)),)"),"")</f>
        <v/>
      </c>
      <c r="G1112" s="24" t="str">
        <f>IFERROR(__xludf.DUMMYFUNCTION("iferror(filter('3.1.clean'!C:C,'3.1.clean'!A:A=C1112),"""")"),"")</f>
        <v/>
      </c>
      <c r="J1112" s="25"/>
      <c r="K1112" s="24" t="str">
        <f>IFERROR(__xludf.DUMMYFUNCTION("iferror(filter('3.2.clean'!C:C,'3.2.clean'!A:A=C1112),"""")"),"")</f>
        <v/>
      </c>
      <c r="L1112" s="25"/>
      <c r="M1112" s="24">
        <f>IFERROR(__xludf.DUMMYFUNCTION("iferror(filter('3.3.clean'!C:C,'3.3.clean'!A:A=C1112),"""")"),43811.0)</f>
        <v>43811</v>
      </c>
      <c r="N1112" s="25" t="b">
        <f t="shared" ref="N1112:N1133" si="899">if(M1112="",FALSE,TRUE)</f>
        <v>1</v>
      </c>
      <c r="O1112" s="24" t="str">
        <f>IFERROR(__xludf.DUMMYFUNCTION("iferror(filter('3.4.clean'!C:C,'3.4.clean'!A:A=C1112),"""")"),"")</f>
        <v/>
      </c>
      <c r="P1112" s="25" t="b">
        <f t="shared" ref="P1112:P1133" si="900">if(O1112="",FALSE,TRUE)</f>
        <v>0</v>
      </c>
      <c r="Q1112" s="24" t="str">
        <f>IFERROR(__xludf.DUMMYFUNCTION("iferror(filter('3.5.clean'!C:C,'3.5.clean'!A:A=C1112),"""")"),"")</f>
        <v/>
      </c>
      <c r="S1112" s="25"/>
      <c r="V1112" s="52" t="s">
        <v>64</v>
      </c>
      <c r="X1112" s="23" t="str">
        <f>IFERROR(__xludf.DUMMYFUNCTION("if(COUNTA(FILTER(C:C, C:C = C1112))=1,""no"",""yes"")"),"no")</f>
        <v>no</v>
      </c>
    </row>
    <row r="1113">
      <c r="A1113" s="75" t="s">
        <v>936</v>
      </c>
      <c r="B1113" s="2">
        <v>1.0</v>
      </c>
      <c r="C1113" s="19" t="s">
        <v>1821</v>
      </c>
      <c r="E1113" s="24">
        <f>IFERROR(__xludf.DUMMYFUNCTION("ifna(IFNA(filter('2.1.clean'!C:C,'2.1.clean'!A:A=C1113),filter('2.2.clean'!E:E,'2.2.clean'!D:D=C1113)),filter('2.4.clean'!C:C,'2.4.clean'!A:A=C1113))"),43811.0)</f>
        <v>43811</v>
      </c>
      <c r="F1113" s="25">
        <f>IFERROR(__xludf.DUMMYFUNCTION("iferror(ifna(IFNA(filter('2.1.clean'!E:E,'2.1.clean'!A:A=C1113),filter('2.2.clean'!G:G,'2.2.clean'!D:D=C1113)),filter('2.4.clean'!E:E,'2.4.clean'!A:A=C1113)),)"),2.4)</f>
        <v>2.4</v>
      </c>
      <c r="G1113" s="24">
        <f>IFERROR(__xludf.DUMMYFUNCTION("iferror(filter('3.1.clean'!C:C,'3.1.clean'!A:A=C1113),"""")"),43811.0)</f>
        <v>43811</v>
      </c>
      <c r="H1113" s="23" t="b">
        <f t="shared" ref="H1113:H1114" si="901">if(G1113="",FALSE,TRUE)</f>
        <v>1</v>
      </c>
      <c r="J1113" s="25"/>
      <c r="K1113" s="24">
        <f>IFERROR(__xludf.DUMMYFUNCTION("iferror(filter('3.2.clean'!C:C,'3.2.clean'!A:A=C1113),"""")"),43812.0)</f>
        <v>43812</v>
      </c>
      <c r="L1113" s="25" t="b">
        <f>if(K1113="",FALSE,TRUE)</f>
        <v>1</v>
      </c>
      <c r="M1113" s="24">
        <f>IFERROR(__xludf.DUMMYFUNCTION("iferror(filter('3.3.clean'!C:C,'3.3.clean'!A:A=C1113),"""")"),43815.0)</f>
        <v>43815</v>
      </c>
      <c r="N1113" s="25" t="b">
        <f t="shared" si="899"/>
        <v>1</v>
      </c>
      <c r="O1113" s="24">
        <f>IFERROR(__xludf.DUMMYFUNCTION("iferror(filter('3.4.clean'!C:C,'3.4.clean'!A:A=C1113),"""")"),43818.0)</f>
        <v>43818</v>
      </c>
      <c r="P1113" s="25" t="b">
        <f t="shared" si="900"/>
        <v>1</v>
      </c>
      <c r="Q1113" s="24">
        <f>IFERROR(__xludf.DUMMYFUNCTION("iferror(filter('3.5.clean'!C:C,'3.5.clean'!A:A=C1113),"""")"),43811.0)</f>
        <v>43811</v>
      </c>
      <c r="R1113" s="23" t="b">
        <f>if(Q1113="",FALSE,TRUE)</f>
        <v>1</v>
      </c>
      <c r="S1113" s="25"/>
      <c r="V1113" s="1" t="s">
        <v>64</v>
      </c>
      <c r="X1113" s="23" t="str">
        <f>IFERROR(__xludf.DUMMYFUNCTION("if(COUNTA(FILTER(C:C, C:C = C1113))=1,""no"",""yes"")"),"no")</f>
        <v>no</v>
      </c>
    </row>
    <row r="1114">
      <c r="A1114" s="75" t="s">
        <v>936</v>
      </c>
      <c r="B1114" s="19">
        <v>2.0</v>
      </c>
      <c r="C1114" s="19" t="s">
        <v>1822</v>
      </c>
      <c r="D1114" s="58" t="str">
        <f t="shared" ref="D1114:D1115" si="902">if(or(I1114=1,J1114=1,S1114=1),"pos","")</f>
        <v/>
      </c>
      <c r="E1114" s="59">
        <f>IFERROR(__xludf.DUMMYFUNCTION("ifna(IFNA(filter('2.1.clean'!C:C,'2.1.clean'!A:A=C1114),filter('2.2.clean'!E:E,'2.2.clean'!D:D=C1114)),filter('2.4.clean'!C:C,'2.4.clean'!A:A=C1114))"),43811.0)</f>
        <v>43811</v>
      </c>
      <c r="F1114" s="60">
        <f>IFERROR(__xludf.DUMMYFUNCTION("iferror(ifna(IFNA(filter('2.1.clean'!E:E,'2.1.clean'!A:A=C1114),filter('2.2.clean'!G:G,'2.2.clean'!D:D=C1114)),filter('2.4.clean'!E:E,'2.4.clean'!A:A=C1114)),)"),2.4)</f>
        <v>2.4</v>
      </c>
      <c r="G1114" s="59">
        <f>IFERROR(__xludf.DUMMYFUNCTION("iferror(filter('3.1.clean'!C:C,'3.1.clean'!A:A=C1114),"""")"),43811.0)</f>
        <v>43811</v>
      </c>
      <c r="H1114" s="58" t="b">
        <f t="shared" si="901"/>
        <v>1</v>
      </c>
      <c r="I1114" s="58">
        <f>IFERROR(__xludf.DUMMYFUNCTION("iferror(filter('3.1.clean'!G:G,'3.1.clean'!A:A=C1114),"""")"),0.0)</f>
        <v>0</v>
      </c>
      <c r="J1114" s="60" t="str">
        <f>IFERROR(__xludf.DUMMYFUNCTION("iferror(filter('3.1.clean'!I:I,'3.1.clean'!A:A=C1114),"""")"),"")</f>
        <v/>
      </c>
      <c r="K1114" s="58"/>
      <c r="L1114" s="60"/>
      <c r="M1114" s="59" t="str">
        <f>IFERROR(__xludf.DUMMYFUNCTION("iferror(filter('3.3.clean'!C:C,'3.3.clean'!A:A=C1114),"""")"),"")</f>
        <v/>
      </c>
      <c r="N1114" s="60" t="b">
        <f t="shared" si="899"/>
        <v>0</v>
      </c>
      <c r="O1114" s="59" t="str">
        <f>IFERROR(__xludf.DUMMYFUNCTION("iferror(filter('3.4.clean'!C:C,'3.4.clean'!A:A=C1114),"""")"),"")</f>
        <v/>
      </c>
      <c r="P1114" s="60" t="b">
        <f t="shared" si="900"/>
        <v>0</v>
      </c>
      <c r="Q1114" s="59" t="str">
        <f>IFERROR(__xludf.DUMMYFUNCTION("iferror(filter('3.5.clean'!C:C,'3.5.clean'!A:A=C1114),"""")"),"")</f>
        <v/>
      </c>
      <c r="R1114" s="58"/>
      <c r="S1114" s="4" t="str">
        <f>IFERROR(__xludf.DUMMYFUNCTION("iferror(filter('3.5.clean'!H:H,'3.5.clean'!A:A=C1114),"""")"),"")</f>
        <v/>
      </c>
      <c r="W1114" s="23" t="b">
        <f>if(AND(H1114=TRUE,N1114=TRUE,P1114=TRUE),TRUE,FALSE)</f>
        <v>0</v>
      </c>
      <c r="X1114" s="23" t="str">
        <f>IFERROR(__xludf.DUMMYFUNCTION("if(COUNTA(FILTER(C:C, C:C = C1114))=1,""no"",""yes"")"),"no")</f>
        <v>no</v>
      </c>
    </row>
    <row r="1115">
      <c r="A1115" s="75" t="s">
        <v>936</v>
      </c>
      <c r="B1115" s="19">
        <v>3.0</v>
      </c>
      <c r="C1115" s="19" t="s">
        <v>1823</v>
      </c>
      <c r="D1115" s="58" t="str">
        <f t="shared" si="902"/>
        <v/>
      </c>
      <c r="E1115" s="59">
        <f>Q1115</f>
        <v>43811</v>
      </c>
      <c r="F1115" s="60" t="str">
        <f>IFERROR(__xludf.DUMMYFUNCTION("iferror(ifna(IFNA(filter('2.1.clean'!E:E,'2.1.clean'!A:A=C1115),filter('2.2.clean'!G:G,'2.2.clean'!D:D=C1115)),filter('2.4.clean'!E:E,'2.4.clean'!A:A=C1115)),)"),"")</f>
        <v/>
      </c>
      <c r="G1115" s="59" t="str">
        <f>IFERROR(__xludf.DUMMYFUNCTION("iferror(filter('3.1.clean'!C:C,'3.1.clean'!A:A=C1115),"""")"),"")</f>
        <v/>
      </c>
      <c r="H1115" s="58"/>
      <c r="I1115" s="58" t="str">
        <f>IFERROR(__xludf.DUMMYFUNCTION("iferror(filter('3.1.clean'!G:G,'3.1.clean'!A:A=C1115),"""")"),"")</f>
        <v/>
      </c>
      <c r="J1115" s="60" t="str">
        <f>IFERROR(__xludf.DUMMYFUNCTION("iferror(filter('3.1.clean'!I:I,'3.1.clean'!A:A=C1115),"""")"),"")</f>
        <v/>
      </c>
      <c r="K1115" s="59"/>
      <c r="L1115" s="60"/>
      <c r="M1115" s="59" t="str">
        <f>IFERROR(__xludf.DUMMYFUNCTION("iferror(filter('3.3.clean'!C:C,'3.3.clean'!A:A=C1115),"""")"),"")</f>
        <v/>
      </c>
      <c r="N1115" s="60" t="b">
        <f t="shared" si="899"/>
        <v>0</v>
      </c>
      <c r="O1115" s="59" t="str">
        <f>IFERROR(__xludf.DUMMYFUNCTION("iferror(filter('3.4.clean'!C:C,'3.4.clean'!A:A=C1115),"""")"),"")</f>
        <v/>
      </c>
      <c r="P1115" s="60" t="b">
        <f t="shared" si="900"/>
        <v>0</v>
      </c>
      <c r="Q1115" s="59">
        <f>IFERROR(__xludf.DUMMYFUNCTION("iferror(filter('3.5.clean'!C:C,'3.5.clean'!A:A=C1115),"""")"),43811.0)</f>
        <v>43811</v>
      </c>
      <c r="R1115" s="58" t="b">
        <f t="shared" ref="R1115:R1116" si="903">if(Q1115="",FALSE,TRUE)</f>
        <v>1</v>
      </c>
      <c r="S1115" s="4" t="str">
        <f>IFERROR(__xludf.DUMMYFUNCTION("iferror(filter('3.5.clean'!H:H,'3.5.clean'!A:A=C1115),"""")"),"")</f>
        <v/>
      </c>
      <c r="V1115" s="52" t="s">
        <v>64</v>
      </c>
      <c r="W1115" s="23" t="b">
        <f>if(AND(R1115=TRUE,N1115=TRUE,P1115=TRUE),TRUE,FALSE)</f>
        <v>0</v>
      </c>
      <c r="X1115" s="23" t="str">
        <f>IFERROR(__xludf.DUMMYFUNCTION("if(COUNTA(FILTER(C:C, C:C = C1115))=1,""no"",""yes"")"),"no")</f>
        <v>no</v>
      </c>
    </row>
    <row r="1116">
      <c r="A1116" s="75" t="s">
        <v>936</v>
      </c>
      <c r="B1116" s="2">
        <v>4.0</v>
      </c>
      <c r="C1116" s="19" t="s">
        <v>1824</v>
      </c>
      <c r="E1116" s="24">
        <f>IFERROR(__xludf.DUMMYFUNCTION("ifna(IFNA(filter('2.1.clean'!C:C,'2.1.clean'!A:A=C1116),filter('2.2.clean'!E:E,'2.2.clean'!D:D=C1116)),filter('2.4.clean'!C:C,'2.4.clean'!A:A=C1116))"),43811.0)</f>
        <v>43811</v>
      </c>
      <c r="F1116" s="25">
        <f>IFERROR(__xludf.DUMMYFUNCTION("iferror(ifna(IFNA(filter('2.1.clean'!E:E,'2.1.clean'!A:A=C1116),filter('2.2.clean'!G:G,'2.2.clean'!D:D=C1116)),filter('2.4.clean'!E:E,'2.4.clean'!A:A=C1116)),)"),2.4)</f>
        <v>2.4</v>
      </c>
      <c r="G1116" s="24">
        <f>IFERROR(__xludf.DUMMYFUNCTION("iferror(filter('3.1.clean'!C:C,'3.1.clean'!A:A=C1116),"""")"),43811.0)</f>
        <v>43811</v>
      </c>
      <c r="H1116" s="23" t="b">
        <f t="shared" ref="H1116:H1117" si="904">if(G1116="",FALSE,TRUE)</f>
        <v>1</v>
      </c>
      <c r="J1116" s="25"/>
      <c r="K1116" s="24">
        <f>IFERROR(__xludf.DUMMYFUNCTION("iferror(filter('3.2.clean'!C:C,'3.2.clean'!A:A=C1116),"""")"),43812.0)</f>
        <v>43812</v>
      </c>
      <c r="L1116" s="25" t="b">
        <f>if(K1116="",FALSE,TRUE)</f>
        <v>1</v>
      </c>
      <c r="M1116" s="24">
        <f>IFERROR(__xludf.DUMMYFUNCTION("iferror(filter('3.3.clean'!C:C,'3.3.clean'!A:A=C1116),"""")"),43815.0)</f>
        <v>43815</v>
      </c>
      <c r="N1116" s="25" t="b">
        <f t="shared" si="899"/>
        <v>1</v>
      </c>
      <c r="O1116" s="24">
        <f>IFERROR(__xludf.DUMMYFUNCTION("iferror(filter('3.4.clean'!C:C,'3.4.clean'!A:A=C1116),"""")"),43818.0)</f>
        <v>43818</v>
      </c>
      <c r="P1116" s="25" t="b">
        <f t="shared" si="900"/>
        <v>1</v>
      </c>
      <c r="Q1116" s="24">
        <f>IFERROR(__xludf.DUMMYFUNCTION("iferror(filter('3.5.clean'!C:C,'3.5.clean'!A:A=C1116),"""")"),43811.0)</f>
        <v>43811</v>
      </c>
      <c r="R1116" s="23" t="b">
        <f t="shared" si="903"/>
        <v>1</v>
      </c>
      <c r="S1116" s="25"/>
      <c r="V1116" s="1" t="s">
        <v>64</v>
      </c>
      <c r="X1116" s="23" t="str">
        <f>IFERROR(__xludf.DUMMYFUNCTION("if(COUNTA(FILTER(C:C, C:C = C1116))=1,""no"",""yes"")"),"no")</f>
        <v>no</v>
      </c>
    </row>
    <row r="1117">
      <c r="A1117" s="75" t="s">
        <v>936</v>
      </c>
      <c r="B1117" s="19">
        <v>5.0</v>
      </c>
      <c r="C1117" s="19" t="s">
        <v>1825</v>
      </c>
      <c r="D1117" s="58" t="str">
        <f t="shared" ref="D1117:D1118" si="905">if(or(I1117=1,J1117=1,S1117=1),"pos","")</f>
        <v/>
      </c>
      <c r="E1117" s="59">
        <f>IFERROR(__xludf.DUMMYFUNCTION("ifna(IFNA(filter('2.1.clean'!C:C,'2.1.clean'!A:A=C1117),filter('2.2.clean'!E:E,'2.2.clean'!D:D=C1117)),filter('2.4.clean'!C:C,'2.4.clean'!A:A=C1117))"),43811.0)</f>
        <v>43811</v>
      </c>
      <c r="F1117" s="60">
        <f>IFERROR(__xludf.DUMMYFUNCTION("iferror(ifna(IFNA(filter('2.1.clean'!E:E,'2.1.clean'!A:A=C1117),filter('2.2.clean'!G:G,'2.2.clean'!D:D=C1117)),filter('2.4.clean'!E:E,'2.4.clean'!A:A=C1117)),)"),2.4)</f>
        <v>2.4</v>
      </c>
      <c r="G1117" s="59">
        <f>IFERROR(__xludf.DUMMYFUNCTION("iferror(filter('3.1.clean'!C:C,'3.1.clean'!A:A=C1117),"""")"),43811.0)</f>
        <v>43811</v>
      </c>
      <c r="H1117" s="58" t="b">
        <f t="shared" si="904"/>
        <v>1</v>
      </c>
      <c r="I1117" s="58">
        <f>IFERROR(__xludf.DUMMYFUNCTION("iferror(filter('3.1.clean'!G:G,'3.1.clean'!A:A=C1117),"""")"),0.0)</f>
        <v>0</v>
      </c>
      <c r="J1117" s="60" t="str">
        <f>IFERROR(__xludf.DUMMYFUNCTION("iferror(filter('3.1.clean'!I:I,'3.1.clean'!A:A=C1117),"""")"),"")</f>
        <v/>
      </c>
      <c r="K1117" s="58"/>
      <c r="L1117" s="60"/>
      <c r="M1117" s="59" t="str">
        <f>IFERROR(__xludf.DUMMYFUNCTION("iferror(filter('3.3.clean'!C:C,'3.3.clean'!A:A=C1117),"""")"),"")</f>
        <v/>
      </c>
      <c r="N1117" s="60" t="b">
        <f t="shared" si="899"/>
        <v>0</v>
      </c>
      <c r="O1117" s="59" t="str">
        <f>IFERROR(__xludf.DUMMYFUNCTION("iferror(filter('3.4.clean'!C:C,'3.4.clean'!A:A=C1117),"""")"),"")</f>
        <v/>
      </c>
      <c r="P1117" s="60" t="b">
        <f t="shared" si="900"/>
        <v>0</v>
      </c>
      <c r="Q1117" s="59" t="str">
        <f>IFERROR(__xludf.DUMMYFUNCTION("iferror(filter('3.5.clean'!C:C,'3.5.clean'!A:A=C1117),"""")"),"")</f>
        <v/>
      </c>
      <c r="R1117" s="58"/>
      <c r="S1117" s="4" t="str">
        <f>IFERROR(__xludf.DUMMYFUNCTION("iferror(filter('3.5.clean'!H:H,'3.5.clean'!A:A=C1117),"""")"),"")</f>
        <v/>
      </c>
      <c r="W1117" s="23" t="b">
        <f>if(AND(H1117=TRUE,N1117=TRUE,P1117=TRUE),TRUE,FALSE)</f>
        <v>0</v>
      </c>
      <c r="X1117" s="23" t="str">
        <f>IFERROR(__xludf.DUMMYFUNCTION("if(COUNTA(FILTER(C:C, C:C = C1117))=1,""no"",""yes"")"),"no")</f>
        <v>no</v>
      </c>
    </row>
    <row r="1118">
      <c r="A1118" s="75" t="s">
        <v>936</v>
      </c>
      <c r="B1118" s="19">
        <v>6.0</v>
      </c>
      <c r="C1118" s="19" t="s">
        <v>1826</v>
      </c>
      <c r="D1118" s="58" t="str">
        <f t="shared" si="905"/>
        <v/>
      </c>
      <c r="E1118" s="59">
        <f>Q1118</f>
        <v>43811</v>
      </c>
      <c r="F1118" s="60" t="str">
        <f>IFERROR(__xludf.DUMMYFUNCTION("iferror(ifna(IFNA(filter('2.1.clean'!E:E,'2.1.clean'!A:A=C1118),filter('2.2.clean'!G:G,'2.2.clean'!D:D=C1118)),filter('2.4.clean'!E:E,'2.4.clean'!A:A=C1118)),)"),"")</f>
        <v/>
      </c>
      <c r="G1118" s="59" t="str">
        <f>IFERROR(__xludf.DUMMYFUNCTION("iferror(filter('3.1.clean'!C:C,'3.1.clean'!A:A=C1118),"""")"),"")</f>
        <v/>
      </c>
      <c r="H1118" s="58"/>
      <c r="I1118" s="58" t="str">
        <f>IFERROR(__xludf.DUMMYFUNCTION("iferror(filter('3.1.clean'!G:G,'3.1.clean'!A:A=C1118),"""")"),"")</f>
        <v/>
      </c>
      <c r="J1118" s="60" t="str">
        <f>IFERROR(__xludf.DUMMYFUNCTION("iferror(filter('3.1.clean'!I:I,'3.1.clean'!A:A=C1118),"""")"),"")</f>
        <v/>
      </c>
      <c r="K1118" s="59"/>
      <c r="L1118" s="60"/>
      <c r="M1118" s="59" t="str">
        <f>IFERROR(__xludf.DUMMYFUNCTION("iferror(filter('3.3.clean'!C:C,'3.3.clean'!A:A=C1118),"""")"),"")</f>
        <v/>
      </c>
      <c r="N1118" s="60" t="b">
        <f t="shared" si="899"/>
        <v>0</v>
      </c>
      <c r="O1118" s="59" t="str">
        <f>IFERROR(__xludf.DUMMYFUNCTION("iferror(filter('3.4.clean'!C:C,'3.4.clean'!A:A=C1118),"""")"),"")</f>
        <v/>
      </c>
      <c r="P1118" s="60" t="b">
        <f t="shared" si="900"/>
        <v>0</v>
      </c>
      <c r="Q1118" s="59">
        <f>IFERROR(__xludf.DUMMYFUNCTION("iferror(filter('3.5.clean'!C:C,'3.5.clean'!A:A=C1118),"""")"),43811.0)</f>
        <v>43811</v>
      </c>
      <c r="R1118" s="58" t="b">
        <f t="shared" ref="R1118:R1119" si="906">if(Q1118="",FALSE,TRUE)</f>
        <v>1</v>
      </c>
      <c r="S1118" s="4" t="str">
        <f>IFERROR(__xludf.DUMMYFUNCTION("iferror(filter('3.5.clean'!H:H,'3.5.clean'!A:A=C1118),"""")"),"")</f>
        <v/>
      </c>
      <c r="V1118" s="52" t="s">
        <v>64</v>
      </c>
      <c r="W1118" s="23" t="b">
        <f>if(AND(R1118=TRUE,N1118=TRUE,P1118=TRUE),TRUE,FALSE)</f>
        <v>0</v>
      </c>
      <c r="X1118" s="23" t="str">
        <f>IFERROR(__xludf.DUMMYFUNCTION("if(COUNTA(FILTER(C:C, C:C = C1118))=1,""no"",""yes"")"),"no")</f>
        <v>no</v>
      </c>
    </row>
    <row r="1119">
      <c r="A1119" s="75" t="s">
        <v>936</v>
      </c>
      <c r="B1119" s="2">
        <v>7.0</v>
      </c>
      <c r="C1119" s="19" t="s">
        <v>1827</v>
      </c>
      <c r="E1119" s="24">
        <f>IFERROR(__xludf.DUMMYFUNCTION("ifna(IFNA(filter('2.1.clean'!C:C,'2.1.clean'!A:A=C1119),filter('2.2.clean'!E:E,'2.2.clean'!D:D=C1119)),filter('2.4.clean'!C:C,'2.4.clean'!A:A=C1119))"),43811.0)</f>
        <v>43811</v>
      </c>
      <c r="F1119" s="25">
        <f>IFERROR(__xludf.DUMMYFUNCTION("iferror(ifna(IFNA(filter('2.1.clean'!E:E,'2.1.clean'!A:A=C1119),filter('2.2.clean'!G:G,'2.2.clean'!D:D=C1119)),filter('2.4.clean'!E:E,'2.4.clean'!A:A=C1119)),)"),2.4)</f>
        <v>2.4</v>
      </c>
      <c r="G1119" s="24">
        <f>IFERROR(__xludf.DUMMYFUNCTION("iferror(filter('3.1.clean'!C:C,'3.1.clean'!A:A=C1119),"""")"),43811.0)</f>
        <v>43811</v>
      </c>
      <c r="H1119" s="23" t="b">
        <f t="shared" ref="H1119:H1120" si="907">if(G1119="",FALSE,TRUE)</f>
        <v>1</v>
      </c>
      <c r="J1119" s="25"/>
      <c r="K1119" s="24">
        <f>IFERROR(__xludf.DUMMYFUNCTION("iferror(filter('3.2.clean'!C:C,'3.2.clean'!A:A=C1119),"""")"),43812.0)</f>
        <v>43812</v>
      </c>
      <c r="L1119" s="25" t="b">
        <f>if(K1119="",FALSE,TRUE)</f>
        <v>1</v>
      </c>
      <c r="M1119" s="24">
        <f>IFERROR(__xludf.DUMMYFUNCTION("iferror(filter('3.3.clean'!C:C,'3.3.clean'!A:A=C1119),"""")"),43815.0)</f>
        <v>43815</v>
      </c>
      <c r="N1119" s="25" t="b">
        <f t="shared" si="899"/>
        <v>1</v>
      </c>
      <c r="O1119" s="24">
        <f>IFERROR(__xludf.DUMMYFUNCTION("iferror(filter('3.4.clean'!C:C,'3.4.clean'!A:A=C1119),"""")"),43818.0)</f>
        <v>43818</v>
      </c>
      <c r="P1119" s="25" t="b">
        <f t="shared" si="900"/>
        <v>1</v>
      </c>
      <c r="Q1119" s="24">
        <f>IFERROR(__xludf.DUMMYFUNCTION("iferror(filter('3.5.clean'!C:C,'3.5.clean'!A:A=C1119),"""")"),43811.0)</f>
        <v>43811</v>
      </c>
      <c r="R1119" s="23" t="b">
        <f t="shared" si="906"/>
        <v>1</v>
      </c>
      <c r="S1119" s="25"/>
      <c r="V1119" s="1" t="s">
        <v>64</v>
      </c>
      <c r="X1119" s="23" t="str">
        <f>IFERROR(__xludf.DUMMYFUNCTION("if(COUNTA(FILTER(C:C, C:C = C1119))=1,""no"",""yes"")"),"no")</f>
        <v>no</v>
      </c>
    </row>
    <row r="1120">
      <c r="A1120" s="75" t="s">
        <v>936</v>
      </c>
      <c r="B1120" s="19">
        <v>8.0</v>
      </c>
      <c r="C1120" s="19" t="s">
        <v>1828</v>
      </c>
      <c r="D1120" s="58" t="str">
        <f t="shared" ref="D1120:D1121" si="908">if(or(I1120=1,J1120=1,S1120=1),"pos","")</f>
        <v/>
      </c>
      <c r="E1120" s="59">
        <f>IFERROR(__xludf.DUMMYFUNCTION("ifna(IFNA(filter('2.1.clean'!C:C,'2.1.clean'!A:A=C1120),filter('2.2.clean'!E:E,'2.2.clean'!D:D=C1120)),filter('2.4.clean'!C:C,'2.4.clean'!A:A=C1120))"),43811.0)</f>
        <v>43811</v>
      </c>
      <c r="F1120" s="60">
        <f>IFERROR(__xludf.DUMMYFUNCTION("iferror(ifna(IFNA(filter('2.1.clean'!E:E,'2.1.clean'!A:A=C1120),filter('2.2.clean'!G:G,'2.2.clean'!D:D=C1120)),filter('2.4.clean'!E:E,'2.4.clean'!A:A=C1120)),)"),2.4)</f>
        <v>2.4</v>
      </c>
      <c r="G1120" s="59">
        <f>IFERROR(__xludf.DUMMYFUNCTION("iferror(filter('3.1.clean'!C:C,'3.1.clean'!A:A=C1120),"""")"),43811.0)</f>
        <v>43811</v>
      </c>
      <c r="H1120" s="58" t="b">
        <f t="shared" si="907"/>
        <v>1</v>
      </c>
      <c r="I1120" s="58">
        <f>IFERROR(__xludf.DUMMYFUNCTION("iferror(filter('3.1.clean'!G:G,'3.1.clean'!A:A=C1120),"""")"),0.0)</f>
        <v>0</v>
      </c>
      <c r="J1120" s="60" t="str">
        <f>IFERROR(__xludf.DUMMYFUNCTION("iferror(filter('3.1.clean'!I:I,'3.1.clean'!A:A=C1120),"""")"),"")</f>
        <v/>
      </c>
      <c r="K1120" s="58"/>
      <c r="L1120" s="60"/>
      <c r="M1120" s="59" t="str">
        <f>IFERROR(__xludf.DUMMYFUNCTION("iferror(filter('3.3.clean'!C:C,'3.3.clean'!A:A=C1120),"""")"),"")</f>
        <v/>
      </c>
      <c r="N1120" s="60" t="b">
        <f t="shared" si="899"/>
        <v>0</v>
      </c>
      <c r="O1120" s="59" t="str">
        <f>IFERROR(__xludf.DUMMYFUNCTION("iferror(filter('3.4.clean'!C:C,'3.4.clean'!A:A=C1120),"""")"),"")</f>
        <v/>
      </c>
      <c r="P1120" s="60" t="b">
        <f t="shared" si="900"/>
        <v>0</v>
      </c>
      <c r="Q1120" s="59" t="str">
        <f>IFERROR(__xludf.DUMMYFUNCTION("iferror(filter('3.5.clean'!C:C,'3.5.clean'!A:A=C1120),"""")"),"")</f>
        <v/>
      </c>
      <c r="R1120" s="58"/>
      <c r="S1120" s="4" t="str">
        <f>IFERROR(__xludf.DUMMYFUNCTION("iferror(filter('3.5.clean'!H:H,'3.5.clean'!A:A=C1120),"""")"),"")</f>
        <v/>
      </c>
      <c r="W1120" s="23" t="b">
        <f>if(AND(H1120=TRUE,N1120=TRUE,P1120=TRUE),TRUE,FALSE)</f>
        <v>0</v>
      </c>
      <c r="X1120" s="23" t="str">
        <f>IFERROR(__xludf.DUMMYFUNCTION("if(COUNTA(FILTER(C:C, C:C = C1120))=1,""no"",""yes"")"),"no")</f>
        <v>no</v>
      </c>
    </row>
    <row r="1121">
      <c r="A1121" s="75" t="s">
        <v>936</v>
      </c>
      <c r="B1121" s="19">
        <v>9.0</v>
      </c>
      <c r="C1121" s="19" t="s">
        <v>1829</v>
      </c>
      <c r="D1121" s="58" t="str">
        <f t="shared" si="908"/>
        <v/>
      </c>
      <c r="E1121" s="59">
        <f>Q1121</f>
        <v>43811</v>
      </c>
      <c r="F1121" s="60" t="str">
        <f>IFERROR(__xludf.DUMMYFUNCTION("iferror(ifna(IFNA(filter('2.1.clean'!E:E,'2.1.clean'!A:A=C1121),filter('2.2.clean'!G:G,'2.2.clean'!D:D=C1121)),filter('2.4.clean'!E:E,'2.4.clean'!A:A=C1121)),)"),"")</f>
        <v/>
      </c>
      <c r="G1121" s="59" t="str">
        <f>IFERROR(__xludf.DUMMYFUNCTION("iferror(filter('3.1.clean'!C:C,'3.1.clean'!A:A=C1121),"""")"),"")</f>
        <v/>
      </c>
      <c r="H1121" s="58"/>
      <c r="I1121" s="58" t="str">
        <f>IFERROR(__xludf.DUMMYFUNCTION("iferror(filter('3.1.clean'!G:G,'3.1.clean'!A:A=C1121),"""")"),"")</f>
        <v/>
      </c>
      <c r="J1121" s="60" t="str">
        <f>IFERROR(__xludf.DUMMYFUNCTION("iferror(filter('3.1.clean'!I:I,'3.1.clean'!A:A=C1121),"""")"),"")</f>
        <v/>
      </c>
      <c r="K1121" s="59"/>
      <c r="L1121" s="60"/>
      <c r="M1121" s="59" t="str">
        <f>IFERROR(__xludf.DUMMYFUNCTION("iferror(filter('3.3.clean'!C:C,'3.3.clean'!A:A=C1121),"""")"),"")</f>
        <v/>
      </c>
      <c r="N1121" s="60" t="b">
        <f t="shared" si="899"/>
        <v>0</v>
      </c>
      <c r="O1121" s="59" t="str">
        <f>IFERROR(__xludf.DUMMYFUNCTION("iferror(filter('3.4.clean'!C:C,'3.4.clean'!A:A=C1121),"""")"),"")</f>
        <v/>
      </c>
      <c r="P1121" s="60" t="b">
        <f t="shared" si="900"/>
        <v>0</v>
      </c>
      <c r="Q1121" s="59">
        <f>IFERROR(__xludf.DUMMYFUNCTION("iferror(filter('3.5.clean'!C:C,'3.5.clean'!A:A=C1121),"""")"),43811.0)</f>
        <v>43811</v>
      </c>
      <c r="R1121" s="58" t="b">
        <f t="shared" ref="R1121:R1122" si="909">if(Q1121="",FALSE,TRUE)</f>
        <v>1</v>
      </c>
      <c r="S1121" s="4">
        <f>IFERROR(__xludf.DUMMYFUNCTION("iferror(filter('3.5.clean'!H:H,'3.5.clean'!A:A=C1121),"""")"),0.0)</f>
        <v>0</v>
      </c>
      <c r="V1121" s="52" t="s">
        <v>64</v>
      </c>
      <c r="W1121" s="23" t="b">
        <f>if(AND(R1121=TRUE,N1121=TRUE,P1121=TRUE),TRUE,FALSE)</f>
        <v>0</v>
      </c>
      <c r="X1121" s="23" t="str">
        <f>IFERROR(__xludf.DUMMYFUNCTION("if(COUNTA(FILTER(C:C, C:C = C1121))=1,""no"",""yes"")"),"no")</f>
        <v>no</v>
      </c>
    </row>
    <row r="1122">
      <c r="A1122" s="75" t="s">
        <v>936</v>
      </c>
      <c r="B1122" s="2">
        <v>10.0</v>
      </c>
      <c r="C1122" s="19" t="s">
        <v>1830</v>
      </c>
      <c r="E1122" s="24">
        <f>IFERROR(__xludf.DUMMYFUNCTION("ifna(IFNA(filter('2.1.clean'!C:C,'2.1.clean'!A:A=C1122),filter('2.2.clean'!E:E,'2.2.clean'!D:D=C1122)),filter('2.4.clean'!C:C,'2.4.clean'!A:A=C1122))"),43811.0)</f>
        <v>43811</v>
      </c>
      <c r="F1122" s="25">
        <f>IFERROR(__xludf.DUMMYFUNCTION("iferror(ifna(IFNA(filter('2.1.clean'!E:E,'2.1.clean'!A:A=C1122),filter('2.2.clean'!G:G,'2.2.clean'!D:D=C1122)),filter('2.4.clean'!E:E,'2.4.clean'!A:A=C1122)),)"),2.4)</f>
        <v>2.4</v>
      </c>
      <c r="G1122" s="24">
        <f>IFERROR(__xludf.DUMMYFUNCTION("iferror(filter('3.1.clean'!C:C,'3.1.clean'!A:A=C1122),"""")"),43811.0)</f>
        <v>43811</v>
      </c>
      <c r="H1122" s="23" t="b">
        <f t="shared" ref="H1122:H1123" si="910">if(G1122="",FALSE,TRUE)</f>
        <v>1</v>
      </c>
      <c r="J1122" s="25"/>
      <c r="K1122" s="24">
        <f>IFERROR(__xludf.DUMMYFUNCTION("iferror(filter('3.2.clean'!C:C,'3.2.clean'!A:A=C1122),"""")"),43812.0)</f>
        <v>43812</v>
      </c>
      <c r="L1122" s="25" t="b">
        <f>if(K1122="",FALSE,TRUE)</f>
        <v>1</v>
      </c>
      <c r="M1122" s="24">
        <f>IFERROR(__xludf.DUMMYFUNCTION("iferror(filter('3.3.clean'!C:C,'3.3.clean'!A:A=C1122),"""")"),43815.0)</f>
        <v>43815</v>
      </c>
      <c r="N1122" s="25" t="b">
        <f t="shared" si="899"/>
        <v>1</v>
      </c>
      <c r="O1122" s="24">
        <f>IFERROR(__xludf.DUMMYFUNCTION("iferror(filter('3.4.clean'!C:C,'3.4.clean'!A:A=C1122),"""")"),43818.0)</f>
        <v>43818</v>
      </c>
      <c r="P1122" s="25" t="b">
        <f t="shared" si="900"/>
        <v>1</v>
      </c>
      <c r="Q1122" s="24">
        <f>IFERROR(__xludf.DUMMYFUNCTION("iferror(filter('3.5.clean'!C:C,'3.5.clean'!A:A=C1122),"""")"),43811.0)</f>
        <v>43811</v>
      </c>
      <c r="R1122" s="23" t="b">
        <f t="shared" si="909"/>
        <v>1</v>
      </c>
      <c r="S1122" s="25"/>
      <c r="V1122" s="1" t="s">
        <v>64</v>
      </c>
      <c r="X1122" s="23" t="str">
        <f>IFERROR(__xludf.DUMMYFUNCTION("if(COUNTA(FILTER(C:C, C:C = C1122))=1,""no"",""yes"")"),"no")</f>
        <v>no</v>
      </c>
    </row>
    <row r="1123">
      <c r="A1123" s="75" t="s">
        <v>936</v>
      </c>
      <c r="B1123" s="19">
        <v>11.0</v>
      </c>
      <c r="C1123" s="19" t="s">
        <v>1831</v>
      </c>
      <c r="D1123" s="58" t="str">
        <f t="shared" ref="D1123:D1124" si="911">if(or(I1123=1,J1123=1,S1123=1),"pos","")</f>
        <v/>
      </c>
      <c r="E1123" s="59">
        <f>IFERROR(__xludf.DUMMYFUNCTION("ifna(IFNA(filter('2.1.clean'!C:C,'2.1.clean'!A:A=C1123),filter('2.2.clean'!E:E,'2.2.clean'!D:D=C1123)),filter('2.4.clean'!C:C,'2.4.clean'!A:A=C1123))"),43811.0)</f>
        <v>43811</v>
      </c>
      <c r="F1123" s="60">
        <f>IFERROR(__xludf.DUMMYFUNCTION("iferror(ifna(IFNA(filter('2.1.clean'!E:E,'2.1.clean'!A:A=C1123),filter('2.2.clean'!G:G,'2.2.clean'!D:D=C1123)),filter('2.4.clean'!E:E,'2.4.clean'!A:A=C1123)),)"),2.4)</f>
        <v>2.4</v>
      </c>
      <c r="G1123" s="59">
        <f>IFERROR(__xludf.DUMMYFUNCTION("iferror(filter('3.1.clean'!C:C,'3.1.clean'!A:A=C1123),"""")"),43811.0)</f>
        <v>43811</v>
      </c>
      <c r="H1123" s="58" t="b">
        <f t="shared" si="910"/>
        <v>1</v>
      </c>
      <c r="I1123" s="58">
        <f>IFERROR(__xludf.DUMMYFUNCTION("iferror(filter('3.1.clean'!G:G,'3.1.clean'!A:A=C1123),"""")"),0.0)</f>
        <v>0</v>
      </c>
      <c r="J1123" s="60" t="str">
        <f>IFERROR(__xludf.DUMMYFUNCTION("iferror(filter('3.1.clean'!I:I,'3.1.clean'!A:A=C1123),"""")"),"")</f>
        <v/>
      </c>
      <c r="K1123" s="58"/>
      <c r="L1123" s="60"/>
      <c r="M1123" s="59" t="str">
        <f>IFERROR(__xludf.DUMMYFUNCTION("iferror(filter('3.3.clean'!C:C,'3.3.clean'!A:A=C1123),"""")"),"")</f>
        <v/>
      </c>
      <c r="N1123" s="60" t="b">
        <f t="shared" si="899"/>
        <v>0</v>
      </c>
      <c r="O1123" s="59" t="str">
        <f>IFERROR(__xludf.DUMMYFUNCTION("iferror(filter('3.4.clean'!C:C,'3.4.clean'!A:A=C1123),"""")"),"")</f>
        <v/>
      </c>
      <c r="P1123" s="60" t="b">
        <f t="shared" si="900"/>
        <v>0</v>
      </c>
      <c r="Q1123" s="59" t="str">
        <f>IFERROR(__xludf.DUMMYFUNCTION("iferror(filter('3.5.clean'!C:C,'3.5.clean'!A:A=C1123),"""")"),"")</f>
        <v/>
      </c>
      <c r="R1123" s="58"/>
      <c r="S1123" s="4" t="str">
        <f>IFERROR(__xludf.DUMMYFUNCTION("iferror(filter('3.5.clean'!H:H,'3.5.clean'!A:A=C1123),"""")"),"")</f>
        <v/>
      </c>
      <c r="W1123" s="23" t="b">
        <f>if(AND(H1123=TRUE,N1123=TRUE,P1123=TRUE),TRUE,FALSE)</f>
        <v>0</v>
      </c>
      <c r="X1123" s="23" t="str">
        <f>IFERROR(__xludf.DUMMYFUNCTION("if(COUNTA(FILTER(C:C, C:C = C1123))=1,""no"",""yes"")"),"no")</f>
        <v>no</v>
      </c>
    </row>
    <row r="1124">
      <c r="A1124" s="75" t="s">
        <v>936</v>
      </c>
      <c r="B1124" s="19">
        <v>12.0</v>
      </c>
      <c r="C1124" s="19" t="s">
        <v>1833</v>
      </c>
      <c r="D1124" s="58" t="str">
        <f t="shared" si="911"/>
        <v/>
      </c>
      <c r="E1124" s="59">
        <f>Q1124</f>
        <v>43811</v>
      </c>
      <c r="F1124" s="60" t="str">
        <f>IFERROR(__xludf.DUMMYFUNCTION("iferror(ifna(IFNA(filter('2.1.clean'!E:E,'2.1.clean'!A:A=C1124),filter('2.2.clean'!G:G,'2.2.clean'!D:D=C1124)),filter('2.4.clean'!E:E,'2.4.clean'!A:A=C1124)),)"),"")</f>
        <v/>
      </c>
      <c r="G1124" s="59" t="str">
        <f>IFERROR(__xludf.DUMMYFUNCTION("iferror(filter('3.1.clean'!C:C,'3.1.clean'!A:A=C1124),"""")"),"")</f>
        <v/>
      </c>
      <c r="H1124" s="58"/>
      <c r="I1124" s="58" t="str">
        <f>IFERROR(__xludf.DUMMYFUNCTION("iferror(filter('3.1.clean'!G:G,'3.1.clean'!A:A=C1124),"""")"),"")</f>
        <v/>
      </c>
      <c r="J1124" s="60" t="str">
        <f>IFERROR(__xludf.DUMMYFUNCTION("iferror(filter('3.1.clean'!I:I,'3.1.clean'!A:A=C1124),"""")"),"")</f>
        <v/>
      </c>
      <c r="K1124" s="59"/>
      <c r="L1124" s="60"/>
      <c r="M1124" s="59" t="str">
        <f>IFERROR(__xludf.DUMMYFUNCTION("iferror(filter('3.3.clean'!C:C,'3.3.clean'!A:A=C1124),"""")"),"")</f>
        <v/>
      </c>
      <c r="N1124" s="60" t="b">
        <f t="shared" si="899"/>
        <v>0</v>
      </c>
      <c r="O1124" s="59" t="str">
        <f>IFERROR(__xludf.DUMMYFUNCTION("iferror(filter('3.4.clean'!C:C,'3.4.clean'!A:A=C1124),"""")"),"")</f>
        <v/>
      </c>
      <c r="P1124" s="60" t="b">
        <f t="shared" si="900"/>
        <v>0</v>
      </c>
      <c r="Q1124" s="59">
        <f>IFERROR(__xludf.DUMMYFUNCTION("iferror(filter('3.5.clean'!C:C,'3.5.clean'!A:A=C1124),"""")"),43811.0)</f>
        <v>43811</v>
      </c>
      <c r="R1124" s="58" t="b">
        <f t="shared" ref="R1124:R1125" si="912">if(Q1124="",FALSE,TRUE)</f>
        <v>1</v>
      </c>
      <c r="S1124" s="4">
        <f>IFERROR(__xludf.DUMMYFUNCTION("iferror(filter('3.5.clean'!H:H,'3.5.clean'!A:A=C1124),"""")"),0.0)</f>
        <v>0</v>
      </c>
      <c r="V1124" s="52" t="s">
        <v>64</v>
      </c>
      <c r="W1124" s="23" t="b">
        <f>if(AND(R1124=TRUE,N1124=TRUE,P1124=TRUE),TRUE,FALSE)</f>
        <v>0</v>
      </c>
      <c r="X1124" s="23" t="str">
        <f>IFERROR(__xludf.DUMMYFUNCTION("if(COUNTA(FILTER(C:C, C:C = C1124))=1,""no"",""yes"")"),"no")</f>
        <v>no</v>
      </c>
    </row>
    <row r="1125">
      <c r="A1125" s="75" t="s">
        <v>936</v>
      </c>
      <c r="B1125" s="2">
        <v>13.0</v>
      </c>
      <c r="C1125" s="19" t="s">
        <v>1834</v>
      </c>
      <c r="E1125" s="24">
        <f>IFERROR(__xludf.DUMMYFUNCTION("ifna(IFNA(filter('2.1.clean'!C:C,'2.1.clean'!A:A=C1125),filter('2.2.clean'!E:E,'2.2.clean'!D:D=C1125)),filter('2.4.clean'!C:C,'2.4.clean'!A:A=C1125))"),43811.0)</f>
        <v>43811</v>
      </c>
      <c r="F1125" s="25">
        <f>IFERROR(__xludf.DUMMYFUNCTION("iferror(ifna(IFNA(filter('2.1.clean'!E:E,'2.1.clean'!A:A=C1125),filter('2.2.clean'!G:G,'2.2.clean'!D:D=C1125)),filter('2.4.clean'!E:E,'2.4.clean'!A:A=C1125)),)"),2.4)</f>
        <v>2.4</v>
      </c>
      <c r="G1125" s="24">
        <f>IFERROR(__xludf.DUMMYFUNCTION("iferror(filter('3.1.clean'!C:C,'3.1.clean'!A:A=C1125),"""")"),43811.0)</f>
        <v>43811</v>
      </c>
      <c r="H1125" s="23" t="b">
        <f t="shared" ref="H1125:H1126" si="913">if(G1125="",FALSE,TRUE)</f>
        <v>1</v>
      </c>
      <c r="J1125" s="25"/>
      <c r="K1125" s="24">
        <f>IFERROR(__xludf.DUMMYFUNCTION("iferror(filter('3.2.clean'!C:C,'3.2.clean'!A:A=C1125),"""")"),43812.0)</f>
        <v>43812</v>
      </c>
      <c r="L1125" s="25" t="b">
        <f>if(K1125="",FALSE,TRUE)</f>
        <v>1</v>
      </c>
      <c r="M1125" s="24">
        <f>IFERROR(__xludf.DUMMYFUNCTION("iferror(filter('3.3.clean'!C:C,'3.3.clean'!A:A=C1125),"""")"),43815.0)</f>
        <v>43815</v>
      </c>
      <c r="N1125" s="25" t="b">
        <f t="shared" si="899"/>
        <v>1</v>
      </c>
      <c r="O1125" s="24">
        <f>IFERROR(__xludf.DUMMYFUNCTION("iferror(filter('3.4.clean'!C:C,'3.4.clean'!A:A=C1125),"""")"),43818.0)</f>
        <v>43818</v>
      </c>
      <c r="P1125" s="25" t="b">
        <f t="shared" si="900"/>
        <v>1</v>
      </c>
      <c r="Q1125" s="24">
        <f>IFERROR(__xludf.DUMMYFUNCTION("iferror(filter('3.5.clean'!C:C,'3.5.clean'!A:A=C1125),"""")"),43811.0)</f>
        <v>43811</v>
      </c>
      <c r="R1125" s="23" t="b">
        <f t="shared" si="912"/>
        <v>1</v>
      </c>
      <c r="S1125" s="25"/>
      <c r="V1125" s="1" t="s">
        <v>64</v>
      </c>
      <c r="X1125" s="23" t="str">
        <f>IFERROR(__xludf.DUMMYFUNCTION("if(COUNTA(FILTER(C:C, C:C = C1125))=1,""no"",""yes"")"),"no")</f>
        <v>no</v>
      </c>
    </row>
    <row r="1126">
      <c r="A1126" s="75" t="s">
        <v>936</v>
      </c>
      <c r="B1126" s="19">
        <v>14.0</v>
      </c>
      <c r="C1126" s="19" t="s">
        <v>1835</v>
      </c>
      <c r="D1126" s="58" t="str">
        <f t="shared" ref="D1126:D1127" si="914">if(or(I1126=1,J1126=1,S1126=1),"pos","")</f>
        <v/>
      </c>
      <c r="E1126" s="59">
        <f>IFERROR(__xludf.DUMMYFUNCTION("ifna(IFNA(filter('2.1.clean'!C:C,'2.1.clean'!A:A=C1126),filter('2.2.clean'!E:E,'2.2.clean'!D:D=C1126)),filter('2.4.clean'!C:C,'2.4.clean'!A:A=C1126))"),43811.0)</f>
        <v>43811</v>
      </c>
      <c r="F1126" s="60">
        <f>IFERROR(__xludf.DUMMYFUNCTION("iferror(ifna(IFNA(filter('2.1.clean'!E:E,'2.1.clean'!A:A=C1126),filter('2.2.clean'!G:G,'2.2.clean'!D:D=C1126)),filter('2.4.clean'!E:E,'2.4.clean'!A:A=C1126)),)"),2.4)</f>
        <v>2.4</v>
      </c>
      <c r="G1126" s="59">
        <f>IFERROR(__xludf.DUMMYFUNCTION("iferror(filter('3.1.clean'!C:C,'3.1.clean'!A:A=C1126),"""")"),43811.0)</f>
        <v>43811</v>
      </c>
      <c r="H1126" s="58" t="b">
        <f t="shared" si="913"/>
        <v>1</v>
      </c>
      <c r="I1126" s="58">
        <f>IFERROR(__xludf.DUMMYFUNCTION("iferror(filter('3.1.clean'!G:G,'3.1.clean'!A:A=C1126),"""")"),0.0)</f>
        <v>0</v>
      </c>
      <c r="J1126" s="60" t="str">
        <f>IFERROR(__xludf.DUMMYFUNCTION("iferror(filter('3.1.clean'!I:I,'3.1.clean'!A:A=C1126),"""")"),"")</f>
        <v/>
      </c>
      <c r="K1126" s="58"/>
      <c r="L1126" s="60"/>
      <c r="M1126" s="59">
        <f>IFERROR(__xludf.DUMMYFUNCTION("iferror(filter('3.3.clean'!C:C,'3.3.clean'!A:A=C1126),"""")"),43815.0)</f>
        <v>43815</v>
      </c>
      <c r="N1126" s="60" t="b">
        <f t="shared" si="899"/>
        <v>1</v>
      </c>
      <c r="O1126" s="59">
        <f>IFERROR(__xludf.DUMMYFUNCTION("iferror(filter('3.4.clean'!C:C,'3.4.clean'!A:A=C1126),"""")"),43818.0)</f>
        <v>43818</v>
      </c>
      <c r="P1126" s="60" t="b">
        <f t="shared" si="900"/>
        <v>1</v>
      </c>
      <c r="Q1126" s="59" t="str">
        <f>IFERROR(__xludf.DUMMYFUNCTION("iferror(filter('3.5.clean'!C:C,'3.5.clean'!A:A=C1126),"""")"),"")</f>
        <v/>
      </c>
      <c r="R1126" s="58"/>
      <c r="S1126" s="4" t="str">
        <f>IFERROR(__xludf.DUMMYFUNCTION("iferror(filter('3.5.clean'!H:H,'3.5.clean'!A:A=C1126),"""")"),"")</f>
        <v/>
      </c>
      <c r="W1126" s="23" t="b">
        <f>if(AND(H1126=TRUE,N1126=TRUE,P1126=TRUE),TRUE,FALSE)</f>
        <v>1</v>
      </c>
      <c r="X1126" s="23" t="str">
        <f>IFERROR(__xludf.DUMMYFUNCTION("if(COUNTA(FILTER(C:C, C:C = C1126))=1,""no"",""yes"")"),"no")</f>
        <v>no</v>
      </c>
    </row>
    <row r="1127">
      <c r="A1127" s="75" t="s">
        <v>936</v>
      </c>
      <c r="B1127" s="19">
        <v>15.0</v>
      </c>
      <c r="C1127" s="19" t="s">
        <v>1836</v>
      </c>
      <c r="D1127" s="58" t="str">
        <f t="shared" si="914"/>
        <v/>
      </c>
      <c r="E1127" s="59">
        <f>Q1127</f>
        <v>43811</v>
      </c>
      <c r="F1127" s="60" t="str">
        <f>IFERROR(__xludf.DUMMYFUNCTION("iferror(ifna(IFNA(filter('2.1.clean'!E:E,'2.1.clean'!A:A=C1127),filter('2.2.clean'!G:G,'2.2.clean'!D:D=C1127)),filter('2.4.clean'!E:E,'2.4.clean'!A:A=C1127)),)"),"")</f>
        <v/>
      </c>
      <c r="G1127" s="59" t="str">
        <f>IFERROR(__xludf.DUMMYFUNCTION("iferror(filter('3.1.clean'!C:C,'3.1.clean'!A:A=C1127),"""")"),"")</f>
        <v/>
      </c>
      <c r="H1127" s="58"/>
      <c r="I1127" s="58" t="str">
        <f>IFERROR(__xludf.DUMMYFUNCTION("iferror(filter('3.1.clean'!G:G,'3.1.clean'!A:A=C1127),"""")"),"")</f>
        <v/>
      </c>
      <c r="J1127" s="60" t="str">
        <f>IFERROR(__xludf.DUMMYFUNCTION("iferror(filter('3.1.clean'!I:I,'3.1.clean'!A:A=C1127),"""")"),"")</f>
        <v/>
      </c>
      <c r="K1127" s="59"/>
      <c r="L1127" s="60"/>
      <c r="M1127" s="59" t="str">
        <f>IFERROR(__xludf.DUMMYFUNCTION("iferror(filter('3.3.clean'!C:C,'3.3.clean'!A:A=C1127),"""")"),"")</f>
        <v/>
      </c>
      <c r="N1127" s="60" t="b">
        <f t="shared" si="899"/>
        <v>0</v>
      </c>
      <c r="O1127" s="59" t="str">
        <f>IFERROR(__xludf.DUMMYFUNCTION("iferror(filter('3.4.clean'!C:C,'3.4.clean'!A:A=C1127),"""")"),"")</f>
        <v/>
      </c>
      <c r="P1127" s="60" t="b">
        <f t="shared" si="900"/>
        <v>0</v>
      </c>
      <c r="Q1127" s="59">
        <f>IFERROR(__xludf.DUMMYFUNCTION("iferror(filter('3.5.clean'!C:C,'3.5.clean'!A:A=C1127),"""")"),43811.0)</f>
        <v>43811</v>
      </c>
      <c r="R1127" s="58" t="b">
        <f t="shared" ref="R1127:R1128" si="915">if(Q1127="",FALSE,TRUE)</f>
        <v>1</v>
      </c>
      <c r="S1127" s="4">
        <f>IFERROR(__xludf.DUMMYFUNCTION("iferror(filter('3.5.clean'!H:H,'3.5.clean'!A:A=C1127),"""")"),0.0)</f>
        <v>0</v>
      </c>
      <c r="V1127" s="52" t="s">
        <v>64</v>
      </c>
      <c r="W1127" s="23" t="b">
        <f>if(AND(R1127=TRUE,N1127=TRUE,P1127=TRUE),TRUE,FALSE)</f>
        <v>0</v>
      </c>
      <c r="X1127" s="23" t="str">
        <f>IFERROR(__xludf.DUMMYFUNCTION("if(COUNTA(FILTER(C:C, C:C = C1127))=1,""no"",""yes"")"),"no")</f>
        <v>no</v>
      </c>
    </row>
    <row r="1128">
      <c r="A1128" s="75" t="s">
        <v>936</v>
      </c>
      <c r="B1128" s="2">
        <v>16.0</v>
      </c>
      <c r="C1128" s="19" t="s">
        <v>1837</v>
      </c>
      <c r="E1128" s="24">
        <f>IFERROR(__xludf.DUMMYFUNCTION("ifna(IFNA(filter('2.1.clean'!C:C,'2.1.clean'!A:A=C1128),filter('2.2.clean'!E:E,'2.2.clean'!D:D=C1128)),filter('2.4.clean'!C:C,'2.4.clean'!A:A=C1128))"),43811.0)</f>
        <v>43811</v>
      </c>
      <c r="F1128" s="25">
        <f>IFERROR(__xludf.DUMMYFUNCTION("iferror(ifna(IFNA(filter('2.1.clean'!E:E,'2.1.clean'!A:A=C1128),filter('2.2.clean'!G:G,'2.2.clean'!D:D=C1128)),filter('2.4.clean'!E:E,'2.4.clean'!A:A=C1128)),)"),2.4)</f>
        <v>2.4</v>
      </c>
      <c r="G1128" s="24"/>
      <c r="J1128" s="25"/>
      <c r="K1128" s="24"/>
      <c r="L1128" s="25"/>
      <c r="M1128" s="24">
        <f>IFERROR(__xludf.DUMMYFUNCTION("iferror(filter('3.3.clean'!C:C,'3.3.clean'!A:A=C1128),"""")"),43815.0)</f>
        <v>43815</v>
      </c>
      <c r="N1128" s="25" t="b">
        <f t="shared" si="899"/>
        <v>1</v>
      </c>
      <c r="O1128" s="24">
        <f>IFERROR(__xludf.DUMMYFUNCTION("iferror(filter('3.4.clean'!C:C,'3.4.clean'!A:A=C1128),"""")"),43818.0)</f>
        <v>43818</v>
      </c>
      <c r="P1128" s="25" t="b">
        <f t="shared" si="900"/>
        <v>1</v>
      </c>
      <c r="Q1128" s="24">
        <f>IFERROR(__xludf.DUMMYFUNCTION("iferror(filter('3.5.clean'!C:C,'3.5.clean'!A:A=C1128),"""")"),43811.0)</f>
        <v>43811</v>
      </c>
      <c r="R1128" s="23" t="b">
        <f t="shared" si="915"/>
        <v>1</v>
      </c>
      <c r="S1128" s="25"/>
      <c r="V1128" s="52" t="s">
        <v>64</v>
      </c>
      <c r="W1128" s="23" t="b">
        <f>IF(and(R1128=TRUE,N1128=TRUE,P1128=TRUE),TRUE,FALSE)</f>
        <v>1</v>
      </c>
      <c r="X1128" s="23" t="str">
        <f>IFERROR(__xludf.DUMMYFUNCTION("if(COUNTA(FILTER(C:C, C:C = C1128))=1,""no"",""yes"")"),"no")</f>
        <v>no</v>
      </c>
    </row>
    <row r="1129">
      <c r="A1129" s="75" t="s">
        <v>936</v>
      </c>
      <c r="B1129" s="19">
        <v>17.0</v>
      </c>
      <c r="C1129" s="19" t="s">
        <v>1838</v>
      </c>
      <c r="D1129" s="58" t="str">
        <f t="shared" ref="D1129:D1130" si="916">if(or(I1129=1,J1129=1,S1129=1),"pos","")</f>
        <v/>
      </c>
      <c r="E1129" s="59">
        <f>IFERROR(__xludf.DUMMYFUNCTION("ifna(IFNA(filter('2.1.clean'!C:C,'2.1.clean'!A:A=C1129),filter('2.2.clean'!E:E,'2.2.clean'!D:D=C1129)),filter('2.4.clean'!C:C,'2.4.clean'!A:A=C1129))"),43811.0)</f>
        <v>43811</v>
      </c>
      <c r="F1129" s="60">
        <f>IFERROR(__xludf.DUMMYFUNCTION("iferror(ifna(IFNA(filter('2.1.clean'!E:E,'2.1.clean'!A:A=C1129),filter('2.2.clean'!G:G,'2.2.clean'!D:D=C1129)),filter('2.4.clean'!E:E,'2.4.clean'!A:A=C1129)),)"),2.4)</f>
        <v>2.4</v>
      </c>
      <c r="G1129" s="59">
        <f>IFERROR(__xludf.DUMMYFUNCTION("iferror(filter('3.1.clean'!C:C,'3.1.clean'!A:A=C1129),"""")"),43811.0)</f>
        <v>43811</v>
      </c>
      <c r="H1129" s="58" t="b">
        <f>if(G1129="",FALSE,TRUE)</f>
        <v>1</v>
      </c>
      <c r="I1129" s="58">
        <f>IFERROR(__xludf.DUMMYFUNCTION("iferror(filter('3.1.clean'!G:G,'3.1.clean'!A:A=C1129),"""")"),0.0)</f>
        <v>0</v>
      </c>
      <c r="J1129" s="60" t="str">
        <f>IFERROR(__xludf.DUMMYFUNCTION("iferror(filter('3.1.clean'!I:I,'3.1.clean'!A:A=C1129),"""")"),"")</f>
        <v/>
      </c>
      <c r="K1129" s="58"/>
      <c r="L1129" s="60"/>
      <c r="M1129" s="59" t="str">
        <f>IFERROR(__xludf.DUMMYFUNCTION("iferror(filter('3.3.clean'!C:C,'3.3.clean'!A:A=C1129),"""")"),"")</f>
        <v/>
      </c>
      <c r="N1129" s="60" t="b">
        <f t="shared" si="899"/>
        <v>0</v>
      </c>
      <c r="O1129" s="59" t="str">
        <f>IFERROR(__xludf.DUMMYFUNCTION("iferror(filter('3.4.clean'!C:C,'3.4.clean'!A:A=C1129),"""")"),"")</f>
        <v/>
      </c>
      <c r="P1129" s="60" t="b">
        <f t="shared" si="900"/>
        <v>0</v>
      </c>
      <c r="Q1129" s="59" t="str">
        <f>IFERROR(__xludf.DUMMYFUNCTION("iferror(filter('3.5.clean'!C:C,'3.5.clean'!A:A=C1129),"""")"),"")</f>
        <v/>
      </c>
      <c r="R1129" s="58"/>
      <c r="S1129" s="4" t="str">
        <f>IFERROR(__xludf.DUMMYFUNCTION("iferror(filter('3.5.clean'!H:H,'3.5.clean'!A:A=C1129),"""")"),"")</f>
        <v/>
      </c>
      <c r="W1129" s="23" t="b">
        <f>if(AND(H1129=TRUE,N1129=TRUE,P1129=TRUE),TRUE,FALSE)</f>
        <v>0</v>
      </c>
      <c r="X1129" s="23" t="str">
        <f>IFERROR(__xludf.DUMMYFUNCTION("if(COUNTA(FILTER(C:C, C:C = C1129))=1,""no"",""yes"")"),"no")</f>
        <v>no</v>
      </c>
    </row>
    <row r="1130">
      <c r="A1130" s="75" t="s">
        <v>936</v>
      </c>
      <c r="B1130" s="19">
        <v>18.0</v>
      </c>
      <c r="C1130" s="19" t="s">
        <v>1839</v>
      </c>
      <c r="D1130" s="58" t="str">
        <f t="shared" si="916"/>
        <v/>
      </c>
      <c r="E1130" s="59">
        <f>Q1130</f>
        <v>43811</v>
      </c>
      <c r="F1130" s="60" t="str">
        <f>IFERROR(__xludf.DUMMYFUNCTION("iferror(ifna(IFNA(filter('2.1.clean'!E:E,'2.1.clean'!A:A=C1130),filter('2.2.clean'!G:G,'2.2.clean'!D:D=C1130)),filter('2.4.clean'!E:E,'2.4.clean'!A:A=C1130)),)"),"")</f>
        <v/>
      </c>
      <c r="G1130" s="59" t="str">
        <f>IFERROR(__xludf.DUMMYFUNCTION("iferror(filter('3.1.clean'!C:C,'3.1.clean'!A:A=C1130),"""")"),"")</f>
        <v/>
      </c>
      <c r="H1130" s="58"/>
      <c r="I1130" s="58" t="str">
        <f>IFERROR(__xludf.DUMMYFUNCTION("iferror(filter('3.1.clean'!G:G,'3.1.clean'!A:A=C1130),"""")"),"")</f>
        <v/>
      </c>
      <c r="J1130" s="60" t="str">
        <f>IFERROR(__xludf.DUMMYFUNCTION("iferror(filter('3.1.clean'!I:I,'3.1.clean'!A:A=C1130),"""")"),"")</f>
        <v/>
      </c>
      <c r="K1130" s="59"/>
      <c r="L1130" s="60"/>
      <c r="M1130" s="59" t="str">
        <f>IFERROR(__xludf.DUMMYFUNCTION("iferror(filter('3.3.clean'!C:C,'3.3.clean'!A:A=C1130),"""")"),"")</f>
        <v/>
      </c>
      <c r="N1130" s="60" t="b">
        <f t="shared" si="899"/>
        <v>0</v>
      </c>
      <c r="O1130" s="59" t="str">
        <f>IFERROR(__xludf.DUMMYFUNCTION("iferror(filter('3.4.clean'!C:C,'3.4.clean'!A:A=C1130),"""")"),"")</f>
        <v/>
      </c>
      <c r="P1130" s="60" t="b">
        <f t="shared" si="900"/>
        <v>0</v>
      </c>
      <c r="Q1130" s="59">
        <f>IFERROR(__xludf.DUMMYFUNCTION("iferror(filter('3.5.clean'!C:C,'3.5.clean'!A:A=C1130),"""")"),43811.0)</f>
        <v>43811</v>
      </c>
      <c r="R1130" s="58" t="b">
        <f t="shared" ref="R1130:R1131" si="917">if(Q1130="",FALSE,TRUE)</f>
        <v>1</v>
      </c>
      <c r="S1130" s="4">
        <f>IFERROR(__xludf.DUMMYFUNCTION("iferror(filter('3.5.clean'!H:H,'3.5.clean'!A:A=C1130),"""")"),0.0)</f>
        <v>0</v>
      </c>
      <c r="V1130" s="52" t="s">
        <v>64</v>
      </c>
      <c r="W1130" s="23" t="b">
        <f>if(AND(R1130=TRUE,N1130=TRUE,P1130=TRUE),TRUE,FALSE)</f>
        <v>0</v>
      </c>
      <c r="X1130" s="23" t="str">
        <f>IFERROR(__xludf.DUMMYFUNCTION("if(COUNTA(FILTER(C:C, C:C = C1130))=1,""no"",""yes"")"),"no")</f>
        <v>no</v>
      </c>
    </row>
    <row r="1131">
      <c r="A1131" s="75" t="s">
        <v>936</v>
      </c>
      <c r="B1131" s="2">
        <v>19.0</v>
      </c>
      <c r="C1131" s="19" t="s">
        <v>1840</v>
      </c>
      <c r="E1131" s="24">
        <f>IFERROR(__xludf.DUMMYFUNCTION("ifna(IFNA(filter('2.1.clean'!C:C,'2.1.clean'!A:A=C1131),filter('2.2.clean'!E:E,'2.2.clean'!D:D=C1131)),filter('2.4.clean'!C:C,'2.4.clean'!A:A=C1131))"),43811.0)</f>
        <v>43811</v>
      </c>
      <c r="F1131" s="25">
        <f>IFERROR(__xludf.DUMMYFUNCTION("iferror(ifna(IFNA(filter('2.1.clean'!E:E,'2.1.clean'!A:A=C1131),filter('2.2.clean'!G:G,'2.2.clean'!D:D=C1131)),filter('2.4.clean'!E:E,'2.4.clean'!A:A=C1131)),)"),2.4)</f>
        <v>2.4</v>
      </c>
      <c r="G1131" s="24"/>
      <c r="J1131" s="25"/>
      <c r="K1131" s="24"/>
      <c r="L1131" s="25"/>
      <c r="M1131" s="24">
        <f>IFERROR(__xludf.DUMMYFUNCTION("iferror(filter('3.3.clean'!C:C,'3.3.clean'!A:A=C1131),"""")"),43815.0)</f>
        <v>43815</v>
      </c>
      <c r="N1131" s="25" t="b">
        <f t="shared" si="899"/>
        <v>1</v>
      </c>
      <c r="O1131" s="24">
        <f>IFERROR(__xludf.DUMMYFUNCTION("iferror(filter('3.4.clean'!C:C,'3.4.clean'!A:A=C1131),"""")"),43818.0)</f>
        <v>43818</v>
      </c>
      <c r="P1131" s="25" t="b">
        <f t="shared" si="900"/>
        <v>1</v>
      </c>
      <c r="Q1131" s="24">
        <f>IFERROR(__xludf.DUMMYFUNCTION("iferror(filter('3.5.clean'!C:C,'3.5.clean'!A:A=C1131),"""")"),43811.0)</f>
        <v>43811</v>
      </c>
      <c r="R1131" s="23" t="b">
        <f t="shared" si="917"/>
        <v>1</v>
      </c>
      <c r="S1131" s="25"/>
      <c r="V1131" s="52" t="s">
        <v>64</v>
      </c>
      <c r="W1131" s="23" t="b">
        <f>IF(and(R1131=TRUE,N1131=TRUE,P1131=TRUE),TRUE,FALSE)</f>
        <v>1</v>
      </c>
      <c r="X1131" s="23" t="str">
        <f>IFERROR(__xludf.DUMMYFUNCTION("if(COUNTA(FILTER(C:C, C:C = C1131))=1,""no"",""yes"")"),"no")</f>
        <v>no</v>
      </c>
    </row>
    <row r="1132">
      <c r="A1132" s="75" t="s">
        <v>936</v>
      </c>
      <c r="B1132" s="19">
        <v>20.0</v>
      </c>
      <c r="C1132" s="19" t="s">
        <v>1841</v>
      </c>
      <c r="D1132" s="58" t="str">
        <f t="shared" ref="D1132:D1135" si="918">if(or(I1132=1,J1132=1,S1132=1),"pos","")</f>
        <v/>
      </c>
      <c r="E1132" s="59">
        <f>IFERROR(__xludf.DUMMYFUNCTION("ifna(IFNA(filter('2.1.clean'!C:C,'2.1.clean'!A:A=C1132),filter('2.2.clean'!E:E,'2.2.clean'!D:D=C1132)),filter('2.4.clean'!C:C,'2.4.clean'!A:A=C1132))"),43811.0)</f>
        <v>43811</v>
      </c>
      <c r="F1132" s="60">
        <f>IFERROR(__xludf.DUMMYFUNCTION("iferror(ifna(IFNA(filter('2.1.clean'!E:E,'2.1.clean'!A:A=C1132),filter('2.2.clean'!G:G,'2.2.clean'!D:D=C1132)),filter('2.4.clean'!E:E,'2.4.clean'!A:A=C1132)),)"),2.4)</f>
        <v>2.4</v>
      </c>
      <c r="G1132" s="59">
        <f>IFERROR(__xludf.DUMMYFUNCTION("iferror(filter('3.1.clean'!C:C,'3.1.clean'!A:A=C1132),"""")"),43811.0)</f>
        <v>43811</v>
      </c>
      <c r="H1132" s="58" t="b">
        <f>if(G1132="",FALSE,TRUE)</f>
        <v>1</v>
      </c>
      <c r="I1132" s="58">
        <f>IFERROR(__xludf.DUMMYFUNCTION("iferror(filter('3.1.clean'!G:G,'3.1.clean'!A:A=C1132),"""")"),0.0)</f>
        <v>0</v>
      </c>
      <c r="J1132" s="60" t="str">
        <f>IFERROR(__xludf.DUMMYFUNCTION("iferror(filter('3.1.clean'!I:I,'3.1.clean'!A:A=C1132),"""")"),"")</f>
        <v/>
      </c>
      <c r="K1132" s="58"/>
      <c r="L1132" s="60"/>
      <c r="M1132" s="59" t="str">
        <f>IFERROR(__xludf.DUMMYFUNCTION("iferror(filter('3.3.clean'!C:C,'3.3.clean'!A:A=C1132),"""")"),"")</f>
        <v/>
      </c>
      <c r="N1132" s="60" t="b">
        <f t="shared" si="899"/>
        <v>0</v>
      </c>
      <c r="O1132" s="59" t="str">
        <f>IFERROR(__xludf.DUMMYFUNCTION("iferror(filter('3.4.clean'!C:C,'3.4.clean'!A:A=C1132),"""")"),"")</f>
        <v/>
      </c>
      <c r="P1132" s="60" t="b">
        <f t="shared" si="900"/>
        <v>0</v>
      </c>
      <c r="Q1132" s="59" t="str">
        <f>IFERROR(__xludf.DUMMYFUNCTION("iferror(filter('3.5.clean'!C:C,'3.5.clean'!A:A=C1132),"""")"),"")</f>
        <v/>
      </c>
      <c r="R1132" s="58"/>
      <c r="S1132" s="4" t="str">
        <f>IFERROR(__xludf.DUMMYFUNCTION("iferror(filter('3.5.clean'!H:H,'3.5.clean'!A:A=C1132),"""")"),"")</f>
        <v/>
      </c>
      <c r="W1132" s="23" t="b">
        <f>if(AND(H1132=TRUE,N1132=TRUE,P1132=TRUE),TRUE,FALSE)</f>
        <v>0</v>
      </c>
      <c r="X1132" s="23" t="str">
        <f>IFERROR(__xludf.DUMMYFUNCTION("if(COUNTA(FILTER(C:C, C:C = C1132))=1,""no"",""yes"")"),"no")</f>
        <v>no</v>
      </c>
    </row>
    <row r="1133">
      <c r="A1133" s="75" t="s">
        <v>936</v>
      </c>
      <c r="B1133" s="19">
        <v>21.0</v>
      </c>
      <c r="C1133" s="19" t="s">
        <v>1842</v>
      </c>
      <c r="D1133" s="58" t="str">
        <f t="shared" si="918"/>
        <v/>
      </c>
      <c r="E1133" s="59">
        <f>Q1133</f>
        <v>43811</v>
      </c>
      <c r="F1133" s="60" t="str">
        <f>IFERROR(__xludf.DUMMYFUNCTION("iferror(ifna(IFNA(filter('2.1.clean'!E:E,'2.1.clean'!A:A=C1133),filter('2.2.clean'!G:G,'2.2.clean'!D:D=C1133)),filter('2.4.clean'!E:E,'2.4.clean'!A:A=C1133)),)"),"")</f>
        <v/>
      </c>
      <c r="G1133" s="59" t="str">
        <f>IFERROR(__xludf.DUMMYFUNCTION("iferror(filter('3.1.clean'!C:C,'3.1.clean'!A:A=C1133),"""")"),"")</f>
        <v/>
      </c>
      <c r="H1133" s="58"/>
      <c r="I1133" s="58" t="str">
        <f>IFERROR(__xludf.DUMMYFUNCTION("iferror(filter('3.1.clean'!G:G,'3.1.clean'!A:A=C1133),"""")"),"")</f>
        <v/>
      </c>
      <c r="J1133" s="60" t="str">
        <f>IFERROR(__xludf.DUMMYFUNCTION("iferror(filter('3.1.clean'!I:I,'3.1.clean'!A:A=C1133),"""")"),"")</f>
        <v/>
      </c>
      <c r="K1133" s="59"/>
      <c r="L1133" s="60"/>
      <c r="M1133" s="59" t="str">
        <f>IFERROR(__xludf.DUMMYFUNCTION("iferror(filter('3.3.clean'!C:C,'3.3.clean'!A:A=C1133),"""")"),"")</f>
        <v/>
      </c>
      <c r="N1133" s="60" t="b">
        <f t="shared" si="899"/>
        <v>0</v>
      </c>
      <c r="O1133" s="59" t="str">
        <f>IFERROR(__xludf.DUMMYFUNCTION("iferror(filter('3.4.clean'!C:C,'3.4.clean'!A:A=C1133),"""")"),"")</f>
        <v/>
      </c>
      <c r="P1133" s="60" t="b">
        <f t="shared" si="900"/>
        <v>0</v>
      </c>
      <c r="Q1133" s="59">
        <f>IFERROR(__xludf.DUMMYFUNCTION("iferror(filter('3.5.clean'!C:C,'3.5.clean'!A:A=C1133),"""")"),43811.0)</f>
        <v>43811</v>
      </c>
      <c r="R1133" s="58" t="b">
        <f>if(Q1133="",FALSE,TRUE)</f>
        <v>1</v>
      </c>
      <c r="S1133" s="4">
        <f>IFERROR(__xludf.DUMMYFUNCTION("iferror(filter('3.5.clean'!H:H,'3.5.clean'!A:A=C1133),"""")"),0.0)</f>
        <v>0</v>
      </c>
      <c r="V1133" s="52" t="s">
        <v>64</v>
      </c>
      <c r="W1133" s="23" t="b">
        <f>if(AND(R1133=TRUE,N1133=TRUE,P1133=TRUE),TRUE,FALSE)</f>
        <v>0</v>
      </c>
      <c r="X1133" s="23" t="str">
        <f>IFERROR(__xludf.DUMMYFUNCTION("if(COUNTA(FILTER(C:C, C:C = C1133))=1,""no"",""yes"")"),"no")</f>
        <v>no</v>
      </c>
    </row>
    <row r="1134">
      <c r="A1134" s="75" t="s">
        <v>936</v>
      </c>
      <c r="B1134" s="19">
        <v>22.0</v>
      </c>
      <c r="C1134" s="19" t="s">
        <v>1843</v>
      </c>
      <c r="D1134" s="76" t="str">
        <f t="shared" si="918"/>
        <v/>
      </c>
      <c r="E1134" s="77">
        <f>G1134</f>
        <v>43811</v>
      </c>
      <c r="F1134" s="78" t="str">
        <f>IFERROR(__xludf.DUMMYFUNCTION("iferror(ifna(IFNA(filter('2.1.clean'!E:E,'2.1.clean'!A:A=C1134),filter('2.2.clean'!G:G,'2.2.clean'!D:D=C1134)),filter('2.4.clean'!E:E,'2.4.clean'!A:A=C1134)),)"),"")</f>
        <v/>
      </c>
      <c r="G1134" s="77">
        <f>IFERROR(__xludf.DUMMYFUNCTION("iferror(filter('3.1.clean'!C:C,'3.1.clean'!A:A=C1134),"""")"),43811.0)</f>
        <v>43811</v>
      </c>
      <c r="H1134" s="76" t="b">
        <f>if(G1134="",FALSE,TRUE)</f>
        <v>1</v>
      </c>
      <c r="I1134" s="76">
        <f>IFERROR(__xludf.DUMMYFUNCTION("iferror(filter('3.1.clean'!G:G,'3.1.clean'!A:A=C1134),"""")"),0.0)</f>
        <v>0</v>
      </c>
      <c r="J1134" s="78" t="str">
        <f>IFERROR(__xludf.DUMMYFUNCTION("iferror(filter('3.1.clean'!I:I,'3.1.clean'!A:A=C1134),"""")"),"")</f>
        <v/>
      </c>
      <c r="K1134" s="77"/>
      <c r="L1134" s="78"/>
      <c r="M1134" s="77"/>
      <c r="N1134" s="78"/>
      <c r="O1134" s="77"/>
      <c r="P1134" s="78"/>
      <c r="Q1134" s="77"/>
      <c r="R1134" s="76"/>
      <c r="S1134" s="25"/>
      <c r="V1134" s="1" t="s">
        <v>64</v>
      </c>
      <c r="W1134" s="1" t="b">
        <v>1</v>
      </c>
      <c r="X1134" s="23" t="str">
        <f>IFERROR(__xludf.DUMMYFUNCTION("if(COUNTA(FILTER(C:C, C:C = C1134))=1,""no"",""yes"")"),"no")</f>
        <v>no</v>
      </c>
    </row>
    <row r="1135">
      <c r="A1135" s="75" t="s">
        <v>936</v>
      </c>
      <c r="B1135" s="19">
        <v>23.0</v>
      </c>
      <c r="C1135" s="19" t="s">
        <v>1844</v>
      </c>
      <c r="D1135" s="22" t="str">
        <f t="shared" si="918"/>
        <v/>
      </c>
      <c r="E1135" s="20">
        <f>Q1135</f>
        <v>43811</v>
      </c>
      <c r="F1135" s="79" t="str">
        <f>IFERROR(__xludf.DUMMYFUNCTION("iferror(ifna(IFNA(filter('2.1.clean'!E:E,'2.1.clean'!A:A=C1135),filter('2.2.clean'!G:G,'2.2.clean'!D:D=C1135)),filter('2.4.clean'!E:E,'2.4.clean'!A:A=C1135)),)"),"")</f>
        <v/>
      </c>
      <c r="G1135" s="20" t="str">
        <f>IFERROR(__xludf.DUMMYFUNCTION("iferror(filter('3.1.clean'!C:C,'3.1.clean'!A:A=C1135),"""")"),"")</f>
        <v/>
      </c>
      <c r="H1135" s="22"/>
      <c r="I1135" s="22"/>
      <c r="J1135" s="79"/>
      <c r="K1135" s="20" t="str">
        <f>IFERROR(__xludf.DUMMYFUNCTION("iferror(filter('3.2.clean'!C:C,'3.2.clean'!A:A=C1135),"""")"),"")</f>
        <v/>
      </c>
      <c r="L1135" s="79"/>
      <c r="M1135" s="20" t="str">
        <f>IFERROR(__xludf.DUMMYFUNCTION("iferror(filter('3.3.clean'!C:C,'3.3.clean'!A:A=C1135),"""")"),"")</f>
        <v/>
      </c>
      <c r="N1135" s="79" t="b">
        <f t="shared" ref="N1135:N1147" si="919">if(M1135="",FALSE,TRUE)</f>
        <v>0</v>
      </c>
      <c r="O1135" s="20" t="str">
        <f>IFERROR(__xludf.DUMMYFUNCTION("iferror(filter('3.4.clean'!C:C,'3.4.clean'!A:A=C1135),"""")"),"")</f>
        <v/>
      </c>
      <c r="P1135" s="79" t="b">
        <f t="shared" ref="P1135:P1147" si="920">if(O1135="",FALSE,TRUE)</f>
        <v>0</v>
      </c>
      <c r="Q1135" s="20">
        <f>IFERROR(__xludf.DUMMYFUNCTION("iferror(filter('3.5.clean'!C:C,'3.5.clean'!A:A=C1135),"""")"),43811.0)</f>
        <v>43811</v>
      </c>
      <c r="R1135" s="22" t="b">
        <f t="shared" ref="R1135:R1136" si="921">if(Q1135="",FALSE,TRUE)</f>
        <v>1</v>
      </c>
      <c r="S1135" s="4">
        <f>IFERROR(__xludf.DUMMYFUNCTION("iferror(filter('3.5.clean'!H:H,'3.5.clean'!A:A=C1135),"""")"),0.0)</f>
        <v>0</v>
      </c>
      <c r="V1135" s="1" t="s">
        <v>64</v>
      </c>
      <c r="W1135" s="23" t="b">
        <f>IF(and(R1135=TRUE,N1135=TRUE,P1135=TRUE),TRUE,FALSE)</f>
        <v>0</v>
      </c>
      <c r="X1135" s="23" t="str">
        <f>IFERROR(__xludf.DUMMYFUNCTION("if(COUNTA(FILTER(C:C, C:C = C1135))=1,""no"",""yes"")"),"no")</f>
        <v>no</v>
      </c>
    </row>
    <row r="1136">
      <c r="A1136" s="1" t="s">
        <v>940</v>
      </c>
      <c r="B1136" s="2">
        <v>1.0</v>
      </c>
      <c r="C1136" s="19" t="s">
        <v>1845</v>
      </c>
      <c r="E1136" s="24">
        <f>IFERROR(__xludf.DUMMYFUNCTION("ifna(IFNA(filter('2.1.clean'!C:C,'2.1.clean'!A:A=C1136),filter('2.2.clean'!E:E,'2.2.clean'!D:D=C1136)),filter('2.4.clean'!C:C,'2.4.clean'!A:A=C1136))"),43812.0)</f>
        <v>43812</v>
      </c>
      <c r="F1136" s="25">
        <f>IFERROR(__xludf.DUMMYFUNCTION("iferror(ifna(IFNA(filter('2.1.clean'!E:E,'2.1.clean'!A:A=C1136),filter('2.2.clean'!G:G,'2.2.clean'!D:D=C1136)),filter('2.4.clean'!E:E,'2.4.clean'!A:A=C1136)),)"),2.39999999999999)</f>
        <v>2.4</v>
      </c>
      <c r="G1136" s="24">
        <f>IFERROR(__xludf.DUMMYFUNCTION("iferror(filter('3.1.clean'!C:C,'3.1.clean'!A:A=C1136),"""")"),43812.0)</f>
        <v>43812</v>
      </c>
      <c r="H1136" s="23" t="b">
        <f t="shared" ref="H1136:H1137" si="922">if(G1136="",FALSE,TRUE)</f>
        <v>1</v>
      </c>
      <c r="J1136" s="25"/>
      <c r="K1136" s="24">
        <f>IFERROR(__xludf.DUMMYFUNCTION("iferror(filter('3.2.clean'!C:C,'3.2.clean'!A:A=C1136),"""")"),43812.0)</f>
        <v>43812</v>
      </c>
      <c r="L1136" s="25" t="b">
        <f>if(K1136="",FALSE,TRUE)</f>
        <v>1</v>
      </c>
      <c r="M1136" s="24">
        <f>IFERROR(__xludf.DUMMYFUNCTION("iferror(filter('3.3.clean'!C:C,'3.3.clean'!A:A=C1136),"""")"),43815.0)</f>
        <v>43815</v>
      </c>
      <c r="N1136" s="25" t="b">
        <f t="shared" si="919"/>
        <v>1</v>
      </c>
      <c r="O1136" s="24">
        <f>IFERROR(__xludf.DUMMYFUNCTION("iferror(filter('3.4.clean'!C:C,'3.4.clean'!A:A=C1136),"""")"),43818.0)</f>
        <v>43818</v>
      </c>
      <c r="P1136" s="25" t="b">
        <f t="shared" si="920"/>
        <v>1</v>
      </c>
      <c r="Q1136" s="24">
        <f>IFERROR(__xludf.DUMMYFUNCTION("iferror(filter('3.5.clean'!C:C,'3.5.clean'!A:A=C1136),"""")"),43812.0)</f>
        <v>43812</v>
      </c>
      <c r="R1136" s="23" t="b">
        <f t="shared" si="921"/>
        <v>1</v>
      </c>
      <c r="S1136" s="25"/>
      <c r="V1136" s="1" t="s">
        <v>64</v>
      </c>
      <c r="X1136" s="23" t="str">
        <f>IFERROR(__xludf.DUMMYFUNCTION("if(COUNTA(FILTER(C:C, C:C = C1136))=1,""no"",""yes"")"),"no")</f>
        <v>no</v>
      </c>
    </row>
    <row r="1137">
      <c r="A1137" s="1" t="s">
        <v>940</v>
      </c>
      <c r="B1137" s="19">
        <v>2.0</v>
      </c>
      <c r="C1137" s="19" t="s">
        <v>1846</v>
      </c>
      <c r="D1137" s="58" t="str">
        <f t="shared" ref="D1137:D1138" si="923">if(or(I1137=1,J1137=1,S1137=1),"pos","")</f>
        <v/>
      </c>
      <c r="E1137" s="59">
        <f>IFERROR(__xludf.DUMMYFUNCTION("ifna(IFNA(filter('2.1.clean'!C:C,'2.1.clean'!A:A=C1137),filter('2.2.clean'!E:E,'2.2.clean'!D:D=C1137)),filter('2.4.clean'!C:C,'2.4.clean'!A:A=C1137))"),43812.0)</f>
        <v>43812</v>
      </c>
      <c r="F1137" s="60">
        <f>IFERROR(__xludf.DUMMYFUNCTION("iferror(ifna(IFNA(filter('2.1.clean'!E:E,'2.1.clean'!A:A=C1137),filter('2.2.clean'!G:G,'2.2.clean'!D:D=C1137)),filter('2.4.clean'!E:E,'2.4.clean'!A:A=C1137)),)"),2.39999999999999)</f>
        <v>2.4</v>
      </c>
      <c r="G1137" s="59">
        <f>IFERROR(__xludf.DUMMYFUNCTION("iferror(filter('3.1.clean'!C:C,'3.1.clean'!A:A=C1137),"""")"),43812.0)</f>
        <v>43812</v>
      </c>
      <c r="H1137" s="58" t="b">
        <f t="shared" si="922"/>
        <v>1</v>
      </c>
      <c r="I1137" s="58">
        <f>IFERROR(__xludf.DUMMYFUNCTION("iferror(filter('3.1.clean'!G:G,'3.1.clean'!A:A=C1137),"""")"),0.0)</f>
        <v>0</v>
      </c>
      <c r="J1137" s="60" t="str">
        <f>IFERROR(__xludf.DUMMYFUNCTION("iferror(filter('3.1.clean'!I:I,'3.1.clean'!A:A=C1137),"""")"),"")</f>
        <v/>
      </c>
      <c r="K1137" s="58"/>
      <c r="L1137" s="60"/>
      <c r="M1137" s="59">
        <f>IFERROR(__xludf.DUMMYFUNCTION("iferror(filter('3.3.clean'!C:C,'3.3.clean'!A:A=C1137),"""")"),43815.0)</f>
        <v>43815</v>
      </c>
      <c r="N1137" s="60" t="b">
        <f t="shared" si="919"/>
        <v>1</v>
      </c>
      <c r="O1137" s="59">
        <f>IFERROR(__xludf.DUMMYFUNCTION("iferror(filter('3.4.clean'!C:C,'3.4.clean'!A:A=C1137),"""")"),43818.0)</f>
        <v>43818</v>
      </c>
      <c r="P1137" s="60" t="b">
        <f t="shared" si="920"/>
        <v>1</v>
      </c>
      <c r="Q1137" s="59" t="str">
        <f>IFERROR(__xludf.DUMMYFUNCTION("iferror(filter('3.5.clean'!C:C,'3.5.clean'!A:A=C1137),"""")"),"")</f>
        <v/>
      </c>
      <c r="R1137" s="58"/>
      <c r="S1137" s="4" t="str">
        <f>IFERROR(__xludf.DUMMYFUNCTION("iferror(filter('3.5.clean'!H:H,'3.5.clean'!A:A=C1137),"""")"),"")</f>
        <v/>
      </c>
      <c r="W1137" s="23" t="b">
        <f>if(AND(H1137=TRUE,N1137=TRUE,P1137=TRUE),TRUE,FALSE)</f>
        <v>1</v>
      </c>
      <c r="X1137" s="23" t="str">
        <f>IFERROR(__xludf.DUMMYFUNCTION("if(COUNTA(FILTER(C:C, C:C = C1137))=1,""no"",""yes"")"),"no")</f>
        <v>no</v>
      </c>
    </row>
    <row r="1138">
      <c r="A1138" s="1" t="s">
        <v>940</v>
      </c>
      <c r="B1138" s="19">
        <v>3.0</v>
      </c>
      <c r="C1138" s="19" t="s">
        <v>1847</v>
      </c>
      <c r="D1138" s="58" t="str">
        <f t="shared" si="923"/>
        <v/>
      </c>
      <c r="E1138" s="59">
        <f>Q1138</f>
        <v>43812</v>
      </c>
      <c r="F1138" s="60" t="str">
        <f>IFERROR(__xludf.DUMMYFUNCTION("iferror(ifna(IFNA(filter('2.1.clean'!E:E,'2.1.clean'!A:A=C1138),filter('2.2.clean'!G:G,'2.2.clean'!D:D=C1138)),filter('2.4.clean'!E:E,'2.4.clean'!A:A=C1138)),)"),"")</f>
        <v/>
      </c>
      <c r="G1138" s="59" t="str">
        <f>IFERROR(__xludf.DUMMYFUNCTION("iferror(filter('3.1.clean'!C:C,'3.1.clean'!A:A=C1138),"""")"),"")</f>
        <v/>
      </c>
      <c r="H1138" s="58"/>
      <c r="I1138" s="58" t="str">
        <f>IFERROR(__xludf.DUMMYFUNCTION("iferror(filter('3.1.clean'!G:G,'3.1.clean'!A:A=C1138),"""")"),"")</f>
        <v/>
      </c>
      <c r="J1138" s="60" t="str">
        <f>IFERROR(__xludf.DUMMYFUNCTION("iferror(filter('3.1.clean'!I:I,'3.1.clean'!A:A=C1138),"""")"),"")</f>
        <v/>
      </c>
      <c r="K1138" s="59"/>
      <c r="L1138" s="60"/>
      <c r="M1138" s="59" t="str">
        <f>IFERROR(__xludf.DUMMYFUNCTION("iferror(filter('3.3.clean'!C:C,'3.3.clean'!A:A=C1138),"""")"),"")</f>
        <v/>
      </c>
      <c r="N1138" s="60" t="b">
        <f t="shared" si="919"/>
        <v>0</v>
      </c>
      <c r="O1138" s="59" t="str">
        <f>IFERROR(__xludf.DUMMYFUNCTION("iferror(filter('3.4.clean'!C:C,'3.4.clean'!A:A=C1138),"""")"),"")</f>
        <v/>
      </c>
      <c r="P1138" s="60" t="b">
        <f t="shared" si="920"/>
        <v>0</v>
      </c>
      <c r="Q1138" s="59">
        <f>IFERROR(__xludf.DUMMYFUNCTION("iferror(filter('3.5.clean'!C:C,'3.5.clean'!A:A=C1138),"""")"),43812.0)</f>
        <v>43812</v>
      </c>
      <c r="R1138" s="58" t="b">
        <f t="shared" ref="R1138:R1139" si="924">if(Q1138="",FALSE,TRUE)</f>
        <v>1</v>
      </c>
      <c r="S1138" s="4">
        <f>IFERROR(__xludf.DUMMYFUNCTION("iferror(filter('3.5.clean'!H:H,'3.5.clean'!A:A=C1138),"""")"),0.0)</f>
        <v>0</v>
      </c>
      <c r="V1138" s="52" t="s">
        <v>64</v>
      </c>
      <c r="W1138" s="23" t="b">
        <f>if(AND(R1138=TRUE,N1138=TRUE,P1138=TRUE),TRUE,FALSE)</f>
        <v>0</v>
      </c>
      <c r="X1138" s="23" t="str">
        <f>IFERROR(__xludf.DUMMYFUNCTION("if(COUNTA(FILTER(C:C, C:C = C1138))=1,""no"",""yes"")"),"no")</f>
        <v>no</v>
      </c>
    </row>
    <row r="1139">
      <c r="A1139" s="1" t="s">
        <v>940</v>
      </c>
      <c r="B1139" s="2">
        <v>4.0</v>
      </c>
      <c r="C1139" s="19" t="s">
        <v>1848</v>
      </c>
      <c r="E1139" s="24">
        <f>IFERROR(__xludf.DUMMYFUNCTION("ifna(IFNA(filter('2.1.clean'!C:C,'2.1.clean'!A:A=C1139),filter('2.2.clean'!E:E,'2.2.clean'!D:D=C1139)),filter('2.4.clean'!C:C,'2.4.clean'!A:A=C1139))"),43812.0)</f>
        <v>43812</v>
      </c>
      <c r="F1139" s="25">
        <f>IFERROR(__xludf.DUMMYFUNCTION("iferror(ifna(IFNA(filter('2.1.clean'!E:E,'2.1.clean'!A:A=C1139),filter('2.2.clean'!G:G,'2.2.clean'!D:D=C1139)),filter('2.4.clean'!E:E,'2.4.clean'!A:A=C1139)),)"),2.39999999999999)</f>
        <v>2.4</v>
      </c>
      <c r="G1139" s="24">
        <f>IFERROR(__xludf.DUMMYFUNCTION("iferror(filter('3.1.clean'!C:C,'3.1.clean'!A:A=C1139),"""")"),43812.0)</f>
        <v>43812</v>
      </c>
      <c r="H1139" s="23" t="b">
        <f t="shared" ref="H1139:H1140" si="925">if(G1139="",FALSE,TRUE)</f>
        <v>1</v>
      </c>
      <c r="J1139" s="25"/>
      <c r="K1139" s="24">
        <f>IFERROR(__xludf.DUMMYFUNCTION("iferror(filter('3.2.clean'!C:C,'3.2.clean'!A:A=C1139),"""")"),43812.0)</f>
        <v>43812</v>
      </c>
      <c r="L1139" s="25" t="b">
        <f>if(K1139="",FALSE,TRUE)</f>
        <v>1</v>
      </c>
      <c r="M1139" s="24">
        <f>IFERROR(__xludf.DUMMYFUNCTION("iferror(filter('3.3.clean'!C:C,'3.3.clean'!A:A=C1139),"""")"),43815.0)</f>
        <v>43815</v>
      </c>
      <c r="N1139" s="25" t="b">
        <f t="shared" si="919"/>
        <v>1</v>
      </c>
      <c r="O1139" s="24">
        <f>IFERROR(__xludf.DUMMYFUNCTION("iferror(filter('3.4.clean'!C:C,'3.4.clean'!A:A=C1139),"""")"),43818.0)</f>
        <v>43818</v>
      </c>
      <c r="P1139" s="25" t="b">
        <f t="shared" si="920"/>
        <v>1</v>
      </c>
      <c r="Q1139" s="24">
        <f>IFERROR(__xludf.DUMMYFUNCTION("iferror(filter('3.5.clean'!C:C,'3.5.clean'!A:A=C1139),"""")"),43812.0)</f>
        <v>43812</v>
      </c>
      <c r="R1139" s="23" t="b">
        <f t="shared" si="924"/>
        <v>1</v>
      </c>
      <c r="S1139" s="25"/>
      <c r="V1139" s="1" t="s">
        <v>64</v>
      </c>
      <c r="X1139" s="23" t="str">
        <f>IFERROR(__xludf.DUMMYFUNCTION("if(COUNTA(FILTER(C:C, C:C = C1139))=1,""no"",""yes"")"),"no")</f>
        <v>no</v>
      </c>
    </row>
    <row r="1140">
      <c r="A1140" s="1" t="s">
        <v>940</v>
      </c>
      <c r="B1140" s="19">
        <v>5.0</v>
      </c>
      <c r="C1140" s="19" t="s">
        <v>1849</v>
      </c>
      <c r="D1140" s="58" t="str">
        <f t="shared" ref="D1140:D1141" si="926">if(or(I1140=1,J1140=1,S1140=1),"pos","")</f>
        <v/>
      </c>
      <c r="E1140" s="59">
        <f>IFERROR(__xludf.DUMMYFUNCTION("ifna(IFNA(filter('2.1.clean'!C:C,'2.1.clean'!A:A=C1140),filter('2.2.clean'!E:E,'2.2.clean'!D:D=C1140)),filter('2.4.clean'!C:C,'2.4.clean'!A:A=C1140))"),43812.0)</f>
        <v>43812</v>
      </c>
      <c r="F1140" s="60">
        <f>IFERROR(__xludf.DUMMYFUNCTION("iferror(ifna(IFNA(filter('2.1.clean'!E:E,'2.1.clean'!A:A=C1140),filter('2.2.clean'!G:G,'2.2.clean'!D:D=C1140)),filter('2.4.clean'!E:E,'2.4.clean'!A:A=C1140)),)"),2.39999999999999)</f>
        <v>2.4</v>
      </c>
      <c r="G1140" s="59">
        <f>IFERROR(__xludf.DUMMYFUNCTION("iferror(filter('3.1.clean'!C:C,'3.1.clean'!A:A=C1140),"""")"),43812.0)</f>
        <v>43812</v>
      </c>
      <c r="H1140" s="58" t="b">
        <f t="shared" si="925"/>
        <v>1</v>
      </c>
      <c r="I1140" s="58">
        <f>IFERROR(__xludf.DUMMYFUNCTION("iferror(filter('3.1.clean'!G:G,'3.1.clean'!A:A=C1140),"""")"),0.0)</f>
        <v>0</v>
      </c>
      <c r="J1140" s="60" t="str">
        <f>IFERROR(__xludf.DUMMYFUNCTION("iferror(filter('3.1.clean'!I:I,'3.1.clean'!A:A=C1140),"""")"),"")</f>
        <v/>
      </c>
      <c r="K1140" s="58"/>
      <c r="L1140" s="60"/>
      <c r="M1140" s="59" t="str">
        <f>IFERROR(__xludf.DUMMYFUNCTION("iferror(filter('3.3.clean'!C:C,'3.3.clean'!A:A=C1140),"""")"),"")</f>
        <v/>
      </c>
      <c r="N1140" s="60" t="b">
        <f t="shared" si="919"/>
        <v>0</v>
      </c>
      <c r="O1140" s="59" t="str">
        <f>IFERROR(__xludf.DUMMYFUNCTION("iferror(filter('3.4.clean'!C:C,'3.4.clean'!A:A=C1140),"""")"),"")</f>
        <v/>
      </c>
      <c r="P1140" s="60" t="b">
        <f t="shared" si="920"/>
        <v>0</v>
      </c>
      <c r="Q1140" s="59" t="str">
        <f>IFERROR(__xludf.DUMMYFUNCTION("iferror(filter('3.5.clean'!C:C,'3.5.clean'!A:A=C1140),"""")"),"")</f>
        <v/>
      </c>
      <c r="R1140" s="58"/>
      <c r="S1140" s="4" t="str">
        <f>IFERROR(__xludf.DUMMYFUNCTION("iferror(filter('3.5.clean'!H:H,'3.5.clean'!A:A=C1140),"""")"),"")</f>
        <v/>
      </c>
      <c r="W1140" s="23" t="b">
        <f>if(AND(H1140=TRUE,N1140=TRUE,P1140=TRUE),TRUE,FALSE)</f>
        <v>0</v>
      </c>
      <c r="X1140" s="23" t="str">
        <f>IFERROR(__xludf.DUMMYFUNCTION("if(COUNTA(FILTER(C:C, C:C = C1140))=1,""no"",""yes"")"),"no")</f>
        <v>no</v>
      </c>
    </row>
    <row r="1141">
      <c r="A1141" s="1" t="s">
        <v>940</v>
      </c>
      <c r="B1141" s="19">
        <v>6.0</v>
      </c>
      <c r="C1141" s="19" t="s">
        <v>1850</v>
      </c>
      <c r="D1141" s="58" t="str">
        <f t="shared" si="926"/>
        <v/>
      </c>
      <c r="E1141" s="59">
        <f>Q1141</f>
        <v>43812</v>
      </c>
      <c r="F1141" s="60" t="str">
        <f>IFERROR(__xludf.DUMMYFUNCTION("iferror(ifna(IFNA(filter('2.1.clean'!E:E,'2.1.clean'!A:A=C1141),filter('2.2.clean'!G:G,'2.2.clean'!D:D=C1141)),filter('2.4.clean'!E:E,'2.4.clean'!A:A=C1141)),)"),"")</f>
        <v/>
      </c>
      <c r="G1141" s="59" t="str">
        <f>IFERROR(__xludf.DUMMYFUNCTION("iferror(filter('3.1.clean'!C:C,'3.1.clean'!A:A=C1141),"""")"),"")</f>
        <v/>
      </c>
      <c r="H1141" s="58"/>
      <c r="I1141" s="58" t="str">
        <f>IFERROR(__xludf.DUMMYFUNCTION("iferror(filter('3.1.clean'!G:G,'3.1.clean'!A:A=C1141),"""")"),"")</f>
        <v/>
      </c>
      <c r="J1141" s="60" t="str">
        <f>IFERROR(__xludf.DUMMYFUNCTION("iferror(filter('3.1.clean'!I:I,'3.1.clean'!A:A=C1141),"""")"),"")</f>
        <v/>
      </c>
      <c r="K1141" s="59"/>
      <c r="L1141" s="60"/>
      <c r="M1141" s="59" t="str">
        <f>IFERROR(__xludf.DUMMYFUNCTION("iferror(filter('3.3.clean'!C:C,'3.3.clean'!A:A=C1141),"""")"),"")</f>
        <v/>
      </c>
      <c r="N1141" s="60" t="b">
        <f t="shared" si="919"/>
        <v>0</v>
      </c>
      <c r="O1141" s="59" t="str">
        <f>IFERROR(__xludf.DUMMYFUNCTION("iferror(filter('3.4.clean'!C:C,'3.4.clean'!A:A=C1141),"""")"),"")</f>
        <v/>
      </c>
      <c r="P1141" s="60" t="b">
        <f t="shared" si="920"/>
        <v>0</v>
      </c>
      <c r="Q1141" s="59">
        <f>IFERROR(__xludf.DUMMYFUNCTION("iferror(filter('3.5.clean'!C:C,'3.5.clean'!A:A=C1141),"""")"),43812.0)</f>
        <v>43812</v>
      </c>
      <c r="R1141" s="58" t="b">
        <f t="shared" ref="R1141:R1142" si="927">if(Q1141="",FALSE,TRUE)</f>
        <v>1</v>
      </c>
      <c r="S1141" s="4">
        <f>IFERROR(__xludf.DUMMYFUNCTION("iferror(filter('3.5.clean'!H:H,'3.5.clean'!A:A=C1141),"""")"),0.0)</f>
        <v>0</v>
      </c>
      <c r="V1141" s="52" t="s">
        <v>64</v>
      </c>
      <c r="W1141" s="23" t="b">
        <f>if(AND(R1141=TRUE,N1141=TRUE,P1141=TRUE),TRUE,FALSE)</f>
        <v>0</v>
      </c>
      <c r="X1141" s="23" t="str">
        <f>IFERROR(__xludf.DUMMYFUNCTION("if(COUNTA(FILTER(C:C, C:C = C1141))=1,""no"",""yes"")"),"no")</f>
        <v>no</v>
      </c>
    </row>
    <row r="1142">
      <c r="A1142" s="1" t="s">
        <v>940</v>
      </c>
      <c r="B1142" s="2">
        <v>7.0</v>
      </c>
      <c r="C1142" s="19" t="s">
        <v>1851</v>
      </c>
      <c r="E1142" s="24">
        <f>IFERROR(__xludf.DUMMYFUNCTION("ifna(IFNA(filter('2.1.clean'!C:C,'2.1.clean'!A:A=C1142),filter('2.2.clean'!E:E,'2.2.clean'!D:D=C1142)),filter('2.4.clean'!C:C,'2.4.clean'!A:A=C1142))"),43812.0)</f>
        <v>43812</v>
      </c>
      <c r="F1142" s="25">
        <f>IFERROR(__xludf.DUMMYFUNCTION("iferror(ifna(IFNA(filter('2.1.clean'!E:E,'2.1.clean'!A:A=C1142),filter('2.2.clean'!G:G,'2.2.clean'!D:D=C1142)),filter('2.4.clean'!E:E,'2.4.clean'!A:A=C1142)),)"),2.39999999999999)</f>
        <v>2.4</v>
      </c>
      <c r="G1142" s="24">
        <f>IFERROR(__xludf.DUMMYFUNCTION("iferror(filter('3.1.clean'!C:C,'3.1.clean'!A:A=C1142),"""")"),43812.0)</f>
        <v>43812</v>
      </c>
      <c r="H1142" s="23" t="b">
        <f t="shared" ref="H1142:H1143" si="928">if(G1142="",FALSE,TRUE)</f>
        <v>1</v>
      </c>
      <c r="J1142" s="25"/>
      <c r="K1142" s="24">
        <f>IFERROR(__xludf.DUMMYFUNCTION("iferror(filter('3.2.clean'!C:C,'3.2.clean'!A:A=C1142),"""")"),43812.0)</f>
        <v>43812</v>
      </c>
      <c r="L1142" s="25" t="b">
        <f>if(K1142="",FALSE,TRUE)</f>
        <v>1</v>
      </c>
      <c r="M1142" s="24">
        <f>IFERROR(__xludf.DUMMYFUNCTION("iferror(filter('3.3.clean'!C:C,'3.3.clean'!A:A=C1142),"""")"),43815.0)</f>
        <v>43815</v>
      </c>
      <c r="N1142" s="25" t="b">
        <f t="shared" si="919"/>
        <v>1</v>
      </c>
      <c r="O1142" s="24">
        <f>IFERROR(__xludf.DUMMYFUNCTION("iferror(filter('3.4.clean'!C:C,'3.4.clean'!A:A=C1142),"""")"),43818.0)</f>
        <v>43818</v>
      </c>
      <c r="P1142" s="25" t="b">
        <f t="shared" si="920"/>
        <v>1</v>
      </c>
      <c r="Q1142" s="24">
        <f>IFERROR(__xludf.DUMMYFUNCTION("iferror(filter('3.5.clean'!C:C,'3.5.clean'!A:A=C1142),"""")"),43812.0)</f>
        <v>43812</v>
      </c>
      <c r="R1142" s="23" t="b">
        <f t="shared" si="927"/>
        <v>1</v>
      </c>
      <c r="S1142" s="25"/>
      <c r="V1142" s="1" t="s">
        <v>64</v>
      </c>
      <c r="X1142" s="23" t="str">
        <f>IFERROR(__xludf.DUMMYFUNCTION("if(COUNTA(FILTER(C:C, C:C = C1142))=1,""no"",""yes"")"),"no")</f>
        <v>no</v>
      </c>
    </row>
    <row r="1143">
      <c r="A1143" s="1" t="s">
        <v>940</v>
      </c>
      <c r="B1143" s="19">
        <v>8.0</v>
      </c>
      <c r="C1143" s="19" t="s">
        <v>1852</v>
      </c>
      <c r="D1143" s="58" t="str">
        <f t="shared" ref="D1143:D1144" si="929">if(or(I1143=1,J1143=1,S1143=1),"pos","")</f>
        <v/>
      </c>
      <c r="E1143" s="59">
        <f>IFERROR(__xludf.DUMMYFUNCTION("ifna(IFNA(filter('2.1.clean'!C:C,'2.1.clean'!A:A=C1143),filter('2.2.clean'!E:E,'2.2.clean'!D:D=C1143)),filter('2.4.clean'!C:C,'2.4.clean'!A:A=C1143))"),43812.0)</f>
        <v>43812</v>
      </c>
      <c r="F1143" s="60">
        <f>IFERROR(__xludf.DUMMYFUNCTION("iferror(ifna(IFNA(filter('2.1.clean'!E:E,'2.1.clean'!A:A=C1143),filter('2.2.clean'!G:G,'2.2.clean'!D:D=C1143)),filter('2.4.clean'!E:E,'2.4.clean'!A:A=C1143)),)"),2.39999999999999)</f>
        <v>2.4</v>
      </c>
      <c r="G1143" s="59">
        <f>IFERROR(__xludf.DUMMYFUNCTION("iferror(filter('3.1.clean'!C:C,'3.1.clean'!A:A=C1143),"""")"),43812.0)</f>
        <v>43812</v>
      </c>
      <c r="H1143" s="58" t="b">
        <f t="shared" si="928"/>
        <v>1</v>
      </c>
      <c r="I1143" s="58">
        <f>IFERROR(__xludf.DUMMYFUNCTION("iferror(filter('3.1.clean'!G:G,'3.1.clean'!A:A=C1143),"""")"),0.0)</f>
        <v>0</v>
      </c>
      <c r="J1143" s="60" t="str">
        <f>IFERROR(__xludf.DUMMYFUNCTION("iferror(filter('3.1.clean'!I:I,'3.1.clean'!A:A=C1143),"""")"),"")</f>
        <v/>
      </c>
      <c r="K1143" s="58"/>
      <c r="L1143" s="60"/>
      <c r="M1143" s="59" t="str">
        <f>IFERROR(__xludf.DUMMYFUNCTION("iferror(filter('3.3.clean'!C:C,'3.3.clean'!A:A=C1143),"""")"),"")</f>
        <v/>
      </c>
      <c r="N1143" s="60" t="b">
        <f t="shared" si="919"/>
        <v>0</v>
      </c>
      <c r="O1143" s="59" t="str">
        <f>IFERROR(__xludf.DUMMYFUNCTION("iferror(filter('3.4.clean'!C:C,'3.4.clean'!A:A=C1143),"""")"),"")</f>
        <v/>
      </c>
      <c r="P1143" s="60" t="b">
        <f t="shared" si="920"/>
        <v>0</v>
      </c>
      <c r="Q1143" s="59" t="str">
        <f>IFERROR(__xludf.DUMMYFUNCTION("iferror(filter('3.5.clean'!C:C,'3.5.clean'!A:A=C1143),"""")"),"")</f>
        <v/>
      </c>
      <c r="R1143" s="58"/>
      <c r="S1143" s="4" t="str">
        <f>IFERROR(__xludf.DUMMYFUNCTION("iferror(filter('3.5.clean'!H:H,'3.5.clean'!A:A=C1143),"""")"),"")</f>
        <v/>
      </c>
      <c r="W1143" s="23" t="b">
        <f>if(AND(H1143=TRUE,N1143=TRUE,P1143=TRUE),TRUE,FALSE)</f>
        <v>0</v>
      </c>
      <c r="X1143" s="23" t="str">
        <f>IFERROR(__xludf.DUMMYFUNCTION("if(COUNTA(FILTER(C:C, C:C = C1143))=1,""no"",""yes"")"),"no")</f>
        <v>no</v>
      </c>
    </row>
    <row r="1144">
      <c r="A1144" s="1" t="s">
        <v>940</v>
      </c>
      <c r="B1144" s="19">
        <v>9.0</v>
      </c>
      <c r="C1144" s="19" t="s">
        <v>1853</v>
      </c>
      <c r="D1144" s="58" t="str">
        <f t="shared" si="929"/>
        <v/>
      </c>
      <c r="E1144" s="59">
        <f>Q1144</f>
        <v>43812</v>
      </c>
      <c r="F1144" s="60" t="str">
        <f>IFERROR(__xludf.DUMMYFUNCTION("iferror(ifna(IFNA(filter('2.1.clean'!E:E,'2.1.clean'!A:A=C1144),filter('2.2.clean'!G:G,'2.2.clean'!D:D=C1144)),filter('2.4.clean'!E:E,'2.4.clean'!A:A=C1144)),)"),"")</f>
        <v/>
      </c>
      <c r="G1144" s="59" t="str">
        <f>IFERROR(__xludf.DUMMYFUNCTION("iferror(filter('3.1.clean'!C:C,'3.1.clean'!A:A=C1144),"""")"),"")</f>
        <v/>
      </c>
      <c r="H1144" s="58"/>
      <c r="I1144" s="58" t="str">
        <f>IFERROR(__xludf.DUMMYFUNCTION("iferror(filter('3.1.clean'!G:G,'3.1.clean'!A:A=C1144),"""")"),"")</f>
        <v/>
      </c>
      <c r="J1144" s="60" t="str">
        <f>IFERROR(__xludf.DUMMYFUNCTION("iferror(filter('3.1.clean'!I:I,'3.1.clean'!A:A=C1144),"""")"),"")</f>
        <v/>
      </c>
      <c r="K1144" s="59"/>
      <c r="L1144" s="60"/>
      <c r="M1144" s="59" t="str">
        <f>IFERROR(__xludf.DUMMYFUNCTION("iferror(filter('3.3.clean'!C:C,'3.3.clean'!A:A=C1144),"""")"),"")</f>
        <v/>
      </c>
      <c r="N1144" s="60" t="b">
        <f t="shared" si="919"/>
        <v>0</v>
      </c>
      <c r="O1144" s="59" t="str">
        <f>IFERROR(__xludf.DUMMYFUNCTION("iferror(filter('3.4.clean'!C:C,'3.4.clean'!A:A=C1144),"""")"),"")</f>
        <v/>
      </c>
      <c r="P1144" s="60" t="b">
        <f t="shared" si="920"/>
        <v>0</v>
      </c>
      <c r="Q1144" s="59">
        <f>IFERROR(__xludf.DUMMYFUNCTION("iferror(filter('3.5.clean'!C:C,'3.5.clean'!A:A=C1144),"""")"),43812.0)</f>
        <v>43812</v>
      </c>
      <c r="R1144" s="58" t="b">
        <f t="shared" ref="R1144:R1145" si="930">if(Q1144="",FALSE,TRUE)</f>
        <v>1</v>
      </c>
      <c r="S1144" s="4">
        <f>IFERROR(__xludf.DUMMYFUNCTION("iferror(filter('3.5.clean'!H:H,'3.5.clean'!A:A=C1144),"""")"),0.0)</f>
        <v>0</v>
      </c>
      <c r="V1144" s="52" t="s">
        <v>64</v>
      </c>
      <c r="W1144" s="23" t="b">
        <f>if(AND(R1144=TRUE,N1144=TRUE,P1144=TRUE),TRUE,FALSE)</f>
        <v>0</v>
      </c>
      <c r="X1144" s="23" t="str">
        <f>IFERROR(__xludf.DUMMYFUNCTION("if(COUNTA(FILTER(C:C, C:C = C1144))=1,""no"",""yes"")"),"no")</f>
        <v>no</v>
      </c>
    </row>
    <row r="1145">
      <c r="A1145" s="1" t="s">
        <v>940</v>
      </c>
      <c r="B1145" s="2">
        <v>10.0</v>
      </c>
      <c r="C1145" s="19" t="s">
        <v>1854</v>
      </c>
      <c r="E1145" s="24">
        <f>IFERROR(__xludf.DUMMYFUNCTION("ifna(IFNA(filter('2.1.clean'!C:C,'2.1.clean'!A:A=C1145),filter('2.2.clean'!E:E,'2.2.clean'!D:D=C1145)),filter('2.4.clean'!C:C,'2.4.clean'!A:A=C1145))"),43812.0)</f>
        <v>43812</v>
      </c>
      <c r="F1145" s="25">
        <f>IFERROR(__xludf.DUMMYFUNCTION("iferror(ifna(IFNA(filter('2.1.clean'!E:E,'2.1.clean'!A:A=C1145),filter('2.2.clean'!G:G,'2.2.clean'!D:D=C1145)),filter('2.4.clean'!E:E,'2.4.clean'!A:A=C1145)),)"),2.39999999999999)</f>
        <v>2.4</v>
      </c>
      <c r="G1145" s="24">
        <f>IFERROR(__xludf.DUMMYFUNCTION("iferror(filter('3.1.clean'!C:C,'3.1.clean'!A:A=C1145),"""")"),43812.0)</f>
        <v>43812</v>
      </c>
      <c r="H1145" s="23" t="b">
        <f t="shared" ref="H1145:H1146" si="931">if(G1145="",FALSE,TRUE)</f>
        <v>1</v>
      </c>
      <c r="J1145" s="25"/>
      <c r="K1145" s="24">
        <f>IFERROR(__xludf.DUMMYFUNCTION("iferror(filter('3.2.clean'!C:C,'3.2.clean'!A:A=C1145),"""")"),43812.0)</f>
        <v>43812</v>
      </c>
      <c r="L1145" s="25" t="b">
        <f>if(K1145="",FALSE,TRUE)</f>
        <v>1</v>
      </c>
      <c r="M1145" s="24">
        <f>IFERROR(__xludf.DUMMYFUNCTION("iferror(filter('3.3.clean'!C:C,'3.3.clean'!A:A=C1145),"""")"),43815.0)</f>
        <v>43815</v>
      </c>
      <c r="N1145" s="25" t="b">
        <f t="shared" si="919"/>
        <v>1</v>
      </c>
      <c r="O1145" s="24">
        <f>IFERROR(__xludf.DUMMYFUNCTION("iferror(filter('3.4.clean'!C:C,'3.4.clean'!A:A=C1145),"""")"),43818.0)</f>
        <v>43818</v>
      </c>
      <c r="P1145" s="25" t="b">
        <f t="shared" si="920"/>
        <v>1</v>
      </c>
      <c r="Q1145" s="24">
        <f>IFERROR(__xludf.DUMMYFUNCTION("iferror(filter('3.5.clean'!C:C,'3.5.clean'!A:A=C1145),"""")"),43812.0)</f>
        <v>43812</v>
      </c>
      <c r="R1145" s="23" t="b">
        <f t="shared" si="930"/>
        <v>1</v>
      </c>
      <c r="S1145" s="25"/>
      <c r="V1145" s="1" t="s">
        <v>64</v>
      </c>
      <c r="X1145" s="23" t="str">
        <f>IFERROR(__xludf.DUMMYFUNCTION("if(COUNTA(FILTER(C:C, C:C = C1145))=1,""no"",""yes"")"),"no")</f>
        <v>no</v>
      </c>
    </row>
    <row r="1146">
      <c r="A1146" s="1" t="s">
        <v>940</v>
      </c>
      <c r="B1146" s="19">
        <v>11.0</v>
      </c>
      <c r="C1146" s="19" t="s">
        <v>1855</v>
      </c>
      <c r="D1146" s="58" t="str">
        <f t="shared" ref="D1146:D1149" si="932">if(or(I1146=1,J1146=1,S1146=1),"pos","")</f>
        <v/>
      </c>
      <c r="E1146" s="59">
        <f>IFERROR(__xludf.DUMMYFUNCTION("ifna(IFNA(filter('2.1.clean'!C:C,'2.1.clean'!A:A=C1146),filter('2.2.clean'!E:E,'2.2.clean'!D:D=C1146)),filter('2.4.clean'!C:C,'2.4.clean'!A:A=C1146))"),43812.0)</f>
        <v>43812</v>
      </c>
      <c r="F1146" s="60">
        <f>IFERROR(__xludf.DUMMYFUNCTION("iferror(ifna(IFNA(filter('2.1.clean'!E:E,'2.1.clean'!A:A=C1146),filter('2.2.clean'!G:G,'2.2.clean'!D:D=C1146)),filter('2.4.clean'!E:E,'2.4.clean'!A:A=C1146)),)"),2.39999999999999)</f>
        <v>2.4</v>
      </c>
      <c r="G1146" s="59">
        <f>IFERROR(__xludf.DUMMYFUNCTION("iferror(filter('3.1.clean'!C:C,'3.1.clean'!A:A=C1146),"""")"),43812.0)</f>
        <v>43812</v>
      </c>
      <c r="H1146" s="58" t="b">
        <f t="shared" si="931"/>
        <v>1</v>
      </c>
      <c r="I1146" s="58">
        <f>IFERROR(__xludf.DUMMYFUNCTION("iferror(filter('3.1.clean'!G:G,'3.1.clean'!A:A=C1146),"""")"),0.0)</f>
        <v>0</v>
      </c>
      <c r="J1146" s="60" t="str">
        <f>IFERROR(__xludf.DUMMYFUNCTION("iferror(filter('3.1.clean'!I:I,'3.1.clean'!A:A=C1146),"""")"),"")</f>
        <v/>
      </c>
      <c r="K1146" s="58"/>
      <c r="L1146" s="60"/>
      <c r="M1146" s="59" t="str">
        <f>IFERROR(__xludf.DUMMYFUNCTION("iferror(filter('3.3.clean'!C:C,'3.3.clean'!A:A=C1146),"""")"),"")</f>
        <v/>
      </c>
      <c r="N1146" s="60" t="b">
        <f t="shared" si="919"/>
        <v>0</v>
      </c>
      <c r="O1146" s="59" t="str">
        <f>IFERROR(__xludf.DUMMYFUNCTION("iferror(filter('3.4.clean'!C:C,'3.4.clean'!A:A=C1146),"""")"),"")</f>
        <v/>
      </c>
      <c r="P1146" s="60" t="b">
        <f t="shared" si="920"/>
        <v>0</v>
      </c>
      <c r="Q1146" s="59" t="str">
        <f>IFERROR(__xludf.DUMMYFUNCTION("iferror(filter('3.5.clean'!C:C,'3.5.clean'!A:A=C1146),"""")"),"")</f>
        <v/>
      </c>
      <c r="R1146" s="58"/>
      <c r="S1146" s="4" t="str">
        <f>IFERROR(__xludf.DUMMYFUNCTION("iferror(filter('3.5.clean'!H:H,'3.5.clean'!A:A=C1146),"""")"),"")</f>
        <v/>
      </c>
      <c r="W1146" s="23" t="b">
        <f>if(AND(H1146=TRUE,N1146=TRUE,P1146=TRUE),TRUE,FALSE)</f>
        <v>0</v>
      </c>
      <c r="X1146" s="23" t="str">
        <f>IFERROR(__xludf.DUMMYFUNCTION("if(COUNTA(FILTER(C:C, C:C = C1146))=1,""no"",""yes"")"),"no")</f>
        <v>no</v>
      </c>
    </row>
    <row r="1147">
      <c r="A1147" s="1" t="s">
        <v>940</v>
      </c>
      <c r="B1147" s="19">
        <v>12.0</v>
      </c>
      <c r="C1147" s="19" t="s">
        <v>1856</v>
      </c>
      <c r="D1147" s="58" t="str">
        <f t="shared" si="932"/>
        <v/>
      </c>
      <c r="E1147" s="59">
        <f>Q1147</f>
        <v>43812</v>
      </c>
      <c r="F1147" s="60" t="str">
        <f>IFERROR(__xludf.DUMMYFUNCTION("iferror(ifna(IFNA(filter('2.1.clean'!E:E,'2.1.clean'!A:A=C1147),filter('2.2.clean'!G:G,'2.2.clean'!D:D=C1147)),filter('2.4.clean'!E:E,'2.4.clean'!A:A=C1147)),)"),"")</f>
        <v/>
      </c>
      <c r="G1147" s="59" t="str">
        <f>IFERROR(__xludf.DUMMYFUNCTION("iferror(filter('3.1.clean'!C:C,'3.1.clean'!A:A=C1147),"""")"),"")</f>
        <v/>
      </c>
      <c r="H1147" s="58"/>
      <c r="I1147" s="58" t="str">
        <f>IFERROR(__xludf.DUMMYFUNCTION("iferror(filter('3.1.clean'!G:G,'3.1.clean'!A:A=C1147),"""")"),"")</f>
        <v/>
      </c>
      <c r="J1147" s="60" t="str">
        <f>IFERROR(__xludf.DUMMYFUNCTION("iferror(filter('3.1.clean'!I:I,'3.1.clean'!A:A=C1147),"""")"),"")</f>
        <v/>
      </c>
      <c r="K1147" s="59"/>
      <c r="L1147" s="60"/>
      <c r="M1147" s="59" t="str">
        <f>IFERROR(__xludf.DUMMYFUNCTION("iferror(filter('3.3.clean'!C:C,'3.3.clean'!A:A=C1147),"""")"),"")</f>
        <v/>
      </c>
      <c r="N1147" s="60" t="b">
        <f t="shared" si="919"/>
        <v>0</v>
      </c>
      <c r="O1147" s="59" t="str">
        <f>IFERROR(__xludf.DUMMYFUNCTION("iferror(filter('3.4.clean'!C:C,'3.4.clean'!A:A=C1147),"""")"),"")</f>
        <v/>
      </c>
      <c r="P1147" s="60" t="b">
        <f t="shared" si="920"/>
        <v>0</v>
      </c>
      <c r="Q1147" s="59">
        <f>IFERROR(__xludf.DUMMYFUNCTION("iferror(filter('3.5.clean'!C:C,'3.5.clean'!A:A=C1147),"""")"),43812.0)</f>
        <v>43812</v>
      </c>
      <c r="R1147" s="58" t="b">
        <f>if(Q1147="",FALSE,TRUE)</f>
        <v>1</v>
      </c>
      <c r="S1147" s="4">
        <f>IFERROR(__xludf.DUMMYFUNCTION("iferror(filter('3.5.clean'!H:H,'3.5.clean'!A:A=C1147),"""")"),0.0)</f>
        <v>0</v>
      </c>
      <c r="V1147" s="52" t="s">
        <v>64</v>
      </c>
      <c r="W1147" s="23" t="b">
        <f>if(AND(R1147=TRUE,N1147=TRUE,P1147=TRUE),TRUE,FALSE)</f>
        <v>0</v>
      </c>
      <c r="X1147" s="23" t="str">
        <f>IFERROR(__xludf.DUMMYFUNCTION("if(COUNTA(FILTER(C:C, C:C = C1147))=1,""no"",""yes"")"),"no")</f>
        <v>no</v>
      </c>
    </row>
    <row r="1148">
      <c r="A1148" s="1" t="s">
        <v>940</v>
      </c>
      <c r="B1148" s="19">
        <v>13.0</v>
      </c>
      <c r="C1148" s="19" t="s">
        <v>1857</v>
      </c>
      <c r="D1148" s="76" t="str">
        <f t="shared" si="932"/>
        <v/>
      </c>
      <c r="E1148" s="77">
        <f>G1148</f>
        <v>43812</v>
      </c>
      <c r="F1148" s="78" t="str">
        <f>IFERROR(__xludf.DUMMYFUNCTION("iferror(ifna(IFNA(filter('2.1.clean'!E:E,'2.1.clean'!A:A=C1148),filter('2.2.clean'!G:G,'2.2.clean'!D:D=C1148)),filter('2.4.clean'!E:E,'2.4.clean'!A:A=C1148)),)"),"")</f>
        <v/>
      </c>
      <c r="G1148" s="77">
        <f>IFERROR(__xludf.DUMMYFUNCTION("iferror(filter('3.1.clean'!C:C,'3.1.clean'!A:A=C1148),"""")"),43812.0)</f>
        <v>43812</v>
      </c>
      <c r="H1148" s="76" t="b">
        <f>if(G1148="",FALSE,TRUE)</f>
        <v>1</v>
      </c>
      <c r="I1148" s="76">
        <f>IFERROR(__xludf.DUMMYFUNCTION("iferror(filter('3.1.clean'!G:G,'3.1.clean'!A:A=C1148),"""")"),0.0)</f>
        <v>0</v>
      </c>
      <c r="J1148" s="78" t="str">
        <f>IFERROR(__xludf.DUMMYFUNCTION("iferror(filter('3.1.clean'!I:I,'3.1.clean'!A:A=C1148),"""")"),"")</f>
        <v/>
      </c>
      <c r="K1148" s="77"/>
      <c r="L1148" s="78"/>
      <c r="M1148" s="77"/>
      <c r="N1148" s="78"/>
      <c r="O1148" s="77"/>
      <c r="P1148" s="78"/>
      <c r="Q1148" s="77"/>
      <c r="R1148" s="76"/>
      <c r="S1148" s="25"/>
      <c r="V1148" s="1" t="s">
        <v>64</v>
      </c>
      <c r="W1148" s="1" t="b">
        <v>1</v>
      </c>
      <c r="X1148" s="23" t="str">
        <f>IFERROR(__xludf.DUMMYFUNCTION("if(COUNTA(FILTER(C:C, C:C = C1148))=1,""no"",""yes"")"),"no")</f>
        <v>no</v>
      </c>
    </row>
    <row r="1149">
      <c r="A1149" s="1" t="s">
        <v>940</v>
      </c>
      <c r="B1149" s="19">
        <v>14.0</v>
      </c>
      <c r="C1149" s="19" t="s">
        <v>1858</v>
      </c>
      <c r="D1149" s="22" t="str">
        <f t="shared" si="932"/>
        <v/>
      </c>
      <c r="E1149" s="20">
        <f>Q1149</f>
        <v>43812</v>
      </c>
      <c r="F1149" s="79" t="str">
        <f>IFERROR(__xludf.DUMMYFUNCTION("iferror(ifna(IFNA(filter('2.1.clean'!E:E,'2.1.clean'!A:A=C1149),filter('2.2.clean'!G:G,'2.2.clean'!D:D=C1149)),filter('2.4.clean'!E:E,'2.4.clean'!A:A=C1149)),)"),"")</f>
        <v/>
      </c>
      <c r="G1149" s="20" t="str">
        <f>IFERROR(__xludf.DUMMYFUNCTION("iferror(filter('3.1.clean'!C:C,'3.1.clean'!A:A=C1149),"""")"),"")</f>
        <v/>
      </c>
      <c r="H1149" s="22"/>
      <c r="I1149" s="22"/>
      <c r="J1149" s="79"/>
      <c r="K1149" s="20" t="str">
        <f>IFERROR(__xludf.DUMMYFUNCTION("iferror(filter('3.2.clean'!C:C,'3.2.clean'!A:A=C1149),"""")"),"")</f>
        <v/>
      </c>
      <c r="L1149" s="79"/>
      <c r="M1149" s="20" t="str">
        <f>IFERROR(__xludf.DUMMYFUNCTION("iferror(filter('3.3.clean'!C:C,'3.3.clean'!A:A=C1149),"""")"),"")</f>
        <v/>
      </c>
      <c r="N1149" s="79" t="b">
        <f t="shared" ref="N1149:N1166" si="933">if(M1149="",FALSE,TRUE)</f>
        <v>0</v>
      </c>
      <c r="O1149" s="20" t="str">
        <f>IFERROR(__xludf.DUMMYFUNCTION("iferror(filter('3.4.clean'!C:C,'3.4.clean'!A:A=C1149),"""")"),"")</f>
        <v/>
      </c>
      <c r="P1149" s="79" t="b">
        <f t="shared" ref="P1149:P1166" si="934">if(O1149="",FALSE,TRUE)</f>
        <v>0</v>
      </c>
      <c r="Q1149" s="20">
        <f>IFERROR(__xludf.DUMMYFUNCTION("iferror(filter('3.5.clean'!C:C,'3.5.clean'!A:A=C1149),"""")"),43812.0)</f>
        <v>43812</v>
      </c>
      <c r="R1149" s="22" t="b">
        <f>if(Q1149="",FALSE,TRUE)</f>
        <v>1</v>
      </c>
      <c r="S1149" s="4">
        <f>IFERROR(__xludf.DUMMYFUNCTION("iferror(filter('3.5.clean'!H:H,'3.5.clean'!A:A=C1149),"""")"),0.0)</f>
        <v>0</v>
      </c>
      <c r="V1149" s="1" t="s">
        <v>64</v>
      </c>
      <c r="W1149" s="23" t="b">
        <f>IF(and(R1149=TRUE,N1149=TRUE,P1149=TRUE),TRUE,FALSE)</f>
        <v>0</v>
      </c>
      <c r="X1149" s="23" t="str">
        <f>IFERROR(__xludf.DUMMYFUNCTION("if(COUNTA(FILTER(C:C, C:C = C1149))=1,""no"",""yes"")"),"no")</f>
        <v>no</v>
      </c>
    </row>
    <row r="1150">
      <c r="A1150" s="1" t="s">
        <v>940</v>
      </c>
      <c r="B1150" s="2">
        <v>15.0</v>
      </c>
      <c r="C1150" s="19" t="s">
        <v>1859</v>
      </c>
      <c r="E1150" s="24">
        <v>43812.0</v>
      </c>
      <c r="F1150" s="25" t="str">
        <f>IFERROR(__xludf.DUMMYFUNCTION("iferror(ifna(IFNA(filter('2.1.clean'!E:E,'2.1.clean'!A:A=C1150),filter('2.2.clean'!G:G,'2.2.clean'!D:D=C1150)),filter('2.4.clean'!E:E,'2.4.clean'!A:A=C1150)),)"),"")</f>
        <v/>
      </c>
      <c r="G1150" s="24" t="str">
        <f>IFERROR(__xludf.DUMMYFUNCTION("iferror(filter('3.1.clean'!C:C,'3.1.clean'!A:A=C1150),"""")"),"")</f>
        <v/>
      </c>
      <c r="J1150" s="25"/>
      <c r="K1150" s="24" t="str">
        <f>IFERROR(__xludf.DUMMYFUNCTION("iferror(filter('3.2.clean'!C:C,'3.2.clean'!A:A=C1150),"""")"),"")</f>
        <v/>
      </c>
      <c r="L1150" s="25"/>
      <c r="M1150" s="24">
        <f>IFERROR(__xludf.DUMMYFUNCTION("iferror(filter('3.3.clean'!C:C,'3.3.clean'!A:A=C1150),"""")"),43815.0)</f>
        <v>43815</v>
      </c>
      <c r="N1150" s="25" t="b">
        <f t="shared" si="933"/>
        <v>1</v>
      </c>
      <c r="O1150" s="24" t="str">
        <f>IFERROR(__xludf.DUMMYFUNCTION("iferror(filter('3.4.clean'!C:C,'3.4.clean'!A:A=C1150),"""")"),"")</f>
        <v/>
      </c>
      <c r="P1150" s="25" t="b">
        <f t="shared" si="934"/>
        <v>0</v>
      </c>
      <c r="Q1150" s="24" t="str">
        <f>IFERROR(__xludf.DUMMYFUNCTION("iferror(filter('3.5.clean'!C:C,'3.5.clean'!A:A=C1150),"""")"),"")</f>
        <v/>
      </c>
      <c r="S1150" s="25"/>
      <c r="V1150" s="52" t="s">
        <v>64</v>
      </c>
      <c r="X1150" s="23" t="str">
        <f>IFERROR(__xludf.DUMMYFUNCTION("if(COUNTA(FILTER(C:C, C:C = C1150))=1,""no"",""yes"")"),"no")</f>
        <v>no</v>
      </c>
    </row>
    <row r="1151">
      <c r="A1151" s="75" t="s">
        <v>943</v>
      </c>
      <c r="B1151" s="2">
        <v>1.0</v>
      </c>
      <c r="C1151" s="19" t="s">
        <v>1860</v>
      </c>
      <c r="E1151" s="24">
        <f>IFERROR(__xludf.DUMMYFUNCTION("ifna(IFNA(filter('2.1.clean'!C:C,'2.1.clean'!A:A=C1151),filter('2.2.clean'!E:E,'2.2.clean'!D:D=C1151)),filter('2.4.clean'!C:C,'2.4.clean'!A:A=C1151))"),43815.0)</f>
        <v>43815</v>
      </c>
      <c r="F1151" s="25">
        <f>IFERROR(__xludf.DUMMYFUNCTION("iferror(ifna(IFNA(filter('2.1.clean'!E:E,'2.1.clean'!A:A=C1151),filter('2.2.clean'!G:G,'2.2.clean'!D:D=C1151)),filter('2.4.clean'!E:E,'2.4.clean'!A:A=C1151)),)"),2.39999999999999)</f>
        <v>2.4</v>
      </c>
      <c r="G1151" s="24">
        <f>IFERROR(__xludf.DUMMYFUNCTION("iferror(filter('3.1.clean'!C:C,'3.1.clean'!A:A=C1151),"""")"),43815.0)</f>
        <v>43815</v>
      </c>
      <c r="H1151" s="23" t="b">
        <f t="shared" ref="H1151:H1152" si="935">if(G1151="",FALSE,TRUE)</f>
        <v>1</v>
      </c>
      <c r="J1151" s="25"/>
      <c r="K1151" s="24">
        <f>IFERROR(__xludf.DUMMYFUNCTION("iferror(filter('3.2.clean'!C:C,'3.2.clean'!A:A=C1151),"""")"),43817.0)</f>
        <v>43817</v>
      </c>
      <c r="L1151" s="25" t="b">
        <f>if(K1151="",FALSE,TRUE)</f>
        <v>1</v>
      </c>
      <c r="M1151" s="24" t="str">
        <f>IFERROR(__xludf.DUMMYFUNCTION("iferror(filter('3.3.clean'!C:C,'3.3.clean'!A:A=C1151),"""")"),"")</f>
        <v/>
      </c>
      <c r="N1151" s="25" t="b">
        <f t="shared" si="933"/>
        <v>0</v>
      </c>
      <c r="O1151" s="24">
        <f>IFERROR(__xludf.DUMMYFUNCTION("iferror(filter('3.4.clean'!C:C,'3.4.clean'!A:A=C1151),"""")"),43818.0)</f>
        <v>43818</v>
      </c>
      <c r="P1151" s="25" t="b">
        <f t="shared" si="934"/>
        <v>1</v>
      </c>
      <c r="Q1151" s="24">
        <f>IFERROR(__xludf.DUMMYFUNCTION("iferror(filter('3.5.clean'!C:C,'3.5.clean'!A:A=C1151),"""")"),43815.0)</f>
        <v>43815</v>
      </c>
      <c r="R1151" s="23" t="b">
        <f>if(Q1151="",FALSE,TRUE)</f>
        <v>1</v>
      </c>
      <c r="S1151" s="25"/>
      <c r="V1151" s="1" t="s">
        <v>64</v>
      </c>
      <c r="X1151" s="23" t="str">
        <f>IFERROR(__xludf.DUMMYFUNCTION("if(COUNTA(FILTER(C:C, C:C = C1151))=1,""no"",""yes"")"),"no")</f>
        <v>no</v>
      </c>
    </row>
    <row r="1152">
      <c r="A1152" s="75" t="s">
        <v>943</v>
      </c>
      <c r="B1152" s="19">
        <v>2.0</v>
      </c>
      <c r="C1152" s="19" t="s">
        <v>1861</v>
      </c>
      <c r="D1152" s="58" t="str">
        <f t="shared" ref="D1152:D1153" si="936">if(or(I1152=1,J1152=1,S1152=1),"pos","")</f>
        <v/>
      </c>
      <c r="E1152" s="59">
        <f>IFERROR(__xludf.DUMMYFUNCTION("ifna(IFNA(filter('2.1.clean'!C:C,'2.1.clean'!A:A=C1152),filter('2.2.clean'!E:E,'2.2.clean'!D:D=C1152)),filter('2.4.clean'!C:C,'2.4.clean'!A:A=C1152))"),43815.0)</f>
        <v>43815</v>
      </c>
      <c r="F1152" s="60">
        <f>IFERROR(__xludf.DUMMYFUNCTION("iferror(ifna(IFNA(filter('2.1.clean'!E:E,'2.1.clean'!A:A=C1152),filter('2.2.clean'!G:G,'2.2.clean'!D:D=C1152)),filter('2.4.clean'!E:E,'2.4.clean'!A:A=C1152)),)"),2.39999999999999)</f>
        <v>2.4</v>
      </c>
      <c r="G1152" s="59">
        <f>IFERROR(__xludf.DUMMYFUNCTION("iferror(filter('3.1.clean'!C:C,'3.1.clean'!A:A=C1152),"""")"),43815.0)</f>
        <v>43815</v>
      </c>
      <c r="H1152" s="58" t="b">
        <f t="shared" si="935"/>
        <v>1</v>
      </c>
      <c r="I1152" s="58">
        <f>IFERROR(__xludf.DUMMYFUNCTION("iferror(filter('3.1.clean'!G:G,'3.1.clean'!A:A=C1152),"""")"),0.0)</f>
        <v>0</v>
      </c>
      <c r="J1152" s="60" t="str">
        <f>IFERROR(__xludf.DUMMYFUNCTION("iferror(filter('3.1.clean'!I:I,'3.1.clean'!A:A=C1152),"""")"),"")</f>
        <v/>
      </c>
      <c r="K1152" s="58"/>
      <c r="L1152" s="60"/>
      <c r="M1152" s="59" t="str">
        <f>IFERROR(__xludf.DUMMYFUNCTION("iferror(filter('3.3.clean'!C:C,'3.3.clean'!A:A=C1152),"""")"),"")</f>
        <v/>
      </c>
      <c r="N1152" s="60" t="b">
        <f t="shared" si="933"/>
        <v>0</v>
      </c>
      <c r="O1152" s="59" t="str">
        <f>IFERROR(__xludf.DUMMYFUNCTION("iferror(filter('3.4.clean'!C:C,'3.4.clean'!A:A=C1152),"""")"),"")</f>
        <v/>
      </c>
      <c r="P1152" s="60" t="b">
        <f t="shared" si="934"/>
        <v>0</v>
      </c>
      <c r="Q1152" s="59" t="str">
        <f>IFERROR(__xludf.DUMMYFUNCTION("iferror(filter('3.5.clean'!C:C,'3.5.clean'!A:A=C1152),"""")"),"")</f>
        <v/>
      </c>
      <c r="R1152" s="58"/>
      <c r="S1152" s="4" t="str">
        <f>IFERROR(__xludf.DUMMYFUNCTION("iferror(filter('3.5.clean'!H:H,'3.5.clean'!A:A=C1152),"""")"),"")</f>
        <v/>
      </c>
      <c r="W1152" s="23" t="b">
        <f>if(AND(H1152=TRUE,N1152=TRUE,P1152=TRUE),TRUE,FALSE)</f>
        <v>0</v>
      </c>
      <c r="X1152" s="23" t="str">
        <f>IFERROR(__xludf.DUMMYFUNCTION("if(COUNTA(FILTER(C:C, C:C = C1152))=1,""no"",""yes"")"),"no")</f>
        <v>no</v>
      </c>
    </row>
    <row r="1153">
      <c r="A1153" s="75" t="s">
        <v>943</v>
      </c>
      <c r="B1153" s="19">
        <v>3.0</v>
      </c>
      <c r="C1153" s="19" t="s">
        <v>1862</v>
      </c>
      <c r="D1153" s="58" t="str">
        <f t="shared" si="936"/>
        <v/>
      </c>
      <c r="E1153" s="59">
        <f>Q1153</f>
        <v>43815</v>
      </c>
      <c r="F1153" s="60" t="str">
        <f>IFERROR(__xludf.DUMMYFUNCTION("iferror(ifna(IFNA(filter('2.1.clean'!E:E,'2.1.clean'!A:A=C1153),filter('2.2.clean'!G:G,'2.2.clean'!D:D=C1153)),filter('2.4.clean'!E:E,'2.4.clean'!A:A=C1153)),)"),"")</f>
        <v/>
      </c>
      <c r="G1153" s="59" t="str">
        <f>IFERROR(__xludf.DUMMYFUNCTION("iferror(filter('3.1.clean'!C:C,'3.1.clean'!A:A=C1153),"""")"),"")</f>
        <v/>
      </c>
      <c r="H1153" s="58"/>
      <c r="I1153" s="58" t="str">
        <f>IFERROR(__xludf.DUMMYFUNCTION("iferror(filter('3.1.clean'!G:G,'3.1.clean'!A:A=C1153),"""")"),"")</f>
        <v/>
      </c>
      <c r="J1153" s="60" t="str">
        <f>IFERROR(__xludf.DUMMYFUNCTION("iferror(filter('3.1.clean'!I:I,'3.1.clean'!A:A=C1153),"""")"),"")</f>
        <v/>
      </c>
      <c r="K1153" s="59"/>
      <c r="L1153" s="60"/>
      <c r="M1153" s="59" t="str">
        <f>IFERROR(__xludf.DUMMYFUNCTION("iferror(filter('3.3.clean'!C:C,'3.3.clean'!A:A=C1153),"""")"),"")</f>
        <v/>
      </c>
      <c r="N1153" s="60" t="b">
        <f t="shared" si="933"/>
        <v>0</v>
      </c>
      <c r="O1153" s="59" t="str">
        <f>IFERROR(__xludf.DUMMYFUNCTION("iferror(filter('3.4.clean'!C:C,'3.4.clean'!A:A=C1153),"""")"),"")</f>
        <v/>
      </c>
      <c r="P1153" s="60" t="b">
        <f t="shared" si="934"/>
        <v>0</v>
      </c>
      <c r="Q1153" s="59">
        <f>IFERROR(__xludf.DUMMYFUNCTION("iferror(filter('3.5.clean'!C:C,'3.5.clean'!A:A=C1153),"""")"),43815.0)</f>
        <v>43815</v>
      </c>
      <c r="R1153" s="58" t="b">
        <f t="shared" ref="R1153:R1154" si="937">if(Q1153="",FALSE,TRUE)</f>
        <v>1</v>
      </c>
      <c r="S1153" s="4">
        <f>IFERROR(__xludf.DUMMYFUNCTION("iferror(filter('3.5.clean'!H:H,'3.5.clean'!A:A=C1153),"""")"),0.0)</f>
        <v>0</v>
      </c>
      <c r="V1153" s="52" t="s">
        <v>64</v>
      </c>
      <c r="W1153" s="23" t="b">
        <f>if(AND(R1153=TRUE,N1153=TRUE,P1153=TRUE),TRUE,FALSE)</f>
        <v>0</v>
      </c>
      <c r="X1153" s="23" t="str">
        <f>IFERROR(__xludf.DUMMYFUNCTION("if(COUNTA(FILTER(C:C, C:C = C1153))=1,""no"",""yes"")"),"no")</f>
        <v>no</v>
      </c>
    </row>
    <row r="1154">
      <c r="A1154" s="75" t="s">
        <v>943</v>
      </c>
      <c r="B1154" s="2">
        <v>4.0</v>
      </c>
      <c r="C1154" s="19" t="s">
        <v>1863</v>
      </c>
      <c r="E1154" s="24">
        <f>IFERROR(__xludf.DUMMYFUNCTION("ifna(IFNA(filter('2.1.clean'!C:C,'2.1.clean'!A:A=C1154),filter('2.2.clean'!E:E,'2.2.clean'!D:D=C1154)),filter('2.4.clean'!C:C,'2.4.clean'!A:A=C1154))"),43815.0)</f>
        <v>43815</v>
      </c>
      <c r="F1154" s="25">
        <f>IFERROR(__xludf.DUMMYFUNCTION("iferror(ifna(IFNA(filter('2.1.clean'!E:E,'2.1.clean'!A:A=C1154),filter('2.2.clean'!G:G,'2.2.clean'!D:D=C1154)),filter('2.4.clean'!E:E,'2.4.clean'!A:A=C1154)),)"),2.39999999999999)</f>
        <v>2.4</v>
      </c>
      <c r="G1154" s="24">
        <f>IFERROR(__xludf.DUMMYFUNCTION("iferror(filter('3.1.clean'!C:C,'3.1.clean'!A:A=C1154),"""")"),43815.0)</f>
        <v>43815</v>
      </c>
      <c r="H1154" s="23" t="b">
        <f t="shared" ref="H1154:H1155" si="938">if(G1154="",FALSE,TRUE)</f>
        <v>1</v>
      </c>
      <c r="J1154" s="25"/>
      <c r="K1154" s="24">
        <f>IFERROR(__xludf.DUMMYFUNCTION("iferror(filter('3.2.clean'!C:C,'3.2.clean'!A:A=C1154),"""")"),43817.0)</f>
        <v>43817</v>
      </c>
      <c r="L1154" s="25" t="b">
        <f>if(K1154="",FALSE,TRUE)</f>
        <v>1</v>
      </c>
      <c r="M1154" s="24">
        <f>IFERROR(__xludf.DUMMYFUNCTION("iferror(filter('3.3.clean'!C:C,'3.3.clean'!A:A=C1154),"""")"),43818.0)</f>
        <v>43818</v>
      </c>
      <c r="N1154" s="25" t="b">
        <f t="shared" si="933"/>
        <v>1</v>
      </c>
      <c r="O1154" s="24">
        <f>IFERROR(__xludf.DUMMYFUNCTION("iferror(filter('3.4.clean'!C:C,'3.4.clean'!A:A=C1154),"""")"),43818.0)</f>
        <v>43818</v>
      </c>
      <c r="P1154" s="25" t="b">
        <f t="shared" si="934"/>
        <v>1</v>
      </c>
      <c r="Q1154" s="24">
        <f>IFERROR(__xludf.DUMMYFUNCTION("iferror(filter('3.5.clean'!C:C,'3.5.clean'!A:A=C1154),"""")"),43815.0)</f>
        <v>43815</v>
      </c>
      <c r="R1154" s="23" t="b">
        <f t="shared" si="937"/>
        <v>1</v>
      </c>
      <c r="S1154" s="25"/>
      <c r="V1154" s="1" t="s">
        <v>64</v>
      </c>
      <c r="X1154" s="23" t="str">
        <f>IFERROR(__xludf.DUMMYFUNCTION("if(COUNTA(FILTER(C:C, C:C = C1154))=1,""no"",""yes"")"),"no")</f>
        <v>no</v>
      </c>
    </row>
    <row r="1155">
      <c r="A1155" s="75" t="s">
        <v>943</v>
      </c>
      <c r="B1155" s="19">
        <v>5.0</v>
      </c>
      <c r="C1155" s="19" t="s">
        <v>1864</v>
      </c>
      <c r="D1155" s="58" t="str">
        <f t="shared" ref="D1155:D1156" si="939">if(or(I1155=1,J1155=1,S1155=1),"pos","")</f>
        <v/>
      </c>
      <c r="E1155" s="59">
        <f>IFERROR(__xludf.DUMMYFUNCTION("ifna(IFNA(filter('2.1.clean'!C:C,'2.1.clean'!A:A=C1155),filter('2.2.clean'!E:E,'2.2.clean'!D:D=C1155)),filter('2.4.clean'!C:C,'2.4.clean'!A:A=C1155))"),43815.0)</f>
        <v>43815</v>
      </c>
      <c r="F1155" s="60">
        <f>IFERROR(__xludf.DUMMYFUNCTION("iferror(ifna(IFNA(filter('2.1.clean'!E:E,'2.1.clean'!A:A=C1155),filter('2.2.clean'!G:G,'2.2.clean'!D:D=C1155)),filter('2.4.clean'!E:E,'2.4.clean'!A:A=C1155)),)"),2.39999999999999)</f>
        <v>2.4</v>
      </c>
      <c r="G1155" s="59">
        <f>IFERROR(__xludf.DUMMYFUNCTION("iferror(filter('3.1.clean'!C:C,'3.1.clean'!A:A=C1155),"""")"),43815.0)</f>
        <v>43815</v>
      </c>
      <c r="H1155" s="58" t="b">
        <f t="shared" si="938"/>
        <v>1</v>
      </c>
      <c r="I1155" s="58">
        <f>IFERROR(__xludf.DUMMYFUNCTION("iferror(filter('3.1.clean'!G:G,'3.1.clean'!A:A=C1155),"""")"),0.0)</f>
        <v>0</v>
      </c>
      <c r="J1155" s="60" t="str">
        <f>IFERROR(__xludf.DUMMYFUNCTION("iferror(filter('3.1.clean'!I:I,'3.1.clean'!A:A=C1155),"""")"),"")</f>
        <v/>
      </c>
      <c r="K1155" s="58"/>
      <c r="L1155" s="60"/>
      <c r="M1155" s="59" t="str">
        <f>IFERROR(__xludf.DUMMYFUNCTION("iferror(filter('3.3.clean'!C:C,'3.3.clean'!A:A=C1155),"""")"),"")</f>
        <v/>
      </c>
      <c r="N1155" s="60" t="b">
        <f t="shared" si="933"/>
        <v>0</v>
      </c>
      <c r="O1155" s="59" t="str">
        <f>IFERROR(__xludf.DUMMYFUNCTION("iferror(filter('3.4.clean'!C:C,'3.4.clean'!A:A=C1155),"""")"),"")</f>
        <v/>
      </c>
      <c r="P1155" s="60" t="b">
        <f t="shared" si="934"/>
        <v>0</v>
      </c>
      <c r="Q1155" s="59" t="str">
        <f>IFERROR(__xludf.DUMMYFUNCTION("iferror(filter('3.5.clean'!C:C,'3.5.clean'!A:A=C1155),"""")"),"")</f>
        <v/>
      </c>
      <c r="R1155" s="58"/>
      <c r="S1155" s="4" t="str">
        <f>IFERROR(__xludf.DUMMYFUNCTION("iferror(filter('3.5.clean'!H:H,'3.5.clean'!A:A=C1155),"""")"),"")</f>
        <v/>
      </c>
      <c r="W1155" s="23" t="b">
        <f>if(AND(H1155=TRUE,N1155=TRUE,P1155=TRUE),TRUE,FALSE)</f>
        <v>0</v>
      </c>
      <c r="X1155" s="23" t="str">
        <f>IFERROR(__xludf.DUMMYFUNCTION("if(COUNTA(FILTER(C:C, C:C = C1155))=1,""no"",""yes"")"),"no")</f>
        <v>no</v>
      </c>
    </row>
    <row r="1156">
      <c r="A1156" s="75" t="s">
        <v>943</v>
      </c>
      <c r="B1156" s="19">
        <v>6.0</v>
      </c>
      <c r="C1156" s="19" t="s">
        <v>1865</v>
      </c>
      <c r="D1156" s="58" t="str">
        <f t="shared" si="939"/>
        <v/>
      </c>
      <c r="E1156" s="59">
        <f>Q1156</f>
        <v>43815</v>
      </c>
      <c r="F1156" s="60" t="str">
        <f>IFERROR(__xludf.DUMMYFUNCTION("iferror(ifna(IFNA(filter('2.1.clean'!E:E,'2.1.clean'!A:A=C1156),filter('2.2.clean'!G:G,'2.2.clean'!D:D=C1156)),filter('2.4.clean'!E:E,'2.4.clean'!A:A=C1156)),)"),"")</f>
        <v/>
      </c>
      <c r="G1156" s="59" t="str">
        <f>IFERROR(__xludf.DUMMYFUNCTION("iferror(filter('3.1.clean'!C:C,'3.1.clean'!A:A=C1156),"""")"),"")</f>
        <v/>
      </c>
      <c r="H1156" s="58"/>
      <c r="I1156" s="58" t="str">
        <f>IFERROR(__xludf.DUMMYFUNCTION("iferror(filter('3.1.clean'!G:G,'3.1.clean'!A:A=C1156),"""")"),"")</f>
        <v/>
      </c>
      <c r="J1156" s="60" t="str">
        <f>IFERROR(__xludf.DUMMYFUNCTION("iferror(filter('3.1.clean'!I:I,'3.1.clean'!A:A=C1156),"""")"),"")</f>
        <v/>
      </c>
      <c r="K1156" s="59"/>
      <c r="L1156" s="60"/>
      <c r="M1156" s="59">
        <f>IFERROR(__xludf.DUMMYFUNCTION("iferror(filter('3.3.clean'!C:C,'3.3.clean'!A:A=C1156),"""")"),43818.0)</f>
        <v>43818</v>
      </c>
      <c r="N1156" s="60" t="b">
        <f t="shared" si="933"/>
        <v>1</v>
      </c>
      <c r="O1156" s="59">
        <f>IFERROR(__xludf.DUMMYFUNCTION("iferror(filter('3.4.clean'!C:C,'3.4.clean'!A:A=C1156),"""")"),43818.0)</f>
        <v>43818</v>
      </c>
      <c r="P1156" s="60" t="b">
        <f t="shared" si="934"/>
        <v>1</v>
      </c>
      <c r="Q1156" s="59">
        <f>IFERROR(__xludf.DUMMYFUNCTION("iferror(filter('3.5.clean'!C:C,'3.5.clean'!A:A=C1156),"""")"),43815.0)</f>
        <v>43815</v>
      </c>
      <c r="R1156" s="58" t="b">
        <f t="shared" ref="R1156:R1157" si="940">if(Q1156="",FALSE,TRUE)</f>
        <v>1</v>
      </c>
      <c r="S1156" s="4">
        <f>IFERROR(__xludf.DUMMYFUNCTION("iferror(filter('3.5.clean'!H:H,'3.5.clean'!A:A=C1156),"""")"),0.0)</f>
        <v>0</v>
      </c>
      <c r="V1156" s="52" t="s">
        <v>64</v>
      </c>
      <c r="W1156" s="23" t="b">
        <f>if(AND(R1156=TRUE,N1156=TRUE,P1156=TRUE),TRUE,FALSE)</f>
        <v>1</v>
      </c>
      <c r="X1156" s="23" t="str">
        <f>IFERROR(__xludf.DUMMYFUNCTION("if(COUNTA(FILTER(C:C, C:C = C1156))=1,""no"",""yes"")"),"no")</f>
        <v>no</v>
      </c>
    </row>
    <row r="1157">
      <c r="A1157" s="75" t="s">
        <v>943</v>
      </c>
      <c r="B1157" s="2">
        <v>7.0</v>
      </c>
      <c r="C1157" s="19" t="s">
        <v>1866</v>
      </c>
      <c r="E1157" s="24">
        <f>IFERROR(__xludf.DUMMYFUNCTION("ifna(IFNA(filter('2.1.clean'!C:C,'2.1.clean'!A:A=C1157),filter('2.2.clean'!E:E,'2.2.clean'!D:D=C1157)),filter('2.4.clean'!C:C,'2.4.clean'!A:A=C1157))"),43815.0)</f>
        <v>43815</v>
      </c>
      <c r="F1157" s="25">
        <f>IFERROR(__xludf.DUMMYFUNCTION("iferror(ifna(IFNA(filter('2.1.clean'!E:E,'2.1.clean'!A:A=C1157),filter('2.2.clean'!G:G,'2.2.clean'!D:D=C1157)),filter('2.4.clean'!E:E,'2.4.clean'!A:A=C1157)),)"),2.39999999999999)</f>
        <v>2.4</v>
      </c>
      <c r="G1157" s="24">
        <f>IFERROR(__xludf.DUMMYFUNCTION("iferror(filter('3.1.clean'!C:C,'3.1.clean'!A:A=C1157),"""")"),43815.0)</f>
        <v>43815</v>
      </c>
      <c r="H1157" s="23" t="b">
        <f t="shared" ref="H1157:H1158" si="941">if(G1157="",FALSE,TRUE)</f>
        <v>1</v>
      </c>
      <c r="J1157" s="25"/>
      <c r="K1157" s="24">
        <f>IFERROR(__xludf.DUMMYFUNCTION("iferror(filter('3.2.clean'!C:C,'3.2.clean'!A:A=C1157),"""")"),43817.0)</f>
        <v>43817</v>
      </c>
      <c r="L1157" s="25" t="b">
        <f>if(K1157="",FALSE,TRUE)</f>
        <v>1</v>
      </c>
      <c r="M1157" s="24">
        <f>IFERROR(__xludf.DUMMYFUNCTION("iferror(filter('3.3.clean'!C:C,'3.3.clean'!A:A=C1157),"""")"),43818.0)</f>
        <v>43818</v>
      </c>
      <c r="N1157" s="25" t="b">
        <f t="shared" si="933"/>
        <v>1</v>
      </c>
      <c r="O1157" s="24">
        <f>IFERROR(__xludf.DUMMYFUNCTION("iferror(filter('3.4.clean'!C:C,'3.4.clean'!A:A=C1157),"""")"),43818.0)</f>
        <v>43818</v>
      </c>
      <c r="P1157" s="25" t="b">
        <f t="shared" si="934"/>
        <v>1</v>
      </c>
      <c r="Q1157" s="24">
        <f>IFERROR(__xludf.DUMMYFUNCTION("iferror(filter('3.5.clean'!C:C,'3.5.clean'!A:A=C1157),"""")"),43815.0)</f>
        <v>43815</v>
      </c>
      <c r="R1157" s="23" t="b">
        <f t="shared" si="940"/>
        <v>1</v>
      </c>
      <c r="S1157" s="25"/>
      <c r="V1157" s="1" t="s">
        <v>64</v>
      </c>
      <c r="X1157" s="23" t="str">
        <f>IFERROR(__xludf.DUMMYFUNCTION("if(COUNTA(FILTER(C:C, C:C = C1157))=1,""no"",""yes"")"),"no")</f>
        <v>no</v>
      </c>
    </row>
    <row r="1158">
      <c r="A1158" s="75" t="s">
        <v>943</v>
      </c>
      <c r="B1158" s="19">
        <v>8.0</v>
      </c>
      <c r="C1158" s="19" t="s">
        <v>1867</v>
      </c>
      <c r="D1158" s="58" t="str">
        <f t="shared" ref="D1158:D1159" si="942">if(or(I1158=1,J1158=1,S1158=1),"pos","")</f>
        <v/>
      </c>
      <c r="E1158" s="59">
        <f>IFERROR(__xludf.DUMMYFUNCTION("ifna(IFNA(filter('2.1.clean'!C:C,'2.1.clean'!A:A=C1158),filter('2.2.clean'!E:E,'2.2.clean'!D:D=C1158)),filter('2.4.clean'!C:C,'2.4.clean'!A:A=C1158))"),43815.0)</f>
        <v>43815</v>
      </c>
      <c r="F1158" s="60">
        <f>IFERROR(__xludf.DUMMYFUNCTION("iferror(ifna(IFNA(filter('2.1.clean'!E:E,'2.1.clean'!A:A=C1158),filter('2.2.clean'!G:G,'2.2.clean'!D:D=C1158)),filter('2.4.clean'!E:E,'2.4.clean'!A:A=C1158)),)"),2.39999999999999)</f>
        <v>2.4</v>
      </c>
      <c r="G1158" s="59">
        <f>IFERROR(__xludf.DUMMYFUNCTION("iferror(filter('3.1.clean'!C:C,'3.1.clean'!A:A=C1158),"""")"),43815.0)</f>
        <v>43815</v>
      </c>
      <c r="H1158" s="58" t="b">
        <f t="shared" si="941"/>
        <v>1</v>
      </c>
      <c r="I1158" s="58">
        <f>IFERROR(__xludf.DUMMYFUNCTION("iferror(filter('3.1.clean'!G:G,'3.1.clean'!A:A=C1158),"""")"),0.0)</f>
        <v>0</v>
      </c>
      <c r="J1158" s="60" t="str">
        <f>IFERROR(__xludf.DUMMYFUNCTION("iferror(filter('3.1.clean'!I:I,'3.1.clean'!A:A=C1158),"""")"),"")</f>
        <v/>
      </c>
      <c r="K1158" s="58"/>
      <c r="L1158" s="60"/>
      <c r="M1158" s="59" t="str">
        <f>IFERROR(__xludf.DUMMYFUNCTION("iferror(filter('3.3.clean'!C:C,'3.3.clean'!A:A=C1158),"""")"),"")</f>
        <v/>
      </c>
      <c r="N1158" s="60" t="b">
        <f t="shared" si="933"/>
        <v>0</v>
      </c>
      <c r="O1158" s="59" t="str">
        <f>IFERROR(__xludf.DUMMYFUNCTION("iferror(filter('3.4.clean'!C:C,'3.4.clean'!A:A=C1158),"""")"),"")</f>
        <v/>
      </c>
      <c r="P1158" s="60" t="b">
        <f t="shared" si="934"/>
        <v>0</v>
      </c>
      <c r="Q1158" s="59" t="str">
        <f>IFERROR(__xludf.DUMMYFUNCTION("iferror(filter('3.5.clean'!C:C,'3.5.clean'!A:A=C1158),"""")"),"")</f>
        <v/>
      </c>
      <c r="R1158" s="58"/>
      <c r="S1158" s="4" t="str">
        <f>IFERROR(__xludf.DUMMYFUNCTION("iferror(filter('3.5.clean'!H:H,'3.5.clean'!A:A=C1158),"""")"),"")</f>
        <v/>
      </c>
      <c r="W1158" s="23" t="b">
        <f>if(AND(H1158=TRUE,N1158=TRUE,P1158=TRUE),TRUE,FALSE)</f>
        <v>0</v>
      </c>
      <c r="X1158" s="23" t="str">
        <f>IFERROR(__xludf.DUMMYFUNCTION("if(COUNTA(FILTER(C:C, C:C = C1158))=1,""no"",""yes"")"),"no")</f>
        <v>no</v>
      </c>
    </row>
    <row r="1159">
      <c r="A1159" s="75" t="s">
        <v>943</v>
      </c>
      <c r="B1159" s="19">
        <v>9.0</v>
      </c>
      <c r="C1159" s="19" t="s">
        <v>1868</v>
      </c>
      <c r="D1159" s="58" t="str">
        <f t="shared" si="942"/>
        <v/>
      </c>
      <c r="E1159" s="59">
        <f>Q1159</f>
        <v>43815</v>
      </c>
      <c r="F1159" s="60" t="str">
        <f>IFERROR(__xludf.DUMMYFUNCTION("iferror(ifna(IFNA(filter('2.1.clean'!E:E,'2.1.clean'!A:A=C1159),filter('2.2.clean'!G:G,'2.2.clean'!D:D=C1159)),filter('2.4.clean'!E:E,'2.4.clean'!A:A=C1159)),)"),"")</f>
        <v/>
      </c>
      <c r="G1159" s="59" t="str">
        <f>IFERROR(__xludf.DUMMYFUNCTION("iferror(filter('3.1.clean'!C:C,'3.1.clean'!A:A=C1159),"""")"),"")</f>
        <v/>
      </c>
      <c r="H1159" s="58"/>
      <c r="I1159" s="58" t="str">
        <f>IFERROR(__xludf.DUMMYFUNCTION("iferror(filter('3.1.clean'!G:G,'3.1.clean'!A:A=C1159),"""")"),"")</f>
        <v/>
      </c>
      <c r="J1159" s="60" t="str">
        <f>IFERROR(__xludf.DUMMYFUNCTION("iferror(filter('3.1.clean'!I:I,'3.1.clean'!A:A=C1159),"""")"),"")</f>
        <v/>
      </c>
      <c r="K1159" s="59"/>
      <c r="L1159" s="60"/>
      <c r="M1159" s="59" t="str">
        <f>IFERROR(__xludf.DUMMYFUNCTION("iferror(filter('3.3.clean'!C:C,'3.3.clean'!A:A=C1159),"""")"),"")</f>
        <v/>
      </c>
      <c r="N1159" s="60" t="b">
        <f t="shared" si="933"/>
        <v>0</v>
      </c>
      <c r="O1159" s="59" t="str">
        <f>IFERROR(__xludf.DUMMYFUNCTION("iferror(filter('3.4.clean'!C:C,'3.4.clean'!A:A=C1159),"""")"),"")</f>
        <v/>
      </c>
      <c r="P1159" s="60" t="b">
        <f t="shared" si="934"/>
        <v>0</v>
      </c>
      <c r="Q1159" s="59">
        <f>IFERROR(__xludf.DUMMYFUNCTION("iferror(filter('3.5.clean'!C:C,'3.5.clean'!A:A=C1159),"""")"),43815.0)</f>
        <v>43815</v>
      </c>
      <c r="R1159" s="58" t="b">
        <f t="shared" ref="R1159:R1160" si="943">if(Q1159="",FALSE,TRUE)</f>
        <v>1</v>
      </c>
      <c r="S1159" s="4">
        <f>IFERROR(__xludf.DUMMYFUNCTION("iferror(filter('3.5.clean'!H:H,'3.5.clean'!A:A=C1159),"""")"),0.0)</f>
        <v>0</v>
      </c>
      <c r="V1159" s="52" t="s">
        <v>64</v>
      </c>
      <c r="W1159" s="23" t="b">
        <f>if(AND(R1159=TRUE,N1159=TRUE,P1159=TRUE),TRUE,FALSE)</f>
        <v>0</v>
      </c>
      <c r="X1159" s="23" t="str">
        <f>IFERROR(__xludf.DUMMYFUNCTION("if(COUNTA(FILTER(C:C, C:C = C1159))=1,""no"",""yes"")"),"no")</f>
        <v>no</v>
      </c>
    </row>
    <row r="1160">
      <c r="A1160" s="75" t="s">
        <v>943</v>
      </c>
      <c r="B1160" s="2">
        <v>10.0</v>
      </c>
      <c r="C1160" s="19" t="s">
        <v>1869</v>
      </c>
      <c r="E1160" s="24">
        <f>IFERROR(__xludf.DUMMYFUNCTION("ifna(IFNA(filter('2.1.clean'!C:C,'2.1.clean'!A:A=C1160),filter('2.2.clean'!E:E,'2.2.clean'!D:D=C1160)),filter('2.4.clean'!C:C,'2.4.clean'!A:A=C1160))"),43815.0)</f>
        <v>43815</v>
      </c>
      <c r="F1160" s="25">
        <f>IFERROR(__xludf.DUMMYFUNCTION("iferror(ifna(IFNA(filter('2.1.clean'!E:E,'2.1.clean'!A:A=C1160),filter('2.2.clean'!G:G,'2.2.clean'!D:D=C1160)),filter('2.4.clean'!E:E,'2.4.clean'!A:A=C1160)),)"),2.39999999999999)</f>
        <v>2.4</v>
      </c>
      <c r="G1160" s="24">
        <f>IFERROR(__xludf.DUMMYFUNCTION("iferror(filter('3.1.clean'!C:C,'3.1.clean'!A:A=C1160),"""")"),43815.0)</f>
        <v>43815</v>
      </c>
      <c r="H1160" s="23" t="b">
        <f t="shared" ref="H1160:H1161" si="944">if(G1160="",FALSE,TRUE)</f>
        <v>1</v>
      </c>
      <c r="J1160" s="25"/>
      <c r="K1160" s="24">
        <f>IFERROR(__xludf.DUMMYFUNCTION("iferror(filter('3.2.clean'!C:C,'3.2.clean'!A:A=C1160),"""")"),43817.0)</f>
        <v>43817</v>
      </c>
      <c r="L1160" s="25" t="b">
        <f>if(K1160="",FALSE,TRUE)</f>
        <v>1</v>
      </c>
      <c r="M1160" s="24">
        <f>IFERROR(__xludf.DUMMYFUNCTION("iferror(filter('3.3.clean'!C:C,'3.3.clean'!A:A=C1160),"""")"),43818.0)</f>
        <v>43818</v>
      </c>
      <c r="N1160" s="25" t="b">
        <f t="shared" si="933"/>
        <v>1</v>
      </c>
      <c r="O1160" s="24">
        <f>IFERROR(__xludf.DUMMYFUNCTION("iferror(filter('3.4.clean'!C:C,'3.4.clean'!A:A=C1160),"""")"),43818.0)</f>
        <v>43818</v>
      </c>
      <c r="P1160" s="25" t="b">
        <f t="shared" si="934"/>
        <v>1</v>
      </c>
      <c r="Q1160" s="24">
        <f>IFERROR(__xludf.DUMMYFUNCTION("iferror(filter('3.5.clean'!C:C,'3.5.clean'!A:A=C1160),"""")"),43815.0)</f>
        <v>43815</v>
      </c>
      <c r="R1160" s="23" t="b">
        <f t="shared" si="943"/>
        <v>1</v>
      </c>
      <c r="S1160" s="25"/>
      <c r="V1160" s="1" t="s">
        <v>64</v>
      </c>
      <c r="X1160" s="23" t="str">
        <f>IFERROR(__xludf.DUMMYFUNCTION("if(COUNTA(FILTER(C:C, C:C = C1160))=1,""no"",""yes"")"),"no")</f>
        <v>no</v>
      </c>
    </row>
    <row r="1161">
      <c r="A1161" s="75" t="s">
        <v>943</v>
      </c>
      <c r="B1161" s="19">
        <v>11.0</v>
      </c>
      <c r="C1161" s="19" t="s">
        <v>1870</v>
      </c>
      <c r="D1161" s="58" t="str">
        <f t="shared" ref="D1161:D1162" si="945">if(or(I1161=1,J1161=1,S1161=1),"pos","")</f>
        <v/>
      </c>
      <c r="E1161" s="59">
        <f>IFERROR(__xludf.DUMMYFUNCTION("ifna(IFNA(filter('2.1.clean'!C:C,'2.1.clean'!A:A=C1161),filter('2.2.clean'!E:E,'2.2.clean'!D:D=C1161)),filter('2.4.clean'!C:C,'2.4.clean'!A:A=C1161))"),43815.0)</f>
        <v>43815</v>
      </c>
      <c r="F1161" s="60">
        <f>IFERROR(__xludf.DUMMYFUNCTION("iferror(ifna(IFNA(filter('2.1.clean'!E:E,'2.1.clean'!A:A=C1161),filter('2.2.clean'!G:G,'2.2.clean'!D:D=C1161)),filter('2.4.clean'!E:E,'2.4.clean'!A:A=C1161)),)"),2.39999999999999)</f>
        <v>2.4</v>
      </c>
      <c r="G1161" s="59">
        <f>IFERROR(__xludf.DUMMYFUNCTION("iferror(filter('3.1.clean'!C:C,'3.1.clean'!A:A=C1161),"""")"),43815.0)</f>
        <v>43815</v>
      </c>
      <c r="H1161" s="58" t="b">
        <f t="shared" si="944"/>
        <v>1</v>
      </c>
      <c r="I1161" s="58">
        <f>IFERROR(__xludf.DUMMYFUNCTION("iferror(filter('3.1.clean'!G:G,'3.1.clean'!A:A=C1161),"""")"),0.0)</f>
        <v>0</v>
      </c>
      <c r="J1161" s="60" t="str">
        <f>IFERROR(__xludf.DUMMYFUNCTION("iferror(filter('3.1.clean'!I:I,'3.1.clean'!A:A=C1161),"""")"),"")</f>
        <v/>
      </c>
      <c r="K1161" s="58"/>
      <c r="L1161" s="60"/>
      <c r="M1161" s="59" t="str">
        <f>IFERROR(__xludf.DUMMYFUNCTION("iferror(filter('3.3.clean'!C:C,'3.3.clean'!A:A=C1161),"""")"),"")</f>
        <v/>
      </c>
      <c r="N1161" s="60" t="b">
        <f t="shared" si="933"/>
        <v>0</v>
      </c>
      <c r="O1161" s="59" t="str">
        <f>IFERROR(__xludf.DUMMYFUNCTION("iferror(filter('3.4.clean'!C:C,'3.4.clean'!A:A=C1161),"""")"),"")</f>
        <v/>
      </c>
      <c r="P1161" s="60" t="b">
        <f t="shared" si="934"/>
        <v>0</v>
      </c>
      <c r="Q1161" s="59" t="str">
        <f>IFERROR(__xludf.DUMMYFUNCTION("iferror(filter('3.5.clean'!C:C,'3.5.clean'!A:A=C1161),"""")"),"")</f>
        <v/>
      </c>
      <c r="R1161" s="58"/>
      <c r="S1161" s="4" t="str">
        <f>IFERROR(__xludf.DUMMYFUNCTION("iferror(filter('3.5.clean'!H:H,'3.5.clean'!A:A=C1161),"""")"),"")</f>
        <v/>
      </c>
      <c r="W1161" s="23" t="b">
        <f>if(AND(H1161=TRUE,N1161=TRUE,P1161=TRUE),TRUE,FALSE)</f>
        <v>0</v>
      </c>
      <c r="X1161" s="23" t="str">
        <f>IFERROR(__xludf.DUMMYFUNCTION("if(COUNTA(FILTER(C:C, C:C = C1161))=1,""no"",""yes"")"),"no")</f>
        <v>no</v>
      </c>
    </row>
    <row r="1162">
      <c r="A1162" s="75" t="s">
        <v>943</v>
      </c>
      <c r="B1162" s="19">
        <v>12.0</v>
      </c>
      <c r="C1162" s="19" t="s">
        <v>1871</v>
      </c>
      <c r="D1162" s="58" t="str">
        <f t="shared" si="945"/>
        <v/>
      </c>
      <c r="E1162" s="59">
        <f>Q1162</f>
        <v>43815</v>
      </c>
      <c r="F1162" s="60" t="str">
        <f>IFERROR(__xludf.DUMMYFUNCTION("iferror(ifna(IFNA(filter('2.1.clean'!E:E,'2.1.clean'!A:A=C1162),filter('2.2.clean'!G:G,'2.2.clean'!D:D=C1162)),filter('2.4.clean'!E:E,'2.4.clean'!A:A=C1162)),)"),"")</f>
        <v/>
      </c>
      <c r="G1162" s="59" t="str">
        <f>IFERROR(__xludf.DUMMYFUNCTION("iferror(filter('3.1.clean'!C:C,'3.1.clean'!A:A=C1162),"""")"),"")</f>
        <v/>
      </c>
      <c r="H1162" s="58"/>
      <c r="I1162" s="58" t="str">
        <f>IFERROR(__xludf.DUMMYFUNCTION("iferror(filter('3.1.clean'!G:G,'3.1.clean'!A:A=C1162),"""")"),"")</f>
        <v/>
      </c>
      <c r="J1162" s="60" t="str">
        <f>IFERROR(__xludf.DUMMYFUNCTION("iferror(filter('3.1.clean'!I:I,'3.1.clean'!A:A=C1162),"""")"),"")</f>
        <v/>
      </c>
      <c r="K1162" s="59"/>
      <c r="L1162" s="60"/>
      <c r="M1162" s="59" t="str">
        <f>IFERROR(__xludf.DUMMYFUNCTION("iferror(filter('3.3.clean'!C:C,'3.3.clean'!A:A=C1162),"""")"),"")</f>
        <v/>
      </c>
      <c r="N1162" s="60" t="b">
        <f t="shared" si="933"/>
        <v>0</v>
      </c>
      <c r="O1162" s="59" t="str">
        <f>IFERROR(__xludf.DUMMYFUNCTION("iferror(filter('3.4.clean'!C:C,'3.4.clean'!A:A=C1162),"""")"),"")</f>
        <v/>
      </c>
      <c r="P1162" s="60" t="b">
        <f t="shared" si="934"/>
        <v>0</v>
      </c>
      <c r="Q1162" s="59">
        <f>IFERROR(__xludf.DUMMYFUNCTION("iferror(filter('3.5.clean'!C:C,'3.5.clean'!A:A=C1162),"""")"),43815.0)</f>
        <v>43815</v>
      </c>
      <c r="R1162" s="58" t="b">
        <f t="shared" ref="R1162:R1163" si="946">if(Q1162="",FALSE,TRUE)</f>
        <v>1</v>
      </c>
      <c r="S1162" s="4">
        <f>IFERROR(__xludf.DUMMYFUNCTION("iferror(filter('3.5.clean'!H:H,'3.5.clean'!A:A=C1162),"""")"),0.0)</f>
        <v>0</v>
      </c>
      <c r="V1162" s="52" t="s">
        <v>64</v>
      </c>
      <c r="W1162" s="23" t="b">
        <f>if(AND(R1162=TRUE,N1162=TRUE,P1162=TRUE),TRUE,FALSE)</f>
        <v>0</v>
      </c>
      <c r="X1162" s="23" t="str">
        <f>IFERROR(__xludf.DUMMYFUNCTION("if(COUNTA(FILTER(C:C, C:C = C1162))=1,""no"",""yes"")"),"no")</f>
        <v>no</v>
      </c>
    </row>
    <row r="1163">
      <c r="A1163" s="75" t="s">
        <v>943</v>
      </c>
      <c r="B1163" s="2">
        <v>13.0</v>
      </c>
      <c r="C1163" s="19" t="s">
        <v>1872</v>
      </c>
      <c r="E1163" s="24">
        <f>IFERROR(__xludf.DUMMYFUNCTION("ifna(IFNA(filter('2.1.clean'!C:C,'2.1.clean'!A:A=C1163),filter('2.2.clean'!E:E,'2.2.clean'!D:D=C1163)),filter('2.4.clean'!C:C,'2.4.clean'!A:A=C1163))"),43815.0)</f>
        <v>43815</v>
      </c>
      <c r="F1163" s="25">
        <f>IFERROR(__xludf.DUMMYFUNCTION("iferror(ifna(IFNA(filter('2.1.clean'!E:E,'2.1.clean'!A:A=C1163),filter('2.2.clean'!G:G,'2.2.clean'!D:D=C1163)),filter('2.4.clean'!E:E,'2.4.clean'!A:A=C1163)),)"),2.39999999999999)</f>
        <v>2.4</v>
      </c>
      <c r="G1163" s="24">
        <f>IFERROR(__xludf.DUMMYFUNCTION("iferror(filter('3.1.clean'!C:C,'3.1.clean'!A:A=C1163),"""")"),43815.0)</f>
        <v>43815</v>
      </c>
      <c r="H1163" s="23" t="b">
        <f t="shared" ref="H1163:H1164" si="947">if(G1163="",FALSE,TRUE)</f>
        <v>1</v>
      </c>
      <c r="J1163" s="25"/>
      <c r="K1163" s="24">
        <f>IFERROR(__xludf.DUMMYFUNCTION("iferror(filter('3.2.clean'!C:C,'3.2.clean'!A:A=C1163),"""")"),43817.0)</f>
        <v>43817</v>
      </c>
      <c r="L1163" s="25" t="b">
        <f>if(K1163="",FALSE,TRUE)</f>
        <v>1</v>
      </c>
      <c r="M1163" s="24" t="str">
        <f>IFERROR(__xludf.DUMMYFUNCTION("iferror(filter('3.3.clean'!C:C,'3.3.clean'!A:A=C1163),"""")"),"#REF!")</f>
        <v>#REF!</v>
      </c>
      <c r="N1163" s="25" t="str">
        <f t="shared" si="933"/>
        <v>#REF!</v>
      </c>
      <c r="O1163" s="24">
        <f>IFERROR(__xludf.DUMMYFUNCTION("iferror(filter('3.4.clean'!C:C,'3.4.clean'!A:A=C1163),"""")"),43818.0)</f>
        <v>43818</v>
      </c>
      <c r="P1163" s="25" t="b">
        <f t="shared" si="934"/>
        <v>1</v>
      </c>
      <c r="Q1163" s="24">
        <f>IFERROR(__xludf.DUMMYFUNCTION("iferror(filter('3.5.clean'!C:C,'3.5.clean'!A:A=C1163),"""")"),43815.0)</f>
        <v>43815</v>
      </c>
      <c r="R1163" s="23" t="b">
        <f t="shared" si="946"/>
        <v>1</v>
      </c>
      <c r="S1163" s="25"/>
      <c r="V1163" s="1" t="s">
        <v>64</v>
      </c>
      <c r="X1163" s="23" t="str">
        <f>IFERROR(__xludf.DUMMYFUNCTION("if(COUNTA(FILTER(C:C, C:C = C1163))=1,""no"",""yes"")"),"no")</f>
        <v>no</v>
      </c>
    </row>
    <row r="1164">
      <c r="A1164" s="75" t="s">
        <v>943</v>
      </c>
      <c r="B1164" s="19">
        <v>14.0</v>
      </c>
      <c r="C1164" s="19" t="s">
        <v>1873</v>
      </c>
      <c r="D1164" s="58" t="str">
        <f t="shared" ref="D1164:D1167" si="948">if(or(I1164=1,J1164=1,S1164=1),"pos","")</f>
        <v/>
      </c>
      <c r="E1164" s="59">
        <f>IFERROR(__xludf.DUMMYFUNCTION("ifna(IFNA(filter('2.1.clean'!C:C,'2.1.clean'!A:A=C1164),filter('2.2.clean'!E:E,'2.2.clean'!D:D=C1164)),filter('2.4.clean'!C:C,'2.4.clean'!A:A=C1164))"),43815.0)</f>
        <v>43815</v>
      </c>
      <c r="F1164" s="60">
        <f>IFERROR(__xludf.DUMMYFUNCTION("iferror(ifna(IFNA(filter('2.1.clean'!E:E,'2.1.clean'!A:A=C1164),filter('2.2.clean'!G:G,'2.2.clean'!D:D=C1164)),filter('2.4.clean'!E:E,'2.4.clean'!A:A=C1164)),)"),2.39999999999999)</f>
        <v>2.4</v>
      </c>
      <c r="G1164" s="59">
        <f>IFERROR(__xludf.DUMMYFUNCTION("iferror(filter('3.1.clean'!C:C,'3.1.clean'!A:A=C1164),"""")"),43815.0)</f>
        <v>43815</v>
      </c>
      <c r="H1164" s="58" t="b">
        <f t="shared" si="947"/>
        <v>1</v>
      </c>
      <c r="I1164" s="58">
        <f>IFERROR(__xludf.DUMMYFUNCTION("iferror(filter('3.1.clean'!G:G,'3.1.clean'!A:A=C1164),"""")"),0.0)</f>
        <v>0</v>
      </c>
      <c r="J1164" s="60" t="str">
        <f>IFERROR(__xludf.DUMMYFUNCTION("iferror(filter('3.1.clean'!I:I,'3.1.clean'!A:A=C1164),"""")"),"")</f>
        <v/>
      </c>
      <c r="K1164" s="58"/>
      <c r="L1164" s="60"/>
      <c r="M1164" s="59" t="str">
        <f>IFERROR(__xludf.DUMMYFUNCTION("iferror(filter('3.3.clean'!C:C,'3.3.clean'!A:A=C1164),"""")"),"")</f>
        <v/>
      </c>
      <c r="N1164" s="60" t="b">
        <f t="shared" si="933"/>
        <v>0</v>
      </c>
      <c r="O1164" s="59" t="str">
        <f>IFERROR(__xludf.DUMMYFUNCTION("iferror(filter('3.4.clean'!C:C,'3.4.clean'!A:A=C1164),"""")"),"")</f>
        <v/>
      </c>
      <c r="P1164" s="60" t="b">
        <f t="shared" si="934"/>
        <v>0</v>
      </c>
      <c r="Q1164" s="59" t="str">
        <f>IFERROR(__xludf.DUMMYFUNCTION("iferror(filter('3.5.clean'!C:C,'3.5.clean'!A:A=C1164),"""")"),"")</f>
        <v/>
      </c>
      <c r="R1164" s="58"/>
      <c r="S1164" s="4" t="str">
        <f>IFERROR(__xludf.DUMMYFUNCTION("iferror(filter('3.5.clean'!H:H,'3.5.clean'!A:A=C1164),"""")"),"")</f>
        <v/>
      </c>
      <c r="W1164" s="23" t="b">
        <f>if(AND(H1164=TRUE,N1164=TRUE,P1164=TRUE),TRUE,FALSE)</f>
        <v>0</v>
      </c>
      <c r="X1164" s="23" t="str">
        <f>IFERROR(__xludf.DUMMYFUNCTION("if(COUNTA(FILTER(C:C, C:C = C1164))=1,""no"",""yes"")"),"no")</f>
        <v>no</v>
      </c>
    </row>
    <row r="1165">
      <c r="A1165" s="75" t="s">
        <v>943</v>
      </c>
      <c r="B1165" s="19">
        <v>15.0</v>
      </c>
      <c r="C1165" s="19" t="s">
        <v>1874</v>
      </c>
      <c r="D1165" s="58" t="str">
        <f t="shared" si="948"/>
        <v/>
      </c>
      <c r="E1165" s="59">
        <f t="shared" ref="E1165:E1166" si="949">Q1165</f>
        <v>43815</v>
      </c>
      <c r="F1165" s="60" t="str">
        <f>IFERROR(__xludf.DUMMYFUNCTION("iferror(ifna(IFNA(filter('2.1.clean'!E:E,'2.1.clean'!A:A=C1165),filter('2.2.clean'!G:G,'2.2.clean'!D:D=C1165)),filter('2.4.clean'!E:E,'2.4.clean'!A:A=C1165)),)"),"")</f>
        <v/>
      </c>
      <c r="G1165" s="59" t="str">
        <f>IFERROR(__xludf.DUMMYFUNCTION("iferror(filter('3.1.clean'!C:C,'3.1.clean'!A:A=C1165),"""")"),"")</f>
        <v/>
      </c>
      <c r="H1165" s="58"/>
      <c r="I1165" s="58" t="str">
        <f>IFERROR(__xludf.DUMMYFUNCTION("iferror(filter('3.1.clean'!G:G,'3.1.clean'!A:A=C1165),"""")"),"")</f>
        <v/>
      </c>
      <c r="J1165" s="60" t="str">
        <f>IFERROR(__xludf.DUMMYFUNCTION("iferror(filter('3.1.clean'!I:I,'3.1.clean'!A:A=C1165),"""")"),"")</f>
        <v/>
      </c>
      <c r="K1165" s="59"/>
      <c r="L1165" s="60"/>
      <c r="M1165" s="59" t="str">
        <f>IFERROR(__xludf.DUMMYFUNCTION("iferror(filter('3.3.clean'!C:C,'3.3.clean'!A:A=C1165),"""")"),"")</f>
        <v/>
      </c>
      <c r="N1165" s="60" t="b">
        <f t="shared" si="933"/>
        <v>0</v>
      </c>
      <c r="O1165" s="59" t="str">
        <f>IFERROR(__xludf.DUMMYFUNCTION("iferror(filter('3.4.clean'!C:C,'3.4.clean'!A:A=C1165),"""")"),"")</f>
        <v/>
      </c>
      <c r="P1165" s="60" t="b">
        <f t="shared" si="934"/>
        <v>0</v>
      </c>
      <c r="Q1165" s="59">
        <f>IFERROR(__xludf.DUMMYFUNCTION("iferror(filter('3.5.clean'!C:C,'3.5.clean'!A:A=C1165),"""")"),43815.0)</f>
        <v>43815</v>
      </c>
      <c r="R1165" s="58" t="b">
        <f t="shared" ref="R1165:R1166" si="950">if(Q1165="",FALSE,TRUE)</f>
        <v>1</v>
      </c>
      <c r="S1165" s="4">
        <f>IFERROR(__xludf.DUMMYFUNCTION("iferror(filter('3.5.clean'!H:H,'3.5.clean'!A:A=C1165),"""")"),0.0)</f>
        <v>0</v>
      </c>
      <c r="V1165" s="52" t="s">
        <v>64</v>
      </c>
      <c r="W1165" s="23" t="b">
        <f>if(AND(R1165=TRUE,N1165=TRUE,P1165=TRUE),TRUE,FALSE)</f>
        <v>0</v>
      </c>
      <c r="X1165" s="23" t="str">
        <f>IFERROR(__xludf.DUMMYFUNCTION("if(COUNTA(FILTER(C:C, C:C = C1165))=1,""no"",""yes"")"),"no")</f>
        <v>no</v>
      </c>
    </row>
    <row r="1166">
      <c r="A1166" s="75" t="s">
        <v>943</v>
      </c>
      <c r="B1166" s="19">
        <v>16.0</v>
      </c>
      <c r="C1166" s="19" t="s">
        <v>1875</v>
      </c>
      <c r="D1166" s="22" t="str">
        <f t="shared" si="948"/>
        <v/>
      </c>
      <c r="E1166" s="20">
        <f t="shared" si="949"/>
        <v>43815</v>
      </c>
      <c r="F1166" s="79" t="str">
        <f>IFERROR(__xludf.DUMMYFUNCTION("iferror(ifna(IFNA(filter('2.1.clean'!E:E,'2.1.clean'!A:A=C1166),filter('2.2.clean'!G:G,'2.2.clean'!D:D=C1166)),filter('2.4.clean'!E:E,'2.4.clean'!A:A=C1166)),)"),"")</f>
        <v/>
      </c>
      <c r="G1166" s="20" t="str">
        <f>IFERROR(__xludf.DUMMYFUNCTION("iferror(filter('3.1.clean'!C:C,'3.1.clean'!A:A=C1166),"""")"),"")</f>
        <v/>
      </c>
      <c r="H1166" s="22"/>
      <c r="I1166" s="22"/>
      <c r="J1166" s="79"/>
      <c r="K1166" s="20" t="str">
        <f>IFERROR(__xludf.DUMMYFUNCTION("iferror(filter('3.2.clean'!C:C,'3.2.clean'!A:A=C1166),"""")"),"")</f>
        <v/>
      </c>
      <c r="L1166" s="79"/>
      <c r="M1166" s="20" t="str">
        <f>IFERROR(__xludf.DUMMYFUNCTION("iferror(filter('3.3.clean'!C:C,'3.3.clean'!A:A=C1166),"""")"),"")</f>
        <v/>
      </c>
      <c r="N1166" s="79" t="b">
        <f t="shared" si="933"/>
        <v>0</v>
      </c>
      <c r="O1166" s="20" t="str">
        <f>IFERROR(__xludf.DUMMYFUNCTION("iferror(filter('3.4.clean'!C:C,'3.4.clean'!A:A=C1166),"""")"),"")</f>
        <v/>
      </c>
      <c r="P1166" s="79" t="b">
        <f t="shared" si="934"/>
        <v>0</v>
      </c>
      <c r="Q1166" s="20">
        <f>IFERROR(__xludf.DUMMYFUNCTION("iferror(filter('3.5.clean'!C:C,'3.5.clean'!A:A=C1166),"""")"),43815.0)</f>
        <v>43815</v>
      </c>
      <c r="R1166" s="22" t="b">
        <f t="shared" si="950"/>
        <v>1</v>
      </c>
      <c r="S1166" s="4">
        <f>IFERROR(__xludf.DUMMYFUNCTION("iferror(filter('3.5.clean'!H:H,'3.5.clean'!A:A=C1166),"""")"),0.0)</f>
        <v>0</v>
      </c>
      <c r="V1166" s="1" t="s">
        <v>64</v>
      </c>
      <c r="W1166" s="23" t="b">
        <f>IF(and(R1166=TRUE,N1166=TRUE,P1166=TRUE),TRUE,FALSE)</f>
        <v>0</v>
      </c>
      <c r="X1166" s="23" t="str">
        <f>IFERROR(__xludf.DUMMYFUNCTION("if(COUNTA(FILTER(C:C, C:C = C1166))=1,""no"",""yes"")"),"no")</f>
        <v>no</v>
      </c>
    </row>
    <row r="1167">
      <c r="A1167" s="75" t="s">
        <v>943</v>
      </c>
      <c r="B1167" s="19">
        <v>17.0</v>
      </c>
      <c r="C1167" s="19" t="s">
        <v>1876</v>
      </c>
      <c r="D1167" s="76" t="str">
        <f t="shared" si="948"/>
        <v/>
      </c>
      <c r="E1167" s="77">
        <f>G1167</f>
        <v>43815</v>
      </c>
      <c r="F1167" s="78" t="str">
        <f>IFERROR(__xludf.DUMMYFUNCTION("iferror(ifna(IFNA(filter('2.1.clean'!E:E,'2.1.clean'!A:A=C1167),filter('2.2.clean'!G:G,'2.2.clean'!D:D=C1167)),filter('2.4.clean'!E:E,'2.4.clean'!A:A=C1167)),)"),"")</f>
        <v/>
      </c>
      <c r="G1167" s="77">
        <f>IFERROR(__xludf.DUMMYFUNCTION("iferror(filter('3.1.clean'!C:C,'3.1.clean'!A:A=C1167),"""")"),43815.0)</f>
        <v>43815</v>
      </c>
      <c r="H1167" s="76" t="b">
        <f>if(G1167="",FALSE,TRUE)</f>
        <v>1</v>
      </c>
      <c r="I1167" s="76">
        <f>IFERROR(__xludf.DUMMYFUNCTION("iferror(filter('3.1.clean'!G:G,'3.1.clean'!A:A=C1167),"""")"),0.0)</f>
        <v>0</v>
      </c>
      <c r="J1167" s="78" t="str">
        <f>IFERROR(__xludf.DUMMYFUNCTION("iferror(filter('3.1.clean'!I:I,'3.1.clean'!A:A=C1167),"""")"),"")</f>
        <v/>
      </c>
      <c r="K1167" s="77"/>
      <c r="L1167" s="78"/>
      <c r="M1167" s="77"/>
      <c r="N1167" s="78"/>
      <c r="O1167" s="77"/>
      <c r="P1167" s="78"/>
      <c r="Q1167" s="77"/>
      <c r="R1167" s="76"/>
      <c r="S1167" s="25"/>
      <c r="V1167" s="1" t="s">
        <v>64</v>
      </c>
      <c r="W1167" s="1" t="b">
        <v>1</v>
      </c>
      <c r="X1167" s="23" t="str">
        <f>IFERROR(__xludf.DUMMYFUNCTION("if(COUNTA(FILTER(C:C, C:C = C1167))=1,""no"",""yes"")"),"no")</f>
        <v>no</v>
      </c>
    </row>
    <row r="1168">
      <c r="A1168" s="1" t="s">
        <v>947</v>
      </c>
      <c r="B1168" s="2">
        <v>1.0</v>
      </c>
      <c r="C1168" s="19" t="s">
        <v>1877</v>
      </c>
      <c r="E1168" s="24">
        <f>IFERROR(__xludf.DUMMYFUNCTION("ifna(IFNA(filter('2.1.clean'!C:C,'2.1.clean'!A:A=C1168),filter('2.2.clean'!E:E,'2.2.clean'!D:D=C1168)),filter('2.4.clean'!C:C,'2.4.clean'!A:A=C1168))"),43816.0)</f>
        <v>43816</v>
      </c>
      <c r="F1168" s="25">
        <f>IFERROR(__xludf.DUMMYFUNCTION("iferror(ifna(IFNA(filter('2.1.clean'!E:E,'2.1.clean'!A:A=C1168),filter('2.2.clean'!G:G,'2.2.clean'!D:D=C1168)),filter('2.4.clean'!E:E,'2.4.clean'!A:A=C1168)),)"),2.39999999999999)</f>
        <v>2.4</v>
      </c>
      <c r="G1168" s="24"/>
      <c r="J1168" s="25"/>
      <c r="K1168" s="24"/>
      <c r="L1168" s="25"/>
      <c r="M1168" s="24">
        <f>IFERROR(__xludf.DUMMYFUNCTION("iferror(filter('3.3.clean'!C:C,'3.3.clean'!A:A=C1168),"""")"),43818.0)</f>
        <v>43818</v>
      </c>
      <c r="N1168" s="25" t="b">
        <f t="shared" ref="N1168:N1184" si="951">if(M1168="",FALSE,TRUE)</f>
        <v>1</v>
      </c>
      <c r="O1168" s="24">
        <f>IFERROR(__xludf.DUMMYFUNCTION("iferror(filter('3.4.clean'!C:C,'3.4.clean'!A:A=C1168),"""")"),43818.0)</f>
        <v>43818</v>
      </c>
      <c r="P1168" s="25" t="b">
        <f t="shared" ref="P1168:P1184" si="952">if(O1168="",FALSE,TRUE)</f>
        <v>1</v>
      </c>
      <c r="Q1168" s="24">
        <f>IFERROR(__xludf.DUMMYFUNCTION("iferror(filter('3.5.clean'!C:C,'3.5.clean'!A:A=C1168),"""")"),43816.0)</f>
        <v>43816</v>
      </c>
      <c r="R1168" s="23" t="b">
        <f>if(Q1168="",FALSE,TRUE)</f>
        <v>1</v>
      </c>
      <c r="S1168" s="25"/>
      <c r="V1168" s="52" t="s">
        <v>64</v>
      </c>
      <c r="W1168" s="23" t="b">
        <f>IF(and(R1168=TRUE,N1168=TRUE,P1168=TRUE),TRUE,FALSE)</f>
        <v>1</v>
      </c>
      <c r="X1168" s="23" t="str">
        <f>IFERROR(__xludf.DUMMYFUNCTION("if(COUNTA(FILTER(C:C, C:C = C1168))=1,""no"",""yes"")"),"no")</f>
        <v>no</v>
      </c>
    </row>
    <row r="1169">
      <c r="A1169" s="1" t="s">
        <v>947</v>
      </c>
      <c r="B1169" s="19">
        <v>2.0</v>
      </c>
      <c r="C1169" s="19" t="s">
        <v>1878</v>
      </c>
      <c r="D1169" s="58" t="str">
        <f t="shared" ref="D1169:D1170" si="953">if(or(I1169=1,J1169=1,S1169=1),"pos","")</f>
        <v>pos</v>
      </c>
      <c r="E1169" s="59">
        <f>IFERROR(__xludf.DUMMYFUNCTION("ifna(IFNA(filter('2.1.clean'!C:C,'2.1.clean'!A:A=C1169),filter('2.2.clean'!E:E,'2.2.clean'!D:D=C1169)),filter('2.4.clean'!C:C,'2.4.clean'!A:A=C1169))"),43816.0)</f>
        <v>43816</v>
      </c>
      <c r="F1169" s="60">
        <f>IFERROR(__xludf.DUMMYFUNCTION("iferror(ifna(IFNA(filter('2.1.clean'!E:E,'2.1.clean'!A:A=C1169),filter('2.2.clean'!G:G,'2.2.clean'!D:D=C1169)),filter('2.4.clean'!E:E,'2.4.clean'!A:A=C1169)),)"),2.39999999999999)</f>
        <v>2.4</v>
      </c>
      <c r="G1169" s="59">
        <f>IFERROR(__xludf.DUMMYFUNCTION("iferror(filter('3.1.clean'!C:C,'3.1.clean'!A:A=C1169),"""")"),43816.0)</f>
        <v>43816</v>
      </c>
      <c r="H1169" s="58" t="b">
        <f>if(G1169="",FALSE,TRUE)</f>
        <v>1</v>
      </c>
      <c r="I1169" s="58">
        <f>IFERROR(__xludf.DUMMYFUNCTION("iferror(filter('3.1.clean'!G:G,'3.1.clean'!A:A=C1169),"""")"),1.0)</f>
        <v>1</v>
      </c>
      <c r="J1169" s="60" t="str">
        <f>IFERROR(__xludf.DUMMYFUNCTION("iferror(filter('3.1.clean'!I:I,'3.1.clean'!A:A=C1169),"""")"),"")</f>
        <v/>
      </c>
      <c r="K1169" s="58"/>
      <c r="L1169" s="60"/>
      <c r="M1169" s="59" t="str">
        <f>IFERROR(__xludf.DUMMYFUNCTION("iferror(filter('3.3.clean'!C:C,'3.3.clean'!A:A=C1169),"""")"),"")</f>
        <v/>
      </c>
      <c r="N1169" s="60" t="b">
        <f t="shared" si="951"/>
        <v>0</v>
      </c>
      <c r="O1169" s="59" t="str">
        <f>IFERROR(__xludf.DUMMYFUNCTION("iferror(filter('3.4.clean'!C:C,'3.4.clean'!A:A=C1169),"""")"),"")</f>
        <v/>
      </c>
      <c r="P1169" s="60" t="b">
        <f t="shared" si="952"/>
        <v>0</v>
      </c>
      <c r="Q1169" s="59" t="str">
        <f>IFERROR(__xludf.DUMMYFUNCTION("iferror(filter('3.5.clean'!C:C,'3.5.clean'!A:A=C1169),"""")"),"")</f>
        <v/>
      </c>
      <c r="R1169" s="58"/>
      <c r="S1169" s="4" t="str">
        <f>IFERROR(__xludf.DUMMYFUNCTION("iferror(filter('3.5.clean'!H:H,'3.5.clean'!A:A=C1169),"""")"),"")</f>
        <v/>
      </c>
      <c r="W1169" s="23" t="b">
        <f>if(AND(H1169=TRUE,N1169=TRUE,P1169=TRUE),TRUE,FALSE)</f>
        <v>0</v>
      </c>
      <c r="X1169" s="23" t="str">
        <f>IFERROR(__xludf.DUMMYFUNCTION("if(COUNTA(FILTER(C:C, C:C = C1169))=1,""no"",""yes"")"),"no")</f>
        <v>no</v>
      </c>
    </row>
    <row r="1170">
      <c r="A1170" s="1" t="s">
        <v>947</v>
      </c>
      <c r="B1170" s="19">
        <v>3.0</v>
      </c>
      <c r="C1170" s="19" t="s">
        <v>337</v>
      </c>
      <c r="D1170" s="58" t="str">
        <f t="shared" si="953"/>
        <v>pos</v>
      </c>
      <c r="E1170" s="59">
        <f>Q1170</f>
        <v>43816</v>
      </c>
      <c r="F1170" s="60" t="str">
        <f>IFERROR(__xludf.DUMMYFUNCTION("iferror(ifna(IFNA(filter('2.1.clean'!E:E,'2.1.clean'!A:A=C1170),filter('2.2.clean'!G:G,'2.2.clean'!D:D=C1170)),filter('2.4.clean'!E:E,'2.4.clean'!A:A=C1170)),)"),"")</f>
        <v/>
      </c>
      <c r="G1170" s="59" t="str">
        <f>IFERROR(__xludf.DUMMYFUNCTION("iferror(filter('3.1.clean'!C:C,'3.1.clean'!A:A=C1170),"""")"),"")</f>
        <v/>
      </c>
      <c r="H1170" s="58"/>
      <c r="I1170" s="58" t="str">
        <f>IFERROR(__xludf.DUMMYFUNCTION("iferror(filter('3.1.clean'!G:G,'3.1.clean'!A:A=C1170),"""")"),"")</f>
        <v/>
      </c>
      <c r="J1170" s="60" t="str">
        <f>IFERROR(__xludf.DUMMYFUNCTION("iferror(filter('3.1.clean'!I:I,'3.1.clean'!A:A=C1170),"""")"),"")</f>
        <v/>
      </c>
      <c r="K1170" s="59"/>
      <c r="L1170" s="60"/>
      <c r="M1170" s="59" t="str">
        <f>IFERROR(__xludf.DUMMYFUNCTION("iferror(filter('3.3.clean'!C:C,'3.3.clean'!A:A=C1170),"""")"),"")</f>
        <v/>
      </c>
      <c r="N1170" s="60" t="b">
        <f t="shared" si="951"/>
        <v>0</v>
      </c>
      <c r="O1170" s="59" t="str">
        <f>IFERROR(__xludf.DUMMYFUNCTION("iferror(filter('3.4.clean'!C:C,'3.4.clean'!A:A=C1170),"""")"),"")</f>
        <v/>
      </c>
      <c r="P1170" s="60" t="b">
        <f t="shared" si="952"/>
        <v>0</v>
      </c>
      <c r="Q1170" s="59">
        <f>IFERROR(__xludf.DUMMYFUNCTION("iferror(filter('3.5.clean'!C:C,'3.5.clean'!A:A=C1170),"""")"),43816.0)</f>
        <v>43816</v>
      </c>
      <c r="R1170" s="58" t="b">
        <f t="shared" ref="R1170:R1171" si="954">if(Q1170="",FALSE,TRUE)</f>
        <v>1</v>
      </c>
      <c r="S1170" s="4">
        <f>IFERROR(__xludf.DUMMYFUNCTION("iferror(filter('3.5.clean'!H:H,'3.5.clean'!A:A=C1170),"""")"),1.0)</f>
        <v>1</v>
      </c>
      <c r="V1170" s="52" t="s">
        <v>64</v>
      </c>
      <c r="W1170" s="23" t="b">
        <f>if(AND(R1170=TRUE,N1170=TRUE,P1170=TRUE),TRUE,FALSE)</f>
        <v>0</v>
      </c>
      <c r="X1170" s="23" t="str">
        <f>IFERROR(__xludf.DUMMYFUNCTION("if(COUNTA(FILTER(C:C, C:C = C1170))=1,""no"",""yes"")"),"no")</f>
        <v>no</v>
      </c>
    </row>
    <row r="1171">
      <c r="A1171" s="1" t="s">
        <v>947</v>
      </c>
      <c r="B1171" s="2">
        <v>4.0</v>
      </c>
      <c r="C1171" s="19" t="s">
        <v>1879</v>
      </c>
      <c r="E1171" s="24">
        <f>IFERROR(__xludf.DUMMYFUNCTION("ifna(IFNA(filter('2.1.clean'!C:C,'2.1.clean'!A:A=C1171),filter('2.2.clean'!E:E,'2.2.clean'!D:D=C1171)),filter('2.4.clean'!C:C,'2.4.clean'!A:A=C1171))"),43816.0)</f>
        <v>43816</v>
      </c>
      <c r="F1171" s="25">
        <f>IFERROR(__xludf.DUMMYFUNCTION("iferror(ifna(IFNA(filter('2.1.clean'!E:E,'2.1.clean'!A:A=C1171),filter('2.2.clean'!G:G,'2.2.clean'!D:D=C1171)),filter('2.4.clean'!E:E,'2.4.clean'!A:A=C1171)),)"),2.39999999999999)</f>
        <v>2.4</v>
      </c>
      <c r="G1171" s="24"/>
      <c r="J1171" s="25"/>
      <c r="K1171" s="24"/>
      <c r="L1171" s="25"/>
      <c r="M1171" s="24">
        <f>IFERROR(__xludf.DUMMYFUNCTION("iferror(filter('3.3.clean'!C:C,'3.3.clean'!A:A=C1171),"""")"),43818.0)</f>
        <v>43818</v>
      </c>
      <c r="N1171" s="25" t="b">
        <f t="shared" si="951"/>
        <v>1</v>
      </c>
      <c r="O1171" s="24">
        <f>IFERROR(__xludf.DUMMYFUNCTION("iferror(filter('3.4.clean'!C:C,'3.4.clean'!A:A=C1171),"""")"),43818.0)</f>
        <v>43818</v>
      </c>
      <c r="P1171" s="25" t="b">
        <f t="shared" si="952"/>
        <v>1</v>
      </c>
      <c r="Q1171" s="24">
        <f>IFERROR(__xludf.DUMMYFUNCTION("iferror(filter('3.5.clean'!C:C,'3.5.clean'!A:A=C1171),"""")"),43816.0)</f>
        <v>43816</v>
      </c>
      <c r="R1171" s="23" t="b">
        <f t="shared" si="954"/>
        <v>1</v>
      </c>
      <c r="S1171" s="25"/>
      <c r="V1171" s="52" t="s">
        <v>64</v>
      </c>
      <c r="W1171" s="23" t="b">
        <f>IF(and(R1171=TRUE,N1171=TRUE,P1171=TRUE),TRUE,FALSE)</f>
        <v>1</v>
      </c>
      <c r="X1171" s="23" t="str">
        <f>IFERROR(__xludf.DUMMYFUNCTION("if(COUNTA(FILTER(C:C, C:C = C1171))=1,""no"",""yes"")"),"no")</f>
        <v>no</v>
      </c>
    </row>
    <row r="1172">
      <c r="A1172" s="1" t="s">
        <v>947</v>
      </c>
      <c r="B1172" s="19">
        <v>5.0</v>
      </c>
      <c r="C1172" s="19" t="s">
        <v>1880</v>
      </c>
      <c r="D1172" s="58" t="str">
        <f t="shared" ref="D1172:D1173" si="955">if(or(I1172=1,J1172=1,S1172=1),"pos","")</f>
        <v/>
      </c>
      <c r="E1172" s="59">
        <f>IFERROR(__xludf.DUMMYFUNCTION("ifna(IFNA(filter('2.1.clean'!C:C,'2.1.clean'!A:A=C1172),filter('2.2.clean'!E:E,'2.2.clean'!D:D=C1172)),filter('2.4.clean'!C:C,'2.4.clean'!A:A=C1172))"),43816.0)</f>
        <v>43816</v>
      </c>
      <c r="F1172" s="60">
        <f>IFERROR(__xludf.DUMMYFUNCTION("iferror(ifna(IFNA(filter('2.1.clean'!E:E,'2.1.clean'!A:A=C1172),filter('2.2.clean'!G:G,'2.2.clean'!D:D=C1172)),filter('2.4.clean'!E:E,'2.4.clean'!A:A=C1172)),)"),2.39999999999999)</f>
        <v>2.4</v>
      </c>
      <c r="G1172" s="59">
        <f>IFERROR(__xludf.DUMMYFUNCTION("iferror(filter('3.1.clean'!C:C,'3.1.clean'!A:A=C1172),"""")"),43816.0)</f>
        <v>43816</v>
      </c>
      <c r="H1172" s="58" t="b">
        <f>if(G1172="",FALSE,TRUE)</f>
        <v>1</v>
      </c>
      <c r="I1172" s="58">
        <f>IFERROR(__xludf.DUMMYFUNCTION("iferror(filter('3.1.clean'!G:G,'3.1.clean'!A:A=C1172),"""")"),0.0)</f>
        <v>0</v>
      </c>
      <c r="J1172" s="60" t="str">
        <f>IFERROR(__xludf.DUMMYFUNCTION("iferror(filter('3.1.clean'!I:I,'3.1.clean'!A:A=C1172),"""")"),"")</f>
        <v/>
      </c>
      <c r="K1172" s="58"/>
      <c r="L1172" s="60"/>
      <c r="M1172" s="59" t="str">
        <f>IFERROR(__xludf.DUMMYFUNCTION("iferror(filter('3.3.clean'!C:C,'3.3.clean'!A:A=C1172),"""")"),"")</f>
        <v/>
      </c>
      <c r="N1172" s="60" t="b">
        <f t="shared" si="951"/>
        <v>0</v>
      </c>
      <c r="O1172" s="59" t="str">
        <f>IFERROR(__xludf.DUMMYFUNCTION("iferror(filter('3.4.clean'!C:C,'3.4.clean'!A:A=C1172),"""")"),"")</f>
        <v/>
      </c>
      <c r="P1172" s="60" t="b">
        <f t="shared" si="952"/>
        <v>0</v>
      </c>
      <c r="Q1172" s="59" t="str">
        <f>IFERROR(__xludf.DUMMYFUNCTION("iferror(filter('3.5.clean'!C:C,'3.5.clean'!A:A=C1172),"""")"),"")</f>
        <v/>
      </c>
      <c r="R1172" s="58"/>
      <c r="S1172" s="4" t="str">
        <f>IFERROR(__xludf.DUMMYFUNCTION("iferror(filter('3.5.clean'!H:H,'3.5.clean'!A:A=C1172),"""")"),"")</f>
        <v/>
      </c>
      <c r="W1172" s="23" t="b">
        <f>if(AND(H1172=TRUE,N1172=TRUE,P1172=TRUE),TRUE,FALSE)</f>
        <v>0</v>
      </c>
      <c r="X1172" s="23" t="str">
        <f>IFERROR(__xludf.DUMMYFUNCTION("if(COUNTA(FILTER(C:C, C:C = C1172))=1,""no"",""yes"")"),"no")</f>
        <v>no</v>
      </c>
    </row>
    <row r="1173">
      <c r="A1173" s="1" t="s">
        <v>947</v>
      </c>
      <c r="B1173" s="19">
        <v>6.0</v>
      </c>
      <c r="C1173" s="19" t="s">
        <v>1881</v>
      </c>
      <c r="D1173" s="58" t="str">
        <f t="shared" si="955"/>
        <v/>
      </c>
      <c r="E1173" s="59">
        <f>Q1173</f>
        <v>43816</v>
      </c>
      <c r="F1173" s="60" t="str">
        <f>IFERROR(__xludf.DUMMYFUNCTION("iferror(ifna(IFNA(filter('2.1.clean'!E:E,'2.1.clean'!A:A=C1173),filter('2.2.clean'!G:G,'2.2.clean'!D:D=C1173)),filter('2.4.clean'!E:E,'2.4.clean'!A:A=C1173)),)"),"")</f>
        <v/>
      </c>
      <c r="G1173" s="59" t="str">
        <f>IFERROR(__xludf.DUMMYFUNCTION("iferror(filter('3.1.clean'!C:C,'3.1.clean'!A:A=C1173),"""")"),"")</f>
        <v/>
      </c>
      <c r="H1173" s="58"/>
      <c r="I1173" s="58" t="str">
        <f>IFERROR(__xludf.DUMMYFUNCTION("iferror(filter('3.1.clean'!G:G,'3.1.clean'!A:A=C1173),"""")"),"")</f>
        <v/>
      </c>
      <c r="J1173" s="60" t="str">
        <f>IFERROR(__xludf.DUMMYFUNCTION("iferror(filter('3.1.clean'!I:I,'3.1.clean'!A:A=C1173),"""")"),"")</f>
        <v/>
      </c>
      <c r="K1173" s="59"/>
      <c r="L1173" s="60"/>
      <c r="M1173" s="59" t="str">
        <f>IFERROR(__xludf.DUMMYFUNCTION("iferror(filter('3.3.clean'!C:C,'3.3.clean'!A:A=C1173),"""")"),"")</f>
        <v/>
      </c>
      <c r="N1173" s="60" t="b">
        <f t="shared" si="951"/>
        <v>0</v>
      </c>
      <c r="O1173" s="59" t="str">
        <f>IFERROR(__xludf.DUMMYFUNCTION("iferror(filter('3.4.clean'!C:C,'3.4.clean'!A:A=C1173),"""")"),"")</f>
        <v/>
      </c>
      <c r="P1173" s="60" t="b">
        <f t="shared" si="952"/>
        <v>0</v>
      </c>
      <c r="Q1173" s="59">
        <f>IFERROR(__xludf.DUMMYFUNCTION("iferror(filter('3.5.clean'!C:C,'3.5.clean'!A:A=C1173),"""")"),43816.0)</f>
        <v>43816</v>
      </c>
      <c r="R1173" s="58" t="b">
        <f t="shared" ref="R1173:R1174" si="956">if(Q1173="",FALSE,TRUE)</f>
        <v>1</v>
      </c>
      <c r="S1173" s="4">
        <f>IFERROR(__xludf.DUMMYFUNCTION("iferror(filter('3.5.clean'!H:H,'3.5.clean'!A:A=C1173),"""")"),0.0)</f>
        <v>0</v>
      </c>
      <c r="V1173" s="52" t="s">
        <v>64</v>
      </c>
      <c r="W1173" s="23" t="b">
        <f>if(AND(R1173=TRUE,N1173=TRUE,P1173=TRUE),TRUE,FALSE)</f>
        <v>0</v>
      </c>
      <c r="X1173" s="23" t="str">
        <f>IFERROR(__xludf.DUMMYFUNCTION("if(COUNTA(FILTER(C:C, C:C = C1173))=1,""no"",""yes"")"),"no")</f>
        <v>no</v>
      </c>
    </row>
    <row r="1174">
      <c r="A1174" s="1" t="s">
        <v>947</v>
      </c>
      <c r="B1174" s="2">
        <v>7.0</v>
      </c>
      <c r="C1174" s="19" t="s">
        <v>1882</v>
      </c>
      <c r="E1174" s="24">
        <f>IFERROR(__xludf.DUMMYFUNCTION("ifna(IFNA(filter('2.1.clean'!C:C,'2.1.clean'!A:A=C1174),filter('2.2.clean'!E:E,'2.2.clean'!D:D=C1174)),filter('2.4.clean'!C:C,'2.4.clean'!A:A=C1174))"),43816.0)</f>
        <v>43816</v>
      </c>
      <c r="F1174" s="25">
        <f>IFERROR(__xludf.DUMMYFUNCTION("iferror(ifna(IFNA(filter('2.1.clean'!E:E,'2.1.clean'!A:A=C1174),filter('2.2.clean'!G:G,'2.2.clean'!D:D=C1174)),filter('2.4.clean'!E:E,'2.4.clean'!A:A=C1174)),)"),2.39999999999999)</f>
        <v>2.4</v>
      </c>
      <c r="G1174" s="24" t="str">
        <f>IFERROR(__xludf.DUMMYFUNCTION("iferror(filter('3.1.clean'!C:C,'3.1.clean'!A:A=C1174),"""")"),"")</f>
        <v/>
      </c>
      <c r="H1174" s="23" t="b">
        <f t="shared" ref="H1174:H1179" si="957">if(G1174="",FALSE,TRUE)</f>
        <v>0</v>
      </c>
      <c r="J1174" s="25"/>
      <c r="K1174" s="24">
        <f>IFERROR(__xludf.DUMMYFUNCTION("iferror(filter('3.2.clean'!C:C,'3.2.clean'!A:A=C1174),"""")"),43817.0)</f>
        <v>43817</v>
      </c>
      <c r="L1174" s="25" t="b">
        <f>if(K1174="",FALSE,TRUE)</f>
        <v>1</v>
      </c>
      <c r="M1174" s="24">
        <f>IFERROR(__xludf.DUMMYFUNCTION("iferror(filter('3.3.clean'!C:C,'3.3.clean'!A:A=C1174),"""")"),43818.0)</f>
        <v>43818</v>
      </c>
      <c r="N1174" s="25" t="b">
        <f t="shared" si="951"/>
        <v>1</v>
      </c>
      <c r="O1174" s="24">
        <f>IFERROR(__xludf.DUMMYFUNCTION("iferror(filter('3.4.clean'!C:C,'3.4.clean'!A:A=C1174),"""")"),43818.0)</f>
        <v>43818</v>
      </c>
      <c r="P1174" s="25" t="b">
        <f t="shared" si="952"/>
        <v>1</v>
      </c>
      <c r="Q1174" s="24" t="str">
        <f>IFERROR(__xludf.DUMMYFUNCTION("iferror(filter('3.5.clean'!C:C,'3.5.clean'!A:A=C1174),"""")"),"")</f>
        <v/>
      </c>
      <c r="R1174" s="23" t="b">
        <f t="shared" si="956"/>
        <v>0</v>
      </c>
      <c r="S1174" s="25"/>
      <c r="V1174" s="1" t="s">
        <v>64</v>
      </c>
      <c r="X1174" s="23" t="str">
        <f>IFERROR(__xludf.DUMMYFUNCTION("if(COUNTA(FILTER(C:C, C:C = C1174))=1,""no"",""yes"")"),"no")</f>
        <v>no</v>
      </c>
    </row>
    <row r="1175">
      <c r="A1175" s="1" t="s">
        <v>947</v>
      </c>
      <c r="B1175" s="19">
        <v>8.0</v>
      </c>
      <c r="C1175" s="19" t="s">
        <v>1883</v>
      </c>
      <c r="D1175" s="58" t="str">
        <f>if(or(I1175=1,J1175=1,S1175=1),"pos","")</f>
        <v/>
      </c>
      <c r="E1175" s="59">
        <f>IFERROR(__xludf.DUMMYFUNCTION("ifna(IFNA(filter('2.1.clean'!C:C,'2.1.clean'!A:A=C1175),filter('2.2.clean'!E:E,'2.2.clean'!D:D=C1175)),filter('2.4.clean'!C:C,'2.4.clean'!A:A=C1175))"),43816.0)</f>
        <v>43816</v>
      </c>
      <c r="F1175" s="60">
        <f>IFERROR(__xludf.DUMMYFUNCTION("iferror(ifna(IFNA(filter('2.1.clean'!E:E,'2.1.clean'!A:A=C1175),filter('2.2.clean'!G:G,'2.2.clean'!D:D=C1175)),filter('2.4.clean'!E:E,'2.4.clean'!A:A=C1175)),)"),2.39999999999999)</f>
        <v>2.4</v>
      </c>
      <c r="G1175" s="59" t="str">
        <f>IFERROR(__xludf.DUMMYFUNCTION("iferror(filter('3.1.clean'!C:C,'3.1.clean'!A:A=C1175),"""")"),"")</f>
        <v/>
      </c>
      <c r="H1175" s="58" t="b">
        <f t="shared" si="957"/>
        <v>0</v>
      </c>
      <c r="I1175" s="58" t="str">
        <f>IFERROR(__xludf.DUMMYFUNCTION("iferror(filter('3.1.clean'!G:G,'3.1.clean'!A:A=C1175),"""")"),"")</f>
        <v/>
      </c>
      <c r="J1175" s="60" t="str">
        <f>IFERROR(__xludf.DUMMYFUNCTION("iferror(filter('3.1.clean'!I:I,'3.1.clean'!A:A=C1175),"""")"),"")</f>
        <v/>
      </c>
      <c r="K1175" s="58"/>
      <c r="L1175" s="60"/>
      <c r="M1175" s="59" t="str">
        <f>IFERROR(__xludf.DUMMYFUNCTION("iferror(filter('3.3.clean'!C:C,'3.3.clean'!A:A=C1175),"""")"),"")</f>
        <v/>
      </c>
      <c r="N1175" s="60" t="b">
        <f t="shared" si="951"/>
        <v>0</v>
      </c>
      <c r="O1175" s="59" t="str">
        <f>IFERROR(__xludf.DUMMYFUNCTION("iferror(filter('3.4.clean'!C:C,'3.4.clean'!A:A=C1175),"""")"),"")</f>
        <v/>
      </c>
      <c r="P1175" s="60" t="b">
        <f t="shared" si="952"/>
        <v>0</v>
      </c>
      <c r="Q1175" s="59" t="str">
        <f>IFERROR(__xludf.DUMMYFUNCTION("iferror(filter('3.5.clean'!C:C,'3.5.clean'!A:A=C1175),"""")"),"")</f>
        <v/>
      </c>
      <c r="R1175" s="58"/>
      <c r="S1175" s="4" t="str">
        <f>IFERROR(__xludf.DUMMYFUNCTION("iferror(filter('3.5.clean'!H:H,'3.5.clean'!A:A=C1175),"""")"),"")</f>
        <v/>
      </c>
      <c r="W1175" s="23" t="b">
        <f>if(AND(H1175=TRUE,N1175=TRUE,P1175=TRUE),TRUE,FALSE)</f>
        <v>0</v>
      </c>
      <c r="X1175" s="23" t="str">
        <f>IFERROR(__xludf.DUMMYFUNCTION("if(COUNTA(FILTER(C:C, C:C = C1175))=1,""no"",""yes"")"),"no")</f>
        <v>no</v>
      </c>
    </row>
    <row r="1176">
      <c r="A1176" s="1" t="s">
        <v>947</v>
      </c>
      <c r="B1176" s="2">
        <v>10.0</v>
      </c>
      <c r="C1176" s="19" t="s">
        <v>1884</v>
      </c>
      <c r="E1176" s="24">
        <f>IFERROR(__xludf.DUMMYFUNCTION("ifna(IFNA(filter('2.1.clean'!C:C,'2.1.clean'!A:A=C1176),filter('2.2.clean'!E:E,'2.2.clean'!D:D=C1176)),filter('2.4.clean'!C:C,'2.4.clean'!A:A=C1176))"),43816.0)</f>
        <v>43816</v>
      </c>
      <c r="F1176" s="25">
        <f>IFERROR(__xludf.DUMMYFUNCTION("iferror(ifna(IFNA(filter('2.1.clean'!E:E,'2.1.clean'!A:A=C1176),filter('2.2.clean'!G:G,'2.2.clean'!D:D=C1176)),filter('2.4.clean'!E:E,'2.4.clean'!A:A=C1176)),)"),2.39999999999999)</f>
        <v>2.4</v>
      </c>
      <c r="G1176" s="24" t="str">
        <f>IFERROR(__xludf.DUMMYFUNCTION("iferror(filter('3.1.clean'!C:C,'3.1.clean'!A:A=C1176),"""")"),"")</f>
        <v/>
      </c>
      <c r="H1176" s="23" t="b">
        <f t="shared" si="957"/>
        <v>0</v>
      </c>
      <c r="J1176" s="25"/>
      <c r="K1176" s="24">
        <f>IFERROR(__xludf.DUMMYFUNCTION("iferror(filter('3.2.clean'!C:C,'3.2.clean'!A:A=C1176),"""")"),43817.0)</f>
        <v>43817</v>
      </c>
      <c r="L1176" s="25" t="b">
        <f>if(K1176="",FALSE,TRUE)</f>
        <v>1</v>
      </c>
      <c r="M1176" s="24">
        <f>IFERROR(__xludf.DUMMYFUNCTION("iferror(filter('3.3.clean'!C:C,'3.3.clean'!A:A=C1176),"""")"),43818.0)</f>
        <v>43818</v>
      </c>
      <c r="N1176" s="25" t="b">
        <f t="shared" si="951"/>
        <v>1</v>
      </c>
      <c r="O1176" s="24">
        <f>IFERROR(__xludf.DUMMYFUNCTION("iferror(filter('3.4.clean'!C:C,'3.4.clean'!A:A=C1176),"""")"),43818.0)</f>
        <v>43818</v>
      </c>
      <c r="P1176" s="25" t="b">
        <f t="shared" si="952"/>
        <v>1</v>
      </c>
      <c r="Q1176" s="24" t="str">
        <f>IFERROR(__xludf.DUMMYFUNCTION("iferror(filter('3.5.clean'!C:C,'3.5.clean'!A:A=C1176),"""")"),"")</f>
        <v/>
      </c>
      <c r="R1176" s="23" t="b">
        <f>if(Q1176="",FALSE,TRUE)</f>
        <v>0</v>
      </c>
      <c r="S1176" s="25"/>
      <c r="V1176" s="1" t="s">
        <v>64</v>
      </c>
      <c r="X1176" s="23" t="str">
        <f>IFERROR(__xludf.DUMMYFUNCTION("if(COUNTA(FILTER(C:C, C:C = C1176))=1,""no"",""yes"")"),"no")</f>
        <v>no</v>
      </c>
    </row>
    <row r="1177">
      <c r="A1177" s="1" t="s">
        <v>947</v>
      </c>
      <c r="B1177" s="19">
        <v>11.0</v>
      </c>
      <c r="C1177" s="19" t="s">
        <v>1885</v>
      </c>
      <c r="D1177" s="58" t="str">
        <f>if(or(I1177=1,J1177=1,S1177=1),"pos","")</f>
        <v/>
      </c>
      <c r="E1177" s="59">
        <f>IFERROR(__xludf.DUMMYFUNCTION("ifna(IFNA(filter('2.1.clean'!C:C,'2.1.clean'!A:A=C1177),filter('2.2.clean'!E:E,'2.2.clean'!D:D=C1177)),filter('2.4.clean'!C:C,'2.4.clean'!A:A=C1177))"),43816.0)</f>
        <v>43816</v>
      </c>
      <c r="F1177" s="60">
        <f>IFERROR(__xludf.DUMMYFUNCTION("iferror(ifna(IFNA(filter('2.1.clean'!E:E,'2.1.clean'!A:A=C1177),filter('2.2.clean'!G:G,'2.2.clean'!D:D=C1177)),filter('2.4.clean'!E:E,'2.4.clean'!A:A=C1177)),)"),2.39999999999999)</f>
        <v>2.4</v>
      </c>
      <c r="G1177" s="59" t="str">
        <f>IFERROR(__xludf.DUMMYFUNCTION("iferror(filter('3.1.clean'!C:C,'3.1.clean'!A:A=C1177),"""")"),"")</f>
        <v/>
      </c>
      <c r="H1177" s="58" t="b">
        <f t="shared" si="957"/>
        <v>0</v>
      </c>
      <c r="I1177" s="58" t="str">
        <f>IFERROR(__xludf.DUMMYFUNCTION("iferror(filter('3.1.clean'!G:G,'3.1.clean'!A:A=C1177),"""")"),"")</f>
        <v/>
      </c>
      <c r="J1177" s="60" t="str">
        <f>IFERROR(__xludf.DUMMYFUNCTION("iferror(filter('3.1.clean'!I:I,'3.1.clean'!A:A=C1177),"""")"),"")</f>
        <v/>
      </c>
      <c r="K1177" s="58"/>
      <c r="L1177" s="60"/>
      <c r="M1177" s="59" t="str">
        <f>IFERROR(__xludf.DUMMYFUNCTION("iferror(filter('3.3.clean'!C:C,'3.3.clean'!A:A=C1177),"""")"),"")</f>
        <v/>
      </c>
      <c r="N1177" s="60" t="b">
        <f t="shared" si="951"/>
        <v>0</v>
      </c>
      <c r="O1177" s="59" t="str">
        <f>IFERROR(__xludf.DUMMYFUNCTION("iferror(filter('3.4.clean'!C:C,'3.4.clean'!A:A=C1177),"""")"),"")</f>
        <v/>
      </c>
      <c r="P1177" s="60" t="b">
        <f t="shared" si="952"/>
        <v>0</v>
      </c>
      <c r="Q1177" s="59" t="str">
        <f>IFERROR(__xludf.DUMMYFUNCTION("iferror(filter('3.5.clean'!C:C,'3.5.clean'!A:A=C1177),"""")"),"")</f>
        <v/>
      </c>
      <c r="R1177" s="58"/>
      <c r="S1177" s="4" t="str">
        <f>IFERROR(__xludf.DUMMYFUNCTION("iferror(filter('3.5.clean'!H:H,'3.5.clean'!A:A=C1177),"""")"),"")</f>
        <v/>
      </c>
      <c r="W1177" s="23" t="b">
        <f>if(AND(H1177=TRUE,N1177=TRUE,P1177=TRUE),TRUE,FALSE)</f>
        <v>0</v>
      </c>
      <c r="X1177" s="23" t="str">
        <f>IFERROR(__xludf.DUMMYFUNCTION("if(COUNTA(FILTER(C:C, C:C = C1177))=1,""no"",""yes"")"),"no")</f>
        <v>no</v>
      </c>
    </row>
    <row r="1178">
      <c r="A1178" s="1" t="s">
        <v>947</v>
      </c>
      <c r="B1178" s="2">
        <v>13.0</v>
      </c>
      <c r="C1178" s="19" t="s">
        <v>1886</v>
      </c>
      <c r="E1178" s="24">
        <f>IFERROR(__xludf.DUMMYFUNCTION("ifna(IFNA(filter('2.1.clean'!C:C,'2.1.clean'!A:A=C1178),filter('2.2.clean'!E:E,'2.2.clean'!D:D=C1178)),filter('2.4.clean'!C:C,'2.4.clean'!A:A=C1178))"),43816.0)</f>
        <v>43816</v>
      </c>
      <c r="F1178" s="25">
        <f>IFERROR(__xludf.DUMMYFUNCTION("iferror(ifna(IFNA(filter('2.1.clean'!E:E,'2.1.clean'!A:A=C1178),filter('2.2.clean'!G:G,'2.2.clean'!D:D=C1178)),filter('2.4.clean'!E:E,'2.4.clean'!A:A=C1178)),)"),2.39999999999999)</f>
        <v>2.4</v>
      </c>
      <c r="G1178" s="24">
        <f>IFERROR(__xludf.DUMMYFUNCTION("iferror(filter('3.1.clean'!C:C,'3.1.clean'!A:A=C1178),"""")"),43816.0)</f>
        <v>43816</v>
      </c>
      <c r="H1178" s="23" t="b">
        <f t="shared" si="957"/>
        <v>1</v>
      </c>
      <c r="J1178" s="25"/>
      <c r="K1178" s="24">
        <f>IFERROR(__xludf.DUMMYFUNCTION("iferror(filter('3.2.clean'!C:C,'3.2.clean'!A:A=C1178),"""")"),43817.0)</f>
        <v>43817</v>
      </c>
      <c r="L1178" s="25" t="b">
        <f>if(K1178="",FALSE,TRUE)</f>
        <v>1</v>
      </c>
      <c r="M1178" s="24">
        <f>IFERROR(__xludf.DUMMYFUNCTION("iferror(filter('3.3.clean'!C:C,'3.3.clean'!A:A=C1178),"""")"),43818.0)</f>
        <v>43818</v>
      </c>
      <c r="N1178" s="25" t="b">
        <f t="shared" si="951"/>
        <v>1</v>
      </c>
      <c r="O1178" s="24">
        <f>IFERROR(__xludf.DUMMYFUNCTION("iferror(filter('3.4.clean'!C:C,'3.4.clean'!A:A=C1178),"""")"),43818.0)</f>
        <v>43818</v>
      </c>
      <c r="P1178" s="25" t="b">
        <f t="shared" si="952"/>
        <v>1</v>
      </c>
      <c r="Q1178" s="24">
        <f>IFERROR(__xludf.DUMMYFUNCTION("iferror(filter('3.5.clean'!C:C,'3.5.clean'!A:A=C1178),"""")"),43816.0)</f>
        <v>43816</v>
      </c>
      <c r="R1178" s="23" t="b">
        <f>if(Q1178="",FALSE,TRUE)</f>
        <v>1</v>
      </c>
      <c r="S1178" s="25"/>
      <c r="V1178" s="1" t="s">
        <v>64</v>
      </c>
      <c r="X1178" s="23" t="str">
        <f>IFERROR(__xludf.DUMMYFUNCTION("if(COUNTA(FILTER(C:C, C:C = C1178))=1,""no"",""yes"")"),"no")</f>
        <v>no</v>
      </c>
    </row>
    <row r="1179">
      <c r="A1179" s="1" t="s">
        <v>947</v>
      </c>
      <c r="B1179" s="19">
        <v>14.0</v>
      </c>
      <c r="C1179" s="19" t="s">
        <v>1887</v>
      </c>
      <c r="D1179" s="58" t="str">
        <f t="shared" ref="D1179:D1180" si="958">if(or(I1179=1,J1179=1,S1179=1),"pos","")</f>
        <v/>
      </c>
      <c r="E1179" s="59">
        <f>IFERROR(__xludf.DUMMYFUNCTION("ifna(IFNA(filter('2.1.clean'!C:C,'2.1.clean'!A:A=C1179),filter('2.2.clean'!E:E,'2.2.clean'!D:D=C1179)),filter('2.4.clean'!C:C,'2.4.clean'!A:A=C1179))"),43816.0)</f>
        <v>43816</v>
      </c>
      <c r="F1179" s="60">
        <f>IFERROR(__xludf.DUMMYFUNCTION("iferror(ifna(IFNA(filter('2.1.clean'!E:E,'2.1.clean'!A:A=C1179),filter('2.2.clean'!G:G,'2.2.clean'!D:D=C1179)),filter('2.4.clean'!E:E,'2.4.clean'!A:A=C1179)),)"),2.39999999999999)</f>
        <v>2.4</v>
      </c>
      <c r="G1179" s="59">
        <f>IFERROR(__xludf.DUMMYFUNCTION("iferror(filter('3.1.clean'!C:C,'3.1.clean'!A:A=C1179),"""")"),43816.0)</f>
        <v>43816</v>
      </c>
      <c r="H1179" s="58" t="b">
        <f t="shared" si="957"/>
        <v>1</v>
      </c>
      <c r="I1179" s="58">
        <f>IFERROR(__xludf.DUMMYFUNCTION("iferror(filter('3.1.clean'!G:G,'3.1.clean'!A:A=C1179),"""")"),0.0)</f>
        <v>0</v>
      </c>
      <c r="J1179" s="60" t="str">
        <f>IFERROR(__xludf.DUMMYFUNCTION("iferror(filter('3.1.clean'!I:I,'3.1.clean'!A:A=C1179),"""")"),"")</f>
        <v/>
      </c>
      <c r="K1179" s="58"/>
      <c r="L1179" s="60"/>
      <c r="M1179" s="59" t="str">
        <f>IFERROR(__xludf.DUMMYFUNCTION("iferror(filter('3.3.clean'!C:C,'3.3.clean'!A:A=C1179),"""")"),"")</f>
        <v/>
      </c>
      <c r="N1179" s="60" t="b">
        <f t="shared" si="951"/>
        <v>0</v>
      </c>
      <c r="O1179" s="59" t="str">
        <f>IFERROR(__xludf.DUMMYFUNCTION("iferror(filter('3.4.clean'!C:C,'3.4.clean'!A:A=C1179),"""")"),"")</f>
        <v/>
      </c>
      <c r="P1179" s="60" t="b">
        <f t="shared" si="952"/>
        <v>0</v>
      </c>
      <c r="Q1179" s="59" t="str">
        <f>IFERROR(__xludf.DUMMYFUNCTION("iferror(filter('3.5.clean'!C:C,'3.5.clean'!A:A=C1179),"""")"),"")</f>
        <v/>
      </c>
      <c r="R1179" s="58"/>
      <c r="S1179" s="4" t="str">
        <f>IFERROR(__xludf.DUMMYFUNCTION("iferror(filter('3.5.clean'!H:H,'3.5.clean'!A:A=C1179),"""")"),"")</f>
        <v/>
      </c>
      <c r="W1179" s="23" t="b">
        <f>if(AND(H1179=TRUE,N1179=TRUE,P1179=TRUE),TRUE,FALSE)</f>
        <v>0</v>
      </c>
      <c r="X1179" s="23" t="str">
        <f>IFERROR(__xludf.DUMMYFUNCTION("if(COUNTA(FILTER(C:C, C:C = C1179))=1,""no"",""yes"")"),"no")</f>
        <v>no</v>
      </c>
    </row>
    <row r="1180">
      <c r="A1180" s="1" t="s">
        <v>947</v>
      </c>
      <c r="B1180" s="19">
        <v>15.0</v>
      </c>
      <c r="C1180" s="19" t="s">
        <v>1888</v>
      </c>
      <c r="D1180" s="58" t="str">
        <f t="shared" si="958"/>
        <v/>
      </c>
      <c r="E1180" s="59">
        <f>Q1180</f>
        <v>43816</v>
      </c>
      <c r="F1180" s="60" t="str">
        <f>IFERROR(__xludf.DUMMYFUNCTION("iferror(ifna(IFNA(filter('2.1.clean'!E:E,'2.1.clean'!A:A=C1180),filter('2.2.clean'!G:G,'2.2.clean'!D:D=C1180)),filter('2.4.clean'!E:E,'2.4.clean'!A:A=C1180)),)"),"")</f>
        <v/>
      </c>
      <c r="G1180" s="59" t="str">
        <f>IFERROR(__xludf.DUMMYFUNCTION("iferror(filter('3.1.clean'!C:C,'3.1.clean'!A:A=C1180),"""")"),"")</f>
        <v/>
      </c>
      <c r="H1180" s="58"/>
      <c r="I1180" s="58" t="str">
        <f>IFERROR(__xludf.DUMMYFUNCTION("iferror(filter('3.1.clean'!G:G,'3.1.clean'!A:A=C1180),"""")"),"")</f>
        <v/>
      </c>
      <c r="J1180" s="60" t="str">
        <f>IFERROR(__xludf.DUMMYFUNCTION("iferror(filter('3.1.clean'!I:I,'3.1.clean'!A:A=C1180),"""")"),"")</f>
        <v/>
      </c>
      <c r="K1180" s="59"/>
      <c r="L1180" s="60"/>
      <c r="M1180" s="59" t="str">
        <f>IFERROR(__xludf.DUMMYFUNCTION("iferror(filter('3.3.clean'!C:C,'3.3.clean'!A:A=C1180),"""")"),"")</f>
        <v/>
      </c>
      <c r="N1180" s="60" t="b">
        <f t="shared" si="951"/>
        <v>0</v>
      </c>
      <c r="O1180" s="59" t="str">
        <f>IFERROR(__xludf.DUMMYFUNCTION("iferror(filter('3.4.clean'!C:C,'3.4.clean'!A:A=C1180),"""")"),"")</f>
        <v/>
      </c>
      <c r="P1180" s="60" t="b">
        <f t="shared" si="952"/>
        <v>0</v>
      </c>
      <c r="Q1180" s="59">
        <f>IFERROR(__xludf.DUMMYFUNCTION("iferror(filter('3.5.clean'!C:C,'3.5.clean'!A:A=C1180),"""")"),43816.0)</f>
        <v>43816</v>
      </c>
      <c r="R1180" s="58" t="b">
        <f t="shared" ref="R1180:R1181" si="959">if(Q1180="",FALSE,TRUE)</f>
        <v>1</v>
      </c>
      <c r="S1180" s="4">
        <f>IFERROR(__xludf.DUMMYFUNCTION("iferror(filter('3.5.clean'!H:H,'3.5.clean'!A:A=C1180),"""")"),0.0)</f>
        <v>0</v>
      </c>
      <c r="V1180" s="52" t="s">
        <v>64</v>
      </c>
      <c r="W1180" s="23" t="b">
        <f>if(AND(R1180=TRUE,N1180=TRUE,P1180=TRUE),TRUE,FALSE)</f>
        <v>0</v>
      </c>
      <c r="X1180" s="23" t="str">
        <f>IFERROR(__xludf.DUMMYFUNCTION("if(COUNTA(FILTER(C:C, C:C = C1180))=1,""no"",""yes"")"),"no")</f>
        <v>no</v>
      </c>
    </row>
    <row r="1181">
      <c r="A1181" s="1" t="s">
        <v>947</v>
      </c>
      <c r="B1181" s="2">
        <v>16.0</v>
      </c>
      <c r="C1181" s="19" t="s">
        <v>1889</v>
      </c>
      <c r="E1181" s="24">
        <f>IFERROR(__xludf.DUMMYFUNCTION("ifna(IFNA(filter('2.1.clean'!C:C,'2.1.clean'!A:A=C1181),filter('2.2.clean'!E:E,'2.2.clean'!D:D=C1181)),filter('2.4.clean'!C:C,'2.4.clean'!A:A=C1181))"),43816.0)</f>
        <v>43816</v>
      </c>
      <c r="F1181" s="25">
        <f>IFERROR(__xludf.DUMMYFUNCTION("iferror(ifna(IFNA(filter('2.1.clean'!E:E,'2.1.clean'!A:A=C1181),filter('2.2.clean'!G:G,'2.2.clean'!D:D=C1181)),filter('2.4.clean'!E:E,'2.4.clean'!A:A=C1181)),)"),2.39999999999999)</f>
        <v>2.4</v>
      </c>
      <c r="G1181" s="24">
        <f>IFERROR(__xludf.DUMMYFUNCTION("iferror(filter('3.1.clean'!C:C,'3.1.clean'!A:A=C1181),"""")"),43816.0)</f>
        <v>43816</v>
      </c>
      <c r="H1181" s="23" t="b">
        <f t="shared" ref="H1181:H1182" si="960">if(G1181="",FALSE,TRUE)</f>
        <v>1</v>
      </c>
      <c r="J1181" s="25"/>
      <c r="K1181" s="24">
        <f>IFERROR(__xludf.DUMMYFUNCTION("iferror(filter('3.2.clean'!C:C,'3.2.clean'!A:A=C1181),"""")"),43817.0)</f>
        <v>43817</v>
      </c>
      <c r="L1181" s="25" t="b">
        <f>if(K1181="",FALSE,TRUE)</f>
        <v>1</v>
      </c>
      <c r="M1181" s="24">
        <f>IFERROR(__xludf.DUMMYFUNCTION("iferror(filter('3.3.clean'!C:C,'3.3.clean'!A:A=C1181),"""")"),43818.0)</f>
        <v>43818</v>
      </c>
      <c r="N1181" s="25" t="b">
        <f t="shared" si="951"/>
        <v>1</v>
      </c>
      <c r="O1181" s="24">
        <f>IFERROR(__xludf.DUMMYFUNCTION("iferror(filter('3.4.clean'!C:C,'3.4.clean'!A:A=C1181),"""")"),43818.0)</f>
        <v>43818</v>
      </c>
      <c r="P1181" s="25" t="b">
        <f t="shared" si="952"/>
        <v>1</v>
      </c>
      <c r="Q1181" s="24">
        <f>IFERROR(__xludf.DUMMYFUNCTION("iferror(filter('3.5.clean'!C:C,'3.5.clean'!A:A=C1181),"""")"),43816.0)</f>
        <v>43816</v>
      </c>
      <c r="R1181" s="23" t="b">
        <f t="shared" si="959"/>
        <v>1</v>
      </c>
      <c r="S1181" s="25"/>
      <c r="V1181" s="1" t="s">
        <v>64</v>
      </c>
      <c r="X1181" s="23" t="str">
        <f>IFERROR(__xludf.DUMMYFUNCTION("if(COUNTA(FILTER(C:C, C:C = C1181))=1,""no"",""yes"")"),"no")</f>
        <v>no</v>
      </c>
    </row>
    <row r="1182">
      <c r="A1182" s="1" t="s">
        <v>947</v>
      </c>
      <c r="B1182" s="19">
        <v>17.0</v>
      </c>
      <c r="C1182" s="19" t="s">
        <v>1890</v>
      </c>
      <c r="D1182" s="58" t="str">
        <f t="shared" ref="D1182:D1185" si="961">if(or(I1182=1,J1182=1,S1182=1),"pos","")</f>
        <v/>
      </c>
      <c r="E1182" s="59">
        <f>IFERROR(__xludf.DUMMYFUNCTION("ifna(IFNA(filter('2.1.clean'!C:C,'2.1.clean'!A:A=C1182),filter('2.2.clean'!E:E,'2.2.clean'!D:D=C1182)),filter('2.4.clean'!C:C,'2.4.clean'!A:A=C1182))"),43816.0)</f>
        <v>43816</v>
      </c>
      <c r="F1182" s="60">
        <f>IFERROR(__xludf.DUMMYFUNCTION("iferror(ifna(IFNA(filter('2.1.clean'!E:E,'2.1.clean'!A:A=C1182),filter('2.2.clean'!G:G,'2.2.clean'!D:D=C1182)),filter('2.4.clean'!E:E,'2.4.clean'!A:A=C1182)),)"),2.39999999999999)</f>
        <v>2.4</v>
      </c>
      <c r="G1182" s="59">
        <f>IFERROR(__xludf.DUMMYFUNCTION("iferror(filter('3.1.clean'!C:C,'3.1.clean'!A:A=C1182),"""")"),43816.0)</f>
        <v>43816</v>
      </c>
      <c r="H1182" s="58" t="b">
        <f t="shared" si="960"/>
        <v>1</v>
      </c>
      <c r="I1182" s="58">
        <f>IFERROR(__xludf.DUMMYFUNCTION("iferror(filter('3.1.clean'!G:G,'3.1.clean'!A:A=C1182),"""")"),0.0)</f>
        <v>0</v>
      </c>
      <c r="J1182" s="60" t="str">
        <f>IFERROR(__xludf.DUMMYFUNCTION("iferror(filter('3.1.clean'!I:I,'3.1.clean'!A:A=C1182),"""")"),"")</f>
        <v/>
      </c>
      <c r="K1182" s="58"/>
      <c r="L1182" s="60"/>
      <c r="M1182" s="59">
        <f>IFERROR(__xludf.DUMMYFUNCTION("iferror(filter('3.3.clean'!C:C,'3.3.clean'!A:A=C1182),"""")"),43818.0)</f>
        <v>43818</v>
      </c>
      <c r="N1182" s="60" t="b">
        <f t="shared" si="951"/>
        <v>1</v>
      </c>
      <c r="O1182" s="59">
        <f>IFERROR(__xludf.DUMMYFUNCTION("iferror(filter('3.4.clean'!C:C,'3.4.clean'!A:A=C1182),"""")"),43818.0)</f>
        <v>43818</v>
      </c>
      <c r="P1182" s="60" t="b">
        <f t="shared" si="952"/>
        <v>1</v>
      </c>
      <c r="Q1182" s="59" t="str">
        <f>IFERROR(__xludf.DUMMYFUNCTION("iferror(filter('3.5.clean'!C:C,'3.5.clean'!A:A=C1182),"""")"),"")</f>
        <v/>
      </c>
      <c r="R1182" s="58"/>
      <c r="S1182" s="4" t="str">
        <f>IFERROR(__xludf.DUMMYFUNCTION("iferror(filter('3.5.clean'!H:H,'3.5.clean'!A:A=C1182),"""")"),"")</f>
        <v/>
      </c>
      <c r="W1182" s="23" t="b">
        <f>if(AND(H1182=TRUE,N1182=TRUE,P1182=TRUE),TRUE,FALSE)</f>
        <v>1</v>
      </c>
      <c r="X1182" s="23" t="str">
        <f>IFERROR(__xludf.DUMMYFUNCTION("if(COUNTA(FILTER(C:C, C:C = C1182))=1,""no"",""yes"")"),"no")</f>
        <v>no</v>
      </c>
    </row>
    <row r="1183">
      <c r="A1183" s="1" t="s">
        <v>947</v>
      </c>
      <c r="B1183" s="19">
        <v>18.0</v>
      </c>
      <c r="C1183" s="19" t="s">
        <v>1891</v>
      </c>
      <c r="D1183" s="58" t="str">
        <f t="shared" si="961"/>
        <v/>
      </c>
      <c r="E1183" s="59">
        <f t="shared" ref="E1183:E1184" si="962">Q1183</f>
        <v>43816</v>
      </c>
      <c r="F1183" s="60" t="str">
        <f>IFERROR(__xludf.DUMMYFUNCTION("iferror(ifna(IFNA(filter('2.1.clean'!E:E,'2.1.clean'!A:A=C1183),filter('2.2.clean'!G:G,'2.2.clean'!D:D=C1183)),filter('2.4.clean'!E:E,'2.4.clean'!A:A=C1183)),)"),"")</f>
        <v/>
      </c>
      <c r="G1183" s="59" t="str">
        <f>IFERROR(__xludf.DUMMYFUNCTION("iferror(filter('3.1.clean'!C:C,'3.1.clean'!A:A=C1183),"""")"),"")</f>
        <v/>
      </c>
      <c r="H1183" s="58"/>
      <c r="I1183" s="58" t="str">
        <f>IFERROR(__xludf.DUMMYFUNCTION("iferror(filter('3.1.clean'!G:G,'3.1.clean'!A:A=C1183),"""")"),"")</f>
        <v/>
      </c>
      <c r="J1183" s="60" t="str">
        <f>IFERROR(__xludf.DUMMYFUNCTION("iferror(filter('3.1.clean'!I:I,'3.1.clean'!A:A=C1183),"""")"),"")</f>
        <v/>
      </c>
      <c r="K1183" s="59"/>
      <c r="L1183" s="60"/>
      <c r="M1183" s="59" t="str">
        <f>IFERROR(__xludf.DUMMYFUNCTION("iferror(filter('3.3.clean'!C:C,'3.3.clean'!A:A=C1183),"""")"),"")</f>
        <v/>
      </c>
      <c r="N1183" s="60" t="b">
        <f t="shared" si="951"/>
        <v>0</v>
      </c>
      <c r="O1183" s="59" t="str">
        <f>IFERROR(__xludf.DUMMYFUNCTION("iferror(filter('3.4.clean'!C:C,'3.4.clean'!A:A=C1183),"""")"),"")</f>
        <v/>
      </c>
      <c r="P1183" s="60" t="b">
        <f t="shared" si="952"/>
        <v>0</v>
      </c>
      <c r="Q1183" s="59">
        <f>IFERROR(__xludf.DUMMYFUNCTION("iferror(filter('3.5.clean'!C:C,'3.5.clean'!A:A=C1183),"""")"),43816.0)</f>
        <v>43816</v>
      </c>
      <c r="R1183" s="58" t="b">
        <f t="shared" ref="R1183:R1184" si="963">if(Q1183="",FALSE,TRUE)</f>
        <v>1</v>
      </c>
      <c r="S1183" s="4">
        <f>IFERROR(__xludf.DUMMYFUNCTION("iferror(filter('3.5.clean'!H:H,'3.5.clean'!A:A=C1183),"""")"),0.0)</f>
        <v>0</v>
      </c>
      <c r="V1183" s="52" t="s">
        <v>64</v>
      </c>
      <c r="W1183" s="23" t="b">
        <f>if(AND(R1183=TRUE,N1183=TRUE,P1183=TRUE),TRUE,FALSE)</f>
        <v>0</v>
      </c>
      <c r="X1183" s="23" t="str">
        <f>IFERROR(__xludf.DUMMYFUNCTION("if(COUNTA(FILTER(C:C, C:C = C1183))=1,""no"",""yes"")"),"no")</f>
        <v>no</v>
      </c>
    </row>
    <row r="1184">
      <c r="A1184" s="1" t="s">
        <v>947</v>
      </c>
      <c r="B1184" s="19">
        <v>19.0</v>
      </c>
      <c r="C1184" s="19" t="s">
        <v>1892</v>
      </c>
      <c r="D1184" s="22" t="str">
        <f t="shared" si="961"/>
        <v/>
      </c>
      <c r="E1184" s="20">
        <f t="shared" si="962"/>
        <v>43816</v>
      </c>
      <c r="F1184" s="79" t="str">
        <f>IFERROR(__xludf.DUMMYFUNCTION("iferror(ifna(IFNA(filter('2.1.clean'!E:E,'2.1.clean'!A:A=C1184),filter('2.2.clean'!G:G,'2.2.clean'!D:D=C1184)),filter('2.4.clean'!E:E,'2.4.clean'!A:A=C1184)),)"),"")</f>
        <v/>
      </c>
      <c r="G1184" s="20" t="str">
        <f>IFERROR(__xludf.DUMMYFUNCTION("iferror(filter('3.1.clean'!C:C,'3.1.clean'!A:A=C1184),"""")"),"")</f>
        <v/>
      </c>
      <c r="H1184" s="22"/>
      <c r="I1184" s="22"/>
      <c r="J1184" s="79"/>
      <c r="K1184" s="20" t="str">
        <f>IFERROR(__xludf.DUMMYFUNCTION("iferror(filter('3.2.clean'!C:C,'3.2.clean'!A:A=C1184),"""")"),"")</f>
        <v/>
      </c>
      <c r="L1184" s="79"/>
      <c r="M1184" s="20" t="str">
        <f>IFERROR(__xludf.DUMMYFUNCTION("iferror(filter('3.3.clean'!C:C,'3.3.clean'!A:A=C1184),"""")"),"")</f>
        <v/>
      </c>
      <c r="N1184" s="79" t="b">
        <f t="shared" si="951"/>
        <v>0</v>
      </c>
      <c r="O1184" s="20" t="str">
        <f>IFERROR(__xludf.DUMMYFUNCTION("iferror(filter('3.4.clean'!C:C,'3.4.clean'!A:A=C1184),"""")"),"")</f>
        <v/>
      </c>
      <c r="P1184" s="79" t="b">
        <f t="shared" si="952"/>
        <v>0</v>
      </c>
      <c r="Q1184" s="20">
        <f>IFERROR(__xludf.DUMMYFUNCTION("iferror(filter('3.5.clean'!C:C,'3.5.clean'!A:A=C1184),"""")"),43816.0)</f>
        <v>43816</v>
      </c>
      <c r="R1184" s="22" t="b">
        <f t="shared" si="963"/>
        <v>1</v>
      </c>
      <c r="S1184" s="4">
        <f>IFERROR(__xludf.DUMMYFUNCTION("iferror(filter('3.5.clean'!H:H,'3.5.clean'!A:A=C1184),"""")"),0.0)</f>
        <v>0</v>
      </c>
      <c r="V1184" s="1" t="s">
        <v>64</v>
      </c>
      <c r="W1184" s="23" t="b">
        <f>IF(and(R1184=TRUE,N1184=TRUE,P1184=TRUE),TRUE,FALSE)</f>
        <v>0</v>
      </c>
      <c r="X1184" s="23" t="str">
        <f>IFERROR(__xludf.DUMMYFUNCTION("if(COUNTA(FILTER(C:C, C:C = C1184))=1,""no"",""yes"")"),"no")</f>
        <v>no</v>
      </c>
    </row>
    <row r="1185">
      <c r="A1185" s="1" t="s">
        <v>947</v>
      </c>
      <c r="B1185" s="19">
        <v>20.0</v>
      </c>
      <c r="C1185" s="19" t="s">
        <v>1893</v>
      </c>
      <c r="D1185" s="76" t="str">
        <f t="shared" si="961"/>
        <v/>
      </c>
      <c r="E1185" s="77">
        <f>G1185</f>
        <v>43816</v>
      </c>
      <c r="F1185" s="78" t="str">
        <f>IFERROR(__xludf.DUMMYFUNCTION("iferror(ifna(IFNA(filter('2.1.clean'!E:E,'2.1.clean'!A:A=C1185),filter('2.2.clean'!G:G,'2.2.clean'!D:D=C1185)),filter('2.4.clean'!E:E,'2.4.clean'!A:A=C1185)),)"),"")</f>
        <v/>
      </c>
      <c r="G1185" s="77">
        <f>IFERROR(__xludf.DUMMYFUNCTION("iferror(filter('3.1.clean'!C:C,'3.1.clean'!A:A=C1185),"""")"),43816.0)</f>
        <v>43816</v>
      </c>
      <c r="H1185" s="76" t="b">
        <f>if(G1185="",FALSE,TRUE)</f>
        <v>1</v>
      </c>
      <c r="I1185" s="76">
        <f>IFERROR(__xludf.DUMMYFUNCTION("iferror(filter('3.1.clean'!G:G,'3.1.clean'!A:A=C1185),"""")"),0.0)</f>
        <v>0</v>
      </c>
      <c r="J1185" s="78" t="str">
        <f>IFERROR(__xludf.DUMMYFUNCTION("iferror(filter('3.1.clean'!I:I,'3.1.clean'!A:A=C1185),"""")"),"")</f>
        <v/>
      </c>
      <c r="K1185" s="77"/>
      <c r="L1185" s="78"/>
      <c r="M1185" s="77"/>
      <c r="N1185" s="78"/>
      <c r="O1185" s="77"/>
      <c r="P1185" s="78"/>
      <c r="Q1185" s="77"/>
      <c r="R1185" s="76"/>
      <c r="S1185" s="25"/>
      <c r="V1185" s="1" t="s">
        <v>64</v>
      </c>
      <c r="W1185" s="1" t="b">
        <v>1</v>
      </c>
      <c r="X1185" s="23" t="str">
        <f>IFERROR(__xludf.DUMMYFUNCTION("if(COUNTA(FILTER(C:C, C:C = C1185))=1,""no"",""yes"")"),"no")</f>
        <v>no</v>
      </c>
    </row>
    <row r="1186">
      <c r="A1186" s="1" t="s">
        <v>947</v>
      </c>
      <c r="B1186" s="19"/>
      <c r="C1186" s="19" t="s">
        <v>1894</v>
      </c>
      <c r="E1186" s="24">
        <v>43816.0</v>
      </c>
      <c r="F1186" s="25" t="str">
        <f>IFERROR(__xludf.DUMMYFUNCTION("iferror(ifna(IFNA(filter('2.1.clean'!E:E,'2.1.clean'!A:A=C1186),filter('2.2.clean'!G:G,'2.2.clean'!D:D=C1186)),filter('2.4.clean'!E:E,'2.4.clean'!A:A=C1186)),)"),"")</f>
        <v/>
      </c>
      <c r="G1186" s="24" t="str">
        <f>IFERROR(__xludf.DUMMYFUNCTION("iferror(filter('3.1.clean'!C:C,'3.1.clean'!A:A=C1186),"""")"),"")</f>
        <v/>
      </c>
      <c r="J1186" s="25"/>
      <c r="K1186" s="24" t="str">
        <f>IFERROR(__xludf.DUMMYFUNCTION("iferror(filter('3.2.clean'!C:C,'3.2.clean'!A:A=C1186),"""")"),"")</f>
        <v/>
      </c>
      <c r="L1186" s="25"/>
      <c r="M1186" s="24">
        <f>IFERROR(__xludf.DUMMYFUNCTION("iferror(filter('3.3.clean'!C:C,'3.3.clean'!A:A=C1186),"""")"),43818.0)</f>
        <v>43818</v>
      </c>
      <c r="N1186" s="25" t="b">
        <f t="shared" ref="N1186:N1354" si="964">if(M1186="",FALSE,TRUE)</f>
        <v>1</v>
      </c>
      <c r="O1186" s="24" t="str">
        <f>IFERROR(__xludf.DUMMYFUNCTION("iferror(filter('3.4.clean'!C:C,'3.4.clean'!A:A=C1186),"""")"),"")</f>
        <v/>
      </c>
      <c r="P1186" s="25" t="b">
        <f t="shared" ref="P1186:P1354" si="965">if(O1186="",FALSE,TRUE)</f>
        <v>0</v>
      </c>
      <c r="Q1186" s="24" t="str">
        <f>IFERROR(__xludf.DUMMYFUNCTION("iferror(filter('3.5.clean'!C:C,'3.5.clean'!A:A=C1186),"""")"),"")</f>
        <v/>
      </c>
      <c r="S1186" s="25"/>
      <c r="V1186" s="52" t="s">
        <v>64</v>
      </c>
      <c r="X1186" s="23" t="str">
        <f>IFERROR(__xludf.DUMMYFUNCTION("if(COUNTA(FILTER(C:C, C:C = C1186))=1,""no"",""yes"")"),"no")</f>
        <v>no</v>
      </c>
    </row>
    <row r="1187">
      <c r="A1187" s="83" t="s">
        <v>952</v>
      </c>
      <c r="B1187" s="2">
        <v>1.0</v>
      </c>
      <c r="C1187" s="19" t="s">
        <v>345</v>
      </c>
      <c r="E1187" s="24">
        <f>IFERROR(__xludf.DUMMYFUNCTION("ifna(IFNA(filter('2.1.clean'!C:C,'2.1.clean'!A:A=C1187),filter('2.2.clean'!E:E,'2.2.clean'!D:D=C1187)),filter('2.4.clean'!C:C,'2.4.clean'!A:A=C1187))"),43817.0)</f>
        <v>43817</v>
      </c>
      <c r="F1187" s="25">
        <f>IFERROR(__xludf.DUMMYFUNCTION("iferror(ifna(IFNA(filter('2.1.clean'!E:E,'2.1.clean'!A:A=C1187),filter('2.2.clean'!G:G,'2.2.clean'!D:D=C1187)),filter('2.4.clean'!E:E,'2.4.clean'!A:A=C1187)),)"),2.39999999999999)</f>
        <v>2.4</v>
      </c>
      <c r="G1187" s="24">
        <f>IFERROR(__xludf.DUMMYFUNCTION("iferror(filter('3.1.clean'!C:C,'3.1.clean'!A:A=C1187),"""")"),43817.0)</f>
        <v>43817</v>
      </c>
      <c r="H1187" s="23" t="b">
        <f>if(G1187="",FALSE,TRUE)</f>
        <v>1</v>
      </c>
      <c r="J1187" s="25"/>
      <c r="K1187" s="24">
        <f>IFERROR(__xludf.DUMMYFUNCTION("iferror(filter('3.2.clean'!C:C,'3.2.clean'!A:A=C1187),"""")"),43817.0)</f>
        <v>43817</v>
      </c>
      <c r="L1187" s="25" t="b">
        <f>if(K1187="",FALSE,TRUE)</f>
        <v>1</v>
      </c>
      <c r="M1187" s="24">
        <f>IFERROR(__xludf.DUMMYFUNCTION("iferror(filter('3.3.clean'!C:C,'3.3.clean'!A:A=C1187),"""")"),43818.0)</f>
        <v>43818</v>
      </c>
      <c r="N1187" s="25" t="b">
        <f t="shared" si="964"/>
        <v>1</v>
      </c>
      <c r="O1187" s="24">
        <f>IFERROR(__xludf.DUMMYFUNCTION("iferror(filter('3.4.clean'!C:C,'3.4.clean'!A:A=C1187),"""")"),43818.0)</f>
        <v>43818</v>
      </c>
      <c r="P1187" s="25" t="b">
        <f t="shared" si="965"/>
        <v>1</v>
      </c>
      <c r="Q1187" s="24" t="str">
        <f>IFERROR(__xludf.DUMMYFUNCTION("iferror(filter('3.5.clean'!C:C,'3.5.clean'!A:A=C1187),"""")"),"")</f>
        <v/>
      </c>
      <c r="R1187" s="23" t="b">
        <f t="shared" ref="R1187:R1189" si="966">if(Q1187="",FALSE,TRUE)</f>
        <v>0</v>
      </c>
      <c r="S1187" s="25"/>
      <c r="U1187" s="23"/>
      <c r="V1187" s="1" t="s">
        <v>64</v>
      </c>
      <c r="X1187" s="23" t="str">
        <f>IFERROR(__xludf.DUMMYFUNCTION("if(COUNTA(FILTER(C:C, C:C = C1187))=1,""no"",""yes"")"),"no")</f>
        <v>no</v>
      </c>
    </row>
    <row r="1188">
      <c r="A1188" s="83" t="s">
        <v>952</v>
      </c>
      <c r="B1188" s="2">
        <v>2.0</v>
      </c>
      <c r="C1188" s="19" t="s">
        <v>344</v>
      </c>
      <c r="E1188" s="24">
        <v>43817.0</v>
      </c>
      <c r="F1188" s="25" t="str">
        <f>IFERROR(__xludf.DUMMYFUNCTION("iferror(ifna(IFNA(filter('2.1.clean'!E:E,'2.1.clean'!A:A=C1188),filter('2.2.clean'!G:G,'2.2.clean'!D:D=C1188)),filter('2.4.clean'!E:E,'2.4.clean'!A:A=C1188)),)"),"")</f>
        <v/>
      </c>
      <c r="G1188" s="24" t="str">
        <f>IFERROR(__xludf.DUMMYFUNCTION("iferror(filter('3.1.clean'!C:C,'3.1.clean'!A:A=C1188),"""")"),"")</f>
        <v/>
      </c>
      <c r="J1188" s="25"/>
      <c r="K1188" s="24" t="str">
        <f>IFERROR(__xludf.DUMMYFUNCTION("iferror(filter('3.2.clean'!C:C,'3.2.clean'!A:A=C1188),"""")"),"")</f>
        <v/>
      </c>
      <c r="L1188" s="25"/>
      <c r="M1188" s="24">
        <f>IFERROR(__xludf.DUMMYFUNCTION("iferror(filter('3.3.clean'!C:C,'3.3.clean'!A:A=C1188),"""")"),43818.0)</f>
        <v>43818</v>
      </c>
      <c r="N1188" s="25" t="b">
        <f t="shared" si="964"/>
        <v>1</v>
      </c>
      <c r="O1188" s="24">
        <f>IFERROR(__xludf.DUMMYFUNCTION("iferror(filter('3.4.clean'!C:C,'3.4.clean'!A:A=C1188),"""")"),43818.0)</f>
        <v>43818</v>
      </c>
      <c r="P1188" s="25" t="b">
        <f t="shared" si="965"/>
        <v>1</v>
      </c>
      <c r="Q1188" s="24" t="str">
        <f>IFERROR(__xludf.DUMMYFUNCTION("iferror(filter('3.5.clean'!C:C,'3.5.clean'!A:A=C1188),"""")"),"")</f>
        <v/>
      </c>
      <c r="R1188" s="23" t="b">
        <f t="shared" si="966"/>
        <v>0</v>
      </c>
      <c r="S1188" s="25"/>
      <c r="U1188" s="23"/>
      <c r="V1188" s="1" t="s">
        <v>64</v>
      </c>
      <c r="X1188" s="23" t="str">
        <f>IFERROR(__xludf.DUMMYFUNCTION("if(COUNTA(FILTER(C:C, C:C = C1188))=1,""no"",""yes"")"),"no")</f>
        <v>no</v>
      </c>
    </row>
    <row r="1189">
      <c r="A1189" s="75" t="s">
        <v>956</v>
      </c>
      <c r="B1189" s="2">
        <v>1.0</v>
      </c>
      <c r="C1189" s="19" t="s">
        <v>1895</v>
      </c>
      <c r="E1189" s="24">
        <f>IFERROR(__xludf.DUMMYFUNCTION("ifna(IFNA(filter('2.1.clean'!C:C,'2.1.clean'!A:A=C1189),filter('2.2.clean'!E:E,'2.2.clean'!D:D=C1189)),filter('2.4.clean'!C:C,'2.4.clean'!A:A=C1189))"),43818.0)</f>
        <v>43818</v>
      </c>
      <c r="F1189" s="25">
        <f>IFERROR(__xludf.DUMMYFUNCTION("iferror(ifna(IFNA(filter('2.1.clean'!E:E,'2.1.clean'!A:A=C1189),filter('2.2.clean'!G:G,'2.2.clean'!D:D=C1189)),filter('2.4.clean'!E:E,'2.4.clean'!A:A=C1189)),)"),2.39999999999999)</f>
        <v>2.4</v>
      </c>
      <c r="G1189" s="24"/>
      <c r="J1189" s="25"/>
      <c r="K1189" s="24"/>
      <c r="L1189" s="25"/>
      <c r="M1189" s="24">
        <f>IFERROR(__xludf.DUMMYFUNCTION("iferror(filter('3.3.clean'!C:C,'3.3.clean'!A:A=C1189),"""")"),43823.0)</f>
        <v>43823</v>
      </c>
      <c r="N1189" s="25" t="b">
        <f t="shared" si="964"/>
        <v>1</v>
      </c>
      <c r="O1189" s="24">
        <f>IFERROR(__xludf.DUMMYFUNCTION("iferror(filter('3.4.clean'!C:C,'3.4.clean'!A:A=C1189),"""")"),43826.0)</f>
        <v>43826</v>
      </c>
      <c r="P1189" s="25" t="b">
        <f t="shared" si="965"/>
        <v>1</v>
      </c>
      <c r="Q1189" s="24">
        <f>IFERROR(__xludf.DUMMYFUNCTION("iferror(filter('3.5.clean'!C:C,'3.5.clean'!A:A=C1189),"""")"),43818.0)</f>
        <v>43818</v>
      </c>
      <c r="R1189" s="23" t="b">
        <f t="shared" si="966"/>
        <v>1</v>
      </c>
      <c r="S1189" s="25"/>
      <c r="V1189" s="52" t="s">
        <v>64</v>
      </c>
      <c r="W1189" s="23" t="b">
        <f>IF(and(R1189=TRUE,N1189=TRUE,P1189=TRUE),TRUE,FALSE)</f>
        <v>1</v>
      </c>
      <c r="X1189" s="23" t="str">
        <f>IFERROR(__xludf.DUMMYFUNCTION("if(COUNTA(FILTER(C:C, C:C = C1189))=1,""no"",""yes"")"),"no")</f>
        <v>no</v>
      </c>
    </row>
    <row r="1190">
      <c r="A1190" s="75" t="s">
        <v>956</v>
      </c>
      <c r="B1190" s="19">
        <v>2.0</v>
      </c>
      <c r="C1190" s="19" t="s">
        <v>1896</v>
      </c>
      <c r="D1190" s="58" t="str">
        <f t="shared" ref="D1190:D1191" si="967">if(or(I1190=1,J1190=1,S1190=1),"pos","")</f>
        <v/>
      </c>
      <c r="E1190" s="59">
        <f>IFERROR(__xludf.DUMMYFUNCTION("ifna(IFNA(filter('2.1.clean'!C:C,'2.1.clean'!A:A=C1190),filter('2.2.clean'!E:E,'2.2.clean'!D:D=C1190)),filter('2.4.clean'!C:C,'2.4.clean'!A:A=C1190))"),43818.0)</f>
        <v>43818</v>
      </c>
      <c r="F1190" s="60">
        <f>IFERROR(__xludf.DUMMYFUNCTION("iferror(ifna(IFNA(filter('2.1.clean'!E:E,'2.1.clean'!A:A=C1190),filter('2.2.clean'!G:G,'2.2.clean'!D:D=C1190)),filter('2.4.clean'!E:E,'2.4.clean'!A:A=C1190)),)"),2.39999999999999)</f>
        <v>2.4</v>
      </c>
      <c r="G1190" s="59" t="str">
        <f>IFERROR(__xludf.DUMMYFUNCTION("iferror(filter('3.1.clean'!C:C,'3.1.clean'!A:A=C1190),"""")"),"")</f>
        <v/>
      </c>
      <c r="H1190" s="58" t="b">
        <f>if(G1190="",FALSE,TRUE)</f>
        <v>0</v>
      </c>
      <c r="I1190" s="58" t="str">
        <f>IFERROR(__xludf.DUMMYFUNCTION("iferror(filter('3.1.clean'!G:G,'3.1.clean'!A:A=C1190),"""")"),"")</f>
        <v/>
      </c>
      <c r="J1190" s="60" t="str">
        <f>IFERROR(__xludf.DUMMYFUNCTION("iferror(filter('3.1.clean'!I:I,'3.1.clean'!A:A=C1190),"""")"),"")</f>
        <v/>
      </c>
      <c r="K1190" s="58"/>
      <c r="L1190" s="60"/>
      <c r="M1190" s="59" t="str">
        <f>IFERROR(__xludf.DUMMYFUNCTION("iferror(filter('3.3.clean'!C:C,'3.3.clean'!A:A=C1190),"""")"),"")</f>
        <v/>
      </c>
      <c r="N1190" s="60" t="b">
        <f t="shared" si="964"/>
        <v>0</v>
      </c>
      <c r="O1190" s="59" t="str">
        <f>IFERROR(__xludf.DUMMYFUNCTION("iferror(filter('3.4.clean'!C:C,'3.4.clean'!A:A=C1190),"""")"),"")</f>
        <v/>
      </c>
      <c r="P1190" s="60" t="b">
        <f t="shared" si="965"/>
        <v>0</v>
      </c>
      <c r="Q1190" s="59" t="str">
        <f>IFERROR(__xludf.DUMMYFUNCTION("iferror(filter('3.5.clean'!C:C,'3.5.clean'!A:A=C1190),"""")"),"")</f>
        <v/>
      </c>
      <c r="R1190" s="58"/>
      <c r="S1190" s="4" t="str">
        <f>IFERROR(__xludf.DUMMYFUNCTION("iferror(filter('3.5.clean'!H:H,'3.5.clean'!A:A=C1190),"""")"),"")</f>
        <v/>
      </c>
      <c r="W1190" s="23" t="b">
        <f>if(AND(H1190=TRUE,N1190=TRUE,P1190=TRUE),TRUE,FALSE)</f>
        <v>0</v>
      </c>
      <c r="X1190" s="23" t="str">
        <f>IFERROR(__xludf.DUMMYFUNCTION("if(COUNTA(FILTER(C:C, C:C = C1190))=1,""no"",""yes"")"),"no")</f>
        <v>no</v>
      </c>
    </row>
    <row r="1191">
      <c r="A1191" s="75" t="s">
        <v>956</v>
      </c>
      <c r="B1191" s="19">
        <v>3.0</v>
      </c>
      <c r="C1191" s="19" t="s">
        <v>1897</v>
      </c>
      <c r="D1191" s="58" t="str">
        <f t="shared" si="967"/>
        <v/>
      </c>
      <c r="E1191" s="59">
        <f>Q1191</f>
        <v>43818</v>
      </c>
      <c r="F1191" s="60" t="str">
        <f>IFERROR(__xludf.DUMMYFUNCTION("iferror(ifna(IFNA(filter('2.1.clean'!E:E,'2.1.clean'!A:A=C1191),filter('2.2.clean'!G:G,'2.2.clean'!D:D=C1191)),filter('2.4.clean'!E:E,'2.4.clean'!A:A=C1191)),)"),"")</f>
        <v/>
      </c>
      <c r="G1191" s="59" t="str">
        <f>IFERROR(__xludf.DUMMYFUNCTION("iferror(filter('3.1.clean'!C:C,'3.1.clean'!A:A=C1191),"""")"),"")</f>
        <v/>
      </c>
      <c r="H1191" s="58"/>
      <c r="I1191" s="58" t="str">
        <f>IFERROR(__xludf.DUMMYFUNCTION("iferror(filter('3.1.clean'!G:G,'3.1.clean'!A:A=C1191),"""")"),"")</f>
        <v/>
      </c>
      <c r="J1191" s="60" t="str">
        <f>IFERROR(__xludf.DUMMYFUNCTION("iferror(filter('3.1.clean'!I:I,'3.1.clean'!A:A=C1191),"""")"),"")</f>
        <v/>
      </c>
      <c r="K1191" s="59"/>
      <c r="L1191" s="60"/>
      <c r="M1191" s="59" t="str">
        <f>IFERROR(__xludf.DUMMYFUNCTION("iferror(filter('3.3.clean'!C:C,'3.3.clean'!A:A=C1191),"""")"),"")</f>
        <v/>
      </c>
      <c r="N1191" s="60" t="b">
        <f t="shared" si="964"/>
        <v>0</v>
      </c>
      <c r="O1191" s="59" t="str">
        <f>IFERROR(__xludf.DUMMYFUNCTION("iferror(filter('3.4.clean'!C:C,'3.4.clean'!A:A=C1191),"""")"),"")</f>
        <v/>
      </c>
      <c r="P1191" s="60" t="b">
        <f t="shared" si="965"/>
        <v>0</v>
      </c>
      <c r="Q1191" s="59">
        <f>IFERROR(__xludf.DUMMYFUNCTION("iferror(filter('3.5.clean'!C:C,'3.5.clean'!A:A=C1191),"""")"),43818.0)</f>
        <v>43818</v>
      </c>
      <c r="R1191" s="58" t="b">
        <f t="shared" ref="R1191:R1192" si="968">if(Q1191="",FALSE,TRUE)</f>
        <v>1</v>
      </c>
      <c r="S1191" s="4">
        <f>IFERROR(__xludf.DUMMYFUNCTION("iferror(filter('3.5.clean'!H:H,'3.5.clean'!A:A=C1191),"""")"),0.0)</f>
        <v>0</v>
      </c>
      <c r="V1191" s="52" t="s">
        <v>64</v>
      </c>
      <c r="W1191" s="23" t="b">
        <f>if(AND(R1191=TRUE,N1191=TRUE,P1191=TRUE),TRUE,FALSE)</f>
        <v>0</v>
      </c>
      <c r="X1191" s="23" t="str">
        <f>IFERROR(__xludf.DUMMYFUNCTION("if(COUNTA(FILTER(C:C, C:C = C1191))=1,""no"",""yes"")"),"no")</f>
        <v>no</v>
      </c>
    </row>
    <row r="1192">
      <c r="A1192" s="75" t="s">
        <v>956</v>
      </c>
      <c r="B1192" s="2">
        <v>4.0</v>
      </c>
      <c r="C1192" s="19" t="s">
        <v>1898</v>
      </c>
      <c r="E1192" s="24">
        <f>IFERROR(__xludf.DUMMYFUNCTION("ifna(IFNA(filter('2.1.clean'!C:C,'2.1.clean'!A:A=C1192),filter('2.2.clean'!E:E,'2.2.clean'!D:D=C1192)),filter('2.4.clean'!C:C,'2.4.clean'!A:A=C1192))"),43818.0)</f>
        <v>43818</v>
      </c>
      <c r="F1192" s="25">
        <f>IFERROR(__xludf.DUMMYFUNCTION("iferror(ifna(IFNA(filter('2.1.clean'!E:E,'2.1.clean'!A:A=C1192),filter('2.2.clean'!G:G,'2.2.clean'!D:D=C1192)),filter('2.4.clean'!E:E,'2.4.clean'!A:A=C1192)),)"),2.39999999999999)</f>
        <v>2.4</v>
      </c>
      <c r="G1192" s="24"/>
      <c r="J1192" s="25"/>
      <c r="K1192" s="24"/>
      <c r="L1192" s="25"/>
      <c r="M1192" s="24">
        <f>IFERROR(__xludf.DUMMYFUNCTION("iferror(filter('3.3.clean'!C:C,'3.3.clean'!A:A=C1192),"""")"),43823.0)</f>
        <v>43823</v>
      </c>
      <c r="N1192" s="25" t="b">
        <f t="shared" si="964"/>
        <v>1</v>
      </c>
      <c r="O1192" s="24">
        <f>IFERROR(__xludf.DUMMYFUNCTION("iferror(filter('3.4.clean'!C:C,'3.4.clean'!A:A=C1192),"""")"),43826.0)</f>
        <v>43826</v>
      </c>
      <c r="P1192" s="25" t="b">
        <f t="shared" si="965"/>
        <v>1</v>
      </c>
      <c r="Q1192" s="24">
        <f>IFERROR(__xludf.DUMMYFUNCTION("iferror(filter('3.5.clean'!C:C,'3.5.clean'!A:A=C1192),"""")"),43818.0)</f>
        <v>43818</v>
      </c>
      <c r="R1192" s="23" t="b">
        <f t="shared" si="968"/>
        <v>1</v>
      </c>
      <c r="S1192" s="25"/>
      <c r="V1192" s="52" t="s">
        <v>64</v>
      </c>
      <c r="W1192" s="23" t="b">
        <f>IF(and(R1192=TRUE,N1192=TRUE,P1192=TRUE),TRUE,FALSE)</f>
        <v>1</v>
      </c>
      <c r="X1192" s="23" t="str">
        <f>IFERROR(__xludf.DUMMYFUNCTION("if(COUNTA(FILTER(C:C, C:C = C1192))=1,""no"",""yes"")"),"no")</f>
        <v>no</v>
      </c>
    </row>
    <row r="1193">
      <c r="A1193" s="75" t="s">
        <v>956</v>
      </c>
      <c r="B1193" s="19">
        <v>5.0</v>
      </c>
      <c r="C1193" s="19" t="s">
        <v>1899</v>
      </c>
      <c r="D1193" s="58" t="str">
        <f t="shared" ref="D1193:D1194" si="969">if(or(I1193=1,J1193=1,S1193=1),"pos","")</f>
        <v/>
      </c>
      <c r="E1193" s="59">
        <f>IFERROR(__xludf.DUMMYFUNCTION("ifna(IFNA(filter('2.1.clean'!C:C,'2.1.clean'!A:A=C1193),filter('2.2.clean'!E:E,'2.2.clean'!D:D=C1193)),filter('2.4.clean'!C:C,'2.4.clean'!A:A=C1193))"),43818.0)</f>
        <v>43818</v>
      </c>
      <c r="F1193" s="60">
        <f>IFERROR(__xludf.DUMMYFUNCTION("iferror(ifna(IFNA(filter('2.1.clean'!E:E,'2.1.clean'!A:A=C1193),filter('2.2.clean'!G:G,'2.2.clean'!D:D=C1193)),filter('2.4.clean'!E:E,'2.4.clean'!A:A=C1193)),)"),2.39999999999999)</f>
        <v>2.4</v>
      </c>
      <c r="G1193" s="59" t="str">
        <f>IFERROR(__xludf.DUMMYFUNCTION("iferror(filter('3.1.clean'!C:C,'3.1.clean'!A:A=C1193),"""")"),"")</f>
        <v/>
      </c>
      <c r="H1193" s="58" t="b">
        <f>if(G1193="",FALSE,TRUE)</f>
        <v>0</v>
      </c>
      <c r="I1193" s="58" t="str">
        <f>IFERROR(__xludf.DUMMYFUNCTION("iferror(filter('3.1.clean'!G:G,'3.1.clean'!A:A=C1193),"""")"),"")</f>
        <v/>
      </c>
      <c r="J1193" s="60" t="str">
        <f>IFERROR(__xludf.DUMMYFUNCTION("iferror(filter('3.1.clean'!I:I,'3.1.clean'!A:A=C1193),"""")"),"")</f>
        <v/>
      </c>
      <c r="K1193" s="58"/>
      <c r="L1193" s="60"/>
      <c r="M1193" s="59" t="str">
        <f>IFERROR(__xludf.DUMMYFUNCTION("iferror(filter('3.3.clean'!C:C,'3.3.clean'!A:A=C1193),"""")"),"")</f>
        <v/>
      </c>
      <c r="N1193" s="60" t="b">
        <f t="shared" si="964"/>
        <v>0</v>
      </c>
      <c r="O1193" s="59" t="str">
        <f>IFERROR(__xludf.DUMMYFUNCTION("iferror(filter('3.4.clean'!C:C,'3.4.clean'!A:A=C1193),"""")"),"")</f>
        <v/>
      </c>
      <c r="P1193" s="60" t="b">
        <f t="shared" si="965"/>
        <v>0</v>
      </c>
      <c r="Q1193" s="59" t="str">
        <f>IFERROR(__xludf.DUMMYFUNCTION("iferror(filter('3.5.clean'!C:C,'3.5.clean'!A:A=C1193),"""")"),"")</f>
        <v/>
      </c>
      <c r="R1193" s="58"/>
      <c r="S1193" s="4" t="str">
        <f>IFERROR(__xludf.DUMMYFUNCTION("iferror(filter('3.5.clean'!H:H,'3.5.clean'!A:A=C1193),"""")"),"")</f>
        <v/>
      </c>
      <c r="W1193" s="23" t="b">
        <f>if(AND(H1193=TRUE,N1193=TRUE,P1193=TRUE),TRUE,FALSE)</f>
        <v>0</v>
      </c>
      <c r="X1193" s="23" t="str">
        <f>IFERROR(__xludf.DUMMYFUNCTION("if(COUNTA(FILTER(C:C, C:C = C1193))=1,""no"",""yes"")"),"no")</f>
        <v>no</v>
      </c>
    </row>
    <row r="1194">
      <c r="A1194" s="75" t="s">
        <v>956</v>
      </c>
      <c r="B1194" s="19">
        <v>6.0</v>
      </c>
      <c r="C1194" s="19" t="s">
        <v>1900</v>
      </c>
      <c r="D1194" s="58" t="str">
        <f t="shared" si="969"/>
        <v/>
      </c>
      <c r="E1194" s="59">
        <f>Q1194</f>
        <v>43818</v>
      </c>
      <c r="F1194" s="60" t="str">
        <f>IFERROR(__xludf.DUMMYFUNCTION("iferror(ifna(IFNA(filter('2.1.clean'!E:E,'2.1.clean'!A:A=C1194),filter('2.2.clean'!G:G,'2.2.clean'!D:D=C1194)),filter('2.4.clean'!E:E,'2.4.clean'!A:A=C1194)),)"),"")</f>
        <v/>
      </c>
      <c r="G1194" s="59" t="str">
        <f>IFERROR(__xludf.DUMMYFUNCTION("iferror(filter('3.1.clean'!C:C,'3.1.clean'!A:A=C1194),"""")"),"")</f>
        <v/>
      </c>
      <c r="H1194" s="58"/>
      <c r="I1194" s="58" t="str">
        <f>IFERROR(__xludf.DUMMYFUNCTION("iferror(filter('3.1.clean'!G:G,'3.1.clean'!A:A=C1194),"""")"),"")</f>
        <v/>
      </c>
      <c r="J1194" s="60" t="str">
        <f>IFERROR(__xludf.DUMMYFUNCTION("iferror(filter('3.1.clean'!I:I,'3.1.clean'!A:A=C1194),"""")"),"")</f>
        <v/>
      </c>
      <c r="K1194" s="59"/>
      <c r="L1194" s="60"/>
      <c r="M1194" s="59" t="str">
        <f>IFERROR(__xludf.DUMMYFUNCTION("iferror(filter('3.3.clean'!C:C,'3.3.clean'!A:A=C1194),"""")"),"")</f>
        <v/>
      </c>
      <c r="N1194" s="60" t="b">
        <f t="shared" si="964"/>
        <v>0</v>
      </c>
      <c r="O1194" s="59" t="str">
        <f>IFERROR(__xludf.DUMMYFUNCTION("iferror(filter('3.4.clean'!C:C,'3.4.clean'!A:A=C1194),"""")"),"")</f>
        <v/>
      </c>
      <c r="P1194" s="60" t="b">
        <f t="shared" si="965"/>
        <v>0</v>
      </c>
      <c r="Q1194" s="59">
        <f>IFERROR(__xludf.DUMMYFUNCTION("iferror(filter('3.5.clean'!C:C,'3.5.clean'!A:A=C1194),"""")"),43818.0)</f>
        <v>43818</v>
      </c>
      <c r="R1194" s="58" t="b">
        <f t="shared" ref="R1194:R1195" si="970">if(Q1194="",FALSE,TRUE)</f>
        <v>1</v>
      </c>
      <c r="S1194" s="4">
        <f>IFERROR(__xludf.DUMMYFUNCTION("iferror(filter('3.5.clean'!H:H,'3.5.clean'!A:A=C1194),"""")"),0.0)</f>
        <v>0</v>
      </c>
      <c r="V1194" s="52" t="s">
        <v>64</v>
      </c>
      <c r="W1194" s="23" t="b">
        <f>if(AND(R1194=TRUE,N1194=TRUE,P1194=TRUE),TRUE,FALSE)</f>
        <v>0</v>
      </c>
      <c r="X1194" s="23" t="str">
        <f>IFERROR(__xludf.DUMMYFUNCTION("if(COUNTA(FILTER(C:C, C:C = C1194))=1,""no"",""yes"")"),"no")</f>
        <v>no</v>
      </c>
    </row>
    <row r="1195">
      <c r="A1195" s="75" t="s">
        <v>956</v>
      </c>
      <c r="B1195" s="2">
        <v>7.0</v>
      </c>
      <c r="C1195" s="19" t="s">
        <v>1901</v>
      </c>
      <c r="E1195" s="24">
        <f>IFERROR(__xludf.DUMMYFUNCTION("ifna(IFNA(filter('2.1.clean'!C:C,'2.1.clean'!A:A=C1195),filter('2.2.clean'!E:E,'2.2.clean'!D:D=C1195)),filter('2.4.clean'!C:C,'2.4.clean'!A:A=C1195))"),43818.0)</f>
        <v>43818</v>
      </c>
      <c r="F1195" s="25">
        <f>IFERROR(__xludf.DUMMYFUNCTION("iferror(ifna(IFNA(filter('2.1.clean'!E:E,'2.1.clean'!A:A=C1195),filter('2.2.clean'!G:G,'2.2.clean'!D:D=C1195)),filter('2.4.clean'!E:E,'2.4.clean'!A:A=C1195)),)"),2.39999999999999)</f>
        <v>2.4</v>
      </c>
      <c r="G1195" s="24">
        <f>IFERROR(__xludf.DUMMYFUNCTION("iferror(filter('3.1.clean'!C:C,'3.1.clean'!A:A=C1195),"""")"),43818.0)</f>
        <v>43818</v>
      </c>
      <c r="H1195" s="23" t="b">
        <f t="shared" ref="H1195:H1196" si="971">if(G1195="",FALSE,TRUE)</f>
        <v>1</v>
      </c>
      <c r="J1195" s="25"/>
      <c r="K1195" s="24">
        <f>IFERROR(__xludf.DUMMYFUNCTION("iferror(filter('3.2.clean'!C:C,'3.2.clean'!A:A=C1195),"""")"),43818.0)</f>
        <v>43818</v>
      </c>
      <c r="L1195" s="25" t="b">
        <f>if(K1195="",FALSE,TRUE)</f>
        <v>1</v>
      </c>
      <c r="M1195" s="24">
        <f>IFERROR(__xludf.DUMMYFUNCTION("iferror(filter('3.3.clean'!C:C,'3.3.clean'!A:A=C1195),"""")"),43823.0)</f>
        <v>43823</v>
      </c>
      <c r="N1195" s="25" t="b">
        <f t="shared" si="964"/>
        <v>1</v>
      </c>
      <c r="O1195" s="24">
        <f>IFERROR(__xludf.DUMMYFUNCTION("iferror(filter('3.4.clean'!C:C,'3.4.clean'!A:A=C1195),"""")"),43826.0)</f>
        <v>43826</v>
      </c>
      <c r="P1195" s="25" t="b">
        <f t="shared" si="965"/>
        <v>1</v>
      </c>
      <c r="Q1195" s="24">
        <f>IFERROR(__xludf.DUMMYFUNCTION("iferror(filter('3.5.clean'!C:C,'3.5.clean'!A:A=C1195),"""")"),43818.0)</f>
        <v>43818</v>
      </c>
      <c r="R1195" s="23" t="b">
        <f t="shared" si="970"/>
        <v>1</v>
      </c>
      <c r="S1195" s="25"/>
      <c r="V1195" s="1" t="s">
        <v>64</v>
      </c>
      <c r="X1195" s="23" t="str">
        <f>IFERROR(__xludf.DUMMYFUNCTION("if(COUNTA(FILTER(C:C, C:C = C1195))=1,""no"",""yes"")"),"no")</f>
        <v>no</v>
      </c>
    </row>
    <row r="1196">
      <c r="A1196" s="75" t="s">
        <v>956</v>
      </c>
      <c r="B1196" s="19">
        <v>8.0</v>
      </c>
      <c r="C1196" s="19" t="s">
        <v>1902</v>
      </c>
      <c r="D1196" s="58" t="str">
        <f t="shared" ref="D1196:D1197" si="972">if(or(I1196=1,J1196=1,S1196=1),"pos","")</f>
        <v/>
      </c>
      <c r="E1196" s="59">
        <f>IFERROR(__xludf.DUMMYFUNCTION("ifna(IFNA(filter('2.1.clean'!C:C,'2.1.clean'!A:A=C1196),filter('2.2.clean'!E:E,'2.2.clean'!D:D=C1196)),filter('2.4.clean'!C:C,'2.4.clean'!A:A=C1196))"),43818.0)</f>
        <v>43818</v>
      </c>
      <c r="F1196" s="60">
        <f>IFERROR(__xludf.DUMMYFUNCTION("iferror(ifna(IFNA(filter('2.1.clean'!E:E,'2.1.clean'!A:A=C1196),filter('2.2.clean'!G:G,'2.2.clean'!D:D=C1196)),filter('2.4.clean'!E:E,'2.4.clean'!A:A=C1196)),)"),2.39999999999999)</f>
        <v>2.4</v>
      </c>
      <c r="G1196" s="59">
        <f>IFERROR(__xludf.DUMMYFUNCTION("iferror(filter('3.1.clean'!C:C,'3.1.clean'!A:A=C1196),"""")"),43818.0)</f>
        <v>43818</v>
      </c>
      <c r="H1196" s="58" t="b">
        <f t="shared" si="971"/>
        <v>1</v>
      </c>
      <c r="I1196" s="58">
        <f>IFERROR(__xludf.DUMMYFUNCTION("iferror(filter('3.1.clean'!G:G,'3.1.clean'!A:A=C1196),"""")"),0.0)</f>
        <v>0</v>
      </c>
      <c r="J1196" s="60" t="str">
        <f>IFERROR(__xludf.DUMMYFUNCTION("iferror(filter('3.1.clean'!I:I,'3.1.clean'!A:A=C1196),"""")"),"")</f>
        <v/>
      </c>
      <c r="K1196" s="58"/>
      <c r="L1196" s="60"/>
      <c r="M1196" s="59" t="str">
        <f>IFERROR(__xludf.DUMMYFUNCTION("iferror(filter('3.3.clean'!C:C,'3.3.clean'!A:A=C1196),"""")"),"")</f>
        <v/>
      </c>
      <c r="N1196" s="60" t="b">
        <f t="shared" si="964"/>
        <v>0</v>
      </c>
      <c r="O1196" s="59" t="str">
        <f>IFERROR(__xludf.DUMMYFUNCTION("iferror(filter('3.4.clean'!C:C,'3.4.clean'!A:A=C1196),"""")"),"")</f>
        <v/>
      </c>
      <c r="P1196" s="60" t="b">
        <f t="shared" si="965"/>
        <v>0</v>
      </c>
      <c r="Q1196" s="59" t="str">
        <f>IFERROR(__xludf.DUMMYFUNCTION("iferror(filter('3.5.clean'!C:C,'3.5.clean'!A:A=C1196),"""")"),"")</f>
        <v/>
      </c>
      <c r="R1196" s="58"/>
      <c r="S1196" s="4" t="str">
        <f>IFERROR(__xludf.DUMMYFUNCTION("iferror(filter('3.5.clean'!H:H,'3.5.clean'!A:A=C1196),"""")"),"")</f>
        <v/>
      </c>
      <c r="W1196" s="23" t="b">
        <f>if(AND(H1196=TRUE,N1196=TRUE,P1196=TRUE),TRUE,FALSE)</f>
        <v>0</v>
      </c>
      <c r="X1196" s="23" t="str">
        <f>IFERROR(__xludf.DUMMYFUNCTION("if(COUNTA(FILTER(C:C, C:C = C1196))=1,""no"",""yes"")"),"no")</f>
        <v>no</v>
      </c>
    </row>
    <row r="1197">
      <c r="A1197" s="75" t="s">
        <v>956</v>
      </c>
      <c r="B1197" s="19">
        <v>9.0</v>
      </c>
      <c r="C1197" s="19" t="s">
        <v>1903</v>
      </c>
      <c r="D1197" s="58" t="str">
        <f t="shared" si="972"/>
        <v/>
      </c>
      <c r="E1197" s="59">
        <f>Q1197</f>
        <v>43818</v>
      </c>
      <c r="F1197" s="60" t="str">
        <f>IFERROR(__xludf.DUMMYFUNCTION("iferror(ifna(IFNA(filter('2.1.clean'!E:E,'2.1.clean'!A:A=C1197),filter('2.2.clean'!G:G,'2.2.clean'!D:D=C1197)),filter('2.4.clean'!E:E,'2.4.clean'!A:A=C1197)),)"),"")</f>
        <v/>
      </c>
      <c r="G1197" s="59" t="str">
        <f>IFERROR(__xludf.DUMMYFUNCTION("iferror(filter('3.1.clean'!C:C,'3.1.clean'!A:A=C1197),"""")"),"")</f>
        <v/>
      </c>
      <c r="H1197" s="58"/>
      <c r="I1197" s="58" t="str">
        <f>IFERROR(__xludf.DUMMYFUNCTION("iferror(filter('3.1.clean'!G:G,'3.1.clean'!A:A=C1197),"""")"),"")</f>
        <v/>
      </c>
      <c r="J1197" s="60" t="str">
        <f>IFERROR(__xludf.DUMMYFUNCTION("iferror(filter('3.1.clean'!I:I,'3.1.clean'!A:A=C1197),"""")"),"")</f>
        <v/>
      </c>
      <c r="K1197" s="59"/>
      <c r="L1197" s="60"/>
      <c r="M1197" s="59" t="str">
        <f>IFERROR(__xludf.DUMMYFUNCTION("iferror(filter('3.3.clean'!C:C,'3.3.clean'!A:A=C1197),"""")"),"")</f>
        <v/>
      </c>
      <c r="N1197" s="60" t="b">
        <f t="shared" si="964"/>
        <v>0</v>
      </c>
      <c r="O1197" s="59" t="str">
        <f>IFERROR(__xludf.DUMMYFUNCTION("iferror(filter('3.4.clean'!C:C,'3.4.clean'!A:A=C1197),"""")"),"")</f>
        <v/>
      </c>
      <c r="P1197" s="60" t="b">
        <f t="shared" si="965"/>
        <v>0</v>
      </c>
      <c r="Q1197" s="59">
        <f>IFERROR(__xludf.DUMMYFUNCTION("iferror(filter('3.5.clean'!C:C,'3.5.clean'!A:A=C1197),"""")"),43818.0)</f>
        <v>43818</v>
      </c>
      <c r="R1197" s="58" t="b">
        <f t="shared" ref="R1197:R1198" si="973">if(Q1197="",FALSE,TRUE)</f>
        <v>1</v>
      </c>
      <c r="S1197" s="4">
        <f>IFERROR(__xludf.DUMMYFUNCTION("iferror(filter('3.5.clean'!H:H,'3.5.clean'!A:A=C1197),"""")"),0.0)</f>
        <v>0</v>
      </c>
      <c r="V1197" s="52" t="s">
        <v>64</v>
      </c>
      <c r="W1197" s="23" t="b">
        <f>if(AND(R1197=TRUE,N1197=TRUE,P1197=TRUE),TRUE,FALSE)</f>
        <v>0</v>
      </c>
      <c r="X1197" s="23" t="str">
        <f>IFERROR(__xludf.DUMMYFUNCTION("if(COUNTA(FILTER(C:C, C:C = C1197))=1,""no"",""yes"")"),"no")</f>
        <v>no</v>
      </c>
    </row>
    <row r="1198">
      <c r="A1198" s="75" t="s">
        <v>956</v>
      </c>
      <c r="B1198" s="2">
        <v>10.0</v>
      </c>
      <c r="C1198" s="19" t="s">
        <v>1904</v>
      </c>
      <c r="E1198" s="24">
        <f>IFERROR(__xludf.DUMMYFUNCTION("ifna(IFNA(filter('2.1.clean'!C:C,'2.1.clean'!A:A=C1198),filter('2.2.clean'!E:E,'2.2.clean'!D:D=C1198)),filter('2.4.clean'!C:C,'2.4.clean'!A:A=C1198))"),43818.0)</f>
        <v>43818</v>
      </c>
      <c r="F1198" s="25">
        <f>IFERROR(__xludf.DUMMYFUNCTION("iferror(ifna(IFNA(filter('2.1.clean'!E:E,'2.1.clean'!A:A=C1198),filter('2.2.clean'!G:G,'2.2.clean'!D:D=C1198)),filter('2.4.clean'!E:E,'2.4.clean'!A:A=C1198)),)"),2.39999999999999)</f>
        <v>2.4</v>
      </c>
      <c r="G1198" s="24">
        <f>IFERROR(__xludf.DUMMYFUNCTION("iferror(filter('3.1.clean'!C:C,'3.1.clean'!A:A=C1198),"""")"),43818.0)</f>
        <v>43818</v>
      </c>
      <c r="H1198" s="23" t="b">
        <f t="shared" ref="H1198:H1199" si="974">if(G1198="",FALSE,TRUE)</f>
        <v>1</v>
      </c>
      <c r="J1198" s="25"/>
      <c r="K1198" s="24">
        <f>IFERROR(__xludf.DUMMYFUNCTION("iferror(filter('3.2.clean'!C:C,'3.2.clean'!A:A=C1198),"""")"),43818.0)</f>
        <v>43818</v>
      </c>
      <c r="L1198" s="25" t="b">
        <f>if(K1198="",FALSE,TRUE)</f>
        <v>1</v>
      </c>
      <c r="M1198" s="24">
        <f>IFERROR(__xludf.DUMMYFUNCTION("iferror(filter('3.3.clean'!C:C,'3.3.clean'!A:A=C1198),"""")"),43823.0)</f>
        <v>43823</v>
      </c>
      <c r="N1198" s="25" t="b">
        <f t="shared" si="964"/>
        <v>1</v>
      </c>
      <c r="O1198" s="24">
        <f>IFERROR(__xludf.DUMMYFUNCTION("iferror(filter('3.4.clean'!C:C,'3.4.clean'!A:A=C1198),"""")"),43826.0)</f>
        <v>43826</v>
      </c>
      <c r="P1198" s="25" t="b">
        <f t="shared" si="965"/>
        <v>1</v>
      </c>
      <c r="Q1198" s="24">
        <f>IFERROR(__xludf.DUMMYFUNCTION("iferror(filter('3.5.clean'!C:C,'3.5.clean'!A:A=C1198),"""")"),43818.0)</f>
        <v>43818</v>
      </c>
      <c r="R1198" s="23" t="b">
        <f t="shared" si="973"/>
        <v>1</v>
      </c>
      <c r="S1198" s="25"/>
      <c r="V1198" s="1" t="s">
        <v>64</v>
      </c>
      <c r="X1198" s="23" t="str">
        <f>IFERROR(__xludf.DUMMYFUNCTION("if(COUNTA(FILTER(C:C, C:C = C1198))=1,""no"",""yes"")"),"no")</f>
        <v>no</v>
      </c>
    </row>
    <row r="1199">
      <c r="A1199" s="75" t="s">
        <v>956</v>
      </c>
      <c r="B1199" s="19">
        <v>11.0</v>
      </c>
      <c r="C1199" s="19" t="s">
        <v>1905</v>
      </c>
      <c r="D1199" s="58" t="str">
        <f t="shared" ref="D1199:D1200" si="975">if(or(I1199=1,J1199=1,S1199=1),"pos","")</f>
        <v/>
      </c>
      <c r="E1199" s="59">
        <f>IFERROR(__xludf.DUMMYFUNCTION("ifna(IFNA(filter('2.1.clean'!C:C,'2.1.clean'!A:A=C1199),filter('2.2.clean'!E:E,'2.2.clean'!D:D=C1199)),filter('2.4.clean'!C:C,'2.4.clean'!A:A=C1199))"),43818.0)</f>
        <v>43818</v>
      </c>
      <c r="F1199" s="60">
        <f>IFERROR(__xludf.DUMMYFUNCTION("iferror(ifna(IFNA(filter('2.1.clean'!E:E,'2.1.clean'!A:A=C1199),filter('2.2.clean'!G:G,'2.2.clean'!D:D=C1199)),filter('2.4.clean'!E:E,'2.4.clean'!A:A=C1199)),)"),2.39999999999999)</f>
        <v>2.4</v>
      </c>
      <c r="G1199" s="59">
        <f>IFERROR(__xludf.DUMMYFUNCTION("iferror(filter('3.1.clean'!C:C,'3.1.clean'!A:A=C1199),"""")"),43818.0)</f>
        <v>43818</v>
      </c>
      <c r="H1199" s="58" t="b">
        <f t="shared" si="974"/>
        <v>1</v>
      </c>
      <c r="I1199" s="58">
        <f>IFERROR(__xludf.DUMMYFUNCTION("iferror(filter('3.1.clean'!G:G,'3.1.clean'!A:A=C1199),"""")"),0.0)</f>
        <v>0</v>
      </c>
      <c r="J1199" s="60" t="str">
        <f>IFERROR(__xludf.DUMMYFUNCTION("iferror(filter('3.1.clean'!I:I,'3.1.clean'!A:A=C1199),"""")"),"")</f>
        <v/>
      </c>
      <c r="K1199" s="58"/>
      <c r="L1199" s="60"/>
      <c r="M1199" s="59" t="str">
        <f>IFERROR(__xludf.DUMMYFUNCTION("iferror(filter('3.3.clean'!C:C,'3.3.clean'!A:A=C1199),"""")"),"")</f>
        <v/>
      </c>
      <c r="N1199" s="60" t="b">
        <f t="shared" si="964"/>
        <v>0</v>
      </c>
      <c r="O1199" s="59" t="str">
        <f>IFERROR(__xludf.DUMMYFUNCTION("iferror(filter('3.4.clean'!C:C,'3.4.clean'!A:A=C1199),"""")"),"")</f>
        <v/>
      </c>
      <c r="P1199" s="60" t="b">
        <f t="shared" si="965"/>
        <v>0</v>
      </c>
      <c r="Q1199" s="59" t="str">
        <f>IFERROR(__xludf.DUMMYFUNCTION("iferror(filter('3.5.clean'!C:C,'3.5.clean'!A:A=C1199),"""")"),"")</f>
        <v/>
      </c>
      <c r="R1199" s="58"/>
      <c r="S1199" s="4" t="str">
        <f>IFERROR(__xludf.DUMMYFUNCTION("iferror(filter('3.5.clean'!H:H,'3.5.clean'!A:A=C1199),"""")"),"")</f>
        <v/>
      </c>
      <c r="W1199" s="23" t="b">
        <f>if(AND(H1199=TRUE,N1199=TRUE,P1199=TRUE),TRUE,FALSE)</f>
        <v>0</v>
      </c>
      <c r="X1199" s="23" t="str">
        <f>IFERROR(__xludf.DUMMYFUNCTION("if(COUNTA(FILTER(C:C, C:C = C1199))=1,""no"",""yes"")"),"no")</f>
        <v>no</v>
      </c>
    </row>
    <row r="1200">
      <c r="A1200" s="75" t="s">
        <v>956</v>
      </c>
      <c r="B1200" s="19">
        <v>12.0</v>
      </c>
      <c r="C1200" s="19" t="s">
        <v>1906</v>
      </c>
      <c r="D1200" s="58" t="str">
        <f t="shared" si="975"/>
        <v/>
      </c>
      <c r="E1200" s="59">
        <f>Q1200</f>
        <v>43818</v>
      </c>
      <c r="F1200" s="60" t="str">
        <f>IFERROR(__xludf.DUMMYFUNCTION("iferror(ifna(IFNA(filter('2.1.clean'!E:E,'2.1.clean'!A:A=C1200),filter('2.2.clean'!G:G,'2.2.clean'!D:D=C1200)),filter('2.4.clean'!E:E,'2.4.clean'!A:A=C1200)),)"),"")</f>
        <v/>
      </c>
      <c r="G1200" s="59" t="str">
        <f>IFERROR(__xludf.DUMMYFUNCTION("iferror(filter('3.1.clean'!C:C,'3.1.clean'!A:A=C1200),"""")"),"")</f>
        <v/>
      </c>
      <c r="H1200" s="58"/>
      <c r="I1200" s="58" t="str">
        <f>IFERROR(__xludf.DUMMYFUNCTION("iferror(filter('3.1.clean'!G:G,'3.1.clean'!A:A=C1200),"""")"),"")</f>
        <v/>
      </c>
      <c r="J1200" s="60" t="str">
        <f>IFERROR(__xludf.DUMMYFUNCTION("iferror(filter('3.1.clean'!I:I,'3.1.clean'!A:A=C1200),"""")"),"")</f>
        <v/>
      </c>
      <c r="K1200" s="59"/>
      <c r="L1200" s="60"/>
      <c r="M1200" s="59" t="str">
        <f>IFERROR(__xludf.DUMMYFUNCTION("iferror(filter('3.3.clean'!C:C,'3.3.clean'!A:A=C1200),"""")"),"")</f>
        <v/>
      </c>
      <c r="N1200" s="60" t="b">
        <f t="shared" si="964"/>
        <v>0</v>
      </c>
      <c r="O1200" s="59" t="str">
        <f>IFERROR(__xludf.DUMMYFUNCTION("iferror(filter('3.4.clean'!C:C,'3.4.clean'!A:A=C1200),"""")"),"")</f>
        <v/>
      </c>
      <c r="P1200" s="60" t="b">
        <f t="shared" si="965"/>
        <v>0</v>
      </c>
      <c r="Q1200" s="59">
        <f>IFERROR(__xludf.DUMMYFUNCTION("iferror(filter('3.5.clean'!C:C,'3.5.clean'!A:A=C1200),"""")"),43818.0)</f>
        <v>43818</v>
      </c>
      <c r="R1200" s="58" t="b">
        <f t="shared" ref="R1200:R1201" si="976">if(Q1200="",FALSE,TRUE)</f>
        <v>1</v>
      </c>
      <c r="S1200" s="4">
        <f>IFERROR(__xludf.DUMMYFUNCTION("iferror(filter('3.5.clean'!H:H,'3.5.clean'!A:A=C1200),"""")"),0.0)</f>
        <v>0</v>
      </c>
      <c r="V1200" s="52" t="s">
        <v>64</v>
      </c>
      <c r="W1200" s="23" t="b">
        <f>if(AND(R1200=TRUE,N1200=TRUE,P1200=TRUE),TRUE,FALSE)</f>
        <v>0</v>
      </c>
      <c r="X1200" s="23" t="str">
        <f>IFERROR(__xludf.DUMMYFUNCTION("if(COUNTA(FILTER(C:C, C:C = C1200))=1,""no"",""yes"")"),"no")</f>
        <v>no</v>
      </c>
    </row>
    <row r="1201">
      <c r="A1201" s="75" t="s">
        <v>956</v>
      </c>
      <c r="B1201" s="2">
        <v>13.0</v>
      </c>
      <c r="C1201" s="19" t="s">
        <v>1907</v>
      </c>
      <c r="E1201" s="24">
        <f>IFERROR(__xludf.DUMMYFUNCTION("ifna(IFNA(filter('2.1.clean'!C:C,'2.1.clean'!A:A=C1201),filter('2.2.clean'!E:E,'2.2.clean'!D:D=C1201)),filter('2.4.clean'!C:C,'2.4.clean'!A:A=C1201))"),43818.0)</f>
        <v>43818</v>
      </c>
      <c r="F1201" s="25">
        <f>IFERROR(__xludf.DUMMYFUNCTION("iferror(ifna(IFNA(filter('2.1.clean'!E:E,'2.1.clean'!A:A=C1201),filter('2.2.clean'!G:G,'2.2.clean'!D:D=C1201)),filter('2.4.clean'!E:E,'2.4.clean'!A:A=C1201)),)"),2.39999999999999)</f>
        <v>2.4</v>
      </c>
      <c r="G1201" s="24" t="str">
        <f>IFERROR(__xludf.DUMMYFUNCTION("iferror(filter('3.1.clean'!C:C,'3.1.clean'!A:A=C1201),"""")"),"")</f>
        <v/>
      </c>
      <c r="H1201" s="23" t="b">
        <f t="shared" ref="H1201:H1202" si="977">if(G1201="",FALSE,TRUE)</f>
        <v>0</v>
      </c>
      <c r="J1201" s="25"/>
      <c r="K1201" s="24">
        <f>IFERROR(__xludf.DUMMYFUNCTION("iferror(filter('3.2.clean'!C:C,'3.2.clean'!A:A=C1201),"""")"),43818.0)</f>
        <v>43818</v>
      </c>
      <c r="L1201" s="25" t="b">
        <f>if(K1201="",FALSE,TRUE)</f>
        <v>1</v>
      </c>
      <c r="M1201" s="24">
        <f>IFERROR(__xludf.DUMMYFUNCTION("iferror(filter('3.3.clean'!C:C,'3.3.clean'!A:A=C1201),"""")"),43823.0)</f>
        <v>43823</v>
      </c>
      <c r="N1201" s="25" t="b">
        <f t="shared" si="964"/>
        <v>1</v>
      </c>
      <c r="O1201" s="24">
        <f>IFERROR(__xludf.DUMMYFUNCTION("iferror(filter('3.4.clean'!C:C,'3.4.clean'!A:A=C1201),"""")"),43826.0)</f>
        <v>43826</v>
      </c>
      <c r="P1201" s="25" t="b">
        <f t="shared" si="965"/>
        <v>1</v>
      </c>
      <c r="Q1201" s="24">
        <f>IFERROR(__xludf.DUMMYFUNCTION("iferror(filter('3.5.clean'!C:C,'3.5.clean'!A:A=C1201),"""")"),43818.0)</f>
        <v>43818</v>
      </c>
      <c r="R1201" s="23" t="b">
        <f t="shared" si="976"/>
        <v>1</v>
      </c>
      <c r="S1201" s="25"/>
      <c r="V1201" s="1" t="s">
        <v>64</v>
      </c>
      <c r="X1201" s="23" t="str">
        <f>IFERROR(__xludf.DUMMYFUNCTION("if(COUNTA(FILTER(C:C, C:C = C1201))=1,""no"",""yes"")"),"no")</f>
        <v>no</v>
      </c>
    </row>
    <row r="1202">
      <c r="A1202" s="75" t="s">
        <v>956</v>
      </c>
      <c r="B1202" s="19">
        <v>14.0</v>
      </c>
      <c r="C1202" s="19" t="s">
        <v>1908</v>
      </c>
      <c r="D1202" s="58" t="str">
        <f t="shared" ref="D1202:D1203" si="978">if(or(I1202=1,J1202=1,S1202=1),"pos","")</f>
        <v/>
      </c>
      <c r="E1202" s="59">
        <f>IFERROR(__xludf.DUMMYFUNCTION("ifna(IFNA(filter('2.1.clean'!C:C,'2.1.clean'!A:A=C1202),filter('2.2.clean'!E:E,'2.2.clean'!D:D=C1202)),filter('2.4.clean'!C:C,'2.4.clean'!A:A=C1202))"),43818.0)</f>
        <v>43818</v>
      </c>
      <c r="F1202" s="60">
        <f>IFERROR(__xludf.DUMMYFUNCTION("iferror(ifna(IFNA(filter('2.1.clean'!E:E,'2.1.clean'!A:A=C1202),filter('2.2.clean'!G:G,'2.2.clean'!D:D=C1202)),filter('2.4.clean'!E:E,'2.4.clean'!A:A=C1202)),)"),2.39999999999999)</f>
        <v>2.4</v>
      </c>
      <c r="G1202" s="59" t="str">
        <f>IFERROR(__xludf.DUMMYFUNCTION("iferror(filter('3.1.clean'!C:C,'3.1.clean'!A:A=C1202),"""")"),"")</f>
        <v/>
      </c>
      <c r="H1202" s="58" t="b">
        <f t="shared" si="977"/>
        <v>0</v>
      </c>
      <c r="I1202" s="58" t="str">
        <f>IFERROR(__xludf.DUMMYFUNCTION("iferror(filter('3.1.clean'!G:G,'3.1.clean'!A:A=C1202),"""")"),"")</f>
        <v/>
      </c>
      <c r="J1202" s="60" t="str">
        <f>IFERROR(__xludf.DUMMYFUNCTION("iferror(filter('3.1.clean'!I:I,'3.1.clean'!A:A=C1202),"""")"),"")</f>
        <v/>
      </c>
      <c r="K1202" s="58"/>
      <c r="L1202" s="60"/>
      <c r="M1202" s="59" t="str">
        <f>IFERROR(__xludf.DUMMYFUNCTION("iferror(filter('3.3.clean'!C:C,'3.3.clean'!A:A=C1202),"""")"),"")</f>
        <v/>
      </c>
      <c r="N1202" s="60" t="b">
        <f t="shared" si="964"/>
        <v>0</v>
      </c>
      <c r="O1202" s="59" t="str">
        <f>IFERROR(__xludf.DUMMYFUNCTION("iferror(filter('3.4.clean'!C:C,'3.4.clean'!A:A=C1202),"""")"),"")</f>
        <v/>
      </c>
      <c r="P1202" s="60" t="b">
        <f t="shared" si="965"/>
        <v>0</v>
      </c>
      <c r="Q1202" s="59" t="str">
        <f>IFERROR(__xludf.DUMMYFUNCTION("iferror(filter('3.5.clean'!C:C,'3.5.clean'!A:A=C1202),"""")"),"")</f>
        <v/>
      </c>
      <c r="R1202" s="58"/>
      <c r="S1202" s="4" t="str">
        <f>IFERROR(__xludf.DUMMYFUNCTION("iferror(filter('3.5.clean'!H:H,'3.5.clean'!A:A=C1202),"""")"),"")</f>
        <v/>
      </c>
      <c r="W1202" s="23" t="b">
        <f>if(AND(H1202=TRUE,N1202=TRUE,P1202=TRUE),TRUE,FALSE)</f>
        <v>0</v>
      </c>
      <c r="X1202" s="23" t="str">
        <f>IFERROR(__xludf.DUMMYFUNCTION("if(COUNTA(FILTER(C:C, C:C = C1202))=1,""no"",""yes"")"),"no")</f>
        <v>no</v>
      </c>
    </row>
    <row r="1203">
      <c r="A1203" s="75" t="s">
        <v>956</v>
      </c>
      <c r="B1203" s="19">
        <v>15.0</v>
      </c>
      <c r="C1203" s="19" t="s">
        <v>1909</v>
      </c>
      <c r="D1203" s="58" t="str">
        <f t="shared" si="978"/>
        <v/>
      </c>
      <c r="E1203" s="59">
        <f>Q1203</f>
        <v>43818</v>
      </c>
      <c r="F1203" s="60" t="str">
        <f>IFERROR(__xludf.DUMMYFUNCTION("iferror(ifna(IFNA(filter('2.1.clean'!E:E,'2.1.clean'!A:A=C1203),filter('2.2.clean'!G:G,'2.2.clean'!D:D=C1203)),filter('2.4.clean'!E:E,'2.4.clean'!A:A=C1203)),)"),"")</f>
        <v/>
      </c>
      <c r="G1203" s="59" t="str">
        <f>IFERROR(__xludf.DUMMYFUNCTION("iferror(filter('3.1.clean'!C:C,'3.1.clean'!A:A=C1203),"""")"),"")</f>
        <v/>
      </c>
      <c r="H1203" s="58"/>
      <c r="I1203" s="58" t="str">
        <f>IFERROR(__xludf.DUMMYFUNCTION("iferror(filter('3.1.clean'!G:G,'3.1.clean'!A:A=C1203),"""")"),"")</f>
        <v/>
      </c>
      <c r="J1203" s="60" t="str">
        <f>IFERROR(__xludf.DUMMYFUNCTION("iferror(filter('3.1.clean'!I:I,'3.1.clean'!A:A=C1203),"""")"),"")</f>
        <v/>
      </c>
      <c r="K1203" s="59"/>
      <c r="L1203" s="60"/>
      <c r="M1203" s="59" t="str">
        <f>IFERROR(__xludf.DUMMYFUNCTION("iferror(filter('3.3.clean'!C:C,'3.3.clean'!A:A=C1203),"""")"),"")</f>
        <v/>
      </c>
      <c r="N1203" s="60" t="b">
        <f t="shared" si="964"/>
        <v>0</v>
      </c>
      <c r="O1203" s="59" t="str">
        <f>IFERROR(__xludf.DUMMYFUNCTION("iferror(filter('3.4.clean'!C:C,'3.4.clean'!A:A=C1203),"""")"),"")</f>
        <v/>
      </c>
      <c r="P1203" s="60" t="b">
        <f t="shared" si="965"/>
        <v>0</v>
      </c>
      <c r="Q1203" s="59">
        <f>IFERROR(__xludf.DUMMYFUNCTION("iferror(filter('3.5.clean'!C:C,'3.5.clean'!A:A=C1203),"""")"),43818.0)</f>
        <v>43818</v>
      </c>
      <c r="R1203" s="58" t="b">
        <f t="shared" ref="R1203:R1204" si="979">if(Q1203="",FALSE,TRUE)</f>
        <v>1</v>
      </c>
      <c r="S1203" s="4">
        <f>IFERROR(__xludf.DUMMYFUNCTION("iferror(filter('3.5.clean'!H:H,'3.5.clean'!A:A=C1203),"""")"),0.0)</f>
        <v>0</v>
      </c>
      <c r="V1203" s="52" t="s">
        <v>64</v>
      </c>
      <c r="W1203" s="23" t="b">
        <f>if(AND(R1203=TRUE,N1203=TRUE,P1203=TRUE),TRUE,FALSE)</f>
        <v>0</v>
      </c>
      <c r="X1203" s="23" t="str">
        <f>IFERROR(__xludf.DUMMYFUNCTION("if(COUNTA(FILTER(C:C, C:C = C1203))=1,""no"",""yes"")"),"no")</f>
        <v>no</v>
      </c>
    </row>
    <row r="1204">
      <c r="A1204" s="75" t="s">
        <v>956</v>
      </c>
      <c r="B1204" s="2">
        <v>16.0</v>
      </c>
      <c r="C1204" s="19" t="s">
        <v>1910</v>
      </c>
      <c r="E1204" s="24">
        <f>IFERROR(__xludf.DUMMYFUNCTION("ifna(IFNA(filter('2.1.clean'!C:C,'2.1.clean'!A:A=C1204),filter('2.2.clean'!E:E,'2.2.clean'!D:D=C1204)),filter('2.4.clean'!C:C,'2.4.clean'!A:A=C1204))"),43818.0)</f>
        <v>43818</v>
      </c>
      <c r="F1204" s="25">
        <f>IFERROR(__xludf.DUMMYFUNCTION("iferror(ifna(IFNA(filter('2.1.clean'!E:E,'2.1.clean'!A:A=C1204),filter('2.2.clean'!G:G,'2.2.clean'!D:D=C1204)),filter('2.4.clean'!E:E,'2.4.clean'!A:A=C1204)),)"),2.39999999999999)</f>
        <v>2.4</v>
      </c>
      <c r="G1204" s="24" t="str">
        <f>IFERROR(__xludf.DUMMYFUNCTION("iferror(filter('3.1.clean'!C:C,'3.1.clean'!A:A=C1204),"""")"),"")</f>
        <v/>
      </c>
      <c r="H1204" s="23" t="b">
        <f t="shared" ref="H1204:H1205" si="980">if(G1204="",FALSE,TRUE)</f>
        <v>0</v>
      </c>
      <c r="J1204" s="25"/>
      <c r="K1204" s="24">
        <f>IFERROR(__xludf.DUMMYFUNCTION("iferror(filter('3.2.clean'!C:C,'3.2.clean'!A:A=C1204),"""")"),43818.0)</f>
        <v>43818</v>
      </c>
      <c r="L1204" s="25" t="b">
        <f>if(K1204="",FALSE,TRUE)</f>
        <v>1</v>
      </c>
      <c r="M1204" s="24">
        <f>IFERROR(__xludf.DUMMYFUNCTION("iferror(filter('3.3.clean'!C:C,'3.3.clean'!A:A=C1204),"""")"),43823.0)</f>
        <v>43823</v>
      </c>
      <c r="N1204" s="25" t="b">
        <f t="shared" si="964"/>
        <v>1</v>
      </c>
      <c r="O1204" s="24">
        <f>IFERROR(__xludf.DUMMYFUNCTION("iferror(filter('3.4.clean'!C:C,'3.4.clean'!A:A=C1204),"""")"),43826.0)</f>
        <v>43826</v>
      </c>
      <c r="P1204" s="25" t="b">
        <f t="shared" si="965"/>
        <v>1</v>
      </c>
      <c r="Q1204" s="24">
        <f>IFERROR(__xludf.DUMMYFUNCTION("iferror(filter('3.5.clean'!C:C,'3.5.clean'!A:A=C1204),"""")"),43818.0)</f>
        <v>43818</v>
      </c>
      <c r="R1204" s="23" t="b">
        <f t="shared" si="979"/>
        <v>1</v>
      </c>
      <c r="S1204" s="25"/>
      <c r="V1204" s="1" t="s">
        <v>64</v>
      </c>
      <c r="X1204" s="23" t="str">
        <f>IFERROR(__xludf.DUMMYFUNCTION("if(COUNTA(FILTER(C:C, C:C = C1204))=1,""no"",""yes"")"),"no")</f>
        <v>no</v>
      </c>
    </row>
    <row r="1205">
      <c r="A1205" s="75" t="s">
        <v>956</v>
      </c>
      <c r="B1205" s="2">
        <v>17.0</v>
      </c>
      <c r="C1205" s="19" t="s">
        <v>1911</v>
      </c>
      <c r="D1205" s="58" t="str">
        <f t="shared" ref="D1205:D1206" si="981">if(or(I1205=1,J1205=1,S1205=1),"pos","")</f>
        <v/>
      </c>
      <c r="E1205" s="59">
        <f>IFERROR(__xludf.DUMMYFUNCTION("ifna(IFNA(filter('2.1.clean'!C:C,'2.1.clean'!A:A=C1205),filter('2.2.clean'!E:E,'2.2.clean'!D:D=C1205)),filter('2.4.clean'!C:C,'2.4.clean'!A:A=C1205))"),43818.0)</f>
        <v>43818</v>
      </c>
      <c r="F1205" s="60">
        <f>IFERROR(__xludf.DUMMYFUNCTION("iferror(ifna(IFNA(filter('2.1.clean'!E:E,'2.1.clean'!A:A=C1205),filter('2.2.clean'!G:G,'2.2.clean'!D:D=C1205)),filter('2.4.clean'!E:E,'2.4.clean'!A:A=C1205)),)"),2.39999999999999)</f>
        <v>2.4</v>
      </c>
      <c r="G1205" s="59" t="str">
        <f>IFERROR(__xludf.DUMMYFUNCTION("iferror(filter('3.1.clean'!C:C,'3.1.clean'!A:A=C1205),"""")"),"")</f>
        <v/>
      </c>
      <c r="H1205" s="58" t="b">
        <f t="shared" si="980"/>
        <v>0</v>
      </c>
      <c r="I1205" s="58" t="str">
        <f>IFERROR(__xludf.DUMMYFUNCTION("iferror(filter('3.1.clean'!G:G,'3.1.clean'!A:A=C1205),"""")"),"")</f>
        <v/>
      </c>
      <c r="J1205" s="60" t="str">
        <f>IFERROR(__xludf.DUMMYFUNCTION("iferror(filter('3.1.clean'!I:I,'3.1.clean'!A:A=C1205),"""")"),"")</f>
        <v/>
      </c>
      <c r="K1205" s="58"/>
      <c r="L1205" s="60"/>
      <c r="M1205" s="59" t="str">
        <f>IFERROR(__xludf.DUMMYFUNCTION("iferror(filter('3.3.clean'!C:C,'3.3.clean'!A:A=C1205),"""")"),"")</f>
        <v/>
      </c>
      <c r="N1205" s="60" t="b">
        <f t="shared" si="964"/>
        <v>0</v>
      </c>
      <c r="O1205" s="59" t="str">
        <f>IFERROR(__xludf.DUMMYFUNCTION("iferror(filter('3.4.clean'!C:C,'3.4.clean'!A:A=C1205),"""")"),"")</f>
        <v/>
      </c>
      <c r="P1205" s="60" t="b">
        <f t="shared" si="965"/>
        <v>0</v>
      </c>
      <c r="Q1205" s="59" t="str">
        <f>IFERROR(__xludf.DUMMYFUNCTION("iferror(filter('3.5.clean'!C:C,'3.5.clean'!A:A=C1205),"""")"),"")</f>
        <v/>
      </c>
      <c r="R1205" s="58"/>
      <c r="S1205" s="4" t="str">
        <f>IFERROR(__xludf.DUMMYFUNCTION("iferror(filter('3.5.clean'!H:H,'3.5.clean'!A:A=C1205),"""")"),"")</f>
        <v/>
      </c>
      <c r="W1205" s="23" t="b">
        <f>if(AND(H1205=TRUE,N1205=TRUE,P1205=TRUE),TRUE,FALSE)</f>
        <v>0</v>
      </c>
      <c r="X1205" s="23" t="str">
        <f>IFERROR(__xludf.DUMMYFUNCTION("if(COUNTA(FILTER(C:C, C:C = C1205))=1,""no"",""yes"")"),"no")</f>
        <v>no</v>
      </c>
    </row>
    <row r="1206">
      <c r="A1206" s="75" t="s">
        <v>956</v>
      </c>
      <c r="B1206" s="2">
        <v>18.0</v>
      </c>
      <c r="C1206" s="19" t="s">
        <v>1912</v>
      </c>
      <c r="D1206" s="58" t="str">
        <f t="shared" si="981"/>
        <v/>
      </c>
      <c r="E1206" s="59">
        <f>Q1206</f>
        <v>43818</v>
      </c>
      <c r="F1206" s="60" t="str">
        <f>IFERROR(__xludf.DUMMYFUNCTION("iferror(ifna(IFNA(filter('2.1.clean'!E:E,'2.1.clean'!A:A=C1206),filter('2.2.clean'!G:G,'2.2.clean'!D:D=C1206)),filter('2.4.clean'!E:E,'2.4.clean'!A:A=C1206)),)"),"")</f>
        <v/>
      </c>
      <c r="G1206" s="59" t="str">
        <f>IFERROR(__xludf.DUMMYFUNCTION("iferror(filter('3.1.clean'!C:C,'3.1.clean'!A:A=C1206),"""")"),"")</f>
        <v/>
      </c>
      <c r="H1206" s="58"/>
      <c r="I1206" s="58" t="str">
        <f>IFERROR(__xludf.DUMMYFUNCTION("iferror(filter('3.1.clean'!G:G,'3.1.clean'!A:A=C1206),"""")"),"")</f>
        <v/>
      </c>
      <c r="J1206" s="60" t="str">
        <f>IFERROR(__xludf.DUMMYFUNCTION("iferror(filter('3.1.clean'!I:I,'3.1.clean'!A:A=C1206),"""")"),"")</f>
        <v/>
      </c>
      <c r="K1206" s="59"/>
      <c r="L1206" s="60"/>
      <c r="M1206" s="59" t="str">
        <f>IFERROR(__xludf.DUMMYFUNCTION("iferror(filter('3.3.clean'!C:C,'3.3.clean'!A:A=C1206),"""")"),"")</f>
        <v/>
      </c>
      <c r="N1206" s="60" t="b">
        <f t="shared" si="964"/>
        <v>0</v>
      </c>
      <c r="O1206" s="59">
        <f>IFERROR(__xludf.DUMMYFUNCTION("iferror(filter('3.4.clean'!C:C,'3.4.clean'!A:A=C1206),"""")"),43826.0)</f>
        <v>43826</v>
      </c>
      <c r="P1206" s="60" t="b">
        <f t="shared" si="965"/>
        <v>1</v>
      </c>
      <c r="Q1206" s="59">
        <f>IFERROR(__xludf.DUMMYFUNCTION("iferror(filter('3.5.clean'!C:C,'3.5.clean'!A:A=C1206),"""")"),43818.0)</f>
        <v>43818</v>
      </c>
      <c r="R1206" s="58" t="b">
        <f t="shared" ref="R1206:R1207" si="982">if(Q1206="",FALSE,TRUE)</f>
        <v>1</v>
      </c>
      <c r="S1206" s="4">
        <f>IFERROR(__xludf.DUMMYFUNCTION("iferror(filter('3.5.clean'!H:H,'3.5.clean'!A:A=C1206),"""")"),0.0)</f>
        <v>0</v>
      </c>
      <c r="V1206" s="52" t="s">
        <v>64</v>
      </c>
      <c r="W1206" s="23" t="b">
        <f>if(AND(R1206=TRUE,N1206=TRUE,P1206=TRUE),TRUE,FALSE)</f>
        <v>0</v>
      </c>
      <c r="X1206" s="23" t="str">
        <f>IFERROR(__xludf.DUMMYFUNCTION("if(COUNTA(FILTER(C:C, C:C = C1206))=1,""no"",""yes"")"),"no")</f>
        <v>no</v>
      </c>
    </row>
    <row r="1207">
      <c r="A1207" s="75" t="s">
        <v>956</v>
      </c>
      <c r="B1207" s="2">
        <v>19.0</v>
      </c>
      <c r="C1207" s="19" t="s">
        <v>1913</v>
      </c>
      <c r="E1207" s="24">
        <f>IFERROR(__xludf.DUMMYFUNCTION("ifna(IFNA(filter('2.1.clean'!C:C,'2.1.clean'!A:A=C1207),filter('2.2.clean'!E:E,'2.2.clean'!D:D=C1207)),filter('2.4.clean'!C:C,'2.4.clean'!A:A=C1207))"),43818.0)</f>
        <v>43818</v>
      </c>
      <c r="F1207" s="25">
        <f>IFERROR(__xludf.DUMMYFUNCTION("iferror(ifna(IFNA(filter('2.1.clean'!E:E,'2.1.clean'!A:A=C1207),filter('2.2.clean'!G:G,'2.2.clean'!D:D=C1207)),filter('2.4.clean'!E:E,'2.4.clean'!A:A=C1207)),)"),2.39999999999999)</f>
        <v>2.4</v>
      </c>
      <c r="G1207" s="24" t="str">
        <f>IFERROR(__xludf.DUMMYFUNCTION("iferror(filter('3.1.clean'!C:C,'3.1.clean'!A:A=C1207),"""")"),"")</f>
        <v/>
      </c>
      <c r="H1207" s="23" t="b">
        <f t="shared" ref="H1207:H1208" si="983">if(G1207="",FALSE,TRUE)</f>
        <v>0</v>
      </c>
      <c r="J1207" s="25"/>
      <c r="K1207" s="24">
        <f>IFERROR(__xludf.DUMMYFUNCTION("iferror(filter('3.2.clean'!C:C,'3.2.clean'!A:A=C1207),"""")"),43818.0)</f>
        <v>43818</v>
      </c>
      <c r="L1207" s="25" t="b">
        <f>if(K1207="",FALSE,TRUE)</f>
        <v>1</v>
      </c>
      <c r="M1207" s="24">
        <f>IFERROR(__xludf.DUMMYFUNCTION("iferror(filter('3.3.clean'!C:C,'3.3.clean'!A:A=C1207),"""")"),43823.0)</f>
        <v>43823</v>
      </c>
      <c r="N1207" s="25" t="b">
        <f t="shared" si="964"/>
        <v>1</v>
      </c>
      <c r="O1207" s="24">
        <f>IFERROR(__xludf.DUMMYFUNCTION("iferror(filter('3.4.clean'!C:C,'3.4.clean'!A:A=C1207),"""")"),43826.0)</f>
        <v>43826</v>
      </c>
      <c r="P1207" s="25" t="b">
        <f t="shared" si="965"/>
        <v>1</v>
      </c>
      <c r="Q1207" s="24">
        <f>IFERROR(__xludf.DUMMYFUNCTION("iferror(filter('3.5.clean'!C:C,'3.5.clean'!A:A=C1207),"""")"),43818.0)</f>
        <v>43818</v>
      </c>
      <c r="R1207" s="23" t="b">
        <f t="shared" si="982"/>
        <v>1</v>
      </c>
      <c r="S1207" s="25"/>
      <c r="V1207" s="1" t="s">
        <v>64</v>
      </c>
      <c r="X1207" s="23" t="str">
        <f>IFERROR(__xludf.DUMMYFUNCTION("if(COUNTA(FILTER(C:C, C:C = C1207))=1,""no"",""yes"")"),"no")</f>
        <v>no</v>
      </c>
    </row>
    <row r="1208">
      <c r="A1208" s="75" t="s">
        <v>956</v>
      </c>
      <c r="B1208" s="2">
        <v>20.0</v>
      </c>
      <c r="C1208" s="19" t="s">
        <v>1914</v>
      </c>
      <c r="D1208" s="58" t="str">
        <f t="shared" ref="D1208:D1209" si="984">if(or(I1208=1,J1208=1,S1208=1),"pos","")</f>
        <v/>
      </c>
      <c r="E1208" s="59">
        <f>IFERROR(__xludf.DUMMYFUNCTION("ifna(IFNA(filter('2.1.clean'!C:C,'2.1.clean'!A:A=C1208),filter('2.2.clean'!E:E,'2.2.clean'!D:D=C1208)),filter('2.4.clean'!C:C,'2.4.clean'!A:A=C1208))"),43818.0)</f>
        <v>43818</v>
      </c>
      <c r="F1208" s="60">
        <f>IFERROR(__xludf.DUMMYFUNCTION("iferror(ifna(IFNA(filter('2.1.clean'!E:E,'2.1.clean'!A:A=C1208),filter('2.2.clean'!G:G,'2.2.clean'!D:D=C1208)),filter('2.4.clean'!E:E,'2.4.clean'!A:A=C1208)),)"),2.39999999999999)</f>
        <v>2.4</v>
      </c>
      <c r="G1208" s="59" t="str">
        <f>IFERROR(__xludf.DUMMYFUNCTION("iferror(filter('3.1.clean'!C:C,'3.1.clean'!A:A=C1208),"""")"),"")</f>
        <v/>
      </c>
      <c r="H1208" s="58" t="b">
        <f t="shared" si="983"/>
        <v>0</v>
      </c>
      <c r="I1208" s="58" t="str">
        <f>IFERROR(__xludf.DUMMYFUNCTION("iferror(filter('3.1.clean'!G:G,'3.1.clean'!A:A=C1208),"""")"),"")</f>
        <v/>
      </c>
      <c r="J1208" s="60" t="str">
        <f>IFERROR(__xludf.DUMMYFUNCTION("iferror(filter('3.1.clean'!I:I,'3.1.clean'!A:A=C1208),"""")"),"")</f>
        <v/>
      </c>
      <c r="K1208" s="58"/>
      <c r="L1208" s="60"/>
      <c r="M1208" s="59" t="str">
        <f>IFERROR(__xludf.DUMMYFUNCTION("iferror(filter('3.3.clean'!C:C,'3.3.clean'!A:A=C1208),"""")"),"")</f>
        <v/>
      </c>
      <c r="N1208" s="60" t="b">
        <f t="shared" si="964"/>
        <v>0</v>
      </c>
      <c r="O1208" s="59" t="str">
        <f>IFERROR(__xludf.DUMMYFUNCTION("iferror(filter('3.4.clean'!C:C,'3.4.clean'!A:A=C1208),"""")"),"")</f>
        <v/>
      </c>
      <c r="P1208" s="60" t="b">
        <f t="shared" si="965"/>
        <v>0</v>
      </c>
      <c r="Q1208" s="59" t="str">
        <f>IFERROR(__xludf.DUMMYFUNCTION("iferror(filter('3.5.clean'!C:C,'3.5.clean'!A:A=C1208),"""")"),"")</f>
        <v/>
      </c>
      <c r="R1208" s="58"/>
      <c r="S1208" s="4" t="str">
        <f>IFERROR(__xludf.DUMMYFUNCTION("iferror(filter('3.5.clean'!H:H,'3.5.clean'!A:A=C1208),"""")"),"")</f>
        <v/>
      </c>
      <c r="W1208" s="23" t="b">
        <f>if(AND(H1208=TRUE,N1208=TRUE,P1208=TRUE),TRUE,FALSE)</f>
        <v>0</v>
      </c>
      <c r="X1208" s="23" t="str">
        <f>IFERROR(__xludf.DUMMYFUNCTION("if(COUNTA(FILTER(C:C, C:C = C1208))=1,""no"",""yes"")"),"no")</f>
        <v>no</v>
      </c>
    </row>
    <row r="1209">
      <c r="A1209" s="75" t="s">
        <v>956</v>
      </c>
      <c r="B1209" s="2">
        <v>21.0</v>
      </c>
      <c r="C1209" s="19" t="s">
        <v>1915</v>
      </c>
      <c r="D1209" s="58" t="str">
        <f t="shared" si="984"/>
        <v/>
      </c>
      <c r="E1209" s="59">
        <f>Q1209</f>
        <v>43818</v>
      </c>
      <c r="F1209" s="60" t="str">
        <f>IFERROR(__xludf.DUMMYFUNCTION("iferror(ifna(IFNA(filter('2.1.clean'!E:E,'2.1.clean'!A:A=C1209),filter('2.2.clean'!G:G,'2.2.clean'!D:D=C1209)),filter('2.4.clean'!E:E,'2.4.clean'!A:A=C1209)),)"),"")</f>
        <v/>
      </c>
      <c r="G1209" s="59" t="str">
        <f>IFERROR(__xludf.DUMMYFUNCTION("iferror(filter('3.1.clean'!C:C,'3.1.clean'!A:A=C1209),"""")"),"")</f>
        <v/>
      </c>
      <c r="H1209" s="58"/>
      <c r="I1209" s="58" t="str">
        <f>IFERROR(__xludf.DUMMYFUNCTION("iferror(filter('3.1.clean'!G:G,'3.1.clean'!A:A=C1209),"""")"),"")</f>
        <v/>
      </c>
      <c r="J1209" s="60" t="str">
        <f>IFERROR(__xludf.DUMMYFUNCTION("iferror(filter('3.1.clean'!I:I,'3.1.clean'!A:A=C1209),"""")"),"")</f>
        <v/>
      </c>
      <c r="K1209" s="59"/>
      <c r="L1209" s="60"/>
      <c r="M1209" s="59" t="str">
        <f>IFERROR(__xludf.DUMMYFUNCTION("iferror(filter('3.3.clean'!C:C,'3.3.clean'!A:A=C1209),"""")"),"")</f>
        <v/>
      </c>
      <c r="N1209" s="60" t="b">
        <f t="shared" si="964"/>
        <v>0</v>
      </c>
      <c r="O1209" s="59" t="str">
        <f>IFERROR(__xludf.DUMMYFUNCTION("iferror(filter('3.4.clean'!C:C,'3.4.clean'!A:A=C1209),"""")"),"")</f>
        <v/>
      </c>
      <c r="P1209" s="60" t="b">
        <f t="shared" si="965"/>
        <v>0</v>
      </c>
      <c r="Q1209" s="59">
        <f>IFERROR(__xludf.DUMMYFUNCTION("iferror(filter('3.5.clean'!C:C,'3.5.clean'!A:A=C1209),"""")"),43818.0)</f>
        <v>43818</v>
      </c>
      <c r="R1209" s="58" t="b">
        <f t="shared" ref="R1209:R1210" si="985">if(Q1209="",FALSE,TRUE)</f>
        <v>1</v>
      </c>
      <c r="S1209" s="4">
        <f>IFERROR(__xludf.DUMMYFUNCTION("iferror(filter('3.5.clean'!H:H,'3.5.clean'!A:A=C1209),"""")"),0.0)</f>
        <v>0</v>
      </c>
      <c r="V1209" s="52" t="s">
        <v>64</v>
      </c>
      <c r="W1209" s="23" t="b">
        <f>if(AND(R1209=TRUE,N1209=TRUE,P1209=TRUE),TRUE,FALSE)</f>
        <v>0</v>
      </c>
      <c r="X1209" s="23" t="str">
        <f>IFERROR(__xludf.DUMMYFUNCTION("if(COUNTA(FILTER(C:C, C:C = C1209))=1,""no"",""yes"")"),"no")</f>
        <v>no</v>
      </c>
    </row>
    <row r="1210">
      <c r="A1210" s="75" t="s">
        <v>956</v>
      </c>
      <c r="B1210" s="2">
        <v>22.0</v>
      </c>
      <c r="C1210" s="19" t="s">
        <v>1916</v>
      </c>
      <c r="E1210" s="24">
        <f>IFERROR(__xludf.DUMMYFUNCTION("ifna(IFNA(filter('2.1.clean'!C:C,'2.1.clean'!A:A=C1210),filter('2.2.clean'!E:E,'2.2.clean'!D:D=C1210)),filter('2.4.clean'!C:C,'2.4.clean'!A:A=C1210))"),43818.0)</f>
        <v>43818</v>
      </c>
      <c r="F1210" s="25">
        <f>IFERROR(__xludf.DUMMYFUNCTION("iferror(ifna(IFNA(filter('2.1.clean'!E:E,'2.1.clean'!A:A=C1210),filter('2.2.clean'!G:G,'2.2.clean'!D:D=C1210)),filter('2.4.clean'!E:E,'2.4.clean'!A:A=C1210)),)"),2.39999999999999)</f>
        <v>2.4</v>
      </c>
      <c r="G1210" s="24" t="str">
        <f>IFERROR(__xludf.DUMMYFUNCTION("iferror(filter('3.1.clean'!C:C,'3.1.clean'!A:A=C1210),"""")"),"")</f>
        <v/>
      </c>
      <c r="H1210" s="23" t="b">
        <f t="shared" ref="H1210:H1211" si="986">if(G1210="",FALSE,TRUE)</f>
        <v>0</v>
      </c>
      <c r="J1210" s="25"/>
      <c r="K1210" s="24">
        <f>IFERROR(__xludf.DUMMYFUNCTION("iferror(filter('3.2.clean'!C:C,'3.2.clean'!A:A=C1210),"""")"),43818.0)</f>
        <v>43818</v>
      </c>
      <c r="L1210" s="25" t="b">
        <f>if(K1210="",FALSE,TRUE)</f>
        <v>1</v>
      </c>
      <c r="M1210" s="24">
        <f>IFERROR(__xludf.DUMMYFUNCTION("iferror(filter('3.3.clean'!C:C,'3.3.clean'!A:A=C1210),"""")"),43823.0)</f>
        <v>43823</v>
      </c>
      <c r="N1210" s="25" t="b">
        <f t="shared" si="964"/>
        <v>1</v>
      </c>
      <c r="O1210" s="24">
        <f>IFERROR(__xludf.DUMMYFUNCTION("iferror(filter('3.4.clean'!C:C,'3.4.clean'!A:A=C1210),"""")"),43826.0)</f>
        <v>43826</v>
      </c>
      <c r="P1210" s="25" t="b">
        <f t="shared" si="965"/>
        <v>1</v>
      </c>
      <c r="Q1210" s="24">
        <f>IFERROR(__xludf.DUMMYFUNCTION("iferror(filter('3.5.clean'!C:C,'3.5.clean'!A:A=C1210),"""")"),43818.0)</f>
        <v>43818</v>
      </c>
      <c r="R1210" s="23" t="b">
        <f t="shared" si="985"/>
        <v>1</v>
      </c>
      <c r="S1210" s="25"/>
      <c r="V1210" s="1" t="s">
        <v>64</v>
      </c>
      <c r="X1210" s="23" t="str">
        <f>IFERROR(__xludf.DUMMYFUNCTION("if(COUNTA(FILTER(C:C, C:C = C1210))=1,""no"",""yes"")"),"no")</f>
        <v>no</v>
      </c>
    </row>
    <row r="1211">
      <c r="A1211" s="75" t="s">
        <v>956</v>
      </c>
      <c r="B1211" s="2">
        <v>23.0</v>
      </c>
      <c r="C1211" s="19" t="s">
        <v>1917</v>
      </c>
      <c r="D1211" s="58" t="str">
        <f t="shared" ref="D1211:D1213" si="987">if(or(I1211=1,J1211=1,S1211=1),"pos","")</f>
        <v/>
      </c>
      <c r="E1211" s="59">
        <f>IFERROR(__xludf.DUMMYFUNCTION("ifna(IFNA(filter('2.1.clean'!C:C,'2.1.clean'!A:A=C1211),filter('2.2.clean'!E:E,'2.2.clean'!D:D=C1211)),filter('2.4.clean'!C:C,'2.4.clean'!A:A=C1211))"),43818.0)</f>
        <v>43818</v>
      </c>
      <c r="F1211" s="60">
        <f>IFERROR(__xludf.DUMMYFUNCTION("iferror(ifna(IFNA(filter('2.1.clean'!E:E,'2.1.clean'!A:A=C1211),filter('2.2.clean'!G:G,'2.2.clean'!D:D=C1211)),filter('2.4.clean'!E:E,'2.4.clean'!A:A=C1211)),)"),2.39999999999999)</f>
        <v>2.4</v>
      </c>
      <c r="G1211" s="59" t="str">
        <f>IFERROR(__xludf.DUMMYFUNCTION("iferror(filter('3.1.clean'!C:C,'3.1.clean'!A:A=C1211),"""")"),"")</f>
        <v/>
      </c>
      <c r="H1211" s="58" t="b">
        <f t="shared" si="986"/>
        <v>0</v>
      </c>
      <c r="I1211" s="58" t="str">
        <f>IFERROR(__xludf.DUMMYFUNCTION("iferror(filter('3.1.clean'!G:G,'3.1.clean'!A:A=C1211),"""")"),"")</f>
        <v/>
      </c>
      <c r="J1211" s="60" t="str">
        <f>IFERROR(__xludf.DUMMYFUNCTION("iferror(filter('3.1.clean'!I:I,'3.1.clean'!A:A=C1211),"""")"),"")</f>
        <v/>
      </c>
      <c r="K1211" s="58"/>
      <c r="L1211" s="60"/>
      <c r="M1211" s="59" t="str">
        <f>IFERROR(__xludf.DUMMYFUNCTION("iferror(filter('3.3.clean'!C:C,'3.3.clean'!A:A=C1211),"""")"),"")</f>
        <v/>
      </c>
      <c r="N1211" s="60" t="b">
        <f t="shared" si="964"/>
        <v>0</v>
      </c>
      <c r="O1211" s="59" t="str">
        <f>IFERROR(__xludf.DUMMYFUNCTION("iferror(filter('3.4.clean'!C:C,'3.4.clean'!A:A=C1211),"""")"),"")</f>
        <v/>
      </c>
      <c r="P1211" s="60" t="b">
        <f t="shared" si="965"/>
        <v>0</v>
      </c>
      <c r="Q1211" s="59" t="str">
        <f>IFERROR(__xludf.DUMMYFUNCTION("iferror(filter('3.5.clean'!C:C,'3.5.clean'!A:A=C1211),"""")"),"")</f>
        <v/>
      </c>
      <c r="R1211" s="58"/>
      <c r="S1211" s="4" t="str">
        <f>IFERROR(__xludf.DUMMYFUNCTION("iferror(filter('3.5.clean'!H:H,'3.5.clean'!A:A=C1211),"""")"),"")</f>
        <v/>
      </c>
      <c r="W1211" s="23" t="b">
        <f>if(AND(H1211=TRUE,N1211=TRUE,P1211=TRUE),TRUE,FALSE)</f>
        <v>0</v>
      </c>
      <c r="X1211" s="23" t="str">
        <f>IFERROR(__xludf.DUMMYFUNCTION("if(COUNTA(FILTER(C:C, C:C = C1211))=1,""no"",""yes"")"),"no")</f>
        <v>no</v>
      </c>
    </row>
    <row r="1212">
      <c r="A1212" s="75" t="s">
        <v>956</v>
      </c>
      <c r="B1212" s="2">
        <v>24.0</v>
      </c>
      <c r="C1212" s="19" t="s">
        <v>1918</v>
      </c>
      <c r="D1212" s="58" t="str">
        <f t="shared" si="987"/>
        <v/>
      </c>
      <c r="E1212" s="59">
        <f t="shared" ref="E1212:E1213" si="988">Q1212</f>
        <v>43818</v>
      </c>
      <c r="F1212" s="60" t="str">
        <f>IFERROR(__xludf.DUMMYFUNCTION("iferror(ifna(IFNA(filter('2.1.clean'!E:E,'2.1.clean'!A:A=C1212),filter('2.2.clean'!G:G,'2.2.clean'!D:D=C1212)),filter('2.4.clean'!E:E,'2.4.clean'!A:A=C1212)),)"),"")</f>
        <v/>
      </c>
      <c r="G1212" s="59" t="str">
        <f>IFERROR(__xludf.DUMMYFUNCTION("iferror(filter('3.1.clean'!C:C,'3.1.clean'!A:A=C1212),"""")"),"")</f>
        <v/>
      </c>
      <c r="H1212" s="58"/>
      <c r="I1212" s="58" t="str">
        <f>IFERROR(__xludf.DUMMYFUNCTION("iferror(filter('3.1.clean'!G:G,'3.1.clean'!A:A=C1212),"""")"),"")</f>
        <v/>
      </c>
      <c r="J1212" s="60" t="str">
        <f>IFERROR(__xludf.DUMMYFUNCTION("iferror(filter('3.1.clean'!I:I,'3.1.clean'!A:A=C1212),"""")"),"")</f>
        <v/>
      </c>
      <c r="K1212" s="59"/>
      <c r="L1212" s="60"/>
      <c r="M1212" s="59" t="str">
        <f>IFERROR(__xludf.DUMMYFUNCTION("iferror(filter('3.3.clean'!C:C,'3.3.clean'!A:A=C1212),"""")"),"")</f>
        <v/>
      </c>
      <c r="N1212" s="60" t="b">
        <f t="shared" si="964"/>
        <v>0</v>
      </c>
      <c r="O1212" s="59" t="str">
        <f>IFERROR(__xludf.DUMMYFUNCTION("iferror(filter('3.4.clean'!C:C,'3.4.clean'!A:A=C1212),"""")"),"")</f>
        <v/>
      </c>
      <c r="P1212" s="60" t="b">
        <f t="shared" si="965"/>
        <v>0</v>
      </c>
      <c r="Q1212" s="59">
        <f>IFERROR(__xludf.DUMMYFUNCTION("iferror(filter('3.5.clean'!C:C,'3.5.clean'!A:A=C1212),"""")"),43818.0)</f>
        <v>43818</v>
      </c>
      <c r="R1212" s="58" t="b">
        <f t="shared" ref="R1212:R1214" si="989">if(Q1212="",FALSE,TRUE)</f>
        <v>1</v>
      </c>
      <c r="S1212" s="4">
        <f>IFERROR(__xludf.DUMMYFUNCTION("iferror(filter('3.5.clean'!H:H,'3.5.clean'!A:A=C1212),"""")"),0.0)</f>
        <v>0</v>
      </c>
      <c r="V1212" s="52" t="s">
        <v>64</v>
      </c>
      <c r="W1212" s="23" t="b">
        <f>if(AND(R1212=TRUE,N1212=TRUE,P1212=TRUE),TRUE,FALSE)</f>
        <v>0</v>
      </c>
      <c r="X1212" s="23" t="str">
        <f>IFERROR(__xludf.DUMMYFUNCTION("if(COUNTA(FILTER(C:C, C:C = C1212))=1,""no"",""yes"")"),"no")</f>
        <v>no</v>
      </c>
    </row>
    <row r="1213">
      <c r="A1213" s="75" t="s">
        <v>956</v>
      </c>
      <c r="B1213" s="19">
        <v>25.0</v>
      </c>
      <c r="C1213" s="19" t="s">
        <v>1919</v>
      </c>
      <c r="D1213" s="22" t="str">
        <f t="shared" si="987"/>
        <v/>
      </c>
      <c r="E1213" s="20">
        <f t="shared" si="988"/>
        <v>43818</v>
      </c>
      <c r="F1213" s="79" t="str">
        <f>IFERROR(__xludf.DUMMYFUNCTION("iferror(ifna(IFNA(filter('2.1.clean'!E:E,'2.1.clean'!A:A=C1213),filter('2.2.clean'!G:G,'2.2.clean'!D:D=C1213)),filter('2.4.clean'!E:E,'2.4.clean'!A:A=C1213)),)"),"")</f>
        <v/>
      </c>
      <c r="G1213" s="20" t="str">
        <f>IFERROR(__xludf.DUMMYFUNCTION("iferror(filter('3.1.clean'!C:C,'3.1.clean'!A:A=C1213),"""")"),"")</f>
        <v/>
      </c>
      <c r="H1213" s="22"/>
      <c r="I1213" s="22"/>
      <c r="J1213" s="79"/>
      <c r="K1213" s="20" t="str">
        <f>IFERROR(__xludf.DUMMYFUNCTION("iferror(filter('3.2.clean'!C:C,'3.2.clean'!A:A=C1213),"""")"),"")</f>
        <v/>
      </c>
      <c r="L1213" s="79"/>
      <c r="M1213" s="20" t="str">
        <f>IFERROR(__xludf.DUMMYFUNCTION("iferror(filter('3.3.clean'!C:C,'3.3.clean'!A:A=C1213),"""")"),"")</f>
        <v/>
      </c>
      <c r="N1213" s="79" t="b">
        <f t="shared" si="964"/>
        <v>0</v>
      </c>
      <c r="O1213" s="20" t="str">
        <f>IFERROR(__xludf.DUMMYFUNCTION("iferror(filter('3.4.clean'!C:C,'3.4.clean'!A:A=C1213),"""")"),"")</f>
        <v/>
      </c>
      <c r="P1213" s="79" t="b">
        <f t="shared" si="965"/>
        <v>0</v>
      </c>
      <c r="Q1213" s="20">
        <f>IFERROR(__xludf.DUMMYFUNCTION("iferror(filter('3.5.clean'!C:C,'3.5.clean'!A:A=C1213),"""")"),43818.0)</f>
        <v>43818</v>
      </c>
      <c r="R1213" s="22" t="b">
        <f t="shared" si="989"/>
        <v>1</v>
      </c>
      <c r="S1213" s="4">
        <f>IFERROR(__xludf.DUMMYFUNCTION("iferror(filter('3.5.clean'!H:H,'3.5.clean'!A:A=C1213),"""")"),0.0)</f>
        <v>0</v>
      </c>
      <c r="V1213" s="1" t="s">
        <v>64</v>
      </c>
      <c r="W1213" s="23" t="b">
        <f>IF(and(R1213=TRUE,N1213=TRUE,P1213=TRUE),TRUE,FALSE)</f>
        <v>0</v>
      </c>
      <c r="X1213" s="23" t="str">
        <f>IFERROR(__xludf.DUMMYFUNCTION("if(COUNTA(FILTER(C:C, C:C = C1213))=1,""no"",""yes"")"),"no")</f>
        <v>no</v>
      </c>
    </row>
    <row r="1214">
      <c r="A1214" s="1" t="s">
        <v>960</v>
      </c>
      <c r="B1214" s="2">
        <v>1.0</v>
      </c>
      <c r="C1214" s="19" t="s">
        <v>1920</v>
      </c>
      <c r="E1214" s="24">
        <f>IFERROR(__xludf.DUMMYFUNCTION("ifna(IFNA(filter('2.1.clean'!C:C,'2.1.clean'!A:A=C1214),filter('2.2.clean'!E:E,'2.2.clean'!D:D=C1214)),filter('2.4.clean'!C:C,'2.4.clean'!A:A=C1214))"),43822.0)</f>
        <v>43822</v>
      </c>
      <c r="F1214" s="25">
        <f>IFERROR(__xludf.DUMMYFUNCTION("iferror(ifna(IFNA(filter('2.1.clean'!E:E,'2.1.clean'!A:A=C1214),filter('2.2.clean'!G:G,'2.2.clean'!D:D=C1214)),filter('2.4.clean'!E:E,'2.4.clean'!A:A=C1214)),)"),2.39999999999999)</f>
        <v>2.4</v>
      </c>
      <c r="G1214" s="24" t="str">
        <f>IFERROR(__xludf.DUMMYFUNCTION("iferror(filter('3.1.clean'!C:C,'3.1.clean'!A:A=C1214),"""")"),"")</f>
        <v/>
      </c>
      <c r="H1214" s="23" t="b">
        <f t="shared" ref="H1214:H1215" si="990">if(G1214="",FALSE,TRUE)</f>
        <v>0</v>
      </c>
      <c r="J1214" s="25"/>
      <c r="K1214" s="24">
        <f>IFERROR(__xludf.DUMMYFUNCTION("iferror(filter('3.2.clean'!C:C,'3.2.clean'!A:A=C1214),"""")"),43830.0)</f>
        <v>43830</v>
      </c>
      <c r="L1214" s="25" t="b">
        <f>if(K1214="",FALSE,TRUE)</f>
        <v>1</v>
      </c>
      <c r="M1214" s="24">
        <f>IFERROR(__xludf.DUMMYFUNCTION("iferror(filter('3.3.clean'!C:C,'3.3.clean'!A:A=C1214),"""")"),43823.0)</f>
        <v>43823</v>
      </c>
      <c r="N1214" s="25" t="b">
        <f t="shared" si="964"/>
        <v>1</v>
      </c>
      <c r="O1214" s="24">
        <f>IFERROR(__xludf.DUMMYFUNCTION("iferror(filter('3.4.clean'!C:C,'3.4.clean'!A:A=C1214),"""")"),43826.0)</f>
        <v>43826</v>
      </c>
      <c r="P1214" s="25" t="b">
        <f t="shared" si="965"/>
        <v>1</v>
      </c>
      <c r="Q1214" s="24">
        <f>IFERROR(__xludf.DUMMYFUNCTION("iferror(filter('3.5.clean'!C:C,'3.5.clean'!A:A=C1214),"""")"),43822.0)</f>
        <v>43822</v>
      </c>
      <c r="R1214" s="23" t="b">
        <f t="shared" si="989"/>
        <v>1</v>
      </c>
      <c r="S1214" s="25"/>
      <c r="V1214" s="1" t="s">
        <v>64</v>
      </c>
      <c r="X1214" s="23" t="str">
        <f>IFERROR(__xludf.DUMMYFUNCTION("if(COUNTA(FILTER(C:C, C:C = C1214))=1,""no"",""yes"")"),"no")</f>
        <v>no</v>
      </c>
    </row>
    <row r="1215">
      <c r="A1215" s="1" t="s">
        <v>960</v>
      </c>
      <c r="B1215" s="2">
        <v>2.0</v>
      </c>
      <c r="C1215" s="19" t="s">
        <v>1921</v>
      </c>
      <c r="D1215" s="58" t="str">
        <f t="shared" ref="D1215:D1216" si="991">if(or(I1215=1,J1215=1,S1215=1),"pos","")</f>
        <v/>
      </c>
      <c r="E1215" s="59">
        <f>IFERROR(__xludf.DUMMYFUNCTION("ifna(IFNA(filter('2.1.clean'!C:C,'2.1.clean'!A:A=C1215),filter('2.2.clean'!E:E,'2.2.clean'!D:D=C1215)),filter('2.4.clean'!C:C,'2.4.clean'!A:A=C1215))"),43822.0)</f>
        <v>43822</v>
      </c>
      <c r="F1215" s="60">
        <f>IFERROR(__xludf.DUMMYFUNCTION("iferror(ifna(IFNA(filter('2.1.clean'!E:E,'2.1.clean'!A:A=C1215),filter('2.2.clean'!G:G,'2.2.clean'!D:D=C1215)),filter('2.4.clean'!E:E,'2.4.clean'!A:A=C1215)),)"),2.39999999999999)</f>
        <v>2.4</v>
      </c>
      <c r="G1215" s="59" t="str">
        <f>IFERROR(__xludf.DUMMYFUNCTION("iferror(filter('3.1.clean'!C:C,'3.1.clean'!A:A=C1215),"""")"),"")</f>
        <v/>
      </c>
      <c r="H1215" s="58" t="b">
        <f t="shared" si="990"/>
        <v>0</v>
      </c>
      <c r="I1215" s="58" t="str">
        <f>IFERROR(__xludf.DUMMYFUNCTION("iferror(filter('3.1.clean'!G:G,'3.1.clean'!A:A=C1215),"""")"),"")</f>
        <v/>
      </c>
      <c r="J1215" s="60" t="str">
        <f>IFERROR(__xludf.DUMMYFUNCTION("iferror(filter('3.1.clean'!I:I,'3.1.clean'!A:A=C1215),"""")"),"")</f>
        <v/>
      </c>
      <c r="K1215" s="58"/>
      <c r="L1215" s="60"/>
      <c r="M1215" s="59" t="str">
        <f>IFERROR(__xludf.DUMMYFUNCTION("iferror(filter('3.3.clean'!C:C,'3.3.clean'!A:A=C1215),"""")"),"")</f>
        <v/>
      </c>
      <c r="N1215" s="60" t="b">
        <f t="shared" si="964"/>
        <v>0</v>
      </c>
      <c r="O1215" s="59" t="str">
        <f>IFERROR(__xludf.DUMMYFUNCTION("iferror(filter('3.4.clean'!C:C,'3.4.clean'!A:A=C1215),"""")"),"")</f>
        <v/>
      </c>
      <c r="P1215" s="60" t="b">
        <f t="shared" si="965"/>
        <v>0</v>
      </c>
      <c r="Q1215" s="59" t="str">
        <f>IFERROR(__xludf.DUMMYFUNCTION("iferror(filter('3.5.clean'!C:C,'3.5.clean'!A:A=C1215),"""")"),"")</f>
        <v/>
      </c>
      <c r="R1215" s="58"/>
      <c r="S1215" s="4" t="str">
        <f>IFERROR(__xludf.DUMMYFUNCTION("iferror(filter('3.5.clean'!H:H,'3.5.clean'!A:A=C1215),"""")"),"")</f>
        <v/>
      </c>
      <c r="W1215" s="23" t="b">
        <f>if(AND(H1215=TRUE,N1215=TRUE,P1215=TRUE),TRUE,FALSE)</f>
        <v>0</v>
      </c>
      <c r="X1215" s="23" t="str">
        <f>IFERROR(__xludf.DUMMYFUNCTION("if(COUNTA(FILTER(C:C, C:C = C1215))=1,""no"",""yes"")"),"no")</f>
        <v>no</v>
      </c>
    </row>
    <row r="1216">
      <c r="A1216" s="1" t="s">
        <v>960</v>
      </c>
      <c r="B1216" s="2">
        <v>3.0</v>
      </c>
      <c r="C1216" s="40" t="s">
        <v>1922</v>
      </c>
      <c r="D1216" s="58" t="str">
        <f t="shared" si="991"/>
        <v/>
      </c>
      <c r="E1216" s="59">
        <f>Q1216</f>
        <v>43822</v>
      </c>
      <c r="F1216" s="60" t="str">
        <f>IFERROR(__xludf.DUMMYFUNCTION("iferror(ifna(IFNA(filter('2.1.clean'!E:E,'2.1.clean'!A:A=C1216),filter('2.2.clean'!G:G,'2.2.clean'!D:D=C1216)),filter('2.4.clean'!E:E,'2.4.clean'!A:A=C1216)),)"),"")</f>
        <v/>
      </c>
      <c r="G1216" s="59" t="str">
        <f>IFERROR(__xludf.DUMMYFUNCTION("iferror(filter('3.1.clean'!C:C,'3.1.clean'!A:A=C1216),"""")"),"")</f>
        <v/>
      </c>
      <c r="H1216" s="58"/>
      <c r="I1216" s="58" t="str">
        <f>IFERROR(__xludf.DUMMYFUNCTION("iferror(filter('3.1.clean'!G:G,'3.1.clean'!A:A=C1216),"""")"),"")</f>
        <v/>
      </c>
      <c r="J1216" s="60" t="str">
        <f>IFERROR(__xludf.DUMMYFUNCTION("iferror(filter('3.1.clean'!I:I,'3.1.clean'!A:A=C1216),"""")"),"")</f>
        <v/>
      </c>
      <c r="K1216" s="59"/>
      <c r="L1216" s="60"/>
      <c r="M1216" s="59" t="str">
        <f>IFERROR(__xludf.DUMMYFUNCTION("iferror(filter('3.3.clean'!C:C,'3.3.clean'!A:A=C1216),"""")"),"")</f>
        <v/>
      </c>
      <c r="N1216" s="60" t="b">
        <f t="shared" si="964"/>
        <v>0</v>
      </c>
      <c r="O1216" s="59" t="str">
        <f>IFERROR(__xludf.DUMMYFUNCTION("iferror(filter('3.4.clean'!C:C,'3.4.clean'!A:A=C1216),"""")"),"")</f>
        <v/>
      </c>
      <c r="P1216" s="60" t="b">
        <f t="shared" si="965"/>
        <v>0</v>
      </c>
      <c r="Q1216" s="59">
        <f>IFERROR(__xludf.DUMMYFUNCTION("iferror(filter('3.5.clean'!C:C,'3.5.clean'!A:A=C1216),"""")"),43822.0)</f>
        <v>43822</v>
      </c>
      <c r="R1216" s="58" t="b">
        <f t="shared" ref="R1216:R1217" si="992">if(Q1216="",FALSE,TRUE)</f>
        <v>1</v>
      </c>
      <c r="S1216" s="4">
        <f>IFERROR(__xludf.DUMMYFUNCTION("iferror(filter('3.5.clean'!H:H,'3.5.clean'!A:A=C1216),"""")"),0.0)</f>
        <v>0</v>
      </c>
      <c r="V1216" s="52" t="s">
        <v>64</v>
      </c>
      <c r="W1216" s="23" t="b">
        <f>if(AND(R1216=TRUE,N1216=TRUE,P1216=TRUE),TRUE,FALSE)</f>
        <v>0</v>
      </c>
      <c r="X1216" s="23" t="str">
        <f>IFERROR(__xludf.DUMMYFUNCTION("if(COUNTA(FILTER(C:C, C:C = C1216))=1,""no"",""yes"")"),"no")</f>
        <v>no</v>
      </c>
    </row>
    <row r="1217">
      <c r="A1217" s="1" t="s">
        <v>960</v>
      </c>
      <c r="B1217" s="2">
        <v>4.0</v>
      </c>
      <c r="C1217" s="19" t="s">
        <v>1923</v>
      </c>
      <c r="E1217" s="24">
        <f>IFERROR(__xludf.DUMMYFUNCTION("ifna(IFNA(filter('2.1.clean'!C:C,'2.1.clean'!A:A=C1217),filter('2.2.clean'!E:E,'2.2.clean'!D:D=C1217)),filter('2.4.clean'!C:C,'2.4.clean'!A:A=C1217))"),43822.0)</f>
        <v>43822</v>
      </c>
      <c r="F1217" s="25">
        <f>IFERROR(__xludf.DUMMYFUNCTION("iferror(ifna(IFNA(filter('2.1.clean'!E:E,'2.1.clean'!A:A=C1217),filter('2.2.clean'!G:G,'2.2.clean'!D:D=C1217)),filter('2.4.clean'!E:E,'2.4.clean'!A:A=C1217)),)"),2.39999999999999)</f>
        <v>2.4</v>
      </c>
      <c r="G1217" s="24" t="str">
        <f>IFERROR(__xludf.DUMMYFUNCTION("iferror(filter('3.1.clean'!C:C,'3.1.clean'!A:A=C1217),"""")"),"")</f>
        <v/>
      </c>
      <c r="H1217" s="23" t="b">
        <f t="shared" ref="H1217:H1218" si="993">if(G1217="",FALSE,TRUE)</f>
        <v>0</v>
      </c>
      <c r="J1217" s="25"/>
      <c r="K1217" s="24">
        <f>IFERROR(__xludf.DUMMYFUNCTION("iferror(filter('3.2.clean'!C:C,'3.2.clean'!A:A=C1217),"""")"),43830.0)</f>
        <v>43830</v>
      </c>
      <c r="L1217" s="25" t="b">
        <f>if(K1217="",FALSE,TRUE)</f>
        <v>1</v>
      </c>
      <c r="M1217" s="24">
        <f>IFERROR(__xludf.DUMMYFUNCTION("iferror(filter('3.3.clean'!C:C,'3.3.clean'!A:A=C1217),"""")"),43823.0)</f>
        <v>43823</v>
      </c>
      <c r="N1217" s="25" t="b">
        <f t="shared" si="964"/>
        <v>1</v>
      </c>
      <c r="O1217" s="24">
        <f>IFERROR(__xludf.DUMMYFUNCTION("iferror(filter('3.4.clean'!C:C,'3.4.clean'!A:A=C1217),"""")"),43826.0)</f>
        <v>43826</v>
      </c>
      <c r="P1217" s="25" t="b">
        <f t="shared" si="965"/>
        <v>1</v>
      </c>
      <c r="Q1217" s="24">
        <f>IFERROR(__xludf.DUMMYFUNCTION("iferror(filter('3.5.clean'!C:C,'3.5.clean'!A:A=C1217),"""")"),43822.0)</f>
        <v>43822</v>
      </c>
      <c r="R1217" s="23" t="b">
        <f t="shared" si="992"/>
        <v>1</v>
      </c>
      <c r="S1217" s="25"/>
      <c r="V1217" s="1" t="s">
        <v>64</v>
      </c>
      <c r="X1217" s="23" t="str">
        <f>IFERROR(__xludf.DUMMYFUNCTION("if(COUNTA(FILTER(C:C, C:C = C1217))=1,""no"",""yes"")"),"no")</f>
        <v>no</v>
      </c>
    </row>
    <row r="1218">
      <c r="A1218" s="1" t="s">
        <v>960</v>
      </c>
      <c r="B1218" s="2">
        <v>5.0</v>
      </c>
      <c r="C1218" s="19" t="s">
        <v>1924</v>
      </c>
      <c r="D1218" s="58" t="str">
        <f t="shared" ref="D1218:D1219" si="994">if(or(I1218=1,J1218=1,S1218=1),"pos","")</f>
        <v/>
      </c>
      <c r="E1218" s="59">
        <f>IFERROR(__xludf.DUMMYFUNCTION("ifna(IFNA(filter('2.1.clean'!C:C,'2.1.clean'!A:A=C1218),filter('2.2.clean'!E:E,'2.2.clean'!D:D=C1218)),filter('2.4.clean'!C:C,'2.4.clean'!A:A=C1218))"),43822.0)</f>
        <v>43822</v>
      </c>
      <c r="F1218" s="60">
        <f>IFERROR(__xludf.DUMMYFUNCTION("iferror(ifna(IFNA(filter('2.1.clean'!E:E,'2.1.clean'!A:A=C1218),filter('2.2.clean'!G:G,'2.2.clean'!D:D=C1218)),filter('2.4.clean'!E:E,'2.4.clean'!A:A=C1218)),)"),2.39999999999999)</f>
        <v>2.4</v>
      </c>
      <c r="G1218" s="59" t="str">
        <f>IFERROR(__xludf.DUMMYFUNCTION("iferror(filter('3.1.clean'!C:C,'3.1.clean'!A:A=C1218),"""")"),"")</f>
        <v/>
      </c>
      <c r="H1218" s="58" t="b">
        <f t="shared" si="993"/>
        <v>0</v>
      </c>
      <c r="I1218" s="58" t="str">
        <f>IFERROR(__xludf.DUMMYFUNCTION("iferror(filter('3.1.clean'!G:G,'3.1.clean'!A:A=C1218),"""")"),"")</f>
        <v/>
      </c>
      <c r="J1218" s="60" t="str">
        <f>IFERROR(__xludf.DUMMYFUNCTION("iferror(filter('3.1.clean'!I:I,'3.1.clean'!A:A=C1218),"""")"),"")</f>
        <v/>
      </c>
      <c r="K1218" s="58"/>
      <c r="L1218" s="60"/>
      <c r="M1218" s="59">
        <f>IFERROR(__xludf.DUMMYFUNCTION("iferror(filter('3.3.clean'!C:C,'3.3.clean'!A:A=C1218),"""")"),43823.0)</f>
        <v>43823</v>
      </c>
      <c r="N1218" s="60" t="b">
        <f t="shared" si="964"/>
        <v>1</v>
      </c>
      <c r="O1218" s="59" t="str">
        <f>IFERROR(__xludf.DUMMYFUNCTION("iferror(filter('3.4.clean'!C:C,'3.4.clean'!A:A=C1218),"""")"),"")</f>
        <v/>
      </c>
      <c r="P1218" s="60" t="b">
        <f t="shared" si="965"/>
        <v>0</v>
      </c>
      <c r="Q1218" s="59" t="str">
        <f>IFERROR(__xludf.DUMMYFUNCTION("iferror(filter('3.5.clean'!C:C,'3.5.clean'!A:A=C1218),"""")"),"")</f>
        <v/>
      </c>
      <c r="R1218" s="58"/>
      <c r="S1218" s="4" t="str">
        <f>IFERROR(__xludf.DUMMYFUNCTION("iferror(filter('3.5.clean'!H:H,'3.5.clean'!A:A=C1218),"""")"),"")</f>
        <v/>
      </c>
      <c r="W1218" s="23" t="b">
        <f>if(AND(H1218=TRUE,N1218=TRUE,P1218=TRUE),TRUE,FALSE)</f>
        <v>0</v>
      </c>
      <c r="X1218" s="23" t="str">
        <f>IFERROR(__xludf.DUMMYFUNCTION("if(COUNTA(FILTER(C:C, C:C = C1218))=1,""no"",""yes"")"),"no")</f>
        <v>no</v>
      </c>
    </row>
    <row r="1219">
      <c r="A1219" s="1" t="s">
        <v>960</v>
      </c>
      <c r="B1219" s="2">
        <v>6.0</v>
      </c>
      <c r="C1219" s="40" t="s">
        <v>1925</v>
      </c>
      <c r="D1219" s="58" t="str">
        <f t="shared" si="994"/>
        <v/>
      </c>
      <c r="E1219" s="59">
        <f>Q1219</f>
        <v>43822</v>
      </c>
      <c r="F1219" s="60" t="str">
        <f>IFERROR(__xludf.DUMMYFUNCTION("iferror(ifna(IFNA(filter('2.1.clean'!E:E,'2.1.clean'!A:A=C1219),filter('2.2.clean'!G:G,'2.2.clean'!D:D=C1219)),filter('2.4.clean'!E:E,'2.4.clean'!A:A=C1219)),)"),"")</f>
        <v/>
      </c>
      <c r="G1219" s="59" t="str">
        <f>IFERROR(__xludf.DUMMYFUNCTION("iferror(filter('3.1.clean'!C:C,'3.1.clean'!A:A=C1219),"""")"),"")</f>
        <v/>
      </c>
      <c r="H1219" s="58"/>
      <c r="I1219" s="58" t="str">
        <f>IFERROR(__xludf.DUMMYFUNCTION("iferror(filter('3.1.clean'!G:G,'3.1.clean'!A:A=C1219),"""")"),"")</f>
        <v/>
      </c>
      <c r="J1219" s="60" t="str">
        <f>IFERROR(__xludf.DUMMYFUNCTION("iferror(filter('3.1.clean'!I:I,'3.1.clean'!A:A=C1219),"""")"),"")</f>
        <v/>
      </c>
      <c r="K1219" s="59"/>
      <c r="L1219" s="60"/>
      <c r="M1219" s="59" t="str">
        <f>IFERROR(__xludf.DUMMYFUNCTION("iferror(filter('3.3.clean'!C:C,'3.3.clean'!A:A=C1219),"""")"),"")</f>
        <v/>
      </c>
      <c r="N1219" s="60" t="b">
        <f t="shared" si="964"/>
        <v>0</v>
      </c>
      <c r="O1219" s="59">
        <f>IFERROR(__xludf.DUMMYFUNCTION("iferror(filter('3.4.clean'!C:C,'3.4.clean'!A:A=C1219),"""")"),43826.0)</f>
        <v>43826</v>
      </c>
      <c r="P1219" s="60" t="b">
        <f t="shared" si="965"/>
        <v>1</v>
      </c>
      <c r="Q1219" s="59">
        <f>IFERROR(__xludf.DUMMYFUNCTION("iferror(filter('3.5.clean'!C:C,'3.5.clean'!A:A=C1219),"""")"),43822.0)</f>
        <v>43822</v>
      </c>
      <c r="R1219" s="58" t="b">
        <f t="shared" ref="R1219:R1220" si="995">if(Q1219="",FALSE,TRUE)</f>
        <v>1</v>
      </c>
      <c r="S1219" s="4">
        <f>IFERROR(__xludf.DUMMYFUNCTION("iferror(filter('3.5.clean'!H:H,'3.5.clean'!A:A=C1219),"""")"),0.0)</f>
        <v>0</v>
      </c>
      <c r="V1219" s="52" t="s">
        <v>64</v>
      </c>
      <c r="W1219" s="23" t="b">
        <f>if(AND(R1219=TRUE,N1219=TRUE,P1219=TRUE),TRUE,FALSE)</f>
        <v>0</v>
      </c>
      <c r="X1219" s="23" t="str">
        <f>IFERROR(__xludf.DUMMYFUNCTION("if(COUNTA(FILTER(C:C, C:C = C1219))=1,""no"",""yes"")"),"no")</f>
        <v>no</v>
      </c>
    </row>
    <row r="1220">
      <c r="A1220" s="1" t="s">
        <v>960</v>
      </c>
      <c r="B1220" s="2">
        <v>7.0</v>
      </c>
      <c r="C1220" s="19" t="s">
        <v>1926</v>
      </c>
      <c r="E1220" s="24">
        <f>IFERROR(__xludf.DUMMYFUNCTION("ifna(IFNA(filter('2.1.clean'!C:C,'2.1.clean'!A:A=C1220),filter('2.2.clean'!E:E,'2.2.clean'!D:D=C1220)),filter('2.4.clean'!C:C,'2.4.clean'!A:A=C1220))"),43822.0)</f>
        <v>43822</v>
      </c>
      <c r="F1220" s="25">
        <f>IFERROR(__xludf.DUMMYFUNCTION("iferror(ifna(IFNA(filter('2.1.clean'!E:E,'2.1.clean'!A:A=C1220),filter('2.2.clean'!G:G,'2.2.clean'!D:D=C1220)),filter('2.4.clean'!E:E,'2.4.clean'!A:A=C1220)),)"),2.39999999999999)</f>
        <v>2.4</v>
      </c>
      <c r="G1220" s="24" t="str">
        <f>IFERROR(__xludf.DUMMYFUNCTION("iferror(filter('3.1.clean'!C:C,'3.1.clean'!A:A=C1220),"""")"),"")</f>
        <v/>
      </c>
      <c r="H1220" s="23" t="b">
        <f t="shared" ref="H1220:H1221" si="996">if(G1220="",FALSE,TRUE)</f>
        <v>0</v>
      </c>
      <c r="J1220" s="25"/>
      <c r="K1220" s="24">
        <f>IFERROR(__xludf.DUMMYFUNCTION("iferror(filter('3.2.clean'!C:C,'3.2.clean'!A:A=C1220),"""")"),43830.0)</f>
        <v>43830</v>
      </c>
      <c r="L1220" s="25" t="b">
        <f>if(K1220="",FALSE,TRUE)</f>
        <v>1</v>
      </c>
      <c r="M1220" s="24">
        <f>IFERROR(__xludf.DUMMYFUNCTION("iferror(filter('3.3.clean'!C:C,'3.3.clean'!A:A=C1220),"""")"),43823.0)</f>
        <v>43823</v>
      </c>
      <c r="N1220" s="25" t="b">
        <f t="shared" si="964"/>
        <v>1</v>
      </c>
      <c r="O1220" s="24">
        <f>IFERROR(__xludf.DUMMYFUNCTION("iferror(filter('3.4.clean'!C:C,'3.4.clean'!A:A=C1220),"""")"),43826.0)</f>
        <v>43826</v>
      </c>
      <c r="P1220" s="25" t="b">
        <f t="shared" si="965"/>
        <v>1</v>
      </c>
      <c r="Q1220" s="24">
        <f>IFERROR(__xludf.DUMMYFUNCTION("iferror(filter('3.5.clean'!C:C,'3.5.clean'!A:A=C1220),"""")"),43822.0)</f>
        <v>43822</v>
      </c>
      <c r="R1220" s="23" t="b">
        <f t="shared" si="995"/>
        <v>1</v>
      </c>
      <c r="S1220" s="25"/>
      <c r="V1220" s="1" t="s">
        <v>64</v>
      </c>
      <c r="X1220" s="23" t="str">
        <f>IFERROR(__xludf.DUMMYFUNCTION("if(COUNTA(FILTER(C:C, C:C = C1220))=1,""no"",""yes"")"),"no")</f>
        <v>no</v>
      </c>
    </row>
    <row r="1221">
      <c r="A1221" s="1" t="s">
        <v>960</v>
      </c>
      <c r="B1221" s="2">
        <v>8.0</v>
      </c>
      <c r="C1221" s="19" t="s">
        <v>1927</v>
      </c>
      <c r="D1221" s="58" t="str">
        <f t="shared" ref="D1221:D1222" si="997">if(or(I1221=1,J1221=1,S1221=1),"pos","")</f>
        <v/>
      </c>
      <c r="E1221" s="59">
        <f>IFERROR(__xludf.DUMMYFUNCTION("ifna(IFNA(filter('2.1.clean'!C:C,'2.1.clean'!A:A=C1221),filter('2.2.clean'!E:E,'2.2.clean'!D:D=C1221)),filter('2.4.clean'!C:C,'2.4.clean'!A:A=C1221))"),43822.0)</f>
        <v>43822</v>
      </c>
      <c r="F1221" s="60">
        <f>IFERROR(__xludf.DUMMYFUNCTION("iferror(ifna(IFNA(filter('2.1.clean'!E:E,'2.1.clean'!A:A=C1221),filter('2.2.clean'!G:G,'2.2.clean'!D:D=C1221)),filter('2.4.clean'!E:E,'2.4.clean'!A:A=C1221)),)"),2.39999999999999)</f>
        <v>2.4</v>
      </c>
      <c r="G1221" s="59" t="str">
        <f>IFERROR(__xludf.DUMMYFUNCTION("iferror(filter('3.1.clean'!C:C,'3.1.clean'!A:A=C1221),"""")"),"")</f>
        <v/>
      </c>
      <c r="H1221" s="58" t="b">
        <f t="shared" si="996"/>
        <v>0</v>
      </c>
      <c r="I1221" s="58" t="str">
        <f>IFERROR(__xludf.DUMMYFUNCTION("iferror(filter('3.1.clean'!G:G,'3.1.clean'!A:A=C1221),"""")"),"")</f>
        <v/>
      </c>
      <c r="J1221" s="60" t="str">
        <f>IFERROR(__xludf.DUMMYFUNCTION("iferror(filter('3.1.clean'!I:I,'3.1.clean'!A:A=C1221),"""")"),"")</f>
        <v/>
      </c>
      <c r="K1221" s="58"/>
      <c r="L1221" s="60"/>
      <c r="M1221" s="59" t="str">
        <f>IFERROR(__xludf.DUMMYFUNCTION("iferror(filter('3.3.clean'!C:C,'3.3.clean'!A:A=C1221),"""")"),"")</f>
        <v/>
      </c>
      <c r="N1221" s="60" t="b">
        <f t="shared" si="964"/>
        <v>0</v>
      </c>
      <c r="O1221" s="59" t="str">
        <f>IFERROR(__xludf.DUMMYFUNCTION("iferror(filter('3.4.clean'!C:C,'3.4.clean'!A:A=C1221),"""")"),"")</f>
        <v/>
      </c>
      <c r="P1221" s="60" t="b">
        <f t="shared" si="965"/>
        <v>0</v>
      </c>
      <c r="Q1221" s="59" t="str">
        <f>IFERROR(__xludf.DUMMYFUNCTION("iferror(filter('3.5.clean'!C:C,'3.5.clean'!A:A=C1221),"""")"),"")</f>
        <v/>
      </c>
      <c r="R1221" s="58"/>
      <c r="S1221" s="4" t="str">
        <f>IFERROR(__xludf.DUMMYFUNCTION("iferror(filter('3.5.clean'!H:H,'3.5.clean'!A:A=C1221),"""")"),"")</f>
        <v/>
      </c>
      <c r="W1221" s="23" t="b">
        <f>if(AND(H1221=TRUE,N1221=TRUE,P1221=TRUE),TRUE,FALSE)</f>
        <v>0</v>
      </c>
      <c r="X1221" s="23" t="str">
        <f>IFERROR(__xludf.DUMMYFUNCTION("if(COUNTA(FILTER(C:C, C:C = C1221))=1,""no"",""yes"")"),"no")</f>
        <v>no</v>
      </c>
    </row>
    <row r="1222">
      <c r="A1222" s="1" t="s">
        <v>960</v>
      </c>
      <c r="B1222" s="2">
        <v>9.0</v>
      </c>
      <c r="C1222" s="40" t="s">
        <v>1928</v>
      </c>
      <c r="D1222" s="58" t="str">
        <f t="shared" si="997"/>
        <v/>
      </c>
      <c r="E1222" s="59">
        <f>Q1222</f>
        <v>43822</v>
      </c>
      <c r="F1222" s="60" t="str">
        <f>IFERROR(__xludf.DUMMYFUNCTION("iferror(ifna(IFNA(filter('2.1.clean'!E:E,'2.1.clean'!A:A=C1222),filter('2.2.clean'!G:G,'2.2.clean'!D:D=C1222)),filter('2.4.clean'!E:E,'2.4.clean'!A:A=C1222)),)"),"")</f>
        <v/>
      </c>
      <c r="G1222" s="59" t="str">
        <f>IFERROR(__xludf.DUMMYFUNCTION("iferror(filter('3.1.clean'!C:C,'3.1.clean'!A:A=C1222),"""")"),"")</f>
        <v/>
      </c>
      <c r="H1222" s="58"/>
      <c r="I1222" s="58" t="str">
        <f>IFERROR(__xludf.DUMMYFUNCTION("iferror(filter('3.1.clean'!G:G,'3.1.clean'!A:A=C1222),"""")"),"")</f>
        <v/>
      </c>
      <c r="J1222" s="60" t="str">
        <f>IFERROR(__xludf.DUMMYFUNCTION("iferror(filter('3.1.clean'!I:I,'3.1.clean'!A:A=C1222),"""")"),"")</f>
        <v/>
      </c>
      <c r="K1222" s="59"/>
      <c r="L1222" s="60"/>
      <c r="M1222" s="59" t="str">
        <f>IFERROR(__xludf.DUMMYFUNCTION("iferror(filter('3.3.clean'!C:C,'3.3.clean'!A:A=C1222),"""")"),"")</f>
        <v/>
      </c>
      <c r="N1222" s="60" t="b">
        <f t="shared" si="964"/>
        <v>0</v>
      </c>
      <c r="O1222" s="59" t="str">
        <f>IFERROR(__xludf.DUMMYFUNCTION("iferror(filter('3.4.clean'!C:C,'3.4.clean'!A:A=C1222),"""")"),"")</f>
        <v/>
      </c>
      <c r="P1222" s="60" t="b">
        <f t="shared" si="965"/>
        <v>0</v>
      </c>
      <c r="Q1222" s="59">
        <f>IFERROR(__xludf.DUMMYFUNCTION("iferror(filter('3.5.clean'!C:C,'3.5.clean'!A:A=C1222),"""")"),43822.0)</f>
        <v>43822</v>
      </c>
      <c r="R1222" s="58" t="b">
        <f t="shared" ref="R1222:R1223" si="998">if(Q1222="",FALSE,TRUE)</f>
        <v>1</v>
      </c>
      <c r="S1222" s="4">
        <f>IFERROR(__xludf.DUMMYFUNCTION("iferror(filter('3.5.clean'!H:H,'3.5.clean'!A:A=C1222),"""")"),0.0)</f>
        <v>0</v>
      </c>
      <c r="V1222" s="52" t="s">
        <v>64</v>
      </c>
      <c r="W1222" s="23" t="b">
        <f>if(AND(R1222=TRUE,N1222=TRUE,P1222=TRUE),TRUE,FALSE)</f>
        <v>0</v>
      </c>
      <c r="X1222" s="23" t="str">
        <f>IFERROR(__xludf.DUMMYFUNCTION("if(COUNTA(FILTER(C:C, C:C = C1222))=1,""no"",""yes"")"),"no")</f>
        <v>no</v>
      </c>
    </row>
    <row r="1223">
      <c r="A1223" s="1" t="s">
        <v>960</v>
      </c>
      <c r="B1223" s="2">
        <v>10.0</v>
      </c>
      <c r="C1223" s="19" t="s">
        <v>1929</v>
      </c>
      <c r="E1223" s="24">
        <f>IFERROR(__xludf.DUMMYFUNCTION("ifna(IFNA(filter('2.1.clean'!C:C,'2.1.clean'!A:A=C1223),filter('2.2.clean'!E:E,'2.2.clean'!D:D=C1223)),filter('2.4.clean'!C:C,'2.4.clean'!A:A=C1223))"),43822.0)</f>
        <v>43822</v>
      </c>
      <c r="F1223" s="25">
        <f>IFERROR(__xludf.DUMMYFUNCTION("iferror(ifna(IFNA(filter('2.1.clean'!E:E,'2.1.clean'!A:A=C1223),filter('2.2.clean'!G:G,'2.2.clean'!D:D=C1223)),filter('2.4.clean'!E:E,'2.4.clean'!A:A=C1223)),)"),2.39999999999999)</f>
        <v>2.4</v>
      </c>
      <c r="G1223" s="24" t="str">
        <f>IFERROR(__xludf.DUMMYFUNCTION("iferror(filter('3.1.clean'!C:C,'3.1.clean'!A:A=C1223),"""")"),"")</f>
        <v/>
      </c>
      <c r="H1223" s="23" t="b">
        <f t="shared" ref="H1223:H1224" si="999">if(G1223="",FALSE,TRUE)</f>
        <v>0</v>
      </c>
      <c r="J1223" s="25"/>
      <c r="K1223" s="24">
        <f>IFERROR(__xludf.DUMMYFUNCTION("iferror(filter('3.2.clean'!C:C,'3.2.clean'!A:A=C1223),"""")"),43830.0)</f>
        <v>43830</v>
      </c>
      <c r="L1223" s="25" t="b">
        <f>if(K1223="",FALSE,TRUE)</f>
        <v>1</v>
      </c>
      <c r="M1223" s="24">
        <f>IFERROR(__xludf.DUMMYFUNCTION("iferror(filter('3.3.clean'!C:C,'3.3.clean'!A:A=C1223),"""")"),43823.0)</f>
        <v>43823</v>
      </c>
      <c r="N1223" s="25" t="b">
        <f t="shared" si="964"/>
        <v>1</v>
      </c>
      <c r="O1223" s="24">
        <f>IFERROR(__xludf.DUMMYFUNCTION("iferror(filter('3.4.clean'!C:C,'3.4.clean'!A:A=C1223),"""")"),43826.0)</f>
        <v>43826</v>
      </c>
      <c r="P1223" s="25" t="b">
        <f t="shared" si="965"/>
        <v>1</v>
      </c>
      <c r="Q1223" s="24">
        <f>IFERROR(__xludf.DUMMYFUNCTION("iferror(filter('3.5.clean'!C:C,'3.5.clean'!A:A=C1223),"""")"),43822.0)</f>
        <v>43822</v>
      </c>
      <c r="R1223" s="23" t="b">
        <f t="shared" si="998"/>
        <v>1</v>
      </c>
      <c r="S1223" s="25"/>
      <c r="V1223" s="1" t="s">
        <v>64</v>
      </c>
      <c r="X1223" s="23" t="str">
        <f>IFERROR(__xludf.DUMMYFUNCTION("if(COUNTA(FILTER(C:C, C:C = C1223))=1,""no"",""yes"")"),"no")</f>
        <v>no</v>
      </c>
    </row>
    <row r="1224">
      <c r="A1224" s="1" t="s">
        <v>960</v>
      </c>
      <c r="B1224" s="2">
        <v>11.0</v>
      </c>
      <c r="C1224" s="19" t="s">
        <v>1930</v>
      </c>
      <c r="D1224" s="58" t="str">
        <f t="shared" ref="D1224:D1225" si="1000">if(or(I1224=1,J1224=1,S1224=1),"pos","")</f>
        <v/>
      </c>
      <c r="E1224" s="59">
        <f>IFERROR(__xludf.DUMMYFUNCTION("ifna(IFNA(filter('2.1.clean'!C:C,'2.1.clean'!A:A=C1224),filter('2.2.clean'!E:E,'2.2.clean'!D:D=C1224)),filter('2.4.clean'!C:C,'2.4.clean'!A:A=C1224))"),43822.0)</f>
        <v>43822</v>
      </c>
      <c r="F1224" s="60">
        <f>IFERROR(__xludf.DUMMYFUNCTION("iferror(ifna(IFNA(filter('2.1.clean'!E:E,'2.1.clean'!A:A=C1224),filter('2.2.clean'!G:G,'2.2.clean'!D:D=C1224)),filter('2.4.clean'!E:E,'2.4.clean'!A:A=C1224)),)"),2.39999999999999)</f>
        <v>2.4</v>
      </c>
      <c r="G1224" s="59" t="str">
        <f>IFERROR(__xludf.DUMMYFUNCTION("iferror(filter('3.1.clean'!C:C,'3.1.clean'!A:A=C1224),"""")"),"")</f>
        <v/>
      </c>
      <c r="H1224" s="58" t="b">
        <f t="shared" si="999"/>
        <v>0</v>
      </c>
      <c r="I1224" s="58" t="str">
        <f>IFERROR(__xludf.DUMMYFUNCTION("iferror(filter('3.1.clean'!G:G,'3.1.clean'!A:A=C1224),"""")"),"")</f>
        <v/>
      </c>
      <c r="J1224" s="60" t="str">
        <f>IFERROR(__xludf.DUMMYFUNCTION("iferror(filter('3.1.clean'!I:I,'3.1.clean'!A:A=C1224),"""")"),"")</f>
        <v/>
      </c>
      <c r="K1224" s="58"/>
      <c r="L1224" s="60"/>
      <c r="M1224" s="59" t="str">
        <f>IFERROR(__xludf.DUMMYFUNCTION("iferror(filter('3.3.clean'!C:C,'3.3.clean'!A:A=C1224),"""")"),"")</f>
        <v/>
      </c>
      <c r="N1224" s="60" t="b">
        <f t="shared" si="964"/>
        <v>0</v>
      </c>
      <c r="O1224" s="59" t="str">
        <f>IFERROR(__xludf.DUMMYFUNCTION("iferror(filter('3.4.clean'!C:C,'3.4.clean'!A:A=C1224),"""")"),"")</f>
        <v/>
      </c>
      <c r="P1224" s="60" t="b">
        <f t="shared" si="965"/>
        <v>0</v>
      </c>
      <c r="Q1224" s="59" t="str">
        <f>IFERROR(__xludf.DUMMYFUNCTION("iferror(filter('3.5.clean'!C:C,'3.5.clean'!A:A=C1224),"""")"),"")</f>
        <v/>
      </c>
      <c r="R1224" s="58"/>
      <c r="S1224" s="4" t="str">
        <f>IFERROR(__xludf.DUMMYFUNCTION("iferror(filter('3.5.clean'!H:H,'3.5.clean'!A:A=C1224),"""")"),"")</f>
        <v/>
      </c>
      <c r="W1224" s="23" t="b">
        <f>if(AND(H1224=TRUE,N1224=TRUE,P1224=TRUE),TRUE,FALSE)</f>
        <v>0</v>
      </c>
      <c r="X1224" s="23" t="str">
        <f>IFERROR(__xludf.DUMMYFUNCTION("if(COUNTA(FILTER(C:C, C:C = C1224))=1,""no"",""yes"")"),"no")</f>
        <v>no</v>
      </c>
    </row>
    <row r="1225">
      <c r="A1225" s="1" t="s">
        <v>960</v>
      </c>
      <c r="B1225" s="2">
        <v>12.0</v>
      </c>
      <c r="C1225" s="40" t="s">
        <v>1931</v>
      </c>
      <c r="D1225" s="58" t="str">
        <f t="shared" si="1000"/>
        <v/>
      </c>
      <c r="E1225" s="59">
        <f>Q1225</f>
        <v>43822</v>
      </c>
      <c r="F1225" s="60" t="str">
        <f>IFERROR(__xludf.DUMMYFUNCTION("iferror(ifna(IFNA(filter('2.1.clean'!E:E,'2.1.clean'!A:A=C1225),filter('2.2.clean'!G:G,'2.2.clean'!D:D=C1225)),filter('2.4.clean'!E:E,'2.4.clean'!A:A=C1225)),)"),"")</f>
        <v/>
      </c>
      <c r="G1225" s="59" t="str">
        <f>IFERROR(__xludf.DUMMYFUNCTION("iferror(filter('3.1.clean'!C:C,'3.1.clean'!A:A=C1225),"""")"),"")</f>
        <v/>
      </c>
      <c r="H1225" s="58"/>
      <c r="I1225" s="58" t="str">
        <f>IFERROR(__xludf.DUMMYFUNCTION("iferror(filter('3.1.clean'!G:G,'3.1.clean'!A:A=C1225),"""")"),"")</f>
        <v/>
      </c>
      <c r="J1225" s="60" t="str">
        <f>IFERROR(__xludf.DUMMYFUNCTION("iferror(filter('3.1.clean'!I:I,'3.1.clean'!A:A=C1225),"""")"),"")</f>
        <v/>
      </c>
      <c r="K1225" s="59"/>
      <c r="L1225" s="60"/>
      <c r="M1225" s="59" t="str">
        <f>IFERROR(__xludf.DUMMYFUNCTION("iferror(filter('3.3.clean'!C:C,'3.3.clean'!A:A=C1225),"""")"),"")</f>
        <v/>
      </c>
      <c r="N1225" s="60" t="b">
        <f t="shared" si="964"/>
        <v>0</v>
      </c>
      <c r="O1225" s="59" t="str">
        <f>IFERROR(__xludf.DUMMYFUNCTION("iferror(filter('3.4.clean'!C:C,'3.4.clean'!A:A=C1225),"""")"),"")</f>
        <v/>
      </c>
      <c r="P1225" s="60" t="b">
        <f t="shared" si="965"/>
        <v>0</v>
      </c>
      <c r="Q1225" s="59">
        <f>IFERROR(__xludf.DUMMYFUNCTION("iferror(filter('3.5.clean'!C:C,'3.5.clean'!A:A=C1225),"""")"),43822.0)</f>
        <v>43822</v>
      </c>
      <c r="R1225" s="58" t="b">
        <f>if(Q1225="",FALSE,TRUE)</f>
        <v>1</v>
      </c>
      <c r="S1225" s="4">
        <f>IFERROR(__xludf.DUMMYFUNCTION("iferror(filter('3.5.clean'!H:H,'3.5.clean'!A:A=C1225),"""")"),0.0)</f>
        <v>0</v>
      </c>
      <c r="V1225" s="52" t="s">
        <v>64</v>
      </c>
      <c r="W1225" s="23" t="b">
        <f>if(AND(R1225=TRUE,N1225=TRUE,P1225=TRUE),TRUE,FALSE)</f>
        <v>0</v>
      </c>
      <c r="X1225" s="23" t="str">
        <f>IFERROR(__xludf.DUMMYFUNCTION("if(COUNTA(FILTER(C:C, C:C = C1225))=1,""no"",""yes"")"),"no")</f>
        <v>no</v>
      </c>
    </row>
    <row r="1226">
      <c r="A1226" s="1" t="s">
        <v>960</v>
      </c>
      <c r="B1226" s="2">
        <v>14.0</v>
      </c>
      <c r="C1226" s="19" t="s">
        <v>1932</v>
      </c>
      <c r="E1226" s="24">
        <v>43822.0</v>
      </c>
      <c r="F1226" s="25" t="str">
        <f>IFERROR(__xludf.DUMMYFUNCTION("iferror(ifna(IFNA(filter('2.1.clean'!E:E,'2.1.clean'!A:A=C1226),filter('2.2.clean'!G:G,'2.2.clean'!D:D=C1226)),filter('2.4.clean'!E:E,'2.4.clean'!A:A=C1226)),)"),"")</f>
        <v/>
      </c>
      <c r="G1226" s="24" t="str">
        <f>IFERROR(__xludf.DUMMYFUNCTION("iferror(filter('3.1.clean'!C:C,'3.1.clean'!A:A=C1226),"""")"),"")</f>
        <v/>
      </c>
      <c r="J1226" s="25"/>
      <c r="K1226" s="24" t="str">
        <f>IFERROR(__xludf.DUMMYFUNCTION("iferror(filter('3.2.clean'!C:C,'3.2.clean'!A:A=C1226),"""")"),"")</f>
        <v/>
      </c>
      <c r="L1226" s="25"/>
      <c r="M1226" s="24">
        <f>IFERROR(__xludf.DUMMYFUNCTION("iferror(filter('3.3.clean'!C:C,'3.3.clean'!A:A=C1226),"""")"),43823.0)</f>
        <v>43823</v>
      </c>
      <c r="N1226" s="25" t="b">
        <f t="shared" si="964"/>
        <v>1</v>
      </c>
      <c r="O1226" s="24" t="str">
        <f>IFERROR(__xludf.DUMMYFUNCTION("iferror(filter('3.4.clean'!C:C,'3.4.clean'!A:A=C1226),"""")"),"")</f>
        <v/>
      </c>
      <c r="P1226" s="25" t="b">
        <f t="shared" si="965"/>
        <v>0</v>
      </c>
      <c r="Q1226" s="24" t="str">
        <f>IFERROR(__xludf.DUMMYFUNCTION("iferror(filter('3.5.clean'!C:C,'3.5.clean'!A:A=C1226),"""")"),"")</f>
        <v/>
      </c>
      <c r="S1226" s="25"/>
      <c r="V1226" s="52" t="s">
        <v>64</v>
      </c>
      <c r="X1226" s="23" t="str">
        <f>IFERROR(__xludf.DUMMYFUNCTION("if(COUNTA(FILTER(C:C, C:C = C1226))=1,""no"",""yes"")"),"no")</f>
        <v>no</v>
      </c>
    </row>
    <row r="1227">
      <c r="A1227" s="1" t="s">
        <v>960</v>
      </c>
      <c r="B1227" s="2">
        <v>15.0</v>
      </c>
      <c r="C1227" s="19" t="s">
        <v>1933</v>
      </c>
      <c r="D1227" s="22" t="str">
        <f>if(or(I1227=1,J1227=1,S1227=1),"pos","")</f>
        <v/>
      </c>
      <c r="E1227" s="20">
        <f>Q1227</f>
        <v>43822</v>
      </c>
      <c r="F1227" s="79" t="str">
        <f>IFERROR(__xludf.DUMMYFUNCTION("iferror(ifna(IFNA(filter('2.1.clean'!E:E,'2.1.clean'!A:A=C1227),filter('2.2.clean'!G:G,'2.2.clean'!D:D=C1227)),filter('2.4.clean'!E:E,'2.4.clean'!A:A=C1227)),)"),"")</f>
        <v/>
      </c>
      <c r="G1227" s="20" t="str">
        <f>IFERROR(__xludf.DUMMYFUNCTION("iferror(filter('3.1.clean'!C:C,'3.1.clean'!A:A=C1227),"""")"),"")</f>
        <v/>
      </c>
      <c r="H1227" s="22"/>
      <c r="I1227" s="22"/>
      <c r="J1227" s="79"/>
      <c r="K1227" s="20" t="str">
        <f>IFERROR(__xludf.DUMMYFUNCTION("iferror(filter('3.2.clean'!C:C,'3.2.clean'!A:A=C1227),"""")"),"")</f>
        <v/>
      </c>
      <c r="L1227" s="79"/>
      <c r="M1227" s="20" t="str">
        <f>IFERROR(__xludf.DUMMYFUNCTION("iferror(filter('3.3.clean'!C:C,'3.3.clean'!A:A=C1227),"""")"),"")</f>
        <v/>
      </c>
      <c r="N1227" s="79" t="b">
        <f t="shared" si="964"/>
        <v>0</v>
      </c>
      <c r="O1227" s="20" t="str">
        <f>IFERROR(__xludf.DUMMYFUNCTION("iferror(filter('3.4.clean'!C:C,'3.4.clean'!A:A=C1227),"""")"),"")</f>
        <v/>
      </c>
      <c r="P1227" s="79" t="b">
        <f t="shared" si="965"/>
        <v>0</v>
      </c>
      <c r="Q1227" s="20">
        <f>IFERROR(__xludf.DUMMYFUNCTION("iferror(filter('3.5.clean'!C:C,'3.5.clean'!A:A=C1227),"""")"),43822.0)</f>
        <v>43822</v>
      </c>
      <c r="R1227" s="22" t="b">
        <f t="shared" ref="R1227:R1228" si="1001">if(Q1227="",FALSE,TRUE)</f>
        <v>1</v>
      </c>
      <c r="S1227" s="4">
        <f>IFERROR(__xludf.DUMMYFUNCTION("iferror(filter('3.5.clean'!H:H,'3.5.clean'!A:A=C1227),"""")"),0.0)</f>
        <v>0</v>
      </c>
      <c r="V1227" s="1" t="s">
        <v>64</v>
      </c>
      <c r="W1227" s="23" t="b">
        <f>IF(and(R1227=TRUE,N1227=TRUE,P1227=TRUE),TRUE,FALSE)</f>
        <v>0</v>
      </c>
      <c r="X1227" s="23" t="str">
        <f>IFERROR(__xludf.DUMMYFUNCTION("if(COUNTA(FILTER(C:C, C:C = C1227))=1,""no"",""yes"")"),"no")</f>
        <v>no</v>
      </c>
    </row>
    <row r="1228">
      <c r="A1228" s="75" t="s">
        <v>963</v>
      </c>
      <c r="B1228" s="2">
        <v>1.0</v>
      </c>
      <c r="C1228" s="19" t="s">
        <v>1934</v>
      </c>
      <c r="E1228" s="24">
        <f>IFERROR(__xludf.DUMMYFUNCTION("ifna(IFNA(filter('2.1.clean'!C:C,'2.1.clean'!A:A=C1228),filter('2.2.clean'!E:E,'2.2.clean'!D:D=C1228)),filter('2.4.clean'!C:C,'2.4.clean'!A:A=C1228))"),43825.0)</f>
        <v>43825</v>
      </c>
      <c r="F1228" s="25">
        <f>IFERROR(__xludf.DUMMYFUNCTION("iferror(ifna(IFNA(filter('2.1.clean'!E:E,'2.1.clean'!A:A=C1228),filter('2.2.clean'!G:G,'2.2.clean'!D:D=C1228)),filter('2.4.clean'!E:E,'2.4.clean'!A:A=C1228)),)"),2.39999999999999)</f>
        <v>2.4</v>
      </c>
      <c r="G1228" s="24" t="str">
        <f>IFERROR(__xludf.DUMMYFUNCTION("iferror(filter('3.1.clean'!C:C,'3.1.clean'!A:A=C1228),"""")"),"")</f>
        <v/>
      </c>
      <c r="H1228" s="23" t="b">
        <f t="shared" ref="H1228:H1229" si="1002">if(G1228="",FALSE,TRUE)</f>
        <v>0</v>
      </c>
      <c r="J1228" s="25"/>
      <c r="K1228" s="24">
        <f>IFERROR(__xludf.DUMMYFUNCTION("iferror(filter('3.2.clean'!C:C,'3.2.clean'!A:A=C1228),"""")"),43830.0)</f>
        <v>43830</v>
      </c>
      <c r="L1228" s="25" t="b">
        <f>if(K1228="",FALSE,TRUE)</f>
        <v>1</v>
      </c>
      <c r="M1228" s="24">
        <f>IFERROR(__xludf.DUMMYFUNCTION("iferror(filter('3.3.clean'!C:C,'3.3.clean'!A:A=C1228),"""")"),43831.0)</f>
        <v>43831</v>
      </c>
      <c r="N1228" s="25" t="b">
        <f t="shared" si="964"/>
        <v>1</v>
      </c>
      <c r="O1228" s="24">
        <f>IFERROR(__xludf.DUMMYFUNCTION("iferror(filter('3.4.clean'!C:C,'3.4.clean'!A:A=C1228),"""")"),43831.0)</f>
        <v>43831</v>
      </c>
      <c r="P1228" s="25" t="b">
        <f t="shared" si="965"/>
        <v>1</v>
      </c>
      <c r="Q1228" s="24">
        <f>IFERROR(__xludf.DUMMYFUNCTION("iferror(filter('3.5.clean'!C:C,'3.5.clean'!A:A=C1228),"""")"),43825.0)</f>
        <v>43825</v>
      </c>
      <c r="R1228" s="23" t="b">
        <f t="shared" si="1001"/>
        <v>1</v>
      </c>
      <c r="S1228" s="25"/>
      <c r="V1228" s="1" t="s">
        <v>64</v>
      </c>
      <c r="X1228" s="23" t="str">
        <f>IFERROR(__xludf.DUMMYFUNCTION("if(COUNTA(FILTER(C:C, C:C = C1228))=1,""no"",""yes"")"),"no")</f>
        <v>no</v>
      </c>
    </row>
    <row r="1229">
      <c r="A1229" s="75" t="s">
        <v>963</v>
      </c>
      <c r="B1229" s="2">
        <v>2.0</v>
      </c>
      <c r="C1229" s="19" t="s">
        <v>1935</v>
      </c>
      <c r="D1229" s="58" t="str">
        <f t="shared" ref="D1229:D1230" si="1003">if(or(I1229=1,J1229=1,S1229=1),"pos","")</f>
        <v/>
      </c>
      <c r="E1229" s="59">
        <f>IFERROR(__xludf.DUMMYFUNCTION("ifna(IFNA(filter('2.1.clean'!C:C,'2.1.clean'!A:A=C1229),filter('2.2.clean'!E:E,'2.2.clean'!D:D=C1229)),filter('2.4.clean'!C:C,'2.4.clean'!A:A=C1229))"),43825.0)</f>
        <v>43825</v>
      </c>
      <c r="F1229" s="60">
        <f>IFERROR(__xludf.DUMMYFUNCTION("iferror(ifna(IFNA(filter('2.1.clean'!E:E,'2.1.clean'!A:A=C1229),filter('2.2.clean'!G:G,'2.2.clean'!D:D=C1229)),filter('2.4.clean'!E:E,'2.4.clean'!A:A=C1229)),)"),2.39999999999999)</f>
        <v>2.4</v>
      </c>
      <c r="G1229" s="59" t="str">
        <f>IFERROR(__xludf.DUMMYFUNCTION("iferror(filter('3.1.clean'!C:C,'3.1.clean'!A:A=C1229),"""")"),"")</f>
        <v/>
      </c>
      <c r="H1229" s="58" t="b">
        <f t="shared" si="1002"/>
        <v>0</v>
      </c>
      <c r="I1229" s="58" t="str">
        <f>IFERROR(__xludf.DUMMYFUNCTION("iferror(filter('3.1.clean'!G:G,'3.1.clean'!A:A=C1229),"""")"),"")</f>
        <v/>
      </c>
      <c r="J1229" s="60" t="str">
        <f>IFERROR(__xludf.DUMMYFUNCTION("iferror(filter('3.1.clean'!I:I,'3.1.clean'!A:A=C1229),"""")"),"")</f>
        <v/>
      </c>
      <c r="K1229" s="58"/>
      <c r="L1229" s="60"/>
      <c r="M1229" s="59" t="str">
        <f>IFERROR(__xludf.DUMMYFUNCTION("iferror(filter('3.3.clean'!C:C,'3.3.clean'!A:A=C1229),"""")"),"")</f>
        <v/>
      </c>
      <c r="N1229" s="60" t="b">
        <f t="shared" si="964"/>
        <v>0</v>
      </c>
      <c r="O1229" s="59" t="str">
        <f>IFERROR(__xludf.DUMMYFUNCTION("iferror(filter('3.4.clean'!C:C,'3.4.clean'!A:A=C1229),"""")"),"")</f>
        <v/>
      </c>
      <c r="P1229" s="60" t="b">
        <f t="shared" si="965"/>
        <v>0</v>
      </c>
      <c r="Q1229" s="59" t="str">
        <f>IFERROR(__xludf.DUMMYFUNCTION("iferror(filter('3.5.clean'!C:C,'3.5.clean'!A:A=C1229),"""")"),"")</f>
        <v/>
      </c>
      <c r="R1229" s="58"/>
      <c r="S1229" s="4" t="str">
        <f>IFERROR(__xludf.DUMMYFUNCTION("iferror(filter('3.5.clean'!H:H,'3.5.clean'!A:A=C1229),"""")"),"")</f>
        <v/>
      </c>
      <c r="W1229" s="23" t="b">
        <f>if(AND(H1229=TRUE,N1229=TRUE,P1229=TRUE),TRUE,FALSE)</f>
        <v>0</v>
      </c>
      <c r="X1229" s="23" t="str">
        <f>IFERROR(__xludf.DUMMYFUNCTION("if(COUNTA(FILTER(C:C, C:C = C1229))=1,""no"",""yes"")"),"no")</f>
        <v>no</v>
      </c>
    </row>
    <row r="1230">
      <c r="A1230" s="75" t="s">
        <v>963</v>
      </c>
      <c r="B1230" s="2">
        <v>3.0</v>
      </c>
      <c r="C1230" s="19" t="s">
        <v>1936</v>
      </c>
      <c r="D1230" s="58" t="str">
        <f t="shared" si="1003"/>
        <v/>
      </c>
      <c r="E1230" s="59">
        <f>Q1230</f>
        <v>43825</v>
      </c>
      <c r="F1230" s="60" t="str">
        <f>IFERROR(__xludf.DUMMYFUNCTION("iferror(ifna(IFNA(filter('2.1.clean'!E:E,'2.1.clean'!A:A=C1230),filter('2.2.clean'!G:G,'2.2.clean'!D:D=C1230)),filter('2.4.clean'!E:E,'2.4.clean'!A:A=C1230)),)"),"")</f>
        <v/>
      </c>
      <c r="G1230" s="59" t="str">
        <f>IFERROR(__xludf.DUMMYFUNCTION("iferror(filter('3.1.clean'!C:C,'3.1.clean'!A:A=C1230),"""")"),"")</f>
        <v/>
      </c>
      <c r="H1230" s="58"/>
      <c r="I1230" s="58" t="str">
        <f>IFERROR(__xludf.DUMMYFUNCTION("iferror(filter('3.1.clean'!G:G,'3.1.clean'!A:A=C1230),"""")"),"")</f>
        <v/>
      </c>
      <c r="J1230" s="60" t="str">
        <f>IFERROR(__xludf.DUMMYFUNCTION("iferror(filter('3.1.clean'!I:I,'3.1.clean'!A:A=C1230),"""")"),"")</f>
        <v/>
      </c>
      <c r="K1230" s="59"/>
      <c r="L1230" s="60"/>
      <c r="M1230" s="59" t="str">
        <f>IFERROR(__xludf.DUMMYFUNCTION("iferror(filter('3.3.clean'!C:C,'3.3.clean'!A:A=C1230),"""")"),"")</f>
        <v/>
      </c>
      <c r="N1230" s="60" t="b">
        <f t="shared" si="964"/>
        <v>0</v>
      </c>
      <c r="O1230" s="59" t="str">
        <f>IFERROR(__xludf.DUMMYFUNCTION("iferror(filter('3.4.clean'!C:C,'3.4.clean'!A:A=C1230),"""")"),"")</f>
        <v/>
      </c>
      <c r="P1230" s="60" t="b">
        <f t="shared" si="965"/>
        <v>0</v>
      </c>
      <c r="Q1230" s="59">
        <f>IFERROR(__xludf.DUMMYFUNCTION("iferror(filter('3.5.clean'!C:C,'3.5.clean'!A:A=C1230),"""")"),43825.0)</f>
        <v>43825</v>
      </c>
      <c r="R1230" s="58" t="b">
        <f t="shared" ref="R1230:R1231" si="1004">if(Q1230="",FALSE,TRUE)</f>
        <v>1</v>
      </c>
      <c r="S1230" s="4">
        <f>IFERROR(__xludf.DUMMYFUNCTION("iferror(filter('3.5.clean'!H:H,'3.5.clean'!A:A=C1230),"""")"),0.0)</f>
        <v>0</v>
      </c>
      <c r="V1230" s="52" t="s">
        <v>64</v>
      </c>
      <c r="W1230" s="23" t="b">
        <f>if(AND(R1230=TRUE,N1230=TRUE,P1230=TRUE),TRUE,FALSE)</f>
        <v>0</v>
      </c>
      <c r="X1230" s="23" t="str">
        <f>IFERROR(__xludf.DUMMYFUNCTION("if(COUNTA(FILTER(C:C, C:C = C1230))=1,""no"",""yes"")"),"no")</f>
        <v>no</v>
      </c>
    </row>
    <row r="1231">
      <c r="A1231" s="75" t="s">
        <v>963</v>
      </c>
      <c r="B1231" s="2">
        <v>4.0</v>
      </c>
      <c r="C1231" s="19" t="s">
        <v>1937</v>
      </c>
      <c r="E1231" s="24">
        <f>IFERROR(__xludf.DUMMYFUNCTION("ifna(IFNA(filter('2.1.clean'!C:C,'2.1.clean'!A:A=C1231),filter('2.2.clean'!E:E,'2.2.clean'!D:D=C1231)),filter('2.4.clean'!C:C,'2.4.clean'!A:A=C1231))"),43825.0)</f>
        <v>43825</v>
      </c>
      <c r="F1231" s="25">
        <f>IFERROR(__xludf.DUMMYFUNCTION("iferror(ifna(IFNA(filter('2.1.clean'!E:E,'2.1.clean'!A:A=C1231),filter('2.2.clean'!G:G,'2.2.clean'!D:D=C1231)),filter('2.4.clean'!E:E,'2.4.clean'!A:A=C1231)),)"),2.39999999999999)</f>
        <v>2.4</v>
      </c>
      <c r="G1231" s="24" t="str">
        <f>IFERROR(__xludf.DUMMYFUNCTION("iferror(filter('3.1.clean'!C:C,'3.1.clean'!A:A=C1231),"""")"),"")</f>
        <v/>
      </c>
      <c r="H1231" s="23" t="b">
        <f t="shared" ref="H1231:H1232" si="1005">if(G1231="",FALSE,TRUE)</f>
        <v>0</v>
      </c>
      <c r="J1231" s="25"/>
      <c r="K1231" s="24">
        <f>IFERROR(__xludf.DUMMYFUNCTION("iferror(filter('3.2.clean'!C:C,'3.2.clean'!A:A=C1231),"""")"),43830.0)</f>
        <v>43830</v>
      </c>
      <c r="L1231" s="25" t="b">
        <f>if(K1231="",FALSE,TRUE)</f>
        <v>1</v>
      </c>
      <c r="M1231" s="24">
        <f>IFERROR(__xludf.DUMMYFUNCTION("iferror(filter('3.3.clean'!C:C,'3.3.clean'!A:A=C1231),"""")"),43831.0)</f>
        <v>43831</v>
      </c>
      <c r="N1231" s="25" t="b">
        <f t="shared" si="964"/>
        <v>1</v>
      </c>
      <c r="O1231" s="24">
        <f>IFERROR(__xludf.DUMMYFUNCTION("iferror(filter('3.4.clean'!C:C,'3.4.clean'!A:A=C1231),"""")"),43831.0)</f>
        <v>43831</v>
      </c>
      <c r="P1231" s="25" t="b">
        <f t="shared" si="965"/>
        <v>1</v>
      </c>
      <c r="Q1231" s="24">
        <f>IFERROR(__xludf.DUMMYFUNCTION("iferror(filter('3.5.clean'!C:C,'3.5.clean'!A:A=C1231),"""")"),43825.0)</f>
        <v>43825</v>
      </c>
      <c r="R1231" s="23" t="b">
        <f t="shared" si="1004"/>
        <v>1</v>
      </c>
      <c r="S1231" s="25"/>
      <c r="V1231" s="1" t="s">
        <v>64</v>
      </c>
      <c r="X1231" s="23" t="str">
        <f>IFERROR(__xludf.DUMMYFUNCTION("if(COUNTA(FILTER(C:C, C:C = C1231))=1,""no"",""yes"")"),"no")</f>
        <v>no</v>
      </c>
    </row>
    <row r="1232">
      <c r="A1232" s="75" t="s">
        <v>963</v>
      </c>
      <c r="B1232" s="2">
        <v>5.0</v>
      </c>
      <c r="C1232" s="19" t="s">
        <v>1938</v>
      </c>
      <c r="D1232" s="58" t="str">
        <f t="shared" ref="D1232:D1233" si="1006">if(or(I1232=1,J1232=1,S1232=1),"pos","")</f>
        <v/>
      </c>
      <c r="E1232" s="59">
        <f>IFERROR(__xludf.DUMMYFUNCTION("ifna(IFNA(filter('2.1.clean'!C:C,'2.1.clean'!A:A=C1232),filter('2.2.clean'!E:E,'2.2.clean'!D:D=C1232)),filter('2.4.clean'!C:C,'2.4.clean'!A:A=C1232))"),43825.0)</f>
        <v>43825</v>
      </c>
      <c r="F1232" s="60">
        <f>IFERROR(__xludf.DUMMYFUNCTION("iferror(ifna(IFNA(filter('2.1.clean'!E:E,'2.1.clean'!A:A=C1232),filter('2.2.clean'!G:G,'2.2.clean'!D:D=C1232)),filter('2.4.clean'!E:E,'2.4.clean'!A:A=C1232)),)"),2.39999999999999)</f>
        <v>2.4</v>
      </c>
      <c r="G1232" s="59" t="str">
        <f>IFERROR(__xludf.DUMMYFUNCTION("iferror(filter('3.1.clean'!C:C,'3.1.clean'!A:A=C1232),"""")"),"")</f>
        <v/>
      </c>
      <c r="H1232" s="58" t="b">
        <f t="shared" si="1005"/>
        <v>0</v>
      </c>
      <c r="I1232" s="58" t="str">
        <f>IFERROR(__xludf.DUMMYFUNCTION("iferror(filter('3.1.clean'!G:G,'3.1.clean'!A:A=C1232),"""")"),"")</f>
        <v/>
      </c>
      <c r="J1232" s="60" t="str">
        <f>IFERROR(__xludf.DUMMYFUNCTION("iferror(filter('3.1.clean'!I:I,'3.1.clean'!A:A=C1232),"""")"),"")</f>
        <v/>
      </c>
      <c r="K1232" s="58"/>
      <c r="L1232" s="60"/>
      <c r="M1232" s="59" t="str">
        <f>IFERROR(__xludf.DUMMYFUNCTION("iferror(filter('3.3.clean'!C:C,'3.3.clean'!A:A=C1232),"""")"),"")</f>
        <v/>
      </c>
      <c r="N1232" s="60" t="b">
        <f t="shared" si="964"/>
        <v>0</v>
      </c>
      <c r="O1232" s="59" t="str">
        <f>IFERROR(__xludf.DUMMYFUNCTION("iferror(filter('3.4.clean'!C:C,'3.4.clean'!A:A=C1232),"""")"),"")</f>
        <v/>
      </c>
      <c r="P1232" s="60" t="b">
        <f t="shared" si="965"/>
        <v>0</v>
      </c>
      <c r="Q1232" s="59" t="str">
        <f>IFERROR(__xludf.DUMMYFUNCTION("iferror(filter('3.5.clean'!C:C,'3.5.clean'!A:A=C1232),"""")"),"")</f>
        <v/>
      </c>
      <c r="R1232" s="58"/>
      <c r="S1232" s="4" t="str">
        <f>IFERROR(__xludf.DUMMYFUNCTION("iferror(filter('3.5.clean'!H:H,'3.5.clean'!A:A=C1232),"""")"),"")</f>
        <v/>
      </c>
      <c r="W1232" s="23" t="b">
        <f>if(AND(H1232=TRUE,N1232=TRUE,P1232=TRUE),TRUE,FALSE)</f>
        <v>0</v>
      </c>
      <c r="X1232" s="23" t="str">
        <f>IFERROR(__xludf.DUMMYFUNCTION("if(COUNTA(FILTER(C:C, C:C = C1232))=1,""no"",""yes"")"),"no")</f>
        <v>no</v>
      </c>
    </row>
    <row r="1233">
      <c r="A1233" s="75" t="s">
        <v>963</v>
      </c>
      <c r="B1233" s="2">
        <v>6.0</v>
      </c>
      <c r="C1233" s="19" t="s">
        <v>1939</v>
      </c>
      <c r="D1233" s="58" t="str">
        <f t="shared" si="1006"/>
        <v/>
      </c>
      <c r="E1233" s="59">
        <f>Q1233</f>
        <v>43825</v>
      </c>
      <c r="F1233" s="60" t="str">
        <f>IFERROR(__xludf.DUMMYFUNCTION("iferror(ifna(IFNA(filter('2.1.clean'!E:E,'2.1.clean'!A:A=C1233),filter('2.2.clean'!G:G,'2.2.clean'!D:D=C1233)),filter('2.4.clean'!E:E,'2.4.clean'!A:A=C1233)),)"),"")</f>
        <v/>
      </c>
      <c r="G1233" s="59" t="str">
        <f>IFERROR(__xludf.DUMMYFUNCTION("iferror(filter('3.1.clean'!C:C,'3.1.clean'!A:A=C1233),"""")"),"")</f>
        <v/>
      </c>
      <c r="H1233" s="58"/>
      <c r="I1233" s="58" t="str">
        <f>IFERROR(__xludf.DUMMYFUNCTION("iferror(filter('3.1.clean'!G:G,'3.1.clean'!A:A=C1233),"""")"),"")</f>
        <v/>
      </c>
      <c r="J1233" s="60" t="str">
        <f>IFERROR(__xludf.DUMMYFUNCTION("iferror(filter('3.1.clean'!I:I,'3.1.clean'!A:A=C1233),"""")"),"")</f>
        <v/>
      </c>
      <c r="K1233" s="59"/>
      <c r="L1233" s="60"/>
      <c r="M1233" s="59" t="str">
        <f>IFERROR(__xludf.DUMMYFUNCTION("iferror(filter('3.3.clean'!C:C,'3.3.clean'!A:A=C1233),"""")"),"")</f>
        <v/>
      </c>
      <c r="N1233" s="60" t="b">
        <f t="shared" si="964"/>
        <v>0</v>
      </c>
      <c r="O1233" s="59" t="str">
        <f>IFERROR(__xludf.DUMMYFUNCTION("iferror(filter('3.4.clean'!C:C,'3.4.clean'!A:A=C1233),"""")"),"")</f>
        <v/>
      </c>
      <c r="P1233" s="60" t="b">
        <f t="shared" si="965"/>
        <v>0</v>
      </c>
      <c r="Q1233" s="59">
        <f>IFERROR(__xludf.DUMMYFUNCTION("iferror(filter('3.5.clean'!C:C,'3.5.clean'!A:A=C1233),"""")"),43825.0)</f>
        <v>43825</v>
      </c>
      <c r="R1233" s="58" t="b">
        <f t="shared" ref="R1233:R1234" si="1007">if(Q1233="",FALSE,TRUE)</f>
        <v>1</v>
      </c>
      <c r="S1233" s="4">
        <f>IFERROR(__xludf.DUMMYFUNCTION("iferror(filter('3.5.clean'!H:H,'3.5.clean'!A:A=C1233),"""")"),0.0)</f>
        <v>0</v>
      </c>
      <c r="V1233" s="52" t="s">
        <v>64</v>
      </c>
      <c r="W1233" s="23" t="b">
        <f>if(AND(R1233=TRUE,N1233=TRUE,P1233=TRUE),TRUE,FALSE)</f>
        <v>0</v>
      </c>
      <c r="X1233" s="23" t="str">
        <f>IFERROR(__xludf.DUMMYFUNCTION("if(COUNTA(FILTER(C:C, C:C = C1233))=1,""no"",""yes"")"),"no")</f>
        <v>no</v>
      </c>
    </row>
    <row r="1234">
      <c r="A1234" s="75" t="s">
        <v>963</v>
      </c>
      <c r="B1234" s="2">
        <v>7.0</v>
      </c>
      <c r="C1234" s="19" t="s">
        <v>1940</v>
      </c>
      <c r="E1234" s="24">
        <f>IFERROR(__xludf.DUMMYFUNCTION("ifna(IFNA(filter('2.1.clean'!C:C,'2.1.clean'!A:A=C1234),filter('2.2.clean'!E:E,'2.2.clean'!D:D=C1234)),filter('2.4.clean'!C:C,'2.4.clean'!A:A=C1234))"),43825.0)</f>
        <v>43825</v>
      </c>
      <c r="F1234" s="25">
        <f>IFERROR(__xludf.DUMMYFUNCTION("iferror(ifna(IFNA(filter('2.1.clean'!E:E,'2.1.clean'!A:A=C1234),filter('2.2.clean'!G:G,'2.2.clean'!D:D=C1234)),filter('2.4.clean'!E:E,'2.4.clean'!A:A=C1234)),)"),2.39999999999999)</f>
        <v>2.4</v>
      </c>
      <c r="G1234" s="24" t="str">
        <f>IFERROR(__xludf.DUMMYFUNCTION("iferror(filter('3.1.clean'!C:C,'3.1.clean'!A:A=C1234),"""")"),"")</f>
        <v/>
      </c>
      <c r="H1234" s="23" t="b">
        <f t="shared" ref="H1234:H1235" si="1008">if(G1234="",FALSE,TRUE)</f>
        <v>0</v>
      </c>
      <c r="J1234" s="25"/>
      <c r="K1234" s="24">
        <f>IFERROR(__xludf.DUMMYFUNCTION("iferror(filter('3.2.clean'!C:C,'3.2.clean'!A:A=C1234),"""")"),43830.0)</f>
        <v>43830</v>
      </c>
      <c r="L1234" s="25" t="b">
        <f>if(K1234="",FALSE,TRUE)</f>
        <v>1</v>
      </c>
      <c r="M1234" s="24">
        <f>IFERROR(__xludf.DUMMYFUNCTION("iferror(filter('3.3.clean'!C:C,'3.3.clean'!A:A=C1234),"""")"),43831.0)</f>
        <v>43831</v>
      </c>
      <c r="N1234" s="25" t="b">
        <f t="shared" si="964"/>
        <v>1</v>
      </c>
      <c r="O1234" s="24">
        <f>IFERROR(__xludf.DUMMYFUNCTION("iferror(filter('3.4.clean'!C:C,'3.4.clean'!A:A=C1234),"""")"),43831.0)</f>
        <v>43831</v>
      </c>
      <c r="P1234" s="25" t="b">
        <f t="shared" si="965"/>
        <v>1</v>
      </c>
      <c r="Q1234" s="24">
        <f>IFERROR(__xludf.DUMMYFUNCTION("iferror(filter('3.5.clean'!C:C,'3.5.clean'!A:A=C1234),"""")"),43825.0)</f>
        <v>43825</v>
      </c>
      <c r="R1234" s="23" t="b">
        <f t="shared" si="1007"/>
        <v>1</v>
      </c>
      <c r="S1234" s="25"/>
      <c r="V1234" s="1" t="s">
        <v>64</v>
      </c>
      <c r="X1234" s="23" t="str">
        <f>IFERROR(__xludf.DUMMYFUNCTION("if(COUNTA(FILTER(C:C, C:C = C1234))=1,""no"",""yes"")"),"no")</f>
        <v>no</v>
      </c>
    </row>
    <row r="1235">
      <c r="A1235" s="75" t="s">
        <v>963</v>
      </c>
      <c r="B1235" s="2">
        <v>8.0</v>
      </c>
      <c r="C1235" s="19" t="s">
        <v>1941</v>
      </c>
      <c r="D1235" s="58" t="str">
        <f t="shared" ref="D1235:D1236" si="1009">if(or(I1235=1,J1235=1,S1235=1),"pos","")</f>
        <v/>
      </c>
      <c r="E1235" s="59">
        <f>IFERROR(__xludf.DUMMYFUNCTION("ifna(IFNA(filter('2.1.clean'!C:C,'2.1.clean'!A:A=C1235),filter('2.2.clean'!E:E,'2.2.clean'!D:D=C1235)),filter('2.4.clean'!C:C,'2.4.clean'!A:A=C1235))"),43825.0)</f>
        <v>43825</v>
      </c>
      <c r="F1235" s="60">
        <f>IFERROR(__xludf.DUMMYFUNCTION("iferror(ifna(IFNA(filter('2.1.clean'!E:E,'2.1.clean'!A:A=C1235),filter('2.2.clean'!G:G,'2.2.clean'!D:D=C1235)),filter('2.4.clean'!E:E,'2.4.clean'!A:A=C1235)),)"),2.39999999999999)</f>
        <v>2.4</v>
      </c>
      <c r="G1235" s="59" t="str">
        <f>IFERROR(__xludf.DUMMYFUNCTION("iferror(filter('3.1.clean'!C:C,'3.1.clean'!A:A=C1235),"""")"),"")</f>
        <v/>
      </c>
      <c r="H1235" s="58" t="b">
        <f t="shared" si="1008"/>
        <v>0</v>
      </c>
      <c r="I1235" s="58" t="str">
        <f>IFERROR(__xludf.DUMMYFUNCTION("iferror(filter('3.1.clean'!G:G,'3.1.clean'!A:A=C1235),"""")"),"")</f>
        <v/>
      </c>
      <c r="J1235" s="60" t="str">
        <f>IFERROR(__xludf.DUMMYFUNCTION("iferror(filter('3.1.clean'!I:I,'3.1.clean'!A:A=C1235),"""")"),"")</f>
        <v/>
      </c>
      <c r="K1235" s="58"/>
      <c r="L1235" s="60"/>
      <c r="M1235" s="59" t="str">
        <f>IFERROR(__xludf.DUMMYFUNCTION("iferror(filter('3.3.clean'!C:C,'3.3.clean'!A:A=C1235),"""")"),"")</f>
        <v/>
      </c>
      <c r="N1235" s="60" t="b">
        <f t="shared" si="964"/>
        <v>0</v>
      </c>
      <c r="O1235" s="59" t="str">
        <f>IFERROR(__xludf.DUMMYFUNCTION("iferror(filter('3.4.clean'!C:C,'3.4.clean'!A:A=C1235),"""")"),"")</f>
        <v/>
      </c>
      <c r="P1235" s="60" t="b">
        <f t="shared" si="965"/>
        <v>0</v>
      </c>
      <c r="Q1235" s="59" t="str">
        <f>IFERROR(__xludf.DUMMYFUNCTION("iferror(filter('3.5.clean'!C:C,'3.5.clean'!A:A=C1235),"""")"),"")</f>
        <v/>
      </c>
      <c r="R1235" s="58"/>
      <c r="S1235" s="4" t="str">
        <f>IFERROR(__xludf.DUMMYFUNCTION("iferror(filter('3.5.clean'!H:H,'3.5.clean'!A:A=C1235),"""")"),"")</f>
        <v/>
      </c>
      <c r="W1235" s="23" t="b">
        <f>if(AND(H1235=TRUE,N1235=TRUE,P1235=TRUE),TRUE,FALSE)</f>
        <v>0</v>
      </c>
      <c r="X1235" s="23" t="str">
        <f>IFERROR(__xludf.DUMMYFUNCTION("if(COUNTA(FILTER(C:C, C:C = C1235))=1,""no"",""yes"")"),"no")</f>
        <v>no</v>
      </c>
    </row>
    <row r="1236">
      <c r="A1236" s="75" t="s">
        <v>963</v>
      </c>
      <c r="B1236" s="2">
        <v>9.0</v>
      </c>
      <c r="C1236" s="19" t="s">
        <v>1942</v>
      </c>
      <c r="D1236" s="58" t="str">
        <f t="shared" si="1009"/>
        <v/>
      </c>
      <c r="E1236" s="59">
        <f>Q1236</f>
        <v>43825</v>
      </c>
      <c r="F1236" s="60" t="str">
        <f>IFERROR(__xludf.DUMMYFUNCTION("iferror(ifna(IFNA(filter('2.1.clean'!E:E,'2.1.clean'!A:A=C1236),filter('2.2.clean'!G:G,'2.2.clean'!D:D=C1236)),filter('2.4.clean'!E:E,'2.4.clean'!A:A=C1236)),)"),"")</f>
        <v/>
      </c>
      <c r="G1236" s="59" t="str">
        <f>IFERROR(__xludf.DUMMYFUNCTION("iferror(filter('3.1.clean'!C:C,'3.1.clean'!A:A=C1236),"""")"),"")</f>
        <v/>
      </c>
      <c r="H1236" s="58"/>
      <c r="I1236" s="58" t="str">
        <f>IFERROR(__xludf.DUMMYFUNCTION("iferror(filter('3.1.clean'!G:G,'3.1.clean'!A:A=C1236),"""")"),"")</f>
        <v/>
      </c>
      <c r="J1236" s="60" t="str">
        <f>IFERROR(__xludf.DUMMYFUNCTION("iferror(filter('3.1.clean'!I:I,'3.1.clean'!A:A=C1236),"""")"),"")</f>
        <v/>
      </c>
      <c r="K1236" s="59"/>
      <c r="L1236" s="60"/>
      <c r="M1236" s="59" t="str">
        <f>IFERROR(__xludf.DUMMYFUNCTION("iferror(filter('3.3.clean'!C:C,'3.3.clean'!A:A=C1236),"""")"),"")</f>
        <v/>
      </c>
      <c r="N1236" s="60" t="b">
        <f t="shared" si="964"/>
        <v>0</v>
      </c>
      <c r="O1236" s="59" t="str">
        <f>IFERROR(__xludf.DUMMYFUNCTION("iferror(filter('3.4.clean'!C:C,'3.4.clean'!A:A=C1236),"""")"),"")</f>
        <v/>
      </c>
      <c r="P1236" s="60" t="b">
        <f t="shared" si="965"/>
        <v>0</v>
      </c>
      <c r="Q1236" s="59">
        <f>IFERROR(__xludf.DUMMYFUNCTION("iferror(filter('3.5.clean'!C:C,'3.5.clean'!A:A=C1236),"""")"),43825.0)</f>
        <v>43825</v>
      </c>
      <c r="R1236" s="58" t="b">
        <f t="shared" ref="R1236:R1237" si="1010">if(Q1236="",FALSE,TRUE)</f>
        <v>1</v>
      </c>
      <c r="S1236" s="4">
        <f>IFERROR(__xludf.DUMMYFUNCTION("iferror(filter('3.5.clean'!H:H,'3.5.clean'!A:A=C1236),"""")"),0.0)</f>
        <v>0</v>
      </c>
      <c r="V1236" s="52" t="s">
        <v>64</v>
      </c>
      <c r="W1236" s="23" t="b">
        <f>if(AND(R1236=TRUE,N1236=TRUE,P1236=TRUE),TRUE,FALSE)</f>
        <v>0</v>
      </c>
      <c r="X1236" s="23" t="str">
        <f>IFERROR(__xludf.DUMMYFUNCTION("if(COUNTA(FILTER(C:C, C:C = C1236))=1,""no"",""yes"")"),"no")</f>
        <v>no</v>
      </c>
    </row>
    <row r="1237">
      <c r="A1237" s="75" t="s">
        <v>963</v>
      </c>
      <c r="B1237" s="2">
        <v>10.0</v>
      </c>
      <c r="C1237" s="19" t="s">
        <v>1943</v>
      </c>
      <c r="E1237" s="24">
        <f>IFERROR(__xludf.DUMMYFUNCTION("ifna(IFNA(filter('2.1.clean'!C:C,'2.1.clean'!A:A=C1237),filter('2.2.clean'!E:E,'2.2.clean'!D:D=C1237)),filter('2.4.clean'!C:C,'2.4.clean'!A:A=C1237))"),43825.0)</f>
        <v>43825</v>
      </c>
      <c r="F1237" s="25">
        <f>IFERROR(__xludf.DUMMYFUNCTION("iferror(ifna(IFNA(filter('2.1.clean'!E:E,'2.1.clean'!A:A=C1237),filter('2.2.clean'!G:G,'2.2.clean'!D:D=C1237)),filter('2.4.clean'!E:E,'2.4.clean'!A:A=C1237)),)"),2.39999999999999)</f>
        <v>2.4</v>
      </c>
      <c r="G1237" s="24" t="str">
        <f>IFERROR(__xludf.DUMMYFUNCTION("iferror(filter('3.1.clean'!C:C,'3.1.clean'!A:A=C1237),"""")"),"")</f>
        <v/>
      </c>
      <c r="H1237" s="23" t="b">
        <f t="shared" ref="H1237:H1238" si="1011">if(G1237="",FALSE,TRUE)</f>
        <v>0</v>
      </c>
      <c r="J1237" s="25"/>
      <c r="K1237" s="24">
        <f>IFERROR(__xludf.DUMMYFUNCTION("iferror(filter('3.2.clean'!C:C,'3.2.clean'!A:A=C1237),"""")"),43830.0)</f>
        <v>43830</v>
      </c>
      <c r="L1237" s="25" t="b">
        <f>if(K1237="",FALSE,TRUE)</f>
        <v>1</v>
      </c>
      <c r="M1237" s="24">
        <f>IFERROR(__xludf.DUMMYFUNCTION("iferror(filter('3.3.clean'!C:C,'3.3.clean'!A:A=C1237),"""")"),43831.0)</f>
        <v>43831</v>
      </c>
      <c r="N1237" s="25" t="b">
        <f t="shared" si="964"/>
        <v>1</v>
      </c>
      <c r="O1237" s="24">
        <f>IFERROR(__xludf.DUMMYFUNCTION("iferror(filter('3.4.clean'!C:C,'3.4.clean'!A:A=C1237),"""")"),43831.0)</f>
        <v>43831</v>
      </c>
      <c r="P1237" s="25" t="b">
        <f t="shared" si="965"/>
        <v>1</v>
      </c>
      <c r="Q1237" s="24">
        <f>IFERROR(__xludf.DUMMYFUNCTION("iferror(filter('3.5.clean'!C:C,'3.5.clean'!A:A=C1237),"""")"),43825.0)</f>
        <v>43825</v>
      </c>
      <c r="R1237" s="23" t="b">
        <f t="shared" si="1010"/>
        <v>1</v>
      </c>
      <c r="S1237" s="25"/>
      <c r="V1237" s="1" t="s">
        <v>64</v>
      </c>
      <c r="X1237" s="23" t="str">
        <f>IFERROR(__xludf.DUMMYFUNCTION("if(COUNTA(FILTER(C:C, C:C = C1237))=1,""no"",""yes"")"),"no")</f>
        <v>no</v>
      </c>
    </row>
    <row r="1238">
      <c r="A1238" s="75" t="s">
        <v>963</v>
      </c>
      <c r="B1238" s="2">
        <v>11.0</v>
      </c>
      <c r="C1238" s="69" t="s">
        <v>1944</v>
      </c>
      <c r="D1238" s="58" t="str">
        <f t="shared" ref="D1238:D1239" si="1012">if(or(I1238=1,J1238=1,S1238=1),"pos","")</f>
        <v/>
      </c>
      <c r="E1238" s="59">
        <f>IFERROR(__xludf.DUMMYFUNCTION("ifna(IFNA(filter('2.1.clean'!C:C,'2.1.clean'!A:A=C1238),filter('2.2.clean'!E:E,'2.2.clean'!D:D=C1238)),filter('2.4.clean'!C:C,'2.4.clean'!A:A=C1238))"),43825.0)</f>
        <v>43825</v>
      </c>
      <c r="F1238" s="60">
        <f>IFERROR(__xludf.DUMMYFUNCTION("iferror(ifna(IFNA(filter('2.1.clean'!E:E,'2.1.clean'!A:A=C1238),filter('2.2.clean'!G:G,'2.2.clean'!D:D=C1238)),filter('2.4.clean'!E:E,'2.4.clean'!A:A=C1238)),)"),2.39999999999999)</f>
        <v>2.4</v>
      </c>
      <c r="G1238" s="59" t="str">
        <f>IFERROR(__xludf.DUMMYFUNCTION("iferror(filter('3.1.clean'!C:C,'3.1.clean'!A:A=C1238),"""")"),"")</f>
        <v/>
      </c>
      <c r="H1238" s="58" t="b">
        <f t="shared" si="1011"/>
        <v>0</v>
      </c>
      <c r="I1238" s="58" t="str">
        <f>IFERROR(__xludf.DUMMYFUNCTION("iferror(filter('3.1.clean'!G:G,'3.1.clean'!A:A=C1238),"""")"),"")</f>
        <v/>
      </c>
      <c r="J1238" s="60" t="str">
        <f>IFERROR(__xludf.DUMMYFUNCTION("iferror(filter('3.1.clean'!I:I,'3.1.clean'!A:A=C1238),"""")"),"")</f>
        <v/>
      </c>
      <c r="K1238" s="58"/>
      <c r="L1238" s="60"/>
      <c r="M1238" s="59">
        <f>IFERROR(__xludf.DUMMYFUNCTION("iferror(filter('3.3.clean'!C:C,'3.3.clean'!A:A=C1238),"""")"),43831.0)</f>
        <v>43831</v>
      </c>
      <c r="N1238" s="60" t="b">
        <f t="shared" si="964"/>
        <v>1</v>
      </c>
      <c r="O1238" s="59">
        <f>IFERROR(__xludf.DUMMYFUNCTION("iferror(filter('3.4.clean'!C:C,'3.4.clean'!A:A=C1238),"""")"),43831.0)</f>
        <v>43831</v>
      </c>
      <c r="P1238" s="60" t="b">
        <f t="shared" si="965"/>
        <v>1</v>
      </c>
      <c r="Q1238" s="59" t="str">
        <f>IFERROR(__xludf.DUMMYFUNCTION("iferror(filter('3.5.clean'!C:C,'3.5.clean'!A:A=C1238),"""")"),"")</f>
        <v/>
      </c>
      <c r="R1238" s="58"/>
      <c r="S1238" s="4" t="str">
        <f>IFERROR(__xludf.DUMMYFUNCTION("iferror(filter('3.5.clean'!H:H,'3.5.clean'!A:A=C1238),"""")"),"")</f>
        <v/>
      </c>
      <c r="W1238" s="23" t="b">
        <f>if(AND(H1238=TRUE,N1238=TRUE,P1238=TRUE),TRUE,FALSE)</f>
        <v>0</v>
      </c>
      <c r="X1238" s="23" t="str">
        <f>IFERROR(__xludf.DUMMYFUNCTION("if(COUNTA(FILTER(C:C, C:C = C1238))=1,""no"",""yes"")"),"no")</f>
        <v>no</v>
      </c>
    </row>
    <row r="1239">
      <c r="A1239" s="75" t="s">
        <v>963</v>
      </c>
      <c r="B1239" s="2">
        <v>12.0</v>
      </c>
      <c r="C1239" s="19" t="s">
        <v>1945</v>
      </c>
      <c r="D1239" s="58" t="str">
        <f t="shared" si="1012"/>
        <v/>
      </c>
      <c r="E1239" s="59">
        <f>Q1239</f>
        <v>43825</v>
      </c>
      <c r="F1239" s="60" t="str">
        <f>IFERROR(__xludf.DUMMYFUNCTION("iferror(ifna(IFNA(filter('2.1.clean'!E:E,'2.1.clean'!A:A=C1239),filter('2.2.clean'!G:G,'2.2.clean'!D:D=C1239)),filter('2.4.clean'!E:E,'2.4.clean'!A:A=C1239)),)"),"")</f>
        <v/>
      </c>
      <c r="G1239" s="59" t="str">
        <f>IFERROR(__xludf.DUMMYFUNCTION("iferror(filter('3.1.clean'!C:C,'3.1.clean'!A:A=C1239),"""")"),"")</f>
        <v/>
      </c>
      <c r="H1239" s="58"/>
      <c r="I1239" s="58" t="str">
        <f>IFERROR(__xludf.DUMMYFUNCTION("iferror(filter('3.1.clean'!G:G,'3.1.clean'!A:A=C1239),"""")"),"")</f>
        <v/>
      </c>
      <c r="J1239" s="60" t="str">
        <f>IFERROR(__xludf.DUMMYFUNCTION("iferror(filter('3.1.clean'!I:I,'3.1.clean'!A:A=C1239),"""")"),"")</f>
        <v/>
      </c>
      <c r="K1239" s="59"/>
      <c r="L1239" s="60"/>
      <c r="M1239" s="59" t="str">
        <f>IFERROR(__xludf.DUMMYFUNCTION("iferror(filter('3.3.clean'!C:C,'3.3.clean'!A:A=C1239),"""")"),"")</f>
        <v/>
      </c>
      <c r="N1239" s="60" t="b">
        <f t="shared" si="964"/>
        <v>0</v>
      </c>
      <c r="O1239" s="59" t="str">
        <f>IFERROR(__xludf.DUMMYFUNCTION("iferror(filter('3.4.clean'!C:C,'3.4.clean'!A:A=C1239),"""")"),"")</f>
        <v/>
      </c>
      <c r="P1239" s="60" t="b">
        <f t="shared" si="965"/>
        <v>0</v>
      </c>
      <c r="Q1239" s="59">
        <f>IFERROR(__xludf.DUMMYFUNCTION("iferror(filter('3.5.clean'!C:C,'3.5.clean'!A:A=C1239),"""")"),43825.0)</f>
        <v>43825</v>
      </c>
      <c r="R1239" s="58" t="b">
        <f>if(Q1239="",FALSE,TRUE)</f>
        <v>1</v>
      </c>
      <c r="S1239" s="4">
        <f>IFERROR(__xludf.DUMMYFUNCTION("iferror(filter('3.5.clean'!H:H,'3.5.clean'!A:A=C1239),"""")"),0.0)</f>
        <v>0</v>
      </c>
      <c r="V1239" s="52" t="s">
        <v>64</v>
      </c>
      <c r="W1239" s="23" t="b">
        <f>if(AND(R1239=TRUE,N1239=TRUE,P1239=TRUE),TRUE,FALSE)</f>
        <v>0</v>
      </c>
      <c r="X1239" s="23" t="str">
        <f>IFERROR(__xludf.DUMMYFUNCTION("if(COUNTA(FILTER(C:C, C:C = C1239))=1,""no"",""yes"")"),"no")</f>
        <v>no</v>
      </c>
    </row>
    <row r="1240">
      <c r="A1240" s="75" t="s">
        <v>963</v>
      </c>
      <c r="B1240" s="2">
        <v>13.0</v>
      </c>
      <c r="C1240" s="69" t="s">
        <v>1946</v>
      </c>
      <c r="E1240" s="24">
        <v>43825.0</v>
      </c>
      <c r="F1240" s="25" t="str">
        <f>IFERROR(__xludf.DUMMYFUNCTION("iferror(ifna(IFNA(filter('2.1.clean'!E:E,'2.1.clean'!A:A=C1240),filter('2.2.clean'!G:G,'2.2.clean'!D:D=C1240)),filter('2.4.clean'!E:E,'2.4.clean'!A:A=C1240)),)"),"")</f>
        <v/>
      </c>
      <c r="G1240" s="24" t="str">
        <f>IFERROR(__xludf.DUMMYFUNCTION("iferror(filter('3.1.clean'!C:C,'3.1.clean'!A:A=C1240),"""")"),"")</f>
        <v/>
      </c>
      <c r="J1240" s="25"/>
      <c r="K1240" s="24" t="str">
        <f>IFERROR(__xludf.DUMMYFUNCTION("iferror(filter('3.2.clean'!C:C,'3.2.clean'!A:A=C1240),"""")"),"")</f>
        <v/>
      </c>
      <c r="L1240" s="25"/>
      <c r="M1240" s="24">
        <f>IFERROR(__xludf.DUMMYFUNCTION("iferror(filter('3.3.clean'!C:C,'3.3.clean'!A:A=C1240),"""")"),43831.0)</f>
        <v>43831</v>
      </c>
      <c r="N1240" s="25" t="b">
        <f t="shared" si="964"/>
        <v>1</v>
      </c>
      <c r="O1240" s="24">
        <f>IFERROR(__xludf.DUMMYFUNCTION("iferror(filter('3.4.clean'!C:C,'3.4.clean'!A:A=C1240),"""")"),43831.0)</f>
        <v>43831</v>
      </c>
      <c r="P1240" s="25" t="b">
        <f t="shared" si="965"/>
        <v>1</v>
      </c>
      <c r="Q1240" s="24" t="str">
        <f>IFERROR(__xludf.DUMMYFUNCTION("iferror(filter('3.5.clean'!C:C,'3.5.clean'!A:A=C1240),"""")"),"")</f>
        <v/>
      </c>
      <c r="S1240" s="25"/>
      <c r="V1240" s="52" t="s">
        <v>64</v>
      </c>
      <c r="X1240" s="23" t="str">
        <f>IFERROR(__xludf.DUMMYFUNCTION("if(COUNTA(FILTER(C:C, C:C = C1240))=1,""no"",""yes"")"),"no")</f>
        <v>no</v>
      </c>
    </row>
    <row r="1241">
      <c r="A1241" s="75" t="s">
        <v>963</v>
      </c>
      <c r="B1241" s="2">
        <v>14.0</v>
      </c>
      <c r="C1241" s="19" t="s">
        <v>1947</v>
      </c>
      <c r="D1241" s="102" t="str">
        <f>if(or(I1241=1,J1241=1,S1241=1),"pos","")</f>
        <v/>
      </c>
      <c r="E1241" s="103">
        <f>Q1241</f>
        <v>43825</v>
      </c>
      <c r="F1241" s="94" t="str">
        <f>IFERROR(__xludf.DUMMYFUNCTION("iferror(ifna(IFNA(filter('2.1.clean'!E:E,'2.1.clean'!A:A=C1241),filter('2.2.clean'!G:G,'2.2.clean'!D:D=C1241)),filter('2.4.clean'!E:E,'2.4.clean'!A:A=C1241)),)"),"")</f>
        <v/>
      </c>
      <c r="G1241" s="93" t="str">
        <f>IFERROR(__xludf.DUMMYFUNCTION("iferror(filter('3.1.clean'!C:C,'3.1.clean'!A:A=C1241),"""")"),"")</f>
        <v/>
      </c>
      <c r="H1241" s="92"/>
      <c r="I1241" s="92"/>
      <c r="J1241" s="94"/>
      <c r="K1241" s="93" t="str">
        <f>IFERROR(__xludf.DUMMYFUNCTION("iferror(filter('3.2.clean'!C:C,'3.2.clean'!A:A=C1241),"""")"),"")</f>
        <v/>
      </c>
      <c r="L1241" s="94"/>
      <c r="M1241" s="20" t="str">
        <f>IFERROR(__xludf.DUMMYFUNCTION("iferror(filter('3.3.clean'!C:C,'3.3.clean'!A:A=C1241),"""")"),"")</f>
        <v/>
      </c>
      <c r="N1241" s="79" t="b">
        <f t="shared" si="964"/>
        <v>0</v>
      </c>
      <c r="O1241" s="20" t="str">
        <f>IFERROR(__xludf.DUMMYFUNCTION("iferror(filter('3.4.clean'!C:C,'3.4.clean'!A:A=C1241),"""")"),"")</f>
        <v/>
      </c>
      <c r="P1241" s="79" t="b">
        <f t="shared" si="965"/>
        <v>0</v>
      </c>
      <c r="Q1241" s="20">
        <f>IFERROR(__xludf.DUMMYFUNCTION("iferror(filter('3.5.clean'!C:C,'3.5.clean'!A:A=C1241),"""")"),43825.0)</f>
        <v>43825</v>
      </c>
      <c r="R1241" s="22" t="b">
        <f t="shared" ref="R1241:R1242" si="1013">if(Q1241="",FALSE,TRUE)</f>
        <v>1</v>
      </c>
      <c r="S1241" s="104">
        <f>IFERROR(__xludf.DUMMYFUNCTION("iferror(filter('3.5.clean'!H:H,'3.5.clean'!A:A=C1241),"""")"),0.0)</f>
        <v>0</v>
      </c>
      <c r="T1241" s="39"/>
      <c r="U1241" s="39"/>
      <c r="V1241" s="39" t="s">
        <v>64</v>
      </c>
      <c r="W1241" s="54" t="b">
        <f>IF(and(R1241=TRUE,N1241=TRUE,P1241=TRUE),TRUE,FALSE)</f>
        <v>0</v>
      </c>
      <c r="X1241" s="39" t="str">
        <f>IFERROR(__xludf.DUMMYFUNCTION("if(COUNTA(FILTER(C:C, C:C = C1241))=1,""no"",""yes"")"),"no")</f>
        <v>no</v>
      </c>
    </row>
    <row r="1242">
      <c r="A1242" s="1" t="s">
        <v>968</v>
      </c>
      <c r="B1242" s="2">
        <v>1.0</v>
      </c>
      <c r="C1242" s="19" t="s">
        <v>334</v>
      </c>
      <c r="E1242" s="24">
        <f>IFERROR(__xludf.DUMMYFUNCTION("ifna(IFNA(filter('2.1.clean'!C:C,'2.1.clean'!A:A=C1242),filter('2.2.clean'!E:E,'2.2.clean'!D:D=C1242)),filter('2.4.clean'!C:C,'2.4.clean'!A:A=C1242))"),43826.0)</f>
        <v>43826</v>
      </c>
      <c r="F1242" s="25">
        <f>IFERROR(__xludf.DUMMYFUNCTION("iferror(ifna(IFNA(filter('2.1.clean'!E:E,'2.1.clean'!A:A=C1242),filter('2.2.clean'!G:G,'2.2.clean'!D:D=C1242)),filter('2.4.clean'!E:E,'2.4.clean'!A:A=C1242)),)"),2.39999999999999)</f>
        <v>2.4</v>
      </c>
      <c r="G1242" s="24" t="str">
        <f>IFERROR(__xludf.DUMMYFUNCTION("iferror(filter('3.1.clean'!C:C,'3.1.clean'!A:A=C1242),"""")"),"")</f>
        <v/>
      </c>
      <c r="H1242" s="23" t="b">
        <f t="shared" ref="H1242:H1243" si="1014">if(G1242="",FALSE,TRUE)</f>
        <v>0</v>
      </c>
      <c r="J1242" s="25"/>
      <c r="K1242" s="24">
        <f>IFERROR(__xludf.DUMMYFUNCTION("iferror(filter('3.2.clean'!C:C,'3.2.clean'!A:A=C1242),"""")"),43830.0)</f>
        <v>43830</v>
      </c>
      <c r="L1242" s="25" t="b">
        <f>if(K1242="",FALSE,TRUE)</f>
        <v>1</v>
      </c>
      <c r="M1242" s="24">
        <f>IFERROR(__xludf.DUMMYFUNCTION("iferror(filter('3.3.clean'!C:C,'3.3.clean'!A:A=C1242),"""")"),43831.0)</f>
        <v>43831</v>
      </c>
      <c r="N1242" s="25" t="b">
        <f t="shared" si="964"/>
        <v>1</v>
      </c>
      <c r="O1242" s="24">
        <f>IFERROR(__xludf.DUMMYFUNCTION("iferror(filter('3.4.clean'!C:C,'3.4.clean'!A:A=C1242),"""")"),43831.0)</f>
        <v>43831</v>
      </c>
      <c r="P1242" s="25" t="b">
        <f t="shared" si="965"/>
        <v>1</v>
      </c>
      <c r="Q1242" s="24">
        <f>IFERROR(__xludf.DUMMYFUNCTION("iferror(filter('3.5.clean'!C:C,'3.5.clean'!A:A=C1242),"""")"),43826.0)</f>
        <v>43826</v>
      </c>
      <c r="R1242" s="23" t="b">
        <f t="shared" si="1013"/>
        <v>1</v>
      </c>
      <c r="S1242" s="25"/>
      <c r="V1242" s="1" t="s">
        <v>64</v>
      </c>
      <c r="X1242" s="23" t="str">
        <f>IFERROR(__xludf.DUMMYFUNCTION("if(COUNTA(FILTER(C:C, C:C = C1242))=1,""no"",""yes"")"),"no")</f>
        <v>no</v>
      </c>
    </row>
    <row r="1243">
      <c r="A1243" s="1" t="s">
        <v>968</v>
      </c>
      <c r="B1243" s="2">
        <v>2.0</v>
      </c>
      <c r="C1243" s="69" t="s">
        <v>1948</v>
      </c>
      <c r="D1243" s="58" t="str">
        <f t="shared" ref="D1243:D1244" si="1015">if(or(I1243=1,J1243=1,S1243=1),"pos","")</f>
        <v/>
      </c>
      <c r="E1243" s="59">
        <f>IFERROR(__xludf.DUMMYFUNCTION("ifna(IFNA(filter('2.1.clean'!C:C,'2.1.clean'!A:A=C1243),filter('2.2.clean'!E:E,'2.2.clean'!D:D=C1243)),filter('2.4.clean'!C:C,'2.4.clean'!A:A=C1243))"),43826.0)</f>
        <v>43826</v>
      </c>
      <c r="F1243" s="60">
        <f>IFERROR(__xludf.DUMMYFUNCTION("iferror(ifna(IFNA(filter('2.1.clean'!E:E,'2.1.clean'!A:A=C1243),filter('2.2.clean'!G:G,'2.2.clean'!D:D=C1243)),filter('2.4.clean'!E:E,'2.4.clean'!A:A=C1243)),)"),2.39999999999999)</f>
        <v>2.4</v>
      </c>
      <c r="G1243" s="59" t="str">
        <f>IFERROR(__xludf.DUMMYFUNCTION("iferror(filter('3.1.clean'!C:C,'3.1.clean'!A:A=C1243),"""")"),"")</f>
        <v/>
      </c>
      <c r="H1243" s="58" t="b">
        <f t="shared" si="1014"/>
        <v>0</v>
      </c>
      <c r="I1243" s="58" t="str">
        <f>IFERROR(__xludf.DUMMYFUNCTION("iferror(filter('3.1.clean'!G:G,'3.1.clean'!A:A=C1243),"""")"),"")</f>
        <v/>
      </c>
      <c r="J1243" s="60" t="str">
        <f>IFERROR(__xludf.DUMMYFUNCTION("iferror(filter('3.1.clean'!I:I,'3.1.clean'!A:A=C1243),"""")"),"")</f>
        <v/>
      </c>
      <c r="K1243" s="58"/>
      <c r="L1243" s="60"/>
      <c r="M1243" s="59">
        <f>IFERROR(__xludf.DUMMYFUNCTION("iferror(filter('3.3.clean'!C:C,'3.3.clean'!A:A=C1243),"""")"),43831.0)</f>
        <v>43831</v>
      </c>
      <c r="N1243" s="60" t="b">
        <f t="shared" si="964"/>
        <v>1</v>
      </c>
      <c r="O1243" s="59">
        <f>IFERROR(__xludf.DUMMYFUNCTION("iferror(filter('3.4.clean'!C:C,'3.4.clean'!A:A=C1243),"""")"),43831.0)</f>
        <v>43831</v>
      </c>
      <c r="P1243" s="60" t="b">
        <f t="shared" si="965"/>
        <v>1</v>
      </c>
      <c r="Q1243" s="59" t="str">
        <f>IFERROR(__xludf.DUMMYFUNCTION("iferror(filter('3.5.clean'!C:C,'3.5.clean'!A:A=C1243),"""")"),"")</f>
        <v/>
      </c>
      <c r="R1243" s="58"/>
      <c r="S1243" s="4" t="str">
        <f>IFERROR(__xludf.DUMMYFUNCTION("iferror(filter('3.5.clean'!H:H,'3.5.clean'!A:A=C1243),"""")"),"")</f>
        <v/>
      </c>
      <c r="W1243" s="23" t="b">
        <f>if(AND(H1243=TRUE,N1243=TRUE,P1243=TRUE),TRUE,FALSE)</f>
        <v>0</v>
      </c>
      <c r="X1243" s="23" t="str">
        <f>IFERROR(__xludf.DUMMYFUNCTION("if(COUNTA(FILTER(C:C, C:C = C1243))=1,""no"",""yes"")"),"no")</f>
        <v>no</v>
      </c>
    </row>
    <row r="1244">
      <c r="A1244" s="1" t="s">
        <v>968</v>
      </c>
      <c r="B1244" s="2">
        <v>3.0</v>
      </c>
      <c r="C1244" s="19" t="s">
        <v>1949</v>
      </c>
      <c r="D1244" s="58" t="str">
        <f t="shared" si="1015"/>
        <v/>
      </c>
      <c r="E1244" s="59">
        <f>Q1244</f>
        <v>43826</v>
      </c>
      <c r="F1244" s="60" t="str">
        <f>IFERROR(__xludf.DUMMYFUNCTION("iferror(ifna(IFNA(filter('2.1.clean'!E:E,'2.1.clean'!A:A=C1244),filter('2.2.clean'!G:G,'2.2.clean'!D:D=C1244)),filter('2.4.clean'!E:E,'2.4.clean'!A:A=C1244)),)"),"")</f>
        <v/>
      </c>
      <c r="G1244" s="59" t="str">
        <f>IFERROR(__xludf.DUMMYFUNCTION("iferror(filter('3.1.clean'!C:C,'3.1.clean'!A:A=C1244),"""")"),"")</f>
        <v/>
      </c>
      <c r="H1244" s="58"/>
      <c r="I1244" s="58" t="str">
        <f>IFERROR(__xludf.DUMMYFUNCTION("iferror(filter('3.1.clean'!G:G,'3.1.clean'!A:A=C1244),"""")"),"")</f>
        <v/>
      </c>
      <c r="J1244" s="60" t="str">
        <f>IFERROR(__xludf.DUMMYFUNCTION("iferror(filter('3.1.clean'!I:I,'3.1.clean'!A:A=C1244),"""")"),"")</f>
        <v/>
      </c>
      <c r="K1244" s="59"/>
      <c r="L1244" s="60"/>
      <c r="M1244" s="59" t="str">
        <f>IFERROR(__xludf.DUMMYFUNCTION("iferror(filter('3.3.clean'!C:C,'3.3.clean'!A:A=C1244),"""")"),"")</f>
        <v/>
      </c>
      <c r="N1244" s="60" t="b">
        <f t="shared" si="964"/>
        <v>0</v>
      </c>
      <c r="O1244" s="59" t="str">
        <f>IFERROR(__xludf.DUMMYFUNCTION("iferror(filter('3.4.clean'!C:C,'3.4.clean'!A:A=C1244),"""")"),"")</f>
        <v/>
      </c>
      <c r="P1244" s="60" t="b">
        <f t="shared" si="965"/>
        <v>0</v>
      </c>
      <c r="Q1244" s="59">
        <f>IFERROR(__xludf.DUMMYFUNCTION("iferror(filter('3.5.clean'!C:C,'3.5.clean'!A:A=C1244),"""")"),43826.0)</f>
        <v>43826</v>
      </c>
      <c r="R1244" s="58" t="b">
        <f t="shared" ref="R1244:R1245" si="1016">if(Q1244="",FALSE,TRUE)</f>
        <v>1</v>
      </c>
      <c r="S1244" s="4">
        <f>IFERROR(__xludf.DUMMYFUNCTION("iferror(filter('3.5.clean'!H:H,'3.5.clean'!A:A=C1244),"""")"),0.0)</f>
        <v>0</v>
      </c>
      <c r="V1244" s="52" t="s">
        <v>64</v>
      </c>
      <c r="W1244" s="23" t="b">
        <f>if(AND(R1244=TRUE,N1244=TRUE,P1244=TRUE),TRUE,FALSE)</f>
        <v>0</v>
      </c>
      <c r="X1244" s="23" t="str">
        <f>IFERROR(__xludf.DUMMYFUNCTION("if(COUNTA(FILTER(C:C, C:C = C1244))=1,""no"",""yes"")"),"no")</f>
        <v>no</v>
      </c>
    </row>
    <row r="1245">
      <c r="A1245" s="1" t="s">
        <v>968</v>
      </c>
      <c r="B1245" s="2">
        <v>4.0</v>
      </c>
      <c r="C1245" s="19" t="s">
        <v>1950</v>
      </c>
      <c r="E1245" s="24">
        <f>IFERROR(__xludf.DUMMYFUNCTION("ifna(IFNA(filter('2.1.clean'!C:C,'2.1.clean'!A:A=C1245),filter('2.2.clean'!E:E,'2.2.clean'!D:D=C1245)),filter('2.4.clean'!C:C,'2.4.clean'!A:A=C1245))"),43826.0)</f>
        <v>43826</v>
      </c>
      <c r="F1245" s="25">
        <f>IFERROR(__xludf.DUMMYFUNCTION("iferror(ifna(IFNA(filter('2.1.clean'!E:E,'2.1.clean'!A:A=C1245),filter('2.2.clean'!G:G,'2.2.clean'!D:D=C1245)),filter('2.4.clean'!E:E,'2.4.clean'!A:A=C1245)),)"),2.39999999999999)</f>
        <v>2.4</v>
      </c>
      <c r="G1245" s="24" t="str">
        <f>IFERROR(__xludf.DUMMYFUNCTION("iferror(filter('3.1.clean'!C:C,'3.1.clean'!A:A=C1245),"""")"),"")</f>
        <v/>
      </c>
      <c r="H1245" s="23" t="b">
        <f t="shared" ref="H1245:H1246" si="1017">if(G1245="",FALSE,TRUE)</f>
        <v>0</v>
      </c>
      <c r="J1245" s="25"/>
      <c r="K1245" s="24">
        <f>IFERROR(__xludf.DUMMYFUNCTION("iferror(filter('3.2.clean'!C:C,'3.2.clean'!A:A=C1245),"""")"),43830.0)</f>
        <v>43830</v>
      </c>
      <c r="L1245" s="25" t="b">
        <f>if(K1245="",FALSE,TRUE)</f>
        <v>1</v>
      </c>
      <c r="M1245" s="24">
        <f>IFERROR(__xludf.DUMMYFUNCTION("iferror(filter('3.3.clean'!C:C,'3.3.clean'!A:A=C1245),"""")"),43831.0)</f>
        <v>43831</v>
      </c>
      <c r="N1245" s="25" t="b">
        <f t="shared" si="964"/>
        <v>1</v>
      </c>
      <c r="O1245" s="24">
        <f>IFERROR(__xludf.DUMMYFUNCTION("iferror(filter('3.4.clean'!C:C,'3.4.clean'!A:A=C1245),"""")"),43831.0)</f>
        <v>43831</v>
      </c>
      <c r="P1245" s="25" t="b">
        <f t="shared" si="965"/>
        <v>1</v>
      </c>
      <c r="Q1245" s="24">
        <f>IFERROR(__xludf.DUMMYFUNCTION("iferror(filter('3.5.clean'!C:C,'3.5.clean'!A:A=C1245),"""")"),43826.0)</f>
        <v>43826</v>
      </c>
      <c r="R1245" s="23" t="b">
        <f t="shared" si="1016"/>
        <v>1</v>
      </c>
      <c r="S1245" s="25"/>
      <c r="V1245" s="1" t="s">
        <v>64</v>
      </c>
      <c r="X1245" s="23" t="str">
        <f>IFERROR(__xludf.DUMMYFUNCTION("if(COUNTA(FILTER(C:C, C:C = C1245))=1,""no"",""yes"")"),"no")</f>
        <v>no</v>
      </c>
    </row>
    <row r="1246">
      <c r="A1246" s="1" t="s">
        <v>968</v>
      </c>
      <c r="B1246" s="2">
        <v>5.0</v>
      </c>
      <c r="C1246" s="19" t="s">
        <v>1951</v>
      </c>
      <c r="D1246" s="58" t="str">
        <f t="shared" ref="D1246:D1247" si="1018">if(or(I1246=1,J1246=1,S1246=1),"pos","")</f>
        <v/>
      </c>
      <c r="E1246" s="59">
        <f>IFERROR(__xludf.DUMMYFUNCTION("ifna(IFNA(filter('2.1.clean'!C:C,'2.1.clean'!A:A=C1246),filter('2.2.clean'!E:E,'2.2.clean'!D:D=C1246)),filter('2.4.clean'!C:C,'2.4.clean'!A:A=C1246))"),43826.0)</f>
        <v>43826</v>
      </c>
      <c r="F1246" s="60">
        <f>IFERROR(__xludf.DUMMYFUNCTION("iferror(ifna(IFNA(filter('2.1.clean'!E:E,'2.1.clean'!A:A=C1246),filter('2.2.clean'!G:G,'2.2.clean'!D:D=C1246)),filter('2.4.clean'!E:E,'2.4.clean'!A:A=C1246)),)"),2.39999999999999)</f>
        <v>2.4</v>
      </c>
      <c r="G1246" s="59" t="str">
        <f>IFERROR(__xludf.DUMMYFUNCTION("iferror(filter('3.1.clean'!C:C,'3.1.clean'!A:A=C1246),"""")"),"")</f>
        <v/>
      </c>
      <c r="H1246" s="58" t="b">
        <f t="shared" si="1017"/>
        <v>0</v>
      </c>
      <c r="I1246" s="58" t="str">
        <f>IFERROR(__xludf.DUMMYFUNCTION("iferror(filter('3.1.clean'!G:G,'3.1.clean'!A:A=C1246),"""")"),"")</f>
        <v/>
      </c>
      <c r="J1246" s="60" t="str">
        <f>IFERROR(__xludf.DUMMYFUNCTION("iferror(filter('3.1.clean'!I:I,'3.1.clean'!A:A=C1246),"""")"),"")</f>
        <v/>
      </c>
      <c r="K1246" s="58"/>
      <c r="L1246" s="60"/>
      <c r="M1246" s="59" t="str">
        <f>IFERROR(__xludf.DUMMYFUNCTION("iferror(filter('3.3.clean'!C:C,'3.3.clean'!A:A=C1246),"""")"),"")</f>
        <v/>
      </c>
      <c r="N1246" s="60" t="b">
        <f t="shared" si="964"/>
        <v>0</v>
      </c>
      <c r="O1246" s="59" t="str">
        <f>IFERROR(__xludf.DUMMYFUNCTION("iferror(filter('3.4.clean'!C:C,'3.4.clean'!A:A=C1246),"""")"),"")</f>
        <v/>
      </c>
      <c r="P1246" s="60" t="b">
        <f t="shared" si="965"/>
        <v>0</v>
      </c>
      <c r="Q1246" s="59" t="str">
        <f>IFERROR(__xludf.DUMMYFUNCTION("iferror(filter('3.5.clean'!C:C,'3.5.clean'!A:A=C1246),"""")"),"")</f>
        <v/>
      </c>
      <c r="R1246" s="58"/>
      <c r="S1246" s="4" t="str">
        <f>IFERROR(__xludf.DUMMYFUNCTION("iferror(filter('3.5.clean'!H:H,'3.5.clean'!A:A=C1246),"""")"),"")</f>
        <v/>
      </c>
      <c r="W1246" s="23" t="b">
        <f>if(AND(H1246=TRUE,N1246=TRUE,P1246=TRUE),TRUE,FALSE)</f>
        <v>0</v>
      </c>
      <c r="X1246" s="23" t="str">
        <f>IFERROR(__xludf.DUMMYFUNCTION("if(COUNTA(FILTER(C:C, C:C = C1246))=1,""no"",""yes"")"),"no")</f>
        <v>no</v>
      </c>
    </row>
    <row r="1247">
      <c r="A1247" s="1" t="s">
        <v>968</v>
      </c>
      <c r="B1247" s="2">
        <v>6.0</v>
      </c>
      <c r="C1247" s="19" t="s">
        <v>1952</v>
      </c>
      <c r="D1247" s="58" t="str">
        <f t="shared" si="1018"/>
        <v/>
      </c>
      <c r="E1247" s="59">
        <f>Q1247</f>
        <v>43826</v>
      </c>
      <c r="F1247" s="60" t="str">
        <f>IFERROR(__xludf.DUMMYFUNCTION("iferror(ifna(IFNA(filter('2.1.clean'!E:E,'2.1.clean'!A:A=C1247),filter('2.2.clean'!G:G,'2.2.clean'!D:D=C1247)),filter('2.4.clean'!E:E,'2.4.clean'!A:A=C1247)),)"),"")</f>
        <v/>
      </c>
      <c r="G1247" s="59" t="str">
        <f>IFERROR(__xludf.DUMMYFUNCTION("iferror(filter('3.1.clean'!C:C,'3.1.clean'!A:A=C1247),"""")"),"")</f>
        <v/>
      </c>
      <c r="H1247" s="58"/>
      <c r="I1247" s="58" t="str">
        <f>IFERROR(__xludf.DUMMYFUNCTION("iferror(filter('3.1.clean'!G:G,'3.1.clean'!A:A=C1247),"""")"),"")</f>
        <v/>
      </c>
      <c r="J1247" s="60" t="str">
        <f>IFERROR(__xludf.DUMMYFUNCTION("iferror(filter('3.1.clean'!I:I,'3.1.clean'!A:A=C1247),"""")"),"")</f>
        <v/>
      </c>
      <c r="K1247" s="59"/>
      <c r="L1247" s="60"/>
      <c r="M1247" s="59" t="str">
        <f>IFERROR(__xludf.DUMMYFUNCTION("iferror(filter('3.3.clean'!C:C,'3.3.clean'!A:A=C1247),"""")"),"")</f>
        <v/>
      </c>
      <c r="N1247" s="60" t="b">
        <f t="shared" si="964"/>
        <v>0</v>
      </c>
      <c r="O1247" s="59" t="str">
        <f>IFERROR(__xludf.DUMMYFUNCTION("iferror(filter('3.4.clean'!C:C,'3.4.clean'!A:A=C1247),"""")"),"")</f>
        <v/>
      </c>
      <c r="P1247" s="60" t="b">
        <f t="shared" si="965"/>
        <v>0</v>
      </c>
      <c r="Q1247" s="59">
        <f>IFERROR(__xludf.DUMMYFUNCTION("iferror(filter('3.5.clean'!C:C,'3.5.clean'!A:A=C1247),"""")"),43826.0)</f>
        <v>43826</v>
      </c>
      <c r="R1247" s="58" t="b">
        <f t="shared" ref="R1247:R1248" si="1019">if(Q1247="",FALSE,TRUE)</f>
        <v>1</v>
      </c>
      <c r="S1247" s="4">
        <f>IFERROR(__xludf.DUMMYFUNCTION("iferror(filter('3.5.clean'!H:H,'3.5.clean'!A:A=C1247),"""")"),0.0)</f>
        <v>0</v>
      </c>
      <c r="V1247" s="52" t="s">
        <v>64</v>
      </c>
      <c r="W1247" s="23" t="b">
        <f>if(AND(R1247=TRUE,N1247=TRUE,P1247=TRUE),TRUE,FALSE)</f>
        <v>0</v>
      </c>
      <c r="X1247" s="23" t="str">
        <f>IFERROR(__xludf.DUMMYFUNCTION("if(COUNTA(FILTER(C:C, C:C = C1247))=1,""no"",""yes"")"),"no")</f>
        <v>no</v>
      </c>
    </row>
    <row r="1248">
      <c r="A1248" s="1" t="s">
        <v>968</v>
      </c>
      <c r="B1248" s="2">
        <v>7.0</v>
      </c>
      <c r="C1248" s="19" t="s">
        <v>1953</v>
      </c>
      <c r="E1248" s="24">
        <f>IFERROR(__xludf.DUMMYFUNCTION("ifna(IFNA(filter('2.1.clean'!C:C,'2.1.clean'!A:A=C1248),filter('2.2.clean'!E:E,'2.2.clean'!D:D=C1248)),filter('2.4.clean'!C:C,'2.4.clean'!A:A=C1248))"),43826.0)</f>
        <v>43826</v>
      </c>
      <c r="F1248" s="25">
        <f>IFERROR(__xludf.DUMMYFUNCTION("iferror(ifna(IFNA(filter('2.1.clean'!E:E,'2.1.clean'!A:A=C1248),filter('2.2.clean'!G:G,'2.2.clean'!D:D=C1248)),filter('2.4.clean'!E:E,'2.4.clean'!A:A=C1248)),)"),2.39999999999999)</f>
        <v>2.4</v>
      </c>
      <c r="G1248" s="24"/>
      <c r="J1248" s="25"/>
      <c r="K1248" s="24"/>
      <c r="L1248" s="25"/>
      <c r="M1248" s="24">
        <f>IFERROR(__xludf.DUMMYFUNCTION("iferror(filter('3.3.clean'!C:C,'3.3.clean'!A:A=C1248),"""")"),43831.0)</f>
        <v>43831</v>
      </c>
      <c r="N1248" s="25" t="b">
        <f t="shared" si="964"/>
        <v>1</v>
      </c>
      <c r="O1248" s="24">
        <f>IFERROR(__xludf.DUMMYFUNCTION("iferror(filter('3.4.clean'!C:C,'3.4.clean'!A:A=C1248),"""")"),43831.0)</f>
        <v>43831</v>
      </c>
      <c r="P1248" s="25" t="b">
        <f t="shared" si="965"/>
        <v>1</v>
      </c>
      <c r="Q1248" s="24">
        <f>IFERROR(__xludf.DUMMYFUNCTION("iferror(filter('3.5.clean'!C:C,'3.5.clean'!A:A=C1248),"""")"),43826.0)</f>
        <v>43826</v>
      </c>
      <c r="R1248" s="23" t="b">
        <f t="shared" si="1019"/>
        <v>1</v>
      </c>
      <c r="S1248" s="25"/>
      <c r="V1248" s="52" t="s">
        <v>64</v>
      </c>
      <c r="W1248" s="23" t="b">
        <f>IF(and(R1248=TRUE,N1248=TRUE,P1248=TRUE),TRUE,FALSE)</f>
        <v>1</v>
      </c>
      <c r="X1248" s="23" t="str">
        <f>IFERROR(__xludf.DUMMYFUNCTION("if(COUNTA(FILTER(C:C, C:C = C1248))=1,""no"",""yes"")"),"no")</f>
        <v>no</v>
      </c>
    </row>
    <row r="1249">
      <c r="A1249" s="1" t="s">
        <v>968</v>
      </c>
      <c r="B1249" s="2">
        <v>8.0</v>
      </c>
      <c r="C1249" s="19" t="s">
        <v>1954</v>
      </c>
      <c r="D1249" s="58" t="str">
        <f t="shared" ref="D1249:D1250" si="1020">if(or(I1249=1,J1249=1,S1249=1),"pos","")</f>
        <v/>
      </c>
      <c r="E1249" s="59">
        <f>IFERROR(__xludf.DUMMYFUNCTION("ifna(IFNA(filter('2.1.clean'!C:C,'2.1.clean'!A:A=C1249),filter('2.2.clean'!E:E,'2.2.clean'!D:D=C1249)),filter('2.4.clean'!C:C,'2.4.clean'!A:A=C1249))"),43826.0)</f>
        <v>43826</v>
      </c>
      <c r="F1249" s="60">
        <f>IFERROR(__xludf.DUMMYFUNCTION("iferror(ifna(IFNA(filter('2.1.clean'!E:E,'2.1.clean'!A:A=C1249),filter('2.2.clean'!G:G,'2.2.clean'!D:D=C1249)),filter('2.4.clean'!E:E,'2.4.clean'!A:A=C1249)),)"),2.39999999999999)</f>
        <v>2.4</v>
      </c>
      <c r="G1249" s="59" t="str">
        <f>IFERROR(__xludf.DUMMYFUNCTION("iferror(filter('3.1.clean'!C:C,'3.1.clean'!A:A=C1249),"""")"),"")</f>
        <v/>
      </c>
      <c r="H1249" s="58" t="b">
        <f>if(G1249="",FALSE,TRUE)</f>
        <v>0</v>
      </c>
      <c r="I1249" s="58" t="str">
        <f>IFERROR(__xludf.DUMMYFUNCTION("iferror(filter('3.1.clean'!G:G,'3.1.clean'!A:A=C1249),"""")"),"")</f>
        <v/>
      </c>
      <c r="J1249" s="60" t="str">
        <f>IFERROR(__xludf.DUMMYFUNCTION("iferror(filter('3.1.clean'!I:I,'3.1.clean'!A:A=C1249),"""")"),"")</f>
        <v/>
      </c>
      <c r="K1249" s="58"/>
      <c r="L1249" s="60"/>
      <c r="M1249" s="59" t="str">
        <f>IFERROR(__xludf.DUMMYFUNCTION("iferror(filter('3.3.clean'!C:C,'3.3.clean'!A:A=C1249),"""")"),"")</f>
        <v/>
      </c>
      <c r="N1249" s="60" t="b">
        <f t="shared" si="964"/>
        <v>0</v>
      </c>
      <c r="O1249" s="59" t="str">
        <f>IFERROR(__xludf.DUMMYFUNCTION("iferror(filter('3.4.clean'!C:C,'3.4.clean'!A:A=C1249),"""")"),"")</f>
        <v/>
      </c>
      <c r="P1249" s="60" t="b">
        <f t="shared" si="965"/>
        <v>0</v>
      </c>
      <c r="Q1249" s="59" t="str">
        <f>IFERROR(__xludf.DUMMYFUNCTION("iferror(filter('3.5.clean'!C:C,'3.5.clean'!A:A=C1249),"""")"),"")</f>
        <v/>
      </c>
      <c r="R1249" s="58"/>
      <c r="S1249" s="4" t="str">
        <f>IFERROR(__xludf.DUMMYFUNCTION("iferror(filter('3.5.clean'!H:H,'3.5.clean'!A:A=C1249),"""")"),"")</f>
        <v/>
      </c>
      <c r="W1249" s="23" t="b">
        <f>if(AND(H1249=TRUE,N1249=TRUE,P1249=TRUE),TRUE,FALSE)</f>
        <v>0</v>
      </c>
      <c r="X1249" s="23" t="str">
        <f>IFERROR(__xludf.DUMMYFUNCTION("if(COUNTA(FILTER(C:C, C:C = C1249))=1,""no"",""yes"")"),"no")</f>
        <v>no</v>
      </c>
    </row>
    <row r="1250">
      <c r="A1250" s="1" t="s">
        <v>968</v>
      </c>
      <c r="B1250" s="2">
        <v>9.0</v>
      </c>
      <c r="C1250" s="19" t="s">
        <v>1955</v>
      </c>
      <c r="D1250" s="58" t="str">
        <f t="shared" si="1020"/>
        <v/>
      </c>
      <c r="E1250" s="59">
        <f>Q1250</f>
        <v>43826</v>
      </c>
      <c r="F1250" s="60" t="str">
        <f>IFERROR(__xludf.DUMMYFUNCTION("iferror(ifna(IFNA(filter('2.1.clean'!E:E,'2.1.clean'!A:A=C1250),filter('2.2.clean'!G:G,'2.2.clean'!D:D=C1250)),filter('2.4.clean'!E:E,'2.4.clean'!A:A=C1250)),)"),"")</f>
        <v/>
      </c>
      <c r="G1250" s="59" t="str">
        <f>IFERROR(__xludf.DUMMYFUNCTION("iferror(filter('3.1.clean'!C:C,'3.1.clean'!A:A=C1250),"""")"),"")</f>
        <v/>
      </c>
      <c r="H1250" s="58"/>
      <c r="I1250" s="58" t="str">
        <f>IFERROR(__xludf.DUMMYFUNCTION("iferror(filter('3.1.clean'!G:G,'3.1.clean'!A:A=C1250),"""")"),"")</f>
        <v/>
      </c>
      <c r="J1250" s="60" t="str">
        <f>IFERROR(__xludf.DUMMYFUNCTION("iferror(filter('3.1.clean'!I:I,'3.1.clean'!A:A=C1250),"""")"),"")</f>
        <v/>
      </c>
      <c r="K1250" s="59"/>
      <c r="L1250" s="60"/>
      <c r="M1250" s="59" t="str">
        <f>IFERROR(__xludf.DUMMYFUNCTION("iferror(filter('3.3.clean'!C:C,'3.3.clean'!A:A=C1250),"""")"),"")</f>
        <v/>
      </c>
      <c r="N1250" s="60" t="b">
        <f t="shared" si="964"/>
        <v>0</v>
      </c>
      <c r="O1250" s="59" t="str">
        <f>IFERROR(__xludf.DUMMYFUNCTION("iferror(filter('3.4.clean'!C:C,'3.4.clean'!A:A=C1250),"""")"),"")</f>
        <v/>
      </c>
      <c r="P1250" s="60" t="b">
        <f t="shared" si="965"/>
        <v>0</v>
      </c>
      <c r="Q1250" s="59">
        <f>IFERROR(__xludf.DUMMYFUNCTION("iferror(filter('3.5.clean'!C:C,'3.5.clean'!A:A=C1250),"""")"),43826.0)</f>
        <v>43826</v>
      </c>
      <c r="R1250" s="58" t="b">
        <f t="shared" ref="R1250:R1251" si="1021">if(Q1250="",FALSE,TRUE)</f>
        <v>1</v>
      </c>
      <c r="S1250" s="4">
        <f>IFERROR(__xludf.DUMMYFUNCTION("iferror(filter('3.5.clean'!H:H,'3.5.clean'!A:A=C1250),"""")"),0.0)</f>
        <v>0</v>
      </c>
      <c r="V1250" s="52" t="s">
        <v>64</v>
      </c>
      <c r="W1250" s="23" t="b">
        <f>if(AND(R1250=TRUE,N1250=TRUE,P1250=TRUE),TRUE,FALSE)</f>
        <v>0</v>
      </c>
      <c r="X1250" s="23" t="str">
        <f>IFERROR(__xludf.DUMMYFUNCTION("if(COUNTA(FILTER(C:C, C:C = C1250))=1,""no"",""yes"")"),"no")</f>
        <v>no</v>
      </c>
    </row>
    <row r="1251">
      <c r="A1251" s="1" t="s">
        <v>968</v>
      </c>
      <c r="B1251" s="2">
        <v>10.0</v>
      </c>
      <c r="C1251" s="19" t="s">
        <v>1956</v>
      </c>
      <c r="E1251" s="24">
        <f>IFERROR(__xludf.DUMMYFUNCTION("ifna(IFNA(filter('2.1.clean'!C:C,'2.1.clean'!A:A=C1251),filter('2.2.clean'!E:E,'2.2.clean'!D:D=C1251)),filter('2.4.clean'!C:C,'2.4.clean'!A:A=C1251))"),43826.0)</f>
        <v>43826</v>
      </c>
      <c r="F1251" s="25">
        <f>IFERROR(__xludf.DUMMYFUNCTION("iferror(ifna(IFNA(filter('2.1.clean'!E:E,'2.1.clean'!A:A=C1251),filter('2.2.clean'!G:G,'2.2.clean'!D:D=C1251)),filter('2.4.clean'!E:E,'2.4.clean'!A:A=C1251)),)"),2.39999999999999)</f>
        <v>2.4</v>
      </c>
      <c r="G1251" s="24"/>
      <c r="J1251" s="25"/>
      <c r="K1251" s="24"/>
      <c r="L1251" s="25"/>
      <c r="M1251" s="24">
        <f>IFERROR(__xludf.DUMMYFUNCTION("iferror(filter('3.3.clean'!C:C,'3.3.clean'!A:A=C1251),"""")"),43831.0)</f>
        <v>43831</v>
      </c>
      <c r="N1251" s="25" t="b">
        <f t="shared" si="964"/>
        <v>1</v>
      </c>
      <c r="O1251" s="24">
        <f>IFERROR(__xludf.DUMMYFUNCTION("iferror(filter('3.4.clean'!C:C,'3.4.clean'!A:A=C1251),"""")"),43831.0)</f>
        <v>43831</v>
      </c>
      <c r="P1251" s="25" t="b">
        <f t="shared" si="965"/>
        <v>1</v>
      </c>
      <c r="Q1251" s="24">
        <f>IFERROR(__xludf.DUMMYFUNCTION("iferror(filter('3.5.clean'!C:C,'3.5.clean'!A:A=C1251),"""")"),43826.0)</f>
        <v>43826</v>
      </c>
      <c r="R1251" s="23" t="b">
        <f t="shared" si="1021"/>
        <v>1</v>
      </c>
      <c r="S1251" s="25"/>
      <c r="V1251" s="52" t="s">
        <v>64</v>
      </c>
      <c r="W1251" s="23" t="b">
        <f>IF(and(R1251=TRUE,N1251=TRUE,P1251=TRUE),TRUE,FALSE)</f>
        <v>1</v>
      </c>
      <c r="X1251" s="23" t="str">
        <f>IFERROR(__xludf.DUMMYFUNCTION("if(COUNTA(FILTER(C:C, C:C = C1251))=1,""no"",""yes"")"),"no")</f>
        <v>no</v>
      </c>
    </row>
    <row r="1252">
      <c r="A1252" s="1" t="s">
        <v>968</v>
      </c>
      <c r="B1252" s="2">
        <v>11.0</v>
      </c>
      <c r="C1252" s="19" t="s">
        <v>1957</v>
      </c>
      <c r="D1252" s="58" t="str">
        <f t="shared" ref="D1252:D1254" si="1022">if(or(I1252=1,J1252=1,S1252=1),"pos","")</f>
        <v/>
      </c>
      <c r="E1252" s="59">
        <f>IFERROR(__xludf.DUMMYFUNCTION("ifna(IFNA(filter('2.1.clean'!C:C,'2.1.clean'!A:A=C1252),filter('2.2.clean'!E:E,'2.2.clean'!D:D=C1252)),filter('2.4.clean'!C:C,'2.4.clean'!A:A=C1252))"),43826.0)</f>
        <v>43826</v>
      </c>
      <c r="F1252" s="60">
        <f>IFERROR(__xludf.DUMMYFUNCTION("iferror(ifna(IFNA(filter('2.1.clean'!E:E,'2.1.clean'!A:A=C1252),filter('2.2.clean'!G:G,'2.2.clean'!D:D=C1252)),filter('2.4.clean'!E:E,'2.4.clean'!A:A=C1252)),)"),2.39999999999999)</f>
        <v>2.4</v>
      </c>
      <c r="G1252" s="59" t="str">
        <f>IFERROR(__xludf.DUMMYFUNCTION("iferror(filter('3.1.clean'!C:C,'3.1.clean'!A:A=C1252),"""")"),"")</f>
        <v/>
      </c>
      <c r="H1252" s="58" t="b">
        <f>if(G1252="",FALSE,TRUE)</f>
        <v>0</v>
      </c>
      <c r="I1252" s="58" t="str">
        <f>IFERROR(__xludf.DUMMYFUNCTION("iferror(filter('3.1.clean'!G:G,'3.1.clean'!A:A=C1252),"""")"),"")</f>
        <v/>
      </c>
      <c r="J1252" s="60" t="str">
        <f>IFERROR(__xludf.DUMMYFUNCTION("iferror(filter('3.1.clean'!I:I,'3.1.clean'!A:A=C1252),"""")"),"")</f>
        <v/>
      </c>
      <c r="K1252" s="58"/>
      <c r="L1252" s="60"/>
      <c r="M1252" s="59" t="str">
        <f>IFERROR(__xludf.DUMMYFUNCTION("iferror(filter('3.3.clean'!C:C,'3.3.clean'!A:A=C1252),"""")"),"")</f>
        <v/>
      </c>
      <c r="N1252" s="60" t="b">
        <f t="shared" si="964"/>
        <v>0</v>
      </c>
      <c r="O1252" s="59" t="str">
        <f>IFERROR(__xludf.DUMMYFUNCTION("iferror(filter('3.4.clean'!C:C,'3.4.clean'!A:A=C1252),"""")"),"")</f>
        <v/>
      </c>
      <c r="P1252" s="60" t="b">
        <f t="shared" si="965"/>
        <v>0</v>
      </c>
      <c r="Q1252" s="59" t="str">
        <f>IFERROR(__xludf.DUMMYFUNCTION("iferror(filter('3.5.clean'!C:C,'3.5.clean'!A:A=C1252),"""")"),"")</f>
        <v/>
      </c>
      <c r="R1252" s="58"/>
      <c r="S1252" s="4" t="str">
        <f>IFERROR(__xludf.DUMMYFUNCTION("iferror(filter('3.5.clean'!H:H,'3.5.clean'!A:A=C1252),"""")"),"")</f>
        <v/>
      </c>
      <c r="W1252" s="23" t="b">
        <f>if(AND(H1252=TRUE,N1252=TRUE,P1252=TRUE),TRUE,FALSE)</f>
        <v>0</v>
      </c>
      <c r="X1252" s="23" t="str">
        <f>IFERROR(__xludf.DUMMYFUNCTION("if(COUNTA(FILTER(C:C, C:C = C1252))=1,""no"",""yes"")"),"no")</f>
        <v>no</v>
      </c>
    </row>
    <row r="1253">
      <c r="A1253" s="1" t="s">
        <v>968</v>
      </c>
      <c r="B1253" s="2">
        <v>12.0</v>
      </c>
      <c r="C1253" s="19" t="s">
        <v>1958</v>
      </c>
      <c r="D1253" s="58" t="str">
        <f t="shared" si="1022"/>
        <v/>
      </c>
      <c r="E1253" s="59">
        <f t="shared" ref="E1253:E1254" si="1023">Q1253</f>
        <v>43826</v>
      </c>
      <c r="F1253" s="60" t="str">
        <f>IFERROR(__xludf.DUMMYFUNCTION("iferror(ifna(IFNA(filter('2.1.clean'!E:E,'2.1.clean'!A:A=C1253),filter('2.2.clean'!G:G,'2.2.clean'!D:D=C1253)),filter('2.4.clean'!E:E,'2.4.clean'!A:A=C1253)),)"),"")</f>
        <v/>
      </c>
      <c r="G1253" s="59" t="str">
        <f>IFERROR(__xludf.DUMMYFUNCTION("iferror(filter('3.1.clean'!C:C,'3.1.clean'!A:A=C1253),"""")"),"")</f>
        <v/>
      </c>
      <c r="H1253" s="58"/>
      <c r="I1253" s="58" t="str">
        <f>IFERROR(__xludf.DUMMYFUNCTION("iferror(filter('3.1.clean'!G:G,'3.1.clean'!A:A=C1253),"""")"),"")</f>
        <v/>
      </c>
      <c r="J1253" s="60" t="str">
        <f>IFERROR(__xludf.DUMMYFUNCTION("iferror(filter('3.1.clean'!I:I,'3.1.clean'!A:A=C1253),"""")"),"")</f>
        <v/>
      </c>
      <c r="K1253" s="59"/>
      <c r="L1253" s="60"/>
      <c r="M1253" s="59" t="str">
        <f>IFERROR(__xludf.DUMMYFUNCTION("iferror(filter('3.3.clean'!C:C,'3.3.clean'!A:A=C1253),"""")"),"")</f>
        <v/>
      </c>
      <c r="N1253" s="60" t="b">
        <f t="shared" si="964"/>
        <v>0</v>
      </c>
      <c r="O1253" s="59" t="str">
        <f>IFERROR(__xludf.DUMMYFUNCTION("iferror(filter('3.4.clean'!C:C,'3.4.clean'!A:A=C1253),"""")"),"")</f>
        <v/>
      </c>
      <c r="P1253" s="60" t="b">
        <f t="shared" si="965"/>
        <v>0</v>
      </c>
      <c r="Q1253" s="59">
        <f>IFERROR(__xludf.DUMMYFUNCTION("iferror(filter('3.5.clean'!C:C,'3.5.clean'!A:A=C1253),"""")"),43826.0)</f>
        <v>43826</v>
      </c>
      <c r="R1253" s="58" t="b">
        <f t="shared" ref="R1253:R1255" si="1024">if(Q1253="",FALSE,TRUE)</f>
        <v>1</v>
      </c>
      <c r="S1253" s="4">
        <f>IFERROR(__xludf.DUMMYFUNCTION("iferror(filter('3.5.clean'!H:H,'3.5.clean'!A:A=C1253),"""")"),0.0)</f>
        <v>0</v>
      </c>
      <c r="V1253" s="52" t="s">
        <v>64</v>
      </c>
      <c r="W1253" s="23" t="b">
        <f>if(AND(R1253=TRUE,N1253=TRUE,P1253=TRUE),TRUE,FALSE)</f>
        <v>0</v>
      </c>
      <c r="X1253" s="23" t="str">
        <f>IFERROR(__xludf.DUMMYFUNCTION("if(COUNTA(FILTER(C:C, C:C = C1253))=1,""no"",""yes"")"),"no")</f>
        <v>no</v>
      </c>
    </row>
    <row r="1254">
      <c r="A1254" s="1" t="s">
        <v>968</v>
      </c>
      <c r="B1254" s="19">
        <v>13.0</v>
      </c>
      <c r="C1254" s="19" t="s">
        <v>1959</v>
      </c>
      <c r="D1254" s="22" t="str">
        <f t="shared" si="1022"/>
        <v/>
      </c>
      <c r="E1254" s="20">
        <f t="shared" si="1023"/>
        <v>43826</v>
      </c>
      <c r="F1254" s="79" t="str">
        <f>IFERROR(__xludf.DUMMYFUNCTION("iferror(ifna(IFNA(filter('2.1.clean'!E:E,'2.1.clean'!A:A=C1254),filter('2.2.clean'!G:G,'2.2.clean'!D:D=C1254)),filter('2.4.clean'!E:E,'2.4.clean'!A:A=C1254)),)"),"")</f>
        <v/>
      </c>
      <c r="G1254" s="20" t="str">
        <f>IFERROR(__xludf.DUMMYFUNCTION("iferror(filter('3.1.clean'!C:C,'3.1.clean'!A:A=C1254),"""")"),"")</f>
        <v/>
      </c>
      <c r="H1254" s="22"/>
      <c r="I1254" s="22"/>
      <c r="J1254" s="79"/>
      <c r="K1254" s="20" t="str">
        <f>IFERROR(__xludf.DUMMYFUNCTION("iferror(filter('3.2.clean'!C:C,'3.2.clean'!A:A=C1254),"""")"),"")</f>
        <v/>
      </c>
      <c r="L1254" s="79"/>
      <c r="M1254" s="20" t="str">
        <f>IFERROR(__xludf.DUMMYFUNCTION("iferror(filter('3.3.clean'!C:C,'3.3.clean'!A:A=C1254),"""")"),"")</f>
        <v/>
      </c>
      <c r="N1254" s="79" t="b">
        <f t="shared" si="964"/>
        <v>0</v>
      </c>
      <c r="O1254" s="20" t="str">
        <f>IFERROR(__xludf.DUMMYFUNCTION("iferror(filter('3.4.clean'!C:C,'3.4.clean'!A:A=C1254),"""")"),"")</f>
        <v/>
      </c>
      <c r="P1254" s="79" t="b">
        <f t="shared" si="965"/>
        <v>0</v>
      </c>
      <c r="Q1254" s="20">
        <f>IFERROR(__xludf.DUMMYFUNCTION("iferror(filter('3.5.clean'!C:C,'3.5.clean'!A:A=C1254),"""")"),43826.0)</f>
        <v>43826</v>
      </c>
      <c r="R1254" s="22" t="b">
        <f t="shared" si="1024"/>
        <v>1</v>
      </c>
      <c r="S1254" s="4">
        <f>IFERROR(__xludf.DUMMYFUNCTION("iferror(filter('3.5.clean'!H:H,'3.5.clean'!A:A=C1254),"""")"),0.0)</f>
        <v>0</v>
      </c>
      <c r="V1254" s="1" t="s">
        <v>64</v>
      </c>
      <c r="W1254" s="23" t="b">
        <f>IF(and(R1254=TRUE,N1254=TRUE,P1254=TRUE),TRUE,FALSE)</f>
        <v>0</v>
      </c>
      <c r="X1254" s="23" t="str">
        <f>IFERROR(__xludf.DUMMYFUNCTION("if(COUNTA(FILTER(C:C, C:C = C1254))=1,""no"",""yes"")"),"no")</f>
        <v>no</v>
      </c>
    </row>
    <row r="1255">
      <c r="A1255" s="75" t="s">
        <v>971</v>
      </c>
      <c r="B1255" s="2">
        <v>1.0</v>
      </c>
      <c r="C1255" s="19" t="s">
        <v>1960</v>
      </c>
      <c r="E1255" s="24">
        <f>IFERROR(__xludf.DUMMYFUNCTION("ifna(IFNA(filter('2.1.clean'!C:C,'2.1.clean'!A:A=C1255),filter('2.2.clean'!E:E,'2.2.clean'!D:D=C1255)),filter('2.4.clean'!C:C,'2.4.clean'!A:A=C1255))"),43829.0)</f>
        <v>43829</v>
      </c>
      <c r="F1255" s="25">
        <f>IFERROR(__xludf.DUMMYFUNCTION("iferror(ifna(IFNA(filter('2.1.clean'!E:E,'2.1.clean'!A:A=C1255),filter('2.2.clean'!G:G,'2.2.clean'!D:D=C1255)),filter('2.4.clean'!E:E,'2.4.clean'!A:A=C1255)),)"),2.39999999999999)</f>
        <v>2.4</v>
      </c>
      <c r="G1255" s="24" t="str">
        <f>IFERROR(__xludf.DUMMYFUNCTION("iferror(filter('3.1.clean'!C:C,'3.1.clean'!A:A=C1255),"""")"),"")</f>
        <v/>
      </c>
      <c r="H1255" s="23" t="b">
        <f t="shared" ref="H1255:H1256" si="1025">if(G1255="",FALSE,TRUE)</f>
        <v>0</v>
      </c>
      <c r="J1255" s="25"/>
      <c r="K1255" s="24">
        <f>IFERROR(__xludf.DUMMYFUNCTION("iferror(filter('3.2.clean'!C:C,'3.2.clean'!A:A=C1255),"""")"),43830.0)</f>
        <v>43830</v>
      </c>
      <c r="L1255" s="25" t="b">
        <f>if(K1255="",FALSE,TRUE)</f>
        <v>1</v>
      </c>
      <c r="M1255" s="24">
        <f>IFERROR(__xludf.DUMMYFUNCTION("iferror(filter('3.3.clean'!C:C,'3.3.clean'!A:A=C1255),"""")"),43831.0)</f>
        <v>43831</v>
      </c>
      <c r="N1255" s="25" t="b">
        <f t="shared" si="964"/>
        <v>1</v>
      </c>
      <c r="O1255" s="24">
        <f>IFERROR(__xludf.DUMMYFUNCTION("iferror(filter('3.4.clean'!C:C,'3.4.clean'!A:A=C1255),"""")"),43831.0)</f>
        <v>43831</v>
      </c>
      <c r="P1255" s="25" t="b">
        <f t="shared" si="965"/>
        <v>1</v>
      </c>
      <c r="Q1255" s="24">
        <f>IFERROR(__xludf.DUMMYFUNCTION("iferror(filter('3.5.clean'!C:C,'3.5.clean'!A:A=C1255),"""")"),43829.0)</f>
        <v>43829</v>
      </c>
      <c r="R1255" s="23" t="b">
        <f t="shared" si="1024"/>
        <v>1</v>
      </c>
      <c r="S1255" s="25"/>
      <c r="V1255" s="1" t="s">
        <v>64</v>
      </c>
      <c r="X1255" s="23" t="str">
        <f>IFERROR(__xludf.DUMMYFUNCTION("if(COUNTA(FILTER(C:C, C:C = C1255))=1,""no"",""yes"")"),"no")</f>
        <v>no</v>
      </c>
    </row>
    <row r="1256">
      <c r="A1256" s="75" t="s">
        <v>971</v>
      </c>
      <c r="B1256" s="2">
        <v>2.0</v>
      </c>
      <c r="C1256" s="19" t="s">
        <v>1961</v>
      </c>
      <c r="D1256" s="58" t="str">
        <f t="shared" ref="D1256:D1257" si="1026">if(or(I1256=1,J1256=1,S1256=1),"pos","")</f>
        <v/>
      </c>
      <c r="E1256" s="59">
        <f>IFERROR(__xludf.DUMMYFUNCTION("ifna(IFNA(filter('2.1.clean'!C:C,'2.1.clean'!A:A=C1256),filter('2.2.clean'!E:E,'2.2.clean'!D:D=C1256)),filter('2.4.clean'!C:C,'2.4.clean'!A:A=C1256))"),43829.0)</f>
        <v>43829</v>
      </c>
      <c r="F1256" s="60">
        <f>IFERROR(__xludf.DUMMYFUNCTION("iferror(ifna(IFNA(filter('2.1.clean'!E:E,'2.1.clean'!A:A=C1256),filter('2.2.clean'!G:G,'2.2.clean'!D:D=C1256)),filter('2.4.clean'!E:E,'2.4.clean'!A:A=C1256)),)"),2.39999999999999)</f>
        <v>2.4</v>
      </c>
      <c r="G1256" s="59" t="str">
        <f>IFERROR(__xludf.DUMMYFUNCTION("iferror(filter('3.1.clean'!C:C,'3.1.clean'!A:A=C1256),"""")"),"")</f>
        <v/>
      </c>
      <c r="H1256" s="58" t="b">
        <f t="shared" si="1025"/>
        <v>0</v>
      </c>
      <c r="I1256" s="58" t="str">
        <f>IFERROR(__xludf.DUMMYFUNCTION("iferror(filter('3.1.clean'!G:G,'3.1.clean'!A:A=C1256),"""")"),"")</f>
        <v/>
      </c>
      <c r="J1256" s="60" t="str">
        <f>IFERROR(__xludf.DUMMYFUNCTION("iferror(filter('3.1.clean'!I:I,'3.1.clean'!A:A=C1256),"""")"),"")</f>
        <v/>
      </c>
      <c r="K1256" s="58"/>
      <c r="L1256" s="60"/>
      <c r="M1256" s="59" t="str">
        <f>IFERROR(__xludf.DUMMYFUNCTION("iferror(filter('3.3.clean'!C:C,'3.3.clean'!A:A=C1256),"""")"),"")</f>
        <v/>
      </c>
      <c r="N1256" s="60" t="b">
        <f t="shared" si="964"/>
        <v>0</v>
      </c>
      <c r="O1256" s="59" t="str">
        <f>IFERROR(__xludf.DUMMYFUNCTION("iferror(filter('3.4.clean'!C:C,'3.4.clean'!A:A=C1256),"""")"),"")</f>
        <v/>
      </c>
      <c r="P1256" s="60" t="b">
        <f t="shared" si="965"/>
        <v>0</v>
      </c>
      <c r="Q1256" s="59" t="str">
        <f>IFERROR(__xludf.DUMMYFUNCTION("iferror(filter('3.5.clean'!C:C,'3.5.clean'!A:A=C1256),"""")"),"")</f>
        <v/>
      </c>
      <c r="R1256" s="58"/>
      <c r="S1256" s="4" t="str">
        <f>IFERROR(__xludf.DUMMYFUNCTION("iferror(filter('3.5.clean'!H:H,'3.5.clean'!A:A=C1256),"""")"),"")</f>
        <v/>
      </c>
      <c r="W1256" s="23" t="b">
        <f>if(AND(H1256=TRUE,N1256=TRUE,P1256=TRUE),TRUE,FALSE)</f>
        <v>0</v>
      </c>
      <c r="X1256" s="23" t="str">
        <f>IFERROR(__xludf.DUMMYFUNCTION("if(COUNTA(FILTER(C:C, C:C = C1256))=1,""no"",""yes"")"),"no")</f>
        <v>no</v>
      </c>
    </row>
    <row r="1257">
      <c r="A1257" s="75" t="s">
        <v>971</v>
      </c>
      <c r="B1257" s="2">
        <v>3.0</v>
      </c>
      <c r="C1257" s="19" t="s">
        <v>1962</v>
      </c>
      <c r="D1257" s="58" t="str">
        <f t="shared" si="1026"/>
        <v/>
      </c>
      <c r="E1257" s="59">
        <f>Q1257</f>
        <v>43829</v>
      </c>
      <c r="F1257" s="60" t="str">
        <f>IFERROR(__xludf.DUMMYFUNCTION("iferror(ifna(IFNA(filter('2.1.clean'!E:E,'2.1.clean'!A:A=C1257),filter('2.2.clean'!G:G,'2.2.clean'!D:D=C1257)),filter('2.4.clean'!E:E,'2.4.clean'!A:A=C1257)),)"),"")</f>
        <v/>
      </c>
      <c r="G1257" s="59" t="str">
        <f>IFERROR(__xludf.DUMMYFUNCTION("iferror(filter('3.1.clean'!C:C,'3.1.clean'!A:A=C1257),"""")"),"")</f>
        <v/>
      </c>
      <c r="H1257" s="58"/>
      <c r="I1257" s="58" t="str">
        <f>IFERROR(__xludf.DUMMYFUNCTION("iferror(filter('3.1.clean'!G:G,'3.1.clean'!A:A=C1257),"""")"),"")</f>
        <v/>
      </c>
      <c r="J1257" s="60" t="str">
        <f>IFERROR(__xludf.DUMMYFUNCTION("iferror(filter('3.1.clean'!I:I,'3.1.clean'!A:A=C1257),"""")"),"")</f>
        <v/>
      </c>
      <c r="K1257" s="59"/>
      <c r="L1257" s="60"/>
      <c r="M1257" s="59" t="str">
        <f>IFERROR(__xludf.DUMMYFUNCTION("iferror(filter('3.3.clean'!C:C,'3.3.clean'!A:A=C1257),"""")"),"")</f>
        <v/>
      </c>
      <c r="N1257" s="60" t="b">
        <f t="shared" si="964"/>
        <v>0</v>
      </c>
      <c r="O1257" s="59" t="str">
        <f>IFERROR(__xludf.DUMMYFUNCTION("iferror(filter('3.4.clean'!C:C,'3.4.clean'!A:A=C1257),"""")"),"")</f>
        <v/>
      </c>
      <c r="P1257" s="60" t="b">
        <f t="shared" si="965"/>
        <v>0</v>
      </c>
      <c r="Q1257" s="59">
        <f>IFERROR(__xludf.DUMMYFUNCTION("iferror(filter('3.5.clean'!C:C,'3.5.clean'!A:A=C1257),"""")"),43829.0)</f>
        <v>43829</v>
      </c>
      <c r="R1257" s="58" t="b">
        <f t="shared" ref="R1257:R1258" si="1027">if(Q1257="",FALSE,TRUE)</f>
        <v>1</v>
      </c>
      <c r="S1257" s="4">
        <f>IFERROR(__xludf.DUMMYFUNCTION("iferror(filter('3.5.clean'!H:H,'3.5.clean'!A:A=C1257),"""")"),0.0)</f>
        <v>0</v>
      </c>
      <c r="V1257" s="52" t="s">
        <v>64</v>
      </c>
      <c r="W1257" s="23" t="b">
        <f>if(AND(R1257=TRUE,N1257=TRUE,P1257=TRUE),TRUE,FALSE)</f>
        <v>0</v>
      </c>
      <c r="X1257" s="23" t="str">
        <f>IFERROR(__xludf.DUMMYFUNCTION("if(COUNTA(FILTER(C:C, C:C = C1257))=1,""no"",""yes"")"),"no")</f>
        <v>no</v>
      </c>
    </row>
    <row r="1258">
      <c r="A1258" s="75" t="s">
        <v>971</v>
      </c>
      <c r="B1258" s="2">
        <v>4.0</v>
      </c>
      <c r="C1258" s="19" t="s">
        <v>1963</v>
      </c>
      <c r="E1258" s="24">
        <f>IFERROR(__xludf.DUMMYFUNCTION("ifna(IFNA(filter('2.1.clean'!C:C,'2.1.clean'!A:A=C1258),filter('2.2.clean'!E:E,'2.2.clean'!D:D=C1258)),filter('2.4.clean'!C:C,'2.4.clean'!A:A=C1258))"),43829.0)</f>
        <v>43829</v>
      </c>
      <c r="F1258" s="25">
        <f>IFERROR(__xludf.DUMMYFUNCTION("iferror(ifna(IFNA(filter('2.1.clean'!E:E,'2.1.clean'!A:A=C1258),filter('2.2.clean'!G:G,'2.2.clean'!D:D=C1258)),filter('2.4.clean'!E:E,'2.4.clean'!A:A=C1258)),)"),2.39999999999999)</f>
        <v>2.4</v>
      </c>
      <c r="G1258" s="24" t="str">
        <f>IFERROR(__xludf.DUMMYFUNCTION("iferror(filter('3.1.clean'!C:C,'3.1.clean'!A:A=C1258),"""")"),"")</f>
        <v/>
      </c>
      <c r="H1258" s="23" t="b">
        <f t="shared" ref="H1258:H1259" si="1028">if(G1258="",FALSE,TRUE)</f>
        <v>0</v>
      </c>
      <c r="J1258" s="25"/>
      <c r="K1258" s="24">
        <f>IFERROR(__xludf.DUMMYFUNCTION("iferror(filter('3.2.clean'!C:C,'3.2.clean'!A:A=C1258),"""")"),43830.0)</f>
        <v>43830</v>
      </c>
      <c r="L1258" s="25" t="b">
        <f>if(K1258="",FALSE,TRUE)</f>
        <v>1</v>
      </c>
      <c r="M1258" s="24">
        <f>IFERROR(__xludf.DUMMYFUNCTION("iferror(filter('3.3.clean'!C:C,'3.3.clean'!A:A=C1258),"""")"),43831.0)</f>
        <v>43831</v>
      </c>
      <c r="N1258" s="25" t="b">
        <f t="shared" si="964"/>
        <v>1</v>
      </c>
      <c r="O1258" s="24">
        <f>IFERROR(__xludf.DUMMYFUNCTION("iferror(filter('3.4.clean'!C:C,'3.4.clean'!A:A=C1258),"""")"),43831.0)</f>
        <v>43831</v>
      </c>
      <c r="P1258" s="25" t="b">
        <f t="shared" si="965"/>
        <v>1</v>
      </c>
      <c r="Q1258" s="24">
        <f>IFERROR(__xludf.DUMMYFUNCTION("iferror(filter('3.5.clean'!C:C,'3.5.clean'!A:A=C1258),"""")"),43829.0)</f>
        <v>43829</v>
      </c>
      <c r="R1258" s="23" t="b">
        <f t="shared" si="1027"/>
        <v>1</v>
      </c>
      <c r="S1258" s="25"/>
      <c r="V1258" s="1" t="s">
        <v>64</v>
      </c>
      <c r="X1258" s="23" t="str">
        <f>IFERROR(__xludf.DUMMYFUNCTION("if(COUNTA(FILTER(C:C, C:C = C1258))=1,""no"",""yes"")"),"no")</f>
        <v>no</v>
      </c>
    </row>
    <row r="1259">
      <c r="A1259" s="75" t="s">
        <v>971</v>
      </c>
      <c r="B1259" s="2">
        <v>5.0</v>
      </c>
      <c r="C1259" s="69" t="s">
        <v>1964</v>
      </c>
      <c r="D1259" s="58" t="str">
        <f t="shared" ref="D1259:D1260" si="1029">if(or(I1259=1,J1259=1,S1259=1),"pos","")</f>
        <v/>
      </c>
      <c r="E1259" s="59">
        <f>IFERROR(__xludf.DUMMYFUNCTION("ifna(IFNA(filter('2.1.clean'!C:C,'2.1.clean'!A:A=C1259),filter('2.2.clean'!E:E,'2.2.clean'!D:D=C1259)),filter('2.4.clean'!C:C,'2.4.clean'!A:A=C1259))"),43829.0)</f>
        <v>43829</v>
      </c>
      <c r="F1259" s="60">
        <f>IFERROR(__xludf.DUMMYFUNCTION("iferror(ifna(IFNA(filter('2.1.clean'!E:E,'2.1.clean'!A:A=C1259),filter('2.2.clean'!G:G,'2.2.clean'!D:D=C1259)),filter('2.4.clean'!E:E,'2.4.clean'!A:A=C1259)),)"),2.39999999999999)</f>
        <v>2.4</v>
      </c>
      <c r="G1259" s="59" t="str">
        <f>IFERROR(__xludf.DUMMYFUNCTION("iferror(filter('3.1.clean'!C:C,'3.1.clean'!A:A=C1259),"""")"),"")</f>
        <v/>
      </c>
      <c r="H1259" s="58" t="b">
        <f t="shared" si="1028"/>
        <v>0</v>
      </c>
      <c r="I1259" s="58" t="str">
        <f>IFERROR(__xludf.DUMMYFUNCTION("iferror(filter('3.1.clean'!G:G,'3.1.clean'!A:A=C1259),"""")"),"")</f>
        <v/>
      </c>
      <c r="J1259" s="60" t="str">
        <f>IFERROR(__xludf.DUMMYFUNCTION("iferror(filter('3.1.clean'!I:I,'3.1.clean'!A:A=C1259),"""")"),"")</f>
        <v/>
      </c>
      <c r="K1259" s="58"/>
      <c r="L1259" s="60"/>
      <c r="M1259" s="59">
        <f>IFERROR(__xludf.DUMMYFUNCTION("iferror(filter('3.3.clean'!C:C,'3.3.clean'!A:A=C1259),"""")"),43831.0)</f>
        <v>43831</v>
      </c>
      <c r="N1259" s="60" t="b">
        <f t="shared" si="964"/>
        <v>1</v>
      </c>
      <c r="O1259" s="59">
        <f>IFERROR(__xludf.DUMMYFUNCTION("iferror(filter('3.4.clean'!C:C,'3.4.clean'!A:A=C1259),"""")"),43831.0)</f>
        <v>43831</v>
      </c>
      <c r="P1259" s="60" t="b">
        <f t="shared" si="965"/>
        <v>1</v>
      </c>
      <c r="Q1259" s="59" t="str">
        <f>IFERROR(__xludf.DUMMYFUNCTION("iferror(filter('3.5.clean'!C:C,'3.5.clean'!A:A=C1259),"""")"),"")</f>
        <v/>
      </c>
      <c r="R1259" s="58"/>
      <c r="S1259" s="4" t="str">
        <f>IFERROR(__xludf.DUMMYFUNCTION("iferror(filter('3.5.clean'!H:H,'3.5.clean'!A:A=C1259),"""")"),"")</f>
        <v/>
      </c>
      <c r="W1259" s="23" t="b">
        <f>if(AND(H1259=TRUE,N1259=TRUE,P1259=TRUE),TRUE,FALSE)</f>
        <v>0</v>
      </c>
      <c r="X1259" s="23" t="str">
        <f>IFERROR(__xludf.DUMMYFUNCTION("if(COUNTA(FILTER(C:C, C:C = C1259))=1,""no"",""yes"")"),"no")</f>
        <v>no</v>
      </c>
    </row>
    <row r="1260">
      <c r="A1260" s="75" t="s">
        <v>971</v>
      </c>
      <c r="B1260" s="2">
        <v>6.0</v>
      </c>
      <c r="C1260" s="19" t="s">
        <v>1965</v>
      </c>
      <c r="D1260" s="58" t="str">
        <f t="shared" si="1029"/>
        <v/>
      </c>
      <c r="E1260" s="59">
        <f>Q1260</f>
        <v>43829</v>
      </c>
      <c r="F1260" s="60" t="str">
        <f>IFERROR(__xludf.DUMMYFUNCTION("iferror(ifna(IFNA(filter('2.1.clean'!E:E,'2.1.clean'!A:A=C1260),filter('2.2.clean'!G:G,'2.2.clean'!D:D=C1260)),filter('2.4.clean'!E:E,'2.4.clean'!A:A=C1260)),)"),"")</f>
        <v/>
      </c>
      <c r="G1260" s="59" t="str">
        <f>IFERROR(__xludf.DUMMYFUNCTION("iferror(filter('3.1.clean'!C:C,'3.1.clean'!A:A=C1260),"""")"),"")</f>
        <v/>
      </c>
      <c r="H1260" s="58"/>
      <c r="I1260" s="58" t="str">
        <f>IFERROR(__xludf.DUMMYFUNCTION("iferror(filter('3.1.clean'!G:G,'3.1.clean'!A:A=C1260),"""")"),"")</f>
        <v/>
      </c>
      <c r="J1260" s="60" t="str">
        <f>IFERROR(__xludf.DUMMYFUNCTION("iferror(filter('3.1.clean'!I:I,'3.1.clean'!A:A=C1260),"""")"),"")</f>
        <v/>
      </c>
      <c r="K1260" s="59"/>
      <c r="L1260" s="60"/>
      <c r="M1260" s="59" t="str">
        <f>IFERROR(__xludf.DUMMYFUNCTION("iferror(filter('3.3.clean'!C:C,'3.3.clean'!A:A=C1260),"""")"),"")</f>
        <v/>
      </c>
      <c r="N1260" s="60" t="b">
        <f t="shared" si="964"/>
        <v>0</v>
      </c>
      <c r="O1260" s="59" t="str">
        <f>IFERROR(__xludf.DUMMYFUNCTION("iferror(filter('3.4.clean'!C:C,'3.4.clean'!A:A=C1260),"""")"),"")</f>
        <v/>
      </c>
      <c r="P1260" s="60" t="b">
        <f t="shared" si="965"/>
        <v>0</v>
      </c>
      <c r="Q1260" s="59">
        <f>IFERROR(__xludf.DUMMYFUNCTION("iferror(filter('3.5.clean'!C:C,'3.5.clean'!A:A=C1260),"""")"),43829.0)</f>
        <v>43829</v>
      </c>
      <c r="R1260" s="58" t="b">
        <f t="shared" ref="R1260:R1261" si="1030">if(Q1260="",FALSE,TRUE)</f>
        <v>1</v>
      </c>
      <c r="S1260" s="4">
        <f>IFERROR(__xludf.DUMMYFUNCTION("iferror(filter('3.5.clean'!H:H,'3.5.clean'!A:A=C1260),"""")"),0.0)</f>
        <v>0</v>
      </c>
      <c r="V1260" s="52" t="s">
        <v>64</v>
      </c>
      <c r="W1260" s="23" t="b">
        <f>if(AND(R1260=TRUE,N1260=TRUE,P1260=TRUE),TRUE,FALSE)</f>
        <v>0</v>
      </c>
      <c r="X1260" s="23" t="str">
        <f>IFERROR(__xludf.DUMMYFUNCTION("if(COUNTA(FILTER(C:C, C:C = C1260))=1,""no"",""yes"")"),"no")</f>
        <v>no</v>
      </c>
    </row>
    <row r="1261">
      <c r="A1261" s="75" t="s">
        <v>971</v>
      </c>
      <c r="B1261" s="2">
        <v>7.0</v>
      </c>
      <c r="C1261" s="19" t="s">
        <v>1966</v>
      </c>
      <c r="E1261" s="24">
        <f>IFERROR(__xludf.DUMMYFUNCTION("ifna(IFNA(filter('2.1.clean'!C:C,'2.1.clean'!A:A=C1261),filter('2.2.clean'!E:E,'2.2.clean'!D:D=C1261)),filter('2.4.clean'!C:C,'2.4.clean'!A:A=C1261))"),43829.0)</f>
        <v>43829</v>
      </c>
      <c r="F1261" s="25">
        <f>IFERROR(__xludf.DUMMYFUNCTION("iferror(ifna(IFNA(filter('2.1.clean'!E:E,'2.1.clean'!A:A=C1261),filter('2.2.clean'!G:G,'2.2.clean'!D:D=C1261)),filter('2.4.clean'!E:E,'2.4.clean'!A:A=C1261)),)"),2.39999999999999)</f>
        <v>2.4</v>
      </c>
      <c r="G1261" s="24" t="str">
        <f>IFERROR(__xludf.DUMMYFUNCTION("iferror(filter('3.1.clean'!C:C,'3.1.clean'!A:A=C1261),"""")"),"")</f>
        <v/>
      </c>
      <c r="H1261" s="23" t="b">
        <f t="shared" ref="H1261:H1262" si="1031">if(G1261="",FALSE,TRUE)</f>
        <v>0</v>
      </c>
      <c r="J1261" s="25"/>
      <c r="K1261" s="24">
        <f>IFERROR(__xludf.DUMMYFUNCTION("iferror(filter('3.2.clean'!C:C,'3.2.clean'!A:A=C1261),"""")"),43830.0)</f>
        <v>43830</v>
      </c>
      <c r="L1261" s="25" t="b">
        <f>if(K1261="",FALSE,TRUE)</f>
        <v>1</v>
      </c>
      <c r="M1261" s="24">
        <f>IFERROR(__xludf.DUMMYFUNCTION("iferror(filter('3.3.clean'!C:C,'3.3.clean'!A:A=C1261),"""")"),43831.0)</f>
        <v>43831</v>
      </c>
      <c r="N1261" s="25" t="b">
        <f t="shared" si="964"/>
        <v>1</v>
      </c>
      <c r="O1261" s="24">
        <f>IFERROR(__xludf.DUMMYFUNCTION("iferror(filter('3.4.clean'!C:C,'3.4.clean'!A:A=C1261),"""")"),43831.0)</f>
        <v>43831</v>
      </c>
      <c r="P1261" s="25" t="b">
        <f t="shared" si="965"/>
        <v>1</v>
      </c>
      <c r="Q1261" s="24">
        <f>IFERROR(__xludf.DUMMYFUNCTION("iferror(filter('3.5.clean'!C:C,'3.5.clean'!A:A=C1261),"""")"),43829.0)</f>
        <v>43829</v>
      </c>
      <c r="R1261" s="23" t="b">
        <f t="shared" si="1030"/>
        <v>1</v>
      </c>
      <c r="S1261" s="25"/>
      <c r="V1261" s="1" t="s">
        <v>64</v>
      </c>
      <c r="X1261" s="23" t="str">
        <f>IFERROR(__xludf.DUMMYFUNCTION("if(COUNTA(FILTER(C:C, C:C = C1261))=1,""no"",""yes"")"),"no")</f>
        <v>no</v>
      </c>
    </row>
    <row r="1262">
      <c r="A1262" s="75" t="s">
        <v>971</v>
      </c>
      <c r="B1262" s="2">
        <v>8.0</v>
      </c>
      <c r="C1262" s="19" t="s">
        <v>1967</v>
      </c>
      <c r="D1262" s="58" t="str">
        <f t="shared" ref="D1262:D1263" si="1032">if(or(I1262=1,J1262=1,S1262=1),"pos","")</f>
        <v/>
      </c>
      <c r="E1262" s="59">
        <f>IFERROR(__xludf.DUMMYFUNCTION("ifna(IFNA(filter('2.1.clean'!C:C,'2.1.clean'!A:A=C1262),filter('2.2.clean'!E:E,'2.2.clean'!D:D=C1262)),filter('2.4.clean'!C:C,'2.4.clean'!A:A=C1262))"),43829.0)</f>
        <v>43829</v>
      </c>
      <c r="F1262" s="60">
        <f>IFERROR(__xludf.DUMMYFUNCTION("iferror(ifna(IFNA(filter('2.1.clean'!E:E,'2.1.clean'!A:A=C1262),filter('2.2.clean'!G:G,'2.2.clean'!D:D=C1262)),filter('2.4.clean'!E:E,'2.4.clean'!A:A=C1262)),)"),2.39999999999999)</f>
        <v>2.4</v>
      </c>
      <c r="G1262" s="59" t="str">
        <f>IFERROR(__xludf.DUMMYFUNCTION("iferror(filter('3.1.clean'!C:C,'3.1.clean'!A:A=C1262),"""")"),"")</f>
        <v/>
      </c>
      <c r="H1262" s="58" t="b">
        <f t="shared" si="1031"/>
        <v>0</v>
      </c>
      <c r="I1262" s="58" t="str">
        <f>IFERROR(__xludf.DUMMYFUNCTION("iferror(filter('3.1.clean'!G:G,'3.1.clean'!A:A=C1262),"""")"),"")</f>
        <v/>
      </c>
      <c r="J1262" s="60" t="str">
        <f>IFERROR(__xludf.DUMMYFUNCTION("iferror(filter('3.1.clean'!I:I,'3.1.clean'!A:A=C1262),"""")"),"")</f>
        <v/>
      </c>
      <c r="K1262" s="58"/>
      <c r="L1262" s="60"/>
      <c r="M1262" s="59" t="str">
        <f>IFERROR(__xludf.DUMMYFUNCTION("iferror(filter('3.3.clean'!C:C,'3.3.clean'!A:A=C1262),"""")"),"")</f>
        <v/>
      </c>
      <c r="N1262" s="60" t="b">
        <f t="shared" si="964"/>
        <v>0</v>
      </c>
      <c r="O1262" s="59" t="str">
        <f>IFERROR(__xludf.DUMMYFUNCTION("iferror(filter('3.4.clean'!C:C,'3.4.clean'!A:A=C1262),"""")"),"")</f>
        <v/>
      </c>
      <c r="P1262" s="60" t="b">
        <f t="shared" si="965"/>
        <v>0</v>
      </c>
      <c r="Q1262" s="59" t="str">
        <f>IFERROR(__xludf.DUMMYFUNCTION("iferror(filter('3.5.clean'!C:C,'3.5.clean'!A:A=C1262),"""")"),"")</f>
        <v/>
      </c>
      <c r="R1262" s="58"/>
      <c r="S1262" s="4" t="str">
        <f>IFERROR(__xludf.DUMMYFUNCTION("iferror(filter('3.5.clean'!H:H,'3.5.clean'!A:A=C1262),"""")"),"")</f>
        <v/>
      </c>
      <c r="W1262" s="23" t="b">
        <f>if(AND(H1262=TRUE,N1262=TRUE,P1262=TRUE),TRUE,FALSE)</f>
        <v>0</v>
      </c>
      <c r="X1262" s="23" t="str">
        <f>IFERROR(__xludf.DUMMYFUNCTION("if(COUNTA(FILTER(C:C, C:C = C1262))=1,""no"",""yes"")"),"no")</f>
        <v>no</v>
      </c>
    </row>
    <row r="1263">
      <c r="A1263" s="75" t="s">
        <v>971</v>
      </c>
      <c r="B1263" s="2">
        <v>9.0</v>
      </c>
      <c r="C1263" s="19" t="s">
        <v>1968</v>
      </c>
      <c r="D1263" s="58" t="str">
        <f t="shared" si="1032"/>
        <v/>
      </c>
      <c r="E1263" s="59">
        <f>Q1263</f>
        <v>43829</v>
      </c>
      <c r="F1263" s="60" t="str">
        <f>IFERROR(__xludf.DUMMYFUNCTION("iferror(ifna(IFNA(filter('2.1.clean'!E:E,'2.1.clean'!A:A=C1263),filter('2.2.clean'!G:G,'2.2.clean'!D:D=C1263)),filter('2.4.clean'!E:E,'2.4.clean'!A:A=C1263)),)"),"")</f>
        <v/>
      </c>
      <c r="G1263" s="59" t="str">
        <f>IFERROR(__xludf.DUMMYFUNCTION("iferror(filter('3.1.clean'!C:C,'3.1.clean'!A:A=C1263),"""")"),"")</f>
        <v/>
      </c>
      <c r="H1263" s="58"/>
      <c r="I1263" s="58" t="str">
        <f>IFERROR(__xludf.DUMMYFUNCTION("iferror(filter('3.1.clean'!G:G,'3.1.clean'!A:A=C1263),"""")"),"")</f>
        <v/>
      </c>
      <c r="J1263" s="60" t="str">
        <f>IFERROR(__xludf.DUMMYFUNCTION("iferror(filter('3.1.clean'!I:I,'3.1.clean'!A:A=C1263),"""")"),"")</f>
        <v/>
      </c>
      <c r="K1263" s="59"/>
      <c r="L1263" s="60"/>
      <c r="M1263" s="59" t="str">
        <f>IFERROR(__xludf.DUMMYFUNCTION("iferror(filter('3.3.clean'!C:C,'3.3.clean'!A:A=C1263),"""")"),"")</f>
        <v/>
      </c>
      <c r="N1263" s="60" t="b">
        <f t="shared" si="964"/>
        <v>0</v>
      </c>
      <c r="O1263" s="59" t="str">
        <f>IFERROR(__xludf.DUMMYFUNCTION("iferror(filter('3.4.clean'!C:C,'3.4.clean'!A:A=C1263),"""")"),"")</f>
        <v/>
      </c>
      <c r="P1263" s="60" t="b">
        <f t="shared" si="965"/>
        <v>0</v>
      </c>
      <c r="Q1263" s="59">
        <f>IFERROR(__xludf.DUMMYFUNCTION("iferror(filter('3.5.clean'!C:C,'3.5.clean'!A:A=C1263),"""")"),43829.0)</f>
        <v>43829</v>
      </c>
      <c r="R1263" s="58" t="b">
        <f t="shared" ref="R1263:R1264" si="1033">if(Q1263="",FALSE,TRUE)</f>
        <v>1</v>
      </c>
      <c r="S1263" s="4">
        <f>IFERROR(__xludf.DUMMYFUNCTION("iferror(filter('3.5.clean'!H:H,'3.5.clean'!A:A=C1263),"""")"),0.0)</f>
        <v>0</v>
      </c>
      <c r="V1263" s="52" t="s">
        <v>64</v>
      </c>
      <c r="W1263" s="23" t="b">
        <f>if(AND(R1263=TRUE,N1263=TRUE,P1263=TRUE),TRUE,FALSE)</f>
        <v>0</v>
      </c>
      <c r="X1263" s="23" t="str">
        <f>IFERROR(__xludf.DUMMYFUNCTION("if(COUNTA(FILTER(C:C, C:C = C1263))=1,""no"",""yes"")"),"no")</f>
        <v>no</v>
      </c>
    </row>
    <row r="1264">
      <c r="A1264" s="75" t="s">
        <v>971</v>
      </c>
      <c r="B1264" s="2">
        <v>10.0</v>
      </c>
      <c r="C1264" s="19" t="s">
        <v>1969</v>
      </c>
      <c r="E1264" s="24">
        <f>IFERROR(__xludf.DUMMYFUNCTION("ifna(IFNA(filter('2.1.clean'!C:C,'2.1.clean'!A:A=C1264),filter('2.2.clean'!E:E,'2.2.clean'!D:D=C1264)),filter('2.4.clean'!C:C,'2.4.clean'!A:A=C1264))"),43829.0)</f>
        <v>43829</v>
      </c>
      <c r="F1264" s="25">
        <f>IFERROR(__xludf.DUMMYFUNCTION("iferror(ifna(IFNA(filter('2.1.clean'!E:E,'2.1.clean'!A:A=C1264),filter('2.2.clean'!G:G,'2.2.clean'!D:D=C1264)),filter('2.4.clean'!E:E,'2.4.clean'!A:A=C1264)),)"),2.39999999999999)</f>
        <v>2.4</v>
      </c>
      <c r="G1264" s="24" t="str">
        <f>IFERROR(__xludf.DUMMYFUNCTION("iferror(filter('3.1.clean'!C:C,'3.1.clean'!A:A=C1264),"""")"),"")</f>
        <v/>
      </c>
      <c r="H1264" s="23" t="b">
        <f t="shared" ref="H1264:H1265" si="1034">if(G1264="",FALSE,TRUE)</f>
        <v>0</v>
      </c>
      <c r="J1264" s="25"/>
      <c r="K1264" s="24">
        <f>IFERROR(__xludf.DUMMYFUNCTION("iferror(filter('3.2.clean'!C:C,'3.2.clean'!A:A=C1264),"""")"),43830.0)</f>
        <v>43830</v>
      </c>
      <c r="L1264" s="25" t="b">
        <f>if(K1264="",FALSE,TRUE)</f>
        <v>1</v>
      </c>
      <c r="M1264" s="24">
        <f>IFERROR(__xludf.DUMMYFUNCTION("iferror(filter('3.3.clean'!C:C,'3.3.clean'!A:A=C1264),"""")"),43831.0)</f>
        <v>43831</v>
      </c>
      <c r="N1264" s="25" t="b">
        <f t="shared" si="964"/>
        <v>1</v>
      </c>
      <c r="O1264" s="24">
        <f>IFERROR(__xludf.DUMMYFUNCTION("iferror(filter('3.4.clean'!C:C,'3.4.clean'!A:A=C1264),"""")"),43831.0)</f>
        <v>43831</v>
      </c>
      <c r="P1264" s="25" t="b">
        <f t="shared" si="965"/>
        <v>1</v>
      </c>
      <c r="Q1264" s="24">
        <f>IFERROR(__xludf.DUMMYFUNCTION("iferror(filter('3.5.clean'!C:C,'3.5.clean'!A:A=C1264),"""")"),43829.0)</f>
        <v>43829</v>
      </c>
      <c r="R1264" s="23" t="b">
        <f t="shared" si="1033"/>
        <v>1</v>
      </c>
      <c r="S1264" s="25"/>
      <c r="V1264" s="1" t="s">
        <v>64</v>
      </c>
      <c r="X1264" s="23" t="str">
        <f>IFERROR(__xludf.DUMMYFUNCTION("if(COUNTA(FILTER(C:C, C:C = C1264))=1,""no"",""yes"")"),"no")</f>
        <v>no</v>
      </c>
    </row>
    <row r="1265">
      <c r="A1265" s="75" t="s">
        <v>971</v>
      </c>
      <c r="B1265" s="2">
        <v>11.0</v>
      </c>
      <c r="C1265" s="19" t="s">
        <v>1970</v>
      </c>
      <c r="D1265" s="58" t="str">
        <f t="shared" ref="D1265:D1267" si="1035">if(or(I1265=1,J1265=1,S1265=1),"pos","")</f>
        <v/>
      </c>
      <c r="E1265" s="59">
        <f>IFERROR(__xludf.DUMMYFUNCTION("ifna(IFNA(filter('2.1.clean'!C:C,'2.1.clean'!A:A=C1265),filter('2.2.clean'!E:E,'2.2.clean'!D:D=C1265)),filter('2.4.clean'!C:C,'2.4.clean'!A:A=C1265))"),43829.0)</f>
        <v>43829</v>
      </c>
      <c r="F1265" s="60">
        <f>IFERROR(__xludf.DUMMYFUNCTION("iferror(ifna(IFNA(filter('2.1.clean'!E:E,'2.1.clean'!A:A=C1265),filter('2.2.clean'!G:G,'2.2.clean'!D:D=C1265)),filter('2.4.clean'!E:E,'2.4.clean'!A:A=C1265)),)"),2.39999999999999)</f>
        <v>2.4</v>
      </c>
      <c r="G1265" s="59" t="str">
        <f>IFERROR(__xludf.DUMMYFUNCTION("iferror(filter('3.1.clean'!C:C,'3.1.clean'!A:A=C1265),"""")"),"")</f>
        <v/>
      </c>
      <c r="H1265" s="58" t="b">
        <f t="shared" si="1034"/>
        <v>0</v>
      </c>
      <c r="I1265" s="58" t="str">
        <f>IFERROR(__xludf.DUMMYFUNCTION("iferror(filter('3.1.clean'!G:G,'3.1.clean'!A:A=C1265),"""")"),"")</f>
        <v/>
      </c>
      <c r="J1265" s="60" t="str">
        <f>IFERROR(__xludf.DUMMYFUNCTION("iferror(filter('3.1.clean'!I:I,'3.1.clean'!A:A=C1265),"""")"),"")</f>
        <v/>
      </c>
      <c r="K1265" s="58"/>
      <c r="L1265" s="60"/>
      <c r="M1265" s="59" t="str">
        <f>IFERROR(__xludf.DUMMYFUNCTION("iferror(filter('3.3.clean'!C:C,'3.3.clean'!A:A=C1265),"""")"),"")</f>
        <v/>
      </c>
      <c r="N1265" s="60" t="b">
        <f t="shared" si="964"/>
        <v>0</v>
      </c>
      <c r="O1265" s="59" t="str">
        <f>IFERROR(__xludf.DUMMYFUNCTION("iferror(filter('3.4.clean'!C:C,'3.4.clean'!A:A=C1265),"""")"),"")</f>
        <v/>
      </c>
      <c r="P1265" s="60" t="b">
        <f t="shared" si="965"/>
        <v>0</v>
      </c>
      <c r="Q1265" s="59" t="str">
        <f>IFERROR(__xludf.DUMMYFUNCTION("iferror(filter('3.5.clean'!C:C,'3.5.clean'!A:A=C1265),"""")"),"")</f>
        <v/>
      </c>
      <c r="R1265" s="58"/>
      <c r="S1265" s="4" t="str">
        <f>IFERROR(__xludf.DUMMYFUNCTION("iferror(filter('3.5.clean'!H:H,'3.5.clean'!A:A=C1265),"""")"),"")</f>
        <v/>
      </c>
      <c r="W1265" s="23" t="b">
        <f>if(AND(H1265=TRUE,N1265=TRUE,P1265=TRUE),TRUE,FALSE)</f>
        <v>0</v>
      </c>
      <c r="X1265" s="23" t="str">
        <f>IFERROR(__xludf.DUMMYFUNCTION("if(COUNTA(FILTER(C:C, C:C = C1265))=1,""no"",""yes"")"),"no")</f>
        <v>no</v>
      </c>
    </row>
    <row r="1266">
      <c r="A1266" s="75" t="s">
        <v>971</v>
      </c>
      <c r="B1266" s="2">
        <v>12.0</v>
      </c>
      <c r="C1266" s="19" t="s">
        <v>1971</v>
      </c>
      <c r="D1266" s="58" t="str">
        <f t="shared" si="1035"/>
        <v/>
      </c>
      <c r="E1266" s="59">
        <f t="shared" ref="E1266:E1267" si="1036">Q1266</f>
        <v>43829</v>
      </c>
      <c r="F1266" s="60" t="str">
        <f>IFERROR(__xludf.DUMMYFUNCTION("iferror(ifna(IFNA(filter('2.1.clean'!E:E,'2.1.clean'!A:A=C1266),filter('2.2.clean'!G:G,'2.2.clean'!D:D=C1266)),filter('2.4.clean'!E:E,'2.4.clean'!A:A=C1266)),)"),"")</f>
        <v/>
      </c>
      <c r="G1266" s="59" t="str">
        <f>IFERROR(__xludf.DUMMYFUNCTION("iferror(filter('3.1.clean'!C:C,'3.1.clean'!A:A=C1266),"""")"),"")</f>
        <v/>
      </c>
      <c r="H1266" s="58"/>
      <c r="I1266" s="58" t="str">
        <f>IFERROR(__xludf.DUMMYFUNCTION("iferror(filter('3.1.clean'!G:G,'3.1.clean'!A:A=C1266),"""")"),"")</f>
        <v/>
      </c>
      <c r="J1266" s="60" t="str">
        <f>IFERROR(__xludf.DUMMYFUNCTION("iferror(filter('3.1.clean'!I:I,'3.1.clean'!A:A=C1266),"""")"),"")</f>
        <v/>
      </c>
      <c r="K1266" s="59"/>
      <c r="L1266" s="60"/>
      <c r="M1266" s="59" t="str">
        <f>IFERROR(__xludf.DUMMYFUNCTION("iferror(filter('3.3.clean'!C:C,'3.3.clean'!A:A=C1266),"""")"),"")</f>
        <v/>
      </c>
      <c r="N1266" s="60" t="b">
        <f t="shared" si="964"/>
        <v>0</v>
      </c>
      <c r="O1266" s="59" t="str">
        <f>IFERROR(__xludf.DUMMYFUNCTION("iferror(filter('3.4.clean'!C:C,'3.4.clean'!A:A=C1266),"""")"),"")</f>
        <v/>
      </c>
      <c r="P1266" s="60" t="b">
        <f t="shared" si="965"/>
        <v>0</v>
      </c>
      <c r="Q1266" s="59">
        <f>IFERROR(__xludf.DUMMYFUNCTION("iferror(filter('3.5.clean'!C:C,'3.5.clean'!A:A=C1266),"""")"),43829.0)</f>
        <v>43829</v>
      </c>
      <c r="R1266" s="58" t="b">
        <f t="shared" ref="R1266:R1268" si="1037">if(Q1266="",FALSE,TRUE)</f>
        <v>1</v>
      </c>
      <c r="S1266" s="4">
        <f>IFERROR(__xludf.DUMMYFUNCTION("iferror(filter('3.5.clean'!H:H,'3.5.clean'!A:A=C1266),"""")"),0.0)</f>
        <v>0</v>
      </c>
      <c r="V1266" s="52" t="s">
        <v>64</v>
      </c>
      <c r="W1266" s="23" t="b">
        <f>if(AND(R1266=TRUE,N1266=TRUE,P1266=TRUE),TRUE,FALSE)</f>
        <v>0</v>
      </c>
      <c r="X1266" s="23" t="str">
        <f>IFERROR(__xludf.DUMMYFUNCTION("if(COUNTA(FILTER(C:C, C:C = C1266))=1,""no"",""yes"")"),"no")</f>
        <v>no</v>
      </c>
    </row>
    <row r="1267">
      <c r="A1267" s="75" t="s">
        <v>971</v>
      </c>
      <c r="B1267" s="19">
        <v>13.0</v>
      </c>
      <c r="C1267" s="19" t="s">
        <v>1972</v>
      </c>
      <c r="D1267" s="22" t="str">
        <f t="shared" si="1035"/>
        <v/>
      </c>
      <c r="E1267" s="20">
        <f t="shared" si="1036"/>
        <v>43829</v>
      </c>
      <c r="F1267" s="79" t="str">
        <f>IFERROR(__xludf.DUMMYFUNCTION("iferror(ifna(IFNA(filter('2.1.clean'!E:E,'2.1.clean'!A:A=C1267),filter('2.2.clean'!G:G,'2.2.clean'!D:D=C1267)),filter('2.4.clean'!E:E,'2.4.clean'!A:A=C1267)),)"),"")</f>
        <v/>
      </c>
      <c r="G1267" s="20" t="str">
        <f>IFERROR(__xludf.DUMMYFUNCTION("iferror(filter('3.1.clean'!C:C,'3.1.clean'!A:A=C1267),"""")"),"")</f>
        <v/>
      </c>
      <c r="H1267" s="22"/>
      <c r="I1267" s="22"/>
      <c r="J1267" s="79"/>
      <c r="K1267" s="20" t="str">
        <f>IFERROR(__xludf.DUMMYFUNCTION("iferror(filter('3.2.clean'!C:C,'3.2.clean'!A:A=C1267),"""")"),"")</f>
        <v/>
      </c>
      <c r="L1267" s="79"/>
      <c r="M1267" s="20" t="str">
        <f>IFERROR(__xludf.DUMMYFUNCTION("iferror(filter('3.3.clean'!C:C,'3.3.clean'!A:A=C1267),"""")"),"")</f>
        <v/>
      </c>
      <c r="N1267" s="79" t="b">
        <f t="shared" si="964"/>
        <v>0</v>
      </c>
      <c r="O1267" s="20" t="str">
        <f>IFERROR(__xludf.DUMMYFUNCTION("iferror(filter('3.4.clean'!C:C,'3.4.clean'!A:A=C1267),"""")"),"")</f>
        <v/>
      </c>
      <c r="P1267" s="79" t="b">
        <f t="shared" si="965"/>
        <v>0</v>
      </c>
      <c r="Q1267" s="20">
        <f>IFERROR(__xludf.DUMMYFUNCTION("iferror(filter('3.5.clean'!C:C,'3.5.clean'!A:A=C1267),"""")"),43829.0)</f>
        <v>43829</v>
      </c>
      <c r="R1267" s="22" t="b">
        <f t="shared" si="1037"/>
        <v>1</v>
      </c>
      <c r="S1267" s="4">
        <f>IFERROR(__xludf.DUMMYFUNCTION("iferror(filter('3.5.clean'!H:H,'3.5.clean'!A:A=C1267),"""")"),0.0)</f>
        <v>0</v>
      </c>
      <c r="V1267" s="1" t="s">
        <v>64</v>
      </c>
      <c r="W1267" s="23" t="b">
        <f t="shared" ref="W1267:W1268" si="1038">IF(and(R1267=TRUE,N1267=TRUE,P1267=TRUE),TRUE,FALSE)</f>
        <v>0</v>
      </c>
      <c r="X1267" s="23" t="str">
        <f>IFERROR(__xludf.DUMMYFUNCTION("if(COUNTA(FILTER(C:C, C:C = C1267))=1,""no"",""yes"")"),"no")</f>
        <v>no</v>
      </c>
    </row>
    <row r="1268">
      <c r="A1268" s="1" t="s">
        <v>974</v>
      </c>
      <c r="B1268" s="2">
        <v>1.0</v>
      </c>
      <c r="C1268" s="19" t="s">
        <v>1973</v>
      </c>
      <c r="E1268" s="24">
        <f>IFERROR(__xludf.DUMMYFUNCTION("ifna(IFNA(filter('2.1.clean'!C:C,'2.1.clean'!A:A=C1268),filter('2.2.clean'!E:E,'2.2.clean'!D:D=C1268)),filter('2.4.clean'!C:C,'2.4.clean'!A:A=C1268))"),43830.0)</f>
        <v>43830</v>
      </c>
      <c r="F1268" s="25">
        <f>IFERROR(__xludf.DUMMYFUNCTION("iferror(ifna(IFNA(filter('2.1.clean'!E:E,'2.1.clean'!A:A=C1268),filter('2.2.clean'!G:G,'2.2.clean'!D:D=C1268)),filter('2.4.clean'!E:E,'2.4.clean'!A:A=C1268)),)"),2.39999999999999)</f>
        <v>2.4</v>
      </c>
      <c r="G1268" s="24"/>
      <c r="J1268" s="25"/>
      <c r="K1268" s="24"/>
      <c r="L1268" s="25"/>
      <c r="M1268" s="24">
        <f>IFERROR(__xludf.DUMMYFUNCTION("iferror(filter('3.3.clean'!C:C,'3.3.clean'!A:A=C1268),"""")"),43831.0)</f>
        <v>43831</v>
      </c>
      <c r="N1268" s="25" t="b">
        <f t="shared" si="964"/>
        <v>1</v>
      </c>
      <c r="O1268" s="24">
        <f>IFERROR(__xludf.DUMMYFUNCTION("iferror(filter('3.4.clean'!C:C,'3.4.clean'!A:A=C1268),"""")"),43831.0)</f>
        <v>43831</v>
      </c>
      <c r="P1268" s="25" t="b">
        <f t="shared" si="965"/>
        <v>1</v>
      </c>
      <c r="Q1268" s="24">
        <f>IFERROR(__xludf.DUMMYFUNCTION("iferror(filter('3.5.clean'!C:C,'3.5.clean'!A:A=C1268),"""")"),43830.0)</f>
        <v>43830</v>
      </c>
      <c r="R1268" s="23" t="b">
        <f t="shared" si="1037"/>
        <v>1</v>
      </c>
      <c r="S1268" s="25"/>
      <c r="V1268" s="52" t="s">
        <v>64</v>
      </c>
      <c r="W1268" s="23" t="b">
        <f t="shared" si="1038"/>
        <v>1</v>
      </c>
      <c r="X1268" s="23" t="str">
        <f>IFERROR(__xludf.DUMMYFUNCTION("if(COUNTA(FILTER(C:C, C:C = C1268))=1,""no"",""yes"")"),"no")</f>
        <v>no</v>
      </c>
    </row>
    <row r="1269">
      <c r="A1269" s="1" t="s">
        <v>974</v>
      </c>
      <c r="B1269" s="2">
        <v>2.0</v>
      </c>
      <c r="C1269" s="69" t="s">
        <v>1974</v>
      </c>
      <c r="D1269" s="58" t="str">
        <f t="shared" ref="D1269:D1270" si="1039">if(or(I1269=1,J1269=1,S1269=1),"pos","")</f>
        <v/>
      </c>
      <c r="E1269" s="59">
        <f>IFERROR(__xludf.DUMMYFUNCTION("ifna(IFNA(filter('2.1.clean'!C:C,'2.1.clean'!A:A=C1269),filter('2.2.clean'!E:E,'2.2.clean'!D:D=C1269)),filter('2.4.clean'!C:C,'2.4.clean'!A:A=C1269))"),43830.0)</f>
        <v>43830</v>
      </c>
      <c r="F1269" s="60">
        <f>IFERROR(__xludf.DUMMYFUNCTION("iferror(ifna(IFNA(filter('2.1.clean'!E:E,'2.1.clean'!A:A=C1269),filter('2.2.clean'!G:G,'2.2.clean'!D:D=C1269)),filter('2.4.clean'!E:E,'2.4.clean'!A:A=C1269)),)"),2.39999999999999)</f>
        <v>2.4</v>
      </c>
      <c r="G1269" s="59" t="str">
        <f>IFERROR(__xludf.DUMMYFUNCTION("iferror(filter('3.1.clean'!C:C,'3.1.clean'!A:A=C1269),"""")"),"")</f>
        <v/>
      </c>
      <c r="H1269" s="58" t="b">
        <f>if(G1269="",FALSE,TRUE)</f>
        <v>0</v>
      </c>
      <c r="I1269" s="58" t="str">
        <f>IFERROR(__xludf.DUMMYFUNCTION("iferror(filter('3.1.clean'!G:G,'3.1.clean'!A:A=C1269),"""")"),"")</f>
        <v/>
      </c>
      <c r="J1269" s="60" t="str">
        <f>IFERROR(__xludf.DUMMYFUNCTION("iferror(filter('3.1.clean'!I:I,'3.1.clean'!A:A=C1269),"""")"),"")</f>
        <v/>
      </c>
      <c r="K1269" s="58"/>
      <c r="L1269" s="60"/>
      <c r="M1269" s="59">
        <f>IFERROR(__xludf.DUMMYFUNCTION("iferror(filter('3.3.clean'!C:C,'3.3.clean'!A:A=C1269),"""")"),43832.0)</f>
        <v>43832</v>
      </c>
      <c r="N1269" s="60" t="b">
        <f t="shared" si="964"/>
        <v>1</v>
      </c>
      <c r="O1269" s="59">
        <f>IFERROR(__xludf.DUMMYFUNCTION("iferror(filter('3.4.clean'!C:C,'3.4.clean'!A:A=C1269),"""")"),43831.0)</f>
        <v>43831</v>
      </c>
      <c r="P1269" s="60" t="b">
        <f t="shared" si="965"/>
        <v>1</v>
      </c>
      <c r="Q1269" s="59" t="str">
        <f>IFERROR(__xludf.DUMMYFUNCTION("iferror(filter('3.5.clean'!C:C,'3.5.clean'!A:A=C1269),"""")"),"")</f>
        <v/>
      </c>
      <c r="R1269" s="58"/>
      <c r="S1269" s="4" t="str">
        <f>IFERROR(__xludf.DUMMYFUNCTION("iferror(filter('3.5.clean'!H:H,'3.5.clean'!A:A=C1269),"""")"),"")</f>
        <v/>
      </c>
      <c r="W1269" s="23" t="b">
        <f>if(AND(H1269=TRUE,N1269=TRUE,P1269=TRUE),TRUE,FALSE)</f>
        <v>0</v>
      </c>
      <c r="X1269" s="23" t="str">
        <f>IFERROR(__xludf.DUMMYFUNCTION("if(COUNTA(FILTER(C:C, C:C = C1269))=1,""no"",""yes"")"),"no")</f>
        <v>no</v>
      </c>
    </row>
    <row r="1270">
      <c r="A1270" s="1" t="s">
        <v>974</v>
      </c>
      <c r="B1270" s="2">
        <v>3.0</v>
      </c>
      <c r="C1270" s="19" t="s">
        <v>1975</v>
      </c>
      <c r="D1270" s="58" t="str">
        <f t="shared" si="1039"/>
        <v/>
      </c>
      <c r="E1270" s="59">
        <f>Q1270</f>
        <v>43830</v>
      </c>
      <c r="F1270" s="60" t="str">
        <f>IFERROR(__xludf.DUMMYFUNCTION("iferror(ifna(IFNA(filter('2.1.clean'!E:E,'2.1.clean'!A:A=C1270),filter('2.2.clean'!G:G,'2.2.clean'!D:D=C1270)),filter('2.4.clean'!E:E,'2.4.clean'!A:A=C1270)),)"),"")</f>
        <v/>
      </c>
      <c r="G1270" s="59" t="str">
        <f>IFERROR(__xludf.DUMMYFUNCTION("iferror(filter('3.1.clean'!C:C,'3.1.clean'!A:A=C1270),"""")"),"")</f>
        <v/>
      </c>
      <c r="H1270" s="58"/>
      <c r="I1270" s="58" t="str">
        <f>IFERROR(__xludf.DUMMYFUNCTION("iferror(filter('3.1.clean'!G:G,'3.1.clean'!A:A=C1270),"""")"),"")</f>
        <v/>
      </c>
      <c r="J1270" s="60" t="str">
        <f>IFERROR(__xludf.DUMMYFUNCTION("iferror(filter('3.1.clean'!I:I,'3.1.clean'!A:A=C1270),"""")"),"")</f>
        <v/>
      </c>
      <c r="K1270" s="59"/>
      <c r="L1270" s="60"/>
      <c r="M1270" s="59" t="str">
        <f>IFERROR(__xludf.DUMMYFUNCTION("iferror(filter('3.3.clean'!C:C,'3.3.clean'!A:A=C1270),"""")"),"")</f>
        <v/>
      </c>
      <c r="N1270" s="60" t="b">
        <f t="shared" si="964"/>
        <v>0</v>
      </c>
      <c r="O1270" s="59" t="str">
        <f>IFERROR(__xludf.DUMMYFUNCTION("iferror(filter('3.4.clean'!C:C,'3.4.clean'!A:A=C1270),"""")"),"")</f>
        <v/>
      </c>
      <c r="P1270" s="60" t="b">
        <f t="shared" si="965"/>
        <v>0</v>
      </c>
      <c r="Q1270" s="59">
        <f>IFERROR(__xludf.DUMMYFUNCTION("iferror(filter('3.5.clean'!C:C,'3.5.clean'!A:A=C1270),"""")"),43830.0)</f>
        <v>43830</v>
      </c>
      <c r="R1270" s="58" t="b">
        <f t="shared" ref="R1270:R1271" si="1040">if(Q1270="",FALSE,TRUE)</f>
        <v>1</v>
      </c>
      <c r="S1270" s="4">
        <f>IFERROR(__xludf.DUMMYFUNCTION("iferror(filter('3.5.clean'!H:H,'3.5.clean'!A:A=C1270),"""")"),0.0)</f>
        <v>0</v>
      </c>
      <c r="V1270" s="52" t="s">
        <v>64</v>
      </c>
      <c r="W1270" s="23" t="b">
        <f>if(AND(R1270=TRUE,N1270=TRUE,P1270=TRUE),TRUE,FALSE)</f>
        <v>0</v>
      </c>
      <c r="X1270" s="23" t="str">
        <f>IFERROR(__xludf.DUMMYFUNCTION("if(COUNTA(FILTER(C:C, C:C = C1270))=1,""no"",""yes"")"),"no")</f>
        <v>no</v>
      </c>
    </row>
    <row r="1271">
      <c r="A1271" s="1" t="s">
        <v>974</v>
      </c>
      <c r="B1271" s="2">
        <v>4.0</v>
      </c>
      <c r="C1271" s="19" t="s">
        <v>1976</v>
      </c>
      <c r="E1271" s="24">
        <f>IFERROR(__xludf.DUMMYFUNCTION("ifna(IFNA(filter('2.1.clean'!C:C,'2.1.clean'!A:A=C1271),filter('2.2.clean'!E:E,'2.2.clean'!D:D=C1271)),filter('2.4.clean'!C:C,'2.4.clean'!A:A=C1271))"),43830.0)</f>
        <v>43830</v>
      </c>
      <c r="F1271" s="25">
        <f>IFERROR(__xludf.DUMMYFUNCTION("iferror(ifna(IFNA(filter('2.1.clean'!E:E,'2.1.clean'!A:A=C1271),filter('2.2.clean'!G:G,'2.2.clean'!D:D=C1271)),filter('2.4.clean'!E:E,'2.4.clean'!A:A=C1271)),)"),2.39999999999999)</f>
        <v>2.4</v>
      </c>
      <c r="G1271" s="24"/>
      <c r="J1271" s="25"/>
      <c r="K1271" s="24"/>
      <c r="L1271" s="25"/>
      <c r="M1271" s="24">
        <f>IFERROR(__xludf.DUMMYFUNCTION("iferror(filter('3.3.clean'!C:C,'3.3.clean'!A:A=C1271),"""")"),43832.0)</f>
        <v>43832</v>
      </c>
      <c r="N1271" s="25" t="b">
        <f t="shared" si="964"/>
        <v>1</v>
      </c>
      <c r="O1271" s="24">
        <f>IFERROR(__xludf.DUMMYFUNCTION("iferror(filter('3.4.clean'!C:C,'3.4.clean'!A:A=C1271),"""")"),43831.0)</f>
        <v>43831</v>
      </c>
      <c r="P1271" s="25" t="b">
        <f t="shared" si="965"/>
        <v>1</v>
      </c>
      <c r="Q1271" s="24">
        <f>IFERROR(__xludf.DUMMYFUNCTION("iferror(filter('3.5.clean'!C:C,'3.5.clean'!A:A=C1271),"""")"),43830.0)</f>
        <v>43830</v>
      </c>
      <c r="R1271" s="23" t="b">
        <f t="shared" si="1040"/>
        <v>1</v>
      </c>
      <c r="S1271" s="25"/>
      <c r="V1271" s="52" t="s">
        <v>64</v>
      </c>
      <c r="W1271" s="23" t="b">
        <f>IF(and(R1271=TRUE,N1271=TRUE,P1271=TRUE),TRUE,FALSE)</f>
        <v>1</v>
      </c>
      <c r="X1271" s="23" t="str">
        <f>IFERROR(__xludf.DUMMYFUNCTION("if(COUNTA(FILTER(C:C, C:C = C1271))=1,""no"",""yes"")"),"no")</f>
        <v>no</v>
      </c>
    </row>
    <row r="1272">
      <c r="A1272" s="1" t="s">
        <v>974</v>
      </c>
      <c r="B1272" s="2">
        <v>5.0</v>
      </c>
      <c r="C1272" s="19" t="s">
        <v>1977</v>
      </c>
      <c r="D1272" s="58" t="str">
        <f t="shared" ref="D1272:D1273" si="1041">if(or(I1272=1,J1272=1,S1272=1),"pos","")</f>
        <v/>
      </c>
      <c r="E1272" s="59">
        <f>IFERROR(__xludf.DUMMYFUNCTION("ifna(IFNA(filter('2.1.clean'!C:C,'2.1.clean'!A:A=C1272),filter('2.2.clean'!E:E,'2.2.clean'!D:D=C1272)),filter('2.4.clean'!C:C,'2.4.clean'!A:A=C1272))"),43830.0)</f>
        <v>43830</v>
      </c>
      <c r="F1272" s="60">
        <f>IFERROR(__xludf.DUMMYFUNCTION("iferror(ifna(IFNA(filter('2.1.clean'!E:E,'2.1.clean'!A:A=C1272),filter('2.2.clean'!G:G,'2.2.clean'!D:D=C1272)),filter('2.4.clean'!E:E,'2.4.clean'!A:A=C1272)),)"),2.39999999999999)</f>
        <v>2.4</v>
      </c>
      <c r="G1272" s="59" t="str">
        <f>IFERROR(__xludf.DUMMYFUNCTION("iferror(filter('3.1.clean'!C:C,'3.1.clean'!A:A=C1272),"""")"),"")</f>
        <v/>
      </c>
      <c r="H1272" s="58" t="b">
        <f>if(G1272="",FALSE,TRUE)</f>
        <v>0</v>
      </c>
      <c r="I1272" s="58" t="str">
        <f>IFERROR(__xludf.DUMMYFUNCTION("iferror(filter('3.1.clean'!G:G,'3.1.clean'!A:A=C1272),"""")"),"")</f>
        <v/>
      </c>
      <c r="J1272" s="60" t="str">
        <f>IFERROR(__xludf.DUMMYFUNCTION("iferror(filter('3.1.clean'!I:I,'3.1.clean'!A:A=C1272),"""")"),"")</f>
        <v/>
      </c>
      <c r="K1272" s="58"/>
      <c r="L1272" s="60"/>
      <c r="M1272" s="59" t="str">
        <f>IFERROR(__xludf.DUMMYFUNCTION("iferror(filter('3.3.clean'!C:C,'3.3.clean'!A:A=C1272),"""")"),"")</f>
        <v/>
      </c>
      <c r="N1272" s="60" t="b">
        <f t="shared" si="964"/>
        <v>0</v>
      </c>
      <c r="O1272" s="59" t="str">
        <f>IFERROR(__xludf.DUMMYFUNCTION("iferror(filter('3.4.clean'!C:C,'3.4.clean'!A:A=C1272),"""")"),"")</f>
        <v/>
      </c>
      <c r="P1272" s="60" t="b">
        <f t="shared" si="965"/>
        <v>0</v>
      </c>
      <c r="Q1272" s="59" t="str">
        <f>IFERROR(__xludf.DUMMYFUNCTION("iferror(filter('3.5.clean'!C:C,'3.5.clean'!A:A=C1272),"""")"),"")</f>
        <v/>
      </c>
      <c r="R1272" s="58"/>
      <c r="S1272" s="4" t="str">
        <f>IFERROR(__xludf.DUMMYFUNCTION("iferror(filter('3.5.clean'!H:H,'3.5.clean'!A:A=C1272),"""")"),"")</f>
        <v/>
      </c>
      <c r="W1272" s="23" t="b">
        <f>if(AND(H1272=TRUE,N1272=TRUE,P1272=TRUE),TRUE,FALSE)</f>
        <v>0</v>
      </c>
      <c r="X1272" s="23" t="str">
        <f>IFERROR(__xludf.DUMMYFUNCTION("if(COUNTA(FILTER(C:C, C:C = C1272))=1,""no"",""yes"")"),"no")</f>
        <v>no</v>
      </c>
    </row>
    <row r="1273">
      <c r="A1273" s="1" t="s">
        <v>974</v>
      </c>
      <c r="B1273" s="2">
        <v>6.0</v>
      </c>
      <c r="C1273" s="19" t="s">
        <v>1978</v>
      </c>
      <c r="D1273" s="58" t="str">
        <f t="shared" si="1041"/>
        <v/>
      </c>
      <c r="E1273" s="59">
        <f>Q1273</f>
        <v>43830</v>
      </c>
      <c r="F1273" s="60" t="str">
        <f>IFERROR(__xludf.DUMMYFUNCTION("iferror(ifna(IFNA(filter('2.1.clean'!E:E,'2.1.clean'!A:A=C1273),filter('2.2.clean'!G:G,'2.2.clean'!D:D=C1273)),filter('2.4.clean'!E:E,'2.4.clean'!A:A=C1273)),)"),"")</f>
        <v/>
      </c>
      <c r="G1273" s="59" t="str">
        <f>IFERROR(__xludf.DUMMYFUNCTION("iferror(filter('3.1.clean'!C:C,'3.1.clean'!A:A=C1273),"""")"),"")</f>
        <v/>
      </c>
      <c r="H1273" s="58"/>
      <c r="I1273" s="58" t="str">
        <f>IFERROR(__xludf.DUMMYFUNCTION("iferror(filter('3.1.clean'!G:G,'3.1.clean'!A:A=C1273),"""")"),"")</f>
        <v/>
      </c>
      <c r="J1273" s="60" t="str">
        <f>IFERROR(__xludf.DUMMYFUNCTION("iferror(filter('3.1.clean'!I:I,'3.1.clean'!A:A=C1273),"""")"),"")</f>
        <v/>
      </c>
      <c r="K1273" s="59"/>
      <c r="L1273" s="60"/>
      <c r="M1273" s="59" t="str">
        <f>IFERROR(__xludf.DUMMYFUNCTION("iferror(filter('3.3.clean'!C:C,'3.3.clean'!A:A=C1273),"""")"),"")</f>
        <v/>
      </c>
      <c r="N1273" s="60" t="b">
        <f t="shared" si="964"/>
        <v>0</v>
      </c>
      <c r="O1273" s="59" t="str">
        <f>IFERROR(__xludf.DUMMYFUNCTION("iferror(filter('3.4.clean'!C:C,'3.4.clean'!A:A=C1273),"""")"),"")</f>
        <v/>
      </c>
      <c r="P1273" s="60" t="b">
        <f t="shared" si="965"/>
        <v>0</v>
      </c>
      <c r="Q1273" s="59">
        <f>IFERROR(__xludf.DUMMYFUNCTION("iferror(filter('3.5.clean'!C:C,'3.5.clean'!A:A=C1273),"""")"),43830.0)</f>
        <v>43830</v>
      </c>
      <c r="R1273" s="58" t="b">
        <f t="shared" ref="R1273:R1274" si="1042">if(Q1273="",FALSE,TRUE)</f>
        <v>1</v>
      </c>
      <c r="S1273" s="4">
        <f>IFERROR(__xludf.DUMMYFUNCTION("iferror(filter('3.5.clean'!H:H,'3.5.clean'!A:A=C1273),"""")"),0.0)</f>
        <v>0</v>
      </c>
      <c r="V1273" s="52" t="s">
        <v>64</v>
      </c>
      <c r="W1273" s="23" t="b">
        <f>if(AND(R1273=TRUE,N1273=TRUE,P1273=TRUE),TRUE,FALSE)</f>
        <v>0</v>
      </c>
      <c r="X1273" s="23" t="str">
        <f>IFERROR(__xludf.DUMMYFUNCTION("if(COUNTA(FILTER(C:C, C:C = C1273))=1,""no"",""yes"")"),"no")</f>
        <v>no</v>
      </c>
    </row>
    <row r="1274">
      <c r="A1274" s="1" t="s">
        <v>974</v>
      </c>
      <c r="B1274" s="2">
        <v>7.0</v>
      </c>
      <c r="C1274" s="19" t="s">
        <v>1979</v>
      </c>
      <c r="E1274" s="24">
        <f>IFERROR(__xludf.DUMMYFUNCTION("ifna(IFNA(filter('2.1.clean'!C:C,'2.1.clean'!A:A=C1274),filter('2.2.clean'!E:E,'2.2.clean'!D:D=C1274)),filter('2.4.clean'!C:C,'2.4.clean'!A:A=C1274))"),43830.0)</f>
        <v>43830</v>
      </c>
      <c r="F1274" s="25">
        <f>IFERROR(__xludf.DUMMYFUNCTION("iferror(ifna(IFNA(filter('2.1.clean'!E:E,'2.1.clean'!A:A=C1274),filter('2.2.clean'!G:G,'2.2.clean'!D:D=C1274)),filter('2.4.clean'!E:E,'2.4.clean'!A:A=C1274)),)"),2.39999999999999)</f>
        <v>2.4</v>
      </c>
      <c r="G1274" s="24"/>
      <c r="J1274" s="25"/>
      <c r="K1274" s="24"/>
      <c r="L1274" s="25"/>
      <c r="M1274" s="24">
        <f>IFERROR(__xludf.DUMMYFUNCTION("iferror(filter('3.3.clean'!C:C,'3.3.clean'!A:A=C1274),"""")"),43832.0)</f>
        <v>43832</v>
      </c>
      <c r="N1274" s="25" t="b">
        <f t="shared" si="964"/>
        <v>1</v>
      </c>
      <c r="O1274" s="24">
        <f>IFERROR(__xludf.DUMMYFUNCTION("iferror(filter('3.4.clean'!C:C,'3.4.clean'!A:A=C1274),"""")"),43831.0)</f>
        <v>43831</v>
      </c>
      <c r="P1274" s="25" t="b">
        <f t="shared" si="965"/>
        <v>1</v>
      </c>
      <c r="Q1274" s="24">
        <f>IFERROR(__xludf.DUMMYFUNCTION("iferror(filter('3.5.clean'!C:C,'3.5.clean'!A:A=C1274),"""")"),43830.0)</f>
        <v>43830</v>
      </c>
      <c r="R1274" s="23" t="b">
        <f t="shared" si="1042"/>
        <v>1</v>
      </c>
      <c r="S1274" s="25"/>
      <c r="V1274" s="52" t="s">
        <v>64</v>
      </c>
      <c r="W1274" s="23" t="b">
        <f>IF(and(R1274=TRUE,N1274=TRUE,P1274=TRUE),TRUE,FALSE)</f>
        <v>1</v>
      </c>
      <c r="X1274" s="23" t="str">
        <f>IFERROR(__xludf.DUMMYFUNCTION("if(COUNTA(FILTER(C:C, C:C = C1274))=1,""no"",""yes"")"),"no")</f>
        <v>no</v>
      </c>
    </row>
    <row r="1275">
      <c r="A1275" s="1" t="s">
        <v>974</v>
      </c>
      <c r="B1275" s="2">
        <v>8.0</v>
      </c>
      <c r="C1275" s="19" t="s">
        <v>1980</v>
      </c>
      <c r="D1275" s="58" t="str">
        <f t="shared" ref="D1275:D1276" si="1043">if(or(I1275=1,J1275=1,S1275=1),"pos","")</f>
        <v/>
      </c>
      <c r="E1275" s="59">
        <f>IFERROR(__xludf.DUMMYFUNCTION("ifna(IFNA(filter('2.1.clean'!C:C,'2.1.clean'!A:A=C1275),filter('2.2.clean'!E:E,'2.2.clean'!D:D=C1275)),filter('2.4.clean'!C:C,'2.4.clean'!A:A=C1275))"),43830.0)</f>
        <v>43830</v>
      </c>
      <c r="F1275" s="60">
        <f>IFERROR(__xludf.DUMMYFUNCTION("iferror(ifna(IFNA(filter('2.1.clean'!E:E,'2.1.clean'!A:A=C1275),filter('2.2.clean'!G:G,'2.2.clean'!D:D=C1275)),filter('2.4.clean'!E:E,'2.4.clean'!A:A=C1275)),)"),2.39999999999999)</f>
        <v>2.4</v>
      </c>
      <c r="G1275" s="59" t="str">
        <f>IFERROR(__xludf.DUMMYFUNCTION("iferror(filter('3.1.clean'!C:C,'3.1.clean'!A:A=C1275),"""")"),"")</f>
        <v/>
      </c>
      <c r="H1275" s="58" t="b">
        <f>if(G1275="",FALSE,TRUE)</f>
        <v>0</v>
      </c>
      <c r="I1275" s="58" t="str">
        <f>IFERROR(__xludf.DUMMYFUNCTION("iferror(filter('3.1.clean'!G:G,'3.1.clean'!A:A=C1275),"""")"),"")</f>
        <v/>
      </c>
      <c r="J1275" s="60" t="str">
        <f>IFERROR(__xludf.DUMMYFUNCTION("iferror(filter('3.1.clean'!I:I,'3.1.clean'!A:A=C1275),"""")"),"")</f>
        <v/>
      </c>
      <c r="K1275" s="58"/>
      <c r="L1275" s="60"/>
      <c r="M1275" s="59" t="str">
        <f>IFERROR(__xludf.DUMMYFUNCTION("iferror(filter('3.3.clean'!C:C,'3.3.clean'!A:A=C1275),"""")"),"")</f>
        <v/>
      </c>
      <c r="N1275" s="60" t="b">
        <f t="shared" si="964"/>
        <v>0</v>
      </c>
      <c r="O1275" s="59" t="str">
        <f>IFERROR(__xludf.DUMMYFUNCTION("iferror(filter('3.4.clean'!C:C,'3.4.clean'!A:A=C1275),"""")"),"")</f>
        <v/>
      </c>
      <c r="P1275" s="60" t="b">
        <f t="shared" si="965"/>
        <v>0</v>
      </c>
      <c r="Q1275" s="59" t="str">
        <f>IFERROR(__xludf.DUMMYFUNCTION("iferror(filter('3.5.clean'!C:C,'3.5.clean'!A:A=C1275),"""")"),"")</f>
        <v/>
      </c>
      <c r="R1275" s="58"/>
      <c r="S1275" s="4" t="str">
        <f>IFERROR(__xludf.DUMMYFUNCTION("iferror(filter('3.5.clean'!H:H,'3.5.clean'!A:A=C1275),"""")"),"")</f>
        <v/>
      </c>
      <c r="W1275" s="23" t="b">
        <f>if(AND(H1275=TRUE,N1275=TRUE,P1275=TRUE),TRUE,FALSE)</f>
        <v>0</v>
      </c>
      <c r="X1275" s="23" t="str">
        <f>IFERROR(__xludf.DUMMYFUNCTION("if(COUNTA(FILTER(C:C, C:C = C1275))=1,""no"",""yes"")"),"no")</f>
        <v>no</v>
      </c>
    </row>
    <row r="1276">
      <c r="A1276" s="1" t="s">
        <v>974</v>
      </c>
      <c r="B1276" s="2">
        <v>9.0</v>
      </c>
      <c r="C1276" s="19" t="s">
        <v>1981</v>
      </c>
      <c r="D1276" s="58" t="str">
        <f t="shared" si="1043"/>
        <v/>
      </c>
      <c r="E1276" s="59">
        <f>Q1276</f>
        <v>43830</v>
      </c>
      <c r="F1276" s="60" t="str">
        <f>IFERROR(__xludf.DUMMYFUNCTION("iferror(ifna(IFNA(filter('2.1.clean'!E:E,'2.1.clean'!A:A=C1276),filter('2.2.clean'!G:G,'2.2.clean'!D:D=C1276)),filter('2.4.clean'!E:E,'2.4.clean'!A:A=C1276)),)"),"")</f>
        <v/>
      </c>
      <c r="G1276" s="59" t="str">
        <f>IFERROR(__xludf.DUMMYFUNCTION("iferror(filter('3.1.clean'!C:C,'3.1.clean'!A:A=C1276),"""")"),"")</f>
        <v/>
      </c>
      <c r="H1276" s="58"/>
      <c r="I1276" s="58" t="str">
        <f>IFERROR(__xludf.DUMMYFUNCTION("iferror(filter('3.1.clean'!G:G,'3.1.clean'!A:A=C1276),"""")"),"")</f>
        <v/>
      </c>
      <c r="J1276" s="60" t="str">
        <f>IFERROR(__xludf.DUMMYFUNCTION("iferror(filter('3.1.clean'!I:I,'3.1.clean'!A:A=C1276),"""")"),"")</f>
        <v/>
      </c>
      <c r="K1276" s="59"/>
      <c r="L1276" s="60"/>
      <c r="M1276" s="59" t="str">
        <f>IFERROR(__xludf.DUMMYFUNCTION("iferror(filter('3.3.clean'!C:C,'3.3.clean'!A:A=C1276),"""")"),"")</f>
        <v/>
      </c>
      <c r="N1276" s="60" t="b">
        <f t="shared" si="964"/>
        <v>0</v>
      </c>
      <c r="O1276" s="59" t="str">
        <f>IFERROR(__xludf.DUMMYFUNCTION("iferror(filter('3.4.clean'!C:C,'3.4.clean'!A:A=C1276),"""")"),"")</f>
        <v/>
      </c>
      <c r="P1276" s="60" t="b">
        <f t="shared" si="965"/>
        <v>0</v>
      </c>
      <c r="Q1276" s="59">
        <f>IFERROR(__xludf.DUMMYFUNCTION("iferror(filter('3.5.clean'!C:C,'3.5.clean'!A:A=C1276),"""")"),43830.0)</f>
        <v>43830</v>
      </c>
      <c r="R1276" s="58" t="b">
        <f t="shared" ref="R1276:R1279" si="1044">if(Q1276="",FALSE,TRUE)</f>
        <v>1</v>
      </c>
      <c r="S1276" s="4">
        <f>IFERROR(__xludf.DUMMYFUNCTION("iferror(filter('3.5.clean'!H:H,'3.5.clean'!A:A=C1276),"""")"),0.0)</f>
        <v>0</v>
      </c>
      <c r="V1276" s="52" t="s">
        <v>64</v>
      </c>
      <c r="W1276" s="23" t="b">
        <f>if(AND(R1276=TRUE,N1276=TRUE,P1276=TRUE),TRUE,FALSE)</f>
        <v>0</v>
      </c>
      <c r="X1276" s="23" t="str">
        <f>IFERROR(__xludf.DUMMYFUNCTION("if(COUNTA(FILTER(C:C, C:C = C1276))=1,""no"",""yes"")"),"no")</f>
        <v>no</v>
      </c>
    </row>
    <row r="1277">
      <c r="A1277" s="1" t="s">
        <v>974</v>
      </c>
      <c r="B1277" s="2">
        <v>10.0</v>
      </c>
      <c r="C1277" s="69" t="s">
        <v>1982</v>
      </c>
      <c r="E1277" s="24">
        <f>IFERROR(__xludf.DUMMYFUNCTION("ifna(IFNA(filter('2.1.clean'!C:C,'2.1.clean'!A:A=C1277),filter('2.2.clean'!E:E,'2.2.clean'!D:D=C1277)),filter('2.4.clean'!C:C,'2.4.clean'!A:A=C1277))"),43830.0)</f>
        <v>43830</v>
      </c>
      <c r="F1277" s="25">
        <f>IFERROR(__xludf.DUMMYFUNCTION("iferror(ifna(IFNA(filter('2.1.clean'!E:E,'2.1.clean'!A:A=C1277),filter('2.2.clean'!G:G,'2.2.clean'!D:D=C1277)),filter('2.4.clean'!E:E,'2.4.clean'!A:A=C1277)),)"),2.39999999999999)</f>
        <v>2.4</v>
      </c>
      <c r="G1277" s="24" t="str">
        <f>IFERROR(__xludf.DUMMYFUNCTION("iferror(filter('3.1.clean'!C:C,'3.1.clean'!A:A=C1277),"""")"),"")</f>
        <v/>
      </c>
      <c r="H1277" s="23" t="b">
        <f>if(G1277="",FALSE,TRUE)</f>
        <v>0</v>
      </c>
      <c r="J1277" s="25"/>
      <c r="K1277" s="24">
        <f>IFERROR(__xludf.DUMMYFUNCTION("iferror(filter('3.2.clean'!C:C,'3.2.clean'!A:A=C1277),"""")"),43830.0)</f>
        <v>43830</v>
      </c>
      <c r="L1277" s="25" t="b">
        <f>if(K1277="",FALSE,TRUE)</f>
        <v>1</v>
      </c>
      <c r="M1277" s="24">
        <f>IFERROR(__xludf.DUMMYFUNCTION("iferror(filter('3.3.clean'!C:C,'3.3.clean'!A:A=C1277),"""")"),43831.0)</f>
        <v>43831</v>
      </c>
      <c r="N1277" s="25" t="b">
        <f t="shared" si="964"/>
        <v>1</v>
      </c>
      <c r="O1277" s="24">
        <f>IFERROR(__xludf.DUMMYFUNCTION("iferror(filter('3.4.clean'!C:C,'3.4.clean'!A:A=C1277),"""")"),43831.0)</f>
        <v>43831</v>
      </c>
      <c r="P1277" s="25" t="b">
        <f t="shared" si="965"/>
        <v>1</v>
      </c>
      <c r="Q1277" s="24" t="str">
        <f>IFERROR(__xludf.DUMMYFUNCTION("iferror(filter('3.5.clean'!C:C,'3.5.clean'!A:A=C1277),"""")"),"")</f>
        <v/>
      </c>
      <c r="R1277" s="23" t="b">
        <f t="shared" si="1044"/>
        <v>0</v>
      </c>
      <c r="S1277" s="25"/>
      <c r="U1277" s="23"/>
      <c r="V1277" s="1" t="s">
        <v>64</v>
      </c>
      <c r="X1277" s="23" t="str">
        <f>IFERROR(__xludf.DUMMYFUNCTION("if(COUNTA(FILTER(C:C, C:C = C1277))=1,""no"",""yes"")"),"no")</f>
        <v>no</v>
      </c>
    </row>
    <row r="1278">
      <c r="A1278" s="1" t="s">
        <v>974</v>
      </c>
      <c r="B1278" s="2">
        <v>11.0</v>
      </c>
      <c r="C1278" s="69" t="s">
        <v>1983</v>
      </c>
      <c r="E1278" s="24">
        <v>43830.0</v>
      </c>
      <c r="F1278" s="25" t="str">
        <f>IFERROR(__xludf.DUMMYFUNCTION("iferror(ifna(IFNA(filter('2.1.clean'!E:E,'2.1.clean'!A:A=C1278),filter('2.2.clean'!G:G,'2.2.clean'!D:D=C1278)),filter('2.4.clean'!E:E,'2.4.clean'!A:A=C1278)),)"),"")</f>
        <v/>
      </c>
      <c r="G1278" s="24" t="str">
        <f>IFERROR(__xludf.DUMMYFUNCTION("iferror(filter('3.1.clean'!C:C,'3.1.clean'!A:A=C1278),"""")"),"")</f>
        <v/>
      </c>
      <c r="J1278" s="25"/>
      <c r="K1278" s="24" t="str">
        <f>IFERROR(__xludf.DUMMYFUNCTION("iferror(filter('3.2.clean'!C:C,'3.2.clean'!A:A=C1278),"""")"),"")</f>
        <v/>
      </c>
      <c r="L1278" s="25"/>
      <c r="M1278" s="24">
        <f>IFERROR(__xludf.DUMMYFUNCTION("iferror(filter('3.3.clean'!C:C,'3.3.clean'!A:A=C1278),"""")"),43832.0)</f>
        <v>43832</v>
      </c>
      <c r="N1278" s="25" t="b">
        <f t="shared" si="964"/>
        <v>1</v>
      </c>
      <c r="O1278" s="24">
        <f>IFERROR(__xludf.DUMMYFUNCTION("iferror(filter('3.4.clean'!C:C,'3.4.clean'!A:A=C1278),"""")"),43831.0)</f>
        <v>43831</v>
      </c>
      <c r="P1278" s="25" t="b">
        <f t="shared" si="965"/>
        <v>1</v>
      </c>
      <c r="Q1278" s="24" t="str">
        <f>IFERROR(__xludf.DUMMYFUNCTION("iferror(filter('3.5.clean'!C:C,'3.5.clean'!A:A=C1278),"""")"),"")</f>
        <v/>
      </c>
      <c r="R1278" s="23" t="b">
        <f t="shared" si="1044"/>
        <v>0</v>
      </c>
      <c r="S1278" s="25"/>
      <c r="U1278" s="23"/>
      <c r="V1278" s="1" t="s">
        <v>64</v>
      </c>
      <c r="X1278" s="23" t="str">
        <f>IFERROR(__xludf.DUMMYFUNCTION("if(COUNTA(FILTER(C:C, C:C = C1278))=1,""no"",""yes"")"),"no")</f>
        <v>no</v>
      </c>
    </row>
    <row r="1279">
      <c r="A1279" s="1" t="s">
        <v>974</v>
      </c>
      <c r="B1279" s="19">
        <v>12.0</v>
      </c>
      <c r="C1279" s="19" t="s">
        <v>1984</v>
      </c>
      <c r="D1279" s="22" t="str">
        <f>if(or(I1279=1,J1279=1,S1279=1),"pos","")</f>
        <v/>
      </c>
      <c r="E1279" s="20">
        <f>Q1279</f>
        <v>43830</v>
      </c>
      <c r="F1279" s="79" t="str">
        <f>IFERROR(__xludf.DUMMYFUNCTION("iferror(ifna(IFNA(filter('2.1.clean'!E:E,'2.1.clean'!A:A=C1279),filter('2.2.clean'!G:G,'2.2.clean'!D:D=C1279)),filter('2.4.clean'!E:E,'2.4.clean'!A:A=C1279)),)"),"")</f>
        <v/>
      </c>
      <c r="G1279" s="20" t="str">
        <f>IFERROR(__xludf.DUMMYFUNCTION("iferror(filter('3.1.clean'!C:C,'3.1.clean'!A:A=C1279),"""")"),"")</f>
        <v/>
      </c>
      <c r="H1279" s="22"/>
      <c r="I1279" s="22"/>
      <c r="J1279" s="79"/>
      <c r="K1279" s="20" t="str">
        <f>IFERROR(__xludf.DUMMYFUNCTION("iferror(filter('3.2.clean'!C:C,'3.2.clean'!A:A=C1279),"""")"),"")</f>
        <v/>
      </c>
      <c r="L1279" s="79"/>
      <c r="M1279" s="20" t="str">
        <f>IFERROR(__xludf.DUMMYFUNCTION("iferror(filter('3.3.clean'!C:C,'3.3.clean'!A:A=C1279),"""")"),"")</f>
        <v/>
      </c>
      <c r="N1279" s="79" t="b">
        <f t="shared" si="964"/>
        <v>0</v>
      </c>
      <c r="O1279" s="20" t="str">
        <f>IFERROR(__xludf.DUMMYFUNCTION("iferror(filter('3.4.clean'!C:C,'3.4.clean'!A:A=C1279),"""")"),"")</f>
        <v/>
      </c>
      <c r="P1279" s="79" t="b">
        <f t="shared" si="965"/>
        <v>0</v>
      </c>
      <c r="Q1279" s="20">
        <f>IFERROR(__xludf.DUMMYFUNCTION("iferror(filter('3.5.clean'!C:C,'3.5.clean'!A:A=C1279),"""")"),43830.0)</f>
        <v>43830</v>
      </c>
      <c r="R1279" s="22" t="b">
        <f t="shared" si="1044"/>
        <v>1</v>
      </c>
      <c r="S1279" s="4">
        <f>IFERROR(__xludf.DUMMYFUNCTION("iferror(filter('3.5.clean'!H:H,'3.5.clean'!A:A=C1279),"""")"),0.0)</f>
        <v>0</v>
      </c>
      <c r="V1279" s="1" t="s">
        <v>64</v>
      </c>
      <c r="W1279" s="23" t="b">
        <f>IF(and(R1279=TRUE,N1279=TRUE,P1279=TRUE),TRUE,FALSE)</f>
        <v>0</v>
      </c>
      <c r="X1279" s="23" t="str">
        <f>IFERROR(__xludf.DUMMYFUNCTION("if(COUNTA(FILTER(C:C, C:C = C1279))=1,""no"",""yes"")"),"no")</f>
        <v>no</v>
      </c>
    </row>
    <row r="1280">
      <c r="A1280" s="1" t="s">
        <v>977</v>
      </c>
      <c r="B1280" s="2">
        <v>1.0</v>
      </c>
      <c r="C1280" s="69" t="s">
        <v>1985</v>
      </c>
      <c r="D1280" s="1"/>
      <c r="E1280" s="24">
        <f>IFERROR(__xludf.DUMMYFUNCTION("ifna(IFNA(filter('2.1.clean'!C:C,'2.1.clean'!A:A=C1280),filter('2.2.clean'!E:E,'2.2.clean'!D:D=C1280)),filter('2.4.clean'!C:C,'2.4.clean'!A:A=C1280))"),43831.0)</f>
        <v>43831</v>
      </c>
      <c r="F1280" s="25">
        <f>IFERROR(__xludf.DUMMYFUNCTION("iferror(ifna(IFNA(filter('2.1.clean'!E:E,'2.1.clean'!A:A=C1280),filter('2.2.clean'!G:G,'2.2.clean'!D:D=C1280)),filter('2.4.clean'!E:E,'2.4.clean'!A:A=C1280)),)"),2.1)</f>
        <v>2.1</v>
      </c>
      <c r="G1280" s="24" t="str">
        <f>IFERROR(__xludf.DUMMYFUNCTION("iferror(filter('3.1.clean'!C:C,'3.1.clean'!A:A=C1280),"""")"),"")</f>
        <v/>
      </c>
      <c r="H1280" s="23" t="b">
        <f t="shared" ref="H1280:H1281" si="1045">if(G1280="",FALSE,TRUE)</f>
        <v>0</v>
      </c>
      <c r="J1280" s="25"/>
      <c r="K1280" s="24" t="str">
        <f>IFERROR(__xludf.DUMMYFUNCTION("iferror(filter('3.2.clean'!C:C,'3.2.clean'!A:A=C1280),"""")"),"")</f>
        <v/>
      </c>
      <c r="L1280" s="25" t="b">
        <f>if(K1280="",FALSE,TRUE)</f>
        <v>0</v>
      </c>
      <c r="M1280" s="24">
        <f>IFERROR(__xludf.DUMMYFUNCTION("iferror(filter('3.3.clean'!C:C,'3.3.clean'!A:A=C1280),"""")"),43832.0)</f>
        <v>43832</v>
      </c>
      <c r="N1280" s="25" t="b">
        <f t="shared" si="964"/>
        <v>1</v>
      </c>
      <c r="O1280" s="24" t="str">
        <f>IFERROR(__xludf.DUMMYFUNCTION("iferror(filter('3.4.clean'!C:C,'3.4.clean'!A:A=#REF!),"""")"),"")</f>
        <v/>
      </c>
      <c r="P1280" s="25" t="b">
        <f t="shared" si="965"/>
        <v>0</v>
      </c>
      <c r="Q1280" s="24"/>
      <c r="S1280" s="25"/>
      <c r="V1280" s="1" t="s">
        <v>83</v>
      </c>
      <c r="W1280" s="23" t="b">
        <f>IF(and(H1280=TRUE,L1280=TRUE,N1280=TRUE,P1280=TRUE),TRUE,FALSE)</f>
        <v>0</v>
      </c>
      <c r="X1280" s="23" t="str">
        <f>IFERROR(__xludf.DUMMYFUNCTION("if(COUNTA(FILTER(C:C, C:C = C1280))=1,""no"",""yes"")"),"no")</f>
        <v>no</v>
      </c>
    </row>
    <row r="1281">
      <c r="A1281" s="1" t="s">
        <v>977</v>
      </c>
      <c r="B1281" s="2">
        <v>2.0</v>
      </c>
      <c r="C1281" s="69" t="s">
        <v>1986</v>
      </c>
      <c r="D1281" s="58" t="str">
        <f t="shared" ref="D1281:D1282" si="1046">if(or(I1281=1,J1281=1,S1281=1),"pos","")</f>
        <v/>
      </c>
      <c r="E1281" s="59">
        <f>IFERROR(__xludf.DUMMYFUNCTION("ifna(IFNA(filter('2.1.clean'!C:C,'2.1.clean'!A:A=C1281),filter('2.2.clean'!E:E,'2.2.clean'!D:D=C1281)),filter('2.4.clean'!C:C,'2.4.clean'!A:A=C1281))"),43831.0)</f>
        <v>43831</v>
      </c>
      <c r="F1281" s="60">
        <f>IFERROR(__xludf.DUMMYFUNCTION("iferror(ifna(IFNA(filter('2.1.clean'!E:E,'2.1.clean'!A:A=C1281),filter('2.2.clean'!G:G,'2.2.clean'!D:D=C1281)),filter('2.4.clean'!E:E,'2.4.clean'!A:A=C1281)),)"),2.1)</f>
        <v>2.1</v>
      </c>
      <c r="G1281" s="59" t="str">
        <f>IFERROR(__xludf.DUMMYFUNCTION("iferror(filter('3.1.clean'!C:C,'3.1.clean'!A:A=C1281),"""")"),"")</f>
        <v/>
      </c>
      <c r="H1281" s="58" t="b">
        <f t="shared" si="1045"/>
        <v>0</v>
      </c>
      <c r="I1281" s="58" t="str">
        <f>IFERROR(__xludf.DUMMYFUNCTION("iferror(filter('3.1.clean'!G:G,'3.1.clean'!A:A=C1281),"""")"),"")</f>
        <v/>
      </c>
      <c r="J1281" s="60" t="str">
        <f>IFERROR(__xludf.DUMMYFUNCTION("iferror(filter('3.1.clean'!I:I,'3.1.clean'!A:A=C1281),"""")"),"")</f>
        <v/>
      </c>
      <c r="K1281" s="58"/>
      <c r="L1281" s="60"/>
      <c r="M1281" s="59">
        <f>IFERROR(__xludf.DUMMYFUNCTION("iferror(filter('3.3.clean'!C:C,'3.3.clean'!A:A=C1281),"""")"),43832.0)</f>
        <v>43832</v>
      </c>
      <c r="N1281" s="60" t="b">
        <f t="shared" si="964"/>
        <v>1</v>
      </c>
      <c r="O1281" s="59">
        <f>IFERROR(__xludf.DUMMYFUNCTION("iferror(filter('3.4.clean'!C:C,'3.4.clean'!A:A=C1281),"""")"),43831.0)</f>
        <v>43831</v>
      </c>
      <c r="P1281" s="60" t="b">
        <f t="shared" si="965"/>
        <v>1</v>
      </c>
      <c r="Q1281" s="59" t="str">
        <f>IFERROR(__xludf.DUMMYFUNCTION("iferror(filter('3.5.clean'!C:C,'3.5.clean'!A:A=C1281),"""")"),"")</f>
        <v/>
      </c>
      <c r="R1281" s="58"/>
      <c r="S1281" s="4" t="str">
        <f>IFERROR(__xludf.DUMMYFUNCTION("iferror(filter('3.5.clean'!H:H,'3.5.clean'!A:A=C1281),"""")"),"")</f>
        <v/>
      </c>
      <c r="W1281" s="23" t="b">
        <f>if(AND(H1281=TRUE,N1281=TRUE,P1281=TRUE),TRUE,FALSE)</f>
        <v>0</v>
      </c>
      <c r="X1281" s="23" t="str">
        <f>IFERROR(__xludf.DUMMYFUNCTION("if(COUNTA(FILTER(C:C, C:C = C1281))=1,""no"",""yes"")"),"no")</f>
        <v>no</v>
      </c>
    </row>
    <row r="1282">
      <c r="A1282" s="1" t="s">
        <v>977</v>
      </c>
      <c r="B1282" s="2">
        <v>3.0</v>
      </c>
      <c r="C1282" s="19" t="s">
        <v>1987</v>
      </c>
      <c r="D1282" s="22" t="str">
        <f t="shared" si="1046"/>
        <v/>
      </c>
      <c r="E1282" s="20">
        <f>Q1282</f>
        <v>43831</v>
      </c>
      <c r="F1282" s="79" t="str">
        <f>IFERROR(__xludf.DUMMYFUNCTION("iferror(ifna(IFNA(filter('2.1.clean'!E:E,'2.1.clean'!A:A=C1282),filter('2.2.clean'!G:G,'2.2.clean'!D:D=C1282)),filter('2.4.clean'!E:E,'2.4.clean'!A:A=C1282)),)"),"")</f>
        <v/>
      </c>
      <c r="G1282" s="20" t="str">
        <f>IFERROR(__xludf.DUMMYFUNCTION("iferror(filter('3.1.clean'!C:C,'3.1.clean'!A:A=C1282),"""")"),"")</f>
        <v/>
      </c>
      <c r="H1282" s="22"/>
      <c r="I1282" s="22"/>
      <c r="J1282" s="79"/>
      <c r="K1282" s="20" t="str">
        <f>IFERROR(__xludf.DUMMYFUNCTION("iferror(filter('3.2.clean'!C:C,'3.2.clean'!A:A=C1282),"""")"),"")</f>
        <v/>
      </c>
      <c r="L1282" s="79"/>
      <c r="M1282" s="20" t="str">
        <f>IFERROR(__xludf.DUMMYFUNCTION("iferror(filter('3.3.clean'!C:C,'3.3.clean'!A:A=C1282),"""")"),"")</f>
        <v/>
      </c>
      <c r="N1282" s="79" t="b">
        <f t="shared" si="964"/>
        <v>0</v>
      </c>
      <c r="O1282" s="20" t="str">
        <f>IFERROR(__xludf.DUMMYFUNCTION("iferror(filter('3.4.clean'!C:C,'3.4.clean'!A:A=C1282),"""")"),"")</f>
        <v/>
      </c>
      <c r="P1282" s="79" t="b">
        <f t="shared" si="965"/>
        <v>0</v>
      </c>
      <c r="Q1282" s="20">
        <f>IFERROR(__xludf.DUMMYFUNCTION("iferror(filter('3.5.clean'!C:C,'3.5.clean'!A:A=C1282),"""")"),43831.0)</f>
        <v>43831</v>
      </c>
      <c r="R1282" s="22" t="b">
        <f t="shared" ref="R1282:R1283" si="1047">if(Q1282="",FALSE,TRUE)</f>
        <v>1</v>
      </c>
      <c r="S1282" s="4">
        <f>IFERROR(__xludf.DUMMYFUNCTION("iferror(filter('3.5.clean'!H:H,'3.5.clean'!A:A=C1282),"""")"),0.0)</f>
        <v>0</v>
      </c>
      <c r="V1282" s="1" t="s">
        <v>64</v>
      </c>
      <c r="W1282" s="23" t="b">
        <f>IF(and(R1282=TRUE,N1282=TRUE,P1282=TRUE),TRUE,FALSE)</f>
        <v>0</v>
      </c>
      <c r="X1282" s="23" t="str">
        <f>IFERROR(__xludf.DUMMYFUNCTION("if(COUNTA(FILTER(C:C, C:C = C1282))=1,""no"",""yes"")"),"no")</f>
        <v>no</v>
      </c>
    </row>
    <row r="1283">
      <c r="A1283" s="75" t="s">
        <v>980</v>
      </c>
      <c r="B1283" s="2">
        <v>1.0</v>
      </c>
      <c r="C1283" s="19" t="s">
        <v>1988</v>
      </c>
      <c r="E1283" s="24">
        <f>IFERROR(__xludf.DUMMYFUNCTION("ifna(IFNA(filter('2.1.clean'!C:C,'2.1.clean'!A:A=C1283),filter('2.2.clean'!E:E,'2.2.clean'!D:D=C1283)),filter('2.4.clean'!C:C,'2.4.clean'!A:A=C1283))"),43832.0)</f>
        <v>43832</v>
      </c>
      <c r="F1283" s="25">
        <f>IFERROR(__xludf.DUMMYFUNCTION("iferror(ifna(IFNA(filter('2.1.clean'!E:E,'2.1.clean'!A:A=C1283),filter('2.2.clean'!G:G,'2.2.clean'!D:D=C1283)),filter('2.4.clean'!E:E,'2.4.clean'!A:A=C1283)),)"),2.39999999999999)</f>
        <v>2.4</v>
      </c>
      <c r="G1283" s="24" t="str">
        <f>IFERROR(__xludf.DUMMYFUNCTION("iferror(filter('3.1.clean'!C:C,'3.1.clean'!A:A=C1283),"""")"),"")</f>
        <v/>
      </c>
      <c r="H1283" s="23" t="b">
        <f t="shared" ref="H1283:H1284" si="1048">if(G1283="",FALSE,TRUE)</f>
        <v>0</v>
      </c>
      <c r="J1283" s="25"/>
      <c r="K1283" s="24">
        <f>IFERROR(__xludf.DUMMYFUNCTION("iferror(filter('3.2.clean'!C:C,'3.2.clean'!A:A=C1283),"""")"),43832.0)</f>
        <v>43832</v>
      </c>
      <c r="L1283" s="25" t="b">
        <f>if(K1283="",FALSE,TRUE)</f>
        <v>1</v>
      </c>
      <c r="M1283" s="24">
        <f>IFERROR(__xludf.DUMMYFUNCTION("iferror(filter('3.3.clean'!C:C,'3.3.clean'!A:A=C1283),"""")"),43837.0)</f>
        <v>43837</v>
      </c>
      <c r="N1283" s="25" t="b">
        <f t="shared" si="964"/>
        <v>1</v>
      </c>
      <c r="O1283" s="24">
        <f>IFERROR(__xludf.DUMMYFUNCTION("iferror(filter('3.4.clean'!C:C,'3.4.clean'!A:A=C1283),"""")"),43844.0)</f>
        <v>43844</v>
      </c>
      <c r="P1283" s="25" t="b">
        <f t="shared" si="965"/>
        <v>1</v>
      </c>
      <c r="Q1283" s="24">
        <f>IFERROR(__xludf.DUMMYFUNCTION("iferror(filter('3.5.clean'!C:C,'3.5.clean'!A:A=C1283),"""")"),43832.0)</f>
        <v>43832</v>
      </c>
      <c r="R1283" s="23" t="b">
        <f t="shared" si="1047"/>
        <v>1</v>
      </c>
      <c r="S1283" s="25"/>
      <c r="V1283" s="1" t="s">
        <v>64</v>
      </c>
      <c r="X1283" s="23" t="str">
        <f>IFERROR(__xludf.DUMMYFUNCTION("if(COUNTA(FILTER(C:C, C:C = C1283))=1,""no"",""yes"")"),"no")</f>
        <v>no</v>
      </c>
    </row>
    <row r="1284">
      <c r="A1284" s="75" t="s">
        <v>980</v>
      </c>
      <c r="B1284" s="2">
        <v>2.0</v>
      </c>
      <c r="C1284" s="19" t="s">
        <v>1989</v>
      </c>
      <c r="D1284" s="58" t="str">
        <f t="shared" ref="D1284:D1285" si="1049">if(or(I1284=1,J1284=1,S1284=1),"pos","")</f>
        <v/>
      </c>
      <c r="E1284" s="59">
        <f>IFERROR(__xludf.DUMMYFUNCTION("ifna(IFNA(filter('2.1.clean'!C:C,'2.1.clean'!A:A=C1284),filter('2.2.clean'!E:E,'2.2.clean'!D:D=C1284)),filter('2.4.clean'!C:C,'2.4.clean'!A:A=C1284))"),43832.0)</f>
        <v>43832</v>
      </c>
      <c r="F1284" s="60">
        <f>IFERROR(__xludf.DUMMYFUNCTION("iferror(ifna(IFNA(filter('2.1.clean'!E:E,'2.1.clean'!A:A=C1284),filter('2.2.clean'!G:G,'2.2.clean'!D:D=C1284)),filter('2.4.clean'!E:E,'2.4.clean'!A:A=C1284)),)"),2.39999999999999)</f>
        <v>2.4</v>
      </c>
      <c r="G1284" s="59" t="str">
        <f>IFERROR(__xludf.DUMMYFUNCTION("iferror(filter('3.1.clean'!C:C,'3.1.clean'!A:A=C1284),"""")"),"")</f>
        <v/>
      </c>
      <c r="H1284" s="58" t="b">
        <f t="shared" si="1048"/>
        <v>0</v>
      </c>
      <c r="I1284" s="58" t="str">
        <f>IFERROR(__xludf.DUMMYFUNCTION("iferror(filter('3.1.clean'!G:G,'3.1.clean'!A:A=C1284),"""")"),"")</f>
        <v/>
      </c>
      <c r="J1284" s="60" t="str">
        <f>IFERROR(__xludf.DUMMYFUNCTION("iferror(filter('3.1.clean'!I:I,'3.1.clean'!A:A=C1284),"""")"),"")</f>
        <v/>
      </c>
      <c r="K1284" s="58"/>
      <c r="L1284" s="60"/>
      <c r="M1284" s="59" t="str">
        <f>IFERROR(__xludf.DUMMYFUNCTION("iferror(filter('3.3.clean'!C:C,'3.3.clean'!A:A=C1284),"""")"),"")</f>
        <v/>
      </c>
      <c r="N1284" s="60" t="b">
        <f t="shared" si="964"/>
        <v>0</v>
      </c>
      <c r="O1284" s="59" t="str">
        <f>IFERROR(__xludf.DUMMYFUNCTION("iferror(filter('3.4.clean'!C:C,'3.4.clean'!A:A=C1284),"""")"),"")</f>
        <v/>
      </c>
      <c r="P1284" s="60" t="b">
        <f t="shared" si="965"/>
        <v>0</v>
      </c>
      <c r="Q1284" s="59" t="str">
        <f>IFERROR(__xludf.DUMMYFUNCTION("iferror(filter('3.5.clean'!C:C,'3.5.clean'!A:A=C1284),"""")"),"")</f>
        <v/>
      </c>
      <c r="R1284" s="58"/>
      <c r="S1284" s="4" t="str">
        <f>IFERROR(__xludf.DUMMYFUNCTION("iferror(filter('3.5.clean'!H:H,'3.5.clean'!A:A=C1284),"""")"),"")</f>
        <v/>
      </c>
      <c r="W1284" s="23" t="b">
        <f>if(AND(H1284=TRUE,N1284=TRUE,P1284=TRUE),TRUE,FALSE)</f>
        <v>0</v>
      </c>
      <c r="X1284" s="23" t="str">
        <f>IFERROR(__xludf.DUMMYFUNCTION("if(COUNTA(FILTER(C:C, C:C = C1284))=1,""no"",""yes"")"),"no")</f>
        <v>no</v>
      </c>
    </row>
    <row r="1285">
      <c r="A1285" s="75" t="s">
        <v>980</v>
      </c>
      <c r="B1285" s="2">
        <v>3.0</v>
      </c>
      <c r="C1285" s="19" t="s">
        <v>1990</v>
      </c>
      <c r="D1285" s="58" t="str">
        <f t="shared" si="1049"/>
        <v/>
      </c>
      <c r="E1285" s="59">
        <f>Q1285</f>
        <v>43832</v>
      </c>
      <c r="F1285" s="60" t="str">
        <f>IFERROR(__xludf.DUMMYFUNCTION("iferror(ifna(IFNA(filter('2.1.clean'!E:E,'2.1.clean'!A:A=C1285),filter('2.2.clean'!G:G,'2.2.clean'!D:D=C1285)),filter('2.4.clean'!E:E,'2.4.clean'!A:A=C1285)),)"),"")</f>
        <v/>
      </c>
      <c r="G1285" s="59" t="str">
        <f>IFERROR(__xludf.DUMMYFUNCTION("iferror(filter('3.1.clean'!C:C,'3.1.clean'!A:A=C1285),"""")"),"")</f>
        <v/>
      </c>
      <c r="H1285" s="58"/>
      <c r="I1285" s="58" t="str">
        <f>IFERROR(__xludf.DUMMYFUNCTION("iferror(filter('3.1.clean'!G:G,'3.1.clean'!A:A=C1285),"""")"),"")</f>
        <v/>
      </c>
      <c r="J1285" s="60" t="str">
        <f>IFERROR(__xludf.DUMMYFUNCTION("iferror(filter('3.1.clean'!I:I,'3.1.clean'!A:A=C1285),"""")"),"")</f>
        <v/>
      </c>
      <c r="K1285" s="59"/>
      <c r="L1285" s="60"/>
      <c r="M1285" s="59" t="str">
        <f>IFERROR(__xludf.DUMMYFUNCTION("iferror(filter('3.3.clean'!C:C,'3.3.clean'!A:A=C1285),"""")"),"")</f>
        <v/>
      </c>
      <c r="N1285" s="60" t="b">
        <f t="shared" si="964"/>
        <v>0</v>
      </c>
      <c r="O1285" s="59" t="str">
        <f>IFERROR(__xludf.DUMMYFUNCTION("iferror(filter('3.4.clean'!C:C,'3.4.clean'!A:A=C1285),"""")"),"")</f>
        <v/>
      </c>
      <c r="P1285" s="60" t="b">
        <f t="shared" si="965"/>
        <v>0</v>
      </c>
      <c r="Q1285" s="59">
        <f>IFERROR(__xludf.DUMMYFUNCTION("iferror(filter('3.5.clean'!C:C,'3.5.clean'!A:A=C1285),"""")"),43832.0)</f>
        <v>43832</v>
      </c>
      <c r="R1285" s="58" t="b">
        <f t="shared" ref="R1285:R1286" si="1050">if(Q1285="",FALSE,TRUE)</f>
        <v>1</v>
      </c>
      <c r="S1285" s="4">
        <f>IFERROR(__xludf.DUMMYFUNCTION("iferror(filter('3.5.clean'!H:H,'3.5.clean'!A:A=C1285),"""")"),0.0)</f>
        <v>0</v>
      </c>
      <c r="V1285" s="52" t="s">
        <v>64</v>
      </c>
      <c r="W1285" s="23" t="b">
        <f>if(AND(R1285=TRUE,N1285=TRUE,P1285=TRUE),TRUE,FALSE)</f>
        <v>0</v>
      </c>
      <c r="X1285" s="23" t="str">
        <f>IFERROR(__xludf.DUMMYFUNCTION("if(COUNTA(FILTER(C:C, C:C = C1285))=1,""no"",""yes"")"),"no")</f>
        <v>no</v>
      </c>
    </row>
    <row r="1286">
      <c r="A1286" s="75" t="s">
        <v>980</v>
      </c>
      <c r="B1286" s="2">
        <v>4.0</v>
      </c>
      <c r="C1286" s="19" t="s">
        <v>1991</v>
      </c>
      <c r="E1286" s="24">
        <f>IFERROR(__xludf.DUMMYFUNCTION("ifna(IFNA(filter('2.1.clean'!C:C,'2.1.clean'!A:A=C1286),filter('2.2.clean'!E:E,'2.2.clean'!D:D=C1286)),filter('2.4.clean'!C:C,'2.4.clean'!A:A=C1286))"),43832.0)</f>
        <v>43832</v>
      </c>
      <c r="F1286" s="25">
        <f>IFERROR(__xludf.DUMMYFUNCTION("iferror(ifna(IFNA(filter('2.1.clean'!E:E,'2.1.clean'!A:A=C1286),filter('2.2.clean'!G:G,'2.2.clean'!D:D=C1286)),filter('2.4.clean'!E:E,'2.4.clean'!A:A=C1286)),)"),2.39999999999999)</f>
        <v>2.4</v>
      </c>
      <c r="G1286" s="24" t="str">
        <f>IFERROR(__xludf.DUMMYFUNCTION("iferror(filter('3.1.clean'!C:C,'3.1.clean'!A:A=C1286),"""")"),"")</f>
        <v/>
      </c>
      <c r="H1286" s="23" t="b">
        <f t="shared" ref="H1286:H1287" si="1051">if(G1286="",FALSE,TRUE)</f>
        <v>0</v>
      </c>
      <c r="J1286" s="25"/>
      <c r="K1286" s="24">
        <f>IFERROR(__xludf.DUMMYFUNCTION("iferror(filter('3.2.clean'!C:C,'3.2.clean'!A:A=C1286),"""")"),43832.0)</f>
        <v>43832</v>
      </c>
      <c r="L1286" s="25" t="b">
        <f>if(K1286="",FALSE,TRUE)</f>
        <v>1</v>
      </c>
      <c r="M1286" s="24">
        <f>IFERROR(__xludf.DUMMYFUNCTION("iferror(filter('3.3.clean'!C:C,'3.3.clean'!A:A=C1286),"""")"),43837.0)</f>
        <v>43837</v>
      </c>
      <c r="N1286" s="25" t="b">
        <f t="shared" si="964"/>
        <v>1</v>
      </c>
      <c r="O1286" s="24">
        <f>IFERROR(__xludf.DUMMYFUNCTION("iferror(filter('3.4.clean'!C:C,'3.4.clean'!A:A=C1286),"""")"),43844.0)</f>
        <v>43844</v>
      </c>
      <c r="P1286" s="25" t="b">
        <f t="shared" si="965"/>
        <v>1</v>
      </c>
      <c r="Q1286" s="24">
        <f>IFERROR(__xludf.DUMMYFUNCTION("iferror(filter('3.5.clean'!C:C,'3.5.clean'!A:A=C1286),"""")"),43832.0)</f>
        <v>43832</v>
      </c>
      <c r="R1286" s="23" t="b">
        <f t="shared" si="1050"/>
        <v>1</v>
      </c>
      <c r="S1286" s="25"/>
      <c r="V1286" s="1" t="s">
        <v>64</v>
      </c>
      <c r="X1286" s="23" t="str">
        <f>IFERROR(__xludf.DUMMYFUNCTION("if(COUNTA(FILTER(C:C, C:C = C1286))=1,""no"",""yes"")"),"no")</f>
        <v>no</v>
      </c>
    </row>
    <row r="1287">
      <c r="A1287" s="75" t="s">
        <v>980</v>
      </c>
      <c r="B1287" s="2">
        <v>5.0</v>
      </c>
      <c r="C1287" s="19" t="s">
        <v>1992</v>
      </c>
      <c r="D1287" s="58" t="str">
        <f t="shared" ref="D1287:D1288" si="1052">if(or(I1287=1,J1287=1,S1287=1),"pos","")</f>
        <v/>
      </c>
      <c r="E1287" s="59">
        <f>IFERROR(__xludf.DUMMYFUNCTION("ifna(IFNA(filter('2.1.clean'!C:C,'2.1.clean'!A:A=C1287),filter('2.2.clean'!E:E,'2.2.clean'!D:D=C1287)),filter('2.4.clean'!C:C,'2.4.clean'!A:A=C1287))"),43832.0)</f>
        <v>43832</v>
      </c>
      <c r="F1287" s="60">
        <f>IFERROR(__xludf.DUMMYFUNCTION("iferror(ifna(IFNA(filter('2.1.clean'!E:E,'2.1.clean'!A:A=C1287),filter('2.2.clean'!G:G,'2.2.clean'!D:D=C1287)),filter('2.4.clean'!E:E,'2.4.clean'!A:A=C1287)),)"),2.39999999999999)</f>
        <v>2.4</v>
      </c>
      <c r="G1287" s="59" t="str">
        <f>IFERROR(__xludf.DUMMYFUNCTION("iferror(filter('3.1.clean'!C:C,'3.1.clean'!A:A=C1287),"""")"),"")</f>
        <v/>
      </c>
      <c r="H1287" s="58" t="b">
        <f t="shared" si="1051"/>
        <v>0</v>
      </c>
      <c r="I1287" s="58" t="str">
        <f>IFERROR(__xludf.DUMMYFUNCTION("iferror(filter('3.1.clean'!G:G,'3.1.clean'!A:A=C1287),"""")"),"")</f>
        <v/>
      </c>
      <c r="J1287" s="60" t="str">
        <f>IFERROR(__xludf.DUMMYFUNCTION("iferror(filter('3.1.clean'!I:I,'3.1.clean'!A:A=C1287),"""")"),"")</f>
        <v/>
      </c>
      <c r="K1287" s="58"/>
      <c r="L1287" s="60"/>
      <c r="M1287" s="59" t="str">
        <f>IFERROR(__xludf.DUMMYFUNCTION("iferror(filter('3.3.clean'!C:C,'3.3.clean'!A:A=C1287),"""")"),"")</f>
        <v/>
      </c>
      <c r="N1287" s="60" t="b">
        <f t="shared" si="964"/>
        <v>0</v>
      </c>
      <c r="O1287" s="59" t="str">
        <f>IFERROR(__xludf.DUMMYFUNCTION("iferror(filter('3.4.clean'!C:C,'3.4.clean'!A:A=C1287),"""")"),"")</f>
        <v/>
      </c>
      <c r="P1287" s="60" t="b">
        <f t="shared" si="965"/>
        <v>0</v>
      </c>
      <c r="Q1287" s="59" t="str">
        <f>IFERROR(__xludf.DUMMYFUNCTION("iferror(filter('3.5.clean'!C:C,'3.5.clean'!A:A=C1287),"""")"),"")</f>
        <v/>
      </c>
      <c r="R1287" s="58"/>
      <c r="S1287" s="4" t="str">
        <f>IFERROR(__xludf.DUMMYFUNCTION("iferror(filter('3.5.clean'!H:H,'3.5.clean'!A:A=C1287),"""")"),"")</f>
        <v/>
      </c>
      <c r="W1287" s="23" t="b">
        <f>if(AND(H1287=TRUE,N1287=TRUE,P1287=TRUE),TRUE,FALSE)</f>
        <v>0</v>
      </c>
      <c r="X1287" s="23" t="str">
        <f>IFERROR(__xludf.DUMMYFUNCTION("if(COUNTA(FILTER(C:C, C:C = C1287))=1,""no"",""yes"")"),"no")</f>
        <v>no</v>
      </c>
    </row>
    <row r="1288">
      <c r="A1288" s="75" t="s">
        <v>980</v>
      </c>
      <c r="B1288" s="2">
        <v>6.0</v>
      </c>
      <c r="C1288" s="19" t="s">
        <v>1993</v>
      </c>
      <c r="D1288" s="58" t="str">
        <f t="shared" si="1052"/>
        <v/>
      </c>
      <c r="E1288" s="59">
        <f>Q1288</f>
        <v>43832</v>
      </c>
      <c r="F1288" s="60" t="str">
        <f>IFERROR(__xludf.DUMMYFUNCTION("iferror(ifna(IFNA(filter('2.1.clean'!E:E,'2.1.clean'!A:A=C1288),filter('2.2.clean'!G:G,'2.2.clean'!D:D=C1288)),filter('2.4.clean'!E:E,'2.4.clean'!A:A=C1288)),)"),"")</f>
        <v/>
      </c>
      <c r="G1288" s="59" t="str">
        <f>IFERROR(__xludf.DUMMYFUNCTION("iferror(filter('3.1.clean'!C:C,'3.1.clean'!A:A=C1288),"""")"),"")</f>
        <v/>
      </c>
      <c r="H1288" s="58"/>
      <c r="I1288" s="58" t="str">
        <f>IFERROR(__xludf.DUMMYFUNCTION("iferror(filter('3.1.clean'!G:G,'3.1.clean'!A:A=C1288),"""")"),"")</f>
        <v/>
      </c>
      <c r="J1288" s="60" t="str">
        <f>IFERROR(__xludf.DUMMYFUNCTION("iferror(filter('3.1.clean'!I:I,'3.1.clean'!A:A=C1288),"""")"),"")</f>
        <v/>
      </c>
      <c r="K1288" s="59"/>
      <c r="L1288" s="60"/>
      <c r="M1288" s="59" t="str">
        <f>IFERROR(__xludf.DUMMYFUNCTION("iferror(filter('3.3.clean'!C:C,'3.3.clean'!A:A=C1288),"""")"),"")</f>
        <v/>
      </c>
      <c r="N1288" s="60" t="b">
        <f t="shared" si="964"/>
        <v>0</v>
      </c>
      <c r="O1288" s="59" t="str">
        <f>IFERROR(__xludf.DUMMYFUNCTION("iferror(filter('3.4.clean'!C:C,'3.4.clean'!A:A=C1288),"""")"),"")</f>
        <v/>
      </c>
      <c r="P1288" s="60" t="b">
        <f t="shared" si="965"/>
        <v>0</v>
      </c>
      <c r="Q1288" s="59">
        <f>IFERROR(__xludf.DUMMYFUNCTION("iferror(filter('3.5.clean'!C:C,'3.5.clean'!A:A=C1288),"""")"),43832.0)</f>
        <v>43832</v>
      </c>
      <c r="R1288" s="58" t="b">
        <f t="shared" ref="R1288:R1289" si="1053">if(Q1288="",FALSE,TRUE)</f>
        <v>1</v>
      </c>
      <c r="S1288" s="4">
        <f>IFERROR(__xludf.DUMMYFUNCTION("iferror(filter('3.5.clean'!H:H,'3.5.clean'!A:A=C1288),"""")"),0.0)</f>
        <v>0</v>
      </c>
      <c r="V1288" s="52" t="s">
        <v>64</v>
      </c>
      <c r="W1288" s="23" t="b">
        <f>if(AND(R1288=TRUE,N1288=TRUE,P1288=TRUE),TRUE,FALSE)</f>
        <v>0</v>
      </c>
      <c r="X1288" s="23" t="str">
        <f>IFERROR(__xludf.DUMMYFUNCTION("if(COUNTA(FILTER(C:C, C:C = C1288))=1,""no"",""yes"")"),"no")</f>
        <v>no</v>
      </c>
    </row>
    <row r="1289">
      <c r="A1289" s="75" t="s">
        <v>980</v>
      </c>
      <c r="B1289" s="2">
        <v>7.0</v>
      </c>
      <c r="C1289" s="19" t="s">
        <v>1994</v>
      </c>
      <c r="E1289" s="24">
        <f>IFERROR(__xludf.DUMMYFUNCTION("ifna(IFNA(filter('2.1.clean'!C:C,'2.1.clean'!A:A=C1289),filter('2.2.clean'!E:E,'2.2.clean'!D:D=C1289)),filter('2.4.clean'!C:C,'2.4.clean'!A:A=C1289))"),43832.0)</f>
        <v>43832</v>
      </c>
      <c r="F1289" s="25">
        <f>IFERROR(__xludf.DUMMYFUNCTION("iferror(ifna(IFNA(filter('2.1.clean'!E:E,'2.1.clean'!A:A=C1289),filter('2.2.clean'!G:G,'2.2.clean'!D:D=C1289)),filter('2.4.clean'!E:E,'2.4.clean'!A:A=C1289)),)"),2.39999999999999)</f>
        <v>2.4</v>
      </c>
      <c r="G1289" s="24" t="str">
        <f>IFERROR(__xludf.DUMMYFUNCTION("iferror(filter('3.1.clean'!C:C,'3.1.clean'!A:A=C1289),"""")"),"")</f>
        <v/>
      </c>
      <c r="H1289" s="23" t="b">
        <f t="shared" ref="H1289:H1290" si="1054">if(G1289="",FALSE,TRUE)</f>
        <v>0</v>
      </c>
      <c r="J1289" s="25"/>
      <c r="K1289" s="24">
        <f>IFERROR(__xludf.DUMMYFUNCTION("iferror(filter('3.2.clean'!C:C,'3.2.clean'!A:A=C1289),"""")"),43832.0)</f>
        <v>43832</v>
      </c>
      <c r="L1289" s="25" t="b">
        <f>if(K1289="",FALSE,TRUE)</f>
        <v>1</v>
      </c>
      <c r="M1289" s="24">
        <f>IFERROR(__xludf.DUMMYFUNCTION("iferror(filter('3.3.clean'!C:C,'3.3.clean'!A:A=C1289),"""")"),43837.0)</f>
        <v>43837</v>
      </c>
      <c r="N1289" s="25" t="b">
        <f t="shared" si="964"/>
        <v>1</v>
      </c>
      <c r="O1289" s="24">
        <f>IFERROR(__xludf.DUMMYFUNCTION("iferror(filter('3.4.clean'!C:C,'3.4.clean'!A:A=C1289),"""")"),43844.0)</f>
        <v>43844</v>
      </c>
      <c r="P1289" s="25" t="b">
        <f t="shared" si="965"/>
        <v>1</v>
      </c>
      <c r="Q1289" s="24">
        <f>IFERROR(__xludf.DUMMYFUNCTION("iferror(filter('3.5.clean'!C:C,'3.5.clean'!A:A=C1289),"""")"),43832.0)</f>
        <v>43832</v>
      </c>
      <c r="R1289" s="23" t="b">
        <f t="shared" si="1053"/>
        <v>1</v>
      </c>
      <c r="S1289" s="25"/>
      <c r="V1289" s="1" t="s">
        <v>64</v>
      </c>
      <c r="X1289" s="23" t="str">
        <f>IFERROR(__xludf.DUMMYFUNCTION("if(COUNTA(FILTER(C:C, C:C = C1289))=1,""no"",""yes"")"),"no")</f>
        <v>no</v>
      </c>
    </row>
    <row r="1290">
      <c r="A1290" s="75" t="s">
        <v>980</v>
      </c>
      <c r="B1290" s="2">
        <v>8.0</v>
      </c>
      <c r="C1290" s="19" t="s">
        <v>1995</v>
      </c>
      <c r="D1290" s="58" t="str">
        <f t="shared" ref="D1290:D1291" si="1055">if(or(I1290=1,J1290=1,S1290=1),"pos","")</f>
        <v/>
      </c>
      <c r="E1290" s="59">
        <f>IFERROR(__xludf.DUMMYFUNCTION("ifna(IFNA(filter('2.1.clean'!C:C,'2.1.clean'!A:A=C1290),filter('2.2.clean'!E:E,'2.2.clean'!D:D=C1290)),filter('2.4.clean'!C:C,'2.4.clean'!A:A=C1290))"),43832.0)</f>
        <v>43832</v>
      </c>
      <c r="F1290" s="60">
        <f>IFERROR(__xludf.DUMMYFUNCTION("iferror(ifna(IFNA(filter('2.1.clean'!E:E,'2.1.clean'!A:A=C1290),filter('2.2.clean'!G:G,'2.2.clean'!D:D=C1290)),filter('2.4.clean'!E:E,'2.4.clean'!A:A=C1290)),)"),2.39999999999999)</f>
        <v>2.4</v>
      </c>
      <c r="G1290" s="59" t="str">
        <f>IFERROR(__xludf.DUMMYFUNCTION("iferror(filter('3.1.clean'!C:C,'3.1.clean'!A:A=C1290),"""")"),"")</f>
        <v/>
      </c>
      <c r="H1290" s="58" t="b">
        <f t="shared" si="1054"/>
        <v>0</v>
      </c>
      <c r="I1290" s="58" t="str">
        <f>IFERROR(__xludf.DUMMYFUNCTION("iferror(filter('3.1.clean'!G:G,'3.1.clean'!A:A=C1290),"""")"),"")</f>
        <v/>
      </c>
      <c r="J1290" s="60" t="str">
        <f>IFERROR(__xludf.DUMMYFUNCTION("iferror(filter('3.1.clean'!I:I,'3.1.clean'!A:A=C1290),"""")"),"")</f>
        <v/>
      </c>
      <c r="K1290" s="58"/>
      <c r="L1290" s="60"/>
      <c r="M1290" s="59" t="str">
        <f>IFERROR(__xludf.DUMMYFUNCTION("iferror(filter('3.3.clean'!C:C,'3.3.clean'!A:A=C1290),"""")"),"")</f>
        <v/>
      </c>
      <c r="N1290" s="60" t="b">
        <f t="shared" si="964"/>
        <v>0</v>
      </c>
      <c r="O1290" s="59" t="str">
        <f>IFERROR(__xludf.DUMMYFUNCTION("iferror(filter('3.4.clean'!C:C,'3.4.clean'!A:A=C1290),"""")"),"")</f>
        <v/>
      </c>
      <c r="P1290" s="60" t="b">
        <f t="shared" si="965"/>
        <v>0</v>
      </c>
      <c r="Q1290" s="59" t="str">
        <f>IFERROR(__xludf.DUMMYFUNCTION("iferror(filter('3.5.clean'!C:C,'3.5.clean'!A:A=C1290),"""")"),"")</f>
        <v/>
      </c>
      <c r="R1290" s="58"/>
      <c r="S1290" s="4" t="str">
        <f>IFERROR(__xludf.DUMMYFUNCTION("iferror(filter('3.5.clean'!H:H,'3.5.clean'!A:A=C1290),"""")"),"")</f>
        <v/>
      </c>
      <c r="W1290" s="23" t="b">
        <f>if(AND(H1290=TRUE,N1290=TRUE,P1290=TRUE),TRUE,FALSE)</f>
        <v>0</v>
      </c>
      <c r="X1290" s="23" t="str">
        <f>IFERROR(__xludf.DUMMYFUNCTION("if(COUNTA(FILTER(C:C, C:C = C1290))=1,""no"",""yes"")"),"no")</f>
        <v>no</v>
      </c>
    </row>
    <row r="1291">
      <c r="A1291" s="75" t="s">
        <v>980</v>
      </c>
      <c r="B1291" s="2">
        <v>9.0</v>
      </c>
      <c r="C1291" s="19" t="s">
        <v>1996</v>
      </c>
      <c r="D1291" s="58" t="str">
        <f t="shared" si="1055"/>
        <v/>
      </c>
      <c r="E1291" s="59">
        <f>Q1291</f>
        <v>43832</v>
      </c>
      <c r="F1291" s="60" t="str">
        <f>IFERROR(__xludf.DUMMYFUNCTION("iferror(ifna(IFNA(filter('2.1.clean'!E:E,'2.1.clean'!A:A=C1291),filter('2.2.clean'!G:G,'2.2.clean'!D:D=C1291)),filter('2.4.clean'!E:E,'2.4.clean'!A:A=C1291)),)"),"")</f>
        <v/>
      </c>
      <c r="G1291" s="59" t="str">
        <f>IFERROR(__xludf.DUMMYFUNCTION("iferror(filter('3.1.clean'!C:C,'3.1.clean'!A:A=C1291),"""")"),"")</f>
        <v/>
      </c>
      <c r="H1291" s="58"/>
      <c r="I1291" s="58" t="str">
        <f>IFERROR(__xludf.DUMMYFUNCTION("iferror(filter('3.1.clean'!G:G,'3.1.clean'!A:A=C1291),"""")"),"")</f>
        <v/>
      </c>
      <c r="J1291" s="60" t="str">
        <f>IFERROR(__xludf.DUMMYFUNCTION("iferror(filter('3.1.clean'!I:I,'3.1.clean'!A:A=C1291),"""")"),"")</f>
        <v/>
      </c>
      <c r="K1291" s="59"/>
      <c r="L1291" s="60"/>
      <c r="M1291" s="59" t="str">
        <f>IFERROR(__xludf.DUMMYFUNCTION("iferror(filter('3.3.clean'!C:C,'3.3.clean'!A:A=C1291),"""")"),"")</f>
        <v/>
      </c>
      <c r="N1291" s="60" t="b">
        <f t="shared" si="964"/>
        <v>0</v>
      </c>
      <c r="O1291" s="59" t="str">
        <f>IFERROR(__xludf.DUMMYFUNCTION("iferror(filter('3.4.clean'!C:C,'3.4.clean'!A:A=C1291),"""")"),"")</f>
        <v/>
      </c>
      <c r="P1291" s="60" t="b">
        <f t="shared" si="965"/>
        <v>0</v>
      </c>
      <c r="Q1291" s="59">
        <f>IFERROR(__xludf.DUMMYFUNCTION("iferror(filter('3.5.clean'!C:C,'3.5.clean'!A:A=C1291),"""")"),43832.0)</f>
        <v>43832</v>
      </c>
      <c r="R1291" s="58" t="b">
        <f t="shared" ref="R1291:R1292" si="1056">if(Q1291="",FALSE,TRUE)</f>
        <v>1</v>
      </c>
      <c r="S1291" s="4">
        <f>IFERROR(__xludf.DUMMYFUNCTION("iferror(filter('3.5.clean'!H:H,'3.5.clean'!A:A=C1291),"""")"),0.0)</f>
        <v>0</v>
      </c>
      <c r="V1291" s="52" t="s">
        <v>64</v>
      </c>
      <c r="W1291" s="23" t="b">
        <f>if(AND(R1291=TRUE,N1291=TRUE,P1291=TRUE),TRUE,FALSE)</f>
        <v>0</v>
      </c>
      <c r="X1291" s="23" t="str">
        <f>IFERROR(__xludf.DUMMYFUNCTION("if(COUNTA(FILTER(C:C, C:C = C1291))=1,""no"",""yes"")"),"no")</f>
        <v>no</v>
      </c>
    </row>
    <row r="1292">
      <c r="A1292" s="75" t="s">
        <v>980</v>
      </c>
      <c r="B1292" s="2">
        <v>10.0</v>
      </c>
      <c r="C1292" s="19" t="s">
        <v>1997</v>
      </c>
      <c r="E1292" s="24">
        <f>IFERROR(__xludf.DUMMYFUNCTION("ifna(IFNA(filter('2.1.clean'!C:C,'2.1.clean'!A:A=C1292),filter('2.2.clean'!E:E,'2.2.clean'!D:D=C1292)),filter('2.4.clean'!C:C,'2.4.clean'!A:A=C1292))"),43832.0)</f>
        <v>43832</v>
      </c>
      <c r="F1292" s="25">
        <f>IFERROR(__xludf.DUMMYFUNCTION("iferror(ifna(IFNA(filter('2.1.clean'!E:E,'2.1.clean'!A:A=C1292),filter('2.2.clean'!G:G,'2.2.clean'!D:D=C1292)),filter('2.4.clean'!E:E,'2.4.clean'!A:A=C1292)),)"),2.39999999999999)</f>
        <v>2.4</v>
      </c>
      <c r="G1292" s="24" t="str">
        <f>IFERROR(__xludf.DUMMYFUNCTION("iferror(filter('3.1.clean'!C:C,'3.1.clean'!A:A=C1292),"""")"),"")</f>
        <v/>
      </c>
      <c r="H1292" s="23" t="b">
        <f t="shared" ref="H1292:H1293" si="1057">if(G1292="",FALSE,TRUE)</f>
        <v>0</v>
      </c>
      <c r="J1292" s="25"/>
      <c r="K1292" s="24">
        <f>IFERROR(__xludf.DUMMYFUNCTION("iferror(filter('3.2.clean'!C:C,'3.2.clean'!A:A=C1292),"""")"),43832.0)</f>
        <v>43832</v>
      </c>
      <c r="L1292" s="25" t="b">
        <f>if(K1292="",FALSE,TRUE)</f>
        <v>1</v>
      </c>
      <c r="M1292" s="24">
        <f>IFERROR(__xludf.DUMMYFUNCTION("iferror(filter('3.3.clean'!C:C,'3.3.clean'!A:A=C1292),"""")"),43837.0)</f>
        <v>43837</v>
      </c>
      <c r="N1292" s="25" t="b">
        <f t="shared" si="964"/>
        <v>1</v>
      </c>
      <c r="O1292" s="24">
        <f>IFERROR(__xludf.DUMMYFUNCTION("iferror(filter('3.4.clean'!C:C,'3.4.clean'!A:A=C1292),"""")"),43844.0)</f>
        <v>43844</v>
      </c>
      <c r="P1292" s="25" t="b">
        <f t="shared" si="965"/>
        <v>1</v>
      </c>
      <c r="Q1292" s="24">
        <f>IFERROR(__xludf.DUMMYFUNCTION("iferror(filter('3.5.clean'!C:C,'3.5.clean'!A:A=C1292),"""")"),43832.0)</f>
        <v>43832</v>
      </c>
      <c r="R1292" s="23" t="b">
        <f t="shared" si="1056"/>
        <v>1</v>
      </c>
      <c r="S1292" s="25"/>
      <c r="V1292" s="1" t="s">
        <v>64</v>
      </c>
      <c r="X1292" s="23" t="str">
        <f>IFERROR(__xludf.DUMMYFUNCTION("if(COUNTA(FILTER(C:C, C:C = C1292))=1,""no"",""yes"")"),"no")</f>
        <v>no</v>
      </c>
    </row>
    <row r="1293">
      <c r="A1293" s="75" t="s">
        <v>980</v>
      </c>
      <c r="B1293" s="2">
        <v>11.0</v>
      </c>
      <c r="C1293" s="19" t="s">
        <v>1998</v>
      </c>
      <c r="D1293" s="58" t="str">
        <f t="shared" ref="D1293:D1294" si="1058">if(or(I1293=1,J1293=1,S1293=1),"pos","")</f>
        <v/>
      </c>
      <c r="E1293" s="59">
        <f>IFERROR(__xludf.DUMMYFUNCTION("ifna(IFNA(filter('2.1.clean'!C:C,'2.1.clean'!A:A=C1293),filter('2.2.clean'!E:E,'2.2.clean'!D:D=C1293)),filter('2.4.clean'!C:C,'2.4.clean'!A:A=C1293))"),43832.0)</f>
        <v>43832</v>
      </c>
      <c r="F1293" s="60">
        <f>IFERROR(__xludf.DUMMYFUNCTION("iferror(ifna(IFNA(filter('2.1.clean'!E:E,'2.1.clean'!A:A=C1293),filter('2.2.clean'!G:G,'2.2.clean'!D:D=C1293)),filter('2.4.clean'!E:E,'2.4.clean'!A:A=C1293)),)"),2.39999999999999)</f>
        <v>2.4</v>
      </c>
      <c r="G1293" s="59" t="str">
        <f>IFERROR(__xludf.DUMMYFUNCTION("iferror(filter('3.1.clean'!C:C,'3.1.clean'!A:A=C1293),"""")"),"")</f>
        <v/>
      </c>
      <c r="H1293" s="58" t="b">
        <f t="shared" si="1057"/>
        <v>0</v>
      </c>
      <c r="I1293" s="58" t="str">
        <f>IFERROR(__xludf.DUMMYFUNCTION("iferror(filter('3.1.clean'!G:G,'3.1.clean'!A:A=C1293),"""")"),"")</f>
        <v/>
      </c>
      <c r="J1293" s="60" t="str">
        <f>IFERROR(__xludf.DUMMYFUNCTION("iferror(filter('3.1.clean'!I:I,'3.1.clean'!A:A=C1293),"""")"),"")</f>
        <v/>
      </c>
      <c r="K1293" s="58"/>
      <c r="L1293" s="60"/>
      <c r="M1293" s="59">
        <f>IFERROR(__xludf.DUMMYFUNCTION("iferror(filter('3.3.clean'!C:C,'3.3.clean'!A:A=C1293),"""")"),43837.0)</f>
        <v>43837</v>
      </c>
      <c r="N1293" s="60" t="b">
        <f t="shared" si="964"/>
        <v>1</v>
      </c>
      <c r="O1293" s="59" t="str">
        <f>IFERROR(__xludf.DUMMYFUNCTION("iferror(filter('3.4.clean'!C:C,'3.4.clean'!A:A=C1293),"""")"),"")</f>
        <v/>
      </c>
      <c r="P1293" s="60" t="b">
        <f t="shared" si="965"/>
        <v>0</v>
      </c>
      <c r="Q1293" s="59" t="str">
        <f>IFERROR(__xludf.DUMMYFUNCTION("iferror(filter('3.5.clean'!C:C,'3.5.clean'!A:A=C1293),"""")"),"")</f>
        <v/>
      </c>
      <c r="R1293" s="58"/>
      <c r="S1293" s="4" t="str">
        <f>IFERROR(__xludf.DUMMYFUNCTION("iferror(filter('3.5.clean'!H:H,'3.5.clean'!A:A=C1293),"""")"),"")</f>
        <v/>
      </c>
      <c r="W1293" s="23" t="b">
        <f>if(AND(H1293=TRUE,N1293=TRUE,P1293=TRUE),TRUE,FALSE)</f>
        <v>0</v>
      </c>
      <c r="X1293" s="23" t="str">
        <f>IFERROR(__xludf.DUMMYFUNCTION("if(COUNTA(FILTER(C:C, C:C = C1293))=1,""no"",""yes"")"),"no")</f>
        <v>no</v>
      </c>
    </row>
    <row r="1294">
      <c r="A1294" s="75" t="s">
        <v>980</v>
      </c>
      <c r="B1294" s="2">
        <v>12.0</v>
      </c>
      <c r="C1294" s="19" t="s">
        <v>1999</v>
      </c>
      <c r="D1294" s="58" t="str">
        <f t="shared" si="1058"/>
        <v/>
      </c>
      <c r="E1294" s="59">
        <f>Q1294</f>
        <v>43832</v>
      </c>
      <c r="F1294" s="60" t="str">
        <f>IFERROR(__xludf.DUMMYFUNCTION("iferror(ifna(IFNA(filter('2.1.clean'!E:E,'2.1.clean'!A:A=C1294),filter('2.2.clean'!G:G,'2.2.clean'!D:D=C1294)),filter('2.4.clean'!E:E,'2.4.clean'!A:A=C1294)),)"),"")</f>
        <v/>
      </c>
      <c r="G1294" s="59" t="str">
        <f>IFERROR(__xludf.DUMMYFUNCTION("iferror(filter('3.1.clean'!C:C,'3.1.clean'!A:A=C1294),"""")"),"")</f>
        <v/>
      </c>
      <c r="H1294" s="58"/>
      <c r="I1294" s="58" t="str">
        <f>IFERROR(__xludf.DUMMYFUNCTION("iferror(filter('3.1.clean'!G:G,'3.1.clean'!A:A=C1294),"""")"),"")</f>
        <v/>
      </c>
      <c r="J1294" s="60" t="str">
        <f>IFERROR(__xludf.DUMMYFUNCTION("iferror(filter('3.1.clean'!I:I,'3.1.clean'!A:A=C1294),"""")"),"")</f>
        <v/>
      </c>
      <c r="K1294" s="59"/>
      <c r="L1294" s="60"/>
      <c r="M1294" s="59" t="str">
        <f>IFERROR(__xludf.DUMMYFUNCTION("iferror(filter('3.3.clean'!C:C,'3.3.clean'!A:A=C1294),"""")"),"")</f>
        <v/>
      </c>
      <c r="N1294" s="60" t="b">
        <f t="shared" si="964"/>
        <v>0</v>
      </c>
      <c r="O1294" s="59" t="str">
        <f>IFERROR(__xludf.DUMMYFUNCTION("iferror(filter('3.4.clean'!C:C,'3.4.clean'!A:A=C1294),"""")"),"")</f>
        <v/>
      </c>
      <c r="P1294" s="60" t="b">
        <f t="shared" si="965"/>
        <v>0</v>
      </c>
      <c r="Q1294" s="59">
        <f>IFERROR(__xludf.DUMMYFUNCTION("iferror(filter('3.5.clean'!C:C,'3.5.clean'!A:A=C1294),"""")"),43832.0)</f>
        <v>43832</v>
      </c>
      <c r="R1294" s="58" t="b">
        <f t="shared" ref="R1294:R1295" si="1059">if(Q1294="",FALSE,TRUE)</f>
        <v>1</v>
      </c>
      <c r="S1294" s="4">
        <f>IFERROR(__xludf.DUMMYFUNCTION("iferror(filter('3.5.clean'!H:H,'3.5.clean'!A:A=C1294),"""")"),0.0)</f>
        <v>0</v>
      </c>
      <c r="V1294" s="52" t="s">
        <v>64</v>
      </c>
      <c r="W1294" s="23" t="b">
        <f>if(AND(R1294=TRUE,N1294=TRUE,P1294=TRUE),TRUE,FALSE)</f>
        <v>0</v>
      </c>
      <c r="X1294" s="23" t="str">
        <f>IFERROR(__xludf.DUMMYFUNCTION("if(COUNTA(FILTER(C:C, C:C = C1294))=1,""no"",""yes"")"),"no")</f>
        <v>no</v>
      </c>
    </row>
    <row r="1295">
      <c r="A1295" s="75" t="s">
        <v>980</v>
      </c>
      <c r="B1295" s="2">
        <v>13.0</v>
      </c>
      <c r="C1295" s="19" t="s">
        <v>2000</v>
      </c>
      <c r="E1295" s="24">
        <f>IFERROR(__xludf.DUMMYFUNCTION("ifna(IFNA(filter('2.1.clean'!C:C,'2.1.clean'!A:A=C1295),filter('2.2.clean'!E:E,'2.2.clean'!D:D=C1295)),filter('2.4.clean'!C:C,'2.4.clean'!A:A=C1295))"),43832.0)</f>
        <v>43832</v>
      </c>
      <c r="F1295" s="25">
        <f>IFERROR(__xludf.DUMMYFUNCTION("iferror(ifna(IFNA(filter('2.1.clean'!E:E,'2.1.clean'!A:A=C1295),filter('2.2.clean'!G:G,'2.2.clean'!D:D=C1295)),filter('2.4.clean'!E:E,'2.4.clean'!A:A=C1295)),)"),2.39999999999999)</f>
        <v>2.4</v>
      </c>
      <c r="G1295" s="24" t="str">
        <f>IFERROR(__xludf.DUMMYFUNCTION("iferror(filter('3.1.clean'!C:C,'3.1.clean'!A:A=C1295),"""")"),"")</f>
        <v/>
      </c>
      <c r="H1295" s="23" t="b">
        <f t="shared" ref="H1295:H1296" si="1060">if(G1295="",FALSE,TRUE)</f>
        <v>0</v>
      </c>
      <c r="J1295" s="25"/>
      <c r="K1295" s="24">
        <f>IFERROR(__xludf.DUMMYFUNCTION("iferror(filter('3.2.clean'!C:C,'3.2.clean'!A:A=C1295),"""")"),43832.0)</f>
        <v>43832</v>
      </c>
      <c r="L1295" s="25" t="b">
        <f>if(K1295="",FALSE,TRUE)</f>
        <v>1</v>
      </c>
      <c r="M1295" s="24">
        <f>IFERROR(__xludf.DUMMYFUNCTION("iferror(filter('3.3.clean'!C:C,'3.3.clean'!A:A=C1295),"""")"),43837.0)</f>
        <v>43837</v>
      </c>
      <c r="N1295" s="25" t="b">
        <f t="shared" si="964"/>
        <v>1</v>
      </c>
      <c r="O1295" s="24">
        <f>IFERROR(__xludf.DUMMYFUNCTION("iferror(filter('3.4.clean'!C:C,'3.4.clean'!A:A=C1295),"""")"),43844.0)</f>
        <v>43844</v>
      </c>
      <c r="P1295" s="25" t="b">
        <f t="shared" si="965"/>
        <v>1</v>
      </c>
      <c r="Q1295" s="24">
        <f>IFERROR(__xludf.DUMMYFUNCTION("iferror(filter('3.5.clean'!C:C,'3.5.clean'!A:A=C1295),"""")"),43832.0)</f>
        <v>43832</v>
      </c>
      <c r="R1295" s="23" t="b">
        <f t="shared" si="1059"/>
        <v>1</v>
      </c>
      <c r="S1295" s="25"/>
      <c r="V1295" s="1" t="s">
        <v>64</v>
      </c>
      <c r="X1295" s="23" t="str">
        <f>IFERROR(__xludf.DUMMYFUNCTION("if(COUNTA(FILTER(C:C, C:C = C1295))=1,""no"",""yes"")"),"no")</f>
        <v>no</v>
      </c>
    </row>
    <row r="1296">
      <c r="A1296" s="75" t="s">
        <v>980</v>
      </c>
      <c r="B1296" s="2">
        <v>14.0</v>
      </c>
      <c r="C1296" s="19" t="s">
        <v>2001</v>
      </c>
      <c r="D1296" s="58" t="str">
        <f t="shared" ref="D1296:D1297" si="1061">if(or(I1296=1,J1296=1,S1296=1),"pos","")</f>
        <v/>
      </c>
      <c r="E1296" s="59">
        <f>IFERROR(__xludf.DUMMYFUNCTION("ifna(IFNA(filter('2.1.clean'!C:C,'2.1.clean'!A:A=C1296),filter('2.2.clean'!E:E,'2.2.clean'!D:D=C1296)),filter('2.4.clean'!C:C,'2.4.clean'!A:A=C1296))"),43832.0)</f>
        <v>43832</v>
      </c>
      <c r="F1296" s="60">
        <f>IFERROR(__xludf.DUMMYFUNCTION("iferror(ifna(IFNA(filter('2.1.clean'!E:E,'2.1.clean'!A:A=C1296),filter('2.2.clean'!G:G,'2.2.clean'!D:D=C1296)),filter('2.4.clean'!E:E,'2.4.clean'!A:A=C1296)),)"),2.39999999999999)</f>
        <v>2.4</v>
      </c>
      <c r="G1296" s="59" t="str">
        <f>IFERROR(__xludf.DUMMYFUNCTION("iferror(filter('3.1.clean'!C:C,'3.1.clean'!A:A=C1296),"""")"),"")</f>
        <v/>
      </c>
      <c r="H1296" s="58" t="b">
        <f t="shared" si="1060"/>
        <v>0</v>
      </c>
      <c r="I1296" s="58" t="str">
        <f>IFERROR(__xludf.DUMMYFUNCTION("iferror(filter('3.1.clean'!G:G,'3.1.clean'!A:A=C1296),"""")"),"")</f>
        <v/>
      </c>
      <c r="J1296" s="60" t="str">
        <f>IFERROR(__xludf.DUMMYFUNCTION("iferror(filter('3.1.clean'!I:I,'3.1.clean'!A:A=C1296),"""")"),"")</f>
        <v/>
      </c>
      <c r="K1296" s="58"/>
      <c r="L1296" s="60"/>
      <c r="M1296" s="59" t="str">
        <f>IFERROR(__xludf.DUMMYFUNCTION("iferror(filter('3.3.clean'!C:C,'3.3.clean'!A:A=C1296),"""")"),"")</f>
        <v/>
      </c>
      <c r="N1296" s="60" t="b">
        <f t="shared" si="964"/>
        <v>0</v>
      </c>
      <c r="O1296" s="59" t="str">
        <f>IFERROR(__xludf.DUMMYFUNCTION("iferror(filter('3.4.clean'!C:C,'3.4.clean'!A:A=C1296),"""")"),"")</f>
        <v/>
      </c>
      <c r="P1296" s="60" t="b">
        <f t="shared" si="965"/>
        <v>0</v>
      </c>
      <c r="Q1296" s="59" t="str">
        <f>IFERROR(__xludf.DUMMYFUNCTION("iferror(filter('3.5.clean'!C:C,'3.5.clean'!A:A=C1296),"""")"),"")</f>
        <v/>
      </c>
      <c r="R1296" s="58"/>
      <c r="S1296" s="4" t="str">
        <f>IFERROR(__xludf.DUMMYFUNCTION("iferror(filter('3.5.clean'!H:H,'3.5.clean'!A:A=C1296),"""")"),"")</f>
        <v/>
      </c>
      <c r="W1296" s="23" t="b">
        <f>if(AND(H1296=TRUE,N1296=TRUE,P1296=TRUE),TRUE,FALSE)</f>
        <v>0</v>
      </c>
      <c r="X1296" s="23" t="str">
        <f>IFERROR(__xludf.DUMMYFUNCTION("if(COUNTA(FILTER(C:C, C:C = C1296))=1,""no"",""yes"")"),"no")</f>
        <v>no</v>
      </c>
    </row>
    <row r="1297">
      <c r="A1297" s="75" t="s">
        <v>980</v>
      </c>
      <c r="B1297" s="2">
        <v>15.0</v>
      </c>
      <c r="C1297" s="19" t="s">
        <v>2002</v>
      </c>
      <c r="D1297" s="58" t="str">
        <f t="shared" si="1061"/>
        <v/>
      </c>
      <c r="E1297" s="59">
        <f>Q1297</f>
        <v>43832</v>
      </c>
      <c r="F1297" s="60" t="str">
        <f>IFERROR(__xludf.DUMMYFUNCTION("iferror(ifna(IFNA(filter('2.1.clean'!E:E,'2.1.clean'!A:A=C1297),filter('2.2.clean'!G:G,'2.2.clean'!D:D=C1297)),filter('2.4.clean'!E:E,'2.4.clean'!A:A=C1297)),)"),"")</f>
        <v/>
      </c>
      <c r="G1297" s="59" t="str">
        <f>IFERROR(__xludf.DUMMYFUNCTION("iferror(filter('3.1.clean'!C:C,'3.1.clean'!A:A=C1297),"""")"),"")</f>
        <v/>
      </c>
      <c r="H1297" s="58"/>
      <c r="I1297" s="58" t="str">
        <f>IFERROR(__xludf.DUMMYFUNCTION("iferror(filter('3.1.clean'!G:G,'3.1.clean'!A:A=C1297),"""")"),"")</f>
        <v/>
      </c>
      <c r="J1297" s="60" t="str">
        <f>IFERROR(__xludf.DUMMYFUNCTION("iferror(filter('3.1.clean'!I:I,'3.1.clean'!A:A=C1297),"""")"),"")</f>
        <v/>
      </c>
      <c r="K1297" s="59"/>
      <c r="L1297" s="60"/>
      <c r="M1297" s="59" t="str">
        <f>IFERROR(__xludf.DUMMYFUNCTION("iferror(filter('3.3.clean'!C:C,'3.3.clean'!A:A=C1297),"""")"),"")</f>
        <v/>
      </c>
      <c r="N1297" s="60" t="b">
        <f t="shared" si="964"/>
        <v>0</v>
      </c>
      <c r="O1297" s="59" t="str">
        <f>IFERROR(__xludf.DUMMYFUNCTION("iferror(filter('3.4.clean'!C:C,'3.4.clean'!A:A=C1297),"""")"),"")</f>
        <v/>
      </c>
      <c r="P1297" s="60" t="b">
        <f t="shared" si="965"/>
        <v>0</v>
      </c>
      <c r="Q1297" s="59">
        <f>IFERROR(__xludf.DUMMYFUNCTION("iferror(filter('3.5.clean'!C:C,'3.5.clean'!A:A=C1297),"""")"),43832.0)</f>
        <v>43832</v>
      </c>
      <c r="R1297" s="58" t="b">
        <f t="shared" ref="R1297:R1298" si="1062">if(Q1297="",FALSE,TRUE)</f>
        <v>1</v>
      </c>
      <c r="S1297" s="4">
        <f>IFERROR(__xludf.DUMMYFUNCTION("iferror(filter('3.5.clean'!H:H,'3.5.clean'!A:A=C1297),"""")"),0.0)</f>
        <v>0</v>
      </c>
      <c r="V1297" s="52" t="s">
        <v>64</v>
      </c>
      <c r="W1297" s="23" t="b">
        <f>if(AND(R1297=TRUE,N1297=TRUE,P1297=TRUE),TRUE,FALSE)</f>
        <v>0</v>
      </c>
      <c r="X1297" s="23" t="str">
        <f>IFERROR(__xludf.DUMMYFUNCTION("if(COUNTA(FILTER(C:C, C:C = C1297))=1,""no"",""yes"")"),"no")</f>
        <v>no</v>
      </c>
    </row>
    <row r="1298">
      <c r="A1298" s="75" t="s">
        <v>980</v>
      </c>
      <c r="B1298" s="2">
        <v>16.0</v>
      </c>
      <c r="C1298" s="19" t="s">
        <v>2003</v>
      </c>
      <c r="E1298" s="24">
        <f>IFERROR(__xludf.DUMMYFUNCTION("ifna(IFNA(filter('2.1.clean'!C:C,'2.1.clean'!A:A=C1298),filter('2.2.clean'!E:E,'2.2.clean'!D:D=C1298)),filter('2.4.clean'!C:C,'2.4.clean'!A:A=C1298))"),43832.0)</f>
        <v>43832</v>
      </c>
      <c r="F1298" s="25">
        <f>IFERROR(__xludf.DUMMYFUNCTION("iferror(ifna(IFNA(filter('2.1.clean'!E:E,'2.1.clean'!A:A=C1298),filter('2.2.clean'!G:G,'2.2.clean'!D:D=C1298)),filter('2.4.clean'!E:E,'2.4.clean'!A:A=C1298)),)"),2.39999999999999)</f>
        <v>2.4</v>
      </c>
      <c r="G1298" s="24"/>
      <c r="J1298" s="25"/>
      <c r="K1298" s="24"/>
      <c r="L1298" s="25"/>
      <c r="M1298" s="24">
        <f>IFERROR(__xludf.DUMMYFUNCTION("iferror(filter('3.3.clean'!C:C,'3.3.clean'!A:A=C1298),"""")"),43832.0)</f>
        <v>43832</v>
      </c>
      <c r="N1298" s="25" t="b">
        <f t="shared" si="964"/>
        <v>1</v>
      </c>
      <c r="O1298" s="24">
        <f>IFERROR(__xludf.DUMMYFUNCTION("iferror(filter('3.4.clean'!C:C,'3.4.clean'!A:A=C1298),"""")"),43831.0)</f>
        <v>43831</v>
      </c>
      <c r="P1298" s="25" t="b">
        <f t="shared" si="965"/>
        <v>1</v>
      </c>
      <c r="Q1298" s="24">
        <f>IFERROR(__xludf.DUMMYFUNCTION("iferror(filter('3.5.clean'!C:C,'3.5.clean'!A:A=C1298),"""")"),43832.0)</f>
        <v>43832</v>
      </c>
      <c r="R1298" s="23" t="b">
        <f t="shared" si="1062"/>
        <v>1</v>
      </c>
      <c r="S1298" s="25"/>
      <c r="V1298" s="52" t="s">
        <v>64</v>
      </c>
      <c r="W1298" s="23" t="b">
        <f>IF(and(R1298=TRUE,N1298=TRUE,P1298=TRUE),TRUE,FALSE)</f>
        <v>1</v>
      </c>
      <c r="X1298" s="23" t="str">
        <f>IFERROR(__xludf.DUMMYFUNCTION("if(COUNTA(FILTER(C:C, C:C = C1298))=1,""no"",""yes"")"),"no")</f>
        <v>no</v>
      </c>
    </row>
    <row r="1299">
      <c r="A1299" s="75" t="s">
        <v>980</v>
      </c>
      <c r="B1299" s="2">
        <v>17.0</v>
      </c>
      <c r="C1299" s="19" t="s">
        <v>2004</v>
      </c>
      <c r="D1299" s="58" t="str">
        <f t="shared" ref="D1299:D1300" si="1063">if(or(I1299=1,J1299=1,S1299=1),"pos","")</f>
        <v/>
      </c>
      <c r="E1299" s="59">
        <f>IFERROR(__xludf.DUMMYFUNCTION("ifna(IFNA(filter('2.1.clean'!C:C,'2.1.clean'!A:A=C1299),filter('2.2.clean'!E:E,'2.2.clean'!D:D=C1299)),filter('2.4.clean'!C:C,'2.4.clean'!A:A=C1299))"),43832.0)</f>
        <v>43832</v>
      </c>
      <c r="F1299" s="60">
        <f>IFERROR(__xludf.DUMMYFUNCTION("iferror(ifna(IFNA(filter('2.1.clean'!E:E,'2.1.clean'!A:A=C1299),filter('2.2.clean'!G:G,'2.2.clean'!D:D=C1299)),filter('2.4.clean'!E:E,'2.4.clean'!A:A=C1299)),)"),2.39999999999999)</f>
        <v>2.4</v>
      </c>
      <c r="G1299" s="59" t="str">
        <f>IFERROR(__xludf.DUMMYFUNCTION("iferror(filter('3.1.clean'!C:C,'3.1.clean'!A:A=C1299),"""")"),"")</f>
        <v/>
      </c>
      <c r="H1299" s="58" t="b">
        <f>if(G1299="",FALSE,TRUE)</f>
        <v>0</v>
      </c>
      <c r="I1299" s="58" t="str">
        <f>IFERROR(__xludf.DUMMYFUNCTION("iferror(filter('3.1.clean'!G:G,'3.1.clean'!A:A=C1299),"""")"),"")</f>
        <v/>
      </c>
      <c r="J1299" s="60" t="str">
        <f>IFERROR(__xludf.DUMMYFUNCTION("iferror(filter('3.1.clean'!I:I,'3.1.clean'!A:A=C1299),"""")"),"")</f>
        <v/>
      </c>
      <c r="K1299" s="58"/>
      <c r="L1299" s="60"/>
      <c r="M1299" s="59" t="str">
        <f>IFERROR(__xludf.DUMMYFUNCTION("iferror(filter('3.3.clean'!C:C,'3.3.clean'!A:A=C1299),"""")"),"")</f>
        <v/>
      </c>
      <c r="N1299" s="60" t="b">
        <f t="shared" si="964"/>
        <v>0</v>
      </c>
      <c r="O1299" s="59" t="str">
        <f>IFERROR(__xludf.DUMMYFUNCTION("iferror(filter('3.4.clean'!C:C,'3.4.clean'!A:A=C1299),"""")"),"")</f>
        <v/>
      </c>
      <c r="P1299" s="60" t="b">
        <f t="shared" si="965"/>
        <v>0</v>
      </c>
      <c r="Q1299" s="59" t="str">
        <f>IFERROR(__xludf.DUMMYFUNCTION("iferror(filter('3.5.clean'!C:C,'3.5.clean'!A:A=C1299),"""")"),"")</f>
        <v/>
      </c>
      <c r="R1299" s="58"/>
      <c r="S1299" s="4" t="str">
        <f>IFERROR(__xludf.DUMMYFUNCTION("iferror(filter('3.5.clean'!H:H,'3.5.clean'!A:A=C1299),"""")"),"")</f>
        <v/>
      </c>
      <c r="W1299" s="23" t="b">
        <f>if(AND(H1299=TRUE,N1299=TRUE,P1299=TRUE),TRUE,FALSE)</f>
        <v>0</v>
      </c>
      <c r="X1299" s="23" t="str">
        <f>IFERROR(__xludf.DUMMYFUNCTION("if(COUNTA(FILTER(C:C, C:C = C1299))=1,""no"",""yes"")"),"no")</f>
        <v>no</v>
      </c>
    </row>
    <row r="1300">
      <c r="A1300" s="75" t="s">
        <v>980</v>
      </c>
      <c r="B1300" s="2">
        <v>18.0</v>
      </c>
      <c r="C1300" s="19" t="s">
        <v>2005</v>
      </c>
      <c r="D1300" s="58" t="str">
        <f t="shared" si="1063"/>
        <v>pos</v>
      </c>
      <c r="E1300" s="59">
        <f>Q1300</f>
        <v>43832</v>
      </c>
      <c r="F1300" s="60" t="str">
        <f>IFERROR(__xludf.DUMMYFUNCTION("iferror(ifna(IFNA(filter('2.1.clean'!E:E,'2.1.clean'!A:A=C1300),filter('2.2.clean'!G:G,'2.2.clean'!D:D=C1300)),filter('2.4.clean'!E:E,'2.4.clean'!A:A=C1300)),)"),"")</f>
        <v/>
      </c>
      <c r="G1300" s="59" t="str">
        <f>IFERROR(__xludf.DUMMYFUNCTION("iferror(filter('3.1.clean'!C:C,'3.1.clean'!A:A=C1300),"""")"),"")</f>
        <v/>
      </c>
      <c r="H1300" s="58"/>
      <c r="I1300" s="58" t="str">
        <f>IFERROR(__xludf.DUMMYFUNCTION("iferror(filter('3.1.clean'!G:G,'3.1.clean'!A:A=C1300),"""")"),"")</f>
        <v/>
      </c>
      <c r="J1300" s="60" t="str">
        <f>IFERROR(__xludf.DUMMYFUNCTION("iferror(filter('3.1.clean'!I:I,'3.1.clean'!A:A=C1300),"""")"),"")</f>
        <v/>
      </c>
      <c r="K1300" s="59"/>
      <c r="L1300" s="60"/>
      <c r="M1300" s="59" t="str">
        <f>IFERROR(__xludf.DUMMYFUNCTION("iferror(filter('3.3.clean'!C:C,'3.3.clean'!A:A=C1300),"""")"),"")</f>
        <v/>
      </c>
      <c r="N1300" s="60" t="b">
        <f t="shared" si="964"/>
        <v>0</v>
      </c>
      <c r="O1300" s="59" t="str">
        <f>IFERROR(__xludf.DUMMYFUNCTION("iferror(filter('3.4.clean'!C:C,'3.4.clean'!A:A=C1300),"""")"),"")</f>
        <v/>
      </c>
      <c r="P1300" s="60" t="b">
        <f t="shared" si="965"/>
        <v>0</v>
      </c>
      <c r="Q1300" s="59">
        <f>IFERROR(__xludf.DUMMYFUNCTION("iferror(filter('3.5.clean'!C:C,'3.5.clean'!A:A=C1300),"""")"),43832.0)</f>
        <v>43832</v>
      </c>
      <c r="R1300" s="58" t="b">
        <f t="shared" ref="R1300:R1301" si="1064">if(Q1300="",FALSE,TRUE)</f>
        <v>1</v>
      </c>
      <c r="S1300" s="4">
        <f>IFERROR(__xludf.DUMMYFUNCTION("iferror(filter('3.5.clean'!H:H,'3.5.clean'!A:A=C1300),"""")"),1.0)</f>
        <v>1</v>
      </c>
      <c r="V1300" s="52" t="s">
        <v>64</v>
      </c>
      <c r="W1300" s="23" t="b">
        <f>if(AND(R1300=TRUE,N1300=TRUE,P1300=TRUE),TRUE,FALSE)</f>
        <v>0</v>
      </c>
      <c r="X1300" s="23" t="str">
        <f>IFERROR(__xludf.DUMMYFUNCTION("if(COUNTA(FILTER(C:C, C:C = C1300))=1,""no"",""yes"")"),"no")</f>
        <v>no</v>
      </c>
    </row>
    <row r="1301">
      <c r="A1301" s="75" t="s">
        <v>980</v>
      </c>
      <c r="B1301" s="2">
        <v>19.0</v>
      </c>
      <c r="C1301" s="19" t="s">
        <v>2006</v>
      </c>
      <c r="E1301" s="24">
        <f>IFERROR(__xludf.DUMMYFUNCTION("ifna(IFNA(filter('2.1.clean'!C:C,'2.1.clean'!A:A=C1301),filter('2.2.clean'!E:E,'2.2.clean'!D:D=C1301)),filter('2.4.clean'!C:C,'2.4.clean'!A:A=C1301))"),43832.0)</f>
        <v>43832</v>
      </c>
      <c r="F1301" s="25">
        <f>IFERROR(__xludf.DUMMYFUNCTION("iferror(ifna(IFNA(filter('2.1.clean'!E:E,'2.1.clean'!A:A=C1301),filter('2.2.clean'!G:G,'2.2.clean'!D:D=C1301)),filter('2.4.clean'!E:E,'2.4.clean'!A:A=C1301)),)"),2.39999999999999)</f>
        <v>2.4</v>
      </c>
      <c r="G1301" s="24"/>
      <c r="J1301" s="25"/>
      <c r="K1301" s="24"/>
      <c r="L1301" s="25"/>
      <c r="M1301" s="24">
        <f>IFERROR(__xludf.DUMMYFUNCTION("iferror(filter('3.3.clean'!C:C,'3.3.clean'!A:A=C1301),"""")"),43832.0)</f>
        <v>43832</v>
      </c>
      <c r="N1301" s="25" t="b">
        <f t="shared" si="964"/>
        <v>1</v>
      </c>
      <c r="O1301" s="24">
        <f>IFERROR(__xludf.DUMMYFUNCTION("iferror(filter('3.4.clean'!C:C,'3.4.clean'!A:A=C1301),"""")"),43844.0)</f>
        <v>43844</v>
      </c>
      <c r="P1301" s="25" t="b">
        <f t="shared" si="965"/>
        <v>1</v>
      </c>
      <c r="Q1301" s="24">
        <f>IFERROR(__xludf.DUMMYFUNCTION("iferror(filter('3.5.clean'!C:C,'3.5.clean'!A:A=C1301),"""")"),43832.0)</f>
        <v>43832</v>
      </c>
      <c r="R1301" s="23" t="b">
        <f t="shared" si="1064"/>
        <v>1</v>
      </c>
      <c r="S1301" s="25"/>
      <c r="V1301" s="52" t="s">
        <v>64</v>
      </c>
      <c r="W1301" s="23" t="b">
        <f>IF(and(R1301=TRUE,N1301=TRUE,P1301=TRUE),TRUE,FALSE)</f>
        <v>1</v>
      </c>
      <c r="X1301" s="23" t="str">
        <f>IFERROR(__xludf.DUMMYFUNCTION("if(COUNTA(FILTER(C:C, C:C = C1301))=1,""no"",""yes"")"),"no")</f>
        <v>no</v>
      </c>
    </row>
    <row r="1302">
      <c r="A1302" s="75" t="s">
        <v>980</v>
      </c>
      <c r="B1302" s="2">
        <v>20.0</v>
      </c>
      <c r="C1302" s="19" t="s">
        <v>2007</v>
      </c>
      <c r="D1302" s="58" t="str">
        <f t="shared" ref="D1302:D1303" si="1065">if(or(I1302=1,J1302=1,S1302=1),"pos","")</f>
        <v/>
      </c>
      <c r="E1302" s="59">
        <f>IFERROR(__xludf.DUMMYFUNCTION("ifna(IFNA(filter('2.1.clean'!C:C,'2.1.clean'!A:A=C1302),filter('2.2.clean'!E:E,'2.2.clean'!D:D=C1302)),filter('2.4.clean'!C:C,'2.4.clean'!A:A=C1302))"),43832.0)</f>
        <v>43832</v>
      </c>
      <c r="F1302" s="60">
        <f>IFERROR(__xludf.DUMMYFUNCTION("iferror(ifna(IFNA(filter('2.1.clean'!E:E,'2.1.clean'!A:A=C1302),filter('2.2.clean'!G:G,'2.2.clean'!D:D=C1302)),filter('2.4.clean'!E:E,'2.4.clean'!A:A=C1302)),)"),2.39999999999999)</f>
        <v>2.4</v>
      </c>
      <c r="G1302" s="59" t="str">
        <f>IFERROR(__xludf.DUMMYFUNCTION("iferror(filter('3.1.clean'!C:C,'3.1.clean'!A:A=C1302),"""")"),"")</f>
        <v/>
      </c>
      <c r="H1302" s="58" t="b">
        <f>if(G1302="",FALSE,TRUE)</f>
        <v>0</v>
      </c>
      <c r="I1302" s="58" t="str">
        <f>IFERROR(__xludf.DUMMYFUNCTION("iferror(filter('3.1.clean'!G:G,'3.1.clean'!A:A=C1302),"""")"),"")</f>
        <v/>
      </c>
      <c r="J1302" s="60" t="str">
        <f>IFERROR(__xludf.DUMMYFUNCTION("iferror(filter('3.1.clean'!I:I,'3.1.clean'!A:A=C1302),"""")"),"")</f>
        <v/>
      </c>
      <c r="K1302" s="58"/>
      <c r="L1302" s="60"/>
      <c r="M1302" s="59" t="str">
        <f>IFERROR(__xludf.DUMMYFUNCTION("iferror(filter('3.3.clean'!C:C,'3.3.clean'!A:A=C1302),"""")"),"")</f>
        <v/>
      </c>
      <c r="N1302" s="60" t="b">
        <f t="shared" si="964"/>
        <v>0</v>
      </c>
      <c r="O1302" s="59" t="str">
        <f>IFERROR(__xludf.DUMMYFUNCTION("iferror(filter('3.4.clean'!C:C,'3.4.clean'!A:A=C1302),"""")"),"")</f>
        <v/>
      </c>
      <c r="P1302" s="60" t="b">
        <f t="shared" si="965"/>
        <v>0</v>
      </c>
      <c r="Q1302" s="59" t="str">
        <f>IFERROR(__xludf.DUMMYFUNCTION("iferror(filter('3.5.clean'!C:C,'3.5.clean'!A:A=C1302),"""")"),"")</f>
        <v/>
      </c>
      <c r="R1302" s="58"/>
      <c r="S1302" s="4" t="str">
        <f>IFERROR(__xludf.DUMMYFUNCTION("iferror(filter('3.5.clean'!H:H,'3.5.clean'!A:A=C1302),"""")"),"")</f>
        <v/>
      </c>
      <c r="W1302" s="23" t="b">
        <f>if(AND(H1302=TRUE,N1302=TRUE,P1302=TRUE),TRUE,FALSE)</f>
        <v>0</v>
      </c>
      <c r="X1302" s="23" t="str">
        <f>IFERROR(__xludf.DUMMYFUNCTION("if(COUNTA(FILTER(C:C, C:C = C1302))=1,""no"",""yes"")"),"no")</f>
        <v>no</v>
      </c>
    </row>
    <row r="1303">
      <c r="A1303" s="75" t="s">
        <v>980</v>
      </c>
      <c r="B1303" s="2">
        <v>21.0</v>
      </c>
      <c r="C1303" s="19" t="s">
        <v>2008</v>
      </c>
      <c r="D1303" s="58" t="str">
        <f t="shared" si="1065"/>
        <v/>
      </c>
      <c r="E1303" s="59">
        <f>Q1303</f>
        <v>43832</v>
      </c>
      <c r="F1303" s="60" t="str">
        <f>IFERROR(__xludf.DUMMYFUNCTION("iferror(ifna(IFNA(filter('2.1.clean'!E:E,'2.1.clean'!A:A=C1303),filter('2.2.clean'!G:G,'2.2.clean'!D:D=C1303)),filter('2.4.clean'!E:E,'2.4.clean'!A:A=C1303)),)"),"")</f>
        <v/>
      </c>
      <c r="G1303" s="59" t="str">
        <f>IFERROR(__xludf.DUMMYFUNCTION("iferror(filter('3.1.clean'!C:C,'3.1.clean'!A:A=C1303),"""")"),"")</f>
        <v/>
      </c>
      <c r="H1303" s="58"/>
      <c r="I1303" s="58" t="str">
        <f>IFERROR(__xludf.DUMMYFUNCTION("iferror(filter('3.1.clean'!G:G,'3.1.clean'!A:A=C1303),"""")"),"")</f>
        <v/>
      </c>
      <c r="J1303" s="60" t="str">
        <f>IFERROR(__xludf.DUMMYFUNCTION("iferror(filter('3.1.clean'!I:I,'3.1.clean'!A:A=C1303),"""")"),"")</f>
        <v/>
      </c>
      <c r="K1303" s="59"/>
      <c r="L1303" s="60"/>
      <c r="M1303" s="59" t="str">
        <f>IFERROR(__xludf.DUMMYFUNCTION("iferror(filter('3.3.clean'!C:C,'3.3.clean'!A:A=C1303),"""")"),"")</f>
        <v/>
      </c>
      <c r="N1303" s="60" t="b">
        <f t="shared" si="964"/>
        <v>0</v>
      </c>
      <c r="O1303" s="59" t="str">
        <f>IFERROR(__xludf.DUMMYFUNCTION("iferror(filter('3.4.clean'!C:C,'3.4.clean'!A:A=C1303),"""")"),"")</f>
        <v/>
      </c>
      <c r="P1303" s="60" t="b">
        <f t="shared" si="965"/>
        <v>0</v>
      </c>
      <c r="Q1303" s="59">
        <f>IFERROR(__xludf.DUMMYFUNCTION("iferror(filter('3.5.clean'!C:C,'3.5.clean'!A:A=C1303),"""")"),43832.0)</f>
        <v>43832</v>
      </c>
      <c r="R1303" s="58" t="b">
        <f t="shared" ref="R1303:R1304" si="1066">if(Q1303="",FALSE,TRUE)</f>
        <v>1</v>
      </c>
      <c r="S1303" s="4">
        <f>IFERROR(__xludf.DUMMYFUNCTION("iferror(filter('3.5.clean'!H:H,'3.5.clean'!A:A=C1303),"""")"),0.0)</f>
        <v>0</v>
      </c>
      <c r="V1303" s="52" t="s">
        <v>64</v>
      </c>
      <c r="W1303" s="23" t="b">
        <f>if(AND(R1303=TRUE,N1303=TRUE,P1303=TRUE),TRUE,FALSE)</f>
        <v>0</v>
      </c>
      <c r="X1303" s="23" t="str">
        <f>IFERROR(__xludf.DUMMYFUNCTION("if(COUNTA(FILTER(C:C, C:C = C1303))=1,""no"",""yes"")"),"no")</f>
        <v>no</v>
      </c>
    </row>
    <row r="1304">
      <c r="A1304" s="75" t="s">
        <v>980</v>
      </c>
      <c r="B1304" s="2">
        <v>22.0</v>
      </c>
      <c r="C1304" s="19" t="s">
        <v>2009</v>
      </c>
      <c r="E1304" s="24">
        <f>IFERROR(__xludf.DUMMYFUNCTION("ifna(IFNA(filter('2.1.clean'!C:C,'2.1.clean'!A:A=C1304),filter('2.2.clean'!E:E,'2.2.clean'!D:D=C1304)),filter('2.4.clean'!C:C,'2.4.clean'!A:A=C1304))"),43832.0)</f>
        <v>43832</v>
      </c>
      <c r="F1304" s="25">
        <f>IFERROR(__xludf.DUMMYFUNCTION("iferror(ifna(IFNA(filter('2.1.clean'!E:E,'2.1.clean'!A:A=C1304),filter('2.2.clean'!G:G,'2.2.clean'!D:D=C1304)),filter('2.4.clean'!E:E,'2.4.clean'!A:A=C1304)),)"),2.39999999999999)</f>
        <v>2.4</v>
      </c>
      <c r="G1304" s="24"/>
      <c r="J1304" s="25"/>
      <c r="K1304" s="24"/>
      <c r="L1304" s="25"/>
      <c r="M1304" s="24">
        <f>IFERROR(__xludf.DUMMYFUNCTION("iferror(filter('3.3.clean'!C:C,'3.3.clean'!A:A=C1304),"""")"),43837.0)</f>
        <v>43837</v>
      </c>
      <c r="N1304" s="25" t="b">
        <f t="shared" si="964"/>
        <v>1</v>
      </c>
      <c r="O1304" s="24">
        <f>IFERROR(__xludf.DUMMYFUNCTION("iferror(filter('3.4.clean'!C:C,'3.4.clean'!A:A=C1304),"""")"),43844.0)</f>
        <v>43844</v>
      </c>
      <c r="P1304" s="25" t="b">
        <f t="shared" si="965"/>
        <v>1</v>
      </c>
      <c r="Q1304" s="24">
        <f>IFERROR(__xludf.DUMMYFUNCTION("iferror(filter('3.5.clean'!C:C,'3.5.clean'!A:A=C1304),"""")"),43832.0)</f>
        <v>43832</v>
      </c>
      <c r="R1304" s="23" t="b">
        <f t="shared" si="1066"/>
        <v>1</v>
      </c>
      <c r="S1304" s="25"/>
      <c r="V1304" s="52" t="s">
        <v>64</v>
      </c>
      <c r="W1304" s="23" t="b">
        <f>IF(and(R1304=TRUE,N1304=TRUE,P1304=TRUE),TRUE,FALSE)</f>
        <v>1</v>
      </c>
      <c r="X1304" s="23" t="str">
        <f>IFERROR(__xludf.DUMMYFUNCTION("if(COUNTA(FILTER(C:C, C:C = C1304))=1,""no"",""yes"")"),"no")</f>
        <v>no</v>
      </c>
    </row>
    <row r="1305">
      <c r="A1305" s="75" t="s">
        <v>980</v>
      </c>
      <c r="B1305" s="2">
        <v>23.0</v>
      </c>
      <c r="C1305" s="19" t="s">
        <v>2010</v>
      </c>
      <c r="D1305" s="58" t="str">
        <f t="shared" ref="D1305:D1307" si="1067">if(or(I1305=1,J1305=1,S1305=1),"pos","")</f>
        <v/>
      </c>
      <c r="E1305" s="59">
        <f>IFERROR(__xludf.DUMMYFUNCTION("ifna(IFNA(filter('2.1.clean'!C:C,'2.1.clean'!A:A=C1305),filter('2.2.clean'!E:E,'2.2.clean'!D:D=C1305)),filter('2.4.clean'!C:C,'2.4.clean'!A:A=C1305))"),43832.0)</f>
        <v>43832</v>
      </c>
      <c r="F1305" s="60">
        <f>IFERROR(__xludf.DUMMYFUNCTION("iferror(ifna(IFNA(filter('2.1.clean'!E:E,'2.1.clean'!A:A=C1305),filter('2.2.clean'!G:G,'2.2.clean'!D:D=C1305)),filter('2.4.clean'!E:E,'2.4.clean'!A:A=C1305)),)"),2.39999999999999)</f>
        <v>2.4</v>
      </c>
      <c r="G1305" s="59" t="str">
        <f>IFERROR(__xludf.DUMMYFUNCTION("iferror(filter('3.1.clean'!C:C,'3.1.clean'!A:A=C1305),"""")"),"")</f>
        <v/>
      </c>
      <c r="H1305" s="58" t="b">
        <f>if(G1305="",FALSE,TRUE)</f>
        <v>0</v>
      </c>
      <c r="I1305" s="58" t="str">
        <f>IFERROR(__xludf.DUMMYFUNCTION("iferror(filter('3.1.clean'!G:G,'3.1.clean'!A:A=C1305),"""")"),"")</f>
        <v/>
      </c>
      <c r="J1305" s="60" t="str">
        <f>IFERROR(__xludf.DUMMYFUNCTION("iferror(filter('3.1.clean'!I:I,'3.1.clean'!A:A=C1305),"""")"),"")</f>
        <v/>
      </c>
      <c r="K1305" s="58"/>
      <c r="L1305" s="60"/>
      <c r="M1305" s="59" t="str">
        <f>IFERROR(__xludf.DUMMYFUNCTION("iferror(filter('3.3.clean'!C:C,'3.3.clean'!A:A=C1305),"""")"),"")</f>
        <v/>
      </c>
      <c r="N1305" s="60" t="b">
        <f t="shared" si="964"/>
        <v>0</v>
      </c>
      <c r="O1305" s="59" t="str">
        <f>IFERROR(__xludf.DUMMYFUNCTION("iferror(filter('3.4.clean'!C:C,'3.4.clean'!A:A=C1305),"""")"),"")</f>
        <v/>
      </c>
      <c r="P1305" s="60" t="b">
        <f t="shared" si="965"/>
        <v>0</v>
      </c>
      <c r="Q1305" s="59" t="str">
        <f>IFERROR(__xludf.DUMMYFUNCTION("iferror(filter('3.5.clean'!C:C,'3.5.clean'!A:A=C1305),"""")"),"")</f>
        <v/>
      </c>
      <c r="R1305" s="58"/>
      <c r="S1305" s="4" t="str">
        <f>IFERROR(__xludf.DUMMYFUNCTION("iferror(filter('3.5.clean'!H:H,'3.5.clean'!A:A=C1305),"""")"),"")</f>
        <v/>
      </c>
      <c r="W1305" s="23" t="b">
        <f>if(AND(H1305=TRUE,N1305=TRUE,P1305=TRUE),TRUE,FALSE)</f>
        <v>0</v>
      </c>
      <c r="X1305" s="23" t="str">
        <f>IFERROR(__xludf.DUMMYFUNCTION("if(COUNTA(FILTER(C:C, C:C = C1305))=1,""no"",""yes"")"),"no")</f>
        <v>no</v>
      </c>
    </row>
    <row r="1306">
      <c r="A1306" s="75" t="s">
        <v>980</v>
      </c>
      <c r="B1306" s="2">
        <v>24.0</v>
      </c>
      <c r="C1306" s="19" t="s">
        <v>2011</v>
      </c>
      <c r="D1306" s="58" t="str">
        <f t="shared" si="1067"/>
        <v/>
      </c>
      <c r="E1306" s="59">
        <f t="shared" ref="E1306:E1307" si="1068">Q1306</f>
        <v>43832</v>
      </c>
      <c r="F1306" s="60" t="str">
        <f>IFERROR(__xludf.DUMMYFUNCTION("iferror(ifna(IFNA(filter('2.1.clean'!E:E,'2.1.clean'!A:A=C1306),filter('2.2.clean'!G:G,'2.2.clean'!D:D=C1306)),filter('2.4.clean'!E:E,'2.4.clean'!A:A=C1306)),)"),"")</f>
        <v/>
      </c>
      <c r="G1306" s="59" t="str">
        <f>IFERROR(__xludf.DUMMYFUNCTION("iferror(filter('3.1.clean'!C:C,'3.1.clean'!A:A=C1306),"""")"),"")</f>
        <v/>
      </c>
      <c r="H1306" s="58"/>
      <c r="I1306" s="58" t="str">
        <f>IFERROR(__xludf.DUMMYFUNCTION("iferror(filter('3.1.clean'!G:G,'3.1.clean'!A:A=C1306),"""")"),"")</f>
        <v/>
      </c>
      <c r="J1306" s="60" t="str">
        <f>IFERROR(__xludf.DUMMYFUNCTION("iferror(filter('3.1.clean'!I:I,'3.1.clean'!A:A=C1306),"""")"),"")</f>
        <v/>
      </c>
      <c r="K1306" s="59"/>
      <c r="L1306" s="60"/>
      <c r="M1306" s="59" t="str">
        <f>IFERROR(__xludf.DUMMYFUNCTION("iferror(filter('3.3.clean'!C:C,'3.3.clean'!A:A=C1306),"""")"),"")</f>
        <v/>
      </c>
      <c r="N1306" s="60" t="b">
        <f t="shared" si="964"/>
        <v>0</v>
      </c>
      <c r="O1306" s="59" t="str">
        <f>IFERROR(__xludf.DUMMYFUNCTION("iferror(filter('3.4.clean'!C:C,'3.4.clean'!A:A=C1306),"""")"),"")</f>
        <v/>
      </c>
      <c r="P1306" s="60" t="b">
        <f t="shared" si="965"/>
        <v>0</v>
      </c>
      <c r="Q1306" s="59">
        <f>IFERROR(__xludf.DUMMYFUNCTION("iferror(filter('3.5.clean'!C:C,'3.5.clean'!A:A=C1306),"""")"),43832.0)</f>
        <v>43832</v>
      </c>
      <c r="R1306" s="58" t="b">
        <f t="shared" ref="R1306:R1307" si="1069">if(Q1306="",FALSE,TRUE)</f>
        <v>1</v>
      </c>
      <c r="S1306" s="4">
        <f>IFERROR(__xludf.DUMMYFUNCTION("iferror(filter('3.5.clean'!H:H,'3.5.clean'!A:A=C1306),"""")"),0.0)</f>
        <v>0</v>
      </c>
      <c r="V1306" s="52" t="s">
        <v>64</v>
      </c>
      <c r="W1306" s="23" t="b">
        <f>if(AND(R1306=TRUE,N1306=TRUE,P1306=TRUE),TRUE,FALSE)</f>
        <v>0</v>
      </c>
      <c r="X1306" s="23" t="str">
        <f>IFERROR(__xludf.DUMMYFUNCTION("if(COUNTA(FILTER(C:C, C:C = C1306))=1,""no"",""yes"")"),"no")</f>
        <v>no</v>
      </c>
    </row>
    <row r="1307">
      <c r="A1307" s="75" t="s">
        <v>980</v>
      </c>
      <c r="B1307" s="2">
        <v>25.0</v>
      </c>
      <c r="C1307" s="19" t="s">
        <v>2012</v>
      </c>
      <c r="D1307" s="22" t="str">
        <f t="shared" si="1067"/>
        <v/>
      </c>
      <c r="E1307" s="20">
        <f t="shared" si="1068"/>
        <v>43832</v>
      </c>
      <c r="F1307" s="79" t="str">
        <f>IFERROR(__xludf.DUMMYFUNCTION("iferror(ifna(IFNA(filter('2.1.clean'!E:E,'2.1.clean'!A:A=C1307),filter('2.2.clean'!G:G,'2.2.clean'!D:D=C1307)),filter('2.4.clean'!E:E,'2.4.clean'!A:A=C1307)),)"),"")</f>
        <v/>
      </c>
      <c r="G1307" s="20" t="str">
        <f>IFERROR(__xludf.DUMMYFUNCTION("iferror(filter('3.1.clean'!C:C,'3.1.clean'!A:A=C1307),"""")"),"")</f>
        <v/>
      </c>
      <c r="H1307" s="22"/>
      <c r="I1307" s="22"/>
      <c r="J1307" s="79"/>
      <c r="K1307" s="20" t="str">
        <f>IFERROR(__xludf.DUMMYFUNCTION("iferror(filter('3.2.clean'!C:C,'3.2.clean'!A:A=C1307),"""")"),"")</f>
        <v/>
      </c>
      <c r="L1307" s="79"/>
      <c r="M1307" s="20" t="str">
        <f>IFERROR(__xludf.DUMMYFUNCTION("iferror(filter('3.3.clean'!C:C,'3.3.clean'!A:A=C1307),"""")"),"")</f>
        <v/>
      </c>
      <c r="N1307" s="79" t="b">
        <f t="shared" si="964"/>
        <v>0</v>
      </c>
      <c r="O1307" s="20" t="str">
        <f>IFERROR(__xludf.DUMMYFUNCTION("iferror(filter('3.4.clean'!C:C,'3.4.clean'!A:A=C1307),"""")"),"")</f>
        <v/>
      </c>
      <c r="P1307" s="79" t="b">
        <f t="shared" si="965"/>
        <v>0</v>
      </c>
      <c r="Q1307" s="20">
        <f>IFERROR(__xludf.DUMMYFUNCTION("iferror(filter('3.5.clean'!C:C,'3.5.clean'!A:A=C1307),"""")"),43832.0)</f>
        <v>43832</v>
      </c>
      <c r="R1307" s="22" t="b">
        <f t="shared" si="1069"/>
        <v>1</v>
      </c>
      <c r="S1307" s="4">
        <f>IFERROR(__xludf.DUMMYFUNCTION("iferror(filter('3.5.clean'!H:H,'3.5.clean'!A:A=C1307),"""")"),0.0)</f>
        <v>0</v>
      </c>
      <c r="V1307" s="1" t="s">
        <v>64</v>
      </c>
      <c r="W1307" s="23" t="b">
        <f>IF(and(R1307=TRUE,N1307=TRUE,P1307=TRUE),TRUE,FALSE)</f>
        <v>0</v>
      </c>
      <c r="X1307" s="23" t="str">
        <f>IFERROR(__xludf.DUMMYFUNCTION("if(COUNTA(FILTER(C:C, C:C = C1307))=1,""no"",""yes"")"),"no")</f>
        <v>no</v>
      </c>
    </row>
    <row r="1308">
      <c r="A1308" s="75" t="s">
        <v>980</v>
      </c>
      <c r="B1308" s="2">
        <v>26.0</v>
      </c>
      <c r="C1308" s="19" t="s">
        <v>2013</v>
      </c>
      <c r="E1308" s="24">
        <f>M1308</f>
        <v>43832</v>
      </c>
      <c r="F1308" s="25" t="str">
        <f>IFERROR(__xludf.DUMMYFUNCTION("iferror(ifna(IFNA(filter('2.1.clean'!E:E,'2.1.clean'!A:A=C1308),filter('2.2.clean'!G:G,'2.2.clean'!D:D=C1308)),filter('2.4.clean'!E:E,'2.4.clean'!A:A=C1308)),)"),"")</f>
        <v/>
      </c>
      <c r="G1308" s="24" t="str">
        <f>IFERROR(__xludf.DUMMYFUNCTION("iferror(filter('3.1.clean'!C:C,'3.1.clean'!A:A=C1308),"""")"),"")</f>
        <v/>
      </c>
      <c r="J1308" s="25"/>
      <c r="K1308" s="24" t="str">
        <f>IFERROR(__xludf.DUMMYFUNCTION("iferror(filter('3.2.clean'!C:C,'3.2.clean'!A:A=C1308),"""")"),"")</f>
        <v/>
      </c>
      <c r="L1308" s="25"/>
      <c r="M1308" s="24">
        <f>IFERROR(__xludf.DUMMYFUNCTION("iferror(filter('3.3.clean'!C:C,'3.3.clean'!A:A=C1308),"""")"),43832.0)</f>
        <v>43832</v>
      </c>
      <c r="N1308" s="25" t="b">
        <f t="shared" si="964"/>
        <v>1</v>
      </c>
      <c r="O1308" s="24" t="str">
        <f>IFERROR(__xludf.DUMMYFUNCTION("iferror(filter('3.4.clean'!C:C,'3.4.clean'!A:A=C1308),"""")"),"")</f>
        <v/>
      </c>
      <c r="P1308" s="25" t="b">
        <f t="shared" si="965"/>
        <v>0</v>
      </c>
      <c r="Q1308" s="24" t="str">
        <f>IFERROR(__xludf.DUMMYFUNCTION("iferror(filter('3.5.clean'!C:C,'3.5.clean'!A:A=C1308),"""")"),"")</f>
        <v/>
      </c>
      <c r="S1308" s="25"/>
      <c r="V1308" s="52" t="s">
        <v>64</v>
      </c>
      <c r="X1308" s="23" t="str">
        <f>IFERROR(__xludf.DUMMYFUNCTION("if(COUNTA(FILTER(C:C, C:C = C1308))=1,""no"",""yes"")"),"no")</f>
        <v>no</v>
      </c>
    </row>
    <row r="1309">
      <c r="A1309" s="1" t="s">
        <v>984</v>
      </c>
      <c r="B1309" s="2">
        <v>1.0</v>
      </c>
      <c r="C1309" s="19" t="s">
        <v>2014</v>
      </c>
      <c r="E1309" s="24">
        <f>IFERROR(__xludf.DUMMYFUNCTION("ifna(IFNA(filter('2.1.clean'!C:C,'2.1.clean'!A:A=C1309),filter('2.2.clean'!E:E,'2.2.clean'!D:D=C1309)),filter('2.4.clean'!C:C,'2.4.clean'!A:A=C1309))"),43836.0)</f>
        <v>43836</v>
      </c>
      <c r="F1309" s="25">
        <f>IFERROR(__xludf.DUMMYFUNCTION("iferror(ifna(IFNA(filter('2.1.clean'!E:E,'2.1.clean'!A:A=C1309),filter('2.2.clean'!G:G,'2.2.clean'!D:D=C1309)),filter('2.4.clean'!E:E,'2.4.clean'!A:A=C1309)),)"),2.39999999999999)</f>
        <v>2.4</v>
      </c>
      <c r="G1309" s="24" t="str">
        <f>IFERROR(__xludf.DUMMYFUNCTION("iferror(filter('3.1.clean'!C:C,'3.1.clean'!A:A=C1309),"""")"),"")</f>
        <v/>
      </c>
      <c r="H1309" s="23" t="b">
        <f t="shared" ref="H1309:H1311" si="1070">if(G1309="",FALSE,TRUE)</f>
        <v>0</v>
      </c>
      <c r="J1309" s="25"/>
      <c r="K1309" s="24">
        <f>IFERROR(__xludf.DUMMYFUNCTION("iferror(filter('3.2.clean'!C:C,'3.2.clean'!A:A=C1309),"""")"),43839.0)</f>
        <v>43839</v>
      </c>
      <c r="L1309" s="25" t="b">
        <f>if(K1309="",FALSE,TRUE)</f>
        <v>1</v>
      </c>
      <c r="M1309" s="24">
        <f>IFERROR(__xludf.DUMMYFUNCTION("iferror(filter('3.3.clean'!C:C,'3.3.clean'!A:A=C1309),"""")"),43837.0)</f>
        <v>43837</v>
      </c>
      <c r="N1309" s="25" t="b">
        <f t="shared" si="964"/>
        <v>1</v>
      </c>
      <c r="O1309" s="24">
        <f>IFERROR(__xludf.DUMMYFUNCTION("iferror(filter('3.4.clean'!C:C,'3.4.clean'!A:A=C1309),"""")"),43844.0)</f>
        <v>43844</v>
      </c>
      <c r="P1309" s="25" t="b">
        <f t="shared" si="965"/>
        <v>1</v>
      </c>
      <c r="Q1309" s="24">
        <f>IFERROR(__xludf.DUMMYFUNCTION("iferror(filter('3.5.clean'!C:C,'3.5.clean'!A:A=C1309),"""")"),43836.0)</f>
        <v>43836</v>
      </c>
      <c r="R1309" s="23" t="b">
        <f>if(Q1309="",FALSE,TRUE)</f>
        <v>1</v>
      </c>
      <c r="S1309" s="25"/>
      <c r="V1309" s="1" t="s">
        <v>64</v>
      </c>
      <c r="X1309" s="23" t="str">
        <f>IFERROR(__xludf.DUMMYFUNCTION("if(COUNTA(FILTER(C:C, C:C = C1309))=1,""no"",""yes"")"),"no")</f>
        <v>no</v>
      </c>
    </row>
    <row r="1310">
      <c r="A1310" s="1" t="s">
        <v>984</v>
      </c>
      <c r="B1310" s="2">
        <v>2.0</v>
      </c>
      <c r="C1310" s="19" t="s">
        <v>2015</v>
      </c>
      <c r="D1310" s="58" t="str">
        <f>if(or(I1310=1,J1310=1,S1310=1),"pos","")</f>
        <v/>
      </c>
      <c r="E1310" s="59">
        <f>IFERROR(__xludf.DUMMYFUNCTION("ifna(IFNA(filter('2.1.clean'!C:C,'2.1.clean'!A:A=C1310),filter('2.2.clean'!E:E,'2.2.clean'!D:D=C1310)),filter('2.4.clean'!C:C,'2.4.clean'!A:A=C1310))"),43836.0)</f>
        <v>43836</v>
      </c>
      <c r="F1310" s="60">
        <f>IFERROR(__xludf.DUMMYFUNCTION("iferror(ifna(IFNA(filter('2.1.clean'!E:E,'2.1.clean'!A:A=C1310),filter('2.2.clean'!G:G,'2.2.clean'!D:D=C1310)),filter('2.4.clean'!E:E,'2.4.clean'!A:A=C1310)),)"),2.39999999999999)</f>
        <v>2.4</v>
      </c>
      <c r="G1310" s="59" t="str">
        <f>IFERROR(__xludf.DUMMYFUNCTION("iferror(filter('3.1.clean'!C:C,'3.1.clean'!A:A=C1310),"""")"),"")</f>
        <v/>
      </c>
      <c r="H1310" s="58" t="b">
        <f t="shared" si="1070"/>
        <v>0</v>
      </c>
      <c r="I1310" s="58" t="str">
        <f>IFERROR(__xludf.DUMMYFUNCTION("iferror(filter('3.1.clean'!G:G,'3.1.clean'!A:A=C1310),"""")"),"")</f>
        <v/>
      </c>
      <c r="J1310" s="60" t="str">
        <f>IFERROR(__xludf.DUMMYFUNCTION("iferror(filter('3.1.clean'!I:I,'3.1.clean'!A:A=C1310),"""")"),"")</f>
        <v/>
      </c>
      <c r="K1310" s="58"/>
      <c r="L1310" s="60"/>
      <c r="M1310" s="59" t="str">
        <f>IFERROR(__xludf.DUMMYFUNCTION("iferror(filter('3.3.clean'!C:C,'3.3.clean'!A:A=C1310),"""")"),"")</f>
        <v/>
      </c>
      <c r="N1310" s="60" t="b">
        <f t="shared" si="964"/>
        <v>0</v>
      </c>
      <c r="O1310" s="59" t="str">
        <f>IFERROR(__xludf.DUMMYFUNCTION("iferror(filter('3.4.clean'!C:C,'3.4.clean'!A:A=C1310),"""")"),"")</f>
        <v/>
      </c>
      <c r="P1310" s="60" t="b">
        <f t="shared" si="965"/>
        <v>0</v>
      </c>
      <c r="Q1310" s="59" t="str">
        <f>IFERROR(__xludf.DUMMYFUNCTION("iferror(filter('3.5.clean'!C:C,'3.5.clean'!A:A=C1310),"""")"),"")</f>
        <v/>
      </c>
      <c r="R1310" s="58"/>
      <c r="S1310" s="4" t="str">
        <f>IFERROR(__xludf.DUMMYFUNCTION("iferror(filter('3.5.clean'!H:H,'3.5.clean'!A:A=C1310),"""")"),"")</f>
        <v/>
      </c>
      <c r="W1310" s="23" t="b">
        <f>if(AND(H1310=TRUE,N1310=TRUE,P1310=TRUE),TRUE,FALSE)</f>
        <v>0</v>
      </c>
      <c r="X1310" s="23" t="str">
        <f>IFERROR(__xludf.DUMMYFUNCTION("if(COUNTA(FILTER(C:C, C:C = C1310))=1,""no"",""yes"")"),"no")</f>
        <v>no</v>
      </c>
    </row>
    <row r="1311">
      <c r="A1311" s="1" t="s">
        <v>984</v>
      </c>
      <c r="B1311" s="2">
        <v>2.0</v>
      </c>
      <c r="C1311" s="19" t="s">
        <v>2017</v>
      </c>
      <c r="E1311" s="24">
        <v>43836.0</v>
      </c>
      <c r="F1311" s="25" t="str">
        <f>IFERROR(__xludf.DUMMYFUNCTION("iferror(ifna(IFNA(filter('2.1.clean'!E:E,'2.1.clean'!A:A=C1311),filter('2.2.clean'!G:G,'2.2.clean'!D:D=C1311)),filter('2.4.clean'!E:E,'2.4.clean'!A:A=C1311)),)"),"")</f>
        <v/>
      </c>
      <c r="G1311" s="24" t="str">
        <f>IFERROR(__xludf.DUMMYFUNCTION("iferror(filter('3.1.clean'!C:C,'3.1.clean'!A:A=C1311),"""")"),"")</f>
        <v/>
      </c>
      <c r="H1311" s="23" t="b">
        <f t="shared" si="1070"/>
        <v>0</v>
      </c>
      <c r="J1311" s="25"/>
      <c r="K1311" s="24">
        <f>IFERROR(__xludf.DUMMYFUNCTION("iferror(filter('3.2.clean'!C:C,'3.2.clean'!A:A=C1311),"""")"),43839.0)</f>
        <v>43839</v>
      </c>
      <c r="L1311" s="25" t="b">
        <f>if(K1311="",FALSE,TRUE)</f>
        <v>1</v>
      </c>
      <c r="M1311" s="24" t="str">
        <f>IFERROR(__xludf.DUMMYFUNCTION("iferror(filter('3.3.clean'!C:C,'3.3.clean'!A:A=C1311),"""")"),"")</f>
        <v/>
      </c>
      <c r="N1311" s="25" t="b">
        <f t="shared" si="964"/>
        <v>0</v>
      </c>
      <c r="O1311" s="24" t="str">
        <f>IFERROR(__xludf.DUMMYFUNCTION("iferror(filter('3.4.clean'!C:C,'3.4.clean'!A:A=C1311),"""")"),"")</f>
        <v/>
      </c>
      <c r="P1311" s="25" t="b">
        <f t="shared" si="965"/>
        <v>0</v>
      </c>
      <c r="Q1311" s="24" t="str">
        <f>IFERROR(__xludf.DUMMYFUNCTION("iferror(filter('3.5.clean'!C:C,'3.5.clean'!A:A=C1311),"""")"),"")</f>
        <v/>
      </c>
      <c r="R1311" s="23" t="b">
        <f t="shared" ref="R1311:R1313" si="1071">if(Q1311="",FALSE,TRUE)</f>
        <v>0</v>
      </c>
      <c r="S1311" s="25"/>
      <c r="U1311" s="23" t="s">
        <v>177</v>
      </c>
      <c r="V1311" s="1" t="s">
        <v>64</v>
      </c>
      <c r="X1311" s="23" t="str">
        <f>IFERROR(__xludf.DUMMYFUNCTION("if(COUNTA(FILTER(C:C, C:C = C1311))=1,""no"",""yes"")"),"no")</f>
        <v>no</v>
      </c>
    </row>
    <row r="1312">
      <c r="A1312" s="1" t="s">
        <v>984</v>
      </c>
      <c r="B1312" s="2">
        <v>3.0</v>
      </c>
      <c r="C1312" s="19" t="s">
        <v>2018</v>
      </c>
      <c r="D1312" s="58" t="str">
        <f>if(or(I1312=1,J1312=1,S1312=1),"pos","")</f>
        <v/>
      </c>
      <c r="E1312" s="59">
        <f>Q1312</f>
        <v>43836</v>
      </c>
      <c r="F1312" s="60" t="str">
        <f>IFERROR(__xludf.DUMMYFUNCTION("iferror(ifna(IFNA(filter('2.1.clean'!E:E,'2.1.clean'!A:A=C1312),filter('2.2.clean'!G:G,'2.2.clean'!D:D=C1312)),filter('2.4.clean'!E:E,'2.4.clean'!A:A=C1312)),)"),"")</f>
        <v/>
      </c>
      <c r="G1312" s="59" t="str">
        <f>IFERROR(__xludf.DUMMYFUNCTION("iferror(filter('3.1.clean'!C:C,'3.1.clean'!A:A=C1312),"""")"),"")</f>
        <v/>
      </c>
      <c r="H1312" s="58"/>
      <c r="I1312" s="58" t="str">
        <f>IFERROR(__xludf.DUMMYFUNCTION("iferror(filter('3.1.clean'!G:G,'3.1.clean'!A:A=C1312),"""")"),"")</f>
        <v/>
      </c>
      <c r="J1312" s="60" t="str">
        <f>IFERROR(__xludf.DUMMYFUNCTION("iferror(filter('3.1.clean'!I:I,'3.1.clean'!A:A=C1312),"""")"),"")</f>
        <v/>
      </c>
      <c r="K1312" s="59"/>
      <c r="L1312" s="60"/>
      <c r="M1312" s="59" t="str">
        <f>IFERROR(__xludf.DUMMYFUNCTION("iferror(filter('3.3.clean'!C:C,'3.3.clean'!A:A=C1312),"""")"),"")</f>
        <v/>
      </c>
      <c r="N1312" s="60" t="b">
        <f t="shared" si="964"/>
        <v>0</v>
      </c>
      <c r="O1312" s="59" t="str">
        <f>IFERROR(__xludf.DUMMYFUNCTION("iferror(filter('3.4.clean'!C:C,'3.4.clean'!A:A=C1312),"""")"),"")</f>
        <v/>
      </c>
      <c r="P1312" s="60" t="b">
        <f t="shared" si="965"/>
        <v>0</v>
      </c>
      <c r="Q1312" s="59">
        <f>IFERROR(__xludf.DUMMYFUNCTION("iferror(filter('3.5.clean'!C:C,'3.5.clean'!A:A=C1312),"""")"),43836.0)</f>
        <v>43836</v>
      </c>
      <c r="R1312" s="58" t="b">
        <f t="shared" si="1071"/>
        <v>1</v>
      </c>
      <c r="S1312" s="4">
        <f>IFERROR(__xludf.DUMMYFUNCTION("iferror(filter('3.5.clean'!H:H,'3.5.clean'!A:A=C1312),"""")"),0.0)</f>
        <v>0</v>
      </c>
      <c r="V1312" s="52" t="s">
        <v>64</v>
      </c>
      <c r="W1312" s="23" t="b">
        <f>if(AND(R1312=TRUE,N1312=TRUE,P1312=TRUE),TRUE,FALSE)</f>
        <v>0</v>
      </c>
      <c r="X1312" s="23" t="str">
        <f>IFERROR(__xludf.DUMMYFUNCTION("if(COUNTA(FILTER(C:C, C:C = C1312))=1,""no"",""yes"")"),"no")</f>
        <v>no</v>
      </c>
    </row>
    <row r="1313">
      <c r="A1313" s="1" t="s">
        <v>984</v>
      </c>
      <c r="B1313" s="2">
        <v>4.0</v>
      </c>
      <c r="C1313" s="19" t="s">
        <v>2019</v>
      </c>
      <c r="E1313" s="24">
        <f>IFERROR(__xludf.DUMMYFUNCTION("ifna(IFNA(filter('2.1.clean'!C:C,'2.1.clean'!A:A=C1313),filter('2.2.clean'!E:E,'2.2.clean'!D:D=C1313)),filter('2.4.clean'!C:C,'2.4.clean'!A:A=C1313))"),43836.0)</f>
        <v>43836</v>
      </c>
      <c r="F1313" s="25">
        <f>IFERROR(__xludf.DUMMYFUNCTION("iferror(ifna(IFNA(filter('2.1.clean'!E:E,'2.1.clean'!A:A=C1313),filter('2.2.clean'!G:G,'2.2.clean'!D:D=C1313)),filter('2.4.clean'!E:E,'2.4.clean'!A:A=C1313)),)"),2.39999999999999)</f>
        <v>2.4</v>
      </c>
      <c r="G1313" s="24" t="str">
        <f>IFERROR(__xludf.DUMMYFUNCTION("iferror(filter('3.1.clean'!C:C,'3.1.clean'!A:A=C1313),"""")"),"")</f>
        <v/>
      </c>
      <c r="H1313" s="23" t="b">
        <f t="shared" ref="H1313:H1315" si="1072">if(G1313="",FALSE,TRUE)</f>
        <v>0</v>
      </c>
      <c r="J1313" s="25"/>
      <c r="K1313" s="24">
        <f>IFERROR(__xludf.DUMMYFUNCTION("iferror(filter('3.2.clean'!C:C,'3.2.clean'!A:A=C1313),"""")"),43839.0)</f>
        <v>43839</v>
      </c>
      <c r="L1313" s="25" t="b">
        <f>if(K1313="",FALSE,TRUE)</f>
        <v>1</v>
      </c>
      <c r="M1313" s="24">
        <f>IFERROR(__xludf.DUMMYFUNCTION("iferror(filter('3.3.clean'!C:C,'3.3.clean'!A:A=C1313),"""")"),43837.0)</f>
        <v>43837</v>
      </c>
      <c r="N1313" s="25" t="b">
        <f t="shared" si="964"/>
        <v>1</v>
      </c>
      <c r="O1313" s="24">
        <f>IFERROR(__xludf.DUMMYFUNCTION("iferror(filter('3.4.clean'!C:C,'3.4.clean'!A:A=C1313),"""")"),43844.0)</f>
        <v>43844</v>
      </c>
      <c r="P1313" s="25" t="b">
        <f t="shared" si="965"/>
        <v>1</v>
      </c>
      <c r="Q1313" s="24">
        <f>IFERROR(__xludf.DUMMYFUNCTION("iferror(filter('3.5.clean'!C:C,'3.5.clean'!A:A=C1313),"""")"),43836.0)</f>
        <v>43836</v>
      </c>
      <c r="R1313" s="23" t="b">
        <f t="shared" si="1071"/>
        <v>1</v>
      </c>
      <c r="S1313" s="25"/>
      <c r="V1313" s="1" t="s">
        <v>64</v>
      </c>
      <c r="X1313" s="23" t="str">
        <f>IFERROR(__xludf.DUMMYFUNCTION("if(COUNTA(FILTER(C:C, C:C = C1313))=1,""no"",""yes"")"),"no")</f>
        <v>no</v>
      </c>
    </row>
    <row r="1314">
      <c r="A1314" s="1" t="s">
        <v>984</v>
      </c>
      <c r="B1314" s="2">
        <v>5.0</v>
      </c>
      <c r="C1314" s="19" t="s">
        <v>2020</v>
      </c>
      <c r="D1314" s="58" t="str">
        <f>if(or(I1314=1,J1314=1,S1314=1),"pos","")</f>
        <v/>
      </c>
      <c r="E1314" s="59">
        <f>IFERROR(__xludf.DUMMYFUNCTION("ifna(IFNA(filter('2.1.clean'!C:C,'2.1.clean'!A:A=C1314),filter('2.2.clean'!E:E,'2.2.clean'!D:D=C1314)),filter('2.4.clean'!C:C,'2.4.clean'!A:A=C1314))"),43836.0)</f>
        <v>43836</v>
      </c>
      <c r="F1314" s="60">
        <f>IFERROR(__xludf.DUMMYFUNCTION("iferror(ifna(IFNA(filter('2.1.clean'!E:E,'2.1.clean'!A:A=C1314),filter('2.2.clean'!G:G,'2.2.clean'!D:D=C1314)),filter('2.4.clean'!E:E,'2.4.clean'!A:A=C1314)),)"),2.39999999999999)</f>
        <v>2.4</v>
      </c>
      <c r="G1314" s="59" t="str">
        <f>IFERROR(__xludf.DUMMYFUNCTION("iferror(filter('3.1.clean'!C:C,'3.1.clean'!A:A=C1314),"""")"),"")</f>
        <v/>
      </c>
      <c r="H1314" s="58" t="b">
        <f t="shared" si="1072"/>
        <v>0</v>
      </c>
      <c r="I1314" s="58" t="str">
        <f>IFERROR(__xludf.DUMMYFUNCTION("iferror(filter('3.1.clean'!G:G,'3.1.clean'!A:A=C1314),"""")"),"")</f>
        <v/>
      </c>
      <c r="J1314" s="60" t="str">
        <f>IFERROR(__xludf.DUMMYFUNCTION("iferror(filter('3.1.clean'!I:I,'3.1.clean'!A:A=C1314),"""")"),"")</f>
        <v/>
      </c>
      <c r="K1314" s="58"/>
      <c r="L1314" s="60"/>
      <c r="M1314" s="59">
        <f>IFERROR(__xludf.DUMMYFUNCTION("iferror(filter('3.3.clean'!C:C,'3.3.clean'!A:A=C1314),"""")"),43837.0)</f>
        <v>43837</v>
      </c>
      <c r="N1314" s="60" t="b">
        <f t="shared" si="964"/>
        <v>1</v>
      </c>
      <c r="O1314" s="59" t="str">
        <f>IFERROR(__xludf.DUMMYFUNCTION("iferror(filter('3.4.clean'!C:C,'3.4.clean'!A:A=C1314),"""")"),"")</f>
        <v/>
      </c>
      <c r="P1314" s="60" t="b">
        <f t="shared" si="965"/>
        <v>0</v>
      </c>
      <c r="Q1314" s="59" t="str">
        <f>IFERROR(__xludf.DUMMYFUNCTION("iferror(filter('3.5.clean'!C:C,'3.5.clean'!A:A=C1314),"""")"),"")</f>
        <v/>
      </c>
      <c r="R1314" s="58"/>
      <c r="S1314" s="4" t="str">
        <f>IFERROR(__xludf.DUMMYFUNCTION("iferror(filter('3.5.clean'!H:H,'3.5.clean'!A:A=C1314),"""")"),"")</f>
        <v/>
      </c>
      <c r="W1314" s="23" t="b">
        <f>if(AND(H1314=TRUE,N1314=TRUE,P1314=TRUE),TRUE,FALSE)</f>
        <v>0</v>
      </c>
      <c r="X1314" s="23" t="str">
        <f>IFERROR(__xludf.DUMMYFUNCTION("if(COUNTA(FILTER(C:C, C:C = C1314))=1,""no"",""yes"")"),"no")</f>
        <v>no</v>
      </c>
    </row>
    <row r="1315">
      <c r="A1315" s="1" t="s">
        <v>984</v>
      </c>
      <c r="B1315" s="2">
        <v>5.0</v>
      </c>
      <c r="C1315" s="19" t="s">
        <v>2021</v>
      </c>
      <c r="E1315" s="24">
        <v>43836.0</v>
      </c>
      <c r="F1315" s="25" t="str">
        <f>IFERROR(__xludf.DUMMYFUNCTION("iferror(ifna(IFNA(filter('2.1.clean'!E:E,'2.1.clean'!A:A=C1315),filter('2.2.clean'!G:G,'2.2.clean'!D:D=C1315)),filter('2.4.clean'!E:E,'2.4.clean'!A:A=C1315)),)"),"")</f>
        <v/>
      </c>
      <c r="G1315" s="24" t="str">
        <f>IFERROR(__xludf.DUMMYFUNCTION("iferror(filter('3.1.clean'!C:C,'3.1.clean'!A:A=C1315),"""")"),"")</f>
        <v/>
      </c>
      <c r="H1315" s="23" t="b">
        <f t="shared" si="1072"/>
        <v>0</v>
      </c>
      <c r="J1315" s="25"/>
      <c r="K1315" s="24">
        <f>IFERROR(__xludf.DUMMYFUNCTION("iferror(filter('3.2.clean'!C:C,'3.2.clean'!A:A=C1315),"""")"),43839.0)</f>
        <v>43839</v>
      </c>
      <c r="L1315" s="25" t="b">
        <f>if(K1315="",FALSE,TRUE)</f>
        <v>1</v>
      </c>
      <c r="M1315" s="24" t="str">
        <f>IFERROR(__xludf.DUMMYFUNCTION("iferror(filter('3.3.clean'!C:C,'3.3.clean'!A:A=C1315),"""")"),"")</f>
        <v/>
      </c>
      <c r="N1315" s="25" t="b">
        <f t="shared" si="964"/>
        <v>0</v>
      </c>
      <c r="O1315" s="24" t="str">
        <f>IFERROR(__xludf.DUMMYFUNCTION("iferror(filter('3.4.clean'!C:C,'3.4.clean'!A:A=C1315),"""")"),"")</f>
        <v/>
      </c>
      <c r="P1315" s="25" t="b">
        <f t="shared" si="965"/>
        <v>0</v>
      </c>
      <c r="Q1315" s="24" t="str">
        <f>IFERROR(__xludf.DUMMYFUNCTION("iferror(filter('3.5.clean'!C:C,'3.5.clean'!A:A=C1315),"""")"),"")</f>
        <v/>
      </c>
      <c r="R1315" s="23" t="b">
        <f t="shared" ref="R1315:R1317" si="1073">if(Q1315="",FALSE,TRUE)</f>
        <v>0</v>
      </c>
      <c r="S1315" s="25"/>
      <c r="U1315" s="23" t="s">
        <v>177</v>
      </c>
      <c r="V1315" s="1" t="s">
        <v>64</v>
      </c>
      <c r="X1315" s="23" t="str">
        <f>IFERROR(__xludf.DUMMYFUNCTION("if(COUNTA(FILTER(C:C, C:C = C1315))=1,""no"",""yes"")"),"no")</f>
        <v>no</v>
      </c>
    </row>
    <row r="1316">
      <c r="A1316" s="1" t="s">
        <v>984</v>
      </c>
      <c r="B1316" s="2">
        <v>6.0</v>
      </c>
      <c r="C1316" s="19" t="s">
        <v>2022</v>
      </c>
      <c r="D1316" s="58" t="str">
        <f>if(or(I1316=1,J1316=1,S1316=1),"pos","")</f>
        <v/>
      </c>
      <c r="E1316" s="59">
        <f>Q1316</f>
        <v>43836</v>
      </c>
      <c r="F1316" s="60" t="str">
        <f>IFERROR(__xludf.DUMMYFUNCTION("iferror(ifna(IFNA(filter('2.1.clean'!E:E,'2.1.clean'!A:A=C1316),filter('2.2.clean'!G:G,'2.2.clean'!D:D=C1316)),filter('2.4.clean'!E:E,'2.4.clean'!A:A=C1316)),)"),"")</f>
        <v/>
      </c>
      <c r="G1316" s="59" t="str">
        <f>IFERROR(__xludf.DUMMYFUNCTION("iferror(filter('3.1.clean'!C:C,'3.1.clean'!A:A=C1316),"""")"),"")</f>
        <v/>
      </c>
      <c r="H1316" s="58"/>
      <c r="I1316" s="58" t="str">
        <f>IFERROR(__xludf.DUMMYFUNCTION("iferror(filter('3.1.clean'!G:G,'3.1.clean'!A:A=C1316),"""")"),"")</f>
        <v/>
      </c>
      <c r="J1316" s="60" t="str">
        <f>IFERROR(__xludf.DUMMYFUNCTION("iferror(filter('3.1.clean'!I:I,'3.1.clean'!A:A=C1316),"""")"),"")</f>
        <v/>
      </c>
      <c r="K1316" s="59"/>
      <c r="L1316" s="60"/>
      <c r="M1316" s="59" t="str">
        <f>IFERROR(__xludf.DUMMYFUNCTION("iferror(filter('3.3.clean'!C:C,'3.3.clean'!A:A=C1316),"""")"),"")</f>
        <v/>
      </c>
      <c r="N1316" s="60" t="b">
        <f t="shared" si="964"/>
        <v>0</v>
      </c>
      <c r="O1316" s="59">
        <f>IFERROR(__xludf.DUMMYFUNCTION("iferror(filter('3.4.clean'!C:C,'3.4.clean'!A:A=C1316),"""")"),43844.0)</f>
        <v>43844</v>
      </c>
      <c r="P1316" s="60" t="b">
        <f t="shared" si="965"/>
        <v>1</v>
      </c>
      <c r="Q1316" s="59">
        <f>IFERROR(__xludf.DUMMYFUNCTION("iferror(filter('3.5.clean'!C:C,'3.5.clean'!A:A=C1316),"""")"),43836.0)</f>
        <v>43836</v>
      </c>
      <c r="R1316" s="58" t="b">
        <f t="shared" si="1073"/>
        <v>1</v>
      </c>
      <c r="S1316" s="4">
        <f>IFERROR(__xludf.DUMMYFUNCTION("iferror(filter('3.5.clean'!H:H,'3.5.clean'!A:A=C1316),"""")"),0.0)</f>
        <v>0</v>
      </c>
      <c r="V1316" s="52" t="s">
        <v>64</v>
      </c>
      <c r="W1316" s="23" t="b">
        <f>if(AND(R1316=TRUE,N1316=TRUE,P1316=TRUE),TRUE,FALSE)</f>
        <v>0</v>
      </c>
      <c r="X1316" s="23" t="str">
        <f>IFERROR(__xludf.DUMMYFUNCTION("if(COUNTA(FILTER(C:C, C:C = C1316))=1,""no"",""yes"")"),"no")</f>
        <v>no</v>
      </c>
    </row>
    <row r="1317">
      <c r="A1317" s="1" t="s">
        <v>984</v>
      </c>
      <c r="B1317" s="2">
        <v>7.0</v>
      </c>
      <c r="C1317" s="19" t="s">
        <v>2023</v>
      </c>
      <c r="E1317" s="24">
        <f>IFERROR(__xludf.DUMMYFUNCTION("ifna(IFNA(filter('2.1.clean'!C:C,'2.1.clean'!A:A=C1317),filter('2.2.clean'!E:E,'2.2.clean'!D:D=C1317)),filter('2.4.clean'!C:C,'2.4.clean'!A:A=C1317))"),43836.0)</f>
        <v>43836</v>
      </c>
      <c r="F1317" s="25">
        <f>IFERROR(__xludf.DUMMYFUNCTION("iferror(ifna(IFNA(filter('2.1.clean'!E:E,'2.1.clean'!A:A=C1317),filter('2.2.clean'!G:G,'2.2.clean'!D:D=C1317)),filter('2.4.clean'!E:E,'2.4.clean'!A:A=C1317)),)"),2.39999999999999)</f>
        <v>2.4</v>
      </c>
      <c r="G1317" s="24" t="str">
        <f>IFERROR(__xludf.DUMMYFUNCTION("iferror(filter('3.1.clean'!C:C,'3.1.clean'!A:A=C1317),"""")"),"")</f>
        <v/>
      </c>
      <c r="H1317" s="23" t="b">
        <f t="shared" ref="H1317:H1319" si="1074">if(G1317="",FALSE,TRUE)</f>
        <v>0</v>
      </c>
      <c r="J1317" s="25"/>
      <c r="K1317" s="24">
        <f>IFERROR(__xludf.DUMMYFUNCTION("iferror(filter('3.2.clean'!C:C,'3.2.clean'!A:A=C1317),"""")"),43839.0)</f>
        <v>43839</v>
      </c>
      <c r="L1317" s="25" t="b">
        <f>if(K1317="",FALSE,TRUE)</f>
        <v>1</v>
      </c>
      <c r="M1317" s="24">
        <f>IFERROR(__xludf.DUMMYFUNCTION("iferror(filter('3.3.clean'!C:C,'3.3.clean'!A:A=C1317),"""")"),43837.0)</f>
        <v>43837</v>
      </c>
      <c r="N1317" s="25" t="b">
        <f t="shared" si="964"/>
        <v>1</v>
      </c>
      <c r="O1317" s="24">
        <f>IFERROR(__xludf.DUMMYFUNCTION("iferror(filter('3.4.clean'!C:C,'3.4.clean'!A:A=C1317),"""")"),43844.0)</f>
        <v>43844</v>
      </c>
      <c r="P1317" s="25" t="b">
        <f t="shared" si="965"/>
        <v>1</v>
      </c>
      <c r="Q1317" s="24">
        <f>IFERROR(__xludf.DUMMYFUNCTION("iferror(filter('3.5.clean'!C:C,'3.5.clean'!A:A=C1317),"""")"),43836.0)</f>
        <v>43836</v>
      </c>
      <c r="R1317" s="23" t="b">
        <f t="shared" si="1073"/>
        <v>1</v>
      </c>
      <c r="S1317" s="25"/>
      <c r="V1317" s="1" t="s">
        <v>64</v>
      </c>
      <c r="X1317" s="23" t="str">
        <f>IFERROR(__xludf.DUMMYFUNCTION("if(COUNTA(FILTER(C:C, C:C = C1317))=1,""no"",""yes"")"),"no")</f>
        <v>no</v>
      </c>
    </row>
    <row r="1318">
      <c r="A1318" s="1" t="s">
        <v>984</v>
      </c>
      <c r="B1318" s="2">
        <v>8.0</v>
      </c>
      <c r="C1318" s="19" t="s">
        <v>2024</v>
      </c>
      <c r="D1318" s="58" t="str">
        <f>if(or(I1318=1,J1318=1,S1318=1),"pos","")</f>
        <v/>
      </c>
      <c r="E1318" s="59">
        <f>IFERROR(__xludf.DUMMYFUNCTION("ifna(IFNA(filter('2.1.clean'!C:C,'2.1.clean'!A:A=C1318),filter('2.2.clean'!E:E,'2.2.clean'!D:D=C1318)),filter('2.4.clean'!C:C,'2.4.clean'!A:A=C1318))"),43836.0)</f>
        <v>43836</v>
      </c>
      <c r="F1318" s="60">
        <f>IFERROR(__xludf.DUMMYFUNCTION("iferror(ifna(IFNA(filter('2.1.clean'!E:E,'2.1.clean'!A:A=C1318),filter('2.2.clean'!G:G,'2.2.clean'!D:D=C1318)),filter('2.4.clean'!E:E,'2.4.clean'!A:A=C1318)),)"),2.39999999999999)</f>
        <v>2.4</v>
      </c>
      <c r="G1318" s="59" t="str">
        <f>IFERROR(__xludf.DUMMYFUNCTION("iferror(filter('3.1.clean'!C:C,'3.1.clean'!A:A=C1318),"""")"),"")</f>
        <v/>
      </c>
      <c r="H1318" s="58" t="b">
        <f t="shared" si="1074"/>
        <v>0</v>
      </c>
      <c r="I1318" s="58" t="str">
        <f>IFERROR(__xludf.DUMMYFUNCTION("iferror(filter('3.1.clean'!G:G,'3.1.clean'!A:A=C1318),"""")"),"")</f>
        <v/>
      </c>
      <c r="J1318" s="60" t="str">
        <f>IFERROR(__xludf.DUMMYFUNCTION("iferror(filter('3.1.clean'!I:I,'3.1.clean'!A:A=C1318),"""")"),"")</f>
        <v/>
      </c>
      <c r="K1318" s="58"/>
      <c r="L1318" s="60"/>
      <c r="M1318" s="59" t="str">
        <f>IFERROR(__xludf.DUMMYFUNCTION("iferror(filter('3.3.clean'!C:C,'3.3.clean'!A:A=C1318),"""")"),"")</f>
        <v/>
      </c>
      <c r="N1318" s="60" t="b">
        <f t="shared" si="964"/>
        <v>0</v>
      </c>
      <c r="O1318" s="59" t="str">
        <f>IFERROR(__xludf.DUMMYFUNCTION("iferror(filter('3.4.clean'!C:C,'3.4.clean'!A:A=C1318),"""")"),"")</f>
        <v/>
      </c>
      <c r="P1318" s="60" t="b">
        <f t="shared" si="965"/>
        <v>0</v>
      </c>
      <c r="Q1318" s="59" t="str">
        <f>IFERROR(__xludf.DUMMYFUNCTION("iferror(filter('3.5.clean'!C:C,'3.5.clean'!A:A=C1318),"""")"),"")</f>
        <v/>
      </c>
      <c r="R1318" s="58"/>
      <c r="S1318" s="4" t="str">
        <f>IFERROR(__xludf.DUMMYFUNCTION("iferror(filter('3.5.clean'!H:H,'3.5.clean'!A:A=C1318),"""")"),"")</f>
        <v/>
      </c>
      <c r="W1318" s="23" t="b">
        <f>if(AND(H1318=TRUE,N1318=TRUE,P1318=TRUE),TRUE,FALSE)</f>
        <v>0</v>
      </c>
      <c r="X1318" s="23" t="str">
        <f>IFERROR(__xludf.DUMMYFUNCTION("if(COUNTA(FILTER(C:C, C:C = C1318))=1,""no"",""yes"")"),"no")</f>
        <v>no</v>
      </c>
    </row>
    <row r="1319">
      <c r="A1319" s="1" t="s">
        <v>984</v>
      </c>
      <c r="B1319" s="2">
        <v>8.0</v>
      </c>
      <c r="C1319" s="19" t="s">
        <v>2025</v>
      </c>
      <c r="E1319" s="24">
        <v>43836.0</v>
      </c>
      <c r="F1319" s="25" t="str">
        <f>IFERROR(__xludf.DUMMYFUNCTION("iferror(ifna(IFNA(filter('2.1.clean'!E:E,'2.1.clean'!A:A=C1319),filter('2.2.clean'!G:G,'2.2.clean'!D:D=C1319)),filter('2.4.clean'!E:E,'2.4.clean'!A:A=C1319)),)"),"")</f>
        <v/>
      </c>
      <c r="G1319" s="24" t="str">
        <f>IFERROR(__xludf.DUMMYFUNCTION("iferror(filter('3.1.clean'!C:C,'3.1.clean'!A:A=C1319),"""")"),"")</f>
        <v/>
      </c>
      <c r="H1319" s="23" t="b">
        <f t="shared" si="1074"/>
        <v>0</v>
      </c>
      <c r="J1319" s="25"/>
      <c r="K1319" s="24">
        <f>IFERROR(__xludf.DUMMYFUNCTION("iferror(filter('3.2.clean'!C:C,'3.2.clean'!A:A=C1319),"""")"),43839.0)</f>
        <v>43839</v>
      </c>
      <c r="L1319" s="25" t="b">
        <f>if(K1319="",FALSE,TRUE)</f>
        <v>1</v>
      </c>
      <c r="M1319" s="24" t="str">
        <f>IFERROR(__xludf.DUMMYFUNCTION("iferror(filter('3.3.clean'!C:C,'3.3.clean'!A:A=C1319),"""")"),"")</f>
        <v/>
      </c>
      <c r="N1319" s="25" t="b">
        <f t="shared" si="964"/>
        <v>0</v>
      </c>
      <c r="O1319" s="24" t="str">
        <f>IFERROR(__xludf.DUMMYFUNCTION("iferror(filter('3.4.clean'!C:C,'3.4.clean'!A:A=C1319),"""")"),"")</f>
        <v/>
      </c>
      <c r="P1319" s="25" t="b">
        <f t="shared" si="965"/>
        <v>0</v>
      </c>
      <c r="Q1319" s="24" t="str">
        <f>IFERROR(__xludf.DUMMYFUNCTION("iferror(filter('3.5.clean'!C:C,'3.5.clean'!A:A=C1319),"""")"),"")</f>
        <v/>
      </c>
      <c r="R1319" s="23" t="b">
        <f t="shared" ref="R1319:R1321" si="1075">if(Q1319="",FALSE,TRUE)</f>
        <v>0</v>
      </c>
      <c r="S1319" s="25"/>
      <c r="U1319" s="23" t="s">
        <v>177</v>
      </c>
      <c r="V1319" s="1" t="s">
        <v>64</v>
      </c>
      <c r="X1319" s="23" t="str">
        <f>IFERROR(__xludf.DUMMYFUNCTION("if(COUNTA(FILTER(C:C, C:C = C1319))=1,""no"",""yes"")"),"no")</f>
        <v>no</v>
      </c>
    </row>
    <row r="1320">
      <c r="A1320" s="1" t="s">
        <v>984</v>
      </c>
      <c r="B1320" s="2">
        <v>9.0</v>
      </c>
      <c r="C1320" s="19" t="s">
        <v>2026</v>
      </c>
      <c r="D1320" s="58" t="str">
        <f>if(or(I1320=1,J1320=1,S1320=1),"pos","")</f>
        <v/>
      </c>
      <c r="E1320" s="59">
        <f>Q1320</f>
        <v>43836</v>
      </c>
      <c r="F1320" s="60" t="str">
        <f>IFERROR(__xludf.DUMMYFUNCTION("iferror(ifna(IFNA(filter('2.1.clean'!E:E,'2.1.clean'!A:A=C1320),filter('2.2.clean'!G:G,'2.2.clean'!D:D=C1320)),filter('2.4.clean'!E:E,'2.4.clean'!A:A=C1320)),)"),"")</f>
        <v/>
      </c>
      <c r="G1320" s="59" t="str">
        <f>IFERROR(__xludf.DUMMYFUNCTION("iferror(filter('3.1.clean'!C:C,'3.1.clean'!A:A=C1320),"""")"),"")</f>
        <v/>
      </c>
      <c r="H1320" s="58"/>
      <c r="I1320" s="58" t="str">
        <f>IFERROR(__xludf.DUMMYFUNCTION("iferror(filter('3.1.clean'!G:G,'3.1.clean'!A:A=C1320),"""")"),"")</f>
        <v/>
      </c>
      <c r="J1320" s="60" t="str">
        <f>IFERROR(__xludf.DUMMYFUNCTION("iferror(filter('3.1.clean'!I:I,'3.1.clean'!A:A=C1320),"""")"),"")</f>
        <v/>
      </c>
      <c r="K1320" s="59"/>
      <c r="L1320" s="60"/>
      <c r="M1320" s="59" t="str">
        <f>IFERROR(__xludf.DUMMYFUNCTION("iferror(filter('3.3.clean'!C:C,'3.3.clean'!A:A=C1320),"""")"),"")</f>
        <v/>
      </c>
      <c r="N1320" s="60" t="b">
        <f t="shared" si="964"/>
        <v>0</v>
      </c>
      <c r="O1320" s="59" t="str">
        <f>IFERROR(__xludf.DUMMYFUNCTION("iferror(filter('3.4.clean'!C:C,'3.4.clean'!A:A=C1320),"""")"),"")</f>
        <v/>
      </c>
      <c r="P1320" s="60" t="b">
        <f t="shared" si="965"/>
        <v>0</v>
      </c>
      <c r="Q1320" s="59">
        <f>IFERROR(__xludf.DUMMYFUNCTION("iferror(filter('3.5.clean'!C:C,'3.5.clean'!A:A=C1320),"""")"),43836.0)</f>
        <v>43836</v>
      </c>
      <c r="R1320" s="58" t="b">
        <f t="shared" si="1075"/>
        <v>1</v>
      </c>
      <c r="S1320" s="4">
        <f>IFERROR(__xludf.DUMMYFUNCTION("iferror(filter('3.5.clean'!H:H,'3.5.clean'!A:A=C1320),"""")"),0.0)</f>
        <v>0</v>
      </c>
      <c r="V1320" s="52" t="s">
        <v>64</v>
      </c>
      <c r="W1320" s="23" t="b">
        <f>if(AND(R1320=TRUE,N1320=TRUE,P1320=TRUE),TRUE,FALSE)</f>
        <v>0</v>
      </c>
      <c r="X1320" s="23" t="str">
        <f>IFERROR(__xludf.DUMMYFUNCTION("if(COUNTA(FILTER(C:C, C:C = C1320))=1,""no"",""yes"")"),"no")</f>
        <v>no</v>
      </c>
    </row>
    <row r="1321">
      <c r="A1321" s="1" t="s">
        <v>984</v>
      </c>
      <c r="B1321" s="2">
        <v>10.0</v>
      </c>
      <c r="C1321" s="19" t="s">
        <v>2027</v>
      </c>
      <c r="E1321" s="24">
        <f>IFERROR(__xludf.DUMMYFUNCTION("ifna(IFNA(filter('2.1.clean'!C:C,'2.1.clean'!A:A=C1321),filter('2.2.clean'!E:E,'2.2.clean'!D:D=C1321)),filter('2.4.clean'!C:C,'2.4.clean'!A:A=C1321))"),43836.0)</f>
        <v>43836</v>
      </c>
      <c r="F1321" s="25">
        <f>IFERROR(__xludf.DUMMYFUNCTION("iferror(ifna(IFNA(filter('2.1.clean'!E:E,'2.1.clean'!A:A=C1321),filter('2.2.clean'!G:G,'2.2.clean'!D:D=C1321)),filter('2.4.clean'!E:E,'2.4.clean'!A:A=C1321)),)"),2.39999999999999)</f>
        <v>2.4</v>
      </c>
      <c r="G1321" s="24" t="str">
        <f>IFERROR(__xludf.DUMMYFUNCTION("iferror(filter('3.1.clean'!C:C,'3.1.clean'!A:A=C1321),"""")"),"")</f>
        <v/>
      </c>
      <c r="H1321" s="23" t="b">
        <f t="shared" ref="H1321:H1323" si="1076">if(G1321="",FALSE,TRUE)</f>
        <v>0</v>
      </c>
      <c r="J1321" s="25"/>
      <c r="K1321" s="24">
        <f>IFERROR(__xludf.DUMMYFUNCTION("iferror(filter('3.2.clean'!C:C,'3.2.clean'!A:A=C1321),"""")"),43839.0)</f>
        <v>43839</v>
      </c>
      <c r="L1321" s="25" t="b">
        <f>if(K1321="",FALSE,TRUE)</f>
        <v>1</v>
      </c>
      <c r="M1321" s="24">
        <f>IFERROR(__xludf.DUMMYFUNCTION("iferror(filter('3.3.clean'!C:C,'3.3.clean'!A:A=C1321),"""")"),43837.0)</f>
        <v>43837</v>
      </c>
      <c r="N1321" s="25" t="b">
        <f t="shared" si="964"/>
        <v>1</v>
      </c>
      <c r="O1321" s="24">
        <f>IFERROR(__xludf.DUMMYFUNCTION("iferror(filter('3.4.clean'!C:C,'3.4.clean'!A:A=C1321),"""")"),43844.0)</f>
        <v>43844</v>
      </c>
      <c r="P1321" s="25" t="b">
        <f t="shared" si="965"/>
        <v>1</v>
      </c>
      <c r="Q1321" s="24">
        <f>IFERROR(__xludf.DUMMYFUNCTION("iferror(filter('3.5.clean'!C:C,'3.5.clean'!A:A=C1321),"""")"),43836.0)</f>
        <v>43836</v>
      </c>
      <c r="R1321" s="23" t="b">
        <f t="shared" si="1075"/>
        <v>1</v>
      </c>
      <c r="S1321" s="25"/>
      <c r="V1321" s="1" t="s">
        <v>64</v>
      </c>
      <c r="X1321" s="23" t="str">
        <f>IFERROR(__xludf.DUMMYFUNCTION("if(COUNTA(FILTER(C:C, C:C = C1321))=1,""no"",""yes"")"),"no")</f>
        <v>no</v>
      </c>
    </row>
    <row r="1322">
      <c r="A1322" s="1" t="s">
        <v>984</v>
      </c>
      <c r="B1322" s="2">
        <v>11.0</v>
      </c>
      <c r="C1322" s="19" t="s">
        <v>2028</v>
      </c>
      <c r="D1322" s="58" t="str">
        <f>if(or(I1322=1,J1322=1,S1322=1),"pos","")</f>
        <v/>
      </c>
      <c r="E1322" s="59">
        <f>IFERROR(__xludf.DUMMYFUNCTION("ifna(IFNA(filter('2.1.clean'!C:C,'2.1.clean'!A:A=C1322),filter('2.2.clean'!E:E,'2.2.clean'!D:D=C1322)),filter('2.4.clean'!C:C,'2.4.clean'!A:A=C1322))"),43836.0)</f>
        <v>43836</v>
      </c>
      <c r="F1322" s="60">
        <f>IFERROR(__xludf.DUMMYFUNCTION("iferror(ifna(IFNA(filter('2.1.clean'!E:E,'2.1.clean'!A:A=C1322),filter('2.2.clean'!G:G,'2.2.clean'!D:D=C1322)),filter('2.4.clean'!E:E,'2.4.clean'!A:A=C1322)),)"),2.39999999999999)</f>
        <v>2.4</v>
      </c>
      <c r="G1322" s="59" t="str">
        <f>IFERROR(__xludf.DUMMYFUNCTION("iferror(filter('3.1.clean'!C:C,'3.1.clean'!A:A=C1322),"""")"),"")</f>
        <v/>
      </c>
      <c r="H1322" s="58" t="b">
        <f t="shared" si="1076"/>
        <v>0</v>
      </c>
      <c r="I1322" s="58" t="str">
        <f>IFERROR(__xludf.DUMMYFUNCTION("iferror(filter('3.1.clean'!G:G,'3.1.clean'!A:A=C1322),"""")"),"")</f>
        <v/>
      </c>
      <c r="J1322" s="60" t="str">
        <f>IFERROR(__xludf.DUMMYFUNCTION("iferror(filter('3.1.clean'!I:I,'3.1.clean'!A:A=C1322),"""")"),"")</f>
        <v/>
      </c>
      <c r="K1322" s="58"/>
      <c r="L1322" s="60"/>
      <c r="M1322" s="59" t="str">
        <f>IFERROR(__xludf.DUMMYFUNCTION("iferror(filter('3.3.clean'!C:C,'3.3.clean'!A:A=C1322),"""")"),"")</f>
        <v/>
      </c>
      <c r="N1322" s="60" t="b">
        <f t="shared" si="964"/>
        <v>0</v>
      </c>
      <c r="O1322" s="59" t="str">
        <f>IFERROR(__xludf.DUMMYFUNCTION("iferror(filter('3.4.clean'!C:C,'3.4.clean'!A:A=C1322),"""")"),"")</f>
        <v/>
      </c>
      <c r="P1322" s="60" t="b">
        <f t="shared" si="965"/>
        <v>0</v>
      </c>
      <c r="Q1322" s="59" t="str">
        <f>IFERROR(__xludf.DUMMYFUNCTION("iferror(filter('3.5.clean'!C:C,'3.5.clean'!A:A=C1322),"""")"),"")</f>
        <v/>
      </c>
      <c r="R1322" s="58"/>
      <c r="S1322" s="4" t="str">
        <f>IFERROR(__xludf.DUMMYFUNCTION("iferror(filter('3.5.clean'!H:H,'3.5.clean'!A:A=C1322),"""")"),"")</f>
        <v/>
      </c>
      <c r="W1322" s="23" t="b">
        <f>if(AND(H1322=TRUE,N1322=TRUE,P1322=TRUE),TRUE,FALSE)</f>
        <v>0</v>
      </c>
      <c r="X1322" s="23" t="str">
        <f>IFERROR(__xludf.DUMMYFUNCTION("if(COUNTA(FILTER(C:C, C:C = C1322))=1,""no"",""yes"")"),"no")</f>
        <v>no</v>
      </c>
    </row>
    <row r="1323">
      <c r="A1323" s="1" t="s">
        <v>984</v>
      </c>
      <c r="B1323" s="2">
        <v>11.0</v>
      </c>
      <c r="C1323" s="19" t="s">
        <v>2029</v>
      </c>
      <c r="E1323" s="24">
        <v>43836.0</v>
      </c>
      <c r="F1323" s="25" t="str">
        <f>IFERROR(__xludf.DUMMYFUNCTION("iferror(ifna(IFNA(filter('2.1.clean'!E:E,'2.1.clean'!A:A=C1323),filter('2.2.clean'!G:G,'2.2.clean'!D:D=C1323)),filter('2.4.clean'!E:E,'2.4.clean'!A:A=C1323)),)"),"")</f>
        <v/>
      </c>
      <c r="G1323" s="24" t="str">
        <f>IFERROR(__xludf.DUMMYFUNCTION("iferror(filter('3.1.clean'!C:C,'3.1.clean'!A:A=C1323),"""")"),"")</f>
        <v/>
      </c>
      <c r="H1323" s="23" t="b">
        <f t="shared" si="1076"/>
        <v>0</v>
      </c>
      <c r="J1323" s="25"/>
      <c r="K1323" s="24">
        <f>IFERROR(__xludf.DUMMYFUNCTION("iferror(filter('3.2.clean'!C:C,'3.2.clean'!A:A=C1323),"""")"),43839.0)</f>
        <v>43839</v>
      </c>
      <c r="L1323" s="25" t="b">
        <f>if(K1323="",FALSE,TRUE)</f>
        <v>1</v>
      </c>
      <c r="M1323" s="24" t="str">
        <f>IFERROR(__xludf.DUMMYFUNCTION("iferror(filter('3.3.clean'!C:C,'3.3.clean'!A:A=C1323),"""")"),"")</f>
        <v/>
      </c>
      <c r="N1323" s="25" t="b">
        <f t="shared" si="964"/>
        <v>0</v>
      </c>
      <c r="O1323" s="24" t="str">
        <f>IFERROR(__xludf.DUMMYFUNCTION("iferror(filter('3.4.clean'!C:C,'3.4.clean'!A:A=C1323),"""")"),"")</f>
        <v/>
      </c>
      <c r="P1323" s="25" t="b">
        <f t="shared" si="965"/>
        <v>0</v>
      </c>
      <c r="Q1323" s="24" t="str">
        <f>IFERROR(__xludf.DUMMYFUNCTION("iferror(filter('3.5.clean'!C:C,'3.5.clean'!A:A=C1323),"""")"),"")</f>
        <v/>
      </c>
      <c r="R1323" s="23" t="b">
        <f t="shared" ref="R1323:R1326" si="1077">if(Q1323="",FALSE,TRUE)</f>
        <v>0</v>
      </c>
      <c r="S1323" s="25"/>
      <c r="U1323" s="23" t="s">
        <v>177</v>
      </c>
      <c r="V1323" s="1" t="s">
        <v>64</v>
      </c>
      <c r="X1323" s="23" t="str">
        <f>IFERROR(__xludf.DUMMYFUNCTION("if(COUNTA(FILTER(C:C, C:C = C1323))=1,""no"",""yes"")"),"no")</f>
        <v>no</v>
      </c>
    </row>
    <row r="1324">
      <c r="A1324" s="1" t="s">
        <v>984</v>
      </c>
      <c r="B1324" s="2">
        <v>12.0</v>
      </c>
      <c r="C1324" s="19" t="s">
        <v>2030</v>
      </c>
      <c r="D1324" s="58" t="str">
        <f t="shared" ref="D1324:D1325" si="1078">if(or(I1324=1,J1324=1,S1324=1),"pos","")</f>
        <v/>
      </c>
      <c r="E1324" s="59">
        <f t="shared" ref="E1324:E1325" si="1079">Q1324</f>
        <v>43836</v>
      </c>
      <c r="F1324" s="60" t="str">
        <f>IFERROR(__xludf.DUMMYFUNCTION("iferror(ifna(IFNA(filter('2.1.clean'!E:E,'2.1.clean'!A:A=C1324),filter('2.2.clean'!G:G,'2.2.clean'!D:D=C1324)),filter('2.4.clean'!E:E,'2.4.clean'!A:A=C1324)),)"),"")</f>
        <v/>
      </c>
      <c r="G1324" s="59" t="str">
        <f>IFERROR(__xludf.DUMMYFUNCTION("iferror(filter('3.1.clean'!C:C,'3.1.clean'!A:A=C1324),"""")"),"")</f>
        <v/>
      </c>
      <c r="H1324" s="58"/>
      <c r="I1324" s="58" t="str">
        <f>IFERROR(__xludf.DUMMYFUNCTION("iferror(filter('3.1.clean'!G:G,'3.1.clean'!A:A=C1324),"""")"),"")</f>
        <v/>
      </c>
      <c r="J1324" s="60" t="str">
        <f>IFERROR(__xludf.DUMMYFUNCTION("iferror(filter('3.1.clean'!I:I,'3.1.clean'!A:A=C1324),"""")"),"")</f>
        <v/>
      </c>
      <c r="K1324" s="59"/>
      <c r="L1324" s="60"/>
      <c r="M1324" s="59" t="str">
        <f>IFERROR(__xludf.DUMMYFUNCTION("iferror(filter('3.3.clean'!C:C,'3.3.clean'!A:A=C1324),"""")"),"")</f>
        <v/>
      </c>
      <c r="N1324" s="60" t="b">
        <f t="shared" si="964"/>
        <v>0</v>
      </c>
      <c r="O1324" s="59" t="str">
        <f>IFERROR(__xludf.DUMMYFUNCTION("iferror(filter('3.4.clean'!C:C,'3.4.clean'!A:A=C1324),"""")"),"")</f>
        <v/>
      </c>
      <c r="P1324" s="60" t="b">
        <f t="shared" si="965"/>
        <v>0</v>
      </c>
      <c r="Q1324" s="59">
        <f>IFERROR(__xludf.DUMMYFUNCTION("iferror(filter('3.5.clean'!C:C,'3.5.clean'!A:A=C1324),"""")"),43836.0)</f>
        <v>43836</v>
      </c>
      <c r="R1324" s="58" t="b">
        <f t="shared" si="1077"/>
        <v>1</v>
      </c>
      <c r="S1324" s="4">
        <f>IFERROR(__xludf.DUMMYFUNCTION("iferror(filter('3.5.clean'!H:H,'3.5.clean'!A:A=C1324),"""")"),0.0)</f>
        <v>0</v>
      </c>
      <c r="V1324" s="52" t="s">
        <v>64</v>
      </c>
      <c r="W1324" s="23" t="b">
        <f>if(AND(R1324=TRUE,N1324=TRUE,P1324=TRUE),TRUE,FALSE)</f>
        <v>0</v>
      </c>
      <c r="X1324" s="23" t="str">
        <f>IFERROR(__xludf.DUMMYFUNCTION("if(COUNTA(FILTER(C:C, C:C = C1324))=1,""no"",""yes"")"),"no")</f>
        <v>no</v>
      </c>
    </row>
    <row r="1325">
      <c r="A1325" s="1" t="s">
        <v>984</v>
      </c>
      <c r="B1325" s="2">
        <v>13.0</v>
      </c>
      <c r="C1325" s="19" t="s">
        <v>2031</v>
      </c>
      <c r="D1325" s="22" t="str">
        <f t="shared" si="1078"/>
        <v/>
      </c>
      <c r="E1325" s="20">
        <f t="shared" si="1079"/>
        <v>43836</v>
      </c>
      <c r="F1325" s="79" t="str">
        <f>IFERROR(__xludf.DUMMYFUNCTION("iferror(ifna(IFNA(filter('2.1.clean'!E:E,'2.1.clean'!A:A=C1325),filter('2.2.clean'!G:G,'2.2.clean'!D:D=C1325)),filter('2.4.clean'!E:E,'2.4.clean'!A:A=C1325)),)"),"")</f>
        <v/>
      </c>
      <c r="G1325" s="20" t="str">
        <f>IFERROR(__xludf.DUMMYFUNCTION("iferror(filter('3.1.clean'!C:C,'3.1.clean'!A:A=C1325),"""")"),"")</f>
        <v/>
      </c>
      <c r="H1325" s="22"/>
      <c r="I1325" s="22"/>
      <c r="J1325" s="79"/>
      <c r="K1325" s="20" t="str">
        <f>IFERROR(__xludf.DUMMYFUNCTION("iferror(filter('3.2.clean'!C:C,'3.2.clean'!A:A=C1325),"""")"),"")</f>
        <v/>
      </c>
      <c r="L1325" s="79"/>
      <c r="M1325" s="20" t="str">
        <f>IFERROR(__xludf.DUMMYFUNCTION("iferror(filter('3.3.clean'!C:C,'3.3.clean'!A:A=C1325),"""")"),"")</f>
        <v/>
      </c>
      <c r="N1325" s="79" t="b">
        <f t="shared" si="964"/>
        <v>0</v>
      </c>
      <c r="O1325" s="20" t="str">
        <f>IFERROR(__xludf.DUMMYFUNCTION("iferror(filter('3.4.clean'!C:C,'3.4.clean'!A:A=C1325),"""")"),"")</f>
        <v/>
      </c>
      <c r="P1325" s="79" t="b">
        <f t="shared" si="965"/>
        <v>0</v>
      </c>
      <c r="Q1325" s="20">
        <f>IFERROR(__xludf.DUMMYFUNCTION("iferror(filter('3.5.clean'!C:C,'3.5.clean'!A:A=C1325),"""")"),43836.0)</f>
        <v>43836</v>
      </c>
      <c r="R1325" s="22" t="b">
        <f t="shared" si="1077"/>
        <v>1</v>
      </c>
      <c r="S1325" s="4">
        <f>IFERROR(__xludf.DUMMYFUNCTION("iferror(filter('3.5.clean'!H:H,'3.5.clean'!A:A=C1325),"""")"),0.0)</f>
        <v>0</v>
      </c>
      <c r="V1325" s="1" t="s">
        <v>64</v>
      </c>
      <c r="W1325" s="23" t="b">
        <f t="shared" ref="W1325:W1326" si="1080">IF(and(R1325=TRUE,N1325=TRUE,P1325=TRUE),TRUE,FALSE)</f>
        <v>0</v>
      </c>
      <c r="X1325" s="23" t="str">
        <f>IFERROR(__xludf.DUMMYFUNCTION("if(COUNTA(FILTER(C:C, C:C = C1325))=1,""no"",""yes"")"),"no")</f>
        <v>no</v>
      </c>
    </row>
    <row r="1326">
      <c r="A1326" s="75" t="s">
        <v>988</v>
      </c>
      <c r="B1326" s="2">
        <v>1.0</v>
      </c>
      <c r="C1326" s="19" t="s">
        <v>2032</v>
      </c>
      <c r="E1326" s="24">
        <f>IFERROR(__xludf.DUMMYFUNCTION("ifna(IFNA(filter('2.1.clean'!C:C,'2.1.clean'!A:A=C1326),filter('2.2.clean'!E:E,'2.2.clean'!D:D=C1326)),filter('2.4.clean'!C:C,'2.4.clean'!A:A=C1326))"),43837.0)</f>
        <v>43837</v>
      </c>
      <c r="F1326" s="25">
        <f>IFERROR(__xludf.DUMMYFUNCTION("iferror(ifna(IFNA(filter('2.1.clean'!E:E,'2.1.clean'!A:A=C1326),filter('2.2.clean'!G:G,'2.2.clean'!D:D=C1326)),filter('2.4.clean'!E:E,'2.4.clean'!A:A=C1326)),)"),2.39999999999999)</f>
        <v>2.4</v>
      </c>
      <c r="G1326" s="24"/>
      <c r="J1326" s="25"/>
      <c r="K1326" s="24"/>
      <c r="L1326" s="25"/>
      <c r="M1326" s="24">
        <f>IFERROR(__xludf.DUMMYFUNCTION("iferror(filter('3.3.clean'!C:C,'3.3.clean'!A:A=C1326),"""")"),43839.0)</f>
        <v>43839</v>
      </c>
      <c r="N1326" s="25" t="b">
        <f t="shared" si="964"/>
        <v>1</v>
      </c>
      <c r="O1326" s="24">
        <f>IFERROR(__xludf.DUMMYFUNCTION("iferror(filter('3.4.clean'!C:C,'3.4.clean'!A:A=C1326),"""")"),43844.0)</f>
        <v>43844</v>
      </c>
      <c r="P1326" s="25" t="b">
        <f t="shared" si="965"/>
        <v>1</v>
      </c>
      <c r="Q1326" s="24">
        <f>IFERROR(__xludf.DUMMYFUNCTION("iferror(filter('3.5.clean'!C:C,'3.5.clean'!A:A=C1326),"""")"),43837.0)</f>
        <v>43837</v>
      </c>
      <c r="R1326" s="23" t="b">
        <f t="shared" si="1077"/>
        <v>1</v>
      </c>
      <c r="S1326" s="25"/>
      <c r="V1326" s="52" t="s">
        <v>64</v>
      </c>
      <c r="W1326" s="23" t="b">
        <f t="shared" si="1080"/>
        <v>1</v>
      </c>
      <c r="X1326" s="23" t="str">
        <f>IFERROR(__xludf.DUMMYFUNCTION("if(COUNTA(FILTER(C:C, C:C = C1326))=1,""no"",""yes"")"),"no")</f>
        <v>no</v>
      </c>
    </row>
    <row r="1327">
      <c r="A1327" s="75" t="s">
        <v>988</v>
      </c>
      <c r="B1327" s="2">
        <v>2.0</v>
      </c>
      <c r="C1327" s="19" t="s">
        <v>2033</v>
      </c>
      <c r="D1327" s="58" t="str">
        <f t="shared" ref="D1327:D1328" si="1081">if(or(I1327=1,J1327=1,S1327=1),"pos","")</f>
        <v/>
      </c>
      <c r="E1327" s="59">
        <f>IFERROR(__xludf.DUMMYFUNCTION("ifna(IFNA(filter('2.1.clean'!C:C,'2.1.clean'!A:A=C1327),filter('2.2.clean'!E:E,'2.2.clean'!D:D=C1327)),filter('2.4.clean'!C:C,'2.4.clean'!A:A=C1327))"),43837.0)</f>
        <v>43837</v>
      </c>
      <c r="F1327" s="60">
        <f>IFERROR(__xludf.DUMMYFUNCTION("iferror(ifna(IFNA(filter('2.1.clean'!E:E,'2.1.clean'!A:A=C1327),filter('2.2.clean'!G:G,'2.2.clean'!D:D=C1327)),filter('2.4.clean'!E:E,'2.4.clean'!A:A=C1327)),)"),2.39999999999999)</f>
        <v>2.4</v>
      </c>
      <c r="G1327" s="59" t="str">
        <f>IFERROR(__xludf.DUMMYFUNCTION("iferror(filter('3.1.clean'!C:C,'3.1.clean'!A:A=C1327),"""")"),"")</f>
        <v/>
      </c>
      <c r="H1327" s="58" t="b">
        <f>if(G1327="",FALSE,TRUE)</f>
        <v>0</v>
      </c>
      <c r="I1327" s="58" t="str">
        <f>IFERROR(__xludf.DUMMYFUNCTION("iferror(filter('3.1.clean'!G:G,'3.1.clean'!A:A=C1327),"""")"),"")</f>
        <v/>
      </c>
      <c r="J1327" s="60" t="str">
        <f>IFERROR(__xludf.DUMMYFUNCTION("iferror(filter('3.1.clean'!I:I,'3.1.clean'!A:A=C1327),"""")"),"")</f>
        <v/>
      </c>
      <c r="K1327" s="58"/>
      <c r="L1327" s="60"/>
      <c r="M1327" s="59">
        <f>IFERROR(__xludf.DUMMYFUNCTION("iferror(filter('3.3.clean'!C:C,'3.3.clean'!A:A=C1327),"""")"),43839.0)</f>
        <v>43839</v>
      </c>
      <c r="N1327" s="60" t="b">
        <f t="shared" si="964"/>
        <v>1</v>
      </c>
      <c r="O1327" s="59" t="str">
        <f>IFERROR(__xludf.DUMMYFUNCTION("iferror(filter('3.4.clean'!C:C,'3.4.clean'!A:A=C1327),"""")"),"")</f>
        <v/>
      </c>
      <c r="P1327" s="60" t="b">
        <f t="shared" si="965"/>
        <v>0</v>
      </c>
      <c r="Q1327" s="59" t="str">
        <f>IFERROR(__xludf.DUMMYFUNCTION("iferror(filter('3.5.clean'!C:C,'3.5.clean'!A:A=C1327),"""")"),"")</f>
        <v/>
      </c>
      <c r="R1327" s="58"/>
      <c r="S1327" s="4" t="str">
        <f>IFERROR(__xludf.DUMMYFUNCTION("iferror(filter('3.5.clean'!H:H,'3.5.clean'!A:A=C1327),"""")"),"")</f>
        <v/>
      </c>
      <c r="W1327" s="23" t="b">
        <f>if(AND(H1327=TRUE,N1327=TRUE,P1327=TRUE),TRUE,FALSE)</f>
        <v>0</v>
      </c>
      <c r="X1327" s="23" t="str">
        <f>IFERROR(__xludf.DUMMYFUNCTION("if(COUNTA(FILTER(C:C, C:C = C1327))=1,""no"",""yes"")"),"no")</f>
        <v>no</v>
      </c>
    </row>
    <row r="1328">
      <c r="A1328" s="75" t="s">
        <v>988</v>
      </c>
      <c r="B1328" s="2">
        <v>3.0</v>
      </c>
      <c r="C1328" s="19" t="s">
        <v>2034</v>
      </c>
      <c r="D1328" s="58" t="str">
        <f t="shared" si="1081"/>
        <v/>
      </c>
      <c r="E1328" s="59">
        <f>Q1328</f>
        <v>43837</v>
      </c>
      <c r="F1328" s="60" t="str">
        <f>IFERROR(__xludf.DUMMYFUNCTION("iferror(ifna(IFNA(filter('2.1.clean'!E:E,'2.1.clean'!A:A=C1328),filter('2.2.clean'!G:G,'2.2.clean'!D:D=C1328)),filter('2.4.clean'!E:E,'2.4.clean'!A:A=C1328)),)"),"")</f>
        <v/>
      </c>
      <c r="G1328" s="59" t="str">
        <f>IFERROR(__xludf.DUMMYFUNCTION("iferror(filter('3.1.clean'!C:C,'3.1.clean'!A:A=C1328),"""")"),"")</f>
        <v/>
      </c>
      <c r="H1328" s="58"/>
      <c r="I1328" s="58" t="str">
        <f>IFERROR(__xludf.DUMMYFUNCTION("iferror(filter('3.1.clean'!G:G,'3.1.clean'!A:A=C1328),"""")"),"")</f>
        <v/>
      </c>
      <c r="J1328" s="60" t="str">
        <f>IFERROR(__xludf.DUMMYFUNCTION("iferror(filter('3.1.clean'!I:I,'3.1.clean'!A:A=C1328),"""")"),"")</f>
        <v/>
      </c>
      <c r="K1328" s="59"/>
      <c r="L1328" s="60"/>
      <c r="M1328" s="59" t="str">
        <f>IFERROR(__xludf.DUMMYFUNCTION("iferror(filter('3.3.clean'!C:C,'3.3.clean'!A:A=C1328),"""")"),"")</f>
        <v/>
      </c>
      <c r="N1328" s="60" t="b">
        <f t="shared" si="964"/>
        <v>0</v>
      </c>
      <c r="O1328" s="59">
        <f>IFERROR(__xludf.DUMMYFUNCTION("iferror(filter('3.4.clean'!C:C,'3.4.clean'!A:A=C1328),"""")"),43844.0)</f>
        <v>43844</v>
      </c>
      <c r="P1328" s="60" t="b">
        <f t="shared" si="965"/>
        <v>1</v>
      </c>
      <c r="Q1328" s="59">
        <f>IFERROR(__xludf.DUMMYFUNCTION("iferror(filter('3.5.clean'!C:C,'3.5.clean'!A:A=C1328),"""")"),43837.0)</f>
        <v>43837</v>
      </c>
      <c r="R1328" s="58" t="b">
        <f t="shared" ref="R1328:R1329" si="1082">if(Q1328="",FALSE,TRUE)</f>
        <v>1</v>
      </c>
      <c r="S1328" s="4">
        <f>IFERROR(__xludf.DUMMYFUNCTION("iferror(filter('3.5.clean'!H:H,'3.5.clean'!A:A=C1328),"""")"),0.0)</f>
        <v>0</v>
      </c>
      <c r="V1328" s="52" t="s">
        <v>64</v>
      </c>
      <c r="W1328" s="23" t="b">
        <f>if(AND(R1328=TRUE,N1328=TRUE,P1328=TRUE),TRUE,FALSE)</f>
        <v>0</v>
      </c>
      <c r="X1328" s="23" t="str">
        <f>IFERROR(__xludf.DUMMYFUNCTION("if(COUNTA(FILTER(C:C, C:C = C1328))=1,""no"",""yes"")"),"no")</f>
        <v>no</v>
      </c>
    </row>
    <row r="1329">
      <c r="A1329" s="75" t="s">
        <v>988</v>
      </c>
      <c r="B1329" s="2">
        <v>4.0</v>
      </c>
      <c r="C1329" s="19" t="s">
        <v>2035</v>
      </c>
      <c r="E1329" s="24">
        <f>IFERROR(__xludf.DUMMYFUNCTION("ifna(IFNA(filter('2.1.clean'!C:C,'2.1.clean'!A:A=C1329),filter('2.2.clean'!E:E,'2.2.clean'!D:D=C1329)),filter('2.4.clean'!C:C,'2.4.clean'!A:A=C1329))"),43837.0)</f>
        <v>43837</v>
      </c>
      <c r="F1329" s="25">
        <f>IFERROR(__xludf.DUMMYFUNCTION("iferror(ifna(IFNA(filter('2.1.clean'!E:E,'2.1.clean'!A:A=C1329),filter('2.2.clean'!G:G,'2.2.clean'!D:D=C1329)),filter('2.4.clean'!E:E,'2.4.clean'!A:A=C1329)),)"),2.39999999999999)</f>
        <v>2.4</v>
      </c>
      <c r="G1329" s="24"/>
      <c r="J1329" s="25"/>
      <c r="K1329" s="24"/>
      <c r="L1329" s="25"/>
      <c r="M1329" s="24">
        <f>IFERROR(__xludf.DUMMYFUNCTION("iferror(filter('3.3.clean'!C:C,'3.3.clean'!A:A=C1329),"""")"),43839.0)</f>
        <v>43839</v>
      </c>
      <c r="N1329" s="25" t="b">
        <f t="shared" si="964"/>
        <v>1</v>
      </c>
      <c r="O1329" s="24">
        <f>IFERROR(__xludf.DUMMYFUNCTION("iferror(filter('3.4.clean'!C:C,'3.4.clean'!A:A=C1329),"""")"),43844.0)</f>
        <v>43844</v>
      </c>
      <c r="P1329" s="25" t="b">
        <f t="shared" si="965"/>
        <v>1</v>
      </c>
      <c r="Q1329" s="24">
        <f>IFERROR(__xludf.DUMMYFUNCTION("iferror(filter('3.5.clean'!C:C,'3.5.clean'!A:A=C1329),"""")"),43837.0)</f>
        <v>43837</v>
      </c>
      <c r="R1329" s="23" t="b">
        <f t="shared" si="1082"/>
        <v>1</v>
      </c>
      <c r="S1329" s="25"/>
      <c r="V1329" s="52" t="s">
        <v>64</v>
      </c>
      <c r="W1329" s="23" t="b">
        <f>IF(and(R1329=TRUE,N1329=TRUE,P1329=TRUE),TRUE,FALSE)</f>
        <v>1</v>
      </c>
      <c r="X1329" s="23" t="str">
        <f>IFERROR(__xludf.DUMMYFUNCTION("if(COUNTA(FILTER(C:C, C:C = C1329))=1,""no"",""yes"")"),"no")</f>
        <v>no</v>
      </c>
    </row>
    <row r="1330">
      <c r="A1330" s="75" t="s">
        <v>988</v>
      </c>
      <c r="B1330" s="2">
        <v>5.0</v>
      </c>
      <c r="C1330" s="19" t="s">
        <v>2036</v>
      </c>
      <c r="D1330" s="58" t="str">
        <f t="shared" ref="D1330:D1331" si="1083">if(or(I1330=1,J1330=1,S1330=1),"pos","")</f>
        <v/>
      </c>
      <c r="E1330" s="59">
        <f>IFERROR(__xludf.DUMMYFUNCTION("ifna(IFNA(filter('2.1.clean'!C:C,'2.1.clean'!A:A=C1330),filter('2.2.clean'!E:E,'2.2.clean'!D:D=C1330)),filter('2.4.clean'!C:C,'2.4.clean'!A:A=C1330))"),43837.0)</f>
        <v>43837</v>
      </c>
      <c r="F1330" s="60">
        <f>IFERROR(__xludf.DUMMYFUNCTION("iferror(ifna(IFNA(filter('2.1.clean'!E:E,'2.1.clean'!A:A=C1330),filter('2.2.clean'!G:G,'2.2.clean'!D:D=C1330)),filter('2.4.clean'!E:E,'2.4.clean'!A:A=C1330)),)"),2.39999999999999)</f>
        <v>2.4</v>
      </c>
      <c r="G1330" s="59" t="str">
        <f>IFERROR(__xludf.DUMMYFUNCTION("iferror(filter('3.1.clean'!C:C,'3.1.clean'!A:A=C1330),"""")"),"")</f>
        <v/>
      </c>
      <c r="H1330" s="58" t="b">
        <f>if(G1330="",FALSE,TRUE)</f>
        <v>0</v>
      </c>
      <c r="I1330" s="58" t="str">
        <f>IFERROR(__xludf.DUMMYFUNCTION("iferror(filter('3.1.clean'!G:G,'3.1.clean'!A:A=C1330),"""")"),"")</f>
        <v/>
      </c>
      <c r="J1330" s="60" t="str">
        <f>IFERROR(__xludf.DUMMYFUNCTION("iferror(filter('3.1.clean'!I:I,'3.1.clean'!A:A=C1330),"""")"),"")</f>
        <v/>
      </c>
      <c r="K1330" s="58"/>
      <c r="L1330" s="60"/>
      <c r="M1330" s="59" t="str">
        <f>IFERROR(__xludf.DUMMYFUNCTION("iferror(filter('3.3.clean'!C:C,'3.3.clean'!A:A=C1330),"""")"),"")</f>
        <v/>
      </c>
      <c r="N1330" s="60" t="b">
        <f t="shared" si="964"/>
        <v>0</v>
      </c>
      <c r="O1330" s="59" t="str">
        <f>IFERROR(__xludf.DUMMYFUNCTION("iferror(filter('3.4.clean'!C:C,'3.4.clean'!A:A=C1330),"""")"),"")</f>
        <v/>
      </c>
      <c r="P1330" s="60" t="b">
        <f t="shared" si="965"/>
        <v>0</v>
      </c>
      <c r="Q1330" s="59" t="str">
        <f>IFERROR(__xludf.DUMMYFUNCTION("iferror(filter('3.5.clean'!C:C,'3.5.clean'!A:A=C1330),"""")"),"")</f>
        <v/>
      </c>
      <c r="R1330" s="58"/>
      <c r="S1330" s="4" t="str">
        <f>IFERROR(__xludf.DUMMYFUNCTION("iferror(filter('3.5.clean'!H:H,'3.5.clean'!A:A=C1330),"""")"),"")</f>
        <v/>
      </c>
      <c r="W1330" s="23" t="b">
        <f>if(AND(H1330=TRUE,N1330=TRUE,P1330=TRUE),TRUE,FALSE)</f>
        <v>0</v>
      </c>
      <c r="X1330" s="23" t="str">
        <f>IFERROR(__xludf.DUMMYFUNCTION("if(COUNTA(FILTER(C:C, C:C = C1330))=1,""no"",""yes"")"),"no")</f>
        <v>no</v>
      </c>
    </row>
    <row r="1331">
      <c r="A1331" s="75" t="s">
        <v>988</v>
      </c>
      <c r="B1331" s="2">
        <v>6.0</v>
      </c>
      <c r="C1331" s="19" t="s">
        <v>2037</v>
      </c>
      <c r="D1331" s="58" t="str">
        <f t="shared" si="1083"/>
        <v/>
      </c>
      <c r="E1331" s="59">
        <f>Q1331</f>
        <v>43837</v>
      </c>
      <c r="F1331" s="60" t="str">
        <f>IFERROR(__xludf.DUMMYFUNCTION("iferror(ifna(IFNA(filter('2.1.clean'!E:E,'2.1.clean'!A:A=C1331),filter('2.2.clean'!G:G,'2.2.clean'!D:D=C1331)),filter('2.4.clean'!E:E,'2.4.clean'!A:A=C1331)),)"),"")</f>
        <v/>
      </c>
      <c r="G1331" s="59" t="str">
        <f>IFERROR(__xludf.DUMMYFUNCTION("iferror(filter('3.1.clean'!C:C,'3.1.clean'!A:A=C1331),"""")"),"")</f>
        <v/>
      </c>
      <c r="H1331" s="58"/>
      <c r="I1331" s="58" t="str">
        <f>IFERROR(__xludf.DUMMYFUNCTION("iferror(filter('3.1.clean'!G:G,'3.1.clean'!A:A=C1331),"""")"),"")</f>
        <v/>
      </c>
      <c r="J1331" s="60" t="str">
        <f>IFERROR(__xludf.DUMMYFUNCTION("iferror(filter('3.1.clean'!I:I,'3.1.clean'!A:A=C1331),"""")"),"")</f>
        <v/>
      </c>
      <c r="K1331" s="59"/>
      <c r="L1331" s="60"/>
      <c r="M1331" s="59" t="str">
        <f>IFERROR(__xludf.DUMMYFUNCTION("iferror(filter('3.3.clean'!C:C,'3.3.clean'!A:A=C1331),"""")"),"")</f>
        <v/>
      </c>
      <c r="N1331" s="60" t="b">
        <f t="shared" si="964"/>
        <v>0</v>
      </c>
      <c r="O1331" s="59" t="str">
        <f>IFERROR(__xludf.DUMMYFUNCTION("iferror(filter('3.4.clean'!C:C,'3.4.clean'!A:A=C1331),"""")"),"")</f>
        <v/>
      </c>
      <c r="P1331" s="60" t="b">
        <f t="shared" si="965"/>
        <v>0</v>
      </c>
      <c r="Q1331" s="59">
        <f>IFERROR(__xludf.DUMMYFUNCTION("iferror(filter('3.5.clean'!C:C,'3.5.clean'!A:A=C1331),"""")"),43837.0)</f>
        <v>43837</v>
      </c>
      <c r="R1331" s="58" t="b">
        <f t="shared" ref="R1331:R1332" si="1084">if(Q1331="",FALSE,TRUE)</f>
        <v>1</v>
      </c>
      <c r="S1331" s="4">
        <f>IFERROR(__xludf.DUMMYFUNCTION("iferror(filter('3.5.clean'!H:H,'3.5.clean'!A:A=C1331),"""")"),0.0)</f>
        <v>0</v>
      </c>
      <c r="V1331" s="52" t="s">
        <v>64</v>
      </c>
      <c r="W1331" s="23" t="b">
        <f>if(AND(R1331=TRUE,N1331=TRUE,P1331=TRUE),TRUE,FALSE)</f>
        <v>0</v>
      </c>
      <c r="X1331" s="23" t="str">
        <f>IFERROR(__xludf.DUMMYFUNCTION("if(COUNTA(FILTER(C:C, C:C = C1331))=1,""no"",""yes"")"),"no")</f>
        <v>no</v>
      </c>
    </row>
    <row r="1332">
      <c r="A1332" s="75" t="s">
        <v>988</v>
      </c>
      <c r="B1332" s="2">
        <v>7.0</v>
      </c>
      <c r="C1332" s="19" t="s">
        <v>2038</v>
      </c>
      <c r="E1332" s="24">
        <f>IFERROR(__xludf.DUMMYFUNCTION("ifna(IFNA(filter('2.1.clean'!C:C,'2.1.clean'!A:A=C1332),filter('2.2.clean'!E:E,'2.2.clean'!D:D=C1332)),filter('2.4.clean'!C:C,'2.4.clean'!A:A=C1332))"),43837.0)</f>
        <v>43837</v>
      </c>
      <c r="F1332" s="25">
        <f>IFERROR(__xludf.DUMMYFUNCTION("iferror(ifna(IFNA(filter('2.1.clean'!E:E,'2.1.clean'!A:A=C1332),filter('2.2.clean'!G:G,'2.2.clean'!D:D=C1332)),filter('2.4.clean'!E:E,'2.4.clean'!A:A=C1332)),)"),2.39999999999999)</f>
        <v>2.4</v>
      </c>
      <c r="G1332" s="24"/>
      <c r="J1332" s="25"/>
      <c r="K1332" s="24"/>
      <c r="L1332" s="25"/>
      <c r="M1332" s="24">
        <f>IFERROR(__xludf.DUMMYFUNCTION("iferror(filter('3.3.clean'!C:C,'3.3.clean'!A:A=C1332),"""")"),43839.0)</f>
        <v>43839</v>
      </c>
      <c r="N1332" s="25" t="b">
        <f t="shared" si="964"/>
        <v>1</v>
      </c>
      <c r="O1332" s="24">
        <f>IFERROR(__xludf.DUMMYFUNCTION("iferror(filter('3.4.clean'!C:C,'3.4.clean'!A:A=C1332),"""")"),43844.0)</f>
        <v>43844</v>
      </c>
      <c r="P1332" s="25" t="b">
        <f t="shared" si="965"/>
        <v>1</v>
      </c>
      <c r="Q1332" s="24">
        <f>IFERROR(__xludf.DUMMYFUNCTION("iferror(filter('3.5.clean'!C:C,'3.5.clean'!A:A=C1332),"""")"),43837.0)</f>
        <v>43837</v>
      </c>
      <c r="R1332" s="23" t="b">
        <f t="shared" si="1084"/>
        <v>1</v>
      </c>
      <c r="S1332" s="25"/>
      <c r="V1332" s="52" t="s">
        <v>64</v>
      </c>
      <c r="W1332" s="23" t="b">
        <f>IF(and(R1332=TRUE,N1332=TRUE,P1332=TRUE),TRUE,FALSE)</f>
        <v>1</v>
      </c>
      <c r="X1332" s="23" t="str">
        <f>IFERROR(__xludf.DUMMYFUNCTION("if(COUNTA(FILTER(C:C, C:C = C1332))=1,""no"",""yes"")"),"no")</f>
        <v>no</v>
      </c>
    </row>
    <row r="1333">
      <c r="A1333" s="75" t="s">
        <v>988</v>
      </c>
      <c r="B1333" s="2">
        <v>8.0</v>
      </c>
      <c r="C1333" s="19" t="s">
        <v>2039</v>
      </c>
      <c r="D1333" s="58" t="str">
        <f t="shared" ref="D1333:D1334" si="1085">if(or(I1333=1,J1333=1,S1333=1),"pos","")</f>
        <v/>
      </c>
      <c r="E1333" s="59">
        <f>IFERROR(__xludf.DUMMYFUNCTION("ifna(IFNA(filter('2.1.clean'!C:C,'2.1.clean'!A:A=C1333),filter('2.2.clean'!E:E,'2.2.clean'!D:D=C1333)),filter('2.4.clean'!C:C,'2.4.clean'!A:A=C1333))"),43837.0)</f>
        <v>43837</v>
      </c>
      <c r="F1333" s="60">
        <f>IFERROR(__xludf.DUMMYFUNCTION("iferror(ifna(IFNA(filter('2.1.clean'!E:E,'2.1.clean'!A:A=C1333),filter('2.2.clean'!G:G,'2.2.clean'!D:D=C1333)),filter('2.4.clean'!E:E,'2.4.clean'!A:A=C1333)),)"),2.39999999999999)</f>
        <v>2.4</v>
      </c>
      <c r="G1333" s="59" t="str">
        <f>IFERROR(__xludf.DUMMYFUNCTION("iferror(filter('3.1.clean'!C:C,'3.1.clean'!A:A=C1333),"""")"),"")</f>
        <v/>
      </c>
      <c r="H1333" s="58" t="b">
        <f>if(G1333="",FALSE,TRUE)</f>
        <v>0</v>
      </c>
      <c r="I1333" s="58" t="str">
        <f>IFERROR(__xludf.DUMMYFUNCTION("iferror(filter('3.1.clean'!G:G,'3.1.clean'!A:A=C1333),"""")"),"")</f>
        <v/>
      </c>
      <c r="J1333" s="60" t="str">
        <f>IFERROR(__xludf.DUMMYFUNCTION("iferror(filter('3.1.clean'!I:I,'3.1.clean'!A:A=C1333),"""")"),"")</f>
        <v/>
      </c>
      <c r="K1333" s="58"/>
      <c r="L1333" s="60"/>
      <c r="M1333" s="59" t="str">
        <f>IFERROR(__xludf.DUMMYFUNCTION("iferror(filter('3.3.clean'!C:C,'3.3.clean'!A:A=C1333),"""")"),"")</f>
        <v/>
      </c>
      <c r="N1333" s="60" t="b">
        <f t="shared" si="964"/>
        <v>0</v>
      </c>
      <c r="O1333" s="59" t="str">
        <f>IFERROR(__xludf.DUMMYFUNCTION("iferror(filter('3.4.clean'!C:C,'3.4.clean'!A:A=C1333),"""")"),"")</f>
        <v/>
      </c>
      <c r="P1333" s="60" t="b">
        <f t="shared" si="965"/>
        <v>0</v>
      </c>
      <c r="Q1333" s="59" t="str">
        <f>IFERROR(__xludf.DUMMYFUNCTION("iferror(filter('3.5.clean'!C:C,'3.5.clean'!A:A=C1333),"""")"),"")</f>
        <v/>
      </c>
      <c r="R1333" s="58"/>
      <c r="S1333" s="4" t="str">
        <f>IFERROR(__xludf.DUMMYFUNCTION("iferror(filter('3.5.clean'!H:H,'3.5.clean'!A:A=C1333),"""")"),"")</f>
        <v/>
      </c>
      <c r="W1333" s="23" t="b">
        <f>if(AND(H1333=TRUE,N1333=TRUE,P1333=TRUE),TRUE,FALSE)</f>
        <v>0</v>
      </c>
      <c r="X1333" s="23" t="str">
        <f>IFERROR(__xludf.DUMMYFUNCTION("if(COUNTA(FILTER(C:C, C:C = C1333))=1,""no"",""yes"")"),"no")</f>
        <v>no</v>
      </c>
    </row>
    <row r="1334">
      <c r="A1334" s="75" t="s">
        <v>988</v>
      </c>
      <c r="B1334" s="2">
        <v>9.0</v>
      </c>
      <c r="C1334" s="19" t="s">
        <v>2040</v>
      </c>
      <c r="D1334" s="58" t="str">
        <f t="shared" si="1085"/>
        <v/>
      </c>
      <c r="E1334" s="59">
        <f>Q1334</f>
        <v>43837</v>
      </c>
      <c r="F1334" s="60" t="str">
        <f>IFERROR(__xludf.DUMMYFUNCTION("iferror(ifna(IFNA(filter('2.1.clean'!E:E,'2.1.clean'!A:A=C1334),filter('2.2.clean'!G:G,'2.2.clean'!D:D=C1334)),filter('2.4.clean'!E:E,'2.4.clean'!A:A=C1334)),)"),"")</f>
        <v/>
      </c>
      <c r="G1334" s="59" t="str">
        <f>IFERROR(__xludf.DUMMYFUNCTION("iferror(filter('3.1.clean'!C:C,'3.1.clean'!A:A=C1334),"""")"),"")</f>
        <v/>
      </c>
      <c r="H1334" s="58"/>
      <c r="I1334" s="58" t="str">
        <f>IFERROR(__xludf.DUMMYFUNCTION("iferror(filter('3.1.clean'!G:G,'3.1.clean'!A:A=C1334),"""")"),"")</f>
        <v/>
      </c>
      <c r="J1334" s="60" t="str">
        <f>IFERROR(__xludf.DUMMYFUNCTION("iferror(filter('3.1.clean'!I:I,'3.1.clean'!A:A=C1334),"""")"),"")</f>
        <v/>
      </c>
      <c r="K1334" s="59"/>
      <c r="L1334" s="60"/>
      <c r="M1334" s="59" t="str">
        <f>IFERROR(__xludf.DUMMYFUNCTION("iferror(filter('3.3.clean'!C:C,'3.3.clean'!A:A=C1334),"""")"),"")</f>
        <v/>
      </c>
      <c r="N1334" s="60" t="b">
        <f t="shared" si="964"/>
        <v>0</v>
      </c>
      <c r="O1334" s="59" t="str">
        <f>IFERROR(__xludf.DUMMYFUNCTION("iferror(filter('3.4.clean'!C:C,'3.4.clean'!A:A=C1334),"""")"),"")</f>
        <v/>
      </c>
      <c r="P1334" s="60" t="b">
        <f t="shared" si="965"/>
        <v>0</v>
      </c>
      <c r="Q1334" s="59">
        <f>IFERROR(__xludf.DUMMYFUNCTION("iferror(filter('3.5.clean'!C:C,'3.5.clean'!A:A=C1334),"""")"),43837.0)</f>
        <v>43837</v>
      </c>
      <c r="R1334" s="58" t="b">
        <f t="shared" ref="R1334:R1337" si="1086">if(Q1334="",FALSE,TRUE)</f>
        <v>1</v>
      </c>
      <c r="S1334" s="4">
        <f>IFERROR(__xludf.DUMMYFUNCTION("iferror(filter('3.5.clean'!H:H,'3.5.clean'!A:A=C1334),"""")"),0.0)</f>
        <v>0</v>
      </c>
      <c r="V1334" s="52" t="s">
        <v>64</v>
      </c>
      <c r="W1334" s="23" t="b">
        <f>if(AND(R1334=TRUE,N1334=TRUE,P1334=TRUE),TRUE,FALSE)</f>
        <v>0</v>
      </c>
      <c r="X1334" s="23" t="str">
        <f>IFERROR(__xludf.DUMMYFUNCTION("if(COUNTA(FILTER(C:C, C:C = C1334))=1,""no"",""yes"")"),"no")</f>
        <v>no</v>
      </c>
    </row>
    <row r="1335">
      <c r="A1335" s="75" t="s">
        <v>988</v>
      </c>
      <c r="B1335" s="2">
        <v>10.0</v>
      </c>
      <c r="C1335" s="19" t="s">
        <v>2041</v>
      </c>
      <c r="E1335" s="24">
        <f>IFERROR(__xludf.DUMMYFUNCTION("ifna(IFNA(filter('2.1.clean'!C:C,'2.1.clean'!A:A=C1335),filter('2.2.clean'!E:E,'2.2.clean'!D:D=C1335)),filter('2.4.clean'!C:C,'2.4.clean'!A:A=C1335))"),43837.0)</f>
        <v>43837</v>
      </c>
      <c r="F1335" s="25">
        <f>IFERROR(__xludf.DUMMYFUNCTION("iferror(ifna(IFNA(filter('2.1.clean'!E:E,'2.1.clean'!A:A=C1335),filter('2.2.clean'!G:G,'2.2.clean'!D:D=C1335)),filter('2.4.clean'!E:E,'2.4.clean'!A:A=C1335)),)"),2.39999999999999)</f>
        <v>2.4</v>
      </c>
      <c r="G1335" s="24" t="str">
        <f>IFERROR(__xludf.DUMMYFUNCTION("iferror(filter('3.1.clean'!C:C,'3.1.clean'!A:A=C1335),"""")"),"")</f>
        <v/>
      </c>
      <c r="H1335" s="23" t="b">
        <f t="shared" ref="H1335:H1336" si="1087">if(G1335="",FALSE,TRUE)</f>
        <v>0</v>
      </c>
      <c r="J1335" s="25"/>
      <c r="K1335" s="24">
        <f>IFERROR(__xludf.DUMMYFUNCTION("iferror(filter('3.2.clean'!C:C,'3.2.clean'!A:A=C1335),"""")"),43839.0)</f>
        <v>43839</v>
      </c>
      <c r="L1335" s="25" t="b">
        <f t="shared" ref="L1335:L1336" si="1088">if(K1335="",FALSE,TRUE)</f>
        <v>1</v>
      </c>
      <c r="M1335" s="24">
        <f>IFERROR(__xludf.DUMMYFUNCTION("iferror(filter('3.3.clean'!C:C,'3.3.clean'!A:A=C1335),"""")"),43839.0)</f>
        <v>43839</v>
      </c>
      <c r="N1335" s="25" t="b">
        <f t="shared" si="964"/>
        <v>1</v>
      </c>
      <c r="O1335" s="24">
        <f>IFERROR(__xludf.DUMMYFUNCTION("iferror(filter('3.4.clean'!C:C,'3.4.clean'!A:A=C1335),"""")"),43844.0)</f>
        <v>43844</v>
      </c>
      <c r="P1335" s="25" t="b">
        <f t="shared" si="965"/>
        <v>1</v>
      </c>
      <c r="Q1335" s="24" t="str">
        <f>IFERROR(__xludf.DUMMYFUNCTION("iferror(filter('3.5.clean'!C:C,'3.5.clean'!A:A=C1335),"""")"),"")</f>
        <v/>
      </c>
      <c r="R1335" s="23" t="b">
        <f t="shared" si="1086"/>
        <v>0</v>
      </c>
      <c r="S1335" s="25"/>
      <c r="U1335" s="23"/>
      <c r="V1335" s="1" t="s">
        <v>64</v>
      </c>
      <c r="X1335" s="23" t="str">
        <f>IFERROR(__xludf.DUMMYFUNCTION("if(COUNTA(FILTER(C:C, C:C = C1335))=1,""no"",""yes"")"),"no")</f>
        <v>no</v>
      </c>
    </row>
    <row r="1336">
      <c r="A1336" s="75" t="s">
        <v>988</v>
      </c>
      <c r="B1336" s="2">
        <v>11.0</v>
      </c>
      <c r="C1336" s="19" t="s">
        <v>2042</v>
      </c>
      <c r="E1336" s="24">
        <v>43837.0</v>
      </c>
      <c r="F1336" s="25" t="str">
        <f>IFERROR(__xludf.DUMMYFUNCTION("iferror(ifna(IFNA(filter('2.1.clean'!E:E,'2.1.clean'!A:A=C1336),filter('2.2.clean'!G:G,'2.2.clean'!D:D=C1336)),filter('2.4.clean'!E:E,'2.4.clean'!A:A=C1336)),)"),"")</f>
        <v/>
      </c>
      <c r="G1336" s="24" t="str">
        <f>IFERROR(__xludf.DUMMYFUNCTION("iferror(filter('3.1.clean'!C:C,'3.1.clean'!A:A=C1336),"""")"),"")</f>
        <v/>
      </c>
      <c r="H1336" s="23" t="b">
        <f t="shared" si="1087"/>
        <v>0</v>
      </c>
      <c r="J1336" s="25"/>
      <c r="K1336" s="24">
        <f>IFERROR(__xludf.DUMMYFUNCTION("iferror(filter('3.2.clean'!C:C,'3.2.clean'!A:A=C1336),"""")"),43839.0)</f>
        <v>43839</v>
      </c>
      <c r="L1336" s="25" t="b">
        <f t="shared" si="1088"/>
        <v>1</v>
      </c>
      <c r="M1336" s="24" t="str">
        <f>IFERROR(__xludf.DUMMYFUNCTION("iferror(filter('3.3.clean'!C:C,'3.3.clean'!A:A=C1336),"""")"),"")</f>
        <v/>
      </c>
      <c r="N1336" s="25" t="b">
        <f t="shared" si="964"/>
        <v>0</v>
      </c>
      <c r="O1336" s="24" t="str">
        <f>IFERROR(__xludf.DUMMYFUNCTION("iferror(filter('3.4.clean'!C:C,'3.4.clean'!A:A=C1336),"""")"),"")</f>
        <v/>
      </c>
      <c r="P1336" s="25" t="b">
        <f t="shared" si="965"/>
        <v>0</v>
      </c>
      <c r="Q1336" s="24" t="str">
        <f>IFERROR(__xludf.DUMMYFUNCTION("iferror(filter('3.5.clean'!C:C,'3.5.clean'!A:A=C1336),"""")"),"")</f>
        <v/>
      </c>
      <c r="R1336" s="23" t="b">
        <f t="shared" si="1086"/>
        <v>0</v>
      </c>
      <c r="S1336" s="25"/>
      <c r="U1336" s="23"/>
      <c r="V1336" s="1" t="s">
        <v>64</v>
      </c>
      <c r="X1336" s="23" t="str">
        <f>IFERROR(__xludf.DUMMYFUNCTION("if(COUNTA(FILTER(C:C, C:C = C1336))=1,""no"",""yes"")"),"no")</f>
        <v>no</v>
      </c>
    </row>
    <row r="1337">
      <c r="A1337" s="75" t="s">
        <v>988</v>
      </c>
      <c r="B1337" s="2">
        <v>12.0</v>
      </c>
      <c r="C1337" s="19" t="s">
        <v>2043</v>
      </c>
      <c r="D1337" s="22" t="str">
        <f>if(or(I1337=1,J1337=1,S1337=1),"pos","")</f>
        <v/>
      </c>
      <c r="E1337" s="20">
        <f>Q1337</f>
        <v>43837</v>
      </c>
      <c r="F1337" s="79" t="str">
        <f>IFERROR(__xludf.DUMMYFUNCTION("iferror(ifna(IFNA(filter('2.1.clean'!E:E,'2.1.clean'!A:A=C1337),filter('2.2.clean'!G:G,'2.2.clean'!D:D=C1337)),filter('2.4.clean'!E:E,'2.4.clean'!A:A=C1337)),)"),"")</f>
        <v/>
      </c>
      <c r="G1337" s="20" t="str">
        <f>IFERROR(__xludf.DUMMYFUNCTION("iferror(filter('3.1.clean'!C:C,'3.1.clean'!A:A=C1337),"""")"),"")</f>
        <v/>
      </c>
      <c r="H1337" s="22"/>
      <c r="I1337" s="22"/>
      <c r="J1337" s="79"/>
      <c r="K1337" s="20" t="str">
        <f>IFERROR(__xludf.DUMMYFUNCTION("iferror(filter('3.2.clean'!C:C,'3.2.clean'!A:A=C1337),"""")"),"")</f>
        <v/>
      </c>
      <c r="L1337" s="79"/>
      <c r="M1337" s="20" t="str">
        <f>IFERROR(__xludf.DUMMYFUNCTION("iferror(filter('3.3.clean'!C:C,'3.3.clean'!A:A=C1337),"""")"),"")</f>
        <v/>
      </c>
      <c r="N1337" s="79" t="b">
        <f t="shared" si="964"/>
        <v>0</v>
      </c>
      <c r="O1337" s="20" t="str">
        <f>IFERROR(__xludf.DUMMYFUNCTION("iferror(filter('3.4.clean'!C:C,'3.4.clean'!A:A=C1337),"""")"),"")</f>
        <v/>
      </c>
      <c r="P1337" s="79" t="b">
        <f t="shared" si="965"/>
        <v>0</v>
      </c>
      <c r="Q1337" s="20">
        <f>IFERROR(__xludf.DUMMYFUNCTION("iferror(filter('3.5.clean'!C:C,'3.5.clean'!A:A=C1337),"""")"),43837.0)</f>
        <v>43837</v>
      </c>
      <c r="R1337" s="22" t="b">
        <f t="shared" si="1086"/>
        <v>1</v>
      </c>
      <c r="S1337" s="4">
        <f>IFERROR(__xludf.DUMMYFUNCTION("iferror(filter('3.5.clean'!H:H,'3.5.clean'!A:A=C1337),"""")"),0.0)</f>
        <v>0</v>
      </c>
      <c r="V1337" s="1" t="s">
        <v>64</v>
      </c>
      <c r="W1337" s="23" t="b">
        <f>IF(and(R1337=TRUE,N1337=TRUE,P1337=TRUE),TRUE,FALSE)</f>
        <v>0</v>
      </c>
      <c r="X1337" s="23" t="str">
        <f>IFERROR(__xludf.DUMMYFUNCTION("if(COUNTA(FILTER(C:C, C:C = C1337))=1,""no"",""yes"")"),"no")</f>
        <v>no</v>
      </c>
    </row>
    <row r="1338">
      <c r="A1338" s="75" t="s">
        <v>988</v>
      </c>
      <c r="B1338" s="2">
        <v>13.0</v>
      </c>
      <c r="C1338" s="19" t="s">
        <v>2044</v>
      </c>
      <c r="E1338" s="24">
        <f>M1338</f>
        <v>43837</v>
      </c>
      <c r="F1338" s="25" t="str">
        <f>IFERROR(__xludf.DUMMYFUNCTION("iferror(ifna(IFNA(filter('2.1.clean'!E:E,'2.1.clean'!A:A=C1338),filter('2.2.clean'!G:G,'2.2.clean'!D:D=C1338)),filter('2.4.clean'!E:E,'2.4.clean'!A:A=C1338)),)"),"")</f>
        <v/>
      </c>
      <c r="G1338" s="24" t="str">
        <f>IFERROR(__xludf.DUMMYFUNCTION("iferror(filter('3.1.clean'!C:C,'3.1.clean'!A:A=C1338),"""")"),"")</f>
        <v/>
      </c>
      <c r="J1338" s="25"/>
      <c r="K1338" s="24" t="str">
        <f>IFERROR(__xludf.DUMMYFUNCTION("iferror(filter('3.2.clean'!C:C,'3.2.clean'!A:A=C1338),"""")"),"")</f>
        <v/>
      </c>
      <c r="L1338" s="25"/>
      <c r="M1338" s="24">
        <f>IFERROR(__xludf.DUMMYFUNCTION("iferror(filter('3.3.clean'!C:C,'3.3.clean'!A:A=C1338),"""")"),43837.0)</f>
        <v>43837</v>
      </c>
      <c r="N1338" s="25" t="b">
        <f t="shared" si="964"/>
        <v>1</v>
      </c>
      <c r="O1338" s="24" t="str">
        <f>IFERROR(__xludf.DUMMYFUNCTION("iferror(filter('3.4.clean'!C:C,'3.4.clean'!A:A=C1338),"""")"),"")</f>
        <v/>
      </c>
      <c r="P1338" s="25" t="b">
        <f t="shared" si="965"/>
        <v>0</v>
      </c>
      <c r="Q1338" s="24" t="str">
        <f>IFERROR(__xludf.DUMMYFUNCTION("iferror(filter('3.5.clean'!C:C,'3.5.clean'!A:A=C1338),"""")"),"")</f>
        <v/>
      </c>
      <c r="S1338" s="25"/>
      <c r="V1338" s="52" t="s">
        <v>64</v>
      </c>
      <c r="X1338" s="23" t="str">
        <f>IFERROR(__xludf.DUMMYFUNCTION("if(COUNTA(FILTER(C:C, C:C = C1338))=1,""no"",""yes"")"),"no")</f>
        <v>no</v>
      </c>
    </row>
    <row r="1339">
      <c r="A1339" s="1" t="s">
        <v>991</v>
      </c>
      <c r="B1339" s="2">
        <v>1.0</v>
      </c>
      <c r="C1339" s="19" t="s">
        <v>2045</v>
      </c>
      <c r="D1339" s="1"/>
      <c r="E1339" s="24">
        <f>IFERROR(__xludf.DUMMYFUNCTION("ifna(IFNA(filter('2.1.clean'!C:C,'2.1.clean'!A:A=C1339),filter('2.2.clean'!E:E,'2.2.clean'!D:D=C1339)),filter('2.4.clean'!C:C,'2.4.clean'!A:A=C1339))"),43838.0)</f>
        <v>43838</v>
      </c>
      <c r="F1339" s="25">
        <f>IFERROR(__xludf.DUMMYFUNCTION("iferror(ifna(IFNA(filter('2.1.clean'!E:E,'2.1.clean'!A:A=C1339),filter('2.2.clean'!G:G,'2.2.clean'!D:D=C1339)),filter('2.4.clean'!E:E,'2.4.clean'!A:A=C1339)),)"),2.1)</f>
        <v>2.1</v>
      </c>
      <c r="G1339" s="24">
        <f>IFERROR(__xludf.DUMMYFUNCTION("iferror(filter('3.1.clean'!C:C,'3.1.clean'!A:A=C1339),"""")"),43838.0)</f>
        <v>43838</v>
      </c>
      <c r="H1339" s="23" t="b">
        <f t="shared" ref="H1339:H1341" si="1089">if(G1339="",FALSE,TRUE)</f>
        <v>1</v>
      </c>
      <c r="J1339" s="25"/>
      <c r="K1339" s="24">
        <f>IFERROR(__xludf.DUMMYFUNCTION("iferror(filter('3.2.clean'!C:C,'3.2.clean'!A:A=C1339),"""")"),43839.0)</f>
        <v>43839</v>
      </c>
      <c r="L1339" s="25" t="b">
        <f t="shared" ref="L1339:L1340" si="1090">if(K1339="",FALSE,TRUE)</f>
        <v>1</v>
      </c>
      <c r="M1339" s="24">
        <f>IFERROR(__xludf.DUMMYFUNCTION("iferror(filter('3.3.clean'!C:C,'3.3.clean'!A:A=C1339),"""")"),43839.0)</f>
        <v>43839</v>
      </c>
      <c r="N1339" s="25" t="b">
        <f t="shared" si="964"/>
        <v>1</v>
      </c>
      <c r="O1339" s="24" t="str">
        <f>IFERROR(__xludf.DUMMYFUNCTION("iferror(filter('3.4.clean'!C:C,'3.4.clean'!A:A=#REF!),"""")"),"")</f>
        <v/>
      </c>
      <c r="P1339" s="25" t="b">
        <f t="shared" si="965"/>
        <v>0</v>
      </c>
      <c r="Q1339" s="24"/>
      <c r="S1339" s="25"/>
      <c r="V1339" s="1" t="s">
        <v>83</v>
      </c>
      <c r="W1339" s="23" t="b">
        <f t="shared" ref="W1339:W1340" si="1091">IF(and(H1339=TRUE,L1339=TRUE,N1339=TRUE,P1339=TRUE),TRUE,FALSE)</f>
        <v>0</v>
      </c>
      <c r="X1339" s="23" t="str">
        <f>IFERROR(__xludf.DUMMYFUNCTION("if(COUNTA(FILTER(C:C, C:C = C1339))=1,""no"",""yes"")"),"no")</f>
        <v>no</v>
      </c>
    </row>
    <row r="1340">
      <c r="A1340" s="1" t="s">
        <v>991</v>
      </c>
      <c r="B1340" s="2">
        <v>2.0</v>
      </c>
      <c r="C1340" s="19" t="s">
        <v>2046</v>
      </c>
      <c r="D1340" s="1"/>
      <c r="E1340" s="24">
        <v>43838.0</v>
      </c>
      <c r="F1340" s="25" t="str">
        <f>IFERROR(__xludf.DUMMYFUNCTION("iferror(ifna(IFNA(filter('2.1.clean'!E:E,'2.1.clean'!A:A=C1340),filter('2.2.clean'!G:G,'2.2.clean'!D:D=C1340)),filter('2.4.clean'!E:E,'2.4.clean'!A:A=C1340)),)"),"")</f>
        <v/>
      </c>
      <c r="G1340" s="24" t="str">
        <f>IFERROR(__xludf.DUMMYFUNCTION("iferror(filter('3.1.clean'!C:C,'3.1.clean'!A:A=C1340),"""")"),"")</f>
        <v/>
      </c>
      <c r="H1340" s="23" t="b">
        <f t="shared" si="1089"/>
        <v>0</v>
      </c>
      <c r="J1340" s="25"/>
      <c r="K1340" s="24">
        <f>IFERROR(__xludf.DUMMYFUNCTION("iferror(filter('3.2.clean'!C:C,'3.2.clean'!A:A=C1340),"""")"),43839.0)</f>
        <v>43839</v>
      </c>
      <c r="L1340" s="25" t="b">
        <f t="shared" si="1090"/>
        <v>1</v>
      </c>
      <c r="M1340" s="24" t="str">
        <f>IFERROR(__xludf.DUMMYFUNCTION("iferror(filter('3.3.clean'!C:C,'3.3.clean'!A:A=C1340),"""")"),"")</f>
        <v/>
      </c>
      <c r="N1340" s="25" t="b">
        <f t="shared" si="964"/>
        <v>0</v>
      </c>
      <c r="O1340" s="24" t="str">
        <f>IFERROR(__xludf.DUMMYFUNCTION("iferror(filter('3.4.clean'!C:C,'3.4.clean'!A:A=#REF!),"""")"),"")</f>
        <v/>
      </c>
      <c r="P1340" s="25" t="b">
        <f t="shared" si="965"/>
        <v>0</v>
      </c>
      <c r="Q1340" s="24">
        <v>43838.0</v>
      </c>
      <c r="S1340" s="25">
        <v>0.0</v>
      </c>
      <c r="V1340" s="1" t="s">
        <v>83</v>
      </c>
      <c r="W1340" s="23" t="b">
        <f t="shared" si="1091"/>
        <v>0</v>
      </c>
      <c r="X1340" s="23" t="str">
        <f>IFERROR(__xludf.DUMMYFUNCTION("if(COUNTA(FILTER(C:C, C:C = C1340))=1,""no"",""yes"")"),"no")</f>
        <v>no</v>
      </c>
    </row>
    <row r="1341">
      <c r="A1341" s="1" t="s">
        <v>991</v>
      </c>
      <c r="B1341" s="2">
        <v>3.0</v>
      </c>
      <c r="C1341" s="19" t="s">
        <v>2047</v>
      </c>
      <c r="D1341" s="58" t="str">
        <f t="shared" ref="D1341:D1343" si="1092">if(or(I1341=1,J1341=1,S1341=1),"pos","")</f>
        <v/>
      </c>
      <c r="E1341" s="59">
        <f>IFERROR(__xludf.DUMMYFUNCTION("ifna(IFNA(filter('2.1.clean'!C:C,'2.1.clean'!A:A=C1341),filter('2.2.clean'!E:E,'2.2.clean'!D:D=C1341)),filter('2.4.clean'!C:C,'2.4.clean'!A:A=C1341))"),43838.0)</f>
        <v>43838</v>
      </c>
      <c r="F1341" s="60">
        <f>IFERROR(__xludf.DUMMYFUNCTION("iferror(ifna(IFNA(filter('2.1.clean'!E:E,'2.1.clean'!A:A=C1341),filter('2.2.clean'!G:G,'2.2.clean'!D:D=C1341)),filter('2.4.clean'!E:E,'2.4.clean'!A:A=C1341)),)"),2.1)</f>
        <v>2.1</v>
      </c>
      <c r="G1341" s="59">
        <f>IFERROR(__xludf.DUMMYFUNCTION("iferror(filter('3.1.clean'!C:C,'3.1.clean'!A:A=C1341),"""")"),43838.0)</f>
        <v>43838</v>
      </c>
      <c r="H1341" s="58" t="b">
        <f t="shared" si="1089"/>
        <v>1</v>
      </c>
      <c r="I1341" s="58">
        <f>IFERROR(__xludf.DUMMYFUNCTION("iferror(filter('3.1.clean'!G:G,'3.1.clean'!A:A=C1341),"""")"),0.0)</f>
        <v>0</v>
      </c>
      <c r="J1341" s="60" t="str">
        <f>IFERROR(__xludf.DUMMYFUNCTION("iferror(filter('3.1.clean'!I:I,'3.1.clean'!A:A=C1341),"""")"),"")</f>
        <v/>
      </c>
      <c r="K1341" s="58"/>
      <c r="L1341" s="60"/>
      <c r="M1341" s="59">
        <f>IFERROR(__xludf.DUMMYFUNCTION("iferror(filter('3.3.clean'!C:C,'3.3.clean'!A:A=C1341),"""")"),43839.0)</f>
        <v>43839</v>
      </c>
      <c r="N1341" s="60" t="b">
        <f t="shared" si="964"/>
        <v>1</v>
      </c>
      <c r="O1341" s="59">
        <f>IFERROR(__xludf.DUMMYFUNCTION("iferror(filter('3.4.clean'!C:C,'3.4.clean'!A:A=C1341),"""")"),43844.0)</f>
        <v>43844</v>
      </c>
      <c r="P1341" s="60" t="b">
        <f t="shared" si="965"/>
        <v>1</v>
      </c>
      <c r="Q1341" s="59" t="str">
        <f>IFERROR(__xludf.DUMMYFUNCTION("iferror(filter('3.5.clean'!C:C,'3.5.clean'!A:A=C1341),"""")"),"")</f>
        <v/>
      </c>
      <c r="R1341" s="58"/>
      <c r="S1341" s="4" t="str">
        <f>IFERROR(__xludf.DUMMYFUNCTION("iferror(filter('3.5.clean'!H:H,'3.5.clean'!A:A=C1341),"""")"),"")</f>
        <v/>
      </c>
      <c r="W1341" s="23" t="b">
        <f>if(AND(H1341=TRUE,N1341=TRUE,P1341=TRUE),TRUE,FALSE)</f>
        <v>1</v>
      </c>
      <c r="X1341" s="23" t="str">
        <f>IFERROR(__xludf.DUMMYFUNCTION("if(COUNTA(FILTER(C:C, C:C = C1341))=1,""no"",""yes"")"),"no")</f>
        <v>no</v>
      </c>
    </row>
    <row r="1342">
      <c r="A1342" s="1" t="s">
        <v>991</v>
      </c>
      <c r="B1342" s="2">
        <v>4.0</v>
      </c>
      <c r="C1342" s="19" t="s">
        <v>2048</v>
      </c>
      <c r="D1342" s="58" t="str">
        <f t="shared" si="1092"/>
        <v/>
      </c>
      <c r="E1342" s="59">
        <f t="shared" ref="E1342:E1343" si="1093">Q1342</f>
        <v>43838</v>
      </c>
      <c r="F1342" s="60" t="str">
        <f>IFERROR(__xludf.DUMMYFUNCTION("iferror(ifna(IFNA(filter('2.1.clean'!E:E,'2.1.clean'!A:A=C1342),filter('2.2.clean'!G:G,'2.2.clean'!D:D=C1342)),filter('2.4.clean'!E:E,'2.4.clean'!A:A=C1342)),)"),"")</f>
        <v/>
      </c>
      <c r="G1342" s="59" t="str">
        <f>IFERROR(__xludf.DUMMYFUNCTION("iferror(filter('3.1.clean'!C:C,'3.1.clean'!A:A=C1342),"""")"),"")</f>
        <v/>
      </c>
      <c r="H1342" s="58"/>
      <c r="I1342" s="58" t="str">
        <f>IFERROR(__xludf.DUMMYFUNCTION("iferror(filter('3.1.clean'!G:G,'3.1.clean'!A:A=C1342),"""")"),"")</f>
        <v/>
      </c>
      <c r="J1342" s="60" t="str">
        <f>IFERROR(__xludf.DUMMYFUNCTION("iferror(filter('3.1.clean'!I:I,'3.1.clean'!A:A=C1342),"""")"),"")</f>
        <v/>
      </c>
      <c r="K1342" s="59"/>
      <c r="L1342" s="60"/>
      <c r="M1342" s="59" t="str">
        <f>IFERROR(__xludf.DUMMYFUNCTION("iferror(filter('3.3.clean'!C:C,'3.3.clean'!A:A=C1342),"""")"),"")</f>
        <v/>
      </c>
      <c r="N1342" s="60" t="b">
        <f t="shared" si="964"/>
        <v>0</v>
      </c>
      <c r="O1342" s="59" t="str">
        <f>IFERROR(__xludf.DUMMYFUNCTION("iferror(filter('3.4.clean'!C:C,'3.4.clean'!A:A=C1342),"""")"),"")</f>
        <v/>
      </c>
      <c r="P1342" s="60" t="b">
        <f t="shared" si="965"/>
        <v>0</v>
      </c>
      <c r="Q1342" s="59">
        <f>IFERROR(__xludf.DUMMYFUNCTION("iferror(filter('3.5.clean'!C:C,'3.5.clean'!A:A=C1342),"""")"),43838.0)</f>
        <v>43838</v>
      </c>
      <c r="R1342" s="58" t="b">
        <f t="shared" ref="R1342:R1345" si="1094">if(Q1342="",FALSE,TRUE)</f>
        <v>1</v>
      </c>
      <c r="S1342" s="4">
        <f>IFERROR(__xludf.DUMMYFUNCTION("iferror(filter('3.5.clean'!H:H,'3.5.clean'!A:A=C1342),"""")"),0.0)</f>
        <v>0</v>
      </c>
      <c r="V1342" s="52" t="s">
        <v>64</v>
      </c>
      <c r="W1342" s="23" t="b">
        <f>if(AND(R1342=TRUE,N1342=TRUE,P1342=TRUE),TRUE,FALSE)</f>
        <v>0</v>
      </c>
      <c r="X1342" s="23" t="str">
        <f>IFERROR(__xludf.DUMMYFUNCTION("if(COUNTA(FILTER(C:C, C:C = C1342))=1,""no"",""yes"")"),"no")</f>
        <v>no</v>
      </c>
    </row>
    <row r="1343">
      <c r="A1343" s="1" t="s">
        <v>991</v>
      </c>
      <c r="B1343" s="41">
        <v>5.0</v>
      </c>
      <c r="C1343" s="41" t="s">
        <v>2049</v>
      </c>
      <c r="D1343" s="102" t="str">
        <f t="shared" si="1092"/>
        <v/>
      </c>
      <c r="E1343" s="103">
        <f t="shared" si="1093"/>
        <v>43838</v>
      </c>
      <c r="F1343" s="94" t="str">
        <f>IFERROR(__xludf.DUMMYFUNCTION("iferror(ifna(IFNA(filter('2.1.clean'!E:E,'2.1.clean'!A:A=C1343),filter('2.2.clean'!G:G,'2.2.clean'!D:D=C1343)),filter('2.4.clean'!E:E,'2.4.clean'!A:A=C1343)),)"),"")</f>
        <v/>
      </c>
      <c r="G1343" s="93" t="str">
        <f>IFERROR(__xludf.DUMMYFUNCTION("iferror(filter('3.1.clean'!C:C,'3.1.clean'!A:A=C1343),"""")"),"")</f>
        <v/>
      </c>
      <c r="H1343" s="92"/>
      <c r="I1343" s="92"/>
      <c r="J1343" s="94"/>
      <c r="K1343" s="93" t="str">
        <f>IFERROR(__xludf.DUMMYFUNCTION("iferror(filter('3.2.clean'!C:C,'3.2.clean'!A:A=C1343),"""")"),"")</f>
        <v/>
      </c>
      <c r="L1343" s="94"/>
      <c r="M1343" s="20" t="str">
        <f>IFERROR(__xludf.DUMMYFUNCTION("iferror(filter('3.3.clean'!C:C,'3.3.clean'!A:A=C1343),"""")"),"")</f>
        <v/>
      </c>
      <c r="N1343" s="79" t="b">
        <f t="shared" si="964"/>
        <v>0</v>
      </c>
      <c r="O1343" s="20" t="str">
        <f>IFERROR(__xludf.DUMMYFUNCTION("iferror(filter('3.4.clean'!C:C,'3.4.clean'!A:A=C1343),"""")"),"")</f>
        <v/>
      </c>
      <c r="P1343" s="79" t="b">
        <f t="shared" si="965"/>
        <v>0</v>
      </c>
      <c r="Q1343" s="20">
        <f>IFERROR(__xludf.DUMMYFUNCTION("iferror(filter('3.5.clean'!C:C,'3.5.clean'!A:A=C1343),"""")"),43838.0)</f>
        <v>43838</v>
      </c>
      <c r="R1343" s="22" t="b">
        <f t="shared" si="1094"/>
        <v>1</v>
      </c>
      <c r="S1343" s="104">
        <f>IFERROR(__xludf.DUMMYFUNCTION("iferror(filter('3.5.clean'!H:H,'3.5.clean'!A:A=C1343),"""")"),0.0)</f>
        <v>0</v>
      </c>
      <c r="T1343" s="39"/>
      <c r="U1343" s="39"/>
      <c r="V1343" s="39" t="s">
        <v>64</v>
      </c>
      <c r="W1343" s="54" t="b">
        <f>IF(and(R1343=TRUE,N1343=TRUE,P1343=TRUE),TRUE,FALSE)</f>
        <v>0</v>
      </c>
      <c r="X1343" s="39" t="str">
        <f>IFERROR(__xludf.DUMMYFUNCTION("if(COUNTA(FILTER(C:C, C:C = C1343))=1,""no"",""yes"")"),"no")</f>
        <v>no</v>
      </c>
    </row>
    <row r="1344">
      <c r="A1344" s="1" t="s">
        <v>984</v>
      </c>
      <c r="B1344" s="2">
        <v>8.0</v>
      </c>
      <c r="C1344" s="19" t="s">
        <v>2050</v>
      </c>
      <c r="E1344" s="24">
        <v>43839.0</v>
      </c>
      <c r="F1344" s="25" t="str">
        <f>IFERROR(__xludf.DUMMYFUNCTION("iferror(ifna(IFNA(filter('2.1.clean'!E:E,'2.1.clean'!A:A=C1344),filter('2.2.clean'!G:G,'2.2.clean'!D:D=C1344)),filter('2.4.clean'!E:E,'2.4.clean'!A:A=C1344)),)"),"")</f>
        <v/>
      </c>
      <c r="G1344" s="24" t="str">
        <f>IFERROR(__xludf.DUMMYFUNCTION("iferror(filter('3.1.clean'!C:C,'3.1.clean'!A:A=C1344),"""")"),"")</f>
        <v/>
      </c>
      <c r="H1344" s="23" t="b">
        <f>if(G1344="",FALSE,TRUE)</f>
        <v>0</v>
      </c>
      <c r="J1344" s="25"/>
      <c r="K1344" s="24">
        <f>IFERROR(__xludf.DUMMYFUNCTION("iferror(filter('3.2.clean'!C:C,'3.2.clean'!A:A=C1344),"""")"),43839.0)</f>
        <v>43839</v>
      </c>
      <c r="L1344" s="25" t="b">
        <f>if(K1344="",FALSE,TRUE)</f>
        <v>1</v>
      </c>
      <c r="M1344" s="24" t="str">
        <f>IFERROR(__xludf.DUMMYFUNCTION("iferror(filter('3.3.clean'!C:C,'3.3.clean'!A:A=C1344),"""")"),"")</f>
        <v/>
      </c>
      <c r="N1344" s="25" t="b">
        <f t="shared" si="964"/>
        <v>0</v>
      </c>
      <c r="O1344" s="24" t="str">
        <f>IFERROR(__xludf.DUMMYFUNCTION("iferror(filter('3.4.clean'!C:C,'3.4.clean'!A:A=C1344),"""")"),"")</f>
        <v/>
      </c>
      <c r="P1344" s="25" t="b">
        <f t="shared" si="965"/>
        <v>0</v>
      </c>
      <c r="Q1344" s="24" t="str">
        <f>IFERROR(__xludf.DUMMYFUNCTION("iferror(filter('3.5.clean'!C:C,'3.5.clean'!A:A=C1344),"""")"),"")</f>
        <v/>
      </c>
      <c r="R1344" s="23" t="b">
        <f t="shared" si="1094"/>
        <v>0</v>
      </c>
      <c r="S1344" s="25"/>
      <c r="U1344" s="23" t="s">
        <v>177</v>
      </c>
      <c r="V1344" s="1" t="s">
        <v>64</v>
      </c>
      <c r="X1344" s="23" t="str">
        <f>IFERROR(__xludf.DUMMYFUNCTION("if(COUNTA(FILTER(C:C, C:C = C1344))=1,""no"",""yes"")"),"no")</f>
        <v>no</v>
      </c>
    </row>
    <row r="1345">
      <c r="A1345" s="1" t="s">
        <v>996</v>
      </c>
      <c r="B1345" s="2">
        <v>1.0</v>
      </c>
      <c r="C1345" s="19" t="s">
        <v>2051</v>
      </c>
      <c r="E1345" s="24">
        <f>IFERROR(__xludf.DUMMYFUNCTION("ifna(IFNA(filter('2.1.clean'!C:C,'2.1.clean'!A:A=C1345),filter('2.2.clean'!E:E,'2.2.clean'!D:D=C1345)),filter('2.4.clean'!C:C,'2.4.clean'!A:A=C1345))"),43839.0)</f>
        <v>43839</v>
      </c>
      <c r="F1345" s="25">
        <f>IFERROR(__xludf.DUMMYFUNCTION("iferror(ifna(IFNA(filter('2.1.clean'!E:E,'2.1.clean'!A:A=C1345),filter('2.2.clean'!G:G,'2.2.clean'!D:D=C1345)),filter('2.4.clean'!E:E,'2.4.clean'!A:A=C1345)),)"),2.39999999999999)</f>
        <v>2.4</v>
      </c>
      <c r="G1345" s="24"/>
      <c r="J1345" s="25"/>
      <c r="K1345" s="24"/>
      <c r="L1345" s="25"/>
      <c r="M1345" s="24">
        <f>IFERROR(__xludf.DUMMYFUNCTION("iferror(filter('3.3.clean'!C:C,'3.3.clean'!A:A=C1345),"""")"),43844.0)</f>
        <v>43844</v>
      </c>
      <c r="N1345" s="25" t="b">
        <f t="shared" si="964"/>
        <v>1</v>
      </c>
      <c r="O1345" s="24">
        <f>IFERROR(__xludf.DUMMYFUNCTION("iferror(filter('3.4.clean'!C:C,'3.4.clean'!A:A=C1345),"""")"),43846.0)</f>
        <v>43846</v>
      </c>
      <c r="P1345" s="25" t="b">
        <f t="shared" si="965"/>
        <v>1</v>
      </c>
      <c r="Q1345" s="24">
        <f>IFERROR(__xludf.DUMMYFUNCTION("iferror(filter('3.5.clean'!C:C,'3.5.clean'!A:A=C1345),"""")"),43839.0)</f>
        <v>43839</v>
      </c>
      <c r="R1345" s="23" t="b">
        <f t="shared" si="1094"/>
        <v>1</v>
      </c>
      <c r="S1345" s="25"/>
      <c r="V1345" s="52" t="s">
        <v>64</v>
      </c>
      <c r="W1345" s="23" t="b">
        <f>IF(and(R1345=TRUE,N1345=TRUE,P1345=TRUE),TRUE,FALSE)</f>
        <v>1</v>
      </c>
      <c r="X1345" s="23" t="str">
        <f>IFERROR(__xludf.DUMMYFUNCTION("if(COUNTA(FILTER(C:C, C:C = C1345))=1,""no"",""yes"")"),"no")</f>
        <v>no</v>
      </c>
    </row>
    <row r="1346">
      <c r="A1346" s="1" t="s">
        <v>996</v>
      </c>
      <c r="B1346" s="2">
        <v>2.0</v>
      </c>
      <c r="C1346" s="19" t="s">
        <v>2052</v>
      </c>
      <c r="D1346" s="58" t="str">
        <f t="shared" ref="D1346:D1347" si="1095">if(or(I1346=1,J1346=1,S1346=1),"pos","")</f>
        <v/>
      </c>
      <c r="E1346" s="59">
        <f>IFERROR(__xludf.DUMMYFUNCTION("ifna(IFNA(filter('2.1.clean'!C:C,'2.1.clean'!A:A=C1346),filter('2.2.clean'!E:E,'2.2.clean'!D:D=C1346)),filter('2.4.clean'!C:C,'2.4.clean'!A:A=C1346))"),43839.0)</f>
        <v>43839</v>
      </c>
      <c r="F1346" s="60">
        <f>IFERROR(__xludf.DUMMYFUNCTION("iferror(ifna(IFNA(filter('2.1.clean'!E:E,'2.1.clean'!A:A=C1346),filter('2.2.clean'!G:G,'2.2.clean'!D:D=C1346)),filter('2.4.clean'!E:E,'2.4.clean'!A:A=C1346)),)"),2.39999999999999)</f>
        <v>2.4</v>
      </c>
      <c r="G1346" s="59">
        <f>IFERROR(__xludf.DUMMYFUNCTION("iferror(filter('3.1.clean'!C:C,'3.1.clean'!A:A=C1346),"""")"),43839.0)</f>
        <v>43839</v>
      </c>
      <c r="H1346" s="58" t="b">
        <f>if(G1346="",FALSE,TRUE)</f>
        <v>1</v>
      </c>
      <c r="I1346" s="58">
        <f>IFERROR(__xludf.DUMMYFUNCTION("iferror(filter('3.1.clean'!G:G,'3.1.clean'!A:A=C1346),"""")"),0.0)</f>
        <v>0</v>
      </c>
      <c r="J1346" s="60" t="str">
        <f>IFERROR(__xludf.DUMMYFUNCTION("iferror(filter('3.1.clean'!I:I,'3.1.clean'!A:A=C1346),"""")"),"")</f>
        <v/>
      </c>
      <c r="K1346" s="58"/>
      <c r="L1346" s="60"/>
      <c r="M1346" s="59" t="str">
        <f>IFERROR(__xludf.DUMMYFUNCTION("iferror(filter('3.3.clean'!C:C,'3.3.clean'!A:A=C1346),"""")"),"")</f>
        <v/>
      </c>
      <c r="N1346" s="60" t="b">
        <f t="shared" si="964"/>
        <v>0</v>
      </c>
      <c r="O1346" s="59" t="str">
        <f>IFERROR(__xludf.DUMMYFUNCTION("iferror(filter('3.4.clean'!C:C,'3.4.clean'!A:A=C1346),"""")"),"")</f>
        <v/>
      </c>
      <c r="P1346" s="60" t="b">
        <f t="shared" si="965"/>
        <v>0</v>
      </c>
      <c r="Q1346" s="59" t="str">
        <f>IFERROR(__xludf.DUMMYFUNCTION("iferror(filter('3.5.clean'!C:C,'3.5.clean'!A:A=C1346),"""")"),"")</f>
        <v/>
      </c>
      <c r="R1346" s="58"/>
      <c r="S1346" s="4" t="str">
        <f>IFERROR(__xludf.DUMMYFUNCTION("iferror(filter('3.5.clean'!H:H,'3.5.clean'!A:A=C1346),"""")"),"")</f>
        <v/>
      </c>
      <c r="W1346" s="23" t="b">
        <f>if(AND(H1346=TRUE,N1346=TRUE,P1346=TRUE),TRUE,FALSE)</f>
        <v>0</v>
      </c>
      <c r="X1346" s="23" t="str">
        <f>IFERROR(__xludf.DUMMYFUNCTION("if(COUNTA(FILTER(C:C, C:C = C1346))=1,""no"",""yes"")"),"no")</f>
        <v>no</v>
      </c>
    </row>
    <row r="1347">
      <c r="A1347" s="1" t="s">
        <v>996</v>
      </c>
      <c r="B1347" s="2">
        <v>3.0</v>
      </c>
      <c r="C1347" s="19" t="s">
        <v>2053</v>
      </c>
      <c r="D1347" s="58" t="str">
        <f t="shared" si="1095"/>
        <v/>
      </c>
      <c r="E1347" s="59">
        <f>Q1347</f>
        <v>43839</v>
      </c>
      <c r="F1347" s="60" t="str">
        <f>IFERROR(__xludf.DUMMYFUNCTION("iferror(ifna(IFNA(filter('2.1.clean'!E:E,'2.1.clean'!A:A=C1347),filter('2.2.clean'!G:G,'2.2.clean'!D:D=C1347)),filter('2.4.clean'!E:E,'2.4.clean'!A:A=C1347)),)"),"")</f>
        <v/>
      </c>
      <c r="G1347" s="59" t="str">
        <f>IFERROR(__xludf.DUMMYFUNCTION("iferror(filter('3.1.clean'!C:C,'3.1.clean'!A:A=C1347),"""")"),"")</f>
        <v/>
      </c>
      <c r="H1347" s="58"/>
      <c r="I1347" s="58" t="str">
        <f>IFERROR(__xludf.DUMMYFUNCTION("iferror(filter('3.1.clean'!G:G,'3.1.clean'!A:A=C1347),"""")"),"")</f>
        <v/>
      </c>
      <c r="J1347" s="60" t="str">
        <f>IFERROR(__xludf.DUMMYFUNCTION("iferror(filter('3.1.clean'!I:I,'3.1.clean'!A:A=C1347),"""")"),"")</f>
        <v/>
      </c>
      <c r="K1347" s="59"/>
      <c r="L1347" s="60"/>
      <c r="M1347" s="59" t="str">
        <f>IFERROR(__xludf.DUMMYFUNCTION("iferror(filter('3.3.clean'!C:C,'3.3.clean'!A:A=C1347),"""")"),"")</f>
        <v/>
      </c>
      <c r="N1347" s="60" t="b">
        <f t="shared" si="964"/>
        <v>0</v>
      </c>
      <c r="O1347" s="59" t="str">
        <f>IFERROR(__xludf.DUMMYFUNCTION("iferror(filter('3.4.clean'!C:C,'3.4.clean'!A:A=C1347),"""")"),"")</f>
        <v/>
      </c>
      <c r="P1347" s="60" t="b">
        <f t="shared" si="965"/>
        <v>0</v>
      </c>
      <c r="Q1347" s="59">
        <f>IFERROR(__xludf.DUMMYFUNCTION("iferror(filter('3.5.clean'!C:C,'3.5.clean'!A:A=C1347),"""")"),43839.0)</f>
        <v>43839</v>
      </c>
      <c r="R1347" s="58" t="b">
        <f t="shared" ref="R1347:R1348" si="1096">if(Q1347="",FALSE,TRUE)</f>
        <v>1</v>
      </c>
      <c r="S1347" s="4">
        <f>IFERROR(__xludf.DUMMYFUNCTION("iferror(filter('3.5.clean'!H:H,'3.5.clean'!A:A=C1347),"""")"),0.0)</f>
        <v>0</v>
      </c>
      <c r="V1347" s="52" t="s">
        <v>64</v>
      </c>
      <c r="W1347" s="23" t="b">
        <f>if(AND(R1347=TRUE,N1347=TRUE,P1347=TRUE),TRUE,FALSE)</f>
        <v>0</v>
      </c>
      <c r="X1347" s="23" t="str">
        <f>IFERROR(__xludf.DUMMYFUNCTION("if(COUNTA(FILTER(C:C, C:C = C1347))=1,""no"",""yes"")"),"no")</f>
        <v>no</v>
      </c>
    </row>
    <row r="1348">
      <c r="A1348" s="1" t="s">
        <v>996</v>
      </c>
      <c r="B1348" s="2">
        <v>4.0</v>
      </c>
      <c r="C1348" s="19" t="s">
        <v>2054</v>
      </c>
      <c r="E1348" s="24">
        <f>IFERROR(__xludf.DUMMYFUNCTION("ifna(IFNA(filter('2.1.clean'!C:C,'2.1.clean'!A:A=C1348),filter('2.2.clean'!E:E,'2.2.clean'!D:D=C1348)),filter('2.4.clean'!C:C,'2.4.clean'!A:A=C1348))"),43839.0)</f>
        <v>43839</v>
      </c>
      <c r="F1348" s="25">
        <f>IFERROR(__xludf.DUMMYFUNCTION("iferror(ifna(IFNA(filter('2.1.clean'!E:E,'2.1.clean'!A:A=C1348),filter('2.2.clean'!G:G,'2.2.clean'!D:D=C1348)),filter('2.4.clean'!E:E,'2.4.clean'!A:A=C1348)),)"),2.39999999999999)</f>
        <v>2.4</v>
      </c>
      <c r="G1348" s="24"/>
      <c r="J1348" s="25"/>
      <c r="K1348" s="24"/>
      <c r="L1348" s="25"/>
      <c r="M1348" s="24">
        <f>IFERROR(__xludf.DUMMYFUNCTION("iferror(filter('3.3.clean'!C:C,'3.3.clean'!A:A=C1348),"""")"),43844.0)</f>
        <v>43844</v>
      </c>
      <c r="N1348" s="25" t="b">
        <f t="shared" si="964"/>
        <v>1</v>
      </c>
      <c r="O1348" s="24">
        <f>IFERROR(__xludf.DUMMYFUNCTION("iferror(filter('3.4.clean'!C:C,'3.4.clean'!A:A=C1348),"""")"),43844.0)</f>
        <v>43844</v>
      </c>
      <c r="P1348" s="25" t="b">
        <f t="shared" si="965"/>
        <v>1</v>
      </c>
      <c r="Q1348" s="24">
        <f>IFERROR(__xludf.DUMMYFUNCTION("iferror(filter('3.5.clean'!C:C,'3.5.clean'!A:A=C1348),"""")"),43839.0)</f>
        <v>43839</v>
      </c>
      <c r="R1348" s="23" t="b">
        <f t="shared" si="1096"/>
        <v>1</v>
      </c>
      <c r="S1348" s="25"/>
      <c r="V1348" s="52" t="s">
        <v>64</v>
      </c>
      <c r="W1348" s="23" t="b">
        <f>IF(and(R1348=TRUE,N1348=TRUE,P1348=TRUE),TRUE,FALSE)</f>
        <v>1</v>
      </c>
      <c r="X1348" s="23" t="str">
        <f>IFERROR(__xludf.DUMMYFUNCTION("if(COUNTA(FILTER(C:C, C:C = C1348))=1,""no"",""yes"")"),"no")</f>
        <v>no</v>
      </c>
    </row>
    <row r="1349">
      <c r="A1349" s="1" t="s">
        <v>996</v>
      </c>
      <c r="B1349" s="2">
        <v>5.0</v>
      </c>
      <c r="C1349" s="19" t="s">
        <v>2055</v>
      </c>
      <c r="D1349" s="58" t="str">
        <f t="shared" ref="D1349:D1350" si="1097">if(or(I1349=1,J1349=1,S1349=1),"pos","")</f>
        <v/>
      </c>
      <c r="E1349" s="59">
        <f>IFERROR(__xludf.DUMMYFUNCTION("ifna(IFNA(filter('2.1.clean'!C:C,'2.1.clean'!A:A=C1349),filter('2.2.clean'!E:E,'2.2.clean'!D:D=C1349)),filter('2.4.clean'!C:C,'2.4.clean'!A:A=C1349))"),43839.0)</f>
        <v>43839</v>
      </c>
      <c r="F1349" s="60">
        <f>IFERROR(__xludf.DUMMYFUNCTION("iferror(ifna(IFNA(filter('2.1.clean'!E:E,'2.1.clean'!A:A=C1349),filter('2.2.clean'!G:G,'2.2.clean'!D:D=C1349)),filter('2.4.clean'!E:E,'2.4.clean'!A:A=C1349)),)"),2.39999999999999)</f>
        <v>2.4</v>
      </c>
      <c r="G1349" s="59">
        <f>IFERROR(__xludf.DUMMYFUNCTION("iferror(filter('3.1.clean'!C:C,'3.1.clean'!A:A=C1349),"""")"),43839.0)</f>
        <v>43839</v>
      </c>
      <c r="H1349" s="58" t="b">
        <f>if(G1349="",FALSE,TRUE)</f>
        <v>1</v>
      </c>
      <c r="I1349" s="58">
        <f>IFERROR(__xludf.DUMMYFUNCTION("iferror(filter('3.1.clean'!G:G,'3.1.clean'!A:A=C1349),"""")"),0.0)</f>
        <v>0</v>
      </c>
      <c r="J1349" s="60" t="str">
        <f>IFERROR(__xludf.DUMMYFUNCTION("iferror(filter('3.1.clean'!I:I,'3.1.clean'!A:A=C1349),"""")"),"")</f>
        <v/>
      </c>
      <c r="K1349" s="58"/>
      <c r="L1349" s="60"/>
      <c r="M1349" s="59" t="str">
        <f>IFERROR(__xludf.DUMMYFUNCTION("iferror(filter('3.3.clean'!C:C,'3.3.clean'!A:A=C1349),"""")"),"")</f>
        <v/>
      </c>
      <c r="N1349" s="60" t="b">
        <f t="shared" si="964"/>
        <v>0</v>
      </c>
      <c r="O1349" s="59" t="str">
        <f>IFERROR(__xludf.DUMMYFUNCTION("iferror(filter('3.4.clean'!C:C,'3.4.clean'!A:A=C1349),"""")"),"")</f>
        <v/>
      </c>
      <c r="P1349" s="60" t="b">
        <f t="shared" si="965"/>
        <v>0</v>
      </c>
      <c r="Q1349" s="59" t="str">
        <f>IFERROR(__xludf.DUMMYFUNCTION("iferror(filter('3.5.clean'!C:C,'3.5.clean'!A:A=C1349),"""")"),"")</f>
        <v/>
      </c>
      <c r="R1349" s="58"/>
      <c r="S1349" s="4" t="str">
        <f>IFERROR(__xludf.DUMMYFUNCTION("iferror(filter('3.5.clean'!H:H,'3.5.clean'!A:A=C1349),"""")"),"")</f>
        <v/>
      </c>
      <c r="W1349" s="23" t="b">
        <f>if(AND(H1349=TRUE,N1349=TRUE,P1349=TRUE),TRUE,FALSE)</f>
        <v>0</v>
      </c>
      <c r="X1349" s="23" t="str">
        <f>IFERROR(__xludf.DUMMYFUNCTION("if(COUNTA(FILTER(C:C, C:C = C1349))=1,""no"",""yes"")"),"no")</f>
        <v>no</v>
      </c>
    </row>
    <row r="1350">
      <c r="A1350" s="1" t="s">
        <v>996</v>
      </c>
      <c r="B1350" s="2">
        <v>6.0</v>
      </c>
      <c r="C1350" s="19" t="s">
        <v>2056</v>
      </c>
      <c r="D1350" s="58" t="str">
        <f t="shared" si="1097"/>
        <v/>
      </c>
      <c r="E1350" s="59">
        <f>Q1350</f>
        <v>43839</v>
      </c>
      <c r="F1350" s="60" t="str">
        <f>IFERROR(__xludf.DUMMYFUNCTION("iferror(ifna(IFNA(filter('2.1.clean'!E:E,'2.1.clean'!A:A=C1350),filter('2.2.clean'!G:G,'2.2.clean'!D:D=C1350)),filter('2.4.clean'!E:E,'2.4.clean'!A:A=C1350)),)"),"")</f>
        <v/>
      </c>
      <c r="G1350" s="59" t="str">
        <f>IFERROR(__xludf.DUMMYFUNCTION("iferror(filter('3.1.clean'!C:C,'3.1.clean'!A:A=C1350),"""")"),"")</f>
        <v/>
      </c>
      <c r="H1350" s="58"/>
      <c r="I1350" s="58" t="str">
        <f>IFERROR(__xludf.DUMMYFUNCTION("iferror(filter('3.1.clean'!G:G,'3.1.clean'!A:A=C1350),"""")"),"")</f>
        <v/>
      </c>
      <c r="J1350" s="60" t="str">
        <f>IFERROR(__xludf.DUMMYFUNCTION("iferror(filter('3.1.clean'!I:I,'3.1.clean'!A:A=C1350),"""")"),"")</f>
        <v/>
      </c>
      <c r="K1350" s="59"/>
      <c r="L1350" s="60"/>
      <c r="M1350" s="59" t="str">
        <f>IFERROR(__xludf.DUMMYFUNCTION("iferror(filter('3.3.clean'!C:C,'3.3.clean'!A:A=C1350),"""")"),"")</f>
        <v/>
      </c>
      <c r="N1350" s="60" t="b">
        <f t="shared" si="964"/>
        <v>0</v>
      </c>
      <c r="O1350" s="59" t="str">
        <f>IFERROR(__xludf.DUMMYFUNCTION("iferror(filter('3.4.clean'!C:C,'3.4.clean'!A:A=C1350),"""")"),"")</f>
        <v/>
      </c>
      <c r="P1350" s="60" t="b">
        <f t="shared" si="965"/>
        <v>0</v>
      </c>
      <c r="Q1350" s="59">
        <f>IFERROR(__xludf.DUMMYFUNCTION("iferror(filter('3.5.clean'!C:C,'3.5.clean'!A:A=C1350),"""")"),43839.0)</f>
        <v>43839</v>
      </c>
      <c r="R1350" s="58" t="b">
        <f t="shared" ref="R1350:R1351" si="1098">if(Q1350="",FALSE,TRUE)</f>
        <v>1</v>
      </c>
      <c r="S1350" s="4">
        <f>IFERROR(__xludf.DUMMYFUNCTION("iferror(filter('3.5.clean'!H:H,'3.5.clean'!A:A=C1350),"""")"),0.0)</f>
        <v>0</v>
      </c>
      <c r="V1350" s="52" t="s">
        <v>64</v>
      </c>
      <c r="W1350" s="23" t="b">
        <f>if(AND(R1350=TRUE,N1350=TRUE,P1350=TRUE),TRUE,FALSE)</f>
        <v>0</v>
      </c>
      <c r="X1350" s="23" t="str">
        <f>IFERROR(__xludf.DUMMYFUNCTION("if(COUNTA(FILTER(C:C, C:C = C1350))=1,""no"",""yes"")"),"no")</f>
        <v>no</v>
      </c>
    </row>
    <row r="1351">
      <c r="A1351" s="1" t="s">
        <v>996</v>
      </c>
      <c r="B1351" s="2">
        <v>7.0</v>
      </c>
      <c r="C1351" s="19" t="s">
        <v>2057</v>
      </c>
      <c r="E1351" s="24">
        <f>IFERROR(__xludf.DUMMYFUNCTION("ifna(IFNA(filter('2.1.clean'!C:C,'2.1.clean'!A:A=C1351),filter('2.2.clean'!E:E,'2.2.clean'!D:D=C1351)),filter('2.4.clean'!C:C,'2.4.clean'!A:A=C1351))"),43839.0)</f>
        <v>43839</v>
      </c>
      <c r="F1351" s="25">
        <f>IFERROR(__xludf.DUMMYFUNCTION("iferror(ifna(IFNA(filter('2.1.clean'!E:E,'2.1.clean'!A:A=C1351),filter('2.2.clean'!G:G,'2.2.clean'!D:D=C1351)),filter('2.4.clean'!E:E,'2.4.clean'!A:A=C1351)),)"),2.39999999999999)</f>
        <v>2.4</v>
      </c>
      <c r="G1351" s="24">
        <f>IFERROR(__xludf.DUMMYFUNCTION("iferror(filter('3.1.clean'!C:C,'3.1.clean'!A:A=C1351),"""")"),43839.0)</f>
        <v>43839</v>
      </c>
      <c r="H1351" s="23" t="b">
        <f t="shared" ref="H1351:H1352" si="1099">if(G1351="",FALSE,TRUE)</f>
        <v>1</v>
      </c>
      <c r="J1351" s="25"/>
      <c r="K1351" s="24">
        <f>IFERROR(__xludf.DUMMYFUNCTION("iferror(filter('3.2.clean'!C:C,'3.2.clean'!A:A=C1351),"""")"),43839.0)</f>
        <v>43839</v>
      </c>
      <c r="L1351" s="25" t="b">
        <f>if(K1351="",FALSE,TRUE)</f>
        <v>1</v>
      </c>
      <c r="M1351" s="24">
        <f>IFERROR(__xludf.DUMMYFUNCTION("iferror(filter('3.3.clean'!C:C,'3.3.clean'!A:A=C1351),"""")"),43844.0)</f>
        <v>43844</v>
      </c>
      <c r="N1351" s="25" t="b">
        <f t="shared" si="964"/>
        <v>1</v>
      </c>
      <c r="O1351" s="24">
        <f>IFERROR(__xludf.DUMMYFUNCTION("iferror(filter('3.4.clean'!C:C,'3.4.clean'!A:A=C1351),"""")"),43846.0)</f>
        <v>43846</v>
      </c>
      <c r="P1351" s="25" t="b">
        <f t="shared" si="965"/>
        <v>1</v>
      </c>
      <c r="Q1351" s="24">
        <f>IFERROR(__xludf.DUMMYFUNCTION("iferror(filter('3.5.clean'!C:C,'3.5.clean'!A:A=C1351),"""")"),43839.0)</f>
        <v>43839</v>
      </c>
      <c r="R1351" s="23" t="b">
        <f t="shared" si="1098"/>
        <v>1</v>
      </c>
      <c r="S1351" s="25"/>
      <c r="V1351" s="1" t="s">
        <v>64</v>
      </c>
      <c r="X1351" s="23" t="str">
        <f>IFERROR(__xludf.DUMMYFUNCTION("if(COUNTA(FILTER(C:C, C:C = C1351))=1,""no"",""yes"")"),"no")</f>
        <v>no</v>
      </c>
    </row>
    <row r="1352">
      <c r="A1352" s="1" t="s">
        <v>996</v>
      </c>
      <c r="B1352" s="2">
        <v>8.0</v>
      </c>
      <c r="C1352" s="19" t="s">
        <v>2058</v>
      </c>
      <c r="D1352" s="58" t="str">
        <f t="shared" ref="D1352:D1355" si="1100">if(or(I1352=1,J1352=1,S1352=1),"pos","")</f>
        <v/>
      </c>
      <c r="E1352" s="59">
        <f>IFERROR(__xludf.DUMMYFUNCTION("ifna(IFNA(filter('2.1.clean'!C:C,'2.1.clean'!A:A=C1352),filter('2.2.clean'!E:E,'2.2.clean'!D:D=C1352)),filter('2.4.clean'!C:C,'2.4.clean'!A:A=C1352))"),43839.0)</f>
        <v>43839</v>
      </c>
      <c r="F1352" s="60">
        <f>IFERROR(__xludf.DUMMYFUNCTION("iferror(ifna(IFNA(filter('2.1.clean'!E:E,'2.1.clean'!A:A=C1352),filter('2.2.clean'!G:G,'2.2.clean'!D:D=C1352)),filter('2.4.clean'!E:E,'2.4.clean'!A:A=C1352)),)"),2.39999999999999)</f>
        <v>2.4</v>
      </c>
      <c r="G1352" s="59">
        <f>IFERROR(__xludf.DUMMYFUNCTION("iferror(filter('3.1.clean'!C:C,'3.1.clean'!A:A=C1352),"""")"),43839.0)</f>
        <v>43839</v>
      </c>
      <c r="H1352" s="58" t="b">
        <f t="shared" si="1099"/>
        <v>1</v>
      </c>
      <c r="I1352" s="58">
        <f>IFERROR(__xludf.DUMMYFUNCTION("iferror(filter('3.1.clean'!G:G,'3.1.clean'!A:A=C1352),"""")"),0.0)</f>
        <v>0</v>
      </c>
      <c r="J1352" s="60" t="str">
        <f>IFERROR(__xludf.DUMMYFUNCTION("iferror(filter('3.1.clean'!I:I,'3.1.clean'!A:A=C1352),"""")"),"")</f>
        <v/>
      </c>
      <c r="K1352" s="58"/>
      <c r="L1352" s="60"/>
      <c r="M1352" s="59">
        <f>IFERROR(__xludf.DUMMYFUNCTION("iferror(filter('3.3.clean'!C:C,'3.3.clean'!A:A=C1352),"""")"),43844.0)</f>
        <v>43844</v>
      </c>
      <c r="N1352" s="60" t="b">
        <f t="shared" si="964"/>
        <v>1</v>
      </c>
      <c r="O1352" s="59" t="str">
        <f>IFERROR(__xludf.DUMMYFUNCTION("iferror(filter('3.4.clean'!C:C,'3.4.clean'!A:A=C1352),"""")"),"")</f>
        <v/>
      </c>
      <c r="P1352" s="60" t="b">
        <f t="shared" si="965"/>
        <v>0</v>
      </c>
      <c r="Q1352" s="59" t="str">
        <f>IFERROR(__xludf.DUMMYFUNCTION("iferror(filter('3.5.clean'!C:C,'3.5.clean'!A:A=C1352),"""")"),"")</f>
        <v/>
      </c>
      <c r="R1352" s="58"/>
      <c r="S1352" s="4" t="str">
        <f>IFERROR(__xludf.DUMMYFUNCTION("iferror(filter('3.5.clean'!H:H,'3.5.clean'!A:A=C1352),"""")"),"")</f>
        <v/>
      </c>
      <c r="W1352" s="23" t="b">
        <f>if(AND(H1352=TRUE,N1352=TRUE,P1352=TRUE),TRUE,FALSE)</f>
        <v>0</v>
      </c>
      <c r="X1352" s="23" t="str">
        <f>IFERROR(__xludf.DUMMYFUNCTION("if(COUNTA(FILTER(C:C, C:C = C1352))=1,""no"",""yes"")"),"no")</f>
        <v>no</v>
      </c>
    </row>
    <row r="1353">
      <c r="A1353" s="1" t="s">
        <v>996</v>
      </c>
      <c r="B1353" s="2">
        <v>9.0</v>
      </c>
      <c r="C1353" s="19" t="s">
        <v>2059</v>
      </c>
      <c r="D1353" s="58" t="str">
        <f t="shared" si="1100"/>
        <v/>
      </c>
      <c r="E1353" s="59">
        <f t="shared" ref="E1353:E1354" si="1101">Q1353</f>
        <v>43839</v>
      </c>
      <c r="F1353" s="60" t="str">
        <f>IFERROR(__xludf.DUMMYFUNCTION("iferror(ifna(IFNA(filter('2.1.clean'!E:E,'2.1.clean'!A:A=C1353),filter('2.2.clean'!G:G,'2.2.clean'!D:D=C1353)),filter('2.4.clean'!E:E,'2.4.clean'!A:A=C1353)),)"),"")</f>
        <v/>
      </c>
      <c r="G1353" s="59" t="str">
        <f>IFERROR(__xludf.DUMMYFUNCTION("iferror(filter('3.1.clean'!C:C,'3.1.clean'!A:A=C1353),"""")"),"")</f>
        <v/>
      </c>
      <c r="H1353" s="58"/>
      <c r="I1353" s="58" t="str">
        <f>IFERROR(__xludf.DUMMYFUNCTION("iferror(filter('3.1.clean'!G:G,'3.1.clean'!A:A=C1353),"""")"),"")</f>
        <v/>
      </c>
      <c r="J1353" s="60" t="str">
        <f>IFERROR(__xludf.DUMMYFUNCTION("iferror(filter('3.1.clean'!I:I,'3.1.clean'!A:A=C1353),"""")"),"")</f>
        <v/>
      </c>
      <c r="K1353" s="59"/>
      <c r="L1353" s="60"/>
      <c r="M1353" s="59" t="str">
        <f>IFERROR(__xludf.DUMMYFUNCTION("iferror(filter('3.3.clean'!C:C,'3.3.clean'!A:A=C1353),"""")"),"")</f>
        <v/>
      </c>
      <c r="N1353" s="60" t="b">
        <f t="shared" si="964"/>
        <v>0</v>
      </c>
      <c r="O1353" s="59">
        <f>IFERROR(__xludf.DUMMYFUNCTION("iferror(filter('3.4.clean'!C:C,'3.4.clean'!A:A=C1353),"""")"),43846.0)</f>
        <v>43846</v>
      </c>
      <c r="P1353" s="60" t="b">
        <f t="shared" si="965"/>
        <v>1</v>
      </c>
      <c r="Q1353" s="59">
        <f>IFERROR(__xludf.DUMMYFUNCTION("iferror(filter('3.5.clean'!C:C,'3.5.clean'!A:A=C1353),"""")"),43839.0)</f>
        <v>43839</v>
      </c>
      <c r="R1353" s="58" t="b">
        <f t="shared" ref="R1353:R1354" si="1102">if(Q1353="",FALSE,TRUE)</f>
        <v>1</v>
      </c>
      <c r="S1353" s="4">
        <f>IFERROR(__xludf.DUMMYFUNCTION("iferror(filter('3.5.clean'!H:H,'3.5.clean'!A:A=C1353),"""")"),0.0)</f>
        <v>0</v>
      </c>
      <c r="V1353" s="52" t="s">
        <v>64</v>
      </c>
      <c r="W1353" s="23" t="b">
        <f>if(AND(R1353=TRUE,N1353=TRUE,P1353=TRUE),TRUE,FALSE)</f>
        <v>0</v>
      </c>
      <c r="X1353" s="23" t="str">
        <f>IFERROR(__xludf.DUMMYFUNCTION("if(COUNTA(FILTER(C:C, C:C = C1353))=1,""no"",""yes"")"),"no")</f>
        <v>no</v>
      </c>
    </row>
    <row r="1354">
      <c r="A1354" s="1" t="s">
        <v>996</v>
      </c>
      <c r="B1354" s="2">
        <v>13.0</v>
      </c>
      <c r="C1354" s="19" t="s">
        <v>2060</v>
      </c>
      <c r="D1354" s="22" t="str">
        <f t="shared" si="1100"/>
        <v/>
      </c>
      <c r="E1354" s="20">
        <f t="shared" si="1101"/>
        <v>43839</v>
      </c>
      <c r="F1354" s="79" t="str">
        <f>IFERROR(__xludf.DUMMYFUNCTION("iferror(ifna(IFNA(filter('2.1.clean'!E:E,'2.1.clean'!A:A=C1354),filter('2.2.clean'!G:G,'2.2.clean'!D:D=C1354)),filter('2.4.clean'!E:E,'2.4.clean'!A:A=C1354)),)"),"")</f>
        <v/>
      </c>
      <c r="G1354" s="20" t="str">
        <f>IFERROR(__xludf.DUMMYFUNCTION("iferror(filter('3.1.clean'!C:C,'3.1.clean'!A:A=C1354),"""")"),"")</f>
        <v/>
      </c>
      <c r="H1354" s="22"/>
      <c r="I1354" s="22"/>
      <c r="J1354" s="79"/>
      <c r="K1354" s="20" t="str">
        <f>IFERROR(__xludf.DUMMYFUNCTION("iferror(filter('3.2.clean'!C:C,'3.2.clean'!A:A=C1354),"""")"),"")</f>
        <v/>
      </c>
      <c r="L1354" s="79"/>
      <c r="M1354" s="20" t="str">
        <f>IFERROR(__xludf.DUMMYFUNCTION("iferror(filter('3.3.clean'!C:C,'3.3.clean'!A:A=C1354),"""")"),"")</f>
        <v/>
      </c>
      <c r="N1354" s="79" t="b">
        <f t="shared" si="964"/>
        <v>0</v>
      </c>
      <c r="O1354" s="20" t="str">
        <f>IFERROR(__xludf.DUMMYFUNCTION("iferror(filter('3.4.clean'!C:C,'3.4.clean'!A:A=C1354),"""")"),"")</f>
        <v/>
      </c>
      <c r="P1354" s="79" t="b">
        <f t="shared" si="965"/>
        <v>0</v>
      </c>
      <c r="Q1354" s="20">
        <f>IFERROR(__xludf.DUMMYFUNCTION("iferror(filter('3.5.clean'!C:C,'3.5.clean'!A:A=C1354),"""")"),43839.0)</f>
        <v>43839</v>
      </c>
      <c r="R1354" s="22" t="b">
        <f t="shared" si="1102"/>
        <v>1</v>
      </c>
      <c r="S1354" s="4">
        <f>IFERROR(__xludf.DUMMYFUNCTION("iferror(filter('3.5.clean'!H:H,'3.5.clean'!A:A=C1354),"""")"),0.0)</f>
        <v>0</v>
      </c>
      <c r="V1354" s="1" t="s">
        <v>64</v>
      </c>
      <c r="W1354" s="23" t="b">
        <f>IF(and(R1354=TRUE,N1354=TRUE,P1354=TRUE),TRUE,FALSE)</f>
        <v>0</v>
      </c>
      <c r="X1354" s="23" t="str">
        <f>IFERROR(__xludf.DUMMYFUNCTION("if(COUNTA(FILTER(C:C, C:C = C1354))=1,""no"",""yes"")"),"no")</f>
        <v>no</v>
      </c>
    </row>
    <row r="1355">
      <c r="A1355" s="1" t="s">
        <v>996</v>
      </c>
      <c r="B1355" s="19">
        <v>14.0</v>
      </c>
      <c r="C1355" s="19" t="s">
        <v>2061</v>
      </c>
      <c r="D1355" s="76" t="str">
        <f t="shared" si="1100"/>
        <v/>
      </c>
      <c r="E1355" s="77">
        <f>G1355</f>
        <v>43839</v>
      </c>
      <c r="F1355" s="78" t="str">
        <f>IFERROR(__xludf.DUMMYFUNCTION("iferror(ifna(IFNA(filter('2.1.clean'!E:E,'2.1.clean'!A:A=C1355),filter('2.2.clean'!G:G,'2.2.clean'!D:D=C1355)),filter('2.4.clean'!E:E,'2.4.clean'!A:A=C1355)),)"),"")</f>
        <v/>
      </c>
      <c r="G1355" s="77">
        <f>IFERROR(__xludf.DUMMYFUNCTION("iferror(filter('3.1.clean'!C:C,'3.1.clean'!A:A=C1355),"""")"),43839.0)</f>
        <v>43839</v>
      </c>
      <c r="H1355" s="76" t="b">
        <f>if(G1355="",FALSE,TRUE)</f>
        <v>1</v>
      </c>
      <c r="I1355" s="76">
        <f>IFERROR(__xludf.DUMMYFUNCTION("iferror(filter('3.1.clean'!G:G,'3.1.clean'!A:A=C1355),"""")"),0.0)</f>
        <v>0</v>
      </c>
      <c r="J1355" s="78" t="str">
        <f>IFERROR(__xludf.DUMMYFUNCTION("iferror(filter('3.1.clean'!I:I,'3.1.clean'!A:A=C1355),"""")"),"")</f>
        <v/>
      </c>
      <c r="K1355" s="77"/>
      <c r="L1355" s="78"/>
      <c r="M1355" s="77"/>
      <c r="N1355" s="78"/>
      <c r="O1355" s="77"/>
      <c r="P1355" s="78"/>
      <c r="Q1355" s="77"/>
      <c r="R1355" s="76"/>
      <c r="S1355" s="25"/>
      <c r="V1355" s="1" t="s">
        <v>64</v>
      </c>
      <c r="W1355" s="1" t="b">
        <v>1</v>
      </c>
      <c r="X1355" s="23" t="str">
        <f>IFERROR(__xludf.DUMMYFUNCTION("if(COUNTA(FILTER(C:C, C:C = C1355))=1,""no"",""yes"")"),"no")</f>
        <v>no</v>
      </c>
    </row>
    <row r="1356">
      <c r="A1356" s="1" t="s">
        <v>996</v>
      </c>
      <c r="B1356" s="2">
        <v>15.0</v>
      </c>
      <c r="C1356" s="19" t="s">
        <v>2062</v>
      </c>
      <c r="E1356" s="24">
        <f>M1356</f>
        <v>43839</v>
      </c>
      <c r="F1356" s="25" t="str">
        <f>IFERROR(__xludf.DUMMYFUNCTION("iferror(ifna(IFNA(filter('2.1.clean'!E:E,'2.1.clean'!A:A=C1356),filter('2.2.clean'!G:G,'2.2.clean'!D:D=C1356)),filter('2.4.clean'!E:E,'2.4.clean'!A:A=C1356)),)"),"")</f>
        <v/>
      </c>
      <c r="G1356" s="24" t="str">
        <f>IFERROR(__xludf.DUMMYFUNCTION("iferror(filter('3.1.clean'!C:C,'3.1.clean'!A:A=C1356),"""")"),"")</f>
        <v/>
      </c>
      <c r="J1356" s="25"/>
      <c r="K1356" s="24" t="str">
        <f>IFERROR(__xludf.DUMMYFUNCTION("iferror(filter('3.2.clean'!C:C,'3.2.clean'!A:A=C1356),"""")"),"")</f>
        <v/>
      </c>
      <c r="L1356" s="25"/>
      <c r="M1356" s="24">
        <f>IFERROR(__xludf.DUMMYFUNCTION("iferror(filter('3.3.clean'!C:C,'3.3.clean'!A:A=C1356),"""")"),43839.0)</f>
        <v>43839</v>
      </c>
      <c r="N1356" s="25" t="b">
        <f t="shared" ref="N1356:N1369" si="1103">if(M1356="",FALSE,TRUE)</f>
        <v>1</v>
      </c>
      <c r="O1356" s="24" t="str">
        <f>IFERROR(__xludf.DUMMYFUNCTION("iferror(filter('3.4.clean'!C:C,'3.4.clean'!A:A=C1356),"""")"),"")</f>
        <v/>
      </c>
      <c r="P1356" s="25" t="b">
        <f t="shared" ref="P1356:P1369" si="1104">if(O1356="",FALSE,TRUE)</f>
        <v>0</v>
      </c>
      <c r="Q1356" s="24" t="str">
        <f>IFERROR(__xludf.DUMMYFUNCTION("iferror(filter('3.5.clean'!C:C,'3.5.clean'!A:A=C1356),"""")"),"")</f>
        <v/>
      </c>
      <c r="S1356" s="25"/>
      <c r="V1356" s="52" t="s">
        <v>64</v>
      </c>
      <c r="X1356" s="23" t="str">
        <f>IFERROR(__xludf.DUMMYFUNCTION("if(COUNTA(FILTER(C:C, C:C = C1356))=1,""no"",""yes"")"),"no")</f>
        <v>no</v>
      </c>
    </row>
    <row r="1357">
      <c r="A1357" s="75" t="s">
        <v>1000</v>
      </c>
      <c r="B1357" s="2">
        <v>1.0</v>
      </c>
      <c r="C1357" s="19" t="s">
        <v>2063</v>
      </c>
      <c r="E1357" s="24">
        <f>IFERROR(__xludf.DUMMYFUNCTION("ifna(IFNA(filter('2.1.clean'!C:C,'2.1.clean'!A:A=C1357),filter('2.2.clean'!E:E,'2.2.clean'!D:D=C1357)),filter('2.4.clean'!C:C,'2.4.clean'!A:A=C1357))"),43843.0)</f>
        <v>43843</v>
      </c>
      <c r="F1357" s="25">
        <f>IFERROR(__xludf.DUMMYFUNCTION("iferror(ifna(IFNA(filter('2.1.clean'!E:E,'2.1.clean'!A:A=C1357),filter('2.2.clean'!G:G,'2.2.clean'!D:D=C1357)),filter('2.4.clean'!E:E,'2.4.clean'!A:A=C1357)),)"),2.39999999999999)</f>
        <v>2.4</v>
      </c>
      <c r="G1357" s="24">
        <f>IFERROR(__xludf.DUMMYFUNCTION("iferror(filter('3.1.clean'!C:C,'3.1.clean'!A:A=C1357),"""")"),43843.0)</f>
        <v>43843</v>
      </c>
      <c r="H1357" s="23" t="b">
        <f t="shared" ref="H1357:H1358" si="1105">if(G1357="",FALSE,TRUE)</f>
        <v>1</v>
      </c>
      <c r="J1357" s="25"/>
      <c r="K1357" s="24">
        <f>IFERROR(__xludf.DUMMYFUNCTION("iferror(filter('3.2.clean'!C:C,'3.2.clean'!A:A=C1357),"""")"),43844.0)</f>
        <v>43844</v>
      </c>
      <c r="L1357" s="25" t="b">
        <f>if(K1357="",FALSE,TRUE)</f>
        <v>1</v>
      </c>
      <c r="M1357" s="24">
        <f>IFERROR(__xludf.DUMMYFUNCTION("iferror(filter('3.3.clean'!C:C,'3.3.clean'!A:A=C1357),"""")"),43844.0)</f>
        <v>43844</v>
      </c>
      <c r="N1357" s="25" t="b">
        <f t="shared" si="1103"/>
        <v>1</v>
      </c>
      <c r="O1357" s="24">
        <f>IFERROR(__xludf.DUMMYFUNCTION("iferror(filter('3.4.clean'!C:C,'3.4.clean'!A:A=C1357),"""")"),43846.0)</f>
        <v>43846</v>
      </c>
      <c r="P1357" s="25" t="b">
        <f t="shared" si="1104"/>
        <v>1</v>
      </c>
      <c r="Q1357" s="24">
        <f>IFERROR(__xludf.DUMMYFUNCTION("iferror(filter('3.5.clean'!C:C,'3.5.clean'!A:A=C1357),"""")"),43843.0)</f>
        <v>43843</v>
      </c>
      <c r="R1357" s="23" t="b">
        <f>if(Q1357="",FALSE,TRUE)</f>
        <v>1</v>
      </c>
      <c r="S1357" s="25"/>
      <c r="V1357" s="1" t="s">
        <v>64</v>
      </c>
      <c r="X1357" s="23" t="str">
        <f>IFERROR(__xludf.DUMMYFUNCTION("if(COUNTA(FILTER(C:C, C:C = C1357))=1,""no"",""yes"")"),"no")</f>
        <v>no</v>
      </c>
    </row>
    <row r="1358">
      <c r="A1358" s="75" t="s">
        <v>1000</v>
      </c>
      <c r="B1358" s="2">
        <v>2.0</v>
      </c>
      <c r="C1358" s="19" t="s">
        <v>2064</v>
      </c>
      <c r="D1358" s="58" t="str">
        <f t="shared" ref="D1358:D1359" si="1106">if(or(I1358=1,J1358=1,S1358=1),"pos","")</f>
        <v/>
      </c>
      <c r="E1358" s="59">
        <f>IFERROR(__xludf.DUMMYFUNCTION("ifna(IFNA(filter('2.1.clean'!C:C,'2.1.clean'!A:A=C1358),filter('2.2.clean'!E:E,'2.2.clean'!D:D=C1358)),filter('2.4.clean'!C:C,'2.4.clean'!A:A=C1358))"),43843.0)</f>
        <v>43843</v>
      </c>
      <c r="F1358" s="60">
        <f>IFERROR(__xludf.DUMMYFUNCTION("iferror(ifna(IFNA(filter('2.1.clean'!E:E,'2.1.clean'!A:A=C1358),filter('2.2.clean'!G:G,'2.2.clean'!D:D=C1358)),filter('2.4.clean'!E:E,'2.4.clean'!A:A=C1358)),)"),2.39999999999999)</f>
        <v>2.4</v>
      </c>
      <c r="G1358" s="59">
        <f>IFERROR(__xludf.DUMMYFUNCTION("iferror(filter('3.1.clean'!C:C,'3.1.clean'!A:A=C1358),"""")"),43843.0)</f>
        <v>43843</v>
      </c>
      <c r="H1358" s="58" t="b">
        <f t="shared" si="1105"/>
        <v>1</v>
      </c>
      <c r="I1358" s="58">
        <f>IFERROR(__xludf.DUMMYFUNCTION("iferror(filter('3.1.clean'!G:G,'3.1.clean'!A:A=C1358),"""")"),0.0)</f>
        <v>0</v>
      </c>
      <c r="J1358" s="60" t="str">
        <f>IFERROR(__xludf.DUMMYFUNCTION("iferror(filter('3.1.clean'!I:I,'3.1.clean'!A:A=C1358),"""")"),"")</f>
        <v/>
      </c>
      <c r="K1358" s="58"/>
      <c r="L1358" s="60"/>
      <c r="M1358" s="59">
        <f>IFERROR(__xludf.DUMMYFUNCTION("iferror(filter('3.3.clean'!C:C,'3.3.clean'!A:A=C1358),"""")"),43844.0)</f>
        <v>43844</v>
      </c>
      <c r="N1358" s="60" t="b">
        <f t="shared" si="1103"/>
        <v>1</v>
      </c>
      <c r="O1358" s="59" t="str">
        <f>IFERROR(__xludf.DUMMYFUNCTION("iferror(filter('3.4.clean'!C:C,'3.4.clean'!A:A=C1358),"""")"),"")</f>
        <v/>
      </c>
      <c r="P1358" s="60" t="b">
        <f t="shared" si="1104"/>
        <v>0</v>
      </c>
      <c r="Q1358" s="59" t="str">
        <f>IFERROR(__xludf.DUMMYFUNCTION("iferror(filter('3.5.clean'!C:C,'3.5.clean'!A:A=C1358),"""")"),"")</f>
        <v/>
      </c>
      <c r="R1358" s="58"/>
      <c r="S1358" s="4" t="str">
        <f>IFERROR(__xludf.DUMMYFUNCTION("iferror(filter('3.5.clean'!H:H,'3.5.clean'!A:A=C1358),"""")"),"")</f>
        <v/>
      </c>
      <c r="W1358" s="23" t="b">
        <f>if(AND(H1358=TRUE,N1358=TRUE,P1358=TRUE),TRUE,FALSE)</f>
        <v>0</v>
      </c>
      <c r="X1358" s="23" t="str">
        <f>IFERROR(__xludf.DUMMYFUNCTION("if(COUNTA(FILTER(C:C, C:C = C1358))=1,""no"",""yes"")"),"no")</f>
        <v>no</v>
      </c>
    </row>
    <row r="1359">
      <c r="A1359" s="75" t="s">
        <v>1000</v>
      </c>
      <c r="B1359" s="2">
        <v>3.0</v>
      </c>
      <c r="C1359" s="19" t="s">
        <v>2065</v>
      </c>
      <c r="D1359" s="58" t="str">
        <f t="shared" si="1106"/>
        <v/>
      </c>
      <c r="E1359" s="59">
        <f>Q1359</f>
        <v>43843</v>
      </c>
      <c r="F1359" s="60" t="str">
        <f>IFERROR(__xludf.DUMMYFUNCTION("iferror(ifna(IFNA(filter('2.1.clean'!E:E,'2.1.clean'!A:A=C1359),filter('2.2.clean'!G:G,'2.2.clean'!D:D=C1359)),filter('2.4.clean'!E:E,'2.4.clean'!A:A=C1359)),)"),"")</f>
        <v/>
      </c>
      <c r="G1359" s="59" t="str">
        <f>IFERROR(__xludf.DUMMYFUNCTION("iferror(filter('3.1.clean'!C:C,'3.1.clean'!A:A=C1359),"""")"),"")</f>
        <v/>
      </c>
      <c r="H1359" s="58"/>
      <c r="I1359" s="58" t="str">
        <f>IFERROR(__xludf.DUMMYFUNCTION("iferror(filter('3.1.clean'!G:G,'3.1.clean'!A:A=C1359),"""")"),"")</f>
        <v/>
      </c>
      <c r="J1359" s="60" t="str">
        <f>IFERROR(__xludf.DUMMYFUNCTION("iferror(filter('3.1.clean'!I:I,'3.1.clean'!A:A=C1359),"""")"),"")</f>
        <v/>
      </c>
      <c r="K1359" s="59"/>
      <c r="L1359" s="60"/>
      <c r="M1359" s="59" t="str">
        <f>IFERROR(__xludf.DUMMYFUNCTION("iferror(filter('3.3.clean'!C:C,'3.3.clean'!A:A=C1359),"""")"),"")</f>
        <v/>
      </c>
      <c r="N1359" s="60" t="b">
        <f t="shared" si="1103"/>
        <v>0</v>
      </c>
      <c r="O1359" s="59">
        <f>IFERROR(__xludf.DUMMYFUNCTION("iferror(filter('3.4.clean'!C:C,'3.4.clean'!A:A=C1359),"""")"),43846.0)</f>
        <v>43846</v>
      </c>
      <c r="P1359" s="60" t="b">
        <f t="shared" si="1104"/>
        <v>1</v>
      </c>
      <c r="Q1359" s="59">
        <f>IFERROR(__xludf.DUMMYFUNCTION("iferror(filter('3.5.clean'!C:C,'3.5.clean'!A:A=C1359),"""")"),43843.0)</f>
        <v>43843</v>
      </c>
      <c r="R1359" s="58" t="b">
        <f t="shared" ref="R1359:R1360" si="1107">if(Q1359="",FALSE,TRUE)</f>
        <v>1</v>
      </c>
      <c r="S1359" s="4">
        <f>IFERROR(__xludf.DUMMYFUNCTION("iferror(filter('3.5.clean'!H:H,'3.5.clean'!A:A=C1359),"""")"),0.0)</f>
        <v>0</v>
      </c>
      <c r="V1359" s="52" t="s">
        <v>64</v>
      </c>
      <c r="W1359" s="23" t="b">
        <f>if(AND(R1359=TRUE,N1359=TRUE,P1359=TRUE),TRUE,FALSE)</f>
        <v>0</v>
      </c>
      <c r="X1359" s="23" t="str">
        <f>IFERROR(__xludf.DUMMYFUNCTION("if(COUNTA(FILTER(C:C, C:C = C1359))=1,""no"",""yes"")"),"no")</f>
        <v>no</v>
      </c>
    </row>
    <row r="1360">
      <c r="A1360" s="75" t="s">
        <v>1000</v>
      </c>
      <c r="B1360" s="2">
        <v>4.0</v>
      </c>
      <c r="C1360" s="19" t="s">
        <v>2066</v>
      </c>
      <c r="E1360" s="24">
        <f>IFERROR(__xludf.DUMMYFUNCTION("ifna(IFNA(filter('2.1.clean'!C:C,'2.1.clean'!A:A=C1360),filter('2.2.clean'!E:E,'2.2.clean'!D:D=C1360)),filter('2.4.clean'!C:C,'2.4.clean'!A:A=C1360))"),43843.0)</f>
        <v>43843</v>
      </c>
      <c r="F1360" s="25">
        <f>IFERROR(__xludf.DUMMYFUNCTION("iferror(ifna(IFNA(filter('2.1.clean'!E:E,'2.1.clean'!A:A=C1360),filter('2.2.clean'!G:G,'2.2.clean'!D:D=C1360)),filter('2.4.clean'!E:E,'2.4.clean'!A:A=C1360)),)"),2.39999999999999)</f>
        <v>2.4</v>
      </c>
      <c r="G1360" s="24">
        <f>IFERROR(__xludf.DUMMYFUNCTION("iferror(filter('3.1.clean'!C:C,'3.1.clean'!A:A=C1360),"""")"),43843.0)</f>
        <v>43843</v>
      </c>
      <c r="H1360" s="23" t="b">
        <f t="shared" ref="H1360:H1361" si="1108">if(G1360="",FALSE,TRUE)</f>
        <v>1</v>
      </c>
      <c r="J1360" s="25"/>
      <c r="K1360" s="24">
        <f>IFERROR(__xludf.DUMMYFUNCTION("iferror(filter('3.2.clean'!C:C,'3.2.clean'!A:A=C1360),"""")"),43844.0)</f>
        <v>43844</v>
      </c>
      <c r="L1360" s="25" t="b">
        <f>if(K1360="",FALSE,TRUE)</f>
        <v>1</v>
      </c>
      <c r="M1360" s="24">
        <f>IFERROR(__xludf.DUMMYFUNCTION("iferror(filter('3.3.clean'!C:C,'3.3.clean'!A:A=C1360),"""")"),43844.0)</f>
        <v>43844</v>
      </c>
      <c r="N1360" s="25" t="b">
        <f t="shared" si="1103"/>
        <v>1</v>
      </c>
      <c r="O1360" s="24">
        <f>IFERROR(__xludf.DUMMYFUNCTION("iferror(filter('3.4.clean'!C:C,'3.4.clean'!A:A=C1360),"""")"),43846.0)</f>
        <v>43846</v>
      </c>
      <c r="P1360" s="25" t="b">
        <f t="shared" si="1104"/>
        <v>1</v>
      </c>
      <c r="Q1360" s="24">
        <f>IFERROR(__xludf.DUMMYFUNCTION("iferror(filter('3.5.clean'!C:C,'3.5.clean'!A:A=C1360),"""")"),43843.0)</f>
        <v>43843</v>
      </c>
      <c r="R1360" s="23" t="b">
        <f t="shared" si="1107"/>
        <v>1</v>
      </c>
      <c r="S1360" s="25"/>
      <c r="V1360" s="1" t="s">
        <v>64</v>
      </c>
      <c r="X1360" s="23" t="str">
        <f>IFERROR(__xludf.DUMMYFUNCTION("if(COUNTA(FILTER(C:C, C:C = C1360))=1,""no"",""yes"")"),"no")</f>
        <v>no</v>
      </c>
      <c r="Y1360" s="39"/>
      <c r="Z1360" s="39"/>
      <c r="AA1360" s="39"/>
      <c r="AB1360" s="39"/>
      <c r="AC1360" s="39"/>
      <c r="AD1360" s="39"/>
      <c r="AE1360" s="39"/>
      <c r="AF1360" s="39"/>
      <c r="AG1360" s="39"/>
      <c r="AH1360" s="39"/>
    </row>
    <row r="1361">
      <c r="A1361" s="75" t="s">
        <v>1000</v>
      </c>
      <c r="B1361" s="2">
        <v>5.0</v>
      </c>
      <c r="C1361" s="19" t="s">
        <v>2067</v>
      </c>
      <c r="D1361" s="58" t="str">
        <f t="shared" ref="D1361:D1362" si="1109">if(or(I1361=1,J1361=1,S1361=1),"pos","")</f>
        <v/>
      </c>
      <c r="E1361" s="59">
        <f>IFERROR(__xludf.DUMMYFUNCTION("ifna(IFNA(filter('2.1.clean'!C:C,'2.1.clean'!A:A=C1361),filter('2.2.clean'!E:E,'2.2.clean'!D:D=C1361)),filter('2.4.clean'!C:C,'2.4.clean'!A:A=C1361))"),43843.0)</f>
        <v>43843</v>
      </c>
      <c r="F1361" s="60">
        <f>IFERROR(__xludf.DUMMYFUNCTION("iferror(ifna(IFNA(filter('2.1.clean'!E:E,'2.1.clean'!A:A=C1361),filter('2.2.clean'!G:G,'2.2.clean'!D:D=C1361)),filter('2.4.clean'!E:E,'2.4.clean'!A:A=C1361)),)"),2.39999999999999)</f>
        <v>2.4</v>
      </c>
      <c r="G1361" s="59">
        <f>IFERROR(__xludf.DUMMYFUNCTION("iferror(filter('3.1.clean'!C:C,'3.1.clean'!A:A=C1361),"""")"),43843.0)</f>
        <v>43843</v>
      </c>
      <c r="H1361" s="58" t="b">
        <f t="shared" si="1108"/>
        <v>1</v>
      </c>
      <c r="I1361" s="58">
        <f>IFERROR(__xludf.DUMMYFUNCTION("iferror(filter('3.1.clean'!G:G,'3.1.clean'!A:A=C1361),"""")"),0.0)</f>
        <v>0</v>
      </c>
      <c r="J1361" s="60" t="str">
        <f>IFERROR(__xludf.DUMMYFUNCTION("iferror(filter('3.1.clean'!I:I,'3.1.clean'!A:A=C1361),"""")"),"")</f>
        <v/>
      </c>
      <c r="K1361" s="58"/>
      <c r="L1361" s="60"/>
      <c r="M1361" s="59" t="str">
        <f>IFERROR(__xludf.DUMMYFUNCTION("iferror(filter('3.3.clean'!C:C,'3.3.clean'!A:A=C1361),"""")"),"")</f>
        <v/>
      </c>
      <c r="N1361" s="60" t="b">
        <f t="shared" si="1103"/>
        <v>0</v>
      </c>
      <c r="O1361" s="59" t="str">
        <f>IFERROR(__xludf.DUMMYFUNCTION("iferror(filter('3.4.clean'!C:C,'3.4.clean'!A:A=C1361),"""")"),"")</f>
        <v/>
      </c>
      <c r="P1361" s="60" t="b">
        <f t="shared" si="1104"/>
        <v>0</v>
      </c>
      <c r="Q1361" s="59" t="str">
        <f>IFERROR(__xludf.DUMMYFUNCTION("iferror(filter('3.5.clean'!C:C,'3.5.clean'!A:A=C1361),"""")"),"")</f>
        <v/>
      </c>
      <c r="R1361" s="58"/>
      <c r="S1361" s="4" t="str">
        <f>IFERROR(__xludf.DUMMYFUNCTION("iferror(filter('3.5.clean'!H:H,'3.5.clean'!A:A=C1361),"""")"),"")</f>
        <v/>
      </c>
      <c r="W1361" s="23" t="b">
        <f>if(AND(H1361=TRUE,N1361=TRUE,P1361=TRUE),TRUE,FALSE)</f>
        <v>0</v>
      </c>
      <c r="X1361" s="23" t="str">
        <f>IFERROR(__xludf.DUMMYFUNCTION("if(COUNTA(FILTER(C:C, C:C = C1361))=1,""no"",""yes"")"),"no")</f>
        <v>no</v>
      </c>
    </row>
    <row r="1362">
      <c r="A1362" s="75" t="s">
        <v>1000</v>
      </c>
      <c r="B1362" s="2">
        <v>6.0</v>
      </c>
      <c r="C1362" s="19" t="s">
        <v>2068</v>
      </c>
      <c r="D1362" s="58" t="str">
        <f t="shared" si="1109"/>
        <v/>
      </c>
      <c r="E1362" s="59">
        <f>Q1362</f>
        <v>43843</v>
      </c>
      <c r="F1362" s="60" t="str">
        <f>IFERROR(__xludf.DUMMYFUNCTION("iferror(ifna(IFNA(filter('2.1.clean'!E:E,'2.1.clean'!A:A=C1362),filter('2.2.clean'!G:G,'2.2.clean'!D:D=C1362)),filter('2.4.clean'!E:E,'2.4.clean'!A:A=C1362)),)"),"")</f>
        <v/>
      </c>
      <c r="G1362" s="59" t="str">
        <f>IFERROR(__xludf.DUMMYFUNCTION("iferror(filter('3.1.clean'!C:C,'3.1.clean'!A:A=C1362),"""")"),"")</f>
        <v/>
      </c>
      <c r="H1362" s="58"/>
      <c r="I1362" s="58" t="str">
        <f>IFERROR(__xludf.DUMMYFUNCTION("iferror(filter('3.1.clean'!G:G,'3.1.clean'!A:A=C1362),"""")"),"")</f>
        <v/>
      </c>
      <c r="J1362" s="60" t="str">
        <f>IFERROR(__xludf.DUMMYFUNCTION("iferror(filter('3.1.clean'!I:I,'3.1.clean'!A:A=C1362),"""")"),"")</f>
        <v/>
      </c>
      <c r="K1362" s="59"/>
      <c r="L1362" s="60"/>
      <c r="M1362" s="59" t="str">
        <f>IFERROR(__xludf.DUMMYFUNCTION("iferror(filter('3.3.clean'!C:C,'3.3.clean'!A:A=C1362),"""")"),"")</f>
        <v/>
      </c>
      <c r="N1362" s="60" t="b">
        <f t="shared" si="1103"/>
        <v>0</v>
      </c>
      <c r="O1362" s="59" t="str">
        <f>IFERROR(__xludf.DUMMYFUNCTION("iferror(filter('3.4.clean'!C:C,'3.4.clean'!A:A=C1362),"""")"),"")</f>
        <v/>
      </c>
      <c r="P1362" s="60" t="b">
        <f t="shared" si="1104"/>
        <v>0</v>
      </c>
      <c r="Q1362" s="59">
        <f>IFERROR(__xludf.DUMMYFUNCTION("iferror(filter('3.5.clean'!C:C,'3.5.clean'!A:A=C1362),"""")"),43843.0)</f>
        <v>43843</v>
      </c>
      <c r="R1362" s="58" t="b">
        <f t="shared" ref="R1362:R1363" si="1110">if(Q1362="",FALSE,TRUE)</f>
        <v>1</v>
      </c>
      <c r="S1362" s="4">
        <f>IFERROR(__xludf.DUMMYFUNCTION("iferror(filter('3.5.clean'!H:H,'3.5.clean'!A:A=C1362),"""")"),0.0)</f>
        <v>0</v>
      </c>
      <c r="V1362" s="52" t="s">
        <v>64</v>
      </c>
      <c r="W1362" s="23" t="b">
        <f>if(AND(R1362=TRUE,N1362=TRUE,P1362=TRUE),TRUE,FALSE)</f>
        <v>0</v>
      </c>
      <c r="X1362" s="23" t="str">
        <f>IFERROR(__xludf.DUMMYFUNCTION("if(COUNTA(FILTER(C:C, C:C = C1362))=1,""no"",""yes"")"),"no")</f>
        <v>no</v>
      </c>
    </row>
    <row r="1363">
      <c r="A1363" s="75" t="s">
        <v>1000</v>
      </c>
      <c r="B1363" s="2">
        <v>7.0</v>
      </c>
      <c r="C1363" s="19" t="s">
        <v>2069</v>
      </c>
      <c r="E1363" s="24">
        <f>IFERROR(__xludf.DUMMYFUNCTION("ifna(IFNA(filter('2.1.clean'!C:C,'2.1.clean'!A:A=C1363),filter('2.2.clean'!E:E,'2.2.clean'!D:D=C1363)),filter('2.4.clean'!C:C,'2.4.clean'!A:A=C1363))"),43843.0)</f>
        <v>43843</v>
      </c>
      <c r="F1363" s="25">
        <f>IFERROR(__xludf.DUMMYFUNCTION("iferror(ifna(IFNA(filter('2.1.clean'!E:E,'2.1.clean'!A:A=C1363),filter('2.2.clean'!G:G,'2.2.clean'!D:D=C1363)),filter('2.4.clean'!E:E,'2.4.clean'!A:A=C1363)),)"),2.39999999999999)</f>
        <v>2.4</v>
      </c>
      <c r="G1363" s="24">
        <f>IFERROR(__xludf.DUMMYFUNCTION("iferror(filter('3.1.clean'!C:C,'3.1.clean'!A:A=C1363),"""")"),43843.0)</f>
        <v>43843</v>
      </c>
      <c r="H1363" s="23" t="b">
        <f t="shared" ref="H1363:H1364" si="1111">if(G1363="",FALSE,TRUE)</f>
        <v>1</v>
      </c>
      <c r="J1363" s="25"/>
      <c r="K1363" s="24">
        <f>IFERROR(__xludf.DUMMYFUNCTION("iferror(filter('3.2.clean'!C:C,'3.2.clean'!A:A=C1363),"""")"),43844.0)</f>
        <v>43844</v>
      </c>
      <c r="L1363" s="25" t="b">
        <f>if(K1363="",FALSE,TRUE)</f>
        <v>1</v>
      </c>
      <c r="M1363" s="24">
        <f>IFERROR(__xludf.DUMMYFUNCTION("iferror(filter('3.3.clean'!C:C,'3.3.clean'!A:A=C1363),"""")"),43844.0)</f>
        <v>43844</v>
      </c>
      <c r="N1363" s="25" t="b">
        <f t="shared" si="1103"/>
        <v>1</v>
      </c>
      <c r="O1363" s="24">
        <f>IFERROR(__xludf.DUMMYFUNCTION("iferror(filter('3.4.clean'!C:C,'3.4.clean'!A:A=C1363),"""")"),43846.0)</f>
        <v>43846</v>
      </c>
      <c r="P1363" s="25" t="b">
        <f t="shared" si="1104"/>
        <v>1</v>
      </c>
      <c r="Q1363" s="24">
        <f>IFERROR(__xludf.DUMMYFUNCTION("iferror(filter('3.5.clean'!C:C,'3.5.clean'!A:A=C1363),"""")"),43843.0)</f>
        <v>43843</v>
      </c>
      <c r="R1363" s="23" t="b">
        <f t="shared" si="1110"/>
        <v>1</v>
      </c>
      <c r="S1363" s="25"/>
      <c r="V1363" s="1" t="s">
        <v>64</v>
      </c>
      <c r="X1363" s="23" t="str">
        <f>IFERROR(__xludf.DUMMYFUNCTION("if(COUNTA(FILTER(C:C, C:C = C1363))=1,""no"",""yes"")"),"no")</f>
        <v>no</v>
      </c>
    </row>
    <row r="1364">
      <c r="A1364" s="75" t="s">
        <v>1000</v>
      </c>
      <c r="B1364" s="2">
        <v>8.0</v>
      </c>
      <c r="C1364" s="19" t="s">
        <v>2070</v>
      </c>
      <c r="D1364" s="58" t="str">
        <f t="shared" ref="D1364:D1365" si="1112">if(or(I1364=1,J1364=1,S1364=1),"pos","")</f>
        <v/>
      </c>
      <c r="E1364" s="59">
        <f>IFERROR(__xludf.DUMMYFUNCTION("ifna(IFNA(filter('2.1.clean'!C:C,'2.1.clean'!A:A=C1364),filter('2.2.clean'!E:E,'2.2.clean'!D:D=C1364)),filter('2.4.clean'!C:C,'2.4.clean'!A:A=C1364))"),43843.0)</f>
        <v>43843</v>
      </c>
      <c r="F1364" s="60">
        <f>IFERROR(__xludf.DUMMYFUNCTION("iferror(ifna(IFNA(filter('2.1.clean'!E:E,'2.1.clean'!A:A=C1364),filter('2.2.clean'!G:G,'2.2.clean'!D:D=C1364)),filter('2.4.clean'!E:E,'2.4.clean'!A:A=C1364)),)"),2.39999999999999)</f>
        <v>2.4</v>
      </c>
      <c r="G1364" s="59">
        <f>IFERROR(__xludf.DUMMYFUNCTION("iferror(filter('3.1.clean'!C:C,'3.1.clean'!A:A=C1364),"""")"),43843.0)</f>
        <v>43843</v>
      </c>
      <c r="H1364" s="58" t="b">
        <f t="shared" si="1111"/>
        <v>1</v>
      </c>
      <c r="I1364" s="58">
        <f>IFERROR(__xludf.DUMMYFUNCTION("iferror(filter('3.1.clean'!G:G,'3.1.clean'!A:A=C1364),"""")"),0.0)</f>
        <v>0</v>
      </c>
      <c r="J1364" s="60" t="str">
        <f>IFERROR(__xludf.DUMMYFUNCTION("iferror(filter('3.1.clean'!I:I,'3.1.clean'!A:A=C1364),"""")"),"")</f>
        <v/>
      </c>
      <c r="K1364" s="58"/>
      <c r="L1364" s="60"/>
      <c r="M1364" s="59" t="str">
        <f>IFERROR(__xludf.DUMMYFUNCTION("iferror(filter('3.3.clean'!C:C,'3.3.clean'!A:A=C1364),"""")"),"")</f>
        <v/>
      </c>
      <c r="N1364" s="60" t="b">
        <f t="shared" si="1103"/>
        <v>0</v>
      </c>
      <c r="O1364" s="59" t="str">
        <f>IFERROR(__xludf.DUMMYFUNCTION("iferror(filter('3.4.clean'!C:C,'3.4.clean'!A:A=C1364),"""")"),"")</f>
        <v/>
      </c>
      <c r="P1364" s="60" t="b">
        <f t="shared" si="1104"/>
        <v>0</v>
      </c>
      <c r="Q1364" s="59" t="str">
        <f>IFERROR(__xludf.DUMMYFUNCTION("iferror(filter('3.5.clean'!C:C,'3.5.clean'!A:A=C1364),"""")"),"")</f>
        <v/>
      </c>
      <c r="R1364" s="58"/>
      <c r="S1364" s="4" t="str">
        <f>IFERROR(__xludf.DUMMYFUNCTION("iferror(filter('3.5.clean'!H:H,'3.5.clean'!A:A=C1364),"""")"),"")</f>
        <v/>
      </c>
      <c r="W1364" s="23" t="b">
        <f>if(AND(H1364=TRUE,N1364=TRUE,P1364=TRUE),TRUE,FALSE)</f>
        <v>0</v>
      </c>
      <c r="X1364" s="23" t="str">
        <f>IFERROR(__xludf.DUMMYFUNCTION("if(COUNTA(FILTER(C:C, C:C = C1364))=1,""no"",""yes"")"),"no")</f>
        <v>no</v>
      </c>
    </row>
    <row r="1365">
      <c r="A1365" s="75" t="s">
        <v>1000</v>
      </c>
      <c r="B1365" s="2">
        <v>9.0</v>
      </c>
      <c r="C1365" s="19" t="s">
        <v>2071</v>
      </c>
      <c r="D1365" s="58" t="str">
        <f t="shared" si="1112"/>
        <v/>
      </c>
      <c r="E1365" s="59">
        <f>Q1365</f>
        <v>43843</v>
      </c>
      <c r="F1365" s="60" t="str">
        <f>IFERROR(__xludf.DUMMYFUNCTION("iferror(ifna(IFNA(filter('2.1.clean'!E:E,'2.1.clean'!A:A=C1365),filter('2.2.clean'!G:G,'2.2.clean'!D:D=C1365)),filter('2.4.clean'!E:E,'2.4.clean'!A:A=C1365)),)"),"")</f>
        <v/>
      </c>
      <c r="G1365" s="59" t="str">
        <f>IFERROR(__xludf.DUMMYFUNCTION("iferror(filter('3.1.clean'!C:C,'3.1.clean'!A:A=C1365),"""")"),"")</f>
        <v/>
      </c>
      <c r="H1365" s="58"/>
      <c r="I1365" s="58" t="str">
        <f>IFERROR(__xludf.DUMMYFUNCTION("iferror(filter('3.1.clean'!G:G,'3.1.clean'!A:A=C1365),"""")"),"")</f>
        <v/>
      </c>
      <c r="J1365" s="60" t="str">
        <f>IFERROR(__xludf.DUMMYFUNCTION("iferror(filter('3.1.clean'!I:I,'3.1.clean'!A:A=C1365),"""")"),"")</f>
        <v/>
      </c>
      <c r="K1365" s="59"/>
      <c r="L1365" s="60"/>
      <c r="M1365" s="59" t="str">
        <f>IFERROR(__xludf.DUMMYFUNCTION("iferror(filter('3.3.clean'!C:C,'3.3.clean'!A:A=C1365),"""")"),"")</f>
        <v/>
      </c>
      <c r="N1365" s="60" t="b">
        <f t="shared" si="1103"/>
        <v>0</v>
      </c>
      <c r="O1365" s="59" t="str">
        <f>IFERROR(__xludf.DUMMYFUNCTION("iferror(filter('3.4.clean'!C:C,'3.4.clean'!A:A=C1365),"""")"),"")</f>
        <v/>
      </c>
      <c r="P1365" s="60" t="b">
        <f t="shared" si="1104"/>
        <v>0</v>
      </c>
      <c r="Q1365" s="59">
        <f>IFERROR(__xludf.DUMMYFUNCTION("iferror(filter('3.5.clean'!C:C,'3.5.clean'!A:A=C1365),"""")"),43843.0)</f>
        <v>43843</v>
      </c>
      <c r="R1365" s="58" t="b">
        <f t="shared" ref="R1365:R1366" si="1113">if(Q1365="",FALSE,TRUE)</f>
        <v>1</v>
      </c>
      <c r="S1365" s="4">
        <f>IFERROR(__xludf.DUMMYFUNCTION("iferror(filter('3.5.clean'!H:H,'3.5.clean'!A:A=C1365),"""")"),0.0)</f>
        <v>0</v>
      </c>
      <c r="V1365" s="52" t="s">
        <v>64</v>
      </c>
      <c r="W1365" s="23" t="b">
        <f>if(AND(R1365=TRUE,N1365=TRUE,P1365=TRUE),TRUE,FALSE)</f>
        <v>0</v>
      </c>
      <c r="X1365" s="23" t="str">
        <f>IFERROR(__xludf.DUMMYFUNCTION("if(COUNTA(FILTER(C:C, C:C = C1365))=1,""no"",""yes"")"),"no")</f>
        <v>no</v>
      </c>
    </row>
    <row r="1366">
      <c r="A1366" s="75" t="s">
        <v>1000</v>
      </c>
      <c r="B1366" s="2">
        <v>10.0</v>
      </c>
      <c r="C1366" s="19" t="s">
        <v>2072</v>
      </c>
      <c r="E1366" s="24">
        <f>IFERROR(__xludf.DUMMYFUNCTION("ifna(IFNA(filter('2.1.clean'!C:C,'2.1.clean'!A:A=C1366),filter('2.2.clean'!E:E,'2.2.clean'!D:D=C1366)),filter('2.4.clean'!C:C,'2.4.clean'!A:A=C1366))"),43843.0)</f>
        <v>43843</v>
      </c>
      <c r="F1366" s="25">
        <f>IFERROR(__xludf.DUMMYFUNCTION("iferror(ifna(IFNA(filter('2.1.clean'!E:E,'2.1.clean'!A:A=C1366),filter('2.2.clean'!G:G,'2.2.clean'!D:D=C1366)),filter('2.4.clean'!E:E,'2.4.clean'!A:A=C1366)),)"),2.39999999999999)</f>
        <v>2.4</v>
      </c>
      <c r="G1366" s="24">
        <f>IFERROR(__xludf.DUMMYFUNCTION("iferror(filter('3.1.clean'!C:C,'3.1.clean'!A:A=C1366),"""")"),43843.0)</f>
        <v>43843</v>
      </c>
      <c r="H1366" s="23" t="b">
        <f t="shared" ref="H1366:H1367" si="1114">if(G1366="",FALSE,TRUE)</f>
        <v>1</v>
      </c>
      <c r="J1366" s="25"/>
      <c r="K1366" s="24">
        <f>IFERROR(__xludf.DUMMYFUNCTION("iferror(filter('3.2.clean'!C:C,'3.2.clean'!A:A=C1366),"""")"),43844.0)</f>
        <v>43844</v>
      </c>
      <c r="L1366" s="25" t="b">
        <f>if(K1366="",FALSE,TRUE)</f>
        <v>1</v>
      </c>
      <c r="M1366" s="24">
        <f>IFERROR(__xludf.DUMMYFUNCTION("iferror(filter('3.3.clean'!C:C,'3.3.clean'!A:A=C1366),"""")"),43844.0)</f>
        <v>43844</v>
      </c>
      <c r="N1366" s="25" t="b">
        <f t="shared" si="1103"/>
        <v>1</v>
      </c>
      <c r="O1366" s="24">
        <f>IFERROR(__xludf.DUMMYFUNCTION("iferror(filter('3.4.clean'!C:C,'3.4.clean'!A:A=C1366),"""")"),43846.0)</f>
        <v>43846</v>
      </c>
      <c r="P1366" s="25" t="b">
        <f t="shared" si="1104"/>
        <v>1</v>
      </c>
      <c r="Q1366" s="24">
        <f>IFERROR(__xludf.DUMMYFUNCTION("iferror(filter('3.5.clean'!C:C,'3.5.clean'!A:A=C1366),"""")"),43843.0)</f>
        <v>43843</v>
      </c>
      <c r="R1366" s="23" t="b">
        <f t="shared" si="1113"/>
        <v>1</v>
      </c>
      <c r="S1366" s="25"/>
      <c r="V1366" s="1" t="s">
        <v>64</v>
      </c>
      <c r="X1366" s="23" t="str">
        <f>IFERROR(__xludf.DUMMYFUNCTION("if(COUNTA(FILTER(C:C, C:C = C1366))=1,""no"",""yes"")"),"no")</f>
        <v>no</v>
      </c>
    </row>
    <row r="1367">
      <c r="A1367" s="75" t="s">
        <v>1000</v>
      </c>
      <c r="B1367" s="2">
        <v>11.0</v>
      </c>
      <c r="C1367" s="19" t="s">
        <v>2073</v>
      </c>
      <c r="D1367" s="58" t="str">
        <f t="shared" ref="D1367:D1370" si="1115">if(or(I1367=1,J1367=1,S1367=1),"pos","")</f>
        <v/>
      </c>
      <c r="E1367" s="59">
        <f>IFERROR(__xludf.DUMMYFUNCTION("ifna(IFNA(filter('2.1.clean'!C:C,'2.1.clean'!A:A=C1367),filter('2.2.clean'!E:E,'2.2.clean'!D:D=C1367)),filter('2.4.clean'!C:C,'2.4.clean'!A:A=C1367))"),43843.0)</f>
        <v>43843</v>
      </c>
      <c r="F1367" s="60">
        <f>IFERROR(__xludf.DUMMYFUNCTION("iferror(ifna(IFNA(filter('2.1.clean'!E:E,'2.1.clean'!A:A=C1367),filter('2.2.clean'!G:G,'2.2.clean'!D:D=C1367)),filter('2.4.clean'!E:E,'2.4.clean'!A:A=C1367)),)"),2.39999999999999)</f>
        <v>2.4</v>
      </c>
      <c r="G1367" s="59">
        <f>IFERROR(__xludf.DUMMYFUNCTION("iferror(filter('3.1.clean'!C:C,'3.1.clean'!A:A=C1367),"""")"),43843.0)</f>
        <v>43843</v>
      </c>
      <c r="H1367" s="58" t="b">
        <f t="shared" si="1114"/>
        <v>1</v>
      </c>
      <c r="I1367" s="58">
        <f>IFERROR(__xludf.DUMMYFUNCTION("iferror(filter('3.1.clean'!G:G,'3.1.clean'!A:A=C1367),"""")"),0.0)</f>
        <v>0</v>
      </c>
      <c r="J1367" s="60" t="str">
        <f>IFERROR(__xludf.DUMMYFUNCTION("iferror(filter('3.1.clean'!I:I,'3.1.clean'!A:A=C1367),"""")"),"")</f>
        <v/>
      </c>
      <c r="K1367" s="58"/>
      <c r="L1367" s="60"/>
      <c r="M1367" s="59" t="str">
        <f>IFERROR(__xludf.DUMMYFUNCTION("iferror(filter('3.3.clean'!C:C,'3.3.clean'!A:A=C1367),"""")"),"")</f>
        <v/>
      </c>
      <c r="N1367" s="60" t="b">
        <f t="shared" si="1103"/>
        <v>0</v>
      </c>
      <c r="O1367" s="59" t="str">
        <f>IFERROR(__xludf.DUMMYFUNCTION("iferror(filter('3.4.clean'!C:C,'3.4.clean'!A:A=C1367),"""")"),"")</f>
        <v/>
      </c>
      <c r="P1367" s="60" t="b">
        <f t="shared" si="1104"/>
        <v>0</v>
      </c>
      <c r="Q1367" s="59" t="str">
        <f>IFERROR(__xludf.DUMMYFUNCTION("iferror(filter('3.5.clean'!C:C,'3.5.clean'!A:A=C1367),"""")"),"")</f>
        <v/>
      </c>
      <c r="R1367" s="58"/>
      <c r="S1367" s="4" t="str">
        <f>IFERROR(__xludf.DUMMYFUNCTION("iferror(filter('3.5.clean'!H:H,'3.5.clean'!A:A=C1367),"""")"),"")</f>
        <v/>
      </c>
      <c r="W1367" s="23" t="b">
        <f>if(AND(H1367=TRUE,N1367=TRUE,P1367=TRUE),TRUE,FALSE)</f>
        <v>0</v>
      </c>
      <c r="X1367" s="23" t="str">
        <f>IFERROR(__xludf.DUMMYFUNCTION("if(COUNTA(FILTER(C:C, C:C = C1367))=1,""no"",""yes"")"),"no")</f>
        <v>no</v>
      </c>
    </row>
    <row r="1368">
      <c r="A1368" s="75" t="s">
        <v>1000</v>
      </c>
      <c r="B1368" s="2">
        <v>12.0</v>
      </c>
      <c r="C1368" s="19" t="s">
        <v>2074</v>
      </c>
      <c r="D1368" s="58" t="str">
        <f t="shared" si="1115"/>
        <v/>
      </c>
      <c r="E1368" s="59">
        <f t="shared" ref="E1368:E1369" si="1116">Q1368</f>
        <v>43843</v>
      </c>
      <c r="F1368" s="60" t="str">
        <f>IFERROR(__xludf.DUMMYFUNCTION("iferror(ifna(IFNA(filter('2.1.clean'!E:E,'2.1.clean'!A:A=C1368),filter('2.2.clean'!G:G,'2.2.clean'!D:D=C1368)),filter('2.4.clean'!E:E,'2.4.clean'!A:A=C1368)),)"),"")</f>
        <v/>
      </c>
      <c r="G1368" s="59" t="str">
        <f>IFERROR(__xludf.DUMMYFUNCTION("iferror(filter('3.1.clean'!C:C,'3.1.clean'!A:A=C1368),"""")"),"")</f>
        <v/>
      </c>
      <c r="H1368" s="58"/>
      <c r="I1368" s="58" t="str">
        <f>IFERROR(__xludf.DUMMYFUNCTION("iferror(filter('3.1.clean'!G:G,'3.1.clean'!A:A=C1368),"""")"),"")</f>
        <v/>
      </c>
      <c r="J1368" s="60" t="str">
        <f>IFERROR(__xludf.DUMMYFUNCTION("iferror(filter('3.1.clean'!I:I,'3.1.clean'!A:A=C1368),"""")"),"")</f>
        <v/>
      </c>
      <c r="K1368" s="59"/>
      <c r="L1368" s="60"/>
      <c r="M1368" s="59" t="str">
        <f>IFERROR(__xludf.DUMMYFUNCTION("iferror(filter('3.3.clean'!C:C,'3.3.clean'!A:A=C1368),"""")"),"")</f>
        <v/>
      </c>
      <c r="N1368" s="60" t="b">
        <f t="shared" si="1103"/>
        <v>0</v>
      </c>
      <c r="O1368" s="59" t="str">
        <f>IFERROR(__xludf.DUMMYFUNCTION("iferror(filter('3.4.clean'!C:C,'3.4.clean'!A:A=C1368),"""")"),"")</f>
        <v/>
      </c>
      <c r="P1368" s="60" t="b">
        <f t="shared" si="1104"/>
        <v>0</v>
      </c>
      <c r="Q1368" s="59">
        <f>IFERROR(__xludf.DUMMYFUNCTION("iferror(filter('3.5.clean'!C:C,'3.5.clean'!A:A=C1368),"""")"),43843.0)</f>
        <v>43843</v>
      </c>
      <c r="R1368" s="58" t="b">
        <f t="shared" ref="R1368:R1369" si="1117">if(Q1368="",FALSE,TRUE)</f>
        <v>1</v>
      </c>
      <c r="S1368" s="4">
        <f>IFERROR(__xludf.DUMMYFUNCTION("iferror(filter('3.5.clean'!H:H,'3.5.clean'!A:A=C1368),"""")"),0.0)</f>
        <v>0</v>
      </c>
      <c r="V1368" s="52" t="s">
        <v>64</v>
      </c>
      <c r="W1368" s="23" t="b">
        <f>if(AND(R1368=TRUE,N1368=TRUE,P1368=TRUE),TRUE,FALSE)</f>
        <v>0</v>
      </c>
      <c r="X1368" s="23" t="str">
        <f>IFERROR(__xludf.DUMMYFUNCTION("if(COUNTA(FILTER(C:C, C:C = C1368))=1,""no"",""yes"")"),"no")</f>
        <v>no</v>
      </c>
    </row>
    <row r="1369">
      <c r="A1369" s="75" t="s">
        <v>1000</v>
      </c>
      <c r="B1369" s="2">
        <v>13.0</v>
      </c>
      <c r="C1369" s="19" t="s">
        <v>2075</v>
      </c>
      <c r="D1369" s="22" t="str">
        <f t="shared" si="1115"/>
        <v/>
      </c>
      <c r="E1369" s="20">
        <f t="shared" si="1116"/>
        <v>43843</v>
      </c>
      <c r="F1369" s="79" t="str">
        <f>IFERROR(__xludf.DUMMYFUNCTION("iferror(ifna(IFNA(filter('2.1.clean'!E:E,'2.1.clean'!A:A=C1369),filter('2.2.clean'!G:G,'2.2.clean'!D:D=C1369)),filter('2.4.clean'!E:E,'2.4.clean'!A:A=C1369)),)"),"")</f>
        <v/>
      </c>
      <c r="G1369" s="20" t="str">
        <f>IFERROR(__xludf.DUMMYFUNCTION("iferror(filter('3.1.clean'!C:C,'3.1.clean'!A:A=C1369),"""")"),"")</f>
        <v/>
      </c>
      <c r="H1369" s="22"/>
      <c r="I1369" s="22"/>
      <c r="J1369" s="79"/>
      <c r="K1369" s="20" t="str">
        <f>IFERROR(__xludf.DUMMYFUNCTION("iferror(filter('3.2.clean'!C:C,'3.2.clean'!A:A=C1369),"""")"),"")</f>
        <v/>
      </c>
      <c r="L1369" s="79"/>
      <c r="M1369" s="20" t="str">
        <f>IFERROR(__xludf.DUMMYFUNCTION("iferror(filter('3.3.clean'!C:C,'3.3.clean'!A:A=C1369),"""")"),"")</f>
        <v/>
      </c>
      <c r="N1369" s="79" t="b">
        <f t="shared" si="1103"/>
        <v>0</v>
      </c>
      <c r="O1369" s="20" t="str">
        <f>IFERROR(__xludf.DUMMYFUNCTION("iferror(filter('3.4.clean'!C:C,'3.4.clean'!A:A=C1369),"""")"),"")</f>
        <v/>
      </c>
      <c r="P1369" s="79" t="b">
        <f t="shared" si="1104"/>
        <v>0</v>
      </c>
      <c r="Q1369" s="20">
        <f>IFERROR(__xludf.DUMMYFUNCTION("iferror(filter('3.5.clean'!C:C,'3.5.clean'!A:A=C1369),"""")"),43843.0)</f>
        <v>43843</v>
      </c>
      <c r="R1369" s="22" t="b">
        <f t="shared" si="1117"/>
        <v>1</v>
      </c>
      <c r="S1369" s="4">
        <f>IFERROR(__xludf.DUMMYFUNCTION("iferror(filter('3.5.clean'!H:H,'3.5.clean'!A:A=C1369),"""")"),0.0)</f>
        <v>0</v>
      </c>
      <c r="V1369" s="1" t="s">
        <v>64</v>
      </c>
      <c r="W1369" s="23" t="b">
        <f>IF(and(R1369=TRUE,N1369=TRUE,P1369=TRUE),TRUE,FALSE)</f>
        <v>0</v>
      </c>
      <c r="X1369" s="23" t="str">
        <f>IFERROR(__xludf.DUMMYFUNCTION("if(COUNTA(FILTER(C:C, C:C = C1369))=1,""no"",""yes"")"),"no")</f>
        <v>no</v>
      </c>
    </row>
    <row r="1370">
      <c r="A1370" s="75" t="s">
        <v>1000</v>
      </c>
      <c r="B1370" s="19">
        <v>14.0</v>
      </c>
      <c r="C1370" s="19" t="s">
        <v>2076</v>
      </c>
      <c r="D1370" s="76" t="str">
        <f t="shared" si="1115"/>
        <v/>
      </c>
      <c r="E1370" s="77">
        <f>G1370</f>
        <v>43843</v>
      </c>
      <c r="F1370" s="78" t="str">
        <f>IFERROR(__xludf.DUMMYFUNCTION("iferror(ifna(IFNA(filter('2.1.clean'!E:E,'2.1.clean'!A:A=C1370),filter('2.2.clean'!G:G,'2.2.clean'!D:D=C1370)),filter('2.4.clean'!E:E,'2.4.clean'!A:A=C1370)),)"),"")</f>
        <v/>
      </c>
      <c r="G1370" s="77">
        <f>IFERROR(__xludf.DUMMYFUNCTION("iferror(filter('3.1.clean'!C:C,'3.1.clean'!A:A=C1370),"""")"),43843.0)</f>
        <v>43843</v>
      </c>
      <c r="H1370" s="76" t="b">
        <f>if(G1370="",FALSE,TRUE)</f>
        <v>1</v>
      </c>
      <c r="I1370" s="76">
        <f>IFERROR(__xludf.DUMMYFUNCTION("iferror(filter('3.1.clean'!G:G,'3.1.clean'!A:A=C1370),"""")"),0.0)</f>
        <v>0</v>
      </c>
      <c r="J1370" s="78" t="str">
        <f>IFERROR(__xludf.DUMMYFUNCTION("iferror(filter('3.1.clean'!I:I,'3.1.clean'!A:A=C1370),"""")"),"")</f>
        <v/>
      </c>
      <c r="K1370" s="77"/>
      <c r="L1370" s="78"/>
      <c r="M1370" s="77"/>
      <c r="N1370" s="78"/>
      <c r="O1370" s="77"/>
      <c r="P1370" s="78"/>
      <c r="Q1370" s="77"/>
      <c r="R1370" s="76"/>
      <c r="S1370" s="25"/>
      <c r="V1370" s="1" t="s">
        <v>64</v>
      </c>
      <c r="W1370" s="1" t="b">
        <v>1</v>
      </c>
      <c r="X1370" s="23" t="str">
        <f>IFERROR(__xludf.DUMMYFUNCTION("if(COUNTA(FILTER(C:C, C:C = C1370))=1,""no"",""yes"")"),"no")</f>
        <v>no</v>
      </c>
    </row>
    <row r="1371">
      <c r="A1371" s="1" t="s">
        <v>1004</v>
      </c>
      <c r="B1371" s="2">
        <v>1.0</v>
      </c>
      <c r="C1371" s="19" t="s">
        <v>2077</v>
      </c>
      <c r="E1371" s="24">
        <f>IFERROR(__xludf.DUMMYFUNCTION("ifna(IFNA(filter('2.1.clean'!C:C,'2.1.clean'!A:A=C1371),filter('2.2.clean'!E:E,'2.2.clean'!D:D=C1371)),filter('2.4.clean'!C:C,'2.4.clean'!A:A=C1371))"),43844.0)</f>
        <v>43844</v>
      </c>
      <c r="F1371" s="25">
        <f>IFERROR(__xludf.DUMMYFUNCTION("iferror(ifna(IFNA(filter('2.1.clean'!E:E,'2.1.clean'!A:A=C1371),filter('2.2.clean'!G:G,'2.2.clean'!D:D=C1371)),filter('2.4.clean'!E:E,'2.4.clean'!A:A=C1371)),)"),2.39999999999999)</f>
        <v>2.4</v>
      </c>
      <c r="G1371" s="24"/>
      <c r="J1371" s="25"/>
      <c r="K1371" s="24"/>
      <c r="L1371" s="25"/>
      <c r="M1371" s="24">
        <f>IFERROR(__xludf.DUMMYFUNCTION("iferror(filter('3.3.clean'!C:C,'3.3.clean'!A:A=C1371),"""")"),43845.0)</f>
        <v>43845</v>
      </c>
      <c r="N1371" s="25" t="b">
        <f t="shared" ref="N1371:N1401" si="1118">if(M1371="",FALSE,TRUE)</f>
        <v>1</v>
      </c>
      <c r="O1371" s="24">
        <f>IFERROR(__xludf.DUMMYFUNCTION("iferror(filter('3.4.clean'!C:C,'3.4.clean'!A:A=C1371),"""")"),43846.0)</f>
        <v>43846</v>
      </c>
      <c r="P1371" s="25" t="b">
        <f t="shared" ref="P1371:P1401" si="1119">if(O1371="",FALSE,TRUE)</f>
        <v>1</v>
      </c>
      <c r="Q1371" s="24">
        <f>IFERROR(__xludf.DUMMYFUNCTION("iferror(filter('3.5.clean'!C:C,'3.5.clean'!A:A=C1371),"""")"),43844.0)</f>
        <v>43844</v>
      </c>
      <c r="R1371" s="23" t="b">
        <f>if(Q1371="",FALSE,TRUE)</f>
        <v>1</v>
      </c>
      <c r="S1371" s="25"/>
      <c r="V1371" s="52" t="s">
        <v>64</v>
      </c>
      <c r="W1371" s="23" t="b">
        <f>IF(and(R1371=TRUE,N1371=TRUE,P1371=TRUE),TRUE,FALSE)</f>
        <v>1</v>
      </c>
      <c r="X1371" s="23" t="str">
        <f>IFERROR(__xludf.DUMMYFUNCTION("if(COUNTA(FILTER(C:C, C:C = C1371))=1,""no"",""yes"")"),"no")</f>
        <v>no</v>
      </c>
    </row>
    <row r="1372">
      <c r="A1372" s="1" t="s">
        <v>1004</v>
      </c>
      <c r="B1372" s="2">
        <v>2.0</v>
      </c>
      <c r="C1372" s="19" t="s">
        <v>2078</v>
      </c>
      <c r="D1372" s="58" t="str">
        <f t="shared" ref="D1372:D1373" si="1120">if(or(I1372=1,J1372=1,S1372=1),"pos","")</f>
        <v/>
      </c>
      <c r="E1372" s="59">
        <f>IFERROR(__xludf.DUMMYFUNCTION("ifna(IFNA(filter('2.1.clean'!C:C,'2.1.clean'!A:A=C1372),filter('2.2.clean'!E:E,'2.2.clean'!D:D=C1372)),filter('2.4.clean'!C:C,'2.4.clean'!A:A=C1372))"),43844.0)</f>
        <v>43844</v>
      </c>
      <c r="F1372" s="60">
        <f>IFERROR(__xludf.DUMMYFUNCTION("iferror(ifna(IFNA(filter('2.1.clean'!E:E,'2.1.clean'!A:A=C1372),filter('2.2.clean'!G:G,'2.2.clean'!D:D=C1372)),filter('2.4.clean'!E:E,'2.4.clean'!A:A=C1372)),)"),2.39999999999999)</f>
        <v>2.4</v>
      </c>
      <c r="G1372" s="59">
        <f>IFERROR(__xludf.DUMMYFUNCTION("iferror(filter('3.1.clean'!C:C,'3.1.clean'!A:A=C1372),"""")"),43844.0)</f>
        <v>43844</v>
      </c>
      <c r="H1372" s="58" t="b">
        <f>if(G1372="",FALSE,TRUE)</f>
        <v>1</v>
      </c>
      <c r="I1372" s="58">
        <f>IFERROR(__xludf.DUMMYFUNCTION("iferror(filter('3.1.clean'!G:G,'3.1.clean'!A:A=C1372),"""")"),0.0)</f>
        <v>0</v>
      </c>
      <c r="J1372" s="60" t="str">
        <f>IFERROR(__xludf.DUMMYFUNCTION("iferror(filter('3.1.clean'!I:I,'3.1.clean'!A:A=C1372),"""")"),"")</f>
        <v/>
      </c>
      <c r="K1372" s="58"/>
      <c r="L1372" s="60"/>
      <c r="M1372" s="59">
        <f>IFERROR(__xludf.DUMMYFUNCTION("iferror(filter('3.3.clean'!C:C,'3.3.clean'!A:A=C1372),"""")"),43845.0)</f>
        <v>43845</v>
      </c>
      <c r="N1372" s="60" t="b">
        <f t="shared" si="1118"/>
        <v>1</v>
      </c>
      <c r="O1372" s="59" t="str">
        <f>IFERROR(__xludf.DUMMYFUNCTION("iferror(filter('3.4.clean'!C:C,'3.4.clean'!A:A=C1372),"""")"),"")</f>
        <v/>
      </c>
      <c r="P1372" s="60" t="b">
        <f t="shared" si="1119"/>
        <v>0</v>
      </c>
      <c r="Q1372" s="59" t="str">
        <f>IFERROR(__xludf.DUMMYFUNCTION("iferror(filter('3.5.clean'!C:C,'3.5.clean'!A:A=C1372),"""")"),"")</f>
        <v/>
      </c>
      <c r="R1372" s="58"/>
      <c r="S1372" s="4" t="str">
        <f>IFERROR(__xludf.DUMMYFUNCTION("iferror(filter('3.5.clean'!H:H,'3.5.clean'!A:A=C1372),"""")"),"")</f>
        <v/>
      </c>
      <c r="W1372" s="23" t="b">
        <f>if(AND(H1372=TRUE,N1372=TRUE,P1372=TRUE),TRUE,FALSE)</f>
        <v>0</v>
      </c>
      <c r="X1372" s="23" t="str">
        <f>IFERROR(__xludf.DUMMYFUNCTION("if(COUNTA(FILTER(C:C, C:C = C1372))=1,""no"",""yes"")"),"no")</f>
        <v>no</v>
      </c>
    </row>
    <row r="1373">
      <c r="A1373" s="1" t="s">
        <v>1004</v>
      </c>
      <c r="B1373" s="2">
        <v>3.0</v>
      </c>
      <c r="C1373" s="19" t="s">
        <v>2079</v>
      </c>
      <c r="D1373" s="58" t="str">
        <f t="shared" si="1120"/>
        <v/>
      </c>
      <c r="E1373" s="59">
        <f>Q1373</f>
        <v>43844</v>
      </c>
      <c r="F1373" s="60" t="str">
        <f>IFERROR(__xludf.DUMMYFUNCTION("iferror(ifna(IFNA(filter('2.1.clean'!E:E,'2.1.clean'!A:A=C1373),filter('2.2.clean'!G:G,'2.2.clean'!D:D=C1373)),filter('2.4.clean'!E:E,'2.4.clean'!A:A=C1373)),)"),"")</f>
        <v/>
      </c>
      <c r="G1373" s="59" t="str">
        <f>IFERROR(__xludf.DUMMYFUNCTION("iferror(filter('3.1.clean'!C:C,'3.1.clean'!A:A=C1373),"""")"),"")</f>
        <v/>
      </c>
      <c r="H1373" s="58"/>
      <c r="I1373" s="58" t="str">
        <f>IFERROR(__xludf.DUMMYFUNCTION("iferror(filter('3.1.clean'!G:G,'3.1.clean'!A:A=C1373),"""")"),"")</f>
        <v/>
      </c>
      <c r="J1373" s="60" t="str">
        <f>IFERROR(__xludf.DUMMYFUNCTION("iferror(filter('3.1.clean'!I:I,'3.1.clean'!A:A=C1373),"""")"),"")</f>
        <v/>
      </c>
      <c r="K1373" s="59"/>
      <c r="L1373" s="60"/>
      <c r="M1373" s="59" t="str">
        <f>IFERROR(__xludf.DUMMYFUNCTION("iferror(filter('3.3.clean'!C:C,'3.3.clean'!A:A=C1373),"""")"),"")</f>
        <v/>
      </c>
      <c r="N1373" s="60" t="b">
        <f t="shared" si="1118"/>
        <v>0</v>
      </c>
      <c r="O1373" s="59" t="str">
        <f>IFERROR(__xludf.DUMMYFUNCTION("iferror(filter('3.4.clean'!C:C,'3.4.clean'!A:A=C1373),"""")"),"")</f>
        <v/>
      </c>
      <c r="P1373" s="60" t="b">
        <f t="shared" si="1119"/>
        <v>0</v>
      </c>
      <c r="Q1373" s="59">
        <f>IFERROR(__xludf.DUMMYFUNCTION("iferror(filter('3.5.clean'!C:C,'3.5.clean'!A:A=C1373),"""")"),43844.0)</f>
        <v>43844</v>
      </c>
      <c r="R1373" s="58" t="b">
        <f t="shared" ref="R1373:R1374" si="1121">if(Q1373="",FALSE,TRUE)</f>
        <v>1</v>
      </c>
      <c r="S1373" s="4">
        <f>IFERROR(__xludf.DUMMYFUNCTION("iferror(filter('3.5.clean'!H:H,'3.5.clean'!A:A=C1373),"""")"),0.0)</f>
        <v>0</v>
      </c>
      <c r="V1373" s="52" t="s">
        <v>64</v>
      </c>
      <c r="W1373" s="23" t="b">
        <f>if(AND(R1373=TRUE,N1373=TRUE,P1373=TRUE),TRUE,FALSE)</f>
        <v>0</v>
      </c>
      <c r="X1373" s="23" t="str">
        <f>IFERROR(__xludf.DUMMYFUNCTION("if(COUNTA(FILTER(C:C, C:C = C1373))=1,""no"",""yes"")"),"no")</f>
        <v>no</v>
      </c>
    </row>
    <row r="1374">
      <c r="A1374" s="1" t="s">
        <v>1004</v>
      </c>
      <c r="B1374" s="2">
        <v>4.0</v>
      </c>
      <c r="C1374" s="19" t="s">
        <v>2080</v>
      </c>
      <c r="E1374" s="24">
        <f>IFERROR(__xludf.DUMMYFUNCTION("ifna(IFNA(filter('2.1.clean'!C:C,'2.1.clean'!A:A=C1374),filter('2.2.clean'!E:E,'2.2.clean'!D:D=C1374)),filter('2.4.clean'!C:C,'2.4.clean'!A:A=C1374))"),43844.0)</f>
        <v>43844</v>
      </c>
      <c r="F1374" s="25">
        <f>IFERROR(__xludf.DUMMYFUNCTION("iferror(ifna(IFNA(filter('2.1.clean'!E:E,'2.1.clean'!A:A=C1374),filter('2.2.clean'!G:G,'2.2.clean'!D:D=C1374)),filter('2.4.clean'!E:E,'2.4.clean'!A:A=C1374)),)"),2.39999999999999)</f>
        <v>2.4</v>
      </c>
      <c r="G1374" s="24"/>
      <c r="J1374" s="25"/>
      <c r="K1374" s="24"/>
      <c r="L1374" s="25"/>
      <c r="M1374" s="24">
        <f>IFERROR(__xludf.DUMMYFUNCTION("iferror(filter('3.3.clean'!C:C,'3.3.clean'!A:A=C1374),"""")"),43845.0)</f>
        <v>43845</v>
      </c>
      <c r="N1374" s="25" t="b">
        <f t="shared" si="1118"/>
        <v>1</v>
      </c>
      <c r="O1374" s="24">
        <f>IFERROR(__xludf.DUMMYFUNCTION("iferror(filter('3.4.clean'!C:C,'3.4.clean'!A:A=C1374),"""")"),43846.0)</f>
        <v>43846</v>
      </c>
      <c r="P1374" s="25" t="b">
        <f t="shared" si="1119"/>
        <v>1</v>
      </c>
      <c r="Q1374" s="24">
        <f>IFERROR(__xludf.DUMMYFUNCTION("iferror(filter('3.5.clean'!C:C,'3.5.clean'!A:A=C1374),"""")"),43844.0)</f>
        <v>43844</v>
      </c>
      <c r="R1374" s="23" t="b">
        <f t="shared" si="1121"/>
        <v>1</v>
      </c>
      <c r="S1374" s="25"/>
      <c r="V1374" s="52" t="s">
        <v>64</v>
      </c>
      <c r="W1374" s="23" t="b">
        <f>IF(and(R1374=TRUE,N1374=TRUE,P1374=TRUE),TRUE,FALSE)</f>
        <v>1</v>
      </c>
      <c r="X1374" s="23" t="str">
        <f>IFERROR(__xludf.DUMMYFUNCTION("if(COUNTA(FILTER(C:C, C:C = C1374))=1,""no"",""yes"")"),"no")</f>
        <v>no</v>
      </c>
    </row>
    <row r="1375">
      <c r="A1375" s="1" t="s">
        <v>1004</v>
      </c>
      <c r="B1375" s="2">
        <v>5.0</v>
      </c>
      <c r="C1375" s="19" t="s">
        <v>2081</v>
      </c>
      <c r="D1375" s="58" t="str">
        <f t="shared" ref="D1375:D1376" si="1122">if(or(I1375=1,J1375=1,S1375=1),"pos","")</f>
        <v/>
      </c>
      <c r="E1375" s="59">
        <f>IFERROR(__xludf.DUMMYFUNCTION("ifna(IFNA(filter('2.1.clean'!C:C,'2.1.clean'!A:A=C1375),filter('2.2.clean'!E:E,'2.2.clean'!D:D=C1375)),filter('2.4.clean'!C:C,'2.4.clean'!A:A=C1375))"),43844.0)</f>
        <v>43844</v>
      </c>
      <c r="F1375" s="60">
        <f>IFERROR(__xludf.DUMMYFUNCTION("iferror(ifna(IFNA(filter('2.1.clean'!E:E,'2.1.clean'!A:A=C1375),filter('2.2.clean'!G:G,'2.2.clean'!D:D=C1375)),filter('2.4.clean'!E:E,'2.4.clean'!A:A=C1375)),)"),2.39999999999999)</f>
        <v>2.4</v>
      </c>
      <c r="G1375" s="59">
        <f>IFERROR(__xludf.DUMMYFUNCTION("iferror(filter('3.1.clean'!C:C,'3.1.clean'!A:A=C1375),"""")"),43844.0)</f>
        <v>43844</v>
      </c>
      <c r="H1375" s="58" t="b">
        <f>if(G1375="",FALSE,TRUE)</f>
        <v>1</v>
      </c>
      <c r="I1375" s="58">
        <f>IFERROR(__xludf.DUMMYFUNCTION("iferror(filter('3.1.clean'!G:G,'3.1.clean'!A:A=C1375),"""")"),0.0)</f>
        <v>0</v>
      </c>
      <c r="J1375" s="60" t="str">
        <f>IFERROR(__xludf.DUMMYFUNCTION("iferror(filter('3.1.clean'!I:I,'3.1.clean'!A:A=C1375),"""")"),"")</f>
        <v/>
      </c>
      <c r="K1375" s="58"/>
      <c r="L1375" s="60"/>
      <c r="M1375" s="59" t="str">
        <f>IFERROR(__xludf.DUMMYFUNCTION("iferror(filter('3.3.clean'!C:C,'3.3.clean'!A:A=C1375),"""")"),"")</f>
        <v/>
      </c>
      <c r="N1375" s="60" t="b">
        <f t="shared" si="1118"/>
        <v>0</v>
      </c>
      <c r="O1375" s="59" t="str">
        <f>IFERROR(__xludf.DUMMYFUNCTION("iferror(filter('3.4.clean'!C:C,'3.4.clean'!A:A=C1375),"""")"),"")</f>
        <v/>
      </c>
      <c r="P1375" s="60" t="b">
        <f t="shared" si="1119"/>
        <v>0</v>
      </c>
      <c r="Q1375" s="59">
        <f>IFERROR(__xludf.DUMMYFUNCTION("iferror(filter('3.5.clean'!C:C,'3.5.clean'!A:A=C1375),"""")"),43844.0)</f>
        <v>43844</v>
      </c>
      <c r="R1375" s="58"/>
      <c r="S1375" s="4">
        <f>IFERROR(__xludf.DUMMYFUNCTION("iferror(filter('3.5.clean'!H:H,'3.5.clean'!A:A=C1375),"""")"),0.0)</f>
        <v>0</v>
      </c>
      <c r="W1375" s="23" t="b">
        <f>if(AND(H1375=TRUE,N1375=TRUE,P1375=TRUE),TRUE,FALSE)</f>
        <v>0</v>
      </c>
      <c r="X1375" s="23" t="str">
        <f>IFERROR(__xludf.DUMMYFUNCTION("if(COUNTA(FILTER(C:C, C:C = C1375))=1,""no"",""yes"")"),"no")</f>
        <v>no</v>
      </c>
    </row>
    <row r="1376">
      <c r="A1376" s="1" t="s">
        <v>1004</v>
      </c>
      <c r="B1376" s="2">
        <v>6.0</v>
      </c>
      <c r="C1376" s="2" t="s">
        <v>2082</v>
      </c>
      <c r="D1376" s="58" t="str">
        <f t="shared" si="1122"/>
        <v/>
      </c>
      <c r="E1376" s="59">
        <v>43844.0</v>
      </c>
      <c r="F1376" s="60" t="str">
        <f>IFERROR(__xludf.DUMMYFUNCTION("iferror(ifna(IFNA(filter('2.1.clean'!E:E,'2.1.clean'!A:A=C1376),filter('2.2.clean'!G:G,'2.2.clean'!D:D=C1376)),filter('2.4.clean'!E:E,'2.4.clean'!A:A=C1376)),)"),"")</f>
        <v/>
      </c>
      <c r="G1376" s="59" t="str">
        <f>IFERROR(__xludf.DUMMYFUNCTION("iferror(filter('3.1.clean'!C:C,'3.1.clean'!A:A=C1376),"""")"),"")</f>
        <v/>
      </c>
      <c r="H1376" s="58"/>
      <c r="I1376" s="58" t="str">
        <f>IFERROR(__xludf.DUMMYFUNCTION("iferror(filter('3.1.clean'!G:G,'3.1.clean'!A:A=C1376),"""")"),"")</f>
        <v/>
      </c>
      <c r="J1376" s="60" t="str">
        <f>IFERROR(__xludf.DUMMYFUNCTION("iferror(filter('3.1.clean'!I:I,'3.1.clean'!A:A=C1376),"""")"),"")</f>
        <v/>
      </c>
      <c r="K1376" s="59"/>
      <c r="L1376" s="60"/>
      <c r="M1376" s="59" t="str">
        <f>IFERROR(__xludf.DUMMYFUNCTION("iferror(filter('3.3.clean'!C:C,'3.3.clean'!A:A=C1376),"""")"),"")</f>
        <v/>
      </c>
      <c r="N1376" s="60" t="b">
        <f t="shared" si="1118"/>
        <v>0</v>
      </c>
      <c r="O1376" s="59" t="str">
        <f>IFERROR(__xludf.DUMMYFUNCTION("iferror(filter('3.4.clean'!C:C,'3.4.clean'!A:A=C1376),"""")"),"")</f>
        <v/>
      </c>
      <c r="P1376" s="60" t="b">
        <f t="shared" si="1119"/>
        <v>0</v>
      </c>
      <c r="Q1376" s="59" t="str">
        <f>IFERROR(__xludf.DUMMYFUNCTION("iferror(filter('3.5.clean'!C:C,'3.5.clean'!A:A=C1376),"""")"),"")</f>
        <v/>
      </c>
      <c r="R1376" s="58" t="b">
        <f t="shared" ref="R1376:R1377" si="1123">if(Q1376="",FALSE,TRUE)</f>
        <v>0</v>
      </c>
      <c r="S1376" s="4" t="str">
        <f>IFERROR(__xludf.DUMMYFUNCTION("iferror(filter('3.5.clean'!H:H,'3.5.clean'!A:A=C1376),"""")"),"")</f>
        <v/>
      </c>
      <c r="V1376" s="52" t="s">
        <v>64</v>
      </c>
      <c r="W1376" s="23" t="b">
        <f>if(AND(R1376=TRUE,N1376=TRUE,P1376=TRUE),TRUE,FALSE)</f>
        <v>0</v>
      </c>
      <c r="X1376" s="23" t="str">
        <f>IFERROR(__xludf.DUMMYFUNCTION("if(COUNTA(FILTER(C:C, C:C = C1376))=1,""no"",""yes"")"),"no")</f>
        <v>no</v>
      </c>
    </row>
    <row r="1377">
      <c r="A1377" s="1" t="s">
        <v>1004</v>
      </c>
      <c r="B1377" s="2">
        <v>7.0</v>
      </c>
      <c r="C1377" s="19" t="s">
        <v>2083</v>
      </c>
      <c r="E1377" s="24">
        <f>IFERROR(__xludf.DUMMYFUNCTION("ifna(IFNA(filter('2.1.clean'!C:C,'2.1.clean'!A:A=C1377),filter('2.2.clean'!E:E,'2.2.clean'!D:D=C1377)),filter('2.4.clean'!C:C,'2.4.clean'!A:A=C1377))"),43844.0)</f>
        <v>43844</v>
      </c>
      <c r="F1377" s="25">
        <f>IFERROR(__xludf.DUMMYFUNCTION("iferror(ifna(IFNA(filter('2.1.clean'!E:E,'2.1.clean'!A:A=C1377),filter('2.2.clean'!G:G,'2.2.clean'!D:D=C1377)),filter('2.4.clean'!E:E,'2.4.clean'!A:A=C1377)),)"),2.39999999999999)</f>
        <v>2.4</v>
      </c>
      <c r="G1377" s="24"/>
      <c r="J1377" s="25"/>
      <c r="K1377" s="24"/>
      <c r="L1377" s="25"/>
      <c r="M1377" s="24">
        <f>IFERROR(__xludf.DUMMYFUNCTION("iferror(filter('3.3.clean'!C:C,'3.3.clean'!A:A=C1377),"""")"),43845.0)</f>
        <v>43845</v>
      </c>
      <c r="N1377" s="25" t="b">
        <f t="shared" si="1118"/>
        <v>1</v>
      </c>
      <c r="O1377" s="24">
        <f>IFERROR(__xludf.DUMMYFUNCTION("iferror(filter('3.4.clean'!C:C,'3.4.clean'!A:A=C1377),"""")"),43846.0)</f>
        <v>43846</v>
      </c>
      <c r="P1377" s="25" t="b">
        <f t="shared" si="1119"/>
        <v>1</v>
      </c>
      <c r="Q1377" s="24">
        <f>IFERROR(__xludf.DUMMYFUNCTION("iferror(filter('3.5.clean'!C:C,'3.5.clean'!A:A=C1377),"""")"),43844.0)</f>
        <v>43844</v>
      </c>
      <c r="R1377" s="23" t="b">
        <f t="shared" si="1123"/>
        <v>1</v>
      </c>
      <c r="S1377" s="25"/>
      <c r="V1377" s="52" t="s">
        <v>64</v>
      </c>
      <c r="W1377" s="23" t="b">
        <f>IF(and(R1377=TRUE,N1377=TRUE,P1377=TRUE),TRUE,FALSE)</f>
        <v>1</v>
      </c>
      <c r="X1377" s="23" t="str">
        <f>IFERROR(__xludf.DUMMYFUNCTION("if(COUNTA(FILTER(C:C, C:C = C1377))=1,""no"",""yes"")"),"no")</f>
        <v>no</v>
      </c>
    </row>
    <row r="1378">
      <c r="A1378" s="1" t="s">
        <v>1004</v>
      </c>
      <c r="B1378" s="2">
        <v>8.0</v>
      </c>
      <c r="C1378" s="19" t="s">
        <v>2084</v>
      </c>
      <c r="D1378" s="58" t="str">
        <f t="shared" ref="D1378:D1379" si="1124">if(or(I1378=1,J1378=1,S1378=1),"pos","")</f>
        <v/>
      </c>
      <c r="E1378" s="59">
        <f>IFERROR(__xludf.DUMMYFUNCTION("ifna(IFNA(filter('2.1.clean'!C:C,'2.1.clean'!A:A=C1378),filter('2.2.clean'!E:E,'2.2.clean'!D:D=C1378)),filter('2.4.clean'!C:C,'2.4.clean'!A:A=C1378))"),43844.0)</f>
        <v>43844</v>
      </c>
      <c r="F1378" s="60">
        <f>IFERROR(__xludf.DUMMYFUNCTION("iferror(ifna(IFNA(filter('2.1.clean'!E:E,'2.1.clean'!A:A=C1378),filter('2.2.clean'!G:G,'2.2.clean'!D:D=C1378)),filter('2.4.clean'!E:E,'2.4.clean'!A:A=C1378)),)"),2.39999999999999)</f>
        <v>2.4</v>
      </c>
      <c r="G1378" s="59">
        <f>IFERROR(__xludf.DUMMYFUNCTION("iferror(filter('3.1.clean'!C:C,'3.1.clean'!A:A=C1378),"""")"),43844.0)</f>
        <v>43844</v>
      </c>
      <c r="H1378" s="58" t="b">
        <f>if(G1378="",FALSE,TRUE)</f>
        <v>1</v>
      </c>
      <c r="I1378" s="58">
        <f>IFERROR(__xludf.DUMMYFUNCTION("iferror(filter('3.1.clean'!G:G,'3.1.clean'!A:A=C1378),"""")"),0.0)</f>
        <v>0</v>
      </c>
      <c r="J1378" s="60" t="str">
        <f>IFERROR(__xludf.DUMMYFUNCTION("iferror(filter('3.1.clean'!I:I,'3.1.clean'!A:A=C1378),"""")"),"")</f>
        <v/>
      </c>
      <c r="K1378" s="58"/>
      <c r="L1378" s="60"/>
      <c r="M1378" s="59" t="str">
        <f>IFERROR(__xludf.DUMMYFUNCTION("iferror(filter('3.3.clean'!C:C,'3.3.clean'!A:A=C1378),"""")"),"")</f>
        <v/>
      </c>
      <c r="N1378" s="60" t="b">
        <f t="shared" si="1118"/>
        <v>0</v>
      </c>
      <c r="O1378" s="59" t="str">
        <f>IFERROR(__xludf.DUMMYFUNCTION("iferror(filter('3.4.clean'!C:C,'3.4.clean'!A:A=C1378),"""")"),"")</f>
        <v/>
      </c>
      <c r="P1378" s="60" t="b">
        <f t="shared" si="1119"/>
        <v>0</v>
      </c>
      <c r="Q1378" s="59" t="str">
        <f>IFERROR(__xludf.DUMMYFUNCTION("iferror(filter('3.5.clean'!C:C,'3.5.clean'!A:A=C1378),"""")"),"")</f>
        <v/>
      </c>
      <c r="R1378" s="58"/>
      <c r="S1378" s="4" t="str">
        <f>IFERROR(__xludf.DUMMYFUNCTION("iferror(filter('3.5.clean'!H:H,'3.5.clean'!A:A=C1378),"""")"),"")</f>
        <v/>
      </c>
      <c r="W1378" s="23" t="b">
        <f>if(AND(H1378=TRUE,N1378=TRUE,P1378=TRUE),TRUE,FALSE)</f>
        <v>0</v>
      </c>
      <c r="X1378" s="23" t="str">
        <f>IFERROR(__xludf.DUMMYFUNCTION("if(COUNTA(FILTER(C:C, C:C = C1378))=1,""no"",""yes"")"),"no")</f>
        <v>no</v>
      </c>
    </row>
    <row r="1379">
      <c r="A1379" s="1" t="s">
        <v>1004</v>
      </c>
      <c r="B1379" s="2">
        <v>9.0</v>
      </c>
      <c r="C1379" s="19" t="s">
        <v>2085</v>
      </c>
      <c r="D1379" s="58" t="str">
        <f t="shared" si="1124"/>
        <v/>
      </c>
      <c r="E1379" s="59">
        <f>Q1379</f>
        <v>43844</v>
      </c>
      <c r="F1379" s="60" t="str">
        <f>IFERROR(__xludf.DUMMYFUNCTION("iferror(ifna(IFNA(filter('2.1.clean'!E:E,'2.1.clean'!A:A=C1379),filter('2.2.clean'!G:G,'2.2.clean'!D:D=C1379)),filter('2.4.clean'!E:E,'2.4.clean'!A:A=C1379)),)"),"")</f>
        <v/>
      </c>
      <c r="G1379" s="59" t="str">
        <f>IFERROR(__xludf.DUMMYFUNCTION("iferror(filter('3.1.clean'!C:C,'3.1.clean'!A:A=C1379),"""")"),"")</f>
        <v/>
      </c>
      <c r="H1379" s="58"/>
      <c r="I1379" s="58" t="str">
        <f>IFERROR(__xludf.DUMMYFUNCTION("iferror(filter('3.1.clean'!G:G,'3.1.clean'!A:A=C1379),"""")"),"")</f>
        <v/>
      </c>
      <c r="J1379" s="60" t="str">
        <f>IFERROR(__xludf.DUMMYFUNCTION("iferror(filter('3.1.clean'!I:I,'3.1.clean'!A:A=C1379),"""")"),"")</f>
        <v/>
      </c>
      <c r="K1379" s="59"/>
      <c r="L1379" s="60"/>
      <c r="M1379" s="59" t="str">
        <f>IFERROR(__xludf.DUMMYFUNCTION("iferror(filter('3.3.clean'!C:C,'3.3.clean'!A:A=C1379),"""")"),"")</f>
        <v/>
      </c>
      <c r="N1379" s="60" t="b">
        <f t="shared" si="1118"/>
        <v>0</v>
      </c>
      <c r="O1379" s="59" t="str">
        <f>IFERROR(__xludf.DUMMYFUNCTION("iferror(filter('3.4.clean'!C:C,'3.4.clean'!A:A=C1379),"""")"),"")</f>
        <v/>
      </c>
      <c r="P1379" s="60" t="b">
        <f t="shared" si="1119"/>
        <v>0</v>
      </c>
      <c r="Q1379" s="59">
        <f>IFERROR(__xludf.DUMMYFUNCTION("iferror(filter('3.5.clean'!C:C,'3.5.clean'!A:A=C1379),"""")"),43844.0)</f>
        <v>43844</v>
      </c>
      <c r="R1379" s="58" t="b">
        <f t="shared" ref="R1379:R1381" si="1125">if(Q1379="",FALSE,TRUE)</f>
        <v>1</v>
      </c>
      <c r="S1379" s="4">
        <f>IFERROR(__xludf.DUMMYFUNCTION("iferror(filter('3.5.clean'!H:H,'3.5.clean'!A:A=C1379),"""")"),0.0)</f>
        <v>0</v>
      </c>
      <c r="V1379" s="52" t="s">
        <v>64</v>
      </c>
      <c r="W1379" s="23" t="b">
        <f>if(AND(R1379=TRUE,N1379=TRUE,P1379=TRUE),TRUE,FALSE)</f>
        <v>0</v>
      </c>
      <c r="X1379" s="23" t="str">
        <f>IFERROR(__xludf.DUMMYFUNCTION("if(COUNTA(FILTER(C:C, C:C = C1379))=1,""no"",""yes"")"),"no")</f>
        <v>no</v>
      </c>
    </row>
    <row r="1380">
      <c r="A1380" s="1" t="s">
        <v>1004</v>
      </c>
      <c r="B1380" s="2">
        <v>10.0</v>
      </c>
      <c r="C1380" s="19" t="s">
        <v>2086</v>
      </c>
      <c r="E1380" s="24">
        <f>IFERROR(__xludf.DUMMYFUNCTION("ifna(IFNA(filter('2.1.clean'!C:C,'2.1.clean'!A:A=C1380),filter('2.2.clean'!E:E,'2.2.clean'!D:D=C1380)),filter('2.4.clean'!C:C,'2.4.clean'!A:A=C1380))"),43844.0)</f>
        <v>43844</v>
      </c>
      <c r="F1380" s="25">
        <f>IFERROR(__xludf.DUMMYFUNCTION("iferror(ifna(IFNA(filter('2.1.clean'!E:E,'2.1.clean'!A:A=C1380),filter('2.2.clean'!G:G,'2.2.clean'!D:D=C1380)),filter('2.4.clean'!E:E,'2.4.clean'!A:A=C1380)),)"),2.39999999999999)</f>
        <v>2.4</v>
      </c>
      <c r="G1380" s="24">
        <f>IFERROR(__xludf.DUMMYFUNCTION("iferror(filter('3.1.clean'!C:C,'3.1.clean'!A:A=C1380),"""")"),43844.0)</f>
        <v>43844</v>
      </c>
      <c r="H1380" s="23" t="b">
        <f>if(G1380="",FALSE,TRUE)</f>
        <v>1</v>
      </c>
      <c r="J1380" s="25"/>
      <c r="K1380" s="24">
        <f>IFERROR(__xludf.DUMMYFUNCTION("iferror(filter('3.2.clean'!C:C,'3.2.clean'!A:A=C1380),"""")"),43844.0)</f>
        <v>43844</v>
      </c>
      <c r="L1380" s="25" t="b">
        <f>if(K1380="",FALSE,TRUE)</f>
        <v>1</v>
      </c>
      <c r="M1380" s="24">
        <f>IFERROR(__xludf.DUMMYFUNCTION("iferror(filter('3.3.clean'!C:C,'3.3.clean'!A:A=C1380),"""")"),43845.0)</f>
        <v>43845</v>
      </c>
      <c r="N1380" s="25" t="b">
        <f t="shared" si="1118"/>
        <v>1</v>
      </c>
      <c r="O1380" s="24">
        <f>IFERROR(__xludf.DUMMYFUNCTION("iferror(filter('3.4.clean'!C:C,'3.4.clean'!A:A=C1380),"""")"),43846.0)</f>
        <v>43846</v>
      </c>
      <c r="P1380" s="25" t="b">
        <f t="shared" si="1119"/>
        <v>1</v>
      </c>
      <c r="Q1380" s="24" t="str">
        <f>IFERROR(__xludf.DUMMYFUNCTION("iferror(filter('3.5.clean'!C:C,'3.5.clean'!A:A=C1380),"""")"),"")</f>
        <v/>
      </c>
      <c r="R1380" s="23" t="b">
        <f t="shared" si="1125"/>
        <v>0</v>
      </c>
      <c r="S1380" s="25"/>
      <c r="U1380" s="23"/>
      <c r="V1380" s="1" t="s">
        <v>64</v>
      </c>
      <c r="X1380" s="23" t="str">
        <f>IFERROR(__xludf.DUMMYFUNCTION("if(COUNTA(FILTER(C:C, C:C = C1380))=1,""no"",""yes"")"),"no")</f>
        <v>no</v>
      </c>
    </row>
    <row r="1381">
      <c r="A1381" s="1" t="s">
        <v>1004</v>
      </c>
      <c r="B1381" s="2">
        <v>11.0</v>
      </c>
      <c r="C1381" s="19" t="s">
        <v>2087</v>
      </c>
      <c r="D1381" s="22" t="str">
        <f>if(or(I1381=1,J1381=1,S1381=1),"pos","")</f>
        <v/>
      </c>
      <c r="E1381" s="20">
        <f>Q1381</f>
        <v>43844</v>
      </c>
      <c r="F1381" s="79" t="str">
        <f>IFERROR(__xludf.DUMMYFUNCTION("iferror(ifna(IFNA(filter('2.1.clean'!E:E,'2.1.clean'!A:A=C1381),filter('2.2.clean'!G:G,'2.2.clean'!D:D=C1381)),filter('2.4.clean'!E:E,'2.4.clean'!A:A=C1381)),)"),"")</f>
        <v/>
      </c>
      <c r="G1381" s="20" t="str">
        <f>IFERROR(__xludf.DUMMYFUNCTION("iferror(filter('3.1.clean'!C:C,'3.1.clean'!A:A=C1381),"""")"),"")</f>
        <v/>
      </c>
      <c r="H1381" s="22"/>
      <c r="I1381" s="22"/>
      <c r="J1381" s="79"/>
      <c r="K1381" s="20" t="str">
        <f>IFERROR(__xludf.DUMMYFUNCTION("iferror(filter('3.2.clean'!C:C,'3.2.clean'!A:A=C1381),"""")"),"")</f>
        <v/>
      </c>
      <c r="L1381" s="79"/>
      <c r="M1381" s="20" t="str">
        <f>IFERROR(__xludf.DUMMYFUNCTION("iferror(filter('3.3.clean'!C:C,'3.3.clean'!A:A=C1381),"""")"),"")</f>
        <v/>
      </c>
      <c r="N1381" s="79" t="b">
        <f t="shared" si="1118"/>
        <v>0</v>
      </c>
      <c r="O1381" s="20" t="str">
        <f>IFERROR(__xludf.DUMMYFUNCTION("iferror(filter('3.4.clean'!C:C,'3.4.clean'!A:A=C1381),"""")"),"")</f>
        <v/>
      </c>
      <c r="P1381" s="79" t="b">
        <f t="shared" si="1119"/>
        <v>0</v>
      </c>
      <c r="Q1381" s="20">
        <f>IFERROR(__xludf.DUMMYFUNCTION("iferror(filter('3.5.clean'!C:C,'3.5.clean'!A:A=C1381),"""")"),43844.0)</f>
        <v>43844</v>
      </c>
      <c r="R1381" s="22" t="b">
        <f t="shared" si="1125"/>
        <v>1</v>
      </c>
      <c r="S1381" s="4">
        <f>IFERROR(__xludf.DUMMYFUNCTION("iferror(filter('3.5.clean'!H:H,'3.5.clean'!A:A=C1381),"""")"),0.0)</f>
        <v>0</v>
      </c>
      <c r="V1381" s="1" t="s">
        <v>64</v>
      </c>
      <c r="W1381" s="23" t="b">
        <f>IF(and(R1381=TRUE,N1381=TRUE,P1381=TRUE),TRUE,FALSE)</f>
        <v>0</v>
      </c>
      <c r="X1381" s="23" t="str">
        <f>IFERROR(__xludf.DUMMYFUNCTION("if(COUNTA(FILTER(C:C, C:C = C1381))=1,""no"",""yes"")"),"no")</f>
        <v>no</v>
      </c>
    </row>
    <row r="1382">
      <c r="A1382" s="1" t="s">
        <v>1004</v>
      </c>
      <c r="B1382" s="2">
        <v>12.0</v>
      </c>
      <c r="C1382" s="19" t="s">
        <v>2088</v>
      </c>
      <c r="E1382" s="24">
        <f>M1382</f>
        <v>43844</v>
      </c>
      <c r="F1382" s="25" t="str">
        <f>IFERROR(__xludf.DUMMYFUNCTION("iferror(ifna(IFNA(filter('2.1.clean'!E:E,'2.1.clean'!A:A=C1382),filter('2.2.clean'!G:G,'2.2.clean'!D:D=C1382)),filter('2.4.clean'!E:E,'2.4.clean'!A:A=C1382)),)"),"")</f>
        <v/>
      </c>
      <c r="G1382" s="24" t="str">
        <f>IFERROR(__xludf.DUMMYFUNCTION("iferror(filter('3.1.clean'!C:C,'3.1.clean'!A:A=C1382),"""")"),"")</f>
        <v/>
      </c>
      <c r="J1382" s="25"/>
      <c r="K1382" s="24" t="str">
        <f>IFERROR(__xludf.DUMMYFUNCTION("iferror(filter('3.2.clean'!C:C,'3.2.clean'!A:A=C1382),"""")"),"")</f>
        <v/>
      </c>
      <c r="L1382" s="25"/>
      <c r="M1382" s="24">
        <f>IFERROR(__xludf.DUMMYFUNCTION("iferror(filter('3.3.clean'!C:C,'3.3.clean'!A:A=C1382),"""")"),43844.0)</f>
        <v>43844</v>
      </c>
      <c r="N1382" s="25" t="b">
        <f t="shared" si="1118"/>
        <v>1</v>
      </c>
      <c r="O1382" s="24" t="str">
        <f>IFERROR(__xludf.DUMMYFUNCTION("iferror(filter('3.4.clean'!C:C,'3.4.clean'!A:A=C1382),"""")"),"")</f>
        <v/>
      </c>
      <c r="P1382" s="25" t="b">
        <f t="shared" si="1119"/>
        <v>0</v>
      </c>
      <c r="Q1382" s="24" t="str">
        <f>IFERROR(__xludf.DUMMYFUNCTION("iferror(filter('3.5.clean'!C:C,'3.5.clean'!A:A=C1382),"""")"),"")</f>
        <v/>
      </c>
      <c r="S1382" s="25"/>
      <c r="V1382" s="52" t="s">
        <v>64</v>
      </c>
      <c r="X1382" s="23" t="str">
        <f>IFERROR(__xludf.DUMMYFUNCTION("if(COUNTA(FILTER(C:C, C:C = C1382))=1,""no"",""yes"")"),"no")</f>
        <v>no</v>
      </c>
    </row>
    <row r="1383">
      <c r="A1383" s="75" t="s">
        <v>1007</v>
      </c>
      <c r="B1383" s="2">
        <v>1.0</v>
      </c>
      <c r="C1383" s="19" t="s">
        <v>676</v>
      </c>
      <c r="E1383" s="24">
        <f>IFERROR(__xludf.DUMMYFUNCTION("ifna(IFNA(filter('2.1.clean'!C:C,'2.1.clean'!A:A=C1383),filter('2.2.clean'!E:E,'2.2.clean'!D:D=C1383)),filter('2.4.clean'!C:C,'2.4.clean'!A:A=C1383))"),43845.0)</f>
        <v>43845</v>
      </c>
      <c r="F1383" s="25">
        <f>IFERROR(__xludf.DUMMYFUNCTION("iferror(ifna(IFNA(filter('2.1.clean'!E:E,'2.1.clean'!A:A=C1383),filter('2.2.clean'!G:G,'2.2.clean'!D:D=C1383)),filter('2.4.clean'!E:E,'2.4.clean'!A:A=C1383)),)"),2.2)</f>
        <v>2.2</v>
      </c>
      <c r="G1383" s="24">
        <f>IFERROR(__xludf.DUMMYFUNCTION("iferror(filter('3.1.clean'!C:C,'3.1.clean'!A:A=C1383),"""")"),43845.0)</f>
        <v>43845</v>
      </c>
      <c r="H1383" s="23" t="b">
        <f t="shared" ref="H1383:H1387" si="1126">if(G1383="",FALSE,TRUE)</f>
        <v>1</v>
      </c>
      <c r="J1383" s="25"/>
      <c r="K1383" s="24">
        <f>IFERROR(__xludf.DUMMYFUNCTION("iferror(filter('3.2.clean'!C:C,'3.2.clean'!A:A=C1383),"""")"),43846.0)</f>
        <v>43846</v>
      </c>
      <c r="L1383" s="25" t="b">
        <f t="shared" ref="L1383:L1386" si="1127">if(K1383="",FALSE,TRUE)</f>
        <v>1</v>
      </c>
      <c r="M1383" s="24">
        <f>IFERROR(__xludf.DUMMYFUNCTION("iferror(filter('3.3.clean'!C:C,'3.3.clean'!A:A=C1383),"""")"),43847.0)</f>
        <v>43847</v>
      </c>
      <c r="N1383" s="25" t="b">
        <f t="shared" si="1118"/>
        <v>1</v>
      </c>
      <c r="O1383" s="24">
        <f>IFERROR(__xludf.DUMMYFUNCTION("iferror(filter('3.4.clean'!C:C,'3.4.clean'!A:A=C1383),"""")"),43850.0)</f>
        <v>43850</v>
      </c>
      <c r="P1383" s="25" t="b">
        <f t="shared" si="1119"/>
        <v>1</v>
      </c>
      <c r="Q1383" s="24" t="str">
        <f>IFERROR(__xludf.DUMMYFUNCTION("iferror(filter('3.5.clean'!C:C,'3.5.clean'!A:A=C1383),"""")"),"")</f>
        <v/>
      </c>
      <c r="S1383" s="25"/>
      <c r="W1383" s="23" t="b">
        <f t="shared" ref="W1383:W1386" si="1128">IF(and(H1383=TRUE,L1383=TRUE,N1383=TRUE,P1383=TRUE),TRUE,FALSE)</f>
        <v>1</v>
      </c>
      <c r="X1383" s="23" t="str">
        <f>IFERROR(__xludf.DUMMYFUNCTION("if(COUNTA(FILTER(C:C, C:C = C1383))=1,""no"",""yes"")"),"no")</f>
        <v>no</v>
      </c>
    </row>
    <row r="1384">
      <c r="A1384" s="75" t="s">
        <v>1007</v>
      </c>
      <c r="B1384" s="2">
        <v>2.0</v>
      </c>
      <c r="C1384" s="19" t="s">
        <v>678</v>
      </c>
      <c r="E1384" s="24">
        <f>IFERROR(__xludf.DUMMYFUNCTION("ifna(IFNA(filter('2.1.clean'!C:C,'2.1.clean'!A:A=C1384),filter('2.2.clean'!E:E,'2.2.clean'!D:D=C1384)),filter('2.4.clean'!C:C,'2.4.clean'!A:A=C1384))"),43845.0)</f>
        <v>43845</v>
      </c>
      <c r="F1384" s="25">
        <f>IFERROR(__xludf.DUMMYFUNCTION("iferror(ifna(IFNA(filter('2.1.clean'!E:E,'2.1.clean'!A:A=C1384),filter('2.2.clean'!G:G,'2.2.clean'!D:D=C1384)),filter('2.4.clean'!E:E,'2.4.clean'!A:A=C1384)),)"),2.2)</f>
        <v>2.2</v>
      </c>
      <c r="G1384" s="24">
        <f>IFERROR(__xludf.DUMMYFUNCTION("iferror(filter('3.1.clean'!C:C,'3.1.clean'!A:A=C1384),"""")"),43845.0)</f>
        <v>43845</v>
      </c>
      <c r="H1384" s="23" t="b">
        <f t="shared" si="1126"/>
        <v>1</v>
      </c>
      <c r="J1384" s="25"/>
      <c r="K1384" s="24">
        <f>IFERROR(__xludf.DUMMYFUNCTION("iferror(filter('3.2.clean'!C:C,'3.2.clean'!A:A=C1384),"""")"),43846.0)</f>
        <v>43846</v>
      </c>
      <c r="L1384" s="25" t="b">
        <f t="shared" si="1127"/>
        <v>1</v>
      </c>
      <c r="M1384" s="24">
        <f>IFERROR(__xludf.DUMMYFUNCTION("iferror(filter('3.3.clean'!C:C,'3.3.clean'!A:A=C1384),"""")"),43847.0)</f>
        <v>43847</v>
      </c>
      <c r="N1384" s="25" t="b">
        <f t="shared" si="1118"/>
        <v>1</v>
      </c>
      <c r="O1384" s="24">
        <f>IFERROR(__xludf.DUMMYFUNCTION("iferror(filter('3.4.clean'!C:C,'3.4.clean'!A:A=C1384),"""")"),43850.0)</f>
        <v>43850</v>
      </c>
      <c r="P1384" s="25" t="b">
        <f t="shared" si="1119"/>
        <v>1</v>
      </c>
      <c r="Q1384" s="24" t="str">
        <f>IFERROR(__xludf.DUMMYFUNCTION("iferror(filter('3.5.clean'!C:C,'3.5.clean'!A:A=C1384),"""")"),"")</f>
        <v/>
      </c>
      <c r="S1384" s="25"/>
      <c r="W1384" s="23" t="b">
        <f t="shared" si="1128"/>
        <v>1</v>
      </c>
      <c r="X1384" s="23" t="str">
        <f>IFERROR(__xludf.DUMMYFUNCTION("if(COUNTA(FILTER(C:C, C:C = C1384))=1,""no"",""yes"")"),"no")</f>
        <v>no</v>
      </c>
    </row>
    <row r="1385">
      <c r="A1385" s="75" t="s">
        <v>1007</v>
      </c>
      <c r="B1385" s="2">
        <v>3.0</v>
      </c>
      <c r="C1385" s="19" t="s">
        <v>679</v>
      </c>
      <c r="E1385" s="24">
        <f>IFERROR(__xludf.DUMMYFUNCTION("ifna(IFNA(filter('2.1.clean'!C:C,'2.1.clean'!A:A=C1385),filter('2.2.clean'!E:E,'2.2.clean'!D:D=C1385)),filter('2.4.clean'!C:C,'2.4.clean'!A:A=C1385))"),43845.0)</f>
        <v>43845</v>
      </c>
      <c r="F1385" s="25">
        <f>IFERROR(__xludf.DUMMYFUNCTION("iferror(ifna(IFNA(filter('2.1.clean'!E:E,'2.1.clean'!A:A=C1385),filter('2.2.clean'!G:G,'2.2.clean'!D:D=C1385)),filter('2.4.clean'!E:E,'2.4.clean'!A:A=C1385)),)"),2.2)</f>
        <v>2.2</v>
      </c>
      <c r="G1385" s="24">
        <f>IFERROR(__xludf.DUMMYFUNCTION("iferror(filter('3.1.clean'!C:C,'3.1.clean'!A:A=C1385),"""")"),43845.0)</f>
        <v>43845</v>
      </c>
      <c r="H1385" s="23" t="b">
        <f t="shared" si="1126"/>
        <v>1</v>
      </c>
      <c r="J1385" s="25"/>
      <c r="K1385" s="24">
        <f>IFERROR(__xludf.DUMMYFUNCTION("iferror(filter('3.2.clean'!C:C,'3.2.clean'!A:A=C1385),"""")"),43846.0)</f>
        <v>43846</v>
      </c>
      <c r="L1385" s="25" t="b">
        <f t="shared" si="1127"/>
        <v>1</v>
      </c>
      <c r="M1385" s="24">
        <f>IFERROR(__xludf.DUMMYFUNCTION("iferror(filter('3.3.clean'!C:C,'3.3.clean'!A:A=C1385),"""")"),43847.0)</f>
        <v>43847</v>
      </c>
      <c r="N1385" s="25" t="b">
        <f t="shared" si="1118"/>
        <v>1</v>
      </c>
      <c r="O1385" s="24">
        <f>IFERROR(__xludf.DUMMYFUNCTION("iferror(filter('3.4.clean'!C:C,'3.4.clean'!A:A=C1385),"""")"),43850.0)</f>
        <v>43850</v>
      </c>
      <c r="P1385" s="25" t="b">
        <f t="shared" si="1119"/>
        <v>1</v>
      </c>
      <c r="Q1385" s="24" t="str">
        <f>IFERROR(__xludf.DUMMYFUNCTION("iferror(filter('3.5.clean'!C:C,'3.5.clean'!A:A=C1385),"""")"),"")</f>
        <v/>
      </c>
      <c r="S1385" s="25"/>
      <c r="W1385" s="23" t="b">
        <f t="shared" si="1128"/>
        <v>1</v>
      </c>
      <c r="X1385" s="23" t="str">
        <f>IFERROR(__xludf.DUMMYFUNCTION("if(COUNTA(FILTER(C:C, C:C = C1385))=1,""no"",""yes"")"),"no")</f>
        <v>no</v>
      </c>
    </row>
    <row r="1386">
      <c r="A1386" s="75" t="s">
        <v>1007</v>
      </c>
      <c r="B1386" s="2">
        <v>4.0</v>
      </c>
      <c r="C1386" s="19" t="s">
        <v>681</v>
      </c>
      <c r="E1386" s="24">
        <f>IFERROR(__xludf.DUMMYFUNCTION("ifna(IFNA(filter('2.1.clean'!C:C,'2.1.clean'!A:A=C1386),filter('2.2.clean'!E:E,'2.2.clean'!D:D=C1386)),filter('2.4.clean'!C:C,'2.4.clean'!A:A=C1386))"),43845.0)</f>
        <v>43845</v>
      </c>
      <c r="F1386" s="25">
        <f>IFERROR(__xludf.DUMMYFUNCTION("iferror(ifna(IFNA(filter('2.1.clean'!E:E,'2.1.clean'!A:A=C1386),filter('2.2.clean'!G:G,'2.2.clean'!D:D=C1386)),filter('2.4.clean'!E:E,'2.4.clean'!A:A=C1386)),)"),2.2)</f>
        <v>2.2</v>
      </c>
      <c r="G1386" s="24">
        <f>IFERROR(__xludf.DUMMYFUNCTION("iferror(filter('3.1.clean'!C:C,'3.1.clean'!A:A=C1386),"""")"),43845.0)</f>
        <v>43845</v>
      </c>
      <c r="H1386" s="23" t="b">
        <f t="shared" si="1126"/>
        <v>1</v>
      </c>
      <c r="J1386" s="25"/>
      <c r="K1386" s="24">
        <f>IFERROR(__xludf.DUMMYFUNCTION("iferror(filter('3.2.clean'!C:C,'3.2.clean'!A:A=C1386),"""")"),43846.0)</f>
        <v>43846</v>
      </c>
      <c r="L1386" s="25" t="b">
        <f t="shared" si="1127"/>
        <v>1</v>
      </c>
      <c r="M1386" s="24">
        <f>IFERROR(__xludf.DUMMYFUNCTION("iferror(filter('3.3.clean'!C:C,'3.3.clean'!A:A=C1386),"""")"),43847.0)</f>
        <v>43847</v>
      </c>
      <c r="N1386" s="25" t="b">
        <f t="shared" si="1118"/>
        <v>1</v>
      </c>
      <c r="O1386" s="24">
        <f>IFERROR(__xludf.DUMMYFUNCTION("iferror(filter('3.4.clean'!C:C,'3.4.clean'!A:A=C1386),"""")"),43850.0)</f>
        <v>43850</v>
      </c>
      <c r="P1386" s="25" t="b">
        <f t="shared" si="1119"/>
        <v>1</v>
      </c>
      <c r="Q1386" s="24" t="str">
        <f>IFERROR(__xludf.DUMMYFUNCTION("iferror(filter('3.5.clean'!C:C,'3.5.clean'!A:A=C1386),"""")"),"")</f>
        <v/>
      </c>
      <c r="S1386" s="25"/>
      <c r="W1386" s="23" t="b">
        <f t="shared" si="1128"/>
        <v>1</v>
      </c>
      <c r="X1386" s="23" t="str">
        <f>IFERROR(__xludf.DUMMYFUNCTION("if(COUNTA(FILTER(C:C, C:C = C1386))=1,""no"",""yes"")"),"no")</f>
        <v>no</v>
      </c>
    </row>
    <row r="1387">
      <c r="A1387" s="75" t="s">
        <v>1007</v>
      </c>
      <c r="B1387" s="2">
        <v>5.0</v>
      </c>
      <c r="C1387" s="19" t="s">
        <v>684</v>
      </c>
      <c r="D1387" s="58" t="str">
        <f t="shared" ref="D1387:D1388" si="1129">if(or(I1387=1,J1387=1,S1387=1),"pos","")</f>
        <v/>
      </c>
      <c r="E1387" s="59">
        <f>IFERROR(__xludf.DUMMYFUNCTION("ifna(IFNA(filter('2.1.clean'!C:C,'2.1.clean'!A:A=C1387),filter('2.2.clean'!E:E,'2.2.clean'!D:D=C1387)),filter('2.4.clean'!C:C,'2.4.clean'!A:A=C1387))"),43845.0)</f>
        <v>43845</v>
      </c>
      <c r="F1387" s="60">
        <f>IFERROR(__xludf.DUMMYFUNCTION("iferror(ifna(IFNA(filter('2.1.clean'!E:E,'2.1.clean'!A:A=C1387),filter('2.2.clean'!G:G,'2.2.clean'!D:D=C1387)),filter('2.4.clean'!E:E,'2.4.clean'!A:A=C1387)),)"),2.2)</f>
        <v>2.2</v>
      </c>
      <c r="G1387" s="59">
        <f>IFERROR(__xludf.DUMMYFUNCTION("iferror(filter('3.1.clean'!C:C,'3.1.clean'!A:A=C1387),"""")"),43845.0)</f>
        <v>43845</v>
      </c>
      <c r="H1387" s="58" t="b">
        <f t="shared" si="1126"/>
        <v>1</v>
      </c>
      <c r="I1387" s="58">
        <f>IFERROR(__xludf.DUMMYFUNCTION("iferror(filter('3.1.clean'!G:G,'3.1.clean'!A:A=C1387),"""")"),0.0)</f>
        <v>0</v>
      </c>
      <c r="J1387" s="60" t="str">
        <f>IFERROR(__xludf.DUMMYFUNCTION("iferror(filter('3.1.clean'!I:I,'3.1.clean'!A:A=C1387),"""")"),"")</f>
        <v/>
      </c>
      <c r="K1387" s="58"/>
      <c r="L1387" s="60"/>
      <c r="M1387" s="59" t="str">
        <f>IFERROR(__xludf.DUMMYFUNCTION("iferror(filter('3.3.clean'!C:C,'3.3.clean'!A:A=C1387),"""")"),"")</f>
        <v/>
      </c>
      <c r="N1387" s="60" t="b">
        <f t="shared" si="1118"/>
        <v>0</v>
      </c>
      <c r="O1387" s="59" t="str">
        <f>IFERROR(__xludf.DUMMYFUNCTION("iferror(filter('3.4.clean'!C:C,'3.4.clean'!A:A=C1387),"""")"),"")</f>
        <v/>
      </c>
      <c r="P1387" s="60" t="b">
        <f t="shared" si="1119"/>
        <v>0</v>
      </c>
      <c r="Q1387" s="59" t="str">
        <f>IFERROR(__xludf.DUMMYFUNCTION("iferror(filter('3.5.clean'!C:C,'3.5.clean'!A:A=C1387),"""")"),"")</f>
        <v/>
      </c>
      <c r="R1387" s="58"/>
      <c r="S1387" s="4" t="str">
        <f>IFERROR(__xludf.DUMMYFUNCTION("iferror(filter('3.5.clean'!H:H,'3.5.clean'!A:A=C1387),"""")"),"")</f>
        <v/>
      </c>
      <c r="W1387" s="23" t="b">
        <f>if(AND(H1387=TRUE,N1387=TRUE,P1387=TRUE),TRUE,FALSE)</f>
        <v>0</v>
      </c>
      <c r="X1387" s="23" t="str">
        <f>IFERROR(__xludf.DUMMYFUNCTION("if(COUNTA(FILTER(C:C, C:C = C1387))=1,""no"",""yes"")"),"no")</f>
        <v>no</v>
      </c>
    </row>
    <row r="1388">
      <c r="A1388" s="75" t="s">
        <v>1007</v>
      </c>
      <c r="B1388" s="2">
        <v>6.0</v>
      </c>
      <c r="C1388" s="19" t="s">
        <v>2089</v>
      </c>
      <c r="D1388" s="58" t="str">
        <f t="shared" si="1129"/>
        <v/>
      </c>
      <c r="E1388" s="59">
        <f>Q1388</f>
        <v>43845</v>
      </c>
      <c r="F1388" s="60" t="str">
        <f>IFERROR(__xludf.DUMMYFUNCTION("iferror(ifna(IFNA(filter('2.1.clean'!E:E,'2.1.clean'!A:A=C1388),filter('2.2.clean'!G:G,'2.2.clean'!D:D=C1388)),filter('2.4.clean'!E:E,'2.4.clean'!A:A=C1388)),)"),"")</f>
        <v/>
      </c>
      <c r="G1388" s="59" t="str">
        <f>IFERROR(__xludf.DUMMYFUNCTION("iferror(filter('3.1.clean'!C:C,'3.1.clean'!A:A=C1388),"""")"),"")</f>
        <v/>
      </c>
      <c r="H1388" s="58"/>
      <c r="I1388" s="58" t="str">
        <f>IFERROR(__xludf.DUMMYFUNCTION("iferror(filter('3.1.clean'!G:G,'3.1.clean'!A:A=C1388),"""")"),"")</f>
        <v/>
      </c>
      <c r="J1388" s="60" t="str">
        <f>IFERROR(__xludf.DUMMYFUNCTION("iferror(filter('3.1.clean'!I:I,'3.1.clean'!A:A=C1388),"""")"),"")</f>
        <v/>
      </c>
      <c r="K1388" s="59"/>
      <c r="L1388" s="60"/>
      <c r="M1388" s="59" t="str">
        <f>IFERROR(__xludf.DUMMYFUNCTION("iferror(filter('3.3.clean'!C:C,'3.3.clean'!A:A=C1388),"""")"),"")</f>
        <v/>
      </c>
      <c r="N1388" s="60" t="b">
        <f t="shared" si="1118"/>
        <v>0</v>
      </c>
      <c r="O1388" s="59" t="str">
        <f>IFERROR(__xludf.DUMMYFUNCTION("iferror(filter('3.4.clean'!C:C,'3.4.clean'!A:A=C1388),"""")"),"")</f>
        <v/>
      </c>
      <c r="P1388" s="60" t="b">
        <f t="shared" si="1119"/>
        <v>0</v>
      </c>
      <c r="Q1388" s="59">
        <f>IFERROR(__xludf.DUMMYFUNCTION("iferror(filter('3.5.clean'!C:C,'3.5.clean'!A:A=C1388),"""")"),43845.0)</f>
        <v>43845</v>
      </c>
      <c r="R1388" s="58" t="b">
        <f>if(Q1388="",FALSE,TRUE)</f>
        <v>1</v>
      </c>
      <c r="S1388" s="4">
        <f>IFERROR(__xludf.DUMMYFUNCTION("iferror(filter('3.5.clean'!H:H,'3.5.clean'!A:A=C1388),"""")"),0.0)</f>
        <v>0</v>
      </c>
      <c r="V1388" s="52" t="s">
        <v>64</v>
      </c>
      <c r="W1388" s="23" t="b">
        <f>if(AND(R1388=TRUE,N1388=TRUE,P1388=TRUE),TRUE,FALSE)</f>
        <v>0</v>
      </c>
      <c r="X1388" s="23" t="str">
        <f>IFERROR(__xludf.DUMMYFUNCTION("if(COUNTA(FILTER(C:C, C:C = C1388))=1,""no"",""yes"")"),"no")</f>
        <v>no</v>
      </c>
    </row>
    <row r="1389">
      <c r="A1389" s="75" t="s">
        <v>1007</v>
      </c>
      <c r="B1389" s="2">
        <v>7.0</v>
      </c>
      <c r="C1389" s="19" t="s">
        <v>686</v>
      </c>
      <c r="E1389" s="24">
        <f>IFERROR(__xludf.DUMMYFUNCTION("ifna(IFNA(filter('2.1.clean'!C:C,'2.1.clean'!A:A=C1389),filter('2.2.clean'!E:E,'2.2.clean'!D:D=C1389)),filter('2.4.clean'!C:C,'2.4.clean'!A:A=C1389))"),43845.0)</f>
        <v>43845</v>
      </c>
      <c r="F1389" s="25">
        <f>IFERROR(__xludf.DUMMYFUNCTION("iferror(ifna(IFNA(filter('2.1.clean'!E:E,'2.1.clean'!A:A=C1389),filter('2.2.clean'!G:G,'2.2.clean'!D:D=C1389)),filter('2.4.clean'!E:E,'2.4.clean'!A:A=C1389)),)"),2.2)</f>
        <v>2.2</v>
      </c>
      <c r="G1389" s="24">
        <f>IFERROR(__xludf.DUMMYFUNCTION("iferror(filter('3.1.clean'!C:C,'3.1.clean'!A:A=C1389),"""")"),43845.0)</f>
        <v>43845</v>
      </c>
      <c r="H1389" s="23" t="b">
        <f t="shared" ref="H1389:H1393" si="1130">if(G1389="",FALSE,TRUE)</f>
        <v>1</v>
      </c>
      <c r="J1389" s="25"/>
      <c r="K1389" s="24">
        <f>IFERROR(__xludf.DUMMYFUNCTION("iferror(filter('3.2.clean'!C:C,'3.2.clean'!A:A=C1389),"""")"),43846.0)</f>
        <v>43846</v>
      </c>
      <c r="L1389" s="25" t="b">
        <f t="shared" ref="L1389:L1392" si="1131">if(K1389="",FALSE,TRUE)</f>
        <v>1</v>
      </c>
      <c r="M1389" s="24">
        <f>IFERROR(__xludf.DUMMYFUNCTION("iferror(filter('3.3.clean'!C:C,'3.3.clean'!A:A=C1389),"""")"),43847.0)</f>
        <v>43847</v>
      </c>
      <c r="N1389" s="25" t="b">
        <f t="shared" si="1118"/>
        <v>1</v>
      </c>
      <c r="O1389" s="24">
        <f>IFERROR(__xludf.DUMMYFUNCTION("iferror(filter('3.4.clean'!C:C,'3.4.clean'!A:A=C1389),"""")"),43850.0)</f>
        <v>43850</v>
      </c>
      <c r="P1389" s="25" t="b">
        <f t="shared" si="1119"/>
        <v>1</v>
      </c>
      <c r="Q1389" s="24" t="str">
        <f>IFERROR(__xludf.DUMMYFUNCTION("iferror(filter('3.5.clean'!C:C,'3.5.clean'!A:A=C1389),"""")"),"")</f>
        <v/>
      </c>
      <c r="S1389" s="25"/>
      <c r="W1389" s="23" t="b">
        <f t="shared" ref="W1389:W1392" si="1132">IF(and(H1389=TRUE,L1389=TRUE,N1389=TRUE,P1389=TRUE),TRUE,FALSE)</f>
        <v>1</v>
      </c>
      <c r="X1389" s="23" t="str">
        <f>IFERROR(__xludf.DUMMYFUNCTION("if(COUNTA(FILTER(C:C, C:C = C1389))=1,""no"",""yes"")"),"no")</f>
        <v>no</v>
      </c>
    </row>
    <row r="1390">
      <c r="A1390" s="75" t="s">
        <v>1007</v>
      </c>
      <c r="B1390" s="2">
        <v>8.0</v>
      </c>
      <c r="C1390" s="19" t="s">
        <v>688</v>
      </c>
      <c r="E1390" s="24">
        <f>IFERROR(__xludf.DUMMYFUNCTION("ifna(IFNA(filter('2.1.clean'!C:C,'2.1.clean'!A:A=C1390),filter('2.2.clean'!E:E,'2.2.clean'!D:D=C1390)),filter('2.4.clean'!C:C,'2.4.clean'!A:A=C1390))"),43845.0)</f>
        <v>43845</v>
      </c>
      <c r="F1390" s="25">
        <f>IFERROR(__xludf.DUMMYFUNCTION("iferror(ifna(IFNA(filter('2.1.clean'!E:E,'2.1.clean'!A:A=C1390),filter('2.2.clean'!G:G,'2.2.clean'!D:D=C1390)),filter('2.4.clean'!E:E,'2.4.clean'!A:A=C1390)),)"),2.2)</f>
        <v>2.2</v>
      </c>
      <c r="G1390" s="24">
        <f>IFERROR(__xludf.DUMMYFUNCTION("iferror(filter('3.1.clean'!C:C,'3.1.clean'!A:A=C1390),"""")"),43845.0)</f>
        <v>43845</v>
      </c>
      <c r="H1390" s="23" t="b">
        <f t="shared" si="1130"/>
        <v>1</v>
      </c>
      <c r="J1390" s="25"/>
      <c r="K1390" s="24">
        <f>IFERROR(__xludf.DUMMYFUNCTION("iferror(filter('3.2.clean'!C:C,'3.2.clean'!A:A=C1390),"""")"),43846.0)</f>
        <v>43846</v>
      </c>
      <c r="L1390" s="25" t="b">
        <f t="shared" si="1131"/>
        <v>1</v>
      </c>
      <c r="M1390" s="24">
        <f>IFERROR(__xludf.DUMMYFUNCTION("iferror(filter('3.3.clean'!C:C,'3.3.clean'!A:A=C1390),"""")"),43847.0)</f>
        <v>43847</v>
      </c>
      <c r="N1390" s="25" t="b">
        <f t="shared" si="1118"/>
        <v>1</v>
      </c>
      <c r="O1390" s="24">
        <f>IFERROR(__xludf.DUMMYFUNCTION("iferror(filter('3.4.clean'!C:C,'3.4.clean'!A:A=C1390),"""")"),43850.0)</f>
        <v>43850</v>
      </c>
      <c r="P1390" s="25" t="b">
        <f t="shared" si="1119"/>
        <v>1</v>
      </c>
      <c r="Q1390" s="24" t="str">
        <f>IFERROR(__xludf.DUMMYFUNCTION("iferror(filter('3.5.clean'!C:C,'3.5.clean'!A:A=C1390),"""")"),"")</f>
        <v/>
      </c>
      <c r="S1390" s="25"/>
      <c r="W1390" s="23" t="b">
        <f t="shared" si="1132"/>
        <v>1</v>
      </c>
      <c r="X1390" s="23" t="str">
        <f>IFERROR(__xludf.DUMMYFUNCTION("if(COUNTA(FILTER(C:C, C:C = C1390))=1,""no"",""yes"")"),"no")</f>
        <v>no</v>
      </c>
    </row>
    <row r="1391">
      <c r="A1391" s="75" t="s">
        <v>1007</v>
      </c>
      <c r="B1391" s="2">
        <v>9.0</v>
      </c>
      <c r="C1391" s="19" t="s">
        <v>690</v>
      </c>
      <c r="E1391" s="24">
        <f>IFERROR(__xludf.DUMMYFUNCTION("ifna(IFNA(filter('2.1.clean'!C:C,'2.1.clean'!A:A=C1391),filter('2.2.clean'!E:E,'2.2.clean'!D:D=C1391)),filter('2.4.clean'!C:C,'2.4.clean'!A:A=C1391))"),43845.0)</f>
        <v>43845</v>
      </c>
      <c r="F1391" s="25">
        <f>IFERROR(__xludf.DUMMYFUNCTION("iferror(ifna(IFNA(filter('2.1.clean'!E:E,'2.1.clean'!A:A=C1391),filter('2.2.clean'!G:G,'2.2.clean'!D:D=C1391)),filter('2.4.clean'!E:E,'2.4.clean'!A:A=C1391)),)"),2.2)</f>
        <v>2.2</v>
      </c>
      <c r="G1391" s="24">
        <f>IFERROR(__xludf.DUMMYFUNCTION("iferror(filter('3.1.clean'!C:C,'3.1.clean'!A:A=C1391),"""")"),43845.0)</f>
        <v>43845</v>
      </c>
      <c r="H1391" s="23" t="b">
        <f t="shared" si="1130"/>
        <v>1</v>
      </c>
      <c r="J1391" s="25"/>
      <c r="K1391" s="24">
        <f>IFERROR(__xludf.DUMMYFUNCTION("iferror(filter('3.2.clean'!C:C,'3.2.clean'!A:A=C1391),"""")"),43846.0)</f>
        <v>43846</v>
      </c>
      <c r="L1391" s="25" t="b">
        <f t="shared" si="1131"/>
        <v>1</v>
      </c>
      <c r="M1391" s="24">
        <f>IFERROR(__xludf.DUMMYFUNCTION("iferror(filter('3.3.clean'!C:C,'3.3.clean'!A:A=C1391),"""")"),43847.0)</f>
        <v>43847</v>
      </c>
      <c r="N1391" s="25" t="b">
        <f t="shared" si="1118"/>
        <v>1</v>
      </c>
      <c r="O1391" s="24">
        <f>IFERROR(__xludf.DUMMYFUNCTION("iferror(filter('3.4.clean'!C:C,'3.4.clean'!A:A=C1391),"""")"),43850.0)</f>
        <v>43850</v>
      </c>
      <c r="P1391" s="25" t="b">
        <f t="shared" si="1119"/>
        <v>1</v>
      </c>
      <c r="Q1391" s="24" t="str">
        <f>IFERROR(__xludf.DUMMYFUNCTION("iferror(filter('3.5.clean'!C:C,'3.5.clean'!A:A=C1391),"""")"),"")</f>
        <v/>
      </c>
      <c r="S1391" s="25"/>
      <c r="W1391" s="23" t="b">
        <f t="shared" si="1132"/>
        <v>1</v>
      </c>
      <c r="X1391" s="23" t="str">
        <f>IFERROR(__xludf.DUMMYFUNCTION("if(COUNTA(FILTER(C:C, C:C = C1391))=1,""no"",""yes"")"),"no")</f>
        <v>no</v>
      </c>
    </row>
    <row r="1392">
      <c r="A1392" s="75" t="s">
        <v>1007</v>
      </c>
      <c r="B1392" s="2">
        <v>10.0</v>
      </c>
      <c r="C1392" s="19" t="s">
        <v>691</v>
      </c>
      <c r="E1392" s="24">
        <f>IFERROR(__xludf.DUMMYFUNCTION("ifna(IFNA(filter('2.1.clean'!C:C,'2.1.clean'!A:A=C1392),filter('2.2.clean'!E:E,'2.2.clean'!D:D=C1392)),filter('2.4.clean'!C:C,'2.4.clean'!A:A=C1392))"),43845.0)</f>
        <v>43845</v>
      </c>
      <c r="F1392" s="25">
        <f>IFERROR(__xludf.DUMMYFUNCTION("iferror(ifna(IFNA(filter('2.1.clean'!E:E,'2.1.clean'!A:A=C1392),filter('2.2.clean'!G:G,'2.2.clean'!D:D=C1392)),filter('2.4.clean'!E:E,'2.4.clean'!A:A=C1392)),)"),2.2)</f>
        <v>2.2</v>
      </c>
      <c r="G1392" s="24">
        <f>IFERROR(__xludf.DUMMYFUNCTION("iferror(filter('3.1.clean'!C:C,'3.1.clean'!A:A=C1392),"""")"),43845.0)</f>
        <v>43845</v>
      </c>
      <c r="H1392" s="23" t="b">
        <f t="shared" si="1130"/>
        <v>1</v>
      </c>
      <c r="J1392" s="25"/>
      <c r="K1392" s="24">
        <f>IFERROR(__xludf.DUMMYFUNCTION("iferror(filter('3.2.clean'!C:C,'3.2.clean'!A:A=C1392),"""")"),43846.0)</f>
        <v>43846</v>
      </c>
      <c r="L1392" s="25" t="b">
        <f t="shared" si="1131"/>
        <v>1</v>
      </c>
      <c r="M1392" s="24">
        <f>IFERROR(__xludf.DUMMYFUNCTION("iferror(filter('3.3.clean'!C:C,'3.3.clean'!A:A=C1392),"""")"),43847.0)</f>
        <v>43847</v>
      </c>
      <c r="N1392" s="25" t="b">
        <f t="shared" si="1118"/>
        <v>1</v>
      </c>
      <c r="O1392" s="24">
        <f>IFERROR(__xludf.DUMMYFUNCTION("iferror(filter('3.4.clean'!C:C,'3.4.clean'!A:A=C1392),"""")"),43850.0)</f>
        <v>43850</v>
      </c>
      <c r="P1392" s="25" t="b">
        <f t="shared" si="1119"/>
        <v>1</v>
      </c>
      <c r="Q1392" s="24" t="str">
        <f>IFERROR(__xludf.DUMMYFUNCTION("iferror(filter('3.5.clean'!C:C,'3.5.clean'!A:A=C1392),"""")"),"")</f>
        <v/>
      </c>
      <c r="S1392" s="25"/>
      <c r="W1392" s="23" t="b">
        <f t="shared" si="1132"/>
        <v>1</v>
      </c>
      <c r="X1392" s="23" t="str">
        <f>IFERROR(__xludf.DUMMYFUNCTION("if(COUNTA(FILTER(C:C, C:C = C1392))=1,""no"",""yes"")"),"no")</f>
        <v>no</v>
      </c>
    </row>
    <row r="1393">
      <c r="A1393" s="75" t="s">
        <v>1007</v>
      </c>
      <c r="B1393" s="2">
        <v>11.0</v>
      </c>
      <c r="C1393" s="19" t="s">
        <v>694</v>
      </c>
      <c r="D1393" s="58" t="str">
        <f t="shared" ref="D1393:D1398" si="1133">if(or(I1393=1,J1393=1,S1393=1),"pos","")</f>
        <v/>
      </c>
      <c r="E1393" s="59">
        <f>IFERROR(__xludf.DUMMYFUNCTION("ifna(IFNA(filter('2.1.clean'!C:C,'2.1.clean'!A:A=C1393),filter('2.2.clean'!E:E,'2.2.clean'!D:D=C1393)),filter('2.4.clean'!C:C,'2.4.clean'!A:A=C1393))"),43845.0)</f>
        <v>43845</v>
      </c>
      <c r="F1393" s="60">
        <f>IFERROR(__xludf.DUMMYFUNCTION("iferror(ifna(IFNA(filter('2.1.clean'!E:E,'2.1.clean'!A:A=C1393),filter('2.2.clean'!G:G,'2.2.clean'!D:D=C1393)),filter('2.4.clean'!E:E,'2.4.clean'!A:A=C1393)),)"),2.2)</f>
        <v>2.2</v>
      </c>
      <c r="G1393" s="59">
        <f>IFERROR(__xludf.DUMMYFUNCTION("iferror(filter('3.1.clean'!C:C,'3.1.clean'!A:A=C1393),"""")"),43845.0)</f>
        <v>43845</v>
      </c>
      <c r="H1393" s="58" t="b">
        <f t="shared" si="1130"/>
        <v>1</v>
      </c>
      <c r="I1393" s="58">
        <f>IFERROR(__xludf.DUMMYFUNCTION("iferror(filter('3.1.clean'!G:G,'3.1.clean'!A:A=C1393),"""")"),0.0)</f>
        <v>0</v>
      </c>
      <c r="J1393" s="60" t="str">
        <f>IFERROR(__xludf.DUMMYFUNCTION("iferror(filter('3.1.clean'!I:I,'3.1.clean'!A:A=C1393),"""")"),"")</f>
        <v/>
      </c>
      <c r="K1393" s="58"/>
      <c r="L1393" s="60"/>
      <c r="M1393" s="59" t="str">
        <f>IFERROR(__xludf.DUMMYFUNCTION("iferror(filter('3.3.clean'!C:C,'3.3.clean'!A:A=C1393),"""")"),"")</f>
        <v/>
      </c>
      <c r="N1393" s="60" t="b">
        <f t="shared" si="1118"/>
        <v>0</v>
      </c>
      <c r="O1393" s="59" t="str">
        <f>IFERROR(__xludf.DUMMYFUNCTION("iferror(filter('3.4.clean'!C:C,'3.4.clean'!A:A=C1393),"""")"),"")</f>
        <v/>
      </c>
      <c r="P1393" s="60" t="b">
        <f t="shared" si="1119"/>
        <v>0</v>
      </c>
      <c r="Q1393" s="59" t="str">
        <f>IFERROR(__xludf.DUMMYFUNCTION("iferror(filter('3.5.clean'!C:C,'3.5.clean'!A:A=C1393),"""")"),"")</f>
        <v/>
      </c>
      <c r="R1393" s="58"/>
      <c r="S1393" s="4" t="str">
        <f>IFERROR(__xludf.DUMMYFUNCTION("iferror(filter('3.5.clean'!H:H,'3.5.clean'!A:A=C1393),"""")"),"")</f>
        <v/>
      </c>
      <c r="W1393" s="23" t="b">
        <f>if(AND(H1393=TRUE,N1393=TRUE,P1393=TRUE),TRUE,FALSE)</f>
        <v>0</v>
      </c>
      <c r="X1393" s="23" t="str">
        <f>IFERROR(__xludf.DUMMYFUNCTION("if(COUNTA(FILTER(C:C, C:C = C1393))=1,""no"",""yes"")"),"no")</f>
        <v>no</v>
      </c>
    </row>
    <row r="1394">
      <c r="A1394" s="75" t="s">
        <v>1007</v>
      </c>
      <c r="B1394" s="2">
        <v>12.0</v>
      </c>
      <c r="C1394" s="19" t="s">
        <v>2090</v>
      </c>
      <c r="D1394" s="58" t="str">
        <f t="shared" si="1133"/>
        <v/>
      </c>
      <c r="E1394" s="59">
        <f>Q1394</f>
        <v>43845</v>
      </c>
      <c r="F1394" s="60" t="str">
        <f>IFERROR(__xludf.DUMMYFUNCTION("iferror(ifna(IFNA(filter('2.1.clean'!E:E,'2.1.clean'!A:A=C1394),filter('2.2.clean'!G:G,'2.2.clean'!D:D=C1394)),filter('2.4.clean'!E:E,'2.4.clean'!A:A=C1394)),)"),"")</f>
        <v/>
      </c>
      <c r="G1394" s="59" t="str">
        <f>IFERROR(__xludf.DUMMYFUNCTION("iferror(filter('3.1.clean'!C:C,'3.1.clean'!A:A=C1394),"""")"),"")</f>
        <v/>
      </c>
      <c r="H1394" s="58"/>
      <c r="I1394" s="58" t="str">
        <f>IFERROR(__xludf.DUMMYFUNCTION("iferror(filter('3.1.clean'!G:G,'3.1.clean'!A:A=C1394),"""")"),"")</f>
        <v/>
      </c>
      <c r="J1394" s="60" t="str">
        <f>IFERROR(__xludf.DUMMYFUNCTION("iferror(filter('3.1.clean'!I:I,'3.1.clean'!A:A=C1394),"""")"),"")</f>
        <v/>
      </c>
      <c r="K1394" s="59"/>
      <c r="L1394" s="60"/>
      <c r="M1394" s="59" t="str">
        <f>IFERROR(__xludf.DUMMYFUNCTION("iferror(filter('3.3.clean'!C:C,'3.3.clean'!A:A=C1394),"""")"),"")</f>
        <v/>
      </c>
      <c r="N1394" s="60" t="b">
        <f t="shared" si="1118"/>
        <v>0</v>
      </c>
      <c r="O1394" s="59" t="str">
        <f>IFERROR(__xludf.DUMMYFUNCTION("iferror(filter('3.4.clean'!C:C,'3.4.clean'!A:A=C1394),"""")"),"")</f>
        <v/>
      </c>
      <c r="P1394" s="60" t="b">
        <f t="shared" si="1119"/>
        <v>0</v>
      </c>
      <c r="Q1394" s="59">
        <f>IFERROR(__xludf.DUMMYFUNCTION("iferror(filter('3.5.clean'!C:C,'3.5.clean'!A:A=C1394),"""")"),43845.0)</f>
        <v>43845</v>
      </c>
      <c r="R1394" s="58" t="b">
        <f>if(Q1394="",FALSE,TRUE)</f>
        <v>1</v>
      </c>
      <c r="S1394" s="4">
        <f>IFERROR(__xludf.DUMMYFUNCTION("iferror(filter('3.5.clean'!H:H,'3.5.clean'!A:A=C1394),"""")"),0.0)</f>
        <v>0</v>
      </c>
      <c r="V1394" s="52" t="s">
        <v>64</v>
      </c>
      <c r="W1394" s="23" t="b">
        <f>if(AND(R1394=TRUE,N1394=TRUE,P1394=TRUE),TRUE,FALSE)</f>
        <v>0</v>
      </c>
      <c r="X1394" s="23" t="str">
        <f>IFERROR(__xludf.DUMMYFUNCTION("if(COUNTA(FILTER(C:C, C:C = C1394))=1,""no"",""yes"")"),"no")</f>
        <v>no</v>
      </c>
    </row>
    <row r="1395">
      <c r="A1395" s="75" t="s">
        <v>1007</v>
      </c>
      <c r="B1395" s="2">
        <v>14.0</v>
      </c>
      <c r="C1395" s="19" t="s">
        <v>2091</v>
      </c>
      <c r="D1395" s="58" t="str">
        <f t="shared" si="1133"/>
        <v/>
      </c>
      <c r="E1395" s="59">
        <f>IFERROR(__xludf.DUMMYFUNCTION("ifna(IFNA(filter('2.1.clean'!C:C,'2.1.clean'!A:A=C1395),filter('2.2.clean'!E:E,'2.2.clean'!D:D=C1395)),filter('2.4.clean'!C:C,'2.4.clean'!A:A=C1395))"),43845.0)</f>
        <v>43845</v>
      </c>
      <c r="F1395" s="60">
        <f>IFERROR(__xludf.DUMMYFUNCTION("iferror(ifna(IFNA(filter('2.1.clean'!E:E,'2.1.clean'!A:A=C1395),filter('2.2.clean'!G:G,'2.2.clean'!D:D=C1395)),filter('2.4.clean'!E:E,'2.4.clean'!A:A=C1395)),)"),2.1)</f>
        <v>2.1</v>
      </c>
      <c r="G1395" s="59">
        <f>IFERROR(__xludf.DUMMYFUNCTION("iferror(filter('3.1.clean'!C:C,'3.1.clean'!A:A=C1395),"""")"),43845.0)</f>
        <v>43845</v>
      </c>
      <c r="H1395" s="58" t="b">
        <f>if(G1395="",FALSE,TRUE)</f>
        <v>1</v>
      </c>
      <c r="I1395" s="58">
        <f>IFERROR(__xludf.DUMMYFUNCTION("iferror(filter('3.1.clean'!G:G,'3.1.clean'!A:A=C1395),"""")"),0.0)</f>
        <v>0</v>
      </c>
      <c r="J1395" s="60" t="str">
        <f>IFERROR(__xludf.DUMMYFUNCTION("iferror(filter('3.1.clean'!I:I,'3.1.clean'!A:A=C1395),"""")"),"")</f>
        <v/>
      </c>
      <c r="K1395" s="58"/>
      <c r="L1395" s="60"/>
      <c r="M1395" s="59">
        <f>IFERROR(__xludf.DUMMYFUNCTION("iferror(filter('3.3.clean'!C:C,'3.3.clean'!A:A=C1395),"""")"),43847.0)</f>
        <v>43847</v>
      </c>
      <c r="N1395" s="60" t="b">
        <f t="shared" si="1118"/>
        <v>1</v>
      </c>
      <c r="O1395" s="59">
        <f>IFERROR(__xludf.DUMMYFUNCTION("iferror(filter('3.4.clean'!C:C,'3.4.clean'!A:A=C1395),"""")"),43850.0)</f>
        <v>43850</v>
      </c>
      <c r="P1395" s="60" t="b">
        <f t="shared" si="1119"/>
        <v>1</v>
      </c>
      <c r="Q1395" s="59" t="str">
        <f>IFERROR(__xludf.DUMMYFUNCTION("iferror(filter('3.5.clean'!C:C,'3.5.clean'!A:A=C1395),"""")"),"")</f>
        <v/>
      </c>
      <c r="R1395" s="58"/>
      <c r="S1395" s="4" t="str">
        <f>IFERROR(__xludf.DUMMYFUNCTION("iferror(filter('3.5.clean'!H:H,'3.5.clean'!A:A=C1395),"""")"),"")</f>
        <v/>
      </c>
      <c r="W1395" s="23" t="b">
        <f>if(AND(H1395=TRUE,N1395=TRUE,P1395=TRUE),TRUE,FALSE)</f>
        <v>1</v>
      </c>
      <c r="X1395" s="23" t="str">
        <f>IFERROR(__xludf.DUMMYFUNCTION("if(COUNTA(FILTER(C:C, C:C = C1395))=1,""no"",""yes"")"),"no")</f>
        <v>no</v>
      </c>
    </row>
    <row r="1396">
      <c r="A1396" s="75" t="s">
        <v>1007</v>
      </c>
      <c r="B1396" s="2">
        <v>15.0</v>
      </c>
      <c r="C1396" s="19" t="s">
        <v>2092</v>
      </c>
      <c r="D1396" s="58" t="str">
        <f t="shared" si="1133"/>
        <v/>
      </c>
      <c r="E1396" s="59">
        <f>Q1396</f>
        <v>43845</v>
      </c>
      <c r="F1396" s="60" t="str">
        <f>IFERROR(__xludf.DUMMYFUNCTION("iferror(ifna(IFNA(filter('2.1.clean'!E:E,'2.1.clean'!A:A=C1396),filter('2.2.clean'!G:G,'2.2.clean'!D:D=C1396)),filter('2.4.clean'!E:E,'2.4.clean'!A:A=C1396)),)"),"")</f>
        <v/>
      </c>
      <c r="G1396" s="59" t="str">
        <f>IFERROR(__xludf.DUMMYFUNCTION("iferror(filter('3.1.clean'!C:C,'3.1.clean'!A:A=C1396),"""")"),"")</f>
        <v/>
      </c>
      <c r="H1396" s="58"/>
      <c r="I1396" s="58" t="str">
        <f>IFERROR(__xludf.DUMMYFUNCTION("iferror(filter('3.1.clean'!G:G,'3.1.clean'!A:A=C1396),"""")"),"")</f>
        <v/>
      </c>
      <c r="J1396" s="60" t="str">
        <f>IFERROR(__xludf.DUMMYFUNCTION("iferror(filter('3.1.clean'!I:I,'3.1.clean'!A:A=C1396),"""")"),"")</f>
        <v/>
      </c>
      <c r="K1396" s="59"/>
      <c r="L1396" s="60"/>
      <c r="M1396" s="59" t="str">
        <f>IFERROR(__xludf.DUMMYFUNCTION("iferror(filter('3.3.clean'!C:C,'3.3.clean'!A:A=C1396),"""")"),"")</f>
        <v/>
      </c>
      <c r="N1396" s="60" t="b">
        <f t="shared" si="1118"/>
        <v>0</v>
      </c>
      <c r="O1396" s="59" t="str">
        <f>IFERROR(__xludf.DUMMYFUNCTION("iferror(filter('3.4.clean'!C:C,'3.4.clean'!A:A=C1396),"""")"),"")</f>
        <v/>
      </c>
      <c r="P1396" s="60" t="b">
        <f t="shared" si="1119"/>
        <v>0</v>
      </c>
      <c r="Q1396" s="59">
        <f>IFERROR(__xludf.DUMMYFUNCTION("iferror(filter('3.5.clean'!C:C,'3.5.clean'!A:A=C1396),"""")"),43845.0)</f>
        <v>43845</v>
      </c>
      <c r="R1396" s="58" t="b">
        <f>if(Q1396="",FALSE,TRUE)</f>
        <v>1</v>
      </c>
      <c r="S1396" s="4">
        <f>IFERROR(__xludf.DUMMYFUNCTION("iferror(filter('3.5.clean'!H:H,'3.5.clean'!A:A=C1396),"""")"),0.0)</f>
        <v>0</v>
      </c>
      <c r="V1396" s="52" t="s">
        <v>64</v>
      </c>
      <c r="W1396" s="23" t="b">
        <f>if(AND(R1396=TRUE,N1396=TRUE,P1396=TRUE),TRUE,FALSE)</f>
        <v>0</v>
      </c>
      <c r="X1396" s="23" t="str">
        <f>IFERROR(__xludf.DUMMYFUNCTION("if(COUNTA(FILTER(C:C, C:C = C1396))=1,""no"",""yes"")"),"no")</f>
        <v>no</v>
      </c>
    </row>
    <row r="1397">
      <c r="A1397" s="75" t="s">
        <v>1007</v>
      </c>
      <c r="B1397" s="2">
        <v>17.0</v>
      </c>
      <c r="C1397" s="19" t="s">
        <v>2093</v>
      </c>
      <c r="D1397" s="58" t="str">
        <f t="shared" si="1133"/>
        <v/>
      </c>
      <c r="E1397" s="59">
        <f>IFERROR(__xludf.DUMMYFUNCTION("ifna(IFNA(filter('2.1.clean'!C:C,'2.1.clean'!A:A=C1397),filter('2.2.clean'!E:E,'2.2.clean'!D:D=C1397)),filter('2.4.clean'!C:C,'2.4.clean'!A:A=C1397))"),43845.0)</f>
        <v>43845</v>
      </c>
      <c r="F1397" s="60">
        <f>IFERROR(__xludf.DUMMYFUNCTION("iferror(ifna(IFNA(filter('2.1.clean'!E:E,'2.1.clean'!A:A=C1397),filter('2.2.clean'!G:G,'2.2.clean'!D:D=C1397)),filter('2.4.clean'!E:E,'2.4.clean'!A:A=C1397)),)"),2.1)</f>
        <v>2.1</v>
      </c>
      <c r="G1397" s="59">
        <f>IFERROR(__xludf.DUMMYFUNCTION("iferror(filter('3.1.clean'!C:C,'3.1.clean'!A:A=C1397),"""")"),43845.0)</f>
        <v>43845</v>
      </c>
      <c r="H1397" s="58" t="b">
        <f>if(G1397="",FALSE,TRUE)</f>
        <v>1</v>
      </c>
      <c r="I1397" s="58">
        <f>IFERROR(__xludf.DUMMYFUNCTION("iferror(filter('3.1.clean'!G:G,'3.1.clean'!A:A=C1397),"""")"),0.0)</f>
        <v>0</v>
      </c>
      <c r="J1397" s="60" t="str">
        <f>IFERROR(__xludf.DUMMYFUNCTION("iferror(filter('3.1.clean'!I:I,'3.1.clean'!A:A=C1397),"""")"),"")</f>
        <v/>
      </c>
      <c r="K1397" s="58"/>
      <c r="L1397" s="60"/>
      <c r="M1397" s="59" t="str">
        <f>IFERROR(__xludf.DUMMYFUNCTION("iferror(filter('3.3.clean'!C:C,'3.3.clean'!A:A=C1397),"""")"),"")</f>
        <v/>
      </c>
      <c r="N1397" s="60" t="b">
        <f t="shared" si="1118"/>
        <v>0</v>
      </c>
      <c r="O1397" s="59" t="str">
        <f>IFERROR(__xludf.DUMMYFUNCTION("iferror(filter('3.4.clean'!C:C,'3.4.clean'!A:A=C1397),"""")"),"")</f>
        <v/>
      </c>
      <c r="P1397" s="60" t="b">
        <f t="shared" si="1119"/>
        <v>0</v>
      </c>
      <c r="Q1397" s="59" t="str">
        <f>IFERROR(__xludf.DUMMYFUNCTION("iferror(filter('3.5.clean'!C:C,'3.5.clean'!A:A=C1397),"""")"),"")</f>
        <v/>
      </c>
      <c r="R1397" s="58"/>
      <c r="S1397" s="4" t="str">
        <f>IFERROR(__xludf.DUMMYFUNCTION("iferror(filter('3.5.clean'!H:H,'3.5.clean'!A:A=C1397),"""")"),"")</f>
        <v/>
      </c>
      <c r="W1397" s="23" t="b">
        <f>if(AND(H1397=TRUE,N1397=TRUE,P1397=TRUE),TRUE,FALSE)</f>
        <v>0</v>
      </c>
      <c r="X1397" s="23" t="str">
        <f>IFERROR(__xludf.DUMMYFUNCTION("if(COUNTA(FILTER(C:C, C:C = C1397))=1,""no"",""yes"")"),"no")</f>
        <v>no</v>
      </c>
    </row>
    <row r="1398">
      <c r="A1398" s="75" t="s">
        <v>1007</v>
      </c>
      <c r="B1398" s="2">
        <v>18.0</v>
      </c>
      <c r="C1398" s="19" t="s">
        <v>2094</v>
      </c>
      <c r="D1398" s="58" t="str">
        <f t="shared" si="1133"/>
        <v/>
      </c>
      <c r="E1398" s="59">
        <f>Q1398</f>
        <v>43845</v>
      </c>
      <c r="F1398" s="60" t="str">
        <f>IFERROR(__xludf.DUMMYFUNCTION("iferror(ifna(IFNA(filter('2.1.clean'!E:E,'2.1.clean'!A:A=C1398),filter('2.2.clean'!G:G,'2.2.clean'!D:D=C1398)),filter('2.4.clean'!E:E,'2.4.clean'!A:A=C1398)),)"),"")</f>
        <v/>
      </c>
      <c r="G1398" s="59" t="str">
        <f>IFERROR(__xludf.DUMMYFUNCTION("iferror(filter('3.1.clean'!C:C,'3.1.clean'!A:A=C1398),"""")"),"")</f>
        <v/>
      </c>
      <c r="H1398" s="58"/>
      <c r="I1398" s="58" t="str">
        <f>IFERROR(__xludf.DUMMYFUNCTION("iferror(filter('3.1.clean'!G:G,'3.1.clean'!A:A=C1398),"""")"),"")</f>
        <v/>
      </c>
      <c r="J1398" s="60" t="str">
        <f>IFERROR(__xludf.DUMMYFUNCTION("iferror(filter('3.1.clean'!I:I,'3.1.clean'!A:A=C1398),"""")"),"")</f>
        <v/>
      </c>
      <c r="K1398" s="59"/>
      <c r="L1398" s="60"/>
      <c r="M1398" s="59" t="str">
        <f>IFERROR(__xludf.DUMMYFUNCTION("iferror(filter('3.3.clean'!C:C,'3.3.clean'!A:A=C1398),"""")"),"")</f>
        <v/>
      </c>
      <c r="N1398" s="60" t="b">
        <f t="shared" si="1118"/>
        <v>0</v>
      </c>
      <c r="O1398" s="59" t="str">
        <f>IFERROR(__xludf.DUMMYFUNCTION("iferror(filter('3.4.clean'!C:C,'3.4.clean'!A:A=C1398),"""")"),"")</f>
        <v/>
      </c>
      <c r="P1398" s="60" t="b">
        <f t="shared" si="1119"/>
        <v>0</v>
      </c>
      <c r="Q1398" s="59">
        <f>IFERROR(__xludf.DUMMYFUNCTION("iferror(filter('3.5.clean'!C:C,'3.5.clean'!A:A=C1398),"""")"),43845.0)</f>
        <v>43845</v>
      </c>
      <c r="R1398" s="58" t="b">
        <f>if(Q1398="",FALSE,TRUE)</f>
        <v>1</v>
      </c>
      <c r="S1398" s="4">
        <f>IFERROR(__xludf.DUMMYFUNCTION("iferror(filter('3.5.clean'!H:H,'3.5.clean'!A:A=C1398),"""")"),0.0)</f>
        <v>0</v>
      </c>
      <c r="V1398" s="52" t="s">
        <v>64</v>
      </c>
      <c r="W1398" s="23" t="b">
        <f>if(AND(R1398=TRUE,N1398=TRUE,P1398=TRUE),TRUE,FALSE)</f>
        <v>0</v>
      </c>
      <c r="X1398" s="23" t="str">
        <f>IFERROR(__xludf.DUMMYFUNCTION("if(COUNTA(FILTER(C:C, C:C = C1398))=1,""no"",""yes"")"),"no")</f>
        <v>no</v>
      </c>
    </row>
    <row r="1399">
      <c r="A1399" s="75" t="s">
        <v>1007</v>
      </c>
      <c r="B1399" s="2">
        <v>19.0</v>
      </c>
      <c r="C1399" s="19" t="s">
        <v>333</v>
      </c>
      <c r="D1399" s="24"/>
      <c r="E1399" s="24">
        <f>IFERROR(__xludf.DUMMYFUNCTION("ifna(IFNA(filter('2.1.clean'!C:C,'2.1.clean'!A:A=C1399),filter('2.2.clean'!E:E,'2.2.clean'!D:D=C1399)),filter('2.4.clean'!C:C,'2.4.clean'!A:A=C1399))"),43845.0)</f>
        <v>43845</v>
      </c>
      <c r="F1399" s="25">
        <f>IFERROR(__xludf.DUMMYFUNCTION("iferror(ifna(IFNA(filter('2.1.clean'!E:E,'2.1.clean'!A:A=C1399),filter('2.2.clean'!G:G,'2.2.clean'!D:D=C1399)),filter('2.4.clean'!E:E,'2.4.clean'!A:A=C1399)),)"),2.1)</f>
        <v>2.1</v>
      </c>
      <c r="G1399" s="24">
        <f>IFERROR(__xludf.DUMMYFUNCTION("iferror(filter('3.1.clean'!C:C,'3.1.clean'!A:A=C1399),"""")"),43845.0)</f>
        <v>43845</v>
      </c>
      <c r="H1399" s="23" t="b">
        <f t="shared" ref="H1399:H1400" si="1134">if(G1399="",FALSE,TRUE)</f>
        <v>1</v>
      </c>
      <c r="J1399" s="25"/>
      <c r="K1399" s="24">
        <f>IFERROR(__xludf.DUMMYFUNCTION("iferror(filter('3.2.clean'!C:C,'3.2.clean'!A:A=C1399),"""")"),43846.0)</f>
        <v>43846</v>
      </c>
      <c r="L1399" s="25" t="b">
        <f t="shared" ref="L1399:L1400" si="1135">if(K1399="",FALSE,TRUE)</f>
        <v>1</v>
      </c>
      <c r="M1399" s="24">
        <f>IFERROR(__xludf.DUMMYFUNCTION("iferror(filter('3.3.clean'!C:C,'3.3.clean'!A:A=C1399),"""")"),43847.0)</f>
        <v>43847</v>
      </c>
      <c r="N1399" s="25" t="b">
        <f t="shared" si="1118"/>
        <v>1</v>
      </c>
      <c r="O1399" s="24">
        <f>IFERROR(__xludf.DUMMYFUNCTION("iferror(filter('3.4.clean'!C:C,'3.4.clean'!A:A=C1399),"""")"),43850.0)</f>
        <v>43850</v>
      </c>
      <c r="P1399" s="25" t="b">
        <f t="shared" si="1119"/>
        <v>1</v>
      </c>
      <c r="Q1399" s="24"/>
      <c r="S1399" s="25"/>
      <c r="U1399" s="1" t="s">
        <v>382</v>
      </c>
      <c r="V1399" s="1" t="s">
        <v>83</v>
      </c>
      <c r="W1399" s="23" t="b">
        <f t="shared" ref="W1399:W1400" si="1136">IF(and(H1399=TRUE,L1399=TRUE,N1399=TRUE,P1399=TRUE),TRUE,FALSE)</f>
        <v>1</v>
      </c>
      <c r="X1399" s="23" t="str">
        <f>IFERROR(__xludf.DUMMYFUNCTION("if(COUNTA(FILTER(C:C, C:C = C1399))=1,""no"",""yes"")"),"no")</f>
        <v>no</v>
      </c>
    </row>
    <row r="1400">
      <c r="A1400" s="75" t="s">
        <v>1007</v>
      </c>
      <c r="B1400" s="2">
        <v>20.0</v>
      </c>
      <c r="C1400" s="19" t="s">
        <v>330</v>
      </c>
      <c r="D1400" s="24"/>
      <c r="E1400" s="24">
        <f>IFERROR(__xludf.DUMMYFUNCTION("ifna(IFNA(filter('2.1.clean'!C:C,'2.1.clean'!A:A=C1400),filter('2.2.clean'!E:E,'2.2.clean'!D:D=C1400)),filter('2.4.clean'!C:C,'2.4.clean'!A:A=C1400))"),43845.0)</f>
        <v>43845</v>
      </c>
      <c r="F1400" s="25">
        <f>IFERROR(__xludf.DUMMYFUNCTION("iferror(ifna(IFNA(filter('2.1.clean'!E:E,'2.1.clean'!A:A=C1400),filter('2.2.clean'!G:G,'2.2.clean'!D:D=C1400)),filter('2.4.clean'!E:E,'2.4.clean'!A:A=C1400)),)"),2.1)</f>
        <v>2.1</v>
      </c>
      <c r="G1400" s="24">
        <f>IFERROR(__xludf.DUMMYFUNCTION("iferror(filter('3.1.clean'!C:C,'3.1.clean'!A:A=C1400),"""")"),43845.0)</f>
        <v>43845</v>
      </c>
      <c r="H1400" s="23" t="b">
        <f t="shared" si="1134"/>
        <v>1</v>
      </c>
      <c r="J1400" s="25"/>
      <c r="K1400" s="24">
        <f>IFERROR(__xludf.DUMMYFUNCTION("iferror(filter('3.2.clean'!C:C,'3.2.clean'!A:A=C1400),"""")"),43846.0)</f>
        <v>43846</v>
      </c>
      <c r="L1400" s="25" t="b">
        <f t="shared" si="1135"/>
        <v>1</v>
      </c>
      <c r="M1400" s="24">
        <f>IFERROR(__xludf.DUMMYFUNCTION("iferror(filter('3.3.clean'!C:C,'3.3.clean'!A:A=C1400),"""")"),43847.0)</f>
        <v>43847</v>
      </c>
      <c r="N1400" s="25" t="b">
        <f t="shared" si="1118"/>
        <v>1</v>
      </c>
      <c r="O1400" s="24">
        <f>IFERROR(__xludf.DUMMYFUNCTION("iferror(filter('3.4.clean'!C:C,'3.4.clean'!A:A=C1400),"""")"),43850.0)</f>
        <v>43850</v>
      </c>
      <c r="P1400" s="25" t="b">
        <f t="shared" si="1119"/>
        <v>1</v>
      </c>
      <c r="Q1400" s="24"/>
      <c r="S1400" s="25"/>
      <c r="U1400" s="1" t="s">
        <v>382</v>
      </c>
      <c r="V1400" s="1" t="s">
        <v>83</v>
      </c>
      <c r="W1400" s="23" t="b">
        <f t="shared" si="1136"/>
        <v>1</v>
      </c>
      <c r="X1400" s="23" t="str">
        <f>IFERROR(__xludf.DUMMYFUNCTION("if(COUNTA(FILTER(C:C, C:C = C1400))=1,""no"",""yes"")"),"no")</f>
        <v>no</v>
      </c>
    </row>
    <row r="1401">
      <c r="A1401" s="75" t="s">
        <v>1007</v>
      </c>
      <c r="B1401" s="19">
        <v>21.0</v>
      </c>
      <c r="C1401" s="19" t="s">
        <v>2099</v>
      </c>
      <c r="D1401" s="22" t="str">
        <f t="shared" ref="D1401:D1402" si="1137">if(or(I1401=1,J1401=1,S1401=1),"pos","")</f>
        <v/>
      </c>
      <c r="E1401" s="20">
        <f>Q1401</f>
        <v>43845</v>
      </c>
      <c r="F1401" s="79" t="str">
        <f>IFERROR(__xludf.DUMMYFUNCTION("iferror(ifna(IFNA(filter('2.1.clean'!E:E,'2.1.clean'!A:A=C1401),filter('2.2.clean'!G:G,'2.2.clean'!D:D=C1401)),filter('2.4.clean'!E:E,'2.4.clean'!A:A=C1401)),)"),"")</f>
        <v/>
      </c>
      <c r="G1401" s="20" t="str">
        <f>IFERROR(__xludf.DUMMYFUNCTION("iferror(filter('3.1.clean'!C:C,'3.1.clean'!A:A=C1401),"""")"),"")</f>
        <v/>
      </c>
      <c r="H1401" s="22"/>
      <c r="I1401" s="22"/>
      <c r="J1401" s="79"/>
      <c r="K1401" s="20" t="str">
        <f>IFERROR(__xludf.DUMMYFUNCTION("iferror(filter('3.2.clean'!C:C,'3.2.clean'!A:A=C1401),"""")"),"")</f>
        <v/>
      </c>
      <c r="L1401" s="79"/>
      <c r="M1401" s="20" t="str">
        <f>IFERROR(__xludf.DUMMYFUNCTION("iferror(filter('3.3.clean'!C:C,'3.3.clean'!A:A=C1401),"""")"),"")</f>
        <v/>
      </c>
      <c r="N1401" s="79" t="b">
        <f t="shared" si="1118"/>
        <v>0</v>
      </c>
      <c r="O1401" s="20" t="str">
        <f>IFERROR(__xludf.DUMMYFUNCTION("iferror(filter('3.4.clean'!C:C,'3.4.clean'!A:A=C1401),"""")"),"")</f>
        <v/>
      </c>
      <c r="P1401" s="79" t="b">
        <f t="shared" si="1119"/>
        <v>0</v>
      </c>
      <c r="Q1401" s="20">
        <f>IFERROR(__xludf.DUMMYFUNCTION("iferror(filter('3.5.clean'!C:C,'3.5.clean'!A:A=C1401),"""")"),43845.0)</f>
        <v>43845</v>
      </c>
      <c r="R1401" s="22" t="b">
        <f>if(Q1401="",FALSE,TRUE)</f>
        <v>1</v>
      </c>
      <c r="S1401" s="4">
        <f>IFERROR(__xludf.DUMMYFUNCTION("iferror(filter('3.5.clean'!H:H,'3.5.clean'!A:A=C1401),"""")"),0.0)</f>
        <v>0</v>
      </c>
      <c r="V1401" s="1" t="s">
        <v>64</v>
      </c>
      <c r="W1401" s="23" t="b">
        <f>IF(and(R1401=TRUE,N1401=TRUE,P1401=TRUE),TRUE,FALSE)</f>
        <v>0</v>
      </c>
      <c r="X1401" s="23" t="str">
        <f>IFERROR(__xludf.DUMMYFUNCTION("if(COUNTA(FILTER(C:C, C:C = C1401))=1,""no"",""yes"")"),"no")</f>
        <v>no</v>
      </c>
    </row>
    <row r="1402">
      <c r="A1402" s="75" t="s">
        <v>1007</v>
      </c>
      <c r="B1402" s="19">
        <v>22.0</v>
      </c>
      <c r="C1402" s="19" t="s">
        <v>2100</v>
      </c>
      <c r="D1402" s="76" t="str">
        <f t="shared" si="1137"/>
        <v/>
      </c>
      <c r="E1402" s="77">
        <f>G1402</f>
        <v>43845</v>
      </c>
      <c r="F1402" s="78" t="str">
        <f>IFERROR(__xludf.DUMMYFUNCTION("iferror(ifna(IFNA(filter('2.1.clean'!E:E,'2.1.clean'!A:A=C1402),filter('2.2.clean'!G:G,'2.2.clean'!D:D=C1402)),filter('2.4.clean'!E:E,'2.4.clean'!A:A=C1402)),)"),"")</f>
        <v/>
      </c>
      <c r="G1402" s="77">
        <f>IFERROR(__xludf.DUMMYFUNCTION("iferror(filter('3.1.clean'!C:C,'3.1.clean'!A:A=C1402),"""")"),43845.0)</f>
        <v>43845</v>
      </c>
      <c r="H1402" s="76" t="b">
        <f>if(G1402="",FALSE,TRUE)</f>
        <v>1</v>
      </c>
      <c r="I1402" s="76">
        <f>IFERROR(__xludf.DUMMYFUNCTION("iferror(filter('3.1.clean'!G:G,'3.1.clean'!A:A=C1402),"""")"),0.0)</f>
        <v>0</v>
      </c>
      <c r="J1402" s="78" t="str">
        <f>IFERROR(__xludf.DUMMYFUNCTION("iferror(filter('3.1.clean'!I:I,'3.1.clean'!A:A=C1402),"""")"),"")</f>
        <v/>
      </c>
      <c r="K1402" s="77"/>
      <c r="L1402" s="78"/>
      <c r="M1402" s="77"/>
      <c r="N1402" s="78"/>
      <c r="O1402" s="77"/>
      <c r="P1402" s="78"/>
      <c r="Q1402" s="77"/>
      <c r="R1402" s="76"/>
      <c r="S1402" s="25"/>
      <c r="V1402" s="1" t="s">
        <v>64</v>
      </c>
      <c r="W1402" s="1" t="b">
        <v>1</v>
      </c>
      <c r="X1402" s="23" t="str">
        <f>IFERROR(__xludf.DUMMYFUNCTION("if(COUNTA(FILTER(C:C, C:C = C1402))=1,""no"",""yes"")"),"no")</f>
        <v>no</v>
      </c>
    </row>
    <row r="1403">
      <c r="A1403" s="75" t="s">
        <v>1007</v>
      </c>
      <c r="B1403" s="2">
        <v>23.0</v>
      </c>
      <c r="C1403" s="19" t="s">
        <v>2101</v>
      </c>
      <c r="E1403" s="24">
        <f>M1403</f>
        <v>43845</v>
      </c>
      <c r="F1403" s="25" t="str">
        <f>IFERROR(__xludf.DUMMYFUNCTION("iferror(ifna(IFNA(filter('2.1.clean'!E:E,'2.1.clean'!A:A=C1403),filter('2.2.clean'!G:G,'2.2.clean'!D:D=C1403)),filter('2.4.clean'!E:E,'2.4.clean'!A:A=C1403)),)"),"")</f>
        <v/>
      </c>
      <c r="G1403" s="24" t="str">
        <f>IFERROR(__xludf.DUMMYFUNCTION("iferror(filter('3.1.clean'!C:C,'3.1.clean'!A:A=C1403),"""")"),"")</f>
        <v/>
      </c>
      <c r="J1403" s="25"/>
      <c r="K1403" s="24" t="str">
        <f>IFERROR(__xludf.DUMMYFUNCTION("iferror(filter('3.2.clean'!C:C,'3.2.clean'!A:A=C1403),"""")"),"")</f>
        <v/>
      </c>
      <c r="L1403" s="25"/>
      <c r="M1403" s="24">
        <f>IFERROR(__xludf.DUMMYFUNCTION("iferror(filter('3.3.clean'!C:C,'3.3.clean'!A:A=C1403),"""")"),43845.0)</f>
        <v>43845</v>
      </c>
      <c r="N1403" s="25" t="b">
        <f t="shared" ref="N1403:N1421" si="1138">if(M1403="",FALSE,TRUE)</f>
        <v>1</v>
      </c>
      <c r="O1403" s="24" t="str">
        <f>IFERROR(__xludf.DUMMYFUNCTION("iferror(filter('3.4.clean'!C:C,'3.4.clean'!A:A=C1403),"""")"),"")</f>
        <v/>
      </c>
      <c r="P1403" s="25" t="b">
        <f t="shared" ref="P1403:P1421" si="1139">if(O1403="",FALSE,TRUE)</f>
        <v>0</v>
      </c>
      <c r="Q1403" s="24" t="str">
        <f>IFERROR(__xludf.DUMMYFUNCTION("iferror(filter('3.5.clean'!C:C,'3.5.clean'!A:A=C1403),"""")"),"")</f>
        <v/>
      </c>
      <c r="S1403" s="25"/>
      <c r="V1403" s="52" t="s">
        <v>64</v>
      </c>
      <c r="X1403" s="23" t="str">
        <f>IFERROR(__xludf.DUMMYFUNCTION("if(COUNTA(FILTER(C:C, C:C = C1403))=1,""no"",""yes"")"),"no")</f>
        <v>no</v>
      </c>
      <c r="Y1403" s="39"/>
      <c r="Z1403" s="39"/>
      <c r="AA1403" s="39"/>
      <c r="AB1403" s="39"/>
      <c r="AC1403" s="39"/>
      <c r="AD1403" s="39"/>
      <c r="AE1403" s="39"/>
      <c r="AF1403" s="39"/>
      <c r="AG1403" s="39"/>
      <c r="AH1403" s="39"/>
    </row>
    <row r="1404">
      <c r="A1404" s="1" t="s">
        <v>1011</v>
      </c>
      <c r="B1404" s="2">
        <v>1.0</v>
      </c>
      <c r="C1404" s="19" t="s">
        <v>2102</v>
      </c>
      <c r="E1404" s="24">
        <f>IFERROR(__xludf.DUMMYFUNCTION("ifna(IFNA(filter('2.1.clean'!C:C,'2.1.clean'!A:A=C1404),filter('2.2.clean'!E:E,'2.2.clean'!D:D=C1404)),filter('2.4.clean'!C:C,'2.4.clean'!A:A=C1404))"),43846.0)</f>
        <v>43846</v>
      </c>
      <c r="F1404" s="25">
        <f>IFERROR(__xludf.DUMMYFUNCTION("iferror(ifna(IFNA(filter('2.1.clean'!E:E,'2.1.clean'!A:A=C1404),filter('2.2.clean'!G:G,'2.2.clean'!D:D=C1404)),filter('2.4.clean'!E:E,'2.4.clean'!A:A=C1404)),)"),2.39999999999999)</f>
        <v>2.4</v>
      </c>
      <c r="G1404" s="24"/>
      <c r="J1404" s="25"/>
      <c r="K1404" s="24"/>
      <c r="L1404" s="25"/>
      <c r="M1404" s="24">
        <f>IFERROR(__xludf.DUMMYFUNCTION("iferror(filter('3.3.clean'!C:C,'3.3.clean'!A:A=C1404),"""")"),43847.0)</f>
        <v>43847</v>
      </c>
      <c r="N1404" s="25" t="b">
        <f t="shared" si="1138"/>
        <v>1</v>
      </c>
      <c r="O1404" s="24">
        <f>IFERROR(__xludf.DUMMYFUNCTION("iferror(filter('3.4.clean'!C:C,'3.4.clean'!A:A=C1404),"""")"),43850.0)</f>
        <v>43850</v>
      </c>
      <c r="P1404" s="25" t="b">
        <f t="shared" si="1139"/>
        <v>1</v>
      </c>
      <c r="Q1404" s="24">
        <f>IFERROR(__xludf.DUMMYFUNCTION("iferror(filter('3.5.clean'!C:C,'3.5.clean'!A:A=C1404),"""")"),43846.0)</f>
        <v>43846</v>
      </c>
      <c r="R1404" s="23" t="b">
        <f>if(Q1404="",FALSE,TRUE)</f>
        <v>1</v>
      </c>
      <c r="S1404" s="25"/>
      <c r="V1404" s="52" t="s">
        <v>64</v>
      </c>
      <c r="W1404" s="23" t="b">
        <f>IF(and(R1404=TRUE,N1404=TRUE,P1404=TRUE),TRUE,FALSE)</f>
        <v>1</v>
      </c>
      <c r="X1404" s="23" t="str">
        <f>IFERROR(__xludf.DUMMYFUNCTION("if(COUNTA(FILTER(C:C, C:C = C1404))=1,""no"",""yes"")"),"no")</f>
        <v>no</v>
      </c>
      <c r="Y1404" s="39"/>
      <c r="Z1404" s="39"/>
      <c r="AA1404" s="39"/>
      <c r="AB1404" s="39"/>
      <c r="AC1404" s="39"/>
      <c r="AD1404" s="39"/>
      <c r="AE1404" s="39"/>
      <c r="AF1404" s="39"/>
      <c r="AG1404" s="39"/>
      <c r="AH1404" s="39"/>
    </row>
    <row r="1405">
      <c r="A1405" s="1" t="s">
        <v>1011</v>
      </c>
      <c r="B1405" s="2">
        <v>2.0</v>
      </c>
      <c r="C1405" s="19" t="s">
        <v>2103</v>
      </c>
      <c r="D1405" s="58" t="str">
        <f t="shared" ref="D1405:D1406" si="1140">if(or(I1405=1,J1405=1,S1405=1),"pos","")</f>
        <v/>
      </c>
      <c r="E1405" s="59">
        <f>IFERROR(__xludf.DUMMYFUNCTION("ifna(IFNA(filter('2.1.clean'!C:C,'2.1.clean'!A:A=C1405),filter('2.2.clean'!E:E,'2.2.clean'!D:D=C1405)),filter('2.4.clean'!C:C,'2.4.clean'!A:A=C1405))"),43846.0)</f>
        <v>43846</v>
      </c>
      <c r="F1405" s="60">
        <f>IFERROR(__xludf.DUMMYFUNCTION("iferror(ifna(IFNA(filter('2.1.clean'!E:E,'2.1.clean'!A:A=C1405),filter('2.2.clean'!G:G,'2.2.clean'!D:D=C1405)),filter('2.4.clean'!E:E,'2.4.clean'!A:A=C1405)),)"),2.39999999999999)</f>
        <v>2.4</v>
      </c>
      <c r="G1405" s="59">
        <f>IFERROR(__xludf.DUMMYFUNCTION("iferror(filter('3.1.clean'!C:C,'3.1.clean'!A:A=C1405),"""")"),43846.0)</f>
        <v>43846</v>
      </c>
      <c r="H1405" s="58" t="b">
        <f>if(G1405="",FALSE,TRUE)</f>
        <v>1</v>
      </c>
      <c r="I1405" s="58">
        <f>IFERROR(__xludf.DUMMYFUNCTION("iferror(filter('3.1.clean'!G:G,'3.1.clean'!A:A=C1405),"""")"),0.0)</f>
        <v>0</v>
      </c>
      <c r="J1405" s="60" t="str">
        <f>IFERROR(__xludf.DUMMYFUNCTION("iferror(filter('3.1.clean'!I:I,'3.1.clean'!A:A=C1405),"""")"),"")</f>
        <v/>
      </c>
      <c r="K1405" s="58"/>
      <c r="L1405" s="60"/>
      <c r="M1405" s="59">
        <f>IFERROR(__xludf.DUMMYFUNCTION("iferror(filter('3.3.clean'!C:C,'3.3.clean'!A:A=C1405),"""")"),43847.0)</f>
        <v>43847</v>
      </c>
      <c r="N1405" s="60" t="b">
        <f t="shared" si="1138"/>
        <v>1</v>
      </c>
      <c r="O1405" s="59" t="str">
        <f>IFERROR(__xludf.DUMMYFUNCTION("iferror(filter('3.4.clean'!C:C,'3.4.clean'!A:A=C1405),"""")"),"")</f>
        <v/>
      </c>
      <c r="P1405" s="60" t="b">
        <f t="shared" si="1139"/>
        <v>0</v>
      </c>
      <c r="Q1405" s="59" t="str">
        <f>IFERROR(__xludf.DUMMYFUNCTION("iferror(filter('3.5.clean'!C:C,'3.5.clean'!A:A=C1405),"""")"),"")</f>
        <v/>
      </c>
      <c r="R1405" s="58"/>
      <c r="S1405" s="4" t="str">
        <f>IFERROR(__xludf.DUMMYFUNCTION("iferror(filter('3.5.clean'!H:H,'3.5.clean'!A:A=C1405),"""")"),"")</f>
        <v/>
      </c>
      <c r="W1405" s="23" t="b">
        <f>if(AND(H1405=TRUE,N1405=TRUE,P1405=TRUE),TRUE,FALSE)</f>
        <v>0</v>
      </c>
      <c r="X1405" s="23" t="str">
        <f>IFERROR(__xludf.DUMMYFUNCTION("if(COUNTA(FILTER(C:C, C:C = C1405))=1,""no"",""yes"")"),"no")</f>
        <v>no</v>
      </c>
    </row>
    <row r="1406">
      <c r="A1406" s="1" t="s">
        <v>1011</v>
      </c>
      <c r="B1406" s="2">
        <v>3.0</v>
      </c>
      <c r="C1406" s="19" t="s">
        <v>2104</v>
      </c>
      <c r="D1406" s="58" t="str">
        <f t="shared" si="1140"/>
        <v/>
      </c>
      <c r="E1406" s="59">
        <f>Q1406</f>
        <v>43846</v>
      </c>
      <c r="F1406" s="60" t="str">
        <f>IFERROR(__xludf.DUMMYFUNCTION("iferror(ifna(IFNA(filter('2.1.clean'!E:E,'2.1.clean'!A:A=C1406),filter('2.2.clean'!G:G,'2.2.clean'!D:D=C1406)),filter('2.4.clean'!E:E,'2.4.clean'!A:A=C1406)),)"),"")</f>
        <v/>
      </c>
      <c r="G1406" s="59" t="str">
        <f>IFERROR(__xludf.DUMMYFUNCTION("iferror(filter('3.1.clean'!C:C,'3.1.clean'!A:A=C1406),"""")"),"")</f>
        <v/>
      </c>
      <c r="H1406" s="58"/>
      <c r="I1406" s="58" t="str">
        <f>IFERROR(__xludf.DUMMYFUNCTION("iferror(filter('3.1.clean'!G:G,'3.1.clean'!A:A=C1406),"""")"),"")</f>
        <v/>
      </c>
      <c r="J1406" s="60" t="str">
        <f>IFERROR(__xludf.DUMMYFUNCTION("iferror(filter('3.1.clean'!I:I,'3.1.clean'!A:A=C1406),"""")"),"")</f>
        <v/>
      </c>
      <c r="K1406" s="59"/>
      <c r="L1406" s="60"/>
      <c r="M1406" s="59" t="str">
        <f>IFERROR(__xludf.DUMMYFUNCTION("iferror(filter('3.3.clean'!C:C,'3.3.clean'!A:A=C1406),"""")"),"")</f>
        <v/>
      </c>
      <c r="N1406" s="60" t="b">
        <f t="shared" si="1138"/>
        <v>0</v>
      </c>
      <c r="O1406" s="59">
        <f>IFERROR(__xludf.DUMMYFUNCTION("iferror(filter('3.4.clean'!C:C,'3.4.clean'!A:A=C1406),"""")"),43850.0)</f>
        <v>43850</v>
      </c>
      <c r="P1406" s="60" t="b">
        <f t="shared" si="1139"/>
        <v>1</v>
      </c>
      <c r="Q1406" s="59">
        <f>IFERROR(__xludf.DUMMYFUNCTION("iferror(filter('3.5.clean'!C:C,'3.5.clean'!A:A=C1406),"""")"),43846.0)</f>
        <v>43846</v>
      </c>
      <c r="R1406" s="58" t="b">
        <f t="shared" ref="R1406:R1407" si="1141">if(Q1406="",FALSE,TRUE)</f>
        <v>1</v>
      </c>
      <c r="S1406" s="4">
        <f>IFERROR(__xludf.DUMMYFUNCTION("iferror(filter('3.5.clean'!H:H,'3.5.clean'!A:A=C1406),"""")"),0.0)</f>
        <v>0</v>
      </c>
      <c r="V1406" s="52" t="s">
        <v>64</v>
      </c>
      <c r="W1406" s="23" t="b">
        <f>if(AND(R1406=TRUE,N1406=TRUE,P1406=TRUE),TRUE,FALSE)</f>
        <v>0</v>
      </c>
      <c r="X1406" s="23" t="str">
        <f>IFERROR(__xludf.DUMMYFUNCTION("if(COUNTA(FILTER(C:C, C:C = C1406))=1,""no"",""yes"")"),"no")</f>
        <v>no</v>
      </c>
    </row>
    <row r="1407">
      <c r="A1407" s="1" t="s">
        <v>1011</v>
      </c>
      <c r="B1407" s="2">
        <v>4.0</v>
      </c>
      <c r="C1407" s="19" t="s">
        <v>2105</v>
      </c>
      <c r="E1407" s="24">
        <f>IFERROR(__xludf.DUMMYFUNCTION("ifna(IFNA(filter('2.1.clean'!C:C,'2.1.clean'!A:A=C1407),filter('2.2.clean'!E:E,'2.2.clean'!D:D=C1407)),filter('2.4.clean'!C:C,'2.4.clean'!A:A=C1407))"),43846.0)</f>
        <v>43846</v>
      </c>
      <c r="F1407" s="25">
        <f>IFERROR(__xludf.DUMMYFUNCTION("iferror(ifna(IFNA(filter('2.1.clean'!E:E,'2.1.clean'!A:A=C1407),filter('2.2.clean'!G:G,'2.2.clean'!D:D=C1407)),filter('2.4.clean'!E:E,'2.4.clean'!A:A=C1407)),)"),2.39999999999999)</f>
        <v>2.4</v>
      </c>
      <c r="G1407" s="24"/>
      <c r="J1407" s="25"/>
      <c r="K1407" s="24"/>
      <c r="L1407" s="25"/>
      <c r="M1407" s="24">
        <f>IFERROR(__xludf.DUMMYFUNCTION("iferror(filter('3.3.clean'!C:C,'3.3.clean'!A:A=C1407),"""")"),43847.0)</f>
        <v>43847</v>
      </c>
      <c r="N1407" s="25" t="b">
        <f t="shared" si="1138"/>
        <v>1</v>
      </c>
      <c r="O1407" s="24">
        <f>IFERROR(__xludf.DUMMYFUNCTION("iferror(filter('3.4.clean'!C:C,'3.4.clean'!A:A=C1407),"""")"),43850.0)</f>
        <v>43850</v>
      </c>
      <c r="P1407" s="25" t="b">
        <f t="shared" si="1139"/>
        <v>1</v>
      </c>
      <c r="Q1407" s="24">
        <f>IFERROR(__xludf.DUMMYFUNCTION("iferror(filter('3.5.clean'!C:C,'3.5.clean'!A:A=C1407),"""")"),43846.0)</f>
        <v>43846</v>
      </c>
      <c r="R1407" s="23" t="b">
        <f t="shared" si="1141"/>
        <v>1</v>
      </c>
      <c r="S1407" s="25"/>
      <c r="V1407" s="52" t="s">
        <v>64</v>
      </c>
      <c r="W1407" s="23" t="b">
        <f>IF(and(R1407=TRUE,N1407=TRUE,P1407=TRUE),TRUE,FALSE)</f>
        <v>1</v>
      </c>
      <c r="X1407" s="23" t="str">
        <f>IFERROR(__xludf.DUMMYFUNCTION("if(COUNTA(FILTER(C:C, C:C = C1407))=1,""no"",""yes"")"),"no")</f>
        <v>no</v>
      </c>
    </row>
    <row r="1408">
      <c r="A1408" s="1" t="s">
        <v>1011</v>
      </c>
      <c r="B1408" s="2">
        <v>5.0</v>
      </c>
      <c r="C1408" s="19" t="s">
        <v>2106</v>
      </c>
      <c r="D1408" s="58" t="str">
        <f t="shared" ref="D1408:D1409" si="1142">if(or(I1408=1,J1408=1,S1408=1),"pos","")</f>
        <v/>
      </c>
      <c r="E1408" s="59">
        <f>IFERROR(__xludf.DUMMYFUNCTION("ifna(IFNA(filter('2.1.clean'!C:C,'2.1.clean'!A:A=C1408),filter('2.2.clean'!E:E,'2.2.clean'!D:D=C1408)),filter('2.4.clean'!C:C,'2.4.clean'!A:A=C1408))"),43846.0)</f>
        <v>43846</v>
      </c>
      <c r="F1408" s="60">
        <f>IFERROR(__xludf.DUMMYFUNCTION("iferror(ifna(IFNA(filter('2.1.clean'!E:E,'2.1.clean'!A:A=C1408),filter('2.2.clean'!G:G,'2.2.clean'!D:D=C1408)),filter('2.4.clean'!E:E,'2.4.clean'!A:A=C1408)),)"),2.39999999999999)</f>
        <v>2.4</v>
      </c>
      <c r="G1408" s="59">
        <f>IFERROR(__xludf.DUMMYFUNCTION("iferror(filter('3.1.clean'!C:C,'3.1.clean'!A:A=C1408),"""")"),43846.0)</f>
        <v>43846</v>
      </c>
      <c r="H1408" s="58" t="b">
        <f>if(G1408="",FALSE,TRUE)</f>
        <v>1</v>
      </c>
      <c r="I1408" s="58">
        <f>IFERROR(__xludf.DUMMYFUNCTION("iferror(filter('3.1.clean'!G:G,'3.1.clean'!A:A=C1408),"""")"),0.0)</f>
        <v>0</v>
      </c>
      <c r="J1408" s="60" t="str">
        <f>IFERROR(__xludf.DUMMYFUNCTION("iferror(filter('3.1.clean'!I:I,'3.1.clean'!A:A=C1408),"""")"),"")</f>
        <v/>
      </c>
      <c r="K1408" s="58"/>
      <c r="L1408" s="60"/>
      <c r="M1408" s="59" t="str">
        <f>IFERROR(__xludf.DUMMYFUNCTION("iferror(filter('3.3.clean'!C:C,'3.3.clean'!A:A=C1408),"""")"),"")</f>
        <v/>
      </c>
      <c r="N1408" s="60" t="b">
        <f t="shared" si="1138"/>
        <v>0</v>
      </c>
      <c r="O1408" s="59" t="str">
        <f>IFERROR(__xludf.DUMMYFUNCTION("iferror(filter('3.4.clean'!C:C,'3.4.clean'!A:A=C1408),"""")"),"")</f>
        <v/>
      </c>
      <c r="P1408" s="60" t="b">
        <f t="shared" si="1139"/>
        <v>0</v>
      </c>
      <c r="Q1408" s="59" t="str">
        <f>IFERROR(__xludf.DUMMYFUNCTION("iferror(filter('3.5.clean'!C:C,'3.5.clean'!A:A=C1408),"""")"),"")</f>
        <v/>
      </c>
      <c r="R1408" s="58"/>
      <c r="S1408" s="4" t="str">
        <f>IFERROR(__xludf.DUMMYFUNCTION("iferror(filter('3.5.clean'!H:H,'3.5.clean'!A:A=C1408),"""")"),"")</f>
        <v/>
      </c>
      <c r="W1408" s="23" t="b">
        <f>if(AND(H1408=TRUE,N1408=TRUE,P1408=TRUE),TRUE,FALSE)</f>
        <v>0</v>
      </c>
      <c r="X1408" s="23" t="str">
        <f>IFERROR(__xludf.DUMMYFUNCTION("if(COUNTA(FILTER(C:C, C:C = C1408))=1,""no"",""yes"")"),"no")</f>
        <v>no</v>
      </c>
    </row>
    <row r="1409">
      <c r="A1409" s="1" t="s">
        <v>1011</v>
      </c>
      <c r="B1409" s="2">
        <v>6.0</v>
      </c>
      <c r="C1409" s="19" t="s">
        <v>2107</v>
      </c>
      <c r="D1409" s="58" t="str">
        <f t="shared" si="1142"/>
        <v>pos</v>
      </c>
      <c r="E1409" s="59">
        <f>Q1409</f>
        <v>43846</v>
      </c>
      <c r="F1409" s="60" t="str">
        <f>IFERROR(__xludf.DUMMYFUNCTION("iferror(ifna(IFNA(filter('2.1.clean'!E:E,'2.1.clean'!A:A=C1409),filter('2.2.clean'!G:G,'2.2.clean'!D:D=C1409)),filter('2.4.clean'!E:E,'2.4.clean'!A:A=C1409)),)"),"")</f>
        <v/>
      </c>
      <c r="G1409" s="59" t="str">
        <f>IFERROR(__xludf.DUMMYFUNCTION("iferror(filter('3.1.clean'!C:C,'3.1.clean'!A:A=C1409),"""")"),"")</f>
        <v/>
      </c>
      <c r="H1409" s="58"/>
      <c r="I1409" s="58" t="str">
        <f>IFERROR(__xludf.DUMMYFUNCTION("iferror(filter('3.1.clean'!G:G,'3.1.clean'!A:A=C1409),"""")"),"")</f>
        <v/>
      </c>
      <c r="J1409" s="60" t="str">
        <f>IFERROR(__xludf.DUMMYFUNCTION("iferror(filter('3.1.clean'!I:I,'3.1.clean'!A:A=C1409),"""")"),"")</f>
        <v/>
      </c>
      <c r="K1409" s="59"/>
      <c r="L1409" s="60"/>
      <c r="M1409" s="59" t="str">
        <f>IFERROR(__xludf.DUMMYFUNCTION("iferror(filter('3.3.clean'!C:C,'3.3.clean'!A:A=C1409),"""")"),"")</f>
        <v/>
      </c>
      <c r="N1409" s="60" t="b">
        <f t="shared" si="1138"/>
        <v>0</v>
      </c>
      <c r="O1409" s="59" t="str">
        <f>IFERROR(__xludf.DUMMYFUNCTION("iferror(filter('3.4.clean'!C:C,'3.4.clean'!A:A=C1409),"""")"),"")</f>
        <v/>
      </c>
      <c r="P1409" s="60" t="b">
        <f t="shared" si="1139"/>
        <v>0</v>
      </c>
      <c r="Q1409" s="59">
        <f>IFERROR(__xludf.DUMMYFUNCTION("iferror(filter('3.5.clean'!C:C,'3.5.clean'!A:A=C1409),"""")"),43846.0)</f>
        <v>43846</v>
      </c>
      <c r="R1409" s="58" t="b">
        <f t="shared" ref="R1409:R1410" si="1143">if(Q1409="",FALSE,TRUE)</f>
        <v>1</v>
      </c>
      <c r="S1409" s="4">
        <f>IFERROR(__xludf.DUMMYFUNCTION("iferror(filter('3.5.clean'!H:H,'3.5.clean'!A:A=C1409),"""")"),1.0)</f>
        <v>1</v>
      </c>
      <c r="V1409" s="52" t="s">
        <v>64</v>
      </c>
      <c r="W1409" s="23" t="b">
        <f>if(AND(R1409=TRUE,N1409=TRUE,P1409=TRUE),TRUE,FALSE)</f>
        <v>0</v>
      </c>
      <c r="X1409" s="23" t="str">
        <f>IFERROR(__xludf.DUMMYFUNCTION("if(COUNTA(FILTER(C:C, C:C = C1409))=1,""no"",""yes"")"),"no")</f>
        <v>no</v>
      </c>
    </row>
    <row r="1410">
      <c r="A1410" s="1" t="s">
        <v>1011</v>
      </c>
      <c r="B1410" s="2">
        <v>7.0</v>
      </c>
      <c r="C1410" s="19" t="s">
        <v>2108</v>
      </c>
      <c r="E1410" s="24">
        <f>IFERROR(__xludf.DUMMYFUNCTION("ifna(IFNA(filter('2.1.clean'!C:C,'2.1.clean'!A:A=C1410),filter('2.2.clean'!E:E,'2.2.clean'!D:D=C1410)),filter('2.4.clean'!C:C,'2.4.clean'!A:A=C1410))"),43846.0)</f>
        <v>43846</v>
      </c>
      <c r="F1410" s="25">
        <f>IFERROR(__xludf.DUMMYFUNCTION("iferror(ifna(IFNA(filter('2.1.clean'!E:E,'2.1.clean'!A:A=C1410),filter('2.2.clean'!G:G,'2.2.clean'!D:D=C1410)),filter('2.4.clean'!E:E,'2.4.clean'!A:A=C1410)),)"),2.39999999999999)</f>
        <v>2.4</v>
      </c>
      <c r="G1410" s="24">
        <f>IFERROR(__xludf.DUMMYFUNCTION("iferror(filter('3.1.clean'!C:C,'3.1.clean'!A:A=C1410),"""")"),43846.0)</f>
        <v>43846</v>
      </c>
      <c r="H1410" s="23" t="b">
        <f t="shared" ref="H1410:H1411" si="1144">if(G1410="",FALSE,TRUE)</f>
        <v>1</v>
      </c>
      <c r="J1410" s="25"/>
      <c r="K1410" s="24">
        <f>IFERROR(__xludf.DUMMYFUNCTION("iferror(filter('3.2.clean'!C:C,'3.2.clean'!A:A=C1410),"""")"),43846.0)</f>
        <v>43846</v>
      </c>
      <c r="L1410" s="25" t="b">
        <f>if(K1410="",FALSE,TRUE)</f>
        <v>1</v>
      </c>
      <c r="M1410" s="24">
        <f>IFERROR(__xludf.DUMMYFUNCTION("iferror(filter('3.3.clean'!C:C,'3.3.clean'!A:A=C1410),"""")"),43847.0)</f>
        <v>43847</v>
      </c>
      <c r="N1410" s="25" t="b">
        <f t="shared" si="1138"/>
        <v>1</v>
      </c>
      <c r="O1410" s="24">
        <f>IFERROR(__xludf.DUMMYFUNCTION("iferror(filter('3.4.clean'!C:C,'3.4.clean'!A:A=C1410),"""")"),43850.0)</f>
        <v>43850</v>
      </c>
      <c r="P1410" s="25" t="b">
        <f t="shared" si="1139"/>
        <v>1</v>
      </c>
      <c r="Q1410" s="24">
        <f>IFERROR(__xludf.DUMMYFUNCTION("iferror(filter('3.5.clean'!C:C,'3.5.clean'!A:A=C1410),"""")"),43846.0)</f>
        <v>43846</v>
      </c>
      <c r="R1410" s="23" t="b">
        <f t="shared" si="1143"/>
        <v>1</v>
      </c>
      <c r="S1410" s="25"/>
      <c r="V1410" s="1" t="s">
        <v>64</v>
      </c>
      <c r="X1410" s="23" t="str">
        <f>IFERROR(__xludf.DUMMYFUNCTION("if(COUNTA(FILTER(C:C, C:C = C1410))=1,""no"",""yes"")"),"no")</f>
        <v>no</v>
      </c>
    </row>
    <row r="1411">
      <c r="A1411" s="1" t="s">
        <v>1011</v>
      </c>
      <c r="B1411" s="2">
        <v>8.0</v>
      </c>
      <c r="C1411" s="19" t="s">
        <v>2109</v>
      </c>
      <c r="D1411" s="58" t="str">
        <f t="shared" ref="D1411:D1412" si="1145">if(or(I1411=1,J1411=1,S1411=1),"pos","")</f>
        <v/>
      </c>
      <c r="E1411" s="59">
        <f>IFERROR(__xludf.DUMMYFUNCTION("ifna(IFNA(filter('2.1.clean'!C:C,'2.1.clean'!A:A=C1411),filter('2.2.clean'!E:E,'2.2.clean'!D:D=C1411)),filter('2.4.clean'!C:C,'2.4.clean'!A:A=C1411))"),43846.0)</f>
        <v>43846</v>
      </c>
      <c r="F1411" s="60">
        <f>IFERROR(__xludf.DUMMYFUNCTION("iferror(ifna(IFNA(filter('2.1.clean'!E:E,'2.1.clean'!A:A=C1411),filter('2.2.clean'!G:G,'2.2.clean'!D:D=C1411)),filter('2.4.clean'!E:E,'2.4.clean'!A:A=C1411)),)"),2.39999999999999)</f>
        <v>2.4</v>
      </c>
      <c r="G1411" s="59">
        <f>IFERROR(__xludf.DUMMYFUNCTION("iferror(filter('3.1.clean'!C:C,'3.1.clean'!A:A=C1411),"""")"),43846.0)</f>
        <v>43846</v>
      </c>
      <c r="H1411" s="58" t="b">
        <f t="shared" si="1144"/>
        <v>1</v>
      </c>
      <c r="I1411" s="58">
        <f>IFERROR(__xludf.DUMMYFUNCTION("iferror(filter('3.1.clean'!G:G,'3.1.clean'!A:A=C1411),"""")"),0.0)</f>
        <v>0</v>
      </c>
      <c r="J1411" s="60" t="str">
        <f>IFERROR(__xludf.DUMMYFUNCTION("iferror(filter('3.1.clean'!I:I,'3.1.clean'!A:A=C1411),"""")"),"")</f>
        <v/>
      </c>
      <c r="K1411" s="58"/>
      <c r="L1411" s="60"/>
      <c r="M1411" s="59">
        <f>IFERROR(__xludf.DUMMYFUNCTION("iferror(filter('3.3.clean'!C:C,'3.3.clean'!A:A=C1411),"""")"),43847.0)</f>
        <v>43847</v>
      </c>
      <c r="N1411" s="60" t="b">
        <f t="shared" si="1138"/>
        <v>1</v>
      </c>
      <c r="O1411" s="59" t="str">
        <f>IFERROR(__xludf.DUMMYFUNCTION("iferror(filter('3.4.clean'!C:C,'3.4.clean'!A:A=C1411),"""")"),"")</f>
        <v/>
      </c>
      <c r="P1411" s="60" t="b">
        <f t="shared" si="1139"/>
        <v>0</v>
      </c>
      <c r="Q1411" s="59" t="str">
        <f>IFERROR(__xludf.DUMMYFUNCTION("iferror(filter('3.5.clean'!C:C,'3.5.clean'!A:A=C1411),"""")"),"")</f>
        <v/>
      </c>
      <c r="R1411" s="58"/>
      <c r="S1411" s="4" t="str">
        <f>IFERROR(__xludf.DUMMYFUNCTION("iferror(filter('3.5.clean'!H:H,'3.5.clean'!A:A=C1411),"""")"),"")</f>
        <v/>
      </c>
      <c r="W1411" s="23" t="b">
        <f>if(AND(H1411=TRUE,N1411=TRUE,P1411=TRUE),TRUE,FALSE)</f>
        <v>0</v>
      </c>
      <c r="X1411" s="23" t="str">
        <f>IFERROR(__xludf.DUMMYFUNCTION("if(COUNTA(FILTER(C:C, C:C = C1411))=1,""no"",""yes"")"),"no")</f>
        <v>no</v>
      </c>
    </row>
    <row r="1412">
      <c r="A1412" s="1" t="s">
        <v>1011</v>
      </c>
      <c r="B1412" s="2">
        <v>9.0</v>
      </c>
      <c r="C1412" s="19" t="s">
        <v>2110</v>
      </c>
      <c r="D1412" s="58" t="str">
        <f t="shared" si="1145"/>
        <v/>
      </c>
      <c r="E1412" s="59">
        <f>Q1412</f>
        <v>43846</v>
      </c>
      <c r="F1412" s="60" t="str">
        <f>IFERROR(__xludf.DUMMYFUNCTION("iferror(ifna(IFNA(filter('2.1.clean'!E:E,'2.1.clean'!A:A=C1412),filter('2.2.clean'!G:G,'2.2.clean'!D:D=C1412)),filter('2.4.clean'!E:E,'2.4.clean'!A:A=C1412)),)"),"")</f>
        <v/>
      </c>
      <c r="G1412" s="59" t="str">
        <f>IFERROR(__xludf.DUMMYFUNCTION("iferror(filter('3.1.clean'!C:C,'3.1.clean'!A:A=C1412),"""")"),"")</f>
        <v/>
      </c>
      <c r="H1412" s="58"/>
      <c r="I1412" s="58" t="str">
        <f>IFERROR(__xludf.DUMMYFUNCTION("iferror(filter('3.1.clean'!G:G,'3.1.clean'!A:A=C1412),"""")"),"")</f>
        <v/>
      </c>
      <c r="J1412" s="60" t="str">
        <f>IFERROR(__xludf.DUMMYFUNCTION("iferror(filter('3.1.clean'!I:I,'3.1.clean'!A:A=C1412),"""")"),"")</f>
        <v/>
      </c>
      <c r="K1412" s="59"/>
      <c r="L1412" s="60"/>
      <c r="M1412" s="59" t="str">
        <f>IFERROR(__xludf.DUMMYFUNCTION("iferror(filter('3.3.clean'!C:C,'3.3.clean'!A:A=C1412),"""")"),"")</f>
        <v/>
      </c>
      <c r="N1412" s="60" t="b">
        <f t="shared" si="1138"/>
        <v>0</v>
      </c>
      <c r="O1412" s="59">
        <f>IFERROR(__xludf.DUMMYFUNCTION("iferror(filter('3.4.clean'!C:C,'3.4.clean'!A:A=C1412),"""")"),43850.0)</f>
        <v>43850</v>
      </c>
      <c r="P1412" s="60" t="b">
        <f t="shared" si="1139"/>
        <v>1</v>
      </c>
      <c r="Q1412" s="59">
        <f>IFERROR(__xludf.DUMMYFUNCTION("iferror(filter('3.5.clean'!C:C,'3.5.clean'!A:A=C1412),"""")"),43846.0)</f>
        <v>43846</v>
      </c>
      <c r="R1412" s="58" t="b">
        <f t="shared" ref="R1412:R1413" si="1146">if(Q1412="",FALSE,TRUE)</f>
        <v>1</v>
      </c>
      <c r="S1412" s="4">
        <f>IFERROR(__xludf.DUMMYFUNCTION("iferror(filter('3.5.clean'!H:H,'3.5.clean'!A:A=C1412),"""")"),0.0)</f>
        <v>0</v>
      </c>
      <c r="V1412" s="52" t="s">
        <v>64</v>
      </c>
      <c r="W1412" s="23" t="b">
        <f>if(AND(R1412=TRUE,N1412=TRUE,P1412=TRUE),TRUE,FALSE)</f>
        <v>0</v>
      </c>
      <c r="X1412" s="23" t="str">
        <f>IFERROR(__xludf.DUMMYFUNCTION("if(COUNTA(FILTER(C:C, C:C = C1412))=1,""no"",""yes"")"),"no")</f>
        <v>no</v>
      </c>
    </row>
    <row r="1413">
      <c r="A1413" s="1" t="s">
        <v>1011</v>
      </c>
      <c r="B1413" s="2">
        <v>10.0</v>
      </c>
      <c r="C1413" s="19" t="s">
        <v>2111</v>
      </c>
      <c r="E1413" s="24">
        <f>IFERROR(__xludf.DUMMYFUNCTION("ifna(IFNA(filter('2.1.clean'!C:C,'2.1.clean'!A:A=C1413),filter('2.2.clean'!E:E,'2.2.clean'!D:D=C1413)),filter('2.4.clean'!C:C,'2.4.clean'!A:A=C1413))"),43846.0)</f>
        <v>43846</v>
      </c>
      <c r="F1413" s="25">
        <f>IFERROR(__xludf.DUMMYFUNCTION("iferror(ifna(IFNA(filter('2.1.clean'!E:E,'2.1.clean'!A:A=C1413),filter('2.2.clean'!G:G,'2.2.clean'!D:D=C1413)),filter('2.4.clean'!E:E,'2.4.clean'!A:A=C1413)),)"),2.39999999999999)</f>
        <v>2.4</v>
      </c>
      <c r="G1413" s="24">
        <f>IFERROR(__xludf.DUMMYFUNCTION("iferror(filter('3.1.clean'!C:C,'3.1.clean'!A:A=C1413),"""")"),43846.0)</f>
        <v>43846</v>
      </c>
      <c r="H1413" s="23" t="b">
        <f t="shared" ref="H1413:H1414" si="1147">if(G1413="",FALSE,TRUE)</f>
        <v>1</v>
      </c>
      <c r="J1413" s="25"/>
      <c r="K1413" s="24">
        <f>IFERROR(__xludf.DUMMYFUNCTION("iferror(filter('3.2.clean'!C:C,'3.2.clean'!A:A=C1413),"""")"),43846.0)</f>
        <v>43846</v>
      </c>
      <c r="L1413" s="25" t="b">
        <f>if(K1413="",FALSE,TRUE)</f>
        <v>1</v>
      </c>
      <c r="M1413" s="24">
        <f>IFERROR(__xludf.DUMMYFUNCTION("iferror(filter('3.3.clean'!C:C,'3.3.clean'!A:A=C1413),"""")"),43847.0)</f>
        <v>43847</v>
      </c>
      <c r="N1413" s="25" t="b">
        <f t="shared" si="1138"/>
        <v>1</v>
      </c>
      <c r="O1413" s="24">
        <f>IFERROR(__xludf.DUMMYFUNCTION("iferror(filter('3.4.clean'!C:C,'3.4.clean'!A:A=C1413),"""")"),43850.0)</f>
        <v>43850</v>
      </c>
      <c r="P1413" s="25" t="b">
        <f t="shared" si="1139"/>
        <v>1</v>
      </c>
      <c r="Q1413" s="24">
        <f>IFERROR(__xludf.DUMMYFUNCTION("iferror(filter('3.5.clean'!C:C,'3.5.clean'!A:A=C1413),"""")"),43846.0)</f>
        <v>43846</v>
      </c>
      <c r="R1413" s="23" t="b">
        <f t="shared" si="1146"/>
        <v>1</v>
      </c>
      <c r="S1413" s="25"/>
      <c r="V1413" s="1" t="s">
        <v>64</v>
      </c>
      <c r="X1413" s="23" t="str">
        <f>IFERROR(__xludf.DUMMYFUNCTION("if(COUNTA(FILTER(C:C, C:C = C1413))=1,""no"",""yes"")"),"no")</f>
        <v>no</v>
      </c>
    </row>
    <row r="1414">
      <c r="A1414" s="1" t="s">
        <v>1011</v>
      </c>
      <c r="B1414" s="2">
        <v>11.0</v>
      </c>
      <c r="C1414" s="19" t="s">
        <v>2112</v>
      </c>
      <c r="D1414" s="58" t="str">
        <f t="shared" ref="D1414:D1415" si="1148">if(or(I1414=1,J1414=1,S1414=1),"pos","")</f>
        <v/>
      </c>
      <c r="E1414" s="59">
        <f>IFERROR(__xludf.DUMMYFUNCTION("ifna(IFNA(filter('2.1.clean'!C:C,'2.1.clean'!A:A=C1414),filter('2.2.clean'!E:E,'2.2.clean'!D:D=C1414)),filter('2.4.clean'!C:C,'2.4.clean'!A:A=C1414))"),43846.0)</f>
        <v>43846</v>
      </c>
      <c r="F1414" s="60">
        <f>IFERROR(__xludf.DUMMYFUNCTION("iferror(ifna(IFNA(filter('2.1.clean'!E:E,'2.1.clean'!A:A=C1414),filter('2.2.clean'!G:G,'2.2.clean'!D:D=C1414)),filter('2.4.clean'!E:E,'2.4.clean'!A:A=C1414)),)"),2.39999999999999)</f>
        <v>2.4</v>
      </c>
      <c r="G1414" s="59">
        <f>IFERROR(__xludf.DUMMYFUNCTION("iferror(filter('3.1.clean'!C:C,'3.1.clean'!A:A=C1414),"""")"),43846.0)</f>
        <v>43846</v>
      </c>
      <c r="H1414" s="58" t="b">
        <f t="shared" si="1147"/>
        <v>1</v>
      </c>
      <c r="I1414" s="58">
        <f>IFERROR(__xludf.DUMMYFUNCTION("iferror(filter('3.1.clean'!G:G,'3.1.clean'!A:A=C1414),"""")"),0.0)</f>
        <v>0</v>
      </c>
      <c r="J1414" s="60" t="str">
        <f>IFERROR(__xludf.DUMMYFUNCTION("iferror(filter('3.1.clean'!I:I,'3.1.clean'!A:A=C1414),"""")"),"")</f>
        <v/>
      </c>
      <c r="K1414" s="58"/>
      <c r="L1414" s="60"/>
      <c r="M1414" s="59" t="str">
        <f>IFERROR(__xludf.DUMMYFUNCTION("iferror(filter('3.3.clean'!C:C,'3.3.clean'!A:A=C1414),"""")"),"")</f>
        <v/>
      </c>
      <c r="N1414" s="60" t="b">
        <f t="shared" si="1138"/>
        <v>0</v>
      </c>
      <c r="O1414" s="59" t="str">
        <f>IFERROR(__xludf.DUMMYFUNCTION("iferror(filter('3.4.clean'!C:C,'3.4.clean'!A:A=C1414),"""")"),"")</f>
        <v/>
      </c>
      <c r="P1414" s="60" t="b">
        <f t="shared" si="1139"/>
        <v>0</v>
      </c>
      <c r="Q1414" s="59" t="str">
        <f>IFERROR(__xludf.DUMMYFUNCTION("iferror(filter('3.5.clean'!C:C,'3.5.clean'!A:A=C1414),"""")"),"")</f>
        <v/>
      </c>
      <c r="R1414" s="58"/>
      <c r="S1414" s="4" t="str">
        <f>IFERROR(__xludf.DUMMYFUNCTION("iferror(filter('3.5.clean'!H:H,'3.5.clean'!A:A=C1414),"""")"),"")</f>
        <v/>
      </c>
      <c r="W1414" s="23" t="b">
        <f>if(AND(H1414=TRUE,N1414=TRUE,P1414=TRUE),TRUE,FALSE)</f>
        <v>0</v>
      </c>
      <c r="X1414" s="23" t="str">
        <f>IFERROR(__xludf.DUMMYFUNCTION("if(COUNTA(FILTER(C:C, C:C = C1414))=1,""no"",""yes"")"),"no")</f>
        <v>no</v>
      </c>
    </row>
    <row r="1415">
      <c r="A1415" s="1" t="s">
        <v>1011</v>
      </c>
      <c r="B1415" s="2">
        <v>12.0</v>
      </c>
      <c r="C1415" s="19" t="s">
        <v>2113</v>
      </c>
      <c r="D1415" s="58" t="str">
        <f t="shared" si="1148"/>
        <v/>
      </c>
      <c r="E1415" s="59">
        <f>Q1415</f>
        <v>43846</v>
      </c>
      <c r="F1415" s="60" t="str">
        <f>IFERROR(__xludf.DUMMYFUNCTION("iferror(ifna(IFNA(filter('2.1.clean'!E:E,'2.1.clean'!A:A=C1415),filter('2.2.clean'!G:G,'2.2.clean'!D:D=C1415)),filter('2.4.clean'!E:E,'2.4.clean'!A:A=C1415)),)"),"")</f>
        <v/>
      </c>
      <c r="G1415" s="59" t="str">
        <f>IFERROR(__xludf.DUMMYFUNCTION("iferror(filter('3.1.clean'!C:C,'3.1.clean'!A:A=C1415),"""")"),"")</f>
        <v/>
      </c>
      <c r="H1415" s="58"/>
      <c r="I1415" s="58" t="str">
        <f>IFERROR(__xludf.DUMMYFUNCTION("iferror(filter('3.1.clean'!G:G,'3.1.clean'!A:A=C1415),"""")"),"")</f>
        <v/>
      </c>
      <c r="J1415" s="60" t="str">
        <f>IFERROR(__xludf.DUMMYFUNCTION("iferror(filter('3.1.clean'!I:I,'3.1.clean'!A:A=C1415),"""")"),"")</f>
        <v/>
      </c>
      <c r="K1415" s="59"/>
      <c r="L1415" s="60"/>
      <c r="M1415" s="59" t="str">
        <f>IFERROR(__xludf.DUMMYFUNCTION("iferror(filter('3.3.clean'!C:C,'3.3.clean'!A:A=C1415),"""")"),"")</f>
        <v/>
      </c>
      <c r="N1415" s="60" t="b">
        <f t="shared" si="1138"/>
        <v>0</v>
      </c>
      <c r="O1415" s="59" t="str">
        <f>IFERROR(__xludf.DUMMYFUNCTION("iferror(filter('3.4.clean'!C:C,'3.4.clean'!A:A=C1415),"""")"),"")</f>
        <v/>
      </c>
      <c r="P1415" s="60" t="b">
        <f t="shared" si="1139"/>
        <v>0</v>
      </c>
      <c r="Q1415" s="59">
        <f>IFERROR(__xludf.DUMMYFUNCTION("iferror(filter('3.5.clean'!C:C,'3.5.clean'!A:A=C1415),"""")"),43846.0)</f>
        <v>43846</v>
      </c>
      <c r="R1415" s="58" t="b">
        <f>if(Q1415="",FALSE,TRUE)</f>
        <v>1</v>
      </c>
      <c r="S1415" s="4">
        <f>IFERROR(__xludf.DUMMYFUNCTION("iferror(filter('3.5.clean'!H:H,'3.5.clean'!A:A=C1415),"""")"),0.0)</f>
        <v>0</v>
      </c>
      <c r="V1415" s="52" t="s">
        <v>64</v>
      </c>
      <c r="W1415" s="23" t="b">
        <f>if(AND(R1415=TRUE,N1415=TRUE,P1415=TRUE),TRUE,FALSE)</f>
        <v>0</v>
      </c>
      <c r="X1415" s="23" t="str">
        <f>IFERROR(__xludf.DUMMYFUNCTION("if(COUNTA(FILTER(C:C, C:C = C1415))=1,""no"",""yes"")"),"no")</f>
        <v>no</v>
      </c>
    </row>
    <row r="1416">
      <c r="A1416" s="1" t="s">
        <v>1011</v>
      </c>
      <c r="B1416" s="2">
        <v>13.0</v>
      </c>
      <c r="C1416" s="19" t="s">
        <v>2114</v>
      </c>
      <c r="D1416" s="24"/>
      <c r="E1416" s="24">
        <v>43846.0</v>
      </c>
      <c r="F1416" s="25" t="str">
        <f>IFERROR(__xludf.DUMMYFUNCTION("iferror(ifna(IFNA(filter('2.1.clean'!E:E,'2.1.clean'!A:A=C1416),filter('2.2.clean'!G:G,'2.2.clean'!D:D=C1416)),filter('2.4.clean'!E:E,'2.4.clean'!A:A=C1416)),)"),"")</f>
        <v/>
      </c>
      <c r="G1416" s="24" t="str">
        <f>IFERROR(__xludf.DUMMYFUNCTION("iferror(filter('3.1.clean'!C:C,'3.1.clean'!A:A=C1416),"""")"),"")</f>
        <v/>
      </c>
      <c r="H1416" s="23" t="b">
        <f t="shared" ref="H1416:H1419" si="1149">if(G1416="",FALSE,TRUE)</f>
        <v>0</v>
      </c>
      <c r="J1416" s="25"/>
      <c r="K1416" s="24" t="str">
        <f>IFERROR(__xludf.DUMMYFUNCTION("iferror(filter('3.2.clean'!C:C,'3.2.clean'!A:A=C1416),"""")"),"")</f>
        <v/>
      </c>
      <c r="L1416" s="25" t="b">
        <f t="shared" ref="L1416:L1418" si="1150">if(K1416="",FALSE,TRUE)</f>
        <v>0</v>
      </c>
      <c r="M1416" s="24">
        <f>IFERROR(__xludf.DUMMYFUNCTION("iferror(filter('3.3.clean'!C:C,'3.3.clean'!A:A=C1416),"""")"),43847.0)</f>
        <v>43847</v>
      </c>
      <c r="N1416" s="25" t="b">
        <f t="shared" si="1138"/>
        <v>1</v>
      </c>
      <c r="O1416" s="24">
        <f>IFERROR(__xludf.DUMMYFUNCTION("iferror(filter('3.4.clean'!C:C,'3.4.clean'!A:A=C1416),"""")"),43850.0)</f>
        <v>43850</v>
      </c>
      <c r="P1416" s="25" t="b">
        <f t="shared" si="1139"/>
        <v>1</v>
      </c>
      <c r="Q1416" s="24"/>
      <c r="S1416" s="25"/>
      <c r="U1416" s="1" t="s">
        <v>382</v>
      </c>
      <c r="V1416" s="1" t="s">
        <v>83</v>
      </c>
      <c r="W1416" s="23" t="b">
        <f t="shared" ref="W1416:W1418" si="1151">IF(and(H1416=TRUE,L1416=TRUE,N1416=TRUE,P1416=TRUE),TRUE,FALSE)</f>
        <v>0</v>
      </c>
      <c r="X1416" s="23" t="str">
        <f>IFERROR(__xludf.DUMMYFUNCTION("if(COUNTA(FILTER(C:C, C:C = C1416))=1,""no"",""yes"")"),"no")</f>
        <v>no</v>
      </c>
    </row>
    <row r="1417">
      <c r="A1417" s="1" t="s">
        <v>1011</v>
      </c>
      <c r="B1417" s="2">
        <v>14.0</v>
      </c>
      <c r="C1417" s="19" t="s">
        <v>2115</v>
      </c>
      <c r="D1417" s="1"/>
      <c r="E1417" s="24">
        <f>IFERROR(__xludf.DUMMYFUNCTION("ifna(IFNA(filter('2.1.clean'!C:C,'2.1.clean'!A:A=C1417),filter('2.2.clean'!E:E,'2.2.clean'!D:D=C1417)),filter('2.4.clean'!C:C,'2.4.clean'!A:A=C1417))"),43846.0)</f>
        <v>43846</v>
      </c>
      <c r="F1417" s="25">
        <f>IFERROR(__xludf.DUMMYFUNCTION("iferror(ifna(IFNA(filter('2.1.clean'!E:E,'2.1.clean'!A:A=C1417),filter('2.2.clean'!G:G,'2.2.clean'!D:D=C1417)),filter('2.4.clean'!E:E,'2.4.clean'!A:A=C1417)),)"),2.1)</f>
        <v>2.1</v>
      </c>
      <c r="G1417" s="24">
        <f>IFERROR(__xludf.DUMMYFUNCTION("iferror(filter('3.1.clean'!C:C,'3.1.clean'!A:A=C1417),"""")"),43846.0)</f>
        <v>43846</v>
      </c>
      <c r="H1417" s="23" t="b">
        <f t="shared" si="1149"/>
        <v>1</v>
      </c>
      <c r="J1417" s="25"/>
      <c r="K1417" s="24">
        <f>IFERROR(__xludf.DUMMYFUNCTION("iferror(filter('3.2.clean'!C:C,'3.2.clean'!A:A=C1417),"""")"),43846.0)</f>
        <v>43846</v>
      </c>
      <c r="L1417" s="25" t="b">
        <f t="shared" si="1150"/>
        <v>1</v>
      </c>
      <c r="M1417" s="24" t="str">
        <f>IFERROR(__xludf.DUMMYFUNCTION("iferror(filter('3.3.clean'!C:C,'3.3.clean'!A:A=C1417),"""")"),"")</f>
        <v/>
      </c>
      <c r="N1417" s="25" t="b">
        <f t="shared" si="1138"/>
        <v>0</v>
      </c>
      <c r="O1417" s="24" t="str">
        <f>IFERROR(__xludf.DUMMYFUNCTION("iferror(filter('3.4.clean'!C:C,'3.4.clean'!A:A=#REF!),"""")"),"")</f>
        <v/>
      </c>
      <c r="P1417" s="25" t="b">
        <f t="shared" si="1139"/>
        <v>0</v>
      </c>
      <c r="Q1417" s="24"/>
      <c r="S1417" s="25"/>
      <c r="V1417" s="1" t="s">
        <v>83</v>
      </c>
      <c r="W1417" s="23" t="b">
        <f t="shared" si="1151"/>
        <v>0</v>
      </c>
      <c r="X1417" s="23" t="str">
        <f>IFERROR(__xludf.DUMMYFUNCTION("if(COUNTA(FILTER(C:C, C:C = C1417))=1,""no"",""yes"")"),"no")</f>
        <v>no</v>
      </c>
    </row>
    <row r="1418">
      <c r="A1418" s="1" t="s">
        <v>1011</v>
      </c>
      <c r="B1418" s="2">
        <v>15.0</v>
      </c>
      <c r="C1418" s="19" t="s">
        <v>2116</v>
      </c>
      <c r="D1418" s="24"/>
      <c r="E1418" s="24">
        <v>43846.0</v>
      </c>
      <c r="F1418" s="25" t="str">
        <f>IFERROR(__xludf.DUMMYFUNCTION("iferror(ifna(IFNA(filter('2.1.clean'!E:E,'2.1.clean'!A:A=C1418),filter('2.2.clean'!G:G,'2.2.clean'!D:D=C1418)),filter('2.4.clean'!E:E,'2.4.clean'!A:A=C1418)),)"),"")</f>
        <v/>
      </c>
      <c r="G1418" s="24" t="str">
        <f>IFERROR(__xludf.DUMMYFUNCTION("iferror(filter('3.1.clean'!C:C,'3.1.clean'!A:A=C1418),"""")"),"")</f>
        <v/>
      </c>
      <c r="H1418" s="23" t="b">
        <f t="shared" si="1149"/>
        <v>0</v>
      </c>
      <c r="J1418" s="25"/>
      <c r="K1418" s="24" t="str">
        <f>IFERROR(__xludf.DUMMYFUNCTION("iferror(filter('3.2.clean'!C:C,'3.2.clean'!A:A=C1418),"""")"),"")</f>
        <v/>
      </c>
      <c r="L1418" s="25" t="b">
        <f t="shared" si="1150"/>
        <v>0</v>
      </c>
      <c r="M1418" s="24">
        <f>IFERROR(__xludf.DUMMYFUNCTION("iferror(filter('3.3.clean'!C:C,'3.3.clean'!A:A=C1418),"""")"),43847.0)</f>
        <v>43847</v>
      </c>
      <c r="N1418" s="25" t="b">
        <f t="shared" si="1138"/>
        <v>1</v>
      </c>
      <c r="O1418" s="24">
        <f>IFERROR(__xludf.DUMMYFUNCTION("iferror(filter('3.4.clean'!C:C,'3.4.clean'!A:A=C1418),"""")"),43850.0)</f>
        <v>43850</v>
      </c>
      <c r="P1418" s="25" t="b">
        <f t="shared" si="1139"/>
        <v>1</v>
      </c>
      <c r="Q1418" s="24"/>
      <c r="S1418" s="25"/>
      <c r="U1418" s="1" t="s">
        <v>382</v>
      </c>
      <c r="V1418" s="1" t="s">
        <v>83</v>
      </c>
      <c r="W1418" s="23" t="b">
        <f t="shared" si="1151"/>
        <v>0</v>
      </c>
      <c r="X1418" s="23" t="str">
        <f>IFERROR(__xludf.DUMMYFUNCTION("if(COUNTA(FILTER(C:C, C:C = C1418))=1,""no"",""yes"")"),"no")</f>
        <v>no</v>
      </c>
    </row>
    <row r="1419">
      <c r="A1419" s="1" t="s">
        <v>1011</v>
      </c>
      <c r="B1419" s="2">
        <v>16.0</v>
      </c>
      <c r="C1419" s="19" t="s">
        <v>2117</v>
      </c>
      <c r="D1419" s="58" t="str">
        <f t="shared" ref="D1419:D1422" si="1152">if(or(I1419=1,J1419=1,S1419=1),"pos","")</f>
        <v/>
      </c>
      <c r="E1419" s="59">
        <f>IFERROR(__xludf.DUMMYFUNCTION("ifna(IFNA(filter('2.1.clean'!C:C,'2.1.clean'!A:A=C1419),filter('2.2.clean'!E:E,'2.2.clean'!D:D=C1419)),filter('2.4.clean'!C:C,'2.4.clean'!A:A=C1419))"),43846.0)</f>
        <v>43846</v>
      </c>
      <c r="F1419" s="60">
        <f>IFERROR(__xludf.DUMMYFUNCTION("iferror(ifna(IFNA(filter('2.1.clean'!E:E,'2.1.clean'!A:A=C1419),filter('2.2.clean'!G:G,'2.2.clean'!D:D=C1419)),filter('2.4.clean'!E:E,'2.4.clean'!A:A=C1419)),)"),2.1)</f>
        <v>2.1</v>
      </c>
      <c r="G1419" s="59">
        <f>IFERROR(__xludf.DUMMYFUNCTION("iferror(filter('3.1.clean'!C:C,'3.1.clean'!A:A=C1419),"""")"),43846.0)</f>
        <v>43846</v>
      </c>
      <c r="H1419" s="58" t="b">
        <f t="shared" si="1149"/>
        <v>1</v>
      </c>
      <c r="I1419" s="58">
        <f>IFERROR(__xludf.DUMMYFUNCTION("iferror(filter('3.1.clean'!G:G,'3.1.clean'!A:A=C1419),"""")"),0.0)</f>
        <v>0</v>
      </c>
      <c r="J1419" s="60" t="str">
        <f>IFERROR(__xludf.DUMMYFUNCTION("iferror(filter('3.1.clean'!I:I,'3.1.clean'!A:A=C1419),"""")"),"")</f>
        <v/>
      </c>
      <c r="K1419" s="58"/>
      <c r="L1419" s="60"/>
      <c r="M1419" s="59" t="str">
        <f>IFERROR(__xludf.DUMMYFUNCTION("iferror(filter('3.3.clean'!C:C,'3.3.clean'!A:A=C1419),"""")"),"")</f>
        <v/>
      </c>
      <c r="N1419" s="60" t="b">
        <f t="shared" si="1138"/>
        <v>0</v>
      </c>
      <c r="O1419" s="59" t="str">
        <f>IFERROR(__xludf.DUMMYFUNCTION("iferror(filter('3.4.clean'!C:C,'3.4.clean'!A:A=C1419),"""")"),"")</f>
        <v/>
      </c>
      <c r="P1419" s="60" t="b">
        <f t="shared" si="1139"/>
        <v>0</v>
      </c>
      <c r="Q1419" s="59" t="str">
        <f>IFERROR(__xludf.DUMMYFUNCTION("iferror(filter('3.5.clean'!C:C,'3.5.clean'!A:A=C1419),"""")"),"")</f>
        <v/>
      </c>
      <c r="R1419" s="58"/>
      <c r="S1419" s="4" t="str">
        <f>IFERROR(__xludf.DUMMYFUNCTION("iferror(filter('3.5.clean'!H:H,'3.5.clean'!A:A=C1419),"""")"),"")</f>
        <v/>
      </c>
      <c r="W1419" s="23" t="b">
        <f>if(AND(H1419=TRUE,N1419=TRUE,P1419=TRUE),TRUE,FALSE)</f>
        <v>0</v>
      </c>
      <c r="X1419" s="23" t="str">
        <f>IFERROR(__xludf.DUMMYFUNCTION("if(COUNTA(FILTER(C:C, C:C = C1419))=1,""no"",""yes"")"),"no")</f>
        <v>no</v>
      </c>
    </row>
    <row r="1420">
      <c r="A1420" s="1" t="s">
        <v>1011</v>
      </c>
      <c r="B1420" s="2">
        <v>17.0</v>
      </c>
      <c r="C1420" s="19" t="s">
        <v>2118</v>
      </c>
      <c r="D1420" s="58" t="str">
        <f t="shared" si="1152"/>
        <v/>
      </c>
      <c r="E1420" s="59">
        <f t="shared" ref="E1420:E1421" si="1153">Q1420</f>
        <v>43846</v>
      </c>
      <c r="F1420" s="60" t="str">
        <f>IFERROR(__xludf.DUMMYFUNCTION("iferror(ifna(IFNA(filter('2.1.clean'!E:E,'2.1.clean'!A:A=C1420),filter('2.2.clean'!G:G,'2.2.clean'!D:D=C1420)),filter('2.4.clean'!E:E,'2.4.clean'!A:A=C1420)),)"),"")</f>
        <v/>
      </c>
      <c r="G1420" s="59" t="str">
        <f>IFERROR(__xludf.DUMMYFUNCTION("iferror(filter('3.1.clean'!C:C,'3.1.clean'!A:A=C1420),"""")"),"")</f>
        <v/>
      </c>
      <c r="H1420" s="58"/>
      <c r="I1420" s="58" t="str">
        <f>IFERROR(__xludf.DUMMYFUNCTION("iferror(filter('3.1.clean'!G:G,'3.1.clean'!A:A=C1420),"""")"),"")</f>
        <v/>
      </c>
      <c r="J1420" s="60" t="str">
        <f>IFERROR(__xludf.DUMMYFUNCTION("iferror(filter('3.1.clean'!I:I,'3.1.clean'!A:A=C1420),"""")"),"")</f>
        <v/>
      </c>
      <c r="K1420" s="59"/>
      <c r="L1420" s="60"/>
      <c r="M1420" s="59" t="str">
        <f>IFERROR(__xludf.DUMMYFUNCTION("iferror(filter('3.3.clean'!C:C,'3.3.clean'!A:A=C1420),"""")"),"")</f>
        <v/>
      </c>
      <c r="N1420" s="60" t="b">
        <f t="shared" si="1138"/>
        <v>0</v>
      </c>
      <c r="O1420" s="59" t="str">
        <f>IFERROR(__xludf.DUMMYFUNCTION("iferror(filter('3.4.clean'!C:C,'3.4.clean'!A:A=C1420),"""")"),"")</f>
        <v/>
      </c>
      <c r="P1420" s="60" t="b">
        <f t="shared" si="1139"/>
        <v>0</v>
      </c>
      <c r="Q1420" s="59">
        <f>IFERROR(__xludf.DUMMYFUNCTION("iferror(filter('3.5.clean'!C:C,'3.5.clean'!A:A=C1420),"""")"),43846.0)</f>
        <v>43846</v>
      </c>
      <c r="R1420" s="58" t="b">
        <f t="shared" ref="R1420:R1421" si="1154">if(Q1420="",FALSE,TRUE)</f>
        <v>1</v>
      </c>
      <c r="S1420" s="4">
        <f>IFERROR(__xludf.DUMMYFUNCTION("iferror(filter('3.5.clean'!H:H,'3.5.clean'!A:A=C1420),"""")"),0.0)</f>
        <v>0</v>
      </c>
      <c r="V1420" s="52" t="s">
        <v>64</v>
      </c>
      <c r="W1420" s="23" t="b">
        <f>if(AND(R1420=TRUE,N1420=TRUE,P1420=TRUE),TRUE,FALSE)</f>
        <v>0</v>
      </c>
      <c r="X1420" s="23" t="str">
        <f>IFERROR(__xludf.DUMMYFUNCTION("if(COUNTA(FILTER(C:C, C:C = C1420))=1,""no"",""yes"")"),"no")</f>
        <v>no</v>
      </c>
    </row>
    <row r="1421">
      <c r="A1421" s="1" t="s">
        <v>1011</v>
      </c>
      <c r="B1421" s="19">
        <v>18.0</v>
      </c>
      <c r="C1421" s="19" t="s">
        <v>2119</v>
      </c>
      <c r="D1421" s="22" t="str">
        <f t="shared" si="1152"/>
        <v/>
      </c>
      <c r="E1421" s="20">
        <f t="shared" si="1153"/>
        <v>43846</v>
      </c>
      <c r="F1421" s="79" t="str">
        <f>IFERROR(__xludf.DUMMYFUNCTION("iferror(ifna(IFNA(filter('2.1.clean'!E:E,'2.1.clean'!A:A=C1421),filter('2.2.clean'!G:G,'2.2.clean'!D:D=C1421)),filter('2.4.clean'!E:E,'2.4.clean'!A:A=C1421)),)"),"")</f>
        <v/>
      </c>
      <c r="G1421" s="20" t="str">
        <f>IFERROR(__xludf.DUMMYFUNCTION("iferror(filter('3.1.clean'!C:C,'3.1.clean'!A:A=C1421),"""")"),"")</f>
        <v/>
      </c>
      <c r="H1421" s="22"/>
      <c r="I1421" s="22"/>
      <c r="J1421" s="79"/>
      <c r="K1421" s="20" t="str">
        <f>IFERROR(__xludf.DUMMYFUNCTION("iferror(filter('3.2.clean'!C:C,'3.2.clean'!A:A=C1421),"""")"),"")</f>
        <v/>
      </c>
      <c r="L1421" s="79"/>
      <c r="M1421" s="20" t="str">
        <f>IFERROR(__xludf.DUMMYFUNCTION("iferror(filter('3.3.clean'!C:C,'3.3.clean'!A:A=C1421),"""")"),"")</f>
        <v/>
      </c>
      <c r="N1421" s="79" t="b">
        <f t="shared" si="1138"/>
        <v>0</v>
      </c>
      <c r="O1421" s="20" t="str">
        <f>IFERROR(__xludf.DUMMYFUNCTION("iferror(filter('3.4.clean'!C:C,'3.4.clean'!A:A=C1421),"""")"),"")</f>
        <v/>
      </c>
      <c r="P1421" s="79" t="b">
        <f t="shared" si="1139"/>
        <v>0</v>
      </c>
      <c r="Q1421" s="20">
        <f>IFERROR(__xludf.DUMMYFUNCTION("iferror(filter('3.5.clean'!C:C,'3.5.clean'!A:A=C1421),"""")"),43846.0)</f>
        <v>43846</v>
      </c>
      <c r="R1421" s="22" t="b">
        <f t="shared" si="1154"/>
        <v>1</v>
      </c>
      <c r="S1421" s="4">
        <f>IFERROR(__xludf.DUMMYFUNCTION("iferror(filter('3.5.clean'!H:H,'3.5.clean'!A:A=C1421),"""")"),0.0)</f>
        <v>0</v>
      </c>
      <c r="V1421" s="1" t="s">
        <v>64</v>
      </c>
      <c r="W1421" s="23" t="b">
        <f>IF(and(R1421=TRUE,N1421=TRUE,P1421=TRUE),TRUE,FALSE)</f>
        <v>0</v>
      </c>
      <c r="X1421" s="23" t="str">
        <f>IFERROR(__xludf.DUMMYFUNCTION("if(COUNTA(FILTER(C:C, C:C = C1421))=1,""no"",""yes"")"),"no")</f>
        <v>no</v>
      </c>
    </row>
    <row r="1422">
      <c r="A1422" s="1" t="s">
        <v>1011</v>
      </c>
      <c r="B1422" s="19">
        <v>19.0</v>
      </c>
      <c r="C1422" s="19" t="s">
        <v>2120</v>
      </c>
      <c r="D1422" s="76" t="str">
        <f t="shared" si="1152"/>
        <v/>
      </c>
      <c r="E1422" s="77">
        <f>G1422</f>
        <v>43846</v>
      </c>
      <c r="F1422" s="78" t="str">
        <f>IFERROR(__xludf.DUMMYFUNCTION("iferror(ifna(IFNA(filter('2.1.clean'!E:E,'2.1.clean'!A:A=C1422),filter('2.2.clean'!G:G,'2.2.clean'!D:D=C1422)),filter('2.4.clean'!E:E,'2.4.clean'!A:A=C1422)),)"),"")</f>
        <v/>
      </c>
      <c r="G1422" s="77">
        <f>IFERROR(__xludf.DUMMYFUNCTION("iferror(filter('3.1.clean'!C:C,'3.1.clean'!A:A=C1422),"""")"),43846.0)</f>
        <v>43846</v>
      </c>
      <c r="H1422" s="76" t="b">
        <f>if(G1422="",FALSE,TRUE)</f>
        <v>1</v>
      </c>
      <c r="I1422" s="76">
        <f>IFERROR(__xludf.DUMMYFUNCTION("iferror(filter('3.1.clean'!G:G,'3.1.clean'!A:A=C1422),"""")"),0.0)</f>
        <v>0</v>
      </c>
      <c r="J1422" s="78" t="str">
        <f>IFERROR(__xludf.DUMMYFUNCTION("iferror(filter('3.1.clean'!I:I,'3.1.clean'!A:A=C1422),"""")"),"")</f>
        <v/>
      </c>
      <c r="K1422" s="77"/>
      <c r="L1422" s="78"/>
      <c r="M1422" s="77"/>
      <c r="N1422" s="78"/>
      <c r="O1422" s="77"/>
      <c r="P1422" s="78"/>
      <c r="Q1422" s="77"/>
      <c r="R1422" s="76"/>
      <c r="S1422" s="25"/>
      <c r="V1422" s="1" t="s">
        <v>64</v>
      </c>
      <c r="W1422" s="1" t="b">
        <v>1</v>
      </c>
      <c r="X1422" s="23" t="str">
        <f>IFERROR(__xludf.DUMMYFUNCTION("if(COUNTA(FILTER(C:C, C:C = C1422))=1,""no"",""yes"")"),"no")</f>
        <v>no</v>
      </c>
    </row>
    <row r="1423">
      <c r="A1423" s="1" t="s">
        <v>1011</v>
      </c>
      <c r="B1423" s="2">
        <v>20.0</v>
      </c>
      <c r="C1423" s="19" t="s">
        <v>2121</v>
      </c>
      <c r="E1423" s="24">
        <v>43846.0</v>
      </c>
      <c r="F1423" s="25" t="str">
        <f>IFERROR(__xludf.DUMMYFUNCTION("iferror(ifna(IFNA(filter('2.1.clean'!E:E,'2.1.clean'!A:A=C1423),filter('2.2.clean'!G:G,'2.2.clean'!D:D=C1423)),filter('2.4.clean'!E:E,'2.4.clean'!A:A=C1423)),)"),"")</f>
        <v/>
      </c>
      <c r="G1423" s="24" t="str">
        <f>IFERROR(__xludf.DUMMYFUNCTION("iferror(filter('3.1.clean'!C:C,'3.1.clean'!A:A=C1423),"""")"),"")</f>
        <v/>
      </c>
      <c r="J1423" s="25"/>
      <c r="K1423" s="24" t="str">
        <f>IFERROR(__xludf.DUMMYFUNCTION("iferror(filter('3.2.clean'!C:C,'3.2.clean'!A:A=C1423),"""")"),"")</f>
        <v/>
      </c>
      <c r="L1423" s="25"/>
      <c r="M1423" s="24">
        <f>IFERROR(__xludf.DUMMYFUNCTION("iferror(filter('3.3.clean'!C:C,'3.3.clean'!A:A=C1423),"""")"),43847.0)</f>
        <v>43847</v>
      </c>
      <c r="N1423" s="25" t="b">
        <f t="shared" ref="N1423:N1432" si="1155">if(M1423="",FALSE,TRUE)</f>
        <v>1</v>
      </c>
      <c r="O1423" s="24">
        <f>IFERROR(__xludf.DUMMYFUNCTION("iferror(filter('3.4.clean'!C:C,'3.4.clean'!A:A=C1423),"""")"),43850.0)</f>
        <v>43850</v>
      </c>
      <c r="P1423" s="25" t="b">
        <f t="shared" ref="P1423:P1432" si="1156">if(O1423="",FALSE,TRUE)</f>
        <v>1</v>
      </c>
      <c r="Q1423" s="24" t="str">
        <f>IFERROR(__xludf.DUMMYFUNCTION("iferror(filter('3.5.clean'!C:C,'3.5.clean'!A:A=C1423),"""")"),"")</f>
        <v/>
      </c>
      <c r="S1423" s="25"/>
      <c r="V1423" s="52" t="s">
        <v>64</v>
      </c>
      <c r="X1423" s="23" t="str">
        <f>IFERROR(__xludf.DUMMYFUNCTION("if(COUNTA(FILTER(C:C, C:C = C1423))=1,""no"",""yes"")"),"no")</f>
        <v>no</v>
      </c>
    </row>
    <row r="1424">
      <c r="A1424" s="75" t="s">
        <v>1015</v>
      </c>
      <c r="B1424" s="2">
        <v>1.0</v>
      </c>
      <c r="C1424" s="19" t="s">
        <v>2122</v>
      </c>
      <c r="E1424" s="24">
        <f>IFERROR(__xludf.DUMMYFUNCTION("ifna(IFNA(filter('2.1.clean'!C:C,'2.1.clean'!A:A=C1424),filter('2.2.clean'!E:E,'2.2.clean'!D:D=C1424)),filter('2.4.clean'!C:C,'2.4.clean'!A:A=C1424))"),43850.0)</f>
        <v>43850</v>
      </c>
      <c r="F1424" s="25">
        <f>IFERROR(__xludf.DUMMYFUNCTION("iferror(ifna(IFNA(filter('2.1.clean'!E:E,'2.1.clean'!A:A=C1424),filter('2.2.clean'!G:G,'2.2.clean'!D:D=C1424)),filter('2.4.clean'!E:E,'2.4.clean'!A:A=C1424)),)"),2.39999999999999)</f>
        <v>2.4</v>
      </c>
      <c r="G1424" s="24">
        <f>IFERROR(__xludf.DUMMYFUNCTION("iferror(filter('3.1.clean'!C:C,'3.1.clean'!A:A=C1424),"""")"),43850.0)</f>
        <v>43850</v>
      </c>
      <c r="H1424" s="23" t="b">
        <f t="shared" ref="H1424:H1425" si="1157">if(G1424="",FALSE,TRUE)</f>
        <v>1</v>
      </c>
      <c r="J1424" s="25"/>
      <c r="K1424" s="24">
        <f>IFERROR(__xludf.DUMMYFUNCTION("iferror(filter('3.2.clean'!C:C,'3.2.clean'!A:A=C1424),"""")"),43852.0)</f>
        <v>43852</v>
      </c>
      <c r="L1424" s="25" t="b">
        <f>if(K1424="",FALSE,TRUE)</f>
        <v>1</v>
      </c>
      <c r="M1424" s="24">
        <f>IFERROR(__xludf.DUMMYFUNCTION("iferror(filter('3.3.clean'!C:C,'3.3.clean'!A:A=C1424),"""")"),43852.0)</f>
        <v>43852</v>
      </c>
      <c r="N1424" s="25" t="b">
        <f t="shared" si="1155"/>
        <v>1</v>
      </c>
      <c r="O1424" s="24">
        <f>IFERROR(__xludf.DUMMYFUNCTION("iferror(filter('3.4.clean'!C:C,'3.4.clean'!A:A=C1424),"""")"),43854.0)</f>
        <v>43854</v>
      </c>
      <c r="P1424" s="25" t="b">
        <f t="shared" si="1156"/>
        <v>1</v>
      </c>
      <c r="Q1424" s="24">
        <f>IFERROR(__xludf.DUMMYFUNCTION("iferror(filter('3.5.clean'!C:C,'3.5.clean'!A:A=C1424),"""")"),43850.0)</f>
        <v>43850</v>
      </c>
      <c r="R1424" s="23" t="b">
        <f>if(Q1424="",FALSE,TRUE)</f>
        <v>1</v>
      </c>
      <c r="S1424" s="25"/>
      <c r="V1424" s="1" t="s">
        <v>64</v>
      </c>
      <c r="X1424" s="23" t="str">
        <f>IFERROR(__xludf.DUMMYFUNCTION("if(COUNTA(FILTER(C:C, C:C = C1424))=1,""no"",""yes"")"),"no")</f>
        <v>no</v>
      </c>
    </row>
    <row r="1425">
      <c r="A1425" s="75" t="s">
        <v>1015</v>
      </c>
      <c r="B1425" s="2">
        <v>2.0</v>
      </c>
      <c r="C1425" s="19" t="s">
        <v>2123</v>
      </c>
      <c r="D1425" s="58" t="str">
        <f t="shared" ref="D1425:D1426" si="1158">if(or(I1425=1,J1425=1,S1425=1),"pos","")</f>
        <v/>
      </c>
      <c r="E1425" s="59">
        <f>IFERROR(__xludf.DUMMYFUNCTION("ifna(IFNA(filter('2.1.clean'!C:C,'2.1.clean'!A:A=C1425),filter('2.2.clean'!E:E,'2.2.clean'!D:D=C1425)),filter('2.4.clean'!C:C,'2.4.clean'!A:A=C1425))"),43850.0)</f>
        <v>43850</v>
      </c>
      <c r="F1425" s="60">
        <f>IFERROR(__xludf.DUMMYFUNCTION("iferror(ifna(IFNA(filter('2.1.clean'!E:E,'2.1.clean'!A:A=C1425),filter('2.2.clean'!G:G,'2.2.clean'!D:D=C1425)),filter('2.4.clean'!E:E,'2.4.clean'!A:A=C1425)),)"),2.39999999999999)</f>
        <v>2.4</v>
      </c>
      <c r="G1425" s="59">
        <f>IFERROR(__xludf.DUMMYFUNCTION("iferror(filter('3.1.clean'!C:C,'3.1.clean'!A:A=C1425),"""")"),43850.0)</f>
        <v>43850</v>
      </c>
      <c r="H1425" s="58" t="b">
        <f t="shared" si="1157"/>
        <v>1</v>
      </c>
      <c r="I1425" s="58">
        <f>IFERROR(__xludf.DUMMYFUNCTION("iferror(filter('3.1.clean'!G:G,'3.1.clean'!A:A=C1425),"""")"),0.0)</f>
        <v>0</v>
      </c>
      <c r="J1425" s="60" t="str">
        <f>IFERROR(__xludf.DUMMYFUNCTION("iferror(filter('3.1.clean'!I:I,'3.1.clean'!A:A=C1425),"""")"),"")</f>
        <v/>
      </c>
      <c r="K1425" s="58"/>
      <c r="L1425" s="60"/>
      <c r="M1425" s="59" t="str">
        <f>IFERROR(__xludf.DUMMYFUNCTION("iferror(filter('3.3.clean'!C:C,'3.3.clean'!A:A=C1425),"""")"),"")</f>
        <v/>
      </c>
      <c r="N1425" s="60" t="b">
        <f t="shared" si="1155"/>
        <v>0</v>
      </c>
      <c r="O1425" s="59" t="str">
        <f>IFERROR(__xludf.DUMMYFUNCTION("iferror(filter('3.4.clean'!C:C,'3.4.clean'!A:A=C1425),"""")"),"")</f>
        <v/>
      </c>
      <c r="P1425" s="60" t="b">
        <f t="shared" si="1156"/>
        <v>0</v>
      </c>
      <c r="Q1425" s="59" t="str">
        <f>IFERROR(__xludf.DUMMYFUNCTION("iferror(filter('3.5.clean'!C:C,'3.5.clean'!A:A=C1425),"""")"),"")</f>
        <v/>
      </c>
      <c r="R1425" s="58"/>
      <c r="S1425" s="4" t="str">
        <f>IFERROR(__xludf.DUMMYFUNCTION("iferror(filter('3.5.clean'!H:H,'3.5.clean'!A:A=C1425),"""")"),"")</f>
        <v/>
      </c>
      <c r="W1425" s="23" t="b">
        <f>if(AND(H1425=TRUE,N1425=TRUE,P1425=TRUE),TRUE,FALSE)</f>
        <v>0</v>
      </c>
      <c r="X1425" s="23" t="str">
        <f>IFERROR(__xludf.DUMMYFUNCTION("if(COUNTA(FILTER(C:C, C:C = C1425))=1,""no"",""yes"")"),"no")</f>
        <v>no</v>
      </c>
    </row>
    <row r="1426">
      <c r="A1426" s="75" t="s">
        <v>1015</v>
      </c>
      <c r="B1426" s="2">
        <v>3.0</v>
      </c>
      <c r="C1426" s="19" t="s">
        <v>2124</v>
      </c>
      <c r="D1426" s="58" t="str">
        <f t="shared" si="1158"/>
        <v/>
      </c>
      <c r="E1426" s="59">
        <f>Q1426</f>
        <v>43850</v>
      </c>
      <c r="F1426" s="60" t="str">
        <f>IFERROR(__xludf.DUMMYFUNCTION("iferror(ifna(IFNA(filter('2.1.clean'!E:E,'2.1.clean'!A:A=C1426),filter('2.2.clean'!G:G,'2.2.clean'!D:D=C1426)),filter('2.4.clean'!E:E,'2.4.clean'!A:A=C1426)),)"),"")</f>
        <v/>
      </c>
      <c r="G1426" s="59" t="str">
        <f>IFERROR(__xludf.DUMMYFUNCTION("iferror(filter('3.1.clean'!C:C,'3.1.clean'!A:A=C1426),"""")"),"")</f>
        <v/>
      </c>
      <c r="H1426" s="58"/>
      <c r="I1426" s="58" t="str">
        <f>IFERROR(__xludf.DUMMYFUNCTION("iferror(filter('3.1.clean'!G:G,'3.1.clean'!A:A=C1426),"""")"),"")</f>
        <v/>
      </c>
      <c r="J1426" s="60" t="str">
        <f>IFERROR(__xludf.DUMMYFUNCTION("iferror(filter('3.1.clean'!I:I,'3.1.clean'!A:A=C1426),"""")"),"")</f>
        <v/>
      </c>
      <c r="K1426" s="59"/>
      <c r="L1426" s="60"/>
      <c r="M1426" s="59" t="str">
        <f>IFERROR(__xludf.DUMMYFUNCTION("iferror(filter('3.3.clean'!C:C,'3.3.clean'!A:A=C1426),"""")"),"")</f>
        <v/>
      </c>
      <c r="N1426" s="60" t="b">
        <f t="shared" si="1155"/>
        <v>0</v>
      </c>
      <c r="O1426" s="59" t="str">
        <f>IFERROR(__xludf.DUMMYFUNCTION("iferror(filter('3.4.clean'!C:C,'3.4.clean'!A:A=C1426),"""")"),"")</f>
        <v/>
      </c>
      <c r="P1426" s="60" t="b">
        <f t="shared" si="1156"/>
        <v>0</v>
      </c>
      <c r="Q1426" s="59">
        <f>IFERROR(__xludf.DUMMYFUNCTION("iferror(filter('3.5.clean'!C:C,'3.5.clean'!A:A=C1426),"""")"),43850.0)</f>
        <v>43850</v>
      </c>
      <c r="R1426" s="58" t="b">
        <f t="shared" ref="R1426:R1427" si="1159">if(Q1426="",FALSE,TRUE)</f>
        <v>1</v>
      </c>
      <c r="S1426" s="4">
        <f>IFERROR(__xludf.DUMMYFUNCTION("iferror(filter('3.5.clean'!H:H,'3.5.clean'!A:A=C1426),"""")"),0.0)</f>
        <v>0</v>
      </c>
      <c r="V1426" s="52" t="s">
        <v>64</v>
      </c>
      <c r="W1426" s="23" t="b">
        <f>if(AND(R1426=TRUE,N1426=TRUE,P1426=TRUE),TRUE,FALSE)</f>
        <v>0</v>
      </c>
      <c r="X1426" s="23" t="str">
        <f>IFERROR(__xludf.DUMMYFUNCTION("if(COUNTA(FILTER(C:C, C:C = C1426))=1,""no"",""yes"")"),"no")</f>
        <v>no</v>
      </c>
    </row>
    <row r="1427">
      <c r="A1427" s="75" t="s">
        <v>1015</v>
      </c>
      <c r="B1427" s="2">
        <v>4.0</v>
      </c>
      <c r="C1427" s="19" t="s">
        <v>2125</v>
      </c>
      <c r="E1427" s="24">
        <f>IFERROR(__xludf.DUMMYFUNCTION("ifna(IFNA(filter('2.1.clean'!C:C,'2.1.clean'!A:A=C1427),filter('2.2.clean'!E:E,'2.2.clean'!D:D=C1427)),filter('2.4.clean'!C:C,'2.4.clean'!A:A=C1427))"),43850.0)</f>
        <v>43850</v>
      </c>
      <c r="F1427" s="25">
        <f>IFERROR(__xludf.DUMMYFUNCTION("iferror(ifna(IFNA(filter('2.1.clean'!E:E,'2.1.clean'!A:A=C1427),filter('2.2.clean'!G:G,'2.2.clean'!D:D=C1427)),filter('2.4.clean'!E:E,'2.4.clean'!A:A=C1427)),)"),2.39999999999999)</f>
        <v>2.4</v>
      </c>
      <c r="G1427" s="24">
        <f>IFERROR(__xludf.DUMMYFUNCTION("iferror(filter('3.1.clean'!C:C,'3.1.clean'!A:A=C1427),"""")"),43850.0)</f>
        <v>43850</v>
      </c>
      <c r="H1427" s="23" t="b">
        <f t="shared" ref="H1427:H1428" si="1160">if(G1427="",FALSE,TRUE)</f>
        <v>1</v>
      </c>
      <c r="J1427" s="25"/>
      <c r="K1427" s="24">
        <f>IFERROR(__xludf.DUMMYFUNCTION("iferror(filter('3.2.clean'!C:C,'3.2.clean'!A:A=C1427),"""")"),43852.0)</f>
        <v>43852</v>
      </c>
      <c r="L1427" s="25" t="b">
        <f>if(K1427="",FALSE,TRUE)</f>
        <v>1</v>
      </c>
      <c r="M1427" s="24">
        <f>IFERROR(__xludf.DUMMYFUNCTION("iferror(filter('3.3.clean'!C:C,'3.3.clean'!A:A=C1427),"""")"),43852.0)</f>
        <v>43852</v>
      </c>
      <c r="N1427" s="25" t="b">
        <f t="shared" si="1155"/>
        <v>1</v>
      </c>
      <c r="O1427" s="24">
        <f>IFERROR(__xludf.DUMMYFUNCTION("iferror(filter('3.4.clean'!C:C,'3.4.clean'!A:A=C1427),"""")"),43854.0)</f>
        <v>43854</v>
      </c>
      <c r="P1427" s="25" t="b">
        <f t="shared" si="1156"/>
        <v>1</v>
      </c>
      <c r="Q1427" s="24">
        <f>IFERROR(__xludf.DUMMYFUNCTION("iferror(filter('3.5.clean'!C:C,'3.5.clean'!A:A=C1427),"""")"),43850.0)</f>
        <v>43850</v>
      </c>
      <c r="R1427" s="23" t="b">
        <f t="shared" si="1159"/>
        <v>1</v>
      </c>
      <c r="S1427" s="25"/>
      <c r="V1427" s="1" t="s">
        <v>64</v>
      </c>
      <c r="X1427" s="23" t="str">
        <f>IFERROR(__xludf.DUMMYFUNCTION("if(COUNTA(FILTER(C:C, C:C = C1427))=1,""no"",""yes"")"),"no")</f>
        <v>no</v>
      </c>
    </row>
    <row r="1428">
      <c r="A1428" s="75" t="s">
        <v>1015</v>
      </c>
      <c r="B1428" s="2">
        <v>5.0</v>
      </c>
      <c r="C1428" s="19" t="s">
        <v>2126</v>
      </c>
      <c r="D1428" s="58" t="str">
        <f t="shared" ref="D1428:D1429" si="1161">if(or(I1428=1,J1428=1,S1428=1),"pos","")</f>
        <v/>
      </c>
      <c r="E1428" s="59">
        <f>IFERROR(__xludf.DUMMYFUNCTION("ifna(IFNA(filter('2.1.clean'!C:C,'2.1.clean'!A:A=C1428),filter('2.2.clean'!E:E,'2.2.clean'!D:D=C1428)),filter('2.4.clean'!C:C,'2.4.clean'!A:A=C1428))"),43850.0)</f>
        <v>43850</v>
      </c>
      <c r="F1428" s="60">
        <f>IFERROR(__xludf.DUMMYFUNCTION("iferror(ifna(IFNA(filter('2.1.clean'!E:E,'2.1.clean'!A:A=C1428),filter('2.2.clean'!G:G,'2.2.clean'!D:D=C1428)),filter('2.4.clean'!E:E,'2.4.clean'!A:A=C1428)),)"),2.39999999999999)</f>
        <v>2.4</v>
      </c>
      <c r="G1428" s="59">
        <f>IFERROR(__xludf.DUMMYFUNCTION("iferror(filter('3.1.clean'!C:C,'3.1.clean'!A:A=C1428),"""")"),43850.0)</f>
        <v>43850</v>
      </c>
      <c r="H1428" s="58" t="b">
        <f t="shared" si="1160"/>
        <v>1</v>
      </c>
      <c r="I1428" s="58">
        <f>IFERROR(__xludf.DUMMYFUNCTION("iferror(filter('3.1.clean'!G:G,'3.1.clean'!A:A=C1428),"""")"),0.0)</f>
        <v>0</v>
      </c>
      <c r="J1428" s="60" t="str">
        <f>IFERROR(__xludf.DUMMYFUNCTION("iferror(filter('3.1.clean'!I:I,'3.1.clean'!A:A=C1428),"""")"),"")</f>
        <v/>
      </c>
      <c r="K1428" s="58"/>
      <c r="L1428" s="60"/>
      <c r="M1428" s="59">
        <f>IFERROR(__xludf.DUMMYFUNCTION("iferror(filter('3.3.clean'!C:C,'3.3.clean'!A:A=C1428),"""")"),43852.0)</f>
        <v>43852</v>
      </c>
      <c r="N1428" s="60" t="b">
        <f t="shared" si="1155"/>
        <v>1</v>
      </c>
      <c r="O1428" s="59" t="str">
        <f>IFERROR(__xludf.DUMMYFUNCTION("iferror(filter('3.4.clean'!C:C,'3.4.clean'!A:A=C1428),"""")"),"")</f>
        <v/>
      </c>
      <c r="P1428" s="60" t="b">
        <f t="shared" si="1156"/>
        <v>0</v>
      </c>
      <c r="Q1428" s="59" t="str">
        <f>IFERROR(__xludf.DUMMYFUNCTION("iferror(filter('3.5.clean'!C:C,'3.5.clean'!A:A=C1428),"""")"),"")</f>
        <v/>
      </c>
      <c r="R1428" s="58"/>
      <c r="S1428" s="4" t="str">
        <f>IFERROR(__xludf.DUMMYFUNCTION("iferror(filter('3.5.clean'!H:H,'3.5.clean'!A:A=C1428),"""")"),"")</f>
        <v/>
      </c>
      <c r="W1428" s="23" t="b">
        <f>if(AND(H1428=TRUE,N1428=TRUE,P1428=TRUE),TRUE,FALSE)</f>
        <v>0</v>
      </c>
      <c r="X1428" s="23" t="str">
        <f>IFERROR(__xludf.DUMMYFUNCTION("if(COUNTA(FILTER(C:C, C:C = C1428))=1,""no"",""yes"")"),"no")</f>
        <v>no</v>
      </c>
    </row>
    <row r="1429">
      <c r="A1429" s="75" t="s">
        <v>1015</v>
      </c>
      <c r="B1429" s="2">
        <v>6.0</v>
      </c>
      <c r="C1429" s="19" t="s">
        <v>2127</v>
      </c>
      <c r="D1429" s="58" t="str">
        <f t="shared" si="1161"/>
        <v/>
      </c>
      <c r="E1429" s="59">
        <f>Q1429</f>
        <v>43850</v>
      </c>
      <c r="F1429" s="60" t="str">
        <f>IFERROR(__xludf.DUMMYFUNCTION("iferror(ifna(IFNA(filter('2.1.clean'!E:E,'2.1.clean'!A:A=C1429),filter('2.2.clean'!G:G,'2.2.clean'!D:D=C1429)),filter('2.4.clean'!E:E,'2.4.clean'!A:A=C1429)),)"),"")</f>
        <v/>
      </c>
      <c r="G1429" s="59" t="str">
        <f>IFERROR(__xludf.DUMMYFUNCTION("iferror(filter('3.1.clean'!C:C,'3.1.clean'!A:A=C1429),"""")"),"")</f>
        <v/>
      </c>
      <c r="H1429" s="58"/>
      <c r="I1429" s="58" t="str">
        <f>IFERROR(__xludf.DUMMYFUNCTION("iferror(filter('3.1.clean'!G:G,'3.1.clean'!A:A=C1429),"""")"),"")</f>
        <v/>
      </c>
      <c r="J1429" s="60" t="str">
        <f>IFERROR(__xludf.DUMMYFUNCTION("iferror(filter('3.1.clean'!I:I,'3.1.clean'!A:A=C1429),"""")"),"")</f>
        <v/>
      </c>
      <c r="K1429" s="59"/>
      <c r="L1429" s="60"/>
      <c r="M1429" s="59" t="str">
        <f>IFERROR(__xludf.DUMMYFUNCTION("iferror(filter('3.3.clean'!C:C,'3.3.clean'!A:A=C1429),"""")"),"")</f>
        <v/>
      </c>
      <c r="N1429" s="60" t="b">
        <f t="shared" si="1155"/>
        <v>0</v>
      </c>
      <c r="O1429" s="59" t="str">
        <f>IFERROR(__xludf.DUMMYFUNCTION("iferror(filter('3.4.clean'!C:C,'3.4.clean'!A:A=C1429),"""")"),"")</f>
        <v/>
      </c>
      <c r="P1429" s="60" t="b">
        <f t="shared" si="1156"/>
        <v>0</v>
      </c>
      <c r="Q1429" s="59">
        <f>IFERROR(__xludf.DUMMYFUNCTION("iferror(filter('3.5.clean'!C:C,'3.5.clean'!A:A=C1429),"""")"),43850.0)</f>
        <v>43850</v>
      </c>
      <c r="R1429" s="58" t="b">
        <f t="shared" ref="R1429:R1430" si="1162">if(Q1429="",FALSE,TRUE)</f>
        <v>1</v>
      </c>
      <c r="S1429" s="4">
        <f>IFERROR(__xludf.DUMMYFUNCTION("iferror(filter('3.5.clean'!H:H,'3.5.clean'!A:A=C1429),"""")"),0.0)</f>
        <v>0</v>
      </c>
      <c r="V1429" s="52" t="s">
        <v>64</v>
      </c>
      <c r="W1429" s="23" t="b">
        <f>if(AND(R1429=TRUE,N1429=TRUE,P1429=TRUE),TRUE,FALSE)</f>
        <v>0</v>
      </c>
      <c r="X1429" s="23" t="str">
        <f>IFERROR(__xludf.DUMMYFUNCTION("if(COUNTA(FILTER(C:C, C:C = C1429))=1,""no"",""yes"")"),"no")</f>
        <v>no</v>
      </c>
    </row>
    <row r="1430">
      <c r="A1430" s="75" t="s">
        <v>1015</v>
      </c>
      <c r="B1430" s="2">
        <v>7.0</v>
      </c>
      <c r="C1430" s="19" t="s">
        <v>2128</v>
      </c>
      <c r="E1430" s="24">
        <f>IFERROR(__xludf.DUMMYFUNCTION("ifna(IFNA(filter('2.1.clean'!C:C,'2.1.clean'!A:A=C1430),filter('2.2.clean'!E:E,'2.2.clean'!D:D=C1430)),filter('2.4.clean'!C:C,'2.4.clean'!A:A=C1430))"),43850.0)</f>
        <v>43850</v>
      </c>
      <c r="F1430" s="25">
        <f>IFERROR(__xludf.DUMMYFUNCTION("iferror(ifna(IFNA(filter('2.1.clean'!E:E,'2.1.clean'!A:A=C1430),filter('2.2.clean'!G:G,'2.2.clean'!D:D=C1430)),filter('2.4.clean'!E:E,'2.4.clean'!A:A=C1430)),)"),2.39999999999999)</f>
        <v>2.4</v>
      </c>
      <c r="G1430" s="24">
        <f>IFERROR(__xludf.DUMMYFUNCTION("iferror(filter('3.1.clean'!C:C,'3.1.clean'!A:A=C1430),"""")"),43850.0)</f>
        <v>43850</v>
      </c>
      <c r="H1430" s="23" t="b">
        <f t="shared" ref="H1430:H1431" si="1163">if(G1430="",FALSE,TRUE)</f>
        <v>1</v>
      </c>
      <c r="J1430" s="25"/>
      <c r="K1430" s="24">
        <f>IFERROR(__xludf.DUMMYFUNCTION("iferror(filter('3.2.clean'!C:C,'3.2.clean'!A:A=C1430),"""")"),43852.0)</f>
        <v>43852</v>
      </c>
      <c r="L1430" s="25" t="b">
        <f>if(K1430="",FALSE,TRUE)</f>
        <v>1</v>
      </c>
      <c r="M1430" s="24">
        <f>IFERROR(__xludf.DUMMYFUNCTION("iferror(filter('3.3.clean'!C:C,'3.3.clean'!A:A=C1430),"""")"),43852.0)</f>
        <v>43852</v>
      </c>
      <c r="N1430" s="25" t="b">
        <f t="shared" si="1155"/>
        <v>1</v>
      </c>
      <c r="O1430" s="24">
        <f>IFERROR(__xludf.DUMMYFUNCTION("iferror(filter('3.4.clean'!C:C,'3.4.clean'!A:A=C1430),"""")"),43854.0)</f>
        <v>43854</v>
      </c>
      <c r="P1430" s="25" t="b">
        <f t="shared" si="1156"/>
        <v>1</v>
      </c>
      <c r="Q1430" s="24">
        <f>IFERROR(__xludf.DUMMYFUNCTION("iferror(filter('3.5.clean'!C:C,'3.5.clean'!A:A=C1430),"""")"),43850.0)</f>
        <v>43850</v>
      </c>
      <c r="R1430" s="23" t="b">
        <f t="shared" si="1162"/>
        <v>1</v>
      </c>
      <c r="S1430" s="25"/>
      <c r="V1430" s="1" t="s">
        <v>64</v>
      </c>
      <c r="X1430" s="23" t="str">
        <f>IFERROR(__xludf.DUMMYFUNCTION("if(COUNTA(FILTER(C:C, C:C = C1430))=1,""no"",""yes"")"),"no")</f>
        <v>no</v>
      </c>
    </row>
    <row r="1431">
      <c r="A1431" s="75" t="s">
        <v>1015</v>
      </c>
      <c r="B1431" s="2">
        <v>8.0</v>
      </c>
      <c r="C1431" s="19" t="s">
        <v>2130</v>
      </c>
      <c r="D1431" s="58" t="str">
        <f t="shared" ref="D1431:D1434" si="1164">if(or(I1431=1,J1431=1,S1431=1),"pos","")</f>
        <v/>
      </c>
      <c r="E1431" s="59">
        <f>IFERROR(__xludf.DUMMYFUNCTION("ifna(IFNA(filter('2.1.clean'!C:C,'2.1.clean'!A:A=C1431),filter('2.2.clean'!E:E,'2.2.clean'!D:D=C1431)),filter('2.4.clean'!C:C,'2.4.clean'!A:A=C1431))"),43850.0)</f>
        <v>43850</v>
      </c>
      <c r="F1431" s="60">
        <f>IFERROR(__xludf.DUMMYFUNCTION("iferror(ifna(IFNA(filter('2.1.clean'!E:E,'2.1.clean'!A:A=C1431),filter('2.2.clean'!G:G,'2.2.clean'!D:D=C1431)),filter('2.4.clean'!E:E,'2.4.clean'!A:A=C1431)),)"),2.39999999999999)</f>
        <v>2.4</v>
      </c>
      <c r="G1431" s="59">
        <f>IFERROR(__xludf.DUMMYFUNCTION("iferror(filter('3.1.clean'!C:C,'3.1.clean'!A:A=C1431),"""")"),43850.0)</f>
        <v>43850</v>
      </c>
      <c r="H1431" s="58" t="b">
        <f t="shared" si="1163"/>
        <v>1</v>
      </c>
      <c r="I1431" s="58">
        <f>IFERROR(__xludf.DUMMYFUNCTION("iferror(filter('3.1.clean'!G:G,'3.1.clean'!A:A=C1431),"""")"),0.0)</f>
        <v>0</v>
      </c>
      <c r="J1431" s="60" t="str">
        <f>IFERROR(__xludf.DUMMYFUNCTION("iferror(filter('3.1.clean'!I:I,'3.1.clean'!A:A=C1431),"""")"),"")</f>
        <v/>
      </c>
      <c r="K1431" s="58"/>
      <c r="L1431" s="60"/>
      <c r="M1431" s="59" t="str">
        <f>IFERROR(__xludf.DUMMYFUNCTION("iferror(filter('3.3.clean'!C:C,'3.3.clean'!A:A=C1431),"""")"),"")</f>
        <v/>
      </c>
      <c r="N1431" s="60" t="b">
        <f t="shared" si="1155"/>
        <v>0</v>
      </c>
      <c r="O1431" s="59" t="str">
        <f>IFERROR(__xludf.DUMMYFUNCTION("iferror(filter('3.4.clean'!C:C,'3.4.clean'!A:A=C1431),"""")"),"")</f>
        <v/>
      </c>
      <c r="P1431" s="60" t="b">
        <f t="shared" si="1156"/>
        <v>0</v>
      </c>
      <c r="Q1431" s="59" t="str">
        <f>IFERROR(__xludf.DUMMYFUNCTION("iferror(filter('3.5.clean'!C:C,'3.5.clean'!A:A=C1431),"""")"),"")</f>
        <v/>
      </c>
      <c r="R1431" s="58"/>
      <c r="S1431" s="4" t="str">
        <f>IFERROR(__xludf.DUMMYFUNCTION("iferror(filter('3.5.clean'!H:H,'3.5.clean'!A:A=C1431),"""")"),"")</f>
        <v/>
      </c>
      <c r="W1431" s="23" t="b">
        <f>if(AND(H1431=TRUE,N1431=TRUE,P1431=TRUE),TRUE,FALSE)</f>
        <v>0</v>
      </c>
      <c r="X1431" s="23" t="str">
        <f>IFERROR(__xludf.DUMMYFUNCTION("if(COUNTA(FILTER(C:C, C:C = C1431))=1,""no"",""yes"")"),"no")</f>
        <v>no</v>
      </c>
    </row>
    <row r="1432">
      <c r="A1432" s="75" t="s">
        <v>1015</v>
      </c>
      <c r="B1432" s="2">
        <v>9.0</v>
      </c>
      <c r="C1432" s="19" t="s">
        <v>2131</v>
      </c>
      <c r="D1432" s="58" t="str">
        <f t="shared" si="1164"/>
        <v/>
      </c>
      <c r="E1432" s="59">
        <f>Q1432</f>
        <v>43850</v>
      </c>
      <c r="F1432" s="60" t="str">
        <f>IFERROR(__xludf.DUMMYFUNCTION("iferror(ifna(IFNA(filter('2.1.clean'!E:E,'2.1.clean'!A:A=C1432),filter('2.2.clean'!G:G,'2.2.clean'!D:D=C1432)),filter('2.4.clean'!E:E,'2.4.clean'!A:A=C1432)),)"),"")</f>
        <v/>
      </c>
      <c r="G1432" s="59" t="str">
        <f>IFERROR(__xludf.DUMMYFUNCTION("iferror(filter('3.1.clean'!C:C,'3.1.clean'!A:A=C1432),"""")"),"")</f>
        <v/>
      </c>
      <c r="H1432" s="58"/>
      <c r="I1432" s="58" t="str">
        <f>IFERROR(__xludf.DUMMYFUNCTION("iferror(filter('3.1.clean'!G:G,'3.1.clean'!A:A=C1432),"""")"),"")</f>
        <v/>
      </c>
      <c r="J1432" s="60" t="str">
        <f>IFERROR(__xludf.DUMMYFUNCTION("iferror(filter('3.1.clean'!I:I,'3.1.clean'!A:A=C1432),"""")"),"")</f>
        <v/>
      </c>
      <c r="K1432" s="59"/>
      <c r="L1432" s="60"/>
      <c r="M1432" s="59" t="str">
        <f>IFERROR(__xludf.DUMMYFUNCTION("iferror(filter('3.3.clean'!C:C,'3.3.clean'!A:A=C1432),"""")"),"")</f>
        <v/>
      </c>
      <c r="N1432" s="60" t="b">
        <f t="shared" si="1155"/>
        <v>0</v>
      </c>
      <c r="O1432" s="59" t="str">
        <f>IFERROR(__xludf.DUMMYFUNCTION("iferror(filter('3.4.clean'!C:C,'3.4.clean'!A:A=C1432),"""")"),"")</f>
        <v/>
      </c>
      <c r="P1432" s="60" t="b">
        <f t="shared" si="1156"/>
        <v>0</v>
      </c>
      <c r="Q1432" s="59">
        <f>IFERROR(__xludf.DUMMYFUNCTION("iferror(filter('3.5.clean'!C:C,'3.5.clean'!A:A=C1432),"""")"),43850.0)</f>
        <v>43850</v>
      </c>
      <c r="R1432" s="58" t="b">
        <f>if(Q1432="",FALSE,TRUE)</f>
        <v>1</v>
      </c>
      <c r="S1432" s="4">
        <f>IFERROR(__xludf.DUMMYFUNCTION("iferror(filter('3.5.clean'!H:H,'3.5.clean'!A:A=C1432),"""")"),0.0)</f>
        <v>0</v>
      </c>
      <c r="V1432" s="52" t="s">
        <v>64</v>
      </c>
      <c r="W1432" s="23" t="b">
        <f>if(AND(R1432=TRUE,N1432=TRUE,P1432=TRUE),TRUE,FALSE)</f>
        <v>0</v>
      </c>
      <c r="X1432" s="23" t="str">
        <f>IFERROR(__xludf.DUMMYFUNCTION("if(COUNTA(FILTER(C:C, C:C = C1432))=1,""no"",""yes"")"),"no")</f>
        <v>no</v>
      </c>
    </row>
    <row r="1433">
      <c r="A1433" s="75" t="s">
        <v>1015</v>
      </c>
      <c r="B1433" s="19">
        <v>10.0</v>
      </c>
      <c r="C1433" s="19" t="s">
        <v>2132</v>
      </c>
      <c r="D1433" s="76" t="str">
        <f t="shared" si="1164"/>
        <v/>
      </c>
      <c r="E1433" s="77">
        <f>G1433</f>
        <v>43850</v>
      </c>
      <c r="F1433" s="78" t="str">
        <f>IFERROR(__xludf.DUMMYFUNCTION("iferror(ifna(IFNA(filter('2.1.clean'!E:E,'2.1.clean'!A:A=C1433),filter('2.2.clean'!G:G,'2.2.clean'!D:D=C1433)),filter('2.4.clean'!E:E,'2.4.clean'!A:A=C1433)),)"),"")</f>
        <v/>
      </c>
      <c r="G1433" s="77">
        <f>IFERROR(__xludf.DUMMYFUNCTION("iferror(filter('3.1.clean'!C:C,'3.1.clean'!A:A=C1433),"""")"),43850.0)</f>
        <v>43850</v>
      </c>
      <c r="H1433" s="76" t="b">
        <f>if(G1433="",FALSE,TRUE)</f>
        <v>1</v>
      </c>
      <c r="I1433" s="76">
        <f>IFERROR(__xludf.DUMMYFUNCTION("iferror(filter('3.1.clean'!G:G,'3.1.clean'!A:A=C1433),"""")"),0.0)</f>
        <v>0</v>
      </c>
      <c r="J1433" s="78" t="str">
        <f>IFERROR(__xludf.DUMMYFUNCTION("iferror(filter('3.1.clean'!I:I,'3.1.clean'!A:A=C1433),"""")"),"")</f>
        <v/>
      </c>
      <c r="K1433" s="77"/>
      <c r="L1433" s="78"/>
      <c r="M1433" s="77"/>
      <c r="N1433" s="78"/>
      <c r="O1433" s="77"/>
      <c r="P1433" s="78"/>
      <c r="Q1433" s="77"/>
      <c r="R1433" s="76"/>
      <c r="S1433" s="25"/>
      <c r="V1433" s="1" t="s">
        <v>64</v>
      </c>
      <c r="W1433" s="1" t="b">
        <v>1</v>
      </c>
      <c r="X1433" s="23" t="str">
        <f>IFERROR(__xludf.DUMMYFUNCTION("if(COUNTA(FILTER(C:C, C:C = C1433))=1,""no"",""yes"")"),"no")</f>
        <v>no</v>
      </c>
    </row>
    <row r="1434">
      <c r="A1434" s="75" t="s">
        <v>1015</v>
      </c>
      <c r="B1434" s="19">
        <v>11.0</v>
      </c>
      <c r="C1434" s="19" t="s">
        <v>2133</v>
      </c>
      <c r="D1434" s="22" t="str">
        <f t="shared" si="1164"/>
        <v/>
      </c>
      <c r="E1434" s="20">
        <f>Q1434</f>
        <v>43850</v>
      </c>
      <c r="F1434" s="79" t="str">
        <f>IFERROR(__xludf.DUMMYFUNCTION("iferror(ifna(IFNA(filter('2.1.clean'!E:E,'2.1.clean'!A:A=C1434),filter('2.2.clean'!G:G,'2.2.clean'!D:D=C1434)),filter('2.4.clean'!E:E,'2.4.clean'!A:A=C1434)),)"),"")</f>
        <v/>
      </c>
      <c r="G1434" s="20" t="str">
        <f>IFERROR(__xludf.DUMMYFUNCTION("iferror(filter('3.1.clean'!C:C,'3.1.clean'!A:A=C1434),"""")"),"")</f>
        <v/>
      </c>
      <c r="H1434" s="22"/>
      <c r="I1434" s="22"/>
      <c r="J1434" s="79"/>
      <c r="K1434" s="20" t="str">
        <f>IFERROR(__xludf.DUMMYFUNCTION("iferror(filter('3.2.clean'!C:C,'3.2.clean'!A:A=C1434),"""")"),"")</f>
        <v/>
      </c>
      <c r="L1434" s="79"/>
      <c r="M1434" s="20" t="str">
        <f>IFERROR(__xludf.DUMMYFUNCTION("iferror(filter('3.3.clean'!C:C,'3.3.clean'!A:A=C1434),"""")"),"")</f>
        <v/>
      </c>
      <c r="N1434" s="79" t="b">
        <f t="shared" ref="N1434:N1445" si="1165">if(M1434="",FALSE,TRUE)</f>
        <v>0</v>
      </c>
      <c r="O1434" s="20" t="str">
        <f>IFERROR(__xludf.DUMMYFUNCTION("iferror(filter('3.4.clean'!C:C,'3.4.clean'!A:A=C1434),"""")"),"")</f>
        <v/>
      </c>
      <c r="P1434" s="79" t="b">
        <f t="shared" ref="P1434:P1445" si="1166">if(O1434="",FALSE,TRUE)</f>
        <v>0</v>
      </c>
      <c r="Q1434" s="20">
        <f>IFERROR(__xludf.DUMMYFUNCTION("iferror(filter('3.5.clean'!C:C,'3.5.clean'!A:A=C1434),"""")"),43850.0)</f>
        <v>43850</v>
      </c>
      <c r="R1434" s="22" t="b">
        <f t="shared" ref="R1434:R1435" si="1167">if(Q1434="",FALSE,TRUE)</f>
        <v>1</v>
      </c>
      <c r="S1434" s="4">
        <f>IFERROR(__xludf.DUMMYFUNCTION("iferror(filter('3.5.clean'!H:H,'3.5.clean'!A:A=C1434),"""")"),0.0)</f>
        <v>0</v>
      </c>
      <c r="V1434" s="1" t="s">
        <v>64</v>
      </c>
      <c r="W1434" s="23" t="b">
        <f t="shared" ref="W1434:W1435" si="1168">IF(and(R1434=TRUE,N1434=TRUE,P1434=TRUE),TRUE,FALSE)</f>
        <v>0</v>
      </c>
      <c r="X1434" s="23" t="str">
        <f>IFERROR(__xludf.DUMMYFUNCTION("if(COUNTA(FILTER(C:C, C:C = C1434))=1,""no"",""yes"")"),"no")</f>
        <v>no</v>
      </c>
    </row>
    <row r="1435">
      <c r="A1435" s="1" t="s">
        <v>1019</v>
      </c>
      <c r="B1435" s="2">
        <v>1.0</v>
      </c>
      <c r="C1435" s="19" t="s">
        <v>2134</v>
      </c>
      <c r="E1435" s="24">
        <f>IFERROR(__xludf.DUMMYFUNCTION("ifna(IFNA(filter('2.1.clean'!C:C,'2.1.clean'!A:A=C1435),filter('2.2.clean'!E:E,'2.2.clean'!D:D=C1435)),filter('2.4.clean'!C:C,'2.4.clean'!A:A=C1435))"),43851.0)</f>
        <v>43851</v>
      </c>
      <c r="F1435" s="25">
        <f>IFERROR(__xludf.DUMMYFUNCTION("iferror(ifna(IFNA(filter('2.1.clean'!E:E,'2.1.clean'!A:A=C1435),filter('2.2.clean'!G:G,'2.2.clean'!D:D=C1435)),filter('2.4.clean'!E:E,'2.4.clean'!A:A=C1435)),)"),2.39999999999999)</f>
        <v>2.4</v>
      </c>
      <c r="G1435" s="24"/>
      <c r="J1435" s="25"/>
      <c r="K1435" s="24"/>
      <c r="L1435" s="25"/>
      <c r="M1435" s="24">
        <f>IFERROR(__xludf.DUMMYFUNCTION("iferror(filter('3.3.clean'!C:C,'3.3.clean'!A:A=C1435),"""")"),43852.0)</f>
        <v>43852</v>
      </c>
      <c r="N1435" s="25" t="b">
        <f t="shared" si="1165"/>
        <v>1</v>
      </c>
      <c r="O1435" s="24">
        <f>IFERROR(__xludf.DUMMYFUNCTION("iferror(filter('3.4.clean'!C:C,'3.4.clean'!A:A=C1435),"""")"),43854.0)</f>
        <v>43854</v>
      </c>
      <c r="P1435" s="25" t="b">
        <f t="shared" si="1166"/>
        <v>1</v>
      </c>
      <c r="Q1435" s="24">
        <f>IFERROR(__xludf.DUMMYFUNCTION("iferror(filter('3.5.clean'!C:C,'3.5.clean'!A:A=C1435),"""")"),43851.0)</f>
        <v>43851</v>
      </c>
      <c r="R1435" s="23" t="b">
        <f t="shared" si="1167"/>
        <v>1</v>
      </c>
      <c r="S1435" s="25"/>
      <c r="V1435" s="52" t="s">
        <v>64</v>
      </c>
      <c r="W1435" s="23" t="b">
        <f t="shared" si="1168"/>
        <v>1</v>
      </c>
      <c r="X1435" s="23" t="str">
        <f>IFERROR(__xludf.DUMMYFUNCTION("if(COUNTA(FILTER(C:C, C:C = C1435))=1,""no"",""yes"")"),"no")</f>
        <v>no</v>
      </c>
    </row>
    <row r="1436">
      <c r="A1436" s="1" t="s">
        <v>1019</v>
      </c>
      <c r="B1436" s="2">
        <v>2.0</v>
      </c>
      <c r="C1436" s="19" t="s">
        <v>2135</v>
      </c>
      <c r="D1436" s="58" t="str">
        <f t="shared" ref="D1436:D1437" si="1169">if(or(I1436=1,J1436=1,S1436=1),"pos","")</f>
        <v/>
      </c>
      <c r="E1436" s="59">
        <f>IFERROR(__xludf.DUMMYFUNCTION("ifna(IFNA(filter('2.1.clean'!C:C,'2.1.clean'!A:A=C1436),filter('2.2.clean'!E:E,'2.2.clean'!D:D=C1436)),filter('2.4.clean'!C:C,'2.4.clean'!A:A=C1436))"),43851.0)</f>
        <v>43851</v>
      </c>
      <c r="F1436" s="60">
        <f>IFERROR(__xludf.DUMMYFUNCTION("iferror(ifna(IFNA(filter('2.1.clean'!E:E,'2.1.clean'!A:A=C1436),filter('2.2.clean'!G:G,'2.2.clean'!D:D=C1436)),filter('2.4.clean'!E:E,'2.4.clean'!A:A=C1436)),)"),2.39999999999999)</f>
        <v>2.4</v>
      </c>
      <c r="G1436" s="59">
        <f>IFERROR(__xludf.DUMMYFUNCTION("iferror(filter('3.1.clean'!C:C,'3.1.clean'!A:A=C1436),"""")"),43851.0)</f>
        <v>43851</v>
      </c>
      <c r="H1436" s="58" t="b">
        <f>if(G1436="",FALSE,TRUE)</f>
        <v>1</v>
      </c>
      <c r="I1436" s="58">
        <f>IFERROR(__xludf.DUMMYFUNCTION("iferror(filter('3.1.clean'!G:G,'3.1.clean'!A:A=C1436),"""")"),0.0)</f>
        <v>0</v>
      </c>
      <c r="J1436" s="60" t="str">
        <f>IFERROR(__xludf.DUMMYFUNCTION("iferror(filter('3.1.clean'!I:I,'3.1.clean'!A:A=C1436),"""")"),"")</f>
        <v/>
      </c>
      <c r="K1436" s="58"/>
      <c r="L1436" s="60"/>
      <c r="M1436" s="59" t="str">
        <f>IFERROR(__xludf.DUMMYFUNCTION("iferror(filter('3.3.clean'!C:C,'3.3.clean'!A:A=C1436),"""")"),"")</f>
        <v/>
      </c>
      <c r="N1436" s="60" t="b">
        <f t="shared" si="1165"/>
        <v>0</v>
      </c>
      <c r="O1436" s="59" t="str">
        <f>IFERROR(__xludf.DUMMYFUNCTION("iferror(filter('3.4.clean'!C:C,'3.4.clean'!A:A=C1436),"""")"),"")</f>
        <v/>
      </c>
      <c r="P1436" s="60" t="b">
        <f t="shared" si="1166"/>
        <v>0</v>
      </c>
      <c r="Q1436" s="59" t="str">
        <f>IFERROR(__xludf.DUMMYFUNCTION("iferror(filter('3.5.clean'!C:C,'3.5.clean'!A:A=C1436),"""")"),"")</f>
        <v/>
      </c>
      <c r="R1436" s="58"/>
      <c r="S1436" s="4" t="str">
        <f>IFERROR(__xludf.DUMMYFUNCTION("iferror(filter('3.5.clean'!H:H,'3.5.clean'!A:A=C1436),"""")"),"")</f>
        <v/>
      </c>
      <c r="W1436" s="23" t="b">
        <f>if(AND(H1436=TRUE,N1436=TRUE,P1436=TRUE),TRUE,FALSE)</f>
        <v>0</v>
      </c>
      <c r="X1436" s="23" t="str">
        <f>IFERROR(__xludf.DUMMYFUNCTION("if(COUNTA(FILTER(C:C, C:C = C1436))=1,""no"",""yes"")"),"no")</f>
        <v>no</v>
      </c>
    </row>
    <row r="1437">
      <c r="A1437" s="1" t="s">
        <v>1019</v>
      </c>
      <c r="B1437" s="2">
        <v>3.0</v>
      </c>
      <c r="C1437" s="19" t="s">
        <v>2136</v>
      </c>
      <c r="D1437" s="58" t="str">
        <f t="shared" si="1169"/>
        <v/>
      </c>
      <c r="E1437" s="59">
        <f>Q1437</f>
        <v>43851</v>
      </c>
      <c r="F1437" s="60" t="str">
        <f>IFERROR(__xludf.DUMMYFUNCTION("iferror(ifna(IFNA(filter('2.1.clean'!E:E,'2.1.clean'!A:A=C1437),filter('2.2.clean'!G:G,'2.2.clean'!D:D=C1437)),filter('2.4.clean'!E:E,'2.4.clean'!A:A=C1437)),)"),"")</f>
        <v/>
      </c>
      <c r="G1437" s="59" t="str">
        <f>IFERROR(__xludf.DUMMYFUNCTION("iferror(filter('3.1.clean'!C:C,'3.1.clean'!A:A=C1437),"""")"),"")</f>
        <v/>
      </c>
      <c r="H1437" s="58"/>
      <c r="I1437" s="58" t="str">
        <f>IFERROR(__xludf.DUMMYFUNCTION("iferror(filter('3.1.clean'!G:G,'3.1.clean'!A:A=C1437),"""")"),"")</f>
        <v/>
      </c>
      <c r="J1437" s="60" t="str">
        <f>IFERROR(__xludf.DUMMYFUNCTION("iferror(filter('3.1.clean'!I:I,'3.1.clean'!A:A=C1437),"""")"),"")</f>
        <v/>
      </c>
      <c r="K1437" s="59"/>
      <c r="L1437" s="60"/>
      <c r="M1437" s="59" t="str">
        <f>IFERROR(__xludf.DUMMYFUNCTION("iferror(filter('3.3.clean'!C:C,'3.3.clean'!A:A=C1437),"""")"),"")</f>
        <v/>
      </c>
      <c r="N1437" s="60" t="b">
        <f t="shared" si="1165"/>
        <v>0</v>
      </c>
      <c r="O1437" s="59" t="str">
        <f>IFERROR(__xludf.DUMMYFUNCTION("iferror(filter('3.4.clean'!C:C,'3.4.clean'!A:A=C1437),"""")"),"")</f>
        <v/>
      </c>
      <c r="P1437" s="60" t="b">
        <f t="shared" si="1166"/>
        <v>0</v>
      </c>
      <c r="Q1437" s="59">
        <f>IFERROR(__xludf.DUMMYFUNCTION("iferror(filter('3.5.clean'!C:C,'3.5.clean'!A:A=C1437),"""")"),43851.0)</f>
        <v>43851</v>
      </c>
      <c r="R1437" s="58" t="b">
        <f t="shared" ref="R1437:R1438" si="1170">if(Q1437="",FALSE,TRUE)</f>
        <v>1</v>
      </c>
      <c r="S1437" s="4">
        <f>IFERROR(__xludf.DUMMYFUNCTION("iferror(filter('3.5.clean'!H:H,'3.5.clean'!A:A=C1437),"""")"),0.0)</f>
        <v>0</v>
      </c>
      <c r="V1437" s="52" t="s">
        <v>64</v>
      </c>
      <c r="W1437" s="23" t="b">
        <f>if(AND(R1437=TRUE,N1437=TRUE,P1437=TRUE),TRUE,FALSE)</f>
        <v>0</v>
      </c>
      <c r="X1437" s="23" t="str">
        <f>IFERROR(__xludf.DUMMYFUNCTION("if(COUNTA(FILTER(C:C, C:C = C1437))=1,""no"",""yes"")"),"no")</f>
        <v>no</v>
      </c>
    </row>
    <row r="1438">
      <c r="A1438" s="1" t="s">
        <v>1019</v>
      </c>
      <c r="B1438" s="2">
        <v>4.0</v>
      </c>
      <c r="C1438" s="19" t="s">
        <v>2137</v>
      </c>
      <c r="E1438" s="24">
        <f>IFERROR(__xludf.DUMMYFUNCTION("ifna(IFNA(filter('2.1.clean'!C:C,'2.1.clean'!A:A=C1438),filter('2.2.clean'!E:E,'2.2.clean'!D:D=C1438)),filter('2.4.clean'!C:C,'2.4.clean'!A:A=C1438))"),43851.0)</f>
        <v>43851</v>
      </c>
      <c r="F1438" s="25">
        <f>IFERROR(__xludf.DUMMYFUNCTION("iferror(ifna(IFNA(filter('2.1.clean'!E:E,'2.1.clean'!A:A=C1438),filter('2.2.clean'!G:G,'2.2.clean'!D:D=C1438)),filter('2.4.clean'!E:E,'2.4.clean'!A:A=C1438)),)"),2.39999999999999)</f>
        <v>2.4</v>
      </c>
      <c r="G1438" s="24"/>
      <c r="J1438" s="25"/>
      <c r="K1438" s="24"/>
      <c r="L1438" s="25"/>
      <c r="M1438" s="24">
        <f>IFERROR(__xludf.DUMMYFUNCTION("iferror(filter('3.3.clean'!C:C,'3.3.clean'!A:A=C1438),"""")"),43852.0)</f>
        <v>43852</v>
      </c>
      <c r="N1438" s="25" t="b">
        <f t="shared" si="1165"/>
        <v>1</v>
      </c>
      <c r="O1438" s="24">
        <f>IFERROR(__xludf.DUMMYFUNCTION("iferror(filter('3.4.clean'!C:C,'3.4.clean'!A:A=C1438),"""")"),43854.0)</f>
        <v>43854</v>
      </c>
      <c r="P1438" s="25" t="b">
        <f t="shared" si="1166"/>
        <v>1</v>
      </c>
      <c r="Q1438" s="24">
        <f>IFERROR(__xludf.DUMMYFUNCTION("iferror(filter('3.5.clean'!C:C,'3.5.clean'!A:A=C1438),"""")"),43851.0)</f>
        <v>43851</v>
      </c>
      <c r="R1438" s="23" t="b">
        <f t="shared" si="1170"/>
        <v>1</v>
      </c>
      <c r="S1438" s="25"/>
      <c r="V1438" s="52" t="s">
        <v>64</v>
      </c>
      <c r="W1438" s="23" t="b">
        <f>IF(and(R1438=TRUE,N1438=TRUE,P1438=TRUE),TRUE,FALSE)</f>
        <v>1</v>
      </c>
      <c r="X1438" s="23" t="str">
        <f>IFERROR(__xludf.DUMMYFUNCTION("if(COUNTA(FILTER(C:C, C:C = C1438))=1,""no"",""yes"")"),"no")</f>
        <v>no</v>
      </c>
    </row>
    <row r="1439">
      <c r="A1439" s="1" t="s">
        <v>1019</v>
      </c>
      <c r="B1439" s="2">
        <v>5.0</v>
      </c>
      <c r="C1439" s="19" t="s">
        <v>2140</v>
      </c>
      <c r="D1439" s="58" t="str">
        <f t="shared" ref="D1439:D1440" si="1171">if(or(I1439=1,J1439=1,S1439=1),"pos","")</f>
        <v/>
      </c>
      <c r="E1439" s="59">
        <f>IFERROR(__xludf.DUMMYFUNCTION("ifna(IFNA(filter('2.1.clean'!C:C,'2.1.clean'!A:A=C1439),filter('2.2.clean'!E:E,'2.2.clean'!D:D=C1439)),filter('2.4.clean'!C:C,'2.4.clean'!A:A=C1439))"),43851.0)</f>
        <v>43851</v>
      </c>
      <c r="F1439" s="60">
        <f>IFERROR(__xludf.DUMMYFUNCTION("iferror(ifna(IFNA(filter('2.1.clean'!E:E,'2.1.clean'!A:A=C1439),filter('2.2.clean'!G:G,'2.2.clean'!D:D=C1439)),filter('2.4.clean'!E:E,'2.4.clean'!A:A=C1439)),)"),2.39999999999999)</f>
        <v>2.4</v>
      </c>
      <c r="G1439" s="59">
        <f>IFERROR(__xludf.DUMMYFUNCTION("iferror(filter('3.1.clean'!C:C,'3.1.clean'!A:A=C1439),"""")"),43851.0)</f>
        <v>43851</v>
      </c>
      <c r="H1439" s="58" t="b">
        <f>if(G1439="",FALSE,TRUE)</f>
        <v>1</v>
      </c>
      <c r="I1439" s="58">
        <f>IFERROR(__xludf.DUMMYFUNCTION("iferror(filter('3.1.clean'!G:G,'3.1.clean'!A:A=C1439),"""")"),0.0)</f>
        <v>0</v>
      </c>
      <c r="J1439" s="60" t="str">
        <f>IFERROR(__xludf.DUMMYFUNCTION("iferror(filter('3.1.clean'!I:I,'3.1.clean'!A:A=C1439),"""")"),"")</f>
        <v/>
      </c>
      <c r="K1439" s="58"/>
      <c r="L1439" s="60"/>
      <c r="M1439" s="59" t="str">
        <f>IFERROR(__xludf.DUMMYFUNCTION("iferror(filter('3.3.clean'!C:C,'3.3.clean'!A:A=C1439),"""")"),"")</f>
        <v/>
      </c>
      <c r="N1439" s="60" t="b">
        <f t="shared" si="1165"/>
        <v>0</v>
      </c>
      <c r="O1439" s="59" t="str">
        <f>IFERROR(__xludf.DUMMYFUNCTION("iferror(filter('3.4.clean'!C:C,'3.4.clean'!A:A=C1439),"""")"),"")</f>
        <v/>
      </c>
      <c r="P1439" s="60" t="b">
        <f t="shared" si="1166"/>
        <v>0</v>
      </c>
      <c r="Q1439" s="59" t="str">
        <f>IFERROR(__xludf.DUMMYFUNCTION("iferror(filter('3.5.clean'!C:C,'3.5.clean'!A:A=C1439),"""")"),"")</f>
        <v/>
      </c>
      <c r="R1439" s="58"/>
      <c r="S1439" s="4" t="str">
        <f>IFERROR(__xludf.DUMMYFUNCTION("iferror(filter('3.5.clean'!H:H,'3.5.clean'!A:A=C1439),"""")"),"")</f>
        <v/>
      </c>
      <c r="W1439" s="23" t="b">
        <f>if(AND(H1439=TRUE,N1439=TRUE,P1439=TRUE),TRUE,FALSE)</f>
        <v>0</v>
      </c>
      <c r="X1439" s="23" t="str">
        <f>IFERROR(__xludf.DUMMYFUNCTION("if(COUNTA(FILTER(C:C, C:C = C1439))=1,""no"",""yes"")"),"no")</f>
        <v>no</v>
      </c>
    </row>
    <row r="1440">
      <c r="A1440" s="1" t="s">
        <v>1019</v>
      </c>
      <c r="B1440" s="2">
        <v>6.0</v>
      </c>
      <c r="C1440" s="19" t="s">
        <v>2141</v>
      </c>
      <c r="D1440" s="58" t="str">
        <f t="shared" si="1171"/>
        <v/>
      </c>
      <c r="E1440" s="59">
        <f>Q1440</f>
        <v>43851</v>
      </c>
      <c r="F1440" s="60" t="str">
        <f>IFERROR(__xludf.DUMMYFUNCTION("iferror(ifna(IFNA(filter('2.1.clean'!E:E,'2.1.clean'!A:A=C1440),filter('2.2.clean'!G:G,'2.2.clean'!D:D=C1440)),filter('2.4.clean'!E:E,'2.4.clean'!A:A=C1440)),)"),"")</f>
        <v/>
      </c>
      <c r="G1440" s="59" t="str">
        <f>IFERROR(__xludf.DUMMYFUNCTION("iferror(filter('3.1.clean'!C:C,'3.1.clean'!A:A=C1440),"""")"),"")</f>
        <v/>
      </c>
      <c r="H1440" s="58"/>
      <c r="I1440" s="58" t="str">
        <f>IFERROR(__xludf.DUMMYFUNCTION("iferror(filter('3.1.clean'!G:G,'3.1.clean'!A:A=C1440),"""")"),"")</f>
        <v/>
      </c>
      <c r="J1440" s="60" t="str">
        <f>IFERROR(__xludf.DUMMYFUNCTION("iferror(filter('3.1.clean'!I:I,'3.1.clean'!A:A=C1440),"""")"),"")</f>
        <v/>
      </c>
      <c r="K1440" s="59"/>
      <c r="L1440" s="60"/>
      <c r="M1440" s="59" t="str">
        <f>IFERROR(__xludf.DUMMYFUNCTION("iferror(filter('3.3.clean'!C:C,'3.3.clean'!A:A=C1440),"""")"),"")</f>
        <v/>
      </c>
      <c r="N1440" s="60" t="b">
        <f t="shared" si="1165"/>
        <v>0</v>
      </c>
      <c r="O1440" s="59" t="str">
        <f>IFERROR(__xludf.DUMMYFUNCTION("iferror(filter('3.4.clean'!C:C,'3.4.clean'!A:A=C1440),"""")"),"")</f>
        <v/>
      </c>
      <c r="P1440" s="60" t="b">
        <f t="shared" si="1166"/>
        <v>0</v>
      </c>
      <c r="Q1440" s="59">
        <f>IFERROR(__xludf.DUMMYFUNCTION("iferror(filter('3.5.clean'!C:C,'3.5.clean'!A:A=C1440),"""")"),43851.0)</f>
        <v>43851</v>
      </c>
      <c r="R1440" s="58" t="b">
        <f t="shared" ref="R1440:R1441" si="1172">if(Q1440="",FALSE,TRUE)</f>
        <v>1</v>
      </c>
      <c r="S1440" s="4">
        <f>IFERROR(__xludf.DUMMYFUNCTION("iferror(filter('3.5.clean'!H:H,'3.5.clean'!A:A=C1440),"""")"),0.0)</f>
        <v>0</v>
      </c>
      <c r="V1440" s="52" t="s">
        <v>64</v>
      </c>
      <c r="W1440" s="23" t="b">
        <f>if(AND(R1440=TRUE,N1440=TRUE,P1440=TRUE),TRUE,FALSE)</f>
        <v>0</v>
      </c>
      <c r="X1440" s="23" t="str">
        <f>IFERROR(__xludf.DUMMYFUNCTION("if(COUNTA(FILTER(C:C, C:C = C1440))=1,""no"",""yes"")"),"no")</f>
        <v>no</v>
      </c>
    </row>
    <row r="1441">
      <c r="A1441" s="1" t="s">
        <v>1019</v>
      </c>
      <c r="B1441" s="2">
        <v>7.0</v>
      </c>
      <c r="C1441" s="19" t="s">
        <v>2144</v>
      </c>
      <c r="E1441" s="24">
        <f>IFERROR(__xludf.DUMMYFUNCTION("ifna(IFNA(filter('2.1.clean'!C:C,'2.1.clean'!A:A=C1441),filter('2.2.clean'!E:E,'2.2.clean'!D:D=C1441)),filter('2.4.clean'!C:C,'2.4.clean'!A:A=C1441))"),43851.0)</f>
        <v>43851</v>
      </c>
      <c r="F1441" s="25">
        <f>IFERROR(__xludf.DUMMYFUNCTION("iferror(ifna(IFNA(filter('2.1.clean'!E:E,'2.1.clean'!A:A=C1441),filter('2.2.clean'!G:G,'2.2.clean'!D:D=C1441)),filter('2.4.clean'!E:E,'2.4.clean'!A:A=C1441)),)"),2.39999999999999)</f>
        <v>2.4</v>
      </c>
      <c r="G1441" s="24"/>
      <c r="J1441" s="25"/>
      <c r="K1441" s="24"/>
      <c r="L1441" s="25"/>
      <c r="M1441" s="24">
        <f>IFERROR(__xludf.DUMMYFUNCTION("iferror(filter('3.3.clean'!C:C,'3.3.clean'!A:A=C1441),"""")"),43852.0)</f>
        <v>43852</v>
      </c>
      <c r="N1441" s="25" t="b">
        <f t="shared" si="1165"/>
        <v>1</v>
      </c>
      <c r="O1441" s="24">
        <f>IFERROR(__xludf.DUMMYFUNCTION("iferror(filter('3.4.clean'!C:C,'3.4.clean'!A:A=C1441),"""")"),43854.0)</f>
        <v>43854</v>
      </c>
      <c r="P1441" s="25" t="b">
        <f t="shared" si="1166"/>
        <v>1</v>
      </c>
      <c r="Q1441" s="24">
        <f>IFERROR(__xludf.DUMMYFUNCTION("iferror(filter('3.5.clean'!C:C,'3.5.clean'!A:A=C1441),"""")"),43851.0)</f>
        <v>43851</v>
      </c>
      <c r="R1441" s="23" t="b">
        <f t="shared" si="1172"/>
        <v>1</v>
      </c>
      <c r="S1441" s="25"/>
      <c r="V1441" s="52" t="s">
        <v>64</v>
      </c>
      <c r="W1441" s="23" t="b">
        <f>IF(and(R1441=TRUE,N1441=TRUE,P1441=TRUE),TRUE,FALSE)</f>
        <v>1</v>
      </c>
      <c r="X1441" s="23" t="str">
        <f>IFERROR(__xludf.DUMMYFUNCTION("if(COUNTA(FILTER(C:C, C:C = C1441))=1,""no"",""yes"")"),"no")</f>
        <v>no</v>
      </c>
    </row>
    <row r="1442">
      <c r="A1442" s="1" t="s">
        <v>1019</v>
      </c>
      <c r="B1442" s="2">
        <v>8.0</v>
      </c>
      <c r="C1442" s="19" t="s">
        <v>2146</v>
      </c>
      <c r="D1442" s="58" t="str">
        <f t="shared" ref="D1442:D1443" si="1173">if(or(I1442=1,J1442=1,S1442=1),"pos","")</f>
        <v/>
      </c>
      <c r="E1442" s="59">
        <f>IFERROR(__xludf.DUMMYFUNCTION("ifna(IFNA(filter('2.1.clean'!C:C,'2.1.clean'!A:A=C1442),filter('2.2.clean'!E:E,'2.2.clean'!D:D=C1442)),filter('2.4.clean'!C:C,'2.4.clean'!A:A=C1442))"),43851.0)</f>
        <v>43851</v>
      </c>
      <c r="F1442" s="60">
        <f>IFERROR(__xludf.DUMMYFUNCTION("iferror(ifna(IFNA(filter('2.1.clean'!E:E,'2.1.clean'!A:A=C1442),filter('2.2.clean'!G:G,'2.2.clean'!D:D=C1442)),filter('2.4.clean'!E:E,'2.4.clean'!A:A=C1442)),)"),2.39999999999999)</f>
        <v>2.4</v>
      </c>
      <c r="G1442" s="59">
        <f>IFERROR(__xludf.DUMMYFUNCTION("iferror(filter('3.1.clean'!C:C,'3.1.clean'!A:A=C1442),"""")"),43851.0)</f>
        <v>43851</v>
      </c>
      <c r="H1442" s="58" t="b">
        <f>if(G1442="",FALSE,TRUE)</f>
        <v>1</v>
      </c>
      <c r="I1442" s="58">
        <f>IFERROR(__xludf.DUMMYFUNCTION("iferror(filter('3.1.clean'!G:G,'3.1.clean'!A:A=C1442),"""")"),0.0)</f>
        <v>0</v>
      </c>
      <c r="J1442" s="60" t="str">
        <f>IFERROR(__xludf.DUMMYFUNCTION("iferror(filter('3.1.clean'!I:I,'3.1.clean'!A:A=C1442),"""")"),"")</f>
        <v/>
      </c>
      <c r="K1442" s="58"/>
      <c r="L1442" s="60"/>
      <c r="M1442" s="59">
        <f>IFERROR(__xludf.DUMMYFUNCTION("iferror(filter('3.3.clean'!C:C,'3.3.clean'!A:A=C1442),"""")"),43852.0)</f>
        <v>43852</v>
      </c>
      <c r="N1442" s="60" t="b">
        <f t="shared" si="1165"/>
        <v>1</v>
      </c>
      <c r="O1442" s="59">
        <f>IFERROR(__xludf.DUMMYFUNCTION("iferror(filter('3.4.clean'!C:C,'3.4.clean'!A:A=C1442),"""")"),43854.0)</f>
        <v>43854</v>
      </c>
      <c r="P1442" s="60" t="b">
        <f t="shared" si="1166"/>
        <v>1</v>
      </c>
      <c r="Q1442" s="59" t="str">
        <f>IFERROR(__xludf.DUMMYFUNCTION("iferror(filter('3.5.clean'!C:C,'3.5.clean'!A:A=C1442),"""")"),"")</f>
        <v/>
      </c>
      <c r="R1442" s="58"/>
      <c r="S1442" s="4" t="str">
        <f>IFERROR(__xludf.DUMMYFUNCTION("iferror(filter('3.5.clean'!H:H,'3.5.clean'!A:A=C1442),"""")"),"")</f>
        <v/>
      </c>
      <c r="W1442" s="23" t="b">
        <f>if(AND(H1442=TRUE,N1442=TRUE,P1442=TRUE),TRUE,FALSE)</f>
        <v>1</v>
      </c>
      <c r="X1442" s="23" t="str">
        <f>IFERROR(__xludf.DUMMYFUNCTION("if(COUNTA(FILTER(C:C, C:C = C1442))=1,""no"",""yes"")"),"no")</f>
        <v>no</v>
      </c>
    </row>
    <row r="1443">
      <c r="A1443" s="1" t="s">
        <v>1019</v>
      </c>
      <c r="B1443" s="2">
        <v>9.0</v>
      </c>
      <c r="C1443" s="19" t="s">
        <v>2147</v>
      </c>
      <c r="D1443" s="58" t="str">
        <f t="shared" si="1173"/>
        <v/>
      </c>
      <c r="E1443" s="59">
        <f>Q1443</f>
        <v>43851</v>
      </c>
      <c r="F1443" s="60" t="str">
        <f>IFERROR(__xludf.DUMMYFUNCTION("iferror(ifna(IFNA(filter('2.1.clean'!E:E,'2.1.clean'!A:A=C1443),filter('2.2.clean'!G:G,'2.2.clean'!D:D=C1443)),filter('2.4.clean'!E:E,'2.4.clean'!A:A=C1443)),)"),"")</f>
        <v/>
      </c>
      <c r="G1443" s="59" t="str">
        <f>IFERROR(__xludf.DUMMYFUNCTION("iferror(filter('3.1.clean'!C:C,'3.1.clean'!A:A=C1443),"""")"),"")</f>
        <v/>
      </c>
      <c r="H1443" s="58"/>
      <c r="I1443" s="58" t="str">
        <f>IFERROR(__xludf.DUMMYFUNCTION("iferror(filter('3.1.clean'!G:G,'3.1.clean'!A:A=C1443),"""")"),"")</f>
        <v/>
      </c>
      <c r="J1443" s="60" t="str">
        <f>IFERROR(__xludf.DUMMYFUNCTION("iferror(filter('3.1.clean'!I:I,'3.1.clean'!A:A=C1443),"""")"),"")</f>
        <v/>
      </c>
      <c r="K1443" s="59"/>
      <c r="L1443" s="60"/>
      <c r="M1443" s="59" t="str">
        <f>IFERROR(__xludf.DUMMYFUNCTION("iferror(filter('3.3.clean'!C:C,'3.3.clean'!A:A=C1443),"""")"),"")</f>
        <v/>
      </c>
      <c r="N1443" s="60" t="b">
        <f t="shared" si="1165"/>
        <v>0</v>
      </c>
      <c r="O1443" s="59" t="str">
        <f>IFERROR(__xludf.DUMMYFUNCTION("iferror(filter('3.4.clean'!C:C,'3.4.clean'!A:A=C1443),"""")"),"")</f>
        <v/>
      </c>
      <c r="P1443" s="60" t="b">
        <f t="shared" si="1166"/>
        <v>0</v>
      </c>
      <c r="Q1443" s="59">
        <f>IFERROR(__xludf.DUMMYFUNCTION("iferror(filter('3.5.clean'!C:C,'3.5.clean'!A:A=C1443),"""")"),43851.0)</f>
        <v>43851</v>
      </c>
      <c r="R1443" s="58" t="b">
        <f t="shared" ref="R1443:R1445" si="1174">if(Q1443="",FALSE,TRUE)</f>
        <v>1</v>
      </c>
      <c r="S1443" s="4">
        <f>IFERROR(__xludf.DUMMYFUNCTION("iferror(filter('3.5.clean'!H:H,'3.5.clean'!A:A=C1443),"""")"),0.0)</f>
        <v>0</v>
      </c>
      <c r="V1443" s="52" t="s">
        <v>64</v>
      </c>
      <c r="W1443" s="23" t="b">
        <f>if(AND(R1443=TRUE,N1443=TRUE,P1443=TRUE),TRUE,FALSE)</f>
        <v>0</v>
      </c>
      <c r="X1443" s="23" t="str">
        <f>IFERROR(__xludf.DUMMYFUNCTION("if(COUNTA(FILTER(C:C, C:C = C1443))=1,""no"",""yes"")"),"no")</f>
        <v>no</v>
      </c>
    </row>
    <row r="1444">
      <c r="A1444" s="1" t="s">
        <v>1019</v>
      </c>
      <c r="B1444" s="2">
        <v>10.0</v>
      </c>
      <c r="C1444" s="19" t="s">
        <v>2148</v>
      </c>
      <c r="E1444" s="24">
        <f>IFERROR(__xludf.DUMMYFUNCTION("ifna(IFNA(filter('2.1.clean'!C:C,'2.1.clean'!A:A=C1444),filter('2.2.clean'!E:E,'2.2.clean'!D:D=C1444)),filter('2.4.clean'!C:C,'2.4.clean'!A:A=C1444))"),43851.0)</f>
        <v>43851</v>
      </c>
      <c r="F1444" s="25">
        <f>IFERROR(__xludf.DUMMYFUNCTION("iferror(ifna(IFNA(filter('2.1.clean'!E:E,'2.1.clean'!A:A=C1444),filter('2.2.clean'!G:G,'2.2.clean'!D:D=C1444)),filter('2.4.clean'!E:E,'2.4.clean'!A:A=C1444)),)"),2.39999999999999)</f>
        <v>2.4</v>
      </c>
      <c r="G1444" s="24">
        <f>IFERROR(__xludf.DUMMYFUNCTION("iferror(filter('3.1.clean'!C:C,'3.1.clean'!A:A=C1444),"""")"),43851.0)</f>
        <v>43851</v>
      </c>
      <c r="H1444" s="23" t="b">
        <f t="shared" ref="H1444:H1446" si="1175">if(G1444="",FALSE,TRUE)</f>
        <v>1</v>
      </c>
      <c r="J1444" s="25"/>
      <c r="K1444" s="24">
        <f>IFERROR(__xludf.DUMMYFUNCTION("iferror(filter('3.2.clean'!C:C,'3.2.clean'!A:A=C1444),"""")"),43852.0)</f>
        <v>43852</v>
      </c>
      <c r="L1444" s="25" t="b">
        <f t="shared" ref="L1444:L1445" si="1176">if(K1444="",FALSE,TRUE)</f>
        <v>1</v>
      </c>
      <c r="M1444" s="24">
        <f>IFERROR(__xludf.DUMMYFUNCTION("iferror(filter('3.3.clean'!C:C,'3.3.clean'!A:A=C1444),"""")"),43852.0)</f>
        <v>43852</v>
      </c>
      <c r="N1444" s="25" t="b">
        <f t="shared" si="1165"/>
        <v>1</v>
      </c>
      <c r="O1444" s="24">
        <f>IFERROR(__xludf.DUMMYFUNCTION("iferror(filter('3.4.clean'!C:C,'3.4.clean'!A:A=C1444),"""")"),43854.0)</f>
        <v>43854</v>
      </c>
      <c r="P1444" s="25" t="b">
        <f t="shared" si="1166"/>
        <v>1</v>
      </c>
      <c r="Q1444" s="24" t="str">
        <f>IFERROR(__xludf.DUMMYFUNCTION("iferror(filter('3.5.clean'!C:C,'3.5.clean'!A:A=C1444),"""")"),"")</f>
        <v/>
      </c>
      <c r="R1444" s="23" t="b">
        <f t="shared" si="1174"/>
        <v>0</v>
      </c>
      <c r="S1444" s="25"/>
      <c r="U1444" s="23"/>
      <c r="V1444" s="1" t="s">
        <v>64</v>
      </c>
      <c r="X1444" s="23" t="str">
        <f>IFERROR(__xludf.DUMMYFUNCTION("if(COUNTA(FILTER(C:C, C:C = C1444))=1,""no"",""yes"")"),"no")</f>
        <v>no</v>
      </c>
    </row>
    <row r="1445">
      <c r="A1445" s="1" t="s">
        <v>1019</v>
      </c>
      <c r="B1445" s="2">
        <v>11.0</v>
      </c>
      <c r="C1445" s="19" t="s">
        <v>2149</v>
      </c>
      <c r="E1445" s="24">
        <v>43851.0</v>
      </c>
      <c r="F1445" s="25" t="str">
        <f>IFERROR(__xludf.DUMMYFUNCTION("iferror(ifna(IFNA(filter('2.1.clean'!E:E,'2.1.clean'!A:A=C1445),filter('2.2.clean'!G:G,'2.2.clean'!D:D=C1445)),filter('2.4.clean'!E:E,'2.4.clean'!A:A=C1445)),)"),"")</f>
        <v/>
      </c>
      <c r="G1445" s="24" t="str">
        <f>IFERROR(__xludf.DUMMYFUNCTION("iferror(filter('3.1.clean'!C:C,'3.1.clean'!A:A=C1445),"""")"),"")</f>
        <v/>
      </c>
      <c r="H1445" s="23" t="b">
        <f t="shared" si="1175"/>
        <v>0</v>
      </c>
      <c r="J1445" s="25"/>
      <c r="K1445" s="24" t="str">
        <f>IFERROR(__xludf.DUMMYFUNCTION("iferror(filter('3.2.clean'!C:C,'3.2.clean'!A:A=C1445),"""")"),"")</f>
        <v/>
      </c>
      <c r="L1445" s="25" t="b">
        <f t="shared" si="1176"/>
        <v>0</v>
      </c>
      <c r="M1445" s="24">
        <f>IFERROR(__xludf.DUMMYFUNCTION("iferror(filter('3.3.clean'!C:C,'3.3.clean'!A:A=C1445),"""")"),43852.0)</f>
        <v>43852</v>
      </c>
      <c r="N1445" s="25" t="b">
        <f t="shared" si="1165"/>
        <v>1</v>
      </c>
      <c r="O1445" s="24" t="str">
        <f>IFERROR(__xludf.DUMMYFUNCTION("iferror(filter('3.4.clean'!C:C,'3.4.clean'!A:A=C1445),"""")"),"")</f>
        <v/>
      </c>
      <c r="P1445" s="25" t="b">
        <f t="shared" si="1166"/>
        <v>0</v>
      </c>
      <c r="Q1445" s="24" t="str">
        <f>IFERROR(__xludf.DUMMYFUNCTION("iferror(filter('3.5.clean'!C:C,'3.5.clean'!A:A=C1445),"""")"),"")</f>
        <v/>
      </c>
      <c r="R1445" s="23" t="b">
        <f t="shared" si="1174"/>
        <v>0</v>
      </c>
      <c r="S1445" s="25"/>
      <c r="U1445" s="23"/>
      <c r="V1445" s="1" t="s">
        <v>64</v>
      </c>
      <c r="X1445" s="23" t="str">
        <f>IFERROR(__xludf.DUMMYFUNCTION("if(COUNTA(FILTER(C:C, C:C = C1445))=1,""no"",""yes"")"),"no")</f>
        <v>no</v>
      </c>
    </row>
    <row r="1446">
      <c r="A1446" s="1" t="s">
        <v>1019</v>
      </c>
      <c r="B1446" s="19">
        <v>12.0</v>
      </c>
      <c r="C1446" s="19" t="s">
        <v>2150</v>
      </c>
      <c r="D1446" s="76" t="str">
        <f t="shared" ref="D1446:D1447" si="1177">if(or(I1446=1,J1446=1,S1446=1),"pos","")</f>
        <v/>
      </c>
      <c r="E1446" s="77">
        <f>G1446</f>
        <v>43851</v>
      </c>
      <c r="F1446" s="78" t="str">
        <f>IFERROR(__xludf.DUMMYFUNCTION("iferror(ifna(IFNA(filter('2.1.clean'!E:E,'2.1.clean'!A:A=C1446),filter('2.2.clean'!G:G,'2.2.clean'!D:D=C1446)),filter('2.4.clean'!E:E,'2.4.clean'!A:A=C1446)),)"),"")</f>
        <v/>
      </c>
      <c r="G1446" s="77">
        <f>IFERROR(__xludf.DUMMYFUNCTION("iferror(filter('3.1.clean'!C:C,'3.1.clean'!A:A=C1446),"""")"),43851.0)</f>
        <v>43851</v>
      </c>
      <c r="H1446" s="76" t="b">
        <f t="shared" si="1175"/>
        <v>1</v>
      </c>
      <c r="I1446" s="76">
        <f>IFERROR(__xludf.DUMMYFUNCTION("iferror(filter('3.1.clean'!G:G,'3.1.clean'!A:A=C1446),"""")"),0.0)</f>
        <v>0</v>
      </c>
      <c r="J1446" s="78" t="str">
        <f>IFERROR(__xludf.DUMMYFUNCTION("iferror(filter('3.1.clean'!I:I,'3.1.clean'!A:A=C1446),"""")"),"")</f>
        <v/>
      </c>
      <c r="K1446" s="77"/>
      <c r="L1446" s="78"/>
      <c r="M1446" s="77"/>
      <c r="N1446" s="78"/>
      <c r="O1446" s="77"/>
      <c r="P1446" s="78"/>
      <c r="Q1446" s="77"/>
      <c r="R1446" s="76"/>
      <c r="S1446" s="25"/>
      <c r="V1446" s="1" t="s">
        <v>64</v>
      </c>
      <c r="W1446" s="1" t="b">
        <v>1</v>
      </c>
      <c r="X1446" s="23" t="str">
        <f>IFERROR(__xludf.DUMMYFUNCTION("if(COUNTA(FILTER(C:C, C:C = C1446))=1,""no"",""yes"")"),"no")</f>
        <v>no</v>
      </c>
    </row>
    <row r="1447">
      <c r="A1447" s="1" t="s">
        <v>1019</v>
      </c>
      <c r="B1447" s="19">
        <v>13.0</v>
      </c>
      <c r="C1447" s="19" t="s">
        <v>2151</v>
      </c>
      <c r="D1447" s="22" t="str">
        <f t="shared" si="1177"/>
        <v/>
      </c>
      <c r="E1447" s="20">
        <f>Q1447</f>
        <v>43851</v>
      </c>
      <c r="F1447" s="79" t="str">
        <f>IFERROR(__xludf.DUMMYFUNCTION("iferror(ifna(IFNA(filter('2.1.clean'!E:E,'2.1.clean'!A:A=C1447),filter('2.2.clean'!G:G,'2.2.clean'!D:D=C1447)),filter('2.4.clean'!E:E,'2.4.clean'!A:A=C1447)),)"),"")</f>
        <v/>
      </c>
      <c r="G1447" s="20" t="str">
        <f>IFERROR(__xludf.DUMMYFUNCTION("iferror(filter('3.1.clean'!C:C,'3.1.clean'!A:A=C1447),"""")"),"")</f>
        <v/>
      </c>
      <c r="H1447" s="22"/>
      <c r="I1447" s="22"/>
      <c r="J1447" s="79"/>
      <c r="K1447" s="20" t="str">
        <f>IFERROR(__xludf.DUMMYFUNCTION("iferror(filter('3.2.clean'!C:C,'3.2.clean'!A:A=C1447),"""")"),"")</f>
        <v/>
      </c>
      <c r="L1447" s="79"/>
      <c r="M1447" s="20" t="str">
        <f>IFERROR(__xludf.DUMMYFUNCTION("iferror(filter('3.3.clean'!C:C,'3.3.clean'!A:A=C1447),"""")"),"")</f>
        <v/>
      </c>
      <c r="N1447" s="79" t="b">
        <f t="shared" ref="N1447:N1470" si="1178">if(M1447="",FALSE,TRUE)</f>
        <v>0</v>
      </c>
      <c r="O1447" s="20" t="str">
        <f>IFERROR(__xludf.DUMMYFUNCTION("iferror(filter('3.4.clean'!C:C,'3.4.clean'!A:A=C1447),"""")"),"")</f>
        <v/>
      </c>
      <c r="P1447" s="79" t="b">
        <f t="shared" ref="P1447:P1470" si="1179">if(O1447="",FALSE,TRUE)</f>
        <v>0</v>
      </c>
      <c r="Q1447" s="20">
        <f>IFERROR(__xludf.DUMMYFUNCTION("iferror(filter('3.5.clean'!C:C,'3.5.clean'!A:A=C1447),"""")"),43851.0)</f>
        <v>43851</v>
      </c>
      <c r="R1447" s="22" t="b">
        <f t="shared" ref="R1447:R1448" si="1180">if(Q1447="",FALSE,TRUE)</f>
        <v>1</v>
      </c>
      <c r="S1447" s="4">
        <f>IFERROR(__xludf.DUMMYFUNCTION("iferror(filter('3.5.clean'!H:H,'3.5.clean'!A:A=C1447),"""")"),0.0)</f>
        <v>0</v>
      </c>
      <c r="V1447" s="1" t="s">
        <v>64</v>
      </c>
      <c r="W1447" s="23" t="b">
        <f t="shared" ref="W1447:W1448" si="1181">IF(and(R1447=TRUE,N1447=TRUE,P1447=TRUE),TRUE,FALSE)</f>
        <v>0</v>
      </c>
      <c r="X1447" s="23" t="str">
        <f>IFERROR(__xludf.DUMMYFUNCTION("if(COUNTA(FILTER(C:C, C:C = C1447))=1,""no"",""yes"")"),"no")</f>
        <v>no</v>
      </c>
    </row>
    <row r="1448">
      <c r="A1448" s="75" t="s">
        <v>1022</v>
      </c>
      <c r="B1448" s="2">
        <v>1.0</v>
      </c>
      <c r="C1448" s="19" t="s">
        <v>2152</v>
      </c>
      <c r="E1448" s="24">
        <f>IFERROR(__xludf.DUMMYFUNCTION("ifna(IFNA(filter('2.1.clean'!C:C,'2.1.clean'!A:A=C1448),filter('2.2.clean'!E:E,'2.2.clean'!D:D=C1448)),filter('2.4.clean'!C:C,'2.4.clean'!A:A=C1448))"),43852.0)</f>
        <v>43852</v>
      </c>
      <c r="F1448" s="25">
        <f>IFERROR(__xludf.DUMMYFUNCTION("iferror(ifna(IFNA(filter('2.1.clean'!E:E,'2.1.clean'!A:A=C1448),filter('2.2.clean'!G:G,'2.2.clean'!D:D=C1448)),filter('2.4.clean'!E:E,'2.4.clean'!A:A=C1448)),)"),2.39999999999999)</f>
        <v>2.4</v>
      </c>
      <c r="G1448" s="24"/>
      <c r="J1448" s="25"/>
      <c r="K1448" s="24"/>
      <c r="L1448" s="25"/>
      <c r="M1448" s="24">
        <f>IFERROR(__xludf.DUMMYFUNCTION("iferror(filter('3.3.clean'!C:C,'3.3.clean'!A:A=C1448),"""")"),43853.0)</f>
        <v>43853</v>
      </c>
      <c r="N1448" s="25" t="b">
        <f t="shared" si="1178"/>
        <v>1</v>
      </c>
      <c r="O1448" s="24">
        <f>IFERROR(__xludf.DUMMYFUNCTION("iferror(filter('3.4.clean'!C:C,'3.4.clean'!A:A=C1448),"""")"),43854.0)</f>
        <v>43854</v>
      </c>
      <c r="P1448" s="25" t="b">
        <f t="shared" si="1179"/>
        <v>1</v>
      </c>
      <c r="Q1448" s="24">
        <f>IFERROR(__xludf.DUMMYFUNCTION("iferror(filter('3.5.clean'!C:C,'3.5.clean'!A:A=C1448),"""")"),43852.0)</f>
        <v>43852</v>
      </c>
      <c r="R1448" s="23" t="b">
        <f t="shared" si="1180"/>
        <v>1</v>
      </c>
      <c r="S1448" s="25"/>
      <c r="V1448" s="52" t="s">
        <v>64</v>
      </c>
      <c r="W1448" s="23" t="b">
        <f t="shared" si="1181"/>
        <v>1</v>
      </c>
      <c r="X1448" s="23" t="str">
        <f>IFERROR(__xludf.DUMMYFUNCTION("if(COUNTA(FILTER(C:C, C:C = C1448))=1,""no"",""yes"")"),"no")</f>
        <v>no</v>
      </c>
    </row>
    <row r="1449">
      <c r="A1449" s="75" t="s">
        <v>1022</v>
      </c>
      <c r="B1449" s="2">
        <v>2.0</v>
      </c>
      <c r="C1449" s="19" t="s">
        <v>2153</v>
      </c>
      <c r="D1449" s="58" t="str">
        <f t="shared" ref="D1449:D1450" si="1182">if(or(I1449=1,J1449=1,S1449=1),"pos","")</f>
        <v/>
      </c>
      <c r="E1449" s="59">
        <f>IFERROR(__xludf.DUMMYFUNCTION("ifna(IFNA(filter('2.1.clean'!C:C,'2.1.clean'!A:A=C1449),filter('2.2.clean'!E:E,'2.2.clean'!D:D=C1449)),filter('2.4.clean'!C:C,'2.4.clean'!A:A=C1449))"),43852.0)</f>
        <v>43852</v>
      </c>
      <c r="F1449" s="60">
        <f>IFERROR(__xludf.DUMMYFUNCTION("iferror(ifna(IFNA(filter('2.1.clean'!E:E,'2.1.clean'!A:A=C1449),filter('2.2.clean'!G:G,'2.2.clean'!D:D=C1449)),filter('2.4.clean'!E:E,'2.4.clean'!A:A=C1449)),)"),2.39999999999999)</f>
        <v>2.4</v>
      </c>
      <c r="G1449" s="59">
        <f>IFERROR(__xludf.DUMMYFUNCTION("iferror(filter('3.1.clean'!C:C,'3.1.clean'!A:A=C1449),"""")"),43852.0)</f>
        <v>43852</v>
      </c>
      <c r="H1449" s="58" t="b">
        <f>if(G1449="",FALSE,TRUE)</f>
        <v>1</v>
      </c>
      <c r="I1449" s="58">
        <f>IFERROR(__xludf.DUMMYFUNCTION("iferror(filter('3.1.clean'!G:G,'3.1.clean'!A:A=C1449),"""")"),0.0)</f>
        <v>0</v>
      </c>
      <c r="J1449" s="60" t="str">
        <f>IFERROR(__xludf.DUMMYFUNCTION("iferror(filter('3.1.clean'!I:I,'3.1.clean'!A:A=C1449),"""")"),"")</f>
        <v/>
      </c>
      <c r="K1449" s="58"/>
      <c r="L1449" s="60"/>
      <c r="M1449" s="59" t="str">
        <f>IFERROR(__xludf.DUMMYFUNCTION("iferror(filter('3.3.clean'!C:C,'3.3.clean'!A:A=C1449),"""")"),"")</f>
        <v/>
      </c>
      <c r="N1449" s="60" t="b">
        <f t="shared" si="1178"/>
        <v>0</v>
      </c>
      <c r="O1449" s="59" t="str">
        <f>IFERROR(__xludf.DUMMYFUNCTION("iferror(filter('3.4.clean'!C:C,'3.4.clean'!A:A=C1449),"""")"),"")</f>
        <v/>
      </c>
      <c r="P1449" s="60" t="b">
        <f t="shared" si="1179"/>
        <v>0</v>
      </c>
      <c r="Q1449" s="59" t="str">
        <f>IFERROR(__xludf.DUMMYFUNCTION("iferror(filter('3.5.clean'!C:C,'3.5.clean'!A:A=C1449),"""")"),"")</f>
        <v/>
      </c>
      <c r="R1449" s="58"/>
      <c r="S1449" s="4" t="str">
        <f>IFERROR(__xludf.DUMMYFUNCTION("iferror(filter('3.5.clean'!H:H,'3.5.clean'!A:A=C1449),"""")"),"")</f>
        <v/>
      </c>
      <c r="W1449" s="23" t="b">
        <f>if(AND(H1449=TRUE,N1449=TRUE,P1449=TRUE),TRUE,FALSE)</f>
        <v>0</v>
      </c>
      <c r="X1449" s="23" t="str">
        <f>IFERROR(__xludf.DUMMYFUNCTION("if(COUNTA(FILTER(C:C, C:C = C1449))=1,""no"",""yes"")"),"no")</f>
        <v>no</v>
      </c>
    </row>
    <row r="1450">
      <c r="A1450" s="75" t="s">
        <v>1022</v>
      </c>
      <c r="B1450" s="2">
        <v>3.0</v>
      </c>
      <c r="C1450" s="19" t="s">
        <v>2154</v>
      </c>
      <c r="D1450" s="58" t="str">
        <f t="shared" si="1182"/>
        <v/>
      </c>
      <c r="E1450" s="59">
        <f>Q1450</f>
        <v>43852</v>
      </c>
      <c r="F1450" s="60" t="str">
        <f>IFERROR(__xludf.DUMMYFUNCTION("iferror(ifna(IFNA(filter('2.1.clean'!E:E,'2.1.clean'!A:A=C1450),filter('2.2.clean'!G:G,'2.2.clean'!D:D=C1450)),filter('2.4.clean'!E:E,'2.4.clean'!A:A=C1450)),)"),"")</f>
        <v/>
      </c>
      <c r="G1450" s="59" t="str">
        <f>IFERROR(__xludf.DUMMYFUNCTION("iferror(filter('3.1.clean'!C:C,'3.1.clean'!A:A=C1450),"""")"),"")</f>
        <v/>
      </c>
      <c r="H1450" s="58"/>
      <c r="I1450" s="58" t="str">
        <f>IFERROR(__xludf.DUMMYFUNCTION("iferror(filter('3.1.clean'!G:G,'3.1.clean'!A:A=C1450),"""")"),"")</f>
        <v/>
      </c>
      <c r="J1450" s="60" t="str">
        <f>IFERROR(__xludf.DUMMYFUNCTION("iferror(filter('3.1.clean'!I:I,'3.1.clean'!A:A=C1450),"""")"),"")</f>
        <v/>
      </c>
      <c r="K1450" s="59"/>
      <c r="L1450" s="60"/>
      <c r="M1450" s="59" t="str">
        <f>IFERROR(__xludf.DUMMYFUNCTION("iferror(filter('3.3.clean'!C:C,'3.3.clean'!A:A=C1450),"""")"),"")</f>
        <v/>
      </c>
      <c r="N1450" s="60" t="b">
        <f t="shared" si="1178"/>
        <v>0</v>
      </c>
      <c r="O1450" s="59" t="str">
        <f>IFERROR(__xludf.DUMMYFUNCTION("iferror(filter('3.4.clean'!C:C,'3.4.clean'!A:A=C1450),"""")"),"")</f>
        <v/>
      </c>
      <c r="P1450" s="60" t="b">
        <f t="shared" si="1179"/>
        <v>0</v>
      </c>
      <c r="Q1450" s="59">
        <f>IFERROR(__xludf.DUMMYFUNCTION("iferror(filter('3.5.clean'!C:C,'3.5.clean'!A:A=C1450),"""")"),43852.0)</f>
        <v>43852</v>
      </c>
      <c r="R1450" s="58" t="b">
        <f t="shared" ref="R1450:R1451" si="1183">if(Q1450="",FALSE,TRUE)</f>
        <v>1</v>
      </c>
      <c r="S1450" s="4">
        <f>IFERROR(__xludf.DUMMYFUNCTION("iferror(filter('3.5.clean'!H:H,'3.5.clean'!A:A=C1450),"""")"),0.0)</f>
        <v>0</v>
      </c>
      <c r="V1450" s="52" t="s">
        <v>64</v>
      </c>
      <c r="W1450" s="23" t="b">
        <f>if(AND(R1450=TRUE,N1450=TRUE,P1450=TRUE),TRUE,FALSE)</f>
        <v>0</v>
      </c>
      <c r="X1450" s="23" t="str">
        <f>IFERROR(__xludf.DUMMYFUNCTION("if(COUNTA(FILTER(C:C, C:C = C1450))=1,""no"",""yes"")"),"no")</f>
        <v>no</v>
      </c>
    </row>
    <row r="1451">
      <c r="A1451" s="75" t="s">
        <v>1022</v>
      </c>
      <c r="B1451" s="2">
        <v>4.0</v>
      </c>
      <c r="C1451" s="19" t="s">
        <v>2155</v>
      </c>
      <c r="E1451" s="24">
        <f>IFERROR(__xludf.DUMMYFUNCTION("ifna(IFNA(filter('2.1.clean'!C:C,'2.1.clean'!A:A=C1451),filter('2.2.clean'!E:E,'2.2.clean'!D:D=C1451)),filter('2.4.clean'!C:C,'2.4.clean'!A:A=C1451))"),43852.0)</f>
        <v>43852</v>
      </c>
      <c r="F1451" s="25">
        <f>IFERROR(__xludf.DUMMYFUNCTION("iferror(ifna(IFNA(filter('2.1.clean'!E:E,'2.1.clean'!A:A=C1451),filter('2.2.clean'!G:G,'2.2.clean'!D:D=C1451)),filter('2.4.clean'!E:E,'2.4.clean'!A:A=C1451)),)"),2.39999999999999)</f>
        <v>2.4</v>
      </c>
      <c r="G1451" s="24"/>
      <c r="J1451" s="25"/>
      <c r="K1451" s="24"/>
      <c r="L1451" s="25"/>
      <c r="M1451" s="24">
        <f>IFERROR(__xludf.DUMMYFUNCTION("iferror(filter('3.3.clean'!C:C,'3.3.clean'!A:A=C1451),"""")"),43853.0)</f>
        <v>43853</v>
      </c>
      <c r="N1451" s="25" t="b">
        <f t="shared" si="1178"/>
        <v>1</v>
      </c>
      <c r="O1451" s="24">
        <f>IFERROR(__xludf.DUMMYFUNCTION("iferror(filter('3.4.clean'!C:C,'3.4.clean'!A:A=C1451),"""")"),43854.0)</f>
        <v>43854</v>
      </c>
      <c r="P1451" s="25" t="b">
        <f t="shared" si="1179"/>
        <v>1</v>
      </c>
      <c r="Q1451" s="24">
        <f>IFERROR(__xludf.DUMMYFUNCTION("iferror(filter('3.5.clean'!C:C,'3.5.clean'!A:A=C1451),"""")"),43852.0)</f>
        <v>43852</v>
      </c>
      <c r="R1451" s="23" t="b">
        <f t="shared" si="1183"/>
        <v>1</v>
      </c>
      <c r="S1451" s="25"/>
      <c r="V1451" s="52" t="s">
        <v>64</v>
      </c>
      <c r="W1451" s="23" t="b">
        <f>IF(and(R1451=TRUE,N1451=TRUE,P1451=TRUE),TRUE,FALSE)</f>
        <v>1</v>
      </c>
      <c r="X1451" s="23" t="str">
        <f>IFERROR(__xludf.DUMMYFUNCTION("if(COUNTA(FILTER(C:C, C:C = C1451))=1,""no"",""yes"")"),"no")</f>
        <v>no</v>
      </c>
    </row>
    <row r="1452">
      <c r="A1452" s="75" t="s">
        <v>1022</v>
      </c>
      <c r="B1452" s="2">
        <v>5.0</v>
      </c>
      <c r="C1452" s="19" t="s">
        <v>2156</v>
      </c>
      <c r="D1452" s="58" t="str">
        <f t="shared" ref="D1452:D1453" si="1184">if(or(I1452=1,J1452=1,S1452=1),"pos","")</f>
        <v/>
      </c>
      <c r="E1452" s="59">
        <f>IFERROR(__xludf.DUMMYFUNCTION("ifna(IFNA(filter('2.1.clean'!C:C,'2.1.clean'!A:A=C1452),filter('2.2.clean'!E:E,'2.2.clean'!D:D=C1452)),filter('2.4.clean'!C:C,'2.4.clean'!A:A=C1452))"),43852.0)</f>
        <v>43852</v>
      </c>
      <c r="F1452" s="60">
        <f>IFERROR(__xludf.DUMMYFUNCTION("iferror(ifna(IFNA(filter('2.1.clean'!E:E,'2.1.clean'!A:A=C1452),filter('2.2.clean'!G:G,'2.2.clean'!D:D=C1452)),filter('2.4.clean'!E:E,'2.4.clean'!A:A=C1452)),)"),2.39999999999999)</f>
        <v>2.4</v>
      </c>
      <c r="G1452" s="59">
        <f>IFERROR(__xludf.DUMMYFUNCTION("iferror(filter('3.1.clean'!C:C,'3.1.clean'!A:A=C1452),"""")"),43852.0)</f>
        <v>43852</v>
      </c>
      <c r="H1452" s="58" t="b">
        <f>if(G1452="",FALSE,TRUE)</f>
        <v>1</v>
      </c>
      <c r="I1452" s="58">
        <f>IFERROR(__xludf.DUMMYFUNCTION("iferror(filter('3.1.clean'!G:G,'3.1.clean'!A:A=C1452),"""")"),0.0)</f>
        <v>0</v>
      </c>
      <c r="J1452" s="60" t="str">
        <f>IFERROR(__xludf.DUMMYFUNCTION("iferror(filter('3.1.clean'!I:I,'3.1.clean'!A:A=C1452),"""")"),"")</f>
        <v/>
      </c>
      <c r="K1452" s="58"/>
      <c r="L1452" s="60"/>
      <c r="M1452" s="59" t="str">
        <f>IFERROR(__xludf.DUMMYFUNCTION("iferror(filter('3.3.clean'!C:C,'3.3.clean'!A:A=C1452),"""")"),"")</f>
        <v/>
      </c>
      <c r="N1452" s="60" t="b">
        <f t="shared" si="1178"/>
        <v>0</v>
      </c>
      <c r="O1452" s="59" t="str">
        <f>IFERROR(__xludf.DUMMYFUNCTION("iferror(filter('3.4.clean'!C:C,'3.4.clean'!A:A=C1452),"""")"),"")</f>
        <v/>
      </c>
      <c r="P1452" s="60" t="b">
        <f t="shared" si="1179"/>
        <v>0</v>
      </c>
      <c r="Q1452" s="59" t="str">
        <f>IFERROR(__xludf.DUMMYFUNCTION("iferror(filter('3.5.clean'!C:C,'3.5.clean'!A:A=C1452),"""")"),"")</f>
        <v/>
      </c>
      <c r="R1452" s="58"/>
      <c r="S1452" s="4" t="str">
        <f>IFERROR(__xludf.DUMMYFUNCTION("iferror(filter('3.5.clean'!H:H,'3.5.clean'!A:A=C1452),"""")"),"")</f>
        <v/>
      </c>
      <c r="W1452" s="23" t="b">
        <f>if(AND(H1452=TRUE,N1452=TRUE,P1452=TRUE),TRUE,FALSE)</f>
        <v>0</v>
      </c>
      <c r="X1452" s="23" t="str">
        <f>IFERROR(__xludf.DUMMYFUNCTION("if(COUNTA(FILTER(C:C, C:C = C1452))=1,""no"",""yes"")"),"no")</f>
        <v>no</v>
      </c>
    </row>
    <row r="1453">
      <c r="A1453" s="75" t="s">
        <v>1022</v>
      </c>
      <c r="B1453" s="2">
        <v>6.0</v>
      </c>
      <c r="C1453" s="19" t="s">
        <v>2157</v>
      </c>
      <c r="D1453" s="58" t="str">
        <f t="shared" si="1184"/>
        <v/>
      </c>
      <c r="E1453" s="59">
        <f>Q1453</f>
        <v>43852</v>
      </c>
      <c r="F1453" s="60" t="str">
        <f>IFERROR(__xludf.DUMMYFUNCTION("iferror(ifna(IFNA(filter('2.1.clean'!E:E,'2.1.clean'!A:A=C1453),filter('2.2.clean'!G:G,'2.2.clean'!D:D=C1453)),filter('2.4.clean'!E:E,'2.4.clean'!A:A=C1453)),)"),"")</f>
        <v/>
      </c>
      <c r="G1453" s="59" t="str">
        <f>IFERROR(__xludf.DUMMYFUNCTION("iferror(filter('3.1.clean'!C:C,'3.1.clean'!A:A=C1453),"""")"),"")</f>
        <v/>
      </c>
      <c r="H1453" s="58"/>
      <c r="I1453" s="58" t="str">
        <f>IFERROR(__xludf.DUMMYFUNCTION("iferror(filter('3.1.clean'!G:G,'3.1.clean'!A:A=C1453),"""")"),"")</f>
        <v/>
      </c>
      <c r="J1453" s="60" t="str">
        <f>IFERROR(__xludf.DUMMYFUNCTION("iferror(filter('3.1.clean'!I:I,'3.1.clean'!A:A=C1453),"""")"),"")</f>
        <v/>
      </c>
      <c r="K1453" s="59"/>
      <c r="L1453" s="60"/>
      <c r="M1453" s="59" t="str">
        <f>IFERROR(__xludf.DUMMYFUNCTION("iferror(filter('3.3.clean'!C:C,'3.3.clean'!A:A=C1453),"""")"),"")</f>
        <v/>
      </c>
      <c r="N1453" s="60" t="b">
        <f t="shared" si="1178"/>
        <v>0</v>
      </c>
      <c r="O1453" s="59" t="str">
        <f>IFERROR(__xludf.DUMMYFUNCTION("iferror(filter('3.4.clean'!C:C,'3.4.clean'!A:A=C1453),"""")"),"")</f>
        <v/>
      </c>
      <c r="P1453" s="60" t="b">
        <f t="shared" si="1179"/>
        <v>0</v>
      </c>
      <c r="Q1453" s="59">
        <f>IFERROR(__xludf.DUMMYFUNCTION("iferror(filter('3.5.clean'!C:C,'3.5.clean'!A:A=C1453),"""")"),43852.0)</f>
        <v>43852</v>
      </c>
      <c r="R1453" s="58" t="b">
        <f t="shared" ref="R1453:R1454" si="1185">if(Q1453="",FALSE,TRUE)</f>
        <v>1</v>
      </c>
      <c r="S1453" s="4">
        <f>IFERROR(__xludf.DUMMYFUNCTION("iferror(filter('3.5.clean'!H:H,'3.5.clean'!A:A=C1453),"""")"),0.0)</f>
        <v>0</v>
      </c>
      <c r="V1453" s="52" t="s">
        <v>64</v>
      </c>
      <c r="W1453" s="23" t="b">
        <f>if(AND(R1453=TRUE,N1453=TRUE,P1453=TRUE),TRUE,FALSE)</f>
        <v>0</v>
      </c>
      <c r="X1453" s="23" t="str">
        <f>IFERROR(__xludf.DUMMYFUNCTION("if(COUNTA(FILTER(C:C, C:C = C1453))=1,""no"",""yes"")"),"no")</f>
        <v>no</v>
      </c>
    </row>
    <row r="1454">
      <c r="A1454" s="75" t="s">
        <v>1022</v>
      </c>
      <c r="B1454" s="2">
        <v>7.0</v>
      </c>
      <c r="C1454" s="19" t="s">
        <v>2158</v>
      </c>
      <c r="E1454" s="24">
        <f>IFERROR(__xludf.DUMMYFUNCTION("ifna(IFNA(filter('2.1.clean'!C:C,'2.1.clean'!A:A=C1454),filter('2.2.clean'!E:E,'2.2.clean'!D:D=C1454)),filter('2.4.clean'!C:C,'2.4.clean'!A:A=C1454))"),43852.0)</f>
        <v>43852</v>
      </c>
      <c r="F1454" s="25">
        <f>IFERROR(__xludf.DUMMYFUNCTION("iferror(ifna(IFNA(filter('2.1.clean'!E:E,'2.1.clean'!A:A=C1454),filter('2.2.clean'!G:G,'2.2.clean'!D:D=C1454)),filter('2.4.clean'!E:E,'2.4.clean'!A:A=C1454)),)"),2.39999999999999)</f>
        <v>2.4</v>
      </c>
      <c r="G1454" s="24"/>
      <c r="J1454" s="25"/>
      <c r="K1454" s="24"/>
      <c r="L1454" s="25"/>
      <c r="M1454" s="24">
        <f>IFERROR(__xludf.DUMMYFUNCTION("iferror(filter('3.3.clean'!C:C,'3.3.clean'!A:A=C1454),"""")"),43853.0)</f>
        <v>43853</v>
      </c>
      <c r="N1454" s="25" t="b">
        <f t="shared" si="1178"/>
        <v>1</v>
      </c>
      <c r="O1454" s="24">
        <f>IFERROR(__xludf.DUMMYFUNCTION("iferror(filter('3.4.clean'!C:C,'3.4.clean'!A:A=C1454),"""")"),43854.0)</f>
        <v>43854</v>
      </c>
      <c r="P1454" s="25" t="b">
        <f t="shared" si="1179"/>
        <v>1</v>
      </c>
      <c r="Q1454" s="24">
        <f>IFERROR(__xludf.DUMMYFUNCTION("iferror(filter('3.5.clean'!C:C,'3.5.clean'!A:A=C1454),"""")"),43852.0)</f>
        <v>43852</v>
      </c>
      <c r="R1454" s="23" t="b">
        <f t="shared" si="1185"/>
        <v>1</v>
      </c>
      <c r="S1454" s="25"/>
      <c r="V1454" s="52" t="s">
        <v>64</v>
      </c>
      <c r="W1454" s="23" t="b">
        <f>IF(and(R1454=TRUE,N1454=TRUE,P1454=TRUE),TRUE,FALSE)</f>
        <v>1</v>
      </c>
      <c r="X1454" s="23" t="str">
        <f>IFERROR(__xludf.DUMMYFUNCTION("if(COUNTA(FILTER(C:C, C:C = C1454))=1,""no"",""yes"")"),"no")</f>
        <v>no</v>
      </c>
    </row>
    <row r="1455">
      <c r="A1455" s="75" t="s">
        <v>1022</v>
      </c>
      <c r="B1455" s="2">
        <v>8.0</v>
      </c>
      <c r="C1455" s="19" t="s">
        <v>2159</v>
      </c>
      <c r="D1455" s="58" t="str">
        <f t="shared" ref="D1455:D1456" si="1186">if(or(I1455=1,J1455=1,S1455=1),"pos","")</f>
        <v/>
      </c>
      <c r="E1455" s="59">
        <f>IFERROR(__xludf.DUMMYFUNCTION("ifna(IFNA(filter('2.1.clean'!C:C,'2.1.clean'!A:A=C1455),filter('2.2.clean'!E:E,'2.2.clean'!D:D=C1455)),filter('2.4.clean'!C:C,'2.4.clean'!A:A=C1455))"),43852.0)</f>
        <v>43852</v>
      </c>
      <c r="F1455" s="60">
        <f>IFERROR(__xludf.DUMMYFUNCTION("iferror(ifna(IFNA(filter('2.1.clean'!E:E,'2.1.clean'!A:A=C1455),filter('2.2.clean'!G:G,'2.2.clean'!D:D=C1455)),filter('2.4.clean'!E:E,'2.4.clean'!A:A=C1455)),)"),2.39999999999999)</f>
        <v>2.4</v>
      </c>
      <c r="G1455" s="59">
        <f>IFERROR(__xludf.DUMMYFUNCTION("iferror(filter('3.1.clean'!C:C,'3.1.clean'!A:A=C1455),"""")"),43852.0)</f>
        <v>43852</v>
      </c>
      <c r="H1455" s="58" t="b">
        <f>if(G1455="",FALSE,TRUE)</f>
        <v>1</v>
      </c>
      <c r="I1455" s="58">
        <f>IFERROR(__xludf.DUMMYFUNCTION("iferror(filter('3.1.clean'!G:G,'3.1.clean'!A:A=C1455),"""")"),0.0)</f>
        <v>0</v>
      </c>
      <c r="J1455" s="60" t="str">
        <f>IFERROR(__xludf.DUMMYFUNCTION("iferror(filter('3.1.clean'!I:I,'3.1.clean'!A:A=C1455),"""")"),"")</f>
        <v/>
      </c>
      <c r="K1455" s="58"/>
      <c r="L1455" s="60"/>
      <c r="M1455" s="59" t="str">
        <f>IFERROR(__xludf.DUMMYFUNCTION("iferror(filter('3.3.clean'!C:C,'3.3.clean'!A:A=C1455),"""")"),"")</f>
        <v/>
      </c>
      <c r="N1455" s="60" t="b">
        <f t="shared" si="1178"/>
        <v>0</v>
      </c>
      <c r="O1455" s="59" t="str">
        <f>IFERROR(__xludf.DUMMYFUNCTION("iferror(filter('3.4.clean'!C:C,'3.4.clean'!A:A=C1455),"""")"),"")</f>
        <v/>
      </c>
      <c r="P1455" s="60" t="b">
        <f t="shared" si="1179"/>
        <v>0</v>
      </c>
      <c r="Q1455" s="59" t="str">
        <f>IFERROR(__xludf.DUMMYFUNCTION("iferror(filter('3.5.clean'!C:C,'3.5.clean'!A:A=C1455),"""")"),"")</f>
        <v/>
      </c>
      <c r="R1455" s="58"/>
      <c r="S1455" s="4" t="str">
        <f>IFERROR(__xludf.DUMMYFUNCTION("iferror(filter('3.5.clean'!H:H,'3.5.clean'!A:A=C1455),"""")"),"")</f>
        <v/>
      </c>
      <c r="W1455" s="23" t="b">
        <f>if(AND(H1455=TRUE,N1455=TRUE,P1455=TRUE),TRUE,FALSE)</f>
        <v>0</v>
      </c>
      <c r="X1455" s="23" t="str">
        <f>IFERROR(__xludf.DUMMYFUNCTION("if(COUNTA(FILTER(C:C, C:C = C1455))=1,""no"",""yes"")"),"no")</f>
        <v>no</v>
      </c>
    </row>
    <row r="1456">
      <c r="A1456" s="75" t="s">
        <v>1022</v>
      </c>
      <c r="B1456" s="2">
        <v>9.0</v>
      </c>
      <c r="C1456" s="19" t="s">
        <v>2160</v>
      </c>
      <c r="D1456" s="58" t="str">
        <f t="shared" si="1186"/>
        <v/>
      </c>
      <c r="E1456" s="59">
        <f>Q1456</f>
        <v>43852</v>
      </c>
      <c r="F1456" s="60" t="str">
        <f>IFERROR(__xludf.DUMMYFUNCTION("iferror(ifna(IFNA(filter('2.1.clean'!E:E,'2.1.clean'!A:A=C1456),filter('2.2.clean'!G:G,'2.2.clean'!D:D=C1456)),filter('2.4.clean'!E:E,'2.4.clean'!A:A=C1456)),)"),"")</f>
        <v/>
      </c>
      <c r="G1456" s="59" t="str">
        <f>IFERROR(__xludf.DUMMYFUNCTION("iferror(filter('3.1.clean'!C:C,'3.1.clean'!A:A=C1456),"""")"),"")</f>
        <v/>
      </c>
      <c r="H1456" s="58"/>
      <c r="I1456" s="58" t="str">
        <f>IFERROR(__xludf.DUMMYFUNCTION("iferror(filter('3.1.clean'!G:G,'3.1.clean'!A:A=C1456),"""")"),"")</f>
        <v/>
      </c>
      <c r="J1456" s="60" t="str">
        <f>IFERROR(__xludf.DUMMYFUNCTION("iferror(filter('3.1.clean'!I:I,'3.1.clean'!A:A=C1456),"""")"),"")</f>
        <v/>
      </c>
      <c r="K1456" s="59"/>
      <c r="L1456" s="60"/>
      <c r="M1456" s="59" t="str">
        <f>IFERROR(__xludf.DUMMYFUNCTION("iferror(filter('3.3.clean'!C:C,'3.3.clean'!A:A=C1456),"""")"),"")</f>
        <v/>
      </c>
      <c r="N1456" s="60" t="b">
        <f t="shared" si="1178"/>
        <v>0</v>
      </c>
      <c r="O1456" s="59" t="str">
        <f>IFERROR(__xludf.DUMMYFUNCTION("iferror(filter('3.4.clean'!C:C,'3.4.clean'!A:A=C1456),"""")"),"")</f>
        <v/>
      </c>
      <c r="P1456" s="60" t="b">
        <f t="shared" si="1179"/>
        <v>0</v>
      </c>
      <c r="Q1456" s="59">
        <f>IFERROR(__xludf.DUMMYFUNCTION("iferror(filter('3.5.clean'!C:C,'3.5.clean'!A:A=C1456),"""")"),43852.0)</f>
        <v>43852</v>
      </c>
      <c r="R1456" s="58" t="b">
        <f t="shared" ref="R1456:R1457" si="1187">if(Q1456="",FALSE,TRUE)</f>
        <v>1</v>
      </c>
      <c r="S1456" s="4">
        <f>IFERROR(__xludf.DUMMYFUNCTION("iferror(filter('3.5.clean'!H:H,'3.5.clean'!A:A=C1456),"""")"),0.0)</f>
        <v>0</v>
      </c>
      <c r="V1456" s="52" t="s">
        <v>64</v>
      </c>
      <c r="W1456" s="23" t="b">
        <f>if(AND(R1456=TRUE,N1456=TRUE,P1456=TRUE),TRUE,FALSE)</f>
        <v>0</v>
      </c>
      <c r="X1456" s="23" t="str">
        <f>IFERROR(__xludf.DUMMYFUNCTION("if(COUNTA(FILTER(C:C, C:C = C1456))=1,""no"",""yes"")"),"no")</f>
        <v>no</v>
      </c>
    </row>
    <row r="1457">
      <c r="A1457" s="75" t="s">
        <v>1022</v>
      </c>
      <c r="B1457" s="2">
        <v>10.0</v>
      </c>
      <c r="C1457" s="19" t="s">
        <v>2163</v>
      </c>
      <c r="E1457" s="24">
        <f>IFERROR(__xludf.DUMMYFUNCTION("ifna(IFNA(filter('2.1.clean'!C:C,'2.1.clean'!A:A=C1457),filter('2.2.clean'!E:E,'2.2.clean'!D:D=C1457)),filter('2.4.clean'!C:C,'2.4.clean'!A:A=C1457))"),43852.0)</f>
        <v>43852</v>
      </c>
      <c r="F1457" s="25">
        <f>IFERROR(__xludf.DUMMYFUNCTION("iferror(ifna(IFNA(filter('2.1.clean'!E:E,'2.1.clean'!A:A=C1457),filter('2.2.clean'!G:G,'2.2.clean'!D:D=C1457)),filter('2.4.clean'!E:E,'2.4.clean'!A:A=C1457)),)"),2.1)</f>
        <v>2.1</v>
      </c>
      <c r="G1457" s="24">
        <f>IFERROR(__xludf.DUMMYFUNCTION("iferror(filter('3.1.clean'!C:C,'3.1.clean'!A:A=C1457),"""")"),43852.0)</f>
        <v>43852</v>
      </c>
      <c r="H1457" s="23" t="b">
        <f t="shared" ref="H1457:H1458" si="1188">if(G1457="",FALSE,TRUE)</f>
        <v>1</v>
      </c>
      <c r="J1457" s="25"/>
      <c r="K1457" s="24">
        <f>IFERROR(__xludf.DUMMYFUNCTION("iferror(filter('3.2.clean'!C:C,'3.2.clean'!A:A=C1457),"""")"),43853.0)</f>
        <v>43853</v>
      </c>
      <c r="L1457" s="25" t="b">
        <f>if(K1457="",FALSE,TRUE)</f>
        <v>1</v>
      </c>
      <c r="M1457" s="24">
        <f>IFERROR(__xludf.DUMMYFUNCTION("iferror(filter('3.3.clean'!C:C,'3.3.clean'!A:A=C1457),"""")"),43853.0)</f>
        <v>43853</v>
      </c>
      <c r="N1457" s="25" t="b">
        <f t="shared" si="1178"/>
        <v>1</v>
      </c>
      <c r="O1457" s="24">
        <f>IFERROR(__xludf.DUMMYFUNCTION("iferror(filter('3.4.clean'!C:C,'3.4.clean'!A:A=C1457),"""")"),43854.0)</f>
        <v>43854</v>
      </c>
      <c r="P1457" s="25" t="b">
        <f t="shared" si="1179"/>
        <v>1</v>
      </c>
      <c r="Q1457" s="24">
        <f>IFERROR(__xludf.DUMMYFUNCTION("iferror(filter('3.5.clean'!C:C,'3.5.clean'!A:A=C1457),"""")"),43852.0)</f>
        <v>43852</v>
      </c>
      <c r="R1457" s="23" t="b">
        <f t="shared" si="1187"/>
        <v>1</v>
      </c>
      <c r="S1457" s="25"/>
      <c r="V1457" s="1" t="s">
        <v>83</v>
      </c>
      <c r="W1457" s="23" t="b">
        <f>IF(and(H1457=TRUE,L1457=TRUE,N1457=TRUE,P1457=TRUE),TRUE,FALSE)</f>
        <v>1</v>
      </c>
      <c r="X1457" s="23" t="str">
        <f>IFERROR(__xludf.DUMMYFUNCTION("if(COUNTA(FILTER(C:C, C:C = C1457))=1,""no"",""yes"")"),"no")</f>
        <v>no</v>
      </c>
    </row>
    <row r="1458">
      <c r="A1458" s="75" t="s">
        <v>1022</v>
      </c>
      <c r="B1458" s="2">
        <v>11.0</v>
      </c>
      <c r="C1458" s="19" t="s">
        <v>2167</v>
      </c>
      <c r="D1458" s="58" t="str">
        <f t="shared" ref="D1458:D1459" si="1189">if(or(I1458=1,J1458=1,S1458=1),"pos","")</f>
        <v/>
      </c>
      <c r="E1458" s="59">
        <f>IFERROR(__xludf.DUMMYFUNCTION("ifna(IFNA(filter('2.1.clean'!C:C,'2.1.clean'!A:A=C1458),filter('2.2.clean'!E:E,'2.2.clean'!D:D=C1458)),filter('2.4.clean'!C:C,'2.4.clean'!A:A=C1458))"),43852.0)</f>
        <v>43852</v>
      </c>
      <c r="F1458" s="60">
        <f>IFERROR(__xludf.DUMMYFUNCTION("iferror(ifna(IFNA(filter('2.1.clean'!E:E,'2.1.clean'!A:A=C1458),filter('2.2.clean'!G:G,'2.2.clean'!D:D=C1458)),filter('2.4.clean'!E:E,'2.4.clean'!A:A=C1458)),)"),2.1)</f>
        <v>2.1</v>
      </c>
      <c r="G1458" s="59">
        <f>IFERROR(__xludf.DUMMYFUNCTION("iferror(filter('3.1.clean'!C:C,'3.1.clean'!A:A=C1458),"""")"),43852.0)</f>
        <v>43852</v>
      </c>
      <c r="H1458" s="58" t="b">
        <f t="shared" si="1188"/>
        <v>1</v>
      </c>
      <c r="I1458" s="58">
        <f>IFERROR(__xludf.DUMMYFUNCTION("iferror(filter('3.1.clean'!G:G,'3.1.clean'!A:A=C1458),"""")"),0.0)</f>
        <v>0</v>
      </c>
      <c r="J1458" s="60" t="str">
        <f>IFERROR(__xludf.DUMMYFUNCTION("iferror(filter('3.1.clean'!I:I,'3.1.clean'!A:A=C1458),"""")"),"")</f>
        <v/>
      </c>
      <c r="K1458" s="58"/>
      <c r="L1458" s="60"/>
      <c r="M1458" s="59">
        <f>IFERROR(__xludf.DUMMYFUNCTION("iferror(filter('3.3.clean'!C:C,'3.3.clean'!A:A=C1458),"""")"),43853.0)</f>
        <v>43853</v>
      </c>
      <c r="N1458" s="60" t="b">
        <f t="shared" si="1178"/>
        <v>1</v>
      </c>
      <c r="O1458" s="59">
        <f>IFERROR(__xludf.DUMMYFUNCTION("iferror(filter('3.4.clean'!C:C,'3.4.clean'!A:A=C1458),"""")"),43854.0)</f>
        <v>43854</v>
      </c>
      <c r="P1458" s="60" t="b">
        <f t="shared" si="1179"/>
        <v>1</v>
      </c>
      <c r="Q1458" s="59" t="str">
        <f>IFERROR(__xludf.DUMMYFUNCTION("iferror(filter('3.5.clean'!C:C,'3.5.clean'!A:A=C1458),"""")"),"")</f>
        <v/>
      </c>
      <c r="R1458" s="58"/>
      <c r="S1458" s="4" t="str">
        <f>IFERROR(__xludf.DUMMYFUNCTION("iferror(filter('3.5.clean'!H:H,'3.5.clean'!A:A=C1458),"""")"),"")</f>
        <v/>
      </c>
      <c r="W1458" s="23" t="b">
        <f>if(AND(H1458=TRUE,N1458=TRUE,P1458=TRUE),TRUE,FALSE)</f>
        <v>1</v>
      </c>
      <c r="X1458" s="23" t="str">
        <f>IFERROR(__xludf.DUMMYFUNCTION("if(COUNTA(FILTER(C:C, C:C = C1458))=1,""no"",""yes"")"),"no")</f>
        <v>no</v>
      </c>
    </row>
    <row r="1459">
      <c r="A1459" s="75" t="s">
        <v>1022</v>
      </c>
      <c r="B1459" s="2">
        <v>12.0</v>
      </c>
      <c r="C1459" s="19" t="s">
        <v>2170</v>
      </c>
      <c r="D1459" s="58" t="str">
        <f t="shared" si="1189"/>
        <v/>
      </c>
      <c r="E1459" s="59">
        <f>Q1459</f>
        <v>43852</v>
      </c>
      <c r="F1459" s="60" t="str">
        <f>IFERROR(__xludf.DUMMYFUNCTION("iferror(ifna(IFNA(filter('2.1.clean'!E:E,'2.1.clean'!A:A=C1459),filter('2.2.clean'!G:G,'2.2.clean'!D:D=C1459)),filter('2.4.clean'!E:E,'2.4.clean'!A:A=C1459)),)"),"")</f>
        <v/>
      </c>
      <c r="G1459" s="59" t="str">
        <f>IFERROR(__xludf.DUMMYFUNCTION("iferror(filter('3.1.clean'!C:C,'3.1.clean'!A:A=C1459),"""")"),"")</f>
        <v/>
      </c>
      <c r="H1459" s="58"/>
      <c r="I1459" s="58" t="str">
        <f>IFERROR(__xludf.DUMMYFUNCTION("iferror(filter('3.1.clean'!G:G,'3.1.clean'!A:A=C1459),"""")"),"")</f>
        <v/>
      </c>
      <c r="J1459" s="60" t="str">
        <f>IFERROR(__xludf.DUMMYFUNCTION("iferror(filter('3.1.clean'!I:I,'3.1.clean'!A:A=C1459),"""")"),"")</f>
        <v/>
      </c>
      <c r="K1459" s="59"/>
      <c r="L1459" s="60"/>
      <c r="M1459" s="59" t="str">
        <f>IFERROR(__xludf.DUMMYFUNCTION("iferror(filter('3.3.clean'!C:C,'3.3.clean'!A:A=C1459),"""")"),"")</f>
        <v/>
      </c>
      <c r="N1459" s="60" t="b">
        <f t="shared" si="1178"/>
        <v>0</v>
      </c>
      <c r="O1459" s="59" t="str">
        <f>IFERROR(__xludf.DUMMYFUNCTION("iferror(filter('3.4.clean'!C:C,'3.4.clean'!A:A=C1459),"""")"),"")</f>
        <v/>
      </c>
      <c r="P1459" s="60" t="b">
        <f t="shared" si="1179"/>
        <v>0</v>
      </c>
      <c r="Q1459" s="59">
        <f>IFERROR(__xludf.DUMMYFUNCTION("iferror(filter('3.5.clean'!C:C,'3.5.clean'!A:A=C1459),"""")"),43852.0)</f>
        <v>43852</v>
      </c>
      <c r="R1459" s="58" t="b">
        <f>if(Q1459="",FALSE,TRUE)</f>
        <v>1</v>
      </c>
      <c r="S1459" s="4">
        <f>IFERROR(__xludf.DUMMYFUNCTION("iferror(filter('3.5.clean'!H:H,'3.5.clean'!A:A=C1459),"""")"),0.0)</f>
        <v>0</v>
      </c>
      <c r="V1459" s="52" t="s">
        <v>64</v>
      </c>
      <c r="W1459" s="23" t="b">
        <f>if(AND(R1459=TRUE,N1459=TRUE,P1459=TRUE),TRUE,FALSE)</f>
        <v>0</v>
      </c>
      <c r="X1459" s="23" t="str">
        <f>IFERROR(__xludf.DUMMYFUNCTION("if(COUNTA(FILTER(C:C, C:C = C1459))=1,""no"",""yes"")"),"no")</f>
        <v>no</v>
      </c>
    </row>
    <row r="1460">
      <c r="A1460" s="75" t="s">
        <v>1022</v>
      </c>
      <c r="B1460" s="2">
        <v>13.0</v>
      </c>
      <c r="C1460" s="23" t="s">
        <v>2171</v>
      </c>
      <c r="D1460" s="24"/>
      <c r="E1460" s="24">
        <f>IFERROR(__xludf.DUMMYFUNCTION("ifna(IFNA(filter('2.1.clean'!C:C,'2.1.clean'!A:A=C1460),filter('2.2.clean'!E:E,'2.2.clean'!D:D=C1460)),filter('2.4.clean'!C:C,'2.4.clean'!A:A=C1460))"),43852.0)</f>
        <v>43852</v>
      </c>
      <c r="F1460" s="25">
        <f>IFERROR(__xludf.DUMMYFUNCTION("iferror(ifna(IFNA(filter('2.1.clean'!E:E,'2.1.clean'!A:A=C1460),filter('2.2.clean'!G:G,'2.2.clean'!D:D=C1460)),filter('2.4.clean'!E:E,'2.4.clean'!A:A=C1460)),)"),2.1)</f>
        <v>2.1</v>
      </c>
      <c r="G1460" s="24">
        <f>IFERROR(__xludf.DUMMYFUNCTION("iferror(filter('3.1.clean'!C:C,'3.1.clean'!A:A=C1460),"""")"),43852.0)</f>
        <v>43852</v>
      </c>
      <c r="H1460" s="23" t="b">
        <f t="shared" ref="H1460:H1461" si="1190">if(G1460="",FALSE,TRUE)</f>
        <v>1</v>
      </c>
      <c r="J1460" s="25"/>
      <c r="K1460" s="24">
        <f>IFERROR(__xludf.DUMMYFUNCTION("iferror(filter('3.2.clean'!C:C,'3.2.clean'!A:A=C1460),"""")"),43852.0)</f>
        <v>43852</v>
      </c>
      <c r="L1460" s="25" t="b">
        <f>if(K1460="",FALSE,TRUE)</f>
        <v>1</v>
      </c>
      <c r="M1460" s="24">
        <f>IFERROR(__xludf.DUMMYFUNCTION("iferror(filter('3.3.clean'!C:C,'3.3.clean'!A:A=C1460),"""")"),43853.0)</f>
        <v>43853</v>
      </c>
      <c r="N1460" s="25" t="b">
        <f t="shared" si="1178"/>
        <v>1</v>
      </c>
      <c r="O1460" s="24">
        <f>IFERROR(__xludf.DUMMYFUNCTION("iferror(filter('3.4.clean'!C:C,'3.4.clean'!A:A=C1460),"""")"),43854.0)</f>
        <v>43854</v>
      </c>
      <c r="P1460" s="25" t="b">
        <f t="shared" si="1179"/>
        <v>1</v>
      </c>
      <c r="Q1460" s="24"/>
      <c r="S1460" s="25"/>
      <c r="U1460" s="23"/>
      <c r="V1460" s="1" t="s">
        <v>83</v>
      </c>
      <c r="W1460" s="23" t="b">
        <f>IF(and(H1460=TRUE,L1460=TRUE,N1460=TRUE,P1460=TRUE),TRUE,FALSE)</f>
        <v>1</v>
      </c>
      <c r="X1460" s="23" t="str">
        <f>IFERROR(__xludf.DUMMYFUNCTION("if(COUNTA(FILTER(C:C, C:C = C1460))=1,""no"",""yes"")"),"no")</f>
        <v>no</v>
      </c>
    </row>
    <row r="1461">
      <c r="A1461" s="75" t="s">
        <v>1022</v>
      </c>
      <c r="B1461" s="2">
        <v>14.0</v>
      </c>
      <c r="C1461" s="19" t="s">
        <v>2172</v>
      </c>
      <c r="D1461" s="58" t="str">
        <f t="shared" ref="D1461:D1462" si="1191">if(or(I1461=1,J1461=1,S1461=1),"pos","")</f>
        <v/>
      </c>
      <c r="E1461" s="59">
        <f>IFERROR(__xludf.DUMMYFUNCTION("ifna(IFNA(filter('2.1.clean'!C:C,'2.1.clean'!A:A=C1461),filter('2.2.clean'!E:E,'2.2.clean'!D:D=C1461)),filter('2.4.clean'!C:C,'2.4.clean'!A:A=C1461))"),43852.0)</f>
        <v>43852</v>
      </c>
      <c r="F1461" s="60">
        <f>IFERROR(__xludf.DUMMYFUNCTION("iferror(ifna(IFNA(filter('2.1.clean'!E:E,'2.1.clean'!A:A=C1461),filter('2.2.clean'!G:G,'2.2.clean'!D:D=C1461)),filter('2.4.clean'!E:E,'2.4.clean'!A:A=C1461)),)"),2.1)</f>
        <v>2.1</v>
      </c>
      <c r="G1461" s="59">
        <f>IFERROR(__xludf.DUMMYFUNCTION("iferror(filter('3.1.clean'!C:C,'3.1.clean'!A:A=C1461),"""")"),43852.0)</f>
        <v>43852</v>
      </c>
      <c r="H1461" s="58" t="b">
        <f t="shared" si="1190"/>
        <v>1</v>
      </c>
      <c r="I1461" s="58">
        <f>IFERROR(__xludf.DUMMYFUNCTION("iferror(filter('3.1.clean'!G:G,'3.1.clean'!A:A=C1461),"""")"),0.0)</f>
        <v>0</v>
      </c>
      <c r="J1461" s="60" t="str">
        <f>IFERROR(__xludf.DUMMYFUNCTION("iferror(filter('3.1.clean'!I:I,'3.1.clean'!A:A=C1461),"""")"),"")</f>
        <v/>
      </c>
      <c r="K1461" s="58"/>
      <c r="L1461" s="60"/>
      <c r="M1461" s="59" t="str">
        <f>IFERROR(__xludf.DUMMYFUNCTION("iferror(filter('3.3.clean'!C:C,'3.3.clean'!A:A=C1461),"""")"),"")</f>
        <v/>
      </c>
      <c r="N1461" s="60" t="b">
        <f t="shared" si="1178"/>
        <v>0</v>
      </c>
      <c r="O1461" s="59" t="str">
        <f>IFERROR(__xludf.DUMMYFUNCTION("iferror(filter('3.4.clean'!C:C,'3.4.clean'!A:A=C1461),"""")"),"")</f>
        <v/>
      </c>
      <c r="P1461" s="60" t="b">
        <f t="shared" si="1179"/>
        <v>0</v>
      </c>
      <c r="Q1461" s="59" t="str">
        <f>IFERROR(__xludf.DUMMYFUNCTION("iferror(filter('3.5.clean'!C:C,'3.5.clean'!A:A=C1461),"""")"),"")</f>
        <v/>
      </c>
      <c r="R1461" s="58"/>
      <c r="S1461" s="4" t="str">
        <f>IFERROR(__xludf.DUMMYFUNCTION("iferror(filter('3.5.clean'!H:H,'3.5.clean'!A:A=C1461),"""")"),"")</f>
        <v/>
      </c>
      <c r="W1461" s="23" t="b">
        <f>if(AND(H1461=TRUE,N1461=TRUE,P1461=TRUE),TRUE,FALSE)</f>
        <v>0</v>
      </c>
      <c r="X1461" s="23" t="str">
        <f>IFERROR(__xludf.DUMMYFUNCTION("if(COUNTA(FILTER(C:C, C:C = C1461))=1,""no"",""yes"")"),"no")</f>
        <v>no</v>
      </c>
    </row>
    <row r="1462">
      <c r="A1462" s="75" t="s">
        <v>1022</v>
      </c>
      <c r="B1462" s="2">
        <v>15.0</v>
      </c>
      <c r="C1462" s="19" t="s">
        <v>2173</v>
      </c>
      <c r="D1462" s="58" t="str">
        <f t="shared" si="1191"/>
        <v/>
      </c>
      <c r="E1462" s="59">
        <f>Q1462</f>
        <v>43852</v>
      </c>
      <c r="F1462" s="60" t="str">
        <f>IFERROR(__xludf.DUMMYFUNCTION("iferror(ifna(IFNA(filter('2.1.clean'!E:E,'2.1.clean'!A:A=C1462),filter('2.2.clean'!G:G,'2.2.clean'!D:D=C1462)),filter('2.4.clean'!E:E,'2.4.clean'!A:A=C1462)),)"),"")</f>
        <v/>
      </c>
      <c r="G1462" s="59" t="str">
        <f>IFERROR(__xludf.DUMMYFUNCTION("iferror(filter('3.1.clean'!C:C,'3.1.clean'!A:A=C1462),"""")"),"")</f>
        <v/>
      </c>
      <c r="H1462" s="58"/>
      <c r="I1462" s="58" t="str">
        <f>IFERROR(__xludf.DUMMYFUNCTION("iferror(filter('3.1.clean'!G:G,'3.1.clean'!A:A=C1462),"""")"),"")</f>
        <v/>
      </c>
      <c r="J1462" s="60" t="str">
        <f>IFERROR(__xludf.DUMMYFUNCTION("iferror(filter('3.1.clean'!I:I,'3.1.clean'!A:A=C1462),"""")"),"")</f>
        <v/>
      </c>
      <c r="K1462" s="59"/>
      <c r="L1462" s="60"/>
      <c r="M1462" s="59" t="str">
        <f>IFERROR(__xludf.DUMMYFUNCTION("iferror(filter('3.3.clean'!C:C,'3.3.clean'!A:A=C1462),"""")"),"")</f>
        <v/>
      </c>
      <c r="N1462" s="60" t="b">
        <f t="shared" si="1178"/>
        <v>0</v>
      </c>
      <c r="O1462" s="59" t="str">
        <f>IFERROR(__xludf.DUMMYFUNCTION("iferror(filter('3.4.clean'!C:C,'3.4.clean'!A:A=C1462),"""")"),"")</f>
        <v/>
      </c>
      <c r="P1462" s="60" t="b">
        <f t="shared" si="1179"/>
        <v>0</v>
      </c>
      <c r="Q1462" s="59">
        <f>IFERROR(__xludf.DUMMYFUNCTION("iferror(filter('3.5.clean'!C:C,'3.5.clean'!A:A=C1462),"""")"),43852.0)</f>
        <v>43852</v>
      </c>
      <c r="R1462" s="58" t="b">
        <f>if(Q1462="",FALSE,TRUE)</f>
        <v>1</v>
      </c>
      <c r="S1462" s="4">
        <f>IFERROR(__xludf.DUMMYFUNCTION("iferror(filter('3.5.clean'!H:H,'3.5.clean'!A:A=C1462),"""")"),0.0)</f>
        <v>0</v>
      </c>
      <c r="V1462" s="52" t="s">
        <v>64</v>
      </c>
      <c r="W1462" s="23" t="b">
        <f>if(AND(R1462=TRUE,N1462=TRUE,P1462=TRUE),TRUE,FALSE)</f>
        <v>0</v>
      </c>
      <c r="X1462" s="23" t="str">
        <f>IFERROR(__xludf.DUMMYFUNCTION("if(COUNTA(FILTER(C:C, C:C = C1462))=1,""no"",""yes"")"),"no")</f>
        <v>no</v>
      </c>
    </row>
    <row r="1463">
      <c r="A1463" s="75" t="s">
        <v>1022</v>
      </c>
      <c r="B1463" s="2">
        <v>16.0</v>
      </c>
      <c r="C1463" s="19" t="s">
        <v>704</v>
      </c>
      <c r="E1463" s="24">
        <f>IFERROR(__xludf.DUMMYFUNCTION("ifna(IFNA(filter('2.1.clean'!C:C,'2.1.clean'!A:A=C1463),filter('2.2.clean'!E:E,'2.2.clean'!D:D=C1463)),filter('2.4.clean'!C:C,'2.4.clean'!A:A=C1463))"),43852.0)</f>
        <v>43852</v>
      </c>
      <c r="F1463" s="25">
        <f>IFERROR(__xludf.DUMMYFUNCTION("iferror(ifna(IFNA(filter('2.1.clean'!E:E,'2.1.clean'!A:A=C1463),filter('2.2.clean'!G:G,'2.2.clean'!D:D=C1463)),filter('2.4.clean'!E:E,'2.4.clean'!A:A=C1463)),)"),2.2)</f>
        <v>2.2</v>
      </c>
      <c r="G1463" s="24">
        <f>IFERROR(__xludf.DUMMYFUNCTION("iferror(filter('3.1.clean'!C:C,'3.1.clean'!A:A=C1463),"""")"),43852.0)</f>
        <v>43852</v>
      </c>
      <c r="H1463" s="23" t="b">
        <f t="shared" ref="H1463:H1469" si="1192">if(G1463="",FALSE,TRUE)</f>
        <v>1</v>
      </c>
      <c r="J1463" s="25"/>
      <c r="K1463" s="24">
        <f>IFERROR(__xludf.DUMMYFUNCTION("iferror(filter('3.2.clean'!C:C,'3.2.clean'!A:A=C1463),"""")"),43852.0)</f>
        <v>43852</v>
      </c>
      <c r="L1463" s="25" t="b">
        <f t="shared" ref="L1463:L1467" si="1193">if(K1463="",FALSE,TRUE)</f>
        <v>1</v>
      </c>
      <c r="M1463" s="24">
        <f>IFERROR(__xludf.DUMMYFUNCTION("iferror(filter('3.3.clean'!C:C,'3.3.clean'!A:A=C1463),"""")"),43853.0)</f>
        <v>43853</v>
      </c>
      <c r="N1463" s="25" t="b">
        <f t="shared" si="1178"/>
        <v>1</v>
      </c>
      <c r="O1463" s="24">
        <f>IFERROR(__xludf.DUMMYFUNCTION("iferror(filter('3.4.clean'!C:C,'3.4.clean'!A:A=C1463),"""")"),43854.0)</f>
        <v>43854</v>
      </c>
      <c r="P1463" s="25" t="b">
        <f t="shared" si="1179"/>
        <v>1</v>
      </c>
      <c r="Q1463" s="24" t="str">
        <f>IFERROR(__xludf.DUMMYFUNCTION("iferror(filter('3.5.clean'!C:C,'3.5.clean'!A:A=C1463),"""")"),"")</f>
        <v/>
      </c>
      <c r="S1463" s="25"/>
      <c r="W1463" s="23" t="b">
        <f t="shared" ref="W1463:W1467" si="1194">IF(and(H1463=TRUE,L1463=TRUE,N1463=TRUE,P1463=TRUE),TRUE,FALSE)</f>
        <v>1</v>
      </c>
      <c r="X1463" s="23" t="str">
        <f>IFERROR(__xludf.DUMMYFUNCTION("if(COUNTA(FILTER(C:C, C:C = C1463))=1,""no"",""yes"")"),"no")</f>
        <v>no</v>
      </c>
    </row>
    <row r="1464">
      <c r="A1464" s="75" t="s">
        <v>1022</v>
      </c>
      <c r="B1464" s="2">
        <v>17.0</v>
      </c>
      <c r="C1464" s="19" t="s">
        <v>699</v>
      </c>
      <c r="E1464" s="24">
        <f>IFERROR(__xludf.DUMMYFUNCTION("ifna(IFNA(filter('2.1.clean'!C:C,'2.1.clean'!A:A=C1464),filter('2.2.clean'!E:E,'2.2.clean'!D:D=C1464)),filter('2.4.clean'!C:C,'2.4.clean'!A:A=C1464))"),43852.0)</f>
        <v>43852</v>
      </c>
      <c r="F1464" s="25">
        <f>IFERROR(__xludf.DUMMYFUNCTION("iferror(ifna(IFNA(filter('2.1.clean'!E:E,'2.1.clean'!A:A=C1464),filter('2.2.clean'!G:G,'2.2.clean'!D:D=C1464)),filter('2.4.clean'!E:E,'2.4.clean'!A:A=C1464)),)"),2.2)</f>
        <v>2.2</v>
      </c>
      <c r="G1464" s="24">
        <f>IFERROR(__xludf.DUMMYFUNCTION("iferror(filter('3.1.clean'!C:C,'3.1.clean'!A:A=C1464),"""")"),43852.0)</f>
        <v>43852</v>
      </c>
      <c r="H1464" s="23" t="b">
        <f t="shared" si="1192"/>
        <v>1</v>
      </c>
      <c r="J1464" s="25"/>
      <c r="K1464" s="24">
        <f>IFERROR(__xludf.DUMMYFUNCTION("iferror(filter('3.2.clean'!C:C,'3.2.clean'!A:A=C1464),"""")"),43852.0)</f>
        <v>43852</v>
      </c>
      <c r="L1464" s="25" t="b">
        <f t="shared" si="1193"/>
        <v>1</v>
      </c>
      <c r="M1464" s="24">
        <f>IFERROR(__xludf.DUMMYFUNCTION("iferror(filter('3.3.clean'!C:C,'3.3.clean'!A:A=C1464),"""")"),43853.0)</f>
        <v>43853</v>
      </c>
      <c r="N1464" s="25" t="b">
        <f t="shared" si="1178"/>
        <v>1</v>
      </c>
      <c r="O1464" s="24">
        <f>IFERROR(__xludf.DUMMYFUNCTION("iferror(filter('3.4.clean'!C:C,'3.4.clean'!A:A=C1464),"""")"),43854.0)</f>
        <v>43854</v>
      </c>
      <c r="P1464" s="25" t="b">
        <f t="shared" si="1179"/>
        <v>1</v>
      </c>
      <c r="Q1464" s="24" t="str">
        <f>IFERROR(__xludf.DUMMYFUNCTION("iferror(filter('3.5.clean'!C:C,'3.5.clean'!A:A=C1464),"""")"),"")</f>
        <v/>
      </c>
      <c r="S1464" s="25"/>
      <c r="W1464" s="23" t="b">
        <f t="shared" si="1194"/>
        <v>1</v>
      </c>
      <c r="X1464" s="23" t="str">
        <f>IFERROR(__xludf.DUMMYFUNCTION("if(COUNTA(FILTER(C:C, C:C = C1464))=1,""no"",""yes"")"),"no")</f>
        <v>no</v>
      </c>
    </row>
    <row r="1465">
      <c r="A1465" s="75" t="s">
        <v>1022</v>
      </c>
      <c r="B1465" s="2">
        <v>18.0</v>
      </c>
      <c r="C1465" s="19" t="s">
        <v>706</v>
      </c>
      <c r="E1465" s="24">
        <f>IFERROR(__xludf.DUMMYFUNCTION("ifna(IFNA(filter('2.1.clean'!C:C,'2.1.clean'!A:A=C1465),filter('2.2.clean'!E:E,'2.2.clean'!D:D=C1465)),filter('2.4.clean'!C:C,'2.4.clean'!A:A=C1465))"),43852.0)</f>
        <v>43852</v>
      </c>
      <c r="F1465" s="25">
        <f>IFERROR(__xludf.DUMMYFUNCTION("iferror(ifna(IFNA(filter('2.1.clean'!E:E,'2.1.clean'!A:A=C1465),filter('2.2.clean'!G:G,'2.2.clean'!D:D=C1465)),filter('2.4.clean'!E:E,'2.4.clean'!A:A=C1465)),)"),2.2)</f>
        <v>2.2</v>
      </c>
      <c r="G1465" s="24">
        <f>IFERROR(__xludf.DUMMYFUNCTION("iferror(filter('3.1.clean'!C:C,'3.1.clean'!A:A=C1465),"""")"),43852.0)</f>
        <v>43852</v>
      </c>
      <c r="H1465" s="23" t="b">
        <f t="shared" si="1192"/>
        <v>1</v>
      </c>
      <c r="J1465" s="25"/>
      <c r="K1465" s="24">
        <f>IFERROR(__xludf.DUMMYFUNCTION("iferror(filter('3.2.clean'!C:C,'3.2.clean'!A:A=C1465),"""")"),43852.0)</f>
        <v>43852</v>
      </c>
      <c r="L1465" s="25" t="b">
        <f t="shared" si="1193"/>
        <v>1</v>
      </c>
      <c r="M1465" s="24">
        <f>IFERROR(__xludf.DUMMYFUNCTION("iferror(filter('3.3.clean'!C:C,'3.3.clean'!A:A=C1465),"""")"),43853.0)</f>
        <v>43853</v>
      </c>
      <c r="N1465" s="25" t="b">
        <f t="shared" si="1178"/>
        <v>1</v>
      </c>
      <c r="O1465" s="24">
        <f>IFERROR(__xludf.DUMMYFUNCTION("iferror(filter('3.4.clean'!C:C,'3.4.clean'!A:A=C1465),"""")"),43854.0)</f>
        <v>43854</v>
      </c>
      <c r="P1465" s="25" t="b">
        <f t="shared" si="1179"/>
        <v>1</v>
      </c>
      <c r="Q1465" s="24" t="str">
        <f>IFERROR(__xludf.DUMMYFUNCTION("iferror(filter('3.5.clean'!C:C,'3.5.clean'!A:A=C1465),"""")"),"")</f>
        <v/>
      </c>
      <c r="S1465" s="25"/>
      <c r="W1465" s="23" t="b">
        <f t="shared" si="1194"/>
        <v>1</v>
      </c>
      <c r="X1465" s="23" t="str">
        <f>IFERROR(__xludf.DUMMYFUNCTION("if(COUNTA(FILTER(C:C, C:C = C1465))=1,""no"",""yes"")"),"no")</f>
        <v>no</v>
      </c>
    </row>
    <row r="1466">
      <c r="A1466" s="75" t="s">
        <v>1022</v>
      </c>
      <c r="B1466" s="2">
        <v>19.0</v>
      </c>
      <c r="C1466" s="19" t="s">
        <v>696</v>
      </c>
      <c r="E1466" s="24">
        <f>IFERROR(__xludf.DUMMYFUNCTION("ifna(IFNA(filter('2.1.clean'!C:C,'2.1.clean'!A:A=C1466),filter('2.2.clean'!E:E,'2.2.clean'!D:D=C1466)),filter('2.4.clean'!C:C,'2.4.clean'!A:A=C1466))"),43852.0)</f>
        <v>43852</v>
      </c>
      <c r="F1466" s="25">
        <f>IFERROR(__xludf.DUMMYFUNCTION("iferror(ifna(IFNA(filter('2.1.clean'!E:E,'2.1.clean'!A:A=C1466),filter('2.2.clean'!G:G,'2.2.clean'!D:D=C1466)),filter('2.4.clean'!E:E,'2.4.clean'!A:A=C1466)),)"),2.2)</f>
        <v>2.2</v>
      </c>
      <c r="G1466" s="24">
        <f>IFERROR(__xludf.DUMMYFUNCTION("iferror(filter('3.1.clean'!C:C,'3.1.clean'!A:A=C1466),"""")"),43852.0)</f>
        <v>43852</v>
      </c>
      <c r="H1466" s="23" t="b">
        <f t="shared" si="1192"/>
        <v>1</v>
      </c>
      <c r="J1466" s="25"/>
      <c r="K1466" s="24">
        <f>IFERROR(__xludf.DUMMYFUNCTION("iferror(filter('3.2.clean'!C:C,'3.2.clean'!A:A=C1466),"""")"),43852.0)</f>
        <v>43852</v>
      </c>
      <c r="L1466" s="25" t="b">
        <f t="shared" si="1193"/>
        <v>1</v>
      </c>
      <c r="M1466" s="24">
        <f>IFERROR(__xludf.DUMMYFUNCTION("iferror(filter('3.3.clean'!C:C,'3.3.clean'!A:A=C1466),"""")"),43853.0)</f>
        <v>43853</v>
      </c>
      <c r="N1466" s="25" t="b">
        <f t="shared" si="1178"/>
        <v>1</v>
      </c>
      <c r="O1466" s="24">
        <f>IFERROR(__xludf.DUMMYFUNCTION("iferror(filter('3.4.clean'!C:C,'3.4.clean'!A:A=C1466),"""")"),43854.0)</f>
        <v>43854</v>
      </c>
      <c r="P1466" s="25" t="b">
        <f t="shared" si="1179"/>
        <v>1</v>
      </c>
      <c r="Q1466" s="24" t="str">
        <f>IFERROR(__xludf.DUMMYFUNCTION("iferror(filter('3.5.clean'!C:C,'3.5.clean'!A:A=C1466),"""")"),"")</f>
        <v/>
      </c>
      <c r="S1466" s="25"/>
      <c r="W1466" s="23" t="b">
        <f t="shared" si="1194"/>
        <v>1</v>
      </c>
      <c r="X1466" s="23" t="str">
        <f>IFERROR(__xludf.DUMMYFUNCTION("if(COUNTA(FILTER(C:C, C:C = C1466))=1,""no"",""yes"")"),"no")</f>
        <v>no</v>
      </c>
    </row>
    <row r="1467">
      <c r="A1467" s="75" t="s">
        <v>1022</v>
      </c>
      <c r="B1467" s="2">
        <v>20.0</v>
      </c>
      <c r="C1467" s="19" t="s">
        <v>701</v>
      </c>
      <c r="E1467" s="24">
        <f>IFERROR(__xludf.DUMMYFUNCTION("ifna(IFNA(filter('2.1.clean'!C:C,'2.1.clean'!A:A=C1467),filter('2.2.clean'!E:E,'2.2.clean'!D:D=C1467)),filter('2.4.clean'!C:C,'2.4.clean'!A:A=C1467))"),43852.0)</f>
        <v>43852</v>
      </c>
      <c r="F1467" s="25">
        <f>IFERROR(__xludf.DUMMYFUNCTION("iferror(ifna(IFNA(filter('2.1.clean'!E:E,'2.1.clean'!A:A=C1467),filter('2.2.clean'!G:G,'2.2.clean'!D:D=C1467)),filter('2.4.clean'!E:E,'2.4.clean'!A:A=C1467)),)"),2.2)</f>
        <v>2.2</v>
      </c>
      <c r="G1467" s="24">
        <f>IFERROR(__xludf.DUMMYFUNCTION("iferror(filter('3.1.clean'!C:C,'3.1.clean'!A:A=C1467),"""")"),43852.0)</f>
        <v>43852</v>
      </c>
      <c r="H1467" s="23" t="b">
        <f t="shared" si="1192"/>
        <v>1</v>
      </c>
      <c r="J1467" s="25"/>
      <c r="K1467" s="24">
        <f>IFERROR(__xludf.DUMMYFUNCTION("iferror(filter('3.2.clean'!C:C,'3.2.clean'!A:A=C1467),"""")"),43852.0)</f>
        <v>43852</v>
      </c>
      <c r="L1467" s="25" t="b">
        <f t="shared" si="1193"/>
        <v>1</v>
      </c>
      <c r="M1467" s="24">
        <f>IFERROR(__xludf.DUMMYFUNCTION("iferror(filter('3.3.clean'!C:C,'3.3.clean'!A:A=C1467),"""")"),43853.0)</f>
        <v>43853</v>
      </c>
      <c r="N1467" s="25" t="b">
        <f t="shared" si="1178"/>
        <v>1</v>
      </c>
      <c r="O1467" s="24">
        <f>IFERROR(__xludf.DUMMYFUNCTION("iferror(filter('3.4.clean'!C:C,'3.4.clean'!A:A=C1467),"""")"),43854.0)</f>
        <v>43854</v>
      </c>
      <c r="P1467" s="25" t="b">
        <f t="shared" si="1179"/>
        <v>1</v>
      </c>
      <c r="Q1467" s="24" t="str">
        <f>IFERROR(__xludf.DUMMYFUNCTION("iferror(filter('3.5.clean'!C:C,'3.5.clean'!A:A=C1467),"""")"),"")</f>
        <v/>
      </c>
      <c r="S1467" s="25"/>
      <c r="W1467" s="23" t="b">
        <f t="shared" si="1194"/>
        <v>1</v>
      </c>
      <c r="X1467" s="23" t="str">
        <f>IFERROR(__xludf.DUMMYFUNCTION("if(COUNTA(FILTER(C:C, C:C = C1467))=1,""no"",""yes"")"),"no")</f>
        <v>no</v>
      </c>
    </row>
    <row r="1468">
      <c r="A1468" s="75" t="s">
        <v>1022</v>
      </c>
      <c r="B1468" s="2">
        <v>21.0</v>
      </c>
      <c r="C1468" s="19" t="s">
        <v>708</v>
      </c>
      <c r="D1468" s="58" t="str">
        <f>if(or(I1468=1,J1468=1,S1468=1),"pos","")</f>
        <v/>
      </c>
      <c r="E1468" s="59">
        <f>IFERROR(__xludf.DUMMYFUNCTION("ifna(IFNA(filter('2.1.clean'!C:C,'2.1.clean'!A:A=C1468),filter('2.2.clean'!E:E,'2.2.clean'!D:D=C1468)),filter('2.4.clean'!C:C,'2.4.clean'!A:A=C1468))"),43852.0)</f>
        <v>43852</v>
      </c>
      <c r="F1468" s="60">
        <f>IFERROR(__xludf.DUMMYFUNCTION("iferror(ifna(IFNA(filter('2.1.clean'!E:E,'2.1.clean'!A:A=C1468),filter('2.2.clean'!G:G,'2.2.clean'!D:D=C1468)),filter('2.4.clean'!E:E,'2.4.clean'!A:A=C1468)),)"),2.2)</f>
        <v>2.2</v>
      </c>
      <c r="G1468" s="59">
        <f>IFERROR(__xludf.DUMMYFUNCTION("iferror(filter('3.1.clean'!C:C,'3.1.clean'!A:A=C1468),"""")"),43852.0)</f>
        <v>43852</v>
      </c>
      <c r="H1468" s="58" t="b">
        <f t="shared" si="1192"/>
        <v>1</v>
      </c>
      <c r="I1468" s="58">
        <f>IFERROR(__xludf.DUMMYFUNCTION("iferror(filter('3.1.clean'!G:G,'3.1.clean'!A:A=C1468),"""")"),0.0)</f>
        <v>0</v>
      </c>
      <c r="J1468" s="60" t="str">
        <f>IFERROR(__xludf.DUMMYFUNCTION("iferror(filter('3.1.clean'!I:I,'3.1.clean'!A:A=C1468),"""")"),"")</f>
        <v/>
      </c>
      <c r="K1468" s="58"/>
      <c r="L1468" s="60"/>
      <c r="M1468" s="59" t="str">
        <f>IFERROR(__xludf.DUMMYFUNCTION("iferror(filter('3.3.clean'!C:C,'3.3.clean'!A:A=C1468),"""")"),"")</f>
        <v/>
      </c>
      <c r="N1468" s="60" t="b">
        <f t="shared" si="1178"/>
        <v>0</v>
      </c>
      <c r="O1468" s="59" t="str">
        <f>IFERROR(__xludf.DUMMYFUNCTION("iferror(filter('3.4.clean'!C:C,'3.4.clean'!A:A=C1468),"""")"),"")</f>
        <v/>
      </c>
      <c r="P1468" s="60" t="b">
        <f t="shared" si="1179"/>
        <v>0</v>
      </c>
      <c r="Q1468" s="59" t="str">
        <f>IFERROR(__xludf.DUMMYFUNCTION("iferror(filter('3.5.clean'!C:C,'3.5.clean'!A:A=C1468),"""")"),"")</f>
        <v/>
      </c>
      <c r="R1468" s="58"/>
      <c r="S1468" s="4" t="str">
        <f>IFERROR(__xludf.DUMMYFUNCTION("iferror(filter('3.5.clean'!H:H,'3.5.clean'!A:A=C1468),"""")"),"")</f>
        <v/>
      </c>
      <c r="W1468" s="23" t="b">
        <f>if(AND(H1468=TRUE,N1468=TRUE,P1468=TRUE),TRUE,FALSE)</f>
        <v>0</v>
      </c>
      <c r="X1468" s="23" t="str">
        <f>IFERROR(__xludf.DUMMYFUNCTION("if(COUNTA(FILTER(C:C, C:C = C1468))=1,""no"",""yes"")"),"no")</f>
        <v>no</v>
      </c>
    </row>
    <row r="1469">
      <c r="A1469" s="75" t="s">
        <v>1022</v>
      </c>
      <c r="B1469" s="2">
        <v>21.0</v>
      </c>
      <c r="C1469" s="19" t="s">
        <v>2174</v>
      </c>
      <c r="E1469" s="24">
        <f>IFERROR(__xludf.DUMMYFUNCTION("ifna(IFNA(filter('2.1.clean'!C:C,'2.1.clean'!A:A=C1469),filter('2.2.clean'!E:E,'2.2.clean'!D:D=C1469)),filter('2.4.clean'!C:C,'2.4.clean'!A:A=C1469))"),43852.0)</f>
        <v>43852</v>
      </c>
      <c r="F1469" s="25">
        <f>IFERROR(__xludf.DUMMYFUNCTION("iferror(ifna(IFNA(filter('2.1.clean'!E:E,'2.1.clean'!A:A=C1469),filter('2.2.clean'!G:G,'2.2.clean'!D:D=C1469)),filter('2.4.clean'!E:E,'2.4.clean'!A:A=C1469)),)"),2.39999999999999)</f>
        <v>2.4</v>
      </c>
      <c r="G1469" s="24">
        <f>IFERROR(__xludf.DUMMYFUNCTION("iferror(filter('3.1.clean'!C:C,'3.1.clean'!A:A=C1469),"""")"),43852.0)</f>
        <v>43852</v>
      </c>
      <c r="H1469" s="23" t="b">
        <f t="shared" si="1192"/>
        <v>1</v>
      </c>
      <c r="J1469" s="25"/>
      <c r="K1469" s="24">
        <f>IFERROR(__xludf.DUMMYFUNCTION("iferror(filter('3.2.clean'!C:C,'3.2.clean'!A:A=C1469),"""")"),43852.0)</f>
        <v>43852</v>
      </c>
      <c r="L1469" s="25" t="b">
        <f>if(K1469="",FALSE,TRUE)</f>
        <v>1</v>
      </c>
      <c r="M1469" s="24">
        <f>IFERROR(__xludf.DUMMYFUNCTION("iferror(filter('3.3.clean'!C:C,'3.3.clean'!A:A=C1469),"""")"),43853.0)</f>
        <v>43853</v>
      </c>
      <c r="N1469" s="25" t="b">
        <f t="shared" si="1178"/>
        <v>1</v>
      </c>
      <c r="O1469" s="24">
        <f>IFERROR(__xludf.DUMMYFUNCTION("iferror(filter('3.4.clean'!C:C,'3.4.clean'!A:A=C1469),"""")"),43854.0)</f>
        <v>43854</v>
      </c>
      <c r="P1469" s="25" t="b">
        <f t="shared" si="1179"/>
        <v>1</v>
      </c>
      <c r="Q1469" s="24" t="str">
        <f>IFERROR(__xludf.DUMMYFUNCTION("iferror(filter('3.5.clean'!C:C,'3.5.clean'!A:A=C1469),"""")"),"")</f>
        <v/>
      </c>
      <c r="R1469" s="23" t="b">
        <f t="shared" ref="R1469:R1470" si="1195">if(Q1469="",FALSE,TRUE)</f>
        <v>0</v>
      </c>
      <c r="S1469" s="25"/>
      <c r="U1469" s="23"/>
      <c r="V1469" s="1" t="s">
        <v>64</v>
      </c>
      <c r="X1469" s="23" t="str">
        <f>IFERROR(__xludf.DUMMYFUNCTION("if(COUNTA(FILTER(C:C, C:C = C1469))=1,""no"",""yes"")"),"no")</f>
        <v>no</v>
      </c>
    </row>
    <row r="1470">
      <c r="A1470" s="75" t="s">
        <v>1022</v>
      </c>
      <c r="B1470" s="2">
        <v>22.0</v>
      </c>
      <c r="C1470" s="19" t="s">
        <v>2175</v>
      </c>
      <c r="D1470" s="58" t="str">
        <f t="shared" ref="D1470:D1472" si="1196">if(or(I1470=1,J1470=1,S1470=1),"pos","")</f>
        <v/>
      </c>
      <c r="E1470" s="59">
        <f>Q1470</f>
        <v>43852</v>
      </c>
      <c r="F1470" s="60" t="str">
        <f>IFERROR(__xludf.DUMMYFUNCTION("iferror(ifna(IFNA(filter('2.1.clean'!E:E,'2.1.clean'!A:A=C1470),filter('2.2.clean'!G:G,'2.2.clean'!D:D=C1470)),filter('2.4.clean'!E:E,'2.4.clean'!A:A=C1470)),)"),"")</f>
        <v/>
      </c>
      <c r="G1470" s="59" t="str">
        <f>IFERROR(__xludf.DUMMYFUNCTION("iferror(filter('3.1.clean'!C:C,'3.1.clean'!A:A=C1470),"""")"),"")</f>
        <v/>
      </c>
      <c r="H1470" s="58"/>
      <c r="I1470" s="58" t="str">
        <f>IFERROR(__xludf.DUMMYFUNCTION("iferror(filter('3.1.clean'!G:G,'3.1.clean'!A:A=C1470),"""")"),"")</f>
        <v/>
      </c>
      <c r="J1470" s="60" t="str">
        <f>IFERROR(__xludf.DUMMYFUNCTION("iferror(filter('3.1.clean'!I:I,'3.1.clean'!A:A=C1470),"""")"),"")</f>
        <v/>
      </c>
      <c r="K1470" s="59"/>
      <c r="L1470" s="60"/>
      <c r="M1470" s="59" t="str">
        <f>IFERROR(__xludf.DUMMYFUNCTION("iferror(filter('3.3.clean'!C:C,'3.3.clean'!A:A=C1470),"""")"),"")</f>
        <v/>
      </c>
      <c r="N1470" s="60" t="b">
        <f t="shared" si="1178"/>
        <v>0</v>
      </c>
      <c r="O1470" s="59" t="str">
        <f>IFERROR(__xludf.DUMMYFUNCTION("iferror(filter('3.4.clean'!C:C,'3.4.clean'!A:A=C1470),"""")"),"")</f>
        <v/>
      </c>
      <c r="P1470" s="60" t="b">
        <f t="shared" si="1179"/>
        <v>0</v>
      </c>
      <c r="Q1470" s="59">
        <f>IFERROR(__xludf.DUMMYFUNCTION("iferror(filter('3.5.clean'!C:C,'3.5.clean'!A:A=C1470),"""")"),43852.0)</f>
        <v>43852</v>
      </c>
      <c r="R1470" s="58" t="b">
        <f t="shared" si="1195"/>
        <v>1</v>
      </c>
      <c r="S1470" s="4">
        <f>IFERROR(__xludf.DUMMYFUNCTION("iferror(filter('3.5.clean'!H:H,'3.5.clean'!A:A=C1470),"""")"),0.0)</f>
        <v>0</v>
      </c>
      <c r="V1470" s="52" t="s">
        <v>64</v>
      </c>
      <c r="W1470" s="23" t="b">
        <f>if(AND(R1470=TRUE,N1470=TRUE,P1470=TRUE),TRUE,FALSE)</f>
        <v>0</v>
      </c>
      <c r="X1470" s="23" t="str">
        <f>IFERROR(__xludf.DUMMYFUNCTION("if(COUNTA(FILTER(C:C, C:C = C1470))=1,""no"",""yes"")"),"no")</f>
        <v>no</v>
      </c>
    </row>
    <row r="1471">
      <c r="A1471" s="75" t="s">
        <v>1022</v>
      </c>
      <c r="B1471" s="19">
        <v>22.0</v>
      </c>
      <c r="C1471" s="19" t="s">
        <v>2176</v>
      </c>
      <c r="D1471" s="76" t="str">
        <f t="shared" si="1196"/>
        <v/>
      </c>
      <c r="E1471" s="77">
        <f>G1471</f>
        <v>43852</v>
      </c>
      <c r="F1471" s="78" t="str">
        <f>IFERROR(__xludf.DUMMYFUNCTION("iferror(ifna(IFNA(filter('2.1.clean'!E:E,'2.1.clean'!A:A=C1471),filter('2.2.clean'!G:G,'2.2.clean'!D:D=C1471)),filter('2.4.clean'!E:E,'2.4.clean'!A:A=C1471)),)"),"")</f>
        <v/>
      </c>
      <c r="G1471" s="77">
        <f>IFERROR(__xludf.DUMMYFUNCTION("iferror(filter('3.1.clean'!C:C,'3.1.clean'!A:A=C1471),"""")"),43852.0)</f>
        <v>43852</v>
      </c>
      <c r="H1471" s="76" t="b">
        <f>if(G1471="",FALSE,TRUE)</f>
        <v>1</v>
      </c>
      <c r="I1471" s="76">
        <f>IFERROR(__xludf.DUMMYFUNCTION("iferror(filter('3.1.clean'!G:G,'3.1.clean'!A:A=C1471),"""")"),0.0)</f>
        <v>0</v>
      </c>
      <c r="J1471" s="78" t="str">
        <f>IFERROR(__xludf.DUMMYFUNCTION("iferror(filter('3.1.clean'!I:I,'3.1.clean'!A:A=C1471),"""")"),"")</f>
        <v/>
      </c>
      <c r="K1471" s="77"/>
      <c r="L1471" s="78"/>
      <c r="M1471" s="77"/>
      <c r="N1471" s="78"/>
      <c r="O1471" s="77"/>
      <c r="P1471" s="78"/>
      <c r="Q1471" s="77"/>
      <c r="R1471" s="76"/>
      <c r="S1471" s="25"/>
      <c r="V1471" s="1" t="s">
        <v>64</v>
      </c>
      <c r="W1471" s="1" t="b">
        <v>1</v>
      </c>
      <c r="X1471" s="23" t="str">
        <f>IFERROR(__xludf.DUMMYFUNCTION("if(COUNTA(FILTER(C:C, C:C = C1471))=1,""no"",""yes"")"),"no")</f>
        <v>no</v>
      </c>
    </row>
    <row r="1472">
      <c r="A1472" s="75" t="s">
        <v>1022</v>
      </c>
      <c r="B1472" s="19">
        <v>23.0</v>
      </c>
      <c r="C1472" s="19" t="s">
        <v>2177</v>
      </c>
      <c r="D1472" s="22" t="str">
        <f t="shared" si="1196"/>
        <v/>
      </c>
      <c r="E1472" s="20">
        <f>Q1472</f>
        <v>43852</v>
      </c>
      <c r="F1472" s="79" t="str">
        <f>IFERROR(__xludf.DUMMYFUNCTION("iferror(ifna(IFNA(filter('2.1.clean'!E:E,'2.1.clean'!A:A=C1472),filter('2.2.clean'!G:G,'2.2.clean'!D:D=C1472)),filter('2.4.clean'!E:E,'2.4.clean'!A:A=C1472)),)"),"")</f>
        <v/>
      </c>
      <c r="G1472" s="20" t="str">
        <f>IFERROR(__xludf.DUMMYFUNCTION("iferror(filter('3.1.clean'!C:C,'3.1.clean'!A:A=C1472),"""")"),"")</f>
        <v/>
      </c>
      <c r="H1472" s="22"/>
      <c r="I1472" s="22"/>
      <c r="J1472" s="79"/>
      <c r="K1472" s="20" t="str">
        <f>IFERROR(__xludf.DUMMYFUNCTION("iferror(filter('3.2.clean'!C:C,'3.2.clean'!A:A=C1472),"""")"),"")</f>
        <v/>
      </c>
      <c r="L1472" s="79"/>
      <c r="M1472" s="20" t="str">
        <f>IFERROR(__xludf.DUMMYFUNCTION("iferror(filter('3.3.clean'!C:C,'3.3.clean'!A:A=C1472),"""")"),"")</f>
        <v/>
      </c>
      <c r="N1472" s="79" t="b">
        <f t="shared" ref="N1472:N1483" si="1197">if(M1472="",FALSE,TRUE)</f>
        <v>0</v>
      </c>
      <c r="O1472" s="20" t="str">
        <f>IFERROR(__xludf.DUMMYFUNCTION("iferror(filter('3.4.clean'!C:C,'3.4.clean'!A:A=C1472),"""")"),"")</f>
        <v/>
      </c>
      <c r="P1472" s="79" t="b">
        <f t="shared" ref="P1472:P1483" si="1198">if(O1472="",FALSE,TRUE)</f>
        <v>0</v>
      </c>
      <c r="Q1472" s="20">
        <f>IFERROR(__xludf.DUMMYFUNCTION("iferror(filter('3.5.clean'!C:C,'3.5.clean'!A:A=C1472),"""")"),43852.0)</f>
        <v>43852</v>
      </c>
      <c r="R1472" s="22" t="b">
        <f>if(Q1472="",FALSE,TRUE)</f>
        <v>1</v>
      </c>
      <c r="S1472" s="4">
        <f>IFERROR(__xludf.DUMMYFUNCTION("iferror(filter('3.5.clean'!H:H,'3.5.clean'!A:A=C1472),"""")"),0.0)</f>
        <v>0</v>
      </c>
      <c r="V1472" s="1" t="s">
        <v>64</v>
      </c>
      <c r="W1472" s="23" t="b">
        <f>IF(and(R1472=TRUE,N1472=TRUE,P1472=TRUE),TRUE,FALSE)</f>
        <v>0</v>
      </c>
      <c r="X1472" s="23" t="str">
        <f>IFERROR(__xludf.DUMMYFUNCTION("if(COUNTA(FILTER(C:C, C:C = C1472))=1,""no"",""yes"")"),"no")</f>
        <v>no</v>
      </c>
    </row>
    <row r="1473">
      <c r="A1473" s="75" t="s">
        <v>1022</v>
      </c>
      <c r="B1473" s="2">
        <v>24.0</v>
      </c>
      <c r="C1473" s="19" t="s">
        <v>2178</v>
      </c>
      <c r="E1473" s="24">
        <f>M1473</f>
        <v>43852</v>
      </c>
      <c r="F1473" s="25" t="str">
        <f>IFERROR(__xludf.DUMMYFUNCTION("iferror(ifna(IFNA(filter('2.1.clean'!E:E,'2.1.clean'!A:A=C1473),filter('2.2.clean'!G:G,'2.2.clean'!D:D=C1473)),filter('2.4.clean'!E:E,'2.4.clean'!A:A=C1473)),)"),"")</f>
        <v/>
      </c>
      <c r="G1473" s="24" t="str">
        <f>IFERROR(__xludf.DUMMYFUNCTION("iferror(filter('3.1.clean'!C:C,'3.1.clean'!A:A=C1473),"""")"),"")</f>
        <v/>
      </c>
      <c r="J1473" s="25"/>
      <c r="K1473" s="24" t="str">
        <f>IFERROR(__xludf.DUMMYFUNCTION("iferror(filter('3.2.clean'!C:C,'3.2.clean'!A:A=C1473),"""")"),"")</f>
        <v/>
      </c>
      <c r="L1473" s="25"/>
      <c r="M1473" s="24">
        <f>IFERROR(__xludf.DUMMYFUNCTION("iferror(filter('3.3.clean'!C:C,'3.3.clean'!A:A=C1473),"""")"),43852.0)</f>
        <v>43852</v>
      </c>
      <c r="N1473" s="25" t="b">
        <f t="shared" si="1197"/>
        <v>1</v>
      </c>
      <c r="O1473" s="24" t="str">
        <f>IFERROR(__xludf.DUMMYFUNCTION("iferror(filter('3.4.clean'!C:C,'3.4.clean'!A:A=C1473),"""")"),"")</f>
        <v/>
      </c>
      <c r="P1473" s="25" t="b">
        <f t="shared" si="1198"/>
        <v>0</v>
      </c>
      <c r="Q1473" s="24" t="str">
        <f>IFERROR(__xludf.DUMMYFUNCTION("iferror(filter('3.5.clean'!C:C,'3.5.clean'!A:A=C1473),"""")"),"")</f>
        <v/>
      </c>
      <c r="S1473" s="25"/>
      <c r="V1473" s="52" t="s">
        <v>64</v>
      </c>
      <c r="X1473" s="23" t="str">
        <f>IFERROR(__xludf.DUMMYFUNCTION("if(COUNTA(FILTER(C:C, C:C = C1473))=1,""no"",""yes"")"),"no")</f>
        <v>no</v>
      </c>
    </row>
    <row r="1474">
      <c r="A1474" s="75" t="s">
        <v>1022</v>
      </c>
      <c r="B1474" s="2">
        <v>25.0</v>
      </c>
      <c r="C1474" s="19" t="s">
        <v>2179</v>
      </c>
      <c r="E1474" s="24">
        <v>43852.0</v>
      </c>
      <c r="F1474" s="25" t="str">
        <f>IFERROR(__xludf.DUMMYFUNCTION("iferror(ifna(IFNA(filter('2.1.clean'!E:E,'2.1.clean'!A:A=C1474),filter('2.2.clean'!G:G,'2.2.clean'!D:D=C1474)),filter('2.4.clean'!E:E,'2.4.clean'!A:A=C1474)),)"),"")</f>
        <v/>
      </c>
      <c r="G1474" s="24" t="str">
        <f>IFERROR(__xludf.DUMMYFUNCTION("iferror(filter('3.1.clean'!C:C,'3.1.clean'!A:A=C1474),"""")"),"")</f>
        <v/>
      </c>
      <c r="J1474" s="25"/>
      <c r="K1474" s="24" t="str">
        <f>IFERROR(__xludf.DUMMYFUNCTION("iferror(filter('3.2.clean'!C:C,'3.2.clean'!A:A=C1474),"""")"),"")</f>
        <v/>
      </c>
      <c r="L1474" s="25"/>
      <c r="M1474" s="24">
        <f>IFERROR(__xludf.DUMMYFUNCTION("iferror(filter('3.3.clean'!C:C,'3.3.clean'!A:A=C1474),"""")"),43853.0)</f>
        <v>43853</v>
      </c>
      <c r="N1474" s="25" t="b">
        <f t="shared" si="1197"/>
        <v>1</v>
      </c>
      <c r="O1474" s="24">
        <f>IFERROR(__xludf.DUMMYFUNCTION("iferror(filter('3.4.clean'!C:C,'3.4.clean'!A:A=C1474),"""")"),43854.0)</f>
        <v>43854</v>
      </c>
      <c r="P1474" s="25" t="b">
        <f t="shared" si="1198"/>
        <v>1</v>
      </c>
      <c r="Q1474" s="24" t="str">
        <f>IFERROR(__xludf.DUMMYFUNCTION("iferror(filter('3.5.clean'!C:C,'3.5.clean'!A:A=C1474),"""")"),"")</f>
        <v/>
      </c>
      <c r="S1474" s="25"/>
      <c r="V1474" s="52" t="s">
        <v>64</v>
      </c>
      <c r="X1474" s="23" t="str">
        <f>IFERROR(__xludf.DUMMYFUNCTION("if(COUNTA(FILTER(C:C, C:C = C1474))=1,""no"",""yes"")"),"no")</f>
        <v>no</v>
      </c>
    </row>
    <row r="1475">
      <c r="A1475" s="1" t="s">
        <v>1027</v>
      </c>
      <c r="B1475" s="2">
        <v>1.0</v>
      </c>
      <c r="C1475" s="19" t="s">
        <v>2180</v>
      </c>
      <c r="D1475" s="24"/>
      <c r="E1475" s="24">
        <f>IFERROR(__xludf.DUMMYFUNCTION("ifna(IFNA(filter('2.1.clean'!C:C,'2.1.clean'!A:A=C1475),filter('2.2.clean'!E:E,'2.2.clean'!D:D=C1475)),filter('2.4.clean'!C:C,'2.4.clean'!A:A=C1475))"),43857.0)</f>
        <v>43857</v>
      </c>
      <c r="F1475" s="25">
        <f>IFERROR(__xludf.DUMMYFUNCTION("iferror(ifna(IFNA(filter('2.1.clean'!E:E,'2.1.clean'!A:A=C1475),filter('2.2.clean'!G:G,'2.2.clean'!D:D=C1475)),filter('2.4.clean'!E:E,'2.4.clean'!A:A=C1475)),)"),2.1)</f>
        <v>2.1</v>
      </c>
      <c r="G1475" s="24">
        <f>IFERROR(__xludf.DUMMYFUNCTION("iferror(filter('3.1.clean'!C:C,'3.1.clean'!A:A=C1475),"""")"),43857.0)</f>
        <v>43857</v>
      </c>
      <c r="H1475" s="23" t="b">
        <f t="shared" ref="H1475:H1476" si="1199">if(G1475="",FALSE,TRUE)</f>
        <v>1</v>
      </c>
      <c r="J1475" s="25"/>
      <c r="K1475" s="24">
        <f>IFERROR(__xludf.DUMMYFUNCTION("iferror(filter('3.2.clean'!C:C,'3.2.clean'!A:A=C1475),"""")"),43858.0)</f>
        <v>43858</v>
      </c>
      <c r="L1475" s="25" t="b">
        <f>if(K1475="",FALSE,TRUE)</f>
        <v>1</v>
      </c>
      <c r="M1475" s="24">
        <f>IFERROR(__xludf.DUMMYFUNCTION("iferror(filter('3.3.clean'!C:C,'3.3.clean'!A:A=C1475),"""")"),43861.0)</f>
        <v>43861</v>
      </c>
      <c r="N1475" s="25" t="b">
        <f t="shared" si="1197"/>
        <v>1</v>
      </c>
      <c r="O1475" s="24">
        <f>IFERROR(__xludf.DUMMYFUNCTION("iferror(filter('3.4.clean'!C:C,'3.4.clean'!A:A=C1475),"""")"),43864.0)</f>
        <v>43864</v>
      </c>
      <c r="P1475" s="25" t="b">
        <f t="shared" si="1198"/>
        <v>1</v>
      </c>
      <c r="Q1475" s="24"/>
      <c r="S1475" s="25"/>
      <c r="U1475" s="1" t="s">
        <v>382</v>
      </c>
      <c r="V1475" s="1" t="s">
        <v>83</v>
      </c>
      <c r="W1475" s="23" t="b">
        <f>IF(and(H1475=TRUE,L1475=TRUE,N1475=TRUE,P1475=TRUE),TRUE,FALSE)</f>
        <v>1</v>
      </c>
      <c r="X1475" s="23" t="str">
        <f>IFERROR(__xludf.DUMMYFUNCTION("if(COUNTA(FILTER(C:C, C:C = C1475))=1,""no"",""yes"")"),"no")</f>
        <v>no</v>
      </c>
    </row>
    <row r="1476">
      <c r="A1476" s="1" t="s">
        <v>1027</v>
      </c>
      <c r="B1476" s="2">
        <v>2.0</v>
      </c>
      <c r="C1476" s="19" t="s">
        <v>2181</v>
      </c>
      <c r="D1476" s="58" t="str">
        <f t="shared" ref="D1476:D1477" si="1200">if(or(I1476=1,J1476=1,S1476=1),"pos","")</f>
        <v/>
      </c>
      <c r="E1476" s="59">
        <f>IFERROR(__xludf.DUMMYFUNCTION("ifna(IFNA(filter('2.1.clean'!C:C,'2.1.clean'!A:A=C1476),filter('2.2.clean'!E:E,'2.2.clean'!D:D=C1476)),filter('2.4.clean'!C:C,'2.4.clean'!A:A=C1476))"),43857.0)</f>
        <v>43857</v>
      </c>
      <c r="F1476" s="60">
        <f>IFERROR(__xludf.DUMMYFUNCTION("iferror(ifna(IFNA(filter('2.1.clean'!E:E,'2.1.clean'!A:A=C1476),filter('2.2.clean'!G:G,'2.2.clean'!D:D=C1476)),filter('2.4.clean'!E:E,'2.4.clean'!A:A=C1476)),)"),2.1)</f>
        <v>2.1</v>
      </c>
      <c r="G1476" s="59">
        <f>IFERROR(__xludf.DUMMYFUNCTION("iferror(filter('3.1.clean'!C:C,'3.1.clean'!A:A=C1476),"""")"),43857.0)</f>
        <v>43857</v>
      </c>
      <c r="H1476" s="58" t="b">
        <f t="shared" si="1199"/>
        <v>1</v>
      </c>
      <c r="I1476" s="58">
        <f>IFERROR(__xludf.DUMMYFUNCTION("iferror(filter('3.1.clean'!G:G,'3.1.clean'!A:A=C1476),"""")"),0.0)</f>
        <v>0</v>
      </c>
      <c r="J1476" s="60" t="str">
        <f>IFERROR(__xludf.DUMMYFUNCTION("iferror(filter('3.1.clean'!I:I,'3.1.clean'!A:A=C1476),"""")"),"")</f>
        <v/>
      </c>
      <c r="K1476" s="58"/>
      <c r="L1476" s="60"/>
      <c r="M1476" s="59" t="str">
        <f>IFERROR(__xludf.DUMMYFUNCTION("iferror(filter('3.3.clean'!C:C,'3.3.clean'!A:A=C1476),"""")"),"")</f>
        <v/>
      </c>
      <c r="N1476" s="60" t="b">
        <f t="shared" si="1197"/>
        <v>0</v>
      </c>
      <c r="O1476" s="59" t="str">
        <f>IFERROR(__xludf.DUMMYFUNCTION("iferror(filter('3.4.clean'!C:C,'3.4.clean'!A:A=C1476),"""")"),"")</f>
        <v/>
      </c>
      <c r="P1476" s="60" t="b">
        <f t="shared" si="1198"/>
        <v>0</v>
      </c>
      <c r="Q1476" s="59" t="str">
        <f>IFERROR(__xludf.DUMMYFUNCTION("iferror(filter('3.5.clean'!C:C,'3.5.clean'!A:A=C1476),"""")"),"")</f>
        <v/>
      </c>
      <c r="R1476" s="58"/>
      <c r="S1476" s="4" t="str">
        <f>IFERROR(__xludf.DUMMYFUNCTION("iferror(filter('3.5.clean'!H:H,'3.5.clean'!A:A=C1476),"""")"),"")</f>
        <v/>
      </c>
      <c r="W1476" s="23" t="b">
        <f>if(AND(H1476=TRUE,N1476=TRUE,P1476=TRUE),TRUE,FALSE)</f>
        <v>0</v>
      </c>
      <c r="X1476" s="23" t="str">
        <f>IFERROR(__xludf.DUMMYFUNCTION("if(COUNTA(FILTER(C:C, C:C = C1476))=1,""no"",""yes"")"),"no")</f>
        <v>no</v>
      </c>
    </row>
    <row r="1477">
      <c r="A1477" s="1" t="s">
        <v>1027</v>
      </c>
      <c r="B1477" s="2">
        <v>3.0</v>
      </c>
      <c r="C1477" s="19" t="s">
        <v>2182</v>
      </c>
      <c r="D1477" s="58" t="str">
        <f t="shared" si="1200"/>
        <v/>
      </c>
      <c r="E1477" s="59">
        <f>Q1477</f>
        <v>43857</v>
      </c>
      <c r="F1477" s="60" t="str">
        <f>IFERROR(__xludf.DUMMYFUNCTION("iferror(ifna(IFNA(filter('2.1.clean'!E:E,'2.1.clean'!A:A=C1477),filter('2.2.clean'!G:G,'2.2.clean'!D:D=C1477)),filter('2.4.clean'!E:E,'2.4.clean'!A:A=C1477)),)"),"")</f>
        <v/>
      </c>
      <c r="G1477" s="59" t="str">
        <f>IFERROR(__xludf.DUMMYFUNCTION("iferror(filter('3.1.clean'!C:C,'3.1.clean'!A:A=C1477),"""")"),"")</f>
        <v/>
      </c>
      <c r="H1477" s="58"/>
      <c r="I1477" s="58" t="str">
        <f>IFERROR(__xludf.DUMMYFUNCTION("iferror(filter('3.1.clean'!G:G,'3.1.clean'!A:A=C1477),"""")"),"")</f>
        <v/>
      </c>
      <c r="J1477" s="60" t="str">
        <f>IFERROR(__xludf.DUMMYFUNCTION("iferror(filter('3.1.clean'!I:I,'3.1.clean'!A:A=C1477),"""")"),"")</f>
        <v/>
      </c>
      <c r="K1477" s="59"/>
      <c r="L1477" s="60"/>
      <c r="M1477" s="59" t="str">
        <f>IFERROR(__xludf.DUMMYFUNCTION("iferror(filter('3.3.clean'!C:C,'3.3.clean'!A:A=C1477),"""")"),"")</f>
        <v/>
      </c>
      <c r="N1477" s="60" t="b">
        <f t="shared" si="1197"/>
        <v>0</v>
      </c>
      <c r="O1477" s="59" t="str">
        <f>IFERROR(__xludf.DUMMYFUNCTION("iferror(filter('3.4.clean'!C:C,'3.4.clean'!A:A=C1477),"""")"),"")</f>
        <v/>
      </c>
      <c r="P1477" s="60" t="b">
        <f t="shared" si="1198"/>
        <v>0</v>
      </c>
      <c r="Q1477" s="59">
        <f>IFERROR(__xludf.DUMMYFUNCTION("iferror(filter('3.5.clean'!C:C,'3.5.clean'!A:A=C1477),"""")"),43857.0)</f>
        <v>43857</v>
      </c>
      <c r="R1477" s="58" t="b">
        <f>if(Q1477="",FALSE,TRUE)</f>
        <v>1</v>
      </c>
      <c r="S1477" s="4">
        <f>IFERROR(__xludf.DUMMYFUNCTION("iferror(filter('3.5.clean'!H:H,'3.5.clean'!A:A=C1477),"""")"),0.0)</f>
        <v>0</v>
      </c>
      <c r="V1477" s="52" t="s">
        <v>64</v>
      </c>
      <c r="W1477" s="23" t="b">
        <f>if(AND(R1477=TRUE,N1477=TRUE,P1477=TRUE),TRUE,FALSE)</f>
        <v>0</v>
      </c>
      <c r="X1477" s="23" t="str">
        <f>IFERROR(__xludf.DUMMYFUNCTION("if(COUNTA(FILTER(C:C, C:C = C1477))=1,""no"",""yes"")"),"no")</f>
        <v>no</v>
      </c>
    </row>
    <row r="1478">
      <c r="A1478" s="1" t="s">
        <v>1027</v>
      </c>
      <c r="B1478" s="2">
        <v>4.0</v>
      </c>
      <c r="C1478" s="19" t="s">
        <v>2183</v>
      </c>
      <c r="D1478" s="42"/>
      <c r="E1478" s="43">
        <f>IFERROR(__xludf.DUMMYFUNCTION("ifna(IFNA(filter('2.1.clean'!C:C,'2.1.clean'!A:A=C1478),filter('2.2.clean'!E:E,'2.2.clean'!D:D=C1478)),filter('2.4.clean'!C:C,'2.4.clean'!A:A=C1478))"),43857.0)</f>
        <v>43857</v>
      </c>
      <c r="F1478" s="44">
        <f>IFERROR(__xludf.DUMMYFUNCTION("iferror(ifna(IFNA(filter('2.1.clean'!E:E,'2.1.clean'!A:A=C1478),filter('2.2.clean'!G:G,'2.2.clean'!D:D=C1478)),filter('2.4.clean'!E:E,'2.4.clean'!A:A=C1478)),)"),2.1)</f>
        <v>2.1</v>
      </c>
      <c r="G1478" s="24">
        <f>IFERROR(__xludf.DUMMYFUNCTION("iferror(filter('3.1.clean'!C:C,'3.1.clean'!A:A=C1478),"""")"),43857.0)</f>
        <v>43857</v>
      </c>
      <c r="H1478" s="23" t="b">
        <f t="shared" ref="H1478:H1479" si="1201">if(G1478="",FALSE,TRUE)</f>
        <v>1</v>
      </c>
      <c r="I1478" s="39"/>
      <c r="J1478" s="45"/>
      <c r="K1478" s="42">
        <f>IFERROR(__xludf.DUMMYFUNCTION("iferror(filter('3.2.clean'!C:C,'3.2.clean'!A:A=C1478),"""")"),43858.0)</f>
        <v>43858</v>
      </c>
      <c r="L1478" s="25" t="b">
        <f>if(K1478="",FALSE,TRUE)</f>
        <v>1</v>
      </c>
      <c r="M1478" s="43">
        <f>IFERROR(__xludf.DUMMYFUNCTION("iferror(filter('3.3.clean'!C:C,'3.3.clean'!A:A=C1478),"""")"),43861.0)</f>
        <v>43861</v>
      </c>
      <c r="N1478" s="25" t="b">
        <f t="shared" si="1197"/>
        <v>1</v>
      </c>
      <c r="O1478" s="43">
        <f>IFERROR(__xludf.DUMMYFUNCTION("iferror(filter('3.4.clean'!C:C,'3.4.clean'!A:A=C1478),"""")"),43864.0)</f>
        <v>43864</v>
      </c>
      <c r="P1478" s="25" t="b">
        <f t="shared" si="1198"/>
        <v>1</v>
      </c>
      <c r="Q1478" s="42"/>
      <c r="R1478" s="39"/>
      <c r="S1478" s="45"/>
      <c r="T1478" s="39"/>
      <c r="U1478" s="46" t="s">
        <v>382</v>
      </c>
      <c r="V1478" s="46" t="s">
        <v>83</v>
      </c>
      <c r="W1478" s="23" t="b">
        <f>IF(and(H1478=TRUE,L1478=TRUE,N1478=TRUE,P1478=TRUE),TRUE,FALSE)</f>
        <v>1</v>
      </c>
      <c r="X1478" s="39" t="str">
        <f>IFERROR(__xludf.DUMMYFUNCTION("if(COUNTA(FILTER(C:C, C:C = C1478))=1,""no"",""yes"")"),"no")</f>
        <v>no</v>
      </c>
    </row>
    <row r="1479">
      <c r="A1479" s="1" t="s">
        <v>1027</v>
      </c>
      <c r="B1479" s="2">
        <v>5.0</v>
      </c>
      <c r="C1479" s="19" t="s">
        <v>2242</v>
      </c>
      <c r="D1479" s="58" t="str">
        <f t="shared" ref="D1479:D1480" si="1202">if(or(I1479=1,J1479=1,S1479=1),"pos","")</f>
        <v/>
      </c>
      <c r="E1479" s="59">
        <f>IFERROR(__xludf.DUMMYFUNCTION("ifna(IFNA(filter('2.1.clean'!C:C,'2.1.clean'!A:A=C1479),filter('2.2.clean'!E:E,'2.2.clean'!D:D=C1479)),filter('2.4.clean'!C:C,'2.4.clean'!A:A=C1479))"),43857.0)</f>
        <v>43857</v>
      </c>
      <c r="F1479" s="60">
        <f>IFERROR(__xludf.DUMMYFUNCTION("iferror(ifna(IFNA(filter('2.1.clean'!E:E,'2.1.clean'!A:A=C1479),filter('2.2.clean'!G:G,'2.2.clean'!D:D=C1479)),filter('2.4.clean'!E:E,'2.4.clean'!A:A=C1479)),)"),2.1)</f>
        <v>2.1</v>
      </c>
      <c r="G1479" s="59">
        <f>IFERROR(__xludf.DUMMYFUNCTION("iferror(filter('3.1.clean'!C:C,'3.1.clean'!A:A=C1479),"""")"),43857.0)</f>
        <v>43857</v>
      </c>
      <c r="H1479" s="58" t="b">
        <f t="shared" si="1201"/>
        <v>1</v>
      </c>
      <c r="I1479" s="58">
        <f>IFERROR(__xludf.DUMMYFUNCTION("iferror(filter('3.1.clean'!G:G,'3.1.clean'!A:A=C1479),"""")"),0.0)</f>
        <v>0</v>
      </c>
      <c r="J1479" s="60" t="str">
        <f>IFERROR(__xludf.DUMMYFUNCTION("iferror(filter('3.1.clean'!I:I,'3.1.clean'!A:A=C1479),"""")"),"")</f>
        <v/>
      </c>
      <c r="K1479" s="58"/>
      <c r="L1479" s="60"/>
      <c r="M1479" s="59" t="str">
        <f>IFERROR(__xludf.DUMMYFUNCTION("iferror(filter('3.3.clean'!C:C,'3.3.clean'!A:A=C1479),"""")"),"")</f>
        <v/>
      </c>
      <c r="N1479" s="60" t="b">
        <f t="shared" si="1197"/>
        <v>0</v>
      </c>
      <c r="O1479" s="59" t="str">
        <f>IFERROR(__xludf.DUMMYFUNCTION("iferror(filter('3.4.clean'!C:C,'3.4.clean'!A:A=C1479),"""")"),"")</f>
        <v/>
      </c>
      <c r="P1479" s="60" t="b">
        <f t="shared" si="1198"/>
        <v>0</v>
      </c>
      <c r="Q1479" s="59" t="str">
        <f>IFERROR(__xludf.DUMMYFUNCTION("iferror(filter('3.5.clean'!C:C,'3.5.clean'!A:A=C1479),"""")"),"")</f>
        <v/>
      </c>
      <c r="R1479" s="58"/>
      <c r="S1479" s="4" t="str">
        <f>IFERROR(__xludf.DUMMYFUNCTION("iferror(filter('3.5.clean'!H:H,'3.5.clean'!A:A=C1479),"""")"),"")</f>
        <v/>
      </c>
      <c r="W1479" s="23" t="b">
        <f>if(AND(H1479=TRUE,N1479=TRUE,P1479=TRUE),TRUE,FALSE)</f>
        <v>0</v>
      </c>
      <c r="X1479" s="23" t="str">
        <f>IFERROR(__xludf.DUMMYFUNCTION("if(COUNTA(FILTER(C:C, C:C = C1479))=1,""no"",""yes"")"),"no")</f>
        <v>no</v>
      </c>
    </row>
    <row r="1480">
      <c r="A1480" s="1" t="s">
        <v>1027</v>
      </c>
      <c r="B1480" s="2">
        <v>6.0</v>
      </c>
      <c r="C1480" s="19" t="s">
        <v>2277</v>
      </c>
      <c r="D1480" s="58" t="str">
        <f t="shared" si="1202"/>
        <v/>
      </c>
      <c r="E1480" s="59">
        <f>Q1480</f>
        <v>43857</v>
      </c>
      <c r="F1480" s="60" t="str">
        <f>IFERROR(__xludf.DUMMYFUNCTION("iferror(ifna(IFNA(filter('2.1.clean'!E:E,'2.1.clean'!A:A=C1480),filter('2.2.clean'!G:G,'2.2.clean'!D:D=C1480)),filter('2.4.clean'!E:E,'2.4.clean'!A:A=C1480)),)"),"")</f>
        <v/>
      </c>
      <c r="G1480" s="59" t="str">
        <f>IFERROR(__xludf.DUMMYFUNCTION("iferror(filter('3.1.clean'!C:C,'3.1.clean'!A:A=C1480),"""")"),"")</f>
        <v/>
      </c>
      <c r="H1480" s="58"/>
      <c r="I1480" s="58" t="str">
        <f>IFERROR(__xludf.DUMMYFUNCTION("iferror(filter('3.1.clean'!G:G,'3.1.clean'!A:A=C1480),"""")"),"")</f>
        <v/>
      </c>
      <c r="J1480" s="60" t="str">
        <f>IFERROR(__xludf.DUMMYFUNCTION("iferror(filter('3.1.clean'!I:I,'3.1.clean'!A:A=C1480),"""")"),"")</f>
        <v/>
      </c>
      <c r="K1480" s="59"/>
      <c r="L1480" s="60"/>
      <c r="M1480" s="59" t="str">
        <f>IFERROR(__xludf.DUMMYFUNCTION("iferror(filter('3.3.clean'!C:C,'3.3.clean'!A:A=C1480),"""")"),"")</f>
        <v/>
      </c>
      <c r="N1480" s="60" t="b">
        <f t="shared" si="1197"/>
        <v>0</v>
      </c>
      <c r="O1480" s="59" t="str">
        <f>IFERROR(__xludf.DUMMYFUNCTION("iferror(filter('3.4.clean'!C:C,'3.4.clean'!A:A=C1480),"""")"),"")</f>
        <v/>
      </c>
      <c r="P1480" s="60" t="b">
        <f t="shared" si="1198"/>
        <v>0</v>
      </c>
      <c r="Q1480" s="59">
        <f>IFERROR(__xludf.DUMMYFUNCTION("iferror(filter('3.5.clean'!C:C,'3.5.clean'!A:A=C1480),"""")"),43857.0)</f>
        <v>43857</v>
      </c>
      <c r="R1480" s="58" t="b">
        <f t="shared" ref="R1480:R1481" si="1203">if(Q1480="",FALSE,TRUE)</f>
        <v>1</v>
      </c>
      <c r="S1480" s="4">
        <f>IFERROR(__xludf.DUMMYFUNCTION("iferror(filter('3.5.clean'!H:H,'3.5.clean'!A:A=C1480),"""")"),0.0)</f>
        <v>0</v>
      </c>
      <c r="V1480" s="52" t="s">
        <v>64</v>
      </c>
      <c r="W1480" s="23" t="b">
        <f>if(AND(R1480=TRUE,N1480=TRUE,P1480=TRUE),TRUE,FALSE)</f>
        <v>0</v>
      </c>
      <c r="X1480" s="23" t="str">
        <f>IFERROR(__xludf.DUMMYFUNCTION("if(COUNTA(FILTER(C:C, C:C = C1480))=1,""no"",""yes"")"),"no")</f>
        <v>no</v>
      </c>
    </row>
    <row r="1481">
      <c r="A1481" s="1" t="s">
        <v>1027</v>
      </c>
      <c r="B1481" s="2">
        <v>7.0</v>
      </c>
      <c r="C1481" s="19" t="s">
        <v>2291</v>
      </c>
      <c r="E1481" s="24">
        <f>IFERROR(__xludf.DUMMYFUNCTION("ifna(IFNA(filter('2.1.clean'!C:C,'2.1.clean'!A:A=C1481),filter('2.2.clean'!E:E,'2.2.clean'!D:D=C1481)),filter('2.4.clean'!C:C,'2.4.clean'!A:A=C1481))"),43857.0)</f>
        <v>43857</v>
      </c>
      <c r="F1481" s="25">
        <f>IFERROR(__xludf.DUMMYFUNCTION("iferror(ifna(IFNA(filter('2.1.clean'!E:E,'2.1.clean'!A:A=C1481),filter('2.2.clean'!G:G,'2.2.clean'!D:D=C1481)),filter('2.4.clean'!E:E,'2.4.clean'!A:A=C1481)),)"),2.39999999999999)</f>
        <v>2.4</v>
      </c>
      <c r="G1481" s="24">
        <f>IFERROR(__xludf.DUMMYFUNCTION("iferror(filter('3.1.clean'!C:C,'3.1.clean'!A:A=C1481),"""")"),43857.0)</f>
        <v>43857</v>
      </c>
      <c r="H1481" s="23" t="b">
        <f t="shared" ref="H1481:H1482" si="1204">if(G1481="",FALSE,TRUE)</f>
        <v>1</v>
      </c>
      <c r="J1481" s="25"/>
      <c r="K1481" s="24">
        <f>IFERROR(__xludf.DUMMYFUNCTION("iferror(filter('3.2.clean'!C:C,'3.2.clean'!A:A=C1481),"""")"),43858.0)</f>
        <v>43858</v>
      </c>
      <c r="L1481" s="25" t="b">
        <f>if(K1481="",FALSE,TRUE)</f>
        <v>1</v>
      </c>
      <c r="M1481" s="24">
        <f>IFERROR(__xludf.DUMMYFUNCTION("iferror(filter('3.3.clean'!C:C,'3.3.clean'!A:A=C1481),"""")"),43861.0)</f>
        <v>43861</v>
      </c>
      <c r="N1481" s="25" t="b">
        <f t="shared" si="1197"/>
        <v>1</v>
      </c>
      <c r="O1481" s="24">
        <f>IFERROR(__xludf.DUMMYFUNCTION("iferror(filter('3.4.clean'!C:C,'3.4.clean'!A:A=C1481),"""")"),43864.0)</f>
        <v>43864</v>
      </c>
      <c r="P1481" s="25" t="b">
        <f t="shared" si="1198"/>
        <v>1</v>
      </c>
      <c r="Q1481" s="24">
        <f>IFERROR(__xludf.DUMMYFUNCTION("iferror(filter('3.5.clean'!C:C,'3.5.clean'!A:A=C1481),"""")"),43857.0)</f>
        <v>43857</v>
      </c>
      <c r="R1481" s="23" t="b">
        <f t="shared" si="1203"/>
        <v>1</v>
      </c>
      <c r="S1481" s="25"/>
      <c r="V1481" s="1" t="s">
        <v>64</v>
      </c>
      <c r="X1481" s="23" t="str">
        <f>IFERROR(__xludf.DUMMYFUNCTION("if(COUNTA(FILTER(C:C, C:C = C1481))=1,""no"",""yes"")"),"no")</f>
        <v>no</v>
      </c>
    </row>
    <row r="1482">
      <c r="A1482" s="1" t="s">
        <v>1027</v>
      </c>
      <c r="B1482" s="2">
        <v>8.0</v>
      </c>
      <c r="C1482" s="19" t="s">
        <v>2301</v>
      </c>
      <c r="D1482" s="58" t="str">
        <f t="shared" ref="D1482:D1485" si="1205">if(or(I1482=1,J1482=1,S1482=1),"pos","")</f>
        <v/>
      </c>
      <c r="E1482" s="59">
        <f>IFERROR(__xludf.DUMMYFUNCTION("ifna(IFNA(filter('2.1.clean'!C:C,'2.1.clean'!A:A=C1482),filter('2.2.clean'!E:E,'2.2.clean'!D:D=C1482)),filter('2.4.clean'!C:C,'2.4.clean'!A:A=C1482))"),43857.0)</f>
        <v>43857</v>
      </c>
      <c r="F1482" s="60">
        <f>IFERROR(__xludf.DUMMYFUNCTION("iferror(ifna(IFNA(filter('2.1.clean'!E:E,'2.1.clean'!A:A=C1482),filter('2.2.clean'!G:G,'2.2.clean'!D:D=C1482)),filter('2.4.clean'!E:E,'2.4.clean'!A:A=C1482)),)"),2.39999999999999)</f>
        <v>2.4</v>
      </c>
      <c r="G1482" s="59">
        <f>IFERROR(__xludf.DUMMYFUNCTION("iferror(filter('3.1.clean'!C:C,'3.1.clean'!A:A=C1482),"""")"),43857.0)</f>
        <v>43857</v>
      </c>
      <c r="H1482" s="58" t="b">
        <f t="shared" si="1204"/>
        <v>1</v>
      </c>
      <c r="I1482" s="58">
        <f>IFERROR(__xludf.DUMMYFUNCTION("iferror(filter('3.1.clean'!G:G,'3.1.clean'!A:A=C1482),"""")"),0.0)</f>
        <v>0</v>
      </c>
      <c r="J1482" s="60" t="str">
        <f>IFERROR(__xludf.DUMMYFUNCTION("iferror(filter('3.1.clean'!I:I,'3.1.clean'!A:A=C1482),"""")"),"")</f>
        <v/>
      </c>
      <c r="K1482" s="58"/>
      <c r="L1482" s="60"/>
      <c r="M1482" s="59">
        <f>IFERROR(__xludf.DUMMYFUNCTION("iferror(filter('3.3.clean'!C:C,'3.3.clean'!A:A=C1482),"""")"),43861.0)</f>
        <v>43861</v>
      </c>
      <c r="N1482" s="60" t="b">
        <f t="shared" si="1197"/>
        <v>1</v>
      </c>
      <c r="O1482" s="59">
        <f>IFERROR(__xludf.DUMMYFUNCTION("iferror(filter('3.4.clean'!C:C,'3.4.clean'!A:A=C1482),"""")"),43864.0)</f>
        <v>43864</v>
      </c>
      <c r="P1482" s="60" t="b">
        <f t="shared" si="1198"/>
        <v>1</v>
      </c>
      <c r="Q1482" s="59" t="str">
        <f>IFERROR(__xludf.DUMMYFUNCTION("iferror(filter('3.5.clean'!C:C,'3.5.clean'!A:A=C1482),"""")"),"")</f>
        <v/>
      </c>
      <c r="R1482" s="58"/>
      <c r="S1482" s="4" t="str">
        <f>IFERROR(__xludf.DUMMYFUNCTION("iferror(filter('3.5.clean'!H:H,'3.5.clean'!A:A=C1482),"""")"),"")</f>
        <v/>
      </c>
      <c r="W1482" s="23" t="b">
        <f>if(AND(H1482=TRUE,N1482=TRUE,P1482=TRUE),TRUE,FALSE)</f>
        <v>1</v>
      </c>
      <c r="X1482" s="23" t="str">
        <f>IFERROR(__xludf.DUMMYFUNCTION("if(COUNTA(FILTER(C:C, C:C = C1482))=1,""no"",""yes"")"),"no")</f>
        <v>no</v>
      </c>
    </row>
    <row r="1483">
      <c r="A1483" s="1" t="s">
        <v>1027</v>
      </c>
      <c r="B1483" s="2">
        <v>9.0</v>
      </c>
      <c r="C1483" s="19" t="s">
        <v>2317</v>
      </c>
      <c r="D1483" s="58" t="str">
        <f t="shared" si="1205"/>
        <v/>
      </c>
      <c r="E1483" s="59">
        <f>Q1483</f>
        <v>43857</v>
      </c>
      <c r="F1483" s="60" t="str">
        <f>IFERROR(__xludf.DUMMYFUNCTION("iferror(ifna(IFNA(filter('2.1.clean'!E:E,'2.1.clean'!A:A=C1483),filter('2.2.clean'!G:G,'2.2.clean'!D:D=C1483)),filter('2.4.clean'!E:E,'2.4.clean'!A:A=C1483)),)"),"")</f>
        <v/>
      </c>
      <c r="G1483" s="59" t="str">
        <f>IFERROR(__xludf.DUMMYFUNCTION("iferror(filter('3.1.clean'!C:C,'3.1.clean'!A:A=C1483),"""")"),"")</f>
        <v/>
      </c>
      <c r="H1483" s="58"/>
      <c r="I1483" s="58" t="str">
        <f>IFERROR(__xludf.DUMMYFUNCTION("iferror(filter('3.1.clean'!G:G,'3.1.clean'!A:A=C1483),"""")"),"")</f>
        <v/>
      </c>
      <c r="J1483" s="60" t="str">
        <f>IFERROR(__xludf.DUMMYFUNCTION("iferror(filter('3.1.clean'!I:I,'3.1.clean'!A:A=C1483),"""")"),"")</f>
        <v/>
      </c>
      <c r="K1483" s="59"/>
      <c r="L1483" s="60"/>
      <c r="M1483" s="59" t="str">
        <f>IFERROR(__xludf.DUMMYFUNCTION("iferror(filter('3.3.clean'!C:C,'3.3.clean'!A:A=C1483),"""")"),"")</f>
        <v/>
      </c>
      <c r="N1483" s="60" t="b">
        <f t="shared" si="1197"/>
        <v>0</v>
      </c>
      <c r="O1483" s="59" t="str">
        <f>IFERROR(__xludf.DUMMYFUNCTION("iferror(filter('3.4.clean'!C:C,'3.4.clean'!A:A=C1483),"""")"),"")</f>
        <v/>
      </c>
      <c r="P1483" s="60" t="b">
        <f t="shared" si="1198"/>
        <v>0</v>
      </c>
      <c r="Q1483" s="59">
        <f>IFERROR(__xludf.DUMMYFUNCTION("iferror(filter('3.5.clean'!C:C,'3.5.clean'!A:A=C1483),"""")"),43857.0)</f>
        <v>43857</v>
      </c>
      <c r="R1483" s="58" t="b">
        <f>if(Q1483="",FALSE,TRUE)</f>
        <v>1</v>
      </c>
      <c r="S1483" s="4">
        <f>IFERROR(__xludf.DUMMYFUNCTION("iferror(filter('3.5.clean'!H:H,'3.5.clean'!A:A=C1483),"""")"),0.0)</f>
        <v>0</v>
      </c>
      <c r="V1483" s="52" t="s">
        <v>64</v>
      </c>
      <c r="W1483" s="23" t="b">
        <f>if(AND(R1483=TRUE,N1483=TRUE,P1483=TRUE),TRUE,FALSE)</f>
        <v>0</v>
      </c>
      <c r="X1483" s="23" t="str">
        <f>IFERROR(__xludf.DUMMYFUNCTION("if(COUNTA(FILTER(C:C, C:C = C1483))=1,""no"",""yes"")"),"no")</f>
        <v>no</v>
      </c>
    </row>
    <row r="1484">
      <c r="A1484" s="1" t="s">
        <v>1027</v>
      </c>
      <c r="B1484" s="19">
        <v>10.0</v>
      </c>
      <c r="C1484" s="19" t="s">
        <v>2326</v>
      </c>
      <c r="D1484" s="76" t="str">
        <f t="shared" si="1205"/>
        <v/>
      </c>
      <c r="E1484" s="77">
        <f>G1484</f>
        <v>43857</v>
      </c>
      <c r="F1484" s="78" t="str">
        <f>IFERROR(__xludf.DUMMYFUNCTION("iferror(ifna(IFNA(filter('2.1.clean'!E:E,'2.1.clean'!A:A=C1484),filter('2.2.clean'!G:G,'2.2.clean'!D:D=C1484)),filter('2.4.clean'!E:E,'2.4.clean'!A:A=C1484)),)"),"")</f>
        <v/>
      </c>
      <c r="G1484" s="77">
        <f>IFERROR(__xludf.DUMMYFUNCTION("iferror(filter('3.1.clean'!C:C,'3.1.clean'!A:A=C1484),"""")"),43857.0)</f>
        <v>43857</v>
      </c>
      <c r="H1484" s="76" t="b">
        <f>if(G1484="",FALSE,TRUE)</f>
        <v>1</v>
      </c>
      <c r="I1484" s="76">
        <f>IFERROR(__xludf.DUMMYFUNCTION("iferror(filter('3.1.clean'!G:G,'3.1.clean'!A:A=C1484),"""")"),0.0)</f>
        <v>0</v>
      </c>
      <c r="J1484" s="78" t="str">
        <f>IFERROR(__xludf.DUMMYFUNCTION("iferror(filter('3.1.clean'!I:I,'3.1.clean'!A:A=C1484),"""")"),"")</f>
        <v/>
      </c>
      <c r="K1484" s="77"/>
      <c r="L1484" s="78"/>
      <c r="M1484" s="77"/>
      <c r="N1484" s="78"/>
      <c r="O1484" s="77"/>
      <c r="P1484" s="78"/>
      <c r="Q1484" s="77"/>
      <c r="R1484" s="76"/>
      <c r="S1484" s="25"/>
      <c r="V1484" s="1" t="s">
        <v>64</v>
      </c>
      <c r="W1484" s="1" t="b">
        <v>1</v>
      </c>
      <c r="X1484" s="23" t="str">
        <f>IFERROR(__xludf.DUMMYFUNCTION("if(COUNTA(FILTER(C:C, C:C = C1484))=1,""no"",""yes"")"),"no")</f>
        <v>no</v>
      </c>
    </row>
    <row r="1485">
      <c r="A1485" s="1" t="s">
        <v>1027</v>
      </c>
      <c r="B1485" s="19">
        <v>11.0</v>
      </c>
      <c r="C1485" s="19" t="s">
        <v>2334</v>
      </c>
      <c r="D1485" s="22" t="str">
        <f t="shared" si="1205"/>
        <v/>
      </c>
      <c r="E1485" s="20">
        <f>Q1485</f>
        <v>43857</v>
      </c>
      <c r="F1485" s="79" t="str">
        <f>IFERROR(__xludf.DUMMYFUNCTION("iferror(ifna(IFNA(filter('2.1.clean'!E:E,'2.1.clean'!A:A=C1485),filter('2.2.clean'!G:G,'2.2.clean'!D:D=C1485)),filter('2.4.clean'!E:E,'2.4.clean'!A:A=C1485)),)"),"")</f>
        <v/>
      </c>
      <c r="G1485" s="20" t="str">
        <f>IFERROR(__xludf.DUMMYFUNCTION("iferror(filter('3.1.clean'!C:C,'3.1.clean'!A:A=C1485),"""")"),"")</f>
        <v/>
      </c>
      <c r="H1485" s="22"/>
      <c r="I1485" s="22"/>
      <c r="J1485" s="79"/>
      <c r="K1485" s="20" t="str">
        <f>IFERROR(__xludf.DUMMYFUNCTION("iferror(filter('3.2.clean'!C:C,'3.2.clean'!A:A=C1485),"""")"),"")</f>
        <v/>
      </c>
      <c r="L1485" s="79"/>
      <c r="M1485" s="20" t="str">
        <f>IFERROR(__xludf.DUMMYFUNCTION("iferror(filter('3.3.clean'!C:C,'3.3.clean'!A:A=C1485),"""")"),"")</f>
        <v/>
      </c>
      <c r="N1485" s="79" t="b">
        <f t="shared" ref="N1485:N1496" si="1206">if(M1485="",FALSE,TRUE)</f>
        <v>0</v>
      </c>
      <c r="O1485" s="20" t="str">
        <f>IFERROR(__xludf.DUMMYFUNCTION("iferror(filter('3.4.clean'!C:C,'3.4.clean'!A:A=C1485),"""")"),"")</f>
        <v/>
      </c>
      <c r="P1485" s="79" t="b">
        <f t="shared" ref="P1485:P1496" si="1207">if(O1485="",FALSE,TRUE)</f>
        <v>0</v>
      </c>
      <c r="Q1485" s="20">
        <f>IFERROR(__xludf.DUMMYFUNCTION("iferror(filter('3.5.clean'!C:C,'3.5.clean'!A:A=C1485),"""")"),43857.0)</f>
        <v>43857</v>
      </c>
      <c r="R1485" s="22" t="b">
        <f t="shared" ref="R1485:R1486" si="1208">if(Q1485="",FALSE,TRUE)</f>
        <v>1</v>
      </c>
      <c r="S1485" s="4">
        <f>IFERROR(__xludf.DUMMYFUNCTION("iferror(filter('3.5.clean'!H:H,'3.5.clean'!A:A=C1485),"""")"),0.0)</f>
        <v>0</v>
      </c>
      <c r="V1485" s="1" t="s">
        <v>64</v>
      </c>
      <c r="W1485" s="23" t="b">
        <f t="shared" ref="W1485:W1486" si="1209">IF(and(R1485=TRUE,N1485=TRUE,P1485=TRUE),TRUE,FALSE)</f>
        <v>0</v>
      </c>
      <c r="X1485" s="23" t="str">
        <f>IFERROR(__xludf.DUMMYFUNCTION("if(COUNTA(FILTER(C:C, C:C = C1485))=1,""no"",""yes"")"),"no")</f>
        <v>no</v>
      </c>
    </row>
    <row r="1486">
      <c r="A1486" s="75" t="s">
        <v>1031</v>
      </c>
      <c r="B1486" s="2">
        <v>1.0</v>
      </c>
      <c r="C1486" s="19" t="s">
        <v>2347</v>
      </c>
      <c r="E1486" s="24">
        <f>IFERROR(__xludf.DUMMYFUNCTION("ifna(IFNA(filter('2.1.clean'!C:C,'2.1.clean'!A:A=C1486),filter('2.2.clean'!E:E,'2.2.clean'!D:D=C1486)),filter('2.4.clean'!C:C,'2.4.clean'!A:A=C1486))"),43858.0)</f>
        <v>43858</v>
      </c>
      <c r="F1486" s="25">
        <f>IFERROR(__xludf.DUMMYFUNCTION("iferror(ifna(IFNA(filter('2.1.clean'!E:E,'2.1.clean'!A:A=C1486),filter('2.2.clean'!G:G,'2.2.clean'!D:D=C1486)),filter('2.4.clean'!E:E,'2.4.clean'!A:A=C1486)),)"),2.39999999999999)</f>
        <v>2.4</v>
      </c>
      <c r="G1486" s="24"/>
      <c r="J1486" s="25"/>
      <c r="K1486" s="24"/>
      <c r="L1486" s="25"/>
      <c r="M1486" s="24">
        <f>IFERROR(__xludf.DUMMYFUNCTION("iferror(filter('3.3.clean'!C:C,'3.3.clean'!A:A=C1486),"""")"),43861.0)</f>
        <v>43861</v>
      </c>
      <c r="N1486" s="25" t="b">
        <f t="shared" si="1206"/>
        <v>1</v>
      </c>
      <c r="O1486" s="24">
        <f>IFERROR(__xludf.DUMMYFUNCTION("iferror(filter('3.4.clean'!C:C,'3.4.clean'!A:A=C1486),"""")"),43864.0)</f>
        <v>43864</v>
      </c>
      <c r="P1486" s="25" t="b">
        <f t="shared" si="1207"/>
        <v>1</v>
      </c>
      <c r="Q1486" s="24">
        <f>IFERROR(__xludf.DUMMYFUNCTION("iferror(filter('3.5.clean'!C:C,'3.5.clean'!A:A=C1486),"""")"),43858.0)</f>
        <v>43858</v>
      </c>
      <c r="R1486" s="23" t="b">
        <f t="shared" si="1208"/>
        <v>1</v>
      </c>
      <c r="S1486" s="25"/>
      <c r="V1486" s="52" t="s">
        <v>64</v>
      </c>
      <c r="W1486" s="23" t="b">
        <f t="shared" si="1209"/>
        <v>1</v>
      </c>
      <c r="X1486" s="23" t="str">
        <f>IFERROR(__xludf.DUMMYFUNCTION("if(COUNTA(FILTER(C:C, C:C = C1486))=1,""no"",""yes"")"),"no")</f>
        <v>no</v>
      </c>
    </row>
    <row r="1487">
      <c r="A1487" s="75" t="s">
        <v>1031</v>
      </c>
      <c r="B1487" s="2">
        <v>2.0</v>
      </c>
      <c r="C1487" s="19" t="s">
        <v>2358</v>
      </c>
      <c r="D1487" s="58" t="str">
        <f t="shared" ref="D1487:D1488" si="1210">if(or(I1487=1,J1487=1,S1487=1),"pos","")</f>
        <v/>
      </c>
      <c r="E1487" s="59">
        <f>IFERROR(__xludf.DUMMYFUNCTION("ifna(IFNA(filter('2.1.clean'!C:C,'2.1.clean'!A:A=C1487),filter('2.2.clean'!E:E,'2.2.clean'!D:D=C1487)),filter('2.4.clean'!C:C,'2.4.clean'!A:A=C1487))"),43858.0)</f>
        <v>43858</v>
      </c>
      <c r="F1487" s="60">
        <f>IFERROR(__xludf.DUMMYFUNCTION("iferror(ifna(IFNA(filter('2.1.clean'!E:E,'2.1.clean'!A:A=C1487),filter('2.2.clean'!G:G,'2.2.clean'!D:D=C1487)),filter('2.4.clean'!E:E,'2.4.clean'!A:A=C1487)),)"),2.39999999999999)</f>
        <v>2.4</v>
      </c>
      <c r="G1487" s="59">
        <f>IFERROR(__xludf.DUMMYFUNCTION("iferror(filter('3.1.clean'!C:C,'3.1.clean'!A:A=C1487),"""")"),43858.0)</f>
        <v>43858</v>
      </c>
      <c r="H1487" s="58" t="b">
        <f>if(G1487="",FALSE,TRUE)</f>
        <v>1</v>
      </c>
      <c r="I1487" s="58">
        <f>IFERROR(__xludf.DUMMYFUNCTION("iferror(filter('3.1.clean'!G:G,'3.1.clean'!A:A=C1487),"""")"),0.0)</f>
        <v>0</v>
      </c>
      <c r="J1487" s="60" t="str">
        <f>IFERROR(__xludf.DUMMYFUNCTION("iferror(filter('3.1.clean'!I:I,'3.1.clean'!A:A=C1487),"""")"),"")</f>
        <v/>
      </c>
      <c r="K1487" s="58"/>
      <c r="L1487" s="60"/>
      <c r="M1487" s="59" t="str">
        <f>IFERROR(__xludf.DUMMYFUNCTION("iferror(filter('3.3.clean'!C:C,'3.3.clean'!A:A=C1487),"""")"),"")</f>
        <v/>
      </c>
      <c r="N1487" s="60" t="b">
        <f t="shared" si="1206"/>
        <v>0</v>
      </c>
      <c r="O1487" s="59" t="str">
        <f>IFERROR(__xludf.DUMMYFUNCTION("iferror(filter('3.4.clean'!C:C,'3.4.clean'!A:A=C1487),"""")"),"")</f>
        <v/>
      </c>
      <c r="P1487" s="60" t="b">
        <f t="shared" si="1207"/>
        <v>0</v>
      </c>
      <c r="Q1487" s="59" t="str">
        <f>IFERROR(__xludf.DUMMYFUNCTION("iferror(filter('3.5.clean'!C:C,'3.5.clean'!A:A=C1487),"""")"),"")</f>
        <v/>
      </c>
      <c r="R1487" s="58"/>
      <c r="S1487" s="4" t="str">
        <f>IFERROR(__xludf.DUMMYFUNCTION("iferror(filter('3.5.clean'!H:H,'3.5.clean'!A:A=C1487),"""")"),"")</f>
        <v/>
      </c>
      <c r="W1487" s="23" t="b">
        <f>if(AND(H1487=TRUE,N1487=TRUE,P1487=TRUE),TRUE,FALSE)</f>
        <v>0</v>
      </c>
      <c r="X1487" s="23" t="str">
        <f>IFERROR(__xludf.DUMMYFUNCTION("if(COUNTA(FILTER(C:C, C:C = C1487))=1,""no"",""yes"")"),"no")</f>
        <v>no</v>
      </c>
    </row>
    <row r="1488">
      <c r="A1488" s="75" t="s">
        <v>1031</v>
      </c>
      <c r="B1488" s="2">
        <v>3.0</v>
      </c>
      <c r="C1488" s="19" t="s">
        <v>2367</v>
      </c>
      <c r="D1488" s="58" t="str">
        <f t="shared" si="1210"/>
        <v/>
      </c>
      <c r="E1488" s="59">
        <f>Q1488</f>
        <v>43858</v>
      </c>
      <c r="F1488" s="60" t="str">
        <f>IFERROR(__xludf.DUMMYFUNCTION("iferror(ifna(IFNA(filter('2.1.clean'!E:E,'2.1.clean'!A:A=C1488),filter('2.2.clean'!G:G,'2.2.clean'!D:D=C1488)),filter('2.4.clean'!E:E,'2.4.clean'!A:A=C1488)),)"),"")</f>
        <v/>
      </c>
      <c r="G1488" s="59" t="str">
        <f>IFERROR(__xludf.DUMMYFUNCTION("iferror(filter('3.1.clean'!C:C,'3.1.clean'!A:A=C1488),"""")"),"")</f>
        <v/>
      </c>
      <c r="H1488" s="58"/>
      <c r="I1488" s="58" t="str">
        <f>IFERROR(__xludf.DUMMYFUNCTION("iferror(filter('3.1.clean'!G:G,'3.1.clean'!A:A=C1488),"""")"),"")</f>
        <v/>
      </c>
      <c r="J1488" s="60" t="str">
        <f>IFERROR(__xludf.DUMMYFUNCTION("iferror(filter('3.1.clean'!I:I,'3.1.clean'!A:A=C1488),"""")"),"")</f>
        <v/>
      </c>
      <c r="K1488" s="59"/>
      <c r="L1488" s="60"/>
      <c r="M1488" s="59" t="str">
        <f>IFERROR(__xludf.DUMMYFUNCTION("iferror(filter('3.3.clean'!C:C,'3.3.clean'!A:A=C1488),"""")"),"")</f>
        <v/>
      </c>
      <c r="N1488" s="60" t="b">
        <f t="shared" si="1206"/>
        <v>0</v>
      </c>
      <c r="O1488" s="59" t="str">
        <f>IFERROR(__xludf.DUMMYFUNCTION("iferror(filter('3.4.clean'!C:C,'3.4.clean'!A:A=C1488),"""")"),"")</f>
        <v/>
      </c>
      <c r="P1488" s="60" t="b">
        <f t="shared" si="1207"/>
        <v>0</v>
      </c>
      <c r="Q1488" s="59">
        <f>IFERROR(__xludf.DUMMYFUNCTION("iferror(filter('3.5.clean'!C:C,'3.5.clean'!A:A=C1488),"""")"),43858.0)</f>
        <v>43858</v>
      </c>
      <c r="R1488" s="58" t="b">
        <f t="shared" ref="R1488:R1489" si="1211">if(Q1488="",FALSE,TRUE)</f>
        <v>1</v>
      </c>
      <c r="S1488" s="4">
        <f>IFERROR(__xludf.DUMMYFUNCTION("iferror(filter('3.5.clean'!H:H,'3.5.clean'!A:A=C1488),"""")"),0.0)</f>
        <v>0</v>
      </c>
      <c r="V1488" s="52" t="s">
        <v>64</v>
      </c>
      <c r="W1488" s="23" t="b">
        <f>if(AND(R1488=TRUE,N1488=TRUE,P1488=TRUE),TRUE,FALSE)</f>
        <v>0</v>
      </c>
      <c r="X1488" s="23" t="str">
        <f>IFERROR(__xludf.DUMMYFUNCTION("if(COUNTA(FILTER(C:C, C:C = C1488))=1,""no"",""yes"")"),"no")</f>
        <v>no</v>
      </c>
    </row>
    <row r="1489">
      <c r="A1489" s="75" t="s">
        <v>1031</v>
      </c>
      <c r="B1489" s="2">
        <v>4.0</v>
      </c>
      <c r="C1489" s="19" t="s">
        <v>2379</v>
      </c>
      <c r="E1489" s="24">
        <f>IFERROR(__xludf.DUMMYFUNCTION("ifna(IFNA(filter('2.1.clean'!C:C,'2.1.clean'!A:A=C1489),filter('2.2.clean'!E:E,'2.2.clean'!D:D=C1489)),filter('2.4.clean'!C:C,'2.4.clean'!A:A=C1489))"),43858.0)</f>
        <v>43858</v>
      </c>
      <c r="F1489" s="25">
        <f>IFERROR(__xludf.DUMMYFUNCTION("iferror(ifna(IFNA(filter('2.1.clean'!E:E,'2.1.clean'!A:A=C1489),filter('2.2.clean'!G:G,'2.2.clean'!D:D=C1489)),filter('2.4.clean'!E:E,'2.4.clean'!A:A=C1489)),)"),2.39999999999999)</f>
        <v>2.4</v>
      </c>
      <c r="G1489" s="24"/>
      <c r="J1489" s="25"/>
      <c r="K1489" s="24"/>
      <c r="L1489" s="25"/>
      <c r="M1489" s="24">
        <f>IFERROR(__xludf.DUMMYFUNCTION("iferror(filter('3.3.clean'!C:C,'3.3.clean'!A:A=C1489),"""")"),43861.0)</f>
        <v>43861</v>
      </c>
      <c r="N1489" s="25" t="b">
        <f t="shared" si="1206"/>
        <v>1</v>
      </c>
      <c r="O1489" s="24">
        <f>IFERROR(__xludf.DUMMYFUNCTION("iferror(filter('3.4.clean'!C:C,'3.4.clean'!A:A=C1489),"""")"),43864.0)</f>
        <v>43864</v>
      </c>
      <c r="P1489" s="25" t="b">
        <f t="shared" si="1207"/>
        <v>1</v>
      </c>
      <c r="Q1489" s="24">
        <f>IFERROR(__xludf.DUMMYFUNCTION("iferror(filter('3.5.clean'!C:C,'3.5.clean'!A:A=C1489),"""")"),43858.0)</f>
        <v>43858</v>
      </c>
      <c r="R1489" s="23" t="b">
        <f t="shared" si="1211"/>
        <v>1</v>
      </c>
      <c r="S1489" s="25"/>
      <c r="V1489" s="52" t="s">
        <v>64</v>
      </c>
      <c r="W1489" s="23" t="b">
        <f>IF(and(R1489=TRUE,N1489=TRUE,P1489=TRUE),TRUE,FALSE)</f>
        <v>1</v>
      </c>
      <c r="X1489" s="23" t="str">
        <f>IFERROR(__xludf.DUMMYFUNCTION("if(COUNTA(FILTER(C:C, C:C = C1489))=1,""no"",""yes"")"),"no")</f>
        <v>no</v>
      </c>
    </row>
    <row r="1490">
      <c r="A1490" s="75" t="s">
        <v>1031</v>
      </c>
      <c r="B1490" s="2">
        <v>5.0</v>
      </c>
      <c r="C1490" s="19" t="s">
        <v>2387</v>
      </c>
      <c r="D1490" s="58" t="str">
        <f t="shared" ref="D1490:D1491" si="1212">if(or(I1490=1,J1490=1,S1490=1),"pos","")</f>
        <v/>
      </c>
      <c r="E1490" s="59">
        <f>IFERROR(__xludf.DUMMYFUNCTION("ifna(IFNA(filter('2.1.clean'!C:C,'2.1.clean'!A:A=C1490),filter('2.2.clean'!E:E,'2.2.clean'!D:D=C1490)),filter('2.4.clean'!C:C,'2.4.clean'!A:A=C1490))"),43858.0)</f>
        <v>43858</v>
      </c>
      <c r="F1490" s="60">
        <f>IFERROR(__xludf.DUMMYFUNCTION("iferror(ifna(IFNA(filter('2.1.clean'!E:E,'2.1.clean'!A:A=C1490),filter('2.2.clean'!G:G,'2.2.clean'!D:D=C1490)),filter('2.4.clean'!E:E,'2.4.clean'!A:A=C1490)),)"),2.39999999999999)</f>
        <v>2.4</v>
      </c>
      <c r="G1490" s="59">
        <f>IFERROR(__xludf.DUMMYFUNCTION("iferror(filter('3.1.clean'!C:C,'3.1.clean'!A:A=C1490),"""")"),43858.0)</f>
        <v>43858</v>
      </c>
      <c r="H1490" s="58" t="b">
        <f>if(G1490="",FALSE,TRUE)</f>
        <v>1</v>
      </c>
      <c r="I1490" s="58">
        <f>IFERROR(__xludf.DUMMYFUNCTION("iferror(filter('3.1.clean'!G:G,'3.1.clean'!A:A=C1490),"""")"),0.0)</f>
        <v>0</v>
      </c>
      <c r="J1490" s="60" t="str">
        <f>IFERROR(__xludf.DUMMYFUNCTION("iferror(filter('3.1.clean'!I:I,'3.1.clean'!A:A=C1490),"""")"),"")</f>
        <v/>
      </c>
      <c r="K1490" s="58"/>
      <c r="L1490" s="60"/>
      <c r="M1490" s="59" t="str">
        <f>IFERROR(__xludf.DUMMYFUNCTION("iferror(filter('3.3.clean'!C:C,'3.3.clean'!A:A=C1490),"""")"),"")</f>
        <v/>
      </c>
      <c r="N1490" s="60" t="b">
        <f t="shared" si="1206"/>
        <v>0</v>
      </c>
      <c r="O1490" s="59" t="str">
        <f>IFERROR(__xludf.DUMMYFUNCTION("iferror(filter('3.4.clean'!C:C,'3.4.clean'!A:A=C1490),"""")"),"")</f>
        <v/>
      </c>
      <c r="P1490" s="60" t="b">
        <f t="shared" si="1207"/>
        <v>0</v>
      </c>
      <c r="Q1490" s="59" t="str">
        <f>IFERROR(__xludf.DUMMYFUNCTION("iferror(filter('3.5.clean'!C:C,'3.5.clean'!A:A=C1490),"""")"),"")</f>
        <v/>
      </c>
      <c r="R1490" s="58"/>
      <c r="S1490" s="4" t="str">
        <f>IFERROR(__xludf.DUMMYFUNCTION("iferror(filter('3.5.clean'!H:H,'3.5.clean'!A:A=C1490),"""")"),"")</f>
        <v/>
      </c>
      <c r="W1490" s="23" t="b">
        <f>if(AND(H1490=TRUE,N1490=TRUE,P1490=TRUE),TRUE,FALSE)</f>
        <v>0</v>
      </c>
      <c r="X1490" s="23" t="str">
        <f>IFERROR(__xludf.DUMMYFUNCTION("if(COUNTA(FILTER(C:C, C:C = C1490))=1,""no"",""yes"")"),"no")</f>
        <v>no</v>
      </c>
    </row>
    <row r="1491">
      <c r="A1491" s="75" t="s">
        <v>1031</v>
      </c>
      <c r="B1491" s="2">
        <v>6.0</v>
      </c>
      <c r="C1491" s="19" t="s">
        <v>2399</v>
      </c>
      <c r="D1491" s="58" t="str">
        <f t="shared" si="1212"/>
        <v/>
      </c>
      <c r="E1491" s="59">
        <f>Q1491</f>
        <v>43858</v>
      </c>
      <c r="F1491" s="60" t="str">
        <f>IFERROR(__xludf.DUMMYFUNCTION("iferror(ifna(IFNA(filter('2.1.clean'!E:E,'2.1.clean'!A:A=C1491),filter('2.2.clean'!G:G,'2.2.clean'!D:D=C1491)),filter('2.4.clean'!E:E,'2.4.clean'!A:A=C1491)),)"),"")</f>
        <v/>
      </c>
      <c r="G1491" s="59" t="str">
        <f>IFERROR(__xludf.DUMMYFUNCTION("iferror(filter('3.1.clean'!C:C,'3.1.clean'!A:A=C1491),"""")"),"")</f>
        <v/>
      </c>
      <c r="H1491" s="58"/>
      <c r="I1491" s="58" t="str">
        <f>IFERROR(__xludf.DUMMYFUNCTION("iferror(filter('3.1.clean'!G:G,'3.1.clean'!A:A=C1491),"""")"),"")</f>
        <v/>
      </c>
      <c r="J1491" s="60" t="str">
        <f>IFERROR(__xludf.DUMMYFUNCTION("iferror(filter('3.1.clean'!I:I,'3.1.clean'!A:A=C1491),"""")"),"")</f>
        <v/>
      </c>
      <c r="K1491" s="59"/>
      <c r="L1491" s="60"/>
      <c r="M1491" s="59" t="str">
        <f>IFERROR(__xludf.DUMMYFUNCTION("iferror(filter('3.3.clean'!C:C,'3.3.clean'!A:A=C1491),"""")"),"")</f>
        <v/>
      </c>
      <c r="N1491" s="60" t="b">
        <f t="shared" si="1206"/>
        <v>0</v>
      </c>
      <c r="O1491" s="59" t="str">
        <f>IFERROR(__xludf.DUMMYFUNCTION("iferror(filter('3.4.clean'!C:C,'3.4.clean'!A:A=C1491),"""")"),"")</f>
        <v/>
      </c>
      <c r="P1491" s="60" t="b">
        <f t="shared" si="1207"/>
        <v>0</v>
      </c>
      <c r="Q1491" s="59">
        <f>IFERROR(__xludf.DUMMYFUNCTION("iferror(filter('3.5.clean'!C:C,'3.5.clean'!A:A=C1491),"""")"),43858.0)</f>
        <v>43858</v>
      </c>
      <c r="R1491" s="58" t="b">
        <f t="shared" ref="R1491:R1492" si="1213">if(Q1491="",FALSE,TRUE)</f>
        <v>1</v>
      </c>
      <c r="S1491" s="4">
        <f>IFERROR(__xludf.DUMMYFUNCTION("iferror(filter('3.5.clean'!H:H,'3.5.clean'!A:A=C1491),"""")"),0.0)</f>
        <v>0</v>
      </c>
      <c r="V1491" s="52" t="s">
        <v>64</v>
      </c>
      <c r="W1491" s="23" t="b">
        <f>if(AND(R1491=TRUE,N1491=TRUE,P1491=TRUE),TRUE,FALSE)</f>
        <v>0</v>
      </c>
      <c r="X1491" s="23" t="str">
        <f>IFERROR(__xludf.DUMMYFUNCTION("if(COUNTA(FILTER(C:C, C:C = C1491))=1,""no"",""yes"")"),"no")</f>
        <v>no</v>
      </c>
    </row>
    <row r="1492">
      <c r="A1492" s="75" t="s">
        <v>1031</v>
      </c>
      <c r="B1492" s="2">
        <v>7.0</v>
      </c>
      <c r="C1492" s="19" t="s">
        <v>2408</v>
      </c>
      <c r="E1492" s="24">
        <f>IFERROR(__xludf.DUMMYFUNCTION("ifna(IFNA(filter('2.1.clean'!C:C,'2.1.clean'!A:A=C1492),filter('2.2.clean'!E:E,'2.2.clean'!D:D=C1492)),filter('2.4.clean'!C:C,'2.4.clean'!A:A=C1492))"),43858.0)</f>
        <v>43858</v>
      </c>
      <c r="F1492" s="25">
        <f>IFERROR(__xludf.DUMMYFUNCTION("iferror(ifna(IFNA(filter('2.1.clean'!E:E,'2.1.clean'!A:A=C1492),filter('2.2.clean'!G:G,'2.2.clean'!D:D=C1492)),filter('2.4.clean'!E:E,'2.4.clean'!A:A=C1492)),)"),2.39999999999999)</f>
        <v>2.4</v>
      </c>
      <c r="G1492" s="24"/>
      <c r="J1492" s="25"/>
      <c r="K1492" s="24"/>
      <c r="L1492" s="25"/>
      <c r="M1492" s="24">
        <f>IFERROR(__xludf.DUMMYFUNCTION("iferror(filter('3.3.clean'!C:C,'3.3.clean'!A:A=C1492),"""")"),43861.0)</f>
        <v>43861</v>
      </c>
      <c r="N1492" s="25" t="b">
        <f t="shared" si="1206"/>
        <v>1</v>
      </c>
      <c r="O1492" s="24">
        <f>IFERROR(__xludf.DUMMYFUNCTION("iferror(filter('3.4.clean'!C:C,'3.4.clean'!A:A=C1492),"""")"),43864.0)</f>
        <v>43864</v>
      </c>
      <c r="P1492" s="25" t="b">
        <f t="shared" si="1207"/>
        <v>1</v>
      </c>
      <c r="Q1492" s="24">
        <f>IFERROR(__xludf.DUMMYFUNCTION("iferror(filter('3.5.clean'!C:C,'3.5.clean'!A:A=C1492),"""")"),43858.0)</f>
        <v>43858</v>
      </c>
      <c r="R1492" s="23" t="b">
        <f t="shared" si="1213"/>
        <v>1</v>
      </c>
      <c r="S1492" s="25"/>
      <c r="V1492" s="52" t="s">
        <v>64</v>
      </c>
      <c r="W1492" s="23" t="b">
        <f>IF(and(R1492=TRUE,N1492=TRUE,P1492=TRUE),TRUE,FALSE)</f>
        <v>1</v>
      </c>
      <c r="X1492" s="23" t="str">
        <f>IFERROR(__xludf.DUMMYFUNCTION("if(COUNTA(FILTER(C:C, C:C = C1492))=1,""no"",""yes"")"),"no")</f>
        <v>no</v>
      </c>
    </row>
    <row r="1493">
      <c r="A1493" s="75" t="s">
        <v>1031</v>
      </c>
      <c r="B1493" s="2">
        <v>8.0</v>
      </c>
      <c r="C1493" s="19" t="s">
        <v>2415</v>
      </c>
      <c r="D1493" s="58" t="str">
        <f t="shared" ref="D1493:D1494" si="1214">if(or(I1493=1,J1493=1,S1493=1),"pos","")</f>
        <v/>
      </c>
      <c r="E1493" s="59">
        <f>IFERROR(__xludf.DUMMYFUNCTION("ifna(IFNA(filter('2.1.clean'!C:C,'2.1.clean'!A:A=C1493),filter('2.2.clean'!E:E,'2.2.clean'!D:D=C1493)),filter('2.4.clean'!C:C,'2.4.clean'!A:A=C1493))"),43858.0)</f>
        <v>43858</v>
      </c>
      <c r="F1493" s="60">
        <f>IFERROR(__xludf.DUMMYFUNCTION("iferror(ifna(IFNA(filter('2.1.clean'!E:E,'2.1.clean'!A:A=C1493),filter('2.2.clean'!G:G,'2.2.clean'!D:D=C1493)),filter('2.4.clean'!E:E,'2.4.clean'!A:A=C1493)),)"),2.39999999999999)</f>
        <v>2.4</v>
      </c>
      <c r="G1493" s="59">
        <f>IFERROR(__xludf.DUMMYFUNCTION("iferror(filter('3.1.clean'!C:C,'3.1.clean'!A:A=C1493),"""")"),43858.0)</f>
        <v>43858</v>
      </c>
      <c r="H1493" s="58" t="b">
        <f>if(G1493="",FALSE,TRUE)</f>
        <v>1</v>
      </c>
      <c r="I1493" s="58">
        <f>IFERROR(__xludf.DUMMYFUNCTION("iferror(filter('3.1.clean'!G:G,'3.1.clean'!A:A=C1493),"""")"),0.0)</f>
        <v>0</v>
      </c>
      <c r="J1493" s="60" t="str">
        <f>IFERROR(__xludf.DUMMYFUNCTION("iferror(filter('3.1.clean'!I:I,'3.1.clean'!A:A=C1493),"""")"),"")</f>
        <v/>
      </c>
      <c r="K1493" s="58"/>
      <c r="L1493" s="60"/>
      <c r="M1493" s="59">
        <f>IFERROR(__xludf.DUMMYFUNCTION("iferror(filter('3.3.clean'!C:C,'3.3.clean'!A:A=C1493),"""")"),43861.0)</f>
        <v>43861</v>
      </c>
      <c r="N1493" s="60" t="b">
        <f t="shared" si="1206"/>
        <v>1</v>
      </c>
      <c r="O1493" s="59">
        <f>IFERROR(__xludf.DUMMYFUNCTION("iferror(filter('3.4.clean'!C:C,'3.4.clean'!A:A=C1493),"""")"),43864.0)</f>
        <v>43864</v>
      </c>
      <c r="P1493" s="60" t="b">
        <f t="shared" si="1207"/>
        <v>1</v>
      </c>
      <c r="Q1493" s="59" t="str">
        <f>IFERROR(__xludf.DUMMYFUNCTION("iferror(filter('3.5.clean'!C:C,'3.5.clean'!A:A=C1493),"""")"),"")</f>
        <v/>
      </c>
      <c r="R1493" s="58"/>
      <c r="S1493" s="4" t="str">
        <f>IFERROR(__xludf.DUMMYFUNCTION("iferror(filter('3.5.clean'!H:H,'3.5.clean'!A:A=C1493),"""")"),"")</f>
        <v/>
      </c>
      <c r="W1493" s="23" t="b">
        <f>if(AND(H1493=TRUE,N1493=TRUE,P1493=TRUE),TRUE,FALSE)</f>
        <v>1</v>
      </c>
      <c r="X1493" s="23" t="str">
        <f>IFERROR(__xludf.DUMMYFUNCTION("if(COUNTA(FILTER(C:C, C:C = C1493))=1,""no"",""yes"")"),"no")</f>
        <v>no</v>
      </c>
    </row>
    <row r="1494">
      <c r="A1494" s="75" t="s">
        <v>1031</v>
      </c>
      <c r="B1494" s="2">
        <v>9.0</v>
      </c>
      <c r="C1494" s="19" t="s">
        <v>343</v>
      </c>
      <c r="D1494" s="58" t="str">
        <f t="shared" si="1214"/>
        <v/>
      </c>
      <c r="E1494" s="59">
        <f>Q1494</f>
        <v>43858</v>
      </c>
      <c r="F1494" s="60" t="str">
        <f>IFERROR(__xludf.DUMMYFUNCTION("iferror(ifna(IFNA(filter('2.1.clean'!E:E,'2.1.clean'!A:A=C1494),filter('2.2.clean'!G:G,'2.2.clean'!D:D=C1494)),filter('2.4.clean'!E:E,'2.4.clean'!A:A=C1494)),)"),"")</f>
        <v/>
      </c>
      <c r="G1494" s="59" t="str">
        <f>IFERROR(__xludf.DUMMYFUNCTION("iferror(filter('3.1.clean'!C:C,'3.1.clean'!A:A=C1494),"""")"),"")</f>
        <v/>
      </c>
      <c r="H1494" s="58"/>
      <c r="I1494" s="58" t="str">
        <f>IFERROR(__xludf.DUMMYFUNCTION("iferror(filter('3.1.clean'!G:G,'3.1.clean'!A:A=C1494),"""")"),"")</f>
        <v/>
      </c>
      <c r="J1494" s="60" t="str">
        <f>IFERROR(__xludf.DUMMYFUNCTION("iferror(filter('3.1.clean'!I:I,'3.1.clean'!A:A=C1494),"""")"),"")</f>
        <v/>
      </c>
      <c r="K1494" s="59"/>
      <c r="L1494" s="60"/>
      <c r="M1494" s="59" t="str">
        <f>IFERROR(__xludf.DUMMYFUNCTION("iferror(filter('3.3.clean'!C:C,'3.3.clean'!A:A=C1494),"""")"),"")</f>
        <v/>
      </c>
      <c r="N1494" s="60" t="b">
        <f t="shared" si="1206"/>
        <v>0</v>
      </c>
      <c r="O1494" s="59" t="str">
        <f>IFERROR(__xludf.DUMMYFUNCTION("iferror(filter('3.4.clean'!C:C,'3.4.clean'!A:A=C1494),"""")"),"")</f>
        <v/>
      </c>
      <c r="P1494" s="60" t="b">
        <f t="shared" si="1207"/>
        <v>0</v>
      </c>
      <c r="Q1494" s="59">
        <f>IFERROR(__xludf.DUMMYFUNCTION("iferror(filter('3.5.clean'!C:C,'3.5.clean'!A:A=C1494),"""")"),43858.0)</f>
        <v>43858</v>
      </c>
      <c r="R1494" s="58" t="b">
        <f t="shared" ref="R1494:R1496" si="1215">if(Q1494="",FALSE,TRUE)</f>
        <v>1</v>
      </c>
      <c r="S1494" s="4">
        <f>IFERROR(__xludf.DUMMYFUNCTION("iferror(filter('3.5.clean'!H:H,'3.5.clean'!A:A=C1494),"""")"),0.0)</f>
        <v>0</v>
      </c>
      <c r="V1494" s="52" t="s">
        <v>64</v>
      </c>
      <c r="W1494" s="23" t="b">
        <f>if(AND(R1494=TRUE,N1494=TRUE,P1494=TRUE),TRUE,FALSE)</f>
        <v>0</v>
      </c>
      <c r="X1494" s="23" t="str">
        <f>IFERROR(__xludf.DUMMYFUNCTION("if(COUNTA(FILTER(C:C, C:C = C1494))=1,""no"",""yes"")"),"no")</f>
        <v>no</v>
      </c>
    </row>
    <row r="1495">
      <c r="A1495" s="75" t="s">
        <v>1031</v>
      </c>
      <c r="B1495" s="19">
        <v>10.0</v>
      </c>
      <c r="C1495" s="19" t="s">
        <v>2435</v>
      </c>
      <c r="E1495" s="24">
        <f>IFERROR(__xludf.DUMMYFUNCTION("ifna(IFNA(filter('2.1.clean'!C:C,'2.1.clean'!A:A=C1495),filter('2.2.clean'!E:E,'2.2.clean'!D:D=C1495)),filter('2.4.clean'!C:C,'2.4.clean'!A:A=C1495))"),43858.0)</f>
        <v>43858</v>
      </c>
      <c r="F1495" s="25">
        <f>IFERROR(__xludf.DUMMYFUNCTION("iferror(ifna(IFNA(filter('2.1.clean'!E:E,'2.1.clean'!A:A=C1495),filter('2.2.clean'!G:G,'2.2.clean'!D:D=C1495)),filter('2.4.clean'!E:E,'2.4.clean'!A:A=C1495)),)"),2.39999999999999)</f>
        <v>2.4</v>
      </c>
      <c r="G1495" s="24">
        <f>IFERROR(__xludf.DUMMYFUNCTION("iferror(filter('3.1.clean'!C:C,'3.1.clean'!A:A=C1495),"""")"),43858.0)</f>
        <v>43858</v>
      </c>
      <c r="H1495" s="23" t="b">
        <f>if(G1495="",FALSE,TRUE)</f>
        <v>1</v>
      </c>
      <c r="J1495" s="25"/>
      <c r="K1495" s="24">
        <f>IFERROR(__xludf.DUMMYFUNCTION("iferror(filter('3.2.clean'!C:C,'3.2.clean'!A:A=C1495),"""")"),43858.0)</f>
        <v>43858</v>
      </c>
      <c r="L1495" s="25" t="b">
        <f>if(K1495="",FALSE,TRUE)</f>
        <v>1</v>
      </c>
      <c r="M1495" s="24">
        <f>IFERROR(__xludf.DUMMYFUNCTION("iferror(filter('3.3.clean'!C:C,'3.3.clean'!A:A=C1495),"""")"),43861.0)</f>
        <v>43861</v>
      </c>
      <c r="N1495" s="25" t="b">
        <f t="shared" si="1206"/>
        <v>1</v>
      </c>
      <c r="O1495" s="24">
        <f>IFERROR(__xludf.DUMMYFUNCTION("iferror(filter('3.4.clean'!C:C,'3.4.clean'!A:A=C1495),"""")"),43864.0)</f>
        <v>43864</v>
      </c>
      <c r="P1495" s="25" t="b">
        <f t="shared" si="1207"/>
        <v>1</v>
      </c>
      <c r="Q1495" s="24" t="str">
        <f>IFERROR(__xludf.DUMMYFUNCTION("iferror(filter('3.5.clean'!C:C,'3.5.clean'!A:A=C1495),"""")"),"")</f>
        <v/>
      </c>
      <c r="R1495" s="23" t="b">
        <f t="shared" si="1215"/>
        <v>0</v>
      </c>
      <c r="S1495" s="25"/>
      <c r="U1495" s="23"/>
      <c r="V1495" s="1" t="s">
        <v>64</v>
      </c>
      <c r="X1495" s="23" t="str">
        <f>IFERROR(__xludf.DUMMYFUNCTION("if(COUNTA(FILTER(C:C, C:C = C1495))=1,""no"",""yes"")"),"no")</f>
        <v>no</v>
      </c>
    </row>
    <row r="1496">
      <c r="A1496" s="75" t="s">
        <v>1031</v>
      </c>
      <c r="B1496" s="19">
        <v>11.0</v>
      </c>
      <c r="C1496" s="19" t="s">
        <v>2448</v>
      </c>
      <c r="D1496" s="22" t="str">
        <f t="shared" ref="D1496:D1497" si="1216">if(or(I1496=1,J1496=1,S1496=1),"pos","")</f>
        <v/>
      </c>
      <c r="E1496" s="20">
        <f>Q1496</f>
        <v>43858</v>
      </c>
      <c r="F1496" s="79" t="str">
        <f>IFERROR(__xludf.DUMMYFUNCTION("iferror(ifna(IFNA(filter('2.1.clean'!E:E,'2.1.clean'!A:A=C1496),filter('2.2.clean'!G:G,'2.2.clean'!D:D=C1496)),filter('2.4.clean'!E:E,'2.4.clean'!A:A=C1496)),)"),"")</f>
        <v/>
      </c>
      <c r="G1496" s="20" t="str">
        <f>IFERROR(__xludf.DUMMYFUNCTION("iferror(filter('3.1.clean'!C:C,'3.1.clean'!A:A=C1496),"""")"),"")</f>
        <v/>
      </c>
      <c r="H1496" s="22"/>
      <c r="I1496" s="22"/>
      <c r="J1496" s="79"/>
      <c r="K1496" s="20" t="str">
        <f>IFERROR(__xludf.DUMMYFUNCTION("iferror(filter('3.2.clean'!C:C,'3.2.clean'!A:A=C1496),"""")"),"")</f>
        <v/>
      </c>
      <c r="L1496" s="79"/>
      <c r="M1496" s="20" t="str">
        <f>IFERROR(__xludf.DUMMYFUNCTION("iferror(filter('3.3.clean'!C:C,'3.3.clean'!A:A=C1496),"""")"),"")</f>
        <v/>
      </c>
      <c r="N1496" s="79" t="b">
        <f t="shared" si="1206"/>
        <v>0</v>
      </c>
      <c r="O1496" s="20" t="str">
        <f>IFERROR(__xludf.DUMMYFUNCTION("iferror(filter('3.4.clean'!C:C,'3.4.clean'!A:A=C1496),"""")"),"")</f>
        <v/>
      </c>
      <c r="P1496" s="79" t="b">
        <f t="shared" si="1207"/>
        <v>0</v>
      </c>
      <c r="Q1496" s="20">
        <f>IFERROR(__xludf.DUMMYFUNCTION("iferror(filter('3.5.clean'!C:C,'3.5.clean'!A:A=C1496),"""")"),43858.0)</f>
        <v>43858</v>
      </c>
      <c r="R1496" s="22" t="b">
        <f t="shared" si="1215"/>
        <v>1</v>
      </c>
      <c r="S1496" s="4">
        <f>IFERROR(__xludf.DUMMYFUNCTION("iferror(filter('3.5.clean'!H:H,'3.5.clean'!A:A=C1496),"""")"),0.0)</f>
        <v>0</v>
      </c>
      <c r="V1496" s="1" t="s">
        <v>64</v>
      </c>
      <c r="W1496" s="23" t="b">
        <f>IF(and(R1496=TRUE,N1496=TRUE,P1496=TRUE),TRUE,FALSE)</f>
        <v>0</v>
      </c>
      <c r="X1496" s="23" t="str">
        <f>IFERROR(__xludf.DUMMYFUNCTION("if(COUNTA(FILTER(C:C, C:C = C1496))=1,""no"",""yes"")"),"no")</f>
        <v>no</v>
      </c>
    </row>
    <row r="1497">
      <c r="A1497" s="75" t="s">
        <v>1031</v>
      </c>
      <c r="B1497" s="19">
        <v>12.0</v>
      </c>
      <c r="C1497" s="19" t="s">
        <v>2456</v>
      </c>
      <c r="D1497" s="76" t="str">
        <f t="shared" si="1216"/>
        <v/>
      </c>
      <c r="E1497" s="77">
        <f>G1497</f>
        <v>43858</v>
      </c>
      <c r="F1497" s="78" t="str">
        <f>IFERROR(__xludf.DUMMYFUNCTION("iferror(ifna(IFNA(filter('2.1.clean'!E:E,'2.1.clean'!A:A=C1497),filter('2.2.clean'!G:G,'2.2.clean'!D:D=C1497)),filter('2.4.clean'!E:E,'2.4.clean'!A:A=C1497)),)"),"")</f>
        <v/>
      </c>
      <c r="G1497" s="77">
        <f>IFERROR(__xludf.DUMMYFUNCTION("iferror(filter('3.1.clean'!C:C,'3.1.clean'!A:A=C1497),"""")"),43858.0)</f>
        <v>43858</v>
      </c>
      <c r="H1497" s="76" t="b">
        <f>if(G1497="",FALSE,TRUE)</f>
        <v>1</v>
      </c>
      <c r="I1497" s="76">
        <f>IFERROR(__xludf.DUMMYFUNCTION("iferror(filter('3.1.clean'!G:G,'3.1.clean'!A:A=C1497),"""")"),0.0)</f>
        <v>0</v>
      </c>
      <c r="J1497" s="78" t="str">
        <f>IFERROR(__xludf.DUMMYFUNCTION("iferror(filter('3.1.clean'!I:I,'3.1.clean'!A:A=C1497),"""")"),"")</f>
        <v/>
      </c>
      <c r="K1497" s="77"/>
      <c r="L1497" s="78"/>
      <c r="M1497" s="77"/>
      <c r="N1497" s="78"/>
      <c r="O1497" s="77"/>
      <c r="P1497" s="78"/>
      <c r="Q1497" s="77"/>
      <c r="R1497" s="76"/>
      <c r="S1497" s="25"/>
      <c r="V1497" s="1" t="s">
        <v>64</v>
      </c>
      <c r="W1497" s="1" t="b">
        <v>1</v>
      </c>
      <c r="X1497" s="23" t="str">
        <f>IFERROR(__xludf.DUMMYFUNCTION("if(COUNTA(FILTER(C:C, C:C = C1497))=1,""no"",""yes"")"),"no")</f>
        <v>no</v>
      </c>
    </row>
    <row r="1498">
      <c r="A1498" s="75" t="s">
        <v>1031</v>
      </c>
      <c r="B1498" s="2">
        <v>13.0</v>
      </c>
      <c r="C1498" s="19" t="s">
        <v>2464</v>
      </c>
      <c r="E1498" s="24">
        <v>43858.0</v>
      </c>
      <c r="F1498" s="25" t="str">
        <f>IFERROR(__xludf.DUMMYFUNCTION("iferror(ifna(IFNA(filter('2.1.clean'!E:E,'2.1.clean'!A:A=C1498),filter('2.2.clean'!G:G,'2.2.clean'!D:D=C1498)),filter('2.4.clean'!E:E,'2.4.clean'!A:A=C1498)),)"),"")</f>
        <v/>
      </c>
      <c r="G1498" s="24" t="str">
        <f>IFERROR(__xludf.DUMMYFUNCTION("iferror(filter('3.1.clean'!C:C,'3.1.clean'!A:A=C1498),"""")"),"")</f>
        <v/>
      </c>
      <c r="J1498" s="25"/>
      <c r="K1498" s="24" t="str">
        <f>IFERROR(__xludf.DUMMYFUNCTION("iferror(filter('3.2.clean'!C:C,'3.2.clean'!A:A=C1498),"""")"),"")</f>
        <v/>
      </c>
      <c r="L1498" s="25"/>
      <c r="M1498" s="24">
        <f>IFERROR(__xludf.DUMMYFUNCTION("iferror(filter('3.3.clean'!C:C,'3.3.clean'!A:A=C1498),"""")"),43861.0)</f>
        <v>43861</v>
      </c>
      <c r="N1498" s="25" t="b">
        <f t="shared" ref="N1498:N1510" si="1217">if(M1498="",FALSE,TRUE)</f>
        <v>1</v>
      </c>
      <c r="O1498" s="24">
        <f>IFERROR(__xludf.DUMMYFUNCTION("iferror(filter('3.4.clean'!C:C,'3.4.clean'!A:A=C1498),"""")"),43864.0)</f>
        <v>43864</v>
      </c>
      <c r="P1498" s="25" t="b">
        <f t="shared" ref="P1498:P1510" si="1218">if(O1498="",FALSE,TRUE)</f>
        <v>1</v>
      </c>
      <c r="Q1498" s="24" t="str">
        <f>IFERROR(__xludf.DUMMYFUNCTION("iferror(filter('3.5.clean'!C:C,'3.5.clean'!A:A=C1498),"""")"),"")</f>
        <v/>
      </c>
      <c r="S1498" s="25"/>
      <c r="V1498" s="52" t="s">
        <v>64</v>
      </c>
      <c r="X1498" s="23" t="str">
        <f>IFERROR(__xludf.DUMMYFUNCTION("if(COUNTA(FILTER(C:C, C:C = C1498))=1,""no"",""yes"")"),"no")</f>
        <v>no</v>
      </c>
    </row>
    <row r="1499">
      <c r="A1499" s="1" t="s">
        <v>1034</v>
      </c>
      <c r="B1499" s="2">
        <v>1.0</v>
      </c>
      <c r="C1499" s="19" t="s">
        <v>2471</v>
      </c>
      <c r="E1499" s="24">
        <f>IFERROR(__xludf.DUMMYFUNCTION("ifna(IFNA(filter('2.1.clean'!C:C,'2.1.clean'!A:A=C1499),filter('2.2.clean'!E:E,'2.2.clean'!D:D=C1499)),filter('2.4.clean'!C:C,'2.4.clean'!A:A=C1499))"),43864.0)</f>
        <v>43864</v>
      </c>
      <c r="F1499" s="25">
        <f>IFERROR(__xludf.DUMMYFUNCTION("iferror(ifna(IFNA(filter('2.1.clean'!E:E,'2.1.clean'!A:A=C1499),filter('2.2.clean'!G:G,'2.2.clean'!D:D=C1499)),filter('2.4.clean'!E:E,'2.4.clean'!A:A=C1499)),)"),2.39999999999999)</f>
        <v>2.4</v>
      </c>
      <c r="G1499" s="24">
        <f>IFERROR(__xludf.DUMMYFUNCTION("iferror(filter('3.1.clean'!C:C,'3.1.clean'!A:A=C1499),"""")"),43864.0)</f>
        <v>43864</v>
      </c>
      <c r="H1499" s="23" t="b">
        <f t="shared" ref="H1499:H1501" si="1219">if(G1499="",FALSE,TRUE)</f>
        <v>1</v>
      </c>
      <c r="J1499" s="25"/>
      <c r="K1499" s="24" t="str">
        <f>IFERROR(__xludf.DUMMYFUNCTION("iferror(filter('3.2.clean'!C:C,'3.2.clean'!A:A=C1499),"""")"),"")</f>
        <v/>
      </c>
      <c r="L1499" s="25" t="b">
        <f t="shared" ref="L1499:L1500" si="1220">if(K1499="",FALSE,TRUE)</f>
        <v>0</v>
      </c>
      <c r="M1499" s="24">
        <f>IFERROR(__xludf.DUMMYFUNCTION("iferror(filter('3.3.clean'!C:C,'3.3.clean'!A:A=C1499),"""")"),43867.0)</f>
        <v>43867</v>
      </c>
      <c r="N1499" s="25" t="b">
        <f t="shared" si="1217"/>
        <v>1</v>
      </c>
      <c r="O1499" s="24">
        <f>IFERROR(__xludf.DUMMYFUNCTION("iferror(filter('3.4.clean'!C:C,'3.4.clean'!A:A=C1499),"""")"),43868.0)</f>
        <v>43868</v>
      </c>
      <c r="P1499" s="25" t="b">
        <f t="shared" si="1218"/>
        <v>1</v>
      </c>
      <c r="Q1499" s="24">
        <f>IFERROR(__xludf.DUMMYFUNCTION("iferror(filter('3.5.clean'!C:C,'3.5.clean'!A:A=C1499),"""")"),43864.0)</f>
        <v>43864</v>
      </c>
      <c r="R1499" s="23" t="b">
        <f t="shared" ref="R1499:R1500" si="1221">if(Q1499="",FALSE,TRUE)</f>
        <v>1</v>
      </c>
      <c r="S1499" s="25"/>
      <c r="V1499" s="1" t="s">
        <v>64</v>
      </c>
      <c r="X1499" s="23" t="str">
        <f>IFERROR(__xludf.DUMMYFUNCTION("if(COUNTA(FILTER(C:C, C:C = C1499))=1,""no"",""yes"")"),"no")</f>
        <v>no</v>
      </c>
    </row>
    <row r="1500">
      <c r="A1500" s="1" t="s">
        <v>1034</v>
      </c>
      <c r="B1500" s="2">
        <v>2.0</v>
      </c>
      <c r="C1500" s="19" t="s">
        <v>2485</v>
      </c>
      <c r="E1500" s="24">
        <v>43864.0</v>
      </c>
      <c r="F1500" s="25" t="str">
        <f>IFERROR(__xludf.DUMMYFUNCTION("iferror(ifna(IFNA(filter('2.1.clean'!E:E,'2.1.clean'!A:A=C1500),filter('2.2.clean'!G:G,'2.2.clean'!D:D=C1500)),filter('2.4.clean'!E:E,'2.4.clean'!A:A=C1500)),)"),"")</f>
        <v/>
      </c>
      <c r="G1500" s="24" t="str">
        <f>IFERROR(__xludf.DUMMYFUNCTION("iferror(filter('3.1.clean'!C:C,'3.1.clean'!A:A=C1500),"""")"),"")</f>
        <v/>
      </c>
      <c r="H1500" s="23" t="b">
        <f t="shared" si="1219"/>
        <v>0</v>
      </c>
      <c r="J1500" s="25"/>
      <c r="K1500" s="24">
        <f>IFERROR(__xludf.DUMMYFUNCTION("iferror(filter('3.2.clean'!C:C,'3.2.clean'!A:A=C1500),"""")"),43866.0)</f>
        <v>43866</v>
      </c>
      <c r="L1500" s="25" t="b">
        <f t="shared" si="1220"/>
        <v>1</v>
      </c>
      <c r="M1500" s="24" t="str">
        <f>IFERROR(__xludf.DUMMYFUNCTION("iferror(filter('3.3.clean'!C:C,'3.3.clean'!A:A=C1500),"""")"),"")</f>
        <v/>
      </c>
      <c r="N1500" s="25" t="b">
        <f t="shared" si="1217"/>
        <v>0</v>
      </c>
      <c r="O1500" s="24" t="str">
        <f>IFERROR(__xludf.DUMMYFUNCTION("iferror(filter('3.4.clean'!C:C,'3.4.clean'!A:A=C1500),"""")"),"")</f>
        <v/>
      </c>
      <c r="P1500" s="25" t="b">
        <f t="shared" si="1218"/>
        <v>0</v>
      </c>
      <c r="Q1500" s="24" t="str">
        <f>IFERROR(__xludf.DUMMYFUNCTION("iferror(filter('3.5.clean'!C:C,'3.5.clean'!A:A=C1500),"""")"),"")</f>
        <v/>
      </c>
      <c r="R1500" s="23" t="b">
        <f t="shared" si="1221"/>
        <v>0</v>
      </c>
      <c r="S1500" s="25"/>
      <c r="U1500" s="23" t="s">
        <v>177</v>
      </c>
      <c r="V1500" s="1" t="s">
        <v>64</v>
      </c>
      <c r="X1500" s="23" t="str">
        <f>IFERROR(__xludf.DUMMYFUNCTION("if(COUNTA(FILTER(C:C, C:C = C1500))=1,""no"",""yes"")"),"no")</f>
        <v>no</v>
      </c>
    </row>
    <row r="1501">
      <c r="A1501" s="1" t="s">
        <v>1034</v>
      </c>
      <c r="B1501" s="2">
        <v>3.0</v>
      </c>
      <c r="C1501" s="19" t="s">
        <v>2490</v>
      </c>
      <c r="D1501" s="58" t="str">
        <f t="shared" ref="D1501:D1502" si="1222">if(or(I1501=1,J1501=1,S1501=1),"pos","")</f>
        <v/>
      </c>
      <c r="E1501" s="59">
        <f>IFERROR(__xludf.DUMMYFUNCTION("ifna(IFNA(filter('2.1.clean'!C:C,'2.1.clean'!A:A=C1501),filter('2.2.clean'!E:E,'2.2.clean'!D:D=C1501)),filter('2.4.clean'!C:C,'2.4.clean'!A:A=C1501))"),43864.0)</f>
        <v>43864</v>
      </c>
      <c r="F1501" s="60">
        <f>IFERROR(__xludf.DUMMYFUNCTION("iferror(ifna(IFNA(filter('2.1.clean'!E:E,'2.1.clean'!A:A=C1501),filter('2.2.clean'!G:G,'2.2.clean'!D:D=C1501)),filter('2.4.clean'!E:E,'2.4.clean'!A:A=C1501)),)"),2.39999999999999)</f>
        <v>2.4</v>
      </c>
      <c r="G1501" s="59">
        <f>IFERROR(__xludf.DUMMYFUNCTION("iferror(filter('3.1.clean'!C:C,'3.1.clean'!A:A=C1501),"""")"),43864.0)</f>
        <v>43864</v>
      </c>
      <c r="H1501" s="58" t="b">
        <f t="shared" si="1219"/>
        <v>1</v>
      </c>
      <c r="I1501" s="58">
        <f>IFERROR(__xludf.DUMMYFUNCTION("iferror(filter('3.1.clean'!G:G,'3.1.clean'!A:A=C1501),"""")"),0.0)</f>
        <v>0</v>
      </c>
      <c r="J1501" s="60" t="str">
        <f>IFERROR(__xludf.DUMMYFUNCTION("iferror(filter('3.1.clean'!I:I,'3.1.clean'!A:A=C1501),"""")"),"")</f>
        <v/>
      </c>
      <c r="K1501" s="58"/>
      <c r="L1501" s="60"/>
      <c r="M1501" s="59">
        <f>IFERROR(__xludf.DUMMYFUNCTION("iferror(filter('3.3.clean'!C:C,'3.3.clean'!A:A=C1501),"""")"),43867.0)</f>
        <v>43867</v>
      </c>
      <c r="N1501" s="60" t="b">
        <f t="shared" si="1217"/>
        <v>1</v>
      </c>
      <c r="O1501" s="59">
        <f>IFERROR(__xludf.DUMMYFUNCTION("iferror(filter('3.4.clean'!C:C,'3.4.clean'!A:A=C1501),"""")"),43868.0)</f>
        <v>43868</v>
      </c>
      <c r="P1501" s="60" t="b">
        <f t="shared" si="1218"/>
        <v>1</v>
      </c>
      <c r="Q1501" s="59" t="str">
        <f>IFERROR(__xludf.DUMMYFUNCTION("iferror(filter('3.5.clean'!C:C,'3.5.clean'!A:A=C1501),"""")"),"")</f>
        <v/>
      </c>
      <c r="R1501" s="58"/>
      <c r="S1501" s="4" t="str">
        <f>IFERROR(__xludf.DUMMYFUNCTION("iferror(filter('3.5.clean'!H:H,'3.5.clean'!A:A=C1501),"""")"),"")</f>
        <v/>
      </c>
      <c r="W1501" s="23" t="b">
        <f>if(AND(H1501=TRUE,N1501=TRUE,P1501=TRUE),TRUE,FALSE)</f>
        <v>1</v>
      </c>
      <c r="X1501" s="23" t="str">
        <f>IFERROR(__xludf.DUMMYFUNCTION("if(COUNTA(FILTER(C:C, C:C = C1501))=1,""no"",""yes"")"),"no")</f>
        <v>no</v>
      </c>
    </row>
    <row r="1502">
      <c r="A1502" s="1" t="s">
        <v>1034</v>
      </c>
      <c r="B1502" s="2">
        <v>4.0</v>
      </c>
      <c r="C1502" s="19" t="s">
        <v>2501</v>
      </c>
      <c r="D1502" s="58" t="str">
        <f t="shared" si="1222"/>
        <v/>
      </c>
      <c r="E1502" s="59">
        <f>Q1502</f>
        <v>43864</v>
      </c>
      <c r="F1502" s="60" t="str">
        <f>IFERROR(__xludf.DUMMYFUNCTION("iferror(ifna(IFNA(filter('2.1.clean'!E:E,'2.1.clean'!A:A=C1502),filter('2.2.clean'!G:G,'2.2.clean'!D:D=C1502)),filter('2.4.clean'!E:E,'2.4.clean'!A:A=C1502)),)"),"")</f>
        <v/>
      </c>
      <c r="G1502" s="59" t="str">
        <f>IFERROR(__xludf.DUMMYFUNCTION("iferror(filter('3.1.clean'!C:C,'3.1.clean'!A:A=C1502),"""")"),"")</f>
        <v/>
      </c>
      <c r="H1502" s="58"/>
      <c r="I1502" s="58" t="str">
        <f>IFERROR(__xludf.DUMMYFUNCTION("iferror(filter('3.1.clean'!G:G,'3.1.clean'!A:A=C1502),"""")"),"")</f>
        <v/>
      </c>
      <c r="J1502" s="60" t="str">
        <f>IFERROR(__xludf.DUMMYFUNCTION("iferror(filter('3.1.clean'!I:I,'3.1.clean'!A:A=C1502),"""")"),"")</f>
        <v/>
      </c>
      <c r="K1502" s="59"/>
      <c r="L1502" s="60"/>
      <c r="M1502" s="59" t="str">
        <f>IFERROR(__xludf.DUMMYFUNCTION("iferror(filter('3.3.clean'!C:C,'3.3.clean'!A:A=C1502),"""")"),"")</f>
        <v/>
      </c>
      <c r="N1502" s="60" t="b">
        <f t="shared" si="1217"/>
        <v>0</v>
      </c>
      <c r="O1502" s="59" t="str">
        <f>IFERROR(__xludf.DUMMYFUNCTION("iferror(filter('3.4.clean'!C:C,'3.4.clean'!A:A=C1502),"""")"),"")</f>
        <v/>
      </c>
      <c r="P1502" s="60" t="b">
        <f t="shared" si="1218"/>
        <v>0</v>
      </c>
      <c r="Q1502" s="59">
        <f>IFERROR(__xludf.DUMMYFUNCTION("iferror(filter('3.5.clean'!C:C,'3.5.clean'!A:A=C1502),"""")"),43864.0)</f>
        <v>43864</v>
      </c>
      <c r="R1502" s="58" t="b">
        <f t="shared" ref="R1502:R1504" si="1223">if(Q1502="",FALSE,TRUE)</f>
        <v>1</v>
      </c>
      <c r="S1502" s="4">
        <f>IFERROR(__xludf.DUMMYFUNCTION("iferror(filter('3.5.clean'!H:H,'3.5.clean'!A:A=C1502),"""")"),0.0)</f>
        <v>0</v>
      </c>
      <c r="V1502" s="52" t="s">
        <v>64</v>
      </c>
      <c r="W1502" s="23" t="b">
        <f>if(AND(R1502=TRUE,N1502=TRUE,P1502=TRUE),TRUE,FALSE)</f>
        <v>0</v>
      </c>
      <c r="X1502" s="23" t="str">
        <f>IFERROR(__xludf.DUMMYFUNCTION("if(COUNTA(FILTER(C:C, C:C = C1502))=1,""no"",""yes"")"),"no")</f>
        <v>no</v>
      </c>
    </row>
    <row r="1503">
      <c r="A1503" s="1" t="s">
        <v>1034</v>
      </c>
      <c r="B1503" s="2">
        <v>5.0</v>
      </c>
      <c r="C1503" s="19" t="s">
        <v>2515</v>
      </c>
      <c r="E1503" s="24">
        <f>IFERROR(__xludf.DUMMYFUNCTION("ifna(IFNA(filter('2.1.clean'!C:C,'2.1.clean'!A:A=C1503),filter('2.2.clean'!E:E,'2.2.clean'!D:D=C1503)),filter('2.4.clean'!C:C,'2.4.clean'!A:A=C1503))"),43864.0)</f>
        <v>43864</v>
      </c>
      <c r="F1503" s="25">
        <f>IFERROR(__xludf.DUMMYFUNCTION("iferror(ifna(IFNA(filter('2.1.clean'!E:E,'2.1.clean'!A:A=C1503),filter('2.2.clean'!G:G,'2.2.clean'!D:D=C1503)),filter('2.4.clean'!E:E,'2.4.clean'!A:A=C1503)),)"),2.39999999999999)</f>
        <v>2.4</v>
      </c>
      <c r="G1503" s="24">
        <f>IFERROR(__xludf.DUMMYFUNCTION("iferror(filter('3.1.clean'!C:C,'3.1.clean'!A:A=C1503),"""")"),43864.0)</f>
        <v>43864</v>
      </c>
      <c r="H1503" s="23" t="b">
        <f t="shared" ref="H1503:H1505" si="1224">if(G1503="",FALSE,TRUE)</f>
        <v>1</v>
      </c>
      <c r="J1503" s="25"/>
      <c r="K1503" s="24" t="str">
        <f>IFERROR(__xludf.DUMMYFUNCTION("iferror(filter('3.2.clean'!C:C,'3.2.clean'!A:A=C1503),"""")"),"")</f>
        <v/>
      </c>
      <c r="L1503" s="25" t="b">
        <f t="shared" ref="L1503:L1504" si="1225">if(K1503="",FALSE,TRUE)</f>
        <v>0</v>
      </c>
      <c r="M1503" s="24">
        <f>IFERROR(__xludf.DUMMYFUNCTION("iferror(filter('3.3.clean'!C:C,'3.3.clean'!A:A=C1503),"""")"),43867.0)</f>
        <v>43867</v>
      </c>
      <c r="N1503" s="25" t="b">
        <f t="shared" si="1217"/>
        <v>1</v>
      </c>
      <c r="O1503" s="24">
        <f>IFERROR(__xludf.DUMMYFUNCTION("iferror(filter('3.4.clean'!C:C,'3.4.clean'!A:A=C1503),"""")"),43868.0)</f>
        <v>43868</v>
      </c>
      <c r="P1503" s="25" t="b">
        <f t="shared" si="1218"/>
        <v>1</v>
      </c>
      <c r="Q1503" s="24">
        <f>IFERROR(__xludf.DUMMYFUNCTION("iferror(filter('3.5.clean'!C:C,'3.5.clean'!A:A=C1503),"""")"),43864.0)</f>
        <v>43864</v>
      </c>
      <c r="R1503" s="23" t="b">
        <f t="shared" si="1223"/>
        <v>1</v>
      </c>
      <c r="S1503" s="25"/>
      <c r="V1503" s="1" t="s">
        <v>64</v>
      </c>
      <c r="X1503" s="23" t="str">
        <f>IFERROR(__xludf.DUMMYFUNCTION("if(COUNTA(FILTER(C:C, C:C = C1503))=1,""no"",""yes"")"),"no")</f>
        <v>no</v>
      </c>
    </row>
    <row r="1504">
      <c r="A1504" s="1" t="s">
        <v>1034</v>
      </c>
      <c r="B1504" s="2">
        <v>5.0</v>
      </c>
      <c r="C1504" s="19" t="s">
        <v>2522</v>
      </c>
      <c r="E1504" s="24">
        <v>43864.0</v>
      </c>
      <c r="F1504" s="25" t="str">
        <f>IFERROR(__xludf.DUMMYFUNCTION("iferror(ifna(IFNA(filter('2.1.clean'!E:E,'2.1.clean'!A:A=C1504),filter('2.2.clean'!G:G,'2.2.clean'!D:D=C1504)),filter('2.4.clean'!E:E,'2.4.clean'!A:A=C1504)),)"),"")</f>
        <v/>
      </c>
      <c r="G1504" s="24" t="str">
        <f>IFERROR(__xludf.DUMMYFUNCTION("iferror(filter('3.1.clean'!C:C,'3.1.clean'!A:A=C1504),"""")"),"")</f>
        <v/>
      </c>
      <c r="H1504" s="23" t="b">
        <f t="shared" si="1224"/>
        <v>0</v>
      </c>
      <c r="J1504" s="25"/>
      <c r="K1504" s="24">
        <f>IFERROR(__xludf.DUMMYFUNCTION("iferror(filter('3.2.clean'!C:C,'3.2.clean'!A:A=C1504),"""")"),43866.0)</f>
        <v>43866</v>
      </c>
      <c r="L1504" s="25" t="b">
        <f t="shared" si="1225"/>
        <v>1</v>
      </c>
      <c r="M1504" s="24" t="str">
        <f>IFERROR(__xludf.DUMMYFUNCTION("iferror(filter('3.3.clean'!C:C,'3.3.clean'!A:A=C1504),"""")"),"")</f>
        <v/>
      </c>
      <c r="N1504" s="25" t="b">
        <f t="shared" si="1217"/>
        <v>0</v>
      </c>
      <c r="O1504" s="24" t="str">
        <f>IFERROR(__xludf.DUMMYFUNCTION("iferror(filter('3.4.clean'!C:C,'3.4.clean'!A:A=C1504),"""")"),"")</f>
        <v/>
      </c>
      <c r="P1504" s="25" t="b">
        <f t="shared" si="1218"/>
        <v>0</v>
      </c>
      <c r="Q1504" s="24" t="str">
        <f>IFERROR(__xludf.DUMMYFUNCTION("iferror(filter('3.5.clean'!C:C,'3.5.clean'!A:A=C1504),"""")"),"")</f>
        <v/>
      </c>
      <c r="R1504" s="23" t="b">
        <f t="shared" si="1223"/>
        <v>0</v>
      </c>
      <c r="S1504" s="25"/>
      <c r="U1504" s="23" t="s">
        <v>177</v>
      </c>
      <c r="V1504" s="1" t="s">
        <v>64</v>
      </c>
      <c r="X1504" s="23" t="str">
        <f>IFERROR(__xludf.DUMMYFUNCTION("if(COUNTA(FILTER(C:C, C:C = C1504))=1,""no"",""yes"")"),"no")</f>
        <v>no</v>
      </c>
    </row>
    <row r="1505">
      <c r="A1505" s="1" t="s">
        <v>1034</v>
      </c>
      <c r="B1505" s="2">
        <v>7.0</v>
      </c>
      <c r="C1505" s="19" t="s">
        <v>2529</v>
      </c>
      <c r="D1505" s="58" t="str">
        <f t="shared" ref="D1505:D1506" si="1226">if(or(I1505=1,J1505=1,S1505=1),"pos","")</f>
        <v/>
      </c>
      <c r="E1505" s="59">
        <f>IFERROR(__xludf.DUMMYFUNCTION("ifna(IFNA(filter('2.1.clean'!C:C,'2.1.clean'!A:A=C1505),filter('2.2.clean'!E:E,'2.2.clean'!D:D=C1505)),filter('2.4.clean'!C:C,'2.4.clean'!A:A=C1505))"),43864.0)</f>
        <v>43864</v>
      </c>
      <c r="F1505" s="60">
        <f>IFERROR(__xludf.DUMMYFUNCTION("iferror(ifna(IFNA(filter('2.1.clean'!E:E,'2.1.clean'!A:A=C1505),filter('2.2.clean'!G:G,'2.2.clean'!D:D=C1505)),filter('2.4.clean'!E:E,'2.4.clean'!A:A=C1505)),)"),2.39999999999999)</f>
        <v>2.4</v>
      </c>
      <c r="G1505" s="59">
        <f>IFERROR(__xludf.DUMMYFUNCTION("iferror(filter('3.1.clean'!C:C,'3.1.clean'!A:A=C1505),"""")"),43864.0)</f>
        <v>43864</v>
      </c>
      <c r="H1505" s="58" t="b">
        <f t="shared" si="1224"/>
        <v>1</v>
      </c>
      <c r="I1505" s="58">
        <f>IFERROR(__xludf.DUMMYFUNCTION("iferror(filter('3.1.clean'!G:G,'3.1.clean'!A:A=C1505),"""")"),0.0)</f>
        <v>0</v>
      </c>
      <c r="J1505" s="60" t="str">
        <f>IFERROR(__xludf.DUMMYFUNCTION("iferror(filter('3.1.clean'!I:I,'3.1.clean'!A:A=C1505),"""")"),"")</f>
        <v/>
      </c>
      <c r="K1505" s="58"/>
      <c r="L1505" s="60"/>
      <c r="M1505" s="59" t="str">
        <f>IFERROR(__xludf.DUMMYFUNCTION("iferror(filter('3.3.clean'!C:C,'3.3.clean'!A:A=C1505),"""")"),"")</f>
        <v/>
      </c>
      <c r="N1505" s="60" t="b">
        <f t="shared" si="1217"/>
        <v>0</v>
      </c>
      <c r="O1505" s="59" t="str">
        <f>IFERROR(__xludf.DUMMYFUNCTION("iferror(filter('3.4.clean'!C:C,'3.4.clean'!A:A=C1505),"""")"),"")</f>
        <v/>
      </c>
      <c r="P1505" s="60" t="b">
        <f t="shared" si="1218"/>
        <v>0</v>
      </c>
      <c r="Q1505" s="59" t="str">
        <f>IFERROR(__xludf.DUMMYFUNCTION("iferror(filter('3.5.clean'!C:C,'3.5.clean'!A:A=C1505),"""")"),"")</f>
        <v/>
      </c>
      <c r="R1505" s="58"/>
      <c r="S1505" s="4" t="str">
        <f>IFERROR(__xludf.DUMMYFUNCTION("iferror(filter('3.5.clean'!H:H,'3.5.clean'!A:A=C1505),"""")"),"")</f>
        <v/>
      </c>
      <c r="W1505" s="23" t="b">
        <f>if(AND(H1505=TRUE,N1505=TRUE,P1505=TRUE),TRUE,FALSE)</f>
        <v>0</v>
      </c>
      <c r="X1505" s="23" t="str">
        <f>IFERROR(__xludf.DUMMYFUNCTION("if(COUNTA(FILTER(C:C, C:C = C1505))=1,""no"",""yes"")"),"no")</f>
        <v>no</v>
      </c>
    </row>
    <row r="1506">
      <c r="A1506" s="1" t="s">
        <v>1034</v>
      </c>
      <c r="B1506" s="2">
        <v>8.0</v>
      </c>
      <c r="C1506" s="19" t="s">
        <v>2542</v>
      </c>
      <c r="D1506" s="58" t="str">
        <f t="shared" si="1226"/>
        <v/>
      </c>
      <c r="E1506" s="59">
        <f>Q1506</f>
        <v>43864</v>
      </c>
      <c r="F1506" s="60" t="str">
        <f>IFERROR(__xludf.DUMMYFUNCTION("iferror(ifna(IFNA(filter('2.1.clean'!E:E,'2.1.clean'!A:A=C1506),filter('2.2.clean'!G:G,'2.2.clean'!D:D=C1506)),filter('2.4.clean'!E:E,'2.4.clean'!A:A=C1506)),)"),"")</f>
        <v/>
      </c>
      <c r="G1506" s="59" t="str">
        <f>IFERROR(__xludf.DUMMYFUNCTION("iferror(filter('3.1.clean'!C:C,'3.1.clean'!A:A=C1506),"""")"),"")</f>
        <v/>
      </c>
      <c r="H1506" s="58"/>
      <c r="I1506" s="58" t="str">
        <f>IFERROR(__xludf.DUMMYFUNCTION("iferror(filter('3.1.clean'!G:G,'3.1.clean'!A:A=C1506),"""")"),"")</f>
        <v/>
      </c>
      <c r="J1506" s="60" t="str">
        <f>IFERROR(__xludf.DUMMYFUNCTION("iferror(filter('3.1.clean'!I:I,'3.1.clean'!A:A=C1506),"""")"),"")</f>
        <v/>
      </c>
      <c r="K1506" s="59"/>
      <c r="L1506" s="60"/>
      <c r="M1506" s="59" t="str">
        <f>IFERROR(__xludf.DUMMYFUNCTION("iferror(filter('3.3.clean'!C:C,'3.3.clean'!A:A=C1506),"""")"),"")</f>
        <v/>
      </c>
      <c r="N1506" s="60" t="b">
        <f t="shared" si="1217"/>
        <v>0</v>
      </c>
      <c r="O1506" s="59" t="str">
        <f>IFERROR(__xludf.DUMMYFUNCTION("iferror(filter('3.4.clean'!C:C,'3.4.clean'!A:A=C1506),"""")"),"")</f>
        <v/>
      </c>
      <c r="P1506" s="60" t="b">
        <f t="shared" si="1218"/>
        <v>0</v>
      </c>
      <c r="Q1506" s="59">
        <f>IFERROR(__xludf.DUMMYFUNCTION("iferror(filter('3.5.clean'!C:C,'3.5.clean'!A:A=C1506),"""")"),43864.0)</f>
        <v>43864</v>
      </c>
      <c r="R1506" s="58" t="b">
        <f t="shared" ref="R1506:R1508" si="1227">if(Q1506="",FALSE,TRUE)</f>
        <v>1</v>
      </c>
      <c r="S1506" s="4">
        <f>IFERROR(__xludf.DUMMYFUNCTION("iferror(filter('3.5.clean'!H:H,'3.5.clean'!A:A=C1506),"""")"),0.0)</f>
        <v>0</v>
      </c>
      <c r="V1506" s="52" t="s">
        <v>64</v>
      </c>
      <c r="W1506" s="23" t="b">
        <f>if(AND(R1506=TRUE,N1506=TRUE,P1506=TRUE),TRUE,FALSE)</f>
        <v>0</v>
      </c>
      <c r="X1506" s="23" t="str">
        <f>IFERROR(__xludf.DUMMYFUNCTION("if(COUNTA(FILTER(C:C, C:C = C1506))=1,""no"",""yes"")"),"no")</f>
        <v>no</v>
      </c>
    </row>
    <row r="1507">
      <c r="A1507" s="1" t="s">
        <v>1034</v>
      </c>
      <c r="B1507" s="2">
        <v>9.0</v>
      </c>
      <c r="C1507" s="19" t="s">
        <v>2549</v>
      </c>
      <c r="E1507" s="24">
        <f>IFERROR(__xludf.DUMMYFUNCTION("ifna(IFNA(filter('2.1.clean'!C:C,'2.1.clean'!A:A=C1507),filter('2.2.clean'!E:E,'2.2.clean'!D:D=C1507)),filter('2.4.clean'!C:C,'2.4.clean'!A:A=C1507))"),43864.0)</f>
        <v>43864</v>
      </c>
      <c r="F1507" s="25">
        <f>IFERROR(__xludf.DUMMYFUNCTION("iferror(ifna(IFNA(filter('2.1.clean'!E:E,'2.1.clean'!A:A=C1507),filter('2.2.clean'!G:G,'2.2.clean'!D:D=C1507)),filter('2.4.clean'!E:E,'2.4.clean'!A:A=C1507)),)"),2.39999999999999)</f>
        <v>2.4</v>
      </c>
      <c r="G1507" s="24">
        <f>IFERROR(__xludf.DUMMYFUNCTION("iferror(filter('3.1.clean'!C:C,'3.1.clean'!A:A=C1507),"""")"),43864.0)</f>
        <v>43864</v>
      </c>
      <c r="H1507" s="23" t="b">
        <f t="shared" ref="H1507:H1509" si="1228">if(G1507="",FALSE,TRUE)</f>
        <v>1</v>
      </c>
      <c r="J1507" s="25"/>
      <c r="K1507" s="24" t="str">
        <f>IFERROR(__xludf.DUMMYFUNCTION("iferror(filter('3.2.clean'!C:C,'3.2.clean'!A:A=C1507),"""")"),"")</f>
        <v/>
      </c>
      <c r="L1507" s="25" t="b">
        <f t="shared" ref="L1507:L1508" si="1229">if(K1507="",FALSE,TRUE)</f>
        <v>0</v>
      </c>
      <c r="M1507" s="24">
        <f>IFERROR(__xludf.DUMMYFUNCTION("iferror(filter('3.3.clean'!C:C,'3.3.clean'!A:A=C1507),"""")"),43867.0)</f>
        <v>43867</v>
      </c>
      <c r="N1507" s="25" t="b">
        <f t="shared" si="1217"/>
        <v>1</v>
      </c>
      <c r="O1507" s="24">
        <f>IFERROR(__xludf.DUMMYFUNCTION("iferror(filter('3.4.clean'!C:C,'3.4.clean'!A:A=C1507),"""")"),43868.0)</f>
        <v>43868</v>
      </c>
      <c r="P1507" s="25" t="b">
        <f t="shared" si="1218"/>
        <v>1</v>
      </c>
      <c r="Q1507" s="24">
        <f>IFERROR(__xludf.DUMMYFUNCTION("iferror(filter('3.5.clean'!C:C,'3.5.clean'!A:A=C1507),"""")"),43864.0)</f>
        <v>43864</v>
      </c>
      <c r="R1507" s="23" t="b">
        <f t="shared" si="1227"/>
        <v>1</v>
      </c>
      <c r="S1507" s="25"/>
      <c r="V1507" s="1" t="s">
        <v>64</v>
      </c>
      <c r="X1507" s="23" t="str">
        <f>IFERROR(__xludf.DUMMYFUNCTION("if(COUNTA(FILTER(C:C, C:C = C1507))=1,""no"",""yes"")"),"no")</f>
        <v>no</v>
      </c>
    </row>
    <row r="1508">
      <c r="A1508" s="1" t="s">
        <v>1034</v>
      </c>
      <c r="B1508" s="2">
        <v>10.0</v>
      </c>
      <c r="C1508" s="19" t="s">
        <v>2557</v>
      </c>
      <c r="E1508" s="24">
        <v>43864.0</v>
      </c>
      <c r="F1508" s="25" t="str">
        <f>IFERROR(__xludf.DUMMYFUNCTION("iferror(ifna(IFNA(filter('2.1.clean'!E:E,'2.1.clean'!A:A=C1508),filter('2.2.clean'!G:G,'2.2.clean'!D:D=C1508)),filter('2.4.clean'!E:E,'2.4.clean'!A:A=C1508)),)"),"")</f>
        <v/>
      </c>
      <c r="G1508" s="24" t="str">
        <f>IFERROR(__xludf.DUMMYFUNCTION("iferror(filter('3.1.clean'!C:C,'3.1.clean'!A:A=C1508),"""")"),"")</f>
        <v/>
      </c>
      <c r="H1508" s="23" t="b">
        <f t="shared" si="1228"/>
        <v>0</v>
      </c>
      <c r="J1508" s="25"/>
      <c r="K1508" s="24">
        <f>IFERROR(__xludf.DUMMYFUNCTION("iferror(filter('3.2.clean'!C:C,'3.2.clean'!A:A=C1508),"""")"),43866.0)</f>
        <v>43866</v>
      </c>
      <c r="L1508" s="25" t="b">
        <f t="shared" si="1229"/>
        <v>1</v>
      </c>
      <c r="M1508" s="24" t="str">
        <f>IFERROR(__xludf.DUMMYFUNCTION("iferror(filter('3.3.clean'!C:C,'3.3.clean'!A:A=C1508),"""")"),"")</f>
        <v/>
      </c>
      <c r="N1508" s="25" t="b">
        <f t="shared" si="1217"/>
        <v>0</v>
      </c>
      <c r="O1508" s="24" t="str">
        <f>IFERROR(__xludf.DUMMYFUNCTION("iferror(filter('3.4.clean'!C:C,'3.4.clean'!A:A=C1508),"""")"),"")</f>
        <v/>
      </c>
      <c r="P1508" s="25" t="b">
        <f t="shared" si="1218"/>
        <v>0</v>
      </c>
      <c r="Q1508" s="24" t="str">
        <f>IFERROR(__xludf.DUMMYFUNCTION("iferror(filter('3.5.clean'!C:C,'3.5.clean'!A:A=C1508),"""")"),"")</f>
        <v/>
      </c>
      <c r="R1508" s="23" t="b">
        <f t="shared" si="1227"/>
        <v>0</v>
      </c>
      <c r="S1508" s="25"/>
      <c r="U1508" s="23" t="s">
        <v>177</v>
      </c>
      <c r="V1508" s="1" t="s">
        <v>64</v>
      </c>
      <c r="X1508" s="23" t="str">
        <f>IFERROR(__xludf.DUMMYFUNCTION("if(COUNTA(FILTER(C:C, C:C = C1508))=1,""no"",""yes"")"),"no")</f>
        <v>no</v>
      </c>
    </row>
    <row r="1509">
      <c r="A1509" s="1" t="s">
        <v>1034</v>
      </c>
      <c r="B1509" s="2">
        <v>11.0</v>
      </c>
      <c r="C1509" s="19" t="s">
        <v>2562</v>
      </c>
      <c r="D1509" s="58" t="str">
        <f t="shared" ref="D1509:D1512" si="1230">if(or(I1509=1,J1509=1,S1509=1),"pos","")</f>
        <v/>
      </c>
      <c r="E1509" s="59">
        <f>IFERROR(__xludf.DUMMYFUNCTION("ifna(IFNA(filter('2.1.clean'!C:C,'2.1.clean'!A:A=C1509),filter('2.2.clean'!E:E,'2.2.clean'!D:D=C1509)),filter('2.4.clean'!C:C,'2.4.clean'!A:A=C1509))"),43864.0)</f>
        <v>43864</v>
      </c>
      <c r="F1509" s="60">
        <f>IFERROR(__xludf.DUMMYFUNCTION("iferror(ifna(IFNA(filter('2.1.clean'!E:E,'2.1.clean'!A:A=C1509),filter('2.2.clean'!G:G,'2.2.clean'!D:D=C1509)),filter('2.4.clean'!E:E,'2.4.clean'!A:A=C1509)),)"),2.39999999999999)</f>
        <v>2.4</v>
      </c>
      <c r="G1509" s="59">
        <f>IFERROR(__xludf.DUMMYFUNCTION("iferror(filter('3.1.clean'!C:C,'3.1.clean'!A:A=C1509),"""")"),43864.0)</f>
        <v>43864</v>
      </c>
      <c r="H1509" s="58" t="b">
        <f t="shared" si="1228"/>
        <v>1</v>
      </c>
      <c r="I1509" s="58">
        <f>IFERROR(__xludf.DUMMYFUNCTION("iferror(filter('3.1.clean'!G:G,'3.1.clean'!A:A=C1509),"""")"),0.0)</f>
        <v>0</v>
      </c>
      <c r="J1509" s="60" t="str">
        <f>IFERROR(__xludf.DUMMYFUNCTION("iferror(filter('3.1.clean'!I:I,'3.1.clean'!A:A=C1509),"""")"),"")</f>
        <v/>
      </c>
      <c r="K1509" s="58"/>
      <c r="L1509" s="60"/>
      <c r="M1509" s="59" t="str">
        <f>IFERROR(__xludf.DUMMYFUNCTION("iferror(filter('3.3.clean'!C:C,'3.3.clean'!A:A=C1509),"""")"),"")</f>
        <v/>
      </c>
      <c r="N1509" s="60" t="b">
        <f t="shared" si="1217"/>
        <v>0</v>
      </c>
      <c r="O1509" s="59" t="str">
        <f>IFERROR(__xludf.DUMMYFUNCTION("iferror(filter('3.4.clean'!C:C,'3.4.clean'!A:A=C1509),"""")"),"")</f>
        <v/>
      </c>
      <c r="P1509" s="60" t="b">
        <f t="shared" si="1218"/>
        <v>0</v>
      </c>
      <c r="Q1509" s="59" t="str">
        <f>IFERROR(__xludf.DUMMYFUNCTION("iferror(filter('3.5.clean'!C:C,'3.5.clean'!A:A=C1509),"""")"),"")</f>
        <v/>
      </c>
      <c r="R1509" s="58"/>
      <c r="S1509" s="4" t="str">
        <f>IFERROR(__xludf.DUMMYFUNCTION("iferror(filter('3.5.clean'!H:H,'3.5.clean'!A:A=C1509),"""")"),"")</f>
        <v/>
      </c>
      <c r="W1509" s="23" t="b">
        <f>if(AND(H1509=TRUE,N1509=TRUE,P1509=TRUE),TRUE,FALSE)</f>
        <v>0</v>
      </c>
      <c r="X1509" s="23" t="str">
        <f>IFERROR(__xludf.DUMMYFUNCTION("if(COUNTA(FILTER(C:C, C:C = C1509))=1,""no"",""yes"")"),"no")</f>
        <v>no</v>
      </c>
    </row>
    <row r="1510">
      <c r="A1510" s="1" t="s">
        <v>1034</v>
      </c>
      <c r="B1510" s="2">
        <v>12.0</v>
      </c>
      <c r="C1510" s="19" t="s">
        <v>2567</v>
      </c>
      <c r="D1510" s="58" t="str">
        <f t="shared" si="1230"/>
        <v/>
      </c>
      <c r="E1510" s="59">
        <f>Q1510</f>
        <v>43864</v>
      </c>
      <c r="F1510" s="60" t="str">
        <f>IFERROR(__xludf.DUMMYFUNCTION("iferror(ifna(IFNA(filter('2.1.clean'!E:E,'2.1.clean'!A:A=C1510),filter('2.2.clean'!G:G,'2.2.clean'!D:D=C1510)),filter('2.4.clean'!E:E,'2.4.clean'!A:A=C1510)),)"),"")</f>
        <v/>
      </c>
      <c r="G1510" s="59" t="str">
        <f>IFERROR(__xludf.DUMMYFUNCTION("iferror(filter('3.1.clean'!C:C,'3.1.clean'!A:A=C1510),"""")"),"")</f>
        <v/>
      </c>
      <c r="H1510" s="58"/>
      <c r="I1510" s="58" t="str">
        <f>IFERROR(__xludf.DUMMYFUNCTION("iferror(filter('3.1.clean'!G:G,'3.1.clean'!A:A=C1510),"""")"),"")</f>
        <v/>
      </c>
      <c r="J1510" s="60" t="str">
        <f>IFERROR(__xludf.DUMMYFUNCTION("iferror(filter('3.1.clean'!I:I,'3.1.clean'!A:A=C1510),"""")"),"")</f>
        <v/>
      </c>
      <c r="K1510" s="59"/>
      <c r="L1510" s="60"/>
      <c r="M1510" s="59" t="str">
        <f>IFERROR(__xludf.DUMMYFUNCTION("iferror(filter('3.3.clean'!C:C,'3.3.clean'!A:A=C1510),"""")"),"")</f>
        <v/>
      </c>
      <c r="N1510" s="60" t="b">
        <f t="shared" si="1217"/>
        <v>0</v>
      </c>
      <c r="O1510" s="59" t="str">
        <f>IFERROR(__xludf.DUMMYFUNCTION("iferror(filter('3.4.clean'!C:C,'3.4.clean'!A:A=C1510),"""")"),"")</f>
        <v/>
      </c>
      <c r="P1510" s="60" t="b">
        <f t="shared" si="1218"/>
        <v>0</v>
      </c>
      <c r="Q1510" s="59">
        <f>IFERROR(__xludf.DUMMYFUNCTION("iferror(filter('3.5.clean'!C:C,'3.5.clean'!A:A=C1510),"""")"),43864.0)</f>
        <v>43864</v>
      </c>
      <c r="R1510" s="58" t="b">
        <f>if(Q1510="",FALSE,TRUE)</f>
        <v>1</v>
      </c>
      <c r="S1510" s="4">
        <f>IFERROR(__xludf.DUMMYFUNCTION("iferror(filter('3.5.clean'!H:H,'3.5.clean'!A:A=C1510),"""")"),0.0)</f>
        <v>0</v>
      </c>
      <c r="V1510" s="52" t="s">
        <v>64</v>
      </c>
      <c r="W1510" s="23" t="b">
        <f>if(AND(R1510=TRUE,N1510=TRUE,P1510=TRUE),TRUE,FALSE)</f>
        <v>0</v>
      </c>
      <c r="X1510" s="23" t="str">
        <f>IFERROR(__xludf.DUMMYFUNCTION("if(COUNTA(FILTER(C:C, C:C = C1510))=1,""no"",""yes"")"),"no")</f>
        <v>no</v>
      </c>
    </row>
    <row r="1511">
      <c r="A1511" s="1" t="s">
        <v>1034</v>
      </c>
      <c r="B1511" s="19">
        <v>13.0</v>
      </c>
      <c r="C1511" s="19" t="s">
        <v>2574</v>
      </c>
      <c r="D1511" s="76" t="str">
        <f t="shared" si="1230"/>
        <v/>
      </c>
      <c r="E1511" s="77">
        <f>G1511</f>
        <v>43864</v>
      </c>
      <c r="F1511" s="78" t="str">
        <f>IFERROR(__xludf.DUMMYFUNCTION("iferror(ifna(IFNA(filter('2.1.clean'!E:E,'2.1.clean'!A:A=C1511),filter('2.2.clean'!G:G,'2.2.clean'!D:D=C1511)),filter('2.4.clean'!E:E,'2.4.clean'!A:A=C1511)),)"),"")</f>
        <v/>
      </c>
      <c r="G1511" s="77">
        <f>IFERROR(__xludf.DUMMYFUNCTION("iferror(filter('3.1.clean'!C:C,'3.1.clean'!A:A=C1511),"""")"),43864.0)</f>
        <v>43864</v>
      </c>
      <c r="H1511" s="76" t="b">
        <f>if(G1511="",FALSE,TRUE)</f>
        <v>1</v>
      </c>
      <c r="I1511" s="76">
        <f>IFERROR(__xludf.DUMMYFUNCTION("iferror(filter('3.1.clean'!G:G,'3.1.clean'!A:A=C1511),"""")"),0.0)</f>
        <v>0</v>
      </c>
      <c r="J1511" s="78" t="str">
        <f>IFERROR(__xludf.DUMMYFUNCTION("iferror(filter('3.1.clean'!I:I,'3.1.clean'!A:A=C1511),"""")"),"")</f>
        <v/>
      </c>
      <c r="K1511" s="77"/>
      <c r="L1511" s="78"/>
      <c r="M1511" s="77"/>
      <c r="N1511" s="78"/>
      <c r="O1511" s="77"/>
      <c r="P1511" s="78"/>
      <c r="Q1511" s="77"/>
      <c r="R1511" s="76"/>
      <c r="S1511" s="25"/>
      <c r="V1511" s="1" t="s">
        <v>64</v>
      </c>
      <c r="W1511" s="1" t="b">
        <v>1</v>
      </c>
      <c r="X1511" s="23" t="str">
        <f>IFERROR(__xludf.DUMMYFUNCTION("if(COUNTA(FILTER(C:C, C:C = C1511))=1,""no"",""yes"")"),"no")</f>
        <v>no</v>
      </c>
    </row>
    <row r="1512">
      <c r="A1512" s="1" t="s">
        <v>1034</v>
      </c>
      <c r="B1512" s="19">
        <v>14.0</v>
      </c>
      <c r="C1512" s="19" t="s">
        <v>2582</v>
      </c>
      <c r="D1512" s="22" t="str">
        <f t="shared" si="1230"/>
        <v/>
      </c>
      <c r="E1512" s="20">
        <f>Q1512</f>
        <v>43864</v>
      </c>
      <c r="F1512" s="79" t="str">
        <f>IFERROR(__xludf.DUMMYFUNCTION("iferror(ifna(IFNA(filter('2.1.clean'!E:E,'2.1.clean'!A:A=C1512),filter('2.2.clean'!G:G,'2.2.clean'!D:D=C1512)),filter('2.4.clean'!E:E,'2.4.clean'!A:A=C1512)),)"),"")</f>
        <v/>
      </c>
      <c r="G1512" s="20" t="str">
        <f>IFERROR(__xludf.DUMMYFUNCTION("iferror(filter('3.1.clean'!C:C,'3.1.clean'!A:A=C1512),"""")"),"")</f>
        <v/>
      </c>
      <c r="H1512" s="22"/>
      <c r="I1512" s="22"/>
      <c r="J1512" s="79"/>
      <c r="K1512" s="20" t="str">
        <f>IFERROR(__xludf.DUMMYFUNCTION("iferror(filter('3.2.clean'!C:C,'3.2.clean'!A:A=C1512),"""")"),"")</f>
        <v/>
      </c>
      <c r="L1512" s="79"/>
      <c r="M1512" s="20" t="str">
        <f>IFERROR(__xludf.DUMMYFUNCTION("iferror(filter('3.3.clean'!C:C,'3.3.clean'!A:A=C1512),"""")"),"")</f>
        <v/>
      </c>
      <c r="N1512" s="79" t="b">
        <f t="shared" ref="N1512:N1530" si="1231">if(M1512="",FALSE,TRUE)</f>
        <v>0</v>
      </c>
      <c r="O1512" s="20" t="str">
        <f>IFERROR(__xludf.DUMMYFUNCTION("iferror(filter('3.4.clean'!C:C,'3.4.clean'!A:A=C1512),"""")"),"")</f>
        <v/>
      </c>
      <c r="P1512" s="79" t="b">
        <f t="shared" ref="P1512:P1530" si="1232">if(O1512="",FALSE,TRUE)</f>
        <v>0</v>
      </c>
      <c r="Q1512" s="20">
        <f>IFERROR(__xludf.DUMMYFUNCTION("iferror(filter('3.5.clean'!C:C,'3.5.clean'!A:A=C1512),"""")"),43864.0)</f>
        <v>43864</v>
      </c>
      <c r="R1512" s="22" t="b">
        <f t="shared" ref="R1512:R1514" si="1233">if(Q1512="",FALSE,TRUE)</f>
        <v>1</v>
      </c>
      <c r="S1512" s="4">
        <f>IFERROR(__xludf.DUMMYFUNCTION("iferror(filter('3.5.clean'!H:H,'3.5.clean'!A:A=C1512),"""")"),0.0)</f>
        <v>0</v>
      </c>
      <c r="V1512" s="1" t="s">
        <v>64</v>
      </c>
      <c r="W1512" s="23" t="b">
        <f>IF(and(R1512=TRUE,N1512=TRUE,P1512=TRUE),TRUE,FALSE)</f>
        <v>0</v>
      </c>
      <c r="X1512" s="23" t="str">
        <f>IFERROR(__xludf.DUMMYFUNCTION("if(COUNTA(FILTER(C:C, C:C = C1512))=1,""no"",""yes"")"),"no")</f>
        <v>no</v>
      </c>
    </row>
    <row r="1513">
      <c r="A1513" s="75" t="s">
        <v>1038</v>
      </c>
      <c r="B1513" s="2">
        <v>1.0</v>
      </c>
      <c r="C1513" s="19" t="s">
        <v>2590</v>
      </c>
      <c r="E1513" s="24">
        <f>IFERROR(__xludf.DUMMYFUNCTION("ifna(IFNA(filter('2.1.clean'!C:C,'2.1.clean'!A:A=C1513),filter('2.2.clean'!E:E,'2.2.clean'!D:D=C1513)),filter('2.4.clean'!C:C,'2.4.clean'!A:A=C1513))"),43865.0)</f>
        <v>43865</v>
      </c>
      <c r="F1513" s="25">
        <f>IFERROR(__xludf.DUMMYFUNCTION("iferror(ifna(IFNA(filter('2.1.clean'!E:E,'2.1.clean'!A:A=C1513),filter('2.2.clean'!G:G,'2.2.clean'!D:D=C1513)),filter('2.4.clean'!E:E,'2.4.clean'!A:A=C1513)),)"),2.39999999999999)</f>
        <v>2.4</v>
      </c>
      <c r="G1513" s="24">
        <f>IFERROR(__xludf.DUMMYFUNCTION("iferror(filter('3.1.clean'!C:C,'3.1.clean'!A:A=C1513),"""")"),43865.0)</f>
        <v>43865</v>
      </c>
      <c r="H1513" s="23" t="b">
        <f t="shared" ref="H1513:H1515" si="1234">if(G1513="",FALSE,TRUE)</f>
        <v>1</v>
      </c>
      <c r="J1513" s="25"/>
      <c r="K1513" s="24" t="str">
        <f>IFERROR(__xludf.DUMMYFUNCTION("iferror(filter('3.2.clean'!C:C,'3.2.clean'!A:A=C1513),"""")"),"")</f>
        <v/>
      </c>
      <c r="L1513" s="25" t="b">
        <f t="shared" ref="L1513:L1514" si="1235">if(K1513="",FALSE,TRUE)</f>
        <v>0</v>
      </c>
      <c r="M1513" s="24">
        <f>IFERROR(__xludf.DUMMYFUNCTION("iferror(filter('3.3.clean'!C:C,'3.3.clean'!A:A=C1513),"""")"),43867.0)</f>
        <v>43867</v>
      </c>
      <c r="N1513" s="25" t="b">
        <f t="shared" si="1231"/>
        <v>1</v>
      </c>
      <c r="O1513" s="24">
        <f>IFERROR(__xludf.DUMMYFUNCTION("iferror(filter('3.4.clean'!C:C,'3.4.clean'!A:A=C1513),"""")"),43868.0)</f>
        <v>43868</v>
      </c>
      <c r="P1513" s="25" t="b">
        <f t="shared" si="1232"/>
        <v>1</v>
      </c>
      <c r="Q1513" s="24">
        <f>IFERROR(__xludf.DUMMYFUNCTION("iferror(filter('3.5.clean'!C:C,'3.5.clean'!A:A=C1513),"""")"),43865.0)</f>
        <v>43865</v>
      </c>
      <c r="R1513" s="23" t="b">
        <f t="shared" si="1233"/>
        <v>1</v>
      </c>
      <c r="S1513" s="25"/>
      <c r="U1513" s="23" t="s">
        <v>177</v>
      </c>
      <c r="V1513" s="1" t="s">
        <v>64</v>
      </c>
      <c r="X1513" s="23" t="str">
        <f>IFERROR(__xludf.DUMMYFUNCTION("if(COUNTA(FILTER(C:C, C:C = C1513))=1,""no"",""yes"")"),"no")</f>
        <v>no</v>
      </c>
    </row>
    <row r="1514">
      <c r="A1514" s="75" t="s">
        <v>1038</v>
      </c>
      <c r="B1514" s="2">
        <v>2.0</v>
      </c>
      <c r="C1514" s="19" t="s">
        <v>2600</v>
      </c>
      <c r="E1514" s="24">
        <v>43865.0</v>
      </c>
      <c r="F1514" s="25" t="str">
        <f>IFERROR(__xludf.DUMMYFUNCTION("iferror(ifna(IFNA(filter('2.1.clean'!E:E,'2.1.clean'!A:A=C1514),filter('2.2.clean'!G:G,'2.2.clean'!D:D=C1514)),filter('2.4.clean'!E:E,'2.4.clean'!A:A=C1514)),)"),"")</f>
        <v/>
      </c>
      <c r="G1514" s="24" t="str">
        <f>IFERROR(__xludf.DUMMYFUNCTION("iferror(filter('3.1.clean'!C:C,'3.1.clean'!A:A=C1514),"""")"),"")</f>
        <v/>
      </c>
      <c r="H1514" s="23" t="b">
        <f t="shared" si="1234"/>
        <v>0</v>
      </c>
      <c r="J1514" s="25"/>
      <c r="K1514" s="24">
        <f>IFERROR(__xludf.DUMMYFUNCTION("iferror(filter('3.2.clean'!C:C,'3.2.clean'!A:A=C1514),"""")"),43866.0)</f>
        <v>43866</v>
      </c>
      <c r="L1514" s="25" t="b">
        <f t="shared" si="1235"/>
        <v>1</v>
      </c>
      <c r="M1514" s="24" t="str">
        <f>IFERROR(__xludf.DUMMYFUNCTION("iferror(filter('3.3.clean'!C:C,'3.3.clean'!A:A=C1514),"""")"),"")</f>
        <v/>
      </c>
      <c r="N1514" s="25" t="b">
        <f t="shared" si="1231"/>
        <v>0</v>
      </c>
      <c r="O1514" s="24" t="str">
        <f>IFERROR(__xludf.DUMMYFUNCTION("iferror(filter('3.4.clean'!C:C,'3.4.clean'!A:A=C1514),"""")"),"")</f>
        <v/>
      </c>
      <c r="P1514" s="25" t="b">
        <f t="shared" si="1232"/>
        <v>0</v>
      </c>
      <c r="Q1514" s="24" t="str">
        <f>IFERROR(__xludf.DUMMYFUNCTION("iferror(filter('3.5.clean'!C:C,'3.5.clean'!A:A=C1514),"""")"),"")</f>
        <v/>
      </c>
      <c r="R1514" s="23" t="b">
        <f t="shared" si="1233"/>
        <v>0</v>
      </c>
      <c r="S1514" s="25"/>
      <c r="U1514" s="23" t="s">
        <v>177</v>
      </c>
      <c r="V1514" s="1" t="s">
        <v>64</v>
      </c>
      <c r="X1514" s="23" t="str">
        <f>IFERROR(__xludf.DUMMYFUNCTION("if(COUNTA(FILTER(C:C, C:C = C1514))=1,""no"",""yes"")"),"no")</f>
        <v>no</v>
      </c>
    </row>
    <row r="1515">
      <c r="A1515" s="75" t="s">
        <v>1038</v>
      </c>
      <c r="B1515" s="2">
        <v>3.0</v>
      </c>
      <c r="C1515" s="19" t="s">
        <v>2607</v>
      </c>
      <c r="D1515" s="58" t="str">
        <f t="shared" ref="D1515:D1516" si="1236">if(or(I1515=1,J1515=1,S1515=1),"pos","")</f>
        <v/>
      </c>
      <c r="E1515" s="59">
        <f>IFERROR(__xludf.DUMMYFUNCTION("ifna(IFNA(filter('2.1.clean'!C:C,'2.1.clean'!A:A=C1515),filter('2.2.clean'!E:E,'2.2.clean'!D:D=C1515)),filter('2.4.clean'!C:C,'2.4.clean'!A:A=C1515))"),43865.0)</f>
        <v>43865</v>
      </c>
      <c r="F1515" s="60">
        <f>IFERROR(__xludf.DUMMYFUNCTION("iferror(ifna(IFNA(filter('2.1.clean'!E:E,'2.1.clean'!A:A=C1515),filter('2.2.clean'!G:G,'2.2.clean'!D:D=C1515)),filter('2.4.clean'!E:E,'2.4.clean'!A:A=C1515)),)"),2.39999999999999)</f>
        <v>2.4</v>
      </c>
      <c r="G1515" s="59">
        <f>IFERROR(__xludf.DUMMYFUNCTION("iferror(filter('3.1.clean'!C:C,'3.1.clean'!A:A=C1515),"""")"),43865.0)</f>
        <v>43865</v>
      </c>
      <c r="H1515" s="58" t="b">
        <f t="shared" si="1234"/>
        <v>1</v>
      </c>
      <c r="I1515" s="58">
        <f>IFERROR(__xludf.DUMMYFUNCTION("iferror(filter('3.1.clean'!G:G,'3.1.clean'!A:A=C1515),"""")"),0.0)</f>
        <v>0</v>
      </c>
      <c r="J1515" s="60" t="str">
        <f>IFERROR(__xludf.DUMMYFUNCTION("iferror(filter('3.1.clean'!I:I,'3.1.clean'!A:A=C1515),"""")"),"")</f>
        <v/>
      </c>
      <c r="K1515" s="58"/>
      <c r="L1515" s="60"/>
      <c r="M1515" s="59" t="str">
        <f>IFERROR(__xludf.DUMMYFUNCTION("iferror(filter('3.3.clean'!C:C,'3.3.clean'!A:A=C1515),"""")"),"")</f>
        <v/>
      </c>
      <c r="N1515" s="60" t="b">
        <f t="shared" si="1231"/>
        <v>0</v>
      </c>
      <c r="O1515" s="59" t="str">
        <f>IFERROR(__xludf.DUMMYFUNCTION("iferror(filter('3.4.clean'!C:C,'3.4.clean'!A:A=C1515),"""")"),"")</f>
        <v/>
      </c>
      <c r="P1515" s="60" t="b">
        <f t="shared" si="1232"/>
        <v>0</v>
      </c>
      <c r="Q1515" s="59" t="str">
        <f>IFERROR(__xludf.DUMMYFUNCTION("iferror(filter('3.5.clean'!C:C,'3.5.clean'!A:A=C1515),"""")"),"")</f>
        <v/>
      </c>
      <c r="R1515" s="58"/>
      <c r="S1515" s="4" t="str">
        <f>IFERROR(__xludf.DUMMYFUNCTION("iferror(filter('3.5.clean'!H:H,'3.5.clean'!A:A=C1515),"""")"),"")</f>
        <v/>
      </c>
      <c r="W1515" s="23" t="b">
        <f>if(AND(H1515=TRUE,N1515=TRUE,P1515=TRUE),TRUE,FALSE)</f>
        <v>0</v>
      </c>
      <c r="X1515" s="23" t="str">
        <f>IFERROR(__xludf.DUMMYFUNCTION("if(COUNTA(FILTER(C:C, C:C = C1515))=1,""no"",""yes"")"),"no")</f>
        <v>no</v>
      </c>
    </row>
    <row r="1516">
      <c r="A1516" s="75" t="s">
        <v>1038</v>
      </c>
      <c r="B1516" s="2">
        <v>4.0</v>
      </c>
      <c r="C1516" s="2" t="s">
        <v>342</v>
      </c>
      <c r="D1516" s="58" t="str">
        <f t="shared" si="1236"/>
        <v/>
      </c>
      <c r="E1516" s="59">
        <f>Q1516</f>
        <v>43865</v>
      </c>
      <c r="F1516" s="60" t="str">
        <f>IFERROR(__xludf.DUMMYFUNCTION("iferror(ifna(IFNA(filter('2.1.clean'!E:E,'2.1.clean'!A:A=C1516),filter('2.2.clean'!G:G,'2.2.clean'!D:D=C1516)),filter('2.4.clean'!E:E,'2.4.clean'!A:A=C1516)),)"),"")</f>
        <v/>
      </c>
      <c r="G1516" s="59" t="str">
        <f>IFERROR(__xludf.DUMMYFUNCTION("iferror(filter('3.1.clean'!C:C,'3.1.clean'!A:A=C1516),"""")"),"")</f>
        <v/>
      </c>
      <c r="H1516" s="58"/>
      <c r="I1516" s="58" t="str">
        <f>IFERROR(__xludf.DUMMYFUNCTION("iferror(filter('3.1.clean'!G:G,'3.1.clean'!A:A=C1516),"""")"),"")</f>
        <v/>
      </c>
      <c r="J1516" s="60" t="str">
        <f>IFERROR(__xludf.DUMMYFUNCTION("iferror(filter('3.1.clean'!I:I,'3.1.clean'!A:A=C1516),"""")"),"")</f>
        <v/>
      </c>
      <c r="K1516" s="59"/>
      <c r="L1516" s="60"/>
      <c r="M1516" s="59" t="str">
        <f>IFERROR(__xludf.DUMMYFUNCTION("iferror(filter('3.3.clean'!C:C,'3.3.clean'!A:A=C1516),"""")"),"")</f>
        <v/>
      </c>
      <c r="N1516" s="60" t="b">
        <f t="shared" si="1231"/>
        <v>0</v>
      </c>
      <c r="O1516" s="59" t="str">
        <f>IFERROR(__xludf.DUMMYFUNCTION("iferror(filter('3.4.clean'!C:C,'3.4.clean'!A:A=C1516),"""")"),"")</f>
        <v/>
      </c>
      <c r="P1516" s="60" t="b">
        <f t="shared" si="1232"/>
        <v>0</v>
      </c>
      <c r="Q1516" s="59">
        <f>IFERROR(__xludf.DUMMYFUNCTION("iferror(filter('3.5.clean'!C:C,'3.5.clean'!A:A=C1516),"""")"),43865.0)</f>
        <v>43865</v>
      </c>
      <c r="R1516" s="58" t="b">
        <f>if(Q1516="",FALSE,TRUE)</f>
        <v>1</v>
      </c>
      <c r="S1516" s="4">
        <f>IFERROR(__xludf.DUMMYFUNCTION("iferror(filter('3.5.clean'!H:H,'3.5.clean'!A:A=C1516),"""")"),0.0)</f>
        <v>0</v>
      </c>
      <c r="V1516" s="52" t="s">
        <v>64</v>
      </c>
      <c r="W1516" s="23" t="b">
        <f>if(AND(R1516=TRUE,N1516=TRUE,P1516=TRUE),TRUE,FALSE)</f>
        <v>0</v>
      </c>
      <c r="X1516" s="23" t="str">
        <f>IFERROR(__xludf.DUMMYFUNCTION("if(COUNTA(FILTER(C:C, C:C = C1516))=1,""no"",""yes"")"),"no")</f>
        <v>no</v>
      </c>
    </row>
    <row r="1517">
      <c r="A1517" s="75" t="s">
        <v>1038</v>
      </c>
      <c r="B1517" s="2">
        <v>5.0</v>
      </c>
      <c r="C1517" s="19" t="s">
        <v>2625</v>
      </c>
      <c r="D1517" s="24"/>
      <c r="E1517" s="24">
        <f>IFERROR(__xludf.DUMMYFUNCTION("ifna(IFNA(filter('2.1.clean'!C:C,'2.1.clean'!A:A=C1517),filter('2.2.clean'!E:E,'2.2.clean'!D:D=C1517)),filter('2.4.clean'!C:C,'2.4.clean'!A:A=C1517))"),43865.0)</f>
        <v>43865</v>
      </c>
      <c r="F1517" s="25">
        <f>IFERROR(__xludf.DUMMYFUNCTION("iferror(ifna(IFNA(filter('2.1.clean'!E:E,'2.1.clean'!A:A=C1517),filter('2.2.clean'!G:G,'2.2.clean'!D:D=C1517)),filter('2.4.clean'!E:E,'2.4.clean'!A:A=C1517)),)"),2.1)</f>
        <v>2.1</v>
      </c>
      <c r="G1517" s="24">
        <f>IFERROR(__xludf.DUMMYFUNCTION("iferror(filter('3.1.clean'!C:C,'3.1.clean'!A:A=C1517),"""")"),43865.0)</f>
        <v>43865</v>
      </c>
      <c r="H1517" s="23" t="b">
        <f t="shared" ref="H1517:H1518" si="1237">if(G1517="",FALSE,TRUE)</f>
        <v>1</v>
      </c>
      <c r="J1517" s="25"/>
      <c r="K1517" s="24">
        <f>IFERROR(__xludf.DUMMYFUNCTION("iferror(filter('3.2.clean'!C:C,'3.2.clean'!A:A=C1517),"""")"),43868.0)</f>
        <v>43868</v>
      </c>
      <c r="L1517" s="25" t="b">
        <f>if(K1517="",FALSE,TRUE)</f>
        <v>1</v>
      </c>
      <c r="M1517" s="24">
        <f>IFERROR(__xludf.DUMMYFUNCTION("iferror(filter('3.3.clean'!C:C,'3.3.clean'!A:A=C1517),"""")"),43867.0)</f>
        <v>43867</v>
      </c>
      <c r="N1517" s="25" t="b">
        <f t="shared" si="1231"/>
        <v>1</v>
      </c>
      <c r="O1517" s="24">
        <f>IFERROR(__xludf.DUMMYFUNCTION("iferror(filter('3.4.clean'!C:C,'3.4.clean'!A:A=C1517),"""")"),43868.0)</f>
        <v>43868</v>
      </c>
      <c r="P1517" s="25" t="b">
        <f t="shared" si="1232"/>
        <v>1</v>
      </c>
      <c r="Q1517" s="24"/>
      <c r="S1517" s="25"/>
      <c r="U1517" s="1" t="s">
        <v>382</v>
      </c>
      <c r="V1517" s="1" t="s">
        <v>83</v>
      </c>
      <c r="W1517" s="23" t="b">
        <f>IF(and(H1517=TRUE,L1517=TRUE,N1517=TRUE,P1517=TRUE),TRUE,FALSE)</f>
        <v>1</v>
      </c>
      <c r="X1517" s="23" t="str">
        <f>IFERROR(__xludf.DUMMYFUNCTION("if(COUNTA(FILTER(C:C, C:C = C1517))=1,""no"",""yes"")"),"no")</f>
        <v>no</v>
      </c>
    </row>
    <row r="1518">
      <c r="A1518" s="75" t="s">
        <v>1038</v>
      </c>
      <c r="B1518" s="2">
        <v>6.0</v>
      </c>
      <c r="C1518" s="19" t="s">
        <v>2632</v>
      </c>
      <c r="D1518" s="58" t="str">
        <f t="shared" ref="D1518:D1519" si="1238">if(or(I1518=1,J1518=1,S1518=1),"pos","")</f>
        <v/>
      </c>
      <c r="E1518" s="59">
        <f>IFERROR(__xludf.DUMMYFUNCTION("ifna(IFNA(filter('2.1.clean'!C:C,'2.1.clean'!A:A=C1518),filter('2.2.clean'!E:E,'2.2.clean'!D:D=C1518)),filter('2.4.clean'!C:C,'2.4.clean'!A:A=C1518))"),43865.0)</f>
        <v>43865</v>
      </c>
      <c r="F1518" s="60">
        <f>IFERROR(__xludf.DUMMYFUNCTION("iferror(ifna(IFNA(filter('2.1.clean'!E:E,'2.1.clean'!A:A=C1518),filter('2.2.clean'!G:G,'2.2.clean'!D:D=C1518)),filter('2.4.clean'!E:E,'2.4.clean'!A:A=C1518)),)"),2.1)</f>
        <v>2.1</v>
      </c>
      <c r="G1518" s="59">
        <f>IFERROR(__xludf.DUMMYFUNCTION("iferror(filter('3.1.clean'!C:C,'3.1.clean'!A:A=C1518),"""")"),43865.0)</f>
        <v>43865</v>
      </c>
      <c r="H1518" s="58" t="b">
        <f t="shared" si="1237"/>
        <v>1</v>
      </c>
      <c r="I1518" s="58">
        <f>IFERROR(__xludf.DUMMYFUNCTION("iferror(filter('3.1.clean'!G:G,'3.1.clean'!A:A=C1518),"""")"),0.0)</f>
        <v>0</v>
      </c>
      <c r="J1518" s="60" t="str">
        <f>IFERROR(__xludf.DUMMYFUNCTION("iferror(filter('3.1.clean'!I:I,'3.1.clean'!A:A=C1518),"""")"),"")</f>
        <v/>
      </c>
      <c r="K1518" s="58"/>
      <c r="L1518" s="60"/>
      <c r="M1518" s="59" t="str">
        <f>IFERROR(__xludf.DUMMYFUNCTION("iferror(filter('3.3.clean'!C:C,'3.3.clean'!A:A=C1518),"""")"),"")</f>
        <v/>
      </c>
      <c r="N1518" s="60" t="b">
        <f t="shared" si="1231"/>
        <v>0</v>
      </c>
      <c r="O1518" s="59" t="str">
        <f>IFERROR(__xludf.DUMMYFUNCTION("iferror(filter('3.4.clean'!C:C,'3.4.clean'!A:A=C1518),"""")"),"")</f>
        <v/>
      </c>
      <c r="P1518" s="60" t="b">
        <f t="shared" si="1232"/>
        <v>0</v>
      </c>
      <c r="Q1518" s="59" t="str">
        <f>IFERROR(__xludf.DUMMYFUNCTION("iferror(filter('3.5.clean'!C:C,'3.5.clean'!A:A=C1518),"""")"),"")</f>
        <v/>
      </c>
      <c r="R1518" s="58"/>
      <c r="S1518" s="4" t="str">
        <f>IFERROR(__xludf.DUMMYFUNCTION("iferror(filter('3.5.clean'!H:H,'3.5.clean'!A:A=C1518),"""")"),"")</f>
        <v/>
      </c>
      <c r="W1518" s="23" t="b">
        <f>if(AND(H1518=TRUE,N1518=TRUE,P1518=TRUE),TRUE,FALSE)</f>
        <v>0</v>
      </c>
      <c r="X1518" s="23" t="str">
        <f>IFERROR(__xludf.DUMMYFUNCTION("if(COUNTA(FILTER(C:C, C:C = C1518))=1,""no"",""yes"")"),"no")</f>
        <v>no</v>
      </c>
    </row>
    <row r="1519">
      <c r="A1519" s="75" t="s">
        <v>1038</v>
      </c>
      <c r="B1519" s="2">
        <v>7.0</v>
      </c>
      <c r="C1519" s="19" t="s">
        <v>2645</v>
      </c>
      <c r="D1519" s="58" t="str">
        <f t="shared" si="1238"/>
        <v/>
      </c>
      <c r="E1519" s="59">
        <f>Q1519</f>
        <v>43865</v>
      </c>
      <c r="F1519" s="60" t="str">
        <f>IFERROR(__xludf.DUMMYFUNCTION("iferror(ifna(IFNA(filter('2.1.clean'!E:E,'2.1.clean'!A:A=C1519),filter('2.2.clean'!G:G,'2.2.clean'!D:D=C1519)),filter('2.4.clean'!E:E,'2.4.clean'!A:A=C1519)),)"),"")</f>
        <v/>
      </c>
      <c r="G1519" s="59" t="str">
        <f>IFERROR(__xludf.DUMMYFUNCTION("iferror(filter('3.1.clean'!C:C,'3.1.clean'!A:A=C1519),"""")"),"")</f>
        <v/>
      </c>
      <c r="H1519" s="58"/>
      <c r="I1519" s="58" t="str">
        <f>IFERROR(__xludf.DUMMYFUNCTION("iferror(filter('3.1.clean'!G:G,'3.1.clean'!A:A=C1519),"""")"),"")</f>
        <v/>
      </c>
      <c r="J1519" s="60" t="str">
        <f>IFERROR(__xludf.DUMMYFUNCTION("iferror(filter('3.1.clean'!I:I,'3.1.clean'!A:A=C1519),"""")"),"")</f>
        <v/>
      </c>
      <c r="K1519" s="59"/>
      <c r="L1519" s="60"/>
      <c r="M1519" s="59" t="str">
        <f>IFERROR(__xludf.DUMMYFUNCTION("iferror(filter('3.3.clean'!C:C,'3.3.clean'!A:A=C1519),"""")"),"")</f>
        <v/>
      </c>
      <c r="N1519" s="60" t="b">
        <f t="shared" si="1231"/>
        <v>0</v>
      </c>
      <c r="O1519" s="59" t="str">
        <f>IFERROR(__xludf.DUMMYFUNCTION("iferror(filter('3.4.clean'!C:C,'3.4.clean'!A:A=C1519),"""")"),"")</f>
        <v/>
      </c>
      <c r="P1519" s="60" t="b">
        <f t="shared" si="1232"/>
        <v>0</v>
      </c>
      <c r="Q1519" s="59">
        <f>IFERROR(__xludf.DUMMYFUNCTION("iferror(filter('3.5.clean'!C:C,'3.5.clean'!A:A=C1519),"""")"),43865.0)</f>
        <v>43865</v>
      </c>
      <c r="R1519" s="58" t="b">
        <f t="shared" ref="R1519:R1520" si="1239">if(Q1519="",FALSE,TRUE)</f>
        <v>1</v>
      </c>
      <c r="S1519" s="4">
        <f>IFERROR(__xludf.DUMMYFUNCTION("iferror(filter('3.5.clean'!H:H,'3.5.clean'!A:A=C1519),"""")"),0.0)</f>
        <v>0</v>
      </c>
      <c r="V1519" s="52" t="s">
        <v>64</v>
      </c>
      <c r="W1519" s="23" t="b">
        <f>if(AND(R1519=TRUE,N1519=TRUE,P1519=TRUE),TRUE,FALSE)</f>
        <v>0</v>
      </c>
      <c r="X1519" s="23" t="str">
        <f>IFERROR(__xludf.DUMMYFUNCTION("if(COUNTA(FILTER(C:C, C:C = C1519))=1,""no"",""yes"")"),"no")</f>
        <v>no</v>
      </c>
    </row>
    <row r="1520">
      <c r="A1520" s="75" t="s">
        <v>1038</v>
      </c>
      <c r="B1520" s="2">
        <v>8.0</v>
      </c>
      <c r="C1520" s="19" t="s">
        <v>2653</v>
      </c>
      <c r="E1520" s="24">
        <f>IFERROR(__xludf.DUMMYFUNCTION("ifna(IFNA(filter('2.1.clean'!C:C,'2.1.clean'!A:A=C1520),filter('2.2.clean'!E:E,'2.2.clean'!D:D=C1520)),filter('2.4.clean'!C:C,'2.4.clean'!A:A=C1520))"),43865.0)</f>
        <v>43865</v>
      </c>
      <c r="F1520" s="25">
        <f>IFERROR(__xludf.DUMMYFUNCTION("iferror(ifna(IFNA(filter('2.1.clean'!E:E,'2.1.clean'!A:A=C1520),filter('2.2.clean'!G:G,'2.2.clean'!D:D=C1520)),filter('2.4.clean'!E:E,'2.4.clean'!A:A=C1520)),)"),2.39999999999999)</f>
        <v>2.4</v>
      </c>
      <c r="G1520" s="24"/>
      <c r="J1520" s="25"/>
      <c r="K1520" s="24"/>
      <c r="L1520" s="25"/>
      <c r="M1520" s="24">
        <f>IFERROR(__xludf.DUMMYFUNCTION("iferror(filter('3.3.clean'!C:C,'3.3.clean'!A:A=C1520),"""")"),43867.0)</f>
        <v>43867</v>
      </c>
      <c r="N1520" s="25" t="b">
        <f t="shared" si="1231"/>
        <v>1</v>
      </c>
      <c r="O1520" s="24">
        <f>IFERROR(__xludf.DUMMYFUNCTION("iferror(filter('3.4.clean'!C:C,'3.4.clean'!A:A=C1520),"""")"),43868.0)</f>
        <v>43868</v>
      </c>
      <c r="P1520" s="25" t="b">
        <f t="shared" si="1232"/>
        <v>1</v>
      </c>
      <c r="Q1520" s="24">
        <f>IFERROR(__xludf.DUMMYFUNCTION("iferror(filter('3.5.clean'!C:C,'3.5.clean'!A:A=C1520),"""")"),43865.0)</f>
        <v>43865</v>
      </c>
      <c r="R1520" s="23" t="b">
        <f t="shared" si="1239"/>
        <v>1</v>
      </c>
      <c r="S1520" s="25">
        <v>0.0</v>
      </c>
      <c r="V1520" s="52" t="s">
        <v>64</v>
      </c>
      <c r="W1520" s="23" t="b">
        <f>IF(and(R1520=TRUE,N1520=TRUE,P1520=TRUE),TRUE,FALSE)</f>
        <v>1</v>
      </c>
      <c r="X1520" s="23" t="str">
        <f>IFERROR(__xludf.DUMMYFUNCTION("if(COUNTA(FILTER(C:C, C:C = C1520))=1,""no"",""yes"")"),"no")</f>
        <v>no</v>
      </c>
    </row>
    <row r="1521">
      <c r="A1521" s="75" t="s">
        <v>1038</v>
      </c>
      <c r="B1521" s="2">
        <v>9.0</v>
      </c>
      <c r="C1521" s="19" t="s">
        <v>2661</v>
      </c>
      <c r="D1521" s="58" t="str">
        <f t="shared" ref="D1521:D1522" si="1240">if(or(I1521=1,J1521=1,S1521=1),"pos","")</f>
        <v/>
      </c>
      <c r="E1521" s="59">
        <f>IFERROR(__xludf.DUMMYFUNCTION("ifna(IFNA(filter('2.1.clean'!C:C,'2.1.clean'!A:A=C1521),filter('2.2.clean'!E:E,'2.2.clean'!D:D=C1521)),filter('2.4.clean'!C:C,'2.4.clean'!A:A=C1521))"),43865.0)</f>
        <v>43865</v>
      </c>
      <c r="F1521" s="60">
        <f>IFERROR(__xludf.DUMMYFUNCTION("iferror(ifna(IFNA(filter('2.1.clean'!E:E,'2.1.clean'!A:A=C1521),filter('2.2.clean'!G:G,'2.2.clean'!D:D=C1521)),filter('2.4.clean'!E:E,'2.4.clean'!A:A=C1521)),)"),2.39999999999999)</f>
        <v>2.4</v>
      </c>
      <c r="G1521" s="59">
        <f>IFERROR(__xludf.DUMMYFUNCTION("iferror(filter('3.1.clean'!C:C,'3.1.clean'!A:A=C1521),"""")"),43865.0)</f>
        <v>43865</v>
      </c>
      <c r="H1521" s="58" t="b">
        <f>if(G1521="",FALSE,TRUE)</f>
        <v>1</v>
      </c>
      <c r="I1521" s="58">
        <f>IFERROR(__xludf.DUMMYFUNCTION("iferror(filter('3.1.clean'!G:G,'3.1.clean'!A:A=C1521),"""")"),0.0)</f>
        <v>0</v>
      </c>
      <c r="J1521" s="60" t="str">
        <f>IFERROR(__xludf.DUMMYFUNCTION("iferror(filter('3.1.clean'!I:I,'3.1.clean'!A:A=C1521),"""")"),"")</f>
        <v/>
      </c>
      <c r="K1521" s="58"/>
      <c r="L1521" s="60"/>
      <c r="M1521" s="59" t="str">
        <f>IFERROR(__xludf.DUMMYFUNCTION("iferror(filter('3.3.clean'!C:C,'3.3.clean'!A:A=C1521),"""")"),"")</f>
        <v/>
      </c>
      <c r="N1521" s="60" t="b">
        <f t="shared" si="1231"/>
        <v>0</v>
      </c>
      <c r="O1521" s="59" t="str">
        <f>IFERROR(__xludf.DUMMYFUNCTION("iferror(filter('3.4.clean'!C:C,'3.4.clean'!A:A=C1521),"""")"),"")</f>
        <v/>
      </c>
      <c r="P1521" s="60" t="b">
        <f t="shared" si="1232"/>
        <v>0</v>
      </c>
      <c r="Q1521" s="59" t="str">
        <f>IFERROR(__xludf.DUMMYFUNCTION("iferror(filter('3.5.clean'!C:C,'3.5.clean'!A:A=C1521),"""")"),"")</f>
        <v/>
      </c>
      <c r="R1521" s="58"/>
      <c r="S1521" s="4" t="str">
        <f>IFERROR(__xludf.DUMMYFUNCTION("iferror(filter('3.5.clean'!H:H,'3.5.clean'!A:A=C1521),"""")"),"")</f>
        <v/>
      </c>
      <c r="W1521" s="23" t="b">
        <f>if(AND(H1521=TRUE,N1521=TRUE,P1521=TRUE),TRUE,FALSE)</f>
        <v>0</v>
      </c>
      <c r="X1521" s="23" t="str">
        <f>IFERROR(__xludf.DUMMYFUNCTION("if(COUNTA(FILTER(C:C, C:C = C1521))=1,""no"",""yes"")"),"no")</f>
        <v>no</v>
      </c>
    </row>
    <row r="1522">
      <c r="A1522" s="75" t="s">
        <v>1038</v>
      </c>
      <c r="B1522" s="2">
        <v>10.0</v>
      </c>
      <c r="C1522" s="19" t="s">
        <v>2674</v>
      </c>
      <c r="D1522" s="58" t="str">
        <f t="shared" si="1240"/>
        <v/>
      </c>
      <c r="E1522" s="59">
        <f>Q1522</f>
        <v>43865</v>
      </c>
      <c r="F1522" s="60" t="str">
        <f>IFERROR(__xludf.DUMMYFUNCTION("iferror(ifna(IFNA(filter('2.1.clean'!E:E,'2.1.clean'!A:A=C1522),filter('2.2.clean'!G:G,'2.2.clean'!D:D=C1522)),filter('2.4.clean'!E:E,'2.4.clean'!A:A=C1522)),)"),"")</f>
        <v/>
      </c>
      <c r="G1522" s="59" t="str">
        <f>IFERROR(__xludf.DUMMYFUNCTION("iferror(filter('3.1.clean'!C:C,'3.1.clean'!A:A=C1522),"""")"),"")</f>
        <v/>
      </c>
      <c r="H1522" s="58"/>
      <c r="I1522" s="58" t="str">
        <f>IFERROR(__xludf.DUMMYFUNCTION("iferror(filter('3.1.clean'!G:G,'3.1.clean'!A:A=C1522),"""")"),"")</f>
        <v/>
      </c>
      <c r="J1522" s="60" t="str">
        <f>IFERROR(__xludf.DUMMYFUNCTION("iferror(filter('3.1.clean'!I:I,'3.1.clean'!A:A=C1522),"""")"),"")</f>
        <v/>
      </c>
      <c r="K1522" s="59"/>
      <c r="L1522" s="60"/>
      <c r="M1522" s="59" t="str">
        <f>IFERROR(__xludf.DUMMYFUNCTION("iferror(filter('3.3.clean'!C:C,'3.3.clean'!A:A=C1522),"""")"),"")</f>
        <v/>
      </c>
      <c r="N1522" s="60" t="b">
        <f t="shared" si="1231"/>
        <v>0</v>
      </c>
      <c r="O1522" s="59" t="str">
        <f>IFERROR(__xludf.DUMMYFUNCTION("iferror(filter('3.4.clean'!C:C,'3.4.clean'!A:A=C1522),"""")"),"")</f>
        <v/>
      </c>
      <c r="P1522" s="60" t="b">
        <f t="shared" si="1232"/>
        <v>0</v>
      </c>
      <c r="Q1522" s="59">
        <f>IFERROR(__xludf.DUMMYFUNCTION("iferror(filter('3.5.clean'!C:C,'3.5.clean'!A:A=C1522),"""")"),43865.0)</f>
        <v>43865</v>
      </c>
      <c r="R1522" s="58" t="b">
        <f t="shared" ref="R1522:R1523" si="1241">if(Q1522="",FALSE,TRUE)</f>
        <v>1</v>
      </c>
      <c r="S1522" s="4">
        <f>IFERROR(__xludf.DUMMYFUNCTION("iferror(filter('3.5.clean'!H:H,'3.5.clean'!A:A=C1522),"""")"),0.0)</f>
        <v>0</v>
      </c>
      <c r="V1522" s="52" t="s">
        <v>64</v>
      </c>
      <c r="W1522" s="23" t="b">
        <f>if(AND(R1522=TRUE,N1522=TRUE,P1522=TRUE),TRUE,FALSE)</f>
        <v>0</v>
      </c>
      <c r="X1522" s="23" t="str">
        <f>IFERROR(__xludf.DUMMYFUNCTION("if(COUNTA(FILTER(C:C, C:C = C1522))=1,""no"",""yes"")"),"no")</f>
        <v>no</v>
      </c>
    </row>
    <row r="1523">
      <c r="A1523" s="75" t="s">
        <v>1038</v>
      </c>
      <c r="B1523" s="2">
        <v>11.0</v>
      </c>
      <c r="C1523" s="19" t="s">
        <v>2681</v>
      </c>
      <c r="E1523" s="24">
        <f>IFERROR(__xludf.DUMMYFUNCTION("ifna(IFNA(filter('2.1.clean'!C:C,'2.1.clean'!A:A=C1523),filter('2.2.clean'!E:E,'2.2.clean'!D:D=C1523)),filter('2.4.clean'!C:C,'2.4.clean'!A:A=C1523))"),43865.0)</f>
        <v>43865</v>
      </c>
      <c r="F1523" s="25">
        <f>IFERROR(__xludf.DUMMYFUNCTION("iferror(ifna(IFNA(filter('2.1.clean'!E:E,'2.1.clean'!A:A=C1523),filter('2.2.clean'!G:G,'2.2.clean'!D:D=C1523)),filter('2.4.clean'!E:E,'2.4.clean'!A:A=C1523)),)"),2.39999999999999)</f>
        <v>2.4</v>
      </c>
      <c r="G1523" s="24"/>
      <c r="J1523" s="25"/>
      <c r="K1523" s="24"/>
      <c r="L1523" s="25"/>
      <c r="M1523" s="24">
        <f>IFERROR(__xludf.DUMMYFUNCTION("iferror(filter('3.3.clean'!C:C,'3.3.clean'!A:A=C1523),"""")"),43867.0)</f>
        <v>43867</v>
      </c>
      <c r="N1523" s="25" t="b">
        <f t="shared" si="1231"/>
        <v>1</v>
      </c>
      <c r="O1523" s="24">
        <f>IFERROR(__xludf.DUMMYFUNCTION("iferror(filter('3.4.clean'!C:C,'3.4.clean'!A:A=C1523),"""")"),43868.0)</f>
        <v>43868</v>
      </c>
      <c r="P1523" s="25" t="b">
        <f t="shared" si="1232"/>
        <v>1</v>
      </c>
      <c r="Q1523" s="24">
        <f>IFERROR(__xludf.DUMMYFUNCTION("iferror(filter('3.5.clean'!C:C,'3.5.clean'!A:A=C1523),"""")"),43865.0)</f>
        <v>43865</v>
      </c>
      <c r="R1523" s="23" t="b">
        <f t="shared" si="1241"/>
        <v>1</v>
      </c>
      <c r="S1523" s="25">
        <v>0.0</v>
      </c>
      <c r="V1523" s="52" t="s">
        <v>64</v>
      </c>
      <c r="W1523" s="23" t="b">
        <f>IF(and(R1523=TRUE,N1523=TRUE,P1523=TRUE),TRUE,FALSE)</f>
        <v>1</v>
      </c>
      <c r="X1523" s="23" t="str">
        <f>IFERROR(__xludf.DUMMYFUNCTION("if(COUNTA(FILTER(C:C, C:C = C1523))=1,""no"",""yes"")"),"no")</f>
        <v>no</v>
      </c>
    </row>
    <row r="1524">
      <c r="A1524" s="75" t="s">
        <v>1038</v>
      </c>
      <c r="B1524" s="2">
        <v>12.0</v>
      </c>
      <c r="C1524" s="19" t="s">
        <v>2688</v>
      </c>
      <c r="D1524" s="58" t="str">
        <f t="shared" ref="D1524:D1525" si="1242">if(or(I1524=1,J1524=1,S1524=1),"pos","")</f>
        <v/>
      </c>
      <c r="E1524" s="59">
        <f>IFERROR(__xludf.DUMMYFUNCTION("ifna(IFNA(filter('2.1.clean'!C:C,'2.1.clean'!A:A=C1524),filter('2.2.clean'!E:E,'2.2.clean'!D:D=C1524)),filter('2.4.clean'!C:C,'2.4.clean'!A:A=C1524))"),43865.0)</f>
        <v>43865</v>
      </c>
      <c r="F1524" s="60">
        <f>IFERROR(__xludf.DUMMYFUNCTION("iferror(ifna(IFNA(filter('2.1.clean'!E:E,'2.1.clean'!A:A=C1524),filter('2.2.clean'!G:G,'2.2.clean'!D:D=C1524)),filter('2.4.clean'!E:E,'2.4.clean'!A:A=C1524)),)"),2.39999999999999)</f>
        <v>2.4</v>
      </c>
      <c r="G1524" s="59">
        <f>IFERROR(__xludf.DUMMYFUNCTION("iferror(filter('3.1.clean'!C:C,'3.1.clean'!A:A=C1524),"""")"),43865.0)</f>
        <v>43865</v>
      </c>
      <c r="H1524" s="58" t="b">
        <f>if(G1524="",FALSE,TRUE)</f>
        <v>1</v>
      </c>
      <c r="I1524" s="58">
        <f>IFERROR(__xludf.DUMMYFUNCTION("iferror(filter('3.1.clean'!G:G,'3.1.clean'!A:A=C1524),"""")"),0.0)</f>
        <v>0</v>
      </c>
      <c r="J1524" s="60" t="str">
        <f>IFERROR(__xludf.DUMMYFUNCTION("iferror(filter('3.1.clean'!I:I,'3.1.clean'!A:A=C1524),"""")"),"")</f>
        <v/>
      </c>
      <c r="K1524" s="58"/>
      <c r="L1524" s="60"/>
      <c r="M1524" s="59" t="str">
        <f>IFERROR(__xludf.DUMMYFUNCTION("iferror(filter('3.3.clean'!C:C,'3.3.clean'!A:A=C1524),"""")"),"")</f>
        <v/>
      </c>
      <c r="N1524" s="60" t="b">
        <f t="shared" si="1231"/>
        <v>0</v>
      </c>
      <c r="O1524" s="59" t="str">
        <f>IFERROR(__xludf.DUMMYFUNCTION("iferror(filter('3.4.clean'!C:C,'3.4.clean'!A:A=C1524),"""")"),"")</f>
        <v/>
      </c>
      <c r="P1524" s="60" t="b">
        <f t="shared" si="1232"/>
        <v>0</v>
      </c>
      <c r="Q1524" s="59" t="str">
        <f>IFERROR(__xludf.DUMMYFUNCTION("iferror(filter('3.5.clean'!C:C,'3.5.clean'!A:A=C1524),"""")"),"")</f>
        <v/>
      </c>
      <c r="R1524" s="58"/>
      <c r="S1524" s="4" t="str">
        <f>IFERROR(__xludf.DUMMYFUNCTION("iferror(filter('3.5.clean'!H:H,'3.5.clean'!A:A=C1524),"""")"),"")</f>
        <v/>
      </c>
      <c r="W1524" s="23" t="b">
        <f>if(AND(H1524=TRUE,N1524=TRUE,P1524=TRUE),TRUE,FALSE)</f>
        <v>0</v>
      </c>
      <c r="X1524" s="23" t="str">
        <f>IFERROR(__xludf.DUMMYFUNCTION("if(COUNTA(FILTER(C:C, C:C = C1524))=1,""no"",""yes"")"),"no")</f>
        <v>no</v>
      </c>
    </row>
    <row r="1525">
      <c r="A1525" s="75" t="s">
        <v>1038</v>
      </c>
      <c r="B1525" s="2">
        <v>13.0</v>
      </c>
      <c r="C1525" s="19" t="s">
        <v>2701</v>
      </c>
      <c r="D1525" s="58" t="str">
        <f t="shared" si="1242"/>
        <v/>
      </c>
      <c r="E1525" s="59">
        <f>Q1525</f>
        <v>43865</v>
      </c>
      <c r="F1525" s="60" t="str">
        <f>IFERROR(__xludf.DUMMYFUNCTION("iferror(ifna(IFNA(filter('2.1.clean'!E:E,'2.1.clean'!A:A=C1525),filter('2.2.clean'!G:G,'2.2.clean'!D:D=C1525)),filter('2.4.clean'!E:E,'2.4.clean'!A:A=C1525)),)"),"")</f>
        <v/>
      </c>
      <c r="G1525" s="59" t="str">
        <f>IFERROR(__xludf.DUMMYFUNCTION("iferror(filter('3.1.clean'!C:C,'3.1.clean'!A:A=C1525),"""")"),"")</f>
        <v/>
      </c>
      <c r="H1525" s="58"/>
      <c r="I1525" s="58" t="str">
        <f>IFERROR(__xludf.DUMMYFUNCTION("iferror(filter('3.1.clean'!G:G,'3.1.clean'!A:A=C1525),"""")"),"")</f>
        <v/>
      </c>
      <c r="J1525" s="60" t="str">
        <f>IFERROR(__xludf.DUMMYFUNCTION("iferror(filter('3.1.clean'!I:I,'3.1.clean'!A:A=C1525),"""")"),"")</f>
        <v/>
      </c>
      <c r="K1525" s="59"/>
      <c r="L1525" s="60"/>
      <c r="M1525" s="59" t="str">
        <f>IFERROR(__xludf.DUMMYFUNCTION("iferror(filter('3.3.clean'!C:C,'3.3.clean'!A:A=C1525),"""")"),"")</f>
        <v/>
      </c>
      <c r="N1525" s="60" t="b">
        <f t="shared" si="1231"/>
        <v>0</v>
      </c>
      <c r="O1525" s="59" t="str">
        <f>IFERROR(__xludf.DUMMYFUNCTION("iferror(filter('3.4.clean'!C:C,'3.4.clean'!A:A=C1525),"""")"),"")</f>
        <v/>
      </c>
      <c r="P1525" s="60" t="b">
        <f t="shared" si="1232"/>
        <v>0</v>
      </c>
      <c r="Q1525" s="59">
        <f>IFERROR(__xludf.DUMMYFUNCTION("iferror(filter('3.5.clean'!C:C,'3.5.clean'!A:A=C1525),"""")"),43865.0)</f>
        <v>43865</v>
      </c>
      <c r="R1525" s="58" t="b">
        <f t="shared" ref="R1525:R1526" si="1243">if(Q1525="",FALSE,TRUE)</f>
        <v>1</v>
      </c>
      <c r="S1525" s="4">
        <f>IFERROR(__xludf.DUMMYFUNCTION("iferror(filter('3.5.clean'!H:H,'3.5.clean'!A:A=C1525),"""")"),0.0)</f>
        <v>0</v>
      </c>
      <c r="V1525" s="52" t="s">
        <v>64</v>
      </c>
      <c r="W1525" s="23" t="b">
        <f>if(AND(R1525=TRUE,N1525=TRUE,P1525=TRUE),TRUE,FALSE)</f>
        <v>0</v>
      </c>
      <c r="X1525" s="23" t="str">
        <f>IFERROR(__xludf.DUMMYFUNCTION("if(COUNTA(FILTER(C:C, C:C = C1525))=1,""no"",""yes"")"),"no")</f>
        <v>no</v>
      </c>
    </row>
    <row r="1526">
      <c r="A1526" s="75" t="s">
        <v>1038</v>
      </c>
      <c r="B1526" s="2">
        <v>14.0</v>
      </c>
      <c r="C1526" s="19" t="s">
        <v>2708</v>
      </c>
      <c r="E1526" s="24">
        <f>IFERROR(__xludf.DUMMYFUNCTION("ifna(IFNA(filter('2.1.clean'!C:C,'2.1.clean'!A:A=C1526),filter('2.2.clean'!E:E,'2.2.clean'!D:D=C1526)),filter('2.4.clean'!C:C,'2.4.clean'!A:A=C1526))"),43865.0)</f>
        <v>43865</v>
      </c>
      <c r="F1526" s="25">
        <f>IFERROR(__xludf.DUMMYFUNCTION("iferror(ifna(IFNA(filter('2.1.clean'!E:E,'2.1.clean'!A:A=C1526),filter('2.2.clean'!G:G,'2.2.clean'!D:D=C1526)),filter('2.4.clean'!E:E,'2.4.clean'!A:A=C1526)),)"),2.39999999999999)</f>
        <v>2.4</v>
      </c>
      <c r="G1526" s="24"/>
      <c r="J1526" s="25"/>
      <c r="K1526" s="24"/>
      <c r="L1526" s="25"/>
      <c r="M1526" s="24" t="str">
        <f>IFERROR(__xludf.DUMMYFUNCTION("iferror(filter('3.3.clean'!C:C,'3.3.clean'!A:A=C1526),"""")"),"#REF!")</f>
        <v>#REF!</v>
      </c>
      <c r="N1526" s="25" t="str">
        <f t="shared" si="1231"/>
        <v>#REF!</v>
      </c>
      <c r="O1526" s="24">
        <f>IFERROR(__xludf.DUMMYFUNCTION("iferror(filter('3.4.clean'!C:C,'3.4.clean'!A:A=C1526),"""")"),43868.0)</f>
        <v>43868</v>
      </c>
      <c r="P1526" s="25" t="b">
        <f t="shared" si="1232"/>
        <v>1</v>
      </c>
      <c r="Q1526" s="24">
        <f>IFERROR(__xludf.DUMMYFUNCTION("iferror(filter('3.5.clean'!C:C,'3.5.clean'!A:A=C1526),"""")"),43865.0)</f>
        <v>43865</v>
      </c>
      <c r="R1526" s="23" t="b">
        <f t="shared" si="1243"/>
        <v>1</v>
      </c>
      <c r="S1526" s="25"/>
      <c r="V1526" s="52" t="s">
        <v>64</v>
      </c>
      <c r="W1526" s="23" t="str">
        <f>IF(and(R1526=TRUE,N1526=TRUE,P1526=TRUE),TRUE,FALSE)</f>
        <v>#REF!</v>
      </c>
      <c r="X1526" s="23" t="str">
        <f>IFERROR(__xludf.DUMMYFUNCTION("if(COUNTA(FILTER(C:C, C:C = C1526))=1,""no"",""yes"")"),"no")</f>
        <v>no</v>
      </c>
    </row>
    <row r="1527">
      <c r="A1527" s="75" t="s">
        <v>1038</v>
      </c>
      <c r="B1527" s="2">
        <v>15.0</v>
      </c>
      <c r="C1527" s="19" t="s">
        <v>2715</v>
      </c>
      <c r="D1527" s="58" t="str">
        <f t="shared" ref="D1527:D1528" si="1244">if(or(I1527=1,J1527=1,S1527=1),"pos","")</f>
        <v/>
      </c>
      <c r="E1527" s="59">
        <f>IFERROR(__xludf.DUMMYFUNCTION("ifna(IFNA(filter('2.1.clean'!C:C,'2.1.clean'!A:A=C1527),filter('2.2.clean'!E:E,'2.2.clean'!D:D=C1527)),filter('2.4.clean'!C:C,'2.4.clean'!A:A=C1527))"),43865.0)</f>
        <v>43865</v>
      </c>
      <c r="F1527" s="60">
        <f>IFERROR(__xludf.DUMMYFUNCTION("iferror(ifna(IFNA(filter('2.1.clean'!E:E,'2.1.clean'!A:A=C1527),filter('2.2.clean'!G:G,'2.2.clean'!D:D=C1527)),filter('2.4.clean'!E:E,'2.4.clean'!A:A=C1527)),)"),2.39999999999999)</f>
        <v>2.4</v>
      </c>
      <c r="G1527" s="59">
        <f>IFERROR(__xludf.DUMMYFUNCTION("iferror(filter('3.1.clean'!C:C,'3.1.clean'!A:A=C1527),"""")"),43865.0)</f>
        <v>43865</v>
      </c>
      <c r="H1527" s="58" t="b">
        <f>if(G1527="",FALSE,TRUE)</f>
        <v>1</v>
      </c>
      <c r="I1527" s="58">
        <f>IFERROR(__xludf.DUMMYFUNCTION("iferror(filter('3.1.clean'!G:G,'3.1.clean'!A:A=C1527),"""")"),0.0)</f>
        <v>0</v>
      </c>
      <c r="J1527" s="60" t="str">
        <f>IFERROR(__xludf.DUMMYFUNCTION("iferror(filter('3.1.clean'!I:I,'3.1.clean'!A:A=C1527),"""")"),"")</f>
        <v/>
      </c>
      <c r="K1527" s="58"/>
      <c r="L1527" s="60"/>
      <c r="M1527" s="59">
        <f>IFERROR(__xludf.DUMMYFUNCTION("iferror(filter('3.3.clean'!C:C,'3.3.clean'!A:A=C1527),"""")"),43867.0)</f>
        <v>43867</v>
      </c>
      <c r="N1527" s="60" t="b">
        <f t="shared" si="1231"/>
        <v>1</v>
      </c>
      <c r="O1527" s="59">
        <f>IFERROR(__xludf.DUMMYFUNCTION("iferror(filter('3.4.clean'!C:C,'3.4.clean'!A:A=C1527),"""")"),43868.0)</f>
        <v>43868</v>
      </c>
      <c r="P1527" s="60" t="b">
        <f t="shared" si="1232"/>
        <v>1</v>
      </c>
      <c r="Q1527" s="59" t="str">
        <f>IFERROR(__xludf.DUMMYFUNCTION("iferror(filter('3.5.clean'!C:C,'3.5.clean'!A:A=C1527),"""")"),"")</f>
        <v/>
      </c>
      <c r="R1527" s="58"/>
      <c r="S1527" s="4" t="str">
        <f>IFERROR(__xludf.DUMMYFUNCTION("iferror(filter('3.5.clean'!H:H,'3.5.clean'!A:A=C1527),"""")"),"")</f>
        <v/>
      </c>
      <c r="W1527" s="23" t="b">
        <f>if(AND(H1527=TRUE,N1527=TRUE,P1527=TRUE),TRUE,FALSE)</f>
        <v>1</v>
      </c>
      <c r="X1527" s="23" t="str">
        <f>IFERROR(__xludf.DUMMYFUNCTION("if(COUNTA(FILTER(C:C, C:C = C1527))=1,""no"",""yes"")"),"no")</f>
        <v>no</v>
      </c>
    </row>
    <row r="1528">
      <c r="A1528" s="75" t="s">
        <v>1038</v>
      </c>
      <c r="B1528" s="2">
        <v>16.0</v>
      </c>
      <c r="C1528" s="19" t="s">
        <v>2724</v>
      </c>
      <c r="D1528" s="58" t="str">
        <f t="shared" si="1244"/>
        <v/>
      </c>
      <c r="E1528" s="59">
        <f>Q1528</f>
        <v>43865</v>
      </c>
      <c r="F1528" s="60" t="str">
        <f>IFERROR(__xludf.DUMMYFUNCTION("iferror(ifna(IFNA(filter('2.1.clean'!E:E,'2.1.clean'!A:A=C1528),filter('2.2.clean'!G:G,'2.2.clean'!D:D=C1528)),filter('2.4.clean'!E:E,'2.4.clean'!A:A=C1528)),)"),"")</f>
        <v/>
      </c>
      <c r="G1528" s="59" t="str">
        <f>IFERROR(__xludf.DUMMYFUNCTION("iferror(filter('3.1.clean'!C:C,'3.1.clean'!A:A=C1528),"""")"),"")</f>
        <v/>
      </c>
      <c r="H1528" s="58"/>
      <c r="I1528" s="58" t="str">
        <f>IFERROR(__xludf.DUMMYFUNCTION("iferror(filter('3.1.clean'!G:G,'3.1.clean'!A:A=C1528),"""")"),"")</f>
        <v/>
      </c>
      <c r="J1528" s="60" t="str">
        <f>IFERROR(__xludf.DUMMYFUNCTION("iferror(filter('3.1.clean'!I:I,'3.1.clean'!A:A=C1528),"""")"),"")</f>
        <v/>
      </c>
      <c r="K1528" s="59"/>
      <c r="L1528" s="60"/>
      <c r="M1528" s="59" t="str">
        <f>IFERROR(__xludf.DUMMYFUNCTION("iferror(filter('3.3.clean'!C:C,'3.3.clean'!A:A=C1528),"""")"),"")</f>
        <v/>
      </c>
      <c r="N1528" s="60" t="b">
        <f t="shared" si="1231"/>
        <v>0</v>
      </c>
      <c r="O1528" s="59" t="str">
        <f>IFERROR(__xludf.DUMMYFUNCTION("iferror(filter('3.4.clean'!C:C,'3.4.clean'!A:A=C1528),"""")"),"")</f>
        <v/>
      </c>
      <c r="P1528" s="60" t="b">
        <f t="shared" si="1232"/>
        <v>0</v>
      </c>
      <c r="Q1528" s="59">
        <f>IFERROR(__xludf.DUMMYFUNCTION("iferror(filter('3.5.clean'!C:C,'3.5.clean'!A:A=C1528),"""")"),43865.0)</f>
        <v>43865</v>
      </c>
      <c r="R1528" s="58" t="b">
        <f t="shared" ref="R1528:R1530" si="1245">if(Q1528="",FALSE,TRUE)</f>
        <v>1</v>
      </c>
      <c r="S1528" s="4">
        <f>IFERROR(__xludf.DUMMYFUNCTION("iferror(filter('3.5.clean'!H:H,'3.5.clean'!A:A=C1528),"""")"),0.0)</f>
        <v>0</v>
      </c>
      <c r="V1528" s="52" t="s">
        <v>64</v>
      </c>
      <c r="W1528" s="23" t="b">
        <f>if(AND(R1528=TRUE,N1528=TRUE,P1528=TRUE),TRUE,FALSE)</f>
        <v>0</v>
      </c>
      <c r="X1528" s="23" t="str">
        <f>IFERROR(__xludf.DUMMYFUNCTION("if(COUNTA(FILTER(C:C, C:C = C1528))=1,""no"",""yes"")"),"no")</f>
        <v>no</v>
      </c>
    </row>
    <row r="1529">
      <c r="A1529" s="75" t="s">
        <v>1038</v>
      </c>
      <c r="B1529" s="19">
        <v>17.0</v>
      </c>
      <c r="C1529" s="19" t="s">
        <v>2730</v>
      </c>
      <c r="D1529" s="39"/>
      <c r="E1529" s="24">
        <f>IFERROR(__xludf.DUMMYFUNCTION("ifna(IFNA(filter('2.1.clean'!C:C,'2.1.clean'!A:A=C1529),filter('2.2.clean'!E:E,'2.2.clean'!D:D=C1529)),filter('2.4.clean'!C:C,'2.4.clean'!A:A=C1529))"),43865.0)</f>
        <v>43865</v>
      </c>
      <c r="F1529" s="25">
        <f>IFERROR(__xludf.DUMMYFUNCTION("iferror(ifna(IFNA(filter('2.1.clean'!E:E,'2.1.clean'!A:A=C1529),filter('2.2.clean'!G:G,'2.2.clean'!D:D=C1529)),filter('2.4.clean'!E:E,'2.4.clean'!A:A=C1529)),)"),2.39999999999999)</f>
        <v>2.4</v>
      </c>
      <c r="G1529" s="24">
        <f>IFERROR(__xludf.DUMMYFUNCTION("iferror(filter('3.1.clean'!C:C,'3.1.clean'!A:A=C1529),"""")"),43865.0)</f>
        <v>43865</v>
      </c>
      <c r="H1529" s="23" t="b">
        <f t="shared" ref="H1529:H1531" si="1246">if(G1529="",FALSE,TRUE)</f>
        <v>1</v>
      </c>
      <c r="J1529" s="25"/>
      <c r="K1529" s="43" t="str">
        <f>IFERROR(__xludf.DUMMYFUNCTION("iferror(filter('3.2.clean'!C:C,'3.2.clean'!A:A=C1529),"""")"),"")</f>
        <v/>
      </c>
      <c r="L1529" s="25" t="b">
        <f t="shared" ref="L1529:L1530" si="1247">if(K1529="",FALSE,TRUE)</f>
        <v>0</v>
      </c>
      <c r="M1529" s="24">
        <f>IFERROR(__xludf.DUMMYFUNCTION("iferror(filter('3.3.clean'!C:C,'3.3.clean'!A:A=C1529),"""")"),43866.0)</f>
        <v>43866</v>
      </c>
      <c r="N1529" s="25" t="b">
        <f t="shared" si="1231"/>
        <v>1</v>
      </c>
      <c r="O1529" s="24">
        <f>IFERROR(__xludf.DUMMYFUNCTION("iferror(filter('3.4.clean'!C:C,'3.4.clean'!A:A=C1529),"""")"),43868.0)</f>
        <v>43868</v>
      </c>
      <c r="P1529" s="25" t="b">
        <f t="shared" si="1232"/>
        <v>1</v>
      </c>
      <c r="Q1529" s="24" t="str">
        <f>IFERROR(__xludf.DUMMYFUNCTION("iferror(filter('3.5.clean'!C:C,'3.5.clean'!A:A=C1529),"""")"),"")</f>
        <v/>
      </c>
      <c r="R1529" s="23" t="b">
        <f t="shared" si="1245"/>
        <v>0</v>
      </c>
      <c r="S1529" s="25"/>
      <c r="T1529" s="48"/>
      <c r="U1529" s="23"/>
      <c r="V1529" s="1" t="s">
        <v>64</v>
      </c>
      <c r="X1529" s="23" t="str">
        <f>IFERROR(__xludf.DUMMYFUNCTION("if(COUNTA(FILTER(C:C, C:C = C1529))=1,""no"",""yes"")"),"no")</f>
        <v>no</v>
      </c>
    </row>
    <row r="1530">
      <c r="A1530" s="75" t="s">
        <v>1038</v>
      </c>
      <c r="B1530" s="19">
        <v>18.0</v>
      </c>
      <c r="C1530" s="19" t="s">
        <v>2738</v>
      </c>
      <c r="D1530" s="39"/>
      <c r="E1530" s="24">
        <v>43865.0</v>
      </c>
      <c r="F1530" s="25" t="str">
        <f>IFERROR(__xludf.DUMMYFUNCTION("iferror(ifna(IFNA(filter('2.1.clean'!E:E,'2.1.clean'!A:A=C1530),filter('2.2.clean'!G:G,'2.2.clean'!D:D=C1530)),filter('2.4.clean'!E:E,'2.4.clean'!A:A=C1530)),)"),"")</f>
        <v/>
      </c>
      <c r="G1530" s="43" t="str">
        <f>IFERROR(__xludf.DUMMYFUNCTION("iferror(filter('3.1.clean'!C:C,'3.1.clean'!A:A=C1530),"""")"),"")</f>
        <v/>
      </c>
      <c r="H1530" s="23" t="b">
        <f t="shared" si="1246"/>
        <v>0</v>
      </c>
      <c r="J1530" s="25"/>
      <c r="K1530" s="43">
        <f>IFERROR(__xludf.DUMMYFUNCTION("iferror(filter('3.2.clean'!C:C,'3.2.clean'!A:A=C1530),"""")"),43866.0)</f>
        <v>43866</v>
      </c>
      <c r="L1530" s="25" t="b">
        <f t="shared" si="1247"/>
        <v>1</v>
      </c>
      <c r="M1530" s="24" t="str">
        <f>IFERROR(__xludf.DUMMYFUNCTION("iferror(filter('3.3.clean'!C:C,'3.3.clean'!A:A=C1530),"""")"),"")</f>
        <v/>
      </c>
      <c r="N1530" s="25" t="b">
        <f t="shared" si="1231"/>
        <v>0</v>
      </c>
      <c r="O1530" s="24" t="str">
        <f>IFERROR(__xludf.DUMMYFUNCTION("iferror(filter('3.4.clean'!C:C,'3.4.clean'!A:A=C1530),"""")"),"")</f>
        <v/>
      </c>
      <c r="P1530" s="25" t="b">
        <f t="shared" si="1232"/>
        <v>0</v>
      </c>
      <c r="Q1530" s="24" t="str">
        <f>IFERROR(__xludf.DUMMYFUNCTION("iferror(filter('3.5.clean'!C:C,'3.5.clean'!A:A=C1530),"""")"),"")</f>
        <v/>
      </c>
      <c r="R1530" s="23" t="b">
        <f t="shared" si="1245"/>
        <v>0</v>
      </c>
      <c r="S1530" s="25"/>
      <c r="T1530" s="48"/>
      <c r="U1530" s="23"/>
      <c r="V1530" s="1" t="s">
        <v>64</v>
      </c>
      <c r="X1530" s="23" t="str">
        <f>IFERROR(__xludf.DUMMYFUNCTION("if(COUNTA(FILTER(C:C, C:C = C1530))=1,""no"",""yes"")"),"no")</f>
        <v>no</v>
      </c>
    </row>
    <row r="1531">
      <c r="A1531" s="75" t="s">
        <v>1038</v>
      </c>
      <c r="B1531" s="19">
        <v>19.0</v>
      </c>
      <c r="C1531" s="19" t="s">
        <v>2749</v>
      </c>
      <c r="D1531" s="76" t="str">
        <f t="shared" ref="D1531:D1532" si="1248">if(or(I1531=1,J1531=1,S1531=1),"pos","")</f>
        <v/>
      </c>
      <c r="E1531" s="77">
        <f>G1531</f>
        <v>43865</v>
      </c>
      <c r="F1531" s="78" t="str">
        <f>IFERROR(__xludf.DUMMYFUNCTION("iferror(ifna(IFNA(filter('2.1.clean'!E:E,'2.1.clean'!A:A=C1531),filter('2.2.clean'!G:G,'2.2.clean'!D:D=C1531)),filter('2.4.clean'!E:E,'2.4.clean'!A:A=C1531)),)"),"")</f>
        <v/>
      </c>
      <c r="G1531" s="77">
        <f>IFERROR(__xludf.DUMMYFUNCTION("iferror(filter('3.1.clean'!C:C,'3.1.clean'!A:A=C1531),"""")"),43865.0)</f>
        <v>43865</v>
      </c>
      <c r="H1531" s="76" t="b">
        <f t="shared" si="1246"/>
        <v>1</v>
      </c>
      <c r="I1531" s="76">
        <f>IFERROR(__xludf.DUMMYFUNCTION("iferror(filter('3.1.clean'!G:G,'3.1.clean'!A:A=C1531),"""")"),0.0)</f>
        <v>0</v>
      </c>
      <c r="J1531" s="78" t="str">
        <f>IFERROR(__xludf.DUMMYFUNCTION("iferror(filter('3.1.clean'!I:I,'3.1.clean'!A:A=C1531),"""")"),"")</f>
        <v/>
      </c>
      <c r="K1531" s="77"/>
      <c r="L1531" s="78"/>
      <c r="M1531" s="77"/>
      <c r="N1531" s="78"/>
      <c r="O1531" s="77"/>
      <c r="P1531" s="78"/>
      <c r="Q1531" s="77"/>
      <c r="R1531" s="76"/>
      <c r="S1531" s="25"/>
      <c r="V1531" s="1" t="s">
        <v>64</v>
      </c>
      <c r="W1531" s="1" t="b">
        <v>1</v>
      </c>
      <c r="X1531" s="23" t="str">
        <f>IFERROR(__xludf.DUMMYFUNCTION("if(COUNTA(FILTER(C:C, C:C = C1531))=1,""no"",""yes"")"),"no")</f>
        <v>no</v>
      </c>
    </row>
    <row r="1532">
      <c r="A1532" s="75" t="s">
        <v>1038</v>
      </c>
      <c r="B1532" s="19">
        <v>20.0</v>
      </c>
      <c r="C1532" s="19" t="s">
        <v>2757</v>
      </c>
      <c r="D1532" s="22" t="str">
        <f t="shared" si="1248"/>
        <v/>
      </c>
      <c r="E1532" s="20">
        <f>Q1532</f>
        <v>43865</v>
      </c>
      <c r="F1532" s="79" t="str">
        <f>IFERROR(__xludf.DUMMYFUNCTION("iferror(ifna(IFNA(filter('2.1.clean'!E:E,'2.1.clean'!A:A=C1532),filter('2.2.clean'!G:G,'2.2.clean'!D:D=C1532)),filter('2.4.clean'!E:E,'2.4.clean'!A:A=C1532)),)"),"")</f>
        <v/>
      </c>
      <c r="G1532" s="20" t="str">
        <f>IFERROR(__xludf.DUMMYFUNCTION("iferror(filter('3.1.clean'!C:C,'3.1.clean'!A:A=C1532),"""")"),"")</f>
        <v/>
      </c>
      <c r="H1532" s="22"/>
      <c r="I1532" s="22"/>
      <c r="J1532" s="79"/>
      <c r="K1532" s="20" t="str">
        <f>IFERROR(__xludf.DUMMYFUNCTION("iferror(filter('3.2.clean'!C:C,'3.2.clean'!A:A=C1532),"""")"),"")</f>
        <v/>
      </c>
      <c r="L1532" s="79"/>
      <c r="M1532" s="20" t="str">
        <f>IFERROR(__xludf.DUMMYFUNCTION("iferror(filter('3.3.clean'!C:C,'3.3.clean'!A:A=C1532),"""")"),"")</f>
        <v/>
      </c>
      <c r="N1532" s="79" t="b">
        <f t="shared" ref="N1532:N1547" si="1249">if(M1532="",FALSE,TRUE)</f>
        <v>0</v>
      </c>
      <c r="O1532" s="20" t="str">
        <f>IFERROR(__xludf.DUMMYFUNCTION("iferror(filter('3.4.clean'!C:C,'3.4.clean'!A:A=C1532),"""")"),"")</f>
        <v/>
      </c>
      <c r="P1532" s="79" t="b">
        <f t="shared" ref="P1532:P1547" si="1250">if(O1532="",FALSE,TRUE)</f>
        <v>0</v>
      </c>
      <c r="Q1532" s="20">
        <f>IFERROR(__xludf.DUMMYFUNCTION("iferror(filter('3.5.clean'!C:C,'3.5.clean'!A:A=C1532),"""")"),43865.0)</f>
        <v>43865</v>
      </c>
      <c r="R1532" s="22" t="b">
        <f>if(Q1532="",FALSE,TRUE)</f>
        <v>1</v>
      </c>
      <c r="S1532" s="4">
        <f>IFERROR(__xludf.DUMMYFUNCTION("iferror(filter('3.5.clean'!H:H,'3.5.clean'!A:A=C1532),"""")"),0.0)</f>
        <v>0</v>
      </c>
      <c r="V1532" s="1" t="s">
        <v>64</v>
      </c>
      <c r="W1532" s="23" t="b">
        <f>IF(and(R1532=TRUE,N1532=TRUE,P1532=TRUE),TRUE,FALSE)</f>
        <v>0</v>
      </c>
      <c r="X1532" s="23" t="str">
        <f>IFERROR(__xludf.DUMMYFUNCTION("if(COUNTA(FILTER(C:C, C:C = C1532))=1,""no"",""yes"")"),"no")</f>
        <v>no</v>
      </c>
    </row>
    <row r="1533">
      <c r="A1533" s="75" t="s">
        <v>1038</v>
      </c>
      <c r="B1533" s="2">
        <v>21.0</v>
      </c>
      <c r="C1533" s="19" t="s">
        <v>2766</v>
      </c>
      <c r="E1533" s="24">
        <v>43865.0</v>
      </c>
      <c r="F1533" s="25" t="str">
        <f>IFERROR(__xludf.DUMMYFUNCTION("iferror(ifna(IFNA(filter('2.1.clean'!E:E,'2.1.clean'!A:A=C1533),filter('2.2.clean'!G:G,'2.2.clean'!D:D=C1533)),filter('2.4.clean'!E:E,'2.4.clean'!A:A=C1533)),)"),"")</f>
        <v/>
      </c>
      <c r="G1533" s="24" t="str">
        <f>IFERROR(__xludf.DUMMYFUNCTION("iferror(filter('3.1.clean'!C:C,'3.1.clean'!A:A=C1533),"""")"),"")</f>
        <v/>
      </c>
      <c r="J1533" s="25"/>
      <c r="K1533" s="24" t="str">
        <f>IFERROR(__xludf.DUMMYFUNCTION("iferror(filter('3.2.clean'!C:C,'3.2.clean'!A:A=C1533),"""")"),"")</f>
        <v/>
      </c>
      <c r="L1533" s="25"/>
      <c r="M1533" s="24">
        <f>IFERROR(__xludf.DUMMYFUNCTION("iferror(filter('3.3.clean'!C:C,'3.3.clean'!A:A=C1533),"""")"),43867.0)</f>
        <v>43867</v>
      </c>
      <c r="N1533" s="25" t="b">
        <f t="shared" si="1249"/>
        <v>1</v>
      </c>
      <c r="O1533" s="24" t="str">
        <f>IFERROR(__xludf.DUMMYFUNCTION("iferror(filter('3.4.clean'!C:C,'3.4.clean'!A:A=C1533),"""")"),"")</f>
        <v/>
      </c>
      <c r="P1533" s="25" t="b">
        <f t="shared" si="1250"/>
        <v>0</v>
      </c>
      <c r="Q1533" s="24" t="str">
        <f>IFERROR(__xludf.DUMMYFUNCTION("iferror(filter('3.5.clean'!C:C,'3.5.clean'!A:A=C1533),"""")"),"")</f>
        <v/>
      </c>
      <c r="S1533" s="25"/>
      <c r="V1533" s="52" t="s">
        <v>64</v>
      </c>
      <c r="X1533" s="23" t="str">
        <f>IFERROR(__xludf.DUMMYFUNCTION("if(COUNTA(FILTER(C:C, C:C = C1533))=1,""no"",""yes"")"),"no")</f>
        <v>no</v>
      </c>
    </row>
    <row r="1534">
      <c r="A1534" s="75" t="s">
        <v>1038</v>
      </c>
      <c r="B1534" s="118"/>
      <c r="C1534" s="69" t="s">
        <v>2773</v>
      </c>
      <c r="D1534" s="58" t="str">
        <f>if(or(I1534=1,J1534=1,S1534=1),"pos","")</f>
        <v/>
      </c>
      <c r="E1534" s="59">
        <f>Q1534</f>
        <v>43865</v>
      </c>
      <c r="F1534" s="60" t="str">
        <f>IFERROR(__xludf.DUMMYFUNCTION("iferror(ifna(IFNA(filter('2.1.clean'!E:E,'2.1.clean'!A:A=C1534),filter('2.2.clean'!G:G,'2.2.clean'!D:D=C1534)),filter('2.4.clean'!E:E,'2.4.clean'!A:A=C1534)),)"),"")</f>
        <v/>
      </c>
      <c r="G1534" s="59" t="str">
        <f>IFERROR(__xludf.DUMMYFUNCTION("iferror(filter('3.1.clean'!C:C,'3.1.clean'!A:A=C1534),"""")"),"")</f>
        <v/>
      </c>
      <c r="H1534" s="58"/>
      <c r="I1534" s="58" t="str">
        <f>IFERROR(__xludf.DUMMYFUNCTION("iferror(filter('3.1.clean'!G:G,'3.1.clean'!A:A=C1534),"""")"),"")</f>
        <v/>
      </c>
      <c r="J1534" s="60" t="str">
        <f>IFERROR(__xludf.DUMMYFUNCTION("iferror(filter('3.1.clean'!I:I,'3.1.clean'!A:A=C1534),"""")"),"")</f>
        <v/>
      </c>
      <c r="K1534" s="59"/>
      <c r="L1534" s="60"/>
      <c r="M1534" s="59" t="str">
        <f>IFERROR(__xludf.DUMMYFUNCTION("iferror(filter('3.3.clean'!C:C,'3.3.clean'!A:A=C1534),"""")"),"")</f>
        <v/>
      </c>
      <c r="N1534" s="60" t="b">
        <f t="shared" si="1249"/>
        <v>0</v>
      </c>
      <c r="O1534" s="59" t="str">
        <f>IFERROR(__xludf.DUMMYFUNCTION("iferror(filter('3.4.clean'!C:C,'3.4.clean'!A:A=C1534),"""")"),"")</f>
        <v/>
      </c>
      <c r="P1534" s="60" t="b">
        <f t="shared" si="1250"/>
        <v>0</v>
      </c>
      <c r="Q1534" s="59">
        <f>IFERROR(__xludf.DUMMYFUNCTION("iferror(filter('3.5.clean'!C:C,'3.5.clean'!A:A=C1534),"""")"),43865.0)</f>
        <v>43865</v>
      </c>
      <c r="R1534" s="58" t="b">
        <f>if(Q1534="",FALSE,TRUE)</f>
        <v>1</v>
      </c>
      <c r="S1534" s="4" t="str">
        <f>IFERROR(__xludf.DUMMYFUNCTION("iferror(filter('3.5.clean'!H:H,'3.5.clean'!A:A=C1534),"""")"),"")</f>
        <v/>
      </c>
      <c r="V1534" s="52" t="s">
        <v>64</v>
      </c>
      <c r="W1534" s="23" t="b">
        <f>if(AND(R1534=TRUE,N1534=TRUE,P1534=TRUE),TRUE,FALSE)</f>
        <v>0</v>
      </c>
      <c r="X1534" s="23" t="str">
        <f>IFERROR(__xludf.DUMMYFUNCTION("if(COUNTA(FILTER(C:C, C:C = C1534))=1,""no"",""yes"")"),"no")</f>
        <v>no</v>
      </c>
    </row>
    <row r="1535">
      <c r="A1535" s="1" t="s">
        <v>1041</v>
      </c>
      <c r="B1535" s="2">
        <v>1.0</v>
      </c>
      <c r="C1535" s="19" t="s">
        <v>710</v>
      </c>
      <c r="E1535" s="24">
        <f>IFERROR(__xludf.DUMMYFUNCTION("ifna(IFNA(filter('2.1.clean'!C:C,'2.1.clean'!A:A=C1535),filter('2.2.clean'!E:E,'2.2.clean'!D:D=C1535)),filter('2.4.clean'!C:C,'2.4.clean'!A:A=C1535))"),43866.0)</f>
        <v>43866</v>
      </c>
      <c r="F1535" s="25">
        <f>IFERROR(__xludf.DUMMYFUNCTION("iferror(ifna(IFNA(filter('2.1.clean'!E:E,'2.1.clean'!A:A=C1535),filter('2.2.clean'!G:G,'2.2.clean'!D:D=C1535)),filter('2.4.clean'!E:E,'2.4.clean'!A:A=C1535)),)"),2.2)</f>
        <v>2.2</v>
      </c>
      <c r="G1535" s="24">
        <f>IFERROR(__xludf.DUMMYFUNCTION("iferror(filter('3.1.clean'!C:C,'3.1.clean'!A:A=C1535),"""")"),43866.0)</f>
        <v>43866</v>
      </c>
      <c r="H1535" s="23" t="b">
        <f t="shared" ref="H1535:H1539" si="1251">if(G1535="",FALSE,TRUE)</f>
        <v>1</v>
      </c>
      <c r="J1535" s="25"/>
      <c r="K1535" s="24">
        <f>IFERROR(__xludf.DUMMYFUNCTION("iferror(filter('3.2.clean'!C:C,'3.2.clean'!A:A=C1535),"""")"),43868.0)</f>
        <v>43868</v>
      </c>
      <c r="L1535" s="25" t="b">
        <f t="shared" ref="L1535:L1538" si="1252">if(K1535="",FALSE,TRUE)</f>
        <v>1</v>
      </c>
      <c r="M1535" s="24">
        <f>IFERROR(__xludf.DUMMYFUNCTION("iferror(filter('3.3.clean'!C:C,'3.3.clean'!A:A=C1535),"""")"),43867.0)</f>
        <v>43867</v>
      </c>
      <c r="N1535" s="25" t="b">
        <f t="shared" si="1249"/>
        <v>1</v>
      </c>
      <c r="O1535" s="24" t="str">
        <f>IFERROR(__xludf.DUMMYFUNCTION("iferror(filter('3.4.clean'!C:C,'3.4.clean'!A:A=C1535),"""")"),"")</f>
        <v/>
      </c>
      <c r="P1535" s="25" t="b">
        <f t="shared" si="1250"/>
        <v>0</v>
      </c>
      <c r="Q1535" s="24" t="str">
        <f>IFERROR(__xludf.DUMMYFUNCTION("iferror(filter('3.5.clean'!C:C,'3.5.clean'!A:A=C1535),"""")"),"")</f>
        <v/>
      </c>
      <c r="S1535" s="25"/>
      <c r="W1535" s="23" t="b">
        <f t="shared" ref="W1535:W1538" si="1253">IF(and(H1535=TRUE,L1535=TRUE,N1535=TRUE,P1535=TRUE),TRUE,FALSE)</f>
        <v>0</v>
      </c>
      <c r="X1535" s="23" t="str">
        <f>IFERROR(__xludf.DUMMYFUNCTION("if(COUNTA(FILTER(C:C, C:C = C1535))=1,""no"",""yes"")"),"no")</f>
        <v>no</v>
      </c>
    </row>
    <row r="1536">
      <c r="A1536" s="1" t="s">
        <v>1041</v>
      </c>
      <c r="B1536" s="2">
        <v>2.0</v>
      </c>
      <c r="C1536" s="19" t="s">
        <v>713</v>
      </c>
      <c r="E1536" s="24">
        <f>IFERROR(__xludf.DUMMYFUNCTION("ifna(IFNA(filter('2.1.clean'!C:C,'2.1.clean'!A:A=C1536),filter('2.2.clean'!E:E,'2.2.clean'!D:D=C1536)),filter('2.4.clean'!C:C,'2.4.clean'!A:A=C1536))"),43866.0)</f>
        <v>43866</v>
      </c>
      <c r="F1536" s="25">
        <f>IFERROR(__xludf.DUMMYFUNCTION("iferror(ifna(IFNA(filter('2.1.clean'!E:E,'2.1.clean'!A:A=C1536),filter('2.2.clean'!G:G,'2.2.clean'!D:D=C1536)),filter('2.4.clean'!E:E,'2.4.clean'!A:A=C1536)),)"),2.2)</f>
        <v>2.2</v>
      </c>
      <c r="G1536" s="24">
        <f>IFERROR(__xludf.DUMMYFUNCTION("iferror(filter('3.1.clean'!C:C,'3.1.clean'!A:A=C1536),"""")"),43866.0)</f>
        <v>43866</v>
      </c>
      <c r="H1536" s="23" t="b">
        <f t="shared" si="1251"/>
        <v>1</v>
      </c>
      <c r="J1536" s="25"/>
      <c r="K1536" s="24">
        <f>IFERROR(__xludf.DUMMYFUNCTION("iferror(filter('3.2.clean'!C:C,'3.2.clean'!A:A=C1536),"""")"),43868.0)</f>
        <v>43868</v>
      </c>
      <c r="L1536" s="25" t="b">
        <f t="shared" si="1252"/>
        <v>1</v>
      </c>
      <c r="M1536" s="24">
        <f>IFERROR(__xludf.DUMMYFUNCTION("iferror(filter('3.3.clean'!C:C,'3.3.clean'!A:A=C1536),"""")"),43867.0)</f>
        <v>43867</v>
      </c>
      <c r="N1536" s="25" t="b">
        <f t="shared" si="1249"/>
        <v>1</v>
      </c>
      <c r="O1536" s="24" t="str">
        <f>IFERROR(__xludf.DUMMYFUNCTION("iferror(filter('3.4.clean'!C:C,'3.4.clean'!A:A=C1536),"""")"),"")</f>
        <v/>
      </c>
      <c r="P1536" s="25" t="b">
        <f t="shared" si="1250"/>
        <v>0</v>
      </c>
      <c r="Q1536" s="24" t="str">
        <f>IFERROR(__xludf.DUMMYFUNCTION("iferror(filter('3.5.clean'!C:C,'3.5.clean'!A:A=C1536),"""")"),"")</f>
        <v/>
      </c>
      <c r="S1536" s="25"/>
      <c r="W1536" s="23" t="b">
        <f t="shared" si="1253"/>
        <v>0</v>
      </c>
      <c r="X1536" s="23" t="str">
        <f>IFERROR(__xludf.DUMMYFUNCTION("if(COUNTA(FILTER(C:C, C:C = C1536))=1,""no"",""yes"")"),"no")</f>
        <v>no</v>
      </c>
    </row>
    <row r="1537">
      <c r="A1537" s="1" t="s">
        <v>1041</v>
      </c>
      <c r="B1537" s="2">
        <v>3.0</v>
      </c>
      <c r="C1537" s="19" t="s">
        <v>715</v>
      </c>
      <c r="E1537" s="24">
        <f>IFERROR(__xludf.DUMMYFUNCTION("ifna(IFNA(filter('2.1.clean'!C:C,'2.1.clean'!A:A=C1537),filter('2.2.clean'!E:E,'2.2.clean'!D:D=C1537)),filter('2.4.clean'!C:C,'2.4.clean'!A:A=C1537))"),43866.0)</f>
        <v>43866</v>
      </c>
      <c r="F1537" s="25">
        <f>IFERROR(__xludf.DUMMYFUNCTION("iferror(ifna(IFNA(filter('2.1.clean'!E:E,'2.1.clean'!A:A=C1537),filter('2.2.clean'!G:G,'2.2.clean'!D:D=C1537)),filter('2.4.clean'!E:E,'2.4.clean'!A:A=C1537)),)"),2.2)</f>
        <v>2.2</v>
      </c>
      <c r="G1537" s="24">
        <f>IFERROR(__xludf.DUMMYFUNCTION("iferror(filter('3.1.clean'!C:C,'3.1.clean'!A:A=C1537),"""")"),43866.0)</f>
        <v>43866</v>
      </c>
      <c r="H1537" s="23" t="b">
        <f t="shared" si="1251"/>
        <v>1</v>
      </c>
      <c r="J1537" s="25"/>
      <c r="K1537" s="24">
        <f>IFERROR(__xludf.DUMMYFUNCTION("iferror(filter('3.2.clean'!C:C,'3.2.clean'!A:A=C1537),"""")"),43868.0)</f>
        <v>43868</v>
      </c>
      <c r="L1537" s="25" t="b">
        <f t="shared" si="1252"/>
        <v>1</v>
      </c>
      <c r="M1537" s="24">
        <f>IFERROR(__xludf.DUMMYFUNCTION("iferror(filter('3.3.clean'!C:C,'3.3.clean'!A:A=C1537),"""")"),43867.0)</f>
        <v>43867</v>
      </c>
      <c r="N1537" s="25" t="b">
        <f t="shared" si="1249"/>
        <v>1</v>
      </c>
      <c r="O1537" s="24" t="str">
        <f>IFERROR(__xludf.DUMMYFUNCTION("iferror(filter('3.4.clean'!C:C,'3.4.clean'!A:A=C1537),"""")"),"")</f>
        <v/>
      </c>
      <c r="P1537" s="25" t="b">
        <f t="shared" si="1250"/>
        <v>0</v>
      </c>
      <c r="Q1537" s="24" t="str">
        <f>IFERROR(__xludf.DUMMYFUNCTION("iferror(filter('3.5.clean'!C:C,'3.5.clean'!A:A=C1537),"""")"),"")</f>
        <v/>
      </c>
      <c r="S1537" s="25"/>
      <c r="W1537" s="23" t="b">
        <f t="shared" si="1253"/>
        <v>0</v>
      </c>
      <c r="X1537" s="23" t="str">
        <f>IFERROR(__xludf.DUMMYFUNCTION("if(COUNTA(FILTER(C:C, C:C = C1537))=1,""no"",""yes"")"),"no")</f>
        <v>no</v>
      </c>
    </row>
    <row r="1538">
      <c r="A1538" s="1" t="s">
        <v>1041</v>
      </c>
      <c r="B1538" s="2">
        <v>4.0</v>
      </c>
      <c r="C1538" s="19" t="s">
        <v>717</v>
      </c>
      <c r="E1538" s="24">
        <f>IFERROR(__xludf.DUMMYFUNCTION("ifna(IFNA(filter('2.1.clean'!C:C,'2.1.clean'!A:A=C1538),filter('2.2.clean'!E:E,'2.2.clean'!D:D=C1538)),filter('2.4.clean'!C:C,'2.4.clean'!A:A=C1538))"),43866.0)</f>
        <v>43866</v>
      </c>
      <c r="F1538" s="25">
        <f>IFERROR(__xludf.DUMMYFUNCTION("iferror(ifna(IFNA(filter('2.1.clean'!E:E,'2.1.clean'!A:A=C1538),filter('2.2.clean'!G:G,'2.2.clean'!D:D=C1538)),filter('2.4.clean'!E:E,'2.4.clean'!A:A=C1538)),)"),2.2)</f>
        <v>2.2</v>
      </c>
      <c r="G1538" s="24">
        <f>IFERROR(__xludf.DUMMYFUNCTION("iferror(filter('3.1.clean'!C:C,'3.1.clean'!A:A=C1538),"""")"),43866.0)</f>
        <v>43866</v>
      </c>
      <c r="H1538" s="23" t="b">
        <f t="shared" si="1251"/>
        <v>1</v>
      </c>
      <c r="J1538" s="25"/>
      <c r="K1538" s="24">
        <f>IFERROR(__xludf.DUMMYFUNCTION("iferror(filter('3.2.clean'!C:C,'3.2.clean'!A:A=C1538),"""")"),43868.0)</f>
        <v>43868</v>
      </c>
      <c r="L1538" s="25" t="b">
        <f t="shared" si="1252"/>
        <v>1</v>
      </c>
      <c r="M1538" s="24">
        <f>IFERROR(__xludf.DUMMYFUNCTION("iferror(filter('3.3.clean'!C:C,'3.3.clean'!A:A=C1538),"""")"),43867.0)</f>
        <v>43867</v>
      </c>
      <c r="N1538" s="25" t="b">
        <f t="shared" si="1249"/>
        <v>1</v>
      </c>
      <c r="O1538" s="24" t="str">
        <f>IFERROR(__xludf.DUMMYFUNCTION("iferror(filter('3.4.clean'!C:C,'3.4.clean'!A:A=C1538),"""")"),"")</f>
        <v/>
      </c>
      <c r="P1538" s="25" t="b">
        <f t="shared" si="1250"/>
        <v>0</v>
      </c>
      <c r="Q1538" s="24" t="str">
        <f>IFERROR(__xludf.DUMMYFUNCTION("iferror(filter('3.5.clean'!C:C,'3.5.clean'!A:A=C1538),"""")"),"")</f>
        <v/>
      </c>
      <c r="S1538" s="25"/>
      <c r="W1538" s="23" t="b">
        <f t="shared" si="1253"/>
        <v>0</v>
      </c>
      <c r="X1538" s="23" t="str">
        <f>IFERROR(__xludf.DUMMYFUNCTION("if(COUNTA(FILTER(C:C, C:C = C1538))=1,""no"",""yes"")"),"no")</f>
        <v>no</v>
      </c>
    </row>
    <row r="1539">
      <c r="A1539" s="1" t="s">
        <v>1041</v>
      </c>
      <c r="B1539" s="2">
        <v>5.0</v>
      </c>
      <c r="C1539" s="19" t="s">
        <v>719</v>
      </c>
      <c r="D1539" s="58" t="str">
        <f t="shared" ref="D1539:D1540" si="1254">if(or(I1539=1,J1539=1,S1539=1),"pos","")</f>
        <v/>
      </c>
      <c r="E1539" s="59">
        <f>IFERROR(__xludf.DUMMYFUNCTION("ifna(IFNA(filter('2.1.clean'!C:C,'2.1.clean'!A:A=C1539),filter('2.2.clean'!E:E,'2.2.clean'!D:D=C1539)),filter('2.4.clean'!C:C,'2.4.clean'!A:A=C1539))"),43866.0)</f>
        <v>43866</v>
      </c>
      <c r="F1539" s="60">
        <f>IFERROR(__xludf.DUMMYFUNCTION("iferror(ifna(IFNA(filter('2.1.clean'!E:E,'2.1.clean'!A:A=C1539),filter('2.2.clean'!G:G,'2.2.clean'!D:D=C1539)),filter('2.4.clean'!E:E,'2.4.clean'!A:A=C1539)),)"),2.2)</f>
        <v>2.2</v>
      </c>
      <c r="G1539" s="59">
        <f>IFERROR(__xludf.DUMMYFUNCTION("iferror(filter('3.1.clean'!C:C,'3.1.clean'!A:A=C1539),"""")"),43866.0)</f>
        <v>43866</v>
      </c>
      <c r="H1539" s="58" t="b">
        <f t="shared" si="1251"/>
        <v>1</v>
      </c>
      <c r="I1539" s="58">
        <f>IFERROR(__xludf.DUMMYFUNCTION("iferror(filter('3.1.clean'!G:G,'3.1.clean'!A:A=C1539),"""")"),0.0)</f>
        <v>0</v>
      </c>
      <c r="J1539" s="60" t="str">
        <f>IFERROR(__xludf.DUMMYFUNCTION("iferror(filter('3.1.clean'!I:I,'3.1.clean'!A:A=C1539),"""")"),"")</f>
        <v/>
      </c>
      <c r="K1539" s="58"/>
      <c r="L1539" s="60"/>
      <c r="M1539" s="59">
        <f>IFERROR(__xludf.DUMMYFUNCTION("iferror(filter('3.3.clean'!C:C,'3.3.clean'!A:A=C1539),"""")"),43867.0)</f>
        <v>43867</v>
      </c>
      <c r="N1539" s="60" t="b">
        <f t="shared" si="1249"/>
        <v>1</v>
      </c>
      <c r="O1539" s="59" t="str">
        <f>IFERROR(__xludf.DUMMYFUNCTION("iferror(filter('3.4.clean'!C:C,'3.4.clean'!A:A=C1539),"""")"),"")</f>
        <v/>
      </c>
      <c r="P1539" s="60" t="b">
        <f t="shared" si="1250"/>
        <v>0</v>
      </c>
      <c r="Q1539" s="59" t="str">
        <f>IFERROR(__xludf.DUMMYFUNCTION("iferror(filter('3.5.clean'!C:C,'3.5.clean'!A:A=C1539),"""")"),"")</f>
        <v/>
      </c>
      <c r="R1539" s="58"/>
      <c r="S1539" s="4" t="str">
        <f>IFERROR(__xludf.DUMMYFUNCTION("iferror(filter('3.5.clean'!H:H,'3.5.clean'!A:A=C1539),"""")"),"")</f>
        <v/>
      </c>
      <c r="W1539" s="23" t="b">
        <f>if(AND(H1539=TRUE,N1539=TRUE,P1539=TRUE),TRUE,FALSE)</f>
        <v>0</v>
      </c>
      <c r="X1539" s="23" t="str">
        <f>IFERROR(__xludf.DUMMYFUNCTION("if(COUNTA(FILTER(C:C, C:C = C1539))=1,""no"",""yes"")"),"no")</f>
        <v>no</v>
      </c>
    </row>
    <row r="1540">
      <c r="A1540" s="1" t="s">
        <v>1041</v>
      </c>
      <c r="B1540" s="2">
        <v>6.0</v>
      </c>
      <c r="C1540" s="19" t="s">
        <v>2819</v>
      </c>
      <c r="D1540" s="58" t="str">
        <f t="shared" si="1254"/>
        <v/>
      </c>
      <c r="E1540" s="59">
        <f>Q1540</f>
        <v>43866</v>
      </c>
      <c r="F1540" s="60" t="str">
        <f>IFERROR(__xludf.DUMMYFUNCTION("iferror(ifna(IFNA(filter('2.1.clean'!E:E,'2.1.clean'!A:A=C1540),filter('2.2.clean'!G:G,'2.2.clean'!D:D=C1540)),filter('2.4.clean'!E:E,'2.4.clean'!A:A=C1540)),)"),"")</f>
        <v/>
      </c>
      <c r="G1540" s="59" t="str">
        <f>IFERROR(__xludf.DUMMYFUNCTION("iferror(filter('3.1.clean'!C:C,'3.1.clean'!A:A=C1540),"""")"),"")</f>
        <v/>
      </c>
      <c r="H1540" s="58"/>
      <c r="I1540" s="58" t="str">
        <f>IFERROR(__xludf.DUMMYFUNCTION("iferror(filter('3.1.clean'!G:G,'3.1.clean'!A:A=C1540),"""")"),"")</f>
        <v/>
      </c>
      <c r="J1540" s="60" t="str">
        <f>IFERROR(__xludf.DUMMYFUNCTION("iferror(filter('3.1.clean'!I:I,'3.1.clean'!A:A=C1540),"""")"),"")</f>
        <v/>
      </c>
      <c r="K1540" s="59"/>
      <c r="L1540" s="60"/>
      <c r="M1540" s="59" t="str">
        <f>IFERROR(__xludf.DUMMYFUNCTION("iferror(filter('3.3.clean'!C:C,'3.3.clean'!A:A=C1540),"""")"),"")</f>
        <v/>
      </c>
      <c r="N1540" s="60" t="b">
        <f t="shared" si="1249"/>
        <v>0</v>
      </c>
      <c r="O1540" s="59" t="str">
        <f>IFERROR(__xludf.DUMMYFUNCTION("iferror(filter('3.4.clean'!C:C,'3.4.clean'!A:A=C1540),"""")"),"")</f>
        <v/>
      </c>
      <c r="P1540" s="60" t="b">
        <f t="shared" si="1250"/>
        <v>0</v>
      </c>
      <c r="Q1540" s="59">
        <f>IFERROR(__xludf.DUMMYFUNCTION("iferror(filter('3.5.clean'!C:C,'3.5.clean'!A:A=C1540),"""")"),43866.0)</f>
        <v>43866</v>
      </c>
      <c r="R1540" s="58" t="b">
        <f>if(Q1540="",FALSE,TRUE)</f>
        <v>1</v>
      </c>
      <c r="S1540" s="4">
        <f>IFERROR(__xludf.DUMMYFUNCTION("iferror(filter('3.5.clean'!H:H,'3.5.clean'!A:A=C1540),"""")"),0.0)</f>
        <v>0</v>
      </c>
      <c r="V1540" s="52" t="s">
        <v>64</v>
      </c>
      <c r="W1540" s="23" t="b">
        <f>if(AND(R1540=TRUE,N1540=TRUE,P1540=TRUE),TRUE,FALSE)</f>
        <v>0</v>
      </c>
      <c r="X1540" s="23" t="str">
        <f>IFERROR(__xludf.DUMMYFUNCTION("if(COUNTA(FILTER(C:C, C:C = C1540))=1,""no"",""yes"")"),"no")</f>
        <v>no</v>
      </c>
    </row>
    <row r="1541">
      <c r="A1541" s="1" t="s">
        <v>1041</v>
      </c>
      <c r="B1541" s="2">
        <v>7.0</v>
      </c>
      <c r="C1541" s="19" t="s">
        <v>721</v>
      </c>
      <c r="E1541" s="24">
        <f>IFERROR(__xludf.DUMMYFUNCTION("ifna(IFNA(filter('2.1.clean'!C:C,'2.1.clean'!A:A=C1541),filter('2.2.clean'!E:E,'2.2.clean'!D:D=C1541)),filter('2.4.clean'!C:C,'2.4.clean'!A:A=C1541))"),43866.0)</f>
        <v>43866</v>
      </c>
      <c r="F1541" s="25">
        <f>IFERROR(__xludf.DUMMYFUNCTION("iferror(ifna(IFNA(filter('2.1.clean'!E:E,'2.1.clean'!A:A=C1541),filter('2.2.clean'!G:G,'2.2.clean'!D:D=C1541)),filter('2.4.clean'!E:E,'2.4.clean'!A:A=C1541)),)"),2.2)</f>
        <v>2.2</v>
      </c>
      <c r="G1541" s="24">
        <f>IFERROR(__xludf.DUMMYFUNCTION("iferror(filter('3.1.clean'!C:C,'3.1.clean'!A:A=C1541),"""")"),43866.0)</f>
        <v>43866</v>
      </c>
      <c r="H1541" s="23" t="b">
        <f t="shared" ref="H1541:H1545" si="1255">if(G1541="",FALSE,TRUE)</f>
        <v>1</v>
      </c>
      <c r="J1541" s="25"/>
      <c r="K1541" s="24">
        <f>IFERROR(__xludf.DUMMYFUNCTION("iferror(filter('3.2.clean'!C:C,'3.2.clean'!A:A=C1541),"""")"),43868.0)</f>
        <v>43868</v>
      </c>
      <c r="L1541" s="25" t="b">
        <f t="shared" ref="L1541:L1544" si="1256">if(K1541="",FALSE,TRUE)</f>
        <v>1</v>
      </c>
      <c r="M1541" s="24">
        <f>IFERROR(__xludf.DUMMYFUNCTION("iferror(filter('3.3.clean'!C:C,'3.3.clean'!A:A=C1541),"""")"),43867.0)</f>
        <v>43867</v>
      </c>
      <c r="N1541" s="25" t="b">
        <f t="shared" si="1249"/>
        <v>1</v>
      </c>
      <c r="O1541" s="24" t="str">
        <f>IFERROR(__xludf.DUMMYFUNCTION("iferror(filter('3.4.clean'!C:C,'3.4.clean'!A:A=C1541),"""")"),"")</f>
        <v/>
      </c>
      <c r="P1541" s="25" t="b">
        <f t="shared" si="1250"/>
        <v>0</v>
      </c>
      <c r="Q1541" s="24" t="str">
        <f>IFERROR(__xludf.DUMMYFUNCTION("iferror(filter('3.5.clean'!C:C,'3.5.clean'!A:A=C1541),"""")"),"")</f>
        <v/>
      </c>
      <c r="S1541" s="25"/>
      <c r="W1541" s="23" t="b">
        <f t="shared" ref="W1541:W1544" si="1257">IF(and(H1541=TRUE,L1541=TRUE,N1541=TRUE,P1541=TRUE),TRUE,FALSE)</f>
        <v>0</v>
      </c>
      <c r="X1541" s="23" t="str">
        <f>IFERROR(__xludf.DUMMYFUNCTION("if(COUNTA(FILTER(C:C, C:C = C1541))=1,""no"",""yes"")"),"no")</f>
        <v>no</v>
      </c>
    </row>
    <row r="1542">
      <c r="A1542" s="1" t="s">
        <v>1041</v>
      </c>
      <c r="B1542" s="2">
        <v>8.0</v>
      </c>
      <c r="C1542" s="19" t="s">
        <v>724</v>
      </c>
      <c r="E1542" s="24">
        <f>IFERROR(__xludf.DUMMYFUNCTION("ifna(IFNA(filter('2.1.clean'!C:C,'2.1.clean'!A:A=C1542),filter('2.2.clean'!E:E,'2.2.clean'!D:D=C1542)),filter('2.4.clean'!C:C,'2.4.clean'!A:A=C1542))"),43866.0)</f>
        <v>43866</v>
      </c>
      <c r="F1542" s="25">
        <f>IFERROR(__xludf.DUMMYFUNCTION("iferror(ifna(IFNA(filter('2.1.clean'!E:E,'2.1.clean'!A:A=C1542),filter('2.2.clean'!G:G,'2.2.clean'!D:D=C1542)),filter('2.4.clean'!E:E,'2.4.clean'!A:A=C1542)),)"),2.2)</f>
        <v>2.2</v>
      </c>
      <c r="G1542" s="24">
        <f>IFERROR(__xludf.DUMMYFUNCTION("iferror(filter('3.1.clean'!C:C,'3.1.clean'!A:A=C1542),"""")"),43866.0)</f>
        <v>43866</v>
      </c>
      <c r="H1542" s="23" t="b">
        <f t="shared" si="1255"/>
        <v>1</v>
      </c>
      <c r="J1542" s="25"/>
      <c r="K1542" s="24">
        <f>IFERROR(__xludf.DUMMYFUNCTION("iferror(filter('3.2.clean'!C:C,'3.2.clean'!A:A=C1542),"""")"),43868.0)</f>
        <v>43868</v>
      </c>
      <c r="L1542" s="25" t="b">
        <f t="shared" si="1256"/>
        <v>1</v>
      </c>
      <c r="M1542" s="24">
        <f>IFERROR(__xludf.DUMMYFUNCTION("iferror(filter('3.3.clean'!C:C,'3.3.clean'!A:A=C1542),"""")"),43867.0)</f>
        <v>43867</v>
      </c>
      <c r="N1542" s="25" t="b">
        <f t="shared" si="1249"/>
        <v>1</v>
      </c>
      <c r="O1542" s="24" t="str">
        <f>IFERROR(__xludf.DUMMYFUNCTION("iferror(filter('3.4.clean'!C:C,'3.4.clean'!A:A=C1542),"""")"),"")</f>
        <v/>
      </c>
      <c r="P1542" s="25" t="b">
        <f t="shared" si="1250"/>
        <v>0</v>
      </c>
      <c r="Q1542" s="24" t="str">
        <f>IFERROR(__xludf.DUMMYFUNCTION("iferror(filter('3.5.clean'!C:C,'3.5.clean'!A:A=C1542),"""")"),"")</f>
        <v/>
      </c>
      <c r="S1542" s="25"/>
      <c r="W1542" s="23" t="b">
        <f t="shared" si="1257"/>
        <v>0</v>
      </c>
      <c r="X1542" s="23" t="str">
        <f>IFERROR(__xludf.DUMMYFUNCTION("if(COUNTA(FILTER(C:C, C:C = C1542))=1,""no"",""yes"")"),"no")</f>
        <v>no</v>
      </c>
    </row>
    <row r="1543">
      <c r="A1543" s="1" t="s">
        <v>1041</v>
      </c>
      <c r="B1543" s="2">
        <v>9.0</v>
      </c>
      <c r="C1543" s="19" t="s">
        <v>725</v>
      </c>
      <c r="E1543" s="24">
        <f>IFERROR(__xludf.DUMMYFUNCTION("ifna(IFNA(filter('2.1.clean'!C:C,'2.1.clean'!A:A=C1543),filter('2.2.clean'!E:E,'2.2.clean'!D:D=C1543)),filter('2.4.clean'!C:C,'2.4.clean'!A:A=C1543))"),43866.0)</f>
        <v>43866</v>
      </c>
      <c r="F1543" s="25">
        <f>IFERROR(__xludf.DUMMYFUNCTION("iferror(ifna(IFNA(filter('2.1.clean'!E:E,'2.1.clean'!A:A=C1543),filter('2.2.clean'!G:G,'2.2.clean'!D:D=C1543)),filter('2.4.clean'!E:E,'2.4.clean'!A:A=C1543)),)"),2.2)</f>
        <v>2.2</v>
      </c>
      <c r="G1543" s="24">
        <f>IFERROR(__xludf.DUMMYFUNCTION("iferror(filter('3.1.clean'!C:C,'3.1.clean'!A:A=C1543),"""")"),43866.0)</f>
        <v>43866</v>
      </c>
      <c r="H1543" s="23" t="b">
        <f t="shared" si="1255"/>
        <v>1</v>
      </c>
      <c r="J1543" s="25"/>
      <c r="K1543" s="24">
        <f>IFERROR(__xludf.DUMMYFUNCTION("iferror(filter('3.2.clean'!C:C,'3.2.clean'!A:A=C1543),"""")"),43868.0)</f>
        <v>43868</v>
      </c>
      <c r="L1543" s="25" t="b">
        <f t="shared" si="1256"/>
        <v>1</v>
      </c>
      <c r="M1543" s="24">
        <f>IFERROR(__xludf.DUMMYFUNCTION("iferror(filter('3.3.clean'!C:C,'3.3.clean'!A:A=C1543),"""")"),43867.0)</f>
        <v>43867</v>
      </c>
      <c r="N1543" s="25" t="b">
        <f t="shared" si="1249"/>
        <v>1</v>
      </c>
      <c r="O1543" s="24" t="str">
        <f>IFERROR(__xludf.DUMMYFUNCTION("iferror(filter('3.4.clean'!C:C,'3.4.clean'!A:A=C1543),"""")"),"")</f>
        <v/>
      </c>
      <c r="P1543" s="25" t="b">
        <f t="shared" si="1250"/>
        <v>0</v>
      </c>
      <c r="Q1543" s="24" t="str">
        <f>IFERROR(__xludf.DUMMYFUNCTION("iferror(filter('3.5.clean'!C:C,'3.5.clean'!A:A=C1543),"""")"),"")</f>
        <v/>
      </c>
      <c r="S1543" s="25"/>
      <c r="W1543" s="23" t="b">
        <f t="shared" si="1257"/>
        <v>0</v>
      </c>
      <c r="X1543" s="23" t="str">
        <f>IFERROR(__xludf.DUMMYFUNCTION("if(COUNTA(FILTER(C:C, C:C = C1543))=1,""no"",""yes"")"),"no")</f>
        <v>no</v>
      </c>
    </row>
    <row r="1544">
      <c r="A1544" s="1" t="s">
        <v>1041</v>
      </c>
      <c r="B1544" s="2">
        <v>10.0</v>
      </c>
      <c r="C1544" s="19" t="s">
        <v>726</v>
      </c>
      <c r="E1544" s="24">
        <f>IFERROR(__xludf.DUMMYFUNCTION("ifna(IFNA(filter('2.1.clean'!C:C,'2.1.clean'!A:A=C1544),filter('2.2.clean'!E:E,'2.2.clean'!D:D=C1544)),filter('2.4.clean'!C:C,'2.4.clean'!A:A=C1544))"),43866.0)</f>
        <v>43866</v>
      </c>
      <c r="F1544" s="25">
        <f>IFERROR(__xludf.DUMMYFUNCTION("iferror(ifna(IFNA(filter('2.1.clean'!E:E,'2.1.clean'!A:A=C1544),filter('2.2.clean'!G:G,'2.2.clean'!D:D=C1544)),filter('2.4.clean'!E:E,'2.4.clean'!A:A=C1544)),)"),2.2)</f>
        <v>2.2</v>
      </c>
      <c r="G1544" s="24">
        <f>IFERROR(__xludf.DUMMYFUNCTION("iferror(filter('3.1.clean'!C:C,'3.1.clean'!A:A=C1544),"""")"),43866.0)</f>
        <v>43866</v>
      </c>
      <c r="H1544" s="23" t="b">
        <f t="shared" si="1255"/>
        <v>1</v>
      </c>
      <c r="J1544" s="25"/>
      <c r="K1544" s="24">
        <f>IFERROR(__xludf.DUMMYFUNCTION("iferror(filter('3.2.clean'!C:C,'3.2.clean'!A:A=C1544),"""")"),43868.0)</f>
        <v>43868</v>
      </c>
      <c r="L1544" s="25" t="b">
        <f t="shared" si="1256"/>
        <v>1</v>
      </c>
      <c r="M1544" s="24">
        <f>IFERROR(__xludf.DUMMYFUNCTION("iferror(filter('3.3.clean'!C:C,'3.3.clean'!A:A=C1544),"""")"),43867.0)</f>
        <v>43867</v>
      </c>
      <c r="N1544" s="25" t="b">
        <f t="shared" si="1249"/>
        <v>1</v>
      </c>
      <c r="O1544" s="24" t="str">
        <f>IFERROR(__xludf.DUMMYFUNCTION("iferror(filter('3.4.clean'!C:C,'3.4.clean'!A:A=C1544),"""")"),"")</f>
        <v/>
      </c>
      <c r="P1544" s="25" t="b">
        <f t="shared" si="1250"/>
        <v>0</v>
      </c>
      <c r="Q1544" s="24" t="str">
        <f>IFERROR(__xludf.DUMMYFUNCTION("iferror(filter('3.5.clean'!C:C,'3.5.clean'!A:A=C1544),"""")"),"")</f>
        <v/>
      </c>
      <c r="S1544" s="25"/>
      <c r="W1544" s="23" t="b">
        <f t="shared" si="1257"/>
        <v>0</v>
      </c>
      <c r="X1544" s="23" t="str">
        <f>IFERROR(__xludf.DUMMYFUNCTION("if(COUNTA(FILTER(C:C, C:C = C1544))=1,""no"",""yes"")"),"no")</f>
        <v>no</v>
      </c>
    </row>
    <row r="1545">
      <c r="A1545" s="1" t="s">
        <v>1041</v>
      </c>
      <c r="B1545" s="2">
        <v>11.0</v>
      </c>
      <c r="C1545" s="19" t="s">
        <v>728</v>
      </c>
      <c r="D1545" s="58" t="str">
        <f t="shared" ref="D1545:D1546" si="1258">if(or(I1545=1,J1545=1,S1545=1),"pos","")</f>
        <v/>
      </c>
      <c r="E1545" s="59">
        <f>IFERROR(__xludf.DUMMYFUNCTION("ifna(IFNA(filter('2.1.clean'!C:C,'2.1.clean'!A:A=C1545),filter('2.2.clean'!E:E,'2.2.clean'!D:D=C1545)),filter('2.4.clean'!C:C,'2.4.clean'!A:A=C1545))"),43866.0)</f>
        <v>43866</v>
      </c>
      <c r="F1545" s="60">
        <f>IFERROR(__xludf.DUMMYFUNCTION("iferror(ifna(IFNA(filter('2.1.clean'!E:E,'2.1.clean'!A:A=C1545),filter('2.2.clean'!G:G,'2.2.clean'!D:D=C1545)),filter('2.4.clean'!E:E,'2.4.clean'!A:A=C1545)),)"),2.2)</f>
        <v>2.2</v>
      </c>
      <c r="G1545" s="59">
        <f>IFERROR(__xludf.DUMMYFUNCTION("iferror(filter('3.1.clean'!C:C,'3.1.clean'!A:A=C1545),"""")"),43866.0)</f>
        <v>43866</v>
      </c>
      <c r="H1545" s="58" t="b">
        <f t="shared" si="1255"/>
        <v>1</v>
      </c>
      <c r="I1545" s="58">
        <f>IFERROR(__xludf.DUMMYFUNCTION("iferror(filter('3.1.clean'!G:G,'3.1.clean'!A:A=C1545),"""")"),0.0)</f>
        <v>0</v>
      </c>
      <c r="J1545" s="60" t="str">
        <f>IFERROR(__xludf.DUMMYFUNCTION("iferror(filter('3.1.clean'!I:I,'3.1.clean'!A:A=C1545),"""")"),"")</f>
        <v/>
      </c>
      <c r="K1545" s="58"/>
      <c r="L1545" s="60"/>
      <c r="M1545" s="59" t="str">
        <f>IFERROR(__xludf.DUMMYFUNCTION("iferror(filter('3.3.clean'!C:C,'3.3.clean'!A:A=C1545),"""")"),"")</f>
        <v/>
      </c>
      <c r="N1545" s="60" t="b">
        <f t="shared" si="1249"/>
        <v>0</v>
      </c>
      <c r="O1545" s="59" t="str">
        <f>IFERROR(__xludf.DUMMYFUNCTION("iferror(filter('3.4.clean'!C:C,'3.4.clean'!A:A=C1545),"""")"),"")</f>
        <v/>
      </c>
      <c r="P1545" s="60" t="b">
        <f t="shared" si="1250"/>
        <v>0</v>
      </c>
      <c r="Q1545" s="59" t="str">
        <f>IFERROR(__xludf.DUMMYFUNCTION("iferror(filter('3.5.clean'!C:C,'3.5.clean'!A:A=C1545),"""")"),"")</f>
        <v/>
      </c>
      <c r="R1545" s="58"/>
      <c r="S1545" s="4" t="str">
        <f>IFERROR(__xludf.DUMMYFUNCTION("iferror(filter('3.5.clean'!H:H,'3.5.clean'!A:A=C1545),"""")"),"")</f>
        <v/>
      </c>
      <c r="W1545" s="23" t="b">
        <f>if(AND(H1545=TRUE,N1545=TRUE,P1545=TRUE),TRUE,FALSE)</f>
        <v>0</v>
      </c>
      <c r="X1545" s="23" t="str">
        <f>IFERROR(__xludf.DUMMYFUNCTION("if(COUNTA(FILTER(C:C, C:C = C1545))=1,""no"",""yes"")"),"no")</f>
        <v>no</v>
      </c>
    </row>
    <row r="1546">
      <c r="A1546" s="1" t="s">
        <v>1041</v>
      </c>
      <c r="B1546" s="2">
        <v>12.0</v>
      </c>
      <c r="C1546" s="2" t="s">
        <v>340</v>
      </c>
      <c r="D1546" s="58" t="str">
        <f t="shared" si="1258"/>
        <v/>
      </c>
      <c r="E1546" s="59">
        <f>Q1546</f>
        <v>43866</v>
      </c>
      <c r="F1546" s="60" t="str">
        <f>IFERROR(__xludf.DUMMYFUNCTION("iferror(ifna(IFNA(filter('2.1.clean'!E:E,'2.1.clean'!A:A=C1546),filter('2.2.clean'!G:G,'2.2.clean'!D:D=C1546)),filter('2.4.clean'!E:E,'2.4.clean'!A:A=C1546)),)"),"")</f>
        <v/>
      </c>
      <c r="G1546" s="59" t="str">
        <f>IFERROR(__xludf.DUMMYFUNCTION("iferror(filter('3.1.clean'!C:C,'3.1.clean'!A:A=C1546),"""")"),"")</f>
        <v/>
      </c>
      <c r="H1546" s="58"/>
      <c r="I1546" s="58" t="str">
        <f>IFERROR(__xludf.DUMMYFUNCTION("iferror(filter('3.1.clean'!G:G,'3.1.clean'!A:A=C1546),"""")"),"")</f>
        <v/>
      </c>
      <c r="J1546" s="60" t="str">
        <f>IFERROR(__xludf.DUMMYFUNCTION("iferror(filter('3.1.clean'!I:I,'3.1.clean'!A:A=C1546),"""")"),"")</f>
        <v/>
      </c>
      <c r="K1546" s="59"/>
      <c r="L1546" s="60"/>
      <c r="M1546" s="59" t="str">
        <f>IFERROR(__xludf.DUMMYFUNCTION("iferror(filter('3.3.clean'!C:C,'3.3.clean'!A:A=C1546),"""")"),"")</f>
        <v/>
      </c>
      <c r="N1546" s="60" t="b">
        <f t="shared" si="1249"/>
        <v>0</v>
      </c>
      <c r="O1546" s="59" t="str">
        <f>IFERROR(__xludf.DUMMYFUNCTION("iferror(filter('3.4.clean'!C:C,'3.4.clean'!A:A=C1546),"""")"),"")</f>
        <v/>
      </c>
      <c r="P1546" s="60" t="b">
        <f t="shared" si="1250"/>
        <v>0</v>
      </c>
      <c r="Q1546" s="59">
        <f>IFERROR(__xludf.DUMMYFUNCTION("iferror(filter('3.5.clean'!C:C,'3.5.clean'!A:A=C1546),"""")"),43866.0)</f>
        <v>43866</v>
      </c>
      <c r="R1546" s="58" t="b">
        <f t="shared" ref="R1546:R1547" si="1259">if(Q1546="",FALSE,TRUE)</f>
        <v>1</v>
      </c>
      <c r="S1546" s="4">
        <f>IFERROR(__xludf.DUMMYFUNCTION("iferror(filter('3.5.clean'!H:H,'3.5.clean'!A:A=C1546),"""")"),0.0)</f>
        <v>0</v>
      </c>
      <c r="V1546" s="52" t="s">
        <v>64</v>
      </c>
      <c r="W1546" s="23" t="b">
        <f>if(AND(R1546=TRUE,N1546=TRUE,P1546=TRUE),TRUE,FALSE)</f>
        <v>0</v>
      </c>
      <c r="X1546" s="23" t="str">
        <f>IFERROR(__xludf.DUMMYFUNCTION("if(COUNTA(FILTER(C:C, C:C = C1546))=1,""no"",""yes"")"),"no")</f>
        <v>no</v>
      </c>
    </row>
    <row r="1547">
      <c r="A1547" s="1" t="s">
        <v>1041</v>
      </c>
      <c r="B1547" s="19">
        <v>13.0</v>
      </c>
      <c r="C1547" s="19" t="s">
        <v>2895</v>
      </c>
      <c r="D1547" s="39"/>
      <c r="E1547" s="24">
        <f>IFERROR(__xludf.DUMMYFUNCTION("ifna(IFNA(filter('2.1.clean'!C:C,'2.1.clean'!A:A=C1547),filter('2.2.clean'!E:E,'2.2.clean'!D:D=C1547)),filter('2.4.clean'!C:C,'2.4.clean'!A:A=C1547))"),43866.0)</f>
        <v>43866</v>
      </c>
      <c r="F1547" s="25">
        <f>IFERROR(__xludf.DUMMYFUNCTION("iferror(ifna(IFNA(filter('2.1.clean'!E:E,'2.1.clean'!A:A=C1547),filter('2.2.clean'!G:G,'2.2.clean'!D:D=C1547)),filter('2.4.clean'!E:E,'2.4.clean'!A:A=C1547)),)"),2.39999999999999)</f>
        <v>2.4</v>
      </c>
      <c r="G1547" s="24">
        <f>IFERROR(__xludf.DUMMYFUNCTION("iferror(filter('3.1.clean'!C:C,'3.1.clean'!A:A=C1547),"""")"),43866.0)</f>
        <v>43866</v>
      </c>
      <c r="H1547" s="23" t="b">
        <f t="shared" ref="H1547:H1548" si="1260">if(G1547="",FALSE,TRUE)</f>
        <v>1</v>
      </c>
      <c r="J1547" s="25"/>
      <c r="K1547" s="43">
        <f>IFERROR(__xludf.DUMMYFUNCTION("iferror(filter('3.2.clean'!C:C,'3.2.clean'!A:A=C1547),"""")"),43868.0)</f>
        <v>43868</v>
      </c>
      <c r="L1547" s="25" t="b">
        <f>if(K1547="",FALSE,TRUE)</f>
        <v>1</v>
      </c>
      <c r="M1547" s="24">
        <f>IFERROR(__xludf.DUMMYFUNCTION("iferror(filter('3.3.clean'!C:C,'3.3.clean'!A:A=C1547),"""")"),43867.0)</f>
        <v>43867</v>
      </c>
      <c r="N1547" s="25" t="b">
        <f t="shared" si="1249"/>
        <v>1</v>
      </c>
      <c r="O1547" s="24">
        <f>IFERROR(__xludf.DUMMYFUNCTION("iferror(filter('3.4.clean'!C:C,'3.4.clean'!A:A=C1547),"""")"),43868.0)</f>
        <v>43868</v>
      </c>
      <c r="P1547" s="25" t="b">
        <f t="shared" si="1250"/>
        <v>1</v>
      </c>
      <c r="Q1547" s="24" t="str">
        <f>IFERROR(__xludf.DUMMYFUNCTION("iferror(filter('3.5.clean'!C:C,'3.5.clean'!A:A=C1547),"""")"),"")</f>
        <v/>
      </c>
      <c r="R1547" s="23" t="b">
        <f t="shared" si="1259"/>
        <v>0</v>
      </c>
      <c r="S1547" s="25"/>
      <c r="T1547" s="48"/>
      <c r="U1547" s="23"/>
      <c r="V1547" s="1" t="s">
        <v>64</v>
      </c>
      <c r="X1547" s="23" t="str">
        <f>IFERROR(__xludf.DUMMYFUNCTION("if(COUNTA(FILTER(C:C, C:C = C1547))=1,""no"",""yes"")"),"no")</f>
        <v>no</v>
      </c>
    </row>
    <row r="1548">
      <c r="A1548" s="1" t="s">
        <v>1041</v>
      </c>
      <c r="B1548" s="19">
        <v>14.0</v>
      </c>
      <c r="C1548" s="19" t="s">
        <v>2906</v>
      </c>
      <c r="D1548" s="76" t="str">
        <f t="shared" ref="D1548:D1549" si="1261">if(or(I1548=1,J1548=1,S1548=1),"pos","")</f>
        <v/>
      </c>
      <c r="E1548" s="77">
        <f>G1548</f>
        <v>43866</v>
      </c>
      <c r="F1548" s="78" t="str">
        <f>IFERROR(__xludf.DUMMYFUNCTION("iferror(ifna(IFNA(filter('2.1.clean'!E:E,'2.1.clean'!A:A=C1548),filter('2.2.clean'!G:G,'2.2.clean'!D:D=C1548)),filter('2.4.clean'!E:E,'2.4.clean'!A:A=C1548)),)"),"")</f>
        <v/>
      </c>
      <c r="G1548" s="77">
        <f>IFERROR(__xludf.DUMMYFUNCTION("iferror(filter('3.1.clean'!C:C,'3.1.clean'!A:A=C1548),"""")"),43866.0)</f>
        <v>43866</v>
      </c>
      <c r="H1548" s="76" t="b">
        <f t="shared" si="1260"/>
        <v>1</v>
      </c>
      <c r="I1548" s="76">
        <f>IFERROR(__xludf.DUMMYFUNCTION("iferror(filter('3.1.clean'!G:G,'3.1.clean'!A:A=C1548),"""")"),0.0)</f>
        <v>0</v>
      </c>
      <c r="J1548" s="78" t="str">
        <f>IFERROR(__xludf.DUMMYFUNCTION("iferror(filter('3.1.clean'!I:I,'3.1.clean'!A:A=C1548),"""")"),"")</f>
        <v/>
      </c>
      <c r="K1548" s="77"/>
      <c r="L1548" s="78"/>
      <c r="M1548" s="77"/>
      <c r="N1548" s="78"/>
      <c r="O1548" s="77"/>
      <c r="P1548" s="78"/>
      <c r="Q1548" s="77"/>
      <c r="R1548" s="76"/>
      <c r="S1548" s="25"/>
      <c r="V1548" s="1" t="s">
        <v>64</v>
      </c>
      <c r="W1548" s="1" t="b">
        <v>1</v>
      </c>
      <c r="X1548" s="23" t="str">
        <f>IFERROR(__xludf.DUMMYFUNCTION("if(COUNTA(FILTER(C:C, C:C = C1548))=1,""no"",""yes"")"),"no")</f>
        <v>no</v>
      </c>
    </row>
    <row r="1549">
      <c r="A1549" s="1" t="s">
        <v>1041</v>
      </c>
      <c r="B1549" s="19">
        <v>15.0</v>
      </c>
      <c r="C1549" s="19" t="s">
        <v>339</v>
      </c>
      <c r="D1549" s="22" t="str">
        <f t="shared" si="1261"/>
        <v/>
      </c>
      <c r="E1549" s="20">
        <f>Q1549</f>
        <v>43866</v>
      </c>
      <c r="F1549" s="79" t="str">
        <f>IFERROR(__xludf.DUMMYFUNCTION("iferror(ifna(IFNA(filter('2.1.clean'!E:E,'2.1.clean'!A:A=C1549),filter('2.2.clean'!G:G,'2.2.clean'!D:D=C1549)),filter('2.4.clean'!E:E,'2.4.clean'!A:A=C1549)),)"),"")</f>
        <v/>
      </c>
      <c r="G1549" s="20" t="str">
        <f>IFERROR(__xludf.DUMMYFUNCTION("iferror(filter('3.1.clean'!C:C,'3.1.clean'!A:A=C1549),"""")"),"")</f>
        <v/>
      </c>
      <c r="H1549" s="22"/>
      <c r="I1549" s="22"/>
      <c r="J1549" s="79"/>
      <c r="K1549" s="20" t="str">
        <f>IFERROR(__xludf.DUMMYFUNCTION("iferror(filter('3.2.clean'!C:C,'3.2.clean'!A:A=C1549),"""")"),"")</f>
        <v/>
      </c>
      <c r="L1549" s="79"/>
      <c r="M1549" s="20" t="str">
        <f>IFERROR(__xludf.DUMMYFUNCTION("iferror(filter('3.3.clean'!C:C,'3.3.clean'!A:A=C1549),"""")"),"")</f>
        <v/>
      </c>
      <c r="N1549" s="79" t="b">
        <f t="shared" ref="N1549:N1574" si="1262">if(M1549="",FALSE,TRUE)</f>
        <v>0</v>
      </c>
      <c r="O1549" s="20" t="str">
        <f>IFERROR(__xludf.DUMMYFUNCTION("iferror(filter('3.4.clean'!C:C,'3.4.clean'!A:A=C1549),"""")"),"")</f>
        <v/>
      </c>
      <c r="P1549" s="79" t="b">
        <f t="shared" ref="P1549:P1574" si="1263">if(O1549="",FALSE,TRUE)</f>
        <v>0</v>
      </c>
      <c r="Q1549" s="20">
        <f>IFERROR(__xludf.DUMMYFUNCTION("iferror(filter('3.5.clean'!C:C,'3.5.clean'!A:A=C1549),"""")"),43866.0)</f>
        <v>43866</v>
      </c>
      <c r="R1549" s="22" t="b">
        <f>if(Q1549="",FALSE,TRUE)</f>
        <v>1</v>
      </c>
      <c r="S1549" s="4">
        <f>IFERROR(__xludf.DUMMYFUNCTION("iferror(filter('3.5.clean'!H:H,'3.5.clean'!A:A=C1549),"""")"),0.0)</f>
        <v>0</v>
      </c>
      <c r="V1549" s="1" t="s">
        <v>64</v>
      </c>
      <c r="W1549" s="23" t="b">
        <f>IF(and(R1549=TRUE,N1549=TRUE,P1549=TRUE),TRUE,FALSE)</f>
        <v>0</v>
      </c>
      <c r="X1549" s="23" t="str">
        <f>IFERROR(__xludf.DUMMYFUNCTION("if(COUNTA(FILTER(C:C, C:C = C1549))=1,""no"",""yes"")"),"no")</f>
        <v>no</v>
      </c>
    </row>
    <row r="1550">
      <c r="A1550" s="1" t="s">
        <v>1041</v>
      </c>
      <c r="B1550" s="2">
        <v>17.0</v>
      </c>
      <c r="C1550" s="19" t="s">
        <v>2931</v>
      </c>
      <c r="E1550" s="24">
        <v>43866.0</v>
      </c>
      <c r="F1550" s="25" t="str">
        <f>IFERROR(__xludf.DUMMYFUNCTION("iferror(ifna(IFNA(filter('2.1.clean'!E:E,'2.1.clean'!A:A=C1550),filter('2.2.clean'!G:G,'2.2.clean'!D:D=C1550)),filter('2.4.clean'!E:E,'2.4.clean'!A:A=C1550)),)"),"")</f>
        <v/>
      </c>
      <c r="G1550" s="24" t="str">
        <f>IFERROR(__xludf.DUMMYFUNCTION("iferror(filter('3.1.clean'!C:C,'3.1.clean'!A:A=C1550),"""")"),"")</f>
        <v/>
      </c>
      <c r="J1550" s="25"/>
      <c r="K1550" s="24" t="str">
        <f>IFERROR(__xludf.DUMMYFUNCTION("iferror(filter('3.2.clean'!C:C,'3.2.clean'!A:A=C1550),"""")"),"")</f>
        <v/>
      </c>
      <c r="L1550" s="25"/>
      <c r="M1550" s="24">
        <f>IFERROR(__xludf.DUMMYFUNCTION("iferror(filter('3.3.clean'!C:C,'3.3.clean'!A:A=C1550),"""")"),43867.0)</f>
        <v>43867</v>
      </c>
      <c r="N1550" s="25" t="b">
        <f t="shared" si="1262"/>
        <v>1</v>
      </c>
      <c r="O1550" s="24" t="str">
        <f>IFERROR(__xludf.DUMMYFUNCTION("iferror(filter('3.4.clean'!C:C,'3.4.clean'!A:A=C1550),"""")"),"")</f>
        <v/>
      </c>
      <c r="P1550" s="25" t="b">
        <f t="shared" si="1263"/>
        <v>0</v>
      </c>
      <c r="Q1550" s="24" t="str">
        <f>IFERROR(__xludf.DUMMYFUNCTION("iferror(filter('3.5.clean'!C:C,'3.5.clean'!A:A=C1550),"""")"),"")</f>
        <v/>
      </c>
      <c r="S1550" s="25"/>
      <c r="V1550" s="52" t="s">
        <v>64</v>
      </c>
      <c r="X1550" s="23" t="str">
        <f>IFERROR(__xludf.DUMMYFUNCTION("if(COUNTA(FILTER(C:C, C:C = C1550))=1,""no"",""yes"")"),"no")</f>
        <v>no</v>
      </c>
    </row>
    <row r="1551">
      <c r="A1551" s="75" t="s">
        <v>1045</v>
      </c>
      <c r="B1551" s="2">
        <v>1.0</v>
      </c>
      <c r="C1551" s="19" t="s">
        <v>2939</v>
      </c>
      <c r="E1551" s="24">
        <f>IFERROR(__xludf.DUMMYFUNCTION("ifna(IFNA(filter('2.1.clean'!C:C,'2.1.clean'!A:A=C1551),filter('2.2.clean'!E:E,'2.2.clean'!D:D=C1551)),filter('2.4.clean'!C:C,'2.4.clean'!A:A=C1551))"),43867.0)</f>
        <v>43867</v>
      </c>
      <c r="F1551" s="25">
        <f>IFERROR(__xludf.DUMMYFUNCTION("iferror(ifna(IFNA(filter('2.1.clean'!E:E,'2.1.clean'!A:A=C1551),filter('2.2.clean'!G:G,'2.2.clean'!D:D=C1551)),filter('2.4.clean'!E:E,'2.4.clean'!A:A=C1551)),)"),2.39999999999999)</f>
        <v>2.4</v>
      </c>
      <c r="G1551" s="24"/>
      <c r="J1551" s="25"/>
      <c r="K1551" s="24"/>
      <c r="L1551" s="25"/>
      <c r="M1551" s="24">
        <f>IFERROR(__xludf.DUMMYFUNCTION("iferror(filter('3.3.clean'!C:C,'3.3.clean'!A:A=C1551),"""")"),43879.0)</f>
        <v>43879</v>
      </c>
      <c r="N1551" s="25" t="b">
        <f t="shared" si="1262"/>
        <v>1</v>
      </c>
      <c r="O1551" s="24">
        <f>IFERROR(__xludf.DUMMYFUNCTION("iferror(filter('3.4.clean'!C:C,'3.4.clean'!A:A=C1551),"""")"),43879.0)</f>
        <v>43879</v>
      </c>
      <c r="P1551" s="25" t="b">
        <f t="shared" si="1263"/>
        <v>1</v>
      </c>
      <c r="Q1551" s="24">
        <f>IFERROR(__xludf.DUMMYFUNCTION("iferror(filter('3.5.clean'!C:C,'3.5.clean'!A:A=C1551),"""")"),43867.0)</f>
        <v>43867</v>
      </c>
      <c r="R1551" s="23" t="b">
        <f>if(Q1551="",FALSE,TRUE)</f>
        <v>1</v>
      </c>
      <c r="S1551" s="25">
        <v>0.0</v>
      </c>
      <c r="V1551" s="52" t="s">
        <v>64</v>
      </c>
      <c r="W1551" s="23" t="b">
        <f>IF(and(R1551=TRUE,N1551=TRUE,P1551=TRUE),TRUE,FALSE)</f>
        <v>1</v>
      </c>
      <c r="X1551" s="23" t="str">
        <f>IFERROR(__xludf.DUMMYFUNCTION("if(COUNTA(FILTER(C:C, C:C = C1551))=1,""no"",""yes"")"),"no")</f>
        <v>no</v>
      </c>
    </row>
    <row r="1552">
      <c r="A1552" s="75" t="s">
        <v>1045</v>
      </c>
      <c r="B1552" s="2">
        <v>2.0</v>
      </c>
      <c r="C1552" s="19" t="s">
        <v>2947</v>
      </c>
      <c r="D1552" s="58" t="str">
        <f t="shared" ref="D1552:D1553" si="1264">if(or(I1552=1,J1552=1,S1552=1),"pos","")</f>
        <v/>
      </c>
      <c r="E1552" s="59">
        <f>IFERROR(__xludf.DUMMYFUNCTION("ifna(IFNA(filter('2.1.clean'!C:C,'2.1.clean'!A:A=C1552),filter('2.2.clean'!E:E,'2.2.clean'!D:D=C1552)),filter('2.4.clean'!C:C,'2.4.clean'!A:A=C1552))"),43867.0)</f>
        <v>43867</v>
      </c>
      <c r="F1552" s="60">
        <f>IFERROR(__xludf.DUMMYFUNCTION("iferror(ifna(IFNA(filter('2.1.clean'!E:E,'2.1.clean'!A:A=C1552),filter('2.2.clean'!G:G,'2.2.clean'!D:D=C1552)),filter('2.4.clean'!E:E,'2.4.clean'!A:A=C1552)),)"),2.39999999999999)</f>
        <v>2.4</v>
      </c>
      <c r="G1552" s="59">
        <f>IFERROR(__xludf.DUMMYFUNCTION("iferror(filter('3.1.clean'!C:C,'3.1.clean'!A:A=C1552),"""")"),43867.0)</f>
        <v>43867</v>
      </c>
      <c r="H1552" s="58" t="b">
        <f>if(G1552="",FALSE,TRUE)</f>
        <v>1</v>
      </c>
      <c r="I1552" s="58">
        <f>IFERROR(__xludf.DUMMYFUNCTION("iferror(filter('3.1.clean'!G:G,'3.1.clean'!A:A=C1552),"""")"),0.0)</f>
        <v>0</v>
      </c>
      <c r="J1552" s="60" t="str">
        <f>IFERROR(__xludf.DUMMYFUNCTION("iferror(filter('3.1.clean'!I:I,'3.1.clean'!A:A=C1552),"""")"),"")</f>
        <v/>
      </c>
      <c r="K1552" s="58"/>
      <c r="L1552" s="60"/>
      <c r="M1552" s="59">
        <f>IFERROR(__xludf.DUMMYFUNCTION("iferror(filter('3.3.clean'!C:C,'3.3.clean'!A:A=C1552),"""")"),43879.0)</f>
        <v>43879</v>
      </c>
      <c r="N1552" s="60" t="b">
        <f t="shared" si="1262"/>
        <v>1</v>
      </c>
      <c r="O1552" s="59">
        <f>IFERROR(__xludf.DUMMYFUNCTION("iferror(filter('3.4.clean'!C:C,'3.4.clean'!A:A=C1552),"""")"),43879.0)</f>
        <v>43879</v>
      </c>
      <c r="P1552" s="60" t="b">
        <f t="shared" si="1263"/>
        <v>1</v>
      </c>
      <c r="Q1552" s="59" t="str">
        <f>IFERROR(__xludf.DUMMYFUNCTION("iferror(filter('3.5.clean'!C:C,'3.5.clean'!A:A=C1552),"""")"),"")</f>
        <v/>
      </c>
      <c r="R1552" s="58"/>
      <c r="S1552" s="4" t="str">
        <f>IFERROR(__xludf.DUMMYFUNCTION("iferror(filter('3.5.clean'!H:H,'3.5.clean'!A:A=C1552),"""")"),"")</f>
        <v/>
      </c>
      <c r="W1552" s="23" t="b">
        <f>if(AND(H1552=TRUE,N1552=TRUE,P1552=TRUE),TRUE,FALSE)</f>
        <v>1</v>
      </c>
      <c r="X1552" s="23" t="str">
        <f>IFERROR(__xludf.DUMMYFUNCTION("if(COUNTA(FILTER(C:C, C:C = C1552))=1,""no"",""yes"")"),"no")</f>
        <v>no</v>
      </c>
    </row>
    <row r="1553">
      <c r="A1553" s="75" t="s">
        <v>1045</v>
      </c>
      <c r="B1553" s="2">
        <v>3.0</v>
      </c>
      <c r="C1553" s="19" t="s">
        <v>2956</v>
      </c>
      <c r="D1553" s="58" t="str">
        <f t="shared" si="1264"/>
        <v/>
      </c>
      <c r="E1553" s="59">
        <f>Q1553</f>
        <v>43867</v>
      </c>
      <c r="F1553" s="60" t="str">
        <f>IFERROR(__xludf.DUMMYFUNCTION("iferror(ifna(IFNA(filter('2.1.clean'!E:E,'2.1.clean'!A:A=C1553),filter('2.2.clean'!G:G,'2.2.clean'!D:D=C1553)),filter('2.4.clean'!E:E,'2.4.clean'!A:A=C1553)),)"),"")</f>
        <v/>
      </c>
      <c r="G1553" s="59" t="str">
        <f>IFERROR(__xludf.DUMMYFUNCTION("iferror(filter('3.1.clean'!C:C,'3.1.clean'!A:A=C1553),"""")"),"")</f>
        <v/>
      </c>
      <c r="H1553" s="58"/>
      <c r="I1553" s="58" t="str">
        <f>IFERROR(__xludf.DUMMYFUNCTION("iferror(filter('3.1.clean'!G:G,'3.1.clean'!A:A=C1553),"""")"),"")</f>
        <v/>
      </c>
      <c r="J1553" s="60" t="str">
        <f>IFERROR(__xludf.DUMMYFUNCTION("iferror(filter('3.1.clean'!I:I,'3.1.clean'!A:A=C1553),"""")"),"")</f>
        <v/>
      </c>
      <c r="K1553" s="59"/>
      <c r="L1553" s="60"/>
      <c r="M1553" s="59" t="str">
        <f>IFERROR(__xludf.DUMMYFUNCTION("iferror(filter('3.3.clean'!C:C,'3.3.clean'!A:A=C1553),"""")"),"")</f>
        <v/>
      </c>
      <c r="N1553" s="60" t="b">
        <f t="shared" si="1262"/>
        <v>0</v>
      </c>
      <c r="O1553" s="59" t="str">
        <f>IFERROR(__xludf.DUMMYFUNCTION("iferror(filter('3.4.clean'!C:C,'3.4.clean'!A:A=C1553),"""")"),"")</f>
        <v/>
      </c>
      <c r="P1553" s="60" t="b">
        <f t="shared" si="1263"/>
        <v>0</v>
      </c>
      <c r="Q1553" s="59">
        <f>IFERROR(__xludf.DUMMYFUNCTION("iferror(filter('3.5.clean'!C:C,'3.5.clean'!A:A=C1553),"""")"),43867.0)</f>
        <v>43867</v>
      </c>
      <c r="R1553" s="58" t="b">
        <f t="shared" ref="R1553:R1554" si="1265">if(Q1553="",FALSE,TRUE)</f>
        <v>1</v>
      </c>
      <c r="S1553" s="4">
        <f>IFERROR(__xludf.DUMMYFUNCTION("iferror(filter('3.5.clean'!H:H,'3.5.clean'!A:A=C1553),"""")"),0.0)</f>
        <v>0</v>
      </c>
      <c r="V1553" s="52" t="s">
        <v>64</v>
      </c>
      <c r="W1553" s="23" t="b">
        <f>if(AND(R1553=TRUE,N1553=TRUE,P1553=TRUE),TRUE,FALSE)</f>
        <v>0</v>
      </c>
      <c r="X1553" s="23" t="str">
        <f>IFERROR(__xludf.DUMMYFUNCTION("if(COUNTA(FILTER(C:C, C:C = C1553))=1,""no"",""yes"")"),"no")</f>
        <v>no</v>
      </c>
    </row>
    <row r="1554">
      <c r="A1554" s="75" t="s">
        <v>1045</v>
      </c>
      <c r="B1554" s="2">
        <v>4.0</v>
      </c>
      <c r="C1554" s="19" t="s">
        <v>2964</v>
      </c>
      <c r="E1554" s="24">
        <f>IFERROR(__xludf.DUMMYFUNCTION("ifna(IFNA(filter('2.1.clean'!C:C,'2.1.clean'!A:A=C1554),filter('2.2.clean'!E:E,'2.2.clean'!D:D=C1554)),filter('2.4.clean'!C:C,'2.4.clean'!A:A=C1554))"),43867.0)</f>
        <v>43867</v>
      </c>
      <c r="F1554" s="25">
        <f>IFERROR(__xludf.DUMMYFUNCTION("iferror(ifna(IFNA(filter('2.1.clean'!E:E,'2.1.clean'!A:A=C1554),filter('2.2.clean'!G:G,'2.2.clean'!D:D=C1554)),filter('2.4.clean'!E:E,'2.4.clean'!A:A=C1554)),)"),2.39999999999999)</f>
        <v>2.4</v>
      </c>
      <c r="G1554" s="24"/>
      <c r="J1554" s="25"/>
      <c r="K1554" s="24"/>
      <c r="L1554" s="25"/>
      <c r="M1554" s="24">
        <f>IFERROR(__xludf.DUMMYFUNCTION("iferror(filter('3.3.clean'!C:C,'3.3.clean'!A:A=C1554),"""")"),43879.0)</f>
        <v>43879</v>
      </c>
      <c r="N1554" s="25" t="b">
        <f t="shared" si="1262"/>
        <v>1</v>
      </c>
      <c r="O1554" s="24">
        <f>IFERROR(__xludf.DUMMYFUNCTION("iferror(filter('3.4.clean'!C:C,'3.4.clean'!A:A=C1554),"""")"),43879.0)</f>
        <v>43879</v>
      </c>
      <c r="P1554" s="25" t="b">
        <f t="shared" si="1263"/>
        <v>1</v>
      </c>
      <c r="Q1554" s="24">
        <f>IFERROR(__xludf.DUMMYFUNCTION("iferror(filter('3.5.clean'!C:C,'3.5.clean'!A:A=C1554),"""")"),43867.0)</f>
        <v>43867</v>
      </c>
      <c r="R1554" s="23" t="b">
        <f t="shared" si="1265"/>
        <v>1</v>
      </c>
      <c r="S1554" s="25">
        <v>0.0</v>
      </c>
      <c r="V1554" s="52" t="s">
        <v>64</v>
      </c>
      <c r="W1554" s="23" t="b">
        <f>IF(and(R1554=TRUE,N1554=TRUE,P1554=TRUE),TRUE,FALSE)</f>
        <v>1</v>
      </c>
      <c r="X1554" s="23" t="str">
        <f>IFERROR(__xludf.DUMMYFUNCTION("if(COUNTA(FILTER(C:C, C:C = C1554))=1,""no"",""yes"")"),"no")</f>
        <v>no</v>
      </c>
    </row>
    <row r="1555">
      <c r="A1555" s="75" t="s">
        <v>1045</v>
      </c>
      <c r="B1555" s="2">
        <v>5.0</v>
      </c>
      <c r="C1555" s="19" t="s">
        <v>2972</v>
      </c>
      <c r="D1555" s="58" t="str">
        <f t="shared" ref="D1555:D1556" si="1266">if(or(I1555=1,J1555=1,S1555=1),"pos","")</f>
        <v/>
      </c>
      <c r="E1555" s="59">
        <f>IFERROR(__xludf.DUMMYFUNCTION("ifna(IFNA(filter('2.1.clean'!C:C,'2.1.clean'!A:A=C1555),filter('2.2.clean'!E:E,'2.2.clean'!D:D=C1555)),filter('2.4.clean'!C:C,'2.4.clean'!A:A=C1555))"),43867.0)</f>
        <v>43867</v>
      </c>
      <c r="F1555" s="60">
        <f>IFERROR(__xludf.DUMMYFUNCTION("iferror(ifna(IFNA(filter('2.1.clean'!E:E,'2.1.clean'!A:A=C1555),filter('2.2.clean'!G:G,'2.2.clean'!D:D=C1555)),filter('2.4.clean'!E:E,'2.4.clean'!A:A=C1555)),)"),2.39999999999999)</f>
        <v>2.4</v>
      </c>
      <c r="G1555" s="59">
        <f>IFERROR(__xludf.DUMMYFUNCTION("iferror(filter('3.1.clean'!C:C,'3.1.clean'!A:A=C1555),"""")"),43867.0)</f>
        <v>43867</v>
      </c>
      <c r="H1555" s="58" t="b">
        <f>if(G1555="",FALSE,TRUE)</f>
        <v>1</v>
      </c>
      <c r="I1555" s="58">
        <f>IFERROR(__xludf.DUMMYFUNCTION("iferror(filter('3.1.clean'!G:G,'3.1.clean'!A:A=C1555),"""")"),0.0)</f>
        <v>0</v>
      </c>
      <c r="J1555" s="60" t="str">
        <f>IFERROR(__xludf.DUMMYFUNCTION("iferror(filter('3.1.clean'!I:I,'3.1.clean'!A:A=C1555),"""")"),"")</f>
        <v/>
      </c>
      <c r="K1555" s="58"/>
      <c r="L1555" s="60"/>
      <c r="M1555" s="59" t="str">
        <f>IFERROR(__xludf.DUMMYFUNCTION("iferror(filter('3.3.clean'!C:C,'3.3.clean'!A:A=C1555),"""")"),"")</f>
        <v/>
      </c>
      <c r="N1555" s="60" t="b">
        <f t="shared" si="1262"/>
        <v>0</v>
      </c>
      <c r="O1555" s="59" t="str">
        <f>IFERROR(__xludf.DUMMYFUNCTION("iferror(filter('3.4.clean'!C:C,'3.4.clean'!A:A=C1555),"""")"),"")</f>
        <v/>
      </c>
      <c r="P1555" s="60" t="b">
        <f t="shared" si="1263"/>
        <v>0</v>
      </c>
      <c r="Q1555" s="59" t="str">
        <f>IFERROR(__xludf.DUMMYFUNCTION("iferror(filter('3.5.clean'!C:C,'3.5.clean'!A:A=C1555),"""")"),"")</f>
        <v/>
      </c>
      <c r="R1555" s="58"/>
      <c r="S1555" s="4" t="str">
        <f>IFERROR(__xludf.DUMMYFUNCTION("iferror(filter('3.5.clean'!H:H,'3.5.clean'!A:A=C1555),"""")"),"")</f>
        <v/>
      </c>
      <c r="W1555" s="23" t="b">
        <f>if(AND(H1555=TRUE,N1555=TRUE,P1555=TRUE),TRUE,FALSE)</f>
        <v>0</v>
      </c>
      <c r="X1555" s="23" t="str">
        <f>IFERROR(__xludf.DUMMYFUNCTION("if(COUNTA(FILTER(C:C, C:C = C1555))=1,""no"",""yes"")"),"no")</f>
        <v>no</v>
      </c>
    </row>
    <row r="1556">
      <c r="A1556" s="75" t="s">
        <v>1045</v>
      </c>
      <c r="B1556" s="2">
        <v>6.0</v>
      </c>
      <c r="C1556" s="19" t="s">
        <v>2990</v>
      </c>
      <c r="D1556" s="58" t="str">
        <f t="shared" si="1266"/>
        <v/>
      </c>
      <c r="E1556" s="59">
        <f>Q1556</f>
        <v>43867</v>
      </c>
      <c r="F1556" s="60" t="str">
        <f>IFERROR(__xludf.DUMMYFUNCTION("iferror(ifna(IFNA(filter('2.1.clean'!E:E,'2.1.clean'!A:A=C1556),filter('2.2.clean'!G:G,'2.2.clean'!D:D=C1556)),filter('2.4.clean'!E:E,'2.4.clean'!A:A=C1556)),)"),"")</f>
        <v/>
      </c>
      <c r="G1556" s="59" t="str">
        <f>IFERROR(__xludf.DUMMYFUNCTION("iferror(filter('3.1.clean'!C:C,'3.1.clean'!A:A=C1556),"""")"),"")</f>
        <v/>
      </c>
      <c r="H1556" s="58"/>
      <c r="I1556" s="58" t="str">
        <f>IFERROR(__xludf.DUMMYFUNCTION("iferror(filter('3.1.clean'!G:G,'3.1.clean'!A:A=C1556),"""")"),"")</f>
        <v/>
      </c>
      <c r="J1556" s="60" t="str">
        <f>IFERROR(__xludf.DUMMYFUNCTION("iferror(filter('3.1.clean'!I:I,'3.1.clean'!A:A=C1556),"""")"),"")</f>
        <v/>
      </c>
      <c r="K1556" s="59"/>
      <c r="L1556" s="60"/>
      <c r="M1556" s="59" t="str">
        <f>IFERROR(__xludf.DUMMYFUNCTION("iferror(filter('3.3.clean'!C:C,'3.3.clean'!A:A=C1556),"""")"),"")</f>
        <v/>
      </c>
      <c r="N1556" s="60" t="b">
        <f t="shared" si="1262"/>
        <v>0</v>
      </c>
      <c r="O1556" s="59" t="str">
        <f>IFERROR(__xludf.DUMMYFUNCTION("iferror(filter('3.4.clean'!C:C,'3.4.clean'!A:A=C1556),"""")"),"")</f>
        <v/>
      </c>
      <c r="P1556" s="60" t="b">
        <f t="shared" si="1263"/>
        <v>0</v>
      </c>
      <c r="Q1556" s="59">
        <f>IFERROR(__xludf.DUMMYFUNCTION("iferror(filter('3.5.clean'!C:C,'3.5.clean'!A:A=C1556),"""")"),43867.0)</f>
        <v>43867</v>
      </c>
      <c r="R1556" s="58" t="b">
        <f t="shared" ref="R1556:R1557" si="1267">if(Q1556="",FALSE,TRUE)</f>
        <v>1</v>
      </c>
      <c r="S1556" s="4">
        <f>IFERROR(__xludf.DUMMYFUNCTION("iferror(filter('3.5.clean'!H:H,'3.5.clean'!A:A=C1556),"""")"),0.0)</f>
        <v>0</v>
      </c>
      <c r="V1556" s="52" t="s">
        <v>64</v>
      </c>
      <c r="W1556" s="23" t="b">
        <f>if(AND(R1556=TRUE,N1556=TRUE,P1556=TRUE),TRUE,FALSE)</f>
        <v>0</v>
      </c>
      <c r="X1556" s="23" t="str">
        <f>IFERROR(__xludf.DUMMYFUNCTION("if(COUNTA(FILTER(C:C, C:C = C1556))=1,""no"",""yes"")"),"no")</f>
        <v>no</v>
      </c>
    </row>
    <row r="1557">
      <c r="A1557" s="75" t="s">
        <v>1045</v>
      </c>
      <c r="B1557" s="2">
        <v>7.0</v>
      </c>
      <c r="C1557" s="19" t="s">
        <v>3001</v>
      </c>
      <c r="E1557" s="24">
        <f>IFERROR(__xludf.DUMMYFUNCTION("ifna(IFNA(filter('2.1.clean'!C:C,'2.1.clean'!A:A=C1557),filter('2.2.clean'!E:E,'2.2.clean'!D:D=C1557)),filter('2.4.clean'!C:C,'2.4.clean'!A:A=C1557))"),43867.0)</f>
        <v>43867</v>
      </c>
      <c r="F1557" s="25">
        <f>IFERROR(__xludf.DUMMYFUNCTION("iferror(ifna(IFNA(filter('2.1.clean'!E:E,'2.1.clean'!A:A=C1557),filter('2.2.clean'!G:G,'2.2.clean'!D:D=C1557)),filter('2.4.clean'!E:E,'2.4.clean'!A:A=C1557)),)"),2.39999999999999)</f>
        <v>2.4</v>
      </c>
      <c r="G1557" s="24"/>
      <c r="J1557" s="25"/>
      <c r="K1557" s="24"/>
      <c r="L1557" s="25"/>
      <c r="M1557" s="24">
        <f>IFERROR(__xludf.DUMMYFUNCTION("iferror(filter('3.3.clean'!C:C,'3.3.clean'!A:A=C1557),"""")"),43879.0)</f>
        <v>43879</v>
      </c>
      <c r="N1557" s="25" t="b">
        <f t="shared" si="1262"/>
        <v>1</v>
      </c>
      <c r="O1557" s="24">
        <f>IFERROR(__xludf.DUMMYFUNCTION("iferror(filter('3.4.clean'!C:C,'3.4.clean'!A:A=C1557),"""")"),43879.0)</f>
        <v>43879</v>
      </c>
      <c r="P1557" s="25" t="b">
        <f t="shared" si="1263"/>
        <v>1</v>
      </c>
      <c r="Q1557" s="24">
        <f>IFERROR(__xludf.DUMMYFUNCTION("iferror(filter('3.5.clean'!C:C,'3.5.clean'!A:A=C1557),"""")"),43867.0)</f>
        <v>43867</v>
      </c>
      <c r="R1557" s="23" t="b">
        <f t="shared" si="1267"/>
        <v>1</v>
      </c>
      <c r="S1557" s="25">
        <v>0.0</v>
      </c>
      <c r="V1557" s="52" t="s">
        <v>64</v>
      </c>
      <c r="W1557" s="23" t="b">
        <f>IF(and(R1557=TRUE,N1557=TRUE,P1557=TRUE),TRUE,FALSE)</f>
        <v>1</v>
      </c>
      <c r="X1557" s="23" t="str">
        <f>IFERROR(__xludf.DUMMYFUNCTION("if(COUNTA(FILTER(C:C, C:C = C1557))=1,""no"",""yes"")"),"no")</f>
        <v>no</v>
      </c>
    </row>
    <row r="1558">
      <c r="A1558" s="75" t="s">
        <v>1045</v>
      </c>
      <c r="B1558" s="2">
        <v>8.0</v>
      </c>
      <c r="C1558" s="19" t="s">
        <v>738</v>
      </c>
      <c r="D1558" s="58" t="str">
        <f t="shared" ref="D1558:D1559" si="1268">if(or(I1558=1,J1558=1,S1558=1),"pos","")</f>
        <v/>
      </c>
      <c r="E1558" s="59">
        <f>IFERROR(__xludf.DUMMYFUNCTION("ifna(IFNA(filter('2.1.clean'!C:C,'2.1.clean'!A:A=C1558),filter('2.2.clean'!E:E,'2.2.clean'!D:D=C1558)),filter('2.4.clean'!C:C,'2.4.clean'!A:A=C1558))"),43867.0)</f>
        <v>43867</v>
      </c>
      <c r="F1558" s="60">
        <f>IFERROR(__xludf.DUMMYFUNCTION("iferror(ifna(IFNA(filter('2.1.clean'!E:E,'2.1.clean'!A:A=C1558),filter('2.2.clean'!G:G,'2.2.clean'!D:D=C1558)),filter('2.4.clean'!E:E,'2.4.clean'!A:A=C1558)),)"),2.2)</f>
        <v>2.2</v>
      </c>
      <c r="G1558" s="59">
        <f>IFERROR(__xludf.DUMMYFUNCTION("iferror(filter('3.1.clean'!C:C,'3.1.clean'!A:A=C1558),"""")"),43867.0)</f>
        <v>43867</v>
      </c>
      <c r="H1558" s="58" t="b">
        <f>if(G1558="",FALSE,TRUE)</f>
        <v>1</v>
      </c>
      <c r="I1558" s="58">
        <f>IFERROR(__xludf.DUMMYFUNCTION("iferror(filter('3.1.clean'!G:G,'3.1.clean'!A:A=C1558),"""")"),0.0)</f>
        <v>0</v>
      </c>
      <c r="J1558" s="60" t="str">
        <f>IFERROR(__xludf.DUMMYFUNCTION("iferror(filter('3.1.clean'!I:I,'3.1.clean'!A:A=C1558),"""")"),"")</f>
        <v/>
      </c>
      <c r="K1558" s="58"/>
      <c r="L1558" s="60"/>
      <c r="M1558" s="59" t="str">
        <f>IFERROR(__xludf.DUMMYFUNCTION("iferror(filter('3.3.clean'!C:C,'3.3.clean'!A:A=C1558),"""")"),"")</f>
        <v/>
      </c>
      <c r="N1558" s="60" t="b">
        <f t="shared" si="1262"/>
        <v>0</v>
      </c>
      <c r="O1558" s="59" t="str">
        <f>IFERROR(__xludf.DUMMYFUNCTION("iferror(filter('3.4.clean'!C:C,'3.4.clean'!A:A=C1558),"""")"),"")</f>
        <v/>
      </c>
      <c r="P1558" s="60" t="b">
        <f t="shared" si="1263"/>
        <v>0</v>
      </c>
      <c r="Q1558" s="59" t="str">
        <f>IFERROR(__xludf.DUMMYFUNCTION("iferror(filter('3.5.clean'!C:C,'3.5.clean'!A:A=C1558),"""")"),"")</f>
        <v/>
      </c>
      <c r="R1558" s="58"/>
      <c r="S1558" s="4" t="str">
        <f>IFERROR(__xludf.DUMMYFUNCTION("iferror(filter('3.5.clean'!H:H,'3.5.clean'!A:A=C1558),"""")"),"")</f>
        <v/>
      </c>
      <c r="W1558" s="23" t="b">
        <f>if(AND(H1558=TRUE,N1558=TRUE,P1558=TRUE),TRUE,FALSE)</f>
        <v>0</v>
      </c>
      <c r="X1558" s="23" t="str">
        <f>IFERROR(__xludf.DUMMYFUNCTION("if(COUNTA(FILTER(C:C, C:C = C1558))=1,""no"",""yes"")"),"no")</f>
        <v>no</v>
      </c>
    </row>
    <row r="1559">
      <c r="A1559" s="75" t="s">
        <v>1045</v>
      </c>
      <c r="B1559" s="2">
        <v>9.0</v>
      </c>
      <c r="C1559" s="19" t="s">
        <v>3023</v>
      </c>
      <c r="D1559" s="58" t="str">
        <f t="shared" si="1268"/>
        <v/>
      </c>
      <c r="E1559" s="59">
        <f>Q1559</f>
        <v>43867</v>
      </c>
      <c r="F1559" s="60" t="str">
        <f>IFERROR(__xludf.DUMMYFUNCTION("iferror(ifna(IFNA(filter('2.1.clean'!E:E,'2.1.clean'!A:A=C1559),filter('2.2.clean'!G:G,'2.2.clean'!D:D=C1559)),filter('2.4.clean'!E:E,'2.4.clean'!A:A=C1559)),)"),"")</f>
        <v/>
      </c>
      <c r="G1559" s="59" t="str">
        <f>IFERROR(__xludf.DUMMYFUNCTION("iferror(filter('3.1.clean'!C:C,'3.1.clean'!A:A=C1559),"""")"),"")</f>
        <v/>
      </c>
      <c r="H1559" s="58"/>
      <c r="I1559" s="58" t="str">
        <f>IFERROR(__xludf.DUMMYFUNCTION("iferror(filter('3.1.clean'!G:G,'3.1.clean'!A:A=C1559),"""")"),"")</f>
        <v/>
      </c>
      <c r="J1559" s="60" t="str">
        <f>IFERROR(__xludf.DUMMYFUNCTION("iferror(filter('3.1.clean'!I:I,'3.1.clean'!A:A=C1559),"""")"),"")</f>
        <v/>
      </c>
      <c r="K1559" s="59"/>
      <c r="L1559" s="60"/>
      <c r="M1559" s="59" t="str">
        <f>IFERROR(__xludf.DUMMYFUNCTION("iferror(filter('3.3.clean'!C:C,'3.3.clean'!A:A=C1559),"""")"),"")</f>
        <v/>
      </c>
      <c r="N1559" s="60" t="b">
        <f t="shared" si="1262"/>
        <v>0</v>
      </c>
      <c r="O1559" s="59" t="str">
        <f>IFERROR(__xludf.DUMMYFUNCTION("iferror(filter('3.4.clean'!C:C,'3.4.clean'!A:A=C1559),"""")"),"")</f>
        <v/>
      </c>
      <c r="P1559" s="60" t="b">
        <f t="shared" si="1263"/>
        <v>0</v>
      </c>
      <c r="Q1559" s="59">
        <f>IFERROR(__xludf.DUMMYFUNCTION("iferror(filter('3.5.clean'!C:C,'3.5.clean'!A:A=C1559),"""")"),43867.0)</f>
        <v>43867</v>
      </c>
      <c r="R1559" s="58" t="b">
        <f t="shared" ref="R1559:R1560" si="1269">if(Q1559="",FALSE,TRUE)</f>
        <v>1</v>
      </c>
      <c r="S1559" s="4">
        <f>IFERROR(__xludf.DUMMYFUNCTION("iferror(filter('3.5.clean'!H:H,'3.5.clean'!A:A=C1559),"""")"),0.0)</f>
        <v>0</v>
      </c>
      <c r="V1559" s="52" t="s">
        <v>64</v>
      </c>
      <c r="W1559" s="23" t="b">
        <f>if(AND(R1559=TRUE,N1559=TRUE,P1559=TRUE),TRUE,FALSE)</f>
        <v>0</v>
      </c>
      <c r="X1559" s="23" t="str">
        <f>IFERROR(__xludf.DUMMYFUNCTION("if(COUNTA(FILTER(C:C, C:C = C1559))=1,""no"",""yes"")"),"no")</f>
        <v>no</v>
      </c>
    </row>
    <row r="1560">
      <c r="A1560" s="75" t="s">
        <v>1045</v>
      </c>
      <c r="B1560" s="2">
        <v>10.0</v>
      </c>
      <c r="C1560" s="19" t="s">
        <v>3037</v>
      </c>
      <c r="E1560" s="24">
        <f>IFERROR(__xludf.DUMMYFUNCTION("ifna(IFNA(filter('2.1.clean'!C:C,'2.1.clean'!A:A=C1560),filter('2.2.clean'!E:E,'2.2.clean'!D:D=C1560)),filter('2.4.clean'!C:C,'2.4.clean'!A:A=C1560))"),43867.0)</f>
        <v>43867</v>
      </c>
      <c r="F1560" s="25">
        <f>IFERROR(__xludf.DUMMYFUNCTION("iferror(ifna(IFNA(filter('2.1.clean'!E:E,'2.1.clean'!A:A=C1560),filter('2.2.clean'!G:G,'2.2.clean'!D:D=C1560)),filter('2.4.clean'!E:E,'2.4.clean'!A:A=C1560)),)"),2.39999999999999)</f>
        <v>2.4</v>
      </c>
      <c r="G1560" s="24">
        <f>IFERROR(__xludf.DUMMYFUNCTION("iferror(filter('3.1.clean'!C:C,'3.1.clean'!A:A=C1560),"""")"),43867.0)</f>
        <v>43867</v>
      </c>
      <c r="H1560" s="23" t="b">
        <f t="shared" ref="H1560:H1561" si="1270">if(G1560="",FALSE,TRUE)</f>
        <v>1</v>
      </c>
      <c r="J1560" s="25"/>
      <c r="K1560" s="24">
        <f>IFERROR(__xludf.DUMMYFUNCTION("iferror(filter('3.2.clean'!C:C,'3.2.clean'!A:A=C1560),"""")"),43867.0)</f>
        <v>43867</v>
      </c>
      <c r="L1560" s="25" t="b">
        <f>if(K1560="",FALSE,TRUE)</f>
        <v>1</v>
      </c>
      <c r="M1560" s="24">
        <f>IFERROR(__xludf.DUMMYFUNCTION("iferror(filter('3.3.clean'!C:C,'3.3.clean'!A:A=C1560),"""")"),43879.0)</f>
        <v>43879</v>
      </c>
      <c r="N1560" s="25" t="b">
        <f t="shared" si="1262"/>
        <v>1</v>
      </c>
      <c r="O1560" s="24">
        <f>IFERROR(__xludf.DUMMYFUNCTION("iferror(filter('3.4.clean'!C:C,'3.4.clean'!A:A=C1560),"""")"),43878.0)</f>
        <v>43878</v>
      </c>
      <c r="P1560" s="25" t="b">
        <f t="shared" si="1263"/>
        <v>1</v>
      </c>
      <c r="Q1560" s="24">
        <f>IFERROR(__xludf.DUMMYFUNCTION("iferror(filter('3.5.clean'!C:C,'3.5.clean'!A:A=C1560),"""")"),43867.0)</f>
        <v>43867</v>
      </c>
      <c r="R1560" s="23" t="b">
        <f t="shared" si="1269"/>
        <v>1</v>
      </c>
      <c r="S1560" s="25"/>
      <c r="U1560" s="23" t="s">
        <v>177</v>
      </c>
      <c r="V1560" s="1" t="s">
        <v>64</v>
      </c>
      <c r="X1560" s="23" t="str">
        <f>IFERROR(__xludf.DUMMYFUNCTION("if(COUNTA(FILTER(C:C, C:C = C1560))=1,""no"",""yes"")"),"no")</f>
        <v>no</v>
      </c>
    </row>
    <row r="1561">
      <c r="A1561" s="75" t="s">
        <v>1045</v>
      </c>
      <c r="B1561" s="2">
        <v>11.0</v>
      </c>
      <c r="C1561" s="19" t="s">
        <v>3050</v>
      </c>
      <c r="D1561" s="58" t="str">
        <f t="shared" ref="D1561:D1562" si="1271">if(or(I1561=1,J1561=1,S1561=1),"pos","")</f>
        <v/>
      </c>
      <c r="E1561" s="59">
        <f>IFERROR(__xludf.DUMMYFUNCTION("ifna(IFNA(filter('2.1.clean'!C:C,'2.1.clean'!A:A=C1561),filter('2.2.clean'!E:E,'2.2.clean'!D:D=C1561)),filter('2.4.clean'!C:C,'2.4.clean'!A:A=C1561))"),43867.0)</f>
        <v>43867</v>
      </c>
      <c r="F1561" s="60">
        <f>IFERROR(__xludf.DUMMYFUNCTION("iferror(ifna(IFNA(filter('2.1.clean'!E:E,'2.1.clean'!A:A=C1561),filter('2.2.clean'!G:G,'2.2.clean'!D:D=C1561)),filter('2.4.clean'!E:E,'2.4.clean'!A:A=C1561)),)"),2.39999999999999)</f>
        <v>2.4</v>
      </c>
      <c r="G1561" s="59">
        <f>IFERROR(__xludf.DUMMYFUNCTION("iferror(filter('3.1.clean'!C:C,'3.1.clean'!A:A=C1561),"""")"),43867.0)</f>
        <v>43867</v>
      </c>
      <c r="H1561" s="58" t="b">
        <f t="shared" si="1270"/>
        <v>1</v>
      </c>
      <c r="I1561" s="58">
        <f>IFERROR(__xludf.DUMMYFUNCTION("iferror(filter('3.1.clean'!G:G,'3.1.clean'!A:A=C1561),"""")"),0.0)</f>
        <v>0</v>
      </c>
      <c r="J1561" s="60" t="str">
        <f>IFERROR(__xludf.DUMMYFUNCTION("iferror(filter('3.1.clean'!I:I,'3.1.clean'!A:A=C1561),"""")"),"")</f>
        <v/>
      </c>
      <c r="K1561" s="58"/>
      <c r="L1561" s="60"/>
      <c r="M1561" s="59" t="str">
        <f>IFERROR(__xludf.DUMMYFUNCTION("iferror(filter('3.3.clean'!C:C,'3.3.clean'!A:A=C1561),"""")"),"")</f>
        <v/>
      </c>
      <c r="N1561" s="60" t="b">
        <f t="shared" si="1262"/>
        <v>0</v>
      </c>
      <c r="O1561" s="59" t="str">
        <f>IFERROR(__xludf.DUMMYFUNCTION("iferror(filter('3.4.clean'!C:C,'3.4.clean'!A:A=C1561),"""")"),"")</f>
        <v/>
      </c>
      <c r="P1561" s="60" t="b">
        <f t="shared" si="1263"/>
        <v>0</v>
      </c>
      <c r="Q1561" s="59" t="str">
        <f>IFERROR(__xludf.DUMMYFUNCTION("iferror(filter('3.5.clean'!C:C,'3.5.clean'!A:A=C1561),"""")"),"")</f>
        <v/>
      </c>
      <c r="R1561" s="58"/>
      <c r="S1561" s="4" t="str">
        <f>IFERROR(__xludf.DUMMYFUNCTION("iferror(filter('3.5.clean'!H:H,'3.5.clean'!A:A=C1561),"""")"),"")</f>
        <v/>
      </c>
      <c r="W1561" s="23" t="b">
        <f>if(AND(H1561=TRUE,N1561=TRUE,P1561=TRUE),TRUE,FALSE)</f>
        <v>0</v>
      </c>
      <c r="X1561" s="23" t="str">
        <f>IFERROR(__xludf.DUMMYFUNCTION("if(COUNTA(FILTER(C:C, C:C = C1561))=1,""no"",""yes"")"),"no")</f>
        <v>no</v>
      </c>
    </row>
    <row r="1562">
      <c r="A1562" s="75" t="s">
        <v>1045</v>
      </c>
      <c r="B1562" s="2">
        <v>12.0</v>
      </c>
      <c r="C1562" s="19" t="s">
        <v>3068</v>
      </c>
      <c r="D1562" s="58" t="str">
        <f t="shared" si="1271"/>
        <v>pos</v>
      </c>
      <c r="E1562" s="59">
        <f>Q1562</f>
        <v>43867</v>
      </c>
      <c r="F1562" s="60" t="str">
        <f>IFERROR(__xludf.DUMMYFUNCTION("iferror(ifna(IFNA(filter('2.1.clean'!E:E,'2.1.clean'!A:A=C1562),filter('2.2.clean'!G:G,'2.2.clean'!D:D=C1562)),filter('2.4.clean'!E:E,'2.4.clean'!A:A=C1562)),)"),"")</f>
        <v/>
      </c>
      <c r="G1562" s="59" t="str">
        <f>IFERROR(__xludf.DUMMYFUNCTION("iferror(filter('3.1.clean'!C:C,'3.1.clean'!A:A=C1562),"""")"),"")</f>
        <v/>
      </c>
      <c r="H1562" s="58"/>
      <c r="I1562" s="58" t="str">
        <f>IFERROR(__xludf.DUMMYFUNCTION("iferror(filter('3.1.clean'!G:G,'3.1.clean'!A:A=C1562),"""")"),"")</f>
        <v/>
      </c>
      <c r="J1562" s="60" t="str">
        <f>IFERROR(__xludf.DUMMYFUNCTION("iferror(filter('3.1.clean'!I:I,'3.1.clean'!A:A=C1562),"""")"),"")</f>
        <v/>
      </c>
      <c r="K1562" s="59"/>
      <c r="L1562" s="60"/>
      <c r="M1562" s="59" t="str">
        <f>IFERROR(__xludf.DUMMYFUNCTION("iferror(filter('3.3.clean'!C:C,'3.3.clean'!A:A=C1562),"""")"),"")</f>
        <v/>
      </c>
      <c r="N1562" s="60" t="b">
        <f t="shared" si="1262"/>
        <v>0</v>
      </c>
      <c r="O1562" s="59" t="str">
        <f>IFERROR(__xludf.DUMMYFUNCTION("iferror(filter('3.4.clean'!C:C,'3.4.clean'!A:A=C1562),"""")"),"")</f>
        <v/>
      </c>
      <c r="P1562" s="60" t="b">
        <f t="shared" si="1263"/>
        <v>0</v>
      </c>
      <c r="Q1562" s="59">
        <f>IFERROR(__xludf.DUMMYFUNCTION("iferror(filter('3.5.clean'!C:C,'3.5.clean'!A:A=C1562),"""")"),43867.0)</f>
        <v>43867</v>
      </c>
      <c r="R1562" s="58" t="b">
        <f>if(Q1562="",FALSE,TRUE)</f>
        <v>1</v>
      </c>
      <c r="S1562" s="4">
        <f>IFERROR(__xludf.DUMMYFUNCTION("iferror(filter('3.5.clean'!H:H,'3.5.clean'!A:A=C1562),"""")"),1.0)</f>
        <v>1</v>
      </c>
      <c r="V1562" s="52" t="s">
        <v>64</v>
      </c>
      <c r="W1562" s="23" t="b">
        <f>if(AND(R1562=TRUE,N1562=TRUE,P1562=TRUE),TRUE,FALSE)</f>
        <v>0</v>
      </c>
      <c r="X1562" s="23" t="str">
        <f>IFERROR(__xludf.DUMMYFUNCTION("if(COUNTA(FILTER(C:C, C:C = C1562))=1,""no"",""yes"")"),"no")</f>
        <v>no</v>
      </c>
    </row>
    <row r="1563">
      <c r="A1563" s="75" t="s">
        <v>1045</v>
      </c>
      <c r="B1563" s="2">
        <v>13.0</v>
      </c>
      <c r="C1563" s="69" t="s">
        <v>740</v>
      </c>
      <c r="E1563" s="24">
        <f>IFERROR(__xludf.DUMMYFUNCTION("ifna(IFNA(filter('2.1.clean'!C:C,'2.1.clean'!A:A=C1563),filter('2.2.clean'!E:E,'2.2.clean'!D:D=C1563)),filter('2.4.clean'!C:C,'2.4.clean'!A:A=C1563))"),43867.0)</f>
        <v>43867</v>
      </c>
      <c r="F1563" s="25">
        <f>IFERROR(__xludf.DUMMYFUNCTION("iferror(ifna(IFNA(filter('2.1.clean'!E:E,'2.1.clean'!A:A=C1563),filter('2.2.clean'!G:G,'2.2.clean'!D:D=C1563)),filter('2.4.clean'!E:E,'2.4.clean'!A:A=C1563)),)"),2.2)</f>
        <v>2.2</v>
      </c>
      <c r="G1563" s="24">
        <f>IFERROR(__xludf.DUMMYFUNCTION("iferror(filter('3.1.clean'!C:C,'3.1.clean'!A:A=C1563),"""")"),43867.0)</f>
        <v>43867</v>
      </c>
      <c r="H1563" s="23" t="b">
        <f t="shared" ref="H1563:H1567" si="1272">if(G1563="",FALSE,TRUE)</f>
        <v>1</v>
      </c>
      <c r="J1563" s="25"/>
      <c r="K1563" s="24">
        <f>IFERROR(__xludf.DUMMYFUNCTION("iferror(filter('3.2.clean'!C:C,'3.2.clean'!A:A=C1563),"""")"),43867.0)</f>
        <v>43867</v>
      </c>
      <c r="L1563" s="25" t="b">
        <f t="shared" ref="L1563:L1566" si="1273">if(K1563="",FALSE,TRUE)</f>
        <v>1</v>
      </c>
      <c r="M1563" s="24">
        <f>IFERROR(__xludf.DUMMYFUNCTION("iferror(filter('3.3.clean'!C:C,'3.3.clean'!A:A=C1563),"""")"),43878.0)</f>
        <v>43878</v>
      </c>
      <c r="N1563" s="25" t="b">
        <f t="shared" si="1262"/>
        <v>1</v>
      </c>
      <c r="O1563" s="24">
        <f>IFERROR(__xludf.DUMMYFUNCTION("iferror(filter('3.4.clean'!C:C,'3.4.clean'!A:A=C1563),"""")"),43878.0)</f>
        <v>43878</v>
      </c>
      <c r="P1563" s="25" t="b">
        <f t="shared" si="1263"/>
        <v>1</v>
      </c>
      <c r="Q1563" s="24" t="str">
        <f>IFERROR(__xludf.DUMMYFUNCTION("iferror(filter('3.5.clean'!C:C,'3.5.clean'!A:A=C1563),"""")"),"")</f>
        <v/>
      </c>
      <c r="S1563" s="25"/>
      <c r="W1563" s="23" t="b">
        <f t="shared" ref="W1563:W1566" si="1274">IF(and(H1563=TRUE,L1563=TRUE,N1563=TRUE,P1563=TRUE),TRUE,FALSE)</f>
        <v>1</v>
      </c>
      <c r="X1563" s="23" t="str">
        <f>IFERROR(__xludf.DUMMYFUNCTION("if(COUNTA(FILTER(C:C, C:C = C1563))=1,""no"",""yes"")"),"no")</f>
        <v>no</v>
      </c>
    </row>
    <row r="1564">
      <c r="A1564" s="75" t="s">
        <v>1045</v>
      </c>
      <c r="B1564" s="2">
        <v>14.0</v>
      </c>
      <c r="C1564" s="69" t="s">
        <v>743</v>
      </c>
      <c r="E1564" s="24">
        <f>IFERROR(__xludf.DUMMYFUNCTION("ifna(IFNA(filter('2.1.clean'!C:C,'2.1.clean'!A:A=C1564),filter('2.2.clean'!E:E,'2.2.clean'!D:D=C1564)),filter('2.4.clean'!C:C,'2.4.clean'!A:A=C1564))"),43867.0)</f>
        <v>43867</v>
      </c>
      <c r="F1564" s="25">
        <f>IFERROR(__xludf.DUMMYFUNCTION("iferror(ifna(IFNA(filter('2.1.clean'!E:E,'2.1.clean'!A:A=C1564),filter('2.2.clean'!G:G,'2.2.clean'!D:D=C1564)),filter('2.4.clean'!E:E,'2.4.clean'!A:A=C1564)),)"),2.2)</f>
        <v>2.2</v>
      </c>
      <c r="G1564" s="24">
        <f>IFERROR(__xludf.DUMMYFUNCTION("iferror(filter('3.1.clean'!C:C,'3.1.clean'!A:A=C1564),"""")"),43867.0)</f>
        <v>43867</v>
      </c>
      <c r="H1564" s="23" t="b">
        <f t="shared" si="1272"/>
        <v>1</v>
      </c>
      <c r="J1564" s="25"/>
      <c r="K1564" s="24">
        <f>IFERROR(__xludf.DUMMYFUNCTION("iferror(filter('3.2.clean'!C:C,'3.2.clean'!A:A=C1564),"""")"),43867.0)</f>
        <v>43867</v>
      </c>
      <c r="L1564" s="25" t="b">
        <f t="shared" si="1273"/>
        <v>1</v>
      </c>
      <c r="M1564" s="24">
        <f>IFERROR(__xludf.DUMMYFUNCTION("iferror(filter('3.3.clean'!C:C,'3.3.clean'!A:A=C1564),"""")"),43878.0)</f>
        <v>43878</v>
      </c>
      <c r="N1564" s="25" t="b">
        <f t="shared" si="1262"/>
        <v>1</v>
      </c>
      <c r="O1564" s="24">
        <f>IFERROR(__xludf.DUMMYFUNCTION("iferror(filter('3.4.clean'!C:C,'3.4.clean'!A:A=C1564),"""")"),43878.0)</f>
        <v>43878</v>
      </c>
      <c r="P1564" s="25" t="b">
        <f t="shared" si="1263"/>
        <v>1</v>
      </c>
      <c r="Q1564" s="24" t="str">
        <f>IFERROR(__xludf.DUMMYFUNCTION("iferror(filter('3.5.clean'!C:C,'3.5.clean'!A:A=C1564),"""")"),"")</f>
        <v/>
      </c>
      <c r="S1564" s="25"/>
      <c r="W1564" s="23" t="b">
        <f t="shared" si="1274"/>
        <v>1</v>
      </c>
      <c r="X1564" s="23" t="str">
        <f>IFERROR(__xludf.DUMMYFUNCTION("if(COUNTA(FILTER(C:C, C:C = C1564))=1,""no"",""yes"")"),"no")</f>
        <v>no</v>
      </c>
    </row>
    <row r="1565">
      <c r="A1565" s="75" t="s">
        <v>1045</v>
      </c>
      <c r="B1565" s="2">
        <v>15.0</v>
      </c>
      <c r="C1565" s="69" t="s">
        <v>745</v>
      </c>
      <c r="E1565" s="24">
        <f>IFERROR(__xludf.DUMMYFUNCTION("ifna(IFNA(filter('2.1.clean'!C:C,'2.1.clean'!A:A=C1565),filter('2.2.clean'!E:E,'2.2.clean'!D:D=C1565)),filter('2.4.clean'!C:C,'2.4.clean'!A:A=C1565))"),43867.0)</f>
        <v>43867</v>
      </c>
      <c r="F1565" s="25">
        <f>IFERROR(__xludf.DUMMYFUNCTION("iferror(ifna(IFNA(filter('2.1.clean'!E:E,'2.1.clean'!A:A=C1565),filter('2.2.clean'!G:G,'2.2.clean'!D:D=C1565)),filter('2.4.clean'!E:E,'2.4.clean'!A:A=C1565)),)"),2.2)</f>
        <v>2.2</v>
      </c>
      <c r="G1565" s="24">
        <f>IFERROR(__xludf.DUMMYFUNCTION("iferror(filter('3.1.clean'!C:C,'3.1.clean'!A:A=C1565),"""")"),43867.0)</f>
        <v>43867</v>
      </c>
      <c r="H1565" s="23" t="b">
        <f t="shared" si="1272"/>
        <v>1</v>
      </c>
      <c r="J1565" s="25"/>
      <c r="K1565" s="24">
        <f>IFERROR(__xludf.DUMMYFUNCTION("iferror(filter('3.2.clean'!C:C,'3.2.clean'!A:A=C1565),"""")"),43867.0)</f>
        <v>43867</v>
      </c>
      <c r="L1565" s="25" t="b">
        <f t="shared" si="1273"/>
        <v>1</v>
      </c>
      <c r="M1565" s="24">
        <f>IFERROR(__xludf.DUMMYFUNCTION("iferror(filter('3.3.clean'!C:C,'3.3.clean'!A:A=C1565),"""")"),43878.0)</f>
        <v>43878</v>
      </c>
      <c r="N1565" s="25" t="b">
        <f t="shared" si="1262"/>
        <v>1</v>
      </c>
      <c r="O1565" s="24">
        <f>IFERROR(__xludf.DUMMYFUNCTION("iferror(filter('3.4.clean'!C:C,'3.4.clean'!A:A=C1565),"""")"),43878.0)</f>
        <v>43878</v>
      </c>
      <c r="P1565" s="25" t="b">
        <f t="shared" si="1263"/>
        <v>1</v>
      </c>
      <c r="Q1565" s="24" t="str">
        <f>IFERROR(__xludf.DUMMYFUNCTION("iferror(filter('3.5.clean'!C:C,'3.5.clean'!A:A=C1565),"""")"),"")</f>
        <v/>
      </c>
      <c r="S1565" s="25"/>
      <c r="W1565" s="23" t="b">
        <f t="shared" si="1274"/>
        <v>1</v>
      </c>
      <c r="X1565" s="23" t="str">
        <f>IFERROR(__xludf.DUMMYFUNCTION("if(COUNTA(FILTER(C:C, C:C = C1565))=1,""no"",""yes"")"),"no")</f>
        <v>no</v>
      </c>
    </row>
    <row r="1566">
      <c r="A1566" s="75" t="s">
        <v>1045</v>
      </c>
      <c r="B1566" s="2">
        <v>16.0</v>
      </c>
      <c r="C1566" s="69" t="s">
        <v>746</v>
      </c>
      <c r="E1566" s="24">
        <f>IFERROR(__xludf.DUMMYFUNCTION("ifna(IFNA(filter('2.1.clean'!C:C,'2.1.clean'!A:A=C1566),filter('2.2.clean'!E:E,'2.2.clean'!D:D=C1566)),filter('2.4.clean'!C:C,'2.4.clean'!A:A=C1566))"),43867.0)</f>
        <v>43867</v>
      </c>
      <c r="F1566" s="25">
        <f>IFERROR(__xludf.DUMMYFUNCTION("iferror(ifna(IFNA(filter('2.1.clean'!E:E,'2.1.clean'!A:A=C1566),filter('2.2.clean'!G:G,'2.2.clean'!D:D=C1566)),filter('2.4.clean'!E:E,'2.4.clean'!A:A=C1566)),)"),2.2)</f>
        <v>2.2</v>
      </c>
      <c r="G1566" s="24">
        <f>IFERROR(__xludf.DUMMYFUNCTION("iferror(filter('3.1.clean'!C:C,'3.1.clean'!A:A=C1566),"""")"),43867.0)</f>
        <v>43867</v>
      </c>
      <c r="H1566" s="23" t="b">
        <f t="shared" si="1272"/>
        <v>1</v>
      </c>
      <c r="J1566" s="25"/>
      <c r="K1566" s="24">
        <f>IFERROR(__xludf.DUMMYFUNCTION("iferror(filter('3.2.clean'!C:C,'3.2.clean'!A:A=C1566),"""")"),43867.0)</f>
        <v>43867</v>
      </c>
      <c r="L1566" s="25" t="b">
        <f t="shared" si="1273"/>
        <v>1</v>
      </c>
      <c r="M1566" s="24">
        <f>IFERROR(__xludf.DUMMYFUNCTION("iferror(filter('3.3.clean'!C:C,'3.3.clean'!A:A=C1566),"""")"),43878.0)</f>
        <v>43878</v>
      </c>
      <c r="N1566" s="25" t="b">
        <f t="shared" si="1262"/>
        <v>1</v>
      </c>
      <c r="O1566" s="24">
        <f>IFERROR(__xludf.DUMMYFUNCTION("iferror(filter('3.4.clean'!C:C,'3.4.clean'!A:A=C1566),"""")"),43878.0)</f>
        <v>43878</v>
      </c>
      <c r="P1566" s="25" t="b">
        <f t="shared" si="1263"/>
        <v>1</v>
      </c>
      <c r="Q1566" s="24" t="str">
        <f>IFERROR(__xludf.DUMMYFUNCTION("iferror(filter('3.5.clean'!C:C,'3.5.clean'!A:A=C1566),"""")"),"")</f>
        <v/>
      </c>
      <c r="S1566" s="25"/>
      <c r="W1566" s="23" t="b">
        <f t="shared" si="1274"/>
        <v>1</v>
      </c>
      <c r="X1566" s="23" t="str">
        <f>IFERROR(__xludf.DUMMYFUNCTION("if(COUNTA(FILTER(C:C, C:C = C1566))=1,""no"",""yes"")"),"no")</f>
        <v>no</v>
      </c>
    </row>
    <row r="1567">
      <c r="A1567" s="75" t="s">
        <v>1045</v>
      </c>
      <c r="B1567" s="2">
        <v>17.0</v>
      </c>
      <c r="C1567" s="19" t="s">
        <v>748</v>
      </c>
      <c r="D1567" s="58" t="str">
        <f t="shared" ref="D1567:D1568" si="1275">if(or(I1567=1,J1567=1,S1567=1),"pos","")</f>
        <v/>
      </c>
      <c r="E1567" s="59">
        <f>IFERROR(__xludf.DUMMYFUNCTION("ifna(IFNA(filter('2.1.clean'!C:C,'2.1.clean'!A:A=C1567),filter('2.2.clean'!E:E,'2.2.clean'!D:D=C1567)),filter('2.4.clean'!C:C,'2.4.clean'!A:A=C1567))"),43867.0)</f>
        <v>43867</v>
      </c>
      <c r="F1567" s="60">
        <f>IFERROR(__xludf.DUMMYFUNCTION("iferror(ifna(IFNA(filter('2.1.clean'!E:E,'2.1.clean'!A:A=C1567),filter('2.2.clean'!G:G,'2.2.clean'!D:D=C1567)),filter('2.4.clean'!E:E,'2.4.clean'!A:A=C1567)),)"),2.2)</f>
        <v>2.2</v>
      </c>
      <c r="G1567" s="59">
        <f>IFERROR(__xludf.DUMMYFUNCTION("iferror(filter('3.1.clean'!C:C,'3.1.clean'!A:A=C1567),"""")"),43867.0)</f>
        <v>43867</v>
      </c>
      <c r="H1567" s="58" t="b">
        <f t="shared" si="1272"/>
        <v>1</v>
      </c>
      <c r="I1567" s="58">
        <f>IFERROR(__xludf.DUMMYFUNCTION("iferror(filter('3.1.clean'!G:G,'3.1.clean'!A:A=C1567),"""")"),0.0)</f>
        <v>0</v>
      </c>
      <c r="J1567" s="60" t="str">
        <f>IFERROR(__xludf.DUMMYFUNCTION("iferror(filter('3.1.clean'!I:I,'3.1.clean'!A:A=C1567),"""")"),"")</f>
        <v/>
      </c>
      <c r="K1567" s="58"/>
      <c r="L1567" s="60"/>
      <c r="M1567" s="59" t="str">
        <f>IFERROR(__xludf.DUMMYFUNCTION("iferror(filter('3.3.clean'!C:C,'3.3.clean'!A:A=C1567),"""")"),"")</f>
        <v/>
      </c>
      <c r="N1567" s="60" t="b">
        <f t="shared" si="1262"/>
        <v>0</v>
      </c>
      <c r="O1567" s="59" t="str">
        <f>IFERROR(__xludf.DUMMYFUNCTION("iferror(filter('3.4.clean'!C:C,'3.4.clean'!A:A=C1567),"""")"),"")</f>
        <v/>
      </c>
      <c r="P1567" s="60" t="b">
        <f t="shared" si="1263"/>
        <v>0</v>
      </c>
      <c r="Q1567" s="59" t="str">
        <f>IFERROR(__xludf.DUMMYFUNCTION("iferror(filter('3.5.clean'!C:C,'3.5.clean'!A:A=C1567),"""")"),"")</f>
        <v/>
      </c>
      <c r="R1567" s="58"/>
      <c r="S1567" s="4" t="str">
        <f>IFERROR(__xludf.DUMMYFUNCTION("iferror(filter('3.5.clean'!H:H,'3.5.clean'!A:A=C1567),"""")"),"")</f>
        <v/>
      </c>
      <c r="W1567" s="23" t="b">
        <f>if(AND(H1567=TRUE,N1567=TRUE,P1567=TRUE),TRUE,FALSE)</f>
        <v>0</v>
      </c>
      <c r="X1567" s="23" t="str">
        <f>IFERROR(__xludf.DUMMYFUNCTION("if(COUNTA(FILTER(C:C, C:C = C1567))=1,""no"",""yes"")"),"no")</f>
        <v>no</v>
      </c>
    </row>
    <row r="1568">
      <c r="A1568" s="75" t="s">
        <v>1045</v>
      </c>
      <c r="B1568" s="2">
        <v>18.0</v>
      </c>
      <c r="C1568" s="2" t="s">
        <v>336</v>
      </c>
      <c r="D1568" s="58" t="str">
        <f t="shared" si="1275"/>
        <v/>
      </c>
      <c r="E1568" s="59">
        <f>Q1568</f>
        <v>43867</v>
      </c>
      <c r="F1568" s="60" t="str">
        <f>IFERROR(__xludf.DUMMYFUNCTION("iferror(ifna(IFNA(filter('2.1.clean'!E:E,'2.1.clean'!A:A=C1568),filter('2.2.clean'!G:G,'2.2.clean'!D:D=C1568)),filter('2.4.clean'!E:E,'2.4.clean'!A:A=C1568)),)"),"")</f>
        <v/>
      </c>
      <c r="G1568" s="59" t="str">
        <f>IFERROR(__xludf.DUMMYFUNCTION("iferror(filter('3.1.clean'!C:C,'3.1.clean'!A:A=C1568),"""")"),"")</f>
        <v/>
      </c>
      <c r="H1568" s="58"/>
      <c r="I1568" s="58" t="str">
        <f>IFERROR(__xludf.DUMMYFUNCTION("iferror(filter('3.1.clean'!G:G,'3.1.clean'!A:A=C1568),"""")"),"")</f>
        <v/>
      </c>
      <c r="J1568" s="60" t="str">
        <f>IFERROR(__xludf.DUMMYFUNCTION("iferror(filter('3.1.clean'!I:I,'3.1.clean'!A:A=C1568),"""")"),"")</f>
        <v/>
      </c>
      <c r="K1568" s="59"/>
      <c r="L1568" s="60"/>
      <c r="M1568" s="59" t="str">
        <f>IFERROR(__xludf.DUMMYFUNCTION("iferror(filter('3.3.clean'!C:C,'3.3.clean'!A:A=C1568),"""")"),"")</f>
        <v/>
      </c>
      <c r="N1568" s="60" t="b">
        <f t="shared" si="1262"/>
        <v>0</v>
      </c>
      <c r="O1568" s="59" t="str">
        <f>IFERROR(__xludf.DUMMYFUNCTION("iferror(filter('3.4.clean'!C:C,'3.4.clean'!A:A=C1568),"""")"),"")</f>
        <v/>
      </c>
      <c r="P1568" s="60" t="b">
        <f t="shared" si="1263"/>
        <v>0</v>
      </c>
      <c r="Q1568" s="59">
        <f>IFERROR(__xludf.DUMMYFUNCTION("iferror(filter('3.5.clean'!C:C,'3.5.clean'!A:A=C1568),"""")"),43867.0)</f>
        <v>43867</v>
      </c>
      <c r="R1568" s="58" t="b">
        <f>if(Q1568="",FALSE,TRUE)</f>
        <v>1</v>
      </c>
      <c r="S1568" s="4">
        <f>IFERROR(__xludf.DUMMYFUNCTION("iferror(filter('3.5.clean'!H:H,'3.5.clean'!A:A=C1568),"""")"),0.0)</f>
        <v>0</v>
      </c>
      <c r="V1568" s="52" t="s">
        <v>64</v>
      </c>
      <c r="W1568" s="23" t="b">
        <f>if(AND(R1568=TRUE,N1568=TRUE,P1568=TRUE),TRUE,FALSE)</f>
        <v>0</v>
      </c>
      <c r="X1568" s="23" t="str">
        <f>IFERROR(__xludf.DUMMYFUNCTION("if(COUNTA(FILTER(C:C, C:C = C1568))=1,""no"",""yes"")"),"no")</f>
        <v>no</v>
      </c>
    </row>
    <row r="1569">
      <c r="A1569" s="75" t="s">
        <v>1045</v>
      </c>
      <c r="B1569" s="2">
        <v>19.0</v>
      </c>
      <c r="C1569" s="19" t="s">
        <v>731</v>
      </c>
      <c r="E1569" s="24">
        <f>IFERROR(__xludf.DUMMYFUNCTION("ifna(IFNA(filter('2.1.clean'!C:C,'2.1.clean'!A:A=C1569),filter('2.2.clean'!E:E,'2.2.clean'!D:D=C1569)),filter('2.4.clean'!C:C,'2.4.clean'!A:A=C1569))"),43867.0)</f>
        <v>43867</v>
      </c>
      <c r="F1569" s="25">
        <f>IFERROR(__xludf.DUMMYFUNCTION("iferror(ifna(IFNA(filter('2.1.clean'!E:E,'2.1.clean'!A:A=C1569),filter('2.2.clean'!G:G,'2.2.clean'!D:D=C1569)),filter('2.4.clean'!E:E,'2.4.clean'!A:A=C1569)),)"),2.2)</f>
        <v>2.2</v>
      </c>
      <c r="G1569" s="24">
        <f>IFERROR(__xludf.DUMMYFUNCTION("iferror(filter('3.1.clean'!C:C,'3.1.clean'!A:A=C1569),"""")"),43867.0)</f>
        <v>43867</v>
      </c>
      <c r="H1569" s="23" t="b">
        <f t="shared" ref="H1569:H1573" si="1276">if(G1569="",FALSE,TRUE)</f>
        <v>1</v>
      </c>
      <c r="J1569" s="25"/>
      <c r="K1569" s="24">
        <f>IFERROR(__xludf.DUMMYFUNCTION("iferror(filter('3.2.clean'!C:C,'3.2.clean'!A:A=C1569),"""")"),43867.0)</f>
        <v>43867</v>
      </c>
      <c r="L1569" s="25" t="b">
        <f t="shared" ref="L1569:L1572" si="1277">if(K1569="",FALSE,TRUE)</f>
        <v>1</v>
      </c>
      <c r="M1569" s="24">
        <f>IFERROR(__xludf.DUMMYFUNCTION("iferror(filter('3.3.clean'!C:C,'3.3.clean'!A:A=C1569),"""")"),43878.0)</f>
        <v>43878</v>
      </c>
      <c r="N1569" s="25" t="b">
        <f t="shared" si="1262"/>
        <v>1</v>
      </c>
      <c r="O1569" s="24">
        <f>IFERROR(__xludf.DUMMYFUNCTION("iferror(filter('3.4.clean'!C:C,'3.4.clean'!A:A=C1569),"""")"),43878.0)</f>
        <v>43878</v>
      </c>
      <c r="P1569" s="25" t="b">
        <f t="shared" si="1263"/>
        <v>1</v>
      </c>
      <c r="Q1569" s="24" t="str">
        <f>IFERROR(__xludf.DUMMYFUNCTION("iferror(filter('3.5.clean'!C:C,'3.5.clean'!A:A=C1569),"""")"),"")</f>
        <v/>
      </c>
      <c r="S1569" s="25"/>
      <c r="W1569" s="23" t="b">
        <f t="shared" ref="W1569:W1572" si="1278">IF(and(H1569=TRUE,L1569=TRUE,N1569=TRUE,P1569=TRUE),TRUE,FALSE)</f>
        <v>1</v>
      </c>
      <c r="X1569" s="23" t="str">
        <f>IFERROR(__xludf.DUMMYFUNCTION("if(COUNTA(FILTER(C:C, C:C = C1569))=1,""no"",""yes"")"),"no")</f>
        <v>no</v>
      </c>
    </row>
    <row r="1570">
      <c r="A1570" s="75" t="s">
        <v>1045</v>
      </c>
      <c r="B1570" s="2">
        <v>20.0</v>
      </c>
      <c r="C1570" s="19" t="s">
        <v>733</v>
      </c>
      <c r="E1570" s="24">
        <f>IFERROR(__xludf.DUMMYFUNCTION("ifna(IFNA(filter('2.1.clean'!C:C,'2.1.clean'!A:A=C1570),filter('2.2.clean'!E:E,'2.2.clean'!D:D=C1570)),filter('2.4.clean'!C:C,'2.4.clean'!A:A=C1570))"),43867.0)</f>
        <v>43867</v>
      </c>
      <c r="F1570" s="25">
        <f>IFERROR(__xludf.DUMMYFUNCTION("iferror(ifna(IFNA(filter('2.1.clean'!E:E,'2.1.clean'!A:A=C1570),filter('2.2.clean'!G:G,'2.2.clean'!D:D=C1570)),filter('2.4.clean'!E:E,'2.4.clean'!A:A=C1570)),)"),2.2)</f>
        <v>2.2</v>
      </c>
      <c r="G1570" s="24">
        <f>IFERROR(__xludf.DUMMYFUNCTION("iferror(filter('3.1.clean'!C:C,'3.1.clean'!A:A=C1570),"""")"),43867.0)</f>
        <v>43867</v>
      </c>
      <c r="H1570" s="23" t="b">
        <f t="shared" si="1276"/>
        <v>1</v>
      </c>
      <c r="J1570" s="25"/>
      <c r="K1570" s="24">
        <f>IFERROR(__xludf.DUMMYFUNCTION("iferror(filter('3.2.clean'!C:C,'3.2.clean'!A:A=C1570),"""")"),43867.0)</f>
        <v>43867</v>
      </c>
      <c r="L1570" s="25" t="b">
        <f t="shared" si="1277"/>
        <v>1</v>
      </c>
      <c r="M1570" s="24">
        <f>IFERROR(__xludf.DUMMYFUNCTION("iferror(filter('3.3.clean'!C:C,'3.3.clean'!A:A=C1570),"""")"),43878.0)</f>
        <v>43878</v>
      </c>
      <c r="N1570" s="25" t="b">
        <f t="shared" si="1262"/>
        <v>1</v>
      </c>
      <c r="O1570" s="24">
        <f>IFERROR(__xludf.DUMMYFUNCTION("iferror(filter('3.4.clean'!C:C,'3.4.clean'!A:A=C1570),"""")"),43878.0)</f>
        <v>43878</v>
      </c>
      <c r="P1570" s="25" t="b">
        <f t="shared" si="1263"/>
        <v>1</v>
      </c>
      <c r="Q1570" s="24" t="str">
        <f>IFERROR(__xludf.DUMMYFUNCTION("iferror(filter('3.5.clean'!C:C,'3.5.clean'!A:A=C1570),"""")"),"")</f>
        <v/>
      </c>
      <c r="S1570" s="25"/>
      <c r="W1570" s="23" t="b">
        <f t="shared" si="1278"/>
        <v>1</v>
      </c>
      <c r="X1570" s="23" t="str">
        <f>IFERROR(__xludf.DUMMYFUNCTION("if(COUNTA(FILTER(C:C, C:C = C1570))=1,""no"",""yes"")"),"no")</f>
        <v>no</v>
      </c>
    </row>
    <row r="1571">
      <c r="A1571" s="75" t="s">
        <v>1045</v>
      </c>
      <c r="B1571" s="2">
        <v>21.0</v>
      </c>
      <c r="C1571" s="19" t="s">
        <v>734</v>
      </c>
      <c r="E1571" s="24">
        <f>IFERROR(__xludf.DUMMYFUNCTION("ifna(IFNA(filter('2.1.clean'!C:C,'2.1.clean'!A:A=C1571),filter('2.2.clean'!E:E,'2.2.clean'!D:D=C1571)),filter('2.4.clean'!C:C,'2.4.clean'!A:A=C1571))"),43867.0)</f>
        <v>43867</v>
      </c>
      <c r="F1571" s="25">
        <f>IFERROR(__xludf.DUMMYFUNCTION("iferror(ifna(IFNA(filter('2.1.clean'!E:E,'2.1.clean'!A:A=C1571),filter('2.2.clean'!G:G,'2.2.clean'!D:D=C1571)),filter('2.4.clean'!E:E,'2.4.clean'!A:A=C1571)),)"),2.2)</f>
        <v>2.2</v>
      </c>
      <c r="G1571" s="24">
        <f>IFERROR(__xludf.DUMMYFUNCTION("iferror(filter('3.1.clean'!C:C,'3.1.clean'!A:A=C1571),"""")"),43867.0)</f>
        <v>43867</v>
      </c>
      <c r="H1571" s="23" t="b">
        <f t="shared" si="1276"/>
        <v>1</v>
      </c>
      <c r="J1571" s="25"/>
      <c r="K1571" s="24">
        <f>IFERROR(__xludf.DUMMYFUNCTION("iferror(filter('3.2.clean'!C:C,'3.2.clean'!A:A=C1571),"""")"),43867.0)</f>
        <v>43867</v>
      </c>
      <c r="L1571" s="25" t="b">
        <f t="shared" si="1277"/>
        <v>1</v>
      </c>
      <c r="M1571" s="24">
        <f>IFERROR(__xludf.DUMMYFUNCTION("iferror(filter('3.3.clean'!C:C,'3.3.clean'!A:A=C1571),"""")"),43878.0)</f>
        <v>43878</v>
      </c>
      <c r="N1571" s="25" t="b">
        <f t="shared" si="1262"/>
        <v>1</v>
      </c>
      <c r="O1571" s="24">
        <f>IFERROR(__xludf.DUMMYFUNCTION("iferror(filter('3.4.clean'!C:C,'3.4.clean'!A:A=C1571),"""")"),43878.0)</f>
        <v>43878</v>
      </c>
      <c r="P1571" s="25" t="b">
        <f t="shared" si="1263"/>
        <v>1</v>
      </c>
      <c r="Q1571" s="24" t="str">
        <f>IFERROR(__xludf.DUMMYFUNCTION("iferror(filter('3.5.clean'!C:C,'3.5.clean'!A:A=C1571),"""")"),"")</f>
        <v/>
      </c>
      <c r="S1571" s="25"/>
      <c r="W1571" s="23" t="b">
        <f t="shared" si="1278"/>
        <v>1</v>
      </c>
      <c r="X1571" s="23" t="str">
        <f>IFERROR(__xludf.DUMMYFUNCTION("if(COUNTA(FILTER(C:C, C:C = C1571))=1,""no"",""yes"")"),"no")</f>
        <v>no</v>
      </c>
    </row>
    <row r="1572">
      <c r="A1572" s="75" t="s">
        <v>1045</v>
      </c>
      <c r="B1572" s="2">
        <v>22.0</v>
      </c>
      <c r="C1572" s="19" t="s">
        <v>735</v>
      </c>
      <c r="E1572" s="24">
        <f>IFERROR(__xludf.DUMMYFUNCTION("ifna(IFNA(filter('2.1.clean'!C:C,'2.1.clean'!A:A=C1572),filter('2.2.clean'!E:E,'2.2.clean'!D:D=C1572)),filter('2.4.clean'!C:C,'2.4.clean'!A:A=C1572))"),43867.0)</f>
        <v>43867</v>
      </c>
      <c r="F1572" s="25">
        <f>IFERROR(__xludf.DUMMYFUNCTION("iferror(ifna(IFNA(filter('2.1.clean'!E:E,'2.1.clean'!A:A=C1572),filter('2.2.clean'!G:G,'2.2.clean'!D:D=C1572)),filter('2.4.clean'!E:E,'2.4.clean'!A:A=C1572)),)"),2.2)</f>
        <v>2.2</v>
      </c>
      <c r="G1572" s="24">
        <f>IFERROR(__xludf.DUMMYFUNCTION("iferror(filter('3.1.clean'!C:C,'3.1.clean'!A:A=C1572),"""")"),43867.0)</f>
        <v>43867</v>
      </c>
      <c r="H1572" s="23" t="b">
        <f t="shared" si="1276"/>
        <v>1</v>
      </c>
      <c r="J1572" s="25"/>
      <c r="K1572" s="24">
        <f>IFERROR(__xludf.DUMMYFUNCTION("iferror(filter('3.2.clean'!C:C,'3.2.clean'!A:A=C1572),"""")"),43867.0)</f>
        <v>43867</v>
      </c>
      <c r="L1572" s="25" t="b">
        <f t="shared" si="1277"/>
        <v>1</v>
      </c>
      <c r="M1572" s="24">
        <f>IFERROR(__xludf.DUMMYFUNCTION("iferror(filter('3.3.clean'!C:C,'3.3.clean'!A:A=C1572),"""")"),43878.0)</f>
        <v>43878</v>
      </c>
      <c r="N1572" s="25" t="b">
        <f t="shared" si="1262"/>
        <v>1</v>
      </c>
      <c r="O1572" s="24">
        <f>IFERROR(__xludf.DUMMYFUNCTION("iferror(filter('3.4.clean'!C:C,'3.4.clean'!A:A=C1572),"""")"),43878.0)</f>
        <v>43878</v>
      </c>
      <c r="P1572" s="25" t="b">
        <f t="shared" si="1263"/>
        <v>1</v>
      </c>
      <c r="Q1572" s="24" t="str">
        <f>IFERROR(__xludf.DUMMYFUNCTION("iferror(filter('3.5.clean'!C:C,'3.5.clean'!A:A=C1572),"""")"),"")</f>
        <v/>
      </c>
      <c r="S1572" s="25"/>
      <c r="W1572" s="23" t="b">
        <f t="shared" si="1278"/>
        <v>1</v>
      </c>
      <c r="X1572" s="23" t="str">
        <f>IFERROR(__xludf.DUMMYFUNCTION("if(COUNTA(FILTER(C:C, C:C = C1572))=1,""no"",""yes"")"),"no")</f>
        <v>no</v>
      </c>
    </row>
    <row r="1573">
      <c r="A1573" s="75" t="s">
        <v>1045</v>
      </c>
      <c r="B1573" s="2">
        <v>23.0</v>
      </c>
      <c r="C1573" s="19" t="s">
        <v>3182</v>
      </c>
      <c r="D1573" s="58" t="str">
        <f t="shared" ref="D1573:D1576" si="1279">if(or(I1573=1,J1573=1,S1573=1),"pos","")</f>
        <v/>
      </c>
      <c r="E1573" s="59">
        <f>IFERROR(__xludf.DUMMYFUNCTION("ifna(IFNA(filter('2.1.clean'!C:C,'2.1.clean'!A:A=C1573),filter('2.2.clean'!E:E,'2.2.clean'!D:D=C1573)),filter('2.4.clean'!C:C,'2.4.clean'!A:A=C1573))"),43867.0)</f>
        <v>43867</v>
      </c>
      <c r="F1573" s="60">
        <f>IFERROR(__xludf.DUMMYFUNCTION("iferror(ifna(IFNA(filter('2.1.clean'!E:E,'2.1.clean'!A:A=C1573),filter('2.2.clean'!G:G,'2.2.clean'!D:D=C1573)),filter('2.4.clean'!E:E,'2.4.clean'!A:A=C1573)),)"),2.39999999999999)</f>
        <v>2.4</v>
      </c>
      <c r="G1573" s="59">
        <f>IFERROR(__xludf.DUMMYFUNCTION("iferror(filter('3.1.clean'!C:C,'3.1.clean'!A:A=C1573),"""")"),43867.0)</f>
        <v>43867</v>
      </c>
      <c r="H1573" s="58" t="b">
        <f t="shared" si="1276"/>
        <v>1</v>
      </c>
      <c r="I1573" s="58">
        <f>IFERROR(__xludf.DUMMYFUNCTION("iferror(filter('3.1.clean'!G:G,'3.1.clean'!A:A=C1573),"""")"),0.0)</f>
        <v>0</v>
      </c>
      <c r="J1573" s="60" t="str">
        <f>IFERROR(__xludf.DUMMYFUNCTION("iferror(filter('3.1.clean'!I:I,'3.1.clean'!A:A=C1573),"""")"),"")</f>
        <v/>
      </c>
      <c r="K1573" s="58"/>
      <c r="L1573" s="60"/>
      <c r="M1573" s="59" t="str">
        <f>IFERROR(__xludf.DUMMYFUNCTION("iferror(filter('3.3.clean'!C:C,'3.3.clean'!A:A=C1573),"""")"),"")</f>
        <v/>
      </c>
      <c r="N1573" s="60" t="b">
        <f t="shared" si="1262"/>
        <v>0</v>
      </c>
      <c r="O1573" s="59" t="str">
        <f>IFERROR(__xludf.DUMMYFUNCTION("iferror(filter('3.4.clean'!C:C,'3.4.clean'!A:A=C1573),"""")"),"")</f>
        <v/>
      </c>
      <c r="P1573" s="60" t="b">
        <f t="shared" si="1263"/>
        <v>0</v>
      </c>
      <c r="Q1573" s="59" t="str">
        <f>IFERROR(__xludf.DUMMYFUNCTION("iferror(filter('3.5.clean'!C:C,'3.5.clean'!A:A=C1573),"""")"),"")</f>
        <v/>
      </c>
      <c r="R1573" s="58"/>
      <c r="S1573" s="4" t="str">
        <f>IFERROR(__xludf.DUMMYFUNCTION("iferror(filter('3.5.clean'!H:H,'3.5.clean'!A:A=C1573),"""")"),"")</f>
        <v/>
      </c>
      <c r="W1573" s="23" t="b">
        <f>if(AND(H1573=TRUE,N1573=TRUE,P1573=TRUE),TRUE,FALSE)</f>
        <v>0</v>
      </c>
      <c r="X1573" s="23" t="str">
        <f>IFERROR(__xludf.DUMMYFUNCTION("if(COUNTA(FILTER(C:C, C:C = C1573))=1,""no"",""yes"")"),"no")</f>
        <v>no</v>
      </c>
    </row>
    <row r="1574">
      <c r="A1574" s="75" t="s">
        <v>1045</v>
      </c>
      <c r="B1574" s="2">
        <v>24.0</v>
      </c>
      <c r="C1574" s="19" t="s">
        <v>3192</v>
      </c>
      <c r="D1574" s="58" t="str">
        <f t="shared" si="1279"/>
        <v/>
      </c>
      <c r="E1574" s="59">
        <f>Q1574</f>
        <v>43867</v>
      </c>
      <c r="F1574" s="60" t="str">
        <f>IFERROR(__xludf.DUMMYFUNCTION("iferror(ifna(IFNA(filter('2.1.clean'!E:E,'2.1.clean'!A:A=C1574),filter('2.2.clean'!G:G,'2.2.clean'!D:D=C1574)),filter('2.4.clean'!E:E,'2.4.clean'!A:A=C1574)),)"),"")</f>
        <v/>
      </c>
      <c r="G1574" s="59" t="str">
        <f>IFERROR(__xludf.DUMMYFUNCTION("iferror(filter('3.1.clean'!C:C,'3.1.clean'!A:A=C1574),"""")"),"")</f>
        <v/>
      </c>
      <c r="H1574" s="58"/>
      <c r="I1574" s="58" t="str">
        <f>IFERROR(__xludf.DUMMYFUNCTION("iferror(filter('3.1.clean'!G:G,'3.1.clean'!A:A=C1574),"""")"),"")</f>
        <v/>
      </c>
      <c r="J1574" s="60" t="str">
        <f>IFERROR(__xludf.DUMMYFUNCTION("iferror(filter('3.1.clean'!I:I,'3.1.clean'!A:A=C1574),"""")"),"")</f>
        <v/>
      </c>
      <c r="K1574" s="59"/>
      <c r="L1574" s="60"/>
      <c r="M1574" s="59" t="str">
        <f>IFERROR(__xludf.DUMMYFUNCTION("iferror(filter('3.3.clean'!C:C,'3.3.clean'!A:A=C1574),"""")"),"")</f>
        <v/>
      </c>
      <c r="N1574" s="60" t="b">
        <f t="shared" si="1262"/>
        <v>0</v>
      </c>
      <c r="O1574" s="59" t="str">
        <f>IFERROR(__xludf.DUMMYFUNCTION("iferror(filter('3.4.clean'!C:C,'3.4.clean'!A:A=C1574),"""")"),"")</f>
        <v/>
      </c>
      <c r="P1574" s="60" t="b">
        <f t="shared" si="1263"/>
        <v>0</v>
      </c>
      <c r="Q1574" s="59">
        <f>IFERROR(__xludf.DUMMYFUNCTION("iferror(filter('3.5.clean'!C:C,'3.5.clean'!A:A=C1574),"""")"),43867.0)</f>
        <v>43867</v>
      </c>
      <c r="R1574" s="58" t="b">
        <f>if(Q1574="",FALSE,TRUE)</f>
        <v>1</v>
      </c>
      <c r="S1574" s="4">
        <f>IFERROR(__xludf.DUMMYFUNCTION("iferror(filter('3.5.clean'!H:H,'3.5.clean'!A:A=C1574),"""")"),0.0)</f>
        <v>0</v>
      </c>
      <c r="V1574" s="52" t="s">
        <v>64</v>
      </c>
      <c r="W1574" s="23" t="b">
        <f>if(AND(R1574=TRUE,N1574=TRUE,P1574=TRUE),TRUE,FALSE)</f>
        <v>0</v>
      </c>
      <c r="X1574" s="23" t="str">
        <f>IFERROR(__xludf.DUMMYFUNCTION("if(COUNTA(FILTER(C:C, C:C = C1574))=1,""no"",""yes"")"),"no")</f>
        <v>no</v>
      </c>
    </row>
    <row r="1575">
      <c r="A1575" s="75" t="s">
        <v>1045</v>
      </c>
      <c r="B1575" s="19">
        <v>25.0</v>
      </c>
      <c r="C1575" s="19" t="s">
        <v>3205</v>
      </c>
      <c r="D1575" s="76" t="str">
        <f t="shared" si="1279"/>
        <v/>
      </c>
      <c r="E1575" s="77">
        <f>G1575</f>
        <v>43867</v>
      </c>
      <c r="F1575" s="78" t="str">
        <f>IFERROR(__xludf.DUMMYFUNCTION("iferror(ifna(IFNA(filter('2.1.clean'!E:E,'2.1.clean'!A:A=C1575),filter('2.2.clean'!G:G,'2.2.clean'!D:D=C1575)),filter('2.4.clean'!E:E,'2.4.clean'!A:A=C1575)),)"),"")</f>
        <v/>
      </c>
      <c r="G1575" s="77">
        <f>IFERROR(__xludf.DUMMYFUNCTION("iferror(filter('3.1.clean'!C:C,'3.1.clean'!A:A=C1575),"""")"),43867.0)</f>
        <v>43867</v>
      </c>
      <c r="H1575" s="76" t="b">
        <f>if(G1575="",FALSE,TRUE)</f>
        <v>1</v>
      </c>
      <c r="I1575" s="76">
        <f>IFERROR(__xludf.DUMMYFUNCTION("iferror(filter('3.1.clean'!G:G,'3.1.clean'!A:A=C1575),"""")"),0.0)</f>
        <v>0</v>
      </c>
      <c r="J1575" s="78" t="str">
        <f>IFERROR(__xludf.DUMMYFUNCTION("iferror(filter('3.1.clean'!I:I,'3.1.clean'!A:A=C1575),"""")"),"")</f>
        <v/>
      </c>
      <c r="K1575" s="77"/>
      <c r="L1575" s="78"/>
      <c r="M1575" s="77"/>
      <c r="N1575" s="78"/>
      <c r="O1575" s="77"/>
      <c r="P1575" s="78"/>
      <c r="Q1575" s="77"/>
      <c r="R1575" s="76"/>
      <c r="S1575" s="25"/>
      <c r="V1575" s="1" t="s">
        <v>64</v>
      </c>
      <c r="W1575" s="1" t="b">
        <v>1</v>
      </c>
      <c r="X1575" s="23" t="str">
        <f>IFERROR(__xludf.DUMMYFUNCTION("if(COUNTA(FILTER(C:C, C:C = C1575))=1,""no"",""yes"")"),"no")</f>
        <v>no</v>
      </c>
    </row>
    <row r="1576">
      <c r="A1576" s="75" t="s">
        <v>1045</v>
      </c>
      <c r="B1576" s="19">
        <v>26.0</v>
      </c>
      <c r="C1576" s="19" t="s">
        <v>338</v>
      </c>
      <c r="D1576" s="22" t="str">
        <f t="shared" si="1279"/>
        <v/>
      </c>
      <c r="E1576" s="20">
        <f>Q1576</f>
        <v>43867</v>
      </c>
      <c r="F1576" s="79" t="str">
        <f>IFERROR(__xludf.DUMMYFUNCTION("iferror(ifna(IFNA(filter('2.1.clean'!E:E,'2.1.clean'!A:A=C1576),filter('2.2.clean'!G:G,'2.2.clean'!D:D=C1576)),filter('2.4.clean'!E:E,'2.4.clean'!A:A=C1576)),)"),"")</f>
        <v/>
      </c>
      <c r="G1576" s="20" t="str">
        <f>IFERROR(__xludf.DUMMYFUNCTION("iferror(filter('3.1.clean'!C:C,'3.1.clean'!A:A=C1576),"""")"),"")</f>
        <v/>
      </c>
      <c r="H1576" s="22"/>
      <c r="I1576" s="22"/>
      <c r="J1576" s="79"/>
      <c r="K1576" s="20" t="str">
        <f>IFERROR(__xludf.DUMMYFUNCTION("iferror(filter('3.2.clean'!C:C,'3.2.clean'!A:A=C1576),"""")"),"")</f>
        <v/>
      </c>
      <c r="L1576" s="79"/>
      <c r="M1576" s="20" t="str">
        <f>IFERROR(__xludf.DUMMYFUNCTION("iferror(filter('3.3.clean'!C:C,'3.3.clean'!A:A=C1576),"""")"),"")</f>
        <v/>
      </c>
      <c r="N1576" s="79" t="b">
        <f t="shared" ref="N1576:N1582" si="1280">if(M1576="",FALSE,TRUE)</f>
        <v>0</v>
      </c>
      <c r="O1576" s="20" t="str">
        <f>IFERROR(__xludf.DUMMYFUNCTION("iferror(filter('3.4.clean'!C:C,'3.4.clean'!A:A=C1576),"""")"),"")</f>
        <v/>
      </c>
      <c r="P1576" s="79" t="b">
        <f t="shared" ref="P1576:P1582" si="1281">if(O1576="",FALSE,TRUE)</f>
        <v>0</v>
      </c>
      <c r="Q1576" s="20">
        <f>IFERROR(__xludf.DUMMYFUNCTION("iferror(filter('3.5.clean'!C:C,'3.5.clean'!A:A=C1576),"""")"),43867.0)</f>
        <v>43867</v>
      </c>
      <c r="R1576" s="22" t="b">
        <f t="shared" ref="R1576:R1577" si="1282">if(Q1576="",FALSE,TRUE)</f>
        <v>1</v>
      </c>
      <c r="S1576" s="4">
        <f>IFERROR(__xludf.DUMMYFUNCTION("iferror(filter('3.5.clean'!H:H,'3.5.clean'!A:A=C1576),"""")"),0.0)</f>
        <v>0</v>
      </c>
      <c r="V1576" s="1" t="s">
        <v>64</v>
      </c>
      <c r="W1576" s="23" t="b">
        <f>IF(and(R1576=TRUE,N1576=TRUE,P1576=TRUE),TRUE,FALSE)</f>
        <v>0</v>
      </c>
      <c r="X1576" s="23" t="str">
        <f>IFERROR(__xludf.DUMMYFUNCTION("if(COUNTA(FILTER(C:C, C:C = C1576))=1,""no"",""yes"")"),"no")</f>
        <v>no</v>
      </c>
    </row>
    <row r="1577">
      <c r="A1577" s="1" t="s">
        <v>1049</v>
      </c>
      <c r="B1577" s="2">
        <v>1.0</v>
      </c>
      <c r="C1577" s="19" t="s">
        <v>3226</v>
      </c>
      <c r="E1577" s="24">
        <f>IFERROR(__xludf.DUMMYFUNCTION("ifna(IFNA(filter('2.1.clean'!C:C,'2.1.clean'!A:A=C1577),filter('2.2.clean'!E:E,'2.2.clean'!D:D=C1577)),filter('2.4.clean'!C:C,'2.4.clean'!A:A=C1577))"),43868.0)</f>
        <v>43868</v>
      </c>
      <c r="F1577" s="25">
        <f>IFERROR(__xludf.DUMMYFUNCTION("iferror(ifna(IFNA(filter('2.1.clean'!E:E,'2.1.clean'!A:A=C1577),filter('2.2.clean'!G:G,'2.2.clean'!D:D=C1577)),filter('2.4.clean'!E:E,'2.4.clean'!A:A=C1577)),)"),2.39999999999999)</f>
        <v>2.4</v>
      </c>
      <c r="G1577" s="24">
        <f>IFERROR(__xludf.DUMMYFUNCTION("iferror(filter('3.1.clean'!C:C,'3.1.clean'!A:A=C1577),"""")"),43868.0)</f>
        <v>43868</v>
      </c>
      <c r="H1577" s="23" t="b">
        <f t="shared" ref="H1577:H1578" si="1283">if(G1577="",FALSE,TRUE)</f>
        <v>1</v>
      </c>
      <c r="J1577" s="25"/>
      <c r="K1577" s="24">
        <f>IFERROR(__xludf.DUMMYFUNCTION("iferror(filter('3.2.clean'!C:C,'3.2.clean'!A:A=C1577),"""")"),43868.0)</f>
        <v>43868</v>
      </c>
      <c r="L1577" s="25" t="b">
        <f>if(K1577="",FALSE,TRUE)</f>
        <v>1</v>
      </c>
      <c r="M1577" s="24">
        <f>IFERROR(__xludf.DUMMYFUNCTION("iferror(filter('3.3.clean'!C:C,'3.3.clean'!A:A=C1577),"""")"),43878.0)</f>
        <v>43878</v>
      </c>
      <c r="N1577" s="25" t="b">
        <f t="shared" si="1280"/>
        <v>1</v>
      </c>
      <c r="O1577" s="24">
        <f>IFERROR(__xludf.DUMMYFUNCTION("iferror(filter('3.4.clean'!C:C,'3.4.clean'!A:A=C1577),"""")"),43878.0)</f>
        <v>43878</v>
      </c>
      <c r="P1577" s="25" t="b">
        <f t="shared" si="1281"/>
        <v>1</v>
      </c>
      <c r="Q1577" s="24">
        <f>IFERROR(__xludf.DUMMYFUNCTION("iferror(filter('3.5.clean'!C:C,'3.5.clean'!A:A=C1577),"""")"),43868.0)</f>
        <v>43868</v>
      </c>
      <c r="R1577" s="23" t="b">
        <f t="shared" si="1282"/>
        <v>1</v>
      </c>
      <c r="S1577" s="25"/>
      <c r="U1577" s="23" t="s">
        <v>177</v>
      </c>
      <c r="V1577" s="1" t="s">
        <v>64</v>
      </c>
      <c r="X1577" s="23" t="str">
        <f>IFERROR(__xludf.DUMMYFUNCTION("if(COUNTA(FILTER(C:C, C:C = C1577))=1,""no"",""yes"")"),"no")</f>
        <v>no</v>
      </c>
    </row>
    <row r="1578">
      <c r="A1578" s="1" t="s">
        <v>1049</v>
      </c>
      <c r="B1578" s="2">
        <v>2.0</v>
      </c>
      <c r="C1578" s="19" t="s">
        <v>3235</v>
      </c>
      <c r="D1578" s="58" t="str">
        <f t="shared" ref="D1578:D1579" si="1284">if(or(I1578=1,J1578=1,S1578=1),"pos","")</f>
        <v/>
      </c>
      <c r="E1578" s="59">
        <f>IFERROR(__xludf.DUMMYFUNCTION("ifna(IFNA(filter('2.1.clean'!C:C,'2.1.clean'!A:A=C1578),filter('2.2.clean'!E:E,'2.2.clean'!D:D=C1578)),filter('2.4.clean'!C:C,'2.4.clean'!A:A=C1578))"),43868.0)</f>
        <v>43868</v>
      </c>
      <c r="F1578" s="60">
        <f>IFERROR(__xludf.DUMMYFUNCTION("iferror(ifna(IFNA(filter('2.1.clean'!E:E,'2.1.clean'!A:A=C1578),filter('2.2.clean'!G:G,'2.2.clean'!D:D=C1578)),filter('2.4.clean'!E:E,'2.4.clean'!A:A=C1578)),)"),2.39999999999999)</f>
        <v>2.4</v>
      </c>
      <c r="G1578" s="59">
        <f>IFERROR(__xludf.DUMMYFUNCTION("iferror(filter('3.1.clean'!C:C,'3.1.clean'!A:A=C1578),"""")"),43868.0)</f>
        <v>43868</v>
      </c>
      <c r="H1578" s="58" t="b">
        <f t="shared" si="1283"/>
        <v>1</v>
      </c>
      <c r="I1578" s="58">
        <f>IFERROR(__xludf.DUMMYFUNCTION("iferror(filter('3.1.clean'!G:G,'3.1.clean'!A:A=C1578),"""")"),0.0)</f>
        <v>0</v>
      </c>
      <c r="J1578" s="60" t="str">
        <f>IFERROR(__xludf.DUMMYFUNCTION("iferror(filter('3.1.clean'!I:I,'3.1.clean'!A:A=C1578),"""")"),"")</f>
        <v/>
      </c>
      <c r="K1578" s="58"/>
      <c r="L1578" s="60"/>
      <c r="M1578" s="59">
        <f>IFERROR(__xludf.DUMMYFUNCTION("iferror(filter('3.3.clean'!C:C,'3.3.clean'!A:A=C1578),"""")"),43878.0)</f>
        <v>43878</v>
      </c>
      <c r="N1578" s="60" t="b">
        <f t="shared" si="1280"/>
        <v>1</v>
      </c>
      <c r="O1578" s="59">
        <f>IFERROR(__xludf.DUMMYFUNCTION("iferror(filter('3.4.clean'!C:C,'3.4.clean'!A:A=C1578),"""")"),43878.0)</f>
        <v>43878</v>
      </c>
      <c r="P1578" s="60" t="b">
        <f t="shared" si="1281"/>
        <v>1</v>
      </c>
      <c r="Q1578" s="59" t="str">
        <f>IFERROR(__xludf.DUMMYFUNCTION("iferror(filter('3.5.clean'!C:C,'3.5.clean'!A:A=C1578),"""")"),"")</f>
        <v/>
      </c>
      <c r="R1578" s="58"/>
      <c r="S1578" s="4" t="str">
        <f>IFERROR(__xludf.DUMMYFUNCTION("iferror(filter('3.5.clean'!H:H,'3.5.clean'!A:A=C1578),"""")"),"")</f>
        <v/>
      </c>
      <c r="W1578" s="23" t="b">
        <f>if(AND(H1578=TRUE,N1578=TRUE,P1578=TRUE),TRUE,FALSE)</f>
        <v>1</v>
      </c>
      <c r="X1578" s="23" t="str">
        <f>IFERROR(__xludf.DUMMYFUNCTION("if(COUNTA(FILTER(C:C, C:C = C1578))=1,""no"",""yes"")"),"no")</f>
        <v>no</v>
      </c>
    </row>
    <row r="1579">
      <c r="A1579" s="1" t="s">
        <v>1049</v>
      </c>
      <c r="B1579" s="2">
        <v>3.0</v>
      </c>
      <c r="C1579" s="19" t="s">
        <v>3250</v>
      </c>
      <c r="D1579" s="58" t="str">
        <f t="shared" si="1284"/>
        <v/>
      </c>
      <c r="E1579" s="59">
        <f>Q1579</f>
        <v>43868</v>
      </c>
      <c r="F1579" s="60" t="str">
        <f>IFERROR(__xludf.DUMMYFUNCTION("iferror(ifna(IFNA(filter('2.1.clean'!E:E,'2.1.clean'!A:A=C1579),filter('2.2.clean'!G:G,'2.2.clean'!D:D=C1579)),filter('2.4.clean'!E:E,'2.4.clean'!A:A=C1579)),)"),"")</f>
        <v/>
      </c>
      <c r="G1579" s="59" t="str">
        <f>IFERROR(__xludf.DUMMYFUNCTION("iferror(filter('3.1.clean'!C:C,'3.1.clean'!A:A=C1579),"""")"),"")</f>
        <v/>
      </c>
      <c r="H1579" s="58"/>
      <c r="I1579" s="58" t="str">
        <f>IFERROR(__xludf.DUMMYFUNCTION("iferror(filter('3.1.clean'!G:G,'3.1.clean'!A:A=C1579),"""")"),"")</f>
        <v/>
      </c>
      <c r="J1579" s="60" t="str">
        <f>IFERROR(__xludf.DUMMYFUNCTION("iferror(filter('3.1.clean'!I:I,'3.1.clean'!A:A=C1579),"""")"),"")</f>
        <v/>
      </c>
      <c r="K1579" s="59"/>
      <c r="L1579" s="60"/>
      <c r="M1579" s="59" t="str">
        <f>IFERROR(__xludf.DUMMYFUNCTION("iferror(filter('3.3.clean'!C:C,'3.3.clean'!A:A=C1579),"""")"),"")</f>
        <v/>
      </c>
      <c r="N1579" s="60" t="b">
        <f t="shared" si="1280"/>
        <v>0</v>
      </c>
      <c r="O1579" s="59" t="str">
        <f>IFERROR(__xludf.DUMMYFUNCTION("iferror(filter('3.4.clean'!C:C,'3.4.clean'!A:A=C1579),"""")"),"")</f>
        <v/>
      </c>
      <c r="P1579" s="60" t="b">
        <f t="shared" si="1281"/>
        <v>0</v>
      </c>
      <c r="Q1579" s="59">
        <f>IFERROR(__xludf.DUMMYFUNCTION("iferror(filter('3.5.clean'!C:C,'3.5.clean'!A:A=C1579),"""")"),43868.0)</f>
        <v>43868</v>
      </c>
      <c r="R1579" s="58" t="b">
        <f t="shared" ref="R1579:R1580" si="1285">if(Q1579="",FALSE,TRUE)</f>
        <v>1</v>
      </c>
      <c r="S1579" s="4">
        <f>IFERROR(__xludf.DUMMYFUNCTION("iferror(filter('3.5.clean'!H:H,'3.5.clean'!A:A=C1579),"""")"),0.0)</f>
        <v>0</v>
      </c>
      <c r="V1579" s="52" t="s">
        <v>64</v>
      </c>
      <c r="W1579" s="23" t="b">
        <f>if(AND(R1579=TRUE,N1579=TRUE,P1579=TRUE),TRUE,FALSE)</f>
        <v>0</v>
      </c>
      <c r="X1579" s="23" t="str">
        <f>IFERROR(__xludf.DUMMYFUNCTION("if(COUNTA(FILTER(C:C, C:C = C1579))=1,""no"",""yes"")"),"no")</f>
        <v>no</v>
      </c>
    </row>
    <row r="1580">
      <c r="A1580" s="1" t="s">
        <v>1049</v>
      </c>
      <c r="B1580" s="2">
        <v>4.0</v>
      </c>
      <c r="C1580" s="19" t="s">
        <v>3263</v>
      </c>
      <c r="E1580" s="24">
        <f>IFERROR(__xludf.DUMMYFUNCTION("ifna(IFNA(filter('2.1.clean'!C:C,'2.1.clean'!A:A=C1580),filter('2.2.clean'!E:E,'2.2.clean'!D:D=C1580)),filter('2.4.clean'!C:C,'2.4.clean'!A:A=C1580))"),43868.0)</f>
        <v>43868</v>
      </c>
      <c r="F1580" s="25">
        <f>IFERROR(__xludf.DUMMYFUNCTION("iferror(ifna(IFNA(filter('2.1.clean'!E:E,'2.1.clean'!A:A=C1580),filter('2.2.clean'!G:G,'2.2.clean'!D:D=C1580)),filter('2.4.clean'!E:E,'2.4.clean'!A:A=C1580)),)"),2.39999999999999)</f>
        <v>2.4</v>
      </c>
      <c r="G1580" s="24">
        <f>IFERROR(__xludf.DUMMYFUNCTION("iferror(filter('3.1.clean'!C:C,'3.1.clean'!A:A=C1580),"""")"),43868.0)</f>
        <v>43868</v>
      </c>
      <c r="H1580" s="23" t="b">
        <f t="shared" ref="H1580:H1581" si="1286">if(G1580="",FALSE,TRUE)</f>
        <v>1</v>
      </c>
      <c r="J1580" s="25"/>
      <c r="K1580" s="24">
        <f>IFERROR(__xludf.DUMMYFUNCTION("iferror(filter('3.2.clean'!C:C,'3.2.clean'!A:A=C1580),"""")"),43868.0)</f>
        <v>43868</v>
      </c>
      <c r="L1580" s="25" t="b">
        <f>if(K1580="",FALSE,TRUE)</f>
        <v>1</v>
      </c>
      <c r="M1580" s="24">
        <f>IFERROR(__xludf.DUMMYFUNCTION("iferror(filter('3.3.clean'!C:C,'3.3.clean'!A:A=C1580),"""")"),43878.0)</f>
        <v>43878</v>
      </c>
      <c r="N1580" s="25" t="b">
        <f t="shared" si="1280"/>
        <v>1</v>
      </c>
      <c r="O1580" s="24">
        <f>IFERROR(__xludf.DUMMYFUNCTION("iferror(filter('3.4.clean'!C:C,'3.4.clean'!A:A=C1580),"""")"),43878.0)</f>
        <v>43878</v>
      </c>
      <c r="P1580" s="25" t="b">
        <f t="shared" si="1281"/>
        <v>1</v>
      </c>
      <c r="Q1580" s="24">
        <f>IFERROR(__xludf.DUMMYFUNCTION("iferror(filter('3.5.clean'!C:C,'3.5.clean'!A:A=C1580),"""")"),43868.0)</f>
        <v>43868</v>
      </c>
      <c r="R1580" s="23" t="b">
        <f t="shared" si="1285"/>
        <v>1</v>
      </c>
      <c r="S1580" s="25"/>
      <c r="U1580" s="23" t="s">
        <v>177</v>
      </c>
      <c r="V1580" s="1" t="s">
        <v>64</v>
      </c>
      <c r="X1580" s="23" t="str">
        <f>IFERROR(__xludf.DUMMYFUNCTION("if(COUNTA(FILTER(C:C, C:C = C1580))=1,""no"",""yes"")"),"no")</f>
        <v>no</v>
      </c>
    </row>
    <row r="1581">
      <c r="A1581" s="1" t="s">
        <v>1049</v>
      </c>
      <c r="B1581" s="2">
        <v>5.0</v>
      </c>
      <c r="C1581" s="19" t="s">
        <v>3272</v>
      </c>
      <c r="D1581" s="58" t="str">
        <f t="shared" ref="D1581:D1583" si="1287">if(or(I1581=1,J1581=1,S1581=1),"pos","")</f>
        <v/>
      </c>
      <c r="E1581" s="59">
        <f>IFERROR(__xludf.DUMMYFUNCTION("ifna(IFNA(filter('2.1.clean'!C:C,'2.1.clean'!A:A=C1581),filter('2.2.clean'!E:E,'2.2.clean'!D:D=C1581)),filter('2.4.clean'!C:C,'2.4.clean'!A:A=C1581))"),43868.0)</f>
        <v>43868</v>
      </c>
      <c r="F1581" s="60">
        <f>IFERROR(__xludf.DUMMYFUNCTION("iferror(ifna(IFNA(filter('2.1.clean'!E:E,'2.1.clean'!A:A=C1581),filter('2.2.clean'!G:G,'2.2.clean'!D:D=C1581)),filter('2.4.clean'!E:E,'2.4.clean'!A:A=C1581)),)"),2.39999999999999)</f>
        <v>2.4</v>
      </c>
      <c r="G1581" s="59">
        <f>IFERROR(__xludf.DUMMYFUNCTION("iferror(filter('3.1.clean'!C:C,'3.1.clean'!A:A=C1581),"""")"),43868.0)</f>
        <v>43868</v>
      </c>
      <c r="H1581" s="58" t="b">
        <f t="shared" si="1286"/>
        <v>1</v>
      </c>
      <c r="I1581" s="58">
        <f>IFERROR(__xludf.DUMMYFUNCTION("iferror(filter('3.1.clean'!G:G,'3.1.clean'!A:A=C1581),"""")"),0.0)</f>
        <v>0</v>
      </c>
      <c r="J1581" s="60" t="str">
        <f>IFERROR(__xludf.DUMMYFUNCTION("iferror(filter('3.1.clean'!I:I,'3.1.clean'!A:A=C1581),"""")"),"")</f>
        <v/>
      </c>
      <c r="K1581" s="58"/>
      <c r="L1581" s="60"/>
      <c r="M1581" s="59" t="str">
        <f>IFERROR(__xludf.DUMMYFUNCTION("iferror(filter('3.3.clean'!C:C,'3.3.clean'!A:A=C1581),"""")"),"")</f>
        <v/>
      </c>
      <c r="N1581" s="60" t="b">
        <f t="shared" si="1280"/>
        <v>0</v>
      </c>
      <c r="O1581" s="59" t="str">
        <f>IFERROR(__xludf.DUMMYFUNCTION("iferror(filter('3.4.clean'!C:C,'3.4.clean'!A:A=C1581),"""")"),"")</f>
        <v/>
      </c>
      <c r="P1581" s="60" t="b">
        <f t="shared" si="1281"/>
        <v>0</v>
      </c>
      <c r="Q1581" s="59" t="str">
        <f>IFERROR(__xludf.DUMMYFUNCTION("iferror(filter('3.5.clean'!C:C,'3.5.clean'!A:A=C1581),"""")"),"")</f>
        <v/>
      </c>
      <c r="R1581" s="58"/>
      <c r="S1581" s="4" t="str">
        <f>IFERROR(__xludf.DUMMYFUNCTION("iferror(filter('3.5.clean'!H:H,'3.5.clean'!A:A=C1581),"""")"),"")</f>
        <v/>
      </c>
      <c r="W1581" s="23" t="b">
        <f>if(AND(H1581=TRUE,N1581=TRUE,P1581=TRUE),TRUE,FALSE)</f>
        <v>0</v>
      </c>
      <c r="X1581" s="23" t="str">
        <f>IFERROR(__xludf.DUMMYFUNCTION("if(COUNTA(FILTER(C:C, C:C = C1581))=1,""no"",""yes"")"),"no")</f>
        <v>no</v>
      </c>
    </row>
    <row r="1582">
      <c r="A1582" s="1" t="s">
        <v>1049</v>
      </c>
      <c r="B1582" s="2">
        <v>6.0</v>
      </c>
      <c r="C1582" s="19" t="s">
        <v>3280</v>
      </c>
      <c r="D1582" s="58" t="str">
        <f t="shared" si="1287"/>
        <v/>
      </c>
      <c r="E1582" s="59">
        <f>Q1582</f>
        <v>43868</v>
      </c>
      <c r="F1582" s="60" t="str">
        <f>IFERROR(__xludf.DUMMYFUNCTION("iferror(ifna(IFNA(filter('2.1.clean'!E:E,'2.1.clean'!A:A=C1582),filter('2.2.clean'!G:G,'2.2.clean'!D:D=C1582)),filter('2.4.clean'!E:E,'2.4.clean'!A:A=C1582)),)"),"")</f>
        <v/>
      </c>
      <c r="G1582" s="59" t="str">
        <f>IFERROR(__xludf.DUMMYFUNCTION("iferror(filter('3.1.clean'!C:C,'3.1.clean'!A:A=C1582),"""")"),"")</f>
        <v/>
      </c>
      <c r="H1582" s="58"/>
      <c r="I1582" s="58" t="str">
        <f>IFERROR(__xludf.DUMMYFUNCTION("iferror(filter('3.1.clean'!G:G,'3.1.clean'!A:A=C1582),"""")"),"")</f>
        <v/>
      </c>
      <c r="J1582" s="60" t="str">
        <f>IFERROR(__xludf.DUMMYFUNCTION("iferror(filter('3.1.clean'!I:I,'3.1.clean'!A:A=C1582),"""")"),"")</f>
        <v/>
      </c>
      <c r="K1582" s="59"/>
      <c r="L1582" s="60"/>
      <c r="M1582" s="59" t="str">
        <f>IFERROR(__xludf.DUMMYFUNCTION("iferror(filter('3.3.clean'!C:C,'3.3.clean'!A:A=C1582),"""")"),"")</f>
        <v/>
      </c>
      <c r="N1582" s="60" t="b">
        <f t="shared" si="1280"/>
        <v>0</v>
      </c>
      <c r="O1582" s="59" t="str">
        <f>IFERROR(__xludf.DUMMYFUNCTION("iferror(filter('3.4.clean'!C:C,'3.4.clean'!A:A=C1582),"""")"),"")</f>
        <v/>
      </c>
      <c r="P1582" s="60" t="b">
        <f t="shared" si="1281"/>
        <v>0</v>
      </c>
      <c r="Q1582" s="59">
        <f>IFERROR(__xludf.DUMMYFUNCTION("iferror(filter('3.5.clean'!C:C,'3.5.clean'!A:A=C1582),"""")"),43868.0)</f>
        <v>43868</v>
      </c>
      <c r="R1582" s="58" t="b">
        <f>if(Q1582="",FALSE,TRUE)</f>
        <v>1</v>
      </c>
      <c r="S1582" s="4">
        <f>IFERROR(__xludf.DUMMYFUNCTION("iferror(filter('3.5.clean'!H:H,'3.5.clean'!A:A=C1582),"""")"),0.0)</f>
        <v>0</v>
      </c>
      <c r="V1582" s="52" t="s">
        <v>64</v>
      </c>
      <c r="W1582" s="23" t="b">
        <f>if(AND(R1582=TRUE,N1582=TRUE,P1582=TRUE),TRUE,FALSE)</f>
        <v>0</v>
      </c>
      <c r="X1582" s="23" t="str">
        <f>IFERROR(__xludf.DUMMYFUNCTION("if(COUNTA(FILTER(C:C, C:C = C1582))=1,""no"",""yes"")"),"no")</f>
        <v>no</v>
      </c>
    </row>
    <row r="1583">
      <c r="A1583" s="1" t="s">
        <v>1049</v>
      </c>
      <c r="B1583" s="19">
        <v>7.0</v>
      </c>
      <c r="C1583" s="19" t="s">
        <v>3287</v>
      </c>
      <c r="D1583" s="76" t="str">
        <f t="shared" si="1287"/>
        <v/>
      </c>
      <c r="E1583" s="77">
        <f>G1583</f>
        <v>43868</v>
      </c>
      <c r="F1583" s="78" t="str">
        <f>IFERROR(__xludf.DUMMYFUNCTION("iferror(ifna(IFNA(filter('2.1.clean'!E:E,'2.1.clean'!A:A=C1583),filter('2.2.clean'!G:G,'2.2.clean'!D:D=C1583)),filter('2.4.clean'!E:E,'2.4.clean'!A:A=C1583)),)"),"")</f>
        <v/>
      </c>
      <c r="G1583" s="77">
        <f>IFERROR(__xludf.DUMMYFUNCTION("iferror(filter('3.1.clean'!C:C,'3.1.clean'!A:A=C1583),"""")"),43868.0)</f>
        <v>43868</v>
      </c>
      <c r="H1583" s="76" t="b">
        <f t="shared" ref="H1583:H1585" si="1288">if(G1583="",FALSE,TRUE)</f>
        <v>1</v>
      </c>
      <c r="I1583" s="76">
        <f>IFERROR(__xludf.DUMMYFUNCTION("iferror(filter('3.1.clean'!G:G,'3.1.clean'!A:A=C1583),"""")"),0.0)</f>
        <v>0</v>
      </c>
      <c r="J1583" s="78" t="str">
        <f>IFERROR(__xludf.DUMMYFUNCTION("iferror(filter('3.1.clean'!I:I,'3.1.clean'!A:A=C1583),"""")"),"")</f>
        <v/>
      </c>
      <c r="K1583" s="77"/>
      <c r="L1583" s="78"/>
      <c r="M1583" s="77"/>
      <c r="N1583" s="78"/>
      <c r="O1583" s="77"/>
      <c r="P1583" s="78"/>
      <c r="Q1583" s="77"/>
      <c r="R1583" s="76"/>
      <c r="S1583" s="25"/>
      <c r="V1583" s="1" t="s">
        <v>64</v>
      </c>
      <c r="W1583" s="1" t="b">
        <v>1</v>
      </c>
      <c r="X1583" s="23" t="str">
        <f>IFERROR(__xludf.DUMMYFUNCTION("if(COUNTA(FILTER(C:C, C:C = C1583))=1,""no"",""yes"")"),"no")</f>
        <v>no</v>
      </c>
    </row>
    <row r="1584">
      <c r="A1584" s="75" t="s">
        <v>1053</v>
      </c>
      <c r="B1584" s="2">
        <v>1.0</v>
      </c>
      <c r="C1584" s="19" t="s">
        <v>3294</v>
      </c>
      <c r="E1584" s="24">
        <f>IFERROR(__xludf.DUMMYFUNCTION("ifna(IFNA(filter('2.1.clean'!C:C,'2.1.clean'!A:A=C1584),filter('2.2.clean'!E:E,'2.2.clean'!D:D=C1584)),filter('2.4.clean'!C:C,'2.4.clean'!A:A=C1584))"),43871.0)</f>
        <v>43871</v>
      </c>
      <c r="F1584" s="25">
        <f>IFERROR(__xludf.DUMMYFUNCTION("iferror(ifna(IFNA(filter('2.1.clean'!E:E,'2.1.clean'!A:A=C1584),filter('2.2.clean'!G:G,'2.2.clean'!D:D=C1584)),filter('2.4.clean'!E:E,'2.4.clean'!A:A=C1584)),)"),2.39999999999999)</f>
        <v>2.4</v>
      </c>
      <c r="G1584" s="24">
        <f>IFERROR(__xludf.DUMMYFUNCTION("iferror(filter('3.1.clean'!C:C,'3.1.clean'!A:A=C1584),"""")"),43871.0)</f>
        <v>43871</v>
      </c>
      <c r="H1584" s="23" t="b">
        <f t="shared" si="1288"/>
        <v>1</v>
      </c>
      <c r="J1584" s="25"/>
      <c r="K1584" s="24">
        <f>IFERROR(__xludf.DUMMYFUNCTION("iferror(filter('3.2.clean'!C:C,'3.2.clean'!A:A=C1584),"""")"),43872.0)</f>
        <v>43872</v>
      </c>
      <c r="L1584" s="25" t="b">
        <f>if(K1584="",FALSE,TRUE)</f>
        <v>1</v>
      </c>
      <c r="M1584" s="24">
        <f>IFERROR(__xludf.DUMMYFUNCTION("iferror(filter('3.3.clean'!C:C,'3.3.clean'!A:A=C1584),"""")"),43878.0)</f>
        <v>43878</v>
      </c>
      <c r="N1584" s="25" t="b">
        <f t="shared" ref="N1584:N1598" si="1289">if(M1584="",FALSE,TRUE)</f>
        <v>1</v>
      </c>
      <c r="O1584" s="24">
        <f>IFERROR(__xludf.DUMMYFUNCTION("iferror(filter('3.4.clean'!C:C,'3.4.clean'!A:A=C1584),"""")"),43878.0)</f>
        <v>43878</v>
      </c>
      <c r="P1584" s="25" t="b">
        <f t="shared" ref="P1584:P1598" si="1290">if(O1584="",FALSE,TRUE)</f>
        <v>1</v>
      </c>
      <c r="Q1584" s="24">
        <f>IFERROR(__xludf.DUMMYFUNCTION("iferror(filter('3.5.clean'!C:C,'3.5.clean'!A:A=C1584),"""")"),43871.0)</f>
        <v>43871</v>
      </c>
      <c r="R1584" s="23" t="b">
        <f>if(Q1584="",FALSE,TRUE)</f>
        <v>1</v>
      </c>
      <c r="S1584" s="25"/>
      <c r="U1584" s="23" t="s">
        <v>177</v>
      </c>
      <c r="V1584" s="1" t="s">
        <v>64</v>
      </c>
      <c r="X1584" s="23" t="str">
        <f>IFERROR(__xludf.DUMMYFUNCTION("if(COUNTA(FILTER(C:C, C:C = C1584))=1,""no"",""yes"")"),"no")</f>
        <v>no</v>
      </c>
    </row>
    <row r="1585">
      <c r="A1585" s="75" t="s">
        <v>1053</v>
      </c>
      <c r="B1585" s="2">
        <v>2.0</v>
      </c>
      <c r="C1585" s="19" t="s">
        <v>3302</v>
      </c>
      <c r="D1585" s="58" t="str">
        <f t="shared" ref="D1585:D1586" si="1291">if(or(I1585=1,J1585=1,S1585=1),"pos","")</f>
        <v/>
      </c>
      <c r="E1585" s="59">
        <f>IFERROR(__xludf.DUMMYFUNCTION("ifna(IFNA(filter('2.1.clean'!C:C,'2.1.clean'!A:A=C1585),filter('2.2.clean'!E:E,'2.2.clean'!D:D=C1585)),filter('2.4.clean'!C:C,'2.4.clean'!A:A=C1585))"),43871.0)</f>
        <v>43871</v>
      </c>
      <c r="F1585" s="60">
        <f>IFERROR(__xludf.DUMMYFUNCTION("iferror(ifna(IFNA(filter('2.1.clean'!E:E,'2.1.clean'!A:A=C1585),filter('2.2.clean'!G:G,'2.2.clean'!D:D=C1585)),filter('2.4.clean'!E:E,'2.4.clean'!A:A=C1585)),)"),2.39999999999999)</f>
        <v>2.4</v>
      </c>
      <c r="G1585" s="59">
        <f>IFERROR(__xludf.DUMMYFUNCTION("iferror(filter('3.1.clean'!C:C,'3.1.clean'!A:A=C1585),"""")"),43871.0)</f>
        <v>43871</v>
      </c>
      <c r="H1585" s="58" t="b">
        <f t="shared" si="1288"/>
        <v>1</v>
      </c>
      <c r="I1585" s="58">
        <f>IFERROR(__xludf.DUMMYFUNCTION("iferror(filter('3.1.clean'!G:G,'3.1.clean'!A:A=C1585),"""")"),0.0)</f>
        <v>0</v>
      </c>
      <c r="J1585" s="60" t="str">
        <f>IFERROR(__xludf.DUMMYFUNCTION("iferror(filter('3.1.clean'!I:I,'3.1.clean'!A:A=C1585),"""")"),"")</f>
        <v/>
      </c>
      <c r="K1585" s="58"/>
      <c r="L1585" s="60"/>
      <c r="M1585" s="59" t="str">
        <f>IFERROR(__xludf.DUMMYFUNCTION("iferror(filter('3.3.clean'!C:C,'3.3.clean'!A:A=C1585),"""")"),"")</f>
        <v/>
      </c>
      <c r="N1585" s="60" t="b">
        <f t="shared" si="1289"/>
        <v>0</v>
      </c>
      <c r="O1585" s="59" t="str">
        <f>IFERROR(__xludf.DUMMYFUNCTION("iferror(filter('3.4.clean'!C:C,'3.4.clean'!A:A=C1585),"""")"),"")</f>
        <v/>
      </c>
      <c r="P1585" s="60" t="b">
        <f t="shared" si="1290"/>
        <v>0</v>
      </c>
      <c r="Q1585" s="59" t="str">
        <f>IFERROR(__xludf.DUMMYFUNCTION("iferror(filter('3.5.clean'!C:C,'3.5.clean'!A:A=C1585),"""")"),"")</f>
        <v/>
      </c>
      <c r="R1585" s="58"/>
      <c r="S1585" s="4" t="str">
        <f>IFERROR(__xludf.DUMMYFUNCTION("iferror(filter('3.5.clean'!H:H,'3.5.clean'!A:A=C1585),"""")"),"")</f>
        <v/>
      </c>
      <c r="W1585" s="23" t="b">
        <f>if(AND(H1585=TRUE,N1585=TRUE,P1585=TRUE),TRUE,FALSE)</f>
        <v>0</v>
      </c>
      <c r="X1585" s="23" t="str">
        <f>IFERROR(__xludf.DUMMYFUNCTION("if(COUNTA(FILTER(C:C, C:C = C1585))=1,""no"",""yes"")"),"no")</f>
        <v>no</v>
      </c>
    </row>
    <row r="1586">
      <c r="A1586" s="75" t="s">
        <v>1053</v>
      </c>
      <c r="B1586" s="2">
        <v>3.0</v>
      </c>
      <c r="C1586" s="19" t="s">
        <v>3314</v>
      </c>
      <c r="D1586" s="58" t="str">
        <f t="shared" si="1291"/>
        <v/>
      </c>
      <c r="E1586" s="59">
        <f>Q1586</f>
        <v>43871</v>
      </c>
      <c r="F1586" s="60" t="str">
        <f>IFERROR(__xludf.DUMMYFUNCTION("iferror(ifna(IFNA(filter('2.1.clean'!E:E,'2.1.clean'!A:A=C1586),filter('2.2.clean'!G:G,'2.2.clean'!D:D=C1586)),filter('2.4.clean'!E:E,'2.4.clean'!A:A=C1586)),)"),"")</f>
        <v/>
      </c>
      <c r="G1586" s="59" t="str">
        <f>IFERROR(__xludf.DUMMYFUNCTION("iferror(filter('3.1.clean'!C:C,'3.1.clean'!A:A=C1586),"""")"),"")</f>
        <v/>
      </c>
      <c r="H1586" s="58"/>
      <c r="I1586" s="58" t="str">
        <f>IFERROR(__xludf.DUMMYFUNCTION("iferror(filter('3.1.clean'!G:G,'3.1.clean'!A:A=C1586),"""")"),"")</f>
        <v/>
      </c>
      <c r="J1586" s="60" t="str">
        <f>IFERROR(__xludf.DUMMYFUNCTION("iferror(filter('3.1.clean'!I:I,'3.1.clean'!A:A=C1586),"""")"),"")</f>
        <v/>
      </c>
      <c r="K1586" s="59"/>
      <c r="L1586" s="60"/>
      <c r="M1586" s="59" t="str">
        <f>IFERROR(__xludf.DUMMYFUNCTION("iferror(filter('3.3.clean'!C:C,'3.3.clean'!A:A=C1586),"""")"),"")</f>
        <v/>
      </c>
      <c r="N1586" s="60" t="b">
        <f t="shared" si="1289"/>
        <v>0</v>
      </c>
      <c r="O1586" s="59" t="str">
        <f>IFERROR(__xludf.DUMMYFUNCTION("iferror(filter('3.4.clean'!C:C,'3.4.clean'!A:A=C1586),"""")"),"")</f>
        <v/>
      </c>
      <c r="P1586" s="60" t="b">
        <f t="shared" si="1290"/>
        <v>0</v>
      </c>
      <c r="Q1586" s="59">
        <f>IFERROR(__xludf.DUMMYFUNCTION("iferror(filter('3.5.clean'!C:C,'3.5.clean'!A:A=C1586),"""")"),43871.0)</f>
        <v>43871</v>
      </c>
      <c r="R1586" s="58" t="b">
        <f t="shared" ref="R1586:R1587" si="1292">if(Q1586="",FALSE,TRUE)</f>
        <v>1</v>
      </c>
      <c r="S1586" s="4">
        <f>IFERROR(__xludf.DUMMYFUNCTION("iferror(filter('3.5.clean'!H:H,'3.5.clean'!A:A=C1586),"""")"),0.0)</f>
        <v>0</v>
      </c>
      <c r="V1586" s="52" t="s">
        <v>64</v>
      </c>
      <c r="W1586" s="23" t="b">
        <f>if(AND(R1586=TRUE,N1586=TRUE,P1586=TRUE),TRUE,FALSE)</f>
        <v>0</v>
      </c>
      <c r="X1586" s="23" t="str">
        <f>IFERROR(__xludf.DUMMYFUNCTION("if(COUNTA(FILTER(C:C, C:C = C1586))=1,""no"",""yes"")"),"no")</f>
        <v>no</v>
      </c>
    </row>
    <row r="1587">
      <c r="A1587" s="75" t="s">
        <v>1053</v>
      </c>
      <c r="B1587" s="2">
        <v>4.0</v>
      </c>
      <c r="C1587" s="19" t="s">
        <v>3323</v>
      </c>
      <c r="E1587" s="24">
        <f>IFERROR(__xludf.DUMMYFUNCTION("ifna(IFNA(filter('2.1.clean'!C:C,'2.1.clean'!A:A=C1587),filter('2.2.clean'!E:E,'2.2.clean'!D:D=C1587)),filter('2.4.clean'!C:C,'2.4.clean'!A:A=C1587))"),43871.0)</f>
        <v>43871</v>
      </c>
      <c r="F1587" s="25">
        <f>IFERROR(__xludf.DUMMYFUNCTION("iferror(ifna(IFNA(filter('2.1.clean'!E:E,'2.1.clean'!A:A=C1587),filter('2.2.clean'!G:G,'2.2.clean'!D:D=C1587)),filter('2.4.clean'!E:E,'2.4.clean'!A:A=C1587)),)"),2.39999999999999)</f>
        <v>2.4</v>
      </c>
      <c r="G1587" s="24">
        <f>IFERROR(__xludf.DUMMYFUNCTION("iferror(filter('3.1.clean'!C:C,'3.1.clean'!A:A=C1587),"""")"),43871.0)</f>
        <v>43871</v>
      </c>
      <c r="H1587" s="23" t="b">
        <f t="shared" ref="H1587:H1588" si="1293">if(G1587="",FALSE,TRUE)</f>
        <v>1</v>
      </c>
      <c r="J1587" s="25"/>
      <c r="K1587" s="24">
        <f>IFERROR(__xludf.DUMMYFUNCTION("iferror(filter('3.2.clean'!C:C,'3.2.clean'!A:A=C1587),"""")"),43872.0)</f>
        <v>43872</v>
      </c>
      <c r="L1587" s="25" t="b">
        <f>if(K1587="",FALSE,TRUE)</f>
        <v>1</v>
      </c>
      <c r="M1587" s="24">
        <f>IFERROR(__xludf.DUMMYFUNCTION("iferror(filter('3.3.clean'!C:C,'3.3.clean'!A:A=C1587),"""")"),43878.0)</f>
        <v>43878</v>
      </c>
      <c r="N1587" s="25" t="b">
        <f t="shared" si="1289"/>
        <v>1</v>
      </c>
      <c r="O1587" s="24">
        <f>IFERROR(__xludf.DUMMYFUNCTION("iferror(filter('3.4.clean'!C:C,'3.4.clean'!A:A=C1587),"""")"),43878.0)</f>
        <v>43878</v>
      </c>
      <c r="P1587" s="25" t="b">
        <f t="shared" si="1290"/>
        <v>1</v>
      </c>
      <c r="Q1587" s="24">
        <f>IFERROR(__xludf.DUMMYFUNCTION("iferror(filter('3.5.clean'!C:C,'3.5.clean'!A:A=C1587),"""")"),43871.0)</f>
        <v>43871</v>
      </c>
      <c r="R1587" s="23" t="b">
        <f t="shared" si="1292"/>
        <v>1</v>
      </c>
      <c r="S1587" s="25"/>
      <c r="U1587" s="23" t="s">
        <v>177</v>
      </c>
      <c r="V1587" s="1" t="s">
        <v>64</v>
      </c>
      <c r="X1587" s="23" t="str">
        <f>IFERROR(__xludf.DUMMYFUNCTION("if(COUNTA(FILTER(C:C, C:C = C1587))=1,""no"",""yes"")"),"no")</f>
        <v>no</v>
      </c>
    </row>
    <row r="1588">
      <c r="A1588" s="75" t="s">
        <v>1053</v>
      </c>
      <c r="B1588" s="2">
        <v>5.0</v>
      </c>
      <c r="C1588" s="19" t="s">
        <v>3331</v>
      </c>
      <c r="D1588" s="58" t="str">
        <f t="shared" ref="D1588:D1589" si="1294">if(or(I1588=1,J1588=1,S1588=1),"pos","")</f>
        <v/>
      </c>
      <c r="E1588" s="59">
        <f>IFERROR(__xludf.DUMMYFUNCTION("ifna(IFNA(filter('2.1.clean'!C:C,'2.1.clean'!A:A=C1588),filter('2.2.clean'!E:E,'2.2.clean'!D:D=C1588)),filter('2.4.clean'!C:C,'2.4.clean'!A:A=C1588))"),43871.0)</f>
        <v>43871</v>
      </c>
      <c r="F1588" s="60">
        <f>IFERROR(__xludf.DUMMYFUNCTION("iferror(ifna(IFNA(filter('2.1.clean'!E:E,'2.1.clean'!A:A=C1588),filter('2.2.clean'!G:G,'2.2.clean'!D:D=C1588)),filter('2.4.clean'!E:E,'2.4.clean'!A:A=C1588)),)"),2.39999999999999)</f>
        <v>2.4</v>
      </c>
      <c r="G1588" s="59">
        <f>IFERROR(__xludf.DUMMYFUNCTION("iferror(filter('3.1.clean'!C:C,'3.1.clean'!A:A=C1588),"""")"),43871.0)</f>
        <v>43871</v>
      </c>
      <c r="H1588" s="58" t="b">
        <f t="shared" si="1293"/>
        <v>1</v>
      </c>
      <c r="I1588" s="58">
        <f>IFERROR(__xludf.DUMMYFUNCTION("iferror(filter('3.1.clean'!G:G,'3.1.clean'!A:A=C1588),"""")"),0.0)</f>
        <v>0</v>
      </c>
      <c r="J1588" s="60" t="str">
        <f>IFERROR(__xludf.DUMMYFUNCTION("iferror(filter('3.1.clean'!I:I,'3.1.clean'!A:A=C1588),"""")"),"")</f>
        <v/>
      </c>
      <c r="K1588" s="58"/>
      <c r="L1588" s="60"/>
      <c r="M1588" s="59" t="str">
        <f>IFERROR(__xludf.DUMMYFUNCTION("iferror(filter('3.3.clean'!C:C,'3.3.clean'!A:A=C1588),"""")"),"")</f>
        <v/>
      </c>
      <c r="N1588" s="60" t="b">
        <f t="shared" si="1289"/>
        <v>0</v>
      </c>
      <c r="O1588" s="59" t="str">
        <f>IFERROR(__xludf.DUMMYFUNCTION("iferror(filter('3.4.clean'!C:C,'3.4.clean'!A:A=C1588),"""")"),"")</f>
        <v/>
      </c>
      <c r="P1588" s="60" t="b">
        <f t="shared" si="1290"/>
        <v>0</v>
      </c>
      <c r="Q1588" s="59" t="str">
        <f>IFERROR(__xludf.DUMMYFUNCTION("iferror(filter('3.5.clean'!C:C,'3.5.clean'!A:A=C1588),"""")"),"")</f>
        <v/>
      </c>
      <c r="R1588" s="58"/>
      <c r="S1588" s="4" t="str">
        <f>IFERROR(__xludf.DUMMYFUNCTION("iferror(filter('3.5.clean'!H:H,'3.5.clean'!A:A=C1588),"""")"),"")</f>
        <v/>
      </c>
      <c r="W1588" s="23" t="b">
        <f>if(AND(H1588=TRUE,N1588=TRUE,P1588=TRUE),TRUE,FALSE)</f>
        <v>0</v>
      </c>
      <c r="X1588" s="23" t="str">
        <f>IFERROR(__xludf.DUMMYFUNCTION("if(COUNTA(FILTER(C:C, C:C = C1588))=1,""no"",""yes"")"),"no")</f>
        <v>no</v>
      </c>
    </row>
    <row r="1589">
      <c r="A1589" s="75" t="s">
        <v>1053</v>
      </c>
      <c r="B1589" s="2">
        <v>6.0</v>
      </c>
      <c r="C1589" s="19" t="s">
        <v>3340</v>
      </c>
      <c r="D1589" s="58" t="str">
        <f t="shared" si="1294"/>
        <v/>
      </c>
      <c r="E1589" s="59">
        <f>Q1589</f>
        <v>43871</v>
      </c>
      <c r="F1589" s="60" t="str">
        <f>IFERROR(__xludf.DUMMYFUNCTION("iferror(ifna(IFNA(filter('2.1.clean'!E:E,'2.1.clean'!A:A=C1589),filter('2.2.clean'!G:G,'2.2.clean'!D:D=C1589)),filter('2.4.clean'!E:E,'2.4.clean'!A:A=C1589)),)"),"")</f>
        <v/>
      </c>
      <c r="G1589" s="59" t="str">
        <f>IFERROR(__xludf.DUMMYFUNCTION("iferror(filter('3.1.clean'!C:C,'3.1.clean'!A:A=C1589),"""")"),"")</f>
        <v/>
      </c>
      <c r="H1589" s="58"/>
      <c r="I1589" s="58" t="str">
        <f>IFERROR(__xludf.DUMMYFUNCTION("iferror(filter('3.1.clean'!G:G,'3.1.clean'!A:A=C1589),"""")"),"")</f>
        <v/>
      </c>
      <c r="J1589" s="60" t="str">
        <f>IFERROR(__xludf.DUMMYFUNCTION("iferror(filter('3.1.clean'!I:I,'3.1.clean'!A:A=C1589),"""")"),"")</f>
        <v/>
      </c>
      <c r="K1589" s="59"/>
      <c r="L1589" s="60"/>
      <c r="M1589" s="59" t="str">
        <f>IFERROR(__xludf.DUMMYFUNCTION("iferror(filter('3.3.clean'!C:C,'3.3.clean'!A:A=C1589),"""")"),"")</f>
        <v/>
      </c>
      <c r="N1589" s="60" t="b">
        <f t="shared" si="1289"/>
        <v>0</v>
      </c>
      <c r="O1589" s="59" t="str">
        <f>IFERROR(__xludf.DUMMYFUNCTION("iferror(filter('3.4.clean'!C:C,'3.4.clean'!A:A=C1589),"""")"),"")</f>
        <v/>
      </c>
      <c r="P1589" s="60" t="b">
        <f t="shared" si="1290"/>
        <v>0</v>
      </c>
      <c r="Q1589" s="59">
        <f>IFERROR(__xludf.DUMMYFUNCTION("iferror(filter('3.5.clean'!C:C,'3.5.clean'!A:A=C1589),"""")"),43871.0)</f>
        <v>43871</v>
      </c>
      <c r="R1589" s="58" t="b">
        <f t="shared" ref="R1589:R1590" si="1295">if(Q1589="",FALSE,TRUE)</f>
        <v>1</v>
      </c>
      <c r="S1589" s="4">
        <f>IFERROR(__xludf.DUMMYFUNCTION("iferror(filter('3.5.clean'!H:H,'3.5.clean'!A:A=C1589),"""")"),0.0)</f>
        <v>0</v>
      </c>
      <c r="V1589" s="52" t="s">
        <v>64</v>
      </c>
      <c r="W1589" s="23" t="b">
        <f>if(AND(R1589=TRUE,N1589=TRUE,P1589=TRUE),TRUE,FALSE)</f>
        <v>0</v>
      </c>
      <c r="X1589" s="23" t="str">
        <f>IFERROR(__xludf.DUMMYFUNCTION("if(COUNTA(FILTER(C:C, C:C = C1589))=1,""no"",""yes"")"),"no")</f>
        <v>no</v>
      </c>
    </row>
    <row r="1590">
      <c r="A1590" s="75" t="s">
        <v>1053</v>
      </c>
      <c r="B1590" s="2">
        <v>7.0</v>
      </c>
      <c r="C1590" s="19" t="s">
        <v>3356</v>
      </c>
      <c r="E1590" s="24">
        <f>IFERROR(__xludf.DUMMYFUNCTION("ifna(IFNA(filter('2.1.clean'!C:C,'2.1.clean'!A:A=C1590),filter('2.2.clean'!E:E,'2.2.clean'!D:D=C1590)),filter('2.4.clean'!C:C,'2.4.clean'!A:A=C1590))"),43871.0)</f>
        <v>43871</v>
      </c>
      <c r="F1590" s="25">
        <f>IFERROR(__xludf.DUMMYFUNCTION("iferror(ifna(IFNA(filter('2.1.clean'!E:E,'2.1.clean'!A:A=C1590),filter('2.2.clean'!G:G,'2.2.clean'!D:D=C1590)),filter('2.4.clean'!E:E,'2.4.clean'!A:A=C1590)),)"),2.39999999999999)</f>
        <v>2.4</v>
      </c>
      <c r="G1590" s="24">
        <f>IFERROR(__xludf.DUMMYFUNCTION("iferror(filter('3.1.clean'!C:C,'3.1.clean'!A:A=C1590),"""")"),43871.0)</f>
        <v>43871</v>
      </c>
      <c r="H1590" s="23" t="b">
        <f t="shared" ref="H1590:H1591" si="1296">if(G1590="",FALSE,TRUE)</f>
        <v>1</v>
      </c>
      <c r="J1590" s="25"/>
      <c r="K1590" s="24">
        <f>IFERROR(__xludf.DUMMYFUNCTION("iferror(filter('3.2.clean'!C:C,'3.2.clean'!A:A=C1590),"""")"),43872.0)</f>
        <v>43872</v>
      </c>
      <c r="L1590" s="25" t="b">
        <f>if(K1590="",FALSE,TRUE)</f>
        <v>1</v>
      </c>
      <c r="M1590" s="24">
        <f>IFERROR(__xludf.DUMMYFUNCTION("iferror(filter('3.3.clean'!C:C,'3.3.clean'!A:A=C1590),"""")"),43878.0)</f>
        <v>43878</v>
      </c>
      <c r="N1590" s="25" t="b">
        <f t="shared" si="1289"/>
        <v>1</v>
      </c>
      <c r="O1590" s="24">
        <f>IFERROR(__xludf.DUMMYFUNCTION("iferror(filter('3.4.clean'!C:C,'3.4.clean'!A:A=C1590),"""")"),43878.0)</f>
        <v>43878</v>
      </c>
      <c r="P1590" s="25" t="b">
        <f t="shared" si="1290"/>
        <v>1</v>
      </c>
      <c r="Q1590" s="24">
        <f>IFERROR(__xludf.DUMMYFUNCTION("iferror(filter('3.5.clean'!C:C,'3.5.clean'!A:A=C1590),"""")"),43871.0)</f>
        <v>43871</v>
      </c>
      <c r="R1590" s="23" t="b">
        <f t="shared" si="1295"/>
        <v>1</v>
      </c>
      <c r="S1590" s="25"/>
      <c r="U1590" s="23" t="s">
        <v>177</v>
      </c>
      <c r="V1590" s="1" t="s">
        <v>64</v>
      </c>
      <c r="X1590" s="23" t="str">
        <f>IFERROR(__xludf.DUMMYFUNCTION("if(COUNTA(FILTER(C:C, C:C = C1590))=1,""no"",""yes"")"),"no")</f>
        <v>no</v>
      </c>
    </row>
    <row r="1591">
      <c r="A1591" s="75" t="s">
        <v>1053</v>
      </c>
      <c r="B1591" s="2">
        <v>8.0</v>
      </c>
      <c r="C1591" s="19" t="s">
        <v>3365</v>
      </c>
      <c r="D1591" s="58" t="str">
        <f t="shared" ref="D1591:D1592" si="1297">if(or(I1591=1,J1591=1,S1591=1),"pos","")</f>
        <v/>
      </c>
      <c r="E1591" s="59">
        <f>IFERROR(__xludf.DUMMYFUNCTION("ifna(IFNA(filter('2.1.clean'!C:C,'2.1.clean'!A:A=C1591),filter('2.2.clean'!E:E,'2.2.clean'!D:D=C1591)),filter('2.4.clean'!C:C,'2.4.clean'!A:A=C1591))"),43871.0)</f>
        <v>43871</v>
      </c>
      <c r="F1591" s="60">
        <f>IFERROR(__xludf.DUMMYFUNCTION("iferror(ifna(IFNA(filter('2.1.clean'!E:E,'2.1.clean'!A:A=C1591),filter('2.2.clean'!G:G,'2.2.clean'!D:D=C1591)),filter('2.4.clean'!E:E,'2.4.clean'!A:A=C1591)),)"),2.39999999999999)</f>
        <v>2.4</v>
      </c>
      <c r="G1591" s="59">
        <f>IFERROR(__xludf.DUMMYFUNCTION("iferror(filter('3.1.clean'!C:C,'3.1.clean'!A:A=C1591),"""")"),43871.0)</f>
        <v>43871</v>
      </c>
      <c r="H1591" s="58" t="b">
        <f t="shared" si="1296"/>
        <v>1</v>
      </c>
      <c r="I1591" s="58">
        <f>IFERROR(__xludf.DUMMYFUNCTION("iferror(filter('3.1.clean'!G:G,'3.1.clean'!A:A=C1591),"""")"),0.0)</f>
        <v>0</v>
      </c>
      <c r="J1591" s="60" t="str">
        <f>IFERROR(__xludf.DUMMYFUNCTION("iferror(filter('3.1.clean'!I:I,'3.1.clean'!A:A=C1591),"""")"),"")</f>
        <v/>
      </c>
      <c r="K1591" s="58"/>
      <c r="L1591" s="60"/>
      <c r="M1591" s="59">
        <f>IFERROR(__xludf.DUMMYFUNCTION("iferror(filter('3.3.clean'!C:C,'3.3.clean'!A:A=C1591),"""")"),43878.0)</f>
        <v>43878</v>
      </c>
      <c r="N1591" s="60" t="b">
        <f t="shared" si="1289"/>
        <v>1</v>
      </c>
      <c r="O1591" s="59">
        <f>IFERROR(__xludf.DUMMYFUNCTION("iferror(filter('3.4.clean'!C:C,'3.4.clean'!A:A=C1591),"""")"),43878.0)</f>
        <v>43878</v>
      </c>
      <c r="P1591" s="60" t="b">
        <f t="shared" si="1290"/>
        <v>1</v>
      </c>
      <c r="Q1591" s="59" t="str">
        <f>IFERROR(__xludf.DUMMYFUNCTION("iferror(filter('3.5.clean'!C:C,'3.5.clean'!A:A=C1591),"""")"),"")</f>
        <v/>
      </c>
      <c r="R1591" s="58"/>
      <c r="S1591" s="4" t="str">
        <f>IFERROR(__xludf.DUMMYFUNCTION("iferror(filter('3.5.clean'!H:H,'3.5.clean'!A:A=C1591),"""")"),"")</f>
        <v/>
      </c>
      <c r="W1591" s="23" t="b">
        <f>if(AND(H1591=TRUE,N1591=TRUE,P1591=TRUE),TRUE,FALSE)</f>
        <v>1</v>
      </c>
      <c r="X1591" s="23" t="str">
        <f>IFERROR(__xludf.DUMMYFUNCTION("if(COUNTA(FILTER(C:C, C:C = C1591))=1,""no"",""yes"")"),"no")</f>
        <v>no</v>
      </c>
    </row>
    <row r="1592">
      <c r="A1592" s="75" t="s">
        <v>1053</v>
      </c>
      <c r="B1592" s="2">
        <v>9.0</v>
      </c>
      <c r="C1592" s="19" t="s">
        <v>3373</v>
      </c>
      <c r="D1592" s="58" t="str">
        <f t="shared" si="1297"/>
        <v/>
      </c>
      <c r="E1592" s="59">
        <f>Q1592</f>
        <v>43871</v>
      </c>
      <c r="F1592" s="60" t="str">
        <f>IFERROR(__xludf.DUMMYFUNCTION("iferror(ifna(IFNA(filter('2.1.clean'!E:E,'2.1.clean'!A:A=C1592),filter('2.2.clean'!G:G,'2.2.clean'!D:D=C1592)),filter('2.4.clean'!E:E,'2.4.clean'!A:A=C1592)),)"),"")</f>
        <v/>
      </c>
      <c r="G1592" s="59" t="str">
        <f>IFERROR(__xludf.DUMMYFUNCTION("iferror(filter('3.1.clean'!C:C,'3.1.clean'!A:A=C1592),"""")"),"")</f>
        <v/>
      </c>
      <c r="H1592" s="58"/>
      <c r="I1592" s="58" t="str">
        <f>IFERROR(__xludf.DUMMYFUNCTION("iferror(filter('3.1.clean'!G:G,'3.1.clean'!A:A=C1592),"""")"),"")</f>
        <v/>
      </c>
      <c r="J1592" s="60" t="str">
        <f>IFERROR(__xludf.DUMMYFUNCTION("iferror(filter('3.1.clean'!I:I,'3.1.clean'!A:A=C1592),"""")"),"")</f>
        <v/>
      </c>
      <c r="K1592" s="59"/>
      <c r="L1592" s="60"/>
      <c r="M1592" s="59" t="str">
        <f>IFERROR(__xludf.DUMMYFUNCTION("iferror(filter('3.3.clean'!C:C,'3.3.clean'!A:A=C1592),"""")"),"")</f>
        <v/>
      </c>
      <c r="N1592" s="60" t="b">
        <f t="shared" si="1289"/>
        <v>0</v>
      </c>
      <c r="O1592" s="59" t="str">
        <f>IFERROR(__xludf.DUMMYFUNCTION("iferror(filter('3.4.clean'!C:C,'3.4.clean'!A:A=C1592),"""")"),"")</f>
        <v/>
      </c>
      <c r="P1592" s="60" t="b">
        <f t="shared" si="1290"/>
        <v>0</v>
      </c>
      <c r="Q1592" s="59">
        <f>IFERROR(__xludf.DUMMYFUNCTION("iferror(filter('3.5.clean'!C:C,'3.5.clean'!A:A=C1592),"""")"),43871.0)</f>
        <v>43871</v>
      </c>
      <c r="R1592" s="58" t="b">
        <f t="shared" ref="R1592:R1593" si="1298">if(Q1592="",FALSE,TRUE)</f>
        <v>1</v>
      </c>
      <c r="S1592" s="4">
        <f>IFERROR(__xludf.DUMMYFUNCTION("iferror(filter('3.5.clean'!H:H,'3.5.clean'!A:A=C1592),"""")"),0.0)</f>
        <v>0</v>
      </c>
      <c r="V1592" s="52" t="s">
        <v>64</v>
      </c>
      <c r="W1592" s="23" t="b">
        <f>if(AND(R1592=TRUE,N1592=TRUE,P1592=TRUE),TRUE,FALSE)</f>
        <v>0</v>
      </c>
      <c r="X1592" s="23" t="str">
        <f>IFERROR(__xludf.DUMMYFUNCTION("if(COUNTA(FILTER(C:C, C:C = C1592))=1,""no"",""yes"")"),"no")</f>
        <v>no</v>
      </c>
    </row>
    <row r="1593">
      <c r="A1593" s="75" t="s">
        <v>1053</v>
      </c>
      <c r="B1593" s="2">
        <v>10.0</v>
      </c>
      <c r="C1593" s="19" t="s">
        <v>3380</v>
      </c>
      <c r="E1593" s="24">
        <f>IFERROR(__xludf.DUMMYFUNCTION("ifna(IFNA(filter('2.1.clean'!C:C,'2.1.clean'!A:A=C1593),filter('2.2.clean'!E:E,'2.2.clean'!D:D=C1593)),filter('2.4.clean'!C:C,'2.4.clean'!A:A=C1593))"),43871.0)</f>
        <v>43871</v>
      </c>
      <c r="F1593" s="25">
        <f>IFERROR(__xludf.DUMMYFUNCTION("iferror(ifna(IFNA(filter('2.1.clean'!E:E,'2.1.clean'!A:A=C1593),filter('2.2.clean'!G:G,'2.2.clean'!D:D=C1593)),filter('2.4.clean'!E:E,'2.4.clean'!A:A=C1593)),)"),2.39999999999999)</f>
        <v>2.4</v>
      </c>
      <c r="G1593" s="24">
        <f>IFERROR(__xludf.DUMMYFUNCTION("iferror(filter('3.1.clean'!C:C,'3.1.clean'!A:A=C1593),"""")"),43871.0)</f>
        <v>43871</v>
      </c>
      <c r="H1593" s="23" t="b">
        <f t="shared" ref="H1593:H1594" si="1299">if(G1593="",FALSE,TRUE)</f>
        <v>1</v>
      </c>
      <c r="J1593" s="25"/>
      <c r="K1593" s="24">
        <f>IFERROR(__xludf.DUMMYFUNCTION("iferror(filter('3.2.clean'!C:C,'3.2.clean'!A:A=C1593),"""")"),43872.0)</f>
        <v>43872</v>
      </c>
      <c r="L1593" s="25" t="b">
        <f>if(K1593="",FALSE,TRUE)</f>
        <v>1</v>
      </c>
      <c r="M1593" s="24">
        <f>IFERROR(__xludf.DUMMYFUNCTION("iferror(filter('3.3.clean'!C:C,'3.3.clean'!A:A=C1593),"""")"),43878.0)</f>
        <v>43878</v>
      </c>
      <c r="N1593" s="25" t="b">
        <f t="shared" si="1289"/>
        <v>1</v>
      </c>
      <c r="O1593" s="24">
        <f>IFERROR(__xludf.DUMMYFUNCTION("iferror(filter('3.4.clean'!C:C,'3.4.clean'!A:A=C1593),"""")"),43878.0)</f>
        <v>43878</v>
      </c>
      <c r="P1593" s="25" t="b">
        <f t="shared" si="1290"/>
        <v>1</v>
      </c>
      <c r="Q1593" s="24">
        <f>IFERROR(__xludf.DUMMYFUNCTION("iferror(filter('3.5.clean'!C:C,'3.5.clean'!A:A=C1593),"""")"),43871.0)</f>
        <v>43871</v>
      </c>
      <c r="R1593" s="23" t="b">
        <f t="shared" si="1298"/>
        <v>1</v>
      </c>
      <c r="S1593" s="25"/>
      <c r="U1593" s="23" t="s">
        <v>177</v>
      </c>
      <c r="V1593" s="1" t="s">
        <v>64</v>
      </c>
      <c r="X1593" s="23" t="str">
        <f>IFERROR(__xludf.DUMMYFUNCTION("if(COUNTA(FILTER(C:C, C:C = C1593))=1,""no"",""yes"")"),"no")</f>
        <v>no</v>
      </c>
    </row>
    <row r="1594">
      <c r="A1594" s="75" t="s">
        <v>1053</v>
      </c>
      <c r="B1594" s="2">
        <v>11.0</v>
      </c>
      <c r="C1594" s="19" t="s">
        <v>3395</v>
      </c>
      <c r="D1594" s="58" t="str">
        <f t="shared" ref="D1594:D1595" si="1300">if(or(I1594=1,J1594=1,S1594=1),"pos","")</f>
        <v/>
      </c>
      <c r="E1594" s="59">
        <f>IFERROR(__xludf.DUMMYFUNCTION("ifna(IFNA(filter('2.1.clean'!C:C,'2.1.clean'!A:A=C1594),filter('2.2.clean'!E:E,'2.2.clean'!D:D=C1594)),filter('2.4.clean'!C:C,'2.4.clean'!A:A=C1594))"),43871.0)</f>
        <v>43871</v>
      </c>
      <c r="F1594" s="60">
        <f>IFERROR(__xludf.DUMMYFUNCTION("iferror(ifna(IFNA(filter('2.1.clean'!E:E,'2.1.clean'!A:A=C1594),filter('2.2.clean'!G:G,'2.2.clean'!D:D=C1594)),filter('2.4.clean'!E:E,'2.4.clean'!A:A=C1594)),)"),2.39999999999999)</f>
        <v>2.4</v>
      </c>
      <c r="G1594" s="59">
        <f>IFERROR(__xludf.DUMMYFUNCTION("iferror(filter('3.1.clean'!C:C,'3.1.clean'!A:A=C1594),"""")"),43871.0)</f>
        <v>43871</v>
      </c>
      <c r="H1594" s="58" t="b">
        <f t="shared" si="1299"/>
        <v>1</v>
      </c>
      <c r="I1594" s="58">
        <f>IFERROR(__xludf.DUMMYFUNCTION("iferror(filter('3.1.clean'!G:G,'3.1.clean'!A:A=C1594),"""")"),0.0)</f>
        <v>0</v>
      </c>
      <c r="J1594" s="60" t="str">
        <f>IFERROR(__xludf.DUMMYFUNCTION("iferror(filter('3.1.clean'!I:I,'3.1.clean'!A:A=C1594),"""")"),"")</f>
        <v/>
      </c>
      <c r="K1594" s="58"/>
      <c r="L1594" s="60"/>
      <c r="M1594" s="59" t="str">
        <f>IFERROR(__xludf.DUMMYFUNCTION("iferror(filter('3.3.clean'!C:C,'3.3.clean'!A:A=C1594),"""")"),"")</f>
        <v/>
      </c>
      <c r="N1594" s="60" t="b">
        <f t="shared" si="1289"/>
        <v>0</v>
      </c>
      <c r="O1594" s="59" t="str">
        <f>IFERROR(__xludf.DUMMYFUNCTION("iferror(filter('3.4.clean'!C:C,'3.4.clean'!A:A=C1594),"""")"),"")</f>
        <v/>
      </c>
      <c r="P1594" s="60" t="b">
        <f t="shared" si="1290"/>
        <v>0</v>
      </c>
      <c r="Q1594" s="59" t="str">
        <f>IFERROR(__xludf.DUMMYFUNCTION("iferror(filter('3.5.clean'!C:C,'3.5.clean'!A:A=C1594),"""")"),"")</f>
        <v/>
      </c>
      <c r="R1594" s="58"/>
      <c r="S1594" s="4" t="str">
        <f>IFERROR(__xludf.DUMMYFUNCTION("iferror(filter('3.5.clean'!H:H,'3.5.clean'!A:A=C1594),"""")"),"")</f>
        <v/>
      </c>
      <c r="W1594" s="23" t="b">
        <f>if(AND(H1594=TRUE,N1594=TRUE,P1594=TRUE),TRUE,FALSE)</f>
        <v>0</v>
      </c>
      <c r="X1594" s="23" t="str">
        <f>IFERROR(__xludf.DUMMYFUNCTION("if(COUNTA(FILTER(C:C, C:C = C1594))=1,""no"",""yes"")"),"no")</f>
        <v>no</v>
      </c>
    </row>
    <row r="1595">
      <c r="A1595" s="75" t="s">
        <v>1053</v>
      </c>
      <c r="B1595" s="2">
        <v>12.0</v>
      </c>
      <c r="C1595" s="19" t="s">
        <v>3403</v>
      </c>
      <c r="D1595" s="58" t="str">
        <f t="shared" si="1300"/>
        <v/>
      </c>
      <c r="E1595" s="59">
        <f>Q1595</f>
        <v>43871</v>
      </c>
      <c r="F1595" s="60" t="str">
        <f>IFERROR(__xludf.DUMMYFUNCTION("iferror(ifna(IFNA(filter('2.1.clean'!E:E,'2.1.clean'!A:A=C1595),filter('2.2.clean'!G:G,'2.2.clean'!D:D=C1595)),filter('2.4.clean'!E:E,'2.4.clean'!A:A=C1595)),)"),"")</f>
        <v/>
      </c>
      <c r="G1595" s="59" t="str">
        <f>IFERROR(__xludf.DUMMYFUNCTION("iferror(filter('3.1.clean'!C:C,'3.1.clean'!A:A=C1595),"""")"),"")</f>
        <v/>
      </c>
      <c r="H1595" s="58"/>
      <c r="I1595" s="58" t="str">
        <f>IFERROR(__xludf.DUMMYFUNCTION("iferror(filter('3.1.clean'!G:G,'3.1.clean'!A:A=C1595),"""")"),"")</f>
        <v/>
      </c>
      <c r="J1595" s="60" t="str">
        <f>IFERROR(__xludf.DUMMYFUNCTION("iferror(filter('3.1.clean'!I:I,'3.1.clean'!A:A=C1595),"""")"),"")</f>
        <v/>
      </c>
      <c r="K1595" s="59"/>
      <c r="L1595" s="60"/>
      <c r="M1595" s="59" t="str">
        <f>IFERROR(__xludf.DUMMYFUNCTION("iferror(filter('3.3.clean'!C:C,'3.3.clean'!A:A=C1595),"""")"),"")</f>
        <v/>
      </c>
      <c r="N1595" s="60" t="b">
        <f t="shared" si="1289"/>
        <v>0</v>
      </c>
      <c r="O1595" s="59" t="str">
        <f>IFERROR(__xludf.DUMMYFUNCTION("iferror(filter('3.4.clean'!C:C,'3.4.clean'!A:A=C1595),"""")"),"")</f>
        <v/>
      </c>
      <c r="P1595" s="60" t="b">
        <f t="shared" si="1290"/>
        <v>0</v>
      </c>
      <c r="Q1595" s="59">
        <f>IFERROR(__xludf.DUMMYFUNCTION("iferror(filter('3.5.clean'!C:C,'3.5.clean'!A:A=C1595),"""")"),43871.0)</f>
        <v>43871</v>
      </c>
      <c r="R1595" s="58" t="b">
        <f t="shared" ref="R1595:R1596" si="1301">if(Q1595="",FALSE,TRUE)</f>
        <v>1</v>
      </c>
      <c r="S1595" s="4">
        <f>IFERROR(__xludf.DUMMYFUNCTION("iferror(filter('3.5.clean'!H:H,'3.5.clean'!A:A=C1595),"""")"),0.0)</f>
        <v>0</v>
      </c>
      <c r="V1595" s="52" t="s">
        <v>64</v>
      </c>
      <c r="W1595" s="23" t="b">
        <f>if(AND(R1595=TRUE,N1595=TRUE,P1595=TRUE),TRUE,FALSE)</f>
        <v>0</v>
      </c>
      <c r="X1595" s="23" t="str">
        <f>IFERROR(__xludf.DUMMYFUNCTION("if(COUNTA(FILTER(C:C, C:C = C1595))=1,""no"",""yes"")"),"no")</f>
        <v>no</v>
      </c>
    </row>
    <row r="1596">
      <c r="A1596" s="75" t="s">
        <v>1053</v>
      </c>
      <c r="B1596" s="2">
        <v>13.0</v>
      </c>
      <c r="C1596" s="19" t="s">
        <v>3412</v>
      </c>
      <c r="E1596" s="24">
        <f>IFERROR(__xludf.DUMMYFUNCTION("ifna(IFNA(filter('2.1.clean'!C:C,'2.1.clean'!A:A=C1596),filter('2.2.clean'!E:E,'2.2.clean'!D:D=C1596)),filter('2.4.clean'!C:C,'2.4.clean'!A:A=C1596))"),43871.0)</f>
        <v>43871</v>
      </c>
      <c r="F1596" s="25">
        <f>IFERROR(__xludf.DUMMYFUNCTION("iferror(ifna(IFNA(filter('2.1.clean'!E:E,'2.1.clean'!A:A=C1596),filter('2.2.clean'!G:G,'2.2.clean'!D:D=C1596)),filter('2.4.clean'!E:E,'2.4.clean'!A:A=C1596)),)"),2.39999999999999)</f>
        <v>2.4</v>
      </c>
      <c r="G1596" s="24">
        <f>IFERROR(__xludf.DUMMYFUNCTION("iferror(filter('3.1.clean'!C:C,'3.1.clean'!A:A=C1596),"""")"),43871.0)</f>
        <v>43871</v>
      </c>
      <c r="H1596" s="23" t="b">
        <f t="shared" ref="H1596:H1597" si="1302">if(G1596="",FALSE,TRUE)</f>
        <v>1</v>
      </c>
      <c r="J1596" s="25"/>
      <c r="K1596" s="24">
        <f>IFERROR(__xludf.DUMMYFUNCTION("iferror(filter('3.2.clean'!C:C,'3.2.clean'!A:A=C1596),"""")"),43872.0)</f>
        <v>43872</v>
      </c>
      <c r="L1596" s="25" t="b">
        <f>if(K1596="",FALSE,TRUE)</f>
        <v>1</v>
      </c>
      <c r="M1596" s="24">
        <f>IFERROR(__xludf.DUMMYFUNCTION("iferror(filter('3.3.clean'!C:C,'3.3.clean'!A:A=C1596),"""")"),43878.0)</f>
        <v>43878</v>
      </c>
      <c r="N1596" s="25" t="b">
        <f t="shared" si="1289"/>
        <v>1</v>
      </c>
      <c r="O1596" s="24">
        <f>IFERROR(__xludf.DUMMYFUNCTION("iferror(filter('3.4.clean'!C:C,'3.4.clean'!A:A=C1596),"""")"),43878.0)</f>
        <v>43878</v>
      </c>
      <c r="P1596" s="25" t="b">
        <f t="shared" si="1290"/>
        <v>1</v>
      </c>
      <c r="Q1596" s="24">
        <f>IFERROR(__xludf.DUMMYFUNCTION("iferror(filter('3.5.clean'!C:C,'3.5.clean'!A:A=C1596),"""")"),43871.0)</f>
        <v>43871</v>
      </c>
      <c r="R1596" s="23" t="b">
        <f t="shared" si="1301"/>
        <v>1</v>
      </c>
      <c r="S1596" s="25"/>
      <c r="U1596" s="23" t="s">
        <v>177</v>
      </c>
      <c r="V1596" s="1" t="s">
        <v>64</v>
      </c>
      <c r="X1596" s="23" t="str">
        <f>IFERROR(__xludf.DUMMYFUNCTION("if(COUNTA(FILTER(C:C, C:C = C1596))=1,""no"",""yes"")"),"no")</f>
        <v>no</v>
      </c>
    </row>
    <row r="1597">
      <c r="A1597" s="75" t="s">
        <v>1053</v>
      </c>
      <c r="B1597" s="2">
        <v>14.0</v>
      </c>
      <c r="C1597" s="19" t="s">
        <v>3421</v>
      </c>
      <c r="D1597" s="58" t="str">
        <f t="shared" ref="D1597:D1600" si="1303">if(or(I1597=1,J1597=1,S1597=1),"pos","")</f>
        <v/>
      </c>
      <c r="E1597" s="59">
        <f>IFERROR(__xludf.DUMMYFUNCTION("ifna(IFNA(filter('2.1.clean'!C:C,'2.1.clean'!A:A=C1597),filter('2.2.clean'!E:E,'2.2.clean'!D:D=C1597)),filter('2.4.clean'!C:C,'2.4.clean'!A:A=C1597))"),43871.0)</f>
        <v>43871</v>
      </c>
      <c r="F1597" s="60">
        <f>IFERROR(__xludf.DUMMYFUNCTION("iferror(ifna(IFNA(filter('2.1.clean'!E:E,'2.1.clean'!A:A=C1597),filter('2.2.clean'!G:G,'2.2.clean'!D:D=C1597)),filter('2.4.clean'!E:E,'2.4.clean'!A:A=C1597)),)"),2.39999999999999)</f>
        <v>2.4</v>
      </c>
      <c r="G1597" s="59">
        <f>IFERROR(__xludf.DUMMYFUNCTION("iferror(filter('3.1.clean'!C:C,'3.1.clean'!A:A=C1597),"""")"),43871.0)</f>
        <v>43871</v>
      </c>
      <c r="H1597" s="58" t="b">
        <f t="shared" si="1302"/>
        <v>1</v>
      </c>
      <c r="I1597" s="58">
        <f>IFERROR(__xludf.DUMMYFUNCTION("iferror(filter('3.1.clean'!G:G,'3.1.clean'!A:A=C1597),"""")"),0.0)</f>
        <v>0</v>
      </c>
      <c r="J1597" s="60" t="str">
        <f>IFERROR(__xludf.DUMMYFUNCTION("iferror(filter('3.1.clean'!I:I,'3.1.clean'!A:A=C1597),"""")"),"")</f>
        <v/>
      </c>
      <c r="K1597" s="58"/>
      <c r="L1597" s="60"/>
      <c r="M1597" s="59" t="str">
        <f>IFERROR(__xludf.DUMMYFUNCTION("iferror(filter('3.3.clean'!C:C,'3.3.clean'!A:A=C1597),"""")"),"")</f>
        <v/>
      </c>
      <c r="N1597" s="60" t="b">
        <f t="shared" si="1289"/>
        <v>0</v>
      </c>
      <c r="O1597" s="59" t="str">
        <f>IFERROR(__xludf.DUMMYFUNCTION("iferror(filter('3.4.clean'!C:C,'3.4.clean'!A:A=C1597),"""")"),"")</f>
        <v/>
      </c>
      <c r="P1597" s="60" t="b">
        <f t="shared" si="1290"/>
        <v>0</v>
      </c>
      <c r="Q1597" s="59" t="str">
        <f>IFERROR(__xludf.DUMMYFUNCTION("iferror(filter('3.5.clean'!C:C,'3.5.clean'!A:A=C1597),"""")"),"")</f>
        <v/>
      </c>
      <c r="R1597" s="58"/>
      <c r="S1597" s="4" t="str">
        <f>IFERROR(__xludf.DUMMYFUNCTION("iferror(filter('3.5.clean'!H:H,'3.5.clean'!A:A=C1597),"""")"),"")</f>
        <v/>
      </c>
      <c r="W1597" s="23" t="b">
        <f>if(AND(H1597=TRUE,N1597=TRUE,P1597=TRUE),TRUE,FALSE)</f>
        <v>0</v>
      </c>
      <c r="X1597" s="23" t="str">
        <f>IFERROR(__xludf.DUMMYFUNCTION("if(COUNTA(FILTER(C:C, C:C = C1597))=1,""no"",""yes"")"),"no")</f>
        <v>no</v>
      </c>
    </row>
    <row r="1598">
      <c r="A1598" s="75" t="s">
        <v>1053</v>
      </c>
      <c r="B1598" s="2">
        <v>15.0</v>
      </c>
      <c r="C1598" s="19" t="s">
        <v>3438</v>
      </c>
      <c r="D1598" s="58" t="str">
        <f t="shared" si="1303"/>
        <v/>
      </c>
      <c r="E1598" s="59">
        <f>Q1598</f>
        <v>43871</v>
      </c>
      <c r="F1598" s="60" t="str">
        <f>IFERROR(__xludf.DUMMYFUNCTION("iferror(ifna(IFNA(filter('2.1.clean'!E:E,'2.1.clean'!A:A=C1598),filter('2.2.clean'!G:G,'2.2.clean'!D:D=C1598)),filter('2.4.clean'!E:E,'2.4.clean'!A:A=C1598)),)"),"")</f>
        <v/>
      </c>
      <c r="G1598" s="59" t="str">
        <f>IFERROR(__xludf.DUMMYFUNCTION("iferror(filter('3.1.clean'!C:C,'3.1.clean'!A:A=C1598),"""")"),"")</f>
        <v/>
      </c>
      <c r="H1598" s="58"/>
      <c r="I1598" s="58" t="str">
        <f>IFERROR(__xludf.DUMMYFUNCTION("iferror(filter('3.1.clean'!G:G,'3.1.clean'!A:A=C1598),"""")"),"")</f>
        <v/>
      </c>
      <c r="J1598" s="60" t="str">
        <f>IFERROR(__xludf.DUMMYFUNCTION("iferror(filter('3.1.clean'!I:I,'3.1.clean'!A:A=C1598),"""")"),"")</f>
        <v/>
      </c>
      <c r="K1598" s="59"/>
      <c r="L1598" s="60"/>
      <c r="M1598" s="59" t="str">
        <f>IFERROR(__xludf.DUMMYFUNCTION("iferror(filter('3.3.clean'!C:C,'3.3.clean'!A:A=C1598),"""")"),"")</f>
        <v/>
      </c>
      <c r="N1598" s="60" t="b">
        <f t="shared" si="1289"/>
        <v>0</v>
      </c>
      <c r="O1598" s="59" t="str">
        <f>IFERROR(__xludf.DUMMYFUNCTION("iferror(filter('3.4.clean'!C:C,'3.4.clean'!A:A=C1598),"""")"),"")</f>
        <v/>
      </c>
      <c r="P1598" s="60" t="b">
        <f t="shared" si="1290"/>
        <v>0</v>
      </c>
      <c r="Q1598" s="59">
        <f>IFERROR(__xludf.DUMMYFUNCTION("iferror(filter('3.5.clean'!C:C,'3.5.clean'!A:A=C1598),"""")"),43871.0)</f>
        <v>43871</v>
      </c>
      <c r="R1598" s="58" t="b">
        <f>if(Q1598="",FALSE,TRUE)</f>
        <v>1</v>
      </c>
      <c r="S1598" s="4">
        <f>IFERROR(__xludf.DUMMYFUNCTION("iferror(filter('3.5.clean'!H:H,'3.5.clean'!A:A=C1598),"""")"),0.0)</f>
        <v>0</v>
      </c>
      <c r="V1598" s="52" t="s">
        <v>64</v>
      </c>
      <c r="W1598" s="23" t="b">
        <f>if(AND(R1598=TRUE,N1598=TRUE,P1598=TRUE),TRUE,FALSE)</f>
        <v>0</v>
      </c>
      <c r="X1598" s="23" t="str">
        <f>IFERROR(__xludf.DUMMYFUNCTION("if(COUNTA(FILTER(C:C, C:C = C1598))=1,""no"",""yes"")"),"no")</f>
        <v>no</v>
      </c>
    </row>
    <row r="1599">
      <c r="A1599" s="75" t="s">
        <v>1053</v>
      </c>
      <c r="B1599" s="2">
        <v>16.0</v>
      </c>
      <c r="C1599" s="19" t="s">
        <v>3446</v>
      </c>
      <c r="D1599" s="76" t="str">
        <f t="shared" si="1303"/>
        <v/>
      </c>
      <c r="E1599" s="77">
        <f>G1599</f>
        <v>43871</v>
      </c>
      <c r="F1599" s="78" t="str">
        <f>IFERROR(__xludf.DUMMYFUNCTION("iferror(ifna(IFNA(filter('2.1.clean'!E:E,'2.1.clean'!A:A=C1599),filter('2.2.clean'!G:G,'2.2.clean'!D:D=C1599)),filter('2.4.clean'!E:E,'2.4.clean'!A:A=C1599)),)"),"")</f>
        <v/>
      </c>
      <c r="G1599" s="77">
        <f>IFERROR(__xludf.DUMMYFUNCTION("iferror(filter('3.1.clean'!C:C,'3.1.clean'!A:A=C1599),"""")"),43871.0)</f>
        <v>43871</v>
      </c>
      <c r="H1599" s="76" t="b">
        <f>if(G1599="",FALSE,TRUE)</f>
        <v>1</v>
      </c>
      <c r="I1599" s="76">
        <f>IFERROR(__xludf.DUMMYFUNCTION("iferror(filter('3.1.clean'!G:G,'3.1.clean'!A:A=C1599),"""")"),0.0)</f>
        <v>0</v>
      </c>
      <c r="J1599" s="78" t="str">
        <f>IFERROR(__xludf.DUMMYFUNCTION("iferror(filter('3.1.clean'!I:I,'3.1.clean'!A:A=C1599),"""")"),"")</f>
        <v/>
      </c>
      <c r="K1599" s="77"/>
      <c r="L1599" s="78"/>
      <c r="M1599" s="77"/>
      <c r="N1599" s="78"/>
      <c r="O1599" s="77"/>
      <c r="P1599" s="78"/>
      <c r="Q1599" s="77"/>
      <c r="R1599" s="76"/>
      <c r="S1599" s="25"/>
      <c r="V1599" s="1" t="s">
        <v>64</v>
      </c>
      <c r="W1599" s="1" t="b">
        <v>1</v>
      </c>
      <c r="X1599" s="23" t="str">
        <f>IFERROR(__xludf.DUMMYFUNCTION("if(COUNTA(FILTER(C:C, C:C = C1599))=1,""no"",""yes"")"),"no")</f>
        <v>no</v>
      </c>
    </row>
    <row r="1600">
      <c r="A1600" s="75" t="s">
        <v>1053</v>
      </c>
      <c r="B1600" s="19">
        <v>17.0</v>
      </c>
      <c r="C1600" s="19" t="s">
        <v>3454</v>
      </c>
      <c r="D1600" s="22" t="str">
        <f t="shared" si="1303"/>
        <v/>
      </c>
      <c r="E1600" s="20">
        <f>Q1600</f>
        <v>43871</v>
      </c>
      <c r="F1600" s="79" t="str">
        <f>IFERROR(__xludf.DUMMYFUNCTION("iferror(ifna(IFNA(filter('2.1.clean'!E:E,'2.1.clean'!A:A=C1600),filter('2.2.clean'!G:G,'2.2.clean'!D:D=C1600)),filter('2.4.clean'!E:E,'2.4.clean'!A:A=C1600)),)"),"")</f>
        <v/>
      </c>
      <c r="G1600" s="20" t="str">
        <f>IFERROR(__xludf.DUMMYFUNCTION("iferror(filter('3.1.clean'!C:C,'3.1.clean'!A:A=C1600),"""")"),"")</f>
        <v/>
      </c>
      <c r="H1600" s="22"/>
      <c r="I1600" s="22"/>
      <c r="J1600" s="79"/>
      <c r="K1600" s="20" t="str">
        <f>IFERROR(__xludf.DUMMYFUNCTION("iferror(filter('3.2.clean'!C:C,'3.2.clean'!A:A=C1600),"""")"),"")</f>
        <v/>
      </c>
      <c r="L1600" s="79"/>
      <c r="M1600" s="20" t="str">
        <f>IFERROR(__xludf.DUMMYFUNCTION("iferror(filter('3.3.clean'!C:C,'3.3.clean'!A:A=C1600),"""")"),"")</f>
        <v/>
      </c>
      <c r="N1600" s="79" t="b">
        <f t="shared" ref="N1600:N1620" si="1304">if(M1600="",FALSE,TRUE)</f>
        <v>0</v>
      </c>
      <c r="O1600" s="20" t="str">
        <f>IFERROR(__xludf.DUMMYFUNCTION("iferror(filter('3.4.clean'!C:C,'3.4.clean'!A:A=C1600),"""")"),"")</f>
        <v/>
      </c>
      <c r="P1600" s="79" t="b">
        <f t="shared" ref="P1600:P1620" si="1305">if(O1600="",FALSE,TRUE)</f>
        <v>0</v>
      </c>
      <c r="Q1600" s="20">
        <f>IFERROR(__xludf.DUMMYFUNCTION("iferror(filter('3.5.clean'!C:C,'3.5.clean'!A:A=C1600),"""")"),43871.0)</f>
        <v>43871</v>
      </c>
      <c r="R1600" s="22" t="b">
        <f t="shared" ref="R1600:R1601" si="1306">if(Q1600="",FALSE,TRUE)</f>
        <v>1</v>
      </c>
      <c r="S1600" s="4">
        <f>IFERROR(__xludf.DUMMYFUNCTION("iferror(filter('3.5.clean'!H:H,'3.5.clean'!A:A=C1600),"""")"),0.0)</f>
        <v>0</v>
      </c>
      <c r="V1600" s="1" t="s">
        <v>64</v>
      </c>
      <c r="W1600" s="23" t="b">
        <f t="shared" ref="W1600:W1601" si="1307">IF(and(R1600=TRUE,N1600=TRUE,P1600=TRUE),TRUE,FALSE)</f>
        <v>0</v>
      </c>
      <c r="X1600" s="23" t="str">
        <f>IFERROR(__xludf.DUMMYFUNCTION("if(COUNTA(FILTER(C:C, C:C = C1600))=1,""no"",""yes"")"),"no")</f>
        <v>no</v>
      </c>
    </row>
    <row r="1601">
      <c r="A1601" s="1" t="s">
        <v>1056</v>
      </c>
      <c r="B1601" s="2">
        <v>1.0</v>
      </c>
      <c r="C1601" s="19" t="s">
        <v>3463</v>
      </c>
      <c r="E1601" s="24">
        <f>IFERROR(__xludf.DUMMYFUNCTION("ifna(IFNA(filter('2.1.clean'!C:C,'2.1.clean'!A:A=C1601),filter('2.2.clean'!E:E,'2.2.clean'!D:D=C1601)),filter('2.4.clean'!C:C,'2.4.clean'!A:A=C1601))"),43872.0)</f>
        <v>43872</v>
      </c>
      <c r="F1601" s="25">
        <f>IFERROR(__xludf.DUMMYFUNCTION("iferror(ifna(IFNA(filter('2.1.clean'!E:E,'2.1.clean'!A:A=C1601),filter('2.2.clean'!G:G,'2.2.clean'!D:D=C1601)),filter('2.4.clean'!E:E,'2.4.clean'!A:A=C1601)),)"),2.39999999999999)</f>
        <v>2.4</v>
      </c>
      <c r="G1601" s="24"/>
      <c r="J1601" s="25"/>
      <c r="K1601" s="24"/>
      <c r="L1601" s="25"/>
      <c r="M1601" s="24">
        <f>IFERROR(__xludf.DUMMYFUNCTION("iferror(filter('3.3.clean'!C:C,'3.3.clean'!A:A=C1601),"""")"),43879.0)</f>
        <v>43879</v>
      </c>
      <c r="N1601" s="25" t="b">
        <f t="shared" si="1304"/>
        <v>1</v>
      </c>
      <c r="O1601" s="24">
        <f>IFERROR(__xludf.DUMMYFUNCTION("iferror(filter('3.4.clean'!C:C,'3.4.clean'!A:A=C1601),"""")"),43879.0)</f>
        <v>43879</v>
      </c>
      <c r="P1601" s="25" t="b">
        <f t="shared" si="1305"/>
        <v>1</v>
      </c>
      <c r="Q1601" s="24">
        <f>IFERROR(__xludf.DUMMYFUNCTION("iferror(filter('3.5.clean'!C:C,'3.5.clean'!A:A=C1601),"""")"),43872.0)</f>
        <v>43872</v>
      </c>
      <c r="R1601" s="23" t="b">
        <f t="shared" si="1306"/>
        <v>1</v>
      </c>
      <c r="S1601" s="25">
        <v>0.0</v>
      </c>
      <c r="V1601" s="52" t="s">
        <v>64</v>
      </c>
      <c r="W1601" s="23" t="b">
        <f t="shared" si="1307"/>
        <v>1</v>
      </c>
      <c r="X1601" s="23" t="str">
        <f>IFERROR(__xludf.DUMMYFUNCTION("if(COUNTA(FILTER(C:C, C:C = C1601))=1,""no"",""yes"")"),"no")</f>
        <v>no</v>
      </c>
    </row>
    <row r="1602">
      <c r="A1602" s="1" t="s">
        <v>1056</v>
      </c>
      <c r="B1602" s="2">
        <v>2.0</v>
      </c>
      <c r="C1602" s="19" t="s">
        <v>3483</v>
      </c>
      <c r="D1602" s="58" t="str">
        <f t="shared" ref="D1602:D1603" si="1308">if(or(I1602=1,J1602=1,S1602=1),"pos","")</f>
        <v/>
      </c>
      <c r="E1602" s="59">
        <f>IFERROR(__xludf.DUMMYFUNCTION("ifna(IFNA(filter('2.1.clean'!C:C,'2.1.clean'!A:A=C1602),filter('2.2.clean'!E:E,'2.2.clean'!D:D=C1602)),filter('2.4.clean'!C:C,'2.4.clean'!A:A=C1602))"),43872.0)</f>
        <v>43872</v>
      </c>
      <c r="F1602" s="60">
        <f>IFERROR(__xludf.DUMMYFUNCTION("iferror(ifna(IFNA(filter('2.1.clean'!E:E,'2.1.clean'!A:A=C1602),filter('2.2.clean'!G:G,'2.2.clean'!D:D=C1602)),filter('2.4.clean'!E:E,'2.4.clean'!A:A=C1602)),)"),2.39999999999999)</f>
        <v>2.4</v>
      </c>
      <c r="G1602" s="59">
        <f>IFERROR(__xludf.DUMMYFUNCTION("iferror(filter('3.1.clean'!C:C,'3.1.clean'!A:A=C1602),"""")"),43872.0)</f>
        <v>43872</v>
      </c>
      <c r="H1602" s="58" t="b">
        <f>if(G1602="",FALSE,TRUE)</f>
        <v>1</v>
      </c>
      <c r="I1602" s="58">
        <f>IFERROR(__xludf.DUMMYFUNCTION("iferror(filter('3.1.clean'!G:G,'3.1.clean'!A:A=C1602),"""")"),0.0)</f>
        <v>0</v>
      </c>
      <c r="J1602" s="60" t="str">
        <f>IFERROR(__xludf.DUMMYFUNCTION("iferror(filter('3.1.clean'!I:I,'3.1.clean'!A:A=C1602),"""")"),"")</f>
        <v/>
      </c>
      <c r="K1602" s="58"/>
      <c r="L1602" s="60"/>
      <c r="M1602" s="59" t="str">
        <f>IFERROR(__xludf.DUMMYFUNCTION("iferror(filter('3.3.clean'!C:C,'3.3.clean'!A:A=C1602),"""")"),"")</f>
        <v/>
      </c>
      <c r="N1602" s="60" t="b">
        <f t="shared" si="1304"/>
        <v>0</v>
      </c>
      <c r="O1602" s="59" t="str">
        <f>IFERROR(__xludf.DUMMYFUNCTION("iferror(filter('3.4.clean'!C:C,'3.4.clean'!A:A=C1602),"""")"),"")</f>
        <v/>
      </c>
      <c r="P1602" s="60" t="b">
        <f t="shared" si="1305"/>
        <v>0</v>
      </c>
      <c r="Q1602" s="59" t="str">
        <f>IFERROR(__xludf.DUMMYFUNCTION("iferror(filter('3.5.clean'!C:C,'3.5.clean'!A:A=C1602),"""")"),"")</f>
        <v/>
      </c>
      <c r="R1602" s="58"/>
      <c r="S1602" s="4" t="str">
        <f>IFERROR(__xludf.DUMMYFUNCTION("iferror(filter('3.5.clean'!H:H,'3.5.clean'!A:A=C1602),"""")"),"")</f>
        <v/>
      </c>
      <c r="W1602" s="23" t="b">
        <f>if(AND(H1602=TRUE,N1602=TRUE,P1602=TRUE),TRUE,FALSE)</f>
        <v>0</v>
      </c>
      <c r="X1602" s="23" t="str">
        <f>IFERROR(__xludf.DUMMYFUNCTION("if(COUNTA(FILTER(C:C, C:C = C1602))=1,""no"",""yes"")"),"no")</f>
        <v>no</v>
      </c>
    </row>
    <row r="1603">
      <c r="A1603" s="1" t="s">
        <v>1056</v>
      </c>
      <c r="B1603" s="2">
        <v>3.0</v>
      </c>
      <c r="C1603" s="19" t="s">
        <v>3518</v>
      </c>
      <c r="D1603" s="58" t="str">
        <f t="shared" si="1308"/>
        <v/>
      </c>
      <c r="E1603" s="59">
        <f>Q1603</f>
        <v>43872</v>
      </c>
      <c r="F1603" s="60" t="str">
        <f>IFERROR(__xludf.DUMMYFUNCTION("iferror(ifna(IFNA(filter('2.1.clean'!E:E,'2.1.clean'!A:A=C1603),filter('2.2.clean'!G:G,'2.2.clean'!D:D=C1603)),filter('2.4.clean'!E:E,'2.4.clean'!A:A=C1603)),)"),"")</f>
        <v/>
      </c>
      <c r="G1603" s="59" t="str">
        <f>IFERROR(__xludf.DUMMYFUNCTION("iferror(filter('3.1.clean'!C:C,'3.1.clean'!A:A=C1603),"""")"),"")</f>
        <v/>
      </c>
      <c r="H1603" s="58"/>
      <c r="I1603" s="58" t="str">
        <f>IFERROR(__xludf.DUMMYFUNCTION("iferror(filter('3.1.clean'!G:G,'3.1.clean'!A:A=C1603),"""")"),"")</f>
        <v/>
      </c>
      <c r="J1603" s="60" t="str">
        <f>IFERROR(__xludf.DUMMYFUNCTION("iferror(filter('3.1.clean'!I:I,'3.1.clean'!A:A=C1603),"""")"),"")</f>
        <v/>
      </c>
      <c r="K1603" s="59"/>
      <c r="L1603" s="60"/>
      <c r="M1603" s="59" t="str">
        <f>IFERROR(__xludf.DUMMYFUNCTION("iferror(filter('3.3.clean'!C:C,'3.3.clean'!A:A=C1603),"""")"),"")</f>
        <v/>
      </c>
      <c r="N1603" s="60" t="b">
        <f t="shared" si="1304"/>
        <v>0</v>
      </c>
      <c r="O1603" s="59" t="str">
        <f>IFERROR(__xludf.DUMMYFUNCTION("iferror(filter('3.4.clean'!C:C,'3.4.clean'!A:A=C1603),"""")"),"")</f>
        <v/>
      </c>
      <c r="P1603" s="60" t="b">
        <f t="shared" si="1305"/>
        <v>0</v>
      </c>
      <c r="Q1603" s="59">
        <f>IFERROR(__xludf.DUMMYFUNCTION("iferror(filter('3.5.clean'!C:C,'3.5.clean'!A:A=C1603),"""")"),43872.0)</f>
        <v>43872</v>
      </c>
      <c r="R1603" s="58" t="b">
        <f t="shared" ref="R1603:R1604" si="1309">if(Q1603="",FALSE,TRUE)</f>
        <v>1</v>
      </c>
      <c r="S1603" s="4">
        <f>IFERROR(__xludf.DUMMYFUNCTION("iferror(filter('3.5.clean'!H:H,'3.5.clean'!A:A=C1603),"""")"),0.0)</f>
        <v>0</v>
      </c>
      <c r="V1603" s="52" t="s">
        <v>64</v>
      </c>
      <c r="W1603" s="23" t="b">
        <f>if(AND(R1603=TRUE,N1603=TRUE,P1603=TRUE),TRUE,FALSE)</f>
        <v>0</v>
      </c>
      <c r="X1603" s="23" t="str">
        <f>IFERROR(__xludf.DUMMYFUNCTION("if(COUNTA(FILTER(C:C, C:C = C1603))=1,""no"",""yes"")"),"no")</f>
        <v>no</v>
      </c>
    </row>
    <row r="1604">
      <c r="A1604" s="1" t="s">
        <v>1056</v>
      </c>
      <c r="B1604" s="2">
        <v>4.0</v>
      </c>
      <c r="C1604" s="19" t="s">
        <v>3541</v>
      </c>
      <c r="E1604" s="24">
        <f>IFERROR(__xludf.DUMMYFUNCTION("ifna(IFNA(filter('2.1.clean'!C:C,'2.1.clean'!A:A=C1604),filter('2.2.clean'!E:E,'2.2.clean'!D:D=C1604)),filter('2.4.clean'!C:C,'2.4.clean'!A:A=C1604))"),43872.0)</f>
        <v>43872</v>
      </c>
      <c r="F1604" s="25">
        <f>IFERROR(__xludf.DUMMYFUNCTION("iferror(ifna(IFNA(filter('2.1.clean'!E:E,'2.1.clean'!A:A=C1604),filter('2.2.clean'!G:G,'2.2.clean'!D:D=C1604)),filter('2.4.clean'!E:E,'2.4.clean'!A:A=C1604)),)"),2.39999999999999)</f>
        <v>2.4</v>
      </c>
      <c r="G1604" s="24"/>
      <c r="J1604" s="25"/>
      <c r="K1604" s="24"/>
      <c r="L1604" s="25"/>
      <c r="M1604" s="24">
        <f>IFERROR(__xludf.DUMMYFUNCTION("iferror(filter('3.3.clean'!C:C,'3.3.clean'!A:A=C1604),"""")"),43879.0)</f>
        <v>43879</v>
      </c>
      <c r="N1604" s="25" t="b">
        <f t="shared" si="1304"/>
        <v>1</v>
      </c>
      <c r="O1604" s="24">
        <f>IFERROR(__xludf.DUMMYFUNCTION("iferror(filter('3.4.clean'!C:C,'3.4.clean'!A:A=C1604),"""")"),43879.0)</f>
        <v>43879</v>
      </c>
      <c r="P1604" s="25" t="b">
        <f t="shared" si="1305"/>
        <v>1</v>
      </c>
      <c r="Q1604" s="24">
        <f>IFERROR(__xludf.DUMMYFUNCTION("iferror(filter('3.5.clean'!C:C,'3.5.clean'!A:A=C1604),"""")"),43872.0)</f>
        <v>43872</v>
      </c>
      <c r="R1604" s="23" t="b">
        <f t="shared" si="1309"/>
        <v>1</v>
      </c>
      <c r="S1604" s="25">
        <v>0.0</v>
      </c>
      <c r="V1604" s="52" t="s">
        <v>64</v>
      </c>
      <c r="W1604" s="23" t="b">
        <f>IF(and(R1604=TRUE,N1604=TRUE,P1604=TRUE),TRUE,FALSE)</f>
        <v>1</v>
      </c>
      <c r="X1604" s="23" t="str">
        <f>IFERROR(__xludf.DUMMYFUNCTION("if(COUNTA(FILTER(C:C, C:C = C1604))=1,""no"",""yes"")"),"no")</f>
        <v>no</v>
      </c>
    </row>
    <row r="1605">
      <c r="A1605" s="1" t="s">
        <v>1056</v>
      </c>
      <c r="B1605" s="2">
        <v>5.0</v>
      </c>
      <c r="C1605" s="19" t="s">
        <v>3556</v>
      </c>
      <c r="D1605" s="58" t="str">
        <f t="shared" ref="D1605:D1606" si="1310">if(or(I1605=1,J1605=1,S1605=1),"pos","")</f>
        <v/>
      </c>
      <c r="E1605" s="59">
        <f>IFERROR(__xludf.DUMMYFUNCTION("ifna(IFNA(filter('2.1.clean'!C:C,'2.1.clean'!A:A=C1605),filter('2.2.clean'!E:E,'2.2.clean'!D:D=C1605)),filter('2.4.clean'!C:C,'2.4.clean'!A:A=C1605))"),43872.0)</f>
        <v>43872</v>
      </c>
      <c r="F1605" s="60">
        <f>IFERROR(__xludf.DUMMYFUNCTION("iferror(ifna(IFNA(filter('2.1.clean'!E:E,'2.1.clean'!A:A=C1605),filter('2.2.clean'!G:G,'2.2.clean'!D:D=C1605)),filter('2.4.clean'!E:E,'2.4.clean'!A:A=C1605)),)"),2.39999999999999)</f>
        <v>2.4</v>
      </c>
      <c r="G1605" s="59">
        <f>IFERROR(__xludf.DUMMYFUNCTION("iferror(filter('3.1.clean'!C:C,'3.1.clean'!A:A=C1605),"""")"),43872.0)</f>
        <v>43872</v>
      </c>
      <c r="H1605" s="58" t="b">
        <f>if(G1605="",FALSE,TRUE)</f>
        <v>1</v>
      </c>
      <c r="I1605" s="58">
        <f>IFERROR(__xludf.DUMMYFUNCTION("iferror(filter('3.1.clean'!G:G,'3.1.clean'!A:A=C1605),"""")"),0.0)</f>
        <v>0</v>
      </c>
      <c r="J1605" s="60" t="str">
        <f>IFERROR(__xludf.DUMMYFUNCTION("iferror(filter('3.1.clean'!I:I,'3.1.clean'!A:A=C1605),"""")"),"")</f>
        <v/>
      </c>
      <c r="K1605" s="58"/>
      <c r="L1605" s="60"/>
      <c r="M1605" s="59">
        <f>IFERROR(__xludf.DUMMYFUNCTION("iferror(filter('3.3.clean'!C:C,'3.3.clean'!A:A=C1605),"""")"),43879.0)</f>
        <v>43879</v>
      </c>
      <c r="N1605" s="60" t="b">
        <f t="shared" si="1304"/>
        <v>1</v>
      </c>
      <c r="O1605" s="59">
        <f>IFERROR(__xludf.DUMMYFUNCTION("iferror(filter('3.4.clean'!C:C,'3.4.clean'!A:A=C1605),"""")"),43879.0)</f>
        <v>43879</v>
      </c>
      <c r="P1605" s="60" t="b">
        <f t="shared" si="1305"/>
        <v>1</v>
      </c>
      <c r="Q1605" s="59" t="str">
        <f>IFERROR(__xludf.DUMMYFUNCTION("iferror(filter('3.5.clean'!C:C,'3.5.clean'!A:A=C1605),"""")"),"")</f>
        <v/>
      </c>
      <c r="R1605" s="58"/>
      <c r="S1605" s="4" t="str">
        <f>IFERROR(__xludf.DUMMYFUNCTION("iferror(filter('3.5.clean'!H:H,'3.5.clean'!A:A=C1605),"""")"),"")</f>
        <v/>
      </c>
      <c r="W1605" s="23" t="b">
        <f>if(AND(H1605=TRUE,N1605=TRUE,P1605=TRUE),TRUE,FALSE)</f>
        <v>1</v>
      </c>
      <c r="X1605" s="23" t="str">
        <f>IFERROR(__xludf.DUMMYFUNCTION("if(COUNTA(FILTER(C:C, C:C = C1605))=1,""no"",""yes"")"),"no")</f>
        <v>no</v>
      </c>
    </row>
    <row r="1606">
      <c r="A1606" s="1" t="s">
        <v>1056</v>
      </c>
      <c r="B1606" s="2">
        <v>6.0</v>
      </c>
      <c r="C1606" s="19" t="s">
        <v>3587</v>
      </c>
      <c r="D1606" s="58" t="str">
        <f t="shared" si="1310"/>
        <v/>
      </c>
      <c r="E1606" s="59">
        <f>Q1606</f>
        <v>43872</v>
      </c>
      <c r="F1606" s="60" t="str">
        <f>IFERROR(__xludf.DUMMYFUNCTION("iferror(ifna(IFNA(filter('2.1.clean'!E:E,'2.1.clean'!A:A=C1606),filter('2.2.clean'!G:G,'2.2.clean'!D:D=C1606)),filter('2.4.clean'!E:E,'2.4.clean'!A:A=C1606)),)"),"")</f>
        <v/>
      </c>
      <c r="G1606" s="59" t="str">
        <f>IFERROR(__xludf.DUMMYFUNCTION("iferror(filter('3.1.clean'!C:C,'3.1.clean'!A:A=C1606),"""")"),"")</f>
        <v/>
      </c>
      <c r="H1606" s="58"/>
      <c r="I1606" s="58" t="str">
        <f>IFERROR(__xludf.DUMMYFUNCTION("iferror(filter('3.1.clean'!G:G,'3.1.clean'!A:A=C1606),"""")"),"")</f>
        <v/>
      </c>
      <c r="J1606" s="60" t="str">
        <f>IFERROR(__xludf.DUMMYFUNCTION("iferror(filter('3.1.clean'!I:I,'3.1.clean'!A:A=C1606),"""")"),"")</f>
        <v/>
      </c>
      <c r="K1606" s="59"/>
      <c r="L1606" s="60"/>
      <c r="M1606" s="59" t="str">
        <f>IFERROR(__xludf.DUMMYFUNCTION("iferror(filter('3.3.clean'!C:C,'3.3.clean'!A:A=C1606),"""")"),"")</f>
        <v/>
      </c>
      <c r="N1606" s="60" t="b">
        <f t="shared" si="1304"/>
        <v>0</v>
      </c>
      <c r="O1606" s="59" t="str">
        <f>IFERROR(__xludf.DUMMYFUNCTION("iferror(filter('3.4.clean'!C:C,'3.4.clean'!A:A=C1606),"""")"),"")</f>
        <v/>
      </c>
      <c r="P1606" s="60" t="b">
        <f t="shared" si="1305"/>
        <v>0</v>
      </c>
      <c r="Q1606" s="59">
        <f>IFERROR(__xludf.DUMMYFUNCTION("iferror(filter('3.5.clean'!C:C,'3.5.clean'!A:A=C1606),"""")"),43872.0)</f>
        <v>43872</v>
      </c>
      <c r="R1606" s="58" t="b">
        <f t="shared" ref="R1606:R1607" si="1311">if(Q1606="",FALSE,TRUE)</f>
        <v>1</v>
      </c>
      <c r="S1606" s="4">
        <f>IFERROR(__xludf.DUMMYFUNCTION("iferror(filter('3.5.clean'!H:H,'3.5.clean'!A:A=C1606),"""")"),0.0)</f>
        <v>0</v>
      </c>
      <c r="V1606" s="52" t="s">
        <v>64</v>
      </c>
      <c r="W1606" s="23" t="b">
        <f>if(AND(R1606=TRUE,N1606=TRUE,P1606=TRUE),TRUE,FALSE)</f>
        <v>0</v>
      </c>
      <c r="X1606" s="23" t="str">
        <f>IFERROR(__xludf.DUMMYFUNCTION("if(COUNTA(FILTER(C:C, C:C = C1606))=1,""no"",""yes"")"),"no")</f>
        <v>no</v>
      </c>
    </row>
    <row r="1607">
      <c r="A1607" s="1" t="s">
        <v>1056</v>
      </c>
      <c r="B1607" s="2">
        <v>7.0</v>
      </c>
      <c r="C1607" s="19" t="s">
        <v>3588</v>
      </c>
      <c r="E1607" s="24">
        <f>IFERROR(__xludf.DUMMYFUNCTION("ifna(IFNA(filter('2.1.clean'!C:C,'2.1.clean'!A:A=C1607),filter('2.2.clean'!E:E,'2.2.clean'!D:D=C1607)),filter('2.4.clean'!C:C,'2.4.clean'!A:A=C1607))"),43872.0)</f>
        <v>43872</v>
      </c>
      <c r="F1607" s="25">
        <f>IFERROR(__xludf.DUMMYFUNCTION("iferror(ifna(IFNA(filter('2.1.clean'!E:E,'2.1.clean'!A:A=C1607),filter('2.2.clean'!G:G,'2.2.clean'!D:D=C1607)),filter('2.4.clean'!E:E,'2.4.clean'!A:A=C1607)),)"),2.39999999999999)</f>
        <v>2.4</v>
      </c>
      <c r="G1607" s="24"/>
      <c r="J1607" s="25"/>
      <c r="K1607" s="24"/>
      <c r="L1607" s="25"/>
      <c r="M1607" s="24">
        <f>IFERROR(__xludf.DUMMYFUNCTION("iferror(filter('3.3.clean'!C:C,'3.3.clean'!A:A=C1607),"""")"),43879.0)</f>
        <v>43879</v>
      </c>
      <c r="N1607" s="25" t="b">
        <f t="shared" si="1304"/>
        <v>1</v>
      </c>
      <c r="O1607" s="24">
        <f>IFERROR(__xludf.DUMMYFUNCTION("iferror(filter('3.4.clean'!C:C,'3.4.clean'!A:A=C1607),"""")"),43879.0)</f>
        <v>43879</v>
      </c>
      <c r="P1607" s="25" t="b">
        <f t="shared" si="1305"/>
        <v>1</v>
      </c>
      <c r="Q1607" s="24">
        <f>IFERROR(__xludf.DUMMYFUNCTION("iferror(filter('3.5.clean'!C:C,'3.5.clean'!A:A=C1607),"""")"),43872.0)</f>
        <v>43872</v>
      </c>
      <c r="R1607" s="23" t="b">
        <f t="shared" si="1311"/>
        <v>1</v>
      </c>
      <c r="S1607" s="25">
        <v>0.0</v>
      </c>
      <c r="V1607" s="52" t="s">
        <v>64</v>
      </c>
      <c r="W1607" s="23" t="b">
        <f>IF(and(R1607=TRUE,N1607=TRUE,P1607=TRUE),TRUE,FALSE)</f>
        <v>1</v>
      </c>
      <c r="X1607" s="23" t="str">
        <f>IFERROR(__xludf.DUMMYFUNCTION("if(COUNTA(FILTER(C:C, C:C = C1607))=1,""no"",""yes"")"),"no")</f>
        <v>no</v>
      </c>
    </row>
    <row r="1608">
      <c r="A1608" s="1" t="s">
        <v>1056</v>
      </c>
      <c r="B1608" s="2">
        <v>8.0</v>
      </c>
      <c r="C1608" s="19" t="s">
        <v>3589</v>
      </c>
      <c r="D1608" s="58" t="str">
        <f t="shared" ref="D1608:D1609" si="1312">if(or(I1608=1,J1608=1,S1608=1),"pos","")</f>
        <v/>
      </c>
      <c r="E1608" s="59">
        <f>IFERROR(__xludf.DUMMYFUNCTION("ifna(IFNA(filter('2.1.clean'!C:C,'2.1.clean'!A:A=C1608),filter('2.2.clean'!E:E,'2.2.clean'!D:D=C1608)),filter('2.4.clean'!C:C,'2.4.clean'!A:A=C1608))"),43872.0)</f>
        <v>43872</v>
      </c>
      <c r="F1608" s="60">
        <f>IFERROR(__xludf.DUMMYFUNCTION("iferror(ifna(IFNA(filter('2.1.clean'!E:E,'2.1.clean'!A:A=C1608),filter('2.2.clean'!G:G,'2.2.clean'!D:D=C1608)),filter('2.4.clean'!E:E,'2.4.clean'!A:A=C1608)),)"),2.39999999999999)</f>
        <v>2.4</v>
      </c>
      <c r="G1608" s="59">
        <f>IFERROR(__xludf.DUMMYFUNCTION("iferror(filter('3.1.clean'!C:C,'3.1.clean'!A:A=C1608),"""")"),43872.0)</f>
        <v>43872</v>
      </c>
      <c r="H1608" s="58" t="b">
        <f>if(G1608="",FALSE,TRUE)</f>
        <v>1</v>
      </c>
      <c r="I1608" s="58">
        <f>IFERROR(__xludf.DUMMYFUNCTION("iferror(filter('3.1.clean'!G:G,'3.1.clean'!A:A=C1608),"""")"),0.0)</f>
        <v>0</v>
      </c>
      <c r="J1608" s="60" t="str">
        <f>IFERROR(__xludf.DUMMYFUNCTION("iferror(filter('3.1.clean'!I:I,'3.1.clean'!A:A=C1608),"""")"),"")</f>
        <v/>
      </c>
      <c r="K1608" s="58"/>
      <c r="L1608" s="60"/>
      <c r="M1608" s="59" t="str">
        <f>IFERROR(__xludf.DUMMYFUNCTION("iferror(filter('3.3.clean'!C:C,'3.3.clean'!A:A=C1608),"""")"),"")</f>
        <v/>
      </c>
      <c r="N1608" s="60" t="b">
        <f t="shared" si="1304"/>
        <v>0</v>
      </c>
      <c r="O1608" s="59" t="str">
        <f>IFERROR(__xludf.DUMMYFUNCTION("iferror(filter('3.4.clean'!C:C,'3.4.clean'!A:A=C1608),"""")"),"")</f>
        <v/>
      </c>
      <c r="P1608" s="60" t="b">
        <f t="shared" si="1305"/>
        <v>0</v>
      </c>
      <c r="Q1608" s="59" t="str">
        <f>IFERROR(__xludf.DUMMYFUNCTION("iferror(filter('3.5.clean'!C:C,'3.5.clean'!A:A=C1608),"""")"),"")</f>
        <v/>
      </c>
      <c r="R1608" s="58"/>
      <c r="S1608" s="4" t="str">
        <f>IFERROR(__xludf.DUMMYFUNCTION("iferror(filter('3.5.clean'!H:H,'3.5.clean'!A:A=C1608),"""")"),"")</f>
        <v/>
      </c>
      <c r="W1608" s="23" t="b">
        <f>if(AND(H1608=TRUE,N1608=TRUE,P1608=TRUE),TRUE,FALSE)</f>
        <v>0</v>
      </c>
      <c r="X1608" s="23" t="str">
        <f>IFERROR(__xludf.DUMMYFUNCTION("if(COUNTA(FILTER(C:C, C:C = C1608))=1,""no"",""yes"")"),"no")</f>
        <v>no</v>
      </c>
    </row>
    <row r="1609">
      <c r="A1609" s="1" t="s">
        <v>1056</v>
      </c>
      <c r="B1609" s="2">
        <v>9.0</v>
      </c>
      <c r="C1609" s="19" t="s">
        <v>3644</v>
      </c>
      <c r="D1609" s="58" t="str">
        <f t="shared" si="1312"/>
        <v/>
      </c>
      <c r="E1609" s="59">
        <f>Q1609</f>
        <v>43872</v>
      </c>
      <c r="F1609" s="60" t="str">
        <f>IFERROR(__xludf.DUMMYFUNCTION("iferror(ifna(IFNA(filter('2.1.clean'!E:E,'2.1.clean'!A:A=C1609),filter('2.2.clean'!G:G,'2.2.clean'!D:D=C1609)),filter('2.4.clean'!E:E,'2.4.clean'!A:A=C1609)),)"),"")</f>
        <v/>
      </c>
      <c r="G1609" s="59" t="str">
        <f>IFERROR(__xludf.DUMMYFUNCTION("iferror(filter('3.1.clean'!C:C,'3.1.clean'!A:A=C1609),"""")"),"")</f>
        <v/>
      </c>
      <c r="H1609" s="58"/>
      <c r="I1609" s="58" t="str">
        <f>IFERROR(__xludf.DUMMYFUNCTION("iferror(filter('3.1.clean'!G:G,'3.1.clean'!A:A=C1609),"""")"),"")</f>
        <v/>
      </c>
      <c r="J1609" s="60" t="str">
        <f>IFERROR(__xludf.DUMMYFUNCTION("iferror(filter('3.1.clean'!I:I,'3.1.clean'!A:A=C1609),"""")"),"")</f>
        <v/>
      </c>
      <c r="K1609" s="59"/>
      <c r="L1609" s="60"/>
      <c r="M1609" s="59" t="str">
        <f>IFERROR(__xludf.DUMMYFUNCTION("iferror(filter('3.3.clean'!C:C,'3.3.clean'!A:A=C1609),"""")"),"")</f>
        <v/>
      </c>
      <c r="N1609" s="60" t="b">
        <f t="shared" si="1304"/>
        <v>0</v>
      </c>
      <c r="O1609" s="59" t="str">
        <f>IFERROR(__xludf.DUMMYFUNCTION("iferror(filter('3.4.clean'!C:C,'3.4.clean'!A:A=C1609),"""")"),"")</f>
        <v/>
      </c>
      <c r="P1609" s="60" t="b">
        <f t="shared" si="1305"/>
        <v>0</v>
      </c>
      <c r="Q1609" s="59">
        <f>IFERROR(__xludf.DUMMYFUNCTION("iferror(filter('3.5.clean'!C:C,'3.5.clean'!A:A=C1609),"""")"),43872.0)</f>
        <v>43872</v>
      </c>
      <c r="R1609" s="58" t="b">
        <f t="shared" ref="R1609:R1610" si="1313">if(Q1609="",FALSE,TRUE)</f>
        <v>1</v>
      </c>
      <c r="S1609" s="4">
        <f>IFERROR(__xludf.DUMMYFUNCTION("iferror(filter('3.5.clean'!H:H,'3.5.clean'!A:A=C1609),"""")"),0.0)</f>
        <v>0</v>
      </c>
      <c r="V1609" s="52" t="s">
        <v>64</v>
      </c>
      <c r="W1609" s="23" t="b">
        <f>if(AND(R1609=TRUE,N1609=TRUE,P1609=TRUE),TRUE,FALSE)</f>
        <v>0</v>
      </c>
      <c r="X1609" s="23" t="str">
        <f>IFERROR(__xludf.DUMMYFUNCTION("if(COUNTA(FILTER(C:C, C:C = C1609))=1,""no"",""yes"")"),"no")</f>
        <v>no</v>
      </c>
    </row>
    <row r="1610">
      <c r="A1610" s="1" t="s">
        <v>1056</v>
      </c>
      <c r="B1610" s="2">
        <v>10.0</v>
      </c>
      <c r="C1610" s="19" t="s">
        <v>3709</v>
      </c>
      <c r="E1610" s="24">
        <f>IFERROR(__xludf.DUMMYFUNCTION("ifna(IFNA(filter('2.1.clean'!C:C,'2.1.clean'!A:A=C1610),filter('2.2.clean'!E:E,'2.2.clean'!D:D=C1610)),filter('2.4.clean'!C:C,'2.4.clean'!A:A=C1610))"),43872.0)</f>
        <v>43872</v>
      </c>
      <c r="F1610" s="25">
        <f>IFERROR(__xludf.DUMMYFUNCTION("iferror(ifna(IFNA(filter('2.1.clean'!E:E,'2.1.clean'!A:A=C1610),filter('2.2.clean'!G:G,'2.2.clean'!D:D=C1610)),filter('2.4.clean'!E:E,'2.4.clean'!A:A=C1610)),)"),2.39999999999999)</f>
        <v>2.4</v>
      </c>
      <c r="G1610" s="24"/>
      <c r="J1610" s="25"/>
      <c r="K1610" s="24"/>
      <c r="L1610" s="25"/>
      <c r="M1610" s="24">
        <f>IFERROR(__xludf.DUMMYFUNCTION("iferror(filter('3.3.clean'!C:C,'3.3.clean'!A:A=C1610),"""")"),43879.0)</f>
        <v>43879</v>
      </c>
      <c r="N1610" s="25" t="b">
        <f t="shared" si="1304"/>
        <v>1</v>
      </c>
      <c r="O1610" s="24">
        <f>IFERROR(__xludf.DUMMYFUNCTION("iferror(filter('3.4.clean'!C:C,'3.4.clean'!A:A=C1610),"""")"),43879.0)</f>
        <v>43879</v>
      </c>
      <c r="P1610" s="25" t="b">
        <f t="shared" si="1305"/>
        <v>1</v>
      </c>
      <c r="Q1610" s="24">
        <f>IFERROR(__xludf.DUMMYFUNCTION("iferror(filter('3.5.clean'!C:C,'3.5.clean'!A:A=C1610),"""")"),43872.0)</f>
        <v>43872</v>
      </c>
      <c r="R1610" s="23" t="b">
        <f t="shared" si="1313"/>
        <v>1</v>
      </c>
      <c r="S1610" s="25">
        <v>0.0</v>
      </c>
      <c r="V1610" s="52" t="s">
        <v>64</v>
      </c>
      <c r="W1610" s="23" t="b">
        <f>IF(and(R1610=TRUE,N1610=TRUE,P1610=TRUE),TRUE,FALSE)</f>
        <v>1</v>
      </c>
      <c r="X1610" s="23" t="str">
        <f>IFERROR(__xludf.DUMMYFUNCTION("if(COUNTA(FILTER(C:C, C:C = C1610))=1,""no"",""yes"")"),"no")</f>
        <v>no</v>
      </c>
    </row>
    <row r="1611">
      <c r="A1611" s="1" t="s">
        <v>1056</v>
      </c>
      <c r="B1611" s="2">
        <v>11.0</v>
      </c>
      <c r="C1611" s="19" t="s">
        <v>3711</v>
      </c>
      <c r="D1611" s="58" t="str">
        <f t="shared" ref="D1611:D1612" si="1314">if(or(I1611=1,J1611=1,S1611=1),"pos","")</f>
        <v/>
      </c>
      <c r="E1611" s="59">
        <f>IFERROR(__xludf.DUMMYFUNCTION("ifna(IFNA(filter('2.1.clean'!C:C,'2.1.clean'!A:A=C1611),filter('2.2.clean'!E:E,'2.2.clean'!D:D=C1611)),filter('2.4.clean'!C:C,'2.4.clean'!A:A=C1611))"),43872.0)</f>
        <v>43872</v>
      </c>
      <c r="F1611" s="60">
        <f>IFERROR(__xludf.DUMMYFUNCTION("iferror(ifna(IFNA(filter('2.1.clean'!E:E,'2.1.clean'!A:A=C1611),filter('2.2.clean'!G:G,'2.2.clean'!D:D=C1611)),filter('2.4.clean'!E:E,'2.4.clean'!A:A=C1611)),)"),2.39999999999999)</f>
        <v>2.4</v>
      </c>
      <c r="G1611" s="59">
        <f>IFERROR(__xludf.DUMMYFUNCTION("iferror(filter('3.1.clean'!C:C,'3.1.clean'!A:A=C1611),"""")"),43872.0)</f>
        <v>43872</v>
      </c>
      <c r="H1611" s="58" t="b">
        <f>if(G1611="",FALSE,TRUE)</f>
        <v>1</v>
      </c>
      <c r="I1611" s="58">
        <f>IFERROR(__xludf.DUMMYFUNCTION("iferror(filter('3.1.clean'!G:G,'3.1.clean'!A:A=C1611),"""")"),0.0)</f>
        <v>0</v>
      </c>
      <c r="J1611" s="60" t="str">
        <f>IFERROR(__xludf.DUMMYFUNCTION("iferror(filter('3.1.clean'!I:I,'3.1.clean'!A:A=C1611),"""")"),"")</f>
        <v/>
      </c>
      <c r="K1611" s="58"/>
      <c r="L1611" s="60"/>
      <c r="M1611" s="59" t="str">
        <f>IFERROR(__xludf.DUMMYFUNCTION("iferror(filter('3.3.clean'!C:C,'3.3.clean'!A:A=C1611),"""")"),"")</f>
        <v/>
      </c>
      <c r="N1611" s="60" t="b">
        <f t="shared" si="1304"/>
        <v>0</v>
      </c>
      <c r="O1611" s="59" t="str">
        <f>IFERROR(__xludf.DUMMYFUNCTION("iferror(filter('3.4.clean'!C:C,'3.4.clean'!A:A=C1611),"""")"),"")</f>
        <v/>
      </c>
      <c r="P1611" s="60" t="b">
        <f t="shared" si="1305"/>
        <v>0</v>
      </c>
      <c r="Q1611" s="59" t="str">
        <f>IFERROR(__xludf.DUMMYFUNCTION("iferror(filter('3.5.clean'!C:C,'3.5.clean'!A:A=C1611),"""")"),"")</f>
        <v/>
      </c>
      <c r="R1611" s="58"/>
      <c r="S1611" s="4" t="str">
        <f>IFERROR(__xludf.DUMMYFUNCTION("iferror(filter('3.5.clean'!H:H,'3.5.clean'!A:A=C1611),"""")"),"")</f>
        <v/>
      </c>
      <c r="W1611" s="23" t="b">
        <f>if(AND(H1611=TRUE,N1611=TRUE,P1611=TRUE),TRUE,FALSE)</f>
        <v>0</v>
      </c>
      <c r="X1611" s="23" t="str">
        <f>IFERROR(__xludf.DUMMYFUNCTION("if(COUNTA(FILTER(C:C, C:C = C1611))=1,""no"",""yes"")"),"no")</f>
        <v>no</v>
      </c>
    </row>
    <row r="1612">
      <c r="A1612" s="1" t="s">
        <v>1056</v>
      </c>
      <c r="B1612" s="2">
        <v>12.0</v>
      </c>
      <c r="C1612" s="19" t="s">
        <v>3718</v>
      </c>
      <c r="D1612" s="58" t="str">
        <f t="shared" si="1314"/>
        <v/>
      </c>
      <c r="E1612" s="59">
        <f>Q1612</f>
        <v>43872</v>
      </c>
      <c r="F1612" s="60" t="str">
        <f>IFERROR(__xludf.DUMMYFUNCTION("iferror(ifna(IFNA(filter('2.1.clean'!E:E,'2.1.clean'!A:A=C1612),filter('2.2.clean'!G:G,'2.2.clean'!D:D=C1612)),filter('2.4.clean'!E:E,'2.4.clean'!A:A=C1612)),)"),"")</f>
        <v/>
      </c>
      <c r="G1612" s="59" t="str">
        <f>IFERROR(__xludf.DUMMYFUNCTION("iferror(filter('3.1.clean'!C:C,'3.1.clean'!A:A=C1612),"""")"),"")</f>
        <v/>
      </c>
      <c r="H1612" s="58"/>
      <c r="I1612" s="58" t="str">
        <f>IFERROR(__xludf.DUMMYFUNCTION("iferror(filter('3.1.clean'!G:G,'3.1.clean'!A:A=C1612),"""")"),"")</f>
        <v/>
      </c>
      <c r="J1612" s="60" t="str">
        <f>IFERROR(__xludf.DUMMYFUNCTION("iferror(filter('3.1.clean'!I:I,'3.1.clean'!A:A=C1612),"""")"),"")</f>
        <v/>
      </c>
      <c r="K1612" s="59"/>
      <c r="L1612" s="60"/>
      <c r="M1612" s="59" t="str">
        <f>IFERROR(__xludf.DUMMYFUNCTION("iferror(filter('3.3.clean'!C:C,'3.3.clean'!A:A=C1612),"""")"),"")</f>
        <v/>
      </c>
      <c r="N1612" s="60" t="b">
        <f t="shared" si="1304"/>
        <v>0</v>
      </c>
      <c r="O1612" s="59" t="str">
        <f>IFERROR(__xludf.DUMMYFUNCTION("iferror(filter('3.4.clean'!C:C,'3.4.clean'!A:A=C1612),"""")"),"")</f>
        <v/>
      </c>
      <c r="P1612" s="60" t="b">
        <f t="shared" si="1305"/>
        <v>0</v>
      </c>
      <c r="Q1612" s="59">
        <f>IFERROR(__xludf.DUMMYFUNCTION("iferror(filter('3.5.clean'!C:C,'3.5.clean'!A:A=C1612),"""")"),43872.0)</f>
        <v>43872</v>
      </c>
      <c r="R1612" s="58" t="b">
        <f>if(Q1612="",FALSE,TRUE)</f>
        <v>1</v>
      </c>
      <c r="S1612" s="4">
        <f>IFERROR(__xludf.DUMMYFUNCTION("iferror(filter('3.5.clean'!H:H,'3.5.clean'!A:A=C1612),"""")"),0.0)</f>
        <v>0</v>
      </c>
      <c r="V1612" s="52" t="s">
        <v>64</v>
      </c>
      <c r="W1612" s="23" t="b">
        <f>if(AND(R1612=TRUE,N1612=TRUE,P1612=TRUE),TRUE,FALSE)</f>
        <v>0</v>
      </c>
      <c r="X1612" s="23" t="str">
        <f>IFERROR(__xludf.DUMMYFUNCTION("if(COUNTA(FILTER(C:C, C:C = C1612))=1,""no"",""yes"")"),"no")</f>
        <v>no</v>
      </c>
    </row>
    <row r="1613">
      <c r="A1613" s="1" t="s">
        <v>1056</v>
      </c>
      <c r="B1613" s="2">
        <v>13.0</v>
      </c>
      <c r="C1613" s="19" t="s">
        <v>349</v>
      </c>
      <c r="D1613" s="24"/>
      <c r="E1613" s="24">
        <f>IFERROR(__xludf.DUMMYFUNCTION("ifna(IFNA(filter('2.1.clean'!C:C,'2.1.clean'!A:A=C1613),filter('2.2.clean'!E:E,'2.2.clean'!D:D=C1613)),filter('2.4.clean'!C:C,'2.4.clean'!A:A=C1613))"),43872.0)</f>
        <v>43872</v>
      </c>
      <c r="F1613" s="25">
        <f>IFERROR(__xludf.DUMMYFUNCTION("iferror(ifna(IFNA(filter('2.1.clean'!E:E,'2.1.clean'!A:A=C1613),filter('2.2.clean'!G:G,'2.2.clean'!D:D=C1613)),filter('2.4.clean'!E:E,'2.4.clean'!A:A=C1613)),)"),2.1)</f>
        <v>2.1</v>
      </c>
      <c r="G1613" s="24" t="str">
        <f>IFERROR(__xludf.DUMMYFUNCTION("iferror(filter('3.1.clean'!C:C,'3.1.clean'!B:B=C1613),"""")"),"")</f>
        <v/>
      </c>
      <c r="H1613" s="23" t="b">
        <f t="shared" ref="H1613:H1614" si="1315">if(G1613="",FALSE,TRUE)</f>
        <v>0</v>
      </c>
      <c r="J1613" s="25"/>
      <c r="K1613" s="24" t="str">
        <f>IFERROR(__xludf.DUMMYFUNCTION("iferror(filter('3.2.clean'!C:C,'3.2.clean'!A:A=C1613),"""")"),"")</f>
        <v/>
      </c>
      <c r="L1613" s="25" t="b">
        <f>if(K1613="",FALSE,TRUE)</f>
        <v>0</v>
      </c>
      <c r="M1613" s="24">
        <f>IFERROR(__xludf.DUMMYFUNCTION("iferror(filter('3.3.clean'!C:C,'3.3.clean'!A:A=C1613),"""")"),43879.0)</f>
        <v>43879</v>
      </c>
      <c r="N1613" s="25" t="b">
        <f t="shared" si="1304"/>
        <v>1</v>
      </c>
      <c r="O1613" s="24">
        <f>IFERROR(__xludf.DUMMYFUNCTION("iferror(filter('3.4.clean'!C:C,'3.4.clean'!A:A=C1613),"""")"),43879.0)</f>
        <v>43879</v>
      </c>
      <c r="P1613" s="25" t="b">
        <f t="shared" si="1305"/>
        <v>1</v>
      </c>
      <c r="Q1613" s="24"/>
      <c r="S1613" s="25"/>
      <c r="U1613" s="1" t="s">
        <v>382</v>
      </c>
      <c r="V1613" s="1" t="s">
        <v>83</v>
      </c>
      <c r="W1613" s="23" t="b">
        <f>IF(and(H1613=TRUE,L1613=TRUE,N1613=TRUE,P1613=TRUE),TRUE,FALSE)</f>
        <v>0</v>
      </c>
      <c r="X1613" s="23" t="str">
        <f>IFERROR(__xludf.DUMMYFUNCTION("if(COUNTA(FILTER(C:C, C:C = C1613))=1,""no"",""yes"")"),"no")</f>
        <v>no</v>
      </c>
    </row>
    <row r="1614">
      <c r="A1614" s="1" t="s">
        <v>1056</v>
      </c>
      <c r="B1614" s="2">
        <v>14.0</v>
      </c>
      <c r="C1614" s="19" t="s">
        <v>3336</v>
      </c>
      <c r="D1614" s="58" t="str">
        <f t="shared" ref="D1614:D1615" si="1316">if(or(I1614=1,J1614=1,S1614=1),"pos","")</f>
        <v/>
      </c>
      <c r="E1614" s="59">
        <f>IFERROR(__xludf.DUMMYFUNCTION("ifna(IFNA(filter('2.1.clean'!C:C,'2.1.clean'!A:A=C1614),filter('2.2.clean'!E:E,'2.2.clean'!D:D=C1614)),filter('2.4.clean'!C:C,'2.4.clean'!A:A=C1614))"),43872.0)</f>
        <v>43872</v>
      </c>
      <c r="F1614" s="60">
        <f>IFERROR(__xludf.DUMMYFUNCTION("iferror(ifna(IFNA(filter('2.1.clean'!E:E,'2.1.clean'!A:A=C1614),filter('2.2.clean'!G:G,'2.2.clean'!D:D=C1614)),filter('2.4.clean'!E:E,'2.4.clean'!A:A=C1614)),)"),2.1)</f>
        <v>2.1</v>
      </c>
      <c r="G1614" s="59">
        <f>IFERROR(__xludf.DUMMYFUNCTION("iferror(filter('3.1.clean'!C:C,'3.1.clean'!A:A=C1614),"""")"),43872.0)</f>
        <v>43872</v>
      </c>
      <c r="H1614" s="58" t="b">
        <f t="shared" si="1315"/>
        <v>1</v>
      </c>
      <c r="I1614" s="58">
        <f>IFERROR(__xludf.DUMMYFUNCTION("iferror(filter('3.1.clean'!G:G,'3.1.clean'!A:A=C1614),"""")"),0.0)</f>
        <v>0</v>
      </c>
      <c r="J1614" s="60" t="str">
        <f>IFERROR(__xludf.DUMMYFUNCTION("iferror(filter('3.1.clean'!I:I,'3.1.clean'!A:A=C1614),"""")"),"")</f>
        <v/>
      </c>
      <c r="K1614" s="58"/>
      <c r="L1614" s="60"/>
      <c r="M1614" s="59" t="str">
        <f>IFERROR(__xludf.DUMMYFUNCTION("iferror(filter('3.3.clean'!C:C,'3.3.clean'!A:A=C1614),"""")"),"")</f>
        <v/>
      </c>
      <c r="N1614" s="60" t="b">
        <f t="shared" si="1304"/>
        <v>0</v>
      </c>
      <c r="O1614" s="59" t="str">
        <f>IFERROR(__xludf.DUMMYFUNCTION("iferror(filter('3.4.clean'!C:C,'3.4.clean'!A:A=C1614),"""")"),"")</f>
        <v/>
      </c>
      <c r="P1614" s="60" t="b">
        <f t="shared" si="1305"/>
        <v>0</v>
      </c>
      <c r="Q1614" s="59" t="str">
        <f>IFERROR(__xludf.DUMMYFUNCTION("iferror(filter('3.5.clean'!C:C,'3.5.clean'!A:A=C1614),"""")"),"")</f>
        <v/>
      </c>
      <c r="R1614" s="58"/>
      <c r="S1614" s="4" t="str">
        <f>IFERROR(__xludf.DUMMYFUNCTION("iferror(filter('3.5.clean'!H:H,'3.5.clean'!A:A=C1614),"""")"),"")</f>
        <v/>
      </c>
      <c r="W1614" s="23" t="b">
        <f>if(AND(H1614=TRUE,N1614=TRUE,P1614=TRUE),TRUE,FALSE)</f>
        <v>0</v>
      </c>
      <c r="X1614" s="23" t="str">
        <f>IFERROR(__xludf.DUMMYFUNCTION("if(COUNTA(FILTER(C:C, C:C = C1614))=1,""no"",""yes"")"),"no")</f>
        <v>no</v>
      </c>
    </row>
    <row r="1615">
      <c r="A1615" s="1" t="s">
        <v>1056</v>
      </c>
      <c r="B1615" s="2">
        <v>15.0</v>
      </c>
      <c r="C1615" s="19" t="s">
        <v>3735</v>
      </c>
      <c r="D1615" s="58" t="str">
        <f t="shared" si="1316"/>
        <v/>
      </c>
      <c r="E1615" s="59">
        <f>Q1615</f>
        <v>43872</v>
      </c>
      <c r="F1615" s="60" t="str">
        <f>IFERROR(__xludf.DUMMYFUNCTION("iferror(ifna(IFNA(filter('2.1.clean'!E:E,'2.1.clean'!A:A=C1615),filter('2.2.clean'!G:G,'2.2.clean'!D:D=C1615)),filter('2.4.clean'!E:E,'2.4.clean'!A:A=C1615)),)"),"")</f>
        <v/>
      </c>
      <c r="G1615" s="59" t="str">
        <f>IFERROR(__xludf.DUMMYFUNCTION("iferror(filter('3.1.clean'!C:C,'3.1.clean'!A:A=C1615),"""")"),"")</f>
        <v/>
      </c>
      <c r="H1615" s="58"/>
      <c r="I1615" s="58" t="str">
        <f>IFERROR(__xludf.DUMMYFUNCTION("iferror(filter('3.1.clean'!G:G,'3.1.clean'!A:A=C1615),"""")"),"")</f>
        <v/>
      </c>
      <c r="J1615" s="60" t="str">
        <f>IFERROR(__xludf.DUMMYFUNCTION("iferror(filter('3.1.clean'!I:I,'3.1.clean'!A:A=C1615),"""")"),"")</f>
        <v/>
      </c>
      <c r="K1615" s="59"/>
      <c r="L1615" s="60"/>
      <c r="M1615" s="59" t="str">
        <f>IFERROR(__xludf.DUMMYFUNCTION("iferror(filter('3.3.clean'!C:C,'3.3.clean'!A:A=C1615),"""")"),"")</f>
        <v/>
      </c>
      <c r="N1615" s="60" t="b">
        <f t="shared" si="1304"/>
        <v>0</v>
      </c>
      <c r="O1615" s="59" t="str">
        <f>IFERROR(__xludf.DUMMYFUNCTION("iferror(filter('3.4.clean'!C:C,'3.4.clean'!A:A=C1615),"""")"),"")</f>
        <v/>
      </c>
      <c r="P1615" s="60" t="b">
        <f t="shared" si="1305"/>
        <v>0</v>
      </c>
      <c r="Q1615" s="59">
        <f>IFERROR(__xludf.DUMMYFUNCTION("iferror(filter('3.5.clean'!C:C,'3.5.clean'!A:A=C1615),"""")"),43872.0)</f>
        <v>43872</v>
      </c>
      <c r="R1615" s="58" t="b">
        <f t="shared" ref="R1615:R1616" si="1317">if(Q1615="",FALSE,TRUE)</f>
        <v>1</v>
      </c>
      <c r="S1615" s="4">
        <f>IFERROR(__xludf.DUMMYFUNCTION("iferror(filter('3.5.clean'!H:H,'3.5.clean'!A:A=C1615),"""")"),0.0)</f>
        <v>0</v>
      </c>
      <c r="V1615" s="52" t="s">
        <v>64</v>
      </c>
      <c r="W1615" s="23" t="b">
        <f>if(AND(R1615=TRUE,N1615=TRUE,P1615=TRUE),TRUE,FALSE)</f>
        <v>0</v>
      </c>
      <c r="X1615" s="23" t="str">
        <f>IFERROR(__xludf.DUMMYFUNCTION("if(COUNTA(FILTER(C:C, C:C = C1615))=1,""no"",""yes"")"),"no")</f>
        <v>no</v>
      </c>
    </row>
    <row r="1616">
      <c r="A1616" s="1" t="s">
        <v>1056</v>
      </c>
      <c r="B1616" s="2">
        <v>16.0</v>
      </c>
      <c r="C1616" s="19" t="s">
        <v>3345</v>
      </c>
      <c r="E1616" s="24">
        <f>IFERROR(__xludf.DUMMYFUNCTION("ifna(IFNA(filter('2.1.clean'!C:C,'2.1.clean'!A:A=C1616),filter('2.2.clean'!E:E,'2.2.clean'!D:D=C1616)),filter('2.4.clean'!C:C,'2.4.clean'!A:A=C1616))"),43872.0)</f>
        <v>43872</v>
      </c>
      <c r="F1616" s="25">
        <f>IFERROR(__xludf.DUMMYFUNCTION("iferror(ifna(IFNA(filter('2.1.clean'!E:E,'2.1.clean'!A:A=C1616),filter('2.2.clean'!G:G,'2.2.clean'!D:D=C1616)),filter('2.4.clean'!E:E,'2.4.clean'!A:A=C1616)),)"),2.1)</f>
        <v>2.1</v>
      </c>
      <c r="G1616" s="24">
        <f>IFERROR(__xludf.DUMMYFUNCTION("iferror(filter('3.1.clean'!C:C,'3.1.clean'!A:A=C1616),"""")"),43872.0)</f>
        <v>43872</v>
      </c>
      <c r="H1616" s="23" t="b">
        <f t="shared" ref="H1616:H1617" si="1318">if(G1616="",FALSE,TRUE)</f>
        <v>1</v>
      </c>
      <c r="J1616" s="25"/>
      <c r="K1616" s="24" t="str">
        <f>IFERROR(__xludf.DUMMYFUNCTION("iferror(filter('3.2.clean'!C:C,'3.2.clean'!A:A=C1616),"""")"),"")</f>
        <v/>
      </c>
      <c r="L1616" s="25" t="b">
        <f>if(K1616="",FALSE,TRUE)</f>
        <v>0</v>
      </c>
      <c r="M1616" s="24">
        <f>IFERROR(__xludf.DUMMYFUNCTION("iferror(filter('3.3.clean'!C:C,'3.3.clean'!A:A=C1616),"""")"),43879.0)</f>
        <v>43879</v>
      </c>
      <c r="N1616" s="25" t="b">
        <f t="shared" si="1304"/>
        <v>1</v>
      </c>
      <c r="O1616" s="24">
        <f>IFERROR(__xludf.DUMMYFUNCTION("iferror(filter('3.4.clean'!C:C,'3.4.clean'!A:A=C1616),"""")"),43879.0)</f>
        <v>43879</v>
      </c>
      <c r="P1616" s="25" t="b">
        <f t="shared" si="1305"/>
        <v>1</v>
      </c>
      <c r="Q1616" s="24">
        <f>IFERROR(__xludf.DUMMYFUNCTION("iferror(filter('3.5.clean'!C:C,'3.5.clean'!A:A=C1616),"""")"),43872.0)</f>
        <v>43872</v>
      </c>
      <c r="R1616" s="23" t="b">
        <f t="shared" si="1317"/>
        <v>1</v>
      </c>
      <c r="S1616" s="25"/>
      <c r="V1616" s="1" t="s">
        <v>83</v>
      </c>
      <c r="W1616" s="23" t="b">
        <f>IF(and(H1616=TRUE,L1616=TRUE,N1616=TRUE,P1616=TRUE),TRUE,FALSE)</f>
        <v>0</v>
      </c>
      <c r="X1616" s="23" t="str">
        <f>IFERROR(__xludf.DUMMYFUNCTION("if(COUNTA(FILTER(C:C, C:C = C1616))=1,""no"",""yes"")"),"no")</f>
        <v>no</v>
      </c>
    </row>
    <row r="1617">
      <c r="A1617" s="1" t="s">
        <v>1056</v>
      </c>
      <c r="B1617" s="2">
        <v>17.0</v>
      </c>
      <c r="C1617" s="19" t="s">
        <v>3353</v>
      </c>
      <c r="D1617" s="58" t="str">
        <f t="shared" ref="D1617:D1618" si="1319">if(or(I1617=1,J1617=1,S1617=1),"pos","")</f>
        <v/>
      </c>
      <c r="E1617" s="59">
        <f>IFERROR(__xludf.DUMMYFUNCTION("ifna(IFNA(filter('2.1.clean'!C:C,'2.1.clean'!A:A=C1617),filter('2.2.clean'!E:E,'2.2.clean'!D:D=C1617)),filter('2.4.clean'!C:C,'2.4.clean'!A:A=C1617))"),43872.0)</f>
        <v>43872</v>
      </c>
      <c r="F1617" s="60">
        <f>IFERROR(__xludf.DUMMYFUNCTION("iferror(ifna(IFNA(filter('2.1.clean'!E:E,'2.1.clean'!A:A=C1617),filter('2.2.clean'!G:G,'2.2.clean'!D:D=C1617)),filter('2.4.clean'!E:E,'2.4.clean'!A:A=C1617)),)"),2.1)</f>
        <v>2.1</v>
      </c>
      <c r="G1617" s="59">
        <f>IFERROR(__xludf.DUMMYFUNCTION("iferror(filter('3.1.clean'!C:C,'3.1.clean'!A:A=C1617),"""")"),43872.0)</f>
        <v>43872</v>
      </c>
      <c r="H1617" s="58" t="b">
        <f t="shared" si="1318"/>
        <v>1</v>
      </c>
      <c r="I1617" s="58">
        <f>IFERROR(__xludf.DUMMYFUNCTION("iferror(filter('3.1.clean'!G:G,'3.1.clean'!A:A=C1617),"""")"),0.0)</f>
        <v>0</v>
      </c>
      <c r="J1617" s="60" t="str">
        <f>IFERROR(__xludf.DUMMYFUNCTION("iferror(filter('3.1.clean'!I:I,'3.1.clean'!A:A=C1617),"""")"),"")</f>
        <v/>
      </c>
      <c r="K1617" s="58"/>
      <c r="L1617" s="60"/>
      <c r="M1617" s="59" t="str">
        <f>IFERROR(__xludf.DUMMYFUNCTION("iferror(filter('3.3.clean'!C:C,'3.3.clean'!A:A=C1617),"""")"),"")</f>
        <v/>
      </c>
      <c r="N1617" s="60" t="b">
        <f t="shared" si="1304"/>
        <v>0</v>
      </c>
      <c r="O1617" s="59" t="str">
        <f>IFERROR(__xludf.DUMMYFUNCTION("iferror(filter('3.4.clean'!C:C,'3.4.clean'!A:A=C1617),"""")"),"")</f>
        <v/>
      </c>
      <c r="P1617" s="60" t="b">
        <f t="shared" si="1305"/>
        <v>0</v>
      </c>
      <c r="Q1617" s="59" t="str">
        <f>IFERROR(__xludf.DUMMYFUNCTION("iferror(filter('3.5.clean'!C:C,'3.5.clean'!A:A=C1617),"""")"),"")</f>
        <v/>
      </c>
      <c r="R1617" s="58"/>
      <c r="S1617" s="4" t="str">
        <f>IFERROR(__xludf.DUMMYFUNCTION("iferror(filter('3.5.clean'!H:H,'3.5.clean'!A:A=C1617),"""")"),"")</f>
        <v/>
      </c>
      <c r="W1617" s="23" t="b">
        <f>if(AND(H1617=TRUE,N1617=TRUE,P1617=TRUE),TRUE,FALSE)</f>
        <v>0</v>
      </c>
      <c r="X1617" s="23" t="str">
        <f>IFERROR(__xludf.DUMMYFUNCTION("if(COUNTA(FILTER(C:C, C:C = C1617))=1,""no"",""yes"")"),"no")</f>
        <v>no</v>
      </c>
    </row>
    <row r="1618">
      <c r="A1618" s="1" t="s">
        <v>1056</v>
      </c>
      <c r="B1618" s="2">
        <v>18.0</v>
      </c>
      <c r="C1618" s="19" t="s">
        <v>3748</v>
      </c>
      <c r="D1618" s="58" t="str">
        <f t="shared" si="1319"/>
        <v/>
      </c>
      <c r="E1618" s="59">
        <f>Q1618</f>
        <v>43872</v>
      </c>
      <c r="F1618" s="60" t="str">
        <f>IFERROR(__xludf.DUMMYFUNCTION("iferror(ifna(IFNA(filter('2.1.clean'!E:E,'2.1.clean'!A:A=C1618),filter('2.2.clean'!G:G,'2.2.clean'!D:D=C1618)),filter('2.4.clean'!E:E,'2.4.clean'!A:A=C1618)),)"),"")</f>
        <v/>
      </c>
      <c r="G1618" s="59" t="str">
        <f>IFERROR(__xludf.DUMMYFUNCTION("iferror(filter('3.1.clean'!C:C,'3.1.clean'!A:A=C1618),"""")"),"")</f>
        <v/>
      </c>
      <c r="H1618" s="58"/>
      <c r="I1618" s="58" t="str">
        <f>IFERROR(__xludf.DUMMYFUNCTION("iferror(filter('3.1.clean'!G:G,'3.1.clean'!A:A=C1618),"""")"),"")</f>
        <v/>
      </c>
      <c r="J1618" s="60" t="str">
        <f>IFERROR(__xludf.DUMMYFUNCTION("iferror(filter('3.1.clean'!I:I,'3.1.clean'!A:A=C1618),"""")"),"")</f>
        <v/>
      </c>
      <c r="K1618" s="59"/>
      <c r="L1618" s="60"/>
      <c r="M1618" s="59" t="str">
        <f>IFERROR(__xludf.DUMMYFUNCTION("iferror(filter('3.3.clean'!C:C,'3.3.clean'!A:A=C1618),"""")"),"")</f>
        <v/>
      </c>
      <c r="N1618" s="60" t="b">
        <f t="shared" si="1304"/>
        <v>0</v>
      </c>
      <c r="O1618" s="59" t="str">
        <f>IFERROR(__xludf.DUMMYFUNCTION("iferror(filter('3.4.clean'!C:C,'3.4.clean'!A:A=C1618),"""")"),"")</f>
        <v/>
      </c>
      <c r="P1618" s="60" t="b">
        <f t="shared" si="1305"/>
        <v>0</v>
      </c>
      <c r="Q1618" s="59">
        <f>IFERROR(__xludf.DUMMYFUNCTION("iferror(filter('3.5.clean'!C:C,'3.5.clean'!A:A=C1618),"""")"),43872.0)</f>
        <v>43872</v>
      </c>
      <c r="R1618" s="58" t="b">
        <f t="shared" ref="R1618:R1620" si="1320">if(Q1618="",FALSE,TRUE)</f>
        <v>1</v>
      </c>
      <c r="S1618" s="4">
        <f>IFERROR(__xludf.DUMMYFUNCTION("iferror(filter('3.5.clean'!H:H,'3.5.clean'!A:A=C1618),"""")"),0.0)</f>
        <v>0</v>
      </c>
      <c r="V1618" s="52" t="s">
        <v>64</v>
      </c>
      <c r="W1618" s="23" t="b">
        <f>if(AND(R1618=TRUE,N1618=TRUE,P1618=TRUE),TRUE,FALSE)</f>
        <v>0</v>
      </c>
      <c r="X1618" s="23" t="str">
        <f>IFERROR(__xludf.DUMMYFUNCTION("if(COUNTA(FILTER(C:C, C:C = C1618))=1,""no"",""yes"")"),"no")</f>
        <v>no</v>
      </c>
    </row>
    <row r="1619">
      <c r="A1619" s="1" t="s">
        <v>1056</v>
      </c>
      <c r="B1619" s="19">
        <v>19.0</v>
      </c>
      <c r="C1619" s="19" t="s">
        <v>3755</v>
      </c>
      <c r="D1619" s="39"/>
      <c r="E1619" s="24">
        <f>IFERROR(__xludf.DUMMYFUNCTION("ifna(IFNA(filter('2.1.clean'!C:C,'2.1.clean'!A:A=C1619),filter('2.2.clean'!E:E,'2.2.clean'!D:D=C1619)),filter('2.4.clean'!C:C,'2.4.clean'!A:A=C1619))"),43872.0)</f>
        <v>43872</v>
      </c>
      <c r="F1619" s="25">
        <f>IFERROR(__xludf.DUMMYFUNCTION("iferror(ifna(IFNA(filter('2.1.clean'!E:E,'2.1.clean'!A:A=C1619),filter('2.2.clean'!G:G,'2.2.clean'!D:D=C1619)),filter('2.4.clean'!E:E,'2.4.clean'!A:A=C1619)),)"),2.39999999999999)</f>
        <v>2.4</v>
      </c>
      <c r="G1619" s="24">
        <f>IFERROR(__xludf.DUMMYFUNCTION("iferror(filter('3.1.clean'!C:C,'3.1.clean'!A:A=C1619),"""")"),43872.0)</f>
        <v>43872</v>
      </c>
      <c r="H1619" s="23" t="b">
        <f>if(G1619="",FALSE,TRUE)</f>
        <v>1</v>
      </c>
      <c r="J1619" s="25"/>
      <c r="K1619" s="43">
        <f>IFERROR(__xludf.DUMMYFUNCTION("iferror(filter('3.2.clean'!C:C,'3.2.clean'!A:A=C1619),"""")"),43872.0)</f>
        <v>43872</v>
      </c>
      <c r="L1619" s="25" t="b">
        <f>if(K1619="",FALSE,TRUE)</f>
        <v>1</v>
      </c>
      <c r="M1619" s="24">
        <f>IFERROR(__xludf.DUMMYFUNCTION("iferror(filter('3.3.clean'!C:C,'3.3.clean'!A:A=C1619),"""")"),43879.0)</f>
        <v>43879</v>
      </c>
      <c r="N1619" s="25" t="b">
        <f t="shared" si="1304"/>
        <v>1</v>
      </c>
      <c r="O1619" s="24">
        <f>IFERROR(__xludf.DUMMYFUNCTION("iferror(filter('3.4.clean'!C:C,'3.4.clean'!A:A=C1619),"""")"),43879.0)</f>
        <v>43879</v>
      </c>
      <c r="P1619" s="25" t="b">
        <f t="shared" si="1305"/>
        <v>1</v>
      </c>
      <c r="Q1619" s="24" t="str">
        <f>IFERROR(__xludf.DUMMYFUNCTION("iferror(filter('3.5.clean'!C:C,'3.5.clean'!A:A=C1619),"""")"),"")</f>
        <v/>
      </c>
      <c r="R1619" s="23" t="b">
        <f t="shared" si="1320"/>
        <v>0</v>
      </c>
      <c r="S1619" s="25"/>
      <c r="T1619" s="48"/>
      <c r="U1619" s="23"/>
      <c r="V1619" s="1" t="s">
        <v>64</v>
      </c>
      <c r="X1619" s="23" t="str">
        <f>IFERROR(__xludf.DUMMYFUNCTION("if(COUNTA(FILTER(C:C, C:C = C1619))=1,""no"",""yes"")"),"no")</f>
        <v>no</v>
      </c>
    </row>
    <row r="1620">
      <c r="A1620" s="1" t="s">
        <v>1056</v>
      </c>
      <c r="B1620" s="19">
        <v>20.0</v>
      </c>
      <c r="C1620" s="19" t="s">
        <v>3761</v>
      </c>
      <c r="D1620" s="22" t="str">
        <f>if(or(I1620=1,J1620=1,S1620=1),"pos","")</f>
        <v/>
      </c>
      <c r="E1620" s="20">
        <f>Q1620</f>
        <v>43872</v>
      </c>
      <c r="F1620" s="79" t="str">
        <f>IFERROR(__xludf.DUMMYFUNCTION("iferror(ifna(IFNA(filter('2.1.clean'!E:E,'2.1.clean'!A:A=C1620),filter('2.2.clean'!G:G,'2.2.clean'!D:D=C1620)),filter('2.4.clean'!E:E,'2.4.clean'!A:A=C1620)),)"),"")</f>
        <v/>
      </c>
      <c r="G1620" s="20" t="str">
        <f>IFERROR(__xludf.DUMMYFUNCTION("iferror(filter('3.1.clean'!C:C,'3.1.clean'!A:A=C1620),"""")"),"")</f>
        <v/>
      </c>
      <c r="H1620" s="22"/>
      <c r="I1620" s="22"/>
      <c r="J1620" s="79"/>
      <c r="K1620" s="20" t="str">
        <f>IFERROR(__xludf.DUMMYFUNCTION("iferror(filter('3.2.clean'!C:C,'3.2.clean'!A:A=C1620),"""")"),"")</f>
        <v/>
      </c>
      <c r="L1620" s="79"/>
      <c r="M1620" s="20" t="str">
        <f>IFERROR(__xludf.DUMMYFUNCTION("iferror(filter('3.3.clean'!C:C,'3.3.clean'!A:A=C1620),"""")"),"")</f>
        <v/>
      </c>
      <c r="N1620" s="79" t="b">
        <f t="shared" si="1304"/>
        <v>0</v>
      </c>
      <c r="O1620" s="20" t="str">
        <f>IFERROR(__xludf.DUMMYFUNCTION("iferror(filter('3.4.clean'!C:C,'3.4.clean'!A:A=C1620),"""")"),"")</f>
        <v/>
      </c>
      <c r="P1620" s="79" t="b">
        <f t="shared" si="1305"/>
        <v>0</v>
      </c>
      <c r="Q1620" s="20">
        <f>IFERROR(__xludf.DUMMYFUNCTION("iferror(filter('3.5.clean'!C:C,'3.5.clean'!A:A=C1620),"""")"),43872.0)</f>
        <v>43872</v>
      </c>
      <c r="R1620" s="22" t="b">
        <f t="shared" si="1320"/>
        <v>1</v>
      </c>
      <c r="S1620" s="4">
        <f>IFERROR(__xludf.DUMMYFUNCTION("iferror(filter('3.5.clean'!H:H,'3.5.clean'!A:A=C1620),"""")"),0.0)</f>
        <v>0</v>
      </c>
      <c r="V1620" s="1" t="s">
        <v>64</v>
      </c>
      <c r="W1620" s="23" t="b">
        <f>IF(and(R1620=TRUE,N1620=TRUE,P1620=TRUE),TRUE,FALSE)</f>
        <v>0</v>
      </c>
      <c r="X1620" s="23" t="str">
        <f>IFERROR(__xludf.DUMMYFUNCTION("if(COUNTA(FILTER(C:C, C:C = C1620))=1,""no"",""yes"")"),"no")</f>
        <v>no</v>
      </c>
    </row>
    <row r="1621">
      <c r="A1621" s="1" t="s">
        <v>1056</v>
      </c>
      <c r="B1621" s="2">
        <v>21.0</v>
      </c>
      <c r="C1621" s="46" t="s">
        <v>3762</v>
      </c>
      <c r="E1621" s="77">
        <f>G1621</f>
        <v>43872</v>
      </c>
      <c r="F1621" s="78" t="str">
        <f>IFERROR(__xludf.DUMMYFUNCTION("iferror(ifna(IFNA(filter('2.1.clean'!E:E,'2.1.clean'!A:A=C1621),filter('2.2.clean'!G:G,'2.2.clean'!D:D=C1621)),filter('2.4.clean'!E:E,'2.4.clean'!A:A=C1621)),)"),"")</f>
        <v/>
      </c>
      <c r="G1621" s="77">
        <f>IFERROR(__xludf.DUMMYFUNCTION("iferror(filter('3.1.clean'!C:C,'3.1.clean'!A:A=C1621),"""")"),43872.0)</f>
        <v>43872</v>
      </c>
      <c r="H1621" s="76" t="b">
        <f>if(G1621="",FALSE,TRUE)</f>
        <v>1</v>
      </c>
      <c r="I1621" s="76">
        <f>IFERROR(__xludf.DUMMYFUNCTION("iferror(filter('3.1.clean'!G:G,'3.1.clean'!A:A=C1621),"""")"),0.0)</f>
        <v>0</v>
      </c>
      <c r="J1621" s="78" t="str">
        <f>IFERROR(__xludf.DUMMYFUNCTION("iferror(filter('3.1.clean'!I:I,'3.1.clean'!A:A=C1621),"""")"),"")</f>
        <v/>
      </c>
      <c r="K1621" s="77"/>
      <c r="L1621" s="78"/>
      <c r="M1621" s="77"/>
      <c r="N1621" s="78"/>
      <c r="O1621" s="77"/>
      <c r="P1621" s="78"/>
      <c r="Q1621" s="77"/>
      <c r="R1621" s="76"/>
      <c r="S1621" s="25"/>
      <c r="T1621" s="1"/>
      <c r="V1621" s="1" t="s">
        <v>64</v>
      </c>
      <c r="W1621" s="1" t="b">
        <v>1</v>
      </c>
      <c r="X1621" s="23" t="str">
        <f>IFERROR(__xludf.DUMMYFUNCTION("if(COUNTA(FILTER(C:C, C:C = C1621))=1,""no"",""yes"")"),"no")</f>
        <v>no</v>
      </c>
    </row>
    <row r="1622">
      <c r="A1622" s="75" t="s">
        <v>1060</v>
      </c>
      <c r="B1622" s="2">
        <v>1.0</v>
      </c>
      <c r="C1622" s="19" t="s">
        <v>3768</v>
      </c>
      <c r="E1622" s="24">
        <f>IFERROR(__xludf.DUMMYFUNCTION("ifna(IFNA(filter('2.1.clean'!C:C,'2.1.clean'!A:A=C1622),filter('2.2.clean'!E:E,'2.2.clean'!D:D=C1622)),filter('2.4.clean'!C:C,'2.4.clean'!A:A=C1622))"),43873.0)</f>
        <v>43873</v>
      </c>
      <c r="F1622" s="25">
        <f>IFERROR(__xludf.DUMMYFUNCTION("iferror(ifna(IFNA(filter('2.1.clean'!E:E,'2.1.clean'!A:A=C1622),filter('2.2.clean'!G:G,'2.2.clean'!D:D=C1622)),filter('2.4.clean'!E:E,'2.4.clean'!A:A=C1622)),)"),2.39999999999999)</f>
        <v>2.4</v>
      </c>
      <c r="G1622" s="24"/>
      <c r="J1622" s="25"/>
      <c r="K1622" s="24"/>
      <c r="L1622" s="25"/>
      <c r="M1622" s="24">
        <f>IFERROR(__xludf.DUMMYFUNCTION("iferror(filter('3.3.clean'!C:C,'3.3.clean'!A:A=C1622),"""")"),43875.0)</f>
        <v>43875</v>
      </c>
      <c r="N1622" s="25" t="b">
        <f t="shared" ref="N1622:N1635" si="1321">if(M1622="",FALSE,TRUE)</f>
        <v>1</v>
      </c>
      <c r="O1622" s="24">
        <f>IFERROR(__xludf.DUMMYFUNCTION("iferror(filter('3.4.clean'!C:C,'3.4.clean'!A:A=C1622),"""")"),43879.0)</f>
        <v>43879</v>
      </c>
      <c r="P1622" s="25" t="b">
        <f t="shared" ref="P1622:P1635" si="1322">if(O1622="",FALSE,TRUE)</f>
        <v>1</v>
      </c>
      <c r="Q1622" s="24">
        <f>IFERROR(__xludf.DUMMYFUNCTION("iferror(filter('3.5.clean'!C:C,'3.5.clean'!A:A=C1622),"""")"),43873.0)</f>
        <v>43873</v>
      </c>
      <c r="R1622" s="23" t="b">
        <f>if(Q1622="",FALSE,TRUE)</f>
        <v>1</v>
      </c>
      <c r="S1622" s="25">
        <v>0.0</v>
      </c>
      <c r="V1622" s="52" t="s">
        <v>64</v>
      </c>
      <c r="W1622" s="23" t="b">
        <f>IF(and(R1622=TRUE,N1622=TRUE,P1622=TRUE),TRUE,FALSE)</f>
        <v>1</v>
      </c>
      <c r="X1622" s="23" t="str">
        <f>IFERROR(__xludf.DUMMYFUNCTION("if(COUNTA(FILTER(C:C, C:C = C1622))=1,""no"",""yes"")"),"no")</f>
        <v>no</v>
      </c>
    </row>
    <row r="1623">
      <c r="A1623" s="75" t="s">
        <v>1060</v>
      </c>
      <c r="B1623" s="2">
        <v>2.0</v>
      </c>
      <c r="C1623" s="19" t="s">
        <v>3774</v>
      </c>
      <c r="D1623" s="58" t="str">
        <f t="shared" ref="D1623:D1624" si="1323">if(or(I1623=1,J1623=1,S1623=1),"pos","")</f>
        <v/>
      </c>
      <c r="E1623" s="59">
        <f>IFERROR(__xludf.DUMMYFUNCTION("ifna(IFNA(filter('2.1.clean'!C:C,'2.1.clean'!A:A=C1623),filter('2.2.clean'!E:E,'2.2.clean'!D:D=C1623)),filter('2.4.clean'!C:C,'2.4.clean'!A:A=C1623))"),43873.0)</f>
        <v>43873</v>
      </c>
      <c r="F1623" s="60">
        <f>IFERROR(__xludf.DUMMYFUNCTION("iferror(ifna(IFNA(filter('2.1.clean'!E:E,'2.1.clean'!A:A=C1623),filter('2.2.clean'!G:G,'2.2.clean'!D:D=C1623)),filter('2.4.clean'!E:E,'2.4.clean'!A:A=C1623)),)"),2.39999999999999)</f>
        <v>2.4</v>
      </c>
      <c r="G1623" s="59">
        <f>IFERROR(__xludf.DUMMYFUNCTION("iferror(filter('3.1.clean'!C:C,'3.1.clean'!A:A=C1623),"""")"),43873.0)</f>
        <v>43873</v>
      </c>
      <c r="H1623" s="58" t="b">
        <f>if(G1623="",FALSE,TRUE)</f>
        <v>1</v>
      </c>
      <c r="I1623" s="58">
        <f>IFERROR(__xludf.DUMMYFUNCTION("iferror(filter('3.1.clean'!G:G,'3.1.clean'!A:A=C1623),"""")"),0.0)</f>
        <v>0</v>
      </c>
      <c r="J1623" s="60" t="str">
        <f>IFERROR(__xludf.DUMMYFUNCTION("iferror(filter('3.1.clean'!I:I,'3.1.clean'!A:A=C1623),"""")"),"")</f>
        <v/>
      </c>
      <c r="K1623" s="58"/>
      <c r="L1623" s="60"/>
      <c r="M1623" s="59" t="str">
        <f>IFERROR(__xludf.DUMMYFUNCTION("iferror(filter('3.3.clean'!C:C,'3.3.clean'!A:A=C1623),"""")"),"")</f>
        <v/>
      </c>
      <c r="N1623" s="60" t="b">
        <f t="shared" si="1321"/>
        <v>0</v>
      </c>
      <c r="O1623" s="59" t="str">
        <f>IFERROR(__xludf.DUMMYFUNCTION("iferror(filter('3.4.clean'!C:C,'3.4.clean'!A:A=C1623),"""")"),"")</f>
        <v/>
      </c>
      <c r="P1623" s="60" t="b">
        <f t="shared" si="1322"/>
        <v>0</v>
      </c>
      <c r="Q1623" s="59" t="str">
        <f>IFERROR(__xludf.DUMMYFUNCTION("iferror(filter('3.5.clean'!C:C,'3.5.clean'!A:A=C1623),"""")"),"")</f>
        <v/>
      </c>
      <c r="R1623" s="58"/>
      <c r="S1623" s="4" t="str">
        <f>IFERROR(__xludf.DUMMYFUNCTION("iferror(filter('3.5.clean'!H:H,'3.5.clean'!A:A=C1623),"""")"),"")</f>
        <v/>
      </c>
      <c r="W1623" s="23" t="b">
        <f>if(AND(H1623=TRUE,N1623=TRUE,P1623=TRUE),TRUE,FALSE)</f>
        <v>0</v>
      </c>
      <c r="X1623" s="23" t="str">
        <f>IFERROR(__xludf.DUMMYFUNCTION("if(COUNTA(FILTER(C:C, C:C = C1623))=1,""no"",""yes"")"),"no")</f>
        <v>no</v>
      </c>
    </row>
    <row r="1624">
      <c r="A1624" s="75" t="s">
        <v>1060</v>
      </c>
      <c r="B1624" s="2">
        <v>3.0</v>
      </c>
      <c r="C1624" s="19" t="s">
        <v>3778</v>
      </c>
      <c r="D1624" s="58" t="str">
        <f t="shared" si="1323"/>
        <v/>
      </c>
      <c r="E1624" s="59">
        <f>Q1624</f>
        <v>43873</v>
      </c>
      <c r="F1624" s="60" t="str">
        <f>IFERROR(__xludf.DUMMYFUNCTION("iferror(ifna(IFNA(filter('2.1.clean'!E:E,'2.1.clean'!A:A=C1624),filter('2.2.clean'!G:G,'2.2.clean'!D:D=C1624)),filter('2.4.clean'!E:E,'2.4.clean'!A:A=C1624)),)"),"")</f>
        <v/>
      </c>
      <c r="G1624" s="59" t="str">
        <f>IFERROR(__xludf.DUMMYFUNCTION("iferror(filter('3.1.clean'!C:C,'3.1.clean'!A:A=C1624),"""")"),"")</f>
        <v/>
      </c>
      <c r="H1624" s="58"/>
      <c r="I1624" s="58" t="str">
        <f>IFERROR(__xludf.DUMMYFUNCTION("iferror(filter('3.1.clean'!G:G,'3.1.clean'!A:A=C1624),"""")"),"")</f>
        <v/>
      </c>
      <c r="J1624" s="60" t="str">
        <f>IFERROR(__xludf.DUMMYFUNCTION("iferror(filter('3.1.clean'!I:I,'3.1.clean'!A:A=C1624),"""")"),"")</f>
        <v/>
      </c>
      <c r="K1624" s="59"/>
      <c r="L1624" s="60"/>
      <c r="M1624" s="59" t="str">
        <f>IFERROR(__xludf.DUMMYFUNCTION("iferror(filter('3.3.clean'!C:C,'3.3.clean'!A:A=C1624),"""")"),"")</f>
        <v/>
      </c>
      <c r="N1624" s="60" t="b">
        <f t="shared" si="1321"/>
        <v>0</v>
      </c>
      <c r="O1624" s="59" t="str">
        <f>IFERROR(__xludf.DUMMYFUNCTION("iferror(filter('3.4.clean'!C:C,'3.4.clean'!A:A=C1624),"""")"),"")</f>
        <v/>
      </c>
      <c r="P1624" s="60" t="b">
        <f t="shared" si="1322"/>
        <v>0</v>
      </c>
      <c r="Q1624" s="59">
        <f>IFERROR(__xludf.DUMMYFUNCTION("iferror(filter('3.5.clean'!C:C,'3.5.clean'!A:A=C1624),"""")"),43873.0)</f>
        <v>43873</v>
      </c>
      <c r="R1624" s="58" t="b">
        <f t="shared" ref="R1624:R1625" si="1324">if(Q1624="",FALSE,TRUE)</f>
        <v>1</v>
      </c>
      <c r="S1624" s="4">
        <f>IFERROR(__xludf.DUMMYFUNCTION("iferror(filter('3.5.clean'!H:H,'3.5.clean'!A:A=C1624),"""")"),0.0)</f>
        <v>0</v>
      </c>
      <c r="V1624" s="52" t="s">
        <v>64</v>
      </c>
      <c r="W1624" s="23" t="b">
        <f>if(AND(R1624=TRUE,N1624=TRUE,P1624=TRUE),TRUE,FALSE)</f>
        <v>0</v>
      </c>
      <c r="X1624" s="23" t="str">
        <f>IFERROR(__xludf.DUMMYFUNCTION("if(COUNTA(FILTER(C:C, C:C = C1624))=1,""no"",""yes"")"),"no")</f>
        <v>no</v>
      </c>
    </row>
    <row r="1625">
      <c r="A1625" s="75" t="s">
        <v>1060</v>
      </c>
      <c r="B1625" s="2">
        <v>4.0</v>
      </c>
      <c r="C1625" s="19" t="s">
        <v>3785</v>
      </c>
      <c r="E1625" s="24">
        <f>IFERROR(__xludf.DUMMYFUNCTION("ifna(IFNA(filter('2.1.clean'!C:C,'2.1.clean'!A:A=C1625),filter('2.2.clean'!E:E,'2.2.clean'!D:D=C1625)),filter('2.4.clean'!C:C,'2.4.clean'!A:A=C1625))"),43873.0)</f>
        <v>43873</v>
      </c>
      <c r="F1625" s="25">
        <f>IFERROR(__xludf.DUMMYFUNCTION("iferror(ifna(IFNA(filter('2.1.clean'!E:E,'2.1.clean'!A:A=C1625),filter('2.2.clean'!G:G,'2.2.clean'!D:D=C1625)),filter('2.4.clean'!E:E,'2.4.clean'!A:A=C1625)),)"),2.39999999999999)</f>
        <v>2.4</v>
      </c>
      <c r="G1625" s="24"/>
      <c r="J1625" s="25"/>
      <c r="K1625" s="24"/>
      <c r="L1625" s="25"/>
      <c r="M1625" s="24">
        <f>IFERROR(__xludf.DUMMYFUNCTION("iferror(filter('3.3.clean'!C:C,'3.3.clean'!A:A=C1625),"""")"),43875.0)</f>
        <v>43875</v>
      </c>
      <c r="N1625" s="25" t="b">
        <f t="shared" si="1321"/>
        <v>1</v>
      </c>
      <c r="O1625" s="24">
        <f>IFERROR(__xludf.DUMMYFUNCTION("iferror(filter('3.4.clean'!C:C,'3.4.clean'!A:A=C1625),"""")"),43879.0)</f>
        <v>43879</v>
      </c>
      <c r="P1625" s="25" t="b">
        <f t="shared" si="1322"/>
        <v>1</v>
      </c>
      <c r="Q1625" s="24">
        <f>IFERROR(__xludf.DUMMYFUNCTION("iferror(filter('3.5.clean'!C:C,'3.5.clean'!A:A=C1625),"""")"),43873.0)</f>
        <v>43873</v>
      </c>
      <c r="R1625" s="23" t="b">
        <f t="shared" si="1324"/>
        <v>1</v>
      </c>
      <c r="S1625" s="25">
        <v>0.0</v>
      </c>
      <c r="V1625" s="52" t="s">
        <v>64</v>
      </c>
      <c r="W1625" s="23" t="b">
        <f>IF(and(R1625=TRUE,N1625=TRUE,P1625=TRUE),TRUE,FALSE)</f>
        <v>1</v>
      </c>
      <c r="X1625" s="23" t="str">
        <f>IFERROR(__xludf.DUMMYFUNCTION("if(COUNTA(FILTER(C:C, C:C = C1625))=1,""no"",""yes"")"),"no")</f>
        <v>no</v>
      </c>
    </row>
    <row r="1626">
      <c r="A1626" s="75" t="s">
        <v>1060</v>
      </c>
      <c r="B1626" s="2">
        <v>5.0</v>
      </c>
      <c r="C1626" s="19" t="s">
        <v>3792</v>
      </c>
      <c r="D1626" s="58" t="str">
        <f t="shared" ref="D1626:D1627" si="1325">if(or(I1626=1,J1626=1,S1626=1),"pos","")</f>
        <v/>
      </c>
      <c r="E1626" s="59">
        <f>IFERROR(__xludf.DUMMYFUNCTION("ifna(IFNA(filter('2.1.clean'!C:C,'2.1.clean'!A:A=C1626),filter('2.2.clean'!E:E,'2.2.clean'!D:D=C1626)),filter('2.4.clean'!C:C,'2.4.clean'!A:A=C1626))"),43873.0)</f>
        <v>43873</v>
      </c>
      <c r="F1626" s="60">
        <f>IFERROR(__xludf.DUMMYFUNCTION("iferror(ifna(IFNA(filter('2.1.clean'!E:E,'2.1.clean'!A:A=C1626),filter('2.2.clean'!G:G,'2.2.clean'!D:D=C1626)),filter('2.4.clean'!E:E,'2.4.clean'!A:A=C1626)),)"),2.39999999999999)</f>
        <v>2.4</v>
      </c>
      <c r="G1626" s="59">
        <f>IFERROR(__xludf.DUMMYFUNCTION("iferror(filter('3.1.clean'!C:C,'3.1.clean'!A:A=C1626),"""")"),43873.0)</f>
        <v>43873</v>
      </c>
      <c r="H1626" s="58" t="b">
        <f>if(G1626="",FALSE,TRUE)</f>
        <v>1</v>
      </c>
      <c r="I1626" s="58">
        <f>IFERROR(__xludf.DUMMYFUNCTION("iferror(filter('3.1.clean'!G:G,'3.1.clean'!A:A=C1626),"""")"),0.0)</f>
        <v>0</v>
      </c>
      <c r="J1626" s="60" t="str">
        <f>IFERROR(__xludf.DUMMYFUNCTION("iferror(filter('3.1.clean'!I:I,'3.1.clean'!A:A=C1626),"""")"),"")</f>
        <v/>
      </c>
      <c r="K1626" s="58"/>
      <c r="L1626" s="60"/>
      <c r="M1626" s="59">
        <f>IFERROR(__xludf.DUMMYFUNCTION("iferror(filter('3.3.clean'!C:C,'3.3.clean'!A:A=C1626),"""")"),43875.0)</f>
        <v>43875</v>
      </c>
      <c r="N1626" s="60" t="b">
        <f t="shared" si="1321"/>
        <v>1</v>
      </c>
      <c r="O1626" s="59">
        <f>IFERROR(__xludf.DUMMYFUNCTION("iferror(filter('3.4.clean'!C:C,'3.4.clean'!A:A=C1626),"""")"),43879.0)</f>
        <v>43879</v>
      </c>
      <c r="P1626" s="60" t="b">
        <f t="shared" si="1322"/>
        <v>1</v>
      </c>
      <c r="Q1626" s="59" t="str">
        <f>IFERROR(__xludf.DUMMYFUNCTION("iferror(filter('3.5.clean'!C:C,'3.5.clean'!A:A=C1626),"""")"),"")</f>
        <v/>
      </c>
      <c r="R1626" s="58"/>
      <c r="S1626" s="4" t="str">
        <f>IFERROR(__xludf.DUMMYFUNCTION("iferror(filter('3.5.clean'!H:H,'3.5.clean'!A:A=C1626),"""")"),"")</f>
        <v/>
      </c>
      <c r="W1626" s="23" t="b">
        <f>if(AND(H1626=TRUE,N1626=TRUE,P1626=TRUE),TRUE,FALSE)</f>
        <v>1</v>
      </c>
      <c r="X1626" s="23" t="str">
        <f>IFERROR(__xludf.DUMMYFUNCTION("if(COUNTA(FILTER(C:C, C:C = C1626))=1,""no"",""yes"")"),"no")</f>
        <v>no</v>
      </c>
    </row>
    <row r="1627">
      <c r="A1627" s="75" t="s">
        <v>1060</v>
      </c>
      <c r="B1627" s="2">
        <v>6.0</v>
      </c>
      <c r="C1627" s="19" t="s">
        <v>3800</v>
      </c>
      <c r="D1627" s="58" t="str">
        <f t="shared" si="1325"/>
        <v/>
      </c>
      <c r="E1627" s="59">
        <f>Q1627</f>
        <v>43873</v>
      </c>
      <c r="F1627" s="60" t="str">
        <f>IFERROR(__xludf.DUMMYFUNCTION("iferror(ifna(IFNA(filter('2.1.clean'!E:E,'2.1.clean'!A:A=C1627),filter('2.2.clean'!G:G,'2.2.clean'!D:D=C1627)),filter('2.4.clean'!E:E,'2.4.clean'!A:A=C1627)),)"),"")</f>
        <v/>
      </c>
      <c r="G1627" s="59" t="str">
        <f>IFERROR(__xludf.DUMMYFUNCTION("iferror(filter('3.1.clean'!C:C,'3.1.clean'!A:A=C1627),"""")"),"")</f>
        <v/>
      </c>
      <c r="H1627" s="58"/>
      <c r="I1627" s="58" t="str">
        <f>IFERROR(__xludf.DUMMYFUNCTION("iferror(filter('3.1.clean'!G:G,'3.1.clean'!A:A=C1627),"""")"),"")</f>
        <v/>
      </c>
      <c r="J1627" s="60" t="str">
        <f>IFERROR(__xludf.DUMMYFUNCTION("iferror(filter('3.1.clean'!I:I,'3.1.clean'!A:A=C1627),"""")"),"")</f>
        <v/>
      </c>
      <c r="K1627" s="59"/>
      <c r="L1627" s="60"/>
      <c r="M1627" s="59" t="str">
        <f>IFERROR(__xludf.DUMMYFUNCTION("iferror(filter('3.3.clean'!C:C,'3.3.clean'!A:A=C1627),"""")"),"")</f>
        <v/>
      </c>
      <c r="N1627" s="60" t="b">
        <f t="shared" si="1321"/>
        <v>0</v>
      </c>
      <c r="O1627" s="59" t="str">
        <f>IFERROR(__xludf.DUMMYFUNCTION("iferror(filter('3.4.clean'!C:C,'3.4.clean'!A:A=C1627),"""")"),"")</f>
        <v/>
      </c>
      <c r="P1627" s="60" t="b">
        <f t="shared" si="1322"/>
        <v>0</v>
      </c>
      <c r="Q1627" s="59">
        <f>IFERROR(__xludf.DUMMYFUNCTION("iferror(filter('3.5.clean'!C:C,'3.5.clean'!A:A=C1627),"""")"),43873.0)</f>
        <v>43873</v>
      </c>
      <c r="R1627" s="58" t="b">
        <f t="shared" ref="R1627:R1628" si="1326">if(Q1627="",FALSE,TRUE)</f>
        <v>1</v>
      </c>
      <c r="S1627" s="4">
        <f>IFERROR(__xludf.DUMMYFUNCTION("iferror(filter('3.5.clean'!H:H,'3.5.clean'!A:A=C1627),"""")"),0.0)</f>
        <v>0</v>
      </c>
      <c r="V1627" s="52" t="s">
        <v>64</v>
      </c>
      <c r="W1627" s="23" t="b">
        <f>if(AND(R1627=TRUE,N1627=TRUE,P1627=TRUE),TRUE,FALSE)</f>
        <v>0</v>
      </c>
      <c r="X1627" s="23" t="str">
        <f>IFERROR(__xludf.DUMMYFUNCTION("if(COUNTA(FILTER(C:C, C:C = C1627))=1,""no"",""yes"")"),"no")</f>
        <v>no</v>
      </c>
    </row>
    <row r="1628">
      <c r="A1628" s="75" t="s">
        <v>1060</v>
      </c>
      <c r="B1628" s="2">
        <v>7.0</v>
      </c>
      <c r="C1628" s="19" t="s">
        <v>3805</v>
      </c>
      <c r="E1628" s="24">
        <f>IFERROR(__xludf.DUMMYFUNCTION("ifna(IFNA(filter('2.1.clean'!C:C,'2.1.clean'!A:A=C1628),filter('2.2.clean'!E:E,'2.2.clean'!D:D=C1628)),filter('2.4.clean'!C:C,'2.4.clean'!A:A=C1628))"),43873.0)</f>
        <v>43873</v>
      </c>
      <c r="F1628" s="25">
        <f>IFERROR(__xludf.DUMMYFUNCTION("iferror(ifna(IFNA(filter('2.1.clean'!E:E,'2.1.clean'!A:A=C1628),filter('2.2.clean'!G:G,'2.2.clean'!D:D=C1628)),filter('2.4.clean'!E:E,'2.4.clean'!A:A=C1628)),)"),2.39999999999999)</f>
        <v>2.4</v>
      </c>
      <c r="G1628" s="24">
        <f>IFERROR(__xludf.DUMMYFUNCTION("iferror(filter('3.1.clean'!C:C,'3.1.clean'!A:A=C1628),"""")"),43873.0)</f>
        <v>43873</v>
      </c>
      <c r="H1628" s="23" t="b">
        <f t="shared" ref="H1628:H1629" si="1327">if(G1628="",FALSE,TRUE)</f>
        <v>1</v>
      </c>
      <c r="J1628" s="25"/>
      <c r="K1628" s="24">
        <f>IFERROR(__xludf.DUMMYFUNCTION("iferror(filter('3.2.clean'!C:C,'3.2.clean'!A:A=C1628),"""")"),43873.0)</f>
        <v>43873</v>
      </c>
      <c r="L1628" s="25" t="b">
        <f>if(K1628="",FALSE,TRUE)</f>
        <v>1</v>
      </c>
      <c r="M1628" s="24">
        <f>IFERROR(__xludf.DUMMYFUNCTION("iferror(filter('3.3.clean'!C:C,'3.3.clean'!A:A=C1628),"""")"),43875.0)</f>
        <v>43875</v>
      </c>
      <c r="N1628" s="25" t="b">
        <f t="shared" si="1321"/>
        <v>1</v>
      </c>
      <c r="O1628" s="24">
        <f>IFERROR(__xludf.DUMMYFUNCTION("iferror(filter('3.4.clean'!C:C,'3.4.clean'!A:A=C1628),"""")"),43879.0)</f>
        <v>43879</v>
      </c>
      <c r="P1628" s="25" t="b">
        <f t="shared" si="1322"/>
        <v>1</v>
      </c>
      <c r="Q1628" s="24">
        <f>IFERROR(__xludf.DUMMYFUNCTION("iferror(filter('3.5.clean'!C:C,'3.5.clean'!A:A=C1628),"""")"),43873.0)</f>
        <v>43873</v>
      </c>
      <c r="R1628" s="23" t="b">
        <f t="shared" si="1326"/>
        <v>1</v>
      </c>
      <c r="S1628" s="25"/>
      <c r="U1628" s="23"/>
      <c r="V1628" s="1" t="s">
        <v>64</v>
      </c>
      <c r="X1628" s="23" t="str">
        <f>IFERROR(__xludf.DUMMYFUNCTION("if(COUNTA(FILTER(C:C, C:C = C1628))=1,""no"",""yes"")"),"no")</f>
        <v>no</v>
      </c>
    </row>
    <row r="1629">
      <c r="A1629" s="75" t="s">
        <v>1060</v>
      </c>
      <c r="B1629" s="2">
        <v>8.0</v>
      </c>
      <c r="C1629" s="19" t="s">
        <v>3812</v>
      </c>
      <c r="D1629" s="58" t="str">
        <f t="shared" ref="D1629:D1630" si="1328">if(or(I1629=1,J1629=1,S1629=1),"pos","")</f>
        <v/>
      </c>
      <c r="E1629" s="59">
        <f>IFERROR(__xludf.DUMMYFUNCTION("ifna(IFNA(filter('2.1.clean'!C:C,'2.1.clean'!A:A=C1629),filter('2.2.clean'!E:E,'2.2.clean'!D:D=C1629)),filter('2.4.clean'!C:C,'2.4.clean'!A:A=C1629))"),43873.0)</f>
        <v>43873</v>
      </c>
      <c r="F1629" s="60">
        <f>IFERROR(__xludf.DUMMYFUNCTION("iferror(ifna(IFNA(filter('2.1.clean'!E:E,'2.1.clean'!A:A=C1629),filter('2.2.clean'!G:G,'2.2.clean'!D:D=C1629)),filter('2.4.clean'!E:E,'2.4.clean'!A:A=C1629)),)"),2.39999999999999)</f>
        <v>2.4</v>
      </c>
      <c r="G1629" s="59">
        <f>IFERROR(__xludf.DUMMYFUNCTION("iferror(filter('3.1.clean'!C:C,'3.1.clean'!A:A=C1629),"""")"),43873.0)</f>
        <v>43873</v>
      </c>
      <c r="H1629" s="58" t="b">
        <f t="shared" si="1327"/>
        <v>1</v>
      </c>
      <c r="I1629" s="58">
        <f>IFERROR(__xludf.DUMMYFUNCTION("iferror(filter('3.1.clean'!G:G,'3.1.clean'!A:A=C1629),"""")"),0.0)</f>
        <v>0</v>
      </c>
      <c r="J1629" s="60" t="str">
        <f>IFERROR(__xludf.DUMMYFUNCTION("iferror(filter('3.1.clean'!I:I,'3.1.clean'!A:A=C1629),"""")"),"")</f>
        <v/>
      </c>
      <c r="K1629" s="58"/>
      <c r="L1629" s="60"/>
      <c r="M1629" s="59" t="str">
        <f>IFERROR(__xludf.DUMMYFUNCTION("iferror(filter('3.3.clean'!C:C,'3.3.clean'!A:A=C1629),"""")"),"")</f>
        <v/>
      </c>
      <c r="N1629" s="60" t="b">
        <f t="shared" si="1321"/>
        <v>0</v>
      </c>
      <c r="O1629" s="59" t="str">
        <f>IFERROR(__xludf.DUMMYFUNCTION("iferror(filter('3.4.clean'!C:C,'3.4.clean'!A:A=C1629),"""")"),"")</f>
        <v/>
      </c>
      <c r="P1629" s="60" t="b">
        <f t="shared" si="1322"/>
        <v>0</v>
      </c>
      <c r="Q1629" s="59" t="str">
        <f>IFERROR(__xludf.DUMMYFUNCTION("iferror(filter('3.5.clean'!C:C,'3.5.clean'!A:A=C1629),"""")"),"")</f>
        <v/>
      </c>
      <c r="R1629" s="58"/>
      <c r="S1629" s="4" t="str">
        <f>IFERROR(__xludf.DUMMYFUNCTION("iferror(filter('3.5.clean'!H:H,'3.5.clean'!A:A=C1629),"""")"),"")</f>
        <v/>
      </c>
      <c r="W1629" s="23" t="b">
        <f>if(AND(H1629=TRUE,N1629=TRUE,P1629=TRUE),TRUE,FALSE)</f>
        <v>0</v>
      </c>
      <c r="X1629" s="23" t="str">
        <f>IFERROR(__xludf.DUMMYFUNCTION("if(COUNTA(FILTER(C:C, C:C = C1629))=1,""no"",""yes"")"),"no")</f>
        <v>no</v>
      </c>
    </row>
    <row r="1630">
      <c r="A1630" s="75" t="s">
        <v>1060</v>
      </c>
      <c r="B1630" s="2">
        <v>9.0</v>
      </c>
      <c r="C1630" s="19" t="s">
        <v>3817</v>
      </c>
      <c r="D1630" s="58" t="str">
        <f t="shared" si="1328"/>
        <v/>
      </c>
      <c r="E1630" s="59">
        <f>Q1630</f>
        <v>43873</v>
      </c>
      <c r="F1630" s="60" t="str">
        <f>IFERROR(__xludf.DUMMYFUNCTION("iferror(ifna(IFNA(filter('2.1.clean'!E:E,'2.1.clean'!A:A=C1630),filter('2.2.clean'!G:G,'2.2.clean'!D:D=C1630)),filter('2.4.clean'!E:E,'2.4.clean'!A:A=C1630)),)"),"")</f>
        <v/>
      </c>
      <c r="G1630" s="59" t="str">
        <f>IFERROR(__xludf.DUMMYFUNCTION("iferror(filter('3.1.clean'!C:C,'3.1.clean'!A:A=C1630),"""")"),"")</f>
        <v/>
      </c>
      <c r="H1630" s="58"/>
      <c r="I1630" s="58" t="str">
        <f>IFERROR(__xludf.DUMMYFUNCTION("iferror(filter('3.1.clean'!G:G,'3.1.clean'!A:A=C1630),"""")"),"")</f>
        <v/>
      </c>
      <c r="J1630" s="60" t="str">
        <f>IFERROR(__xludf.DUMMYFUNCTION("iferror(filter('3.1.clean'!I:I,'3.1.clean'!A:A=C1630),"""")"),"")</f>
        <v/>
      </c>
      <c r="K1630" s="59"/>
      <c r="L1630" s="60"/>
      <c r="M1630" s="59" t="str">
        <f>IFERROR(__xludf.DUMMYFUNCTION("iferror(filter('3.3.clean'!C:C,'3.3.clean'!A:A=C1630),"""")"),"")</f>
        <v/>
      </c>
      <c r="N1630" s="60" t="b">
        <f t="shared" si="1321"/>
        <v>0</v>
      </c>
      <c r="O1630" s="59" t="str">
        <f>IFERROR(__xludf.DUMMYFUNCTION("iferror(filter('3.4.clean'!C:C,'3.4.clean'!A:A=C1630),"""")"),"")</f>
        <v/>
      </c>
      <c r="P1630" s="60" t="b">
        <f t="shared" si="1322"/>
        <v>0</v>
      </c>
      <c r="Q1630" s="59">
        <f>IFERROR(__xludf.DUMMYFUNCTION("iferror(filter('3.5.clean'!C:C,'3.5.clean'!A:A=C1630),"""")"),43873.0)</f>
        <v>43873</v>
      </c>
      <c r="R1630" s="58" t="b">
        <f t="shared" ref="R1630:R1631" si="1329">if(Q1630="",FALSE,TRUE)</f>
        <v>1</v>
      </c>
      <c r="S1630" s="4">
        <f>IFERROR(__xludf.DUMMYFUNCTION("iferror(filter('3.5.clean'!H:H,'3.5.clean'!A:A=C1630),"""")"),0.0)</f>
        <v>0</v>
      </c>
      <c r="V1630" s="52" t="s">
        <v>64</v>
      </c>
      <c r="W1630" s="23" t="b">
        <f>if(AND(R1630=TRUE,N1630=TRUE,P1630=TRUE),TRUE,FALSE)</f>
        <v>0</v>
      </c>
      <c r="X1630" s="23" t="str">
        <f>IFERROR(__xludf.DUMMYFUNCTION("if(COUNTA(FILTER(C:C, C:C = C1630))=1,""no"",""yes"")"),"no")</f>
        <v>no</v>
      </c>
    </row>
    <row r="1631">
      <c r="A1631" s="75" t="s">
        <v>1060</v>
      </c>
      <c r="B1631" s="2">
        <v>10.0</v>
      </c>
      <c r="C1631" s="19" t="s">
        <v>3821</v>
      </c>
      <c r="E1631" s="24">
        <f>IFERROR(__xludf.DUMMYFUNCTION("ifna(IFNA(filter('2.1.clean'!C:C,'2.1.clean'!A:A=C1631),filter('2.2.clean'!E:E,'2.2.clean'!D:D=C1631)),filter('2.4.clean'!C:C,'2.4.clean'!A:A=C1631))"),43873.0)</f>
        <v>43873</v>
      </c>
      <c r="F1631" s="25">
        <f>IFERROR(__xludf.DUMMYFUNCTION("iferror(ifna(IFNA(filter('2.1.clean'!E:E,'2.1.clean'!A:A=C1631),filter('2.2.clean'!G:G,'2.2.clean'!D:D=C1631)),filter('2.4.clean'!E:E,'2.4.clean'!A:A=C1631)),)"),2.39999999999999)</f>
        <v>2.4</v>
      </c>
      <c r="G1631" s="24">
        <f>IFERROR(__xludf.DUMMYFUNCTION("iferror(filter('3.1.clean'!C:C,'3.1.clean'!A:A=C1631),"""")"),43873.0)</f>
        <v>43873</v>
      </c>
      <c r="H1631" s="23" t="b">
        <f t="shared" ref="H1631:H1632" si="1330">if(G1631="",FALSE,TRUE)</f>
        <v>1</v>
      </c>
      <c r="J1631" s="25"/>
      <c r="K1631" s="24">
        <f>IFERROR(__xludf.DUMMYFUNCTION("iferror(filter('3.2.clean'!C:C,'3.2.clean'!A:A=C1631),"""")"),43873.0)</f>
        <v>43873</v>
      </c>
      <c r="L1631" s="25" t="b">
        <f>if(K1631="",FALSE,TRUE)</f>
        <v>1</v>
      </c>
      <c r="M1631" s="24">
        <f>IFERROR(__xludf.DUMMYFUNCTION("iferror(filter('3.3.clean'!C:C,'3.3.clean'!A:A=C1631),"""")"),43875.0)</f>
        <v>43875</v>
      </c>
      <c r="N1631" s="25" t="b">
        <f t="shared" si="1321"/>
        <v>1</v>
      </c>
      <c r="O1631" s="24">
        <f>IFERROR(__xludf.DUMMYFUNCTION("iferror(filter('3.4.clean'!C:C,'3.4.clean'!A:A=C1631),"""")"),43879.0)</f>
        <v>43879</v>
      </c>
      <c r="P1631" s="25" t="b">
        <f t="shared" si="1322"/>
        <v>1</v>
      </c>
      <c r="Q1631" s="24">
        <f>IFERROR(__xludf.DUMMYFUNCTION("iferror(filter('3.5.clean'!C:C,'3.5.clean'!A:A=C1631),"""")"),43873.0)</f>
        <v>43873</v>
      </c>
      <c r="R1631" s="23" t="b">
        <f t="shared" si="1329"/>
        <v>1</v>
      </c>
      <c r="S1631" s="25"/>
      <c r="U1631" s="23"/>
      <c r="V1631" s="1" t="s">
        <v>64</v>
      </c>
      <c r="X1631" s="23" t="str">
        <f>IFERROR(__xludf.DUMMYFUNCTION("if(COUNTA(FILTER(C:C, C:C = C1631))=1,""no"",""yes"")"),"no")</f>
        <v>no</v>
      </c>
    </row>
    <row r="1632">
      <c r="A1632" s="75" t="s">
        <v>1060</v>
      </c>
      <c r="B1632" s="2">
        <v>11.0</v>
      </c>
      <c r="C1632" s="19" t="s">
        <v>3827</v>
      </c>
      <c r="D1632" s="58" t="str">
        <f t="shared" ref="D1632:D1633" si="1331">if(or(I1632=1,J1632=1,S1632=1),"pos","")</f>
        <v/>
      </c>
      <c r="E1632" s="59">
        <f>IFERROR(__xludf.DUMMYFUNCTION("ifna(IFNA(filter('2.1.clean'!C:C,'2.1.clean'!A:A=C1632),filter('2.2.clean'!E:E,'2.2.clean'!D:D=C1632)),filter('2.4.clean'!C:C,'2.4.clean'!A:A=C1632))"),43873.0)</f>
        <v>43873</v>
      </c>
      <c r="F1632" s="60">
        <f>IFERROR(__xludf.DUMMYFUNCTION("iferror(ifna(IFNA(filter('2.1.clean'!E:E,'2.1.clean'!A:A=C1632),filter('2.2.clean'!G:G,'2.2.clean'!D:D=C1632)),filter('2.4.clean'!E:E,'2.4.clean'!A:A=C1632)),)"),2.39999999999999)</f>
        <v>2.4</v>
      </c>
      <c r="G1632" s="59">
        <f>IFERROR(__xludf.DUMMYFUNCTION("iferror(filter('3.1.clean'!C:C,'3.1.clean'!A:A=C1632),"""")"),43873.0)</f>
        <v>43873</v>
      </c>
      <c r="H1632" s="58" t="b">
        <f t="shared" si="1330"/>
        <v>1</v>
      </c>
      <c r="I1632" s="58">
        <f>IFERROR(__xludf.DUMMYFUNCTION("iferror(filter('3.1.clean'!G:G,'3.1.clean'!A:A=C1632),"""")"),0.0)</f>
        <v>0</v>
      </c>
      <c r="J1632" s="60" t="str">
        <f>IFERROR(__xludf.DUMMYFUNCTION("iferror(filter('3.1.clean'!I:I,'3.1.clean'!A:A=C1632),"""")"),"")</f>
        <v/>
      </c>
      <c r="K1632" s="58"/>
      <c r="L1632" s="60"/>
      <c r="M1632" s="59" t="str">
        <f>IFERROR(__xludf.DUMMYFUNCTION("iferror(filter('3.3.clean'!C:C,'3.3.clean'!A:A=C1632),"""")"),"")</f>
        <v/>
      </c>
      <c r="N1632" s="60" t="b">
        <f t="shared" si="1321"/>
        <v>0</v>
      </c>
      <c r="O1632" s="59" t="str">
        <f>IFERROR(__xludf.DUMMYFUNCTION("iferror(filter('3.4.clean'!C:C,'3.4.clean'!A:A=C1632),"""")"),"")</f>
        <v/>
      </c>
      <c r="P1632" s="60" t="b">
        <f t="shared" si="1322"/>
        <v>0</v>
      </c>
      <c r="Q1632" s="59" t="str">
        <f>IFERROR(__xludf.DUMMYFUNCTION("iferror(filter('3.5.clean'!C:C,'3.5.clean'!A:A=C1632),"""")"),"")</f>
        <v/>
      </c>
      <c r="R1632" s="58"/>
      <c r="S1632" s="4" t="str">
        <f>IFERROR(__xludf.DUMMYFUNCTION("iferror(filter('3.5.clean'!H:H,'3.5.clean'!A:A=C1632),"""")"),"")</f>
        <v/>
      </c>
      <c r="W1632" s="23" t="b">
        <f>if(AND(H1632=TRUE,N1632=TRUE,P1632=TRUE),TRUE,FALSE)</f>
        <v>0</v>
      </c>
      <c r="X1632" s="23" t="str">
        <f>IFERROR(__xludf.DUMMYFUNCTION("if(COUNTA(FILTER(C:C, C:C = C1632))=1,""no"",""yes"")"),"no")</f>
        <v>no</v>
      </c>
    </row>
    <row r="1633">
      <c r="A1633" s="75" t="s">
        <v>1060</v>
      </c>
      <c r="B1633" s="2">
        <v>12.0</v>
      </c>
      <c r="C1633" s="19" t="s">
        <v>3833</v>
      </c>
      <c r="D1633" s="58" t="str">
        <f t="shared" si="1331"/>
        <v/>
      </c>
      <c r="E1633" s="59">
        <f>Q1633</f>
        <v>43873</v>
      </c>
      <c r="F1633" s="60" t="str">
        <f>IFERROR(__xludf.DUMMYFUNCTION("iferror(ifna(IFNA(filter('2.1.clean'!E:E,'2.1.clean'!A:A=C1633),filter('2.2.clean'!G:G,'2.2.clean'!D:D=C1633)),filter('2.4.clean'!E:E,'2.4.clean'!A:A=C1633)),)"),"")</f>
        <v/>
      </c>
      <c r="G1633" s="59" t="str">
        <f>IFERROR(__xludf.DUMMYFUNCTION("iferror(filter('3.1.clean'!C:C,'3.1.clean'!A:A=C1633),"""")"),"")</f>
        <v/>
      </c>
      <c r="H1633" s="58"/>
      <c r="I1633" s="58" t="str">
        <f>IFERROR(__xludf.DUMMYFUNCTION("iferror(filter('3.1.clean'!G:G,'3.1.clean'!A:A=C1633),"""")"),"")</f>
        <v/>
      </c>
      <c r="J1633" s="60" t="str">
        <f>IFERROR(__xludf.DUMMYFUNCTION("iferror(filter('3.1.clean'!I:I,'3.1.clean'!A:A=C1633),"""")"),"")</f>
        <v/>
      </c>
      <c r="K1633" s="59"/>
      <c r="L1633" s="60"/>
      <c r="M1633" s="59" t="str">
        <f>IFERROR(__xludf.DUMMYFUNCTION("iferror(filter('3.3.clean'!C:C,'3.3.clean'!A:A=C1633),"""")"),"")</f>
        <v/>
      </c>
      <c r="N1633" s="60" t="b">
        <f t="shared" si="1321"/>
        <v>0</v>
      </c>
      <c r="O1633" s="59" t="str">
        <f>IFERROR(__xludf.DUMMYFUNCTION("iferror(filter('3.4.clean'!C:C,'3.4.clean'!A:A=C1633),"""")"),"")</f>
        <v/>
      </c>
      <c r="P1633" s="60" t="b">
        <f t="shared" si="1322"/>
        <v>0</v>
      </c>
      <c r="Q1633" s="59">
        <f>IFERROR(__xludf.DUMMYFUNCTION("iferror(filter('3.5.clean'!C:C,'3.5.clean'!A:A=C1633),"""")"),43873.0)</f>
        <v>43873</v>
      </c>
      <c r="R1633" s="58" t="b">
        <f t="shared" ref="R1633:R1635" si="1332">if(Q1633="",FALSE,TRUE)</f>
        <v>1</v>
      </c>
      <c r="S1633" s="4">
        <f>IFERROR(__xludf.DUMMYFUNCTION("iferror(filter('3.5.clean'!H:H,'3.5.clean'!A:A=C1633),"""")"),0.0)</f>
        <v>0</v>
      </c>
      <c r="V1633" s="52" t="s">
        <v>64</v>
      </c>
      <c r="W1633" s="23" t="b">
        <f>if(AND(R1633=TRUE,N1633=TRUE,P1633=TRUE),TRUE,FALSE)</f>
        <v>0</v>
      </c>
      <c r="X1633" s="23" t="str">
        <f>IFERROR(__xludf.DUMMYFUNCTION("if(COUNTA(FILTER(C:C, C:C = C1633))=1,""no"",""yes"")"),"no")</f>
        <v>no</v>
      </c>
    </row>
    <row r="1634">
      <c r="A1634" s="75" t="s">
        <v>1060</v>
      </c>
      <c r="B1634" s="19">
        <v>13.0</v>
      </c>
      <c r="C1634" s="19" t="s">
        <v>3838</v>
      </c>
      <c r="D1634" s="39"/>
      <c r="E1634" s="24">
        <f>IFERROR(__xludf.DUMMYFUNCTION("ifna(IFNA(filter('2.1.clean'!C:C,'2.1.clean'!A:A=C1634),filter('2.2.clean'!E:E,'2.2.clean'!D:D=C1634)),filter('2.4.clean'!C:C,'2.4.clean'!A:A=C1634))"),43873.0)</f>
        <v>43873</v>
      </c>
      <c r="F1634" s="25">
        <f>IFERROR(__xludf.DUMMYFUNCTION("iferror(ifna(IFNA(filter('2.1.clean'!E:E,'2.1.clean'!A:A=C1634),filter('2.2.clean'!G:G,'2.2.clean'!D:D=C1634)),filter('2.4.clean'!E:E,'2.4.clean'!A:A=C1634)),)"),2.39999999999999)</f>
        <v>2.4</v>
      </c>
      <c r="G1634" s="24">
        <f>IFERROR(__xludf.DUMMYFUNCTION("iferror(filter('3.1.clean'!C:C,'3.1.clean'!A:A=C1634),"""")"),43873.0)</f>
        <v>43873</v>
      </c>
      <c r="H1634" s="23" t="b">
        <f>if(G1634="",FALSE,TRUE)</f>
        <v>1</v>
      </c>
      <c r="J1634" s="25"/>
      <c r="K1634" s="43">
        <f>IFERROR(__xludf.DUMMYFUNCTION("iferror(filter('3.2.clean'!C:C,'3.2.clean'!A:A=C1634),"""")"),43873.0)</f>
        <v>43873</v>
      </c>
      <c r="L1634" s="25" t="b">
        <f>if(K1634="",FALSE,TRUE)</f>
        <v>1</v>
      </c>
      <c r="M1634" s="24">
        <f>IFERROR(__xludf.DUMMYFUNCTION("iferror(filter('3.3.clean'!C:C,'3.3.clean'!A:A=C1634),"""")"),43875.0)</f>
        <v>43875</v>
      </c>
      <c r="N1634" s="25" t="b">
        <f t="shared" si="1321"/>
        <v>1</v>
      </c>
      <c r="O1634" s="24">
        <f>IFERROR(__xludf.DUMMYFUNCTION("iferror(filter('3.4.clean'!C:C,'3.4.clean'!A:A=C1634),"""")"),43879.0)</f>
        <v>43879</v>
      </c>
      <c r="P1634" s="25" t="b">
        <f t="shared" si="1322"/>
        <v>1</v>
      </c>
      <c r="Q1634" s="24" t="str">
        <f>IFERROR(__xludf.DUMMYFUNCTION("iferror(filter('3.5.clean'!C:C,'3.5.clean'!A:A=C1634),"""")"),"")</f>
        <v/>
      </c>
      <c r="R1634" s="23" t="b">
        <f t="shared" si="1332"/>
        <v>0</v>
      </c>
      <c r="S1634" s="25"/>
      <c r="T1634" s="48"/>
      <c r="U1634" s="23"/>
      <c r="V1634" s="1" t="s">
        <v>64</v>
      </c>
      <c r="X1634" s="23" t="str">
        <f>IFERROR(__xludf.DUMMYFUNCTION("if(COUNTA(FILTER(C:C, C:C = C1634))=1,""no"",""yes"")"),"no")</f>
        <v>no</v>
      </c>
    </row>
    <row r="1635">
      <c r="A1635" s="75" t="s">
        <v>1060</v>
      </c>
      <c r="B1635" s="19">
        <v>14.0</v>
      </c>
      <c r="C1635" s="19" t="s">
        <v>3841</v>
      </c>
      <c r="D1635" s="22" t="str">
        <f>if(or(I1635=1,J1635=1,S1635=1),"pos","")</f>
        <v/>
      </c>
      <c r="E1635" s="20">
        <f>Q1635</f>
        <v>43873</v>
      </c>
      <c r="F1635" s="79" t="str">
        <f>IFERROR(__xludf.DUMMYFUNCTION("iferror(ifna(IFNA(filter('2.1.clean'!E:E,'2.1.clean'!A:A=C1635),filter('2.2.clean'!G:G,'2.2.clean'!D:D=C1635)),filter('2.4.clean'!E:E,'2.4.clean'!A:A=C1635)),)"),"")</f>
        <v/>
      </c>
      <c r="G1635" s="20" t="str">
        <f>IFERROR(__xludf.DUMMYFUNCTION("iferror(filter('3.1.clean'!C:C,'3.1.clean'!A:A=C1635),"""")"),"")</f>
        <v/>
      </c>
      <c r="H1635" s="22"/>
      <c r="I1635" s="22"/>
      <c r="J1635" s="79"/>
      <c r="K1635" s="20" t="str">
        <f>IFERROR(__xludf.DUMMYFUNCTION("iferror(filter('3.2.clean'!C:C,'3.2.clean'!A:A=C1635),"""")"),"")</f>
        <v/>
      </c>
      <c r="L1635" s="79"/>
      <c r="M1635" s="20" t="str">
        <f>IFERROR(__xludf.DUMMYFUNCTION("iferror(filter('3.3.clean'!C:C,'3.3.clean'!A:A=C1635),"""")"),"")</f>
        <v/>
      </c>
      <c r="N1635" s="79" t="b">
        <f t="shared" si="1321"/>
        <v>0</v>
      </c>
      <c r="O1635" s="20" t="str">
        <f>IFERROR(__xludf.DUMMYFUNCTION("iferror(filter('3.4.clean'!C:C,'3.4.clean'!A:A=C1635),"""")"),"")</f>
        <v/>
      </c>
      <c r="P1635" s="79" t="b">
        <f t="shared" si="1322"/>
        <v>0</v>
      </c>
      <c r="Q1635" s="20">
        <f>IFERROR(__xludf.DUMMYFUNCTION("iferror(filter('3.5.clean'!C:C,'3.5.clean'!A:A=C1635),"""")"),43873.0)</f>
        <v>43873</v>
      </c>
      <c r="R1635" s="22" t="b">
        <f t="shared" si="1332"/>
        <v>1</v>
      </c>
      <c r="S1635" s="4">
        <f>IFERROR(__xludf.DUMMYFUNCTION("iferror(filter('3.5.clean'!H:H,'3.5.clean'!A:A=C1635),"""")"),0.0)</f>
        <v>0</v>
      </c>
      <c r="V1635" s="1" t="s">
        <v>64</v>
      </c>
      <c r="W1635" s="23" t="b">
        <f>IF(and(R1635=TRUE,N1635=TRUE,P1635=TRUE),TRUE,FALSE)</f>
        <v>0</v>
      </c>
      <c r="X1635" s="23" t="str">
        <f>IFERROR(__xludf.DUMMYFUNCTION("if(COUNTA(FILTER(C:C, C:C = C1635))=1,""no"",""yes"")"),"no")</f>
        <v>no</v>
      </c>
    </row>
    <row r="1636">
      <c r="A1636" s="75" t="s">
        <v>1060</v>
      </c>
      <c r="B1636" s="2">
        <v>15.0</v>
      </c>
      <c r="C1636" s="39" t="s">
        <v>3849</v>
      </c>
      <c r="E1636" s="77">
        <f>G1636</f>
        <v>43873</v>
      </c>
      <c r="F1636" s="78" t="str">
        <f>IFERROR(__xludf.DUMMYFUNCTION("iferror(ifna(IFNA(filter('2.1.clean'!E:E,'2.1.clean'!A:A=C1636),filter('2.2.clean'!G:G,'2.2.clean'!D:D=C1636)),filter('2.4.clean'!E:E,'2.4.clean'!A:A=C1636)),)"),"")</f>
        <v/>
      </c>
      <c r="G1636" s="77">
        <f>IFERROR(__xludf.DUMMYFUNCTION("iferror(filter('3.1.clean'!C:C,'3.1.clean'!A:A=C1636),"""")"),43873.0)</f>
        <v>43873</v>
      </c>
      <c r="H1636" s="76" t="b">
        <f>if(G1636="",FALSE,TRUE)</f>
        <v>1</v>
      </c>
      <c r="I1636" s="76">
        <f>IFERROR(__xludf.DUMMYFUNCTION("iferror(filter('3.1.clean'!G:G,'3.1.clean'!A:A=C1636),"""")"),0.0)</f>
        <v>0</v>
      </c>
      <c r="J1636" s="78" t="str">
        <f>IFERROR(__xludf.DUMMYFUNCTION("iferror(filter('3.1.clean'!I:I,'3.1.clean'!A:A=C1636),"""")"),"")</f>
        <v/>
      </c>
      <c r="K1636" s="77"/>
      <c r="L1636" s="78"/>
      <c r="M1636" s="77"/>
      <c r="N1636" s="78"/>
      <c r="O1636" s="77"/>
      <c r="P1636" s="78"/>
      <c r="Q1636" s="77"/>
      <c r="R1636" s="76"/>
      <c r="S1636" s="25"/>
      <c r="T1636" s="1"/>
      <c r="V1636" s="1" t="s">
        <v>64</v>
      </c>
      <c r="W1636" s="1" t="b">
        <v>1</v>
      </c>
      <c r="X1636" s="23" t="str">
        <f>IFERROR(__xludf.DUMMYFUNCTION("if(COUNTA(FILTER(C:C, C:C = C1636))=1,""no"",""yes"")"),"no")</f>
        <v>no</v>
      </c>
    </row>
    <row r="1637">
      <c r="A1637" s="1" t="s">
        <v>1063</v>
      </c>
      <c r="B1637" s="2">
        <v>1.0</v>
      </c>
      <c r="C1637" s="19" t="s">
        <v>3854</v>
      </c>
      <c r="E1637" s="24">
        <f>IFERROR(__xludf.DUMMYFUNCTION("ifna(IFNA(filter('2.1.clean'!C:C,'2.1.clean'!A:A=C1637),filter('2.2.clean'!E:E,'2.2.clean'!D:D=C1637)),filter('2.4.clean'!C:C,'2.4.clean'!A:A=C1637))"),43874.0)</f>
        <v>43874</v>
      </c>
      <c r="F1637" s="25">
        <f>IFERROR(__xludf.DUMMYFUNCTION("iferror(ifna(IFNA(filter('2.1.clean'!E:E,'2.1.clean'!A:A=C1637),filter('2.2.clean'!G:G,'2.2.clean'!D:D=C1637)),filter('2.4.clean'!E:E,'2.4.clean'!A:A=C1637)),)"),2.39999999999999)</f>
        <v>2.4</v>
      </c>
      <c r="G1637" s="24"/>
      <c r="J1637" s="25"/>
      <c r="K1637" s="24"/>
      <c r="L1637" s="25"/>
      <c r="M1637" s="24">
        <f>IFERROR(__xludf.DUMMYFUNCTION("iferror(filter('3.3.clean'!C:C,'3.3.clean'!A:A=C1637),"""")"),43875.0)</f>
        <v>43875</v>
      </c>
      <c r="N1637" s="25" t="b">
        <f t="shared" ref="N1637:N1669" si="1333">if(M1637="",FALSE,TRUE)</f>
        <v>1</v>
      </c>
      <c r="O1637" s="24">
        <f>IFERROR(__xludf.DUMMYFUNCTION("iferror(filter('3.4.clean'!C:C,'3.4.clean'!A:A=C1637),"""")"),43879.0)</f>
        <v>43879</v>
      </c>
      <c r="P1637" s="25" t="b">
        <f t="shared" ref="P1637:P1669" si="1334">if(O1637="",FALSE,TRUE)</f>
        <v>1</v>
      </c>
      <c r="Q1637" s="24">
        <f>IFERROR(__xludf.DUMMYFUNCTION("iferror(filter('3.5.clean'!C:C,'3.5.clean'!A:A=C1637),"""")"),43874.0)</f>
        <v>43874</v>
      </c>
      <c r="R1637" s="23" t="b">
        <f>if(Q1637="",FALSE,TRUE)</f>
        <v>1</v>
      </c>
      <c r="S1637" s="25">
        <v>0.0</v>
      </c>
      <c r="V1637" s="52" t="s">
        <v>64</v>
      </c>
      <c r="W1637" s="23" t="b">
        <f>IF(and(R1637=TRUE,N1637=TRUE,P1637=TRUE),TRUE,FALSE)</f>
        <v>1</v>
      </c>
      <c r="X1637" s="23" t="str">
        <f>IFERROR(__xludf.DUMMYFUNCTION("if(COUNTA(FILTER(C:C, C:C = C1637))=1,""no"",""yes"")"),"no")</f>
        <v>no</v>
      </c>
    </row>
    <row r="1638">
      <c r="A1638" s="1" t="s">
        <v>1063</v>
      </c>
      <c r="B1638" s="2">
        <v>2.0</v>
      </c>
      <c r="C1638" s="19" t="s">
        <v>3856</v>
      </c>
      <c r="D1638" s="58" t="str">
        <f t="shared" ref="D1638:D1639" si="1335">if(or(I1638=1,J1638=1,S1638=1),"pos","")</f>
        <v/>
      </c>
      <c r="E1638" s="59">
        <f>IFERROR(__xludf.DUMMYFUNCTION("ifna(IFNA(filter('2.1.clean'!C:C,'2.1.clean'!A:A=C1638),filter('2.2.clean'!E:E,'2.2.clean'!D:D=C1638)),filter('2.4.clean'!C:C,'2.4.clean'!A:A=C1638))"),43874.0)</f>
        <v>43874</v>
      </c>
      <c r="F1638" s="60">
        <f>IFERROR(__xludf.DUMMYFUNCTION("iferror(ifna(IFNA(filter('2.1.clean'!E:E,'2.1.clean'!A:A=C1638),filter('2.2.clean'!G:G,'2.2.clean'!D:D=C1638)),filter('2.4.clean'!E:E,'2.4.clean'!A:A=C1638)),)"),2.39999999999999)</f>
        <v>2.4</v>
      </c>
      <c r="G1638" s="59">
        <f>IFERROR(__xludf.DUMMYFUNCTION("iferror(filter('3.1.clean'!C:C,'3.1.clean'!A:A=C1638),"""")"),43874.0)</f>
        <v>43874</v>
      </c>
      <c r="H1638" s="58" t="b">
        <f>if(G1638="",FALSE,TRUE)</f>
        <v>1</v>
      </c>
      <c r="I1638" s="58">
        <f>IFERROR(__xludf.DUMMYFUNCTION("iferror(filter('3.1.clean'!G:G,'3.1.clean'!A:A=C1638),"""")"),0.0)</f>
        <v>0</v>
      </c>
      <c r="J1638" s="60" t="str">
        <f>IFERROR(__xludf.DUMMYFUNCTION("iferror(filter('3.1.clean'!I:I,'3.1.clean'!A:A=C1638),"""")"),"")</f>
        <v/>
      </c>
      <c r="K1638" s="58"/>
      <c r="L1638" s="60"/>
      <c r="M1638" s="59" t="str">
        <f>IFERROR(__xludf.DUMMYFUNCTION("iferror(filter('3.3.clean'!C:C,'3.3.clean'!A:A=C1638),"""")"),"")</f>
        <v/>
      </c>
      <c r="N1638" s="60" t="b">
        <f t="shared" si="1333"/>
        <v>0</v>
      </c>
      <c r="O1638" s="59" t="str">
        <f>IFERROR(__xludf.DUMMYFUNCTION("iferror(filter('3.4.clean'!C:C,'3.4.clean'!A:A=C1638),"""")"),"")</f>
        <v/>
      </c>
      <c r="P1638" s="60" t="b">
        <f t="shared" si="1334"/>
        <v>0</v>
      </c>
      <c r="Q1638" s="59" t="str">
        <f>IFERROR(__xludf.DUMMYFUNCTION("iferror(filter('3.5.clean'!C:C,'3.5.clean'!A:A=C1638),"""")"),"")</f>
        <v/>
      </c>
      <c r="R1638" s="58"/>
      <c r="S1638" s="4" t="str">
        <f>IFERROR(__xludf.DUMMYFUNCTION("iferror(filter('3.5.clean'!H:H,'3.5.clean'!A:A=C1638),"""")"),"")</f>
        <v/>
      </c>
      <c r="W1638" s="23" t="b">
        <f>if(AND(H1638=TRUE,N1638=TRUE,P1638=TRUE),TRUE,FALSE)</f>
        <v>0</v>
      </c>
      <c r="X1638" s="23" t="str">
        <f>IFERROR(__xludf.DUMMYFUNCTION("if(COUNTA(FILTER(C:C, C:C = C1638))=1,""no"",""yes"")"),"no")</f>
        <v>no</v>
      </c>
    </row>
    <row r="1639">
      <c r="A1639" s="1" t="s">
        <v>1063</v>
      </c>
      <c r="B1639" s="2">
        <v>3.0</v>
      </c>
      <c r="C1639" s="19" t="s">
        <v>3862</v>
      </c>
      <c r="D1639" s="58" t="str">
        <f t="shared" si="1335"/>
        <v/>
      </c>
      <c r="E1639" s="59">
        <f>Q1639</f>
        <v>43874</v>
      </c>
      <c r="F1639" s="60" t="str">
        <f>IFERROR(__xludf.DUMMYFUNCTION("iferror(ifna(IFNA(filter('2.1.clean'!E:E,'2.1.clean'!A:A=C1639),filter('2.2.clean'!G:G,'2.2.clean'!D:D=C1639)),filter('2.4.clean'!E:E,'2.4.clean'!A:A=C1639)),)"),"")</f>
        <v/>
      </c>
      <c r="G1639" s="59" t="str">
        <f>IFERROR(__xludf.DUMMYFUNCTION("iferror(filter('3.1.clean'!C:C,'3.1.clean'!A:A=C1639),"""")"),"")</f>
        <v/>
      </c>
      <c r="H1639" s="58"/>
      <c r="I1639" s="58" t="str">
        <f>IFERROR(__xludf.DUMMYFUNCTION("iferror(filter('3.1.clean'!G:G,'3.1.clean'!A:A=C1639),"""")"),"")</f>
        <v/>
      </c>
      <c r="J1639" s="60" t="str">
        <f>IFERROR(__xludf.DUMMYFUNCTION("iferror(filter('3.1.clean'!I:I,'3.1.clean'!A:A=C1639),"""")"),"")</f>
        <v/>
      </c>
      <c r="K1639" s="59"/>
      <c r="L1639" s="60"/>
      <c r="M1639" s="59" t="str">
        <f>IFERROR(__xludf.DUMMYFUNCTION("iferror(filter('3.3.clean'!C:C,'3.3.clean'!A:A=C1639),"""")"),"")</f>
        <v/>
      </c>
      <c r="N1639" s="60" t="b">
        <f t="shared" si="1333"/>
        <v>0</v>
      </c>
      <c r="O1639" s="59" t="str">
        <f>IFERROR(__xludf.DUMMYFUNCTION("iferror(filter('3.4.clean'!C:C,'3.4.clean'!A:A=C1639),"""")"),"")</f>
        <v/>
      </c>
      <c r="P1639" s="60" t="b">
        <f t="shared" si="1334"/>
        <v>0</v>
      </c>
      <c r="Q1639" s="59">
        <f>IFERROR(__xludf.DUMMYFUNCTION("iferror(filter('3.5.clean'!C:C,'3.5.clean'!A:A=C1639),"""")"),43874.0)</f>
        <v>43874</v>
      </c>
      <c r="R1639" s="58" t="b">
        <f t="shared" ref="R1639:R1640" si="1336">if(Q1639="",FALSE,TRUE)</f>
        <v>1</v>
      </c>
      <c r="S1639" s="4">
        <f>IFERROR(__xludf.DUMMYFUNCTION("iferror(filter('3.5.clean'!H:H,'3.5.clean'!A:A=C1639),"""")"),0.0)</f>
        <v>0</v>
      </c>
      <c r="V1639" s="52" t="s">
        <v>64</v>
      </c>
      <c r="W1639" s="23" t="b">
        <f>if(AND(R1639=TRUE,N1639=TRUE,P1639=TRUE),TRUE,FALSE)</f>
        <v>0</v>
      </c>
      <c r="X1639" s="23" t="str">
        <f>IFERROR(__xludf.DUMMYFUNCTION("if(COUNTA(FILTER(C:C, C:C = C1639))=1,""no"",""yes"")"),"no")</f>
        <v>no</v>
      </c>
    </row>
    <row r="1640">
      <c r="A1640" s="1" t="s">
        <v>1063</v>
      </c>
      <c r="B1640" s="2">
        <v>4.0</v>
      </c>
      <c r="C1640" s="19" t="s">
        <v>3868</v>
      </c>
      <c r="E1640" s="24">
        <f>IFERROR(__xludf.DUMMYFUNCTION("ifna(IFNA(filter('2.1.clean'!C:C,'2.1.clean'!A:A=C1640),filter('2.2.clean'!E:E,'2.2.clean'!D:D=C1640)),filter('2.4.clean'!C:C,'2.4.clean'!A:A=C1640))"),43874.0)</f>
        <v>43874</v>
      </c>
      <c r="F1640" s="25">
        <f>IFERROR(__xludf.DUMMYFUNCTION("iferror(ifna(IFNA(filter('2.1.clean'!E:E,'2.1.clean'!A:A=C1640),filter('2.2.clean'!G:G,'2.2.clean'!D:D=C1640)),filter('2.4.clean'!E:E,'2.4.clean'!A:A=C1640)),)"),2.39999999999999)</f>
        <v>2.4</v>
      </c>
      <c r="G1640" s="24"/>
      <c r="J1640" s="25"/>
      <c r="K1640" s="24"/>
      <c r="L1640" s="25"/>
      <c r="M1640" s="24">
        <f>IFERROR(__xludf.DUMMYFUNCTION("iferror(filter('3.3.clean'!C:C,'3.3.clean'!A:A=C1640),"""")"),43875.0)</f>
        <v>43875</v>
      </c>
      <c r="N1640" s="25" t="b">
        <f t="shared" si="1333"/>
        <v>1</v>
      </c>
      <c r="O1640" s="24">
        <f>IFERROR(__xludf.DUMMYFUNCTION("iferror(filter('3.4.clean'!C:C,'3.4.clean'!A:A=C1640),"""")"),43879.0)</f>
        <v>43879</v>
      </c>
      <c r="P1640" s="25" t="b">
        <f t="shared" si="1334"/>
        <v>1</v>
      </c>
      <c r="Q1640" s="24">
        <f>IFERROR(__xludf.DUMMYFUNCTION("iferror(filter('3.5.clean'!C:C,'3.5.clean'!A:A=C1640),"""")"),43874.0)</f>
        <v>43874</v>
      </c>
      <c r="R1640" s="23" t="b">
        <f t="shared" si="1336"/>
        <v>1</v>
      </c>
      <c r="S1640" s="25">
        <v>0.0</v>
      </c>
      <c r="V1640" s="52" t="s">
        <v>64</v>
      </c>
      <c r="W1640" s="23" t="b">
        <f>IF(and(R1640=TRUE,N1640=TRUE,P1640=TRUE),TRUE,FALSE)</f>
        <v>1</v>
      </c>
      <c r="X1640" s="23" t="str">
        <f>IFERROR(__xludf.DUMMYFUNCTION("if(COUNTA(FILTER(C:C, C:C = C1640))=1,""no"",""yes"")"),"no")</f>
        <v>no</v>
      </c>
    </row>
    <row r="1641">
      <c r="A1641" s="1" t="s">
        <v>1063</v>
      </c>
      <c r="B1641" s="2">
        <v>5.0</v>
      </c>
      <c r="C1641" s="19" t="s">
        <v>3872</v>
      </c>
      <c r="D1641" s="58" t="str">
        <f t="shared" ref="D1641:D1642" si="1337">if(or(I1641=1,J1641=1,S1641=1),"pos","")</f>
        <v/>
      </c>
      <c r="E1641" s="59">
        <f>IFERROR(__xludf.DUMMYFUNCTION("ifna(IFNA(filter('2.1.clean'!C:C,'2.1.clean'!A:A=C1641),filter('2.2.clean'!E:E,'2.2.clean'!D:D=C1641)),filter('2.4.clean'!C:C,'2.4.clean'!A:A=C1641))"),43874.0)</f>
        <v>43874</v>
      </c>
      <c r="F1641" s="60">
        <f>IFERROR(__xludf.DUMMYFUNCTION("iferror(ifna(IFNA(filter('2.1.clean'!E:E,'2.1.clean'!A:A=C1641),filter('2.2.clean'!G:G,'2.2.clean'!D:D=C1641)),filter('2.4.clean'!E:E,'2.4.clean'!A:A=C1641)),)"),2.39999999999999)</f>
        <v>2.4</v>
      </c>
      <c r="G1641" s="59">
        <f>IFERROR(__xludf.DUMMYFUNCTION("iferror(filter('3.1.clean'!C:C,'3.1.clean'!A:A=C1641),"""")"),43874.0)</f>
        <v>43874</v>
      </c>
      <c r="H1641" s="58" t="b">
        <f>if(G1641="",FALSE,TRUE)</f>
        <v>1</v>
      </c>
      <c r="I1641" s="58">
        <f>IFERROR(__xludf.DUMMYFUNCTION("iferror(filter('3.1.clean'!G:G,'3.1.clean'!A:A=C1641),"""")"),0.0)</f>
        <v>0</v>
      </c>
      <c r="J1641" s="60" t="str">
        <f>IFERROR(__xludf.DUMMYFUNCTION("iferror(filter('3.1.clean'!I:I,'3.1.clean'!A:A=C1641),"""")"),"")</f>
        <v/>
      </c>
      <c r="K1641" s="58"/>
      <c r="L1641" s="60"/>
      <c r="M1641" s="59" t="str">
        <f>IFERROR(__xludf.DUMMYFUNCTION("iferror(filter('3.3.clean'!C:C,'3.3.clean'!A:A=C1641),"""")"),"")</f>
        <v/>
      </c>
      <c r="N1641" s="60" t="b">
        <f t="shared" si="1333"/>
        <v>0</v>
      </c>
      <c r="O1641" s="59" t="str">
        <f>IFERROR(__xludf.DUMMYFUNCTION("iferror(filter('3.4.clean'!C:C,'3.4.clean'!A:A=C1641),"""")"),"")</f>
        <v/>
      </c>
      <c r="P1641" s="60" t="b">
        <f t="shared" si="1334"/>
        <v>0</v>
      </c>
      <c r="Q1641" s="59" t="str">
        <f>IFERROR(__xludf.DUMMYFUNCTION("iferror(filter('3.5.clean'!C:C,'3.5.clean'!A:A=C1641),"""")"),"")</f>
        <v/>
      </c>
      <c r="R1641" s="58"/>
      <c r="S1641" s="4" t="str">
        <f>IFERROR(__xludf.DUMMYFUNCTION("iferror(filter('3.5.clean'!H:H,'3.5.clean'!A:A=C1641),"""")"),"")</f>
        <v/>
      </c>
      <c r="W1641" s="23" t="b">
        <f>if(AND(H1641=TRUE,N1641=TRUE,P1641=TRUE),TRUE,FALSE)</f>
        <v>0</v>
      </c>
      <c r="X1641" s="23" t="str">
        <f>IFERROR(__xludf.DUMMYFUNCTION("if(COUNTA(FILTER(C:C, C:C = C1641))=1,""no"",""yes"")"),"no")</f>
        <v>no</v>
      </c>
    </row>
    <row r="1642">
      <c r="A1642" s="1" t="s">
        <v>1063</v>
      </c>
      <c r="B1642" s="2">
        <v>6.0</v>
      </c>
      <c r="C1642" s="19" t="s">
        <v>3878</v>
      </c>
      <c r="D1642" s="58" t="str">
        <f t="shared" si="1337"/>
        <v/>
      </c>
      <c r="E1642" s="59">
        <f>Q1642</f>
        <v>43874</v>
      </c>
      <c r="F1642" s="60" t="str">
        <f>IFERROR(__xludf.DUMMYFUNCTION("iferror(ifna(IFNA(filter('2.1.clean'!E:E,'2.1.clean'!A:A=C1642),filter('2.2.clean'!G:G,'2.2.clean'!D:D=C1642)),filter('2.4.clean'!E:E,'2.4.clean'!A:A=C1642)),)"),"")</f>
        <v/>
      </c>
      <c r="G1642" s="59" t="str">
        <f>IFERROR(__xludf.DUMMYFUNCTION("iferror(filter('3.1.clean'!C:C,'3.1.clean'!A:A=C1642),"""")"),"")</f>
        <v/>
      </c>
      <c r="H1642" s="58"/>
      <c r="I1642" s="58" t="str">
        <f>IFERROR(__xludf.DUMMYFUNCTION("iferror(filter('3.1.clean'!G:G,'3.1.clean'!A:A=C1642),"""")"),"")</f>
        <v/>
      </c>
      <c r="J1642" s="60" t="str">
        <f>IFERROR(__xludf.DUMMYFUNCTION("iferror(filter('3.1.clean'!I:I,'3.1.clean'!A:A=C1642),"""")"),"")</f>
        <v/>
      </c>
      <c r="K1642" s="59"/>
      <c r="L1642" s="60"/>
      <c r="M1642" s="59" t="str">
        <f>IFERROR(__xludf.DUMMYFUNCTION("iferror(filter('3.3.clean'!C:C,'3.3.clean'!A:A=C1642),"""")"),"")</f>
        <v/>
      </c>
      <c r="N1642" s="60" t="b">
        <f t="shared" si="1333"/>
        <v>0</v>
      </c>
      <c r="O1642" s="59" t="str">
        <f>IFERROR(__xludf.DUMMYFUNCTION("iferror(filter('3.4.clean'!C:C,'3.4.clean'!A:A=C1642),"""")"),"")</f>
        <v/>
      </c>
      <c r="P1642" s="60" t="b">
        <f t="shared" si="1334"/>
        <v>0</v>
      </c>
      <c r="Q1642" s="59">
        <f>IFERROR(__xludf.DUMMYFUNCTION("iferror(filter('3.5.clean'!C:C,'3.5.clean'!A:A=C1642),"""")"),43874.0)</f>
        <v>43874</v>
      </c>
      <c r="R1642" s="58" t="b">
        <f t="shared" ref="R1642:R1643" si="1338">if(Q1642="",FALSE,TRUE)</f>
        <v>1</v>
      </c>
      <c r="S1642" s="4">
        <f>IFERROR(__xludf.DUMMYFUNCTION("iferror(filter('3.5.clean'!H:H,'3.5.clean'!A:A=C1642),"""")"),0.0)</f>
        <v>0</v>
      </c>
      <c r="V1642" s="52" t="s">
        <v>64</v>
      </c>
      <c r="W1642" s="23" t="b">
        <f>if(AND(R1642=TRUE,N1642=TRUE,P1642=TRUE),TRUE,FALSE)</f>
        <v>0</v>
      </c>
      <c r="X1642" s="23" t="str">
        <f>IFERROR(__xludf.DUMMYFUNCTION("if(COUNTA(FILTER(C:C, C:C = C1642))=1,""no"",""yes"")"),"no")</f>
        <v>no</v>
      </c>
    </row>
    <row r="1643">
      <c r="A1643" s="1" t="s">
        <v>1063</v>
      </c>
      <c r="B1643" s="2">
        <v>7.0</v>
      </c>
      <c r="C1643" s="19" t="s">
        <v>3884</v>
      </c>
      <c r="E1643" s="24">
        <f>IFERROR(__xludf.DUMMYFUNCTION("ifna(IFNA(filter('2.1.clean'!C:C,'2.1.clean'!A:A=C1643),filter('2.2.clean'!E:E,'2.2.clean'!D:D=C1643)),filter('2.4.clean'!C:C,'2.4.clean'!A:A=C1643))"),43874.0)</f>
        <v>43874</v>
      </c>
      <c r="F1643" s="25">
        <f>IFERROR(__xludf.DUMMYFUNCTION("iferror(ifna(IFNA(filter('2.1.clean'!E:E,'2.1.clean'!A:A=C1643),filter('2.2.clean'!G:G,'2.2.clean'!D:D=C1643)),filter('2.4.clean'!E:E,'2.4.clean'!A:A=C1643)),)"),2.39999999999999)</f>
        <v>2.4</v>
      </c>
      <c r="G1643" s="24"/>
      <c r="J1643" s="25"/>
      <c r="K1643" s="24"/>
      <c r="L1643" s="25"/>
      <c r="M1643" s="24">
        <f>IFERROR(__xludf.DUMMYFUNCTION("iferror(filter('3.3.clean'!C:C,'3.3.clean'!A:A=C1643),"""")"),43875.0)</f>
        <v>43875</v>
      </c>
      <c r="N1643" s="25" t="b">
        <f t="shared" si="1333"/>
        <v>1</v>
      </c>
      <c r="O1643" s="24">
        <f>IFERROR(__xludf.DUMMYFUNCTION("iferror(filter('3.4.clean'!C:C,'3.4.clean'!A:A=C1643),"""")"),43879.0)</f>
        <v>43879</v>
      </c>
      <c r="P1643" s="25" t="b">
        <f t="shared" si="1334"/>
        <v>1</v>
      </c>
      <c r="Q1643" s="24">
        <f>IFERROR(__xludf.DUMMYFUNCTION("iferror(filter('3.5.clean'!C:C,'3.5.clean'!A:A=C1643),"""")"),43874.0)</f>
        <v>43874</v>
      </c>
      <c r="R1643" s="23" t="b">
        <f t="shared" si="1338"/>
        <v>1</v>
      </c>
      <c r="S1643" s="25">
        <v>0.0</v>
      </c>
      <c r="V1643" s="52" t="s">
        <v>64</v>
      </c>
      <c r="W1643" s="23" t="b">
        <f>IF(and(R1643=TRUE,N1643=TRUE,P1643=TRUE),TRUE,FALSE)</f>
        <v>1</v>
      </c>
      <c r="X1643" s="23" t="str">
        <f>IFERROR(__xludf.DUMMYFUNCTION("if(COUNTA(FILTER(C:C, C:C = C1643))=1,""no"",""yes"")"),"no")</f>
        <v>no</v>
      </c>
      <c r="Y1643" s="39"/>
      <c r="Z1643" s="39"/>
      <c r="AA1643" s="39"/>
      <c r="AB1643" s="39"/>
      <c r="AC1643" s="39"/>
      <c r="AD1643" s="39"/>
      <c r="AE1643" s="39"/>
      <c r="AF1643" s="39"/>
      <c r="AG1643" s="39"/>
      <c r="AH1643" s="39"/>
    </row>
    <row r="1644">
      <c r="A1644" s="1" t="s">
        <v>1063</v>
      </c>
      <c r="B1644" s="2">
        <v>8.0</v>
      </c>
      <c r="C1644" s="19" t="s">
        <v>3886</v>
      </c>
      <c r="D1644" s="58" t="str">
        <f t="shared" ref="D1644:D1645" si="1339">if(or(I1644=1,J1644=1,S1644=1),"pos","")</f>
        <v/>
      </c>
      <c r="E1644" s="59">
        <f>IFERROR(__xludf.DUMMYFUNCTION("ifna(IFNA(filter('2.1.clean'!C:C,'2.1.clean'!A:A=C1644),filter('2.2.clean'!E:E,'2.2.clean'!D:D=C1644)),filter('2.4.clean'!C:C,'2.4.clean'!A:A=C1644))"),43874.0)</f>
        <v>43874</v>
      </c>
      <c r="F1644" s="60">
        <f>IFERROR(__xludf.DUMMYFUNCTION("iferror(ifna(IFNA(filter('2.1.clean'!E:E,'2.1.clean'!A:A=C1644),filter('2.2.clean'!G:G,'2.2.clean'!D:D=C1644)),filter('2.4.clean'!E:E,'2.4.clean'!A:A=C1644)),)"),2.39999999999999)</f>
        <v>2.4</v>
      </c>
      <c r="G1644" s="59">
        <f>IFERROR(__xludf.DUMMYFUNCTION("iferror(filter('3.1.clean'!C:C,'3.1.clean'!A:A=C1644),"""")"),43874.0)</f>
        <v>43874</v>
      </c>
      <c r="H1644" s="58" t="b">
        <f>if(G1644="",FALSE,TRUE)</f>
        <v>1</v>
      </c>
      <c r="I1644" s="58">
        <f>IFERROR(__xludf.DUMMYFUNCTION("iferror(filter('3.1.clean'!G:G,'3.1.clean'!A:A=C1644),"""")"),0.0)</f>
        <v>0</v>
      </c>
      <c r="J1644" s="60" t="str">
        <f>IFERROR(__xludf.DUMMYFUNCTION("iferror(filter('3.1.clean'!I:I,'3.1.clean'!A:A=C1644),"""")"),"")</f>
        <v/>
      </c>
      <c r="K1644" s="58"/>
      <c r="L1644" s="60"/>
      <c r="M1644" s="59">
        <f>IFERROR(__xludf.DUMMYFUNCTION("iferror(filter('3.3.clean'!C:C,'3.3.clean'!A:A=C1644),"""")"),43875.0)</f>
        <v>43875</v>
      </c>
      <c r="N1644" s="60" t="b">
        <f t="shared" si="1333"/>
        <v>1</v>
      </c>
      <c r="O1644" s="59">
        <f>IFERROR(__xludf.DUMMYFUNCTION("iferror(filter('3.4.clean'!C:C,'3.4.clean'!A:A=C1644),"""")"),43879.0)</f>
        <v>43879</v>
      </c>
      <c r="P1644" s="60" t="b">
        <f t="shared" si="1334"/>
        <v>1</v>
      </c>
      <c r="Q1644" s="59" t="str">
        <f>IFERROR(__xludf.DUMMYFUNCTION("iferror(filter('3.5.clean'!C:C,'3.5.clean'!A:A=C1644),"""")"),"")</f>
        <v/>
      </c>
      <c r="R1644" s="58"/>
      <c r="S1644" s="4" t="str">
        <f>IFERROR(__xludf.DUMMYFUNCTION("iferror(filter('3.5.clean'!H:H,'3.5.clean'!A:A=C1644),"""")"),"")</f>
        <v/>
      </c>
      <c r="W1644" s="23" t="b">
        <f>if(AND(H1644=TRUE,N1644=TRUE,P1644=TRUE),TRUE,FALSE)</f>
        <v>1</v>
      </c>
      <c r="X1644" s="23" t="str">
        <f>IFERROR(__xludf.DUMMYFUNCTION("if(COUNTA(FILTER(C:C, C:C = C1644))=1,""no"",""yes"")"),"no")</f>
        <v>no</v>
      </c>
      <c r="Y1644" s="39"/>
      <c r="Z1644" s="39"/>
      <c r="AA1644" s="39"/>
      <c r="AB1644" s="39"/>
      <c r="AC1644" s="39"/>
      <c r="AD1644" s="39"/>
      <c r="AE1644" s="39"/>
      <c r="AF1644" s="39"/>
      <c r="AG1644" s="39"/>
      <c r="AH1644" s="39"/>
    </row>
    <row r="1645">
      <c r="A1645" s="1" t="s">
        <v>1063</v>
      </c>
      <c r="B1645" s="2">
        <v>9.0</v>
      </c>
      <c r="C1645" s="19" t="s">
        <v>3892</v>
      </c>
      <c r="D1645" s="58" t="str">
        <f t="shared" si="1339"/>
        <v/>
      </c>
      <c r="E1645" s="59">
        <f>Q1645</f>
        <v>43874</v>
      </c>
      <c r="F1645" s="60" t="str">
        <f>IFERROR(__xludf.DUMMYFUNCTION("iferror(ifna(IFNA(filter('2.1.clean'!E:E,'2.1.clean'!A:A=C1645),filter('2.2.clean'!G:G,'2.2.clean'!D:D=C1645)),filter('2.4.clean'!E:E,'2.4.clean'!A:A=C1645)),)"),"")</f>
        <v/>
      </c>
      <c r="G1645" s="59" t="str">
        <f>IFERROR(__xludf.DUMMYFUNCTION("iferror(filter('3.1.clean'!C:C,'3.1.clean'!A:A=C1645),"""")"),"")</f>
        <v/>
      </c>
      <c r="H1645" s="58"/>
      <c r="I1645" s="58" t="str">
        <f>IFERROR(__xludf.DUMMYFUNCTION("iferror(filter('3.1.clean'!G:G,'3.1.clean'!A:A=C1645),"""")"),"")</f>
        <v/>
      </c>
      <c r="J1645" s="60" t="str">
        <f>IFERROR(__xludf.DUMMYFUNCTION("iferror(filter('3.1.clean'!I:I,'3.1.clean'!A:A=C1645),"""")"),"")</f>
        <v/>
      </c>
      <c r="K1645" s="59"/>
      <c r="L1645" s="60"/>
      <c r="M1645" s="59" t="str">
        <f>IFERROR(__xludf.DUMMYFUNCTION("iferror(filter('3.3.clean'!C:C,'3.3.clean'!A:A=C1645),"""")"),"")</f>
        <v/>
      </c>
      <c r="N1645" s="60" t="b">
        <f t="shared" si="1333"/>
        <v>0</v>
      </c>
      <c r="O1645" s="59" t="str">
        <f>IFERROR(__xludf.DUMMYFUNCTION("iferror(filter('3.4.clean'!C:C,'3.4.clean'!A:A=C1645),"""")"),"")</f>
        <v/>
      </c>
      <c r="P1645" s="60" t="b">
        <f t="shared" si="1334"/>
        <v>0</v>
      </c>
      <c r="Q1645" s="59">
        <f>IFERROR(__xludf.DUMMYFUNCTION("iferror(filter('3.5.clean'!C:C,'3.5.clean'!A:A=C1645),"""")"),43874.0)</f>
        <v>43874</v>
      </c>
      <c r="R1645" s="58" t="b">
        <f t="shared" ref="R1645:R1646" si="1340">if(Q1645="",FALSE,TRUE)</f>
        <v>1</v>
      </c>
      <c r="S1645" s="4">
        <f>IFERROR(__xludf.DUMMYFUNCTION("iferror(filter('3.5.clean'!H:H,'3.5.clean'!A:A=C1645),"""")"),0.0)</f>
        <v>0</v>
      </c>
      <c r="V1645" s="52" t="s">
        <v>64</v>
      </c>
      <c r="W1645" s="23" t="b">
        <f>if(AND(R1645=TRUE,N1645=TRUE,P1645=TRUE),TRUE,FALSE)</f>
        <v>0</v>
      </c>
      <c r="X1645" s="23" t="str">
        <f>IFERROR(__xludf.DUMMYFUNCTION("if(COUNTA(FILTER(C:C, C:C = C1645))=1,""no"",""yes"")"),"no")</f>
        <v>no</v>
      </c>
    </row>
    <row r="1646">
      <c r="A1646" s="1" t="s">
        <v>1063</v>
      </c>
      <c r="B1646" s="2">
        <v>10.0</v>
      </c>
      <c r="C1646" s="19" t="s">
        <v>3896</v>
      </c>
      <c r="E1646" s="24">
        <f>IFERROR(__xludf.DUMMYFUNCTION("ifna(IFNA(filter('2.1.clean'!C:C,'2.1.clean'!A:A=C1646),filter('2.2.clean'!E:E,'2.2.clean'!D:D=C1646)),filter('2.4.clean'!C:C,'2.4.clean'!A:A=C1646))"),43874.0)</f>
        <v>43874</v>
      </c>
      <c r="F1646" s="25">
        <f>IFERROR(__xludf.DUMMYFUNCTION("iferror(ifna(IFNA(filter('2.1.clean'!E:E,'2.1.clean'!A:A=C1646),filter('2.2.clean'!G:G,'2.2.clean'!D:D=C1646)),filter('2.4.clean'!E:E,'2.4.clean'!A:A=C1646)),)"),2.39999999999999)</f>
        <v>2.4</v>
      </c>
      <c r="G1646" s="24">
        <f>IFERROR(__xludf.DUMMYFUNCTION("iferror(filter('3.1.clean'!C:C,'3.1.clean'!A:A=C1646),"""")"),43874.0)</f>
        <v>43874</v>
      </c>
      <c r="H1646" s="23" t="b">
        <f t="shared" ref="H1646:H1647" si="1341">if(G1646="",FALSE,TRUE)</f>
        <v>1</v>
      </c>
      <c r="J1646" s="25"/>
      <c r="K1646" s="24">
        <f>IFERROR(__xludf.DUMMYFUNCTION("iferror(filter('3.2.clean'!C:C,'3.2.clean'!A:A=C1646),"""")"),43874.0)</f>
        <v>43874</v>
      </c>
      <c r="L1646" s="25" t="b">
        <f>if(K1646="",FALSE,TRUE)</f>
        <v>1</v>
      </c>
      <c r="M1646" s="24">
        <f>IFERROR(__xludf.DUMMYFUNCTION("iferror(filter('3.3.clean'!C:C,'3.3.clean'!A:A=C1646),"""")"),43875.0)</f>
        <v>43875</v>
      </c>
      <c r="N1646" s="25" t="b">
        <f t="shared" si="1333"/>
        <v>1</v>
      </c>
      <c r="O1646" s="24">
        <f>IFERROR(__xludf.DUMMYFUNCTION("iferror(filter('3.4.clean'!C:C,'3.4.clean'!A:A=C1646),"""")"),43879.0)</f>
        <v>43879</v>
      </c>
      <c r="P1646" s="25" t="b">
        <f t="shared" si="1334"/>
        <v>1</v>
      </c>
      <c r="Q1646" s="24">
        <f>IFERROR(__xludf.DUMMYFUNCTION("iferror(filter('3.5.clean'!C:C,'3.5.clean'!A:A=C1646),"""")"),43874.0)</f>
        <v>43874</v>
      </c>
      <c r="R1646" s="23" t="b">
        <f t="shared" si="1340"/>
        <v>1</v>
      </c>
      <c r="S1646" s="25"/>
      <c r="U1646" s="23" t="s">
        <v>177</v>
      </c>
      <c r="V1646" s="1" t="s">
        <v>64</v>
      </c>
      <c r="X1646" s="23" t="str">
        <f>IFERROR(__xludf.DUMMYFUNCTION("if(COUNTA(FILTER(C:C, C:C = C1646))=1,""no"",""yes"")"),"no")</f>
        <v>no</v>
      </c>
    </row>
    <row r="1647">
      <c r="A1647" s="1" t="s">
        <v>1063</v>
      </c>
      <c r="B1647" s="2">
        <v>11.0</v>
      </c>
      <c r="C1647" s="19" t="s">
        <v>3899</v>
      </c>
      <c r="D1647" s="58" t="str">
        <f t="shared" ref="D1647:D1648" si="1342">if(or(I1647=1,J1647=1,S1647=1),"pos","")</f>
        <v/>
      </c>
      <c r="E1647" s="59">
        <f>IFERROR(__xludf.DUMMYFUNCTION("ifna(IFNA(filter('2.1.clean'!C:C,'2.1.clean'!A:A=C1647),filter('2.2.clean'!E:E,'2.2.clean'!D:D=C1647)),filter('2.4.clean'!C:C,'2.4.clean'!A:A=C1647))"),43874.0)</f>
        <v>43874</v>
      </c>
      <c r="F1647" s="60">
        <f>IFERROR(__xludf.DUMMYFUNCTION("iferror(ifna(IFNA(filter('2.1.clean'!E:E,'2.1.clean'!A:A=C1647),filter('2.2.clean'!G:G,'2.2.clean'!D:D=C1647)),filter('2.4.clean'!E:E,'2.4.clean'!A:A=C1647)),)"),2.39999999999999)</f>
        <v>2.4</v>
      </c>
      <c r="G1647" s="59">
        <f>IFERROR(__xludf.DUMMYFUNCTION("iferror(filter('3.1.clean'!C:C,'3.1.clean'!A:A=C1647),"""")"),43874.0)</f>
        <v>43874</v>
      </c>
      <c r="H1647" s="58" t="b">
        <f t="shared" si="1341"/>
        <v>1</v>
      </c>
      <c r="I1647" s="58">
        <f>IFERROR(__xludf.DUMMYFUNCTION("iferror(filter('3.1.clean'!G:G,'3.1.clean'!A:A=C1647),"""")"),0.0)</f>
        <v>0</v>
      </c>
      <c r="J1647" s="60" t="str">
        <f>IFERROR(__xludf.DUMMYFUNCTION("iferror(filter('3.1.clean'!I:I,'3.1.clean'!A:A=C1647),"""")"),"")</f>
        <v/>
      </c>
      <c r="K1647" s="58"/>
      <c r="L1647" s="60"/>
      <c r="M1647" s="59" t="str">
        <f>IFERROR(__xludf.DUMMYFUNCTION("iferror(filter('3.3.clean'!C:C,'3.3.clean'!A:A=C1647),"""")"),"")</f>
        <v/>
      </c>
      <c r="N1647" s="60" t="b">
        <f t="shared" si="1333"/>
        <v>0</v>
      </c>
      <c r="O1647" s="59" t="str">
        <f>IFERROR(__xludf.DUMMYFUNCTION("iferror(filter('3.4.clean'!C:C,'3.4.clean'!A:A=C1647),"""")"),"")</f>
        <v/>
      </c>
      <c r="P1647" s="60" t="b">
        <f t="shared" si="1334"/>
        <v>0</v>
      </c>
      <c r="Q1647" s="59" t="str">
        <f>IFERROR(__xludf.DUMMYFUNCTION("iferror(filter('3.5.clean'!C:C,'3.5.clean'!A:A=C1647),"""")"),"")</f>
        <v/>
      </c>
      <c r="R1647" s="58"/>
      <c r="S1647" s="4" t="str">
        <f>IFERROR(__xludf.DUMMYFUNCTION("iferror(filter('3.5.clean'!H:H,'3.5.clean'!A:A=C1647),"""")"),"")</f>
        <v/>
      </c>
      <c r="W1647" s="23" t="b">
        <f>if(AND(H1647=TRUE,N1647=TRUE,P1647=TRUE),TRUE,FALSE)</f>
        <v>0</v>
      </c>
      <c r="X1647" s="23" t="str">
        <f>IFERROR(__xludf.DUMMYFUNCTION("if(COUNTA(FILTER(C:C, C:C = C1647))=1,""no"",""yes"")"),"no")</f>
        <v>no</v>
      </c>
    </row>
    <row r="1648">
      <c r="A1648" s="1" t="s">
        <v>1063</v>
      </c>
      <c r="B1648" s="2">
        <v>12.0</v>
      </c>
      <c r="C1648" s="19" t="s">
        <v>3905</v>
      </c>
      <c r="D1648" s="58" t="str">
        <f t="shared" si="1342"/>
        <v/>
      </c>
      <c r="E1648" s="59">
        <f>Q1648</f>
        <v>43874</v>
      </c>
      <c r="F1648" s="60" t="str">
        <f>IFERROR(__xludf.DUMMYFUNCTION("iferror(ifna(IFNA(filter('2.1.clean'!E:E,'2.1.clean'!A:A=C1648),filter('2.2.clean'!G:G,'2.2.clean'!D:D=C1648)),filter('2.4.clean'!E:E,'2.4.clean'!A:A=C1648)),)"),"")</f>
        <v/>
      </c>
      <c r="G1648" s="59" t="str">
        <f>IFERROR(__xludf.DUMMYFUNCTION("iferror(filter('3.1.clean'!C:C,'3.1.clean'!A:A=C1648),"""")"),"")</f>
        <v/>
      </c>
      <c r="H1648" s="58"/>
      <c r="I1648" s="58" t="str">
        <f>IFERROR(__xludf.DUMMYFUNCTION("iferror(filter('3.1.clean'!G:G,'3.1.clean'!A:A=C1648),"""")"),"")</f>
        <v/>
      </c>
      <c r="J1648" s="60" t="str">
        <f>IFERROR(__xludf.DUMMYFUNCTION("iferror(filter('3.1.clean'!I:I,'3.1.clean'!A:A=C1648),"""")"),"")</f>
        <v/>
      </c>
      <c r="K1648" s="59"/>
      <c r="L1648" s="60"/>
      <c r="M1648" s="59" t="str">
        <f>IFERROR(__xludf.DUMMYFUNCTION("iferror(filter('3.3.clean'!C:C,'3.3.clean'!A:A=C1648),"""")"),"")</f>
        <v/>
      </c>
      <c r="N1648" s="60" t="b">
        <f t="shared" si="1333"/>
        <v>0</v>
      </c>
      <c r="O1648" s="59" t="str">
        <f>IFERROR(__xludf.DUMMYFUNCTION("iferror(filter('3.4.clean'!C:C,'3.4.clean'!A:A=C1648),"""")"),"")</f>
        <v/>
      </c>
      <c r="P1648" s="60" t="b">
        <f t="shared" si="1334"/>
        <v>0</v>
      </c>
      <c r="Q1648" s="59">
        <f>IFERROR(__xludf.DUMMYFUNCTION("iferror(filter('3.5.clean'!C:C,'3.5.clean'!A:A=C1648),"""")"),43874.0)</f>
        <v>43874</v>
      </c>
      <c r="R1648" s="58" t="b">
        <f t="shared" ref="R1648:R1649" si="1343">if(Q1648="",FALSE,TRUE)</f>
        <v>1</v>
      </c>
      <c r="S1648" s="4">
        <f>IFERROR(__xludf.DUMMYFUNCTION("iferror(filter('3.5.clean'!H:H,'3.5.clean'!A:A=C1648),"""")"),0.0)</f>
        <v>0</v>
      </c>
      <c r="V1648" s="52" t="s">
        <v>64</v>
      </c>
      <c r="W1648" s="23" t="b">
        <f>if(AND(R1648=TRUE,N1648=TRUE,P1648=TRUE),TRUE,FALSE)</f>
        <v>0</v>
      </c>
      <c r="X1648" s="23" t="str">
        <f>IFERROR(__xludf.DUMMYFUNCTION("if(COUNTA(FILTER(C:C, C:C = C1648))=1,""no"",""yes"")"),"no")</f>
        <v>no</v>
      </c>
    </row>
    <row r="1649">
      <c r="A1649" s="1" t="s">
        <v>1063</v>
      </c>
      <c r="B1649" s="2">
        <v>13.0</v>
      </c>
      <c r="C1649" s="19" t="s">
        <v>3911</v>
      </c>
      <c r="E1649" s="24">
        <f>IFERROR(__xludf.DUMMYFUNCTION("ifna(IFNA(filter('2.1.clean'!C:C,'2.1.clean'!A:A=C1649),filter('2.2.clean'!E:E,'2.2.clean'!D:D=C1649)),filter('2.4.clean'!C:C,'2.4.clean'!A:A=C1649))"),43874.0)</f>
        <v>43874</v>
      </c>
      <c r="F1649" s="25">
        <f>IFERROR(__xludf.DUMMYFUNCTION("iferror(ifna(IFNA(filter('2.1.clean'!E:E,'2.1.clean'!A:A=C1649),filter('2.2.clean'!G:G,'2.2.clean'!D:D=C1649)),filter('2.4.clean'!E:E,'2.4.clean'!A:A=C1649)),)"),2.39999999999999)</f>
        <v>2.4</v>
      </c>
      <c r="G1649" s="24">
        <f>IFERROR(__xludf.DUMMYFUNCTION("iferror(filter('3.1.clean'!C:C,'3.1.clean'!A:A=C1649),"""")"),43874.0)</f>
        <v>43874</v>
      </c>
      <c r="H1649" s="23" t="b">
        <f t="shared" ref="H1649:H1650" si="1344">if(G1649="",FALSE,TRUE)</f>
        <v>1</v>
      </c>
      <c r="J1649" s="25"/>
      <c r="K1649" s="24">
        <f>IFERROR(__xludf.DUMMYFUNCTION("iferror(filter('3.2.clean'!C:C,'3.2.clean'!A:A=C1649),"""")"),43874.0)</f>
        <v>43874</v>
      </c>
      <c r="L1649" s="25" t="b">
        <f>if(K1649="",FALSE,TRUE)</f>
        <v>1</v>
      </c>
      <c r="M1649" s="24">
        <f>IFERROR(__xludf.DUMMYFUNCTION("iferror(filter('3.3.clean'!C:C,'3.3.clean'!A:A=C1649),"""")"),43875.0)</f>
        <v>43875</v>
      </c>
      <c r="N1649" s="25" t="b">
        <f t="shared" si="1333"/>
        <v>1</v>
      </c>
      <c r="O1649" s="24">
        <f>IFERROR(__xludf.DUMMYFUNCTION("iferror(filter('3.4.clean'!C:C,'3.4.clean'!A:A=C1649),"""")"),43879.0)</f>
        <v>43879</v>
      </c>
      <c r="P1649" s="25" t="b">
        <f t="shared" si="1334"/>
        <v>1</v>
      </c>
      <c r="Q1649" s="24">
        <f>IFERROR(__xludf.DUMMYFUNCTION("iferror(filter('3.5.clean'!C:C,'3.5.clean'!A:A=C1649),"""")"),43874.0)</f>
        <v>43874</v>
      </c>
      <c r="R1649" s="23" t="b">
        <f t="shared" si="1343"/>
        <v>1</v>
      </c>
      <c r="S1649" s="25"/>
      <c r="U1649" s="23" t="s">
        <v>177</v>
      </c>
      <c r="V1649" s="1" t="s">
        <v>64</v>
      </c>
      <c r="X1649" s="23" t="str">
        <f>IFERROR(__xludf.DUMMYFUNCTION("if(COUNTA(FILTER(C:C, C:C = C1649))=1,""no"",""yes"")"),"no")</f>
        <v>no</v>
      </c>
    </row>
    <row r="1650">
      <c r="A1650" s="1" t="s">
        <v>1063</v>
      </c>
      <c r="B1650" s="2">
        <v>14.0</v>
      </c>
      <c r="C1650" s="19" t="s">
        <v>3916</v>
      </c>
      <c r="D1650" s="58" t="str">
        <f t="shared" ref="D1650:D1651" si="1345">if(or(I1650=1,J1650=1,S1650=1),"pos","")</f>
        <v/>
      </c>
      <c r="E1650" s="59">
        <f>IFERROR(__xludf.DUMMYFUNCTION("ifna(IFNA(filter('2.1.clean'!C:C,'2.1.clean'!A:A=C1650),filter('2.2.clean'!E:E,'2.2.clean'!D:D=C1650)),filter('2.4.clean'!C:C,'2.4.clean'!A:A=C1650))"),43874.0)</f>
        <v>43874</v>
      </c>
      <c r="F1650" s="60">
        <f>IFERROR(__xludf.DUMMYFUNCTION("iferror(ifna(IFNA(filter('2.1.clean'!E:E,'2.1.clean'!A:A=C1650),filter('2.2.clean'!G:G,'2.2.clean'!D:D=C1650)),filter('2.4.clean'!E:E,'2.4.clean'!A:A=C1650)),)"),2.39999999999999)</f>
        <v>2.4</v>
      </c>
      <c r="G1650" s="59">
        <f>IFERROR(__xludf.DUMMYFUNCTION("iferror(filter('3.1.clean'!C:C,'3.1.clean'!A:A=C1650),"""")"),43874.0)</f>
        <v>43874</v>
      </c>
      <c r="H1650" s="58" t="b">
        <f t="shared" si="1344"/>
        <v>1</v>
      </c>
      <c r="I1650" s="58">
        <f>IFERROR(__xludf.DUMMYFUNCTION("iferror(filter('3.1.clean'!G:G,'3.1.clean'!A:A=C1650),"""")"),0.0)</f>
        <v>0</v>
      </c>
      <c r="J1650" s="60" t="str">
        <f>IFERROR(__xludf.DUMMYFUNCTION("iferror(filter('3.1.clean'!I:I,'3.1.clean'!A:A=C1650),"""")"),"")</f>
        <v/>
      </c>
      <c r="K1650" s="58"/>
      <c r="L1650" s="60"/>
      <c r="M1650" s="59" t="str">
        <f>IFERROR(__xludf.DUMMYFUNCTION("iferror(filter('3.3.clean'!C:C,'3.3.clean'!A:A=C1650),"""")"),"")</f>
        <v/>
      </c>
      <c r="N1650" s="60" t="b">
        <f t="shared" si="1333"/>
        <v>0</v>
      </c>
      <c r="O1650" s="59" t="str">
        <f>IFERROR(__xludf.DUMMYFUNCTION("iferror(filter('3.4.clean'!C:C,'3.4.clean'!A:A=C1650),"""")"),"")</f>
        <v/>
      </c>
      <c r="P1650" s="60" t="b">
        <f t="shared" si="1334"/>
        <v>0</v>
      </c>
      <c r="Q1650" s="59" t="str">
        <f>IFERROR(__xludf.DUMMYFUNCTION("iferror(filter('3.5.clean'!C:C,'3.5.clean'!A:A=C1650),"""")"),"")</f>
        <v/>
      </c>
      <c r="R1650" s="58"/>
      <c r="S1650" s="4" t="str">
        <f>IFERROR(__xludf.DUMMYFUNCTION("iferror(filter('3.5.clean'!H:H,'3.5.clean'!A:A=C1650),"""")"),"")</f>
        <v/>
      </c>
      <c r="W1650" s="23" t="b">
        <f>if(AND(H1650=TRUE,N1650=TRUE,P1650=TRUE),TRUE,FALSE)</f>
        <v>0</v>
      </c>
      <c r="X1650" s="23" t="str">
        <f>IFERROR(__xludf.DUMMYFUNCTION("if(COUNTA(FILTER(C:C, C:C = C1650))=1,""no"",""yes"")"),"no")</f>
        <v>no</v>
      </c>
    </row>
    <row r="1651">
      <c r="A1651" s="1" t="s">
        <v>1063</v>
      </c>
      <c r="B1651" s="2">
        <v>15.0</v>
      </c>
      <c r="C1651" s="19" t="s">
        <v>3922</v>
      </c>
      <c r="D1651" s="58" t="str">
        <f t="shared" si="1345"/>
        <v/>
      </c>
      <c r="E1651" s="59">
        <f>Q1651</f>
        <v>43874</v>
      </c>
      <c r="F1651" s="60" t="str">
        <f>IFERROR(__xludf.DUMMYFUNCTION("iferror(ifna(IFNA(filter('2.1.clean'!E:E,'2.1.clean'!A:A=C1651),filter('2.2.clean'!G:G,'2.2.clean'!D:D=C1651)),filter('2.4.clean'!E:E,'2.4.clean'!A:A=C1651)),)"),"")</f>
        <v/>
      </c>
      <c r="G1651" s="59" t="str">
        <f>IFERROR(__xludf.DUMMYFUNCTION("iferror(filter('3.1.clean'!C:C,'3.1.clean'!A:A=C1651),"""")"),"")</f>
        <v/>
      </c>
      <c r="H1651" s="58"/>
      <c r="I1651" s="58" t="str">
        <f>IFERROR(__xludf.DUMMYFUNCTION("iferror(filter('3.1.clean'!G:G,'3.1.clean'!A:A=C1651),"""")"),"")</f>
        <v/>
      </c>
      <c r="J1651" s="60" t="str">
        <f>IFERROR(__xludf.DUMMYFUNCTION("iferror(filter('3.1.clean'!I:I,'3.1.clean'!A:A=C1651),"""")"),"")</f>
        <v/>
      </c>
      <c r="K1651" s="59"/>
      <c r="L1651" s="60"/>
      <c r="M1651" s="59" t="str">
        <f>IFERROR(__xludf.DUMMYFUNCTION("iferror(filter('3.3.clean'!C:C,'3.3.clean'!A:A=C1651),"""")"),"")</f>
        <v/>
      </c>
      <c r="N1651" s="60" t="b">
        <f t="shared" si="1333"/>
        <v>0</v>
      </c>
      <c r="O1651" s="59" t="str">
        <f>IFERROR(__xludf.DUMMYFUNCTION("iferror(filter('3.4.clean'!C:C,'3.4.clean'!A:A=C1651),"""")"),"")</f>
        <v/>
      </c>
      <c r="P1651" s="60" t="b">
        <f t="shared" si="1334"/>
        <v>0</v>
      </c>
      <c r="Q1651" s="59">
        <f>IFERROR(__xludf.DUMMYFUNCTION("iferror(filter('3.5.clean'!C:C,'3.5.clean'!A:A=C1651),"""")"),43874.0)</f>
        <v>43874</v>
      </c>
      <c r="R1651" s="58" t="b">
        <f t="shared" ref="R1651:R1652" si="1346">if(Q1651="",FALSE,TRUE)</f>
        <v>1</v>
      </c>
      <c r="S1651" s="4">
        <f>IFERROR(__xludf.DUMMYFUNCTION("iferror(filter('3.5.clean'!H:H,'3.5.clean'!A:A=C1651),"""")"),0.0)</f>
        <v>0</v>
      </c>
      <c r="V1651" s="52" t="s">
        <v>64</v>
      </c>
      <c r="W1651" s="23" t="b">
        <f>if(AND(R1651=TRUE,N1651=TRUE,P1651=TRUE),TRUE,FALSE)</f>
        <v>0</v>
      </c>
      <c r="X1651" s="23" t="str">
        <f>IFERROR(__xludf.DUMMYFUNCTION("if(COUNTA(FILTER(C:C, C:C = C1651))=1,""no"",""yes"")"),"no")</f>
        <v>no</v>
      </c>
    </row>
    <row r="1652">
      <c r="A1652" s="1" t="s">
        <v>1063</v>
      </c>
      <c r="B1652" s="2">
        <v>16.0</v>
      </c>
      <c r="C1652" s="19" t="s">
        <v>3931</v>
      </c>
      <c r="E1652" s="24">
        <f>IFERROR(__xludf.DUMMYFUNCTION("ifna(IFNA(filter('2.1.clean'!C:C,'2.1.clean'!A:A=C1652),filter('2.2.clean'!E:E,'2.2.clean'!D:D=C1652)),filter('2.4.clean'!C:C,'2.4.clean'!A:A=C1652))"),43874.0)</f>
        <v>43874</v>
      </c>
      <c r="F1652" s="25">
        <f>IFERROR(__xludf.DUMMYFUNCTION("iferror(ifna(IFNA(filter('2.1.clean'!E:E,'2.1.clean'!A:A=C1652),filter('2.2.clean'!G:G,'2.2.clean'!D:D=C1652)),filter('2.4.clean'!E:E,'2.4.clean'!A:A=C1652)),)"),2.39999999999999)</f>
        <v>2.4</v>
      </c>
      <c r="G1652" s="24">
        <f>IFERROR(__xludf.DUMMYFUNCTION("iferror(filter('3.1.clean'!C:C,'3.1.clean'!A:A=C1652),"""")"),43874.0)</f>
        <v>43874</v>
      </c>
      <c r="H1652" s="23" t="b">
        <f t="shared" ref="H1652:H1653" si="1347">if(G1652="",FALSE,TRUE)</f>
        <v>1</v>
      </c>
      <c r="J1652" s="25"/>
      <c r="K1652" s="24">
        <f>IFERROR(__xludf.DUMMYFUNCTION("iferror(filter('3.2.clean'!C:C,'3.2.clean'!A:A=C1652),"""")"),43874.0)</f>
        <v>43874</v>
      </c>
      <c r="L1652" s="25" t="b">
        <f>if(K1652="",FALSE,TRUE)</f>
        <v>1</v>
      </c>
      <c r="M1652" s="24">
        <f>IFERROR(__xludf.DUMMYFUNCTION("iferror(filter('3.3.clean'!C:C,'3.3.clean'!A:A=C1652),"""")"),43875.0)</f>
        <v>43875</v>
      </c>
      <c r="N1652" s="25" t="b">
        <f t="shared" si="1333"/>
        <v>1</v>
      </c>
      <c r="O1652" s="24">
        <f>IFERROR(__xludf.DUMMYFUNCTION("iferror(filter('3.4.clean'!C:C,'3.4.clean'!A:A=C1652),"""")"),43879.0)</f>
        <v>43879</v>
      </c>
      <c r="P1652" s="25" t="b">
        <f t="shared" si="1334"/>
        <v>1</v>
      </c>
      <c r="Q1652" s="24">
        <f>IFERROR(__xludf.DUMMYFUNCTION("iferror(filter('3.5.clean'!C:C,'3.5.clean'!A:A=C1652),"""")"),43874.0)</f>
        <v>43874</v>
      </c>
      <c r="R1652" s="23" t="b">
        <f t="shared" si="1346"/>
        <v>1</v>
      </c>
      <c r="S1652" s="25"/>
      <c r="U1652" s="23" t="s">
        <v>177</v>
      </c>
      <c r="V1652" s="1" t="s">
        <v>64</v>
      </c>
      <c r="X1652" s="23" t="str">
        <f>IFERROR(__xludf.DUMMYFUNCTION("if(COUNTA(FILTER(C:C, C:C = C1652))=1,""no"",""yes"")"),"no")</f>
        <v>no</v>
      </c>
    </row>
    <row r="1653">
      <c r="A1653" s="1" t="s">
        <v>1063</v>
      </c>
      <c r="B1653" s="2">
        <v>17.0</v>
      </c>
      <c r="C1653" s="19" t="s">
        <v>3938</v>
      </c>
      <c r="D1653" s="58" t="str">
        <f t="shared" ref="D1653:D1654" si="1348">if(or(I1653=1,J1653=1,S1653=1),"pos","")</f>
        <v/>
      </c>
      <c r="E1653" s="59">
        <f>IFERROR(__xludf.DUMMYFUNCTION("ifna(IFNA(filter('2.1.clean'!C:C,'2.1.clean'!A:A=C1653),filter('2.2.clean'!E:E,'2.2.clean'!D:D=C1653)),filter('2.4.clean'!C:C,'2.4.clean'!A:A=C1653))"),43874.0)</f>
        <v>43874</v>
      </c>
      <c r="F1653" s="60">
        <f>IFERROR(__xludf.DUMMYFUNCTION("iferror(ifna(IFNA(filter('2.1.clean'!E:E,'2.1.clean'!A:A=C1653),filter('2.2.clean'!G:G,'2.2.clean'!D:D=C1653)),filter('2.4.clean'!E:E,'2.4.clean'!A:A=C1653)),)"),2.39999999999999)</f>
        <v>2.4</v>
      </c>
      <c r="G1653" s="59">
        <f>IFERROR(__xludf.DUMMYFUNCTION("iferror(filter('3.1.clean'!C:C,'3.1.clean'!A:A=C1653),"""")"),43874.0)</f>
        <v>43874</v>
      </c>
      <c r="H1653" s="58" t="b">
        <f t="shared" si="1347"/>
        <v>1</v>
      </c>
      <c r="I1653" s="58">
        <f>IFERROR(__xludf.DUMMYFUNCTION("iferror(filter('3.1.clean'!G:G,'3.1.clean'!A:A=C1653),"""")"),0.0)</f>
        <v>0</v>
      </c>
      <c r="J1653" s="60" t="str">
        <f>IFERROR(__xludf.DUMMYFUNCTION("iferror(filter('3.1.clean'!I:I,'3.1.clean'!A:A=C1653),"""")"),"")</f>
        <v/>
      </c>
      <c r="K1653" s="58"/>
      <c r="L1653" s="60"/>
      <c r="M1653" s="59" t="str">
        <f>IFERROR(__xludf.DUMMYFUNCTION("iferror(filter('3.3.clean'!C:C,'3.3.clean'!A:A=C1653),"""")"),"")</f>
        <v/>
      </c>
      <c r="N1653" s="60" t="b">
        <f t="shared" si="1333"/>
        <v>0</v>
      </c>
      <c r="O1653" s="59" t="str">
        <f>IFERROR(__xludf.DUMMYFUNCTION("iferror(filter('3.4.clean'!C:C,'3.4.clean'!A:A=C1653),"""")"),"")</f>
        <v/>
      </c>
      <c r="P1653" s="60" t="b">
        <f t="shared" si="1334"/>
        <v>0</v>
      </c>
      <c r="Q1653" s="59" t="str">
        <f>IFERROR(__xludf.DUMMYFUNCTION("iferror(filter('3.5.clean'!C:C,'3.5.clean'!A:A=C1653),"""")"),"")</f>
        <v/>
      </c>
      <c r="R1653" s="58"/>
      <c r="S1653" s="4" t="str">
        <f>IFERROR(__xludf.DUMMYFUNCTION("iferror(filter('3.5.clean'!H:H,'3.5.clean'!A:A=C1653),"""")"),"")</f>
        <v/>
      </c>
      <c r="W1653" s="23" t="b">
        <f>if(AND(H1653=TRUE,N1653=TRUE,P1653=TRUE),TRUE,FALSE)</f>
        <v>0</v>
      </c>
      <c r="X1653" s="23" t="str">
        <f>IFERROR(__xludf.DUMMYFUNCTION("if(COUNTA(FILTER(C:C, C:C = C1653))=1,""no"",""yes"")"),"no")</f>
        <v>no</v>
      </c>
    </row>
    <row r="1654">
      <c r="A1654" s="1" t="s">
        <v>1063</v>
      </c>
      <c r="B1654" s="2">
        <v>18.0</v>
      </c>
      <c r="C1654" s="19" t="s">
        <v>3943</v>
      </c>
      <c r="D1654" s="58" t="str">
        <f t="shared" si="1348"/>
        <v/>
      </c>
      <c r="E1654" s="59">
        <f>Q1654</f>
        <v>43874</v>
      </c>
      <c r="F1654" s="60" t="str">
        <f>IFERROR(__xludf.DUMMYFUNCTION("iferror(ifna(IFNA(filter('2.1.clean'!E:E,'2.1.clean'!A:A=C1654),filter('2.2.clean'!G:G,'2.2.clean'!D:D=C1654)),filter('2.4.clean'!E:E,'2.4.clean'!A:A=C1654)),)"),"")</f>
        <v/>
      </c>
      <c r="G1654" s="59" t="str">
        <f>IFERROR(__xludf.DUMMYFUNCTION("iferror(filter('3.1.clean'!C:C,'3.1.clean'!A:A=C1654),"""")"),"")</f>
        <v/>
      </c>
      <c r="H1654" s="58"/>
      <c r="I1654" s="58" t="str">
        <f>IFERROR(__xludf.DUMMYFUNCTION("iferror(filter('3.1.clean'!G:G,'3.1.clean'!A:A=C1654),"""")"),"")</f>
        <v/>
      </c>
      <c r="J1654" s="60" t="str">
        <f>IFERROR(__xludf.DUMMYFUNCTION("iferror(filter('3.1.clean'!I:I,'3.1.clean'!A:A=C1654),"""")"),"")</f>
        <v/>
      </c>
      <c r="K1654" s="59"/>
      <c r="L1654" s="60"/>
      <c r="M1654" s="59" t="str">
        <f>IFERROR(__xludf.DUMMYFUNCTION("iferror(filter('3.3.clean'!C:C,'3.3.clean'!A:A=C1654),"""")"),"")</f>
        <v/>
      </c>
      <c r="N1654" s="60" t="b">
        <f t="shared" si="1333"/>
        <v>0</v>
      </c>
      <c r="O1654" s="59" t="str">
        <f>IFERROR(__xludf.DUMMYFUNCTION("iferror(filter('3.4.clean'!C:C,'3.4.clean'!A:A=C1654),"""")"),"")</f>
        <v/>
      </c>
      <c r="P1654" s="60" t="b">
        <f t="shared" si="1334"/>
        <v>0</v>
      </c>
      <c r="Q1654" s="59">
        <f>IFERROR(__xludf.DUMMYFUNCTION("iferror(filter('3.5.clean'!C:C,'3.5.clean'!A:A=C1654),"""")"),43874.0)</f>
        <v>43874</v>
      </c>
      <c r="R1654" s="58" t="b">
        <f>if(Q1654="",FALSE,TRUE)</f>
        <v>1</v>
      </c>
      <c r="S1654" s="4">
        <f>IFERROR(__xludf.DUMMYFUNCTION("iferror(filter('3.5.clean'!H:H,'3.5.clean'!A:A=C1654),"""")"),0.0)</f>
        <v>0</v>
      </c>
      <c r="V1654" s="52" t="s">
        <v>64</v>
      </c>
      <c r="W1654" s="23" t="b">
        <f>if(AND(R1654=TRUE,N1654=TRUE,P1654=TRUE),TRUE,FALSE)</f>
        <v>0</v>
      </c>
      <c r="X1654" s="23" t="str">
        <f>IFERROR(__xludf.DUMMYFUNCTION("if(COUNTA(FILTER(C:C, C:C = C1654))=1,""no"",""yes"")"),"no")</f>
        <v>no</v>
      </c>
    </row>
    <row r="1655">
      <c r="A1655" s="1" t="s">
        <v>1063</v>
      </c>
      <c r="B1655" s="2">
        <v>19.0</v>
      </c>
      <c r="C1655" s="69" t="s">
        <v>755</v>
      </c>
      <c r="E1655" s="24">
        <f>IFERROR(__xludf.DUMMYFUNCTION("ifna(IFNA(filter('2.1.clean'!C:C,'2.1.clean'!A:A=C1655),filter('2.2.clean'!E:E,'2.2.clean'!D:D=C1655)),filter('2.4.clean'!C:C,'2.4.clean'!A:A=C1655))"),43874.0)</f>
        <v>43874</v>
      </c>
      <c r="F1655" s="25">
        <f>IFERROR(__xludf.DUMMYFUNCTION("iferror(ifna(IFNA(filter('2.1.clean'!E:E,'2.1.clean'!A:A=C1655),filter('2.2.clean'!G:G,'2.2.clean'!D:D=C1655)),filter('2.4.clean'!E:E,'2.4.clean'!A:A=C1655)),)"),2.2)</f>
        <v>2.2</v>
      </c>
      <c r="G1655" s="24">
        <f>IFERROR(__xludf.DUMMYFUNCTION("iferror(filter('3.1.clean'!C:C,'3.1.clean'!A:A=C1655),"""")"),43874.0)</f>
        <v>43874</v>
      </c>
      <c r="H1655" s="23" t="b">
        <f t="shared" ref="H1655:H1670" si="1349">if(G1655="",FALSE,TRUE)</f>
        <v>1</v>
      </c>
      <c r="J1655" s="25"/>
      <c r="K1655" s="24">
        <f>IFERROR(__xludf.DUMMYFUNCTION("iferror(filter('3.2.clean'!C:C,'3.2.clean'!A:A=C1655),"""")"),43875.0)</f>
        <v>43875</v>
      </c>
      <c r="L1655" s="25" t="b">
        <f t="shared" ref="L1655:L1659" si="1350">if(K1655="",FALSE,TRUE)</f>
        <v>1</v>
      </c>
      <c r="M1655" s="24">
        <f>IFERROR(__xludf.DUMMYFUNCTION("iferror(filter('3.3.clean'!C:C,'3.3.clean'!A:A=C1655),"""")"),43875.0)</f>
        <v>43875</v>
      </c>
      <c r="N1655" s="25" t="b">
        <f t="shared" si="1333"/>
        <v>1</v>
      </c>
      <c r="O1655" s="24">
        <f>IFERROR(__xludf.DUMMYFUNCTION("iferror(filter('3.4.clean'!C:C,'3.4.clean'!A:A=C1655),"""")"),43879.0)</f>
        <v>43879</v>
      </c>
      <c r="P1655" s="25" t="b">
        <f t="shared" si="1334"/>
        <v>1</v>
      </c>
      <c r="Q1655" s="24" t="str">
        <f>IFERROR(__xludf.DUMMYFUNCTION("iferror(filter('3.5.clean'!C:C,'3.5.clean'!A:A=C1655),"""")"),"")</f>
        <v/>
      </c>
      <c r="S1655" s="25"/>
      <c r="W1655" s="23" t="b">
        <f t="shared" ref="W1655:W1659" si="1351">IF(and(H1655=TRUE,L1655=TRUE,N1655=TRUE,P1655=TRUE),TRUE,FALSE)</f>
        <v>1</v>
      </c>
      <c r="X1655" s="23" t="str">
        <f>IFERROR(__xludf.DUMMYFUNCTION("if(COUNTA(FILTER(C:C, C:C = C1655))=1,""no"",""yes"")"),"no")</f>
        <v>no</v>
      </c>
    </row>
    <row r="1656">
      <c r="A1656" s="1" t="s">
        <v>1063</v>
      </c>
      <c r="B1656" s="2">
        <v>20.0</v>
      </c>
      <c r="C1656" s="69" t="s">
        <v>759</v>
      </c>
      <c r="E1656" s="24">
        <f>IFERROR(__xludf.DUMMYFUNCTION("ifna(IFNA(filter('2.1.clean'!C:C,'2.1.clean'!A:A=C1656),filter('2.2.clean'!E:E,'2.2.clean'!D:D=C1656)),filter('2.4.clean'!C:C,'2.4.clean'!A:A=C1656))"),43874.0)</f>
        <v>43874</v>
      </c>
      <c r="F1656" s="25">
        <f>IFERROR(__xludf.DUMMYFUNCTION("iferror(ifna(IFNA(filter('2.1.clean'!E:E,'2.1.clean'!A:A=C1656),filter('2.2.clean'!G:G,'2.2.clean'!D:D=C1656)),filter('2.4.clean'!E:E,'2.4.clean'!A:A=C1656)),)"),2.2)</f>
        <v>2.2</v>
      </c>
      <c r="G1656" s="24">
        <f>IFERROR(__xludf.DUMMYFUNCTION("iferror(filter('3.1.clean'!C:C,'3.1.clean'!A:A=C1656),"""")"),43874.0)</f>
        <v>43874</v>
      </c>
      <c r="H1656" s="23" t="b">
        <f t="shared" si="1349"/>
        <v>1</v>
      </c>
      <c r="J1656" s="25"/>
      <c r="K1656" s="24">
        <f>IFERROR(__xludf.DUMMYFUNCTION("iferror(filter('3.2.clean'!C:C,'3.2.clean'!A:A=C1656),"""")"),43874.0)</f>
        <v>43874</v>
      </c>
      <c r="L1656" s="25" t="b">
        <f t="shared" si="1350"/>
        <v>1</v>
      </c>
      <c r="M1656" s="24">
        <f>IFERROR(__xludf.DUMMYFUNCTION("iferror(filter('3.3.clean'!C:C,'3.3.clean'!A:A=C1656),"""")"),43875.0)</f>
        <v>43875</v>
      </c>
      <c r="N1656" s="25" t="b">
        <f t="shared" si="1333"/>
        <v>1</v>
      </c>
      <c r="O1656" s="24">
        <f>IFERROR(__xludf.DUMMYFUNCTION("iferror(filter('3.4.clean'!C:C,'3.4.clean'!A:A=C1656),"""")"),43879.0)</f>
        <v>43879</v>
      </c>
      <c r="P1656" s="25" t="b">
        <f t="shared" si="1334"/>
        <v>1</v>
      </c>
      <c r="Q1656" s="24" t="str">
        <f>IFERROR(__xludf.DUMMYFUNCTION("iferror(filter('3.5.clean'!C:C,'3.5.clean'!A:A=C1656),"""")"),"")</f>
        <v/>
      </c>
      <c r="S1656" s="25"/>
      <c r="W1656" s="23" t="b">
        <f t="shared" si="1351"/>
        <v>1</v>
      </c>
      <c r="X1656" s="23" t="str">
        <f>IFERROR(__xludf.DUMMYFUNCTION("if(COUNTA(FILTER(C:C, C:C = C1656))=1,""no"",""yes"")"),"no")</f>
        <v>no</v>
      </c>
    </row>
    <row r="1657">
      <c r="A1657" s="1" t="s">
        <v>1063</v>
      </c>
      <c r="B1657" s="2">
        <v>21.0</v>
      </c>
      <c r="C1657" s="69" t="s">
        <v>757</v>
      </c>
      <c r="E1657" s="24">
        <f>IFERROR(__xludf.DUMMYFUNCTION("ifna(IFNA(filter('2.1.clean'!C:C,'2.1.clean'!A:A=C1657),filter('2.2.clean'!E:E,'2.2.clean'!D:D=C1657)),filter('2.4.clean'!C:C,'2.4.clean'!A:A=C1657))"),43874.0)</f>
        <v>43874</v>
      </c>
      <c r="F1657" s="25">
        <f>IFERROR(__xludf.DUMMYFUNCTION("iferror(ifna(IFNA(filter('2.1.clean'!E:E,'2.1.clean'!A:A=C1657),filter('2.2.clean'!G:G,'2.2.clean'!D:D=C1657)),filter('2.4.clean'!E:E,'2.4.clean'!A:A=C1657)),)"),2.2)</f>
        <v>2.2</v>
      </c>
      <c r="G1657" s="24">
        <f>IFERROR(__xludf.DUMMYFUNCTION("iferror(filter('3.1.clean'!C:C,'3.1.clean'!A:A=C1657),"""")"),43874.0)</f>
        <v>43874</v>
      </c>
      <c r="H1657" s="23" t="b">
        <f t="shared" si="1349"/>
        <v>1</v>
      </c>
      <c r="J1657" s="25"/>
      <c r="K1657" s="24">
        <f>IFERROR(__xludf.DUMMYFUNCTION("iferror(filter('3.2.clean'!C:C,'3.2.clean'!A:A=C1657),"""")"),43875.0)</f>
        <v>43875</v>
      </c>
      <c r="L1657" s="25" t="b">
        <f t="shared" si="1350"/>
        <v>1</v>
      </c>
      <c r="M1657" s="24">
        <f>IFERROR(__xludf.DUMMYFUNCTION("iferror(filter('3.3.clean'!C:C,'3.3.clean'!A:A=C1657),"""")"),43875.0)</f>
        <v>43875</v>
      </c>
      <c r="N1657" s="25" t="b">
        <f t="shared" si="1333"/>
        <v>1</v>
      </c>
      <c r="O1657" s="24">
        <f>IFERROR(__xludf.DUMMYFUNCTION("iferror(filter('3.4.clean'!C:C,'3.4.clean'!A:A=C1657),"""")"),43879.0)</f>
        <v>43879</v>
      </c>
      <c r="P1657" s="25" t="b">
        <f t="shared" si="1334"/>
        <v>1</v>
      </c>
      <c r="Q1657" s="24" t="str">
        <f>IFERROR(__xludf.DUMMYFUNCTION("iferror(filter('3.5.clean'!C:C,'3.5.clean'!A:A=C1657),"""")"),"")</f>
        <v/>
      </c>
      <c r="S1657" s="25"/>
      <c r="W1657" s="23" t="b">
        <f t="shared" si="1351"/>
        <v>1</v>
      </c>
      <c r="X1657" s="23" t="str">
        <f>IFERROR(__xludf.DUMMYFUNCTION("if(COUNTA(FILTER(C:C, C:C = C1657))=1,""no"",""yes"")"),"no")</f>
        <v>no</v>
      </c>
    </row>
    <row r="1658">
      <c r="A1658" s="1" t="s">
        <v>1063</v>
      </c>
      <c r="B1658" s="2">
        <v>22.0</v>
      </c>
      <c r="C1658" s="69" t="s">
        <v>762</v>
      </c>
      <c r="E1658" s="24">
        <f>IFERROR(__xludf.DUMMYFUNCTION("ifna(IFNA(filter('2.1.clean'!C:C,'2.1.clean'!A:A=C1658),filter('2.2.clean'!E:E,'2.2.clean'!D:D=C1658)),filter('2.4.clean'!C:C,'2.4.clean'!A:A=C1658))"),43874.0)</f>
        <v>43874</v>
      </c>
      <c r="F1658" s="25">
        <f>IFERROR(__xludf.DUMMYFUNCTION("iferror(ifna(IFNA(filter('2.1.clean'!E:E,'2.1.clean'!A:A=C1658),filter('2.2.clean'!G:G,'2.2.clean'!D:D=C1658)),filter('2.4.clean'!E:E,'2.4.clean'!A:A=C1658)),)"),2.2)</f>
        <v>2.2</v>
      </c>
      <c r="G1658" s="24">
        <f>IFERROR(__xludf.DUMMYFUNCTION("iferror(filter('3.1.clean'!C:C,'3.1.clean'!A:A=C1658),"""")"),43874.0)</f>
        <v>43874</v>
      </c>
      <c r="H1658" s="23" t="b">
        <f t="shared" si="1349"/>
        <v>1</v>
      </c>
      <c r="J1658" s="25"/>
      <c r="K1658" s="24">
        <f>IFERROR(__xludf.DUMMYFUNCTION("iferror(filter('3.2.clean'!C:C,'3.2.clean'!A:A=C1658),"""")"),43874.0)</f>
        <v>43874</v>
      </c>
      <c r="L1658" s="25" t="b">
        <f t="shared" si="1350"/>
        <v>1</v>
      </c>
      <c r="M1658" s="24">
        <f>IFERROR(__xludf.DUMMYFUNCTION("iferror(filter('3.3.clean'!C:C,'3.3.clean'!A:A=C1658),"""")"),43875.0)</f>
        <v>43875</v>
      </c>
      <c r="N1658" s="25" t="b">
        <f t="shared" si="1333"/>
        <v>1</v>
      </c>
      <c r="O1658" s="24" t="str">
        <f>IFERROR(__xludf.DUMMYFUNCTION("iferror(filter('3.4.clean'!C:C,'3.4.clean'!A:A=C1658),"""")"),"#REF!")</f>
        <v>#REF!</v>
      </c>
      <c r="P1658" s="25" t="str">
        <f t="shared" si="1334"/>
        <v>#REF!</v>
      </c>
      <c r="Q1658" s="24" t="str">
        <f>IFERROR(__xludf.DUMMYFUNCTION("iferror(filter('3.5.clean'!C:C,'3.5.clean'!A:A=C1658),"""")"),"")</f>
        <v/>
      </c>
      <c r="S1658" s="25"/>
      <c r="W1658" s="23" t="str">
        <f t="shared" si="1351"/>
        <v>#REF!</v>
      </c>
      <c r="X1658" s="23" t="str">
        <f>IFERROR(__xludf.DUMMYFUNCTION("if(COUNTA(FILTER(C:C, C:C = C1658))=1,""no"",""yes"")"),"no")</f>
        <v>no</v>
      </c>
    </row>
    <row r="1659">
      <c r="A1659" s="1" t="s">
        <v>1063</v>
      </c>
      <c r="B1659" s="2">
        <v>23.0</v>
      </c>
      <c r="C1659" s="69" t="s">
        <v>764</v>
      </c>
      <c r="E1659" s="24">
        <f>IFERROR(__xludf.DUMMYFUNCTION("ifna(IFNA(filter('2.1.clean'!C:C,'2.1.clean'!A:A=C1659),filter('2.2.clean'!E:E,'2.2.clean'!D:D=C1659)),filter('2.4.clean'!C:C,'2.4.clean'!A:A=C1659))"),43874.0)</f>
        <v>43874</v>
      </c>
      <c r="F1659" s="25">
        <f>IFERROR(__xludf.DUMMYFUNCTION("iferror(ifna(IFNA(filter('2.1.clean'!E:E,'2.1.clean'!A:A=C1659),filter('2.2.clean'!G:G,'2.2.clean'!D:D=C1659)),filter('2.4.clean'!E:E,'2.4.clean'!A:A=C1659)),)"),2.2)</f>
        <v>2.2</v>
      </c>
      <c r="G1659" s="24">
        <f>IFERROR(__xludf.DUMMYFUNCTION("iferror(filter('3.1.clean'!C:C,'3.1.clean'!A:A=C1659),"""")"),43874.0)</f>
        <v>43874</v>
      </c>
      <c r="H1659" s="23" t="b">
        <f t="shared" si="1349"/>
        <v>1</v>
      </c>
      <c r="J1659" s="25"/>
      <c r="K1659" s="24">
        <f>IFERROR(__xludf.DUMMYFUNCTION("iferror(filter('3.2.clean'!C:C,'3.2.clean'!A:A=C1659),"""")"),43874.0)</f>
        <v>43874</v>
      </c>
      <c r="L1659" s="25" t="b">
        <f t="shared" si="1350"/>
        <v>1</v>
      </c>
      <c r="M1659" s="24">
        <f>IFERROR(__xludf.DUMMYFUNCTION("iferror(filter('3.3.clean'!C:C,'3.3.clean'!A:A=C1659),"""")"),43875.0)</f>
        <v>43875</v>
      </c>
      <c r="N1659" s="25" t="b">
        <f t="shared" si="1333"/>
        <v>1</v>
      </c>
      <c r="O1659" s="24">
        <f>IFERROR(__xludf.DUMMYFUNCTION("iferror(filter('3.4.clean'!C:C,'3.4.clean'!A:A=C1659),"""")"),43879.0)</f>
        <v>43879</v>
      </c>
      <c r="P1659" s="25" t="b">
        <f t="shared" si="1334"/>
        <v>1</v>
      </c>
      <c r="Q1659" s="24" t="str">
        <f>IFERROR(__xludf.DUMMYFUNCTION("iferror(filter('3.5.clean'!C:C,'3.5.clean'!A:A=C1659),"""")"),"")</f>
        <v/>
      </c>
      <c r="S1659" s="25"/>
      <c r="W1659" s="23" t="b">
        <f t="shared" si="1351"/>
        <v>1</v>
      </c>
      <c r="X1659" s="23" t="str">
        <f>IFERROR(__xludf.DUMMYFUNCTION("if(COUNTA(FILTER(C:C, C:C = C1659))=1,""no"",""yes"")"),"no")</f>
        <v>no</v>
      </c>
    </row>
    <row r="1660">
      <c r="A1660" s="1" t="s">
        <v>1063</v>
      </c>
      <c r="B1660" s="2">
        <v>24.0</v>
      </c>
      <c r="C1660" s="19" t="s">
        <v>767</v>
      </c>
      <c r="D1660" s="58" t="str">
        <f>if(or(I1660=1,J1660=1,S1660=1),"pos","")</f>
        <v/>
      </c>
      <c r="E1660" s="59">
        <f>IFERROR(__xludf.DUMMYFUNCTION("ifna(IFNA(filter('2.1.clean'!C:C,'2.1.clean'!A:A=C1660),filter('2.2.clean'!E:E,'2.2.clean'!D:D=C1660)),filter('2.4.clean'!C:C,'2.4.clean'!A:A=C1660))"),43874.0)</f>
        <v>43874</v>
      </c>
      <c r="F1660" s="60">
        <f>IFERROR(__xludf.DUMMYFUNCTION("iferror(ifna(IFNA(filter('2.1.clean'!E:E,'2.1.clean'!A:A=C1660),filter('2.2.clean'!G:G,'2.2.clean'!D:D=C1660)),filter('2.4.clean'!E:E,'2.4.clean'!A:A=C1660)),)"),2.2)</f>
        <v>2.2</v>
      </c>
      <c r="G1660" s="59">
        <f>IFERROR(__xludf.DUMMYFUNCTION("iferror(filter('3.1.clean'!C:C,'3.1.clean'!A:A=C1660),"""")"),43874.0)</f>
        <v>43874</v>
      </c>
      <c r="H1660" s="58" t="b">
        <f t="shared" si="1349"/>
        <v>1</v>
      </c>
      <c r="I1660" s="58">
        <f>IFERROR(__xludf.DUMMYFUNCTION("iferror(filter('3.1.clean'!G:G,'3.1.clean'!A:A=C1660),"""")"),0.0)</f>
        <v>0</v>
      </c>
      <c r="J1660" s="60" t="str">
        <f>IFERROR(__xludf.DUMMYFUNCTION("iferror(filter('3.1.clean'!I:I,'3.1.clean'!A:A=C1660),"""")"),"")</f>
        <v/>
      </c>
      <c r="K1660" s="58"/>
      <c r="L1660" s="60"/>
      <c r="M1660" s="59" t="str">
        <f>IFERROR(__xludf.DUMMYFUNCTION("iferror(filter('3.3.clean'!C:C,'3.3.clean'!A:A=C1660),"""")"),"")</f>
        <v/>
      </c>
      <c r="N1660" s="60" t="b">
        <f t="shared" si="1333"/>
        <v>0</v>
      </c>
      <c r="O1660" s="59" t="str">
        <f>IFERROR(__xludf.DUMMYFUNCTION("iferror(filter('3.4.clean'!C:C,'3.4.clean'!A:A=C1660),"""")"),"")</f>
        <v/>
      </c>
      <c r="P1660" s="60" t="b">
        <f t="shared" si="1334"/>
        <v>0</v>
      </c>
      <c r="Q1660" s="59" t="str">
        <f>IFERROR(__xludf.DUMMYFUNCTION("iferror(filter('3.5.clean'!C:C,'3.5.clean'!A:A=C1660),"""")"),"")</f>
        <v/>
      </c>
      <c r="R1660" s="58"/>
      <c r="S1660" s="4" t="str">
        <f>IFERROR(__xludf.DUMMYFUNCTION("iferror(filter('3.5.clean'!H:H,'3.5.clean'!A:A=C1660),"""")"),"")</f>
        <v/>
      </c>
      <c r="W1660" s="23" t="b">
        <f>if(AND(H1660=TRUE,N1660=TRUE,P1660=TRUE),TRUE,FALSE)</f>
        <v>0</v>
      </c>
      <c r="X1660" s="23" t="str">
        <f>IFERROR(__xludf.DUMMYFUNCTION("if(COUNTA(FILTER(C:C, C:C = C1660))=1,""no"",""yes"")"),"no")</f>
        <v>no</v>
      </c>
    </row>
    <row r="1661">
      <c r="A1661" s="1" t="s">
        <v>1063</v>
      </c>
      <c r="B1661" s="2">
        <v>25.0</v>
      </c>
      <c r="C1661" s="69" t="s">
        <v>769</v>
      </c>
      <c r="E1661" s="24">
        <f>IFERROR(__xludf.DUMMYFUNCTION("ifna(IFNA(filter('2.1.clean'!C:C,'2.1.clean'!A:A=C1661),filter('2.2.clean'!E:E,'2.2.clean'!D:D=C1661)),filter('2.4.clean'!C:C,'2.4.clean'!A:A=C1661))"),43874.0)</f>
        <v>43874</v>
      </c>
      <c r="F1661" s="25">
        <f>IFERROR(__xludf.DUMMYFUNCTION("iferror(ifna(IFNA(filter('2.1.clean'!E:E,'2.1.clean'!A:A=C1661),filter('2.2.clean'!G:G,'2.2.clean'!D:D=C1661)),filter('2.4.clean'!E:E,'2.4.clean'!A:A=C1661)),)"),2.2)</f>
        <v>2.2</v>
      </c>
      <c r="G1661" s="24">
        <f>IFERROR(__xludf.DUMMYFUNCTION("iferror(filter('3.1.clean'!C:C,'3.1.clean'!A:A=C1661),"""")"),43874.0)</f>
        <v>43874</v>
      </c>
      <c r="H1661" s="23" t="b">
        <f t="shared" si="1349"/>
        <v>1</v>
      </c>
      <c r="J1661" s="25"/>
      <c r="K1661" s="24">
        <f>IFERROR(__xludf.DUMMYFUNCTION("iferror(filter('3.2.clean'!C:C,'3.2.clean'!A:A=C1661),"""")"),43875.0)</f>
        <v>43875</v>
      </c>
      <c r="L1661" s="25" t="b">
        <f t="shared" ref="L1661:L1665" si="1352">if(K1661="",FALSE,TRUE)</f>
        <v>1</v>
      </c>
      <c r="M1661" s="24">
        <f>IFERROR(__xludf.DUMMYFUNCTION("iferror(filter('3.3.clean'!C:C,'3.3.clean'!A:A=C1661),"""")"),43875.0)</f>
        <v>43875</v>
      </c>
      <c r="N1661" s="25" t="b">
        <f t="shared" si="1333"/>
        <v>1</v>
      </c>
      <c r="O1661" s="24">
        <f>IFERROR(__xludf.DUMMYFUNCTION("iferror(filter('3.4.clean'!C:C,'3.4.clean'!A:A=C1661),"""")"),43879.0)</f>
        <v>43879</v>
      </c>
      <c r="P1661" s="25" t="b">
        <f t="shared" si="1334"/>
        <v>1</v>
      </c>
      <c r="Q1661" s="24" t="str">
        <f>IFERROR(__xludf.DUMMYFUNCTION("iferror(filter('3.5.clean'!C:C,'3.5.clean'!A:A=C1661),"""")"),"")</f>
        <v/>
      </c>
      <c r="S1661" s="25"/>
      <c r="W1661" s="23" t="b">
        <f t="shared" ref="W1661:W1665" si="1353">IF(and(H1661=TRUE,L1661=TRUE,N1661=TRUE,P1661=TRUE),TRUE,FALSE)</f>
        <v>1</v>
      </c>
      <c r="X1661" s="23" t="str">
        <f>IFERROR(__xludf.DUMMYFUNCTION("if(COUNTA(FILTER(C:C, C:C = C1661))=1,""no"",""yes"")"),"no")</f>
        <v>no</v>
      </c>
    </row>
    <row r="1662">
      <c r="A1662" s="1" t="s">
        <v>1063</v>
      </c>
      <c r="B1662" s="2">
        <v>26.0</v>
      </c>
      <c r="C1662" s="69" t="s">
        <v>778</v>
      </c>
      <c r="E1662" s="24">
        <f>IFERROR(__xludf.DUMMYFUNCTION("ifna(IFNA(filter('2.1.clean'!C:C,'2.1.clean'!A:A=C1662),filter('2.2.clean'!E:E,'2.2.clean'!D:D=C1662)),filter('2.4.clean'!C:C,'2.4.clean'!A:A=C1662))"),43874.0)</f>
        <v>43874</v>
      </c>
      <c r="F1662" s="25">
        <f>IFERROR(__xludf.DUMMYFUNCTION("iferror(ifna(IFNA(filter('2.1.clean'!E:E,'2.1.clean'!A:A=C1662),filter('2.2.clean'!G:G,'2.2.clean'!D:D=C1662)),filter('2.4.clean'!E:E,'2.4.clean'!A:A=C1662)),)"),2.2)</f>
        <v>2.2</v>
      </c>
      <c r="G1662" s="24">
        <f>IFERROR(__xludf.DUMMYFUNCTION("iferror(filter('3.1.clean'!C:C,'3.1.clean'!A:A=C1662),"""")"),43874.0)</f>
        <v>43874</v>
      </c>
      <c r="H1662" s="23" t="b">
        <f t="shared" si="1349"/>
        <v>1</v>
      </c>
      <c r="J1662" s="25"/>
      <c r="K1662" s="24">
        <f>IFERROR(__xludf.DUMMYFUNCTION("iferror(filter('3.2.clean'!C:C,'3.2.clean'!A:A=C1662),"""")"),43874.0)</f>
        <v>43874</v>
      </c>
      <c r="L1662" s="25" t="b">
        <f t="shared" si="1352"/>
        <v>1</v>
      </c>
      <c r="M1662" s="24">
        <f>IFERROR(__xludf.DUMMYFUNCTION("iferror(filter('3.3.clean'!C:C,'3.3.clean'!A:A=C1662),"""")"),43875.0)</f>
        <v>43875</v>
      </c>
      <c r="N1662" s="25" t="b">
        <f t="shared" si="1333"/>
        <v>1</v>
      </c>
      <c r="O1662" s="24">
        <f>IFERROR(__xludf.DUMMYFUNCTION("iferror(filter('3.4.clean'!C:C,'3.4.clean'!A:A=C1662),"""")"),43879.0)</f>
        <v>43879</v>
      </c>
      <c r="P1662" s="25" t="b">
        <f t="shared" si="1334"/>
        <v>1</v>
      </c>
      <c r="Q1662" s="24" t="str">
        <f>IFERROR(__xludf.DUMMYFUNCTION("iferror(filter('3.5.clean'!C:C,'3.5.clean'!A:A=C1662),"""")"),"")</f>
        <v/>
      </c>
      <c r="S1662" s="25"/>
      <c r="W1662" s="23" t="b">
        <f t="shared" si="1353"/>
        <v>1</v>
      </c>
      <c r="X1662" s="23" t="str">
        <f>IFERROR(__xludf.DUMMYFUNCTION("if(COUNTA(FILTER(C:C, C:C = C1662))=1,""no"",""yes"")"),"no")</f>
        <v>no</v>
      </c>
    </row>
    <row r="1663">
      <c r="A1663" s="1" t="s">
        <v>1063</v>
      </c>
      <c r="B1663" s="2">
        <v>27.0</v>
      </c>
      <c r="C1663" s="69" t="s">
        <v>772</v>
      </c>
      <c r="E1663" s="24">
        <f>IFERROR(__xludf.DUMMYFUNCTION("ifna(IFNA(filter('2.1.clean'!C:C,'2.1.clean'!A:A=C1663),filter('2.2.clean'!E:E,'2.2.clean'!D:D=C1663)),filter('2.4.clean'!C:C,'2.4.clean'!A:A=C1663))"),43874.0)</f>
        <v>43874</v>
      </c>
      <c r="F1663" s="25">
        <f>IFERROR(__xludf.DUMMYFUNCTION("iferror(ifna(IFNA(filter('2.1.clean'!E:E,'2.1.clean'!A:A=C1663),filter('2.2.clean'!G:G,'2.2.clean'!D:D=C1663)),filter('2.4.clean'!E:E,'2.4.clean'!A:A=C1663)),)"),2.2)</f>
        <v>2.2</v>
      </c>
      <c r="G1663" s="24">
        <f>IFERROR(__xludf.DUMMYFUNCTION("iferror(filter('3.1.clean'!C:C,'3.1.clean'!A:A=C1663),"""")"),43874.0)</f>
        <v>43874</v>
      </c>
      <c r="H1663" s="23" t="b">
        <f t="shared" si="1349"/>
        <v>1</v>
      </c>
      <c r="J1663" s="25"/>
      <c r="K1663" s="24">
        <f>IFERROR(__xludf.DUMMYFUNCTION("iferror(filter('3.2.clean'!C:C,'3.2.clean'!A:A=C1663),"""")"),43875.0)</f>
        <v>43875</v>
      </c>
      <c r="L1663" s="25" t="b">
        <f t="shared" si="1352"/>
        <v>1</v>
      </c>
      <c r="M1663" s="24">
        <f>IFERROR(__xludf.DUMMYFUNCTION("iferror(filter('3.3.clean'!C:C,'3.3.clean'!A:A=C1663),"""")"),43875.0)</f>
        <v>43875</v>
      </c>
      <c r="N1663" s="25" t="b">
        <f t="shared" si="1333"/>
        <v>1</v>
      </c>
      <c r="O1663" s="24">
        <f>IFERROR(__xludf.DUMMYFUNCTION("iferror(filter('3.4.clean'!C:C,'3.4.clean'!A:A=C1663),"""")"),43879.0)</f>
        <v>43879</v>
      </c>
      <c r="P1663" s="25" t="b">
        <f t="shared" si="1334"/>
        <v>1</v>
      </c>
      <c r="Q1663" s="24" t="str">
        <f>IFERROR(__xludf.DUMMYFUNCTION("iferror(filter('3.5.clean'!C:C,'3.5.clean'!A:A=C1663),"""")"),"")</f>
        <v/>
      </c>
      <c r="S1663" s="25"/>
      <c r="W1663" s="23" t="b">
        <f t="shared" si="1353"/>
        <v>1</v>
      </c>
      <c r="X1663" s="23" t="str">
        <f>IFERROR(__xludf.DUMMYFUNCTION("if(COUNTA(FILTER(C:C, C:C = C1663))=1,""no"",""yes"")"),"no")</f>
        <v>no</v>
      </c>
    </row>
    <row r="1664">
      <c r="A1664" s="1" t="s">
        <v>1063</v>
      </c>
      <c r="B1664" s="2">
        <v>28.0</v>
      </c>
      <c r="C1664" s="69" t="s">
        <v>776</v>
      </c>
      <c r="E1664" s="24">
        <f>IFERROR(__xludf.DUMMYFUNCTION("ifna(IFNA(filter('2.1.clean'!C:C,'2.1.clean'!A:A=C1664),filter('2.2.clean'!E:E,'2.2.clean'!D:D=C1664)),filter('2.4.clean'!C:C,'2.4.clean'!A:A=C1664))"),43874.0)</f>
        <v>43874</v>
      </c>
      <c r="F1664" s="25">
        <f>IFERROR(__xludf.DUMMYFUNCTION("iferror(ifna(IFNA(filter('2.1.clean'!E:E,'2.1.clean'!A:A=C1664),filter('2.2.clean'!G:G,'2.2.clean'!D:D=C1664)),filter('2.4.clean'!E:E,'2.4.clean'!A:A=C1664)),)"),2.2)</f>
        <v>2.2</v>
      </c>
      <c r="G1664" s="24">
        <f>IFERROR(__xludf.DUMMYFUNCTION("iferror(filter('3.1.clean'!C:C,'3.1.clean'!A:A=C1664),"""")"),43874.0)</f>
        <v>43874</v>
      </c>
      <c r="H1664" s="23" t="b">
        <f t="shared" si="1349"/>
        <v>1</v>
      </c>
      <c r="J1664" s="25"/>
      <c r="K1664" s="24">
        <f>IFERROR(__xludf.DUMMYFUNCTION("iferror(filter('3.2.clean'!C:C,'3.2.clean'!A:A=C1664),"""")"),43874.0)</f>
        <v>43874</v>
      </c>
      <c r="L1664" s="25" t="b">
        <f t="shared" si="1352"/>
        <v>1</v>
      </c>
      <c r="M1664" s="24">
        <f>IFERROR(__xludf.DUMMYFUNCTION("iferror(filter('3.3.clean'!C:C,'3.3.clean'!A:A=C1664),"""")"),43875.0)</f>
        <v>43875</v>
      </c>
      <c r="N1664" s="25" t="b">
        <f t="shared" si="1333"/>
        <v>1</v>
      </c>
      <c r="O1664" s="24" t="str">
        <f>IFERROR(__xludf.DUMMYFUNCTION("iferror(filter('3.4.clean'!C:C,'3.4.clean'!A:A=C1664),"""")"),"")</f>
        <v/>
      </c>
      <c r="P1664" s="25" t="b">
        <f t="shared" si="1334"/>
        <v>0</v>
      </c>
      <c r="Q1664" s="24" t="str">
        <f>IFERROR(__xludf.DUMMYFUNCTION("iferror(filter('3.5.clean'!C:C,'3.5.clean'!A:A=C1664),"""")"),"")</f>
        <v/>
      </c>
      <c r="S1664" s="25"/>
      <c r="W1664" s="23" t="b">
        <f t="shared" si="1353"/>
        <v>0</v>
      </c>
      <c r="X1664" s="23" t="str">
        <f>IFERROR(__xludf.DUMMYFUNCTION("if(COUNTA(FILTER(C:C, C:C = C1664))=1,""no"",""yes"")"),"no")</f>
        <v>no</v>
      </c>
    </row>
    <row r="1665">
      <c r="A1665" s="1" t="s">
        <v>1063</v>
      </c>
      <c r="B1665" s="2">
        <v>29.0</v>
      </c>
      <c r="C1665" s="69" t="s">
        <v>780</v>
      </c>
      <c r="E1665" s="24">
        <f>IFERROR(__xludf.DUMMYFUNCTION("ifna(IFNA(filter('2.1.clean'!C:C,'2.1.clean'!A:A=C1665),filter('2.2.clean'!E:E,'2.2.clean'!D:D=C1665)),filter('2.4.clean'!C:C,'2.4.clean'!A:A=C1665))"),43874.0)</f>
        <v>43874</v>
      </c>
      <c r="F1665" s="25">
        <f>IFERROR(__xludf.DUMMYFUNCTION("iferror(ifna(IFNA(filter('2.1.clean'!E:E,'2.1.clean'!A:A=C1665),filter('2.2.clean'!G:G,'2.2.clean'!D:D=C1665)),filter('2.4.clean'!E:E,'2.4.clean'!A:A=C1665)),)"),2.2)</f>
        <v>2.2</v>
      </c>
      <c r="G1665" s="24">
        <f>IFERROR(__xludf.DUMMYFUNCTION("iferror(filter('3.1.clean'!C:C,'3.1.clean'!A:A=C1665),"""")"),43874.0)</f>
        <v>43874</v>
      </c>
      <c r="H1665" s="23" t="b">
        <f t="shared" si="1349"/>
        <v>1</v>
      </c>
      <c r="J1665" s="25"/>
      <c r="K1665" s="24">
        <f>IFERROR(__xludf.DUMMYFUNCTION("iferror(filter('3.2.clean'!C:C,'3.2.clean'!A:A=C1665),"""")"),43874.0)</f>
        <v>43874</v>
      </c>
      <c r="L1665" s="25" t="b">
        <f t="shared" si="1352"/>
        <v>1</v>
      </c>
      <c r="M1665" s="24">
        <f>IFERROR(__xludf.DUMMYFUNCTION("iferror(filter('3.3.clean'!C:C,'3.3.clean'!A:A=C1665),"""")"),43875.0)</f>
        <v>43875</v>
      </c>
      <c r="N1665" s="25" t="b">
        <f t="shared" si="1333"/>
        <v>1</v>
      </c>
      <c r="O1665" s="24">
        <f>IFERROR(__xludf.DUMMYFUNCTION("iferror(filter('3.4.clean'!C:C,'3.4.clean'!A:A=C1665),"""")"),43879.0)</f>
        <v>43879</v>
      </c>
      <c r="P1665" s="25" t="b">
        <f t="shared" si="1334"/>
        <v>1</v>
      </c>
      <c r="Q1665" s="24" t="str">
        <f>IFERROR(__xludf.DUMMYFUNCTION("iferror(filter('3.5.clean'!C:C,'3.5.clean'!A:A=C1665),"""")"),"")</f>
        <v/>
      </c>
      <c r="S1665" s="25"/>
      <c r="W1665" s="23" t="b">
        <f t="shared" si="1353"/>
        <v>1</v>
      </c>
      <c r="X1665" s="23" t="str">
        <f>IFERROR(__xludf.DUMMYFUNCTION("if(COUNTA(FILTER(C:C, C:C = C1665))=1,""no"",""yes"")"),"no")</f>
        <v>no</v>
      </c>
    </row>
    <row r="1666">
      <c r="A1666" s="1" t="s">
        <v>1063</v>
      </c>
      <c r="B1666" s="2">
        <v>30.0</v>
      </c>
      <c r="C1666" s="19" t="s">
        <v>783</v>
      </c>
      <c r="D1666" s="58" t="str">
        <f>if(or(I1666=1,J1666=1,S1666=1),"pos","")</f>
        <v/>
      </c>
      <c r="E1666" s="59">
        <f>IFERROR(__xludf.DUMMYFUNCTION("ifna(IFNA(filter('2.1.clean'!C:C,'2.1.clean'!A:A=C1666),filter('2.2.clean'!E:E,'2.2.clean'!D:D=C1666)),filter('2.4.clean'!C:C,'2.4.clean'!A:A=C1666))"),43874.0)</f>
        <v>43874</v>
      </c>
      <c r="F1666" s="60">
        <f>IFERROR(__xludf.DUMMYFUNCTION("iferror(ifna(IFNA(filter('2.1.clean'!E:E,'2.1.clean'!A:A=C1666),filter('2.2.clean'!G:G,'2.2.clean'!D:D=C1666)),filter('2.4.clean'!E:E,'2.4.clean'!A:A=C1666)),)"),2.2)</f>
        <v>2.2</v>
      </c>
      <c r="G1666" s="59">
        <f>IFERROR(__xludf.DUMMYFUNCTION("iferror(filter('3.1.clean'!C:C,'3.1.clean'!A:A=C1666),"""")"),43874.0)</f>
        <v>43874</v>
      </c>
      <c r="H1666" s="58" t="b">
        <f t="shared" si="1349"/>
        <v>1</v>
      </c>
      <c r="I1666" s="58">
        <f>IFERROR(__xludf.DUMMYFUNCTION("iferror(filter('3.1.clean'!G:G,'3.1.clean'!A:A=C1666),"""")"),0.0)</f>
        <v>0</v>
      </c>
      <c r="J1666" s="60" t="str">
        <f>IFERROR(__xludf.DUMMYFUNCTION("iferror(filter('3.1.clean'!I:I,'3.1.clean'!A:A=C1666),"""")"),"")</f>
        <v/>
      </c>
      <c r="K1666" s="58"/>
      <c r="L1666" s="60"/>
      <c r="M1666" s="59" t="str">
        <f>IFERROR(__xludf.DUMMYFUNCTION("iferror(filter('3.3.clean'!C:C,'3.3.clean'!A:A=C1666),"""")"),"")</f>
        <v/>
      </c>
      <c r="N1666" s="60" t="b">
        <f t="shared" si="1333"/>
        <v>0</v>
      </c>
      <c r="O1666" s="59" t="str">
        <f>IFERROR(__xludf.DUMMYFUNCTION("iferror(filter('3.4.clean'!C:C,'3.4.clean'!A:A=C1666),"""")"),"")</f>
        <v/>
      </c>
      <c r="P1666" s="60" t="b">
        <f t="shared" si="1334"/>
        <v>0</v>
      </c>
      <c r="Q1666" s="59" t="str">
        <f>IFERROR(__xludf.DUMMYFUNCTION("iferror(filter('3.5.clean'!C:C,'3.5.clean'!A:A=C1666),"""")"),"")</f>
        <v/>
      </c>
      <c r="R1666" s="58"/>
      <c r="S1666" s="4" t="str">
        <f>IFERROR(__xludf.DUMMYFUNCTION("iferror(filter('3.5.clean'!H:H,'3.5.clean'!A:A=C1666),"""")"),"")</f>
        <v/>
      </c>
      <c r="W1666" s="23" t="b">
        <f>if(AND(H1666=TRUE,N1666=TRUE,P1666=TRUE),TRUE,FALSE)</f>
        <v>0</v>
      </c>
      <c r="X1666" s="23" t="str">
        <f>IFERROR(__xludf.DUMMYFUNCTION("if(COUNTA(FILTER(C:C, C:C = C1666))=1,""no"",""yes"")"),"no")</f>
        <v>no</v>
      </c>
    </row>
    <row r="1667">
      <c r="A1667" s="1" t="s">
        <v>1063</v>
      </c>
      <c r="B1667" s="2">
        <v>31.0</v>
      </c>
      <c r="C1667" s="69" t="s">
        <v>750</v>
      </c>
      <c r="E1667" s="24">
        <f>IFERROR(__xludf.DUMMYFUNCTION("ifna(IFNA(filter('2.1.clean'!C:C,'2.1.clean'!A:A=C1667),filter('2.2.clean'!E:E,'2.2.clean'!D:D=C1667)),filter('2.4.clean'!C:C,'2.4.clean'!A:A=C1667))"),43874.0)</f>
        <v>43874</v>
      </c>
      <c r="F1667" s="25">
        <f>IFERROR(__xludf.DUMMYFUNCTION("iferror(ifna(IFNA(filter('2.1.clean'!E:E,'2.1.clean'!A:A=C1667),filter('2.2.clean'!G:G,'2.2.clean'!D:D=C1667)),filter('2.4.clean'!E:E,'2.4.clean'!A:A=C1667)),)"),2.2)</f>
        <v>2.2</v>
      </c>
      <c r="G1667" s="24">
        <f>IFERROR(__xludf.DUMMYFUNCTION("iferror(filter('3.1.clean'!C:C,'3.1.clean'!A:A=C1667),"""")"),43874.0)</f>
        <v>43874</v>
      </c>
      <c r="H1667" s="23" t="b">
        <f t="shared" si="1349"/>
        <v>1</v>
      </c>
      <c r="J1667" s="25"/>
      <c r="K1667" s="24">
        <f>IFERROR(__xludf.DUMMYFUNCTION("iferror(filter('3.2.clean'!C:C,'3.2.clean'!A:A=C1667),"""")"),43875.0)</f>
        <v>43875</v>
      </c>
      <c r="L1667" s="25" t="b">
        <f t="shared" ref="L1667:L1668" si="1354">if(K1667="",FALSE,TRUE)</f>
        <v>1</v>
      </c>
      <c r="M1667" s="24">
        <f>IFERROR(__xludf.DUMMYFUNCTION("iferror(filter('3.3.clean'!C:C,'3.3.clean'!A:A=C1667),"""")"),43875.0)</f>
        <v>43875</v>
      </c>
      <c r="N1667" s="25" t="b">
        <f t="shared" si="1333"/>
        <v>1</v>
      </c>
      <c r="O1667" s="24">
        <f>IFERROR(__xludf.DUMMYFUNCTION("iferror(filter('3.4.clean'!C:C,'3.4.clean'!A:A=C1667),"""")"),43879.0)</f>
        <v>43879</v>
      </c>
      <c r="P1667" s="25" t="b">
        <f t="shared" si="1334"/>
        <v>1</v>
      </c>
      <c r="Q1667" s="24" t="str">
        <f>IFERROR(__xludf.DUMMYFUNCTION("iferror(filter('3.5.clean'!C:C,'3.5.clean'!A:A=C1667),"""")"),"")</f>
        <v/>
      </c>
      <c r="S1667" s="25"/>
      <c r="W1667" s="23" t="b">
        <f t="shared" ref="W1667:W1668" si="1355">IF(and(H1667=TRUE,L1667=TRUE,N1667=TRUE,P1667=TRUE),TRUE,FALSE)</f>
        <v>1</v>
      </c>
      <c r="X1667" s="23" t="str">
        <f>IFERROR(__xludf.DUMMYFUNCTION("if(COUNTA(FILTER(C:C, C:C = C1667))=1,""no"",""yes"")"),"no")</f>
        <v>no</v>
      </c>
    </row>
    <row r="1668">
      <c r="A1668" s="1" t="s">
        <v>1063</v>
      </c>
      <c r="B1668" s="2">
        <v>32.0</v>
      </c>
      <c r="C1668" s="69" t="s">
        <v>785</v>
      </c>
      <c r="E1668" s="24">
        <f>IFERROR(__xludf.DUMMYFUNCTION("ifna(IFNA(filter('2.1.clean'!C:C,'2.1.clean'!A:A=C1668),filter('2.2.clean'!E:E,'2.2.clean'!D:D=C1668)),filter('2.4.clean'!C:C,'2.4.clean'!A:A=C1668))"),43874.0)</f>
        <v>43874</v>
      </c>
      <c r="F1668" s="25">
        <f>IFERROR(__xludf.DUMMYFUNCTION("iferror(ifna(IFNA(filter('2.1.clean'!E:E,'2.1.clean'!A:A=C1668),filter('2.2.clean'!G:G,'2.2.clean'!D:D=C1668)),filter('2.4.clean'!E:E,'2.4.clean'!A:A=C1668)),)"),2.2)</f>
        <v>2.2</v>
      </c>
      <c r="G1668" s="24">
        <f>IFERROR(__xludf.DUMMYFUNCTION("iferror(filter('3.1.clean'!C:C,'3.1.clean'!A:A=C1668),"""")"),43874.0)</f>
        <v>43874</v>
      </c>
      <c r="H1668" s="23" t="b">
        <f t="shared" si="1349"/>
        <v>1</v>
      </c>
      <c r="J1668" s="25"/>
      <c r="K1668" s="24">
        <f>IFERROR(__xludf.DUMMYFUNCTION("iferror(filter('3.2.clean'!C:C,'3.2.clean'!A:A=C1668),"""")"),43875.0)</f>
        <v>43875</v>
      </c>
      <c r="L1668" s="25" t="b">
        <f t="shared" si="1354"/>
        <v>1</v>
      </c>
      <c r="M1668" s="24">
        <f>IFERROR(__xludf.DUMMYFUNCTION("iferror(filter('3.3.clean'!C:C,'3.3.clean'!A:A=C1668),"""")"),43875.0)</f>
        <v>43875</v>
      </c>
      <c r="N1668" s="25" t="b">
        <f t="shared" si="1333"/>
        <v>1</v>
      </c>
      <c r="O1668" s="24">
        <f>IFERROR(__xludf.DUMMYFUNCTION("iferror(filter('3.4.clean'!C:C,'3.4.clean'!A:A=C1668),"""")"),43879.0)</f>
        <v>43879</v>
      </c>
      <c r="P1668" s="25" t="b">
        <f t="shared" si="1334"/>
        <v>1</v>
      </c>
      <c r="Q1668" s="24" t="str">
        <f>IFERROR(__xludf.DUMMYFUNCTION("iferror(filter('3.5.clean'!C:C,'3.5.clean'!A:A=C1668),"""")"),"")</f>
        <v/>
      </c>
      <c r="S1668" s="25"/>
      <c r="W1668" s="23" t="b">
        <f t="shared" si="1355"/>
        <v>1</v>
      </c>
      <c r="X1668" s="23" t="str">
        <f>IFERROR(__xludf.DUMMYFUNCTION("if(COUNTA(FILTER(C:C, C:C = C1668))=1,""no"",""yes"")"),"no")</f>
        <v>no</v>
      </c>
    </row>
    <row r="1669">
      <c r="A1669" s="1" t="s">
        <v>1063</v>
      </c>
      <c r="B1669" s="2">
        <v>33.0</v>
      </c>
      <c r="C1669" s="19" t="s">
        <v>753</v>
      </c>
      <c r="D1669" s="58" t="str">
        <f t="shared" ref="D1669:D1671" si="1356">if(or(I1669=1,J1669=1,S1669=1),"pos","")</f>
        <v/>
      </c>
      <c r="E1669" s="59">
        <f>IFERROR(__xludf.DUMMYFUNCTION("ifna(IFNA(filter('2.1.clean'!C:C,'2.1.clean'!A:A=C1669),filter('2.2.clean'!E:E,'2.2.clean'!D:D=C1669)),filter('2.4.clean'!C:C,'2.4.clean'!A:A=C1669))"),43874.0)</f>
        <v>43874</v>
      </c>
      <c r="F1669" s="60">
        <f>IFERROR(__xludf.DUMMYFUNCTION("iferror(ifna(IFNA(filter('2.1.clean'!E:E,'2.1.clean'!A:A=C1669),filter('2.2.clean'!G:G,'2.2.clean'!D:D=C1669)),filter('2.4.clean'!E:E,'2.4.clean'!A:A=C1669)),)"),2.2)</f>
        <v>2.2</v>
      </c>
      <c r="G1669" s="59">
        <f>IFERROR(__xludf.DUMMYFUNCTION("iferror(filter('3.1.clean'!C:C,'3.1.clean'!A:A=C1669),"""")"),43874.0)</f>
        <v>43874</v>
      </c>
      <c r="H1669" s="58" t="b">
        <f t="shared" si="1349"/>
        <v>1</v>
      </c>
      <c r="I1669" s="58">
        <f>IFERROR(__xludf.DUMMYFUNCTION("iferror(filter('3.1.clean'!G:G,'3.1.clean'!A:A=C1669),"""")"),0.0)</f>
        <v>0</v>
      </c>
      <c r="J1669" s="60" t="str">
        <f>IFERROR(__xludf.DUMMYFUNCTION("iferror(filter('3.1.clean'!I:I,'3.1.clean'!A:A=C1669),"""")"),"")</f>
        <v/>
      </c>
      <c r="K1669" s="58"/>
      <c r="L1669" s="60"/>
      <c r="M1669" s="59" t="str">
        <f>IFERROR(__xludf.DUMMYFUNCTION("iferror(filter('3.3.clean'!C:C,'3.3.clean'!A:A=C1669),"""")"),"")</f>
        <v/>
      </c>
      <c r="N1669" s="60" t="b">
        <f t="shared" si="1333"/>
        <v>0</v>
      </c>
      <c r="O1669" s="59" t="str">
        <f>IFERROR(__xludf.DUMMYFUNCTION("iferror(filter('3.4.clean'!C:C,'3.4.clean'!A:A=C1669),"""")"),"")</f>
        <v/>
      </c>
      <c r="P1669" s="60" t="b">
        <f t="shared" si="1334"/>
        <v>0</v>
      </c>
      <c r="Q1669" s="59" t="str">
        <f>IFERROR(__xludf.DUMMYFUNCTION("iferror(filter('3.5.clean'!C:C,'3.5.clean'!A:A=C1669),"""")"),"")</f>
        <v/>
      </c>
      <c r="R1669" s="58"/>
      <c r="S1669" s="4" t="str">
        <f>IFERROR(__xludf.DUMMYFUNCTION("iferror(filter('3.5.clean'!H:H,'3.5.clean'!A:A=C1669),"""")"),"")</f>
        <v/>
      </c>
      <c r="W1669" s="23" t="b">
        <f>if(AND(H1669=TRUE,N1669=TRUE,P1669=TRUE),TRUE,FALSE)</f>
        <v>0</v>
      </c>
      <c r="X1669" s="23" t="str">
        <f>IFERROR(__xludf.DUMMYFUNCTION("if(COUNTA(FILTER(C:C, C:C = C1669))=1,""no"",""yes"")"),"no")</f>
        <v>no</v>
      </c>
    </row>
    <row r="1670">
      <c r="A1670" s="1" t="s">
        <v>1063</v>
      </c>
      <c r="B1670" s="2">
        <v>34.0</v>
      </c>
      <c r="C1670" s="19" t="s">
        <v>3995</v>
      </c>
      <c r="D1670" s="76" t="str">
        <f t="shared" si="1356"/>
        <v/>
      </c>
      <c r="E1670" s="77">
        <f>G1670</f>
        <v>43874</v>
      </c>
      <c r="F1670" s="78" t="str">
        <f>IFERROR(__xludf.DUMMYFUNCTION("iferror(ifna(IFNA(filter('2.1.clean'!E:E,'2.1.clean'!A:A=C1670),filter('2.2.clean'!G:G,'2.2.clean'!D:D=C1670)),filter('2.4.clean'!E:E,'2.4.clean'!A:A=C1670)),)"),"")</f>
        <v/>
      </c>
      <c r="G1670" s="77">
        <f>IFERROR(__xludf.DUMMYFUNCTION("iferror(filter('3.1.clean'!C:C,'3.1.clean'!A:A=C1670),"""")"),43874.0)</f>
        <v>43874</v>
      </c>
      <c r="H1670" s="76" t="b">
        <f t="shared" si="1349"/>
        <v>1</v>
      </c>
      <c r="I1670" s="76">
        <f>IFERROR(__xludf.DUMMYFUNCTION("iferror(filter('3.1.clean'!G:G,'3.1.clean'!A:A=C1670),"""")"),0.0)</f>
        <v>0</v>
      </c>
      <c r="J1670" s="78" t="str">
        <f>IFERROR(__xludf.DUMMYFUNCTION("iferror(filter('3.1.clean'!I:I,'3.1.clean'!A:A=C1670),"""")"),"")</f>
        <v/>
      </c>
      <c r="K1670" s="77"/>
      <c r="L1670" s="78"/>
      <c r="M1670" s="77"/>
      <c r="N1670" s="78"/>
      <c r="O1670" s="77"/>
      <c r="P1670" s="78"/>
      <c r="Q1670" s="77"/>
      <c r="R1670" s="76"/>
      <c r="S1670" s="25"/>
      <c r="V1670" s="1" t="s">
        <v>64</v>
      </c>
      <c r="W1670" s="1" t="b">
        <v>1</v>
      </c>
      <c r="X1670" s="23" t="str">
        <f>IFERROR(__xludf.DUMMYFUNCTION("if(COUNTA(FILTER(C:C, C:C = C1670))=1,""no"",""yes"")"),"no")</f>
        <v>no</v>
      </c>
    </row>
    <row r="1671">
      <c r="A1671" s="1" t="s">
        <v>1063</v>
      </c>
      <c r="B1671" s="2">
        <v>35.0</v>
      </c>
      <c r="C1671" s="19" t="s">
        <v>3997</v>
      </c>
      <c r="D1671" s="22" t="str">
        <f t="shared" si="1356"/>
        <v/>
      </c>
      <c r="E1671" s="20">
        <f>Q1671</f>
        <v>43874</v>
      </c>
      <c r="F1671" s="79" t="str">
        <f>IFERROR(__xludf.DUMMYFUNCTION("iferror(ifna(IFNA(filter('2.1.clean'!E:E,'2.1.clean'!A:A=C1671),filter('2.2.clean'!G:G,'2.2.clean'!D:D=C1671)),filter('2.4.clean'!E:E,'2.4.clean'!A:A=C1671)),)"),"")</f>
        <v/>
      </c>
      <c r="G1671" s="20" t="str">
        <f>IFERROR(__xludf.DUMMYFUNCTION("iferror(filter('3.1.clean'!C:C,'3.1.clean'!A:A=C1671),"""")"),"")</f>
        <v/>
      </c>
      <c r="H1671" s="22"/>
      <c r="I1671" s="22"/>
      <c r="J1671" s="79"/>
      <c r="K1671" s="20" t="str">
        <f>IFERROR(__xludf.DUMMYFUNCTION("iferror(filter('3.2.clean'!C:C,'3.2.clean'!A:A=C1671),"""")"),"")</f>
        <v/>
      </c>
      <c r="L1671" s="79"/>
      <c r="M1671" s="20" t="str">
        <f>IFERROR(__xludf.DUMMYFUNCTION("iferror(filter('3.3.clean'!C:C,'3.3.clean'!A:A=C1671),"""")"),"")</f>
        <v/>
      </c>
      <c r="N1671" s="79" t="b">
        <f t="shared" ref="N1671:N1686" si="1357">if(M1671="",FALSE,TRUE)</f>
        <v>0</v>
      </c>
      <c r="O1671" s="20" t="str">
        <f>IFERROR(__xludf.DUMMYFUNCTION("iferror(filter('3.4.clean'!C:C,'3.4.clean'!A:A=C1671),"""")"),"")</f>
        <v/>
      </c>
      <c r="P1671" s="79" t="b">
        <f t="shared" ref="P1671:P1686" si="1358">if(O1671="",FALSE,TRUE)</f>
        <v>0</v>
      </c>
      <c r="Q1671" s="20">
        <f>IFERROR(__xludf.DUMMYFUNCTION("iferror(filter('3.5.clean'!C:C,'3.5.clean'!A:A=C1671),"""")"),43874.0)</f>
        <v>43874</v>
      </c>
      <c r="R1671" s="22" t="b">
        <f t="shared" ref="R1671:R1672" si="1359">if(Q1671="",FALSE,TRUE)</f>
        <v>1</v>
      </c>
      <c r="S1671" s="4">
        <f>IFERROR(__xludf.DUMMYFUNCTION("iferror(filter('3.5.clean'!H:H,'3.5.clean'!A:A=C1671),"""")"),0.0)</f>
        <v>0</v>
      </c>
      <c r="V1671" s="1" t="s">
        <v>64</v>
      </c>
      <c r="W1671" s="23" t="b">
        <f>IF(and(R1671=TRUE,N1671=TRUE,P1671=TRUE),TRUE,FALSE)</f>
        <v>0</v>
      </c>
      <c r="X1671" s="23" t="str">
        <f>IFERROR(__xludf.DUMMYFUNCTION("if(COUNTA(FILTER(C:C, C:C = C1671))=1,""no"",""yes"")"),"no")</f>
        <v>no</v>
      </c>
    </row>
    <row r="1672">
      <c r="A1672" s="75" t="s">
        <v>1067</v>
      </c>
      <c r="B1672" s="2">
        <v>1.0</v>
      </c>
      <c r="C1672" s="19" t="s">
        <v>4000</v>
      </c>
      <c r="E1672" s="24">
        <f>IFERROR(__xludf.DUMMYFUNCTION("ifna(IFNA(filter('2.1.clean'!C:C,'2.1.clean'!A:A=C1672),filter('2.2.clean'!E:E,'2.2.clean'!D:D=C1672)),filter('2.4.clean'!C:C,'2.4.clean'!A:A=C1672))"),43878.0)</f>
        <v>43878</v>
      </c>
      <c r="F1672" s="25">
        <f>IFERROR(__xludf.DUMMYFUNCTION("iferror(ifna(IFNA(filter('2.1.clean'!E:E,'2.1.clean'!A:A=C1672),filter('2.2.clean'!G:G,'2.2.clean'!D:D=C1672)),filter('2.4.clean'!E:E,'2.4.clean'!A:A=C1672)),)"),2.39999999999999)</f>
        <v>2.4</v>
      </c>
      <c r="G1672" s="24">
        <f>IFERROR(__xludf.DUMMYFUNCTION("iferror(filter('3.1.clean'!C:C,'3.1.clean'!A:A=C1672),"""")"),43878.0)</f>
        <v>43878</v>
      </c>
      <c r="H1672" s="23" t="b">
        <f t="shared" ref="H1672:H1673" si="1360">if(G1672="",FALSE,TRUE)</f>
        <v>1</v>
      </c>
      <c r="J1672" s="25"/>
      <c r="K1672" s="24">
        <f>IFERROR(__xludf.DUMMYFUNCTION("iferror(filter('3.2.clean'!C:C,'3.2.clean'!A:A=C1672),"""")"),43878.0)</f>
        <v>43878</v>
      </c>
      <c r="L1672" s="25" t="b">
        <f>if(K1672="",FALSE,TRUE)</f>
        <v>1</v>
      </c>
      <c r="M1672" s="24">
        <f>IFERROR(__xludf.DUMMYFUNCTION("iferror(filter('3.3.clean'!C:C,'3.3.clean'!A:A=C1672),"""")"),43875.0)</f>
        <v>43875</v>
      </c>
      <c r="N1672" s="25" t="b">
        <f t="shared" si="1357"/>
        <v>1</v>
      </c>
      <c r="O1672" s="24">
        <f>IFERROR(__xludf.DUMMYFUNCTION("iferror(filter('3.4.clean'!C:C,'3.4.clean'!A:A=C1672),"""")"),43883.0)</f>
        <v>43883</v>
      </c>
      <c r="P1672" s="25" t="b">
        <f t="shared" si="1358"/>
        <v>1</v>
      </c>
      <c r="Q1672" s="24">
        <f>IFERROR(__xludf.DUMMYFUNCTION("iferror(filter('3.5.clean'!C:C,'3.5.clean'!A:A=C1672),"""")"),43878.0)</f>
        <v>43878</v>
      </c>
      <c r="R1672" s="23" t="b">
        <f t="shared" si="1359"/>
        <v>1</v>
      </c>
      <c r="S1672" s="25"/>
      <c r="U1672" s="23" t="s">
        <v>177</v>
      </c>
      <c r="V1672" s="1" t="s">
        <v>64</v>
      </c>
      <c r="X1672" s="23" t="str">
        <f>IFERROR(__xludf.DUMMYFUNCTION("if(COUNTA(FILTER(C:C, C:C = C1672))=1,""no"",""yes"")"),"no")</f>
        <v>no</v>
      </c>
    </row>
    <row r="1673">
      <c r="A1673" s="75" t="s">
        <v>1067</v>
      </c>
      <c r="B1673" s="2">
        <v>2.0</v>
      </c>
      <c r="C1673" s="19" t="s">
        <v>4001</v>
      </c>
      <c r="D1673" s="58" t="str">
        <f t="shared" ref="D1673:D1674" si="1361">if(or(I1673=1,J1673=1,S1673=1),"pos","")</f>
        <v/>
      </c>
      <c r="E1673" s="59">
        <f>IFERROR(__xludf.DUMMYFUNCTION("ifna(IFNA(filter('2.1.clean'!C:C,'2.1.clean'!A:A=C1673),filter('2.2.clean'!E:E,'2.2.clean'!D:D=C1673)),filter('2.4.clean'!C:C,'2.4.clean'!A:A=C1673))"),43878.0)</f>
        <v>43878</v>
      </c>
      <c r="F1673" s="60">
        <f>IFERROR(__xludf.DUMMYFUNCTION("iferror(ifna(IFNA(filter('2.1.clean'!E:E,'2.1.clean'!A:A=C1673),filter('2.2.clean'!G:G,'2.2.clean'!D:D=C1673)),filter('2.4.clean'!E:E,'2.4.clean'!A:A=C1673)),)"),2.39999999999999)</f>
        <v>2.4</v>
      </c>
      <c r="G1673" s="59">
        <f>IFERROR(__xludf.DUMMYFUNCTION("iferror(filter('3.1.clean'!C:C,'3.1.clean'!A:A=C1673),"""")"),43878.0)</f>
        <v>43878</v>
      </c>
      <c r="H1673" s="58" t="b">
        <f t="shared" si="1360"/>
        <v>1</v>
      </c>
      <c r="I1673" s="58">
        <f>IFERROR(__xludf.DUMMYFUNCTION("iferror(filter('3.1.clean'!G:G,'3.1.clean'!A:A=C1673),"""")"),0.0)</f>
        <v>0</v>
      </c>
      <c r="J1673" s="60" t="str">
        <f>IFERROR(__xludf.DUMMYFUNCTION("iferror(filter('3.1.clean'!I:I,'3.1.clean'!A:A=C1673),"""")"),"")</f>
        <v/>
      </c>
      <c r="K1673" s="58"/>
      <c r="L1673" s="60"/>
      <c r="M1673" s="59" t="str">
        <f>IFERROR(__xludf.DUMMYFUNCTION("iferror(filter('3.3.clean'!C:C,'3.3.clean'!A:A=C1673),"""")"),"")</f>
        <v/>
      </c>
      <c r="N1673" s="60" t="b">
        <f t="shared" si="1357"/>
        <v>0</v>
      </c>
      <c r="O1673" s="59" t="str">
        <f>IFERROR(__xludf.DUMMYFUNCTION("iferror(filter('3.4.clean'!C:C,'3.4.clean'!A:A=C1673),"""")"),"")</f>
        <v/>
      </c>
      <c r="P1673" s="60" t="b">
        <f t="shared" si="1358"/>
        <v>0</v>
      </c>
      <c r="Q1673" s="59" t="str">
        <f>IFERROR(__xludf.DUMMYFUNCTION("iferror(filter('3.5.clean'!C:C,'3.5.clean'!A:A=C1673),"""")"),"")</f>
        <v/>
      </c>
      <c r="R1673" s="58"/>
      <c r="S1673" s="4" t="str">
        <f>IFERROR(__xludf.DUMMYFUNCTION("iferror(filter('3.5.clean'!H:H,'3.5.clean'!A:A=C1673),"""")"),"")</f>
        <v/>
      </c>
      <c r="W1673" s="23" t="b">
        <f>if(AND(H1673=TRUE,N1673=TRUE,P1673=TRUE),TRUE,FALSE)</f>
        <v>0</v>
      </c>
      <c r="X1673" s="23" t="str">
        <f>IFERROR(__xludf.DUMMYFUNCTION("if(COUNTA(FILTER(C:C, C:C = C1673))=1,""no"",""yes"")"),"no")</f>
        <v>no</v>
      </c>
    </row>
    <row r="1674">
      <c r="A1674" s="75" t="s">
        <v>1067</v>
      </c>
      <c r="B1674" s="2">
        <v>3.0</v>
      </c>
      <c r="C1674" s="19" t="s">
        <v>4008</v>
      </c>
      <c r="D1674" s="58" t="str">
        <f t="shared" si="1361"/>
        <v/>
      </c>
      <c r="E1674" s="59">
        <f>Q1674</f>
        <v>43878</v>
      </c>
      <c r="F1674" s="60" t="str">
        <f>IFERROR(__xludf.DUMMYFUNCTION("iferror(ifna(IFNA(filter('2.1.clean'!E:E,'2.1.clean'!A:A=C1674),filter('2.2.clean'!G:G,'2.2.clean'!D:D=C1674)),filter('2.4.clean'!E:E,'2.4.clean'!A:A=C1674)),)"),"")</f>
        <v/>
      </c>
      <c r="G1674" s="59" t="str">
        <f>IFERROR(__xludf.DUMMYFUNCTION("iferror(filter('3.1.clean'!C:C,'3.1.clean'!A:A=C1674),"""")"),"")</f>
        <v/>
      </c>
      <c r="H1674" s="58"/>
      <c r="I1674" s="58" t="str">
        <f>IFERROR(__xludf.DUMMYFUNCTION("iferror(filter('3.1.clean'!G:G,'3.1.clean'!A:A=C1674),"""")"),"")</f>
        <v/>
      </c>
      <c r="J1674" s="60" t="str">
        <f>IFERROR(__xludf.DUMMYFUNCTION("iferror(filter('3.1.clean'!I:I,'3.1.clean'!A:A=C1674),"""")"),"")</f>
        <v/>
      </c>
      <c r="K1674" s="59"/>
      <c r="L1674" s="60"/>
      <c r="M1674" s="59" t="str">
        <f>IFERROR(__xludf.DUMMYFUNCTION("iferror(filter('3.3.clean'!C:C,'3.3.clean'!A:A=C1674),"""")"),"")</f>
        <v/>
      </c>
      <c r="N1674" s="60" t="b">
        <f t="shared" si="1357"/>
        <v>0</v>
      </c>
      <c r="O1674" s="59" t="str">
        <f>IFERROR(__xludf.DUMMYFUNCTION("iferror(filter('3.4.clean'!C:C,'3.4.clean'!A:A=C1674),"""")"),"")</f>
        <v/>
      </c>
      <c r="P1674" s="60" t="b">
        <f t="shared" si="1358"/>
        <v>0</v>
      </c>
      <c r="Q1674" s="59">
        <f>IFERROR(__xludf.DUMMYFUNCTION("iferror(filter('3.5.clean'!C:C,'3.5.clean'!A:A=C1674),"""")"),43878.0)</f>
        <v>43878</v>
      </c>
      <c r="R1674" s="58" t="b">
        <f t="shared" ref="R1674:R1675" si="1362">if(Q1674="",FALSE,TRUE)</f>
        <v>1</v>
      </c>
      <c r="S1674" s="4">
        <f>IFERROR(__xludf.DUMMYFUNCTION("iferror(filter('3.5.clean'!H:H,'3.5.clean'!A:A=C1674),"""")"),0.0)</f>
        <v>0</v>
      </c>
      <c r="V1674" s="52" t="s">
        <v>64</v>
      </c>
      <c r="W1674" s="23" t="b">
        <f>if(AND(R1674=TRUE,N1674=TRUE,P1674=TRUE),TRUE,FALSE)</f>
        <v>0</v>
      </c>
      <c r="X1674" s="23" t="str">
        <f>IFERROR(__xludf.DUMMYFUNCTION("if(COUNTA(FILTER(C:C, C:C = C1674))=1,""no"",""yes"")"),"no")</f>
        <v>no</v>
      </c>
    </row>
    <row r="1675">
      <c r="A1675" s="75" t="s">
        <v>1067</v>
      </c>
      <c r="B1675" s="2">
        <v>4.0</v>
      </c>
      <c r="C1675" s="19" t="s">
        <v>4009</v>
      </c>
      <c r="E1675" s="24">
        <f>IFERROR(__xludf.DUMMYFUNCTION("ifna(IFNA(filter('2.1.clean'!C:C,'2.1.clean'!A:A=C1675),filter('2.2.clean'!E:E,'2.2.clean'!D:D=C1675)),filter('2.4.clean'!C:C,'2.4.clean'!A:A=C1675))"),43878.0)</f>
        <v>43878</v>
      </c>
      <c r="F1675" s="25">
        <f>IFERROR(__xludf.DUMMYFUNCTION("iferror(ifna(IFNA(filter('2.1.clean'!E:E,'2.1.clean'!A:A=C1675),filter('2.2.clean'!G:G,'2.2.clean'!D:D=C1675)),filter('2.4.clean'!E:E,'2.4.clean'!A:A=C1675)),)"),2.39999999999999)</f>
        <v>2.4</v>
      </c>
      <c r="G1675" s="24">
        <f>IFERROR(__xludf.DUMMYFUNCTION("iferror(filter('3.1.clean'!C:C,'3.1.clean'!A:A=C1675),"""")"),43878.0)</f>
        <v>43878</v>
      </c>
      <c r="H1675" s="23" t="b">
        <f t="shared" ref="H1675:H1676" si="1363">if(G1675="",FALSE,TRUE)</f>
        <v>1</v>
      </c>
      <c r="J1675" s="25"/>
      <c r="K1675" s="24">
        <f>IFERROR(__xludf.DUMMYFUNCTION("iferror(filter('3.2.clean'!C:C,'3.2.clean'!A:A=C1675),"""")"),43878.0)</f>
        <v>43878</v>
      </c>
      <c r="L1675" s="25" t="b">
        <f>if(K1675="",FALSE,TRUE)</f>
        <v>1</v>
      </c>
      <c r="M1675" s="24">
        <f>IFERROR(__xludf.DUMMYFUNCTION("iferror(filter('3.3.clean'!C:C,'3.3.clean'!A:A=C1675),"""")"),43875.0)</f>
        <v>43875</v>
      </c>
      <c r="N1675" s="25" t="b">
        <f t="shared" si="1357"/>
        <v>1</v>
      </c>
      <c r="O1675" s="24">
        <f>IFERROR(__xludf.DUMMYFUNCTION("iferror(filter('3.4.clean'!C:C,'3.4.clean'!A:A=C1675),"""")"),43883.0)</f>
        <v>43883</v>
      </c>
      <c r="P1675" s="25" t="b">
        <f t="shared" si="1358"/>
        <v>1</v>
      </c>
      <c r="Q1675" s="24">
        <f>IFERROR(__xludf.DUMMYFUNCTION("iferror(filter('3.5.clean'!C:C,'3.5.clean'!A:A=C1675),"""")"),43878.0)</f>
        <v>43878</v>
      </c>
      <c r="R1675" s="23" t="b">
        <f t="shared" si="1362"/>
        <v>1</v>
      </c>
      <c r="S1675" s="25"/>
      <c r="U1675" s="23" t="s">
        <v>177</v>
      </c>
      <c r="V1675" s="1" t="s">
        <v>64</v>
      </c>
      <c r="X1675" s="23" t="str">
        <f>IFERROR(__xludf.DUMMYFUNCTION("if(COUNTA(FILTER(C:C, C:C = C1675))=1,""no"",""yes"")"),"no")</f>
        <v>no</v>
      </c>
    </row>
    <row r="1676">
      <c r="A1676" s="75" t="s">
        <v>1067</v>
      </c>
      <c r="B1676" s="2">
        <v>5.0</v>
      </c>
      <c r="C1676" s="19" t="s">
        <v>4015</v>
      </c>
      <c r="D1676" s="58" t="str">
        <f t="shared" ref="D1676:D1677" si="1364">if(or(I1676=1,J1676=1,S1676=1),"pos","")</f>
        <v/>
      </c>
      <c r="E1676" s="59">
        <f>IFERROR(__xludf.DUMMYFUNCTION("ifna(IFNA(filter('2.1.clean'!C:C,'2.1.clean'!A:A=C1676),filter('2.2.clean'!E:E,'2.2.clean'!D:D=C1676)),filter('2.4.clean'!C:C,'2.4.clean'!A:A=C1676))"),43878.0)</f>
        <v>43878</v>
      </c>
      <c r="F1676" s="60">
        <f>IFERROR(__xludf.DUMMYFUNCTION("iferror(ifna(IFNA(filter('2.1.clean'!E:E,'2.1.clean'!A:A=C1676),filter('2.2.clean'!G:G,'2.2.clean'!D:D=C1676)),filter('2.4.clean'!E:E,'2.4.clean'!A:A=C1676)),)"),2.39999999999999)</f>
        <v>2.4</v>
      </c>
      <c r="G1676" s="59">
        <f>IFERROR(__xludf.DUMMYFUNCTION("iferror(filter('3.1.clean'!C:C,'3.1.clean'!A:A=C1676),"""")"),43878.0)</f>
        <v>43878</v>
      </c>
      <c r="H1676" s="58" t="b">
        <f t="shared" si="1363"/>
        <v>1</v>
      </c>
      <c r="I1676" s="58">
        <f>IFERROR(__xludf.DUMMYFUNCTION("iferror(filter('3.1.clean'!G:G,'3.1.clean'!A:A=C1676),"""")"),0.0)</f>
        <v>0</v>
      </c>
      <c r="J1676" s="60" t="str">
        <f>IFERROR(__xludf.DUMMYFUNCTION("iferror(filter('3.1.clean'!I:I,'3.1.clean'!A:A=C1676),"""")"),"")</f>
        <v/>
      </c>
      <c r="K1676" s="58"/>
      <c r="L1676" s="60"/>
      <c r="M1676" s="59" t="str">
        <f>IFERROR(__xludf.DUMMYFUNCTION("iferror(filter('3.3.clean'!C:C,'3.3.clean'!A:A=C1676),"""")"),"")</f>
        <v/>
      </c>
      <c r="N1676" s="60" t="b">
        <f t="shared" si="1357"/>
        <v>0</v>
      </c>
      <c r="O1676" s="59" t="str">
        <f>IFERROR(__xludf.DUMMYFUNCTION("iferror(filter('3.4.clean'!C:C,'3.4.clean'!A:A=C1676),"""")"),"")</f>
        <v/>
      </c>
      <c r="P1676" s="60" t="b">
        <f t="shared" si="1358"/>
        <v>0</v>
      </c>
      <c r="Q1676" s="59" t="str">
        <f>IFERROR(__xludf.DUMMYFUNCTION("iferror(filter('3.5.clean'!C:C,'3.5.clean'!A:A=C1676),"""")"),"")</f>
        <v/>
      </c>
      <c r="R1676" s="58"/>
      <c r="S1676" s="4" t="str">
        <f>IFERROR(__xludf.DUMMYFUNCTION("iferror(filter('3.5.clean'!H:H,'3.5.clean'!A:A=C1676),"""")"),"")</f>
        <v/>
      </c>
      <c r="W1676" s="23" t="b">
        <f>if(AND(H1676=TRUE,N1676=TRUE,P1676=TRUE),TRUE,FALSE)</f>
        <v>0</v>
      </c>
      <c r="X1676" s="23" t="str">
        <f>IFERROR(__xludf.DUMMYFUNCTION("if(COUNTA(FILTER(C:C, C:C = C1676))=1,""no"",""yes"")"),"no")</f>
        <v>no</v>
      </c>
    </row>
    <row r="1677">
      <c r="A1677" s="75" t="s">
        <v>1067</v>
      </c>
      <c r="B1677" s="2">
        <v>6.0</v>
      </c>
      <c r="C1677" s="19" t="s">
        <v>4016</v>
      </c>
      <c r="D1677" s="58" t="str">
        <f t="shared" si="1364"/>
        <v/>
      </c>
      <c r="E1677" s="59">
        <f>Q1677</f>
        <v>43878</v>
      </c>
      <c r="F1677" s="60" t="str">
        <f>IFERROR(__xludf.DUMMYFUNCTION("iferror(ifna(IFNA(filter('2.1.clean'!E:E,'2.1.clean'!A:A=C1677),filter('2.2.clean'!G:G,'2.2.clean'!D:D=C1677)),filter('2.4.clean'!E:E,'2.4.clean'!A:A=C1677)),)"),"")</f>
        <v/>
      </c>
      <c r="G1677" s="59" t="str">
        <f>IFERROR(__xludf.DUMMYFUNCTION("iferror(filter('3.1.clean'!C:C,'3.1.clean'!A:A=C1677),"""")"),"")</f>
        <v/>
      </c>
      <c r="H1677" s="58"/>
      <c r="I1677" s="58" t="str">
        <f>IFERROR(__xludf.DUMMYFUNCTION("iferror(filter('3.1.clean'!G:G,'3.1.clean'!A:A=C1677),"""")"),"")</f>
        <v/>
      </c>
      <c r="J1677" s="60" t="str">
        <f>IFERROR(__xludf.DUMMYFUNCTION("iferror(filter('3.1.clean'!I:I,'3.1.clean'!A:A=C1677),"""")"),"")</f>
        <v/>
      </c>
      <c r="K1677" s="59"/>
      <c r="L1677" s="60"/>
      <c r="M1677" s="59" t="str">
        <f>IFERROR(__xludf.DUMMYFUNCTION("iferror(filter('3.3.clean'!C:C,'3.3.clean'!A:A=C1677),"""")"),"")</f>
        <v/>
      </c>
      <c r="N1677" s="60" t="b">
        <f t="shared" si="1357"/>
        <v>0</v>
      </c>
      <c r="O1677" s="59" t="str">
        <f>IFERROR(__xludf.DUMMYFUNCTION("iferror(filter('3.4.clean'!C:C,'3.4.clean'!A:A=C1677),"""")"),"")</f>
        <v/>
      </c>
      <c r="P1677" s="60" t="b">
        <f t="shared" si="1358"/>
        <v>0</v>
      </c>
      <c r="Q1677" s="59">
        <f>IFERROR(__xludf.DUMMYFUNCTION("iferror(filter('3.5.clean'!C:C,'3.5.clean'!A:A=C1677),"""")"),43878.0)</f>
        <v>43878</v>
      </c>
      <c r="R1677" s="58" t="b">
        <f t="shared" ref="R1677:R1678" si="1365">if(Q1677="",FALSE,TRUE)</f>
        <v>1</v>
      </c>
      <c r="S1677" s="4">
        <f>IFERROR(__xludf.DUMMYFUNCTION("iferror(filter('3.5.clean'!H:H,'3.5.clean'!A:A=C1677),"""")"),0.0)</f>
        <v>0</v>
      </c>
      <c r="V1677" s="52" t="s">
        <v>64</v>
      </c>
      <c r="W1677" s="23" t="b">
        <f>if(AND(R1677=TRUE,N1677=TRUE,P1677=TRUE),TRUE,FALSE)</f>
        <v>0</v>
      </c>
      <c r="X1677" s="23" t="str">
        <f>IFERROR(__xludf.DUMMYFUNCTION("if(COUNTA(FILTER(C:C, C:C = C1677))=1,""no"",""yes"")"),"no")</f>
        <v>no</v>
      </c>
    </row>
    <row r="1678">
      <c r="A1678" s="75" t="s">
        <v>1067</v>
      </c>
      <c r="B1678" s="2">
        <v>7.0</v>
      </c>
      <c r="C1678" s="19" t="s">
        <v>4022</v>
      </c>
      <c r="E1678" s="24">
        <f>IFERROR(__xludf.DUMMYFUNCTION("ifna(IFNA(filter('2.1.clean'!C:C,'2.1.clean'!A:A=C1678),filter('2.2.clean'!E:E,'2.2.clean'!D:D=C1678)),filter('2.4.clean'!C:C,'2.4.clean'!A:A=C1678))"),43878.0)</f>
        <v>43878</v>
      </c>
      <c r="F1678" s="25">
        <f>IFERROR(__xludf.DUMMYFUNCTION("iferror(ifna(IFNA(filter('2.1.clean'!E:E,'2.1.clean'!A:A=C1678),filter('2.2.clean'!G:G,'2.2.clean'!D:D=C1678)),filter('2.4.clean'!E:E,'2.4.clean'!A:A=C1678)),)"),2.39999999999999)</f>
        <v>2.4</v>
      </c>
      <c r="G1678" s="24">
        <f>IFERROR(__xludf.DUMMYFUNCTION("iferror(filter('3.1.clean'!C:C,'3.1.clean'!A:A=C1678),"""")"),43878.0)</f>
        <v>43878</v>
      </c>
      <c r="H1678" s="23" t="b">
        <f t="shared" ref="H1678:H1679" si="1366">if(G1678="",FALSE,TRUE)</f>
        <v>1</v>
      </c>
      <c r="J1678" s="25"/>
      <c r="K1678" s="24">
        <f>IFERROR(__xludf.DUMMYFUNCTION("iferror(filter('3.2.clean'!C:C,'3.2.clean'!A:A=C1678),"""")"),43878.0)</f>
        <v>43878</v>
      </c>
      <c r="L1678" s="25" t="b">
        <f>if(K1678="",FALSE,TRUE)</f>
        <v>1</v>
      </c>
      <c r="M1678" s="24">
        <f>IFERROR(__xludf.DUMMYFUNCTION("iferror(filter('3.3.clean'!C:C,'3.3.clean'!A:A=C1678),"""")"),43875.0)</f>
        <v>43875</v>
      </c>
      <c r="N1678" s="25" t="b">
        <f t="shared" si="1357"/>
        <v>1</v>
      </c>
      <c r="O1678" s="24">
        <f>IFERROR(__xludf.DUMMYFUNCTION("iferror(filter('3.4.clean'!C:C,'3.4.clean'!A:A=C1678),"""")"),43883.0)</f>
        <v>43883</v>
      </c>
      <c r="P1678" s="25" t="b">
        <f t="shared" si="1358"/>
        <v>1</v>
      </c>
      <c r="Q1678" s="24">
        <f>IFERROR(__xludf.DUMMYFUNCTION("iferror(filter('3.5.clean'!C:C,'3.5.clean'!A:A=C1678),"""")"),43878.0)</f>
        <v>43878</v>
      </c>
      <c r="R1678" s="23" t="b">
        <f t="shared" si="1365"/>
        <v>1</v>
      </c>
      <c r="S1678" s="25"/>
      <c r="U1678" s="23" t="s">
        <v>177</v>
      </c>
      <c r="V1678" s="1" t="s">
        <v>64</v>
      </c>
      <c r="X1678" s="23" t="str">
        <f>IFERROR(__xludf.DUMMYFUNCTION("if(COUNTA(FILTER(C:C, C:C = C1678))=1,""no"",""yes"")"),"no")</f>
        <v>no</v>
      </c>
    </row>
    <row r="1679">
      <c r="A1679" s="75" t="s">
        <v>1067</v>
      </c>
      <c r="B1679" s="2">
        <v>8.0</v>
      </c>
      <c r="C1679" s="19" t="s">
        <v>4027</v>
      </c>
      <c r="D1679" s="58" t="str">
        <f t="shared" ref="D1679:D1680" si="1367">if(or(I1679=1,J1679=1,S1679=1),"pos","")</f>
        <v/>
      </c>
      <c r="E1679" s="59">
        <f>IFERROR(__xludf.DUMMYFUNCTION("ifna(IFNA(filter('2.1.clean'!C:C,'2.1.clean'!A:A=C1679),filter('2.2.clean'!E:E,'2.2.clean'!D:D=C1679)),filter('2.4.clean'!C:C,'2.4.clean'!A:A=C1679))"),43878.0)</f>
        <v>43878</v>
      </c>
      <c r="F1679" s="60">
        <f>IFERROR(__xludf.DUMMYFUNCTION("iferror(ifna(IFNA(filter('2.1.clean'!E:E,'2.1.clean'!A:A=C1679),filter('2.2.clean'!G:G,'2.2.clean'!D:D=C1679)),filter('2.4.clean'!E:E,'2.4.clean'!A:A=C1679)),)"),2.39999999999999)</f>
        <v>2.4</v>
      </c>
      <c r="G1679" s="59">
        <f>IFERROR(__xludf.DUMMYFUNCTION("iferror(filter('3.1.clean'!C:C,'3.1.clean'!A:A=C1679),"""")"),43878.0)</f>
        <v>43878</v>
      </c>
      <c r="H1679" s="58" t="b">
        <f t="shared" si="1366"/>
        <v>1</v>
      </c>
      <c r="I1679" s="58">
        <f>IFERROR(__xludf.DUMMYFUNCTION("iferror(filter('3.1.clean'!G:G,'3.1.clean'!A:A=C1679),"""")"),0.0)</f>
        <v>0</v>
      </c>
      <c r="J1679" s="60" t="str">
        <f>IFERROR(__xludf.DUMMYFUNCTION("iferror(filter('3.1.clean'!I:I,'3.1.clean'!A:A=C1679),"""")"),"")</f>
        <v/>
      </c>
      <c r="K1679" s="58"/>
      <c r="L1679" s="60"/>
      <c r="M1679" s="59" t="str">
        <f>IFERROR(__xludf.DUMMYFUNCTION("iferror(filter('3.3.clean'!C:C,'3.3.clean'!A:A=C1679),"""")"),"")</f>
        <v/>
      </c>
      <c r="N1679" s="60" t="b">
        <f t="shared" si="1357"/>
        <v>0</v>
      </c>
      <c r="O1679" s="59" t="str">
        <f>IFERROR(__xludf.DUMMYFUNCTION("iferror(filter('3.4.clean'!C:C,'3.4.clean'!A:A=C1679),"""")"),"")</f>
        <v/>
      </c>
      <c r="P1679" s="60" t="b">
        <f t="shared" si="1358"/>
        <v>0</v>
      </c>
      <c r="Q1679" s="59" t="str">
        <f>IFERROR(__xludf.DUMMYFUNCTION("iferror(filter('3.5.clean'!C:C,'3.5.clean'!A:A=C1679),"""")"),"")</f>
        <v/>
      </c>
      <c r="R1679" s="58"/>
      <c r="S1679" s="4" t="str">
        <f>IFERROR(__xludf.DUMMYFUNCTION("iferror(filter('3.5.clean'!H:H,'3.5.clean'!A:A=C1679),"""")"),"")</f>
        <v/>
      </c>
      <c r="W1679" s="23" t="b">
        <f>if(AND(H1679=TRUE,N1679=TRUE,P1679=TRUE),TRUE,FALSE)</f>
        <v>0</v>
      </c>
      <c r="X1679" s="23" t="str">
        <f>IFERROR(__xludf.DUMMYFUNCTION("if(COUNTA(FILTER(C:C, C:C = C1679))=1,""no"",""yes"")"),"no")</f>
        <v>no</v>
      </c>
    </row>
    <row r="1680">
      <c r="A1680" s="75" t="s">
        <v>1067</v>
      </c>
      <c r="B1680" s="2">
        <v>9.0</v>
      </c>
      <c r="C1680" s="19" t="s">
        <v>4029</v>
      </c>
      <c r="D1680" s="58" t="str">
        <f t="shared" si="1367"/>
        <v/>
      </c>
      <c r="E1680" s="59">
        <f>Q1680</f>
        <v>43878</v>
      </c>
      <c r="F1680" s="60" t="str">
        <f>IFERROR(__xludf.DUMMYFUNCTION("iferror(ifna(IFNA(filter('2.1.clean'!E:E,'2.1.clean'!A:A=C1680),filter('2.2.clean'!G:G,'2.2.clean'!D:D=C1680)),filter('2.4.clean'!E:E,'2.4.clean'!A:A=C1680)),)"),"")</f>
        <v/>
      </c>
      <c r="G1680" s="59" t="str">
        <f>IFERROR(__xludf.DUMMYFUNCTION("iferror(filter('3.1.clean'!C:C,'3.1.clean'!A:A=C1680),"""")"),"")</f>
        <v/>
      </c>
      <c r="H1680" s="58"/>
      <c r="I1680" s="58" t="str">
        <f>IFERROR(__xludf.DUMMYFUNCTION("iferror(filter('3.1.clean'!G:G,'3.1.clean'!A:A=C1680),"""")"),"")</f>
        <v/>
      </c>
      <c r="J1680" s="60" t="str">
        <f>IFERROR(__xludf.DUMMYFUNCTION("iferror(filter('3.1.clean'!I:I,'3.1.clean'!A:A=C1680),"""")"),"")</f>
        <v/>
      </c>
      <c r="K1680" s="59"/>
      <c r="L1680" s="60"/>
      <c r="M1680" s="59" t="str">
        <f>IFERROR(__xludf.DUMMYFUNCTION("iferror(filter('3.3.clean'!C:C,'3.3.clean'!A:A=C1680),"""")"),"")</f>
        <v/>
      </c>
      <c r="N1680" s="60" t="b">
        <f t="shared" si="1357"/>
        <v>0</v>
      </c>
      <c r="O1680" s="59" t="str">
        <f>IFERROR(__xludf.DUMMYFUNCTION("iferror(filter('3.4.clean'!C:C,'3.4.clean'!A:A=C1680),"""")"),"")</f>
        <v/>
      </c>
      <c r="P1680" s="60" t="b">
        <f t="shared" si="1358"/>
        <v>0</v>
      </c>
      <c r="Q1680" s="59">
        <f>IFERROR(__xludf.DUMMYFUNCTION("iferror(filter('3.5.clean'!C:C,'3.5.clean'!A:A=C1680),"""")"),43878.0)</f>
        <v>43878</v>
      </c>
      <c r="R1680" s="58" t="b">
        <f t="shared" ref="R1680:R1681" si="1368">if(Q1680="",FALSE,TRUE)</f>
        <v>1</v>
      </c>
      <c r="S1680" s="4">
        <f>IFERROR(__xludf.DUMMYFUNCTION("iferror(filter('3.5.clean'!H:H,'3.5.clean'!A:A=C1680),"""")"),0.0)</f>
        <v>0</v>
      </c>
      <c r="V1680" s="52" t="s">
        <v>64</v>
      </c>
      <c r="W1680" s="23" t="b">
        <f>if(AND(R1680=TRUE,N1680=TRUE,P1680=TRUE),TRUE,FALSE)</f>
        <v>0</v>
      </c>
      <c r="X1680" s="23" t="str">
        <f>IFERROR(__xludf.DUMMYFUNCTION("if(COUNTA(FILTER(C:C, C:C = C1680))=1,""no"",""yes"")"),"no")</f>
        <v>no</v>
      </c>
    </row>
    <row r="1681">
      <c r="A1681" s="75" t="s">
        <v>1067</v>
      </c>
      <c r="B1681" s="2">
        <v>10.0</v>
      </c>
      <c r="C1681" s="19" t="s">
        <v>4035</v>
      </c>
      <c r="E1681" s="24">
        <f>IFERROR(__xludf.DUMMYFUNCTION("ifna(IFNA(filter('2.1.clean'!C:C,'2.1.clean'!A:A=C1681),filter('2.2.clean'!E:E,'2.2.clean'!D:D=C1681)),filter('2.4.clean'!C:C,'2.4.clean'!A:A=C1681))"),43878.0)</f>
        <v>43878</v>
      </c>
      <c r="F1681" s="25">
        <f>IFERROR(__xludf.DUMMYFUNCTION("iferror(ifna(IFNA(filter('2.1.clean'!E:E,'2.1.clean'!A:A=C1681),filter('2.2.clean'!G:G,'2.2.clean'!D:D=C1681)),filter('2.4.clean'!E:E,'2.4.clean'!A:A=C1681)),)"),2.39999999999999)</f>
        <v>2.4</v>
      </c>
      <c r="G1681" s="24">
        <f>IFERROR(__xludf.DUMMYFUNCTION("iferror(filter('3.1.clean'!C:C,'3.1.clean'!A:A=C1681),"""")"),43878.0)</f>
        <v>43878</v>
      </c>
      <c r="H1681" s="23" t="b">
        <f t="shared" ref="H1681:H1682" si="1369">if(G1681="",FALSE,TRUE)</f>
        <v>1</v>
      </c>
      <c r="J1681" s="25"/>
      <c r="K1681" s="24">
        <f>IFERROR(__xludf.DUMMYFUNCTION("iferror(filter('3.2.clean'!C:C,'3.2.clean'!A:A=C1681),"""")"),43878.0)</f>
        <v>43878</v>
      </c>
      <c r="L1681" s="25" t="b">
        <f>if(K1681="",FALSE,TRUE)</f>
        <v>1</v>
      </c>
      <c r="M1681" s="24">
        <f>IFERROR(__xludf.DUMMYFUNCTION("iferror(filter('3.3.clean'!C:C,'3.3.clean'!A:A=C1681),"""")"),43875.0)</f>
        <v>43875</v>
      </c>
      <c r="N1681" s="25" t="b">
        <f t="shared" si="1357"/>
        <v>1</v>
      </c>
      <c r="O1681" s="24">
        <f>IFERROR(__xludf.DUMMYFUNCTION("iferror(filter('3.4.clean'!C:C,'3.4.clean'!A:A=C1681),"""")"),43883.0)</f>
        <v>43883</v>
      </c>
      <c r="P1681" s="25" t="b">
        <f t="shared" si="1358"/>
        <v>1</v>
      </c>
      <c r="Q1681" s="24">
        <f>IFERROR(__xludf.DUMMYFUNCTION("iferror(filter('3.5.clean'!C:C,'3.5.clean'!A:A=C1681),"""")"),43878.0)</f>
        <v>43878</v>
      </c>
      <c r="R1681" s="23" t="b">
        <f t="shared" si="1368"/>
        <v>1</v>
      </c>
      <c r="S1681" s="25"/>
      <c r="U1681" s="23" t="s">
        <v>177</v>
      </c>
      <c r="V1681" s="1" t="s">
        <v>64</v>
      </c>
      <c r="X1681" s="23" t="str">
        <f>IFERROR(__xludf.DUMMYFUNCTION("if(COUNTA(FILTER(C:C, C:C = C1681))=1,""no"",""yes"")"),"no")</f>
        <v>no</v>
      </c>
    </row>
    <row r="1682">
      <c r="A1682" s="75" t="s">
        <v>1067</v>
      </c>
      <c r="B1682" s="2">
        <v>11.0</v>
      </c>
      <c r="C1682" s="19" t="s">
        <v>4042</v>
      </c>
      <c r="D1682" s="58" t="str">
        <f t="shared" ref="D1682:D1683" si="1370">if(or(I1682=1,J1682=1,S1682=1),"pos","")</f>
        <v/>
      </c>
      <c r="E1682" s="59">
        <f>IFERROR(__xludf.DUMMYFUNCTION("ifna(IFNA(filter('2.1.clean'!C:C,'2.1.clean'!A:A=C1682),filter('2.2.clean'!E:E,'2.2.clean'!D:D=C1682)),filter('2.4.clean'!C:C,'2.4.clean'!A:A=C1682))"),43878.0)</f>
        <v>43878</v>
      </c>
      <c r="F1682" s="60">
        <f>IFERROR(__xludf.DUMMYFUNCTION("iferror(ifna(IFNA(filter('2.1.clean'!E:E,'2.1.clean'!A:A=C1682),filter('2.2.clean'!G:G,'2.2.clean'!D:D=C1682)),filter('2.4.clean'!E:E,'2.4.clean'!A:A=C1682)),)"),2.39999999999999)</f>
        <v>2.4</v>
      </c>
      <c r="G1682" s="59">
        <f>IFERROR(__xludf.DUMMYFUNCTION("iferror(filter('3.1.clean'!C:C,'3.1.clean'!A:A=C1682),"""")"),43878.0)</f>
        <v>43878</v>
      </c>
      <c r="H1682" s="58" t="b">
        <f t="shared" si="1369"/>
        <v>1</v>
      </c>
      <c r="I1682" s="58">
        <f>IFERROR(__xludf.DUMMYFUNCTION("iferror(filter('3.1.clean'!G:G,'3.1.clean'!A:A=C1682),"""")"),0.0)</f>
        <v>0</v>
      </c>
      <c r="J1682" s="60" t="str">
        <f>IFERROR(__xludf.DUMMYFUNCTION("iferror(filter('3.1.clean'!I:I,'3.1.clean'!A:A=C1682),"""")"),"")</f>
        <v/>
      </c>
      <c r="K1682" s="58"/>
      <c r="L1682" s="60"/>
      <c r="M1682" s="59" t="str">
        <f>IFERROR(__xludf.DUMMYFUNCTION("iferror(filter('3.3.clean'!C:C,'3.3.clean'!A:A=C1682),"""")"),"")</f>
        <v/>
      </c>
      <c r="N1682" s="60" t="b">
        <f t="shared" si="1357"/>
        <v>0</v>
      </c>
      <c r="O1682" s="59" t="str">
        <f>IFERROR(__xludf.DUMMYFUNCTION("iferror(filter('3.4.clean'!C:C,'3.4.clean'!A:A=C1682),"""")"),"")</f>
        <v/>
      </c>
      <c r="P1682" s="60" t="b">
        <f t="shared" si="1358"/>
        <v>0</v>
      </c>
      <c r="Q1682" s="59" t="str">
        <f>IFERROR(__xludf.DUMMYFUNCTION("iferror(filter('3.5.clean'!C:C,'3.5.clean'!A:A=C1682),"""")"),"")</f>
        <v/>
      </c>
      <c r="R1682" s="58"/>
      <c r="S1682" s="4" t="str">
        <f>IFERROR(__xludf.DUMMYFUNCTION("iferror(filter('3.5.clean'!H:H,'3.5.clean'!A:A=C1682),"""")"),"")</f>
        <v/>
      </c>
      <c r="W1682" s="23" t="b">
        <f>if(AND(H1682=TRUE,N1682=TRUE,P1682=TRUE),TRUE,FALSE)</f>
        <v>0</v>
      </c>
      <c r="X1682" s="23" t="str">
        <f>IFERROR(__xludf.DUMMYFUNCTION("if(COUNTA(FILTER(C:C, C:C = C1682))=1,""no"",""yes"")"),"no")</f>
        <v>no</v>
      </c>
    </row>
    <row r="1683">
      <c r="A1683" s="75" t="s">
        <v>1067</v>
      </c>
      <c r="B1683" s="2">
        <v>12.0</v>
      </c>
      <c r="C1683" s="19" t="s">
        <v>4047</v>
      </c>
      <c r="D1683" s="58" t="str">
        <f t="shared" si="1370"/>
        <v/>
      </c>
      <c r="E1683" s="59">
        <f>Q1683</f>
        <v>43878</v>
      </c>
      <c r="F1683" s="60" t="str">
        <f>IFERROR(__xludf.DUMMYFUNCTION("iferror(ifna(IFNA(filter('2.1.clean'!E:E,'2.1.clean'!A:A=C1683),filter('2.2.clean'!G:G,'2.2.clean'!D:D=C1683)),filter('2.4.clean'!E:E,'2.4.clean'!A:A=C1683)),)"),"")</f>
        <v/>
      </c>
      <c r="G1683" s="59" t="str">
        <f>IFERROR(__xludf.DUMMYFUNCTION("iferror(filter('3.1.clean'!C:C,'3.1.clean'!A:A=C1683),"""")"),"")</f>
        <v/>
      </c>
      <c r="H1683" s="58"/>
      <c r="I1683" s="58" t="str">
        <f>IFERROR(__xludf.DUMMYFUNCTION("iferror(filter('3.1.clean'!G:G,'3.1.clean'!A:A=C1683),"""")"),"")</f>
        <v/>
      </c>
      <c r="J1683" s="60" t="str">
        <f>IFERROR(__xludf.DUMMYFUNCTION("iferror(filter('3.1.clean'!I:I,'3.1.clean'!A:A=C1683),"""")"),"")</f>
        <v/>
      </c>
      <c r="K1683" s="59"/>
      <c r="L1683" s="60"/>
      <c r="M1683" s="59" t="str">
        <f>IFERROR(__xludf.DUMMYFUNCTION("iferror(filter('3.3.clean'!C:C,'3.3.clean'!A:A=C1683),"""")"),"")</f>
        <v/>
      </c>
      <c r="N1683" s="60" t="b">
        <f t="shared" si="1357"/>
        <v>0</v>
      </c>
      <c r="O1683" s="59" t="str">
        <f>IFERROR(__xludf.DUMMYFUNCTION("iferror(filter('3.4.clean'!C:C,'3.4.clean'!A:A=C1683),"""")"),"")</f>
        <v/>
      </c>
      <c r="P1683" s="60" t="b">
        <f t="shared" si="1358"/>
        <v>0</v>
      </c>
      <c r="Q1683" s="59">
        <f>IFERROR(__xludf.DUMMYFUNCTION("iferror(filter('3.5.clean'!C:C,'3.5.clean'!A:A=C1683),"""")"),43878.0)</f>
        <v>43878</v>
      </c>
      <c r="R1683" s="58" t="b">
        <f t="shared" ref="R1683:R1684" si="1371">if(Q1683="",FALSE,TRUE)</f>
        <v>1</v>
      </c>
      <c r="S1683" s="4">
        <f>IFERROR(__xludf.DUMMYFUNCTION("iferror(filter('3.5.clean'!H:H,'3.5.clean'!A:A=C1683),"""")"),0.0)</f>
        <v>0</v>
      </c>
      <c r="V1683" s="52" t="s">
        <v>64</v>
      </c>
      <c r="W1683" s="23" t="b">
        <f>if(AND(R1683=TRUE,N1683=TRUE,P1683=TRUE),TRUE,FALSE)</f>
        <v>0</v>
      </c>
      <c r="X1683" s="23" t="str">
        <f>IFERROR(__xludf.DUMMYFUNCTION("if(COUNTA(FILTER(C:C, C:C = C1683))=1,""no"",""yes"")"),"no")</f>
        <v>no</v>
      </c>
    </row>
    <row r="1684">
      <c r="A1684" s="75" t="s">
        <v>1067</v>
      </c>
      <c r="B1684" s="2">
        <v>13.0</v>
      </c>
      <c r="C1684" s="19" t="s">
        <v>4050</v>
      </c>
      <c r="E1684" s="24">
        <f>IFERROR(__xludf.DUMMYFUNCTION("ifna(IFNA(filter('2.1.clean'!C:C,'2.1.clean'!A:A=C1684),filter('2.2.clean'!E:E,'2.2.clean'!D:D=C1684)),filter('2.4.clean'!C:C,'2.4.clean'!A:A=C1684))"),43878.0)</f>
        <v>43878</v>
      </c>
      <c r="F1684" s="25">
        <f>IFERROR(__xludf.DUMMYFUNCTION("iferror(ifna(IFNA(filter('2.1.clean'!E:E,'2.1.clean'!A:A=C1684),filter('2.2.clean'!G:G,'2.2.clean'!D:D=C1684)),filter('2.4.clean'!E:E,'2.4.clean'!A:A=C1684)),)"),2.39999999999999)</f>
        <v>2.4</v>
      </c>
      <c r="G1684" s="24">
        <f>IFERROR(__xludf.DUMMYFUNCTION("iferror(filter('3.1.clean'!C:C,'3.1.clean'!A:A=C1684),"""")"),43878.0)</f>
        <v>43878</v>
      </c>
      <c r="H1684" s="23" t="b">
        <f t="shared" ref="H1684:H1685" si="1372">if(G1684="",FALSE,TRUE)</f>
        <v>1</v>
      </c>
      <c r="J1684" s="25"/>
      <c r="K1684" s="24">
        <f>IFERROR(__xludf.DUMMYFUNCTION("iferror(filter('3.2.clean'!C:C,'3.2.clean'!A:A=C1684),"""")"),43878.0)</f>
        <v>43878</v>
      </c>
      <c r="L1684" s="25" t="b">
        <f>if(K1684="",FALSE,TRUE)</f>
        <v>1</v>
      </c>
      <c r="M1684" s="24">
        <f>IFERROR(__xludf.DUMMYFUNCTION("iferror(filter('3.3.clean'!C:C,'3.3.clean'!A:A=C1684),"""")"),43880.0)</f>
        <v>43880</v>
      </c>
      <c r="N1684" s="25" t="b">
        <f t="shared" si="1357"/>
        <v>1</v>
      </c>
      <c r="O1684" s="24">
        <f>IFERROR(__xludf.DUMMYFUNCTION("iferror(filter('3.4.clean'!C:C,'3.4.clean'!A:A=C1684),"""")"),43883.0)</f>
        <v>43883</v>
      </c>
      <c r="P1684" s="25" t="b">
        <f t="shared" si="1358"/>
        <v>1</v>
      </c>
      <c r="Q1684" s="24">
        <f>IFERROR(__xludf.DUMMYFUNCTION("iferror(filter('3.5.clean'!C:C,'3.5.clean'!A:A=C1684),"""")"),43878.0)</f>
        <v>43878</v>
      </c>
      <c r="R1684" s="23" t="b">
        <f t="shared" si="1371"/>
        <v>1</v>
      </c>
      <c r="S1684" s="25"/>
      <c r="U1684" s="23" t="s">
        <v>177</v>
      </c>
      <c r="V1684" s="1" t="s">
        <v>64</v>
      </c>
      <c r="X1684" s="23" t="str">
        <f>IFERROR(__xludf.DUMMYFUNCTION("if(COUNTA(FILTER(C:C, C:C = C1684))=1,""no"",""yes"")"),"no")</f>
        <v>no</v>
      </c>
    </row>
    <row r="1685">
      <c r="A1685" s="75" t="s">
        <v>1067</v>
      </c>
      <c r="B1685" s="2">
        <v>14.0</v>
      </c>
      <c r="C1685" s="19" t="s">
        <v>4056</v>
      </c>
      <c r="D1685" s="58" t="str">
        <f t="shared" ref="D1685:D1688" si="1373">if(or(I1685=1,J1685=1,S1685=1),"pos","")</f>
        <v/>
      </c>
      <c r="E1685" s="59">
        <f>IFERROR(__xludf.DUMMYFUNCTION("ifna(IFNA(filter('2.1.clean'!C:C,'2.1.clean'!A:A=C1685),filter('2.2.clean'!E:E,'2.2.clean'!D:D=C1685)),filter('2.4.clean'!C:C,'2.4.clean'!A:A=C1685))"),43878.0)</f>
        <v>43878</v>
      </c>
      <c r="F1685" s="60">
        <f>IFERROR(__xludf.DUMMYFUNCTION("iferror(ifna(IFNA(filter('2.1.clean'!E:E,'2.1.clean'!A:A=C1685),filter('2.2.clean'!G:G,'2.2.clean'!D:D=C1685)),filter('2.4.clean'!E:E,'2.4.clean'!A:A=C1685)),)"),2.39999999999999)</f>
        <v>2.4</v>
      </c>
      <c r="G1685" s="59">
        <f>IFERROR(__xludf.DUMMYFUNCTION("iferror(filter('3.1.clean'!C:C,'3.1.clean'!A:A=C1685),"""")"),43878.0)</f>
        <v>43878</v>
      </c>
      <c r="H1685" s="58" t="b">
        <f t="shared" si="1372"/>
        <v>1</v>
      </c>
      <c r="I1685" s="58">
        <f>IFERROR(__xludf.DUMMYFUNCTION("iferror(filter('3.1.clean'!G:G,'3.1.clean'!A:A=C1685),"""")"),0.0)</f>
        <v>0</v>
      </c>
      <c r="J1685" s="60" t="str">
        <f>IFERROR(__xludf.DUMMYFUNCTION("iferror(filter('3.1.clean'!I:I,'3.1.clean'!A:A=C1685),"""")"),"")</f>
        <v/>
      </c>
      <c r="K1685" s="58"/>
      <c r="L1685" s="60"/>
      <c r="M1685" s="59">
        <f>IFERROR(__xludf.DUMMYFUNCTION("iferror(filter('3.3.clean'!C:C,'3.3.clean'!A:A=C1685),"""")"),43880.0)</f>
        <v>43880</v>
      </c>
      <c r="N1685" s="60" t="b">
        <f t="shared" si="1357"/>
        <v>1</v>
      </c>
      <c r="O1685" s="59">
        <f>IFERROR(__xludf.DUMMYFUNCTION("iferror(filter('3.4.clean'!C:C,'3.4.clean'!A:A=C1685),"""")"),43883.0)</f>
        <v>43883</v>
      </c>
      <c r="P1685" s="60" t="b">
        <f t="shared" si="1358"/>
        <v>1</v>
      </c>
      <c r="Q1685" s="59" t="str">
        <f>IFERROR(__xludf.DUMMYFUNCTION("iferror(filter('3.5.clean'!C:C,'3.5.clean'!A:A=C1685),"""")"),"")</f>
        <v/>
      </c>
      <c r="R1685" s="58"/>
      <c r="S1685" s="4" t="str">
        <f>IFERROR(__xludf.DUMMYFUNCTION("iferror(filter('3.5.clean'!H:H,'3.5.clean'!A:A=C1685),"""")"),"")</f>
        <v/>
      </c>
      <c r="W1685" s="23" t="b">
        <f>if(AND(H1685=TRUE,N1685=TRUE,P1685=TRUE),TRUE,FALSE)</f>
        <v>1</v>
      </c>
      <c r="X1685" s="23" t="str">
        <f>IFERROR(__xludf.DUMMYFUNCTION("if(COUNTA(FILTER(C:C, C:C = C1685))=1,""no"",""yes"")"),"no")</f>
        <v>no</v>
      </c>
    </row>
    <row r="1686">
      <c r="A1686" s="75" t="s">
        <v>1067</v>
      </c>
      <c r="B1686" s="2">
        <v>15.0</v>
      </c>
      <c r="C1686" s="19" t="s">
        <v>4061</v>
      </c>
      <c r="D1686" s="58" t="str">
        <f t="shared" si="1373"/>
        <v/>
      </c>
      <c r="E1686" s="59">
        <f>Q1686</f>
        <v>43878</v>
      </c>
      <c r="F1686" s="60" t="str">
        <f>IFERROR(__xludf.DUMMYFUNCTION("iferror(ifna(IFNA(filter('2.1.clean'!E:E,'2.1.clean'!A:A=C1686),filter('2.2.clean'!G:G,'2.2.clean'!D:D=C1686)),filter('2.4.clean'!E:E,'2.4.clean'!A:A=C1686)),)"),"")</f>
        <v/>
      </c>
      <c r="G1686" s="59" t="str">
        <f>IFERROR(__xludf.DUMMYFUNCTION("iferror(filter('3.1.clean'!C:C,'3.1.clean'!A:A=C1686),"""")"),"")</f>
        <v/>
      </c>
      <c r="H1686" s="58"/>
      <c r="I1686" s="58" t="str">
        <f>IFERROR(__xludf.DUMMYFUNCTION("iferror(filter('3.1.clean'!G:G,'3.1.clean'!A:A=C1686),"""")"),"")</f>
        <v/>
      </c>
      <c r="J1686" s="60" t="str">
        <f>IFERROR(__xludf.DUMMYFUNCTION("iferror(filter('3.1.clean'!I:I,'3.1.clean'!A:A=C1686),"""")"),"")</f>
        <v/>
      </c>
      <c r="K1686" s="59"/>
      <c r="L1686" s="60"/>
      <c r="M1686" s="59" t="str">
        <f>IFERROR(__xludf.DUMMYFUNCTION("iferror(filter('3.3.clean'!C:C,'3.3.clean'!A:A=C1686),"""")"),"")</f>
        <v/>
      </c>
      <c r="N1686" s="60" t="b">
        <f t="shared" si="1357"/>
        <v>0</v>
      </c>
      <c r="O1686" s="59" t="str">
        <f>IFERROR(__xludf.DUMMYFUNCTION("iferror(filter('3.4.clean'!C:C,'3.4.clean'!A:A=C1686),"""")"),"")</f>
        <v/>
      </c>
      <c r="P1686" s="60" t="b">
        <f t="shared" si="1358"/>
        <v>0</v>
      </c>
      <c r="Q1686" s="59">
        <f>IFERROR(__xludf.DUMMYFUNCTION("iferror(filter('3.5.clean'!C:C,'3.5.clean'!A:A=C1686),"""")"),43878.0)</f>
        <v>43878</v>
      </c>
      <c r="R1686" s="58" t="b">
        <f>if(Q1686="",FALSE,TRUE)</f>
        <v>1</v>
      </c>
      <c r="S1686" s="4">
        <f>IFERROR(__xludf.DUMMYFUNCTION("iferror(filter('3.5.clean'!H:H,'3.5.clean'!A:A=C1686),"""")"),0.0)</f>
        <v>0</v>
      </c>
      <c r="V1686" s="52" t="s">
        <v>64</v>
      </c>
      <c r="W1686" s="23" t="b">
        <f>if(AND(R1686=TRUE,N1686=TRUE,P1686=TRUE),TRUE,FALSE)</f>
        <v>0</v>
      </c>
      <c r="X1686" s="23" t="str">
        <f>IFERROR(__xludf.DUMMYFUNCTION("if(COUNTA(FILTER(C:C, C:C = C1686))=1,""no"",""yes"")"),"no")</f>
        <v>no</v>
      </c>
    </row>
    <row r="1687">
      <c r="A1687" s="75" t="s">
        <v>1067</v>
      </c>
      <c r="B1687" s="2">
        <v>16.0</v>
      </c>
      <c r="C1687" s="19" t="s">
        <v>4064</v>
      </c>
      <c r="D1687" s="76" t="str">
        <f t="shared" si="1373"/>
        <v/>
      </c>
      <c r="E1687" s="77">
        <f>G1687</f>
        <v>43878</v>
      </c>
      <c r="F1687" s="78" t="str">
        <f>IFERROR(__xludf.DUMMYFUNCTION("iferror(ifna(IFNA(filter('2.1.clean'!E:E,'2.1.clean'!A:A=C1687),filter('2.2.clean'!G:G,'2.2.clean'!D:D=C1687)),filter('2.4.clean'!E:E,'2.4.clean'!A:A=C1687)),)"),"")</f>
        <v/>
      </c>
      <c r="G1687" s="77">
        <f>IFERROR(__xludf.DUMMYFUNCTION("iferror(filter('3.1.clean'!C:C,'3.1.clean'!A:A=C1687),"""")"),43878.0)</f>
        <v>43878</v>
      </c>
      <c r="H1687" s="76" t="b">
        <f>if(G1687="",FALSE,TRUE)</f>
        <v>1</v>
      </c>
      <c r="I1687" s="76">
        <f>IFERROR(__xludf.DUMMYFUNCTION("iferror(filter('3.1.clean'!G:G,'3.1.clean'!A:A=C1687),"""")"),0.0)</f>
        <v>0</v>
      </c>
      <c r="J1687" s="78" t="str">
        <f>IFERROR(__xludf.DUMMYFUNCTION("iferror(filter('3.1.clean'!I:I,'3.1.clean'!A:A=C1687),"""")"),"")</f>
        <v/>
      </c>
      <c r="K1687" s="77"/>
      <c r="L1687" s="78"/>
      <c r="M1687" s="77"/>
      <c r="N1687" s="78"/>
      <c r="O1687" s="77"/>
      <c r="P1687" s="78"/>
      <c r="Q1687" s="77"/>
      <c r="R1687" s="76"/>
      <c r="S1687" s="25"/>
      <c r="V1687" s="1" t="s">
        <v>64</v>
      </c>
      <c r="W1687" s="1" t="b">
        <v>1</v>
      </c>
      <c r="X1687" s="23" t="str">
        <f>IFERROR(__xludf.DUMMYFUNCTION("if(COUNTA(FILTER(C:C, C:C = C1687))=1,""no"",""yes"")"),"no")</f>
        <v>no</v>
      </c>
    </row>
    <row r="1688">
      <c r="A1688" s="75" t="s">
        <v>1067</v>
      </c>
      <c r="B1688" s="2">
        <v>17.0</v>
      </c>
      <c r="C1688" s="19" t="s">
        <v>4071</v>
      </c>
      <c r="D1688" s="22" t="str">
        <f t="shared" si="1373"/>
        <v/>
      </c>
      <c r="E1688" s="20">
        <f>Q1688</f>
        <v>43878</v>
      </c>
      <c r="F1688" s="79" t="str">
        <f>IFERROR(__xludf.DUMMYFUNCTION("iferror(ifna(IFNA(filter('2.1.clean'!E:E,'2.1.clean'!A:A=C1688),filter('2.2.clean'!G:G,'2.2.clean'!D:D=C1688)),filter('2.4.clean'!E:E,'2.4.clean'!A:A=C1688)),)"),"")</f>
        <v/>
      </c>
      <c r="G1688" s="20" t="str">
        <f>IFERROR(__xludf.DUMMYFUNCTION("iferror(filter('3.1.clean'!C:C,'3.1.clean'!A:A=C1688),"""")"),"")</f>
        <v/>
      </c>
      <c r="H1688" s="22"/>
      <c r="I1688" s="22"/>
      <c r="J1688" s="79"/>
      <c r="K1688" s="20" t="str">
        <f>IFERROR(__xludf.DUMMYFUNCTION("iferror(filter('3.2.clean'!C:C,'3.2.clean'!A:A=C1688),"""")"),"")</f>
        <v/>
      </c>
      <c r="L1688" s="79"/>
      <c r="M1688" s="20" t="str">
        <f>IFERROR(__xludf.DUMMYFUNCTION("iferror(filter('3.3.clean'!C:C,'3.3.clean'!A:A=C1688),"""")"),"")</f>
        <v/>
      </c>
      <c r="N1688" s="79" t="b">
        <f t="shared" ref="N1688:N1707" si="1374">if(M1688="",FALSE,TRUE)</f>
        <v>0</v>
      </c>
      <c r="O1688" s="20" t="str">
        <f>IFERROR(__xludf.DUMMYFUNCTION("iferror(filter('3.4.clean'!C:C,'3.4.clean'!A:A=C1688),"""")"),"")</f>
        <v/>
      </c>
      <c r="P1688" s="79" t="b">
        <f t="shared" ref="P1688:P1707" si="1375">if(O1688="",FALSE,TRUE)</f>
        <v>0</v>
      </c>
      <c r="Q1688" s="20">
        <f>IFERROR(__xludf.DUMMYFUNCTION("iferror(filter('3.5.clean'!C:C,'3.5.clean'!A:A=C1688),"""")"),43878.0)</f>
        <v>43878</v>
      </c>
      <c r="R1688" s="22" t="b">
        <f>if(Q1688="",FALSE,TRUE)</f>
        <v>1</v>
      </c>
      <c r="S1688" s="4">
        <f>IFERROR(__xludf.DUMMYFUNCTION("iferror(filter('3.5.clean'!H:H,'3.5.clean'!A:A=C1688),"""")"),0.0)</f>
        <v>0</v>
      </c>
      <c r="V1688" s="1" t="s">
        <v>64</v>
      </c>
      <c r="W1688" s="23" t="b">
        <f>IF(and(R1688=TRUE,N1688=TRUE,P1688=TRUE),TRUE,FALSE)</f>
        <v>0</v>
      </c>
      <c r="X1688" s="23" t="str">
        <f>IFERROR(__xludf.DUMMYFUNCTION("if(COUNTA(FILTER(C:C, C:C = C1688))=1,""no"",""yes"")"),"no")</f>
        <v>no</v>
      </c>
    </row>
    <row r="1689">
      <c r="A1689" s="75" t="s">
        <v>1067</v>
      </c>
      <c r="B1689" s="2">
        <v>18.0</v>
      </c>
      <c r="C1689" s="39" t="s">
        <v>4077</v>
      </c>
      <c r="E1689" s="26">
        <v>43878.0</v>
      </c>
      <c r="F1689" s="25" t="str">
        <f>IFERROR(__xludf.DUMMYFUNCTION("iferror(ifna(IFNA(filter('2.1.clean'!E:E,'2.1.clean'!A:A=C1689),filter('2.2.clean'!G:G,'2.2.clean'!D:D=C1689)),filter('2.4.clean'!E:E,'2.4.clean'!A:A=C1689)),)"),"")</f>
        <v/>
      </c>
      <c r="G1689" s="24" t="str">
        <f>IFERROR(__xludf.DUMMYFUNCTION("iferror(filter('3.1.clean'!C:C,'3.1.clean'!A:A=C1689),"""")"),"")</f>
        <v/>
      </c>
      <c r="J1689" s="25"/>
      <c r="K1689" s="24" t="str">
        <f>IFERROR(__xludf.DUMMYFUNCTION("iferror(filter('3.2.clean'!C:C,'3.2.clean'!A:A=C1689),"""")"),"")</f>
        <v/>
      </c>
      <c r="L1689" s="25"/>
      <c r="M1689" s="24">
        <f>IFERROR(__xludf.DUMMYFUNCTION("iferror(filter('3.3.clean'!C:C,'3.3.clean'!A:A=C1689),"""")"),43879.0)</f>
        <v>43879</v>
      </c>
      <c r="N1689" s="25" t="b">
        <f t="shared" si="1374"/>
        <v>1</v>
      </c>
      <c r="O1689" s="24">
        <f>IFERROR(__xludf.DUMMYFUNCTION("iferror(filter('3.4.clean'!C:C,'3.4.clean'!A:A=C1689),"""")"),43879.0)</f>
        <v>43879</v>
      </c>
      <c r="P1689" s="25" t="b">
        <f t="shared" si="1375"/>
        <v>1</v>
      </c>
      <c r="Q1689" s="24" t="str">
        <f>IFERROR(__xludf.DUMMYFUNCTION("iferror(filter('3.5.clean'!C:C,'3.5.clean'!A:A=C1689),"""")"),"")</f>
        <v/>
      </c>
      <c r="S1689" s="25"/>
      <c r="V1689" s="52" t="s">
        <v>64</v>
      </c>
      <c r="X1689" s="23" t="str">
        <f>IFERROR(__xludf.DUMMYFUNCTION("if(COUNTA(FILTER(C:C, C:C = C1689))=1,""no"",""yes"")"),"no")</f>
        <v>no</v>
      </c>
    </row>
    <row r="1690">
      <c r="A1690" s="1" t="s">
        <v>1063</v>
      </c>
      <c r="B1690" s="2">
        <v>36.0</v>
      </c>
      <c r="C1690" s="39" t="s">
        <v>4079</v>
      </c>
      <c r="E1690" s="26">
        <v>43879.0</v>
      </c>
      <c r="F1690" s="25" t="str">
        <f>IFERROR(__xludf.DUMMYFUNCTION("iferror(ifna(IFNA(filter('2.1.clean'!E:E,'2.1.clean'!A:A=C1690),filter('2.2.clean'!G:G,'2.2.clean'!D:D=C1690)),filter('2.4.clean'!E:E,'2.4.clean'!A:A=C1690)),)"),"")</f>
        <v/>
      </c>
      <c r="G1690" s="24" t="str">
        <f>IFERROR(__xludf.DUMMYFUNCTION("iferror(filter('3.1.clean'!C:C,'3.1.clean'!A:A=C1690),"""")"),"")</f>
        <v/>
      </c>
      <c r="J1690" s="25"/>
      <c r="K1690" s="24" t="str">
        <f>IFERROR(__xludf.DUMMYFUNCTION("iferror(filter('3.2.clean'!C:C,'3.2.clean'!A:A=C1690),"""")"),"")</f>
        <v/>
      </c>
      <c r="L1690" s="25"/>
      <c r="M1690" s="24">
        <f>IFERROR(__xludf.DUMMYFUNCTION("iferror(filter('3.3.clean'!C:C,'3.3.clean'!A:A=C1690),"""")"),43875.0)</f>
        <v>43875</v>
      </c>
      <c r="N1690" s="25" t="b">
        <f t="shared" si="1374"/>
        <v>1</v>
      </c>
      <c r="O1690" s="24">
        <f>IFERROR(__xludf.DUMMYFUNCTION("iferror(filter('3.4.clean'!C:C,'3.4.clean'!A:A=C1690),"""")"),43879.0)</f>
        <v>43879</v>
      </c>
      <c r="P1690" s="25" t="b">
        <f t="shared" si="1375"/>
        <v>1</v>
      </c>
      <c r="Q1690" s="24" t="str">
        <f>IFERROR(__xludf.DUMMYFUNCTION("iferror(filter('3.5.clean'!C:C,'3.5.clean'!A:A=C1690),"""")"),"")</f>
        <v/>
      </c>
      <c r="S1690" s="25"/>
      <c r="V1690" s="52" t="s">
        <v>64</v>
      </c>
      <c r="X1690" s="23" t="str">
        <f>IFERROR(__xludf.DUMMYFUNCTION("if(COUNTA(FILTER(C:C, C:C = C1690))=1,""no"",""yes"")"),"no")</f>
        <v>no</v>
      </c>
    </row>
    <row r="1691">
      <c r="A1691" s="1" t="s">
        <v>1072</v>
      </c>
      <c r="B1691" s="2">
        <v>1.0</v>
      </c>
      <c r="C1691" s="19" t="s">
        <v>4085</v>
      </c>
      <c r="E1691" s="24">
        <f>IFERROR(__xludf.DUMMYFUNCTION("ifna(IFNA(filter('2.1.clean'!C:C,'2.1.clean'!A:A=C1691),filter('2.2.clean'!E:E,'2.2.clean'!D:D=C1691)),filter('2.4.clean'!C:C,'2.4.clean'!A:A=C1691))"),43879.0)</f>
        <v>43879</v>
      </c>
      <c r="F1691" s="25">
        <f>IFERROR(__xludf.DUMMYFUNCTION("iferror(ifna(IFNA(filter('2.1.clean'!E:E,'2.1.clean'!A:A=C1691),filter('2.2.clean'!G:G,'2.2.clean'!D:D=C1691)),filter('2.4.clean'!E:E,'2.4.clean'!A:A=C1691)),)"),2.39999999999999)</f>
        <v>2.4</v>
      </c>
      <c r="G1691" s="24"/>
      <c r="J1691" s="25"/>
      <c r="K1691" s="24"/>
      <c r="L1691" s="25"/>
      <c r="M1691" s="24">
        <f>IFERROR(__xludf.DUMMYFUNCTION("iferror(filter('3.3.clean'!C:C,'3.3.clean'!A:A=C1691),"""")"),43880.0)</f>
        <v>43880</v>
      </c>
      <c r="N1691" s="25" t="b">
        <f t="shared" si="1374"/>
        <v>1</v>
      </c>
      <c r="O1691" s="24">
        <f>IFERROR(__xludf.DUMMYFUNCTION("iferror(filter('3.4.clean'!C:C,'3.4.clean'!A:A=C1691),"""")"),43888.0)</f>
        <v>43888</v>
      </c>
      <c r="P1691" s="25" t="b">
        <f t="shared" si="1375"/>
        <v>1</v>
      </c>
      <c r="Q1691" s="24">
        <f>IFERROR(__xludf.DUMMYFUNCTION("iferror(filter('3.5.clean'!C:C,'3.5.clean'!A:A=C1691),"""")"),43879.0)</f>
        <v>43879</v>
      </c>
      <c r="R1691" s="23" t="b">
        <f>if(Q1691="",FALSE,TRUE)</f>
        <v>1</v>
      </c>
      <c r="S1691" s="25">
        <v>0.0</v>
      </c>
      <c r="V1691" s="52" t="s">
        <v>64</v>
      </c>
      <c r="W1691" s="23" t="b">
        <f>IF(and(R1691=TRUE,N1691=TRUE,P1691=TRUE),TRUE,FALSE)</f>
        <v>1</v>
      </c>
      <c r="X1691" s="23" t="str">
        <f>IFERROR(__xludf.DUMMYFUNCTION("if(COUNTA(FILTER(C:C, C:C = C1691))=1,""no"",""yes"")"),"no")</f>
        <v>no</v>
      </c>
    </row>
    <row r="1692">
      <c r="A1692" s="1" t="s">
        <v>1072</v>
      </c>
      <c r="B1692" s="2">
        <v>2.0</v>
      </c>
      <c r="C1692" s="19" t="s">
        <v>4087</v>
      </c>
      <c r="D1692" s="58" t="str">
        <f t="shared" ref="D1692:D1693" si="1376">if(or(I1692=1,J1692=1,S1692=1),"pos","")</f>
        <v/>
      </c>
      <c r="E1692" s="59">
        <f>IFERROR(__xludf.DUMMYFUNCTION("ifna(IFNA(filter('2.1.clean'!C:C,'2.1.clean'!A:A=C1692),filter('2.2.clean'!E:E,'2.2.clean'!D:D=C1692)),filter('2.4.clean'!C:C,'2.4.clean'!A:A=C1692))"),43879.0)</f>
        <v>43879</v>
      </c>
      <c r="F1692" s="60">
        <f>IFERROR(__xludf.DUMMYFUNCTION("iferror(ifna(IFNA(filter('2.1.clean'!E:E,'2.1.clean'!A:A=C1692),filter('2.2.clean'!G:G,'2.2.clean'!D:D=C1692)),filter('2.4.clean'!E:E,'2.4.clean'!A:A=C1692)),)"),2.39999999999999)</f>
        <v>2.4</v>
      </c>
      <c r="G1692" s="59">
        <f>IFERROR(__xludf.DUMMYFUNCTION("iferror(filter('3.1.clean'!C:C,'3.1.clean'!A:A=C1692),"""")"),43879.0)</f>
        <v>43879</v>
      </c>
      <c r="H1692" s="58" t="b">
        <f>if(G1692="",FALSE,TRUE)</f>
        <v>1</v>
      </c>
      <c r="I1692" s="58">
        <f>IFERROR(__xludf.DUMMYFUNCTION("iferror(filter('3.1.clean'!G:G,'3.1.clean'!A:A=C1692),"""")"),0.0)</f>
        <v>0</v>
      </c>
      <c r="J1692" s="60" t="str">
        <f>IFERROR(__xludf.DUMMYFUNCTION("iferror(filter('3.1.clean'!I:I,'3.1.clean'!A:A=C1692),"""")"),"")</f>
        <v/>
      </c>
      <c r="K1692" s="58"/>
      <c r="L1692" s="60"/>
      <c r="M1692" s="59" t="str">
        <f>IFERROR(__xludf.DUMMYFUNCTION("iferror(filter('3.3.clean'!C:C,'3.3.clean'!A:A=C1692),"""")"),"")</f>
        <v/>
      </c>
      <c r="N1692" s="60" t="b">
        <f t="shared" si="1374"/>
        <v>0</v>
      </c>
      <c r="O1692" s="59" t="str">
        <f>IFERROR(__xludf.DUMMYFUNCTION("iferror(filter('3.4.clean'!C:C,'3.4.clean'!A:A=C1692),"""")"),"")</f>
        <v/>
      </c>
      <c r="P1692" s="60" t="b">
        <f t="shared" si="1375"/>
        <v>0</v>
      </c>
      <c r="Q1692" s="59" t="str">
        <f>IFERROR(__xludf.DUMMYFUNCTION("iferror(filter('3.5.clean'!C:C,'3.5.clean'!A:A=C1692),"""")"),"")</f>
        <v/>
      </c>
      <c r="R1692" s="58"/>
      <c r="S1692" s="4" t="str">
        <f>IFERROR(__xludf.DUMMYFUNCTION("iferror(filter('3.5.clean'!H:H,'3.5.clean'!A:A=C1692),"""")"),"")</f>
        <v/>
      </c>
      <c r="V1692" s="1" t="s">
        <v>64</v>
      </c>
      <c r="W1692" s="23" t="b">
        <f>if(AND(H1692=TRUE,N1692=TRUE,P1692=TRUE),TRUE,FALSE)</f>
        <v>0</v>
      </c>
      <c r="X1692" s="23" t="str">
        <f>IFERROR(__xludf.DUMMYFUNCTION("if(COUNTA(FILTER(C:C, C:C = C1692))=1,""no"",""yes"")"),"no")</f>
        <v>no</v>
      </c>
    </row>
    <row r="1693">
      <c r="A1693" s="1" t="s">
        <v>1072</v>
      </c>
      <c r="B1693" s="2">
        <v>3.0</v>
      </c>
      <c r="C1693" s="19" t="s">
        <v>4094</v>
      </c>
      <c r="D1693" s="58" t="str">
        <f t="shared" si="1376"/>
        <v/>
      </c>
      <c r="E1693" s="59">
        <f>Q1693</f>
        <v>43879</v>
      </c>
      <c r="F1693" s="60" t="str">
        <f>IFERROR(__xludf.DUMMYFUNCTION("iferror(ifna(IFNA(filter('2.1.clean'!E:E,'2.1.clean'!A:A=C1693),filter('2.2.clean'!G:G,'2.2.clean'!D:D=C1693)),filter('2.4.clean'!E:E,'2.4.clean'!A:A=C1693)),)"),"")</f>
        <v/>
      </c>
      <c r="G1693" s="59" t="str">
        <f>IFERROR(__xludf.DUMMYFUNCTION("iferror(filter('3.1.clean'!C:C,'3.1.clean'!A:A=C1693),"""")"),"")</f>
        <v/>
      </c>
      <c r="H1693" s="58"/>
      <c r="I1693" s="58" t="str">
        <f>IFERROR(__xludf.DUMMYFUNCTION("iferror(filter('3.1.clean'!G:G,'3.1.clean'!A:A=C1693),"""")"),"")</f>
        <v/>
      </c>
      <c r="J1693" s="60" t="str">
        <f>IFERROR(__xludf.DUMMYFUNCTION("iferror(filter('3.1.clean'!I:I,'3.1.clean'!A:A=C1693),"""")"),"")</f>
        <v/>
      </c>
      <c r="K1693" s="59"/>
      <c r="L1693" s="60"/>
      <c r="M1693" s="59" t="str">
        <f>IFERROR(__xludf.DUMMYFUNCTION("iferror(filter('3.3.clean'!C:C,'3.3.clean'!A:A=C1693),"""")"),"")</f>
        <v/>
      </c>
      <c r="N1693" s="60" t="b">
        <f t="shared" si="1374"/>
        <v>0</v>
      </c>
      <c r="O1693" s="59" t="str">
        <f>IFERROR(__xludf.DUMMYFUNCTION("iferror(filter('3.4.clean'!C:C,'3.4.clean'!A:A=C1693),"""")"),"")</f>
        <v/>
      </c>
      <c r="P1693" s="60" t="b">
        <f t="shared" si="1375"/>
        <v>0</v>
      </c>
      <c r="Q1693" s="59">
        <f>IFERROR(__xludf.DUMMYFUNCTION("iferror(filter('3.5.clean'!C:C,'3.5.clean'!A:A=C1693),"""")"),43879.0)</f>
        <v>43879</v>
      </c>
      <c r="R1693" s="58" t="b">
        <f t="shared" ref="R1693:R1694" si="1377">if(Q1693="",FALSE,TRUE)</f>
        <v>1</v>
      </c>
      <c r="S1693" s="4">
        <f>IFERROR(__xludf.DUMMYFUNCTION("iferror(filter('3.5.clean'!H:H,'3.5.clean'!A:A=C1693),"""")"),0.0)</f>
        <v>0</v>
      </c>
      <c r="V1693" s="52" t="s">
        <v>64</v>
      </c>
      <c r="W1693" s="23" t="b">
        <f>if(AND(R1693=TRUE,N1693=TRUE,P1693=TRUE),TRUE,FALSE)</f>
        <v>0</v>
      </c>
      <c r="X1693" s="23" t="str">
        <f>IFERROR(__xludf.DUMMYFUNCTION("if(COUNTA(FILTER(C:C, C:C = C1693))=1,""no"",""yes"")"),"no")</f>
        <v>no</v>
      </c>
    </row>
    <row r="1694">
      <c r="A1694" s="1" t="s">
        <v>1072</v>
      </c>
      <c r="B1694" s="2">
        <v>4.0</v>
      </c>
      <c r="C1694" s="19" t="s">
        <v>4101</v>
      </c>
      <c r="E1694" s="24">
        <f>IFERROR(__xludf.DUMMYFUNCTION("ifna(IFNA(filter('2.1.clean'!C:C,'2.1.clean'!A:A=C1694),filter('2.2.clean'!E:E,'2.2.clean'!D:D=C1694)),filter('2.4.clean'!C:C,'2.4.clean'!A:A=C1694))"),43879.0)</f>
        <v>43879</v>
      </c>
      <c r="F1694" s="25">
        <f>IFERROR(__xludf.DUMMYFUNCTION("iferror(ifna(IFNA(filter('2.1.clean'!E:E,'2.1.clean'!A:A=C1694),filter('2.2.clean'!G:G,'2.2.clean'!D:D=C1694)),filter('2.4.clean'!E:E,'2.4.clean'!A:A=C1694)),)"),2.39999999999999)</f>
        <v>2.4</v>
      </c>
      <c r="G1694" s="24"/>
      <c r="J1694" s="25"/>
      <c r="K1694" s="24"/>
      <c r="L1694" s="25"/>
      <c r="M1694" s="24">
        <f>IFERROR(__xludf.DUMMYFUNCTION("iferror(filter('3.3.clean'!C:C,'3.3.clean'!A:A=C1694),"""")"),43880.0)</f>
        <v>43880</v>
      </c>
      <c r="N1694" s="25" t="b">
        <f t="shared" si="1374"/>
        <v>1</v>
      </c>
      <c r="O1694" s="24">
        <f>IFERROR(__xludf.DUMMYFUNCTION("iferror(filter('3.4.clean'!C:C,'3.4.clean'!A:A=C1694),"""")"),43888.0)</f>
        <v>43888</v>
      </c>
      <c r="P1694" s="25" t="b">
        <f t="shared" si="1375"/>
        <v>1</v>
      </c>
      <c r="Q1694" s="24">
        <f>IFERROR(__xludf.DUMMYFUNCTION("iferror(filter('3.5.clean'!C:C,'3.5.clean'!A:A=C1694),"""")"),43879.0)</f>
        <v>43879</v>
      </c>
      <c r="R1694" s="23" t="b">
        <f t="shared" si="1377"/>
        <v>1</v>
      </c>
      <c r="S1694" s="25">
        <v>0.0</v>
      </c>
      <c r="V1694" s="52" t="s">
        <v>64</v>
      </c>
      <c r="W1694" s="23" t="b">
        <f>IF(and(R1694=TRUE,N1694=TRUE,P1694=TRUE),TRUE,FALSE)</f>
        <v>1</v>
      </c>
      <c r="X1694" s="23" t="str">
        <f>IFERROR(__xludf.DUMMYFUNCTION("if(COUNTA(FILTER(C:C, C:C = C1694))=1,""no"",""yes"")"),"no")</f>
        <v>no</v>
      </c>
    </row>
    <row r="1695">
      <c r="A1695" s="1" t="s">
        <v>1072</v>
      </c>
      <c r="B1695" s="2">
        <v>5.0</v>
      </c>
      <c r="C1695" s="19" t="s">
        <v>4102</v>
      </c>
      <c r="D1695" s="58" t="str">
        <f t="shared" ref="D1695:D1696" si="1378">if(or(I1695=1,J1695=1,S1695=1),"pos","")</f>
        <v/>
      </c>
      <c r="E1695" s="59">
        <f>IFERROR(__xludf.DUMMYFUNCTION("ifna(IFNA(filter('2.1.clean'!C:C,'2.1.clean'!A:A=C1695),filter('2.2.clean'!E:E,'2.2.clean'!D:D=C1695)),filter('2.4.clean'!C:C,'2.4.clean'!A:A=C1695))"),43879.0)</f>
        <v>43879</v>
      </c>
      <c r="F1695" s="60">
        <f>IFERROR(__xludf.DUMMYFUNCTION("iferror(ifna(IFNA(filter('2.1.clean'!E:E,'2.1.clean'!A:A=C1695),filter('2.2.clean'!G:G,'2.2.clean'!D:D=C1695)),filter('2.4.clean'!E:E,'2.4.clean'!A:A=C1695)),)"),2.39999999999999)</f>
        <v>2.4</v>
      </c>
      <c r="G1695" s="59">
        <f>IFERROR(__xludf.DUMMYFUNCTION("iferror(filter('3.1.clean'!C:C,'3.1.clean'!A:A=C1695),"""")"),43879.0)</f>
        <v>43879</v>
      </c>
      <c r="H1695" s="58" t="b">
        <f>if(G1695="",FALSE,TRUE)</f>
        <v>1</v>
      </c>
      <c r="I1695" s="58">
        <f>IFERROR(__xludf.DUMMYFUNCTION("iferror(filter('3.1.clean'!G:G,'3.1.clean'!A:A=C1695),"""")"),0.0)</f>
        <v>0</v>
      </c>
      <c r="J1695" s="60" t="str">
        <f>IFERROR(__xludf.DUMMYFUNCTION("iferror(filter('3.1.clean'!I:I,'3.1.clean'!A:A=C1695),"""")"),"")</f>
        <v/>
      </c>
      <c r="K1695" s="58"/>
      <c r="L1695" s="60"/>
      <c r="M1695" s="59" t="str">
        <f>IFERROR(__xludf.DUMMYFUNCTION("iferror(filter('3.3.clean'!C:C,'3.3.clean'!A:A=C1695),"""")"),"")</f>
        <v/>
      </c>
      <c r="N1695" s="60" t="b">
        <f t="shared" si="1374"/>
        <v>0</v>
      </c>
      <c r="O1695" s="59" t="str">
        <f>IFERROR(__xludf.DUMMYFUNCTION("iferror(filter('3.4.clean'!C:C,'3.4.clean'!A:A=C1695),"""")"),"")</f>
        <v/>
      </c>
      <c r="P1695" s="60" t="b">
        <f t="shared" si="1375"/>
        <v>0</v>
      </c>
      <c r="Q1695" s="59" t="str">
        <f>IFERROR(__xludf.DUMMYFUNCTION("iferror(filter('3.5.clean'!C:C,'3.5.clean'!A:A=C1695),"""")"),"")</f>
        <v/>
      </c>
      <c r="R1695" s="58"/>
      <c r="S1695" s="4" t="str">
        <f>IFERROR(__xludf.DUMMYFUNCTION("iferror(filter('3.5.clean'!H:H,'3.5.clean'!A:A=C1695),"""")"),"")</f>
        <v/>
      </c>
      <c r="W1695" s="23" t="b">
        <f>if(AND(H1695=TRUE,N1695=TRUE,P1695=TRUE),TRUE,FALSE)</f>
        <v>0</v>
      </c>
      <c r="X1695" s="23" t="str">
        <f>IFERROR(__xludf.DUMMYFUNCTION("if(COUNTA(FILTER(C:C, C:C = C1695))=1,""no"",""yes"")"),"no")</f>
        <v>no</v>
      </c>
    </row>
    <row r="1696">
      <c r="A1696" s="1" t="s">
        <v>1072</v>
      </c>
      <c r="B1696" s="2">
        <v>6.0</v>
      </c>
      <c r="C1696" s="19" t="s">
        <v>4108</v>
      </c>
      <c r="D1696" s="58" t="str">
        <f t="shared" si="1378"/>
        <v/>
      </c>
      <c r="E1696" s="59">
        <f>Q1696</f>
        <v>43879</v>
      </c>
      <c r="F1696" s="60" t="str">
        <f>IFERROR(__xludf.DUMMYFUNCTION("iferror(ifna(IFNA(filter('2.1.clean'!E:E,'2.1.clean'!A:A=C1696),filter('2.2.clean'!G:G,'2.2.clean'!D:D=C1696)),filter('2.4.clean'!E:E,'2.4.clean'!A:A=C1696)),)"),"")</f>
        <v/>
      </c>
      <c r="G1696" s="59" t="str">
        <f>IFERROR(__xludf.DUMMYFUNCTION("iferror(filter('3.1.clean'!C:C,'3.1.clean'!A:A=C1696),"""")"),"")</f>
        <v/>
      </c>
      <c r="H1696" s="58"/>
      <c r="I1696" s="58" t="str">
        <f>IFERROR(__xludf.DUMMYFUNCTION("iferror(filter('3.1.clean'!G:G,'3.1.clean'!A:A=C1696),"""")"),"")</f>
        <v/>
      </c>
      <c r="J1696" s="60" t="str">
        <f>IFERROR(__xludf.DUMMYFUNCTION("iferror(filter('3.1.clean'!I:I,'3.1.clean'!A:A=C1696),"""")"),"")</f>
        <v/>
      </c>
      <c r="K1696" s="59"/>
      <c r="L1696" s="60"/>
      <c r="M1696" s="59" t="str">
        <f>IFERROR(__xludf.DUMMYFUNCTION("iferror(filter('3.3.clean'!C:C,'3.3.clean'!A:A=C1696),"""")"),"")</f>
        <v/>
      </c>
      <c r="N1696" s="60" t="b">
        <f t="shared" si="1374"/>
        <v>0</v>
      </c>
      <c r="O1696" s="59" t="str">
        <f>IFERROR(__xludf.DUMMYFUNCTION("iferror(filter('3.4.clean'!C:C,'3.4.clean'!A:A=C1696),"""")"),"")</f>
        <v/>
      </c>
      <c r="P1696" s="60" t="b">
        <f t="shared" si="1375"/>
        <v>0</v>
      </c>
      <c r="Q1696" s="59">
        <f>IFERROR(__xludf.DUMMYFUNCTION("iferror(filter('3.5.clean'!C:C,'3.5.clean'!A:A=C1696),"""")"),43879.0)</f>
        <v>43879</v>
      </c>
      <c r="R1696" s="58" t="b">
        <f t="shared" ref="R1696:R1697" si="1379">if(Q1696="",FALSE,TRUE)</f>
        <v>1</v>
      </c>
      <c r="S1696" s="4">
        <f>IFERROR(__xludf.DUMMYFUNCTION("iferror(filter('3.5.clean'!H:H,'3.5.clean'!A:A=C1696),"""")"),0.0)</f>
        <v>0</v>
      </c>
      <c r="V1696" s="52" t="s">
        <v>64</v>
      </c>
      <c r="W1696" s="23" t="b">
        <f>if(AND(R1696=TRUE,N1696=TRUE,P1696=TRUE),TRUE,FALSE)</f>
        <v>0</v>
      </c>
      <c r="X1696" s="23" t="str">
        <f>IFERROR(__xludf.DUMMYFUNCTION("if(COUNTA(FILTER(C:C, C:C = C1696))=1,""no"",""yes"")"),"no")</f>
        <v>no</v>
      </c>
    </row>
    <row r="1697">
      <c r="A1697" s="1" t="s">
        <v>1072</v>
      </c>
      <c r="B1697" s="2">
        <v>7.0</v>
      </c>
      <c r="C1697" s="19" t="s">
        <v>4114</v>
      </c>
      <c r="E1697" s="24">
        <f>IFERROR(__xludf.DUMMYFUNCTION("ifna(IFNA(filter('2.1.clean'!C:C,'2.1.clean'!A:A=C1697),filter('2.2.clean'!E:E,'2.2.clean'!D:D=C1697)),filter('2.4.clean'!C:C,'2.4.clean'!A:A=C1697))"),43879.0)</f>
        <v>43879</v>
      </c>
      <c r="F1697" s="25">
        <f>IFERROR(__xludf.DUMMYFUNCTION("iferror(ifna(IFNA(filter('2.1.clean'!E:E,'2.1.clean'!A:A=C1697),filter('2.2.clean'!G:G,'2.2.clean'!D:D=C1697)),filter('2.4.clean'!E:E,'2.4.clean'!A:A=C1697)),)"),2.39999999999999)</f>
        <v>2.4</v>
      </c>
      <c r="G1697" s="24"/>
      <c r="J1697" s="25"/>
      <c r="K1697" s="24"/>
      <c r="L1697" s="25"/>
      <c r="M1697" s="24">
        <f>IFERROR(__xludf.DUMMYFUNCTION("iferror(filter('3.3.clean'!C:C,'3.3.clean'!A:A=C1697),"""")"),43875.0)</f>
        <v>43875</v>
      </c>
      <c r="N1697" s="25" t="b">
        <f t="shared" si="1374"/>
        <v>1</v>
      </c>
      <c r="O1697" s="24">
        <f>IFERROR(__xludf.DUMMYFUNCTION("iferror(filter('3.4.clean'!C:C,'3.4.clean'!A:A=C1697),"""")"),43888.0)</f>
        <v>43888</v>
      </c>
      <c r="P1697" s="25" t="b">
        <f t="shared" si="1375"/>
        <v>1</v>
      </c>
      <c r="Q1697" s="24">
        <f>IFERROR(__xludf.DUMMYFUNCTION("iferror(filter('3.5.clean'!C:C,'3.5.clean'!A:A=C1697),"""")"),43879.0)</f>
        <v>43879</v>
      </c>
      <c r="R1697" s="23" t="b">
        <f t="shared" si="1379"/>
        <v>1</v>
      </c>
      <c r="S1697" s="25">
        <v>0.0</v>
      </c>
      <c r="V1697" s="52" t="s">
        <v>64</v>
      </c>
      <c r="W1697" s="23" t="b">
        <f>IF(and(R1697=TRUE,N1697=TRUE,P1697=TRUE),TRUE,FALSE)</f>
        <v>1</v>
      </c>
      <c r="X1697" s="23" t="str">
        <f>IFERROR(__xludf.DUMMYFUNCTION("if(COUNTA(FILTER(C:C, C:C = C1697))=1,""no"",""yes"")"),"no")</f>
        <v>no</v>
      </c>
    </row>
    <row r="1698">
      <c r="A1698" s="1" t="s">
        <v>1072</v>
      </c>
      <c r="B1698" s="2">
        <v>8.0</v>
      </c>
      <c r="C1698" s="19" t="s">
        <v>4122</v>
      </c>
      <c r="D1698" s="58" t="str">
        <f t="shared" ref="D1698:D1699" si="1380">if(or(I1698=1,J1698=1,S1698=1),"pos","")</f>
        <v/>
      </c>
      <c r="E1698" s="59">
        <f>IFERROR(__xludf.DUMMYFUNCTION("ifna(IFNA(filter('2.1.clean'!C:C,'2.1.clean'!A:A=C1698),filter('2.2.clean'!E:E,'2.2.clean'!D:D=C1698)),filter('2.4.clean'!C:C,'2.4.clean'!A:A=C1698))"),43879.0)</f>
        <v>43879</v>
      </c>
      <c r="F1698" s="60">
        <f>IFERROR(__xludf.DUMMYFUNCTION("iferror(ifna(IFNA(filter('2.1.clean'!E:E,'2.1.clean'!A:A=C1698),filter('2.2.clean'!G:G,'2.2.clean'!D:D=C1698)),filter('2.4.clean'!E:E,'2.4.clean'!A:A=C1698)),)"),2.39999999999999)</f>
        <v>2.4</v>
      </c>
      <c r="G1698" s="59">
        <f>IFERROR(__xludf.DUMMYFUNCTION("iferror(filter('3.1.clean'!C:C,'3.1.clean'!A:A=C1698),"""")"),43879.0)</f>
        <v>43879</v>
      </c>
      <c r="H1698" s="58" t="b">
        <f>if(G1698="",FALSE,TRUE)</f>
        <v>1</v>
      </c>
      <c r="I1698" s="58">
        <f>IFERROR(__xludf.DUMMYFUNCTION("iferror(filter('3.1.clean'!G:G,'3.1.clean'!A:A=C1698),"""")"),0.0)</f>
        <v>0</v>
      </c>
      <c r="J1698" s="60" t="str">
        <f>IFERROR(__xludf.DUMMYFUNCTION("iferror(filter('3.1.clean'!I:I,'3.1.clean'!A:A=C1698),"""")"),"")</f>
        <v/>
      </c>
      <c r="K1698" s="58"/>
      <c r="L1698" s="60"/>
      <c r="M1698" s="59" t="str">
        <f>IFERROR(__xludf.DUMMYFUNCTION("iferror(filter('3.3.clean'!C:C,'3.3.clean'!A:A=C1698),"""")"),"")</f>
        <v/>
      </c>
      <c r="N1698" s="60" t="b">
        <f t="shared" si="1374"/>
        <v>0</v>
      </c>
      <c r="O1698" s="59" t="str">
        <f>IFERROR(__xludf.DUMMYFUNCTION("iferror(filter('3.4.clean'!C:C,'3.4.clean'!A:A=C1698),"""")"),"")</f>
        <v/>
      </c>
      <c r="P1698" s="60" t="b">
        <f t="shared" si="1375"/>
        <v>0</v>
      </c>
      <c r="Q1698" s="59" t="str">
        <f>IFERROR(__xludf.DUMMYFUNCTION("iferror(filter('3.5.clean'!C:C,'3.5.clean'!A:A=C1698),"""")"),"")</f>
        <v/>
      </c>
      <c r="R1698" s="58"/>
      <c r="S1698" s="4" t="str">
        <f>IFERROR(__xludf.DUMMYFUNCTION("iferror(filter('3.5.clean'!H:H,'3.5.clean'!A:A=C1698),"""")"),"")</f>
        <v/>
      </c>
      <c r="W1698" s="23" t="b">
        <f>if(AND(H1698=TRUE,N1698=TRUE,P1698=TRUE),TRUE,FALSE)</f>
        <v>0</v>
      </c>
      <c r="X1698" s="23" t="str">
        <f>IFERROR(__xludf.DUMMYFUNCTION("if(COUNTA(FILTER(C:C, C:C = C1698))=1,""no"",""yes"")"),"no")</f>
        <v>no</v>
      </c>
    </row>
    <row r="1699">
      <c r="A1699" s="1" t="s">
        <v>1072</v>
      </c>
      <c r="B1699" s="2">
        <v>9.0</v>
      </c>
      <c r="C1699" s="40" t="s">
        <v>4128</v>
      </c>
      <c r="D1699" s="58" t="str">
        <f t="shared" si="1380"/>
        <v/>
      </c>
      <c r="E1699" s="59">
        <f>Q1699</f>
        <v>43879</v>
      </c>
      <c r="F1699" s="60" t="str">
        <f>IFERROR(__xludf.DUMMYFUNCTION("iferror(ifna(IFNA(filter('2.1.clean'!E:E,'2.1.clean'!A:A=C1699),filter('2.2.clean'!G:G,'2.2.clean'!D:D=C1699)),filter('2.4.clean'!E:E,'2.4.clean'!A:A=C1699)),)"),"")</f>
        <v/>
      </c>
      <c r="G1699" s="59" t="str">
        <f>IFERROR(__xludf.DUMMYFUNCTION("iferror(filter('3.1.clean'!C:C,'3.1.clean'!A:A=C1699),"""")"),"")</f>
        <v/>
      </c>
      <c r="H1699" s="58"/>
      <c r="I1699" s="58" t="str">
        <f>IFERROR(__xludf.DUMMYFUNCTION("iferror(filter('3.1.clean'!G:G,'3.1.clean'!A:A=C1699),"""")"),"")</f>
        <v/>
      </c>
      <c r="J1699" s="60" t="str">
        <f>IFERROR(__xludf.DUMMYFUNCTION("iferror(filter('3.1.clean'!I:I,'3.1.clean'!A:A=C1699),"""")"),"")</f>
        <v/>
      </c>
      <c r="K1699" s="59"/>
      <c r="L1699" s="60"/>
      <c r="M1699" s="59" t="str">
        <f>IFERROR(__xludf.DUMMYFUNCTION("iferror(filter('3.3.clean'!C:C,'3.3.clean'!A:A=C1699),"""")"),"")</f>
        <v/>
      </c>
      <c r="N1699" s="60" t="b">
        <f t="shared" si="1374"/>
        <v>0</v>
      </c>
      <c r="O1699" s="59" t="str">
        <f>IFERROR(__xludf.DUMMYFUNCTION("iferror(filter('3.4.clean'!C:C,'3.4.clean'!A:A=C1699),"""")"),"")</f>
        <v/>
      </c>
      <c r="P1699" s="60" t="b">
        <f t="shared" si="1375"/>
        <v>0</v>
      </c>
      <c r="Q1699" s="59">
        <f>IFERROR(__xludf.DUMMYFUNCTION("iferror(filter('3.5.clean'!C:C,'3.5.clean'!A:A=C1699),"""")"),43879.0)</f>
        <v>43879</v>
      </c>
      <c r="R1699" s="58" t="b">
        <f t="shared" ref="R1699:R1700" si="1381">if(Q1699="",FALSE,TRUE)</f>
        <v>1</v>
      </c>
      <c r="S1699" s="4">
        <f>IFERROR(__xludf.DUMMYFUNCTION("iferror(filter('3.5.clean'!H:H,'3.5.clean'!A:A=C1699),"""")"),0.0)</f>
        <v>0</v>
      </c>
      <c r="V1699" s="52" t="s">
        <v>64</v>
      </c>
      <c r="W1699" s="23" t="b">
        <f>if(AND(R1699=TRUE,N1699=TRUE,P1699=TRUE),TRUE,FALSE)</f>
        <v>0</v>
      </c>
      <c r="X1699" s="23" t="str">
        <f>IFERROR(__xludf.DUMMYFUNCTION("if(COUNTA(FILTER(C:C, C:C = C1699))=1,""no"",""yes"")"),"no")</f>
        <v>no</v>
      </c>
    </row>
    <row r="1700">
      <c r="A1700" s="1" t="s">
        <v>1072</v>
      </c>
      <c r="B1700" s="2">
        <v>10.0</v>
      </c>
      <c r="C1700" s="19" t="s">
        <v>4130</v>
      </c>
      <c r="E1700" s="24">
        <f>IFERROR(__xludf.DUMMYFUNCTION("ifna(IFNA(filter('2.1.clean'!C:C,'2.1.clean'!A:A=C1700),filter('2.2.clean'!E:E,'2.2.clean'!D:D=C1700)),filter('2.4.clean'!C:C,'2.4.clean'!A:A=C1700))"),43879.0)</f>
        <v>43879</v>
      </c>
      <c r="F1700" s="25">
        <f>IFERROR(__xludf.DUMMYFUNCTION("iferror(ifna(IFNA(filter('2.1.clean'!E:E,'2.1.clean'!A:A=C1700),filter('2.2.clean'!G:G,'2.2.clean'!D:D=C1700)),filter('2.4.clean'!E:E,'2.4.clean'!A:A=C1700)),)"),2.39999999999999)</f>
        <v>2.4</v>
      </c>
      <c r="G1700" s="24"/>
      <c r="J1700" s="25"/>
      <c r="K1700" s="24"/>
      <c r="L1700" s="25"/>
      <c r="M1700" s="24">
        <f>IFERROR(__xludf.DUMMYFUNCTION("iferror(filter('3.3.clean'!C:C,'3.3.clean'!A:A=C1700),"""")"),43880.0)</f>
        <v>43880</v>
      </c>
      <c r="N1700" s="25" t="b">
        <f t="shared" si="1374"/>
        <v>1</v>
      </c>
      <c r="O1700" s="24">
        <f>IFERROR(__xludf.DUMMYFUNCTION("iferror(filter('3.4.clean'!C:C,'3.4.clean'!A:A=C1700),"""")"),43888.0)</f>
        <v>43888</v>
      </c>
      <c r="P1700" s="25" t="b">
        <f t="shared" si="1375"/>
        <v>1</v>
      </c>
      <c r="Q1700" s="24">
        <f>IFERROR(__xludf.DUMMYFUNCTION("iferror(filter('3.5.clean'!C:C,'3.5.clean'!A:A=C1700),"""")"),43879.0)</f>
        <v>43879</v>
      </c>
      <c r="R1700" s="23" t="b">
        <f t="shared" si="1381"/>
        <v>1</v>
      </c>
      <c r="S1700" s="25">
        <v>0.0</v>
      </c>
      <c r="V1700" s="52" t="s">
        <v>64</v>
      </c>
      <c r="W1700" s="23" t="b">
        <f>IF(and(R1700=TRUE,N1700=TRUE,P1700=TRUE),TRUE,FALSE)</f>
        <v>1</v>
      </c>
      <c r="X1700" s="23" t="str">
        <f>IFERROR(__xludf.DUMMYFUNCTION("if(COUNTA(FILTER(C:C, C:C = C1700))=1,""no"",""yes"")"),"no")</f>
        <v>no</v>
      </c>
    </row>
    <row r="1701">
      <c r="A1701" s="1" t="s">
        <v>1072</v>
      </c>
      <c r="B1701" s="2">
        <v>11.0</v>
      </c>
      <c r="C1701" s="19" t="s">
        <v>4137</v>
      </c>
      <c r="D1701" s="58" t="str">
        <f t="shared" ref="D1701:D1702" si="1382">if(or(I1701=1,J1701=1,S1701=1),"pos","")</f>
        <v/>
      </c>
      <c r="E1701" s="59">
        <f>IFERROR(__xludf.DUMMYFUNCTION("ifna(IFNA(filter('2.1.clean'!C:C,'2.1.clean'!A:A=C1701),filter('2.2.clean'!E:E,'2.2.clean'!D:D=C1701)),filter('2.4.clean'!C:C,'2.4.clean'!A:A=C1701))"),43879.0)</f>
        <v>43879</v>
      </c>
      <c r="F1701" s="60">
        <f>IFERROR(__xludf.DUMMYFUNCTION("iferror(ifna(IFNA(filter('2.1.clean'!E:E,'2.1.clean'!A:A=C1701),filter('2.2.clean'!G:G,'2.2.clean'!D:D=C1701)),filter('2.4.clean'!E:E,'2.4.clean'!A:A=C1701)),)"),2.39999999999999)</f>
        <v>2.4</v>
      </c>
      <c r="G1701" s="59">
        <f>IFERROR(__xludf.DUMMYFUNCTION("iferror(filter('3.1.clean'!C:C,'3.1.clean'!A:A=C1701),"""")"),43879.0)</f>
        <v>43879</v>
      </c>
      <c r="H1701" s="58" t="b">
        <f>if(G1701="",FALSE,TRUE)</f>
        <v>1</v>
      </c>
      <c r="I1701" s="58">
        <f>IFERROR(__xludf.DUMMYFUNCTION("iferror(filter('3.1.clean'!G:G,'3.1.clean'!A:A=C1701),"""")"),0.0)</f>
        <v>0</v>
      </c>
      <c r="J1701" s="60" t="str">
        <f>IFERROR(__xludf.DUMMYFUNCTION("iferror(filter('3.1.clean'!I:I,'3.1.clean'!A:A=C1701),"""")"),"")</f>
        <v/>
      </c>
      <c r="K1701" s="58"/>
      <c r="L1701" s="60"/>
      <c r="M1701" s="59">
        <f>IFERROR(__xludf.DUMMYFUNCTION("iferror(filter('3.3.clean'!C:C,'3.3.clean'!A:A=C1701),"""")"),43880.0)</f>
        <v>43880</v>
      </c>
      <c r="N1701" s="60" t="b">
        <f t="shared" si="1374"/>
        <v>1</v>
      </c>
      <c r="O1701" s="59">
        <f>IFERROR(__xludf.DUMMYFUNCTION("iferror(filter('3.4.clean'!C:C,'3.4.clean'!A:A=C1701),"""")"),43888.0)</f>
        <v>43888</v>
      </c>
      <c r="P1701" s="60" t="b">
        <f t="shared" si="1375"/>
        <v>1</v>
      </c>
      <c r="Q1701" s="59" t="str">
        <f>IFERROR(__xludf.DUMMYFUNCTION("iferror(filter('3.5.clean'!C:C,'3.5.clean'!A:A=C1701),"""")"),"")</f>
        <v/>
      </c>
      <c r="R1701" s="58"/>
      <c r="S1701" s="4" t="str">
        <f>IFERROR(__xludf.DUMMYFUNCTION("iferror(filter('3.5.clean'!H:H,'3.5.clean'!A:A=C1701),"""")"),"")</f>
        <v/>
      </c>
      <c r="W1701" s="23" t="b">
        <f>if(AND(H1701=TRUE,N1701=TRUE,P1701=TRUE),TRUE,FALSE)</f>
        <v>1</v>
      </c>
      <c r="X1701" s="23" t="str">
        <f>IFERROR(__xludf.DUMMYFUNCTION("if(COUNTA(FILTER(C:C, C:C = C1701))=1,""no"",""yes"")"),"no")</f>
        <v>no</v>
      </c>
    </row>
    <row r="1702">
      <c r="A1702" s="1" t="s">
        <v>1072</v>
      </c>
      <c r="B1702" s="2">
        <v>12.0</v>
      </c>
      <c r="C1702" s="40" t="s">
        <v>4144</v>
      </c>
      <c r="D1702" s="58" t="str">
        <f t="shared" si="1382"/>
        <v/>
      </c>
      <c r="E1702" s="59">
        <f>Q1702</f>
        <v>43879</v>
      </c>
      <c r="F1702" s="60" t="str">
        <f>IFERROR(__xludf.DUMMYFUNCTION("iferror(ifna(IFNA(filter('2.1.clean'!E:E,'2.1.clean'!A:A=C1702),filter('2.2.clean'!G:G,'2.2.clean'!D:D=C1702)),filter('2.4.clean'!E:E,'2.4.clean'!A:A=C1702)),)"),"")</f>
        <v/>
      </c>
      <c r="G1702" s="59" t="str">
        <f>IFERROR(__xludf.DUMMYFUNCTION("iferror(filter('3.1.clean'!C:C,'3.1.clean'!A:A=C1702),"""")"),"")</f>
        <v/>
      </c>
      <c r="H1702" s="58"/>
      <c r="I1702" s="58" t="str">
        <f>IFERROR(__xludf.DUMMYFUNCTION("iferror(filter('3.1.clean'!G:G,'3.1.clean'!A:A=C1702),"""")"),"")</f>
        <v/>
      </c>
      <c r="J1702" s="60" t="str">
        <f>IFERROR(__xludf.DUMMYFUNCTION("iferror(filter('3.1.clean'!I:I,'3.1.clean'!A:A=C1702),"""")"),"")</f>
        <v/>
      </c>
      <c r="K1702" s="59"/>
      <c r="L1702" s="60"/>
      <c r="M1702" s="59" t="str">
        <f>IFERROR(__xludf.DUMMYFUNCTION("iferror(filter('3.3.clean'!C:C,'3.3.clean'!A:A=C1702),"""")"),"")</f>
        <v/>
      </c>
      <c r="N1702" s="60" t="b">
        <f t="shared" si="1374"/>
        <v>0</v>
      </c>
      <c r="O1702" s="59" t="str">
        <f>IFERROR(__xludf.DUMMYFUNCTION("iferror(filter('3.4.clean'!C:C,'3.4.clean'!A:A=C1702),"""")"),"")</f>
        <v/>
      </c>
      <c r="P1702" s="60" t="b">
        <f t="shared" si="1375"/>
        <v>0</v>
      </c>
      <c r="Q1702" s="59">
        <f>IFERROR(__xludf.DUMMYFUNCTION("iferror(filter('3.5.clean'!C:C,'3.5.clean'!A:A=C1702),"""")"),43879.0)</f>
        <v>43879</v>
      </c>
      <c r="R1702" s="58" t="b">
        <f>if(Q1702="",FALSE,TRUE)</f>
        <v>1</v>
      </c>
      <c r="S1702" s="4">
        <f>IFERROR(__xludf.DUMMYFUNCTION("iferror(filter('3.5.clean'!H:H,'3.5.clean'!A:A=C1702),"""")"),0.0)</f>
        <v>0</v>
      </c>
      <c r="V1702" s="52" t="s">
        <v>64</v>
      </c>
      <c r="W1702" s="23" t="b">
        <f>if(AND(R1702=TRUE,N1702=TRUE,P1702=TRUE),TRUE,FALSE)</f>
        <v>0</v>
      </c>
      <c r="X1702" s="23" t="str">
        <f>IFERROR(__xludf.DUMMYFUNCTION("if(COUNTA(FILTER(C:C, C:C = C1702))=1,""no"",""yes"")"),"no")</f>
        <v>no</v>
      </c>
    </row>
    <row r="1703">
      <c r="A1703" s="1" t="s">
        <v>1072</v>
      </c>
      <c r="B1703" s="2">
        <v>13.0</v>
      </c>
      <c r="C1703" s="19" t="s">
        <v>3362</v>
      </c>
      <c r="D1703" s="42"/>
      <c r="E1703" s="24">
        <f>IFERROR(__xludf.DUMMYFUNCTION("ifna(IFNA(filter('2.1.clean'!C:C,'2.1.clean'!A:A=C1703),filter('2.2.clean'!E:E,'2.2.clean'!D:D=C1703)),filter('2.4.clean'!C:C,'2.4.clean'!A:A=C1703))"),43879.0)</f>
        <v>43879</v>
      </c>
      <c r="F1703" s="44">
        <f>IFERROR(__xludf.DUMMYFUNCTION("iferror(ifna(IFNA(filter('2.1.clean'!E:E,'2.1.clean'!A:A=C1703),filter('2.2.clean'!G:G,'2.2.clean'!D:D=C1703)),filter('2.4.clean'!E:E,'2.4.clean'!A:A=C1703)),)"),2.1)</f>
        <v>2.1</v>
      </c>
      <c r="G1703" s="24">
        <f>IFERROR(__xludf.DUMMYFUNCTION("iferror(filter('3.1.clean'!C:C,'3.1.clean'!A:A=C1703),"""")"),43879.0)</f>
        <v>43879</v>
      </c>
      <c r="H1703" s="54" t="b">
        <f t="shared" ref="H1703:H1708" si="1383">if(G1703="",FALSE,TRUE)</f>
        <v>1</v>
      </c>
      <c r="I1703" s="39"/>
      <c r="J1703" s="45"/>
      <c r="K1703" s="43">
        <f>IFERROR(__xludf.DUMMYFUNCTION("iferror(filter('3.2.clean'!C:C,'3.2.clean'!A:A=C1703),"""")"),43879.0)</f>
        <v>43879</v>
      </c>
      <c r="L1703" s="25" t="b">
        <f>if(K1703="",FALSE,TRUE)</f>
        <v>1</v>
      </c>
      <c r="M1703" s="24">
        <f>IFERROR(__xludf.DUMMYFUNCTION("iferror(filter('3.3.clean'!C:C,'3.3.clean'!A:A=C1703),"""")"),43880.0)</f>
        <v>43880</v>
      </c>
      <c r="N1703" s="25" t="b">
        <f t="shared" si="1374"/>
        <v>1</v>
      </c>
      <c r="O1703" s="24">
        <f>IFERROR(__xludf.DUMMYFUNCTION("iferror(filter('3.4.clean'!C:C,'3.4.clean'!A:A=C1703),"""")"),43883.0)</f>
        <v>43883</v>
      </c>
      <c r="P1703" s="25" t="b">
        <f t="shared" si="1375"/>
        <v>1</v>
      </c>
      <c r="Q1703" s="42"/>
      <c r="R1703" s="39"/>
      <c r="S1703" s="45"/>
      <c r="T1703" s="39"/>
      <c r="U1703" s="39"/>
      <c r="V1703" s="46" t="s">
        <v>83</v>
      </c>
      <c r="W1703" s="54" t="b">
        <f>IF(and(H1703=TRUE,L1703=TRUE,N1703=TRUE,P1703=TRUE),TRUE,FALSE)</f>
        <v>1</v>
      </c>
      <c r="X1703" s="39" t="str">
        <f>IFERROR(__xludf.DUMMYFUNCTION("if(COUNTA(FILTER(C:C, C:C = C1703))=1,""no"",""yes"")"),"no")</f>
        <v>no</v>
      </c>
    </row>
    <row r="1704">
      <c r="A1704" s="1" t="s">
        <v>1072</v>
      </c>
      <c r="B1704" s="2">
        <v>14.0</v>
      </c>
      <c r="C1704" s="19" t="s">
        <v>3370</v>
      </c>
      <c r="D1704" s="58" t="str">
        <f>if(or(I1704=1,J1704=1,S1704=1),"pos","")</f>
        <v/>
      </c>
      <c r="E1704" s="59">
        <f>IFERROR(__xludf.DUMMYFUNCTION("ifna(IFNA(filter('2.1.clean'!C:C,'2.1.clean'!A:A=C1704),filter('2.2.clean'!E:E,'2.2.clean'!D:D=C1704)),filter('2.4.clean'!C:C,'2.4.clean'!A:A=C1704))"),43879.0)</f>
        <v>43879</v>
      </c>
      <c r="F1704" s="60">
        <f>IFERROR(__xludf.DUMMYFUNCTION("iferror(ifna(IFNA(filter('2.1.clean'!E:E,'2.1.clean'!A:A=C1704),filter('2.2.clean'!G:G,'2.2.clean'!D:D=C1704)),filter('2.4.clean'!E:E,'2.4.clean'!A:A=C1704)),)"),2.1)</f>
        <v>2.1</v>
      </c>
      <c r="G1704" s="59">
        <f>IFERROR(__xludf.DUMMYFUNCTION("iferror(filter('3.1.clean'!C:C,'3.1.clean'!A:A=C1704),"""")"),43879.0)</f>
        <v>43879</v>
      </c>
      <c r="H1704" s="58" t="b">
        <f t="shared" si="1383"/>
        <v>1</v>
      </c>
      <c r="I1704" s="58">
        <f>IFERROR(__xludf.DUMMYFUNCTION("iferror(filter('3.1.clean'!G:G,'3.1.clean'!A:A=C1704),"""")"),0.0)</f>
        <v>0</v>
      </c>
      <c r="J1704" s="60" t="str">
        <f>IFERROR(__xludf.DUMMYFUNCTION("iferror(filter('3.1.clean'!I:I,'3.1.clean'!A:A=C1704),"""")"),"")</f>
        <v/>
      </c>
      <c r="K1704" s="58"/>
      <c r="L1704" s="60"/>
      <c r="M1704" s="59" t="str">
        <f>IFERROR(__xludf.DUMMYFUNCTION("iferror(filter('3.3.clean'!C:C,'3.3.clean'!A:A=C1704),"""")"),"")</f>
        <v/>
      </c>
      <c r="N1704" s="60" t="b">
        <f t="shared" si="1374"/>
        <v>0</v>
      </c>
      <c r="O1704" s="59" t="str">
        <f>IFERROR(__xludf.DUMMYFUNCTION("iferror(filter('3.4.clean'!C:C,'3.4.clean'!A:A=C1704),"""")"),"")</f>
        <v/>
      </c>
      <c r="P1704" s="60" t="b">
        <f t="shared" si="1375"/>
        <v>0</v>
      </c>
      <c r="Q1704" s="59" t="str">
        <f>IFERROR(__xludf.DUMMYFUNCTION("iferror(filter('3.5.clean'!C:C,'3.5.clean'!A:A=C1704),"""")"),"")</f>
        <v/>
      </c>
      <c r="R1704" s="58"/>
      <c r="S1704" s="4" t="str">
        <f>IFERROR(__xludf.DUMMYFUNCTION("iferror(filter('3.5.clean'!H:H,'3.5.clean'!A:A=C1704),"""")"),"")</f>
        <v/>
      </c>
      <c r="W1704" s="23" t="b">
        <f>if(AND(H1704=TRUE,N1704=TRUE,P1704=TRUE),TRUE,FALSE)</f>
        <v>0</v>
      </c>
      <c r="X1704" s="23" t="str">
        <f>IFERROR(__xludf.DUMMYFUNCTION("if(COUNTA(FILTER(C:C, C:C = C1704))=1,""no"",""yes"")"),"no")</f>
        <v>no</v>
      </c>
    </row>
    <row r="1705">
      <c r="A1705" s="1" t="s">
        <v>1072</v>
      </c>
      <c r="B1705" s="2">
        <v>16.0</v>
      </c>
      <c r="C1705" s="19" t="s">
        <v>2384</v>
      </c>
      <c r="D1705" s="42"/>
      <c r="E1705" s="43">
        <f>IFERROR(__xludf.DUMMYFUNCTION("ifna(IFNA(filter('2.1.clean'!C:C,'2.1.clean'!A:A=C1705),filter('2.2.clean'!E:E,'2.2.clean'!D:D=C1705)),filter('2.4.clean'!C:C,'2.4.clean'!A:A=C1705))"),43879.0)</f>
        <v>43879</v>
      </c>
      <c r="F1705" s="44">
        <f>IFERROR(__xludf.DUMMYFUNCTION("iferror(ifna(IFNA(filter('2.1.clean'!E:E,'2.1.clean'!A:A=C1705),filter('2.2.clean'!G:G,'2.2.clean'!D:D=C1705)),filter('2.4.clean'!E:E,'2.4.clean'!A:A=C1705)),)"),2.1)</f>
        <v>2.1</v>
      </c>
      <c r="G1705" s="24">
        <f>IFERROR(__xludf.DUMMYFUNCTION("iferror(filter('3.1.clean'!C:C,'3.1.clean'!A:A=C1705),"""")"),43879.0)</f>
        <v>43879</v>
      </c>
      <c r="H1705" s="23" t="b">
        <f t="shared" si="1383"/>
        <v>1</v>
      </c>
      <c r="I1705" s="39"/>
      <c r="J1705" s="45"/>
      <c r="K1705" s="42">
        <f>IFERROR(__xludf.DUMMYFUNCTION("iferror(filter('3.2.clean'!C:C,'3.2.clean'!A:A=C1705),"""")"),43879.0)</f>
        <v>43879</v>
      </c>
      <c r="L1705" s="25" t="b">
        <f>if(K1705="",FALSE,TRUE)</f>
        <v>1</v>
      </c>
      <c r="M1705" s="43">
        <f>IFERROR(__xludf.DUMMYFUNCTION("iferror(filter('3.3.clean'!C:C,'3.3.clean'!A:A=C1705),"""")"),43880.0)</f>
        <v>43880</v>
      </c>
      <c r="N1705" s="25" t="b">
        <f t="shared" si="1374"/>
        <v>1</v>
      </c>
      <c r="O1705" s="43">
        <f>IFERROR(__xludf.DUMMYFUNCTION("iferror(filter('3.4.clean'!C:C,'3.4.clean'!A:A=C1705),"""")"),43883.0)</f>
        <v>43883</v>
      </c>
      <c r="P1705" s="25" t="b">
        <f t="shared" si="1375"/>
        <v>1</v>
      </c>
      <c r="Q1705" s="42"/>
      <c r="R1705" s="39"/>
      <c r="S1705" s="45"/>
      <c r="T1705" s="39"/>
      <c r="U1705" s="46" t="s">
        <v>382</v>
      </c>
      <c r="V1705" s="46" t="s">
        <v>83</v>
      </c>
      <c r="W1705" s="23" t="b">
        <f>IF(and(H1705=TRUE,L1705=TRUE,N1705=TRUE,P1705=TRUE),TRUE,FALSE)</f>
        <v>1</v>
      </c>
      <c r="X1705" s="39" t="str">
        <f>IFERROR(__xludf.DUMMYFUNCTION("if(COUNTA(FILTER(C:C, C:C = C1705))=1,""no"",""yes"")"),"no")</f>
        <v>no</v>
      </c>
    </row>
    <row r="1706">
      <c r="A1706" s="1" t="s">
        <v>1072</v>
      </c>
      <c r="B1706" s="2">
        <v>17.0</v>
      </c>
      <c r="C1706" s="19" t="s">
        <v>3385</v>
      </c>
      <c r="D1706" s="58" t="str">
        <f>if(or(I1706=1,J1706=1,S1706=1),"pos","")</f>
        <v/>
      </c>
      <c r="E1706" s="59">
        <f>IFERROR(__xludf.DUMMYFUNCTION("ifna(IFNA(filter('2.1.clean'!C:C,'2.1.clean'!A:A=C1706),filter('2.2.clean'!E:E,'2.2.clean'!D:D=C1706)),filter('2.4.clean'!C:C,'2.4.clean'!A:A=C1706))"),43879.0)</f>
        <v>43879</v>
      </c>
      <c r="F1706" s="60">
        <f>IFERROR(__xludf.DUMMYFUNCTION("iferror(ifna(IFNA(filter('2.1.clean'!E:E,'2.1.clean'!A:A=C1706),filter('2.2.clean'!G:G,'2.2.clean'!D:D=C1706)),filter('2.4.clean'!E:E,'2.4.clean'!A:A=C1706)),)"),2.1)</f>
        <v>2.1</v>
      </c>
      <c r="G1706" s="59">
        <f>IFERROR(__xludf.DUMMYFUNCTION("iferror(filter('3.1.clean'!C:C,'3.1.clean'!A:A=C1706),"""")"),43879.0)</f>
        <v>43879</v>
      </c>
      <c r="H1706" s="58" t="b">
        <f t="shared" si="1383"/>
        <v>1</v>
      </c>
      <c r="I1706" s="58">
        <f>IFERROR(__xludf.DUMMYFUNCTION("iferror(filter('3.1.clean'!G:G,'3.1.clean'!A:A=C1706),"""")"),0.0)</f>
        <v>0</v>
      </c>
      <c r="J1706" s="60" t="str">
        <f>IFERROR(__xludf.DUMMYFUNCTION("iferror(filter('3.1.clean'!I:I,'3.1.clean'!A:A=C1706),"""")"),"")</f>
        <v/>
      </c>
      <c r="K1706" s="58"/>
      <c r="L1706" s="60"/>
      <c r="M1706" s="59" t="str">
        <f>IFERROR(__xludf.DUMMYFUNCTION("iferror(filter('3.3.clean'!C:C,'3.3.clean'!A:A=C1706),"""")"),"")</f>
        <v/>
      </c>
      <c r="N1706" s="60" t="b">
        <f t="shared" si="1374"/>
        <v>0</v>
      </c>
      <c r="O1706" s="59" t="str">
        <f>IFERROR(__xludf.DUMMYFUNCTION("iferror(filter('3.4.clean'!C:C,'3.4.clean'!A:A=C1706),"""")"),"")</f>
        <v/>
      </c>
      <c r="P1706" s="60" t="b">
        <f t="shared" si="1375"/>
        <v>0</v>
      </c>
      <c r="Q1706" s="59" t="str">
        <f>IFERROR(__xludf.DUMMYFUNCTION("iferror(filter('3.5.clean'!C:C,'3.5.clean'!A:A=C1706),"""")"),"")</f>
        <v/>
      </c>
      <c r="R1706" s="58"/>
      <c r="S1706" s="4" t="str">
        <f>IFERROR(__xludf.DUMMYFUNCTION("iferror(filter('3.5.clean'!H:H,'3.5.clean'!A:A=C1706),"""")"),"")</f>
        <v/>
      </c>
      <c r="W1706" s="23" t="b">
        <f>if(AND(H1706=TRUE,N1706=TRUE,P1706=TRUE),TRUE,FALSE)</f>
        <v>0</v>
      </c>
      <c r="X1706" s="23" t="str">
        <f>IFERROR(__xludf.DUMMYFUNCTION("if(COUNTA(FILTER(C:C, C:C = C1706))=1,""no"",""yes"")"),"no")</f>
        <v>no</v>
      </c>
    </row>
    <row r="1707">
      <c r="A1707" s="1" t="s">
        <v>1072</v>
      </c>
      <c r="B1707" s="19">
        <v>18.0</v>
      </c>
      <c r="C1707" s="19" t="s">
        <v>4168</v>
      </c>
      <c r="D1707" s="39"/>
      <c r="E1707" s="24">
        <f>IFERROR(__xludf.DUMMYFUNCTION("ifna(IFNA(filter('2.1.clean'!C:C,'2.1.clean'!A:A=C1707),filter('2.2.clean'!E:E,'2.2.clean'!D:D=C1707)),filter('2.4.clean'!C:C,'2.4.clean'!A:A=C1707))"),43879.0)</f>
        <v>43879</v>
      </c>
      <c r="F1707" s="25">
        <f>IFERROR(__xludf.DUMMYFUNCTION("iferror(ifna(IFNA(filter('2.1.clean'!E:E,'2.1.clean'!A:A=C1707),filter('2.2.clean'!G:G,'2.2.clean'!D:D=C1707)),filter('2.4.clean'!E:E,'2.4.clean'!A:A=C1707)),)"),2.39999999999999)</f>
        <v>2.4</v>
      </c>
      <c r="G1707" s="24">
        <f>IFERROR(__xludf.DUMMYFUNCTION("iferror(filter('3.1.clean'!C:C,'3.1.clean'!A:A=C1707),"""")"),43879.0)</f>
        <v>43879</v>
      </c>
      <c r="H1707" s="23" t="b">
        <f t="shared" si="1383"/>
        <v>1</v>
      </c>
      <c r="J1707" s="25"/>
      <c r="K1707" s="43">
        <f>IFERROR(__xludf.DUMMYFUNCTION("iferror(filter('3.2.clean'!C:C,'3.2.clean'!A:A=C1707),"""")"),43879.0)</f>
        <v>43879</v>
      </c>
      <c r="L1707" s="25" t="b">
        <f>if(K1707="",FALSE,TRUE)</f>
        <v>1</v>
      </c>
      <c r="M1707" s="24">
        <f>IFERROR(__xludf.DUMMYFUNCTION("iferror(filter('3.3.clean'!C:C,'3.3.clean'!A:A=C1707),"""")"),43880.0)</f>
        <v>43880</v>
      </c>
      <c r="N1707" s="25" t="b">
        <f t="shared" si="1374"/>
        <v>1</v>
      </c>
      <c r="O1707" s="24">
        <f>IFERROR(__xludf.DUMMYFUNCTION("iferror(filter('3.4.clean'!C:C,'3.4.clean'!A:A=C1707),"""")"),43888.0)</f>
        <v>43888</v>
      </c>
      <c r="P1707" s="25" t="b">
        <f t="shared" si="1375"/>
        <v>1</v>
      </c>
      <c r="Q1707" s="24" t="str">
        <f>IFERROR(__xludf.DUMMYFUNCTION("iferror(filter('3.5.clean'!C:C,'3.5.clean'!A:A=C1707),"""")"),"")</f>
        <v/>
      </c>
      <c r="R1707" s="23" t="b">
        <f>if(Q1707="",FALSE,TRUE)</f>
        <v>0</v>
      </c>
      <c r="S1707" s="25"/>
      <c r="T1707" s="48"/>
      <c r="U1707" s="23"/>
      <c r="V1707" s="1" t="s">
        <v>64</v>
      </c>
      <c r="X1707" s="23" t="str">
        <f>IFERROR(__xludf.DUMMYFUNCTION("if(COUNTA(FILTER(C:C, C:C = C1707))=1,""no"",""yes"")"),"no")</f>
        <v>no</v>
      </c>
    </row>
    <row r="1708">
      <c r="A1708" s="1" t="s">
        <v>1072</v>
      </c>
      <c r="B1708" s="2">
        <v>19.0</v>
      </c>
      <c r="C1708" s="19" t="s">
        <v>4173</v>
      </c>
      <c r="D1708" s="76" t="str">
        <f t="shared" ref="D1708:D1709" si="1384">if(or(I1708=1,J1708=1,S1708=1),"pos","")</f>
        <v/>
      </c>
      <c r="E1708" s="77">
        <f>G1708</f>
        <v>43879</v>
      </c>
      <c r="F1708" s="78" t="str">
        <f>IFERROR(__xludf.DUMMYFUNCTION("iferror(ifna(IFNA(filter('2.1.clean'!E:E,'2.1.clean'!A:A=C1708),filter('2.2.clean'!G:G,'2.2.clean'!D:D=C1708)),filter('2.4.clean'!E:E,'2.4.clean'!A:A=C1708)),)"),"")</f>
        <v/>
      </c>
      <c r="G1708" s="77">
        <f>IFERROR(__xludf.DUMMYFUNCTION("iferror(filter('3.1.clean'!C:C,'3.1.clean'!A:A=C1708),"""")"),43879.0)</f>
        <v>43879</v>
      </c>
      <c r="H1708" s="76" t="b">
        <f t="shared" si="1383"/>
        <v>1</v>
      </c>
      <c r="I1708" s="76">
        <f>IFERROR(__xludf.DUMMYFUNCTION("iferror(filter('3.1.clean'!G:G,'3.1.clean'!A:A=C1708),"""")"),0.0)</f>
        <v>0</v>
      </c>
      <c r="J1708" s="78" t="str">
        <f>IFERROR(__xludf.DUMMYFUNCTION("iferror(filter('3.1.clean'!I:I,'3.1.clean'!A:A=C1708),"""")"),"")</f>
        <v/>
      </c>
      <c r="K1708" s="77"/>
      <c r="L1708" s="78"/>
      <c r="M1708" s="77"/>
      <c r="N1708" s="78"/>
      <c r="O1708" s="77"/>
      <c r="P1708" s="78"/>
      <c r="Q1708" s="77"/>
      <c r="R1708" s="76"/>
      <c r="S1708" s="25"/>
      <c r="V1708" s="1" t="s">
        <v>64</v>
      </c>
      <c r="W1708" s="1" t="b">
        <v>1</v>
      </c>
      <c r="X1708" s="23" t="str">
        <f>IFERROR(__xludf.DUMMYFUNCTION("if(COUNTA(FILTER(C:C, C:C = C1708))=1,""no"",""yes"")"),"no")</f>
        <v>no</v>
      </c>
    </row>
    <row r="1709">
      <c r="A1709" s="1" t="s">
        <v>1072</v>
      </c>
      <c r="B1709" s="2">
        <v>20.0</v>
      </c>
      <c r="C1709" s="40" t="s">
        <v>4178</v>
      </c>
      <c r="D1709" s="22" t="str">
        <f t="shared" si="1384"/>
        <v/>
      </c>
      <c r="E1709" s="20">
        <f>Q1709</f>
        <v>43879</v>
      </c>
      <c r="F1709" s="79" t="str">
        <f>IFERROR(__xludf.DUMMYFUNCTION("iferror(ifna(IFNA(filter('2.1.clean'!E:E,'2.1.clean'!A:A=C1709),filter('2.2.clean'!G:G,'2.2.clean'!D:D=C1709)),filter('2.4.clean'!E:E,'2.4.clean'!A:A=C1709)),)"),"")</f>
        <v/>
      </c>
      <c r="G1709" s="20" t="str">
        <f>IFERROR(__xludf.DUMMYFUNCTION("iferror(filter('3.1.clean'!C:C,'3.1.clean'!A:A=C1709),"""")"),"")</f>
        <v/>
      </c>
      <c r="H1709" s="22"/>
      <c r="I1709" s="22"/>
      <c r="J1709" s="79"/>
      <c r="K1709" s="20" t="str">
        <f>IFERROR(__xludf.DUMMYFUNCTION("iferror(filter('3.2.clean'!C:C,'3.2.clean'!A:A=C1709),"""")"),"")</f>
        <v/>
      </c>
      <c r="L1709" s="79"/>
      <c r="M1709" s="20" t="str">
        <f>IFERROR(__xludf.DUMMYFUNCTION("iferror(filter('3.3.clean'!C:C,'3.3.clean'!A:A=C1709),"""")"),"")</f>
        <v/>
      </c>
      <c r="N1709" s="79" t="b">
        <f t="shared" ref="N1709:N1726" si="1385">if(M1709="",FALSE,TRUE)</f>
        <v>0</v>
      </c>
      <c r="O1709" s="20" t="str">
        <f>IFERROR(__xludf.DUMMYFUNCTION("iferror(filter('3.4.clean'!C:C,'3.4.clean'!A:A=C1709),"""")"),"")</f>
        <v/>
      </c>
      <c r="P1709" s="79" t="b">
        <f t="shared" ref="P1709:P1726" si="1386">if(O1709="",FALSE,TRUE)</f>
        <v>0</v>
      </c>
      <c r="Q1709" s="20">
        <f>IFERROR(__xludf.DUMMYFUNCTION("iferror(filter('3.5.clean'!C:C,'3.5.clean'!A:A=C1709),"""")"),43879.0)</f>
        <v>43879</v>
      </c>
      <c r="R1709" s="22" t="b">
        <f t="shared" ref="R1709:R1710" si="1387">if(Q1709="",FALSE,TRUE)</f>
        <v>1</v>
      </c>
      <c r="S1709" s="4">
        <f>IFERROR(__xludf.DUMMYFUNCTION("iferror(filter('3.5.clean'!H:H,'3.5.clean'!A:A=C1709),"""")"),0.0)</f>
        <v>0</v>
      </c>
      <c r="V1709" s="1" t="s">
        <v>64</v>
      </c>
      <c r="W1709" s="23" t="b">
        <f t="shared" ref="W1709:W1710" si="1388">IF(and(R1709=TRUE,N1709=TRUE,P1709=TRUE),TRUE,FALSE)</f>
        <v>0</v>
      </c>
      <c r="X1709" s="23" t="str">
        <f>IFERROR(__xludf.DUMMYFUNCTION("if(COUNTA(FILTER(C:C, C:C = C1709))=1,""no"",""yes"")"),"no")</f>
        <v>no</v>
      </c>
    </row>
    <row r="1710">
      <c r="A1710" s="75" t="s">
        <v>1075</v>
      </c>
      <c r="B1710" s="2">
        <v>1.0</v>
      </c>
      <c r="C1710" s="19" t="s">
        <v>4185</v>
      </c>
      <c r="E1710" s="24">
        <f>IFERROR(__xludf.DUMMYFUNCTION("ifna(IFNA(filter('2.1.clean'!C:C,'2.1.clean'!A:A=C1710),filter('2.2.clean'!E:E,'2.2.clean'!D:D=C1710)),filter('2.4.clean'!C:C,'2.4.clean'!A:A=C1710))"),43880.0)</f>
        <v>43880</v>
      </c>
      <c r="F1710" s="25">
        <f>IFERROR(__xludf.DUMMYFUNCTION("iferror(ifna(IFNA(filter('2.1.clean'!E:E,'2.1.clean'!A:A=C1710),filter('2.2.clean'!G:G,'2.2.clean'!D:D=C1710)),filter('2.4.clean'!E:E,'2.4.clean'!A:A=C1710)),)"),2.39999999999999)</f>
        <v>2.4</v>
      </c>
      <c r="G1710" s="24"/>
      <c r="J1710" s="25"/>
      <c r="K1710" s="24"/>
      <c r="L1710" s="25"/>
      <c r="M1710" s="24">
        <f>IFERROR(__xludf.DUMMYFUNCTION("iferror(filter('3.3.clean'!C:C,'3.3.clean'!A:A=C1710),"""")"),43881.0)</f>
        <v>43881</v>
      </c>
      <c r="N1710" s="25" t="b">
        <f t="shared" si="1385"/>
        <v>1</v>
      </c>
      <c r="O1710" s="24">
        <f>IFERROR(__xludf.DUMMYFUNCTION("iferror(filter('3.4.clean'!C:C,'3.4.clean'!A:A=C1710),"""")"),43888.0)</f>
        <v>43888</v>
      </c>
      <c r="P1710" s="25" t="b">
        <f t="shared" si="1386"/>
        <v>1</v>
      </c>
      <c r="Q1710" s="24">
        <f>IFERROR(__xludf.DUMMYFUNCTION("iferror(filter('3.5.clean'!C:C,'3.5.clean'!A:A=C1710),"""")"),43880.0)</f>
        <v>43880</v>
      </c>
      <c r="R1710" s="23" t="b">
        <f t="shared" si="1387"/>
        <v>1</v>
      </c>
      <c r="S1710" s="25">
        <v>0.0</v>
      </c>
      <c r="V1710" s="52" t="s">
        <v>64</v>
      </c>
      <c r="W1710" s="23" t="b">
        <f t="shared" si="1388"/>
        <v>1</v>
      </c>
      <c r="X1710" s="23" t="str">
        <f>IFERROR(__xludf.DUMMYFUNCTION("if(COUNTA(FILTER(C:C, C:C = C1710))=1,""no"",""yes"")"),"no")</f>
        <v>no</v>
      </c>
    </row>
    <row r="1711">
      <c r="A1711" s="75" t="s">
        <v>1075</v>
      </c>
      <c r="B1711" s="2">
        <v>2.0</v>
      </c>
      <c r="C1711" s="19" t="s">
        <v>4192</v>
      </c>
      <c r="D1711" s="58" t="str">
        <f t="shared" ref="D1711:D1712" si="1389">if(or(I1711=1,J1711=1,S1711=1),"pos","")</f>
        <v/>
      </c>
      <c r="E1711" s="59">
        <f>IFERROR(__xludf.DUMMYFUNCTION("ifna(IFNA(filter('2.1.clean'!C:C,'2.1.clean'!A:A=C1711),filter('2.2.clean'!E:E,'2.2.clean'!D:D=C1711)),filter('2.4.clean'!C:C,'2.4.clean'!A:A=C1711))"),43880.0)</f>
        <v>43880</v>
      </c>
      <c r="F1711" s="60">
        <f>IFERROR(__xludf.DUMMYFUNCTION("iferror(ifna(IFNA(filter('2.1.clean'!E:E,'2.1.clean'!A:A=C1711),filter('2.2.clean'!G:G,'2.2.clean'!D:D=C1711)),filter('2.4.clean'!E:E,'2.4.clean'!A:A=C1711)),)"),2.39999999999999)</f>
        <v>2.4</v>
      </c>
      <c r="G1711" s="59">
        <f>IFERROR(__xludf.DUMMYFUNCTION("iferror(filter('3.1.clean'!C:C,'3.1.clean'!A:A=C1711),"""")"),43880.0)</f>
        <v>43880</v>
      </c>
      <c r="H1711" s="58" t="b">
        <f>if(G1711="",FALSE,TRUE)</f>
        <v>1</v>
      </c>
      <c r="I1711" s="58">
        <f>IFERROR(__xludf.DUMMYFUNCTION("iferror(filter('3.1.clean'!G:G,'3.1.clean'!A:A=C1711),"""")"),0.0)</f>
        <v>0</v>
      </c>
      <c r="J1711" s="60" t="str">
        <f>IFERROR(__xludf.DUMMYFUNCTION("iferror(filter('3.1.clean'!I:I,'3.1.clean'!A:A=C1711),"""")"),"")</f>
        <v/>
      </c>
      <c r="K1711" s="58"/>
      <c r="L1711" s="60"/>
      <c r="M1711" s="59" t="str">
        <f>IFERROR(__xludf.DUMMYFUNCTION("iferror(filter('3.3.clean'!C:C,'3.3.clean'!A:A=C1711),"""")"),"")</f>
        <v/>
      </c>
      <c r="N1711" s="60" t="b">
        <f t="shared" si="1385"/>
        <v>0</v>
      </c>
      <c r="O1711" s="59" t="str">
        <f>IFERROR(__xludf.DUMMYFUNCTION("iferror(filter('3.4.clean'!C:C,'3.4.clean'!A:A=C1711),"""")"),"")</f>
        <v/>
      </c>
      <c r="P1711" s="60" t="b">
        <f t="shared" si="1386"/>
        <v>0</v>
      </c>
      <c r="Q1711" s="59" t="str">
        <f>IFERROR(__xludf.DUMMYFUNCTION("iferror(filter('3.5.clean'!C:C,'3.5.clean'!A:A=C1711),"""")"),"")</f>
        <v/>
      </c>
      <c r="R1711" s="58"/>
      <c r="S1711" s="4" t="str">
        <f>IFERROR(__xludf.DUMMYFUNCTION("iferror(filter('3.5.clean'!H:H,'3.5.clean'!A:A=C1711),"""")"),"")</f>
        <v/>
      </c>
      <c r="W1711" s="23" t="b">
        <f>if(AND(H1711=TRUE,N1711=TRUE,P1711=TRUE),TRUE,FALSE)</f>
        <v>0</v>
      </c>
      <c r="X1711" s="23" t="str">
        <f>IFERROR(__xludf.DUMMYFUNCTION("if(COUNTA(FILTER(C:C, C:C = C1711))=1,""no"",""yes"")"),"no")</f>
        <v>no</v>
      </c>
    </row>
    <row r="1712">
      <c r="A1712" s="75" t="s">
        <v>1075</v>
      </c>
      <c r="B1712" s="2">
        <v>3.0</v>
      </c>
      <c r="C1712" s="40" t="s">
        <v>4198</v>
      </c>
      <c r="D1712" s="58" t="str">
        <f t="shared" si="1389"/>
        <v/>
      </c>
      <c r="E1712" s="59">
        <f>Q1712</f>
        <v>43880</v>
      </c>
      <c r="F1712" s="60" t="str">
        <f>IFERROR(__xludf.DUMMYFUNCTION("iferror(ifna(IFNA(filter('2.1.clean'!E:E,'2.1.clean'!A:A=C1712),filter('2.2.clean'!G:G,'2.2.clean'!D:D=C1712)),filter('2.4.clean'!E:E,'2.4.clean'!A:A=C1712)),)"),"")</f>
        <v/>
      </c>
      <c r="G1712" s="59" t="str">
        <f>IFERROR(__xludf.DUMMYFUNCTION("iferror(filter('3.1.clean'!C:C,'3.1.clean'!A:A=C1712),"""")"),"")</f>
        <v/>
      </c>
      <c r="H1712" s="58"/>
      <c r="I1712" s="58" t="str">
        <f>IFERROR(__xludf.DUMMYFUNCTION("iferror(filter('3.1.clean'!G:G,'3.1.clean'!A:A=C1712),"""")"),"")</f>
        <v/>
      </c>
      <c r="J1712" s="60" t="str">
        <f>IFERROR(__xludf.DUMMYFUNCTION("iferror(filter('3.1.clean'!I:I,'3.1.clean'!A:A=C1712),"""")"),"")</f>
        <v/>
      </c>
      <c r="K1712" s="59"/>
      <c r="L1712" s="60"/>
      <c r="M1712" s="59" t="str">
        <f>IFERROR(__xludf.DUMMYFUNCTION("iferror(filter('3.3.clean'!C:C,'3.3.clean'!A:A=C1712),"""")"),"")</f>
        <v/>
      </c>
      <c r="N1712" s="60" t="b">
        <f t="shared" si="1385"/>
        <v>0</v>
      </c>
      <c r="O1712" s="59" t="str">
        <f>IFERROR(__xludf.DUMMYFUNCTION("iferror(filter('3.4.clean'!C:C,'3.4.clean'!A:A=C1712),"""")"),"")</f>
        <v/>
      </c>
      <c r="P1712" s="60" t="b">
        <f t="shared" si="1386"/>
        <v>0</v>
      </c>
      <c r="Q1712" s="59">
        <f>IFERROR(__xludf.DUMMYFUNCTION("iferror(filter('3.5.clean'!C:C,'3.5.clean'!A:A=C1712),"""")"),43880.0)</f>
        <v>43880</v>
      </c>
      <c r="R1712" s="58" t="b">
        <f t="shared" ref="R1712:R1713" si="1390">if(Q1712="",FALSE,TRUE)</f>
        <v>1</v>
      </c>
      <c r="S1712" s="4">
        <f>IFERROR(__xludf.DUMMYFUNCTION("iferror(filter('3.5.clean'!H:H,'3.5.clean'!A:A=C1712),"""")"),0.0)</f>
        <v>0</v>
      </c>
      <c r="V1712" s="52" t="s">
        <v>64</v>
      </c>
      <c r="W1712" s="23" t="b">
        <f>if(AND(R1712=TRUE,N1712=TRUE,P1712=TRUE),TRUE,FALSE)</f>
        <v>0</v>
      </c>
      <c r="X1712" s="23" t="str">
        <f>IFERROR(__xludf.DUMMYFUNCTION("if(COUNTA(FILTER(C:C, C:C = C1712))=1,""no"",""yes"")"),"no")</f>
        <v>no</v>
      </c>
    </row>
    <row r="1713">
      <c r="A1713" s="75" t="s">
        <v>1075</v>
      </c>
      <c r="B1713" s="2">
        <v>4.0</v>
      </c>
      <c r="C1713" s="19" t="s">
        <v>4206</v>
      </c>
      <c r="E1713" s="24">
        <f>IFERROR(__xludf.DUMMYFUNCTION("ifna(IFNA(filter('2.1.clean'!C:C,'2.1.clean'!A:A=C1713),filter('2.2.clean'!E:E,'2.2.clean'!D:D=C1713)),filter('2.4.clean'!C:C,'2.4.clean'!A:A=C1713))"),43880.0)</f>
        <v>43880</v>
      </c>
      <c r="F1713" s="25">
        <f>IFERROR(__xludf.DUMMYFUNCTION("iferror(ifna(IFNA(filter('2.1.clean'!E:E,'2.1.clean'!A:A=C1713),filter('2.2.clean'!G:G,'2.2.clean'!D:D=C1713)),filter('2.4.clean'!E:E,'2.4.clean'!A:A=C1713)),)"),2.39999999999999)</f>
        <v>2.4</v>
      </c>
      <c r="G1713" s="24"/>
      <c r="J1713" s="25"/>
      <c r="K1713" s="24"/>
      <c r="L1713" s="25"/>
      <c r="M1713" s="24">
        <f>IFERROR(__xludf.DUMMYFUNCTION("iferror(filter('3.3.clean'!C:C,'3.3.clean'!A:A=C1713),"""")"),43881.0)</f>
        <v>43881</v>
      </c>
      <c r="N1713" s="25" t="b">
        <f t="shared" si="1385"/>
        <v>1</v>
      </c>
      <c r="O1713" s="24">
        <f>IFERROR(__xludf.DUMMYFUNCTION("iferror(filter('3.4.clean'!C:C,'3.4.clean'!A:A=C1713),"""")"),43888.0)</f>
        <v>43888</v>
      </c>
      <c r="P1713" s="25" t="b">
        <f t="shared" si="1386"/>
        <v>1</v>
      </c>
      <c r="Q1713" s="24">
        <f>IFERROR(__xludf.DUMMYFUNCTION("iferror(filter('3.5.clean'!C:C,'3.5.clean'!A:A=C1713),"""")"),43880.0)</f>
        <v>43880</v>
      </c>
      <c r="R1713" s="23" t="b">
        <f t="shared" si="1390"/>
        <v>1</v>
      </c>
      <c r="S1713" s="25">
        <v>0.0</v>
      </c>
      <c r="V1713" s="52" t="s">
        <v>64</v>
      </c>
      <c r="W1713" s="23" t="b">
        <f>IF(and(R1713=TRUE,N1713=TRUE,P1713=TRUE),TRUE,FALSE)</f>
        <v>1</v>
      </c>
      <c r="X1713" s="23" t="str">
        <f>IFERROR(__xludf.DUMMYFUNCTION("if(COUNTA(FILTER(C:C, C:C = C1713))=1,""no"",""yes"")"),"no")</f>
        <v>no</v>
      </c>
    </row>
    <row r="1714">
      <c r="A1714" s="75" t="s">
        <v>1075</v>
      </c>
      <c r="B1714" s="2">
        <v>5.0</v>
      </c>
      <c r="C1714" s="19" t="s">
        <v>4208</v>
      </c>
      <c r="D1714" s="58" t="str">
        <f t="shared" ref="D1714:D1715" si="1391">if(or(I1714=1,J1714=1,S1714=1),"pos","")</f>
        <v/>
      </c>
      <c r="E1714" s="59">
        <f>IFERROR(__xludf.DUMMYFUNCTION("ifna(IFNA(filter('2.1.clean'!C:C,'2.1.clean'!A:A=C1714),filter('2.2.clean'!E:E,'2.2.clean'!D:D=C1714)),filter('2.4.clean'!C:C,'2.4.clean'!A:A=C1714))"),43880.0)</f>
        <v>43880</v>
      </c>
      <c r="F1714" s="60">
        <f>IFERROR(__xludf.DUMMYFUNCTION("iferror(ifna(IFNA(filter('2.1.clean'!E:E,'2.1.clean'!A:A=C1714),filter('2.2.clean'!G:G,'2.2.clean'!D:D=C1714)),filter('2.4.clean'!E:E,'2.4.clean'!A:A=C1714)),)"),2.39999999999999)</f>
        <v>2.4</v>
      </c>
      <c r="G1714" s="59">
        <f>IFERROR(__xludf.DUMMYFUNCTION("iferror(filter('3.1.clean'!C:C,'3.1.clean'!A:A=C1714),"""")"),43880.0)</f>
        <v>43880</v>
      </c>
      <c r="H1714" s="58" t="b">
        <f>if(G1714="",FALSE,TRUE)</f>
        <v>1</v>
      </c>
      <c r="I1714" s="58">
        <f>IFERROR(__xludf.DUMMYFUNCTION("iferror(filter('3.1.clean'!G:G,'3.1.clean'!A:A=C1714),"""")"),0.0)</f>
        <v>0</v>
      </c>
      <c r="J1714" s="60" t="str">
        <f>IFERROR(__xludf.DUMMYFUNCTION("iferror(filter('3.1.clean'!I:I,'3.1.clean'!A:A=C1714),"""")"),"")</f>
        <v/>
      </c>
      <c r="K1714" s="58"/>
      <c r="L1714" s="60"/>
      <c r="M1714" s="59" t="str">
        <f>IFERROR(__xludf.DUMMYFUNCTION("iferror(filter('3.3.clean'!C:C,'3.3.clean'!A:A=C1714),"""")"),"")</f>
        <v/>
      </c>
      <c r="N1714" s="60" t="b">
        <f t="shared" si="1385"/>
        <v>0</v>
      </c>
      <c r="O1714" s="59" t="str">
        <f>IFERROR(__xludf.DUMMYFUNCTION("iferror(filter('3.4.clean'!C:C,'3.4.clean'!A:A=C1714),"""")"),"")</f>
        <v/>
      </c>
      <c r="P1714" s="60" t="b">
        <f t="shared" si="1386"/>
        <v>0</v>
      </c>
      <c r="Q1714" s="59" t="str">
        <f>IFERROR(__xludf.DUMMYFUNCTION("iferror(filter('3.5.clean'!C:C,'3.5.clean'!A:A=C1714),"""")"),"")</f>
        <v/>
      </c>
      <c r="R1714" s="58"/>
      <c r="S1714" s="4" t="str">
        <f>IFERROR(__xludf.DUMMYFUNCTION("iferror(filter('3.5.clean'!H:H,'3.5.clean'!A:A=C1714),"""")"),"")</f>
        <v/>
      </c>
      <c r="W1714" s="23" t="b">
        <f>if(AND(H1714=TRUE,N1714=TRUE,P1714=TRUE),TRUE,FALSE)</f>
        <v>0</v>
      </c>
      <c r="X1714" s="23" t="str">
        <f>IFERROR(__xludf.DUMMYFUNCTION("if(COUNTA(FILTER(C:C, C:C = C1714))=1,""no"",""yes"")"),"no")</f>
        <v>no</v>
      </c>
    </row>
    <row r="1715">
      <c r="A1715" s="75" t="s">
        <v>1075</v>
      </c>
      <c r="B1715" s="2">
        <v>6.0</v>
      </c>
      <c r="C1715" s="40" t="s">
        <v>4215</v>
      </c>
      <c r="D1715" s="58" t="str">
        <f t="shared" si="1391"/>
        <v/>
      </c>
      <c r="E1715" s="59">
        <f>Q1715</f>
        <v>43880</v>
      </c>
      <c r="F1715" s="60" t="str">
        <f>IFERROR(__xludf.DUMMYFUNCTION("iferror(ifna(IFNA(filter('2.1.clean'!E:E,'2.1.clean'!A:A=C1715),filter('2.2.clean'!G:G,'2.2.clean'!D:D=C1715)),filter('2.4.clean'!E:E,'2.4.clean'!A:A=C1715)),)"),"")</f>
        <v/>
      </c>
      <c r="G1715" s="59" t="str">
        <f>IFERROR(__xludf.DUMMYFUNCTION("iferror(filter('3.1.clean'!C:C,'3.1.clean'!A:A=C1715),"""")"),"")</f>
        <v/>
      </c>
      <c r="H1715" s="58"/>
      <c r="I1715" s="58" t="str">
        <f>IFERROR(__xludf.DUMMYFUNCTION("iferror(filter('3.1.clean'!G:G,'3.1.clean'!A:A=C1715),"""")"),"")</f>
        <v/>
      </c>
      <c r="J1715" s="60" t="str">
        <f>IFERROR(__xludf.DUMMYFUNCTION("iferror(filter('3.1.clean'!I:I,'3.1.clean'!A:A=C1715),"""")"),"")</f>
        <v/>
      </c>
      <c r="K1715" s="59"/>
      <c r="L1715" s="60"/>
      <c r="M1715" s="59" t="str">
        <f>IFERROR(__xludf.DUMMYFUNCTION("iferror(filter('3.3.clean'!C:C,'3.3.clean'!A:A=C1715),"""")"),"")</f>
        <v/>
      </c>
      <c r="N1715" s="60" t="b">
        <f t="shared" si="1385"/>
        <v>0</v>
      </c>
      <c r="O1715" s="59" t="str">
        <f>IFERROR(__xludf.DUMMYFUNCTION("iferror(filter('3.4.clean'!C:C,'3.4.clean'!A:A=C1715),"""")"),"")</f>
        <v/>
      </c>
      <c r="P1715" s="60" t="b">
        <f t="shared" si="1386"/>
        <v>0</v>
      </c>
      <c r="Q1715" s="59">
        <f>IFERROR(__xludf.DUMMYFUNCTION("iferror(filter('3.5.clean'!C:C,'3.5.clean'!A:A=C1715),"""")"),43880.0)</f>
        <v>43880</v>
      </c>
      <c r="R1715" s="58" t="b">
        <f t="shared" ref="R1715:R1716" si="1392">if(Q1715="",FALSE,TRUE)</f>
        <v>1</v>
      </c>
      <c r="S1715" s="4">
        <f>IFERROR(__xludf.DUMMYFUNCTION("iferror(filter('3.5.clean'!H:H,'3.5.clean'!A:A=C1715),"""")"),0.0)</f>
        <v>0</v>
      </c>
      <c r="V1715" s="52" t="s">
        <v>64</v>
      </c>
      <c r="W1715" s="23" t="b">
        <f>if(AND(R1715=TRUE,N1715=TRUE,P1715=TRUE),TRUE,FALSE)</f>
        <v>0</v>
      </c>
      <c r="X1715" s="23" t="str">
        <f>IFERROR(__xludf.DUMMYFUNCTION("if(COUNTA(FILTER(C:C, C:C = C1715))=1,""no"",""yes"")"),"no")</f>
        <v>no</v>
      </c>
    </row>
    <row r="1716">
      <c r="A1716" s="75" t="s">
        <v>1075</v>
      </c>
      <c r="B1716" s="2">
        <v>7.0</v>
      </c>
      <c r="C1716" s="19" t="s">
        <v>4221</v>
      </c>
      <c r="E1716" s="24">
        <f>IFERROR(__xludf.DUMMYFUNCTION("ifna(IFNA(filter('2.1.clean'!C:C,'2.1.clean'!A:A=C1716),filter('2.2.clean'!E:E,'2.2.clean'!D:D=C1716)),filter('2.4.clean'!C:C,'2.4.clean'!A:A=C1716))"),43880.0)</f>
        <v>43880</v>
      </c>
      <c r="F1716" s="25">
        <f>IFERROR(__xludf.DUMMYFUNCTION("iferror(ifna(IFNA(filter('2.1.clean'!E:E,'2.1.clean'!A:A=C1716),filter('2.2.clean'!G:G,'2.2.clean'!D:D=C1716)),filter('2.4.clean'!E:E,'2.4.clean'!A:A=C1716)),)"),2.39999999999999)</f>
        <v>2.4</v>
      </c>
      <c r="G1716" s="24"/>
      <c r="J1716" s="25"/>
      <c r="K1716" s="24"/>
      <c r="L1716" s="25"/>
      <c r="M1716" s="24">
        <f>IFERROR(__xludf.DUMMYFUNCTION("iferror(filter('3.3.clean'!C:C,'3.3.clean'!A:A=C1716),"""")"),43881.0)</f>
        <v>43881</v>
      </c>
      <c r="N1716" s="25" t="b">
        <f t="shared" si="1385"/>
        <v>1</v>
      </c>
      <c r="O1716" s="24">
        <f>IFERROR(__xludf.DUMMYFUNCTION("iferror(filter('3.4.clean'!C:C,'3.4.clean'!A:A=C1716),"""")"),43888.0)</f>
        <v>43888</v>
      </c>
      <c r="P1716" s="25" t="b">
        <f t="shared" si="1386"/>
        <v>1</v>
      </c>
      <c r="Q1716" s="24">
        <f>IFERROR(__xludf.DUMMYFUNCTION("iferror(filter('3.5.clean'!C:C,'3.5.clean'!A:A=C1716),"""")"),43880.0)</f>
        <v>43880</v>
      </c>
      <c r="R1716" s="23" t="b">
        <f t="shared" si="1392"/>
        <v>1</v>
      </c>
      <c r="S1716" s="25">
        <v>0.0</v>
      </c>
      <c r="V1716" s="52" t="s">
        <v>64</v>
      </c>
      <c r="W1716" s="23" t="b">
        <f>IF(and(R1716=TRUE,N1716=TRUE,P1716=TRUE),TRUE,FALSE)</f>
        <v>1</v>
      </c>
      <c r="X1716" s="23" t="str">
        <f>IFERROR(__xludf.DUMMYFUNCTION("if(COUNTA(FILTER(C:C, C:C = C1716))=1,""no"",""yes"")"),"no")</f>
        <v>no</v>
      </c>
    </row>
    <row r="1717">
      <c r="A1717" s="75" t="s">
        <v>1075</v>
      </c>
      <c r="B1717" s="2">
        <v>8.0</v>
      </c>
      <c r="C1717" s="19" t="s">
        <v>4224</v>
      </c>
      <c r="D1717" s="58" t="str">
        <f t="shared" ref="D1717:D1718" si="1393">if(or(I1717=1,J1717=1,S1717=1),"pos","")</f>
        <v/>
      </c>
      <c r="E1717" s="59">
        <f>IFERROR(__xludf.DUMMYFUNCTION("ifna(IFNA(filter('2.1.clean'!C:C,'2.1.clean'!A:A=C1717),filter('2.2.clean'!E:E,'2.2.clean'!D:D=C1717)),filter('2.4.clean'!C:C,'2.4.clean'!A:A=C1717))"),43880.0)</f>
        <v>43880</v>
      </c>
      <c r="F1717" s="60">
        <f>IFERROR(__xludf.DUMMYFUNCTION("iferror(ifna(IFNA(filter('2.1.clean'!E:E,'2.1.clean'!A:A=C1717),filter('2.2.clean'!G:G,'2.2.clean'!D:D=C1717)),filter('2.4.clean'!E:E,'2.4.clean'!A:A=C1717)),)"),2.39999999999999)</f>
        <v>2.4</v>
      </c>
      <c r="G1717" s="59">
        <f>IFERROR(__xludf.DUMMYFUNCTION("iferror(filter('3.1.clean'!C:C,'3.1.clean'!A:A=C1717),"""")"),43880.0)</f>
        <v>43880</v>
      </c>
      <c r="H1717" s="58" t="b">
        <f>if(G1717="",FALSE,TRUE)</f>
        <v>1</v>
      </c>
      <c r="I1717" s="58">
        <f>IFERROR(__xludf.DUMMYFUNCTION("iferror(filter('3.1.clean'!G:G,'3.1.clean'!A:A=C1717),"""")"),0.0)</f>
        <v>0</v>
      </c>
      <c r="J1717" s="60" t="str">
        <f>IFERROR(__xludf.DUMMYFUNCTION("iferror(filter('3.1.clean'!I:I,'3.1.clean'!A:A=C1717),"""")"),"")</f>
        <v/>
      </c>
      <c r="K1717" s="58"/>
      <c r="L1717" s="60"/>
      <c r="M1717" s="59" t="str">
        <f>IFERROR(__xludf.DUMMYFUNCTION("iferror(filter('3.3.clean'!C:C,'3.3.clean'!A:A=C1717),"""")"),"")</f>
        <v/>
      </c>
      <c r="N1717" s="60" t="b">
        <f t="shared" si="1385"/>
        <v>0</v>
      </c>
      <c r="O1717" s="59" t="str">
        <f>IFERROR(__xludf.DUMMYFUNCTION("iferror(filter('3.4.clean'!C:C,'3.4.clean'!A:A=C1717),"""")"),"")</f>
        <v/>
      </c>
      <c r="P1717" s="60" t="b">
        <f t="shared" si="1386"/>
        <v>0</v>
      </c>
      <c r="Q1717" s="59" t="str">
        <f>IFERROR(__xludf.DUMMYFUNCTION("iferror(filter('3.5.clean'!C:C,'3.5.clean'!A:A=C1717),"""")"),"")</f>
        <v/>
      </c>
      <c r="R1717" s="58"/>
      <c r="S1717" s="4" t="str">
        <f>IFERROR(__xludf.DUMMYFUNCTION("iferror(filter('3.5.clean'!H:H,'3.5.clean'!A:A=C1717),"""")"),"")</f>
        <v/>
      </c>
      <c r="W1717" s="23" t="b">
        <f>if(AND(H1717=TRUE,N1717=TRUE,P1717=TRUE),TRUE,FALSE)</f>
        <v>0</v>
      </c>
      <c r="X1717" s="23" t="str">
        <f>IFERROR(__xludf.DUMMYFUNCTION("if(COUNTA(FILTER(C:C, C:C = C1717))=1,""no"",""yes"")"),"no")</f>
        <v>no</v>
      </c>
    </row>
    <row r="1718">
      <c r="A1718" s="75" t="s">
        <v>1075</v>
      </c>
      <c r="B1718" s="2">
        <v>9.0</v>
      </c>
      <c r="C1718" s="40" t="s">
        <v>4230</v>
      </c>
      <c r="D1718" s="58" t="str">
        <f t="shared" si="1393"/>
        <v/>
      </c>
      <c r="E1718" s="59">
        <f>Q1718</f>
        <v>43880</v>
      </c>
      <c r="F1718" s="60" t="str">
        <f>IFERROR(__xludf.DUMMYFUNCTION("iferror(ifna(IFNA(filter('2.1.clean'!E:E,'2.1.clean'!A:A=C1718),filter('2.2.clean'!G:G,'2.2.clean'!D:D=C1718)),filter('2.4.clean'!E:E,'2.4.clean'!A:A=C1718)),)"),"")</f>
        <v/>
      </c>
      <c r="G1718" s="59" t="str">
        <f>IFERROR(__xludf.DUMMYFUNCTION("iferror(filter('3.1.clean'!C:C,'3.1.clean'!A:A=C1718),"""")"),"")</f>
        <v/>
      </c>
      <c r="H1718" s="58"/>
      <c r="I1718" s="58" t="str">
        <f>IFERROR(__xludf.DUMMYFUNCTION("iferror(filter('3.1.clean'!G:G,'3.1.clean'!A:A=C1718),"""")"),"")</f>
        <v/>
      </c>
      <c r="J1718" s="60" t="str">
        <f>IFERROR(__xludf.DUMMYFUNCTION("iferror(filter('3.1.clean'!I:I,'3.1.clean'!A:A=C1718),"""")"),"")</f>
        <v/>
      </c>
      <c r="K1718" s="59"/>
      <c r="L1718" s="60"/>
      <c r="M1718" s="59" t="str">
        <f>IFERROR(__xludf.DUMMYFUNCTION("iferror(filter('3.3.clean'!C:C,'3.3.clean'!A:A=C1718),"""")"),"")</f>
        <v/>
      </c>
      <c r="N1718" s="60" t="b">
        <f t="shared" si="1385"/>
        <v>0</v>
      </c>
      <c r="O1718" s="59" t="str">
        <f>IFERROR(__xludf.DUMMYFUNCTION("iferror(filter('3.4.clean'!C:C,'3.4.clean'!A:A=C1718),"""")"),"")</f>
        <v/>
      </c>
      <c r="P1718" s="60" t="b">
        <f t="shared" si="1386"/>
        <v>0</v>
      </c>
      <c r="Q1718" s="59">
        <f>IFERROR(__xludf.DUMMYFUNCTION("iferror(filter('3.5.clean'!C:C,'3.5.clean'!A:A=C1718),"""")"),43880.0)</f>
        <v>43880</v>
      </c>
      <c r="R1718" s="58" t="b">
        <f t="shared" ref="R1718:R1719" si="1394">if(Q1718="",FALSE,TRUE)</f>
        <v>1</v>
      </c>
      <c r="S1718" s="4">
        <f>IFERROR(__xludf.DUMMYFUNCTION("iferror(filter('3.5.clean'!H:H,'3.5.clean'!A:A=C1718),"""")"),0.0)</f>
        <v>0</v>
      </c>
      <c r="V1718" s="52" t="s">
        <v>64</v>
      </c>
      <c r="W1718" s="23" t="b">
        <f>if(AND(R1718=TRUE,N1718=TRUE,P1718=TRUE),TRUE,FALSE)</f>
        <v>0</v>
      </c>
      <c r="X1718" s="23" t="str">
        <f>IFERROR(__xludf.DUMMYFUNCTION("if(COUNTA(FILTER(C:C, C:C = C1718))=1,""no"",""yes"")"),"no")</f>
        <v>no</v>
      </c>
    </row>
    <row r="1719">
      <c r="A1719" s="75" t="s">
        <v>1075</v>
      </c>
      <c r="B1719" s="2">
        <v>10.0</v>
      </c>
      <c r="C1719" s="19" t="s">
        <v>4236</v>
      </c>
      <c r="E1719" s="24">
        <f>IFERROR(__xludf.DUMMYFUNCTION("ifna(IFNA(filter('2.1.clean'!C:C,'2.1.clean'!A:A=C1719),filter('2.2.clean'!E:E,'2.2.clean'!D:D=C1719)),filter('2.4.clean'!C:C,'2.4.clean'!A:A=C1719))"),43880.0)</f>
        <v>43880</v>
      </c>
      <c r="F1719" s="25">
        <f>IFERROR(__xludf.DUMMYFUNCTION("iferror(ifna(IFNA(filter('2.1.clean'!E:E,'2.1.clean'!A:A=C1719),filter('2.2.clean'!G:G,'2.2.clean'!D:D=C1719)),filter('2.4.clean'!E:E,'2.4.clean'!A:A=C1719)),)"),2.39999999999999)</f>
        <v>2.4</v>
      </c>
      <c r="G1719" s="24">
        <f>IFERROR(__xludf.DUMMYFUNCTION("iferror(filter('3.1.clean'!C:C,'3.1.clean'!A:A=C1719),"""")"),43880.0)</f>
        <v>43880</v>
      </c>
      <c r="H1719" s="23" t="b">
        <f t="shared" ref="H1719:H1720" si="1395">if(G1719="",FALSE,TRUE)</f>
        <v>1</v>
      </c>
      <c r="J1719" s="25"/>
      <c r="K1719" s="24">
        <f>IFERROR(__xludf.DUMMYFUNCTION("iferror(filter('3.2.clean'!C:C,'3.2.clean'!A:A=C1719),"""")"),43880.0)</f>
        <v>43880</v>
      </c>
      <c r="L1719" s="25" t="b">
        <f>if(K1719="",FALSE,TRUE)</f>
        <v>1</v>
      </c>
      <c r="M1719" s="24">
        <f>IFERROR(__xludf.DUMMYFUNCTION("iferror(filter('3.3.clean'!C:C,'3.3.clean'!A:A=C1719),"""")"),43881.0)</f>
        <v>43881</v>
      </c>
      <c r="N1719" s="25" t="b">
        <f t="shared" si="1385"/>
        <v>1</v>
      </c>
      <c r="O1719" s="24">
        <f>IFERROR(__xludf.DUMMYFUNCTION("iferror(filter('3.4.clean'!C:C,'3.4.clean'!A:A=C1719),"""")"),43888.0)</f>
        <v>43888</v>
      </c>
      <c r="P1719" s="25" t="b">
        <f t="shared" si="1386"/>
        <v>1</v>
      </c>
      <c r="Q1719" s="24">
        <f>IFERROR(__xludf.DUMMYFUNCTION("iferror(filter('3.5.clean'!C:C,'3.5.clean'!A:A=C1719),"""")"),43880.0)</f>
        <v>43880</v>
      </c>
      <c r="R1719" s="23" t="b">
        <f t="shared" si="1394"/>
        <v>1</v>
      </c>
      <c r="S1719" s="25"/>
      <c r="U1719" s="23"/>
      <c r="V1719" s="1" t="s">
        <v>64</v>
      </c>
      <c r="X1719" s="23" t="str">
        <f>IFERROR(__xludf.DUMMYFUNCTION("if(COUNTA(FILTER(C:C, C:C = C1719))=1,""no"",""yes"")"),"no")</f>
        <v>no</v>
      </c>
    </row>
    <row r="1720">
      <c r="A1720" s="75" t="s">
        <v>1075</v>
      </c>
      <c r="B1720" s="2">
        <v>11.0</v>
      </c>
      <c r="C1720" s="19" t="s">
        <v>4237</v>
      </c>
      <c r="D1720" s="58" t="str">
        <f t="shared" ref="D1720:D1721" si="1396">if(or(I1720=1,J1720=1,S1720=1),"pos","")</f>
        <v/>
      </c>
      <c r="E1720" s="59">
        <f>IFERROR(__xludf.DUMMYFUNCTION("ifna(IFNA(filter('2.1.clean'!C:C,'2.1.clean'!A:A=C1720),filter('2.2.clean'!E:E,'2.2.clean'!D:D=C1720)),filter('2.4.clean'!C:C,'2.4.clean'!A:A=C1720))"),43880.0)</f>
        <v>43880</v>
      </c>
      <c r="F1720" s="60">
        <f>IFERROR(__xludf.DUMMYFUNCTION("iferror(ifna(IFNA(filter('2.1.clean'!E:E,'2.1.clean'!A:A=C1720),filter('2.2.clean'!G:G,'2.2.clean'!D:D=C1720)),filter('2.4.clean'!E:E,'2.4.clean'!A:A=C1720)),)"),2.39999999999999)</f>
        <v>2.4</v>
      </c>
      <c r="G1720" s="59">
        <f>IFERROR(__xludf.DUMMYFUNCTION("iferror(filter('3.1.clean'!C:C,'3.1.clean'!A:A=C1720),"""")"),43880.0)</f>
        <v>43880</v>
      </c>
      <c r="H1720" s="58" t="b">
        <f t="shared" si="1395"/>
        <v>1</v>
      </c>
      <c r="I1720" s="58">
        <f>IFERROR(__xludf.DUMMYFUNCTION("iferror(filter('3.1.clean'!G:G,'3.1.clean'!A:A=C1720),"""")"),0.0)</f>
        <v>0</v>
      </c>
      <c r="J1720" s="60" t="str">
        <f>IFERROR(__xludf.DUMMYFUNCTION("iferror(filter('3.1.clean'!I:I,'3.1.clean'!A:A=C1720),"""")"),"")</f>
        <v/>
      </c>
      <c r="K1720" s="58"/>
      <c r="L1720" s="60"/>
      <c r="M1720" s="59" t="str">
        <f>IFERROR(__xludf.DUMMYFUNCTION("iferror(filter('3.3.clean'!C:C,'3.3.clean'!A:A=C1720),"""")"),"")</f>
        <v/>
      </c>
      <c r="N1720" s="60" t="b">
        <f t="shared" si="1385"/>
        <v>0</v>
      </c>
      <c r="O1720" s="59" t="str">
        <f>IFERROR(__xludf.DUMMYFUNCTION("iferror(filter('3.4.clean'!C:C,'3.4.clean'!A:A=C1720),"""")"),"")</f>
        <v/>
      </c>
      <c r="P1720" s="60" t="b">
        <f t="shared" si="1386"/>
        <v>0</v>
      </c>
      <c r="Q1720" s="59" t="str">
        <f>IFERROR(__xludf.DUMMYFUNCTION("iferror(filter('3.5.clean'!C:C,'3.5.clean'!A:A=C1720),"""")"),"")</f>
        <v/>
      </c>
      <c r="R1720" s="58"/>
      <c r="S1720" s="4" t="str">
        <f>IFERROR(__xludf.DUMMYFUNCTION("iferror(filter('3.5.clean'!H:H,'3.5.clean'!A:A=C1720),"""")"),"")</f>
        <v/>
      </c>
      <c r="W1720" s="23" t="b">
        <f>if(AND(H1720=TRUE,N1720=TRUE,P1720=TRUE),TRUE,FALSE)</f>
        <v>0</v>
      </c>
      <c r="X1720" s="23" t="str">
        <f>IFERROR(__xludf.DUMMYFUNCTION("if(COUNTA(FILTER(C:C, C:C = C1720))=1,""no"",""yes"")"),"no")</f>
        <v>no</v>
      </c>
    </row>
    <row r="1721">
      <c r="A1721" s="75" t="s">
        <v>1075</v>
      </c>
      <c r="B1721" s="2">
        <v>12.0</v>
      </c>
      <c r="C1721" s="40" t="s">
        <v>4243</v>
      </c>
      <c r="D1721" s="58" t="str">
        <f t="shared" si="1396"/>
        <v/>
      </c>
      <c r="E1721" s="59">
        <f>Q1721</f>
        <v>43880</v>
      </c>
      <c r="F1721" s="60" t="str">
        <f>IFERROR(__xludf.DUMMYFUNCTION("iferror(ifna(IFNA(filter('2.1.clean'!E:E,'2.1.clean'!A:A=C1721),filter('2.2.clean'!G:G,'2.2.clean'!D:D=C1721)),filter('2.4.clean'!E:E,'2.4.clean'!A:A=C1721)),)"),"")</f>
        <v/>
      </c>
      <c r="G1721" s="59" t="str">
        <f>IFERROR(__xludf.DUMMYFUNCTION("iferror(filter('3.1.clean'!C:C,'3.1.clean'!A:A=C1721),"""")"),"")</f>
        <v/>
      </c>
      <c r="H1721" s="58"/>
      <c r="I1721" s="58" t="str">
        <f>IFERROR(__xludf.DUMMYFUNCTION("iferror(filter('3.1.clean'!G:G,'3.1.clean'!A:A=C1721),"""")"),"")</f>
        <v/>
      </c>
      <c r="J1721" s="60" t="str">
        <f>IFERROR(__xludf.DUMMYFUNCTION("iferror(filter('3.1.clean'!I:I,'3.1.clean'!A:A=C1721),"""")"),"")</f>
        <v/>
      </c>
      <c r="K1721" s="59"/>
      <c r="L1721" s="60"/>
      <c r="M1721" s="59" t="str">
        <f>IFERROR(__xludf.DUMMYFUNCTION("iferror(filter('3.3.clean'!C:C,'3.3.clean'!A:A=C1721),"""")"),"")</f>
        <v/>
      </c>
      <c r="N1721" s="60" t="b">
        <f t="shared" si="1385"/>
        <v>0</v>
      </c>
      <c r="O1721" s="59" t="str">
        <f>IFERROR(__xludf.DUMMYFUNCTION("iferror(filter('3.4.clean'!C:C,'3.4.clean'!A:A=C1721),"""")"),"")</f>
        <v/>
      </c>
      <c r="P1721" s="60" t="b">
        <f t="shared" si="1386"/>
        <v>0</v>
      </c>
      <c r="Q1721" s="59">
        <f>IFERROR(__xludf.DUMMYFUNCTION("iferror(filter('3.5.clean'!C:C,'3.5.clean'!A:A=C1721),"""")"),43880.0)</f>
        <v>43880</v>
      </c>
      <c r="R1721" s="58" t="b">
        <f t="shared" ref="R1721:R1722" si="1397">if(Q1721="",FALSE,TRUE)</f>
        <v>1</v>
      </c>
      <c r="S1721" s="4">
        <f>IFERROR(__xludf.DUMMYFUNCTION("iferror(filter('3.5.clean'!H:H,'3.5.clean'!A:A=C1721),"""")"),0.0)</f>
        <v>0</v>
      </c>
      <c r="V1721" s="52" t="s">
        <v>64</v>
      </c>
      <c r="W1721" s="23" t="b">
        <f>if(AND(R1721=TRUE,N1721=TRUE,P1721=TRUE),TRUE,FALSE)</f>
        <v>0</v>
      </c>
      <c r="X1721" s="23" t="str">
        <f>IFERROR(__xludf.DUMMYFUNCTION("if(COUNTA(FILTER(C:C, C:C = C1721))=1,""no"",""yes"")"),"no")</f>
        <v>no</v>
      </c>
    </row>
    <row r="1722">
      <c r="A1722" s="75" t="s">
        <v>1075</v>
      </c>
      <c r="B1722" s="2">
        <v>13.0</v>
      </c>
      <c r="C1722" s="19" t="s">
        <v>4244</v>
      </c>
      <c r="E1722" s="24">
        <f>IFERROR(__xludf.DUMMYFUNCTION("ifna(IFNA(filter('2.1.clean'!C:C,'2.1.clean'!A:A=C1722),filter('2.2.clean'!E:E,'2.2.clean'!D:D=C1722)),filter('2.4.clean'!C:C,'2.4.clean'!A:A=C1722))"),43880.0)</f>
        <v>43880</v>
      </c>
      <c r="F1722" s="25">
        <f>IFERROR(__xludf.DUMMYFUNCTION("iferror(ifna(IFNA(filter('2.1.clean'!E:E,'2.1.clean'!A:A=C1722),filter('2.2.clean'!G:G,'2.2.clean'!D:D=C1722)),filter('2.4.clean'!E:E,'2.4.clean'!A:A=C1722)),)"),2.39999999999999)</f>
        <v>2.4</v>
      </c>
      <c r="G1722" s="24">
        <f>IFERROR(__xludf.DUMMYFUNCTION("iferror(filter('3.1.clean'!C:C,'3.1.clean'!A:A=C1722),"""")"),43880.0)</f>
        <v>43880</v>
      </c>
      <c r="H1722" s="23" t="b">
        <f t="shared" ref="H1722:H1723" si="1398">if(G1722="",FALSE,TRUE)</f>
        <v>1</v>
      </c>
      <c r="J1722" s="25"/>
      <c r="K1722" s="24">
        <f>IFERROR(__xludf.DUMMYFUNCTION("iferror(filter('3.2.clean'!C:C,'3.2.clean'!A:A=C1722),"""")"),43880.0)</f>
        <v>43880</v>
      </c>
      <c r="L1722" s="25" t="b">
        <f>if(K1722="",FALSE,TRUE)</f>
        <v>1</v>
      </c>
      <c r="M1722" s="24">
        <f>IFERROR(__xludf.DUMMYFUNCTION("iferror(filter('3.3.clean'!C:C,'3.3.clean'!A:A=C1722),"""")"),43881.0)</f>
        <v>43881</v>
      </c>
      <c r="N1722" s="25" t="b">
        <f t="shared" si="1385"/>
        <v>1</v>
      </c>
      <c r="O1722" s="24">
        <f>IFERROR(__xludf.DUMMYFUNCTION("iferror(filter('3.4.clean'!C:C,'3.4.clean'!A:A=C1722),"""")"),43888.0)</f>
        <v>43888</v>
      </c>
      <c r="P1722" s="25" t="b">
        <f t="shared" si="1386"/>
        <v>1</v>
      </c>
      <c r="Q1722" s="24">
        <f>IFERROR(__xludf.DUMMYFUNCTION("iferror(filter('3.5.clean'!C:C,'3.5.clean'!A:A=C1722),"""")"),43880.0)</f>
        <v>43880</v>
      </c>
      <c r="R1722" s="23" t="b">
        <f t="shared" si="1397"/>
        <v>1</v>
      </c>
      <c r="S1722" s="25"/>
      <c r="U1722" s="23"/>
      <c r="V1722" s="1" t="s">
        <v>64</v>
      </c>
      <c r="X1722" s="23" t="str">
        <f>IFERROR(__xludf.DUMMYFUNCTION("if(COUNTA(FILTER(C:C, C:C = C1722))=1,""no"",""yes"")"),"no")</f>
        <v>no</v>
      </c>
    </row>
    <row r="1723">
      <c r="A1723" s="75" t="s">
        <v>1075</v>
      </c>
      <c r="B1723" s="2">
        <v>14.0</v>
      </c>
      <c r="C1723" s="19" t="s">
        <v>4250</v>
      </c>
      <c r="D1723" s="58" t="str">
        <f t="shared" ref="D1723:D1724" si="1399">if(or(I1723=1,J1723=1,S1723=1),"pos","")</f>
        <v/>
      </c>
      <c r="E1723" s="59">
        <f>IFERROR(__xludf.DUMMYFUNCTION("ifna(IFNA(filter('2.1.clean'!C:C,'2.1.clean'!A:A=C1723),filter('2.2.clean'!E:E,'2.2.clean'!D:D=C1723)),filter('2.4.clean'!C:C,'2.4.clean'!A:A=C1723))"),43880.0)</f>
        <v>43880</v>
      </c>
      <c r="F1723" s="60">
        <f>IFERROR(__xludf.DUMMYFUNCTION("iferror(ifna(IFNA(filter('2.1.clean'!E:E,'2.1.clean'!A:A=C1723),filter('2.2.clean'!G:G,'2.2.clean'!D:D=C1723)),filter('2.4.clean'!E:E,'2.4.clean'!A:A=C1723)),)"),2.39999999999999)</f>
        <v>2.4</v>
      </c>
      <c r="G1723" s="59">
        <f>IFERROR(__xludf.DUMMYFUNCTION("iferror(filter('3.1.clean'!C:C,'3.1.clean'!A:A=C1723),"""")"),43880.0)</f>
        <v>43880</v>
      </c>
      <c r="H1723" s="58" t="b">
        <f t="shared" si="1398"/>
        <v>1</v>
      </c>
      <c r="I1723" s="58">
        <f>IFERROR(__xludf.DUMMYFUNCTION("iferror(filter('3.1.clean'!G:G,'3.1.clean'!A:A=C1723),"""")"),0.0)</f>
        <v>0</v>
      </c>
      <c r="J1723" s="60" t="str">
        <f>IFERROR(__xludf.DUMMYFUNCTION("iferror(filter('3.1.clean'!I:I,'3.1.clean'!A:A=C1723),"""")"),"")</f>
        <v/>
      </c>
      <c r="K1723" s="58"/>
      <c r="L1723" s="60"/>
      <c r="M1723" s="59">
        <f>IFERROR(__xludf.DUMMYFUNCTION("iferror(filter('3.3.clean'!C:C,'3.3.clean'!A:A=C1723),"""")"),43881.0)</f>
        <v>43881</v>
      </c>
      <c r="N1723" s="60" t="b">
        <f t="shared" si="1385"/>
        <v>1</v>
      </c>
      <c r="O1723" s="59">
        <f>IFERROR(__xludf.DUMMYFUNCTION("iferror(filter('3.4.clean'!C:C,'3.4.clean'!A:A=C1723),"""")"),43888.0)</f>
        <v>43888</v>
      </c>
      <c r="P1723" s="60" t="b">
        <f t="shared" si="1386"/>
        <v>1</v>
      </c>
      <c r="Q1723" s="59" t="str">
        <f>IFERROR(__xludf.DUMMYFUNCTION("iferror(filter('3.5.clean'!C:C,'3.5.clean'!A:A=C1723),"""")"),"")</f>
        <v/>
      </c>
      <c r="R1723" s="58"/>
      <c r="S1723" s="4" t="str">
        <f>IFERROR(__xludf.DUMMYFUNCTION("iferror(filter('3.5.clean'!H:H,'3.5.clean'!A:A=C1723),"""")"),"")</f>
        <v/>
      </c>
      <c r="W1723" s="23" t="b">
        <f>if(AND(H1723=TRUE,N1723=TRUE,P1723=TRUE),TRUE,FALSE)</f>
        <v>1</v>
      </c>
      <c r="X1723" s="23" t="str">
        <f>IFERROR(__xludf.DUMMYFUNCTION("if(COUNTA(FILTER(C:C, C:C = C1723))=1,""no"",""yes"")"),"no")</f>
        <v>no</v>
      </c>
    </row>
    <row r="1724">
      <c r="A1724" s="75" t="s">
        <v>1075</v>
      </c>
      <c r="B1724" s="2">
        <v>15.0</v>
      </c>
      <c r="C1724" s="40" t="s">
        <v>4256</v>
      </c>
      <c r="D1724" s="58" t="str">
        <f t="shared" si="1399"/>
        <v/>
      </c>
      <c r="E1724" s="59">
        <f>Q1724</f>
        <v>43880</v>
      </c>
      <c r="F1724" s="60" t="str">
        <f>IFERROR(__xludf.DUMMYFUNCTION("iferror(ifna(IFNA(filter('2.1.clean'!E:E,'2.1.clean'!A:A=C1724),filter('2.2.clean'!G:G,'2.2.clean'!D:D=C1724)),filter('2.4.clean'!E:E,'2.4.clean'!A:A=C1724)),)"),"")</f>
        <v/>
      </c>
      <c r="G1724" s="59" t="str">
        <f>IFERROR(__xludf.DUMMYFUNCTION("iferror(filter('3.1.clean'!C:C,'3.1.clean'!A:A=C1724),"""")"),"")</f>
        <v/>
      </c>
      <c r="H1724" s="58"/>
      <c r="I1724" s="58" t="str">
        <f>IFERROR(__xludf.DUMMYFUNCTION("iferror(filter('3.1.clean'!G:G,'3.1.clean'!A:A=C1724),"""")"),"")</f>
        <v/>
      </c>
      <c r="J1724" s="60" t="str">
        <f>IFERROR(__xludf.DUMMYFUNCTION("iferror(filter('3.1.clean'!I:I,'3.1.clean'!A:A=C1724),"""")"),"")</f>
        <v/>
      </c>
      <c r="K1724" s="59"/>
      <c r="L1724" s="60"/>
      <c r="M1724" s="59" t="str">
        <f>IFERROR(__xludf.DUMMYFUNCTION("iferror(filter('3.3.clean'!C:C,'3.3.clean'!A:A=C1724),"""")"),"")</f>
        <v/>
      </c>
      <c r="N1724" s="60" t="b">
        <f t="shared" si="1385"/>
        <v>0</v>
      </c>
      <c r="O1724" s="59" t="str">
        <f>IFERROR(__xludf.DUMMYFUNCTION("iferror(filter('3.4.clean'!C:C,'3.4.clean'!A:A=C1724),"""")"),"")</f>
        <v/>
      </c>
      <c r="P1724" s="60" t="b">
        <f t="shared" si="1386"/>
        <v>0</v>
      </c>
      <c r="Q1724" s="59">
        <f>IFERROR(__xludf.DUMMYFUNCTION("iferror(filter('3.5.clean'!C:C,'3.5.clean'!A:A=C1724),"""")"),43880.0)</f>
        <v>43880</v>
      </c>
      <c r="R1724" s="58" t="b">
        <f t="shared" ref="R1724:R1726" si="1400">if(Q1724="",FALSE,TRUE)</f>
        <v>1</v>
      </c>
      <c r="S1724" s="4">
        <f>IFERROR(__xludf.DUMMYFUNCTION("iferror(filter('3.5.clean'!H:H,'3.5.clean'!A:A=C1724),"""")"),0.0)</f>
        <v>0</v>
      </c>
      <c r="V1724" s="52" t="s">
        <v>64</v>
      </c>
      <c r="W1724" s="23" t="b">
        <f>if(AND(R1724=TRUE,N1724=TRUE,P1724=TRUE),TRUE,FALSE)</f>
        <v>0</v>
      </c>
      <c r="X1724" s="23" t="str">
        <f>IFERROR(__xludf.DUMMYFUNCTION("if(COUNTA(FILTER(C:C, C:C = C1724))=1,""no"",""yes"")"),"no")</f>
        <v>no</v>
      </c>
    </row>
    <row r="1725">
      <c r="A1725" s="75" t="s">
        <v>1075</v>
      </c>
      <c r="B1725" s="19">
        <v>16.0</v>
      </c>
      <c r="C1725" s="19" t="s">
        <v>4260</v>
      </c>
      <c r="D1725" s="39"/>
      <c r="E1725" s="24">
        <f>IFERROR(__xludf.DUMMYFUNCTION("ifna(IFNA(filter('2.1.clean'!C:C,'2.1.clean'!A:A=C1725),filter('2.2.clean'!E:E,'2.2.clean'!D:D=C1725)),filter('2.4.clean'!C:C,'2.4.clean'!A:A=C1725))"),43880.0)</f>
        <v>43880</v>
      </c>
      <c r="F1725" s="25">
        <f>IFERROR(__xludf.DUMMYFUNCTION("iferror(ifna(IFNA(filter('2.1.clean'!E:E,'2.1.clean'!A:A=C1725),filter('2.2.clean'!G:G,'2.2.clean'!D:D=C1725)),filter('2.4.clean'!E:E,'2.4.clean'!A:A=C1725)),)"),2.39999999999999)</f>
        <v>2.4</v>
      </c>
      <c r="G1725" s="43">
        <f>IFERROR(__xludf.DUMMYFUNCTION("iferror(filter('3.1.clean'!C:C,'3.1.clean'!A:A=C1725),"""")"),43880.0)</f>
        <v>43880</v>
      </c>
      <c r="H1725" s="23" t="b">
        <f>if(G1725="",FALSE,TRUE)</f>
        <v>1</v>
      </c>
      <c r="J1725" s="25"/>
      <c r="K1725" s="43">
        <f>IFERROR(__xludf.DUMMYFUNCTION("iferror(filter('3.2.clean'!C:C,'3.2.clean'!A:A=C1725),"""")"),43880.0)</f>
        <v>43880</v>
      </c>
      <c r="L1725" s="25" t="b">
        <f>if(K1725="",FALSE,TRUE)</f>
        <v>1</v>
      </c>
      <c r="M1725" s="24">
        <f>IFERROR(__xludf.DUMMYFUNCTION("iferror(filter('3.3.clean'!C:C,'3.3.clean'!A:A=C1725),"""")"),43881.0)</f>
        <v>43881</v>
      </c>
      <c r="N1725" s="25" t="b">
        <f t="shared" si="1385"/>
        <v>1</v>
      </c>
      <c r="O1725" s="24">
        <f>IFERROR(__xludf.DUMMYFUNCTION("iferror(filter('3.4.clean'!C:C,'3.4.clean'!A:A=C1725),"""")"),43888.0)</f>
        <v>43888</v>
      </c>
      <c r="P1725" s="25" t="b">
        <f t="shared" si="1386"/>
        <v>1</v>
      </c>
      <c r="Q1725" s="24" t="str">
        <f>IFERROR(__xludf.DUMMYFUNCTION("iferror(filter('3.5.clean'!C:C,'3.5.clean'!A:A=C1725),"""")"),"")</f>
        <v/>
      </c>
      <c r="R1725" s="23" t="b">
        <f t="shared" si="1400"/>
        <v>0</v>
      </c>
      <c r="S1725" s="25"/>
      <c r="T1725" s="48"/>
      <c r="U1725" s="23"/>
      <c r="V1725" s="1" t="s">
        <v>64</v>
      </c>
      <c r="X1725" s="23" t="str">
        <f>IFERROR(__xludf.DUMMYFUNCTION("if(COUNTA(FILTER(C:C, C:C = C1725))=1,""no"",""yes"")"),"no")</f>
        <v>no</v>
      </c>
    </row>
    <row r="1726">
      <c r="A1726" s="75" t="s">
        <v>1075</v>
      </c>
      <c r="B1726" s="2">
        <v>17.0</v>
      </c>
      <c r="C1726" s="40" t="s">
        <v>4265</v>
      </c>
      <c r="D1726" s="22" t="str">
        <f>if(or(I1726=1,J1726=1,S1726=1),"pos","")</f>
        <v/>
      </c>
      <c r="E1726" s="20">
        <f>Q1726</f>
        <v>43880</v>
      </c>
      <c r="F1726" s="79" t="str">
        <f>IFERROR(__xludf.DUMMYFUNCTION("iferror(ifna(IFNA(filter('2.1.clean'!E:E,'2.1.clean'!A:A=C1726),filter('2.2.clean'!G:G,'2.2.clean'!D:D=C1726)),filter('2.4.clean'!E:E,'2.4.clean'!A:A=C1726)),)"),"")</f>
        <v/>
      </c>
      <c r="G1726" s="20" t="str">
        <f>IFERROR(__xludf.DUMMYFUNCTION("iferror(filter('3.1.clean'!C:C,'3.1.clean'!A:A=C1726),"""")"),"")</f>
        <v/>
      </c>
      <c r="H1726" s="22"/>
      <c r="I1726" s="22"/>
      <c r="J1726" s="79"/>
      <c r="K1726" s="20" t="str">
        <f>IFERROR(__xludf.DUMMYFUNCTION("iferror(filter('3.2.clean'!C:C,'3.2.clean'!A:A=C1726),"""")"),"")</f>
        <v/>
      </c>
      <c r="L1726" s="79"/>
      <c r="M1726" s="20" t="str">
        <f>IFERROR(__xludf.DUMMYFUNCTION("iferror(filter('3.3.clean'!C:C,'3.3.clean'!A:A=C1726),"""")"),"")</f>
        <v/>
      </c>
      <c r="N1726" s="79" t="b">
        <f t="shared" si="1385"/>
        <v>0</v>
      </c>
      <c r="O1726" s="20" t="str">
        <f>IFERROR(__xludf.DUMMYFUNCTION("iferror(filter('3.4.clean'!C:C,'3.4.clean'!A:A=C1726),"""")"),"")</f>
        <v/>
      </c>
      <c r="P1726" s="79" t="b">
        <f t="shared" si="1386"/>
        <v>0</v>
      </c>
      <c r="Q1726" s="20">
        <f>IFERROR(__xludf.DUMMYFUNCTION("iferror(filter('3.5.clean'!C:C,'3.5.clean'!A:A=C1726),"""")"),43880.0)</f>
        <v>43880</v>
      </c>
      <c r="R1726" s="22" t="b">
        <f t="shared" si="1400"/>
        <v>1</v>
      </c>
      <c r="S1726" s="4">
        <f>IFERROR(__xludf.DUMMYFUNCTION("iferror(filter('3.5.clean'!H:H,'3.5.clean'!A:A=C1726),"""")"),0.0)</f>
        <v>0</v>
      </c>
      <c r="V1726" s="1" t="s">
        <v>64</v>
      </c>
      <c r="W1726" s="23" t="b">
        <f>IF(and(R1726=TRUE,N1726=TRUE,P1726=TRUE),TRUE,FALSE)</f>
        <v>0</v>
      </c>
      <c r="X1726" s="23" t="str">
        <f>IFERROR(__xludf.DUMMYFUNCTION("if(COUNTA(FILTER(C:C, C:C = C1726))=1,""no"",""yes"")"),"no")</f>
        <v>no</v>
      </c>
    </row>
    <row r="1727">
      <c r="A1727" s="75" t="s">
        <v>1075</v>
      </c>
      <c r="B1727" s="2">
        <v>18.0</v>
      </c>
      <c r="C1727" s="39" t="s">
        <v>4271</v>
      </c>
      <c r="E1727" s="77">
        <f>G1727</f>
        <v>43880</v>
      </c>
      <c r="F1727" s="78" t="str">
        <f>IFERROR(__xludf.DUMMYFUNCTION("iferror(ifna(IFNA(filter('2.1.clean'!E:E,'2.1.clean'!A:A=C1727),filter('2.2.clean'!G:G,'2.2.clean'!D:D=C1727)),filter('2.4.clean'!E:E,'2.4.clean'!A:A=C1727)),)"),"")</f>
        <v/>
      </c>
      <c r="G1727" s="77">
        <f>IFERROR(__xludf.DUMMYFUNCTION("iferror(filter('3.1.clean'!C:C,'3.1.clean'!A:A=C1727),"""")"),43880.0)</f>
        <v>43880</v>
      </c>
      <c r="H1727" s="76" t="b">
        <f>if(G1727="",FALSE,TRUE)</f>
        <v>1</v>
      </c>
      <c r="I1727" s="76">
        <f>IFERROR(__xludf.DUMMYFUNCTION("iferror(filter('3.1.clean'!G:G,'3.1.clean'!A:A=C1727),"""")"),0.0)</f>
        <v>0</v>
      </c>
      <c r="J1727" s="78" t="str">
        <f>IFERROR(__xludf.DUMMYFUNCTION("iferror(filter('3.1.clean'!I:I,'3.1.clean'!A:A=C1727),"""")"),"")</f>
        <v/>
      </c>
      <c r="K1727" s="77"/>
      <c r="L1727" s="78"/>
      <c r="M1727" s="77"/>
      <c r="N1727" s="78"/>
      <c r="O1727" s="77"/>
      <c r="P1727" s="78"/>
      <c r="Q1727" s="77"/>
      <c r="R1727" s="76"/>
      <c r="S1727" s="25"/>
      <c r="T1727" s="1"/>
      <c r="V1727" s="1" t="s">
        <v>64</v>
      </c>
      <c r="W1727" s="1" t="b">
        <v>1</v>
      </c>
      <c r="X1727" s="23" t="str">
        <f>IFERROR(__xludf.DUMMYFUNCTION("if(COUNTA(FILTER(C:C, C:C = C1727))=1,""no"",""yes"")"),"no")</f>
        <v>no</v>
      </c>
    </row>
    <row r="1728">
      <c r="A1728" s="1" t="s">
        <v>1079</v>
      </c>
      <c r="B1728" s="2">
        <v>1.0</v>
      </c>
      <c r="C1728" s="19" t="s">
        <v>4277</v>
      </c>
      <c r="E1728" s="24">
        <f>IFERROR(__xludf.DUMMYFUNCTION("ifna(IFNA(filter('2.1.clean'!C:C,'2.1.clean'!A:A=C1728),filter('2.2.clean'!E:E,'2.2.clean'!D:D=C1728)),filter('2.4.clean'!C:C,'2.4.clean'!A:A=C1728))"),43881.0)</f>
        <v>43881</v>
      </c>
      <c r="F1728" s="25">
        <f>IFERROR(__xludf.DUMMYFUNCTION("iferror(ifna(IFNA(filter('2.1.clean'!E:E,'2.1.clean'!A:A=C1728),filter('2.2.clean'!G:G,'2.2.clean'!D:D=C1728)),filter('2.4.clean'!E:E,'2.4.clean'!A:A=C1728)),)"),2.39999999999999)</f>
        <v>2.4</v>
      </c>
      <c r="G1728" s="24"/>
      <c r="J1728" s="25"/>
      <c r="K1728" s="24"/>
      <c r="L1728" s="25"/>
      <c r="M1728" s="24" t="str">
        <f>IFERROR(__xludf.DUMMYFUNCTION("iferror(filter('3.3.clean'!C:C,'3.3.clean'!A:A=C1728),"""")"),"")</f>
        <v/>
      </c>
      <c r="N1728" s="25" t="b">
        <f t="shared" ref="N1728:N1757" si="1401">if(M1728="",FALSE,TRUE)</f>
        <v>0</v>
      </c>
      <c r="O1728" s="24">
        <f>IFERROR(__xludf.DUMMYFUNCTION("iferror(filter('3.4.clean'!C:C,'3.4.clean'!A:A=C1728),"""")"),43889.0)</f>
        <v>43889</v>
      </c>
      <c r="P1728" s="25" t="b">
        <f t="shared" ref="P1728:P1757" si="1402">if(O1728="",FALSE,TRUE)</f>
        <v>1</v>
      </c>
      <c r="Q1728" s="24">
        <f>IFERROR(__xludf.DUMMYFUNCTION("iferror(filter('3.5.clean'!C:C,'3.5.clean'!A:A=C1728),"""")"),43881.0)</f>
        <v>43881</v>
      </c>
      <c r="R1728" s="23" t="b">
        <f>if(Q1728="",FALSE,TRUE)</f>
        <v>1</v>
      </c>
      <c r="S1728" s="25">
        <v>0.0</v>
      </c>
      <c r="V1728" s="52" t="s">
        <v>64</v>
      </c>
      <c r="W1728" s="23" t="b">
        <f>IF(and(R1728=TRUE,N1728=TRUE,P1728=TRUE),TRUE,FALSE)</f>
        <v>0</v>
      </c>
      <c r="X1728" s="23" t="str">
        <f>IFERROR(__xludf.DUMMYFUNCTION("if(COUNTA(FILTER(C:C, C:C = C1728))=1,""no"",""yes"")"),"no")</f>
        <v>no</v>
      </c>
    </row>
    <row r="1729">
      <c r="A1729" s="1" t="s">
        <v>1079</v>
      </c>
      <c r="B1729" s="2">
        <v>2.0</v>
      </c>
      <c r="C1729" s="19" t="s">
        <v>4282</v>
      </c>
      <c r="D1729" s="58" t="str">
        <f t="shared" ref="D1729:D1730" si="1403">if(or(I1729=1,J1729=1,S1729=1),"pos","")</f>
        <v/>
      </c>
      <c r="E1729" s="59">
        <f>IFERROR(__xludf.DUMMYFUNCTION("ifna(IFNA(filter('2.1.clean'!C:C,'2.1.clean'!A:A=C1729),filter('2.2.clean'!E:E,'2.2.clean'!D:D=C1729)),filter('2.4.clean'!C:C,'2.4.clean'!A:A=C1729))"),43881.0)</f>
        <v>43881</v>
      </c>
      <c r="F1729" s="60">
        <f>IFERROR(__xludf.DUMMYFUNCTION("iferror(ifna(IFNA(filter('2.1.clean'!E:E,'2.1.clean'!A:A=C1729),filter('2.2.clean'!G:G,'2.2.clean'!D:D=C1729)),filter('2.4.clean'!E:E,'2.4.clean'!A:A=C1729)),)"),2.39999999999999)</f>
        <v>2.4</v>
      </c>
      <c r="G1729" s="59">
        <f>IFERROR(__xludf.DUMMYFUNCTION("iferror(filter('3.1.clean'!C:C,'3.1.clean'!A:A=C1729),"""")"),43881.0)</f>
        <v>43881</v>
      </c>
      <c r="H1729" s="58" t="b">
        <f>if(G1729="",FALSE,TRUE)</f>
        <v>1</v>
      </c>
      <c r="I1729" s="58">
        <f>IFERROR(__xludf.DUMMYFUNCTION("iferror(filter('3.1.clean'!G:G,'3.1.clean'!A:A=C1729),"""")"),0.0)</f>
        <v>0</v>
      </c>
      <c r="J1729" s="60" t="str">
        <f>IFERROR(__xludf.DUMMYFUNCTION("iferror(filter('3.1.clean'!I:I,'3.1.clean'!A:A=C1729),"""")"),"")</f>
        <v/>
      </c>
      <c r="K1729" s="58"/>
      <c r="L1729" s="60"/>
      <c r="M1729" s="59" t="str">
        <f>IFERROR(__xludf.DUMMYFUNCTION("iferror(filter('3.3.clean'!C:C,'3.3.clean'!A:A=C1729),"""")"),"")</f>
        <v/>
      </c>
      <c r="N1729" s="60" t="b">
        <f t="shared" si="1401"/>
        <v>0</v>
      </c>
      <c r="O1729" s="58" t="str">
        <f>IFERROR(__xludf.DUMMYFUNCTION("iferror(filter('3.4.clean'!C:C,'3.4.clean'!A:A=C1729),"""")"),"")</f>
        <v/>
      </c>
      <c r="P1729" s="60" t="b">
        <f t="shared" si="1402"/>
        <v>0</v>
      </c>
      <c r="Q1729" s="59" t="str">
        <f>IFERROR(__xludf.DUMMYFUNCTION("iferror(filter('3.5.clean'!C:C,'3.5.clean'!A:A=C1729),"""")"),"")</f>
        <v/>
      </c>
      <c r="R1729" s="58"/>
      <c r="S1729" s="4" t="str">
        <f>IFERROR(__xludf.DUMMYFUNCTION("iferror(filter('3.5.clean'!H:H,'3.5.clean'!A:A=C1729),"""")"),"")</f>
        <v/>
      </c>
      <c r="W1729" s="23" t="b">
        <f>if(AND(H1729=TRUE,N1729=TRUE,P1729=TRUE),TRUE,FALSE)</f>
        <v>0</v>
      </c>
      <c r="X1729" s="23" t="str">
        <f>IFERROR(__xludf.DUMMYFUNCTION("if(COUNTA(FILTER(C:C, C:C = C1729))=1,""no"",""yes"")"),"no")</f>
        <v>no</v>
      </c>
    </row>
    <row r="1730">
      <c r="A1730" s="1" t="s">
        <v>1079</v>
      </c>
      <c r="B1730" s="2">
        <v>2.5</v>
      </c>
      <c r="C1730" s="19" t="s">
        <v>4289</v>
      </c>
      <c r="D1730" s="58" t="str">
        <f t="shared" si="1403"/>
        <v/>
      </c>
      <c r="E1730" s="59">
        <f>Q1730</f>
        <v>43881</v>
      </c>
      <c r="F1730" s="60" t="str">
        <f>IFERROR(__xludf.DUMMYFUNCTION("iferror(ifna(IFNA(filter('2.1.clean'!E:E,'2.1.clean'!A:A=C1730),filter('2.2.clean'!G:G,'2.2.clean'!D:D=C1730)),filter('2.4.clean'!E:E,'2.4.clean'!A:A=C1730)),)"),"")</f>
        <v/>
      </c>
      <c r="G1730" s="59" t="str">
        <f>IFERROR(__xludf.DUMMYFUNCTION("iferror(filter('3.1.clean'!C:C,'3.1.clean'!A:A=C1730),"""")"),"")</f>
        <v/>
      </c>
      <c r="H1730" s="58"/>
      <c r="I1730" s="58" t="str">
        <f>IFERROR(__xludf.DUMMYFUNCTION("iferror(filter('3.1.clean'!G:G,'3.1.clean'!A:A=C1730),"""")"),"")</f>
        <v/>
      </c>
      <c r="J1730" s="60" t="str">
        <f>IFERROR(__xludf.DUMMYFUNCTION("iferror(filter('3.1.clean'!I:I,'3.1.clean'!A:A=C1730),"""")"),"")</f>
        <v/>
      </c>
      <c r="K1730" s="59"/>
      <c r="L1730" s="60"/>
      <c r="M1730" s="59" t="str">
        <f>IFERROR(__xludf.DUMMYFUNCTION("iferror(filter('3.3.clean'!C:C,'3.3.clean'!A:A=C1730),"""")"),"")</f>
        <v/>
      </c>
      <c r="N1730" s="60" t="b">
        <f t="shared" si="1401"/>
        <v>0</v>
      </c>
      <c r="O1730" s="59" t="str">
        <f>IFERROR(__xludf.DUMMYFUNCTION("iferror(filter('3.4.clean'!C:C,'3.4.clean'!A:A=C1730),"""")"),"")</f>
        <v/>
      </c>
      <c r="P1730" s="60" t="b">
        <f t="shared" si="1402"/>
        <v>0</v>
      </c>
      <c r="Q1730" s="59">
        <f>IFERROR(__xludf.DUMMYFUNCTION("iferror(filter('3.5.clean'!C:C,'3.5.clean'!A:A=C1730),"""")"),43881.0)</f>
        <v>43881</v>
      </c>
      <c r="R1730" s="58" t="b">
        <f t="shared" ref="R1730:R1731" si="1404">if(Q1730="",FALSE,TRUE)</f>
        <v>1</v>
      </c>
      <c r="S1730" s="4">
        <f>IFERROR(__xludf.DUMMYFUNCTION("iferror(filter('3.5.clean'!H:H,'3.5.clean'!A:A=C1730),"""")"),0.0)</f>
        <v>0</v>
      </c>
      <c r="V1730" s="52" t="s">
        <v>64</v>
      </c>
      <c r="W1730" s="23" t="b">
        <f>if(AND(R1730=TRUE,N1730=TRUE,P1730=TRUE),TRUE,FALSE)</f>
        <v>0</v>
      </c>
      <c r="X1730" s="23" t="str">
        <f>IFERROR(__xludf.DUMMYFUNCTION("if(COUNTA(FILTER(C:C, C:C = C1730))=1,""no"",""yes"")"),"no")</f>
        <v>no</v>
      </c>
    </row>
    <row r="1731">
      <c r="A1731" s="1" t="s">
        <v>1079</v>
      </c>
      <c r="B1731" s="2">
        <v>3.0</v>
      </c>
      <c r="C1731" s="19" t="s">
        <v>4291</v>
      </c>
      <c r="E1731" s="24">
        <f>IFERROR(__xludf.DUMMYFUNCTION("ifna(IFNA(filter('2.1.clean'!C:C,'2.1.clean'!A:A=C1731),filter('2.2.clean'!E:E,'2.2.clean'!D:D=C1731)),filter('2.4.clean'!C:C,'2.4.clean'!A:A=C1731))"),43881.0)</f>
        <v>43881</v>
      </c>
      <c r="F1731" s="25">
        <f>IFERROR(__xludf.DUMMYFUNCTION("iferror(ifna(IFNA(filter('2.1.clean'!E:E,'2.1.clean'!A:A=C1731),filter('2.2.clean'!G:G,'2.2.clean'!D:D=C1731)),filter('2.4.clean'!E:E,'2.4.clean'!A:A=C1731)),)"),2.39999999999999)</f>
        <v>2.4</v>
      </c>
      <c r="G1731" s="24"/>
      <c r="J1731" s="25"/>
      <c r="K1731" s="24"/>
      <c r="L1731" s="25"/>
      <c r="M1731" s="24" t="str">
        <f>IFERROR(__xludf.DUMMYFUNCTION("iferror(filter('3.3.clean'!C:C,'3.3.clean'!A:A=C1731),"""")"),"")</f>
        <v/>
      </c>
      <c r="N1731" s="25" t="b">
        <f t="shared" si="1401"/>
        <v>0</v>
      </c>
      <c r="O1731" s="24">
        <f>IFERROR(__xludf.DUMMYFUNCTION("iferror(filter('3.4.clean'!C:C,'3.4.clean'!A:A=C1731),"""")"),43889.0)</f>
        <v>43889</v>
      </c>
      <c r="P1731" s="25" t="b">
        <f t="shared" si="1402"/>
        <v>1</v>
      </c>
      <c r="Q1731" s="24">
        <f>IFERROR(__xludf.DUMMYFUNCTION("iferror(filter('3.5.clean'!C:C,'3.5.clean'!A:A=C1731),"""")"),43881.0)</f>
        <v>43881</v>
      </c>
      <c r="R1731" s="23" t="b">
        <f t="shared" si="1404"/>
        <v>1</v>
      </c>
      <c r="S1731" s="25">
        <v>0.0</v>
      </c>
      <c r="V1731" s="52" t="s">
        <v>64</v>
      </c>
      <c r="W1731" s="23" t="b">
        <f>IF(and(R1731=TRUE,N1731=TRUE,P1731=TRUE),TRUE,FALSE)</f>
        <v>0</v>
      </c>
      <c r="X1731" s="23" t="str">
        <f>IFERROR(__xludf.DUMMYFUNCTION("if(COUNTA(FILTER(C:C, C:C = C1731))=1,""no"",""yes"")"),"no")</f>
        <v>no</v>
      </c>
    </row>
    <row r="1732">
      <c r="A1732" s="1" t="s">
        <v>1079</v>
      </c>
      <c r="B1732" s="2">
        <v>4.0</v>
      </c>
      <c r="C1732" s="19" t="s">
        <v>4297</v>
      </c>
      <c r="D1732" s="58" t="str">
        <f t="shared" ref="D1732:D1733" si="1405">if(or(I1732=1,J1732=1,S1732=1),"pos","")</f>
        <v/>
      </c>
      <c r="E1732" s="59">
        <f>IFERROR(__xludf.DUMMYFUNCTION("ifna(IFNA(filter('2.1.clean'!C:C,'2.1.clean'!A:A=C1732),filter('2.2.clean'!E:E,'2.2.clean'!D:D=C1732)),filter('2.4.clean'!C:C,'2.4.clean'!A:A=C1732))"),43881.0)</f>
        <v>43881</v>
      </c>
      <c r="F1732" s="60">
        <f>IFERROR(__xludf.DUMMYFUNCTION("iferror(ifna(IFNA(filter('2.1.clean'!E:E,'2.1.clean'!A:A=C1732),filter('2.2.clean'!G:G,'2.2.clean'!D:D=C1732)),filter('2.4.clean'!E:E,'2.4.clean'!A:A=C1732)),)"),2.39999999999999)</f>
        <v>2.4</v>
      </c>
      <c r="G1732" s="59">
        <f>IFERROR(__xludf.DUMMYFUNCTION("iferror(filter('3.1.clean'!C:C,'3.1.clean'!A:A=C1732),"""")"),43881.0)</f>
        <v>43881</v>
      </c>
      <c r="H1732" s="58" t="b">
        <f>if(G1732="",FALSE,TRUE)</f>
        <v>1</v>
      </c>
      <c r="I1732" s="58">
        <f>IFERROR(__xludf.DUMMYFUNCTION("iferror(filter('3.1.clean'!G:G,'3.1.clean'!A:A=C1732),"""")"),0.0)</f>
        <v>0</v>
      </c>
      <c r="J1732" s="60" t="str">
        <f>IFERROR(__xludf.DUMMYFUNCTION("iferror(filter('3.1.clean'!I:I,'3.1.clean'!A:A=C1732),"""")"),"")</f>
        <v/>
      </c>
      <c r="K1732" s="58"/>
      <c r="L1732" s="60"/>
      <c r="M1732" s="59" t="str">
        <f>IFERROR(__xludf.DUMMYFUNCTION("iferror(filter('3.3.clean'!C:C,'3.3.clean'!A:A=C1732),"""")"),"")</f>
        <v/>
      </c>
      <c r="N1732" s="60" t="b">
        <f t="shared" si="1401"/>
        <v>0</v>
      </c>
      <c r="O1732" s="59">
        <f>IFERROR(__xludf.DUMMYFUNCTION("iferror(filter('3.4.clean'!C:C,'3.4.clean'!A:A=C1732),"""")"),43889.0)</f>
        <v>43889</v>
      </c>
      <c r="P1732" s="60" t="b">
        <f t="shared" si="1402"/>
        <v>1</v>
      </c>
      <c r="Q1732" s="59" t="str">
        <f>IFERROR(__xludf.DUMMYFUNCTION("iferror(filter('3.5.clean'!C:C,'3.5.clean'!A:A=C1732),"""")"),"")</f>
        <v/>
      </c>
      <c r="R1732" s="58"/>
      <c r="S1732" s="4" t="str">
        <f>IFERROR(__xludf.DUMMYFUNCTION("iferror(filter('3.5.clean'!H:H,'3.5.clean'!A:A=C1732),"""")"),"")</f>
        <v/>
      </c>
      <c r="W1732" s="23" t="b">
        <f>if(AND(H1732=TRUE,N1732=TRUE,P1732=TRUE),TRUE,FALSE)</f>
        <v>0</v>
      </c>
      <c r="X1732" s="23" t="str">
        <f>IFERROR(__xludf.DUMMYFUNCTION("if(COUNTA(FILTER(C:C, C:C = C1732))=1,""no"",""yes"")"),"no")</f>
        <v>no</v>
      </c>
    </row>
    <row r="1733">
      <c r="A1733" s="1" t="s">
        <v>1079</v>
      </c>
      <c r="B1733" s="2">
        <v>4.5</v>
      </c>
      <c r="C1733" s="19" t="s">
        <v>4305</v>
      </c>
      <c r="D1733" s="58" t="str">
        <f t="shared" si="1405"/>
        <v/>
      </c>
      <c r="E1733" s="59">
        <f>Q1733</f>
        <v>43881</v>
      </c>
      <c r="F1733" s="60" t="str">
        <f>IFERROR(__xludf.DUMMYFUNCTION("iferror(ifna(IFNA(filter('2.1.clean'!E:E,'2.1.clean'!A:A=C1733),filter('2.2.clean'!G:G,'2.2.clean'!D:D=C1733)),filter('2.4.clean'!E:E,'2.4.clean'!A:A=C1733)),)"),"")</f>
        <v/>
      </c>
      <c r="G1733" s="59" t="str">
        <f>IFERROR(__xludf.DUMMYFUNCTION("iferror(filter('3.1.clean'!C:C,'3.1.clean'!A:A=C1733),"""")"),"")</f>
        <v/>
      </c>
      <c r="H1733" s="58"/>
      <c r="I1733" s="58" t="str">
        <f>IFERROR(__xludf.DUMMYFUNCTION("iferror(filter('3.1.clean'!G:G,'3.1.clean'!A:A=C1733),"""")"),"")</f>
        <v/>
      </c>
      <c r="J1733" s="60" t="str">
        <f>IFERROR(__xludf.DUMMYFUNCTION("iferror(filter('3.1.clean'!I:I,'3.1.clean'!A:A=C1733),"""")"),"")</f>
        <v/>
      </c>
      <c r="K1733" s="59"/>
      <c r="L1733" s="60"/>
      <c r="M1733" s="59" t="str">
        <f>IFERROR(__xludf.DUMMYFUNCTION("iferror(filter('3.3.clean'!C:C,'3.3.clean'!A:A=C1733),"""")"),"")</f>
        <v/>
      </c>
      <c r="N1733" s="60" t="b">
        <f t="shared" si="1401"/>
        <v>0</v>
      </c>
      <c r="O1733" s="59" t="str">
        <f>IFERROR(__xludf.DUMMYFUNCTION("iferror(filter('3.4.clean'!C:C,'3.4.clean'!A:A=C1733),"""")"),"")</f>
        <v/>
      </c>
      <c r="P1733" s="60" t="b">
        <f t="shared" si="1402"/>
        <v>0</v>
      </c>
      <c r="Q1733" s="59">
        <f>IFERROR(__xludf.DUMMYFUNCTION("iferror(filter('3.5.clean'!C:C,'3.5.clean'!A:A=C1733),"""")"),43881.0)</f>
        <v>43881</v>
      </c>
      <c r="R1733" s="58" t="b">
        <f t="shared" ref="R1733:R1734" si="1406">if(Q1733="",FALSE,TRUE)</f>
        <v>1</v>
      </c>
      <c r="S1733" s="4">
        <f>IFERROR(__xludf.DUMMYFUNCTION("iferror(filter('3.5.clean'!H:H,'3.5.clean'!A:A=C1733),"""")"),0.0)</f>
        <v>0</v>
      </c>
      <c r="V1733" s="52" t="s">
        <v>64</v>
      </c>
      <c r="W1733" s="23" t="b">
        <f>if(AND(R1733=TRUE,N1733=TRUE,P1733=TRUE),TRUE,FALSE)</f>
        <v>0</v>
      </c>
      <c r="X1733" s="23" t="str">
        <f>IFERROR(__xludf.DUMMYFUNCTION("if(COUNTA(FILTER(C:C, C:C = C1733))=1,""no"",""yes"")"),"no")</f>
        <v>no</v>
      </c>
    </row>
    <row r="1734">
      <c r="A1734" s="1" t="s">
        <v>1079</v>
      </c>
      <c r="B1734" s="2">
        <v>5.0</v>
      </c>
      <c r="C1734" s="19" t="s">
        <v>4311</v>
      </c>
      <c r="E1734" s="24">
        <f>IFERROR(__xludf.DUMMYFUNCTION("ifna(IFNA(filter('2.1.clean'!C:C,'2.1.clean'!A:A=C1734),filter('2.2.clean'!E:E,'2.2.clean'!D:D=C1734)),filter('2.4.clean'!C:C,'2.4.clean'!A:A=C1734))"),43881.0)</f>
        <v>43881</v>
      </c>
      <c r="F1734" s="25">
        <f>IFERROR(__xludf.DUMMYFUNCTION("iferror(ifna(IFNA(filter('2.1.clean'!E:E,'2.1.clean'!A:A=C1734),filter('2.2.clean'!G:G,'2.2.clean'!D:D=C1734)),filter('2.4.clean'!E:E,'2.4.clean'!A:A=C1734)),)"),2.39999999999999)</f>
        <v>2.4</v>
      </c>
      <c r="G1734" s="24"/>
      <c r="J1734" s="25"/>
      <c r="K1734" s="24"/>
      <c r="L1734" s="25"/>
      <c r="M1734" s="24" t="str">
        <f>IFERROR(__xludf.DUMMYFUNCTION("iferror(filter('3.3.clean'!C:C,'3.3.clean'!A:A=C1734),"""")"),"")</f>
        <v/>
      </c>
      <c r="N1734" s="25" t="b">
        <f t="shared" si="1401"/>
        <v>0</v>
      </c>
      <c r="O1734" s="24">
        <f>IFERROR(__xludf.DUMMYFUNCTION("iferror(filter('3.4.clean'!C:C,'3.4.clean'!A:A=C1734),"""")"),43889.0)</f>
        <v>43889</v>
      </c>
      <c r="P1734" s="25" t="b">
        <f t="shared" si="1402"/>
        <v>1</v>
      </c>
      <c r="Q1734" s="24">
        <f>IFERROR(__xludf.DUMMYFUNCTION("iferror(filter('3.5.clean'!C:C,'3.5.clean'!A:A=C1734),"""")"),43881.0)</f>
        <v>43881</v>
      </c>
      <c r="R1734" s="23" t="b">
        <f t="shared" si="1406"/>
        <v>1</v>
      </c>
      <c r="S1734" s="25">
        <v>0.0</v>
      </c>
      <c r="V1734" s="52" t="s">
        <v>64</v>
      </c>
      <c r="W1734" s="23" t="b">
        <f>IF(and(R1734=TRUE,N1734=TRUE,P1734=TRUE),TRUE,FALSE)</f>
        <v>0</v>
      </c>
      <c r="X1734" s="23" t="str">
        <f>IFERROR(__xludf.DUMMYFUNCTION("if(COUNTA(FILTER(C:C, C:C = C1734))=1,""no"",""yes"")"),"no")</f>
        <v>no</v>
      </c>
    </row>
    <row r="1735">
      <c r="A1735" s="1" t="s">
        <v>1079</v>
      </c>
      <c r="B1735" s="2">
        <v>6.0</v>
      </c>
      <c r="C1735" s="19" t="s">
        <v>4318</v>
      </c>
      <c r="D1735" s="58" t="str">
        <f t="shared" ref="D1735:D1736" si="1407">if(or(I1735=1,J1735=1,S1735=1),"pos","")</f>
        <v/>
      </c>
      <c r="E1735" s="59">
        <f>IFERROR(__xludf.DUMMYFUNCTION("ifna(IFNA(filter('2.1.clean'!C:C,'2.1.clean'!A:A=C1735),filter('2.2.clean'!E:E,'2.2.clean'!D:D=C1735)),filter('2.4.clean'!C:C,'2.4.clean'!A:A=C1735))"),43881.0)</f>
        <v>43881</v>
      </c>
      <c r="F1735" s="60">
        <f>IFERROR(__xludf.DUMMYFUNCTION("iferror(ifna(IFNA(filter('2.1.clean'!E:E,'2.1.clean'!A:A=C1735),filter('2.2.clean'!G:G,'2.2.clean'!D:D=C1735)),filter('2.4.clean'!E:E,'2.4.clean'!A:A=C1735)),)"),2.39999999999999)</f>
        <v>2.4</v>
      </c>
      <c r="G1735" s="59">
        <f>IFERROR(__xludf.DUMMYFUNCTION("iferror(filter('3.1.clean'!C:C,'3.1.clean'!A:A=C1735),"""")"),43881.0)</f>
        <v>43881</v>
      </c>
      <c r="H1735" s="58" t="b">
        <f>if(G1735="",FALSE,TRUE)</f>
        <v>1</v>
      </c>
      <c r="I1735" s="58">
        <f>IFERROR(__xludf.DUMMYFUNCTION("iferror(filter('3.1.clean'!G:G,'3.1.clean'!A:A=C1735),"""")"),0.0)</f>
        <v>0</v>
      </c>
      <c r="J1735" s="60" t="str">
        <f>IFERROR(__xludf.DUMMYFUNCTION("iferror(filter('3.1.clean'!I:I,'3.1.clean'!A:A=C1735),"""")"),"")</f>
        <v/>
      </c>
      <c r="K1735" s="58"/>
      <c r="L1735" s="60"/>
      <c r="M1735" s="59" t="str">
        <f>IFERROR(__xludf.DUMMYFUNCTION("iferror(filter('3.3.clean'!C:C,'3.3.clean'!A:A=C1735),"""")"),"")</f>
        <v/>
      </c>
      <c r="N1735" s="60" t="b">
        <f t="shared" si="1401"/>
        <v>0</v>
      </c>
      <c r="O1735" s="59" t="str">
        <f>IFERROR(__xludf.DUMMYFUNCTION("iferror(filter('3.4.clean'!C:C,'3.4.clean'!A:A=C1735),"""")"),"")</f>
        <v/>
      </c>
      <c r="P1735" s="60" t="b">
        <f t="shared" si="1402"/>
        <v>0</v>
      </c>
      <c r="Q1735" s="59" t="str">
        <f>IFERROR(__xludf.DUMMYFUNCTION("iferror(filter('3.5.clean'!C:C,'3.5.clean'!A:A=C1735),"""")"),"")</f>
        <v/>
      </c>
      <c r="R1735" s="58"/>
      <c r="S1735" s="4" t="str">
        <f>IFERROR(__xludf.DUMMYFUNCTION("iferror(filter('3.5.clean'!H:H,'3.5.clean'!A:A=C1735),"""")"),"")</f>
        <v/>
      </c>
      <c r="W1735" s="23" t="b">
        <f>if(AND(H1735=TRUE,N1735=TRUE,P1735=TRUE),TRUE,FALSE)</f>
        <v>0</v>
      </c>
      <c r="X1735" s="23" t="str">
        <f>IFERROR(__xludf.DUMMYFUNCTION("if(COUNTA(FILTER(C:C, C:C = C1735))=1,""no"",""yes"")"),"no")</f>
        <v>no</v>
      </c>
    </row>
    <row r="1736">
      <c r="A1736" s="1" t="s">
        <v>1079</v>
      </c>
      <c r="B1736" s="2">
        <v>6.5</v>
      </c>
      <c r="C1736" s="19" t="s">
        <v>4323</v>
      </c>
      <c r="D1736" s="58" t="str">
        <f t="shared" si="1407"/>
        <v/>
      </c>
      <c r="E1736" s="59">
        <f>Q1736</f>
        <v>43881</v>
      </c>
      <c r="F1736" s="60" t="str">
        <f>IFERROR(__xludf.DUMMYFUNCTION("iferror(ifna(IFNA(filter('2.1.clean'!E:E,'2.1.clean'!A:A=C1736),filter('2.2.clean'!G:G,'2.2.clean'!D:D=C1736)),filter('2.4.clean'!E:E,'2.4.clean'!A:A=C1736)),)"),"")</f>
        <v/>
      </c>
      <c r="G1736" s="59" t="str">
        <f>IFERROR(__xludf.DUMMYFUNCTION("iferror(filter('3.1.clean'!C:C,'3.1.clean'!A:A=C1736),"""")"),"")</f>
        <v/>
      </c>
      <c r="H1736" s="58"/>
      <c r="I1736" s="58" t="str">
        <f>IFERROR(__xludf.DUMMYFUNCTION("iferror(filter('3.1.clean'!G:G,'3.1.clean'!A:A=C1736),"""")"),"")</f>
        <v/>
      </c>
      <c r="J1736" s="60" t="str">
        <f>IFERROR(__xludf.DUMMYFUNCTION("iferror(filter('3.1.clean'!I:I,'3.1.clean'!A:A=C1736),"""")"),"")</f>
        <v/>
      </c>
      <c r="K1736" s="59"/>
      <c r="L1736" s="60"/>
      <c r="M1736" s="59" t="str">
        <f>IFERROR(__xludf.DUMMYFUNCTION("iferror(filter('3.3.clean'!C:C,'3.3.clean'!A:A=C1736),"""")"),"")</f>
        <v/>
      </c>
      <c r="N1736" s="60" t="b">
        <f t="shared" si="1401"/>
        <v>0</v>
      </c>
      <c r="O1736" s="59" t="str">
        <f>IFERROR(__xludf.DUMMYFUNCTION("iferror(filter('3.4.clean'!C:C,'3.4.clean'!A:A=C1736),"""")"),"")</f>
        <v/>
      </c>
      <c r="P1736" s="60" t="b">
        <f t="shared" si="1402"/>
        <v>0</v>
      </c>
      <c r="Q1736" s="59">
        <f>IFERROR(__xludf.DUMMYFUNCTION("iferror(filter('3.5.clean'!C:C,'3.5.clean'!A:A=C1736),"""")"),43881.0)</f>
        <v>43881</v>
      </c>
      <c r="R1736" s="58" t="b">
        <f t="shared" ref="R1736:R1737" si="1408">if(Q1736="",FALSE,TRUE)</f>
        <v>1</v>
      </c>
      <c r="S1736" s="4">
        <f>IFERROR(__xludf.DUMMYFUNCTION("iferror(filter('3.5.clean'!H:H,'3.5.clean'!A:A=C1736),"""")"),0.0)</f>
        <v>0</v>
      </c>
      <c r="V1736" s="52" t="s">
        <v>64</v>
      </c>
      <c r="W1736" s="23" t="b">
        <f>if(AND(R1736=TRUE,N1736=TRUE,P1736=TRUE),TRUE,FALSE)</f>
        <v>0</v>
      </c>
      <c r="X1736" s="23" t="str">
        <f>IFERROR(__xludf.DUMMYFUNCTION("if(COUNTA(FILTER(C:C, C:C = C1736))=1,""no"",""yes"")"),"no")</f>
        <v>no</v>
      </c>
    </row>
    <row r="1737">
      <c r="A1737" s="1" t="s">
        <v>1079</v>
      </c>
      <c r="B1737" s="2">
        <v>7.0</v>
      </c>
      <c r="C1737" s="19" t="s">
        <v>4327</v>
      </c>
      <c r="E1737" s="24">
        <f>IFERROR(__xludf.DUMMYFUNCTION("ifna(IFNA(filter('2.1.clean'!C:C,'2.1.clean'!A:A=C1737),filter('2.2.clean'!E:E,'2.2.clean'!D:D=C1737)),filter('2.4.clean'!C:C,'2.4.clean'!A:A=C1737))"),43881.0)</f>
        <v>43881</v>
      </c>
      <c r="F1737" s="25">
        <f>IFERROR(__xludf.DUMMYFUNCTION("iferror(ifna(IFNA(filter('2.1.clean'!E:E,'2.1.clean'!A:A=C1737),filter('2.2.clean'!G:G,'2.2.clean'!D:D=C1737)),filter('2.4.clean'!E:E,'2.4.clean'!A:A=C1737)),)"),2.39999999999999)</f>
        <v>2.4</v>
      </c>
      <c r="G1737" s="24"/>
      <c r="J1737" s="25"/>
      <c r="K1737" s="24"/>
      <c r="L1737" s="25"/>
      <c r="M1737" s="24" t="str">
        <f>IFERROR(__xludf.DUMMYFUNCTION("iferror(filter('3.3.clean'!C:C,'3.3.clean'!A:A=C1737),"""")"),"")</f>
        <v/>
      </c>
      <c r="N1737" s="25" t="b">
        <f t="shared" si="1401"/>
        <v>0</v>
      </c>
      <c r="O1737" s="24">
        <f>IFERROR(__xludf.DUMMYFUNCTION("iferror(filter('3.4.clean'!C:C,'3.4.clean'!A:A=C1737),"""")"),43889.0)</f>
        <v>43889</v>
      </c>
      <c r="P1737" s="25" t="b">
        <f t="shared" si="1402"/>
        <v>1</v>
      </c>
      <c r="Q1737" s="24">
        <f>IFERROR(__xludf.DUMMYFUNCTION("iferror(filter('3.5.clean'!C:C,'3.5.clean'!A:A=C1737),"""")"),43881.0)</f>
        <v>43881</v>
      </c>
      <c r="R1737" s="23" t="b">
        <f t="shared" si="1408"/>
        <v>1</v>
      </c>
      <c r="S1737" s="25">
        <v>0.0</v>
      </c>
      <c r="V1737" s="52" t="s">
        <v>64</v>
      </c>
      <c r="W1737" s="23" t="b">
        <f>IF(and(R1737=TRUE,N1737=TRUE,P1737=TRUE),TRUE,FALSE)</f>
        <v>0</v>
      </c>
      <c r="X1737" s="23" t="str">
        <f>IFERROR(__xludf.DUMMYFUNCTION("if(COUNTA(FILTER(C:C, C:C = C1737))=1,""no"",""yes"")"),"no")</f>
        <v>no</v>
      </c>
    </row>
    <row r="1738">
      <c r="A1738" s="1" t="s">
        <v>1079</v>
      </c>
      <c r="B1738" s="2">
        <v>8.0</v>
      </c>
      <c r="C1738" s="19" t="s">
        <v>4332</v>
      </c>
      <c r="D1738" s="58" t="str">
        <f t="shared" ref="D1738:D1739" si="1409">if(or(I1738=1,J1738=1,S1738=1),"pos","")</f>
        <v/>
      </c>
      <c r="E1738" s="59">
        <f>IFERROR(__xludf.DUMMYFUNCTION("ifna(IFNA(filter('2.1.clean'!C:C,'2.1.clean'!A:A=C1738),filter('2.2.clean'!E:E,'2.2.clean'!D:D=C1738)),filter('2.4.clean'!C:C,'2.4.clean'!A:A=C1738))"),43881.0)</f>
        <v>43881</v>
      </c>
      <c r="F1738" s="60">
        <f>IFERROR(__xludf.DUMMYFUNCTION("iferror(ifna(IFNA(filter('2.1.clean'!E:E,'2.1.clean'!A:A=C1738),filter('2.2.clean'!G:G,'2.2.clean'!D:D=C1738)),filter('2.4.clean'!E:E,'2.4.clean'!A:A=C1738)),)"),2.39999999999999)</f>
        <v>2.4</v>
      </c>
      <c r="G1738" s="59">
        <f>IFERROR(__xludf.DUMMYFUNCTION("iferror(filter('3.1.clean'!C:C,'3.1.clean'!A:A=C1738),"""")"),43881.0)</f>
        <v>43881</v>
      </c>
      <c r="H1738" s="58" t="b">
        <f>if(G1738="",FALSE,TRUE)</f>
        <v>1</v>
      </c>
      <c r="I1738" s="58">
        <f>IFERROR(__xludf.DUMMYFUNCTION("iferror(filter('3.1.clean'!G:G,'3.1.clean'!A:A=C1738),"""")"),0.0)</f>
        <v>0</v>
      </c>
      <c r="J1738" s="60" t="str">
        <f>IFERROR(__xludf.DUMMYFUNCTION("iferror(filter('3.1.clean'!I:I,'3.1.clean'!A:A=C1738),"""")"),"")</f>
        <v/>
      </c>
      <c r="K1738" s="58"/>
      <c r="L1738" s="60"/>
      <c r="M1738" s="59" t="str">
        <f>IFERROR(__xludf.DUMMYFUNCTION("iferror(filter('3.3.clean'!C:C,'3.3.clean'!A:A=C1738),"""")"),"")</f>
        <v/>
      </c>
      <c r="N1738" s="60" t="b">
        <f t="shared" si="1401"/>
        <v>0</v>
      </c>
      <c r="O1738" s="59" t="str">
        <f>IFERROR(__xludf.DUMMYFUNCTION("iferror(filter('3.4.clean'!C:C,'3.4.clean'!A:A=C1738),"""")"),"")</f>
        <v/>
      </c>
      <c r="P1738" s="60" t="b">
        <f t="shared" si="1402"/>
        <v>0</v>
      </c>
      <c r="Q1738" s="59" t="str">
        <f>IFERROR(__xludf.DUMMYFUNCTION("iferror(filter('3.5.clean'!C:C,'3.5.clean'!A:A=C1738),"""")"),"")</f>
        <v/>
      </c>
      <c r="R1738" s="58"/>
      <c r="S1738" s="4" t="str">
        <f>IFERROR(__xludf.DUMMYFUNCTION("iferror(filter('3.5.clean'!H:H,'3.5.clean'!A:A=C1738),"""")"),"")</f>
        <v/>
      </c>
      <c r="W1738" s="23" t="b">
        <f>if(AND(H1738=TRUE,N1738=TRUE,P1738=TRUE),TRUE,FALSE)</f>
        <v>0</v>
      </c>
      <c r="X1738" s="23" t="str">
        <f>IFERROR(__xludf.DUMMYFUNCTION("if(COUNTA(FILTER(C:C, C:C = C1738))=1,""no"",""yes"")"),"no")</f>
        <v>no</v>
      </c>
    </row>
    <row r="1739">
      <c r="A1739" s="1" t="s">
        <v>1079</v>
      </c>
      <c r="B1739" s="2">
        <v>8.5</v>
      </c>
      <c r="C1739" s="19" t="s">
        <v>4339</v>
      </c>
      <c r="D1739" s="58" t="str">
        <f t="shared" si="1409"/>
        <v/>
      </c>
      <c r="E1739" s="59">
        <f>Q1739</f>
        <v>43881</v>
      </c>
      <c r="F1739" s="60" t="str">
        <f>IFERROR(__xludf.DUMMYFUNCTION("iferror(ifna(IFNA(filter('2.1.clean'!E:E,'2.1.clean'!A:A=C1739),filter('2.2.clean'!G:G,'2.2.clean'!D:D=C1739)),filter('2.4.clean'!E:E,'2.4.clean'!A:A=C1739)),)"),"")</f>
        <v/>
      </c>
      <c r="G1739" s="59" t="str">
        <f>IFERROR(__xludf.DUMMYFUNCTION("iferror(filter('3.1.clean'!C:C,'3.1.clean'!A:A=C1739),"""")"),"")</f>
        <v/>
      </c>
      <c r="H1739" s="58"/>
      <c r="I1739" s="58" t="str">
        <f>IFERROR(__xludf.DUMMYFUNCTION("iferror(filter('3.1.clean'!G:G,'3.1.clean'!A:A=C1739),"""")"),"")</f>
        <v/>
      </c>
      <c r="J1739" s="60" t="str">
        <f>IFERROR(__xludf.DUMMYFUNCTION("iferror(filter('3.1.clean'!I:I,'3.1.clean'!A:A=C1739),"""")"),"")</f>
        <v/>
      </c>
      <c r="K1739" s="59"/>
      <c r="L1739" s="60"/>
      <c r="M1739" s="59" t="str">
        <f>IFERROR(__xludf.DUMMYFUNCTION("iferror(filter('3.3.clean'!C:C,'3.3.clean'!A:A=C1739),"""")"),"")</f>
        <v/>
      </c>
      <c r="N1739" s="60" t="b">
        <f t="shared" si="1401"/>
        <v>0</v>
      </c>
      <c r="O1739" s="59" t="str">
        <f>IFERROR(__xludf.DUMMYFUNCTION("iferror(filter('3.4.clean'!C:C,'3.4.clean'!A:A=C1739),"""")"),"")</f>
        <v/>
      </c>
      <c r="P1739" s="60" t="b">
        <f t="shared" si="1402"/>
        <v>0</v>
      </c>
      <c r="Q1739" s="59">
        <f>IFERROR(__xludf.DUMMYFUNCTION("iferror(filter('3.5.clean'!C:C,'3.5.clean'!A:A=C1739),"""")"),43881.0)</f>
        <v>43881</v>
      </c>
      <c r="R1739" s="58" t="b">
        <f t="shared" ref="R1739:R1740" si="1410">if(Q1739="",FALSE,TRUE)</f>
        <v>1</v>
      </c>
      <c r="S1739" s="4">
        <f>IFERROR(__xludf.DUMMYFUNCTION("iferror(filter('3.5.clean'!H:H,'3.5.clean'!A:A=C1739),"""")"),0.0)</f>
        <v>0</v>
      </c>
      <c r="V1739" s="52" t="s">
        <v>64</v>
      </c>
      <c r="W1739" s="23" t="b">
        <f>if(AND(R1739=TRUE,N1739=TRUE,P1739=TRUE),TRUE,FALSE)</f>
        <v>0</v>
      </c>
      <c r="X1739" s="23" t="str">
        <f>IFERROR(__xludf.DUMMYFUNCTION("if(COUNTA(FILTER(C:C, C:C = C1739))=1,""no"",""yes"")"),"no")</f>
        <v>no</v>
      </c>
    </row>
    <row r="1740">
      <c r="A1740" s="1" t="s">
        <v>1079</v>
      </c>
      <c r="B1740" s="2">
        <v>9.0</v>
      </c>
      <c r="C1740" s="19" t="s">
        <v>4343</v>
      </c>
      <c r="E1740" s="24">
        <f>IFERROR(__xludf.DUMMYFUNCTION("ifna(IFNA(filter('2.1.clean'!C:C,'2.1.clean'!A:A=C1740),filter('2.2.clean'!E:E,'2.2.clean'!D:D=C1740)),filter('2.4.clean'!C:C,'2.4.clean'!A:A=C1740))"),43881.0)</f>
        <v>43881</v>
      </c>
      <c r="F1740" s="25">
        <f>IFERROR(__xludf.DUMMYFUNCTION("iferror(ifna(IFNA(filter('2.1.clean'!E:E,'2.1.clean'!A:A=C1740),filter('2.2.clean'!G:G,'2.2.clean'!D:D=C1740)),filter('2.4.clean'!E:E,'2.4.clean'!A:A=C1740)),)"),2.39999999999999)</f>
        <v>2.4</v>
      </c>
      <c r="G1740" s="24"/>
      <c r="J1740" s="25"/>
      <c r="K1740" s="24"/>
      <c r="L1740" s="25"/>
      <c r="M1740" s="24" t="str">
        <f>IFERROR(__xludf.DUMMYFUNCTION("iferror(filter('3.3.clean'!C:C,'3.3.clean'!A:A=C1740),"""")"),"")</f>
        <v/>
      </c>
      <c r="N1740" s="25" t="b">
        <f t="shared" si="1401"/>
        <v>0</v>
      </c>
      <c r="O1740" s="24">
        <f>IFERROR(__xludf.DUMMYFUNCTION("iferror(filter('3.4.clean'!C:C,'3.4.clean'!A:A=C1740),"""")"),43889.0)</f>
        <v>43889</v>
      </c>
      <c r="P1740" s="25" t="b">
        <f t="shared" si="1402"/>
        <v>1</v>
      </c>
      <c r="Q1740" s="24">
        <f>IFERROR(__xludf.DUMMYFUNCTION("iferror(filter('3.5.clean'!C:C,'3.5.clean'!A:A=C1740),"""")"),43881.0)</f>
        <v>43881</v>
      </c>
      <c r="R1740" s="23" t="b">
        <f t="shared" si="1410"/>
        <v>1</v>
      </c>
      <c r="S1740" s="25">
        <v>0.0</v>
      </c>
      <c r="V1740" s="52" t="s">
        <v>64</v>
      </c>
      <c r="W1740" s="23" t="b">
        <f>IF(and(R1740=TRUE,N1740=TRUE,P1740=TRUE),TRUE,FALSE)</f>
        <v>0</v>
      </c>
      <c r="X1740" s="23" t="str">
        <f>IFERROR(__xludf.DUMMYFUNCTION("if(COUNTA(FILTER(C:C, C:C = C1740))=1,""no"",""yes"")"),"no")</f>
        <v>no</v>
      </c>
    </row>
    <row r="1741">
      <c r="A1741" s="1" t="s">
        <v>1079</v>
      </c>
      <c r="B1741" s="2">
        <v>10.0</v>
      </c>
      <c r="C1741" s="19" t="s">
        <v>4346</v>
      </c>
      <c r="D1741" s="58" t="str">
        <f t="shared" ref="D1741:D1742" si="1411">if(or(I1741=1,J1741=1,S1741=1),"pos","")</f>
        <v/>
      </c>
      <c r="E1741" s="59">
        <f>IFERROR(__xludf.DUMMYFUNCTION("ifna(IFNA(filter('2.1.clean'!C:C,'2.1.clean'!A:A=C1741),filter('2.2.clean'!E:E,'2.2.clean'!D:D=C1741)),filter('2.4.clean'!C:C,'2.4.clean'!A:A=C1741))"),43881.0)</f>
        <v>43881</v>
      </c>
      <c r="F1741" s="60">
        <f>IFERROR(__xludf.DUMMYFUNCTION("iferror(ifna(IFNA(filter('2.1.clean'!E:E,'2.1.clean'!A:A=C1741),filter('2.2.clean'!G:G,'2.2.clean'!D:D=C1741)),filter('2.4.clean'!E:E,'2.4.clean'!A:A=C1741)),)"),2.39999999999999)</f>
        <v>2.4</v>
      </c>
      <c r="G1741" s="59">
        <f>IFERROR(__xludf.DUMMYFUNCTION("iferror(filter('3.1.clean'!C:C,'3.1.clean'!A:A=C1741),"""")"),43881.0)</f>
        <v>43881</v>
      </c>
      <c r="H1741" s="58" t="b">
        <f>if(G1741="",FALSE,TRUE)</f>
        <v>1</v>
      </c>
      <c r="I1741" s="58">
        <f>IFERROR(__xludf.DUMMYFUNCTION("iferror(filter('3.1.clean'!G:G,'3.1.clean'!A:A=C1741),"""")"),0.0)</f>
        <v>0</v>
      </c>
      <c r="J1741" s="60" t="str">
        <f>IFERROR(__xludf.DUMMYFUNCTION("iferror(filter('3.1.clean'!I:I,'3.1.clean'!A:A=C1741),"""")"),"")</f>
        <v/>
      </c>
      <c r="K1741" s="58"/>
      <c r="L1741" s="60"/>
      <c r="M1741" s="59" t="str">
        <f>IFERROR(__xludf.DUMMYFUNCTION("iferror(filter('3.3.clean'!C:C,'3.3.clean'!A:A=C1741),"""")"),"")</f>
        <v/>
      </c>
      <c r="N1741" s="60" t="b">
        <f t="shared" si="1401"/>
        <v>0</v>
      </c>
      <c r="O1741" s="59" t="str">
        <f>IFERROR(__xludf.DUMMYFUNCTION("iferror(filter('3.4.clean'!C:C,'3.4.clean'!A:A=C1741),"""")"),"")</f>
        <v/>
      </c>
      <c r="P1741" s="60" t="b">
        <f t="shared" si="1402"/>
        <v>0</v>
      </c>
      <c r="Q1741" s="59" t="str">
        <f>IFERROR(__xludf.DUMMYFUNCTION("iferror(filter('3.5.clean'!C:C,'3.5.clean'!A:A=C1741),"""")"),"")</f>
        <v/>
      </c>
      <c r="R1741" s="58"/>
      <c r="S1741" s="4" t="str">
        <f>IFERROR(__xludf.DUMMYFUNCTION("iferror(filter('3.5.clean'!H:H,'3.5.clean'!A:A=C1741),"""")"),"")</f>
        <v/>
      </c>
      <c r="W1741" s="23" t="b">
        <f>if(AND(H1741=TRUE,N1741=TRUE,P1741=TRUE),TRUE,FALSE)</f>
        <v>0</v>
      </c>
      <c r="X1741" s="23" t="str">
        <f>IFERROR(__xludf.DUMMYFUNCTION("if(COUNTA(FILTER(C:C, C:C = C1741))=1,""no"",""yes"")"),"no")</f>
        <v>no</v>
      </c>
    </row>
    <row r="1742">
      <c r="A1742" s="1" t="s">
        <v>1079</v>
      </c>
      <c r="B1742" s="2">
        <v>10.5</v>
      </c>
      <c r="C1742" s="19" t="s">
        <v>4353</v>
      </c>
      <c r="D1742" s="58" t="str">
        <f t="shared" si="1411"/>
        <v/>
      </c>
      <c r="E1742" s="59">
        <f>Q1742</f>
        <v>43881</v>
      </c>
      <c r="F1742" s="60" t="str">
        <f>IFERROR(__xludf.DUMMYFUNCTION("iferror(ifna(IFNA(filter('2.1.clean'!E:E,'2.1.clean'!A:A=C1742),filter('2.2.clean'!G:G,'2.2.clean'!D:D=C1742)),filter('2.4.clean'!E:E,'2.4.clean'!A:A=C1742)),)"),"")</f>
        <v/>
      </c>
      <c r="G1742" s="59" t="str">
        <f>IFERROR(__xludf.DUMMYFUNCTION("iferror(filter('3.1.clean'!C:C,'3.1.clean'!A:A=C1742),"""")"),"")</f>
        <v/>
      </c>
      <c r="H1742" s="58"/>
      <c r="I1742" s="58" t="str">
        <f>IFERROR(__xludf.DUMMYFUNCTION("iferror(filter('3.1.clean'!G:G,'3.1.clean'!A:A=C1742),"""")"),"")</f>
        <v/>
      </c>
      <c r="J1742" s="60" t="str">
        <f>IFERROR(__xludf.DUMMYFUNCTION("iferror(filter('3.1.clean'!I:I,'3.1.clean'!A:A=C1742),"""")"),"")</f>
        <v/>
      </c>
      <c r="K1742" s="59"/>
      <c r="L1742" s="60"/>
      <c r="M1742" s="59" t="str">
        <f>IFERROR(__xludf.DUMMYFUNCTION("iferror(filter('3.3.clean'!C:C,'3.3.clean'!A:A=C1742),"""")"),"")</f>
        <v/>
      </c>
      <c r="N1742" s="60" t="b">
        <f t="shared" si="1401"/>
        <v>0</v>
      </c>
      <c r="O1742" s="59" t="str">
        <f>IFERROR(__xludf.DUMMYFUNCTION("iferror(filter('3.4.clean'!C:C,'3.4.clean'!A:A=C1742),"""")"),"")</f>
        <v/>
      </c>
      <c r="P1742" s="60" t="b">
        <f t="shared" si="1402"/>
        <v>0</v>
      </c>
      <c r="Q1742" s="59">
        <f>IFERROR(__xludf.DUMMYFUNCTION("iferror(filter('3.5.clean'!C:C,'3.5.clean'!A:A=C1742),"""")"),43881.0)</f>
        <v>43881</v>
      </c>
      <c r="R1742" s="58" t="b">
        <f t="shared" ref="R1742:R1743" si="1412">if(Q1742="",FALSE,TRUE)</f>
        <v>1</v>
      </c>
      <c r="S1742" s="4">
        <f>IFERROR(__xludf.DUMMYFUNCTION("iferror(filter('3.5.clean'!H:H,'3.5.clean'!A:A=C1742),"""")"),0.0)</f>
        <v>0</v>
      </c>
      <c r="V1742" s="52" t="s">
        <v>64</v>
      </c>
      <c r="W1742" s="23" t="b">
        <f>if(AND(R1742=TRUE,N1742=TRUE,P1742=TRUE),TRUE,FALSE)</f>
        <v>0</v>
      </c>
      <c r="X1742" s="23" t="str">
        <f>IFERROR(__xludf.DUMMYFUNCTION("if(COUNTA(FILTER(C:C, C:C = C1742))=1,""no"",""yes"")"),"no")</f>
        <v>no</v>
      </c>
    </row>
    <row r="1743">
      <c r="A1743" s="1" t="s">
        <v>1079</v>
      </c>
      <c r="B1743" s="2">
        <v>11.0</v>
      </c>
      <c r="C1743" s="19" t="s">
        <v>4354</v>
      </c>
      <c r="E1743" s="24">
        <f>IFERROR(__xludf.DUMMYFUNCTION("ifna(IFNA(filter('2.1.clean'!C:C,'2.1.clean'!A:A=C1743),filter('2.2.clean'!E:E,'2.2.clean'!D:D=C1743)),filter('2.4.clean'!C:C,'2.4.clean'!A:A=C1743))"),43881.0)</f>
        <v>43881</v>
      </c>
      <c r="F1743" s="25">
        <f>IFERROR(__xludf.DUMMYFUNCTION("iferror(ifna(IFNA(filter('2.1.clean'!E:E,'2.1.clean'!A:A=C1743),filter('2.2.clean'!G:G,'2.2.clean'!D:D=C1743)),filter('2.4.clean'!E:E,'2.4.clean'!A:A=C1743)),)"),2.39999999999999)</f>
        <v>2.4</v>
      </c>
      <c r="G1743" s="24">
        <f>IFERROR(__xludf.DUMMYFUNCTION("iferror(filter('3.1.clean'!C:C,'3.1.clean'!A:A=C1743),"""")"),43881.0)</f>
        <v>43881</v>
      </c>
      <c r="H1743" s="23" t="b">
        <f t="shared" ref="H1743:H1744" si="1413">if(G1743="",FALSE,TRUE)</f>
        <v>1</v>
      </c>
      <c r="J1743" s="25"/>
      <c r="K1743" s="24">
        <f>IFERROR(__xludf.DUMMYFUNCTION("iferror(filter('3.2.clean'!C:C,'3.2.clean'!A:A=C1743),"""")"),43881.0)</f>
        <v>43881</v>
      </c>
      <c r="L1743" s="25" t="b">
        <f>if(K1743="",FALSE,TRUE)</f>
        <v>1</v>
      </c>
      <c r="M1743" s="24" t="str">
        <f>IFERROR(__xludf.DUMMYFUNCTION("iferror(filter('3.3.clean'!C:C,'3.3.clean'!A:A=C1743),"""")"),"")</f>
        <v/>
      </c>
      <c r="N1743" s="25" t="b">
        <f t="shared" si="1401"/>
        <v>0</v>
      </c>
      <c r="O1743" s="24" t="str">
        <f>IFERROR(__xludf.DUMMYFUNCTION("iferror(filter('3.4.clean'!C:C,'3.4.clean'!A:A=C1743),"""")"),"")</f>
        <v/>
      </c>
      <c r="P1743" s="25" t="b">
        <f t="shared" si="1402"/>
        <v>0</v>
      </c>
      <c r="Q1743" s="24">
        <f>IFERROR(__xludf.DUMMYFUNCTION("iferror(filter('3.5.clean'!C:C,'3.5.clean'!A:A=C1743),"""")"),43881.0)</f>
        <v>43881</v>
      </c>
      <c r="R1743" s="23" t="b">
        <f t="shared" si="1412"/>
        <v>1</v>
      </c>
      <c r="S1743" s="25"/>
      <c r="V1743" s="1" t="s">
        <v>64</v>
      </c>
      <c r="X1743" s="23" t="str">
        <f>IFERROR(__xludf.DUMMYFUNCTION("if(COUNTA(FILTER(C:C, C:C = C1743))=1,""no"",""yes"")"),"no")</f>
        <v>no</v>
      </c>
    </row>
    <row r="1744">
      <c r="A1744" s="1" t="s">
        <v>1079</v>
      </c>
      <c r="B1744" s="2">
        <v>12.0</v>
      </c>
      <c r="C1744" s="19" t="s">
        <v>4360</v>
      </c>
      <c r="D1744" s="58" t="str">
        <f t="shared" ref="D1744:D1745" si="1414">if(or(I1744=1,J1744=1,S1744=1),"pos","")</f>
        <v/>
      </c>
      <c r="E1744" s="59">
        <f>IFERROR(__xludf.DUMMYFUNCTION("ifna(IFNA(filter('2.1.clean'!C:C,'2.1.clean'!A:A=C1744),filter('2.2.clean'!E:E,'2.2.clean'!D:D=C1744)),filter('2.4.clean'!C:C,'2.4.clean'!A:A=C1744))"),43881.0)</f>
        <v>43881</v>
      </c>
      <c r="F1744" s="60">
        <f>IFERROR(__xludf.DUMMYFUNCTION("iferror(ifna(IFNA(filter('2.1.clean'!E:E,'2.1.clean'!A:A=C1744),filter('2.2.clean'!G:G,'2.2.clean'!D:D=C1744)),filter('2.4.clean'!E:E,'2.4.clean'!A:A=C1744)),)"),2.39999999999999)</f>
        <v>2.4</v>
      </c>
      <c r="G1744" s="59">
        <f>IFERROR(__xludf.DUMMYFUNCTION("iferror(filter('3.1.clean'!C:C,'3.1.clean'!A:A=C1744),"""")"),43881.0)</f>
        <v>43881</v>
      </c>
      <c r="H1744" s="58" t="b">
        <f t="shared" si="1413"/>
        <v>1</v>
      </c>
      <c r="I1744" s="58">
        <f>IFERROR(__xludf.DUMMYFUNCTION("iferror(filter('3.1.clean'!G:G,'3.1.clean'!A:A=C1744),"""")"),0.0)</f>
        <v>0</v>
      </c>
      <c r="J1744" s="60" t="str">
        <f>IFERROR(__xludf.DUMMYFUNCTION("iferror(filter('3.1.clean'!I:I,'3.1.clean'!A:A=C1744),"""")"),"")</f>
        <v/>
      </c>
      <c r="K1744" s="58"/>
      <c r="L1744" s="60"/>
      <c r="M1744" s="59" t="str">
        <f>IFERROR(__xludf.DUMMYFUNCTION("iferror(filter('3.3.clean'!C:C,'3.3.clean'!A:A=C1744),"""")"),"")</f>
        <v/>
      </c>
      <c r="N1744" s="60" t="b">
        <f t="shared" si="1401"/>
        <v>0</v>
      </c>
      <c r="O1744" s="59" t="str">
        <f>IFERROR(__xludf.DUMMYFUNCTION("iferror(filter('3.4.clean'!C:C,'3.4.clean'!A:A=C1744),"""")"),"")</f>
        <v/>
      </c>
      <c r="P1744" s="60" t="b">
        <f t="shared" si="1402"/>
        <v>0</v>
      </c>
      <c r="Q1744" s="59" t="str">
        <f>IFERROR(__xludf.DUMMYFUNCTION("iferror(filter('3.5.clean'!C:C,'3.5.clean'!A:A=C1744),"""")"),"")</f>
        <v/>
      </c>
      <c r="R1744" s="58"/>
      <c r="S1744" s="4" t="str">
        <f>IFERROR(__xludf.DUMMYFUNCTION("iferror(filter('3.5.clean'!H:H,'3.5.clean'!A:A=C1744),"""")"),"")</f>
        <v/>
      </c>
      <c r="W1744" s="23" t="b">
        <f>if(AND(H1744=TRUE,N1744=TRUE,P1744=TRUE),TRUE,FALSE)</f>
        <v>0</v>
      </c>
      <c r="X1744" s="23" t="str">
        <f>IFERROR(__xludf.DUMMYFUNCTION("if(COUNTA(FILTER(C:C, C:C = C1744))=1,""no"",""yes"")"),"no")</f>
        <v>no</v>
      </c>
    </row>
    <row r="1745">
      <c r="A1745" s="1" t="s">
        <v>1079</v>
      </c>
      <c r="B1745" s="2">
        <v>12.5</v>
      </c>
      <c r="C1745" s="19" t="s">
        <v>4366</v>
      </c>
      <c r="D1745" s="58" t="str">
        <f t="shared" si="1414"/>
        <v/>
      </c>
      <c r="E1745" s="59">
        <f>Q1745</f>
        <v>43881</v>
      </c>
      <c r="F1745" s="60" t="str">
        <f>IFERROR(__xludf.DUMMYFUNCTION("iferror(ifna(IFNA(filter('2.1.clean'!E:E,'2.1.clean'!A:A=C1745),filter('2.2.clean'!G:G,'2.2.clean'!D:D=C1745)),filter('2.4.clean'!E:E,'2.4.clean'!A:A=C1745)),)"),"")</f>
        <v/>
      </c>
      <c r="G1745" s="59" t="str">
        <f>IFERROR(__xludf.DUMMYFUNCTION("iferror(filter('3.1.clean'!C:C,'3.1.clean'!A:A=C1745),"""")"),"")</f>
        <v/>
      </c>
      <c r="H1745" s="58"/>
      <c r="I1745" s="58" t="str">
        <f>IFERROR(__xludf.DUMMYFUNCTION("iferror(filter('3.1.clean'!G:G,'3.1.clean'!A:A=C1745),"""")"),"")</f>
        <v/>
      </c>
      <c r="J1745" s="60" t="str">
        <f>IFERROR(__xludf.DUMMYFUNCTION("iferror(filter('3.1.clean'!I:I,'3.1.clean'!A:A=C1745),"""")"),"")</f>
        <v/>
      </c>
      <c r="K1745" s="59"/>
      <c r="L1745" s="60"/>
      <c r="M1745" s="59" t="str">
        <f>IFERROR(__xludf.DUMMYFUNCTION("iferror(filter('3.3.clean'!C:C,'3.3.clean'!A:A=C1745),"""")"),"")</f>
        <v/>
      </c>
      <c r="N1745" s="60" t="b">
        <f t="shared" si="1401"/>
        <v>0</v>
      </c>
      <c r="O1745" s="59" t="str">
        <f>IFERROR(__xludf.DUMMYFUNCTION("iferror(filter('3.4.clean'!C:C,'3.4.clean'!A:A=C1745),"""")"),"")</f>
        <v/>
      </c>
      <c r="P1745" s="60" t="b">
        <f t="shared" si="1402"/>
        <v>0</v>
      </c>
      <c r="Q1745" s="59">
        <f>IFERROR(__xludf.DUMMYFUNCTION("iferror(filter('3.5.clean'!C:C,'3.5.clean'!A:A=C1745),"""")"),43881.0)</f>
        <v>43881</v>
      </c>
      <c r="R1745" s="58" t="b">
        <f t="shared" ref="R1745:R1746" si="1415">if(Q1745="",FALSE,TRUE)</f>
        <v>1</v>
      </c>
      <c r="S1745" s="4">
        <f>IFERROR(__xludf.DUMMYFUNCTION("iferror(filter('3.5.clean'!H:H,'3.5.clean'!A:A=C1745),"""")"),0.0)</f>
        <v>0</v>
      </c>
      <c r="V1745" s="52" t="s">
        <v>64</v>
      </c>
      <c r="W1745" s="23" t="b">
        <f>if(AND(R1745=TRUE,N1745=TRUE,P1745=TRUE),TRUE,FALSE)</f>
        <v>0</v>
      </c>
      <c r="X1745" s="23" t="str">
        <f>IFERROR(__xludf.DUMMYFUNCTION("if(COUNTA(FILTER(C:C, C:C = C1745))=1,""no"",""yes"")"),"no")</f>
        <v>no</v>
      </c>
    </row>
    <row r="1746">
      <c r="A1746" s="1" t="s">
        <v>1079</v>
      </c>
      <c r="B1746" s="2">
        <v>13.0</v>
      </c>
      <c r="C1746" s="19" t="s">
        <v>4372</v>
      </c>
      <c r="E1746" s="24">
        <f>IFERROR(__xludf.DUMMYFUNCTION("ifna(IFNA(filter('2.1.clean'!C:C,'2.1.clean'!A:A=C1746),filter('2.2.clean'!E:E,'2.2.clean'!D:D=C1746)),filter('2.4.clean'!C:C,'2.4.clean'!A:A=C1746))"),43881.0)</f>
        <v>43881</v>
      </c>
      <c r="F1746" s="25">
        <f>IFERROR(__xludf.DUMMYFUNCTION("iferror(ifna(IFNA(filter('2.1.clean'!E:E,'2.1.clean'!A:A=C1746),filter('2.2.clean'!G:G,'2.2.clean'!D:D=C1746)),filter('2.4.clean'!E:E,'2.4.clean'!A:A=C1746)),)"),2.39999999999999)</f>
        <v>2.4</v>
      </c>
      <c r="G1746" s="24">
        <f>IFERROR(__xludf.DUMMYFUNCTION("iferror(filter('3.1.clean'!C:C,'3.1.clean'!A:A=C1746),"""")"),43881.0)</f>
        <v>43881</v>
      </c>
      <c r="H1746" s="23" t="b">
        <f t="shared" ref="H1746:H1747" si="1416">if(G1746="",FALSE,TRUE)</f>
        <v>1</v>
      </c>
      <c r="J1746" s="25"/>
      <c r="K1746" s="24">
        <f>IFERROR(__xludf.DUMMYFUNCTION("iferror(filter('3.2.clean'!C:C,'3.2.clean'!A:A=C1746),"""")"),43881.0)</f>
        <v>43881</v>
      </c>
      <c r="L1746" s="25" t="b">
        <f>if(K1746="",FALSE,TRUE)</f>
        <v>1</v>
      </c>
      <c r="M1746" s="24" t="str">
        <f>IFERROR(__xludf.DUMMYFUNCTION("iferror(filter('3.3.clean'!C:C,'3.3.clean'!A:A=C1746),"""")"),"")</f>
        <v/>
      </c>
      <c r="N1746" s="25" t="b">
        <f t="shared" si="1401"/>
        <v>0</v>
      </c>
      <c r="O1746" s="24">
        <f>IFERROR(__xludf.DUMMYFUNCTION("iferror(filter('3.4.clean'!C:C,'3.4.clean'!A:A=C1746),"""")"),43889.0)</f>
        <v>43889</v>
      </c>
      <c r="P1746" s="25" t="b">
        <f t="shared" si="1402"/>
        <v>1</v>
      </c>
      <c r="Q1746" s="24">
        <f>IFERROR(__xludf.DUMMYFUNCTION("iferror(filter('3.5.clean'!C:C,'3.5.clean'!A:A=C1746),"""")"),43881.0)</f>
        <v>43881</v>
      </c>
      <c r="R1746" s="23" t="b">
        <f t="shared" si="1415"/>
        <v>1</v>
      </c>
      <c r="S1746" s="25"/>
      <c r="V1746" s="1" t="s">
        <v>64</v>
      </c>
      <c r="X1746" s="23" t="str">
        <f>IFERROR(__xludf.DUMMYFUNCTION("if(COUNTA(FILTER(C:C, C:C = C1746))=1,""no"",""yes"")"),"no")</f>
        <v>no</v>
      </c>
    </row>
    <row r="1747">
      <c r="A1747" s="1" t="s">
        <v>1079</v>
      </c>
      <c r="B1747" s="2">
        <v>14.0</v>
      </c>
      <c r="C1747" s="19" t="s">
        <v>4378</v>
      </c>
      <c r="D1747" s="58" t="str">
        <f t="shared" ref="D1747:D1748" si="1417">if(or(I1747=1,J1747=1,S1747=1),"pos","")</f>
        <v/>
      </c>
      <c r="E1747" s="59">
        <f>IFERROR(__xludf.DUMMYFUNCTION("ifna(IFNA(filter('2.1.clean'!C:C,'2.1.clean'!A:A=C1747),filter('2.2.clean'!E:E,'2.2.clean'!D:D=C1747)),filter('2.4.clean'!C:C,'2.4.clean'!A:A=C1747))"),43881.0)</f>
        <v>43881</v>
      </c>
      <c r="F1747" s="60">
        <f>IFERROR(__xludf.DUMMYFUNCTION("iferror(ifna(IFNA(filter('2.1.clean'!E:E,'2.1.clean'!A:A=C1747),filter('2.2.clean'!G:G,'2.2.clean'!D:D=C1747)),filter('2.4.clean'!E:E,'2.4.clean'!A:A=C1747)),)"),2.39999999999999)</f>
        <v>2.4</v>
      </c>
      <c r="G1747" s="59">
        <f>IFERROR(__xludf.DUMMYFUNCTION("iferror(filter('3.1.clean'!C:C,'3.1.clean'!A:A=C1747),"""")"),43881.0)</f>
        <v>43881</v>
      </c>
      <c r="H1747" s="58" t="b">
        <f t="shared" si="1416"/>
        <v>1</v>
      </c>
      <c r="I1747" s="58">
        <f>IFERROR(__xludf.DUMMYFUNCTION("iferror(filter('3.1.clean'!G:G,'3.1.clean'!A:A=C1747),"""")"),0.0)</f>
        <v>0</v>
      </c>
      <c r="J1747" s="60" t="str">
        <f>IFERROR(__xludf.DUMMYFUNCTION("iferror(filter('3.1.clean'!I:I,'3.1.clean'!A:A=C1747),"""")"),"")</f>
        <v/>
      </c>
      <c r="K1747" s="58"/>
      <c r="L1747" s="60"/>
      <c r="M1747" s="59" t="str">
        <f>IFERROR(__xludf.DUMMYFUNCTION("iferror(filter('3.3.clean'!C:C,'3.3.clean'!A:A=C1747),"""")"),"")</f>
        <v/>
      </c>
      <c r="N1747" s="60" t="b">
        <f t="shared" si="1401"/>
        <v>0</v>
      </c>
      <c r="O1747" s="59" t="str">
        <f>IFERROR(__xludf.DUMMYFUNCTION("iferror(filter('3.4.clean'!C:C,'3.4.clean'!A:A=C1747),"""")"),"")</f>
        <v/>
      </c>
      <c r="P1747" s="60" t="b">
        <f t="shared" si="1402"/>
        <v>0</v>
      </c>
      <c r="Q1747" s="59" t="str">
        <f>IFERROR(__xludf.DUMMYFUNCTION("iferror(filter('3.5.clean'!C:C,'3.5.clean'!A:A=C1747),"""")"),"")</f>
        <v/>
      </c>
      <c r="R1747" s="58"/>
      <c r="S1747" s="4" t="str">
        <f>IFERROR(__xludf.DUMMYFUNCTION("iferror(filter('3.5.clean'!H:H,'3.5.clean'!A:A=C1747),"""")"),"")</f>
        <v/>
      </c>
      <c r="W1747" s="23" t="b">
        <f>if(AND(H1747=TRUE,N1747=TRUE,P1747=TRUE),TRUE,FALSE)</f>
        <v>0</v>
      </c>
      <c r="X1747" s="23" t="str">
        <f>IFERROR(__xludf.DUMMYFUNCTION("if(COUNTA(FILTER(C:C, C:C = C1747))=1,""no"",""yes"")"),"no")</f>
        <v>no</v>
      </c>
    </row>
    <row r="1748">
      <c r="A1748" s="1" t="s">
        <v>1079</v>
      </c>
      <c r="B1748" s="2">
        <v>14.5</v>
      </c>
      <c r="C1748" s="19" t="s">
        <v>4384</v>
      </c>
      <c r="D1748" s="58" t="str">
        <f t="shared" si="1417"/>
        <v/>
      </c>
      <c r="E1748" s="59">
        <f>Q1748</f>
        <v>43881</v>
      </c>
      <c r="F1748" s="60" t="str">
        <f>IFERROR(__xludf.DUMMYFUNCTION("iferror(ifna(IFNA(filter('2.1.clean'!E:E,'2.1.clean'!A:A=C1748),filter('2.2.clean'!G:G,'2.2.clean'!D:D=C1748)),filter('2.4.clean'!E:E,'2.4.clean'!A:A=C1748)),)"),"")</f>
        <v/>
      </c>
      <c r="G1748" s="59" t="str">
        <f>IFERROR(__xludf.DUMMYFUNCTION("iferror(filter('3.1.clean'!C:C,'3.1.clean'!A:A=C1748),"""")"),"")</f>
        <v/>
      </c>
      <c r="H1748" s="58"/>
      <c r="I1748" s="58" t="str">
        <f>IFERROR(__xludf.DUMMYFUNCTION("iferror(filter('3.1.clean'!G:G,'3.1.clean'!A:A=C1748),"""")"),"")</f>
        <v/>
      </c>
      <c r="J1748" s="60" t="str">
        <f>IFERROR(__xludf.DUMMYFUNCTION("iferror(filter('3.1.clean'!I:I,'3.1.clean'!A:A=C1748),"""")"),"")</f>
        <v/>
      </c>
      <c r="K1748" s="59"/>
      <c r="L1748" s="60"/>
      <c r="M1748" s="59" t="str">
        <f>IFERROR(__xludf.DUMMYFUNCTION("iferror(filter('3.3.clean'!C:C,'3.3.clean'!A:A=C1748),"""")"),"")</f>
        <v/>
      </c>
      <c r="N1748" s="60" t="b">
        <f t="shared" si="1401"/>
        <v>0</v>
      </c>
      <c r="O1748" s="59" t="str">
        <f>IFERROR(__xludf.DUMMYFUNCTION("iferror(filter('3.4.clean'!C:C,'3.4.clean'!A:A=C1748),"""")"),"")</f>
        <v/>
      </c>
      <c r="P1748" s="60" t="b">
        <f t="shared" si="1402"/>
        <v>0</v>
      </c>
      <c r="Q1748" s="59">
        <f>IFERROR(__xludf.DUMMYFUNCTION("iferror(filter('3.5.clean'!C:C,'3.5.clean'!A:A=C1748),"""")"),43881.0)</f>
        <v>43881</v>
      </c>
      <c r="R1748" s="58" t="b">
        <f t="shared" ref="R1748:R1749" si="1418">if(Q1748="",FALSE,TRUE)</f>
        <v>1</v>
      </c>
      <c r="S1748" s="4">
        <f>IFERROR(__xludf.DUMMYFUNCTION("iferror(filter('3.5.clean'!H:H,'3.5.clean'!A:A=C1748),"""")"),0.0)</f>
        <v>0</v>
      </c>
      <c r="V1748" s="52" t="s">
        <v>64</v>
      </c>
      <c r="W1748" s="23" t="b">
        <f>if(AND(R1748=TRUE,N1748=TRUE,P1748=TRUE),TRUE,FALSE)</f>
        <v>0</v>
      </c>
      <c r="X1748" s="23" t="str">
        <f>IFERROR(__xludf.DUMMYFUNCTION("if(COUNTA(FILTER(C:C, C:C = C1748))=1,""no"",""yes"")"),"no")</f>
        <v>no</v>
      </c>
    </row>
    <row r="1749">
      <c r="A1749" s="1" t="s">
        <v>1079</v>
      </c>
      <c r="B1749" s="2">
        <v>15.0</v>
      </c>
      <c r="C1749" s="19" t="s">
        <v>4391</v>
      </c>
      <c r="E1749" s="24">
        <f>IFERROR(__xludf.DUMMYFUNCTION("ifna(IFNA(filter('2.1.clean'!C:C,'2.1.clean'!A:A=C1749),filter('2.2.clean'!E:E,'2.2.clean'!D:D=C1749)),filter('2.4.clean'!C:C,'2.4.clean'!A:A=C1749))"),43881.0)</f>
        <v>43881</v>
      </c>
      <c r="F1749" s="25">
        <f>IFERROR(__xludf.DUMMYFUNCTION("iferror(ifna(IFNA(filter('2.1.clean'!E:E,'2.1.clean'!A:A=C1749),filter('2.2.clean'!G:G,'2.2.clean'!D:D=C1749)),filter('2.4.clean'!E:E,'2.4.clean'!A:A=C1749)),)"),2.39999999999999)</f>
        <v>2.4</v>
      </c>
      <c r="G1749" s="24">
        <f>IFERROR(__xludf.DUMMYFUNCTION("iferror(filter('3.1.clean'!C:C,'3.1.clean'!A:A=C1749),"""")"),43881.0)</f>
        <v>43881</v>
      </c>
      <c r="H1749" s="23" t="b">
        <f t="shared" ref="H1749:H1750" si="1419">if(G1749="",FALSE,TRUE)</f>
        <v>1</v>
      </c>
      <c r="J1749" s="25"/>
      <c r="K1749" s="24">
        <f>IFERROR(__xludf.DUMMYFUNCTION("iferror(filter('3.2.clean'!C:C,'3.2.clean'!A:A=C1749),"""")"),43881.0)</f>
        <v>43881</v>
      </c>
      <c r="L1749" s="25" t="b">
        <f>if(K1749="",FALSE,TRUE)</f>
        <v>1</v>
      </c>
      <c r="M1749" s="24" t="str">
        <f>IFERROR(__xludf.DUMMYFUNCTION("iferror(filter('3.3.clean'!C:C,'3.3.clean'!A:A=C1749),"""")"),"")</f>
        <v/>
      </c>
      <c r="N1749" s="25" t="b">
        <f t="shared" si="1401"/>
        <v>0</v>
      </c>
      <c r="O1749" s="24">
        <f>IFERROR(__xludf.DUMMYFUNCTION("iferror(filter('3.4.clean'!C:C,'3.4.clean'!A:A=C1749),"""")"),43889.0)</f>
        <v>43889</v>
      </c>
      <c r="P1749" s="25" t="b">
        <f t="shared" si="1402"/>
        <v>1</v>
      </c>
      <c r="Q1749" s="24">
        <f>IFERROR(__xludf.DUMMYFUNCTION("iferror(filter('3.5.clean'!C:C,'3.5.clean'!A:A=C1749),"""")"),43881.0)</f>
        <v>43881</v>
      </c>
      <c r="R1749" s="23" t="b">
        <f t="shared" si="1418"/>
        <v>1</v>
      </c>
      <c r="S1749" s="25"/>
      <c r="V1749" s="1" t="s">
        <v>64</v>
      </c>
      <c r="X1749" s="23" t="str">
        <f>IFERROR(__xludf.DUMMYFUNCTION("if(COUNTA(FILTER(C:C, C:C = C1749))=1,""no"",""yes"")"),"no")</f>
        <v>no</v>
      </c>
    </row>
    <row r="1750">
      <c r="A1750" s="1" t="s">
        <v>1079</v>
      </c>
      <c r="B1750" s="2">
        <v>16.0</v>
      </c>
      <c r="C1750" s="19" t="s">
        <v>4397</v>
      </c>
      <c r="D1750" s="58" t="str">
        <f t="shared" ref="D1750:D1751" si="1420">if(or(I1750=1,J1750=1,S1750=1),"pos","")</f>
        <v/>
      </c>
      <c r="E1750" s="59">
        <f>IFERROR(__xludf.DUMMYFUNCTION("ifna(IFNA(filter('2.1.clean'!C:C,'2.1.clean'!A:A=C1750),filter('2.2.clean'!E:E,'2.2.clean'!D:D=C1750)),filter('2.4.clean'!C:C,'2.4.clean'!A:A=C1750))"),43881.0)</f>
        <v>43881</v>
      </c>
      <c r="F1750" s="60">
        <f>IFERROR(__xludf.DUMMYFUNCTION("iferror(ifna(IFNA(filter('2.1.clean'!E:E,'2.1.clean'!A:A=C1750),filter('2.2.clean'!G:G,'2.2.clean'!D:D=C1750)),filter('2.4.clean'!E:E,'2.4.clean'!A:A=C1750)),)"),2.39999999999999)</f>
        <v>2.4</v>
      </c>
      <c r="G1750" s="59">
        <f>IFERROR(__xludf.DUMMYFUNCTION("iferror(filter('3.1.clean'!C:C,'3.1.clean'!A:A=C1750),"""")"),43881.0)</f>
        <v>43881</v>
      </c>
      <c r="H1750" s="58" t="b">
        <f t="shared" si="1419"/>
        <v>1</v>
      </c>
      <c r="I1750" s="58">
        <f>IFERROR(__xludf.DUMMYFUNCTION("iferror(filter('3.1.clean'!G:G,'3.1.clean'!A:A=C1750),"""")"),0.0)</f>
        <v>0</v>
      </c>
      <c r="J1750" s="60" t="str">
        <f>IFERROR(__xludf.DUMMYFUNCTION("iferror(filter('3.1.clean'!I:I,'3.1.clean'!A:A=C1750),"""")"),"")</f>
        <v/>
      </c>
      <c r="K1750" s="58"/>
      <c r="L1750" s="60"/>
      <c r="M1750" s="59" t="str">
        <f>IFERROR(__xludf.DUMMYFUNCTION("iferror(filter('3.3.clean'!C:C,'3.3.clean'!A:A=C1750),"""")"),"")</f>
        <v/>
      </c>
      <c r="N1750" s="60" t="b">
        <f t="shared" si="1401"/>
        <v>0</v>
      </c>
      <c r="O1750" s="59" t="str">
        <f>IFERROR(__xludf.DUMMYFUNCTION("iferror(filter('3.4.clean'!C:C,'3.4.clean'!A:A=C1750),"""")"),"")</f>
        <v/>
      </c>
      <c r="P1750" s="60" t="b">
        <f t="shared" si="1402"/>
        <v>0</v>
      </c>
      <c r="Q1750" s="59" t="str">
        <f>IFERROR(__xludf.DUMMYFUNCTION("iferror(filter('3.5.clean'!C:C,'3.5.clean'!A:A=C1750),"""")"),"")</f>
        <v/>
      </c>
      <c r="R1750" s="58"/>
      <c r="S1750" s="4" t="str">
        <f>IFERROR(__xludf.DUMMYFUNCTION("iferror(filter('3.5.clean'!H:H,'3.5.clean'!A:A=C1750),"""")"),"")</f>
        <v/>
      </c>
      <c r="W1750" s="23" t="b">
        <f>if(AND(H1750=TRUE,N1750=TRUE,P1750=TRUE),TRUE,FALSE)</f>
        <v>0</v>
      </c>
      <c r="X1750" s="23" t="str">
        <f>IFERROR(__xludf.DUMMYFUNCTION("if(COUNTA(FILTER(C:C, C:C = C1750))=1,""no"",""yes"")"),"no")</f>
        <v>no</v>
      </c>
    </row>
    <row r="1751">
      <c r="A1751" s="1" t="s">
        <v>1079</v>
      </c>
      <c r="B1751" s="2">
        <v>16.5</v>
      </c>
      <c r="C1751" s="19" t="s">
        <v>4403</v>
      </c>
      <c r="D1751" s="58" t="str">
        <f t="shared" si="1420"/>
        <v/>
      </c>
      <c r="E1751" s="59">
        <f>Q1751</f>
        <v>43881</v>
      </c>
      <c r="F1751" s="60" t="str">
        <f>IFERROR(__xludf.DUMMYFUNCTION("iferror(ifna(IFNA(filter('2.1.clean'!E:E,'2.1.clean'!A:A=C1751),filter('2.2.clean'!G:G,'2.2.clean'!D:D=C1751)),filter('2.4.clean'!E:E,'2.4.clean'!A:A=C1751)),)"),"")</f>
        <v/>
      </c>
      <c r="G1751" s="59" t="str">
        <f>IFERROR(__xludf.DUMMYFUNCTION("iferror(filter('3.1.clean'!C:C,'3.1.clean'!A:A=C1751),"""")"),"")</f>
        <v/>
      </c>
      <c r="H1751" s="58"/>
      <c r="I1751" s="58" t="str">
        <f>IFERROR(__xludf.DUMMYFUNCTION("iferror(filter('3.1.clean'!G:G,'3.1.clean'!A:A=C1751),"""")"),"")</f>
        <v/>
      </c>
      <c r="J1751" s="60" t="str">
        <f>IFERROR(__xludf.DUMMYFUNCTION("iferror(filter('3.1.clean'!I:I,'3.1.clean'!A:A=C1751),"""")"),"")</f>
        <v/>
      </c>
      <c r="K1751" s="59"/>
      <c r="L1751" s="60"/>
      <c r="M1751" s="59" t="str">
        <f>IFERROR(__xludf.DUMMYFUNCTION("iferror(filter('3.3.clean'!C:C,'3.3.clean'!A:A=C1751),"""")"),"")</f>
        <v/>
      </c>
      <c r="N1751" s="60" t="b">
        <f t="shared" si="1401"/>
        <v>0</v>
      </c>
      <c r="O1751" s="59" t="str">
        <f>IFERROR(__xludf.DUMMYFUNCTION("iferror(filter('3.4.clean'!C:C,'3.4.clean'!A:A=C1751),"""")"),"")</f>
        <v/>
      </c>
      <c r="P1751" s="60" t="b">
        <f t="shared" si="1402"/>
        <v>0</v>
      </c>
      <c r="Q1751" s="59">
        <f>IFERROR(__xludf.DUMMYFUNCTION("iferror(filter('3.5.clean'!C:C,'3.5.clean'!A:A=C1751),"""")"),43881.0)</f>
        <v>43881</v>
      </c>
      <c r="R1751" s="58" t="b">
        <f>if(Q1751="",FALSE,TRUE)</f>
        <v>1</v>
      </c>
      <c r="S1751" s="4">
        <f>IFERROR(__xludf.DUMMYFUNCTION("iferror(filter('3.5.clean'!H:H,'3.5.clean'!A:A=C1751),"""")"),0.0)</f>
        <v>0</v>
      </c>
      <c r="V1751" s="52" t="s">
        <v>64</v>
      </c>
      <c r="W1751" s="23" t="b">
        <f>if(AND(R1751=TRUE,N1751=TRUE,P1751=TRUE),TRUE,FALSE)</f>
        <v>0</v>
      </c>
      <c r="X1751" s="23" t="str">
        <f>IFERROR(__xludf.DUMMYFUNCTION("if(COUNTA(FILTER(C:C, C:C = C1751))=1,""no"",""yes"")"),"no")</f>
        <v>no</v>
      </c>
    </row>
    <row r="1752">
      <c r="A1752" s="1" t="s">
        <v>1079</v>
      </c>
      <c r="B1752" s="2">
        <v>17.0</v>
      </c>
      <c r="C1752" s="69" t="s">
        <v>788</v>
      </c>
      <c r="E1752" s="24">
        <f>IFERROR(__xludf.DUMMYFUNCTION("ifna(IFNA(filter('2.1.clean'!C:C,'2.1.clean'!A:A=C1752),filter('2.2.clean'!E:E,'2.2.clean'!D:D=C1752)),filter('2.4.clean'!C:C,'2.4.clean'!A:A=C1752))"),43881.0)</f>
        <v>43881</v>
      </c>
      <c r="F1752" s="25">
        <f>IFERROR(__xludf.DUMMYFUNCTION("iferror(ifna(IFNA(filter('2.1.clean'!E:E,'2.1.clean'!A:A=C1752),filter('2.2.clean'!G:G,'2.2.clean'!D:D=C1752)),filter('2.4.clean'!E:E,'2.4.clean'!A:A=C1752)),)"),2.2)</f>
        <v>2.2</v>
      </c>
      <c r="G1752" s="24">
        <f>IFERROR(__xludf.DUMMYFUNCTION("iferror(filter('3.1.clean'!C:C,'3.1.clean'!A:A=C1752),"""")"),43881.0)</f>
        <v>43881</v>
      </c>
      <c r="H1752" s="23" t="b">
        <f t="shared" ref="H1752:H1758" si="1421">if(G1752="",FALSE,TRUE)</f>
        <v>1</v>
      </c>
      <c r="J1752" s="25"/>
      <c r="K1752" s="24">
        <f>IFERROR(__xludf.DUMMYFUNCTION("iferror(filter('3.2.clean'!C:C,'3.2.clean'!A:A=C1752),"""")"),43881.0)</f>
        <v>43881</v>
      </c>
      <c r="L1752" s="25" t="b">
        <f t="shared" ref="L1752:L1756" si="1422">if(K1752="",FALSE,TRUE)</f>
        <v>1</v>
      </c>
      <c r="M1752" s="24" t="str">
        <f>IFERROR(__xludf.DUMMYFUNCTION("iferror(filter('3.3.clean'!C:C,'3.3.clean'!A:A=C1752),"""")"),"")</f>
        <v/>
      </c>
      <c r="N1752" s="25" t="b">
        <f t="shared" si="1401"/>
        <v>0</v>
      </c>
      <c r="O1752" s="24">
        <f>IFERROR(__xludf.DUMMYFUNCTION("iferror(filter('3.4.clean'!C:C,'3.4.clean'!A:A=C1752),"""")"),43889.0)</f>
        <v>43889</v>
      </c>
      <c r="P1752" s="25" t="b">
        <f t="shared" si="1402"/>
        <v>1</v>
      </c>
      <c r="Q1752" s="24" t="str">
        <f>IFERROR(__xludf.DUMMYFUNCTION("iferror(filter('3.5.clean'!C:C,'3.5.clean'!A:A=C1752),"""")"),"")</f>
        <v/>
      </c>
      <c r="S1752" s="25"/>
      <c r="W1752" s="23" t="b">
        <f t="shared" ref="W1752:W1756" si="1423">IF(and(H1752=TRUE,L1752=TRUE,N1752=TRUE,P1752=TRUE),TRUE,FALSE)</f>
        <v>0</v>
      </c>
      <c r="X1752" s="23" t="str">
        <f>IFERROR(__xludf.DUMMYFUNCTION("if(COUNTA(FILTER(C:C, C:C = C1752))=1,""no"",""yes"")"),"no")</f>
        <v>no</v>
      </c>
    </row>
    <row r="1753">
      <c r="A1753" s="1" t="s">
        <v>1079</v>
      </c>
      <c r="B1753" s="2">
        <v>18.0</v>
      </c>
      <c r="C1753" s="69" t="s">
        <v>792</v>
      </c>
      <c r="E1753" s="24">
        <f>IFERROR(__xludf.DUMMYFUNCTION("ifna(IFNA(filter('2.1.clean'!C:C,'2.1.clean'!A:A=C1753),filter('2.2.clean'!E:E,'2.2.clean'!D:D=C1753)),filter('2.4.clean'!C:C,'2.4.clean'!A:A=C1753))"),43881.0)</f>
        <v>43881</v>
      </c>
      <c r="F1753" s="25">
        <f>IFERROR(__xludf.DUMMYFUNCTION("iferror(ifna(IFNA(filter('2.1.clean'!E:E,'2.1.clean'!A:A=C1753),filter('2.2.clean'!G:G,'2.2.clean'!D:D=C1753)),filter('2.4.clean'!E:E,'2.4.clean'!A:A=C1753)),)"),2.2)</f>
        <v>2.2</v>
      </c>
      <c r="G1753" s="24">
        <f>IFERROR(__xludf.DUMMYFUNCTION("iferror(filter('3.1.clean'!C:C,'3.1.clean'!A:A=C1753),"""")"),43881.0)</f>
        <v>43881</v>
      </c>
      <c r="H1753" s="23" t="b">
        <f t="shared" si="1421"/>
        <v>1</v>
      </c>
      <c r="J1753" s="25"/>
      <c r="K1753" s="24">
        <f>IFERROR(__xludf.DUMMYFUNCTION("iferror(filter('3.2.clean'!C:C,'3.2.clean'!A:A=C1753),"""")"),43881.0)</f>
        <v>43881</v>
      </c>
      <c r="L1753" s="25" t="b">
        <f t="shared" si="1422"/>
        <v>1</v>
      </c>
      <c r="M1753" s="24" t="str">
        <f>IFERROR(__xludf.DUMMYFUNCTION("iferror(filter('3.3.clean'!C:C,'3.3.clean'!A:A=C1753),"""")"),"")</f>
        <v/>
      </c>
      <c r="N1753" s="25" t="b">
        <f t="shared" si="1401"/>
        <v>0</v>
      </c>
      <c r="O1753" s="24">
        <f>IFERROR(__xludf.DUMMYFUNCTION("iferror(filter('3.4.clean'!C:C,'3.4.clean'!A:A=C1753),"""")"),43889.0)</f>
        <v>43889</v>
      </c>
      <c r="P1753" s="25" t="b">
        <f t="shared" si="1402"/>
        <v>1</v>
      </c>
      <c r="Q1753" s="24" t="str">
        <f>IFERROR(__xludf.DUMMYFUNCTION("iferror(filter('3.5.clean'!C:C,'3.5.clean'!A:A=C1753),"""")"),"")</f>
        <v/>
      </c>
      <c r="S1753" s="25"/>
      <c r="W1753" s="23" t="b">
        <f t="shared" si="1423"/>
        <v>0</v>
      </c>
      <c r="X1753" s="23" t="str">
        <f>IFERROR(__xludf.DUMMYFUNCTION("if(COUNTA(FILTER(C:C, C:C = C1753))=1,""no"",""yes"")"),"no")</f>
        <v>no</v>
      </c>
    </row>
    <row r="1754">
      <c r="A1754" s="1" t="s">
        <v>1079</v>
      </c>
      <c r="B1754" s="2">
        <v>19.0</v>
      </c>
      <c r="C1754" s="69" t="s">
        <v>789</v>
      </c>
      <c r="E1754" s="24">
        <f>IFERROR(__xludf.DUMMYFUNCTION("ifna(IFNA(filter('2.1.clean'!C:C,'2.1.clean'!A:A=C1754),filter('2.2.clean'!E:E,'2.2.clean'!D:D=C1754)),filter('2.4.clean'!C:C,'2.4.clean'!A:A=C1754))"),43881.0)</f>
        <v>43881</v>
      </c>
      <c r="F1754" s="25">
        <f>IFERROR(__xludf.DUMMYFUNCTION("iferror(ifna(IFNA(filter('2.1.clean'!E:E,'2.1.clean'!A:A=C1754),filter('2.2.clean'!G:G,'2.2.clean'!D:D=C1754)),filter('2.4.clean'!E:E,'2.4.clean'!A:A=C1754)),)"),2.2)</f>
        <v>2.2</v>
      </c>
      <c r="G1754" s="24">
        <f>IFERROR(__xludf.DUMMYFUNCTION("iferror(filter('3.1.clean'!C:C,'3.1.clean'!A:A=C1754),"""")"),43881.0)</f>
        <v>43881</v>
      </c>
      <c r="H1754" s="23" t="b">
        <f t="shared" si="1421"/>
        <v>1</v>
      </c>
      <c r="J1754" s="25"/>
      <c r="K1754" s="24">
        <f>IFERROR(__xludf.DUMMYFUNCTION("iferror(filter('3.2.clean'!C:C,'3.2.clean'!A:A=C1754),"""")"),43881.0)</f>
        <v>43881</v>
      </c>
      <c r="L1754" s="25" t="b">
        <f t="shared" si="1422"/>
        <v>1</v>
      </c>
      <c r="M1754" s="24" t="str">
        <f>IFERROR(__xludf.DUMMYFUNCTION("iferror(filter('3.3.clean'!C:C,'3.3.clean'!A:A=C1754),"""")"),"")</f>
        <v/>
      </c>
      <c r="N1754" s="25" t="b">
        <f t="shared" si="1401"/>
        <v>0</v>
      </c>
      <c r="O1754" s="24">
        <f>IFERROR(__xludf.DUMMYFUNCTION("iferror(filter('3.4.clean'!C:C,'3.4.clean'!A:A=C1754),"""")"),43889.0)</f>
        <v>43889</v>
      </c>
      <c r="P1754" s="25" t="b">
        <f t="shared" si="1402"/>
        <v>1</v>
      </c>
      <c r="Q1754" s="24" t="str">
        <f>IFERROR(__xludf.DUMMYFUNCTION("iferror(filter('3.5.clean'!C:C,'3.5.clean'!A:A=C1754),"""")"),"")</f>
        <v/>
      </c>
      <c r="S1754" s="25"/>
      <c r="W1754" s="23" t="b">
        <f t="shared" si="1423"/>
        <v>0</v>
      </c>
      <c r="X1754" s="23" t="str">
        <f>IFERROR(__xludf.DUMMYFUNCTION("if(COUNTA(FILTER(C:C, C:C = C1754))=1,""no"",""yes"")"),"no")</f>
        <v>no</v>
      </c>
    </row>
    <row r="1755">
      <c r="A1755" s="1" t="s">
        <v>1079</v>
      </c>
      <c r="B1755" s="2">
        <v>20.0</v>
      </c>
      <c r="C1755" s="69" t="s">
        <v>790</v>
      </c>
      <c r="E1755" s="24">
        <f>IFERROR(__xludf.DUMMYFUNCTION("ifna(IFNA(filter('2.1.clean'!C:C,'2.1.clean'!A:A=C1755),filter('2.2.clean'!E:E,'2.2.clean'!D:D=C1755)),filter('2.4.clean'!C:C,'2.4.clean'!A:A=C1755))"),43881.0)</f>
        <v>43881</v>
      </c>
      <c r="F1755" s="25">
        <f>IFERROR(__xludf.DUMMYFUNCTION("iferror(ifna(IFNA(filter('2.1.clean'!E:E,'2.1.clean'!A:A=C1755),filter('2.2.clean'!G:G,'2.2.clean'!D:D=C1755)),filter('2.4.clean'!E:E,'2.4.clean'!A:A=C1755)),)"),2.2)</f>
        <v>2.2</v>
      </c>
      <c r="G1755" s="24">
        <f>IFERROR(__xludf.DUMMYFUNCTION("iferror(filter('3.1.clean'!C:C,'3.1.clean'!A:A=C1755),"""")"),43881.0)</f>
        <v>43881</v>
      </c>
      <c r="H1755" s="23" t="b">
        <f t="shared" si="1421"/>
        <v>1</v>
      </c>
      <c r="J1755" s="25"/>
      <c r="K1755" s="24">
        <f>IFERROR(__xludf.DUMMYFUNCTION("iferror(filter('3.2.clean'!C:C,'3.2.clean'!A:A=C1755),"""")"),43881.0)</f>
        <v>43881</v>
      </c>
      <c r="L1755" s="25" t="b">
        <f t="shared" si="1422"/>
        <v>1</v>
      </c>
      <c r="M1755" s="24" t="str">
        <f>IFERROR(__xludf.DUMMYFUNCTION("iferror(filter('3.3.clean'!C:C,'3.3.clean'!A:A=C1755),"""")"),"")</f>
        <v/>
      </c>
      <c r="N1755" s="25" t="b">
        <f t="shared" si="1401"/>
        <v>0</v>
      </c>
      <c r="O1755" s="24">
        <f>IFERROR(__xludf.DUMMYFUNCTION("iferror(filter('3.4.clean'!C:C,'3.4.clean'!A:A=C1755),"""")"),43889.0)</f>
        <v>43889</v>
      </c>
      <c r="P1755" s="25" t="b">
        <f t="shared" si="1402"/>
        <v>1</v>
      </c>
      <c r="Q1755" s="24" t="str">
        <f>IFERROR(__xludf.DUMMYFUNCTION("iferror(filter('3.5.clean'!C:C,'3.5.clean'!A:A=C1755),"""")"),"")</f>
        <v/>
      </c>
      <c r="S1755" s="25"/>
      <c r="W1755" s="23" t="b">
        <f t="shared" si="1423"/>
        <v>0</v>
      </c>
      <c r="X1755" s="23" t="str">
        <f>IFERROR(__xludf.DUMMYFUNCTION("if(COUNTA(FILTER(C:C, C:C = C1755))=1,""no"",""yes"")"),"no")</f>
        <v>no</v>
      </c>
    </row>
    <row r="1756">
      <c r="A1756" s="1" t="s">
        <v>1079</v>
      </c>
      <c r="B1756" s="2">
        <v>21.0</v>
      </c>
      <c r="C1756" s="69" t="s">
        <v>793</v>
      </c>
      <c r="E1756" s="24">
        <f>IFERROR(__xludf.DUMMYFUNCTION("ifna(IFNA(filter('2.1.clean'!C:C,'2.1.clean'!A:A=C1756),filter('2.2.clean'!E:E,'2.2.clean'!D:D=C1756)),filter('2.4.clean'!C:C,'2.4.clean'!A:A=C1756))"),43881.0)</f>
        <v>43881</v>
      </c>
      <c r="F1756" s="25">
        <f>IFERROR(__xludf.DUMMYFUNCTION("iferror(ifna(IFNA(filter('2.1.clean'!E:E,'2.1.clean'!A:A=C1756),filter('2.2.clean'!G:G,'2.2.clean'!D:D=C1756)),filter('2.4.clean'!E:E,'2.4.clean'!A:A=C1756)),)"),2.2)</f>
        <v>2.2</v>
      </c>
      <c r="G1756" s="24">
        <f>IFERROR(__xludf.DUMMYFUNCTION("iferror(filter('3.1.clean'!C:C,'3.1.clean'!A:A=C1756),"""")"),43881.0)</f>
        <v>43881</v>
      </c>
      <c r="H1756" s="23" t="b">
        <f t="shared" si="1421"/>
        <v>1</v>
      </c>
      <c r="J1756" s="25"/>
      <c r="K1756" s="24">
        <f>IFERROR(__xludf.DUMMYFUNCTION("iferror(filter('3.2.clean'!C:C,'3.2.clean'!A:A=C1756),"""")"),43881.0)</f>
        <v>43881</v>
      </c>
      <c r="L1756" s="25" t="b">
        <f t="shared" si="1422"/>
        <v>1</v>
      </c>
      <c r="M1756" s="24" t="str">
        <f>IFERROR(__xludf.DUMMYFUNCTION("iferror(filter('3.3.clean'!C:C,'3.3.clean'!A:A=C1756),"""")"),"")</f>
        <v/>
      </c>
      <c r="N1756" s="25" t="b">
        <f t="shared" si="1401"/>
        <v>0</v>
      </c>
      <c r="O1756" s="24">
        <f>IFERROR(__xludf.DUMMYFUNCTION("iferror(filter('3.4.clean'!C:C,'3.4.clean'!A:A=C1756),"""")"),43889.0)</f>
        <v>43889</v>
      </c>
      <c r="P1756" s="25" t="b">
        <f t="shared" si="1402"/>
        <v>1</v>
      </c>
      <c r="Q1756" s="24" t="str">
        <f>IFERROR(__xludf.DUMMYFUNCTION("iferror(filter('3.5.clean'!C:C,'3.5.clean'!A:A=C1756),"""")"),"")</f>
        <v/>
      </c>
      <c r="S1756" s="25"/>
      <c r="W1756" s="23" t="b">
        <f t="shared" si="1423"/>
        <v>0</v>
      </c>
      <c r="X1756" s="23" t="str">
        <f>IFERROR(__xludf.DUMMYFUNCTION("if(COUNTA(FILTER(C:C, C:C = C1756))=1,""no"",""yes"")"),"no")</f>
        <v>no</v>
      </c>
    </row>
    <row r="1757">
      <c r="A1757" s="1" t="s">
        <v>1079</v>
      </c>
      <c r="B1757" s="2">
        <v>22.0</v>
      </c>
      <c r="C1757" s="19" t="s">
        <v>4430</v>
      </c>
      <c r="E1757" s="141">
        <v>43881.0</v>
      </c>
      <c r="F1757" s="142">
        <v>2.2</v>
      </c>
      <c r="G1757" s="59">
        <f>IFERROR(__xludf.DUMMYFUNCTION("iferror(filter('3.1.clean'!C:C,'3.1.clean'!A:A=C1757),"""")"),43881.0)</f>
        <v>43881</v>
      </c>
      <c r="H1757" s="58" t="b">
        <f t="shared" si="1421"/>
        <v>1</v>
      </c>
      <c r="I1757" s="58">
        <f>IFERROR(__xludf.DUMMYFUNCTION("iferror(filter('3.1.clean'!G:G,'3.1.clean'!A:A=C1757),"""")"),0.0)</f>
        <v>0</v>
      </c>
      <c r="J1757" s="60" t="str">
        <f>IFERROR(__xludf.DUMMYFUNCTION("iferror(filter('3.1.clean'!I:I,'3.1.clean'!A:A=C1757),"""")"),"")</f>
        <v/>
      </c>
      <c r="K1757" s="58"/>
      <c r="L1757" s="60"/>
      <c r="M1757" s="59" t="str">
        <f>IFERROR(__xludf.DUMMYFUNCTION("iferror(filter('3.3.clean'!C:C,'3.3.clean'!A:A=C1757),"""")"),"")</f>
        <v/>
      </c>
      <c r="N1757" s="60" t="b">
        <f t="shared" si="1401"/>
        <v>0</v>
      </c>
      <c r="O1757" s="59" t="str">
        <f>IFERROR(__xludf.DUMMYFUNCTION("iferror(filter('3.4.clean'!C:C,'3.4.clean'!A:A=C1757),"""")"),"")</f>
        <v/>
      </c>
      <c r="P1757" s="60" t="b">
        <f t="shared" si="1402"/>
        <v>0</v>
      </c>
      <c r="Q1757" s="59" t="str">
        <f>IFERROR(__xludf.DUMMYFUNCTION("iferror(filter('3.5.clean'!C:C,'3.5.clean'!A:A=C1757),"""")"),"")</f>
        <v/>
      </c>
      <c r="R1757" s="58"/>
      <c r="S1757" s="4" t="str">
        <f>IFERROR(__xludf.DUMMYFUNCTION("iferror(filter('3.5.clean'!H:H,'3.5.clean'!A:A=C1757),"""")"),"")</f>
        <v/>
      </c>
      <c r="V1757" s="1" t="s">
        <v>83</v>
      </c>
      <c r="W1757" s="23" t="b">
        <f>if(AND(H1757=TRUE,N1757=TRUE,P1757=TRUE),TRUE,FALSE)</f>
        <v>0</v>
      </c>
      <c r="X1757" s="23" t="str">
        <f>IFERROR(__xludf.DUMMYFUNCTION("if(COUNTA(FILTER(C:C, C:C = C1757))=1,""no"",""yes"")"),"no")</f>
        <v>no</v>
      </c>
    </row>
    <row r="1758">
      <c r="A1758" s="1" t="s">
        <v>1079</v>
      </c>
      <c r="B1758" s="2">
        <v>23.0</v>
      </c>
      <c r="C1758" s="39" t="s">
        <v>4437</v>
      </c>
      <c r="E1758" s="77">
        <f>G1758</f>
        <v>43881</v>
      </c>
      <c r="F1758" s="78" t="str">
        <f>IFERROR(__xludf.DUMMYFUNCTION("iferror(ifna(IFNA(filter('2.1.clean'!E:E,'2.1.clean'!A:A=C1758),filter('2.2.clean'!G:G,'2.2.clean'!D:D=C1758)),filter('2.4.clean'!E:E,'2.4.clean'!A:A=C1758)),)"),"")</f>
        <v/>
      </c>
      <c r="G1758" s="77">
        <f>IFERROR(__xludf.DUMMYFUNCTION("iferror(filter('3.1.clean'!C:C,'3.1.clean'!A:A=C1758),"""")"),43881.0)</f>
        <v>43881</v>
      </c>
      <c r="H1758" s="76" t="b">
        <f t="shared" si="1421"/>
        <v>1</v>
      </c>
      <c r="I1758" s="76">
        <f>IFERROR(__xludf.DUMMYFUNCTION("iferror(filter('3.1.clean'!G:G,'3.1.clean'!A:A=C1758),"""")"),0.0)</f>
        <v>0</v>
      </c>
      <c r="J1758" s="78" t="str">
        <f>IFERROR(__xludf.DUMMYFUNCTION("iferror(filter('3.1.clean'!I:I,'3.1.clean'!A:A=C1758),"""")"),"")</f>
        <v/>
      </c>
      <c r="K1758" s="77"/>
      <c r="L1758" s="78"/>
      <c r="M1758" s="77"/>
      <c r="N1758" s="78"/>
      <c r="O1758" s="77"/>
      <c r="P1758" s="78"/>
      <c r="Q1758" s="77"/>
      <c r="R1758" s="76"/>
      <c r="S1758" s="25"/>
      <c r="T1758" s="1"/>
      <c r="V1758" s="1" t="s">
        <v>64</v>
      </c>
      <c r="W1758" s="1" t="b">
        <v>1</v>
      </c>
      <c r="X1758" s="23" t="str">
        <f>IFERROR(__xludf.DUMMYFUNCTION("if(COUNTA(FILTER(C:C, C:C = C1758))=1,""no"",""yes"")"),"no")</f>
        <v>no</v>
      </c>
    </row>
    <row r="1759">
      <c r="A1759" s="1" t="s">
        <v>1079</v>
      </c>
      <c r="B1759" s="2">
        <v>24.0</v>
      </c>
      <c r="C1759" s="19" t="s">
        <v>4444</v>
      </c>
      <c r="D1759" s="22" t="str">
        <f>if(or(I1759=1,J1759=1,S1759=1),"pos","")</f>
        <v/>
      </c>
      <c r="E1759" s="20">
        <f>Q1759</f>
        <v>43881</v>
      </c>
      <c r="F1759" s="79" t="str">
        <f>IFERROR(__xludf.DUMMYFUNCTION("iferror(ifna(IFNA(filter('2.1.clean'!E:E,'2.1.clean'!A:A=C1759),filter('2.2.clean'!G:G,'2.2.clean'!D:D=C1759)),filter('2.4.clean'!E:E,'2.4.clean'!A:A=C1759)),)"),"")</f>
        <v/>
      </c>
      <c r="G1759" s="20" t="str">
        <f>IFERROR(__xludf.DUMMYFUNCTION("iferror(filter('3.1.clean'!C:C,'3.1.clean'!A:A=C1759),"""")"),"")</f>
        <v/>
      </c>
      <c r="H1759" s="22"/>
      <c r="I1759" s="22"/>
      <c r="J1759" s="79"/>
      <c r="K1759" s="20" t="str">
        <f>IFERROR(__xludf.DUMMYFUNCTION("iferror(filter('3.2.clean'!C:C,'3.2.clean'!A:A=C1759),"""")"),"")</f>
        <v/>
      </c>
      <c r="L1759" s="79"/>
      <c r="M1759" s="20" t="str">
        <f>IFERROR(__xludf.DUMMYFUNCTION("iferror(filter('3.3.clean'!C:C,'3.3.clean'!A:A=C1759),"""")"),"")</f>
        <v/>
      </c>
      <c r="N1759" s="79" t="b">
        <f t="shared" ref="N1759:N1775" si="1424">if(M1759="",FALSE,TRUE)</f>
        <v>0</v>
      </c>
      <c r="O1759" s="20" t="str">
        <f>IFERROR(__xludf.DUMMYFUNCTION("iferror(filter('3.4.clean'!C:C,'3.4.clean'!A:A=C1759),"""")"),"")</f>
        <v/>
      </c>
      <c r="P1759" s="79" t="b">
        <f t="shared" ref="P1759:P1775" si="1425">if(O1759="",FALSE,TRUE)</f>
        <v>0</v>
      </c>
      <c r="Q1759" s="20">
        <f>IFERROR(__xludf.DUMMYFUNCTION("iferror(filter('3.5.clean'!C:C,'3.5.clean'!A:A=C1759),"""")"),43881.0)</f>
        <v>43881</v>
      </c>
      <c r="R1759" s="22" t="b">
        <f t="shared" ref="R1759:R1760" si="1426">if(Q1759="",FALSE,TRUE)</f>
        <v>1</v>
      </c>
      <c r="S1759" s="4">
        <f>IFERROR(__xludf.DUMMYFUNCTION("iferror(filter('3.5.clean'!H:H,'3.5.clean'!A:A=C1759),"""")"),0.0)</f>
        <v>0</v>
      </c>
      <c r="V1759" s="1" t="s">
        <v>64</v>
      </c>
      <c r="W1759" s="23" t="b">
        <f>IF(and(R1759=TRUE,N1759=TRUE,P1759=TRUE),TRUE,FALSE)</f>
        <v>0</v>
      </c>
      <c r="X1759" s="23" t="str">
        <f>IFERROR(__xludf.DUMMYFUNCTION("if(COUNTA(FILTER(C:C, C:C = C1759))=1,""no"",""yes"")"),"no")</f>
        <v>no</v>
      </c>
    </row>
    <row r="1760">
      <c r="A1760" s="75" t="s">
        <v>1082</v>
      </c>
      <c r="B1760" s="2">
        <v>1.0</v>
      </c>
      <c r="C1760" s="23" t="s">
        <v>4451</v>
      </c>
      <c r="E1760" s="24">
        <f>IFERROR(__xludf.DUMMYFUNCTION("ifna(IFNA(filter('2.1.clean'!C:C,'2.1.clean'!A:A=C1760),filter('2.2.clean'!E:E,'2.2.clean'!D:D=C1760)),filter('2.4.clean'!C:C,'2.4.clean'!A:A=C1760))"),43885.0)</f>
        <v>43885</v>
      </c>
      <c r="F1760" s="25">
        <f>IFERROR(__xludf.DUMMYFUNCTION("iferror(ifna(IFNA(filter('2.1.clean'!E:E,'2.1.clean'!A:A=C1760),filter('2.2.clean'!G:G,'2.2.clean'!D:D=C1760)),filter('2.4.clean'!E:E,'2.4.clean'!A:A=C1760)),)"),2.39999999999999)</f>
        <v>2.4</v>
      </c>
      <c r="G1760" s="24">
        <f>IFERROR(__xludf.DUMMYFUNCTION("iferror(filter('3.1.clean'!C:C,'3.1.clean'!A:A=C1760),"""")"),43885.0)</f>
        <v>43885</v>
      </c>
      <c r="H1760" s="23" t="b">
        <f t="shared" ref="H1760:H1761" si="1427">if(G1760="",FALSE,TRUE)</f>
        <v>1</v>
      </c>
      <c r="J1760" s="25"/>
      <c r="K1760" s="24">
        <f>IFERROR(__xludf.DUMMYFUNCTION("iferror(filter('3.2.clean'!C:C,'3.2.clean'!A:A=C1760),"""")"),43886.0)</f>
        <v>43886</v>
      </c>
      <c r="L1760" s="25" t="b">
        <f>if(K1760="",FALSE,TRUE)</f>
        <v>1</v>
      </c>
      <c r="M1760" s="24" t="str">
        <f>IFERROR(__xludf.DUMMYFUNCTION("iferror(filter('3.3.clean'!C:C,'3.3.clean'!A:A=C1760),"""")"),"")</f>
        <v/>
      </c>
      <c r="N1760" s="25" t="b">
        <f t="shared" si="1424"/>
        <v>0</v>
      </c>
      <c r="O1760" s="24">
        <f>IFERROR(__xludf.DUMMYFUNCTION("iferror(filter('3.4.clean'!C:C,'3.4.clean'!A:A=C1760),"""")"),43889.0)</f>
        <v>43889</v>
      </c>
      <c r="P1760" s="25" t="b">
        <f t="shared" si="1425"/>
        <v>1</v>
      </c>
      <c r="Q1760" s="24">
        <f>IFERROR(__xludf.DUMMYFUNCTION("iferror(filter('3.5.clean'!C:C,'3.5.clean'!A:A=C1760),"""")"),43885.0)</f>
        <v>43885</v>
      </c>
      <c r="R1760" s="23" t="b">
        <f t="shared" si="1426"/>
        <v>1</v>
      </c>
      <c r="S1760" s="25"/>
      <c r="V1760" s="1" t="s">
        <v>64</v>
      </c>
      <c r="X1760" s="23" t="str">
        <f>IFERROR(__xludf.DUMMYFUNCTION("if(COUNTA(FILTER(C:C, C:C = C1760))=1,""no"",""yes"")"),"no")</f>
        <v>no</v>
      </c>
    </row>
    <row r="1761">
      <c r="A1761" s="75" t="s">
        <v>1082</v>
      </c>
      <c r="B1761" s="2">
        <v>2.0</v>
      </c>
      <c r="C1761" s="23" t="s">
        <v>4452</v>
      </c>
      <c r="E1761" s="59">
        <f>IFERROR(__xludf.DUMMYFUNCTION("ifna(IFNA(filter('2.1.clean'!C:C,'2.1.clean'!A:A=C1761),filter('2.2.clean'!E:E,'2.2.clean'!D:D=C1761)),filter('2.4.clean'!C:C,'2.4.clean'!A:A=C1761))"),43885.0)</f>
        <v>43885</v>
      </c>
      <c r="F1761" s="60">
        <f>IFERROR(__xludf.DUMMYFUNCTION("iferror(ifna(IFNA(filter('2.1.clean'!E:E,'2.1.clean'!A:A=C1761),filter('2.2.clean'!G:G,'2.2.clean'!D:D=C1761)),filter('2.4.clean'!E:E,'2.4.clean'!A:A=C1761)),)"),2.39999999999999)</f>
        <v>2.4</v>
      </c>
      <c r="G1761" s="59">
        <f>IFERROR(__xludf.DUMMYFUNCTION("iferror(filter('3.1.clean'!C:C,'3.1.clean'!A:A=C1761),"""")"),43885.0)</f>
        <v>43885</v>
      </c>
      <c r="H1761" s="58" t="b">
        <f t="shared" si="1427"/>
        <v>1</v>
      </c>
      <c r="I1761" s="58">
        <f>IFERROR(__xludf.DUMMYFUNCTION("iferror(filter('3.1.clean'!G:G,'3.1.clean'!A:A=C1761),"""")"),0.0)</f>
        <v>0</v>
      </c>
      <c r="J1761" s="60" t="str">
        <f>IFERROR(__xludf.DUMMYFUNCTION("iferror(filter('3.1.clean'!I:I,'3.1.clean'!A:A=C1761),"""")"),"")</f>
        <v/>
      </c>
      <c r="K1761" s="58"/>
      <c r="L1761" s="60"/>
      <c r="M1761" s="59" t="str">
        <f>IFERROR(__xludf.DUMMYFUNCTION("iferror(filter('3.3.clean'!C:C,'3.3.clean'!A:A=C1761),"""")"),"")</f>
        <v/>
      </c>
      <c r="N1761" s="60" t="b">
        <f t="shared" si="1424"/>
        <v>0</v>
      </c>
      <c r="O1761" s="59" t="str">
        <f>IFERROR(__xludf.DUMMYFUNCTION("iferror(filter('3.4.clean'!C:C,'3.4.clean'!A:A=C1761),"""")"),"")</f>
        <v/>
      </c>
      <c r="P1761" s="60" t="b">
        <f t="shared" si="1425"/>
        <v>0</v>
      </c>
      <c r="Q1761" s="59" t="str">
        <f>IFERROR(__xludf.DUMMYFUNCTION("iferror(filter('3.5.clean'!C:C,'3.5.clean'!A:A=C1761),"""")"),"")</f>
        <v/>
      </c>
      <c r="R1761" s="58"/>
      <c r="S1761" s="4" t="str">
        <f>IFERROR(__xludf.DUMMYFUNCTION("iferror(filter('3.5.clean'!H:H,'3.5.clean'!A:A=C1761),"""")"),"")</f>
        <v/>
      </c>
      <c r="W1761" s="23" t="b">
        <f>if(AND(H1761=TRUE,N1761=TRUE,P1761=TRUE),TRUE,FALSE)</f>
        <v>0</v>
      </c>
      <c r="X1761" s="23" t="str">
        <f>IFERROR(__xludf.DUMMYFUNCTION("if(COUNTA(FILTER(C:C, C:C = C1761))=1,""no"",""yes"")"),"no")</f>
        <v>no</v>
      </c>
    </row>
    <row r="1762">
      <c r="A1762" s="75" t="s">
        <v>1082</v>
      </c>
      <c r="B1762" s="2">
        <v>2.5</v>
      </c>
      <c r="C1762" s="19" t="s">
        <v>4459</v>
      </c>
      <c r="D1762" s="58" t="str">
        <f>if(or(I1762=1,J1762=1,S1762=1),"pos","")</f>
        <v/>
      </c>
      <c r="E1762" s="59">
        <f>Q1762</f>
        <v>43885</v>
      </c>
      <c r="F1762" s="60" t="str">
        <f>IFERROR(__xludf.DUMMYFUNCTION("iferror(ifna(IFNA(filter('2.1.clean'!E:E,'2.1.clean'!A:A=C1762),filter('2.2.clean'!G:G,'2.2.clean'!D:D=C1762)),filter('2.4.clean'!E:E,'2.4.clean'!A:A=C1762)),)"),"")</f>
        <v/>
      </c>
      <c r="G1762" s="59" t="str">
        <f>IFERROR(__xludf.DUMMYFUNCTION("iferror(filter('3.1.clean'!C:C,'3.1.clean'!A:A=C1762),"""")"),"")</f>
        <v/>
      </c>
      <c r="H1762" s="58"/>
      <c r="I1762" s="58" t="str">
        <f>IFERROR(__xludf.DUMMYFUNCTION("iferror(filter('3.1.clean'!G:G,'3.1.clean'!A:A=C1762),"""")"),"")</f>
        <v/>
      </c>
      <c r="J1762" s="60" t="str">
        <f>IFERROR(__xludf.DUMMYFUNCTION("iferror(filter('3.1.clean'!I:I,'3.1.clean'!A:A=C1762),"""")"),"")</f>
        <v/>
      </c>
      <c r="K1762" s="59"/>
      <c r="L1762" s="60"/>
      <c r="M1762" s="59" t="str">
        <f>IFERROR(__xludf.DUMMYFUNCTION("iferror(filter('3.3.clean'!C:C,'3.3.clean'!A:A=C1762),"""")"),"")</f>
        <v/>
      </c>
      <c r="N1762" s="60" t="b">
        <f t="shared" si="1424"/>
        <v>0</v>
      </c>
      <c r="O1762" s="59" t="str">
        <f>IFERROR(__xludf.DUMMYFUNCTION("iferror(filter('3.4.clean'!C:C,'3.4.clean'!A:A=C1762),"""")"),"")</f>
        <v/>
      </c>
      <c r="P1762" s="60" t="b">
        <f t="shared" si="1425"/>
        <v>0</v>
      </c>
      <c r="Q1762" s="59">
        <f>IFERROR(__xludf.DUMMYFUNCTION("iferror(filter('3.5.clean'!C:C,'3.5.clean'!A:A=C1762),"""")"),43885.0)</f>
        <v>43885</v>
      </c>
      <c r="R1762" s="58" t="b">
        <f t="shared" ref="R1762:R1763" si="1428">if(Q1762="",FALSE,TRUE)</f>
        <v>1</v>
      </c>
      <c r="S1762" s="4">
        <f>IFERROR(__xludf.DUMMYFUNCTION("iferror(filter('3.5.clean'!H:H,'3.5.clean'!A:A=C1762),"""")"),0.0)</f>
        <v>0</v>
      </c>
      <c r="V1762" s="52" t="s">
        <v>64</v>
      </c>
      <c r="W1762" s="23" t="b">
        <f>if(AND(R1762=TRUE,N1762=TRUE,P1762=TRUE),TRUE,FALSE)</f>
        <v>0</v>
      </c>
      <c r="X1762" s="23" t="str">
        <f>IFERROR(__xludf.DUMMYFUNCTION("if(COUNTA(FILTER(C:C, C:C = C1762))=1,""no"",""yes"")"),"no")</f>
        <v>no</v>
      </c>
    </row>
    <row r="1763">
      <c r="A1763" s="75" t="s">
        <v>1082</v>
      </c>
      <c r="B1763" s="2">
        <v>3.0</v>
      </c>
      <c r="C1763" s="23" t="s">
        <v>4466</v>
      </c>
      <c r="E1763" s="24">
        <f>IFERROR(__xludf.DUMMYFUNCTION("ifna(IFNA(filter('2.1.clean'!C:C,'2.1.clean'!A:A=C1763),filter('2.2.clean'!E:E,'2.2.clean'!D:D=C1763)),filter('2.4.clean'!C:C,'2.4.clean'!A:A=C1763))"),43885.0)</f>
        <v>43885</v>
      </c>
      <c r="F1763" s="25">
        <f>IFERROR(__xludf.DUMMYFUNCTION("iferror(ifna(IFNA(filter('2.1.clean'!E:E,'2.1.clean'!A:A=C1763),filter('2.2.clean'!G:G,'2.2.clean'!D:D=C1763)),filter('2.4.clean'!E:E,'2.4.clean'!A:A=C1763)),)"),2.39999999999999)</f>
        <v>2.4</v>
      </c>
      <c r="G1763" s="24">
        <f>IFERROR(__xludf.DUMMYFUNCTION("iferror(filter('3.1.clean'!C:C,'3.1.clean'!A:A=C1763),"""")"),43885.0)</f>
        <v>43885</v>
      </c>
      <c r="H1763" s="23" t="b">
        <f t="shared" ref="H1763:H1764" si="1429">if(G1763="",FALSE,TRUE)</f>
        <v>1</v>
      </c>
      <c r="J1763" s="25"/>
      <c r="K1763" s="24">
        <f>IFERROR(__xludf.DUMMYFUNCTION("iferror(filter('3.2.clean'!C:C,'3.2.clean'!A:A=C1763),"""")"),43886.0)</f>
        <v>43886</v>
      </c>
      <c r="L1763" s="25" t="b">
        <f>if(K1763="",FALSE,TRUE)</f>
        <v>1</v>
      </c>
      <c r="M1763" s="24" t="str">
        <f>IFERROR(__xludf.DUMMYFUNCTION("iferror(filter('3.3.clean'!C:C,'3.3.clean'!A:A=C1763),"""")"),"")</f>
        <v/>
      </c>
      <c r="N1763" s="25" t="b">
        <f t="shared" si="1424"/>
        <v>0</v>
      </c>
      <c r="O1763" s="24">
        <f>IFERROR(__xludf.DUMMYFUNCTION("iferror(filter('3.4.clean'!C:C,'3.4.clean'!A:A=C1763),"""")"),43889.0)</f>
        <v>43889</v>
      </c>
      <c r="P1763" s="25" t="b">
        <f t="shared" si="1425"/>
        <v>1</v>
      </c>
      <c r="Q1763" s="24">
        <f>IFERROR(__xludf.DUMMYFUNCTION("iferror(filter('3.5.clean'!C:C,'3.5.clean'!A:A=C1763),"""")"),43885.0)</f>
        <v>43885</v>
      </c>
      <c r="R1763" s="23" t="b">
        <f t="shared" si="1428"/>
        <v>1</v>
      </c>
      <c r="S1763" s="25"/>
      <c r="V1763" s="1" t="s">
        <v>64</v>
      </c>
      <c r="X1763" s="23" t="str">
        <f>IFERROR(__xludf.DUMMYFUNCTION("if(COUNTA(FILTER(C:C, C:C = C1763))=1,""no"",""yes"")"),"no")</f>
        <v>no</v>
      </c>
    </row>
    <row r="1764">
      <c r="A1764" s="75" t="s">
        <v>1082</v>
      </c>
      <c r="B1764" s="2">
        <v>4.0</v>
      </c>
      <c r="C1764" s="23" t="s">
        <v>4469</v>
      </c>
      <c r="E1764" s="59">
        <f>IFERROR(__xludf.DUMMYFUNCTION("ifna(IFNA(filter('2.1.clean'!C:C,'2.1.clean'!A:A=C1764),filter('2.2.clean'!E:E,'2.2.clean'!D:D=C1764)),filter('2.4.clean'!C:C,'2.4.clean'!A:A=C1764))"),43885.0)</f>
        <v>43885</v>
      </c>
      <c r="F1764" s="60">
        <f>IFERROR(__xludf.DUMMYFUNCTION("iferror(ifna(IFNA(filter('2.1.clean'!E:E,'2.1.clean'!A:A=C1764),filter('2.2.clean'!G:G,'2.2.clean'!D:D=C1764)),filter('2.4.clean'!E:E,'2.4.clean'!A:A=C1764)),)"),2.39999999999999)</f>
        <v>2.4</v>
      </c>
      <c r="G1764" s="59">
        <f>IFERROR(__xludf.DUMMYFUNCTION("iferror(filter('3.1.clean'!C:C,'3.1.clean'!A:A=C1764),"""")"),43885.0)</f>
        <v>43885</v>
      </c>
      <c r="H1764" s="58" t="b">
        <f t="shared" si="1429"/>
        <v>1</v>
      </c>
      <c r="I1764" s="58">
        <f>IFERROR(__xludf.DUMMYFUNCTION("iferror(filter('3.1.clean'!G:G,'3.1.clean'!A:A=C1764),"""")"),0.0)</f>
        <v>0</v>
      </c>
      <c r="J1764" s="60" t="str">
        <f>IFERROR(__xludf.DUMMYFUNCTION("iferror(filter('3.1.clean'!I:I,'3.1.clean'!A:A=C1764),"""")"),"")</f>
        <v/>
      </c>
      <c r="K1764" s="58"/>
      <c r="L1764" s="60"/>
      <c r="M1764" s="59" t="str">
        <f>IFERROR(__xludf.DUMMYFUNCTION("iferror(filter('3.3.clean'!C:C,'3.3.clean'!A:A=C1764),"""")"),"")</f>
        <v/>
      </c>
      <c r="N1764" s="60" t="b">
        <f t="shared" si="1424"/>
        <v>0</v>
      </c>
      <c r="O1764" s="59" t="str">
        <f>IFERROR(__xludf.DUMMYFUNCTION("iferror(filter('3.4.clean'!C:C,'3.4.clean'!A:A=C1764),"""")"),"")</f>
        <v/>
      </c>
      <c r="P1764" s="60" t="b">
        <f t="shared" si="1425"/>
        <v>0</v>
      </c>
      <c r="Q1764" s="59" t="str">
        <f>IFERROR(__xludf.DUMMYFUNCTION("iferror(filter('3.5.clean'!C:C,'3.5.clean'!A:A=C1764),"""")"),"")</f>
        <v/>
      </c>
      <c r="R1764" s="58"/>
      <c r="S1764" s="4" t="str">
        <f>IFERROR(__xludf.DUMMYFUNCTION("iferror(filter('3.5.clean'!H:H,'3.5.clean'!A:A=C1764),"""")"),"")</f>
        <v/>
      </c>
      <c r="W1764" s="23" t="b">
        <f>if(AND(H1764=TRUE,N1764=TRUE,P1764=TRUE),TRUE,FALSE)</f>
        <v>0</v>
      </c>
      <c r="X1764" s="23" t="str">
        <f>IFERROR(__xludf.DUMMYFUNCTION("if(COUNTA(FILTER(C:C, C:C = C1764))=1,""no"",""yes"")"),"no")</f>
        <v>no</v>
      </c>
    </row>
    <row r="1765">
      <c r="A1765" s="75" t="s">
        <v>1082</v>
      </c>
      <c r="B1765" s="2">
        <v>4.5</v>
      </c>
      <c r="C1765" s="19" t="s">
        <v>4473</v>
      </c>
      <c r="D1765" s="58" t="str">
        <f>if(or(I1765=1,J1765=1,S1765=1),"pos","")</f>
        <v/>
      </c>
      <c r="E1765" s="59">
        <f>Q1765</f>
        <v>43885</v>
      </c>
      <c r="F1765" s="60" t="str">
        <f>IFERROR(__xludf.DUMMYFUNCTION("iferror(ifna(IFNA(filter('2.1.clean'!E:E,'2.1.clean'!A:A=C1765),filter('2.2.clean'!G:G,'2.2.clean'!D:D=C1765)),filter('2.4.clean'!E:E,'2.4.clean'!A:A=C1765)),)"),"")</f>
        <v/>
      </c>
      <c r="G1765" s="59" t="str">
        <f>IFERROR(__xludf.DUMMYFUNCTION("iferror(filter('3.1.clean'!C:C,'3.1.clean'!A:A=C1765),"""")"),"")</f>
        <v/>
      </c>
      <c r="H1765" s="58"/>
      <c r="I1765" s="58" t="str">
        <f>IFERROR(__xludf.DUMMYFUNCTION("iferror(filter('3.1.clean'!G:G,'3.1.clean'!A:A=C1765),"""")"),"")</f>
        <v/>
      </c>
      <c r="J1765" s="60" t="str">
        <f>IFERROR(__xludf.DUMMYFUNCTION("iferror(filter('3.1.clean'!I:I,'3.1.clean'!A:A=C1765),"""")"),"")</f>
        <v/>
      </c>
      <c r="K1765" s="59"/>
      <c r="L1765" s="60"/>
      <c r="M1765" s="59" t="str">
        <f>IFERROR(__xludf.DUMMYFUNCTION("iferror(filter('3.3.clean'!C:C,'3.3.clean'!A:A=C1765),"""")"),"")</f>
        <v/>
      </c>
      <c r="N1765" s="60" t="b">
        <f t="shared" si="1424"/>
        <v>0</v>
      </c>
      <c r="O1765" s="59" t="str">
        <f>IFERROR(__xludf.DUMMYFUNCTION("iferror(filter('3.4.clean'!C:C,'3.4.clean'!A:A=C1765),"""")"),"")</f>
        <v/>
      </c>
      <c r="P1765" s="60" t="b">
        <f t="shared" si="1425"/>
        <v>0</v>
      </c>
      <c r="Q1765" s="59">
        <f>IFERROR(__xludf.DUMMYFUNCTION("iferror(filter('3.5.clean'!C:C,'3.5.clean'!A:A=C1765),"""")"),43885.0)</f>
        <v>43885</v>
      </c>
      <c r="R1765" s="58" t="b">
        <f t="shared" ref="R1765:R1766" si="1430">if(Q1765="",FALSE,TRUE)</f>
        <v>1</v>
      </c>
      <c r="S1765" s="4">
        <f>IFERROR(__xludf.DUMMYFUNCTION("iferror(filter('3.5.clean'!H:H,'3.5.clean'!A:A=C1765),"""")"),0.0)</f>
        <v>0</v>
      </c>
      <c r="V1765" s="52" t="s">
        <v>64</v>
      </c>
      <c r="W1765" s="23" t="b">
        <f>if(AND(R1765=TRUE,N1765=TRUE,P1765=TRUE),TRUE,FALSE)</f>
        <v>0</v>
      </c>
      <c r="X1765" s="23" t="str">
        <f>IFERROR(__xludf.DUMMYFUNCTION("if(COUNTA(FILTER(C:C, C:C = C1765))=1,""no"",""yes"")"),"no")</f>
        <v>no</v>
      </c>
    </row>
    <row r="1766">
      <c r="A1766" s="75" t="s">
        <v>1082</v>
      </c>
      <c r="B1766" s="2">
        <v>5.0</v>
      </c>
      <c r="C1766" s="23" t="s">
        <v>4479</v>
      </c>
      <c r="E1766" s="24">
        <f>IFERROR(__xludf.DUMMYFUNCTION("ifna(IFNA(filter('2.1.clean'!C:C,'2.1.clean'!A:A=C1766),filter('2.2.clean'!E:E,'2.2.clean'!D:D=C1766)),filter('2.4.clean'!C:C,'2.4.clean'!A:A=C1766))"),43885.0)</f>
        <v>43885</v>
      </c>
      <c r="F1766" s="25">
        <f>IFERROR(__xludf.DUMMYFUNCTION("iferror(ifna(IFNA(filter('2.1.clean'!E:E,'2.1.clean'!A:A=C1766),filter('2.2.clean'!G:G,'2.2.clean'!D:D=C1766)),filter('2.4.clean'!E:E,'2.4.clean'!A:A=C1766)),)"),2.39999999999999)</f>
        <v>2.4</v>
      </c>
      <c r="G1766" s="24">
        <f>IFERROR(__xludf.DUMMYFUNCTION("iferror(filter('3.1.clean'!C:C,'3.1.clean'!A:A=C1766),"""")"),43885.0)</f>
        <v>43885</v>
      </c>
      <c r="H1766" s="23" t="b">
        <f t="shared" ref="H1766:H1767" si="1431">if(G1766="",FALSE,TRUE)</f>
        <v>1</v>
      </c>
      <c r="J1766" s="25"/>
      <c r="K1766" s="24">
        <f>IFERROR(__xludf.DUMMYFUNCTION("iferror(filter('3.2.clean'!C:C,'3.2.clean'!A:A=C1766),"""")"),43886.0)</f>
        <v>43886</v>
      </c>
      <c r="L1766" s="25" t="b">
        <f>if(K1766="",FALSE,TRUE)</f>
        <v>1</v>
      </c>
      <c r="M1766" s="24" t="str">
        <f>IFERROR(__xludf.DUMMYFUNCTION("iferror(filter('3.3.clean'!C:C,'3.3.clean'!A:A=C1766),"""")"),"")</f>
        <v/>
      </c>
      <c r="N1766" s="25" t="b">
        <f t="shared" si="1424"/>
        <v>0</v>
      </c>
      <c r="O1766" s="24">
        <f>IFERROR(__xludf.DUMMYFUNCTION("iferror(filter('3.4.clean'!C:C,'3.4.clean'!A:A=C1766),"""")"),43889.0)</f>
        <v>43889</v>
      </c>
      <c r="P1766" s="25" t="b">
        <f t="shared" si="1425"/>
        <v>1</v>
      </c>
      <c r="Q1766" s="24">
        <f>IFERROR(__xludf.DUMMYFUNCTION("iferror(filter('3.5.clean'!C:C,'3.5.clean'!A:A=C1766),"""")"),43885.0)</f>
        <v>43885</v>
      </c>
      <c r="R1766" s="23" t="b">
        <f t="shared" si="1430"/>
        <v>1</v>
      </c>
      <c r="S1766" s="25"/>
      <c r="V1766" s="1" t="s">
        <v>64</v>
      </c>
      <c r="X1766" s="23" t="str">
        <f>IFERROR(__xludf.DUMMYFUNCTION("if(COUNTA(FILTER(C:C, C:C = C1766))=1,""no"",""yes"")"),"no")</f>
        <v>no</v>
      </c>
    </row>
    <row r="1767">
      <c r="A1767" s="75" t="s">
        <v>1082</v>
      </c>
      <c r="B1767" s="2">
        <v>6.0</v>
      </c>
      <c r="C1767" s="23" t="s">
        <v>4484</v>
      </c>
      <c r="E1767" s="59">
        <f>IFERROR(__xludf.DUMMYFUNCTION("ifna(IFNA(filter('2.1.clean'!C:C,'2.1.clean'!A:A=C1767),filter('2.2.clean'!E:E,'2.2.clean'!D:D=C1767)),filter('2.4.clean'!C:C,'2.4.clean'!A:A=C1767))"),43885.0)</f>
        <v>43885</v>
      </c>
      <c r="F1767" s="60">
        <f>IFERROR(__xludf.DUMMYFUNCTION("iferror(ifna(IFNA(filter('2.1.clean'!E:E,'2.1.clean'!A:A=C1767),filter('2.2.clean'!G:G,'2.2.clean'!D:D=C1767)),filter('2.4.clean'!E:E,'2.4.clean'!A:A=C1767)),)"),2.39999999999999)</f>
        <v>2.4</v>
      </c>
      <c r="G1767" s="59">
        <f>IFERROR(__xludf.DUMMYFUNCTION("iferror(filter('3.1.clean'!C:C,'3.1.clean'!A:A=C1767),"""")"),43885.0)</f>
        <v>43885</v>
      </c>
      <c r="H1767" s="58" t="b">
        <f t="shared" si="1431"/>
        <v>1</v>
      </c>
      <c r="I1767" s="58">
        <f>IFERROR(__xludf.DUMMYFUNCTION("iferror(filter('3.1.clean'!G:G,'3.1.clean'!A:A=C1767),"""")"),0.0)</f>
        <v>0</v>
      </c>
      <c r="J1767" s="60" t="str">
        <f>IFERROR(__xludf.DUMMYFUNCTION("iferror(filter('3.1.clean'!I:I,'3.1.clean'!A:A=C1767),"""")"),"")</f>
        <v/>
      </c>
      <c r="K1767" s="58"/>
      <c r="L1767" s="60"/>
      <c r="M1767" s="59" t="str">
        <f>IFERROR(__xludf.DUMMYFUNCTION("iferror(filter('3.3.clean'!C:C,'3.3.clean'!A:A=C1767),"""")"),"")</f>
        <v/>
      </c>
      <c r="N1767" s="60" t="b">
        <f t="shared" si="1424"/>
        <v>0</v>
      </c>
      <c r="O1767" s="59" t="str">
        <f>IFERROR(__xludf.DUMMYFUNCTION("iferror(filter('3.4.clean'!C:C,'3.4.clean'!A:A=C1767),"""")"),"")</f>
        <v/>
      </c>
      <c r="P1767" s="60" t="b">
        <f t="shared" si="1425"/>
        <v>0</v>
      </c>
      <c r="Q1767" s="59" t="str">
        <f>IFERROR(__xludf.DUMMYFUNCTION("iferror(filter('3.5.clean'!C:C,'3.5.clean'!A:A=C1767),"""")"),"")</f>
        <v/>
      </c>
      <c r="R1767" s="58"/>
      <c r="S1767" s="4" t="str">
        <f>IFERROR(__xludf.DUMMYFUNCTION("iferror(filter('3.5.clean'!H:H,'3.5.clean'!A:A=C1767),"""")"),"")</f>
        <v/>
      </c>
      <c r="W1767" s="23" t="b">
        <f>if(AND(H1767=TRUE,N1767=TRUE,P1767=TRUE),TRUE,FALSE)</f>
        <v>0</v>
      </c>
      <c r="X1767" s="23" t="str">
        <f>IFERROR(__xludf.DUMMYFUNCTION("if(COUNTA(FILTER(C:C, C:C = C1767))=1,""no"",""yes"")"),"no")</f>
        <v>no</v>
      </c>
    </row>
    <row r="1768">
      <c r="A1768" s="75" t="s">
        <v>1082</v>
      </c>
      <c r="B1768" s="2">
        <v>6.5</v>
      </c>
      <c r="C1768" s="19" t="s">
        <v>4486</v>
      </c>
      <c r="D1768" s="58" t="str">
        <f>if(or(I1768=1,J1768=1,S1768=1),"pos","")</f>
        <v/>
      </c>
      <c r="E1768" s="59">
        <f>Q1768</f>
        <v>43885</v>
      </c>
      <c r="F1768" s="60" t="str">
        <f>IFERROR(__xludf.DUMMYFUNCTION("iferror(ifna(IFNA(filter('2.1.clean'!E:E,'2.1.clean'!A:A=C1768),filter('2.2.clean'!G:G,'2.2.clean'!D:D=C1768)),filter('2.4.clean'!E:E,'2.4.clean'!A:A=C1768)),)"),"")</f>
        <v/>
      </c>
      <c r="G1768" s="59" t="str">
        <f>IFERROR(__xludf.DUMMYFUNCTION("iferror(filter('3.1.clean'!C:C,'3.1.clean'!A:A=C1768),"""")"),"")</f>
        <v/>
      </c>
      <c r="H1768" s="58"/>
      <c r="I1768" s="58" t="str">
        <f>IFERROR(__xludf.DUMMYFUNCTION("iferror(filter('3.1.clean'!G:G,'3.1.clean'!A:A=C1768),"""")"),"")</f>
        <v/>
      </c>
      <c r="J1768" s="60" t="str">
        <f>IFERROR(__xludf.DUMMYFUNCTION("iferror(filter('3.1.clean'!I:I,'3.1.clean'!A:A=C1768),"""")"),"")</f>
        <v/>
      </c>
      <c r="K1768" s="59"/>
      <c r="L1768" s="60"/>
      <c r="M1768" s="59" t="str">
        <f>IFERROR(__xludf.DUMMYFUNCTION("iferror(filter('3.3.clean'!C:C,'3.3.clean'!A:A=C1768),"""")"),"")</f>
        <v/>
      </c>
      <c r="N1768" s="60" t="b">
        <f t="shared" si="1424"/>
        <v>0</v>
      </c>
      <c r="O1768" s="59" t="str">
        <f>IFERROR(__xludf.DUMMYFUNCTION("iferror(filter('3.4.clean'!C:C,'3.4.clean'!A:A=C1768),"""")"),"")</f>
        <v/>
      </c>
      <c r="P1768" s="60" t="b">
        <f t="shared" si="1425"/>
        <v>0</v>
      </c>
      <c r="Q1768" s="59">
        <f>IFERROR(__xludf.DUMMYFUNCTION("iferror(filter('3.5.clean'!C:C,'3.5.clean'!A:A=C1768),"""")"),43885.0)</f>
        <v>43885</v>
      </c>
      <c r="R1768" s="58" t="b">
        <f t="shared" ref="R1768:R1769" si="1432">if(Q1768="",FALSE,TRUE)</f>
        <v>1</v>
      </c>
      <c r="S1768" s="4">
        <f>IFERROR(__xludf.DUMMYFUNCTION("iferror(filter('3.5.clean'!H:H,'3.5.clean'!A:A=C1768),"""")"),0.0)</f>
        <v>0</v>
      </c>
      <c r="V1768" s="52" t="s">
        <v>64</v>
      </c>
      <c r="W1768" s="23" t="b">
        <f>if(AND(R1768=TRUE,N1768=TRUE,P1768=TRUE),TRUE,FALSE)</f>
        <v>0</v>
      </c>
      <c r="X1768" s="23" t="str">
        <f>IFERROR(__xludf.DUMMYFUNCTION("if(COUNTA(FILTER(C:C, C:C = C1768))=1,""no"",""yes"")"),"no")</f>
        <v>no</v>
      </c>
    </row>
    <row r="1769">
      <c r="A1769" s="75" t="s">
        <v>1082</v>
      </c>
      <c r="B1769" s="2">
        <v>7.0</v>
      </c>
      <c r="C1769" s="23" t="s">
        <v>4492</v>
      </c>
      <c r="E1769" s="24">
        <f>IFERROR(__xludf.DUMMYFUNCTION("ifna(IFNA(filter('2.1.clean'!C:C,'2.1.clean'!A:A=C1769),filter('2.2.clean'!E:E,'2.2.clean'!D:D=C1769)),filter('2.4.clean'!C:C,'2.4.clean'!A:A=C1769))"),43885.0)</f>
        <v>43885</v>
      </c>
      <c r="F1769" s="25">
        <f>IFERROR(__xludf.DUMMYFUNCTION("iferror(ifna(IFNA(filter('2.1.clean'!E:E,'2.1.clean'!A:A=C1769),filter('2.2.clean'!G:G,'2.2.clean'!D:D=C1769)),filter('2.4.clean'!E:E,'2.4.clean'!A:A=C1769)),)"),2.39999999999999)</f>
        <v>2.4</v>
      </c>
      <c r="G1769" s="24">
        <f>IFERROR(__xludf.DUMMYFUNCTION("iferror(filter('3.1.clean'!C:C,'3.1.clean'!A:A=C1769),"""")"),43885.0)</f>
        <v>43885</v>
      </c>
      <c r="H1769" s="23" t="b">
        <f t="shared" ref="H1769:H1770" si="1433">if(G1769="",FALSE,TRUE)</f>
        <v>1</v>
      </c>
      <c r="J1769" s="25"/>
      <c r="K1769" s="24">
        <f>IFERROR(__xludf.DUMMYFUNCTION("iferror(filter('3.2.clean'!C:C,'3.2.clean'!A:A=C1769),"""")"),43886.0)</f>
        <v>43886</v>
      </c>
      <c r="L1769" s="25" t="b">
        <f>if(K1769="",FALSE,TRUE)</f>
        <v>1</v>
      </c>
      <c r="M1769" s="24" t="str">
        <f>IFERROR(__xludf.DUMMYFUNCTION("iferror(filter('3.3.clean'!C:C,'3.3.clean'!A:A=C1769),"""")"),"")</f>
        <v/>
      </c>
      <c r="N1769" s="25" t="b">
        <f t="shared" si="1424"/>
        <v>0</v>
      </c>
      <c r="O1769" s="24">
        <f>IFERROR(__xludf.DUMMYFUNCTION("iferror(filter('3.4.clean'!C:C,'3.4.clean'!A:A=C1769),"""")"),43889.0)</f>
        <v>43889</v>
      </c>
      <c r="P1769" s="25" t="b">
        <f t="shared" si="1425"/>
        <v>1</v>
      </c>
      <c r="Q1769" s="24">
        <f>IFERROR(__xludf.DUMMYFUNCTION("iferror(filter('3.5.clean'!C:C,'3.5.clean'!A:A=C1769),"""")"),43885.0)</f>
        <v>43885</v>
      </c>
      <c r="R1769" s="23" t="b">
        <f t="shared" si="1432"/>
        <v>1</v>
      </c>
      <c r="S1769" s="25"/>
      <c r="V1769" s="1" t="s">
        <v>64</v>
      </c>
      <c r="X1769" s="23" t="str">
        <f>IFERROR(__xludf.DUMMYFUNCTION("if(COUNTA(FILTER(C:C, C:C = C1769))=1,""no"",""yes"")"),"no")</f>
        <v>no</v>
      </c>
    </row>
    <row r="1770">
      <c r="A1770" s="75" t="s">
        <v>1082</v>
      </c>
      <c r="B1770" s="2">
        <v>8.0</v>
      </c>
      <c r="C1770" s="23" t="s">
        <v>4498</v>
      </c>
      <c r="E1770" s="59">
        <f>IFERROR(__xludf.DUMMYFUNCTION("ifna(IFNA(filter('2.1.clean'!C:C,'2.1.clean'!A:A=C1770),filter('2.2.clean'!E:E,'2.2.clean'!D:D=C1770)),filter('2.4.clean'!C:C,'2.4.clean'!A:A=C1770))"),43885.0)</f>
        <v>43885</v>
      </c>
      <c r="F1770" s="60">
        <f>IFERROR(__xludf.DUMMYFUNCTION("iferror(ifna(IFNA(filter('2.1.clean'!E:E,'2.1.clean'!A:A=C1770),filter('2.2.clean'!G:G,'2.2.clean'!D:D=C1770)),filter('2.4.clean'!E:E,'2.4.clean'!A:A=C1770)),)"),2.39999999999999)</f>
        <v>2.4</v>
      </c>
      <c r="G1770" s="59">
        <f>IFERROR(__xludf.DUMMYFUNCTION("iferror(filter('3.1.clean'!C:C,'3.1.clean'!A:A=C1770),"""")"),43885.0)</f>
        <v>43885</v>
      </c>
      <c r="H1770" s="58" t="b">
        <f t="shared" si="1433"/>
        <v>1</v>
      </c>
      <c r="I1770" s="58">
        <f>IFERROR(__xludf.DUMMYFUNCTION("iferror(filter('3.1.clean'!G:G,'3.1.clean'!A:A=C1770),"""")"),0.0)</f>
        <v>0</v>
      </c>
      <c r="J1770" s="60" t="str">
        <f>IFERROR(__xludf.DUMMYFUNCTION("iferror(filter('3.1.clean'!I:I,'3.1.clean'!A:A=C1770),"""")"),"")</f>
        <v/>
      </c>
      <c r="K1770" s="58"/>
      <c r="L1770" s="60"/>
      <c r="M1770" s="59" t="str">
        <f>IFERROR(__xludf.DUMMYFUNCTION("iferror(filter('3.3.clean'!C:C,'3.3.clean'!A:A=C1770),"""")"),"")</f>
        <v/>
      </c>
      <c r="N1770" s="60" t="b">
        <f t="shared" si="1424"/>
        <v>0</v>
      </c>
      <c r="O1770" s="59" t="str">
        <f>IFERROR(__xludf.DUMMYFUNCTION("iferror(filter('3.4.clean'!C:C,'3.4.clean'!A:A=C1770),"""")"),"")</f>
        <v/>
      </c>
      <c r="P1770" s="60" t="b">
        <f t="shared" si="1425"/>
        <v>0</v>
      </c>
      <c r="Q1770" s="59" t="str">
        <f>IFERROR(__xludf.DUMMYFUNCTION("iferror(filter('3.5.clean'!C:C,'3.5.clean'!A:A=C1770),"""")"),"")</f>
        <v/>
      </c>
      <c r="R1770" s="58"/>
      <c r="S1770" s="4" t="str">
        <f>IFERROR(__xludf.DUMMYFUNCTION("iferror(filter('3.5.clean'!H:H,'3.5.clean'!A:A=C1770),"""")"),"")</f>
        <v/>
      </c>
      <c r="W1770" s="23" t="b">
        <f>if(AND(H1770=TRUE,N1770=TRUE,P1770=TRUE),TRUE,FALSE)</f>
        <v>0</v>
      </c>
      <c r="X1770" s="23" t="str">
        <f>IFERROR(__xludf.DUMMYFUNCTION("if(COUNTA(FILTER(C:C, C:C = C1770))=1,""no"",""yes"")"),"no")</f>
        <v>no</v>
      </c>
    </row>
    <row r="1771">
      <c r="A1771" s="75" t="s">
        <v>1082</v>
      </c>
      <c r="B1771" s="2">
        <v>8.6</v>
      </c>
      <c r="C1771" s="19" t="s">
        <v>4501</v>
      </c>
      <c r="D1771" s="58" t="str">
        <f>if(or(I1771=1,J1771=1,S1771=1),"pos","")</f>
        <v/>
      </c>
      <c r="E1771" s="59">
        <f>Q1771</f>
        <v>43885</v>
      </c>
      <c r="F1771" s="60" t="str">
        <f>IFERROR(__xludf.DUMMYFUNCTION("iferror(ifna(IFNA(filter('2.1.clean'!E:E,'2.1.clean'!A:A=C1771),filter('2.2.clean'!G:G,'2.2.clean'!D:D=C1771)),filter('2.4.clean'!E:E,'2.4.clean'!A:A=C1771)),)"),"")</f>
        <v/>
      </c>
      <c r="G1771" s="59" t="str">
        <f>IFERROR(__xludf.DUMMYFUNCTION("iferror(filter('3.1.clean'!C:C,'3.1.clean'!A:A=C1771),"""")"),"")</f>
        <v/>
      </c>
      <c r="H1771" s="58"/>
      <c r="I1771" s="58" t="str">
        <f>IFERROR(__xludf.DUMMYFUNCTION("iferror(filter('3.1.clean'!G:G,'3.1.clean'!A:A=C1771),"""")"),"")</f>
        <v/>
      </c>
      <c r="J1771" s="60" t="str">
        <f>IFERROR(__xludf.DUMMYFUNCTION("iferror(filter('3.1.clean'!I:I,'3.1.clean'!A:A=C1771),"""")"),"")</f>
        <v/>
      </c>
      <c r="K1771" s="59"/>
      <c r="L1771" s="60"/>
      <c r="M1771" s="59" t="str">
        <f>IFERROR(__xludf.DUMMYFUNCTION("iferror(filter('3.3.clean'!C:C,'3.3.clean'!A:A=C1771),"""")"),"")</f>
        <v/>
      </c>
      <c r="N1771" s="60" t="b">
        <f t="shared" si="1424"/>
        <v>0</v>
      </c>
      <c r="O1771" s="59" t="str">
        <f>IFERROR(__xludf.DUMMYFUNCTION("iferror(filter('3.4.clean'!C:C,'3.4.clean'!A:A=C1771),"""")"),"")</f>
        <v/>
      </c>
      <c r="P1771" s="60" t="b">
        <f t="shared" si="1425"/>
        <v>0</v>
      </c>
      <c r="Q1771" s="59">
        <f>IFERROR(__xludf.DUMMYFUNCTION("iferror(filter('3.5.clean'!C:C,'3.5.clean'!A:A=C1771),"""")"),43885.0)</f>
        <v>43885</v>
      </c>
      <c r="R1771" s="58" t="b">
        <f t="shared" ref="R1771:R1772" si="1434">if(Q1771="",FALSE,TRUE)</f>
        <v>1</v>
      </c>
      <c r="S1771" s="4">
        <f>IFERROR(__xludf.DUMMYFUNCTION("iferror(filter('3.5.clean'!H:H,'3.5.clean'!A:A=C1771),"""")"),0.0)</f>
        <v>0</v>
      </c>
      <c r="V1771" s="52" t="s">
        <v>64</v>
      </c>
      <c r="W1771" s="23" t="b">
        <f>if(AND(R1771=TRUE,N1771=TRUE,P1771=TRUE),TRUE,FALSE)</f>
        <v>0</v>
      </c>
      <c r="X1771" s="23" t="str">
        <f>IFERROR(__xludf.DUMMYFUNCTION("if(COUNTA(FILTER(C:C, C:C = C1771))=1,""no"",""yes"")"),"no")</f>
        <v>no</v>
      </c>
    </row>
    <row r="1772">
      <c r="A1772" s="75" t="s">
        <v>1082</v>
      </c>
      <c r="B1772" s="2">
        <v>9.0</v>
      </c>
      <c r="C1772" s="23" t="s">
        <v>4505</v>
      </c>
      <c r="E1772" s="24">
        <f>IFERROR(__xludf.DUMMYFUNCTION("ifna(IFNA(filter('2.1.clean'!C:C,'2.1.clean'!A:A=C1772),filter('2.2.clean'!E:E,'2.2.clean'!D:D=C1772)),filter('2.4.clean'!C:C,'2.4.clean'!A:A=C1772))"),43885.0)</f>
        <v>43885</v>
      </c>
      <c r="F1772" s="25">
        <f>IFERROR(__xludf.DUMMYFUNCTION("iferror(ifna(IFNA(filter('2.1.clean'!E:E,'2.1.clean'!A:A=C1772),filter('2.2.clean'!G:G,'2.2.clean'!D:D=C1772)),filter('2.4.clean'!E:E,'2.4.clean'!A:A=C1772)),)"),2.39999999999999)</f>
        <v>2.4</v>
      </c>
      <c r="G1772" s="24">
        <f>IFERROR(__xludf.DUMMYFUNCTION("iferror(filter('3.1.clean'!C:C,'3.1.clean'!A:A=C1772),"""")"),43885.0)</f>
        <v>43885</v>
      </c>
      <c r="H1772" s="23" t="b">
        <f t="shared" ref="H1772:H1773" si="1435">if(G1772="",FALSE,TRUE)</f>
        <v>1</v>
      </c>
      <c r="J1772" s="25"/>
      <c r="K1772" s="24">
        <f>IFERROR(__xludf.DUMMYFUNCTION("iferror(filter('3.2.clean'!C:C,'3.2.clean'!A:A=C1772),"""")"),43886.0)</f>
        <v>43886</v>
      </c>
      <c r="L1772" s="25" t="b">
        <f>if(K1772="",FALSE,TRUE)</f>
        <v>1</v>
      </c>
      <c r="M1772" s="24" t="str">
        <f>IFERROR(__xludf.DUMMYFUNCTION("iferror(filter('3.3.clean'!C:C,'3.3.clean'!A:A=C1772),"""")"),"")</f>
        <v/>
      </c>
      <c r="N1772" s="25" t="b">
        <f t="shared" si="1424"/>
        <v>0</v>
      </c>
      <c r="O1772" s="24" t="str">
        <f>IFERROR(__xludf.DUMMYFUNCTION("iferror(filter('3.4.clean'!C:C,'3.4.clean'!A:A=C1772),"""")"),"")</f>
        <v/>
      </c>
      <c r="P1772" s="25" t="b">
        <f t="shared" si="1425"/>
        <v>0</v>
      </c>
      <c r="Q1772" s="24">
        <f>IFERROR(__xludf.DUMMYFUNCTION("iferror(filter('3.5.clean'!C:C,'3.5.clean'!A:A=C1772),"""")"),43885.0)</f>
        <v>43885</v>
      </c>
      <c r="R1772" s="23" t="b">
        <f t="shared" si="1434"/>
        <v>1</v>
      </c>
      <c r="S1772" s="25"/>
      <c r="V1772" s="1" t="s">
        <v>64</v>
      </c>
      <c r="X1772" s="23" t="str">
        <f>IFERROR(__xludf.DUMMYFUNCTION("if(COUNTA(FILTER(C:C, C:C = C1772))=1,""no"",""yes"")"),"no")</f>
        <v>no</v>
      </c>
    </row>
    <row r="1773">
      <c r="A1773" s="75" t="s">
        <v>1082</v>
      </c>
      <c r="B1773" s="2">
        <v>10.0</v>
      </c>
      <c r="C1773" s="23" t="s">
        <v>4508</v>
      </c>
      <c r="E1773" s="59">
        <f>IFERROR(__xludf.DUMMYFUNCTION("ifna(IFNA(filter('2.1.clean'!C:C,'2.1.clean'!A:A=C1773),filter('2.2.clean'!E:E,'2.2.clean'!D:D=C1773)),filter('2.4.clean'!C:C,'2.4.clean'!A:A=C1773))"),43885.0)</f>
        <v>43885</v>
      </c>
      <c r="F1773" s="60">
        <f>IFERROR(__xludf.DUMMYFUNCTION("iferror(ifna(IFNA(filter('2.1.clean'!E:E,'2.1.clean'!A:A=C1773),filter('2.2.clean'!G:G,'2.2.clean'!D:D=C1773)),filter('2.4.clean'!E:E,'2.4.clean'!A:A=C1773)),)"),2.39999999999999)</f>
        <v>2.4</v>
      </c>
      <c r="G1773" s="59">
        <f>IFERROR(__xludf.DUMMYFUNCTION("iferror(filter('3.1.clean'!C:C,'3.1.clean'!A:A=C1773),"""")"),43885.0)</f>
        <v>43885</v>
      </c>
      <c r="H1773" s="58" t="b">
        <f t="shared" si="1435"/>
        <v>1</v>
      </c>
      <c r="I1773" s="58">
        <f>IFERROR(__xludf.DUMMYFUNCTION("iferror(filter('3.1.clean'!G:G,'3.1.clean'!A:A=C1773),"""")"),0.0)</f>
        <v>0</v>
      </c>
      <c r="J1773" s="60" t="str">
        <f>IFERROR(__xludf.DUMMYFUNCTION("iferror(filter('3.1.clean'!I:I,'3.1.clean'!A:A=C1773),"""")"),"")</f>
        <v/>
      </c>
      <c r="K1773" s="58"/>
      <c r="L1773" s="60"/>
      <c r="M1773" s="59" t="str">
        <f>IFERROR(__xludf.DUMMYFUNCTION("iferror(filter('3.3.clean'!C:C,'3.3.clean'!A:A=C1773),"""")"),"")</f>
        <v/>
      </c>
      <c r="N1773" s="60" t="b">
        <f t="shared" si="1424"/>
        <v>0</v>
      </c>
      <c r="O1773" s="59" t="str">
        <f>IFERROR(__xludf.DUMMYFUNCTION("iferror(filter('3.4.clean'!C:C,'3.4.clean'!A:A=C1773),"""")"),"")</f>
        <v/>
      </c>
      <c r="P1773" s="60" t="b">
        <f t="shared" si="1425"/>
        <v>0</v>
      </c>
      <c r="Q1773" s="59" t="str">
        <f>IFERROR(__xludf.DUMMYFUNCTION("iferror(filter('3.5.clean'!C:C,'3.5.clean'!A:A=C1773),"""")"),"")</f>
        <v/>
      </c>
      <c r="R1773" s="58"/>
      <c r="S1773" s="4" t="str">
        <f>IFERROR(__xludf.DUMMYFUNCTION("iferror(filter('3.5.clean'!H:H,'3.5.clean'!A:A=C1773),"""")"),"")</f>
        <v/>
      </c>
      <c r="W1773" s="23" t="b">
        <f>if(AND(H1773=TRUE,N1773=TRUE,P1773=TRUE),TRUE,FALSE)</f>
        <v>0</v>
      </c>
      <c r="X1773" s="23" t="str">
        <f>IFERROR(__xludf.DUMMYFUNCTION("if(COUNTA(FILTER(C:C, C:C = C1773))=1,""no"",""yes"")"),"no")</f>
        <v>no</v>
      </c>
    </row>
    <row r="1774">
      <c r="A1774" s="75" t="s">
        <v>1082</v>
      </c>
      <c r="B1774" s="2">
        <v>10.5</v>
      </c>
      <c r="C1774" s="19" t="s">
        <v>4509</v>
      </c>
      <c r="D1774" s="58" t="str">
        <f t="shared" ref="D1774:D1775" si="1436">if(or(I1774=1,J1774=1,S1774=1),"pos","")</f>
        <v/>
      </c>
      <c r="E1774" s="59">
        <f t="shared" ref="E1774:E1775" si="1437">Q1774</f>
        <v>43885</v>
      </c>
      <c r="F1774" s="60" t="str">
        <f>IFERROR(__xludf.DUMMYFUNCTION("iferror(ifna(IFNA(filter('2.1.clean'!E:E,'2.1.clean'!A:A=C1774),filter('2.2.clean'!G:G,'2.2.clean'!D:D=C1774)),filter('2.4.clean'!E:E,'2.4.clean'!A:A=C1774)),)"),"")</f>
        <v/>
      </c>
      <c r="G1774" s="59" t="str">
        <f>IFERROR(__xludf.DUMMYFUNCTION("iferror(filter('3.1.clean'!C:C,'3.1.clean'!A:A=C1774),"""")"),"")</f>
        <v/>
      </c>
      <c r="H1774" s="58"/>
      <c r="I1774" s="58" t="str">
        <f>IFERROR(__xludf.DUMMYFUNCTION("iferror(filter('3.1.clean'!G:G,'3.1.clean'!A:A=C1774),"""")"),"")</f>
        <v/>
      </c>
      <c r="J1774" s="60" t="str">
        <f>IFERROR(__xludf.DUMMYFUNCTION("iferror(filter('3.1.clean'!I:I,'3.1.clean'!A:A=C1774),"""")"),"")</f>
        <v/>
      </c>
      <c r="K1774" s="59"/>
      <c r="L1774" s="60"/>
      <c r="M1774" s="59" t="str">
        <f>IFERROR(__xludf.DUMMYFUNCTION("iferror(filter('3.3.clean'!C:C,'3.3.clean'!A:A=C1774),"""")"),"")</f>
        <v/>
      </c>
      <c r="N1774" s="60" t="b">
        <f t="shared" si="1424"/>
        <v>0</v>
      </c>
      <c r="O1774" s="59" t="str">
        <f>IFERROR(__xludf.DUMMYFUNCTION("iferror(filter('3.4.clean'!C:C,'3.4.clean'!A:A=C1774),"""")"),"")</f>
        <v/>
      </c>
      <c r="P1774" s="60" t="b">
        <f t="shared" si="1425"/>
        <v>0</v>
      </c>
      <c r="Q1774" s="59">
        <f>IFERROR(__xludf.DUMMYFUNCTION("iferror(filter('3.5.clean'!C:C,'3.5.clean'!A:A=C1774),"""")"),43885.0)</f>
        <v>43885</v>
      </c>
      <c r="R1774" s="58" t="b">
        <f t="shared" ref="R1774:R1775" si="1438">if(Q1774="",FALSE,TRUE)</f>
        <v>1</v>
      </c>
      <c r="S1774" s="4">
        <f>IFERROR(__xludf.DUMMYFUNCTION("iferror(filter('3.5.clean'!H:H,'3.5.clean'!A:A=C1774),"""")"),0.0)</f>
        <v>0</v>
      </c>
      <c r="V1774" s="52" t="s">
        <v>64</v>
      </c>
      <c r="W1774" s="23" t="b">
        <f>if(AND(R1774=TRUE,N1774=TRUE,P1774=TRUE),TRUE,FALSE)</f>
        <v>0</v>
      </c>
      <c r="X1774" s="23" t="str">
        <f>IFERROR(__xludf.DUMMYFUNCTION("if(COUNTA(FILTER(C:C, C:C = C1774))=1,""no"",""yes"")"),"no")</f>
        <v>no</v>
      </c>
    </row>
    <row r="1775">
      <c r="A1775" s="75" t="s">
        <v>1082</v>
      </c>
      <c r="B1775" s="2">
        <v>11.0</v>
      </c>
      <c r="C1775" s="19" t="s">
        <v>4516</v>
      </c>
      <c r="D1775" s="22" t="str">
        <f t="shared" si="1436"/>
        <v/>
      </c>
      <c r="E1775" s="20">
        <f t="shared" si="1437"/>
        <v>43885</v>
      </c>
      <c r="F1775" s="79" t="str">
        <f>IFERROR(__xludf.DUMMYFUNCTION("iferror(ifna(IFNA(filter('2.1.clean'!E:E,'2.1.clean'!A:A=C1775),filter('2.2.clean'!G:G,'2.2.clean'!D:D=C1775)),filter('2.4.clean'!E:E,'2.4.clean'!A:A=C1775)),)"),"")</f>
        <v/>
      </c>
      <c r="G1775" s="20" t="str">
        <f>IFERROR(__xludf.DUMMYFUNCTION("iferror(filter('3.1.clean'!C:C,'3.1.clean'!A:A=C1775),"""")"),"")</f>
        <v/>
      </c>
      <c r="H1775" s="22"/>
      <c r="I1775" s="22"/>
      <c r="J1775" s="79"/>
      <c r="K1775" s="20" t="str">
        <f>IFERROR(__xludf.DUMMYFUNCTION("iferror(filter('3.2.clean'!C:C,'3.2.clean'!A:A=C1775),"""")"),"")</f>
        <v/>
      </c>
      <c r="L1775" s="79"/>
      <c r="M1775" s="20" t="str">
        <f>IFERROR(__xludf.DUMMYFUNCTION("iferror(filter('3.3.clean'!C:C,'3.3.clean'!A:A=C1775),"""")"),"")</f>
        <v/>
      </c>
      <c r="N1775" s="79" t="b">
        <f t="shared" si="1424"/>
        <v>0</v>
      </c>
      <c r="O1775" s="20" t="str">
        <f>IFERROR(__xludf.DUMMYFUNCTION("iferror(filter('3.4.clean'!C:C,'3.4.clean'!A:A=C1775),"""")"),"")</f>
        <v/>
      </c>
      <c r="P1775" s="79" t="b">
        <f t="shared" si="1425"/>
        <v>0</v>
      </c>
      <c r="Q1775" s="20">
        <f>IFERROR(__xludf.DUMMYFUNCTION("iferror(filter('3.5.clean'!C:C,'3.5.clean'!A:A=C1775),"""")"),43885.0)</f>
        <v>43885</v>
      </c>
      <c r="R1775" s="22" t="b">
        <f t="shared" si="1438"/>
        <v>1</v>
      </c>
      <c r="S1775" s="4">
        <f>IFERROR(__xludf.DUMMYFUNCTION("iferror(filter('3.5.clean'!H:H,'3.5.clean'!A:A=C1775),"""")"),0.0)</f>
        <v>0</v>
      </c>
      <c r="V1775" s="1" t="s">
        <v>64</v>
      </c>
      <c r="W1775" s="23" t="b">
        <f>IF(and(R1775=TRUE,N1775=TRUE,P1775=TRUE),TRUE,FALSE)</f>
        <v>0</v>
      </c>
      <c r="X1775" s="23" t="str">
        <f>IFERROR(__xludf.DUMMYFUNCTION("if(COUNTA(FILTER(C:C, C:C = C1775))=1,""no"",""yes"")"),"no")</f>
        <v>no</v>
      </c>
    </row>
    <row r="1776">
      <c r="A1776" s="75" t="s">
        <v>1082</v>
      </c>
      <c r="B1776" s="2">
        <v>12.0</v>
      </c>
      <c r="C1776" s="19" t="s">
        <v>4536</v>
      </c>
      <c r="E1776" s="77">
        <f>G1776</f>
        <v>43885</v>
      </c>
      <c r="F1776" s="78" t="str">
        <f>IFERROR(__xludf.DUMMYFUNCTION("iferror(ifna(IFNA(filter('2.1.clean'!E:E,'2.1.clean'!A:A=C1776),filter('2.2.clean'!G:G,'2.2.clean'!D:D=C1776)),filter('2.4.clean'!E:E,'2.4.clean'!A:A=C1776)),)"),"")</f>
        <v/>
      </c>
      <c r="G1776" s="77">
        <f>IFERROR(__xludf.DUMMYFUNCTION("iferror(filter('3.1.clean'!C:C,'3.1.clean'!A:A=C1776),"""")"),43885.0)</f>
        <v>43885</v>
      </c>
      <c r="H1776" s="76" t="b">
        <f>if(G1776="",FALSE,TRUE)</f>
        <v>1</v>
      </c>
      <c r="I1776" s="76">
        <f>IFERROR(__xludf.DUMMYFUNCTION("iferror(filter('3.1.clean'!G:G,'3.1.clean'!A:A=C1776),"""")"),0.0)</f>
        <v>0</v>
      </c>
      <c r="J1776" s="78" t="str">
        <f>IFERROR(__xludf.DUMMYFUNCTION("iferror(filter('3.1.clean'!I:I,'3.1.clean'!A:A=C1776),"""")"),"")</f>
        <v/>
      </c>
      <c r="K1776" s="77"/>
      <c r="L1776" s="78"/>
      <c r="M1776" s="77"/>
      <c r="N1776" s="78"/>
      <c r="O1776" s="77"/>
      <c r="P1776" s="78"/>
      <c r="Q1776" s="77"/>
      <c r="R1776" s="76"/>
      <c r="S1776" s="25"/>
      <c r="T1776" s="1"/>
      <c r="V1776" s="1" t="s">
        <v>64</v>
      </c>
      <c r="W1776" s="1" t="b">
        <v>1</v>
      </c>
      <c r="X1776" s="23" t="str">
        <f>IFERROR(__xludf.DUMMYFUNCTION("if(COUNTA(FILTER(C:C, C:C = C1776))=1,""no"",""yes"")"),"no")</f>
        <v>no</v>
      </c>
    </row>
    <row r="1777">
      <c r="A1777" s="1" t="s">
        <v>1086</v>
      </c>
      <c r="B1777" s="2">
        <v>1.0</v>
      </c>
      <c r="C1777" s="23" t="s">
        <v>4549</v>
      </c>
      <c r="E1777" s="24">
        <f>IFERROR(__xludf.DUMMYFUNCTION("ifna(IFNA(filter('2.1.clean'!C:C,'2.1.clean'!A:A=C1777),filter('2.2.clean'!E:E,'2.2.clean'!D:D=C1777)),filter('2.4.clean'!C:C,'2.4.clean'!A:A=C1777))"),43886.0)</f>
        <v>43886</v>
      </c>
      <c r="F1777" s="25">
        <f>IFERROR(__xludf.DUMMYFUNCTION("iferror(ifna(IFNA(filter('2.1.clean'!E:E,'2.1.clean'!A:A=C1777),filter('2.2.clean'!G:G,'2.2.clean'!D:D=C1777)),filter('2.4.clean'!E:E,'2.4.clean'!A:A=C1777)),)"),2.39999999999999)</f>
        <v>2.4</v>
      </c>
      <c r="G1777" s="24"/>
      <c r="J1777" s="25"/>
      <c r="K1777" s="24"/>
      <c r="L1777" s="25"/>
      <c r="M1777" s="24" t="str">
        <f>IFERROR(__xludf.DUMMYFUNCTION("iferror(filter('3.3.clean'!C:C,'3.3.clean'!A:A=C1777),"""")"),"")</f>
        <v/>
      </c>
      <c r="N1777" s="25" t="b">
        <f t="shared" ref="N1777:N1793" si="1439">if(M1777="",FALSE,TRUE)</f>
        <v>0</v>
      </c>
      <c r="O1777" s="24" t="str">
        <f>IFERROR(__xludf.DUMMYFUNCTION("iferror(filter('3.4.clean'!C:C,'3.4.clean'!A:A=C1777),"""")"),"")</f>
        <v/>
      </c>
      <c r="P1777" s="25" t="b">
        <f t="shared" ref="P1777:P1793" si="1440">if(O1777="",FALSE,TRUE)</f>
        <v>0</v>
      </c>
      <c r="Q1777" s="24">
        <f>IFERROR(__xludf.DUMMYFUNCTION("iferror(filter('3.5.clean'!C:C,'3.5.clean'!A:A=C1777),"""")"),43886.0)</f>
        <v>43886</v>
      </c>
      <c r="R1777" s="23" t="b">
        <f>if(Q1777="",FALSE,TRUE)</f>
        <v>1</v>
      </c>
      <c r="S1777" s="25">
        <v>0.0</v>
      </c>
      <c r="V1777" s="52" t="s">
        <v>64</v>
      </c>
      <c r="W1777" s="23" t="b">
        <f>IF(and(R1777=TRUE,N1777=TRUE,P1777=TRUE),TRUE,FALSE)</f>
        <v>0</v>
      </c>
      <c r="X1777" s="23" t="str">
        <f>IFERROR(__xludf.DUMMYFUNCTION("if(COUNTA(FILTER(C:C, C:C = C1777))=1,""no"",""yes"")"),"no")</f>
        <v>no</v>
      </c>
    </row>
    <row r="1778">
      <c r="A1778" s="1" t="s">
        <v>1086</v>
      </c>
      <c r="B1778" s="2">
        <v>2.0</v>
      </c>
      <c r="C1778" s="23" t="s">
        <v>4561</v>
      </c>
      <c r="E1778" s="59">
        <f>IFERROR(__xludf.DUMMYFUNCTION("ifna(IFNA(filter('2.1.clean'!C:C,'2.1.clean'!A:A=C1778),filter('2.2.clean'!E:E,'2.2.clean'!D:D=C1778)),filter('2.4.clean'!C:C,'2.4.clean'!A:A=C1778))"),43886.0)</f>
        <v>43886</v>
      </c>
      <c r="F1778" s="60">
        <f>IFERROR(__xludf.DUMMYFUNCTION("iferror(ifna(IFNA(filter('2.1.clean'!E:E,'2.1.clean'!A:A=C1778),filter('2.2.clean'!G:G,'2.2.clean'!D:D=C1778)),filter('2.4.clean'!E:E,'2.4.clean'!A:A=C1778)),)"),2.39999999999999)</f>
        <v>2.4</v>
      </c>
      <c r="G1778" s="59" t="str">
        <f>IFERROR(__xludf.DUMMYFUNCTION("iferror(filter('3.1.clean'!C:C,'3.1.clean'!A:A=C1778),"""")"),"")</f>
        <v/>
      </c>
      <c r="H1778" s="58" t="b">
        <f>if(G1778="",FALSE,TRUE)</f>
        <v>0</v>
      </c>
      <c r="I1778" s="58" t="str">
        <f>IFERROR(__xludf.DUMMYFUNCTION("iferror(filter('3.1.clean'!G:G,'3.1.clean'!A:A=C1778),"""")"),"")</f>
        <v/>
      </c>
      <c r="J1778" s="60" t="str">
        <f>IFERROR(__xludf.DUMMYFUNCTION("iferror(filter('3.1.clean'!I:I,'3.1.clean'!A:A=C1778),"""")"),"")</f>
        <v/>
      </c>
      <c r="K1778" s="58"/>
      <c r="L1778" s="60"/>
      <c r="M1778" s="59" t="str">
        <f>IFERROR(__xludf.DUMMYFUNCTION("iferror(filter('3.3.clean'!C:C,'3.3.clean'!A:A=C1778),"""")"),"")</f>
        <v/>
      </c>
      <c r="N1778" s="60" t="b">
        <f t="shared" si="1439"/>
        <v>0</v>
      </c>
      <c r="O1778" s="59" t="str">
        <f>IFERROR(__xludf.DUMMYFUNCTION("iferror(filter('3.4.clean'!C:C,'3.4.clean'!A:A=C1778),"""")"),"")</f>
        <v/>
      </c>
      <c r="P1778" s="60" t="b">
        <f t="shared" si="1440"/>
        <v>0</v>
      </c>
      <c r="Q1778" s="59" t="str">
        <f>IFERROR(__xludf.DUMMYFUNCTION("iferror(filter('3.5.clean'!C:C,'3.5.clean'!A:A=C1778),"""")"),"")</f>
        <v/>
      </c>
      <c r="R1778" s="58"/>
      <c r="S1778" s="4" t="str">
        <f>IFERROR(__xludf.DUMMYFUNCTION("iferror(filter('3.5.clean'!H:H,'3.5.clean'!A:A=C1778),"""")"),"")</f>
        <v/>
      </c>
      <c r="W1778" s="23" t="b">
        <f>if(AND(H1778=TRUE,N1778=TRUE,P1778=TRUE),TRUE,FALSE)</f>
        <v>0</v>
      </c>
      <c r="X1778" s="23" t="str">
        <f>IFERROR(__xludf.DUMMYFUNCTION("if(COUNTA(FILTER(C:C, C:C = C1778))=1,""no"",""yes"")"),"no")</f>
        <v>no</v>
      </c>
    </row>
    <row r="1779">
      <c r="A1779" s="1" t="s">
        <v>1086</v>
      </c>
      <c r="B1779" s="2">
        <v>2.5</v>
      </c>
      <c r="C1779" s="19" t="s">
        <v>4574</v>
      </c>
      <c r="D1779" s="58" t="str">
        <f>if(or(I1779=1,J1779=1,S1779=1),"pos","")</f>
        <v/>
      </c>
      <c r="E1779" s="59">
        <f>Q1779</f>
        <v>43886</v>
      </c>
      <c r="F1779" s="60" t="str">
        <f>IFERROR(__xludf.DUMMYFUNCTION("iferror(ifna(IFNA(filter('2.1.clean'!E:E,'2.1.clean'!A:A=C1779),filter('2.2.clean'!G:G,'2.2.clean'!D:D=C1779)),filter('2.4.clean'!E:E,'2.4.clean'!A:A=C1779)),)"),"")</f>
        <v/>
      </c>
      <c r="G1779" s="59" t="str">
        <f>IFERROR(__xludf.DUMMYFUNCTION("iferror(filter('3.1.clean'!C:C,'3.1.clean'!A:A=C1779),"""")"),"")</f>
        <v/>
      </c>
      <c r="H1779" s="58"/>
      <c r="I1779" s="58" t="str">
        <f>IFERROR(__xludf.DUMMYFUNCTION("iferror(filter('3.1.clean'!G:G,'3.1.clean'!A:A=C1779),"""")"),"")</f>
        <v/>
      </c>
      <c r="J1779" s="60" t="str">
        <f>IFERROR(__xludf.DUMMYFUNCTION("iferror(filter('3.1.clean'!I:I,'3.1.clean'!A:A=C1779),"""")"),"")</f>
        <v/>
      </c>
      <c r="K1779" s="59"/>
      <c r="L1779" s="60"/>
      <c r="M1779" s="59" t="str">
        <f>IFERROR(__xludf.DUMMYFUNCTION("iferror(filter('3.3.clean'!C:C,'3.3.clean'!A:A=C1779),"""")"),"")</f>
        <v/>
      </c>
      <c r="N1779" s="60" t="b">
        <f t="shared" si="1439"/>
        <v>0</v>
      </c>
      <c r="O1779" s="59" t="str">
        <f>IFERROR(__xludf.DUMMYFUNCTION("iferror(filter('3.4.clean'!C:C,'3.4.clean'!A:A=C1779),"""")"),"")</f>
        <v/>
      </c>
      <c r="P1779" s="60" t="b">
        <f t="shared" si="1440"/>
        <v>0</v>
      </c>
      <c r="Q1779" s="59">
        <f>IFERROR(__xludf.DUMMYFUNCTION("iferror(filter('3.5.clean'!C:C,'3.5.clean'!A:A=C1779),"""")"),43886.0)</f>
        <v>43886</v>
      </c>
      <c r="R1779" s="58" t="b">
        <f t="shared" ref="R1779:R1780" si="1441">if(Q1779="",FALSE,TRUE)</f>
        <v>1</v>
      </c>
      <c r="S1779" s="4">
        <f>IFERROR(__xludf.DUMMYFUNCTION("iferror(filter('3.5.clean'!H:H,'3.5.clean'!A:A=C1779),"""")"),0.0)</f>
        <v>0</v>
      </c>
      <c r="V1779" s="52" t="s">
        <v>64</v>
      </c>
      <c r="W1779" s="23" t="b">
        <f>if(AND(R1779=TRUE,N1779=TRUE,P1779=TRUE),TRUE,FALSE)</f>
        <v>0</v>
      </c>
      <c r="X1779" s="23" t="str">
        <f>IFERROR(__xludf.DUMMYFUNCTION("if(COUNTA(FILTER(C:C, C:C = C1779))=1,""no"",""yes"")"),"no")</f>
        <v>no</v>
      </c>
    </row>
    <row r="1780">
      <c r="A1780" s="1" t="s">
        <v>1086</v>
      </c>
      <c r="B1780" s="2">
        <v>3.0</v>
      </c>
      <c r="C1780" s="23" t="s">
        <v>4590</v>
      </c>
      <c r="E1780" s="24">
        <f>IFERROR(__xludf.DUMMYFUNCTION("ifna(IFNA(filter('2.1.clean'!C:C,'2.1.clean'!A:A=C1780),filter('2.2.clean'!E:E,'2.2.clean'!D:D=C1780)),filter('2.4.clean'!C:C,'2.4.clean'!A:A=C1780))"),43886.0)</f>
        <v>43886</v>
      </c>
      <c r="F1780" s="25">
        <f>IFERROR(__xludf.DUMMYFUNCTION("iferror(ifna(IFNA(filter('2.1.clean'!E:E,'2.1.clean'!A:A=C1780),filter('2.2.clean'!G:G,'2.2.clean'!D:D=C1780)),filter('2.4.clean'!E:E,'2.4.clean'!A:A=C1780)),)"),2.39999999999999)</f>
        <v>2.4</v>
      </c>
      <c r="G1780" s="24"/>
      <c r="J1780" s="25"/>
      <c r="K1780" s="24"/>
      <c r="L1780" s="25"/>
      <c r="M1780" s="24" t="str">
        <f>IFERROR(__xludf.DUMMYFUNCTION("iferror(filter('3.3.clean'!C:C,'3.3.clean'!A:A=C1780),"""")"),"")</f>
        <v/>
      </c>
      <c r="N1780" s="25" t="b">
        <f t="shared" si="1439"/>
        <v>0</v>
      </c>
      <c r="O1780" s="24" t="str">
        <f>IFERROR(__xludf.DUMMYFUNCTION("iferror(filter('3.4.clean'!C:C,'3.4.clean'!A:A=C1780),"""")"),"")</f>
        <v/>
      </c>
      <c r="P1780" s="25" t="b">
        <f t="shared" si="1440"/>
        <v>0</v>
      </c>
      <c r="Q1780" s="24">
        <f>IFERROR(__xludf.DUMMYFUNCTION("iferror(filter('3.5.clean'!C:C,'3.5.clean'!A:A=C1780),"""")"),43886.0)</f>
        <v>43886</v>
      </c>
      <c r="R1780" s="23" t="b">
        <f t="shared" si="1441"/>
        <v>1</v>
      </c>
      <c r="S1780" s="25">
        <v>0.0</v>
      </c>
      <c r="V1780" s="52" t="s">
        <v>64</v>
      </c>
      <c r="W1780" s="23" t="b">
        <f>IF(and(R1780=TRUE,N1780=TRUE,P1780=TRUE),TRUE,FALSE)</f>
        <v>0</v>
      </c>
      <c r="X1780" s="23" t="str">
        <f>IFERROR(__xludf.DUMMYFUNCTION("if(COUNTA(FILTER(C:C, C:C = C1780))=1,""no"",""yes"")"),"no")</f>
        <v>no</v>
      </c>
    </row>
    <row r="1781">
      <c r="A1781" s="1" t="s">
        <v>1086</v>
      </c>
      <c r="B1781" s="2">
        <v>4.0</v>
      </c>
      <c r="C1781" s="23" t="s">
        <v>4602</v>
      </c>
      <c r="E1781" s="59">
        <f>IFERROR(__xludf.DUMMYFUNCTION("ifna(IFNA(filter('2.1.clean'!C:C,'2.1.clean'!A:A=C1781),filter('2.2.clean'!E:E,'2.2.clean'!D:D=C1781)),filter('2.4.clean'!C:C,'2.4.clean'!A:A=C1781))"),43886.0)</f>
        <v>43886</v>
      </c>
      <c r="F1781" s="60">
        <f>IFERROR(__xludf.DUMMYFUNCTION("iferror(ifna(IFNA(filter('2.1.clean'!E:E,'2.1.clean'!A:A=C1781),filter('2.2.clean'!G:G,'2.2.clean'!D:D=C1781)),filter('2.4.clean'!E:E,'2.4.clean'!A:A=C1781)),)"),2.39999999999999)</f>
        <v>2.4</v>
      </c>
      <c r="G1781" s="59" t="str">
        <f>IFERROR(__xludf.DUMMYFUNCTION("iferror(filter('3.1.clean'!C:C,'3.1.clean'!A:A=C1781),"""")"),"")</f>
        <v/>
      </c>
      <c r="H1781" s="58" t="b">
        <f>if(G1781="",FALSE,TRUE)</f>
        <v>0</v>
      </c>
      <c r="I1781" s="58" t="str">
        <f>IFERROR(__xludf.DUMMYFUNCTION("iferror(filter('3.1.clean'!G:G,'3.1.clean'!A:A=C1781),"""")"),"")</f>
        <v/>
      </c>
      <c r="J1781" s="60" t="str">
        <f>IFERROR(__xludf.DUMMYFUNCTION("iferror(filter('3.1.clean'!I:I,'3.1.clean'!A:A=C1781),"""")"),"")</f>
        <v/>
      </c>
      <c r="K1781" s="58"/>
      <c r="L1781" s="60"/>
      <c r="M1781" s="59" t="str">
        <f>IFERROR(__xludf.DUMMYFUNCTION("iferror(filter('3.3.clean'!C:C,'3.3.clean'!A:A=C1781),"""")"),"")</f>
        <v/>
      </c>
      <c r="N1781" s="60" t="b">
        <f t="shared" si="1439"/>
        <v>0</v>
      </c>
      <c r="O1781" s="59" t="str">
        <f>IFERROR(__xludf.DUMMYFUNCTION("iferror(filter('3.4.clean'!C:C,'3.4.clean'!A:A=C1781),"""")"),"")</f>
        <v/>
      </c>
      <c r="P1781" s="60" t="b">
        <f t="shared" si="1440"/>
        <v>0</v>
      </c>
      <c r="Q1781" s="59" t="str">
        <f>IFERROR(__xludf.DUMMYFUNCTION("iferror(filter('3.5.clean'!C:C,'3.5.clean'!A:A=C1781),"""")"),"")</f>
        <v/>
      </c>
      <c r="R1781" s="58"/>
      <c r="S1781" s="4" t="str">
        <f>IFERROR(__xludf.DUMMYFUNCTION("iferror(filter('3.5.clean'!H:H,'3.5.clean'!A:A=C1781),"""")"),"")</f>
        <v/>
      </c>
      <c r="W1781" s="23" t="b">
        <f>if(AND(H1781=TRUE,N1781=TRUE,P1781=TRUE),TRUE,FALSE)</f>
        <v>0</v>
      </c>
      <c r="X1781" s="23" t="str">
        <f>IFERROR(__xludf.DUMMYFUNCTION("if(COUNTA(FILTER(C:C, C:C = C1781))=1,""no"",""yes"")"),"no")</f>
        <v>no</v>
      </c>
    </row>
    <row r="1782">
      <c r="A1782" s="1" t="s">
        <v>1086</v>
      </c>
      <c r="B1782" s="2">
        <v>4.5</v>
      </c>
      <c r="C1782" s="19" t="s">
        <v>4612</v>
      </c>
      <c r="D1782" s="58" t="str">
        <f>if(or(I1782=1,J1782=1,S1782=1),"pos","")</f>
        <v/>
      </c>
      <c r="E1782" s="59">
        <f>Q1782</f>
        <v>43886</v>
      </c>
      <c r="F1782" s="60" t="str">
        <f>IFERROR(__xludf.DUMMYFUNCTION("iferror(ifna(IFNA(filter('2.1.clean'!E:E,'2.1.clean'!A:A=C1782),filter('2.2.clean'!G:G,'2.2.clean'!D:D=C1782)),filter('2.4.clean'!E:E,'2.4.clean'!A:A=C1782)),)"),"")</f>
        <v/>
      </c>
      <c r="G1782" s="59" t="str">
        <f>IFERROR(__xludf.DUMMYFUNCTION("iferror(filter('3.1.clean'!C:C,'3.1.clean'!A:A=C1782),"""")"),"")</f>
        <v/>
      </c>
      <c r="H1782" s="58"/>
      <c r="I1782" s="58" t="str">
        <f>IFERROR(__xludf.DUMMYFUNCTION("iferror(filter('3.1.clean'!G:G,'3.1.clean'!A:A=C1782),"""")"),"")</f>
        <v/>
      </c>
      <c r="J1782" s="60" t="str">
        <f>IFERROR(__xludf.DUMMYFUNCTION("iferror(filter('3.1.clean'!I:I,'3.1.clean'!A:A=C1782),"""")"),"")</f>
        <v/>
      </c>
      <c r="K1782" s="59"/>
      <c r="L1782" s="60"/>
      <c r="M1782" s="59" t="str">
        <f>IFERROR(__xludf.DUMMYFUNCTION("iferror(filter('3.3.clean'!C:C,'3.3.clean'!A:A=C1782),"""")"),"")</f>
        <v/>
      </c>
      <c r="N1782" s="60" t="b">
        <f t="shared" si="1439"/>
        <v>0</v>
      </c>
      <c r="O1782" s="59" t="str">
        <f>IFERROR(__xludf.DUMMYFUNCTION("iferror(filter('3.4.clean'!C:C,'3.4.clean'!A:A=C1782),"""")"),"")</f>
        <v/>
      </c>
      <c r="P1782" s="60" t="b">
        <f t="shared" si="1440"/>
        <v>0</v>
      </c>
      <c r="Q1782" s="59">
        <f>IFERROR(__xludf.DUMMYFUNCTION("iferror(filter('3.5.clean'!C:C,'3.5.clean'!A:A=C1782),"""")"),43886.0)</f>
        <v>43886</v>
      </c>
      <c r="R1782" s="58" t="b">
        <f t="shared" ref="R1782:R1783" si="1442">if(Q1782="",FALSE,TRUE)</f>
        <v>1</v>
      </c>
      <c r="S1782" s="4">
        <f>IFERROR(__xludf.DUMMYFUNCTION("iferror(filter('3.5.clean'!H:H,'3.5.clean'!A:A=C1782),"""")"),0.0)</f>
        <v>0</v>
      </c>
      <c r="V1782" s="52" t="s">
        <v>64</v>
      </c>
      <c r="W1782" s="23" t="b">
        <f>if(AND(R1782=TRUE,N1782=TRUE,P1782=TRUE),TRUE,FALSE)</f>
        <v>0</v>
      </c>
      <c r="X1782" s="23" t="str">
        <f>IFERROR(__xludf.DUMMYFUNCTION("if(COUNTA(FILTER(C:C, C:C = C1782))=1,""no"",""yes"")"),"no")</f>
        <v>no</v>
      </c>
    </row>
    <row r="1783">
      <c r="A1783" s="1" t="s">
        <v>1086</v>
      </c>
      <c r="B1783" s="2">
        <v>5.0</v>
      </c>
      <c r="C1783" s="23" t="s">
        <v>4626</v>
      </c>
      <c r="E1783" s="24">
        <f>IFERROR(__xludf.DUMMYFUNCTION("ifna(IFNA(filter('2.1.clean'!C:C,'2.1.clean'!A:A=C1783),filter('2.2.clean'!E:E,'2.2.clean'!D:D=C1783)),filter('2.4.clean'!C:C,'2.4.clean'!A:A=C1783))"),43886.0)</f>
        <v>43886</v>
      </c>
      <c r="F1783" s="25">
        <f>IFERROR(__xludf.DUMMYFUNCTION("iferror(ifna(IFNA(filter('2.1.clean'!E:E,'2.1.clean'!A:A=C1783),filter('2.2.clean'!G:G,'2.2.clean'!D:D=C1783)),filter('2.4.clean'!E:E,'2.4.clean'!A:A=C1783)),)"),2.39999999999999)</f>
        <v>2.4</v>
      </c>
      <c r="G1783" s="24"/>
      <c r="J1783" s="25"/>
      <c r="K1783" s="24"/>
      <c r="L1783" s="25"/>
      <c r="M1783" s="24" t="str">
        <f>IFERROR(__xludf.DUMMYFUNCTION("iferror(filter('3.3.clean'!C:C,'3.3.clean'!A:A=C1783),"""")"),"")</f>
        <v/>
      </c>
      <c r="N1783" s="25" t="b">
        <f t="shared" si="1439"/>
        <v>0</v>
      </c>
      <c r="O1783" s="24" t="str">
        <f>IFERROR(__xludf.DUMMYFUNCTION("iferror(filter('3.4.clean'!C:C,'3.4.clean'!A:A=C1783),"""")"),"")</f>
        <v/>
      </c>
      <c r="P1783" s="25" t="b">
        <f t="shared" si="1440"/>
        <v>0</v>
      </c>
      <c r="Q1783" s="24">
        <f>IFERROR(__xludf.DUMMYFUNCTION("iferror(filter('3.5.clean'!C:C,'3.5.clean'!A:A=C1783),"""")"),43886.0)</f>
        <v>43886</v>
      </c>
      <c r="R1783" s="23" t="b">
        <f t="shared" si="1442"/>
        <v>1</v>
      </c>
      <c r="S1783" s="25">
        <v>0.0</v>
      </c>
      <c r="V1783" s="52" t="s">
        <v>64</v>
      </c>
      <c r="W1783" s="23" t="b">
        <f>IF(and(R1783=TRUE,N1783=TRUE,P1783=TRUE),TRUE,FALSE)</f>
        <v>0</v>
      </c>
      <c r="X1783" s="23" t="str">
        <f>IFERROR(__xludf.DUMMYFUNCTION("if(COUNTA(FILTER(C:C, C:C = C1783))=1,""no"",""yes"")"),"no")</f>
        <v>no</v>
      </c>
    </row>
    <row r="1784">
      <c r="A1784" s="1" t="s">
        <v>1086</v>
      </c>
      <c r="B1784" s="2">
        <v>6.0</v>
      </c>
      <c r="C1784" s="23" t="s">
        <v>4634</v>
      </c>
      <c r="E1784" s="59">
        <f>IFERROR(__xludf.DUMMYFUNCTION("ifna(IFNA(filter('2.1.clean'!C:C,'2.1.clean'!A:A=C1784),filter('2.2.clean'!E:E,'2.2.clean'!D:D=C1784)),filter('2.4.clean'!C:C,'2.4.clean'!A:A=C1784))"),43886.0)</f>
        <v>43886</v>
      </c>
      <c r="F1784" s="60">
        <f>IFERROR(__xludf.DUMMYFUNCTION("iferror(ifna(IFNA(filter('2.1.clean'!E:E,'2.1.clean'!A:A=C1784),filter('2.2.clean'!G:G,'2.2.clean'!D:D=C1784)),filter('2.4.clean'!E:E,'2.4.clean'!A:A=C1784)),)"),2.39999999999999)</f>
        <v>2.4</v>
      </c>
      <c r="G1784" s="59" t="str">
        <f>IFERROR(__xludf.DUMMYFUNCTION("iferror(filter('3.1.clean'!C:C,'3.1.clean'!A:A=C1784),"""")"),"")</f>
        <v/>
      </c>
      <c r="H1784" s="58" t="b">
        <f>if(G1784="",FALSE,TRUE)</f>
        <v>0</v>
      </c>
      <c r="I1784" s="58" t="str">
        <f>IFERROR(__xludf.DUMMYFUNCTION("iferror(filter('3.1.clean'!G:G,'3.1.clean'!A:A=C1784),"""")"),"")</f>
        <v/>
      </c>
      <c r="J1784" s="60" t="str">
        <f>IFERROR(__xludf.DUMMYFUNCTION("iferror(filter('3.1.clean'!I:I,'3.1.clean'!A:A=C1784),"""")"),"")</f>
        <v/>
      </c>
      <c r="K1784" s="58"/>
      <c r="L1784" s="60"/>
      <c r="M1784" s="59" t="str">
        <f>IFERROR(__xludf.DUMMYFUNCTION("iferror(filter('3.3.clean'!C:C,'3.3.clean'!A:A=C1784),"""")"),"")</f>
        <v/>
      </c>
      <c r="N1784" s="60" t="b">
        <f t="shared" si="1439"/>
        <v>0</v>
      </c>
      <c r="O1784" s="59" t="str">
        <f>IFERROR(__xludf.DUMMYFUNCTION("iferror(filter('3.4.clean'!C:C,'3.4.clean'!A:A=C1784),"""")"),"")</f>
        <v/>
      </c>
      <c r="P1784" s="60" t="b">
        <f t="shared" si="1440"/>
        <v>0</v>
      </c>
      <c r="Q1784" s="59" t="str">
        <f>IFERROR(__xludf.DUMMYFUNCTION("iferror(filter('3.5.clean'!C:C,'3.5.clean'!A:A=C1784),"""")"),"")</f>
        <v/>
      </c>
      <c r="R1784" s="58"/>
      <c r="S1784" s="4" t="str">
        <f>IFERROR(__xludf.DUMMYFUNCTION("iferror(filter('3.5.clean'!H:H,'3.5.clean'!A:A=C1784),"""")"),"")</f>
        <v/>
      </c>
      <c r="W1784" s="23" t="b">
        <f>if(AND(H1784=TRUE,N1784=TRUE,P1784=TRUE),TRUE,FALSE)</f>
        <v>0</v>
      </c>
      <c r="X1784" s="23" t="str">
        <f>IFERROR(__xludf.DUMMYFUNCTION("if(COUNTA(FILTER(C:C, C:C = C1784))=1,""no"",""yes"")"),"no")</f>
        <v>no</v>
      </c>
    </row>
    <row r="1785">
      <c r="A1785" s="1" t="s">
        <v>1086</v>
      </c>
      <c r="B1785" s="2">
        <v>6.5</v>
      </c>
      <c r="C1785" s="19" t="s">
        <v>4647</v>
      </c>
      <c r="D1785" s="58" t="str">
        <f>if(or(I1785=1,J1785=1,S1785=1),"pos","")</f>
        <v/>
      </c>
      <c r="E1785" s="59">
        <f>Q1785</f>
        <v>43886</v>
      </c>
      <c r="F1785" s="60" t="str">
        <f>IFERROR(__xludf.DUMMYFUNCTION("iferror(ifna(IFNA(filter('2.1.clean'!E:E,'2.1.clean'!A:A=C1785),filter('2.2.clean'!G:G,'2.2.clean'!D:D=C1785)),filter('2.4.clean'!E:E,'2.4.clean'!A:A=C1785)),)"),"")</f>
        <v/>
      </c>
      <c r="G1785" s="59" t="str">
        <f>IFERROR(__xludf.DUMMYFUNCTION("iferror(filter('3.1.clean'!C:C,'3.1.clean'!A:A=C1785),"""")"),"")</f>
        <v/>
      </c>
      <c r="H1785" s="58"/>
      <c r="I1785" s="58" t="str">
        <f>IFERROR(__xludf.DUMMYFUNCTION("iferror(filter('3.1.clean'!G:G,'3.1.clean'!A:A=C1785),"""")"),"")</f>
        <v/>
      </c>
      <c r="J1785" s="60" t="str">
        <f>IFERROR(__xludf.DUMMYFUNCTION("iferror(filter('3.1.clean'!I:I,'3.1.clean'!A:A=C1785),"""")"),"")</f>
        <v/>
      </c>
      <c r="K1785" s="59"/>
      <c r="L1785" s="60"/>
      <c r="M1785" s="59" t="str">
        <f>IFERROR(__xludf.DUMMYFUNCTION("iferror(filter('3.3.clean'!C:C,'3.3.clean'!A:A=C1785),"""")"),"")</f>
        <v/>
      </c>
      <c r="N1785" s="60" t="b">
        <f t="shared" si="1439"/>
        <v>0</v>
      </c>
      <c r="O1785" s="59" t="str">
        <f>IFERROR(__xludf.DUMMYFUNCTION("iferror(filter('3.4.clean'!C:C,'3.4.clean'!A:A=C1785),"""")"),"")</f>
        <v/>
      </c>
      <c r="P1785" s="60" t="b">
        <f t="shared" si="1440"/>
        <v>0</v>
      </c>
      <c r="Q1785" s="59">
        <f>IFERROR(__xludf.DUMMYFUNCTION("iferror(filter('3.5.clean'!C:C,'3.5.clean'!A:A=C1785),"""")"),43886.0)</f>
        <v>43886</v>
      </c>
      <c r="R1785" s="58" t="b">
        <f t="shared" ref="R1785:R1786" si="1443">if(Q1785="",FALSE,TRUE)</f>
        <v>1</v>
      </c>
      <c r="S1785" s="4">
        <f>IFERROR(__xludf.DUMMYFUNCTION("iferror(filter('3.5.clean'!H:H,'3.5.clean'!A:A=C1785),"""")"),0.0)</f>
        <v>0</v>
      </c>
      <c r="V1785" s="52" t="s">
        <v>64</v>
      </c>
      <c r="W1785" s="23" t="b">
        <f>if(AND(R1785=TRUE,N1785=TRUE,P1785=TRUE),TRUE,FALSE)</f>
        <v>0</v>
      </c>
      <c r="X1785" s="23" t="str">
        <f>IFERROR(__xludf.DUMMYFUNCTION("if(COUNTA(FILTER(C:C, C:C = C1785))=1,""no"",""yes"")"),"no")</f>
        <v>no</v>
      </c>
    </row>
    <row r="1786">
      <c r="A1786" s="1" t="s">
        <v>1086</v>
      </c>
      <c r="B1786" s="2">
        <v>7.0</v>
      </c>
      <c r="C1786" s="23" t="s">
        <v>4662</v>
      </c>
      <c r="E1786" s="24">
        <f>IFERROR(__xludf.DUMMYFUNCTION("ifna(IFNA(filter('2.1.clean'!C:C,'2.1.clean'!A:A=C1786),filter('2.2.clean'!E:E,'2.2.clean'!D:D=C1786)),filter('2.4.clean'!C:C,'2.4.clean'!A:A=C1786))"),43886.0)</f>
        <v>43886</v>
      </c>
      <c r="F1786" s="25">
        <f>IFERROR(__xludf.DUMMYFUNCTION("iferror(ifna(IFNA(filter('2.1.clean'!E:E,'2.1.clean'!A:A=C1786),filter('2.2.clean'!G:G,'2.2.clean'!D:D=C1786)),filter('2.4.clean'!E:E,'2.4.clean'!A:A=C1786)),)"),2.39999999999999)</f>
        <v>2.4</v>
      </c>
      <c r="G1786" s="24"/>
      <c r="J1786" s="25"/>
      <c r="K1786" s="24"/>
      <c r="L1786" s="25"/>
      <c r="M1786" s="24" t="str">
        <f>IFERROR(__xludf.DUMMYFUNCTION("iferror(filter('3.3.clean'!C:C,'3.3.clean'!A:A=C1786),"""")"),"")</f>
        <v/>
      </c>
      <c r="N1786" s="25" t="b">
        <f t="shared" si="1439"/>
        <v>0</v>
      </c>
      <c r="O1786" s="24" t="str">
        <f>IFERROR(__xludf.DUMMYFUNCTION("iferror(filter('3.4.clean'!C:C,'3.4.clean'!A:A=C1786),"""")"),"")</f>
        <v/>
      </c>
      <c r="P1786" s="25" t="b">
        <f t="shared" si="1440"/>
        <v>0</v>
      </c>
      <c r="Q1786" s="24">
        <f>IFERROR(__xludf.DUMMYFUNCTION("iferror(filter('3.5.clean'!C:C,'3.5.clean'!A:A=C1786),"""")"),43886.0)</f>
        <v>43886</v>
      </c>
      <c r="R1786" s="23" t="b">
        <f t="shared" si="1443"/>
        <v>1</v>
      </c>
      <c r="S1786" s="25">
        <v>0.0</v>
      </c>
      <c r="V1786" s="52" t="s">
        <v>64</v>
      </c>
      <c r="W1786" s="23" t="b">
        <f>IF(and(R1786=TRUE,N1786=TRUE,P1786=TRUE),TRUE,FALSE)</f>
        <v>0</v>
      </c>
      <c r="X1786" s="23" t="str">
        <f>IFERROR(__xludf.DUMMYFUNCTION("if(COUNTA(FILTER(C:C, C:C = C1786))=1,""no"",""yes"")"),"no")</f>
        <v>no</v>
      </c>
    </row>
    <row r="1787">
      <c r="A1787" s="1" t="s">
        <v>1086</v>
      </c>
      <c r="B1787" s="2">
        <v>8.0</v>
      </c>
      <c r="C1787" s="23" t="s">
        <v>4670</v>
      </c>
      <c r="E1787" s="59">
        <f>IFERROR(__xludf.DUMMYFUNCTION("ifna(IFNA(filter('2.1.clean'!C:C,'2.1.clean'!A:A=C1787),filter('2.2.clean'!E:E,'2.2.clean'!D:D=C1787)),filter('2.4.clean'!C:C,'2.4.clean'!A:A=C1787))"),43886.0)</f>
        <v>43886</v>
      </c>
      <c r="F1787" s="60">
        <f>IFERROR(__xludf.DUMMYFUNCTION("iferror(ifna(IFNA(filter('2.1.clean'!E:E,'2.1.clean'!A:A=C1787),filter('2.2.clean'!G:G,'2.2.clean'!D:D=C1787)),filter('2.4.clean'!E:E,'2.4.clean'!A:A=C1787)),)"),2.39999999999999)</f>
        <v>2.4</v>
      </c>
      <c r="G1787" s="59" t="str">
        <f>IFERROR(__xludf.DUMMYFUNCTION("iferror(filter('3.1.clean'!C:C,'3.1.clean'!A:A=C1787),"""")"),"")</f>
        <v/>
      </c>
      <c r="H1787" s="58" t="b">
        <f>if(G1787="",FALSE,TRUE)</f>
        <v>0</v>
      </c>
      <c r="I1787" s="58" t="str">
        <f>IFERROR(__xludf.DUMMYFUNCTION("iferror(filter('3.1.clean'!G:G,'3.1.clean'!A:A=C1787),"""")"),"")</f>
        <v/>
      </c>
      <c r="J1787" s="60" t="str">
        <f>IFERROR(__xludf.DUMMYFUNCTION("iferror(filter('3.1.clean'!I:I,'3.1.clean'!A:A=C1787),"""")"),"")</f>
        <v/>
      </c>
      <c r="K1787" s="58"/>
      <c r="L1787" s="60"/>
      <c r="M1787" s="59" t="str">
        <f>IFERROR(__xludf.DUMMYFUNCTION("iferror(filter('3.3.clean'!C:C,'3.3.clean'!A:A=C1787),"""")"),"")</f>
        <v/>
      </c>
      <c r="N1787" s="60" t="b">
        <f t="shared" si="1439"/>
        <v>0</v>
      </c>
      <c r="O1787" s="59" t="str">
        <f>IFERROR(__xludf.DUMMYFUNCTION("iferror(filter('3.4.clean'!C:C,'3.4.clean'!A:A=C1787),"""")"),"")</f>
        <v/>
      </c>
      <c r="P1787" s="60" t="b">
        <f t="shared" si="1440"/>
        <v>0</v>
      </c>
      <c r="Q1787" s="59" t="str">
        <f>IFERROR(__xludf.DUMMYFUNCTION("iferror(filter('3.5.clean'!C:C,'3.5.clean'!A:A=C1787),"""")"),"")</f>
        <v/>
      </c>
      <c r="R1787" s="58"/>
      <c r="S1787" s="4" t="str">
        <f>IFERROR(__xludf.DUMMYFUNCTION("iferror(filter('3.5.clean'!H:H,'3.5.clean'!A:A=C1787),"""")"),"")</f>
        <v/>
      </c>
      <c r="W1787" s="23" t="b">
        <f>if(AND(H1787=TRUE,N1787=TRUE,P1787=TRUE),TRUE,FALSE)</f>
        <v>0</v>
      </c>
      <c r="X1787" s="23" t="str">
        <f>IFERROR(__xludf.DUMMYFUNCTION("if(COUNTA(FILTER(C:C, C:C = C1787))=1,""no"",""yes"")"),"no")</f>
        <v>no</v>
      </c>
    </row>
    <row r="1788">
      <c r="A1788" s="1" t="s">
        <v>1086</v>
      </c>
      <c r="B1788" s="2">
        <v>8.5</v>
      </c>
      <c r="C1788" s="19" t="s">
        <v>4683</v>
      </c>
      <c r="D1788" s="58" t="str">
        <f>if(or(I1788=1,J1788=1,S1788=1),"pos","")</f>
        <v/>
      </c>
      <c r="E1788" s="59">
        <f>Q1788</f>
        <v>43886</v>
      </c>
      <c r="F1788" s="60" t="str">
        <f>IFERROR(__xludf.DUMMYFUNCTION("iferror(ifna(IFNA(filter('2.1.clean'!E:E,'2.1.clean'!A:A=C1788),filter('2.2.clean'!G:G,'2.2.clean'!D:D=C1788)),filter('2.4.clean'!E:E,'2.4.clean'!A:A=C1788)),)"),"")</f>
        <v/>
      </c>
      <c r="G1788" s="59" t="str">
        <f>IFERROR(__xludf.DUMMYFUNCTION("iferror(filter('3.1.clean'!C:C,'3.1.clean'!A:A=C1788),"""")"),"")</f>
        <v/>
      </c>
      <c r="H1788" s="58"/>
      <c r="I1788" s="58" t="str">
        <f>IFERROR(__xludf.DUMMYFUNCTION("iferror(filter('3.1.clean'!G:G,'3.1.clean'!A:A=C1788),"""")"),"")</f>
        <v/>
      </c>
      <c r="J1788" s="60" t="str">
        <f>IFERROR(__xludf.DUMMYFUNCTION("iferror(filter('3.1.clean'!I:I,'3.1.clean'!A:A=C1788),"""")"),"")</f>
        <v/>
      </c>
      <c r="K1788" s="59"/>
      <c r="L1788" s="60"/>
      <c r="M1788" s="59" t="str">
        <f>IFERROR(__xludf.DUMMYFUNCTION("iferror(filter('3.3.clean'!C:C,'3.3.clean'!A:A=C1788),"""")"),"")</f>
        <v/>
      </c>
      <c r="N1788" s="60" t="b">
        <f t="shared" si="1439"/>
        <v>0</v>
      </c>
      <c r="O1788" s="59" t="str">
        <f>IFERROR(__xludf.DUMMYFUNCTION("iferror(filter('3.4.clean'!C:C,'3.4.clean'!A:A=C1788),"""")"),"")</f>
        <v/>
      </c>
      <c r="P1788" s="60" t="b">
        <f t="shared" si="1440"/>
        <v>0</v>
      </c>
      <c r="Q1788" s="59">
        <f>IFERROR(__xludf.DUMMYFUNCTION("iferror(filter('3.5.clean'!C:C,'3.5.clean'!A:A=C1788),"""")"),43886.0)</f>
        <v>43886</v>
      </c>
      <c r="R1788" s="58" t="b">
        <f t="shared" ref="R1788:R1789" si="1444">if(Q1788="",FALSE,TRUE)</f>
        <v>1</v>
      </c>
      <c r="S1788" s="4">
        <f>IFERROR(__xludf.DUMMYFUNCTION("iferror(filter('3.5.clean'!H:H,'3.5.clean'!A:A=C1788),"""")"),0.0)</f>
        <v>0</v>
      </c>
      <c r="V1788" s="52" t="s">
        <v>64</v>
      </c>
      <c r="W1788" s="23" t="b">
        <f>if(AND(R1788=TRUE,N1788=TRUE,P1788=TRUE),TRUE,FALSE)</f>
        <v>0</v>
      </c>
      <c r="X1788" s="23" t="str">
        <f>IFERROR(__xludf.DUMMYFUNCTION("if(COUNTA(FILTER(C:C, C:C = C1788))=1,""no"",""yes"")"),"no")</f>
        <v>no</v>
      </c>
    </row>
    <row r="1789">
      <c r="A1789" s="1" t="s">
        <v>1086</v>
      </c>
      <c r="B1789" s="2">
        <v>9.0</v>
      </c>
      <c r="C1789" s="23" t="s">
        <v>4696</v>
      </c>
      <c r="E1789" s="24">
        <f>IFERROR(__xludf.DUMMYFUNCTION("ifna(IFNA(filter('2.1.clean'!C:C,'2.1.clean'!A:A=C1789),filter('2.2.clean'!E:E,'2.2.clean'!D:D=C1789)),filter('2.4.clean'!C:C,'2.4.clean'!A:A=C1789))"),43886.0)</f>
        <v>43886</v>
      </c>
      <c r="F1789" s="25">
        <f>IFERROR(__xludf.DUMMYFUNCTION("iferror(ifna(IFNA(filter('2.1.clean'!E:E,'2.1.clean'!A:A=C1789),filter('2.2.clean'!G:G,'2.2.clean'!D:D=C1789)),filter('2.4.clean'!E:E,'2.4.clean'!A:A=C1789)),)"),2.39999999999999)</f>
        <v>2.4</v>
      </c>
      <c r="G1789" s="43">
        <f>IFERROR(__xludf.DUMMYFUNCTION("iferror(filter('3.1.clean'!C:C,'3.1.clean'!A:A=C1789),"""")"),43886.0)</f>
        <v>43886</v>
      </c>
      <c r="H1789" s="23" t="b">
        <f t="shared" ref="H1789:H1794" si="1445">if(G1789="",FALSE,TRUE)</f>
        <v>1</v>
      </c>
      <c r="J1789" s="25"/>
      <c r="K1789" s="43">
        <f>IFERROR(__xludf.DUMMYFUNCTION("iferror(filter('3.2.clean'!C:C,'3.2.clean'!A:A=C1789),"""")"),43886.0)</f>
        <v>43886</v>
      </c>
      <c r="L1789" s="25" t="b">
        <f t="shared" ref="L1789:L1790" si="1446">if(K1789="",FALSE,TRUE)</f>
        <v>1</v>
      </c>
      <c r="M1789" s="24" t="str">
        <f>IFERROR(__xludf.DUMMYFUNCTION("iferror(filter('3.3.clean'!C:C,'3.3.clean'!A:A=C1789),"""")"),"")</f>
        <v/>
      </c>
      <c r="N1789" s="25" t="b">
        <f t="shared" si="1439"/>
        <v>0</v>
      </c>
      <c r="O1789" s="24" t="str">
        <f>IFERROR(__xludf.DUMMYFUNCTION("iferror(filter('3.4.clean'!C:C,'3.4.clean'!A:A=C1789),"""")"),"")</f>
        <v/>
      </c>
      <c r="P1789" s="25" t="b">
        <f t="shared" si="1440"/>
        <v>0</v>
      </c>
      <c r="Q1789" s="24" t="str">
        <f>IFERROR(__xludf.DUMMYFUNCTION("iferror(filter('3.5.clean'!C:C,'3.5.clean'!A:A=C1789),"""")"),"")</f>
        <v/>
      </c>
      <c r="R1789" s="23" t="b">
        <f t="shared" si="1444"/>
        <v>0</v>
      </c>
      <c r="S1789" s="25"/>
      <c r="T1789" s="48"/>
      <c r="U1789" s="23"/>
      <c r="V1789" s="1" t="s">
        <v>64</v>
      </c>
      <c r="W1789" s="23" t="b">
        <f>IF(and(R1789=TRUE,N1789=TRUE,P1789=TRUE),TRUE,FALSE)</f>
        <v>0</v>
      </c>
      <c r="X1789" s="23" t="str">
        <f>IFERROR(__xludf.DUMMYFUNCTION("if(COUNTA(FILTER(C:C, C:C = C1789))=1,""no"",""yes"")"),"no")</f>
        <v>no</v>
      </c>
    </row>
    <row r="1790">
      <c r="A1790" s="1" t="s">
        <v>1086</v>
      </c>
      <c r="B1790" s="2">
        <v>10.0</v>
      </c>
      <c r="C1790" s="19" t="s">
        <v>2339</v>
      </c>
      <c r="E1790" s="24">
        <f>IFERROR(__xludf.DUMMYFUNCTION("ifna(IFNA(filter('2.1.clean'!C:C,'2.1.clean'!A:A=C1790),filter('2.2.clean'!E:E,'2.2.clean'!D:D=C1790)),filter('2.4.clean'!C:C,'2.4.clean'!A:A=C1790))"),43886.0)</f>
        <v>43886</v>
      </c>
      <c r="F1790" s="25">
        <f>IFERROR(__xludf.DUMMYFUNCTION("iferror(ifna(IFNA(filter('2.1.clean'!E:E,'2.1.clean'!A:A=C1790),filter('2.2.clean'!G:G,'2.2.clean'!D:D=C1790)),filter('2.4.clean'!E:E,'2.4.clean'!A:A=C1790)),)"),2.1)</f>
        <v>2.1</v>
      </c>
      <c r="G1790" s="24">
        <f>IFERROR(__xludf.DUMMYFUNCTION("iferror(filter('3.1.clean'!C:C,'3.1.clean'!A:A=C1790),"""")"),43886.0)</f>
        <v>43886</v>
      </c>
      <c r="H1790" s="23" t="b">
        <f t="shared" si="1445"/>
        <v>1</v>
      </c>
      <c r="J1790" s="25"/>
      <c r="K1790" s="24">
        <f>IFERROR(__xludf.DUMMYFUNCTION("iferror(filter('3.2.clean'!C:C,'3.2.clean'!A:A=C1790),"""")"),43886.0)</f>
        <v>43886</v>
      </c>
      <c r="L1790" s="25" t="b">
        <f t="shared" si="1446"/>
        <v>1</v>
      </c>
      <c r="M1790" s="24" t="str">
        <f>IFERROR(__xludf.DUMMYFUNCTION("iferror(filter('3.3.clean'!C:C,'3.3.clean'!A:A=C1790),"""")"),"")</f>
        <v/>
      </c>
      <c r="N1790" s="25" t="b">
        <f t="shared" si="1439"/>
        <v>0</v>
      </c>
      <c r="O1790" s="24" t="str">
        <f>IFERROR(__xludf.DUMMYFUNCTION("iferror(filter('3.4.clean'!C:C,'3.4.clean'!A:A=C1790),"""")"),"")</f>
        <v/>
      </c>
      <c r="P1790" s="25" t="b">
        <f t="shared" si="1440"/>
        <v>0</v>
      </c>
      <c r="Q1790" s="24"/>
      <c r="S1790" s="25"/>
      <c r="V1790" s="1" t="s">
        <v>83</v>
      </c>
      <c r="W1790" s="23" t="b">
        <f>IF(and(H1790=TRUE,L1790=TRUE,N1790=TRUE,P1790=TRUE),TRUE,FALSE)</f>
        <v>0</v>
      </c>
      <c r="X1790" s="23" t="str">
        <f>IFERROR(__xludf.DUMMYFUNCTION("if(COUNTA(FILTER(C:C, C:C = C1790))=1,""no"",""yes"")"),"no")</f>
        <v>no</v>
      </c>
    </row>
    <row r="1791">
      <c r="A1791" s="1" t="s">
        <v>1086</v>
      </c>
      <c r="B1791" s="2">
        <v>11.0</v>
      </c>
      <c r="C1791" s="19" t="s">
        <v>3400</v>
      </c>
      <c r="E1791" s="59">
        <f>IFERROR(__xludf.DUMMYFUNCTION("ifna(IFNA(filter('2.1.clean'!C:C,'2.1.clean'!A:A=C1791),filter('2.2.clean'!E:E,'2.2.clean'!D:D=C1791)),filter('2.4.clean'!C:C,'2.4.clean'!A:A=C1791))"),43886.0)</f>
        <v>43886</v>
      </c>
      <c r="F1791" s="60">
        <f>IFERROR(__xludf.DUMMYFUNCTION("iferror(ifna(IFNA(filter('2.1.clean'!E:E,'2.1.clean'!A:A=C1791),filter('2.2.clean'!G:G,'2.2.clean'!D:D=C1791)),filter('2.4.clean'!E:E,'2.4.clean'!A:A=C1791)),)"),2.1)</f>
        <v>2.1</v>
      </c>
      <c r="G1791" s="59">
        <f>IFERROR(__xludf.DUMMYFUNCTION("iferror(filter('3.1.clean'!C:C,'3.1.clean'!A:A=C1791),"""")"),43886.0)</f>
        <v>43886</v>
      </c>
      <c r="H1791" s="58" t="b">
        <f t="shared" si="1445"/>
        <v>1</v>
      </c>
      <c r="I1791" s="58">
        <f>IFERROR(__xludf.DUMMYFUNCTION("iferror(filter('3.1.clean'!G:G,'3.1.clean'!A:A=C1791),"""")"),0.0)</f>
        <v>0</v>
      </c>
      <c r="J1791" s="60" t="str">
        <f>IFERROR(__xludf.DUMMYFUNCTION("iferror(filter('3.1.clean'!I:I,'3.1.clean'!A:A=C1791),"""")"),"")</f>
        <v/>
      </c>
      <c r="K1791" s="58"/>
      <c r="L1791" s="60"/>
      <c r="M1791" s="59" t="str">
        <f>IFERROR(__xludf.DUMMYFUNCTION("iferror(filter('3.3.clean'!C:C,'3.3.clean'!A:A=C1791),"""")"),"")</f>
        <v/>
      </c>
      <c r="N1791" s="60" t="b">
        <f t="shared" si="1439"/>
        <v>0</v>
      </c>
      <c r="O1791" s="59" t="str">
        <f>IFERROR(__xludf.DUMMYFUNCTION("iferror(filter('3.4.clean'!C:C,'3.4.clean'!A:A=C1791),"""")"),"")</f>
        <v/>
      </c>
      <c r="P1791" s="60" t="b">
        <f t="shared" si="1440"/>
        <v>0</v>
      </c>
      <c r="Q1791" s="59" t="str">
        <f>IFERROR(__xludf.DUMMYFUNCTION("iferror(filter('3.5.clean'!C:C,'3.5.clean'!A:A=C1791),"""")"),"")</f>
        <v/>
      </c>
      <c r="R1791" s="58"/>
      <c r="S1791" s="4" t="str">
        <f>IFERROR(__xludf.DUMMYFUNCTION("iferror(filter('3.5.clean'!H:H,'3.5.clean'!A:A=C1791),"""")"),"")</f>
        <v/>
      </c>
      <c r="V1791" s="1" t="s">
        <v>83</v>
      </c>
      <c r="W1791" s="23" t="b">
        <f>if(AND(H1791=TRUE,N1791=TRUE,P1791=TRUE),TRUE,FALSE)</f>
        <v>0</v>
      </c>
      <c r="X1791" s="23" t="str">
        <f>IFERROR(__xludf.DUMMYFUNCTION("if(COUNTA(FILTER(C:C, C:C = C1791))=1,""no"",""yes"")"),"no")</f>
        <v>no</v>
      </c>
    </row>
    <row r="1792">
      <c r="A1792" s="1" t="s">
        <v>1086</v>
      </c>
      <c r="B1792" s="2">
        <v>12.0</v>
      </c>
      <c r="C1792" s="19" t="s">
        <v>3409</v>
      </c>
      <c r="E1792" s="24">
        <f>IFERROR(__xludf.DUMMYFUNCTION("ifna(IFNA(filter('2.1.clean'!C:C,'2.1.clean'!A:A=C1792),filter('2.2.clean'!E:E,'2.2.clean'!D:D=C1792)),filter('2.4.clean'!C:C,'2.4.clean'!A:A=C1792))"),43886.0)</f>
        <v>43886</v>
      </c>
      <c r="F1792" s="25">
        <f>IFERROR(__xludf.DUMMYFUNCTION("iferror(ifna(IFNA(filter('2.1.clean'!E:E,'2.1.clean'!A:A=C1792),filter('2.2.clean'!G:G,'2.2.clean'!D:D=C1792)),filter('2.4.clean'!E:E,'2.4.clean'!A:A=C1792)),)"),2.1)</f>
        <v>2.1</v>
      </c>
      <c r="G1792" s="24">
        <f>IFERROR(__xludf.DUMMYFUNCTION("iferror(filter('3.1.clean'!C:C,'3.1.clean'!A:A=C1792),"""")"),43886.0)</f>
        <v>43886</v>
      </c>
      <c r="H1792" s="23" t="b">
        <f t="shared" si="1445"/>
        <v>1</v>
      </c>
      <c r="J1792" s="25"/>
      <c r="K1792" s="24">
        <f>IFERROR(__xludf.DUMMYFUNCTION("iferror(filter('3.2.clean'!C:C,'3.2.clean'!A:A=C1792),"""")"),43886.0)</f>
        <v>43886</v>
      </c>
      <c r="L1792" s="25" t="b">
        <f>if(K1792="",FALSE,TRUE)</f>
        <v>1</v>
      </c>
      <c r="M1792" s="24" t="str">
        <f>IFERROR(__xludf.DUMMYFUNCTION("iferror(filter('3.3.clean'!C:C,'3.3.clean'!A:A=C1792),"""")"),"")</f>
        <v/>
      </c>
      <c r="N1792" s="25" t="b">
        <f t="shared" si="1439"/>
        <v>0</v>
      </c>
      <c r="O1792" s="24" t="str">
        <f>IFERROR(__xludf.DUMMYFUNCTION("iferror(filter('3.4.clean'!C:C,'3.4.clean'!A:A=C1792),"""")"),"")</f>
        <v/>
      </c>
      <c r="P1792" s="25" t="b">
        <f t="shared" si="1440"/>
        <v>0</v>
      </c>
      <c r="Q1792" s="24">
        <f>IFERROR(__xludf.DUMMYFUNCTION("iferror(filter('3.5.clean'!C:C,'3.5.clean'!A:A=C1792),"""")"),43886.0)</f>
        <v>43886</v>
      </c>
      <c r="R1792" s="23" t="b">
        <f>if(Q1792="",FALSE,TRUE)</f>
        <v>1</v>
      </c>
      <c r="S1792" s="25"/>
      <c r="V1792" s="1" t="s">
        <v>83</v>
      </c>
      <c r="W1792" s="23" t="b">
        <f>IF(and(H1792=TRUE,L1792=TRUE,N1792=TRUE,P1792=TRUE),TRUE,FALSE)</f>
        <v>0</v>
      </c>
      <c r="X1792" s="23" t="str">
        <f>IFERROR(__xludf.DUMMYFUNCTION("if(COUNTA(FILTER(C:C, C:C = C1792))=1,""no"",""yes"")"),"no")</f>
        <v>no</v>
      </c>
    </row>
    <row r="1793">
      <c r="A1793" s="1" t="s">
        <v>1086</v>
      </c>
      <c r="B1793" s="2">
        <v>13.0</v>
      </c>
      <c r="C1793" s="19" t="s">
        <v>3418</v>
      </c>
      <c r="E1793" s="59">
        <f>IFERROR(__xludf.DUMMYFUNCTION("ifna(IFNA(filter('2.1.clean'!C:C,'2.1.clean'!A:A=C1793),filter('2.2.clean'!E:E,'2.2.clean'!D:D=C1793)),filter('2.4.clean'!C:C,'2.4.clean'!A:A=C1793))"),43886.0)</f>
        <v>43886</v>
      </c>
      <c r="F1793" s="60">
        <f>IFERROR(__xludf.DUMMYFUNCTION("iferror(ifna(IFNA(filter('2.1.clean'!E:E,'2.1.clean'!A:A=C1793),filter('2.2.clean'!G:G,'2.2.clean'!D:D=C1793)),filter('2.4.clean'!E:E,'2.4.clean'!A:A=C1793)),)"),2.1)</f>
        <v>2.1</v>
      </c>
      <c r="G1793" s="59">
        <f>IFERROR(__xludf.DUMMYFUNCTION("iferror(filter('3.1.clean'!C:C,'3.1.clean'!A:A=C1793),"""")"),43886.0)</f>
        <v>43886</v>
      </c>
      <c r="H1793" s="58" t="b">
        <f t="shared" si="1445"/>
        <v>1</v>
      </c>
      <c r="I1793" s="58">
        <f>IFERROR(__xludf.DUMMYFUNCTION("iferror(filter('3.1.clean'!G:G,'3.1.clean'!A:A=C1793),"""")"),0.0)</f>
        <v>0</v>
      </c>
      <c r="J1793" s="60" t="str">
        <f>IFERROR(__xludf.DUMMYFUNCTION("iferror(filter('3.1.clean'!I:I,'3.1.clean'!A:A=C1793),"""")"),"")</f>
        <v/>
      </c>
      <c r="K1793" s="58"/>
      <c r="L1793" s="60"/>
      <c r="M1793" s="59" t="str">
        <f>IFERROR(__xludf.DUMMYFUNCTION("iferror(filter('3.3.clean'!C:C,'3.3.clean'!A:A=C1793),"""")"),"")</f>
        <v/>
      </c>
      <c r="N1793" s="60" t="b">
        <f t="shared" si="1439"/>
        <v>0</v>
      </c>
      <c r="O1793" s="59" t="str">
        <f>IFERROR(__xludf.DUMMYFUNCTION("iferror(filter('3.4.clean'!C:C,'3.4.clean'!A:A=C1793),"""")"),"")</f>
        <v/>
      </c>
      <c r="P1793" s="60" t="b">
        <f t="shared" si="1440"/>
        <v>0</v>
      </c>
      <c r="Q1793" s="59" t="str">
        <f>IFERROR(__xludf.DUMMYFUNCTION("iferror(filter('3.5.clean'!C:C,'3.5.clean'!A:A=C1793),"""")"),"")</f>
        <v/>
      </c>
      <c r="R1793" s="58"/>
      <c r="S1793" s="4" t="str">
        <f>IFERROR(__xludf.DUMMYFUNCTION("iferror(filter('3.5.clean'!H:H,'3.5.clean'!A:A=C1793),"""")"),"")</f>
        <v/>
      </c>
      <c r="V1793" s="1" t="s">
        <v>83</v>
      </c>
      <c r="W1793" s="23" t="b">
        <f>if(AND(H1793=TRUE,N1793=TRUE,P1793=TRUE),TRUE,FALSE)</f>
        <v>0</v>
      </c>
      <c r="X1793" s="23" t="str">
        <f>IFERROR(__xludf.DUMMYFUNCTION("if(COUNTA(FILTER(C:C, C:C = C1793))=1,""no"",""yes"")"),"no")</f>
        <v>no</v>
      </c>
    </row>
    <row r="1794">
      <c r="A1794" s="1" t="s">
        <v>1086</v>
      </c>
      <c r="B1794" s="2">
        <v>14.0</v>
      </c>
      <c r="C1794" s="19" t="s">
        <v>4751</v>
      </c>
      <c r="E1794" s="77">
        <f>G1794</f>
        <v>43886</v>
      </c>
      <c r="F1794" s="78" t="str">
        <f>IFERROR(__xludf.DUMMYFUNCTION("iferror(ifna(IFNA(filter('2.1.clean'!E:E,'2.1.clean'!A:A=C1794),filter('2.2.clean'!G:G,'2.2.clean'!D:D=C1794)),filter('2.4.clean'!E:E,'2.4.clean'!A:A=C1794)),)"),"")</f>
        <v/>
      </c>
      <c r="G1794" s="77">
        <f>IFERROR(__xludf.DUMMYFUNCTION("iferror(filter('3.1.clean'!C:C,'3.1.clean'!A:A=C1794),"""")"),43886.0)</f>
        <v>43886</v>
      </c>
      <c r="H1794" s="76" t="b">
        <f t="shared" si="1445"/>
        <v>1</v>
      </c>
      <c r="I1794" s="76">
        <f>IFERROR(__xludf.DUMMYFUNCTION("iferror(filter('3.1.clean'!G:G,'3.1.clean'!A:A=C1794),"""")"),0.0)</f>
        <v>0</v>
      </c>
      <c r="J1794" s="78" t="str">
        <f>IFERROR(__xludf.DUMMYFUNCTION("iferror(filter('3.1.clean'!I:I,'3.1.clean'!A:A=C1794),"""")"),"")</f>
        <v/>
      </c>
      <c r="K1794" s="77"/>
      <c r="L1794" s="78"/>
      <c r="M1794" s="77"/>
      <c r="N1794" s="78"/>
      <c r="O1794" s="77"/>
      <c r="P1794" s="78"/>
      <c r="Q1794" s="77"/>
      <c r="R1794" s="76"/>
      <c r="S1794" s="25"/>
      <c r="T1794" s="1"/>
      <c r="V1794" s="1" t="s">
        <v>64</v>
      </c>
      <c r="W1794" s="1" t="b">
        <v>1</v>
      </c>
      <c r="X1794" s="23" t="str">
        <f>IFERROR(__xludf.DUMMYFUNCTION("if(COUNTA(FILTER(C:C, C:C = C1794))=1,""no"",""yes"")"),"no")</f>
        <v>no</v>
      </c>
    </row>
    <row r="1795">
      <c r="A1795" s="1" t="s">
        <v>1086</v>
      </c>
      <c r="B1795" s="2">
        <v>15.0</v>
      </c>
      <c r="C1795" s="19" t="s">
        <v>4758</v>
      </c>
      <c r="D1795" s="22" t="str">
        <f>if(or(I1795=1,J1795=1,S1795=1),"pos","")</f>
        <v/>
      </c>
      <c r="E1795" s="20">
        <f>Q1795</f>
        <v>43886</v>
      </c>
      <c r="F1795" s="79" t="str">
        <f>IFERROR(__xludf.DUMMYFUNCTION("iferror(ifna(IFNA(filter('2.1.clean'!E:E,'2.1.clean'!A:A=C1795),filter('2.2.clean'!G:G,'2.2.clean'!D:D=C1795)),filter('2.4.clean'!E:E,'2.4.clean'!A:A=C1795)),)"),"")</f>
        <v/>
      </c>
      <c r="G1795" s="20" t="str">
        <f>IFERROR(__xludf.DUMMYFUNCTION("iferror(filter('3.1.clean'!C:C,'3.1.clean'!A:A=C1795),"""")"),"")</f>
        <v/>
      </c>
      <c r="H1795" s="22"/>
      <c r="I1795" s="22"/>
      <c r="J1795" s="79"/>
      <c r="K1795" s="20" t="str">
        <f>IFERROR(__xludf.DUMMYFUNCTION("iferror(filter('3.2.clean'!C:C,'3.2.clean'!A:A=C1795),"""")"),"")</f>
        <v/>
      </c>
      <c r="L1795" s="79"/>
      <c r="M1795" s="20" t="str">
        <f>IFERROR(__xludf.DUMMYFUNCTION("iferror(filter('3.3.clean'!C:C,'3.3.clean'!A:A=C1795),"""")"),"")</f>
        <v/>
      </c>
      <c r="N1795" s="79" t="b">
        <f t="shared" ref="N1795:N1811" si="1447">if(M1795="",FALSE,TRUE)</f>
        <v>0</v>
      </c>
      <c r="O1795" s="20" t="str">
        <f>IFERROR(__xludf.DUMMYFUNCTION("iferror(filter('3.4.clean'!C:C,'3.4.clean'!A:A=C1795),"""")"),"")</f>
        <v/>
      </c>
      <c r="P1795" s="79" t="b">
        <f t="shared" ref="P1795:P1811" si="1448">if(O1795="",FALSE,TRUE)</f>
        <v>0</v>
      </c>
      <c r="Q1795" s="20">
        <f>IFERROR(__xludf.DUMMYFUNCTION("iferror(filter('3.5.clean'!C:C,'3.5.clean'!A:A=C1795),"""")"),43886.0)</f>
        <v>43886</v>
      </c>
      <c r="R1795" s="22" t="b">
        <f t="shared" ref="R1795:R1796" si="1449">if(Q1795="",FALSE,TRUE)</f>
        <v>1</v>
      </c>
      <c r="S1795" s="4">
        <f>IFERROR(__xludf.DUMMYFUNCTION("iferror(filter('3.5.clean'!H:H,'3.5.clean'!A:A=C1795),"""")"),0.0)</f>
        <v>0</v>
      </c>
      <c r="V1795" s="1" t="s">
        <v>64</v>
      </c>
      <c r="W1795" s="23" t="b">
        <f t="shared" ref="W1795:W1796" si="1450">IF(and(R1795=TRUE,N1795=TRUE,P1795=TRUE),TRUE,FALSE)</f>
        <v>0</v>
      </c>
      <c r="X1795" s="23" t="str">
        <f>IFERROR(__xludf.DUMMYFUNCTION("if(COUNTA(FILTER(C:C, C:C = C1795))=1,""no"",""yes"")"),"no")</f>
        <v>no</v>
      </c>
    </row>
    <row r="1796">
      <c r="A1796" s="75" t="s">
        <v>1089</v>
      </c>
      <c r="B1796" s="2">
        <v>1.0</v>
      </c>
      <c r="C1796" s="23" t="s">
        <v>4776</v>
      </c>
      <c r="E1796" s="24">
        <f>IFERROR(__xludf.DUMMYFUNCTION("ifna(IFNA(filter('2.1.clean'!C:C,'2.1.clean'!A:A=C1796),filter('2.2.clean'!E:E,'2.2.clean'!D:D=C1796)),filter('2.4.clean'!C:C,'2.4.clean'!A:A=C1796))"),43887.0)</f>
        <v>43887</v>
      </c>
      <c r="F1796" s="25">
        <f>IFERROR(__xludf.DUMMYFUNCTION("iferror(ifna(IFNA(filter('2.1.clean'!E:E,'2.1.clean'!A:A=C1796),filter('2.2.clean'!G:G,'2.2.clean'!D:D=C1796)),filter('2.4.clean'!E:E,'2.4.clean'!A:A=C1796)),)"),2.39999999999999)</f>
        <v>2.4</v>
      </c>
      <c r="G1796" s="24"/>
      <c r="J1796" s="25"/>
      <c r="K1796" s="24"/>
      <c r="L1796" s="25"/>
      <c r="M1796" s="24" t="str">
        <f>IFERROR(__xludf.DUMMYFUNCTION("iferror(filter('3.3.clean'!C:C,'3.3.clean'!A:A=C1796),"""")"),"")</f>
        <v/>
      </c>
      <c r="N1796" s="25" t="b">
        <f t="shared" si="1447"/>
        <v>0</v>
      </c>
      <c r="O1796" s="24" t="str">
        <f>IFERROR(__xludf.DUMMYFUNCTION("iferror(filter('3.4.clean'!C:C,'3.4.clean'!A:A=C1796),"""")"),"")</f>
        <v/>
      </c>
      <c r="P1796" s="25" t="b">
        <f t="shared" si="1448"/>
        <v>0</v>
      </c>
      <c r="Q1796" s="24">
        <f>IFERROR(__xludf.DUMMYFUNCTION("iferror(filter('3.5.clean'!C:C,'3.5.clean'!A:A=C1796),"""")"),43887.0)</f>
        <v>43887</v>
      </c>
      <c r="R1796" s="23" t="b">
        <f t="shared" si="1449"/>
        <v>1</v>
      </c>
      <c r="S1796" s="25">
        <v>0.0</v>
      </c>
      <c r="V1796" s="52" t="s">
        <v>64</v>
      </c>
      <c r="W1796" s="23" t="b">
        <f t="shared" si="1450"/>
        <v>0</v>
      </c>
      <c r="X1796" s="23" t="str">
        <f>IFERROR(__xludf.DUMMYFUNCTION("if(COUNTA(FILTER(C:C, C:C = C1796))=1,""no"",""yes"")"),"no")</f>
        <v>no</v>
      </c>
    </row>
    <row r="1797">
      <c r="A1797" s="75" t="s">
        <v>1089</v>
      </c>
      <c r="B1797" s="2">
        <v>2.0</v>
      </c>
      <c r="C1797" s="23" t="s">
        <v>4785</v>
      </c>
      <c r="E1797" s="59">
        <f>IFERROR(__xludf.DUMMYFUNCTION("ifna(IFNA(filter('2.1.clean'!C:C,'2.1.clean'!A:A=C1797),filter('2.2.clean'!E:E,'2.2.clean'!D:D=C1797)),filter('2.4.clean'!C:C,'2.4.clean'!A:A=C1797))"),43887.0)</f>
        <v>43887</v>
      </c>
      <c r="F1797" s="60">
        <f>IFERROR(__xludf.DUMMYFUNCTION("iferror(ifna(IFNA(filter('2.1.clean'!E:E,'2.1.clean'!A:A=C1797),filter('2.2.clean'!G:G,'2.2.clean'!D:D=C1797)),filter('2.4.clean'!E:E,'2.4.clean'!A:A=C1797)),)"),2.39999999999999)</f>
        <v>2.4</v>
      </c>
      <c r="G1797" s="59">
        <f>IFERROR(__xludf.DUMMYFUNCTION("iferror(filter('3.1.clean'!C:C,'3.1.clean'!A:A=C1797),"""")"),43887.0)</f>
        <v>43887</v>
      </c>
      <c r="H1797" s="58" t="b">
        <f>if(G1797="",FALSE,TRUE)</f>
        <v>1</v>
      </c>
      <c r="I1797" s="58">
        <f>IFERROR(__xludf.DUMMYFUNCTION("iferror(filter('3.1.clean'!G:G,'3.1.clean'!A:A=C1797),"""")"),0.0)</f>
        <v>0</v>
      </c>
      <c r="J1797" s="60" t="str">
        <f>IFERROR(__xludf.DUMMYFUNCTION("iferror(filter('3.1.clean'!I:I,'3.1.clean'!A:A=C1797),"""")"),"")</f>
        <v/>
      </c>
      <c r="K1797" s="58"/>
      <c r="L1797" s="60"/>
      <c r="M1797" s="59" t="str">
        <f>IFERROR(__xludf.DUMMYFUNCTION("iferror(filter('3.3.clean'!C:C,'3.3.clean'!A:A=C1797),"""")"),"")</f>
        <v/>
      </c>
      <c r="N1797" s="60" t="b">
        <f t="shared" si="1447"/>
        <v>0</v>
      </c>
      <c r="O1797" s="59" t="str">
        <f>IFERROR(__xludf.DUMMYFUNCTION("iferror(filter('3.4.clean'!C:C,'3.4.clean'!A:A=C1797),"""")"),"")</f>
        <v/>
      </c>
      <c r="P1797" s="60" t="b">
        <f t="shared" si="1448"/>
        <v>0</v>
      </c>
      <c r="Q1797" s="59" t="str">
        <f>IFERROR(__xludf.DUMMYFUNCTION("iferror(filter('3.5.clean'!C:C,'3.5.clean'!A:A=C1797),"""")"),"")</f>
        <v/>
      </c>
      <c r="R1797" s="58"/>
      <c r="S1797" s="4" t="str">
        <f>IFERROR(__xludf.DUMMYFUNCTION("iferror(filter('3.5.clean'!H:H,'3.5.clean'!A:A=C1797),"""")"),"")</f>
        <v/>
      </c>
      <c r="V1797" s="1" t="s">
        <v>64</v>
      </c>
      <c r="W1797" s="23" t="b">
        <f>if(AND(H1797=TRUE,N1797=TRUE,P1797=TRUE),TRUE,FALSE)</f>
        <v>0</v>
      </c>
      <c r="X1797" s="23" t="str">
        <f>IFERROR(__xludf.DUMMYFUNCTION("if(COUNTA(FILTER(C:C, C:C = C1797))=1,""no"",""yes"")"),"no")</f>
        <v>no</v>
      </c>
    </row>
    <row r="1798">
      <c r="A1798" s="75" t="s">
        <v>1089</v>
      </c>
      <c r="B1798" s="2">
        <v>2.5</v>
      </c>
      <c r="C1798" s="19" t="s">
        <v>4795</v>
      </c>
      <c r="D1798" s="58" t="str">
        <f>if(or(I1798=1,J1798=1,S1798=1),"pos","")</f>
        <v/>
      </c>
      <c r="E1798" s="59">
        <f>Q1798</f>
        <v>43887</v>
      </c>
      <c r="F1798" s="60" t="str">
        <f>IFERROR(__xludf.DUMMYFUNCTION("iferror(ifna(IFNA(filter('2.1.clean'!E:E,'2.1.clean'!A:A=C1798),filter('2.2.clean'!G:G,'2.2.clean'!D:D=C1798)),filter('2.4.clean'!E:E,'2.4.clean'!A:A=C1798)),)"),"")</f>
        <v/>
      </c>
      <c r="G1798" s="59" t="str">
        <f>IFERROR(__xludf.DUMMYFUNCTION("iferror(filter('3.1.clean'!C:C,'3.1.clean'!A:A=C1798),"""")"),"")</f>
        <v/>
      </c>
      <c r="H1798" s="58"/>
      <c r="I1798" s="58" t="str">
        <f>IFERROR(__xludf.DUMMYFUNCTION("iferror(filter('3.1.clean'!G:G,'3.1.clean'!A:A=C1798),"""")"),"")</f>
        <v/>
      </c>
      <c r="J1798" s="60" t="str">
        <f>IFERROR(__xludf.DUMMYFUNCTION("iferror(filter('3.1.clean'!I:I,'3.1.clean'!A:A=C1798),"""")"),"")</f>
        <v/>
      </c>
      <c r="K1798" s="59"/>
      <c r="L1798" s="60"/>
      <c r="M1798" s="59" t="str">
        <f>IFERROR(__xludf.DUMMYFUNCTION("iferror(filter('3.3.clean'!C:C,'3.3.clean'!A:A=C1798),"""")"),"")</f>
        <v/>
      </c>
      <c r="N1798" s="60" t="b">
        <f t="shared" si="1447"/>
        <v>0</v>
      </c>
      <c r="O1798" s="59" t="str">
        <f>IFERROR(__xludf.DUMMYFUNCTION("iferror(filter('3.4.clean'!C:C,'3.4.clean'!A:A=C1798),"""")"),"")</f>
        <v/>
      </c>
      <c r="P1798" s="60" t="b">
        <f t="shared" si="1448"/>
        <v>0</v>
      </c>
      <c r="Q1798" s="59">
        <f>IFERROR(__xludf.DUMMYFUNCTION("iferror(filter('3.5.clean'!C:C,'3.5.clean'!A:A=C1798),"""")"),43887.0)</f>
        <v>43887</v>
      </c>
      <c r="R1798" s="58" t="b">
        <f t="shared" ref="R1798:R1799" si="1451">if(Q1798="",FALSE,TRUE)</f>
        <v>1</v>
      </c>
      <c r="S1798" s="4">
        <f>IFERROR(__xludf.DUMMYFUNCTION("iferror(filter('3.5.clean'!H:H,'3.5.clean'!A:A=C1798),"""")"),0.0)</f>
        <v>0</v>
      </c>
      <c r="V1798" s="52" t="s">
        <v>64</v>
      </c>
      <c r="W1798" s="23" t="b">
        <f>if(AND(R1798=TRUE,N1798=TRUE,P1798=TRUE),TRUE,FALSE)</f>
        <v>0</v>
      </c>
      <c r="X1798" s="23" t="str">
        <f>IFERROR(__xludf.DUMMYFUNCTION("if(COUNTA(FILTER(C:C, C:C = C1798))=1,""no"",""yes"")"),"no")</f>
        <v>no</v>
      </c>
    </row>
    <row r="1799">
      <c r="A1799" s="75" t="s">
        <v>1089</v>
      </c>
      <c r="B1799" s="2">
        <v>3.0</v>
      </c>
      <c r="C1799" s="23" t="s">
        <v>4807</v>
      </c>
      <c r="E1799" s="24">
        <f>IFERROR(__xludf.DUMMYFUNCTION("ifna(IFNA(filter('2.1.clean'!C:C,'2.1.clean'!A:A=C1799),filter('2.2.clean'!E:E,'2.2.clean'!D:D=C1799)),filter('2.4.clean'!C:C,'2.4.clean'!A:A=C1799))"),43887.0)</f>
        <v>43887</v>
      </c>
      <c r="F1799" s="25">
        <f>IFERROR(__xludf.DUMMYFUNCTION("iferror(ifna(IFNA(filter('2.1.clean'!E:E,'2.1.clean'!A:A=C1799),filter('2.2.clean'!G:G,'2.2.clean'!D:D=C1799)),filter('2.4.clean'!E:E,'2.4.clean'!A:A=C1799)),)"),2.39999999999999)</f>
        <v>2.4</v>
      </c>
      <c r="G1799" s="24"/>
      <c r="J1799" s="25"/>
      <c r="K1799" s="24"/>
      <c r="L1799" s="25"/>
      <c r="M1799" s="24" t="str">
        <f>IFERROR(__xludf.DUMMYFUNCTION("iferror(filter('3.3.clean'!C:C,'3.3.clean'!A:A=C1799),"""")"),"")</f>
        <v/>
      </c>
      <c r="N1799" s="25" t="b">
        <f t="shared" si="1447"/>
        <v>0</v>
      </c>
      <c r="O1799" s="24" t="str">
        <f>IFERROR(__xludf.DUMMYFUNCTION("iferror(filter('3.4.clean'!C:C,'3.4.clean'!A:A=C1799),"""")"),"")</f>
        <v/>
      </c>
      <c r="P1799" s="25" t="b">
        <f t="shared" si="1448"/>
        <v>0</v>
      </c>
      <c r="Q1799" s="24">
        <f>IFERROR(__xludf.DUMMYFUNCTION("iferror(filter('3.5.clean'!C:C,'3.5.clean'!A:A=C1799),"""")"),43887.0)</f>
        <v>43887</v>
      </c>
      <c r="R1799" s="23" t="b">
        <f t="shared" si="1451"/>
        <v>1</v>
      </c>
      <c r="S1799" s="25">
        <v>0.0</v>
      </c>
      <c r="V1799" s="52" t="s">
        <v>64</v>
      </c>
      <c r="W1799" s="23" t="b">
        <f>IF(and(R1799=TRUE,N1799=TRUE,P1799=TRUE),TRUE,FALSE)</f>
        <v>0</v>
      </c>
      <c r="X1799" s="23" t="str">
        <f>IFERROR(__xludf.DUMMYFUNCTION("if(COUNTA(FILTER(C:C, C:C = C1799))=1,""no"",""yes"")"),"no")</f>
        <v>no</v>
      </c>
    </row>
    <row r="1800">
      <c r="A1800" s="75" t="s">
        <v>1089</v>
      </c>
      <c r="B1800" s="2">
        <v>4.0</v>
      </c>
      <c r="C1800" s="23" t="s">
        <v>4815</v>
      </c>
      <c r="E1800" s="59">
        <f>IFERROR(__xludf.DUMMYFUNCTION("ifna(IFNA(filter('2.1.clean'!C:C,'2.1.clean'!A:A=C1800),filter('2.2.clean'!E:E,'2.2.clean'!D:D=C1800)),filter('2.4.clean'!C:C,'2.4.clean'!A:A=C1800))"),43887.0)</f>
        <v>43887</v>
      </c>
      <c r="F1800" s="60">
        <f>IFERROR(__xludf.DUMMYFUNCTION("iferror(ifna(IFNA(filter('2.1.clean'!E:E,'2.1.clean'!A:A=C1800),filter('2.2.clean'!G:G,'2.2.clean'!D:D=C1800)),filter('2.4.clean'!E:E,'2.4.clean'!A:A=C1800)),)"),2.39999999999999)</f>
        <v>2.4</v>
      </c>
      <c r="G1800" s="59">
        <f>IFERROR(__xludf.DUMMYFUNCTION("iferror(filter('3.1.clean'!C:C,'3.1.clean'!A:A=C1800),"""")"),43887.0)</f>
        <v>43887</v>
      </c>
      <c r="H1800" s="58" t="b">
        <f>if(G1800="",FALSE,TRUE)</f>
        <v>1</v>
      </c>
      <c r="I1800" s="58">
        <f>IFERROR(__xludf.DUMMYFUNCTION("iferror(filter('3.1.clean'!G:G,'3.1.clean'!A:A=C1800),"""")"),0.0)</f>
        <v>0</v>
      </c>
      <c r="J1800" s="60" t="str">
        <f>IFERROR(__xludf.DUMMYFUNCTION("iferror(filter('3.1.clean'!I:I,'3.1.clean'!A:A=C1800),"""")"),"")</f>
        <v/>
      </c>
      <c r="K1800" s="58"/>
      <c r="L1800" s="60"/>
      <c r="M1800" s="59" t="str">
        <f>IFERROR(__xludf.DUMMYFUNCTION("iferror(filter('3.3.clean'!C:C,'3.3.clean'!A:A=C1800),"""")"),"")</f>
        <v/>
      </c>
      <c r="N1800" s="60" t="b">
        <f t="shared" si="1447"/>
        <v>0</v>
      </c>
      <c r="O1800" s="59" t="str">
        <f>IFERROR(__xludf.DUMMYFUNCTION("iferror(filter('3.4.clean'!C:C,'3.4.clean'!A:A=C1800),"""")"),"")</f>
        <v/>
      </c>
      <c r="P1800" s="60" t="b">
        <f t="shared" si="1448"/>
        <v>0</v>
      </c>
      <c r="Q1800" s="59" t="str">
        <f>IFERROR(__xludf.DUMMYFUNCTION("iferror(filter('3.5.clean'!C:C,'3.5.clean'!A:A=C1800),"""")"),"")</f>
        <v/>
      </c>
      <c r="R1800" s="58"/>
      <c r="S1800" s="4" t="str">
        <f>IFERROR(__xludf.DUMMYFUNCTION("iferror(filter('3.5.clean'!H:H,'3.5.clean'!A:A=C1800),"""")"),"")</f>
        <v/>
      </c>
      <c r="V1800" s="1" t="s">
        <v>64</v>
      </c>
      <c r="W1800" s="23" t="b">
        <f>if(AND(H1800=TRUE,N1800=TRUE,P1800=TRUE),TRUE,FALSE)</f>
        <v>0</v>
      </c>
      <c r="X1800" s="23" t="str">
        <f>IFERROR(__xludf.DUMMYFUNCTION("if(COUNTA(FILTER(C:C, C:C = C1800))=1,""no"",""yes"")"),"no")</f>
        <v>no</v>
      </c>
    </row>
    <row r="1801">
      <c r="A1801" s="75" t="s">
        <v>1089</v>
      </c>
      <c r="B1801" s="2">
        <v>4.5</v>
      </c>
      <c r="C1801" s="19" t="s">
        <v>4828</v>
      </c>
      <c r="D1801" s="58" t="str">
        <f>if(or(I1801=1,J1801=1,S1801=1),"pos","")</f>
        <v/>
      </c>
      <c r="E1801" s="59">
        <f>Q1801</f>
        <v>43887</v>
      </c>
      <c r="F1801" s="60" t="str">
        <f>IFERROR(__xludf.DUMMYFUNCTION("iferror(ifna(IFNA(filter('2.1.clean'!E:E,'2.1.clean'!A:A=C1801),filter('2.2.clean'!G:G,'2.2.clean'!D:D=C1801)),filter('2.4.clean'!E:E,'2.4.clean'!A:A=C1801)),)"),"")</f>
        <v/>
      </c>
      <c r="G1801" s="59" t="str">
        <f>IFERROR(__xludf.DUMMYFUNCTION("iferror(filter('3.1.clean'!C:C,'3.1.clean'!A:A=C1801),"""")"),"")</f>
        <v/>
      </c>
      <c r="H1801" s="58"/>
      <c r="I1801" s="58" t="str">
        <f>IFERROR(__xludf.DUMMYFUNCTION("iferror(filter('3.1.clean'!G:G,'3.1.clean'!A:A=C1801),"""")"),"")</f>
        <v/>
      </c>
      <c r="J1801" s="60" t="str">
        <f>IFERROR(__xludf.DUMMYFUNCTION("iferror(filter('3.1.clean'!I:I,'3.1.clean'!A:A=C1801),"""")"),"")</f>
        <v/>
      </c>
      <c r="K1801" s="59"/>
      <c r="L1801" s="60"/>
      <c r="M1801" s="59" t="str">
        <f>IFERROR(__xludf.DUMMYFUNCTION("iferror(filter('3.3.clean'!C:C,'3.3.clean'!A:A=C1801),"""")"),"")</f>
        <v/>
      </c>
      <c r="N1801" s="60" t="b">
        <f t="shared" si="1447"/>
        <v>0</v>
      </c>
      <c r="O1801" s="59" t="str">
        <f>IFERROR(__xludf.DUMMYFUNCTION("iferror(filter('3.4.clean'!C:C,'3.4.clean'!A:A=C1801),"""")"),"")</f>
        <v/>
      </c>
      <c r="P1801" s="60" t="b">
        <f t="shared" si="1448"/>
        <v>0</v>
      </c>
      <c r="Q1801" s="59">
        <f>IFERROR(__xludf.DUMMYFUNCTION("iferror(filter('3.5.clean'!C:C,'3.5.clean'!A:A=C1801),"""")"),43887.0)</f>
        <v>43887</v>
      </c>
      <c r="R1801" s="58" t="b">
        <f t="shared" ref="R1801:R1802" si="1452">if(Q1801="",FALSE,TRUE)</f>
        <v>1</v>
      </c>
      <c r="S1801" s="4">
        <f>IFERROR(__xludf.DUMMYFUNCTION("iferror(filter('3.5.clean'!H:H,'3.5.clean'!A:A=C1801),"""")"),0.0)</f>
        <v>0</v>
      </c>
      <c r="V1801" s="52" t="s">
        <v>64</v>
      </c>
      <c r="W1801" s="23" t="b">
        <f>if(AND(R1801=TRUE,N1801=TRUE,P1801=TRUE),TRUE,FALSE)</f>
        <v>0</v>
      </c>
      <c r="X1801" s="23" t="str">
        <f>IFERROR(__xludf.DUMMYFUNCTION("if(COUNTA(FILTER(C:C, C:C = C1801))=1,""no"",""yes"")"),"no")</f>
        <v>no</v>
      </c>
    </row>
    <row r="1802">
      <c r="A1802" s="75" t="s">
        <v>1089</v>
      </c>
      <c r="B1802" s="2">
        <v>5.0</v>
      </c>
      <c r="C1802" s="23" t="s">
        <v>4842</v>
      </c>
      <c r="E1802" s="24">
        <f>IFERROR(__xludf.DUMMYFUNCTION("ifna(IFNA(filter('2.1.clean'!C:C,'2.1.clean'!A:A=C1802),filter('2.2.clean'!E:E,'2.2.clean'!D:D=C1802)),filter('2.4.clean'!C:C,'2.4.clean'!A:A=C1802))"),43887.0)</f>
        <v>43887</v>
      </c>
      <c r="F1802" s="25">
        <f>IFERROR(__xludf.DUMMYFUNCTION("iferror(ifna(IFNA(filter('2.1.clean'!E:E,'2.1.clean'!A:A=C1802),filter('2.2.clean'!G:G,'2.2.clean'!D:D=C1802)),filter('2.4.clean'!E:E,'2.4.clean'!A:A=C1802)),)"),2.39999999999999)</f>
        <v>2.4</v>
      </c>
      <c r="G1802" s="24"/>
      <c r="J1802" s="25"/>
      <c r="K1802" s="24"/>
      <c r="L1802" s="25"/>
      <c r="M1802" s="24" t="str">
        <f>IFERROR(__xludf.DUMMYFUNCTION("iferror(filter('3.3.clean'!C:C,'3.3.clean'!A:A=C1802),"""")"),"")</f>
        <v/>
      </c>
      <c r="N1802" s="25" t="b">
        <f t="shared" si="1447"/>
        <v>0</v>
      </c>
      <c r="O1802" s="24" t="str">
        <f>IFERROR(__xludf.DUMMYFUNCTION("iferror(filter('3.4.clean'!C:C,'3.4.clean'!A:A=C1802),"""")"),"")</f>
        <v/>
      </c>
      <c r="P1802" s="25" t="b">
        <f t="shared" si="1448"/>
        <v>0</v>
      </c>
      <c r="Q1802" s="24">
        <f>IFERROR(__xludf.DUMMYFUNCTION("iferror(filter('3.5.clean'!C:C,'3.5.clean'!A:A=C1802),"""")"),43887.0)</f>
        <v>43887</v>
      </c>
      <c r="R1802" s="23" t="b">
        <f t="shared" si="1452"/>
        <v>1</v>
      </c>
      <c r="S1802" s="25">
        <v>0.0</v>
      </c>
      <c r="V1802" s="52" t="s">
        <v>64</v>
      </c>
      <c r="W1802" s="23" t="b">
        <f>IF(and(R1802=TRUE,N1802=TRUE,P1802=TRUE),TRUE,FALSE)</f>
        <v>0</v>
      </c>
      <c r="X1802" s="23" t="str">
        <f>IFERROR(__xludf.DUMMYFUNCTION("if(COUNTA(FILTER(C:C, C:C = C1802))=1,""no"",""yes"")"),"no")</f>
        <v>no</v>
      </c>
    </row>
    <row r="1803">
      <c r="A1803" s="75" t="s">
        <v>1089</v>
      </c>
      <c r="B1803" s="2">
        <v>6.0</v>
      </c>
      <c r="C1803" s="23" t="s">
        <v>4849</v>
      </c>
      <c r="E1803" s="59">
        <f>IFERROR(__xludf.DUMMYFUNCTION("ifna(IFNA(filter('2.1.clean'!C:C,'2.1.clean'!A:A=C1803),filter('2.2.clean'!E:E,'2.2.clean'!D:D=C1803)),filter('2.4.clean'!C:C,'2.4.clean'!A:A=C1803))"),43887.0)</f>
        <v>43887</v>
      </c>
      <c r="F1803" s="60">
        <f>IFERROR(__xludf.DUMMYFUNCTION("iferror(ifna(IFNA(filter('2.1.clean'!E:E,'2.1.clean'!A:A=C1803),filter('2.2.clean'!G:G,'2.2.clean'!D:D=C1803)),filter('2.4.clean'!E:E,'2.4.clean'!A:A=C1803)),)"),2.39999999999999)</f>
        <v>2.4</v>
      </c>
      <c r="G1803" s="59" t="str">
        <f>IFERROR(__xludf.DUMMYFUNCTION("iferror(filter('3.1.clean'!C:C,'3.1.clean'!A:A=C1803),"""")"),"")</f>
        <v/>
      </c>
      <c r="H1803" s="58" t="b">
        <f>if(G1803="",FALSE,TRUE)</f>
        <v>0</v>
      </c>
      <c r="I1803" s="58" t="str">
        <f>IFERROR(__xludf.DUMMYFUNCTION("iferror(filter('3.1.clean'!G:G,'3.1.clean'!A:A=C1803),"""")"),"")</f>
        <v/>
      </c>
      <c r="J1803" s="60" t="str">
        <f>IFERROR(__xludf.DUMMYFUNCTION("iferror(filter('3.1.clean'!I:I,'3.1.clean'!A:A=C1803),"""")"),"")</f>
        <v/>
      </c>
      <c r="K1803" s="58"/>
      <c r="L1803" s="60"/>
      <c r="M1803" s="59" t="str">
        <f>IFERROR(__xludf.DUMMYFUNCTION("iferror(filter('3.3.clean'!C:C,'3.3.clean'!A:A=C1803),"""")"),"")</f>
        <v/>
      </c>
      <c r="N1803" s="60" t="b">
        <f t="shared" si="1447"/>
        <v>0</v>
      </c>
      <c r="O1803" s="59" t="str">
        <f>IFERROR(__xludf.DUMMYFUNCTION("iferror(filter('3.4.clean'!C:C,'3.4.clean'!A:A=C1803),"""")"),"")</f>
        <v/>
      </c>
      <c r="P1803" s="60" t="b">
        <f t="shared" si="1448"/>
        <v>0</v>
      </c>
      <c r="Q1803" s="59" t="str">
        <f>IFERROR(__xludf.DUMMYFUNCTION("iferror(filter('3.5.clean'!C:C,'3.5.clean'!A:A=C1803),"""")"),"")</f>
        <v/>
      </c>
      <c r="R1803" s="58"/>
      <c r="S1803" s="4" t="str">
        <f>IFERROR(__xludf.DUMMYFUNCTION("iferror(filter('3.5.clean'!H:H,'3.5.clean'!A:A=C1803),"""")"),"")</f>
        <v/>
      </c>
      <c r="V1803" s="1" t="s">
        <v>64</v>
      </c>
      <c r="W1803" s="23" t="b">
        <f>if(AND(H1803=TRUE,N1803=TRUE,P1803=TRUE),TRUE,FALSE)</f>
        <v>0</v>
      </c>
      <c r="X1803" s="23" t="str">
        <f>IFERROR(__xludf.DUMMYFUNCTION("if(COUNTA(FILTER(C:C, C:C = C1803))=1,""no"",""yes"")"),"no")</f>
        <v>no</v>
      </c>
    </row>
    <row r="1804">
      <c r="A1804" s="75" t="s">
        <v>1089</v>
      </c>
      <c r="B1804" s="2">
        <v>6.5</v>
      </c>
      <c r="C1804" s="19" t="s">
        <v>4864</v>
      </c>
      <c r="D1804" s="58" t="str">
        <f>if(or(I1804=1,J1804=1,S1804=1),"pos","")</f>
        <v/>
      </c>
      <c r="E1804" s="59">
        <f>Q1804</f>
        <v>43887</v>
      </c>
      <c r="F1804" s="60" t="str">
        <f>IFERROR(__xludf.DUMMYFUNCTION("iferror(ifna(IFNA(filter('2.1.clean'!E:E,'2.1.clean'!A:A=C1804),filter('2.2.clean'!G:G,'2.2.clean'!D:D=C1804)),filter('2.4.clean'!E:E,'2.4.clean'!A:A=C1804)),)"),"")</f>
        <v/>
      </c>
      <c r="G1804" s="59" t="str">
        <f>IFERROR(__xludf.DUMMYFUNCTION("iferror(filter('3.1.clean'!C:C,'3.1.clean'!A:A=C1804),"""")"),"")</f>
        <v/>
      </c>
      <c r="H1804" s="58"/>
      <c r="I1804" s="58" t="str">
        <f>IFERROR(__xludf.DUMMYFUNCTION("iferror(filter('3.1.clean'!G:G,'3.1.clean'!A:A=C1804),"""")"),"")</f>
        <v/>
      </c>
      <c r="J1804" s="60" t="str">
        <f>IFERROR(__xludf.DUMMYFUNCTION("iferror(filter('3.1.clean'!I:I,'3.1.clean'!A:A=C1804),"""")"),"")</f>
        <v/>
      </c>
      <c r="K1804" s="59"/>
      <c r="L1804" s="60"/>
      <c r="M1804" s="59" t="str">
        <f>IFERROR(__xludf.DUMMYFUNCTION("iferror(filter('3.3.clean'!C:C,'3.3.clean'!A:A=C1804),"""")"),"")</f>
        <v/>
      </c>
      <c r="N1804" s="60" t="b">
        <f t="shared" si="1447"/>
        <v>0</v>
      </c>
      <c r="O1804" s="59" t="str">
        <f>IFERROR(__xludf.DUMMYFUNCTION("iferror(filter('3.4.clean'!C:C,'3.4.clean'!A:A=C1804),"""")"),"")</f>
        <v/>
      </c>
      <c r="P1804" s="60" t="b">
        <f t="shared" si="1448"/>
        <v>0</v>
      </c>
      <c r="Q1804" s="59">
        <f>IFERROR(__xludf.DUMMYFUNCTION("iferror(filter('3.5.clean'!C:C,'3.5.clean'!A:A=C1804),"""")"),43887.0)</f>
        <v>43887</v>
      </c>
      <c r="R1804" s="58" t="b">
        <f t="shared" ref="R1804:R1805" si="1453">if(Q1804="",FALSE,TRUE)</f>
        <v>1</v>
      </c>
      <c r="S1804" s="4">
        <f>IFERROR(__xludf.DUMMYFUNCTION("iferror(filter('3.5.clean'!H:H,'3.5.clean'!A:A=C1804),"""")"),0.0)</f>
        <v>0</v>
      </c>
      <c r="V1804" s="52" t="s">
        <v>64</v>
      </c>
      <c r="W1804" s="23" t="b">
        <f>if(AND(R1804=TRUE,N1804=TRUE,P1804=TRUE),TRUE,FALSE)</f>
        <v>0</v>
      </c>
      <c r="X1804" s="23" t="str">
        <f>IFERROR(__xludf.DUMMYFUNCTION("if(COUNTA(FILTER(C:C, C:C = C1804))=1,""no"",""yes"")"),"no")</f>
        <v>no</v>
      </c>
    </row>
    <row r="1805">
      <c r="A1805" s="75" t="s">
        <v>1089</v>
      </c>
      <c r="B1805" s="2">
        <v>7.0</v>
      </c>
      <c r="C1805" s="23" t="s">
        <v>4876</v>
      </c>
      <c r="E1805" s="24">
        <f>IFERROR(__xludf.DUMMYFUNCTION("ifna(IFNA(filter('2.1.clean'!C:C,'2.1.clean'!A:A=C1805),filter('2.2.clean'!E:E,'2.2.clean'!D:D=C1805)),filter('2.4.clean'!C:C,'2.4.clean'!A:A=C1805))"),43887.0)</f>
        <v>43887</v>
      </c>
      <c r="F1805" s="25">
        <f>IFERROR(__xludf.DUMMYFUNCTION("iferror(ifna(IFNA(filter('2.1.clean'!E:E,'2.1.clean'!A:A=C1805),filter('2.2.clean'!G:G,'2.2.clean'!D:D=C1805)),filter('2.4.clean'!E:E,'2.4.clean'!A:A=C1805)),)"),2.39999999999999)</f>
        <v>2.4</v>
      </c>
      <c r="G1805" s="24">
        <f>IFERROR(__xludf.DUMMYFUNCTION("iferror(filter('3.1.clean'!C:C,'3.1.clean'!A:A=C1805),"""")"),43887.0)</f>
        <v>43887</v>
      </c>
      <c r="H1805" s="23" t="b">
        <f t="shared" ref="H1805:H1806" si="1454">if(G1805="",FALSE,TRUE)</f>
        <v>1</v>
      </c>
      <c r="J1805" s="25"/>
      <c r="K1805" s="24">
        <f>IFERROR(__xludf.DUMMYFUNCTION("iferror(filter('3.2.clean'!C:C,'3.2.clean'!A:A=C1805),"""")"),43886.0)</f>
        <v>43886</v>
      </c>
      <c r="L1805" s="25" t="b">
        <f>if(K1805="",FALSE,TRUE)</f>
        <v>1</v>
      </c>
      <c r="M1805" s="24" t="str">
        <f>IFERROR(__xludf.DUMMYFUNCTION("iferror(filter('3.3.clean'!C:C,'3.3.clean'!A:A=C1805),"""")"),"")</f>
        <v/>
      </c>
      <c r="N1805" s="25" t="b">
        <f t="shared" si="1447"/>
        <v>0</v>
      </c>
      <c r="O1805" s="24" t="str">
        <f>IFERROR(__xludf.DUMMYFUNCTION("iferror(filter('3.4.clean'!C:C,'3.4.clean'!A:A=C1805),"""")"),"")</f>
        <v/>
      </c>
      <c r="P1805" s="25" t="b">
        <f t="shared" si="1448"/>
        <v>0</v>
      </c>
      <c r="Q1805" s="24">
        <f>IFERROR(__xludf.DUMMYFUNCTION("iferror(filter('3.5.clean'!C:C,'3.5.clean'!A:A=C1805),"""")"),43887.0)</f>
        <v>43887</v>
      </c>
      <c r="R1805" s="23" t="b">
        <f t="shared" si="1453"/>
        <v>1</v>
      </c>
      <c r="S1805" s="25"/>
      <c r="V1805" s="1" t="s">
        <v>64</v>
      </c>
      <c r="X1805" s="23" t="str">
        <f>IFERROR(__xludf.DUMMYFUNCTION("if(COUNTA(FILTER(C:C, C:C = C1805))=1,""no"",""yes"")"),"no")</f>
        <v>no</v>
      </c>
    </row>
    <row r="1806">
      <c r="A1806" s="75" t="s">
        <v>1089</v>
      </c>
      <c r="B1806" s="2">
        <v>8.0</v>
      </c>
      <c r="C1806" s="23" t="s">
        <v>4891</v>
      </c>
      <c r="E1806" s="59">
        <f>IFERROR(__xludf.DUMMYFUNCTION("ifna(IFNA(filter('2.1.clean'!C:C,'2.1.clean'!A:A=C1806),filter('2.2.clean'!E:E,'2.2.clean'!D:D=C1806)),filter('2.4.clean'!C:C,'2.4.clean'!A:A=C1806))"),43887.0)</f>
        <v>43887</v>
      </c>
      <c r="F1806" s="60">
        <f>IFERROR(__xludf.DUMMYFUNCTION("iferror(ifna(IFNA(filter('2.1.clean'!E:E,'2.1.clean'!A:A=C1806),filter('2.2.clean'!G:G,'2.2.clean'!D:D=C1806)),filter('2.4.clean'!E:E,'2.4.clean'!A:A=C1806)),)"),2.39999999999999)</f>
        <v>2.4</v>
      </c>
      <c r="G1806" s="59" t="str">
        <f>IFERROR(__xludf.DUMMYFUNCTION("iferror(filter('3.1.clean'!C:C,'3.1.clean'!A:A=C1806),"""")"),"")</f>
        <v/>
      </c>
      <c r="H1806" s="58" t="b">
        <f t="shared" si="1454"/>
        <v>0</v>
      </c>
      <c r="I1806" s="58" t="str">
        <f>IFERROR(__xludf.DUMMYFUNCTION("iferror(filter('3.1.clean'!G:G,'3.1.clean'!A:A=C1806),"""")"),"")</f>
        <v/>
      </c>
      <c r="J1806" s="60" t="str">
        <f>IFERROR(__xludf.DUMMYFUNCTION("iferror(filter('3.1.clean'!I:I,'3.1.clean'!A:A=C1806),"""")"),"")</f>
        <v/>
      </c>
      <c r="K1806" s="58"/>
      <c r="L1806" s="60"/>
      <c r="M1806" s="59" t="str">
        <f>IFERROR(__xludf.DUMMYFUNCTION("iferror(filter('3.3.clean'!C:C,'3.3.clean'!A:A=C1806),"""")"),"")</f>
        <v/>
      </c>
      <c r="N1806" s="60" t="b">
        <f t="shared" si="1447"/>
        <v>0</v>
      </c>
      <c r="O1806" s="59" t="str">
        <f>IFERROR(__xludf.DUMMYFUNCTION("iferror(filter('3.4.clean'!C:C,'3.4.clean'!A:A=C1806),"""")"),"")</f>
        <v/>
      </c>
      <c r="P1806" s="60" t="b">
        <f t="shared" si="1448"/>
        <v>0</v>
      </c>
      <c r="Q1806" s="59" t="str">
        <f>IFERROR(__xludf.DUMMYFUNCTION("iferror(filter('3.5.clean'!C:C,'3.5.clean'!A:A=C1806),"""")"),"")</f>
        <v/>
      </c>
      <c r="R1806" s="58"/>
      <c r="S1806" s="4" t="str">
        <f>IFERROR(__xludf.DUMMYFUNCTION("iferror(filter('3.5.clean'!H:H,'3.5.clean'!A:A=C1806),"""")"),"")</f>
        <v/>
      </c>
      <c r="V1806" s="1" t="s">
        <v>64</v>
      </c>
      <c r="W1806" s="23" t="b">
        <f>if(AND(H1806=TRUE,N1806=TRUE,P1806=TRUE),TRUE,FALSE)</f>
        <v>0</v>
      </c>
      <c r="X1806" s="23" t="str">
        <f>IFERROR(__xludf.DUMMYFUNCTION("if(COUNTA(FILTER(C:C, C:C = C1806))=1,""no"",""yes"")"),"no")</f>
        <v>no</v>
      </c>
    </row>
    <row r="1807">
      <c r="A1807" s="75" t="s">
        <v>1089</v>
      </c>
      <c r="B1807" s="2">
        <v>8.5</v>
      </c>
      <c r="C1807" s="19" t="s">
        <v>4904</v>
      </c>
      <c r="D1807" s="58" t="str">
        <f>if(or(I1807=1,J1807=1,S1807=1),"pos","")</f>
        <v/>
      </c>
      <c r="E1807" s="59">
        <f>Q1807</f>
        <v>43887</v>
      </c>
      <c r="F1807" s="60" t="str">
        <f>IFERROR(__xludf.DUMMYFUNCTION("iferror(ifna(IFNA(filter('2.1.clean'!E:E,'2.1.clean'!A:A=C1807),filter('2.2.clean'!G:G,'2.2.clean'!D:D=C1807)),filter('2.4.clean'!E:E,'2.4.clean'!A:A=C1807)),)"),"")</f>
        <v/>
      </c>
      <c r="G1807" s="59" t="str">
        <f>IFERROR(__xludf.DUMMYFUNCTION("iferror(filter('3.1.clean'!C:C,'3.1.clean'!A:A=C1807),"""")"),"")</f>
        <v/>
      </c>
      <c r="H1807" s="58"/>
      <c r="I1807" s="58" t="str">
        <f>IFERROR(__xludf.DUMMYFUNCTION("iferror(filter('3.1.clean'!G:G,'3.1.clean'!A:A=C1807),"""")"),"")</f>
        <v/>
      </c>
      <c r="J1807" s="60" t="str">
        <f>IFERROR(__xludf.DUMMYFUNCTION("iferror(filter('3.1.clean'!I:I,'3.1.clean'!A:A=C1807),"""")"),"")</f>
        <v/>
      </c>
      <c r="K1807" s="59"/>
      <c r="L1807" s="60"/>
      <c r="M1807" s="59" t="str">
        <f>IFERROR(__xludf.DUMMYFUNCTION("iferror(filter('3.3.clean'!C:C,'3.3.clean'!A:A=C1807),"""")"),"")</f>
        <v/>
      </c>
      <c r="N1807" s="60" t="b">
        <f t="shared" si="1447"/>
        <v>0</v>
      </c>
      <c r="O1807" s="59" t="str">
        <f>IFERROR(__xludf.DUMMYFUNCTION("iferror(filter('3.4.clean'!C:C,'3.4.clean'!A:A=C1807),"""")"),"")</f>
        <v/>
      </c>
      <c r="P1807" s="60" t="b">
        <f t="shared" si="1448"/>
        <v>0</v>
      </c>
      <c r="Q1807" s="59">
        <f>IFERROR(__xludf.DUMMYFUNCTION("iferror(filter('3.5.clean'!C:C,'3.5.clean'!A:A=C1807),"""")"),43887.0)</f>
        <v>43887</v>
      </c>
      <c r="R1807" s="58" t="b">
        <f t="shared" ref="R1807:R1808" si="1455">if(Q1807="",FALSE,TRUE)</f>
        <v>1</v>
      </c>
      <c r="S1807" s="4">
        <f>IFERROR(__xludf.DUMMYFUNCTION("iferror(filter('3.5.clean'!H:H,'3.5.clean'!A:A=C1807),"""")"),0.0)</f>
        <v>0</v>
      </c>
      <c r="V1807" s="52" t="s">
        <v>64</v>
      </c>
      <c r="W1807" s="23" t="b">
        <f>if(AND(R1807=TRUE,N1807=TRUE,P1807=TRUE),TRUE,FALSE)</f>
        <v>0</v>
      </c>
      <c r="X1807" s="23" t="str">
        <f>IFERROR(__xludf.DUMMYFUNCTION("if(COUNTA(FILTER(C:C, C:C = C1807))=1,""no"",""yes"")"),"no")</f>
        <v>no</v>
      </c>
    </row>
    <row r="1808">
      <c r="A1808" s="75" t="s">
        <v>1089</v>
      </c>
      <c r="B1808" s="2">
        <v>9.0</v>
      </c>
      <c r="C1808" s="23" t="s">
        <v>4915</v>
      </c>
      <c r="E1808" s="24">
        <f>IFERROR(__xludf.DUMMYFUNCTION("ifna(IFNA(filter('2.1.clean'!C:C,'2.1.clean'!A:A=C1808),filter('2.2.clean'!E:E,'2.2.clean'!D:D=C1808)),filter('2.4.clean'!C:C,'2.4.clean'!A:A=C1808))"),43887.0)</f>
        <v>43887</v>
      </c>
      <c r="F1808" s="25">
        <f>IFERROR(__xludf.DUMMYFUNCTION("iferror(ifna(IFNA(filter('2.1.clean'!E:E,'2.1.clean'!A:A=C1808),filter('2.2.clean'!G:G,'2.2.clean'!D:D=C1808)),filter('2.4.clean'!E:E,'2.4.clean'!A:A=C1808)),)"),2.39999999999999)</f>
        <v>2.4</v>
      </c>
      <c r="G1808" s="24">
        <f>IFERROR(__xludf.DUMMYFUNCTION("iferror(filter('3.1.clean'!C:C,'3.1.clean'!A:A=C1808),"""")"),43887.0)</f>
        <v>43887</v>
      </c>
      <c r="H1808" s="23" t="b">
        <f t="shared" ref="H1808:H1809" si="1456">if(G1808="",FALSE,TRUE)</f>
        <v>1</v>
      </c>
      <c r="J1808" s="25"/>
      <c r="K1808" s="24">
        <f>IFERROR(__xludf.DUMMYFUNCTION("iferror(filter('3.2.clean'!C:C,'3.2.clean'!A:A=C1808),"""")"),43886.0)</f>
        <v>43886</v>
      </c>
      <c r="L1808" s="25" t="b">
        <f>if(K1808="",FALSE,TRUE)</f>
        <v>1</v>
      </c>
      <c r="M1808" s="24" t="str">
        <f>IFERROR(__xludf.DUMMYFUNCTION("iferror(filter('3.3.clean'!C:C,'3.3.clean'!A:A=C1808),"""")"),"")</f>
        <v/>
      </c>
      <c r="N1808" s="25" t="b">
        <f t="shared" si="1447"/>
        <v>0</v>
      </c>
      <c r="O1808" s="24" t="str">
        <f>IFERROR(__xludf.DUMMYFUNCTION("iferror(filter('3.4.clean'!C:C,'3.4.clean'!A:A=C1808),"""")"),"")</f>
        <v/>
      </c>
      <c r="P1808" s="25" t="b">
        <f t="shared" si="1448"/>
        <v>0</v>
      </c>
      <c r="Q1808" s="24">
        <f>IFERROR(__xludf.DUMMYFUNCTION("iferror(filter('3.5.clean'!C:C,'3.5.clean'!A:A=C1808),"""")"),43887.0)</f>
        <v>43887</v>
      </c>
      <c r="R1808" s="23" t="b">
        <f t="shared" si="1455"/>
        <v>1</v>
      </c>
      <c r="S1808" s="25"/>
      <c r="V1808" s="1" t="s">
        <v>64</v>
      </c>
      <c r="X1808" s="23" t="str">
        <f>IFERROR(__xludf.DUMMYFUNCTION("if(COUNTA(FILTER(C:C, C:C = C1808))=1,""no"",""yes"")"),"no")</f>
        <v>no</v>
      </c>
    </row>
    <row r="1809">
      <c r="A1809" s="75" t="s">
        <v>1089</v>
      </c>
      <c r="B1809" s="2">
        <v>10.0</v>
      </c>
      <c r="C1809" s="23" t="s">
        <v>4930</v>
      </c>
      <c r="E1809" s="59">
        <f>IFERROR(__xludf.DUMMYFUNCTION("ifna(IFNA(filter('2.1.clean'!C:C,'2.1.clean'!A:A=C1809),filter('2.2.clean'!E:E,'2.2.clean'!D:D=C1809)),filter('2.4.clean'!C:C,'2.4.clean'!A:A=C1809))"),43887.0)</f>
        <v>43887</v>
      </c>
      <c r="F1809" s="60">
        <f>IFERROR(__xludf.DUMMYFUNCTION("iferror(ifna(IFNA(filter('2.1.clean'!E:E,'2.1.clean'!A:A=C1809),filter('2.2.clean'!G:G,'2.2.clean'!D:D=C1809)),filter('2.4.clean'!E:E,'2.4.clean'!A:A=C1809)),)"),2.39999999999999)</f>
        <v>2.4</v>
      </c>
      <c r="G1809" s="59" t="str">
        <f>IFERROR(__xludf.DUMMYFUNCTION("iferror(filter('3.1.clean'!C:C,'3.1.clean'!A:A=C1809),"""")"),"")</f>
        <v/>
      </c>
      <c r="H1809" s="58" t="b">
        <f t="shared" si="1456"/>
        <v>0</v>
      </c>
      <c r="I1809" s="58" t="str">
        <f>IFERROR(__xludf.DUMMYFUNCTION("iferror(filter('3.1.clean'!G:G,'3.1.clean'!A:A=C1809),"""")"),"")</f>
        <v/>
      </c>
      <c r="J1809" s="60" t="str">
        <f>IFERROR(__xludf.DUMMYFUNCTION("iferror(filter('3.1.clean'!I:I,'3.1.clean'!A:A=C1809),"""")"),"")</f>
        <v/>
      </c>
      <c r="K1809" s="58"/>
      <c r="L1809" s="60"/>
      <c r="M1809" s="59" t="str">
        <f>IFERROR(__xludf.DUMMYFUNCTION("iferror(filter('3.3.clean'!C:C,'3.3.clean'!A:A=C1809),"""")"),"")</f>
        <v/>
      </c>
      <c r="N1809" s="60" t="b">
        <f t="shared" si="1447"/>
        <v>0</v>
      </c>
      <c r="O1809" s="59" t="str">
        <f>IFERROR(__xludf.DUMMYFUNCTION("iferror(filter('3.4.clean'!C:C,'3.4.clean'!A:A=C1809),"""")"),"")</f>
        <v/>
      </c>
      <c r="P1809" s="60" t="b">
        <f t="shared" si="1448"/>
        <v>0</v>
      </c>
      <c r="Q1809" s="59" t="str">
        <f>IFERROR(__xludf.DUMMYFUNCTION("iferror(filter('3.5.clean'!C:C,'3.5.clean'!A:A=C1809),"""")"),"")</f>
        <v/>
      </c>
      <c r="R1809" s="58"/>
      <c r="S1809" s="4" t="str">
        <f>IFERROR(__xludf.DUMMYFUNCTION("iferror(filter('3.5.clean'!H:H,'3.5.clean'!A:A=C1809),"""")"),"")</f>
        <v/>
      </c>
      <c r="V1809" s="1" t="s">
        <v>64</v>
      </c>
      <c r="W1809" s="23" t="b">
        <f>if(AND(H1809=TRUE,N1809=TRUE,P1809=TRUE),TRUE,FALSE)</f>
        <v>0</v>
      </c>
      <c r="X1809" s="23" t="str">
        <f>IFERROR(__xludf.DUMMYFUNCTION("if(COUNTA(FILTER(C:C, C:C = C1809))=1,""no"",""yes"")"),"no")</f>
        <v>no</v>
      </c>
    </row>
    <row r="1810">
      <c r="A1810" s="75" t="s">
        <v>1089</v>
      </c>
      <c r="B1810" s="2">
        <v>10.5</v>
      </c>
      <c r="C1810" s="19" t="s">
        <v>4942</v>
      </c>
      <c r="D1810" s="58" t="str">
        <f>if(or(I1810=1,J1810=1,S1810=1),"pos","")</f>
        <v/>
      </c>
      <c r="E1810" s="59">
        <f>Q1810</f>
        <v>43887</v>
      </c>
      <c r="F1810" s="60" t="str">
        <f>IFERROR(__xludf.DUMMYFUNCTION("iferror(ifna(IFNA(filter('2.1.clean'!E:E,'2.1.clean'!A:A=C1810),filter('2.2.clean'!G:G,'2.2.clean'!D:D=C1810)),filter('2.4.clean'!E:E,'2.4.clean'!A:A=C1810)),)"),"")</f>
        <v/>
      </c>
      <c r="G1810" s="59" t="str">
        <f>IFERROR(__xludf.DUMMYFUNCTION("iferror(filter('3.1.clean'!C:C,'3.1.clean'!A:A=C1810),"""")"),"")</f>
        <v/>
      </c>
      <c r="H1810" s="58"/>
      <c r="I1810" s="58" t="str">
        <f>IFERROR(__xludf.DUMMYFUNCTION("iferror(filter('3.1.clean'!G:G,'3.1.clean'!A:A=C1810),"""")"),"")</f>
        <v/>
      </c>
      <c r="J1810" s="60" t="str">
        <f>IFERROR(__xludf.DUMMYFUNCTION("iferror(filter('3.1.clean'!I:I,'3.1.clean'!A:A=C1810),"""")"),"")</f>
        <v/>
      </c>
      <c r="K1810" s="59"/>
      <c r="L1810" s="60"/>
      <c r="M1810" s="59" t="str">
        <f>IFERROR(__xludf.DUMMYFUNCTION("iferror(filter('3.3.clean'!C:C,'3.3.clean'!A:A=C1810),"""")"),"")</f>
        <v/>
      </c>
      <c r="N1810" s="60" t="b">
        <f t="shared" si="1447"/>
        <v>0</v>
      </c>
      <c r="O1810" s="59" t="str">
        <f>IFERROR(__xludf.DUMMYFUNCTION("iferror(filter('3.4.clean'!C:C,'3.4.clean'!A:A=C1810),"""")"),"")</f>
        <v/>
      </c>
      <c r="P1810" s="60" t="b">
        <f t="shared" si="1448"/>
        <v>0</v>
      </c>
      <c r="Q1810" s="59">
        <f>IFERROR(__xludf.DUMMYFUNCTION("iferror(filter('3.5.clean'!C:C,'3.5.clean'!A:A=C1810),"""")"),43887.0)</f>
        <v>43887</v>
      </c>
      <c r="R1810" s="58" t="b">
        <f t="shared" ref="R1810:R1811" si="1457">if(Q1810="",FALSE,TRUE)</f>
        <v>1</v>
      </c>
      <c r="S1810" s="4">
        <f>IFERROR(__xludf.DUMMYFUNCTION("iferror(filter('3.5.clean'!H:H,'3.5.clean'!A:A=C1810),"""")"),0.0)</f>
        <v>0</v>
      </c>
      <c r="V1810" s="52" t="s">
        <v>64</v>
      </c>
      <c r="W1810" s="23" t="b">
        <f>if(AND(R1810=TRUE,N1810=TRUE,P1810=TRUE),TRUE,FALSE)</f>
        <v>0</v>
      </c>
      <c r="X1810" s="23" t="str">
        <f>IFERROR(__xludf.DUMMYFUNCTION("if(COUNTA(FILTER(C:C, C:C = C1810))=1,""no"",""yes"")"),"no")</f>
        <v>no</v>
      </c>
    </row>
    <row r="1811">
      <c r="A1811" s="75" t="s">
        <v>1089</v>
      </c>
      <c r="B1811" s="2">
        <v>11.0</v>
      </c>
      <c r="C1811" s="23" t="s">
        <v>4957</v>
      </c>
      <c r="E1811" s="24">
        <f>IFERROR(__xludf.DUMMYFUNCTION("ifna(IFNA(filter('2.1.clean'!C:C,'2.1.clean'!A:A=C1811),filter('2.2.clean'!E:E,'2.2.clean'!D:D=C1811)),filter('2.4.clean'!C:C,'2.4.clean'!A:A=C1811))"),43887.0)</f>
        <v>43887</v>
      </c>
      <c r="F1811" s="25">
        <f>IFERROR(__xludf.DUMMYFUNCTION("iferror(ifna(IFNA(filter('2.1.clean'!E:E,'2.1.clean'!A:A=C1811),filter('2.2.clean'!G:G,'2.2.clean'!D:D=C1811)),filter('2.4.clean'!E:E,'2.4.clean'!A:A=C1811)),)"),2.39999999999999)</f>
        <v>2.4</v>
      </c>
      <c r="G1811" s="43">
        <f>IFERROR(__xludf.DUMMYFUNCTION("iferror(filter('3.1.clean'!C:C,'3.1.clean'!A:A=C1811),"""")"),43886.0)</f>
        <v>43886</v>
      </c>
      <c r="H1811" s="23" t="b">
        <f t="shared" ref="H1811:H1812" si="1458">if(G1811="",FALSE,TRUE)</f>
        <v>1</v>
      </c>
      <c r="J1811" s="25"/>
      <c r="K1811" s="43">
        <f>IFERROR(__xludf.DUMMYFUNCTION("iferror(filter('3.2.clean'!C:C,'3.2.clean'!A:A=C1811),"""")"),43886.0)</f>
        <v>43886</v>
      </c>
      <c r="L1811" s="25" t="b">
        <f>if(K1811="",FALSE,TRUE)</f>
        <v>1</v>
      </c>
      <c r="M1811" s="24" t="str">
        <f>IFERROR(__xludf.DUMMYFUNCTION("iferror(filter('3.3.clean'!C:C,'3.3.clean'!A:A=C1811),"""")"),"")</f>
        <v/>
      </c>
      <c r="N1811" s="25" t="b">
        <f t="shared" si="1447"/>
        <v>0</v>
      </c>
      <c r="O1811" s="24" t="str">
        <f>IFERROR(__xludf.DUMMYFUNCTION("iferror(filter('3.4.clean'!C:C,'3.4.clean'!A:A=C1811),"""")"),"")</f>
        <v/>
      </c>
      <c r="P1811" s="25" t="b">
        <f t="shared" si="1448"/>
        <v>0</v>
      </c>
      <c r="Q1811" s="24" t="str">
        <f>IFERROR(__xludf.DUMMYFUNCTION("iferror(filter('3.5.clean'!C:C,'3.5.clean'!A:A=C1811),"""")"),"")</f>
        <v/>
      </c>
      <c r="R1811" s="23" t="b">
        <f t="shared" si="1457"/>
        <v>0</v>
      </c>
      <c r="S1811" s="25"/>
      <c r="T1811" s="48"/>
      <c r="V1811" s="1" t="s">
        <v>64</v>
      </c>
      <c r="X1811" s="23" t="str">
        <f>IFERROR(__xludf.DUMMYFUNCTION("if(COUNTA(FILTER(C:C, C:C = C1811))=1,""no"",""yes"")"),"no")</f>
        <v>no</v>
      </c>
    </row>
    <row r="1812">
      <c r="A1812" s="75" t="s">
        <v>1089</v>
      </c>
      <c r="B1812" s="2">
        <v>12.0</v>
      </c>
      <c r="C1812" s="19" t="s">
        <v>4971</v>
      </c>
      <c r="E1812" s="77">
        <f>G1812</f>
        <v>43887</v>
      </c>
      <c r="F1812" s="78" t="str">
        <f>IFERROR(__xludf.DUMMYFUNCTION("iferror(ifna(IFNA(filter('2.1.clean'!E:E,'2.1.clean'!A:A=C1812),filter('2.2.clean'!G:G,'2.2.clean'!D:D=C1812)),filter('2.4.clean'!E:E,'2.4.clean'!A:A=C1812)),)"),"")</f>
        <v/>
      </c>
      <c r="G1812" s="77">
        <f>IFERROR(__xludf.DUMMYFUNCTION("iferror(filter('3.1.clean'!C:C,'3.1.clean'!A:A=C1812),"""")"),43887.0)</f>
        <v>43887</v>
      </c>
      <c r="H1812" s="76" t="b">
        <f t="shared" si="1458"/>
        <v>1</v>
      </c>
      <c r="I1812" s="76">
        <f>IFERROR(__xludf.DUMMYFUNCTION("iferror(filter('3.1.clean'!G:G,'3.1.clean'!A:A=C1812),"""")"),0.0)</f>
        <v>0</v>
      </c>
      <c r="J1812" s="78" t="str">
        <f>IFERROR(__xludf.DUMMYFUNCTION("iferror(filter('3.1.clean'!I:I,'3.1.clean'!A:A=C1812),"""")"),"")</f>
        <v/>
      </c>
      <c r="K1812" s="77"/>
      <c r="L1812" s="78"/>
      <c r="M1812" s="77"/>
      <c r="N1812" s="78"/>
      <c r="O1812" s="77"/>
      <c r="P1812" s="78"/>
      <c r="Q1812" s="77"/>
      <c r="R1812" s="76"/>
      <c r="S1812" s="25"/>
      <c r="T1812" s="1"/>
      <c r="V1812" s="1" t="s">
        <v>64</v>
      </c>
      <c r="W1812" s="1" t="b">
        <v>1</v>
      </c>
      <c r="X1812" s="23" t="str">
        <f>IFERROR(__xludf.DUMMYFUNCTION("if(COUNTA(FILTER(C:C, C:C = C1812))=1,""no"",""yes"")"),"no")</f>
        <v>no</v>
      </c>
    </row>
    <row r="1813">
      <c r="A1813" s="75" t="s">
        <v>1089</v>
      </c>
      <c r="B1813" s="2">
        <v>13.0</v>
      </c>
      <c r="C1813" s="19" t="s">
        <v>4979</v>
      </c>
      <c r="D1813" s="22" t="str">
        <f>if(or(I1813=1,J1813=1,S1813=1),"pos","")</f>
        <v/>
      </c>
      <c r="E1813" s="20">
        <f>Q1813</f>
        <v>43887</v>
      </c>
      <c r="F1813" s="79" t="str">
        <f>IFERROR(__xludf.DUMMYFUNCTION("iferror(ifna(IFNA(filter('2.1.clean'!E:E,'2.1.clean'!A:A=C1813),filter('2.2.clean'!G:G,'2.2.clean'!D:D=C1813)),filter('2.4.clean'!E:E,'2.4.clean'!A:A=C1813)),)"),"")</f>
        <v/>
      </c>
      <c r="G1813" s="20" t="str">
        <f>IFERROR(__xludf.DUMMYFUNCTION("iferror(filter('3.1.clean'!C:C,'3.1.clean'!A:A=C1813),"""")"),"")</f>
        <v/>
      </c>
      <c r="H1813" s="22"/>
      <c r="I1813" s="22"/>
      <c r="J1813" s="79"/>
      <c r="K1813" s="20" t="str">
        <f>IFERROR(__xludf.DUMMYFUNCTION("iferror(filter('3.2.clean'!C:C,'3.2.clean'!A:A=C1813),"""")"),"")</f>
        <v/>
      </c>
      <c r="L1813" s="79"/>
      <c r="M1813" s="20" t="str">
        <f>IFERROR(__xludf.DUMMYFUNCTION("iferror(filter('3.3.clean'!C:C,'3.3.clean'!A:A=C1813),"""")"),"")</f>
        <v/>
      </c>
      <c r="N1813" s="79" t="b">
        <f t="shared" ref="N1813:N1844" si="1459">if(M1813="",FALSE,TRUE)</f>
        <v>0</v>
      </c>
      <c r="O1813" s="20" t="str">
        <f>IFERROR(__xludf.DUMMYFUNCTION("iferror(filter('3.4.clean'!C:C,'3.4.clean'!A:A=C1813),"""")"),"")</f>
        <v/>
      </c>
      <c r="P1813" s="79" t="b">
        <f t="shared" ref="P1813:P1844" si="1460">if(O1813="",FALSE,TRUE)</f>
        <v>0</v>
      </c>
      <c r="Q1813" s="20">
        <f>IFERROR(__xludf.DUMMYFUNCTION("iferror(filter('3.5.clean'!C:C,'3.5.clean'!A:A=C1813),"""")"),43887.0)</f>
        <v>43887</v>
      </c>
      <c r="R1813" s="22" t="b">
        <f t="shared" ref="R1813:R1814" si="1461">if(Q1813="",FALSE,TRUE)</f>
        <v>1</v>
      </c>
      <c r="S1813" s="4">
        <f>IFERROR(__xludf.DUMMYFUNCTION("iferror(filter('3.5.clean'!H:H,'3.5.clean'!A:A=C1813),"""")"),0.0)</f>
        <v>0</v>
      </c>
      <c r="V1813" s="1" t="s">
        <v>64</v>
      </c>
      <c r="W1813" s="23" t="b">
        <f>IF(and(R1813=TRUE,N1813=TRUE,P1813=TRUE),TRUE,FALSE)</f>
        <v>0</v>
      </c>
      <c r="X1813" s="23" t="str">
        <f>IFERROR(__xludf.DUMMYFUNCTION("if(COUNTA(FILTER(C:C, C:C = C1813))=1,""no"",""yes"")"),"no")</f>
        <v>no</v>
      </c>
    </row>
    <row r="1814">
      <c r="A1814" s="1" t="s">
        <v>1091</v>
      </c>
      <c r="B1814" s="2">
        <v>1.0</v>
      </c>
      <c r="C1814" s="19" t="s">
        <v>4996</v>
      </c>
      <c r="E1814" s="24">
        <f>IFERROR(__xludf.DUMMYFUNCTION("ifna(IFNA(filter('2.1.clean'!C:C,'2.1.clean'!A:A=C1814),filter('2.2.clean'!E:E,'2.2.clean'!D:D=C1814)),filter('2.4.clean'!C:C,'2.4.clean'!A:A=C1814))"),43888.0)</f>
        <v>43888</v>
      </c>
      <c r="F1814" s="25">
        <f>IFERROR(__xludf.DUMMYFUNCTION("iferror(ifna(IFNA(filter('2.1.clean'!E:E,'2.1.clean'!A:A=C1814),filter('2.2.clean'!G:G,'2.2.clean'!D:D=C1814)),filter('2.4.clean'!E:E,'2.4.clean'!A:A=C1814)),)"),2.39999999999999)</f>
        <v>2.4</v>
      </c>
      <c r="G1814" s="24">
        <f>IFERROR(__xludf.DUMMYFUNCTION("iferror(filter('3.1.clean'!C:C,'3.1.clean'!A:A=C1814),"""")"),43888.0)</f>
        <v>43888</v>
      </c>
      <c r="H1814" s="23" t="b">
        <f t="shared" ref="H1814:H1815" si="1462">if(G1814="",FALSE,TRUE)</f>
        <v>1</v>
      </c>
      <c r="J1814" s="25"/>
      <c r="K1814" s="24">
        <f>IFERROR(__xludf.DUMMYFUNCTION("iferror(filter('3.2.clean'!C:C,'3.2.clean'!A:A=C1814),"""")"),43888.0)</f>
        <v>43888</v>
      </c>
      <c r="L1814" s="25" t="b">
        <f>if(K1814="",FALSE,TRUE)</f>
        <v>1</v>
      </c>
      <c r="M1814" s="24" t="str">
        <f>IFERROR(__xludf.DUMMYFUNCTION("iferror(filter('3.3.clean'!C:C,'3.3.clean'!A:A=C1814),"""")"),"")</f>
        <v/>
      </c>
      <c r="N1814" s="25" t="b">
        <f t="shared" si="1459"/>
        <v>0</v>
      </c>
      <c r="O1814" s="24" t="str">
        <f>IFERROR(__xludf.DUMMYFUNCTION("iferror(filter('3.4.clean'!C:C,'3.4.clean'!A:A=C1814),"""")"),"")</f>
        <v/>
      </c>
      <c r="P1814" s="25" t="b">
        <f t="shared" si="1460"/>
        <v>0</v>
      </c>
      <c r="Q1814" s="24">
        <f>IFERROR(__xludf.DUMMYFUNCTION("iferror(filter('3.5.clean'!C:C,'3.5.clean'!A:A=C1814),"""")"),43888.0)</f>
        <v>43888</v>
      </c>
      <c r="R1814" s="23" t="b">
        <f t="shared" si="1461"/>
        <v>1</v>
      </c>
      <c r="S1814" s="25"/>
      <c r="V1814" s="1" t="s">
        <v>64</v>
      </c>
      <c r="X1814" s="23" t="str">
        <f>IFERROR(__xludf.DUMMYFUNCTION("if(COUNTA(FILTER(C:C, C:C = C1814))=1,""no"",""yes"")"),"no")</f>
        <v>no</v>
      </c>
    </row>
    <row r="1815">
      <c r="A1815" s="1" t="s">
        <v>1091</v>
      </c>
      <c r="B1815" s="2">
        <v>2.0</v>
      </c>
      <c r="C1815" s="19" t="s">
        <v>5009</v>
      </c>
      <c r="E1815" s="59">
        <f>IFERROR(__xludf.DUMMYFUNCTION("ifna(IFNA(filter('2.1.clean'!C:C,'2.1.clean'!A:A=C1815),filter('2.2.clean'!E:E,'2.2.clean'!D:D=C1815)),filter('2.4.clean'!C:C,'2.4.clean'!A:A=C1815))"),43888.0)</f>
        <v>43888</v>
      </c>
      <c r="F1815" s="60">
        <f>IFERROR(__xludf.DUMMYFUNCTION("iferror(ifna(IFNA(filter('2.1.clean'!E:E,'2.1.clean'!A:A=C1815),filter('2.2.clean'!G:G,'2.2.clean'!D:D=C1815)),filter('2.4.clean'!E:E,'2.4.clean'!A:A=C1815)),)"),2.39999999999999)</f>
        <v>2.4</v>
      </c>
      <c r="G1815" s="59">
        <f>IFERROR(__xludf.DUMMYFUNCTION("iferror(filter('3.1.clean'!C:C,'3.1.clean'!A:A=C1815),"""")"),43888.0)</f>
        <v>43888</v>
      </c>
      <c r="H1815" s="58" t="b">
        <f t="shared" si="1462"/>
        <v>1</v>
      </c>
      <c r="I1815" s="58">
        <f>IFERROR(__xludf.DUMMYFUNCTION("iferror(filter('3.1.clean'!G:G,'3.1.clean'!A:A=C1815),"""")"),0.0)</f>
        <v>0</v>
      </c>
      <c r="J1815" s="60" t="str">
        <f>IFERROR(__xludf.DUMMYFUNCTION("iferror(filter('3.1.clean'!I:I,'3.1.clean'!A:A=C1815),"""")"),"")</f>
        <v/>
      </c>
      <c r="K1815" s="58"/>
      <c r="L1815" s="60"/>
      <c r="M1815" s="59" t="str">
        <f>IFERROR(__xludf.DUMMYFUNCTION("iferror(filter('3.3.clean'!C:C,'3.3.clean'!A:A=C1815),"""")"),"")</f>
        <v/>
      </c>
      <c r="N1815" s="60" t="b">
        <f t="shared" si="1459"/>
        <v>0</v>
      </c>
      <c r="O1815" s="59" t="str">
        <f>IFERROR(__xludf.DUMMYFUNCTION("iferror(filter('3.4.clean'!C:C,'3.4.clean'!A:A=C1815),"""")"),"")</f>
        <v/>
      </c>
      <c r="P1815" s="60" t="b">
        <f t="shared" si="1460"/>
        <v>0</v>
      </c>
      <c r="Q1815" s="59" t="str">
        <f>IFERROR(__xludf.DUMMYFUNCTION("iferror(filter('3.5.clean'!C:C,'3.5.clean'!A:A=C1815),"""")"),"")</f>
        <v/>
      </c>
      <c r="R1815" s="58"/>
      <c r="S1815" s="4" t="str">
        <f>IFERROR(__xludf.DUMMYFUNCTION("iferror(filter('3.5.clean'!H:H,'3.5.clean'!A:A=C1815),"""")"),"")</f>
        <v/>
      </c>
      <c r="V1815" s="1" t="s">
        <v>64</v>
      </c>
      <c r="W1815" s="23" t="b">
        <f>if(AND(H1815=TRUE,N1815=TRUE,P1815=TRUE),TRUE,FALSE)</f>
        <v>0</v>
      </c>
      <c r="X1815" s="23" t="str">
        <f>IFERROR(__xludf.DUMMYFUNCTION("if(COUNTA(FILTER(C:C, C:C = C1815))=1,""no"",""yes"")"),"no")</f>
        <v>no</v>
      </c>
    </row>
    <row r="1816">
      <c r="A1816" s="1" t="s">
        <v>1091</v>
      </c>
      <c r="B1816" s="2">
        <v>2.5</v>
      </c>
      <c r="C1816" s="19" t="s">
        <v>5023</v>
      </c>
      <c r="D1816" s="58" t="str">
        <f>if(or(I1816=1,J1816=1,S1816=1),"pos","")</f>
        <v/>
      </c>
      <c r="E1816" s="59">
        <f>Q1816</f>
        <v>43888</v>
      </c>
      <c r="F1816" s="60" t="str">
        <f>IFERROR(__xludf.DUMMYFUNCTION("iferror(ifna(IFNA(filter('2.1.clean'!E:E,'2.1.clean'!A:A=C1816),filter('2.2.clean'!G:G,'2.2.clean'!D:D=C1816)),filter('2.4.clean'!E:E,'2.4.clean'!A:A=C1816)),)"),"")</f>
        <v/>
      </c>
      <c r="G1816" s="59" t="str">
        <f>IFERROR(__xludf.DUMMYFUNCTION("iferror(filter('3.1.clean'!C:C,'3.1.clean'!A:A=C1816),"""")"),"")</f>
        <v/>
      </c>
      <c r="H1816" s="58"/>
      <c r="I1816" s="58" t="str">
        <f>IFERROR(__xludf.DUMMYFUNCTION("iferror(filter('3.1.clean'!G:G,'3.1.clean'!A:A=C1816),"""")"),"")</f>
        <v/>
      </c>
      <c r="J1816" s="60" t="str">
        <f>IFERROR(__xludf.DUMMYFUNCTION("iferror(filter('3.1.clean'!I:I,'3.1.clean'!A:A=C1816),"""")"),"")</f>
        <v/>
      </c>
      <c r="K1816" s="59"/>
      <c r="L1816" s="60"/>
      <c r="M1816" s="59" t="str">
        <f>IFERROR(__xludf.DUMMYFUNCTION("iferror(filter('3.3.clean'!C:C,'3.3.clean'!A:A=C1816),"""")"),"")</f>
        <v/>
      </c>
      <c r="N1816" s="60" t="b">
        <f t="shared" si="1459"/>
        <v>0</v>
      </c>
      <c r="O1816" s="59" t="str">
        <f>IFERROR(__xludf.DUMMYFUNCTION("iferror(filter('3.4.clean'!C:C,'3.4.clean'!A:A=C1816),"""")"),"")</f>
        <v/>
      </c>
      <c r="P1816" s="60" t="b">
        <f t="shared" si="1460"/>
        <v>0</v>
      </c>
      <c r="Q1816" s="59">
        <f>IFERROR(__xludf.DUMMYFUNCTION("iferror(filter('3.5.clean'!C:C,'3.5.clean'!A:A=C1816),"""")"),43888.0)</f>
        <v>43888</v>
      </c>
      <c r="R1816" s="58" t="b">
        <f t="shared" ref="R1816:R1817" si="1463">if(Q1816="",FALSE,TRUE)</f>
        <v>1</v>
      </c>
      <c r="S1816" s="4">
        <f>IFERROR(__xludf.DUMMYFUNCTION("iferror(filter('3.5.clean'!H:H,'3.5.clean'!A:A=C1816),"""")"),0.0)</f>
        <v>0</v>
      </c>
      <c r="V1816" s="52" t="s">
        <v>64</v>
      </c>
      <c r="W1816" s="23" t="b">
        <f>if(AND(R1816=TRUE,N1816=TRUE,P1816=TRUE),TRUE,FALSE)</f>
        <v>0</v>
      </c>
      <c r="X1816" s="23" t="str">
        <f>IFERROR(__xludf.DUMMYFUNCTION("if(COUNTA(FILTER(C:C, C:C = C1816))=1,""no"",""yes"")"),"no")</f>
        <v>no</v>
      </c>
    </row>
    <row r="1817">
      <c r="A1817" s="1" t="s">
        <v>1091</v>
      </c>
      <c r="B1817" s="2">
        <v>3.0</v>
      </c>
      <c r="C1817" s="19" t="s">
        <v>5038</v>
      </c>
      <c r="E1817" s="24">
        <f>IFERROR(__xludf.DUMMYFUNCTION("ifna(IFNA(filter('2.1.clean'!C:C,'2.1.clean'!A:A=C1817),filter('2.2.clean'!E:E,'2.2.clean'!D:D=C1817)),filter('2.4.clean'!C:C,'2.4.clean'!A:A=C1817))"),43888.0)</f>
        <v>43888</v>
      </c>
      <c r="F1817" s="25">
        <f>IFERROR(__xludf.DUMMYFUNCTION("iferror(ifna(IFNA(filter('2.1.clean'!E:E,'2.1.clean'!A:A=C1817),filter('2.2.clean'!G:G,'2.2.clean'!D:D=C1817)),filter('2.4.clean'!E:E,'2.4.clean'!A:A=C1817)),)"),2.39999999999999)</f>
        <v>2.4</v>
      </c>
      <c r="G1817" s="24">
        <f>IFERROR(__xludf.DUMMYFUNCTION("iferror(filter('3.1.clean'!C:C,'3.1.clean'!A:A=C1817),"""")"),43888.0)</f>
        <v>43888</v>
      </c>
      <c r="H1817" s="23" t="b">
        <f t="shared" ref="H1817:H1818" si="1464">if(G1817="",FALSE,TRUE)</f>
        <v>1</v>
      </c>
      <c r="J1817" s="25"/>
      <c r="K1817" s="24">
        <f>IFERROR(__xludf.DUMMYFUNCTION("iferror(filter('3.2.clean'!C:C,'3.2.clean'!A:A=C1817),"""")"),43888.0)</f>
        <v>43888</v>
      </c>
      <c r="L1817" s="25" t="b">
        <f>if(K1817="",FALSE,TRUE)</f>
        <v>1</v>
      </c>
      <c r="M1817" s="24" t="str">
        <f>IFERROR(__xludf.DUMMYFUNCTION("iferror(filter('3.3.clean'!C:C,'3.3.clean'!A:A=C1817),"""")"),"")</f>
        <v/>
      </c>
      <c r="N1817" s="25" t="b">
        <f t="shared" si="1459"/>
        <v>0</v>
      </c>
      <c r="O1817" s="24" t="str">
        <f>IFERROR(__xludf.DUMMYFUNCTION("iferror(filter('3.4.clean'!C:C,'3.4.clean'!A:A=C1817),"""")"),"")</f>
        <v/>
      </c>
      <c r="P1817" s="25" t="b">
        <f t="shared" si="1460"/>
        <v>0</v>
      </c>
      <c r="Q1817" s="24">
        <f>IFERROR(__xludf.DUMMYFUNCTION("iferror(filter('3.5.clean'!C:C,'3.5.clean'!A:A=C1817),"""")"),43888.0)</f>
        <v>43888</v>
      </c>
      <c r="R1817" s="23" t="b">
        <f t="shared" si="1463"/>
        <v>1</v>
      </c>
      <c r="S1817" s="25"/>
      <c r="V1817" s="1" t="s">
        <v>64</v>
      </c>
      <c r="X1817" s="23" t="str">
        <f>IFERROR(__xludf.DUMMYFUNCTION("if(COUNTA(FILTER(C:C, C:C = C1817))=1,""no"",""yes"")"),"no")</f>
        <v>no</v>
      </c>
    </row>
    <row r="1818">
      <c r="A1818" s="1" t="s">
        <v>1091</v>
      </c>
      <c r="B1818" s="2">
        <v>4.0</v>
      </c>
      <c r="C1818" s="19" t="s">
        <v>5051</v>
      </c>
      <c r="E1818" s="59">
        <f>IFERROR(__xludf.DUMMYFUNCTION("ifna(IFNA(filter('2.1.clean'!C:C,'2.1.clean'!A:A=C1818),filter('2.2.clean'!E:E,'2.2.clean'!D:D=C1818)),filter('2.4.clean'!C:C,'2.4.clean'!A:A=C1818))"),43888.0)</f>
        <v>43888</v>
      </c>
      <c r="F1818" s="60">
        <f>IFERROR(__xludf.DUMMYFUNCTION("iferror(ifna(IFNA(filter('2.1.clean'!E:E,'2.1.clean'!A:A=C1818),filter('2.2.clean'!G:G,'2.2.clean'!D:D=C1818)),filter('2.4.clean'!E:E,'2.4.clean'!A:A=C1818)),)"),2.39999999999999)</f>
        <v>2.4</v>
      </c>
      <c r="G1818" s="59">
        <f>IFERROR(__xludf.DUMMYFUNCTION("iferror(filter('3.1.clean'!C:C,'3.1.clean'!A:A=C1818),"""")"),43888.0)</f>
        <v>43888</v>
      </c>
      <c r="H1818" s="58" t="b">
        <f t="shared" si="1464"/>
        <v>1</v>
      </c>
      <c r="I1818" s="58">
        <f>IFERROR(__xludf.DUMMYFUNCTION("iferror(filter('3.1.clean'!G:G,'3.1.clean'!A:A=C1818),"""")"),0.0)</f>
        <v>0</v>
      </c>
      <c r="J1818" s="60" t="str">
        <f>IFERROR(__xludf.DUMMYFUNCTION("iferror(filter('3.1.clean'!I:I,'3.1.clean'!A:A=C1818),"""")"),"")</f>
        <v/>
      </c>
      <c r="K1818" s="58"/>
      <c r="L1818" s="60"/>
      <c r="M1818" s="59" t="str">
        <f>IFERROR(__xludf.DUMMYFUNCTION("iferror(filter('3.3.clean'!C:C,'3.3.clean'!A:A=C1818),"""")"),"")</f>
        <v/>
      </c>
      <c r="N1818" s="60" t="b">
        <f t="shared" si="1459"/>
        <v>0</v>
      </c>
      <c r="O1818" s="59" t="str">
        <f>IFERROR(__xludf.DUMMYFUNCTION("iferror(filter('3.4.clean'!C:C,'3.4.clean'!A:A=C1818),"""")"),"")</f>
        <v/>
      </c>
      <c r="P1818" s="60" t="b">
        <f t="shared" si="1460"/>
        <v>0</v>
      </c>
      <c r="Q1818" s="59" t="str">
        <f>IFERROR(__xludf.DUMMYFUNCTION("iferror(filter('3.5.clean'!C:C,'3.5.clean'!A:A=C1818),"""")"),"")</f>
        <v/>
      </c>
      <c r="R1818" s="58"/>
      <c r="S1818" s="4" t="str">
        <f>IFERROR(__xludf.DUMMYFUNCTION("iferror(filter('3.5.clean'!H:H,'3.5.clean'!A:A=C1818),"""")"),"")</f>
        <v/>
      </c>
      <c r="V1818" s="1" t="s">
        <v>64</v>
      </c>
      <c r="W1818" s="23" t="b">
        <f>if(AND(H1818=TRUE,N1818=TRUE,P1818=TRUE),TRUE,FALSE)</f>
        <v>0</v>
      </c>
      <c r="X1818" s="23" t="str">
        <f>IFERROR(__xludf.DUMMYFUNCTION("if(COUNTA(FILTER(C:C, C:C = C1818))=1,""no"",""yes"")"),"no")</f>
        <v>no</v>
      </c>
    </row>
    <row r="1819">
      <c r="A1819" s="1" t="s">
        <v>1091</v>
      </c>
      <c r="B1819" s="2">
        <v>4.5</v>
      </c>
      <c r="C1819" s="19" t="s">
        <v>5064</v>
      </c>
      <c r="D1819" s="58" t="str">
        <f>if(or(I1819=1,J1819=1,S1819=1),"pos","")</f>
        <v/>
      </c>
      <c r="E1819" s="59">
        <f>Q1819</f>
        <v>43888</v>
      </c>
      <c r="F1819" s="60" t="str">
        <f>IFERROR(__xludf.DUMMYFUNCTION("iferror(ifna(IFNA(filter('2.1.clean'!E:E,'2.1.clean'!A:A=C1819),filter('2.2.clean'!G:G,'2.2.clean'!D:D=C1819)),filter('2.4.clean'!E:E,'2.4.clean'!A:A=C1819)),)"),"")</f>
        <v/>
      </c>
      <c r="G1819" s="59" t="str">
        <f>IFERROR(__xludf.DUMMYFUNCTION("iferror(filter('3.1.clean'!C:C,'3.1.clean'!A:A=C1819),"""")"),"")</f>
        <v/>
      </c>
      <c r="H1819" s="58"/>
      <c r="I1819" s="58" t="str">
        <f>IFERROR(__xludf.DUMMYFUNCTION("iferror(filter('3.1.clean'!G:G,'3.1.clean'!A:A=C1819),"""")"),"")</f>
        <v/>
      </c>
      <c r="J1819" s="60" t="str">
        <f>IFERROR(__xludf.DUMMYFUNCTION("iferror(filter('3.1.clean'!I:I,'3.1.clean'!A:A=C1819),"""")"),"")</f>
        <v/>
      </c>
      <c r="K1819" s="59"/>
      <c r="L1819" s="60"/>
      <c r="M1819" s="59" t="str">
        <f>IFERROR(__xludf.DUMMYFUNCTION("iferror(filter('3.3.clean'!C:C,'3.3.clean'!A:A=C1819),"""")"),"")</f>
        <v/>
      </c>
      <c r="N1819" s="60" t="b">
        <f t="shared" si="1459"/>
        <v>0</v>
      </c>
      <c r="O1819" s="59" t="str">
        <f>IFERROR(__xludf.DUMMYFUNCTION("iferror(filter('3.4.clean'!C:C,'3.4.clean'!A:A=C1819),"""")"),"")</f>
        <v/>
      </c>
      <c r="P1819" s="60" t="b">
        <f t="shared" si="1460"/>
        <v>0</v>
      </c>
      <c r="Q1819" s="59">
        <f>IFERROR(__xludf.DUMMYFUNCTION("iferror(filter('3.5.clean'!C:C,'3.5.clean'!A:A=C1819),"""")"),43888.0)</f>
        <v>43888</v>
      </c>
      <c r="R1819" s="58" t="b">
        <f t="shared" ref="R1819:R1820" si="1465">if(Q1819="",FALSE,TRUE)</f>
        <v>1</v>
      </c>
      <c r="S1819" s="4">
        <f>IFERROR(__xludf.DUMMYFUNCTION("iferror(filter('3.5.clean'!H:H,'3.5.clean'!A:A=C1819),"""")"),0.0)</f>
        <v>0</v>
      </c>
      <c r="V1819" s="52" t="s">
        <v>64</v>
      </c>
      <c r="W1819" s="23" t="b">
        <f>if(AND(R1819=TRUE,N1819=TRUE,P1819=TRUE),TRUE,FALSE)</f>
        <v>0</v>
      </c>
      <c r="X1819" s="23" t="str">
        <f>IFERROR(__xludf.DUMMYFUNCTION("if(COUNTA(FILTER(C:C, C:C = C1819))=1,""no"",""yes"")"),"no")</f>
        <v>no</v>
      </c>
    </row>
    <row r="1820">
      <c r="A1820" s="1" t="s">
        <v>1091</v>
      </c>
      <c r="B1820" s="2">
        <v>5.0</v>
      </c>
      <c r="C1820" s="19" t="s">
        <v>5079</v>
      </c>
      <c r="E1820" s="24">
        <f>IFERROR(__xludf.DUMMYFUNCTION("ifna(IFNA(filter('2.1.clean'!C:C,'2.1.clean'!A:A=C1820),filter('2.2.clean'!E:E,'2.2.clean'!D:D=C1820)),filter('2.4.clean'!C:C,'2.4.clean'!A:A=C1820))"),43888.0)</f>
        <v>43888</v>
      </c>
      <c r="F1820" s="25">
        <f>IFERROR(__xludf.DUMMYFUNCTION("iferror(ifna(IFNA(filter('2.1.clean'!E:E,'2.1.clean'!A:A=C1820),filter('2.2.clean'!G:G,'2.2.clean'!D:D=C1820)),filter('2.4.clean'!E:E,'2.4.clean'!A:A=C1820)),)"),2.39999999999999)</f>
        <v>2.4</v>
      </c>
      <c r="G1820" s="24">
        <f>IFERROR(__xludf.DUMMYFUNCTION("iferror(filter('3.1.clean'!C:C,'3.1.clean'!A:A=C1820),"""")"),43888.0)</f>
        <v>43888</v>
      </c>
      <c r="H1820" s="23" t="b">
        <f t="shared" ref="H1820:H1821" si="1466">if(G1820="",FALSE,TRUE)</f>
        <v>1</v>
      </c>
      <c r="J1820" s="25"/>
      <c r="K1820" s="24">
        <f>IFERROR(__xludf.DUMMYFUNCTION("iferror(filter('3.2.clean'!C:C,'3.2.clean'!A:A=C1820),"""")"),43888.0)</f>
        <v>43888</v>
      </c>
      <c r="L1820" s="25" t="b">
        <f>if(K1820="",FALSE,TRUE)</f>
        <v>1</v>
      </c>
      <c r="M1820" s="24" t="str">
        <f>IFERROR(__xludf.DUMMYFUNCTION("iferror(filter('3.3.clean'!C:C,'3.3.clean'!A:A=C1820),"""")"),"")</f>
        <v/>
      </c>
      <c r="N1820" s="25" t="b">
        <f t="shared" si="1459"/>
        <v>0</v>
      </c>
      <c r="O1820" s="24" t="str">
        <f>IFERROR(__xludf.DUMMYFUNCTION("iferror(filter('3.4.clean'!C:C,'3.4.clean'!A:A=C1820),"""")"),"")</f>
        <v/>
      </c>
      <c r="P1820" s="25" t="b">
        <f t="shared" si="1460"/>
        <v>0</v>
      </c>
      <c r="Q1820" s="24">
        <f>IFERROR(__xludf.DUMMYFUNCTION("iferror(filter('3.5.clean'!C:C,'3.5.clean'!A:A=C1820),"""")"),43888.0)</f>
        <v>43888</v>
      </c>
      <c r="R1820" s="23" t="b">
        <f t="shared" si="1465"/>
        <v>1</v>
      </c>
      <c r="S1820" s="25"/>
      <c r="V1820" s="1" t="s">
        <v>64</v>
      </c>
      <c r="X1820" s="23" t="str">
        <f>IFERROR(__xludf.DUMMYFUNCTION("if(COUNTA(FILTER(C:C, C:C = C1820))=1,""no"",""yes"")"),"no")</f>
        <v>no</v>
      </c>
    </row>
    <row r="1821">
      <c r="A1821" s="1" t="s">
        <v>1091</v>
      </c>
      <c r="B1821" s="2">
        <v>6.0</v>
      </c>
      <c r="C1821" s="19" t="s">
        <v>5098</v>
      </c>
      <c r="E1821" s="59">
        <f>IFERROR(__xludf.DUMMYFUNCTION("ifna(IFNA(filter('2.1.clean'!C:C,'2.1.clean'!A:A=C1821),filter('2.2.clean'!E:E,'2.2.clean'!D:D=C1821)),filter('2.4.clean'!C:C,'2.4.clean'!A:A=C1821))"),43888.0)</f>
        <v>43888</v>
      </c>
      <c r="F1821" s="60">
        <f>IFERROR(__xludf.DUMMYFUNCTION("iferror(ifna(IFNA(filter('2.1.clean'!E:E,'2.1.clean'!A:A=C1821),filter('2.2.clean'!G:G,'2.2.clean'!D:D=C1821)),filter('2.4.clean'!E:E,'2.4.clean'!A:A=C1821)),)"),2.39999999999999)</f>
        <v>2.4</v>
      </c>
      <c r="G1821" s="59">
        <f>IFERROR(__xludf.DUMMYFUNCTION("iferror(filter('3.1.clean'!C:C,'3.1.clean'!A:A=C1821),"""")"),43888.0)</f>
        <v>43888</v>
      </c>
      <c r="H1821" s="58" t="b">
        <f t="shared" si="1466"/>
        <v>1</v>
      </c>
      <c r="I1821" s="58">
        <f>IFERROR(__xludf.DUMMYFUNCTION("iferror(filter('3.1.clean'!G:G,'3.1.clean'!A:A=C1821),"""")"),0.0)</f>
        <v>0</v>
      </c>
      <c r="J1821" s="60" t="str">
        <f>IFERROR(__xludf.DUMMYFUNCTION("iferror(filter('3.1.clean'!I:I,'3.1.clean'!A:A=C1821),"""")"),"")</f>
        <v/>
      </c>
      <c r="K1821" s="58"/>
      <c r="L1821" s="60"/>
      <c r="M1821" s="59" t="str">
        <f>IFERROR(__xludf.DUMMYFUNCTION("iferror(filter('3.3.clean'!C:C,'3.3.clean'!A:A=C1821),"""")"),"")</f>
        <v/>
      </c>
      <c r="N1821" s="60" t="b">
        <f t="shared" si="1459"/>
        <v>0</v>
      </c>
      <c r="O1821" s="59" t="str">
        <f>IFERROR(__xludf.DUMMYFUNCTION("iferror(filter('3.4.clean'!C:C,'3.4.clean'!A:A=C1821),"""")"),"")</f>
        <v/>
      </c>
      <c r="P1821" s="60" t="b">
        <f t="shared" si="1460"/>
        <v>0</v>
      </c>
      <c r="Q1821" s="59" t="str">
        <f>IFERROR(__xludf.DUMMYFUNCTION("iferror(filter('3.5.clean'!C:C,'3.5.clean'!A:A=C1821),"""")"),"")</f>
        <v/>
      </c>
      <c r="R1821" s="58"/>
      <c r="S1821" s="4" t="str">
        <f>IFERROR(__xludf.DUMMYFUNCTION("iferror(filter('3.5.clean'!H:H,'3.5.clean'!A:A=C1821),"""")"),"")</f>
        <v/>
      </c>
      <c r="V1821" s="1" t="s">
        <v>64</v>
      </c>
      <c r="W1821" s="23" t="b">
        <f>if(AND(H1821=TRUE,N1821=TRUE,P1821=TRUE),TRUE,FALSE)</f>
        <v>0</v>
      </c>
      <c r="X1821" s="23" t="str">
        <f>IFERROR(__xludf.DUMMYFUNCTION("if(COUNTA(FILTER(C:C, C:C = C1821))=1,""no"",""yes"")"),"no")</f>
        <v>no</v>
      </c>
    </row>
    <row r="1822">
      <c r="A1822" s="1" t="s">
        <v>1091</v>
      </c>
      <c r="B1822" s="2">
        <v>6.5</v>
      </c>
      <c r="C1822" s="19" t="s">
        <v>5112</v>
      </c>
      <c r="D1822" s="58" t="str">
        <f>if(or(I1822=1,J1822=1,S1822=1),"pos","")</f>
        <v/>
      </c>
      <c r="E1822" s="59">
        <f>Q1822</f>
        <v>43888</v>
      </c>
      <c r="F1822" s="60" t="str">
        <f>IFERROR(__xludf.DUMMYFUNCTION("iferror(ifna(IFNA(filter('2.1.clean'!E:E,'2.1.clean'!A:A=C1822),filter('2.2.clean'!G:G,'2.2.clean'!D:D=C1822)),filter('2.4.clean'!E:E,'2.4.clean'!A:A=C1822)),)"),"")</f>
        <v/>
      </c>
      <c r="G1822" s="59" t="str">
        <f>IFERROR(__xludf.DUMMYFUNCTION("iferror(filter('3.1.clean'!C:C,'3.1.clean'!A:A=C1822),"""")"),"")</f>
        <v/>
      </c>
      <c r="H1822" s="58"/>
      <c r="I1822" s="58" t="str">
        <f>IFERROR(__xludf.DUMMYFUNCTION("iferror(filter('3.1.clean'!G:G,'3.1.clean'!A:A=C1822),"""")"),"")</f>
        <v/>
      </c>
      <c r="J1822" s="60" t="str">
        <f>IFERROR(__xludf.DUMMYFUNCTION("iferror(filter('3.1.clean'!I:I,'3.1.clean'!A:A=C1822),"""")"),"")</f>
        <v/>
      </c>
      <c r="K1822" s="59"/>
      <c r="L1822" s="60"/>
      <c r="M1822" s="59" t="str">
        <f>IFERROR(__xludf.DUMMYFUNCTION("iferror(filter('3.3.clean'!C:C,'3.3.clean'!A:A=C1822),"""")"),"")</f>
        <v/>
      </c>
      <c r="N1822" s="60" t="b">
        <f t="shared" si="1459"/>
        <v>0</v>
      </c>
      <c r="O1822" s="59" t="str">
        <f>IFERROR(__xludf.DUMMYFUNCTION("iferror(filter('3.4.clean'!C:C,'3.4.clean'!A:A=C1822),"""")"),"")</f>
        <v/>
      </c>
      <c r="P1822" s="60" t="b">
        <f t="shared" si="1460"/>
        <v>0</v>
      </c>
      <c r="Q1822" s="59">
        <f>IFERROR(__xludf.DUMMYFUNCTION("iferror(filter('3.5.clean'!C:C,'3.5.clean'!A:A=C1822),"""")"),43888.0)</f>
        <v>43888</v>
      </c>
      <c r="R1822" s="58" t="b">
        <f t="shared" ref="R1822:R1823" si="1467">if(Q1822="",FALSE,TRUE)</f>
        <v>1</v>
      </c>
      <c r="S1822" s="4">
        <f>IFERROR(__xludf.DUMMYFUNCTION("iferror(filter('3.5.clean'!H:H,'3.5.clean'!A:A=C1822),"""")"),0.0)</f>
        <v>0</v>
      </c>
      <c r="V1822" s="52" t="s">
        <v>64</v>
      </c>
      <c r="W1822" s="23" t="b">
        <f>if(AND(R1822=TRUE,N1822=TRUE,P1822=TRUE),TRUE,FALSE)</f>
        <v>0</v>
      </c>
      <c r="X1822" s="23" t="str">
        <f>IFERROR(__xludf.DUMMYFUNCTION("if(COUNTA(FILTER(C:C, C:C = C1822))=1,""no"",""yes"")"),"no")</f>
        <v>no</v>
      </c>
    </row>
    <row r="1823">
      <c r="A1823" s="1" t="s">
        <v>1091</v>
      </c>
      <c r="B1823" s="2">
        <v>7.0</v>
      </c>
      <c r="C1823" s="19" t="s">
        <v>5125</v>
      </c>
      <c r="E1823" s="24">
        <f>IFERROR(__xludf.DUMMYFUNCTION("ifna(IFNA(filter('2.1.clean'!C:C,'2.1.clean'!A:A=C1823),filter('2.2.clean'!E:E,'2.2.clean'!D:D=C1823)),filter('2.4.clean'!C:C,'2.4.clean'!A:A=C1823))"),43888.0)</f>
        <v>43888</v>
      </c>
      <c r="F1823" s="25">
        <f>IFERROR(__xludf.DUMMYFUNCTION("iferror(ifna(IFNA(filter('2.1.clean'!E:E,'2.1.clean'!A:A=C1823),filter('2.2.clean'!G:G,'2.2.clean'!D:D=C1823)),filter('2.4.clean'!E:E,'2.4.clean'!A:A=C1823)),)"),2.39999999999999)</f>
        <v>2.4</v>
      </c>
      <c r="G1823" s="24"/>
      <c r="J1823" s="25"/>
      <c r="K1823" s="24"/>
      <c r="L1823" s="25"/>
      <c r="M1823" s="24" t="str">
        <f>IFERROR(__xludf.DUMMYFUNCTION("iferror(filter('3.3.clean'!C:C,'3.3.clean'!A:A=C1823),"""")"),"")</f>
        <v/>
      </c>
      <c r="N1823" s="25" t="b">
        <f t="shared" si="1459"/>
        <v>0</v>
      </c>
      <c r="O1823" s="24" t="str">
        <f>IFERROR(__xludf.DUMMYFUNCTION("iferror(filter('3.4.clean'!C:C,'3.4.clean'!A:A=C1823),"""")"),"")</f>
        <v/>
      </c>
      <c r="P1823" s="25" t="b">
        <f t="shared" si="1460"/>
        <v>0</v>
      </c>
      <c r="Q1823" s="24">
        <f>IFERROR(__xludf.DUMMYFUNCTION("iferror(filter('3.5.clean'!C:C,'3.5.clean'!A:A=C1823),"""")"),43888.0)</f>
        <v>43888</v>
      </c>
      <c r="R1823" s="23" t="b">
        <f t="shared" si="1467"/>
        <v>1</v>
      </c>
      <c r="S1823" s="25">
        <v>0.0</v>
      </c>
      <c r="V1823" s="52" t="s">
        <v>64</v>
      </c>
      <c r="W1823" s="23" t="b">
        <f>IF(and(R1823=TRUE,N1823=TRUE,P1823=TRUE),TRUE,FALSE)</f>
        <v>0</v>
      </c>
      <c r="X1823" s="23" t="str">
        <f>IFERROR(__xludf.DUMMYFUNCTION("if(COUNTA(FILTER(C:C, C:C = C1823))=1,""no"",""yes"")"),"no")</f>
        <v>no</v>
      </c>
    </row>
    <row r="1824">
      <c r="A1824" s="1" t="s">
        <v>1091</v>
      </c>
      <c r="B1824" s="2">
        <v>8.0</v>
      </c>
      <c r="C1824" s="19" t="s">
        <v>5136</v>
      </c>
      <c r="E1824" s="59">
        <f>IFERROR(__xludf.DUMMYFUNCTION("ifna(IFNA(filter('2.1.clean'!C:C,'2.1.clean'!A:A=C1824),filter('2.2.clean'!E:E,'2.2.clean'!D:D=C1824)),filter('2.4.clean'!C:C,'2.4.clean'!A:A=C1824))"),43888.0)</f>
        <v>43888</v>
      </c>
      <c r="F1824" s="60">
        <f>IFERROR(__xludf.DUMMYFUNCTION("iferror(ifna(IFNA(filter('2.1.clean'!E:E,'2.1.clean'!A:A=C1824),filter('2.2.clean'!G:G,'2.2.clean'!D:D=C1824)),filter('2.4.clean'!E:E,'2.4.clean'!A:A=C1824)),)"),2.39999999999999)</f>
        <v>2.4</v>
      </c>
      <c r="G1824" s="59" t="str">
        <f>IFERROR(__xludf.DUMMYFUNCTION("iferror(filter('3.1.clean'!C:C,'3.1.clean'!A:A=C1824),"""")"),"")</f>
        <v/>
      </c>
      <c r="H1824" s="58" t="b">
        <f>if(G1824="",FALSE,TRUE)</f>
        <v>0</v>
      </c>
      <c r="I1824" s="58" t="str">
        <f>IFERROR(__xludf.DUMMYFUNCTION("iferror(filter('3.1.clean'!G:G,'3.1.clean'!A:A=C1824),"""")"),"")</f>
        <v/>
      </c>
      <c r="J1824" s="60" t="str">
        <f>IFERROR(__xludf.DUMMYFUNCTION("iferror(filter('3.1.clean'!I:I,'3.1.clean'!A:A=C1824),"""")"),"")</f>
        <v/>
      </c>
      <c r="K1824" s="58"/>
      <c r="L1824" s="60"/>
      <c r="M1824" s="59" t="str">
        <f>IFERROR(__xludf.DUMMYFUNCTION("iferror(filter('3.3.clean'!C:C,'3.3.clean'!A:A=C1824),"""")"),"")</f>
        <v/>
      </c>
      <c r="N1824" s="60" t="b">
        <f t="shared" si="1459"/>
        <v>0</v>
      </c>
      <c r="O1824" s="59" t="str">
        <f>IFERROR(__xludf.DUMMYFUNCTION("iferror(filter('3.4.clean'!C:C,'3.4.clean'!A:A=C1824),"""")"),"")</f>
        <v/>
      </c>
      <c r="P1824" s="60" t="b">
        <f t="shared" si="1460"/>
        <v>0</v>
      </c>
      <c r="Q1824" s="59" t="str">
        <f>IFERROR(__xludf.DUMMYFUNCTION("iferror(filter('3.5.clean'!C:C,'3.5.clean'!A:A=C1824),"""")"),"")</f>
        <v/>
      </c>
      <c r="R1824" s="58"/>
      <c r="S1824" s="4" t="str">
        <f>IFERROR(__xludf.DUMMYFUNCTION("iferror(filter('3.5.clean'!H:H,'3.5.clean'!A:A=C1824),"""")"),"")</f>
        <v/>
      </c>
      <c r="V1824" s="1" t="s">
        <v>64</v>
      </c>
      <c r="W1824" s="23" t="b">
        <f>if(AND(H1824=TRUE,N1824=TRUE,P1824=TRUE),TRUE,FALSE)</f>
        <v>0</v>
      </c>
      <c r="X1824" s="23" t="str">
        <f>IFERROR(__xludf.DUMMYFUNCTION("if(COUNTA(FILTER(C:C, C:C = C1824))=1,""no"",""yes"")"),"no")</f>
        <v>no</v>
      </c>
    </row>
    <row r="1825">
      <c r="A1825" s="1" t="s">
        <v>1091</v>
      </c>
      <c r="B1825" s="2">
        <v>8.5</v>
      </c>
      <c r="C1825" s="19" t="s">
        <v>5154</v>
      </c>
      <c r="D1825" s="58" t="str">
        <f>if(or(I1825=1,J1825=1,S1825=1),"pos","")</f>
        <v/>
      </c>
      <c r="E1825" s="59">
        <f>Q1825</f>
        <v>43888</v>
      </c>
      <c r="F1825" s="60" t="str">
        <f>IFERROR(__xludf.DUMMYFUNCTION("iferror(ifna(IFNA(filter('2.1.clean'!E:E,'2.1.clean'!A:A=C1825),filter('2.2.clean'!G:G,'2.2.clean'!D:D=C1825)),filter('2.4.clean'!E:E,'2.4.clean'!A:A=C1825)),)"),"")</f>
        <v/>
      </c>
      <c r="G1825" s="59" t="str">
        <f>IFERROR(__xludf.DUMMYFUNCTION("iferror(filter('3.1.clean'!C:C,'3.1.clean'!A:A=C1825),"""")"),"")</f>
        <v/>
      </c>
      <c r="H1825" s="58"/>
      <c r="I1825" s="58" t="str">
        <f>IFERROR(__xludf.DUMMYFUNCTION("iferror(filter('3.1.clean'!G:G,'3.1.clean'!A:A=C1825),"""")"),"")</f>
        <v/>
      </c>
      <c r="J1825" s="60" t="str">
        <f>IFERROR(__xludf.DUMMYFUNCTION("iferror(filter('3.1.clean'!I:I,'3.1.clean'!A:A=C1825),"""")"),"")</f>
        <v/>
      </c>
      <c r="K1825" s="59"/>
      <c r="L1825" s="60"/>
      <c r="M1825" s="59" t="str">
        <f>IFERROR(__xludf.DUMMYFUNCTION("iferror(filter('3.3.clean'!C:C,'3.3.clean'!A:A=C1825),"""")"),"")</f>
        <v/>
      </c>
      <c r="N1825" s="60" t="b">
        <f t="shared" si="1459"/>
        <v>0</v>
      </c>
      <c r="O1825" s="59" t="str">
        <f>IFERROR(__xludf.DUMMYFUNCTION("iferror(filter('3.4.clean'!C:C,'3.4.clean'!A:A=C1825),"""")"),"")</f>
        <v/>
      </c>
      <c r="P1825" s="60" t="b">
        <f t="shared" si="1460"/>
        <v>0</v>
      </c>
      <c r="Q1825" s="59">
        <f>IFERROR(__xludf.DUMMYFUNCTION("iferror(filter('3.5.clean'!C:C,'3.5.clean'!A:A=C1825),"""")"),43888.0)</f>
        <v>43888</v>
      </c>
      <c r="R1825" s="58" t="b">
        <f t="shared" ref="R1825:R1826" si="1468">if(Q1825="",FALSE,TRUE)</f>
        <v>1</v>
      </c>
      <c r="S1825" s="4">
        <f>IFERROR(__xludf.DUMMYFUNCTION("iferror(filter('3.5.clean'!H:H,'3.5.clean'!A:A=C1825),"""")"),0.0)</f>
        <v>0</v>
      </c>
      <c r="V1825" s="52" t="s">
        <v>64</v>
      </c>
      <c r="W1825" s="23" t="b">
        <f>if(AND(R1825=TRUE,N1825=TRUE,P1825=TRUE),TRUE,FALSE)</f>
        <v>0</v>
      </c>
      <c r="X1825" s="23" t="str">
        <f>IFERROR(__xludf.DUMMYFUNCTION("if(COUNTA(FILTER(C:C, C:C = C1825))=1,""no"",""yes"")"),"no")</f>
        <v>no</v>
      </c>
    </row>
    <row r="1826">
      <c r="A1826" s="1" t="s">
        <v>1091</v>
      </c>
      <c r="B1826" s="2">
        <v>9.0</v>
      </c>
      <c r="C1826" s="19" t="s">
        <v>5165</v>
      </c>
      <c r="E1826" s="24">
        <f>IFERROR(__xludf.DUMMYFUNCTION("ifna(IFNA(filter('2.1.clean'!C:C,'2.1.clean'!A:A=C1826),filter('2.2.clean'!E:E,'2.2.clean'!D:D=C1826)),filter('2.4.clean'!C:C,'2.4.clean'!A:A=C1826))"),43888.0)</f>
        <v>43888</v>
      </c>
      <c r="F1826" s="25">
        <f>IFERROR(__xludf.DUMMYFUNCTION("iferror(ifna(IFNA(filter('2.1.clean'!E:E,'2.1.clean'!A:A=C1826),filter('2.2.clean'!G:G,'2.2.clean'!D:D=C1826)),filter('2.4.clean'!E:E,'2.4.clean'!A:A=C1826)),)"),2.39999999999999)</f>
        <v>2.4</v>
      </c>
      <c r="G1826" s="24"/>
      <c r="J1826" s="25"/>
      <c r="K1826" s="24"/>
      <c r="L1826" s="25"/>
      <c r="M1826" s="24" t="str">
        <f>IFERROR(__xludf.DUMMYFUNCTION("iferror(filter('3.3.clean'!C:C,'3.3.clean'!A:A=C1826),"""")"),"")</f>
        <v/>
      </c>
      <c r="N1826" s="25" t="b">
        <f t="shared" si="1459"/>
        <v>0</v>
      </c>
      <c r="O1826" s="24" t="str">
        <f>IFERROR(__xludf.DUMMYFUNCTION("iferror(filter('3.4.clean'!C:C,'3.4.clean'!A:A=C1826),"""")"),"")</f>
        <v/>
      </c>
      <c r="P1826" s="25" t="b">
        <f t="shared" si="1460"/>
        <v>0</v>
      </c>
      <c r="Q1826" s="24">
        <f>IFERROR(__xludf.DUMMYFUNCTION("iferror(filter('3.5.clean'!C:C,'3.5.clean'!A:A=C1826),"""")"),43888.0)</f>
        <v>43888</v>
      </c>
      <c r="R1826" s="23" t="b">
        <f t="shared" si="1468"/>
        <v>1</v>
      </c>
      <c r="S1826" s="25">
        <v>0.0</v>
      </c>
      <c r="V1826" s="52" t="s">
        <v>64</v>
      </c>
      <c r="W1826" s="23" t="b">
        <f>IF(and(R1826=TRUE,N1826=TRUE,P1826=TRUE),TRUE,FALSE)</f>
        <v>0</v>
      </c>
      <c r="X1826" s="23" t="str">
        <f>IFERROR(__xludf.DUMMYFUNCTION("if(COUNTA(FILTER(C:C, C:C = C1826))=1,""no"",""yes"")"),"no")</f>
        <v>no</v>
      </c>
    </row>
    <row r="1827">
      <c r="A1827" s="1" t="s">
        <v>1091</v>
      </c>
      <c r="B1827" s="2">
        <v>10.0</v>
      </c>
      <c r="C1827" s="19" t="s">
        <v>5172</v>
      </c>
      <c r="E1827" s="59">
        <f>IFERROR(__xludf.DUMMYFUNCTION("ifna(IFNA(filter('2.1.clean'!C:C,'2.1.clean'!A:A=C1827),filter('2.2.clean'!E:E,'2.2.clean'!D:D=C1827)),filter('2.4.clean'!C:C,'2.4.clean'!A:A=C1827))"),43888.0)</f>
        <v>43888</v>
      </c>
      <c r="F1827" s="60">
        <f>IFERROR(__xludf.DUMMYFUNCTION("iferror(ifna(IFNA(filter('2.1.clean'!E:E,'2.1.clean'!A:A=C1827),filter('2.2.clean'!G:G,'2.2.clean'!D:D=C1827)),filter('2.4.clean'!E:E,'2.4.clean'!A:A=C1827)),)"),2.39999999999999)</f>
        <v>2.4</v>
      </c>
      <c r="G1827" s="59" t="str">
        <f>IFERROR(__xludf.DUMMYFUNCTION("iferror(filter('3.1.clean'!C:C,'3.1.clean'!A:A=C1827),"""")"),"")</f>
        <v/>
      </c>
      <c r="H1827" s="58" t="b">
        <f>if(G1827="",FALSE,TRUE)</f>
        <v>0</v>
      </c>
      <c r="I1827" s="58" t="str">
        <f>IFERROR(__xludf.DUMMYFUNCTION("iferror(filter('3.1.clean'!G:G,'3.1.clean'!A:A=C1827),"""")"),"")</f>
        <v/>
      </c>
      <c r="J1827" s="60" t="str">
        <f>IFERROR(__xludf.DUMMYFUNCTION("iferror(filter('3.1.clean'!I:I,'3.1.clean'!A:A=C1827),"""")"),"")</f>
        <v/>
      </c>
      <c r="K1827" s="58"/>
      <c r="L1827" s="60"/>
      <c r="M1827" s="59" t="str">
        <f>IFERROR(__xludf.DUMMYFUNCTION("iferror(filter('3.3.clean'!C:C,'3.3.clean'!A:A=C1827),"""")"),"")</f>
        <v/>
      </c>
      <c r="N1827" s="60" t="b">
        <f t="shared" si="1459"/>
        <v>0</v>
      </c>
      <c r="O1827" s="59" t="str">
        <f>IFERROR(__xludf.DUMMYFUNCTION("iferror(filter('3.4.clean'!C:C,'3.4.clean'!A:A=C1827),"""")"),"")</f>
        <v/>
      </c>
      <c r="P1827" s="60" t="b">
        <f t="shared" si="1460"/>
        <v>0</v>
      </c>
      <c r="Q1827" s="59" t="str">
        <f>IFERROR(__xludf.DUMMYFUNCTION("iferror(filter('3.5.clean'!C:C,'3.5.clean'!A:A=C1827),"""")"),"")</f>
        <v/>
      </c>
      <c r="R1827" s="58"/>
      <c r="S1827" s="4" t="str">
        <f>IFERROR(__xludf.DUMMYFUNCTION("iferror(filter('3.5.clean'!H:H,'3.5.clean'!A:A=C1827),"""")"),"")</f>
        <v/>
      </c>
      <c r="V1827" s="1" t="s">
        <v>64</v>
      </c>
      <c r="W1827" s="23" t="b">
        <f>if(AND(H1827=TRUE,N1827=TRUE,P1827=TRUE),TRUE,FALSE)</f>
        <v>0</v>
      </c>
      <c r="X1827" s="23" t="str">
        <f>IFERROR(__xludf.DUMMYFUNCTION("if(COUNTA(FILTER(C:C, C:C = C1827))=1,""no"",""yes"")"),"no")</f>
        <v>no</v>
      </c>
    </row>
    <row r="1828">
      <c r="A1828" s="1" t="s">
        <v>1091</v>
      </c>
      <c r="B1828" s="2">
        <v>10.5</v>
      </c>
      <c r="C1828" s="19" t="s">
        <v>5185</v>
      </c>
      <c r="D1828" s="58" t="str">
        <f>if(or(I1828=1,J1828=1,S1828=1),"pos","")</f>
        <v/>
      </c>
      <c r="E1828" s="59">
        <f>Q1828</f>
        <v>43888</v>
      </c>
      <c r="F1828" s="60" t="str">
        <f>IFERROR(__xludf.DUMMYFUNCTION("iferror(ifna(IFNA(filter('2.1.clean'!E:E,'2.1.clean'!A:A=C1828),filter('2.2.clean'!G:G,'2.2.clean'!D:D=C1828)),filter('2.4.clean'!E:E,'2.4.clean'!A:A=C1828)),)"),"")</f>
        <v/>
      </c>
      <c r="G1828" s="59" t="str">
        <f>IFERROR(__xludf.DUMMYFUNCTION("iferror(filter('3.1.clean'!C:C,'3.1.clean'!A:A=C1828),"""")"),"")</f>
        <v/>
      </c>
      <c r="H1828" s="58"/>
      <c r="I1828" s="58" t="str">
        <f>IFERROR(__xludf.DUMMYFUNCTION("iferror(filter('3.1.clean'!G:G,'3.1.clean'!A:A=C1828),"""")"),"")</f>
        <v/>
      </c>
      <c r="J1828" s="60" t="str">
        <f>IFERROR(__xludf.DUMMYFUNCTION("iferror(filter('3.1.clean'!I:I,'3.1.clean'!A:A=C1828),"""")"),"")</f>
        <v/>
      </c>
      <c r="K1828" s="59"/>
      <c r="L1828" s="60"/>
      <c r="M1828" s="59" t="str">
        <f>IFERROR(__xludf.DUMMYFUNCTION("iferror(filter('3.3.clean'!C:C,'3.3.clean'!A:A=C1828),"""")"),"")</f>
        <v/>
      </c>
      <c r="N1828" s="60" t="b">
        <f t="shared" si="1459"/>
        <v>0</v>
      </c>
      <c r="O1828" s="59" t="str">
        <f>IFERROR(__xludf.DUMMYFUNCTION("iferror(filter('3.4.clean'!C:C,'3.4.clean'!A:A=C1828),"""")"),"")</f>
        <v/>
      </c>
      <c r="P1828" s="60" t="b">
        <f t="shared" si="1460"/>
        <v>0</v>
      </c>
      <c r="Q1828" s="59">
        <f>IFERROR(__xludf.DUMMYFUNCTION("iferror(filter('3.5.clean'!C:C,'3.5.clean'!A:A=C1828),"""")"),43888.0)</f>
        <v>43888</v>
      </c>
      <c r="R1828" s="58" t="b">
        <f t="shared" ref="R1828:R1829" si="1469">if(Q1828="",FALSE,TRUE)</f>
        <v>1</v>
      </c>
      <c r="S1828" s="4">
        <f>IFERROR(__xludf.DUMMYFUNCTION("iferror(filter('3.5.clean'!H:H,'3.5.clean'!A:A=C1828),"""")"),0.0)</f>
        <v>0</v>
      </c>
      <c r="V1828" s="52" t="s">
        <v>64</v>
      </c>
      <c r="W1828" s="23" t="b">
        <f>if(AND(R1828=TRUE,N1828=TRUE,P1828=TRUE),TRUE,FALSE)</f>
        <v>0</v>
      </c>
      <c r="X1828" s="23" t="str">
        <f>IFERROR(__xludf.DUMMYFUNCTION("if(COUNTA(FILTER(C:C, C:C = C1828))=1,""no"",""yes"")"),"no")</f>
        <v>no</v>
      </c>
    </row>
    <row r="1829">
      <c r="A1829" s="1" t="s">
        <v>1091</v>
      </c>
      <c r="B1829" s="2">
        <v>11.0</v>
      </c>
      <c r="C1829" s="19" t="s">
        <v>5198</v>
      </c>
      <c r="E1829" s="24">
        <f>IFERROR(__xludf.DUMMYFUNCTION("ifna(IFNA(filter('2.1.clean'!C:C,'2.1.clean'!A:A=C1829),filter('2.2.clean'!E:E,'2.2.clean'!D:D=C1829)),filter('2.4.clean'!C:C,'2.4.clean'!A:A=C1829))"),43888.0)</f>
        <v>43888</v>
      </c>
      <c r="F1829" s="25">
        <f>IFERROR(__xludf.DUMMYFUNCTION("iferror(ifna(IFNA(filter('2.1.clean'!E:E,'2.1.clean'!A:A=C1829),filter('2.2.clean'!G:G,'2.2.clean'!D:D=C1829)),filter('2.4.clean'!E:E,'2.4.clean'!A:A=C1829)),)"),2.39999999999999)</f>
        <v>2.4</v>
      </c>
      <c r="G1829" s="24"/>
      <c r="J1829" s="25"/>
      <c r="K1829" s="24"/>
      <c r="L1829" s="25"/>
      <c r="M1829" s="24" t="str">
        <f>IFERROR(__xludf.DUMMYFUNCTION("iferror(filter('3.3.clean'!C:C,'3.3.clean'!A:A=C1829),"""")"),"")</f>
        <v/>
      </c>
      <c r="N1829" s="25" t="b">
        <f t="shared" si="1459"/>
        <v>0</v>
      </c>
      <c r="O1829" s="24" t="str">
        <f>IFERROR(__xludf.DUMMYFUNCTION("iferror(filter('3.4.clean'!C:C,'3.4.clean'!A:A=C1829),"""")"),"")</f>
        <v/>
      </c>
      <c r="P1829" s="25" t="b">
        <f t="shared" si="1460"/>
        <v>0</v>
      </c>
      <c r="Q1829" s="24">
        <f>IFERROR(__xludf.DUMMYFUNCTION("iferror(filter('3.5.clean'!C:C,'3.5.clean'!A:A=C1829),"""")"),43888.0)</f>
        <v>43888</v>
      </c>
      <c r="R1829" s="23" t="b">
        <f t="shared" si="1469"/>
        <v>1</v>
      </c>
      <c r="S1829" s="25">
        <v>0.0</v>
      </c>
      <c r="V1829" s="52" t="s">
        <v>64</v>
      </c>
      <c r="W1829" s="23" t="b">
        <f>IF(and(R1829=TRUE,N1829=TRUE,P1829=TRUE),TRUE,FALSE)</f>
        <v>0</v>
      </c>
      <c r="X1829" s="23" t="str">
        <f>IFERROR(__xludf.DUMMYFUNCTION("if(COUNTA(FILTER(C:C, C:C = C1829))=1,""no"",""yes"")"),"no")</f>
        <v>no</v>
      </c>
    </row>
    <row r="1830">
      <c r="A1830" s="1" t="s">
        <v>1091</v>
      </c>
      <c r="B1830" s="2">
        <v>12.0</v>
      </c>
      <c r="C1830" s="19" t="s">
        <v>5209</v>
      </c>
      <c r="E1830" s="59">
        <f>IFERROR(__xludf.DUMMYFUNCTION("ifna(IFNA(filter('2.1.clean'!C:C,'2.1.clean'!A:A=C1830),filter('2.2.clean'!E:E,'2.2.clean'!D:D=C1830)),filter('2.4.clean'!C:C,'2.4.clean'!A:A=C1830))"),43888.0)</f>
        <v>43888</v>
      </c>
      <c r="F1830" s="60">
        <f>IFERROR(__xludf.DUMMYFUNCTION("iferror(ifna(IFNA(filter('2.1.clean'!E:E,'2.1.clean'!A:A=C1830),filter('2.2.clean'!G:G,'2.2.clean'!D:D=C1830)),filter('2.4.clean'!E:E,'2.4.clean'!A:A=C1830)),)"),2.39999999999999)</f>
        <v>2.4</v>
      </c>
      <c r="G1830" s="59" t="str">
        <f>IFERROR(__xludf.DUMMYFUNCTION("iferror(filter('3.1.clean'!C:C,'3.1.clean'!A:A=C1830),"""")"),"")</f>
        <v/>
      </c>
      <c r="H1830" s="58" t="b">
        <f>if(G1830="",FALSE,TRUE)</f>
        <v>0</v>
      </c>
      <c r="I1830" s="58" t="str">
        <f>IFERROR(__xludf.DUMMYFUNCTION("iferror(filter('3.1.clean'!G:G,'3.1.clean'!A:A=C1830),"""")"),"")</f>
        <v/>
      </c>
      <c r="J1830" s="60" t="str">
        <f>IFERROR(__xludf.DUMMYFUNCTION("iferror(filter('3.1.clean'!I:I,'3.1.clean'!A:A=C1830),"""")"),"")</f>
        <v/>
      </c>
      <c r="K1830" s="58"/>
      <c r="L1830" s="60"/>
      <c r="M1830" s="59" t="str">
        <f>IFERROR(__xludf.DUMMYFUNCTION("iferror(filter('3.3.clean'!C:C,'3.3.clean'!A:A=C1830),"""")"),"")</f>
        <v/>
      </c>
      <c r="N1830" s="60" t="b">
        <f t="shared" si="1459"/>
        <v>0</v>
      </c>
      <c r="O1830" s="59" t="str">
        <f>IFERROR(__xludf.DUMMYFUNCTION("iferror(filter('3.4.clean'!C:C,'3.4.clean'!A:A=C1830),"""")"),"")</f>
        <v/>
      </c>
      <c r="P1830" s="60" t="b">
        <f t="shared" si="1460"/>
        <v>0</v>
      </c>
      <c r="Q1830" s="59" t="str">
        <f>IFERROR(__xludf.DUMMYFUNCTION("iferror(filter('3.5.clean'!C:C,'3.5.clean'!A:A=C1830),"""")"),"")</f>
        <v/>
      </c>
      <c r="R1830" s="58"/>
      <c r="S1830" s="4" t="str">
        <f>IFERROR(__xludf.DUMMYFUNCTION("iferror(filter('3.5.clean'!H:H,'3.5.clean'!A:A=C1830),"""")"),"")</f>
        <v/>
      </c>
      <c r="V1830" s="1" t="s">
        <v>64</v>
      </c>
      <c r="W1830" s="23" t="b">
        <f>if(AND(H1830=TRUE,N1830=TRUE,P1830=TRUE),TRUE,FALSE)</f>
        <v>0</v>
      </c>
      <c r="X1830" s="23" t="str">
        <f>IFERROR(__xludf.DUMMYFUNCTION("if(COUNTA(FILTER(C:C, C:C = C1830))=1,""no"",""yes"")"),"no")</f>
        <v>no</v>
      </c>
    </row>
    <row r="1831">
      <c r="A1831" s="1" t="s">
        <v>1091</v>
      </c>
      <c r="B1831" s="2">
        <v>12.5</v>
      </c>
      <c r="C1831" s="19" t="s">
        <v>5221</v>
      </c>
      <c r="D1831" s="58" t="str">
        <f>if(or(I1831=1,J1831=1,S1831=1),"pos","")</f>
        <v/>
      </c>
      <c r="E1831" s="59">
        <f>Q1831</f>
        <v>43888</v>
      </c>
      <c r="F1831" s="60" t="str">
        <f>IFERROR(__xludf.DUMMYFUNCTION("iferror(ifna(IFNA(filter('2.1.clean'!E:E,'2.1.clean'!A:A=C1831),filter('2.2.clean'!G:G,'2.2.clean'!D:D=C1831)),filter('2.4.clean'!E:E,'2.4.clean'!A:A=C1831)),)"),"")</f>
        <v/>
      </c>
      <c r="G1831" s="59" t="str">
        <f>IFERROR(__xludf.DUMMYFUNCTION("iferror(filter('3.1.clean'!C:C,'3.1.clean'!A:A=C1831),"""")"),"")</f>
        <v/>
      </c>
      <c r="H1831" s="58"/>
      <c r="I1831" s="58" t="str">
        <f>IFERROR(__xludf.DUMMYFUNCTION("iferror(filter('3.1.clean'!G:G,'3.1.clean'!A:A=C1831),"""")"),"")</f>
        <v/>
      </c>
      <c r="J1831" s="60" t="str">
        <f>IFERROR(__xludf.DUMMYFUNCTION("iferror(filter('3.1.clean'!I:I,'3.1.clean'!A:A=C1831),"""")"),"")</f>
        <v/>
      </c>
      <c r="K1831" s="59"/>
      <c r="L1831" s="60"/>
      <c r="M1831" s="59" t="str">
        <f>IFERROR(__xludf.DUMMYFUNCTION("iferror(filter('3.3.clean'!C:C,'3.3.clean'!A:A=C1831),"""")"),"")</f>
        <v/>
      </c>
      <c r="N1831" s="60" t="b">
        <f t="shared" si="1459"/>
        <v>0</v>
      </c>
      <c r="O1831" s="59" t="str">
        <f>IFERROR(__xludf.DUMMYFUNCTION("iferror(filter('3.4.clean'!C:C,'3.4.clean'!A:A=C1831),"""")"),"")</f>
        <v/>
      </c>
      <c r="P1831" s="60" t="b">
        <f t="shared" si="1460"/>
        <v>0</v>
      </c>
      <c r="Q1831" s="59">
        <f>IFERROR(__xludf.DUMMYFUNCTION("iferror(filter('3.5.clean'!C:C,'3.5.clean'!A:A=C1831),"""")"),43888.0)</f>
        <v>43888</v>
      </c>
      <c r="R1831" s="58" t="b">
        <f t="shared" ref="R1831:R1832" si="1470">if(Q1831="",FALSE,TRUE)</f>
        <v>1</v>
      </c>
      <c r="S1831" s="4">
        <f>IFERROR(__xludf.DUMMYFUNCTION("iferror(filter('3.5.clean'!H:H,'3.5.clean'!A:A=C1831),"""")"),0.0)</f>
        <v>0</v>
      </c>
      <c r="V1831" s="52" t="s">
        <v>64</v>
      </c>
      <c r="W1831" s="23" t="b">
        <f>if(AND(R1831=TRUE,N1831=TRUE,P1831=TRUE),TRUE,FALSE)</f>
        <v>0</v>
      </c>
      <c r="X1831" s="23" t="str">
        <f>IFERROR(__xludf.DUMMYFUNCTION("if(COUNTA(FILTER(C:C, C:C = C1831))=1,""no"",""yes"")"),"no")</f>
        <v>no</v>
      </c>
    </row>
    <row r="1832">
      <c r="A1832" s="1" t="s">
        <v>1091</v>
      </c>
      <c r="B1832" s="2">
        <v>13.0</v>
      </c>
      <c r="C1832" s="19" t="s">
        <v>5228</v>
      </c>
      <c r="E1832" s="24">
        <f>IFERROR(__xludf.DUMMYFUNCTION("ifna(IFNA(filter('2.1.clean'!C:C,'2.1.clean'!A:A=C1832),filter('2.2.clean'!E:E,'2.2.clean'!D:D=C1832)),filter('2.4.clean'!C:C,'2.4.clean'!A:A=C1832))"),43888.0)</f>
        <v>43888</v>
      </c>
      <c r="F1832" s="25">
        <f>IFERROR(__xludf.DUMMYFUNCTION("iferror(ifna(IFNA(filter('2.1.clean'!E:E,'2.1.clean'!A:A=C1832),filter('2.2.clean'!G:G,'2.2.clean'!D:D=C1832)),filter('2.4.clean'!E:E,'2.4.clean'!A:A=C1832)),)"),2.39999999999999)</f>
        <v>2.4</v>
      </c>
      <c r="G1832" s="24"/>
      <c r="J1832" s="25"/>
      <c r="K1832" s="24"/>
      <c r="L1832" s="25"/>
      <c r="M1832" s="24" t="str">
        <f>IFERROR(__xludf.DUMMYFUNCTION("iferror(filter('3.3.clean'!C:C,'3.3.clean'!A:A=C1832),"""")"),"")</f>
        <v/>
      </c>
      <c r="N1832" s="25" t="b">
        <f t="shared" si="1459"/>
        <v>0</v>
      </c>
      <c r="O1832" s="24" t="str">
        <f>IFERROR(__xludf.DUMMYFUNCTION("iferror(filter('3.4.clean'!C:C,'3.4.clean'!A:A=C1832),"""")"),"")</f>
        <v/>
      </c>
      <c r="P1832" s="25" t="b">
        <f t="shared" si="1460"/>
        <v>0</v>
      </c>
      <c r="Q1832" s="24">
        <f>IFERROR(__xludf.DUMMYFUNCTION("iferror(filter('3.5.clean'!C:C,'3.5.clean'!A:A=C1832),"""")"),43888.0)</f>
        <v>43888</v>
      </c>
      <c r="R1832" s="23" t="b">
        <f t="shared" si="1470"/>
        <v>1</v>
      </c>
      <c r="S1832" s="25">
        <v>0.0</v>
      </c>
      <c r="V1832" s="52" t="s">
        <v>64</v>
      </c>
      <c r="W1832" s="23" t="b">
        <f>IF(and(R1832=TRUE,N1832=TRUE,P1832=TRUE),TRUE,FALSE)</f>
        <v>0</v>
      </c>
      <c r="X1832" s="23" t="str">
        <f>IFERROR(__xludf.DUMMYFUNCTION("if(COUNTA(FILTER(C:C, C:C = C1832))=1,""no"",""yes"")"),"no")</f>
        <v>no</v>
      </c>
    </row>
    <row r="1833">
      <c r="A1833" s="1" t="s">
        <v>1091</v>
      </c>
      <c r="B1833" s="2">
        <v>14.0</v>
      </c>
      <c r="C1833" s="19" t="s">
        <v>5235</v>
      </c>
      <c r="E1833" s="59">
        <f>IFERROR(__xludf.DUMMYFUNCTION("ifna(IFNA(filter('2.1.clean'!C:C,'2.1.clean'!A:A=C1833),filter('2.2.clean'!E:E,'2.2.clean'!D:D=C1833)),filter('2.4.clean'!C:C,'2.4.clean'!A:A=C1833))"),43888.0)</f>
        <v>43888</v>
      </c>
      <c r="F1833" s="60">
        <f>IFERROR(__xludf.DUMMYFUNCTION("iferror(ifna(IFNA(filter('2.1.clean'!E:E,'2.1.clean'!A:A=C1833),filter('2.2.clean'!G:G,'2.2.clean'!D:D=C1833)),filter('2.4.clean'!E:E,'2.4.clean'!A:A=C1833)),)"),2.39999999999999)</f>
        <v>2.4</v>
      </c>
      <c r="G1833" s="59" t="str">
        <f>IFERROR(__xludf.DUMMYFUNCTION("iferror(filter('3.1.clean'!C:C,'3.1.clean'!A:A=C1833),"""")"),"")</f>
        <v/>
      </c>
      <c r="H1833" s="58" t="b">
        <f>if(G1833="",FALSE,TRUE)</f>
        <v>0</v>
      </c>
      <c r="I1833" s="58" t="str">
        <f>IFERROR(__xludf.DUMMYFUNCTION("iferror(filter('3.1.clean'!G:G,'3.1.clean'!A:A=C1833),"""")"),"")</f>
        <v/>
      </c>
      <c r="J1833" s="60" t="str">
        <f>IFERROR(__xludf.DUMMYFUNCTION("iferror(filter('3.1.clean'!I:I,'3.1.clean'!A:A=C1833),"""")"),"")</f>
        <v/>
      </c>
      <c r="K1833" s="58"/>
      <c r="L1833" s="60"/>
      <c r="M1833" s="59" t="str">
        <f>IFERROR(__xludf.DUMMYFUNCTION("iferror(filter('3.3.clean'!C:C,'3.3.clean'!A:A=C1833),"""")"),"")</f>
        <v/>
      </c>
      <c r="N1833" s="60" t="b">
        <f t="shared" si="1459"/>
        <v>0</v>
      </c>
      <c r="O1833" s="59" t="str">
        <f>IFERROR(__xludf.DUMMYFUNCTION("iferror(filter('3.4.clean'!C:C,'3.4.clean'!A:A=C1833),"""")"),"")</f>
        <v/>
      </c>
      <c r="P1833" s="60" t="b">
        <f t="shared" si="1460"/>
        <v>0</v>
      </c>
      <c r="Q1833" s="59" t="str">
        <f>IFERROR(__xludf.DUMMYFUNCTION("iferror(filter('3.5.clean'!C:C,'3.5.clean'!A:A=C1833),"""")"),"")</f>
        <v/>
      </c>
      <c r="R1833" s="58"/>
      <c r="S1833" s="4" t="str">
        <f>IFERROR(__xludf.DUMMYFUNCTION("iferror(filter('3.5.clean'!H:H,'3.5.clean'!A:A=C1833),"""")"),"")</f>
        <v/>
      </c>
      <c r="V1833" s="1" t="s">
        <v>64</v>
      </c>
      <c r="W1833" s="23" t="b">
        <f>if(AND(H1833=TRUE,N1833=TRUE,P1833=TRUE),TRUE,FALSE)</f>
        <v>0</v>
      </c>
      <c r="X1833" s="23" t="str">
        <f>IFERROR(__xludf.DUMMYFUNCTION("if(COUNTA(FILTER(C:C, C:C = C1833))=1,""no"",""yes"")"),"no")</f>
        <v>no</v>
      </c>
    </row>
    <row r="1834">
      <c r="A1834" s="1" t="s">
        <v>1091</v>
      </c>
      <c r="B1834" s="2">
        <v>14.5</v>
      </c>
      <c r="C1834" s="19" t="s">
        <v>5242</v>
      </c>
      <c r="D1834" s="58" t="str">
        <f>if(or(I1834=1,J1834=1,S1834=1),"pos","")</f>
        <v/>
      </c>
      <c r="E1834" s="59">
        <f>Q1834</f>
        <v>43888</v>
      </c>
      <c r="F1834" s="60" t="str">
        <f>IFERROR(__xludf.DUMMYFUNCTION("iferror(ifna(IFNA(filter('2.1.clean'!E:E,'2.1.clean'!A:A=C1834),filter('2.2.clean'!G:G,'2.2.clean'!D:D=C1834)),filter('2.4.clean'!E:E,'2.4.clean'!A:A=C1834)),)"),"")</f>
        <v/>
      </c>
      <c r="G1834" s="59" t="str">
        <f>IFERROR(__xludf.DUMMYFUNCTION("iferror(filter('3.1.clean'!C:C,'3.1.clean'!A:A=C1834),"""")"),"")</f>
        <v/>
      </c>
      <c r="H1834" s="58"/>
      <c r="I1834" s="58" t="str">
        <f>IFERROR(__xludf.DUMMYFUNCTION("iferror(filter('3.1.clean'!G:G,'3.1.clean'!A:A=C1834),"""")"),"")</f>
        <v/>
      </c>
      <c r="J1834" s="60" t="str">
        <f>IFERROR(__xludf.DUMMYFUNCTION("iferror(filter('3.1.clean'!I:I,'3.1.clean'!A:A=C1834),"""")"),"")</f>
        <v/>
      </c>
      <c r="K1834" s="59"/>
      <c r="L1834" s="60"/>
      <c r="M1834" s="59" t="str">
        <f>IFERROR(__xludf.DUMMYFUNCTION("iferror(filter('3.3.clean'!C:C,'3.3.clean'!A:A=C1834),"""")"),"")</f>
        <v/>
      </c>
      <c r="N1834" s="60" t="b">
        <f t="shared" si="1459"/>
        <v>0</v>
      </c>
      <c r="O1834" s="59" t="str">
        <f>IFERROR(__xludf.DUMMYFUNCTION("iferror(filter('3.4.clean'!C:C,'3.4.clean'!A:A=C1834),"""")"),"")</f>
        <v/>
      </c>
      <c r="P1834" s="60" t="b">
        <f t="shared" si="1460"/>
        <v>0</v>
      </c>
      <c r="Q1834" s="59">
        <f>IFERROR(__xludf.DUMMYFUNCTION("iferror(filter('3.5.clean'!C:C,'3.5.clean'!A:A=C1834),"""")"),43888.0)</f>
        <v>43888</v>
      </c>
      <c r="R1834" s="58" t="b">
        <f t="shared" ref="R1834:R1835" si="1471">if(Q1834="",FALSE,TRUE)</f>
        <v>1</v>
      </c>
      <c r="S1834" s="4">
        <f>IFERROR(__xludf.DUMMYFUNCTION("iferror(filter('3.5.clean'!H:H,'3.5.clean'!A:A=C1834),"""")"),0.0)</f>
        <v>0</v>
      </c>
      <c r="V1834" s="52" t="s">
        <v>64</v>
      </c>
      <c r="W1834" s="23" t="b">
        <f>if(AND(R1834=TRUE,N1834=TRUE,P1834=TRUE),TRUE,FALSE)</f>
        <v>0</v>
      </c>
      <c r="X1834" s="23" t="str">
        <f>IFERROR(__xludf.DUMMYFUNCTION("if(COUNTA(FILTER(C:C, C:C = C1834))=1,""no"",""yes"")"),"no")</f>
        <v>no</v>
      </c>
    </row>
    <row r="1835">
      <c r="A1835" s="1" t="s">
        <v>1091</v>
      </c>
      <c r="B1835" s="2">
        <v>15.0</v>
      </c>
      <c r="C1835" s="19" t="s">
        <v>5254</v>
      </c>
      <c r="E1835" s="24">
        <f>IFERROR(__xludf.DUMMYFUNCTION("ifna(IFNA(filter('2.1.clean'!C:C,'2.1.clean'!A:A=C1835),filter('2.2.clean'!E:E,'2.2.clean'!D:D=C1835)),filter('2.4.clean'!C:C,'2.4.clean'!A:A=C1835))"),43888.0)</f>
        <v>43888</v>
      </c>
      <c r="F1835" s="25">
        <f>IFERROR(__xludf.DUMMYFUNCTION("iferror(ifna(IFNA(filter('2.1.clean'!E:E,'2.1.clean'!A:A=C1835),filter('2.2.clean'!G:G,'2.2.clean'!D:D=C1835)),filter('2.4.clean'!E:E,'2.4.clean'!A:A=C1835)),)"),2.39999999999999)</f>
        <v>2.4</v>
      </c>
      <c r="G1835" s="24"/>
      <c r="J1835" s="25"/>
      <c r="K1835" s="24"/>
      <c r="L1835" s="25"/>
      <c r="M1835" s="24" t="str">
        <f>IFERROR(__xludf.DUMMYFUNCTION("iferror(filter('3.3.clean'!C:C,'3.3.clean'!A:A=C1835),"""")"),"")</f>
        <v/>
      </c>
      <c r="N1835" s="25" t="b">
        <f t="shared" si="1459"/>
        <v>0</v>
      </c>
      <c r="O1835" s="24" t="str">
        <f>IFERROR(__xludf.DUMMYFUNCTION("iferror(filter('3.4.clean'!C:C,'3.4.clean'!A:A=C1835),"""")"),"")</f>
        <v/>
      </c>
      <c r="P1835" s="25" t="b">
        <f t="shared" si="1460"/>
        <v>0</v>
      </c>
      <c r="Q1835" s="24">
        <f>IFERROR(__xludf.DUMMYFUNCTION("iferror(filter('3.5.clean'!C:C,'3.5.clean'!A:A=C1835),"""")"),43888.0)</f>
        <v>43888</v>
      </c>
      <c r="R1835" s="23" t="b">
        <f t="shared" si="1471"/>
        <v>1</v>
      </c>
      <c r="S1835" s="25">
        <v>0.0</v>
      </c>
      <c r="V1835" s="52" t="s">
        <v>64</v>
      </c>
      <c r="W1835" s="23" t="b">
        <f>IF(and(R1835=TRUE,N1835=TRUE,P1835=TRUE),TRUE,FALSE)</f>
        <v>0</v>
      </c>
      <c r="X1835" s="23" t="str">
        <f>IFERROR(__xludf.DUMMYFUNCTION("if(COUNTA(FILTER(C:C, C:C = C1835))=1,""no"",""yes"")"),"no")</f>
        <v>no</v>
      </c>
    </row>
    <row r="1836">
      <c r="A1836" s="1" t="s">
        <v>1091</v>
      </c>
      <c r="B1836" s="2">
        <v>16.0</v>
      </c>
      <c r="C1836" s="19" t="s">
        <v>5261</v>
      </c>
      <c r="E1836" s="59">
        <f>IFERROR(__xludf.DUMMYFUNCTION("ifna(IFNA(filter('2.1.clean'!C:C,'2.1.clean'!A:A=C1836),filter('2.2.clean'!E:E,'2.2.clean'!D:D=C1836)),filter('2.4.clean'!C:C,'2.4.clean'!A:A=C1836))"),43888.0)</f>
        <v>43888</v>
      </c>
      <c r="F1836" s="60">
        <f>IFERROR(__xludf.DUMMYFUNCTION("iferror(ifna(IFNA(filter('2.1.clean'!E:E,'2.1.clean'!A:A=C1836),filter('2.2.clean'!G:G,'2.2.clean'!D:D=C1836)),filter('2.4.clean'!E:E,'2.4.clean'!A:A=C1836)),)"),2.39999999999999)</f>
        <v>2.4</v>
      </c>
      <c r="G1836" s="59" t="str">
        <f>IFERROR(__xludf.DUMMYFUNCTION("iferror(filter('3.1.clean'!C:C,'3.1.clean'!A:A=C1836),"""")"),"")</f>
        <v/>
      </c>
      <c r="H1836" s="58" t="b">
        <f>if(G1836="",FALSE,TRUE)</f>
        <v>0</v>
      </c>
      <c r="I1836" s="58" t="str">
        <f>IFERROR(__xludf.DUMMYFUNCTION("iferror(filter('3.1.clean'!G:G,'3.1.clean'!A:A=C1836),"""")"),"")</f>
        <v/>
      </c>
      <c r="J1836" s="60" t="str">
        <f>IFERROR(__xludf.DUMMYFUNCTION("iferror(filter('3.1.clean'!I:I,'3.1.clean'!A:A=C1836),"""")"),"")</f>
        <v/>
      </c>
      <c r="K1836" s="58"/>
      <c r="L1836" s="60"/>
      <c r="M1836" s="59" t="str">
        <f>IFERROR(__xludf.DUMMYFUNCTION("iferror(filter('3.3.clean'!C:C,'3.3.clean'!A:A=C1836),"""")"),"")</f>
        <v/>
      </c>
      <c r="N1836" s="60" t="b">
        <f t="shared" si="1459"/>
        <v>0</v>
      </c>
      <c r="O1836" s="59" t="str">
        <f>IFERROR(__xludf.DUMMYFUNCTION("iferror(filter('3.4.clean'!C:C,'3.4.clean'!A:A=C1836),"""")"),"")</f>
        <v/>
      </c>
      <c r="P1836" s="60" t="b">
        <f t="shared" si="1460"/>
        <v>0</v>
      </c>
      <c r="Q1836" s="59" t="str">
        <f>IFERROR(__xludf.DUMMYFUNCTION("iferror(filter('3.5.clean'!C:C,'3.5.clean'!A:A=C1836),"""")"),"")</f>
        <v/>
      </c>
      <c r="R1836" s="58"/>
      <c r="S1836" s="4" t="str">
        <f>IFERROR(__xludf.DUMMYFUNCTION("iferror(filter('3.5.clean'!H:H,'3.5.clean'!A:A=C1836),"""")"),"")</f>
        <v/>
      </c>
      <c r="V1836" s="1" t="s">
        <v>64</v>
      </c>
      <c r="W1836" s="23" t="b">
        <f>if(AND(H1836=TRUE,N1836=TRUE,P1836=TRUE),TRUE,FALSE)</f>
        <v>0</v>
      </c>
      <c r="X1836" s="23" t="str">
        <f>IFERROR(__xludf.DUMMYFUNCTION("if(COUNTA(FILTER(C:C, C:C = C1836))=1,""no"",""yes"")"),"no")</f>
        <v>no</v>
      </c>
    </row>
    <row r="1837">
      <c r="A1837" s="1" t="s">
        <v>1091</v>
      </c>
      <c r="B1837" s="2">
        <v>16.5</v>
      </c>
      <c r="C1837" s="19" t="s">
        <v>5268</v>
      </c>
      <c r="D1837" s="58" t="str">
        <f>if(or(I1837=1,J1837=1,S1837=1),"pos","")</f>
        <v/>
      </c>
      <c r="E1837" s="59">
        <f>Q1837</f>
        <v>43888</v>
      </c>
      <c r="F1837" s="60" t="str">
        <f>IFERROR(__xludf.DUMMYFUNCTION("iferror(ifna(IFNA(filter('2.1.clean'!E:E,'2.1.clean'!A:A=C1837),filter('2.2.clean'!G:G,'2.2.clean'!D:D=C1837)),filter('2.4.clean'!E:E,'2.4.clean'!A:A=C1837)),)"),"")</f>
        <v/>
      </c>
      <c r="G1837" s="59" t="str">
        <f>IFERROR(__xludf.DUMMYFUNCTION("iferror(filter('3.1.clean'!C:C,'3.1.clean'!A:A=C1837),"""")"),"")</f>
        <v/>
      </c>
      <c r="H1837" s="58"/>
      <c r="I1837" s="58" t="str">
        <f>IFERROR(__xludf.DUMMYFUNCTION("iferror(filter('3.1.clean'!G:G,'3.1.clean'!A:A=C1837),"""")"),"")</f>
        <v/>
      </c>
      <c r="J1837" s="60" t="str">
        <f>IFERROR(__xludf.DUMMYFUNCTION("iferror(filter('3.1.clean'!I:I,'3.1.clean'!A:A=C1837),"""")"),"")</f>
        <v/>
      </c>
      <c r="K1837" s="59"/>
      <c r="L1837" s="60"/>
      <c r="M1837" s="59" t="str">
        <f>IFERROR(__xludf.DUMMYFUNCTION("iferror(filter('3.3.clean'!C:C,'3.3.clean'!A:A=C1837),"""")"),"")</f>
        <v/>
      </c>
      <c r="N1837" s="60" t="b">
        <f t="shared" si="1459"/>
        <v>0</v>
      </c>
      <c r="O1837" s="59" t="str">
        <f>IFERROR(__xludf.DUMMYFUNCTION("iferror(filter('3.4.clean'!C:C,'3.4.clean'!A:A=C1837),"""")"),"")</f>
        <v/>
      </c>
      <c r="P1837" s="60" t="b">
        <f t="shared" si="1460"/>
        <v>0</v>
      </c>
      <c r="Q1837" s="59">
        <f>IFERROR(__xludf.DUMMYFUNCTION("iferror(filter('3.5.clean'!C:C,'3.5.clean'!A:A=C1837),"""")"),43888.0)</f>
        <v>43888</v>
      </c>
      <c r="R1837" s="58" t="b">
        <f>if(Q1837="",FALSE,TRUE)</f>
        <v>1</v>
      </c>
      <c r="S1837" s="4">
        <f>IFERROR(__xludf.DUMMYFUNCTION("iferror(filter('3.5.clean'!H:H,'3.5.clean'!A:A=C1837),"""")"),0.0)</f>
        <v>0</v>
      </c>
      <c r="V1837" s="52" t="s">
        <v>64</v>
      </c>
      <c r="W1837" s="23" t="b">
        <f>if(AND(R1837=TRUE,N1837=TRUE,P1837=TRUE),TRUE,FALSE)</f>
        <v>0</v>
      </c>
      <c r="X1837" s="23" t="str">
        <f>IFERROR(__xludf.DUMMYFUNCTION("if(COUNTA(FILTER(C:C, C:C = C1837))=1,""no"",""yes"")"),"no")</f>
        <v>no</v>
      </c>
    </row>
    <row r="1838">
      <c r="A1838" s="1" t="s">
        <v>1091</v>
      </c>
      <c r="B1838" s="2">
        <v>17.0</v>
      </c>
      <c r="C1838" s="1" t="s">
        <v>797</v>
      </c>
      <c r="E1838" s="24">
        <f>IFERROR(__xludf.DUMMYFUNCTION("ifna(IFNA(filter('2.1.clean'!C:C,'2.1.clean'!A:A=C1838),filter('2.2.clean'!E:E,'2.2.clean'!D:D=C1838)),filter('2.4.clean'!C:C,'2.4.clean'!A:A=C1838))"),43888.0)</f>
        <v>43888</v>
      </c>
      <c r="F1838" s="25">
        <f>IFERROR(__xludf.DUMMYFUNCTION("iferror(ifna(IFNA(filter('2.1.clean'!E:E,'2.1.clean'!A:A=C1838),filter('2.2.clean'!G:G,'2.2.clean'!D:D=C1838)),filter('2.4.clean'!E:E,'2.4.clean'!A:A=C1838)),)"),2.2)</f>
        <v>2.2</v>
      </c>
      <c r="G1838" s="24">
        <f>IFERROR(__xludf.DUMMYFUNCTION("iferror(filter('3.1.clean'!C:C,'3.1.clean'!A:A=C1838),"""")"),43888.0)</f>
        <v>43888</v>
      </c>
      <c r="H1838" s="23" t="b">
        <f t="shared" ref="H1838:H1843" si="1472">if(G1838="",FALSE,TRUE)</f>
        <v>1</v>
      </c>
      <c r="J1838" s="25"/>
      <c r="K1838" s="24">
        <f>IFERROR(__xludf.DUMMYFUNCTION("iferror(filter('3.2.clean'!C:C,'3.2.clean'!A:A=C1838),"""")"),43888.0)</f>
        <v>43888</v>
      </c>
      <c r="L1838" s="25" t="b">
        <f t="shared" ref="L1838:L1842" si="1473">if(K1838="",FALSE,TRUE)</f>
        <v>1</v>
      </c>
      <c r="M1838" s="24" t="str">
        <f>IFERROR(__xludf.DUMMYFUNCTION("iferror(filter('3.3.clean'!C:C,'3.3.clean'!A:A=C1838),"""")"),"")</f>
        <v/>
      </c>
      <c r="N1838" s="25" t="b">
        <f t="shared" si="1459"/>
        <v>0</v>
      </c>
      <c r="O1838" s="24" t="str">
        <f>IFERROR(__xludf.DUMMYFUNCTION("iferror(filter('3.4.clean'!C:C,'3.4.clean'!A:A=C1838),"""")"),"")</f>
        <v/>
      </c>
      <c r="P1838" s="25" t="b">
        <f t="shared" si="1460"/>
        <v>0</v>
      </c>
      <c r="Q1838" s="24" t="str">
        <f>IFERROR(__xludf.DUMMYFUNCTION("iferror(filter('3.5.clean'!C:C,'3.5.clean'!A:A=C1838),"""")"),"")</f>
        <v/>
      </c>
      <c r="S1838" s="25"/>
      <c r="V1838" s="1" t="s">
        <v>83</v>
      </c>
      <c r="W1838" s="23" t="b">
        <f t="shared" ref="W1838:W1842" si="1474">IF(and(H1838=TRUE,L1838=TRUE,N1838=TRUE,P1838=TRUE),TRUE,FALSE)</f>
        <v>0</v>
      </c>
      <c r="X1838" s="23" t="str">
        <f>IFERROR(__xludf.DUMMYFUNCTION("if(COUNTA(FILTER(C:C, C:C = C1838))=1,""no"",""yes"")"),"no")</f>
        <v>no</v>
      </c>
    </row>
    <row r="1839">
      <c r="A1839" s="1" t="s">
        <v>1091</v>
      </c>
      <c r="B1839" s="2">
        <v>18.0</v>
      </c>
      <c r="C1839" s="1" t="s">
        <v>803</v>
      </c>
      <c r="E1839" s="24">
        <f>IFERROR(__xludf.DUMMYFUNCTION("ifna(IFNA(filter('2.1.clean'!C:C,'2.1.clean'!A:A=C1839),filter('2.2.clean'!E:E,'2.2.clean'!D:D=C1839)),filter('2.4.clean'!C:C,'2.4.clean'!A:A=C1839))"),43888.0)</f>
        <v>43888</v>
      </c>
      <c r="F1839" s="25">
        <f>IFERROR(__xludf.DUMMYFUNCTION("iferror(ifna(IFNA(filter('2.1.clean'!E:E,'2.1.clean'!A:A=C1839),filter('2.2.clean'!G:G,'2.2.clean'!D:D=C1839)),filter('2.4.clean'!E:E,'2.4.clean'!A:A=C1839)),)"),2.2)</f>
        <v>2.2</v>
      </c>
      <c r="G1839" s="24">
        <f>IFERROR(__xludf.DUMMYFUNCTION("iferror(filter('3.1.clean'!C:C,'3.1.clean'!A:A=C1839),"""")"),43888.0)</f>
        <v>43888</v>
      </c>
      <c r="H1839" s="23" t="b">
        <f t="shared" si="1472"/>
        <v>1</v>
      </c>
      <c r="J1839" s="25"/>
      <c r="K1839" s="24">
        <f>IFERROR(__xludf.DUMMYFUNCTION("iferror(filter('3.2.clean'!C:C,'3.2.clean'!A:A=C1839),"""")"),43888.0)</f>
        <v>43888</v>
      </c>
      <c r="L1839" s="25" t="b">
        <f t="shared" si="1473"/>
        <v>1</v>
      </c>
      <c r="M1839" s="24" t="str">
        <f>IFERROR(__xludf.DUMMYFUNCTION("iferror(filter('3.3.clean'!C:C,'3.3.clean'!A:A=C1839),"""")"),"")</f>
        <v/>
      </c>
      <c r="N1839" s="25" t="b">
        <f t="shared" si="1459"/>
        <v>0</v>
      </c>
      <c r="O1839" s="24" t="str">
        <f>IFERROR(__xludf.DUMMYFUNCTION("iferror(filter('3.4.clean'!C:C,'3.4.clean'!A:A=C1839),"""")"),"")</f>
        <v/>
      </c>
      <c r="P1839" s="25" t="b">
        <f t="shared" si="1460"/>
        <v>0</v>
      </c>
      <c r="Q1839" s="24" t="str">
        <f>IFERROR(__xludf.DUMMYFUNCTION("iferror(filter('3.5.clean'!C:C,'3.5.clean'!A:A=C1839),"""")"),"")</f>
        <v/>
      </c>
      <c r="S1839" s="25"/>
      <c r="V1839" s="1" t="s">
        <v>83</v>
      </c>
      <c r="W1839" s="23" t="b">
        <f t="shared" si="1474"/>
        <v>0</v>
      </c>
      <c r="X1839" s="23" t="str">
        <f>IFERROR(__xludf.DUMMYFUNCTION("if(COUNTA(FILTER(C:C, C:C = C1839))=1,""no"",""yes"")"),"no")</f>
        <v>no</v>
      </c>
    </row>
    <row r="1840">
      <c r="A1840" s="1" t="s">
        <v>1091</v>
      </c>
      <c r="B1840" s="2">
        <v>19.0</v>
      </c>
      <c r="C1840" s="1" t="s">
        <v>800</v>
      </c>
      <c r="E1840" s="24">
        <f>IFERROR(__xludf.DUMMYFUNCTION("ifna(IFNA(filter('2.1.clean'!C:C,'2.1.clean'!A:A=C1840),filter('2.2.clean'!E:E,'2.2.clean'!D:D=C1840)),filter('2.4.clean'!C:C,'2.4.clean'!A:A=C1840))"),43888.0)</f>
        <v>43888</v>
      </c>
      <c r="F1840" s="25">
        <f>IFERROR(__xludf.DUMMYFUNCTION("iferror(ifna(IFNA(filter('2.1.clean'!E:E,'2.1.clean'!A:A=C1840),filter('2.2.clean'!G:G,'2.2.clean'!D:D=C1840)),filter('2.4.clean'!E:E,'2.4.clean'!A:A=C1840)),)"),2.2)</f>
        <v>2.2</v>
      </c>
      <c r="G1840" s="24">
        <f>IFERROR(__xludf.DUMMYFUNCTION("iferror(filter('3.1.clean'!C:C,'3.1.clean'!A:A=C1840),"""")"),43888.0)</f>
        <v>43888</v>
      </c>
      <c r="H1840" s="23" t="b">
        <f t="shared" si="1472"/>
        <v>1</v>
      </c>
      <c r="J1840" s="25"/>
      <c r="K1840" s="24">
        <f>IFERROR(__xludf.DUMMYFUNCTION("iferror(filter('3.2.clean'!C:C,'3.2.clean'!A:A=C1840),"""")"),43888.0)</f>
        <v>43888</v>
      </c>
      <c r="L1840" s="25" t="b">
        <f t="shared" si="1473"/>
        <v>1</v>
      </c>
      <c r="M1840" s="24" t="str">
        <f>IFERROR(__xludf.DUMMYFUNCTION("iferror(filter('3.3.clean'!C:C,'3.3.clean'!A:A=C1840),"""")"),"")</f>
        <v/>
      </c>
      <c r="N1840" s="25" t="b">
        <f t="shared" si="1459"/>
        <v>0</v>
      </c>
      <c r="O1840" s="24" t="str">
        <f>IFERROR(__xludf.DUMMYFUNCTION("iferror(filter('3.4.clean'!C:C,'3.4.clean'!A:A=C1840),"""")"),"")</f>
        <v/>
      </c>
      <c r="P1840" s="25" t="b">
        <f t="shared" si="1460"/>
        <v>0</v>
      </c>
      <c r="Q1840" s="24" t="str">
        <f>IFERROR(__xludf.DUMMYFUNCTION("iferror(filter('3.5.clean'!C:C,'3.5.clean'!A:A=C1840),"""")"),"")</f>
        <v/>
      </c>
      <c r="S1840" s="25"/>
      <c r="V1840" s="1" t="s">
        <v>83</v>
      </c>
      <c r="W1840" s="23" t="b">
        <f t="shared" si="1474"/>
        <v>0</v>
      </c>
      <c r="X1840" s="23" t="str">
        <f>IFERROR(__xludf.DUMMYFUNCTION("if(COUNTA(FILTER(C:C, C:C = C1840))=1,""no"",""yes"")"),"no")</f>
        <v>no</v>
      </c>
    </row>
    <row r="1841">
      <c r="A1841" s="1" t="s">
        <v>1091</v>
      </c>
      <c r="B1841" s="2">
        <v>20.0</v>
      </c>
      <c r="C1841" s="1" t="s">
        <v>805</v>
      </c>
      <c r="E1841" s="24">
        <f>IFERROR(__xludf.DUMMYFUNCTION("ifna(IFNA(filter('2.1.clean'!C:C,'2.1.clean'!A:A=C1841),filter('2.2.clean'!E:E,'2.2.clean'!D:D=C1841)),filter('2.4.clean'!C:C,'2.4.clean'!A:A=C1841))"),43888.0)</f>
        <v>43888</v>
      </c>
      <c r="F1841" s="25">
        <f>IFERROR(__xludf.DUMMYFUNCTION("iferror(ifna(IFNA(filter('2.1.clean'!E:E,'2.1.clean'!A:A=C1841),filter('2.2.clean'!G:G,'2.2.clean'!D:D=C1841)),filter('2.4.clean'!E:E,'2.4.clean'!A:A=C1841)),)"),2.2)</f>
        <v>2.2</v>
      </c>
      <c r="G1841" s="24">
        <f>IFERROR(__xludf.DUMMYFUNCTION("iferror(filter('3.1.clean'!C:C,'3.1.clean'!A:A=C1841),"""")"),43888.0)</f>
        <v>43888</v>
      </c>
      <c r="H1841" s="23" t="b">
        <f t="shared" si="1472"/>
        <v>1</v>
      </c>
      <c r="J1841" s="25"/>
      <c r="K1841" s="24">
        <f>IFERROR(__xludf.DUMMYFUNCTION("iferror(filter('3.2.clean'!C:C,'3.2.clean'!A:A=C1841),"""")"),43888.0)</f>
        <v>43888</v>
      </c>
      <c r="L1841" s="25" t="b">
        <f t="shared" si="1473"/>
        <v>1</v>
      </c>
      <c r="M1841" s="24" t="str">
        <f>IFERROR(__xludf.DUMMYFUNCTION("iferror(filter('3.3.clean'!C:C,'3.3.clean'!A:A=C1841),"""")"),"")</f>
        <v/>
      </c>
      <c r="N1841" s="25" t="b">
        <f t="shared" si="1459"/>
        <v>0</v>
      </c>
      <c r="O1841" s="24" t="str">
        <f>IFERROR(__xludf.DUMMYFUNCTION("iferror(filter('3.4.clean'!C:C,'3.4.clean'!A:A=C1841),"""")"),"")</f>
        <v/>
      </c>
      <c r="P1841" s="25" t="b">
        <f t="shared" si="1460"/>
        <v>0</v>
      </c>
      <c r="Q1841" s="24" t="str">
        <f>IFERROR(__xludf.DUMMYFUNCTION("iferror(filter('3.5.clean'!C:C,'3.5.clean'!A:A=C1841),"""")"),"")</f>
        <v/>
      </c>
      <c r="S1841" s="25"/>
      <c r="V1841" s="1" t="s">
        <v>83</v>
      </c>
      <c r="W1841" s="23" t="b">
        <f t="shared" si="1474"/>
        <v>0</v>
      </c>
      <c r="X1841" s="23" t="str">
        <f>IFERROR(__xludf.DUMMYFUNCTION("if(COUNTA(FILTER(C:C, C:C = C1841))=1,""no"",""yes"")"),"no")</f>
        <v>no</v>
      </c>
    </row>
    <row r="1842">
      <c r="A1842" s="1" t="s">
        <v>1091</v>
      </c>
      <c r="B1842" s="2">
        <v>21.0</v>
      </c>
      <c r="C1842" s="1" t="s">
        <v>807</v>
      </c>
      <c r="E1842" s="24">
        <f>IFERROR(__xludf.DUMMYFUNCTION("ifna(IFNA(filter('2.1.clean'!C:C,'2.1.clean'!A:A=C1842),filter('2.2.clean'!E:E,'2.2.clean'!D:D=C1842)),filter('2.4.clean'!C:C,'2.4.clean'!A:A=C1842))"),43888.0)</f>
        <v>43888</v>
      </c>
      <c r="F1842" s="25">
        <f>IFERROR(__xludf.DUMMYFUNCTION("iferror(ifna(IFNA(filter('2.1.clean'!E:E,'2.1.clean'!A:A=C1842),filter('2.2.clean'!G:G,'2.2.clean'!D:D=C1842)),filter('2.4.clean'!E:E,'2.4.clean'!A:A=C1842)),)"),2.2)</f>
        <v>2.2</v>
      </c>
      <c r="G1842" s="24">
        <f>IFERROR(__xludf.DUMMYFUNCTION("iferror(filter('3.1.clean'!C:C,'3.1.clean'!A:A=C1842),"""")"),43888.0)</f>
        <v>43888</v>
      </c>
      <c r="H1842" s="23" t="b">
        <f t="shared" si="1472"/>
        <v>1</v>
      </c>
      <c r="J1842" s="25"/>
      <c r="K1842" s="24">
        <f>IFERROR(__xludf.DUMMYFUNCTION("iferror(filter('3.2.clean'!C:C,'3.2.clean'!A:A=C1842),"""")"),43888.0)</f>
        <v>43888</v>
      </c>
      <c r="L1842" s="25" t="b">
        <f t="shared" si="1473"/>
        <v>1</v>
      </c>
      <c r="M1842" s="24" t="str">
        <f>IFERROR(__xludf.DUMMYFUNCTION("iferror(filter('3.3.clean'!C:C,'3.3.clean'!A:A=C1842),"""")"),"")</f>
        <v/>
      </c>
      <c r="N1842" s="25" t="b">
        <f t="shared" si="1459"/>
        <v>0</v>
      </c>
      <c r="O1842" s="24" t="str">
        <f>IFERROR(__xludf.DUMMYFUNCTION("iferror(filter('3.4.clean'!C:C,'3.4.clean'!A:A=C1842),"""")"),"")</f>
        <v/>
      </c>
      <c r="P1842" s="25" t="b">
        <f t="shared" si="1460"/>
        <v>0</v>
      </c>
      <c r="Q1842" s="24" t="str">
        <f>IFERROR(__xludf.DUMMYFUNCTION("iferror(filter('3.5.clean'!C:C,'3.5.clean'!A:A=C1842),"""")"),"")</f>
        <v/>
      </c>
      <c r="S1842" s="25"/>
      <c r="V1842" s="1" t="s">
        <v>83</v>
      </c>
      <c r="W1842" s="23" t="b">
        <f t="shared" si="1474"/>
        <v>0</v>
      </c>
      <c r="X1842" s="23" t="str">
        <f>IFERROR(__xludf.DUMMYFUNCTION("if(COUNTA(FILTER(C:C, C:C = C1842))=1,""no"",""yes"")"),"no")</f>
        <v>no</v>
      </c>
    </row>
    <row r="1843">
      <c r="A1843" s="1" t="s">
        <v>1091</v>
      </c>
      <c r="B1843" s="2">
        <v>22.0</v>
      </c>
      <c r="C1843" s="19" t="s">
        <v>5311</v>
      </c>
      <c r="E1843" s="141">
        <v>43888.0</v>
      </c>
      <c r="F1843" s="142">
        <v>2.2</v>
      </c>
      <c r="G1843" s="59">
        <f>IFERROR(__xludf.DUMMYFUNCTION("iferror(filter('3.1.clean'!C:C,'3.1.clean'!A:A=C1843),"""")"),43888.0)</f>
        <v>43888</v>
      </c>
      <c r="H1843" s="58" t="b">
        <f t="shared" si="1472"/>
        <v>1</v>
      </c>
      <c r="I1843" s="58">
        <f>IFERROR(__xludf.DUMMYFUNCTION("iferror(filter('3.1.clean'!G:G,'3.1.clean'!A:A=C1843),"""")"),0.0)</f>
        <v>0</v>
      </c>
      <c r="J1843" s="60" t="str">
        <f>IFERROR(__xludf.DUMMYFUNCTION("iferror(filter('3.1.clean'!I:I,'3.1.clean'!A:A=C1843),"""")"),"")</f>
        <v/>
      </c>
      <c r="K1843" s="58"/>
      <c r="L1843" s="60"/>
      <c r="M1843" s="59" t="str">
        <f>IFERROR(__xludf.DUMMYFUNCTION("iferror(filter('3.3.clean'!C:C,'3.3.clean'!A:A=C1843),"""")"),"")</f>
        <v/>
      </c>
      <c r="N1843" s="60" t="b">
        <f t="shared" si="1459"/>
        <v>0</v>
      </c>
      <c r="O1843" s="59" t="str">
        <f>IFERROR(__xludf.DUMMYFUNCTION("iferror(filter('3.4.clean'!C:C,'3.4.clean'!A:A=C1843),"""")"),"")</f>
        <v/>
      </c>
      <c r="P1843" s="60" t="b">
        <f t="shared" si="1460"/>
        <v>0</v>
      </c>
      <c r="Q1843" s="59" t="str">
        <f>IFERROR(__xludf.DUMMYFUNCTION("iferror(filter('3.5.clean'!C:C,'3.5.clean'!A:A=C1843),"""")"),"")</f>
        <v/>
      </c>
      <c r="R1843" s="58"/>
      <c r="S1843" s="4" t="str">
        <f>IFERROR(__xludf.DUMMYFUNCTION("iferror(filter('3.5.clean'!H:H,'3.5.clean'!A:A=C1843),"""")"),"")</f>
        <v/>
      </c>
      <c r="V1843" s="1" t="s">
        <v>83</v>
      </c>
      <c r="W1843" s="23" t="b">
        <f>if(AND(H1843=TRUE,N1843=TRUE,P1843=TRUE),TRUE,FALSE)</f>
        <v>0</v>
      </c>
      <c r="X1843" s="23" t="str">
        <f>IFERROR(__xludf.DUMMYFUNCTION("if(COUNTA(FILTER(C:C, C:C = C1843))=1,""no"",""yes"")"),"no")</f>
        <v>no</v>
      </c>
    </row>
    <row r="1844">
      <c r="A1844" s="1" t="s">
        <v>1091</v>
      </c>
      <c r="B1844" s="2">
        <v>22.5</v>
      </c>
      <c r="C1844" s="19" t="s">
        <v>5318</v>
      </c>
      <c r="D1844" s="58" t="str">
        <f>if(or(I1844=1,J1844=1,S1844=1),"pos","")</f>
        <v/>
      </c>
      <c r="E1844" s="59">
        <f>Q1844</f>
        <v>43888</v>
      </c>
      <c r="F1844" s="60" t="str">
        <f>IFERROR(__xludf.DUMMYFUNCTION("iferror(ifna(IFNA(filter('2.1.clean'!E:E,'2.1.clean'!A:A=C1844),filter('2.2.clean'!G:G,'2.2.clean'!D:D=C1844)),filter('2.4.clean'!E:E,'2.4.clean'!A:A=C1844)),)"),"")</f>
        <v/>
      </c>
      <c r="G1844" s="59" t="str">
        <f>IFERROR(__xludf.DUMMYFUNCTION("iferror(filter('3.1.clean'!C:C,'3.1.clean'!A:A=C1844),"""")"),"")</f>
        <v/>
      </c>
      <c r="H1844" s="58"/>
      <c r="I1844" s="58" t="str">
        <f>IFERROR(__xludf.DUMMYFUNCTION("iferror(filter('3.1.clean'!G:G,'3.1.clean'!A:A=C1844),"""")"),"")</f>
        <v/>
      </c>
      <c r="J1844" s="60" t="str">
        <f>IFERROR(__xludf.DUMMYFUNCTION("iferror(filter('3.1.clean'!I:I,'3.1.clean'!A:A=C1844),"""")"),"")</f>
        <v/>
      </c>
      <c r="K1844" s="59"/>
      <c r="L1844" s="60"/>
      <c r="M1844" s="59" t="str">
        <f>IFERROR(__xludf.DUMMYFUNCTION("iferror(filter('3.3.clean'!C:C,'3.3.clean'!A:A=C1844),"""")"),"")</f>
        <v/>
      </c>
      <c r="N1844" s="60" t="b">
        <f t="shared" si="1459"/>
        <v>0</v>
      </c>
      <c r="O1844" s="59" t="str">
        <f>IFERROR(__xludf.DUMMYFUNCTION("iferror(filter('3.4.clean'!C:C,'3.4.clean'!A:A=C1844),"""")"),"")</f>
        <v/>
      </c>
      <c r="P1844" s="60" t="b">
        <f t="shared" si="1460"/>
        <v>0</v>
      </c>
      <c r="Q1844" s="59">
        <f>IFERROR(__xludf.DUMMYFUNCTION("iferror(filter('3.5.clean'!C:C,'3.5.clean'!A:A=C1844),"""")"),43888.0)</f>
        <v>43888</v>
      </c>
      <c r="R1844" s="58" t="b">
        <f>if(Q1844="",FALSE,TRUE)</f>
        <v>1</v>
      </c>
      <c r="S1844" s="4">
        <f>IFERROR(__xludf.DUMMYFUNCTION("iferror(filter('3.5.clean'!H:H,'3.5.clean'!A:A=C1844),"""")"),0.0)</f>
        <v>0</v>
      </c>
      <c r="V1844" s="52" t="s">
        <v>64</v>
      </c>
      <c r="W1844" s="23" t="b">
        <f>if(AND(R1844=TRUE,N1844=TRUE,P1844=TRUE),TRUE,FALSE)</f>
        <v>0</v>
      </c>
      <c r="X1844" s="23" t="str">
        <f>IFERROR(__xludf.DUMMYFUNCTION("if(COUNTA(FILTER(C:C, C:C = C1844))=1,""no"",""yes"")"),"no")</f>
        <v>no</v>
      </c>
    </row>
    <row r="1845">
      <c r="A1845" s="1" t="s">
        <v>1091</v>
      </c>
      <c r="B1845" s="2">
        <v>23.0</v>
      </c>
      <c r="C1845" s="19" t="s">
        <v>5332</v>
      </c>
      <c r="E1845" s="77">
        <f>G1845</f>
        <v>43888</v>
      </c>
      <c r="F1845" s="78" t="str">
        <f>IFERROR(__xludf.DUMMYFUNCTION("iferror(ifna(IFNA(filter('2.1.clean'!E:E,'2.1.clean'!A:A=C1845),filter('2.2.clean'!G:G,'2.2.clean'!D:D=C1845)),filter('2.4.clean'!E:E,'2.4.clean'!A:A=C1845)),)"),"")</f>
        <v/>
      </c>
      <c r="G1845" s="77">
        <f>IFERROR(__xludf.DUMMYFUNCTION("iferror(filter('3.1.clean'!C:C,'3.1.clean'!A:A=C1845),"""")"),43888.0)</f>
        <v>43888</v>
      </c>
      <c r="H1845" s="76" t="b">
        <f>if(G1845="",FALSE,TRUE)</f>
        <v>1</v>
      </c>
      <c r="I1845" s="76">
        <f>IFERROR(__xludf.DUMMYFUNCTION("iferror(filter('3.1.clean'!G:G,'3.1.clean'!A:A=C1845),"""")"),0.0)</f>
        <v>0</v>
      </c>
      <c r="J1845" s="78" t="str">
        <f>IFERROR(__xludf.DUMMYFUNCTION("iferror(filter('3.1.clean'!I:I,'3.1.clean'!A:A=C1845),"""")"),"")</f>
        <v/>
      </c>
      <c r="K1845" s="77"/>
      <c r="L1845" s="78"/>
      <c r="M1845" s="77"/>
      <c r="N1845" s="78"/>
      <c r="O1845" s="77"/>
      <c r="P1845" s="78"/>
      <c r="Q1845" s="77"/>
      <c r="R1845" s="76"/>
      <c r="S1845" s="25"/>
      <c r="T1845" s="1"/>
      <c r="V1845" s="1" t="s">
        <v>64</v>
      </c>
      <c r="W1845" s="1" t="b">
        <v>1</v>
      </c>
      <c r="X1845" s="23" t="str">
        <f>IFERROR(__xludf.DUMMYFUNCTION("if(COUNTA(FILTER(C:C, C:C = C1845))=1,""no"",""yes"")"),"no")</f>
        <v>no</v>
      </c>
    </row>
    <row r="1846">
      <c r="A1846" s="1" t="s">
        <v>1091</v>
      </c>
      <c r="B1846" s="2">
        <v>24.0</v>
      </c>
      <c r="C1846" s="19" t="s">
        <v>5339</v>
      </c>
      <c r="D1846" s="22" t="str">
        <f>if(or(I1846=1,J1846=1,S1846=1),"pos","")</f>
        <v/>
      </c>
      <c r="E1846" s="20">
        <f>Q1846</f>
        <v>43888</v>
      </c>
      <c r="F1846" s="79" t="str">
        <f>IFERROR(__xludf.DUMMYFUNCTION("iferror(ifna(IFNA(filter('2.1.clean'!E:E,'2.1.clean'!A:A=C1846),filter('2.2.clean'!G:G,'2.2.clean'!D:D=C1846)),filter('2.4.clean'!E:E,'2.4.clean'!A:A=C1846)),)"),"")</f>
        <v/>
      </c>
      <c r="G1846" s="20" t="str">
        <f>IFERROR(__xludf.DUMMYFUNCTION("iferror(filter('3.1.clean'!C:C,'3.1.clean'!A:A=C1846),"""")"),"")</f>
        <v/>
      </c>
      <c r="H1846" s="22"/>
      <c r="I1846" s="22"/>
      <c r="J1846" s="79"/>
      <c r="K1846" s="20" t="str">
        <f>IFERROR(__xludf.DUMMYFUNCTION("iferror(filter('3.2.clean'!C:C,'3.2.clean'!A:A=C1846),"""")"),"")</f>
        <v/>
      </c>
      <c r="L1846" s="79"/>
      <c r="M1846" s="20" t="str">
        <f>IFERROR(__xludf.DUMMYFUNCTION("iferror(filter('3.3.clean'!C:C,'3.3.clean'!A:A=C1846),"""")"),"")</f>
        <v/>
      </c>
      <c r="N1846" s="79" t="b">
        <f t="shared" ref="N1846:N1852" si="1475">if(M1846="",FALSE,TRUE)</f>
        <v>0</v>
      </c>
      <c r="O1846" s="20" t="str">
        <f>IFERROR(__xludf.DUMMYFUNCTION("iferror(filter('3.4.clean'!C:C,'3.4.clean'!A:A=C1846),"""")"),"")</f>
        <v/>
      </c>
      <c r="P1846" s="79" t="b">
        <f t="shared" ref="P1846:P1852" si="1476">if(O1846="",FALSE,TRUE)</f>
        <v>0</v>
      </c>
      <c r="Q1846" s="20">
        <f>IFERROR(__xludf.DUMMYFUNCTION("iferror(filter('3.5.clean'!C:C,'3.5.clean'!A:A=C1846),"""")"),43888.0)</f>
        <v>43888</v>
      </c>
      <c r="R1846" s="22" t="b">
        <f t="shared" ref="R1846:R1847" si="1477">if(Q1846="",FALSE,TRUE)</f>
        <v>1</v>
      </c>
      <c r="S1846" s="4">
        <f>IFERROR(__xludf.DUMMYFUNCTION("iferror(filter('3.5.clean'!H:H,'3.5.clean'!A:A=C1846),"""")"),0.0)</f>
        <v>0</v>
      </c>
      <c r="V1846" s="1" t="s">
        <v>64</v>
      </c>
      <c r="W1846" s="23" t="b">
        <f t="shared" ref="W1846:W1847" si="1478">IF(and(R1846=TRUE,N1846=TRUE,P1846=TRUE),TRUE,FALSE)</f>
        <v>0</v>
      </c>
      <c r="X1846" s="23" t="str">
        <f>IFERROR(__xludf.DUMMYFUNCTION("if(COUNTA(FILTER(C:C, C:C = C1846))=1,""no"",""yes"")"),"no")</f>
        <v>no</v>
      </c>
    </row>
    <row r="1847">
      <c r="A1847" s="75" t="s">
        <v>1095</v>
      </c>
      <c r="B1847" s="2">
        <v>1.0</v>
      </c>
      <c r="C1847" s="19" t="s">
        <v>5350</v>
      </c>
      <c r="E1847" s="24">
        <f>IFERROR(__xludf.DUMMYFUNCTION("ifna(IFNA(filter('2.1.clean'!C:C,'2.1.clean'!A:A=C1847),filter('2.2.clean'!E:E,'2.2.clean'!D:D=C1847)),filter('2.4.clean'!C:C,'2.4.clean'!A:A=C1847))"),43892.0)</f>
        <v>43892</v>
      </c>
      <c r="F1847" s="25">
        <f>IFERROR(__xludf.DUMMYFUNCTION("iferror(ifna(IFNA(filter('2.1.clean'!E:E,'2.1.clean'!A:A=C1847),filter('2.2.clean'!G:G,'2.2.clean'!D:D=C1847)),filter('2.4.clean'!E:E,'2.4.clean'!A:A=C1847)),)"),2.39999999999999)</f>
        <v>2.4</v>
      </c>
      <c r="G1847" s="24">
        <f>IFERROR(__xludf.DUMMYFUNCTION("iferror(filter('3.1.clean'!C:C,'3.1.clean'!A:A=C1847),"""")"),43892.0)</f>
        <v>43892</v>
      </c>
      <c r="H1847" s="23" t="b">
        <f t="shared" ref="H1847:H1853" si="1479">if(G1847="",FALSE,TRUE)</f>
        <v>1</v>
      </c>
      <c r="J1847" s="25"/>
      <c r="K1847" s="24">
        <f>IFERROR(__xludf.DUMMYFUNCTION("iferror(filter('3.2.clean'!C:C,'3.2.clean'!A:A=C1847),"""")"),43892.0)</f>
        <v>43892</v>
      </c>
      <c r="L1847" s="25" t="b">
        <f>if(K1847="",FALSE,TRUE)</f>
        <v>1</v>
      </c>
      <c r="M1847" s="24" t="str">
        <f>IFERROR(__xludf.DUMMYFUNCTION("iferror(filter('3.3.clean'!C:C,'3.3.clean'!A:A=C1847),"""")"),"")</f>
        <v/>
      </c>
      <c r="N1847" s="25" t="b">
        <f t="shared" si="1475"/>
        <v>0</v>
      </c>
      <c r="O1847" s="24" t="str">
        <f>IFERROR(__xludf.DUMMYFUNCTION("iferror(filter('3.4.clean'!C:C,'3.4.clean'!A:A=C1847),"""")"),"")</f>
        <v/>
      </c>
      <c r="P1847" s="25" t="b">
        <f t="shared" si="1476"/>
        <v>0</v>
      </c>
      <c r="Q1847" s="24" t="str">
        <f>IFERROR(__xludf.DUMMYFUNCTION("iferror(filter('3.5.clean'!C:C,'3.5.clean'!A:A=C1847),"""")"),"")</f>
        <v/>
      </c>
      <c r="R1847" s="23" t="b">
        <f t="shared" si="1477"/>
        <v>0</v>
      </c>
      <c r="S1847" s="25"/>
      <c r="V1847" s="1" t="s">
        <v>64</v>
      </c>
      <c r="W1847" s="23" t="b">
        <f t="shared" si="1478"/>
        <v>0</v>
      </c>
      <c r="X1847" s="23" t="str">
        <f>IFERROR(__xludf.DUMMYFUNCTION("if(COUNTA(FILTER(C:C, C:C = C1847))=1,""no"",""yes"")"),"no")</f>
        <v>no</v>
      </c>
    </row>
    <row r="1848">
      <c r="A1848" s="75" t="s">
        <v>1095</v>
      </c>
      <c r="B1848" s="2">
        <v>2.0</v>
      </c>
      <c r="C1848" s="19" t="s">
        <v>5363</v>
      </c>
      <c r="E1848" s="59">
        <f>IFERROR(__xludf.DUMMYFUNCTION("ifna(IFNA(filter('2.1.clean'!C:C,'2.1.clean'!A:A=C1848),filter('2.2.clean'!E:E,'2.2.clean'!D:D=C1848)),filter('2.4.clean'!C:C,'2.4.clean'!A:A=C1848))"),43892.0)</f>
        <v>43892</v>
      </c>
      <c r="F1848" s="60">
        <f>IFERROR(__xludf.DUMMYFUNCTION("iferror(ifna(IFNA(filter('2.1.clean'!E:E,'2.1.clean'!A:A=C1848),filter('2.2.clean'!G:G,'2.2.clean'!D:D=C1848)),filter('2.4.clean'!E:E,'2.4.clean'!A:A=C1848)),)"),2.39999999999999)</f>
        <v>2.4</v>
      </c>
      <c r="G1848" s="59">
        <f>IFERROR(__xludf.DUMMYFUNCTION("iferror(filter('3.1.clean'!C:C,'3.1.clean'!A:A=C1848),"""")"),43892.0)</f>
        <v>43892</v>
      </c>
      <c r="H1848" s="58" t="b">
        <f t="shared" si="1479"/>
        <v>1</v>
      </c>
      <c r="I1848" s="58">
        <f>IFERROR(__xludf.DUMMYFUNCTION("iferror(filter('3.1.clean'!G:G,'3.1.clean'!A:A=C1848),"""")"),0.0)</f>
        <v>0</v>
      </c>
      <c r="J1848" s="60" t="str">
        <f>IFERROR(__xludf.DUMMYFUNCTION("iferror(filter('3.1.clean'!I:I,'3.1.clean'!A:A=C1848),"""")"),"")</f>
        <v/>
      </c>
      <c r="K1848" s="58"/>
      <c r="L1848" s="60"/>
      <c r="M1848" s="59" t="str">
        <f>IFERROR(__xludf.DUMMYFUNCTION("iferror(filter('3.3.clean'!C:C,'3.3.clean'!A:A=C1848),"""")"),"")</f>
        <v/>
      </c>
      <c r="N1848" s="60" t="b">
        <f t="shared" si="1475"/>
        <v>0</v>
      </c>
      <c r="O1848" s="59" t="str">
        <f>IFERROR(__xludf.DUMMYFUNCTION("iferror(filter('3.4.clean'!C:C,'3.4.clean'!A:A=C1848),"""")"),"")</f>
        <v/>
      </c>
      <c r="P1848" s="60" t="b">
        <f t="shared" si="1476"/>
        <v>0</v>
      </c>
      <c r="Q1848" s="59" t="str">
        <f>IFERROR(__xludf.DUMMYFUNCTION("iferror(filter('3.5.clean'!C:C,'3.5.clean'!A:A=C1848),"""")"),"")</f>
        <v/>
      </c>
      <c r="R1848" s="58"/>
      <c r="S1848" s="4" t="str">
        <f>IFERROR(__xludf.DUMMYFUNCTION("iferror(filter('3.5.clean'!H:H,'3.5.clean'!A:A=C1848),"""")"),"")</f>
        <v/>
      </c>
      <c r="V1848" s="1" t="s">
        <v>64</v>
      </c>
      <c r="W1848" s="23" t="b">
        <f>if(AND(H1848=TRUE,N1848=TRUE,P1848=TRUE),TRUE,FALSE)</f>
        <v>0</v>
      </c>
      <c r="X1848" s="23" t="str">
        <f>IFERROR(__xludf.DUMMYFUNCTION("if(COUNTA(FILTER(C:C, C:C = C1848))=1,""no"",""yes"")"),"no")</f>
        <v>no</v>
      </c>
    </row>
    <row r="1849">
      <c r="A1849" s="75" t="s">
        <v>1095</v>
      </c>
      <c r="B1849" s="2">
        <v>3.0</v>
      </c>
      <c r="C1849" s="19" t="s">
        <v>5378</v>
      </c>
      <c r="E1849" s="24">
        <f>IFERROR(__xludf.DUMMYFUNCTION("ifna(IFNA(filter('2.1.clean'!C:C,'2.1.clean'!A:A=C1849),filter('2.2.clean'!E:E,'2.2.clean'!D:D=C1849)),filter('2.4.clean'!C:C,'2.4.clean'!A:A=C1849))"),43892.0)</f>
        <v>43892</v>
      </c>
      <c r="F1849" s="25">
        <f>IFERROR(__xludf.DUMMYFUNCTION("iferror(ifna(IFNA(filter('2.1.clean'!E:E,'2.1.clean'!A:A=C1849),filter('2.2.clean'!G:G,'2.2.clean'!D:D=C1849)),filter('2.4.clean'!E:E,'2.4.clean'!A:A=C1849)),)"),2.39999999999999)</f>
        <v>2.4</v>
      </c>
      <c r="G1849" s="24">
        <f>IFERROR(__xludf.DUMMYFUNCTION("iferror(filter('3.1.clean'!C:C,'3.1.clean'!A:A=C1849),"""")"),43892.0)</f>
        <v>43892</v>
      </c>
      <c r="H1849" s="23" t="b">
        <f t="shared" si="1479"/>
        <v>1</v>
      </c>
      <c r="J1849" s="25"/>
      <c r="K1849" s="24">
        <f>IFERROR(__xludf.DUMMYFUNCTION("iferror(filter('3.2.clean'!C:C,'3.2.clean'!A:A=C1849),"""")"),43892.0)</f>
        <v>43892</v>
      </c>
      <c r="L1849" s="25" t="b">
        <f>if(K1849="",FALSE,TRUE)</f>
        <v>1</v>
      </c>
      <c r="M1849" s="24" t="str">
        <f>IFERROR(__xludf.DUMMYFUNCTION("iferror(filter('3.3.clean'!C:C,'3.3.clean'!A:A=C1849),"""")"),"")</f>
        <v/>
      </c>
      <c r="N1849" s="25" t="b">
        <f t="shared" si="1475"/>
        <v>0</v>
      </c>
      <c r="O1849" s="24" t="str">
        <f>IFERROR(__xludf.DUMMYFUNCTION("iferror(filter('3.4.clean'!C:C,'3.4.clean'!A:A=C1849),"""")"),"")</f>
        <v/>
      </c>
      <c r="P1849" s="25" t="b">
        <f t="shared" si="1476"/>
        <v>0</v>
      </c>
      <c r="Q1849" s="24" t="str">
        <f>IFERROR(__xludf.DUMMYFUNCTION("iferror(filter('3.5.clean'!C:C,'3.5.clean'!A:A=C1849),"""")"),"")</f>
        <v/>
      </c>
      <c r="R1849" s="23" t="b">
        <f>if(Q1849="",FALSE,TRUE)</f>
        <v>0</v>
      </c>
      <c r="S1849" s="25"/>
      <c r="V1849" s="1" t="s">
        <v>64</v>
      </c>
      <c r="W1849" s="23" t="b">
        <f>IF(and(R1849=TRUE,N1849=TRUE,P1849=TRUE),TRUE,FALSE)</f>
        <v>0</v>
      </c>
      <c r="X1849" s="23" t="str">
        <f>IFERROR(__xludf.DUMMYFUNCTION("if(COUNTA(FILTER(C:C, C:C = C1849))=1,""no"",""yes"")"),"no")</f>
        <v>no</v>
      </c>
    </row>
    <row r="1850">
      <c r="A1850" s="75" t="s">
        <v>1095</v>
      </c>
      <c r="B1850" s="2">
        <v>4.0</v>
      </c>
      <c r="C1850" s="19" t="s">
        <v>5393</v>
      </c>
      <c r="E1850" s="59">
        <f>IFERROR(__xludf.DUMMYFUNCTION("ifna(IFNA(filter('2.1.clean'!C:C,'2.1.clean'!A:A=C1850),filter('2.2.clean'!E:E,'2.2.clean'!D:D=C1850)),filter('2.4.clean'!C:C,'2.4.clean'!A:A=C1850))"),43892.0)</f>
        <v>43892</v>
      </c>
      <c r="F1850" s="60">
        <f>IFERROR(__xludf.DUMMYFUNCTION("iferror(ifna(IFNA(filter('2.1.clean'!E:E,'2.1.clean'!A:A=C1850),filter('2.2.clean'!G:G,'2.2.clean'!D:D=C1850)),filter('2.4.clean'!E:E,'2.4.clean'!A:A=C1850)),)"),2.39999999999999)</f>
        <v>2.4</v>
      </c>
      <c r="G1850" s="59">
        <f>IFERROR(__xludf.DUMMYFUNCTION("iferror(filter('3.1.clean'!C:C,'3.1.clean'!A:A=C1850),"""")"),43892.0)</f>
        <v>43892</v>
      </c>
      <c r="H1850" s="58" t="b">
        <f t="shared" si="1479"/>
        <v>1</v>
      </c>
      <c r="I1850" s="58">
        <f>IFERROR(__xludf.DUMMYFUNCTION("iferror(filter('3.1.clean'!G:G,'3.1.clean'!A:A=C1850),"""")"),0.0)</f>
        <v>0</v>
      </c>
      <c r="J1850" s="60" t="str">
        <f>IFERROR(__xludf.DUMMYFUNCTION("iferror(filter('3.1.clean'!I:I,'3.1.clean'!A:A=C1850),"""")"),"")</f>
        <v/>
      </c>
      <c r="K1850" s="58"/>
      <c r="L1850" s="60"/>
      <c r="M1850" s="59" t="str">
        <f>IFERROR(__xludf.DUMMYFUNCTION("iferror(filter('3.3.clean'!C:C,'3.3.clean'!A:A=C1850),"""")"),"")</f>
        <v/>
      </c>
      <c r="N1850" s="60" t="b">
        <f t="shared" si="1475"/>
        <v>0</v>
      </c>
      <c r="O1850" s="59" t="str">
        <f>IFERROR(__xludf.DUMMYFUNCTION("iferror(filter('3.4.clean'!C:C,'3.4.clean'!A:A=C1850),"""")"),"")</f>
        <v/>
      </c>
      <c r="P1850" s="60" t="b">
        <f t="shared" si="1476"/>
        <v>0</v>
      </c>
      <c r="Q1850" s="59" t="str">
        <f>IFERROR(__xludf.DUMMYFUNCTION("iferror(filter('3.5.clean'!C:C,'3.5.clean'!A:A=C1850),"""")"),"")</f>
        <v/>
      </c>
      <c r="R1850" s="58"/>
      <c r="S1850" s="4" t="str">
        <f>IFERROR(__xludf.DUMMYFUNCTION("iferror(filter('3.5.clean'!H:H,'3.5.clean'!A:A=C1850),"""")"),"")</f>
        <v/>
      </c>
      <c r="V1850" s="1" t="s">
        <v>64</v>
      </c>
      <c r="W1850" s="23" t="b">
        <f>if(AND(H1850=TRUE,N1850=TRUE,P1850=TRUE),TRUE,FALSE)</f>
        <v>0</v>
      </c>
      <c r="X1850" s="23" t="str">
        <f>IFERROR(__xludf.DUMMYFUNCTION("if(COUNTA(FILTER(C:C, C:C = C1850))=1,""no"",""yes"")"),"no")</f>
        <v>no</v>
      </c>
    </row>
    <row r="1851">
      <c r="A1851" s="75" t="s">
        <v>1095</v>
      </c>
      <c r="B1851" s="2">
        <v>5.0</v>
      </c>
      <c r="C1851" s="19" t="s">
        <v>5406</v>
      </c>
      <c r="E1851" s="24">
        <f>IFERROR(__xludf.DUMMYFUNCTION("ifna(IFNA(filter('2.1.clean'!C:C,'2.1.clean'!A:A=C1851),filter('2.2.clean'!E:E,'2.2.clean'!D:D=C1851)),filter('2.4.clean'!C:C,'2.4.clean'!A:A=C1851))"),43892.0)</f>
        <v>43892</v>
      </c>
      <c r="F1851" s="25">
        <f>IFERROR(__xludf.DUMMYFUNCTION("iferror(ifna(IFNA(filter('2.1.clean'!E:E,'2.1.clean'!A:A=C1851),filter('2.2.clean'!G:G,'2.2.clean'!D:D=C1851)),filter('2.4.clean'!E:E,'2.4.clean'!A:A=C1851)),)"),2.39999999999999)</f>
        <v>2.4</v>
      </c>
      <c r="G1851" s="24">
        <f>IFERROR(__xludf.DUMMYFUNCTION("iferror(filter('3.1.clean'!C:C,'3.1.clean'!A:A=C1851),"""")"),43892.0)</f>
        <v>43892</v>
      </c>
      <c r="H1851" s="23" t="b">
        <f t="shared" si="1479"/>
        <v>1</v>
      </c>
      <c r="J1851" s="25"/>
      <c r="K1851" s="24">
        <f>IFERROR(__xludf.DUMMYFUNCTION("iferror(filter('3.2.clean'!C:C,'3.2.clean'!A:A=C1851),"""")"),43892.0)</f>
        <v>43892</v>
      </c>
      <c r="L1851" s="25" t="b">
        <f>if(K1851="",FALSE,TRUE)</f>
        <v>1</v>
      </c>
      <c r="M1851" s="24" t="str">
        <f>IFERROR(__xludf.DUMMYFUNCTION("iferror(filter('3.3.clean'!C:C,'3.3.clean'!A:A=C1851),"""")"),"")</f>
        <v/>
      </c>
      <c r="N1851" s="25" t="b">
        <f t="shared" si="1475"/>
        <v>0</v>
      </c>
      <c r="O1851" s="24" t="str">
        <f>IFERROR(__xludf.DUMMYFUNCTION("iferror(filter('3.4.clean'!C:C,'3.4.clean'!A:A=C1851),"""")"),"")</f>
        <v/>
      </c>
      <c r="P1851" s="25" t="b">
        <f t="shared" si="1476"/>
        <v>0</v>
      </c>
      <c r="Q1851" s="24" t="str">
        <f>IFERROR(__xludf.DUMMYFUNCTION("iferror(filter('3.5.clean'!C:C,'3.5.clean'!A:A=C1851),"""")"),"")</f>
        <v/>
      </c>
      <c r="R1851" s="23" t="b">
        <f>if(Q1851="",FALSE,TRUE)</f>
        <v>0</v>
      </c>
      <c r="S1851" s="25"/>
      <c r="V1851" s="1" t="s">
        <v>64</v>
      </c>
      <c r="W1851" s="23" t="b">
        <f>IF(and(R1851=TRUE,N1851=TRUE,P1851=TRUE),TRUE,FALSE)</f>
        <v>0</v>
      </c>
      <c r="X1851" s="23" t="str">
        <f>IFERROR(__xludf.DUMMYFUNCTION("if(COUNTA(FILTER(C:C, C:C = C1851))=1,""no"",""yes"")"),"no")</f>
        <v>no</v>
      </c>
    </row>
    <row r="1852">
      <c r="A1852" s="75" t="s">
        <v>1095</v>
      </c>
      <c r="B1852" s="2">
        <v>6.0</v>
      </c>
      <c r="C1852" s="19" t="s">
        <v>5417</v>
      </c>
      <c r="E1852" s="59">
        <f>IFERROR(__xludf.DUMMYFUNCTION("ifna(IFNA(filter('2.1.clean'!C:C,'2.1.clean'!A:A=C1852),filter('2.2.clean'!E:E,'2.2.clean'!D:D=C1852)),filter('2.4.clean'!C:C,'2.4.clean'!A:A=C1852))"),43892.0)</f>
        <v>43892</v>
      </c>
      <c r="F1852" s="60">
        <f>IFERROR(__xludf.DUMMYFUNCTION("iferror(ifna(IFNA(filter('2.1.clean'!E:E,'2.1.clean'!A:A=C1852),filter('2.2.clean'!G:G,'2.2.clean'!D:D=C1852)),filter('2.4.clean'!E:E,'2.4.clean'!A:A=C1852)),)"),2.39999999999999)</f>
        <v>2.4</v>
      </c>
      <c r="G1852" s="59">
        <f>IFERROR(__xludf.DUMMYFUNCTION("iferror(filter('3.1.clean'!C:C,'3.1.clean'!A:A=C1852),"""")"),43892.0)</f>
        <v>43892</v>
      </c>
      <c r="H1852" s="58" t="b">
        <f t="shared" si="1479"/>
        <v>1</v>
      </c>
      <c r="I1852" s="58">
        <f>IFERROR(__xludf.DUMMYFUNCTION("iferror(filter('3.1.clean'!G:G,'3.1.clean'!A:A=C1852),"""")"),0.0)</f>
        <v>0</v>
      </c>
      <c r="J1852" s="60" t="str">
        <f>IFERROR(__xludf.DUMMYFUNCTION("iferror(filter('3.1.clean'!I:I,'3.1.clean'!A:A=C1852),"""")"),"")</f>
        <v/>
      </c>
      <c r="K1852" s="58"/>
      <c r="L1852" s="60"/>
      <c r="M1852" s="59" t="str">
        <f>IFERROR(__xludf.DUMMYFUNCTION("iferror(filter('3.3.clean'!C:C,'3.3.clean'!A:A=C1852),"""")"),"")</f>
        <v/>
      </c>
      <c r="N1852" s="60" t="b">
        <f t="shared" si="1475"/>
        <v>0</v>
      </c>
      <c r="O1852" s="59" t="str">
        <f>IFERROR(__xludf.DUMMYFUNCTION("iferror(filter('3.4.clean'!C:C,'3.4.clean'!A:A=C1852),"""")"),"")</f>
        <v/>
      </c>
      <c r="P1852" s="60" t="b">
        <f t="shared" si="1476"/>
        <v>0</v>
      </c>
      <c r="Q1852" s="59" t="str">
        <f>IFERROR(__xludf.DUMMYFUNCTION("iferror(filter('3.5.clean'!C:C,'3.5.clean'!A:A=C1852),"""")"),"")</f>
        <v/>
      </c>
      <c r="R1852" s="58"/>
      <c r="S1852" s="4" t="str">
        <f>IFERROR(__xludf.DUMMYFUNCTION("iferror(filter('3.5.clean'!H:H,'3.5.clean'!A:A=C1852),"""")"),"")</f>
        <v/>
      </c>
      <c r="V1852" s="1" t="s">
        <v>64</v>
      </c>
      <c r="W1852" s="23" t="b">
        <f>if(AND(H1852=TRUE,N1852=TRUE,P1852=TRUE),TRUE,FALSE)</f>
        <v>0</v>
      </c>
      <c r="X1852" s="23" t="str">
        <f>IFERROR(__xludf.DUMMYFUNCTION("if(COUNTA(FILTER(C:C, C:C = C1852))=1,""no"",""yes"")"),"no")</f>
        <v>no</v>
      </c>
    </row>
    <row r="1853">
      <c r="A1853" s="75" t="s">
        <v>1095</v>
      </c>
      <c r="B1853" s="2">
        <v>7.0</v>
      </c>
      <c r="C1853" s="19" t="s">
        <v>5430</v>
      </c>
      <c r="E1853" s="77">
        <f>G1853</f>
        <v>43892</v>
      </c>
      <c r="F1853" s="78" t="str">
        <f>IFERROR(__xludf.DUMMYFUNCTION("iferror(ifna(IFNA(filter('2.1.clean'!E:E,'2.1.clean'!A:A=C1853),filter('2.2.clean'!G:G,'2.2.clean'!D:D=C1853)),filter('2.4.clean'!E:E,'2.4.clean'!A:A=C1853)),)"),"")</f>
        <v/>
      </c>
      <c r="G1853" s="77">
        <f>IFERROR(__xludf.DUMMYFUNCTION("iferror(filter('3.1.clean'!C:C,'3.1.clean'!A:A=C1853),"""")"),43892.0)</f>
        <v>43892</v>
      </c>
      <c r="H1853" s="76" t="b">
        <f t="shared" si="1479"/>
        <v>1</v>
      </c>
      <c r="I1853" s="76">
        <f>IFERROR(__xludf.DUMMYFUNCTION("iferror(filter('3.1.clean'!G:G,'3.1.clean'!A:A=C1853),"""")"),0.0)</f>
        <v>0</v>
      </c>
      <c r="J1853" s="78" t="str">
        <f>IFERROR(__xludf.DUMMYFUNCTION("iferror(filter('3.1.clean'!I:I,'3.1.clean'!A:A=C1853),"""")"),"")</f>
        <v/>
      </c>
      <c r="K1853" s="77"/>
      <c r="L1853" s="78"/>
      <c r="M1853" s="77"/>
      <c r="N1853" s="78"/>
      <c r="O1853" s="77"/>
      <c r="P1853" s="78"/>
      <c r="Q1853" s="77"/>
      <c r="R1853" s="76"/>
      <c r="S1853" s="25"/>
      <c r="T1853" s="1"/>
      <c r="V1853" s="1" t="s">
        <v>64</v>
      </c>
      <c r="W1853" s="1" t="b">
        <v>1</v>
      </c>
      <c r="X1853" s="23" t="str">
        <f>IFERROR(__xludf.DUMMYFUNCTION("if(COUNTA(FILTER(C:C, C:C = C1853))=1,""no"",""yes"")"),"no")</f>
        <v>no</v>
      </c>
    </row>
    <row r="1854">
      <c r="A1854" s="1" t="s">
        <v>1098</v>
      </c>
      <c r="B1854" s="2">
        <v>1.0</v>
      </c>
      <c r="C1854" s="19" t="s">
        <v>5438</v>
      </c>
      <c r="E1854" s="24">
        <f>IFERROR(__xludf.DUMMYFUNCTION("ifna(IFNA(filter('2.1.clean'!C:C,'2.1.clean'!A:A=C1854),filter('2.2.clean'!E:E,'2.2.clean'!D:D=C1854)),filter('2.4.clean'!C:C,'2.4.clean'!A:A=C1854))"),43893.0)</f>
        <v>43893</v>
      </c>
      <c r="F1854" s="25">
        <f>IFERROR(__xludf.DUMMYFUNCTION("iferror(ifna(IFNA(filter('2.1.clean'!E:E,'2.1.clean'!A:A=C1854),filter('2.2.clean'!G:G,'2.2.clean'!D:D=C1854)),filter('2.4.clean'!E:E,'2.4.clean'!A:A=C1854)),)"),2.39999999999999)</f>
        <v>2.4</v>
      </c>
      <c r="G1854" s="24"/>
      <c r="J1854" s="25"/>
      <c r="K1854" s="24"/>
      <c r="L1854" s="25"/>
      <c r="M1854" s="24" t="str">
        <f>IFERROR(__xludf.DUMMYFUNCTION("iferror(filter('3.3.clean'!C:C,'3.3.clean'!A:A=C1854),"""")"),"")</f>
        <v/>
      </c>
      <c r="N1854" s="25" t="b">
        <f t="shared" ref="N1854:N1866" si="1480">if(M1854="",FALSE,TRUE)</f>
        <v>0</v>
      </c>
      <c r="O1854" s="24" t="str">
        <f>IFERROR(__xludf.DUMMYFUNCTION("iferror(filter('3.4.clean'!C:C,'3.4.clean'!A:A=C1854),"""")"),"")</f>
        <v/>
      </c>
      <c r="P1854" s="25" t="b">
        <f t="shared" ref="P1854:P1866" si="1481">if(O1854="",FALSE,TRUE)</f>
        <v>0</v>
      </c>
      <c r="Q1854" s="24" t="str">
        <f>IFERROR(__xludf.DUMMYFUNCTION("iferror(filter('3.5.clean'!C:C,'3.5.clean'!A:A=C1854),"""")"),"")</f>
        <v/>
      </c>
      <c r="R1854" s="23" t="b">
        <f>if(Q1854="",FALSE,TRUE)</f>
        <v>0</v>
      </c>
      <c r="S1854" s="25">
        <v>0.0</v>
      </c>
      <c r="V1854" s="52" t="s">
        <v>64</v>
      </c>
      <c r="W1854" s="23" t="b">
        <f>IF(and(R1854=TRUE,N1854=TRUE,P1854=TRUE),TRUE,FALSE)</f>
        <v>0</v>
      </c>
      <c r="X1854" s="23" t="str">
        <f>IFERROR(__xludf.DUMMYFUNCTION("if(COUNTA(FILTER(C:C, C:C = C1854))=1,""no"",""yes"")"),"no")</f>
        <v>no</v>
      </c>
    </row>
    <row r="1855">
      <c r="A1855" s="1" t="s">
        <v>1098</v>
      </c>
      <c r="B1855" s="2">
        <v>2.0</v>
      </c>
      <c r="C1855" s="19" t="s">
        <v>3435</v>
      </c>
      <c r="E1855" s="59">
        <f>IFERROR(__xludf.DUMMYFUNCTION("ifna(IFNA(filter('2.1.clean'!C:C,'2.1.clean'!A:A=C1855),filter('2.2.clean'!E:E,'2.2.clean'!D:D=C1855)),filter('2.4.clean'!C:C,'2.4.clean'!A:A=C1855))"),43893.0)</f>
        <v>43893</v>
      </c>
      <c r="F1855" s="60">
        <f>IFERROR(__xludf.DUMMYFUNCTION("iferror(ifna(IFNA(filter('2.1.clean'!E:E,'2.1.clean'!A:A=C1855),filter('2.2.clean'!G:G,'2.2.clean'!D:D=C1855)),filter('2.4.clean'!E:E,'2.4.clean'!A:A=C1855)),)"),2.1)</f>
        <v>2.1</v>
      </c>
      <c r="G1855" s="59">
        <f>IFERROR(__xludf.DUMMYFUNCTION("iferror(filter('3.1.clean'!C:C,'3.1.clean'!A:A=C1855),"""")"),43893.0)</f>
        <v>43893</v>
      </c>
      <c r="H1855" s="58" t="b">
        <f>if(G1855="",FALSE,TRUE)</f>
        <v>1</v>
      </c>
      <c r="I1855" s="58">
        <f>IFERROR(__xludf.DUMMYFUNCTION("iferror(filter('3.1.clean'!G:G,'3.1.clean'!A:A=C1855),"""")"),0.0)</f>
        <v>0</v>
      </c>
      <c r="J1855" s="60" t="str">
        <f>IFERROR(__xludf.DUMMYFUNCTION("iferror(filter('3.1.clean'!I:I,'3.1.clean'!A:A=C1855),"""")"),"")</f>
        <v/>
      </c>
      <c r="K1855" s="58"/>
      <c r="L1855" s="60"/>
      <c r="M1855" s="59" t="str">
        <f>IFERROR(__xludf.DUMMYFUNCTION("iferror(filter('3.3.clean'!C:C,'3.3.clean'!A:A=C1855),"""")"),"")</f>
        <v/>
      </c>
      <c r="N1855" s="60" t="b">
        <f t="shared" si="1480"/>
        <v>0</v>
      </c>
      <c r="O1855" s="59" t="str">
        <f>IFERROR(__xludf.DUMMYFUNCTION("iferror(filter('3.4.clean'!C:C,'3.4.clean'!A:A=C1855),"""")"),"")</f>
        <v/>
      </c>
      <c r="P1855" s="60" t="b">
        <f t="shared" si="1481"/>
        <v>0</v>
      </c>
      <c r="Q1855" s="59" t="str">
        <f>IFERROR(__xludf.DUMMYFUNCTION("iferror(filter('3.5.clean'!C:C,'3.5.clean'!A:A=C1855),"""")"),"")</f>
        <v/>
      </c>
      <c r="R1855" s="58"/>
      <c r="S1855" s="4" t="str">
        <f>IFERROR(__xludf.DUMMYFUNCTION("iferror(filter('3.5.clean'!H:H,'3.5.clean'!A:A=C1855),"""")"),"")</f>
        <v/>
      </c>
      <c r="V1855" s="1" t="s">
        <v>64</v>
      </c>
      <c r="W1855" s="23" t="b">
        <f>if(AND(H1855=TRUE,N1855=TRUE,P1855=TRUE),TRUE,FALSE)</f>
        <v>0</v>
      </c>
      <c r="X1855" s="23" t="str">
        <f>IFERROR(__xludf.DUMMYFUNCTION("if(COUNTA(FILTER(C:C, C:C = C1855))=1,""no"",""yes"")"),"no")</f>
        <v>no</v>
      </c>
    </row>
    <row r="1856">
      <c r="A1856" s="1" t="s">
        <v>1098</v>
      </c>
      <c r="B1856" s="2">
        <v>3.0</v>
      </c>
      <c r="C1856" s="19" t="s">
        <v>5464</v>
      </c>
      <c r="E1856" s="24">
        <f>IFERROR(__xludf.DUMMYFUNCTION("ifna(IFNA(filter('2.1.clean'!C:C,'2.1.clean'!A:A=C1856),filter('2.2.clean'!E:E,'2.2.clean'!D:D=C1856)),filter('2.4.clean'!C:C,'2.4.clean'!A:A=C1856))"),43893.0)</f>
        <v>43893</v>
      </c>
      <c r="F1856" s="25">
        <f>IFERROR(__xludf.DUMMYFUNCTION("iferror(ifna(IFNA(filter('2.1.clean'!E:E,'2.1.clean'!A:A=C1856),filter('2.2.clean'!G:G,'2.2.clean'!D:D=C1856)),filter('2.4.clean'!E:E,'2.4.clean'!A:A=C1856)),)"),2.39999999999999)</f>
        <v>2.4</v>
      </c>
      <c r="G1856" s="24"/>
      <c r="J1856" s="25"/>
      <c r="K1856" s="24"/>
      <c r="L1856" s="25"/>
      <c r="M1856" s="24" t="str">
        <f>IFERROR(__xludf.DUMMYFUNCTION("iferror(filter('3.3.clean'!C:C,'3.3.clean'!A:A=C1856),"""")"),"")</f>
        <v/>
      </c>
      <c r="N1856" s="25" t="b">
        <f t="shared" si="1480"/>
        <v>0</v>
      </c>
      <c r="O1856" s="24" t="str">
        <f>IFERROR(__xludf.DUMMYFUNCTION("iferror(filter('3.4.clean'!C:C,'3.4.clean'!A:A=C1856),"""")"),"")</f>
        <v/>
      </c>
      <c r="P1856" s="25" t="b">
        <f t="shared" si="1481"/>
        <v>0</v>
      </c>
      <c r="Q1856" s="24" t="str">
        <f>IFERROR(__xludf.DUMMYFUNCTION("iferror(filter('3.5.clean'!C:C,'3.5.clean'!A:A=C1856),"""")"),"")</f>
        <v/>
      </c>
      <c r="R1856" s="23" t="b">
        <f>if(Q1856="",FALSE,TRUE)</f>
        <v>0</v>
      </c>
      <c r="S1856" s="25">
        <v>0.0</v>
      </c>
      <c r="V1856" s="52" t="s">
        <v>64</v>
      </c>
      <c r="W1856" s="23" t="b">
        <f>IF(and(R1856=TRUE,N1856=TRUE,P1856=TRUE),TRUE,FALSE)</f>
        <v>0</v>
      </c>
      <c r="X1856" s="23" t="str">
        <f>IFERROR(__xludf.DUMMYFUNCTION("if(COUNTA(FILTER(C:C, C:C = C1856))=1,""no"",""yes"")"),"no")</f>
        <v>no</v>
      </c>
    </row>
    <row r="1857">
      <c r="A1857" s="1" t="s">
        <v>1098</v>
      </c>
      <c r="B1857" s="2">
        <v>4.0</v>
      </c>
      <c r="C1857" s="19" t="s">
        <v>3451</v>
      </c>
      <c r="E1857" s="59">
        <f>IFERROR(__xludf.DUMMYFUNCTION("ifna(IFNA(filter('2.1.clean'!C:C,'2.1.clean'!A:A=C1857),filter('2.2.clean'!E:E,'2.2.clean'!D:D=C1857)),filter('2.4.clean'!C:C,'2.4.clean'!A:A=C1857))"),43893.0)</f>
        <v>43893</v>
      </c>
      <c r="F1857" s="60">
        <f>IFERROR(__xludf.DUMMYFUNCTION("iferror(ifna(IFNA(filter('2.1.clean'!E:E,'2.1.clean'!A:A=C1857),filter('2.2.clean'!G:G,'2.2.clean'!D:D=C1857)),filter('2.4.clean'!E:E,'2.4.clean'!A:A=C1857)),)"),2.1)</f>
        <v>2.1</v>
      </c>
      <c r="G1857" s="59">
        <f>IFERROR(__xludf.DUMMYFUNCTION("iferror(filter('3.1.clean'!C:C,'3.1.clean'!A:A=C1857),"""")"),43893.0)</f>
        <v>43893</v>
      </c>
      <c r="H1857" s="58" t="b">
        <f>if(G1857="",FALSE,TRUE)</f>
        <v>1</v>
      </c>
      <c r="I1857" s="58">
        <f>IFERROR(__xludf.DUMMYFUNCTION("iferror(filter('3.1.clean'!G:G,'3.1.clean'!A:A=C1857),"""")"),0.0)</f>
        <v>0</v>
      </c>
      <c r="J1857" s="60" t="str">
        <f>IFERROR(__xludf.DUMMYFUNCTION("iferror(filter('3.1.clean'!I:I,'3.1.clean'!A:A=C1857),"""")"),"")</f>
        <v/>
      </c>
      <c r="K1857" s="58"/>
      <c r="L1857" s="60"/>
      <c r="M1857" s="59" t="str">
        <f>IFERROR(__xludf.DUMMYFUNCTION("iferror(filter('3.3.clean'!C:C,'3.3.clean'!A:A=C1857),"""")"),"")</f>
        <v/>
      </c>
      <c r="N1857" s="60" t="b">
        <f t="shared" si="1480"/>
        <v>0</v>
      </c>
      <c r="O1857" s="59" t="str">
        <f>IFERROR(__xludf.DUMMYFUNCTION("iferror(filter('3.4.clean'!C:C,'3.4.clean'!A:A=C1857),"""")"),"")</f>
        <v/>
      </c>
      <c r="P1857" s="60" t="b">
        <f t="shared" si="1481"/>
        <v>0</v>
      </c>
      <c r="Q1857" s="59" t="str">
        <f>IFERROR(__xludf.DUMMYFUNCTION("iferror(filter('3.5.clean'!C:C,'3.5.clean'!A:A=C1857),"""")"),"")</f>
        <v/>
      </c>
      <c r="R1857" s="58"/>
      <c r="S1857" s="4" t="str">
        <f>IFERROR(__xludf.DUMMYFUNCTION("iferror(filter('3.5.clean'!H:H,'3.5.clean'!A:A=C1857),"""")"),"")</f>
        <v/>
      </c>
      <c r="V1857" s="1" t="s">
        <v>64</v>
      </c>
      <c r="W1857" s="23" t="b">
        <f>if(AND(H1857=TRUE,N1857=TRUE,P1857=TRUE),TRUE,FALSE)</f>
        <v>0</v>
      </c>
      <c r="X1857" s="23" t="str">
        <f>IFERROR(__xludf.DUMMYFUNCTION("if(COUNTA(FILTER(C:C, C:C = C1857))=1,""no"",""yes"")"),"no")</f>
        <v>no</v>
      </c>
    </row>
    <row r="1858">
      <c r="A1858" s="1" t="s">
        <v>1098</v>
      </c>
      <c r="B1858" s="2">
        <v>5.0</v>
      </c>
      <c r="C1858" s="19" t="s">
        <v>5493</v>
      </c>
      <c r="E1858" s="24">
        <f>IFERROR(__xludf.DUMMYFUNCTION("ifna(IFNA(filter('2.1.clean'!C:C,'2.1.clean'!A:A=C1858),filter('2.2.clean'!E:E,'2.2.clean'!D:D=C1858)),filter('2.4.clean'!C:C,'2.4.clean'!A:A=C1858))"),43893.0)</f>
        <v>43893</v>
      </c>
      <c r="F1858" s="25">
        <f>IFERROR(__xludf.DUMMYFUNCTION("iferror(ifna(IFNA(filter('2.1.clean'!E:E,'2.1.clean'!A:A=C1858),filter('2.2.clean'!G:G,'2.2.clean'!D:D=C1858)),filter('2.4.clean'!E:E,'2.4.clean'!A:A=C1858)),)"),2.39999999999999)</f>
        <v>2.4</v>
      </c>
      <c r="G1858" s="24"/>
      <c r="J1858" s="25"/>
      <c r="K1858" s="24"/>
      <c r="L1858" s="25"/>
      <c r="M1858" s="24" t="str">
        <f>IFERROR(__xludf.DUMMYFUNCTION("iferror(filter('3.3.clean'!C:C,'3.3.clean'!A:A=C1858),"""")"),"")</f>
        <v/>
      </c>
      <c r="N1858" s="25" t="b">
        <f t="shared" si="1480"/>
        <v>0</v>
      </c>
      <c r="O1858" s="24" t="str">
        <f>IFERROR(__xludf.DUMMYFUNCTION("iferror(filter('3.4.clean'!C:C,'3.4.clean'!A:A=C1858),"""")"),"")</f>
        <v/>
      </c>
      <c r="P1858" s="25" t="b">
        <f t="shared" si="1481"/>
        <v>0</v>
      </c>
      <c r="Q1858" s="24" t="str">
        <f>IFERROR(__xludf.DUMMYFUNCTION("iferror(filter('3.5.clean'!C:C,'3.5.clean'!A:A=C1858),"""")"),"")</f>
        <v/>
      </c>
      <c r="R1858" s="23" t="b">
        <f>if(Q1858="",FALSE,TRUE)</f>
        <v>0</v>
      </c>
      <c r="S1858" s="25">
        <v>0.0</v>
      </c>
      <c r="V1858" s="52" t="s">
        <v>64</v>
      </c>
      <c r="W1858" s="23" t="b">
        <f>IF(and(R1858=TRUE,N1858=TRUE,P1858=TRUE),TRUE,FALSE)</f>
        <v>0</v>
      </c>
      <c r="X1858" s="23" t="str">
        <f>IFERROR(__xludf.DUMMYFUNCTION("if(COUNTA(FILTER(C:C, C:C = C1858))=1,""no"",""yes"")"),"no")</f>
        <v>no</v>
      </c>
    </row>
    <row r="1859">
      <c r="A1859" s="1" t="s">
        <v>1098</v>
      </c>
      <c r="B1859" s="2">
        <v>6.0</v>
      </c>
      <c r="C1859" s="19" t="s">
        <v>5507</v>
      </c>
      <c r="E1859" s="59">
        <f>IFERROR(__xludf.DUMMYFUNCTION("ifna(IFNA(filter('2.1.clean'!C:C,'2.1.clean'!A:A=C1859),filter('2.2.clean'!E:E,'2.2.clean'!D:D=C1859)),filter('2.4.clean'!C:C,'2.4.clean'!A:A=C1859))"),43893.0)</f>
        <v>43893</v>
      </c>
      <c r="F1859" s="60">
        <f>IFERROR(__xludf.DUMMYFUNCTION("iferror(ifna(IFNA(filter('2.1.clean'!E:E,'2.1.clean'!A:A=C1859),filter('2.2.clean'!G:G,'2.2.clean'!D:D=C1859)),filter('2.4.clean'!E:E,'2.4.clean'!A:A=C1859)),)"),2.39999999999999)</f>
        <v>2.4</v>
      </c>
      <c r="G1859" s="59" t="str">
        <f>IFERROR(__xludf.DUMMYFUNCTION("iferror(filter('3.1.clean'!C:C,'3.1.clean'!A:A=C1859),"""")"),"")</f>
        <v/>
      </c>
      <c r="H1859" s="58" t="b">
        <f>if(G1859="",FALSE,TRUE)</f>
        <v>0</v>
      </c>
      <c r="I1859" s="58" t="str">
        <f>IFERROR(__xludf.DUMMYFUNCTION("iferror(filter('3.1.clean'!G:G,'3.1.clean'!A:A=C1859),"""")"),"")</f>
        <v/>
      </c>
      <c r="J1859" s="60" t="str">
        <f>IFERROR(__xludf.DUMMYFUNCTION("iferror(filter('3.1.clean'!I:I,'3.1.clean'!A:A=C1859),"""")"),"")</f>
        <v/>
      </c>
      <c r="K1859" s="58"/>
      <c r="L1859" s="60"/>
      <c r="M1859" s="59" t="str">
        <f>IFERROR(__xludf.DUMMYFUNCTION("iferror(filter('3.3.clean'!C:C,'3.3.clean'!A:A=C1859),"""")"),"")</f>
        <v/>
      </c>
      <c r="N1859" s="60" t="b">
        <f t="shared" si="1480"/>
        <v>0</v>
      </c>
      <c r="O1859" s="59" t="str">
        <f>IFERROR(__xludf.DUMMYFUNCTION("iferror(filter('3.4.clean'!C:C,'3.4.clean'!A:A=C1859),"""")"),"")</f>
        <v/>
      </c>
      <c r="P1859" s="60" t="b">
        <f t="shared" si="1481"/>
        <v>0</v>
      </c>
      <c r="Q1859" s="59" t="str">
        <f>IFERROR(__xludf.DUMMYFUNCTION("iferror(filter('3.5.clean'!C:C,'3.5.clean'!A:A=C1859),"""")"),"")</f>
        <v/>
      </c>
      <c r="R1859" s="58"/>
      <c r="S1859" s="4" t="str">
        <f>IFERROR(__xludf.DUMMYFUNCTION("iferror(filter('3.5.clean'!H:H,'3.5.clean'!A:A=C1859),"""")"),"")</f>
        <v/>
      </c>
      <c r="V1859" s="1" t="s">
        <v>64</v>
      </c>
      <c r="W1859" s="23" t="b">
        <f>if(AND(H1859=TRUE,N1859=TRUE,P1859=TRUE),TRUE,FALSE)</f>
        <v>0</v>
      </c>
      <c r="X1859" s="23" t="str">
        <f>IFERROR(__xludf.DUMMYFUNCTION("if(COUNTA(FILTER(C:C, C:C = C1859))=1,""no"",""yes"")"),"no")</f>
        <v>no</v>
      </c>
    </row>
    <row r="1860">
      <c r="A1860" s="1" t="s">
        <v>1098</v>
      </c>
      <c r="B1860" s="2">
        <v>7.0</v>
      </c>
      <c r="C1860" s="19" t="s">
        <v>5518</v>
      </c>
      <c r="E1860" s="24">
        <f>IFERROR(__xludf.DUMMYFUNCTION("ifna(IFNA(filter('2.1.clean'!C:C,'2.1.clean'!A:A=C1860),filter('2.2.clean'!E:E,'2.2.clean'!D:D=C1860)),filter('2.4.clean'!C:C,'2.4.clean'!A:A=C1860))"),43893.0)</f>
        <v>43893</v>
      </c>
      <c r="F1860" s="25">
        <f>IFERROR(__xludf.DUMMYFUNCTION("iferror(ifna(IFNA(filter('2.1.clean'!E:E,'2.1.clean'!A:A=C1860),filter('2.2.clean'!G:G,'2.2.clean'!D:D=C1860)),filter('2.4.clean'!E:E,'2.4.clean'!A:A=C1860)),)"),2.39999999999999)</f>
        <v>2.4</v>
      </c>
      <c r="G1860" s="24"/>
      <c r="J1860" s="25"/>
      <c r="K1860" s="24"/>
      <c r="L1860" s="25"/>
      <c r="M1860" s="24" t="str">
        <f>IFERROR(__xludf.DUMMYFUNCTION("iferror(filter('3.3.clean'!C:C,'3.3.clean'!A:A=C1860),"""")"),"")</f>
        <v/>
      </c>
      <c r="N1860" s="25" t="b">
        <f t="shared" si="1480"/>
        <v>0</v>
      </c>
      <c r="O1860" s="24" t="str">
        <f>IFERROR(__xludf.DUMMYFUNCTION("iferror(filter('3.4.clean'!C:C,'3.4.clean'!A:A=C1860),"""")"),"")</f>
        <v/>
      </c>
      <c r="P1860" s="25" t="b">
        <f t="shared" si="1481"/>
        <v>0</v>
      </c>
      <c r="Q1860" s="24" t="str">
        <f>IFERROR(__xludf.DUMMYFUNCTION("iferror(filter('3.5.clean'!C:C,'3.5.clean'!A:A=C1860),"""")"),"")</f>
        <v/>
      </c>
      <c r="R1860" s="23" t="b">
        <f>if(Q1860="",FALSE,TRUE)</f>
        <v>0</v>
      </c>
      <c r="S1860" s="25">
        <v>0.0</v>
      </c>
      <c r="V1860" s="52" t="s">
        <v>64</v>
      </c>
      <c r="W1860" s="23" t="b">
        <f>IF(and(R1860=TRUE,N1860=TRUE,P1860=TRUE),TRUE,FALSE)</f>
        <v>0</v>
      </c>
      <c r="X1860" s="23" t="str">
        <f>IFERROR(__xludf.DUMMYFUNCTION("if(COUNTA(FILTER(C:C, C:C = C1860))=1,""no"",""yes"")"),"no")</f>
        <v>no</v>
      </c>
    </row>
    <row r="1861">
      <c r="A1861" s="1" t="s">
        <v>1098</v>
      </c>
      <c r="B1861" s="2">
        <v>8.0</v>
      </c>
      <c r="C1861" s="19" t="s">
        <v>5528</v>
      </c>
      <c r="E1861" s="59">
        <f>IFERROR(__xludf.DUMMYFUNCTION("ifna(IFNA(filter('2.1.clean'!C:C,'2.1.clean'!A:A=C1861),filter('2.2.clean'!E:E,'2.2.clean'!D:D=C1861)),filter('2.4.clean'!C:C,'2.4.clean'!A:A=C1861))"),43893.0)</f>
        <v>43893</v>
      </c>
      <c r="F1861" s="60">
        <f>IFERROR(__xludf.DUMMYFUNCTION("iferror(ifna(IFNA(filter('2.1.clean'!E:E,'2.1.clean'!A:A=C1861),filter('2.2.clean'!G:G,'2.2.clean'!D:D=C1861)),filter('2.4.clean'!E:E,'2.4.clean'!A:A=C1861)),)"),2.39999999999999)</f>
        <v>2.4</v>
      </c>
      <c r="G1861" s="59" t="str">
        <f>IFERROR(__xludf.DUMMYFUNCTION("iferror(filter('3.1.clean'!C:C,'3.1.clean'!A:A=C1861),"""")"),"")</f>
        <v/>
      </c>
      <c r="H1861" s="58" t="b">
        <f t="shared" ref="H1861:H1871" si="1482">if(G1861="",FALSE,TRUE)</f>
        <v>0</v>
      </c>
      <c r="I1861" s="58" t="str">
        <f>IFERROR(__xludf.DUMMYFUNCTION("iferror(filter('3.1.clean'!G:G,'3.1.clean'!A:A=C1861),"""")"),"")</f>
        <v/>
      </c>
      <c r="J1861" s="60" t="str">
        <f>IFERROR(__xludf.DUMMYFUNCTION("iferror(filter('3.1.clean'!I:I,'3.1.clean'!A:A=C1861),"""")"),"")</f>
        <v/>
      </c>
      <c r="K1861" s="58"/>
      <c r="L1861" s="60"/>
      <c r="M1861" s="59" t="str">
        <f>IFERROR(__xludf.DUMMYFUNCTION("iferror(filter('3.3.clean'!C:C,'3.3.clean'!A:A=C1861),"""")"),"")</f>
        <v/>
      </c>
      <c r="N1861" s="60" t="b">
        <f t="shared" si="1480"/>
        <v>0</v>
      </c>
      <c r="O1861" s="59" t="str">
        <f>IFERROR(__xludf.DUMMYFUNCTION("iferror(filter('3.4.clean'!C:C,'3.4.clean'!A:A=C1861),"""")"),"")</f>
        <v/>
      </c>
      <c r="P1861" s="60" t="b">
        <f t="shared" si="1481"/>
        <v>0</v>
      </c>
      <c r="Q1861" s="59" t="str">
        <f>IFERROR(__xludf.DUMMYFUNCTION("iferror(filter('3.5.clean'!C:C,'3.5.clean'!A:A=C1861),"""")"),"")</f>
        <v/>
      </c>
      <c r="R1861" s="58"/>
      <c r="S1861" s="4" t="str">
        <f>IFERROR(__xludf.DUMMYFUNCTION("iferror(filter('3.5.clean'!H:H,'3.5.clean'!A:A=C1861),"""")"),"")</f>
        <v/>
      </c>
      <c r="V1861" s="1" t="s">
        <v>64</v>
      </c>
      <c r="W1861" s="23" t="b">
        <f>if(AND(H1861=TRUE,N1861=TRUE,P1861=TRUE),TRUE,FALSE)</f>
        <v>0</v>
      </c>
      <c r="X1861" s="23" t="str">
        <f>IFERROR(__xludf.DUMMYFUNCTION("if(COUNTA(FILTER(C:C, C:C = C1861))=1,""no"",""yes"")"),"no")</f>
        <v>no</v>
      </c>
    </row>
    <row r="1862">
      <c r="A1862" s="1" t="s">
        <v>1098</v>
      </c>
      <c r="B1862" s="2">
        <v>9.0</v>
      </c>
      <c r="C1862" s="19" t="s">
        <v>347</v>
      </c>
      <c r="E1862" s="24">
        <f>IFERROR(__xludf.DUMMYFUNCTION("ifna(IFNA(filter('2.1.clean'!C:C,'2.1.clean'!A:A=C1862),filter('2.2.clean'!E:E,'2.2.clean'!D:D=C1862)),filter('2.4.clean'!C:C,'2.4.clean'!A:A=C1862))"),43893.0)</f>
        <v>43893</v>
      </c>
      <c r="F1862" s="25">
        <f>IFERROR(__xludf.DUMMYFUNCTION("iferror(ifna(IFNA(filter('2.1.clean'!E:E,'2.1.clean'!A:A=C1862),filter('2.2.clean'!G:G,'2.2.clean'!D:D=C1862)),filter('2.4.clean'!E:E,'2.4.clean'!A:A=C1862)),)"),2.1)</f>
        <v>2.1</v>
      </c>
      <c r="G1862" s="24">
        <f>IFERROR(__xludf.DUMMYFUNCTION("iferror(filter('3.1.clean'!C:C,'3.1.clean'!A:A=C1862),"""")"),43893.0)</f>
        <v>43893</v>
      </c>
      <c r="H1862" s="23" t="b">
        <f t="shared" si="1482"/>
        <v>1</v>
      </c>
      <c r="J1862" s="25"/>
      <c r="K1862" s="24">
        <f>IFERROR(__xludf.DUMMYFUNCTION("iferror(filter('3.2.clean'!C:C,'3.2.clean'!A:A=C1862),"""")"),43892.0)</f>
        <v>43892</v>
      </c>
      <c r="L1862" s="25" t="b">
        <f>if(K1862="",FALSE,TRUE)</f>
        <v>1</v>
      </c>
      <c r="M1862" s="24" t="str">
        <f>IFERROR(__xludf.DUMMYFUNCTION("iferror(filter('3.3.clean'!C:C,'3.3.clean'!A:A=C1862),"""")"),"")</f>
        <v/>
      </c>
      <c r="N1862" s="25" t="b">
        <f t="shared" si="1480"/>
        <v>0</v>
      </c>
      <c r="O1862" s="24" t="str">
        <f>IFERROR(__xludf.DUMMYFUNCTION("iferror(filter('3.4.clean'!C:C,'3.4.clean'!A:A=C1862),"""")"),"")</f>
        <v/>
      </c>
      <c r="P1862" s="25" t="b">
        <f t="shared" si="1481"/>
        <v>0</v>
      </c>
      <c r="Q1862" s="24" t="str">
        <f>IFERROR(__xludf.DUMMYFUNCTION("iferror(filter('3.5.clean'!C:C,'3.5.clean'!A:A=C1862),"""")"),"")</f>
        <v/>
      </c>
      <c r="R1862" s="23" t="b">
        <f>if(Q1862="",FALSE,TRUE)</f>
        <v>0</v>
      </c>
      <c r="S1862" s="25"/>
      <c r="V1862" s="1" t="s">
        <v>83</v>
      </c>
      <c r="W1862" s="23" t="b">
        <f>IF(and(H1862=TRUE,L1862=TRUE,N1862=TRUE,P1862=TRUE),TRUE,FALSE)</f>
        <v>0</v>
      </c>
      <c r="X1862" s="23" t="str">
        <f>IFERROR(__xludf.DUMMYFUNCTION("if(COUNTA(FILTER(C:C, C:C = C1862))=1,""no"",""yes"")"),"no")</f>
        <v>no</v>
      </c>
    </row>
    <row r="1863">
      <c r="A1863" s="1" t="s">
        <v>1098</v>
      </c>
      <c r="B1863" s="2">
        <v>10.0</v>
      </c>
      <c r="C1863" s="19" t="s">
        <v>5547</v>
      </c>
      <c r="E1863" s="59">
        <f>IFERROR(__xludf.DUMMYFUNCTION("ifna(IFNA(filter('2.1.clean'!C:C,'2.1.clean'!A:A=C1863),filter('2.2.clean'!E:E,'2.2.clean'!D:D=C1863)),filter('2.4.clean'!C:C,'2.4.clean'!A:A=C1863))"),43893.0)</f>
        <v>43893</v>
      </c>
      <c r="F1863" s="60">
        <f>IFERROR(__xludf.DUMMYFUNCTION("iferror(ifna(IFNA(filter('2.1.clean'!E:E,'2.1.clean'!A:A=C1863),filter('2.2.clean'!G:G,'2.2.clean'!D:D=C1863)),filter('2.4.clean'!E:E,'2.4.clean'!A:A=C1863)),)"),2.39999999999999)</f>
        <v>2.4</v>
      </c>
      <c r="G1863" s="59" t="str">
        <f>IFERROR(__xludf.DUMMYFUNCTION("iferror(filter('3.1.clean'!C:C,'3.1.clean'!A:A=C1863),"""")"),"")</f>
        <v/>
      </c>
      <c r="H1863" s="58" t="b">
        <f t="shared" si="1482"/>
        <v>0</v>
      </c>
      <c r="I1863" s="58" t="str">
        <f>IFERROR(__xludf.DUMMYFUNCTION("iferror(filter('3.1.clean'!G:G,'3.1.clean'!A:A=C1863),"""")"),"")</f>
        <v/>
      </c>
      <c r="J1863" s="60" t="str">
        <f>IFERROR(__xludf.DUMMYFUNCTION("iferror(filter('3.1.clean'!I:I,'3.1.clean'!A:A=C1863),"""")"),"")</f>
        <v/>
      </c>
      <c r="K1863" s="58"/>
      <c r="L1863" s="60"/>
      <c r="M1863" s="59" t="str">
        <f>IFERROR(__xludf.DUMMYFUNCTION("iferror(filter('3.3.clean'!C:C,'3.3.clean'!A:A=C1863),"""")"),"")</f>
        <v/>
      </c>
      <c r="N1863" s="60" t="b">
        <f t="shared" si="1480"/>
        <v>0</v>
      </c>
      <c r="O1863" s="59" t="str">
        <f>IFERROR(__xludf.DUMMYFUNCTION("iferror(filter('3.4.clean'!C:C,'3.4.clean'!A:A=C1863),"""")"),"")</f>
        <v/>
      </c>
      <c r="P1863" s="60" t="b">
        <f t="shared" si="1481"/>
        <v>0</v>
      </c>
      <c r="Q1863" s="59" t="str">
        <f>IFERROR(__xludf.DUMMYFUNCTION("iferror(filter('3.5.clean'!C:C,'3.5.clean'!A:A=C1863),"""")"),"")</f>
        <v/>
      </c>
      <c r="R1863" s="58"/>
      <c r="S1863" s="4" t="str">
        <f>IFERROR(__xludf.DUMMYFUNCTION("iferror(filter('3.5.clean'!H:H,'3.5.clean'!A:A=C1863),"""")"),"")</f>
        <v/>
      </c>
      <c r="V1863" s="1" t="s">
        <v>64</v>
      </c>
      <c r="W1863" s="23" t="b">
        <f>if(AND(H1863=TRUE,N1863=TRUE,P1863=TRUE),TRUE,FALSE)</f>
        <v>0</v>
      </c>
      <c r="X1863" s="23" t="str">
        <f>IFERROR(__xludf.DUMMYFUNCTION("if(COUNTA(FILTER(C:C, C:C = C1863))=1,""no"",""yes"")"),"no")</f>
        <v>no</v>
      </c>
    </row>
    <row r="1864">
      <c r="A1864" s="1" t="s">
        <v>1098</v>
      </c>
      <c r="B1864" s="2">
        <v>11.0</v>
      </c>
      <c r="C1864" s="19" t="s">
        <v>3427</v>
      </c>
      <c r="E1864" s="24">
        <f>IFERROR(__xludf.DUMMYFUNCTION("ifna(IFNA(filter('2.1.clean'!C:C,'2.1.clean'!A:A=C1864),filter('2.2.clean'!E:E,'2.2.clean'!D:D=C1864)),filter('2.4.clean'!C:C,'2.4.clean'!A:A=C1864))"),43893.0)</f>
        <v>43893</v>
      </c>
      <c r="F1864" s="25">
        <f>IFERROR(__xludf.DUMMYFUNCTION("iferror(ifna(IFNA(filter('2.1.clean'!E:E,'2.1.clean'!A:A=C1864),filter('2.2.clean'!G:G,'2.2.clean'!D:D=C1864)),filter('2.4.clean'!E:E,'2.4.clean'!A:A=C1864)),)"),2.1)</f>
        <v>2.1</v>
      </c>
      <c r="G1864" s="24">
        <f>IFERROR(__xludf.DUMMYFUNCTION("iferror(filter('3.1.clean'!C:C,'3.1.clean'!A:A=C1864),"""")"),43893.0)</f>
        <v>43893</v>
      </c>
      <c r="H1864" s="23" t="b">
        <f t="shared" si="1482"/>
        <v>1</v>
      </c>
      <c r="J1864" s="25"/>
      <c r="K1864" s="24">
        <f>IFERROR(__xludf.DUMMYFUNCTION("iferror(filter('3.2.clean'!C:C,'3.2.clean'!A:A=C1864),"""")"),43892.0)</f>
        <v>43892</v>
      </c>
      <c r="L1864" s="25" t="b">
        <f>if(K1864="",FALSE,TRUE)</f>
        <v>1</v>
      </c>
      <c r="M1864" s="24" t="str">
        <f>IFERROR(__xludf.DUMMYFUNCTION("iferror(filter('3.3.clean'!C:C,'3.3.clean'!A:A=C1864),"""")"),"")</f>
        <v/>
      </c>
      <c r="N1864" s="25" t="b">
        <f t="shared" si="1480"/>
        <v>0</v>
      </c>
      <c r="O1864" s="24" t="str">
        <f>IFERROR(__xludf.DUMMYFUNCTION("iferror(filter('3.4.clean'!C:C,'3.4.clean'!A:A=C1864),"""")"),"")</f>
        <v/>
      </c>
      <c r="P1864" s="25" t="b">
        <f t="shared" si="1481"/>
        <v>0</v>
      </c>
      <c r="Q1864" s="24" t="str">
        <f>IFERROR(__xludf.DUMMYFUNCTION("iferror(filter('3.5.clean'!C:C,'3.5.clean'!A:A=C1864),"""")"),"")</f>
        <v/>
      </c>
      <c r="R1864" s="23" t="b">
        <f>if(Q1864="",FALSE,TRUE)</f>
        <v>0</v>
      </c>
      <c r="S1864" s="25"/>
      <c r="V1864" s="1" t="s">
        <v>83</v>
      </c>
      <c r="W1864" s="23" t="b">
        <f>IF(and(H1864=TRUE,L1864=TRUE,N1864=TRUE,P1864=TRUE),TRUE,FALSE)</f>
        <v>0</v>
      </c>
      <c r="X1864" s="23" t="str">
        <f>IFERROR(__xludf.DUMMYFUNCTION("if(COUNTA(FILTER(C:C, C:C = C1864))=1,""no"",""yes"")"),"no")</f>
        <v>no</v>
      </c>
    </row>
    <row r="1865">
      <c r="A1865" s="1" t="s">
        <v>1098</v>
      </c>
      <c r="B1865" s="2">
        <v>12.0</v>
      </c>
      <c r="C1865" s="19" t="s">
        <v>5569</v>
      </c>
      <c r="E1865" s="59">
        <f>IFERROR(__xludf.DUMMYFUNCTION("ifna(IFNA(filter('2.1.clean'!C:C,'2.1.clean'!A:A=C1865),filter('2.2.clean'!E:E,'2.2.clean'!D:D=C1865)),filter('2.4.clean'!C:C,'2.4.clean'!A:A=C1865))"),43893.0)</f>
        <v>43893</v>
      </c>
      <c r="F1865" s="60">
        <f>IFERROR(__xludf.DUMMYFUNCTION("iferror(ifna(IFNA(filter('2.1.clean'!E:E,'2.1.clean'!A:A=C1865),filter('2.2.clean'!G:G,'2.2.clean'!D:D=C1865)),filter('2.4.clean'!E:E,'2.4.clean'!A:A=C1865)),)"),2.39999999999999)</f>
        <v>2.4</v>
      </c>
      <c r="G1865" s="59" t="str">
        <f>IFERROR(__xludf.DUMMYFUNCTION("iferror(filter('3.1.clean'!C:C,'3.1.clean'!A:A=C1865),"""")"),"")</f>
        <v/>
      </c>
      <c r="H1865" s="58" t="b">
        <f t="shared" si="1482"/>
        <v>0</v>
      </c>
      <c r="I1865" s="58" t="str">
        <f>IFERROR(__xludf.DUMMYFUNCTION("iferror(filter('3.1.clean'!G:G,'3.1.clean'!A:A=C1865),"""")"),"")</f>
        <v/>
      </c>
      <c r="J1865" s="60" t="str">
        <f>IFERROR(__xludf.DUMMYFUNCTION("iferror(filter('3.1.clean'!I:I,'3.1.clean'!A:A=C1865),"""")"),"")</f>
        <v/>
      </c>
      <c r="K1865" s="58"/>
      <c r="L1865" s="60"/>
      <c r="M1865" s="59" t="str">
        <f>IFERROR(__xludf.DUMMYFUNCTION("iferror(filter('3.3.clean'!C:C,'3.3.clean'!A:A=C1865),"""")"),"")</f>
        <v/>
      </c>
      <c r="N1865" s="60" t="b">
        <f t="shared" si="1480"/>
        <v>0</v>
      </c>
      <c r="O1865" s="59" t="str">
        <f>IFERROR(__xludf.DUMMYFUNCTION("iferror(filter('3.4.clean'!C:C,'3.4.clean'!A:A=C1865),"""")"),"")</f>
        <v/>
      </c>
      <c r="P1865" s="60" t="b">
        <f t="shared" si="1481"/>
        <v>0</v>
      </c>
      <c r="Q1865" s="59" t="str">
        <f>IFERROR(__xludf.DUMMYFUNCTION("iferror(filter('3.5.clean'!C:C,'3.5.clean'!A:A=C1865),"""")"),"")</f>
        <v/>
      </c>
      <c r="R1865" s="58"/>
      <c r="S1865" s="4" t="str">
        <f>IFERROR(__xludf.DUMMYFUNCTION("iferror(filter('3.5.clean'!H:H,'3.5.clean'!A:A=C1865),"""")"),"")</f>
        <v/>
      </c>
      <c r="V1865" s="1" t="s">
        <v>64</v>
      </c>
      <c r="W1865" s="23" t="b">
        <f>if(AND(H1865=TRUE,N1865=TRUE,P1865=TRUE),TRUE,FALSE)</f>
        <v>0</v>
      </c>
      <c r="X1865" s="23" t="str">
        <f>IFERROR(__xludf.DUMMYFUNCTION("if(COUNTA(FILTER(C:C, C:C = C1865))=1,""no"",""yes"")"),"no")</f>
        <v>no</v>
      </c>
    </row>
    <row r="1866">
      <c r="A1866" s="1" t="s">
        <v>1098</v>
      </c>
      <c r="B1866" s="2">
        <v>13.0</v>
      </c>
      <c r="C1866" s="19" t="s">
        <v>5577</v>
      </c>
      <c r="E1866" s="24">
        <f>IFERROR(__xludf.DUMMYFUNCTION("ifna(IFNA(filter('2.1.clean'!C:C,'2.1.clean'!A:A=C1866),filter('2.2.clean'!E:E,'2.2.clean'!D:D=C1866)),filter('2.4.clean'!C:C,'2.4.clean'!A:A=C1866))"),43893.0)</f>
        <v>43893</v>
      </c>
      <c r="F1866" s="25">
        <f>IFERROR(__xludf.DUMMYFUNCTION("iferror(ifna(IFNA(filter('2.1.clean'!E:E,'2.1.clean'!A:A=C1866),filter('2.2.clean'!G:G,'2.2.clean'!D:D=C1866)),filter('2.4.clean'!E:E,'2.4.clean'!A:A=C1866)),)"),2.39999999999999)</f>
        <v>2.4</v>
      </c>
      <c r="G1866" s="43">
        <f>IFERROR(__xludf.DUMMYFUNCTION("iferror(filter('3.1.clean'!C:C,'3.1.clean'!A:A=C1866),"""")"),43893.0)</f>
        <v>43893</v>
      </c>
      <c r="H1866" s="23" t="b">
        <f t="shared" si="1482"/>
        <v>1</v>
      </c>
      <c r="J1866" s="25"/>
      <c r="K1866" s="43">
        <f>IFERROR(__xludf.DUMMYFUNCTION("iferror(filter('3.2.clean'!C:C,'3.2.clean'!A:A=C1866),"""")"),43892.0)</f>
        <v>43892</v>
      </c>
      <c r="L1866" s="25" t="b">
        <f>if(K1866="",FALSE,TRUE)</f>
        <v>1</v>
      </c>
      <c r="M1866" s="24" t="str">
        <f>IFERROR(__xludf.DUMMYFUNCTION("iferror(filter('3.3.clean'!C:C,'3.3.clean'!A:A=C1866),"""")"),"")</f>
        <v/>
      </c>
      <c r="N1866" s="25" t="b">
        <f t="shared" si="1480"/>
        <v>0</v>
      </c>
      <c r="O1866" s="24" t="str">
        <f>IFERROR(__xludf.DUMMYFUNCTION("iferror(filter('3.4.clean'!C:C,'3.4.clean'!A:A=C1866),"""")"),"")</f>
        <v/>
      </c>
      <c r="P1866" s="25" t="b">
        <f t="shared" si="1481"/>
        <v>0</v>
      </c>
      <c r="Q1866" s="24" t="str">
        <f>IFERROR(__xludf.DUMMYFUNCTION("iferror(filter('3.5.clean'!C:C,'3.5.clean'!A:A=C1866),"""")"),"")</f>
        <v/>
      </c>
      <c r="R1866" s="23" t="b">
        <f>if(Q1866="",FALSE,TRUE)</f>
        <v>0</v>
      </c>
      <c r="S1866" s="25"/>
      <c r="T1866" s="48"/>
      <c r="U1866" s="23"/>
      <c r="V1866" s="1" t="s">
        <v>64</v>
      </c>
      <c r="X1866" s="23" t="str">
        <f>IFERROR(__xludf.DUMMYFUNCTION("if(COUNTA(FILTER(C:C, C:C = C1866))=1,""no"",""yes"")"),"no")</f>
        <v>no</v>
      </c>
    </row>
    <row r="1867">
      <c r="A1867" s="1" t="s">
        <v>1098</v>
      </c>
      <c r="B1867" s="2">
        <v>14.0</v>
      </c>
      <c r="C1867" s="19" t="s">
        <v>5589</v>
      </c>
      <c r="E1867" s="77">
        <f>G1867</f>
        <v>43893</v>
      </c>
      <c r="F1867" s="78" t="str">
        <f>IFERROR(__xludf.DUMMYFUNCTION("iferror(ifna(IFNA(filter('2.1.clean'!E:E,'2.1.clean'!A:A=C1867),filter('2.2.clean'!G:G,'2.2.clean'!D:D=C1867)),filter('2.4.clean'!E:E,'2.4.clean'!A:A=C1867)),)"),"")</f>
        <v/>
      </c>
      <c r="G1867" s="77">
        <f>IFERROR(__xludf.DUMMYFUNCTION("iferror(filter('3.1.clean'!C:C,'3.1.clean'!A:A=C1867),"""")"),43893.0)</f>
        <v>43893</v>
      </c>
      <c r="H1867" s="76" t="b">
        <f t="shared" si="1482"/>
        <v>1</v>
      </c>
      <c r="I1867" s="76">
        <f>IFERROR(__xludf.DUMMYFUNCTION("iferror(filter('3.1.clean'!G:G,'3.1.clean'!A:A=C1867),"""")"),0.0)</f>
        <v>0</v>
      </c>
      <c r="J1867" s="78" t="str">
        <f>IFERROR(__xludf.DUMMYFUNCTION("iferror(filter('3.1.clean'!I:I,'3.1.clean'!A:A=C1867),"""")"),"")</f>
        <v/>
      </c>
      <c r="K1867" s="77"/>
      <c r="L1867" s="78"/>
      <c r="M1867" s="77"/>
      <c r="N1867" s="78"/>
      <c r="O1867" s="77"/>
      <c r="P1867" s="78"/>
      <c r="Q1867" s="77"/>
      <c r="R1867" s="76"/>
      <c r="S1867" s="25"/>
      <c r="T1867" s="1"/>
      <c r="V1867" s="1" t="s">
        <v>64</v>
      </c>
      <c r="W1867" s="1" t="b">
        <v>1</v>
      </c>
      <c r="X1867" s="23" t="str">
        <f>IFERROR(__xludf.DUMMYFUNCTION("if(COUNTA(FILTER(C:C, C:C = C1867))=1,""no"",""yes"")"),"no")</f>
        <v>no</v>
      </c>
    </row>
    <row r="1868">
      <c r="A1868" s="75" t="s">
        <v>1101</v>
      </c>
      <c r="B1868" s="2">
        <v>1.0</v>
      </c>
      <c r="C1868" s="19" t="s">
        <v>5593</v>
      </c>
      <c r="E1868" s="24">
        <f>IFERROR(__xludf.DUMMYFUNCTION("ifna(IFNA(filter('2.1.clean'!C:C,'2.1.clean'!A:A=C1868),filter('2.2.clean'!E:E,'2.2.clean'!D:D=C1868)),filter('2.4.clean'!C:C,'2.4.clean'!A:A=C1868))"),43894.0)</f>
        <v>43894</v>
      </c>
      <c r="F1868" s="25">
        <f>IFERROR(__xludf.DUMMYFUNCTION("iferror(ifna(IFNA(filter('2.1.clean'!E:E,'2.1.clean'!A:A=C1868),filter('2.2.clean'!G:G,'2.2.clean'!D:D=C1868)),filter('2.4.clean'!E:E,'2.4.clean'!A:A=C1868)),)"),2.39999999999999)</f>
        <v>2.4</v>
      </c>
      <c r="G1868" s="24">
        <f>IFERROR(__xludf.DUMMYFUNCTION("iferror(filter('3.1.clean'!C:C,'3.1.clean'!A:A=C1868),"""")"),43894.0)</f>
        <v>43894</v>
      </c>
      <c r="H1868" s="23" t="b">
        <f t="shared" si="1482"/>
        <v>1</v>
      </c>
      <c r="J1868" s="25"/>
      <c r="K1868" s="24">
        <f>IFERROR(__xludf.DUMMYFUNCTION("iferror(filter('3.2.clean'!C:C,'3.2.clean'!A:A=C1868),"""")"),43894.0)</f>
        <v>43894</v>
      </c>
      <c r="L1868" s="25" t="b">
        <f>if(K1868="",FALSE,TRUE)</f>
        <v>1</v>
      </c>
      <c r="M1868" s="24" t="str">
        <f>IFERROR(__xludf.DUMMYFUNCTION("iferror(filter('3.3.clean'!C:C,'3.3.clean'!A:A=C1868),"""")"),"")</f>
        <v/>
      </c>
      <c r="N1868" s="25" t="b">
        <f t="shared" ref="N1868:N1878" si="1483">if(M1868="",FALSE,TRUE)</f>
        <v>0</v>
      </c>
      <c r="O1868" s="24" t="str">
        <f>IFERROR(__xludf.DUMMYFUNCTION("iferror(filter('3.4.clean'!C:C,'3.4.clean'!A:A=C1868),"""")"),"")</f>
        <v/>
      </c>
      <c r="P1868" s="25" t="b">
        <f t="shared" ref="P1868:P1878" si="1484">if(O1868="",FALSE,TRUE)</f>
        <v>0</v>
      </c>
      <c r="Q1868" s="24" t="str">
        <f>IFERROR(__xludf.DUMMYFUNCTION("iferror(filter('3.5.clean'!C:C,'3.5.clean'!A:A=C1868),"""")"),"")</f>
        <v/>
      </c>
      <c r="R1868" s="23" t="b">
        <f>if(Q1868="",FALSE,TRUE)</f>
        <v>0</v>
      </c>
      <c r="S1868" s="25"/>
      <c r="V1868" s="1" t="s">
        <v>64</v>
      </c>
      <c r="X1868" s="23" t="str">
        <f>IFERROR(__xludf.DUMMYFUNCTION("if(COUNTA(FILTER(C:C, C:C = C1868))=1,""no"",""yes"")"),"no")</f>
        <v>no</v>
      </c>
    </row>
    <row r="1869">
      <c r="A1869" s="75" t="s">
        <v>1101</v>
      </c>
      <c r="B1869" s="2">
        <v>2.0</v>
      </c>
      <c r="C1869" s="19" t="s">
        <v>5609</v>
      </c>
      <c r="E1869" s="59">
        <f>IFERROR(__xludf.DUMMYFUNCTION("ifna(IFNA(filter('2.1.clean'!C:C,'2.1.clean'!A:A=C1869),filter('2.2.clean'!E:E,'2.2.clean'!D:D=C1869)),filter('2.4.clean'!C:C,'2.4.clean'!A:A=C1869))"),43894.0)</f>
        <v>43894</v>
      </c>
      <c r="F1869" s="60">
        <f>IFERROR(__xludf.DUMMYFUNCTION("iferror(ifna(IFNA(filter('2.1.clean'!E:E,'2.1.clean'!A:A=C1869),filter('2.2.clean'!G:G,'2.2.clean'!D:D=C1869)),filter('2.4.clean'!E:E,'2.4.clean'!A:A=C1869)),)"),2.39999999999999)</f>
        <v>2.4</v>
      </c>
      <c r="G1869" s="59">
        <f>IFERROR(__xludf.DUMMYFUNCTION("iferror(filter('3.1.clean'!C:C,'3.1.clean'!A:A=C1869),"""")"),43894.0)</f>
        <v>43894</v>
      </c>
      <c r="H1869" s="58" t="b">
        <f t="shared" si="1482"/>
        <v>1</v>
      </c>
      <c r="I1869" s="58">
        <f>IFERROR(__xludf.DUMMYFUNCTION("iferror(filter('3.1.clean'!G:G,'3.1.clean'!A:A=C1869),"""")"),0.0)</f>
        <v>0</v>
      </c>
      <c r="J1869" s="60" t="str">
        <f>IFERROR(__xludf.DUMMYFUNCTION("iferror(filter('3.1.clean'!I:I,'3.1.clean'!A:A=C1869),"""")"),"")</f>
        <v/>
      </c>
      <c r="K1869" s="58"/>
      <c r="L1869" s="60"/>
      <c r="M1869" s="59" t="str">
        <f>IFERROR(__xludf.DUMMYFUNCTION("iferror(filter('3.3.clean'!C:C,'3.3.clean'!A:A=C1869),"""")"),"")</f>
        <v/>
      </c>
      <c r="N1869" s="60" t="b">
        <f t="shared" si="1483"/>
        <v>0</v>
      </c>
      <c r="O1869" s="59" t="str">
        <f>IFERROR(__xludf.DUMMYFUNCTION("iferror(filter('3.4.clean'!C:C,'3.4.clean'!A:A=C1869),"""")"),"")</f>
        <v/>
      </c>
      <c r="P1869" s="60" t="b">
        <f t="shared" si="1484"/>
        <v>0</v>
      </c>
      <c r="Q1869" s="59" t="str">
        <f>IFERROR(__xludf.DUMMYFUNCTION("iferror(filter('3.5.clean'!C:C,'3.5.clean'!A:A=C1869),"""")"),"")</f>
        <v/>
      </c>
      <c r="R1869" s="58"/>
      <c r="S1869" s="4" t="str">
        <f>IFERROR(__xludf.DUMMYFUNCTION("iferror(filter('3.5.clean'!H:H,'3.5.clean'!A:A=C1869),"""")"),"")</f>
        <v/>
      </c>
      <c r="V1869" s="1" t="s">
        <v>64</v>
      </c>
      <c r="W1869" s="23" t="b">
        <f>if(AND(H1869=TRUE,N1869=TRUE,P1869=TRUE),TRUE,FALSE)</f>
        <v>0</v>
      </c>
      <c r="X1869" s="23" t="str">
        <f>IFERROR(__xludf.DUMMYFUNCTION("if(COUNTA(FILTER(C:C, C:C = C1869))=1,""no"",""yes"")"),"no")</f>
        <v>no</v>
      </c>
    </row>
    <row r="1870">
      <c r="A1870" s="75" t="s">
        <v>1101</v>
      </c>
      <c r="B1870" s="2">
        <v>3.0</v>
      </c>
      <c r="C1870" s="19" t="s">
        <v>5628</v>
      </c>
      <c r="E1870" s="24">
        <f>IFERROR(__xludf.DUMMYFUNCTION("ifna(IFNA(filter('2.1.clean'!C:C,'2.1.clean'!A:A=C1870),filter('2.2.clean'!E:E,'2.2.clean'!D:D=C1870)),filter('2.4.clean'!C:C,'2.4.clean'!A:A=C1870))"),43894.0)</f>
        <v>43894</v>
      </c>
      <c r="F1870" s="25">
        <f>IFERROR(__xludf.DUMMYFUNCTION("iferror(ifna(IFNA(filter('2.1.clean'!E:E,'2.1.clean'!A:A=C1870),filter('2.2.clean'!G:G,'2.2.clean'!D:D=C1870)),filter('2.4.clean'!E:E,'2.4.clean'!A:A=C1870)),)"),2.39999999999999)</f>
        <v>2.4</v>
      </c>
      <c r="G1870" s="24">
        <f>IFERROR(__xludf.DUMMYFUNCTION("iferror(filter('3.1.clean'!C:C,'3.1.clean'!A:A=C1870),"""")"),43894.0)</f>
        <v>43894</v>
      </c>
      <c r="H1870" s="23" t="b">
        <f t="shared" si="1482"/>
        <v>1</v>
      </c>
      <c r="J1870" s="25"/>
      <c r="K1870" s="24">
        <f>IFERROR(__xludf.DUMMYFUNCTION("iferror(filter('3.2.clean'!C:C,'3.2.clean'!A:A=C1870),"""")"),43894.0)</f>
        <v>43894</v>
      </c>
      <c r="L1870" s="25" t="b">
        <f>if(K1870="",FALSE,TRUE)</f>
        <v>1</v>
      </c>
      <c r="M1870" s="24" t="str">
        <f>IFERROR(__xludf.DUMMYFUNCTION("iferror(filter('3.3.clean'!C:C,'3.3.clean'!A:A=C1870),"""")"),"")</f>
        <v/>
      </c>
      <c r="N1870" s="25" t="b">
        <f t="shared" si="1483"/>
        <v>0</v>
      </c>
      <c r="O1870" s="24" t="str">
        <f>IFERROR(__xludf.DUMMYFUNCTION("iferror(filter('3.4.clean'!C:C,'3.4.clean'!A:A=C1870),"""")"),"")</f>
        <v/>
      </c>
      <c r="P1870" s="25" t="b">
        <f t="shared" si="1484"/>
        <v>0</v>
      </c>
      <c r="Q1870" s="24" t="str">
        <f>IFERROR(__xludf.DUMMYFUNCTION("iferror(filter('3.5.clean'!C:C,'3.5.clean'!A:A=C1870),"""")"),"")</f>
        <v/>
      </c>
      <c r="R1870" s="23" t="b">
        <f>if(Q1870="",FALSE,TRUE)</f>
        <v>0</v>
      </c>
      <c r="S1870" s="25"/>
      <c r="V1870" s="1" t="s">
        <v>64</v>
      </c>
      <c r="X1870" s="23" t="str">
        <f>IFERROR(__xludf.DUMMYFUNCTION("if(COUNTA(FILTER(C:C, C:C = C1870))=1,""no"",""yes"")"),"no")</f>
        <v>no</v>
      </c>
    </row>
    <row r="1871">
      <c r="A1871" s="75" t="s">
        <v>1101</v>
      </c>
      <c r="B1871" s="2">
        <v>4.0</v>
      </c>
      <c r="C1871" s="19" t="s">
        <v>5642</v>
      </c>
      <c r="E1871" s="59">
        <f>IFERROR(__xludf.DUMMYFUNCTION("ifna(IFNA(filter('2.1.clean'!C:C,'2.1.clean'!A:A=C1871),filter('2.2.clean'!E:E,'2.2.clean'!D:D=C1871)),filter('2.4.clean'!C:C,'2.4.clean'!A:A=C1871))"),43894.0)</f>
        <v>43894</v>
      </c>
      <c r="F1871" s="60">
        <f>IFERROR(__xludf.DUMMYFUNCTION("iferror(ifna(IFNA(filter('2.1.clean'!E:E,'2.1.clean'!A:A=C1871),filter('2.2.clean'!G:G,'2.2.clean'!D:D=C1871)),filter('2.4.clean'!E:E,'2.4.clean'!A:A=C1871)),)"),2.39999999999999)</f>
        <v>2.4</v>
      </c>
      <c r="G1871" s="59">
        <f>IFERROR(__xludf.DUMMYFUNCTION("iferror(filter('3.1.clean'!C:C,'3.1.clean'!A:A=C1871),"""")"),43894.0)</f>
        <v>43894</v>
      </c>
      <c r="H1871" s="58" t="b">
        <f t="shared" si="1482"/>
        <v>1</v>
      </c>
      <c r="I1871" s="58">
        <f>IFERROR(__xludf.DUMMYFUNCTION("iferror(filter('3.1.clean'!G:G,'3.1.clean'!A:A=C1871),"""")"),0.0)</f>
        <v>0</v>
      </c>
      <c r="J1871" s="60" t="str">
        <f>IFERROR(__xludf.DUMMYFUNCTION("iferror(filter('3.1.clean'!I:I,'3.1.clean'!A:A=C1871),"""")"),"")</f>
        <v/>
      </c>
      <c r="K1871" s="58"/>
      <c r="L1871" s="60"/>
      <c r="M1871" s="59" t="str">
        <f>IFERROR(__xludf.DUMMYFUNCTION("iferror(filter('3.3.clean'!C:C,'3.3.clean'!A:A=C1871),"""")"),"")</f>
        <v/>
      </c>
      <c r="N1871" s="60" t="b">
        <f t="shared" si="1483"/>
        <v>0</v>
      </c>
      <c r="O1871" s="59" t="str">
        <f>IFERROR(__xludf.DUMMYFUNCTION("iferror(filter('3.4.clean'!C:C,'3.4.clean'!A:A=C1871),"""")"),"")</f>
        <v/>
      </c>
      <c r="P1871" s="60" t="b">
        <f t="shared" si="1484"/>
        <v>0</v>
      </c>
      <c r="Q1871" s="59" t="str">
        <f>IFERROR(__xludf.DUMMYFUNCTION("iferror(filter('3.5.clean'!C:C,'3.5.clean'!A:A=C1871),"""")"),"")</f>
        <v/>
      </c>
      <c r="R1871" s="58"/>
      <c r="S1871" s="4" t="str">
        <f>IFERROR(__xludf.DUMMYFUNCTION("iferror(filter('3.5.clean'!H:H,'3.5.clean'!A:A=C1871),"""")"),"")</f>
        <v/>
      </c>
      <c r="V1871" s="1" t="s">
        <v>64</v>
      </c>
      <c r="W1871" s="23" t="b">
        <f>if(AND(H1871=TRUE,N1871=TRUE,P1871=TRUE),TRUE,FALSE)</f>
        <v>0</v>
      </c>
      <c r="X1871" s="23" t="str">
        <f>IFERROR(__xludf.DUMMYFUNCTION("if(COUNTA(FILTER(C:C, C:C = C1871))=1,""no"",""yes"")"),"no")</f>
        <v>no</v>
      </c>
    </row>
    <row r="1872">
      <c r="A1872" s="75" t="s">
        <v>1101</v>
      </c>
      <c r="B1872" s="2">
        <v>5.0</v>
      </c>
      <c r="C1872" s="19" t="s">
        <v>5661</v>
      </c>
      <c r="E1872" s="24">
        <f>IFERROR(__xludf.DUMMYFUNCTION("ifna(IFNA(filter('2.1.clean'!C:C,'2.1.clean'!A:A=C1872),filter('2.2.clean'!E:E,'2.2.clean'!D:D=C1872)),filter('2.4.clean'!C:C,'2.4.clean'!A:A=C1872))"),43894.0)</f>
        <v>43894</v>
      </c>
      <c r="F1872" s="25">
        <f>IFERROR(__xludf.DUMMYFUNCTION("iferror(ifna(IFNA(filter('2.1.clean'!E:E,'2.1.clean'!A:A=C1872),filter('2.2.clean'!G:G,'2.2.clean'!D:D=C1872)),filter('2.4.clean'!E:E,'2.4.clean'!A:A=C1872)),)"),2.39999999999999)</f>
        <v>2.4</v>
      </c>
      <c r="G1872" s="24"/>
      <c r="J1872" s="25"/>
      <c r="K1872" s="24"/>
      <c r="L1872" s="25"/>
      <c r="M1872" s="24" t="str">
        <f>IFERROR(__xludf.DUMMYFUNCTION("iferror(filter('3.3.clean'!C:C,'3.3.clean'!A:A=C1872),"""")"),"")</f>
        <v/>
      </c>
      <c r="N1872" s="25" t="b">
        <f t="shared" si="1483"/>
        <v>0</v>
      </c>
      <c r="O1872" s="24" t="str">
        <f>IFERROR(__xludf.DUMMYFUNCTION("iferror(filter('3.4.clean'!C:C,'3.4.clean'!A:A=C1872),"""")"),"")</f>
        <v/>
      </c>
      <c r="P1872" s="25" t="b">
        <f t="shared" si="1484"/>
        <v>0</v>
      </c>
      <c r="Q1872" s="24" t="str">
        <f>IFERROR(__xludf.DUMMYFUNCTION("iferror(filter('3.5.clean'!C:C,'3.5.clean'!A:A=C1872),"""")"),"")</f>
        <v/>
      </c>
      <c r="R1872" s="23" t="b">
        <f>if(Q1872="",FALSE,TRUE)</f>
        <v>0</v>
      </c>
      <c r="S1872" s="25">
        <v>0.0</v>
      </c>
      <c r="V1872" s="52" t="s">
        <v>64</v>
      </c>
      <c r="W1872" s="23" t="b">
        <f>IF(and(R1872=TRUE,N1872=TRUE,P1872=TRUE),TRUE,FALSE)</f>
        <v>0</v>
      </c>
      <c r="X1872" s="23" t="str">
        <f>IFERROR(__xludf.DUMMYFUNCTION("if(COUNTA(FILTER(C:C, C:C = C1872))=1,""no"",""yes"")"),"no")</f>
        <v>no</v>
      </c>
    </row>
    <row r="1873">
      <c r="A1873" s="75" t="s">
        <v>1101</v>
      </c>
      <c r="B1873" s="2">
        <v>6.0</v>
      </c>
      <c r="C1873" s="19" t="s">
        <v>5675</v>
      </c>
      <c r="E1873" s="59">
        <f>IFERROR(__xludf.DUMMYFUNCTION("ifna(IFNA(filter('2.1.clean'!C:C,'2.1.clean'!A:A=C1873),filter('2.2.clean'!E:E,'2.2.clean'!D:D=C1873)),filter('2.4.clean'!C:C,'2.4.clean'!A:A=C1873))"),43894.0)</f>
        <v>43894</v>
      </c>
      <c r="F1873" s="60">
        <f>IFERROR(__xludf.DUMMYFUNCTION("iferror(ifna(IFNA(filter('2.1.clean'!E:E,'2.1.clean'!A:A=C1873),filter('2.2.clean'!G:G,'2.2.clean'!D:D=C1873)),filter('2.4.clean'!E:E,'2.4.clean'!A:A=C1873)),)"),2.39999999999999)</f>
        <v>2.4</v>
      </c>
      <c r="G1873" s="59" t="str">
        <f>IFERROR(__xludf.DUMMYFUNCTION("iferror(filter('3.1.clean'!C:C,'3.1.clean'!A:A=C1873),"""")"),"")</f>
        <v/>
      </c>
      <c r="H1873" s="58" t="b">
        <f>if(G1873="",FALSE,TRUE)</f>
        <v>0</v>
      </c>
      <c r="I1873" s="58" t="str">
        <f>IFERROR(__xludf.DUMMYFUNCTION("iferror(filter('3.1.clean'!G:G,'3.1.clean'!A:A=C1873),"""")"),"")</f>
        <v/>
      </c>
      <c r="J1873" s="60" t="str">
        <f>IFERROR(__xludf.DUMMYFUNCTION("iferror(filter('3.1.clean'!I:I,'3.1.clean'!A:A=C1873),"""")"),"")</f>
        <v/>
      </c>
      <c r="K1873" s="58"/>
      <c r="L1873" s="60"/>
      <c r="M1873" s="59" t="str">
        <f>IFERROR(__xludf.DUMMYFUNCTION("iferror(filter('3.3.clean'!C:C,'3.3.clean'!A:A=C1873),"""")"),"")</f>
        <v/>
      </c>
      <c r="N1873" s="60" t="b">
        <f t="shared" si="1483"/>
        <v>0</v>
      </c>
      <c r="O1873" s="59" t="str">
        <f>IFERROR(__xludf.DUMMYFUNCTION("iferror(filter('3.4.clean'!C:C,'3.4.clean'!A:A=C1873),"""")"),"")</f>
        <v/>
      </c>
      <c r="P1873" s="60" t="b">
        <f t="shared" si="1484"/>
        <v>0</v>
      </c>
      <c r="Q1873" s="59" t="str">
        <f>IFERROR(__xludf.DUMMYFUNCTION("iferror(filter('3.5.clean'!C:C,'3.5.clean'!A:A=C1873),"""")"),"")</f>
        <v/>
      </c>
      <c r="R1873" s="58"/>
      <c r="S1873" s="4" t="str">
        <f>IFERROR(__xludf.DUMMYFUNCTION("iferror(filter('3.5.clean'!H:H,'3.5.clean'!A:A=C1873),"""")"),"")</f>
        <v/>
      </c>
      <c r="V1873" s="1" t="s">
        <v>64</v>
      </c>
      <c r="W1873" s="23" t="b">
        <f>if(AND(H1873=TRUE,N1873=TRUE,P1873=TRUE),TRUE,FALSE)</f>
        <v>0</v>
      </c>
      <c r="X1873" s="23" t="str">
        <f>IFERROR(__xludf.DUMMYFUNCTION("if(COUNTA(FILTER(C:C, C:C = C1873))=1,""no"",""yes"")"),"no")</f>
        <v>no</v>
      </c>
    </row>
    <row r="1874">
      <c r="A1874" s="75" t="s">
        <v>1101</v>
      </c>
      <c r="B1874" s="2">
        <v>7.0</v>
      </c>
      <c r="C1874" s="19" t="s">
        <v>5687</v>
      </c>
      <c r="E1874" s="24">
        <f>IFERROR(__xludf.DUMMYFUNCTION("ifna(IFNA(filter('2.1.clean'!C:C,'2.1.clean'!A:A=C1874),filter('2.2.clean'!E:E,'2.2.clean'!D:D=C1874)),filter('2.4.clean'!C:C,'2.4.clean'!A:A=C1874))"),43894.0)</f>
        <v>43894</v>
      </c>
      <c r="F1874" s="25">
        <f>IFERROR(__xludf.DUMMYFUNCTION("iferror(ifna(IFNA(filter('2.1.clean'!E:E,'2.1.clean'!A:A=C1874),filter('2.2.clean'!G:G,'2.2.clean'!D:D=C1874)),filter('2.4.clean'!E:E,'2.4.clean'!A:A=C1874)),)"),2.39999999999999)</f>
        <v>2.4</v>
      </c>
      <c r="G1874" s="24"/>
      <c r="J1874" s="25"/>
      <c r="K1874" s="24"/>
      <c r="L1874" s="25"/>
      <c r="M1874" s="24" t="str">
        <f>IFERROR(__xludf.DUMMYFUNCTION("iferror(filter('3.3.clean'!C:C,'3.3.clean'!A:A=C1874),"""")"),"")</f>
        <v/>
      </c>
      <c r="N1874" s="25" t="b">
        <f t="shared" si="1483"/>
        <v>0</v>
      </c>
      <c r="O1874" s="24" t="str">
        <f>IFERROR(__xludf.DUMMYFUNCTION("iferror(filter('3.4.clean'!C:C,'3.4.clean'!A:A=C1874),"""")"),"")</f>
        <v/>
      </c>
      <c r="P1874" s="25" t="b">
        <f t="shared" si="1484"/>
        <v>0</v>
      </c>
      <c r="Q1874" s="24" t="str">
        <f>IFERROR(__xludf.DUMMYFUNCTION("iferror(filter('3.5.clean'!C:C,'3.5.clean'!A:A=C1874),"""")"),"")</f>
        <v/>
      </c>
      <c r="R1874" s="23" t="b">
        <f>if(Q1874="",FALSE,TRUE)</f>
        <v>0</v>
      </c>
      <c r="S1874" s="25">
        <v>0.0</v>
      </c>
      <c r="V1874" s="52" t="s">
        <v>64</v>
      </c>
      <c r="W1874" s="23" t="b">
        <f>IF(and(R1874=TRUE,N1874=TRUE,P1874=TRUE),TRUE,FALSE)</f>
        <v>0</v>
      </c>
      <c r="X1874" s="23" t="str">
        <f>IFERROR(__xludf.DUMMYFUNCTION("if(COUNTA(FILTER(C:C, C:C = C1874))=1,""no"",""yes"")"),"no")</f>
        <v>no</v>
      </c>
    </row>
    <row r="1875">
      <c r="A1875" s="75" t="s">
        <v>1101</v>
      </c>
      <c r="B1875" s="2">
        <v>8.0</v>
      </c>
      <c r="C1875" s="19" t="s">
        <v>5704</v>
      </c>
      <c r="E1875" s="59">
        <f>IFERROR(__xludf.DUMMYFUNCTION("ifna(IFNA(filter('2.1.clean'!C:C,'2.1.clean'!A:A=C1875),filter('2.2.clean'!E:E,'2.2.clean'!D:D=C1875)),filter('2.4.clean'!C:C,'2.4.clean'!A:A=C1875))"),43894.0)</f>
        <v>43894</v>
      </c>
      <c r="F1875" s="60">
        <f>IFERROR(__xludf.DUMMYFUNCTION("iferror(ifna(IFNA(filter('2.1.clean'!E:E,'2.1.clean'!A:A=C1875),filter('2.2.clean'!G:G,'2.2.clean'!D:D=C1875)),filter('2.4.clean'!E:E,'2.4.clean'!A:A=C1875)),)"),2.39999999999999)</f>
        <v>2.4</v>
      </c>
      <c r="G1875" s="59" t="str">
        <f>IFERROR(__xludf.DUMMYFUNCTION("iferror(filter('3.1.clean'!C:C,'3.1.clean'!A:A=C1875),"""")"),"")</f>
        <v/>
      </c>
      <c r="H1875" s="58" t="b">
        <f>if(G1875="",FALSE,TRUE)</f>
        <v>0</v>
      </c>
      <c r="I1875" s="58" t="str">
        <f>IFERROR(__xludf.DUMMYFUNCTION("iferror(filter('3.1.clean'!G:G,'3.1.clean'!A:A=C1875),"""")"),"")</f>
        <v/>
      </c>
      <c r="J1875" s="60" t="str">
        <f>IFERROR(__xludf.DUMMYFUNCTION("iferror(filter('3.1.clean'!I:I,'3.1.clean'!A:A=C1875),"""")"),"")</f>
        <v/>
      </c>
      <c r="K1875" s="58"/>
      <c r="L1875" s="60"/>
      <c r="M1875" s="59" t="str">
        <f>IFERROR(__xludf.DUMMYFUNCTION("iferror(filter('3.3.clean'!C:C,'3.3.clean'!A:A=C1875),"""")"),"")</f>
        <v/>
      </c>
      <c r="N1875" s="60" t="b">
        <f t="shared" si="1483"/>
        <v>0</v>
      </c>
      <c r="O1875" s="59" t="str">
        <f>IFERROR(__xludf.DUMMYFUNCTION("iferror(filter('3.4.clean'!C:C,'3.4.clean'!A:A=C1875),"""")"),"")</f>
        <v/>
      </c>
      <c r="P1875" s="60" t="b">
        <f t="shared" si="1484"/>
        <v>0</v>
      </c>
      <c r="Q1875" s="59" t="str">
        <f>IFERROR(__xludf.DUMMYFUNCTION("iferror(filter('3.5.clean'!C:C,'3.5.clean'!A:A=C1875),"""")"),"")</f>
        <v/>
      </c>
      <c r="R1875" s="58"/>
      <c r="S1875" s="4" t="str">
        <f>IFERROR(__xludf.DUMMYFUNCTION("iferror(filter('3.5.clean'!H:H,'3.5.clean'!A:A=C1875),"""")"),"")</f>
        <v/>
      </c>
      <c r="V1875" s="1" t="s">
        <v>64</v>
      </c>
      <c r="W1875" s="23" t="b">
        <f>if(AND(H1875=TRUE,N1875=TRUE,P1875=TRUE),TRUE,FALSE)</f>
        <v>0</v>
      </c>
      <c r="X1875" s="23" t="str">
        <f>IFERROR(__xludf.DUMMYFUNCTION("if(COUNTA(FILTER(C:C, C:C = C1875))=1,""no"",""yes"")"),"no")</f>
        <v>no</v>
      </c>
    </row>
    <row r="1876">
      <c r="A1876" s="75" t="s">
        <v>1101</v>
      </c>
      <c r="B1876" s="2">
        <v>9.0</v>
      </c>
      <c r="C1876" s="19" t="s">
        <v>5723</v>
      </c>
      <c r="E1876" s="24">
        <f>IFERROR(__xludf.DUMMYFUNCTION("ifna(IFNA(filter('2.1.clean'!C:C,'2.1.clean'!A:A=C1876),filter('2.2.clean'!E:E,'2.2.clean'!D:D=C1876)),filter('2.4.clean'!C:C,'2.4.clean'!A:A=C1876))"),43894.0)</f>
        <v>43894</v>
      </c>
      <c r="F1876" s="25">
        <f>IFERROR(__xludf.DUMMYFUNCTION("iferror(ifna(IFNA(filter('2.1.clean'!E:E,'2.1.clean'!A:A=C1876),filter('2.2.clean'!G:G,'2.2.clean'!D:D=C1876)),filter('2.4.clean'!E:E,'2.4.clean'!A:A=C1876)),)"),2.39999999999999)</f>
        <v>2.4</v>
      </c>
      <c r="G1876" s="24"/>
      <c r="J1876" s="25"/>
      <c r="K1876" s="24"/>
      <c r="L1876" s="25"/>
      <c r="M1876" s="24" t="str">
        <f>IFERROR(__xludf.DUMMYFUNCTION("iferror(filter('3.3.clean'!C:C,'3.3.clean'!A:A=C1876),"""")"),"")</f>
        <v/>
      </c>
      <c r="N1876" s="25" t="b">
        <f t="shared" si="1483"/>
        <v>0</v>
      </c>
      <c r="O1876" s="24" t="str">
        <f>IFERROR(__xludf.DUMMYFUNCTION("iferror(filter('3.4.clean'!C:C,'3.4.clean'!A:A=C1876),"""")"),"")</f>
        <v/>
      </c>
      <c r="P1876" s="25" t="b">
        <f t="shared" si="1484"/>
        <v>0</v>
      </c>
      <c r="Q1876" s="24" t="str">
        <f>IFERROR(__xludf.DUMMYFUNCTION("iferror(filter('3.5.clean'!C:C,'3.5.clean'!A:A=C1876),"""")"),"")</f>
        <v/>
      </c>
      <c r="R1876" s="23" t="b">
        <f>if(Q1876="",FALSE,TRUE)</f>
        <v>0</v>
      </c>
      <c r="S1876" s="25">
        <v>0.0</v>
      </c>
      <c r="V1876" s="52" t="s">
        <v>64</v>
      </c>
      <c r="W1876" s="23" t="b">
        <f>IF(and(R1876=TRUE,N1876=TRUE,P1876=TRUE),TRUE,FALSE)</f>
        <v>0</v>
      </c>
      <c r="X1876" s="23" t="str">
        <f>IFERROR(__xludf.DUMMYFUNCTION("if(COUNTA(FILTER(C:C, C:C = C1876))=1,""no"",""yes"")"),"no")</f>
        <v>no</v>
      </c>
    </row>
    <row r="1877">
      <c r="A1877" s="75" t="s">
        <v>1101</v>
      </c>
      <c r="B1877" s="2">
        <v>10.0</v>
      </c>
      <c r="C1877" s="19" t="s">
        <v>5740</v>
      </c>
      <c r="E1877" s="59">
        <f>IFERROR(__xludf.DUMMYFUNCTION("ifna(IFNA(filter('2.1.clean'!C:C,'2.1.clean'!A:A=C1877),filter('2.2.clean'!E:E,'2.2.clean'!D:D=C1877)),filter('2.4.clean'!C:C,'2.4.clean'!A:A=C1877))"),43894.0)</f>
        <v>43894</v>
      </c>
      <c r="F1877" s="60">
        <f>IFERROR(__xludf.DUMMYFUNCTION("iferror(ifna(IFNA(filter('2.1.clean'!E:E,'2.1.clean'!A:A=C1877),filter('2.2.clean'!G:G,'2.2.clean'!D:D=C1877)),filter('2.4.clean'!E:E,'2.4.clean'!A:A=C1877)),)"),2.39999999999999)</f>
        <v>2.4</v>
      </c>
      <c r="G1877" s="59" t="str">
        <f>IFERROR(__xludf.DUMMYFUNCTION("iferror(filter('3.1.clean'!C:C,'3.1.clean'!A:A=C1877),"""")"),"")</f>
        <v/>
      </c>
      <c r="H1877" s="58" t="b">
        <f t="shared" ref="H1877:H1883" si="1485">if(G1877="",FALSE,TRUE)</f>
        <v>0</v>
      </c>
      <c r="I1877" s="58" t="str">
        <f>IFERROR(__xludf.DUMMYFUNCTION("iferror(filter('3.1.clean'!G:G,'3.1.clean'!A:A=C1877),"""")"),"")</f>
        <v/>
      </c>
      <c r="J1877" s="60" t="str">
        <f>IFERROR(__xludf.DUMMYFUNCTION("iferror(filter('3.1.clean'!I:I,'3.1.clean'!A:A=C1877),"""")"),"")</f>
        <v/>
      </c>
      <c r="K1877" s="58"/>
      <c r="L1877" s="60"/>
      <c r="M1877" s="59" t="str">
        <f>IFERROR(__xludf.DUMMYFUNCTION("iferror(filter('3.3.clean'!C:C,'3.3.clean'!A:A=C1877),"""")"),"")</f>
        <v/>
      </c>
      <c r="N1877" s="60" t="b">
        <f t="shared" si="1483"/>
        <v>0</v>
      </c>
      <c r="O1877" s="59" t="str">
        <f>IFERROR(__xludf.DUMMYFUNCTION("iferror(filter('3.4.clean'!C:C,'3.4.clean'!A:A=C1877),"""")"),"")</f>
        <v/>
      </c>
      <c r="P1877" s="60" t="b">
        <f t="shared" si="1484"/>
        <v>0</v>
      </c>
      <c r="Q1877" s="59" t="str">
        <f>IFERROR(__xludf.DUMMYFUNCTION("iferror(filter('3.5.clean'!C:C,'3.5.clean'!A:A=C1877),"""")"),"")</f>
        <v/>
      </c>
      <c r="R1877" s="58"/>
      <c r="S1877" s="4" t="str">
        <f>IFERROR(__xludf.DUMMYFUNCTION("iferror(filter('3.5.clean'!H:H,'3.5.clean'!A:A=C1877),"""")"),"")</f>
        <v/>
      </c>
      <c r="V1877" s="1" t="s">
        <v>64</v>
      </c>
      <c r="W1877" s="23" t="b">
        <f>if(AND(H1877=TRUE,N1877=TRUE,P1877=TRUE),TRUE,FALSE)</f>
        <v>0</v>
      </c>
      <c r="X1877" s="23" t="str">
        <f>IFERROR(__xludf.DUMMYFUNCTION("if(COUNTA(FILTER(C:C, C:C = C1877))=1,""no"",""yes"")"),"no")</f>
        <v>no</v>
      </c>
    </row>
    <row r="1878">
      <c r="A1878" s="75" t="s">
        <v>1101</v>
      </c>
      <c r="B1878" s="2">
        <v>11.0</v>
      </c>
      <c r="C1878" s="19" t="s">
        <v>5762</v>
      </c>
      <c r="E1878" s="24">
        <f>IFERROR(__xludf.DUMMYFUNCTION("ifna(IFNA(filter('2.1.clean'!C:C,'2.1.clean'!A:A=C1878),filter('2.2.clean'!E:E,'2.2.clean'!D:D=C1878)),filter('2.4.clean'!C:C,'2.4.clean'!A:A=C1878))"),43894.0)</f>
        <v>43894</v>
      </c>
      <c r="F1878" s="25">
        <f>IFERROR(__xludf.DUMMYFUNCTION("iferror(ifna(IFNA(filter('2.1.clean'!E:E,'2.1.clean'!A:A=C1878),filter('2.2.clean'!G:G,'2.2.clean'!D:D=C1878)),filter('2.4.clean'!E:E,'2.4.clean'!A:A=C1878)),)"),2.39999999999999)</f>
        <v>2.4</v>
      </c>
      <c r="G1878" s="43">
        <f>IFERROR(__xludf.DUMMYFUNCTION("iferror(filter('3.1.clean'!C:C,'3.1.clean'!A:A=C1878),"""")"),43894.0)</f>
        <v>43894</v>
      </c>
      <c r="H1878" s="23" t="b">
        <f t="shared" si="1485"/>
        <v>1</v>
      </c>
      <c r="J1878" s="25"/>
      <c r="K1878" s="43">
        <f>IFERROR(__xludf.DUMMYFUNCTION("iferror(filter('3.2.clean'!C:C,'3.2.clean'!A:A=C1878),"""")"),43894.0)</f>
        <v>43894</v>
      </c>
      <c r="L1878" s="25" t="b">
        <f>if(K1878="",FALSE,TRUE)</f>
        <v>1</v>
      </c>
      <c r="M1878" s="24" t="str">
        <f>IFERROR(__xludf.DUMMYFUNCTION("iferror(filter('3.3.clean'!C:C,'3.3.clean'!A:A=C1878),"""")"),"")</f>
        <v/>
      </c>
      <c r="N1878" s="25" t="b">
        <f t="shared" si="1483"/>
        <v>0</v>
      </c>
      <c r="O1878" s="24" t="str">
        <f>IFERROR(__xludf.DUMMYFUNCTION("iferror(filter('3.4.clean'!C:C,'3.4.clean'!A:A=C1878),"""")"),"")</f>
        <v/>
      </c>
      <c r="P1878" s="25" t="b">
        <f t="shared" si="1484"/>
        <v>0</v>
      </c>
      <c r="Q1878" s="24" t="str">
        <f>IFERROR(__xludf.DUMMYFUNCTION("iferror(filter('3.5.clean'!C:C,'3.5.clean'!A:A=C1878),"""")"),"")</f>
        <v/>
      </c>
      <c r="R1878" s="23" t="b">
        <f>if(Q1878="",FALSE,TRUE)</f>
        <v>0</v>
      </c>
      <c r="S1878" s="25"/>
      <c r="T1878" s="48"/>
      <c r="U1878" s="23"/>
      <c r="V1878" s="1" t="s">
        <v>64</v>
      </c>
      <c r="X1878" s="23" t="str">
        <f>IFERROR(__xludf.DUMMYFUNCTION("if(COUNTA(FILTER(C:C, C:C = C1878))=1,""no"",""yes"")"),"no")</f>
        <v>no</v>
      </c>
    </row>
    <row r="1879">
      <c r="A1879" s="75" t="s">
        <v>1101</v>
      </c>
      <c r="B1879" s="2">
        <v>12.0</v>
      </c>
      <c r="C1879" s="19" t="s">
        <v>5781</v>
      </c>
      <c r="E1879" s="77">
        <f>G1879</f>
        <v>43894</v>
      </c>
      <c r="F1879" s="78" t="str">
        <f>IFERROR(__xludf.DUMMYFUNCTION("iferror(ifna(IFNA(filter('2.1.clean'!E:E,'2.1.clean'!A:A=C1879),filter('2.2.clean'!G:G,'2.2.clean'!D:D=C1879)),filter('2.4.clean'!E:E,'2.4.clean'!A:A=C1879)),)"),"")</f>
        <v/>
      </c>
      <c r="G1879" s="77">
        <f>IFERROR(__xludf.DUMMYFUNCTION("iferror(filter('3.1.clean'!C:C,'3.1.clean'!A:A=C1879),"""")"),43894.0)</f>
        <v>43894</v>
      </c>
      <c r="H1879" s="76" t="b">
        <f t="shared" si="1485"/>
        <v>1</v>
      </c>
      <c r="I1879" s="76">
        <f>IFERROR(__xludf.DUMMYFUNCTION("iferror(filter('3.1.clean'!G:G,'3.1.clean'!A:A=C1879),"""")"),0.0)</f>
        <v>0</v>
      </c>
      <c r="J1879" s="78" t="str">
        <f>IFERROR(__xludf.DUMMYFUNCTION("iferror(filter('3.1.clean'!I:I,'3.1.clean'!A:A=C1879),"""")"),"")</f>
        <v/>
      </c>
      <c r="K1879" s="77"/>
      <c r="L1879" s="78"/>
      <c r="M1879" s="77"/>
      <c r="N1879" s="78"/>
      <c r="O1879" s="77"/>
      <c r="P1879" s="78"/>
      <c r="Q1879" s="77"/>
      <c r="R1879" s="76"/>
      <c r="S1879" s="25"/>
      <c r="T1879" s="1"/>
      <c r="V1879" s="1" t="s">
        <v>64</v>
      </c>
      <c r="W1879" s="1" t="b">
        <v>1</v>
      </c>
      <c r="X1879" s="23" t="str">
        <f>IFERROR(__xludf.DUMMYFUNCTION("if(COUNTA(FILTER(C:C, C:C = C1879))=1,""no"",""yes"")"),"no")</f>
        <v>no</v>
      </c>
    </row>
    <row r="1880">
      <c r="A1880" s="1" t="s">
        <v>1106</v>
      </c>
      <c r="B1880" s="2">
        <v>1.0</v>
      </c>
      <c r="C1880" s="23" t="s">
        <v>5795</v>
      </c>
      <c r="E1880" s="24">
        <f>IFERROR(__xludf.DUMMYFUNCTION("ifna(IFNA(filter('2.1.clean'!C:C,'2.1.clean'!A:A=C1880),filter('2.2.clean'!E:E,'2.2.clean'!D:D=C1880)),filter('2.4.clean'!C:C,'2.4.clean'!A:A=C1880))"),43895.0)</f>
        <v>43895</v>
      </c>
      <c r="F1880" s="25">
        <f>IFERROR(__xludf.DUMMYFUNCTION("iferror(ifna(IFNA(filter('2.1.clean'!E:E,'2.1.clean'!A:A=C1880),filter('2.2.clean'!G:G,'2.2.clean'!D:D=C1880)),filter('2.4.clean'!E:E,'2.4.clean'!A:A=C1880)),)"),2.39999999999999)</f>
        <v>2.4</v>
      </c>
      <c r="G1880" s="24">
        <f>IFERROR(__xludf.DUMMYFUNCTION("iferror(filter('3.1.clean'!C:C,'3.1.clean'!A:A=C1880),"""")"),43895.0)</f>
        <v>43895</v>
      </c>
      <c r="H1880" s="23" t="b">
        <f t="shared" si="1485"/>
        <v>1</v>
      </c>
      <c r="J1880" s="25"/>
      <c r="K1880" s="24">
        <f>IFERROR(__xludf.DUMMYFUNCTION("iferror(filter('3.2.clean'!C:C,'3.2.clean'!A:A=C1880),"""")"),43895.0)</f>
        <v>43895</v>
      </c>
      <c r="L1880" s="25" t="b">
        <f>if(K1880="",FALSE,TRUE)</f>
        <v>1</v>
      </c>
      <c r="M1880" s="24" t="str">
        <f>IFERROR(__xludf.DUMMYFUNCTION("iferror(filter('3.3.clean'!C:C,'3.3.clean'!A:A=C1880),"""")"),"")</f>
        <v/>
      </c>
      <c r="N1880" s="25" t="b">
        <f t="shared" ref="N1880:N1893" si="1486">if(M1880="",FALSE,TRUE)</f>
        <v>0</v>
      </c>
      <c r="O1880" s="24" t="str">
        <f>IFERROR(__xludf.DUMMYFUNCTION("iferror(filter('3.4.clean'!C:C,'3.4.clean'!A:A=C1880),"""")"),"")</f>
        <v/>
      </c>
      <c r="P1880" s="25" t="b">
        <f t="shared" ref="P1880:P1893" si="1487">if(O1880="",FALSE,TRUE)</f>
        <v>0</v>
      </c>
      <c r="Q1880" s="24" t="str">
        <f>IFERROR(__xludf.DUMMYFUNCTION("iferror(filter('3.5.clean'!C:C,'3.5.clean'!A:A=C1880),"""")"),"")</f>
        <v/>
      </c>
      <c r="R1880" s="23" t="b">
        <f>if(Q1880="",FALSE,TRUE)</f>
        <v>0</v>
      </c>
      <c r="S1880" s="25"/>
      <c r="V1880" s="1" t="s">
        <v>64</v>
      </c>
      <c r="X1880" s="23" t="str">
        <f>IFERROR(__xludf.DUMMYFUNCTION("if(COUNTA(FILTER(C:C, C:C = C1880))=1,""no"",""yes"")"),"no")</f>
        <v>no</v>
      </c>
    </row>
    <row r="1881">
      <c r="A1881" s="1" t="s">
        <v>1106</v>
      </c>
      <c r="B1881" s="2">
        <v>2.0</v>
      </c>
      <c r="C1881" s="23" t="s">
        <v>5817</v>
      </c>
      <c r="E1881" s="59">
        <f>IFERROR(__xludf.DUMMYFUNCTION("ifna(IFNA(filter('2.1.clean'!C:C,'2.1.clean'!A:A=C1881),filter('2.2.clean'!E:E,'2.2.clean'!D:D=C1881)),filter('2.4.clean'!C:C,'2.4.clean'!A:A=C1881))"),43895.0)</f>
        <v>43895</v>
      </c>
      <c r="F1881" s="60">
        <f>IFERROR(__xludf.DUMMYFUNCTION("iferror(ifna(IFNA(filter('2.1.clean'!E:E,'2.1.clean'!A:A=C1881),filter('2.2.clean'!G:G,'2.2.clean'!D:D=C1881)),filter('2.4.clean'!E:E,'2.4.clean'!A:A=C1881)),)"),2.39999999999999)</f>
        <v>2.4</v>
      </c>
      <c r="G1881" s="59">
        <f>IFERROR(__xludf.DUMMYFUNCTION("iferror(filter('3.1.clean'!C:C,'3.1.clean'!A:A=C1881),"""")"),43895.0)</f>
        <v>43895</v>
      </c>
      <c r="H1881" s="58" t="b">
        <f t="shared" si="1485"/>
        <v>1</v>
      </c>
      <c r="I1881" s="58">
        <f>IFERROR(__xludf.DUMMYFUNCTION("iferror(filter('3.1.clean'!G:G,'3.1.clean'!A:A=C1881),"""")"),0.0)</f>
        <v>0</v>
      </c>
      <c r="J1881" s="60" t="str">
        <f>IFERROR(__xludf.DUMMYFUNCTION("iferror(filter('3.1.clean'!I:I,'3.1.clean'!A:A=C1881),"""")"),"")</f>
        <v/>
      </c>
      <c r="K1881" s="58"/>
      <c r="L1881" s="60"/>
      <c r="M1881" s="59" t="str">
        <f>IFERROR(__xludf.DUMMYFUNCTION("iferror(filter('3.3.clean'!C:C,'3.3.clean'!A:A=C1881),"""")"),"")</f>
        <v/>
      </c>
      <c r="N1881" s="60" t="b">
        <f t="shared" si="1486"/>
        <v>0</v>
      </c>
      <c r="O1881" s="59" t="str">
        <f>IFERROR(__xludf.DUMMYFUNCTION("iferror(filter('3.4.clean'!C:C,'3.4.clean'!A:A=C1881),"""")"),"")</f>
        <v/>
      </c>
      <c r="P1881" s="60" t="b">
        <f t="shared" si="1487"/>
        <v>0</v>
      </c>
      <c r="Q1881" s="59" t="str">
        <f>IFERROR(__xludf.DUMMYFUNCTION("iferror(filter('3.5.clean'!C:C,'3.5.clean'!A:A=C1881),"""")"),"")</f>
        <v/>
      </c>
      <c r="R1881" s="58"/>
      <c r="S1881" s="4" t="str">
        <f>IFERROR(__xludf.DUMMYFUNCTION("iferror(filter('3.5.clean'!H:H,'3.5.clean'!A:A=C1881),"""")"),"")</f>
        <v/>
      </c>
      <c r="V1881" s="1" t="s">
        <v>64</v>
      </c>
      <c r="W1881" s="23" t="b">
        <f>if(AND(H1881=TRUE,N1881=TRUE,P1881=TRUE),TRUE,FALSE)</f>
        <v>0</v>
      </c>
      <c r="X1881" s="23" t="str">
        <f>IFERROR(__xludf.DUMMYFUNCTION("if(COUNTA(FILTER(C:C, C:C = C1881))=1,""no"",""yes"")"),"no")</f>
        <v>no</v>
      </c>
    </row>
    <row r="1882">
      <c r="A1882" s="1" t="s">
        <v>1106</v>
      </c>
      <c r="B1882" s="2">
        <v>3.0</v>
      </c>
      <c r="C1882" s="23" t="s">
        <v>5836</v>
      </c>
      <c r="E1882" s="24">
        <f>IFERROR(__xludf.DUMMYFUNCTION("ifna(IFNA(filter('2.1.clean'!C:C,'2.1.clean'!A:A=C1882),filter('2.2.clean'!E:E,'2.2.clean'!D:D=C1882)),filter('2.4.clean'!C:C,'2.4.clean'!A:A=C1882))"),43895.0)</f>
        <v>43895</v>
      </c>
      <c r="F1882" s="25">
        <f>IFERROR(__xludf.DUMMYFUNCTION("iferror(ifna(IFNA(filter('2.1.clean'!E:E,'2.1.clean'!A:A=C1882),filter('2.2.clean'!G:G,'2.2.clean'!D:D=C1882)),filter('2.4.clean'!E:E,'2.4.clean'!A:A=C1882)),)"),2.39999999999999)</f>
        <v>2.4</v>
      </c>
      <c r="G1882" s="24">
        <f>IFERROR(__xludf.DUMMYFUNCTION("iferror(filter('3.1.clean'!C:C,'3.1.clean'!A:A=C1882),"""")"),43895.0)</f>
        <v>43895</v>
      </c>
      <c r="H1882" s="23" t="b">
        <f t="shared" si="1485"/>
        <v>1</v>
      </c>
      <c r="J1882" s="25"/>
      <c r="K1882" s="24">
        <f>IFERROR(__xludf.DUMMYFUNCTION("iferror(filter('3.2.clean'!C:C,'3.2.clean'!A:A=C1882),"""")"),43895.0)</f>
        <v>43895</v>
      </c>
      <c r="L1882" s="25" t="b">
        <f>if(K1882="",FALSE,TRUE)</f>
        <v>1</v>
      </c>
      <c r="M1882" s="24" t="str">
        <f>IFERROR(__xludf.DUMMYFUNCTION("iferror(filter('3.3.clean'!C:C,'3.3.clean'!A:A=C1882),"""")"),"")</f>
        <v/>
      </c>
      <c r="N1882" s="25" t="b">
        <f t="shared" si="1486"/>
        <v>0</v>
      </c>
      <c r="O1882" s="24" t="str">
        <f>IFERROR(__xludf.DUMMYFUNCTION("iferror(filter('3.4.clean'!C:C,'3.4.clean'!A:A=C1882),"""")"),"")</f>
        <v/>
      </c>
      <c r="P1882" s="25" t="b">
        <f t="shared" si="1487"/>
        <v>0</v>
      </c>
      <c r="Q1882" s="24" t="str">
        <f>IFERROR(__xludf.DUMMYFUNCTION("iferror(filter('3.5.clean'!C:C,'3.5.clean'!A:A=C1882),"""")"),"")</f>
        <v/>
      </c>
      <c r="R1882" s="23" t="b">
        <f>if(Q1882="",FALSE,TRUE)</f>
        <v>0</v>
      </c>
      <c r="S1882" s="25"/>
      <c r="V1882" s="1" t="s">
        <v>64</v>
      </c>
      <c r="X1882" s="23" t="str">
        <f>IFERROR(__xludf.DUMMYFUNCTION("if(COUNTA(FILTER(C:C, C:C = C1882))=1,""no"",""yes"")"),"no")</f>
        <v>no</v>
      </c>
    </row>
    <row r="1883">
      <c r="A1883" s="1" t="s">
        <v>1106</v>
      </c>
      <c r="B1883" s="2">
        <v>4.0</v>
      </c>
      <c r="C1883" s="23" t="s">
        <v>5849</v>
      </c>
      <c r="E1883" s="59">
        <f>IFERROR(__xludf.DUMMYFUNCTION("ifna(IFNA(filter('2.1.clean'!C:C,'2.1.clean'!A:A=C1883),filter('2.2.clean'!E:E,'2.2.clean'!D:D=C1883)),filter('2.4.clean'!C:C,'2.4.clean'!A:A=C1883))"),43895.0)</f>
        <v>43895</v>
      </c>
      <c r="F1883" s="60">
        <f>IFERROR(__xludf.DUMMYFUNCTION("iferror(ifna(IFNA(filter('2.1.clean'!E:E,'2.1.clean'!A:A=C1883),filter('2.2.clean'!G:G,'2.2.clean'!D:D=C1883)),filter('2.4.clean'!E:E,'2.4.clean'!A:A=C1883)),)"),2.39999999999999)</f>
        <v>2.4</v>
      </c>
      <c r="G1883" s="59">
        <f>IFERROR(__xludf.DUMMYFUNCTION("iferror(filter('3.1.clean'!C:C,'3.1.clean'!A:A=C1883),"""")"),43895.0)</f>
        <v>43895</v>
      </c>
      <c r="H1883" s="58" t="b">
        <f t="shared" si="1485"/>
        <v>1</v>
      </c>
      <c r="I1883" s="58">
        <f>IFERROR(__xludf.DUMMYFUNCTION("iferror(filter('3.1.clean'!G:G,'3.1.clean'!A:A=C1883),"""")"),0.0)</f>
        <v>0</v>
      </c>
      <c r="J1883" s="60" t="str">
        <f>IFERROR(__xludf.DUMMYFUNCTION("iferror(filter('3.1.clean'!I:I,'3.1.clean'!A:A=C1883),"""")"),"")</f>
        <v/>
      </c>
      <c r="K1883" s="58"/>
      <c r="L1883" s="60"/>
      <c r="M1883" s="59" t="str">
        <f>IFERROR(__xludf.DUMMYFUNCTION("iferror(filter('3.3.clean'!C:C,'3.3.clean'!A:A=C1883),"""")"),"")</f>
        <v/>
      </c>
      <c r="N1883" s="60" t="b">
        <f t="shared" si="1486"/>
        <v>0</v>
      </c>
      <c r="O1883" s="59" t="str">
        <f>IFERROR(__xludf.DUMMYFUNCTION("iferror(filter('3.4.clean'!C:C,'3.4.clean'!A:A=C1883),"""")"),"")</f>
        <v/>
      </c>
      <c r="P1883" s="60" t="b">
        <f t="shared" si="1487"/>
        <v>0</v>
      </c>
      <c r="Q1883" s="59" t="str">
        <f>IFERROR(__xludf.DUMMYFUNCTION("iferror(filter('3.5.clean'!C:C,'3.5.clean'!A:A=C1883),"""")"),"")</f>
        <v/>
      </c>
      <c r="R1883" s="58"/>
      <c r="S1883" s="4" t="str">
        <f>IFERROR(__xludf.DUMMYFUNCTION("iferror(filter('3.5.clean'!H:H,'3.5.clean'!A:A=C1883),"""")"),"")</f>
        <v/>
      </c>
      <c r="V1883" s="1" t="s">
        <v>64</v>
      </c>
      <c r="W1883" s="23" t="b">
        <f>if(AND(H1883=TRUE,N1883=TRUE,P1883=TRUE),TRUE,FALSE)</f>
        <v>0</v>
      </c>
      <c r="X1883" s="23" t="str">
        <f>IFERROR(__xludf.DUMMYFUNCTION("if(COUNTA(FILTER(C:C, C:C = C1883))=1,""no"",""yes"")"),"no")</f>
        <v>no</v>
      </c>
    </row>
    <row r="1884">
      <c r="A1884" s="1" t="s">
        <v>1106</v>
      </c>
      <c r="B1884" s="2">
        <v>5.0</v>
      </c>
      <c r="C1884" s="23" t="s">
        <v>5867</v>
      </c>
      <c r="E1884" s="24">
        <f>IFERROR(__xludf.DUMMYFUNCTION("ifna(IFNA(filter('2.1.clean'!C:C,'2.1.clean'!A:A=C1884),filter('2.2.clean'!E:E,'2.2.clean'!D:D=C1884)),filter('2.4.clean'!C:C,'2.4.clean'!A:A=C1884))"),43895.0)</f>
        <v>43895</v>
      </c>
      <c r="F1884" s="25">
        <f>IFERROR(__xludf.DUMMYFUNCTION("iferror(ifna(IFNA(filter('2.1.clean'!E:E,'2.1.clean'!A:A=C1884),filter('2.2.clean'!G:G,'2.2.clean'!D:D=C1884)),filter('2.4.clean'!E:E,'2.4.clean'!A:A=C1884)),)"),2.39999999999999)</f>
        <v>2.4</v>
      </c>
      <c r="G1884" s="24"/>
      <c r="J1884" s="25"/>
      <c r="K1884" s="24"/>
      <c r="L1884" s="25"/>
      <c r="M1884" s="24" t="str">
        <f>IFERROR(__xludf.DUMMYFUNCTION("iferror(filter('3.3.clean'!C:C,'3.3.clean'!A:A=C1884),"""")"),"")</f>
        <v/>
      </c>
      <c r="N1884" s="25" t="b">
        <f t="shared" si="1486"/>
        <v>0</v>
      </c>
      <c r="O1884" s="24" t="str">
        <f>IFERROR(__xludf.DUMMYFUNCTION("iferror(filter('3.4.clean'!C:C,'3.4.clean'!A:A=C1884),"""")"),"")</f>
        <v/>
      </c>
      <c r="P1884" s="25" t="b">
        <f t="shared" si="1487"/>
        <v>0</v>
      </c>
      <c r="Q1884" s="24" t="str">
        <f>IFERROR(__xludf.DUMMYFUNCTION("iferror(filter('3.5.clean'!C:C,'3.5.clean'!A:A=C1884),"""")"),"")</f>
        <v/>
      </c>
      <c r="R1884" s="23" t="b">
        <f>if(Q1884="",FALSE,TRUE)</f>
        <v>0</v>
      </c>
      <c r="S1884" s="25">
        <v>0.0</v>
      </c>
      <c r="V1884" s="52" t="s">
        <v>64</v>
      </c>
      <c r="W1884" s="23" t="b">
        <f>IF(and(R1884=TRUE,N1884=TRUE,P1884=TRUE),TRUE,FALSE)</f>
        <v>0</v>
      </c>
      <c r="X1884" s="23" t="str">
        <f>IFERROR(__xludf.DUMMYFUNCTION("if(COUNTA(FILTER(C:C, C:C = C1884))=1,""no"",""yes"")"),"no")</f>
        <v>no</v>
      </c>
    </row>
    <row r="1885">
      <c r="A1885" s="1" t="s">
        <v>1106</v>
      </c>
      <c r="B1885" s="2">
        <v>6.0</v>
      </c>
      <c r="C1885" s="23" t="s">
        <v>5887</v>
      </c>
      <c r="E1885" s="59">
        <f>IFERROR(__xludf.DUMMYFUNCTION("ifna(IFNA(filter('2.1.clean'!C:C,'2.1.clean'!A:A=C1885),filter('2.2.clean'!E:E,'2.2.clean'!D:D=C1885)),filter('2.4.clean'!C:C,'2.4.clean'!A:A=C1885))"),43895.0)</f>
        <v>43895</v>
      </c>
      <c r="F1885" s="60">
        <f>IFERROR(__xludf.DUMMYFUNCTION("iferror(ifna(IFNA(filter('2.1.clean'!E:E,'2.1.clean'!A:A=C1885),filter('2.2.clean'!G:G,'2.2.clean'!D:D=C1885)),filter('2.4.clean'!E:E,'2.4.clean'!A:A=C1885)),)"),2.39999999999999)</f>
        <v>2.4</v>
      </c>
      <c r="G1885" s="59" t="str">
        <f>IFERROR(__xludf.DUMMYFUNCTION("iferror(filter('3.1.clean'!C:C,'3.1.clean'!A:A=C1885),"""")"),"")</f>
        <v/>
      </c>
      <c r="H1885" s="58" t="b">
        <f>if(G1885="",FALSE,TRUE)</f>
        <v>0</v>
      </c>
      <c r="I1885" s="58" t="str">
        <f>IFERROR(__xludf.DUMMYFUNCTION("iferror(filter('3.1.clean'!G:G,'3.1.clean'!A:A=C1885),"""")"),"")</f>
        <v/>
      </c>
      <c r="J1885" s="60" t="str">
        <f>IFERROR(__xludf.DUMMYFUNCTION("iferror(filter('3.1.clean'!I:I,'3.1.clean'!A:A=C1885),"""")"),"")</f>
        <v/>
      </c>
      <c r="K1885" s="58"/>
      <c r="L1885" s="60"/>
      <c r="M1885" s="59" t="str">
        <f>IFERROR(__xludf.DUMMYFUNCTION("iferror(filter('3.3.clean'!C:C,'3.3.clean'!A:A=C1885),"""")"),"")</f>
        <v/>
      </c>
      <c r="N1885" s="60" t="b">
        <f t="shared" si="1486"/>
        <v>0</v>
      </c>
      <c r="O1885" s="59" t="str">
        <f>IFERROR(__xludf.DUMMYFUNCTION("iferror(filter('3.4.clean'!C:C,'3.4.clean'!A:A=C1885),"""")"),"")</f>
        <v/>
      </c>
      <c r="P1885" s="60" t="b">
        <f t="shared" si="1487"/>
        <v>0</v>
      </c>
      <c r="Q1885" s="59" t="str">
        <f>IFERROR(__xludf.DUMMYFUNCTION("iferror(filter('3.5.clean'!C:C,'3.5.clean'!A:A=C1885),"""")"),"")</f>
        <v/>
      </c>
      <c r="R1885" s="58"/>
      <c r="S1885" s="4" t="str">
        <f>IFERROR(__xludf.DUMMYFUNCTION("iferror(filter('3.5.clean'!H:H,'3.5.clean'!A:A=C1885),"""")"),"")</f>
        <v/>
      </c>
      <c r="V1885" s="1" t="s">
        <v>64</v>
      </c>
      <c r="W1885" s="23" t="b">
        <f>if(AND(H1885=TRUE,N1885=TRUE,P1885=TRUE),TRUE,FALSE)</f>
        <v>0</v>
      </c>
      <c r="X1885" s="23" t="str">
        <f>IFERROR(__xludf.DUMMYFUNCTION("if(COUNTA(FILTER(C:C, C:C = C1885))=1,""no"",""yes"")"),"no")</f>
        <v>no</v>
      </c>
    </row>
    <row r="1886">
      <c r="A1886" s="1" t="s">
        <v>1106</v>
      </c>
      <c r="B1886" s="2">
        <v>7.0</v>
      </c>
      <c r="C1886" s="23" t="s">
        <v>5909</v>
      </c>
      <c r="E1886" s="24">
        <f>IFERROR(__xludf.DUMMYFUNCTION("ifna(IFNA(filter('2.1.clean'!C:C,'2.1.clean'!A:A=C1886),filter('2.2.clean'!E:E,'2.2.clean'!D:D=C1886)),filter('2.4.clean'!C:C,'2.4.clean'!A:A=C1886))"),43895.0)</f>
        <v>43895</v>
      </c>
      <c r="F1886" s="25">
        <f>IFERROR(__xludf.DUMMYFUNCTION("iferror(ifna(IFNA(filter('2.1.clean'!E:E,'2.1.clean'!A:A=C1886),filter('2.2.clean'!G:G,'2.2.clean'!D:D=C1886)),filter('2.4.clean'!E:E,'2.4.clean'!A:A=C1886)),)"),2.39999999999999)</f>
        <v>2.4</v>
      </c>
      <c r="G1886" s="24"/>
      <c r="J1886" s="25"/>
      <c r="K1886" s="24"/>
      <c r="L1886" s="25"/>
      <c r="M1886" s="24" t="str">
        <f>IFERROR(__xludf.DUMMYFUNCTION("iferror(filter('3.3.clean'!C:C,'3.3.clean'!A:A=C1886),"""")"),"")</f>
        <v/>
      </c>
      <c r="N1886" s="25" t="b">
        <f t="shared" si="1486"/>
        <v>0</v>
      </c>
      <c r="O1886" s="24" t="str">
        <f>IFERROR(__xludf.DUMMYFUNCTION("iferror(filter('3.4.clean'!C:C,'3.4.clean'!A:A=C1886),"""")"),"")</f>
        <v/>
      </c>
      <c r="P1886" s="25" t="b">
        <f t="shared" si="1487"/>
        <v>0</v>
      </c>
      <c r="Q1886" s="24" t="str">
        <f>IFERROR(__xludf.DUMMYFUNCTION("iferror(filter('3.5.clean'!C:C,'3.5.clean'!A:A=C1886),"""")"),"")</f>
        <v/>
      </c>
      <c r="R1886" s="23" t="b">
        <f>if(Q1886="",FALSE,TRUE)</f>
        <v>0</v>
      </c>
      <c r="S1886" s="25">
        <v>0.0</v>
      </c>
      <c r="V1886" s="52" t="s">
        <v>64</v>
      </c>
      <c r="W1886" s="23" t="b">
        <f>IF(and(R1886=TRUE,N1886=TRUE,P1886=TRUE),TRUE,FALSE)</f>
        <v>0</v>
      </c>
      <c r="X1886" s="23" t="str">
        <f>IFERROR(__xludf.DUMMYFUNCTION("if(COUNTA(FILTER(C:C, C:C = C1886))=1,""no"",""yes"")"),"no")</f>
        <v>no</v>
      </c>
    </row>
    <row r="1887">
      <c r="A1887" s="1" t="s">
        <v>1106</v>
      </c>
      <c r="B1887" s="2">
        <v>8.0</v>
      </c>
      <c r="C1887" s="23" t="s">
        <v>5920</v>
      </c>
      <c r="E1887" s="59">
        <f>IFERROR(__xludf.DUMMYFUNCTION("ifna(IFNA(filter('2.1.clean'!C:C,'2.1.clean'!A:A=C1887),filter('2.2.clean'!E:E,'2.2.clean'!D:D=C1887)),filter('2.4.clean'!C:C,'2.4.clean'!A:A=C1887))"),43895.0)</f>
        <v>43895</v>
      </c>
      <c r="F1887" s="60">
        <f>IFERROR(__xludf.DUMMYFUNCTION("iferror(ifna(IFNA(filter('2.1.clean'!E:E,'2.1.clean'!A:A=C1887),filter('2.2.clean'!G:G,'2.2.clean'!D:D=C1887)),filter('2.4.clean'!E:E,'2.4.clean'!A:A=C1887)),)"),2.39999999999999)</f>
        <v>2.4</v>
      </c>
      <c r="G1887" s="59" t="str">
        <f>IFERROR(__xludf.DUMMYFUNCTION("iferror(filter('3.1.clean'!C:C,'3.1.clean'!A:A=C1887),"""")"),"")</f>
        <v/>
      </c>
      <c r="H1887" s="58" t="b">
        <f>if(G1887="",FALSE,TRUE)</f>
        <v>0</v>
      </c>
      <c r="I1887" s="58" t="str">
        <f>IFERROR(__xludf.DUMMYFUNCTION("iferror(filter('3.1.clean'!G:G,'3.1.clean'!A:A=C1887),"""")"),"")</f>
        <v/>
      </c>
      <c r="J1887" s="60" t="str">
        <f>IFERROR(__xludf.DUMMYFUNCTION("iferror(filter('3.1.clean'!I:I,'3.1.clean'!A:A=C1887),"""")"),"")</f>
        <v/>
      </c>
      <c r="K1887" s="58"/>
      <c r="L1887" s="60"/>
      <c r="M1887" s="59" t="str">
        <f>IFERROR(__xludf.DUMMYFUNCTION("iferror(filter('3.3.clean'!C:C,'3.3.clean'!A:A=C1887),"""")"),"")</f>
        <v/>
      </c>
      <c r="N1887" s="60" t="b">
        <f t="shared" si="1486"/>
        <v>0</v>
      </c>
      <c r="O1887" s="59" t="str">
        <f>IFERROR(__xludf.DUMMYFUNCTION("iferror(filter('3.4.clean'!C:C,'3.4.clean'!A:A=C1887),"""")"),"")</f>
        <v/>
      </c>
      <c r="P1887" s="60" t="b">
        <f t="shared" si="1487"/>
        <v>0</v>
      </c>
      <c r="Q1887" s="59" t="str">
        <f>IFERROR(__xludf.DUMMYFUNCTION("iferror(filter('3.5.clean'!C:C,'3.5.clean'!A:A=C1887),"""")"),"")</f>
        <v/>
      </c>
      <c r="R1887" s="58"/>
      <c r="S1887" s="4" t="str">
        <f>IFERROR(__xludf.DUMMYFUNCTION("iferror(filter('3.5.clean'!H:H,'3.5.clean'!A:A=C1887),"""")"),"")</f>
        <v/>
      </c>
      <c r="V1887" s="1" t="s">
        <v>64</v>
      </c>
      <c r="W1887" s="23" t="b">
        <f>if(AND(H1887=TRUE,N1887=TRUE,P1887=TRUE),TRUE,FALSE)</f>
        <v>0</v>
      </c>
      <c r="X1887" s="23" t="str">
        <f>IFERROR(__xludf.DUMMYFUNCTION("if(COUNTA(FILTER(C:C, C:C = C1887))=1,""no"",""yes"")"),"no")</f>
        <v>no</v>
      </c>
    </row>
    <row r="1888">
      <c r="A1888" s="1" t="s">
        <v>1106</v>
      </c>
      <c r="B1888" s="2">
        <v>9.0</v>
      </c>
      <c r="C1888" s="23" t="s">
        <v>5933</v>
      </c>
      <c r="E1888" s="24">
        <f>IFERROR(__xludf.DUMMYFUNCTION("ifna(IFNA(filter('2.1.clean'!C:C,'2.1.clean'!A:A=C1888),filter('2.2.clean'!E:E,'2.2.clean'!D:D=C1888)),filter('2.4.clean'!C:C,'2.4.clean'!A:A=C1888))"),43895.0)</f>
        <v>43895</v>
      </c>
      <c r="F1888" s="25">
        <f>IFERROR(__xludf.DUMMYFUNCTION("iferror(ifna(IFNA(filter('2.1.clean'!E:E,'2.1.clean'!A:A=C1888),filter('2.2.clean'!G:G,'2.2.clean'!D:D=C1888)),filter('2.4.clean'!E:E,'2.4.clean'!A:A=C1888)),)"),2.39999999999999)</f>
        <v>2.4</v>
      </c>
      <c r="G1888" s="24"/>
      <c r="J1888" s="25"/>
      <c r="K1888" s="24"/>
      <c r="L1888" s="25"/>
      <c r="M1888" s="24" t="str">
        <f>IFERROR(__xludf.DUMMYFUNCTION("iferror(filter('3.3.clean'!C:C,'3.3.clean'!A:A=C1888),"""")"),"")</f>
        <v/>
      </c>
      <c r="N1888" s="25" t="b">
        <f t="shared" si="1486"/>
        <v>0</v>
      </c>
      <c r="O1888" s="24" t="str">
        <f>IFERROR(__xludf.DUMMYFUNCTION("iferror(filter('3.4.clean'!C:C,'3.4.clean'!A:A=C1888),"""")"),"")</f>
        <v/>
      </c>
      <c r="P1888" s="25" t="b">
        <f t="shared" si="1487"/>
        <v>0</v>
      </c>
      <c r="Q1888" s="24" t="str">
        <f>IFERROR(__xludf.DUMMYFUNCTION("iferror(filter('3.5.clean'!C:C,'3.5.clean'!A:A=C1888),"""")"),"")</f>
        <v/>
      </c>
      <c r="R1888" s="23" t="b">
        <f>if(Q1888="",FALSE,TRUE)</f>
        <v>0</v>
      </c>
      <c r="S1888" s="25">
        <v>0.0</v>
      </c>
      <c r="V1888" s="52" t="s">
        <v>64</v>
      </c>
      <c r="W1888" s="23" t="b">
        <f>IF(and(R1888=TRUE,N1888=TRUE,P1888=TRUE),TRUE,FALSE)</f>
        <v>0</v>
      </c>
      <c r="X1888" s="23" t="str">
        <f>IFERROR(__xludf.DUMMYFUNCTION("if(COUNTA(FILTER(C:C, C:C = C1888))=1,""no"",""yes"")"),"no")</f>
        <v>no</v>
      </c>
    </row>
    <row r="1889">
      <c r="A1889" s="1" t="s">
        <v>1106</v>
      </c>
      <c r="B1889" s="2">
        <v>10.0</v>
      </c>
      <c r="C1889" s="23" t="s">
        <v>5946</v>
      </c>
      <c r="E1889" s="59">
        <f>IFERROR(__xludf.DUMMYFUNCTION("ifna(IFNA(filter('2.1.clean'!C:C,'2.1.clean'!A:A=C1889),filter('2.2.clean'!E:E,'2.2.clean'!D:D=C1889)),filter('2.4.clean'!C:C,'2.4.clean'!A:A=C1889))"),43895.0)</f>
        <v>43895</v>
      </c>
      <c r="F1889" s="60">
        <f>IFERROR(__xludf.DUMMYFUNCTION("iferror(ifna(IFNA(filter('2.1.clean'!E:E,'2.1.clean'!A:A=C1889),filter('2.2.clean'!G:G,'2.2.clean'!D:D=C1889)),filter('2.4.clean'!E:E,'2.4.clean'!A:A=C1889)),)"),2.39999999999999)</f>
        <v>2.4</v>
      </c>
      <c r="G1889" s="59" t="str">
        <f>IFERROR(__xludf.DUMMYFUNCTION("iferror(filter('3.1.clean'!C:C,'3.1.clean'!A:A=C1889),"""")"),"")</f>
        <v/>
      </c>
      <c r="H1889" s="58" t="b">
        <f>if(G1889="",FALSE,TRUE)</f>
        <v>0</v>
      </c>
      <c r="I1889" s="58" t="str">
        <f>IFERROR(__xludf.DUMMYFUNCTION("iferror(filter('3.1.clean'!G:G,'3.1.clean'!A:A=C1889),"""")"),"")</f>
        <v/>
      </c>
      <c r="J1889" s="60" t="str">
        <f>IFERROR(__xludf.DUMMYFUNCTION("iferror(filter('3.1.clean'!I:I,'3.1.clean'!A:A=C1889),"""")"),"")</f>
        <v/>
      </c>
      <c r="K1889" s="58"/>
      <c r="L1889" s="60"/>
      <c r="M1889" s="59" t="str">
        <f>IFERROR(__xludf.DUMMYFUNCTION("iferror(filter('3.3.clean'!C:C,'3.3.clean'!A:A=C1889),"""")"),"")</f>
        <v/>
      </c>
      <c r="N1889" s="60" t="b">
        <f t="shared" si="1486"/>
        <v>0</v>
      </c>
      <c r="O1889" s="59" t="str">
        <f>IFERROR(__xludf.DUMMYFUNCTION("iferror(filter('3.4.clean'!C:C,'3.4.clean'!A:A=C1889),"""")"),"")</f>
        <v/>
      </c>
      <c r="P1889" s="60" t="b">
        <f t="shared" si="1487"/>
        <v>0</v>
      </c>
      <c r="Q1889" s="59" t="str">
        <f>IFERROR(__xludf.DUMMYFUNCTION("iferror(filter('3.5.clean'!C:C,'3.5.clean'!A:A=C1889),"""")"),"")</f>
        <v/>
      </c>
      <c r="R1889" s="58"/>
      <c r="S1889" s="4" t="str">
        <f>IFERROR(__xludf.DUMMYFUNCTION("iferror(filter('3.5.clean'!H:H,'3.5.clean'!A:A=C1889),"""")"),"")</f>
        <v/>
      </c>
      <c r="V1889" s="1" t="s">
        <v>64</v>
      </c>
      <c r="W1889" s="23" t="b">
        <f>if(AND(H1889=TRUE,N1889=TRUE,P1889=TRUE),TRUE,FALSE)</f>
        <v>0</v>
      </c>
      <c r="X1889" s="23" t="str">
        <f>IFERROR(__xludf.DUMMYFUNCTION("if(COUNTA(FILTER(C:C, C:C = C1889))=1,""no"",""yes"")"),"no")</f>
        <v>no</v>
      </c>
    </row>
    <row r="1890">
      <c r="A1890" s="1" t="s">
        <v>1106</v>
      </c>
      <c r="B1890" s="2">
        <v>11.0</v>
      </c>
      <c r="C1890" s="23" t="s">
        <v>5959</v>
      </c>
      <c r="E1890" s="24">
        <f>IFERROR(__xludf.DUMMYFUNCTION("ifna(IFNA(filter('2.1.clean'!C:C,'2.1.clean'!A:A=C1890),filter('2.2.clean'!E:E,'2.2.clean'!D:D=C1890)),filter('2.4.clean'!C:C,'2.4.clean'!A:A=C1890))"),43895.0)</f>
        <v>43895</v>
      </c>
      <c r="F1890" s="25">
        <f>IFERROR(__xludf.DUMMYFUNCTION("iferror(ifna(IFNA(filter('2.1.clean'!E:E,'2.1.clean'!A:A=C1890),filter('2.2.clean'!G:G,'2.2.clean'!D:D=C1890)),filter('2.4.clean'!E:E,'2.4.clean'!A:A=C1890)),)"),2.39999999999999)</f>
        <v>2.4</v>
      </c>
      <c r="G1890" s="24"/>
      <c r="J1890" s="25"/>
      <c r="K1890" s="24"/>
      <c r="L1890" s="25"/>
      <c r="M1890" s="24" t="str">
        <f>IFERROR(__xludf.DUMMYFUNCTION("iferror(filter('3.3.clean'!C:C,'3.3.clean'!A:A=C1890),"""")"),"")</f>
        <v/>
      </c>
      <c r="N1890" s="25" t="b">
        <f t="shared" si="1486"/>
        <v>0</v>
      </c>
      <c r="O1890" s="24" t="str">
        <f>IFERROR(__xludf.DUMMYFUNCTION("iferror(filter('3.4.clean'!C:C,'3.4.clean'!A:A=C1890),"""")"),"")</f>
        <v/>
      </c>
      <c r="P1890" s="25" t="b">
        <f t="shared" si="1487"/>
        <v>0</v>
      </c>
      <c r="Q1890" s="24" t="str">
        <f>IFERROR(__xludf.DUMMYFUNCTION("iferror(filter('3.5.clean'!C:C,'3.5.clean'!A:A=C1890),"""")"),"")</f>
        <v/>
      </c>
      <c r="R1890" s="23" t="b">
        <f>if(Q1890="",FALSE,TRUE)</f>
        <v>0</v>
      </c>
      <c r="S1890" s="25">
        <v>0.0</v>
      </c>
      <c r="V1890" s="52" t="s">
        <v>64</v>
      </c>
      <c r="W1890" s="23" t="b">
        <f>IF(and(R1890=TRUE,N1890=TRUE,P1890=TRUE),TRUE,FALSE)</f>
        <v>0</v>
      </c>
      <c r="X1890" s="23" t="str">
        <f>IFERROR(__xludf.DUMMYFUNCTION("if(COUNTA(FILTER(C:C, C:C = C1890))=1,""no"",""yes"")"),"no")</f>
        <v>no</v>
      </c>
    </row>
    <row r="1891">
      <c r="A1891" s="1" t="s">
        <v>1106</v>
      </c>
      <c r="B1891" s="2">
        <v>12.0</v>
      </c>
      <c r="C1891" s="23" t="s">
        <v>5973</v>
      </c>
      <c r="E1891" s="59">
        <f>IFERROR(__xludf.DUMMYFUNCTION("ifna(IFNA(filter('2.1.clean'!C:C,'2.1.clean'!A:A=C1891),filter('2.2.clean'!E:E,'2.2.clean'!D:D=C1891)),filter('2.4.clean'!C:C,'2.4.clean'!A:A=C1891))"),43895.0)</f>
        <v>43895</v>
      </c>
      <c r="F1891" s="60">
        <f>IFERROR(__xludf.DUMMYFUNCTION("iferror(ifna(IFNA(filter('2.1.clean'!E:E,'2.1.clean'!A:A=C1891),filter('2.2.clean'!G:G,'2.2.clean'!D:D=C1891)),filter('2.4.clean'!E:E,'2.4.clean'!A:A=C1891)),)"),2.39999999999999)</f>
        <v>2.4</v>
      </c>
      <c r="G1891" s="59" t="str">
        <f>IFERROR(__xludf.DUMMYFUNCTION("iferror(filter('3.1.clean'!C:C,'3.1.clean'!A:A=C1891),"""")"),"")</f>
        <v/>
      </c>
      <c r="H1891" s="58" t="b">
        <f>if(G1891="",FALSE,TRUE)</f>
        <v>0</v>
      </c>
      <c r="I1891" s="58" t="str">
        <f>IFERROR(__xludf.DUMMYFUNCTION("iferror(filter('3.1.clean'!G:G,'3.1.clean'!A:A=C1891),"""")"),"")</f>
        <v/>
      </c>
      <c r="J1891" s="60" t="str">
        <f>IFERROR(__xludf.DUMMYFUNCTION("iferror(filter('3.1.clean'!I:I,'3.1.clean'!A:A=C1891),"""")"),"")</f>
        <v/>
      </c>
      <c r="K1891" s="58"/>
      <c r="L1891" s="60"/>
      <c r="M1891" s="59" t="str">
        <f>IFERROR(__xludf.DUMMYFUNCTION("iferror(filter('3.3.clean'!C:C,'3.3.clean'!A:A=C1891),"""")"),"")</f>
        <v/>
      </c>
      <c r="N1891" s="60" t="b">
        <f t="shared" si="1486"/>
        <v>0</v>
      </c>
      <c r="O1891" s="59" t="str">
        <f>IFERROR(__xludf.DUMMYFUNCTION("iferror(filter('3.4.clean'!C:C,'3.4.clean'!A:A=C1891),"""")"),"")</f>
        <v/>
      </c>
      <c r="P1891" s="60" t="b">
        <f t="shared" si="1487"/>
        <v>0</v>
      </c>
      <c r="Q1891" s="59" t="str">
        <f>IFERROR(__xludf.DUMMYFUNCTION("iferror(filter('3.5.clean'!C:C,'3.5.clean'!A:A=C1891),"""")"),"")</f>
        <v/>
      </c>
      <c r="R1891" s="58"/>
      <c r="S1891" s="4" t="str">
        <f>IFERROR(__xludf.DUMMYFUNCTION("iferror(filter('3.5.clean'!H:H,'3.5.clean'!A:A=C1891),"""")"),"")</f>
        <v/>
      </c>
      <c r="V1891" s="1" t="s">
        <v>64</v>
      </c>
      <c r="W1891" s="23" t="b">
        <f>if(AND(H1891=TRUE,N1891=TRUE,P1891=TRUE),TRUE,FALSE)</f>
        <v>0</v>
      </c>
      <c r="X1891" s="23" t="str">
        <f>IFERROR(__xludf.DUMMYFUNCTION("if(COUNTA(FILTER(C:C, C:C = C1891))=1,""no"",""yes"")"),"no")</f>
        <v>no</v>
      </c>
    </row>
    <row r="1892">
      <c r="A1892" s="1" t="s">
        <v>1106</v>
      </c>
      <c r="B1892" s="2">
        <v>13.0</v>
      </c>
      <c r="C1892" s="23" t="s">
        <v>5992</v>
      </c>
      <c r="E1892" s="24">
        <f>IFERROR(__xludf.DUMMYFUNCTION("ifna(IFNA(filter('2.1.clean'!C:C,'2.1.clean'!A:A=C1892),filter('2.2.clean'!E:E,'2.2.clean'!D:D=C1892)),filter('2.4.clean'!C:C,'2.4.clean'!A:A=C1892))"),43895.0)</f>
        <v>43895</v>
      </c>
      <c r="F1892" s="25">
        <f>IFERROR(__xludf.DUMMYFUNCTION("iferror(ifna(IFNA(filter('2.1.clean'!E:E,'2.1.clean'!A:A=C1892),filter('2.2.clean'!G:G,'2.2.clean'!D:D=C1892)),filter('2.4.clean'!E:E,'2.4.clean'!A:A=C1892)),)"),2.39999999999999)</f>
        <v>2.4</v>
      </c>
      <c r="G1892" s="24"/>
      <c r="J1892" s="25"/>
      <c r="K1892" s="24"/>
      <c r="L1892" s="25"/>
      <c r="M1892" s="24" t="str">
        <f>IFERROR(__xludf.DUMMYFUNCTION("iferror(filter('3.3.clean'!C:C,'3.3.clean'!A:A=C1892),"""")"),"")</f>
        <v/>
      </c>
      <c r="N1892" s="25" t="b">
        <f t="shared" si="1486"/>
        <v>0</v>
      </c>
      <c r="O1892" s="24" t="str">
        <f>IFERROR(__xludf.DUMMYFUNCTION("iferror(filter('3.4.clean'!C:C,'3.4.clean'!A:A=C1892),"""")"),"")</f>
        <v/>
      </c>
      <c r="P1892" s="25" t="b">
        <f t="shared" si="1487"/>
        <v>0</v>
      </c>
      <c r="Q1892" s="24" t="str">
        <f>IFERROR(__xludf.DUMMYFUNCTION("iferror(filter('3.5.clean'!C:C,'3.5.clean'!A:A=C1892),"""")"),"")</f>
        <v/>
      </c>
      <c r="R1892" s="23" t="b">
        <f>if(Q1892="",FALSE,TRUE)</f>
        <v>0</v>
      </c>
      <c r="S1892" s="25">
        <v>0.0</v>
      </c>
      <c r="V1892" s="52" t="s">
        <v>64</v>
      </c>
      <c r="W1892" s="23" t="b">
        <f>IF(and(R1892=TRUE,N1892=TRUE,P1892=TRUE),TRUE,FALSE)</f>
        <v>0</v>
      </c>
      <c r="X1892" s="23" t="str">
        <f>IFERROR(__xludf.DUMMYFUNCTION("if(COUNTA(FILTER(C:C, C:C = C1892))=1,""no"",""yes"")"),"no")</f>
        <v>no</v>
      </c>
    </row>
    <row r="1893">
      <c r="A1893" s="1" t="s">
        <v>1106</v>
      </c>
      <c r="B1893" s="2">
        <v>14.0</v>
      </c>
      <c r="C1893" s="23" t="s">
        <v>6005</v>
      </c>
      <c r="E1893" s="59">
        <f>IFERROR(__xludf.DUMMYFUNCTION("ifna(IFNA(filter('2.1.clean'!C:C,'2.1.clean'!A:A=C1893),filter('2.2.clean'!E:E,'2.2.clean'!D:D=C1893)),filter('2.4.clean'!C:C,'2.4.clean'!A:A=C1893))"),43895.0)</f>
        <v>43895</v>
      </c>
      <c r="F1893" s="60">
        <f>IFERROR(__xludf.DUMMYFUNCTION("iferror(ifna(IFNA(filter('2.1.clean'!E:E,'2.1.clean'!A:A=C1893),filter('2.2.clean'!G:G,'2.2.clean'!D:D=C1893)),filter('2.4.clean'!E:E,'2.4.clean'!A:A=C1893)),)"),2.39999999999999)</f>
        <v>2.4</v>
      </c>
      <c r="G1893" s="59" t="str">
        <f>IFERROR(__xludf.DUMMYFUNCTION("iferror(filter('3.1.clean'!C:C,'3.1.clean'!A:A=C1893),"""")"),"")</f>
        <v/>
      </c>
      <c r="H1893" s="58" t="b">
        <f t="shared" ref="H1893:H1903" si="1488">if(G1893="",FALSE,TRUE)</f>
        <v>0</v>
      </c>
      <c r="I1893" s="58" t="str">
        <f>IFERROR(__xludf.DUMMYFUNCTION("iferror(filter('3.1.clean'!G:G,'3.1.clean'!A:A=C1893),"""")"),"")</f>
        <v/>
      </c>
      <c r="J1893" s="60" t="str">
        <f>IFERROR(__xludf.DUMMYFUNCTION("iferror(filter('3.1.clean'!I:I,'3.1.clean'!A:A=C1893),"""")"),"")</f>
        <v/>
      </c>
      <c r="K1893" s="58"/>
      <c r="L1893" s="60"/>
      <c r="M1893" s="59" t="str">
        <f>IFERROR(__xludf.DUMMYFUNCTION("iferror(filter('3.3.clean'!C:C,'3.3.clean'!A:A=C1893),"""")"),"")</f>
        <v/>
      </c>
      <c r="N1893" s="60" t="b">
        <f t="shared" si="1486"/>
        <v>0</v>
      </c>
      <c r="O1893" s="59" t="str">
        <f>IFERROR(__xludf.DUMMYFUNCTION("iferror(filter('3.4.clean'!C:C,'3.4.clean'!A:A=C1893),"""")"),"")</f>
        <v/>
      </c>
      <c r="P1893" s="60" t="b">
        <f t="shared" si="1487"/>
        <v>0</v>
      </c>
      <c r="Q1893" s="59" t="str">
        <f>IFERROR(__xludf.DUMMYFUNCTION("iferror(filter('3.5.clean'!C:C,'3.5.clean'!A:A=C1893),"""")"),"")</f>
        <v/>
      </c>
      <c r="R1893" s="58"/>
      <c r="S1893" s="4" t="str">
        <f>IFERROR(__xludf.DUMMYFUNCTION("iferror(filter('3.5.clean'!H:H,'3.5.clean'!A:A=C1893),"""")"),"")</f>
        <v/>
      </c>
      <c r="V1893" s="1" t="s">
        <v>64</v>
      </c>
      <c r="W1893" s="23" t="b">
        <f>if(AND(H1893=TRUE,N1893=TRUE,P1893=TRUE),TRUE,FALSE)</f>
        <v>0</v>
      </c>
      <c r="X1893" s="23" t="str">
        <f>IFERROR(__xludf.DUMMYFUNCTION("if(COUNTA(FILTER(C:C, C:C = C1893))=1,""no"",""yes"")"),"no")</f>
        <v>no</v>
      </c>
    </row>
    <row r="1894">
      <c r="A1894" s="1" t="s">
        <v>1106</v>
      </c>
      <c r="B1894" s="2">
        <v>15.0</v>
      </c>
      <c r="C1894" s="19" t="s">
        <v>6025</v>
      </c>
      <c r="E1894" s="77">
        <f>G1894</f>
        <v>43895</v>
      </c>
      <c r="F1894" s="78" t="str">
        <f>IFERROR(__xludf.DUMMYFUNCTION("iferror(ifna(IFNA(filter('2.1.clean'!E:E,'2.1.clean'!A:A=C1894),filter('2.2.clean'!G:G,'2.2.clean'!D:D=C1894)),filter('2.4.clean'!E:E,'2.4.clean'!A:A=C1894)),)"),"")</f>
        <v/>
      </c>
      <c r="G1894" s="77">
        <f>IFERROR(__xludf.DUMMYFUNCTION("iferror(filter('3.1.clean'!C:C,'3.1.clean'!A:A=C1894),"""")"),43895.0)</f>
        <v>43895</v>
      </c>
      <c r="H1894" s="76" t="b">
        <f t="shared" si="1488"/>
        <v>1</v>
      </c>
      <c r="I1894" s="76">
        <f>IFERROR(__xludf.DUMMYFUNCTION("iferror(filter('3.1.clean'!G:G,'3.1.clean'!A:A=C1894),"""")"),0.0)</f>
        <v>0</v>
      </c>
      <c r="J1894" s="78" t="str">
        <f>IFERROR(__xludf.DUMMYFUNCTION("iferror(filter('3.1.clean'!I:I,'3.1.clean'!A:A=C1894),"""")"),"")</f>
        <v/>
      </c>
      <c r="K1894" s="77"/>
      <c r="L1894" s="78"/>
      <c r="M1894" s="77"/>
      <c r="N1894" s="78"/>
      <c r="O1894" s="77"/>
      <c r="P1894" s="78"/>
      <c r="Q1894" s="77"/>
      <c r="R1894" s="76"/>
      <c r="S1894" s="25"/>
      <c r="T1894" s="1"/>
      <c r="V1894" s="1" t="s">
        <v>64</v>
      </c>
      <c r="W1894" s="1" t="b">
        <v>1</v>
      </c>
      <c r="X1894" s="23" t="str">
        <f>IFERROR(__xludf.DUMMYFUNCTION("if(COUNTA(FILTER(C:C, C:C = C1894))=1,""no"",""yes"")"),"no")</f>
        <v>no</v>
      </c>
    </row>
    <row r="1895">
      <c r="A1895" s="75" t="s">
        <v>1107</v>
      </c>
      <c r="B1895" s="2">
        <v>1.0</v>
      </c>
      <c r="C1895" s="19" t="s">
        <v>3460</v>
      </c>
      <c r="E1895" s="24">
        <f>IFERROR(__xludf.DUMMYFUNCTION("ifna(IFNA(filter('2.1.clean'!C:C,'2.1.clean'!A:A=C1895),filter('2.2.clean'!E:E,'2.2.clean'!D:D=C1895)),filter('2.4.clean'!C:C,'2.4.clean'!A:A=C1895))"),43901.0)</f>
        <v>43901</v>
      </c>
      <c r="F1895" s="25">
        <f>IFERROR(__xludf.DUMMYFUNCTION("iferror(ifna(IFNA(filter('2.1.clean'!E:E,'2.1.clean'!A:A=C1895),filter('2.2.clean'!G:G,'2.2.clean'!D:D=C1895)),filter('2.4.clean'!E:E,'2.4.clean'!A:A=C1895)),)"),2.1)</f>
        <v>2.1</v>
      </c>
      <c r="G1895" s="24">
        <f>IFERROR(__xludf.DUMMYFUNCTION("iferror(filter('3.1.clean'!C:C,'3.1.clean'!A:A=C1895),"""")"),43901.0)</f>
        <v>43901</v>
      </c>
      <c r="H1895" s="23" t="b">
        <f t="shared" si="1488"/>
        <v>1</v>
      </c>
      <c r="J1895" s="25"/>
      <c r="K1895" s="24">
        <f>IFERROR(__xludf.DUMMYFUNCTION("iferror(filter('3.2.clean'!C:C,'3.2.clean'!A:A=C1895),"""")"),43901.0)</f>
        <v>43901</v>
      </c>
      <c r="L1895" s="25" t="b">
        <f t="shared" ref="L1895:L1898" si="1489">if(K1895="",FALSE,TRUE)</f>
        <v>1</v>
      </c>
      <c r="M1895" s="24" t="str">
        <f>IFERROR(__xludf.DUMMYFUNCTION("iferror(filter('3.3.clean'!C:C,'3.3.clean'!A:A=C1895),"""")"),"")</f>
        <v/>
      </c>
      <c r="N1895" s="25" t="b">
        <f t="shared" ref="N1895:N1902" si="1490">if(M1895="",FALSE,TRUE)</f>
        <v>0</v>
      </c>
      <c r="O1895" s="24" t="str">
        <f>IFERROR(__xludf.DUMMYFUNCTION("iferror(filter('3.4.clean'!C:C,'3.4.clean'!A:A=C1895),"""")"),"")</f>
        <v/>
      </c>
      <c r="P1895" s="25" t="b">
        <f t="shared" ref="P1895:P1902" si="1491">if(O1895="",FALSE,TRUE)</f>
        <v>0</v>
      </c>
      <c r="Q1895" s="24" t="str">
        <f>IFERROR(__xludf.DUMMYFUNCTION("iferror(filter('3.5.clean'!C:C,'3.5.clean'!A:A=C1895),"""")"),"")</f>
        <v/>
      </c>
      <c r="R1895" s="23" t="b">
        <f t="shared" ref="R1895:R1898" si="1492">if(Q1895="",FALSE,TRUE)</f>
        <v>0</v>
      </c>
      <c r="S1895" s="25"/>
      <c r="V1895" s="1" t="s">
        <v>83</v>
      </c>
      <c r="W1895" s="23" t="b">
        <f t="shared" ref="W1895:W1898" si="1493">IF(and(H1895=TRUE,L1895=TRUE,N1895=TRUE,P1895=TRUE),TRUE,FALSE)</f>
        <v>0</v>
      </c>
      <c r="X1895" s="23" t="str">
        <f>IFERROR(__xludf.DUMMYFUNCTION("if(COUNTA(FILTER(C:C, C:C = C1895))=1,""no"",""yes"")"),"no")</f>
        <v>no</v>
      </c>
    </row>
    <row r="1896">
      <c r="A1896" s="75" t="s">
        <v>1107</v>
      </c>
      <c r="B1896" s="2">
        <v>2.0</v>
      </c>
      <c r="C1896" s="19" t="s">
        <v>3468</v>
      </c>
      <c r="E1896" s="24">
        <f>IFERROR(__xludf.DUMMYFUNCTION("ifna(IFNA(filter('2.1.clean'!C:C,'2.1.clean'!A:A=C1896),filter('2.2.clean'!E:E,'2.2.clean'!D:D=C1896)),filter('2.4.clean'!C:C,'2.4.clean'!A:A=C1896))"),43901.0)</f>
        <v>43901</v>
      </c>
      <c r="F1896" s="25">
        <f>IFERROR(__xludf.DUMMYFUNCTION("iferror(ifna(IFNA(filter('2.1.clean'!E:E,'2.1.clean'!A:A=C1896),filter('2.2.clean'!G:G,'2.2.clean'!D:D=C1896)),filter('2.4.clean'!E:E,'2.4.clean'!A:A=C1896)),)"),2.1)</f>
        <v>2.1</v>
      </c>
      <c r="G1896" s="24">
        <f>IFERROR(__xludf.DUMMYFUNCTION("iferror(filter('3.1.clean'!C:C,'3.1.clean'!A:A=C1896),"""")"),43901.0)</f>
        <v>43901</v>
      </c>
      <c r="H1896" s="23" t="b">
        <f t="shared" si="1488"/>
        <v>1</v>
      </c>
      <c r="J1896" s="25"/>
      <c r="K1896" s="24">
        <f>IFERROR(__xludf.DUMMYFUNCTION("iferror(filter('3.2.clean'!C:C,'3.2.clean'!A:A=C1896),"""")"),43901.0)</f>
        <v>43901</v>
      </c>
      <c r="L1896" s="25" t="b">
        <f t="shared" si="1489"/>
        <v>1</v>
      </c>
      <c r="M1896" s="24" t="str">
        <f>IFERROR(__xludf.DUMMYFUNCTION("iferror(filter('3.3.clean'!C:C,'3.3.clean'!A:A=C1896),"""")"),"")</f>
        <v/>
      </c>
      <c r="N1896" s="25" t="b">
        <f t="shared" si="1490"/>
        <v>0</v>
      </c>
      <c r="O1896" s="24" t="str">
        <f>IFERROR(__xludf.DUMMYFUNCTION("iferror(filter('3.4.clean'!C:C,'3.4.clean'!A:A=C1896),"""")"),"")</f>
        <v/>
      </c>
      <c r="P1896" s="25" t="b">
        <f t="shared" si="1491"/>
        <v>0</v>
      </c>
      <c r="Q1896" s="24" t="str">
        <f>IFERROR(__xludf.DUMMYFUNCTION("iferror(filter('3.5.clean'!C:C,'3.5.clean'!A:A=C1896),"""")"),"")</f>
        <v/>
      </c>
      <c r="R1896" s="23" t="b">
        <f t="shared" si="1492"/>
        <v>0</v>
      </c>
      <c r="S1896" s="25"/>
      <c r="V1896" s="1" t="s">
        <v>83</v>
      </c>
      <c r="W1896" s="23" t="b">
        <f t="shared" si="1493"/>
        <v>0</v>
      </c>
      <c r="X1896" s="23" t="str">
        <f>IFERROR(__xludf.DUMMYFUNCTION("if(COUNTA(FILTER(C:C, C:C = C1896))=1,""no"",""yes"")"),"no")</f>
        <v>no</v>
      </c>
    </row>
    <row r="1897">
      <c r="A1897" s="75" t="s">
        <v>1107</v>
      </c>
      <c r="B1897" s="2">
        <v>3.0</v>
      </c>
      <c r="C1897" s="19" t="s">
        <v>354</v>
      </c>
      <c r="E1897" s="24">
        <f>IFERROR(__xludf.DUMMYFUNCTION("ifna(IFNA(filter('2.1.clean'!C:C,'2.1.clean'!A:A=C1897),filter('2.2.clean'!E:E,'2.2.clean'!D:D=C1897)),filter('2.4.clean'!C:C,'2.4.clean'!A:A=C1897))"),43901.0)</f>
        <v>43901</v>
      </c>
      <c r="F1897" s="25">
        <f>IFERROR(__xludf.DUMMYFUNCTION("iferror(ifna(IFNA(filter('2.1.clean'!E:E,'2.1.clean'!A:A=C1897),filter('2.2.clean'!G:G,'2.2.clean'!D:D=C1897)),filter('2.4.clean'!E:E,'2.4.clean'!A:A=C1897)),)"),2.1)</f>
        <v>2.1</v>
      </c>
      <c r="G1897" s="24">
        <f>IFERROR(__xludf.DUMMYFUNCTION("iferror(filter('3.1.clean'!C:C,'3.1.clean'!A:A=C1897),"""")"),43901.0)</f>
        <v>43901</v>
      </c>
      <c r="H1897" s="23" t="b">
        <f t="shared" si="1488"/>
        <v>1</v>
      </c>
      <c r="J1897" s="25"/>
      <c r="K1897" s="24">
        <f>IFERROR(__xludf.DUMMYFUNCTION("iferror(filter('3.2.clean'!C:C,'3.2.clean'!A:A=C1897),"""")"),43901.0)</f>
        <v>43901</v>
      </c>
      <c r="L1897" s="25" t="b">
        <f t="shared" si="1489"/>
        <v>1</v>
      </c>
      <c r="M1897" s="24" t="str">
        <f>IFERROR(__xludf.DUMMYFUNCTION("iferror(filter('3.3.clean'!C:C,'3.3.clean'!A:A=C1897),"""")"),"")</f>
        <v/>
      </c>
      <c r="N1897" s="25" t="b">
        <f t="shared" si="1490"/>
        <v>0</v>
      </c>
      <c r="O1897" s="24" t="str">
        <f>IFERROR(__xludf.DUMMYFUNCTION("iferror(filter('3.4.clean'!C:C,'3.4.clean'!A:A=C1897),"""")"),"")</f>
        <v/>
      </c>
      <c r="P1897" s="25" t="b">
        <f t="shared" si="1491"/>
        <v>0</v>
      </c>
      <c r="Q1897" s="24" t="str">
        <f>IFERROR(__xludf.DUMMYFUNCTION("iferror(filter('3.5.clean'!C:C,'3.5.clean'!A:A=C1897),"""")"),"")</f>
        <v/>
      </c>
      <c r="R1897" s="23" t="b">
        <f t="shared" si="1492"/>
        <v>0</v>
      </c>
      <c r="S1897" s="25"/>
      <c r="V1897" s="1" t="s">
        <v>83</v>
      </c>
      <c r="W1897" s="23" t="b">
        <f t="shared" si="1493"/>
        <v>0</v>
      </c>
      <c r="X1897" s="23" t="str">
        <f>IFERROR(__xludf.DUMMYFUNCTION("if(COUNTA(FILTER(C:C, C:C = C1897))=1,""no"",""yes"")"),"no")</f>
        <v>no</v>
      </c>
    </row>
    <row r="1898">
      <c r="A1898" s="75" t="s">
        <v>1107</v>
      </c>
      <c r="B1898" s="2">
        <v>4.0</v>
      </c>
      <c r="C1898" s="19" t="s">
        <v>358</v>
      </c>
      <c r="E1898" s="24">
        <f>IFERROR(__xludf.DUMMYFUNCTION("ifna(IFNA(filter('2.1.clean'!C:C,'2.1.clean'!A:A=C1898),filter('2.2.clean'!E:E,'2.2.clean'!D:D=C1898)),filter('2.4.clean'!C:C,'2.4.clean'!A:A=C1898))"),43901.0)</f>
        <v>43901</v>
      </c>
      <c r="F1898" s="25">
        <f>IFERROR(__xludf.DUMMYFUNCTION("iferror(ifna(IFNA(filter('2.1.clean'!E:E,'2.1.clean'!A:A=C1898),filter('2.2.clean'!G:G,'2.2.clean'!D:D=C1898)),filter('2.4.clean'!E:E,'2.4.clean'!A:A=C1898)),)"),2.1)</f>
        <v>2.1</v>
      </c>
      <c r="G1898" s="24">
        <f>IFERROR(__xludf.DUMMYFUNCTION("iferror(filter('3.1.clean'!C:C,'3.1.clean'!A:A=C1898),"""")"),43901.0)</f>
        <v>43901</v>
      </c>
      <c r="H1898" s="23" t="b">
        <f t="shared" si="1488"/>
        <v>1</v>
      </c>
      <c r="J1898" s="25"/>
      <c r="K1898" s="24">
        <f>IFERROR(__xludf.DUMMYFUNCTION("iferror(filter('3.2.clean'!C:C,'3.2.clean'!A:A=C1898),"""")"),43901.0)</f>
        <v>43901</v>
      </c>
      <c r="L1898" s="25" t="b">
        <f t="shared" si="1489"/>
        <v>1</v>
      </c>
      <c r="M1898" s="24" t="str">
        <f>IFERROR(__xludf.DUMMYFUNCTION("iferror(filter('3.3.clean'!C:C,'3.3.clean'!A:A=C1898),"""")"),"")</f>
        <v/>
      </c>
      <c r="N1898" s="25" t="b">
        <f t="shared" si="1490"/>
        <v>0</v>
      </c>
      <c r="O1898" s="24" t="str">
        <f>IFERROR(__xludf.DUMMYFUNCTION("iferror(filter('3.4.clean'!C:C,'3.4.clean'!A:A=C1898),"""")"),"")</f>
        <v/>
      </c>
      <c r="P1898" s="25" t="b">
        <f t="shared" si="1491"/>
        <v>0</v>
      </c>
      <c r="Q1898" s="24" t="str">
        <f>IFERROR(__xludf.DUMMYFUNCTION("iferror(filter('3.5.clean'!C:C,'3.5.clean'!A:A=C1898),"""")"),"")</f>
        <v/>
      </c>
      <c r="R1898" s="23" t="b">
        <f t="shared" si="1492"/>
        <v>0</v>
      </c>
      <c r="S1898" s="25"/>
      <c r="V1898" s="1" t="s">
        <v>83</v>
      </c>
      <c r="W1898" s="23" t="b">
        <f t="shared" si="1493"/>
        <v>0</v>
      </c>
      <c r="X1898" s="23" t="str">
        <f>IFERROR(__xludf.DUMMYFUNCTION("if(COUNTA(FILTER(C:C, C:C = C1898))=1,""no"",""yes"")"),"no")</f>
        <v>no</v>
      </c>
    </row>
    <row r="1899">
      <c r="A1899" s="75" t="s">
        <v>1107</v>
      </c>
      <c r="B1899" s="2">
        <v>5.0</v>
      </c>
      <c r="C1899" s="19" t="s">
        <v>3488</v>
      </c>
      <c r="E1899" s="59">
        <f>IFERROR(__xludf.DUMMYFUNCTION("ifna(IFNA(filter('2.1.clean'!C:C,'2.1.clean'!A:A=C1899),filter('2.2.clean'!E:E,'2.2.clean'!D:D=C1899)),filter('2.4.clean'!C:C,'2.4.clean'!A:A=C1899))"),43901.0)</f>
        <v>43901</v>
      </c>
      <c r="F1899" s="60">
        <f>IFERROR(__xludf.DUMMYFUNCTION("iferror(ifna(IFNA(filter('2.1.clean'!E:E,'2.1.clean'!A:A=C1899),filter('2.2.clean'!G:G,'2.2.clean'!D:D=C1899)),filter('2.4.clean'!E:E,'2.4.clean'!A:A=C1899)),)"),2.1)</f>
        <v>2.1</v>
      </c>
      <c r="G1899" s="59">
        <f>IFERROR(__xludf.DUMMYFUNCTION("iferror(filter('3.1.clean'!C:C,'3.1.clean'!A:A=C1899),"""")"),43901.0)</f>
        <v>43901</v>
      </c>
      <c r="H1899" s="58" t="b">
        <f t="shared" si="1488"/>
        <v>1</v>
      </c>
      <c r="I1899" s="58">
        <f>IFERROR(__xludf.DUMMYFUNCTION("iferror(filter('3.1.clean'!G:G,'3.1.clean'!A:A=C1899),"""")"),0.0)</f>
        <v>0</v>
      </c>
      <c r="J1899" s="60" t="str">
        <f>IFERROR(__xludf.DUMMYFUNCTION("iferror(filter('3.1.clean'!I:I,'3.1.clean'!A:A=C1899),"""")"),"")</f>
        <v/>
      </c>
      <c r="K1899" s="58"/>
      <c r="L1899" s="60"/>
      <c r="M1899" s="59" t="str">
        <f>IFERROR(__xludf.DUMMYFUNCTION("iferror(filter('3.3.clean'!C:C,'3.3.clean'!A:A=C1899),"""")"),"")</f>
        <v/>
      </c>
      <c r="N1899" s="60" t="b">
        <f t="shared" si="1490"/>
        <v>0</v>
      </c>
      <c r="O1899" s="59" t="str">
        <f>IFERROR(__xludf.DUMMYFUNCTION("iferror(filter('3.4.clean'!C:C,'3.4.clean'!A:A=C1899),"""")"),"")</f>
        <v/>
      </c>
      <c r="P1899" s="60" t="b">
        <f t="shared" si="1491"/>
        <v>0</v>
      </c>
      <c r="Q1899" s="59" t="str">
        <f>IFERROR(__xludf.DUMMYFUNCTION("iferror(filter('3.5.clean'!C:C,'3.5.clean'!A:A=C1899),"""")"),"")</f>
        <v/>
      </c>
      <c r="R1899" s="58"/>
      <c r="S1899" s="4" t="str">
        <f>IFERROR(__xludf.DUMMYFUNCTION("iferror(filter('3.5.clean'!H:H,'3.5.clean'!A:A=C1899),"""")"),"")</f>
        <v/>
      </c>
      <c r="V1899" s="1" t="s">
        <v>64</v>
      </c>
      <c r="W1899" s="23" t="b">
        <f>if(AND(H1899=TRUE,N1899=TRUE,P1899=TRUE),TRUE,FALSE)</f>
        <v>0</v>
      </c>
      <c r="X1899" s="23" t="str">
        <f>IFERROR(__xludf.DUMMYFUNCTION("if(COUNTA(FILTER(C:C, C:C = C1899))=1,""no"",""yes"")"),"no")</f>
        <v>no</v>
      </c>
    </row>
    <row r="1900">
      <c r="A1900" s="75" t="s">
        <v>1107</v>
      </c>
      <c r="B1900" s="2">
        <v>6.0</v>
      </c>
      <c r="C1900" s="23" t="s">
        <v>6124</v>
      </c>
      <c r="E1900" s="24">
        <f>IFERROR(__xludf.DUMMYFUNCTION("ifna(IFNA(filter('2.1.clean'!C:C,'2.1.clean'!A:A=C1900),filter('2.2.clean'!E:E,'2.2.clean'!D:D=C1900)),filter('2.4.clean'!C:C,'2.4.clean'!A:A=C1900))"),43901.0)</f>
        <v>43901</v>
      </c>
      <c r="F1900" s="25">
        <f>IFERROR(__xludf.DUMMYFUNCTION("iferror(ifna(IFNA(filter('2.1.clean'!E:E,'2.1.clean'!A:A=C1900),filter('2.2.clean'!G:G,'2.2.clean'!D:D=C1900)),filter('2.4.clean'!E:E,'2.4.clean'!A:A=C1900)),)"),2.39999999999999)</f>
        <v>2.4</v>
      </c>
      <c r="G1900" s="24">
        <f>IFERROR(__xludf.DUMMYFUNCTION("iferror(filter('3.1.clean'!C:C,'3.1.clean'!A:A=C1900),"""")"),43901.0)</f>
        <v>43901</v>
      </c>
      <c r="H1900" s="23" t="b">
        <f t="shared" si="1488"/>
        <v>1</v>
      </c>
      <c r="J1900" s="25"/>
      <c r="K1900" s="24">
        <f>IFERROR(__xludf.DUMMYFUNCTION("iferror(filter('3.2.clean'!C:C,'3.2.clean'!A:A=C1900),"""")"),43901.0)</f>
        <v>43901</v>
      </c>
      <c r="L1900" s="25" t="b">
        <f t="shared" ref="L1900:L1901" si="1494">if(K1900="",FALSE,TRUE)</f>
        <v>1</v>
      </c>
      <c r="M1900" s="24" t="str">
        <f>IFERROR(__xludf.DUMMYFUNCTION("iferror(filter('3.3.clean'!C:C,'3.3.clean'!A:A=C1900),"""")"),"")</f>
        <v/>
      </c>
      <c r="N1900" s="25" t="b">
        <f t="shared" si="1490"/>
        <v>0</v>
      </c>
      <c r="O1900" s="24" t="str">
        <f>IFERROR(__xludf.DUMMYFUNCTION("iferror(filter('3.4.clean'!C:C,'3.4.clean'!A:A=C1900),"""")"),"")</f>
        <v/>
      </c>
      <c r="P1900" s="25" t="b">
        <f t="shared" si="1491"/>
        <v>0</v>
      </c>
      <c r="Q1900" s="24" t="str">
        <f>IFERROR(__xludf.DUMMYFUNCTION("iferror(filter('3.5.clean'!C:C,'3.5.clean'!A:A=C1900),"""")"),"")</f>
        <v/>
      </c>
      <c r="R1900" s="23" t="b">
        <f t="shared" ref="R1900:R1901" si="1495">if(Q1900="",FALSE,TRUE)</f>
        <v>0</v>
      </c>
      <c r="S1900" s="25"/>
      <c r="V1900" s="1" t="s">
        <v>64</v>
      </c>
      <c r="X1900" s="23" t="str">
        <f>IFERROR(__xludf.DUMMYFUNCTION("if(COUNTA(FILTER(C:C, C:C = C1900))=1,""no"",""yes"")"),"no")</f>
        <v>no</v>
      </c>
    </row>
    <row r="1901">
      <c r="A1901" s="75" t="s">
        <v>1107</v>
      </c>
      <c r="B1901" s="2">
        <v>7.0</v>
      </c>
      <c r="C1901" s="23" t="s">
        <v>6138</v>
      </c>
      <c r="E1901" s="24">
        <f>IFERROR(__xludf.DUMMYFUNCTION("ifna(IFNA(filter('2.1.clean'!C:C,'2.1.clean'!A:A=C1901),filter('2.2.clean'!E:E,'2.2.clean'!D:D=C1901)),filter('2.4.clean'!C:C,'2.4.clean'!A:A=C1901))"),43901.0)</f>
        <v>43901</v>
      </c>
      <c r="F1901" s="25">
        <f>IFERROR(__xludf.DUMMYFUNCTION("iferror(ifna(IFNA(filter('2.1.clean'!E:E,'2.1.clean'!A:A=C1901),filter('2.2.clean'!G:G,'2.2.clean'!D:D=C1901)),filter('2.4.clean'!E:E,'2.4.clean'!A:A=C1901)),)"),2.39999999999999)</f>
        <v>2.4</v>
      </c>
      <c r="G1901" s="24">
        <f>IFERROR(__xludf.DUMMYFUNCTION("iferror(filter('3.1.clean'!C:C,'3.1.clean'!A:A=C1901),"""")"),43901.0)</f>
        <v>43901</v>
      </c>
      <c r="H1901" s="23" t="b">
        <f t="shared" si="1488"/>
        <v>1</v>
      </c>
      <c r="J1901" s="25"/>
      <c r="K1901" s="24">
        <f>IFERROR(__xludf.DUMMYFUNCTION("iferror(filter('3.2.clean'!C:C,'3.2.clean'!A:A=C1901),"""")"),43901.0)</f>
        <v>43901</v>
      </c>
      <c r="L1901" s="25" t="b">
        <f t="shared" si="1494"/>
        <v>1</v>
      </c>
      <c r="M1901" s="24" t="str">
        <f>IFERROR(__xludf.DUMMYFUNCTION("iferror(filter('3.3.clean'!C:C,'3.3.clean'!A:A=C1901),"""")"),"")</f>
        <v/>
      </c>
      <c r="N1901" s="25" t="b">
        <f t="shared" si="1490"/>
        <v>0</v>
      </c>
      <c r="O1901" s="24" t="str">
        <f>IFERROR(__xludf.DUMMYFUNCTION("iferror(filter('3.4.clean'!C:C,'3.4.clean'!A:A=C1901),"""")"),"")</f>
        <v/>
      </c>
      <c r="P1901" s="25" t="b">
        <f t="shared" si="1491"/>
        <v>0</v>
      </c>
      <c r="Q1901" s="24" t="str">
        <f>IFERROR(__xludf.DUMMYFUNCTION("iferror(filter('3.5.clean'!C:C,'3.5.clean'!A:A=C1901),"""")"),"")</f>
        <v/>
      </c>
      <c r="R1901" s="23" t="b">
        <f t="shared" si="1495"/>
        <v>0</v>
      </c>
      <c r="S1901" s="25"/>
      <c r="V1901" s="1" t="s">
        <v>64</v>
      </c>
      <c r="X1901" s="23" t="str">
        <f>IFERROR(__xludf.DUMMYFUNCTION("if(COUNTA(FILTER(C:C, C:C = C1901))=1,""no"",""yes"")"),"no")</f>
        <v>no</v>
      </c>
    </row>
    <row r="1902">
      <c r="A1902" s="75" t="s">
        <v>1107</v>
      </c>
      <c r="B1902" s="2">
        <v>8.0</v>
      </c>
      <c r="C1902" s="23" t="s">
        <v>6145</v>
      </c>
      <c r="E1902" s="59">
        <f>IFERROR(__xludf.DUMMYFUNCTION("ifna(IFNA(filter('2.1.clean'!C:C,'2.1.clean'!A:A=C1902),filter('2.2.clean'!E:E,'2.2.clean'!D:D=C1902)),filter('2.4.clean'!C:C,'2.4.clean'!A:A=C1902))"),43901.0)</f>
        <v>43901</v>
      </c>
      <c r="F1902" s="60">
        <f>IFERROR(__xludf.DUMMYFUNCTION("iferror(ifna(IFNA(filter('2.1.clean'!E:E,'2.1.clean'!A:A=C1902),filter('2.2.clean'!G:G,'2.2.clean'!D:D=C1902)),filter('2.4.clean'!E:E,'2.4.clean'!A:A=C1902)),)"),2.39999999999999)</f>
        <v>2.4</v>
      </c>
      <c r="G1902" s="59">
        <f>IFERROR(__xludf.DUMMYFUNCTION("iferror(filter('3.1.clean'!C:C,'3.1.clean'!A:A=C1902),"""")"),43901.0)</f>
        <v>43901</v>
      </c>
      <c r="H1902" s="58" t="b">
        <f t="shared" si="1488"/>
        <v>1</v>
      </c>
      <c r="I1902" s="58">
        <f>IFERROR(__xludf.DUMMYFUNCTION("iferror(filter('3.1.clean'!G:G,'3.1.clean'!A:A=C1902),"""")"),0.0)</f>
        <v>0</v>
      </c>
      <c r="J1902" s="60" t="str">
        <f>IFERROR(__xludf.DUMMYFUNCTION("iferror(filter('3.1.clean'!I:I,'3.1.clean'!A:A=C1902),"""")"),"")</f>
        <v/>
      </c>
      <c r="K1902" s="58"/>
      <c r="L1902" s="60"/>
      <c r="M1902" s="59" t="str">
        <f>IFERROR(__xludf.DUMMYFUNCTION("iferror(filter('3.3.clean'!C:C,'3.3.clean'!A:A=C1902),"""")"),"")</f>
        <v/>
      </c>
      <c r="N1902" s="60" t="b">
        <f t="shared" si="1490"/>
        <v>0</v>
      </c>
      <c r="O1902" s="59" t="str">
        <f>IFERROR(__xludf.DUMMYFUNCTION("iferror(filter('3.4.clean'!C:C,'3.4.clean'!A:A=C1902),"""")"),"")</f>
        <v/>
      </c>
      <c r="P1902" s="60" t="b">
        <f t="shared" si="1491"/>
        <v>0</v>
      </c>
      <c r="Q1902" s="59" t="str">
        <f>IFERROR(__xludf.DUMMYFUNCTION("iferror(filter('3.5.clean'!C:C,'3.5.clean'!A:A=C1902),"""")"),"")</f>
        <v/>
      </c>
      <c r="R1902" s="58"/>
      <c r="S1902" s="4" t="str">
        <f>IFERROR(__xludf.DUMMYFUNCTION("iferror(filter('3.5.clean'!H:H,'3.5.clean'!A:A=C1902),"""")"),"")</f>
        <v/>
      </c>
      <c r="V1902" s="1" t="s">
        <v>64</v>
      </c>
      <c r="W1902" s="23" t="b">
        <f>if(AND(H1902=TRUE,N1902=TRUE,P1902=TRUE),TRUE,FALSE)</f>
        <v>0</v>
      </c>
      <c r="X1902" s="23" t="str">
        <f>IFERROR(__xludf.DUMMYFUNCTION("if(COUNTA(FILTER(C:C, C:C = C1902))=1,""no"",""yes"")"),"no")</f>
        <v>no</v>
      </c>
    </row>
    <row r="1903">
      <c r="A1903" s="75" t="s">
        <v>1107</v>
      </c>
      <c r="B1903" s="2">
        <v>9.0</v>
      </c>
      <c r="C1903" s="19" t="s">
        <v>6158</v>
      </c>
      <c r="E1903" s="77">
        <f>G1903</f>
        <v>43901</v>
      </c>
      <c r="F1903" s="78" t="str">
        <f>IFERROR(__xludf.DUMMYFUNCTION("iferror(ifna(IFNA(filter('2.1.clean'!E:E,'2.1.clean'!A:A=C1903),filter('2.2.clean'!G:G,'2.2.clean'!D:D=C1903)),filter('2.4.clean'!E:E,'2.4.clean'!A:A=C1903)),)"),"")</f>
        <v/>
      </c>
      <c r="G1903" s="77">
        <f>IFERROR(__xludf.DUMMYFUNCTION("iferror(filter('3.1.clean'!C:C,'3.1.clean'!A:A=C1903),"""")"),43901.0)</f>
        <v>43901</v>
      </c>
      <c r="H1903" s="76" t="b">
        <f t="shared" si="1488"/>
        <v>1</v>
      </c>
      <c r="I1903" s="76">
        <f>IFERROR(__xludf.DUMMYFUNCTION("iferror(filter('3.1.clean'!G:G,'3.1.clean'!A:A=C1903),"""")"),0.0)</f>
        <v>0</v>
      </c>
      <c r="J1903" s="78" t="str">
        <f>IFERROR(__xludf.DUMMYFUNCTION("iferror(filter('3.1.clean'!I:I,'3.1.clean'!A:A=C1903),"""")"),"")</f>
        <v/>
      </c>
      <c r="K1903" s="77"/>
      <c r="L1903" s="78"/>
      <c r="M1903" s="77"/>
      <c r="N1903" s="78"/>
      <c r="O1903" s="77"/>
      <c r="P1903" s="78"/>
      <c r="Q1903" s="77"/>
      <c r="R1903" s="76"/>
      <c r="S1903" s="25"/>
      <c r="T1903" s="1"/>
      <c r="V1903" s="1" t="s">
        <v>64</v>
      </c>
      <c r="W1903" s="1" t="b">
        <v>1</v>
      </c>
      <c r="X1903" s="23" t="str">
        <f>IFERROR(__xludf.DUMMYFUNCTION("if(COUNTA(FILTER(C:C, C:C = C1903))=1,""no"",""yes"")"),"no")</f>
        <v>no</v>
      </c>
    </row>
    <row r="1904">
      <c r="A1904" s="1" t="s">
        <v>1108</v>
      </c>
      <c r="B1904" s="2">
        <v>1.0</v>
      </c>
      <c r="C1904" s="23" t="s">
        <v>6165</v>
      </c>
      <c r="E1904" s="24">
        <f>IFERROR(__xludf.DUMMYFUNCTION("ifna(IFNA(filter('2.1.clean'!C:C,'2.1.clean'!A:A=C1904),filter('2.2.clean'!E:E,'2.2.clean'!D:D=C1904)),filter('2.4.clean'!C:C,'2.4.clean'!A:A=C1904))"),43902.0)</f>
        <v>43902</v>
      </c>
      <c r="F1904" s="25">
        <f>IFERROR(__xludf.DUMMYFUNCTION("iferror(ifna(IFNA(filter('2.1.clean'!E:E,'2.1.clean'!A:A=C1904),filter('2.2.clean'!G:G,'2.2.clean'!D:D=C1904)),filter('2.4.clean'!E:E,'2.4.clean'!A:A=C1904)),)"),2.39999999999999)</f>
        <v>2.4</v>
      </c>
      <c r="G1904" s="24"/>
      <c r="J1904" s="25"/>
      <c r="K1904" s="24"/>
      <c r="L1904" s="25"/>
      <c r="M1904" s="24" t="str">
        <f>IFERROR(__xludf.DUMMYFUNCTION("iferror(filter('3.3.clean'!C:C,'3.3.clean'!A:A=C1904),"""")"),"")</f>
        <v/>
      </c>
      <c r="N1904" s="25" t="b">
        <f t="shared" ref="N1904:N1913" si="1496">if(M1904="",FALSE,TRUE)</f>
        <v>0</v>
      </c>
      <c r="O1904" s="24" t="str">
        <f>IFERROR(__xludf.DUMMYFUNCTION("iferror(filter('3.4.clean'!C:C,'3.4.clean'!A:A=C1904),"""")"),"")</f>
        <v/>
      </c>
      <c r="P1904" s="25" t="b">
        <f t="shared" ref="P1904:P1913" si="1497">if(O1904="",FALSE,TRUE)</f>
        <v>0</v>
      </c>
      <c r="Q1904" s="24" t="str">
        <f>IFERROR(__xludf.DUMMYFUNCTION("iferror(filter('3.5.clean'!C:C,'3.5.clean'!A:A=C1904),"""")"),"")</f>
        <v/>
      </c>
      <c r="R1904" s="23" t="b">
        <f t="shared" ref="R1904:R1908" si="1498">if(Q1904="",FALSE,TRUE)</f>
        <v>0</v>
      </c>
      <c r="S1904" s="25">
        <v>0.0</v>
      </c>
      <c r="V1904" s="52" t="s">
        <v>64</v>
      </c>
      <c r="W1904" s="23" t="b">
        <f t="shared" ref="W1904:W1908" si="1499">IF(and(R1904=TRUE,N1904=TRUE,P1904=TRUE),TRUE,FALSE)</f>
        <v>0</v>
      </c>
      <c r="X1904" s="23" t="str">
        <f>IFERROR(__xludf.DUMMYFUNCTION("if(COUNTA(FILTER(C:C, C:C = C1904))=1,""no"",""yes"")"),"no")</f>
        <v>no</v>
      </c>
    </row>
    <row r="1905">
      <c r="A1905" s="1" t="s">
        <v>1108</v>
      </c>
      <c r="B1905" s="2">
        <v>2.0</v>
      </c>
      <c r="C1905" s="23" t="s">
        <v>6182</v>
      </c>
      <c r="E1905" s="24">
        <f>IFERROR(__xludf.DUMMYFUNCTION("ifna(IFNA(filter('2.1.clean'!C:C,'2.1.clean'!A:A=C1905),filter('2.2.clean'!E:E,'2.2.clean'!D:D=C1905)),filter('2.4.clean'!C:C,'2.4.clean'!A:A=C1905))"),43902.0)</f>
        <v>43902</v>
      </c>
      <c r="F1905" s="25">
        <f>IFERROR(__xludf.DUMMYFUNCTION("iferror(ifna(IFNA(filter('2.1.clean'!E:E,'2.1.clean'!A:A=C1905),filter('2.2.clean'!G:G,'2.2.clean'!D:D=C1905)),filter('2.4.clean'!E:E,'2.4.clean'!A:A=C1905)),)"),2.39999999999999)</f>
        <v>2.4</v>
      </c>
      <c r="G1905" s="24"/>
      <c r="J1905" s="25"/>
      <c r="K1905" s="24"/>
      <c r="L1905" s="25"/>
      <c r="M1905" s="24" t="str">
        <f>IFERROR(__xludf.DUMMYFUNCTION("iferror(filter('3.3.clean'!C:C,'3.3.clean'!A:A=C1905),"""")"),"")</f>
        <v/>
      </c>
      <c r="N1905" s="25" t="b">
        <f t="shared" si="1496"/>
        <v>0</v>
      </c>
      <c r="O1905" s="24" t="str">
        <f>IFERROR(__xludf.DUMMYFUNCTION("iferror(filter('3.4.clean'!C:C,'3.4.clean'!A:A=C1905),"""")"),"")</f>
        <v/>
      </c>
      <c r="P1905" s="25" t="b">
        <f t="shared" si="1497"/>
        <v>0</v>
      </c>
      <c r="Q1905" s="24" t="str">
        <f>IFERROR(__xludf.DUMMYFUNCTION("iferror(filter('3.5.clean'!C:C,'3.5.clean'!A:A=C1905),"""")"),"")</f>
        <v/>
      </c>
      <c r="R1905" s="23" t="b">
        <f t="shared" si="1498"/>
        <v>0</v>
      </c>
      <c r="S1905" s="25">
        <v>0.0</v>
      </c>
      <c r="V1905" s="52" t="s">
        <v>64</v>
      </c>
      <c r="W1905" s="23" t="b">
        <f t="shared" si="1499"/>
        <v>0</v>
      </c>
      <c r="X1905" s="23" t="str">
        <f>IFERROR(__xludf.DUMMYFUNCTION("if(COUNTA(FILTER(C:C, C:C = C1905))=1,""no"",""yes"")"),"no")</f>
        <v>no</v>
      </c>
    </row>
    <row r="1906">
      <c r="A1906" s="1" t="s">
        <v>1108</v>
      </c>
      <c r="B1906" s="2">
        <v>3.0</v>
      </c>
      <c r="C1906" s="23" t="s">
        <v>6190</v>
      </c>
      <c r="E1906" s="24">
        <f>IFERROR(__xludf.DUMMYFUNCTION("ifna(IFNA(filter('2.1.clean'!C:C,'2.1.clean'!A:A=C1906),filter('2.2.clean'!E:E,'2.2.clean'!D:D=C1906)),filter('2.4.clean'!C:C,'2.4.clean'!A:A=C1906))"),43902.0)</f>
        <v>43902</v>
      </c>
      <c r="F1906" s="25">
        <f>IFERROR(__xludf.DUMMYFUNCTION("iferror(ifna(IFNA(filter('2.1.clean'!E:E,'2.1.clean'!A:A=C1906),filter('2.2.clean'!G:G,'2.2.clean'!D:D=C1906)),filter('2.4.clean'!E:E,'2.4.clean'!A:A=C1906)),)"),2.39999999999999)</f>
        <v>2.4</v>
      </c>
      <c r="G1906" s="24"/>
      <c r="J1906" s="25"/>
      <c r="K1906" s="24"/>
      <c r="L1906" s="25"/>
      <c r="M1906" s="24" t="str">
        <f>IFERROR(__xludf.DUMMYFUNCTION("iferror(filter('3.3.clean'!C:C,'3.3.clean'!A:A=C1906),"""")"),"")</f>
        <v/>
      </c>
      <c r="N1906" s="25" t="b">
        <f t="shared" si="1496"/>
        <v>0</v>
      </c>
      <c r="O1906" s="24" t="str">
        <f>IFERROR(__xludf.DUMMYFUNCTION("iferror(filter('3.4.clean'!C:C,'3.4.clean'!A:A=C1906),"""")"),"")</f>
        <v/>
      </c>
      <c r="P1906" s="25" t="b">
        <f t="shared" si="1497"/>
        <v>0</v>
      </c>
      <c r="Q1906" s="24" t="str">
        <f>IFERROR(__xludf.DUMMYFUNCTION("iferror(filter('3.5.clean'!C:C,'3.5.clean'!A:A=C1906),"""")"),"")</f>
        <v/>
      </c>
      <c r="R1906" s="23" t="b">
        <f t="shared" si="1498"/>
        <v>0</v>
      </c>
      <c r="S1906" s="25">
        <v>0.0</v>
      </c>
      <c r="V1906" s="52" t="s">
        <v>64</v>
      </c>
      <c r="W1906" s="23" t="b">
        <f t="shared" si="1499"/>
        <v>0</v>
      </c>
      <c r="X1906" s="23" t="str">
        <f>IFERROR(__xludf.DUMMYFUNCTION("if(COUNTA(FILTER(C:C, C:C = C1906))=1,""no"",""yes"")"),"no")</f>
        <v>no</v>
      </c>
    </row>
    <row r="1907">
      <c r="A1907" s="1" t="s">
        <v>1108</v>
      </c>
      <c r="B1907" s="2">
        <v>4.0</v>
      </c>
      <c r="C1907" s="23" t="s">
        <v>6198</v>
      </c>
      <c r="E1907" s="24">
        <f>IFERROR(__xludf.DUMMYFUNCTION("ifna(IFNA(filter('2.1.clean'!C:C,'2.1.clean'!A:A=C1907),filter('2.2.clean'!E:E,'2.2.clean'!D:D=C1907)),filter('2.4.clean'!C:C,'2.4.clean'!A:A=C1907))"),43902.0)</f>
        <v>43902</v>
      </c>
      <c r="F1907" s="25">
        <f>IFERROR(__xludf.DUMMYFUNCTION("iferror(ifna(IFNA(filter('2.1.clean'!E:E,'2.1.clean'!A:A=C1907),filter('2.2.clean'!G:G,'2.2.clean'!D:D=C1907)),filter('2.4.clean'!E:E,'2.4.clean'!A:A=C1907)),)"),2.39999999999999)</f>
        <v>2.4</v>
      </c>
      <c r="G1907" s="24"/>
      <c r="J1907" s="25"/>
      <c r="K1907" s="24"/>
      <c r="L1907" s="25"/>
      <c r="M1907" s="24" t="str">
        <f>IFERROR(__xludf.DUMMYFUNCTION("iferror(filter('3.3.clean'!C:C,'3.3.clean'!A:A=C1907),"""")"),"")</f>
        <v/>
      </c>
      <c r="N1907" s="25" t="b">
        <f t="shared" si="1496"/>
        <v>0</v>
      </c>
      <c r="O1907" s="24" t="str">
        <f>IFERROR(__xludf.DUMMYFUNCTION("iferror(filter('3.4.clean'!C:C,'3.4.clean'!A:A=C1907),"""")"),"")</f>
        <v/>
      </c>
      <c r="P1907" s="25" t="b">
        <f t="shared" si="1497"/>
        <v>0</v>
      </c>
      <c r="Q1907" s="24" t="str">
        <f>IFERROR(__xludf.DUMMYFUNCTION("iferror(filter('3.5.clean'!C:C,'3.5.clean'!A:A=C1907),"""")"),"")</f>
        <v/>
      </c>
      <c r="R1907" s="23" t="b">
        <f t="shared" si="1498"/>
        <v>0</v>
      </c>
      <c r="S1907" s="25">
        <v>0.0</v>
      </c>
      <c r="V1907" s="52" t="s">
        <v>64</v>
      </c>
      <c r="W1907" s="23" t="b">
        <f t="shared" si="1499"/>
        <v>0</v>
      </c>
      <c r="X1907" s="23" t="str">
        <f>IFERROR(__xludf.DUMMYFUNCTION("if(COUNTA(FILTER(C:C, C:C = C1907))=1,""no"",""yes"")"),"no")</f>
        <v>no</v>
      </c>
    </row>
    <row r="1908">
      <c r="A1908" s="1" t="s">
        <v>1108</v>
      </c>
      <c r="B1908" s="2">
        <v>5.0</v>
      </c>
      <c r="C1908" s="23" t="s">
        <v>6206</v>
      </c>
      <c r="E1908" s="24">
        <f>IFERROR(__xludf.DUMMYFUNCTION("ifna(IFNA(filter('2.1.clean'!C:C,'2.1.clean'!A:A=C1908),filter('2.2.clean'!E:E,'2.2.clean'!D:D=C1908)),filter('2.4.clean'!C:C,'2.4.clean'!A:A=C1908))"),43902.0)</f>
        <v>43902</v>
      </c>
      <c r="F1908" s="25">
        <f>IFERROR(__xludf.DUMMYFUNCTION("iferror(ifna(IFNA(filter('2.1.clean'!E:E,'2.1.clean'!A:A=C1908),filter('2.2.clean'!G:G,'2.2.clean'!D:D=C1908)),filter('2.4.clean'!E:E,'2.4.clean'!A:A=C1908)),)"),2.39999999999999)</f>
        <v>2.4</v>
      </c>
      <c r="G1908" s="24"/>
      <c r="J1908" s="25"/>
      <c r="K1908" s="24"/>
      <c r="L1908" s="25"/>
      <c r="M1908" s="24" t="str">
        <f>IFERROR(__xludf.DUMMYFUNCTION("iferror(filter('3.3.clean'!C:C,'3.3.clean'!A:A=C1908),"""")"),"")</f>
        <v/>
      </c>
      <c r="N1908" s="25" t="b">
        <f t="shared" si="1496"/>
        <v>0</v>
      </c>
      <c r="O1908" s="24" t="str">
        <f>IFERROR(__xludf.DUMMYFUNCTION("iferror(filter('3.4.clean'!C:C,'3.4.clean'!A:A=C1908),"""")"),"")</f>
        <v/>
      </c>
      <c r="P1908" s="25" t="b">
        <f t="shared" si="1497"/>
        <v>0</v>
      </c>
      <c r="Q1908" s="24" t="str">
        <f>IFERROR(__xludf.DUMMYFUNCTION("iferror(filter('3.5.clean'!C:C,'3.5.clean'!A:A=C1908),"""")"),"")</f>
        <v/>
      </c>
      <c r="R1908" s="23" t="b">
        <f t="shared" si="1498"/>
        <v>0</v>
      </c>
      <c r="S1908" s="25">
        <v>0.0</v>
      </c>
      <c r="V1908" s="52" t="s">
        <v>64</v>
      </c>
      <c r="W1908" s="23" t="b">
        <f t="shared" si="1499"/>
        <v>0</v>
      </c>
      <c r="X1908" s="23" t="str">
        <f>IFERROR(__xludf.DUMMYFUNCTION("if(COUNTA(FILTER(C:C, C:C = C1908))=1,""no"",""yes"")"),"no")</f>
        <v>no</v>
      </c>
    </row>
    <row r="1909">
      <c r="A1909" s="1" t="s">
        <v>1108</v>
      </c>
      <c r="B1909" s="2">
        <v>6.0</v>
      </c>
      <c r="C1909" s="23" t="s">
        <v>6215</v>
      </c>
      <c r="E1909" s="59">
        <f>IFERROR(__xludf.DUMMYFUNCTION("ifna(IFNA(filter('2.1.clean'!C:C,'2.1.clean'!A:A=C1909),filter('2.2.clean'!E:E,'2.2.clean'!D:D=C1909)),filter('2.4.clean'!C:C,'2.4.clean'!A:A=C1909))"),43902.0)</f>
        <v>43902</v>
      </c>
      <c r="F1909" s="60">
        <f>IFERROR(__xludf.DUMMYFUNCTION("iferror(ifna(IFNA(filter('2.1.clean'!E:E,'2.1.clean'!A:A=C1909),filter('2.2.clean'!G:G,'2.2.clean'!D:D=C1909)),filter('2.4.clean'!E:E,'2.4.clean'!A:A=C1909)),)"),2.39999999999999)</f>
        <v>2.4</v>
      </c>
      <c r="G1909" s="59">
        <f>IFERROR(__xludf.DUMMYFUNCTION("iferror(filter('3.1.clean'!C:C,'3.1.clean'!A:A=C1909),"""")"),43902.0)</f>
        <v>43902</v>
      </c>
      <c r="H1909" s="58" t="b">
        <f t="shared" ref="H1909:H1925" si="1500">if(G1909="",FALSE,TRUE)</f>
        <v>1</v>
      </c>
      <c r="I1909" s="58">
        <f>IFERROR(__xludf.DUMMYFUNCTION("iferror(filter('3.1.clean'!G:G,'3.1.clean'!A:A=C1909),"""")"),0.0)</f>
        <v>0</v>
      </c>
      <c r="J1909" s="60" t="str">
        <f>IFERROR(__xludf.DUMMYFUNCTION("iferror(filter('3.1.clean'!I:I,'3.1.clean'!A:A=C1909),"""")"),"")</f>
        <v/>
      </c>
      <c r="K1909" s="58"/>
      <c r="L1909" s="60"/>
      <c r="M1909" s="59" t="str">
        <f>IFERROR(__xludf.DUMMYFUNCTION("iferror(filter('3.3.clean'!C:C,'3.3.clean'!A:A=C1909),"""")"),"")</f>
        <v/>
      </c>
      <c r="N1909" s="60" t="b">
        <f t="shared" si="1496"/>
        <v>0</v>
      </c>
      <c r="O1909" s="59" t="str">
        <f>IFERROR(__xludf.DUMMYFUNCTION("iferror(filter('3.4.clean'!C:C,'3.4.clean'!A:A=C1909),"""")"),"")</f>
        <v/>
      </c>
      <c r="P1909" s="60" t="b">
        <f t="shared" si="1497"/>
        <v>0</v>
      </c>
      <c r="Q1909" s="59" t="str">
        <f>IFERROR(__xludf.DUMMYFUNCTION("iferror(filter('3.5.clean'!C:C,'3.5.clean'!A:A=C1909),"""")"),"")</f>
        <v/>
      </c>
      <c r="R1909" s="58"/>
      <c r="S1909" s="4" t="str">
        <f>IFERROR(__xludf.DUMMYFUNCTION("iferror(filter('3.5.clean'!H:H,'3.5.clean'!A:A=C1909),"""")"),"")</f>
        <v/>
      </c>
      <c r="V1909" s="1" t="s">
        <v>64</v>
      </c>
      <c r="W1909" s="23" t="b">
        <f>if(AND(H1909=TRUE,N1909=TRUE,P1909=TRUE),TRUE,FALSE)</f>
        <v>0</v>
      </c>
      <c r="X1909" s="23" t="str">
        <f>IFERROR(__xludf.DUMMYFUNCTION("if(COUNTA(FILTER(C:C, C:C = C1909))=1,""no"",""yes"")"),"no")</f>
        <v>no</v>
      </c>
    </row>
    <row r="1910">
      <c r="A1910" s="1" t="s">
        <v>1108</v>
      </c>
      <c r="B1910" s="2">
        <v>7.0</v>
      </c>
      <c r="C1910" s="23" t="s">
        <v>6229</v>
      </c>
      <c r="E1910" s="24">
        <f>IFERROR(__xludf.DUMMYFUNCTION("ifna(IFNA(filter('2.1.clean'!C:C,'2.1.clean'!A:A=C1910),filter('2.2.clean'!E:E,'2.2.clean'!D:D=C1910)),filter('2.4.clean'!C:C,'2.4.clean'!A:A=C1910))"),43902.0)</f>
        <v>43902</v>
      </c>
      <c r="F1910" s="25">
        <f>IFERROR(__xludf.DUMMYFUNCTION("iferror(ifna(IFNA(filter('2.1.clean'!E:E,'2.1.clean'!A:A=C1910),filter('2.2.clean'!G:G,'2.2.clean'!D:D=C1910)),filter('2.4.clean'!E:E,'2.4.clean'!A:A=C1910)),)"),2.39999999999999)</f>
        <v>2.4</v>
      </c>
      <c r="G1910" s="24">
        <f>IFERROR(__xludf.DUMMYFUNCTION("iferror(filter('3.1.clean'!C:C,'3.1.clean'!A:A=C1910),"""")"),43902.0)</f>
        <v>43902</v>
      </c>
      <c r="H1910" s="23" t="b">
        <f t="shared" si="1500"/>
        <v>1</v>
      </c>
      <c r="J1910" s="25"/>
      <c r="K1910" s="24">
        <f>IFERROR(__xludf.DUMMYFUNCTION("iferror(filter('3.2.clean'!C:C,'3.2.clean'!A:A=C1910),"""")"),43901.0)</f>
        <v>43901</v>
      </c>
      <c r="L1910" s="25" t="b">
        <f t="shared" ref="L1910:L1911" si="1501">if(K1910="",FALSE,TRUE)</f>
        <v>1</v>
      </c>
      <c r="M1910" s="24" t="str">
        <f>IFERROR(__xludf.DUMMYFUNCTION("iferror(filter('3.3.clean'!C:C,'3.3.clean'!A:A=C1910),"""")"),"")</f>
        <v/>
      </c>
      <c r="N1910" s="25" t="b">
        <f t="shared" si="1496"/>
        <v>0</v>
      </c>
      <c r="O1910" s="24" t="str">
        <f>IFERROR(__xludf.DUMMYFUNCTION("iferror(filter('3.4.clean'!C:C,'3.4.clean'!A:A=C1910),"""")"),"")</f>
        <v/>
      </c>
      <c r="P1910" s="25" t="b">
        <f t="shared" si="1497"/>
        <v>0</v>
      </c>
      <c r="Q1910" s="24" t="str">
        <f>IFERROR(__xludf.DUMMYFUNCTION("iferror(filter('3.5.clean'!C:C,'3.5.clean'!A:A=C1910),"""")"),"")</f>
        <v/>
      </c>
      <c r="R1910" s="23" t="b">
        <f t="shared" ref="R1910:R1911" si="1502">if(Q1910="",FALSE,TRUE)</f>
        <v>0</v>
      </c>
      <c r="S1910" s="25"/>
      <c r="V1910" s="1" t="s">
        <v>64</v>
      </c>
      <c r="X1910" s="23" t="str">
        <f>IFERROR(__xludf.DUMMYFUNCTION("if(COUNTA(FILTER(C:C, C:C = C1910))=1,""no"",""yes"")"),"no")</f>
        <v>no</v>
      </c>
    </row>
    <row r="1911">
      <c r="A1911" s="1" t="s">
        <v>1108</v>
      </c>
      <c r="B1911" s="2">
        <v>8.0</v>
      </c>
      <c r="C1911" s="23" t="s">
        <v>6243</v>
      </c>
      <c r="E1911" s="24">
        <f>IFERROR(__xludf.DUMMYFUNCTION("ifna(IFNA(filter('2.1.clean'!C:C,'2.1.clean'!A:A=C1911),filter('2.2.clean'!E:E,'2.2.clean'!D:D=C1911)),filter('2.4.clean'!C:C,'2.4.clean'!A:A=C1911))"),43902.0)</f>
        <v>43902</v>
      </c>
      <c r="F1911" s="25">
        <f>IFERROR(__xludf.DUMMYFUNCTION("iferror(ifna(IFNA(filter('2.1.clean'!E:E,'2.1.clean'!A:A=C1911),filter('2.2.clean'!G:G,'2.2.clean'!D:D=C1911)),filter('2.4.clean'!E:E,'2.4.clean'!A:A=C1911)),)"),2.39999999999999)</f>
        <v>2.4</v>
      </c>
      <c r="G1911" s="24">
        <f>IFERROR(__xludf.DUMMYFUNCTION("iferror(filter('3.1.clean'!C:C,'3.1.clean'!A:A=C1911),"""")"),43902.0)</f>
        <v>43902</v>
      </c>
      <c r="H1911" s="23" t="b">
        <f t="shared" si="1500"/>
        <v>1</v>
      </c>
      <c r="J1911" s="25"/>
      <c r="K1911" s="24">
        <f>IFERROR(__xludf.DUMMYFUNCTION("iferror(filter('3.2.clean'!C:C,'3.2.clean'!A:A=C1911),"""")"),43901.0)</f>
        <v>43901</v>
      </c>
      <c r="L1911" s="25" t="b">
        <f t="shared" si="1501"/>
        <v>1</v>
      </c>
      <c r="M1911" s="24" t="str">
        <f>IFERROR(__xludf.DUMMYFUNCTION("iferror(filter('3.3.clean'!C:C,'3.3.clean'!A:A=C1911),"""")"),"")</f>
        <v/>
      </c>
      <c r="N1911" s="25" t="b">
        <f t="shared" si="1496"/>
        <v>0</v>
      </c>
      <c r="O1911" s="24" t="str">
        <f>IFERROR(__xludf.DUMMYFUNCTION("iferror(filter('3.4.clean'!C:C,'3.4.clean'!A:A=C1911),"""")"),"")</f>
        <v/>
      </c>
      <c r="P1911" s="25" t="b">
        <f t="shared" si="1497"/>
        <v>0</v>
      </c>
      <c r="Q1911" s="24" t="str">
        <f>IFERROR(__xludf.DUMMYFUNCTION("iferror(filter('3.5.clean'!C:C,'3.5.clean'!A:A=C1911),"""")"),"")</f>
        <v/>
      </c>
      <c r="R1911" s="23" t="b">
        <f t="shared" si="1502"/>
        <v>0</v>
      </c>
      <c r="S1911" s="25"/>
      <c r="V1911" s="1" t="s">
        <v>64</v>
      </c>
      <c r="X1911" s="23" t="str">
        <f>IFERROR(__xludf.DUMMYFUNCTION("if(COUNTA(FILTER(C:C, C:C = C1911))=1,""no"",""yes"")"),"no")</f>
        <v>no</v>
      </c>
    </row>
    <row r="1912">
      <c r="A1912" s="1" t="s">
        <v>1108</v>
      </c>
      <c r="B1912" s="2">
        <v>9.0</v>
      </c>
      <c r="C1912" s="23" t="s">
        <v>6250</v>
      </c>
      <c r="E1912" s="59">
        <f>IFERROR(__xludf.DUMMYFUNCTION("ifna(IFNA(filter('2.1.clean'!C:C,'2.1.clean'!A:A=C1912),filter('2.2.clean'!E:E,'2.2.clean'!D:D=C1912)),filter('2.4.clean'!C:C,'2.4.clean'!A:A=C1912))"),43902.0)</f>
        <v>43902</v>
      </c>
      <c r="F1912" s="60">
        <f>IFERROR(__xludf.DUMMYFUNCTION("iferror(ifna(IFNA(filter('2.1.clean'!E:E,'2.1.clean'!A:A=C1912),filter('2.2.clean'!G:G,'2.2.clean'!D:D=C1912)),filter('2.4.clean'!E:E,'2.4.clean'!A:A=C1912)),)"),2.39999999999999)</f>
        <v>2.4</v>
      </c>
      <c r="G1912" s="59">
        <f>IFERROR(__xludf.DUMMYFUNCTION("iferror(filter('3.1.clean'!C:C,'3.1.clean'!A:A=C1912),"""")"),43902.0)</f>
        <v>43902</v>
      </c>
      <c r="H1912" s="58" t="b">
        <f t="shared" si="1500"/>
        <v>1</v>
      </c>
      <c r="I1912" s="58">
        <f>IFERROR(__xludf.DUMMYFUNCTION("iferror(filter('3.1.clean'!G:G,'3.1.clean'!A:A=C1912),"""")"),0.0)</f>
        <v>0</v>
      </c>
      <c r="J1912" s="60" t="str">
        <f>IFERROR(__xludf.DUMMYFUNCTION("iferror(filter('3.1.clean'!I:I,'3.1.clean'!A:A=C1912),"""")"),"")</f>
        <v/>
      </c>
      <c r="K1912" s="58"/>
      <c r="L1912" s="60"/>
      <c r="M1912" s="59" t="str">
        <f>IFERROR(__xludf.DUMMYFUNCTION("iferror(filter('3.3.clean'!C:C,'3.3.clean'!A:A=C1912),"""")"),"")</f>
        <v/>
      </c>
      <c r="N1912" s="60" t="b">
        <f t="shared" si="1496"/>
        <v>0</v>
      </c>
      <c r="O1912" s="59" t="str">
        <f>IFERROR(__xludf.DUMMYFUNCTION("iferror(filter('3.4.clean'!C:C,'3.4.clean'!A:A=C1912),"""")"),"")</f>
        <v/>
      </c>
      <c r="P1912" s="60" t="b">
        <f t="shared" si="1497"/>
        <v>0</v>
      </c>
      <c r="Q1912" s="59" t="str">
        <f>IFERROR(__xludf.DUMMYFUNCTION("iferror(filter('3.5.clean'!C:C,'3.5.clean'!A:A=C1912),"""")"),"")</f>
        <v/>
      </c>
      <c r="R1912" s="58"/>
      <c r="S1912" s="4" t="str">
        <f>IFERROR(__xludf.DUMMYFUNCTION("iferror(filter('3.5.clean'!H:H,'3.5.clean'!A:A=C1912),"""")"),"")</f>
        <v/>
      </c>
      <c r="V1912" s="1" t="s">
        <v>64</v>
      </c>
      <c r="W1912" s="23" t="b">
        <f>if(AND(H1912=TRUE,N1912=TRUE,P1912=TRUE),TRUE,FALSE)</f>
        <v>0</v>
      </c>
      <c r="X1912" s="23" t="str">
        <f>IFERROR(__xludf.DUMMYFUNCTION("if(COUNTA(FILTER(C:C, C:C = C1912))=1,""no"",""yes"")"),"no")</f>
        <v>no</v>
      </c>
    </row>
    <row r="1913">
      <c r="A1913" s="1" t="s">
        <v>1108</v>
      </c>
      <c r="B1913" s="2">
        <v>10.0</v>
      </c>
      <c r="C1913" s="23" t="s">
        <v>6262</v>
      </c>
      <c r="E1913" s="24">
        <f>IFERROR(__xludf.DUMMYFUNCTION("ifna(IFNA(filter('2.1.clean'!C:C,'2.1.clean'!A:A=C1913),filter('2.2.clean'!E:E,'2.2.clean'!D:D=C1913)),filter('2.4.clean'!C:C,'2.4.clean'!A:A=C1913))"),43902.0)</f>
        <v>43902</v>
      </c>
      <c r="F1913" s="25">
        <f>IFERROR(__xludf.DUMMYFUNCTION("iferror(ifna(IFNA(filter('2.1.clean'!E:E,'2.1.clean'!A:A=C1913),filter('2.2.clean'!G:G,'2.2.clean'!D:D=C1913)),filter('2.4.clean'!E:E,'2.4.clean'!A:A=C1913)),)"),2.39999999999999)</f>
        <v>2.4</v>
      </c>
      <c r="G1913" s="43">
        <f>IFERROR(__xludf.DUMMYFUNCTION("iferror(filter('3.1.clean'!C:C,'3.1.clean'!A:A=C1913),"""")"),43902.0)</f>
        <v>43902</v>
      </c>
      <c r="H1913" s="23" t="b">
        <f t="shared" si="1500"/>
        <v>1</v>
      </c>
      <c r="J1913" s="25"/>
      <c r="K1913" s="43">
        <f>IFERROR(__xludf.DUMMYFUNCTION("iferror(filter('3.2.clean'!C:C,'3.2.clean'!A:A=C1913),"""")"),43901.0)</f>
        <v>43901</v>
      </c>
      <c r="L1913" s="25" t="b">
        <f>if(K1913="",FALSE,TRUE)</f>
        <v>1</v>
      </c>
      <c r="M1913" s="24" t="str">
        <f>IFERROR(__xludf.DUMMYFUNCTION("iferror(filter('3.3.clean'!C:C,'3.3.clean'!A:A=C1913),"""")"),"")</f>
        <v/>
      </c>
      <c r="N1913" s="25" t="b">
        <f t="shared" si="1496"/>
        <v>0</v>
      </c>
      <c r="O1913" s="24" t="str">
        <f>IFERROR(__xludf.DUMMYFUNCTION("iferror(filter('3.4.clean'!C:C,'3.4.clean'!A:A=C1913),"""")"),"")</f>
        <v/>
      </c>
      <c r="P1913" s="25" t="b">
        <f t="shared" si="1497"/>
        <v>0</v>
      </c>
      <c r="Q1913" s="24" t="str">
        <f>IFERROR(__xludf.DUMMYFUNCTION("iferror(filter('3.5.clean'!C:C,'3.5.clean'!A:A=C1913),"""")"),"")</f>
        <v/>
      </c>
      <c r="R1913" s="23" t="b">
        <f>if(Q1913="",FALSE,TRUE)</f>
        <v>0</v>
      </c>
      <c r="S1913" s="25"/>
      <c r="T1913" s="48"/>
      <c r="U1913" s="23"/>
      <c r="V1913" s="1" t="s">
        <v>64</v>
      </c>
      <c r="X1913" s="23" t="str">
        <f>IFERROR(__xludf.DUMMYFUNCTION("if(COUNTA(FILTER(C:C, C:C = C1913))=1,""no"",""yes"")"),"no")</f>
        <v>no</v>
      </c>
    </row>
    <row r="1914">
      <c r="A1914" s="1" t="s">
        <v>1108</v>
      </c>
      <c r="B1914" s="2">
        <v>11.0</v>
      </c>
      <c r="C1914" s="19" t="s">
        <v>6273</v>
      </c>
      <c r="E1914" s="77">
        <f>G1914</f>
        <v>43902</v>
      </c>
      <c r="F1914" s="78" t="str">
        <f>IFERROR(__xludf.DUMMYFUNCTION("iferror(ifna(IFNA(filter('2.1.clean'!E:E,'2.1.clean'!A:A=C1914),filter('2.2.clean'!G:G,'2.2.clean'!D:D=C1914)),filter('2.4.clean'!E:E,'2.4.clean'!A:A=C1914)),)"),"")</f>
        <v/>
      </c>
      <c r="G1914" s="77">
        <f>IFERROR(__xludf.DUMMYFUNCTION("iferror(filter('3.1.clean'!C:C,'3.1.clean'!A:A=C1914),"""")"),43902.0)</f>
        <v>43902</v>
      </c>
      <c r="H1914" s="76" t="b">
        <f t="shared" si="1500"/>
        <v>1</v>
      </c>
      <c r="I1914" s="76">
        <f>IFERROR(__xludf.DUMMYFUNCTION("iferror(filter('3.1.clean'!G:G,'3.1.clean'!A:A=C1914),"""")"),0.0)</f>
        <v>0</v>
      </c>
      <c r="J1914" s="78" t="str">
        <f>IFERROR(__xludf.DUMMYFUNCTION("iferror(filter('3.1.clean'!I:I,'3.1.clean'!A:A=C1914),"""")"),"")</f>
        <v/>
      </c>
      <c r="K1914" s="77"/>
      <c r="L1914" s="78"/>
      <c r="M1914" s="77"/>
      <c r="N1914" s="78"/>
      <c r="O1914" s="77"/>
      <c r="P1914" s="78"/>
      <c r="Q1914" s="77"/>
      <c r="R1914" s="76"/>
      <c r="S1914" s="25"/>
      <c r="T1914" s="1"/>
      <c r="V1914" s="1" t="s">
        <v>64</v>
      </c>
      <c r="W1914" s="1" t="b">
        <v>1</v>
      </c>
      <c r="X1914" s="23" t="str">
        <f>IFERROR(__xludf.DUMMYFUNCTION("if(COUNTA(FILTER(C:C, C:C = C1914))=1,""no"",""yes"")"),"no")</f>
        <v>no</v>
      </c>
    </row>
    <row r="1915">
      <c r="A1915" s="75" t="s">
        <v>1111</v>
      </c>
      <c r="B1915" s="2">
        <v>1.0</v>
      </c>
      <c r="C1915" s="19" t="s">
        <v>3495</v>
      </c>
      <c r="E1915" s="24">
        <f>IFERROR(__xludf.DUMMYFUNCTION("ifna(IFNA(filter('2.1.clean'!C:C,'2.1.clean'!A:A=C1915),filter('2.2.clean'!E:E,'2.2.clean'!D:D=C1915)),filter('2.4.clean'!C:C,'2.4.clean'!A:A=C1915))"),43906.0)</f>
        <v>43906</v>
      </c>
      <c r="F1915" s="25">
        <f>IFERROR(__xludf.DUMMYFUNCTION("iferror(ifna(IFNA(filter('2.1.clean'!E:E,'2.1.clean'!A:A=C1915),filter('2.2.clean'!G:G,'2.2.clean'!D:D=C1915)),filter('2.4.clean'!E:E,'2.4.clean'!A:A=C1915)),)"),2.1)</f>
        <v>2.1</v>
      </c>
      <c r="G1915" s="24" t="str">
        <f>IFERROR(__xludf.DUMMYFUNCTION("iferror(filter('3.1.clean'!C:C,'3.1.clean'!A:A=C1915),"""")"),"")</f>
        <v/>
      </c>
      <c r="H1915" s="23" t="b">
        <f t="shared" si="1500"/>
        <v>0</v>
      </c>
      <c r="J1915" s="25"/>
      <c r="K1915" s="24" t="str">
        <f>IFERROR(__xludf.DUMMYFUNCTION("iferror(filter('3.2.clean'!C:C,'3.2.clean'!A:A=C1915),"""")"),"")</f>
        <v/>
      </c>
      <c r="L1915" s="25" t="b">
        <f t="shared" ref="L1915:L1918" si="1503">if(K1915="",FALSE,TRUE)</f>
        <v>0</v>
      </c>
      <c r="M1915" s="24" t="str">
        <f>IFERROR(__xludf.DUMMYFUNCTION("iferror(filter('3.3.clean'!C:C,'3.3.clean'!A:A=C1915),"""")"),"")</f>
        <v/>
      </c>
      <c r="N1915" s="25" t="b">
        <f t="shared" ref="N1915:N1955" si="1504">if(M1915="",FALSE,TRUE)</f>
        <v>0</v>
      </c>
      <c r="O1915" s="24" t="str">
        <f>IFERROR(__xludf.DUMMYFUNCTION("iferror(filter('3.4.clean'!C:C,'3.4.clean'!A:A=C1915),"""")"),"")</f>
        <v/>
      </c>
      <c r="P1915" s="25" t="b">
        <f t="shared" ref="P1915:P1955" si="1505">if(O1915="",FALSE,TRUE)</f>
        <v>0</v>
      </c>
      <c r="Q1915" s="24" t="str">
        <f>IFERROR(__xludf.DUMMYFUNCTION("iferror(filter('3.5.clean'!C:C,'3.5.clean'!A:A=C1915),"""")"),"")</f>
        <v/>
      </c>
      <c r="R1915" s="23" t="b">
        <f t="shared" ref="R1915:R1918" si="1506">if(Q1915="",FALSE,TRUE)</f>
        <v>0</v>
      </c>
      <c r="S1915" s="25"/>
      <c r="V1915" s="1" t="s">
        <v>83</v>
      </c>
      <c r="W1915" s="23" t="b">
        <f t="shared" ref="W1915:W1918" si="1507">IF(and(H1915=TRUE,L1915=TRUE,N1915=TRUE,P1915=TRUE),TRUE,FALSE)</f>
        <v>0</v>
      </c>
      <c r="X1915" s="23" t="str">
        <f>IFERROR(__xludf.DUMMYFUNCTION("if(COUNTA(FILTER(C:C, C:C = C1915))=1,""no"",""yes"")"),"no")</f>
        <v>no</v>
      </c>
    </row>
    <row r="1916">
      <c r="A1916" s="75" t="s">
        <v>1111</v>
      </c>
      <c r="B1916" s="2">
        <v>2.0</v>
      </c>
      <c r="C1916" s="19" t="s">
        <v>3503</v>
      </c>
      <c r="E1916" s="24">
        <f>IFERROR(__xludf.DUMMYFUNCTION("ifna(IFNA(filter('2.1.clean'!C:C,'2.1.clean'!A:A=C1916),filter('2.2.clean'!E:E,'2.2.clean'!D:D=C1916)),filter('2.4.clean'!C:C,'2.4.clean'!A:A=C1916))"),43906.0)</f>
        <v>43906</v>
      </c>
      <c r="F1916" s="25">
        <f>IFERROR(__xludf.DUMMYFUNCTION("iferror(ifna(IFNA(filter('2.1.clean'!E:E,'2.1.clean'!A:A=C1916),filter('2.2.clean'!G:G,'2.2.clean'!D:D=C1916)),filter('2.4.clean'!E:E,'2.4.clean'!A:A=C1916)),)"),2.1)</f>
        <v>2.1</v>
      </c>
      <c r="G1916" s="24" t="str">
        <f>IFERROR(__xludf.DUMMYFUNCTION("iferror(filter('3.1.clean'!C:C,'3.1.clean'!A:A=C1916),"""")"),"")</f>
        <v/>
      </c>
      <c r="H1916" s="23" t="b">
        <f t="shared" si="1500"/>
        <v>0</v>
      </c>
      <c r="J1916" s="25"/>
      <c r="K1916" s="24">
        <f>IFERROR(__xludf.DUMMYFUNCTION("iferror(filter('3.2.clean'!C:C,'3.2.clean'!A:A=C1916),"""")"),43906.0)</f>
        <v>43906</v>
      </c>
      <c r="L1916" s="25" t="b">
        <f t="shared" si="1503"/>
        <v>1</v>
      </c>
      <c r="M1916" s="24" t="str">
        <f>IFERROR(__xludf.DUMMYFUNCTION("iferror(filter('3.3.clean'!C:C,'3.3.clean'!A:A=C1916),"""")"),"")</f>
        <v/>
      </c>
      <c r="N1916" s="25" t="b">
        <f t="shared" si="1504"/>
        <v>0</v>
      </c>
      <c r="O1916" s="24" t="str">
        <f>IFERROR(__xludf.DUMMYFUNCTION("iferror(filter('3.4.clean'!C:C,'3.4.clean'!A:A=C1916),"""")"),"")</f>
        <v/>
      </c>
      <c r="P1916" s="25" t="b">
        <f t="shared" si="1505"/>
        <v>0</v>
      </c>
      <c r="Q1916" s="24" t="str">
        <f>IFERROR(__xludf.DUMMYFUNCTION("iferror(filter('3.5.clean'!C:C,'3.5.clean'!A:A=C1916),"""")"),"")</f>
        <v/>
      </c>
      <c r="R1916" s="23" t="b">
        <f t="shared" si="1506"/>
        <v>0</v>
      </c>
      <c r="S1916" s="25"/>
      <c r="V1916" s="1" t="s">
        <v>83</v>
      </c>
      <c r="W1916" s="23" t="b">
        <f t="shared" si="1507"/>
        <v>0</v>
      </c>
      <c r="X1916" s="23" t="str">
        <f>IFERROR(__xludf.DUMMYFUNCTION("if(COUNTA(FILTER(C:C, C:C = C1916))=1,""no"",""yes"")"),"no")</f>
        <v>no</v>
      </c>
    </row>
    <row r="1917">
      <c r="A1917" s="75" t="s">
        <v>1111</v>
      </c>
      <c r="B1917" s="2">
        <v>3.0</v>
      </c>
      <c r="C1917" s="19" t="s">
        <v>3510</v>
      </c>
      <c r="E1917" s="24">
        <f>IFERROR(__xludf.DUMMYFUNCTION("ifna(IFNA(filter('2.1.clean'!C:C,'2.1.clean'!A:A=C1917),filter('2.2.clean'!E:E,'2.2.clean'!D:D=C1917)),filter('2.4.clean'!C:C,'2.4.clean'!A:A=C1917))"),43906.0)</f>
        <v>43906</v>
      </c>
      <c r="F1917" s="25">
        <f>IFERROR(__xludf.DUMMYFUNCTION("iferror(ifna(IFNA(filter('2.1.clean'!E:E,'2.1.clean'!A:A=C1917),filter('2.2.clean'!G:G,'2.2.clean'!D:D=C1917)),filter('2.4.clean'!E:E,'2.4.clean'!A:A=C1917)),)"),2.1)</f>
        <v>2.1</v>
      </c>
      <c r="G1917" s="24" t="str">
        <f>IFERROR(__xludf.DUMMYFUNCTION("iferror(filter('3.1.clean'!C:C,'3.1.clean'!A:A=C1917),"""")"),"")</f>
        <v/>
      </c>
      <c r="H1917" s="23" t="b">
        <f t="shared" si="1500"/>
        <v>0</v>
      </c>
      <c r="J1917" s="25"/>
      <c r="K1917" s="24">
        <f>IFERROR(__xludf.DUMMYFUNCTION("iferror(filter('3.2.clean'!C:C,'3.2.clean'!A:A=C1917),"""")"),43906.0)</f>
        <v>43906</v>
      </c>
      <c r="L1917" s="25" t="b">
        <f t="shared" si="1503"/>
        <v>1</v>
      </c>
      <c r="M1917" s="24" t="str">
        <f>IFERROR(__xludf.DUMMYFUNCTION("iferror(filter('3.3.clean'!C:C,'3.3.clean'!A:A=C1917),"""")"),"")</f>
        <v/>
      </c>
      <c r="N1917" s="25" t="b">
        <f t="shared" si="1504"/>
        <v>0</v>
      </c>
      <c r="O1917" s="24" t="str">
        <f>IFERROR(__xludf.DUMMYFUNCTION("iferror(filter('3.4.clean'!C:C,'3.4.clean'!A:A=C1917),"""")"),"")</f>
        <v/>
      </c>
      <c r="P1917" s="25" t="b">
        <f t="shared" si="1505"/>
        <v>0</v>
      </c>
      <c r="Q1917" s="24" t="str">
        <f>IFERROR(__xludf.DUMMYFUNCTION("iferror(filter('3.5.clean'!C:C,'3.5.clean'!A:A=C1917),"""")"),"")</f>
        <v/>
      </c>
      <c r="R1917" s="23" t="b">
        <f t="shared" si="1506"/>
        <v>0</v>
      </c>
      <c r="S1917" s="25"/>
      <c r="V1917" s="1" t="s">
        <v>83</v>
      </c>
      <c r="W1917" s="23" t="b">
        <f t="shared" si="1507"/>
        <v>0</v>
      </c>
      <c r="X1917" s="23" t="str">
        <f>IFERROR(__xludf.DUMMYFUNCTION("if(COUNTA(FILTER(C:C, C:C = C1917))=1,""no"",""yes"")"),"no")</f>
        <v>no</v>
      </c>
    </row>
    <row r="1918">
      <c r="A1918" s="75" t="s">
        <v>1111</v>
      </c>
      <c r="B1918" s="2">
        <v>4.0</v>
      </c>
      <c r="C1918" s="19" t="s">
        <v>3517</v>
      </c>
      <c r="E1918" s="24">
        <f>IFERROR(__xludf.DUMMYFUNCTION("ifna(IFNA(filter('2.1.clean'!C:C,'2.1.clean'!A:A=C1918),filter('2.2.clean'!E:E,'2.2.clean'!D:D=C1918)),filter('2.4.clean'!C:C,'2.4.clean'!A:A=C1918))"),43906.0)</f>
        <v>43906</v>
      </c>
      <c r="F1918" s="25">
        <f>IFERROR(__xludf.DUMMYFUNCTION("iferror(ifna(IFNA(filter('2.1.clean'!E:E,'2.1.clean'!A:A=C1918),filter('2.2.clean'!G:G,'2.2.clean'!D:D=C1918)),filter('2.4.clean'!E:E,'2.4.clean'!A:A=C1918)),)"),2.1)</f>
        <v>2.1</v>
      </c>
      <c r="G1918" s="24" t="str">
        <f>IFERROR(__xludf.DUMMYFUNCTION("iferror(filter('3.1.clean'!C:C,'3.1.clean'!A:A=C1918),"""")"),"")</f>
        <v/>
      </c>
      <c r="H1918" s="23" t="b">
        <f t="shared" si="1500"/>
        <v>0</v>
      </c>
      <c r="J1918" s="25"/>
      <c r="K1918" s="24">
        <f>IFERROR(__xludf.DUMMYFUNCTION("iferror(filter('3.2.clean'!C:C,'3.2.clean'!A:A=C1918),"""")"),43906.0)</f>
        <v>43906</v>
      </c>
      <c r="L1918" s="25" t="b">
        <f t="shared" si="1503"/>
        <v>1</v>
      </c>
      <c r="M1918" s="24" t="str">
        <f>IFERROR(__xludf.DUMMYFUNCTION("iferror(filter('3.3.clean'!C:C,'3.3.clean'!A:A=C1918),"""")"),"")</f>
        <v/>
      </c>
      <c r="N1918" s="25" t="b">
        <f t="shared" si="1504"/>
        <v>0</v>
      </c>
      <c r="O1918" s="24" t="str">
        <f>IFERROR(__xludf.DUMMYFUNCTION("iferror(filter('3.4.clean'!C:C,'3.4.clean'!A:A=C1918),"""")"),"")</f>
        <v/>
      </c>
      <c r="P1918" s="25" t="b">
        <f t="shared" si="1505"/>
        <v>0</v>
      </c>
      <c r="Q1918" s="24" t="str">
        <f>IFERROR(__xludf.DUMMYFUNCTION("iferror(filter('3.5.clean'!C:C,'3.5.clean'!A:A=C1918),"""")"),"")</f>
        <v/>
      </c>
      <c r="R1918" s="23" t="b">
        <f t="shared" si="1506"/>
        <v>0</v>
      </c>
      <c r="S1918" s="25"/>
      <c r="V1918" s="1" t="s">
        <v>83</v>
      </c>
      <c r="W1918" s="23" t="b">
        <f t="shared" si="1507"/>
        <v>0</v>
      </c>
      <c r="X1918" s="23" t="str">
        <f>IFERROR(__xludf.DUMMYFUNCTION("if(COUNTA(FILTER(C:C, C:C = C1918))=1,""no"",""yes"")"),"no")</f>
        <v>no</v>
      </c>
    </row>
    <row r="1919">
      <c r="A1919" s="75" t="s">
        <v>1111</v>
      </c>
      <c r="B1919" s="2">
        <v>5.0</v>
      </c>
      <c r="C1919" s="19" t="s">
        <v>3525</v>
      </c>
      <c r="E1919" s="59">
        <f>IFERROR(__xludf.DUMMYFUNCTION("ifna(IFNA(filter('2.1.clean'!C:C,'2.1.clean'!A:A=C1919),filter('2.2.clean'!E:E,'2.2.clean'!D:D=C1919)),filter('2.4.clean'!C:C,'2.4.clean'!A:A=C1919))"),43906.0)</f>
        <v>43906</v>
      </c>
      <c r="F1919" s="60">
        <f>IFERROR(__xludf.DUMMYFUNCTION("iferror(ifna(IFNA(filter('2.1.clean'!E:E,'2.1.clean'!A:A=C1919),filter('2.2.clean'!G:G,'2.2.clean'!D:D=C1919)),filter('2.4.clean'!E:E,'2.4.clean'!A:A=C1919)),)"),2.1)</f>
        <v>2.1</v>
      </c>
      <c r="G1919" s="59" t="str">
        <f>IFERROR(__xludf.DUMMYFUNCTION("iferror(filter('3.1.clean'!C:C,'3.1.clean'!A:A=C1919),"""")"),"")</f>
        <v/>
      </c>
      <c r="H1919" s="58" t="b">
        <f t="shared" si="1500"/>
        <v>0</v>
      </c>
      <c r="I1919" s="58" t="str">
        <f>IFERROR(__xludf.DUMMYFUNCTION("iferror(filter('3.1.clean'!G:G,'3.1.clean'!A:A=C1919),"""")"),"")</f>
        <v/>
      </c>
      <c r="J1919" s="60" t="str">
        <f>IFERROR(__xludf.DUMMYFUNCTION("iferror(filter('3.1.clean'!I:I,'3.1.clean'!A:A=C1919),"""")"),"")</f>
        <v/>
      </c>
      <c r="K1919" s="58"/>
      <c r="L1919" s="60"/>
      <c r="M1919" s="59" t="str">
        <f>IFERROR(__xludf.DUMMYFUNCTION("iferror(filter('3.3.clean'!C:C,'3.3.clean'!A:A=C1919),"""")"),"")</f>
        <v/>
      </c>
      <c r="N1919" s="60" t="b">
        <f t="shared" si="1504"/>
        <v>0</v>
      </c>
      <c r="O1919" s="59" t="str">
        <f>IFERROR(__xludf.DUMMYFUNCTION("iferror(filter('3.4.clean'!C:C,'3.4.clean'!A:A=C1919),"""")"),"")</f>
        <v/>
      </c>
      <c r="P1919" s="60" t="b">
        <f t="shared" si="1505"/>
        <v>0</v>
      </c>
      <c r="Q1919" s="59" t="str">
        <f>IFERROR(__xludf.DUMMYFUNCTION("iferror(filter('3.5.clean'!C:C,'3.5.clean'!A:A=C1919),"""")"),"")</f>
        <v/>
      </c>
      <c r="R1919" s="58"/>
      <c r="S1919" s="4" t="str">
        <f>IFERROR(__xludf.DUMMYFUNCTION("iferror(filter('3.5.clean'!H:H,'3.5.clean'!A:A=C1919),"""")"),"")</f>
        <v/>
      </c>
      <c r="V1919" s="1" t="s">
        <v>64</v>
      </c>
      <c r="W1919" s="23" t="b">
        <f>if(AND(H1919=TRUE,N1919=TRUE,P1919=TRUE),TRUE,FALSE)</f>
        <v>0</v>
      </c>
      <c r="X1919" s="23" t="str">
        <f>IFERROR(__xludf.DUMMYFUNCTION("if(COUNTA(FILTER(C:C, C:C = C1919))=1,""no"",""yes"")"),"no")</f>
        <v>no</v>
      </c>
    </row>
    <row r="1920">
      <c r="A1920" s="75" t="s">
        <v>1111</v>
      </c>
      <c r="B1920" s="2">
        <v>6.0</v>
      </c>
      <c r="C1920" s="19" t="s">
        <v>3532</v>
      </c>
      <c r="E1920" s="24">
        <f>IFERROR(__xludf.DUMMYFUNCTION("ifna(IFNA(filter('2.1.clean'!C:C,'2.1.clean'!A:A=C1920),filter('2.2.clean'!E:E,'2.2.clean'!D:D=C1920)),filter('2.4.clean'!C:C,'2.4.clean'!A:A=C1920))"),43906.0)</f>
        <v>43906</v>
      </c>
      <c r="F1920" s="25">
        <f>IFERROR(__xludf.DUMMYFUNCTION("iferror(ifna(IFNA(filter('2.1.clean'!E:E,'2.1.clean'!A:A=C1920),filter('2.2.clean'!G:G,'2.2.clean'!D:D=C1920)),filter('2.4.clean'!E:E,'2.4.clean'!A:A=C1920)),)"),2.1)</f>
        <v>2.1</v>
      </c>
      <c r="G1920" s="24" t="str">
        <f>IFERROR(__xludf.DUMMYFUNCTION("iferror(filter('3.1.clean'!C:C,'3.1.clean'!A:A=C1920),"""")"),"")</f>
        <v/>
      </c>
      <c r="H1920" s="23" t="b">
        <f t="shared" si="1500"/>
        <v>0</v>
      </c>
      <c r="J1920" s="25"/>
      <c r="K1920" s="24" t="str">
        <f>IFERROR(__xludf.DUMMYFUNCTION("iferror(filter('3.2.clean'!C:C,'3.2.clean'!A:A=C1920),"""")"),"")</f>
        <v/>
      </c>
      <c r="L1920" s="25" t="b">
        <f t="shared" ref="L1920:L1921" si="1508">if(K1920="",FALSE,TRUE)</f>
        <v>0</v>
      </c>
      <c r="M1920" s="24" t="str">
        <f>IFERROR(__xludf.DUMMYFUNCTION("iferror(filter('3.3.clean'!C:C,'3.3.clean'!A:A=C1920),"""")"),"")</f>
        <v/>
      </c>
      <c r="N1920" s="25" t="b">
        <f t="shared" si="1504"/>
        <v>0</v>
      </c>
      <c r="O1920" s="24" t="str">
        <f>IFERROR(__xludf.DUMMYFUNCTION("iferror(filter('3.4.clean'!C:C,'3.4.clean'!A:A=C1920),"""")"),"")</f>
        <v/>
      </c>
      <c r="P1920" s="25" t="b">
        <f t="shared" si="1505"/>
        <v>0</v>
      </c>
      <c r="Q1920" s="24" t="str">
        <f>IFERROR(__xludf.DUMMYFUNCTION("iferror(filter('3.5.clean'!C:C,'3.5.clean'!A:A=C1920),"""")"),"")</f>
        <v/>
      </c>
      <c r="R1920" s="23" t="b">
        <f t="shared" ref="R1920:R1921" si="1509">if(Q1920="",FALSE,TRUE)</f>
        <v>0</v>
      </c>
      <c r="S1920" s="25"/>
      <c r="V1920" s="1" t="s">
        <v>83</v>
      </c>
      <c r="W1920" s="23" t="b">
        <f t="shared" ref="W1920:W1921" si="1510">IF(and(H1920=TRUE,L1920=TRUE,N1920=TRUE,P1920=TRUE),TRUE,FALSE)</f>
        <v>0</v>
      </c>
      <c r="X1920" s="23" t="str">
        <f>IFERROR(__xludf.DUMMYFUNCTION("if(COUNTA(FILTER(C:C, C:C = C1920))=1,""no"",""yes"")"),"no")</f>
        <v>no</v>
      </c>
    </row>
    <row r="1921">
      <c r="A1921" s="75" t="s">
        <v>1111</v>
      </c>
      <c r="B1921" s="2">
        <v>7.0</v>
      </c>
      <c r="C1921" s="19" t="s">
        <v>3539</v>
      </c>
      <c r="E1921" s="24">
        <f>IFERROR(__xludf.DUMMYFUNCTION("ifna(IFNA(filter('2.1.clean'!C:C,'2.1.clean'!A:A=C1921),filter('2.2.clean'!E:E,'2.2.clean'!D:D=C1921)),filter('2.4.clean'!C:C,'2.4.clean'!A:A=C1921))"),43906.0)</f>
        <v>43906</v>
      </c>
      <c r="F1921" s="25">
        <f>IFERROR(__xludf.DUMMYFUNCTION("iferror(ifna(IFNA(filter('2.1.clean'!E:E,'2.1.clean'!A:A=C1921),filter('2.2.clean'!G:G,'2.2.clean'!D:D=C1921)),filter('2.4.clean'!E:E,'2.4.clean'!A:A=C1921)),)"),2.1)</f>
        <v>2.1</v>
      </c>
      <c r="G1921" s="24" t="str">
        <f>IFERROR(__xludf.DUMMYFUNCTION("iferror(filter('3.1.clean'!C:C,'3.1.clean'!A:A=C1921),"""")"),"")</f>
        <v/>
      </c>
      <c r="H1921" s="23" t="b">
        <f t="shared" si="1500"/>
        <v>0</v>
      </c>
      <c r="J1921" s="25"/>
      <c r="K1921" s="24" t="str">
        <f>IFERROR(__xludf.DUMMYFUNCTION("iferror(filter('3.2.clean'!C:C,'3.2.clean'!A:A=C1921),"""")"),"")</f>
        <v/>
      </c>
      <c r="L1921" s="25" t="b">
        <f t="shared" si="1508"/>
        <v>0</v>
      </c>
      <c r="M1921" s="24" t="str">
        <f>IFERROR(__xludf.DUMMYFUNCTION("iferror(filter('3.3.clean'!C:C,'3.3.clean'!A:A=C1921),"""")"),"")</f>
        <v/>
      </c>
      <c r="N1921" s="25" t="b">
        <f t="shared" si="1504"/>
        <v>0</v>
      </c>
      <c r="O1921" s="24" t="str">
        <f>IFERROR(__xludf.DUMMYFUNCTION("iferror(filter('3.4.clean'!C:C,'3.4.clean'!A:A=C1921),"""")"),"")</f>
        <v/>
      </c>
      <c r="P1921" s="25" t="b">
        <f t="shared" si="1505"/>
        <v>0</v>
      </c>
      <c r="Q1921" s="24" t="str">
        <f>IFERROR(__xludf.DUMMYFUNCTION("iferror(filter('3.5.clean'!C:C,'3.5.clean'!A:A=C1921),"""")"),"")</f>
        <v/>
      </c>
      <c r="R1921" s="23" t="b">
        <f t="shared" si="1509"/>
        <v>0</v>
      </c>
      <c r="S1921" s="25"/>
      <c r="V1921" s="1" t="s">
        <v>83</v>
      </c>
      <c r="W1921" s="23" t="b">
        <f t="shared" si="1510"/>
        <v>0</v>
      </c>
      <c r="X1921" s="23" t="str">
        <f>IFERROR(__xludf.DUMMYFUNCTION("if(COUNTA(FILTER(C:C, C:C = C1921))=1,""no"",""yes"")"),"no")</f>
        <v>no</v>
      </c>
    </row>
    <row r="1922">
      <c r="A1922" s="75" t="s">
        <v>1111</v>
      </c>
      <c r="B1922" s="2">
        <v>8.0</v>
      </c>
      <c r="C1922" s="19" t="s">
        <v>3547</v>
      </c>
      <c r="E1922" s="59">
        <f>IFERROR(__xludf.DUMMYFUNCTION("ifna(IFNA(filter('2.1.clean'!C:C,'2.1.clean'!A:A=C1922),filter('2.2.clean'!E:E,'2.2.clean'!D:D=C1922)),filter('2.4.clean'!C:C,'2.4.clean'!A:A=C1922))"),43906.0)</f>
        <v>43906</v>
      </c>
      <c r="F1922" s="60">
        <f>IFERROR(__xludf.DUMMYFUNCTION("iferror(ifna(IFNA(filter('2.1.clean'!E:E,'2.1.clean'!A:A=C1922),filter('2.2.clean'!G:G,'2.2.clean'!D:D=C1922)),filter('2.4.clean'!E:E,'2.4.clean'!A:A=C1922)),)"),2.1)</f>
        <v>2.1</v>
      </c>
      <c r="G1922" s="59" t="str">
        <f>IFERROR(__xludf.DUMMYFUNCTION("iferror(filter('3.1.clean'!C:C,'3.1.clean'!A:A=C1922),"""")"),"")</f>
        <v/>
      </c>
      <c r="H1922" s="58" t="b">
        <f t="shared" si="1500"/>
        <v>0</v>
      </c>
      <c r="I1922" s="58" t="str">
        <f>IFERROR(__xludf.DUMMYFUNCTION("iferror(filter('3.1.clean'!G:G,'3.1.clean'!A:A=C1922),"""")"),"")</f>
        <v/>
      </c>
      <c r="J1922" s="60" t="str">
        <f>IFERROR(__xludf.DUMMYFUNCTION("iferror(filter('3.1.clean'!I:I,'3.1.clean'!A:A=C1922),"""")"),"")</f>
        <v/>
      </c>
      <c r="K1922" s="58"/>
      <c r="L1922" s="60"/>
      <c r="M1922" s="59" t="str">
        <f>IFERROR(__xludf.DUMMYFUNCTION("iferror(filter('3.3.clean'!C:C,'3.3.clean'!A:A=C1922),"""")"),"")</f>
        <v/>
      </c>
      <c r="N1922" s="60" t="b">
        <f t="shared" si="1504"/>
        <v>0</v>
      </c>
      <c r="O1922" s="59" t="str">
        <f>IFERROR(__xludf.DUMMYFUNCTION("iferror(filter('3.4.clean'!C:C,'3.4.clean'!A:A=C1922),"""")"),"")</f>
        <v/>
      </c>
      <c r="P1922" s="60" t="b">
        <f t="shared" si="1505"/>
        <v>0</v>
      </c>
      <c r="Q1922" s="59" t="str">
        <f>IFERROR(__xludf.DUMMYFUNCTION("iferror(filter('3.5.clean'!C:C,'3.5.clean'!A:A=C1922),"""")"),"")</f>
        <v/>
      </c>
      <c r="R1922" s="58"/>
      <c r="S1922" s="4" t="str">
        <f>IFERROR(__xludf.DUMMYFUNCTION("iferror(filter('3.5.clean'!H:H,'3.5.clean'!A:A=C1922),"""")"),"")</f>
        <v/>
      </c>
      <c r="V1922" s="1" t="s">
        <v>64</v>
      </c>
      <c r="W1922" s="23" t="b">
        <f>if(AND(H1922=TRUE,N1922=TRUE,P1922=TRUE),TRUE,FALSE)</f>
        <v>0</v>
      </c>
      <c r="X1922" s="23" t="str">
        <f>IFERROR(__xludf.DUMMYFUNCTION("if(COUNTA(FILTER(C:C, C:C = C1922))=1,""no"",""yes"")"),"no")</f>
        <v>no</v>
      </c>
    </row>
    <row r="1923">
      <c r="A1923" s="75" t="s">
        <v>1111</v>
      </c>
      <c r="B1923" s="2">
        <v>9.0</v>
      </c>
      <c r="C1923" s="2" t="s">
        <v>6364</v>
      </c>
      <c r="E1923" s="24">
        <f>IFERROR(__xludf.DUMMYFUNCTION("ifna(IFNA(filter('2.1.clean'!C:C,'2.1.clean'!A:A=C1923),filter('2.2.clean'!E:E,'2.2.clean'!D:D=C1923)),filter('2.4.clean'!C:C,'2.4.clean'!A:A=C1923))"),43906.0)</f>
        <v>43906</v>
      </c>
      <c r="F1923" s="25">
        <f>IFERROR(__xludf.DUMMYFUNCTION("iferror(ifna(IFNA(filter('2.1.clean'!E:E,'2.1.clean'!A:A=C1923),filter('2.2.clean'!G:G,'2.2.clean'!D:D=C1923)),filter('2.4.clean'!E:E,'2.4.clean'!A:A=C1923)),)"),2.39999999999999)</f>
        <v>2.4</v>
      </c>
      <c r="G1923" s="24" t="str">
        <f>IFERROR(__xludf.DUMMYFUNCTION("iferror(filter('3.1.clean'!C:C,'3.1.clean'!A:A=C1923),"""")"),"")</f>
        <v/>
      </c>
      <c r="H1923" s="23" t="b">
        <f t="shared" si="1500"/>
        <v>0</v>
      </c>
      <c r="J1923" s="25"/>
      <c r="K1923" s="24">
        <f>IFERROR(__xludf.DUMMYFUNCTION("iferror(filter('3.2.clean'!C:C,'3.2.clean'!A:A=C1923),"""")"),43906.0)</f>
        <v>43906</v>
      </c>
      <c r="L1923" s="25" t="b">
        <f t="shared" ref="L1923:L1924" si="1511">if(K1923="",FALSE,TRUE)</f>
        <v>1</v>
      </c>
      <c r="M1923" s="24" t="str">
        <f>IFERROR(__xludf.DUMMYFUNCTION("iferror(filter('3.3.clean'!C:C,'3.3.clean'!A:A=C1923),"""")"),"")</f>
        <v/>
      </c>
      <c r="N1923" s="25" t="b">
        <f t="shared" si="1504"/>
        <v>0</v>
      </c>
      <c r="O1923" s="24" t="str">
        <f>IFERROR(__xludf.DUMMYFUNCTION("iferror(filter('3.4.clean'!C:C,'3.4.clean'!A:A=C1923),"""")"),"")</f>
        <v/>
      </c>
      <c r="P1923" s="25" t="b">
        <f t="shared" si="1505"/>
        <v>0</v>
      </c>
      <c r="Q1923" s="24" t="str">
        <f>IFERROR(__xludf.DUMMYFUNCTION("iferror(filter('3.5.clean'!C:C,'3.5.clean'!A:A=C1923),"""")"),"")</f>
        <v/>
      </c>
      <c r="R1923" s="23" t="b">
        <f t="shared" ref="R1923:R1924" si="1512">if(Q1923="",FALSE,TRUE)</f>
        <v>0</v>
      </c>
      <c r="S1923" s="25"/>
      <c r="V1923" s="1" t="s">
        <v>64</v>
      </c>
      <c r="X1923" s="23" t="str">
        <f>IFERROR(__xludf.DUMMYFUNCTION("if(COUNTA(FILTER(C:C, C:C = C1923))=1,""no"",""yes"")"),"no")</f>
        <v>no</v>
      </c>
    </row>
    <row r="1924">
      <c r="A1924" s="75" t="s">
        <v>1111</v>
      </c>
      <c r="B1924" s="2">
        <v>10.0</v>
      </c>
      <c r="C1924" s="2" t="s">
        <v>6378</v>
      </c>
      <c r="E1924" s="24">
        <f>IFERROR(__xludf.DUMMYFUNCTION("ifna(IFNA(filter('2.1.clean'!C:C,'2.1.clean'!A:A=C1924),filter('2.2.clean'!E:E,'2.2.clean'!D:D=C1924)),filter('2.4.clean'!C:C,'2.4.clean'!A:A=C1924))"),43906.0)</f>
        <v>43906</v>
      </c>
      <c r="F1924" s="25">
        <f>IFERROR(__xludf.DUMMYFUNCTION("iferror(ifna(IFNA(filter('2.1.clean'!E:E,'2.1.clean'!A:A=C1924),filter('2.2.clean'!G:G,'2.2.clean'!D:D=C1924)),filter('2.4.clean'!E:E,'2.4.clean'!A:A=C1924)),)"),2.39999999999999)</f>
        <v>2.4</v>
      </c>
      <c r="G1924" s="24" t="str">
        <f>IFERROR(__xludf.DUMMYFUNCTION("iferror(filter('3.1.clean'!C:C,'3.1.clean'!A:A=C1924),"""")"),"")</f>
        <v/>
      </c>
      <c r="H1924" s="23" t="b">
        <f t="shared" si="1500"/>
        <v>0</v>
      </c>
      <c r="J1924" s="25"/>
      <c r="K1924" s="24">
        <f>IFERROR(__xludf.DUMMYFUNCTION("iferror(filter('3.2.clean'!C:C,'3.2.clean'!A:A=C1924),"""")"),43906.0)</f>
        <v>43906</v>
      </c>
      <c r="L1924" s="25" t="b">
        <f t="shared" si="1511"/>
        <v>1</v>
      </c>
      <c r="M1924" s="24" t="str">
        <f>IFERROR(__xludf.DUMMYFUNCTION("iferror(filter('3.3.clean'!C:C,'3.3.clean'!A:A=C1924),"""")"),"")</f>
        <v/>
      </c>
      <c r="N1924" s="25" t="b">
        <f t="shared" si="1504"/>
        <v>0</v>
      </c>
      <c r="O1924" s="24" t="str">
        <f>IFERROR(__xludf.DUMMYFUNCTION("iferror(filter('3.4.clean'!C:C,'3.4.clean'!A:A=C1924),"""")"),"")</f>
        <v/>
      </c>
      <c r="P1924" s="25" t="b">
        <f t="shared" si="1505"/>
        <v>0</v>
      </c>
      <c r="Q1924" s="24" t="str">
        <f>IFERROR(__xludf.DUMMYFUNCTION("iferror(filter('3.5.clean'!C:C,'3.5.clean'!A:A=C1924),"""")"),"")</f>
        <v/>
      </c>
      <c r="R1924" s="23" t="b">
        <f t="shared" si="1512"/>
        <v>0</v>
      </c>
      <c r="S1924" s="25"/>
      <c r="V1924" s="1" t="s">
        <v>64</v>
      </c>
      <c r="X1924" s="23" t="str">
        <f>IFERROR(__xludf.DUMMYFUNCTION("if(COUNTA(FILTER(C:C, C:C = C1924))=1,""no"",""yes"")"),"no")</f>
        <v>no</v>
      </c>
    </row>
    <row r="1925">
      <c r="A1925" s="75" t="s">
        <v>1111</v>
      </c>
      <c r="B1925" s="2">
        <v>11.0</v>
      </c>
      <c r="C1925" s="19" t="s">
        <v>6392</v>
      </c>
      <c r="E1925" s="59">
        <f>IFERROR(__xludf.DUMMYFUNCTION("ifna(IFNA(filter('2.1.clean'!C:C,'2.1.clean'!A:A=C1925),filter('2.2.clean'!E:E,'2.2.clean'!D:D=C1925)),filter('2.4.clean'!C:C,'2.4.clean'!A:A=C1925))"),43906.0)</f>
        <v>43906</v>
      </c>
      <c r="F1925" s="60">
        <f>IFERROR(__xludf.DUMMYFUNCTION("iferror(ifna(IFNA(filter('2.1.clean'!E:E,'2.1.clean'!A:A=C1925),filter('2.2.clean'!G:G,'2.2.clean'!D:D=C1925)),filter('2.4.clean'!E:E,'2.4.clean'!A:A=C1925)),)"),2.39999999999999)</f>
        <v>2.4</v>
      </c>
      <c r="G1925" s="59" t="str">
        <f>IFERROR(__xludf.DUMMYFUNCTION("iferror(filter('3.1.clean'!C:C,'3.1.clean'!A:A=C1925),"""")"),"")</f>
        <v/>
      </c>
      <c r="H1925" s="58" t="b">
        <f t="shared" si="1500"/>
        <v>0</v>
      </c>
      <c r="I1925" s="58" t="str">
        <f>IFERROR(__xludf.DUMMYFUNCTION("iferror(filter('3.1.clean'!G:G,'3.1.clean'!A:A=C1925),"""")"),"")</f>
        <v/>
      </c>
      <c r="J1925" s="60" t="str">
        <f>IFERROR(__xludf.DUMMYFUNCTION("iferror(filter('3.1.clean'!I:I,'3.1.clean'!A:A=C1925),"""")"),"")</f>
        <v/>
      </c>
      <c r="K1925" s="58"/>
      <c r="L1925" s="60"/>
      <c r="M1925" s="59" t="str">
        <f>IFERROR(__xludf.DUMMYFUNCTION("iferror(filter('3.3.clean'!C:C,'3.3.clean'!A:A=C1925),"""")"),"")</f>
        <v/>
      </c>
      <c r="N1925" s="60" t="b">
        <f t="shared" si="1504"/>
        <v>0</v>
      </c>
      <c r="O1925" s="59" t="str">
        <f>IFERROR(__xludf.DUMMYFUNCTION("iferror(filter('3.4.clean'!C:C,'3.4.clean'!A:A=C1925),"""")"),"")</f>
        <v/>
      </c>
      <c r="P1925" s="60" t="b">
        <f t="shared" si="1505"/>
        <v>0</v>
      </c>
      <c r="Q1925" s="59" t="str">
        <f>IFERROR(__xludf.DUMMYFUNCTION("iferror(filter('3.5.clean'!C:C,'3.5.clean'!A:A=C1925),"""")"),"")</f>
        <v/>
      </c>
      <c r="R1925" s="58"/>
      <c r="S1925" s="4" t="str">
        <f>IFERROR(__xludf.DUMMYFUNCTION("iferror(filter('3.5.clean'!H:H,'3.5.clean'!A:A=C1925),"""")"),"")</f>
        <v/>
      </c>
      <c r="V1925" s="1" t="s">
        <v>64</v>
      </c>
      <c r="W1925" s="23" t="b">
        <f>if(AND(H1925=TRUE,N1925=TRUE,P1925=TRUE),TRUE,FALSE)</f>
        <v>0</v>
      </c>
      <c r="X1925" s="23" t="str">
        <f>IFERROR(__xludf.DUMMYFUNCTION("if(COUNTA(FILTER(C:C, C:C = C1925))=1,""no"",""yes"")"),"no")</f>
        <v>no</v>
      </c>
    </row>
    <row r="1926">
      <c r="A1926" s="1" t="s">
        <v>1112</v>
      </c>
      <c r="B1926" s="2">
        <v>1.0</v>
      </c>
      <c r="C1926" s="19" t="s">
        <v>6409</v>
      </c>
      <c r="E1926" s="24">
        <f>IFERROR(__xludf.DUMMYFUNCTION("ifna(IFNA(filter('2.1.clean'!C:C,'2.1.clean'!A:A=C1926),filter('2.2.clean'!E:E,'2.2.clean'!D:D=C1926)),filter('2.4.clean'!C:C,'2.4.clean'!A:A=C1926))"),43907.0)</f>
        <v>43907</v>
      </c>
      <c r="F1926" s="25">
        <f>IFERROR(__xludf.DUMMYFUNCTION("iferror(ifna(IFNA(filter('2.1.clean'!E:E,'2.1.clean'!A:A=C1926),filter('2.2.clean'!G:G,'2.2.clean'!D:D=C1926)),filter('2.4.clean'!E:E,'2.4.clean'!A:A=C1926)),)"),2.39999999999999)</f>
        <v>2.4</v>
      </c>
      <c r="G1926" s="24"/>
      <c r="J1926" s="25"/>
      <c r="K1926" s="24"/>
      <c r="L1926" s="25"/>
      <c r="M1926" s="24" t="str">
        <f>IFERROR(__xludf.DUMMYFUNCTION("iferror(filter('3.3.clean'!C:C,'3.3.clean'!A:A=C1926),"""")"),"")</f>
        <v/>
      </c>
      <c r="N1926" s="25" t="b">
        <f t="shared" si="1504"/>
        <v>0</v>
      </c>
      <c r="O1926" s="24" t="str">
        <f>IFERROR(__xludf.DUMMYFUNCTION("iferror(filter('3.4.clean'!C:C,'3.4.clean'!A:A=C1926),"""")"),"")</f>
        <v/>
      </c>
      <c r="P1926" s="25" t="b">
        <f t="shared" si="1505"/>
        <v>0</v>
      </c>
      <c r="Q1926" s="24" t="str">
        <f>IFERROR(__xludf.DUMMYFUNCTION("iferror(filter('3.5.clean'!C:C,'3.5.clean'!A:A=C1926),"""")"),"")</f>
        <v/>
      </c>
      <c r="R1926" s="23" t="b">
        <f t="shared" ref="R1926:R1930" si="1513">if(Q1926="",FALSE,TRUE)</f>
        <v>0</v>
      </c>
      <c r="S1926" s="25">
        <v>0.0</v>
      </c>
      <c r="V1926" s="52" t="s">
        <v>64</v>
      </c>
      <c r="W1926" s="23" t="b">
        <f t="shared" ref="W1926:W1929" si="1514">IF(and(R1926=TRUE,N1926=TRUE,P1926=TRUE),TRUE,FALSE)</f>
        <v>0</v>
      </c>
      <c r="X1926" s="23" t="str">
        <f>IFERROR(__xludf.DUMMYFUNCTION("if(COUNTA(FILTER(C:C, C:C = C1926))=1,""no"",""yes"")"),"no")</f>
        <v>no</v>
      </c>
    </row>
    <row r="1927">
      <c r="A1927" s="1" t="s">
        <v>1112</v>
      </c>
      <c r="B1927" s="2">
        <v>2.0</v>
      </c>
      <c r="C1927" s="19" t="s">
        <v>6422</v>
      </c>
      <c r="E1927" s="24">
        <f>IFERROR(__xludf.DUMMYFUNCTION("ifna(IFNA(filter('2.1.clean'!C:C,'2.1.clean'!A:A=C1927),filter('2.2.clean'!E:E,'2.2.clean'!D:D=C1927)),filter('2.4.clean'!C:C,'2.4.clean'!A:A=C1927))"),43907.0)</f>
        <v>43907</v>
      </c>
      <c r="F1927" s="25">
        <f>IFERROR(__xludf.DUMMYFUNCTION("iferror(ifna(IFNA(filter('2.1.clean'!E:E,'2.1.clean'!A:A=C1927),filter('2.2.clean'!G:G,'2.2.clean'!D:D=C1927)),filter('2.4.clean'!E:E,'2.4.clean'!A:A=C1927)),)"),2.39999999999999)</f>
        <v>2.4</v>
      </c>
      <c r="G1927" s="24"/>
      <c r="J1927" s="25"/>
      <c r="K1927" s="24"/>
      <c r="L1927" s="25"/>
      <c r="M1927" s="24" t="str">
        <f>IFERROR(__xludf.DUMMYFUNCTION("iferror(filter('3.3.clean'!C:C,'3.3.clean'!A:A=C1927),"""")"),"")</f>
        <v/>
      </c>
      <c r="N1927" s="25" t="b">
        <f t="shared" si="1504"/>
        <v>0</v>
      </c>
      <c r="O1927" s="24" t="str">
        <f>IFERROR(__xludf.DUMMYFUNCTION("iferror(filter('3.4.clean'!C:C,'3.4.clean'!A:A=C1927),"""")"),"")</f>
        <v/>
      </c>
      <c r="P1927" s="25" t="b">
        <f t="shared" si="1505"/>
        <v>0</v>
      </c>
      <c r="Q1927" s="24" t="str">
        <f>IFERROR(__xludf.DUMMYFUNCTION("iferror(filter('3.5.clean'!C:C,'3.5.clean'!A:A=C1927),"""")"),"")</f>
        <v/>
      </c>
      <c r="R1927" s="23" t="b">
        <f t="shared" si="1513"/>
        <v>0</v>
      </c>
      <c r="S1927" s="25">
        <v>0.0</v>
      </c>
      <c r="V1927" s="52" t="s">
        <v>64</v>
      </c>
      <c r="W1927" s="23" t="b">
        <f t="shared" si="1514"/>
        <v>0</v>
      </c>
      <c r="X1927" s="23" t="str">
        <f>IFERROR(__xludf.DUMMYFUNCTION("if(COUNTA(FILTER(C:C, C:C = C1927))=1,""no"",""yes"")"),"no")</f>
        <v>no</v>
      </c>
    </row>
    <row r="1928">
      <c r="A1928" s="1" t="s">
        <v>1112</v>
      </c>
      <c r="B1928" s="2">
        <v>3.0</v>
      </c>
      <c r="C1928" s="19" t="s">
        <v>6434</v>
      </c>
      <c r="E1928" s="24">
        <f>IFERROR(__xludf.DUMMYFUNCTION("ifna(IFNA(filter('2.1.clean'!C:C,'2.1.clean'!A:A=C1928),filter('2.2.clean'!E:E,'2.2.clean'!D:D=C1928)),filter('2.4.clean'!C:C,'2.4.clean'!A:A=C1928))"),43907.0)</f>
        <v>43907</v>
      </c>
      <c r="F1928" s="25">
        <f>IFERROR(__xludf.DUMMYFUNCTION("iferror(ifna(IFNA(filter('2.1.clean'!E:E,'2.1.clean'!A:A=C1928),filter('2.2.clean'!G:G,'2.2.clean'!D:D=C1928)),filter('2.4.clean'!E:E,'2.4.clean'!A:A=C1928)),)"),2.39999999999999)</f>
        <v>2.4</v>
      </c>
      <c r="G1928" s="24"/>
      <c r="J1928" s="25"/>
      <c r="K1928" s="24"/>
      <c r="L1928" s="25"/>
      <c r="M1928" s="24" t="str">
        <f>IFERROR(__xludf.DUMMYFUNCTION("iferror(filter('3.3.clean'!C:C,'3.3.clean'!A:A=C1928),"""")"),"")</f>
        <v/>
      </c>
      <c r="N1928" s="25" t="b">
        <f t="shared" si="1504"/>
        <v>0</v>
      </c>
      <c r="O1928" s="24" t="str">
        <f>IFERROR(__xludf.DUMMYFUNCTION("iferror(filter('3.4.clean'!C:C,'3.4.clean'!A:A=C1928),"""")"),"")</f>
        <v/>
      </c>
      <c r="P1928" s="25" t="b">
        <f t="shared" si="1505"/>
        <v>0</v>
      </c>
      <c r="Q1928" s="24" t="str">
        <f>IFERROR(__xludf.DUMMYFUNCTION("iferror(filter('3.5.clean'!C:C,'3.5.clean'!A:A=C1928),"""")"),"")</f>
        <v/>
      </c>
      <c r="R1928" s="23" t="b">
        <f t="shared" si="1513"/>
        <v>0</v>
      </c>
      <c r="S1928" s="25">
        <v>0.0</v>
      </c>
      <c r="V1928" s="52" t="s">
        <v>64</v>
      </c>
      <c r="W1928" s="23" t="b">
        <f t="shared" si="1514"/>
        <v>0</v>
      </c>
      <c r="X1928" s="23" t="str">
        <f>IFERROR(__xludf.DUMMYFUNCTION("if(COUNTA(FILTER(C:C, C:C = C1928))=1,""no"",""yes"")"),"no")</f>
        <v>no</v>
      </c>
    </row>
    <row r="1929">
      <c r="A1929" s="1" t="s">
        <v>1112</v>
      </c>
      <c r="B1929" s="2">
        <v>4.0</v>
      </c>
      <c r="C1929" s="19" t="s">
        <v>6437</v>
      </c>
      <c r="E1929" s="24">
        <f>IFERROR(__xludf.DUMMYFUNCTION("ifna(IFNA(filter('2.1.clean'!C:C,'2.1.clean'!A:A=C1929),filter('2.2.clean'!E:E,'2.2.clean'!D:D=C1929)),filter('2.4.clean'!C:C,'2.4.clean'!A:A=C1929))"),43907.0)</f>
        <v>43907</v>
      </c>
      <c r="F1929" s="25">
        <f>IFERROR(__xludf.DUMMYFUNCTION("iferror(ifna(IFNA(filter('2.1.clean'!E:E,'2.1.clean'!A:A=C1929),filter('2.2.clean'!G:G,'2.2.clean'!D:D=C1929)),filter('2.4.clean'!E:E,'2.4.clean'!A:A=C1929)),)"),2.39999999999999)</f>
        <v>2.4</v>
      </c>
      <c r="G1929" s="24"/>
      <c r="J1929" s="25"/>
      <c r="K1929" s="24"/>
      <c r="L1929" s="25"/>
      <c r="M1929" s="24" t="str">
        <f>IFERROR(__xludf.DUMMYFUNCTION("iferror(filter('3.3.clean'!C:C,'3.3.clean'!A:A=C1929),"""")"),"")</f>
        <v/>
      </c>
      <c r="N1929" s="25" t="b">
        <f t="shared" si="1504"/>
        <v>0</v>
      </c>
      <c r="O1929" s="24" t="str">
        <f>IFERROR(__xludf.DUMMYFUNCTION("iferror(filter('3.4.clean'!C:C,'3.4.clean'!A:A=C1929),"""")"),"")</f>
        <v/>
      </c>
      <c r="P1929" s="25" t="b">
        <f t="shared" si="1505"/>
        <v>0</v>
      </c>
      <c r="Q1929" s="24" t="str">
        <f>IFERROR(__xludf.DUMMYFUNCTION("iferror(filter('3.5.clean'!C:C,'3.5.clean'!A:A=C1929),"""")"),"")</f>
        <v/>
      </c>
      <c r="R1929" s="23" t="b">
        <f t="shared" si="1513"/>
        <v>0</v>
      </c>
      <c r="S1929" s="25">
        <v>0.0</v>
      </c>
      <c r="V1929" s="52" t="s">
        <v>64</v>
      </c>
      <c r="W1929" s="23" t="b">
        <f t="shared" si="1514"/>
        <v>0</v>
      </c>
      <c r="X1929" s="23" t="str">
        <f>IFERROR(__xludf.DUMMYFUNCTION("if(COUNTA(FILTER(C:C, C:C = C1929))=1,""no"",""yes"")"),"no")</f>
        <v>no</v>
      </c>
    </row>
    <row r="1930">
      <c r="A1930" s="1" t="s">
        <v>1112</v>
      </c>
      <c r="B1930" s="2">
        <v>5.0</v>
      </c>
      <c r="C1930" s="19" t="s">
        <v>6445</v>
      </c>
      <c r="E1930" s="24">
        <f>IFERROR(__xludf.DUMMYFUNCTION("ifna(IFNA(filter('2.1.clean'!C:C,'2.1.clean'!A:A=C1930),filter('2.2.clean'!E:E,'2.2.clean'!D:D=C1930)),filter('2.4.clean'!C:C,'2.4.clean'!A:A=C1930))"),43907.0)</f>
        <v>43907</v>
      </c>
      <c r="F1930" s="25">
        <f>IFERROR(__xludf.DUMMYFUNCTION("iferror(ifna(IFNA(filter('2.1.clean'!E:E,'2.1.clean'!A:A=C1930),filter('2.2.clean'!G:G,'2.2.clean'!D:D=C1930)),filter('2.4.clean'!E:E,'2.4.clean'!A:A=C1930)),)"),2.39999999999999)</f>
        <v>2.4</v>
      </c>
      <c r="G1930" s="43" t="str">
        <f>IFERROR(__xludf.DUMMYFUNCTION("iferror(filter('3.1.clean'!C:C,'3.1.clean'!A:A=C1930),"""")"),"")</f>
        <v/>
      </c>
      <c r="H1930" s="23" t="b">
        <f t="shared" ref="H1930:H1931" si="1515">if(G1930="",FALSE,TRUE)</f>
        <v>0</v>
      </c>
      <c r="J1930" s="25"/>
      <c r="K1930" s="43">
        <f>IFERROR(__xludf.DUMMYFUNCTION("iferror(filter('3.2.clean'!C:C,'3.2.clean'!A:A=C1930),"""")"),43906.0)</f>
        <v>43906</v>
      </c>
      <c r="L1930" s="25" t="b">
        <f>if(K1930="",FALSE,TRUE)</f>
        <v>1</v>
      </c>
      <c r="M1930" s="24" t="str">
        <f>IFERROR(__xludf.DUMMYFUNCTION("iferror(filter('3.3.clean'!C:C,'3.3.clean'!A:A=C1930),"""")"),"")</f>
        <v/>
      </c>
      <c r="N1930" s="25" t="b">
        <f t="shared" si="1504"/>
        <v>0</v>
      </c>
      <c r="O1930" s="24" t="str">
        <f>IFERROR(__xludf.DUMMYFUNCTION("iferror(filter('3.4.clean'!C:C,'3.4.clean'!A:A=C1930),"""")"),"")</f>
        <v/>
      </c>
      <c r="P1930" s="25" t="b">
        <f t="shared" si="1505"/>
        <v>0</v>
      </c>
      <c r="Q1930" s="24" t="str">
        <f>IFERROR(__xludf.DUMMYFUNCTION("iferror(filter('3.5.clean'!C:C,'3.5.clean'!A:A=C1930),"""")"),"")</f>
        <v/>
      </c>
      <c r="R1930" s="23" t="b">
        <f t="shared" si="1513"/>
        <v>0</v>
      </c>
      <c r="S1930" s="25"/>
      <c r="T1930" s="48"/>
      <c r="U1930" s="23"/>
      <c r="V1930" s="1" t="s">
        <v>64</v>
      </c>
      <c r="X1930" s="23" t="str">
        <f>IFERROR(__xludf.DUMMYFUNCTION("if(COUNTA(FILTER(C:C, C:C = C1930))=1,""no"",""yes"")"),"no")</f>
        <v>no</v>
      </c>
    </row>
    <row r="1931">
      <c r="A1931" s="1" t="s">
        <v>1112</v>
      </c>
      <c r="B1931" s="2">
        <v>6.0</v>
      </c>
      <c r="C1931" s="19" t="s">
        <v>6458</v>
      </c>
      <c r="E1931" s="59">
        <f>IFERROR(__xludf.DUMMYFUNCTION("ifna(IFNA(filter('2.1.clean'!C:C,'2.1.clean'!A:A=C1931),filter('2.2.clean'!E:E,'2.2.clean'!D:D=C1931)),filter('2.4.clean'!C:C,'2.4.clean'!A:A=C1931))"),43907.0)</f>
        <v>43907</v>
      </c>
      <c r="F1931" s="60">
        <f>IFERROR(__xludf.DUMMYFUNCTION("iferror(ifna(IFNA(filter('2.1.clean'!E:E,'2.1.clean'!A:A=C1931),filter('2.2.clean'!G:G,'2.2.clean'!D:D=C1931)),filter('2.4.clean'!E:E,'2.4.clean'!A:A=C1931)),)"),2.39999999999999)</f>
        <v>2.4</v>
      </c>
      <c r="G1931" s="59" t="str">
        <f>IFERROR(__xludf.DUMMYFUNCTION("iferror(filter('3.1.clean'!C:C,'3.1.clean'!A:A=C1931),"""")"),"")</f>
        <v/>
      </c>
      <c r="H1931" s="58" t="b">
        <f t="shared" si="1515"/>
        <v>0</v>
      </c>
      <c r="I1931" s="58" t="str">
        <f>IFERROR(__xludf.DUMMYFUNCTION("iferror(filter('3.1.clean'!G:G,'3.1.clean'!A:A=C1931),"""")"),"")</f>
        <v/>
      </c>
      <c r="J1931" s="60" t="str">
        <f>IFERROR(__xludf.DUMMYFUNCTION("iferror(filter('3.1.clean'!I:I,'3.1.clean'!A:A=C1931),"""")"),"")</f>
        <v/>
      </c>
      <c r="K1931" s="58"/>
      <c r="L1931" s="60"/>
      <c r="M1931" s="59" t="str">
        <f>IFERROR(__xludf.DUMMYFUNCTION("iferror(filter('3.3.clean'!C:C,'3.3.clean'!A:A=C1931),"""")"),"")</f>
        <v/>
      </c>
      <c r="N1931" s="60" t="b">
        <f t="shared" si="1504"/>
        <v>0</v>
      </c>
      <c r="O1931" s="59" t="str">
        <f>IFERROR(__xludf.DUMMYFUNCTION("iferror(filter('3.4.clean'!C:C,'3.4.clean'!A:A=C1931),"""")"),"")</f>
        <v/>
      </c>
      <c r="P1931" s="60" t="b">
        <f t="shared" si="1505"/>
        <v>0</v>
      </c>
      <c r="Q1931" s="59" t="str">
        <f>IFERROR(__xludf.DUMMYFUNCTION("iferror(filter('3.5.clean'!C:C,'3.5.clean'!A:A=C1931),"""")"),"")</f>
        <v/>
      </c>
      <c r="R1931" s="58"/>
      <c r="S1931" s="4" t="str">
        <f>IFERROR(__xludf.DUMMYFUNCTION("iferror(filter('3.5.clean'!H:H,'3.5.clean'!A:A=C1931),"""")"),"")</f>
        <v/>
      </c>
      <c r="V1931" s="1" t="s">
        <v>64</v>
      </c>
      <c r="W1931" s="23" t="b">
        <f>if(AND(H1931=TRUE,N1931=TRUE,P1931=TRUE),TRUE,FALSE)</f>
        <v>0</v>
      </c>
      <c r="X1931" s="23" t="str">
        <f>IFERROR(__xludf.DUMMYFUNCTION("if(COUNTA(FILTER(C:C, C:C = C1931))=1,""no"",""yes"")"),"no")</f>
        <v>no</v>
      </c>
    </row>
    <row r="1932">
      <c r="A1932" s="75" t="s">
        <v>1113</v>
      </c>
      <c r="B1932" s="2">
        <v>1.0</v>
      </c>
      <c r="C1932" s="19" t="s">
        <v>6472</v>
      </c>
      <c r="E1932" s="24">
        <f>IFERROR(__xludf.DUMMYFUNCTION("ifna(IFNA(filter('2.1.clean'!C:C,'2.1.clean'!A:A=C1932),filter('2.2.clean'!E:E,'2.2.clean'!D:D=C1932)),filter('2.4.clean'!C:C,'2.4.clean'!A:A=C1932))"),43908.0)</f>
        <v>43908</v>
      </c>
      <c r="F1932" s="25">
        <f>IFERROR(__xludf.DUMMYFUNCTION("iferror(ifna(IFNA(filter('2.1.clean'!E:E,'2.1.clean'!A:A=C1932),filter('2.2.clean'!G:G,'2.2.clean'!D:D=C1932)),filter('2.4.clean'!E:E,'2.4.clean'!A:A=C1932)),)"),2.39999999999999)</f>
        <v>2.4</v>
      </c>
      <c r="G1932" s="24"/>
      <c r="J1932" s="25"/>
      <c r="K1932" s="24"/>
      <c r="L1932" s="25"/>
      <c r="M1932" s="24" t="str">
        <f>IFERROR(__xludf.DUMMYFUNCTION("iferror(filter('3.3.clean'!C:C,'3.3.clean'!A:A=C1932),"""")"),"")</f>
        <v/>
      </c>
      <c r="N1932" s="25" t="b">
        <f t="shared" si="1504"/>
        <v>0</v>
      </c>
      <c r="O1932" s="24" t="str">
        <f>IFERROR(__xludf.DUMMYFUNCTION("iferror(filter('3.4.clean'!C:C,'3.4.clean'!A:A=C1932),"""")"),"")</f>
        <v/>
      </c>
      <c r="P1932" s="25" t="b">
        <f t="shared" si="1505"/>
        <v>0</v>
      </c>
      <c r="Q1932" s="24" t="str">
        <f>IFERROR(__xludf.DUMMYFUNCTION("iferror(filter('3.5.clean'!C:C,'3.5.clean'!A:A=C1932),"""")"),"")</f>
        <v/>
      </c>
      <c r="R1932" s="23" t="b">
        <f t="shared" ref="R1932:R1934" si="1516">if(Q1932="",FALSE,TRUE)</f>
        <v>0</v>
      </c>
      <c r="S1932" s="25">
        <v>0.0</v>
      </c>
      <c r="V1932" s="52" t="s">
        <v>64</v>
      </c>
      <c r="W1932" s="23" t="b">
        <f t="shared" ref="W1932:W1934" si="1517">IF(and(R1932=TRUE,N1932=TRUE,P1932=TRUE),TRUE,FALSE)</f>
        <v>0</v>
      </c>
      <c r="X1932" s="23" t="str">
        <f>IFERROR(__xludf.DUMMYFUNCTION("if(COUNTA(FILTER(C:C, C:C = C1932))=1,""no"",""yes"")"),"no")</f>
        <v>no</v>
      </c>
    </row>
    <row r="1933">
      <c r="A1933" s="75" t="s">
        <v>1113</v>
      </c>
      <c r="B1933" s="2">
        <v>2.0</v>
      </c>
      <c r="C1933" s="19" t="s">
        <v>6484</v>
      </c>
      <c r="E1933" s="24">
        <f>IFERROR(__xludf.DUMMYFUNCTION("ifna(IFNA(filter('2.1.clean'!C:C,'2.1.clean'!A:A=C1933),filter('2.2.clean'!E:E,'2.2.clean'!D:D=C1933)),filter('2.4.clean'!C:C,'2.4.clean'!A:A=C1933))"),43908.0)</f>
        <v>43908</v>
      </c>
      <c r="F1933" s="25">
        <f>IFERROR(__xludf.DUMMYFUNCTION("iferror(ifna(IFNA(filter('2.1.clean'!E:E,'2.1.clean'!A:A=C1933),filter('2.2.clean'!G:G,'2.2.clean'!D:D=C1933)),filter('2.4.clean'!E:E,'2.4.clean'!A:A=C1933)),)"),2.39999999999999)</f>
        <v>2.4</v>
      </c>
      <c r="G1933" s="24"/>
      <c r="J1933" s="25"/>
      <c r="K1933" s="24"/>
      <c r="L1933" s="25"/>
      <c r="M1933" s="24" t="str">
        <f>IFERROR(__xludf.DUMMYFUNCTION("iferror(filter('3.3.clean'!C:C,'3.3.clean'!A:A=C1933),"""")"),"")</f>
        <v/>
      </c>
      <c r="N1933" s="25" t="b">
        <f t="shared" si="1504"/>
        <v>0</v>
      </c>
      <c r="O1933" s="24" t="str">
        <f>IFERROR(__xludf.DUMMYFUNCTION("iferror(filter('3.4.clean'!C:C,'3.4.clean'!A:A=C1933),"""")"),"")</f>
        <v/>
      </c>
      <c r="P1933" s="25" t="b">
        <f t="shared" si="1505"/>
        <v>0</v>
      </c>
      <c r="Q1933" s="24" t="str">
        <f>IFERROR(__xludf.DUMMYFUNCTION("iferror(filter('3.5.clean'!C:C,'3.5.clean'!A:A=C1933),"""")"),"")</f>
        <v/>
      </c>
      <c r="R1933" s="23" t="b">
        <f t="shared" si="1516"/>
        <v>0</v>
      </c>
      <c r="S1933" s="25">
        <v>0.0</v>
      </c>
      <c r="V1933" s="52" t="s">
        <v>64</v>
      </c>
      <c r="W1933" s="23" t="b">
        <f t="shared" si="1517"/>
        <v>0</v>
      </c>
      <c r="X1933" s="23" t="str">
        <f>IFERROR(__xludf.DUMMYFUNCTION("if(COUNTA(FILTER(C:C, C:C = C1933))=1,""no"",""yes"")"),"no")</f>
        <v>no</v>
      </c>
    </row>
    <row r="1934">
      <c r="A1934" s="75" t="s">
        <v>1113</v>
      </c>
      <c r="B1934" s="2">
        <v>3.0</v>
      </c>
      <c r="C1934" s="19" t="s">
        <v>6500</v>
      </c>
      <c r="E1934" s="24">
        <f>IFERROR(__xludf.DUMMYFUNCTION("ifna(IFNA(filter('2.1.clean'!C:C,'2.1.clean'!A:A=C1934),filter('2.2.clean'!E:E,'2.2.clean'!D:D=C1934)),filter('2.4.clean'!C:C,'2.4.clean'!A:A=C1934))"),43908.0)</f>
        <v>43908</v>
      </c>
      <c r="F1934" s="25">
        <f>IFERROR(__xludf.DUMMYFUNCTION("iferror(ifna(IFNA(filter('2.1.clean'!E:E,'2.1.clean'!A:A=C1934),filter('2.2.clean'!G:G,'2.2.clean'!D:D=C1934)),filter('2.4.clean'!E:E,'2.4.clean'!A:A=C1934)),)"),2.39999999999999)</f>
        <v>2.4</v>
      </c>
      <c r="G1934" s="24"/>
      <c r="J1934" s="25"/>
      <c r="K1934" s="24"/>
      <c r="L1934" s="25"/>
      <c r="M1934" s="24" t="str">
        <f>IFERROR(__xludf.DUMMYFUNCTION("iferror(filter('3.3.clean'!C:C,'3.3.clean'!A:A=C1934),"""")"),"")</f>
        <v/>
      </c>
      <c r="N1934" s="25" t="b">
        <f t="shared" si="1504"/>
        <v>0</v>
      </c>
      <c r="O1934" s="24" t="str">
        <f>IFERROR(__xludf.DUMMYFUNCTION("iferror(filter('3.4.clean'!C:C,'3.4.clean'!A:A=C1934),"""")"),"")</f>
        <v/>
      </c>
      <c r="P1934" s="25" t="b">
        <f t="shared" si="1505"/>
        <v>0</v>
      </c>
      <c r="Q1934" s="24" t="str">
        <f>IFERROR(__xludf.DUMMYFUNCTION("iferror(filter('3.5.clean'!C:C,'3.5.clean'!A:A=C1934),"""")"),"")</f>
        <v/>
      </c>
      <c r="R1934" s="23" t="b">
        <f t="shared" si="1516"/>
        <v>0</v>
      </c>
      <c r="S1934" s="25">
        <v>0.0</v>
      </c>
      <c r="V1934" s="52" t="s">
        <v>64</v>
      </c>
      <c r="W1934" s="23" t="b">
        <f t="shared" si="1517"/>
        <v>0</v>
      </c>
      <c r="X1934" s="23" t="str">
        <f>IFERROR(__xludf.DUMMYFUNCTION("if(COUNTA(FILTER(C:C, C:C = C1934))=1,""no"",""yes"")"),"no")</f>
        <v>no</v>
      </c>
    </row>
    <row r="1935">
      <c r="A1935" s="75" t="s">
        <v>1113</v>
      </c>
      <c r="B1935" s="2">
        <v>4.0</v>
      </c>
      <c r="C1935" s="19" t="s">
        <v>6508</v>
      </c>
      <c r="E1935" s="59">
        <f>IFERROR(__xludf.DUMMYFUNCTION("ifna(IFNA(filter('2.1.clean'!C:C,'2.1.clean'!A:A=C1935),filter('2.2.clean'!E:E,'2.2.clean'!D:D=C1935)),filter('2.4.clean'!C:C,'2.4.clean'!A:A=C1935))"),43908.0)</f>
        <v>43908</v>
      </c>
      <c r="F1935" s="60">
        <f>IFERROR(__xludf.DUMMYFUNCTION("iferror(ifna(IFNA(filter('2.1.clean'!E:E,'2.1.clean'!A:A=C1935),filter('2.2.clean'!G:G,'2.2.clean'!D:D=C1935)),filter('2.4.clean'!E:E,'2.4.clean'!A:A=C1935)),)"),2.39999999999999)</f>
        <v>2.4</v>
      </c>
      <c r="G1935" s="59" t="str">
        <f>IFERROR(__xludf.DUMMYFUNCTION("iferror(filter('3.1.clean'!C:C,'3.1.clean'!A:A=C1935),"""")"),"")</f>
        <v/>
      </c>
      <c r="H1935" s="58" t="b">
        <f t="shared" ref="H1935:H1947" si="1518">if(G1935="",FALSE,TRUE)</f>
        <v>0</v>
      </c>
      <c r="I1935" s="58" t="str">
        <f>IFERROR(__xludf.DUMMYFUNCTION("iferror(filter('3.1.clean'!G:G,'3.1.clean'!A:A=C1935),"""")"),"")</f>
        <v/>
      </c>
      <c r="J1935" s="60" t="str">
        <f>IFERROR(__xludf.DUMMYFUNCTION("iferror(filter('3.1.clean'!I:I,'3.1.clean'!A:A=C1935),"""")"),"")</f>
        <v/>
      </c>
      <c r="K1935" s="58"/>
      <c r="L1935" s="60"/>
      <c r="M1935" s="59" t="str">
        <f>IFERROR(__xludf.DUMMYFUNCTION("iferror(filter('3.3.clean'!C:C,'3.3.clean'!A:A=C1935),"""")"),"")</f>
        <v/>
      </c>
      <c r="N1935" s="60" t="b">
        <f t="shared" si="1504"/>
        <v>0</v>
      </c>
      <c r="O1935" s="59" t="str">
        <f>IFERROR(__xludf.DUMMYFUNCTION("iferror(filter('3.4.clean'!C:C,'3.4.clean'!A:A=C1935),"""")"),"")</f>
        <v/>
      </c>
      <c r="P1935" s="60" t="b">
        <f t="shared" si="1505"/>
        <v>0</v>
      </c>
      <c r="Q1935" s="59" t="str">
        <f>IFERROR(__xludf.DUMMYFUNCTION("iferror(filter('3.5.clean'!C:C,'3.5.clean'!A:A=C1935),"""")"),"")</f>
        <v/>
      </c>
      <c r="R1935" s="58"/>
      <c r="S1935" s="4" t="str">
        <f>IFERROR(__xludf.DUMMYFUNCTION("iferror(filter('3.5.clean'!H:H,'3.5.clean'!A:A=C1935),"""")"),"")</f>
        <v/>
      </c>
      <c r="V1935" s="1" t="s">
        <v>64</v>
      </c>
      <c r="W1935" s="23" t="b">
        <f>if(AND(H1935=TRUE,N1935=TRUE,P1935=TRUE),TRUE,FALSE)</f>
        <v>0</v>
      </c>
      <c r="X1935" s="23" t="str">
        <f>IFERROR(__xludf.DUMMYFUNCTION("if(COUNTA(FILTER(C:C, C:C = C1935))=1,""no"",""yes"")"),"no")</f>
        <v>no</v>
      </c>
    </row>
    <row r="1936">
      <c r="A1936" s="75" t="s">
        <v>1113</v>
      </c>
      <c r="B1936" s="2">
        <v>5.0</v>
      </c>
      <c r="C1936" s="19" t="s">
        <v>6525</v>
      </c>
      <c r="E1936" s="24">
        <f>IFERROR(__xludf.DUMMYFUNCTION("ifna(IFNA(filter('2.1.clean'!C:C,'2.1.clean'!A:A=C1936),filter('2.2.clean'!E:E,'2.2.clean'!D:D=C1936)),filter('2.4.clean'!C:C,'2.4.clean'!A:A=C1936))"),43908.0)</f>
        <v>43908</v>
      </c>
      <c r="F1936" s="25">
        <f>IFERROR(__xludf.DUMMYFUNCTION("iferror(ifna(IFNA(filter('2.1.clean'!E:E,'2.1.clean'!A:A=C1936),filter('2.2.clean'!G:G,'2.2.clean'!D:D=C1936)),filter('2.4.clean'!E:E,'2.4.clean'!A:A=C1936)),)"),2.39999999999999)</f>
        <v>2.4</v>
      </c>
      <c r="G1936" s="24" t="str">
        <f>IFERROR(__xludf.DUMMYFUNCTION("iferror(filter('3.1.clean'!C:C,'3.1.clean'!A:A=C1936),"""")"),"")</f>
        <v/>
      </c>
      <c r="H1936" s="23" t="b">
        <f t="shared" si="1518"/>
        <v>0</v>
      </c>
      <c r="J1936" s="25"/>
      <c r="K1936" s="24" t="str">
        <f>IFERROR(__xludf.DUMMYFUNCTION("iferror(filter('3.2.clean'!C:C,'3.2.clean'!A:A=C1936),"""")"),"")</f>
        <v/>
      </c>
      <c r="L1936" s="25" t="b">
        <f t="shared" ref="L1936:L1937" si="1519">if(K1936="",FALSE,TRUE)</f>
        <v>0</v>
      </c>
      <c r="M1936" s="24" t="str">
        <f>IFERROR(__xludf.DUMMYFUNCTION("iferror(filter('3.3.clean'!C:C,'3.3.clean'!A:A=C1936),"""")"),"")</f>
        <v/>
      </c>
      <c r="N1936" s="25" t="b">
        <f t="shared" si="1504"/>
        <v>0</v>
      </c>
      <c r="O1936" s="24" t="str">
        <f>IFERROR(__xludf.DUMMYFUNCTION("iferror(filter('3.4.clean'!C:C,'3.4.clean'!A:A=C1936),"""")"),"")</f>
        <v/>
      </c>
      <c r="P1936" s="25" t="b">
        <f t="shared" si="1505"/>
        <v>0</v>
      </c>
      <c r="Q1936" s="24" t="str">
        <f>IFERROR(__xludf.DUMMYFUNCTION("iferror(filter('3.5.clean'!C:C,'3.5.clean'!A:A=C1936),"""")"),"")</f>
        <v/>
      </c>
      <c r="R1936" s="23" t="b">
        <f t="shared" ref="R1936:R1937" si="1520">if(Q1936="",FALSE,TRUE)</f>
        <v>0</v>
      </c>
      <c r="S1936" s="25"/>
      <c r="V1936" s="1" t="s">
        <v>64</v>
      </c>
      <c r="X1936" s="23" t="str">
        <f>IFERROR(__xludf.DUMMYFUNCTION("if(COUNTA(FILTER(C:C, C:C = C1936))=1,""no"",""yes"")"),"no")</f>
        <v>no</v>
      </c>
    </row>
    <row r="1937">
      <c r="A1937" s="75" t="s">
        <v>1113</v>
      </c>
      <c r="B1937" s="2">
        <v>6.0</v>
      </c>
      <c r="C1937" s="19" t="s">
        <v>6537</v>
      </c>
      <c r="E1937" s="24">
        <f>IFERROR(__xludf.DUMMYFUNCTION("ifna(IFNA(filter('2.1.clean'!C:C,'2.1.clean'!A:A=C1937),filter('2.2.clean'!E:E,'2.2.clean'!D:D=C1937)),filter('2.4.clean'!C:C,'2.4.clean'!A:A=C1937))"),43908.0)</f>
        <v>43908</v>
      </c>
      <c r="F1937" s="25">
        <f>IFERROR(__xludf.DUMMYFUNCTION("iferror(ifna(IFNA(filter('2.1.clean'!E:E,'2.1.clean'!A:A=C1937),filter('2.2.clean'!G:G,'2.2.clean'!D:D=C1937)),filter('2.4.clean'!E:E,'2.4.clean'!A:A=C1937)),)"),2.39999999999999)</f>
        <v>2.4</v>
      </c>
      <c r="G1937" s="24" t="str">
        <f>IFERROR(__xludf.DUMMYFUNCTION("iferror(filter('3.1.clean'!C:C,'3.1.clean'!A:A=C1937),"""")"),"")</f>
        <v/>
      </c>
      <c r="H1937" s="23" t="b">
        <f t="shared" si="1518"/>
        <v>0</v>
      </c>
      <c r="J1937" s="25"/>
      <c r="K1937" s="24" t="str">
        <f>IFERROR(__xludf.DUMMYFUNCTION("iferror(filter('3.2.clean'!C:C,'3.2.clean'!A:A=C1937),"""")"),"")</f>
        <v/>
      </c>
      <c r="L1937" s="25" t="b">
        <f t="shared" si="1519"/>
        <v>0</v>
      </c>
      <c r="M1937" s="24" t="str">
        <f>IFERROR(__xludf.DUMMYFUNCTION("iferror(filter('3.3.clean'!C:C,'3.3.clean'!A:A=C1937),"""")"),"")</f>
        <v/>
      </c>
      <c r="N1937" s="25" t="b">
        <f t="shared" si="1504"/>
        <v>0</v>
      </c>
      <c r="O1937" s="24" t="str">
        <f>IFERROR(__xludf.DUMMYFUNCTION("iferror(filter('3.4.clean'!C:C,'3.4.clean'!A:A=C1937),"""")"),"")</f>
        <v/>
      </c>
      <c r="P1937" s="25" t="b">
        <f t="shared" si="1505"/>
        <v>0</v>
      </c>
      <c r="Q1937" s="24" t="str">
        <f>IFERROR(__xludf.DUMMYFUNCTION("iferror(filter('3.5.clean'!C:C,'3.5.clean'!A:A=C1937),"""")"),"")</f>
        <v/>
      </c>
      <c r="R1937" s="23" t="b">
        <f t="shared" si="1520"/>
        <v>0</v>
      </c>
      <c r="S1937" s="25"/>
      <c r="V1937" s="1" t="s">
        <v>64</v>
      </c>
      <c r="X1937" s="23" t="str">
        <f>IFERROR(__xludf.DUMMYFUNCTION("if(COUNTA(FILTER(C:C, C:C = C1937))=1,""no"",""yes"")"),"no")</f>
        <v>no</v>
      </c>
    </row>
    <row r="1938">
      <c r="A1938" s="75" t="s">
        <v>1113</v>
      </c>
      <c r="B1938" s="2">
        <v>7.0</v>
      </c>
      <c r="C1938" s="19" t="s">
        <v>6551</v>
      </c>
      <c r="E1938" s="59">
        <f>IFERROR(__xludf.DUMMYFUNCTION("ifna(IFNA(filter('2.1.clean'!C:C,'2.1.clean'!A:A=C1938),filter('2.2.clean'!E:E,'2.2.clean'!D:D=C1938)),filter('2.4.clean'!C:C,'2.4.clean'!A:A=C1938))"),43908.0)</f>
        <v>43908</v>
      </c>
      <c r="F1938" s="60">
        <f>IFERROR(__xludf.DUMMYFUNCTION("iferror(ifna(IFNA(filter('2.1.clean'!E:E,'2.1.clean'!A:A=C1938),filter('2.2.clean'!G:G,'2.2.clean'!D:D=C1938)),filter('2.4.clean'!E:E,'2.4.clean'!A:A=C1938)),)"),2.39999999999999)</f>
        <v>2.4</v>
      </c>
      <c r="G1938" s="59" t="str">
        <f>IFERROR(__xludf.DUMMYFUNCTION("iferror(filter('3.1.clean'!C:C,'3.1.clean'!A:A=C1938),"""")"),"")</f>
        <v/>
      </c>
      <c r="H1938" s="58" t="b">
        <f t="shared" si="1518"/>
        <v>0</v>
      </c>
      <c r="I1938" s="58" t="str">
        <f>IFERROR(__xludf.DUMMYFUNCTION("iferror(filter('3.1.clean'!G:G,'3.1.clean'!A:A=C1938),"""")"),"")</f>
        <v/>
      </c>
      <c r="J1938" s="60" t="str">
        <f>IFERROR(__xludf.DUMMYFUNCTION("iferror(filter('3.1.clean'!I:I,'3.1.clean'!A:A=C1938),"""")"),"")</f>
        <v/>
      </c>
      <c r="K1938" s="58"/>
      <c r="L1938" s="60"/>
      <c r="M1938" s="59" t="str">
        <f>IFERROR(__xludf.DUMMYFUNCTION("iferror(filter('3.3.clean'!C:C,'3.3.clean'!A:A=C1938),"""")"),"")</f>
        <v/>
      </c>
      <c r="N1938" s="60" t="b">
        <f t="shared" si="1504"/>
        <v>0</v>
      </c>
      <c r="O1938" s="59" t="str">
        <f>IFERROR(__xludf.DUMMYFUNCTION("iferror(filter('3.4.clean'!C:C,'3.4.clean'!A:A=C1938),"""")"),"")</f>
        <v/>
      </c>
      <c r="P1938" s="60" t="b">
        <f t="shared" si="1505"/>
        <v>0</v>
      </c>
      <c r="Q1938" s="59" t="str">
        <f>IFERROR(__xludf.DUMMYFUNCTION("iferror(filter('3.5.clean'!C:C,'3.5.clean'!A:A=C1938),"""")"),"")</f>
        <v/>
      </c>
      <c r="R1938" s="58"/>
      <c r="S1938" s="4" t="str">
        <f>IFERROR(__xludf.DUMMYFUNCTION("iferror(filter('3.5.clean'!H:H,'3.5.clean'!A:A=C1938),"""")"),"")</f>
        <v/>
      </c>
      <c r="V1938" s="1" t="s">
        <v>64</v>
      </c>
      <c r="W1938" s="23" t="b">
        <f>if(AND(H1938=TRUE,N1938=TRUE,P1938=TRUE),TRUE,FALSE)</f>
        <v>0</v>
      </c>
      <c r="X1938" s="23" t="str">
        <f>IFERROR(__xludf.DUMMYFUNCTION("if(COUNTA(FILTER(C:C, C:C = C1938))=1,""no"",""yes"")"),"no")</f>
        <v>no</v>
      </c>
    </row>
    <row r="1939">
      <c r="A1939" s="75" t="s">
        <v>1113</v>
      </c>
      <c r="B1939" s="2">
        <v>8.0</v>
      </c>
      <c r="C1939" s="19" t="s">
        <v>6562</v>
      </c>
      <c r="E1939" s="24">
        <f>IFERROR(__xludf.DUMMYFUNCTION("ifna(IFNA(filter('2.1.clean'!C:C,'2.1.clean'!A:A=C1939),filter('2.2.clean'!E:E,'2.2.clean'!D:D=C1939)),filter('2.4.clean'!C:C,'2.4.clean'!A:A=C1939))"),43908.0)</f>
        <v>43908</v>
      </c>
      <c r="F1939" s="25">
        <f>IFERROR(__xludf.DUMMYFUNCTION("iferror(ifna(IFNA(filter('2.1.clean'!E:E,'2.1.clean'!A:A=C1939),filter('2.2.clean'!G:G,'2.2.clean'!D:D=C1939)),filter('2.4.clean'!E:E,'2.4.clean'!A:A=C1939)),)"),2.39999999999999)</f>
        <v>2.4</v>
      </c>
      <c r="G1939" s="43" t="str">
        <f>IFERROR(__xludf.DUMMYFUNCTION("iferror(filter('3.1.clean'!C:C,'3.1.clean'!A:A=C1939),"""")"),"")</f>
        <v/>
      </c>
      <c r="H1939" s="23" t="b">
        <f t="shared" si="1518"/>
        <v>0</v>
      </c>
      <c r="J1939" s="25"/>
      <c r="K1939" s="43" t="str">
        <f>IFERROR(__xludf.DUMMYFUNCTION("iferror(filter('3.2.clean'!C:C,'3.2.clean'!A:A=C1939),"""")"),"")</f>
        <v/>
      </c>
      <c r="L1939" s="25" t="b">
        <f t="shared" ref="L1939:L1943" si="1521">if(K1939="",FALSE,TRUE)</f>
        <v>0</v>
      </c>
      <c r="M1939" s="24" t="str">
        <f>IFERROR(__xludf.DUMMYFUNCTION("iferror(filter('3.3.clean'!C:C,'3.3.clean'!A:A=C1939),"""")"),"")</f>
        <v/>
      </c>
      <c r="N1939" s="25" t="b">
        <f t="shared" si="1504"/>
        <v>0</v>
      </c>
      <c r="O1939" s="24" t="str">
        <f>IFERROR(__xludf.DUMMYFUNCTION("iferror(filter('3.4.clean'!C:C,'3.4.clean'!A:A=C1939),"""")"),"")</f>
        <v/>
      </c>
      <c r="P1939" s="25" t="b">
        <f t="shared" si="1505"/>
        <v>0</v>
      </c>
      <c r="Q1939" s="24" t="str">
        <f>IFERROR(__xludf.DUMMYFUNCTION("iferror(filter('3.5.clean'!C:C,'3.5.clean'!A:A=C1939),"""")"),"")</f>
        <v/>
      </c>
      <c r="R1939" s="23" t="b">
        <f t="shared" ref="R1939:R1943" si="1522">if(Q1939="",FALSE,TRUE)</f>
        <v>0</v>
      </c>
      <c r="S1939" s="25"/>
      <c r="T1939" s="48"/>
      <c r="U1939" s="23"/>
      <c r="V1939" s="1" t="s">
        <v>64</v>
      </c>
      <c r="X1939" s="23" t="str">
        <f>IFERROR(__xludf.DUMMYFUNCTION("if(COUNTA(FILTER(C:C, C:C = C1939))=1,""no"",""yes"")"),"no")</f>
        <v>no</v>
      </c>
    </row>
    <row r="1940">
      <c r="A1940" s="1" t="s">
        <v>1115</v>
      </c>
      <c r="B1940" s="2">
        <v>1.0</v>
      </c>
      <c r="C1940" s="19" t="s">
        <v>356</v>
      </c>
      <c r="E1940" s="24">
        <f>IFERROR(__xludf.DUMMYFUNCTION("ifna(IFNA(filter('2.1.clean'!C:C,'2.1.clean'!A:A=C1940),filter('2.2.clean'!E:E,'2.2.clean'!D:D=C1940)),filter('2.4.clean'!C:C,'2.4.clean'!A:A=C1940))"),43909.0)</f>
        <v>43909</v>
      </c>
      <c r="F1940" s="25">
        <f>IFERROR(__xludf.DUMMYFUNCTION("iferror(ifna(IFNA(filter('2.1.clean'!E:E,'2.1.clean'!A:A=C1940),filter('2.2.clean'!G:G,'2.2.clean'!D:D=C1940)),filter('2.4.clean'!E:E,'2.4.clean'!A:A=C1940)),)"),2.1)</f>
        <v>2.1</v>
      </c>
      <c r="G1940" s="24" t="str">
        <f>IFERROR(__xludf.DUMMYFUNCTION("iferror(filter('3.1.clean'!C:C,'3.1.clean'!A:A=C1940),"""")"),"")</f>
        <v/>
      </c>
      <c r="H1940" s="23" t="b">
        <f t="shared" si="1518"/>
        <v>0</v>
      </c>
      <c r="J1940" s="25"/>
      <c r="K1940" s="24" t="str">
        <f>IFERROR(__xludf.DUMMYFUNCTION("iferror(filter('3.2.clean'!C:C,'3.2.clean'!A:A=C1940),"""")"),"")</f>
        <v/>
      </c>
      <c r="L1940" s="25" t="b">
        <f t="shared" si="1521"/>
        <v>0</v>
      </c>
      <c r="M1940" s="24" t="str">
        <f>IFERROR(__xludf.DUMMYFUNCTION("iferror(filter('3.3.clean'!C:C,'3.3.clean'!A:A=C1940),"""")"),"")</f>
        <v/>
      </c>
      <c r="N1940" s="25" t="b">
        <f t="shared" si="1504"/>
        <v>0</v>
      </c>
      <c r="O1940" s="24" t="str">
        <f>IFERROR(__xludf.DUMMYFUNCTION("iferror(filter('3.4.clean'!C:C,'3.4.clean'!A:A=C1940),"""")"),"")</f>
        <v/>
      </c>
      <c r="P1940" s="25" t="b">
        <f t="shared" si="1505"/>
        <v>0</v>
      </c>
      <c r="Q1940" s="24" t="str">
        <f>IFERROR(__xludf.DUMMYFUNCTION("iferror(filter('3.5.clean'!C:C,'3.5.clean'!A:A=C1940),"""")"),"")</f>
        <v/>
      </c>
      <c r="R1940" s="23" t="b">
        <f t="shared" si="1522"/>
        <v>0</v>
      </c>
      <c r="S1940" s="25"/>
      <c r="V1940" s="1" t="s">
        <v>83</v>
      </c>
      <c r="W1940" s="23" t="b">
        <f t="shared" ref="W1940:W1943" si="1523">IF(and(H1940=TRUE,L1940=TRUE,N1940=TRUE,P1940=TRUE),TRUE,FALSE)</f>
        <v>0</v>
      </c>
      <c r="X1940" s="23" t="str">
        <f>IFERROR(__xludf.DUMMYFUNCTION("if(COUNTA(FILTER(C:C, C:C = C1940))=1,""no"",""yes"")"),"no")</f>
        <v>no</v>
      </c>
    </row>
    <row r="1941">
      <c r="A1941" s="1" t="s">
        <v>1115</v>
      </c>
      <c r="B1941" s="2">
        <v>2.0</v>
      </c>
      <c r="C1941" s="19" t="s">
        <v>3561</v>
      </c>
      <c r="E1941" s="24">
        <f>IFERROR(__xludf.DUMMYFUNCTION("ifna(IFNA(filter('2.1.clean'!C:C,'2.1.clean'!A:A=C1941),filter('2.2.clean'!E:E,'2.2.clean'!D:D=C1941)),filter('2.4.clean'!C:C,'2.4.clean'!A:A=C1941))"),43909.0)</f>
        <v>43909</v>
      </c>
      <c r="F1941" s="25">
        <f>IFERROR(__xludf.DUMMYFUNCTION("iferror(ifna(IFNA(filter('2.1.clean'!E:E,'2.1.clean'!A:A=C1941),filter('2.2.clean'!G:G,'2.2.clean'!D:D=C1941)),filter('2.4.clean'!E:E,'2.4.clean'!A:A=C1941)),)"),2.1)</f>
        <v>2.1</v>
      </c>
      <c r="G1941" s="24" t="str">
        <f>IFERROR(__xludf.DUMMYFUNCTION("iferror(filter('3.1.clean'!C:C,'3.1.clean'!A:A=C1941),"""")"),"")</f>
        <v/>
      </c>
      <c r="H1941" s="23" t="b">
        <f t="shared" si="1518"/>
        <v>0</v>
      </c>
      <c r="J1941" s="25"/>
      <c r="K1941" s="24" t="str">
        <f>IFERROR(__xludf.DUMMYFUNCTION("iferror(filter('3.2.clean'!C:C,'3.2.clean'!A:A=C1941),"""")"),"")</f>
        <v/>
      </c>
      <c r="L1941" s="25" t="b">
        <f t="shared" si="1521"/>
        <v>0</v>
      </c>
      <c r="M1941" s="24" t="str">
        <f>IFERROR(__xludf.DUMMYFUNCTION("iferror(filter('3.3.clean'!C:C,'3.3.clean'!A:A=C1941),"""")"),"")</f>
        <v/>
      </c>
      <c r="N1941" s="25" t="b">
        <f t="shared" si="1504"/>
        <v>0</v>
      </c>
      <c r="O1941" s="24" t="str">
        <f>IFERROR(__xludf.DUMMYFUNCTION("iferror(filter('3.4.clean'!C:C,'3.4.clean'!A:A=C1941),"""")"),"")</f>
        <v/>
      </c>
      <c r="P1941" s="25" t="b">
        <f t="shared" si="1505"/>
        <v>0</v>
      </c>
      <c r="Q1941" s="24" t="str">
        <f>IFERROR(__xludf.DUMMYFUNCTION("iferror(filter('3.5.clean'!C:C,'3.5.clean'!A:A=C1941),"""")"),"")</f>
        <v/>
      </c>
      <c r="R1941" s="23" t="b">
        <f t="shared" si="1522"/>
        <v>0</v>
      </c>
      <c r="S1941" s="25"/>
      <c r="V1941" s="1" t="s">
        <v>83</v>
      </c>
      <c r="W1941" s="23" t="b">
        <f t="shared" si="1523"/>
        <v>0</v>
      </c>
      <c r="X1941" s="23" t="str">
        <f>IFERROR(__xludf.DUMMYFUNCTION("if(COUNTA(FILTER(C:C, C:C = C1941))=1,""no"",""yes"")"),"no")</f>
        <v>no</v>
      </c>
    </row>
    <row r="1942">
      <c r="A1942" s="1" t="s">
        <v>1115</v>
      </c>
      <c r="B1942" s="2">
        <v>3.0</v>
      </c>
      <c r="C1942" s="19" t="s">
        <v>3568</v>
      </c>
      <c r="E1942" s="24">
        <f>IFERROR(__xludf.DUMMYFUNCTION("ifna(IFNA(filter('2.1.clean'!C:C,'2.1.clean'!A:A=C1942),filter('2.2.clean'!E:E,'2.2.clean'!D:D=C1942)),filter('2.4.clean'!C:C,'2.4.clean'!A:A=C1942))"),43909.0)</f>
        <v>43909</v>
      </c>
      <c r="F1942" s="25">
        <f>IFERROR(__xludf.DUMMYFUNCTION("iferror(ifna(IFNA(filter('2.1.clean'!E:E,'2.1.clean'!A:A=C1942),filter('2.2.clean'!G:G,'2.2.clean'!D:D=C1942)),filter('2.4.clean'!E:E,'2.4.clean'!A:A=C1942)),)"),2.1)</f>
        <v>2.1</v>
      </c>
      <c r="G1942" s="24" t="str">
        <f>IFERROR(__xludf.DUMMYFUNCTION("iferror(filter('3.1.clean'!C:C,'3.1.clean'!A:A=C1942),"""")"),"")</f>
        <v/>
      </c>
      <c r="H1942" s="23" t="b">
        <f t="shared" si="1518"/>
        <v>0</v>
      </c>
      <c r="J1942" s="25"/>
      <c r="K1942" s="24" t="str">
        <f>IFERROR(__xludf.DUMMYFUNCTION("iferror(filter('3.2.clean'!C:C,'3.2.clean'!A:A=C1942),"""")"),"")</f>
        <v/>
      </c>
      <c r="L1942" s="25" t="b">
        <f t="shared" si="1521"/>
        <v>0</v>
      </c>
      <c r="M1942" s="24" t="str">
        <f>IFERROR(__xludf.DUMMYFUNCTION("iferror(filter('3.3.clean'!C:C,'3.3.clean'!A:A=C1942),"""")"),"")</f>
        <v/>
      </c>
      <c r="N1942" s="25" t="b">
        <f t="shared" si="1504"/>
        <v>0</v>
      </c>
      <c r="O1942" s="24" t="str">
        <f>IFERROR(__xludf.DUMMYFUNCTION("iferror(filter('3.4.clean'!C:C,'3.4.clean'!A:A=C1942),"""")"),"")</f>
        <v/>
      </c>
      <c r="P1942" s="25" t="b">
        <f t="shared" si="1505"/>
        <v>0</v>
      </c>
      <c r="Q1942" s="24" t="str">
        <f>IFERROR(__xludf.DUMMYFUNCTION("iferror(filter('3.5.clean'!C:C,'3.5.clean'!A:A=C1942),"""")"),"")</f>
        <v/>
      </c>
      <c r="R1942" s="23" t="b">
        <f t="shared" si="1522"/>
        <v>0</v>
      </c>
      <c r="S1942" s="25"/>
      <c r="V1942" s="1" t="s">
        <v>83</v>
      </c>
      <c r="W1942" s="23" t="b">
        <f t="shared" si="1523"/>
        <v>0</v>
      </c>
      <c r="X1942" s="23" t="str">
        <f>IFERROR(__xludf.DUMMYFUNCTION("if(COUNTA(FILTER(C:C, C:C = C1942))=1,""no"",""yes"")"),"no")</f>
        <v>no</v>
      </c>
    </row>
    <row r="1943">
      <c r="A1943" s="1" t="s">
        <v>1115</v>
      </c>
      <c r="B1943" s="2">
        <v>4.0</v>
      </c>
      <c r="C1943" s="19" t="s">
        <v>3575</v>
      </c>
      <c r="E1943" s="24">
        <f>IFERROR(__xludf.DUMMYFUNCTION("ifna(IFNA(filter('2.1.clean'!C:C,'2.1.clean'!A:A=C1943),filter('2.2.clean'!E:E,'2.2.clean'!D:D=C1943)),filter('2.4.clean'!C:C,'2.4.clean'!A:A=C1943))"),43909.0)</f>
        <v>43909</v>
      </c>
      <c r="F1943" s="25">
        <f>IFERROR(__xludf.DUMMYFUNCTION("iferror(ifna(IFNA(filter('2.1.clean'!E:E,'2.1.clean'!A:A=C1943),filter('2.2.clean'!G:G,'2.2.clean'!D:D=C1943)),filter('2.4.clean'!E:E,'2.4.clean'!A:A=C1943)),)"),2.1)</f>
        <v>2.1</v>
      </c>
      <c r="G1943" s="24" t="str">
        <f>IFERROR(__xludf.DUMMYFUNCTION("iferror(filter('3.1.clean'!C:C,'3.1.clean'!A:A=C1943),"""")"),"")</f>
        <v/>
      </c>
      <c r="H1943" s="23" t="b">
        <f t="shared" si="1518"/>
        <v>0</v>
      </c>
      <c r="J1943" s="25"/>
      <c r="K1943" s="24" t="str">
        <f>IFERROR(__xludf.DUMMYFUNCTION("iferror(filter('3.2.clean'!C:C,'3.2.clean'!A:A=C1943),"""")"),"")</f>
        <v/>
      </c>
      <c r="L1943" s="25" t="b">
        <f t="shared" si="1521"/>
        <v>0</v>
      </c>
      <c r="M1943" s="24" t="str">
        <f>IFERROR(__xludf.DUMMYFUNCTION("iferror(filter('3.3.clean'!C:C,'3.3.clean'!A:A=C1943),"""")"),"")</f>
        <v/>
      </c>
      <c r="N1943" s="25" t="b">
        <f t="shared" si="1504"/>
        <v>0</v>
      </c>
      <c r="O1943" s="24" t="str">
        <f>IFERROR(__xludf.DUMMYFUNCTION("iferror(filter('3.4.clean'!C:C,'3.4.clean'!A:A=C1943),"""")"),"")</f>
        <v/>
      </c>
      <c r="P1943" s="25" t="b">
        <f t="shared" si="1505"/>
        <v>0</v>
      </c>
      <c r="Q1943" s="24" t="str">
        <f>IFERROR(__xludf.DUMMYFUNCTION("iferror(filter('3.5.clean'!C:C,'3.5.clean'!A:A=C1943),"""")"),"")</f>
        <v/>
      </c>
      <c r="R1943" s="23" t="b">
        <f t="shared" si="1522"/>
        <v>0</v>
      </c>
      <c r="S1943" s="25"/>
      <c r="V1943" s="1" t="s">
        <v>83</v>
      </c>
      <c r="W1943" s="23" t="b">
        <f t="shared" si="1523"/>
        <v>0</v>
      </c>
      <c r="X1943" s="23" t="str">
        <f>IFERROR(__xludf.DUMMYFUNCTION("if(COUNTA(FILTER(C:C, C:C = C1943))=1,""no"",""yes"")"),"no")</f>
        <v>no</v>
      </c>
    </row>
    <row r="1944">
      <c r="A1944" s="1" t="s">
        <v>1115</v>
      </c>
      <c r="B1944" s="2">
        <v>5.0</v>
      </c>
      <c r="C1944" s="19" t="s">
        <v>3582</v>
      </c>
      <c r="E1944" s="59">
        <f>IFERROR(__xludf.DUMMYFUNCTION("ifna(IFNA(filter('2.1.clean'!C:C,'2.1.clean'!A:A=C1944),filter('2.2.clean'!E:E,'2.2.clean'!D:D=C1944)),filter('2.4.clean'!C:C,'2.4.clean'!A:A=C1944))"),43909.0)</f>
        <v>43909</v>
      </c>
      <c r="F1944" s="60">
        <f>IFERROR(__xludf.DUMMYFUNCTION("iferror(ifna(IFNA(filter('2.1.clean'!E:E,'2.1.clean'!A:A=C1944),filter('2.2.clean'!G:G,'2.2.clean'!D:D=C1944)),filter('2.4.clean'!E:E,'2.4.clean'!A:A=C1944)),)"),2.1)</f>
        <v>2.1</v>
      </c>
      <c r="G1944" s="59" t="str">
        <f>IFERROR(__xludf.DUMMYFUNCTION("iferror(filter('3.1.clean'!C:C,'3.1.clean'!A:A=C1944),"""")"),"")</f>
        <v/>
      </c>
      <c r="H1944" s="58" t="b">
        <f t="shared" si="1518"/>
        <v>0</v>
      </c>
      <c r="I1944" s="58" t="str">
        <f>IFERROR(__xludf.DUMMYFUNCTION("iferror(filter('3.1.clean'!G:G,'3.1.clean'!A:A=C1944),"""")"),"")</f>
        <v/>
      </c>
      <c r="J1944" s="60" t="str">
        <f>IFERROR(__xludf.DUMMYFUNCTION("iferror(filter('3.1.clean'!I:I,'3.1.clean'!A:A=C1944),"""")"),"")</f>
        <v/>
      </c>
      <c r="K1944" s="58"/>
      <c r="L1944" s="60"/>
      <c r="M1944" s="59" t="str">
        <f>IFERROR(__xludf.DUMMYFUNCTION("iferror(filter('3.3.clean'!C:C,'3.3.clean'!A:A=C1944),"""")"),"")</f>
        <v/>
      </c>
      <c r="N1944" s="60" t="b">
        <f t="shared" si="1504"/>
        <v>0</v>
      </c>
      <c r="O1944" s="59" t="str">
        <f>IFERROR(__xludf.DUMMYFUNCTION("iferror(filter('3.4.clean'!C:C,'3.4.clean'!A:A=C1944),"""")"),"")</f>
        <v/>
      </c>
      <c r="P1944" s="60" t="b">
        <f t="shared" si="1505"/>
        <v>0</v>
      </c>
      <c r="Q1944" s="59" t="str">
        <f>IFERROR(__xludf.DUMMYFUNCTION("iferror(filter('3.5.clean'!C:C,'3.5.clean'!A:A=C1944),"""")"),"")</f>
        <v/>
      </c>
      <c r="R1944" s="58"/>
      <c r="S1944" s="4" t="str">
        <f>IFERROR(__xludf.DUMMYFUNCTION("iferror(filter('3.5.clean'!H:H,'3.5.clean'!A:A=C1944),"""")"),"")</f>
        <v/>
      </c>
      <c r="V1944" s="1" t="s">
        <v>64</v>
      </c>
      <c r="W1944" s="23" t="b">
        <f>if(AND(H1944=TRUE,N1944=TRUE,P1944=TRUE),TRUE,FALSE)</f>
        <v>0</v>
      </c>
      <c r="X1944" s="23" t="str">
        <f>IFERROR(__xludf.DUMMYFUNCTION("if(COUNTA(FILTER(C:C, C:C = C1944))=1,""no"",""yes"")"),"no")</f>
        <v>no</v>
      </c>
    </row>
    <row r="1945">
      <c r="A1945" s="1" t="s">
        <v>1115</v>
      </c>
      <c r="B1945" s="2">
        <v>6.0</v>
      </c>
      <c r="C1945" s="19" t="s">
        <v>6624</v>
      </c>
      <c r="E1945" s="24">
        <f>IFERROR(__xludf.DUMMYFUNCTION("ifna(IFNA(filter('2.1.clean'!C:C,'2.1.clean'!A:A=C1945),filter('2.2.clean'!E:E,'2.2.clean'!D:D=C1945)),filter('2.4.clean'!C:C,'2.4.clean'!A:A=C1945))"),43909.0)</f>
        <v>43909</v>
      </c>
      <c r="F1945" s="25">
        <f>IFERROR(__xludf.DUMMYFUNCTION("iferror(ifna(IFNA(filter('2.1.clean'!E:E,'2.1.clean'!A:A=C1945),filter('2.2.clean'!G:G,'2.2.clean'!D:D=C1945)),filter('2.4.clean'!E:E,'2.4.clean'!A:A=C1945)),)"),2.39999999999999)</f>
        <v>2.4</v>
      </c>
      <c r="G1945" s="24" t="str">
        <f>IFERROR(__xludf.DUMMYFUNCTION("iferror(filter('3.1.clean'!C:C,'3.1.clean'!A:A=C1945),"""")"),"")</f>
        <v/>
      </c>
      <c r="H1945" s="23" t="b">
        <f t="shared" si="1518"/>
        <v>0</v>
      </c>
      <c r="J1945" s="25"/>
      <c r="K1945" s="24" t="str">
        <f>IFERROR(__xludf.DUMMYFUNCTION("iferror(filter('3.2.clean'!C:C,'3.2.clean'!A:A=C1945),"""")"),"")</f>
        <v/>
      </c>
      <c r="L1945" s="25" t="b">
        <f t="shared" ref="L1945:L1946" si="1524">if(K1945="",FALSE,TRUE)</f>
        <v>0</v>
      </c>
      <c r="M1945" s="24" t="str">
        <f>IFERROR(__xludf.DUMMYFUNCTION("iferror(filter('3.3.clean'!C:C,'3.3.clean'!A:A=C1945),"""")"),"")</f>
        <v/>
      </c>
      <c r="N1945" s="25" t="b">
        <f t="shared" si="1504"/>
        <v>0</v>
      </c>
      <c r="O1945" s="24" t="str">
        <f>IFERROR(__xludf.DUMMYFUNCTION("iferror(filter('3.4.clean'!C:C,'3.4.clean'!A:A=C1945),"""")"),"")</f>
        <v/>
      </c>
      <c r="P1945" s="25" t="b">
        <f t="shared" si="1505"/>
        <v>0</v>
      </c>
      <c r="Q1945" s="24" t="str">
        <f>IFERROR(__xludf.DUMMYFUNCTION("iferror(filter('3.5.clean'!C:C,'3.5.clean'!A:A=C1945),"""")"),"")</f>
        <v/>
      </c>
      <c r="R1945" s="23" t="b">
        <f t="shared" ref="R1945:R1946" si="1525">if(Q1945="",FALSE,TRUE)</f>
        <v>0</v>
      </c>
      <c r="S1945" s="25"/>
      <c r="V1945" s="1" t="s">
        <v>64</v>
      </c>
      <c r="X1945" s="23" t="str">
        <f>IFERROR(__xludf.DUMMYFUNCTION("if(COUNTA(FILTER(C:C, C:C = C1945))=1,""no"",""yes"")"),"no")</f>
        <v>no</v>
      </c>
    </row>
    <row r="1946">
      <c r="A1946" s="1" t="s">
        <v>1115</v>
      </c>
      <c r="B1946" s="2">
        <v>7.0</v>
      </c>
      <c r="C1946" s="19" t="s">
        <v>6632</v>
      </c>
      <c r="E1946" s="24">
        <f>IFERROR(__xludf.DUMMYFUNCTION("ifna(IFNA(filter('2.1.clean'!C:C,'2.1.clean'!A:A=C1946),filter('2.2.clean'!E:E,'2.2.clean'!D:D=C1946)),filter('2.4.clean'!C:C,'2.4.clean'!A:A=C1946))"),43909.0)</f>
        <v>43909</v>
      </c>
      <c r="F1946" s="25">
        <f>IFERROR(__xludf.DUMMYFUNCTION("iferror(ifna(IFNA(filter('2.1.clean'!E:E,'2.1.clean'!A:A=C1946),filter('2.2.clean'!G:G,'2.2.clean'!D:D=C1946)),filter('2.4.clean'!E:E,'2.4.clean'!A:A=C1946)),)"),2.39999999999999)</f>
        <v>2.4</v>
      </c>
      <c r="G1946" s="24" t="str">
        <f>IFERROR(__xludf.DUMMYFUNCTION("iferror(filter('3.1.clean'!C:C,'3.1.clean'!A:A=C1946),"""")"),"")</f>
        <v/>
      </c>
      <c r="H1946" s="23" t="b">
        <f t="shared" si="1518"/>
        <v>0</v>
      </c>
      <c r="J1946" s="25"/>
      <c r="K1946" s="24" t="str">
        <f>IFERROR(__xludf.DUMMYFUNCTION("iferror(filter('3.2.clean'!C:C,'3.2.clean'!A:A=C1946),"""")"),"")</f>
        <v/>
      </c>
      <c r="L1946" s="25" t="b">
        <f t="shared" si="1524"/>
        <v>0</v>
      </c>
      <c r="M1946" s="24" t="str">
        <f>IFERROR(__xludf.DUMMYFUNCTION("iferror(filter('3.3.clean'!C:C,'3.3.clean'!A:A=C1946),"""")"),"")</f>
        <v/>
      </c>
      <c r="N1946" s="25" t="b">
        <f t="shared" si="1504"/>
        <v>0</v>
      </c>
      <c r="O1946" s="24" t="str">
        <f>IFERROR(__xludf.DUMMYFUNCTION("iferror(filter('3.4.clean'!C:C,'3.4.clean'!A:A=C1946),"""")"),"")</f>
        <v/>
      </c>
      <c r="P1946" s="25" t="b">
        <f t="shared" si="1505"/>
        <v>0</v>
      </c>
      <c r="Q1946" s="24" t="str">
        <f>IFERROR(__xludf.DUMMYFUNCTION("iferror(filter('3.5.clean'!C:C,'3.5.clean'!A:A=C1946),"""")"),"")</f>
        <v/>
      </c>
      <c r="R1946" s="23" t="b">
        <f t="shared" si="1525"/>
        <v>0</v>
      </c>
      <c r="S1946" s="25"/>
      <c r="V1946" s="1" t="s">
        <v>64</v>
      </c>
      <c r="X1946" s="23" t="str">
        <f>IFERROR(__xludf.DUMMYFUNCTION("if(COUNTA(FILTER(C:C, C:C = C1946))=1,""no"",""yes"")"),"no")</f>
        <v>no</v>
      </c>
    </row>
    <row r="1947">
      <c r="A1947" s="1" t="s">
        <v>1115</v>
      </c>
      <c r="B1947" s="2">
        <v>8.0</v>
      </c>
      <c r="C1947" s="19" t="s">
        <v>6641</v>
      </c>
      <c r="E1947" s="59">
        <f>IFERROR(__xludf.DUMMYFUNCTION("ifna(IFNA(filter('2.1.clean'!C:C,'2.1.clean'!A:A=C1947),filter('2.2.clean'!E:E,'2.2.clean'!D:D=C1947)),filter('2.4.clean'!C:C,'2.4.clean'!A:A=C1947))"),43909.0)</f>
        <v>43909</v>
      </c>
      <c r="F1947" s="60">
        <f>IFERROR(__xludf.DUMMYFUNCTION("iferror(ifna(IFNA(filter('2.1.clean'!E:E,'2.1.clean'!A:A=C1947),filter('2.2.clean'!G:G,'2.2.clean'!D:D=C1947)),filter('2.4.clean'!E:E,'2.4.clean'!A:A=C1947)),)"),2.39999999999999)</f>
        <v>2.4</v>
      </c>
      <c r="G1947" s="59" t="str">
        <f>IFERROR(__xludf.DUMMYFUNCTION("iferror(filter('3.1.clean'!C:C,'3.1.clean'!A:A=C1947),"""")"),"")</f>
        <v/>
      </c>
      <c r="H1947" s="58" t="b">
        <f t="shared" si="1518"/>
        <v>0</v>
      </c>
      <c r="I1947" s="58" t="str">
        <f>IFERROR(__xludf.DUMMYFUNCTION("iferror(filter('3.1.clean'!G:G,'3.1.clean'!A:A=C1947),"""")"),"")</f>
        <v/>
      </c>
      <c r="J1947" s="60" t="str">
        <f>IFERROR(__xludf.DUMMYFUNCTION("iferror(filter('3.1.clean'!I:I,'3.1.clean'!A:A=C1947),"""")"),"")</f>
        <v/>
      </c>
      <c r="K1947" s="58"/>
      <c r="L1947" s="60"/>
      <c r="M1947" s="59" t="str">
        <f>IFERROR(__xludf.DUMMYFUNCTION("iferror(filter('3.3.clean'!C:C,'3.3.clean'!A:A=C1947),"""")"),"")</f>
        <v/>
      </c>
      <c r="N1947" s="60" t="b">
        <f t="shared" si="1504"/>
        <v>0</v>
      </c>
      <c r="O1947" s="59" t="str">
        <f>IFERROR(__xludf.DUMMYFUNCTION("iferror(filter('3.4.clean'!C:C,'3.4.clean'!A:A=C1947),"""")"),"")</f>
        <v/>
      </c>
      <c r="P1947" s="60" t="b">
        <f t="shared" si="1505"/>
        <v>0</v>
      </c>
      <c r="Q1947" s="59" t="str">
        <f>IFERROR(__xludf.DUMMYFUNCTION("iferror(filter('3.5.clean'!C:C,'3.5.clean'!A:A=C1947),"""")"),"")</f>
        <v/>
      </c>
      <c r="R1947" s="58"/>
      <c r="S1947" s="4" t="str">
        <f>IFERROR(__xludf.DUMMYFUNCTION("iferror(filter('3.5.clean'!H:H,'3.5.clean'!A:A=C1947),"""")"),"")</f>
        <v/>
      </c>
      <c r="V1947" s="1" t="s">
        <v>64</v>
      </c>
      <c r="W1947" s="23" t="b">
        <f>if(AND(H1947=TRUE,N1947=TRUE,P1947=TRUE),TRUE,FALSE)</f>
        <v>0</v>
      </c>
      <c r="X1947" s="23" t="str">
        <f>IFERROR(__xludf.DUMMYFUNCTION("if(COUNTA(FILTER(C:C, C:C = C1947))=1,""no"",""yes"")"),"no")</f>
        <v>no</v>
      </c>
    </row>
    <row r="1948">
      <c r="A1948" s="1" t="s">
        <v>1115</v>
      </c>
      <c r="B1948" s="2">
        <v>9.0</v>
      </c>
      <c r="C1948" s="19" t="s">
        <v>6651</v>
      </c>
      <c r="E1948" s="24">
        <f>IFERROR(__xludf.DUMMYFUNCTION("ifna(IFNA(filter('2.1.clean'!C:C,'2.1.clean'!A:A=C1948),filter('2.2.clean'!E:E,'2.2.clean'!D:D=C1948)),filter('2.4.clean'!C:C,'2.4.clean'!A:A=C1948))"),43909.0)</f>
        <v>43909</v>
      </c>
      <c r="F1948" s="25">
        <f>IFERROR(__xludf.DUMMYFUNCTION("iferror(ifna(IFNA(filter('2.1.clean'!E:E,'2.1.clean'!A:A=C1948),filter('2.2.clean'!G:G,'2.2.clean'!D:D=C1948)),filter('2.4.clean'!E:E,'2.4.clean'!A:A=C1948)),)"),2.39999999999999)</f>
        <v>2.4</v>
      </c>
      <c r="G1948" s="24"/>
      <c r="J1948" s="25"/>
      <c r="K1948" s="24"/>
      <c r="L1948" s="25"/>
      <c r="M1948" s="24" t="str">
        <f>IFERROR(__xludf.DUMMYFUNCTION("iferror(filter('3.3.clean'!C:C,'3.3.clean'!A:A=C1948),"""")"),"")</f>
        <v/>
      </c>
      <c r="N1948" s="25" t="b">
        <f t="shared" si="1504"/>
        <v>0</v>
      </c>
      <c r="O1948" s="24" t="str">
        <f>IFERROR(__xludf.DUMMYFUNCTION("iferror(filter('3.4.clean'!C:C,'3.4.clean'!A:A=C1948),"""")"),"")</f>
        <v/>
      </c>
      <c r="P1948" s="25" t="b">
        <f t="shared" si="1505"/>
        <v>0</v>
      </c>
      <c r="Q1948" s="24" t="str">
        <f>IFERROR(__xludf.DUMMYFUNCTION("iferror(filter('3.5.clean'!C:C,'3.5.clean'!A:A=C1948),"""")"),"")</f>
        <v/>
      </c>
      <c r="R1948" s="23" t="b">
        <f t="shared" ref="R1948:R1952" si="1526">if(Q1948="",FALSE,TRUE)</f>
        <v>0</v>
      </c>
      <c r="S1948" s="25">
        <v>0.0</v>
      </c>
      <c r="V1948" s="52" t="s">
        <v>64</v>
      </c>
      <c r="W1948" s="23" t="b">
        <f t="shared" ref="W1948:W1952" si="1527">IF(and(R1948=TRUE,N1948=TRUE,P1948=TRUE),TRUE,FALSE)</f>
        <v>0</v>
      </c>
      <c r="X1948" s="23" t="str">
        <f>IFERROR(__xludf.DUMMYFUNCTION("if(COUNTA(FILTER(C:C, C:C = C1948))=1,""no"",""yes"")"),"no")</f>
        <v>no</v>
      </c>
    </row>
    <row r="1949">
      <c r="A1949" s="1" t="s">
        <v>1115</v>
      </c>
      <c r="B1949" s="2">
        <v>10.0</v>
      </c>
      <c r="C1949" s="19" t="s">
        <v>6659</v>
      </c>
      <c r="E1949" s="24">
        <f>IFERROR(__xludf.DUMMYFUNCTION("ifna(IFNA(filter('2.1.clean'!C:C,'2.1.clean'!A:A=C1949),filter('2.2.clean'!E:E,'2.2.clean'!D:D=C1949)),filter('2.4.clean'!C:C,'2.4.clean'!A:A=C1949))"),43909.0)</f>
        <v>43909</v>
      </c>
      <c r="F1949" s="25">
        <f>IFERROR(__xludf.DUMMYFUNCTION("iferror(ifna(IFNA(filter('2.1.clean'!E:E,'2.1.clean'!A:A=C1949),filter('2.2.clean'!G:G,'2.2.clean'!D:D=C1949)),filter('2.4.clean'!E:E,'2.4.clean'!A:A=C1949)),)"),2.39999999999999)</f>
        <v>2.4</v>
      </c>
      <c r="G1949" s="24"/>
      <c r="J1949" s="25"/>
      <c r="K1949" s="24"/>
      <c r="L1949" s="25"/>
      <c r="M1949" s="24" t="str">
        <f>IFERROR(__xludf.DUMMYFUNCTION("iferror(filter('3.3.clean'!C:C,'3.3.clean'!A:A=C1949),"""")"),"")</f>
        <v/>
      </c>
      <c r="N1949" s="25" t="b">
        <f t="shared" si="1504"/>
        <v>0</v>
      </c>
      <c r="O1949" s="24" t="str">
        <f>IFERROR(__xludf.DUMMYFUNCTION("iferror(filter('3.4.clean'!C:C,'3.4.clean'!A:A=C1949),"""")"),"")</f>
        <v/>
      </c>
      <c r="P1949" s="25" t="b">
        <f t="shared" si="1505"/>
        <v>0</v>
      </c>
      <c r="Q1949" s="24" t="str">
        <f>IFERROR(__xludf.DUMMYFUNCTION("iferror(filter('3.5.clean'!C:C,'3.5.clean'!A:A=C1949),"""")"),"")</f>
        <v/>
      </c>
      <c r="R1949" s="23" t="b">
        <f t="shared" si="1526"/>
        <v>0</v>
      </c>
      <c r="S1949" s="25">
        <v>0.0</v>
      </c>
      <c r="V1949" s="52" t="s">
        <v>64</v>
      </c>
      <c r="W1949" s="23" t="b">
        <f t="shared" si="1527"/>
        <v>0</v>
      </c>
      <c r="X1949" s="23" t="str">
        <f>IFERROR(__xludf.DUMMYFUNCTION("if(COUNTA(FILTER(C:C, C:C = C1949))=1,""no"",""yes"")"),"no")</f>
        <v>no</v>
      </c>
    </row>
    <row r="1950">
      <c r="A1950" s="1" t="s">
        <v>1115</v>
      </c>
      <c r="B1950" s="2">
        <v>11.0</v>
      </c>
      <c r="C1950" s="19" t="s">
        <v>6668</v>
      </c>
      <c r="E1950" s="24">
        <f>IFERROR(__xludf.DUMMYFUNCTION("ifna(IFNA(filter('2.1.clean'!C:C,'2.1.clean'!A:A=C1950),filter('2.2.clean'!E:E,'2.2.clean'!D:D=C1950)),filter('2.4.clean'!C:C,'2.4.clean'!A:A=C1950))"),43909.0)</f>
        <v>43909</v>
      </c>
      <c r="F1950" s="25">
        <f>IFERROR(__xludf.DUMMYFUNCTION("iferror(ifna(IFNA(filter('2.1.clean'!E:E,'2.1.clean'!A:A=C1950),filter('2.2.clean'!G:G,'2.2.clean'!D:D=C1950)),filter('2.4.clean'!E:E,'2.4.clean'!A:A=C1950)),)"),2.39999999999999)</f>
        <v>2.4</v>
      </c>
      <c r="G1950" s="24"/>
      <c r="J1950" s="25"/>
      <c r="K1950" s="24"/>
      <c r="L1950" s="25"/>
      <c r="M1950" s="24" t="str">
        <f>IFERROR(__xludf.DUMMYFUNCTION("iferror(filter('3.3.clean'!C:C,'3.3.clean'!A:A=C1950),"""")"),"")</f>
        <v/>
      </c>
      <c r="N1950" s="25" t="b">
        <f t="shared" si="1504"/>
        <v>0</v>
      </c>
      <c r="O1950" s="24" t="str">
        <f>IFERROR(__xludf.DUMMYFUNCTION("iferror(filter('3.4.clean'!C:C,'3.4.clean'!A:A=C1950),"""")"),"")</f>
        <v/>
      </c>
      <c r="P1950" s="25" t="b">
        <f t="shared" si="1505"/>
        <v>0</v>
      </c>
      <c r="Q1950" s="24" t="str">
        <f>IFERROR(__xludf.DUMMYFUNCTION("iferror(filter('3.5.clean'!C:C,'3.5.clean'!A:A=C1950),"""")"),"")</f>
        <v/>
      </c>
      <c r="R1950" s="23" t="b">
        <f t="shared" si="1526"/>
        <v>0</v>
      </c>
      <c r="S1950" s="25">
        <v>0.0</v>
      </c>
      <c r="V1950" s="52" t="s">
        <v>64</v>
      </c>
      <c r="W1950" s="23" t="b">
        <f t="shared" si="1527"/>
        <v>0</v>
      </c>
      <c r="X1950" s="23" t="str">
        <f>IFERROR(__xludf.DUMMYFUNCTION("if(COUNTA(FILTER(C:C, C:C = C1950))=1,""no"",""yes"")"),"no")</f>
        <v>no</v>
      </c>
    </row>
    <row r="1951">
      <c r="A1951" s="1" t="s">
        <v>1115</v>
      </c>
      <c r="B1951" s="2">
        <v>12.0</v>
      </c>
      <c r="C1951" s="19" t="s">
        <v>6676</v>
      </c>
      <c r="E1951" s="24">
        <f>IFERROR(__xludf.DUMMYFUNCTION("ifna(IFNA(filter('2.1.clean'!C:C,'2.1.clean'!A:A=C1951),filter('2.2.clean'!E:E,'2.2.clean'!D:D=C1951)),filter('2.4.clean'!C:C,'2.4.clean'!A:A=C1951))"),43909.0)</f>
        <v>43909</v>
      </c>
      <c r="F1951" s="25">
        <f>IFERROR(__xludf.DUMMYFUNCTION("iferror(ifna(IFNA(filter('2.1.clean'!E:E,'2.1.clean'!A:A=C1951),filter('2.2.clean'!G:G,'2.2.clean'!D:D=C1951)),filter('2.4.clean'!E:E,'2.4.clean'!A:A=C1951)),)"),2.39999999999999)</f>
        <v>2.4</v>
      </c>
      <c r="G1951" s="24"/>
      <c r="J1951" s="25"/>
      <c r="K1951" s="24"/>
      <c r="L1951" s="25"/>
      <c r="M1951" s="24" t="str">
        <f>IFERROR(__xludf.DUMMYFUNCTION("iferror(filter('3.3.clean'!C:C,'3.3.clean'!A:A=C1951),"""")"),"")</f>
        <v/>
      </c>
      <c r="N1951" s="25" t="b">
        <f t="shared" si="1504"/>
        <v>0</v>
      </c>
      <c r="O1951" s="24" t="str">
        <f>IFERROR(__xludf.DUMMYFUNCTION("iferror(filter('3.4.clean'!C:C,'3.4.clean'!A:A=C1951),"""")"),"")</f>
        <v/>
      </c>
      <c r="P1951" s="25" t="b">
        <f t="shared" si="1505"/>
        <v>0</v>
      </c>
      <c r="Q1951" s="24" t="str">
        <f>IFERROR(__xludf.DUMMYFUNCTION("iferror(filter('3.5.clean'!C:C,'3.5.clean'!A:A=C1951),"""")"),"")</f>
        <v/>
      </c>
      <c r="R1951" s="23" t="b">
        <f t="shared" si="1526"/>
        <v>0</v>
      </c>
      <c r="S1951" s="25">
        <v>0.0</v>
      </c>
      <c r="V1951" s="52" t="s">
        <v>64</v>
      </c>
      <c r="W1951" s="23" t="b">
        <f t="shared" si="1527"/>
        <v>0</v>
      </c>
      <c r="X1951" s="23" t="str">
        <f>IFERROR(__xludf.DUMMYFUNCTION("if(COUNTA(FILTER(C:C, C:C = C1951))=1,""no"",""yes"")"),"no")</f>
        <v>no</v>
      </c>
    </row>
    <row r="1952">
      <c r="A1952" s="1" t="s">
        <v>1115</v>
      </c>
      <c r="B1952" s="2">
        <v>13.0</v>
      </c>
      <c r="C1952" s="19" t="s">
        <v>6684</v>
      </c>
      <c r="E1952" s="24">
        <f>IFERROR(__xludf.DUMMYFUNCTION("ifna(IFNA(filter('2.1.clean'!C:C,'2.1.clean'!A:A=C1952),filter('2.2.clean'!E:E,'2.2.clean'!D:D=C1952)),filter('2.4.clean'!C:C,'2.4.clean'!A:A=C1952))"),43909.0)</f>
        <v>43909</v>
      </c>
      <c r="F1952" s="25">
        <f>IFERROR(__xludf.DUMMYFUNCTION("iferror(ifna(IFNA(filter('2.1.clean'!E:E,'2.1.clean'!A:A=C1952),filter('2.2.clean'!G:G,'2.2.clean'!D:D=C1952)),filter('2.4.clean'!E:E,'2.4.clean'!A:A=C1952)),)"),2.39999999999999)</f>
        <v>2.4</v>
      </c>
      <c r="G1952" s="24"/>
      <c r="J1952" s="25"/>
      <c r="K1952" s="24"/>
      <c r="L1952" s="25"/>
      <c r="M1952" s="24" t="str">
        <f>IFERROR(__xludf.DUMMYFUNCTION("iferror(filter('3.3.clean'!C:C,'3.3.clean'!A:A=C1952),"""")"),"")</f>
        <v/>
      </c>
      <c r="N1952" s="25" t="b">
        <f t="shared" si="1504"/>
        <v>0</v>
      </c>
      <c r="O1952" s="24" t="str">
        <f>IFERROR(__xludf.DUMMYFUNCTION("iferror(filter('3.4.clean'!C:C,'3.4.clean'!A:A=C1952),"""")"),"")</f>
        <v/>
      </c>
      <c r="P1952" s="25" t="b">
        <f t="shared" si="1505"/>
        <v>0</v>
      </c>
      <c r="Q1952" s="24" t="str">
        <f>IFERROR(__xludf.DUMMYFUNCTION("iferror(filter('3.5.clean'!C:C,'3.5.clean'!A:A=C1952),"""")"),"")</f>
        <v/>
      </c>
      <c r="R1952" s="23" t="b">
        <f t="shared" si="1526"/>
        <v>0</v>
      </c>
      <c r="S1952" s="25">
        <v>0.0</v>
      </c>
      <c r="V1952" s="52" t="s">
        <v>64</v>
      </c>
      <c r="W1952" s="23" t="b">
        <f t="shared" si="1527"/>
        <v>0</v>
      </c>
      <c r="X1952" s="23" t="str">
        <f>IFERROR(__xludf.DUMMYFUNCTION("if(COUNTA(FILTER(C:C, C:C = C1952))=1,""no"",""yes"")"),"no")</f>
        <v>no</v>
      </c>
    </row>
    <row r="1953">
      <c r="A1953" s="1" t="s">
        <v>1115</v>
      </c>
      <c r="B1953" s="2">
        <v>14.0</v>
      </c>
      <c r="C1953" s="19" t="s">
        <v>6692</v>
      </c>
      <c r="E1953" s="59">
        <f>IFERROR(__xludf.DUMMYFUNCTION("ifna(IFNA(filter('2.1.clean'!C:C,'2.1.clean'!A:A=C1953),filter('2.2.clean'!E:E,'2.2.clean'!D:D=C1953)),filter('2.4.clean'!C:C,'2.4.clean'!A:A=C1953))"),43909.0)</f>
        <v>43909</v>
      </c>
      <c r="F1953" s="60">
        <f>IFERROR(__xludf.DUMMYFUNCTION("iferror(ifna(IFNA(filter('2.1.clean'!E:E,'2.1.clean'!A:A=C1953),filter('2.2.clean'!G:G,'2.2.clean'!D:D=C1953)),filter('2.4.clean'!E:E,'2.4.clean'!A:A=C1953)),)"),2.39999999999999)</f>
        <v>2.4</v>
      </c>
      <c r="G1953" s="59" t="str">
        <f>IFERROR(__xludf.DUMMYFUNCTION("iferror(filter('3.1.clean'!C:C,'3.1.clean'!A:A=C1953),"""")"),"")</f>
        <v/>
      </c>
      <c r="H1953" s="58" t="b">
        <f>if(G1953="",FALSE,TRUE)</f>
        <v>0</v>
      </c>
      <c r="I1953" s="58" t="str">
        <f>IFERROR(__xludf.DUMMYFUNCTION("iferror(filter('3.1.clean'!G:G,'3.1.clean'!A:A=C1953),"""")"),"")</f>
        <v/>
      </c>
      <c r="J1953" s="60" t="str">
        <f>IFERROR(__xludf.DUMMYFUNCTION("iferror(filter('3.1.clean'!I:I,'3.1.clean'!A:A=C1953),"""")"),"")</f>
        <v/>
      </c>
      <c r="K1953" s="58"/>
      <c r="L1953" s="60"/>
      <c r="M1953" s="59" t="str">
        <f>IFERROR(__xludf.DUMMYFUNCTION("iferror(filter('3.3.clean'!C:C,'3.3.clean'!A:A=C1953),"""")"),"")</f>
        <v/>
      </c>
      <c r="N1953" s="60" t="b">
        <f t="shared" si="1504"/>
        <v>0</v>
      </c>
      <c r="O1953" s="59" t="str">
        <f>IFERROR(__xludf.DUMMYFUNCTION("iferror(filter('3.4.clean'!C:C,'3.4.clean'!A:A=C1953),"""")"),"")</f>
        <v/>
      </c>
      <c r="P1953" s="60" t="b">
        <f t="shared" si="1505"/>
        <v>0</v>
      </c>
      <c r="Q1953" s="59" t="str">
        <f>IFERROR(__xludf.DUMMYFUNCTION("iferror(filter('3.5.clean'!C:C,'3.5.clean'!A:A=C1953),"""")"),"")</f>
        <v/>
      </c>
      <c r="R1953" s="58"/>
      <c r="S1953" s="4" t="str">
        <f>IFERROR(__xludf.DUMMYFUNCTION("iferror(filter('3.5.clean'!H:H,'3.5.clean'!A:A=C1953),"""")"),"")</f>
        <v/>
      </c>
      <c r="V1953" s="1" t="s">
        <v>64</v>
      </c>
      <c r="W1953" s="23" t="b">
        <f>if(AND(H1953=TRUE,N1953=TRUE,P1953=TRUE),TRUE,FALSE)</f>
        <v>0</v>
      </c>
      <c r="X1953" s="23" t="str">
        <f>IFERROR(__xludf.DUMMYFUNCTION("if(COUNTA(FILTER(C:C, C:C = C1953))=1,""no"",""yes"")"),"no")</f>
        <v>no</v>
      </c>
    </row>
    <row r="1954">
      <c r="A1954" s="56"/>
      <c r="B1954" s="19"/>
      <c r="C1954" s="39" t="s">
        <v>6706</v>
      </c>
      <c r="E1954" s="24" t="str">
        <f>M1954</f>
        <v/>
      </c>
      <c r="F1954" s="25" t="str">
        <f>IFERROR(__xludf.DUMMYFUNCTION("iferror(ifna(IFNA(filter('2.1.clean'!E:E,'2.1.clean'!A:A=C1954),filter('2.2.clean'!G:G,'2.2.clean'!D:D=C1954)),filter('2.4.clean'!E:E,'2.4.clean'!A:A=C1954)),)"),"")</f>
        <v/>
      </c>
      <c r="G1954" s="24" t="str">
        <f>IFERROR(__xludf.DUMMYFUNCTION("iferror(filter('3.1.clean'!C:C,'3.1.clean'!A:A=C1954),"""")"),"")</f>
        <v/>
      </c>
      <c r="J1954" s="25"/>
      <c r="K1954" s="24" t="str">
        <f>IFERROR(__xludf.DUMMYFUNCTION("iferror(filter('3.2.clean'!C:C,'3.2.clean'!A:A=C1954),"""")"),"")</f>
        <v/>
      </c>
      <c r="L1954" s="25"/>
      <c r="M1954" s="24" t="str">
        <f>IFERROR(__xludf.DUMMYFUNCTION("iferror(filter('3.3.clean'!C:C,'3.3.clean'!A:A=C1954),"""")"),"")</f>
        <v/>
      </c>
      <c r="N1954" s="25" t="b">
        <f t="shared" si="1504"/>
        <v>0</v>
      </c>
      <c r="O1954" s="24">
        <f>IFERROR(__xludf.DUMMYFUNCTION("iferror(filter('3.4.clean'!C:C,'3.4.clean'!A:A=C1954),"""")"),43889.0)</f>
        <v>43889</v>
      </c>
      <c r="P1954" s="25" t="b">
        <f t="shared" si="1505"/>
        <v>1</v>
      </c>
      <c r="Q1954" s="24" t="str">
        <f>IFERROR(__xludf.DUMMYFUNCTION("iferror(filter('3.5.clean'!C:C,'3.5.clean'!A:A=C1954),"""")"),"")</f>
        <v/>
      </c>
      <c r="S1954" s="25"/>
      <c r="V1954" s="52" t="s">
        <v>64</v>
      </c>
      <c r="X1954" s="23" t="str">
        <f>IFERROR(__xludf.DUMMYFUNCTION("if(COUNTA(FILTER(C:C, C:C = C1954))=1,""no"",""yes"")"),"no")</f>
        <v>no</v>
      </c>
    </row>
    <row r="1955">
      <c r="A1955" s="56"/>
      <c r="B1955" s="19"/>
      <c r="C1955" s="39" t="s">
        <v>6715</v>
      </c>
      <c r="E1955" s="24"/>
      <c r="F1955" s="25" t="str">
        <f>IFERROR(__xludf.DUMMYFUNCTION("iferror(ifna(IFNA(filter('2.1.clean'!E:E,'2.1.clean'!A:A=C1955),filter('2.2.clean'!G:G,'2.2.clean'!D:D=C1955)),filter('2.4.clean'!E:E,'2.4.clean'!A:A=C1955)),)"),"")</f>
        <v/>
      </c>
      <c r="G1955" s="24" t="str">
        <f>IFERROR(__xludf.DUMMYFUNCTION("iferror(filter('3.1.clean'!C:C,'3.1.clean'!A:A=C1955),"""")"),"")</f>
        <v/>
      </c>
      <c r="J1955" s="25"/>
      <c r="K1955" s="24" t="str">
        <f>IFERROR(__xludf.DUMMYFUNCTION("iferror(filter('3.2.clean'!C:C,'3.2.clean'!A:A=C1955),"""")"),"")</f>
        <v/>
      </c>
      <c r="L1955" s="25"/>
      <c r="M1955" s="24">
        <f>IFERROR(__xludf.DUMMYFUNCTION("iferror(filter('3.3.clean'!C:C,'3.3.clean'!A:A=C1955),"""")"),43881.0)</f>
        <v>43881</v>
      </c>
      <c r="N1955" s="25" t="b">
        <f t="shared" si="1504"/>
        <v>1</v>
      </c>
      <c r="O1955" s="24">
        <f>IFERROR(__xludf.DUMMYFUNCTION("iferror(filter('3.4.clean'!C:C,'3.4.clean'!A:A=C1955),"""")"),43888.0)</f>
        <v>43888</v>
      </c>
      <c r="P1955" s="25" t="b">
        <f t="shared" si="1505"/>
        <v>1</v>
      </c>
      <c r="Q1955" s="24" t="str">
        <f>IFERROR(__xludf.DUMMYFUNCTION("iferror(filter('3.5.clean'!C:C,'3.5.clean'!A:A=C1955),"""")"),"")</f>
        <v/>
      </c>
      <c r="S1955" s="25"/>
      <c r="V1955" s="52" t="s">
        <v>64</v>
      </c>
      <c r="X1955" s="23" t="str">
        <f>IFERROR(__xludf.DUMMYFUNCTION("if(COUNTA(FILTER(C:C, C:C = C1955))=1,""no"",""yes"")"),"no")</f>
        <v>no</v>
      </c>
    </row>
    <row r="1956">
      <c r="A1956" s="56"/>
      <c r="B1956" s="19"/>
      <c r="C1956" s="19"/>
      <c r="E1956" s="59"/>
      <c r="F1956" s="58"/>
      <c r="G1956" s="59"/>
      <c r="H1956" s="58"/>
      <c r="I1956" s="58"/>
      <c r="J1956" s="58"/>
      <c r="K1956" s="58"/>
      <c r="L1956" s="58"/>
      <c r="M1956" s="59"/>
      <c r="N1956" s="58"/>
      <c r="O1956" s="59"/>
      <c r="P1956" s="58"/>
      <c r="Q1956" s="59"/>
      <c r="R1956" s="58"/>
    </row>
    <row r="1957">
      <c r="A1957" s="56"/>
      <c r="B1957" s="19"/>
      <c r="C1957" s="19"/>
      <c r="E1957" s="59"/>
      <c r="F1957" s="58"/>
      <c r="G1957" s="59"/>
      <c r="H1957" s="58"/>
      <c r="I1957" s="58"/>
      <c r="J1957" s="58"/>
      <c r="K1957" s="58"/>
      <c r="L1957" s="58"/>
      <c r="M1957" s="59"/>
      <c r="N1957" s="58"/>
      <c r="O1957" s="59"/>
      <c r="P1957" s="58"/>
      <c r="Q1957" s="59"/>
      <c r="R1957" s="58"/>
    </row>
    <row r="1958">
      <c r="A1958" s="56"/>
      <c r="B1958" s="19"/>
      <c r="C1958" s="19"/>
      <c r="E1958" s="59"/>
      <c r="F1958" s="58"/>
      <c r="G1958" s="59"/>
      <c r="H1958" s="58"/>
      <c r="I1958" s="58"/>
      <c r="J1958" s="58"/>
      <c r="K1958" s="58"/>
      <c r="L1958" s="58"/>
      <c r="M1958" s="59"/>
      <c r="N1958" s="58"/>
      <c r="O1958" s="59"/>
      <c r="P1958" s="58"/>
      <c r="Q1958" s="59"/>
      <c r="R1958" s="58"/>
    </row>
    <row r="1959">
      <c r="A1959" s="56"/>
      <c r="B1959" s="19"/>
      <c r="C1959" s="19"/>
      <c r="E1959" s="59"/>
      <c r="F1959" s="58"/>
      <c r="G1959" s="59"/>
      <c r="H1959" s="58"/>
      <c r="I1959" s="58"/>
      <c r="J1959" s="58"/>
      <c r="K1959" s="58"/>
      <c r="L1959" s="58"/>
      <c r="M1959" s="59"/>
      <c r="N1959" s="58"/>
      <c r="O1959" s="59"/>
      <c r="P1959" s="58"/>
      <c r="Q1959" s="59"/>
      <c r="R1959" s="58"/>
    </row>
    <row r="1960">
      <c r="A1960" s="56"/>
      <c r="B1960" s="19"/>
      <c r="C1960" s="19"/>
      <c r="E1960" s="59"/>
      <c r="F1960" s="58"/>
      <c r="G1960" s="59"/>
      <c r="H1960" s="58"/>
      <c r="I1960" s="58"/>
      <c r="J1960" s="58"/>
      <c r="K1960" s="58"/>
      <c r="L1960" s="58"/>
      <c r="M1960" s="59"/>
      <c r="N1960" s="58"/>
      <c r="O1960" s="59"/>
      <c r="P1960" s="58"/>
      <c r="Q1960" s="59"/>
      <c r="R1960" s="58"/>
    </row>
    <row r="1961">
      <c r="A1961" s="56"/>
      <c r="B1961" s="19"/>
      <c r="C1961" s="19"/>
      <c r="E1961" s="59"/>
      <c r="F1961" s="58"/>
      <c r="G1961" s="59"/>
      <c r="H1961" s="58"/>
      <c r="I1961" s="58"/>
      <c r="J1961" s="58"/>
      <c r="K1961" s="58"/>
      <c r="L1961" s="58"/>
      <c r="M1961" s="59"/>
      <c r="N1961" s="58"/>
      <c r="O1961" s="59"/>
      <c r="P1961" s="58"/>
      <c r="Q1961" s="59"/>
      <c r="R1961" s="58"/>
    </row>
    <row r="1962">
      <c r="A1962" s="56"/>
      <c r="B1962" s="19"/>
      <c r="C1962" s="19"/>
      <c r="E1962" s="59"/>
      <c r="F1962" s="58"/>
      <c r="G1962" s="59"/>
      <c r="H1962" s="58"/>
      <c r="I1962" s="58"/>
      <c r="J1962" s="58"/>
      <c r="K1962" s="58"/>
      <c r="L1962" s="58"/>
      <c r="M1962" s="59"/>
      <c r="N1962" s="58"/>
      <c r="O1962" s="59"/>
      <c r="P1962" s="58"/>
      <c r="Q1962" s="59"/>
      <c r="R1962" s="58"/>
    </row>
    <row r="1963">
      <c r="A1963" s="56"/>
      <c r="B1963" s="19"/>
      <c r="C1963" s="19"/>
      <c r="E1963" s="59"/>
      <c r="F1963" s="58"/>
      <c r="G1963" s="59"/>
      <c r="H1963" s="58"/>
      <c r="I1963" s="58"/>
      <c r="J1963" s="58"/>
      <c r="K1963" s="58"/>
      <c r="L1963" s="58"/>
      <c r="M1963" s="59"/>
      <c r="N1963" s="58"/>
      <c r="O1963" s="59"/>
      <c r="P1963" s="58"/>
      <c r="Q1963" s="59"/>
      <c r="R1963" s="58"/>
    </row>
    <row r="1964">
      <c r="A1964" s="56"/>
      <c r="B1964" s="19"/>
      <c r="C1964" s="19"/>
      <c r="E1964" s="59"/>
      <c r="F1964" s="58"/>
      <c r="G1964" s="59"/>
      <c r="H1964" s="58"/>
      <c r="I1964" s="58"/>
      <c r="J1964" s="58"/>
      <c r="K1964" s="58"/>
      <c r="L1964" s="58"/>
      <c r="M1964" s="59"/>
      <c r="N1964" s="58"/>
      <c r="O1964" s="59"/>
      <c r="P1964" s="58"/>
      <c r="Q1964" s="59"/>
      <c r="R1964" s="58"/>
    </row>
    <row r="1965">
      <c r="A1965" s="56"/>
      <c r="B1965" s="19"/>
      <c r="C1965" s="19"/>
      <c r="E1965" s="59"/>
      <c r="F1965" s="58"/>
      <c r="G1965" s="59"/>
      <c r="H1965" s="58"/>
      <c r="I1965" s="58"/>
      <c r="J1965" s="58"/>
      <c r="K1965" s="58"/>
      <c r="L1965" s="58"/>
      <c r="M1965" s="59"/>
      <c r="N1965" s="58"/>
      <c r="O1965" s="59"/>
      <c r="P1965" s="58"/>
      <c r="Q1965" s="59"/>
      <c r="R1965" s="58"/>
    </row>
    <row r="1966">
      <c r="A1966" s="56"/>
      <c r="B1966" s="19"/>
      <c r="C1966" s="19"/>
      <c r="E1966" s="59"/>
      <c r="F1966" s="58"/>
      <c r="G1966" s="59"/>
      <c r="H1966" s="58"/>
      <c r="I1966" s="58"/>
      <c r="J1966" s="58"/>
      <c r="K1966" s="58"/>
      <c r="L1966" s="58"/>
      <c r="M1966" s="59"/>
      <c r="N1966" s="58"/>
      <c r="O1966" s="59"/>
      <c r="P1966" s="58"/>
      <c r="Q1966" s="59"/>
      <c r="R1966" s="58"/>
    </row>
    <row r="1967">
      <c r="A1967" s="56"/>
      <c r="B1967" s="19"/>
      <c r="C1967" s="19"/>
      <c r="E1967" s="59"/>
      <c r="F1967" s="58"/>
      <c r="G1967" s="59"/>
      <c r="H1967" s="58"/>
      <c r="I1967" s="58"/>
      <c r="J1967" s="58"/>
      <c r="K1967" s="58"/>
      <c r="L1967" s="58"/>
      <c r="M1967" s="59"/>
      <c r="N1967" s="58"/>
      <c r="O1967" s="59"/>
      <c r="P1967" s="58"/>
      <c r="Q1967" s="59"/>
      <c r="R1967" s="58"/>
    </row>
    <row r="1968">
      <c r="A1968" s="56"/>
      <c r="B1968" s="19"/>
      <c r="C1968" s="19"/>
      <c r="E1968" s="59"/>
      <c r="F1968" s="58"/>
      <c r="G1968" s="59"/>
      <c r="H1968" s="58"/>
      <c r="I1968" s="58"/>
      <c r="J1968" s="58"/>
      <c r="K1968" s="58"/>
      <c r="L1968" s="58"/>
      <c r="M1968" s="59"/>
      <c r="N1968" s="58"/>
      <c r="O1968" s="59"/>
      <c r="P1968" s="58"/>
      <c r="Q1968" s="59"/>
      <c r="R1968" s="58"/>
    </row>
    <row r="1969">
      <c r="A1969" s="56"/>
      <c r="B1969" s="19"/>
      <c r="C1969" s="19"/>
      <c r="E1969" s="59"/>
      <c r="F1969" s="58"/>
      <c r="G1969" s="59"/>
      <c r="H1969" s="58"/>
      <c r="I1969" s="58"/>
      <c r="J1969" s="58"/>
      <c r="K1969" s="58"/>
      <c r="L1969" s="58"/>
      <c r="M1969" s="59"/>
      <c r="N1969" s="58"/>
      <c r="O1969" s="59"/>
      <c r="P1969" s="58"/>
      <c r="Q1969" s="59"/>
      <c r="R1969" s="58"/>
    </row>
    <row r="1970">
      <c r="A1970" s="56"/>
      <c r="B1970" s="19"/>
      <c r="C1970" s="19"/>
      <c r="E1970" s="59"/>
      <c r="F1970" s="58"/>
      <c r="G1970" s="59"/>
      <c r="H1970" s="58"/>
      <c r="I1970" s="58"/>
      <c r="J1970" s="58"/>
      <c r="K1970" s="58"/>
      <c r="L1970" s="58"/>
      <c r="M1970" s="59"/>
      <c r="N1970" s="58"/>
      <c r="O1970" s="59"/>
      <c r="P1970" s="58"/>
      <c r="Q1970" s="59"/>
      <c r="R1970" s="58"/>
    </row>
    <row r="1971">
      <c r="A1971" s="56"/>
      <c r="B1971" s="19"/>
      <c r="C1971" s="19"/>
      <c r="E1971" s="59"/>
      <c r="F1971" s="58"/>
      <c r="G1971" s="59"/>
      <c r="H1971" s="58"/>
      <c r="I1971" s="58"/>
      <c r="J1971" s="58"/>
      <c r="K1971" s="58"/>
      <c r="L1971" s="58"/>
      <c r="M1971" s="59"/>
      <c r="N1971" s="58"/>
      <c r="O1971" s="59"/>
      <c r="P1971" s="58"/>
      <c r="Q1971" s="59"/>
      <c r="R1971" s="58"/>
    </row>
    <row r="1972">
      <c r="A1972" s="56"/>
      <c r="B1972" s="19"/>
      <c r="C1972" s="19"/>
      <c r="E1972" s="59"/>
      <c r="F1972" s="58"/>
      <c r="G1972" s="59"/>
      <c r="H1972" s="58"/>
      <c r="I1972" s="58"/>
      <c r="J1972" s="58"/>
      <c r="K1972" s="58"/>
      <c r="L1972" s="58"/>
      <c r="M1972" s="59"/>
      <c r="N1972" s="58"/>
      <c r="O1972" s="59"/>
      <c r="P1972" s="58"/>
      <c r="Q1972" s="59"/>
      <c r="R1972" s="58"/>
    </row>
    <row r="1973">
      <c r="A1973" s="56"/>
      <c r="B1973" s="19"/>
      <c r="C1973" s="19"/>
      <c r="E1973" s="59"/>
      <c r="F1973" s="58"/>
      <c r="G1973" s="59"/>
      <c r="H1973" s="58"/>
      <c r="I1973" s="58"/>
      <c r="J1973" s="58"/>
      <c r="K1973" s="58"/>
      <c r="L1973" s="58"/>
      <c r="M1973" s="59"/>
      <c r="N1973" s="58"/>
      <c r="O1973" s="59"/>
      <c r="P1973" s="58"/>
      <c r="Q1973" s="59"/>
      <c r="R1973" s="58"/>
    </row>
    <row r="1974">
      <c r="A1974" s="56"/>
      <c r="B1974" s="19"/>
      <c r="C1974" s="19"/>
      <c r="E1974" s="59"/>
      <c r="F1974" s="58"/>
      <c r="G1974" s="59"/>
      <c r="H1974" s="58"/>
      <c r="I1974" s="58"/>
      <c r="J1974" s="58"/>
      <c r="K1974" s="58"/>
      <c r="L1974" s="58"/>
      <c r="M1974" s="59"/>
      <c r="N1974" s="58"/>
      <c r="O1974" s="59"/>
      <c r="P1974" s="58"/>
      <c r="Q1974" s="59"/>
      <c r="R1974" s="58"/>
    </row>
    <row r="1975">
      <c r="A1975" s="56"/>
      <c r="B1975" s="19"/>
      <c r="C1975" s="19"/>
      <c r="E1975" s="59"/>
      <c r="F1975" s="58"/>
      <c r="G1975" s="59"/>
      <c r="H1975" s="58"/>
      <c r="I1975" s="58"/>
      <c r="J1975" s="58"/>
      <c r="K1975" s="58"/>
      <c r="L1975" s="58"/>
      <c r="M1975" s="59"/>
      <c r="N1975" s="58"/>
      <c r="O1975" s="59"/>
      <c r="P1975" s="58"/>
      <c r="Q1975" s="59"/>
      <c r="R1975" s="58"/>
    </row>
    <row r="1976">
      <c r="A1976" s="56"/>
      <c r="B1976" s="19"/>
      <c r="C1976" s="19"/>
      <c r="E1976" s="59"/>
      <c r="F1976" s="58"/>
      <c r="G1976" s="59"/>
      <c r="H1976" s="58"/>
      <c r="I1976" s="58"/>
      <c r="J1976" s="58"/>
      <c r="K1976" s="58"/>
      <c r="L1976" s="58"/>
      <c r="M1976" s="59"/>
      <c r="N1976" s="58"/>
      <c r="O1976" s="59"/>
      <c r="P1976" s="58"/>
      <c r="Q1976" s="59"/>
      <c r="R1976" s="58"/>
    </row>
    <row r="1977">
      <c r="A1977" s="56"/>
      <c r="B1977" s="19"/>
      <c r="C1977" s="19"/>
      <c r="E1977" s="59"/>
      <c r="F1977" s="58"/>
      <c r="G1977" s="59"/>
      <c r="H1977" s="58"/>
      <c r="I1977" s="58"/>
      <c r="J1977" s="58"/>
      <c r="K1977" s="58"/>
      <c r="L1977" s="58"/>
      <c r="M1977" s="59"/>
      <c r="N1977" s="58"/>
      <c r="O1977" s="59"/>
      <c r="P1977" s="58"/>
      <c r="Q1977" s="59"/>
      <c r="R1977" s="58"/>
    </row>
    <row r="1978">
      <c r="A1978" s="56"/>
      <c r="B1978" s="19"/>
      <c r="C1978" s="19"/>
      <c r="E1978" s="59"/>
      <c r="F1978" s="58"/>
      <c r="G1978" s="59"/>
      <c r="H1978" s="58"/>
      <c r="I1978" s="58"/>
      <c r="J1978" s="58"/>
      <c r="K1978" s="58"/>
      <c r="L1978" s="58"/>
      <c r="M1978" s="59"/>
      <c r="N1978" s="58"/>
      <c r="O1978" s="59"/>
      <c r="P1978" s="58"/>
      <c r="Q1978" s="59"/>
      <c r="R1978" s="58"/>
    </row>
    <row r="1979">
      <c r="A1979" s="56"/>
      <c r="B1979" s="19"/>
      <c r="C1979" s="19"/>
      <c r="E1979" s="59"/>
      <c r="F1979" s="58"/>
      <c r="G1979" s="59"/>
      <c r="H1979" s="58"/>
      <c r="I1979" s="58"/>
      <c r="J1979" s="58"/>
      <c r="K1979" s="58"/>
      <c r="L1979" s="58"/>
      <c r="M1979" s="59"/>
      <c r="N1979" s="58"/>
      <c r="O1979" s="59"/>
      <c r="P1979" s="58"/>
      <c r="Q1979" s="59"/>
      <c r="R1979" s="58"/>
    </row>
    <row r="1980">
      <c r="A1980" s="56"/>
      <c r="B1980" s="19"/>
      <c r="C1980" s="19"/>
      <c r="E1980" s="59"/>
      <c r="F1980" s="58"/>
      <c r="G1980" s="59"/>
      <c r="H1980" s="58"/>
      <c r="I1980" s="58"/>
      <c r="J1980" s="58"/>
      <c r="K1980" s="58"/>
      <c r="L1980" s="58"/>
      <c r="M1980" s="59"/>
      <c r="N1980" s="58"/>
      <c r="O1980" s="59"/>
      <c r="P1980" s="58"/>
      <c r="Q1980" s="59"/>
      <c r="R1980" s="58"/>
    </row>
    <row r="1981">
      <c r="A1981" s="56"/>
      <c r="B1981" s="19"/>
      <c r="C1981" s="19"/>
      <c r="E1981" s="59"/>
      <c r="F1981" s="58"/>
      <c r="G1981" s="59"/>
      <c r="H1981" s="58"/>
      <c r="I1981" s="58"/>
      <c r="J1981" s="58"/>
      <c r="K1981" s="58"/>
      <c r="L1981" s="58"/>
      <c r="M1981" s="59"/>
      <c r="N1981" s="58"/>
      <c r="O1981" s="59"/>
      <c r="P1981" s="58"/>
      <c r="Q1981" s="59"/>
      <c r="R1981" s="58"/>
    </row>
    <row r="1982">
      <c r="A1982" s="56"/>
      <c r="B1982" s="19"/>
      <c r="C1982" s="19"/>
      <c r="E1982" s="59"/>
      <c r="F1982" s="58"/>
      <c r="G1982" s="59"/>
      <c r="H1982" s="58"/>
      <c r="I1982" s="58"/>
      <c r="J1982" s="58"/>
      <c r="K1982" s="58"/>
      <c r="L1982" s="58"/>
      <c r="M1982" s="59"/>
      <c r="N1982" s="58"/>
      <c r="O1982" s="59"/>
      <c r="P1982" s="58"/>
      <c r="Q1982" s="59"/>
      <c r="R1982" s="58"/>
    </row>
    <row r="1983">
      <c r="A1983" s="56"/>
      <c r="B1983" s="19"/>
      <c r="C1983" s="19"/>
      <c r="E1983" s="59"/>
      <c r="F1983" s="58"/>
      <c r="G1983" s="59"/>
      <c r="H1983" s="58"/>
      <c r="I1983" s="58"/>
      <c r="J1983" s="58"/>
      <c r="K1983" s="58"/>
      <c r="L1983" s="58"/>
      <c r="M1983" s="59"/>
      <c r="N1983" s="58"/>
      <c r="O1983" s="59"/>
      <c r="P1983" s="58"/>
      <c r="Q1983" s="59"/>
      <c r="R1983" s="58"/>
    </row>
    <row r="1984">
      <c r="A1984" s="56"/>
      <c r="B1984" s="19"/>
      <c r="C1984" s="19"/>
      <c r="E1984" s="59"/>
      <c r="F1984" s="58"/>
      <c r="G1984" s="59"/>
      <c r="H1984" s="58"/>
      <c r="I1984" s="58"/>
      <c r="J1984" s="58"/>
      <c r="K1984" s="58"/>
      <c r="L1984" s="58"/>
      <c r="M1984" s="59"/>
      <c r="N1984" s="58"/>
      <c r="O1984" s="59"/>
      <c r="P1984" s="58"/>
      <c r="Q1984" s="59"/>
      <c r="R1984" s="58"/>
    </row>
    <row r="1985">
      <c r="A1985" s="56"/>
      <c r="B1985" s="19"/>
      <c r="C1985" s="19"/>
      <c r="E1985" s="59"/>
      <c r="F1985" s="58"/>
      <c r="G1985" s="59"/>
      <c r="H1985" s="58"/>
      <c r="I1985" s="58"/>
      <c r="J1985" s="58"/>
      <c r="K1985" s="58"/>
      <c r="L1985" s="58"/>
      <c r="M1985" s="59"/>
      <c r="N1985" s="58"/>
      <c r="O1985" s="59"/>
      <c r="P1985" s="58"/>
      <c r="Q1985" s="59"/>
      <c r="R1985" s="58"/>
    </row>
    <row r="1986">
      <c r="A1986" s="56"/>
      <c r="B1986" s="19"/>
      <c r="C1986" s="19"/>
      <c r="E1986" s="59"/>
      <c r="F1986" s="58"/>
      <c r="G1986" s="59"/>
      <c r="H1986" s="58"/>
      <c r="I1986" s="58"/>
      <c r="J1986" s="58"/>
      <c r="K1986" s="58"/>
      <c r="L1986" s="58"/>
      <c r="M1986" s="59"/>
      <c r="N1986" s="58"/>
      <c r="O1986" s="59"/>
      <c r="P1986" s="58"/>
      <c r="Q1986" s="59"/>
      <c r="R1986" s="58"/>
    </row>
    <row r="1987">
      <c r="A1987" s="56"/>
      <c r="B1987" s="19"/>
      <c r="C1987" s="19"/>
      <c r="E1987" s="59"/>
      <c r="F1987" s="58"/>
      <c r="G1987" s="59"/>
      <c r="H1987" s="58"/>
      <c r="I1987" s="58"/>
      <c r="J1987" s="58"/>
      <c r="K1987" s="58"/>
      <c r="L1987" s="58"/>
      <c r="M1987" s="59"/>
      <c r="N1987" s="58"/>
      <c r="O1987" s="59"/>
      <c r="P1987" s="58"/>
      <c r="Q1987" s="59"/>
      <c r="R1987" s="58"/>
    </row>
    <row r="1988">
      <c r="A1988" s="56"/>
      <c r="B1988" s="19"/>
      <c r="C1988" s="19"/>
      <c r="E1988" s="59"/>
      <c r="F1988" s="58"/>
      <c r="G1988" s="59"/>
      <c r="H1988" s="58"/>
      <c r="I1988" s="58"/>
      <c r="J1988" s="58"/>
      <c r="K1988" s="58"/>
      <c r="L1988" s="58"/>
      <c r="M1988" s="59"/>
      <c r="N1988" s="58"/>
      <c r="O1988" s="59"/>
      <c r="P1988" s="58"/>
      <c r="Q1988" s="59"/>
      <c r="R1988" s="58"/>
    </row>
    <row r="1989">
      <c r="A1989" s="56"/>
      <c r="B1989" s="19"/>
      <c r="C1989" s="19"/>
      <c r="E1989" s="59"/>
      <c r="F1989" s="58"/>
      <c r="G1989" s="59"/>
      <c r="H1989" s="58"/>
      <c r="I1989" s="58"/>
      <c r="J1989" s="58"/>
      <c r="K1989" s="58"/>
      <c r="L1989" s="58"/>
      <c r="M1989" s="59"/>
      <c r="N1989" s="58"/>
      <c r="O1989" s="59"/>
      <c r="P1989" s="58"/>
      <c r="Q1989" s="59"/>
      <c r="R1989" s="58"/>
    </row>
    <row r="1990">
      <c r="A1990" s="56"/>
      <c r="B1990" s="19"/>
      <c r="C1990" s="19"/>
      <c r="E1990" s="59"/>
      <c r="F1990" s="58"/>
      <c r="G1990" s="59"/>
      <c r="H1990" s="58"/>
      <c r="I1990" s="58"/>
      <c r="J1990" s="58"/>
      <c r="K1990" s="58"/>
      <c r="L1990" s="58"/>
      <c r="M1990" s="59"/>
      <c r="N1990" s="58"/>
      <c r="O1990" s="59"/>
      <c r="P1990" s="58"/>
      <c r="Q1990" s="59"/>
      <c r="R1990" s="58"/>
    </row>
    <row r="1991">
      <c r="A1991" s="56"/>
      <c r="B1991" s="19"/>
      <c r="C1991" s="19"/>
      <c r="E1991" s="59"/>
      <c r="F1991" s="58"/>
      <c r="G1991" s="59"/>
      <c r="H1991" s="58"/>
      <c r="I1991" s="58"/>
      <c r="J1991" s="58"/>
      <c r="K1991" s="58"/>
      <c r="L1991" s="58"/>
      <c r="M1991" s="59"/>
      <c r="N1991" s="58"/>
      <c r="O1991" s="59"/>
      <c r="P1991" s="58"/>
      <c r="Q1991" s="59"/>
      <c r="R1991" s="58"/>
    </row>
    <row r="1992">
      <c r="A1992" s="56"/>
      <c r="B1992" s="19"/>
      <c r="C1992" s="19"/>
      <c r="E1992" s="59"/>
      <c r="F1992" s="58"/>
      <c r="G1992" s="59"/>
      <c r="H1992" s="58"/>
      <c r="I1992" s="58"/>
      <c r="J1992" s="58"/>
      <c r="K1992" s="58"/>
      <c r="L1992" s="58"/>
      <c r="M1992" s="59"/>
      <c r="N1992" s="58"/>
      <c r="O1992" s="59"/>
      <c r="P1992" s="58"/>
      <c r="Q1992" s="59"/>
      <c r="R1992" s="58"/>
    </row>
    <row r="1993">
      <c r="A1993" s="56"/>
      <c r="B1993" s="19"/>
      <c r="C1993" s="19"/>
      <c r="E1993" s="59"/>
      <c r="F1993" s="58"/>
      <c r="G1993" s="59"/>
      <c r="H1993" s="58"/>
      <c r="I1993" s="58"/>
      <c r="J1993" s="58"/>
      <c r="K1993" s="58"/>
      <c r="L1993" s="58"/>
      <c r="M1993" s="59"/>
      <c r="N1993" s="58"/>
      <c r="O1993" s="59"/>
      <c r="P1993" s="58"/>
      <c r="Q1993" s="59"/>
      <c r="R1993" s="58"/>
    </row>
    <row r="1994">
      <c r="A1994" s="56"/>
      <c r="B1994" s="19"/>
      <c r="C1994" s="19"/>
      <c r="E1994" s="59"/>
      <c r="F1994" s="58"/>
      <c r="G1994" s="59"/>
      <c r="H1994" s="58"/>
      <c r="I1994" s="58"/>
      <c r="J1994" s="58"/>
      <c r="K1994" s="58"/>
      <c r="L1994" s="58"/>
      <c r="M1994" s="59"/>
      <c r="N1994" s="58"/>
      <c r="O1994" s="59"/>
      <c r="P1994" s="58"/>
      <c r="Q1994" s="59"/>
      <c r="R1994" s="58"/>
    </row>
    <row r="1995">
      <c r="A1995" s="56"/>
      <c r="B1995" s="19"/>
      <c r="C1995" s="19"/>
      <c r="E1995" s="59"/>
      <c r="F1995" s="58"/>
      <c r="G1995" s="59"/>
      <c r="H1995" s="58"/>
      <c r="I1995" s="58"/>
      <c r="J1995" s="58"/>
      <c r="K1995" s="58"/>
      <c r="L1995" s="58"/>
      <c r="M1995" s="59"/>
      <c r="N1995" s="58"/>
      <c r="O1995" s="59"/>
      <c r="P1995" s="58"/>
      <c r="Q1995" s="59"/>
      <c r="R1995" s="58"/>
    </row>
    <row r="1996">
      <c r="A1996" s="56"/>
      <c r="B1996" s="19"/>
      <c r="C1996" s="19"/>
      <c r="E1996" s="59"/>
      <c r="F1996" s="58"/>
      <c r="G1996" s="59"/>
      <c r="H1996" s="58"/>
      <c r="I1996" s="58"/>
      <c r="J1996" s="58"/>
      <c r="K1996" s="58"/>
      <c r="L1996" s="58"/>
      <c r="M1996" s="59"/>
      <c r="N1996" s="58"/>
      <c r="O1996" s="59"/>
      <c r="P1996" s="58"/>
      <c r="Q1996" s="59"/>
      <c r="R1996" s="58"/>
    </row>
    <row r="1997">
      <c r="A1997" s="56"/>
      <c r="B1997" s="19"/>
      <c r="C1997" s="19"/>
      <c r="E1997" s="59"/>
      <c r="F1997" s="58"/>
      <c r="G1997" s="59"/>
      <c r="H1997" s="58"/>
      <c r="I1997" s="58"/>
      <c r="J1997" s="58"/>
      <c r="K1997" s="58"/>
      <c r="L1997" s="58"/>
      <c r="M1997" s="59"/>
      <c r="N1997" s="58"/>
      <c r="O1997" s="59"/>
      <c r="P1997" s="58"/>
      <c r="Q1997" s="59"/>
      <c r="R1997" s="58"/>
    </row>
    <row r="1998">
      <c r="A1998" s="56"/>
      <c r="B1998" s="19"/>
      <c r="C1998" s="19"/>
      <c r="E1998" s="59"/>
      <c r="F1998" s="58"/>
      <c r="G1998" s="59"/>
      <c r="H1998" s="58"/>
      <c r="I1998" s="58"/>
      <c r="J1998" s="58"/>
      <c r="K1998" s="58"/>
      <c r="L1998" s="58"/>
      <c r="M1998" s="59"/>
      <c r="N1998" s="58"/>
      <c r="O1998" s="59"/>
      <c r="P1998" s="58"/>
      <c r="Q1998" s="59"/>
      <c r="R1998" s="58"/>
    </row>
    <row r="1999">
      <c r="A1999" s="56"/>
      <c r="B1999" s="19"/>
      <c r="C1999" s="19"/>
      <c r="E1999" s="59"/>
      <c r="F1999" s="58"/>
      <c r="G1999" s="59"/>
      <c r="H1999" s="58"/>
      <c r="I1999" s="58"/>
      <c r="J1999" s="58"/>
      <c r="K1999" s="58"/>
      <c r="L1999" s="58"/>
      <c r="M1999" s="59"/>
      <c r="N1999" s="58"/>
      <c r="O1999" s="59"/>
      <c r="P1999" s="58"/>
      <c r="Q1999" s="59"/>
      <c r="R1999" s="58"/>
    </row>
    <row r="2000">
      <c r="A2000" s="56"/>
      <c r="B2000" s="19"/>
      <c r="C2000" s="19"/>
      <c r="E2000" s="59"/>
      <c r="F2000" s="58"/>
      <c r="G2000" s="59"/>
      <c r="H2000" s="58"/>
      <c r="I2000" s="58"/>
      <c r="J2000" s="58"/>
      <c r="K2000" s="58"/>
      <c r="L2000" s="58"/>
      <c r="M2000" s="59"/>
      <c r="N2000" s="58"/>
      <c r="O2000" s="59"/>
      <c r="P2000" s="58"/>
      <c r="Q2000" s="59"/>
      <c r="R2000" s="58"/>
    </row>
    <row r="2001">
      <c r="A2001" s="56"/>
      <c r="B2001" s="19"/>
      <c r="C2001" s="19"/>
      <c r="E2001" s="59"/>
      <c r="F2001" s="58"/>
      <c r="G2001" s="59"/>
      <c r="H2001" s="58"/>
      <c r="I2001" s="58"/>
      <c r="J2001" s="58"/>
      <c r="K2001" s="58"/>
      <c r="L2001" s="58"/>
      <c r="M2001" s="59"/>
      <c r="N2001" s="58"/>
      <c r="O2001" s="59"/>
      <c r="P2001" s="58"/>
      <c r="Q2001" s="59"/>
      <c r="R2001" s="58"/>
    </row>
    <row r="2002">
      <c r="A2002" s="56"/>
      <c r="B2002" s="19"/>
      <c r="C2002" s="19"/>
      <c r="E2002" s="59"/>
      <c r="F2002" s="58"/>
      <c r="G2002" s="59"/>
      <c r="H2002" s="58"/>
      <c r="I2002" s="58"/>
      <c r="J2002" s="58"/>
      <c r="K2002" s="58"/>
      <c r="L2002" s="58"/>
      <c r="M2002" s="59"/>
      <c r="N2002" s="58"/>
      <c r="O2002" s="59"/>
      <c r="P2002" s="58"/>
      <c r="Q2002" s="59"/>
      <c r="R2002" s="58"/>
    </row>
    <row r="2003">
      <c r="A2003" s="56"/>
      <c r="B2003" s="19"/>
      <c r="C2003" s="19"/>
      <c r="E2003" s="59"/>
      <c r="F2003" s="58"/>
      <c r="G2003" s="59"/>
      <c r="H2003" s="58"/>
      <c r="I2003" s="58"/>
      <c r="J2003" s="58"/>
      <c r="K2003" s="58"/>
      <c r="L2003" s="58"/>
      <c r="M2003" s="59"/>
      <c r="N2003" s="58"/>
      <c r="O2003" s="59"/>
      <c r="P2003" s="58"/>
      <c r="Q2003" s="59"/>
      <c r="R2003" s="58"/>
    </row>
    <row r="2004">
      <c r="A2004" s="56"/>
      <c r="B2004" s="19"/>
      <c r="C2004" s="19"/>
      <c r="E2004" s="59"/>
      <c r="F2004" s="58"/>
      <c r="G2004" s="59"/>
      <c r="H2004" s="58"/>
      <c r="I2004" s="58"/>
      <c r="J2004" s="58"/>
      <c r="K2004" s="58"/>
      <c r="L2004" s="58"/>
      <c r="M2004" s="59"/>
      <c r="N2004" s="58"/>
      <c r="O2004" s="59"/>
      <c r="P2004" s="58"/>
      <c r="Q2004" s="59"/>
      <c r="R2004" s="58"/>
    </row>
    <row r="2005">
      <c r="A2005" s="56"/>
      <c r="B2005" s="19"/>
      <c r="C2005" s="19"/>
      <c r="E2005" s="59"/>
      <c r="F2005" s="58"/>
      <c r="G2005" s="59"/>
      <c r="H2005" s="58"/>
      <c r="I2005" s="58"/>
      <c r="J2005" s="58"/>
      <c r="K2005" s="58"/>
      <c r="L2005" s="58"/>
      <c r="M2005" s="59"/>
      <c r="N2005" s="58"/>
      <c r="O2005" s="59"/>
      <c r="P2005" s="58"/>
      <c r="Q2005" s="59"/>
      <c r="R2005" s="58"/>
    </row>
    <row r="2006">
      <c r="A2006" s="56"/>
      <c r="B2006" s="19"/>
      <c r="C2006" s="19"/>
      <c r="E2006" s="59"/>
      <c r="F2006" s="58"/>
      <c r="G2006" s="59"/>
      <c r="H2006" s="58"/>
      <c r="I2006" s="58"/>
      <c r="J2006" s="58"/>
      <c r="K2006" s="58"/>
      <c r="L2006" s="58"/>
      <c r="M2006" s="59"/>
      <c r="N2006" s="58"/>
      <c r="O2006" s="59"/>
      <c r="P2006" s="58"/>
      <c r="Q2006" s="59"/>
      <c r="R2006" s="58"/>
    </row>
    <row r="2007">
      <c r="A2007" s="56"/>
      <c r="B2007" s="19"/>
      <c r="C2007" s="19"/>
      <c r="E2007" s="59"/>
      <c r="F2007" s="58"/>
      <c r="G2007" s="59"/>
      <c r="H2007" s="58"/>
      <c r="I2007" s="58"/>
      <c r="J2007" s="58"/>
      <c r="K2007" s="58"/>
      <c r="L2007" s="58"/>
      <c r="M2007" s="59"/>
      <c r="N2007" s="58"/>
      <c r="O2007" s="59"/>
      <c r="P2007" s="58"/>
      <c r="Q2007" s="59"/>
      <c r="R2007" s="58"/>
    </row>
    <row r="2008">
      <c r="A2008" s="56"/>
      <c r="B2008" s="19"/>
      <c r="C2008" s="19"/>
      <c r="E2008" s="59"/>
      <c r="F2008" s="58"/>
      <c r="G2008" s="59"/>
      <c r="H2008" s="58"/>
      <c r="I2008" s="58"/>
      <c r="J2008" s="58"/>
      <c r="K2008" s="58"/>
      <c r="L2008" s="58"/>
      <c r="M2008" s="59"/>
      <c r="N2008" s="58"/>
      <c r="O2008" s="59"/>
      <c r="P2008" s="58"/>
      <c r="Q2008" s="59"/>
      <c r="R2008" s="58"/>
    </row>
    <row r="2009">
      <c r="A2009" s="56"/>
      <c r="B2009" s="19"/>
      <c r="C2009" s="19"/>
      <c r="E2009" s="59"/>
      <c r="F2009" s="58"/>
      <c r="G2009" s="59"/>
      <c r="H2009" s="58"/>
      <c r="I2009" s="58"/>
      <c r="J2009" s="58"/>
      <c r="K2009" s="58"/>
      <c r="L2009" s="58"/>
      <c r="M2009" s="59"/>
      <c r="N2009" s="58"/>
      <c r="O2009" s="59"/>
      <c r="P2009" s="58"/>
      <c r="Q2009" s="59"/>
      <c r="R2009" s="58"/>
    </row>
    <row r="2010">
      <c r="A2010" s="56"/>
      <c r="B2010" s="19"/>
      <c r="C2010" s="19"/>
      <c r="E2010" s="59"/>
      <c r="F2010" s="58"/>
      <c r="G2010" s="59"/>
      <c r="H2010" s="58"/>
      <c r="I2010" s="58"/>
      <c r="J2010" s="58"/>
      <c r="K2010" s="58"/>
      <c r="L2010" s="58"/>
      <c r="M2010" s="59"/>
      <c r="N2010" s="58"/>
      <c r="O2010" s="59"/>
      <c r="P2010" s="58"/>
      <c r="Q2010" s="59"/>
      <c r="R2010" s="58"/>
    </row>
    <row r="2011">
      <c r="A2011" s="56"/>
      <c r="B2011" s="19"/>
      <c r="C2011" s="19"/>
      <c r="E2011" s="59"/>
      <c r="F2011" s="58"/>
      <c r="G2011" s="59"/>
      <c r="H2011" s="58"/>
      <c r="I2011" s="58"/>
      <c r="J2011" s="58"/>
      <c r="K2011" s="58"/>
      <c r="L2011" s="58"/>
      <c r="M2011" s="59"/>
      <c r="N2011" s="58"/>
      <c r="O2011" s="59"/>
      <c r="P2011" s="58"/>
      <c r="Q2011" s="59"/>
      <c r="R2011" s="58"/>
    </row>
    <row r="2012">
      <c r="A2012" s="56"/>
      <c r="B2012" s="19"/>
      <c r="C2012" s="19"/>
      <c r="E2012" s="59"/>
      <c r="F2012" s="58"/>
      <c r="G2012" s="59"/>
      <c r="H2012" s="58"/>
      <c r="I2012" s="58"/>
      <c r="J2012" s="58"/>
      <c r="K2012" s="58"/>
      <c r="L2012" s="58"/>
      <c r="M2012" s="59"/>
      <c r="N2012" s="58"/>
      <c r="O2012" s="59"/>
      <c r="P2012" s="58"/>
      <c r="Q2012" s="59"/>
      <c r="R2012" s="58"/>
    </row>
    <row r="2013">
      <c r="A2013" s="56"/>
      <c r="B2013" s="19"/>
      <c r="C2013" s="19"/>
      <c r="E2013" s="59"/>
      <c r="F2013" s="58"/>
      <c r="G2013" s="59"/>
      <c r="H2013" s="58"/>
      <c r="I2013" s="58"/>
      <c r="J2013" s="58"/>
      <c r="K2013" s="58"/>
      <c r="L2013" s="58"/>
      <c r="M2013" s="59"/>
      <c r="N2013" s="58"/>
      <c r="O2013" s="59"/>
      <c r="P2013" s="58"/>
      <c r="Q2013" s="59"/>
      <c r="R2013" s="58"/>
    </row>
    <row r="2014">
      <c r="A2014" s="56"/>
      <c r="B2014" s="19"/>
      <c r="C2014" s="19"/>
      <c r="E2014" s="59"/>
      <c r="F2014" s="58"/>
      <c r="G2014" s="59"/>
      <c r="H2014" s="58"/>
      <c r="I2014" s="58"/>
      <c r="J2014" s="58"/>
      <c r="K2014" s="58"/>
      <c r="L2014" s="58"/>
      <c r="M2014" s="59"/>
      <c r="N2014" s="58"/>
      <c r="O2014" s="59"/>
      <c r="P2014" s="58"/>
      <c r="Q2014" s="59"/>
      <c r="R2014" s="58"/>
    </row>
    <row r="2015">
      <c r="A2015" s="56"/>
      <c r="B2015" s="19"/>
      <c r="C2015" s="19"/>
      <c r="E2015" s="59"/>
      <c r="F2015" s="58"/>
      <c r="G2015" s="59"/>
      <c r="H2015" s="58"/>
      <c r="I2015" s="58"/>
      <c r="J2015" s="58"/>
      <c r="K2015" s="58"/>
      <c r="L2015" s="58"/>
      <c r="M2015" s="59"/>
      <c r="N2015" s="58"/>
      <c r="O2015" s="59"/>
      <c r="P2015" s="58"/>
      <c r="Q2015" s="59"/>
      <c r="R2015" s="58"/>
    </row>
    <row r="2016">
      <c r="A2016" s="56"/>
      <c r="B2016" s="19"/>
      <c r="C2016" s="19"/>
      <c r="E2016" s="59"/>
      <c r="F2016" s="58"/>
      <c r="G2016" s="59"/>
      <c r="H2016" s="58"/>
      <c r="I2016" s="58"/>
      <c r="J2016" s="58"/>
      <c r="K2016" s="58"/>
      <c r="L2016" s="58"/>
      <c r="M2016" s="59"/>
      <c r="N2016" s="58"/>
      <c r="O2016" s="59"/>
      <c r="P2016" s="58"/>
      <c r="Q2016" s="59"/>
      <c r="R2016" s="58"/>
    </row>
    <row r="2017">
      <c r="A2017" s="56"/>
      <c r="B2017" s="19"/>
      <c r="C2017" s="19"/>
      <c r="E2017" s="59"/>
      <c r="F2017" s="58"/>
      <c r="G2017" s="59"/>
      <c r="H2017" s="58"/>
      <c r="I2017" s="58"/>
      <c r="J2017" s="58"/>
      <c r="K2017" s="58"/>
      <c r="L2017" s="58"/>
      <c r="M2017" s="59"/>
      <c r="N2017" s="58"/>
      <c r="O2017" s="59"/>
      <c r="P2017" s="58"/>
      <c r="Q2017" s="59"/>
      <c r="R2017" s="58"/>
    </row>
    <row r="2018">
      <c r="A2018" s="56"/>
      <c r="B2018" s="19"/>
      <c r="C2018" s="19"/>
      <c r="E2018" s="59"/>
      <c r="F2018" s="58"/>
      <c r="G2018" s="59"/>
      <c r="H2018" s="58"/>
      <c r="I2018" s="58"/>
      <c r="J2018" s="58"/>
      <c r="K2018" s="58"/>
      <c r="L2018" s="58"/>
      <c r="M2018" s="59"/>
      <c r="N2018" s="58"/>
      <c r="O2018" s="59"/>
      <c r="P2018" s="58"/>
      <c r="Q2018" s="59"/>
      <c r="R2018" s="58"/>
    </row>
    <row r="2019">
      <c r="A2019" s="56"/>
      <c r="B2019" s="19"/>
      <c r="C2019" s="19"/>
      <c r="E2019" s="59"/>
      <c r="F2019" s="58"/>
      <c r="G2019" s="59"/>
      <c r="H2019" s="58"/>
      <c r="I2019" s="58"/>
      <c r="J2019" s="58"/>
      <c r="K2019" s="58"/>
      <c r="L2019" s="58"/>
      <c r="M2019" s="59"/>
      <c r="N2019" s="58"/>
      <c r="O2019" s="59"/>
      <c r="P2019" s="58"/>
      <c r="Q2019" s="59"/>
      <c r="R2019" s="58"/>
    </row>
    <row r="2020">
      <c r="A2020" s="56"/>
      <c r="B2020" s="19"/>
      <c r="C2020" s="19"/>
      <c r="E2020" s="59"/>
      <c r="F2020" s="58"/>
      <c r="G2020" s="59"/>
      <c r="H2020" s="58"/>
      <c r="I2020" s="58"/>
      <c r="J2020" s="58"/>
      <c r="K2020" s="58"/>
      <c r="L2020" s="58"/>
      <c r="M2020" s="59"/>
      <c r="N2020" s="58"/>
      <c r="O2020" s="59"/>
      <c r="P2020" s="58"/>
      <c r="Q2020" s="59"/>
      <c r="R2020" s="58"/>
    </row>
    <row r="2021">
      <c r="A2021" s="56"/>
      <c r="B2021" s="19"/>
      <c r="C2021" s="19"/>
      <c r="E2021" s="59"/>
      <c r="F2021" s="58"/>
      <c r="G2021" s="59"/>
      <c r="H2021" s="58"/>
      <c r="I2021" s="58"/>
      <c r="J2021" s="58"/>
      <c r="K2021" s="58"/>
      <c r="L2021" s="58"/>
      <c r="M2021" s="59"/>
      <c r="N2021" s="58"/>
      <c r="O2021" s="59"/>
      <c r="P2021" s="58"/>
      <c r="Q2021" s="59"/>
      <c r="R2021" s="58"/>
    </row>
    <row r="2022">
      <c r="A2022" s="56"/>
      <c r="B2022" s="19"/>
      <c r="C2022" s="19"/>
      <c r="E2022" s="59"/>
      <c r="F2022" s="58"/>
      <c r="G2022" s="59"/>
      <c r="H2022" s="58"/>
      <c r="I2022" s="58"/>
      <c r="J2022" s="58"/>
      <c r="K2022" s="58"/>
      <c r="L2022" s="58"/>
      <c r="M2022" s="59"/>
      <c r="N2022" s="58"/>
      <c r="O2022" s="59"/>
      <c r="P2022" s="58"/>
      <c r="Q2022" s="59"/>
      <c r="R2022" s="58"/>
    </row>
    <row r="2023">
      <c r="A2023" s="56"/>
      <c r="B2023" s="19"/>
      <c r="C2023" s="19"/>
      <c r="E2023" s="59"/>
      <c r="F2023" s="58"/>
      <c r="G2023" s="59"/>
      <c r="H2023" s="58"/>
      <c r="I2023" s="58"/>
      <c r="J2023" s="58"/>
      <c r="K2023" s="58"/>
      <c r="L2023" s="58"/>
      <c r="M2023" s="59"/>
      <c r="N2023" s="58"/>
      <c r="O2023" s="59"/>
      <c r="P2023" s="58"/>
      <c r="Q2023" s="59"/>
      <c r="R2023" s="58"/>
    </row>
    <row r="2024">
      <c r="A2024" s="56"/>
      <c r="B2024" s="19"/>
      <c r="C2024" s="19"/>
      <c r="E2024" s="59"/>
      <c r="F2024" s="58"/>
      <c r="G2024" s="59"/>
      <c r="H2024" s="58"/>
      <c r="I2024" s="58"/>
      <c r="J2024" s="58"/>
      <c r="K2024" s="58"/>
      <c r="L2024" s="58"/>
      <c r="M2024" s="59"/>
      <c r="N2024" s="58"/>
      <c r="O2024" s="59"/>
      <c r="P2024" s="58"/>
      <c r="Q2024" s="59"/>
      <c r="R2024" s="58"/>
    </row>
    <row r="2025">
      <c r="A2025" s="56"/>
      <c r="B2025" s="19"/>
      <c r="C2025" s="19"/>
      <c r="E2025" s="59"/>
      <c r="F2025" s="58"/>
      <c r="G2025" s="59"/>
      <c r="H2025" s="58"/>
      <c r="I2025" s="58"/>
      <c r="J2025" s="58"/>
      <c r="K2025" s="58"/>
      <c r="L2025" s="58"/>
      <c r="M2025" s="59"/>
      <c r="N2025" s="58"/>
      <c r="O2025" s="59"/>
      <c r="P2025" s="58"/>
      <c r="Q2025" s="59"/>
      <c r="R2025" s="58"/>
    </row>
    <row r="2026">
      <c r="A2026" s="56"/>
      <c r="B2026" s="19"/>
      <c r="C2026" s="19"/>
      <c r="E2026" s="59"/>
      <c r="F2026" s="58"/>
      <c r="G2026" s="59"/>
      <c r="H2026" s="58"/>
      <c r="I2026" s="58"/>
      <c r="J2026" s="58"/>
      <c r="K2026" s="58"/>
      <c r="L2026" s="58"/>
      <c r="M2026" s="59"/>
      <c r="N2026" s="58"/>
      <c r="O2026" s="59"/>
      <c r="P2026" s="58"/>
      <c r="Q2026" s="59"/>
      <c r="R2026" s="58"/>
    </row>
    <row r="2027">
      <c r="A2027" s="56"/>
      <c r="B2027" s="19"/>
      <c r="C2027" s="19"/>
      <c r="E2027" s="59"/>
      <c r="F2027" s="58"/>
      <c r="G2027" s="59"/>
      <c r="H2027" s="58"/>
      <c r="I2027" s="58"/>
      <c r="J2027" s="58"/>
      <c r="K2027" s="58"/>
      <c r="L2027" s="58"/>
      <c r="M2027" s="59"/>
      <c r="N2027" s="58"/>
      <c r="O2027" s="59"/>
      <c r="P2027" s="58"/>
      <c r="Q2027" s="59"/>
      <c r="R2027" s="58"/>
    </row>
    <row r="2028">
      <c r="A2028" s="56"/>
      <c r="B2028" s="19"/>
      <c r="C2028" s="19"/>
      <c r="E2028" s="59"/>
      <c r="F2028" s="58"/>
      <c r="G2028" s="59"/>
      <c r="H2028" s="58"/>
      <c r="I2028" s="58"/>
      <c r="J2028" s="58"/>
      <c r="K2028" s="58"/>
      <c r="L2028" s="58"/>
      <c r="M2028" s="59"/>
      <c r="N2028" s="58"/>
      <c r="O2028" s="59"/>
      <c r="P2028" s="58"/>
      <c r="Q2028" s="59"/>
      <c r="R2028" s="58"/>
    </row>
    <row r="2029">
      <c r="A2029" s="56"/>
      <c r="B2029" s="19"/>
      <c r="C2029" s="19"/>
      <c r="E2029" s="59"/>
      <c r="F2029" s="58"/>
      <c r="G2029" s="59"/>
      <c r="H2029" s="58"/>
      <c r="I2029" s="58"/>
      <c r="J2029" s="58"/>
      <c r="K2029" s="58"/>
      <c r="L2029" s="58"/>
      <c r="M2029" s="59"/>
      <c r="N2029" s="58"/>
      <c r="O2029" s="59"/>
      <c r="P2029" s="58"/>
      <c r="Q2029" s="59"/>
      <c r="R2029" s="58"/>
    </row>
    <row r="2030">
      <c r="A2030" s="56"/>
      <c r="B2030" s="19"/>
      <c r="C2030" s="19"/>
      <c r="E2030" s="59"/>
      <c r="F2030" s="58"/>
      <c r="G2030" s="59"/>
      <c r="H2030" s="58"/>
      <c r="I2030" s="58"/>
      <c r="J2030" s="58"/>
      <c r="K2030" s="58"/>
      <c r="L2030" s="58"/>
      <c r="M2030" s="59"/>
      <c r="N2030" s="58"/>
      <c r="O2030" s="59"/>
      <c r="P2030" s="58"/>
      <c r="Q2030" s="59"/>
      <c r="R2030" s="58"/>
    </row>
    <row r="2031">
      <c r="A2031" s="56"/>
      <c r="B2031" s="19"/>
      <c r="C2031" s="19"/>
      <c r="E2031" s="59"/>
      <c r="F2031" s="58"/>
      <c r="G2031" s="59"/>
      <c r="H2031" s="58"/>
      <c r="I2031" s="58"/>
      <c r="J2031" s="58"/>
      <c r="K2031" s="58"/>
      <c r="L2031" s="58"/>
      <c r="M2031" s="59"/>
      <c r="N2031" s="58"/>
      <c r="O2031" s="59"/>
      <c r="P2031" s="58"/>
      <c r="Q2031" s="59"/>
      <c r="R2031" s="58"/>
    </row>
    <row r="2032">
      <c r="A2032" s="56"/>
      <c r="B2032" s="19"/>
      <c r="C2032" s="19"/>
      <c r="E2032" s="59"/>
      <c r="F2032" s="58"/>
      <c r="G2032" s="59"/>
      <c r="H2032" s="58"/>
      <c r="I2032" s="58"/>
      <c r="J2032" s="58"/>
      <c r="K2032" s="58"/>
      <c r="L2032" s="58"/>
      <c r="M2032" s="59"/>
      <c r="N2032" s="58"/>
      <c r="O2032" s="59"/>
      <c r="P2032" s="58"/>
      <c r="Q2032" s="59"/>
      <c r="R2032" s="58"/>
    </row>
    <row r="2033">
      <c r="A2033" s="56"/>
      <c r="B2033" s="19"/>
      <c r="C2033" s="19"/>
      <c r="E2033" s="59"/>
      <c r="F2033" s="58"/>
      <c r="G2033" s="59"/>
      <c r="H2033" s="58"/>
      <c r="I2033" s="58"/>
      <c r="J2033" s="58"/>
      <c r="K2033" s="58"/>
      <c r="L2033" s="58"/>
      <c r="M2033" s="59"/>
      <c r="N2033" s="58"/>
      <c r="O2033" s="59"/>
      <c r="P2033" s="58"/>
      <c r="Q2033" s="59"/>
      <c r="R2033" s="58"/>
    </row>
    <row r="2034">
      <c r="A2034" s="56"/>
      <c r="B2034" s="19"/>
      <c r="C2034" s="19"/>
      <c r="E2034" s="59"/>
      <c r="F2034" s="58"/>
      <c r="G2034" s="59"/>
      <c r="H2034" s="58"/>
      <c r="I2034" s="58"/>
      <c r="J2034" s="58"/>
      <c r="K2034" s="58"/>
      <c r="L2034" s="58"/>
      <c r="M2034" s="59"/>
      <c r="N2034" s="58"/>
      <c r="O2034" s="59"/>
      <c r="P2034" s="58"/>
      <c r="Q2034" s="59"/>
      <c r="R2034" s="58"/>
    </row>
    <row r="2035">
      <c r="A2035" s="56"/>
      <c r="B2035" s="19"/>
      <c r="C2035" s="19"/>
      <c r="E2035" s="59"/>
      <c r="F2035" s="58"/>
      <c r="G2035" s="59"/>
      <c r="H2035" s="58"/>
      <c r="I2035" s="58"/>
      <c r="J2035" s="58"/>
      <c r="K2035" s="58"/>
      <c r="L2035" s="58"/>
      <c r="M2035" s="59"/>
      <c r="N2035" s="58"/>
      <c r="O2035" s="59"/>
      <c r="P2035" s="58"/>
      <c r="Q2035" s="59"/>
      <c r="R2035" s="58"/>
    </row>
    <row r="2036">
      <c r="A2036" s="56"/>
      <c r="B2036" s="19"/>
      <c r="C2036" s="19"/>
      <c r="E2036" s="59"/>
      <c r="F2036" s="58"/>
      <c r="G2036" s="59"/>
      <c r="H2036" s="58"/>
      <c r="I2036" s="58"/>
      <c r="J2036" s="58"/>
      <c r="K2036" s="58"/>
      <c r="L2036" s="58"/>
      <c r="M2036" s="59"/>
      <c r="N2036" s="58"/>
      <c r="O2036" s="59"/>
      <c r="P2036" s="58"/>
      <c r="Q2036" s="59"/>
      <c r="R2036" s="58"/>
    </row>
    <row r="2037">
      <c r="A2037" s="56"/>
      <c r="B2037" s="19"/>
      <c r="C2037" s="19"/>
      <c r="E2037" s="59"/>
      <c r="F2037" s="58"/>
      <c r="G2037" s="59"/>
      <c r="H2037" s="58"/>
      <c r="I2037" s="58"/>
      <c r="J2037" s="58"/>
      <c r="K2037" s="58"/>
      <c r="L2037" s="58"/>
      <c r="M2037" s="59"/>
      <c r="N2037" s="58"/>
      <c r="O2037" s="59"/>
      <c r="P2037" s="58"/>
      <c r="Q2037" s="59"/>
      <c r="R2037" s="58"/>
    </row>
    <row r="2038">
      <c r="A2038" s="56"/>
      <c r="B2038" s="19"/>
      <c r="C2038" s="19"/>
      <c r="E2038" s="59"/>
      <c r="F2038" s="58"/>
      <c r="G2038" s="59"/>
      <c r="H2038" s="58"/>
      <c r="I2038" s="58"/>
      <c r="J2038" s="58"/>
      <c r="K2038" s="58"/>
      <c r="L2038" s="58"/>
      <c r="M2038" s="59"/>
      <c r="N2038" s="58"/>
      <c r="O2038" s="59"/>
      <c r="P2038" s="58"/>
      <c r="Q2038" s="59"/>
      <c r="R2038" s="58"/>
    </row>
    <row r="2039">
      <c r="A2039" s="56"/>
      <c r="B2039" s="19"/>
      <c r="C2039" s="19"/>
      <c r="E2039" s="59"/>
      <c r="F2039" s="58"/>
      <c r="G2039" s="59"/>
      <c r="H2039" s="58"/>
      <c r="I2039" s="58"/>
      <c r="J2039" s="58"/>
      <c r="K2039" s="58"/>
      <c r="L2039" s="58"/>
      <c r="M2039" s="59"/>
      <c r="N2039" s="58"/>
      <c r="O2039" s="59"/>
      <c r="P2039" s="58"/>
      <c r="Q2039" s="59"/>
      <c r="R2039" s="58"/>
    </row>
    <row r="2040">
      <c r="A2040" s="56"/>
      <c r="B2040" s="19"/>
      <c r="C2040" s="19"/>
      <c r="E2040" s="59"/>
      <c r="F2040" s="58"/>
      <c r="G2040" s="59"/>
      <c r="H2040" s="58"/>
      <c r="I2040" s="58"/>
      <c r="J2040" s="58"/>
      <c r="K2040" s="58"/>
      <c r="L2040" s="58"/>
      <c r="M2040" s="59"/>
      <c r="N2040" s="58"/>
      <c r="O2040" s="59"/>
      <c r="P2040" s="58"/>
      <c r="Q2040" s="59"/>
      <c r="R2040" s="58"/>
    </row>
    <row r="2041">
      <c r="A2041" s="56"/>
      <c r="B2041" s="19"/>
      <c r="C2041" s="19"/>
      <c r="E2041" s="59"/>
      <c r="F2041" s="58"/>
      <c r="G2041" s="59"/>
      <c r="H2041" s="58"/>
      <c r="I2041" s="58"/>
      <c r="J2041" s="58"/>
      <c r="K2041" s="58"/>
      <c r="L2041" s="58"/>
      <c r="M2041" s="59"/>
      <c r="N2041" s="58"/>
      <c r="O2041" s="59"/>
      <c r="P2041" s="58"/>
      <c r="Q2041" s="59"/>
      <c r="R2041" s="58"/>
    </row>
    <row r="2042">
      <c r="A2042" s="56"/>
      <c r="B2042" s="19"/>
      <c r="C2042" s="19"/>
      <c r="E2042" s="59"/>
      <c r="F2042" s="58"/>
      <c r="G2042" s="59"/>
      <c r="H2042" s="58"/>
      <c r="I2042" s="58"/>
      <c r="J2042" s="58"/>
      <c r="K2042" s="58"/>
      <c r="L2042" s="58"/>
      <c r="M2042" s="59"/>
      <c r="N2042" s="58"/>
      <c r="O2042" s="59"/>
      <c r="P2042" s="58"/>
      <c r="Q2042" s="59"/>
      <c r="R2042" s="58"/>
    </row>
    <row r="2043">
      <c r="A2043" s="56"/>
      <c r="B2043" s="19"/>
      <c r="C2043" s="19"/>
      <c r="E2043" s="59"/>
      <c r="F2043" s="58"/>
      <c r="G2043" s="59"/>
      <c r="H2043" s="58"/>
      <c r="I2043" s="58"/>
      <c r="J2043" s="58"/>
      <c r="K2043" s="58"/>
      <c r="L2043" s="58"/>
      <c r="M2043" s="59"/>
      <c r="N2043" s="58"/>
      <c r="O2043" s="59"/>
      <c r="P2043" s="58"/>
      <c r="Q2043" s="59"/>
      <c r="R2043" s="58"/>
    </row>
    <row r="2044">
      <c r="A2044" s="56"/>
      <c r="B2044" s="19"/>
      <c r="C2044" s="19"/>
      <c r="E2044" s="59"/>
      <c r="F2044" s="58"/>
      <c r="G2044" s="59"/>
      <c r="H2044" s="58"/>
      <c r="I2044" s="58"/>
      <c r="J2044" s="58"/>
      <c r="K2044" s="58"/>
      <c r="L2044" s="58"/>
      <c r="M2044" s="59"/>
      <c r="N2044" s="58"/>
      <c r="O2044" s="59"/>
      <c r="P2044" s="58"/>
      <c r="Q2044" s="59"/>
      <c r="R2044" s="58"/>
    </row>
    <row r="2045">
      <c r="A2045" s="56"/>
      <c r="B2045" s="19"/>
      <c r="C2045" s="19"/>
      <c r="E2045" s="59"/>
      <c r="F2045" s="58"/>
      <c r="G2045" s="59"/>
      <c r="H2045" s="58"/>
      <c r="I2045" s="58"/>
      <c r="J2045" s="58"/>
      <c r="K2045" s="58"/>
      <c r="L2045" s="58"/>
      <c r="M2045" s="59"/>
      <c r="N2045" s="58"/>
      <c r="O2045" s="59"/>
      <c r="P2045" s="58"/>
      <c r="Q2045" s="59"/>
      <c r="R2045" s="58"/>
    </row>
    <row r="2046">
      <c r="A2046" s="56"/>
      <c r="B2046" s="19"/>
      <c r="C2046" s="19"/>
      <c r="E2046" s="59"/>
      <c r="F2046" s="58"/>
      <c r="G2046" s="59"/>
      <c r="H2046" s="58"/>
      <c r="I2046" s="58"/>
      <c r="J2046" s="58"/>
      <c r="K2046" s="58"/>
      <c r="L2046" s="58"/>
      <c r="M2046" s="59"/>
      <c r="N2046" s="58"/>
      <c r="O2046" s="59"/>
      <c r="P2046" s="58"/>
      <c r="Q2046" s="59"/>
      <c r="R2046" s="58"/>
    </row>
    <row r="2047">
      <c r="A2047" s="56"/>
      <c r="B2047" s="19"/>
      <c r="C2047" s="19"/>
      <c r="E2047" s="59"/>
      <c r="F2047" s="58"/>
      <c r="G2047" s="59"/>
      <c r="H2047" s="58"/>
      <c r="I2047" s="58"/>
      <c r="J2047" s="58"/>
      <c r="K2047" s="58"/>
      <c r="L2047" s="58"/>
      <c r="M2047" s="59"/>
      <c r="N2047" s="58"/>
      <c r="O2047" s="59"/>
      <c r="P2047" s="58"/>
      <c r="Q2047" s="59"/>
      <c r="R2047" s="58"/>
    </row>
    <row r="2048">
      <c r="A2048" s="56"/>
      <c r="B2048" s="19"/>
      <c r="C2048" s="19"/>
      <c r="E2048" s="59"/>
      <c r="F2048" s="58"/>
      <c r="G2048" s="59"/>
      <c r="H2048" s="58"/>
      <c r="I2048" s="58"/>
      <c r="J2048" s="58"/>
      <c r="K2048" s="58"/>
      <c r="L2048" s="58"/>
      <c r="M2048" s="59"/>
      <c r="N2048" s="58"/>
      <c r="O2048" s="59"/>
      <c r="P2048" s="58"/>
      <c r="Q2048" s="59"/>
      <c r="R2048" s="58"/>
    </row>
    <row r="2049">
      <c r="A2049" s="56"/>
      <c r="B2049" s="19"/>
      <c r="C2049" s="19"/>
      <c r="E2049" s="59"/>
      <c r="F2049" s="58"/>
      <c r="G2049" s="59"/>
      <c r="H2049" s="58"/>
      <c r="I2049" s="58"/>
      <c r="J2049" s="58"/>
      <c r="K2049" s="58"/>
      <c r="L2049" s="58"/>
      <c r="M2049" s="59"/>
      <c r="N2049" s="58"/>
      <c r="O2049" s="59"/>
      <c r="P2049" s="58"/>
      <c r="Q2049" s="59"/>
      <c r="R2049" s="58"/>
    </row>
    <row r="2050">
      <c r="A2050" s="56"/>
      <c r="B2050" s="19"/>
      <c r="C2050" s="19"/>
      <c r="E2050" s="59"/>
      <c r="F2050" s="58"/>
      <c r="G2050" s="59"/>
      <c r="H2050" s="58"/>
      <c r="I2050" s="58"/>
      <c r="J2050" s="58"/>
      <c r="K2050" s="58"/>
      <c r="L2050" s="58"/>
      <c r="M2050" s="59"/>
      <c r="N2050" s="58"/>
      <c r="O2050" s="59"/>
      <c r="P2050" s="58"/>
      <c r="Q2050" s="59"/>
      <c r="R2050" s="58"/>
    </row>
    <row r="2051">
      <c r="A2051" s="56"/>
      <c r="B2051" s="19"/>
      <c r="C2051" s="19"/>
      <c r="E2051" s="59"/>
      <c r="F2051" s="58"/>
      <c r="G2051" s="59"/>
      <c r="H2051" s="58"/>
      <c r="I2051" s="58"/>
      <c r="J2051" s="58"/>
      <c r="K2051" s="58"/>
      <c r="L2051" s="58"/>
      <c r="M2051" s="59"/>
      <c r="N2051" s="58"/>
      <c r="O2051" s="59"/>
      <c r="P2051" s="58"/>
      <c r="Q2051" s="59"/>
      <c r="R2051" s="58"/>
    </row>
    <row r="2052">
      <c r="A2052" s="56"/>
      <c r="B2052" s="19"/>
      <c r="C2052" s="19"/>
      <c r="E2052" s="59"/>
      <c r="F2052" s="58"/>
      <c r="G2052" s="59"/>
      <c r="H2052" s="58"/>
      <c r="I2052" s="58"/>
      <c r="J2052" s="58"/>
      <c r="K2052" s="58"/>
      <c r="L2052" s="58"/>
      <c r="M2052" s="59"/>
      <c r="N2052" s="58"/>
      <c r="O2052" s="59"/>
      <c r="P2052" s="58"/>
      <c r="Q2052" s="59"/>
      <c r="R2052" s="58"/>
    </row>
    <row r="2053">
      <c r="A2053" s="56"/>
      <c r="B2053" s="19"/>
      <c r="C2053" s="19"/>
      <c r="E2053" s="59"/>
      <c r="F2053" s="58"/>
      <c r="G2053" s="59"/>
      <c r="H2053" s="58"/>
      <c r="I2053" s="58"/>
      <c r="J2053" s="58"/>
      <c r="K2053" s="58"/>
      <c r="L2053" s="58"/>
      <c r="M2053" s="59"/>
      <c r="N2053" s="58"/>
      <c r="O2053" s="59"/>
      <c r="P2053" s="58"/>
      <c r="Q2053" s="59"/>
      <c r="R2053" s="58"/>
    </row>
    <row r="2054">
      <c r="A2054" s="56"/>
      <c r="B2054" s="19"/>
      <c r="C2054" s="19"/>
      <c r="E2054" s="59"/>
      <c r="F2054" s="58"/>
      <c r="G2054" s="59"/>
      <c r="H2054" s="58"/>
      <c r="I2054" s="58"/>
      <c r="J2054" s="58"/>
      <c r="K2054" s="58"/>
      <c r="L2054" s="58"/>
      <c r="M2054" s="59"/>
      <c r="N2054" s="58"/>
      <c r="O2054" s="59"/>
      <c r="P2054" s="58"/>
      <c r="Q2054" s="59"/>
      <c r="R2054" s="58"/>
    </row>
    <row r="2055">
      <c r="A2055" s="56"/>
      <c r="B2055" s="19"/>
      <c r="C2055" s="19"/>
      <c r="E2055" s="59"/>
      <c r="F2055" s="58"/>
      <c r="G2055" s="59"/>
      <c r="H2055" s="58"/>
      <c r="I2055" s="58"/>
      <c r="J2055" s="58"/>
      <c r="K2055" s="58"/>
      <c r="L2055" s="58"/>
      <c r="M2055" s="59"/>
      <c r="N2055" s="58"/>
      <c r="O2055" s="59"/>
      <c r="P2055" s="58"/>
      <c r="Q2055" s="59"/>
      <c r="R2055" s="58"/>
    </row>
    <row r="2056">
      <c r="A2056" s="56"/>
      <c r="B2056" s="19"/>
      <c r="C2056" s="19"/>
      <c r="E2056" s="59"/>
      <c r="F2056" s="58"/>
      <c r="G2056" s="59"/>
      <c r="H2056" s="58"/>
      <c r="I2056" s="58"/>
      <c r="J2056" s="58"/>
      <c r="K2056" s="58"/>
      <c r="L2056" s="58"/>
      <c r="M2056" s="59"/>
      <c r="N2056" s="58"/>
      <c r="O2056" s="59"/>
      <c r="P2056" s="58"/>
      <c r="Q2056" s="59"/>
      <c r="R2056" s="58"/>
    </row>
    <row r="2057">
      <c r="A2057" s="56"/>
      <c r="B2057" s="19"/>
      <c r="C2057" s="19"/>
      <c r="E2057" s="59"/>
      <c r="F2057" s="58"/>
      <c r="G2057" s="59"/>
      <c r="H2057" s="58"/>
      <c r="I2057" s="58"/>
      <c r="J2057" s="58"/>
      <c r="K2057" s="58"/>
      <c r="L2057" s="58"/>
      <c r="M2057" s="59"/>
      <c r="N2057" s="58"/>
      <c r="O2057" s="59"/>
      <c r="P2057" s="58"/>
      <c r="Q2057" s="59"/>
      <c r="R2057" s="58"/>
    </row>
    <row r="2058">
      <c r="A2058" s="56"/>
      <c r="B2058" s="19"/>
      <c r="C2058" s="19"/>
      <c r="E2058" s="59"/>
      <c r="F2058" s="58"/>
      <c r="G2058" s="59"/>
      <c r="H2058" s="58"/>
      <c r="I2058" s="58"/>
      <c r="J2058" s="58"/>
      <c r="K2058" s="58"/>
      <c r="L2058" s="58"/>
      <c r="M2058" s="59"/>
      <c r="N2058" s="58"/>
      <c r="O2058" s="59"/>
      <c r="P2058" s="58"/>
      <c r="Q2058" s="59"/>
      <c r="R2058" s="58"/>
    </row>
    <row r="2059">
      <c r="A2059" s="56"/>
      <c r="B2059" s="19"/>
      <c r="C2059" s="19"/>
      <c r="E2059" s="59"/>
      <c r="F2059" s="58"/>
      <c r="G2059" s="59"/>
      <c r="H2059" s="58"/>
      <c r="I2059" s="58"/>
      <c r="J2059" s="58"/>
      <c r="K2059" s="58"/>
      <c r="L2059" s="58"/>
      <c r="M2059" s="59"/>
      <c r="N2059" s="58"/>
      <c r="O2059" s="59"/>
      <c r="P2059" s="58"/>
      <c r="Q2059" s="59"/>
      <c r="R2059" s="58"/>
    </row>
    <row r="2060">
      <c r="A2060" s="56"/>
      <c r="B2060" s="19"/>
      <c r="C2060" s="19"/>
      <c r="E2060" s="59"/>
      <c r="F2060" s="58"/>
      <c r="G2060" s="59"/>
      <c r="H2060" s="58"/>
      <c r="I2060" s="58"/>
      <c r="J2060" s="58"/>
      <c r="K2060" s="58"/>
      <c r="L2060" s="58"/>
      <c r="M2060" s="59"/>
      <c r="N2060" s="58"/>
      <c r="O2060" s="59"/>
      <c r="P2060" s="58"/>
      <c r="Q2060" s="59"/>
      <c r="R2060" s="58"/>
    </row>
    <row r="2061">
      <c r="A2061" s="56"/>
      <c r="B2061" s="19"/>
      <c r="C2061" s="19"/>
      <c r="E2061" s="59"/>
      <c r="F2061" s="58"/>
      <c r="G2061" s="59"/>
      <c r="H2061" s="58"/>
      <c r="I2061" s="58"/>
      <c r="J2061" s="58"/>
      <c r="K2061" s="58"/>
      <c r="L2061" s="58"/>
      <c r="M2061" s="59"/>
      <c r="N2061" s="58"/>
      <c r="O2061" s="59"/>
      <c r="P2061" s="58"/>
      <c r="Q2061" s="59"/>
      <c r="R2061" s="58"/>
    </row>
    <row r="2062">
      <c r="A2062" s="56"/>
      <c r="B2062" s="19"/>
      <c r="C2062" s="19"/>
      <c r="E2062" s="59"/>
      <c r="F2062" s="58"/>
      <c r="G2062" s="59"/>
      <c r="H2062" s="58"/>
      <c r="I2062" s="58"/>
      <c r="J2062" s="58"/>
      <c r="K2062" s="58"/>
      <c r="L2062" s="58"/>
      <c r="M2062" s="59"/>
      <c r="N2062" s="58"/>
      <c r="O2062" s="59"/>
      <c r="P2062" s="58"/>
      <c r="Q2062" s="59"/>
      <c r="R2062" s="58"/>
    </row>
    <row r="2063">
      <c r="A2063" s="56"/>
      <c r="B2063" s="19"/>
      <c r="C2063" s="19"/>
      <c r="E2063" s="59"/>
      <c r="F2063" s="58"/>
      <c r="G2063" s="59"/>
      <c r="H2063" s="58"/>
      <c r="I2063" s="58"/>
      <c r="J2063" s="58"/>
      <c r="K2063" s="58"/>
      <c r="L2063" s="58"/>
      <c r="M2063" s="59"/>
      <c r="N2063" s="58"/>
      <c r="O2063" s="59"/>
      <c r="P2063" s="58"/>
      <c r="Q2063" s="59"/>
      <c r="R2063" s="58"/>
    </row>
    <row r="2064">
      <c r="A2064" s="56"/>
      <c r="B2064" s="19"/>
      <c r="C2064" s="19"/>
      <c r="E2064" s="59"/>
      <c r="F2064" s="58"/>
      <c r="G2064" s="59"/>
      <c r="H2064" s="58"/>
      <c r="I2064" s="58"/>
      <c r="J2064" s="58"/>
      <c r="K2064" s="58"/>
      <c r="L2064" s="58"/>
      <c r="M2064" s="59"/>
      <c r="N2064" s="58"/>
      <c r="O2064" s="59"/>
      <c r="P2064" s="58"/>
      <c r="Q2064" s="59"/>
      <c r="R2064" s="58"/>
    </row>
    <row r="2065">
      <c r="A2065" s="56"/>
      <c r="B2065" s="19"/>
      <c r="C2065" s="19"/>
      <c r="E2065" s="59"/>
      <c r="F2065" s="58"/>
      <c r="G2065" s="59"/>
      <c r="H2065" s="58"/>
      <c r="I2065" s="58"/>
      <c r="J2065" s="58"/>
      <c r="K2065" s="58"/>
      <c r="L2065" s="58"/>
      <c r="M2065" s="59"/>
      <c r="N2065" s="58"/>
      <c r="O2065" s="59"/>
      <c r="P2065" s="58"/>
      <c r="Q2065" s="59"/>
      <c r="R2065" s="58"/>
    </row>
    <row r="2066">
      <c r="A2066" s="56"/>
      <c r="B2066" s="19"/>
      <c r="C2066" s="19"/>
      <c r="E2066" s="59"/>
      <c r="F2066" s="58"/>
      <c r="G2066" s="59"/>
      <c r="H2066" s="58"/>
      <c r="I2066" s="58"/>
      <c r="J2066" s="58"/>
      <c r="K2066" s="58"/>
      <c r="L2066" s="58"/>
      <c r="M2066" s="59"/>
      <c r="N2066" s="58"/>
      <c r="O2066" s="59"/>
      <c r="P2066" s="58"/>
      <c r="Q2066" s="59"/>
      <c r="R2066" s="58"/>
    </row>
    <row r="2067">
      <c r="A2067" s="56"/>
      <c r="B2067" s="19"/>
      <c r="C2067" s="19"/>
      <c r="E2067" s="59"/>
      <c r="F2067" s="58"/>
      <c r="G2067" s="59"/>
      <c r="H2067" s="58"/>
      <c r="I2067" s="58"/>
      <c r="J2067" s="58"/>
      <c r="K2067" s="58"/>
      <c r="L2067" s="58"/>
      <c r="M2067" s="59"/>
      <c r="N2067" s="58"/>
      <c r="O2067" s="59"/>
      <c r="P2067" s="58"/>
      <c r="Q2067" s="59"/>
      <c r="R2067" s="58"/>
    </row>
    <row r="2068">
      <c r="A2068" s="56"/>
      <c r="B2068" s="19"/>
      <c r="C2068" s="19"/>
      <c r="E2068" s="59"/>
      <c r="F2068" s="58"/>
      <c r="G2068" s="59"/>
      <c r="H2068" s="58"/>
      <c r="I2068" s="58"/>
      <c r="J2068" s="58"/>
      <c r="K2068" s="58"/>
      <c r="L2068" s="58"/>
      <c r="M2068" s="59"/>
      <c r="N2068" s="58"/>
      <c r="O2068" s="59"/>
      <c r="P2068" s="58"/>
      <c r="Q2068" s="59"/>
      <c r="R2068" s="58"/>
    </row>
    <row r="2069">
      <c r="A2069" s="56"/>
      <c r="B2069" s="19"/>
      <c r="C2069" s="19"/>
      <c r="E2069" s="59"/>
      <c r="F2069" s="58"/>
      <c r="G2069" s="59"/>
      <c r="H2069" s="58"/>
      <c r="I2069" s="58"/>
      <c r="J2069" s="58"/>
      <c r="K2069" s="58"/>
      <c r="L2069" s="58"/>
      <c r="M2069" s="59"/>
      <c r="N2069" s="58"/>
      <c r="O2069" s="59"/>
      <c r="P2069" s="58"/>
      <c r="Q2069" s="59"/>
      <c r="R2069" s="58"/>
    </row>
    <row r="2070">
      <c r="A2070" s="56"/>
      <c r="B2070" s="19"/>
      <c r="C2070" s="19"/>
      <c r="E2070" s="59"/>
      <c r="F2070" s="58"/>
      <c r="G2070" s="59"/>
      <c r="H2070" s="58"/>
      <c r="I2070" s="58"/>
      <c r="J2070" s="58"/>
      <c r="K2070" s="58"/>
      <c r="L2070" s="58"/>
      <c r="M2070" s="59"/>
      <c r="N2070" s="58"/>
      <c r="O2070" s="59"/>
      <c r="P2070" s="58"/>
      <c r="Q2070" s="59"/>
      <c r="R2070" s="58"/>
    </row>
    <row r="2071">
      <c r="A2071" s="56"/>
      <c r="B2071" s="19"/>
      <c r="C2071" s="19"/>
      <c r="E2071" s="59"/>
      <c r="F2071" s="58"/>
      <c r="G2071" s="59"/>
      <c r="H2071" s="58"/>
      <c r="I2071" s="58"/>
      <c r="J2071" s="58"/>
      <c r="K2071" s="58"/>
      <c r="L2071" s="58"/>
      <c r="M2071" s="59"/>
      <c r="N2071" s="58"/>
      <c r="O2071" s="59"/>
      <c r="P2071" s="58"/>
      <c r="Q2071" s="59"/>
      <c r="R2071" s="58"/>
    </row>
    <row r="2072">
      <c r="A2072" s="56"/>
      <c r="B2072" s="19"/>
      <c r="C2072" s="19"/>
      <c r="E2072" s="59"/>
      <c r="F2072" s="58"/>
      <c r="G2072" s="59"/>
      <c r="H2072" s="58"/>
      <c r="I2072" s="58"/>
      <c r="J2072" s="58"/>
      <c r="K2072" s="58"/>
      <c r="L2072" s="58"/>
      <c r="M2072" s="59"/>
      <c r="N2072" s="58"/>
      <c r="O2072" s="59"/>
      <c r="P2072" s="58"/>
      <c r="Q2072" s="59"/>
      <c r="R2072" s="58"/>
    </row>
    <row r="2073">
      <c r="A2073" s="56"/>
      <c r="B2073" s="19"/>
      <c r="C2073" s="19"/>
      <c r="E2073" s="59"/>
      <c r="F2073" s="58"/>
      <c r="G2073" s="59"/>
      <c r="H2073" s="58"/>
      <c r="I2073" s="58"/>
      <c r="J2073" s="58"/>
      <c r="K2073" s="58"/>
      <c r="L2073" s="58"/>
      <c r="M2073" s="59"/>
      <c r="N2073" s="58"/>
      <c r="O2073" s="59"/>
      <c r="P2073" s="58"/>
      <c r="Q2073" s="59"/>
      <c r="R2073" s="58"/>
    </row>
    <row r="2074">
      <c r="A2074" s="56"/>
      <c r="B2074" s="19"/>
      <c r="C2074" s="19"/>
      <c r="E2074" s="59"/>
      <c r="F2074" s="58"/>
      <c r="G2074" s="59"/>
      <c r="H2074" s="58"/>
      <c r="I2074" s="58"/>
      <c r="J2074" s="58"/>
      <c r="K2074" s="58"/>
      <c r="L2074" s="58"/>
      <c r="M2074" s="59"/>
      <c r="N2074" s="58"/>
      <c r="O2074" s="59"/>
      <c r="P2074" s="58"/>
      <c r="Q2074" s="59"/>
      <c r="R2074" s="58"/>
    </row>
    <row r="2075">
      <c r="A2075" s="56"/>
      <c r="B2075" s="19"/>
      <c r="C2075" s="19"/>
      <c r="E2075" s="59"/>
      <c r="F2075" s="58"/>
      <c r="G2075" s="59"/>
      <c r="H2075" s="58"/>
      <c r="I2075" s="58"/>
      <c r="J2075" s="58"/>
      <c r="K2075" s="58"/>
      <c r="L2075" s="58"/>
      <c r="M2075" s="59"/>
      <c r="N2075" s="58"/>
      <c r="O2075" s="59"/>
      <c r="P2075" s="58"/>
      <c r="Q2075" s="59"/>
      <c r="R2075" s="58"/>
    </row>
    <row r="2076">
      <c r="A2076" s="56"/>
      <c r="B2076" s="19"/>
      <c r="C2076" s="19"/>
      <c r="E2076" s="59"/>
      <c r="F2076" s="58"/>
      <c r="G2076" s="59"/>
      <c r="H2076" s="58"/>
      <c r="I2076" s="58"/>
      <c r="J2076" s="58"/>
      <c r="K2076" s="58"/>
      <c r="L2076" s="58"/>
      <c r="M2076" s="59"/>
      <c r="N2076" s="58"/>
      <c r="O2076" s="59"/>
      <c r="P2076" s="58"/>
      <c r="Q2076" s="59"/>
      <c r="R2076" s="58"/>
    </row>
    <row r="2077">
      <c r="A2077" s="56"/>
      <c r="B2077" s="19"/>
      <c r="C2077" s="19"/>
      <c r="E2077" s="59"/>
      <c r="F2077" s="58"/>
      <c r="G2077" s="59"/>
      <c r="H2077" s="58"/>
      <c r="I2077" s="58"/>
      <c r="J2077" s="58"/>
      <c r="K2077" s="58"/>
      <c r="L2077" s="58"/>
      <c r="M2077" s="59"/>
      <c r="N2077" s="58"/>
      <c r="O2077" s="59"/>
      <c r="P2077" s="58"/>
      <c r="Q2077" s="59"/>
      <c r="R2077" s="58"/>
    </row>
    <row r="2078">
      <c r="A2078" s="56"/>
      <c r="B2078" s="19"/>
      <c r="C2078" s="19"/>
      <c r="E2078" s="59"/>
      <c r="F2078" s="58"/>
      <c r="G2078" s="59"/>
      <c r="H2078" s="58"/>
      <c r="I2078" s="58"/>
      <c r="J2078" s="58"/>
      <c r="K2078" s="58"/>
      <c r="L2078" s="58"/>
      <c r="M2078" s="59"/>
      <c r="N2078" s="58"/>
      <c r="O2078" s="59"/>
      <c r="P2078" s="58"/>
      <c r="Q2078" s="59"/>
      <c r="R2078" s="58"/>
    </row>
    <row r="2079">
      <c r="A2079" s="56"/>
      <c r="B2079" s="19"/>
      <c r="C2079" s="19"/>
      <c r="E2079" s="59"/>
      <c r="F2079" s="58"/>
      <c r="G2079" s="59"/>
      <c r="H2079" s="58"/>
      <c r="I2079" s="58"/>
      <c r="J2079" s="58"/>
      <c r="K2079" s="58"/>
      <c r="L2079" s="58"/>
      <c r="M2079" s="59"/>
      <c r="N2079" s="58"/>
      <c r="O2079" s="59"/>
      <c r="P2079" s="58"/>
      <c r="Q2079" s="59"/>
      <c r="R2079" s="58"/>
    </row>
    <row r="2080">
      <c r="A2080" s="56"/>
      <c r="B2080" s="19"/>
      <c r="C2080" s="19"/>
      <c r="E2080" s="59"/>
      <c r="F2080" s="58"/>
      <c r="G2080" s="59"/>
      <c r="H2080" s="58"/>
      <c r="I2080" s="58"/>
      <c r="J2080" s="58"/>
      <c r="K2080" s="58"/>
      <c r="L2080" s="58"/>
      <c r="M2080" s="59"/>
      <c r="N2080" s="58"/>
      <c r="O2080" s="59"/>
      <c r="P2080" s="58"/>
      <c r="Q2080" s="59"/>
      <c r="R2080" s="58"/>
    </row>
    <row r="2081">
      <c r="A2081" s="56"/>
      <c r="B2081" s="19"/>
      <c r="C2081" s="19"/>
      <c r="E2081" s="59"/>
      <c r="F2081" s="58"/>
      <c r="G2081" s="59"/>
      <c r="H2081" s="58"/>
      <c r="I2081" s="58"/>
      <c r="J2081" s="58"/>
      <c r="K2081" s="58"/>
      <c r="L2081" s="58"/>
      <c r="M2081" s="59"/>
      <c r="N2081" s="58"/>
      <c r="O2081" s="59"/>
      <c r="P2081" s="58"/>
      <c r="Q2081" s="59"/>
      <c r="R2081" s="58"/>
    </row>
    <row r="2082">
      <c r="A2082" s="56"/>
      <c r="B2082" s="19"/>
      <c r="C2082" s="19"/>
      <c r="E2082" s="59"/>
      <c r="F2082" s="58"/>
      <c r="G2082" s="59"/>
      <c r="H2082" s="58"/>
      <c r="I2082" s="58"/>
      <c r="J2082" s="58"/>
      <c r="K2082" s="58"/>
      <c r="L2082" s="58"/>
      <c r="M2082" s="59"/>
      <c r="N2082" s="58"/>
      <c r="O2082" s="59"/>
      <c r="P2082" s="58"/>
      <c r="Q2082" s="59"/>
      <c r="R2082" s="58"/>
    </row>
    <row r="2083">
      <c r="A2083" s="56"/>
      <c r="B2083" s="19"/>
      <c r="C2083" s="19"/>
      <c r="E2083" s="59"/>
      <c r="F2083" s="58"/>
      <c r="G2083" s="59"/>
      <c r="H2083" s="58"/>
      <c r="I2083" s="58"/>
      <c r="J2083" s="58"/>
      <c r="K2083" s="58"/>
      <c r="L2083" s="58"/>
      <c r="M2083" s="59"/>
      <c r="N2083" s="58"/>
      <c r="O2083" s="59"/>
      <c r="P2083" s="58"/>
      <c r="Q2083" s="59"/>
      <c r="R2083" s="58"/>
    </row>
    <row r="2084">
      <c r="A2084" s="56"/>
      <c r="B2084" s="19"/>
      <c r="C2084" s="19"/>
      <c r="E2084" s="59"/>
      <c r="F2084" s="58"/>
      <c r="G2084" s="59"/>
      <c r="H2084" s="58"/>
      <c r="I2084" s="58"/>
      <c r="J2084" s="58"/>
      <c r="K2084" s="58"/>
      <c r="L2084" s="58"/>
      <c r="M2084" s="59"/>
      <c r="N2084" s="58"/>
      <c r="O2084" s="59"/>
      <c r="P2084" s="58"/>
      <c r="Q2084" s="59"/>
      <c r="R2084" s="58"/>
    </row>
    <row r="2085">
      <c r="A2085" s="56"/>
      <c r="B2085" s="19"/>
      <c r="C2085" s="19"/>
      <c r="E2085" s="59"/>
      <c r="F2085" s="58"/>
      <c r="G2085" s="59"/>
      <c r="H2085" s="58"/>
      <c r="I2085" s="58"/>
      <c r="J2085" s="58"/>
      <c r="K2085" s="58"/>
      <c r="L2085" s="58"/>
      <c r="M2085" s="59"/>
      <c r="N2085" s="58"/>
      <c r="O2085" s="59"/>
      <c r="P2085" s="58"/>
      <c r="Q2085" s="59"/>
      <c r="R2085" s="58"/>
    </row>
    <row r="2086">
      <c r="A2086" s="56"/>
      <c r="B2086" s="19"/>
      <c r="C2086" s="19"/>
      <c r="E2086" s="59"/>
      <c r="F2086" s="58"/>
      <c r="G2086" s="59"/>
      <c r="H2086" s="58"/>
      <c r="I2086" s="58"/>
      <c r="J2086" s="58"/>
      <c r="K2086" s="58"/>
      <c r="L2086" s="58"/>
      <c r="M2086" s="59"/>
      <c r="N2086" s="58"/>
      <c r="O2086" s="59"/>
      <c r="P2086" s="58"/>
      <c r="Q2086" s="59"/>
      <c r="R2086" s="58"/>
    </row>
    <row r="2087">
      <c r="A2087" s="56"/>
      <c r="B2087" s="19"/>
      <c r="C2087" s="19"/>
      <c r="E2087" s="59"/>
      <c r="F2087" s="58"/>
      <c r="G2087" s="59"/>
      <c r="H2087" s="58"/>
      <c r="I2087" s="58"/>
      <c r="J2087" s="58"/>
      <c r="K2087" s="58"/>
      <c r="L2087" s="58"/>
      <c r="M2087" s="59"/>
      <c r="N2087" s="58"/>
      <c r="O2087" s="59"/>
      <c r="P2087" s="58"/>
      <c r="Q2087" s="59"/>
      <c r="R2087" s="58"/>
    </row>
    <row r="2088">
      <c r="A2088" s="56"/>
      <c r="B2088" s="19"/>
      <c r="C2088" s="19"/>
      <c r="E2088" s="59"/>
      <c r="F2088" s="58"/>
      <c r="G2088" s="59"/>
      <c r="H2088" s="58"/>
      <c r="I2088" s="58"/>
      <c r="J2088" s="58"/>
      <c r="K2088" s="58"/>
      <c r="L2088" s="58"/>
      <c r="M2088" s="59"/>
      <c r="N2088" s="58"/>
      <c r="O2088" s="59"/>
      <c r="P2088" s="58"/>
      <c r="Q2088" s="59"/>
      <c r="R2088" s="58"/>
    </row>
    <row r="2089">
      <c r="A2089" s="56"/>
      <c r="B2089" s="19"/>
      <c r="C2089" s="19"/>
      <c r="E2089" s="59"/>
      <c r="F2089" s="58"/>
      <c r="G2089" s="59"/>
      <c r="H2089" s="58"/>
      <c r="I2089" s="58"/>
      <c r="J2089" s="58"/>
      <c r="K2089" s="58"/>
      <c r="L2089" s="58"/>
      <c r="M2089" s="59"/>
      <c r="N2089" s="58"/>
      <c r="O2089" s="59"/>
      <c r="P2089" s="58"/>
      <c r="Q2089" s="59"/>
      <c r="R2089" s="58"/>
    </row>
    <row r="2090">
      <c r="A2090" s="56"/>
      <c r="B2090" s="19"/>
      <c r="C2090" s="19"/>
      <c r="E2090" s="59"/>
      <c r="F2090" s="58"/>
      <c r="G2090" s="59"/>
      <c r="H2090" s="58"/>
      <c r="I2090" s="58"/>
      <c r="J2090" s="58"/>
      <c r="K2090" s="58"/>
      <c r="L2090" s="58"/>
      <c r="M2090" s="59"/>
      <c r="N2090" s="58"/>
      <c r="O2090" s="59"/>
      <c r="P2090" s="58"/>
      <c r="Q2090" s="59"/>
      <c r="R2090" s="58"/>
    </row>
    <row r="2091">
      <c r="A2091" s="56"/>
      <c r="B2091" s="19"/>
      <c r="C2091" s="19"/>
      <c r="E2091" s="59"/>
      <c r="F2091" s="58"/>
      <c r="G2091" s="59"/>
      <c r="H2091" s="58"/>
      <c r="I2091" s="58"/>
      <c r="J2091" s="58"/>
      <c r="K2091" s="58"/>
      <c r="L2091" s="58"/>
      <c r="M2091" s="59"/>
      <c r="N2091" s="58"/>
      <c r="O2091" s="59"/>
      <c r="P2091" s="58"/>
      <c r="Q2091" s="59"/>
      <c r="R2091" s="58"/>
    </row>
    <row r="2092">
      <c r="A2092" s="56"/>
      <c r="B2092" s="19"/>
      <c r="C2092" s="19"/>
      <c r="E2092" s="59"/>
      <c r="F2092" s="58"/>
      <c r="G2092" s="59"/>
      <c r="H2092" s="58"/>
      <c r="I2092" s="58"/>
      <c r="J2092" s="58"/>
      <c r="K2092" s="58"/>
      <c r="L2092" s="58"/>
      <c r="M2092" s="59"/>
      <c r="N2092" s="58"/>
      <c r="O2092" s="59"/>
      <c r="P2092" s="58"/>
      <c r="Q2092" s="59"/>
      <c r="R2092" s="58"/>
    </row>
    <row r="2093">
      <c r="A2093" s="56"/>
      <c r="B2093" s="19"/>
      <c r="C2093" s="19"/>
      <c r="E2093" s="59"/>
      <c r="F2093" s="58"/>
      <c r="G2093" s="59"/>
      <c r="H2093" s="58"/>
      <c r="I2093" s="58"/>
      <c r="J2093" s="58"/>
      <c r="K2093" s="58"/>
      <c r="L2093" s="58"/>
      <c r="M2093" s="59"/>
      <c r="N2093" s="58"/>
      <c r="O2093" s="59"/>
      <c r="P2093" s="58"/>
      <c r="Q2093" s="59"/>
      <c r="R2093" s="58"/>
    </row>
    <row r="2094">
      <c r="A2094" s="56"/>
      <c r="B2094" s="19"/>
      <c r="C2094" s="19"/>
      <c r="E2094" s="59"/>
      <c r="F2094" s="58"/>
      <c r="G2094" s="59"/>
      <c r="H2094" s="58"/>
      <c r="I2094" s="58"/>
      <c r="J2094" s="58"/>
      <c r="K2094" s="58"/>
      <c r="L2094" s="58"/>
      <c r="M2094" s="59"/>
      <c r="N2094" s="58"/>
      <c r="O2094" s="59"/>
      <c r="P2094" s="58"/>
      <c r="Q2094" s="59"/>
      <c r="R2094" s="58"/>
    </row>
    <row r="2095">
      <c r="A2095" s="56"/>
      <c r="B2095" s="19"/>
      <c r="C2095" s="19"/>
      <c r="E2095" s="59"/>
      <c r="F2095" s="58"/>
      <c r="G2095" s="59"/>
      <c r="H2095" s="58"/>
      <c r="I2095" s="58"/>
      <c r="J2095" s="58"/>
      <c r="K2095" s="58"/>
      <c r="L2095" s="58"/>
      <c r="M2095" s="59"/>
      <c r="N2095" s="58"/>
      <c r="O2095" s="59"/>
      <c r="P2095" s="58"/>
      <c r="Q2095" s="59"/>
      <c r="R2095" s="58"/>
    </row>
    <row r="2096">
      <c r="A2096" s="56"/>
      <c r="B2096" s="19"/>
      <c r="C2096" s="19"/>
      <c r="E2096" s="59"/>
      <c r="F2096" s="58"/>
      <c r="G2096" s="59"/>
      <c r="H2096" s="58"/>
      <c r="I2096" s="58"/>
      <c r="J2096" s="58"/>
      <c r="K2096" s="58"/>
      <c r="L2096" s="58"/>
      <c r="M2096" s="59"/>
      <c r="N2096" s="58"/>
      <c r="O2096" s="59"/>
      <c r="P2096" s="58"/>
      <c r="Q2096" s="59"/>
      <c r="R2096" s="58"/>
    </row>
    <row r="2097">
      <c r="A2097" s="56"/>
      <c r="B2097" s="19"/>
      <c r="C2097" s="19"/>
      <c r="E2097" s="59"/>
      <c r="F2097" s="58"/>
      <c r="G2097" s="59"/>
      <c r="H2097" s="58"/>
      <c r="I2097" s="58"/>
      <c r="J2097" s="58"/>
      <c r="K2097" s="58"/>
      <c r="L2097" s="58"/>
      <c r="M2097" s="59"/>
      <c r="N2097" s="58"/>
      <c r="O2097" s="59"/>
      <c r="P2097" s="58"/>
      <c r="Q2097" s="59"/>
      <c r="R2097" s="58"/>
    </row>
    <row r="2098">
      <c r="A2098" s="56"/>
      <c r="B2098" s="19"/>
      <c r="C2098" s="19"/>
      <c r="E2098" s="59"/>
      <c r="F2098" s="58"/>
      <c r="G2098" s="59"/>
      <c r="H2098" s="58"/>
      <c r="I2098" s="58"/>
      <c r="J2098" s="58"/>
      <c r="K2098" s="58"/>
      <c r="L2098" s="58"/>
      <c r="M2098" s="59"/>
      <c r="N2098" s="58"/>
      <c r="O2098" s="59"/>
      <c r="P2098" s="58"/>
      <c r="Q2098" s="59"/>
      <c r="R2098" s="58"/>
    </row>
    <row r="2099">
      <c r="A2099" s="56"/>
      <c r="B2099" s="19"/>
      <c r="C2099" s="19"/>
      <c r="E2099" s="59"/>
      <c r="F2099" s="58"/>
      <c r="G2099" s="59"/>
      <c r="H2099" s="58"/>
      <c r="I2099" s="58"/>
      <c r="J2099" s="58"/>
      <c r="K2099" s="58"/>
      <c r="L2099" s="58"/>
      <c r="M2099" s="59"/>
      <c r="N2099" s="58"/>
      <c r="O2099" s="59"/>
      <c r="P2099" s="58"/>
      <c r="Q2099" s="59"/>
      <c r="R2099" s="58"/>
    </row>
    <row r="2100">
      <c r="A2100" s="56"/>
      <c r="B2100" s="19"/>
      <c r="C2100" s="19"/>
      <c r="E2100" s="59"/>
      <c r="F2100" s="58"/>
      <c r="G2100" s="59"/>
      <c r="H2100" s="58"/>
      <c r="I2100" s="58"/>
      <c r="J2100" s="58"/>
      <c r="K2100" s="58"/>
      <c r="L2100" s="58"/>
      <c r="M2100" s="59"/>
      <c r="N2100" s="58"/>
      <c r="O2100" s="59"/>
      <c r="P2100" s="58"/>
      <c r="Q2100" s="59"/>
      <c r="R2100" s="58"/>
    </row>
    <row r="2101">
      <c r="A2101" s="56"/>
      <c r="B2101" s="19"/>
      <c r="C2101" s="19"/>
      <c r="E2101" s="59"/>
      <c r="F2101" s="58"/>
      <c r="G2101" s="59"/>
      <c r="H2101" s="58"/>
      <c r="I2101" s="58"/>
      <c r="J2101" s="58"/>
      <c r="K2101" s="58"/>
      <c r="L2101" s="58"/>
      <c r="M2101" s="59"/>
      <c r="N2101" s="58"/>
      <c r="O2101" s="59"/>
      <c r="P2101" s="58"/>
      <c r="Q2101" s="59"/>
      <c r="R2101" s="58"/>
    </row>
    <row r="2102">
      <c r="A2102" s="56"/>
      <c r="B2102" s="19"/>
      <c r="C2102" s="19"/>
      <c r="E2102" s="59"/>
      <c r="F2102" s="58"/>
      <c r="G2102" s="59"/>
      <c r="H2102" s="58"/>
      <c r="I2102" s="58"/>
      <c r="J2102" s="58"/>
      <c r="K2102" s="58"/>
      <c r="L2102" s="58"/>
      <c r="M2102" s="59"/>
      <c r="N2102" s="58"/>
      <c r="O2102" s="59"/>
      <c r="P2102" s="58"/>
      <c r="Q2102" s="59"/>
      <c r="R2102" s="58"/>
    </row>
    <row r="2103">
      <c r="A2103" s="56"/>
      <c r="B2103" s="19"/>
      <c r="C2103" s="19"/>
      <c r="E2103" s="59"/>
      <c r="F2103" s="58"/>
      <c r="G2103" s="59"/>
      <c r="H2103" s="58"/>
      <c r="I2103" s="58"/>
      <c r="J2103" s="58"/>
      <c r="K2103" s="58"/>
      <c r="L2103" s="58"/>
      <c r="M2103" s="59"/>
      <c r="N2103" s="58"/>
      <c r="O2103" s="59"/>
      <c r="P2103" s="58"/>
      <c r="Q2103" s="59"/>
      <c r="R2103" s="58"/>
    </row>
    <row r="2104">
      <c r="A2104" s="56"/>
      <c r="B2104" s="19"/>
      <c r="C2104" s="19"/>
      <c r="E2104" s="59"/>
      <c r="F2104" s="58"/>
      <c r="G2104" s="59"/>
      <c r="H2104" s="58"/>
      <c r="I2104" s="58"/>
      <c r="J2104" s="58"/>
      <c r="K2104" s="58"/>
      <c r="L2104" s="58"/>
      <c r="M2104" s="59"/>
      <c r="N2104" s="58"/>
      <c r="O2104" s="59"/>
      <c r="P2104" s="58"/>
      <c r="Q2104" s="59"/>
      <c r="R2104" s="58"/>
    </row>
    <row r="2105">
      <c r="A2105" s="56"/>
      <c r="B2105" s="19"/>
      <c r="C2105" s="19"/>
      <c r="E2105" s="59"/>
      <c r="F2105" s="58"/>
      <c r="G2105" s="59"/>
      <c r="H2105" s="58"/>
      <c r="I2105" s="58"/>
      <c r="J2105" s="58"/>
      <c r="K2105" s="58"/>
      <c r="L2105" s="58"/>
      <c r="M2105" s="59"/>
      <c r="N2105" s="58"/>
      <c r="O2105" s="59"/>
      <c r="P2105" s="58"/>
      <c r="Q2105" s="59"/>
      <c r="R2105" s="58"/>
    </row>
    <row r="2106">
      <c r="A2106" s="56"/>
      <c r="B2106" s="19"/>
      <c r="C2106" s="19"/>
      <c r="E2106" s="59"/>
      <c r="F2106" s="58"/>
      <c r="G2106" s="59"/>
      <c r="H2106" s="58"/>
      <c r="I2106" s="58"/>
      <c r="J2106" s="58"/>
      <c r="K2106" s="58"/>
      <c r="L2106" s="58"/>
      <c r="M2106" s="59"/>
      <c r="N2106" s="58"/>
      <c r="O2106" s="59"/>
      <c r="P2106" s="58"/>
      <c r="Q2106" s="59"/>
      <c r="R2106" s="58"/>
    </row>
    <row r="2107">
      <c r="A2107" s="56"/>
      <c r="B2107" s="19"/>
      <c r="C2107" s="19"/>
      <c r="E2107" s="59"/>
      <c r="F2107" s="58"/>
      <c r="G2107" s="59"/>
      <c r="H2107" s="58"/>
      <c r="I2107" s="58"/>
      <c r="J2107" s="58"/>
      <c r="K2107" s="58"/>
      <c r="L2107" s="58"/>
      <c r="M2107" s="59"/>
      <c r="N2107" s="58"/>
      <c r="O2107" s="59"/>
      <c r="P2107" s="58"/>
      <c r="Q2107" s="59"/>
      <c r="R2107" s="58"/>
    </row>
    <row r="2108">
      <c r="A2108" s="56"/>
      <c r="B2108" s="19"/>
      <c r="C2108" s="19"/>
      <c r="E2108" s="59"/>
      <c r="F2108" s="58"/>
      <c r="G2108" s="59"/>
      <c r="H2108" s="58"/>
      <c r="I2108" s="58"/>
      <c r="J2108" s="58"/>
      <c r="K2108" s="58"/>
      <c r="L2108" s="58"/>
      <c r="M2108" s="59"/>
      <c r="N2108" s="58"/>
      <c r="O2108" s="59"/>
      <c r="P2108" s="58"/>
      <c r="Q2108" s="59"/>
      <c r="R2108" s="58"/>
    </row>
    <row r="2109">
      <c r="A2109" s="56"/>
      <c r="B2109" s="19"/>
      <c r="C2109" s="19"/>
      <c r="E2109" s="59"/>
      <c r="F2109" s="58"/>
      <c r="G2109" s="59"/>
      <c r="H2109" s="58"/>
      <c r="I2109" s="58"/>
      <c r="J2109" s="58"/>
      <c r="K2109" s="58"/>
      <c r="L2109" s="58"/>
      <c r="M2109" s="59"/>
      <c r="N2109" s="58"/>
      <c r="O2109" s="59"/>
      <c r="P2109" s="58"/>
      <c r="Q2109" s="59"/>
      <c r="R2109" s="58"/>
    </row>
    <row r="2110">
      <c r="A2110" s="56"/>
      <c r="B2110" s="19"/>
      <c r="C2110" s="19"/>
      <c r="E2110" s="59"/>
      <c r="F2110" s="58"/>
      <c r="G2110" s="59"/>
      <c r="H2110" s="58"/>
      <c r="I2110" s="58"/>
      <c r="J2110" s="58"/>
      <c r="K2110" s="58"/>
      <c r="L2110" s="58"/>
      <c r="M2110" s="59"/>
      <c r="N2110" s="58"/>
      <c r="O2110" s="59"/>
      <c r="P2110" s="58"/>
      <c r="Q2110" s="59"/>
      <c r="R2110" s="58"/>
    </row>
    <row r="2111">
      <c r="A2111" s="56"/>
      <c r="B2111" s="19"/>
      <c r="C2111" s="19"/>
      <c r="E2111" s="59"/>
      <c r="F2111" s="58"/>
      <c r="G2111" s="59"/>
      <c r="H2111" s="58"/>
      <c r="I2111" s="58"/>
      <c r="J2111" s="58"/>
      <c r="K2111" s="58"/>
      <c r="L2111" s="58"/>
      <c r="M2111" s="59"/>
      <c r="N2111" s="58"/>
      <c r="O2111" s="59"/>
      <c r="P2111" s="58"/>
      <c r="Q2111" s="59"/>
      <c r="R2111" s="58"/>
    </row>
    <row r="2112">
      <c r="A2112" s="56"/>
      <c r="B2112" s="19"/>
      <c r="C2112" s="19"/>
      <c r="E2112" s="59"/>
      <c r="F2112" s="58"/>
      <c r="G2112" s="59"/>
      <c r="H2112" s="58"/>
      <c r="I2112" s="58"/>
      <c r="J2112" s="58"/>
      <c r="K2112" s="58"/>
      <c r="L2112" s="58"/>
      <c r="M2112" s="59"/>
      <c r="N2112" s="58"/>
      <c r="O2112" s="59"/>
      <c r="P2112" s="58"/>
      <c r="Q2112" s="59"/>
      <c r="R2112" s="58"/>
    </row>
    <row r="2113">
      <c r="A2113" s="56"/>
      <c r="B2113" s="19"/>
      <c r="C2113" s="19"/>
      <c r="E2113" s="59"/>
      <c r="F2113" s="58"/>
      <c r="G2113" s="59"/>
      <c r="H2113" s="58"/>
      <c r="I2113" s="58"/>
      <c r="J2113" s="58"/>
      <c r="K2113" s="58"/>
      <c r="L2113" s="58"/>
      <c r="M2113" s="59"/>
      <c r="N2113" s="58"/>
      <c r="O2113" s="59"/>
      <c r="P2113" s="58"/>
      <c r="Q2113" s="59"/>
      <c r="R2113" s="58"/>
    </row>
    <row r="2114">
      <c r="A2114" s="56"/>
      <c r="B2114" s="19"/>
      <c r="C2114" s="19"/>
      <c r="E2114" s="59"/>
      <c r="F2114" s="58"/>
      <c r="G2114" s="59"/>
      <c r="H2114" s="58"/>
      <c r="I2114" s="58"/>
      <c r="J2114" s="58"/>
      <c r="K2114" s="58"/>
      <c r="L2114" s="58"/>
      <c r="M2114" s="59"/>
      <c r="N2114" s="58"/>
      <c r="O2114" s="59"/>
      <c r="P2114" s="58"/>
      <c r="Q2114" s="59"/>
      <c r="R2114" s="58"/>
    </row>
    <row r="2115">
      <c r="A2115" s="56"/>
      <c r="B2115" s="19"/>
      <c r="C2115" s="19"/>
      <c r="E2115" s="59"/>
      <c r="F2115" s="58"/>
      <c r="G2115" s="59"/>
      <c r="H2115" s="58"/>
      <c r="I2115" s="58"/>
      <c r="J2115" s="58"/>
      <c r="K2115" s="58"/>
      <c r="L2115" s="58"/>
      <c r="M2115" s="59"/>
      <c r="N2115" s="58"/>
      <c r="O2115" s="59"/>
      <c r="P2115" s="58"/>
      <c r="Q2115" s="59"/>
      <c r="R2115" s="58"/>
    </row>
    <row r="2116">
      <c r="A2116" s="56"/>
      <c r="B2116" s="19"/>
      <c r="C2116" s="19"/>
      <c r="E2116" s="59"/>
      <c r="F2116" s="58"/>
      <c r="G2116" s="59"/>
      <c r="H2116" s="58"/>
      <c r="I2116" s="58"/>
      <c r="J2116" s="58"/>
      <c r="K2116" s="58"/>
      <c r="L2116" s="58"/>
      <c r="M2116" s="59"/>
      <c r="N2116" s="58"/>
      <c r="O2116" s="59"/>
      <c r="P2116" s="58"/>
      <c r="Q2116" s="59"/>
      <c r="R2116" s="58"/>
    </row>
    <row r="2117">
      <c r="A2117" s="56"/>
      <c r="B2117" s="19"/>
      <c r="C2117" s="19"/>
      <c r="E2117" s="59"/>
      <c r="F2117" s="58"/>
      <c r="G2117" s="59"/>
      <c r="H2117" s="58"/>
      <c r="I2117" s="58"/>
      <c r="J2117" s="58"/>
      <c r="K2117" s="58"/>
      <c r="L2117" s="58"/>
      <c r="M2117" s="59"/>
      <c r="N2117" s="58"/>
      <c r="O2117" s="59"/>
      <c r="P2117" s="58"/>
      <c r="Q2117" s="59"/>
      <c r="R2117" s="58"/>
    </row>
    <row r="2118">
      <c r="A2118" s="56"/>
      <c r="B2118" s="19"/>
      <c r="C2118" s="19"/>
      <c r="E2118" s="59"/>
      <c r="F2118" s="58"/>
      <c r="G2118" s="59"/>
      <c r="H2118" s="58"/>
      <c r="I2118" s="58"/>
      <c r="J2118" s="58"/>
      <c r="K2118" s="58"/>
      <c r="L2118" s="58"/>
      <c r="M2118" s="59"/>
      <c r="N2118" s="58"/>
      <c r="O2118" s="59"/>
      <c r="P2118" s="58"/>
      <c r="Q2118" s="59"/>
      <c r="R2118" s="58"/>
    </row>
    <row r="2119">
      <c r="A2119" s="56"/>
      <c r="B2119" s="19"/>
      <c r="C2119" s="19"/>
      <c r="E2119" s="59"/>
      <c r="F2119" s="58"/>
      <c r="G2119" s="59"/>
      <c r="H2119" s="58"/>
      <c r="I2119" s="58"/>
      <c r="J2119" s="58"/>
      <c r="K2119" s="58"/>
      <c r="L2119" s="58"/>
      <c r="M2119" s="59"/>
      <c r="N2119" s="58"/>
      <c r="O2119" s="59"/>
      <c r="P2119" s="58"/>
      <c r="Q2119" s="59"/>
      <c r="R2119" s="58"/>
    </row>
    <row r="2120">
      <c r="A2120" s="56"/>
      <c r="B2120" s="19"/>
      <c r="C2120" s="19"/>
      <c r="E2120" s="59"/>
      <c r="F2120" s="58"/>
      <c r="G2120" s="59"/>
      <c r="H2120" s="58"/>
      <c r="I2120" s="58"/>
      <c r="J2120" s="58"/>
      <c r="K2120" s="58"/>
      <c r="L2120" s="58"/>
      <c r="M2120" s="59"/>
      <c r="N2120" s="58"/>
      <c r="O2120" s="59"/>
      <c r="P2120" s="58"/>
      <c r="Q2120" s="59"/>
      <c r="R2120" s="58"/>
    </row>
    <row r="2121">
      <c r="A2121" s="56"/>
      <c r="B2121" s="19"/>
      <c r="C2121" s="19"/>
      <c r="E2121" s="59"/>
      <c r="F2121" s="58"/>
      <c r="G2121" s="59"/>
      <c r="H2121" s="58"/>
      <c r="I2121" s="58"/>
      <c r="J2121" s="58"/>
      <c r="K2121" s="58"/>
      <c r="L2121" s="58"/>
      <c r="M2121" s="59"/>
      <c r="N2121" s="58"/>
      <c r="O2121" s="59"/>
      <c r="P2121" s="58"/>
      <c r="Q2121" s="59"/>
      <c r="R2121" s="58"/>
    </row>
    <row r="2122">
      <c r="A2122" s="56"/>
      <c r="B2122" s="19"/>
      <c r="C2122" s="19"/>
      <c r="E2122" s="59"/>
      <c r="F2122" s="58"/>
      <c r="G2122" s="59"/>
      <c r="H2122" s="58"/>
      <c r="I2122" s="58"/>
      <c r="J2122" s="58"/>
      <c r="K2122" s="58"/>
      <c r="L2122" s="58"/>
      <c r="M2122" s="59"/>
      <c r="N2122" s="58"/>
      <c r="O2122" s="59"/>
      <c r="P2122" s="58"/>
      <c r="Q2122" s="59"/>
      <c r="R2122" s="58"/>
    </row>
    <row r="2123">
      <c r="A2123" s="56"/>
      <c r="B2123" s="19"/>
      <c r="C2123" s="19"/>
      <c r="E2123" s="59"/>
      <c r="F2123" s="58"/>
      <c r="G2123" s="59"/>
      <c r="H2123" s="58"/>
      <c r="I2123" s="58"/>
      <c r="J2123" s="58"/>
      <c r="K2123" s="58"/>
      <c r="L2123" s="58"/>
      <c r="M2123" s="59"/>
      <c r="N2123" s="58"/>
      <c r="O2123" s="59"/>
      <c r="P2123" s="58"/>
      <c r="Q2123" s="59"/>
      <c r="R2123" s="58"/>
    </row>
    <row r="2124">
      <c r="A2124" s="56"/>
      <c r="B2124" s="19"/>
      <c r="C2124" s="19"/>
      <c r="E2124" s="59"/>
      <c r="F2124" s="58"/>
      <c r="G2124" s="59"/>
      <c r="H2124" s="58"/>
      <c r="I2124" s="58"/>
      <c r="J2124" s="58"/>
      <c r="K2124" s="58"/>
      <c r="L2124" s="58"/>
      <c r="M2124" s="59"/>
      <c r="N2124" s="58"/>
      <c r="O2124" s="59"/>
      <c r="P2124" s="58"/>
      <c r="Q2124" s="59"/>
      <c r="R2124" s="58"/>
    </row>
    <row r="2125">
      <c r="A2125" s="56"/>
      <c r="B2125" s="19"/>
      <c r="C2125" s="19"/>
      <c r="E2125" s="59"/>
      <c r="F2125" s="58"/>
      <c r="G2125" s="59"/>
      <c r="H2125" s="58"/>
      <c r="I2125" s="58"/>
      <c r="J2125" s="58"/>
      <c r="K2125" s="58"/>
      <c r="L2125" s="58"/>
      <c r="M2125" s="59"/>
      <c r="N2125" s="58"/>
      <c r="O2125" s="59"/>
      <c r="P2125" s="58"/>
      <c r="Q2125" s="59"/>
      <c r="R2125" s="58"/>
    </row>
    <row r="2126">
      <c r="A2126" s="56"/>
      <c r="B2126" s="19"/>
      <c r="C2126" s="19"/>
      <c r="E2126" s="59"/>
      <c r="F2126" s="58"/>
      <c r="G2126" s="59"/>
      <c r="H2126" s="58"/>
      <c r="I2126" s="58"/>
      <c r="J2126" s="58"/>
      <c r="K2126" s="58"/>
      <c r="L2126" s="58"/>
      <c r="M2126" s="59"/>
      <c r="N2126" s="58"/>
      <c r="O2126" s="59"/>
      <c r="P2126" s="58"/>
      <c r="Q2126" s="59"/>
      <c r="R2126" s="58"/>
    </row>
    <row r="2127">
      <c r="A2127" s="56"/>
      <c r="B2127" s="19"/>
      <c r="C2127" s="19"/>
      <c r="E2127" s="59"/>
      <c r="F2127" s="58"/>
      <c r="G2127" s="59"/>
      <c r="H2127" s="58"/>
      <c r="I2127" s="58"/>
      <c r="J2127" s="58"/>
      <c r="K2127" s="58"/>
      <c r="L2127" s="58"/>
      <c r="M2127" s="59"/>
      <c r="N2127" s="58"/>
      <c r="O2127" s="59"/>
      <c r="P2127" s="58"/>
      <c r="Q2127" s="59"/>
      <c r="R2127" s="58"/>
    </row>
    <row r="2128">
      <c r="A2128" s="56"/>
      <c r="B2128" s="19"/>
      <c r="C2128" s="19"/>
      <c r="E2128" s="59"/>
      <c r="F2128" s="58"/>
      <c r="G2128" s="59"/>
      <c r="H2128" s="58"/>
      <c r="I2128" s="58"/>
      <c r="J2128" s="58"/>
      <c r="K2128" s="58"/>
      <c r="L2128" s="58"/>
      <c r="M2128" s="59"/>
      <c r="N2128" s="58"/>
      <c r="O2128" s="59"/>
      <c r="P2128" s="58"/>
      <c r="Q2128" s="59"/>
      <c r="R2128" s="58"/>
    </row>
    <row r="2129">
      <c r="A2129" s="56"/>
      <c r="B2129" s="19"/>
      <c r="C2129" s="19"/>
      <c r="E2129" s="59"/>
      <c r="F2129" s="58"/>
      <c r="G2129" s="59"/>
      <c r="H2129" s="58"/>
      <c r="I2129" s="58"/>
      <c r="J2129" s="58"/>
      <c r="K2129" s="58"/>
      <c r="L2129" s="58"/>
      <c r="M2129" s="59"/>
      <c r="N2129" s="58"/>
      <c r="O2129" s="59"/>
      <c r="P2129" s="58"/>
      <c r="Q2129" s="59"/>
      <c r="R2129" s="58"/>
    </row>
    <row r="2130">
      <c r="A2130" s="56"/>
      <c r="B2130" s="19"/>
      <c r="C2130" s="19"/>
      <c r="E2130" s="59"/>
      <c r="F2130" s="58"/>
      <c r="G2130" s="59"/>
      <c r="H2130" s="58"/>
      <c r="I2130" s="58"/>
      <c r="J2130" s="58"/>
      <c r="K2130" s="58"/>
      <c r="L2130" s="58"/>
      <c r="M2130" s="59"/>
      <c r="N2130" s="58"/>
      <c r="O2130" s="59"/>
      <c r="P2130" s="58"/>
      <c r="Q2130" s="59"/>
      <c r="R2130" s="58"/>
    </row>
    <row r="2131">
      <c r="A2131" s="56"/>
      <c r="B2131" s="19"/>
      <c r="C2131" s="19"/>
      <c r="E2131" s="59"/>
      <c r="F2131" s="58"/>
      <c r="G2131" s="59"/>
      <c r="H2131" s="58"/>
      <c r="I2131" s="58"/>
      <c r="J2131" s="58"/>
      <c r="K2131" s="58"/>
      <c r="L2131" s="58"/>
      <c r="M2131" s="59"/>
      <c r="N2131" s="58"/>
      <c r="O2131" s="59"/>
      <c r="P2131" s="58"/>
      <c r="Q2131" s="59"/>
      <c r="R2131" s="58"/>
    </row>
    <row r="2132">
      <c r="A2132" s="56"/>
      <c r="B2132" s="19"/>
      <c r="C2132" s="19"/>
      <c r="E2132" s="59"/>
      <c r="F2132" s="58"/>
      <c r="G2132" s="59"/>
      <c r="H2132" s="58"/>
      <c r="I2132" s="58"/>
      <c r="J2132" s="58"/>
      <c r="K2132" s="58"/>
      <c r="L2132" s="58"/>
      <c r="M2132" s="59"/>
      <c r="N2132" s="58"/>
      <c r="O2132" s="59"/>
      <c r="P2132" s="58"/>
      <c r="Q2132" s="59"/>
      <c r="R2132" s="58"/>
    </row>
    <row r="2133">
      <c r="A2133" s="56"/>
      <c r="B2133" s="19"/>
      <c r="C2133" s="19"/>
      <c r="E2133" s="59"/>
      <c r="F2133" s="58"/>
      <c r="G2133" s="59"/>
      <c r="H2133" s="58"/>
      <c r="I2133" s="58"/>
      <c r="J2133" s="58"/>
      <c r="K2133" s="58"/>
      <c r="L2133" s="58"/>
      <c r="M2133" s="59"/>
      <c r="N2133" s="58"/>
      <c r="O2133" s="59"/>
      <c r="P2133" s="58"/>
      <c r="Q2133" s="59"/>
      <c r="R2133" s="58"/>
    </row>
    <row r="2134">
      <c r="A2134" s="56"/>
      <c r="B2134" s="19"/>
      <c r="C2134" s="19"/>
      <c r="E2134" s="59"/>
      <c r="F2134" s="58"/>
      <c r="G2134" s="59"/>
      <c r="H2134" s="58"/>
      <c r="I2134" s="58"/>
      <c r="J2134" s="58"/>
      <c r="K2134" s="58"/>
      <c r="L2134" s="58"/>
      <c r="M2134" s="59"/>
      <c r="N2134" s="58"/>
      <c r="O2134" s="59"/>
      <c r="P2134" s="58"/>
      <c r="Q2134" s="59"/>
      <c r="R2134" s="58"/>
    </row>
    <row r="2135">
      <c r="A2135" s="56"/>
      <c r="B2135" s="19"/>
      <c r="C2135" s="19"/>
      <c r="E2135" s="59"/>
      <c r="F2135" s="58"/>
      <c r="G2135" s="59"/>
      <c r="H2135" s="58"/>
      <c r="I2135" s="58"/>
      <c r="J2135" s="58"/>
      <c r="K2135" s="58"/>
      <c r="L2135" s="58"/>
      <c r="M2135" s="59"/>
      <c r="N2135" s="58"/>
      <c r="O2135" s="59"/>
      <c r="P2135" s="58"/>
      <c r="Q2135" s="59"/>
      <c r="R2135" s="58"/>
    </row>
    <row r="2136">
      <c r="A2136" s="56"/>
      <c r="B2136" s="19"/>
      <c r="C2136" s="19"/>
      <c r="E2136" s="59"/>
      <c r="F2136" s="58"/>
      <c r="G2136" s="59"/>
      <c r="H2136" s="58"/>
      <c r="I2136" s="58"/>
      <c r="J2136" s="58"/>
      <c r="K2136" s="58"/>
      <c r="L2136" s="58"/>
      <c r="M2136" s="59"/>
      <c r="N2136" s="58"/>
      <c r="O2136" s="59"/>
      <c r="P2136" s="58"/>
      <c r="Q2136" s="59"/>
      <c r="R2136" s="58"/>
    </row>
    <row r="2137">
      <c r="A2137" s="56"/>
      <c r="B2137" s="19"/>
      <c r="C2137" s="19"/>
      <c r="E2137" s="59"/>
      <c r="F2137" s="58"/>
      <c r="G2137" s="59"/>
      <c r="H2137" s="58"/>
      <c r="I2137" s="58"/>
      <c r="J2137" s="58"/>
      <c r="K2137" s="58"/>
      <c r="L2137" s="58"/>
      <c r="M2137" s="59"/>
      <c r="N2137" s="58"/>
      <c r="O2137" s="59"/>
      <c r="P2137" s="58"/>
      <c r="Q2137" s="59"/>
      <c r="R2137" s="58"/>
    </row>
    <row r="2138">
      <c r="A2138" s="56"/>
      <c r="B2138" s="19"/>
      <c r="C2138" s="19"/>
      <c r="E2138" s="59"/>
      <c r="F2138" s="58"/>
      <c r="G2138" s="59"/>
      <c r="H2138" s="58"/>
      <c r="I2138" s="58"/>
      <c r="J2138" s="58"/>
      <c r="K2138" s="58"/>
      <c r="L2138" s="58"/>
      <c r="M2138" s="59"/>
      <c r="N2138" s="58"/>
      <c r="O2138" s="59"/>
      <c r="P2138" s="58"/>
      <c r="Q2138" s="59"/>
      <c r="R2138" s="58"/>
    </row>
    <row r="2139">
      <c r="A2139" s="56"/>
      <c r="B2139" s="19"/>
      <c r="C2139" s="19"/>
      <c r="E2139" s="59"/>
      <c r="F2139" s="58"/>
      <c r="G2139" s="59"/>
      <c r="H2139" s="58"/>
      <c r="I2139" s="58"/>
      <c r="J2139" s="58"/>
      <c r="K2139" s="58"/>
      <c r="L2139" s="58"/>
      <c r="M2139" s="59"/>
      <c r="N2139" s="58"/>
      <c r="O2139" s="59"/>
      <c r="P2139" s="58"/>
      <c r="Q2139" s="59"/>
      <c r="R2139" s="58"/>
    </row>
    <row r="2140">
      <c r="A2140" s="56"/>
      <c r="B2140" s="19"/>
      <c r="C2140" s="19"/>
      <c r="E2140" s="59"/>
      <c r="F2140" s="58"/>
      <c r="G2140" s="59"/>
      <c r="H2140" s="58"/>
      <c r="I2140" s="58"/>
      <c r="J2140" s="58"/>
      <c r="K2140" s="58"/>
      <c r="L2140" s="58"/>
      <c r="M2140" s="59"/>
      <c r="N2140" s="58"/>
      <c r="O2140" s="59"/>
      <c r="P2140" s="58"/>
      <c r="Q2140" s="59"/>
      <c r="R2140" s="58"/>
    </row>
    <row r="2141">
      <c r="A2141" s="56"/>
      <c r="B2141" s="19"/>
      <c r="C2141" s="19"/>
      <c r="E2141" s="59"/>
      <c r="F2141" s="58"/>
      <c r="G2141" s="59"/>
      <c r="H2141" s="58"/>
      <c r="I2141" s="58"/>
      <c r="J2141" s="58"/>
      <c r="K2141" s="58"/>
      <c r="L2141" s="58"/>
      <c r="M2141" s="59"/>
      <c r="N2141" s="58"/>
      <c r="O2141" s="59"/>
      <c r="P2141" s="58"/>
      <c r="Q2141" s="59"/>
      <c r="R2141" s="58"/>
    </row>
    <row r="2142">
      <c r="A2142" s="56"/>
      <c r="B2142" s="19"/>
      <c r="C2142" s="19"/>
      <c r="E2142" s="59"/>
      <c r="F2142" s="58"/>
      <c r="G2142" s="59"/>
      <c r="H2142" s="58"/>
      <c r="I2142" s="58"/>
      <c r="J2142" s="58"/>
      <c r="K2142" s="58"/>
      <c r="L2142" s="58"/>
      <c r="M2142" s="59"/>
      <c r="N2142" s="58"/>
      <c r="O2142" s="59"/>
      <c r="P2142" s="58"/>
      <c r="Q2142" s="59"/>
      <c r="R2142" s="58"/>
    </row>
    <row r="2143">
      <c r="A2143" s="56"/>
      <c r="B2143" s="19"/>
      <c r="C2143" s="19"/>
      <c r="E2143" s="59"/>
      <c r="F2143" s="58"/>
      <c r="G2143" s="59"/>
      <c r="H2143" s="58"/>
      <c r="I2143" s="58"/>
      <c r="J2143" s="58"/>
      <c r="K2143" s="58"/>
      <c r="L2143" s="58"/>
      <c r="M2143" s="59"/>
      <c r="N2143" s="58"/>
      <c r="O2143" s="59"/>
      <c r="P2143" s="58"/>
      <c r="Q2143" s="59"/>
      <c r="R2143" s="58"/>
    </row>
    <row r="2144">
      <c r="A2144" s="56"/>
      <c r="B2144" s="19"/>
      <c r="C2144" s="19"/>
      <c r="E2144" s="59"/>
      <c r="F2144" s="58"/>
      <c r="G2144" s="59"/>
      <c r="H2144" s="58"/>
      <c r="I2144" s="58"/>
      <c r="J2144" s="58"/>
      <c r="K2144" s="58"/>
      <c r="L2144" s="58"/>
      <c r="M2144" s="59"/>
      <c r="N2144" s="58"/>
      <c r="O2144" s="59"/>
      <c r="P2144" s="58"/>
      <c r="Q2144" s="59"/>
      <c r="R2144" s="58"/>
    </row>
    <row r="2145">
      <c r="A2145" s="56"/>
      <c r="B2145" s="19"/>
      <c r="C2145" s="19"/>
      <c r="E2145" s="59"/>
      <c r="F2145" s="58"/>
      <c r="G2145" s="59"/>
      <c r="H2145" s="58"/>
      <c r="I2145" s="58"/>
      <c r="J2145" s="58"/>
      <c r="K2145" s="58"/>
      <c r="L2145" s="58"/>
      <c r="M2145" s="59"/>
      <c r="N2145" s="58"/>
      <c r="O2145" s="59"/>
      <c r="P2145" s="58"/>
      <c r="Q2145" s="59"/>
      <c r="R2145" s="58"/>
    </row>
    <row r="2146">
      <c r="A2146" s="56"/>
      <c r="B2146" s="19"/>
      <c r="C2146" s="19"/>
      <c r="E2146" s="59"/>
      <c r="F2146" s="58"/>
      <c r="G2146" s="59"/>
      <c r="H2146" s="58"/>
      <c r="I2146" s="58"/>
      <c r="J2146" s="58"/>
      <c r="K2146" s="58"/>
      <c r="L2146" s="58"/>
      <c r="M2146" s="59"/>
      <c r="N2146" s="58"/>
      <c r="O2146" s="59"/>
      <c r="P2146" s="58"/>
      <c r="Q2146" s="59"/>
      <c r="R2146" s="58"/>
    </row>
    <row r="2147">
      <c r="A2147" s="56"/>
      <c r="B2147" s="19"/>
      <c r="C2147" s="19"/>
      <c r="E2147" s="59"/>
      <c r="F2147" s="58"/>
      <c r="G2147" s="59"/>
      <c r="H2147" s="58"/>
      <c r="I2147" s="58"/>
      <c r="J2147" s="58"/>
      <c r="K2147" s="58"/>
      <c r="L2147" s="58"/>
      <c r="M2147" s="59"/>
      <c r="N2147" s="58"/>
      <c r="O2147" s="59"/>
      <c r="P2147" s="58"/>
      <c r="Q2147" s="59"/>
      <c r="R2147" s="58"/>
    </row>
    <row r="2148">
      <c r="A2148" s="56"/>
      <c r="B2148" s="19"/>
      <c r="C2148" s="19"/>
      <c r="E2148" s="59"/>
      <c r="F2148" s="58"/>
      <c r="G2148" s="59"/>
      <c r="H2148" s="58"/>
      <c r="I2148" s="58"/>
      <c r="J2148" s="58"/>
      <c r="K2148" s="58"/>
      <c r="L2148" s="58"/>
      <c r="M2148" s="59"/>
      <c r="N2148" s="58"/>
      <c r="O2148" s="59"/>
      <c r="P2148" s="58"/>
      <c r="Q2148" s="59"/>
      <c r="R2148" s="58"/>
    </row>
    <row r="2149">
      <c r="A2149" s="56"/>
      <c r="B2149" s="19"/>
      <c r="C2149" s="19"/>
      <c r="E2149" s="59"/>
      <c r="F2149" s="58"/>
      <c r="G2149" s="59"/>
      <c r="H2149" s="58"/>
      <c r="I2149" s="58"/>
      <c r="J2149" s="58"/>
      <c r="K2149" s="58"/>
      <c r="L2149" s="58"/>
      <c r="M2149" s="59"/>
      <c r="N2149" s="58"/>
      <c r="O2149" s="59"/>
      <c r="P2149" s="58"/>
      <c r="Q2149" s="59"/>
      <c r="R2149" s="58"/>
    </row>
    <row r="2150">
      <c r="A2150" s="56"/>
      <c r="B2150" s="19"/>
      <c r="C2150" s="19"/>
      <c r="E2150" s="59"/>
      <c r="F2150" s="58"/>
      <c r="G2150" s="59"/>
      <c r="H2150" s="58"/>
      <c r="I2150" s="58"/>
      <c r="J2150" s="58"/>
      <c r="K2150" s="58"/>
      <c r="L2150" s="58"/>
      <c r="M2150" s="59"/>
      <c r="N2150" s="58"/>
      <c r="O2150" s="59"/>
      <c r="P2150" s="58"/>
      <c r="Q2150" s="59"/>
      <c r="R2150" s="58"/>
    </row>
    <row r="2151">
      <c r="A2151" s="56"/>
      <c r="B2151" s="19"/>
      <c r="C2151" s="19"/>
      <c r="E2151" s="59"/>
      <c r="F2151" s="58"/>
      <c r="G2151" s="59"/>
      <c r="H2151" s="58"/>
      <c r="I2151" s="58"/>
      <c r="J2151" s="58"/>
      <c r="K2151" s="58"/>
      <c r="L2151" s="58"/>
      <c r="M2151" s="59"/>
      <c r="N2151" s="58"/>
      <c r="O2151" s="59"/>
      <c r="P2151" s="58"/>
      <c r="Q2151" s="59"/>
      <c r="R2151" s="58"/>
    </row>
    <row r="2152">
      <c r="A2152" s="56"/>
      <c r="B2152" s="19"/>
      <c r="C2152" s="19"/>
      <c r="E2152" s="59"/>
      <c r="F2152" s="58"/>
      <c r="G2152" s="59"/>
      <c r="H2152" s="58"/>
      <c r="I2152" s="58"/>
      <c r="J2152" s="58"/>
      <c r="K2152" s="58"/>
      <c r="L2152" s="58"/>
      <c r="M2152" s="59"/>
      <c r="N2152" s="58"/>
      <c r="O2152" s="59"/>
      <c r="P2152" s="58"/>
      <c r="Q2152" s="59"/>
      <c r="R2152" s="58"/>
    </row>
    <row r="2153">
      <c r="A2153" s="56"/>
      <c r="B2153" s="19"/>
      <c r="C2153" s="19"/>
      <c r="E2153" s="59"/>
      <c r="F2153" s="58"/>
      <c r="G2153" s="59"/>
      <c r="H2153" s="58"/>
      <c r="I2153" s="58"/>
      <c r="J2153" s="58"/>
      <c r="K2153" s="58"/>
      <c r="L2153" s="58"/>
      <c r="M2153" s="59"/>
      <c r="N2153" s="58"/>
      <c r="O2153" s="59"/>
      <c r="P2153" s="58"/>
      <c r="Q2153" s="59"/>
      <c r="R2153" s="58"/>
    </row>
    <row r="2154">
      <c r="A2154" s="56"/>
      <c r="B2154" s="19"/>
      <c r="C2154" s="19"/>
      <c r="E2154" s="59"/>
      <c r="F2154" s="58"/>
      <c r="G2154" s="59"/>
      <c r="H2154" s="58"/>
      <c r="I2154" s="58"/>
      <c r="J2154" s="58"/>
      <c r="K2154" s="58"/>
      <c r="L2154" s="58"/>
      <c r="M2154" s="59"/>
      <c r="N2154" s="58"/>
      <c r="O2154" s="59"/>
      <c r="P2154" s="58"/>
      <c r="Q2154" s="59"/>
      <c r="R2154" s="58"/>
    </row>
    <row r="2155">
      <c r="A2155" s="56"/>
      <c r="B2155" s="19"/>
      <c r="C2155" s="19"/>
      <c r="E2155" s="59"/>
      <c r="F2155" s="58"/>
      <c r="G2155" s="59"/>
      <c r="H2155" s="58"/>
      <c r="I2155" s="58"/>
      <c r="J2155" s="58"/>
      <c r="K2155" s="58"/>
      <c r="L2155" s="58"/>
      <c r="M2155" s="59"/>
      <c r="N2155" s="58"/>
      <c r="O2155" s="59"/>
      <c r="P2155" s="58"/>
      <c r="Q2155" s="59"/>
      <c r="R2155" s="58"/>
    </row>
    <row r="2156">
      <c r="A2156" s="56"/>
      <c r="B2156" s="19"/>
      <c r="C2156" s="19"/>
      <c r="E2156" s="59"/>
      <c r="F2156" s="58"/>
      <c r="G2156" s="59"/>
      <c r="H2156" s="58"/>
      <c r="I2156" s="58"/>
      <c r="J2156" s="58"/>
      <c r="K2156" s="58"/>
      <c r="L2156" s="58"/>
      <c r="M2156" s="59"/>
      <c r="N2156" s="58"/>
      <c r="O2156" s="59"/>
      <c r="P2156" s="58"/>
      <c r="Q2156" s="59"/>
      <c r="R2156" s="58"/>
    </row>
    <row r="2157">
      <c r="A2157" s="56"/>
      <c r="B2157" s="19"/>
      <c r="C2157" s="19"/>
      <c r="E2157" s="59"/>
      <c r="F2157" s="58"/>
      <c r="G2157" s="59"/>
      <c r="H2157" s="58"/>
      <c r="I2157" s="58"/>
      <c r="J2157" s="58"/>
      <c r="K2157" s="58"/>
      <c r="L2157" s="58"/>
      <c r="M2157" s="59"/>
      <c r="N2157" s="58"/>
      <c r="O2157" s="59"/>
      <c r="P2157" s="58"/>
      <c r="Q2157" s="59"/>
      <c r="R2157" s="58"/>
    </row>
    <row r="2158">
      <c r="A2158" s="56"/>
      <c r="B2158" s="19"/>
      <c r="C2158" s="19"/>
      <c r="E2158" s="59"/>
      <c r="F2158" s="58"/>
      <c r="G2158" s="59"/>
      <c r="H2158" s="58"/>
      <c r="I2158" s="58"/>
      <c r="J2158" s="58"/>
      <c r="K2158" s="58"/>
      <c r="L2158" s="58"/>
      <c r="M2158" s="59"/>
      <c r="N2158" s="58"/>
      <c r="O2158" s="59"/>
      <c r="P2158" s="58"/>
      <c r="Q2158" s="59"/>
      <c r="R2158" s="58"/>
    </row>
    <row r="2159">
      <c r="A2159" s="56"/>
      <c r="B2159" s="19"/>
      <c r="C2159" s="19"/>
      <c r="E2159" s="59"/>
      <c r="F2159" s="58"/>
      <c r="G2159" s="59"/>
      <c r="H2159" s="58"/>
      <c r="I2159" s="58"/>
      <c r="J2159" s="58"/>
      <c r="K2159" s="58"/>
      <c r="L2159" s="58"/>
      <c r="M2159" s="59"/>
      <c r="N2159" s="58"/>
      <c r="O2159" s="59"/>
      <c r="P2159" s="58"/>
      <c r="Q2159" s="59"/>
      <c r="R2159" s="58"/>
    </row>
    <row r="2160">
      <c r="A2160" s="56"/>
      <c r="B2160" s="19"/>
      <c r="C2160" s="19"/>
      <c r="E2160" s="59"/>
      <c r="F2160" s="58"/>
      <c r="G2160" s="59"/>
      <c r="H2160" s="58"/>
      <c r="I2160" s="58"/>
      <c r="J2160" s="58"/>
      <c r="K2160" s="58"/>
      <c r="L2160" s="58"/>
      <c r="M2160" s="59"/>
      <c r="N2160" s="58"/>
      <c r="O2160" s="59"/>
      <c r="P2160" s="58"/>
      <c r="Q2160" s="59"/>
      <c r="R2160" s="58"/>
    </row>
    <row r="2161">
      <c r="A2161" s="56"/>
      <c r="B2161" s="19"/>
      <c r="C2161" s="19"/>
      <c r="E2161" s="59"/>
      <c r="F2161" s="58"/>
      <c r="G2161" s="59"/>
      <c r="H2161" s="58"/>
      <c r="I2161" s="58"/>
      <c r="J2161" s="58"/>
      <c r="K2161" s="58"/>
      <c r="L2161" s="58"/>
      <c r="M2161" s="59"/>
      <c r="N2161" s="58"/>
      <c r="O2161" s="59"/>
      <c r="P2161" s="58"/>
      <c r="Q2161" s="59"/>
      <c r="R2161" s="58"/>
    </row>
    <row r="2162">
      <c r="A2162" s="56"/>
      <c r="B2162" s="19"/>
      <c r="C2162" s="19"/>
      <c r="E2162" s="59"/>
      <c r="F2162" s="58"/>
      <c r="G2162" s="59"/>
      <c r="H2162" s="58"/>
      <c r="I2162" s="58"/>
      <c r="J2162" s="58"/>
      <c r="K2162" s="58"/>
      <c r="L2162" s="58"/>
      <c r="M2162" s="59"/>
      <c r="N2162" s="58"/>
      <c r="O2162" s="59"/>
      <c r="P2162" s="58"/>
      <c r="Q2162" s="59"/>
      <c r="R2162" s="58"/>
    </row>
    <row r="2163">
      <c r="A2163" s="56"/>
      <c r="B2163" s="19"/>
      <c r="C2163" s="19"/>
      <c r="E2163" s="59"/>
      <c r="F2163" s="58"/>
      <c r="G2163" s="59"/>
      <c r="H2163" s="58"/>
      <c r="I2163" s="58"/>
      <c r="J2163" s="58"/>
      <c r="K2163" s="58"/>
      <c r="L2163" s="58"/>
      <c r="M2163" s="59"/>
      <c r="N2163" s="58"/>
      <c r="O2163" s="59"/>
      <c r="P2163" s="58"/>
      <c r="Q2163" s="59"/>
      <c r="R2163" s="58"/>
    </row>
    <row r="2164">
      <c r="A2164" s="56"/>
      <c r="B2164" s="19"/>
      <c r="C2164" s="19"/>
      <c r="E2164" s="59"/>
      <c r="F2164" s="58"/>
      <c r="G2164" s="59"/>
      <c r="H2164" s="58"/>
      <c r="I2164" s="58"/>
      <c r="J2164" s="58"/>
      <c r="K2164" s="58"/>
      <c r="L2164" s="58"/>
      <c r="M2164" s="59"/>
      <c r="N2164" s="58"/>
      <c r="O2164" s="59"/>
      <c r="P2164" s="58"/>
      <c r="Q2164" s="59"/>
      <c r="R2164" s="58"/>
    </row>
    <row r="2165">
      <c r="A2165" s="56"/>
      <c r="B2165" s="19"/>
      <c r="C2165" s="19"/>
      <c r="E2165" s="59"/>
      <c r="F2165" s="58"/>
      <c r="G2165" s="59"/>
      <c r="H2165" s="58"/>
      <c r="I2165" s="58"/>
      <c r="J2165" s="58"/>
      <c r="K2165" s="58"/>
      <c r="L2165" s="58"/>
      <c r="M2165" s="59"/>
      <c r="N2165" s="58"/>
      <c r="O2165" s="59"/>
      <c r="P2165" s="58"/>
      <c r="Q2165" s="59"/>
      <c r="R2165" s="58"/>
    </row>
    <row r="2166">
      <c r="A2166" s="56"/>
      <c r="B2166" s="19"/>
      <c r="C2166" s="19"/>
      <c r="E2166" s="59"/>
      <c r="F2166" s="58"/>
      <c r="G2166" s="59"/>
      <c r="H2166" s="58"/>
      <c r="I2166" s="58"/>
      <c r="J2166" s="58"/>
      <c r="K2166" s="58"/>
      <c r="L2166" s="58"/>
      <c r="M2166" s="59"/>
      <c r="N2166" s="58"/>
      <c r="O2166" s="59"/>
      <c r="P2166" s="58"/>
      <c r="Q2166" s="59"/>
      <c r="R2166" s="58"/>
    </row>
    <row r="2167">
      <c r="A2167" s="56"/>
      <c r="B2167" s="19"/>
      <c r="C2167" s="19"/>
      <c r="E2167" s="59"/>
      <c r="F2167" s="58"/>
      <c r="G2167" s="59"/>
      <c r="H2167" s="58"/>
      <c r="I2167" s="58"/>
      <c r="J2167" s="58"/>
      <c r="K2167" s="58"/>
      <c r="L2167" s="58"/>
      <c r="M2167" s="59"/>
      <c r="N2167" s="58"/>
      <c r="O2167" s="59"/>
      <c r="P2167" s="58"/>
      <c r="Q2167" s="59"/>
      <c r="R2167" s="58"/>
    </row>
    <row r="2168">
      <c r="A2168" s="56"/>
      <c r="B2168" s="19"/>
      <c r="C2168" s="19"/>
      <c r="E2168" s="59"/>
      <c r="F2168" s="58"/>
      <c r="G2168" s="59"/>
      <c r="H2168" s="58"/>
      <c r="I2168" s="58"/>
      <c r="J2168" s="58"/>
      <c r="K2168" s="58"/>
      <c r="L2168" s="58"/>
      <c r="M2168" s="59"/>
      <c r="N2168" s="58"/>
      <c r="O2168" s="59"/>
      <c r="P2168" s="58"/>
      <c r="Q2168" s="59"/>
      <c r="R2168" s="58"/>
    </row>
    <row r="2169">
      <c r="A2169" s="56"/>
      <c r="B2169" s="19"/>
      <c r="C2169" s="19"/>
      <c r="E2169" s="59"/>
      <c r="F2169" s="58"/>
      <c r="G2169" s="59"/>
      <c r="H2169" s="58"/>
      <c r="I2169" s="58"/>
      <c r="J2169" s="58"/>
      <c r="K2169" s="58"/>
      <c r="L2169" s="58"/>
      <c r="M2169" s="59"/>
      <c r="N2169" s="58"/>
      <c r="O2169" s="59"/>
      <c r="P2169" s="58"/>
      <c r="Q2169" s="59"/>
      <c r="R2169" s="58"/>
    </row>
    <row r="2170">
      <c r="A2170" s="56"/>
      <c r="B2170" s="19"/>
      <c r="C2170" s="19"/>
      <c r="E2170" s="59"/>
      <c r="F2170" s="58"/>
      <c r="G2170" s="59"/>
      <c r="H2170" s="58"/>
      <c r="I2170" s="58"/>
      <c r="J2170" s="58"/>
      <c r="K2170" s="58"/>
      <c r="L2170" s="58"/>
      <c r="M2170" s="59"/>
      <c r="N2170" s="58"/>
      <c r="O2170" s="59"/>
      <c r="P2170" s="58"/>
      <c r="Q2170" s="59"/>
      <c r="R2170" s="58"/>
    </row>
    <row r="2171">
      <c r="A2171" s="56"/>
      <c r="B2171" s="19"/>
      <c r="C2171" s="19"/>
      <c r="E2171" s="59"/>
      <c r="F2171" s="58"/>
      <c r="G2171" s="59"/>
      <c r="H2171" s="58"/>
      <c r="I2171" s="58"/>
      <c r="J2171" s="58"/>
      <c r="K2171" s="58"/>
      <c r="L2171" s="58"/>
      <c r="M2171" s="59"/>
      <c r="N2171" s="58"/>
      <c r="O2171" s="59"/>
      <c r="P2171" s="58"/>
      <c r="Q2171" s="59"/>
      <c r="R2171" s="58"/>
    </row>
    <row r="2172">
      <c r="A2172" s="56"/>
      <c r="B2172" s="19"/>
      <c r="C2172" s="19"/>
      <c r="E2172" s="59"/>
      <c r="F2172" s="58"/>
      <c r="G2172" s="59"/>
      <c r="H2172" s="58"/>
      <c r="I2172" s="58"/>
      <c r="J2172" s="58"/>
      <c r="K2172" s="58"/>
      <c r="L2172" s="58"/>
      <c r="M2172" s="59"/>
      <c r="N2172" s="58"/>
      <c r="O2172" s="59"/>
      <c r="P2172" s="58"/>
      <c r="Q2172" s="59"/>
      <c r="R2172" s="58"/>
    </row>
    <row r="2173">
      <c r="A2173" s="56"/>
      <c r="B2173" s="19"/>
      <c r="C2173" s="19"/>
      <c r="E2173" s="59"/>
      <c r="F2173" s="58"/>
      <c r="G2173" s="59"/>
      <c r="H2173" s="58"/>
      <c r="I2173" s="58"/>
      <c r="J2173" s="58"/>
      <c r="K2173" s="58"/>
      <c r="L2173" s="58"/>
      <c r="M2173" s="59"/>
      <c r="N2173" s="58"/>
      <c r="O2173" s="59"/>
      <c r="P2173" s="58"/>
      <c r="Q2173" s="59"/>
      <c r="R2173" s="58"/>
    </row>
    <row r="2174">
      <c r="A2174" s="56"/>
      <c r="B2174" s="19"/>
      <c r="C2174" s="19"/>
      <c r="E2174" s="59"/>
      <c r="F2174" s="58"/>
      <c r="G2174" s="59"/>
      <c r="H2174" s="58"/>
      <c r="I2174" s="58"/>
      <c r="J2174" s="58"/>
      <c r="K2174" s="58"/>
      <c r="L2174" s="58"/>
      <c r="M2174" s="59"/>
      <c r="N2174" s="58"/>
      <c r="O2174" s="59"/>
      <c r="P2174" s="58"/>
      <c r="Q2174" s="59"/>
      <c r="R2174" s="58"/>
    </row>
    <row r="2175">
      <c r="A2175" s="56"/>
      <c r="B2175" s="19"/>
      <c r="C2175" s="19"/>
      <c r="E2175" s="59"/>
      <c r="F2175" s="58"/>
      <c r="G2175" s="59"/>
      <c r="H2175" s="58"/>
      <c r="I2175" s="58"/>
      <c r="J2175" s="58"/>
      <c r="K2175" s="58"/>
      <c r="L2175" s="58"/>
      <c r="M2175" s="59"/>
      <c r="N2175" s="58"/>
      <c r="O2175" s="59"/>
      <c r="P2175" s="58"/>
      <c r="Q2175" s="59"/>
      <c r="R2175" s="58"/>
    </row>
    <row r="2176">
      <c r="A2176" s="56"/>
      <c r="B2176" s="19"/>
      <c r="C2176" s="19"/>
      <c r="E2176" s="59"/>
      <c r="F2176" s="58"/>
      <c r="G2176" s="59"/>
      <c r="H2176" s="58"/>
      <c r="I2176" s="58"/>
      <c r="J2176" s="58"/>
      <c r="K2176" s="58"/>
      <c r="L2176" s="58"/>
      <c r="M2176" s="59"/>
      <c r="N2176" s="58"/>
      <c r="O2176" s="59"/>
      <c r="P2176" s="58"/>
      <c r="Q2176" s="59"/>
      <c r="R2176" s="58"/>
    </row>
    <row r="2177">
      <c r="A2177" s="56"/>
      <c r="B2177" s="19"/>
      <c r="C2177" s="19"/>
      <c r="E2177" s="59"/>
      <c r="F2177" s="58"/>
      <c r="G2177" s="59"/>
      <c r="H2177" s="58"/>
      <c r="I2177" s="58"/>
      <c r="J2177" s="58"/>
      <c r="K2177" s="58"/>
      <c r="L2177" s="58"/>
      <c r="M2177" s="59"/>
      <c r="N2177" s="58"/>
      <c r="O2177" s="59"/>
      <c r="P2177" s="58"/>
      <c r="Q2177" s="59"/>
      <c r="R2177" s="58"/>
    </row>
    <row r="2178">
      <c r="A2178" s="56"/>
      <c r="B2178" s="19"/>
      <c r="C2178" s="19"/>
      <c r="E2178" s="59"/>
      <c r="F2178" s="58"/>
      <c r="G2178" s="59"/>
      <c r="H2178" s="58"/>
      <c r="I2178" s="58"/>
      <c r="J2178" s="58"/>
      <c r="K2178" s="58"/>
      <c r="L2178" s="58"/>
      <c r="M2178" s="59"/>
      <c r="N2178" s="58"/>
      <c r="O2178" s="59"/>
      <c r="P2178" s="58"/>
      <c r="Q2178" s="59"/>
      <c r="R2178" s="58"/>
    </row>
    <row r="2179">
      <c r="A2179" s="56"/>
      <c r="B2179" s="19"/>
      <c r="C2179" s="19"/>
      <c r="E2179" s="59"/>
      <c r="F2179" s="58"/>
      <c r="G2179" s="59"/>
      <c r="H2179" s="58"/>
      <c r="I2179" s="58"/>
      <c r="J2179" s="58"/>
      <c r="K2179" s="58"/>
      <c r="L2179" s="58"/>
      <c r="M2179" s="59"/>
      <c r="N2179" s="58"/>
      <c r="O2179" s="59"/>
      <c r="P2179" s="58"/>
      <c r="Q2179" s="59"/>
      <c r="R2179" s="58"/>
    </row>
    <row r="2180">
      <c r="A2180" s="56"/>
      <c r="B2180" s="19"/>
      <c r="C2180" s="19"/>
      <c r="E2180" s="59"/>
      <c r="F2180" s="58"/>
      <c r="G2180" s="59"/>
      <c r="H2180" s="58"/>
      <c r="I2180" s="58"/>
      <c r="J2180" s="58"/>
      <c r="K2180" s="58"/>
      <c r="L2180" s="58"/>
      <c r="M2180" s="59"/>
      <c r="N2180" s="58"/>
      <c r="O2180" s="59"/>
      <c r="P2180" s="58"/>
      <c r="Q2180" s="59"/>
      <c r="R2180" s="58"/>
    </row>
    <row r="2181">
      <c r="A2181" s="56"/>
      <c r="B2181" s="19"/>
      <c r="C2181" s="19"/>
      <c r="E2181" s="59"/>
      <c r="F2181" s="58"/>
      <c r="G2181" s="59"/>
      <c r="H2181" s="58"/>
      <c r="I2181" s="58"/>
      <c r="J2181" s="58"/>
      <c r="K2181" s="58"/>
      <c r="L2181" s="58"/>
      <c r="M2181" s="59"/>
      <c r="N2181" s="58"/>
      <c r="O2181" s="59"/>
      <c r="P2181" s="58"/>
      <c r="Q2181" s="59"/>
      <c r="R2181" s="58"/>
    </row>
    <row r="2182">
      <c r="A2182" s="56"/>
      <c r="B2182" s="19"/>
      <c r="C2182" s="19"/>
      <c r="E2182" s="59"/>
      <c r="F2182" s="58"/>
      <c r="G2182" s="59"/>
      <c r="H2182" s="58"/>
      <c r="I2182" s="58"/>
      <c r="J2182" s="58"/>
      <c r="K2182" s="58"/>
      <c r="L2182" s="58"/>
      <c r="M2182" s="59"/>
      <c r="N2182" s="58"/>
      <c r="O2182" s="59"/>
      <c r="P2182" s="58"/>
      <c r="Q2182" s="59"/>
      <c r="R2182" s="58"/>
    </row>
    <row r="2183">
      <c r="A2183" s="56"/>
      <c r="B2183" s="19"/>
      <c r="C2183" s="19"/>
      <c r="E2183" s="59"/>
      <c r="F2183" s="58"/>
      <c r="G2183" s="59"/>
      <c r="H2183" s="58"/>
      <c r="I2183" s="58"/>
      <c r="J2183" s="58"/>
      <c r="K2183" s="58"/>
      <c r="L2183" s="58"/>
      <c r="M2183" s="59"/>
      <c r="N2183" s="58"/>
      <c r="O2183" s="59"/>
      <c r="P2183" s="58"/>
      <c r="Q2183" s="59"/>
      <c r="R2183" s="58"/>
    </row>
    <row r="2184">
      <c r="A2184" s="56"/>
      <c r="B2184" s="19"/>
      <c r="C2184" s="19"/>
      <c r="E2184" s="59"/>
      <c r="F2184" s="58"/>
      <c r="G2184" s="59"/>
      <c r="H2184" s="58"/>
      <c r="I2184" s="58"/>
      <c r="J2184" s="58"/>
      <c r="K2184" s="58"/>
      <c r="L2184" s="58"/>
      <c r="M2184" s="59"/>
      <c r="N2184" s="58"/>
      <c r="O2184" s="59"/>
      <c r="P2184" s="58"/>
      <c r="Q2184" s="59"/>
      <c r="R2184" s="58"/>
    </row>
    <row r="2185">
      <c r="A2185" s="56"/>
      <c r="B2185" s="19"/>
      <c r="C2185" s="19"/>
      <c r="E2185" s="59"/>
      <c r="F2185" s="58"/>
      <c r="G2185" s="59"/>
      <c r="H2185" s="58"/>
      <c r="I2185" s="58"/>
      <c r="J2185" s="58"/>
      <c r="K2185" s="58"/>
      <c r="L2185" s="58"/>
      <c r="M2185" s="59"/>
      <c r="N2185" s="58"/>
      <c r="O2185" s="59"/>
      <c r="P2185" s="58"/>
      <c r="Q2185" s="59"/>
      <c r="R2185" s="58"/>
    </row>
    <row r="2186">
      <c r="A2186" s="56"/>
      <c r="B2186" s="19"/>
      <c r="C2186" s="19"/>
      <c r="E2186" s="59"/>
      <c r="F2186" s="58"/>
      <c r="G2186" s="59"/>
      <c r="H2186" s="58"/>
      <c r="I2186" s="58"/>
      <c r="J2186" s="58"/>
      <c r="K2186" s="58"/>
      <c r="L2186" s="58"/>
      <c r="M2186" s="59"/>
      <c r="N2186" s="58"/>
      <c r="O2186" s="59"/>
      <c r="P2186" s="58"/>
      <c r="Q2186" s="59"/>
      <c r="R2186" s="58"/>
    </row>
    <row r="2187">
      <c r="A2187" s="56"/>
      <c r="B2187" s="19"/>
      <c r="C2187" s="19"/>
      <c r="E2187" s="59"/>
      <c r="F2187" s="58"/>
      <c r="G2187" s="59"/>
      <c r="H2187" s="58"/>
      <c r="I2187" s="58"/>
      <c r="J2187" s="58"/>
      <c r="K2187" s="58"/>
      <c r="L2187" s="58"/>
      <c r="M2187" s="59"/>
      <c r="N2187" s="58"/>
      <c r="O2187" s="59"/>
      <c r="P2187" s="58"/>
      <c r="Q2187" s="59"/>
      <c r="R2187" s="58"/>
    </row>
    <row r="2188">
      <c r="A2188" s="56"/>
      <c r="B2188" s="19"/>
      <c r="C2188" s="19"/>
      <c r="E2188" s="59"/>
      <c r="F2188" s="58"/>
      <c r="G2188" s="59"/>
      <c r="H2188" s="58"/>
      <c r="I2188" s="58"/>
      <c r="J2188" s="58"/>
      <c r="K2188" s="58"/>
      <c r="L2188" s="58"/>
      <c r="M2188" s="59"/>
      <c r="N2188" s="58"/>
      <c r="O2188" s="59"/>
      <c r="P2188" s="58"/>
      <c r="Q2188" s="59"/>
      <c r="R2188" s="58"/>
    </row>
    <row r="2189">
      <c r="A2189" s="56"/>
      <c r="B2189" s="19"/>
      <c r="C2189" s="19"/>
      <c r="E2189" s="59"/>
      <c r="F2189" s="58"/>
      <c r="G2189" s="59"/>
      <c r="H2189" s="58"/>
      <c r="I2189" s="58"/>
      <c r="J2189" s="58"/>
      <c r="K2189" s="58"/>
      <c r="L2189" s="58"/>
      <c r="M2189" s="59"/>
      <c r="N2189" s="58"/>
      <c r="O2189" s="59"/>
      <c r="P2189" s="58"/>
      <c r="Q2189" s="59"/>
      <c r="R2189" s="58"/>
    </row>
    <row r="2190">
      <c r="A2190" s="56"/>
      <c r="B2190" s="19"/>
      <c r="C2190" s="19"/>
      <c r="E2190" s="59"/>
      <c r="F2190" s="58"/>
      <c r="G2190" s="59"/>
      <c r="H2190" s="58"/>
      <c r="I2190" s="58"/>
      <c r="J2190" s="58"/>
      <c r="K2190" s="58"/>
      <c r="L2190" s="58"/>
      <c r="M2190" s="59"/>
      <c r="N2190" s="58"/>
      <c r="O2190" s="59"/>
      <c r="P2190" s="58"/>
      <c r="Q2190" s="59"/>
      <c r="R2190" s="58"/>
    </row>
    <row r="2191">
      <c r="A2191" s="56"/>
      <c r="B2191" s="19"/>
      <c r="C2191" s="19"/>
      <c r="E2191" s="59"/>
      <c r="F2191" s="58"/>
      <c r="G2191" s="59"/>
      <c r="H2191" s="58"/>
      <c r="I2191" s="58"/>
      <c r="J2191" s="58"/>
      <c r="K2191" s="58"/>
      <c r="L2191" s="58"/>
      <c r="M2191" s="59"/>
      <c r="N2191" s="58"/>
      <c r="O2191" s="59"/>
      <c r="P2191" s="58"/>
      <c r="Q2191" s="59"/>
      <c r="R2191" s="58"/>
    </row>
    <row r="2192">
      <c r="A2192" s="56"/>
      <c r="B2192" s="19"/>
      <c r="C2192" s="19"/>
      <c r="E2192" s="59"/>
      <c r="F2192" s="58"/>
      <c r="G2192" s="59"/>
      <c r="H2192" s="58"/>
      <c r="I2192" s="58"/>
      <c r="J2192" s="58"/>
      <c r="K2192" s="58"/>
      <c r="L2192" s="58"/>
      <c r="M2192" s="59"/>
      <c r="N2192" s="58"/>
      <c r="O2192" s="59"/>
      <c r="P2192" s="58"/>
      <c r="Q2192" s="59"/>
      <c r="R2192" s="58"/>
    </row>
    <row r="2193">
      <c r="A2193" s="56"/>
      <c r="B2193" s="19"/>
      <c r="C2193" s="19"/>
      <c r="E2193" s="59"/>
      <c r="F2193" s="58"/>
      <c r="G2193" s="59"/>
      <c r="H2193" s="58"/>
      <c r="I2193" s="58"/>
      <c r="J2193" s="58"/>
      <c r="K2193" s="58"/>
      <c r="L2193" s="58"/>
      <c r="M2193" s="59"/>
      <c r="N2193" s="58"/>
      <c r="O2193" s="59"/>
      <c r="P2193" s="58"/>
      <c r="Q2193" s="59"/>
      <c r="R2193" s="58"/>
    </row>
    <row r="2194">
      <c r="A2194" s="56"/>
      <c r="B2194" s="19"/>
      <c r="C2194" s="19"/>
      <c r="E2194" s="59"/>
      <c r="F2194" s="58"/>
      <c r="G2194" s="59"/>
      <c r="H2194" s="58"/>
      <c r="I2194" s="58"/>
      <c r="J2194" s="58"/>
      <c r="K2194" s="58"/>
      <c r="L2194" s="58"/>
      <c r="M2194" s="59"/>
      <c r="N2194" s="58"/>
      <c r="O2194" s="59"/>
      <c r="P2194" s="58"/>
      <c r="Q2194" s="59"/>
      <c r="R2194" s="58"/>
    </row>
    <row r="2195">
      <c r="A2195" s="56"/>
      <c r="B2195" s="19"/>
      <c r="C2195" s="19"/>
      <c r="E2195" s="59"/>
      <c r="F2195" s="58"/>
      <c r="G2195" s="59"/>
      <c r="H2195" s="58"/>
      <c r="I2195" s="58"/>
      <c r="J2195" s="58"/>
      <c r="K2195" s="58"/>
      <c r="L2195" s="58"/>
      <c r="M2195" s="59"/>
      <c r="N2195" s="58"/>
      <c r="O2195" s="59"/>
      <c r="P2195" s="58"/>
      <c r="Q2195" s="59"/>
      <c r="R2195" s="58"/>
    </row>
    <row r="2196">
      <c r="A2196" s="56"/>
      <c r="B2196" s="19"/>
      <c r="C2196" s="19"/>
      <c r="E2196" s="59"/>
      <c r="F2196" s="58"/>
      <c r="G2196" s="59"/>
      <c r="H2196" s="58"/>
      <c r="I2196" s="58"/>
      <c r="J2196" s="58"/>
      <c r="K2196" s="58"/>
      <c r="L2196" s="58"/>
      <c r="M2196" s="59"/>
      <c r="N2196" s="58"/>
      <c r="O2196" s="59"/>
      <c r="P2196" s="58"/>
      <c r="Q2196" s="59"/>
      <c r="R2196" s="58"/>
    </row>
    <row r="2197">
      <c r="A2197" s="56"/>
      <c r="B2197" s="19"/>
      <c r="C2197" s="19"/>
      <c r="E2197" s="59"/>
      <c r="F2197" s="58"/>
      <c r="G2197" s="59"/>
      <c r="H2197" s="58"/>
      <c r="I2197" s="58"/>
      <c r="J2197" s="58"/>
      <c r="K2197" s="58"/>
      <c r="L2197" s="58"/>
      <c r="M2197" s="59"/>
      <c r="N2197" s="58"/>
      <c r="O2197" s="59"/>
      <c r="P2197" s="58"/>
      <c r="Q2197" s="59"/>
      <c r="R2197" s="58"/>
    </row>
    <row r="2198">
      <c r="A2198" s="56"/>
      <c r="B2198" s="19"/>
      <c r="C2198" s="19"/>
      <c r="E2198" s="59"/>
      <c r="F2198" s="58"/>
      <c r="G2198" s="59"/>
      <c r="H2198" s="58"/>
      <c r="I2198" s="58"/>
      <c r="J2198" s="58"/>
      <c r="K2198" s="58"/>
      <c r="L2198" s="58"/>
      <c r="M2198" s="59"/>
      <c r="N2198" s="58"/>
      <c r="O2198" s="59"/>
      <c r="P2198" s="58"/>
      <c r="Q2198" s="59"/>
      <c r="R2198" s="58"/>
    </row>
    <row r="2199">
      <c r="A2199" s="56"/>
      <c r="B2199" s="19"/>
      <c r="C2199" s="19"/>
      <c r="E2199" s="59"/>
      <c r="F2199" s="58"/>
      <c r="G2199" s="59"/>
      <c r="H2199" s="58"/>
      <c r="I2199" s="58"/>
      <c r="J2199" s="58"/>
      <c r="K2199" s="58"/>
      <c r="L2199" s="58"/>
      <c r="M2199" s="59"/>
      <c r="N2199" s="58"/>
      <c r="O2199" s="59"/>
      <c r="P2199" s="58"/>
      <c r="Q2199" s="59"/>
      <c r="R2199" s="58"/>
    </row>
    <row r="2200">
      <c r="A2200" s="56"/>
      <c r="B2200" s="19"/>
      <c r="C2200" s="19"/>
      <c r="E2200" s="59"/>
      <c r="F2200" s="58"/>
      <c r="G2200" s="59"/>
      <c r="H2200" s="58"/>
      <c r="I2200" s="58"/>
      <c r="J2200" s="58"/>
      <c r="K2200" s="58"/>
      <c r="L2200" s="58"/>
      <c r="M2200" s="59"/>
      <c r="N2200" s="58"/>
      <c r="O2200" s="59"/>
      <c r="P2200" s="58"/>
      <c r="Q2200" s="59"/>
      <c r="R2200" s="58"/>
    </row>
    <row r="2201">
      <c r="A2201" s="56"/>
      <c r="B2201" s="19"/>
      <c r="C2201" s="19"/>
      <c r="E2201" s="59"/>
      <c r="F2201" s="58"/>
      <c r="G2201" s="59"/>
      <c r="H2201" s="58"/>
      <c r="I2201" s="58"/>
      <c r="J2201" s="58"/>
      <c r="K2201" s="58"/>
      <c r="L2201" s="58"/>
      <c r="M2201" s="59"/>
      <c r="N2201" s="58"/>
      <c r="O2201" s="59"/>
      <c r="P2201" s="58"/>
      <c r="Q2201" s="59"/>
      <c r="R2201" s="58"/>
    </row>
    <row r="2202">
      <c r="A2202" s="56"/>
      <c r="B2202" s="19"/>
      <c r="C2202" s="19"/>
      <c r="E2202" s="59"/>
      <c r="F2202" s="58"/>
      <c r="G2202" s="59"/>
      <c r="H2202" s="58"/>
      <c r="I2202" s="58"/>
      <c r="J2202" s="58"/>
      <c r="K2202" s="58"/>
      <c r="L2202" s="58"/>
      <c r="M2202" s="59"/>
      <c r="N2202" s="58"/>
      <c r="O2202" s="59"/>
      <c r="P2202" s="58"/>
      <c r="Q2202" s="59"/>
      <c r="R2202" s="58"/>
    </row>
    <row r="2203">
      <c r="A2203" s="56"/>
      <c r="B2203" s="19"/>
      <c r="C2203" s="19"/>
      <c r="E2203" s="59"/>
      <c r="F2203" s="58"/>
      <c r="G2203" s="59"/>
      <c r="H2203" s="58"/>
      <c r="I2203" s="58"/>
      <c r="J2203" s="58"/>
      <c r="K2203" s="58"/>
      <c r="L2203" s="58"/>
      <c r="M2203" s="59"/>
      <c r="N2203" s="58"/>
      <c r="O2203" s="59"/>
      <c r="P2203" s="58"/>
      <c r="Q2203" s="59"/>
      <c r="R2203" s="58"/>
    </row>
    <row r="2204">
      <c r="A2204" s="56"/>
      <c r="B2204" s="19"/>
      <c r="C2204" s="19"/>
      <c r="E2204" s="59"/>
      <c r="F2204" s="58"/>
      <c r="G2204" s="59"/>
      <c r="H2204" s="58"/>
      <c r="I2204" s="58"/>
      <c r="J2204" s="58"/>
      <c r="K2204" s="58"/>
      <c r="L2204" s="58"/>
      <c r="M2204" s="59"/>
      <c r="N2204" s="58"/>
      <c r="O2204" s="59"/>
      <c r="P2204" s="58"/>
      <c r="Q2204" s="59"/>
      <c r="R2204" s="58"/>
    </row>
    <row r="2205">
      <c r="A2205" s="56"/>
      <c r="B2205" s="19"/>
      <c r="C2205" s="19"/>
      <c r="E2205" s="59"/>
      <c r="F2205" s="58"/>
      <c r="G2205" s="59"/>
      <c r="H2205" s="58"/>
      <c r="I2205" s="58"/>
      <c r="J2205" s="58"/>
      <c r="K2205" s="58"/>
      <c r="L2205" s="58"/>
      <c r="M2205" s="59"/>
      <c r="N2205" s="58"/>
      <c r="O2205" s="59"/>
      <c r="P2205" s="58"/>
      <c r="Q2205" s="59"/>
      <c r="R2205" s="58"/>
    </row>
    <row r="2206">
      <c r="A2206" s="56"/>
      <c r="B2206" s="19"/>
      <c r="C2206" s="19"/>
      <c r="E2206" s="59"/>
      <c r="F2206" s="58"/>
      <c r="G2206" s="59"/>
      <c r="H2206" s="58"/>
      <c r="I2206" s="58"/>
      <c r="J2206" s="58"/>
      <c r="K2206" s="58"/>
      <c r="L2206" s="58"/>
      <c r="M2206" s="59"/>
      <c r="N2206" s="58"/>
      <c r="O2206" s="59"/>
      <c r="P2206" s="58"/>
      <c r="Q2206" s="59"/>
      <c r="R2206" s="58"/>
    </row>
    <row r="2207">
      <c r="A2207" s="56"/>
      <c r="B2207" s="19"/>
      <c r="C2207" s="19"/>
      <c r="E2207" s="59"/>
      <c r="F2207" s="58"/>
      <c r="G2207" s="59"/>
      <c r="H2207" s="58"/>
      <c r="I2207" s="58"/>
      <c r="J2207" s="58"/>
      <c r="K2207" s="58"/>
      <c r="L2207" s="58"/>
      <c r="M2207" s="59"/>
      <c r="N2207" s="58"/>
      <c r="O2207" s="59"/>
      <c r="P2207" s="58"/>
      <c r="Q2207" s="59"/>
      <c r="R2207" s="58"/>
    </row>
    <row r="2208">
      <c r="A2208" s="56"/>
      <c r="B2208" s="19"/>
      <c r="C2208" s="19"/>
      <c r="E2208" s="59"/>
      <c r="F2208" s="58"/>
      <c r="G2208" s="59"/>
      <c r="H2208" s="58"/>
      <c r="I2208" s="58"/>
      <c r="J2208" s="58"/>
      <c r="K2208" s="58"/>
      <c r="L2208" s="58"/>
      <c r="M2208" s="59"/>
      <c r="N2208" s="58"/>
      <c r="O2208" s="59"/>
      <c r="P2208" s="58"/>
      <c r="Q2208" s="59"/>
      <c r="R2208" s="58"/>
    </row>
    <row r="2209">
      <c r="A2209" s="56"/>
      <c r="B2209" s="19"/>
      <c r="C2209" s="19"/>
      <c r="E2209" s="59"/>
      <c r="F2209" s="58"/>
      <c r="G2209" s="59"/>
      <c r="H2209" s="58"/>
      <c r="I2209" s="58"/>
      <c r="J2209" s="58"/>
      <c r="K2209" s="58"/>
      <c r="L2209" s="58"/>
      <c r="M2209" s="59"/>
      <c r="N2209" s="58"/>
      <c r="O2209" s="59"/>
      <c r="P2209" s="58"/>
      <c r="Q2209" s="59"/>
      <c r="R2209" s="58"/>
    </row>
    <row r="2210">
      <c r="A2210" s="56"/>
      <c r="B2210" s="19"/>
      <c r="C2210" s="19"/>
      <c r="E2210" s="59"/>
      <c r="F2210" s="58"/>
      <c r="G2210" s="59"/>
      <c r="H2210" s="58"/>
      <c r="I2210" s="58"/>
      <c r="J2210" s="58"/>
      <c r="K2210" s="58"/>
      <c r="L2210" s="58"/>
      <c r="M2210" s="59"/>
      <c r="N2210" s="58"/>
      <c r="O2210" s="59"/>
      <c r="P2210" s="58"/>
      <c r="Q2210" s="59"/>
      <c r="R2210" s="58"/>
    </row>
    <row r="2211">
      <c r="A2211" s="56"/>
      <c r="B2211" s="19"/>
      <c r="C2211" s="19"/>
      <c r="E2211" s="59"/>
      <c r="F2211" s="58"/>
      <c r="G2211" s="59"/>
      <c r="H2211" s="58"/>
      <c r="I2211" s="58"/>
      <c r="J2211" s="58"/>
      <c r="K2211" s="58"/>
      <c r="L2211" s="58"/>
      <c r="M2211" s="59"/>
      <c r="N2211" s="58"/>
      <c r="O2211" s="59"/>
      <c r="P2211" s="58"/>
      <c r="Q2211" s="59"/>
      <c r="R2211" s="58"/>
    </row>
    <row r="2212">
      <c r="A2212" s="56"/>
      <c r="B2212" s="19"/>
      <c r="C2212" s="19"/>
      <c r="E2212" s="59"/>
      <c r="F2212" s="58"/>
      <c r="G2212" s="59"/>
      <c r="H2212" s="58"/>
      <c r="I2212" s="58"/>
      <c r="J2212" s="58"/>
      <c r="K2212" s="58"/>
      <c r="L2212" s="58"/>
      <c r="M2212" s="59"/>
      <c r="N2212" s="58"/>
      <c r="O2212" s="59"/>
      <c r="P2212" s="58"/>
      <c r="Q2212" s="59"/>
      <c r="R2212" s="58"/>
    </row>
    <row r="2213">
      <c r="A2213" s="56"/>
      <c r="B2213" s="19"/>
      <c r="C2213" s="19"/>
      <c r="E2213" s="59"/>
      <c r="F2213" s="58"/>
      <c r="G2213" s="59"/>
      <c r="H2213" s="58"/>
      <c r="I2213" s="58"/>
      <c r="J2213" s="58"/>
      <c r="K2213" s="58"/>
      <c r="L2213" s="58"/>
      <c r="M2213" s="59"/>
      <c r="N2213" s="58"/>
      <c r="O2213" s="59"/>
      <c r="P2213" s="58"/>
      <c r="Q2213" s="59"/>
      <c r="R2213" s="58"/>
    </row>
    <row r="2214">
      <c r="A2214" s="56"/>
      <c r="B2214" s="19"/>
      <c r="C2214" s="19"/>
      <c r="E2214" s="59"/>
      <c r="F2214" s="58"/>
      <c r="G2214" s="59"/>
      <c r="H2214" s="58"/>
      <c r="I2214" s="58"/>
      <c r="J2214" s="58"/>
      <c r="K2214" s="58"/>
      <c r="L2214" s="58"/>
      <c r="M2214" s="59"/>
      <c r="N2214" s="58"/>
      <c r="O2214" s="59"/>
      <c r="P2214" s="58"/>
      <c r="Q2214" s="59"/>
      <c r="R2214" s="58"/>
    </row>
    <row r="2215">
      <c r="A2215" s="56"/>
      <c r="B2215" s="19"/>
      <c r="C2215" s="19"/>
      <c r="E2215" s="59"/>
      <c r="F2215" s="58"/>
      <c r="G2215" s="59"/>
      <c r="H2215" s="58"/>
      <c r="I2215" s="58"/>
      <c r="J2215" s="58"/>
      <c r="K2215" s="58"/>
      <c r="L2215" s="58"/>
      <c r="M2215" s="59"/>
      <c r="N2215" s="58"/>
      <c r="O2215" s="59"/>
      <c r="P2215" s="58"/>
      <c r="Q2215" s="59"/>
      <c r="R2215" s="58"/>
    </row>
    <row r="2216">
      <c r="A2216" s="56"/>
      <c r="B2216" s="19"/>
      <c r="C2216" s="19"/>
      <c r="E2216" s="59"/>
      <c r="F2216" s="58"/>
      <c r="G2216" s="59"/>
      <c r="H2216" s="58"/>
      <c r="I2216" s="58"/>
      <c r="J2216" s="58"/>
      <c r="K2216" s="58"/>
      <c r="L2216" s="58"/>
      <c r="M2216" s="59"/>
      <c r="N2216" s="58"/>
      <c r="O2216" s="59"/>
      <c r="P2216" s="58"/>
      <c r="Q2216" s="59"/>
      <c r="R2216" s="58"/>
    </row>
    <row r="2217">
      <c r="A2217" s="56"/>
      <c r="B2217" s="19"/>
      <c r="C2217" s="19"/>
      <c r="E2217" s="59"/>
      <c r="F2217" s="58"/>
      <c r="G2217" s="59"/>
      <c r="H2217" s="58"/>
      <c r="I2217" s="58"/>
      <c r="J2217" s="58"/>
      <c r="K2217" s="58"/>
      <c r="L2217" s="58"/>
      <c r="M2217" s="59"/>
      <c r="N2217" s="58"/>
      <c r="O2217" s="59"/>
      <c r="P2217" s="58"/>
      <c r="Q2217" s="59"/>
      <c r="R2217" s="58"/>
    </row>
    <row r="2218">
      <c r="A2218" s="56"/>
      <c r="B2218" s="19"/>
      <c r="C2218" s="19"/>
      <c r="E2218" s="59"/>
      <c r="F2218" s="58"/>
      <c r="G2218" s="59"/>
      <c r="H2218" s="58"/>
      <c r="I2218" s="58"/>
      <c r="J2218" s="58"/>
      <c r="K2218" s="58"/>
      <c r="L2218" s="58"/>
      <c r="M2218" s="59"/>
      <c r="N2218" s="58"/>
      <c r="O2218" s="59"/>
      <c r="P2218" s="58"/>
      <c r="Q2218" s="59"/>
      <c r="R2218" s="58"/>
    </row>
    <row r="2219">
      <c r="A2219" s="56"/>
      <c r="B2219" s="19"/>
      <c r="C2219" s="19"/>
      <c r="E2219" s="59"/>
      <c r="F2219" s="58"/>
      <c r="G2219" s="59"/>
      <c r="H2219" s="58"/>
      <c r="I2219" s="58"/>
      <c r="J2219" s="58"/>
      <c r="K2219" s="58"/>
      <c r="L2219" s="58"/>
      <c r="M2219" s="59"/>
      <c r="N2219" s="58"/>
      <c r="O2219" s="59"/>
      <c r="P2219" s="58"/>
      <c r="Q2219" s="59"/>
      <c r="R2219" s="58"/>
    </row>
    <row r="2220">
      <c r="A2220" s="56"/>
      <c r="B2220" s="19"/>
      <c r="C2220" s="19"/>
      <c r="E2220" s="59"/>
      <c r="F2220" s="58"/>
      <c r="G2220" s="59"/>
      <c r="H2220" s="58"/>
      <c r="I2220" s="58"/>
      <c r="J2220" s="58"/>
      <c r="K2220" s="58"/>
      <c r="L2220" s="58"/>
      <c r="M2220" s="59"/>
      <c r="N2220" s="58"/>
      <c r="O2220" s="59"/>
      <c r="P2220" s="58"/>
      <c r="Q2220" s="59"/>
      <c r="R2220" s="58"/>
    </row>
    <row r="2221">
      <c r="A2221" s="56"/>
      <c r="B2221" s="19"/>
      <c r="C2221" s="19"/>
      <c r="E2221" s="59"/>
      <c r="F2221" s="58"/>
      <c r="G2221" s="59"/>
      <c r="H2221" s="58"/>
      <c r="I2221" s="58"/>
      <c r="J2221" s="58"/>
      <c r="K2221" s="58"/>
      <c r="L2221" s="58"/>
      <c r="M2221" s="59"/>
      <c r="N2221" s="58"/>
      <c r="O2221" s="59"/>
      <c r="P2221" s="58"/>
      <c r="Q2221" s="59"/>
      <c r="R2221" s="58"/>
    </row>
    <row r="2222">
      <c r="A2222" s="56"/>
      <c r="B2222" s="19"/>
      <c r="C2222" s="19"/>
      <c r="E2222" s="59"/>
      <c r="F2222" s="58"/>
      <c r="G2222" s="59"/>
      <c r="H2222" s="58"/>
      <c r="I2222" s="58"/>
      <c r="J2222" s="58"/>
      <c r="K2222" s="58"/>
      <c r="L2222" s="58"/>
      <c r="M2222" s="59"/>
      <c r="N2222" s="58"/>
      <c r="O2222" s="59"/>
      <c r="P2222" s="58"/>
      <c r="Q2222" s="59"/>
      <c r="R2222" s="58"/>
    </row>
    <row r="2223">
      <c r="A2223" s="56"/>
      <c r="B2223" s="19"/>
      <c r="C2223" s="19"/>
      <c r="E2223" s="59"/>
      <c r="F2223" s="58"/>
      <c r="G2223" s="59"/>
      <c r="H2223" s="58"/>
      <c r="I2223" s="58"/>
      <c r="J2223" s="58"/>
      <c r="K2223" s="58"/>
      <c r="L2223" s="58"/>
      <c r="M2223" s="59"/>
      <c r="N2223" s="58"/>
      <c r="O2223" s="59"/>
      <c r="P2223" s="58"/>
      <c r="Q2223" s="59"/>
      <c r="R2223" s="58"/>
    </row>
    <row r="2224">
      <c r="A2224" s="56"/>
      <c r="B2224" s="19"/>
      <c r="C2224" s="19"/>
      <c r="E2224" s="59"/>
      <c r="F2224" s="58"/>
      <c r="G2224" s="59"/>
      <c r="H2224" s="58"/>
      <c r="I2224" s="58"/>
      <c r="J2224" s="58"/>
      <c r="K2224" s="58"/>
      <c r="L2224" s="58"/>
      <c r="M2224" s="59"/>
      <c r="N2224" s="58"/>
      <c r="O2224" s="59"/>
      <c r="P2224" s="58"/>
      <c r="Q2224" s="59"/>
      <c r="R2224" s="58"/>
    </row>
    <row r="2225">
      <c r="A2225" s="56"/>
      <c r="B2225" s="19"/>
      <c r="C2225" s="19"/>
      <c r="E2225" s="59"/>
      <c r="F2225" s="58"/>
      <c r="G2225" s="59"/>
      <c r="H2225" s="58"/>
      <c r="I2225" s="58"/>
      <c r="J2225" s="58"/>
      <c r="K2225" s="58"/>
      <c r="L2225" s="58"/>
      <c r="M2225" s="59"/>
      <c r="N2225" s="58"/>
      <c r="O2225" s="59"/>
      <c r="P2225" s="58"/>
      <c r="Q2225" s="59"/>
      <c r="R2225" s="58"/>
    </row>
    <row r="2226">
      <c r="A2226" s="56"/>
      <c r="B2226" s="19"/>
      <c r="C2226" s="19"/>
      <c r="E2226" s="59"/>
      <c r="F2226" s="58"/>
      <c r="G2226" s="59"/>
      <c r="H2226" s="58"/>
      <c r="I2226" s="58"/>
      <c r="J2226" s="58"/>
      <c r="K2226" s="58"/>
      <c r="L2226" s="58"/>
      <c r="M2226" s="59"/>
      <c r="N2226" s="58"/>
      <c r="O2226" s="59"/>
      <c r="P2226" s="58"/>
      <c r="Q2226" s="59"/>
      <c r="R2226" s="58"/>
    </row>
    <row r="2227">
      <c r="A2227" s="56"/>
      <c r="B2227" s="19"/>
      <c r="C2227" s="19"/>
      <c r="E2227" s="59"/>
      <c r="F2227" s="58"/>
      <c r="G2227" s="59"/>
      <c r="H2227" s="58"/>
      <c r="I2227" s="58"/>
      <c r="J2227" s="58"/>
      <c r="K2227" s="58"/>
      <c r="L2227" s="58"/>
      <c r="M2227" s="59"/>
      <c r="N2227" s="58"/>
      <c r="O2227" s="59"/>
      <c r="P2227" s="58"/>
      <c r="Q2227" s="59"/>
      <c r="R2227" s="58"/>
    </row>
    <row r="2228">
      <c r="A2228" s="56"/>
      <c r="B2228" s="19"/>
      <c r="C2228" s="19"/>
      <c r="E2228" s="59"/>
      <c r="F2228" s="58"/>
      <c r="G2228" s="59"/>
      <c r="H2228" s="58"/>
      <c r="I2228" s="58"/>
      <c r="J2228" s="58"/>
      <c r="K2228" s="58"/>
      <c r="L2228" s="58"/>
      <c r="M2228" s="59"/>
      <c r="N2228" s="58"/>
      <c r="O2228" s="59"/>
      <c r="P2228" s="58"/>
      <c r="Q2228" s="59"/>
      <c r="R2228" s="58"/>
    </row>
    <row r="2229">
      <c r="A2229" s="56"/>
      <c r="B2229" s="19"/>
      <c r="C2229" s="19"/>
      <c r="E2229" s="59"/>
      <c r="F2229" s="58"/>
      <c r="G2229" s="59"/>
      <c r="H2229" s="58"/>
      <c r="I2229" s="58"/>
      <c r="J2229" s="58"/>
      <c r="K2229" s="58"/>
      <c r="L2229" s="58"/>
      <c r="M2229" s="59"/>
      <c r="N2229" s="58"/>
      <c r="O2229" s="59"/>
      <c r="P2229" s="58"/>
      <c r="Q2229" s="59"/>
      <c r="R2229" s="58"/>
    </row>
    <row r="2230">
      <c r="A2230" s="56"/>
      <c r="B2230" s="19"/>
      <c r="C2230" s="19"/>
      <c r="E2230" s="59"/>
      <c r="F2230" s="58"/>
      <c r="G2230" s="59"/>
      <c r="H2230" s="58"/>
      <c r="I2230" s="58"/>
      <c r="J2230" s="58"/>
      <c r="K2230" s="58"/>
      <c r="L2230" s="58"/>
      <c r="M2230" s="59"/>
      <c r="N2230" s="58"/>
      <c r="O2230" s="59"/>
      <c r="P2230" s="58"/>
      <c r="Q2230" s="59"/>
      <c r="R2230" s="58"/>
    </row>
    <row r="2231">
      <c r="A2231" s="56"/>
      <c r="B2231" s="19"/>
      <c r="C2231" s="19"/>
      <c r="E2231" s="59"/>
      <c r="F2231" s="58"/>
      <c r="G2231" s="59"/>
      <c r="H2231" s="58"/>
      <c r="I2231" s="58"/>
      <c r="J2231" s="58"/>
      <c r="K2231" s="58"/>
      <c r="L2231" s="58"/>
      <c r="M2231" s="59"/>
      <c r="N2231" s="58"/>
      <c r="O2231" s="59"/>
      <c r="P2231" s="58"/>
      <c r="Q2231" s="59"/>
      <c r="R2231" s="58"/>
    </row>
    <row r="2232">
      <c r="A2232" s="56"/>
      <c r="B2232" s="19"/>
      <c r="C2232" s="19"/>
      <c r="E2232" s="59"/>
      <c r="F2232" s="58"/>
      <c r="G2232" s="59"/>
      <c r="H2232" s="58"/>
      <c r="I2232" s="58"/>
      <c r="J2232" s="58"/>
      <c r="K2232" s="58"/>
      <c r="L2232" s="58"/>
      <c r="M2232" s="59"/>
      <c r="N2232" s="58"/>
      <c r="O2232" s="59"/>
      <c r="P2232" s="58"/>
      <c r="Q2232" s="59"/>
      <c r="R2232" s="58"/>
    </row>
    <row r="2233">
      <c r="A2233" s="56"/>
      <c r="B2233" s="19"/>
      <c r="C2233" s="19"/>
      <c r="E2233" s="59"/>
      <c r="F2233" s="58"/>
      <c r="G2233" s="59"/>
      <c r="H2233" s="58"/>
      <c r="I2233" s="58"/>
      <c r="J2233" s="58"/>
      <c r="K2233" s="58"/>
      <c r="L2233" s="58"/>
      <c r="M2233" s="59"/>
      <c r="N2233" s="58"/>
      <c r="O2233" s="59"/>
      <c r="P2233" s="58"/>
      <c r="Q2233" s="59"/>
      <c r="R2233" s="58"/>
    </row>
    <row r="2234">
      <c r="A2234" s="56"/>
      <c r="B2234" s="19"/>
      <c r="C2234" s="19"/>
      <c r="E2234" s="59"/>
      <c r="F2234" s="58"/>
      <c r="G2234" s="59"/>
      <c r="H2234" s="58"/>
      <c r="I2234" s="58"/>
      <c r="J2234" s="58"/>
      <c r="K2234" s="58"/>
      <c r="L2234" s="58"/>
      <c r="M2234" s="59"/>
      <c r="N2234" s="58"/>
      <c r="O2234" s="59"/>
      <c r="P2234" s="58"/>
      <c r="Q2234" s="59"/>
      <c r="R2234" s="58"/>
    </row>
    <row r="2235">
      <c r="A2235" s="56"/>
      <c r="B2235" s="19"/>
      <c r="C2235" s="19"/>
      <c r="E2235" s="59"/>
      <c r="F2235" s="58"/>
      <c r="G2235" s="59"/>
      <c r="H2235" s="58"/>
      <c r="I2235" s="58"/>
      <c r="J2235" s="58"/>
      <c r="K2235" s="58"/>
      <c r="L2235" s="58"/>
      <c r="M2235" s="59"/>
      <c r="N2235" s="58"/>
      <c r="O2235" s="59"/>
      <c r="P2235" s="58"/>
      <c r="Q2235" s="59"/>
      <c r="R2235" s="58"/>
    </row>
    <row r="2236">
      <c r="A2236" s="56"/>
      <c r="B2236" s="19"/>
      <c r="C2236" s="19"/>
      <c r="E2236" s="59"/>
      <c r="F2236" s="58"/>
      <c r="G2236" s="59"/>
      <c r="H2236" s="58"/>
      <c r="I2236" s="58"/>
      <c r="J2236" s="58"/>
      <c r="K2236" s="58"/>
      <c r="L2236" s="58"/>
      <c r="M2236" s="59"/>
      <c r="N2236" s="58"/>
      <c r="O2236" s="59"/>
      <c r="P2236" s="58"/>
      <c r="Q2236" s="59"/>
      <c r="R2236" s="58"/>
    </row>
    <row r="2237">
      <c r="A2237" s="56"/>
      <c r="B2237" s="19"/>
      <c r="C2237" s="19"/>
      <c r="E2237" s="59"/>
      <c r="F2237" s="58"/>
      <c r="G2237" s="59"/>
      <c r="H2237" s="58"/>
      <c r="I2237" s="58"/>
      <c r="J2237" s="58"/>
      <c r="K2237" s="58"/>
      <c r="L2237" s="58"/>
      <c r="M2237" s="59"/>
      <c r="N2237" s="58"/>
      <c r="O2237" s="59"/>
      <c r="P2237" s="58"/>
      <c r="Q2237" s="59"/>
      <c r="R2237" s="58"/>
    </row>
    <row r="2238">
      <c r="A2238" s="56"/>
      <c r="B2238" s="19"/>
      <c r="C2238" s="19"/>
      <c r="E2238" s="59"/>
      <c r="F2238" s="58"/>
      <c r="G2238" s="59"/>
      <c r="H2238" s="58"/>
      <c r="I2238" s="58"/>
      <c r="J2238" s="58"/>
      <c r="K2238" s="58"/>
      <c r="L2238" s="58"/>
      <c r="M2238" s="59"/>
      <c r="N2238" s="58"/>
      <c r="O2238" s="59"/>
      <c r="P2238" s="58"/>
      <c r="Q2238" s="59"/>
      <c r="R2238" s="58"/>
    </row>
    <row r="2239">
      <c r="A2239" s="56"/>
      <c r="B2239" s="19"/>
      <c r="C2239" s="19"/>
      <c r="E2239" s="59"/>
      <c r="F2239" s="58"/>
      <c r="G2239" s="59"/>
      <c r="H2239" s="58"/>
      <c r="I2239" s="58"/>
      <c r="J2239" s="58"/>
      <c r="K2239" s="58"/>
      <c r="L2239" s="58"/>
      <c r="M2239" s="59"/>
      <c r="N2239" s="58"/>
      <c r="O2239" s="59"/>
      <c r="P2239" s="58"/>
      <c r="Q2239" s="59"/>
      <c r="R2239" s="58"/>
    </row>
    <row r="2240">
      <c r="A2240" s="56"/>
      <c r="B2240" s="19"/>
      <c r="C2240" s="19"/>
      <c r="E2240" s="59"/>
      <c r="F2240" s="58"/>
      <c r="G2240" s="59"/>
      <c r="H2240" s="58"/>
      <c r="I2240" s="58"/>
      <c r="J2240" s="58"/>
      <c r="K2240" s="58"/>
      <c r="L2240" s="58"/>
      <c r="M2240" s="59"/>
      <c r="N2240" s="58"/>
      <c r="O2240" s="59"/>
      <c r="P2240" s="58"/>
      <c r="Q2240" s="59"/>
      <c r="R2240" s="58"/>
    </row>
    <row r="2241">
      <c r="A2241" s="56"/>
      <c r="B2241" s="19"/>
      <c r="C2241" s="19"/>
      <c r="E2241" s="59"/>
      <c r="F2241" s="58"/>
      <c r="G2241" s="59"/>
      <c r="H2241" s="58"/>
      <c r="I2241" s="58"/>
      <c r="J2241" s="58"/>
      <c r="K2241" s="58"/>
      <c r="L2241" s="58"/>
      <c r="M2241" s="59"/>
      <c r="N2241" s="58"/>
      <c r="O2241" s="59"/>
      <c r="P2241" s="58"/>
      <c r="Q2241" s="59"/>
      <c r="R2241" s="58"/>
    </row>
    <row r="2242">
      <c r="A2242" s="56"/>
      <c r="B2242" s="19"/>
      <c r="C2242" s="19"/>
      <c r="E2242" s="59"/>
      <c r="F2242" s="58"/>
      <c r="G2242" s="59"/>
      <c r="H2242" s="58"/>
      <c r="I2242" s="58"/>
      <c r="J2242" s="58"/>
      <c r="K2242" s="58"/>
      <c r="L2242" s="58"/>
      <c r="M2242" s="59"/>
      <c r="N2242" s="58"/>
      <c r="O2242" s="59"/>
      <c r="P2242" s="58"/>
      <c r="Q2242" s="59"/>
      <c r="R2242" s="58"/>
    </row>
    <row r="2243">
      <c r="A2243" s="56"/>
      <c r="B2243" s="19"/>
      <c r="C2243" s="19"/>
      <c r="E2243" s="59"/>
      <c r="F2243" s="58"/>
      <c r="G2243" s="59"/>
      <c r="H2243" s="58"/>
      <c r="I2243" s="58"/>
      <c r="J2243" s="58"/>
      <c r="K2243" s="58"/>
      <c r="L2243" s="58"/>
      <c r="M2243" s="59"/>
      <c r="N2243" s="58"/>
      <c r="O2243" s="59"/>
      <c r="P2243" s="58"/>
      <c r="Q2243" s="59"/>
      <c r="R2243" s="58"/>
    </row>
    <row r="2244">
      <c r="A2244" s="56"/>
      <c r="B2244" s="19"/>
      <c r="C2244" s="19"/>
      <c r="E2244" s="59"/>
      <c r="F2244" s="58"/>
      <c r="G2244" s="59"/>
      <c r="H2244" s="58"/>
      <c r="I2244" s="58"/>
      <c r="J2244" s="58"/>
      <c r="K2244" s="58"/>
      <c r="L2244" s="58"/>
      <c r="M2244" s="59"/>
      <c r="N2244" s="58"/>
      <c r="O2244" s="59"/>
      <c r="P2244" s="58"/>
      <c r="Q2244" s="59"/>
      <c r="R2244" s="58"/>
    </row>
    <row r="2245">
      <c r="A2245" s="56"/>
      <c r="B2245" s="19"/>
      <c r="C2245" s="19"/>
      <c r="E2245" s="59"/>
      <c r="F2245" s="58"/>
      <c r="G2245" s="59"/>
      <c r="H2245" s="58"/>
      <c r="I2245" s="58"/>
      <c r="J2245" s="58"/>
      <c r="K2245" s="58"/>
      <c r="L2245" s="58"/>
      <c r="M2245" s="59"/>
      <c r="N2245" s="58"/>
      <c r="O2245" s="59"/>
      <c r="P2245" s="58"/>
      <c r="Q2245" s="59"/>
      <c r="R2245" s="58"/>
    </row>
    <row r="2246">
      <c r="A2246" s="56"/>
      <c r="B2246" s="19"/>
      <c r="C2246" s="19"/>
      <c r="E2246" s="59"/>
      <c r="F2246" s="58"/>
      <c r="G2246" s="59"/>
      <c r="H2246" s="58"/>
      <c r="I2246" s="58"/>
      <c r="J2246" s="58"/>
      <c r="K2246" s="58"/>
      <c r="L2246" s="58"/>
      <c r="M2246" s="59"/>
      <c r="N2246" s="58"/>
      <c r="O2246" s="59"/>
      <c r="P2246" s="58"/>
      <c r="Q2246" s="59"/>
      <c r="R2246" s="58"/>
    </row>
    <row r="2247">
      <c r="A2247" s="56"/>
      <c r="B2247" s="19"/>
      <c r="C2247" s="19"/>
      <c r="E2247" s="59"/>
      <c r="F2247" s="58"/>
      <c r="G2247" s="59"/>
      <c r="H2247" s="58"/>
      <c r="I2247" s="58"/>
      <c r="J2247" s="58"/>
      <c r="K2247" s="58"/>
      <c r="L2247" s="58"/>
      <c r="M2247" s="59"/>
      <c r="N2247" s="58"/>
      <c r="O2247" s="59"/>
      <c r="P2247" s="58"/>
      <c r="Q2247" s="59"/>
      <c r="R2247" s="58"/>
    </row>
    <row r="2248">
      <c r="A2248" s="56"/>
      <c r="B2248" s="19"/>
      <c r="C2248" s="19"/>
      <c r="E2248" s="59"/>
      <c r="F2248" s="58"/>
      <c r="G2248" s="59"/>
      <c r="H2248" s="58"/>
      <c r="I2248" s="58"/>
      <c r="J2248" s="58"/>
      <c r="K2248" s="58"/>
      <c r="L2248" s="58"/>
      <c r="M2248" s="59"/>
      <c r="N2248" s="58"/>
      <c r="O2248" s="59"/>
      <c r="P2248" s="58"/>
      <c r="Q2248" s="59"/>
      <c r="R2248" s="58"/>
    </row>
    <row r="2249">
      <c r="A2249" s="56"/>
      <c r="B2249" s="19"/>
      <c r="C2249" s="19"/>
      <c r="E2249" s="59"/>
      <c r="F2249" s="58"/>
      <c r="G2249" s="59"/>
      <c r="H2249" s="58"/>
      <c r="I2249" s="58"/>
      <c r="J2249" s="58"/>
      <c r="K2249" s="58"/>
      <c r="L2249" s="58"/>
      <c r="M2249" s="59"/>
      <c r="N2249" s="58"/>
      <c r="O2249" s="59"/>
      <c r="P2249" s="58"/>
      <c r="Q2249" s="59"/>
      <c r="R2249" s="58"/>
    </row>
    <row r="2250">
      <c r="A2250" s="56"/>
      <c r="B2250" s="19"/>
      <c r="C2250" s="19"/>
      <c r="E2250" s="59"/>
      <c r="F2250" s="58"/>
      <c r="G2250" s="59"/>
      <c r="H2250" s="58"/>
      <c r="I2250" s="58"/>
      <c r="J2250" s="58"/>
      <c r="K2250" s="58"/>
      <c r="L2250" s="58"/>
      <c r="M2250" s="59"/>
      <c r="N2250" s="58"/>
      <c r="O2250" s="59"/>
      <c r="P2250" s="58"/>
      <c r="Q2250" s="59"/>
      <c r="R2250" s="58"/>
    </row>
    <row r="2251">
      <c r="A2251" s="56"/>
      <c r="B2251" s="19"/>
      <c r="C2251" s="19"/>
      <c r="E2251" s="59"/>
      <c r="F2251" s="58"/>
      <c r="G2251" s="59"/>
      <c r="H2251" s="58"/>
      <c r="I2251" s="58"/>
      <c r="J2251" s="58"/>
      <c r="K2251" s="58"/>
      <c r="L2251" s="58"/>
      <c r="M2251" s="59"/>
      <c r="N2251" s="58"/>
      <c r="O2251" s="59"/>
      <c r="P2251" s="58"/>
      <c r="Q2251" s="59"/>
      <c r="R2251" s="58"/>
    </row>
    <row r="2252">
      <c r="A2252" s="56"/>
      <c r="B2252" s="19"/>
      <c r="C2252" s="19"/>
      <c r="E2252" s="59"/>
      <c r="F2252" s="58"/>
      <c r="G2252" s="59"/>
      <c r="H2252" s="58"/>
      <c r="I2252" s="58"/>
      <c r="J2252" s="58"/>
      <c r="K2252" s="58"/>
      <c r="L2252" s="58"/>
      <c r="M2252" s="59"/>
      <c r="N2252" s="58"/>
      <c r="O2252" s="59"/>
      <c r="P2252" s="58"/>
      <c r="Q2252" s="59"/>
      <c r="R2252" s="58"/>
    </row>
    <row r="2253">
      <c r="A2253" s="56"/>
      <c r="B2253" s="19"/>
      <c r="C2253" s="19"/>
      <c r="E2253" s="59"/>
      <c r="F2253" s="58"/>
      <c r="G2253" s="59"/>
      <c r="H2253" s="58"/>
      <c r="I2253" s="58"/>
      <c r="J2253" s="58"/>
      <c r="K2253" s="58"/>
      <c r="L2253" s="58"/>
      <c r="M2253" s="59"/>
      <c r="N2253" s="58"/>
      <c r="O2253" s="59"/>
      <c r="P2253" s="58"/>
      <c r="Q2253" s="59"/>
      <c r="R2253" s="58"/>
    </row>
    <row r="2254">
      <c r="A2254" s="56"/>
      <c r="B2254" s="19"/>
      <c r="C2254" s="19"/>
      <c r="E2254" s="59"/>
      <c r="F2254" s="58"/>
      <c r="G2254" s="59"/>
      <c r="H2254" s="58"/>
      <c r="I2254" s="58"/>
      <c r="J2254" s="58"/>
      <c r="K2254" s="58"/>
      <c r="L2254" s="58"/>
      <c r="M2254" s="59"/>
      <c r="N2254" s="58"/>
      <c r="O2254" s="59"/>
      <c r="P2254" s="58"/>
      <c r="Q2254" s="59"/>
      <c r="R2254" s="58"/>
    </row>
    <row r="2255">
      <c r="A2255" s="56"/>
      <c r="B2255" s="19"/>
      <c r="C2255" s="19"/>
      <c r="E2255" s="59"/>
      <c r="F2255" s="58"/>
      <c r="G2255" s="59"/>
      <c r="H2255" s="58"/>
      <c r="I2255" s="58"/>
      <c r="J2255" s="58"/>
      <c r="K2255" s="58"/>
      <c r="L2255" s="58"/>
      <c r="M2255" s="59"/>
      <c r="N2255" s="58"/>
      <c r="O2255" s="59"/>
      <c r="P2255" s="58"/>
      <c r="Q2255" s="59"/>
      <c r="R2255" s="58"/>
    </row>
    <row r="2256">
      <c r="A2256" s="56"/>
      <c r="B2256" s="19"/>
      <c r="C2256" s="19"/>
      <c r="E2256" s="59"/>
      <c r="F2256" s="58"/>
      <c r="G2256" s="59"/>
      <c r="H2256" s="58"/>
      <c r="I2256" s="58"/>
      <c r="J2256" s="58"/>
      <c r="K2256" s="58"/>
      <c r="L2256" s="58"/>
      <c r="M2256" s="59"/>
      <c r="N2256" s="58"/>
      <c r="O2256" s="59"/>
      <c r="P2256" s="58"/>
      <c r="Q2256" s="59"/>
      <c r="R2256" s="58"/>
    </row>
    <row r="2257">
      <c r="A2257" s="56"/>
      <c r="B2257" s="19"/>
      <c r="C2257" s="19"/>
      <c r="E2257" s="59"/>
      <c r="F2257" s="58"/>
      <c r="G2257" s="59"/>
      <c r="H2257" s="58"/>
      <c r="I2257" s="58"/>
      <c r="J2257" s="58"/>
      <c r="K2257" s="58"/>
      <c r="L2257" s="58"/>
      <c r="M2257" s="59"/>
      <c r="N2257" s="58"/>
      <c r="O2257" s="59"/>
      <c r="P2257" s="58"/>
      <c r="Q2257" s="59"/>
      <c r="R2257" s="58"/>
    </row>
    <row r="2258">
      <c r="A2258" s="56"/>
      <c r="B2258" s="19"/>
      <c r="C2258" s="19"/>
      <c r="E2258" s="59"/>
      <c r="F2258" s="58"/>
      <c r="G2258" s="59"/>
      <c r="H2258" s="58"/>
      <c r="I2258" s="58"/>
      <c r="J2258" s="58"/>
      <c r="K2258" s="58"/>
      <c r="L2258" s="58"/>
      <c r="M2258" s="59"/>
      <c r="N2258" s="58"/>
      <c r="O2258" s="59"/>
      <c r="P2258" s="58"/>
      <c r="Q2258" s="59"/>
      <c r="R2258" s="58"/>
    </row>
    <row r="2259">
      <c r="A2259" s="56"/>
      <c r="B2259" s="19"/>
      <c r="C2259" s="19"/>
      <c r="E2259" s="59"/>
      <c r="F2259" s="58"/>
      <c r="G2259" s="59"/>
      <c r="H2259" s="58"/>
      <c r="I2259" s="58"/>
      <c r="J2259" s="58"/>
      <c r="K2259" s="58"/>
      <c r="L2259" s="58"/>
      <c r="M2259" s="59"/>
      <c r="N2259" s="58"/>
      <c r="O2259" s="59"/>
      <c r="P2259" s="58"/>
      <c r="Q2259" s="59"/>
      <c r="R2259" s="58"/>
    </row>
    <row r="2260">
      <c r="A2260" s="56"/>
      <c r="B2260" s="19"/>
      <c r="C2260" s="19"/>
      <c r="E2260" s="59"/>
      <c r="F2260" s="58"/>
      <c r="G2260" s="59"/>
      <c r="H2260" s="58"/>
      <c r="I2260" s="58"/>
      <c r="J2260" s="58"/>
      <c r="K2260" s="58"/>
      <c r="L2260" s="58"/>
      <c r="M2260" s="59"/>
      <c r="N2260" s="58"/>
      <c r="O2260" s="59"/>
      <c r="P2260" s="58"/>
      <c r="Q2260" s="59"/>
      <c r="R2260" s="58"/>
    </row>
    <row r="2261">
      <c r="A2261" s="56"/>
      <c r="B2261" s="19"/>
      <c r="C2261" s="19"/>
      <c r="E2261" s="59"/>
      <c r="F2261" s="58"/>
      <c r="G2261" s="59"/>
      <c r="H2261" s="58"/>
      <c r="I2261" s="58"/>
      <c r="J2261" s="58"/>
      <c r="K2261" s="58"/>
      <c r="L2261" s="58"/>
      <c r="M2261" s="59"/>
      <c r="N2261" s="58"/>
      <c r="O2261" s="59"/>
      <c r="P2261" s="58"/>
      <c r="Q2261" s="59"/>
      <c r="R2261" s="58"/>
    </row>
    <row r="2262">
      <c r="A2262" s="56"/>
      <c r="B2262" s="19"/>
      <c r="C2262" s="19"/>
      <c r="E2262" s="59"/>
      <c r="F2262" s="58"/>
      <c r="G2262" s="59"/>
      <c r="H2262" s="58"/>
      <c r="I2262" s="58"/>
      <c r="J2262" s="58"/>
      <c r="K2262" s="58"/>
      <c r="L2262" s="58"/>
      <c r="M2262" s="59"/>
      <c r="N2262" s="58"/>
      <c r="O2262" s="59"/>
      <c r="P2262" s="58"/>
      <c r="Q2262" s="59"/>
      <c r="R2262" s="58"/>
    </row>
    <row r="2263">
      <c r="A2263" s="56"/>
      <c r="B2263" s="19"/>
      <c r="C2263" s="19"/>
      <c r="E2263" s="59"/>
      <c r="F2263" s="58"/>
      <c r="G2263" s="59"/>
      <c r="H2263" s="58"/>
      <c r="I2263" s="58"/>
      <c r="J2263" s="58"/>
      <c r="K2263" s="58"/>
      <c r="L2263" s="58"/>
      <c r="M2263" s="59"/>
      <c r="N2263" s="58"/>
      <c r="O2263" s="59"/>
      <c r="P2263" s="58"/>
      <c r="Q2263" s="59"/>
      <c r="R2263" s="58"/>
    </row>
    <row r="2264">
      <c r="A2264" s="56"/>
      <c r="B2264" s="19"/>
      <c r="C2264" s="19"/>
      <c r="E2264" s="59"/>
      <c r="F2264" s="58"/>
      <c r="G2264" s="59"/>
      <c r="H2264" s="58"/>
      <c r="I2264" s="58"/>
      <c r="J2264" s="58"/>
      <c r="K2264" s="58"/>
      <c r="L2264" s="58"/>
      <c r="M2264" s="59"/>
      <c r="N2264" s="58"/>
      <c r="O2264" s="59"/>
      <c r="P2264" s="58"/>
      <c r="Q2264" s="59"/>
      <c r="R2264" s="58"/>
    </row>
    <row r="2265">
      <c r="A2265" s="56"/>
      <c r="B2265" s="19"/>
      <c r="C2265" s="19"/>
      <c r="E2265" s="59"/>
      <c r="F2265" s="58"/>
      <c r="G2265" s="59"/>
      <c r="H2265" s="58"/>
      <c r="I2265" s="58"/>
      <c r="J2265" s="58"/>
      <c r="K2265" s="58"/>
      <c r="L2265" s="58"/>
      <c r="M2265" s="59"/>
      <c r="N2265" s="58"/>
      <c r="O2265" s="59"/>
      <c r="P2265" s="58"/>
      <c r="Q2265" s="59"/>
      <c r="R2265" s="58"/>
    </row>
    <row r="2266">
      <c r="A2266" s="56"/>
      <c r="B2266" s="19"/>
      <c r="C2266" s="19"/>
      <c r="E2266" s="59"/>
      <c r="F2266" s="58"/>
      <c r="G2266" s="59"/>
      <c r="H2266" s="58"/>
      <c r="I2266" s="58"/>
      <c r="J2266" s="58"/>
      <c r="K2266" s="58"/>
      <c r="L2266" s="58"/>
      <c r="M2266" s="59"/>
      <c r="N2266" s="58"/>
      <c r="O2266" s="59"/>
      <c r="P2266" s="58"/>
      <c r="Q2266" s="59"/>
      <c r="R2266" s="58"/>
    </row>
    <row r="2267">
      <c r="A2267" s="56"/>
      <c r="B2267" s="19"/>
      <c r="C2267" s="19"/>
      <c r="E2267" s="59"/>
      <c r="F2267" s="58"/>
      <c r="G2267" s="59"/>
      <c r="H2267" s="58"/>
      <c r="I2267" s="58"/>
      <c r="J2267" s="58"/>
      <c r="K2267" s="58"/>
      <c r="L2267" s="58"/>
      <c r="M2267" s="59"/>
      <c r="N2267" s="58"/>
      <c r="O2267" s="59"/>
      <c r="P2267" s="58"/>
      <c r="Q2267" s="59"/>
      <c r="R2267" s="58"/>
    </row>
    <row r="2268">
      <c r="A2268" s="56"/>
      <c r="B2268" s="19"/>
      <c r="C2268" s="19"/>
      <c r="E2268" s="59"/>
      <c r="F2268" s="58"/>
      <c r="G2268" s="59"/>
      <c r="H2268" s="58"/>
      <c r="I2268" s="58"/>
      <c r="J2268" s="58"/>
      <c r="K2268" s="58"/>
      <c r="L2268" s="58"/>
      <c r="M2268" s="59"/>
      <c r="N2268" s="58"/>
      <c r="O2268" s="59"/>
      <c r="P2268" s="58"/>
      <c r="Q2268" s="59"/>
      <c r="R2268" s="58"/>
    </row>
    <row r="2269">
      <c r="A2269" s="56"/>
      <c r="B2269" s="19"/>
      <c r="C2269" s="19"/>
      <c r="E2269" s="59"/>
      <c r="F2269" s="58"/>
      <c r="G2269" s="59"/>
      <c r="H2269" s="58"/>
      <c r="I2269" s="58"/>
      <c r="J2269" s="58"/>
      <c r="K2269" s="58"/>
      <c r="L2269" s="58"/>
      <c r="M2269" s="59"/>
      <c r="N2269" s="58"/>
      <c r="O2269" s="59"/>
      <c r="P2269" s="58"/>
      <c r="Q2269" s="59"/>
      <c r="R2269" s="58"/>
    </row>
    <row r="2270">
      <c r="A2270" s="56"/>
      <c r="B2270" s="19"/>
      <c r="C2270" s="19"/>
      <c r="E2270" s="59"/>
      <c r="F2270" s="58"/>
      <c r="G2270" s="59"/>
      <c r="H2270" s="58"/>
      <c r="I2270" s="58"/>
      <c r="J2270" s="58"/>
      <c r="K2270" s="58"/>
      <c r="L2270" s="58"/>
      <c r="M2270" s="59"/>
      <c r="N2270" s="58"/>
      <c r="O2270" s="59"/>
      <c r="P2270" s="58"/>
      <c r="Q2270" s="59"/>
      <c r="R2270" s="58"/>
    </row>
    <row r="2271">
      <c r="A2271" s="56"/>
      <c r="B2271" s="19"/>
      <c r="C2271" s="19"/>
      <c r="E2271" s="59"/>
      <c r="F2271" s="58"/>
      <c r="G2271" s="59"/>
      <c r="H2271" s="58"/>
      <c r="I2271" s="58"/>
      <c r="J2271" s="58"/>
      <c r="K2271" s="58"/>
      <c r="L2271" s="58"/>
      <c r="M2271" s="59"/>
      <c r="N2271" s="58"/>
      <c r="O2271" s="59"/>
      <c r="P2271" s="58"/>
      <c r="Q2271" s="59"/>
      <c r="R2271" s="58"/>
    </row>
    <row r="2272">
      <c r="A2272" s="56"/>
      <c r="B2272" s="19"/>
      <c r="C2272" s="19"/>
      <c r="E2272" s="59"/>
      <c r="F2272" s="58"/>
      <c r="G2272" s="59"/>
      <c r="H2272" s="58"/>
      <c r="I2272" s="58"/>
      <c r="J2272" s="58"/>
      <c r="K2272" s="58"/>
      <c r="L2272" s="58"/>
      <c r="M2272" s="59"/>
      <c r="N2272" s="58"/>
      <c r="O2272" s="59"/>
      <c r="P2272" s="58"/>
      <c r="Q2272" s="59"/>
      <c r="R2272" s="58"/>
    </row>
    <row r="2273">
      <c r="A2273" s="56"/>
      <c r="B2273" s="19"/>
      <c r="C2273" s="19"/>
      <c r="E2273" s="59"/>
      <c r="F2273" s="58"/>
      <c r="G2273" s="59"/>
      <c r="H2273" s="58"/>
      <c r="I2273" s="58"/>
      <c r="J2273" s="58"/>
      <c r="K2273" s="58"/>
      <c r="L2273" s="58"/>
      <c r="M2273" s="59"/>
      <c r="N2273" s="58"/>
      <c r="O2273" s="59"/>
      <c r="P2273" s="58"/>
      <c r="Q2273" s="59"/>
      <c r="R2273" s="58"/>
    </row>
    <row r="2274">
      <c r="A2274" s="56"/>
      <c r="B2274" s="19"/>
      <c r="C2274" s="19"/>
      <c r="E2274" s="59"/>
      <c r="F2274" s="58"/>
      <c r="G2274" s="59"/>
      <c r="H2274" s="58"/>
      <c r="I2274" s="58"/>
      <c r="J2274" s="58"/>
      <c r="K2274" s="58"/>
      <c r="L2274" s="58"/>
      <c r="M2274" s="59"/>
      <c r="N2274" s="58"/>
      <c r="O2274" s="59"/>
      <c r="P2274" s="58"/>
      <c r="Q2274" s="59"/>
      <c r="R2274" s="58"/>
    </row>
    <row r="2275">
      <c r="A2275" s="56"/>
      <c r="B2275" s="19"/>
      <c r="C2275" s="19"/>
      <c r="E2275" s="59"/>
      <c r="F2275" s="58"/>
      <c r="G2275" s="59"/>
      <c r="H2275" s="58"/>
      <c r="I2275" s="58"/>
      <c r="J2275" s="58"/>
      <c r="K2275" s="58"/>
      <c r="L2275" s="58"/>
      <c r="M2275" s="59"/>
      <c r="N2275" s="58"/>
      <c r="O2275" s="59"/>
      <c r="P2275" s="58"/>
      <c r="Q2275" s="59"/>
      <c r="R2275" s="58"/>
    </row>
    <row r="2276">
      <c r="A2276" s="56"/>
      <c r="B2276" s="19"/>
      <c r="C2276" s="19"/>
      <c r="E2276" s="59"/>
      <c r="F2276" s="58"/>
      <c r="G2276" s="59"/>
      <c r="H2276" s="58"/>
      <c r="I2276" s="58"/>
      <c r="J2276" s="58"/>
      <c r="K2276" s="58"/>
      <c r="L2276" s="58"/>
      <c r="M2276" s="59"/>
      <c r="N2276" s="58"/>
      <c r="O2276" s="59"/>
      <c r="P2276" s="58"/>
      <c r="Q2276" s="59"/>
      <c r="R2276" s="58"/>
    </row>
    <row r="2277">
      <c r="A2277" s="56"/>
      <c r="B2277" s="19"/>
      <c r="C2277" s="19"/>
      <c r="E2277" s="59"/>
      <c r="F2277" s="58"/>
      <c r="G2277" s="59"/>
      <c r="H2277" s="58"/>
      <c r="I2277" s="58"/>
      <c r="J2277" s="58"/>
      <c r="K2277" s="58"/>
      <c r="L2277" s="58"/>
      <c r="M2277" s="59"/>
      <c r="N2277" s="58"/>
      <c r="O2277" s="59"/>
      <c r="P2277" s="58"/>
      <c r="Q2277" s="59"/>
      <c r="R2277" s="58"/>
    </row>
    <row r="2278">
      <c r="A2278" s="56"/>
      <c r="B2278" s="19"/>
      <c r="C2278" s="19"/>
      <c r="E2278" s="59"/>
      <c r="F2278" s="58"/>
      <c r="G2278" s="59"/>
      <c r="H2278" s="58"/>
      <c r="I2278" s="58"/>
      <c r="J2278" s="58"/>
      <c r="K2278" s="58"/>
      <c r="L2278" s="58"/>
      <c r="M2278" s="59"/>
      <c r="N2278" s="58"/>
      <c r="O2278" s="59"/>
      <c r="P2278" s="58"/>
      <c r="Q2278" s="59"/>
      <c r="R2278" s="58"/>
    </row>
    <row r="2279">
      <c r="A2279" s="56"/>
      <c r="B2279" s="19"/>
      <c r="C2279" s="19"/>
      <c r="E2279" s="59"/>
      <c r="F2279" s="58"/>
      <c r="G2279" s="59"/>
      <c r="H2279" s="58"/>
      <c r="I2279" s="58"/>
      <c r="J2279" s="58"/>
      <c r="K2279" s="58"/>
      <c r="L2279" s="58"/>
      <c r="M2279" s="59"/>
      <c r="N2279" s="58"/>
      <c r="O2279" s="59"/>
      <c r="P2279" s="58"/>
      <c r="Q2279" s="59"/>
      <c r="R2279" s="58"/>
    </row>
    <row r="2280">
      <c r="A2280" s="56"/>
      <c r="B2280" s="19"/>
      <c r="C2280" s="19"/>
      <c r="E2280" s="59"/>
      <c r="F2280" s="58"/>
      <c r="G2280" s="59"/>
      <c r="H2280" s="58"/>
      <c r="I2280" s="58"/>
      <c r="J2280" s="58"/>
      <c r="K2280" s="58"/>
      <c r="L2280" s="58"/>
      <c r="M2280" s="59"/>
      <c r="N2280" s="58"/>
      <c r="O2280" s="59"/>
      <c r="P2280" s="58"/>
      <c r="Q2280" s="59"/>
      <c r="R2280" s="58"/>
    </row>
    <row r="2281">
      <c r="A2281" s="56"/>
      <c r="B2281" s="19"/>
      <c r="C2281" s="19"/>
      <c r="E2281" s="59"/>
      <c r="F2281" s="58"/>
      <c r="G2281" s="59"/>
      <c r="H2281" s="58"/>
      <c r="I2281" s="58"/>
      <c r="J2281" s="58"/>
      <c r="K2281" s="58"/>
      <c r="L2281" s="58"/>
      <c r="M2281" s="59"/>
      <c r="N2281" s="58"/>
      <c r="O2281" s="59"/>
      <c r="P2281" s="58"/>
      <c r="Q2281" s="59"/>
      <c r="R2281" s="58"/>
    </row>
    <row r="2282">
      <c r="A2282" s="56"/>
      <c r="B2282" s="19"/>
      <c r="C2282" s="19"/>
      <c r="E2282" s="59"/>
      <c r="F2282" s="58"/>
      <c r="G2282" s="59"/>
      <c r="H2282" s="58"/>
      <c r="I2282" s="58"/>
      <c r="J2282" s="58"/>
      <c r="K2282" s="58"/>
      <c r="L2282" s="58"/>
      <c r="M2282" s="59"/>
      <c r="N2282" s="58"/>
      <c r="O2282" s="59"/>
      <c r="P2282" s="58"/>
      <c r="Q2282" s="59"/>
      <c r="R2282" s="58"/>
    </row>
    <row r="2283">
      <c r="A2283" s="56"/>
      <c r="B2283" s="19"/>
      <c r="C2283" s="19"/>
      <c r="E2283" s="59"/>
      <c r="F2283" s="58"/>
      <c r="G2283" s="59"/>
      <c r="H2283" s="58"/>
      <c r="I2283" s="58"/>
      <c r="J2283" s="58"/>
      <c r="K2283" s="58"/>
      <c r="L2283" s="58"/>
      <c r="M2283" s="59"/>
      <c r="N2283" s="58"/>
      <c r="O2283" s="59"/>
      <c r="P2283" s="58"/>
      <c r="Q2283" s="59"/>
      <c r="R2283" s="58"/>
    </row>
    <row r="2284">
      <c r="A2284" s="56"/>
      <c r="B2284" s="19"/>
      <c r="C2284" s="19"/>
      <c r="E2284" s="59"/>
      <c r="F2284" s="58"/>
      <c r="G2284" s="59"/>
      <c r="H2284" s="58"/>
      <c r="I2284" s="58"/>
      <c r="J2284" s="58"/>
      <c r="K2284" s="58"/>
      <c r="L2284" s="58"/>
      <c r="M2284" s="59"/>
      <c r="N2284" s="58"/>
      <c r="O2284" s="59"/>
      <c r="P2284" s="58"/>
      <c r="Q2284" s="59"/>
      <c r="R2284" s="58"/>
    </row>
    <row r="2285">
      <c r="A2285" s="56"/>
      <c r="B2285" s="19"/>
      <c r="C2285" s="19"/>
      <c r="E2285" s="59"/>
      <c r="F2285" s="58"/>
      <c r="G2285" s="59"/>
      <c r="H2285" s="58"/>
      <c r="I2285" s="58"/>
      <c r="J2285" s="58"/>
      <c r="K2285" s="58"/>
      <c r="L2285" s="58"/>
      <c r="M2285" s="59"/>
      <c r="N2285" s="58"/>
      <c r="O2285" s="59"/>
      <c r="P2285" s="58"/>
      <c r="Q2285" s="59"/>
      <c r="R2285" s="58"/>
    </row>
    <row r="2286">
      <c r="A2286" s="56"/>
      <c r="B2286" s="19"/>
      <c r="C2286" s="19"/>
      <c r="E2286" s="59"/>
      <c r="F2286" s="58"/>
      <c r="G2286" s="59"/>
      <c r="H2286" s="58"/>
      <c r="I2286" s="58"/>
      <c r="J2286" s="58"/>
      <c r="K2286" s="58"/>
      <c r="L2286" s="58"/>
      <c r="M2286" s="59"/>
      <c r="N2286" s="58"/>
      <c r="O2286" s="59"/>
      <c r="P2286" s="58"/>
      <c r="Q2286" s="59"/>
      <c r="R2286" s="58"/>
    </row>
    <row r="2287">
      <c r="A2287" s="56"/>
      <c r="B2287" s="19"/>
      <c r="C2287" s="19"/>
      <c r="E2287" s="59"/>
      <c r="F2287" s="58"/>
      <c r="G2287" s="59"/>
      <c r="H2287" s="58"/>
      <c r="I2287" s="58"/>
      <c r="J2287" s="58"/>
      <c r="K2287" s="58"/>
      <c r="L2287" s="58"/>
      <c r="M2287" s="59"/>
      <c r="N2287" s="58"/>
      <c r="O2287" s="59"/>
      <c r="P2287" s="58"/>
      <c r="Q2287" s="59"/>
      <c r="R2287" s="58"/>
    </row>
    <row r="2288">
      <c r="A2288" s="56"/>
      <c r="B2288" s="19"/>
      <c r="C2288" s="19"/>
      <c r="E2288" s="59"/>
      <c r="F2288" s="58"/>
      <c r="G2288" s="59"/>
      <c r="H2288" s="58"/>
      <c r="I2288" s="58"/>
      <c r="J2288" s="58"/>
      <c r="K2288" s="58"/>
      <c r="L2288" s="58"/>
      <c r="M2288" s="59"/>
      <c r="N2288" s="58"/>
      <c r="O2288" s="59"/>
      <c r="P2288" s="58"/>
      <c r="Q2288" s="59"/>
      <c r="R2288" s="58"/>
    </row>
    <row r="2289">
      <c r="A2289" s="56"/>
      <c r="B2289" s="19"/>
      <c r="C2289" s="19"/>
      <c r="E2289" s="59"/>
      <c r="F2289" s="58"/>
      <c r="G2289" s="59"/>
      <c r="H2289" s="58"/>
      <c r="I2289" s="58"/>
      <c r="J2289" s="58"/>
      <c r="K2289" s="58"/>
      <c r="L2289" s="58"/>
      <c r="M2289" s="59"/>
      <c r="N2289" s="58"/>
      <c r="O2289" s="59"/>
      <c r="P2289" s="58"/>
      <c r="Q2289" s="59"/>
      <c r="R2289" s="58"/>
    </row>
    <row r="2290">
      <c r="A2290" s="56"/>
      <c r="B2290" s="19"/>
      <c r="C2290" s="19"/>
      <c r="E2290" s="59"/>
      <c r="F2290" s="58"/>
      <c r="G2290" s="59"/>
      <c r="H2290" s="58"/>
      <c r="I2290" s="58"/>
      <c r="J2290" s="58"/>
      <c r="K2290" s="58"/>
      <c r="L2290" s="58"/>
      <c r="M2290" s="59"/>
      <c r="N2290" s="58"/>
      <c r="O2290" s="59"/>
      <c r="P2290" s="58"/>
      <c r="Q2290" s="59"/>
      <c r="R2290" s="58"/>
    </row>
    <row r="2291">
      <c r="A2291" s="56"/>
      <c r="B2291" s="19"/>
      <c r="C2291" s="19"/>
      <c r="E2291" s="59"/>
      <c r="F2291" s="58"/>
      <c r="G2291" s="59"/>
      <c r="H2291" s="58"/>
      <c r="I2291" s="58"/>
      <c r="J2291" s="58"/>
      <c r="K2291" s="58"/>
      <c r="L2291" s="58"/>
      <c r="M2291" s="59"/>
      <c r="N2291" s="58"/>
      <c r="O2291" s="59"/>
      <c r="P2291" s="58"/>
      <c r="Q2291" s="59"/>
      <c r="R2291" s="58"/>
    </row>
    <row r="2292">
      <c r="A2292" s="56"/>
      <c r="B2292" s="19"/>
      <c r="C2292" s="19"/>
      <c r="E2292" s="59"/>
      <c r="F2292" s="58"/>
      <c r="G2292" s="59"/>
      <c r="H2292" s="58"/>
      <c r="I2292" s="58"/>
      <c r="J2292" s="58"/>
      <c r="K2292" s="58"/>
      <c r="L2292" s="58"/>
      <c r="M2292" s="59"/>
      <c r="N2292" s="58"/>
      <c r="O2292" s="59"/>
      <c r="P2292" s="58"/>
      <c r="Q2292" s="59"/>
      <c r="R2292" s="58"/>
    </row>
    <row r="2293">
      <c r="A2293" s="56"/>
      <c r="B2293" s="19"/>
      <c r="C2293" s="19"/>
      <c r="E2293" s="59"/>
      <c r="F2293" s="58"/>
      <c r="G2293" s="59"/>
      <c r="H2293" s="58"/>
      <c r="I2293" s="58"/>
      <c r="J2293" s="58"/>
      <c r="K2293" s="58"/>
      <c r="L2293" s="58"/>
      <c r="M2293" s="59"/>
      <c r="N2293" s="58"/>
      <c r="O2293" s="59"/>
      <c r="P2293" s="58"/>
      <c r="Q2293" s="59"/>
      <c r="R2293" s="58"/>
    </row>
    <row r="2294">
      <c r="A2294" s="56"/>
      <c r="B2294" s="19"/>
      <c r="C2294" s="19"/>
      <c r="E2294" s="59"/>
      <c r="F2294" s="58"/>
      <c r="G2294" s="59"/>
      <c r="H2294" s="58"/>
      <c r="I2294" s="58"/>
      <c r="J2294" s="58"/>
      <c r="K2294" s="58"/>
      <c r="L2294" s="58"/>
      <c r="M2294" s="59"/>
      <c r="N2294" s="58"/>
      <c r="O2294" s="59"/>
      <c r="P2294" s="58"/>
      <c r="Q2294" s="59"/>
      <c r="R2294" s="58"/>
    </row>
    <row r="2295">
      <c r="A2295" s="56"/>
      <c r="B2295" s="19"/>
      <c r="C2295" s="19"/>
      <c r="E2295" s="59"/>
      <c r="F2295" s="58"/>
      <c r="G2295" s="59"/>
      <c r="H2295" s="58"/>
      <c r="I2295" s="58"/>
      <c r="J2295" s="58"/>
      <c r="K2295" s="58"/>
      <c r="L2295" s="58"/>
      <c r="M2295" s="59"/>
      <c r="N2295" s="58"/>
      <c r="O2295" s="59"/>
      <c r="P2295" s="58"/>
      <c r="Q2295" s="59"/>
      <c r="R2295" s="58"/>
    </row>
    <row r="2296">
      <c r="A2296" s="56"/>
      <c r="B2296" s="19"/>
      <c r="C2296" s="19"/>
      <c r="E2296" s="59"/>
      <c r="F2296" s="58"/>
      <c r="G2296" s="59"/>
      <c r="H2296" s="58"/>
      <c r="I2296" s="58"/>
      <c r="J2296" s="58"/>
      <c r="K2296" s="58"/>
      <c r="L2296" s="58"/>
      <c r="M2296" s="59"/>
      <c r="N2296" s="58"/>
      <c r="O2296" s="59"/>
      <c r="P2296" s="58"/>
      <c r="Q2296" s="59"/>
      <c r="R2296" s="58"/>
    </row>
    <row r="2297">
      <c r="A2297" s="56"/>
      <c r="B2297" s="19"/>
      <c r="C2297" s="19"/>
      <c r="E2297" s="59"/>
      <c r="F2297" s="58"/>
      <c r="G2297" s="59"/>
      <c r="H2297" s="58"/>
      <c r="I2297" s="58"/>
      <c r="J2297" s="58"/>
      <c r="K2297" s="58"/>
      <c r="L2297" s="58"/>
      <c r="M2297" s="59"/>
      <c r="N2297" s="58"/>
      <c r="O2297" s="59"/>
      <c r="P2297" s="58"/>
      <c r="Q2297" s="59"/>
      <c r="R2297" s="58"/>
    </row>
    <row r="2298">
      <c r="A2298" s="56"/>
      <c r="B2298" s="19"/>
      <c r="C2298" s="19"/>
      <c r="E2298" s="59"/>
      <c r="F2298" s="58"/>
      <c r="G2298" s="59"/>
      <c r="H2298" s="58"/>
      <c r="I2298" s="58"/>
      <c r="J2298" s="58"/>
      <c r="K2298" s="58"/>
      <c r="L2298" s="58"/>
      <c r="M2298" s="59"/>
      <c r="N2298" s="58"/>
      <c r="O2298" s="59"/>
      <c r="P2298" s="58"/>
      <c r="Q2298" s="59"/>
      <c r="R2298" s="58"/>
    </row>
    <row r="2299">
      <c r="A2299" s="56"/>
      <c r="B2299" s="19"/>
      <c r="C2299" s="19"/>
      <c r="E2299" s="59"/>
      <c r="F2299" s="58"/>
      <c r="G2299" s="59"/>
      <c r="H2299" s="58"/>
      <c r="I2299" s="58"/>
      <c r="J2299" s="58"/>
      <c r="K2299" s="58"/>
      <c r="L2299" s="58"/>
      <c r="M2299" s="59"/>
      <c r="N2299" s="58"/>
      <c r="O2299" s="59"/>
      <c r="P2299" s="58"/>
      <c r="Q2299" s="59"/>
      <c r="R2299" s="58"/>
    </row>
    <row r="2300">
      <c r="A2300" s="56"/>
      <c r="B2300" s="19"/>
      <c r="C2300" s="19"/>
      <c r="E2300" s="59"/>
      <c r="F2300" s="58"/>
      <c r="G2300" s="59"/>
      <c r="H2300" s="58"/>
      <c r="I2300" s="58"/>
      <c r="J2300" s="58"/>
      <c r="K2300" s="58"/>
      <c r="L2300" s="58"/>
      <c r="M2300" s="59"/>
      <c r="N2300" s="58"/>
      <c r="O2300" s="59"/>
      <c r="P2300" s="58"/>
      <c r="Q2300" s="59"/>
      <c r="R2300" s="58"/>
    </row>
    <row r="2301">
      <c r="A2301" s="56"/>
      <c r="B2301" s="19"/>
      <c r="C2301" s="19"/>
      <c r="E2301" s="59"/>
      <c r="F2301" s="58"/>
      <c r="G2301" s="59"/>
      <c r="H2301" s="58"/>
      <c r="I2301" s="58"/>
      <c r="J2301" s="58"/>
      <c r="K2301" s="58"/>
      <c r="L2301" s="58"/>
      <c r="M2301" s="59"/>
      <c r="N2301" s="58"/>
      <c r="O2301" s="59"/>
      <c r="P2301" s="58"/>
      <c r="Q2301" s="59"/>
      <c r="R2301" s="58"/>
    </row>
    <row r="2302">
      <c r="A2302" s="56"/>
      <c r="B2302" s="19"/>
      <c r="C2302" s="19"/>
      <c r="E2302" s="59"/>
      <c r="F2302" s="58"/>
      <c r="G2302" s="59"/>
      <c r="H2302" s="58"/>
      <c r="I2302" s="58"/>
      <c r="J2302" s="58"/>
      <c r="K2302" s="58"/>
      <c r="L2302" s="58"/>
      <c r="M2302" s="59"/>
      <c r="N2302" s="58"/>
      <c r="O2302" s="59"/>
      <c r="P2302" s="58"/>
      <c r="Q2302" s="59"/>
      <c r="R2302" s="58"/>
    </row>
    <row r="2303">
      <c r="A2303" s="56"/>
      <c r="B2303" s="19"/>
      <c r="C2303" s="19"/>
      <c r="E2303" s="59"/>
      <c r="F2303" s="58"/>
      <c r="G2303" s="59"/>
      <c r="H2303" s="58"/>
      <c r="I2303" s="58"/>
      <c r="J2303" s="58"/>
      <c r="K2303" s="58"/>
      <c r="L2303" s="58"/>
      <c r="M2303" s="59"/>
      <c r="N2303" s="58"/>
      <c r="O2303" s="59"/>
      <c r="P2303" s="58"/>
      <c r="Q2303" s="59"/>
      <c r="R2303" s="58"/>
    </row>
    <row r="2304">
      <c r="A2304" s="56"/>
      <c r="B2304" s="19"/>
      <c r="C2304" s="19"/>
      <c r="E2304" s="59"/>
      <c r="F2304" s="58"/>
      <c r="G2304" s="59"/>
      <c r="H2304" s="58"/>
      <c r="I2304" s="58"/>
      <c r="J2304" s="58"/>
      <c r="K2304" s="58"/>
      <c r="L2304" s="58"/>
      <c r="M2304" s="59"/>
      <c r="N2304" s="58"/>
      <c r="O2304" s="59"/>
      <c r="P2304" s="58"/>
      <c r="Q2304" s="59"/>
      <c r="R2304" s="58"/>
    </row>
    <row r="2305">
      <c r="A2305" s="56"/>
      <c r="B2305" s="19"/>
      <c r="C2305" s="19"/>
      <c r="E2305" s="59"/>
      <c r="F2305" s="58"/>
      <c r="G2305" s="59"/>
      <c r="H2305" s="58"/>
      <c r="I2305" s="58"/>
      <c r="J2305" s="58"/>
      <c r="K2305" s="58"/>
      <c r="L2305" s="58"/>
      <c r="M2305" s="59"/>
      <c r="N2305" s="58"/>
      <c r="O2305" s="59"/>
      <c r="P2305" s="58"/>
      <c r="Q2305" s="59"/>
      <c r="R2305" s="58"/>
    </row>
    <row r="2306">
      <c r="A2306" s="56"/>
      <c r="B2306" s="19"/>
      <c r="C2306" s="19"/>
      <c r="E2306" s="59"/>
      <c r="F2306" s="58"/>
      <c r="G2306" s="59"/>
      <c r="H2306" s="58"/>
      <c r="I2306" s="58"/>
      <c r="J2306" s="58"/>
      <c r="K2306" s="58"/>
      <c r="L2306" s="58"/>
      <c r="M2306" s="59"/>
      <c r="N2306" s="58"/>
      <c r="O2306" s="59"/>
      <c r="P2306" s="58"/>
      <c r="Q2306" s="59"/>
      <c r="R2306" s="58"/>
    </row>
    <row r="2307">
      <c r="A2307" s="56"/>
      <c r="B2307" s="19"/>
      <c r="C2307" s="19"/>
      <c r="E2307" s="59"/>
      <c r="F2307" s="58"/>
      <c r="G2307" s="59"/>
      <c r="H2307" s="58"/>
      <c r="I2307" s="58"/>
      <c r="J2307" s="58"/>
      <c r="K2307" s="58"/>
      <c r="L2307" s="58"/>
      <c r="M2307" s="59"/>
      <c r="N2307" s="58"/>
      <c r="O2307" s="59"/>
      <c r="P2307" s="58"/>
      <c r="Q2307" s="59"/>
      <c r="R2307" s="58"/>
    </row>
    <row r="2308">
      <c r="A2308" s="56"/>
      <c r="B2308" s="19"/>
      <c r="C2308" s="19"/>
      <c r="E2308" s="59"/>
      <c r="F2308" s="58"/>
      <c r="G2308" s="59"/>
      <c r="H2308" s="58"/>
      <c r="I2308" s="58"/>
      <c r="J2308" s="58"/>
      <c r="K2308" s="58"/>
      <c r="L2308" s="58"/>
      <c r="M2308" s="59"/>
      <c r="N2308" s="58"/>
      <c r="O2308" s="59"/>
      <c r="P2308" s="58"/>
      <c r="Q2308" s="59"/>
      <c r="R2308" s="58"/>
    </row>
    <row r="2309">
      <c r="A2309" s="56"/>
      <c r="B2309" s="19"/>
      <c r="C2309" s="19"/>
      <c r="E2309" s="59"/>
      <c r="F2309" s="58"/>
      <c r="G2309" s="59"/>
      <c r="H2309" s="58"/>
      <c r="I2309" s="58"/>
      <c r="J2309" s="58"/>
      <c r="K2309" s="58"/>
      <c r="L2309" s="58"/>
      <c r="M2309" s="59"/>
      <c r="N2309" s="58"/>
      <c r="O2309" s="59"/>
      <c r="P2309" s="58"/>
      <c r="Q2309" s="59"/>
      <c r="R2309" s="58"/>
    </row>
    <row r="2310">
      <c r="A2310" s="56"/>
      <c r="B2310" s="19"/>
      <c r="C2310" s="19"/>
      <c r="E2310" s="59"/>
      <c r="F2310" s="58"/>
      <c r="G2310" s="59"/>
      <c r="H2310" s="58"/>
      <c r="I2310" s="58"/>
      <c r="J2310" s="58"/>
      <c r="K2310" s="58"/>
      <c r="L2310" s="58"/>
      <c r="M2310" s="59"/>
      <c r="N2310" s="58"/>
      <c r="O2310" s="59"/>
      <c r="P2310" s="58"/>
      <c r="Q2310" s="59"/>
      <c r="R2310" s="58"/>
    </row>
    <row r="2311">
      <c r="A2311" s="56"/>
      <c r="B2311" s="19"/>
      <c r="C2311" s="19"/>
      <c r="E2311" s="59"/>
      <c r="F2311" s="58"/>
      <c r="G2311" s="59"/>
      <c r="H2311" s="58"/>
      <c r="I2311" s="58"/>
      <c r="J2311" s="58"/>
      <c r="K2311" s="58"/>
      <c r="L2311" s="58"/>
      <c r="M2311" s="59"/>
      <c r="N2311" s="58"/>
      <c r="O2311" s="59"/>
      <c r="P2311" s="58"/>
      <c r="Q2311" s="59"/>
      <c r="R2311" s="58"/>
    </row>
    <row r="2312">
      <c r="A2312" s="56"/>
      <c r="B2312" s="19"/>
      <c r="C2312" s="19"/>
      <c r="E2312" s="59"/>
      <c r="F2312" s="58"/>
      <c r="G2312" s="59"/>
      <c r="H2312" s="58"/>
      <c r="I2312" s="58"/>
      <c r="J2312" s="58"/>
      <c r="K2312" s="58"/>
      <c r="L2312" s="58"/>
      <c r="M2312" s="59"/>
      <c r="N2312" s="58"/>
      <c r="O2312" s="59"/>
      <c r="P2312" s="58"/>
      <c r="Q2312" s="59"/>
      <c r="R2312" s="58"/>
    </row>
    <row r="2313">
      <c r="A2313" s="56"/>
      <c r="B2313" s="19"/>
      <c r="C2313" s="19"/>
      <c r="E2313" s="59"/>
      <c r="F2313" s="58"/>
      <c r="G2313" s="59"/>
      <c r="H2313" s="58"/>
      <c r="I2313" s="58"/>
      <c r="J2313" s="58"/>
      <c r="K2313" s="58"/>
      <c r="L2313" s="58"/>
      <c r="M2313" s="59"/>
      <c r="N2313" s="58"/>
      <c r="O2313" s="59"/>
      <c r="P2313" s="58"/>
      <c r="Q2313" s="59"/>
      <c r="R2313" s="58"/>
    </row>
    <row r="2314">
      <c r="A2314" s="56"/>
      <c r="B2314" s="19"/>
      <c r="C2314" s="19"/>
      <c r="E2314" s="59"/>
      <c r="F2314" s="58"/>
      <c r="G2314" s="59"/>
      <c r="H2314" s="58"/>
      <c r="I2314" s="58"/>
      <c r="J2314" s="58"/>
      <c r="K2314" s="58"/>
      <c r="L2314" s="58"/>
      <c r="M2314" s="59"/>
      <c r="N2314" s="58"/>
      <c r="O2314" s="59"/>
      <c r="P2314" s="58"/>
      <c r="Q2314" s="59"/>
      <c r="R2314" s="58"/>
    </row>
    <row r="2315">
      <c r="A2315" s="56"/>
      <c r="B2315" s="19"/>
      <c r="C2315" s="19"/>
      <c r="E2315" s="59"/>
      <c r="F2315" s="58"/>
      <c r="G2315" s="59"/>
      <c r="H2315" s="58"/>
      <c r="I2315" s="58"/>
      <c r="J2315" s="58"/>
      <c r="K2315" s="58"/>
      <c r="L2315" s="58"/>
      <c r="M2315" s="59"/>
      <c r="N2315" s="58"/>
      <c r="O2315" s="59"/>
      <c r="P2315" s="58"/>
      <c r="Q2315" s="59"/>
      <c r="R2315" s="58"/>
    </row>
    <row r="2316">
      <c r="A2316" s="56"/>
      <c r="B2316" s="19"/>
      <c r="C2316" s="19"/>
      <c r="E2316" s="59"/>
      <c r="F2316" s="58"/>
      <c r="G2316" s="59"/>
      <c r="H2316" s="58"/>
      <c r="I2316" s="58"/>
      <c r="J2316" s="58"/>
      <c r="K2316" s="58"/>
      <c r="L2316" s="58"/>
      <c r="M2316" s="59"/>
      <c r="N2316" s="58"/>
      <c r="O2316" s="59"/>
      <c r="P2316" s="58"/>
      <c r="Q2316" s="59"/>
      <c r="R2316" s="58"/>
    </row>
    <row r="2317">
      <c r="A2317" s="56"/>
      <c r="B2317" s="19"/>
      <c r="C2317" s="19"/>
      <c r="E2317" s="59"/>
      <c r="F2317" s="58"/>
      <c r="G2317" s="59"/>
      <c r="H2317" s="58"/>
      <c r="I2317" s="58"/>
      <c r="J2317" s="58"/>
      <c r="K2317" s="58"/>
      <c r="L2317" s="58"/>
      <c r="M2317" s="59"/>
      <c r="N2317" s="58"/>
      <c r="O2317" s="59"/>
      <c r="P2317" s="58"/>
      <c r="Q2317" s="59"/>
      <c r="R2317" s="58"/>
    </row>
    <row r="2318">
      <c r="A2318" s="56"/>
      <c r="B2318" s="19"/>
      <c r="C2318" s="19"/>
      <c r="E2318" s="59"/>
      <c r="F2318" s="58"/>
      <c r="G2318" s="59"/>
      <c r="H2318" s="58"/>
      <c r="I2318" s="58"/>
      <c r="J2318" s="58"/>
      <c r="K2318" s="58"/>
      <c r="L2318" s="58"/>
      <c r="M2318" s="59"/>
      <c r="N2318" s="58"/>
      <c r="O2318" s="59"/>
      <c r="P2318" s="58"/>
      <c r="Q2318" s="59"/>
      <c r="R2318" s="58"/>
    </row>
    <row r="2319">
      <c r="A2319" s="56"/>
      <c r="B2319" s="19"/>
      <c r="C2319" s="19"/>
      <c r="E2319" s="59"/>
      <c r="F2319" s="58"/>
      <c r="G2319" s="59"/>
      <c r="H2319" s="58"/>
      <c r="I2319" s="58"/>
      <c r="J2319" s="58"/>
      <c r="K2319" s="58"/>
      <c r="L2319" s="58"/>
      <c r="M2319" s="59"/>
      <c r="N2319" s="58"/>
      <c r="O2319" s="59"/>
      <c r="P2319" s="58"/>
      <c r="Q2319" s="59"/>
      <c r="R2319" s="58"/>
    </row>
    <row r="2320">
      <c r="A2320" s="56"/>
      <c r="B2320" s="19"/>
      <c r="C2320" s="19"/>
      <c r="E2320" s="59"/>
      <c r="F2320" s="58"/>
      <c r="G2320" s="59"/>
      <c r="H2320" s="58"/>
      <c r="I2320" s="58"/>
      <c r="J2320" s="58"/>
      <c r="K2320" s="58"/>
      <c r="L2320" s="58"/>
      <c r="M2320" s="59"/>
      <c r="N2320" s="58"/>
      <c r="O2320" s="59"/>
      <c r="P2320" s="58"/>
      <c r="Q2320" s="59"/>
      <c r="R2320" s="58"/>
    </row>
    <row r="2321">
      <c r="A2321" s="56"/>
      <c r="B2321" s="19"/>
      <c r="C2321" s="19"/>
      <c r="E2321" s="59"/>
      <c r="F2321" s="58"/>
      <c r="G2321" s="59"/>
      <c r="H2321" s="58"/>
      <c r="I2321" s="58"/>
      <c r="J2321" s="58"/>
      <c r="K2321" s="58"/>
      <c r="L2321" s="58"/>
      <c r="M2321" s="59"/>
      <c r="N2321" s="58"/>
      <c r="O2321" s="59"/>
      <c r="P2321" s="58"/>
      <c r="Q2321" s="59"/>
      <c r="R2321" s="58"/>
    </row>
    <row r="2322">
      <c r="A2322" s="56"/>
      <c r="B2322" s="19"/>
      <c r="C2322" s="19"/>
      <c r="E2322" s="59"/>
      <c r="F2322" s="58"/>
      <c r="G2322" s="59"/>
      <c r="H2322" s="58"/>
      <c r="I2322" s="58"/>
      <c r="J2322" s="58"/>
      <c r="K2322" s="58"/>
      <c r="L2322" s="58"/>
      <c r="M2322" s="59"/>
      <c r="N2322" s="58"/>
      <c r="O2322" s="59"/>
      <c r="P2322" s="58"/>
      <c r="Q2322" s="59"/>
      <c r="R2322" s="58"/>
    </row>
    <row r="2323">
      <c r="A2323" s="56"/>
      <c r="B2323" s="19"/>
      <c r="C2323" s="19"/>
      <c r="E2323" s="59"/>
      <c r="F2323" s="58"/>
      <c r="G2323" s="59"/>
      <c r="H2323" s="58"/>
      <c r="I2323" s="58"/>
      <c r="J2323" s="58"/>
      <c r="K2323" s="58"/>
      <c r="L2323" s="58"/>
      <c r="M2323" s="59"/>
      <c r="N2323" s="58"/>
      <c r="O2323" s="59"/>
      <c r="P2323" s="58"/>
      <c r="Q2323" s="59"/>
      <c r="R2323" s="58"/>
    </row>
    <row r="2324">
      <c r="A2324" s="56"/>
      <c r="B2324" s="19"/>
      <c r="C2324" s="19"/>
      <c r="E2324" s="59"/>
      <c r="F2324" s="58"/>
      <c r="G2324" s="59"/>
      <c r="H2324" s="58"/>
      <c r="I2324" s="58"/>
      <c r="J2324" s="58"/>
      <c r="K2324" s="58"/>
      <c r="L2324" s="58"/>
      <c r="M2324" s="59"/>
      <c r="N2324" s="58"/>
      <c r="O2324" s="59"/>
      <c r="P2324" s="58"/>
      <c r="Q2324" s="59"/>
      <c r="R2324" s="58"/>
    </row>
    <row r="2325">
      <c r="A2325" s="56"/>
      <c r="B2325" s="19"/>
      <c r="C2325" s="19"/>
      <c r="E2325" s="59"/>
      <c r="F2325" s="58"/>
      <c r="G2325" s="59"/>
      <c r="H2325" s="58"/>
      <c r="I2325" s="58"/>
      <c r="J2325" s="58"/>
      <c r="K2325" s="58"/>
      <c r="L2325" s="58"/>
      <c r="M2325" s="59"/>
      <c r="N2325" s="58"/>
      <c r="O2325" s="59"/>
      <c r="P2325" s="58"/>
      <c r="Q2325" s="59"/>
      <c r="R2325" s="58"/>
    </row>
    <row r="2326">
      <c r="A2326" s="56"/>
      <c r="B2326" s="19"/>
      <c r="C2326" s="19"/>
      <c r="E2326" s="59"/>
      <c r="F2326" s="58"/>
      <c r="G2326" s="59"/>
      <c r="H2326" s="58"/>
      <c r="I2326" s="58"/>
      <c r="J2326" s="58"/>
      <c r="K2326" s="58"/>
      <c r="L2326" s="58"/>
      <c r="M2326" s="59"/>
      <c r="N2326" s="58"/>
      <c r="O2326" s="59"/>
      <c r="P2326" s="58"/>
      <c r="Q2326" s="59"/>
      <c r="R2326" s="58"/>
    </row>
    <row r="2327">
      <c r="A2327" s="56"/>
      <c r="B2327" s="19"/>
      <c r="C2327" s="19"/>
      <c r="E2327" s="59"/>
      <c r="F2327" s="58"/>
      <c r="G2327" s="59"/>
      <c r="H2327" s="58"/>
      <c r="I2327" s="58"/>
      <c r="J2327" s="58"/>
      <c r="K2327" s="58"/>
      <c r="L2327" s="58"/>
      <c r="M2327" s="59"/>
      <c r="N2327" s="58"/>
      <c r="O2327" s="59"/>
      <c r="P2327" s="58"/>
      <c r="Q2327" s="59"/>
      <c r="R2327" s="58"/>
    </row>
    <row r="2328">
      <c r="A2328" s="56"/>
      <c r="B2328" s="19"/>
      <c r="C2328" s="19"/>
      <c r="E2328" s="59"/>
      <c r="F2328" s="58"/>
      <c r="G2328" s="59"/>
      <c r="H2328" s="58"/>
      <c r="I2328" s="58"/>
      <c r="J2328" s="58"/>
      <c r="K2328" s="58"/>
      <c r="L2328" s="58"/>
      <c r="M2328" s="59"/>
      <c r="N2328" s="58"/>
      <c r="O2328" s="59"/>
      <c r="P2328" s="58"/>
      <c r="Q2328" s="59"/>
      <c r="R2328" s="58"/>
    </row>
    <row r="2329">
      <c r="A2329" s="56"/>
      <c r="B2329" s="19"/>
      <c r="C2329" s="19"/>
      <c r="E2329" s="59"/>
      <c r="F2329" s="58"/>
      <c r="G2329" s="59"/>
      <c r="H2329" s="58"/>
      <c r="I2329" s="58"/>
      <c r="J2329" s="58"/>
      <c r="K2329" s="58"/>
      <c r="L2329" s="58"/>
      <c r="M2329" s="59"/>
      <c r="N2329" s="58"/>
      <c r="O2329" s="59"/>
      <c r="P2329" s="58"/>
      <c r="Q2329" s="59"/>
      <c r="R2329" s="58"/>
    </row>
    <row r="2330">
      <c r="A2330" s="56"/>
      <c r="B2330" s="19"/>
      <c r="C2330" s="19"/>
      <c r="E2330" s="59"/>
      <c r="F2330" s="58"/>
      <c r="G2330" s="59"/>
      <c r="H2330" s="58"/>
      <c r="I2330" s="58"/>
      <c r="J2330" s="58"/>
      <c r="K2330" s="58"/>
      <c r="L2330" s="58"/>
      <c r="M2330" s="59"/>
      <c r="N2330" s="58"/>
      <c r="O2330" s="59"/>
      <c r="P2330" s="58"/>
      <c r="Q2330" s="59"/>
      <c r="R2330" s="58"/>
    </row>
    <row r="2331">
      <c r="A2331" s="56"/>
      <c r="B2331" s="19"/>
      <c r="C2331" s="19"/>
      <c r="E2331" s="59"/>
      <c r="F2331" s="58"/>
      <c r="G2331" s="59"/>
      <c r="H2331" s="58"/>
      <c r="I2331" s="58"/>
      <c r="J2331" s="58"/>
      <c r="K2331" s="58"/>
      <c r="L2331" s="58"/>
      <c r="M2331" s="59"/>
      <c r="N2331" s="58"/>
      <c r="O2331" s="59"/>
      <c r="P2331" s="58"/>
      <c r="Q2331" s="59"/>
      <c r="R2331" s="58"/>
    </row>
    <row r="2332">
      <c r="A2332" s="56"/>
      <c r="B2332" s="19"/>
      <c r="C2332" s="19"/>
      <c r="E2332" s="59"/>
      <c r="F2332" s="58"/>
      <c r="G2332" s="59"/>
      <c r="H2332" s="58"/>
      <c r="I2332" s="58"/>
      <c r="J2332" s="58"/>
      <c r="K2332" s="58"/>
      <c r="L2332" s="58"/>
      <c r="M2332" s="59"/>
      <c r="N2332" s="58"/>
      <c r="O2332" s="59"/>
      <c r="P2332" s="58"/>
      <c r="Q2332" s="59"/>
      <c r="R2332" s="58"/>
    </row>
    <row r="2333">
      <c r="A2333" s="56"/>
      <c r="B2333" s="19"/>
      <c r="C2333" s="19"/>
      <c r="E2333" s="59"/>
      <c r="F2333" s="58"/>
      <c r="G2333" s="59"/>
      <c r="H2333" s="58"/>
      <c r="I2333" s="58"/>
      <c r="J2333" s="58"/>
      <c r="K2333" s="58"/>
      <c r="L2333" s="58"/>
      <c r="M2333" s="59"/>
      <c r="N2333" s="58"/>
      <c r="O2333" s="59"/>
      <c r="P2333" s="58"/>
      <c r="Q2333" s="59"/>
      <c r="R2333" s="58"/>
    </row>
    <row r="2334">
      <c r="A2334" s="56"/>
      <c r="B2334" s="19"/>
      <c r="C2334" s="19"/>
      <c r="E2334" s="59"/>
      <c r="F2334" s="58"/>
      <c r="G2334" s="59"/>
      <c r="H2334" s="58"/>
      <c r="I2334" s="58"/>
      <c r="J2334" s="58"/>
      <c r="K2334" s="58"/>
      <c r="L2334" s="58"/>
      <c r="M2334" s="59"/>
      <c r="N2334" s="58"/>
      <c r="O2334" s="59"/>
      <c r="P2334" s="58"/>
      <c r="Q2334" s="59"/>
      <c r="R2334" s="58"/>
    </row>
    <row r="2335">
      <c r="A2335" s="56"/>
      <c r="B2335" s="19"/>
      <c r="C2335" s="19"/>
      <c r="E2335" s="59"/>
      <c r="F2335" s="58"/>
      <c r="G2335" s="59"/>
      <c r="H2335" s="58"/>
      <c r="I2335" s="58"/>
      <c r="J2335" s="58"/>
      <c r="K2335" s="58"/>
      <c r="L2335" s="58"/>
      <c r="M2335" s="59"/>
      <c r="N2335" s="58"/>
      <c r="O2335" s="59"/>
      <c r="P2335" s="58"/>
      <c r="Q2335" s="59"/>
      <c r="R2335" s="58"/>
    </row>
    <row r="2336">
      <c r="A2336" s="56"/>
      <c r="B2336" s="19"/>
      <c r="C2336" s="19"/>
      <c r="E2336" s="59"/>
      <c r="F2336" s="58"/>
      <c r="G2336" s="59"/>
      <c r="H2336" s="58"/>
      <c r="I2336" s="58"/>
      <c r="J2336" s="58"/>
      <c r="K2336" s="58"/>
      <c r="L2336" s="58"/>
      <c r="M2336" s="59"/>
      <c r="N2336" s="58"/>
      <c r="O2336" s="59"/>
      <c r="P2336" s="58"/>
      <c r="Q2336" s="59"/>
      <c r="R2336" s="58"/>
    </row>
    <row r="2337">
      <c r="A2337" s="56"/>
      <c r="B2337" s="19"/>
      <c r="C2337" s="19"/>
      <c r="E2337" s="59"/>
      <c r="F2337" s="58"/>
      <c r="G2337" s="59"/>
      <c r="H2337" s="58"/>
      <c r="I2337" s="58"/>
      <c r="J2337" s="58"/>
      <c r="K2337" s="58"/>
      <c r="L2337" s="58"/>
      <c r="M2337" s="59"/>
      <c r="N2337" s="58"/>
      <c r="O2337" s="59"/>
      <c r="P2337" s="58"/>
      <c r="Q2337" s="59"/>
      <c r="R2337" s="58"/>
    </row>
    <row r="2338">
      <c r="A2338" s="56"/>
      <c r="B2338" s="19"/>
      <c r="C2338" s="19"/>
      <c r="E2338" s="59"/>
      <c r="F2338" s="58"/>
      <c r="G2338" s="59"/>
      <c r="H2338" s="58"/>
      <c r="I2338" s="58"/>
      <c r="J2338" s="58"/>
      <c r="K2338" s="58"/>
      <c r="L2338" s="58"/>
      <c r="M2338" s="59"/>
      <c r="N2338" s="58"/>
      <c r="O2338" s="59"/>
      <c r="P2338" s="58"/>
      <c r="Q2338" s="59"/>
      <c r="R2338" s="58"/>
    </row>
    <row r="2339">
      <c r="A2339" s="56"/>
      <c r="B2339" s="19"/>
      <c r="C2339" s="19"/>
      <c r="E2339" s="59"/>
      <c r="F2339" s="58"/>
      <c r="G2339" s="59"/>
      <c r="H2339" s="58"/>
      <c r="I2339" s="58"/>
      <c r="J2339" s="58"/>
      <c r="K2339" s="58"/>
      <c r="L2339" s="58"/>
      <c r="M2339" s="59"/>
      <c r="N2339" s="58"/>
      <c r="O2339" s="59"/>
      <c r="P2339" s="58"/>
      <c r="Q2339" s="59"/>
      <c r="R2339" s="58"/>
    </row>
    <row r="2340">
      <c r="A2340" s="56"/>
      <c r="B2340" s="19"/>
      <c r="C2340" s="19"/>
      <c r="E2340" s="59"/>
      <c r="F2340" s="58"/>
      <c r="G2340" s="59"/>
      <c r="H2340" s="58"/>
      <c r="I2340" s="58"/>
      <c r="J2340" s="58"/>
      <c r="K2340" s="58"/>
      <c r="L2340" s="58"/>
      <c r="M2340" s="59"/>
      <c r="N2340" s="58"/>
      <c r="O2340" s="59"/>
      <c r="P2340" s="58"/>
      <c r="Q2340" s="59"/>
      <c r="R2340" s="58"/>
    </row>
    <row r="2341">
      <c r="A2341" s="56"/>
      <c r="B2341" s="19"/>
      <c r="C2341" s="19"/>
      <c r="E2341" s="59"/>
      <c r="F2341" s="58"/>
      <c r="G2341" s="59"/>
      <c r="H2341" s="58"/>
      <c r="I2341" s="58"/>
      <c r="J2341" s="58"/>
      <c r="K2341" s="58"/>
      <c r="L2341" s="58"/>
      <c r="M2341" s="59"/>
      <c r="N2341" s="58"/>
      <c r="O2341" s="59"/>
      <c r="P2341" s="58"/>
      <c r="Q2341" s="59"/>
      <c r="R2341" s="58"/>
    </row>
    <row r="2342">
      <c r="A2342" s="56"/>
      <c r="B2342" s="19"/>
      <c r="C2342" s="19"/>
      <c r="E2342" s="59"/>
      <c r="F2342" s="58"/>
      <c r="G2342" s="59"/>
      <c r="H2342" s="58"/>
      <c r="I2342" s="58"/>
      <c r="J2342" s="58"/>
      <c r="K2342" s="58"/>
      <c r="L2342" s="58"/>
      <c r="M2342" s="59"/>
      <c r="N2342" s="58"/>
      <c r="O2342" s="59"/>
      <c r="P2342" s="58"/>
      <c r="Q2342" s="59"/>
      <c r="R2342" s="58"/>
    </row>
    <row r="2343">
      <c r="A2343" s="56"/>
      <c r="B2343" s="19"/>
      <c r="C2343" s="19"/>
      <c r="E2343" s="59"/>
      <c r="F2343" s="58"/>
      <c r="G2343" s="59"/>
      <c r="H2343" s="58"/>
      <c r="I2343" s="58"/>
      <c r="J2343" s="58"/>
      <c r="K2343" s="58"/>
      <c r="L2343" s="58"/>
      <c r="M2343" s="59"/>
      <c r="N2343" s="58"/>
      <c r="O2343" s="59"/>
      <c r="P2343" s="58"/>
      <c r="Q2343" s="59"/>
      <c r="R2343" s="58"/>
    </row>
    <row r="2344">
      <c r="A2344" s="56"/>
      <c r="B2344" s="19"/>
      <c r="C2344" s="19"/>
      <c r="E2344" s="59"/>
      <c r="F2344" s="58"/>
      <c r="G2344" s="59"/>
      <c r="H2344" s="58"/>
      <c r="I2344" s="58"/>
      <c r="J2344" s="58"/>
      <c r="K2344" s="58"/>
      <c r="L2344" s="58"/>
      <c r="M2344" s="59"/>
      <c r="N2344" s="58"/>
      <c r="O2344" s="59"/>
      <c r="P2344" s="58"/>
      <c r="Q2344" s="59"/>
      <c r="R2344" s="58"/>
    </row>
    <row r="2345">
      <c r="A2345" s="56"/>
      <c r="B2345" s="19"/>
      <c r="C2345" s="19"/>
      <c r="E2345" s="59"/>
      <c r="F2345" s="58"/>
      <c r="G2345" s="59"/>
      <c r="H2345" s="58"/>
      <c r="I2345" s="58"/>
      <c r="J2345" s="58"/>
      <c r="K2345" s="58"/>
      <c r="L2345" s="58"/>
      <c r="M2345" s="59"/>
      <c r="N2345" s="58"/>
      <c r="O2345" s="59"/>
      <c r="P2345" s="58"/>
      <c r="Q2345" s="59"/>
      <c r="R2345" s="58"/>
    </row>
    <row r="2346">
      <c r="A2346" s="56"/>
      <c r="B2346" s="19"/>
      <c r="C2346" s="19"/>
      <c r="E2346" s="59"/>
      <c r="F2346" s="58"/>
      <c r="G2346" s="59"/>
      <c r="H2346" s="58"/>
      <c r="I2346" s="58"/>
      <c r="J2346" s="58"/>
      <c r="K2346" s="58"/>
      <c r="L2346" s="58"/>
      <c r="M2346" s="59"/>
      <c r="N2346" s="58"/>
      <c r="O2346" s="59"/>
      <c r="P2346" s="58"/>
      <c r="Q2346" s="59"/>
      <c r="R2346" s="58"/>
    </row>
    <row r="2347">
      <c r="A2347" s="56"/>
      <c r="B2347" s="19"/>
      <c r="C2347" s="19"/>
      <c r="E2347" s="59"/>
      <c r="F2347" s="58"/>
      <c r="G2347" s="59"/>
      <c r="H2347" s="58"/>
      <c r="I2347" s="58"/>
      <c r="J2347" s="58"/>
      <c r="K2347" s="58"/>
      <c r="L2347" s="58"/>
      <c r="M2347" s="59"/>
      <c r="N2347" s="58"/>
      <c r="O2347" s="59"/>
      <c r="P2347" s="58"/>
      <c r="Q2347" s="59"/>
      <c r="R2347" s="58"/>
    </row>
    <row r="2348">
      <c r="A2348" s="56"/>
      <c r="B2348" s="19"/>
      <c r="C2348" s="19"/>
      <c r="E2348" s="59"/>
      <c r="F2348" s="58"/>
      <c r="G2348" s="59"/>
      <c r="H2348" s="58"/>
      <c r="I2348" s="58"/>
      <c r="J2348" s="58"/>
      <c r="K2348" s="58"/>
      <c r="L2348" s="58"/>
      <c r="M2348" s="59"/>
      <c r="N2348" s="58"/>
      <c r="O2348" s="59"/>
      <c r="P2348" s="58"/>
      <c r="Q2348" s="59"/>
      <c r="R2348" s="58"/>
    </row>
    <row r="2349">
      <c r="A2349" s="56"/>
      <c r="B2349" s="19"/>
      <c r="C2349" s="19"/>
      <c r="E2349" s="59"/>
      <c r="F2349" s="58"/>
      <c r="G2349" s="59"/>
      <c r="H2349" s="58"/>
      <c r="I2349" s="58"/>
      <c r="J2349" s="58"/>
      <c r="K2349" s="58"/>
      <c r="L2349" s="58"/>
      <c r="M2349" s="59"/>
      <c r="N2349" s="58"/>
      <c r="O2349" s="59"/>
      <c r="P2349" s="58"/>
      <c r="Q2349" s="59"/>
      <c r="R2349" s="58"/>
    </row>
    <row r="2350">
      <c r="A2350" s="56"/>
      <c r="B2350" s="19"/>
      <c r="C2350" s="19"/>
      <c r="E2350" s="59"/>
      <c r="F2350" s="58"/>
      <c r="G2350" s="59"/>
      <c r="H2350" s="58"/>
      <c r="I2350" s="58"/>
      <c r="J2350" s="58"/>
      <c r="K2350" s="58"/>
      <c r="L2350" s="58"/>
      <c r="M2350" s="59"/>
      <c r="N2350" s="58"/>
      <c r="O2350" s="59"/>
      <c r="P2350" s="58"/>
      <c r="Q2350" s="59"/>
      <c r="R2350" s="58"/>
    </row>
    <row r="2351">
      <c r="A2351" s="56"/>
      <c r="B2351" s="19"/>
      <c r="C2351" s="19"/>
      <c r="E2351" s="59"/>
      <c r="F2351" s="58"/>
      <c r="G2351" s="59"/>
      <c r="H2351" s="58"/>
      <c r="I2351" s="58"/>
      <c r="J2351" s="58"/>
      <c r="K2351" s="58"/>
      <c r="L2351" s="58"/>
      <c r="M2351" s="59"/>
      <c r="N2351" s="58"/>
      <c r="O2351" s="59"/>
      <c r="P2351" s="58"/>
      <c r="Q2351" s="59"/>
      <c r="R2351" s="58"/>
    </row>
    <row r="2352">
      <c r="A2352" s="56"/>
      <c r="B2352" s="19"/>
      <c r="C2352" s="19"/>
      <c r="E2352" s="59"/>
      <c r="F2352" s="58"/>
      <c r="G2352" s="59"/>
      <c r="H2352" s="58"/>
      <c r="I2352" s="58"/>
      <c r="J2352" s="58"/>
      <c r="K2352" s="58"/>
      <c r="L2352" s="58"/>
      <c r="M2352" s="59"/>
      <c r="N2352" s="58"/>
      <c r="O2352" s="59"/>
      <c r="P2352" s="58"/>
      <c r="Q2352" s="59"/>
      <c r="R2352" s="58"/>
    </row>
    <row r="2353">
      <c r="A2353" s="56"/>
      <c r="B2353" s="19"/>
      <c r="C2353" s="19"/>
      <c r="E2353" s="59"/>
      <c r="F2353" s="58"/>
      <c r="G2353" s="59"/>
      <c r="H2353" s="58"/>
      <c r="I2353" s="58"/>
      <c r="J2353" s="58"/>
      <c r="K2353" s="58"/>
      <c r="L2353" s="58"/>
      <c r="M2353" s="59"/>
      <c r="N2353" s="58"/>
      <c r="O2353" s="59"/>
      <c r="P2353" s="58"/>
      <c r="Q2353" s="59"/>
      <c r="R2353" s="58"/>
    </row>
    <row r="2354">
      <c r="A2354" s="56"/>
      <c r="B2354" s="19"/>
      <c r="C2354" s="19"/>
      <c r="E2354" s="59"/>
      <c r="F2354" s="58"/>
      <c r="G2354" s="59"/>
      <c r="H2354" s="58"/>
      <c r="I2354" s="58"/>
      <c r="J2354" s="58"/>
      <c r="K2354" s="58"/>
      <c r="L2354" s="58"/>
      <c r="M2354" s="59"/>
      <c r="N2354" s="58"/>
      <c r="O2354" s="59"/>
      <c r="P2354" s="58"/>
      <c r="Q2354" s="59"/>
      <c r="R2354" s="58"/>
    </row>
    <row r="2355">
      <c r="A2355" s="56"/>
      <c r="B2355" s="19"/>
      <c r="C2355" s="19"/>
      <c r="E2355" s="59"/>
      <c r="F2355" s="58"/>
      <c r="G2355" s="59"/>
      <c r="H2355" s="58"/>
      <c r="I2355" s="58"/>
      <c r="J2355" s="58"/>
      <c r="K2355" s="58"/>
      <c r="L2355" s="58"/>
      <c r="M2355" s="59"/>
      <c r="N2355" s="58"/>
      <c r="O2355" s="59"/>
      <c r="P2355" s="58"/>
      <c r="Q2355" s="59"/>
      <c r="R2355" s="58"/>
    </row>
    <row r="2356">
      <c r="A2356" s="56"/>
      <c r="B2356" s="19"/>
      <c r="C2356" s="19"/>
      <c r="E2356" s="59"/>
      <c r="F2356" s="58"/>
      <c r="G2356" s="59"/>
      <c r="H2356" s="58"/>
      <c r="I2356" s="58"/>
      <c r="J2356" s="58"/>
      <c r="K2356" s="58"/>
      <c r="L2356" s="58"/>
      <c r="M2356" s="59"/>
      <c r="N2356" s="58"/>
      <c r="O2356" s="59"/>
      <c r="P2356" s="58"/>
      <c r="Q2356" s="59"/>
      <c r="R2356" s="58"/>
    </row>
    <row r="2357">
      <c r="A2357" s="56"/>
      <c r="B2357" s="19"/>
      <c r="C2357" s="19"/>
      <c r="E2357" s="59"/>
      <c r="F2357" s="58"/>
      <c r="G2357" s="59"/>
      <c r="H2357" s="58"/>
      <c r="I2357" s="58"/>
      <c r="J2357" s="58"/>
      <c r="K2357" s="58"/>
      <c r="L2357" s="58"/>
      <c r="M2357" s="59"/>
      <c r="N2357" s="58"/>
      <c r="O2357" s="59"/>
      <c r="P2357" s="58"/>
      <c r="Q2357" s="59"/>
      <c r="R2357" s="58"/>
    </row>
    <row r="2358">
      <c r="A2358" s="56"/>
      <c r="B2358" s="19"/>
      <c r="C2358" s="19"/>
      <c r="E2358" s="59"/>
      <c r="F2358" s="58"/>
      <c r="G2358" s="59"/>
      <c r="H2358" s="58"/>
      <c r="I2358" s="58"/>
      <c r="J2358" s="58"/>
      <c r="K2358" s="58"/>
      <c r="L2358" s="58"/>
      <c r="M2358" s="59"/>
      <c r="N2358" s="58"/>
      <c r="O2358" s="59"/>
      <c r="P2358" s="58"/>
      <c r="Q2358" s="59"/>
      <c r="R2358" s="58"/>
    </row>
    <row r="2359">
      <c r="A2359" s="56"/>
      <c r="B2359" s="19"/>
      <c r="C2359" s="19"/>
      <c r="E2359" s="59"/>
      <c r="F2359" s="58"/>
      <c r="G2359" s="59"/>
      <c r="H2359" s="58"/>
      <c r="I2359" s="58"/>
      <c r="J2359" s="58"/>
      <c r="K2359" s="58"/>
      <c r="L2359" s="58"/>
      <c r="M2359" s="59"/>
      <c r="N2359" s="58"/>
      <c r="O2359" s="59"/>
      <c r="P2359" s="58"/>
      <c r="Q2359" s="59"/>
      <c r="R2359" s="58"/>
    </row>
    <row r="2360">
      <c r="A2360" s="56"/>
      <c r="B2360" s="19"/>
      <c r="C2360" s="19"/>
      <c r="E2360" s="59"/>
      <c r="F2360" s="58"/>
      <c r="G2360" s="59"/>
      <c r="H2360" s="58"/>
      <c r="I2360" s="58"/>
      <c r="J2360" s="58"/>
      <c r="K2360" s="58"/>
      <c r="L2360" s="58"/>
      <c r="M2360" s="59"/>
      <c r="N2360" s="58"/>
      <c r="O2360" s="59"/>
      <c r="P2360" s="58"/>
      <c r="Q2360" s="59"/>
      <c r="R2360" s="58"/>
    </row>
    <row r="2361">
      <c r="A2361" s="56"/>
      <c r="B2361" s="19"/>
      <c r="C2361" s="19"/>
      <c r="E2361" s="59"/>
      <c r="F2361" s="58"/>
      <c r="G2361" s="59"/>
      <c r="H2361" s="58"/>
      <c r="I2361" s="58"/>
      <c r="J2361" s="58"/>
      <c r="K2361" s="58"/>
      <c r="L2361" s="58"/>
      <c r="M2361" s="59"/>
      <c r="N2361" s="58"/>
      <c r="O2361" s="59"/>
      <c r="P2361" s="58"/>
      <c r="Q2361" s="59"/>
      <c r="R2361" s="58"/>
    </row>
    <row r="2362">
      <c r="A2362" s="56"/>
      <c r="B2362" s="19"/>
      <c r="C2362" s="19"/>
      <c r="E2362" s="59"/>
      <c r="F2362" s="58"/>
      <c r="G2362" s="59"/>
      <c r="H2362" s="58"/>
      <c r="I2362" s="58"/>
      <c r="J2362" s="58"/>
      <c r="K2362" s="58"/>
      <c r="L2362" s="58"/>
      <c r="M2362" s="59"/>
      <c r="N2362" s="58"/>
      <c r="O2362" s="59"/>
      <c r="P2362" s="58"/>
      <c r="Q2362" s="59"/>
      <c r="R2362" s="58"/>
    </row>
    <row r="2363">
      <c r="A2363" s="56"/>
      <c r="B2363" s="19"/>
      <c r="C2363" s="19"/>
      <c r="E2363" s="59"/>
      <c r="F2363" s="58"/>
      <c r="G2363" s="59"/>
      <c r="H2363" s="58"/>
      <c r="I2363" s="58"/>
      <c r="J2363" s="58"/>
      <c r="K2363" s="58"/>
      <c r="L2363" s="58"/>
      <c r="M2363" s="59"/>
      <c r="N2363" s="58"/>
      <c r="O2363" s="59"/>
      <c r="P2363" s="58"/>
      <c r="Q2363" s="59"/>
      <c r="R2363" s="58"/>
    </row>
    <row r="2364">
      <c r="A2364" s="56"/>
      <c r="B2364" s="19"/>
      <c r="C2364" s="19"/>
      <c r="E2364" s="59"/>
      <c r="F2364" s="58"/>
      <c r="G2364" s="59"/>
      <c r="H2364" s="58"/>
      <c r="I2364" s="58"/>
      <c r="J2364" s="58"/>
      <c r="K2364" s="58"/>
      <c r="L2364" s="58"/>
      <c r="M2364" s="59"/>
      <c r="N2364" s="58"/>
      <c r="O2364" s="59"/>
      <c r="P2364" s="58"/>
      <c r="Q2364" s="59"/>
      <c r="R2364" s="58"/>
    </row>
    <row r="2365">
      <c r="A2365" s="56"/>
      <c r="B2365" s="19"/>
      <c r="C2365" s="19"/>
      <c r="E2365" s="59"/>
      <c r="F2365" s="58"/>
      <c r="G2365" s="59"/>
      <c r="H2365" s="58"/>
      <c r="I2365" s="58"/>
      <c r="J2365" s="58"/>
      <c r="K2365" s="58"/>
      <c r="L2365" s="58"/>
      <c r="M2365" s="59"/>
      <c r="N2365" s="58"/>
      <c r="O2365" s="59"/>
      <c r="P2365" s="58"/>
      <c r="Q2365" s="59"/>
      <c r="R2365" s="58"/>
    </row>
    <row r="2366">
      <c r="A2366" s="56"/>
      <c r="B2366" s="19"/>
      <c r="C2366" s="19"/>
      <c r="E2366" s="59"/>
      <c r="F2366" s="58"/>
      <c r="G2366" s="59"/>
      <c r="H2366" s="58"/>
      <c r="I2366" s="58"/>
      <c r="J2366" s="58"/>
      <c r="K2366" s="58"/>
      <c r="L2366" s="58"/>
      <c r="M2366" s="59"/>
      <c r="N2366" s="58"/>
      <c r="O2366" s="59"/>
      <c r="P2366" s="58"/>
      <c r="Q2366" s="59"/>
      <c r="R2366" s="58"/>
    </row>
    <row r="2367">
      <c r="A2367" s="56"/>
      <c r="B2367" s="19"/>
      <c r="C2367" s="19"/>
      <c r="E2367" s="59"/>
      <c r="F2367" s="58"/>
      <c r="G2367" s="59"/>
      <c r="H2367" s="58"/>
      <c r="I2367" s="58"/>
      <c r="J2367" s="58"/>
      <c r="K2367" s="58"/>
      <c r="L2367" s="58"/>
      <c r="M2367" s="59"/>
      <c r="N2367" s="58"/>
      <c r="O2367" s="59"/>
      <c r="P2367" s="58"/>
      <c r="Q2367" s="59"/>
      <c r="R2367" s="58"/>
    </row>
    <row r="2368">
      <c r="A2368" s="56"/>
      <c r="B2368" s="19"/>
      <c r="C2368" s="19"/>
      <c r="E2368" s="59"/>
      <c r="F2368" s="58"/>
      <c r="G2368" s="59"/>
      <c r="H2368" s="58"/>
      <c r="I2368" s="58"/>
      <c r="J2368" s="58"/>
      <c r="K2368" s="58"/>
      <c r="L2368" s="58"/>
      <c r="M2368" s="59"/>
      <c r="N2368" s="58"/>
      <c r="O2368" s="59"/>
      <c r="P2368" s="58"/>
      <c r="Q2368" s="59"/>
      <c r="R2368" s="58"/>
    </row>
    <row r="2369">
      <c r="A2369" s="56"/>
      <c r="B2369" s="19"/>
      <c r="C2369" s="19"/>
      <c r="E2369" s="59"/>
      <c r="F2369" s="58"/>
      <c r="G2369" s="59"/>
      <c r="H2369" s="58"/>
      <c r="I2369" s="58"/>
      <c r="J2369" s="58"/>
      <c r="K2369" s="58"/>
      <c r="L2369" s="58"/>
      <c r="M2369" s="59"/>
      <c r="N2369" s="58"/>
      <c r="O2369" s="59"/>
      <c r="P2369" s="58"/>
      <c r="Q2369" s="59"/>
      <c r="R2369" s="58"/>
    </row>
    <row r="2370">
      <c r="A2370" s="56"/>
      <c r="B2370" s="19"/>
      <c r="C2370" s="19"/>
      <c r="E2370" s="59"/>
      <c r="F2370" s="58"/>
      <c r="G2370" s="59"/>
      <c r="H2370" s="58"/>
      <c r="I2370" s="58"/>
      <c r="J2370" s="58"/>
      <c r="K2370" s="58"/>
      <c r="L2370" s="58"/>
      <c r="M2370" s="59"/>
      <c r="N2370" s="58"/>
      <c r="O2370" s="59"/>
      <c r="P2370" s="58"/>
      <c r="Q2370" s="59"/>
      <c r="R2370" s="58"/>
    </row>
    <row r="2371">
      <c r="A2371" s="56"/>
      <c r="B2371" s="19"/>
      <c r="C2371" s="19"/>
      <c r="E2371" s="59"/>
      <c r="F2371" s="58"/>
      <c r="G2371" s="59"/>
      <c r="H2371" s="58"/>
      <c r="I2371" s="58"/>
      <c r="J2371" s="58"/>
      <c r="K2371" s="58"/>
      <c r="L2371" s="58"/>
      <c r="M2371" s="59"/>
      <c r="N2371" s="58"/>
      <c r="O2371" s="59"/>
      <c r="P2371" s="58"/>
      <c r="Q2371" s="59"/>
      <c r="R2371" s="58"/>
    </row>
    <row r="2372">
      <c r="A2372" s="56"/>
      <c r="B2372" s="19"/>
      <c r="C2372" s="19"/>
      <c r="E2372" s="59"/>
      <c r="F2372" s="58"/>
      <c r="G2372" s="59"/>
      <c r="H2372" s="58"/>
      <c r="I2372" s="58"/>
      <c r="J2372" s="58"/>
      <c r="K2372" s="58"/>
      <c r="L2372" s="58"/>
      <c r="M2372" s="59"/>
      <c r="N2372" s="58"/>
      <c r="O2372" s="59"/>
      <c r="P2372" s="58"/>
      <c r="Q2372" s="59"/>
      <c r="R2372" s="58"/>
    </row>
    <row r="2373">
      <c r="A2373" s="56"/>
      <c r="B2373" s="19"/>
      <c r="C2373" s="19"/>
      <c r="E2373" s="59"/>
      <c r="F2373" s="58"/>
      <c r="G2373" s="59"/>
      <c r="H2373" s="58"/>
      <c r="I2373" s="58"/>
      <c r="J2373" s="58"/>
      <c r="K2373" s="58"/>
      <c r="L2373" s="58"/>
      <c r="M2373" s="59"/>
      <c r="N2373" s="58"/>
      <c r="O2373" s="59"/>
      <c r="P2373" s="58"/>
      <c r="Q2373" s="59"/>
      <c r="R2373" s="58"/>
    </row>
    <row r="2374">
      <c r="A2374" s="56"/>
      <c r="B2374" s="19"/>
      <c r="C2374" s="19"/>
      <c r="E2374" s="59"/>
      <c r="F2374" s="58"/>
      <c r="G2374" s="59"/>
      <c r="H2374" s="58"/>
      <c r="I2374" s="58"/>
      <c r="J2374" s="58"/>
      <c r="K2374" s="58"/>
      <c r="L2374" s="58"/>
      <c r="M2374" s="59"/>
      <c r="N2374" s="58"/>
      <c r="O2374" s="59"/>
      <c r="P2374" s="58"/>
      <c r="Q2374" s="59"/>
      <c r="R2374" s="58"/>
    </row>
    <row r="2375">
      <c r="A2375" s="56"/>
      <c r="B2375" s="19"/>
      <c r="C2375" s="19"/>
      <c r="E2375" s="59"/>
      <c r="F2375" s="58"/>
      <c r="G2375" s="59"/>
      <c r="H2375" s="58"/>
      <c r="I2375" s="58"/>
      <c r="J2375" s="58"/>
      <c r="K2375" s="58"/>
      <c r="L2375" s="58"/>
      <c r="M2375" s="59"/>
      <c r="N2375" s="58"/>
      <c r="O2375" s="59"/>
      <c r="P2375" s="58"/>
      <c r="Q2375" s="59"/>
      <c r="R2375" s="58"/>
    </row>
    <row r="2376">
      <c r="A2376" s="56"/>
      <c r="B2376" s="19"/>
      <c r="C2376" s="19"/>
      <c r="E2376" s="59"/>
      <c r="F2376" s="58"/>
      <c r="G2376" s="59"/>
      <c r="H2376" s="58"/>
      <c r="I2376" s="58"/>
      <c r="J2376" s="58"/>
      <c r="K2376" s="58"/>
      <c r="L2376" s="58"/>
      <c r="M2376" s="59"/>
      <c r="N2376" s="58"/>
      <c r="O2376" s="59"/>
      <c r="P2376" s="58"/>
      <c r="Q2376" s="59"/>
      <c r="R2376" s="58"/>
    </row>
    <row r="2377">
      <c r="A2377" s="56"/>
      <c r="B2377" s="19"/>
      <c r="C2377" s="19"/>
      <c r="E2377" s="59"/>
      <c r="F2377" s="58"/>
      <c r="G2377" s="59"/>
      <c r="H2377" s="58"/>
      <c r="I2377" s="58"/>
      <c r="J2377" s="58"/>
      <c r="K2377" s="58"/>
      <c r="L2377" s="58"/>
      <c r="M2377" s="59"/>
      <c r="N2377" s="58"/>
      <c r="O2377" s="59"/>
      <c r="P2377" s="58"/>
      <c r="Q2377" s="59"/>
      <c r="R2377" s="58"/>
    </row>
    <row r="2378">
      <c r="A2378" s="56"/>
      <c r="B2378" s="19"/>
      <c r="C2378" s="19"/>
      <c r="E2378" s="59"/>
      <c r="F2378" s="58"/>
      <c r="G2378" s="59"/>
      <c r="H2378" s="58"/>
      <c r="I2378" s="58"/>
      <c r="J2378" s="58"/>
      <c r="K2378" s="58"/>
      <c r="L2378" s="58"/>
      <c r="M2378" s="59"/>
      <c r="N2378" s="58"/>
      <c r="O2378" s="59"/>
      <c r="P2378" s="58"/>
      <c r="Q2378" s="59"/>
      <c r="R2378" s="58"/>
    </row>
    <row r="2379">
      <c r="A2379" s="56"/>
      <c r="B2379" s="19"/>
      <c r="C2379" s="19"/>
      <c r="E2379" s="59"/>
      <c r="F2379" s="58"/>
      <c r="G2379" s="59"/>
      <c r="H2379" s="58"/>
      <c r="I2379" s="58"/>
      <c r="J2379" s="58"/>
      <c r="K2379" s="58"/>
      <c r="L2379" s="58"/>
      <c r="M2379" s="59"/>
      <c r="N2379" s="58"/>
      <c r="O2379" s="59"/>
      <c r="P2379" s="58"/>
      <c r="Q2379" s="59"/>
      <c r="R2379" s="58"/>
    </row>
    <row r="2380">
      <c r="A2380" s="56"/>
      <c r="B2380" s="19"/>
      <c r="C2380" s="19"/>
      <c r="E2380" s="59"/>
      <c r="F2380" s="58"/>
      <c r="G2380" s="59"/>
      <c r="H2380" s="58"/>
      <c r="I2380" s="58"/>
      <c r="J2380" s="58"/>
      <c r="K2380" s="58"/>
      <c r="L2380" s="58"/>
      <c r="M2380" s="59"/>
      <c r="N2380" s="58"/>
      <c r="O2380" s="59"/>
      <c r="P2380" s="58"/>
      <c r="Q2380" s="59"/>
      <c r="R2380" s="58"/>
    </row>
    <row r="2381">
      <c r="A2381" s="56"/>
      <c r="B2381" s="19"/>
      <c r="C2381" s="19"/>
      <c r="E2381" s="59"/>
      <c r="F2381" s="58"/>
      <c r="G2381" s="59"/>
      <c r="H2381" s="58"/>
      <c r="I2381" s="58"/>
      <c r="J2381" s="58"/>
      <c r="K2381" s="58"/>
      <c r="L2381" s="58"/>
      <c r="M2381" s="59"/>
      <c r="N2381" s="58"/>
      <c r="O2381" s="59"/>
      <c r="P2381" s="58"/>
      <c r="Q2381" s="59"/>
      <c r="R2381" s="58"/>
    </row>
    <row r="2382">
      <c r="A2382" s="56"/>
      <c r="B2382" s="19"/>
      <c r="C2382" s="19"/>
      <c r="E2382" s="59"/>
      <c r="F2382" s="58"/>
      <c r="G2382" s="59"/>
      <c r="H2382" s="58"/>
      <c r="I2382" s="58"/>
      <c r="J2382" s="58"/>
      <c r="K2382" s="58"/>
      <c r="L2382" s="58"/>
      <c r="M2382" s="59"/>
      <c r="N2382" s="58"/>
      <c r="O2382" s="59"/>
      <c r="P2382" s="58"/>
      <c r="Q2382" s="59"/>
      <c r="R2382" s="58"/>
    </row>
    <row r="2383">
      <c r="A2383" s="56"/>
      <c r="B2383" s="19"/>
      <c r="C2383" s="19"/>
      <c r="E2383" s="59"/>
      <c r="F2383" s="58"/>
      <c r="G2383" s="59"/>
      <c r="H2383" s="58"/>
      <c r="I2383" s="58"/>
      <c r="J2383" s="58"/>
      <c r="K2383" s="58"/>
      <c r="L2383" s="58"/>
      <c r="M2383" s="59"/>
      <c r="N2383" s="58"/>
      <c r="O2383" s="59"/>
      <c r="P2383" s="58"/>
      <c r="Q2383" s="59"/>
      <c r="R2383" s="58"/>
    </row>
    <row r="2384">
      <c r="A2384" s="56"/>
      <c r="B2384" s="19"/>
      <c r="C2384" s="19"/>
      <c r="E2384" s="59"/>
      <c r="F2384" s="58"/>
      <c r="G2384" s="59"/>
      <c r="H2384" s="58"/>
      <c r="I2384" s="58"/>
      <c r="J2384" s="58"/>
      <c r="K2384" s="58"/>
      <c r="L2384" s="58"/>
      <c r="M2384" s="59"/>
      <c r="N2384" s="58"/>
      <c r="O2384" s="59"/>
      <c r="P2384" s="58"/>
      <c r="Q2384" s="59"/>
      <c r="R2384" s="58"/>
    </row>
    <row r="2385">
      <c r="A2385" s="56"/>
      <c r="B2385" s="19"/>
      <c r="C2385" s="19"/>
      <c r="E2385" s="59"/>
      <c r="F2385" s="58"/>
      <c r="G2385" s="59"/>
      <c r="H2385" s="58"/>
      <c r="I2385" s="58"/>
      <c r="J2385" s="58"/>
      <c r="K2385" s="58"/>
      <c r="L2385" s="58"/>
      <c r="M2385" s="59"/>
      <c r="N2385" s="58"/>
      <c r="O2385" s="59"/>
      <c r="P2385" s="58"/>
      <c r="Q2385" s="59"/>
      <c r="R2385" s="58"/>
    </row>
    <row r="2386">
      <c r="A2386" s="56"/>
      <c r="B2386" s="19"/>
      <c r="C2386" s="19"/>
      <c r="E2386" s="59"/>
      <c r="F2386" s="58"/>
      <c r="G2386" s="59"/>
      <c r="H2386" s="58"/>
      <c r="I2386" s="58"/>
      <c r="J2386" s="58"/>
      <c r="K2386" s="58"/>
      <c r="L2386" s="58"/>
      <c r="M2386" s="59"/>
      <c r="N2386" s="58"/>
      <c r="O2386" s="59"/>
      <c r="P2386" s="58"/>
      <c r="Q2386" s="59"/>
      <c r="R2386" s="58"/>
    </row>
    <row r="2387">
      <c r="A2387" s="56"/>
      <c r="B2387" s="19"/>
      <c r="C2387" s="19"/>
      <c r="E2387" s="59"/>
      <c r="F2387" s="58"/>
      <c r="G2387" s="59"/>
      <c r="H2387" s="58"/>
      <c r="I2387" s="58"/>
      <c r="J2387" s="58"/>
      <c r="K2387" s="58"/>
      <c r="L2387" s="58"/>
      <c r="M2387" s="59"/>
      <c r="N2387" s="58"/>
      <c r="O2387" s="59"/>
      <c r="P2387" s="58"/>
      <c r="Q2387" s="59"/>
      <c r="R2387" s="58"/>
    </row>
    <row r="2388">
      <c r="A2388" s="56"/>
      <c r="B2388" s="19"/>
      <c r="C2388" s="19"/>
      <c r="E2388" s="59"/>
      <c r="F2388" s="58"/>
      <c r="G2388" s="59"/>
      <c r="H2388" s="58"/>
      <c r="I2388" s="58"/>
      <c r="J2388" s="58"/>
      <c r="K2388" s="58"/>
      <c r="L2388" s="58"/>
      <c r="M2388" s="59"/>
      <c r="N2388" s="58"/>
      <c r="O2388" s="59"/>
      <c r="P2388" s="58"/>
      <c r="Q2388" s="59"/>
      <c r="R2388" s="58"/>
    </row>
    <row r="2389">
      <c r="A2389" s="56"/>
      <c r="B2389" s="19"/>
      <c r="C2389" s="19"/>
      <c r="E2389" s="59"/>
      <c r="F2389" s="58"/>
      <c r="G2389" s="59"/>
      <c r="H2389" s="58"/>
      <c r="I2389" s="58"/>
      <c r="J2389" s="58"/>
      <c r="K2389" s="58"/>
      <c r="L2389" s="58"/>
      <c r="M2389" s="59"/>
      <c r="N2389" s="58"/>
      <c r="O2389" s="59"/>
      <c r="P2389" s="58"/>
      <c r="Q2389" s="59"/>
      <c r="R2389" s="58"/>
    </row>
    <row r="2390">
      <c r="A2390" s="56"/>
      <c r="B2390" s="19"/>
      <c r="C2390" s="19"/>
      <c r="E2390" s="59"/>
      <c r="F2390" s="58"/>
      <c r="G2390" s="59"/>
      <c r="H2390" s="58"/>
      <c r="I2390" s="58"/>
      <c r="J2390" s="58"/>
      <c r="K2390" s="58"/>
      <c r="L2390" s="58"/>
      <c r="M2390" s="59"/>
      <c r="N2390" s="58"/>
      <c r="O2390" s="59"/>
      <c r="P2390" s="58"/>
      <c r="Q2390" s="59"/>
      <c r="R2390" s="58"/>
    </row>
    <row r="2391">
      <c r="A2391" s="56"/>
      <c r="B2391" s="19"/>
      <c r="C2391" s="19"/>
      <c r="E2391" s="59"/>
      <c r="F2391" s="58"/>
      <c r="G2391" s="59"/>
      <c r="H2391" s="58"/>
      <c r="I2391" s="58"/>
      <c r="J2391" s="58"/>
      <c r="K2391" s="58"/>
      <c r="L2391" s="58"/>
      <c r="M2391" s="59"/>
      <c r="N2391" s="58"/>
      <c r="O2391" s="59"/>
      <c r="P2391" s="58"/>
      <c r="Q2391" s="59"/>
      <c r="R2391" s="58"/>
    </row>
    <row r="2392">
      <c r="A2392" s="56"/>
      <c r="B2392" s="19"/>
      <c r="C2392" s="19"/>
      <c r="E2392" s="59"/>
      <c r="F2392" s="58"/>
      <c r="G2392" s="59"/>
      <c r="H2392" s="58"/>
      <c r="I2392" s="58"/>
      <c r="J2392" s="58"/>
      <c r="K2392" s="58"/>
      <c r="L2392" s="58"/>
      <c r="M2392" s="59"/>
      <c r="N2392" s="58"/>
      <c r="O2392" s="59"/>
      <c r="P2392" s="58"/>
      <c r="Q2392" s="59"/>
      <c r="R2392" s="58"/>
    </row>
    <row r="2393">
      <c r="A2393" s="56"/>
      <c r="B2393" s="19"/>
      <c r="C2393" s="19"/>
      <c r="E2393" s="59"/>
      <c r="F2393" s="58"/>
      <c r="G2393" s="59"/>
      <c r="H2393" s="58"/>
      <c r="I2393" s="58"/>
      <c r="J2393" s="58"/>
      <c r="K2393" s="58"/>
      <c r="L2393" s="58"/>
      <c r="M2393" s="59"/>
      <c r="N2393" s="58"/>
      <c r="O2393" s="59"/>
      <c r="P2393" s="58"/>
      <c r="Q2393" s="59"/>
      <c r="R2393" s="58"/>
    </row>
    <row r="2394">
      <c r="A2394" s="56"/>
      <c r="B2394" s="19"/>
      <c r="C2394" s="19"/>
      <c r="E2394" s="59"/>
      <c r="F2394" s="58"/>
      <c r="G2394" s="59"/>
      <c r="H2394" s="58"/>
      <c r="I2394" s="58"/>
      <c r="J2394" s="58"/>
      <c r="K2394" s="58"/>
      <c r="L2394" s="58"/>
      <c r="M2394" s="59"/>
      <c r="N2394" s="58"/>
      <c r="O2394" s="59"/>
      <c r="P2394" s="58"/>
      <c r="Q2394" s="59"/>
      <c r="R2394" s="58"/>
    </row>
    <row r="2395">
      <c r="A2395" s="56"/>
      <c r="B2395" s="19"/>
      <c r="C2395" s="19"/>
      <c r="E2395" s="59"/>
      <c r="F2395" s="58"/>
      <c r="G2395" s="59"/>
      <c r="H2395" s="58"/>
      <c r="I2395" s="58"/>
      <c r="J2395" s="58"/>
      <c r="K2395" s="58"/>
      <c r="L2395" s="58"/>
      <c r="M2395" s="59"/>
      <c r="N2395" s="58"/>
      <c r="O2395" s="59"/>
      <c r="P2395" s="58"/>
      <c r="Q2395" s="59"/>
      <c r="R2395" s="58"/>
    </row>
    <row r="2396">
      <c r="A2396" s="56"/>
      <c r="B2396" s="19"/>
      <c r="C2396" s="19"/>
      <c r="E2396" s="59"/>
      <c r="F2396" s="58"/>
      <c r="G2396" s="59"/>
      <c r="H2396" s="58"/>
      <c r="I2396" s="58"/>
      <c r="J2396" s="58"/>
      <c r="K2396" s="58"/>
      <c r="L2396" s="58"/>
      <c r="M2396" s="59"/>
      <c r="N2396" s="58"/>
      <c r="O2396" s="59"/>
      <c r="P2396" s="58"/>
      <c r="Q2396" s="59"/>
      <c r="R2396" s="58"/>
    </row>
    <row r="2397">
      <c r="A2397" s="56"/>
      <c r="B2397" s="19"/>
      <c r="C2397" s="19"/>
      <c r="E2397" s="59"/>
      <c r="F2397" s="58"/>
      <c r="G2397" s="59"/>
      <c r="H2397" s="58"/>
      <c r="I2397" s="58"/>
      <c r="J2397" s="58"/>
      <c r="K2397" s="58"/>
      <c r="L2397" s="58"/>
      <c r="M2397" s="59"/>
      <c r="N2397" s="58"/>
      <c r="O2397" s="59"/>
      <c r="P2397" s="58"/>
      <c r="Q2397" s="59"/>
      <c r="R2397" s="58"/>
    </row>
    <row r="2398">
      <c r="A2398" s="56"/>
      <c r="B2398" s="19"/>
      <c r="C2398" s="19"/>
      <c r="E2398" s="59"/>
      <c r="F2398" s="58"/>
      <c r="G2398" s="59"/>
      <c r="H2398" s="58"/>
      <c r="I2398" s="58"/>
      <c r="J2398" s="58"/>
      <c r="K2398" s="58"/>
      <c r="L2398" s="58"/>
      <c r="M2398" s="59"/>
      <c r="N2398" s="58"/>
      <c r="O2398" s="59"/>
      <c r="P2398" s="58"/>
      <c r="Q2398" s="59"/>
      <c r="R2398" s="58"/>
    </row>
    <row r="2399">
      <c r="A2399" s="56"/>
      <c r="B2399" s="19"/>
      <c r="C2399" s="19"/>
      <c r="E2399" s="59"/>
      <c r="F2399" s="58"/>
      <c r="G2399" s="59"/>
      <c r="H2399" s="58"/>
      <c r="I2399" s="58"/>
      <c r="J2399" s="58"/>
      <c r="K2399" s="58"/>
      <c r="L2399" s="58"/>
      <c r="M2399" s="59"/>
      <c r="N2399" s="58"/>
      <c r="O2399" s="59"/>
      <c r="P2399" s="58"/>
      <c r="Q2399" s="59"/>
      <c r="R2399" s="58"/>
    </row>
    <row r="2400">
      <c r="A2400" s="56"/>
      <c r="B2400" s="19"/>
      <c r="C2400" s="19"/>
      <c r="E2400" s="59"/>
      <c r="F2400" s="58"/>
      <c r="G2400" s="59"/>
      <c r="H2400" s="58"/>
      <c r="I2400" s="58"/>
      <c r="J2400" s="58"/>
      <c r="K2400" s="58"/>
      <c r="L2400" s="58"/>
      <c r="M2400" s="59"/>
      <c r="N2400" s="58"/>
      <c r="O2400" s="59"/>
      <c r="P2400" s="58"/>
      <c r="Q2400" s="59"/>
      <c r="R2400" s="58"/>
    </row>
    <row r="2401">
      <c r="A2401" s="56"/>
      <c r="B2401" s="19"/>
      <c r="C2401" s="19"/>
      <c r="E2401" s="59"/>
      <c r="F2401" s="58"/>
      <c r="G2401" s="59"/>
      <c r="H2401" s="58"/>
      <c r="I2401" s="58"/>
      <c r="J2401" s="58"/>
      <c r="K2401" s="58"/>
      <c r="L2401" s="58"/>
      <c r="M2401" s="59"/>
      <c r="N2401" s="58"/>
      <c r="O2401" s="59"/>
      <c r="P2401" s="58"/>
      <c r="Q2401" s="59"/>
      <c r="R2401" s="58"/>
    </row>
    <row r="2402">
      <c r="A2402" s="56"/>
      <c r="B2402" s="19"/>
      <c r="C2402" s="19"/>
      <c r="E2402" s="59"/>
      <c r="F2402" s="58"/>
      <c r="G2402" s="59"/>
      <c r="H2402" s="58"/>
      <c r="I2402" s="58"/>
      <c r="J2402" s="58"/>
      <c r="K2402" s="58"/>
      <c r="L2402" s="58"/>
      <c r="M2402" s="59"/>
      <c r="N2402" s="58"/>
      <c r="O2402" s="59"/>
      <c r="P2402" s="58"/>
      <c r="Q2402" s="59"/>
      <c r="R2402" s="58"/>
    </row>
    <row r="2403">
      <c r="A2403" s="56"/>
      <c r="B2403" s="19"/>
      <c r="C2403" s="19"/>
      <c r="E2403" s="59"/>
      <c r="F2403" s="58"/>
      <c r="G2403" s="59"/>
      <c r="H2403" s="58"/>
      <c r="I2403" s="58"/>
      <c r="J2403" s="58"/>
      <c r="K2403" s="58"/>
      <c r="L2403" s="58"/>
      <c r="M2403" s="59"/>
      <c r="N2403" s="58"/>
      <c r="O2403" s="59"/>
      <c r="P2403" s="58"/>
      <c r="Q2403" s="59"/>
      <c r="R2403" s="58"/>
    </row>
    <row r="2404">
      <c r="A2404" s="56"/>
      <c r="B2404" s="19"/>
      <c r="C2404" s="19"/>
      <c r="E2404" s="59"/>
      <c r="F2404" s="58"/>
      <c r="G2404" s="59"/>
      <c r="H2404" s="58"/>
      <c r="I2404" s="58"/>
      <c r="J2404" s="58"/>
      <c r="K2404" s="58"/>
      <c r="L2404" s="58"/>
      <c r="M2404" s="59"/>
      <c r="N2404" s="58"/>
      <c r="O2404" s="59"/>
      <c r="P2404" s="58"/>
      <c r="Q2404" s="59"/>
      <c r="R2404" s="58"/>
    </row>
    <row r="2405">
      <c r="A2405" s="56"/>
      <c r="B2405" s="19"/>
      <c r="C2405" s="19"/>
      <c r="E2405" s="59"/>
      <c r="F2405" s="58"/>
      <c r="G2405" s="59"/>
      <c r="H2405" s="58"/>
      <c r="I2405" s="58"/>
      <c r="J2405" s="58"/>
      <c r="K2405" s="58"/>
      <c r="L2405" s="58"/>
      <c r="M2405" s="59"/>
      <c r="N2405" s="58"/>
      <c r="O2405" s="59"/>
      <c r="P2405" s="58"/>
      <c r="Q2405" s="59"/>
      <c r="R2405" s="58"/>
    </row>
    <row r="2406">
      <c r="A2406" s="56"/>
      <c r="B2406" s="19"/>
      <c r="C2406" s="19"/>
      <c r="E2406" s="59"/>
      <c r="F2406" s="58"/>
      <c r="G2406" s="59"/>
      <c r="H2406" s="58"/>
      <c r="I2406" s="58"/>
      <c r="J2406" s="58"/>
      <c r="K2406" s="58"/>
      <c r="L2406" s="58"/>
      <c r="M2406" s="59"/>
      <c r="N2406" s="58"/>
      <c r="O2406" s="59"/>
      <c r="P2406" s="58"/>
      <c r="Q2406" s="59"/>
      <c r="R2406" s="58"/>
    </row>
    <row r="2407">
      <c r="A2407" s="56"/>
      <c r="B2407" s="19"/>
      <c r="C2407" s="19"/>
      <c r="E2407" s="59"/>
      <c r="F2407" s="58"/>
      <c r="G2407" s="59"/>
      <c r="H2407" s="58"/>
      <c r="I2407" s="58"/>
      <c r="J2407" s="58"/>
      <c r="K2407" s="58"/>
      <c r="L2407" s="58"/>
      <c r="M2407" s="59"/>
      <c r="N2407" s="58"/>
      <c r="O2407" s="59"/>
      <c r="P2407" s="58"/>
      <c r="Q2407" s="59"/>
      <c r="R2407" s="58"/>
    </row>
    <row r="2408">
      <c r="A2408" s="56"/>
      <c r="B2408" s="19"/>
      <c r="C2408" s="19"/>
      <c r="E2408" s="59"/>
      <c r="F2408" s="58"/>
      <c r="G2408" s="59"/>
      <c r="H2408" s="58"/>
      <c r="I2408" s="58"/>
      <c r="J2408" s="58"/>
      <c r="K2408" s="58"/>
      <c r="L2408" s="58"/>
      <c r="M2408" s="59"/>
      <c r="N2408" s="58"/>
      <c r="O2408" s="59"/>
      <c r="P2408" s="58"/>
      <c r="Q2408" s="59"/>
      <c r="R2408" s="58"/>
    </row>
    <row r="2409">
      <c r="A2409" s="56"/>
      <c r="B2409" s="19"/>
      <c r="C2409" s="19"/>
      <c r="E2409" s="59"/>
      <c r="F2409" s="58"/>
      <c r="G2409" s="59"/>
      <c r="H2409" s="58"/>
      <c r="I2409" s="58"/>
      <c r="J2409" s="58"/>
      <c r="K2409" s="58"/>
      <c r="L2409" s="58"/>
      <c r="M2409" s="59"/>
      <c r="N2409" s="58"/>
      <c r="O2409" s="59"/>
      <c r="P2409" s="58"/>
      <c r="Q2409" s="59"/>
      <c r="R2409" s="58"/>
    </row>
    <row r="2410">
      <c r="A2410" s="56"/>
      <c r="B2410" s="19"/>
      <c r="C2410" s="19"/>
      <c r="E2410" s="59"/>
      <c r="F2410" s="58"/>
      <c r="G2410" s="59"/>
      <c r="H2410" s="58"/>
      <c r="I2410" s="58"/>
      <c r="J2410" s="58"/>
      <c r="K2410" s="58"/>
      <c r="L2410" s="58"/>
      <c r="M2410" s="59"/>
      <c r="N2410" s="58"/>
      <c r="O2410" s="59"/>
      <c r="P2410" s="58"/>
      <c r="Q2410" s="59"/>
      <c r="R2410" s="58"/>
    </row>
    <row r="2411">
      <c r="A2411" s="56"/>
      <c r="B2411" s="19"/>
      <c r="C2411" s="19"/>
      <c r="E2411" s="59"/>
      <c r="F2411" s="58"/>
      <c r="G2411" s="59"/>
      <c r="H2411" s="58"/>
      <c r="I2411" s="58"/>
      <c r="J2411" s="58"/>
      <c r="K2411" s="58"/>
      <c r="L2411" s="58"/>
      <c r="M2411" s="59"/>
      <c r="N2411" s="58"/>
      <c r="O2411" s="59"/>
      <c r="P2411" s="58"/>
      <c r="Q2411" s="59"/>
      <c r="R2411" s="58"/>
    </row>
    <row r="2412">
      <c r="A2412" s="56"/>
      <c r="B2412" s="19"/>
      <c r="C2412" s="19"/>
      <c r="E2412" s="59"/>
      <c r="F2412" s="58"/>
      <c r="G2412" s="59"/>
      <c r="H2412" s="58"/>
      <c r="I2412" s="58"/>
      <c r="J2412" s="58"/>
      <c r="K2412" s="58"/>
      <c r="L2412" s="58"/>
      <c r="M2412" s="59"/>
      <c r="N2412" s="58"/>
      <c r="O2412" s="59"/>
      <c r="P2412" s="58"/>
      <c r="Q2412" s="59"/>
      <c r="R2412" s="58"/>
    </row>
    <row r="2413">
      <c r="A2413" s="56"/>
      <c r="B2413" s="19"/>
      <c r="C2413" s="19"/>
      <c r="E2413" s="59"/>
      <c r="F2413" s="58"/>
      <c r="G2413" s="59"/>
      <c r="H2413" s="58"/>
      <c r="I2413" s="58"/>
      <c r="J2413" s="58"/>
      <c r="K2413" s="58"/>
      <c r="L2413" s="58"/>
      <c r="M2413" s="59"/>
      <c r="N2413" s="58"/>
      <c r="O2413" s="59"/>
      <c r="P2413" s="58"/>
      <c r="Q2413" s="59"/>
      <c r="R2413" s="58"/>
    </row>
    <row r="2414">
      <c r="A2414" s="56"/>
      <c r="B2414" s="19"/>
      <c r="C2414" s="19"/>
      <c r="E2414" s="59"/>
      <c r="F2414" s="58"/>
      <c r="G2414" s="59"/>
      <c r="H2414" s="58"/>
      <c r="I2414" s="58"/>
      <c r="J2414" s="58"/>
      <c r="K2414" s="58"/>
      <c r="L2414" s="58"/>
      <c r="M2414" s="59"/>
      <c r="N2414" s="58"/>
      <c r="O2414" s="59"/>
      <c r="P2414" s="58"/>
      <c r="Q2414" s="59"/>
      <c r="R2414" s="58"/>
    </row>
    <row r="2415">
      <c r="A2415" s="56"/>
      <c r="B2415" s="19"/>
      <c r="C2415" s="19"/>
      <c r="E2415" s="59"/>
      <c r="F2415" s="58"/>
      <c r="G2415" s="59"/>
      <c r="H2415" s="58"/>
      <c r="I2415" s="58"/>
      <c r="J2415" s="58"/>
      <c r="K2415" s="58"/>
      <c r="L2415" s="58"/>
      <c r="M2415" s="59"/>
      <c r="N2415" s="58"/>
      <c r="O2415" s="59"/>
      <c r="P2415" s="58"/>
      <c r="Q2415" s="59"/>
      <c r="R2415" s="58"/>
    </row>
    <row r="2416">
      <c r="A2416" s="56"/>
      <c r="B2416" s="19"/>
      <c r="C2416" s="19"/>
      <c r="E2416" s="59"/>
      <c r="F2416" s="58"/>
      <c r="G2416" s="59"/>
      <c r="H2416" s="58"/>
      <c r="I2416" s="58"/>
      <c r="J2416" s="58"/>
      <c r="K2416" s="58"/>
      <c r="L2416" s="58"/>
      <c r="M2416" s="59"/>
      <c r="N2416" s="58"/>
      <c r="O2416" s="59"/>
      <c r="P2416" s="58"/>
      <c r="Q2416" s="59"/>
      <c r="R2416" s="58"/>
    </row>
    <row r="2417">
      <c r="A2417" s="56"/>
      <c r="B2417" s="19"/>
      <c r="C2417" s="19"/>
      <c r="E2417" s="59"/>
      <c r="F2417" s="58"/>
      <c r="G2417" s="59"/>
      <c r="H2417" s="58"/>
      <c r="I2417" s="58"/>
      <c r="J2417" s="58"/>
      <c r="K2417" s="58"/>
      <c r="L2417" s="58"/>
      <c r="M2417" s="59"/>
      <c r="N2417" s="58"/>
      <c r="O2417" s="59"/>
      <c r="P2417" s="58"/>
      <c r="Q2417" s="59"/>
      <c r="R2417" s="58"/>
    </row>
    <row r="2418">
      <c r="A2418" s="56"/>
      <c r="B2418" s="19"/>
      <c r="C2418" s="19"/>
      <c r="E2418" s="59"/>
      <c r="F2418" s="58"/>
      <c r="G2418" s="59"/>
      <c r="H2418" s="58"/>
      <c r="I2418" s="58"/>
      <c r="J2418" s="58"/>
      <c r="K2418" s="58"/>
      <c r="L2418" s="58"/>
      <c r="M2418" s="59"/>
      <c r="N2418" s="58"/>
      <c r="O2418" s="59"/>
      <c r="P2418" s="58"/>
      <c r="Q2418" s="59"/>
      <c r="R2418" s="58"/>
    </row>
    <row r="2419">
      <c r="A2419" s="56"/>
      <c r="B2419" s="19"/>
      <c r="C2419" s="19"/>
      <c r="E2419" s="59"/>
      <c r="F2419" s="58"/>
      <c r="G2419" s="59"/>
      <c r="H2419" s="58"/>
      <c r="I2419" s="58"/>
      <c r="J2419" s="58"/>
      <c r="K2419" s="58"/>
      <c r="L2419" s="58"/>
      <c r="M2419" s="59"/>
      <c r="N2419" s="58"/>
      <c r="O2419" s="59"/>
      <c r="P2419" s="58"/>
      <c r="Q2419" s="59"/>
      <c r="R2419" s="58"/>
    </row>
    <row r="2420">
      <c r="A2420" s="56"/>
      <c r="B2420" s="19"/>
      <c r="C2420" s="19"/>
      <c r="E2420" s="59"/>
      <c r="F2420" s="58"/>
      <c r="G2420" s="59"/>
      <c r="H2420" s="58"/>
      <c r="I2420" s="58"/>
      <c r="J2420" s="58"/>
      <c r="K2420" s="58"/>
      <c r="L2420" s="58"/>
      <c r="M2420" s="59"/>
      <c r="N2420" s="58"/>
      <c r="O2420" s="59"/>
      <c r="P2420" s="58"/>
      <c r="Q2420" s="59"/>
      <c r="R2420" s="58"/>
    </row>
    <row r="2421">
      <c r="A2421" s="56"/>
      <c r="B2421" s="19"/>
      <c r="C2421" s="19"/>
      <c r="E2421" s="59"/>
      <c r="F2421" s="58"/>
      <c r="G2421" s="59"/>
      <c r="H2421" s="58"/>
      <c r="I2421" s="58"/>
      <c r="J2421" s="58"/>
      <c r="K2421" s="58"/>
      <c r="L2421" s="58"/>
      <c r="M2421" s="59"/>
      <c r="N2421" s="58"/>
      <c r="O2421" s="59"/>
      <c r="P2421" s="58"/>
      <c r="Q2421" s="59"/>
      <c r="R2421" s="58"/>
    </row>
    <row r="2422">
      <c r="A2422" s="56"/>
      <c r="B2422" s="19"/>
      <c r="C2422" s="19"/>
      <c r="E2422" s="59"/>
      <c r="F2422" s="58"/>
      <c r="G2422" s="59"/>
      <c r="H2422" s="58"/>
      <c r="I2422" s="58"/>
      <c r="J2422" s="58"/>
      <c r="K2422" s="58"/>
      <c r="L2422" s="58"/>
      <c r="M2422" s="59"/>
      <c r="N2422" s="58"/>
      <c r="O2422" s="59"/>
      <c r="P2422" s="58"/>
      <c r="Q2422" s="59"/>
      <c r="R2422" s="58"/>
    </row>
    <row r="2423">
      <c r="A2423" s="56"/>
      <c r="B2423" s="19"/>
      <c r="C2423" s="19"/>
      <c r="E2423" s="59"/>
      <c r="F2423" s="58"/>
      <c r="G2423" s="59"/>
      <c r="H2423" s="58"/>
      <c r="I2423" s="58"/>
      <c r="J2423" s="58"/>
      <c r="K2423" s="58"/>
      <c r="L2423" s="58"/>
      <c r="M2423" s="59"/>
      <c r="N2423" s="58"/>
      <c r="O2423" s="59"/>
      <c r="P2423" s="58"/>
      <c r="Q2423" s="59"/>
      <c r="R2423" s="58"/>
    </row>
    <row r="2424">
      <c r="A2424" s="56"/>
      <c r="B2424" s="19"/>
      <c r="C2424" s="19"/>
      <c r="E2424" s="59"/>
      <c r="F2424" s="58"/>
      <c r="G2424" s="59"/>
      <c r="H2424" s="58"/>
      <c r="I2424" s="58"/>
      <c r="J2424" s="58"/>
      <c r="K2424" s="58"/>
      <c r="L2424" s="58"/>
      <c r="M2424" s="59"/>
      <c r="N2424" s="58"/>
      <c r="O2424" s="59"/>
      <c r="P2424" s="58"/>
      <c r="Q2424" s="59"/>
      <c r="R2424" s="58"/>
    </row>
    <row r="2425">
      <c r="A2425" s="56"/>
      <c r="B2425" s="19"/>
      <c r="C2425" s="19"/>
      <c r="E2425" s="59"/>
      <c r="F2425" s="58"/>
      <c r="G2425" s="59"/>
      <c r="H2425" s="58"/>
      <c r="I2425" s="58"/>
      <c r="J2425" s="58"/>
      <c r="K2425" s="58"/>
      <c r="L2425" s="58"/>
      <c r="M2425" s="59"/>
      <c r="N2425" s="58"/>
      <c r="O2425" s="59"/>
      <c r="P2425" s="58"/>
      <c r="Q2425" s="59"/>
      <c r="R2425" s="58"/>
    </row>
    <row r="2426">
      <c r="A2426" s="56"/>
      <c r="B2426" s="19"/>
      <c r="C2426" s="19"/>
      <c r="E2426" s="59"/>
      <c r="F2426" s="58"/>
      <c r="G2426" s="59"/>
      <c r="H2426" s="58"/>
      <c r="I2426" s="58"/>
      <c r="J2426" s="58"/>
      <c r="K2426" s="58"/>
      <c r="L2426" s="58"/>
      <c r="M2426" s="59"/>
      <c r="N2426" s="58"/>
      <c r="O2426" s="59"/>
      <c r="P2426" s="58"/>
      <c r="Q2426" s="59"/>
      <c r="R2426" s="58"/>
    </row>
    <row r="2427">
      <c r="A2427" s="56"/>
      <c r="B2427" s="19"/>
      <c r="C2427" s="19"/>
      <c r="E2427" s="59"/>
      <c r="F2427" s="58"/>
      <c r="G2427" s="59"/>
      <c r="H2427" s="58"/>
      <c r="I2427" s="58"/>
      <c r="J2427" s="58"/>
      <c r="K2427" s="58"/>
      <c r="L2427" s="58"/>
      <c r="M2427" s="59"/>
      <c r="N2427" s="58"/>
      <c r="O2427" s="59"/>
      <c r="P2427" s="58"/>
      <c r="Q2427" s="59"/>
      <c r="R2427" s="58"/>
    </row>
    <row r="2428">
      <c r="A2428" s="56"/>
      <c r="B2428" s="19"/>
      <c r="C2428" s="19"/>
      <c r="E2428" s="59"/>
      <c r="F2428" s="58"/>
      <c r="G2428" s="59"/>
      <c r="H2428" s="58"/>
      <c r="I2428" s="58"/>
      <c r="J2428" s="58"/>
      <c r="K2428" s="58"/>
      <c r="L2428" s="58"/>
      <c r="M2428" s="59"/>
      <c r="N2428" s="58"/>
      <c r="O2428" s="59"/>
      <c r="P2428" s="58"/>
      <c r="Q2428" s="59"/>
      <c r="R2428" s="58"/>
    </row>
    <row r="2429">
      <c r="A2429" s="56"/>
      <c r="B2429" s="19"/>
      <c r="C2429" s="19"/>
      <c r="E2429" s="59"/>
      <c r="F2429" s="58"/>
      <c r="G2429" s="59"/>
      <c r="H2429" s="58"/>
      <c r="I2429" s="58"/>
      <c r="J2429" s="58"/>
      <c r="K2429" s="58"/>
      <c r="L2429" s="58"/>
      <c r="M2429" s="59"/>
      <c r="N2429" s="58"/>
      <c r="O2429" s="59"/>
      <c r="P2429" s="58"/>
      <c r="Q2429" s="59"/>
      <c r="R2429" s="58"/>
    </row>
    <row r="2430">
      <c r="A2430" s="56"/>
      <c r="B2430" s="19"/>
      <c r="C2430" s="19"/>
      <c r="E2430" s="59"/>
      <c r="F2430" s="58"/>
      <c r="G2430" s="59"/>
      <c r="H2430" s="58"/>
      <c r="I2430" s="58"/>
      <c r="J2430" s="58"/>
      <c r="K2430" s="58"/>
      <c r="L2430" s="58"/>
      <c r="M2430" s="59"/>
      <c r="N2430" s="58"/>
      <c r="O2430" s="59"/>
      <c r="P2430" s="58"/>
      <c r="Q2430" s="59"/>
      <c r="R2430" s="58"/>
    </row>
    <row r="2431">
      <c r="A2431" s="56"/>
      <c r="B2431" s="19"/>
      <c r="C2431" s="19"/>
      <c r="E2431" s="59"/>
      <c r="F2431" s="58"/>
      <c r="G2431" s="59"/>
      <c r="H2431" s="58"/>
      <c r="I2431" s="58"/>
      <c r="J2431" s="58"/>
      <c r="K2431" s="58"/>
      <c r="L2431" s="58"/>
      <c r="M2431" s="59"/>
      <c r="N2431" s="58"/>
      <c r="O2431" s="59"/>
      <c r="P2431" s="58"/>
      <c r="Q2431" s="59"/>
      <c r="R2431" s="58"/>
    </row>
    <row r="2432">
      <c r="A2432" s="56"/>
      <c r="B2432" s="19"/>
      <c r="C2432" s="19"/>
      <c r="E2432" s="59"/>
      <c r="F2432" s="58"/>
      <c r="G2432" s="59"/>
      <c r="H2432" s="58"/>
      <c r="I2432" s="58"/>
      <c r="J2432" s="58"/>
      <c r="K2432" s="58"/>
      <c r="L2432" s="58"/>
      <c r="M2432" s="59"/>
      <c r="N2432" s="58"/>
      <c r="O2432" s="59"/>
      <c r="P2432" s="58"/>
      <c r="Q2432" s="59"/>
      <c r="R2432" s="58"/>
    </row>
    <row r="2433">
      <c r="A2433" s="56"/>
      <c r="B2433" s="19"/>
      <c r="C2433" s="19"/>
      <c r="E2433" s="59"/>
      <c r="F2433" s="58"/>
      <c r="G2433" s="59"/>
      <c r="H2433" s="58"/>
      <c r="I2433" s="58"/>
      <c r="J2433" s="58"/>
      <c r="K2433" s="58"/>
      <c r="L2433" s="58"/>
      <c r="M2433" s="59"/>
      <c r="N2433" s="58"/>
      <c r="O2433" s="59"/>
      <c r="P2433" s="58"/>
      <c r="Q2433" s="59"/>
      <c r="R2433" s="58"/>
    </row>
    <row r="2434">
      <c r="A2434" s="56"/>
      <c r="B2434" s="19"/>
      <c r="C2434" s="19"/>
      <c r="E2434" s="59"/>
      <c r="F2434" s="58"/>
      <c r="G2434" s="59"/>
      <c r="H2434" s="58"/>
      <c r="I2434" s="58"/>
      <c r="J2434" s="58"/>
      <c r="K2434" s="58"/>
      <c r="L2434" s="58"/>
      <c r="M2434" s="59"/>
      <c r="N2434" s="58"/>
      <c r="O2434" s="59"/>
      <c r="P2434" s="58"/>
      <c r="Q2434" s="59"/>
      <c r="R2434" s="58"/>
    </row>
    <row r="2435">
      <c r="A2435" s="56"/>
      <c r="B2435" s="19"/>
      <c r="C2435" s="19"/>
      <c r="E2435" s="59"/>
      <c r="F2435" s="58"/>
      <c r="G2435" s="59"/>
      <c r="H2435" s="58"/>
      <c r="I2435" s="58"/>
      <c r="J2435" s="58"/>
      <c r="K2435" s="58"/>
      <c r="L2435" s="58"/>
      <c r="M2435" s="59"/>
      <c r="N2435" s="58"/>
      <c r="O2435" s="59"/>
      <c r="P2435" s="58"/>
      <c r="Q2435" s="59"/>
      <c r="R2435" s="58"/>
    </row>
    <row r="2436">
      <c r="A2436" s="56"/>
      <c r="B2436" s="19"/>
      <c r="C2436" s="19"/>
      <c r="E2436" s="59"/>
      <c r="F2436" s="58"/>
      <c r="G2436" s="59"/>
      <c r="H2436" s="58"/>
      <c r="I2436" s="58"/>
      <c r="J2436" s="58"/>
      <c r="K2436" s="58"/>
      <c r="L2436" s="58"/>
      <c r="M2436" s="59"/>
      <c r="N2436" s="58"/>
      <c r="O2436" s="59"/>
      <c r="P2436" s="58"/>
      <c r="Q2436" s="59"/>
      <c r="R2436" s="58"/>
    </row>
    <row r="2437">
      <c r="A2437" s="56"/>
      <c r="B2437" s="19"/>
      <c r="C2437" s="19"/>
      <c r="E2437" s="59"/>
      <c r="F2437" s="58"/>
      <c r="G2437" s="59"/>
      <c r="H2437" s="58"/>
      <c r="I2437" s="58"/>
      <c r="J2437" s="58"/>
      <c r="K2437" s="58"/>
      <c r="L2437" s="58"/>
      <c r="M2437" s="59"/>
      <c r="N2437" s="58"/>
      <c r="O2437" s="59"/>
      <c r="P2437" s="58"/>
      <c r="Q2437" s="59"/>
      <c r="R2437" s="58"/>
    </row>
    <row r="2438">
      <c r="A2438" s="56"/>
      <c r="B2438" s="19"/>
      <c r="C2438" s="19"/>
      <c r="E2438" s="59"/>
      <c r="F2438" s="58"/>
      <c r="G2438" s="59"/>
      <c r="H2438" s="58"/>
      <c r="I2438" s="58"/>
      <c r="J2438" s="58"/>
      <c r="K2438" s="58"/>
      <c r="L2438" s="58"/>
      <c r="M2438" s="59"/>
      <c r="N2438" s="58"/>
      <c r="O2438" s="59"/>
      <c r="P2438" s="58"/>
      <c r="Q2438" s="59"/>
      <c r="R2438" s="58"/>
    </row>
    <row r="2439">
      <c r="A2439" s="56"/>
      <c r="B2439" s="19"/>
      <c r="C2439" s="19"/>
      <c r="E2439" s="59"/>
      <c r="F2439" s="58"/>
      <c r="G2439" s="59"/>
      <c r="H2439" s="58"/>
      <c r="I2439" s="58"/>
      <c r="J2439" s="58"/>
      <c r="K2439" s="58"/>
      <c r="L2439" s="58"/>
      <c r="M2439" s="59"/>
      <c r="N2439" s="58"/>
      <c r="O2439" s="59"/>
      <c r="P2439" s="58"/>
      <c r="Q2439" s="59"/>
      <c r="R2439" s="58"/>
    </row>
    <row r="2440">
      <c r="A2440" s="56"/>
      <c r="B2440" s="19"/>
      <c r="C2440" s="19"/>
      <c r="E2440" s="59"/>
      <c r="F2440" s="58"/>
      <c r="G2440" s="59"/>
      <c r="H2440" s="58"/>
      <c r="I2440" s="58"/>
      <c r="J2440" s="58"/>
      <c r="K2440" s="58"/>
      <c r="L2440" s="58"/>
      <c r="M2440" s="59"/>
      <c r="N2440" s="58"/>
      <c r="O2440" s="59"/>
      <c r="P2440" s="58"/>
      <c r="Q2440" s="59"/>
      <c r="R2440" s="58"/>
    </row>
    <row r="2441">
      <c r="A2441" s="56"/>
      <c r="B2441" s="19"/>
      <c r="C2441" s="19"/>
      <c r="E2441" s="59"/>
      <c r="F2441" s="58"/>
      <c r="G2441" s="59"/>
      <c r="H2441" s="58"/>
      <c r="I2441" s="58"/>
      <c r="J2441" s="58"/>
      <c r="K2441" s="58"/>
      <c r="L2441" s="58"/>
      <c r="M2441" s="59"/>
      <c r="N2441" s="58"/>
      <c r="O2441" s="59"/>
      <c r="P2441" s="58"/>
      <c r="Q2441" s="59"/>
      <c r="R2441" s="58"/>
    </row>
    <row r="2442">
      <c r="A2442" s="56"/>
      <c r="B2442" s="19"/>
      <c r="C2442" s="19"/>
      <c r="E2442" s="59"/>
      <c r="F2442" s="58"/>
      <c r="G2442" s="59"/>
      <c r="H2442" s="58"/>
      <c r="I2442" s="58"/>
      <c r="J2442" s="58"/>
      <c r="K2442" s="58"/>
      <c r="L2442" s="58"/>
      <c r="M2442" s="59"/>
      <c r="N2442" s="58"/>
      <c r="O2442" s="59"/>
      <c r="P2442" s="58"/>
      <c r="Q2442" s="59"/>
      <c r="R2442" s="58"/>
    </row>
    <row r="2443">
      <c r="A2443" s="56"/>
      <c r="B2443" s="19"/>
      <c r="C2443" s="19"/>
      <c r="E2443" s="59"/>
      <c r="F2443" s="58"/>
      <c r="G2443" s="59"/>
      <c r="H2443" s="58"/>
      <c r="I2443" s="58"/>
      <c r="J2443" s="58"/>
      <c r="K2443" s="58"/>
      <c r="L2443" s="58"/>
      <c r="M2443" s="59"/>
      <c r="N2443" s="58"/>
      <c r="O2443" s="59"/>
      <c r="P2443" s="58"/>
      <c r="Q2443" s="59"/>
      <c r="R2443" s="58"/>
    </row>
    <row r="2444">
      <c r="A2444" s="56"/>
      <c r="B2444" s="19"/>
      <c r="C2444" s="19"/>
      <c r="E2444" s="59"/>
      <c r="F2444" s="58"/>
      <c r="G2444" s="59"/>
      <c r="H2444" s="58"/>
      <c r="I2444" s="58"/>
      <c r="J2444" s="58"/>
      <c r="K2444" s="58"/>
      <c r="L2444" s="58"/>
      <c r="M2444" s="59"/>
      <c r="N2444" s="58"/>
      <c r="O2444" s="59"/>
      <c r="P2444" s="58"/>
      <c r="Q2444" s="59"/>
      <c r="R2444" s="58"/>
    </row>
    <row r="2445">
      <c r="A2445" s="56"/>
      <c r="B2445" s="19"/>
      <c r="C2445" s="19"/>
      <c r="E2445" s="59"/>
      <c r="F2445" s="58"/>
      <c r="G2445" s="59"/>
      <c r="H2445" s="58"/>
      <c r="I2445" s="58"/>
      <c r="J2445" s="58"/>
      <c r="K2445" s="58"/>
      <c r="L2445" s="58"/>
      <c r="M2445" s="59"/>
      <c r="N2445" s="58"/>
      <c r="O2445" s="59"/>
      <c r="P2445" s="58"/>
      <c r="Q2445" s="59"/>
      <c r="R2445" s="58"/>
    </row>
    <row r="2446">
      <c r="A2446" s="56"/>
      <c r="B2446" s="19"/>
      <c r="C2446" s="19"/>
      <c r="E2446" s="59"/>
      <c r="F2446" s="58"/>
      <c r="G2446" s="59"/>
      <c r="H2446" s="58"/>
      <c r="I2446" s="58"/>
      <c r="J2446" s="58"/>
      <c r="K2446" s="58"/>
      <c r="L2446" s="58"/>
      <c r="M2446" s="59"/>
      <c r="N2446" s="58"/>
      <c r="O2446" s="59"/>
      <c r="P2446" s="58"/>
      <c r="Q2446" s="59"/>
      <c r="R2446" s="58"/>
    </row>
    <row r="2447">
      <c r="A2447" s="56"/>
      <c r="B2447" s="19"/>
      <c r="C2447" s="19"/>
      <c r="E2447" s="59"/>
      <c r="F2447" s="58"/>
      <c r="G2447" s="59"/>
      <c r="H2447" s="58"/>
      <c r="I2447" s="58"/>
      <c r="J2447" s="58"/>
      <c r="K2447" s="58"/>
      <c r="L2447" s="58"/>
      <c r="M2447" s="59"/>
      <c r="N2447" s="58"/>
      <c r="O2447" s="59"/>
      <c r="P2447" s="58"/>
      <c r="Q2447" s="59"/>
      <c r="R2447" s="58"/>
    </row>
    <row r="2448">
      <c r="A2448" s="56"/>
      <c r="B2448" s="19"/>
      <c r="C2448" s="19"/>
      <c r="E2448" s="59"/>
      <c r="F2448" s="58"/>
      <c r="G2448" s="59"/>
      <c r="H2448" s="58"/>
      <c r="I2448" s="58"/>
      <c r="J2448" s="58"/>
      <c r="K2448" s="58"/>
      <c r="L2448" s="58"/>
      <c r="M2448" s="59"/>
      <c r="N2448" s="58"/>
      <c r="O2448" s="59"/>
      <c r="P2448" s="58"/>
      <c r="Q2448" s="59"/>
      <c r="R2448" s="58"/>
    </row>
    <row r="2449">
      <c r="A2449" s="56"/>
      <c r="B2449" s="19"/>
      <c r="C2449" s="19"/>
      <c r="E2449" s="59"/>
      <c r="F2449" s="58"/>
      <c r="G2449" s="59"/>
      <c r="H2449" s="58"/>
      <c r="I2449" s="58"/>
      <c r="J2449" s="58"/>
      <c r="K2449" s="58"/>
      <c r="L2449" s="58"/>
      <c r="M2449" s="59"/>
      <c r="N2449" s="58"/>
      <c r="O2449" s="59"/>
      <c r="P2449" s="58"/>
      <c r="Q2449" s="59"/>
      <c r="R2449" s="58"/>
    </row>
    <row r="2450">
      <c r="A2450" s="56"/>
      <c r="B2450" s="19"/>
      <c r="C2450" s="19"/>
      <c r="E2450" s="59"/>
      <c r="F2450" s="58"/>
      <c r="G2450" s="59"/>
      <c r="H2450" s="58"/>
      <c r="I2450" s="58"/>
      <c r="J2450" s="58"/>
      <c r="K2450" s="58"/>
      <c r="L2450" s="58"/>
      <c r="M2450" s="59"/>
      <c r="N2450" s="58"/>
      <c r="O2450" s="59"/>
      <c r="P2450" s="58"/>
      <c r="Q2450" s="59"/>
      <c r="R2450" s="58"/>
    </row>
    <row r="2451">
      <c r="A2451" s="56"/>
      <c r="B2451" s="19"/>
      <c r="C2451" s="19"/>
      <c r="E2451" s="59"/>
      <c r="F2451" s="58"/>
      <c r="G2451" s="59"/>
      <c r="H2451" s="58"/>
      <c r="I2451" s="58"/>
      <c r="J2451" s="58"/>
      <c r="K2451" s="58"/>
      <c r="L2451" s="58"/>
      <c r="M2451" s="59"/>
      <c r="N2451" s="58"/>
      <c r="O2451" s="59"/>
      <c r="P2451" s="58"/>
      <c r="Q2451" s="59"/>
      <c r="R2451" s="58"/>
    </row>
    <row r="2452">
      <c r="A2452" s="56"/>
      <c r="B2452" s="19"/>
      <c r="C2452" s="19"/>
      <c r="E2452" s="59"/>
      <c r="F2452" s="58"/>
      <c r="G2452" s="59"/>
      <c r="H2452" s="58"/>
      <c r="I2452" s="58"/>
      <c r="J2452" s="58"/>
      <c r="K2452" s="58"/>
      <c r="L2452" s="58"/>
      <c r="M2452" s="59"/>
      <c r="N2452" s="58"/>
      <c r="O2452" s="59"/>
      <c r="P2452" s="58"/>
      <c r="Q2452" s="59"/>
      <c r="R2452" s="58"/>
    </row>
    <row r="2453">
      <c r="A2453" s="56"/>
      <c r="B2453" s="19"/>
      <c r="C2453" s="19"/>
      <c r="E2453" s="59"/>
      <c r="F2453" s="58"/>
      <c r="G2453" s="59"/>
      <c r="H2453" s="58"/>
      <c r="I2453" s="58"/>
      <c r="J2453" s="58"/>
      <c r="K2453" s="58"/>
      <c r="L2453" s="58"/>
      <c r="M2453" s="59"/>
      <c r="N2453" s="58"/>
      <c r="O2453" s="59"/>
      <c r="P2453" s="58"/>
      <c r="Q2453" s="59"/>
      <c r="R2453" s="58"/>
    </row>
    <row r="2454">
      <c r="A2454" s="56"/>
      <c r="B2454" s="19"/>
      <c r="C2454" s="19"/>
      <c r="E2454" s="59"/>
      <c r="F2454" s="58"/>
      <c r="G2454" s="59"/>
      <c r="H2454" s="58"/>
      <c r="I2454" s="58"/>
      <c r="J2454" s="58"/>
      <c r="K2454" s="58"/>
      <c r="L2454" s="58"/>
      <c r="M2454" s="59"/>
      <c r="N2454" s="58"/>
      <c r="O2454" s="59"/>
      <c r="P2454" s="58"/>
      <c r="Q2454" s="59"/>
      <c r="R2454" s="58"/>
    </row>
    <row r="2455">
      <c r="A2455" s="56"/>
      <c r="B2455" s="19"/>
      <c r="C2455" s="19"/>
      <c r="E2455" s="59"/>
      <c r="F2455" s="58"/>
      <c r="G2455" s="59"/>
      <c r="H2455" s="58"/>
      <c r="I2455" s="58"/>
      <c r="J2455" s="58"/>
      <c r="K2455" s="58"/>
      <c r="L2455" s="58"/>
      <c r="M2455" s="59"/>
      <c r="N2455" s="58"/>
      <c r="O2455" s="59"/>
      <c r="P2455" s="58"/>
      <c r="Q2455" s="59"/>
      <c r="R2455" s="58"/>
    </row>
    <row r="2456">
      <c r="A2456" s="56"/>
      <c r="B2456" s="19"/>
      <c r="C2456" s="19"/>
      <c r="E2456" s="59"/>
      <c r="F2456" s="58"/>
      <c r="G2456" s="59"/>
      <c r="H2456" s="58"/>
      <c r="I2456" s="58"/>
      <c r="J2456" s="58"/>
      <c r="K2456" s="58"/>
      <c r="L2456" s="58"/>
      <c r="M2456" s="59"/>
      <c r="N2456" s="58"/>
      <c r="O2456" s="59"/>
      <c r="P2456" s="58"/>
      <c r="Q2456" s="59"/>
      <c r="R2456" s="58"/>
    </row>
    <row r="2457">
      <c r="A2457" s="56"/>
      <c r="B2457" s="19"/>
      <c r="C2457" s="19"/>
      <c r="E2457" s="59"/>
      <c r="F2457" s="58"/>
      <c r="G2457" s="59"/>
      <c r="H2457" s="58"/>
      <c r="I2457" s="58"/>
      <c r="J2457" s="58"/>
      <c r="K2457" s="58"/>
      <c r="L2457" s="58"/>
      <c r="M2457" s="59"/>
      <c r="N2457" s="58"/>
      <c r="O2457" s="59"/>
      <c r="P2457" s="58"/>
      <c r="Q2457" s="59"/>
      <c r="R2457" s="58"/>
    </row>
    <row r="2458">
      <c r="A2458" s="56"/>
      <c r="B2458" s="19"/>
      <c r="C2458" s="19"/>
      <c r="E2458" s="59"/>
      <c r="F2458" s="58"/>
      <c r="G2458" s="59"/>
      <c r="H2458" s="58"/>
      <c r="I2458" s="58"/>
      <c r="J2458" s="58"/>
      <c r="K2458" s="58"/>
      <c r="L2458" s="58"/>
      <c r="M2458" s="59"/>
      <c r="N2458" s="58"/>
      <c r="O2458" s="59"/>
      <c r="P2458" s="58"/>
      <c r="Q2458" s="59"/>
      <c r="R2458" s="58"/>
    </row>
    <row r="2459">
      <c r="A2459" s="56"/>
      <c r="B2459" s="19"/>
      <c r="C2459" s="19"/>
      <c r="E2459" s="59"/>
      <c r="F2459" s="58"/>
      <c r="G2459" s="59"/>
      <c r="H2459" s="58"/>
      <c r="I2459" s="58"/>
      <c r="J2459" s="58"/>
      <c r="K2459" s="58"/>
      <c r="L2459" s="58"/>
      <c r="M2459" s="59"/>
      <c r="N2459" s="58"/>
      <c r="O2459" s="59"/>
      <c r="P2459" s="58"/>
      <c r="Q2459" s="59"/>
      <c r="R2459" s="58"/>
    </row>
    <row r="2460">
      <c r="A2460" s="56"/>
      <c r="B2460" s="19"/>
      <c r="C2460" s="19"/>
      <c r="E2460" s="59"/>
      <c r="F2460" s="58"/>
      <c r="G2460" s="59"/>
      <c r="H2460" s="58"/>
      <c r="I2460" s="58"/>
      <c r="J2460" s="58"/>
      <c r="K2460" s="58"/>
      <c r="L2460" s="58"/>
      <c r="M2460" s="59"/>
      <c r="N2460" s="58"/>
      <c r="O2460" s="59"/>
      <c r="P2460" s="58"/>
      <c r="Q2460" s="59"/>
      <c r="R2460" s="58"/>
    </row>
    <row r="2461">
      <c r="A2461" s="56"/>
      <c r="B2461" s="19"/>
      <c r="C2461" s="19"/>
      <c r="E2461" s="59"/>
      <c r="F2461" s="58"/>
      <c r="G2461" s="59"/>
      <c r="H2461" s="58"/>
      <c r="I2461" s="58"/>
      <c r="J2461" s="58"/>
      <c r="K2461" s="58"/>
      <c r="L2461" s="58"/>
      <c r="M2461" s="59"/>
      <c r="N2461" s="58"/>
      <c r="O2461" s="59"/>
      <c r="P2461" s="58"/>
      <c r="Q2461" s="59"/>
      <c r="R2461" s="58"/>
    </row>
    <row r="2462">
      <c r="A2462" s="56"/>
      <c r="B2462" s="19"/>
      <c r="C2462" s="19"/>
      <c r="E2462" s="59"/>
      <c r="F2462" s="58"/>
      <c r="G2462" s="59"/>
      <c r="H2462" s="58"/>
      <c r="I2462" s="58"/>
      <c r="J2462" s="58"/>
      <c r="K2462" s="58"/>
      <c r="L2462" s="58"/>
      <c r="M2462" s="59"/>
      <c r="N2462" s="58"/>
      <c r="O2462" s="59"/>
      <c r="P2462" s="58"/>
      <c r="Q2462" s="59"/>
      <c r="R2462" s="58"/>
    </row>
    <row r="2463">
      <c r="A2463" s="56"/>
      <c r="B2463" s="19"/>
      <c r="C2463" s="19"/>
      <c r="E2463" s="59"/>
      <c r="F2463" s="58"/>
      <c r="G2463" s="59"/>
      <c r="H2463" s="58"/>
      <c r="I2463" s="58"/>
      <c r="J2463" s="58"/>
      <c r="K2463" s="58"/>
      <c r="L2463" s="58"/>
      <c r="M2463" s="59"/>
      <c r="N2463" s="58"/>
      <c r="O2463" s="59"/>
      <c r="P2463" s="58"/>
      <c r="Q2463" s="59"/>
      <c r="R2463" s="58"/>
    </row>
    <row r="2464">
      <c r="A2464" s="56"/>
      <c r="B2464" s="19"/>
      <c r="C2464" s="19"/>
      <c r="E2464" s="59"/>
      <c r="F2464" s="58"/>
      <c r="G2464" s="59"/>
      <c r="H2464" s="58"/>
      <c r="I2464" s="58"/>
      <c r="J2464" s="58"/>
      <c r="K2464" s="58"/>
      <c r="L2464" s="58"/>
      <c r="M2464" s="59"/>
      <c r="N2464" s="58"/>
      <c r="O2464" s="59"/>
      <c r="P2464" s="58"/>
      <c r="Q2464" s="59"/>
      <c r="R2464" s="58"/>
    </row>
    <row r="2465">
      <c r="A2465" s="56"/>
      <c r="B2465" s="19"/>
      <c r="C2465" s="19"/>
      <c r="E2465" s="59"/>
      <c r="F2465" s="58"/>
      <c r="G2465" s="59"/>
      <c r="H2465" s="58"/>
      <c r="I2465" s="58"/>
      <c r="J2465" s="58"/>
      <c r="K2465" s="58"/>
      <c r="L2465" s="58"/>
      <c r="M2465" s="59"/>
      <c r="N2465" s="58"/>
      <c r="O2465" s="59"/>
      <c r="P2465" s="58"/>
      <c r="Q2465" s="59"/>
      <c r="R2465" s="58"/>
    </row>
    <row r="2466">
      <c r="A2466" s="56"/>
      <c r="B2466" s="19"/>
      <c r="C2466" s="19"/>
      <c r="E2466" s="59"/>
      <c r="F2466" s="58"/>
      <c r="G2466" s="59"/>
      <c r="H2466" s="58"/>
      <c r="I2466" s="58"/>
      <c r="J2466" s="58"/>
      <c r="K2466" s="58"/>
      <c r="L2466" s="58"/>
      <c r="M2466" s="59"/>
      <c r="N2466" s="58"/>
      <c r="O2466" s="59"/>
      <c r="P2466" s="58"/>
      <c r="Q2466" s="59"/>
      <c r="R2466" s="58"/>
    </row>
    <row r="2467">
      <c r="A2467" s="56"/>
      <c r="B2467" s="19"/>
      <c r="C2467" s="19"/>
      <c r="E2467" s="59"/>
      <c r="F2467" s="58"/>
      <c r="G2467" s="59"/>
      <c r="H2467" s="58"/>
      <c r="I2467" s="58"/>
      <c r="J2467" s="58"/>
      <c r="K2467" s="58"/>
      <c r="L2467" s="58"/>
      <c r="M2467" s="59"/>
      <c r="N2467" s="58"/>
      <c r="O2467" s="59"/>
      <c r="P2467" s="58"/>
      <c r="Q2467" s="59"/>
      <c r="R2467" s="58"/>
    </row>
    <row r="2468">
      <c r="A2468" s="56"/>
      <c r="B2468" s="19"/>
      <c r="C2468" s="19"/>
      <c r="E2468" s="59"/>
      <c r="F2468" s="58"/>
      <c r="G2468" s="59"/>
      <c r="H2468" s="58"/>
      <c r="I2468" s="58"/>
      <c r="J2468" s="58"/>
      <c r="K2468" s="58"/>
      <c r="L2468" s="58"/>
      <c r="M2468" s="59"/>
      <c r="N2468" s="58"/>
      <c r="O2468" s="59"/>
      <c r="P2468" s="58"/>
      <c r="Q2468" s="59"/>
      <c r="R2468" s="58"/>
    </row>
    <row r="2469">
      <c r="A2469" s="56"/>
      <c r="B2469" s="19"/>
      <c r="C2469" s="19"/>
      <c r="E2469" s="59"/>
      <c r="F2469" s="58"/>
      <c r="G2469" s="59"/>
      <c r="H2469" s="58"/>
      <c r="I2469" s="58"/>
      <c r="J2469" s="58"/>
      <c r="K2469" s="58"/>
      <c r="L2469" s="58"/>
      <c r="M2469" s="59"/>
      <c r="N2469" s="58"/>
      <c r="O2469" s="59"/>
      <c r="P2469" s="58"/>
      <c r="Q2469" s="59"/>
      <c r="R2469" s="58"/>
    </row>
    <row r="2470">
      <c r="A2470" s="56"/>
      <c r="B2470" s="19"/>
      <c r="C2470" s="19"/>
      <c r="E2470" s="59"/>
      <c r="F2470" s="58"/>
      <c r="G2470" s="59"/>
      <c r="H2470" s="58"/>
      <c r="I2470" s="58"/>
      <c r="J2470" s="58"/>
      <c r="K2470" s="58"/>
      <c r="L2470" s="58"/>
      <c r="M2470" s="59"/>
      <c r="N2470" s="58"/>
      <c r="O2470" s="59"/>
      <c r="P2470" s="58"/>
      <c r="Q2470" s="59"/>
      <c r="R2470" s="58"/>
    </row>
    <row r="2471">
      <c r="A2471" s="56"/>
      <c r="B2471" s="19"/>
      <c r="C2471" s="19"/>
      <c r="E2471" s="59"/>
      <c r="F2471" s="58"/>
      <c r="G2471" s="59"/>
      <c r="H2471" s="58"/>
      <c r="I2471" s="58"/>
      <c r="J2471" s="58"/>
      <c r="K2471" s="58"/>
      <c r="L2471" s="58"/>
      <c r="M2471" s="59"/>
      <c r="N2471" s="58"/>
      <c r="O2471" s="59"/>
      <c r="P2471" s="58"/>
      <c r="Q2471" s="59"/>
      <c r="R2471" s="58"/>
    </row>
    <row r="2472">
      <c r="A2472" s="56"/>
      <c r="B2472" s="19"/>
      <c r="C2472" s="19"/>
      <c r="E2472" s="59"/>
      <c r="F2472" s="58"/>
      <c r="G2472" s="59"/>
      <c r="H2472" s="58"/>
      <c r="I2472" s="58"/>
      <c r="J2472" s="58"/>
      <c r="K2472" s="58"/>
      <c r="L2472" s="58"/>
      <c r="M2472" s="59"/>
      <c r="N2472" s="58"/>
      <c r="O2472" s="59"/>
      <c r="P2472" s="58"/>
      <c r="Q2472" s="59"/>
      <c r="R2472" s="58"/>
    </row>
    <row r="2473">
      <c r="A2473" s="56"/>
      <c r="B2473" s="19"/>
      <c r="C2473" s="19"/>
      <c r="E2473" s="59"/>
      <c r="F2473" s="58"/>
      <c r="G2473" s="59"/>
      <c r="H2473" s="58"/>
      <c r="I2473" s="58"/>
      <c r="J2473" s="58"/>
      <c r="K2473" s="58"/>
      <c r="L2473" s="58"/>
      <c r="M2473" s="59"/>
      <c r="N2473" s="58"/>
      <c r="O2473" s="59"/>
      <c r="P2473" s="58"/>
      <c r="Q2473" s="59"/>
      <c r="R2473" s="58"/>
    </row>
    <row r="2474">
      <c r="A2474" s="56"/>
      <c r="B2474" s="19"/>
      <c r="C2474" s="19"/>
      <c r="E2474" s="59"/>
      <c r="F2474" s="58"/>
      <c r="G2474" s="59"/>
      <c r="H2474" s="58"/>
      <c r="I2474" s="58"/>
      <c r="J2474" s="58"/>
      <c r="K2474" s="58"/>
      <c r="L2474" s="58"/>
      <c r="M2474" s="59"/>
      <c r="N2474" s="58"/>
      <c r="O2474" s="59"/>
      <c r="P2474" s="58"/>
      <c r="Q2474" s="59"/>
      <c r="R2474" s="58"/>
    </row>
    <row r="2475">
      <c r="A2475" s="56"/>
      <c r="B2475" s="19"/>
      <c r="C2475" s="19"/>
      <c r="E2475" s="59"/>
      <c r="F2475" s="58"/>
      <c r="G2475" s="59"/>
      <c r="H2475" s="58"/>
      <c r="I2475" s="58"/>
      <c r="J2475" s="58"/>
      <c r="K2475" s="58"/>
      <c r="L2475" s="58"/>
      <c r="M2475" s="59"/>
      <c r="N2475" s="58"/>
      <c r="O2475" s="59"/>
      <c r="P2475" s="58"/>
      <c r="Q2475" s="59"/>
      <c r="R2475" s="58"/>
    </row>
    <row r="2476">
      <c r="A2476" s="56"/>
      <c r="B2476" s="19"/>
      <c r="C2476" s="19"/>
      <c r="E2476" s="59"/>
      <c r="F2476" s="58"/>
      <c r="G2476" s="59"/>
      <c r="H2476" s="58"/>
      <c r="I2476" s="58"/>
      <c r="J2476" s="58"/>
      <c r="K2476" s="58"/>
      <c r="L2476" s="58"/>
      <c r="M2476" s="59"/>
      <c r="N2476" s="58"/>
      <c r="O2476" s="59"/>
      <c r="P2476" s="58"/>
      <c r="Q2476" s="59"/>
      <c r="R2476" s="58"/>
    </row>
    <row r="2477">
      <c r="A2477" s="56"/>
      <c r="B2477" s="19"/>
      <c r="C2477" s="19"/>
      <c r="E2477" s="59"/>
      <c r="F2477" s="58"/>
      <c r="G2477" s="59"/>
      <c r="H2477" s="58"/>
      <c r="I2477" s="58"/>
      <c r="J2477" s="58"/>
      <c r="K2477" s="58"/>
      <c r="L2477" s="58"/>
      <c r="M2477" s="59"/>
      <c r="N2477" s="58"/>
      <c r="O2477" s="59"/>
      <c r="P2477" s="58"/>
      <c r="Q2477" s="59"/>
      <c r="R2477" s="58"/>
    </row>
    <row r="2478">
      <c r="A2478" s="56"/>
      <c r="B2478" s="19"/>
      <c r="C2478" s="19"/>
      <c r="E2478" s="59"/>
      <c r="F2478" s="58"/>
      <c r="G2478" s="59"/>
      <c r="H2478" s="58"/>
      <c r="I2478" s="58"/>
      <c r="J2478" s="58"/>
      <c r="K2478" s="58"/>
      <c r="L2478" s="58"/>
      <c r="M2478" s="59"/>
      <c r="N2478" s="58"/>
      <c r="O2478" s="59"/>
      <c r="P2478" s="58"/>
      <c r="Q2478" s="59"/>
      <c r="R2478" s="58"/>
    </row>
    <row r="2479">
      <c r="A2479" s="56"/>
      <c r="B2479" s="19"/>
      <c r="C2479" s="19"/>
      <c r="E2479" s="59"/>
      <c r="F2479" s="58"/>
      <c r="G2479" s="59"/>
      <c r="H2479" s="58"/>
      <c r="I2479" s="58"/>
      <c r="J2479" s="58"/>
      <c r="K2479" s="58"/>
      <c r="L2479" s="58"/>
      <c r="M2479" s="59"/>
      <c r="N2479" s="58"/>
      <c r="O2479" s="59"/>
      <c r="P2479" s="58"/>
      <c r="Q2479" s="59"/>
      <c r="R2479" s="58"/>
    </row>
    <row r="2480">
      <c r="A2480" s="56"/>
      <c r="B2480" s="19"/>
      <c r="C2480" s="19"/>
      <c r="E2480" s="59"/>
      <c r="F2480" s="58"/>
      <c r="G2480" s="59"/>
      <c r="H2480" s="58"/>
      <c r="I2480" s="58"/>
      <c r="J2480" s="58"/>
      <c r="K2480" s="58"/>
      <c r="L2480" s="58"/>
      <c r="M2480" s="59"/>
      <c r="N2480" s="58"/>
      <c r="O2480" s="59"/>
      <c r="P2480" s="58"/>
      <c r="Q2480" s="59"/>
      <c r="R2480" s="58"/>
    </row>
    <row r="2481">
      <c r="A2481" s="56"/>
      <c r="B2481" s="19"/>
      <c r="C2481" s="19"/>
      <c r="E2481" s="59"/>
      <c r="F2481" s="58"/>
      <c r="G2481" s="59"/>
      <c r="H2481" s="58"/>
      <c r="I2481" s="58"/>
      <c r="J2481" s="58"/>
      <c r="K2481" s="58"/>
      <c r="L2481" s="58"/>
      <c r="M2481" s="59"/>
      <c r="N2481" s="58"/>
      <c r="O2481" s="59"/>
      <c r="P2481" s="58"/>
      <c r="Q2481" s="59"/>
      <c r="R2481" s="58"/>
    </row>
    <row r="2482">
      <c r="A2482" s="56"/>
      <c r="B2482" s="19"/>
      <c r="C2482" s="19"/>
      <c r="E2482" s="59"/>
      <c r="F2482" s="58"/>
      <c r="G2482" s="59"/>
      <c r="H2482" s="58"/>
      <c r="I2482" s="58"/>
      <c r="J2482" s="58"/>
      <c r="K2482" s="58"/>
      <c r="L2482" s="58"/>
      <c r="M2482" s="59"/>
      <c r="N2482" s="58"/>
      <c r="O2482" s="59"/>
      <c r="P2482" s="58"/>
      <c r="Q2482" s="59"/>
      <c r="R2482" s="58"/>
    </row>
    <row r="2483">
      <c r="A2483" s="56"/>
      <c r="B2483" s="19"/>
      <c r="C2483" s="19"/>
      <c r="E2483" s="59"/>
      <c r="F2483" s="58"/>
      <c r="G2483" s="59"/>
      <c r="H2483" s="58"/>
      <c r="I2483" s="58"/>
      <c r="J2483" s="58"/>
      <c r="K2483" s="58"/>
      <c r="L2483" s="58"/>
      <c r="M2483" s="59"/>
      <c r="N2483" s="58"/>
      <c r="O2483" s="59"/>
      <c r="P2483" s="58"/>
      <c r="Q2483" s="59"/>
      <c r="R2483" s="58"/>
    </row>
    <row r="2484">
      <c r="A2484" s="56"/>
      <c r="B2484" s="19"/>
      <c r="C2484" s="19"/>
      <c r="E2484" s="59"/>
      <c r="F2484" s="58"/>
      <c r="G2484" s="59"/>
      <c r="H2484" s="58"/>
      <c r="I2484" s="58"/>
      <c r="J2484" s="58"/>
      <c r="K2484" s="58"/>
      <c r="L2484" s="58"/>
      <c r="M2484" s="59"/>
      <c r="N2484" s="58"/>
      <c r="O2484" s="59"/>
      <c r="P2484" s="58"/>
      <c r="Q2484" s="59"/>
      <c r="R2484" s="58"/>
    </row>
    <row r="2485">
      <c r="A2485" s="56"/>
      <c r="B2485" s="19"/>
      <c r="C2485" s="19"/>
      <c r="E2485" s="59"/>
      <c r="F2485" s="58"/>
      <c r="G2485" s="59"/>
      <c r="H2485" s="58"/>
      <c r="I2485" s="58"/>
      <c r="J2485" s="58"/>
      <c r="K2485" s="58"/>
      <c r="L2485" s="58"/>
      <c r="M2485" s="59"/>
      <c r="N2485" s="58"/>
      <c r="O2485" s="59"/>
      <c r="P2485" s="58"/>
      <c r="Q2485" s="59"/>
      <c r="R2485" s="58"/>
    </row>
    <row r="2486">
      <c r="A2486" s="56"/>
      <c r="B2486" s="19"/>
      <c r="C2486" s="19"/>
      <c r="E2486" s="59"/>
      <c r="F2486" s="58"/>
      <c r="G2486" s="59"/>
      <c r="H2486" s="58"/>
      <c r="I2486" s="58"/>
      <c r="J2486" s="58"/>
      <c r="K2486" s="58"/>
      <c r="L2486" s="58"/>
      <c r="M2486" s="59"/>
      <c r="N2486" s="58"/>
      <c r="O2486" s="59"/>
      <c r="P2486" s="58"/>
      <c r="Q2486" s="59"/>
      <c r="R2486" s="58"/>
    </row>
    <row r="2487">
      <c r="A2487" s="56"/>
      <c r="B2487" s="19"/>
      <c r="C2487" s="19"/>
      <c r="E2487" s="59"/>
      <c r="F2487" s="58"/>
      <c r="G2487" s="59"/>
      <c r="H2487" s="58"/>
      <c r="I2487" s="58"/>
      <c r="J2487" s="58"/>
      <c r="K2487" s="58"/>
      <c r="L2487" s="58"/>
      <c r="M2487" s="59"/>
      <c r="N2487" s="58"/>
      <c r="O2487" s="59"/>
      <c r="P2487" s="58"/>
      <c r="Q2487" s="59"/>
      <c r="R2487" s="58"/>
    </row>
    <row r="2488">
      <c r="A2488" s="56"/>
      <c r="B2488" s="19"/>
      <c r="C2488" s="19"/>
      <c r="E2488" s="59"/>
      <c r="F2488" s="58"/>
      <c r="G2488" s="59"/>
      <c r="H2488" s="58"/>
      <c r="I2488" s="58"/>
      <c r="J2488" s="58"/>
      <c r="K2488" s="58"/>
      <c r="L2488" s="58"/>
      <c r="M2488" s="59"/>
      <c r="N2488" s="58"/>
      <c r="O2488" s="59"/>
      <c r="P2488" s="58"/>
      <c r="Q2488" s="59"/>
      <c r="R2488" s="58"/>
    </row>
    <row r="2489">
      <c r="A2489" s="56"/>
      <c r="B2489" s="19"/>
      <c r="C2489" s="19"/>
      <c r="E2489" s="59"/>
      <c r="F2489" s="58"/>
      <c r="G2489" s="59"/>
      <c r="H2489" s="58"/>
      <c r="I2489" s="58"/>
      <c r="J2489" s="58"/>
      <c r="K2489" s="58"/>
      <c r="L2489" s="58"/>
      <c r="M2489" s="59"/>
      <c r="N2489" s="58"/>
      <c r="O2489" s="59"/>
      <c r="P2489" s="58"/>
      <c r="Q2489" s="59"/>
      <c r="R2489" s="58"/>
    </row>
    <row r="2490">
      <c r="A2490" s="56"/>
      <c r="B2490" s="19"/>
      <c r="C2490" s="19"/>
      <c r="E2490" s="59"/>
      <c r="F2490" s="58"/>
      <c r="G2490" s="59"/>
      <c r="H2490" s="58"/>
      <c r="I2490" s="58"/>
      <c r="J2490" s="58"/>
      <c r="K2490" s="58"/>
      <c r="L2490" s="58"/>
      <c r="M2490" s="59"/>
      <c r="N2490" s="58"/>
      <c r="O2490" s="59"/>
      <c r="P2490" s="58"/>
      <c r="Q2490" s="59"/>
      <c r="R2490" s="58"/>
    </row>
    <row r="2491">
      <c r="A2491" s="56"/>
      <c r="B2491" s="19"/>
      <c r="C2491" s="19"/>
      <c r="E2491" s="59"/>
      <c r="F2491" s="58"/>
      <c r="G2491" s="59"/>
      <c r="H2491" s="58"/>
      <c r="I2491" s="58"/>
      <c r="J2491" s="58"/>
      <c r="K2491" s="58"/>
      <c r="L2491" s="58"/>
      <c r="M2491" s="59"/>
      <c r="N2491" s="58"/>
      <c r="O2491" s="59"/>
      <c r="P2491" s="58"/>
      <c r="Q2491" s="59"/>
      <c r="R2491" s="58"/>
    </row>
    <row r="2492">
      <c r="A2492" s="56"/>
      <c r="B2492" s="19"/>
      <c r="C2492" s="19"/>
      <c r="E2492" s="59"/>
      <c r="F2492" s="58"/>
      <c r="G2492" s="59"/>
      <c r="H2492" s="58"/>
      <c r="I2492" s="58"/>
      <c r="J2492" s="58"/>
      <c r="K2492" s="58"/>
      <c r="L2492" s="58"/>
      <c r="M2492" s="59"/>
      <c r="N2492" s="58"/>
      <c r="O2492" s="59"/>
      <c r="P2492" s="58"/>
      <c r="Q2492" s="59"/>
      <c r="R2492" s="58"/>
    </row>
    <row r="2493">
      <c r="A2493" s="56"/>
      <c r="B2493" s="19"/>
      <c r="C2493" s="19"/>
      <c r="E2493" s="59"/>
      <c r="F2493" s="58"/>
      <c r="G2493" s="59"/>
      <c r="H2493" s="58"/>
      <c r="I2493" s="58"/>
      <c r="J2493" s="58"/>
      <c r="K2493" s="58"/>
      <c r="L2493" s="58"/>
      <c r="M2493" s="59"/>
      <c r="N2493" s="58"/>
      <c r="O2493" s="59"/>
      <c r="P2493" s="58"/>
      <c r="Q2493" s="59"/>
      <c r="R2493" s="58"/>
    </row>
    <row r="2494">
      <c r="A2494" s="56"/>
      <c r="B2494" s="19"/>
      <c r="C2494" s="19"/>
      <c r="E2494" s="59"/>
      <c r="F2494" s="58"/>
      <c r="G2494" s="59"/>
      <c r="H2494" s="58"/>
      <c r="I2494" s="58"/>
      <c r="J2494" s="58"/>
      <c r="K2494" s="58"/>
      <c r="L2494" s="58"/>
      <c r="M2494" s="59"/>
      <c r="N2494" s="58"/>
      <c r="O2494" s="59"/>
      <c r="P2494" s="58"/>
      <c r="Q2494" s="59"/>
      <c r="R2494" s="58"/>
    </row>
    <row r="2495">
      <c r="A2495" s="56"/>
      <c r="B2495" s="19"/>
      <c r="C2495" s="19"/>
      <c r="E2495" s="59"/>
      <c r="F2495" s="58"/>
      <c r="G2495" s="59"/>
      <c r="H2495" s="58"/>
      <c r="I2495" s="58"/>
      <c r="J2495" s="58"/>
      <c r="K2495" s="58"/>
      <c r="L2495" s="58"/>
      <c r="M2495" s="59"/>
      <c r="N2495" s="58"/>
      <c r="O2495" s="59"/>
      <c r="P2495" s="58"/>
      <c r="Q2495" s="59"/>
      <c r="R2495" s="58"/>
    </row>
    <row r="2496">
      <c r="A2496" s="56"/>
      <c r="B2496" s="19"/>
      <c r="C2496" s="19"/>
      <c r="E2496" s="59"/>
      <c r="F2496" s="58"/>
      <c r="G2496" s="59"/>
      <c r="H2496" s="58"/>
      <c r="I2496" s="58"/>
      <c r="J2496" s="58"/>
      <c r="K2496" s="58"/>
      <c r="L2496" s="58"/>
      <c r="M2496" s="59"/>
      <c r="N2496" s="58"/>
      <c r="O2496" s="59"/>
      <c r="P2496" s="58"/>
      <c r="Q2496" s="59"/>
      <c r="R2496" s="58"/>
    </row>
    <row r="2497">
      <c r="A2497" s="56"/>
      <c r="B2497" s="19"/>
      <c r="C2497" s="19"/>
      <c r="E2497" s="59"/>
      <c r="F2497" s="58"/>
      <c r="G2497" s="59"/>
      <c r="H2497" s="58"/>
      <c r="I2497" s="58"/>
      <c r="J2497" s="58"/>
      <c r="K2497" s="58"/>
      <c r="L2497" s="58"/>
      <c r="M2497" s="59"/>
      <c r="N2497" s="58"/>
      <c r="O2497" s="59"/>
      <c r="P2497" s="58"/>
      <c r="Q2497" s="59"/>
      <c r="R2497" s="58"/>
    </row>
    <row r="2498">
      <c r="A2498" s="56"/>
      <c r="B2498" s="19"/>
      <c r="C2498" s="19"/>
      <c r="E2498" s="59"/>
      <c r="F2498" s="58"/>
      <c r="G2498" s="59"/>
      <c r="H2498" s="58"/>
      <c r="I2498" s="58"/>
      <c r="J2498" s="58"/>
      <c r="K2498" s="58"/>
      <c r="L2498" s="58"/>
      <c r="M2498" s="59"/>
      <c r="N2498" s="58"/>
      <c r="O2498" s="59"/>
      <c r="P2498" s="58"/>
      <c r="Q2498" s="59"/>
      <c r="R2498" s="58"/>
    </row>
    <row r="2499">
      <c r="A2499" s="56"/>
      <c r="B2499" s="19"/>
      <c r="C2499" s="19"/>
      <c r="E2499" s="59"/>
      <c r="F2499" s="58"/>
      <c r="G2499" s="59"/>
      <c r="H2499" s="58"/>
      <c r="I2499" s="58"/>
      <c r="J2499" s="58"/>
      <c r="K2499" s="58"/>
      <c r="L2499" s="58"/>
      <c r="M2499" s="59"/>
      <c r="N2499" s="58"/>
      <c r="O2499" s="59"/>
      <c r="P2499" s="58"/>
      <c r="Q2499" s="59"/>
      <c r="R2499" s="58"/>
    </row>
    <row r="2500">
      <c r="A2500" s="56"/>
      <c r="B2500" s="19"/>
      <c r="C2500" s="19"/>
      <c r="E2500" s="59"/>
      <c r="F2500" s="58"/>
      <c r="G2500" s="59"/>
      <c r="H2500" s="58"/>
      <c r="I2500" s="58"/>
      <c r="J2500" s="58"/>
      <c r="K2500" s="58"/>
      <c r="L2500" s="58"/>
      <c r="M2500" s="59"/>
      <c r="N2500" s="58"/>
      <c r="O2500" s="59"/>
      <c r="P2500" s="58"/>
      <c r="Q2500" s="59"/>
      <c r="R2500" s="58"/>
    </row>
    <row r="2501">
      <c r="A2501" s="56"/>
      <c r="B2501" s="19"/>
      <c r="C2501" s="19"/>
      <c r="E2501" s="59"/>
      <c r="F2501" s="58"/>
      <c r="G2501" s="59"/>
      <c r="H2501" s="58"/>
      <c r="I2501" s="58"/>
      <c r="J2501" s="58"/>
      <c r="K2501" s="58"/>
      <c r="L2501" s="58"/>
      <c r="M2501" s="59"/>
      <c r="N2501" s="58"/>
      <c r="O2501" s="59"/>
      <c r="P2501" s="58"/>
      <c r="Q2501" s="59"/>
      <c r="R2501" s="58"/>
    </row>
    <row r="2502">
      <c r="A2502" s="56"/>
      <c r="B2502" s="19"/>
      <c r="C2502" s="19"/>
      <c r="E2502" s="59"/>
      <c r="F2502" s="58"/>
      <c r="G2502" s="59"/>
      <c r="H2502" s="58"/>
      <c r="I2502" s="58"/>
      <c r="J2502" s="58"/>
      <c r="K2502" s="58"/>
      <c r="L2502" s="58"/>
      <c r="M2502" s="59"/>
      <c r="N2502" s="58"/>
      <c r="O2502" s="59"/>
      <c r="P2502" s="58"/>
      <c r="Q2502" s="59"/>
      <c r="R2502" s="58"/>
    </row>
    <row r="2503">
      <c r="A2503" s="56"/>
      <c r="B2503" s="19"/>
      <c r="C2503" s="19"/>
      <c r="E2503" s="59"/>
      <c r="F2503" s="58"/>
      <c r="G2503" s="59"/>
      <c r="H2503" s="58"/>
      <c r="I2503" s="58"/>
      <c r="J2503" s="58"/>
      <c r="K2503" s="58"/>
      <c r="L2503" s="58"/>
      <c r="M2503" s="59"/>
      <c r="N2503" s="58"/>
      <c r="O2503" s="59"/>
      <c r="P2503" s="58"/>
      <c r="Q2503" s="59"/>
      <c r="R2503" s="58"/>
    </row>
    <row r="2504">
      <c r="A2504" s="56"/>
      <c r="B2504" s="19"/>
      <c r="C2504" s="19"/>
      <c r="E2504" s="59"/>
      <c r="F2504" s="58"/>
      <c r="G2504" s="59"/>
      <c r="H2504" s="58"/>
      <c r="I2504" s="58"/>
      <c r="J2504" s="58"/>
      <c r="K2504" s="58"/>
      <c r="L2504" s="58"/>
      <c r="M2504" s="59"/>
      <c r="N2504" s="58"/>
      <c r="O2504" s="59"/>
      <c r="P2504" s="58"/>
      <c r="Q2504" s="59"/>
      <c r="R2504" s="58"/>
    </row>
    <row r="2505">
      <c r="A2505" s="56"/>
      <c r="B2505" s="19"/>
      <c r="C2505" s="19"/>
      <c r="E2505" s="59"/>
      <c r="F2505" s="58"/>
      <c r="G2505" s="59"/>
      <c r="H2505" s="58"/>
      <c r="I2505" s="58"/>
      <c r="J2505" s="58"/>
      <c r="K2505" s="58"/>
      <c r="L2505" s="58"/>
      <c r="M2505" s="59"/>
      <c r="N2505" s="58"/>
      <c r="O2505" s="59"/>
      <c r="P2505" s="58"/>
      <c r="Q2505" s="59"/>
      <c r="R2505" s="58"/>
    </row>
    <row r="2506">
      <c r="A2506" s="56"/>
      <c r="B2506" s="19"/>
      <c r="C2506" s="19"/>
      <c r="E2506" s="59"/>
      <c r="F2506" s="58"/>
      <c r="G2506" s="59"/>
      <c r="H2506" s="58"/>
      <c r="I2506" s="58"/>
      <c r="J2506" s="58"/>
      <c r="K2506" s="58"/>
      <c r="L2506" s="58"/>
      <c r="M2506" s="59"/>
      <c r="N2506" s="58"/>
      <c r="O2506" s="59"/>
      <c r="P2506" s="58"/>
      <c r="Q2506" s="59"/>
      <c r="R2506" s="58"/>
    </row>
    <row r="2507">
      <c r="A2507" s="56"/>
      <c r="B2507" s="19"/>
      <c r="C2507" s="19"/>
      <c r="E2507" s="59"/>
      <c r="F2507" s="58"/>
      <c r="G2507" s="59"/>
      <c r="H2507" s="58"/>
      <c r="I2507" s="58"/>
      <c r="J2507" s="58"/>
      <c r="K2507" s="58"/>
      <c r="L2507" s="58"/>
      <c r="M2507" s="59"/>
      <c r="N2507" s="58"/>
      <c r="O2507" s="59"/>
      <c r="P2507" s="58"/>
      <c r="Q2507" s="59"/>
      <c r="R2507" s="58"/>
    </row>
    <row r="2508">
      <c r="A2508" s="56"/>
      <c r="B2508" s="19"/>
      <c r="C2508" s="19"/>
      <c r="E2508" s="59"/>
      <c r="F2508" s="58"/>
      <c r="G2508" s="59"/>
      <c r="H2508" s="58"/>
      <c r="I2508" s="58"/>
      <c r="J2508" s="58"/>
      <c r="K2508" s="58"/>
      <c r="L2508" s="58"/>
      <c r="M2508" s="59"/>
      <c r="N2508" s="58"/>
      <c r="O2508" s="59"/>
      <c r="P2508" s="58"/>
      <c r="Q2508" s="59"/>
      <c r="R2508" s="58"/>
    </row>
    <row r="2509">
      <c r="A2509" s="56"/>
      <c r="B2509" s="19"/>
      <c r="C2509" s="19"/>
      <c r="E2509" s="59"/>
      <c r="F2509" s="58"/>
      <c r="G2509" s="59"/>
      <c r="H2509" s="58"/>
      <c r="I2509" s="58"/>
      <c r="J2509" s="58"/>
      <c r="K2509" s="58"/>
      <c r="L2509" s="58"/>
      <c r="M2509" s="59"/>
      <c r="N2509" s="58"/>
      <c r="O2509" s="59"/>
      <c r="P2509" s="58"/>
      <c r="Q2509" s="59"/>
      <c r="R2509" s="58"/>
    </row>
    <row r="2510">
      <c r="A2510" s="56"/>
      <c r="B2510" s="19"/>
      <c r="C2510" s="19"/>
      <c r="E2510" s="59"/>
      <c r="F2510" s="58"/>
      <c r="G2510" s="59"/>
      <c r="H2510" s="58"/>
      <c r="I2510" s="58"/>
      <c r="J2510" s="58"/>
      <c r="K2510" s="58"/>
      <c r="L2510" s="58"/>
      <c r="M2510" s="59"/>
      <c r="N2510" s="58"/>
      <c r="O2510" s="59"/>
      <c r="P2510" s="58"/>
      <c r="Q2510" s="59"/>
      <c r="R2510" s="58"/>
    </row>
    <row r="2511">
      <c r="A2511" s="56"/>
      <c r="B2511" s="19"/>
      <c r="C2511" s="19"/>
      <c r="E2511" s="59"/>
      <c r="F2511" s="58"/>
      <c r="G2511" s="59"/>
      <c r="H2511" s="58"/>
      <c r="I2511" s="58"/>
      <c r="J2511" s="58"/>
      <c r="K2511" s="58"/>
      <c r="L2511" s="58"/>
      <c r="M2511" s="59"/>
      <c r="N2511" s="58"/>
      <c r="O2511" s="59"/>
      <c r="P2511" s="58"/>
      <c r="Q2511" s="59"/>
      <c r="R2511" s="58"/>
    </row>
    <row r="2512">
      <c r="A2512" s="56"/>
      <c r="B2512" s="19"/>
      <c r="C2512" s="19"/>
      <c r="E2512" s="59"/>
      <c r="F2512" s="58"/>
      <c r="G2512" s="59"/>
      <c r="H2512" s="58"/>
      <c r="I2512" s="58"/>
      <c r="J2512" s="58"/>
      <c r="K2512" s="58"/>
      <c r="L2512" s="58"/>
      <c r="M2512" s="59"/>
      <c r="N2512" s="58"/>
      <c r="O2512" s="59"/>
      <c r="P2512" s="58"/>
      <c r="Q2512" s="59"/>
      <c r="R2512" s="58"/>
    </row>
    <row r="2513">
      <c r="A2513" s="56"/>
      <c r="B2513" s="19"/>
      <c r="C2513" s="19"/>
      <c r="E2513" s="59"/>
      <c r="F2513" s="58"/>
      <c r="G2513" s="59"/>
      <c r="H2513" s="58"/>
      <c r="I2513" s="58"/>
      <c r="J2513" s="58"/>
      <c r="K2513" s="58"/>
      <c r="L2513" s="58"/>
      <c r="M2513" s="59"/>
      <c r="N2513" s="58"/>
      <c r="O2513" s="59"/>
      <c r="P2513" s="58"/>
      <c r="Q2513" s="59"/>
      <c r="R2513" s="58"/>
    </row>
    <row r="2514">
      <c r="A2514" s="56"/>
      <c r="B2514" s="19"/>
      <c r="C2514" s="19"/>
      <c r="E2514" s="59"/>
      <c r="F2514" s="58"/>
      <c r="G2514" s="59"/>
      <c r="H2514" s="58"/>
      <c r="I2514" s="58"/>
      <c r="J2514" s="58"/>
      <c r="K2514" s="58"/>
      <c r="L2514" s="58"/>
      <c r="M2514" s="59"/>
      <c r="N2514" s="58"/>
      <c r="O2514" s="59"/>
      <c r="P2514" s="58"/>
      <c r="Q2514" s="59"/>
      <c r="R2514" s="58"/>
    </row>
    <row r="2515">
      <c r="A2515" s="56"/>
      <c r="B2515" s="19"/>
      <c r="C2515" s="19"/>
      <c r="E2515" s="59"/>
      <c r="F2515" s="58"/>
      <c r="G2515" s="59"/>
      <c r="H2515" s="58"/>
      <c r="I2515" s="58"/>
      <c r="J2515" s="58"/>
      <c r="K2515" s="58"/>
      <c r="L2515" s="58"/>
      <c r="M2515" s="59"/>
      <c r="N2515" s="58"/>
      <c r="O2515" s="59"/>
      <c r="P2515" s="58"/>
      <c r="Q2515" s="59"/>
      <c r="R2515" s="58"/>
    </row>
    <row r="2516">
      <c r="A2516" s="56"/>
      <c r="B2516" s="19"/>
      <c r="C2516" s="19"/>
      <c r="E2516" s="59"/>
      <c r="F2516" s="58"/>
      <c r="G2516" s="59"/>
      <c r="H2516" s="58"/>
      <c r="I2516" s="58"/>
      <c r="J2516" s="58"/>
      <c r="K2516" s="58"/>
      <c r="L2516" s="58"/>
      <c r="M2516" s="59"/>
      <c r="N2516" s="58"/>
      <c r="O2516" s="59"/>
      <c r="P2516" s="58"/>
      <c r="Q2516" s="59"/>
      <c r="R2516" s="58"/>
    </row>
    <row r="2517">
      <c r="A2517" s="56"/>
      <c r="B2517" s="19"/>
      <c r="C2517" s="19"/>
      <c r="E2517" s="59"/>
      <c r="F2517" s="58"/>
      <c r="G2517" s="59"/>
      <c r="H2517" s="58"/>
      <c r="I2517" s="58"/>
      <c r="J2517" s="58"/>
      <c r="K2517" s="58"/>
      <c r="L2517" s="58"/>
      <c r="M2517" s="59"/>
      <c r="N2517" s="58"/>
      <c r="O2517" s="59"/>
      <c r="P2517" s="58"/>
      <c r="Q2517" s="59"/>
      <c r="R2517" s="58"/>
    </row>
    <row r="2518">
      <c r="A2518" s="56"/>
      <c r="B2518" s="19"/>
      <c r="C2518" s="19"/>
      <c r="E2518" s="59"/>
      <c r="F2518" s="58"/>
      <c r="G2518" s="59"/>
      <c r="H2518" s="58"/>
      <c r="I2518" s="58"/>
      <c r="J2518" s="58"/>
      <c r="K2518" s="58"/>
      <c r="L2518" s="58"/>
      <c r="M2518" s="59"/>
      <c r="N2518" s="58"/>
      <c r="O2518" s="59"/>
      <c r="P2518" s="58"/>
      <c r="Q2518" s="59"/>
      <c r="R2518" s="58"/>
    </row>
    <row r="2519">
      <c r="A2519" s="56"/>
      <c r="B2519" s="19"/>
      <c r="C2519" s="19"/>
      <c r="E2519" s="59"/>
      <c r="F2519" s="58"/>
      <c r="G2519" s="59"/>
      <c r="H2519" s="58"/>
      <c r="I2519" s="58"/>
      <c r="J2519" s="58"/>
      <c r="K2519" s="58"/>
      <c r="L2519" s="58"/>
      <c r="M2519" s="59"/>
      <c r="N2519" s="58"/>
      <c r="O2519" s="59"/>
      <c r="P2519" s="58"/>
      <c r="Q2519" s="59"/>
      <c r="R2519" s="58"/>
    </row>
    <row r="2520">
      <c r="A2520" s="56"/>
      <c r="B2520" s="19"/>
      <c r="C2520" s="19"/>
      <c r="E2520" s="59"/>
      <c r="F2520" s="58"/>
      <c r="G2520" s="59"/>
      <c r="H2520" s="58"/>
      <c r="I2520" s="58"/>
      <c r="J2520" s="58"/>
      <c r="K2520" s="58"/>
      <c r="L2520" s="58"/>
      <c r="M2520" s="59"/>
      <c r="N2520" s="58"/>
      <c r="O2520" s="59"/>
      <c r="P2520" s="58"/>
      <c r="Q2520" s="59"/>
      <c r="R2520" s="58"/>
    </row>
    <row r="2521">
      <c r="A2521" s="56"/>
      <c r="B2521" s="19"/>
      <c r="C2521" s="19"/>
      <c r="E2521" s="59"/>
      <c r="F2521" s="58"/>
      <c r="G2521" s="59"/>
      <c r="H2521" s="58"/>
      <c r="I2521" s="58"/>
      <c r="J2521" s="58"/>
      <c r="K2521" s="58"/>
      <c r="L2521" s="58"/>
      <c r="M2521" s="59"/>
      <c r="N2521" s="58"/>
      <c r="O2521" s="59"/>
      <c r="P2521" s="58"/>
      <c r="Q2521" s="59"/>
      <c r="R2521" s="58"/>
    </row>
    <row r="2522">
      <c r="A2522" s="56"/>
      <c r="B2522" s="19"/>
      <c r="C2522" s="19"/>
      <c r="E2522" s="59"/>
      <c r="F2522" s="58"/>
      <c r="G2522" s="59"/>
      <c r="H2522" s="58"/>
      <c r="I2522" s="58"/>
      <c r="J2522" s="58"/>
      <c r="K2522" s="58"/>
      <c r="L2522" s="58"/>
      <c r="M2522" s="59"/>
      <c r="N2522" s="58"/>
      <c r="O2522" s="59"/>
      <c r="P2522" s="58"/>
      <c r="Q2522" s="59"/>
      <c r="R2522" s="58"/>
    </row>
    <row r="2523">
      <c r="A2523" s="56"/>
      <c r="B2523" s="19"/>
      <c r="C2523" s="19"/>
      <c r="E2523" s="59"/>
      <c r="F2523" s="58"/>
      <c r="G2523" s="59"/>
      <c r="H2523" s="58"/>
      <c r="I2523" s="58"/>
      <c r="J2523" s="58"/>
      <c r="K2523" s="58"/>
      <c r="L2523" s="58"/>
      <c r="M2523" s="59"/>
      <c r="N2523" s="58"/>
      <c r="O2523" s="59"/>
      <c r="P2523" s="58"/>
      <c r="Q2523" s="59"/>
      <c r="R2523" s="58"/>
    </row>
    <row r="2524">
      <c r="A2524" s="56"/>
      <c r="B2524" s="19"/>
      <c r="C2524" s="19"/>
      <c r="E2524" s="59"/>
      <c r="F2524" s="58"/>
      <c r="G2524" s="59"/>
      <c r="H2524" s="58"/>
      <c r="I2524" s="58"/>
      <c r="J2524" s="58"/>
      <c r="K2524" s="58"/>
      <c r="L2524" s="58"/>
      <c r="M2524" s="59"/>
      <c r="N2524" s="58"/>
      <c r="O2524" s="59"/>
      <c r="P2524" s="58"/>
      <c r="Q2524" s="59"/>
      <c r="R2524" s="58"/>
    </row>
    <row r="2525">
      <c r="A2525" s="56"/>
      <c r="B2525" s="19"/>
      <c r="C2525" s="19"/>
      <c r="E2525" s="59"/>
      <c r="F2525" s="58"/>
      <c r="G2525" s="59"/>
      <c r="H2525" s="58"/>
      <c r="I2525" s="58"/>
      <c r="J2525" s="58"/>
      <c r="K2525" s="58"/>
      <c r="L2525" s="58"/>
      <c r="M2525" s="59"/>
      <c r="N2525" s="58"/>
      <c r="O2525" s="59"/>
      <c r="P2525" s="58"/>
      <c r="Q2525" s="59"/>
      <c r="R2525" s="58"/>
    </row>
    <row r="2526">
      <c r="A2526" s="56"/>
      <c r="B2526" s="19"/>
      <c r="C2526" s="19"/>
      <c r="E2526" s="59"/>
      <c r="F2526" s="58"/>
      <c r="G2526" s="59"/>
      <c r="H2526" s="58"/>
      <c r="I2526" s="58"/>
      <c r="J2526" s="58"/>
      <c r="K2526" s="58"/>
      <c r="L2526" s="58"/>
      <c r="M2526" s="59"/>
      <c r="N2526" s="58"/>
      <c r="O2526" s="59"/>
      <c r="P2526" s="58"/>
      <c r="Q2526" s="59"/>
      <c r="R2526" s="58"/>
    </row>
    <row r="2527">
      <c r="A2527" s="56"/>
      <c r="B2527" s="19"/>
      <c r="C2527" s="19"/>
      <c r="E2527" s="59"/>
      <c r="F2527" s="58"/>
      <c r="G2527" s="59"/>
      <c r="H2527" s="58"/>
      <c r="I2527" s="58"/>
      <c r="J2527" s="58"/>
      <c r="K2527" s="58"/>
      <c r="L2527" s="58"/>
      <c r="M2527" s="59"/>
      <c r="N2527" s="58"/>
      <c r="O2527" s="59"/>
      <c r="P2527" s="58"/>
      <c r="Q2527" s="59"/>
      <c r="R2527" s="58"/>
    </row>
    <row r="2528">
      <c r="A2528" s="56"/>
      <c r="B2528" s="19"/>
      <c r="C2528" s="19"/>
      <c r="E2528" s="59"/>
      <c r="F2528" s="58"/>
      <c r="G2528" s="59"/>
      <c r="H2528" s="58"/>
      <c r="I2528" s="58"/>
      <c r="J2528" s="58"/>
      <c r="K2528" s="58"/>
      <c r="L2528" s="58"/>
      <c r="M2528" s="59"/>
      <c r="N2528" s="58"/>
      <c r="O2528" s="59"/>
      <c r="P2528" s="58"/>
      <c r="Q2528" s="59"/>
      <c r="R2528" s="58"/>
    </row>
    <row r="2529">
      <c r="A2529" s="56"/>
      <c r="B2529" s="19"/>
      <c r="C2529" s="19"/>
      <c r="E2529" s="59"/>
      <c r="F2529" s="58"/>
      <c r="G2529" s="59"/>
      <c r="H2529" s="58"/>
      <c r="I2529" s="58"/>
      <c r="J2529" s="58"/>
      <c r="K2529" s="58"/>
      <c r="L2529" s="58"/>
      <c r="M2529" s="59"/>
      <c r="N2529" s="58"/>
      <c r="O2529" s="59"/>
      <c r="P2529" s="58"/>
      <c r="Q2529" s="59"/>
      <c r="R2529" s="58"/>
    </row>
    <row r="2530">
      <c r="A2530" s="56"/>
      <c r="B2530" s="19"/>
      <c r="C2530" s="19"/>
      <c r="E2530" s="59"/>
      <c r="F2530" s="58"/>
      <c r="G2530" s="59"/>
      <c r="H2530" s="58"/>
      <c r="I2530" s="58"/>
      <c r="J2530" s="58"/>
      <c r="K2530" s="58"/>
      <c r="L2530" s="58"/>
      <c r="M2530" s="59"/>
      <c r="N2530" s="58"/>
      <c r="O2530" s="59"/>
      <c r="P2530" s="58"/>
      <c r="Q2530" s="59"/>
      <c r="R2530" s="58"/>
    </row>
    <row r="2531">
      <c r="A2531" s="56"/>
      <c r="B2531" s="19"/>
      <c r="C2531" s="19"/>
      <c r="E2531" s="59"/>
      <c r="F2531" s="58"/>
      <c r="G2531" s="59"/>
      <c r="H2531" s="58"/>
      <c r="I2531" s="58"/>
      <c r="J2531" s="58"/>
      <c r="K2531" s="58"/>
      <c r="L2531" s="58"/>
      <c r="M2531" s="59"/>
      <c r="N2531" s="58"/>
      <c r="O2531" s="59"/>
      <c r="P2531" s="58"/>
      <c r="Q2531" s="59"/>
      <c r="R2531" s="58"/>
    </row>
    <row r="2532">
      <c r="A2532" s="56"/>
      <c r="B2532" s="19"/>
      <c r="C2532" s="19"/>
      <c r="E2532" s="59"/>
      <c r="F2532" s="58"/>
      <c r="G2532" s="59"/>
      <c r="H2532" s="58"/>
      <c r="I2532" s="58"/>
      <c r="J2532" s="58"/>
      <c r="K2532" s="58"/>
      <c r="L2532" s="58"/>
      <c r="M2532" s="59"/>
      <c r="N2532" s="58"/>
      <c r="O2532" s="59"/>
      <c r="P2532" s="58"/>
      <c r="Q2532" s="59"/>
      <c r="R2532" s="58"/>
    </row>
    <row r="2533">
      <c r="A2533" s="56"/>
      <c r="B2533" s="19"/>
      <c r="C2533" s="19"/>
      <c r="E2533" s="59"/>
      <c r="F2533" s="58"/>
      <c r="G2533" s="59"/>
      <c r="H2533" s="58"/>
      <c r="I2533" s="58"/>
      <c r="J2533" s="58"/>
      <c r="K2533" s="58"/>
      <c r="L2533" s="58"/>
      <c r="M2533" s="59"/>
      <c r="N2533" s="58"/>
      <c r="O2533" s="59"/>
      <c r="P2533" s="58"/>
      <c r="Q2533" s="59"/>
      <c r="R2533" s="58"/>
    </row>
    <row r="2534">
      <c r="A2534" s="56"/>
      <c r="B2534" s="19"/>
      <c r="C2534" s="19"/>
      <c r="E2534" s="59"/>
      <c r="F2534" s="58"/>
      <c r="G2534" s="59"/>
      <c r="H2534" s="58"/>
      <c r="I2534" s="58"/>
      <c r="J2534" s="58"/>
      <c r="K2534" s="58"/>
      <c r="L2534" s="58"/>
      <c r="M2534" s="59"/>
      <c r="N2534" s="58"/>
      <c r="O2534" s="59"/>
      <c r="P2534" s="58"/>
      <c r="Q2534" s="59"/>
      <c r="R2534" s="58"/>
    </row>
    <row r="2535">
      <c r="A2535" s="56"/>
      <c r="B2535" s="19"/>
      <c r="C2535" s="19"/>
      <c r="E2535" s="59"/>
      <c r="F2535" s="58"/>
      <c r="G2535" s="59"/>
      <c r="H2535" s="58"/>
      <c r="I2535" s="58"/>
      <c r="J2535" s="58"/>
      <c r="K2535" s="58"/>
      <c r="L2535" s="58"/>
      <c r="M2535" s="59"/>
      <c r="N2535" s="58"/>
      <c r="O2535" s="59"/>
      <c r="P2535" s="58"/>
      <c r="Q2535" s="59"/>
      <c r="R2535" s="58"/>
    </row>
    <row r="2536">
      <c r="A2536" s="56"/>
      <c r="B2536" s="19"/>
      <c r="C2536" s="19"/>
      <c r="E2536" s="59"/>
      <c r="F2536" s="58"/>
      <c r="G2536" s="59"/>
      <c r="H2536" s="58"/>
      <c r="I2536" s="58"/>
      <c r="J2536" s="58"/>
      <c r="K2536" s="58"/>
      <c r="L2536" s="58"/>
      <c r="M2536" s="59"/>
      <c r="N2536" s="58"/>
      <c r="O2536" s="59"/>
      <c r="P2536" s="58"/>
      <c r="Q2536" s="59"/>
      <c r="R2536" s="58"/>
    </row>
    <row r="2537">
      <c r="A2537" s="56"/>
      <c r="B2537" s="19"/>
      <c r="C2537" s="19"/>
      <c r="E2537" s="59"/>
      <c r="F2537" s="58"/>
      <c r="G2537" s="59"/>
      <c r="H2537" s="58"/>
      <c r="I2537" s="58"/>
      <c r="J2537" s="58"/>
      <c r="K2537" s="58"/>
      <c r="L2537" s="58"/>
      <c r="M2537" s="59"/>
      <c r="N2537" s="58"/>
      <c r="O2537" s="59"/>
      <c r="P2537" s="58"/>
      <c r="Q2537" s="59"/>
      <c r="R2537" s="58"/>
    </row>
    <row r="2538">
      <c r="A2538" s="56"/>
      <c r="B2538" s="19"/>
      <c r="C2538" s="19"/>
      <c r="E2538" s="59"/>
      <c r="F2538" s="58"/>
      <c r="G2538" s="59"/>
      <c r="H2538" s="58"/>
      <c r="I2538" s="58"/>
      <c r="J2538" s="58"/>
      <c r="K2538" s="58"/>
      <c r="L2538" s="58"/>
      <c r="M2538" s="59"/>
      <c r="N2538" s="58"/>
      <c r="O2538" s="59"/>
      <c r="P2538" s="58"/>
      <c r="Q2538" s="59"/>
      <c r="R2538" s="58"/>
    </row>
    <row r="2539">
      <c r="A2539" s="56"/>
      <c r="B2539" s="19"/>
      <c r="C2539" s="19"/>
      <c r="E2539" s="59"/>
      <c r="F2539" s="58"/>
      <c r="G2539" s="59"/>
      <c r="H2539" s="58"/>
      <c r="I2539" s="58"/>
      <c r="J2539" s="58"/>
      <c r="K2539" s="58"/>
      <c r="L2539" s="58"/>
      <c r="M2539" s="59"/>
      <c r="N2539" s="58"/>
      <c r="O2539" s="59"/>
      <c r="P2539" s="58"/>
      <c r="Q2539" s="59"/>
      <c r="R2539" s="58"/>
    </row>
    <row r="2540">
      <c r="A2540" s="56"/>
      <c r="B2540" s="19"/>
      <c r="C2540" s="19"/>
      <c r="E2540" s="59"/>
      <c r="F2540" s="58"/>
      <c r="G2540" s="59"/>
      <c r="H2540" s="58"/>
      <c r="I2540" s="58"/>
      <c r="J2540" s="58"/>
      <c r="K2540" s="58"/>
      <c r="L2540" s="58"/>
      <c r="M2540" s="59"/>
      <c r="N2540" s="58"/>
      <c r="O2540" s="59"/>
      <c r="P2540" s="58"/>
      <c r="Q2540" s="59"/>
      <c r="R2540" s="58"/>
    </row>
    <row r="2541">
      <c r="A2541" s="56"/>
      <c r="B2541" s="19"/>
      <c r="C2541" s="19"/>
      <c r="E2541" s="59"/>
      <c r="F2541" s="58"/>
      <c r="G2541" s="59"/>
      <c r="H2541" s="58"/>
      <c r="I2541" s="58"/>
      <c r="J2541" s="58"/>
      <c r="K2541" s="58"/>
      <c r="L2541" s="58"/>
      <c r="M2541" s="59"/>
      <c r="N2541" s="58"/>
      <c r="O2541" s="59"/>
      <c r="P2541" s="58"/>
      <c r="Q2541" s="59"/>
      <c r="R2541" s="58"/>
    </row>
    <row r="2542">
      <c r="A2542" s="56"/>
      <c r="B2542" s="19"/>
      <c r="C2542" s="19"/>
      <c r="E2542" s="59"/>
      <c r="F2542" s="58"/>
      <c r="G2542" s="59"/>
      <c r="H2542" s="58"/>
      <c r="I2542" s="58"/>
      <c r="J2542" s="58"/>
      <c r="K2542" s="58"/>
      <c r="L2542" s="58"/>
      <c r="M2542" s="59"/>
      <c r="N2542" s="58"/>
      <c r="O2542" s="59"/>
      <c r="P2542" s="58"/>
      <c r="Q2542" s="59"/>
      <c r="R2542" s="58"/>
    </row>
    <row r="2543">
      <c r="A2543" s="56"/>
      <c r="B2543" s="19"/>
      <c r="C2543" s="19"/>
      <c r="E2543" s="59"/>
      <c r="F2543" s="58"/>
      <c r="G2543" s="59"/>
      <c r="H2543" s="58"/>
      <c r="I2543" s="58"/>
      <c r="J2543" s="58"/>
      <c r="K2543" s="58"/>
      <c r="L2543" s="58"/>
      <c r="M2543" s="59"/>
      <c r="N2543" s="58"/>
      <c r="O2543" s="59"/>
      <c r="P2543" s="58"/>
      <c r="Q2543" s="59"/>
      <c r="R2543" s="58"/>
    </row>
    <row r="2544">
      <c r="A2544" s="56"/>
      <c r="B2544" s="19"/>
      <c r="C2544" s="19"/>
      <c r="E2544" s="59"/>
      <c r="F2544" s="58"/>
      <c r="G2544" s="59"/>
      <c r="H2544" s="58"/>
      <c r="I2544" s="58"/>
      <c r="J2544" s="58"/>
      <c r="K2544" s="58"/>
      <c r="L2544" s="58"/>
      <c r="M2544" s="59"/>
      <c r="N2544" s="58"/>
      <c r="O2544" s="59"/>
      <c r="P2544" s="58"/>
      <c r="Q2544" s="59"/>
      <c r="R2544" s="58"/>
    </row>
    <row r="2545">
      <c r="A2545" s="56"/>
      <c r="B2545" s="19"/>
      <c r="C2545" s="19"/>
      <c r="E2545" s="59"/>
      <c r="F2545" s="58"/>
      <c r="G2545" s="59"/>
      <c r="H2545" s="58"/>
      <c r="I2545" s="58"/>
      <c r="J2545" s="58"/>
      <c r="K2545" s="58"/>
      <c r="L2545" s="58"/>
      <c r="M2545" s="59"/>
      <c r="N2545" s="58"/>
      <c r="O2545" s="59"/>
      <c r="P2545" s="58"/>
      <c r="Q2545" s="59"/>
      <c r="R2545" s="58"/>
    </row>
    <row r="2546">
      <c r="A2546" s="56"/>
      <c r="B2546" s="19"/>
      <c r="C2546" s="19"/>
      <c r="E2546" s="59"/>
      <c r="F2546" s="58"/>
      <c r="G2546" s="59"/>
      <c r="H2546" s="58"/>
      <c r="I2546" s="58"/>
      <c r="J2546" s="58"/>
      <c r="K2546" s="58"/>
      <c r="L2546" s="58"/>
      <c r="M2546" s="59"/>
      <c r="N2546" s="58"/>
      <c r="O2546" s="59"/>
      <c r="P2546" s="58"/>
      <c r="Q2546" s="59"/>
      <c r="R2546" s="58"/>
    </row>
    <row r="2547">
      <c r="A2547" s="56"/>
      <c r="B2547" s="19"/>
      <c r="C2547" s="19"/>
      <c r="E2547" s="59"/>
      <c r="F2547" s="58"/>
      <c r="G2547" s="59"/>
      <c r="H2547" s="58"/>
      <c r="I2547" s="58"/>
      <c r="J2547" s="58"/>
      <c r="K2547" s="58"/>
      <c r="L2547" s="58"/>
      <c r="M2547" s="59"/>
      <c r="N2547" s="58"/>
      <c r="O2547" s="59"/>
      <c r="P2547" s="58"/>
      <c r="Q2547" s="59"/>
      <c r="R2547" s="58"/>
    </row>
    <row r="2548">
      <c r="A2548" s="56"/>
      <c r="B2548" s="19"/>
      <c r="C2548" s="19"/>
      <c r="E2548" s="59"/>
      <c r="F2548" s="58"/>
      <c r="G2548" s="59"/>
      <c r="H2548" s="58"/>
      <c r="I2548" s="58"/>
      <c r="J2548" s="58"/>
      <c r="K2548" s="58"/>
      <c r="L2548" s="58"/>
      <c r="M2548" s="59"/>
      <c r="N2548" s="58"/>
      <c r="O2548" s="59"/>
      <c r="P2548" s="58"/>
      <c r="Q2548" s="59"/>
      <c r="R2548" s="58"/>
    </row>
    <row r="2549">
      <c r="A2549" s="56"/>
      <c r="B2549" s="19"/>
      <c r="C2549" s="19"/>
      <c r="E2549" s="59"/>
      <c r="F2549" s="58"/>
      <c r="G2549" s="59"/>
      <c r="H2549" s="58"/>
      <c r="I2549" s="58"/>
      <c r="J2549" s="58"/>
      <c r="K2549" s="58"/>
      <c r="L2549" s="58"/>
      <c r="M2549" s="59"/>
      <c r="N2549" s="58"/>
      <c r="O2549" s="59"/>
      <c r="P2549" s="58"/>
      <c r="Q2549" s="59"/>
      <c r="R2549" s="58"/>
    </row>
    <row r="2550">
      <c r="A2550" s="56"/>
      <c r="B2550" s="19"/>
      <c r="C2550" s="19"/>
      <c r="E2550" s="59"/>
      <c r="F2550" s="58"/>
      <c r="G2550" s="59"/>
      <c r="H2550" s="58"/>
      <c r="I2550" s="58"/>
      <c r="J2550" s="58"/>
      <c r="K2550" s="58"/>
      <c r="L2550" s="58"/>
      <c r="M2550" s="59"/>
      <c r="N2550" s="58"/>
      <c r="O2550" s="59"/>
      <c r="P2550" s="58"/>
      <c r="Q2550" s="59"/>
      <c r="R2550" s="58"/>
    </row>
    <row r="2551">
      <c r="A2551" s="56"/>
      <c r="B2551" s="19"/>
      <c r="C2551" s="19"/>
      <c r="E2551" s="59"/>
      <c r="F2551" s="58"/>
      <c r="G2551" s="59"/>
      <c r="H2551" s="58"/>
      <c r="I2551" s="58"/>
      <c r="J2551" s="58"/>
      <c r="K2551" s="58"/>
      <c r="L2551" s="58"/>
      <c r="M2551" s="59"/>
      <c r="N2551" s="58"/>
      <c r="O2551" s="59"/>
      <c r="P2551" s="58"/>
      <c r="Q2551" s="59"/>
      <c r="R2551" s="58"/>
    </row>
    <row r="2552">
      <c r="A2552" s="56"/>
      <c r="B2552" s="19"/>
      <c r="C2552" s="19"/>
      <c r="E2552" s="59"/>
      <c r="F2552" s="58"/>
      <c r="G2552" s="59"/>
      <c r="H2552" s="58"/>
      <c r="I2552" s="58"/>
      <c r="J2552" s="58"/>
      <c r="K2552" s="58"/>
      <c r="L2552" s="58"/>
      <c r="M2552" s="59"/>
      <c r="N2552" s="58"/>
      <c r="O2552" s="59"/>
      <c r="P2552" s="58"/>
      <c r="Q2552" s="59"/>
      <c r="R2552" s="58"/>
    </row>
    <row r="2553">
      <c r="A2553" s="56"/>
      <c r="B2553" s="19"/>
      <c r="C2553" s="19"/>
      <c r="E2553" s="59"/>
      <c r="F2553" s="58"/>
      <c r="G2553" s="59"/>
      <c r="H2553" s="58"/>
      <c r="I2553" s="58"/>
      <c r="J2553" s="58"/>
      <c r="K2553" s="58"/>
      <c r="L2553" s="58"/>
      <c r="M2553" s="59"/>
      <c r="N2553" s="58"/>
      <c r="O2553" s="59"/>
      <c r="P2553" s="58"/>
      <c r="Q2553" s="59"/>
      <c r="R2553" s="58"/>
    </row>
    <row r="2554">
      <c r="A2554" s="56"/>
      <c r="B2554" s="19"/>
      <c r="C2554" s="19"/>
      <c r="E2554" s="59"/>
      <c r="F2554" s="58"/>
      <c r="G2554" s="59"/>
      <c r="H2554" s="58"/>
      <c r="I2554" s="58"/>
      <c r="J2554" s="58"/>
      <c r="K2554" s="58"/>
      <c r="L2554" s="58"/>
      <c r="M2554" s="59"/>
      <c r="N2554" s="58"/>
      <c r="O2554" s="59"/>
      <c r="P2554" s="58"/>
      <c r="Q2554" s="59"/>
      <c r="R2554" s="58"/>
    </row>
    <row r="2555">
      <c r="A2555" s="56"/>
      <c r="B2555" s="19"/>
      <c r="C2555" s="19"/>
      <c r="E2555" s="59"/>
      <c r="F2555" s="58"/>
      <c r="G2555" s="59"/>
      <c r="H2555" s="58"/>
      <c r="I2555" s="58"/>
      <c r="J2555" s="58"/>
      <c r="K2555" s="58"/>
      <c r="L2555" s="58"/>
      <c r="M2555" s="59"/>
      <c r="N2555" s="58"/>
      <c r="O2555" s="59"/>
      <c r="P2555" s="58"/>
      <c r="Q2555" s="59"/>
      <c r="R2555" s="58"/>
    </row>
    <row r="2556">
      <c r="A2556" s="56"/>
      <c r="B2556" s="19"/>
      <c r="C2556" s="19"/>
      <c r="E2556" s="59"/>
      <c r="F2556" s="58"/>
      <c r="G2556" s="59"/>
      <c r="H2556" s="58"/>
      <c r="I2556" s="58"/>
      <c r="J2556" s="58"/>
      <c r="K2556" s="58"/>
      <c r="L2556" s="58"/>
      <c r="M2556" s="59"/>
      <c r="N2556" s="58"/>
      <c r="O2556" s="59"/>
      <c r="P2556" s="58"/>
      <c r="Q2556" s="59"/>
      <c r="R2556" s="58"/>
    </row>
    <row r="2557">
      <c r="A2557" s="56"/>
      <c r="B2557" s="19"/>
      <c r="C2557" s="19"/>
      <c r="E2557" s="59"/>
      <c r="F2557" s="58"/>
      <c r="G2557" s="59"/>
      <c r="H2557" s="58"/>
      <c r="I2557" s="58"/>
      <c r="J2557" s="58"/>
      <c r="K2557" s="58"/>
      <c r="L2557" s="58"/>
      <c r="M2557" s="59"/>
      <c r="N2557" s="58"/>
      <c r="O2557" s="59"/>
      <c r="P2557" s="58"/>
      <c r="Q2557" s="59"/>
      <c r="R2557" s="58"/>
    </row>
    <row r="2558">
      <c r="A2558" s="56"/>
      <c r="B2558" s="19"/>
      <c r="C2558" s="19"/>
      <c r="E2558" s="59"/>
      <c r="F2558" s="58"/>
      <c r="G2558" s="59"/>
      <c r="H2558" s="58"/>
      <c r="I2558" s="58"/>
      <c r="J2558" s="58"/>
      <c r="K2558" s="58"/>
      <c r="L2558" s="58"/>
      <c r="M2558" s="59"/>
      <c r="N2558" s="58"/>
      <c r="O2558" s="59"/>
      <c r="P2558" s="58"/>
      <c r="Q2558" s="59"/>
      <c r="R2558" s="58"/>
    </row>
    <row r="2559">
      <c r="A2559" s="56"/>
      <c r="B2559" s="19"/>
      <c r="C2559" s="19"/>
      <c r="E2559" s="59"/>
      <c r="F2559" s="58"/>
      <c r="G2559" s="59"/>
      <c r="H2559" s="58"/>
      <c r="I2559" s="58"/>
      <c r="J2559" s="58"/>
      <c r="K2559" s="58"/>
      <c r="L2559" s="58"/>
      <c r="M2559" s="59"/>
      <c r="N2559" s="58"/>
      <c r="O2559" s="59"/>
      <c r="P2559" s="58"/>
      <c r="Q2559" s="59"/>
      <c r="R2559" s="58"/>
    </row>
    <row r="2560">
      <c r="A2560" s="56"/>
      <c r="B2560" s="19"/>
      <c r="C2560" s="19"/>
      <c r="E2560" s="59"/>
      <c r="F2560" s="58"/>
      <c r="G2560" s="59"/>
      <c r="H2560" s="58"/>
      <c r="I2560" s="58"/>
      <c r="J2560" s="58"/>
      <c r="K2560" s="58"/>
      <c r="L2560" s="58"/>
      <c r="M2560" s="59"/>
      <c r="N2560" s="58"/>
      <c r="O2560" s="59"/>
      <c r="P2560" s="58"/>
      <c r="Q2560" s="59"/>
      <c r="R2560" s="58"/>
    </row>
    <row r="2561">
      <c r="A2561" s="56"/>
      <c r="B2561" s="19"/>
      <c r="C2561" s="19"/>
      <c r="E2561" s="59"/>
      <c r="F2561" s="58"/>
      <c r="G2561" s="59"/>
      <c r="H2561" s="58"/>
      <c r="I2561" s="58"/>
      <c r="J2561" s="58"/>
      <c r="K2561" s="58"/>
      <c r="L2561" s="58"/>
      <c r="M2561" s="59"/>
      <c r="N2561" s="58"/>
      <c r="O2561" s="59"/>
      <c r="P2561" s="58"/>
      <c r="Q2561" s="59"/>
      <c r="R2561" s="58"/>
    </row>
    <row r="2562">
      <c r="A2562" s="56"/>
      <c r="B2562" s="19"/>
      <c r="C2562" s="19"/>
      <c r="E2562" s="59"/>
      <c r="F2562" s="58"/>
      <c r="G2562" s="59"/>
      <c r="H2562" s="58"/>
      <c r="I2562" s="58"/>
      <c r="J2562" s="58"/>
      <c r="K2562" s="58"/>
      <c r="L2562" s="58"/>
      <c r="M2562" s="59"/>
      <c r="N2562" s="58"/>
      <c r="O2562" s="59"/>
      <c r="P2562" s="58"/>
      <c r="Q2562" s="59"/>
      <c r="R2562" s="58"/>
    </row>
    <row r="2563">
      <c r="A2563" s="56"/>
      <c r="B2563" s="19"/>
      <c r="C2563" s="19"/>
      <c r="E2563" s="59"/>
      <c r="F2563" s="58"/>
      <c r="G2563" s="59"/>
      <c r="H2563" s="58"/>
      <c r="I2563" s="58"/>
      <c r="J2563" s="58"/>
      <c r="K2563" s="58"/>
      <c r="L2563" s="58"/>
      <c r="M2563" s="59"/>
      <c r="N2563" s="58"/>
      <c r="O2563" s="59"/>
      <c r="P2563" s="58"/>
      <c r="Q2563" s="59"/>
      <c r="R2563" s="58"/>
    </row>
    <row r="2564">
      <c r="A2564" s="56"/>
      <c r="B2564" s="19"/>
      <c r="C2564" s="19"/>
      <c r="E2564" s="59"/>
      <c r="F2564" s="58"/>
      <c r="G2564" s="59"/>
      <c r="H2564" s="58"/>
      <c r="I2564" s="58"/>
      <c r="J2564" s="58"/>
      <c r="K2564" s="58"/>
      <c r="L2564" s="58"/>
      <c r="M2564" s="59"/>
      <c r="N2564" s="58"/>
      <c r="O2564" s="59"/>
      <c r="P2564" s="58"/>
      <c r="Q2564" s="59"/>
      <c r="R2564" s="58"/>
    </row>
    <row r="2565">
      <c r="A2565" s="56"/>
      <c r="B2565" s="19"/>
      <c r="C2565" s="19"/>
      <c r="E2565" s="59"/>
      <c r="F2565" s="58"/>
      <c r="G2565" s="59"/>
      <c r="H2565" s="58"/>
      <c r="I2565" s="58"/>
      <c r="J2565" s="58"/>
      <c r="K2565" s="58"/>
      <c r="L2565" s="58"/>
      <c r="M2565" s="59"/>
      <c r="N2565" s="58"/>
      <c r="O2565" s="59"/>
      <c r="P2565" s="58"/>
      <c r="Q2565" s="59"/>
      <c r="R2565" s="58"/>
    </row>
    <row r="2566">
      <c r="A2566" s="56"/>
      <c r="B2566" s="19"/>
      <c r="C2566" s="19"/>
      <c r="E2566" s="59"/>
      <c r="F2566" s="58"/>
      <c r="G2566" s="59"/>
      <c r="H2566" s="58"/>
      <c r="I2566" s="58"/>
      <c r="J2566" s="58"/>
      <c r="K2566" s="58"/>
      <c r="L2566" s="58"/>
      <c r="M2566" s="59"/>
      <c r="N2566" s="58"/>
      <c r="O2566" s="59"/>
      <c r="P2566" s="58"/>
      <c r="Q2566" s="59"/>
      <c r="R2566" s="58"/>
    </row>
    <row r="2567">
      <c r="A2567" s="56"/>
      <c r="B2567" s="19"/>
      <c r="C2567" s="19"/>
      <c r="E2567" s="59"/>
      <c r="F2567" s="58"/>
      <c r="G2567" s="59"/>
      <c r="H2567" s="58"/>
      <c r="I2567" s="58"/>
      <c r="J2567" s="58"/>
      <c r="K2567" s="58"/>
      <c r="L2567" s="58"/>
      <c r="M2567" s="59"/>
      <c r="N2567" s="58"/>
      <c r="O2567" s="59"/>
      <c r="P2567" s="58"/>
      <c r="Q2567" s="59"/>
      <c r="R2567" s="58"/>
    </row>
    <row r="2568">
      <c r="A2568" s="56"/>
      <c r="B2568" s="19"/>
      <c r="C2568" s="19"/>
      <c r="E2568" s="59"/>
      <c r="F2568" s="58"/>
      <c r="G2568" s="59"/>
      <c r="H2568" s="58"/>
      <c r="I2568" s="58"/>
      <c r="J2568" s="58"/>
      <c r="K2568" s="58"/>
      <c r="L2568" s="58"/>
      <c r="M2568" s="59"/>
      <c r="N2568" s="58"/>
      <c r="O2568" s="59"/>
      <c r="P2568" s="58"/>
      <c r="Q2568" s="59"/>
      <c r="R2568" s="58"/>
    </row>
    <row r="2569">
      <c r="A2569" s="56"/>
      <c r="B2569" s="19"/>
      <c r="C2569" s="19"/>
      <c r="E2569" s="59"/>
      <c r="F2569" s="58"/>
      <c r="G2569" s="59"/>
      <c r="H2569" s="58"/>
      <c r="I2569" s="58"/>
      <c r="J2569" s="58"/>
      <c r="K2569" s="58"/>
      <c r="L2569" s="58"/>
      <c r="M2569" s="59"/>
      <c r="N2569" s="58"/>
      <c r="O2569" s="59"/>
      <c r="P2569" s="58"/>
      <c r="Q2569" s="59"/>
      <c r="R2569" s="58"/>
    </row>
    <row r="2570">
      <c r="A2570" s="56"/>
      <c r="B2570" s="19"/>
      <c r="C2570" s="19"/>
      <c r="E2570" s="59"/>
      <c r="F2570" s="58"/>
      <c r="G2570" s="59"/>
      <c r="H2570" s="58"/>
      <c r="I2570" s="58"/>
      <c r="J2570" s="58"/>
      <c r="K2570" s="58"/>
      <c r="L2570" s="58"/>
      <c r="M2570" s="59"/>
      <c r="N2570" s="58"/>
      <c r="O2570" s="59"/>
      <c r="P2570" s="58"/>
      <c r="Q2570" s="59"/>
      <c r="R2570" s="58"/>
    </row>
    <row r="2571">
      <c r="A2571" s="56"/>
      <c r="B2571" s="19"/>
      <c r="C2571" s="19"/>
      <c r="E2571" s="59"/>
      <c r="F2571" s="58"/>
      <c r="G2571" s="59"/>
      <c r="H2571" s="58"/>
      <c r="I2571" s="58"/>
      <c r="J2571" s="58"/>
      <c r="K2571" s="58"/>
      <c r="L2571" s="58"/>
      <c r="M2571" s="59"/>
      <c r="N2571" s="58"/>
      <c r="O2571" s="59"/>
      <c r="P2571" s="58"/>
      <c r="Q2571" s="59"/>
      <c r="R2571" s="58"/>
    </row>
    <row r="2572">
      <c r="A2572" s="56"/>
      <c r="B2572" s="19"/>
      <c r="C2572" s="19"/>
      <c r="E2572" s="59"/>
      <c r="F2572" s="58"/>
      <c r="G2572" s="59"/>
      <c r="H2572" s="58"/>
      <c r="I2572" s="58"/>
      <c r="J2572" s="58"/>
      <c r="K2572" s="58"/>
      <c r="L2572" s="58"/>
      <c r="M2572" s="59"/>
      <c r="N2572" s="58"/>
      <c r="O2572" s="59"/>
      <c r="P2572" s="58"/>
      <c r="Q2572" s="59"/>
      <c r="R2572" s="58"/>
    </row>
    <row r="2573">
      <c r="A2573" s="56"/>
      <c r="B2573" s="19"/>
      <c r="C2573" s="19"/>
      <c r="E2573" s="59"/>
      <c r="F2573" s="58"/>
      <c r="G2573" s="59"/>
      <c r="H2573" s="58"/>
      <c r="I2573" s="58"/>
      <c r="J2573" s="58"/>
      <c r="K2573" s="58"/>
      <c r="L2573" s="58"/>
      <c r="M2573" s="59"/>
      <c r="N2573" s="58"/>
      <c r="O2573" s="59"/>
      <c r="P2573" s="58"/>
      <c r="Q2573" s="59"/>
      <c r="R2573" s="58"/>
    </row>
    <row r="2574">
      <c r="A2574" s="56"/>
      <c r="B2574" s="19"/>
      <c r="C2574" s="19"/>
      <c r="E2574" s="59"/>
      <c r="F2574" s="58"/>
      <c r="G2574" s="59"/>
      <c r="H2574" s="58"/>
      <c r="I2574" s="58"/>
      <c r="J2574" s="58"/>
      <c r="K2574" s="58"/>
      <c r="L2574" s="58"/>
      <c r="M2574" s="59"/>
      <c r="N2574" s="58"/>
      <c r="O2574" s="59"/>
      <c r="P2574" s="58"/>
      <c r="Q2574" s="59"/>
      <c r="R2574" s="58"/>
    </row>
    <row r="2575">
      <c r="A2575" s="56"/>
      <c r="B2575" s="19"/>
      <c r="C2575" s="19"/>
      <c r="E2575" s="59"/>
      <c r="F2575" s="58"/>
      <c r="G2575" s="59"/>
      <c r="H2575" s="58"/>
      <c r="I2575" s="58"/>
      <c r="J2575" s="58"/>
      <c r="K2575" s="58"/>
      <c r="L2575" s="58"/>
      <c r="M2575" s="59"/>
      <c r="N2575" s="58"/>
      <c r="O2575" s="59"/>
      <c r="P2575" s="58"/>
      <c r="Q2575" s="59"/>
      <c r="R2575" s="58"/>
    </row>
    <row r="2576">
      <c r="A2576" s="56"/>
      <c r="B2576" s="19"/>
      <c r="C2576" s="19"/>
      <c r="E2576" s="59"/>
      <c r="F2576" s="58"/>
      <c r="G2576" s="59"/>
      <c r="H2576" s="58"/>
      <c r="I2576" s="58"/>
      <c r="J2576" s="58"/>
      <c r="K2576" s="58"/>
      <c r="L2576" s="58"/>
      <c r="M2576" s="59"/>
      <c r="N2576" s="58"/>
      <c r="O2576" s="59"/>
      <c r="P2576" s="58"/>
      <c r="Q2576" s="59"/>
      <c r="R2576" s="58"/>
    </row>
    <row r="2577">
      <c r="A2577" s="56"/>
      <c r="B2577" s="19"/>
      <c r="C2577" s="19"/>
      <c r="E2577" s="59"/>
      <c r="F2577" s="58"/>
      <c r="G2577" s="59"/>
      <c r="H2577" s="58"/>
      <c r="I2577" s="58"/>
      <c r="J2577" s="58"/>
      <c r="K2577" s="58"/>
      <c r="L2577" s="58"/>
      <c r="M2577" s="59"/>
      <c r="N2577" s="58"/>
      <c r="O2577" s="59"/>
      <c r="P2577" s="58"/>
      <c r="Q2577" s="59"/>
      <c r="R2577" s="58"/>
    </row>
    <row r="2578">
      <c r="A2578" s="56"/>
      <c r="B2578" s="19"/>
      <c r="C2578" s="19"/>
      <c r="E2578" s="59"/>
      <c r="F2578" s="58"/>
      <c r="G2578" s="59"/>
      <c r="H2578" s="58"/>
      <c r="I2578" s="58"/>
      <c r="J2578" s="58"/>
      <c r="K2578" s="58"/>
      <c r="L2578" s="58"/>
      <c r="M2578" s="59"/>
      <c r="N2578" s="58"/>
      <c r="O2578" s="59"/>
      <c r="P2578" s="58"/>
      <c r="Q2578" s="59"/>
      <c r="R2578" s="58"/>
    </row>
    <row r="2579">
      <c r="A2579" s="56"/>
      <c r="B2579" s="19"/>
      <c r="C2579" s="19"/>
      <c r="E2579" s="59"/>
      <c r="F2579" s="58"/>
      <c r="G2579" s="59"/>
      <c r="H2579" s="58"/>
      <c r="I2579" s="58"/>
      <c r="J2579" s="58"/>
      <c r="K2579" s="58"/>
      <c r="L2579" s="58"/>
      <c r="M2579" s="59"/>
      <c r="N2579" s="58"/>
      <c r="O2579" s="59"/>
      <c r="P2579" s="58"/>
      <c r="Q2579" s="59"/>
      <c r="R2579" s="58"/>
    </row>
    <row r="2580">
      <c r="A2580" s="56"/>
      <c r="B2580" s="19"/>
      <c r="C2580" s="19"/>
      <c r="E2580" s="59"/>
      <c r="F2580" s="58"/>
      <c r="G2580" s="59"/>
      <c r="H2580" s="58"/>
      <c r="I2580" s="58"/>
      <c r="J2580" s="58"/>
      <c r="K2580" s="58"/>
      <c r="L2580" s="58"/>
      <c r="M2580" s="59"/>
      <c r="N2580" s="58"/>
      <c r="O2580" s="59"/>
      <c r="P2580" s="58"/>
      <c r="Q2580" s="59"/>
      <c r="R2580" s="58"/>
    </row>
    <row r="2581">
      <c r="A2581" s="56"/>
      <c r="B2581" s="19"/>
      <c r="C2581" s="19"/>
      <c r="E2581" s="59"/>
      <c r="F2581" s="58"/>
      <c r="G2581" s="59"/>
      <c r="H2581" s="58"/>
      <c r="I2581" s="58"/>
      <c r="J2581" s="58"/>
      <c r="K2581" s="58"/>
      <c r="L2581" s="58"/>
      <c r="M2581" s="59"/>
      <c r="N2581" s="58"/>
      <c r="O2581" s="59"/>
      <c r="P2581" s="58"/>
      <c r="Q2581" s="59"/>
      <c r="R2581" s="58"/>
    </row>
    <row r="2582">
      <c r="A2582" s="56"/>
      <c r="B2582" s="19"/>
      <c r="C2582" s="19"/>
      <c r="E2582" s="59"/>
      <c r="F2582" s="58"/>
      <c r="G2582" s="59"/>
      <c r="H2582" s="58"/>
      <c r="I2582" s="58"/>
      <c r="J2582" s="58"/>
      <c r="K2582" s="58"/>
      <c r="L2582" s="58"/>
      <c r="M2582" s="59"/>
      <c r="N2582" s="58"/>
      <c r="O2582" s="59"/>
      <c r="P2582" s="58"/>
      <c r="Q2582" s="59"/>
      <c r="R2582" s="58"/>
    </row>
    <row r="2583">
      <c r="A2583" s="56"/>
      <c r="B2583" s="19"/>
      <c r="C2583" s="19"/>
      <c r="E2583" s="59"/>
      <c r="F2583" s="58"/>
      <c r="G2583" s="59"/>
      <c r="H2583" s="58"/>
      <c r="I2583" s="58"/>
      <c r="J2583" s="58"/>
      <c r="K2583" s="58"/>
      <c r="L2583" s="58"/>
      <c r="M2583" s="59"/>
      <c r="N2583" s="58"/>
      <c r="O2583" s="59"/>
      <c r="P2583" s="58"/>
      <c r="Q2583" s="59"/>
      <c r="R2583" s="58"/>
    </row>
    <row r="2584">
      <c r="A2584" s="56"/>
      <c r="B2584" s="19"/>
      <c r="C2584" s="19"/>
      <c r="E2584" s="59"/>
      <c r="F2584" s="58"/>
      <c r="G2584" s="59"/>
      <c r="H2584" s="58"/>
      <c r="I2584" s="58"/>
      <c r="J2584" s="58"/>
      <c r="K2584" s="58"/>
      <c r="L2584" s="58"/>
      <c r="M2584" s="59"/>
      <c r="N2584" s="58"/>
      <c r="O2584" s="59"/>
      <c r="P2584" s="58"/>
      <c r="Q2584" s="59"/>
      <c r="R2584" s="58"/>
    </row>
    <row r="2585">
      <c r="A2585" s="56"/>
      <c r="B2585" s="19"/>
      <c r="C2585" s="19"/>
      <c r="E2585" s="59"/>
      <c r="F2585" s="58"/>
      <c r="G2585" s="59"/>
      <c r="H2585" s="58"/>
      <c r="I2585" s="58"/>
      <c r="J2585" s="58"/>
      <c r="K2585" s="58"/>
      <c r="L2585" s="58"/>
      <c r="M2585" s="59"/>
      <c r="N2585" s="58"/>
      <c r="O2585" s="59"/>
      <c r="P2585" s="58"/>
      <c r="Q2585" s="59"/>
      <c r="R2585" s="58"/>
    </row>
    <row r="2586">
      <c r="A2586" s="56"/>
      <c r="B2586" s="19"/>
      <c r="C2586" s="19"/>
      <c r="E2586" s="59"/>
      <c r="F2586" s="58"/>
      <c r="G2586" s="59"/>
      <c r="H2586" s="58"/>
      <c r="I2586" s="58"/>
      <c r="J2586" s="58"/>
      <c r="K2586" s="58"/>
      <c r="L2586" s="58"/>
      <c r="M2586" s="59"/>
      <c r="N2586" s="58"/>
      <c r="O2586" s="59"/>
      <c r="P2586" s="58"/>
      <c r="Q2586" s="59"/>
      <c r="R2586" s="58"/>
    </row>
    <row r="2587">
      <c r="A2587" s="56"/>
      <c r="B2587" s="19"/>
      <c r="C2587" s="19"/>
      <c r="E2587" s="59"/>
      <c r="F2587" s="58"/>
      <c r="G2587" s="59"/>
      <c r="H2587" s="58"/>
      <c r="I2587" s="58"/>
      <c r="J2587" s="58"/>
      <c r="K2587" s="58"/>
      <c r="L2587" s="58"/>
      <c r="M2587" s="59"/>
      <c r="N2587" s="58"/>
      <c r="O2587" s="59"/>
      <c r="P2587" s="58"/>
      <c r="Q2587" s="59"/>
      <c r="R2587" s="58"/>
    </row>
    <row r="2588">
      <c r="A2588" s="56"/>
      <c r="B2588" s="19"/>
      <c r="C2588" s="19"/>
      <c r="E2588" s="59"/>
      <c r="F2588" s="58"/>
      <c r="G2588" s="59"/>
      <c r="H2588" s="58"/>
      <c r="I2588" s="58"/>
      <c r="J2588" s="58"/>
      <c r="K2588" s="58"/>
      <c r="L2588" s="58"/>
      <c r="M2588" s="59"/>
      <c r="N2588" s="58"/>
      <c r="O2588" s="59"/>
      <c r="P2588" s="58"/>
      <c r="Q2588" s="59"/>
      <c r="R2588" s="58"/>
    </row>
    <row r="2589">
      <c r="A2589" s="56"/>
      <c r="B2589" s="19"/>
      <c r="C2589" s="19"/>
      <c r="E2589" s="59"/>
      <c r="F2589" s="58"/>
      <c r="G2589" s="59"/>
      <c r="H2589" s="58"/>
      <c r="I2589" s="58"/>
      <c r="J2589" s="58"/>
      <c r="K2589" s="58"/>
      <c r="L2589" s="58"/>
      <c r="M2589" s="59"/>
      <c r="N2589" s="58"/>
      <c r="O2589" s="59"/>
      <c r="P2589" s="58"/>
      <c r="Q2589" s="59"/>
      <c r="R2589" s="58"/>
    </row>
    <row r="2590">
      <c r="A2590" s="56"/>
      <c r="B2590" s="19"/>
      <c r="C2590" s="19"/>
      <c r="E2590" s="59"/>
      <c r="F2590" s="58"/>
      <c r="G2590" s="59"/>
      <c r="H2590" s="58"/>
      <c r="I2590" s="58"/>
      <c r="J2590" s="58"/>
      <c r="K2590" s="58"/>
      <c r="L2590" s="58"/>
      <c r="M2590" s="59"/>
      <c r="N2590" s="58"/>
      <c r="O2590" s="59"/>
      <c r="P2590" s="58"/>
      <c r="Q2590" s="59"/>
      <c r="R2590" s="58"/>
    </row>
    <row r="2591">
      <c r="A2591" s="56"/>
      <c r="B2591" s="19"/>
      <c r="C2591" s="19"/>
      <c r="E2591" s="59"/>
      <c r="F2591" s="58"/>
      <c r="G2591" s="59"/>
      <c r="H2591" s="58"/>
      <c r="I2591" s="58"/>
      <c r="J2591" s="58"/>
      <c r="K2591" s="58"/>
      <c r="L2591" s="58"/>
      <c r="M2591" s="59"/>
      <c r="N2591" s="58"/>
      <c r="O2591" s="59"/>
      <c r="P2591" s="58"/>
      <c r="Q2591" s="59"/>
      <c r="R2591" s="58"/>
    </row>
    <row r="2592">
      <c r="A2592" s="56"/>
      <c r="B2592" s="19"/>
      <c r="C2592" s="19"/>
      <c r="E2592" s="59"/>
      <c r="F2592" s="58"/>
      <c r="G2592" s="59"/>
      <c r="H2592" s="58"/>
      <c r="I2592" s="58"/>
      <c r="J2592" s="58"/>
      <c r="K2592" s="58"/>
      <c r="L2592" s="58"/>
      <c r="M2592" s="59"/>
      <c r="N2592" s="58"/>
      <c r="O2592" s="59"/>
      <c r="P2592" s="58"/>
      <c r="Q2592" s="59"/>
      <c r="R2592" s="58"/>
    </row>
    <row r="2593">
      <c r="A2593" s="56"/>
      <c r="B2593" s="19"/>
      <c r="C2593" s="19"/>
      <c r="E2593" s="59"/>
      <c r="F2593" s="58"/>
      <c r="G2593" s="59"/>
      <c r="H2593" s="58"/>
      <c r="I2593" s="58"/>
      <c r="J2593" s="58"/>
      <c r="K2593" s="58"/>
      <c r="L2593" s="58"/>
      <c r="M2593" s="59"/>
      <c r="N2593" s="58"/>
      <c r="O2593" s="59"/>
      <c r="P2593" s="58"/>
      <c r="Q2593" s="59"/>
      <c r="R2593" s="58"/>
    </row>
    <row r="2594">
      <c r="A2594" s="56"/>
      <c r="B2594" s="19"/>
      <c r="C2594" s="19"/>
      <c r="E2594" s="59"/>
      <c r="F2594" s="58"/>
      <c r="G2594" s="59"/>
      <c r="H2594" s="58"/>
      <c r="I2594" s="58"/>
      <c r="J2594" s="58"/>
      <c r="K2594" s="58"/>
      <c r="L2594" s="58"/>
      <c r="M2594" s="59"/>
      <c r="N2594" s="58"/>
      <c r="O2594" s="59"/>
      <c r="P2594" s="58"/>
      <c r="Q2594" s="59"/>
      <c r="R2594" s="58"/>
    </row>
    <row r="2595">
      <c r="A2595" s="56"/>
      <c r="B2595" s="19"/>
      <c r="C2595" s="19"/>
      <c r="E2595" s="59"/>
      <c r="F2595" s="58"/>
      <c r="G2595" s="59"/>
      <c r="H2595" s="58"/>
      <c r="I2595" s="58"/>
      <c r="J2595" s="58"/>
      <c r="K2595" s="58"/>
      <c r="L2595" s="58"/>
      <c r="M2595" s="59"/>
      <c r="N2595" s="58"/>
      <c r="O2595" s="59"/>
      <c r="P2595" s="58"/>
      <c r="Q2595" s="59"/>
      <c r="R2595" s="58"/>
    </row>
    <row r="2596">
      <c r="A2596" s="56"/>
      <c r="B2596" s="19"/>
      <c r="C2596" s="19"/>
      <c r="E2596" s="59"/>
      <c r="F2596" s="58"/>
      <c r="G2596" s="59"/>
      <c r="H2596" s="58"/>
      <c r="I2596" s="58"/>
      <c r="J2596" s="58"/>
      <c r="K2596" s="58"/>
      <c r="L2596" s="58"/>
      <c r="M2596" s="59"/>
      <c r="N2596" s="58"/>
      <c r="O2596" s="59"/>
      <c r="P2596" s="58"/>
      <c r="Q2596" s="59"/>
      <c r="R2596" s="58"/>
    </row>
    <row r="2597">
      <c r="A2597" s="56"/>
      <c r="B2597" s="19"/>
      <c r="C2597" s="19"/>
      <c r="E2597" s="59"/>
      <c r="F2597" s="58"/>
      <c r="G2597" s="59"/>
      <c r="H2597" s="58"/>
      <c r="I2597" s="58"/>
      <c r="J2597" s="58"/>
      <c r="K2597" s="58"/>
      <c r="L2597" s="58"/>
      <c r="M2597" s="59"/>
      <c r="N2597" s="58"/>
      <c r="O2597" s="59"/>
      <c r="P2597" s="58"/>
      <c r="Q2597" s="59"/>
      <c r="R2597" s="58"/>
    </row>
    <row r="2598">
      <c r="A2598" s="56"/>
      <c r="B2598" s="19"/>
      <c r="C2598" s="19"/>
      <c r="E2598" s="59"/>
      <c r="F2598" s="58"/>
      <c r="G2598" s="59"/>
      <c r="H2598" s="58"/>
      <c r="I2598" s="58"/>
      <c r="J2598" s="58"/>
      <c r="K2598" s="58"/>
      <c r="L2598" s="58"/>
      <c r="M2598" s="59"/>
      <c r="N2598" s="58"/>
      <c r="O2598" s="59"/>
      <c r="P2598" s="58"/>
      <c r="Q2598" s="59"/>
      <c r="R2598" s="58"/>
    </row>
    <row r="2599">
      <c r="A2599" s="56"/>
      <c r="B2599" s="19"/>
      <c r="C2599" s="19"/>
      <c r="E2599" s="59"/>
      <c r="F2599" s="58"/>
      <c r="G2599" s="59"/>
      <c r="H2599" s="58"/>
      <c r="I2599" s="58"/>
      <c r="J2599" s="58"/>
      <c r="K2599" s="58"/>
      <c r="L2599" s="58"/>
      <c r="M2599" s="59"/>
      <c r="N2599" s="58"/>
      <c r="O2599" s="59"/>
      <c r="P2599" s="58"/>
      <c r="Q2599" s="59"/>
      <c r="R2599" s="58"/>
    </row>
    <row r="2600">
      <c r="A2600" s="56"/>
      <c r="B2600" s="19"/>
      <c r="C2600" s="19"/>
      <c r="E2600" s="59"/>
      <c r="F2600" s="58"/>
      <c r="G2600" s="59"/>
      <c r="H2600" s="58"/>
      <c r="I2600" s="58"/>
      <c r="J2600" s="58"/>
      <c r="K2600" s="58"/>
      <c r="L2600" s="58"/>
      <c r="M2600" s="59"/>
      <c r="N2600" s="58"/>
      <c r="O2600" s="59"/>
      <c r="P2600" s="58"/>
      <c r="Q2600" s="59"/>
      <c r="R2600" s="58"/>
    </row>
    <row r="2601">
      <c r="A2601" s="56"/>
      <c r="B2601" s="19"/>
      <c r="C2601" s="19"/>
      <c r="E2601" s="59"/>
      <c r="F2601" s="58"/>
      <c r="G2601" s="59"/>
      <c r="H2601" s="58"/>
      <c r="I2601" s="58"/>
      <c r="J2601" s="58"/>
      <c r="K2601" s="58"/>
      <c r="L2601" s="58"/>
      <c r="M2601" s="59"/>
      <c r="N2601" s="58"/>
      <c r="O2601" s="59"/>
      <c r="P2601" s="58"/>
      <c r="Q2601" s="59"/>
      <c r="R2601" s="58"/>
    </row>
    <row r="2602">
      <c r="A2602" s="56"/>
      <c r="B2602" s="19"/>
      <c r="C2602" s="19"/>
      <c r="E2602" s="59"/>
      <c r="F2602" s="58"/>
      <c r="G2602" s="59"/>
      <c r="H2602" s="58"/>
      <c r="I2602" s="58"/>
      <c r="J2602" s="58"/>
      <c r="K2602" s="58"/>
      <c r="L2602" s="58"/>
      <c r="M2602" s="59"/>
      <c r="N2602" s="58"/>
      <c r="O2602" s="59"/>
      <c r="P2602" s="58"/>
      <c r="Q2602" s="59"/>
      <c r="R2602" s="58"/>
    </row>
    <row r="2603">
      <c r="A2603" s="56"/>
      <c r="B2603" s="19"/>
      <c r="C2603" s="19"/>
      <c r="E2603" s="59"/>
      <c r="F2603" s="58"/>
      <c r="G2603" s="59"/>
      <c r="H2603" s="58"/>
      <c r="I2603" s="58"/>
      <c r="J2603" s="58"/>
      <c r="K2603" s="58"/>
      <c r="L2603" s="58"/>
      <c r="M2603" s="59"/>
      <c r="N2603" s="58"/>
      <c r="O2603" s="59"/>
      <c r="P2603" s="58"/>
      <c r="Q2603" s="59"/>
      <c r="R2603" s="58"/>
    </row>
    <row r="2604">
      <c r="A2604" s="56"/>
      <c r="B2604" s="19"/>
      <c r="C2604" s="19"/>
      <c r="E2604" s="59"/>
      <c r="F2604" s="58"/>
      <c r="G2604" s="59"/>
      <c r="H2604" s="58"/>
      <c r="I2604" s="58"/>
      <c r="J2604" s="58"/>
      <c r="K2604" s="58"/>
      <c r="L2604" s="58"/>
      <c r="M2604" s="59"/>
      <c r="N2604" s="58"/>
      <c r="O2604" s="59"/>
      <c r="P2604" s="58"/>
      <c r="Q2604" s="59"/>
      <c r="R2604" s="58"/>
    </row>
    <row r="2605">
      <c r="A2605" s="56"/>
      <c r="B2605" s="19"/>
      <c r="C2605" s="19"/>
      <c r="E2605" s="59"/>
      <c r="F2605" s="58"/>
      <c r="G2605" s="59"/>
      <c r="H2605" s="58"/>
      <c r="I2605" s="58"/>
      <c r="J2605" s="58"/>
      <c r="K2605" s="58"/>
      <c r="L2605" s="58"/>
      <c r="M2605" s="59"/>
      <c r="N2605" s="58"/>
      <c r="O2605" s="59"/>
      <c r="P2605" s="58"/>
      <c r="Q2605" s="59"/>
      <c r="R2605" s="58"/>
    </row>
    <row r="2606">
      <c r="A2606" s="56"/>
      <c r="B2606" s="19"/>
      <c r="C2606" s="19"/>
      <c r="E2606" s="59"/>
      <c r="F2606" s="58"/>
      <c r="G2606" s="59"/>
      <c r="H2606" s="58"/>
      <c r="I2606" s="58"/>
      <c r="J2606" s="58"/>
      <c r="K2606" s="58"/>
      <c r="L2606" s="58"/>
      <c r="M2606" s="59"/>
      <c r="N2606" s="58"/>
      <c r="O2606" s="59"/>
      <c r="P2606" s="58"/>
      <c r="Q2606" s="59"/>
      <c r="R2606" s="58"/>
    </row>
    <row r="2607">
      <c r="A2607" s="56"/>
      <c r="B2607" s="19"/>
      <c r="C2607" s="19"/>
      <c r="E2607" s="59"/>
      <c r="F2607" s="58"/>
      <c r="G2607" s="59"/>
      <c r="H2607" s="58"/>
      <c r="I2607" s="58"/>
      <c r="J2607" s="58"/>
      <c r="K2607" s="58"/>
      <c r="L2607" s="58"/>
      <c r="M2607" s="59"/>
      <c r="N2607" s="58"/>
      <c r="O2607" s="59"/>
      <c r="P2607" s="58"/>
      <c r="Q2607" s="59"/>
      <c r="R2607" s="58"/>
    </row>
    <row r="2608">
      <c r="A2608" s="56"/>
      <c r="B2608" s="19"/>
      <c r="C2608" s="19"/>
      <c r="E2608" s="59"/>
      <c r="F2608" s="58"/>
      <c r="G2608" s="59"/>
      <c r="H2608" s="58"/>
      <c r="I2608" s="58"/>
      <c r="J2608" s="58"/>
      <c r="K2608" s="58"/>
      <c r="L2608" s="58"/>
      <c r="M2608" s="59"/>
      <c r="N2608" s="58"/>
      <c r="O2608" s="59"/>
      <c r="P2608" s="58"/>
      <c r="Q2608" s="59"/>
      <c r="R2608" s="58"/>
    </row>
    <row r="2609">
      <c r="A2609" s="56"/>
      <c r="B2609" s="19"/>
      <c r="C2609" s="19"/>
      <c r="E2609" s="59"/>
      <c r="F2609" s="58"/>
      <c r="G2609" s="59"/>
      <c r="H2609" s="58"/>
      <c r="I2609" s="58"/>
      <c r="J2609" s="58"/>
      <c r="K2609" s="58"/>
      <c r="L2609" s="58"/>
      <c r="M2609" s="59"/>
      <c r="N2609" s="58"/>
      <c r="O2609" s="59"/>
      <c r="P2609" s="58"/>
      <c r="Q2609" s="59"/>
      <c r="R2609" s="58"/>
    </row>
    <row r="2610">
      <c r="A2610" s="56"/>
      <c r="B2610" s="19"/>
      <c r="C2610" s="19"/>
      <c r="E2610" s="59"/>
      <c r="F2610" s="58"/>
      <c r="G2610" s="59"/>
      <c r="H2610" s="58"/>
      <c r="I2610" s="58"/>
      <c r="J2610" s="58"/>
      <c r="K2610" s="58"/>
      <c r="L2610" s="58"/>
      <c r="M2610" s="59"/>
      <c r="N2610" s="58"/>
      <c r="O2610" s="59"/>
      <c r="P2610" s="58"/>
      <c r="Q2610" s="59"/>
      <c r="R2610" s="58"/>
    </row>
    <row r="2611">
      <c r="A2611" s="56"/>
      <c r="B2611" s="19"/>
      <c r="C2611" s="19"/>
      <c r="E2611" s="59"/>
      <c r="F2611" s="58"/>
      <c r="G2611" s="59"/>
      <c r="H2611" s="58"/>
      <c r="I2611" s="58"/>
      <c r="J2611" s="58"/>
      <c r="K2611" s="58"/>
      <c r="L2611" s="58"/>
      <c r="M2611" s="59"/>
      <c r="N2611" s="58"/>
      <c r="O2611" s="59"/>
      <c r="P2611" s="58"/>
      <c r="Q2611" s="59"/>
      <c r="R2611" s="58"/>
    </row>
    <row r="2612">
      <c r="A2612" s="56"/>
      <c r="B2612" s="19"/>
      <c r="C2612" s="19"/>
      <c r="E2612" s="59"/>
      <c r="F2612" s="58"/>
      <c r="G2612" s="59"/>
      <c r="H2612" s="58"/>
      <c r="I2612" s="58"/>
      <c r="J2612" s="58"/>
      <c r="K2612" s="58"/>
      <c r="L2612" s="58"/>
      <c r="M2612" s="59"/>
      <c r="N2612" s="58"/>
      <c r="O2612" s="59"/>
      <c r="P2612" s="58"/>
      <c r="Q2612" s="59"/>
      <c r="R2612" s="58"/>
    </row>
    <row r="2613">
      <c r="A2613" s="56"/>
      <c r="B2613" s="19"/>
      <c r="C2613" s="19"/>
      <c r="E2613" s="59"/>
      <c r="F2613" s="58"/>
      <c r="G2613" s="59"/>
      <c r="H2613" s="58"/>
      <c r="I2613" s="58"/>
      <c r="J2613" s="58"/>
      <c r="K2613" s="58"/>
      <c r="L2613" s="58"/>
      <c r="M2613" s="59"/>
      <c r="N2613" s="58"/>
      <c r="O2613" s="59"/>
      <c r="P2613" s="58"/>
      <c r="Q2613" s="59"/>
      <c r="R2613" s="58"/>
    </row>
    <row r="2614">
      <c r="A2614" s="56"/>
      <c r="B2614" s="19"/>
      <c r="C2614" s="19"/>
      <c r="E2614" s="59"/>
      <c r="F2614" s="58"/>
      <c r="G2614" s="59"/>
      <c r="H2614" s="58"/>
      <c r="I2614" s="58"/>
      <c r="J2614" s="58"/>
      <c r="K2614" s="58"/>
      <c r="L2614" s="58"/>
      <c r="M2614" s="59"/>
      <c r="N2614" s="58"/>
      <c r="O2614" s="59"/>
      <c r="P2614" s="58"/>
      <c r="Q2614" s="59"/>
      <c r="R2614" s="58"/>
    </row>
    <row r="2615">
      <c r="A2615" s="56"/>
      <c r="B2615" s="19"/>
      <c r="C2615" s="19"/>
      <c r="E2615" s="59"/>
      <c r="F2615" s="58"/>
      <c r="G2615" s="59"/>
      <c r="H2615" s="58"/>
      <c r="I2615" s="58"/>
      <c r="J2615" s="58"/>
      <c r="K2615" s="58"/>
      <c r="L2615" s="58"/>
      <c r="M2615" s="59"/>
      <c r="N2615" s="58"/>
      <c r="O2615" s="59"/>
      <c r="P2615" s="58"/>
      <c r="Q2615" s="59"/>
      <c r="R2615" s="58"/>
    </row>
    <row r="2616">
      <c r="A2616" s="56"/>
      <c r="B2616" s="19"/>
      <c r="C2616" s="19"/>
      <c r="E2616" s="59"/>
      <c r="F2616" s="58"/>
      <c r="G2616" s="59"/>
      <c r="H2616" s="58"/>
      <c r="I2616" s="58"/>
      <c r="J2616" s="58"/>
      <c r="K2616" s="58"/>
      <c r="L2616" s="58"/>
      <c r="M2616" s="59"/>
      <c r="N2616" s="58"/>
      <c r="O2616" s="59"/>
      <c r="P2616" s="58"/>
      <c r="Q2616" s="59"/>
      <c r="R2616" s="58"/>
    </row>
    <row r="2617">
      <c r="A2617" s="56"/>
      <c r="B2617" s="19"/>
      <c r="C2617" s="19"/>
      <c r="E2617" s="59"/>
      <c r="F2617" s="58"/>
      <c r="G2617" s="59"/>
      <c r="H2617" s="58"/>
      <c r="I2617" s="58"/>
      <c r="J2617" s="58"/>
      <c r="K2617" s="58"/>
      <c r="L2617" s="58"/>
      <c r="M2617" s="59"/>
      <c r="N2617" s="58"/>
      <c r="O2617" s="59"/>
      <c r="P2617" s="58"/>
      <c r="Q2617" s="59"/>
      <c r="R2617" s="58"/>
    </row>
    <row r="2618">
      <c r="A2618" s="56"/>
      <c r="B2618" s="19"/>
      <c r="C2618" s="19"/>
      <c r="E2618" s="59"/>
      <c r="F2618" s="58"/>
      <c r="G2618" s="59"/>
      <c r="H2618" s="58"/>
      <c r="I2618" s="58"/>
      <c r="J2618" s="58"/>
      <c r="K2618" s="58"/>
      <c r="L2618" s="58"/>
      <c r="M2618" s="59"/>
      <c r="N2618" s="58"/>
      <c r="O2618" s="59"/>
      <c r="P2618" s="58"/>
      <c r="Q2618" s="59"/>
      <c r="R2618" s="58"/>
    </row>
    <row r="2619">
      <c r="A2619" s="56"/>
      <c r="B2619" s="19"/>
      <c r="C2619" s="19"/>
      <c r="E2619" s="59"/>
      <c r="F2619" s="58"/>
      <c r="G2619" s="59"/>
      <c r="H2619" s="58"/>
      <c r="I2619" s="58"/>
      <c r="J2619" s="58"/>
      <c r="K2619" s="58"/>
      <c r="L2619" s="58"/>
      <c r="M2619" s="59"/>
      <c r="N2619" s="58"/>
      <c r="O2619" s="59"/>
      <c r="P2619" s="58"/>
      <c r="Q2619" s="59"/>
      <c r="R2619" s="58"/>
    </row>
    <row r="2620">
      <c r="A2620" s="56"/>
      <c r="B2620" s="19"/>
      <c r="C2620" s="19"/>
      <c r="E2620" s="59"/>
      <c r="F2620" s="58"/>
      <c r="G2620" s="59"/>
      <c r="H2620" s="58"/>
      <c r="I2620" s="58"/>
      <c r="J2620" s="58"/>
      <c r="K2620" s="58"/>
      <c r="L2620" s="58"/>
      <c r="M2620" s="59"/>
      <c r="N2620" s="58"/>
      <c r="O2620" s="59"/>
      <c r="P2620" s="58"/>
      <c r="Q2620" s="59"/>
      <c r="R2620" s="58"/>
    </row>
    <row r="2621">
      <c r="A2621" s="56"/>
      <c r="B2621" s="19"/>
      <c r="C2621" s="19"/>
      <c r="E2621" s="59"/>
      <c r="F2621" s="58"/>
      <c r="G2621" s="59"/>
      <c r="H2621" s="58"/>
      <c r="I2621" s="58"/>
      <c r="J2621" s="58"/>
      <c r="K2621" s="58"/>
      <c r="L2621" s="58"/>
      <c r="M2621" s="59"/>
      <c r="N2621" s="58"/>
      <c r="O2621" s="59"/>
      <c r="P2621" s="58"/>
      <c r="Q2621" s="59"/>
      <c r="R2621" s="58"/>
    </row>
    <row r="2622">
      <c r="A2622" s="56"/>
      <c r="B2622" s="19"/>
      <c r="C2622" s="19"/>
      <c r="E2622" s="59"/>
      <c r="F2622" s="58"/>
      <c r="G2622" s="59"/>
      <c r="H2622" s="58"/>
      <c r="I2622" s="58"/>
      <c r="J2622" s="58"/>
      <c r="K2622" s="58"/>
      <c r="L2622" s="58"/>
      <c r="M2622" s="59"/>
      <c r="N2622" s="58"/>
      <c r="O2622" s="59"/>
      <c r="P2622" s="58"/>
      <c r="Q2622" s="59"/>
      <c r="R2622" s="58"/>
    </row>
    <row r="2623">
      <c r="A2623" s="56"/>
      <c r="B2623" s="19"/>
      <c r="C2623" s="19"/>
      <c r="E2623" s="59"/>
      <c r="F2623" s="58"/>
      <c r="G2623" s="59"/>
      <c r="H2623" s="58"/>
      <c r="I2623" s="58"/>
      <c r="J2623" s="58"/>
      <c r="K2623" s="58"/>
      <c r="L2623" s="58"/>
      <c r="M2623" s="59"/>
      <c r="N2623" s="58"/>
      <c r="O2623" s="59"/>
      <c r="P2623" s="58"/>
      <c r="Q2623" s="59"/>
      <c r="R2623" s="58"/>
    </row>
    <row r="2624">
      <c r="A2624" s="56"/>
      <c r="B2624" s="19"/>
      <c r="C2624" s="19"/>
      <c r="E2624" s="59"/>
      <c r="F2624" s="58"/>
      <c r="G2624" s="59"/>
      <c r="H2624" s="58"/>
      <c r="I2624" s="58"/>
      <c r="J2624" s="58"/>
      <c r="K2624" s="58"/>
      <c r="L2624" s="58"/>
      <c r="M2624" s="59"/>
      <c r="N2624" s="58"/>
      <c r="O2624" s="59"/>
      <c r="P2624" s="58"/>
      <c r="Q2624" s="59"/>
      <c r="R2624" s="58"/>
    </row>
    <row r="2625">
      <c r="A2625" s="56"/>
      <c r="B2625" s="19"/>
      <c r="C2625" s="19"/>
      <c r="E2625" s="59"/>
      <c r="F2625" s="58"/>
      <c r="G2625" s="59"/>
      <c r="H2625" s="58"/>
      <c r="I2625" s="58"/>
      <c r="J2625" s="58"/>
      <c r="K2625" s="58"/>
      <c r="L2625" s="58"/>
      <c r="M2625" s="59"/>
      <c r="N2625" s="58"/>
      <c r="O2625" s="59"/>
      <c r="P2625" s="58"/>
      <c r="Q2625" s="59"/>
      <c r="R2625" s="58"/>
    </row>
    <row r="2626">
      <c r="A2626" s="56"/>
      <c r="B2626" s="19"/>
      <c r="C2626" s="19"/>
      <c r="E2626" s="59"/>
      <c r="F2626" s="58"/>
      <c r="G2626" s="59"/>
      <c r="H2626" s="58"/>
      <c r="I2626" s="58"/>
      <c r="J2626" s="58"/>
      <c r="K2626" s="58"/>
      <c r="L2626" s="58"/>
      <c r="M2626" s="59"/>
      <c r="N2626" s="58"/>
      <c r="O2626" s="59"/>
      <c r="P2626" s="58"/>
      <c r="Q2626" s="59"/>
      <c r="R2626" s="58"/>
    </row>
    <row r="2627">
      <c r="A2627" s="56"/>
      <c r="B2627" s="19"/>
      <c r="C2627" s="19"/>
      <c r="E2627" s="59"/>
      <c r="F2627" s="58"/>
      <c r="G2627" s="59"/>
      <c r="H2627" s="58"/>
      <c r="I2627" s="58"/>
      <c r="J2627" s="58"/>
      <c r="K2627" s="58"/>
      <c r="L2627" s="58"/>
      <c r="M2627" s="59"/>
      <c r="N2627" s="58"/>
      <c r="O2627" s="59"/>
      <c r="P2627" s="58"/>
      <c r="Q2627" s="59"/>
      <c r="R2627" s="58"/>
    </row>
    <row r="2628">
      <c r="A2628" s="56"/>
      <c r="B2628" s="19"/>
      <c r="C2628" s="19"/>
      <c r="E2628" s="59"/>
      <c r="F2628" s="58"/>
      <c r="G2628" s="59"/>
      <c r="H2628" s="58"/>
      <c r="I2628" s="58"/>
      <c r="J2628" s="58"/>
      <c r="K2628" s="58"/>
      <c r="L2628" s="58"/>
      <c r="M2628" s="59"/>
      <c r="N2628" s="58"/>
      <c r="O2628" s="59"/>
      <c r="P2628" s="58"/>
      <c r="Q2628" s="59"/>
      <c r="R2628" s="58"/>
    </row>
    <row r="2629">
      <c r="A2629" s="56"/>
      <c r="B2629" s="19"/>
      <c r="C2629" s="19"/>
      <c r="E2629" s="59"/>
      <c r="F2629" s="58"/>
      <c r="G2629" s="59"/>
      <c r="H2629" s="58"/>
      <c r="I2629" s="58"/>
      <c r="J2629" s="58"/>
      <c r="K2629" s="58"/>
      <c r="L2629" s="58"/>
      <c r="M2629" s="59"/>
      <c r="N2629" s="58"/>
      <c r="O2629" s="59"/>
      <c r="P2629" s="58"/>
      <c r="Q2629" s="59"/>
      <c r="R2629" s="58"/>
    </row>
    <row r="2630">
      <c r="A2630" s="56"/>
      <c r="B2630" s="19"/>
      <c r="C2630" s="19"/>
      <c r="E2630" s="59"/>
      <c r="F2630" s="58"/>
      <c r="G2630" s="59"/>
      <c r="H2630" s="58"/>
      <c r="I2630" s="58"/>
      <c r="J2630" s="58"/>
      <c r="K2630" s="58"/>
      <c r="L2630" s="58"/>
      <c r="M2630" s="59"/>
      <c r="N2630" s="58"/>
      <c r="O2630" s="59"/>
      <c r="P2630" s="58"/>
      <c r="Q2630" s="59"/>
      <c r="R2630" s="58"/>
    </row>
    <row r="2631">
      <c r="A2631" s="56"/>
      <c r="B2631" s="19"/>
      <c r="C2631" s="19"/>
      <c r="E2631" s="59"/>
      <c r="F2631" s="58"/>
      <c r="G2631" s="59"/>
      <c r="H2631" s="58"/>
      <c r="I2631" s="58"/>
      <c r="J2631" s="58"/>
      <c r="K2631" s="58"/>
      <c r="L2631" s="58"/>
      <c r="M2631" s="59"/>
      <c r="N2631" s="58"/>
      <c r="O2631" s="59"/>
      <c r="P2631" s="58"/>
      <c r="Q2631" s="59"/>
      <c r="R2631" s="58"/>
    </row>
    <row r="2632">
      <c r="A2632" s="56"/>
      <c r="B2632" s="19"/>
      <c r="C2632" s="19"/>
      <c r="E2632" s="59"/>
      <c r="F2632" s="58"/>
      <c r="G2632" s="59"/>
      <c r="H2632" s="58"/>
      <c r="I2632" s="58"/>
      <c r="J2632" s="58"/>
      <c r="K2632" s="58"/>
      <c r="L2632" s="58"/>
      <c r="M2632" s="59"/>
      <c r="N2632" s="58"/>
      <c r="O2632" s="59"/>
      <c r="P2632" s="58"/>
      <c r="Q2632" s="59"/>
      <c r="R2632" s="58"/>
    </row>
    <row r="2633">
      <c r="A2633" s="56"/>
      <c r="B2633" s="19"/>
      <c r="C2633" s="19"/>
      <c r="E2633" s="59"/>
      <c r="F2633" s="58"/>
      <c r="G2633" s="59"/>
      <c r="H2633" s="58"/>
      <c r="I2633" s="58"/>
      <c r="J2633" s="58"/>
      <c r="K2633" s="58"/>
      <c r="L2633" s="58"/>
      <c r="M2633" s="59"/>
      <c r="N2633" s="58"/>
      <c r="O2633" s="59"/>
      <c r="P2633" s="58"/>
      <c r="Q2633" s="59"/>
      <c r="R2633" s="58"/>
    </row>
    <row r="2634">
      <c r="A2634" s="56"/>
      <c r="B2634" s="19"/>
      <c r="C2634" s="19"/>
      <c r="E2634" s="59"/>
      <c r="F2634" s="58"/>
      <c r="G2634" s="59"/>
      <c r="H2634" s="58"/>
      <c r="I2634" s="58"/>
      <c r="J2634" s="58"/>
      <c r="K2634" s="58"/>
      <c r="L2634" s="58"/>
      <c r="M2634" s="59"/>
      <c r="N2634" s="58"/>
      <c r="O2634" s="59"/>
      <c r="P2634" s="58"/>
      <c r="Q2634" s="59"/>
      <c r="R2634" s="58"/>
    </row>
    <row r="2635">
      <c r="A2635" s="56"/>
      <c r="B2635" s="19"/>
      <c r="C2635" s="19"/>
      <c r="E2635" s="59"/>
      <c r="F2635" s="58"/>
      <c r="G2635" s="59"/>
      <c r="H2635" s="58"/>
      <c r="I2635" s="58"/>
      <c r="J2635" s="58"/>
      <c r="K2635" s="58"/>
      <c r="L2635" s="58"/>
      <c r="M2635" s="59"/>
      <c r="N2635" s="58"/>
      <c r="O2635" s="59"/>
      <c r="P2635" s="58"/>
      <c r="Q2635" s="59"/>
      <c r="R2635" s="58"/>
    </row>
    <row r="2636">
      <c r="A2636" s="56"/>
      <c r="B2636" s="19"/>
      <c r="C2636" s="19"/>
      <c r="E2636" s="59"/>
      <c r="F2636" s="58"/>
      <c r="G2636" s="59"/>
      <c r="H2636" s="58"/>
      <c r="I2636" s="58"/>
      <c r="J2636" s="58"/>
      <c r="K2636" s="58"/>
      <c r="L2636" s="58"/>
      <c r="M2636" s="59"/>
      <c r="N2636" s="58"/>
      <c r="O2636" s="59"/>
      <c r="P2636" s="58"/>
      <c r="Q2636" s="59"/>
      <c r="R2636" s="58"/>
    </row>
    <row r="2637">
      <c r="A2637" s="56"/>
      <c r="B2637" s="19"/>
      <c r="C2637" s="19"/>
      <c r="E2637" s="59"/>
      <c r="F2637" s="58"/>
      <c r="G2637" s="59"/>
      <c r="H2637" s="58"/>
      <c r="I2637" s="58"/>
      <c r="J2637" s="58"/>
      <c r="K2637" s="58"/>
      <c r="L2637" s="58"/>
      <c r="M2637" s="59"/>
      <c r="N2637" s="58"/>
      <c r="O2637" s="59"/>
      <c r="P2637" s="58"/>
      <c r="Q2637" s="59"/>
      <c r="R2637" s="58"/>
    </row>
    <row r="2638">
      <c r="A2638" s="56"/>
      <c r="B2638" s="19"/>
      <c r="C2638" s="19"/>
      <c r="E2638" s="59"/>
      <c r="F2638" s="58"/>
      <c r="G2638" s="59"/>
      <c r="H2638" s="58"/>
      <c r="I2638" s="58"/>
      <c r="J2638" s="58"/>
      <c r="K2638" s="58"/>
      <c r="L2638" s="58"/>
      <c r="M2638" s="59"/>
      <c r="N2638" s="58"/>
      <c r="O2638" s="59"/>
      <c r="P2638" s="58"/>
      <c r="Q2638" s="59"/>
      <c r="R2638" s="58"/>
    </row>
    <row r="2639">
      <c r="A2639" s="56"/>
      <c r="B2639" s="19"/>
      <c r="C2639" s="19"/>
      <c r="E2639" s="59"/>
      <c r="F2639" s="58"/>
      <c r="G2639" s="59"/>
      <c r="H2639" s="58"/>
      <c r="I2639" s="58"/>
      <c r="J2639" s="58"/>
      <c r="K2639" s="58"/>
      <c r="L2639" s="58"/>
      <c r="M2639" s="59"/>
      <c r="N2639" s="58"/>
      <c r="O2639" s="59"/>
      <c r="P2639" s="58"/>
      <c r="Q2639" s="59"/>
      <c r="R2639" s="58"/>
    </row>
    <row r="2640">
      <c r="A2640" s="56"/>
      <c r="B2640" s="19"/>
      <c r="C2640" s="19"/>
      <c r="E2640" s="59"/>
      <c r="F2640" s="58"/>
      <c r="G2640" s="59"/>
      <c r="H2640" s="58"/>
      <c r="I2640" s="58"/>
      <c r="J2640" s="58"/>
      <c r="K2640" s="58"/>
      <c r="L2640" s="58"/>
      <c r="M2640" s="59"/>
      <c r="N2640" s="58"/>
      <c r="O2640" s="59"/>
      <c r="P2640" s="58"/>
      <c r="Q2640" s="59"/>
      <c r="R2640" s="58"/>
    </row>
    <row r="2641">
      <c r="A2641" s="56"/>
      <c r="B2641" s="19"/>
      <c r="C2641" s="19"/>
      <c r="E2641" s="59"/>
      <c r="F2641" s="58"/>
      <c r="G2641" s="59"/>
      <c r="H2641" s="58"/>
      <c r="I2641" s="58"/>
      <c r="J2641" s="58"/>
      <c r="K2641" s="58"/>
      <c r="L2641" s="58"/>
      <c r="M2641" s="59"/>
      <c r="N2641" s="58"/>
      <c r="O2641" s="59"/>
      <c r="P2641" s="58"/>
      <c r="Q2641" s="59"/>
      <c r="R2641" s="58"/>
    </row>
    <row r="2642">
      <c r="A2642" s="56"/>
      <c r="B2642" s="19"/>
      <c r="C2642" s="19"/>
      <c r="E2642" s="59"/>
      <c r="F2642" s="58"/>
      <c r="G2642" s="59"/>
      <c r="H2642" s="58"/>
      <c r="I2642" s="58"/>
      <c r="J2642" s="58"/>
      <c r="K2642" s="58"/>
      <c r="L2642" s="58"/>
      <c r="M2642" s="59"/>
      <c r="N2642" s="58"/>
      <c r="O2642" s="59"/>
      <c r="P2642" s="58"/>
      <c r="Q2642" s="59"/>
      <c r="R2642" s="58"/>
    </row>
    <row r="2643">
      <c r="A2643" s="56"/>
      <c r="B2643" s="19"/>
      <c r="C2643" s="19"/>
      <c r="E2643" s="59"/>
      <c r="F2643" s="58"/>
      <c r="G2643" s="59"/>
      <c r="H2643" s="58"/>
      <c r="I2643" s="58"/>
      <c r="J2643" s="58"/>
      <c r="K2643" s="58"/>
      <c r="L2643" s="58"/>
      <c r="M2643" s="59"/>
      <c r="N2643" s="58"/>
      <c r="O2643" s="59"/>
      <c r="P2643" s="58"/>
      <c r="Q2643" s="59"/>
      <c r="R2643" s="58"/>
    </row>
    <row r="2644">
      <c r="A2644" s="56"/>
      <c r="B2644" s="19"/>
      <c r="C2644" s="19"/>
      <c r="E2644" s="59"/>
      <c r="F2644" s="58"/>
      <c r="G2644" s="59"/>
      <c r="H2644" s="58"/>
      <c r="I2644" s="58"/>
      <c r="J2644" s="58"/>
      <c r="K2644" s="58"/>
      <c r="L2644" s="58"/>
      <c r="M2644" s="59"/>
      <c r="N2644" s="58"/>
      <c r="O2644" s="59"/>
      <c r="P2644" s="58"/>
      <c r="Q2644" s="59"/>
      <c r="R2644" s="58"/>
    </row>
    <row r="2645">
      <c r="A2645" s="56"/>
      <c r="B2645" s="19"/>
      <c r="C2645" s="19"/>
      <c r="E2645" s="59"/>
      <c r="F2645" s="58"/>
      <c r="G2645" s="59"/>
      <c r="H2645" s="58"/>
      <c r="I2645" s="58"/>
      <c r="J2645" s="58"/>
      <c r="K2645" s="58"/>
      <c r="L2645" s="58"/>
      <c r="M2645" s="59"/>
      <c r="N2645" s="58"/>
      <c r="O2645" s="59"/>
      <c r="P2645" s="58"/>
      <c r="Q2645" s="59"/>
      <c r="R2645" s="58"/>
    </row>
    <row r="2646">
      <c r="A2646" s="56"/>
      <c r="B2646" s="19"/>
      <c r="C2646" s="19"/>
      <c r="E2646" s="59"/>
      <c r="F2646" s="58"/>
      <c r="G2646" s="59"/>
      <c r="H2646" s="58"/>
      <c r="I2646" s="58"/>
      <c r="J2646" s="58"/>
      <c r="K2646" s="58"/>
      <c r="L2646" s="58"/>
      <c r="M2646" s="59"/>
      <c r="N2646" s="58"/>
      <c r="O2646" s="59"/>
      <c r="P2646" s="58"/>
      <c r="Q2646" s="59"/>
      <c r="R2646" s="58"/>
    </row>
    <row r="2647">
      <c r="A2647" s="56"/>
      <c r="B2647" s="19"/>
      <c r="C2647" s="19"/>
      <c r="E2647" s="59"/>
      <c r="F2647" s="58"/>
      <c r="G2647" s="59"/>
      <c r="H2647" s="58"/>
      <c r="I2647" s="58"/>
      <c r="J2647" s="58"/>
      <c r="K2647" s="58"/>
      <c r="L2647" s="58"/>
      <c r="M2647" s="59"/>
      <c r="N2647" s="58"/>
      <c r="O2647" s="59"/>
      <c r="P2647" s="58"/>
      <c r="Q2647" s="59"/>
      <c r="R2647" s="58"/>
    </row>
    <row r="2648">
      <c r="A2648" s="56"/>
      <c r="B2648" s="19"/>
      <c r="C2648" s="19"/>
      <c r="E2648" s="59"/>
      <c r="F2648" s="58"/>
      <c r="G2648" s="59"/>
      <c r="H2648" s="58"/>
      <c r="I2648" s="58"/>
      <c r="J2648" s="58"/>
      <c r="K2648" s="58"/>
      <c r="L2648" s="58"/>
      <c r="M2648" s="59"/>
      <c r="N2648" s="58"/>
      <c r="O2648" s="59"/>
      <c r="P2648" s="58"/>
      <c r="Q2648" s="59"/>
      <c r="R2648" s="58"/>
    </row>
    <row r="2649">
      <c r="A2649" s="56"/>
      <c r="B2649" s="19"/>
      <c r="C2649" s="19"/>
      <c r="E2649" s="59"/>
      <c r="F2649" s="58"/>
      <c r="G2649" s="59"/>
      <c r="H2649" s="58"/>
      <c r="I2649" s="58"/>
      <c r="J2649" s="58"/>
      <c r="K2649" s="58"/>
      <c r="L2649" s="58"/>
      <c r="M2649" s="59"/>
      <c r="N2649" s="58"/>
      <c r="O2649" s="59"/>
      <c r="P2649" s="58"/>
      <c r="Q2649" s="59"/>
      <c r="R2649" s="58"/>
    </row>
    <row r="2650">
      <c r="A2650" s="56"/>
      <c r="B2650" s="19"/>
      <c r="C2650" s="19"/>
      <c r="E2650" s="59"/>
      <c r="F2650" s="58"/>
      <c r="G2650" s="59"/>
      <c r="H2650" s="58"/>
      <c r="I2650" s="58"/>
      <c r="J2650" s="58"/>
      <c r="K2650" s="58"/>
      <c r="L2650" s="58"/>
      <c r="M2650" s="59"/>
      <c r="N2650" s="58"/>
      <c r="O2650" s="59"/>
      <c r="P2650" s="58"/>
      <c r="Q2650" s="59"/>
      <c r="R2650" s="58"/>
    </row>
    <row r="2651">
      <c r="A2651" s="56"/>
      <c r="B2651" s="19"/>
      <c r="C2651" s="19"/>
      <c r="E2651" s="59"/>
      <c r="F2651" s="58"/>
      <c r="G2651" s="59"/>
      <c r="H2651" s="58"/>
      <c r="I2651" s="58"/>
      <c r="J2651" s="58"/>
      <c r="K2651" s="58"/>
      <c r="L2651" s="58"/>
      <c r="M2651" s="59"/>
      <c r="N2651" s="58"/>
      <c r="O2651" s="59"/>
      <c r="P2651" s="58"/>
      <c r="Q2651" s="59"/>
      <c r="R2651" s="58"/>
    </row>
    <row r="2652">
      <c r="A2652" s="56"/>
      <c r="B2652" s="19"/>
      <c r="C2652" s="19"/>
      <c r="E2652" s="59"/>
      <c r="F2652" s="58"/>
      <c r="G2652" s="59"/>
      <c r="H2652" s="58"/>
      <c r="I2652" s="58"/>
      <c r="J2652" s="58"/>
      <c r="K2652" s="58"/>
      <c r="L2652" s="58"/>
      <c r="M2652" s="59"/>
      <c r="N2652" s="58"/>
      <c r="O2652" s="59"/>
      <c r="P2652" s="58"/>
      <c r="Q2652" s="59"/>
      <c r="R2652" s="58"/>
    </row>
    <row r="2653">
      <c r="A2653" s="56"/>
      <c r="B2653" s="19"/>
      <c r="C2653" s="19"/>
      <c r="E2653" s="59"/>
      <c r="F2653" s="58"/>
      <c r="G2653" s="59"/>
      <c r="H2653" s="58"/>
      <c r="I2653" s="58"/>
      <c r="J2653" s="58"/>
      <c r="K2653" s="58"/>
      <c r="L2653" s="58"/>
      <c r="M2653" s="59"/>
      <c r="N2653" s="58"/>
      <c r="O2653" s="59"/>
      <c r="P2653" s="58"/>
      <c r="Q2653" s="59"/>
      <c r="R2653" s="58"/>
    </row>
    <row r="2654">
      <c r="A2654" s="56"/>
      <c r="B2654" s="19"/>
      <c r="C2654" s="19"/>
      <c r="E2654" s="59"/>
      <c r="F2654" s="58"/>
      <c r="G2654" s="59"/>
      <c r="H2654" s="58"/>
      <c r="I2654" s="58"/>
      <c r="J2654" s="58"/>
      <c r="K2654" s="58"/>
      <c r="L2654" s="58"/>
      <c r="M2654" s="59"/>
      <c r="N2654" s="58"/>
      <c r="O2654" s="59"/>
      <c r="P2654" s="58"/>
      <c r="Q2654" s="59"/>
      <c r="R2654" s="58"/>
    </row>
    <row r="2655">
      <c r="A2655" s="56"/>
      <c r="B2655" s="19"/>
      <c r="C2655" s="19"/>
      <c r="E2655" s="59"/>
      <c r="F2655" s="58"/>
      <c r="G2655" s="59"/>
      <c r="H2655" s="58"/>
      <c r="I2655" s="58"/>
      <c r="J2655" s="58"/>
      <c r="K2655" s="58"/>
      <c r="L2655" s="58"/>
      <c r="M2655" s="59"/>
      <c r="N2655" s="58"/>
      <c r="O2655" s="59"/>
      <c r="P2655" s="58"/>
      <c r="Q2655" s="59"/>
      <c r="R2655" s="58"/>
    </row>
    <row r="2656">
      <c r="A2656" s="56"/>
      <c r="B2656" s="19"/>
      <c r="C2656" s="19"/>
      <c r="E2656" s="59"/>
      <c r="F2656" s="58"/>
      <c r="G2656" s="59"/>
      <c r="H2656" s="58"/>
      <c r="I2656" s="58"/>
      <c r="J2656" s="58"/>
      <c r="K2656" s="58"/>
      <c r="L2656" s="58"/>
      <c r="M2656" s="59"/>
      <c r="N2656" s="58"/>
      <c r="O2656" s="59"/>
      <c r="P2656" s="58"/>
      <c r="Q2656" s="59"/>
      <c r="R2656" s="58"/>
    </row>
    <row r="2657">
      <c r="A2657" s="56"/>
      <c r="B2657" s="19"/>
      <c r="C2657" s="19"/>
      <c r="E2657" s="59"/>
      <c r="F2657" s="58"/>
      <c r="G2657" s="59"/>
      <c r="H2657" s="58"/>
      <c r="I2657" s="58"/>
      <c r="J2657" s="58"/>
      <c r="K2657" s="58"/>
      <c r="L2657" s="58"/>
      <c r="M2657" s="59"/>
      <c r="N2657" s="58"/>
      <c r="O2657" s="59"/>
      <c r="P2657" s="58"/>
      <c r="Q2657" s="59"/>
      <c r="R2657" s="58"/>
    </row>
    <row r="2658">
      <c r="A2658" s="56"/>
      <c r="B2658" s="19"/>
      <c r="C2658" s="19"/>
      <c r="E2658" s="59"/>
      <c r="F2658" s="58"/>
      <c r="G2658" s="59"/>
      <c r="H2658" s="58"/>
      <c r="I2658" s="58"/>
      <c r="J2658" s="58"/>
      <c r="K2658" s="58"/>
      <c r="L2658" s="58"/>
      <c r="M2658" s="59"/>
      <c r="N2658" s="58"/>
      <c r="O2658" s="59"/>
      <c r="P2658" s="58"/>
      <c r="Q2658" s="59"/>
      <c r="R2658" s="58"/>
    </row>
    <row r="2659">
      <c r="A2659" s="56"/>
      <c r="B2659" s="19"/>
      <c r="C2659" s="19"/>
      <c r="E2659" s="59"/>
      <c r="F2659" s="58"/>
      <c r="G2659" s="59"/>
      <c r="H2659" s="58"/>
      <c r="I2659" s="58"/>
      <c r="J2659" s="58"/>
      <c r="K2659" s="58"/>
      <c r="L2659" s="58"/>
      <c r="M2659" s="59"/>
      <c r="N2659" s="58"/>
      <c r="O2659" s="59"/>
      <c r="P2659" s="58"/>
      <c r="Q2659" s="59"/>
      <c r="R2659" s="58"/>
    </row>
    <row r="2660">
      <c r="A2660" s="56"/>
      <c r="B2660" s="19"/>
      <c r="C2660" s="19"/>
      <c r="E2660" s="59"/>
      <c r="F2660" s="58"/>
      <c r="G2660" s="59"/>
      <c r="H2660" s="58"/>
      <c r="I2660" s="58"/>
      <c r="J2660" s="58"/>
      <c r="K2660" s="58"/>
      <c r="L2660" s="58"/>
      <c r="M2660" s="59"/>
      <c r="N2660" s="58"/>
      <c r="O2660" s="59"/>
      <c r="P2660" s="58"/>
      <c r="Q2660" s="59"/>
      <c r="R2660" s="58"/>
    </row>
    <row r="2661">
      <c r="A2661" s="56"/>
      <c r="B2661" s="19"/>
      <c r="C2661" s="19"/>
      <c r="E2661" s="59"/>
      <c r="F2661" s="58"/>
      <c r="G2661" s="59"/>
      <c r="H2661" s="58"/>
      <c r="I2661" s="58"/>
      <c r="J2661" s="58"/>
      <c r="K2661" s="58"/>
      <c r="L2661" s="58"/>
      <c r="M2661" s="59"/>
      <c r="N2661" s="58"/>
      <c r="O2661" s="59"/>
      <c r="P2661" s="58"/>
      <c r="Q2661" s="59"/>
      <c r="R2661" s="58"/>
    </row>
    <row r="2662">
      <c r="A2662" s="56"/>
      <c r="B2662" s="19"/>
      <c r="C2662" s="19"/>
      <c r="E2662" s="59"/>
      <c r="F2662" s="58"/>
      <c r="G2662" s="59"/>
      <c r="H2662" s="58"/>
      <c r="I2662" s="58"/>
      <c r="J2662" s="58"/>
      <c r="K2662" s="58"/>
      <c r="L2662" s="58"/>
      <c r="M2662" s="59"/>
      <c r="N2662" s="58"/>
      <c r="O2662" s="59"/>
      <c r="P2662" s="58"/>
      <c r="Q2662" s="59"/>
      <c r="R2662" s="58"/>
    </row>
    <row r="2663">
      <c r="A2663" s="56"/>
      <c r="B2663" s="19"/>
      <c r="C2663" s="19"/>
      <c r="E2663" s="59"/>
      <c r="F2663" s="58"/>
      <c r="G2663" s="59"/>
      <c r="H2663" s="58"/>
      <c r="I2663" s="58"/>
      <c r="J2663" s="58"/>
      <c r="K2663" s="58"/>
      <c r="L2663" s="58"/>
      <c r="M2663" s="59"/>
      <c r="N2663" s="58"/>
      <c r="O2663" s="59"/>
      <c r="P2663" s="58"/>
      <c r="Q2663" s="59"/>
      <c r="R2663" s="58"/>
    </row>
    <row r="2664">
      <c r="A2664" s="56"/>
      <c r="B2664" s="19"/>
      <c r="C2664" s="19"/>
      <c r="E2664" s="59"/>
      <c r="F2664" s="58"/>
      <c r="G2664" s="59"/>
      <c r="H2664" s="58"/>
      <c r="I2664" s="58"/>
      <c r="J2664" s="58"/>
      <c r="K2664" s="58"/>
      <c r="L2664" s="58"/>
      <c r="M2664" s="59"/>
      <c r="N2664" s="58"/>
      <c r="O2664" s="59"/>
      <c r="P2664" s="58"/>
      <c r="Q2664" s="59"/>
      <c r="R2664" s="58"/>
    </row>
    <row r="2665">
      <c r="A2665" s="56"/>
      <c r="B2665" s="19"/>
      <c r="C2665" s="19"/>
      <c r="E2665" s="59"/>
      <c r="F2665" s="58"/>
      <c r="G2665" s="59"/>
      <c r="H2665" s="58"/>
      <c r="I2665" s="58"/>
      <c r="J2665" s="58"/>
      <c r="K2665" s="58"/>
      <c r="L2665" s="58"/>
      <c r="M2665" s="59"/>
      <c r="N2665" s="58"/>
      <c r="O2665" s="59"/>
      <c r="P2665" s="58"/>
      <c r="Q2665" s="59"/>
      <c r="R2665" s="58"/>
    </row>
    <row r="2666">
      <c r="A2666" s="56"/>
      <c r="B2666" s="19"/>
      <c r="C2666" s="19"/>
      <c r="E2666" s="59"/>
      <c r="F2666" s="58"/>
      <c r="G2666" s="59"/>
      <c r="H2666" s="58"/>
      <c r="I2666" s="58"/>
      <c r="J2666" s="58"/>
      <c r="K2666" s="58"/>
      <c r="L2666" s="58"/>
      <c r="M2666" s="59"/>
      <c r="N2666" s="58"/>
      <c r="O2666" s="59"/>
      <c r="P2666" s="58"/>
      <c r="Q2666" s="59"/>
      <c r="R2666" s="58"/>
    </row>
    <row r="2667">
      <c r="A2667" s="56"/>
      <c r="B2667" s="19"/>
      <c r="C2667" s="19"/>
      <c r="E2667" s="59"/>
      <c r="F2667" s="58"/>
      <c r="G2667" s="59"/>
      <c r="H2667" s="58"/>
      <c r="I2667" s="58"/>
      <c r="J2667" s="58"/>
      <c r="K2667" s="58"/>
      <c r="L2667" s="58"/>
      <c r="M2667" s="59"/>
      <c r="N2667" s="58"/>
      <c r="O2667" s="59"/>
      <c r="P2667" s="58"/>
      <c r="Q2667" s="59"/>
      <c r="R2667" s="58"/>
    </row>
    <row r="2668">
      <c r="A2668" s="56"/>
      <c r="B2668" s="19"/>
      <c r="C2668" s="19"/>
      <c r="E2668" s="59"/>
      <c r="F2668" s="58"/>
      <c r="G2668" s="59"/>
      <c r="H2668" s="58"/>
      <c r="I2668" s="58"/>
      <c r="J2668" s="58"/>
      <c r="K2668" s="58"/>
      <c r="L2668" s="58"/>
      <c r="M2668" s="59"/>
      <c r="N2668" s="58"/>
      <c r="O2668" s="59"/>
      <c r="P2668" s="58"/>
      <c r="Q2668" s="59"/>
      <c r="R2668" s="58"/>
    </row>
    <row r="2669">
      <c r="A2669" s="56"/>
      <c r="B2669" s="19"/>
      <c r="C2669" s="19"/>
      <c r="E2669" s="59"/>
      <c r="F2669" s="58"/>
      <c r="G2669" s="59"/>
      <c r="H2669" s="58"/>
      <c r="I2669" s="58"/>
      <c r="J2669" s="58"/>
      <c r="K2669" s="58"/>
      <c r="L2669" s="58"/>
      <c r="M2669" s="59"/>
      <c r="N2669" s="58"/>
      <c r="O2669" s="59"/>
      <c r="P2669" s="58"/>
      <c r="Q2669" s="59"/>
      <c r="R2669" s="58"/>
    </row>
    <row r="2670">
      <c r="A2670" s="56"/>
      <c r="B2670" s="19"/>
      <c r="C2670" s="19"/>
      <c r="E2670" s="59"/>
      <c r="F2670" s="58"/>
      <c r="G2670" s="59"/>
      <c r="H2670" s="58"/>
      <c r="I2670" s="58"/>
      <c r="J2670" s="58"/>
      <c r="K2670" s="58"/>
      <c r="L2670" s="58"/>
      <c r="M2670" s="59"/>
      <c r="N2670" s="58"/>
      <c r="O2670" s="59"/>
      <c r="P2670" s="58"/>
      <c r="Q2670" s="59"/>
      <c r="R2670" s="58"/>
    </row>
    <row r="2671">
      <c r="A2671" s="56"/>
      <c r="B2671" s="19"/>
      <c r="C2671" s="19"/>
      <c r="E2671" s="59"/>
      <c r="F2671" s="58"/>
      <c r="G2671" s="59"/>
      <c r="H2671" s="58"/>
      <c r="I2671" s="58"/>
      <c r="J2671" s="58"/>
      <c r="K2671" s="58"/>
      <c r="L2671" s="58"/>
      <c r="M2671" s="59"/>
      <c r="N2671" s="58"/>
      <c r="O2671" s="59"/>
      <c r="P2671" s="58"/>
      <c r="Q2671" s="59"/>
      <c r="R2671" s="58"/>
    </row>
    <row r="2672">
      <c r="A2672" s="56"/>
      <c r="B2672" s="19"/>
      <c r="C2672" s="19"/>
      <c r="E2672" s="59"/>
      <c r="F2672" s="58"/>
      <c r="G2672" s="59"/>
      <c r="H2672" s="58"/>
      <c r="I2672" s="58"/>
      <c r="J2672" s="58"/>
      <c r="K2672" s="58"/>
      <c r="L2672" s="58"/>
      <c r="M2672" s="59"/>
      <c r="N2672" s="58"/>
      <c r="O2672" s="59"/>
      <c r="P2672" s="58"/>
      <c r="Q2672" s="59"/>
      <c r="R2672" s="58"/>
    </row>
    <row r="2673">
      <c r="A2673" s="56"/>
      <c r="B2673" s="19"/>
      <c r="C2673" s="19"/>
      <c r="E2673" s="59"/>
      <c r="F2673" s="58"/>
      <c r="G2673" s="59"/>
      <c r="H2673" s="58"/>
      <c r="I2673" s="58"/>
      <c r="J2673" s="58"/>
      <c r="K2673" s="58"/>
      <c r="L2673" s="58"/>
      <c r="M2673" s="59"/>
      <c r="N2673" s="58"/>
      <c r="O2673" s="59"/>
      <c r="P2673" s="58"/>
      <c r="Q2673" s="59"/>
      <c r="R2673" s="58"/>
    </row>
    <row r="2674">
      <c r="A2674" s="56"/>
      <c r="B2674" s="19"/>
      <c r="C2674" s="19"/>
      <c r="E2674" s="59"/>
      <c r="F2674" s="58"/>
      <c r="G2674" s="59"/>
      <c r="H2674" s="58"/>
      <c r="I2674" s="58"/>
      <c r="J2674" s="58"/>
      <c r="K2674" s="58"/>
      <c r="L2674" s="58"/>
      <c r="M2674" s="59"/>
      <c r="N2674" s="58"/>
      <c r="O2674" s="59"/>
      <c r="P2674" s="58"/>
      <c r="Q2674" s="59"/>
      <c r="R2674" s="58"/>
    </row>
    <row r="2675">
      <c r="A2675" s="56"/>
      <c r="B2675" s="19"/>
      <c r="C2675" s="19"/>
      <c r="E2675" s="59"/>
      <c r="F2675" s="58"/>
      <c r="G2675" s="59"/>
      <c r="H2675" s="58"/>
      <c r="I2675" s="58"/>
      <c r="J2675" s="58"/>
      <c r="K2675" s="58"/>
      <c r="L2675" s="58"/>
      <c r="M2675" s="59"/>
      <c r="N2675" s="58"/>
      <c r="O2675" s="59"/>
      <c r="P2675" s="58"/>
      <c r="Q2675" s="59"/>
      <c r="R2675" s="58"/>
    </row>
    <row r="2676">
      <c r="A2676" s="56"/>
      <c r="B2676" s="19"/>
      <c r="C2676" s="19"/>
      <c r="E2676" s="59"/>
      <c r="F2676" s="58"/>
      <c r="G2676" s="59"/>
      <c r="H2676" s="58"/>
      <c r="I2676" s="58"/>
      <c r="J2676" s="58"/>
      <c r="K2676" s="58"/>
      <c r="L2676" s="58"/>
      <c r="M2676" s="59"/>
      <c r="N2676" s="58"/>
      <c r="O2676" s="59"/>
      <c r="P2676" s="58"/>
      <c r="Q2676" s="59"/>
      <c r="R2676" s="58"/>
    </row>
    <row r="2677">
      <c r="A2677" s="56"/>
      <c r="B2677" s="19"/>
      <c r="C2677" s="19"/>
      <c r="E2677" s="59"/>
      <c r="F2677" s="58"/>
      <c r="G2677" s="59"/>
      <c r="H2677" s="58"/>
      <c r="I2677" s="58"/>
      <c r="J2677" s="58"/>
      <c r="K2677" s="58"/>
      <c r="L2677" s="58"/>
      <c r="M2677" s="59"/>
      <c r="N2677" s="58"/>
      <c r="O2677" s="59"/>
      <c r="P2677" s="58"/>
      <c r="Q2677" s="59"/>
      <c r="R2677" s="58"/>
    </row>
    <row r="2678">
      <c r="A2678" s="56"/>
      <c r="B2678" s="19"/>
      <c r="C2678" s="19"/>
      <c r="E2678" s="59"/>
      <c r="F2678" s="58"/>
      <c r="G2678" s="59"/>
      <c r="H2678" s="58"/>
      <c r="I2678" s="58"/>
      <c r="J2678" s="58"/>
      <c r="K2678" s="58"/>
      <c r="L2678" s="58"/>
      <c r="M2678" s="59"/>
      <c r="N2678" s="58"/>
      <c r="O2678" s="59"/>
      <c r="P2678" s="58"/>
      <c r="Q2678" s="59"/>
      <c r="R2678" s="58"/>
    </row>
    <row r="2679">
      <c r="A2679" s="56"/>
      <c r="B2679" s="19"/>
      <c r="C2679" s="19"/>
      <c r="E2679" s="59"/>
      <c r="F2679" s="58"/>
      <c r="G2679" s="59"/>
      <c r="H2679" s="58"/>
      <c r="I2679" s="58"/>
      <c r="J2679" s="58"/>
      <c r="K2679" s="58"/>
      <c r="L2679" s="58"/>
      <c r="M2679" s="59"/>
      <c r="N2679" s="58"/>
      <c r="O2679" s="59"/>
      <c r="P2679" s="58"/>
      <c r="Q2679" s="59"/>
      <c r="R2679" s="58"/>
    </row>
    <row r="2680">
      <c r="A2680" s="56"/>
      <c r="B2680" s="19"/>
      <c r="C2680" s="19"/>
      <c r="E2680" s="59"/>
      <c r="F2680" s="58"/>
      <c r="G2680" s="59"/>
      <c r="H2680" s="58"/>
      <c r="I2680" s="58"/>
      <c r="J2680" s="58"/>
      <c r="K2680" s="58"/>
      <c r="L2680" s="58"/>
      <c r="M2680" s="59"/>
      <c r="N2680" s="58"/>
      <c r="O2680" s="59"/>
      <c r="P2680" s="58"/>
      <c r="Q2680" s="59"/>
      <c r="R2680" s="58"/>
    </row>
    <row r="2681">
      <c r="A2681" s="56"/>
      <c r="B2681" s="19"/>
      <c r="C2681" s="19"/>
      <c r="E2681" s="59"/>
      <c r="F2681" s="58"/>
      <c r="G2681" s="59"/>
      <c r="H2681" s="58"/>
      <c r="I2681" s="58"/>
      <c r="J2681" s="58"/>
      <c r="K2681" s="58"/>
      <c r="L2681" s="58"/>
      <c r="M2681" s="59"/>
      <c r="N2681" s="58"/>
      <c r="O2681" s="59"/>
      <c r="P2681" s="58"/>
      <c r="Q2681" s="59"/>
      <c r="R2681" s="58"/>
    </row>
    <row r="2682">
      <c r="A2682" s="56"/>
      <c r="B2682" s="19"/>
      <c r="C2682" s="19"/>
      <c r="E2682" s="59"/>
      <c r="F2682" s="58"/>
      <c r="G2682" s="59"/>
      <c r="H2682" s="58"/>
      <c r="I2682" s="58"/>
      <c r="J2682" s="58"/>
      <c r="K2682" s="58"/>
      <c r="L2682" s="58"/>
      <c r="M2682" s="59"/>
      <c r="N2682" s="58"/>
      <c r="O2682" s="59"/>
      <c r="P2682" s="58"/>
      <c r="Q2682" s="59"/>
      <c r="R2682" s="58"/>
    </row>
    <row r="2683">
      <c r="A2683" s="56"/>
      <c r="B2683" s="19"/>
      <c r="C2683" s="19"/>
      <c r="E2683" s="59"/>
      <c r="F2683" s="58"/>
      <c r="G2683" s="59"/>
      <c r="H2683" s="58"/>
      <c r="I2683" s="58"/>
      <c r="J2683" s="58"/>
      <c r="K2683" s="58"/>
      <c r="L2683" s="58"/>
      <c r="M2683" s="59"/>
      <c r="N2683" s="58"/>
      <c r="O2683" s="59"/>
      <c r="P2683" s="58"/>
      <c r="Q2683" s="59"/>
      <c r="R2683" s="58"/>
    </row>
    <row r="2684">
      <c r="A2684" s="56"/>
      <c r="B2684" s="19"/>
      <c r="C2684" s="19"/>
      <c r="E2684" s="59"/>
      <c r="F2684" s="58"/>
      <c r="G2684" s="59"/>
      <c r="H2684" s="58"/>
      <c r="I2684" s="58"/>
      <c r="J2684" s="58"/>
      <c r="K2684" s="58"/>
      <c r="L2684" s="58"/>
      <c r="M2684" s="59"/>
      <c r="N2684" s="58"/>
      <c r="O2684" s="59"/>
      <c r="P2684" s="58"/>
      <c r="Q2684" s="59"/>
      <c r="R2684" s="58"/>
    </row>
    <row r="2685">
      <c r="A2685" s="56"/>
      <c r="B2685" s="19"/>
      <c r="C2685" s="19"/>
      <c r="E2685" s="59"/>
      <c r="F2685" s="58"/>
      <c r="G2685" s="59"/>
      <c r="H2685" s="58"/>
      <c r="I2685" s="58"/>
      <c r="J2685" s="58"/>
      <c r="K2685" s="58"/>
      <c r="L2685" s="58"/>
      <c r="M2685" s="59"/>
      <c r="N2685" s="58"/>
      <c r="O2685" s="59"/>
      <c r="P2685" s="58"/>
      <c r="Q2685" s="59"/>
      <c r="R2685" s="58"/>
    </row>
    <row r="2686">
      <c r="A2686" s="56"/>
      <c r="B2686" s="19"/>
      <c r="C2686" s="19"/>
      <c r="E2686" s="59"/>
      <c r="F2686" s="58"/>
      <c r="G2686" s="59"/>
      <c r="H2686" s="58"/>
      <c r="I2686" s="58"/>
      <c r="J2686" s="58"/>
      <c r="K2686" s="58"/>
      <c r="L2686" s="58"/>
      <c r="M2686" s="59"/>
      <c r="N2686" s="58"/>
      <c r="O2686" s="59"/>
      <c r="P2686" s="58"/>
      <c r="Q2686" s="59"/>
      <c r="R2686" s="58"/>
    </row>
    <row r="2687">
      <c r="A2687" s="56"/>
      <c r="B2687" s="19"/>
      <c r="C2687" s="19"/>
      <c r="E2687" s="59"/>
      <c r="F2687" s="58"/>
      <c r="G2687" s="59"/>
      <c r="H2687" s="58"/>
      <c r="I2687" s="58"/>
      <c r="J2687" s="58"/>
      <c r="K2687" s="58"/>
      <c r="L2687" s="58"/>
      <c r="M2687" s="59"/>
      <c r="N2687" s="58"/>
      <c r="O2687" s="59"/>
      <c r="P2687" s="58"/>
      <c r="Q2687" s="59"/>
      <c r="R2687" s="58"/>
    </row>
    <row r="2688">
      <c r="A2688" s="56"/>
      <c r="B2688" s="19"/>
      <c r="C2688" s="19"/>
      <c r="E2688" s="59"/>
      <c r="F2688" s="58"/>
      <c r="G2688" s="59"/>
      <c r="H2688" s="58"/>
      <c r="I2688" s="58"/>
      <c r="J2688" s="58"/>
      <c r="K2688" s="58"/>
      <c r="L2688" s="58"/>
      <c r="M2688" s="59"/>
      <c r="N2688" s="58"/>
      <c r="O2688" s="59"/>
      <c r="P2688" s="58"/>
      <c r="Q2688" s="59"/>
      <c r="R2688" s="58"/>
    </row>
    <row r="2689">
      <c r="A2689" s="56"/>
      <c r="B2689" s="19"/>
      <c r="C2689" s="19"/>
      <c r="E2689" s="59"/>
      <c r="F2689" s="58"/>
      <c r="G2689" s="59"/>
      <c r="H2689" s="58"/>
      <c r="I2689" s="58"/>
      <c r="J2689" s="58"/>
      <c r="K2689" s="58"/>
      <c r="L2689" s="58"/>
      <c r="M2689" s="59"/>
      <c r="N2689" s="58"/>
      <c r="O2689" s="59"/>
      <c r="P2689" s="58"/>
      <c r="Q2689" s="59"/>
      <c r="R2689" s="58"/>
    </row>
    <row r="2690">
      <c r="A2690" s="56"/>
      <c r="B2690" s="19"/>
      <c r="C2690" s="19"/>
      <c r="E2690" s="59"/>
      <c r="F2690" s="58"/>
      <c r="G2690" s="59"/>
      <c r="H2690" s="58"/>
      <c r="I2690" s="58"/>
      <c r="J2690" s="58"/>
      <c r="K2690" s="58"/>
      <c r="L2690" s="58"/>
      <c r="M2690" s="59"/>
      <c r="N2690" s="58"/>
      <c r="O2690" s="59"/>
      <c r="P2690" s="58"/>
      <c r="Q2690" s="59"/>
      <c r="R2690" s="58"/>
    </row>
    <row r="2691">
      <c r="A2691" s="56"/>
      <c r="B2691" s="19"/>
      <c r="C2691" s="19"/>
      <c r="E2691" s="59"/>
      <c r="F2691" s="58"/>
      <c r="G2691" s="59"/>
      <c r="H2691" s="58"/>
      <c r="I2691" s="58"/>
      <c r="J2691" s="58"/>
      <c r="K2691" s="58"/>
      <c r="L2691" s="58"/>
      <c r="M2691" s="59"/>
      <c r="N2691" s="58"/>
      <c r="O2691" s="59"/>
      <c r="P2691" s="58"/>
      <c r="Q2691" s="59"/>
      <c r="R2691" s="58"/>
    </row>
    <row r="2692">
      <c r="A2692" s="56"/>
      <c r="B2692" s="19"/>
      <c r="C2692" s="19"/>
      <c r="E2692" s="59"/>
      <c r="F2692" s="58"/>
      <c r="G2692" s="59"/>
      <c r="H2692" s="58"/>
      <c r="I2692" s="58"/>
      <c r="J2692" s="58"/>
      <c r="K2692" s="58"/>
      <c r="L2692" s="58"/>
      <c r="M2692" s="59"/>
      <c r="N2692" s="58"/>
      <c r="O2692" s="59"/>
      <c r="P2692" s="58"/>
      <c r="Q2692" s="59"/>
      <c r="R2692" s="58"/>
    </row>
    <row r="2693">
      <c r="A2693" s="56"/>
      <c r="B2693" s="19"/>
      <c r="C2693" s="19"/>
      <c r="E2693" s="59"/>
      <c r="F2693" s="58"/>
      <c r="G2693" s="59"/>
      <c r="H2693" s="58"/>
      <c r="I2693" s="58"/>
      <c r="J2693" s="58"/>
      <c r="K2693" s="58"/>
      <c r="L2693" s="58"/>
      <c r="M2693" s="59"/>
      <c r="N2693" s="58"/>
      <c r="O2693" s="59"/>
      <c r="P2693" s="58"/>
      <c r="Q2693" s="59"/>
      <c r="R2693" s="58"/>
    </row>
    <row r="2694">
      <c r="A2694" s="56"/>
      <c r="B2694" s="19"/>
      <c r="C2694" s="19"/>
      <c r="E2694" s="59"/>
      <c r="F2694" s="58"/>
      <c r="G2694" s="59"/>
      <c r="H2694" s="58"/>
      <c r="I2694" s="58"/>
      <c r="J2694" s="58"/>
      <c r="K2694" s="58"/>
      <c r="L2694" s="58"/>
      <c r="M2694" s="59"/>
      <c r="N2694" s="58"/>
      <c r="O2694" s="59"/>
      <c r="P2694" s="58"/>
      <c r="Q2694" s="59"/>
      <c r="R2694" s="58"/>
    </row>
    <row r="2695">
      <c r="A2695" s="56"/>
      <c r="B2695" s="19"/>
      <c r="C2695" s="19"/>
      <c r="E2695" s="59"/>
      <c r="F2695" s="58"/>
      <c r="G2695" s="59"/>
      <c r="H2695" s="58"/>
      <c r="I2695" s="58"/>
      <c r="J2695" s="58"/>
      <c r="K2695" s="58"/>
      <c r="L2695" s="58"/>
      <c r="M2695" s="59"/>
      <c r="N2695" s="58"/>
      <c r="O2695" s="59"/>
      <c r="P2695" s="58"/>
      <c r="Q2695" s="59"/>
      <c r="R2695" s="58"/>
    </row>
    <row r="2696">
      <c r="A2696" s="56"/>
      <c r="B2696" s="19"/>
      <c r="C2696" s="19"/>
      <c r="E2696" s="59"/>
      <c r="F2696" s="58"/>
      <c r="G2696" s="59"/>
      <c r="H2696" s="58"/>
      <c r="I2696" s="58"/>
      <c r="J2696" s="58"/>
      <c r="K2696" s="58"/>
      <c r="L2696" s="58"/>
      <c r="M2696" s="59"/>
      <c r="N2696" s="58"/>
      <c r="O2696" s="59"/>
      <c r="P2696" s="58"/>
      <c r="Q2696" s="59"/>
      <c r="R2696" s="58"/>
    </row>
    <row r="2697">
      <c r="A2697" s="56"/>
      <c r="B2697" s="19"/>
      <c r="C2697" s="19"/>
      <c r="E2697" s="59"/>
      <c r="F2697" s="58"/>
      <c r="G2697" s="59"/>
      <c r="H2697" s="58"/>
      <c r="I2697" s="58"/>
      <c r="J2697" s="58"/>
      <c r="K2697" s="58"/>
      <c r="L2697" s="58"/>
      <c r="M2697" s="59"/>
      <c r="N2697" s="58"/>
      <c r="O2697" s="59"/>
      <c r="P2697" s="58"/>
      <c r="Q2697" s="59"/>
      <c r="R2697" s="58"/>
    </row>
    <row r="2698">
      <c r="A2698" s="56"/>
      <c r="B2698" s="19"/>
      <c r="C2698" s="19"/>
      <c r="E2698" s="59"/>
      <c r="F2698" s="58"/>
      <c r="G2698" s="59"/>
      <c r="H2698" s="58"/>
      <c r="I2698" s="58"/>
      <c r="J2698" s="58"/>
      <c r="K2698" s="58"/>
      <c r="L2698" s="58"/>
      <c r="M2698" s="59"/>
      <c r="N2698" s="58"/>
      <c r="O2698" s="59"/>
      <c r="P2698" s="58"/>
      <c r="Q2698" s="59"/>
      <c r="R2698" s="58"/>
    </row>
    <row r="2699">
      <c r="A2699" s="56"/>
      <c r="B2699" s="19"/>
      <c r="C2699" s="19"/>
      <c r="E2699" s="59"/>
      <c r="F2699" s="58"/>
      <c r="G2699" s="59"/>
      <c r="H2699" s="58"/>
      <c r="I2699" s="58"/>
      <c r="J2699" s="58"/>
      <c r="K2699" s="58"/>
      <c r="L2699" s="58"/>
      <c r="M2699" s="59"/>
      <c r="N2699" s="58"/>
      <c r="O2699" s="59"/>
      <c r="P2699" s="58"/>
      <c r="Q2699" s="59"/>
      <c r="R2699" s="58"/>
    </row>
    <row r="2700">
      <c r="A2700" s="56"/>
      <c r="B2700" s="19"/>
      <c r="C2700" s="19"/>
      <c r="E2700" s="59"/>
      <c r="F2700" s="58"/>
      <c r="G2700" s="59"/>
      <c r="H2700" s="58"/>
      <c r="I2700" s="58"/>
      <c r="J2700" s="58"/>
      <c r="K2700" s="58"/>
      <c r="L2700" s="58"/>
      <c r="M2700" s="59"/>
      <c r="N2700" s="58"/>
      <c r="O2700" s="59"/>
      <c r="P2700" s="58"/>
      <c r="Q2700" s="59"/>
      <c r="R2700" s="58"/>
    </row>
    <row r="2701">
      <c r="A2701" s="56"/>
      <c r="B2701" s="19"/>
      <c r="C2701" s="19"/>
      <c r="E2701" s="59"/>
      <c r="F2701" s="58"/>
      <c r="G2701" s="59"/>
      <c r="H2701" s="58"/>
      <c r="I2701" s="58"/>
      <c r="J2701" s="58"/>
      <c r="K2701" s="58"/>
      <c r="L2701" s="58"/>
      <c r="M2701" s="59"/>
      <c r="N2701" s="58"/>
      <c r="O2701" s="59"/>
      <c r="P2701" s="58"/>
      <c r="Q2701" s="59"/>
      <c r="R2701" s="58"/>
    </row>
    <row r="2702">
      <c r="A2702" s="56"/>
      <c r="B2702" s="19"/>
      <c r="C2702" s="19"/>
      <c r="E2702" s="59"/>
      <c r="F2702" s="58"/>
      <c r="G2702" s="59"/>
      <c r="H2702" s="58"/>
      <c r="I2702" s="58"/>
      <c r="J2702" s="58"/>
      <c r="K2702" s="58"/>
      <c r="L2702" s="58"/>
      <c r="M2702" s="59"/>
      <c r="N2702" s="58"/>
      <c r="O2702" s="59"/>
      <c r="P2702" s="58"/>
      <c r="Q2702" s="59"/>
      <c r="R2702" s="58"/>
    </row>
    <row r="2703">
      <c r="A2703" s="56"/>
      <c r="B2703" s="19"/>
      <c r="C2703" s="19"/>
      <c r="E2703" s="59"/>
      <c r="F2703" s="58"/>
      <c r="G2703" s="59"/>
      <c r="H2703" s="58"/>
      <c r="I2703" s="58"/>
      <c r="J2703" s="58"/>
      <c r="K2703" s="58"/>
      <c r="L2703" s="58"/>
      <c r="M2703" s="59"/>
      <c r="N2703" s="58"/>
      <c r="O2703" s="59"/>
      <c r="P2703" s="58"/>
      <c r="Q2703" s="59"/>
      <c r="R2703" s="58"/>
    </row>
    <row r="2704">
      <c r="A2704" s="56"/>
      <c r="B2704" s="19"/>
      <c r="C2704" s="19"/>
      <c r="E2704" s="59"/>
      <c r="F2704" s="58"/>
      <c r="G2704" s="59"/>
      <c r="H2704" s="58"/>
      <c r="I2704" s="58"/>
      <c r="J2704" s="58"/>
      <c r="K2704" s="58"/>
      <c r="L2704" s="58"/>
      <c r="M2704" s="59"/>
      <c r="N2704" s="58"/>
      <c r="O2704" s="59"/>
      <c r="P2704" s="58"/>
      <c r="Q2704" s="59"/>
      <c r="R2704" s="58"/>
    </row>
    <row r="2705">
      <c r="A2705" s="56"/>
      <c r="B2705" s="19"/>
      <c r="C2705" s="19"/>
      <c r="E2705" s="59"/>
      <c r="F2705" s="58"/>
      <c r="G2705" s="59"/>
      <c r="H2705" s="58"/>
      <c r="I2705" s="58"/>
      <c r="J2705" s="58"/>
      <c r="K2705" s="58"/>
      <c r="L2705" s="58"/>
      <c r="M2705" s="59"/>
      <c r="N2705" s="58"/>
      <c r="O2705" s="59"/>
      <c r="P2705" s="58"/>
      <c r="Q2705" s="59"/>
      <c r="R2705" s="58"/>
    </row>
    <row r="2706">
      <c r="A2706" s="56"/>
      <c r="B2706" s="19"/>
      <c r="C2706" s="19"/>
      <c r="E2706" s="59"/>
      <c r="F2706" s="58"/>
      <c r="G2706" s="59"/>
      <c r="H2706" s="58"/>
      <c r="I2706" s="58"/>
      <c r="J2706" s="58"/>
      <c r="K2706" s="58"/>
      <c r="L2706" s="58"/>
      <c r="M2706" s="59"/>
      <c r="N2706" s="58"/>
      <c r="O2706" s="59"/>
      <c r="P2706" s="58"/>
      <c r="Q2706" s="59"/>
      <c r="R2706" s="58"/>
    </row>
    <row r="2707">
      <c r="A2707" s="56"/>
      <c r="B2707" s="19"/>
      <c r="C2707" s="19"/>
      <c r="E2707" s="59"/>
      <c r="F2707" s="58"/>
      <c r="G2707" s="59"/>
      <c r="H2707" s="58"/>
      <c r="I2707" s="58"/>
      <c r="J2707" s="58"/>
      <c r="K2707" s="58"/>
      <c r="L2707" s="58"/>
      <c r="M2707" s="59"/>
      <c r="N2707" s="58"/>
      <c r="O2707" s="59"/>
      <c r="P2707" s="58"/>
      <c r="Q2707" s="59"/>
      <c r="R2707" s="58"/>
    </row>
    <row r="2708">
      <c r="A2708" s="56"/>
      <c r="B2708" s="19"/>
      <c r="C2708" s="19"/>
      <c r="E2708" s="59"/>
      <c r="F2708" s="58"/>
      <c r="G2708" s="59"/>
      <c r="H2708" s="58"/>
      <c r="I2708" s="58"/>
      <c r="J2708" s="58"/>
      <c r="K2708" s="58"/>
      <c r="L2708" s="58"/>
      <c r="M2708" s="59"/>
      <c r="N2708" s="58"/>
      <c r="O2708" s="59"/>
      <c r="P2708" s="58"/>
      <c r="Q2708" s="59"/>
      <c r="R2708" s="58"/>
    </row>
    <row r="2709">
      <c r="A2709" s="56"/>
      <c r="B2709" s="19"/>
      <c r="C2709" s="19"/>
      <c r="E2709" s="59"/>
      <c r="F2709" s="58"/>
      <c r="G2709" s="59"/>
      <c r="H2709" s="58"/>
      <c r="I2709" s="58"/>
      <c r="J2709" s="58"/>
      <c r="K2709" s="58"/>
      <c r="L2709" s="58"/>
      <c r="M2709" s="59"/>
      <c r="N2709" s="58"/>
      <c r="O2709" s="59"/>
      <c r="P2709" s="58"/>
      <c r="Q2709" s="59"/>
      <c r="R2709" s="58"/>
    </row>
    <row r="2710">
      <c r="A2710" s="56"/>
      <c r="B2710" s="19"/>
      <c r="C2710" s="19"/>
      <c r="E2710" s="59"/>
      <c r="F2710" s="58"/>
      <c r="G2710" s="59"/>
      <c r="H2710" s="58"/>
      <c r="I2710" s="58"/>
      <c r="J2710" s="58"/>
      <c r="K2710" s="58"/>
      <c r="L2710" s="58"/>
      <c r="M2710" s="59"/>
      <c r="N2710" s="58"/>
      <c r="O2710" s="59"/>
      <c r="P2710" s="58"/>
      <c r="Q2710" s="59"/>
      <c r="R2710" s="58"/>
    </row>
    <row r="2711">
      <c r="A2711" s="56"/>
      <c r="B2711" s="19"/>
      <c r="C2711" s="19"/>
      <c r="E2711" s="59"/>
      <c r="F2711" s="58"/>
      <c r="G2711" s="59"/>
      <c r="H2711" s="58"/>
      <c r="I2711" s="58"/>
      <c r="J2711" s="58"/>
      <c r="K2711" s="58"/>
      <c r="L2711" s="58"/>
      <c r="M2711" s="59"/>
      <c r="N2711" s="58"/>
      <c r="O2711" s="59"/>
      <c r="P2711" s="58"/>
      <c r="Q2711" s="59"/>
      <c r="R2711" s="58"/>
    </row>
    <row r="2712">
      <c r="A2712" s="56"/>
      <c r="B2712" s="19"/>
      <c r="C2712" s="19"/>
      <c r="E2712" s="59"/>
      <c r="F2712" s="58"/>
      <c r="G2712" s="59"/>
      <c r="H2712" s="58"/>
      <c r="I2712" s="58"/>
      <c r="J2712" s="58"/>
      <c r="K2712" s="58"/>
      <c r="L2712" s="58"/>
      <c r="M2712" s="59"/>
      <c r="N2712" s="58"/>
      <c r="O2712" s="59"/>
      <c r="P2712" s="58"/>
      <c r="Q2712" s="59"/>
      <c r="R2712" s="58"/>
    </row>
    <row r="2713">
      <c r="A2713" s="56"/>
      <c r="B2713" s="19"/>
      <c r="C2713" s="19"/>
      <c r="E2713" s="59"/>
      <c r="F2713" s="58"/>
      <c r="G2713" s="59"/>
      <c r="H2713" s="58"/>
      <c r="I2713" s="58"/>
      <c r="J2713" s="58"/>
      <c r="K2713" s="58"/>
      <c r="L2713" s="58"/>
      <c r="M2713" s="59"/>
      <c r="N2713" s="58"/>
      <c r="O2713" s="59"/>
      <c r="P2713" s="58"/>
      <c r="Q2713" s="59"/>
      <c r="R2713" s="58"/>
    </row>
    <row r="2714">
      <c r="A2714" s="56"/>
      <c r="B2714" s="19"/>
      <c r="C2714" s="19"/>
      <c r="E2714" s="59"/>
      <c r="F2714" s="58"/>
      <c r="G2714" s="59"/>
      <c r="H2714" s="58"/>
      <c r="I2714" s="58"/>
      <c r="J2714" s="58"/>
      <c r="K2714" s="58"/>
      <c r="L2714" s="58"/>
      <c r="M2714" s="59"/>
      <c r="N2714" s="58"/>
      <c r="O2714" s="59"/>
      <c r="P2714" s="58"/>
      <c r="Q2714" s="59"/>
      <c r="R2714" s="58"/>
    </row>
    <row r="2715">
      <c r="A2715" s="56"/>
      <c r="B2715" s="19"/>
      <c r="C2715" s="19"/>
      <c r="E2715" s="59"/>
      <c r="F2715" s="58"/>
      <c r="G2715" s="59"/>
      <c r="H2715" s="58"/>
      <c r="I2715" s="58"/>
      <c r="J2715" s="58"/>
      <c r="K2715" s="58"/>
      <c r="L2715" s="58"/>
      <c r="M2715" s="59"/>
      <c r="N2715" s="58"/>
      <c r="O2715" s="59"/>
      <c r="P2715" s="58"/>
      <c r="Q2715" s="59"/>
      <c r="R2715" s="58"/>
    </row>
    <row r="2716">
      <c r="A2716" s="56"/>
      <c r="B2716" s="19"/>
      <c r="C2716" s="19"/>
      <c r="E2716" s="59"/>
      <c r="F2716" s="58"/>
      <c r="G2716" s="59"/>
      <c r="H2716" s="58"/>
      <c r="I2716" s="58"/>
      <c r="J2716" s="58"/>
      <c r="K2716" s="58"/>
      <c r="L2716" s="58"/>
      <c r="M2716" s="59"/>
      <c r="N2716" s="58"/>
      <c r="O2716" s="59"/>
      <c r="P2716" s="58"/>
      <c r="Q2716" s="59"/>
      <c r="R2716" s="58"/>
    </row>
    <row r="2717">
      <c r="A2717" s="56"/>
      <c r="B2717" s="19"/>
      <c r="C2717" s="19"/>
      <c r="E2717" s="59"/>
      <c r="F2717" s="58"/>
      <c r="G2717" s="59"/>
      <c r="H2717" s="58"/>
      <c r="I2717" s="58"/>
      <c r="J2717" s="58"/>
      <c r="K2717" s="58"/>
      <c r="L2717" s="58"/>
      <c r="M2717" s="59"/>
      <c r="N2717" s="58"/>
      <c r="O2717" s="59"/>
      <c r="P2717" s="58"/>
      <c r="Q2717" s="59"/>
      <c r="R2717" s="58"/>
    </row>
    <row r="2718">
      <c r="A2718" s="56"/>
      <c r="B2718" s="19"/>
      <c r="C2718" s="19"/>
      <c r="E2718" s="59"/>
      <c r="F2718" s="58"/>
      <c r="G2718" s="59"/>
      <c r="H2718" s="58"/>
      <c r="I2718" s="58"/>
      <c r="J2718" s="58"/>
      <c r="K2718" s="58"/>
      <c r="L2718" s="58"/>
      <c r="M2718" s="59"/>
      <c r="N2718" s="58"/>
      <c r="O2718" s="59"/>
      <c r="P2718" s="58"/>
      <c r="Q2718" s="59"/>
      <c r="R2718" s="58"/>
    </row>
    <row r="2719">
      <c r="A2719" s="56"/>
      <c r="B2719" s="19"/>
      <c r="C2719" s="19"/>
      <c r="E2719" s="59"/>
      <c r="F2719" s="58"/>
      <c r="G2719" s="59"/>
      <c r="H2719" s="58"/>
      <c r="I2719" s="58"/>
      <c r="J2719" s="58"/>
      <c r="K2719" s="58"/>
      <c r="L2719" s="58"/>
      <c r="M2719" s="59"/>
      <c r="N2719" s="58"/>
      <c r="O2719" s="59"/>
      <c r="P2719" s="58"/>
      <c r="Q2719" s="59"/>
      <c r="R2719" s="58"/>
    </row>
    <row r="2720">
      <c r="A2720" s="56"/>
      <c r="B2720" s="19"/>
      <c r="C2720" s="19"/>
      <c r="E2720" s="59"/>
      <c r="F2720" s="58"/>
      <c r="G2720" s="59"/>
      <c r="H2720" s="58"/>
      <c r="I2720" s="58"/>
      <c r="J2720" s="58"/>
      <c r="K2720" s="58"/>
      <c r="L2720" s="58"/>
      <c r="M2720" s="59"/>
      <c r="N2720" s="58"/>
      <c r="O2720" s="59"/>
      <c r="P2720" s="58"/>
      <c r="Q2720" s="59"/>
      <c r="R2720" s="58"/>
    </row>
    <row r="2721">
      <c r="A2721" s="56"/>
      <c r="B2721" s="19"/>
      <c r="C2721" s="19"/>
      <c r="E2721" s="59"/>
      <c r="F2721" s="58"/>
      <c r="G2721" s="59"/>
      <c r="H2721" s="58"/>
      <c r="I2721" s="58"/>
      <c r="J2721" s="58"/>
      <c r="K2721" s="58"/>
      <c r="L2721" s="58"/>
      <c r="M2721" s="59"/>
      <c r="N2721" s="58"/>
      <c r="O2721" s="59"/>
      <c r="P2721" s="58"/>
      <c r="Q2721" s="59"/>
      <c r="R2721" s="58"/>
    </row>
    <row r="2722">
      <c r="A2722" s="56"/>
      <c r="B2722" s="19"/>
      <c r="C2722" s="19"/>
      <c r="E2722" s="59"/>
      <c r="F2722" s="58"/>
      <c r="G2722" s="59"/>
      <c r="H2722" s="58"/>
      <c r="I2722" s="58"/>
      <c r="J2722" s="58"/>
      <c r="K2722" s="58"/>
      <c r="L2722" s="58"/>
      <c r="M2722" s="59"/>
      <c r="N2722" s="58"/>
      <c r="O2722" s="59"/>
      <c r="P2722" s="58"/>
      <c r="Q2722" s="59"/>
      <c r="R2722" s="58"/>
    </row>
    <row r="2723">
      <c r="A2723" s="56"/>
      <c r="B2723" s="19"/>
      <c r="C2723" s="19"/>
      <c r="E2723" s="59"/>
      <c r="F2723" s="58"/>
      <c r="G2723" s="59"/>
      <c r="H2723" s="58"/>
      <c r="I2723" s="58"/>
      <c r="J2723" s="58"/>
      <c r="K2723" s="58"/>
      <c r="L2723" s="58"/>
      <c r="M2723" s="59"/>
      <c r="N2723" s="58"/>
      <c r="O2723" s="59"/>
      <c r="P2723" s="58"/>
      <c r="Q2723" s="59"/>
      <c r="R2723" s="58"/>
    </row>
    <row r="2724">
      <c r="A2724" s="56"/>
      <c r="B2724" s="19"/>
      <c r="C2724" s="19"/>
      <c r="E2724" s="59"/>
      <c r="F2724" s="58"/>
      <c r="G2724" s="59"/>
      <c r="H2724" s="58"/>
      <c r="I2724" s="58"/>
      <c r="J2724" s="58"/>
      <c r="K2724" s="58"/>
      <c r="L2724" s="58"/>
      <c r="M2724" s="59"/>
      <c r="N2724" s="58"/>
      <c r="O2724" s="59"/>
      <c r="P2724" s="58"/>
      <c r="Q2724" s="59"/>
      <c r="R2724" s="58"/>
    </row>
    <row r="2725">
      <c r="A2725" s="56"/>
      <c r="B2725" s="19"/>
      <c r="C2725" s="19"/>
      <c r="E2725" s="59"/>
      <c r="F2725" s="58"/>
      <c r="G2725" s="59"/>
      <c r="H2725" s="58"/>
      <c r="I2725" s="58"/>
      <c r="J2725" s="58"/>
      <c r="K2725" s="58"/>
      <c r="L2725" s="58"/>
      <c r="M2725" s="59"/>
      <c r="N2725" s="58"/>
      <c r="O2725" s="59"/>
      <c r="P2725" s="58"/>
      <c r="Q2725" s="59"/>
      <c r="R2725" s="58"/>
    </row>
    <row r="2726">
      <c r="A2726" s="56"/>
      <c r="B2726" s="19"/>
      <c r="C2726" s="19"/>
      <c r="E2726" s="59"/>
      <c r="F2726" s="58"/>
      <c r="G2726" s="59"/>
      <c r="H2726" s="58"/>
      <c r="I2726" s="58"/>
      <c r="J2726" s="58"/>
      <c r="K2726" s="58"/>
      <c r="L2726" s="58"/>
      <c r="M2726" s="59"/>
      <c r="N2726" s="58"/>
      <c r="O2726" s="59"/>
      <c r="P2726" s="58"/>
      <c r="Q2726" s="59"/>
      <c r="R2726" s="58"/>
    </row>
    <row r="2727">
      <c r="A2727" s="56"/>
      <c r="B2727" s="19"/>
      <c r="C2727" s="19"/>
      <c r="E2727" s="59"/>
      <c r="F2727" s="58"/>
      <c r="G2727" s="59"/>
      <c r="H2727" s="58"/>
      <c r="I2727" s="58"/>
      <c r="J2727" s="58"/>
      <c r="K2727" s="58"/>
      <c r="L2727" s="58"/>
      <c r="M2727" s="59"/>
      <c r="N2727" s="58"/>
      <c r="O2727" s="59"/>
      <c r="P2727" s="58"/>
      <c r="Q2727" s="59"/>
      <c r="R2727" s="58"/>
    </row>
    <row r="2728">
      <c r="A2728" s="56"/>
      <c r="B2728" s="19"/>
      <c r="C2728" s="19"/>
      <c r="E2728" s="59"/>
      <c r="F2728" s="58"/>
      <c r="G2728" s="59"/>
      <c r="H2728" s="58"/>
      <c r="I2728" s="58"/>
      <c r="J2728" s="58"/>
      <c r="K2728" s="58"/>
      <c r="L2728" s="58"/>
      <c r="M2728" s="59"/>
      <c r="N2728" s="58"/>
      <c r="O2728" s="59"/>
      <c r="P2728" s="58"/>
      <c r="Q2728" s="59"/>
      <c r="R2728" s="58"/>
    </row>
    <row r="2729">
      <c r="A2729" s="56"/>
      <c r="B2729" s="19"/>
      <c r="C2729" s="19"/>
      <c r="E2729" s="59"/>
      <c r="F2729" s="58"/>
      <c r="G2729" s="59"/>
      <c r="H2729" s="58"/>
      <c r="I2729" s="58"/>
      <c r="J2729" s="58"/>
      <c r="K2729" s="58"/>
      <c r="L2729" s="58"/>
      <c r="M2729" s="59"/>
      <c r="N2729" s="58"/>
      <c r="O2729" s="59"/>
      <c r="P2729" s="58"/>
      <c r="Q2729" s="59"/>
      <c r="R2729" s="58"/>
    </row>
    <row r="2730">
      <c r="A2730" s="56"/>
      <c r="B2730" s="19"/>
      <c r="C2730" s="19"/>
      <c r="E2730" s="59"/>
      <c r="F2730" s="58"/>
      <c r="G2730" s="59"/>
      <c r="H2730" s="58"/>
      <c r="I2730" s="58"/>
      <c r="J2730" s="58"/>
      <c r="K2730" s="58"/>
      <c r="L2730" s="58"/>
      <c r="M2730" s="59"/>
      <c r="N2730" s="58"/>
      <c r="O2730" s="59"/>
      <c r="P2730" s="58"/>
      <c r="Q2730" s="59"/>
      <c r="R2730" s="58"/>
    </row>
    <row r="2731">
      <c r="A2731" s="56"/>
      <c r="B2731" s="19"/>
      <c r="C2731" s="19"/>
      <c r="E2731" s="59"/>
      <c r="F2731" s="58"/>
      <c r="G2731" s="59"/>
      <c r="H2731" s="58"/>
      <c r="I2731" s="58"/>
      <c r="J2731" s="58"/>
      <c r="K2731" s="58"/>
      <c r="L2731" s="58"/>
      <c r="M2731" s="59"/>
      <c r="N2731" s="58"/>
      <c r="O2731" s="59"/>
      <c r="P2731" s="58"/>
      <c r="Q2731" s="59"/>
      <c r="R2731" s="58"/>
    </row>
    <row r="2732">
      <c r="A2732" s="56"/>
      <c r="B2732" s="19"/>
      <c r="C2732" s="19"/>
      <c r="E2732" s="59"/>
      <c r="F2732" s="58"/>
      <c r="G2732" s="59"/>
      <c r="H2732" s="58"/>
      <c r="I2732" s="58"/>
      <c r="J2732" s="58"/>
      <c r="K2732" s="58"/>
      <c r="L2732" s="58"/>
      <c r="M2732" s="59"/>
      <c r="N2732" s="58"/>
      <c r="O2732" s="59"/>
      <c r="P2732" s="58"/>
      <c r="Q2732" s="59"/>
      <c r="R2732" s="58"/>
    </row>
    <row r="2733">
      <c r="A2733" s="56"/>
      <c r="B2733" s="19"/>
      <c r="C2733" s="19"/>
      <c r="E2733" s="59"/>
      <c r="F2733" s="58"/>
      <c r="G2733" s="59"/>
      <c r="H2733" s="58"/>
      <c r="I2733" s="58"/>
      <c r="J2733" s="58"/>
      <c r="K2733" s="58"/>
      <c r="L2733" s="58"/>
      <c r="M2733" s="59"/>
      <c r="N2733" s="58"/>
      <c r="O2733" s="59"/>
      <c r="P2733" s="58"/>
      <c r="Q2733" s="59"/>
      <c r="R2733" s="58"/>
    </row>
    <row r="2734">
      <c r="A2734" s="56"/>
      <c r="B2734" s="19"/>
      <c r="C2734" s="19"/>
      <c r="E2734" s="59"/>
      <c r="F2734" s="58"/>
      <c r="G2734" s="59"/>
      <c r="H2734" s="58"/>
      <c r="I2734" s="58"/>
      <c r="J2734" s="58"/>
      <c r="K2734" s="58"/>
      <c r="L2734" s="58"/>
      <c r="M2734" s="59"/>
      <c r="N2734" s="58"/>
      <c r="O2734" s="59"/>
      <c r="P2734" s="58"/>
      <c r="Q2734" s="59"/>
      <c r="R2734" s="58"/>
    </row>
    <row r="2735">
      <c r="A2735" s="56"/>
      <c r="B2735" s="19"/>
      <c r="C2735" s="19"/>
      <c r="E2735" s="59"/>
      <c r="F2735" s="58"/>
      <c r="G2735" s="59"/>
      <c r="H2735" s="58"/>
      <c r="I2735" s="58"/>
      <c r="J2735" s="58"/>
      <c r="K2735" s="58"/>
      <c r="L2735" s="58"/>
      <c r="M2735" s="59"/>
      <c r="N2735" s="58"/>
      <c r="O2735" s="59"/>
      <c r="P2735" s="58"/>
      <c r="Q2735" s="59"/>
      <c r="R2735" s="58"/>
    </row>
    <row r="2736">
      <c r="A2736" s="56"/>
      <c r="B2736" s="19"/>
      <c r="C2736" s="19"/>
      <c r="E2736" s="59"/>
      <c r="F2736" s="58"/>
      <c r="G2736" s="59"/>
      <c r="H2736" s="58"/>
      <c r="I2736" s="58"/>
      <c r="J2736" s="58"/>
      <c r="K2736" s="58"/>
      <c r="L2736" s="58"/>
      <c r="M2736" s="59"/>
      <c r="N2736" s="58"/>
      <c r="O2736" s="59"/>
      <c r="P2736" s="58"/>
      <c r="Q2736" s="59"/>
      <c r="R2736" s="58"/>
    </row>
    <row r="2737">
      <c r="A2737" s="56"/>
      <c r="B2737" s="19"/>
      <c r="C2737" s="19"/>
      <c r="E2737" s="59"/>
      <c r="F2737" s="58"/>
      <c r="G2737" s="59"/>
      <c r="H2737" s="58"/>
      <c r="I2737" s="58"/>
      <c r="J2737" s="58"/>
      <c r="K2737" s="58"/>
      <c r="L2737" s="58"/>
      <c r="M2737" s="59"/>
      <c r="N2737" s="58"/>
      <c r="O2737" s="59"/>
      <c r="P2737" s="58"/>
      <c r="Q2737" s="59"/>
      <c r="R2737" s="58"/>
    </row>
    <row r="2738">
      <c r="A2738" s="56"/>
      <c r="B2738" s="19"/>
      <c r="C2738" s="19"/>
      <c r="E2738" s="59"/>
      <c r="F2738" s="58"/>
      <c r="G2738" s="59"/>
      <c r="H2738" s="58"/>
      <c r="I2738" s="58"/>
      <c r="J2738" s="58"/>
      <c r="K2738" s="58"/>
      <c r="L2738" s="58"/>
      <c r="M2738" s="59"/>
      <c r="N2738" s="58"/>
      <c r="O2738" s="59"/>
      <c r="P2738" s="58"/>
      <c r="Q2738" s="59"/>
      <c r="R2738" s="58"/>
    </row>
    <row r="2739">
      <c r="A2739" s="56"/>
      <c r="B2739" s="19"/>
      <c r="C2739" s="19"/>
      <c r="E2739" s="59"/>
      <c r="F2739" s="58"/>
      <c r="G2739" s="59"/>
      <c r="H2739" s="58"/>
      <c r="I2739" s="58"/>
      <c r="J2739" s="58"/>
      <c r="K2739" s="58"/>
      <c r="L2739" s="58"/>
      <c r="M2739" s="59"/>
      <c r="N2739" s="58"/>
      <c r="O2739" s="59"/>
      <c r="P2739" s="58"/>
      <c r="Q2739" s="59"/>
      <c r="R2739" s="58"/>
    </row>
    <row r="2740">
      <c r="A2740" s="56"/>
      <c r="B2740" s="19"/>
      <c r="C2740" s="19"/>
      <c r="E2740" s="59"/>
      <c r="F2740" s="58"/>
      <c r="G2740" s="59"/>
      <c r="H2740" s="58"/>
      <c r="I2740" s="58"/>
      <c r="J2740" s="58"/>
      <c r="K2740" s="58"/>
      <c r="L2740" s="58"/>
      <c r="M2740" s="59"/>
      <c r="N2740" s="58"/>
      <c r="O2740" s="59"/>
      <c r="P2740" s="58"/>
      <c r="Q2740" s="59"/>
      <c r="R2740" s="58"/>
    </row>
    <row r="2741">
      <c r="A2741" s="56"/>
      <c r="B2741" s="19"/>
      <c r="C2741" s="19"/>
      <c r="E2741" s="59"/>
      <c r="F2741" s="58"/>
      <c r="G2741" s="59"/>
      <c r="H2741" s="58"/>
      <c r="I2741" s="58"/>
      <c r="J2741" s="58"/>
      <c r="K2741" s="58"/>
      <c r="L2741" s="58"/>
      <c r="M2741" s="59"/>
      <c r="N2741" s="58"/>
      <c r="O2741" s="59"/>
      <c r="P2741" s="58"/>
      <c r="Q2741" s="59"/>
      <c r="R2741" s="58"/>
    </row>
    <row r="2742">
      <c r="A2742" s="56"/>
      <c r="B2742" s="19"/>
      <c r="C2742" s="19"/>
      <c r="E2742" s="59"/>
      <c r="F2742" s="58"/>
      <c r="G2742" s="59"/>
      <c r="H2742" s="58"/>
      <c r="I2742" s="58"/>
      <c r="J2742" s="58"/>
      <c r="K2742" s="58"/>
      <c r="L2742" s="58"/>
      <c r="M2742" s="59"/>
      <c r="N2742" s="58"/>
      <c r="O2742" s="59"/>
      <c r="P2742" s="58"/>
      <c r="Q2742" s="59"/>
      <c r="R2742" s="58"/>
    </row>
    <row r="2743">
      <c r="A2743" s="56"/>
      <c r="B2743" s="19"/>
      <c r="C2743" s="19"/>
      <c r="E2743" s="59"/>
      <c r="F2743" s="58"/>
      <c r="G2743" s="59"/>
      <c r="H2743" s="58"/>
      <c r="I2743" s="58"/>
      <c r="J2743" s="58"/>
      <c r="K2743" s="58"/>
      <c r="L2743" s="58"/>
      <c r="M2743" s="59"/>
      <c r="N2743" s="58"/>
      <c r="O2743" s="59"/>
      <c r="P2743" s="58"/>
      <c r="Q2743" s="59"/>
      <c r="R2743" s="58"/>
    </row>
    <row r="2744">
      <c r="A2744" s="56"/>
      <c r="B2744" s="19"/>
      <c r="C2744" s="19"/>
      <c r="E2744" s="59"/>
      <c r="F2744" s="58"/>
      <c r="G2744" s="59"/>
      <c r="H2744" s="58"/>
      <c r="I2744" s="58"/>
      <c r="J2744" s="58"/>
      <c r="K2744" s="58"/>
      <c r="L2744" s="58"/>
      <c r="M2744" s="59"/>
      <c r="N2744" s="58"/>
      <c r="O2744" s="59"/>
      <c r="P2744" s="58"/>
      <c r="Q2744" s="59"/>
      <c r="R2744" s="58"/>
    </row>
    <row r="2745">
      <c r="A2745" s="56"/>
      <c r="B2745" s="19"/>
      <c r="C2745" s="19"/>
      <c r="E2745" s="59"/>
      <c r="F2745" s="58"/>
      <c r="G2745" s="59"/>
      <c r="H2745" s="58"/>
      <c r="I2745" s="58"/>
      <c r="J2745" s="58"/>
      <c r="K2745" s="58"/>
      <c r="L2745" s="58"/>
      <c r="M2745" s="59"/>
      <c r="N2745" s="58"/>
      <c r="O2745" s="59"/>
      <c r="P2745" s="58"/>
      <c r="Q2745" s="59"/>
      <c r="R2745" s="58"/>
    </row>
    <row r="2746">
      <c r="A2746" s="56"/>
      <c r="B2746" s="19"/>
      <c r="C2746" s="19"/>
      <c r="E2746" s="59"/>
      <c r="F2746" s="58"/>
      <c r="G2746" s="59"/>
      <c r="H2746" s="58"/>
      <c r="I2746" s="58"/>
      <c r="J2746" s="58"/>
      <c r="K2746" s="58"/>
      <c r="L2746" s="58"/>
      <c r="M2746" s="59"/>
      <c r="N2746" s="58"/>
      <c r="O2746" s="59"/>
      <c r="P2746" s="58"/>
      <c r="Q2746" s="59"/>
      <c r="R2746" s="58"/>
    </row>
    <row r="2747">
      <c r="A2747" s="56"/>
      <c r="B2747" s="19"/>
      <c r="C2747" s="19"/>
      <c r="E2747" s="59"/>
      <c r="F2747" s="58"/>
      <c r="G2747" s="59"/>
      <c r="H2747" s="58"/>
      <c r="I2747" s="58"/>
      <c r="J2747" s="58"/>
      <c r="K2747" s="58"/>
      <c r="L2747" s="58"/>
      <c r="M2747" s="59"/>
      <c r="N2747" s="58"/>
      <c r="O2747" s="59"/>
      <c r="P2747" s="58"/>
      <c r="Q2747" s="59"/>
      <c r="R2747" s="58"/>
    </row>
    <row r="2748">
      <c r="A2748" s="56"/>
      <c r="B2748" s="19"/>
      <c r="C2748" s="19"/>
      <c r="E2748" s="59"/>
      <c r="F2748" s="58"/>
      <c r="G2748" s="59"/>
      <c r="H2748" s="58"/>
      <c r="I2748" s="58"/>
      <c r="J2748" s="58"/>
      <c r="K2748" s="58"/>
      <c r="L2748" s="58"/>
      <c r="M2748" s="59"/>
      <c r="N2748" s="58"/>
      <c r="O2748" s="59"/>
      <c r="P2748" s="58"/>
      <c r="Q2748" s="59"/>
      <c r="R2748" s="58"/>
    </row>
    <row r="2749">
      <c r="A2749" s="56"/>
      <c r="B2749" s="19"/>
      <c r="C2749" s="19"/>
      <c r="E2749" s="59"/>
      <c r="F2749" s="58"/>
      <c r="G2749" s="59"/>
      <c r="H2749" s="58"/>
      <c r="I2749" s="58"/>
      <c r="J2749" s="58"/>
      <c r="K2749" s="58"/>
      <c r="L2749" s="58"/>
      <c r="M2749" s="59"/>
      <c r="N2749" s="58"/>
      <c r="O2749" s="59"/>
      <c r="P2749" s="58"/>
      <c r="Q2749" s="59"/>
      <c r="R2749" s="58"/>
    </row>
    <row r="2750">
      <c r="A2750" s="56"/>
      <c r="B2750" s="19"/>
      <c r="C2750" s="19"/>
      <c r="E2750" s="59"/>
      <c r="F2750" s="58"/>
      <c r="G2750" s="59"/>
      <c r="H2750" s="58"/>
      <c r="I2750" s="58"/>
      <c r="J2750" s="58"/>
      <c r="K2750" s="58"/>
      <c r="L2750" s="58"/>
      <c r="M2750" s="59"/>
      <c r="N2750" s="58"/>
      <c r="O2750" s="59"/>
      <c r="P2750" s="58"/>
      <c r="Q2750" s="59"/>
      <c r="R2750" s="58"/>
    </row>
    <row r="2751">
      <c r="A2751" s="56"/>
      <c r="B2751" s="19"/>
      <c r="C2751" s="19"/>
      <c r="E2751" s="59"/>
      <c r="F2751" s="58"/>
      <c r="G2751" s="59"/>
      <c r="H2751" s="58"/>
      <c r="I2751" s="58"/>
      <c r="J2751" s="58"/>
      <c r="K2751" s="58"/>
      <c r="L2751" s="58"/>
      <c r="M2751" s="59"/>
      <c r="N2751" s="58"/>
      <c r="O2751" s="59"/>
      <c r="P2751" s="58"/>
      <c r="Q2751" s="59"/>
      <c r="R2751" s="58"/>
    </row>
    <row r="2752">
      <c r="A2752" s="56"/>
      <c r="B2752" s="19"/>
      <c r="C2752" s="19"/>
      <c r="E2752" s="59"/>
      <c r="F2752" s="58"/>
      <c r="G2752" s="59"/>
      <c r="H2752" s="58"/>
      <c r="I2752" s="58"/>
      <c r="J2752" s="58"/>
      <c r="K2752" s="58"/>
      <c r="L2752" s="58"/>
      <c r="M2752" s="59"/>
      <c r="N2752" s="58"/>
      <c r="O2752" s="59"/>
      <c r="P2752" s="58"/>
      <c r="Q2752" s="59"/>
      <c r="R2752" s="58"/>
    </row>
    <row r="2753">
      <c r="A2753" s="56"/>
      <c r="B2753" s="19"/>
      <c r="C2753" s="19"/>
      <c r="E2753" s="59"/>
      <c r="F2753" s="58"/>
      <c r="G2753" s="59"/>
      <c r="H2753" s="58"/>
      <c r="I2753" s="58"/>
      <c r="J2753" s="58"/>
      <c r="K2753" s="58"/>
      <c r="L2753" s="58"/>
      <c r="M2753" s="59"/>
      <c r="N2753" s="58"/>
      <c r="O2753" s="59"/>
      <c r="P2753" s="58"/>
      <c r="Q2753" s="59"/>
      <c r="R2753" s="58"/>
    </row>
    <row r="2754">
      <c r="A2754" s="56"/>
      <c r="B2754" s="19"/>
      <c r="C2754" s="19"/>
      <c r="E2754" s="59"/>
      <c r="F2754" s="58"/>
      <c r="G2754" s="59"/>
      <c r="H2754" s="58"/>
      <c r="I2754" s="58"/>
      <c r="J2754" s="58"/>
      <c r="K2754" s="58"/>
      <c r="L2754" s="58"/>
      <c r="M2754" s="59"/>
      <c r="N2754" s="58"/>
      <c r="O2754" s="59"/>
      <c r="P2754" s="58"/>
      <c r="Q2754" s="59"/>
      <c r="R2754" s="58"/>
    </row>
    <row r="2755">
      <c r="A2755" s="56"/>
      <c r="B2755" s="19"/>
      <c r="C2755" s="19"/>
      <c r="E2755" s="59"/>
      <c r="F2755" s="58"/>
      <c r="G2755" s="59"/>
      <c r="H2755" s="58"/>
      <c r="I2755" s="58"/>
      <c r="J2755" s="58"/>
      <c r="K2755" s="58"/>
      <c r="L2755" s="58"/>
      <c r="M2755" s="59"/>
      <c r="N2755" s="58"/>
      <c r="O2755" s="59"/>
      <c r="P2755" s="58"/>
      <c r="Q2755" s="59"/>
      <c r="R2755" s="58"/>
    </row>
    <row r="2756">
      <c r="A2756" s="56"/>
      <c r="B2756" s="19"/>
      <c r="C2756" s="19"/>
      <c r="E2756" s="59"/>
      <c r="F2756" s="58"/>
      <c r="G2756" s="59"/>
      <c r="H2756" s="58"/>
      <c r="I2756" s="58"/>
      <c r="J2756" s="58"/>
      <c r="K2756" s="58"/>
      <c r="L2756" s="58"/>
      <c r="M2756" s="59"/>
      <c r="N2756" s="58"/>
      <c r="O2756" s="59"/>
      <c r="P2756" s="58"/>
      <c r="Q2756" s="59"/>
      <c r="R2756" s="58"/>
    </row>
    <row r="2757">
      <c r="A2757" s="56"/>
      <c r="B2757" s="19"/>
      <c r="C2757" s="19"/>
      <c r="E2757" s="59"/>
      <c r="F2757" s="58"/>
      <c r="G2757" s="59"/>
      <c r="H2757" s="58"/>
      <c r="I2757" s="58"/>
      <c r="J2757" s="58"/>
      <c r="K2757" s="58"/>
      <c r="L2757" s="58"/>
      <c r="M2757" s="59"/>
      <c r="N2757" s="58"/>
      <c r="O2757" s="59"/>
      <c r="P2757" s="58"/>
      <c r="Q2757" s="59"/>
      <c r="R2757" s="58"/>
    </row>
    <row r="2758">
      <c r="A2758" s="56"/>
      <c r="B2758" s="19"/>
      <c r="C2758" s="19"/>
      <c r="E2758" s="59"/>
      <c r="F2758" s="58"/>
      <c r="G2758" s="59"/>
      <c r="H2758" s="58"/>
      <c r="I2758" s="58"/>
      <c r="J2758" s="58"/>
      <c r="K2758" s="58"/>
      <c r="L2758" s="58"/>
      <c r="M2758" s="59"/>
      <c r="N2758" s="58"/>
      <c r="O2758" s="59"/>
      <c r="P2758" s="58"/>
      <c r="Q2758" s="59"/>
      <c r="R2758" s="58"/>
    </row>
    <row r="2759">
      <c r="A2759" s="56"/>
      <c r="B2759" s="19"/>
      <c r="C2759" s="19"/>
      <c r="E2759" s="59"/>
      <c r="F2759" s="58"/>
      <c r="G2759" s="59"/>
      <c r="H2759" s="58"/>
      <c r="I2759" s="58"/>
      <c r="J2759" s="58"/>
      <c r="K2759" s="58"/>
      <c r="L2759" s="58"/>
      <c r="M2759" s="59"/>
      <c r="N2759" s="58"/>
      <c r="O2759" s="59"/>
      <c r="P2759" s="58"/>
      <c r="Q2759" s="59"/>
      <c r="R2759" s="58"/>
    </row>
    <row r="2760">
      <c r="A2760" s="56"/>
      <c r="B2760" s="19"/>
      <c r="C2760" s="19"/>
      <c r="E2760" s="59"/>
      <c r="F2760" s="58"/>
      <c r="G2760" s="59"/>
      <c r="H2760" s="58"/>
      <c r="I2760" s="58"/>
      <c r="J2760" s="58"/>
      <c r="K2760" s="58"/>
      <c r="L2760" s="58"/>
      <c r="M2760" s="59"/>
      <c r="N2760" s="58"/>
      <c r="O2760" s="59"/>
      <c r="P2760" s="58"/>
      <c r="Q2760" s="59"/>
      <c r="R2760" s="58"/>
    </row>
    <row r="2761">
      <c r="A2761" s="56"/>
      <c r="B2761" s="19"/>
      <c r="C2761" s="19"/>
      <c r="E2761" s="59"/>
      <c r="F2761" s="58"/>
      <c r="G2761" s="59"/>
      <c r="H2761" s="58"/>
      <c r="I2761" s="58"/>
      <c r="J2761" s="58"/>
      <c r="K2761" s="58"/>
      <c r="L2761" s="58"/>
      <c r="M2761" s="59"/>
      <c r="N2761" s="58"/>
      <c r="O2761" s="59"/>
      <c r="P2761" s="58"/>
      <c r="Q2761" s="59"/>
      <c r="R2761" s="58"/>
    </row>
    <row r="2762">
      <c r="A2762" s="56"/>
      <c r="B2762" s="19"/>
      <c r="C2762" s="19"/>
      <c r="E2762" s="59"/>
      <c r="F2762" s="58"/>
      <c r="G2762" s="59"/>
      <c r="H2762" s="58"/>
      <c r="I2762" s="58"/>
      <c r="J2762" s="58"/>
      <c r="K2762" s="58"/>
      <c r="L2762" s="58"/>
      <c r="M2762" s="59"/>
      <c r="N2762" s="58"/>
      <c r="O2762" s="59"/>
      <c r="P2762" s="58"/>
      <c r="Q2762" s="59"/>
      <c r="R2762" s="58"/>
    </row>
    <row r="2763">
      <c r="A2763" s="56"/>
      <c r="B2763" s="19"/>
      <c r="C2763" s="19"/>
      <c r="E2763" s="59"/>
      <c r="F2763" s="58"/>
      <c r="G2763" s="59"/>
      <c r="H2763" s="58"/>
      <c r="I2763" s="58"/>
      <c r="J2763" s="58"/>
      <c r="K2763" s="58"/>
      <c r="L2763" s="58"/>
      <c r="M2763" s="59"/>
      <c r="N2763" s="58"/>
      <c r="O2763" s="59"/>
      <c r="P2763" s="58"/>
      <c r="Q2763" s="59"/>
      <c r="R2763" s="58"/>
    </row>
    <row r="2764">
      <c r="A2764" s="56"/>
      <c r="B2764" s="19"/>
      <c r="C2764" s="19"/>
      <c r="E2764" s="59"/>
      <c r="F2764" s="58"/>
      <c r="G2764" s="59"/>
      <c r="H2764" s="58"/>
      <c r="I2764" s="58"/>
      <c r="J2764" s="58"/>
      <c r="K2764" s="58"/>
      <c r="L2764" s="58"/>
      <c r="M2764" s="59"/>
      <c r="N2764" s="58"/>
      <c r="O2764" s="59"/>
      <c r="P2764" s="58"/>
      <c r="Q2764" s="59"/>
      <c r="R2764" s="58"/>
    </row>
    <row r="2765">
      <c r="A2765" s="56"/>
      <c r="B2765" s="19"/>
      <c r="C2765" s="19"/>
      <c r="E2765" s="59"/>
      <c r="F2765" s="58"/>
      <c r="G2765" s="59"/>
      <c r="H2765" s="58"/>
      <c r="I2765" s="58"/>
      <c r="J2765" s="58"/>
      <c r="K2765" s="58"/>
      <c r="L2765" s="58"/>
      <c r="M2765" s="59"/>
      <c r="N2765" s="58"/>
      <c r="O2765" s="59"/>
      <c r="P2765" s="58"/>
      <c r="Q2765" s="59"/>
      <c r="R2765" s="58"/>
    </row>
    <row r="2766">
      <c r="A2766" s="56"/>
      <c r="B2766" s="19"/>
      <c r="C2766" s="19"/>
      <c r="E2766" s="59"/>
      <c r="F2766" s="58"/>
      <c r="G2766" s="59"/>
      <c r="H2766" s="58"/>
      <c r="I2766" s="58"/>
      <c r="J2766" s="58"/>
      <c r="K2766" s="58"/>
      <c r="L2766" s="58"/>
      <c r="M2766" s="59"/>
      <c r="N2766" s="58"/>
      <c r="O2766" s="59"/>
      <c r="P2766" s="58"/>
      <c r="Q2766" s="59"/>
      <c r="R2766" s="58"/>
    </row>
    <row r="2767">
      <c r="A2767" s="56"/>
      <c r="B2767" s="19"/>
      <c r="C2767" s="19"/>
      <c r="E2767" s="59"/>
      <c r="F2767" s="58"/>
      <c r="G2767" s="59"/>
      <c r="H2767" s="58"/>
      <c r="I2767" s="58"/>
      <c r="J2767" s="58"/>
      <c r="K2767" s="58"/>
      <c r="L2767" s="58"/>
      <c r="M2767" s="59"/>
      <c r="N2767" s="58"/>
      <c r="O2767" s="59"/>
      <c r="P2767" s="58"/>
      <c r="Q2767" s="59"/>
      <c r="R2767" s="58"/>
    </row>
    <row r="2768">
      <c r="A2768" s="56"/>
      <c r="B2768" s="19"/>
      <c r="C2768" s="19"/>
      <c r="E2768" s="59"/>
      <c r="F2768" s="58"/>
      <c r="G2768" s="59"/>
      <c r="H2768" s="58"/>
      <c r="I2768" s="58"/>
      <c r="J2768" s="58"/>
      <c r="K2768" s="58"/>
      <c r="L2768" s="58"/>
      <c r="M2768" s="59"/>
      <c r="N2768" s="58"/>
      <c r="O2768" s="59"/>
      <c r="P2768" s="58"/>
      <c r="Q2768" s="59"/>
      <c r="R2768" s="58"/>
    </row>
    <row r="2769">
      <c r="A2769" s="56"/>
      <c r="B2769" s="19"/>
      <c r="C2769" s="19"/>
      <c r="E2769" s="59"/>
      <c r="F2769" s="58"/>
      <c r="G2769" s="59"/>
      <c r="H2769" s="58"/>
      <c r="I2769" s="58"/>
      <c r="J2769" s="58"/>
      <c r="K2769" s="58"/>
      <c r="L2769" s="58"/>
      <c r="M2769" s="59"/>
      <c r="N2769" s="58"/>
      <c r="O2769" s="59"/>
      <c r="P2769" s="58"/>
      <c r="Q2769" s="59"/>
      <c r="R2769" s="58"/>
    </row>
    <row r="2770">
      <c r="A2770" s="56"/>
      <c r="B2770" s="19"/>
      <c r="C2770" s="19"/>
      <c r="E2770" s="59"/>
      <c r="F2770" s="58"/>
      <c r="G2770" s="59"/>
      <c r="H2770" s="58"/>
      <c r="I2770" s="58"/>
      <c r="J2770" s="58"/>
      <c r="K2770" s="58"/>
      <c r="L2770" s="58"/>
      <c r="M2770" s="59"/>
      <c r="N2770" s="58"/>
      <c r="O2770" s="59"/>
      <c r="P2770" s="58"/>
      <c r="Q2770" s="59"/>
      <c r="R2770" s="58"/>
    </row>
    <row r="2771">
      <c r="A2771" s="56"/>
      <c r="B2771" s="19"/>
      <c r="C2771" s="19"/>
      <c r="E2771" s="59"/>
      <c r="F2771" s="58"/>
      <c r="G2771" s="59"/>
      <c r="H2771" s="58"/>
      <c r="I2771" s="58"/>
      <c r="J2771" s="58"/>
      <c r="K2771" s="58"/>
      <c r="L2771" s="58"/>
      <c r="M2771" s="59"/>
      <c r="N2771" s="58"/>
      <c r="O2771" s="59"/>
      <c r="P2771" s="58"/>
      <c r="Q2771" s="59"/>
      <c r="R2771" s="58"/>
    </row>
    <row r="2772">
      <c r="A2772" s="56"/>
      <c r="B2772" s="19"/>
      <c r="C2772" s="19"/>
      <c r="E2772" s="59"/>
      <c r="F2772" s="58"/>
      <c r="G2772" s="59"/>
      <c r="H2772" s="58"/>
      <c r="I2772" s="58"/>
      <c r="J2772" s="58"/>
      <c r="K2772" s="58"/>
      <c r="L2772" s="58"/>
      <c r="M2772" s="59"/>
      <c r="N2772" s="58"/>
      <c r="O2772" s="59"/>
      <c r="P2772" s="58"/>
      <c r="Q2772" s="59"/>
      <c r="R2772" s="58"/>
    </row>
    <row r="2773">
      <c r="A2773" s="56"/>
      <c r="B2773" s="19"/>
      <c r="C2773" s="19"/>
      <c r="E2773" s="59"/>
      <c r="F2773" s="58"/>
      <c r="G2773" s="59"/>
      <c r="H2773" s="58"/>
      <c r="I2773" s="58"/>
      <c r="J2773" s="58"/>
      <c r="K2773" s="58"/>
      <c r="L2773" s="58"/>
      <c r="M2773" s="59"/>
      <c r="N2773" s="58"/>
      <c r="O2773" s="59"/>
      <c r="P2773" s="58"/>
      <c r="Q2773" s="59"/>
      <c r="R2773" s="58"/>
    </row>
    <row r="2774">
      <c r="A2774" s="56"/>
      <c r="B2774" s="19"/>
      <c r="C2774" s="19"/>
      <c r="E2774" s="59"/>
      <c r="F2774" s="58"/>
      <c r="G2774" s="59"/>
      <c r="H2774" s="58"/>
      <c r="I2774" s="58"/>
      <c r="J2774" s="58"/>
      <c r="K2774" s="58"/>
      <c r="L2774" s="58"/>
      <c r="M2774" s="59"/>
      <c r="N2774" s="58"/>
      <c r="O2774" s="59"/>
      <c r="P2774" s="58"/>
      <c r="Q2774" s="59"/>
      <c r="R2774" s="58"/>
    </row>
    <row r="2775">
      <c r="A2775" s="56"/>
      <c r="B2775" s="19"/>
      <c r="C2775" s="19"/>
      <c r="E2775" s="59"/>
      <c r="F2775" s="58"/>
      <c r="G2775" s="59"/>
      <c r="H2775" s="58"/>
      <c r="I2775" s="58"/>
      <c r="J2775" s="58"/>
      <c r="K2775" s="58"/>
      <c r="L2775" s="58"/>
      <c r="M2775" s="59"/>
      <c r="N2775" s="58"/>
      <c r="O2775" s="59"/>
      <c r="P2775" s="58"/>
      <c r="Q2775" s="59"/>
      <c r="R2775" s="58"/>
    </row>
    <row r="2776">
      <c r="A2776" s="56"/>
      <c r="B2776" s="19"/>
      <c r="C2776" s="19"/>
      <c r="E2776" s="59"/>
      <c r="F2776" s="58"/>
      <c r="G2776" s="59"/>
      <c r="H2776" s="58"/>
      <c r="I2776" s="58"/>
      <c r="J2776" s="58"/>
      <c r="K2776" s="58"/>
      <c r="L2776" s="58"/>
      <c r="M2776" s="59"/>
      <c r="N2776" s="58"/>
      <c r="O2776" s="59"/>
      <c r="P2776" s="58"/>
      <c r="Q2776" s="59"/>
      <c r="R2776" s="58"/>
    </row>
    <row r="2777">
      <c r="A2777" s="56"/>
      <c r="B2777" s="19"/>
      <c r="C2777" s="19"/>
      <c r="E2777" s="59"/>
      <c r="F2777" s="58"/>
      <c r="G2777" s="59"/>
      <c r="H2777" s="58"/>
      <c r="I2777" s="58"/>
      <c r="J2777" s="58"/>
      <c r="K2777" s="58"/>
      <c r="L2777" s="58"/>
      <c r="M2777" s="59"/>
      <c r="N2777" s="58"/>
      <c r="O2777" s="59"/>
      <c r="P2777" s="58"/>
      <c r="Q2777" s="59"/>
      <c r="R2777" s="58"/>
    </row>
    <row r="2778">
      <c r="A2778" s="56"/>
      <c r="B2778" s="19"/>
      <c r="C2778" s="19"/>
      <c r="E2778" s="59"/>
      <c r="F2778" s="58"/>
      <c r="G2778" s="59"/>
      <c r="H2778" s="58"/>
      <c r="I2778" s="58"/>
      <c r="J2778" s="58"/>
      <c r="K2778" s="58"/>
      <c r="L2778" s="58"/>
      <c r="M2778" s="59"/>
      <c r="N2778" s="58"/>
      <c r="O2778" s="59"/>
      <c r="P2778" s="58"/>
      <c r="Q2778" s="59"/>
      <c r="R2778" s="58"/>
    </row>
    <row r="2779">
      <c r="A2779" s="56"/>
      <c r="B2779" s="19"/>
      <c r="C2779" s="19"/>
      <c r="E2779" s="59"/>
      <c r="F2779" s="58"/>
      <c r="G2779" s="59"/>
      <c r="H2779" s="58"/>
      <c r="I2779" s="58"/>
      <c r="J2779" s="58"/>
      <c r="K2779" s="58"/>
      <c r="L2779" s="58"/>
      <c r="M2779" s="59"/>
      <c r="N2779" s="58"/>
      <c r="O2779" s="59"/>
      <c r="P2779" s="58"/>
      <c r="Q2779" s="59"/>
      <c r="R2779" s="58"/>
    </row>
    <row r="2780">
      <c r="A2780" s="56"/>
      <c r="B2780" s="19"/>
      <c r="C2780" s="19"/>
      <c r="E2780" s="59"/>
      <c r="F2780" s="58"/>
      <c r="G2780" s="59"/>
      <c r="H2780" s="58"/>
      <c r="I2780" s="58"/>
      <c r="J2780" s="58"/>
      <c r="K2780" s="58"/>
      <c r="L2780" s="58"/>
      <c r="M2780" s="59"/>
      <c r="N2780" s="58"/>
      <c r="O2780" s="59"/>
      <c r="P2780" s="58"/>
      <c r="Q2780" s="59"/>
      <c r="R2780" s="58"/>
    </row>
    <row r="2781">
      <c r="A2781" s="56"/>
      <c r="B2781" s="19"/>
      <c r="C2781" s="19"/>
      <c r="E2781" s="59"/>
      <c r="F2781" s="58"/>
      <c r="G2781" s="59"/>
      <c r="H2781" s="58"/>
      <c r="I2781" s="58"/>
      <c r="J2781" s="58"/>
      <c r="K2781" s="58"/>
      <c r="L2781" s="58"/>
      <c r="M2781" s="59"/>
      <c r="N2781" s="58"/>
      <c r="O2781" s="59"/>
      <c r="P2781" s="58"/>
      <c r="Q2781" s="59"/>
      <c r="R2781" s="58"/>
    </row>
    <row r="2782">
      <c r="A2782" s="56"/>
      <c r="B2782" s="19"/>
      <c r="C2782" s="19"/>
      <c r="E2782" s="59"/>
      <c r="F2782" s="58"/>
      <c r="G2782" s="59"/>
      <c r="H2782" s="58"/>
      <c r="I2782" s="58"/>
      <c r="J2782" s="58"/>
      <c r="K2782" s="58"/>
      <c r="L2782" s="58"/>
      <c r="M2782" s="59"/>
      <c r="N2782" s="58"/>
      <c r="O2782" s="59"/>
      <c r="P2782" s="58"/>
      <c r="Q2782" s="59"/>
      <c r="R2782" s="58"/>
    </row>
    <row r="2783">
      <c r="A2783" s="56"/>
      <c r="B2783" s="19"/>
      <c r="C2783" s="19"/>
      <c r="E2783" s="59"/>
      <c r="F2783" s="58"/>
      <c r="G2783" s="59"/>
      <c r="H2783" s="58"/>
      <c r="I2783" s="58"/>
      <c r="J2783" s="58"/>
      <c r="K2783" s="58"/>
      <c r="L2783" s="58"/>
      <c r="M2783" s="59"/>
      <c r="N2783" s="58"/>
      <c r="O2783" s="59"/>
      <c r="P2783" s="58"/>
      <c r="Q2783" s="59"/>
      <c r="R2783" s="58"/>
    </row>
    <row r="2784">
      <c r="A2784" s="56"/>
      <c r="B2784" s="19"/>
      <c r="C2784" s="19"/>
      <c r="E2784" s="59"/>
      <c r="F2784" s="58"/>
      <c r="G2784" s="59"/>
      <c r="H2784" s="58"/>
      <c r="I2784" s="58"/>
      <c r="J2784" s="58"/>
      <c r="K2784" s="58"/>
      <c r="L2784" s="58"/>
      <c r="M2784" s="59"/>
      <c r="N2784" s="58"/>
      <c r="O2784" s="59"/>
      <c r="P2784" s="58"/>
      <c r="Q2784" s="59"/>
      <c r="R2784" s="58"/>
    </row>
    <row r="2785">
      <c r="A2785" s="56"/>
      <c r="B2785" s="19"/>
      <c r="C2785" s="19"/>
      <c r="E2785" s="59"/>
      <c r="F2785" s="58"/>
      <c r="G2785" s="59"/>
      <c r="H2785" s="58"/>
      <c r="I2785" s="58"/>
      <c r="J2785" s="58"/>
      <c r="K2785" s="58"/>
      <c r="L2785" s="58"/>
      <c r="M2785" s="59"/>
      <c r="N2785" s="58"/>
      <c r="O2785" s="59"/>
      <c r="P2785" s="58"/>
      <c r="Q2785" s="59"/>
      <c r="R2785" s="58"/>
    </row>
    <row r="2786">
      <c r="A2786" s="56"/>
      <c r="B2786" s="19"/>
      <c r="C2786" s="19"/>
      <c r="E2786" s="59"/>
      <c r="F2786" s="58"/>
      <c r="G2786" s="59"/>
      <c r="H2786" s="58"/>
      <c r="I2786" s="58"/>
      <c r="J2786" s="58"/>
      <c r="K2786" s="58"/>
      <c r="L2786" s="58"/>
      <c r="M2786" s="59"/>
      <c r="N2786" s="58"/>
      <c r="O2786" s="59"/>
      <c r="P2786" s="58"/>
      <c r="Q2786" s="59"/>
      <c r="R2786" s="58"/>
    </row>
    <row r="2787">
      <c r="A2787" s="56"/>
      <c r="B2787" s="19"/>
      <c r="C2787" s="19"/>
      <c r="E2787" s="59"/>
      <c r="F2787" s="58"/>
      <c r="G2787" s="59"/>
      <c r="H2787" s="58"/>
      <c r="I2787" s="58"/>
      <c r="J2787" s="58"/>
      <c r="K2787" s="58"/>
      <c r="L2787" s="58"/>
      <c r="M2787" s="59"/>
      <c r="N2787" s="58"/>
      <c r="O2787" s="59"/>
      <c r="P2787" s="58"/>
      <c r="Q2787" s="59"/>
      <c r="R2787" s="58"/>
    </row>
    <row r="2788">
      <c r="A2788" s="56"/>
      <c r="B2788" s="19"/>
      <c r="C2788" s="19"/>
      <c r="E2788" s="59"/>
      <c r="F2788" s="58"/>
      <c r="G2788" s="59"/>
      <c r="H2788" s="58"/>
      <c r="I2788" s="58"/>
      <c r="J2788" s="58"/>
      <c r="K2788" s="58"/>
      <c r="L2788" s="58"/>
      <c r="M2788" s="59"/>
      <c r="N2788" s="58"/>
      <c r="O2788" s="59"/>
      <c r="P2788" s="58"/>
      <c r="Q2788" s="59"/>
      <c r="R2788" s="58"/>
    </row>
    <row r="2789">
      <c r="A2789" s="56"/>
      <c r="B2789" s="19"/>
      <c r="C2789" s="19"/>
      <c r="E2789" s="59"/>
      <c r="F2789" s="58"/>
      <c r="G2789" s="59"/>
      <c r="H2789" s="58"/>
      <c r="I2789" s="58"/>
      <c r="J2789" s="58"/>
      <c r="K2789" s="58"/>
      <c r="L2789" s="58"/>
      <c r="M2789" s="59"/>
      <c r="N2789" s="58"/>
      <c r="O2789" s="59"/>
      <c r="P2789" s="58"/>
      <c r="Q2789" s="59"/>
      <c r="R2789" s="58"/>
    </row>
    <row r="2790">
      <c r="A2790" s="56"/>
      <c r="B2790" s="19"/>
      <c r="C2790" s="19"/>
      <c r="E2790" s="59"/>
      <c r="F2790" s="58"/>
      <c r="G2790" s="59"/>
      <c r="H2790" s="58"/>
      <c r="I2790" s="58"/>
      <c r="J2790" s="58"/>
      <c r="K2790" s="58"/>
      <c r="L2790" s="58"/>
      <c r="M2790" s="59"/>
      <c r="N2790" s="58"/>
      <c r="O2790" s="59"/>
      <c r="P2790" s="58"/>
      <c r="Q2790" s="59"/>
      <c r="R2790" s="58"/>
    </row>
    <row r="2791">
      <c r="A2791" s="56"/>
      <c r="B2791" s="19"/>
      <c r="C2791" s="19"/>
      <c r="E2791" s="59"/>
      <c r="F2791" s="58"/>
      <c r="G2791" s="59"/>
      <c r="H2791" s="58"/>
      <c r="I2791" s="58"/>
      <c r="J2791" s="58"/>
      <c r="K2791" s="58"/>
      <c r="L2791" s="58"/>
      <c r="M2791" s="59"/>
      <c r="N2791" s="58"/>
      <c r="O2791" s="59"/>
      <c r="P2791" s="58"/>
      <c r="Q2791" s="59"/>
      <c r="R2791" s="58"/>
    </row>
    <row r="2792">
      <c r="A2792" s="56"/>
      <c r="B2792" s="19"/>
      <c r="C2792" s="19"/>
      <c r="E2792" s="59"/>
      <c r="F2792" s="58"/>
      <c r="G2792" s="59"/>
      <c r="H2792" s="58"/>
      <c r="I2792" s="58"/>
      <c r="J2792" s="58"/>
      <c r="K2792" s="58"/>
      <c r="L2792" s="58"/>
      <c r="M2792" s="59"/>
      <c r="N2792" s="58"/>
      <c r="O2792" s="59"/>
      <c r="P2792" s="58"/>
      <c r="Q2792" s="59"/>
      <c r="R2792" s="58"/>
    </row>
    <row r="2793">
      <c r="A2793" s="56"/>
      <c r="B2793" s="19"/>
      <c r="C2793" s="19"/>
      <c r="E2793" s="59"/>
      <c r="F2793" s="58"/>
      <c r="G2793" s="59"/>
      <c r="H2793" s="58"/>
      <c r="I2793" s="58"/>
      <c r="J2793" s="58"/>
      <c r="K2793" s="58"/>
      <c r="L2793" s="58"/>
      <c r="M2793" s="59"/>
      <c r="N2793" s="58"/>
      <c r="O2793" s="59"/>
      <c r="P2793" s="58"/>
      <c r="Q2793" s="59"/>
      <c r="R2793" s="58"/>
    </row>
    <row r="2794">
      <c r="A2794" s="56"/>
      <c r="B2794" s="19"/>
      <c r="C2794" s="19"/>
      <c r="E2794" s="59"/>
      <c r="F2794" s="58"/>
      <c r="G2794" s="59"/>
      <c r="H2794" s="58"/>
      <c r="I2794" s="58"/>
      <c r="J2794" s="58"/>
      <c r="K2794" s="58"/>
      <c r="L2794" s="58"/>
      <c r="M2794" s="59"/>
      <c r="N2794" s="58"/>
      <c r="O2794" s="59"/>
      <c r="P2794" s="58"/>
      <c r="Q2794" s="59"/>
      <c r="R2794" s="58"/>
    </row>
    <row r="2795">
      <c r="A2795" s="56"/>
      <c r="B2795" s="19"/>
      <c r="C2795" s="19"/>
      <c r="E2795" s="59"/>
      <c r="F2795" s="58"/>
      <c r="G2795" s="59"/>
      <c r="H2795" s="58"/>
      <c r="I2795" s="58"/>
      <c r="J2795" s="58"/>
      <c r="K2795" s="58"/>
      <c r="L2795" s="58"/>
      <c r="M2795" s="59"/>
      <c r="N2795" s="58"/>
      <c r="O2795" s="59"/>
      <c r="P2795" s="58"/>
      <c r="Q2795" s="59"/>
      <c r="R2795" s="58"/>
    </row>
    <row r="2796">
      <c r="A2796" s="56"/>
      <c r="B2796" s="19"/>
      <c r="C2796" s="19"/>
      <c r="E2796" s="59"/>
      <c r="F2796" s="58"/>
      <c r="G2796" s="59"/>
      <c r="H2796" s="58"/>
      <c r="I2796" s="58"/>
      <c r="J2796" s="58"/>
      <c r="K2796" s="58"/>
      <c r="L2796" s="58"/>
      <c r="M2796" s="59"/>
      <c r="N2796" s="58"/>
      <c r="O2796" s="59"/>
      <c r="P2796" s="58"/>
      <c r="Q2796" s="59"/>
      <c r="R2796" s="58"/>
    </row>
    <row r="2797">
      <c r="A2797" s="56"/>
      <c r="B2797" s="19"/>
      <c r="C2797" s="19"/>
      <c r="E2797" s="59"/>
      <c r="F2797" s="58"/>
      <c r="G2797" s="59"/>
      <c r="H2797" s="58"/>
      <c r="I2797" s="58"/>
      <c r="J2797" s="58"/>
      <c r="K2797" s="58"/>
      <c r="L2797" s="58"/>
      <c r="M2797" s="59"/>
      <c r="N2797" s="58"/>
      <c r="O2797" s="59"/>
      <c r="P2797" s="58"/>
      <c r="Q2797" s="59"/>
      <c r="R2797" s="58"/>
    </row>
    <row r="2798">
      <c r="A2798" s="56"/>
      <c r="B2798" s="19"/>
      <c r="C2798" s="19"/>
      <c r="E2798" s="59"/>
      <c r="F2798" s="58"/>
      <c r="G2798" s="59"/>
      <c r="H2798" s="58"/>
      <c r="I2798" s="58"/>
      <c r="J2798" s="58"/>
      <c r="K2798" s="58"/>
      <c r="L2798" s="58"/>
      <c r="M2798" s="59"/>
      <c r="N2798" s="58"/>
      <c r="O2798" s="59"/>
      <c r="P2798" s="58"/>
      <c r="Q2798" s="59"/>
      <c r="R2798" s="58"/>
    </row>
    <row r="2799">
      <c r="A2799" s="56"/>
      <c r="B2799" s="19"/>
      <c r="C2799" s="19"/>
      <c r="E2799" s="59"/>
      <c r="F2799" s="58"/>
      <c r="G2799" s="59"/>
      <c r="H2799" s="58"/>
      <c r="I2799" s="58"/>
      <c r="J2799" s="58"/>
      <c r="K2799" s="58"/>
      <c r="L2799" s="58"/>
      <c r="M2799" s="59"/>
      <c r="N2799" s="58"/>
      <c r="O2799" s="59"/>
      <c r="P2799" s="58"/>
      <c r="Q2799" s="59"/>
      <c r="R2799" s="58"/>
    </row>
    <row r="2800">
      <c r="A2800" s="56"/>
      <c r="B2800" s="19"/>
      <c r="C2800" s="19"/>
      <c r="E2800" s="59"/>
      <c r="F2800" s="58"/>
      <c r="G2800" s="59"/>
      <c r="H2800" s="58"/>
      <c r="I2800" s="58"/>
      <c r="J2800" s="58"/>
      <c r="K2800" s="58"/>
      <c r="L2800" s="58"/>
      <c r="M2800" s="59"/>
      <c r="N2800" s="58"/>
      <c r="O2800" s="59"/>
      <c r="P2800" s="58"/>
      <c r="Q2800" s="59"/>
      <c r="R2800" s="58"/>
    </row>
    <row r="2801">
      <c r="A2801" s="56"/>
      <c r="B2801" s="19"/>
      <c r="C2801" s="19"/>
      <c r="E2801" s="59"/>
      <c r="F2801" s="58"/>
      <c r="G2801" s="59"/>
      <c r="H2801" s="58"/>
      <c r="I2801" s="58"/>
      <c r="J2801" s="58"/>
      <c r="K2801" s="58"/>
      <c r="L2801" s="58"/>
      <c r="M2801" s="59"/>
      <c r="N2801" s="58"/>
      <c r="O2801" s="59"/>
      <c r="P2801" s="58"/>
      <c r="Q2801" s="59"/>
      <c r="R2801" s="58"/>
    </row>
    <row r="2802">
      <c r="A2802" s="56"/>
      <c r="B2802" s="19"/>
      <c r="C2802" s="19"/>
      <c r="E2802" s="59"/>
      <c r="F2802" s="58"/>
      <c r="G2802" s="59"/>
      <c r="H2802" s="58"/>
      <c r="I2802" s="58"/>
      <c r="J2802" s="58"/>
      <c r="K2802" s="58"/>
      <c r="L2802" s="58"/>
      <c r="M2802" s="59"/>
      <c r="N2802" s="58"/>
      <c r="O2802" s="59"/>
      <c r="P2802" s="58"/>
      <c r="Q2802" s="59"/>
      <c r="R2802" s="58"/>
    </row>
    <row r="2803">
      <c r="A2803" s="56"/>
      <c r="B2803" s="19"/>
      <c r="C2803" s="19"/>
      <c r="E2803" s="59"/>
      <c r="F2803" s="58"/>
      <c r="G2803" s="59"/>
      <c r="H2803" s="58"/>
      <c r="I2803" s="58"/>
      <c r="J2803" s="58"/>
      <c r="K2803" s="58"/>
      <c r="L2803" s="58"/>
      <c r="M2803" s="59"/>
      <c r="N2803" s="58"/>
      <c r="O2803" s="59"/>
      <c r="P2803" s="58"/>
      <c r="Q2803" s="59"/>
      <c r="R2803" s="58"/>
    </row>
    <row r="2804">
      <c r="A2804" s="56"/>
      <c r="B2804" s="19"/>
      <c r="C2804" s="19"/>
      <c r="E2804" s="59"/>
      <c r="F2804" s="58"/>
      <c r="G2804" s="59"/>
      <c r="H2804" s="58"/>
      <c r="I2804" s="58"/>
      <c r="J2804" s="58"/>
      <c r="K2804" s="58"/>
      <c r="L2804" s="58"/>
      <c r="M2804" s="59"/>
      <c r="N2804" s="58"/>
      <c r="O2804" s="59"/>
      <c r="P2804" s="58"/>
      <c r="Q2804" s="59"/>
      <c r="R2804" s="58"/>
    </row>
    <row r="2805">
      <c r="A2805" s="56"/>
      <c r="B2805" s="19"/>
      <c r="C2805" s="19"/>
      <c r="E2805" s="59"/>
      <c r="F2805" s="58"/>
      <c r="G2805" s="59"/>
      <c r="H2805" s="58"/>
      <c r="I2805" s="58"/>
      <c r="J2805" s="58"/>
      <c r="K2805" s="58"/>
      <c r="L2805" s="58"/>
      <c r="M2805" s="59"/>
      <c r="N2805" s="58"/>
      <c r="O2805" s="59"/>
      <c r="P2805" s="58"/>
      <c r="Q2805" s="59"/>
      <c r="R2805" s="58"/>
    </row>
    <row r="2806">
      <c r="A2806" s="56"/>
      <c r="B2806" s="19"/>
      <c r="C2806" s="19"/>
      <c r="E2806" s="59"/>
      <c r="F2806" s="58"/>
      <c r="G2806" s="59"/>
      <c r="H2806" s="58"/>
      <c r="I2806" s="58"/>
      <c r="J2806" s="58"/>
      <c r="K2806" s="58"/>
      <c r="L2806" s="58"/>
      <c r="M2806" s="59"/>
      <c r="N2806" s="58"/>
      <c r="O2806" s="59"/>
      <c r="P2806" s="58"/>
      <c r="Q2806" s="59"/>
      <c r="R2806" s="58"/>
    </row>
    <row r="2807">
      <c r="A2807" s="56"/>
      <c r="B2807" s="19"/>
      <c r="C2807" s="19"/>
      <c r="E2807" s="59"/>
      <c r="F2807" s="58"/>
      <c r="G2807" s="59"/>
      <c r="H2807" s="58"/>
      <c r="I2807" s="58"/>
      <c r="J2807" s="58"/>
      <c r="K2807" s="58"/>
      <c r="L2807" s="58"/>
      <c r="M2807" s="59"/>
      <c r="N2807" s="58"/>
      <c r="O2807" s="59"/>
      <c r="P2807" s="58"/>
      <c r="Q2807" s="59"/>
      <c r="R2807" s="58"/>
    </row>
    <row r="2808">
      <c r="A2808" s="56"/>
      <c r="B2808" s="19"/>
      <c r="C2808" s="19"/>
      <c r="E2808" s="59"/>
      <c r="F2808" s="58"/>
      <c r="G2808" s="59"/>
      <c r="H2808" s="58"/>
      <c r="I2808" s="58"/>
      <c r="J2808" s="58"/>
      <c r="K2808" s="58"/>
      <c r="L2808" s="58"/>
      <c r="M2808" s="59"/>
      <c r="N2808" s="58"/>
      <c r="O2808" s="59"/>
      <c r="P2808" s="58"/>
      <c r="Q2808" s="59"/>
      <c r="R2808" s="58"/>
    </row>
    <row r="2809">
      <c r="A2809" s="56"/>
      <c r="B2809" s="19"/>
      <c r="C2809" s="19"/>
      <c r="E2809" s="59"/>
      <c r="F2809" s="58"/>
      <c r="G2809" s="59"/>
      <c r="H2809" s="58"/>
      <c r="I2809" s="58"/>
      <c r="J2809" s="58"/>
      <c r="K2809" s="58"/>
      <c r="L2809" s="58"/>
      <c r="M2809" s="59"/>
      <c r="N2809" s="58"/>
      <c r="O2809" s="59"/>
      <c r="P2809" s="58"/>
      <c r="Q2809" s="59"/>
      <c r="R2809" s="58"/>
    </row>
    <row r="2810">
      <c r="A2810" s="56"/>
      <c r="B2810" s="19"/>
      <c r="C2810" s="19"/>
      <c r="E2810" s="59"/>
      <c r="F2810" s="58"/>
      <c r="G2810" s="59"/>
      <c r="H2810" s="58"/>
      <c r="I2810" s="58"/>
      <c r="J2810" s="58"/>
      <c r="K2810" s="58"/>
      <c r="L2810" s="58"/>
      <c r="M2810" s="59"/>
      <c r="N2810" s="58"/>
      <c r="O2810" s="59"/>
      <c r="P2810" s="58"/>
      <c r="Q2810" s="59"/>
      <c r="R2810" s="58"/>
    </row>
    <row r="2811">
      <c r="A2811" s="56"/>
      <c r="B2811" s="19"/>
      <c r="C2811" s="19"/>
      <c r="E2811" s="59"/>
      <c r="F2811" s="58"/>
      <c r="G2811" s="59"/>
      <c r="H2811" s="58"/>
      <c r="I2811" s="58"/>
      <c r="J2811" s="58"/>
      <c r="K2811" s="58"/>
      <c r="L2811" s="58"/>
      <c r="M2811" s="59"/>
      <c r="N2811" s="58"/>
      <c r="O2811" s="59"/>
      <c r="P2811" s="58"/>
      <c r="Q2811" s="59"/>
      <c r="R2811" s="58"/>
    </row>
    <row r="2812">
      <c r="A2812" s="56"/>
      <c r="B2812" s="19"/>
      <c r="C2812" s="19"/>
      <c r="E2812" s="59"/>
      <c r="F2812" s="58"/>
      <c r="G2812" s="59"/>
      <c r="H2812" s="58"/>
      <c r="I2812" s="58"/>
      <c r="J2812" s="58"/>
      <c r="K2812" s="58"/>
      <c r="L2812" s="58"/>
      <c r="M2812" s="59"/>
      <c r="N2812" s="58"/>
      <c r="O2812" s="59"/>
      <c r="P2812" s="58"/>
      <c r="Q2812" s="59"/>
      <c r="R2812" s="58"/>
    </row>
    <row r="2813">
      <c r="A2813" s="56"/>
      <c r="B2813" s="19"/>
      <c r="C2813" s="19"/>
      <c r="E2813" s="59"/>
      <c r="F2813" s="58"/>
      <c r="G2813" s="59"/>
      <c r="H2813" s="58"/>
      <c r="I2813" s="58"/>
      <c r="J2813" s="58"/>
      <c r="K2813" s="58"/>
      <c r="L2813" s="58"/>
      <c r="M2813" s="59"/>
      <c r="N2813" s="58"/>
      <c r="O2813" s="59"/>
      <c r="P2813" s="58"/>
      <c r="Q2813" s="59"/>
      <c r="R2813" s="58"/>
    </row>
    <row r="2814">
      <c r="A2814" s="56"/>
      <c r="B2814" s="19"/>
      <c r="C2814" s="19"/>
      <c r="E2814" s="59"/>
      <c r="F2814" s="58"/>
      <c r="G2814" s="59"/>
      <c r="H2814" s="58"/>
      <c r="I2814" s="58"/>
      <c r="J2814" s="58"/>
      <c r="K2814" s="58"/>
      <c r="L2814" s="58"/>
      <c r="M2814" s="59"/>
      <c r="N2814" s="58"/>
      <c r="O2814" s="59"/>
      <c r="P2814" s="58"/>
      <c r="Q2814" s="59"/>
      <c r="R2814" s="58"/>
    </row>
    <row r="2815">
      <c r="A2815" s="56"/>
      <c r="B2815" s="19"/>
      <c r="C2815" s="19"/>
      <c r="E2815" s="59"/>
      <c r="F2815" s="58"/>
      <c r="G2815" s="59"/>
      <c r="H2815" s="58"/>
      <c r="I2815" s="58"/>
      <c r="J2815" s="58"/>
      <c r="K2815" s="58"/>
      <c r="L2815" s="58"/>
      <c r="M2815" s="59"/>
      <c r="N2815" s="58"/>
      <c r="O2815" s="59"/>
      <c r="P2815" s="58"/>
      <c r="Q2815" s="59"/>
      <c r="R2815" s="58"/>
    </row>
    <row r="2816">
      <c r="A2816" s="56"/>
      <c r="B2816" s="19"/>
      <c r="C2816" s="19"/>
      <c r="E2816" s="59"/>
      <c r="F2816" s="58"/>
      <c r="G2816" s="59"/>
      <c r="H2816" s="58"/>
      <c r="I2816" s="58"/>
      <c r="J2816" s="58"/>
      <c r="K2816" s="58"/>
      <c r="L2816" s="58"/>
      <c r="M2816" s="59"/>
      <c r="N2816" s="58"/>
      <c r="O2816" s="59"/>
      <c r="P2816" s="58"/>
      <c r="Q2816" s="59"/>
      <c r="R2816" s="58"/>
    </row>
    <row r="2817">
      <c r="A2817" s="56"/>
      <c r="B2817" s="19"/>
      <c r="C2817" s="19"/>
      <c r="E2817" s="59"/>
      <c r="F2817" s="58"/>
      <c r="G2817" s="59"/>
      <c r="H2817" s="58"/>
      <c r="I2817" s="58"/>
      <c r="J2817" s="58"/>
      <c r="K2817" s="58"/>
      <c r="L2817" s="58"/>
      <c r="M2817" s="59"/>
      <c r="N2817" s="58"/>
      <c r="O2817" s="59"/>
      <c r="P2817" s="58"/>
      <c r="Q2817" s="59"/>
      <c r="R2817" s="58"/>
    </row>
    <row r="2818">
      <c r="A2818" s="56"/>
      <c r="B2818" s="19"/>
      <c r="C2818" s="19"/>
      <c r="E2818" s="59"/>
      <c r="F2818" s="58"/>
      <c r="G2818" s="59"/>
      <c r="H2818" s="58"/>
      <c r="I2818" s="58"/>
      <c r="J2818" s="58"/>
      <c r="K2818" s="58"/>
      <c r="L2818" s="58"/>
      <c r="M2818" s="59"/>
      <c r="N2818" s="58"/>
      <c r="O2818" s="59"/>
      <c r="P2818" s="58"/>
      <c r="Q2818" s="59"/>
      <c r="R2818" s="58"/>
    </row>
    <row r="2819">
      <c r="A2819" s="56"/>
      <c r="B2819" s="19"/>
      <c r="C2819" s="19"/>
      <c r="E2819" s="59"/>
      <c r="F2819" s="58"/>
      <c r="G2819" s="59"/>
      <c r="H2819" s="58"/>
      <c r="I2819" s="58"/>
      <c r="J2819" s="58"/>
      <c r="K2819" s="58"/>
      <c r="L2819" s="58"/>
      <c r="M2819" s="59"/>
      <c r="N2819" s="58"/>
      <c r="O2819" s="59"/>
      <c r="P2819" s="58"/>
      <c r="Q2819" s="59"/>
      <c r="R2819" s="58"/>
    </row>
    <row r="2820">
      <c r="A2820" s="56"/>
      <c r="B2820" s="19"/>
      <c r="C2820" s="19"/>
      <c r="E2820" s="59"/>
      <c r="F2820" s="58"/>
      <c r="G2820" s="59"/>
      <c r="H2820" s="58"/>
      <c r="I2820" s="58"/>
      <c r="J2820" s="58"/>
      <c r="K2820" s="58"/>
      <c r="L2820" s="58"/>
      <c r="M2820" s="59"/>
      <c r="N2820" s="58"/>
      <c r="O2820" s="59"/>
      <c r="P2820" s="58"/>
      <c r="Q2820" s="59"/>
      <c r="R2820" s="58"/>
    </row>
    <row r="2821">
      <c r="A2821" s="56"/>
      <c r="B2821" s="19"/>
      <c r="C2821" s="19"/>
      <c r="E2821" s="59"/>
      <c r="F2821" s="58"/>
      <c r="G2821" s="59"/>
      <c r="H2821" s="58"/>
      <c r="I2821" s="58"/>
      <c r="J2821" s="58"/>
      <c r="K2821" s="58"/>
      <c r="L2821" s="58"/>
      <c r="M2821" s="59"/>
      <c r="N2821" s="58"/>
      <c r="O2821" s="59"/>
      <c r="P2821" s="58"/>
      <c r="Q2821" s="59"/>
      <c r="R2821" s="58"/>
    </row>
    <row r="2822">
      <c r="A2822" s="56"/>
      <c r="B2822" s="19"/>
      <c r="C2822" s="19"/>
      <c r="E2822" s="59"/>
      <c r="F2822" s="58"/>
      <c r="G2822" s="59"/>
      <c r="H2822" s="58"/>
      <c r="I2822" s="58"/>
      <c r="J2822" s="58"/>
      <c r="K2822" s="58"/>
      <c r="L2822" s="58"/>
      <c r="M2822" s="59"/>
      <c r="N2822" s="58"/>
      <c r="O2822" s="59"/>
      <c r="P2822" s="58"/>
      <c r="Q2822" s="59"/>
      <c r="R2822" s="58"/>
    </row>
    <row r="2823">
      <c r="A2823" s="56"/>
      <c r="B2823" s="19"/>
      <c r="C2823" s="19"/>
      <c r="E2823" s="59"/>
      <c r="F2823" s="58"/>
      <c r="G2823" s="59"/>
      <c r="H2823" s="58"/>
      <c r="I2823" s="58"/>
      <c r="J2823" s="58"/>
      <c r="K2823" s="58"/>
      <c r="L2823" s="58"/>
      <c r="M2823" s="59"/>
      <c r="N2823" s="58"/>
      <c r="O2823" s="59"/>
      <c r="P2823" s="58"/>
      <c r="Q2823" s="59"/>
      <c r="R2823" s="58"/>
    </row>
    <row r="2824">
      <c r="A2824" s="56"/>
      <c r="B2824" s="19"/>
      <c r="C2824" s="19"/>
      <c r="E2824" s="59"/>
      <c r="F2824" s="58"/>
      <c r="G2824" s="59"/>
      <c r="H2824" s="58"/>
      <c r="I2824" s="58"/>
      <c r="J2824" s="58"/>
      <c r="K2824" s="58"/>
      <c r="L2824" s="58"/>
      <c r="M2824" s="59"/>
      <c r="N2824" s="58"/>
      <c r="O2824" s="59"/>
      <c r="P2824" s="58"/>
      <c r="Q2824" s="59"/>
      <c r="R2824" s="58"/>
    </row>
    <row r="2825">
      <c r="A2825" s="56"/>
      <c r="B2825" s="19"/>
      <c r="C2825" s="19"/>
      <c r="E2825" s="59"/>
      <c r="F2825" s="58"/>
      <c r="G2825" s="59"/>
      <c r="H2825" s="58"/>
      <c r="I2825" s="58"/>
      <c r="J2825" s="58"/>
      <c r="K2825" s="58"/>
      <c r="L2825" s="58"/>
      <c r="M2825" s="59"/>
      <c r="N2825" s="58"/>
      <c r="O2825" s="59"/>
      <c r="P2825" s="58"/>
      <c r="Q2825" s="59"/>
      <c r="R2825" s="58"/>
    </row>
    <row r="2826">
      <c r="A2826" s="56"/>
      <c r="B2826" s="19"/>
      <c r="C2826" s="19"/>
      <c r="E2826" s="59"/>
      <c r="F2826" s="58"/>
      <c r="G2826" s="59"/>
      <c r="H2826" s="58"/>
      <c r="I2826" s="58"/>
      <c r="J2826" s="58"/>
      <c r="K2826" s="58"/>
      <c r="L2826" s="58"/>
      <c r="M2826" s="59"/>
      <c r="N2826" s="58"/>
      <c r="O2826" s="59"/>
      <c r="P2826" s="58"/>
      <c r="Q2826" s="59"/>
      <c r="R2826" s="58"/>
    </row>
    <row r="2827">
      <c r="A2827" s="56"/>
      <c r="B2827" s="19"/>
      <c r="C2827" s="19"/>
      <c r="E2827" s="59"/>
      <c r="F2827" s="58"/>
      <c r="G2827" s="59"/>
      <c r="H2827" s="58"/>
      <c r="I2827" s="58"/>
      <c r="J2827" s="58"/>
      <c r="K2827" s="58"/>
      <c r="L2827" s="58"/>
      <c r="M2827" s="59"/>
      <c r="N2827" s="58"/>
      <c r="O2827" s="59"/>
      <c r="P2827" s="58"/>
      <c r="Q2827" s="59"/>
      <c r="R2827" s="58"/>
    </row>
    <row r="2828">
      <c r="A2828" s="56"/>
      <c r="B2828" s="19"/>
      <c r="C2828" s="19"/>
      <c r="E2828" s="59"/>
      <c r="F2828" s="58"/>
      <c r="G2828" s="59"/>
      <c r="H2828" s="58"/>
      <c r="I2828" s="58"/>
      <c r="J2828" s="58"/>
      <c r="K2828" s="58"/>
      <c r="L2828" s="58"/>
      <c r="M2828" s="59"/>
      <c r="N2828" s="58"/>
      <c r="O2828" s="59"/>
      <c r="P2828" s="58"/>
      <c r="Q2828" s="59"/>
      <c r="R2828" s="58"/>
    </row>
    <row r="2829">
      <c r="A2829" s="56"/>
      <c r="B2829" s="19"/>
      <c r="C2829" s="19"/>
      <c r="E2829" s="59"/>
      <c r="F2829" s="58"/>
      <c r="G2829" s="59"/>
      <c r="H2829" s="58"/>
      <c r="I2829" s="58"/>
      <c r="J2829" s="58"/>
      <c r="K2829" s="58"/>
      <c r="L2829" s="58"/>
      <c r="M2829" s="59"/>
      <c r="N2829" s="58"/>
      <c r="O2829" s="59"/>
      <c r="P2829" s="58"/>
      <c r="Q2829" s="59"/>
      <c r="R2829" s="58"/>
    </row>
    <row r="2830">
      <c r="A2830" s="56"/>
      <c r="B2830" s="19"/>
      <c r="C2830" s="19"/>
      <c r="E2830" s="59"/>
      <c r="F2830" s="58"/>
      <c r="G2830" s="59"/>
      <c r="H2830" s="58"/>
      <c r="I2830" s="58"/>
      <c r="J2830" s="58"/>
      <c r="K2830" s="58"/>
      <c r="L2830" s="58"/>
      <c r="M2830" s="59"/>
      <c r="N2830" s="58"/>
      <c r="O2830" s="59"/>
      <c r="P2830" s="58"/>
      <c r="Q2830" s="59"/>
      <c r="R2830" s="58"/>
    </row>
    <row r="2831">
      <c r="A2831" s="56"/>
      <c r="B2831" s="19"/>
      <c r="C2831" s="19"/>
      <c r="E2831" s="59"/>
      <c r="F2831" s="58"/>
      <c r="G2831" s="59"/>
      <c r="H2831" s="58"/>
      <c r="I2831" s="58"/>
      <c r="J2831" s="58"/>
      <c r="K2831" s="58"/>
      <c r="L2831" s="58"/>
      <c r="M2831" s="59"/>
      <c r="N2831" s="58"/>
      <c r="O2831" s="59"/>
      <c r="P2831" s="58"/>
      <c r="Q2831" s="59"/>
      <c r="R2831" s="58"/>
    </row>
    <row r="2832">
      <c r="A2832" s="56"/>
      <c r="B2832" s="19"/>
      <c r="C2832" s="19"/>
      <c r="E2832" s="59"/>
      <c r="F2832" s="58"/>
      <c r="G2832" s="59"/>
      <c r="H2832" s="58"/>
      <c r="I2832" s="58"/>
      <c r="J2832" s="58"/>
      <c r="K2832" s="58"/>
      <c r="L2832" s="58"/>
      <c r="M2832" s="59"/>
      <c r="N2832" s="58"/>
      <c r="O2832" s="59"/>
      <c r="P2832" s="58"/>
      <c r="Q2832" s="59"/>
      <c r="R2832" s="58"/>
    </row>
    <row r="2833">
      <c r="A2833" s="56"/>
      <c r="B2833" s="19"/>
      <c r="C2833" s="19"/>
      <c r="E2833" s="59"/>
      <c r="F2833" s="58"/>
      <c r="G2833" s="59"/>
      <c r="H2833" s="58"/>
      <c r="I2833" s="58"/>
      <c r="J2833" s="58"/>
      <c r="K2833" s="58"/>
      <c r="L2833" s="58"/>
      <c r="M2833" s="59"/>
      <c r="N2833" s="58"/>
      <c r="O2833" s="59"/>
      <c r="P2833" s="58"/>
      <c r="Q2833" s="59"/>
      <c r="R2833" s="58"/>
    </row>
    <row r="2834">
      <c r="A2834" s="56"/>
      <c r="B2834" s="19"/>
      <c r="C2834" s="19"/>
      <c r="E2834" s="59"/>
      <c r="F2834" s="58"/>
      <c r="G2834" s="59"/>
      <c r="H2834" s="58"/>
      <c r="I2834" s="58"/>
      <c r="J2834" s="58"/>
      <c r="K2834" s="58"/>
      <c r="L2834" s="58"/>
      <c r="M2834" s="59"/>
      <c r="N2834" s="58"/>
      <c r="O2834" s="59"/>
      <c r="P2834" s="58"/>
      <c r="Q2834" s="59"/>
      <c r="R2834" s="58"/>
    </row>
    <row r="2835">
      <c r="A2835" s="56"/>
      <c r="B2835" s="19"/>
      <c r="C2835" s="19"/>
      <c r="E2835" s="59"/>
      <c r="F2835" s="58"/>
      <c r="G2835" s="59"/>
      <c r="H2835" s="58"/>
      <c r="I2835" s="58"/>
      <c r="J2835" s="58"/>
      <c r="K2835" s="58"/>
      <c r="L2835" s="58"/>
      <c r="M2835" s="59"/>
      <c r="N2835" s="58"/>
      <c r="O2835" s="59"/>
      <c r="P2835" s="58"/>
      <c r="Q2835" s="59"/>
      <c r="R2835" s="58"/>
    </row>
    <row r="2836">
      <c r="A2836" s="56"/>
      <c r="B2836" s="19"/>
      <c r="C2836" s="19"/>
      <c r="E2836" s="59"/>
      <c r="F2836" s="58"/>
      <c r="G2836" s="59"/>
      <c r="H2836" s="58"/>
      <c r="I2836" s="58"/>
      <c r="J2836" s="58"/>
      <c r="K2836" s="58"/>
      <c r="L2836" s="58"/>
      <c r="M2836" s="59"/>
      <c r="N2836" s="58"/>
      <c r="O2836" s="59"/>
      <c r="P2836" s="58"/>
      <c r="Q2836" s="59"/>
      <c r="R2836" s="58"/>
    </row>
    <row r="2837">
      <c r="A2837" s="56"/>
      <c r="B2837" s="19"/>
      <c r="C2837" s="19"/>
      <c r="E2837" s="59"/>
      <c r="F2837" s="58"/>
      <c r="G2837" s="59"/>
      <c r="H2837" s="58"/>
      <c r="I2837" s="58"/>
      <c r="J2837" s="58"/>
      <c r="K2837" s="58"/>
      <c r="L2837" s="58"/>
      <c r="M2837" s="59"/>
      <c r="N2837" s="58"/>
      <c r="O2837" s="59"/>
      <c r="P2837" s="58"/>
      <c r="Q2837" s="59"/>
      <c r="R2837" s="58"/>
    </row>
    <row r="2838">
      <c r="A2838" s="56"/>
      <c r="B2838" s="19"/>
      <c r="C2838" s="19"/>
      <c r="E2838" s="59"/>
      <c r="F2838" s="58"/>
      <c r="G2838" s="59"/>
      <c r="H2838" s="58"/>
      <c r="I2838" s="58"/>
      <c r="J2838" s="58"/>
      <c r="K2838" s="58"/>
      <c r="L2838" s="58"/>
      <c r="M2838" s="59"/>
      <c r="N2838" s="58"/>
      <c r="O2838" s="59"/>
      <c r="P2838" s="58"/>
      <c r="Q2838" s="59"/>
      <c r="R2838" s="58"/>
    </row>
    <row r="2839">
      <c r="A2839" s="56"/>
      <c r="B2839" s="19"/>
      <c r="C2839" s="19"/>
      <c r="E2839" s="59"/>
      <c r="F2839" s="58"/>
      <c r="G2839" s="59"/>
      <c r="H2839" s="58"/>
      <c r="I2839" s="58"/>
      <c r="J2839" s="58"/>
      <c r="K2839" s="58"/>
      <c r="L2839" s="58"/>
      <c r="M2839" s="59"/>
      <c r="N2839" s="58"/>
      <c r="O2839" s="59"/>
      <c r="P2839" s="58"/>
      <c r="Q2839" s="59"/>
      <c r="R2839" s="58"/>
    </row>
    <row r="2840">
      <c r="A2840" s="56"/>
      <c r="B2840" s="19"/>
      <c r="C2840" s="19"/>
      <c r="E2840" s="59"/>
      <c r="F2840" s="58"/>
      <c r="G2840" s="59"/>
      <c r="H2840" s="58"/>
      <c r="I2840" s="58"/>
      <c r="J2840" s="58"/>
      <c r="K2840" s="58"/>
      <c r="L2840" s="58"/>
      <c r="M2840" s="59"/>
      <c r="N2840" s="58"/>
      <c r="O2840" s="59"/>
      <c r="P2840" s="58"/>
      <c r="Q2840" s="59"/>
      <c r="R2840" s="58"/>
    </row>
    <row r="2841">
      <c r="A2841" s="56"/>
      <c r="B2841" s="19"/>
      <c r="C2841" s="19"/>
      <c r="E2841" s="59"/>
      <c r="F2841" s="58"/>
      <c r="G2841" s="59"/>
      <c r="H2841" s="58"/>
      <c r="I2841" s="58"/>
      <c r="J2841" s="58"/>
      <c r="K2841" s="58"/>
      <c r="L2841" s="58"/>
      <c r="M2841" s="59"/>
      <c r="N2841" s="58"/>
      <c r="O2841" s="59"/>
      <c r="P2841" s="58"/>
      <c r="Q2841" s="59"/>
      <c r="R2841" s="58"/>
    </row>
    <row r="2842">
      <c r="A2842" s="56"/>
      <c r="B2842" s="19"/>
      <c r="C2842" s="19"/>
      <c r="E2842" s="59"/>
      <c r="F2842" s="58"/>
      <c r="G2842" s="59"/>
      <c r="H2842" s="58"/>
      <c r="I2842" s="58"/>
      <c r="J2842" s="58"/>
      <c r="K2842" s="58"/>
      <c r="L2842" s="58"/>
      <c r="M2842" s="59"/>
      <c r="N2842" s="58"/>
      <c r="O2842" s="59"/>
      <c r="P2842" s="58"/>
      <c r="Q2842" s="59"/>
      <c r="R2842" s="58"/>
    </row>
    <row r="2843">
      <c r="A2843" s="56"/>
      <c r="B2843" s="19"/>
      <c r="C2843" s="19"/>
      <c r="E2843" s="59"/>
      <c r="F2843" s="58"/>
      <c r="G2843" s="59"/>
      <c r="H2843" s="58"/>
      <c r="I2843" s="58"/>
      <c r="J2843" s="58"/>
      <c r="K2843" s="58"/>
      <c r="L2843" s="58"/>
      <c r="M2843" s="59"/>
      <c r="N2843" s="58"/>
      <c r="O2843" s="59"/>
      <c r="P2843" s="58"/>
      <c r="Q2843" s="59"/>
      <c r="R2843" s="58"/>
    </row>
    <row r="2844">
      <c r="A2844" s="56"/>
      <c r="B2844" s="19"/>
      <c r="C2844" s="19"/>
      <c r="E2844" s="59"/>
      <c r="F2844" s="58"/>
      <c r="G2844" s="59"/>
      <c r="H2844" s="58"/>
      <c r="I2844" s="58"/>
      <c r="J2844" s="58"/>
      <c r="K2844" s="58"/>
      <c r="L2844" s="58"/>
      <c r="M2844" s="59"/>
      <c r="N2844" s="58"/>
      <c r="O2844" s="59"/>
      <c r="P2844" s="58"/>
      <c r="Q2844" s="59"/>
      <c r="R2844" s="58"/>
    </row>
    <row r="2845">
      <c r="A2845" s="56"/>
      <c r="B2845" s="19"/>
      <c r="C2845" s="19"/>
      <c r="E2845" s="59"/>
      <c r="F2845" s="58"/>
      <c r="G2845" s="59"/>
      <c r="H2845" s="58"/>
      <c r="I2845" s="58"/>
      <c r="J2845" s="58"/>
      <c r="K2845" s="58"/>
      <c r="L2845" s="58"/>
      <c r="M2845" s="59"/>
      <c r="N2845" s="58"/>
      <c r="O2845" s="59"/>
      <c r="P2845" s="58"/>
      <c r="Q2845" s="59"/>
      <c r="R2845" s="58"/>
    </row>
    <row r="2846">
      <c r="A2846" s="56"/>
      <c r="B2846" s="19"/>
      <c r="C2846" s="19"/>
      <c r="E2846" s="59"/>
      <c r="F2846" s="58"/>
      <c r="G2846" s="59"/>
      <c r="H2846" s="58"/>
      <c r="I2846" s="58"/>
      <c r="J2846" s="58"/>
      <c r="K2846" s="58"/>
      <c r="L2846" s="58"/>
      <c r="M2846" s="59"/>
      <c r="N2846" s="58"/>
      <c r="O2846" s="59"/>
      <c r="P2846" s="58"/>
      <c r="Q2846" s="59"/>
      <c r="R2846" s="58"/>
    </row>
    <row r="2847">
      <c r="A2847" s="56"/>
      <c r="B2847" s="19"/>
      <c r="C2847" s="19"/>
      <c r="E2847" s="59"/>
      <c r="F2847" s="58"/>
      <c r="G2847" s="59"/>
      <c r="H2847" s="58"/>
      <c r="I2847" s="58"/>
      <c r="J2847" s="58"/>
      <c r="K2847" s="58"/>
      <c r="L2847" s="58"/>
      <c r="M2847" s="59"/>
      <c r="N2847" s="58"/>
      <c r="O2847" s="59"/>
      <c r="P2847" s="58"/>
      <c r="Q2847" s="59"/>
      <c r="R2847" s="58"/>
    </row>
    <row r="2848">
      <c r="A2848" s="56"/>
      <c r="B2848" s="19"/>
      <c r="C2848" s="19"/>
      <c r="E2848" s="59"/>
      <c r="F2848" s="58"/>
      <c r="G2848" s="59"/>
      <c r="H2848" s="58"/>
      <c r="I2848" s="58"/>
      <c r="J2848" s="58"/>
      <c r="K2848" s="58"/>
      <c r="L2848" s="58"/>
      <c r="M2848" s="59"/>
      <c r="N2848" s="58"/>
      <c r="O2848" s="59"/>
      <c r="P2848" s="58"/>
      <c r="Q2848" s="59"/>
      <c r="R2848" s="58"/>
    </row>
    <row r="2849">
      <c r="A2849" s="56"/>
      <c r="B2849" s="19"/>
      <c r="C2849" s="19"/>
      <c r="E2849" s="59"/>
      <c r="F2849" s="58"/>
      <c r="G2849" s="59"/>
      <c r="H2849" s="58"/>
      <c r="I2849" s="58"/>
      <c r="J2849" s="58"/>
      <c r="K2849" s="58"/>
      <c r="L2849" s="58"/>
      <c r="M2849" s="59"/>
      <c r="N2849" s="58"/>
      <c r="O2849" s="59"/>
      <c r="P2849" s="58"/>
      <c r="Q2849" s="59"/>
      <c r="R2849" s="58"/>
    </row>
    <row r="2850">
      <c r="A2850" s="56"/>
      <c r="B2850" s="19"/>
      <c r="C2850" s="19"/>
      <c r="E2850" s="59"/>
      <c r="F2850" s="58"/>
      <c r="G2850" s="59"/>
      <c r="H2850" s="58"/>
      <c r="I2850" s="58"/>
      <c r="J2850" s="58"/>
      <c r="K2850" s="58"/>
      <c r="L2850" s="58"/>
      <c r="M2850" s="59"/>
      <c r="N2850" s="58"/>
      <c r="O2850" s="59"/>
      <c r="P2850" s="58"/>
      <c r="Q2850" s="59"/>
      <c r="R2850" s="58"/>
    </row>
    <row r="2851">
      <c r="A2851" s="56"/>
      <c r="B2851" s="19"/>
      <c r="C2851" s="19"/>
      <c r="E2851" s="59"/>
      <c r="F2851" s="58"/>
      <c r="G2851" s="59"/>
      <c r="H2851" s="58"/>
      <c r="I2851" s="58"/>
      <c r="J2851" s="58"/>
      <c r="K2851" s="58"/>
      <c r="L2851" s="58"/>
      <c r="M2851" s="59"/>
      <c r="N2851" s="58"/>
      <c r="O2851" s="59"/>
      <c r="P2851" s="58"/>
      <c r="Q2851" s="59"/>
      <c r="R2851" s="58"/>
    </row>
    <row r="2852">
      <c r="A2852" s="56"/>
      <c r="B2852" s="19"/>
      <c r="C2852" s="19"/>
      <c r="E2852" s="59"/>
      <c r="F2852" s="58"/>
      <c r="G2852" s="59"/>
      <c r="H2852" s="58"/>
      <c r="I2852" s="58"/>
      <c r="J2852" s="58"/>
      <c r="K2852" s="58"/>
      <c r="L2852" s="58"/>
      <c r="M2852" s="59"/>
      <c r="N2852" s="58"/>
      <c r="O2852" s="59"/>
      <c r="P2852" s="58"/>
      <c r="Q2852" s="59"/>
      <c r="R2852" s="58"/>
    </row>
    <row r="2853">
      <c r="A2853" s="56"/>
      <c r="B2853" s="19"/>
      <c r="C2853" s="19"/>
      <c r="E2853" s="59"/>
      <c r="F2853" s="58"/>
      <c r="G2853" s="59"/>
      <c r="H2853" s="58"/>
      <c r="I2853" s="58"/>
      <c r="J2853" s="58"/>
      <c r="K2853" s="58"/>
      <c r="L2853" s="58"/>
      <c r="M2853" s="59"/>
      <c r="N2853" s="58"/>
      <c r="O2853" s="59"/>
      <c r="P2853" s="58"/>
      <c r="Q2853" s="59"/>
      <c r="R2853" s="58"/>
    </row>
    <row r="2854">
      <c r="A2854" s="56"/>
      <c r="B2854" s="19"/>
      <c r="C2854" s="19"/>
      <c r="E2854" s="59"/>
      <c r="F2854" s="58"/>
      <c r="G2854" s="59"/>
      <c r="H2854" s="58"/>
      <c r="I2854" s="58"/>
      <c r="J2854" s="58"/>
      <c r="K2854" s="58"/>
      <c r="L2854" s="58"/>
      <c r="M2854" s="59"/>
      <c r="N2854" s="58"/>
      <c r="O2854" s="59"/>
      <c r="P2854" s="58"/>
      <c r="Q2854" s="59"/>
      <c r="R2854" s="58"/>
    </row>
    <row r="2855">
      <c r="A2855" s="56"/>
      <c r="B2855" s="19"/>
      <c r="C2855" s="19"/>
      <c r="E2855" s="59"/>
      <c r="F2855" s="58"/>
      <c r="G2855" s="59"/>
      <c r="H2855" s="58"/>
      <c r="I2855" s="58"/>
      <c r="J2855" s="58"/>
      <c r="K2855" s="58"/>
      <c r="L2855" s="58"/>
      <c r="M2855" s="59"/>
      <c r="N2855" s="58"/>
      <c r="O2855" s="59"/>
      <c r="P2855" s="58"/>
      <c r="Q2855" s="59"/>
      <c r="R2855" s="58"/>
    </row>
    <row r="2856">
      <c r="A2856" s="56"/>
      <c r="B2856" s="19"/>
      <c r="C2856" s="19"/>
      <c r="E2856" s="59"/>
      <c r="F2856" s="58"/>
      <c r="G2856" s="59"/>
      <c r="H2856" s="58"/>
      <c r="I2856" s="58"/>
      <c r="J2856" s="58"/>
      <c r="K2856" s="58"/>
      <c r="L2856" s="58"/>
      <c r="M2856" s="59"/>
      <c r="N2856" s="58"/>
      <c r="O2856" s="59"/>
      <c r="P2856" s="58"/>
      <c r="Q2856" s="59"/>
      <c r="R2856" s="58"/>
    </row>
    <row r="2857">
      <c r="A2857" s="56"/>
      <c r="B2857" s="19"/>
      <c r="C2857" s="19"/>
      <c r="E2857" s="59"/>
      <c r="F2857" s="58"/>
      <c r="G2857" s="59"/>
      <c r="H2857" s="58"/>
      <c r="I2857" s="58"/>
      <c r="J2857" s="58"/>
      <c r="K2857" s="58"/>
      <c r="L2857" s="58"/>
      <c r="M2857" s="59"/>
      <c r="N2857" s="58"/>
      <c r="O2857" s="59"/>
      <c r="P2857" s="58"/>
      <c r="Q2857" s="59"/>
      <c r="R2857" s="58"/>
    </row>
    <row r="2858">
      <c r="A2858" s="56"/>
      <c r="B2858" s="19"/>
      <c r="C2858" s="19"/>
      <c r="E2858" s="59"/>
      <c r="F2858" s="58"/>
      <c r="G2858" s="59"/>
      <c r="H2858" s="58"/>
      <c r="I2858" s="58"/>
      <c r="J2858" s="58"/>
      <c r="K2858" s="58"/>
      <c r="L2858" s="58"/>
      <c r="M2858" s="59"/>
      <c r="N2858" s="58"/>
      <c r="O2858" s="59"/>
      <c r="P2858" s="58"/>
      <c r="Q2858" s="59"/>
      <c r="R2858" s="58"/>
    </row>
    <row r="2859">
      <c r="A2859" s="56"/>
      <c r="B2859" s="19"/>
      <c r="C2859" s="19"/>
      <c r="E2859" s="59"/>
      <c r="F2859" s="58"/>
      <c r="G2859" s="59"/>
      <c r="H2859" s="58"/>
      <c r="I2859" s="58"/>
      <c r="J2859" s="58"/>
      <c r="K2859" s="58"/>
      <c r="L2859" s="58"/>
      <c r="M2859" s="59"/>
      <c r="N2859" s="58"/>
      <c r="O2859" s="59"/>
      <c r="P2859" s="58"/>
      <c r="Q2859" s="59"/>
      <c r="R2859" s="58"/>
    </row>
    <row r="2860">
      <c r="A2860" s="56"/>
      <c r="B2860" s="19"/>
      <c r="C2860" s="19"/>
      <c r="E2860" s="59"/>
      <c r="F2860" s="58"/>
      <c r="G2860" s="59"/>
      <c r="H2860" s="58"/>
      <c r="I2860" s="58"/>
      <c r="J2860" s="58"/>
      <c r="K2860" s="58"/>
      <c r="L2860" s="58"/>
      <c r="M2860" s="59"/>
      <c r="N2860" s="58"/>
      <c r="O2860" s="59"/>
      <c r="P2860" s="58"/>
      <c r="Q2860" s="59"/>
      <c r="R2860" s="58"/>
    </row>
    <row r="2861">
      <c r="A2861" s="56"/>
      <c r="B2861" s="19"/>
      <c r="C2861" s="19"/>
      <c r="E2861" s="59"/>
      <c r="F2861" s="58"/>
      <c r="G2861" s="59"/>
      <c r="H2861" s="58"/>
      <c r="I2861" s="58"/>
      <c r="J2861" s="58"/>
      <c r="K2861" s="58"/>
      <c r="L2861" s="58"/>
      <c r="M2861" s="59"/>
      <c r="N2861" s="58"/>
      <c r="O2861" s="59"/>
      <c r="P2861" s="58"/>
      <c r="Q2861" s="59"/>
      <c r="R2861" s="58"/>
    </row>
    <row r="2862">
      <c r="A2862" s="56"/>
      <c r="B2862" s="19"/>
      <c r="C2862" s="19"/>
      <c r="E2862" s="59"/>
      <c r="F2862" s="58"/>
      <c r="G2862" s="59"/>
      <c r="H2862" s="58"/>
      <c r="I2862" s="58"/>
      <c r="J2862" s="58"/>
      <c r="K2862" s="58"/>
      <c r="L2862" s="58"/>
      <c r="M2862" s="59"/>
      <c r="N2862" s="58"/>
      <c r="O2862" s="59"/>
      <c r="P2862" s="58"/>
      <c r="Q2862" s="59"/>
      <c r="R2862" s="58"/>
    </row>
    <row r="2863">
      <c r="A2863" s="56"/>
      <c r="B2863" s="19"/>
      <c r="C2863" s="19"/>
      <c r="E2863" s="59"/>
      <c r="F2863" s="58"/>
      <c r="G2863" s="59"/>
      <c r="H2863" s="58"/>
      <c r="I2863" s="58"/>
      <c r="J2863" s="58"/>
      <c r="K2863" s="58"/>
      <c r="L2863" s="58"/>
      <c r="M2863" s="59"/>
      <c r="N2863" s="58"/>
      <c r="O2863" s="59"/>
      <c r="P2863" s="58"/>
      <c r="Q2863" s="59"/>
      <c r="R2863" s="58"/>
    </row>
    <row r="2864">
      <c r="A2864" s="56"/>
      <c r="B2864" s="19"/>
      <c r="C2864" s="19"/>
      <c r="E2864" s="59"/>
      <c r="F2864" s="58"/>
      <c r="G2864" s="59"/>
      <c r="H2864" s="58"/>
      <c r="I2864" s="58"/>
      <c r="J2864" s="58"/>
      <c r="K2864" s="58"/>
      <c r="L2864" s="58"/>
      <c r="M2864" s="59"/>
      <c r="N2864" s="58"/>
      <c r="O2864" s="59"/>
      <c r="P2864" s="58"/>
      <c r="Q2864" s="59"/>
      <c r="R2864" s="58"/>
    </row>
    <row r="2865">
      <c r="A2865" s="56"/>
      <c r="B2865" s="19"/>
      <c r="C2865" s="19"/>
      <c r="E2865" s="59"/>
      <c r="F2865" s="58"/>
      <c r="G2865" s="59"/>
      <c r="H2865" s="58"/>
      <c r="I2865" s="58"/>
      <c r="J2865" s="58"/>
      <c r="K2865" s="58"/>
      <c r="L2865" s="58"/>
      <c r="M2865" s="59"/>
      <c r="N2865" s="58"/>
      <c r="O2865" s="59"/>
      <c r="P2865" s="58"/>
      <c r="Q2865" s="59"/>
      <c r="R2865" s="58"/>
    </row>
    <row r="2866">
      <c r="A2866" s="56"/>
      <c r="B2866" s="19"/>
      <c r="C2866" s="19"/>
      <c r="E2866" s="59"/>
      <c r="F2866" s="58"/>
      <c r="G2866" s="59"/>
      <c r="H2866" s="58"/>
      <c r="I2866" s="58"/>
      <c r="J2866" s="58"/>
      <c r="K2866" s="58"/>
      <c r="L2866" s="58"/>
      <c r="M2866" s="59"/>
      <c r="N2866" s="58"/>
      <c r="O2866" s="59"/>
      <c r="P2866" s="58"/>
      <c r="Q2866" s="59"/>
      <c r="R2866" s="58"/>
    </row>
    <row r="2867">
      <c r="A2867" s="56"/>
      <c r="B2867" s="19"/>
      <c r="C2867" s="19"/>
      <c r="E2867" s="59"/>
      <c r="F2867" s="58"/>
      <c r="G2867" s="59"/>
      <c r="H2867" s="58"/>
      <c r="I2867" s="58"/>
      <c r="J2867" s="58"/>
      <c r="K2867" s="58"/>
      <c r="L2867" s="58"/>
      <c r="M2867" s="59"/>
      <c r="N2867" s="58"/>
      <c r="O2867" s="59"/>
      <c r="P2867" s="58"/>
      <c r="Q2867" s="59"/>
      <c r="R2867" s="58"/>
    </row>
    <row r="2868">
      <c r="A2868" s="56"/>
      <c r="B2868" s="19"/>
      <c r="C2868" s="19"/>
      <c r="E2868" s="59"/>
      <c r="F2868" s="58"/>
      <c r="G2868" s="59"/>
      <c r="H2868" s="58"/>
      <c r="I2868" s="58"/>
      <c r="J2868" s="58"/>
      <c r="K2868" s="58"/>
      <c r="L2868" s="58"/>
      <c r="M2868" s="59"/>
      <c r="N2868" s="58"/>
      <c r="O2868" s="59"/>
      <c r="P2868" s="58"/>
      <c r="Q2868" s="59"/>
      <c r="R2868" s="58"/>
    </row>
    <row r="2869">
      <c r="A2869" s="56"/>
      <c r="B2869" s="19"/>
      <c r="C2869" s="19"/>
      <c r="E2869" s="59"/>
      <c r="F2869" s="58"/>
      <c r="G2869" s="59"/>
      <c r="H2869" s="58"/>
      <c r="I2869" s="58"/>
      <c r="J2869" s="58"/>
      <c r="K2869" s="58"/>
      <c r="L2869" s="58"/>
      <c r="M2869" s="59"/>
      <c r="N2869" s="58"/>
      <c r="O2869" s="59"/>
      <c r="P2869" s="58"/>
      <c r="Q2869" s="59"/>
      <c r="R2869" s="58"/>
    </row>
    <row r="2870">
      <c r="A2870" s="56"/>
      <c r="B2870" s="19"/>
      <c r="C2870" s="19"/>
      <c r="E2870" s="59"/>
      <c r="F2870" s="58"/>
      <c r="G2870" s="59"/>
      <c r="H2870" s="58"/>
      <c r="I2870" s="58"/>
      <c r="J2870" s="58"/>
      <c r="K2870" s="58"/>
      <c r="L2870" s="58"/>
      <c r="M2870" s="59"/>
      <c r="N2870" s="58"/>
      <c r="O2870" s="59"/>
      <c r="P2870" s="58"/>
      <c r="Q2870" s="59"/>
      <c r="R2870" s="58"/>
    </row>
    <row r="2871">
      <c r="A2871" s="56"/>
      <c r="B2871" s="19"/>
      <c r="C2871" s="19"/>
      <c r="E2871" s="59"/>
      <c r="F2871" s="58"/>
      <c r="G2871" s="59"/>
      <c r="H2871" s="58"/>
      <c r="I2871" s="58"/>
      <c r="J2871" s="58"/>
      <c r="K2871" s="58"/>
      <c r="L2871" s="58"/>
      <c r="M2871" s="59"/>
      <c r="N2871" s="58"/>
      <c r="O2871" s="59"/>
      <c r="P2871" s="58"/>
      <c r="Q2871" s="59"/>
      <c r="R2871" s="58"/>
    </row>
    <row r="2872">
      <c r="A2872" s="56"/>
      <c r="B2872" s="19"/>
      <c r="C2872" s="19"/>
      <c r="E2872" s="59"/>
      <c r="F2872" s="58"/>
      <c r="G2872" s="59"/>
      <c r="H2872" s="58"/>
      <c r="I2872" s="58"/>
      <c r="J2872" s="58"/>
      <c r="K2872" s="58"/>
      <c r="L2872" s="58"/>
      <c r="M2872" s="59"/>
      <c r="N2872" s="58"/>
      <c r="O2872" s="59"/>
      <c r="P2872" s="58"/>
      <c r="Q2872" s="59"/>
      <c r="R2872" s="58"/>
    </row>
    <row r="2873">
      <c r="A2873" s="56"/>
      <c r="B2873" s="19"/>
      <c r="C2873" s="19"/>
      <c r="E2873" s="59"/>
      <c r="F2873" s="58"/>
      <c r="G2873" s="59"/>
      <c r="H2873" s="58"/>
      <c r="I2873" s="58"/>
      <c r="J2873" s="58"/>
      <c r="K2873" s="58"/>
      <c r="L2873" s="58"/>
      <c r="M2873" s="59"/>
      <c r="N2873" s="58"/>
      <c r="O2873" s="59"/>
      <c r="P2873" s="58"/>
      <c r="Q2873" s="59"/>
      <c r="R2873" s="58"/>
    </row>
    <row r="2874">
      <c r="A2874" s="56"/>
      <c r="B2874" s="19"/>
      <c r="C2874" s="19"/>
      <c r="E2874" s="59"/>
      <c r="F2874" s="58"/>
      <c r="G2874" s="59"/>
      <c r="H2874" s="58"/>
      <c r="I2874" s="58"/>
      <c r="J2874" s="58"/>
      <c r="K2874" s="58"/>
      <c r="L2874" s="58"/>
      <c r="M2874" s="59"/>
      <c r="N2874" s="58"/>
      <c r="O2874" s="59"/>
      <c r="P2874" s="58"/>
      <c r="Q2874" s="59"/>
      <c r="R2874" s="58"/>
    </row>
    <row r="2875">
      <c r="A2875" s="56"/>
      <c r="B2875" s="19"/>
      <c r="C2875" s="19"/>
      <c r="E2875" s="59"/>
      <c r="F2875" s="58"/>
      <c r="G2875" s="59"/>
      <c r="H2875" s="58"/>
      <c r="I2875" s="58"/>
      <c r="J2875" s="58"/>
      <c r="K2875" s="58"/>
      <c r="L2875" s="58"/>
      <c r="M2875" s="59"/>
      <c r="N2875" s="58"/>
      <c r="O2875" s="59"/>
      <c r="P2875" s="58"/>
      <c r="Q2875" s="59"/>
      <c r="R2875" s="58"/>
    </row>
    <row r="2876">
      <c r="A2876" s="56"/>
      <c r="B2876" s="19"/>
      <c r="C2876" s="19"/>
      <c r="E2876" s="59"/>
      <c r="F2876" s="58"/>
      <c r="G2876" s="59"/>
      <c r="H2876" s="58"/>
      <c r="I2876" s="58"/>
      <c r="J2876" s="58"/>
      <c r="K2876" s="58"/>
      <c r="L2876" s="58"/>
      <c r="M2876" s="59"/>
      <c r="N2876" s="58"/>
      <c r="O2876" s="59"/>
      <c r="P2876" s="58"/>
      <c r="Q2876" s="59"/>
      <c r="R2876" s="58"/>
    </row>
    <row r="2877">
      <c r="A2877" s="56"/>
      <c r="B2877" s="19"/>
      <c r="C2877" s="19"/>
      <c r="E2877" s="59"/>
      <c r="F2877" s="58"/>
      <c r="G2877" s="59"/>
      <c r="H2877" s="58"/>
      <c r="I2877" s="58"/>
      <c r="J2877" s="58"/>
      <c r="K2877" s="58"/>
      <c r="L2877" s="58"/>
      <c r="M2877" s="59"/>
      <c r="N2877" s="58"/>
      <c r="O2877" s="59"/>
      <c r="P2877" s="58"/>
      <c r="Q2877" s="59"/>
      <c r="R2877" s="58"/>
    </row>
    <row r="2878">
      <c r="A2878" s="56"/>
      <c r="B2878" s="19"/>
      <c r="C2878" s="19"/>
      <c r="E2878" s="59"/>
      <c r="F2878" s="58"/>
      <c r="G2878" s="59"/>
      <c r="H2878" s="58"/>
      <c r="I2878" s="58"/>
      <c r="J2878" s="58"/>
      <c r="K2878" s="58"/>
      <c r="L2878" s="58"/>
      <c r="M2878" s="59"/>
      <c r="N2878" s="58"/>
      <c r="O2878" s="59"/>
      <c r="P2878" s="58"/>
      <c r="Q2878" s="59"/>
      <c r="R2878" s="58"/>
    </row>
    <row r="2879">
      <c r="A2879" s="56"/>
      <c r="B2879" s="19"/>
      <c r="C2879" s="19"/>
      <c r="E2879" s="59"/>
      <c r="F2879" s="58"/>
      <c r="G2879" s="59"/>
      <c r="H2879" s="58"/>
      <c r="I2879" s="58"/>
      <c r="J2879" s="58"/>
      <c r="K2879" s="58"/>
      <c r="L2879" s="58"/>
      <c r="M2879" s="59"/>
      <c r="N2879" s="58"/>
      <c r="O2879" s="59"/>
      <c r="P2879" s="58"/>
      <c r="Q2879" s="59"/>
      <c r="R2879" s="58"/>
    </row>
    <row r="2880">
      <c r="A2880" s="56"/>
      <c r="B2880" s="19"/>
      <c r="C2880" s="19"/>
      <c r="E2880" s="59"/>
      <c r="F2880" s="58"/>
      <c r="G2880" s="59"/>
      <c r="H2880" s="58"/>
      <c r="I2880" s="58"/>
      <c r="J2880" s="58"/>
      <c r="K2880" s="58"/>
      <c r="L2880" s="58"/>
      <c r="M2880" s="59"/>
      <c r="N2880" s="58"/>
      <c r="O2880" s="59"/>
      <c r="P2880" s="58"/>
      <c r="Q2880" s="59"/>
      <c r="R2880" s="58"/>
    </row>
    <row r="2881">
      <c r="A2881" s="56"/>
      <c r="B2881" s="19"/>
      <c r="C2881" s="19"/>
      <c r="E2881" s="59"/>
      <c r="F2881" s="58"/>
      <c r="G2881" s="59"/>
      <c r="H2881" s="58"/>
      <c r="I2881" s="58"/>
      <c r="J2881" s="58"/>
      <c r="K2881" s="58"/>
      <c r="L2881" s="58"/>
      <c r="M2881" s="59"/>
      <c r="N2881" s="58"/>
      <c r="O2881" s="59"/>
      <c r="P2881" s="58"/>
      <c r="Q2881" s="59"/>
      <c r="R2881" s="58"/>
    </row>
    <row r="2882">
      <c r="A2882" s="56"/>
      <c r="B2882" s="19"/>
      <c r="C2882" s="19"/>
      <c r="E2882" s="59"/>
      <c r="F2882" s="58"/>
      <c r="G2882" s="59"/>
      <c r="H2882" s="58"/>
      <c r="I2882" s="58"/>
      <c r="J2882" s="58"/>
      <c r="K2882" s="58"/>
      <c r="L2882" s="58"/>
      <c r="M2882" s="59"/>
      <c r="N2882" s="58"/>
      <c r="O2882" s="59"/>
      <c r="P2882" s="58"/>
      <c r="Q2882" s="59"/>
      <c r="R2882" s="58"/>
    </row>
    <row r="2883">
      <c r="A2883" s="56"/>
      <c r="B2883" s="19"/>
      <c r="C2883" s="19"/>
      <c r="E2883" s="59"/>
      <c r="F2883" s="58"/>
      <c r="G2883" s="59"/>
      <c r="H2883" s="58"/>
      <c r="I2883" s="58"/>
      <c r="J2883" s="58"/>
      <c r="K2883" s="58"/>
      <c r="L2883" s="58"/>
      <c r="M2883" s="59"/>
      <c r="N2883" s="58"/>
      <c r="O2883" s="59"/>
      <c r="P2883" s="58"/>
      <c r="Q2883" s="59"/>
      <c r="R2883" s="58"/>
    </row>
    <row r="2884">
      <c r="A2884" s="56"/>
      <c r="B2884" s="19"/>
      <c r="C2884" s="19"/>
      <c r="E2884" s="59"/>
      <c r="F2884" s="58"/>
      <c r="G2884" s="59"/>
      <c r="H2884" s="58"/>
      <c r="I2884" s="58"/>
      <c r="J2884" s="58"/>
      <c r="K2884" s="58"/>
      <c r="L2884" s="58"/>
      <c r="M2884" s="59"/>
      <c r="N2884" s="58"/>
      <c r="O2884" s="59"/>
      <c r="P2884" s="58"/>
      <c r="Q2884" s="59"/>
      <c r="R2884" s="58"/>
    </row>
    <row r="2885">
      <c r="A2885" s="56"/>
      <c r="B2885" s="19"/>
      <c r="C2885" s="19"/>
      <c r="E2885" s="59"/>
      <c r="F2885" s="58"/>
      <c r="G2885" s="59"/>
      <c r="H2885" s="58"/>
      <c r="I2885" s="58"/>
      <c r="J2885" s="58"/>
      <c r="K2885" s="58"/>
      <c r="L2885" s="58"/>
      <c r="M2885" s="59"/>
      <c r="N2885" s="58"/>
      <c r="O2885" s="59"/>
      <c r="P2885" s="58"/>
      <c r="Q2885" s="59"/>
      <c r="R2885" s="58"/>
    </row>
    <row r="2886">
      <c r="A2886" s="56"/>
      <c r="B2886" s="19"/>
      <c r="C2886" s="19"/>
      <c r="E2886" s="59"/>
      <c r="F2886" s="58"/>
      <c r="G2886" s="59"/>
      <c r="H2886" s="58"/>
      <c r="I2886" s="58"/>
      <c r="J2886" s="58"/>
      <c r="K2886" s="58"/>
      <c r="L2886" s="58"/>
      <c r="M2886" s="59"/>
      <c r="N2886" s="58"/>
      <c r="O2886" s="59"/>
      <c r="P2886" s="58"/>
      <c r="Q2886" s="59"/>
      <c r="R2886" s="58"/>
    </row>
    <row r="2887">
      <c r="A2887" s="56"/>
      <c r="B2887" s="19"/>
      <c r="C2887" s="19"/>
      <c r="E2887" s="59"/>
      <c r="F2887" s="58"/>
      <c r="G2887" s="59"/>
      <c r="H2887" s="58"/>
      <c r="I2887" s="58"/>
      <c r="J2887" s="58"/>
      <c r="K2887" s="58"/>
      <c r="L2887" s="58"/>
      <c r="M2887" s="59"/>
      <c r="N2887" s="58"/>
      <c r="O2887" s="59"/>
      <c r="P2887" s="58"/>
      <c r="Q2887" s="59"/>
      <c r="R2887" s="58"/>
    </row>
    <row r="2888">
      <c r="A2888" s="56"/>
      <c r="B2888" s="19"/>
      <c r="C2888" s="19"/>
      <c r="E2888" s="59"/>
      <c r="F2888" s="58"/>
      <c r="G2888" s="59"/>
      <c r="H2888" s="58"/>
      <c r="I2888" s="58"/>
      <c r="J2888" s="58"/>
      <c r="K2888" s="58"/>
      <c r="L2888" s="58"/>
      <c r="M2888" s="59"/>
      <c r="N2888" s="58"/>
      <c r="O2888" s="59"/>
      <c r="P2888" s="58"/>
      <c r="Q2888" s="59"/>
      <c r="R2888" s="58"/>
    </row>
    <row r="2889">
      <c r="A2889" s="56"/>
      <c r="B2889" s="19"/>
      <c r="C2889" s="19"/>
      <c r="E2889" s="59"/>
      <c r="F2889" s="58"/>
      <c r="G2889" s="59"/>
      <c r="H2889" s="58"/>
      <c r="I2889" s="58"/>
      <c r="J2889" s="58"/>
      <c r="K2889" s="58"/>
      <c r="L2889" s="58"/>
      <c r="M2889" s="59"/>
      <c r="N2889" s="58"/>
      <c r="O2889" s="59"/>
      <c r="P2889" s="58"/>
      <c r="Q2889" s="59"/>
      <c r="R2889" s="58"/>
    </row>
    <row r="2890">
      <c r="A2890" s="56"/>
      <c r="B2890" s="19"/>
      <c r="C2890" s="19"/>
      <c r="E2890" s="59"/>
      <c r="F2890" s="58"/>
      <c r="G2890" s="59"/>
      <c r="H2890" s="58"/>
      <c r="I2890" s="58"/>
      <c r="J2890" s="58"/>
      <c r="K2890" s="58"/>
      <c r="L2890" s="58"/>
      <c r="M2890" s="59"/>
      <c r="N2890" s="58"/>
      <c r="O2890" s="59"/>
      <c r="P2890" s="58"/>
      <c r="Q2890" s="59"/>
      <c r="R2890" s="58"/>
    </row>
    <row r="2891">
      <c r="A2891" s="56"/>
      <c r="B2891" s="19"/>
      <c r="C2891" s="19"/>
      <c r="E2891" s="59"/>
      <c r="F2891" s="58"/>
      <c r="G2891" s="59"/>
      <c r="H2891" s="58"/>
      <c r="I2891" s="58"/>
      <c r="J2891" s="58"/>
      <c r="K2891" s="58"/>
      <c r="L2891" s="58"/>
      <c r="M2891" s="59"/>
      <c r="N2891" s="58"/>
      <c r="O2891" s="59"/>
      <c r="P2891" s="58"/>
      <c r="Q2891" s="59"/>
      <c r="R2891" s="58"/>
    </row>
    <row r="2892">
      <c r="A2892" s="56"/>
      <c r="B2892" s="19"/>
      <c r="C2892" s="19"/>
      <c r="E2892" s="59"/>
      <c r="F2892" s="58"/>
      <c r="G2892" s="59"/>
      <c r="H2892" s="58"/>
      <c r="I2892" s="58"/>
      <c r="J2892" s="58"/>
      <c r="K2892" s="58"/>
      <c r="L2892" s="58"/>
      <c r="M2892" s="59"/>
      <c r="N2892" s="58"/>
      <c r="O2892" s="59"/>
      <c r="P2892" s="58"/>
      <c r="Q2892" s="59"/>
      <c r="R2892" s="58"/>
    </row>
    <row r="2893">
      <c r="A2893" s="56"/>
      <c r="B2893" s="19"/>
      <c r="C2893" s="19"/>
      <c r="E2893" s="59"/>
      <c r="F2893" s="58"/>
      <c r="G2893" s="59"/>
      <c r="H2893" s="58"/>
      <c r="I2893" s="58"/>
      <c r="J2893" s="58"/>
      <c r="K2893" s="58"/>
      <c r="L2893" s="58"/>
      <c r="M2893" s="59"/>
      <c r="N2893" s="58"/>
      <c r="O2893" s="59"/>
      <c r="P2893" s="58"/>
      <c r="Q2893" s="59"/>
      <c r="R2893" s="58"/>
    </row>
    <row r="2894">
      <c r="A2894" s="56"/>
      <c r="B2894" s="19"/>
      <c r="C2894" s="19"/>
      <c r="E2894" s="59"/>
      <c r="F2894" s="58"/>
      <c r="G2894" s="59"/>
      <c r="H2894" s="58"/>
      <c r="I2894" s="58"/>
      <c r="J2894" s="58"/>
      <c r="K2894" s="58"/>
      <c r="L2894" s="58"/>
      <c r="M2894" s="59"/>
      <c r="N2894" s="58"/>
      <c r="O2894" s="59"/>
      <c r="P2894" s="58"/>
      <c r="Q2894" s="59"/>
      <c r="R2894" s="58"/>
    </row>
    <row r="2895">
      <c r="A2895" s="56"/>
      <c r="B2895" s="19"/>
      <c r="C2895" s="19"/>
      <c r="E2895" s="59"/>
      <c r="F2895" s="58"/>
      <c r="G2895" s="59"/>
      <c r="H2895" s="58"/>
      <c r="I2895" s="58"/>
      <c r="J2895" s="58"/>
      <c r="K2895" s="58"/>
      <c r="L2895" s="58"/>
      <c r="M2895" s="59"/>
      <c r="N2895" s="58"/>
      <c r="O2895" s="59"/>
      <c r="P2895" s="58"/>
      <c r="Q2895" s="59"/>
      <c r="R2895" s="58"/>
    </row>
    <row r="2896">
      <c r="A2896" s="56"/>
      <c r="B2896" s="19"/>
      <c r="C2896" s="19"/>
      <c r="E2896" s="59"/>
      <c r="F2896" s="58"/>
      <c r="G2896" s="59"/>
      <c r="H2896" s="58"/>
      <c r="I2896" s="58"/>
      <c r="J2896" s="58"/>
      <c r="K2896" s="58"/>
      <c r="L2896" s="58"/>
      <c r="M2896" s="59"/>
      <c r="N2896" s="58"/>
      <c r="O2896" s="59"/>
      <c r="P2896" s="58"/>
      <c r="Q2896" s="59"/>
      <c r="R2896" s="58"/>
    </row>
    <row r="2897">
      <c r="A2897" s="56"/>
      <c r="B2897" s="19"/>
      <c r="C2897" s="19"/>
      <c r="E2897" s="59"/>
      <c r="F2897" s="58"/>
      <c r="G2897" s="59"/>
      <c r="H2897" s="58"/>
      <c r="I2897" s="58"/>
      <c r="J2897" s="58"/>
      <c r="K2897" s="58"/>
      <c r="L2897" s="58"/>
      <c r="M2897" s="59"/>
      <c r="N2897" s="58"/>
      <c r="O2897" s="59"/>
      <c r="P2897" s="58"/>
      <c r="Q2897" s="59"/>
      <c r="R2897" s="58"/>
    </row>
    <row r="2898">
      <c r="A2898" s="56"/>
      <c r="B2898" s="19"/>
      <c r="C2898" s="19"/>
      <c r="E2898" s="59"/>
      <c r="F2898" s="58"/>
      <c r="G2898" s="59"/>
      <c r="H2898" s="58"/>
      <c r="I2898" s="58"/>
      <c r="J2898" s="58"/>
      <c r="K2898" s="58"/>
      <c r="L2898" s="58"/>
      <c r="M2898" s="59"/>
      <c r="N2898" s="58"/>
      <c r="O2898" s="59"/>
      <c r="P2898" s="58"/>
      <c r="Q2898" s="59"/>
      <c r="R2898" s="58"/>
    </row>
    <row r="2899">
      <c r="A2899" s="56"/>
      <c r="B2899" s="19"/>
      <c r="C2899" s="19"/>
      <c r="E2899" s="59"/>
      <c r="F2899" s="58"/>
      <c r="G2899" s="59"/>
      <c r="H2899" s="58"/>
      <c r="I2899" s="58"/>
      <c r="J2899" s="58"/>
      <c r="K2899" s="58"/>
      <c r="L2899" s="58"/>
      <c r="M2899" s="59"/>
      <c r="N2899" s="58"/>
      <c r="O2899" s="59"/>
      <c r="P2899" s="58"/>
      <c r="Q2899" s="59"/>
      <c r="R2899" s="58"/>
    </row>
    <row r="2900">
      <c r="A2900" s="56"/>
      <c r="B2900" s="19"/>
      <c r="C2900" s="19"/>
      <c r="E2900" s="59"/>
      <c r="F2900" s="58"/>
      <c r="G2900" s="59"/>
      <c r="H2900" s="58"/>
      <c r="I2900" s="58"/>
      <c r="J2900" s="58"/>
      <c r="K2900" s="58"/>
      <c r="L2900" s="58"/>
      <c r="M2900" s="59"/>
      <c r="N2900" s="58"/>
      <c r="O2900" s="59"/>
      <c r="P2900" s="58"/>
      <c r="Q2900" s="59"/>
      <c r="R2900" s="58"/>
    </row>
    <row r="2901">
      <c r="A2901" s="56"/>
      <c r="B2901" s="19"/>
      <c r="C2901" s="19"/>
      <c r="E2901" s="59"/>
      <c r="F2901" s="58"/>
      <c r="G2901" s="59"/>
      <c r="H2901" s="58"/>
      <c r="I2901" s="58"/>
      <c r="J2901" s="58"/>
      <c r="K2901" s="58"/>
      <c r="L2901" s="58"/>
      <c r="M2901" s="59"/>
      <c r="N2901" s="58"/>
      <c r="O2901" s="59"/>
      <c r="P2901" s="58"/>
      <c r="Q2901" s="59"/>
      <c r="R2901" s="58"/>
    </row>
    <row r="2902">
      <c r="A2902" s="56"/>
      <c r="B2902" s="19"/>
      <c r="C2902" s="19"/>
      <c r="E2902" s="59"/>
      <c r="F2902" s="58"/>
      <c r="G2902" s="59"/>
      <c r="H2902" s="58"/>
      <c r="I2902" s="58"/>
      <c r="J2902" s="58"/>
      <c r="K2902" s="58"/>
      <c r="L2902" s="58"/>
      <c r="M2902" s="59"/>
      <c r="N2902" s="58"/>
      <c r="O2902" s="59"/>
      <c r="P2902" s="58"/>
      <c r="Q2902" s="59"/>
      <c r="R2902" s="58"/>
    </row>
  </sheetData>
  <autoFilter ref="$A$1:$X$1955">
    <sortState ref="A1:X1955">
      <sortCondition ref="E1:E1955"/>
      <sortCondition ref="A1:A1955"/>
      <sortCondition ref="B1:B1955"/>
      <sortCondition ref="C1:C1955"/>
      <sortCondition ref="G1:G1955"/>
      <sortCondition ref="M1:M1955"/>
      <sortCondition ref="Q1:Q1955"/>
    </sortState>
  </autoFilter>
  <conditionalFormatting sqref="S2:S2902">
    <cfRule type="cellIs" dxfId="7" priority="1" operator="equal">
      <formula>1</formula>
    </cfRule>
  </conditionalFormatting>
  <conditionalFormatting sqref="I1:J666 I668:J668 I670:J670 I672:J672 I674:J2902 E697">
    <cfRule type="cellIs" dxfId="7" priority="2" operator="equal">
      <formula>1</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5.86"/>
    <col customWidth="1" min="2" max="2" width="10.43"/>
    <col customWidth="1" min="3" max="3" width="3.86"/>
    <col customWidth="1" min="4" max="7" width="5.0"/>
    <col customWidth="1" min="8" max="9" width="11.43"/>
    <col customWidth="1" min="10" max="10" width="3.86"/>
    <col customWidth="1" min="11" max="11" width="5.29"/>
    <col customWidth="1" min="12" max="12" width="4.14"/>
    <col customWidth="1" min="13" max="13" width="5.29"/>
    <col customWidth="1" min="14" max="14" width="5.0"/>
    <col customWidth="1" min="15" max="15" width="5.29"/>
    <col customWidth="1" min="16" max="16" width="5.0"/>
    <col customWidth="1" min="17" max="17" width="5.29"/>
    <col customWidth="1" min="18" max="18" width="4.0"/>
    <col customWidth="1" min="19" max="19" width="5.29"/>
    <col customWidth="1" min="20" max="21" width="15.0"/>
    <col customWidth="1" min="22" max="22" width="3.43"/>
    <col customWidth="1" min="23" max="23" width="4.29"/>
    <col customWidth="1" min="24" max="24" width="4.14"/>
    <col customWidth="1" min="25" max="25" width="4.0"/>
    <col customWidth="1" min="26" max="27" width="3.57"/>
    <col customWidth="1" min="28" max="28" width="6.14"/>
    <col customWidth="1" min="29" max="29" width="6.43"/>
    <col customWidth="1" min="30" max="30" width="3.71"/>
    <col customWidth="1" min="31" max="31" width="6.43"/>
    <col customWidth="1" min="32" max="32" width="3.57"/>
    <col customWidth="1" min="33" max="33" width="4.29"/>
    <col customWidth="1" min="34" max="34" width="4.14"/>
    <col customWidth="1" min="35" max="35" width="4.0"/>
    <col customWidth="1" min="36" max="36" width="4.14"/>
    <col customWidth="1" min="37" max="37" width="4.0"/>
    <col customWidth="1" min="38" max="38" width="3.57"/>
    <col customWidth="1" min="39" max="39" width="3.71"/>
    <col customWidth="1" min="40" max="41" width="3.43"/>
    <col customWidth="1" min="42" max="42" width="10.14"/>
    <col customWidth="1" min="43" max="43" width="5.0"/>
    <col customWidth="1" min="44" max="44" width="15.0"/>
  </cols>
  <sheetData>
    <row r="1">
      <c r="A1" s="1"/>
      <c r="B1" s="1"/>
      <c r="C1" s="1"/>
      <c r="D1" s="1"/>
      <c r="E1" s="1"/>
      <c r="F1" s="1"/>
      <c r="G1" s="1"/>
      <c r="H1" s="1"/>
      <c r="I1" s="1"/>
      <c r="J1" s="1"/>
      <c r="K1" s="1"/>
      <c r="L1" s="1"/>
      <c r="M1" s="1"/>
      <c r="N1" s="1"/>
      <c r="O1" s="1"/>
      <c r="P1" s="1"/>
      <c r="Q1" s="1"/>
      <c r="R1" s="1"/>
      <c r="S1" s="1"/>
      <c r="T1" s="1"/>
      <c r="U1" s="1"/>
      <c r="V1" s="5"/>
      <c r="W1" s="5"/>
      <c r="X1" s="5"/>
      <c r="Y1" s="5"/>
      <c r="Z1" s="5"/>
      <c r="AA1" s="7"/>
      <c r="AB1" s="7"/>
      <c r="AC1" s="7"/>
      <c r="AD1" s="7"/>
      <c r="AE1" s="7"/>
      <c r="AF1" s="5"/>
      <c r="AG1" s="9"/>
      <c r="AH1" s="9"/>
      <c r="AI1" s="9"/>
      <c r="AJ1" s="9"/>
      <c r="AK1" s="9"/>
      <c r="AL1" s="9"/>
      <c r="AM1" s="9"/>
      <c r="AN1" s="9"/>
      <c r="AO1" s="9"/>
      <c r="AP1" s="11"/>
      <c r="AQ1" s="11"/>
    </row>
    <row r="2">
      <c r="A2" s="1" t="s">
        <v>0</v>
      </c>
      <c r="B2" s="4" t="s">
        <v>10</v>
      </c>
      <c r="C2" s="1" t="s">
        <v>12</v>
      </c>
      <c r="D2" s="1" t="s">
        <v>15</v>
      </c>
      <c r="E2" s="1" t="s">
        <v>16</v>
      </c>
      <c r="F2" s="1" t="s">
        <v>17</v>
      </c>
      <c r="G2" s="4" t="s">
        <v>18</v>
      </c>
      <c r="H2" s="1" t="s">
        <v>19</v>
      </c>
      <c r="I2" s="1"/>
      <c r="J2" s="1" t="s">
        <v>12</v>
      </c>
      <c r="K2" s="4" t="s">
        <v>20</v>
      </c>
      <c r="L2" s="1" t="s">
        <v>21</v>
      </c>
      <c r="M2" s="4" t="s">
        <v>20</v>
      </c>
      <c r="N2" s="1" t="s">
        <v>16</v>
      </c>
      <c r="O2" s="4" t="s">
        <v>20</v>
      </c>
      <c r="P2" s="1" t="s">
        <v>17</v>
      </c>
      <c r="Q2" s="4" t="s">
        <v>20</v>
      </c>
      <c r="R2" s="1" t="s">
        <v>22</v>
      </c>
      <c r="S2" s="4" t="s">
        <v>20</v>
      </c>
      <c r="T2" s="1"/>
      <c r="U2" s="1"/>
      <c r="V2" s="5" t="s">
        <v>23</v>
      </c>
      <c r="W2" s="5" t="s">
        <v>24</v>
      </c>
      <c r="X2" s="5" t="s">
        <v>25</v>
      </c>
      <c r="Y2" s="5" t="s">
        <v>26</v>
      </c>
      <c r="Z2" s="5" t="s">
        <v>27</v>
      </c>
      <c r="AA2" s="7" t="s">
        <v>28</v>
      </c>
      <c r="AB2" s="7" t="s">
        <v>29</v>
      </c>
      <c r="AC2" s="7" t="s">
        <v>30</v>
      </c>
      <c r="AD2" s="7" t="s">
        <v>31</v>
      </c>
      <c r="AE2" s="7" t="s">
        <v>32</v>
      </c>
      <c r="AF2" s="5" t="s">
        <v>33</v>
      </c>
      <c r="AG2" s="9" t="s">
        <v>34</v>
      </c>
      <c r="AH2" s="9" t="s">
        <v>35</v>
      </c>
      <c r="AI2" s="9" t="s">
        <v>36</v>
      </c>
      <c r="AJ2" s="9" t="s">
        <v>37</v>
      </c>
      <c r="AK2" s="9" t="s">
        <v>38</v>
      </c>
      <c r="AL2" s="9" t="s">
        <v>39</v>
      </c>
      <c r="AM2" s="9" t="s">
        <v>40</v>
      </c>
      <c r="AN2" s="9" t="s">
        <v>41</v>
      </c>
      <c r="AO2" s="9" t="s">
        <v>42</v>
      </c>
      <c r="AP2" s="11" t="s">
        <v>43</v>
      </c>
      <c r="AQ2" s="11" t="s">
        <v>44</v>
      </c>
    </row>
    <row r="3">
      <c r="A3" s="1" t="s">
        <v>45</v>
      </c>
      <c r="B3" s="21">
        <f>IFERROR(__xludf.DUMMYFUNCTION("max(filter(Status!E:E,Status!A:A=A3))"),43643.0)</f>
        <v>43643</v>
      </c>
      <c r="C3" s="23">
        <f t="shared" ref="C3:C255" si="1">iferror(K3/J3)</f>
        <v>0</v>
      </c>
      <c r="D3" s="23">
        <f t="shared" ref="D3:D255" si="2">iferror(M3/L3)</f>
        <v>0</v>
      </c>
      <c r="E3" s="23">
        <f t="shared" ref="E3:E255" si="3">iferror(O3/N3)</f>
        <v>1</v>
      </c>
      <c r="F3" s="23">
        <f t="shared" ref="F3:F255" si="4">iferror(Q3/P3)</f>
        <v>0.8</v>
      </c>
      <c r="G3" s="25">
        <f t="shared" ref="G3:G255" si="5">iferror(S3/R3)</f>
        <v>0.9</v>
      </c>
      <c r="J3" s="23">
        <f>IFERROR(__xludf.DUMMYFUNCTION("COUNTA(iferror(filter(Status!H:H,Status!A:A=A3)))"),4.0)</f>
        <v>4</v>
      </c>
      <c r="K3" s="25">
        <f>IFERROR(__xludf.DUMMYFUNCTION("COUNTA(iferror(filter(Status!H:H,Status!A:A=A3,Status!H:H=TRUE)))"),0.0)</f>
        <v>0</v>
      </c>
      <c r="L3" s="23">
        <f>IFERROR(__xludf.DUMMYFUNCTION("COUNTA(iferror(filter(Status!L:L,Status!A:A=A3)))"),3.0)</f>
        <v>3</v>
      </c>
      <c r="M3" s="25">
        <f>IFERROR(__xludf.DUMMYFUNCTION("COUNTA(iferror(filter(Status!L:L,Status!A:A=A3,Status!L:L=TRUE)))"),0.0)</f>
        <v>0</v>
      </c>
      <c r="N3" s="23">
        <f>IFERROR(__xludf.DUMMYFUNCTION("COUNTA(iferror(filter(Status!N:N,Status!A:A=A3,Status!N:N=TRUE)))"),10.0)</f>
        <v>10</v>
      </c>
      <c r="O3" s="25">
        <f>IFERROR(__xludf.DUMMYFUNCTION("COUNTA(iferror(filter(Status!N:N,Status!A:A=A3,Status!N:N=TRUE)))"),10.0)</f>
        <v>10</v>
      </c>
      <c r="P3" s="23">
        <f>IFERROR(__xludf.DUMMYFUNCTION("COUNTA(iferror(filter(Status!P:P,Status!A:A=A3)))"),10.0)</f>
        <v>10</v>
      </c>
      <c r="Q3" s="25">
        <f>IFERROR(__xludf.DUMMYFUNCTION("COUNTA(iferror(filter(Status!P:P,Status!A:A=A3,Status!P:P=TRUE)))"),8.0)</f>
        <v>8</v>
      </c>
      <c r="R3" s="23">
        <f>IFERROR(__xludf.DUMMYFUNCTION("COUNTA(iferror(filter(Status!R:R,Status!A:A=A3)))"),10.0)</f>
        <v>10</v>
      </c>
      <c r="S3" s="25">
        <f>IFERROR(__xludf.DUMMYFUNCTION("COUNTA(iferror(filter(Status!R:R,Status!A:A=A3,Status!R:R=TRUE)))"),9.0)</f>
        <v>9</v>
      </c>
      <c r="V3" s="23" t="str">
        <f>IFERROR(__xludf.DUMMYFUNCTION("if((countif(filter(Status!$C:$C,Status!$A:$A=$A3),CONCATENATE(V$2,""*""))-W3)&gt;0,(countif(filter(Status!$C:$C,Status!$A:$A=$A3),CONCATENATE(V$2,""*""))-W3),"""")"),"")</f>
        <v/>
      </c>
      <c r="W3" s="23">
        <f>IFERROR(__xludf.DUMMYFUNCTION("if(countif(filter(Status!$C:$C,Status!$A:$A=$A3),CONCATENATE(W$2,""*""))&gt;0,countif(filter(Status!$C:$C,Status!$A:$A=$A3),CONCATENATE(W$2,""*"")),"""")"),3.0)</f>
        <v>3</v>
      </c>
      <c r="X3" s="23">
        <f>IFERROR(__xludf.DUMMYFUNCTION("if(countif(filter(Status!$C:$C,Status!$A:$A=$A3),CONCATENATE(X$2,""*""))&gt;0,countif(filter(Status!$C:$C,Status!$A:$A=$A3),CONCATENATE(X$2,""*"")),"""")"),5.0)</f>
        <v>5</v>
      </c>
      <c r="Y3" s="23" t="str">
        <f>IFERROR(__xludf.DUMMYFUNCTION("if(countif(filter(Status!$C:$C,Status!$A:$A=$A3),CONCATENATE(Y$2,""*""))&gt;0,countif(filter(Status!$C:$C,Status!$A:$A=$A3),CONCATENATE(Y$2,""*"")),"""")"),"")</f>
        <v/>
      </c>
      <c r="Z3" s="23" t="str">
        <f>IFERROR(__xludf.DUMMYFUNCTION("if(countif(filter(Status!$C:$C,Status!$A:$A=$A3),CONCATENATE(Z$2,""*""))&gt;0,countif(filter(Status!$C:$C,Status!$A:$A=$A3),CONCATENATE(Z$2,""*"")),"""")"),"")</f>
        <v/>
      </c>
      <c r="AA3" s="23">
        <f>IFERROR(__xludf.DUMMYFUNCTION("if((countif(filter(Status!$C:$C,Status!$A:$A=$A3),CONCATENATE(AA$2,""*""))-AB3)&gt;0,(countif(filter(Status!$C:$C,Status!$A:$A=$A3),CONCATENATE(AA$2,""*""))-AB3),"""")"),1.0)</f>
        <v>1</v>
      </c>
      <c r="AB3" s="23">
        <f>IFERROR(__xludf.DUMMYFUNCTION("if(countif(filter(Status!$C:$C,Status!$A:$A=$A3),CONCATENATE(AB$2,""*""))&gt;0,countif(filter(Status!$C:$C,Status!$A:$A=$A3),CONCATENATE(AB$2,""*"")),"""")"),2.0)</f>
        <v>2</v>
      </c>
      <c r="AC3" s="23" t="str">
        <f>IFERROR(__xludf.DUMMYFUNCTION("if(countif(filter(Status!$C:$C,Status!$A:$A=$A3),CONCATENATE(AC$2,""*""))&gt;0,countif(filter(Status!$C:$C,Status!$A:$A=$A3),CONCATENATE(AC$2,""*"")),"""")"),"")</f>
        <v/>
      </c>
      <c r="AD3" s="23" t="str">
        <f>IFERROR(__xludf.DUMMYFUNCTION("if(countif(filter(Status!$C:$C,Status!$A:$A=$A3),CONCATENATE(AD$2,""*""))&gt;0,countif(filter(Status!$C:$C,Status!$A:$A=$A3),CONCATENATE(AD$2,""*"")),"""")"),"")</f>
        <v/>
      </c>
      <c r="AE3" s="23" t="str">
        <f>IFERROR(__xludf.DUMMYFUNCTION("if(countif(filter(Status!$C:$C,Status!$A:$A=$A3),CONCATENATE(AE$2,""*""))&gt;0,countif(filter(Status!$C:$C,Status!$A:$A=$A3),CONCATENATE(AE$2,""*"")),"""")"),"")</f>
        <v/>
      </c>
      <c r="AF3" s="23" t="str">
        <f>IFERROR(__xludf.DUMMYFUNCTION("if(countif(filter(Status!$C:$C,Status!$A:$A=$A3),CONCATENATE(AF$2,""*""))&gt;0,countif(filter(Status!$C:$C,Status!$A:$A=$A3),CONCATENATE(AF$2,""*"")),"""")"),"")</f>
        <v/>
      </c>
      <c r="AG3" s="23" t="str">
        <f>IFERROR(__xludf.DUMMYFUNCTION("if(countif(filter(Status!$C:$C,Status!$A:$A=$A3),CONCATENATE(AG$2,""*""))&gt;0,countif(filter(Status!$C:$C,Status!$A:$A=$A3),CONCATENATE(AG$2,""*"")),"""")"),"")</f>
        <v/>
      </c>
      <c r="AH3" s="23" t="str">
        <f>IFERROR(__xludf.DUMMYFUNCTION("if(countif(filter(Status!$C:$C,Status!$A:$A=$A3),CONCATENATE(AH$2,""*""))&gt;0,countif(filter(Status!$C:$C,Status!$A:$A=$A3),CONCATENATE(AH$2,""*"")),"""")"),"")</f>
        <v/>
      </c>
      <c r="AI3" s="23" t="str">
        <f>IFERROR(__xludf.DUMMYFUNCTION("if(countif(filter(Status!$C:$C,Status!$A:$A=$A3),CONCATENATE(AI$2,""*""))&gt;0,countif(filter(Status!$C:$C,Status!$A:$A=$A3),CONCATENATE(AI$2,""*"")),"""")"),"")</f>
        <v/>
      </c>
      <c r="AJ3" s="23" t="str">
        <f>IFERROR(__xludf.DUMMYFUNCTION("if(countif(filter(Status!$C:$C,Status!$A:$A=$A3),CONCATENATE(AJ$2,""*""))&gt;0,countif(filter(Status!$C:$C,Status!$A:$A=$A3),CONCATENATE(AJ$2,""*"")),"""")"),"")</f>
        <v/>
      </c>
      <c r="AK3" s="23" t="str">
        <f>IFERROR(__xludf.DUMMYFUNCTION("if(countif(filter(Status!$C:$C,Status!$A:$A=$A3),CONCATENATE(AK$2,""*""))&gt;0,countif(filter(Status!$C:$C,Status!$A:$A=$A3),CONCATENATE(AK$2,""*"")),"""")"),"")</f>
        <v/>
      </c>
      <c r="AL3" s="23" t="str">
        <f>IFERROR(__xludf.DUMMYFUNCTION("if(countif(filter(Status!$C:$C,Status!$A:$A=$A3),CONCATENATE(AL$2,""*""))&gt;0,countif(filter(Status!$C:$C,Status!$A:$A=$A3),CONCATENATE(AL$2,""*"")),"""")"),"")</f>
        <v/>
      </c>
      <c r="AM3" s="23" t="str">
        <f>IFERROR(__xludf.DUMMYFUNCTION("if(countif(filter(Status!$C:$C,Status!$A:$A=$A3),CONCATENATE(AM$2,""*""))&gt;0,countif(filter(Status!$C:$C,Status!$A:$A=$A3),CONCATENATE(AM$2,""*"")),"""")"),"")</f>
        <v/>
      </c>
      <c r="AN3" s="23" t="str">
        <f>IFERROR(__xludf.DUMMYFUNCTION("if(countif(filter(Status!$C:$C,Status!$A:$A=$A3),CONCATENATE(AN$2,""*""))&gt;0,countif(filter(Status!$C:$C,Status!$A:$A=$A3),CONCATENATE(AN$2,""*"")),"""")"),"")</f>
        <v/>
      </c>
      <c r="AO3" s="23" t="str">
        <f>IFERROR(__xludf.DUMMYFUNCTION("if(countif(filter(Status!$C:$C,Status!$A:$A=$A3),CONCATENATE(AO$2,""*""))&gt;0,countif(filter(Status!$C:$C,Status!$A:$A=$A3),CONCATENATE(AO$2,""*"")),"""")"),"")</f>
        <v/>
      </c>
      <c r="AP3" s="23">
        <f>IFERROR(__xludf.DUMMYFUNCTION("counta(iferror(filter(Status!C:C,Status!A:A=A3)))"),11.0)</f>
        <v>11</v>
      </c>
      <c r="AQ3" s="23">
        <f t="shared" ref="AQ3:AQ255" si="6">sum(V3:AO3)</f>
        <v>11</v>
      </c>
      <c r="AR3" s="1" t="s">
        <v>79</v>
      </c>
    </row>
    <row r="4">
      <c r="A4" s="1" t="s">
        <v>80</v>
      </c>
      <c r="B4" s="21">
        <f>IFERROR(__xludf.DUMMYFUNCTION("max(filter(Status!E:E,Status!A:A=A4))"),43647.0)</f>
        <v>43647</v>
      </c>
      <c r="C4" s="23">
        <f t="shared" si="1"/>
        <v>1</v>
      </c>
      <c r="D4" s="23">
        <f t="shared" si="2"/>
        <v>0</v>
      </c>
      <c r="E4" s="23">
        <f t="shared" si="3"/>
        <v>1</v>
      </c>
      <c r="F4" s="23">
        <f t="shared" si="4"/>
        <v>1</v>
      </c>
      <c r="G4" s="25">
        <f t="shared" si="5"/>
        <v>1</v>
      </c>
      <c r="J4" s="23">
        <f>IFERROR(__xludf.DUMMYFUNCTION("COUNTA(iferror(filter(Status!H:H,Status!A:A=A4)))"),3.0)</f>
        <v>3</v>
      </c>
      <c r="K4" s="25">
        <f>IFERROR(__xludf.DUMMYFUNCTION("COUNTA(iferror(filter(Status!H:H,Status!A:A=A4,Status!H:H=TRUE)))"),3.0)</f>
        <v>3</v>
      </c>
      <c r="L4" s="23">
        <f>IFERROR(__xludf.DUMMYFUNCTION("COUNTA(iferror(filter(Status!L:L,Status!A:A=A4)))"),2.0)</f>
        <v>2</v>
      </c>
      <c r="M4" s="25">
        <f>IFERROR(__xludf.DUMMYFUNCTION("COUNTA(iferror(filter(Status!L:L,Status!A:A=A4,Status!L:L=TRUE)))"),0.0)</f>
        <v>0</v>
      </c>
      <c r="N4" s="23">
        <f>IFERROR(__xludf.DUMMYFUNCTION("COUNTA(iferror(filter(Status!N:N,Status!A:A=A4,Status!N:N=TRUE)))"),2.0)</f>
        <v>2</v>
      </c>
      <c r="O4" s="25">
        <f>IFERROR(__xludf.DUMMYFUNCTION("COUNTA(iferror(filter(Status!N:N,Status!A:A=A4,Status!N:N=TRUE)))"),2.0)</f>
        <v>2</v>
      </c>
      <c r="P4" s="23">
        <f>IFERROR(__xludf.DUMMYFUNCTION("COUNTA(iferror(filter(Status!P:P,Status!A:A=A4)))"),2.0)</f>
        <v>2</v>
      </c>
      <c r="Q4" s="25">
        <f>IFERROR(__xludf.DUMMYFUNCTION("COUNTA(iferror(filter(Status!P:P,Status!A:A=A4,Status!P:P=TRUE)))"),2.0)</f>
        <v>2</v>
      </c>
      <c r="R4" s="23">
        <f>IFERROR(__xludf.DUMMYFUNCTION("COUNTA(iferror(filter(Status!R:R,Status!A:A=A4)))"),2.0)</f>
        <v>2</v>
      </c>
      <c r="S4" s="25">
        <f>IFERROR(__xludf.DUMMYFUNCTION("COUNTA(iferror(filter(Status!R:R,Status!A:A=A4,Status!R:R=TRUE)))"),2.0)</f>
        <v>2</v>
      </c>
      <c r="V4" s="23" t="str">
        <f>IFERROR(__xludf.DUMMYFUNCTION("if((countif(filter(Status!$C:$C,Status!$A:$A=$A4),CONCATENATE(V$2,""*""))-W4)&gt;0,(countif(filter(Status!$C:$C,Status!$A:$A=$A4),CONCATENATE(V$2,""*""))-W4),"""")"),"")</f>
        <v/>
      </c>
      <c r="W4" s="23">
        <f>IFERROR(__xludf.DUMMYFUNCTION("if(countif(filter(Status!$C:$C,Status!$A:$A=$A4),CONCATENATE(W$2,""*""))&gt;0,countif(filter(Status!$C:$C,Status!$A:$A=$A4),CONCATENATE(W$2,""*"")),"""")"),3.0)</f>
        <v>3</v>
      </c>
      <c r="X4" s="23" t="str">
        <f>IFERROR(__xludf.DUMMYFUNCTION("if(countif(filter(Status!$C:$C,Status!$A:$A=$A4),CONCATENATE(X$2,""*""))&gt;0,countif(filter(Status!$C:$C,Status!$A:$A=$A4),CONCATENATE(X$2,""*"")),"""")"),"")</f>
        <v/>
      </c>
      <c r="Y4" s="23" t="str">
        <f>IFERROR(__xludf.DUMMYFUNCTION("if(countif(filter(Status!$C:$C,Status!$A:$A=$A4),CONCATENATE(Y$2,""*""))&gt;0,countif(filter(Status!$C:$C,Status!$A:$A=$A4),CONCATENATE(Y$2,""*"")),"""")"),"")</f>
        <v/>
      </c>
      <c r="Z4" s="23" t="str">
        <f>IFERROR(__xludf.DUMMYFUNCTION("if(countif(filter(Status!$C:$C,Status!$A:$A=$A4),CONCATENATE(Z$2,""*""))&gt;0,countif(filter(Status!$C:$C,Status!$A:$A=$A4),CONCATENATE(Z$2,""*"")),"""")"),"")</f>
        <v/>
      </c>
      <c r="AA4" s="23" t="str">
        <f>IFERROR(__xludf.DUMMYFUNCTION("if((countif(filter(Status!$C:$C,Status!$A:$A=$A4),CONCATENATE(AA$2,""*""))-AB4)&gt;0,(countif(filter(Status!$C:$C,Status!$A:$A=$A4),CONCATENATE(AA$2,""*""))-AB4),"""")"),"")</f>
        <v/>
      </c>
      <c r="AB4" s="23" t="str">
        <f>IFERROR(__xludf.DUMMYFUNCTION("if(countif(filter(Status!$C:$C,Status!$A:$A=$A4),CONCATENATE(AB$2,""*""))&gt;0,countif(filter(Status!$C:$C,Status!$A:$A=$A4),CONCATENATE(AB$2,""*"")),"""")"),"")</f>
        <v/>
      </c>
      <c r="AC4" s="23" t="str">
        <f>IFERROR(__xludf.DUMMYFUNCTION("if(countif(filter(Status!$C:$C,Status!$A:$A=$A4),CONCATENATE(AC$2,""*""))&gt;0,countif(filter(Status!$C:$C,Status!$A:$A=$A4),CONCATENATE(AC$2,""*"")),"""")"),"")</f>
        <v/>
      </c>
      <c r="AD4" s="23" t="str">
        <f>IFERROR(__xludf.DUMMYFUNCTION("if(countif(filter(Status!$C:$C,Status!$A:$A=$A4),CONCATENATE(AD$2,""*""))&gt;0,countif(filter(Status!$C:$C,Status!$A:$A=$A4),CONCATENATE(AD$2,""*"")),"""")"),"")</f>
        <v/>
      </c>
      <c r="AE4" s="23">
        <f>IFERROR(__xludf.DUMMYFUNCTION("if(countif(filter(Status!$C:$C,Status!$A:$A=$A4),CONCATENATE(AE$2,""*""))&gt;0,countif(filter(Status!$C:$C,Status!$A:$A=$A4),CONCATENATE(AE$2,""*"")),"""")"),1.0)</f>
        <v>1</v>
      </c>
      <c r="AF4" s="23" t="str">
        <f>IFERROR(__xludf.DUMMYFUNCTION("if(countif(filter(Status!$C:$C,Status!$A:$A=$A4),CONCATENATE(AF$2,""*""))&gt;0,countif(filter(Status!$C:$C,Status!$A:$A=$A4),CONCATENATE(AF$2,""*"")),"""")"),"")</f>
        <v/>
      </c>
      <c r="AG4" s="23" t="str">
        <f>IFERROR(__xludf.DUMMYFUNCTION("if(countif(filter(Status!$C:$C,Status!$A:$A=$A4),CONCATENATE(AG$2,""*""))&gt;0,countif(filter(Status!$C:$C,Status!$A:$A=$A4),CONCATENATE(AG$2,""*"")),"""")"),"")</f>
        <v/>
      </c>
      <c r="AH4" s="23" t="str">
        <f>IFERROR(__xludf.DUMMYFUNCTION("if(countif(filter(Status!$C:$C,Status!$A:$A=$A4),CONCATENATE(AH$2,""*""))&gt;0,countif(filter(Status!$C:$C,Status!$A:$A=$A4),CONCATENATE(AH$2,""*"")),"""")"),"")</f>
        <v/>
      </c>
      <c r="AI4" s="23" t="str">
        <f>IFERROR(__xludf.DUMMYFUNCTION("if(countif(filter(Status!$C:$C,Status!$A:$A=$A4),CONCATENATE(AI$2,""*""))&gt;0,countif(filter(Status!$C:$C,Status!$A:$A=$A4),CONCATENATE(AI$2,""*"")),"""")"),"")</f>
        <v/>
      </c>
      <c r="AJ4" s="23" t="str">
        <f>IFERROR(__xludf.DUMMYFUNCTION("if(countif(filter(Status!$C:$C,Status!$A:$A=$A4),CONCATENATE(AJ$2,""*""))&gt;0,countif(filter(Status!$C:$C,Status!$A:$A=$A4),CONCATENATE(AJ$2,""*"")),"""")"),"")</f>
        <v/>
      </c>
      <c r="AK4" s="23" t="str">
        <f>IFERROR(__xludf.DUMMYFUNCTION("if(countif(filter(Status!$C:$C,Status!$A:$A=$A4),CONCATENATE(AK$2,""*""))&gt;0,countif(filter(Status!$C:$C,Status!$A:$A=$A4),CONCATENATE(AK$2,""*"")),"""")"),"")</f>
        <v/>
      </c>
      <c r="AL4" s="23" t="str">
        <f>IFERROR(__xludf.DUMMYFUNCTION("if(countif(filter(Status!$C:$C,Status!$A:$A=$A4),CONCATENATE(AL$2,""*""))&gt;0,countif(filter(Status!$C:$C,Status!$A:$A=$A4),CONCATENATE(AL$2,""*"")),"""")"),"")</f>
        <v/>
      </c>
      <c r="AM4" s="23" t="str">
        <f>IFERROR(__xludf.DUMMYFUNCTION("if(countif(filter(Status!$C:$C,Status!$A:$A=$A4),CONCATENATE(AM$2,""*""))&gt;0,countif(filter(Status!$C:$C,Status!$A:$A=$A4),CONCATENATE(AM$2,""*"")),"""")"),"")</f>
        <v/>
      </c>
      <c r="AN4" s="23" t="str">
        <f>IFERROR(__xludf.DUMMYFUNCTION("if(countif(filter(Status!$C:$C,Status!$A:$A=$A4),CONCATENATE(AN$2,""*""))&gt;0,countif(filter(Status!$C:$C,Status!$A:$A=$A4),CONCATENATE(AN$2,""*"")),"""")"),"")</f>
        <v/>
      </c>
      <c r="AO4" s="23" t="str">
        <f>IFERROR(__xludf.DUMMYFUNCTION("if(countif(filter(Status!$C:$C,Status!$A:$A=$A4),CONCATENATE(AO$2,""*""))&gt;0,countif(filter(Status!$C:$C,Status!$A:$A=$A4),CONCATENATE(AO$2,""*"")),"""")"),"")</f>
        <v/>
      </c>
      <c r="AP4" s="23">
        <f>IFERROR(__xludf.DUMMYFUNCTION("counta(iferror(filter(Status!C:C,Status!A:A=A4)))"),4.0)</f>
        <v>4</v>
      </c>
      <c r="AQ4" s="23">
        <f t="shared" si="6"/>
        <v>4</v>
      </c>
      <c r="AR4" s="1" t="s">
        <v>154</v>
      </c>
    </row>
    <row r="5">
      <c r="A5" s="1" t="s">
        <v>156</v>
      </c>
      <c r="B5" s="21">
        <f>IFERROR(__xludf.DUMMYFUNCTION("max(filter(Status!E:E,Status!A:A=A5))"),43648.0)</f>
        <v>43648</v>
      </c>
      <c r="C5" s="23">
        <f t="shared" si="1"/>
        <v>0</v>
      </c>
      <c r="D5" s="23">
        <f t="shared" si="2"/>
        <v>0</v>
      </c>
      <c r="E5" s="23">
        <f t="shared" si="3"/>
        <v>1</v>
      </c>
      <c r="F5" s="23">
        <f t="shared" si="4"/>
        <v>0.8181818182</v>
      </c>
      <c r="G5" s="25">
        <f t="shared" si="5"/>
        <v>0.8571428571</v>
      </c>
      <c r="J5" s="23">
        <f>IFERROR(__xludf.DUMMYFUNCTION("COUNTA(iferror(filter(Status!H:H,Status!A:A=A5)))"),1.0)</f>
        <v>1</v>
      </c>
      <c r="K5" s="25">
        <f>IFERROR(__xludf.DUMMYFUNCTION("COUNTA(iferror(filter(Status!H:H,Status!A:A=A5,Status!H:H=TRUE)))"),0.0)</f>
        <v>0</v>
      </c>
      <c r="L5" s="23">
        <f>IFERROR(__xludf.DUMMYFUNCTION("COUNTA(iferror(filter(Status!L:L,Status!A:A=A5)))"),1.0)</f>
        <v>1</v>
      </c>
      <c r="M5" s="25">
        <f>IFERROR(__xludf.DUMMYFUNCTION("COUNTA(iferror(filter(Status!L:L,Status!A:A=A5,Status!L:L=TRUE)))"),0.0)</f>
        <v>0</v>
      </c>
      <c r="N5" s="23">
        <f>IFERROR(__xludf.DUMMYFUNCTION("COUNTA(iferror(filter(Status!N:N,Status!A:A=A5,Status!N:N=TRUE)))"),6.0)</f>
        <v>6</v>
      </c>
      <c r="O5" s="25">
        <f>IFERROR(__xludf.DUMMYFUNCTION("COUNTA(iferror(filter(Status!N:N,Status!A:A=A5,Status!N:N=TRUE)))"),6.0)</f>
        <v>6</v>
      </c>
      <c r="P5" s="23">
        <f>IFERROR(__xludf.DUMMYFUNCTION("COUNTA(iferror(filter(Status!P:P,Status!A:A=A5)))"),11.0)</f>
        <v>11</v>
      </c>
      <c r="Q5" s="25">
        <f>IFERROR(__xludf.DUMMYFUNCTION("COUNTA(iferror(filter(Status!P:P,Status!A:A=A5,Status!P:P=TRUE)))"),9.0)</f>
        <v>9</v>
      </c>
      <c r="R5" s="23">
        <f>IFERROR(__xludf.DUMMYFUNCTION("COUNTA(iferror(filter(Status!R:R,Status!A:A=A5)))"),7.0)</f>
        <v>7</v>
      </c>
      <c r="S5" s="25">
        <f>IFERROR(__xludf.DUMMYFUNCTION("COUNTA(iferror(filter(Status!R:R,Status!A:A=A5,Status!R:R=TRUE)))"),6.0)</f>
        <v>6</v>
      </c>
      <c r="V5" s="23" t="str">
        <f>IFERROR(__xludf.DUMMYFUNCTION("if((countif(filter(Status!$C:$C,Status!$A:$A=$A5),CONCATENATE(V$2,""*""))-W5)&gt;0,(countif(filter(Status!$C:$C,Status!$A:$A=$A5),CONCATENATE(V$2,""*""))-W5),"""")"),"")</f>
        <v/>
      </c>
      <c r="W5" s="23" t="str">
        <f>IFERROR(__xludf.DUMMYFUNCTION("if(countif(filter(Status!$C:$C,Status!$A:$A=$A5),CONCATENATE(W$2,""*""))&gt;0,countif(filter(Status!$C:$C,Status!$A:$A=$A5),CONCATENATE(W$2,""*"")),"""")"),"")</f>
        <v/>
      </c>
      <c r="X5" s="23">
        <f>IFERROR(__xludf.DUMMYFUNCTION("if(countif(filter(Status!$C:$C,Status!$A:$A=$A5),CONCATENATE(X$2,""*""))&gt;0,countif(filter(Status!$C:$C,Status!$A:$A=$A5),CONCATENATE(X$2,""*"")),"""")"),8.0)</f>
        <v>8</v>
      </c>
      <c r="Y5" s="23" t="str">
        <f>IFERROR(__xludf.DUMMYFUNCTION("if(countif(filter(Status!$C:$C,Status!$A:$A=$A5),CONCATENATE(Y$2,""*""))&gt;0,countif(filter(Status!$C:$C,Status!$A:$A=$A5),CONCATENATE(Y$2,""*"")),"""")"),"")</f>
        <v/>
      </c>
      <c r="Z5" s="23" t="str">
        <f>IFERROR(__xludf.DUMMYFUNCTION("if(countif(filter(Status!$C:$C,Status!$A:$A=$A5),CONCATENATE(Z$2,""*""))&gt;0,countif(filter(Status!$C:$C,Status!$A:$A=$A5),CONCATENATE(Z$2,""*"")),"""")"),"")</f>
        <v/>
      </c>
      <c r="AA5" s="23">
        <f>IFERROR(__xludf.DUMMYFUNCTION("if((countif(filter(Status!$C:$C,Status!$A:$A=$A5),CONCATENATE(AA$2,""*""))-AB5)&gt;0,(countif(filter(Status!$C:$C,Status!$A:$A=$A5),CONCATENATE(AA$2,""*""))-AB5),"""")"),1.0)</f>
        <v>1</v>
      </c>
      <c r="AB5" s="23">
        <f>IFERROR(__xludf.DUMMYFUNCTION("if(countif(filter(Status!$C:$C,Status!$A:$A=$A5),CONCATENATE(AB$2,""*""))&gt;0,countif(filter(Status!$C:$C,Status!$A:$A=$A5),CONCATENATE(AB$2,""*"")),"""")"),1.0)</f>
        <v>1</v>
      </c>
      <c r="AC5" s="23">
        <f>IFERROR(__xludf.DUMMYFUNCTION("if(countif(filter(Status!$C:$C,Status!$A:$A=$A5),CONCATENATE(AC$2,""*""))&gt;0,countif(filter(Status!$C:$C,Status!$A:$A=$A5),CONCATENATE(AC$2,""*"")),"""")"),1.0)</f>
        <v>1</v>
      </c>
      <c r="AD5" s="23" t="str">
        <f>IFERROR(__xludf.DUMMYFUNCTION("if(countif(filter(Status!$C:$C,Status!$A:$A=$A5),CONCATENATE(AD$2,""*""))&gt;0,countif(filter(Status!$C:$C,Status!$A:$A=$A5),CONCATENATE(AD$2,""*"")),"""")"),"")</f>
        <v/>
      </c>
      <c r="AE5" s="23" t="str">
        <f>IFERROR(__xludf.DUMMYFUNCTION("if(countif(filter(Status!$C:$C,Status!$A:$A=$A5),CONCATENATE(AE$2,""*""))&gt;0,countif(filter(Status!$C:$C,Status!$A:$A=$A5),CONCATENATE(AE$2,""*"")),"""")"),"")</f>
        <v/>
      </c>
      <c r="AF5" s="23" t="str">
        <f>IFERROR(__xludf.DUMMYFUNCTION("if(countif(filter(Status!$C:$C,Status!$A:$A=$A5),CONCATENATE(AF$2,""*""))&gt;0,countif(filter(Status!$C:$C,Status!$A:$A=$A5),CONCATENATE(AF$2,""*"")),"""")"),"")</f>
        <v/>
      </c>
      <c r="AG5" s="23" t="str">
        <f>IFERROR(__xludf.DUMMYFUNCTION("if(countif(filter(Status!$C:$C,Status!$A:$A=$A5),CONCATENATE(AG$2,""*""))&gt;0,countif(filter(Status!$C:$C,Status!$A:$A=$A5),CONCATENATE(AG$2,""*"")),"""")"),"")</f>
        <v/>
      </c>
      <c r="AH5" s="23" t="str">
        <f>IFERROR(__xludf.DUMMYFUNCTION("if(countif(filter(Status!$C:$C,Status!$A:$A=$A5),CONCATENATE(AH$2,""*""))&gt;0,countif(filter(Status!$C:$C,Status!$A:$A=$A5),CONCATENATE(AH$2,""*"")),"""")"),"")</f>
        <v/>
      </c>
      <c r="AI5" s="23" t="str">
        <f>IFERROR(__xludf.DUMMYFUNCTION("if(countif(filter(Status!$C:$C,Status!$A:$A=$A5),CONCATENATE(AI$2,""*""))&gt;0,countif(filter(Status!$C:$C,Status!$A:$A=$A5),CONCATENATE(AI$2,""*"")),"""")"),"")</f>
        <v/>
      </c>
      <c r="AJ5" s="23" t="str">
        <f>IFERROR(__xludf.DUMMYFUNCTION("if(countif(filter(Status!$C:$C,Status!$A:$A=$A5),CONCATENATE(AJ$2,""*""))&gt;0,countif(filter(Status!$C:$C,Status!$A:$A=$A5),CONCATENATE(AJ$2,""*"")),"""")"),"")</f>
        <v/>
      </c>
      <c r="AK5" s="23" t="str">
        <f>IFERROR(__xludf.DUMMYFUNCTION("if(countif(filter(Status!$C:$C,Status!$A:$A=$A5),CONCATENATE(AK$2,""*""))&gt;0,countif(filter(Status!$C:$C,Status!$A:$A=$A5),CONCATENATE(AK$2,""*"")),"""")"),"")</f>
        <v/>
      </c>
      <c r="AL5" s="23" t="str">
        <f>IFERROR(__xludf.DUMMYFUNCTION("if(countif(filter(Status!$C:$C,Status!$A:$A=$A5),CONCATENATE(AL$2,""*""))&gt;0,countif(filter(Status!$C:$C,Status!$A:$A=$A5),CONCATENATE(AL$2,""*"")),"""")"),"")</f>
        <v/>
      </c>
      <c r="AM5" s="23" t="str">
        <f>IFERROR(__xludf.DUMMYFUNCTION("if(countif(filter(Status!$C:$C,Status!$A:$A=$A5),CONCATENATE(AM$2,""*""))&gt;0,countif(filter(Status!$C:$C,Status!$A:$A=$A5),CONCATENATE(AM$2,""*"")),"""")"),"")</f>
        <v/>
      </c>
      <c r="AN5" s="23" t="str">
        <f>IFERROR(__xludf.DUMMYFUNCTION("if(countif(filter(Status!$C:$C,Status!$A:$A=$A5),CONCATENATE(AN$2,""*""))&gt;0,countif(filter(Status!$C:$C,Status!$A:$A=$A5),CONCATENATE(AN$2,""*"")),"""")"),"")</f>
        <v/>
      </c>
      <c r="AO5" s="23" t="str">
        <f>IFERROR(__xludf.DUMMYFUNCTION("if(countif(filter(Status!$C:$C,Status!$A:$A=$A5),CONCATENATE(AO$2,""*""))&gt;0,countif(filter(Status!$C:$C,Status!$A:$A=$A5),CONCATENATE(AO$2,""*"")),"""")"),"")</f>
        <v/>
      </c>
      <c r="AP5" s="23">
        <f>IFERROR(__xludf.DUMMYFUNCTION("counta(iferror(filter(Status!C:C,Status!A:A=A5)))"),11.0)</f>
        <v>11</v>
      </c>
      <c r="AQ5" s="23">
        <f t="shared" si="6"/>
        <v>11</v>
      </c>
    </row>
    <row r="6">
      <c r="A6" s="1" t="s">
        <v>209</v>
      </c>
      <c r="B6" s="21">
        <f>IFERROR(__xludf.DUMMYFUNCTION("max(filter(Status!E:E,Status!A:A=A6))"),43650.0)</f>
        <v>43650</v>
      </c>
      <c r="C6" s="23">
        <f t="shared" si="1"/>
        <v>0</v>
      </c>
      <c r="D6" s="23">
        <f t="shared" si="2"/>
        <v>0</v>
      </c>
      <c r="E6" s="23">
        <f t="shared" si="3"/>
        <v>1</v>
      </c>
      <c r="F6" s="23">
        <f t="shared" si="4"/>
        <v>0.7142857143</v>
      </c>
      <c r="G6" s="25">
        <f t="shared" si="5"/>
        <v>0.6666666667</v>
      </c>
      <c r="J6" s="23">
        <f>IFERROR(__xludf.DUMMYFUNCTION("COUNTA(iferror(filter(Status!H:H,Status!A:A=A6)))"),1.0)</f>
        <v>1</v>
      </c>
      <c r="K6" s="25">
        <f>IFERROR(__xludf.DUMMYFUNCTION("COUNTA(iferror(filter(Status!H:H,Status!A:A=A6,Status!H:H=TRUE)))"),0.0)</f>
        <v>0</v>
      </c>
      <c r="L6" s="23">
        <f>IFERROR(__xludf.DUMMYFUNCTION("COUNTA(iferror(filter(Status!L:L,Status!A:A=A6)))"),1.0)</f>
        <v>1</v>
      </c>
      <c r="M6" s="25">
        <f>IFERROR(__xludf.DUMMYFUNCTION("COUNTA(iferror(filter(Status!L:L,Status!A:A=A6,Status!L:L=TRUE)))"),0.0)</f>
        <v>0</v>
      </c>
      <c r="N6" s="23">
        <f>IFERROR(__xludf.DUMMYFUNCTION("COUNTA(iferror(filter(Status!N:N,Status!A:A=A6,Status!N:N=TRUE)))"),4.0)</f>
        <v>4</v>
      </c>
      <c r="O6" s="25">
        <f>IFERROR(__xludf.DUMMYFUNCTION("COUNTA(iferror(filter(Status!N:N,Status!A:A=A6,Status!N:N=TRUE)))"),4.0)</f>
        <v>4</v>
      </c>
      <c r="P6" s="23">
        <f>IFERROR(__xludf.DUMMYFUNCTION("COUNTA(iferror(filter(Status!P:P,Status!A:A=A6)))"),7.0)</f>
        <v>7</v>
      </c>
      <c r="Q6" s="25">
        <f>IFERROR(__xludf.DUMMYFUNCTION("COUNTA(iferror(filter(Status!P:P,Status!A:A=A6,Status!P:P=TRUE)))"),5.0)</f>
        <v>5</v>
      </c>
      <c r="R6" s="23">
        <f>IFERROR(__xludf.DUMMYFUNCTION("COUNTA(iferror(filter(Status!R:R,Status!A:A=A6)))"),6.0)</f>
        <v>6</v>
      </c>
      <c r="S6" s="25">
        <f>IFERROR(__xludf.DUMMYFUNCTION("COUNTA(iferror(filter(Status!R:R,Status!A:A=A6,Status!R:R=TRUE)))"),4.0)</f>
        <v>4</v>
      </c>
      <c r="V6" s="23" t="str">
        <f>IFERROR(__xludf.DUMMYFUNCTION("if((countif(filter(Status!$C:$C,Status!$A:$A=$A6),CONCATENATE(V$2,""*""))-W6)&gt;0,(countif(filter(Status!$C:$C,Status!$A:$A=$A6),CONCATENATE(V$2,""*""))-W6),"""")"),"")</f>
        <v/>
      </c>
      <c r="W6" s="23" t="str">
        <f>IFERROR(__xludf.DUMMYFUNCTION("if(countif(filter(Status!$C:$C,Status!$A:$A=$A6),CONCATENATE(W$2,""*""))&gt;0,countif(filter(Status!$C:$C,Status!$A:$A=$A6),CONCATENATE(W$2,""*"")),"""")"),"")</f>
        <v/>
      </c>
      <c r="X6" s="23">
        <f>IFERROR(__xludf.DUMMYFUNCTION("if(countif(filter(Status!$C:$C,Status!$A:$A=$A6),CONCATENATE(X$2,""*""))&gt;0,countif(filter(Status!$C:$C,Status!$A:$A=$A6),CONCATENATE(X$2,""*"")),"""")"),4.0)</f>
        <v>4</v>
      </c>
      <c r="Y6" s="23" t="str">
        <f>IFERROR(__xludf.DUMMYFUNCTION("if(countif(filter(Status!$C:$C,Status!$A:$A=$A6),CONCATENATE(Y$2,""*""))&gt;0,countif(filter(Status!$C:$C,Status!$A:$A=$A6),CONCATENATE(Y$2,""*"")),"""")"),"")</f>
        <v/>
      </c>
      <c r="Z6" s="23" t="str">
        <f>IFERROR(__xludf.DUMMYFUNCTION("if(countif(filter(Status!$C:$C,Status!$A:$A=$A6),CONCATENATE(Z$2,""*""))&gt;0,countif(filter(Status!$C:$C,Status!$A:$A=$A6),CONCATENATE(Z$2,""*"")),"""")"),"")</f>
        <v/>
      </c>
      <c r="AA6" s="23">
        <f>IFERROR(__xludf.DUMMYFUNCTION("if((countif(filter(Status!$C:$C,Status!$A:$A=$A6),CONCATENATE(AA$2,""*""))-AB6)&gt;0,(countif(filter(Status!$C:$C,Status!$A:$A=$A6),CONCATENATE(AA$2,""*""))-AB6),"""")"),1.0)</f>
        <v>1</v>
      </c>
      <c r="AB6" s="23">
        <f>IFERROR(__xludf.DUMMYFUNCTION("if(countif(filter(Status!$C:$C,Status!$A:$A=$A6),CONCATENATE(AB$2,""*""))&gt;0,countif(filter(Status!$C:$C,Status!$A:$A=$A6),CONCATENATE(AB$2,""*"")),"""")"),1.0)</f>
        <v>1</v>
      </c>
      <c r="AC6" s="23">
        <f>IFERROR(__xludf.DUMMYFUNCTION("if(countif(filter(Status!$C:$C,Status!$A:$A=$A6),CONCATENATE(AC$2,""*""))&gt;0,countif(filter(Status!$C:$C,Status!$A:$A=$A6),CONCATENATE(AC$2,""*"")),"""")"),1.0)</f>
        <v>1</v>
      </c>
      <c r="AD6" s="23" t="str">
        <f>IFERROR(__xludf.DUMMYFUNCTION("if(countif(filter(Status!$C:$C,Status!$A:$A=$A6),CONCATENATE(AD$2,""*""))&gt;0,countif(filter(Status!$C:$C,Status!$A:$A=$A6),CONCATENATE(AD$2,""*"")),"""")"),"")</f>
        <v/>
      </c>
      <c r="AE6" s="23" t="str">
        <f>IFERROR(__xludf.DUMMYFUNCTION("if(countif(filter(Status!$C:$C,Status!$A:$A=$A6),CONCATENATE(AE$2,""*""))&gt;0,countif(filter(Status!$C:$C,Status!$A:$A=$A6),CONCATENATE(AE$2,""*"")),"""")"),"")</f>
        <v/>
      </c>
      <c r="AF6" s="23" t="str">
        <f>IFERROR(__xludf.DUMMYFUNCTION("if(countif(filter(Status!$C:$C,Status!$A:$A=$A6),CONCATENATE(AF$2,""*""))&gt;0,countif(filter(Status!$C:$C,Status!$A:$A=$A6),CONCATENATE(AF$2,""*"")),"""")"),"")</f>
        <v/>
      </c>
      <c r="AG6" s="23" t="str">
        <f>IFERROR(__xludf.DUMMYFUNCTION("if(countif(filter(Status!$C:$C,Status!$A:$A=$A6),CONCATENATE(AG$2,""*""))&gt;0,countif(filter(Status!$C:$C,Status!$A:$A=$A6),CONCATENATE(AG$2,""*"")),"""")"),"")</f>
        <v/>
      </c>
      <c r="AH6" s="23" t="str">
        <f>IFERROR(__xludf.DUMMYFUNCTION("if(countif(filter(Status!$C:$C,Status!$A:$A=$A6),CONCATENATE(AH$2,""*""))&gt;0,countif(filter(Status!$C:$C,Status!$A:$A=$A6),CONCATENATE(AH$2,""*"")),"""")"),"")</f>
        <v/>
      </c>
      <c r="AI6" s="23" t="str">
        <f>IFERROR(__xludf.DUMMYFUNCTION("if(countif(filter(Status!$C:$C,Status!$A:$A=$A6),CONCATENATE(AI$2,""*""))&gt;0,countif(filter(Status!$C:$C,Status!$A:$A=$A6),CONCATENATE(AI$2,""*"")),"""")"),"")</f>
        <v/>
      </c>
      <c r="AJ6" s="23" t="str">
        <f>IFERROR(__xludf.DUMMYFUNCTION("if(countif(filter(Status!$C:$C,Status!$A:$A=$A6),CONCATENATE(AJ$2,""*""))&gt;0,countif(filter(Status!$C:$C,Status!$A:$A=$A6),CONCATENATE(AJ$2,""*"")),"""")"),"")</f>
        <v/>
      </c>
      <c r="AK6" s="23" t="str">
        <f>IFERROR(__xludf.DUMMYFUNCTION("if(countif(filter(Status!$C:$C,Status!$A:$A=$A6),CONCATENATE(AK$2,""*""))&gt;0,countif(filter(Status!$C:$C,Status!$A:$A=$A6),CONCATENATE(AK$2,""*"")),"""")"),"")</f>
        <v/>
      </c>
      <c r="AL6" s="23" t="str">
        <f>IFERROR(__xludf.DUMMYFUNCTION("if(countif(filter(Status!$C:$C,Status!$A:$A=$A6),CONCATENATE(AL$2,""*""))&gt;0,countif(filter(Status!$C:$C,Status!$A:$A=$A6),CONCATENATE(AL$2,""*"")),"""")"),"")</f>
        <v/>
      </c>
      <c r="AM6" s="23" t="str">
        <f>IFERROR(__xludf.DUMMYFUNCTION("if(countif(filter(Status!$C:$C,Status!$A:$A=$A6),CONCATENATE(AM$2,""*""))&gt;0,countif(filter(Status!$C:$C,Status!$A:$A=$A6),CONCATENATE(AM$2,""*"")),"""")"),"")</f>
        <v/>
      </c>
      <c r="AN6" s="23" t="str">
        <f>IFERROR(__xludf.DUMMYFUNCTION("if(countif(filter(Status!$C:$C,Status!$A:$A=$A6),CONCATENATE(AN$2,""*""))&gt;0,countif(filter(Status!$C:$C,Status!$A:$A=$A6),CONCATENATE(AN$2,""*"")),"""")"),"")</f>
        <v/>
      </c>
      <c r="AO6" s="23" t="str">
        <f>IFERROR(__xludf.DUMMYFUNCTION("if(countif(filter(Status!$C:$C,Status!$A:$A=$A6),CONCATENATE(AO$2,""*""))&gt;0,countif(filter(Status!$C:$C,Status!$A:$A=$A6),CONCATENATE(AO$2,""*"")),"""")"),"")</f>
        <v/>
      </c>
      <c r="AP6" s="23">
        <f>IFERROR(__xludf.DUMMYFUNCTION("counta(iferror(filter(Status!C:C,Status!A:A=A6)))"),7.0)</f>
        <v>7</v>
      </c>
      <c r="AQ6" s="23">
        <f t="shared" si="6"/>
        <v>7</v>
      </c>
    </row>
    <row r="7">
      <c r="A7" s="1" t="s">
        <v>322</v>
      </c>
      <c r="B7" s="21">
        <f>IFERROR(__xludf.DUMMYFUNCTION("max(filter(Status!E:E,Status!A:A=A7))"),43654.0)</f>
        <v>43654</v>
      </c>
      <c r="C7" s="23">
        <f t="shared" si="1"/>
        <v>1</v>
      </c>
      <c r="D7" s="23">
        <f t="shared" si="2"/>
        <v>0</v>
      </c>
      <c r="E7" s="23">
        <f t="shared" si="3"/>
        <v>1</v>
      </c>
      <c r="F7" s="23">
        <f t="shared" si="4"/>
        <v>0.6666666667</v>
      </c>
      <c r="G7" s="25">
        <f t="shared" si="5"/>
        <v>0.6666666667</v>
      </c>
      <c r="J7" s="23">
        <f>IFERROR(__xludf.DUMMYFUNCTION("COUNTA(iferror(filter(Status!H:H,Status!A:A=A7)))"),2.0)</f>
        <v>2</v>
      </c>
      <c r="K7" s="25">
        <f>IFERROR(__xludf.DUMMYFUNCTION("COUNTA(iferror(filter(Status!H:H,Status!A:A=A7,Status!H:H=TRUE)))"),2.0)</f>
        <v>2</v>
      </c>
      <c r="L7" s="23">
        <f>IFERROR(__xludf.DUMMYFUNCTION("COUNTA(iferror(filter(Status!L:L,Status!A:A=A7)))"),1.0)</f>
        <v>1</v>
      </c>
      <c r="M7" s="25">
        <f>IFERROR(__xludf.DUMMYFUNCTION("COUNTA(iferror(filter(Status!L:L,Status!A:A=A7,Status!L:L=TRUE)))"),0.0)</f>
        <v>0</v>
      </c>
      <c r="N7" s="23">
        <f>IFERROR(__xludf.DUMMYFUNCTION("COUNTA(iferror(filter(Status!N:N,Status!A:A=A7,Status!N:N=TRUE)))"),2.0)</f>
        <v>2</v>
      </c>
      <c r="O7" s="25">
        <f>IFERROR(__xludf.DUMMYFUNCTION("COUNTA(iferror(filter(Status!N:N,Status!A:A=A7,Status!N:N=TRUE)))"),2.0)</f>
        <v>2</v>
      </c>
      <c r="P7" s="23">
        <f>IFERROR(__xludf.DUMMYFUNCTION("COUNTA(iferror(filter(Status!P:P,Status!A:A=A7)))"),3.0)</f>
        <v>3</v>
      </c>
      <c r="Q7" s="25">
        <f>IFERROR(__xludf.DUMMYFUNCTION("COUNTA(iferror(filter(Status!P:P,Status!A:A=A7,Status!P:P=TRUE)))"),2.0)</f>
        <v>2</v>
      </c>
      <c r="R7" s="23">
        <f>IFERROR(__xludf.DUMMYFUNCTION("COUNTA(iferror(filter(Status!R:R,Status!A:A=A7)))"),3.0)</f>
        <v>3</v>
      </c>
      <c r="S7" s="25">
        <f>IFERROR(__xludf.DUMMYFUNCTION("COUNTA(iferror(filter(Status!R:R,Status!A:A=A7,Status!R:R=TRUE)))"),2.0)</f>
        <v>2</v>
      </c>
      <c r="V7" s="23">
        <f>IFERROR(__xludf.DUMMYFUNCTION("if((countif(filter(Status!$C:$C,Status!$A:$A=$A7),CONCATENATE(V$2,""*""))-W7)&gt;0,(countif(filter(Status!$C:$C,Status!$A:$A=$A7),CONCATENATE(V$2,""*""))-W7),"""")"),2.0)</f>
        <v>2</v>
      </c>
      <c r="W7" s="23" t="str">
        <f>IFERROR(__xludf.DUMMYFUNCTION("if(countif(filter(Status!$C:$C,Status!$A:$A=$A7),CONCATENATE(W$2,""*""))&gt;0,countif(filter(Status!$C:$C,Status!$A:$A=$A7),CONCATENATE(W$2,""*"")),"""")"),"")</f>
        <v/>
      </c>
      <c r="X7" s="23" t="str">
        <f>IFERROR(__xludf.DUMMYFUNCTION("if(countif(filter(Status!$C:$C,Status!$A:$A=$A7),CONCATENATE(X$2,""*""))&gt;0,countif(filter(Status!$C:$C,Status!$A:$A=$A7),CONCATENATE(X$2,""*"")),"""")"),"")</f>
        <v/>
      </c>
      <c r="Y7" s="23" t="str">
        <f>IFERROR(__xludf.DUMMYFUNCTION("if(countif(filter(Status!$C:$C,Status!$A:$A=$A7),CONCATENATE(Y$2,""*""))&gt;0,countif(filter(Status!$C:$C,Status!$A:$A=$A7),CONCATENATE(Y$2,""*"")),"""")"),"")</f>
        <v/>
      </c>
      <c r="Z7" s="23" t="str">
        <f>IFERROR(__xludf.DUMMYFUNCTION("if(countif(filter(Status!$C:$C,Status!$A:$A=$A7),CONCATENATE(Z$2,""*""))&gt;0,countif(filter(Status!$C:$C,Status!$A:$A=$A7),CONCATENATE(Z$2,""*"")),"""")"),"")</f>
        <v/>
      </c>
      <c r="AA7" s="23" t="str">
        <f>IFERROR(__xludf.DUMMYFUNCTION("if((countif(filter(Status!$C:$C,Status!$A:$A=$A7),CONCATENATE(AA$2,""*""))-AB7)&gt;0,(countif(filter(Status!$C:$C,Status!$A:$A=$A7),CONCATENATE(AA$2,""*""))-AB7),"""")"),"")</f>
        <v/>
      </c>
      <c r="AB7" s="23" t="str">
        <f>IFERROR(__xludf.DUMMYFUNCTION("if(countif(filter(Status!$C:$C,Status!$A:$A=$A7),CONCATENATE(AB$2,""*""))&gt;0,countif(filter(Status!$C:$C,Status!$A:$A=$A7),CONCATENATE(AB$2,""*"")),"""")"),"")</f>
        <v/>
      </c>
      <c r="AC7" s="23">
        <f>IFERROR(__xludf.DUMMYFUNCTION("if(countif(filter(Status!$C:$C,Status!$A:$A=$A7),CONCATENATE(AC$2,""*""))&gt;0,countif(filter(Status!$C:$C,Status!$A:$A=$A7),CONCATENATE(AC$2,""*"")),"""")"),1.0)</f>
        <v>1</v>
      </c>
      <c r="AD7" s="23" t="str">
        <f>IFERROR(__xludf.DUMMYFUNCTION("if(countif(filter(Status!$C:$C,Status!$A:$A=$A7),CONCATENATE(AD$2,""*""))&gt;0,countif(filter(Status!$C:$C,Status!$A:$A=$A7),CONCATENATE(AD$2,""*"")),"""")"),"")</f>
        <v/>
      </c>
      <c r="AE7" s="23">
        <f>IFERROR(__xludf.DUMMYFUNCTION("if(countif(filter(Status!$C:$C,Status!$A:$A=$A7),CONCATENATE(AE$2,""*""))&gt;0,countif(filter(Status!$C:$C,Status!$A:$A=$A7),CONCATENATE(AE$2,""*"")),"""")"),1.0)</f>
        <v>1</v>
      </c>
      <c r="AF7" s="23" t="str">
        <f>IFERROR(__xludf.DUMMYFUNCTION("if(countif(filter(Status!$C:$C,Status!$A:$A=$A7),CONCATENATE(AF$2,""*""))&gt;0,countif(filter(Status!$C:$C,Status!$A:$A=$A7),CONCATENATE(AF$2,""*"")),"""")"),"")</f>
        <v/>
      </c>
      <c r="AG7" s="23" t="str">
        <f>IFERROR(__xludf.DUMMYFUNCTION("if(countif(filter(Status!$C:$C,Status!$A:$A=$A7),CONCATENATE(AG$2,""*""))&gt;0,countif(filter(Status!$C:$C,Status!$A:$A=$A7),CONCATENATE(AG$2,""*"")),"""")"),"")</f>
        <v/>
      </c>
      <c r="AH7" s="23" t="str">
        <f>IFERROR(__xludf.DUMMYFUNCTION("if(countif(filter(Status!$C:$C,Status!$A:$A=$A7),CONCATENATE(AH$2,""*""))&gt;0,countif(filter(Status!$C:$C,Status!$A:$A=$A7),CONCATENATE(AH$2,""*"")),"""")"),"")</f>
        <v/>
      </c>
      <c r="AI7" s="23" t="str">
        <f>IFERROR(__xludf.DUMMYFUNCTION("if(countif(filter(Status!$C:$C,Status!$A:$A=$A7),CONCATENATE(AI$2,""*""))&gt;0,countif(filter(Status!$C:$C,Status!$A:$A=$A7),CONCATENATE(AI$2,""*"")),"""")"),"")</f>
        <v/>
      </c>
      <c r="AJ7" s="23" t="str">
        <f>IFERROR(__xludf.DUMMYFUNCTION("if(countif(filter(Status!$C:$C,Status!$A:$A=$A7),CONCATENATE(AJ$2,""*""))&gt;0,countif(filter(Status!$C:$C,Status!$A:$A=$A7),CONCATENATE(AJ$2,""*"")),"""")"),"")</f>
        <v/>
      </c>
      <c r="AK7" s="23" t="str">
        <f>IFERROR(__xludf.DUMMYFUNCTION("if(countif(filter(Status!$C:$C,Status!$A:$A=$A7),CONCATENATE(AK$2,""*""))&gt;0,countif(filter(Status!$C:$C,Status!$A:$A=$A7),CONCATENATE(AK$2,""*"")),"""")"),"")</f>
        <v/>
      </c>
      <c r="AL7" s="23" t="str">
        <f>IFERROR(__xludf.DUMMYFUNCTION("if(countif(filter(Status!$C:$C,Status!$A:$A=$A7),CONCATENATE(AL$2,""*""))&gt;0,countif(filter(Status!$C:$C,Status!$A:$A=$A7),CONCATENATE(AL$2,""*"")),"""")"),"")</f>
        <v/>
      </c>
      <c r="AM7" s="23" t="str">
        <f>IFERROR(__xludf.DUMMYFUNCTION("if(countif(filter(Status!$C:$C,Status!$A:$A=$A7),CONCATENATE(AM$2,""*""))&gt;0,countif(filter(Status!$C:$C,Status!$A:$A=$A7),CONCATENATE(AM$2,""*"")),"""")"),"")</f>
        <v/>
      </c>
      <c r="AN7" s="23" t="str">
        <f>IFERROR(__xludf.DUMMYFUNCTION("if(countif(filter(Status!$C:$C,Status!$A:$A=$A7),CONCATENATE(AN$2,""*""))&gt;0,countif(filter(Status!$C:$C,Status!$A:$A=$A7),CONCATENATE(AN$2,""*"")),"""")"),"")</f>
        <v/>
      </c>
      <c r="AO7" s="23" t="str">
        <f>IFERROR(__xludf.DUMMYFUNCTION("if(countif(filter(Status!$C:$C,Status!$A:$A=$A7),CONCATENATE(AO$2,""*""))&gt;0,countif(filter(Status!$C:$C,Status!$A:$A=$A7),CONCATENATE(AO$2,""*"")),"""")"),"")</f>
        <v/>
      </c>
      <c r="AP7" s="23">
        <f>IFERROR(__xludf.DUMMYFUNCTION("counta(iferror(filter(Status!C:C,Status!A:A=A7)))"),4.0)</f>
        <v>4</v>
      </c>
      <c r="AQ7" s="23">
        <f t="shared" si="6"/>
        <v>4</v>
      </c>
    </row>
    <row r="8">
      <c r="A8" s="1" t="s">
        <v>373</v>
      </c>
      <c r="B8" s="21">
        <f>IFERROR(__xludf.DUMMYFUNCTION("max(filter(Status!E:E,Status!A:A=A8))"),43655.0)</f>
        <v>43655</v>
      </c>
      <c r="C8" s="23">
        <f t="shared" si="1"/>
        <v>1</v>
      </c>
      <c r="D8" s="23" t="str">
        <f t="shared" si="2"/>
        <v/>
      </c>
      <c r="E8" s="23">
        <f t="shared" si="3"/>
        <v>1</v>
      </c>
      <c r="F8" s="23">
        <f t="shared" si="4"/>
        <v>0.5714285714</v>
      </c>
      <c r="G8" s="25">
        <f t="shared" si="5"/>
        <v>0.8571428571</v>
      </c>
      <c r="J8" s="23">
        <f>IFERROR(__xludf.DUMMYFUNCTION("COUNTA(iferror(filter(Status!H:H,Status!A:A=A8)))"),1.0)</f>
        <v>1</v>
      </c>
      <c r="K8" s="25">
        <f>IFERROR(__xludf.DUMMYFUNCTION("COUNTA(iferror(filter(Status!H:H,Status!A:A=A8,Status!H:H=TRUE)))"),1.0)</f>
        <v>1</v>
      </c>
      <c r="L8" s="23">
        <f>IFERROR(__xludf.DUMMYFUNCTION("COUNTA(iferror(filter(Status!L:L,Status!A:A=A8)))"),0.0)</f>
        <v>0</v>
      </c>
      <c r="M8" s="25">
        <f>IFERROR(__xludf.DUMMYFUNCTION("COUNTA(iferror(filter(Status!L:L,Status!A:A=A8,Status!L:L=TRUE)))"),0.0)</f>
        <v>0</v>
      </c>
      <c r="N8" s="23">
        <f>IFERROR(__xludf.DUMMYFUNCTION("COUNTA(iferror(filter(Status!N:N,Status!A:A=A8,Status!N:N=TRUE)))"),6.0)</f>
        <v>6</v>
      </c>
      <c r="O8" s="25">
        <f>IFERROR(__xludf.DUMMYFUNCTION("COUNTA(iferror(filter(Status!N:N,Status!A:A=A8,Status!N:N=TRUE)))"),6.0)</f>
        <v>6</v>
      </c>
      <c r="P8" s="23">
        <f>IFERROR(__xludf.DUMMYFUNCTION("COUNTA(iferror(filter(Status!P:P,Status!A:A=A8)))"),7.0)</f>
        <v>7</v>
      </c>
      <c r="Q8" s="25">
        <f>IFERROR(__xludf.DUMMYFUNCTION("COUNTA(iferror(filter(Status!P:P,Status!A:A=A8,Status!P:P=TRUE)))"),4.0)</f>
        <v>4</v>
      </c>
      <c r="R8" s="23">
        <f>IFERROR(__xludf.DUMMYFUNCTION("COUNTA(iferror(filter(Status!R:R,Status!A:A=A8)))"),7.0)</f>
        <v>7</v>
      </c>
      <c r="S8" s="25">
        <f>IFERROR(__xludf.DUMMYFUNCTION("COUNTA(iferror(filter(Status!R:R,Status!A:A=A8,Status!R:R=TRUE)))"),6.0)</f>
        <v>6</v>
      </c>
      <c r="V8" s="23" t="str">
        <f>IFERROR(__xludf.DUMMYFUNCTION("if((countif(filter(Status!$C:$C,Status!$A:$A=$A8),CONCATENATE(V$2,""*""))-W8)&gt;0,(countif(filter(Status!$C:$C,Status!$A:$A=$A8),CONCATENATE(V$2,""*""))-W8),"""")"),"")</f>
        <v/>
      </c>
      <c r="W8" s="23" t="str">
        <f>IFERROR(__xludf.DUMMYFUNCTION("if(countif(filter(Status!$C:$C,Status!$A:$A=$A8),CONCATENATE(W$2,""*""))&gt;0,countif(filter(Status!$C:$C,Status!$A:$A=$A8),CONCATENATE(W$2,""*"")),"""")"),"")</f>
        <v/>
      </c>
      <c r="X8" s="23">
        <f>IFERROR(__xludf.DUMMYFUNCTION("if(countif(filter(Status!$C:$C,Status!$A:$A=$A8),CONCATENATE(X$2,""*""))&gt;0,countif(filter(Status!$C:$C,Status!$A:$A=$A8),CONCATENATE(X$2,""*"")),"""")"),4.0)</f>
        <v>4</v>
      </c>
      <c r="Y8" s="23" t="str">
        <f>IFERROR(__xludf.DUMMYFUNCTION("if(countif(filter(Status!$C:$C,Status!$A:$A=$A8),CONCATENATE(Y$2,""*""))&gt;0,countif(filter(Status!$C:$C,Status!$A:$A=$A8),CONCATENATE(Y$2,""*"")),"""")"),"")</f>
        <v/>
      </c>
      <c r="Z8" s="23" t="str">
        <f>IFERROR(__xludf.DUMMYFUNCTION("if(countif(filter(Status!$C:$C,Status!$A:$A=$A8),CONCATENATE(Z$2,""*""))&gt;0,countif(filter(Status!$C:$C,Status!$A:$A=$A8),CONCATENATE(Z$2,""*"")),"""")"),"")</f>
        <v/>
      </c>
      <c r="AA8" s="23">
        <f>IFERROR(__xludf.DUMMYFUNCTION("if((countif(filter(Status!$C:$C,Status!$A:$A=$A8),CONCATENATE(AA$2,""*""))-AB8)&gt;0,(countif(filter(Status!$C:$C,Status!$A:$A=$A8),CONCATENATE(AA$2,""*""))-AB8),"""")"),1.0)</f>
        <v>1</v>
      </c>
      <c r="AB8" s="23">
        <f>IFERROR(__xludf.DUMMYFUNCTION("if(countif(filter(Status!$C:$C,Status!$A:$A=$A8),CONCATENATE(AB$2,""*""))&gt;0,countif(filter(Status!$C:$C,Status!$A:$A=$A8),CONCATENATE(AB$2,""*"")),"""")"),1.0)</f>
        <v>1</v>
      </c>
      <c r="AC8" s="23">
        <f>IFERROR(__xludf.DUMMYFUNCTION("if(countif(filter(Status!$C:$C,Status!$A:$A=$A8),CONCATENATE(AC$2,""*""))&gt;0,countif(filter(Status!$C:$C,Status!$A:$A=$A8),CONCATENATE(AC$2,""*"")),"""")"),1.0)</f>
        <v>1</v>
      </c>
      <c r="AD8" s="23" t="str">
        <f>IFERROR(__xludf.DUMMYFUNCTION("if(countif(filter(Status!$C:$C,Status!$A:$A=$A8),CONCATENATE(AD$2,""*""))&gt;0,countif(filter(Status!$C:$C,Status!$A:$A=$A8),CONCATENATE(AD$2,""*"")),"""")"),"")</f>
        <v/>
      </c>
      <c r="AE8" s="23" t="str">
        <f>IFERROR(__xludf.DUMMYFUNCTION("if(countif(filter(Status!$C:$C,Status!$A:$A=$A8),CONCATENATE(AE$2,""*""))&gt;0,countif(filter(Status!$C:$C,Status!$A:$A=$A8),CONCATENATE(AE$2,""*"")),"""")"),"")</f>
        <v/>
      </c>
      <c r="AF8" s="23" t="str">
        <f>IFERROR(__xludf.DUMMYFUNCTION("if(countif(filter(Status!$C:$C,Status!$A:$A=$A8),CONCATENATE(AF$2,""*""))&gt;0,countif(filter(Status!$C:$C,Status!$A:$A=$A8),CONCATENATE(AF$2,""*"")),"""")"),"")</f>
        <v/>
      </c>
      <c r="AG8" s="23" t="str">
        <f>IFERROR(__xludf.DUMMYFUNCTION("if(countif(filter(Status!$C:$C,Status!$A:$A=$A8),CONCATENATE(AG$2,""*""))&gt;0,countif(filter(Status!$C:$C,Status!$A:$A=$A8),CONCATENATE(AG$2,""*"")),"""")"),"")</f>
        <v/>
      </c>
      <c r="AH8" s="23" t="str">
        <f>IFERROR(__xludf.DUMMYFUNCTION("if(countif(filter(Status!$C:$C,Status!$A:$A=$A8),CONCATENATE(AH$2,""*""))&gt;0,countif(filter(Status!$C:$C,Status!$A:$A=$A8),CONCATENATE(AH$2,""*"")),"""")"),"")</f>
        <v/>
      </c>
      <c r="AI8" s="23" t="str">
        <f>IFERROR(__xludf.DUMMYFUNCTION("if(countif(filter(Status!$C:$C,Status!$A:$A=$A8),CONCATENATE(AI$2,""*""))&gt;0,countif(filter(Status!$C:$C,Status!$A:$A=$A8),CONCATENATE(AI$2,""*"")),"""")"),"")</f>
        <v/>
      </c>
      <c r="AJ8" s="23" t="str">
        <f>IFERROR(__xludf.DUMMYFUNCTION("if(countif(filter(Status!$C:$C,Status!$A:$A=$A8),CONCATENATE(AJ$2,""*""))&gt;0,countif(filter(Status!$C:$C,Status!$A:$A=$A8),CONCATENATE(AJ$2,""*"")),"""")"),"")</f>
        <v/>
      </c>
      <c r="AK8" s="23" t="str">
        <f>IFERROR(__xludf.DUMMYFUNCTION("if(countif(filter(Status!$C:$C,Status!$A:$A=$A8),CONCATENATE(AK$2,""*""))&gt;0,countif(filter(Status!$C:$C,Status!$A:$A=$A8),CONCATENATE(AK$2,""*"")),"""")"),"")</f>
        <v/>
      </c>
      <c r="AL8" s="23" t="str">
        <f>IFERROR(__xludf.DUMMYFUNCTION("if(countif(filter(Status!$C:$C,Status!$A:$A=$A8),CONCATENATE(AL$2,""*""))&gt;0,countif(filter(Status!$C:$C,Status!$A:$A=$A8),CONCATENATE(AL$2,""*"")),"""")"),"")</f>
        <v/>
      </c>
      <c r="AM8" s="23" t="str">
        <f>IFERROR(__xludf.DUMMYFUNCTION("if(countif(filter(Status!$C:$C,Status!$A:$A=$A8),CONCATENATE(AM$2,""*""))&gt;0,countif(filter(Status!$C:$C,Status!$A:$A=$A8),CONCATENATE(AM$2,""*"")),"""")"),"")</f>
        <v/>
      </c>
      <c r="AN8" s="23" t="str">
        <f>IFERROR(__xludf.DUMMYFUNCTION("if(countif(filter(Status!$C:$C,Status!$A:$A=$A8),CONCATENATE(AN$2,""*""))&gt;0,countif(filter(Status!$C:$C,Status!$A:$A=$A8),CONCATENATE(AN$2,""*"")),"""")"),"")</f>
        <v/>
      </c>
      <c r="AO8" s="23" t="str">
        <f>IFERROR(__xludf.DUMMYFUNCTION("if(countif(filter(Status!$C:$C,Status!$A:$A=$A8),CONCATENATE(AO$2,""*""))&gt;0,countif(filter(Status!$C:$C,Status!$A:$A=$A8),CONCATENATE(AO$2,""*"")),"""")"),"")</f>
        <v/>
      </c>
      <c r="AP8" s="23">
        <f>IFERROR(__xludf.DUMMYFUNCTION("counta(iferror(filter(Status!C:C,Status!A:A=A8)))"),7.0)</f>
        <v>7</v>
      </c>
      <c r="AQ8" s="23">
        <f t="shared" si="6"/>
        <v>7</v>
      </c>
    </row>
    <row r="9">
      <c r="A9" s="1" t="s">
        <v>379</v>
      </c>
      <c r="B9" s="21">
        <f>IFERROR(__xludf.DUMMYFUNCTION("max(filter(Status!E:E,Status!A:A=A9))"),43656.0)</f>
        <v>43656</v>
      </c>
      <c r="C9" s="23">
        <f t="shared" si="1"/>
        <v>0.75</v>
      </c>
      <c r="D9" s="23">
        <f t="shared" si="2"/>
        <v>0</v>
      </c>
      <c r="E9" s="23">
        <f t="shared" si="3"/>
        <v>1</v>
      </c>
      <c r="F9" s="23">
        <f t="shared" si="4"/>
        <v>0.4285714286</v>
      </c>
      <c r="G9" s="25">
        <f t="shared" si="5"/>
        <v>0.6</v>
      </c>
      <c r="J9" s="23">
        <f>IFERROR(__xludf.DUMMYFUNCTION("COUNTA(iferror(filter(Status!H:H,Status!A:A=A9)))"),4.0)</f>
        <v>4</v>
      </c>
      <c r="K9" s="25">
        <f>IFERROR(__xludf.DUMMYFUNCTION("COUNTA(iferror(filter(Status!H:H,Status!A:A=A9,Status!H:H=TRUE)))"),3.0)</f>
        <v>3</v>
      </c>
      <c r="L9" s="23">
        <f>IFERROR(__xludf.DUMMYFUNCTION("COUNTA(iferror(filter(Status!L:L,Status!A:A=A9)))"),2.0)</f>
        <v>2</v>
      </c>
      <c r="M9" s="25">
        <f>IFERROR(__xludf.DUMMYFUNCTION("COUNTA(iferror(filter(Status!L:L,Status!A:A=A9,Status!L:L=TRUE)))"),0.0)</f>
        <v>0</v>
      </c>
      <c r="N9" s="23">
        <f>IFERROR(__xludf.DUMMYFUNCTION("COUNTA(iferror(filter(Status!N:N,Status!A:A=A9,Status!N:N=TRUE)))"),6.0)</f>
        <v>6</v>
      </c>
      <c r="O9" s="25">
        <f>IFERROR(__xludf.DUMMYFUNCTION("COUNTA(iferror(filter(Status!N:N,Status!A:A=A9,Status!N:N=TRUE)))"),6.0)</f>
        <v>6</v>
      </c>
      <c r="P9" s="23">
        <f>IFERROR(__xludf.DUMMYFUNCTION("COUNTA(iferror(filter(Status!P:P,Status!A:A=A9)))"),7.0)</f>
        <v>7</v>
      </c>
      <c r="Q9" s="25">
        <f>IFERROR(__xludf.DUMMYFUNCTION("COUNTA(iferror(filter(Status!P:P,Status!A:A=A9,Status!P:P=TRUE)))"),3.0)</f>
        <v>3</v>
      </c>
      <c r="R9" s="23">
        <f>IFERROR(__xludf.DUMMYFUNCTION("COUNTA(iferror(filter(Status!R:R,Status!A:A=A9)))"),5.0)</f>
        <v>5</v>
      </c>
      <c r="S9" s="25">
        <f>IFERROR(__xludf.DUMMYFUNCTION("COUNTA(iferror(filter(Status!R:R,Status!A:A=A9,Status!R:R=TRUE)))"),3.0)</f>
        <v>3</v>
      </c>
      <c r="V9" s="23">
        <f>IFERROR(__xludf.DUMMYFUNCTION("if((countif(filter(Status!$C:$C,Status!$A:$A=$A9),CONCATENATE(V$2,""*""))-W9)&gt;0,(countif(filter(Status!$C:$C,Status!$A:$A=$A9),CONCATENATE(V$2,""*""))-W9),"""")"),3.0)</f>
        <v>3</v>
      </c>
      <c r="W9" s="23" t="str">
        <f>IFERROR(__xludf.DUMMYFUNCTION("if(countif(filter(Status!$C:$C,Status!$A:$A=$A9),CONCATENATE(W$2,""*""))&gt;0,countif(filter(Status!$C:$C,Status!$A:$A=$A9),CONCATENATE(W$2,""*"")),"""")"),"")</f>
        <v/>
      </c>
      <c r="X9" s="23" t="str">
        <f>IFERROR(__xludf.DUMMYFUNCTION("if(countif(filter(Status!$C:$C,Status!$A:$A=$A9),CONCATENATE(X$2,""*""))&gt;0,countif(filter(Status!$C:$C,Status!$A:$A=$A9),CONCATENATE(X$2,""*"")),"""")"),"")</f>
        <v/>
      </c>
      <c r="Y9" s="23" t="str">
        <f>IFERROR(__xludf.DUMMYFUNCTION("if(countif(filter(Status!$C:$C,Status!$A:$A=$A9),CONCATENATE(Y$2,""*""))&gt;0,countif(filter(Status!$C:$C,Status!$A:$A=$A9),CONCATENATE(Y$2,""*"")),"""")"),"")</f>
        <v/>
      </c>
      <c r="Z9" s="23" t="str">
        <f>IFERROR(__xludf.DUMMYFUNCTION("if(countif(filter(Status!$C:$C,Status!$A:$A=$A9),CONCATENATE(Z$2,""*""))&gt;0,countif(filter(Status!$C:$C,Status!$A:$A=$A9),CONCATENATE(Z$2,""*"")),"""")"),"")</f>
        <v/>
      </c>
      <c r="AA9" s="23">
        <f>IFERROR(__xludf.DUMMYFUNCTION("if((countif(filter(Status!$C:$C,Status!$A:$A=$A9),CONCATENATE(AA$2,""*""))-AB9)&gt;0,(countif(filter(Status!$C:$C,Status!$A:$A=$A9),CONCATENATE(AA$2,""*""))-AB9),"""")"),2.0)</f>
        <v>2</v>
      </c>
      <c r="AB9" s="23">
        <f>IFERROR(__xludf.DUMMYFUNCTION("if(countif(filter(Status!$C:$C,Status!$A:$A=$A9),CONCATENATE(AB$2,""*""))&gt;0,countif(filter(Status!$C:$C,Status!$A:$A=$A9),CONCATENATE(AB$2,""*"")),"""")"),1.0)</f>
        <v>1</v>
      </c>
      <c r="AC9" s="23">
        <f>IFERROR(__xludf.DUMMYFUNCTION("if(countif(filter(Status!$C:$C,Status!$A:$A=$A9),CONCATENATE(AC$2,""*""))&gt;0,countif(filter(Status!$C:$C,Status!$A:$A=$A9),CONCATENATE(AC$2,""*"")),"""")"),1.0)</f>
        <v>1</v>
      </c>
      <c r="AD9" s="23" t="str">
        <f>IFERROR(__xludf.DUMMYFUNCTION("if(countif(filter(Status!$C:$C,Status!$A:$A=$A9),CONCATENATE(AD$2,""*""))&gt;0,countif(filter(Status!$C:$C,Status!$A:$A=$A9),CONCATENATE(AD$2,""*"")),"""")"),"")</f>
        <v/>
      </c>
      <c r="AE9" s="23">
        <f>IFERROR(__xludf.DUMMYFUNCTION("if(countif(filter(Status!$C:$C,Status!$A:$A=$A9),CONCATENATE(AE$2,""*""))&gt;0,countif(filter(Status!$C:$C,Status!$A:$A=$A9),CONCATENATE(AE$2,""*"")),"""")"),1.0)</f>
        <v>1</v>
      </c>
      <c r="AF9" s="23" t="str">
        <f>IFERROR(__xludf.DUMMYFUNCTION("if(countif(filter(Status!$C:$C,Status!$A:$A=$A9),CONCATENATE(AF$2,""*""))&gt;0,countif(filter(Status!$C:$C,Status!$A:$A=$A9),CONCATENATE(AF$2,""*"")),"""")"),"")</f>
        <v/>
      </c>
      <c r="AG9" s="23" t="str">
        <f>IFERROR(__xludf.DUMMYFUNCTION("if(countif(filter(Status!$C:$C,Status!$A:$A=$A9),CONCATENATE(AG$2,""*""))&gt;0,countif(filter(Status!$C:$C,Status!$A:$A=$A9),CONCATENATE(AG$2,""*"")),"""")"),"")</f>
        <v/>
      </c>
      <c r="AH9" s="23" t="str">
        <f>IFERROR(__xludf.DUMMYFUNCTION("if(countif(filter(Status!$C:$C,Status!$A:$A=$A9),CONCATENATE(AH$2,""*""))&gt;0,countif(filter(Status!$C:$C,Status!$A:$A=$A9),CONCATENATE(AH$2,""*"")),"""")"),"")</f>
        <v/>
      </c>
      <c r="AI9" s="23" t="str">
        <f>IFERROR(__xludf.DUMMYFUNCTION("if(countif(filter(Status!$C:$C,Status!$A:$A=$A9),CONCATENATE(AI$2,""*""))&gt;0,countif(filter(Status!$C:$C,Status!$A:$A=$A9),CONCATENATE(AI$2,""*"")),"""")"),"")</f>
        <v/>
      </c>
      <c r="AJ9" s="23" t="str">
        <f>IFERROR(__xludf.DUMMYFUNCTION("if(countif(filter(Status!$C:$C,Status!$A:$A=$A9),CONCATENATE(AJ$2,""*""))&gt;0,countif(filter(Status!$C:$C,Status!$A:$A=$A9),CONCATENATE(AJ$2,""*"")),"""")"),"")</f>
        <v/>
      </c>
      <c r="AK9" s="23" t="str">
        <f>IFERROR(__xludf.DUMMYFUNCTION("if(countif(filter(Status!$C:$C,Status!$A:$A=$A9),CONCATENATE(AK$2,""*""))&gt;0,countif(filter(Status!$C:$C,Status!$A:$A=$A9),CONCATENATE(AK$2,""*"")),"""")"),"")</f>
        <v/>
      </c>
      <c r="AL9" s="23" t="str">
        <f>IFERROR(__xludf.DUMMYFUNCTION("if(countif(filter(Status!$C:$C,Status!$A:$A=$A9),CONCATENATE(AL$2,""*""))&gt;0,countif(filter(Status!$C:$C,Status!$A:$A=$A9),CONCATENATE(AL$2,""*"")),"""")"),"")</f>
        <v/>
      </c>
      <c r="AM9" s="23" t="str">
        <f>IFERROR(__xludf.DUMMYFUNCTION("if(countif(filter(Status!$C:$C,Status!$A:$A=$A9),CONCATENATE(AM$2,""*""))&gt;0,countif(filter(Status!$C:$C,Status!$A:$A=$A9),CONCATENATE(AM$2,""*"")),"""")"),"")</f>
        <v/>
      </c>
      <c r="AN9" s="23" t="str">
        <f>IFERROR(__xludf.DUMMYFUNCTION("if(countif(filter(Status!$C:$C,Status!$A:$A=$A9),CONCATENATE(AN$2,""*""))&gt;0,countif(filter(Status!$C:$C,Status!$A:$A=$A9),CONCATENATE(AN$2,""*"")),"""")"),"")</f>
        <v/>
      </c>
      <c r="AO9" s="23" t="str">
        <f>IFERROR(__xludf.DUMMYFUNCTION("if(countif(filter(Status!$C:$C,Status!$A:$A=$A9),CONCATENATE(AO$2,""*""))&gt;0,countif(filter(Status!$C:$C,Status!$A:$A=$A9),CONCATENATE(AO$2,""*"")),"""")"),"")</f>
        <v/>
      </c>
      <c r="AP9" s="23">
        <f>IFERROR(__xludf.DUMMYFUNCTION("counta(iferror(filter(Status!C:C,Status!A:A=A9)))"),8.0)</f>
        <v>8</v>
      </c>
      <c r="AQ9" s="23">
        <f t="shared" si="6"/>
        <v>8</v>
      </c>
    </row>
    <row r="10">
      <c r="A10" s="1" t="s">
        <v>383</v>
      </c>
      <c r="B10" s="21">
        <f>IFERROR(__xludf.DUMMYFUNCTION("max(filter(Status!E:E,Status!A:A=A10))"),43657.0)</f>
        <v>43657</v>
      </c>
      <c r="C10" s="23" t="str">
        <f t="shared" si="1"/>
        <v/>
      </c>
      <c r="D10" s="23" t="str">
        <f t="shared" si="2"/>
        <v/>
      </c>
      <c r="E10" s="23">
        <f t="shared" si="3"/>
        <v>1</v>
      </c>
      <c r="F10" s="23">
        <f t="shared" si="4"/>
        <v>0.6153846154</v>
      </c>
      <c r="G10" s="25">
        <f t="shared" si="5"/>
        <v>1</v>
      </c>
      <c r="J10" s="23">
        <f>IFERROR(__xludf.DUMMYFUNCTION("COUNTA(iferror(filter(Status!H:H,Status!A:A=A10)))"),0.0)</f>
        <v>0</v>
      </c>
      <c r="K10" s="25">
        <f>IFERROR(__xludf.DUMMYFUNCTION("COUNTA(iferror(filter(Status!H:H,Status!A:A=A10,Status!H:H=TRUE)))"),0.0)</f>
        <v>0</v>
      </c>
      <c r="L10" s="23">
        <f>IFERROR(__xludf.DUMMYFUNCTION("COUNTA(iferror(filter(Status!L:L,Status!A:A=A10)))"),0.0)</f>
        <v>0</v>
      </c>
      <c r="M10" s="25">
        <f>IFERROR(__xludf.DUMMYFUNCTION("COUNTA(iferror(filter(Status!L:L,Status!A:A=A10,Status!L:L=TRUE)))"),0.0)</f>
        <v>0</v>
      </c>
      <c r="N10" s="23">
        <f>IFERROR(__xludf.DUMMYFUNCTION("COUNTA(iferror(filter(Status!N:N,Status!A:A=A10,Status!N:N=TRUE)))"),5.0)</f>
        <v>5</v>
      </c>
      <c r="O10" s="25">
        <f>IFERROR(__xludf.DUMMYFUNCTION("COUNTA(iferror(filter(Status!N:N,Status!A:A=A10,Status!N:N=TRUE)))"),5.0)</f>
        <v>5</v>
      </c>
      <c r="P10" s="23">
        <f>IFERROR(__xludf.DUMMYFUNCTION("COUNTA(iferror(filter(Status!P:P,Status!A:A=A10)))"),13.0)</f>
        <v>13</v>
      </c>
      <c r="Q10" s="25">
        <f>IFERROR(__xludf.DUMMYFUNCTION("COUNTA(iferror(filter(Status!P:P,Status!A:A=A10,Status!P:P=TRUE)))"),8.0)</f>
        <v>8</v>
      </c>
      <c r="R10" s="23">
        <f>IFERROR(__xludf.DUMMYFUNCTION("COUNTA(iferror(filter(Status!R:R,Status!A:A=A10)))"),5.0)</f>
        <v>5</v>
      </c>
      <c r="S10" s="25">
        <f>IFERROR(__xludf.DUMMYFUNCTION("COUNTA(iferror(filter(Status!R:R,Status!A:A=A10,Status!R:R=TRUE)))"),5.0)</f>
        <v>5</v>
      </c>
      <c r="V10" s="23" t="str">
        <f>IFERROR(__xludf.DUMMYFUNCTION("if((countif(filter(Status!$C:$C,Status!$A:$A=$A10),CONCATENATE(V$2,""*""))-W10)&gt;0,(countif(filter(Status!$C:$C,Status!$A:$A=$A10),CONCATENATE(V$2,""*""))-W10),"""")"),"")</f>
        <v/>
      </c>
      <c r="W10" s="23" t="str">
        <f>IFERROR(__xludf.DUMMYFUNCTION("if(countif(filter(Status!$C:$C,Status!$A:$A=$A10),CONCATENATE(W$2,""*""))&gt;0,countif(filter(Status!$C:$C,Status!$A:$A=$A10),CONCATENATE(W$2,""*"")),"""")"),"")</f>
        <v/>
      </c>
      <c r="X10" s="23">
        <f>IFERROR(__xludf.DUMMYFUNCTION("if(countif(filter(Status!$C:$C,Status!$A:$A=$A10),CONCATENATE(X$2,""*""))&gt;0,countif(filter(Status!$C:$C,Status!$A:$A=$A10),CONCATENATE(X$2,""*"")),"""")"),12.0)</f>
        <v>12</v>
      </c>
      <c r="Y10" s="23" t="str">
        <f>IFERROR(__xludf.DUMMYFUNCTION("if(countif(filter(Status!$C:$C,Status!$A:$A=$A10),CONCATENATE(Y$2,""*""))&gt;0,countif(filter(Status!$C:$C,Status!$A:$A=$A10),CONCATENATE(Y$2,""*"")),"""")"),"")</f>
        <v/>
      </c>
      <c r="Z10" s="23" t="str">
        <f>IFERROR(__xludf.DUMMYFUNCTION("if(countif(filter(Status!$C:$C,Status!$A:$A=$A10),CONCATENATE(Z$2,""*""))&gt;0,countif(filter(Status!$C:$C,Status!$A:$A=$A10),CONCATENATE(Z$2,""*"")),"""")"),"")</f>
        <v/>
      </c>
      <c r="AA10" s="23" t="str">
        <f>IFERROR(__xludf.DUMMYFUNCTION("if((countif(filter(Status!$C:$C,Status!$A:$A=$A10),CONCATENATE(AA$2,""*""))-AB10)&gt;0,(countif(filter(Status!$C:$C,Status!$A:$A=$A10),CONCATENATE(AA$2,""*""))-AB10),"""")"),"")</f>
        <v/>
      </c>
      <c r="AB10" s="23" t="str">
        <f>IFERROR(__xludf.DUMMYFUNCTION("if(countif(filter(Status!$C:$C,Status!$A:$A=$A10),CONCATENATE(AB$2,""*""))&gt;0,countif(filter(Status!$C:$C,Status!$A:$A=$A10),CONCATENATE(AB$2,""*"")),"""")"),"")</f>
        <v/>
      </c>
      <c r="AC10" s="23">
        <f>IFERROR(__xludf.DUMMYFUNCTION("if(countif(filter(Status!$C:$C,Status!$A:$A=$A10),CONCATENATE(AC$2,""*""))&gt;0,countif(filter(Status!$C:$C,Status!$A:$A=$A10),CONCATENATE(AC$2,""*"")),"""")"),1.0)</f>
        <v>1</v>
      </c>
      <c r="AD10" s="23" t="str">
        <f>IFERROR(__xludf.DUMMYFUNCTION("if(countif(filter(Status!$C:$C,Status!$A:$A=$A10),CONCATENATE(AD$2,""*""))&gt;0,countif(filter(Status!$C:$C,Status!$A:$A=$A10),CONCATENATE(AD$2,""*"")),"""")"),"")</f>
        <v/>
      </c>
      <c r="AE10" s="23" t="str">
        <f>IFERROR(__xludf.DUMMYFUNCTION("if(countif(filter(Status!$C:$C,Status!$A:$A=$A10),CONCATENATE(AE$2,""*""))&gt;0,countif(filter(Status!$C:$C,Status!$A:$A=$A10),CONCATENATE(AE$2,""*"")),"""")"),"")</f>
        <v/>
      </c>
      <c r="AF10" s="23" t="str">
        <f>IFERROR(__xludf.DUMMYFUNCTION("if(countif(filter(Status!$C:$C,Status!$A:$A=$A10),CONCATENATE(AF$2,""*""))&gt;0,countif(filter(Status!$C:$C,Status!$A:$A=$A10),CONCATENATE(AF$2,""*"")),"""")"),"")</f>
        <v/>
      </c>
      <c r="AG10" s="23" t="str">
        <f>IFERROR(__xludf.DUMMYFUNCTION("if(countif(filter(Status!$C:$C,Status!$A:$A=$A10),CONCATENATE(AG$2,""*""))&gt;0,countif(filter(Status!$C:$C,Status!$A:$A=$A10),CONCATENATE(AG$2,""*"")),"""")"),"")</f>
        <v/>
      </c>
      <c r="AH10" s="23" t="str">
        <f>IFERROR(__xludf.DUMMYFUNCTION("if(countif(filter(Status!$C:$C,Status!$A:$A=$A10),CONCATENATE(AH$2,""*""))&gt;0,countif(filter(Status!$C:$C,Status!$A:$A=$A10),CONCATENATE(AH$2,""*"")),"""")"),"")</f>
        <v/>
      </c>
      <c r="AI10" s="23" t="str">
        <f>IFERROR(__xludf.DUMMYFUNCTION("if(countif(filter(Status!$C:$C,Status!$A:$A=$A10),CONCATENATE(AI$2,""*""))&gt;0,countif(filter(Status!$C:$C,Status!$A:$A=$A10),CONCATENATE(AI$2,""*"")),"""")"),"")</f>
        <v/>
      </c>
      <c r="AJ10" s="23" t="str">
        <f>IFERROR(__xludf.DUMMYFUNCTION("if(countif(filter(Status!$C:$C,Status!$A:$A=$A10),CONCATENATE(AJ$2,""*""))&gt;0,countif(filter(Status!$C:$C,Status!$A:$A=$A10),CONCATENATE(AJ$2,""*"")),"""")"),"")</f>
        <v/>
      </c>
      <c r="AK10" s="23" t="str">
        <f>IFERROR(__xludf.DUMMYFUNCTION("if(countif(filter(Status!$C:$C,Status!$A:$A=$A10),CONCATENATE(AK$2,""*""))&gt;0,countif(filter(Status!$C:$C,Status!$A:$A=$A10),CONCATENATE(AK$2,""*"")),"""")"),"")</f>
        <v/>
      </c>
      <c r="AL10" s="23" t="str">
        <f>IFERROR(__xludf.DUMMYFUNCTION("if(countif(filter(Status!$C:$C,Status!$A:$A=$A10),CONCATENATE(AL$2,""*""))&gt;0,countif(filter(Status!$C:$C,Status!$A:$A=$A10),CONCATENATE(AL$2,""*"")),"""")"),"")</f>
        <v/>
      </c>
      <c r="AM10" s="23" t="str">
        <f>IFERROR(__xludf.DUMMYFUNCTION("if(countif(filter(Status!$C:$C,Status!$A:$A=$A10),CONCATENATE(AM$2,""*""))&gt;0,countif(filter(Status!$C:$C,Status!$A:$A=$A10),CONCATENATE(AM$2,""*"")),"""")"),"")</f>
        <v/>
      </c>
      <c r="AN10" s="23" t="str">
        <f>IFERROR(__xludf.DUMMYFUNCTION("if(countif(filter(Status!$C:$C,Status!$A:$A=$A10),CONCATENATE(AN$2,""*""))&gt;0,countif(filter(Status!$C:$C,Status!$A:$A=$A10),CONCATENATE(AN$2,""*"")),"""")"),"")</f>
        <v/>
      </c>
      <c r="AO10" s="23" t="str">
        <f>IFERROR(__xludf.DUMMYFUNCTION("if(countif(filter(Status!$C:$C,Status!$A:$A=$A10),CONCATENATE(AO$2,""*""))&gt;0,countif(filter(Status!$C:$C,Status!$A:$A=$A10),CONCATENATE(AO$2,""*"")),"""")"),"")</f>
        <v/>
      </c>
      <c r="AP10" s="23">
        <f>IFERROR(__xludf.DUMMYFUNCTION("counta(iferror(filter(Status!C:C,Status!A:A=A10)))"),13.0)</f>
        <v>13</v>
      </c>
      <c r="AQ10" s="23">
        <f t="shared" si="6"/>
        <v>13</v>
      </c>
    </row>
    <row r="11">
      <c r="A11" s="1" t="s">
        <v>386</v>
      </c>
      <c r="B11" s="21">
        <f>IFERROR(__xludf.DUMMYFUNCTION("max(filter(Status!E:E,Status!A:A=A11))"),43661.0)</f>
        <v>43661</v>
      </c>
      <c r="C11" s="23">
        <f t="shared" si="1"/>
        <v>0.6666666667</v>
      </c>
      <c r="D11" s="23">
        <f t="shared" si="2"/>
        <v>0</v>
      </c>
      <c r="E11" s="23">
        <f t="shared" si="3"/>
        <v>1</v>
      </c>
      <c r="F11" s="23">
        <f t="shared" si="4"/>
        <v>0.6666666667</v>
      </c>
      <c r="G11" s="25">
        <f t="shared" si="5"/>
        <v>1</v>
      </c>
      <c r="J11" s="23">
        <f>IFERROR(__xludf.DUMMYFUNCTION("COUNTA(iferror(filter(Status!H:H,Status!A:A=A11)))"),3.0)</f>
        <v>3</v>
      </c>
      <c r="K11" s="25">
        <f>IFERROR(__xludf.DUMMYFUNCTION("COUNTA(iferror(filter(Status!H:H,Status!A:A=A11,Status!H:H=TRUE)))"),2.0)</f>
        <v>2</v>
      </c>
      <c r="L11" s="23">
        <f>IFERROR(__xludf.DUMMYFUNCTION("COUNTA(iferror(filter(Status!L:L,Status!A:A=A11)))"),2.0)</f>
        <v>2</v>
      </c>
      <c r="M11" s="25">
        <f>IFERROR(__xludf.DUMMYFUNCTION("COUNTA(iferror(filter(Status!L:L,Status!A:A=A11,Status!L:L=TRUE)))"),0.0)</f>
        <v>0</v>
      </c>
      <c r="N11" s="23">
        <f>IFERROR(__xludf.DUMMYFUNCTION("COUNTA(iferror(filter(Status!N:N,Status!A:A=A11,Status!N:N=TRUE)))"),3.0)</f>
        <v>3</v>
      </c>
      <c r="O11" s="25">
        <f>IFERROR(__xludf.DUMMYFUNCTION("COUNTA(iferror(filter(Status!N:N,Status!A:A=A11,Status!N:N=TRUE)))"),3.0)</f>
        <v>3</v>
      </c>
      <c r="P11" s="23">
        <f>IFERROR(__xludf.DUMMYFUNCTION("COUNTA(iferror(filter(Status!P:P,Status!A:A=A11)))"),3.0)</f>
        <v>3</v>
      </c>
      <c r="Q11" s="25">
        <f>IFERROR(__xludf.DUMMYFUNCTION("COUNTA(iferror(filter(Status!P:P,Status!A:A=A11,Status!P:P=TRUE)))"),2.0)</f>
        <v>2</v>
      </c>
      <c r="R11" s="23">
        <f>IFERROR(__xludf.DUMMYFUNCTION("COUNTA(iferror(filter(Status!R:R,Status!A:A=A11)))"),2.0)</f>
        <v>2</v>
      </c>
      <c r="S11" s="25">
        <f>IFERROR(__xludf.DUMMYFUNCTION("COUNTA(iferror(filter(Status!R:R,Status!A:A=A11,Status!R:R=TRUE)))"),2.0)</f>
        <v>2</v>
      </c>
      <c r="V11" s="23">
        <f>IFERROR(__xludf.DUMMYFUNCTION("if((countif(filter(Status!$C:$C,Status!$A:$A=$A11),CONCATENATE(V$2,""*""))-W11)&gt;0,(countif(filter(Status!$C:$C,Status!$A:$A=$A11),CONCATENATE(V$2,""*""))-W11),"""")"),2.0)</f>
        <v>2</v>
      </c>
      <c r="W11" s="23" t="str">
        <f>IFERROR(__xludf.DUMMYFUNCTION("if(countif(filter(Status!$C:$C,Status!$A:$A=$A11),CONCATENATE(W$2,""*""))&gt;0,countif(filter(Status!$C:$C,Status!$A:$A=$A11),CONCATENATE(W$2,""*"")),"""")"),"")</f>
        <v/>
      </c>
      <c r="X11" s="23" t="str">
        <f>IFERROR(__xludf.DUMMYFUNCTION("if(countif(filter(Status!$C:$C,Status!$A:$A=$A11),CONCATENATE(X$2,""*""))&gt;0,countif(filter(Status!$C:$C,Status!$A:$A=$A11),CONCATENATE(X$2,""*"")),"""")"),"")</f>
        <v/>
      </c>
      <c r="Y11" s="23" t="str">
        <f>IFERROR(__xludf.DUMMYFUNCTION("if(countif(filter(Status!$C:$C,Status!$A:$A=$A11),CONCATENATE(Y$2,""*""))&gt;0,countif(filter(Status!$C:$C,Status!$A:$A=$A11),CONCATENATE(Y$2,""*"")),"""")"),"")</f>
        <v/>
      </c>
      <c r="Z11" s="23" t="str">
        <f>IFERROR(__xludf.DUMMYFUNCTION("if(countif(filter(Status!$C:$C,Status!$A:$A=$A11),CONCATENATE(Z$2,""*""))&gt;0,countif(filter(Status!$C:$C,Status!$A:$A=$A11),CONCATENATE(Z$2,""*"")),"""")"),"")</f>
        <v/>
      </c>
      <c r="AA11" s="23" t="str">
        <f>IFERROR(__xludf.DUMMYFUNCTION("if((countif(filter(Status!$C:$C,Status!$A:$A=$A11),CONCATENATE(AA$2,""*""))-AB11)&gt;0,(countif(filter(Status!$C:$C,Status!$A:$A=$A11),CONCATENATE(AA$2,""*""))-AB11),"""")"),"")</f>
        <v/>
      </c>
      <c r="AB11" s="23" t="str">
        <f>IFERROR(__xludf.DUMMYFUNCTION("if(countif(filter(Status!$C:$C,Status!$A:$A=$A11),CONCATENATE(AB$2,""*""))&gt;0,countif(filter(Status!$C:$C,Status!$A:$A=$A11),CONCATENATE(AB$2,""*"")),"""")"),"")</f>
        <v/>
      </c>
      <c r="AC11" s="23">
        <f>IFERROR(__xludf.DUMMYFUNCTION("if(countif(filter(Status!$C:$C,Status!$A:$A=$A11),CONCATENATE(AC$2,""*""))&gt;0,countif(filter(Status!$C:$C,Status!$A:$A=$A11),CONCATENATE(AC$2,""*"")),"""")"),1.0)</f>
        <v>1</v>
      </c>
      <c r="AD11" s="23" t="str">
        <f>IFERROR(__xludf.DUMMYFUNCTION("if(countif(filter(Status!$C:$C,Status!$A:$A=$A11),CONCATENATE(AD$2,""*""))&gt;0,countif(filter(Status!$C:$C,Status!$A:$A=$A11),CONCATENATE(AD$2,""*"")),"""")"),"")</f>
        <v/>
      </c>
      <c r="AE11" s="23">
        <f>IFERROR(__xludf.DUMMYFUNCTION("if(countif(filter(Status!$C:$C,Status!$A:$A=$A11),CONCATENATE(AE$2,""*""))&gt;0,countif(filter(Status!$C:$C,Status!$A:$A=$A11),CONCATENATE(AE$2,""*"")),"""")"),1.0)</f>
        <v>1</v>
      </c>
      <c r="AF11" s="23" t="str">
        <f>IFERROR(__xludf.DUMMYFUNCTION("if(countif(filter(Status!$C:$C,Status!$A:$A=$A11),CONCATENATE(AF$2,""*""))&gt;0,countif(filter(Status!$C:$C,Status!$A:$A=$A11),CONCATENATE(AF$2,""*"")),"""")"),"")</f>
        <v/>
      </c>
      <c r="AG11" s="23" t="str">
        <f>IFERROR(__xludf.DUMMYFUNCTION("if(countif(filter(Status!$C:$C,Status!$A:$A=$A11),CONCATENATE(AG$2,""*""))&gt;0,countif(filter(Status!$C:$C,Status!$A:$A=$A11),CONCATENATE(AG$2,""*"")),"""")"),"")</f>
        <v/>
      </c>
      <c r="AH11" s="23" t="str">
        <f>IFERROR(__xludf.DUMMYFUNCTION("if(countif(filter(Status!$C:$C,Status!$A:$A=$A11),CONCATENATE(AH$2,""*""))&gt;0,countif(filter(Status!$C:$C,Status!$A:$A=$A11),CONCATENATE(AH$2,""*"")),"""")"),"")</f>
        <v/>
      </c>
      <c r="AI11" s="23" t="str">
        <f>IFERROR(__xludf.DUMMYFUNCTION("if(countif(filter(Status!$C:$C,Status!$A:$A=$A11),CONCATENATE(AI$2,""*""))&gt;0,countif(filter(Status!$C:$C,Status!$A:$A=$A11),CONCATENATE(AI$2,""*"")),"""")"),"")</f>
        <v/>
      </c>
      <c r="AJ11" s="23" t="str">
        <f>IFERROR(__xludf.DUMMYFUNCTION("if(countif(filter(Status!$C:$C,Status!$A:$A=$A11),CONCATENATE(AJ$2,""*""))&gt;0,countif(filter(Status!$C:$C,Status!$A:$A=$A11),CONCATENATE(AJ$2,""*"")),"""")"),"")</f>
        <v/>
      </c>
      <c r="AK11" s="23" t="str">
        <f>IFERROR(__xludf.DUMMYFUNCTION("if(countif(filter(Status!$C:$C,Status!$A:$A=$A11),CONCATENATE(AK$2,""*""))&gt;0,countif(filter(Status!$C:$C,Status!$A:$A=$A11),CONCATENATE(AK$2,""*"")),"""")"),"")</f>
        <v/>
      </c>
      <c r="AL11" s="23" t="str">
        <f>IFERROR(__xludf.DUMMYFUNCTION("if(countif(filter(Status!$C:$C,Status!$A:$A=$A11),CONCATENATE(AL$2,""*""))&gt;0,countif(filter(Status!$C:$C,Status!$A:$A=$A11),CONCATENATE(AL$2,""*"")),"""")"),"")</f>
        <v/>
      </c>
      <c r="AM11" s="23" t="str">
        <f>IFERROR(__xludf.DUMMYFUNCTION("if(countif(filter(Status!$C:$C,Status!$A:$A=$A11),CONCATENATE(AM$2,""*""))&gt;0,countif(filter(Status!$C:$C,Status!$A:$A=$A11),CONCATENATE(AM$2,""*"")),"""")"),"")</f>
        <v/>
      </c>
      <c r="AN11" s="23" t="str">
        <f>IFERROR(__xludf.DUMMYFUNCTION("if(countif(filter(Status!$C:$C,Status!$A:$A=$A11),CONCATENATE(AN$2,""*""))&gt;0,countif(filter(Status!$C:$C,Status!$A:$A=$A11),CONCATENATE(AN$2,""*"")),"""")"),"")</f>
        <v/>
      </c>
      <c r="AO11" s="23" t="str">
        <f>IFERROR(__xludf.DUMMYFUNCTION("if(countif(filter(Status!$C:$C,Status!$A:$A=$A11),CONCATENATE(AO$2,""*""))&gt;0,countif(filter(Status!$C:$C,Status!$A:$A=$A11),CONCATENATE(AO$2,""*"")),"""")"),"")</f>
        <v/>
      </c>
      <c r="AP11" s="23">
        <f>IFERROR(__xludf.DUMMYFUNCTION("counta(iferror(filter(Status!C:C,Status!A:A=A11)))"),4.0)</f>
        <v>4</v>
      </c>
      <c r="AQ11" s="23">
        <f t="shared" si="6"/>
        <v>4</v>
      </c>
    </row>
    <row r="12">
      <c r="A12" s="1" t="s">
        <v>390</v>
      </c>
      <c r="B12" s="21">
        <f>IFERROR(__xludf.DUMMYFUNCTION("max(filter(Status!E:E,Status!A:A=A12))"),43662.0)</f>
        <v>43662</v>
      </c>
      <c r="C12" s="23">
        <f t="shared" si="1"/>
        <v>1</v>
      </c>
      <c r="D12" s="23" t="str">
        <f t="shared" si="2"/>
        <v/>
      </c>
      <c r="E12" s="23">
        <f t="shared" si="3"/>
        <v>1</v>
      </c>
      <c r="F12" s="23">
        <f t="shared" si="4"/>
        <v>0.6153846154</v>
      </c>
      <c r="G12" s="25">
        <f t="shared" si="5"/>
        <v>0.8571428571</v>
      </c>
      <c r="J12" s="23">
        <f>IFERROR(__xludf.DUMMYFUNCTION("COUNTA(iferror(filter(Status!H:H,Status!A:A=A12)))"),1.0)</f>
        <v>1</v>
      </c>
      <c r="K12" s="25">
        <f>IFERROR(__xludf.DUMMYFUNCTION("COUNTA(iferror(filter(Status!H:H,Status!A:A=A12,Status!H:H=TRUE)))"),1.0)</f>
        <v>1</v>
      </c>
      <c r="L12" s="23">
        <f>IFERROR(__xludf.DUMMYFUNCTION("COUNTA(iferror(filter(Status!L:L,Status!A:A=A12)))"),0.0)</f>
        <v>0</v>
      </c>
      <c r="M12" s="25">
        <f>IFERROR(__xludf.DUMMYFUNCTION("COUNTA(iferror(filter(Status!L:L,Status!A:A=A12,Status!L:L=TRUE)))"),0.0)</f>
        <v>0</v>
      </c>
      <c r="N12" s="23">
        <f>IFERROR(__xludf.DUMMYFUNCTION("COUNTA(iferror(filter(Status!N:N,Status!A:A=A12,Status!N:N=TRUE)))"),6.0)</f>
        <v>6</v>
      </c>
      <c r="O12" s="25">
        <f>IFERROR(__xludf.DUMMYFUNCTION("COUNTA(iferror(filter(Status!N:N,Status!A:A=A12,Status!N:N=TRUE)))"),6.0)</f>
        <v>6</v>
      </c>
      <c r="P12" s="23">
        <f>IFERROR(__xludf.DUMMYFUNCTION("COUNTA(iferror(filter(Status!P:P,Status!A:A=A12)))"),13.0)</f>
        <v>13</v>
      </c>
      <c r="Q12" s="25">
        <f>IFERROR(__xludf.DUMMYFUNCTION("COUNTA(iferror(filter(Status!P:P,Status!A:A=A12,Status!P:P=TRUE)))"),8.0)</f>
        <v>8</v>
      </c>
      <c r="R12" s="23">
        <f>IFERROR(__xludf.DUMMYFUNCTION("COUNTA(iferror(filter(Status!R:R,Status!A:A=A12)))"),7.0)</f>
        <v>7</v>
      </c>
      <c r="S12" s="25">
        <f>IFERROR(__xludf.DUMMYFUNCTION("COUNTA(iferror(filter(Status!R:R,Status!A:A=A12,Status!R:R=TRUE)))"),6.0)</f>
        <v>6</v>
      </c>
      <c r="V12" s="23" t="str">
        <f>IFERROR(__xludf.DUMMYFUNCTION("if((countif(filter(Status!$C:$C,Status!$A:$A=$A12),CONCATENATE(V$2,""*""))-W12)&gt;0,(countif(filter(Status!$C:$C,Status!$A:$A=$A12),CONCATENATE(V$2,""*""))-W12),"""")"),"")</f>
        <v/>
      </c>
      <c r="W12" s="23" t="str">
        <f>IFERROR(__xludf.DUMMYFUNCTION("if(countif(filter(Status!$C:$C,Status!$A:$A=$A12),CONCATENATE(W$2,""*""))&gt;0,countif(filter(Status!$C:$C,Status!$A:$A=$A12),CONCATENATE(W$2,""*"")),"""")"),"")</f>
        <v/>
      </c>
      <c r="X12" s="23">
        <f>IFERROR(__xludf.DUMMYFUNCTION("if(countif(filter(Status!$C:$C,Status!$A:$A=$A12),CONCATENATE(X$2,""*""))&gt;0,countif(filter(Status!$C:$C,Status!$A:$A=$A12),CONCATENATE(X$2,""*"")),"""")"),10.0)</f>
        <v>10</v>
      </c>
      <c r="Y12" s="23" t="str">
        <f>IFERROR(__xludf.DUMMYFUNCTION("if(countif(filter(Status!$C:$C,Status!$A:$A=$A12),CONCATENATE(Y$2,""*""))&gt;0,countif(filter(Status!$C:$C,Status!$A:$A=$A12),CONCATENATE(Y$2,""*"")),"""")"),"")</f>
        <v/>
      </c>
      <c r="Z12" s="23" t="str">
        <f>IFERROR(__xludf.DUMMYFUNCTION("if(countif(filter(Status!$C:$C,Status!$A:$A=$A12),CONCATENATE(Z$2,""*""))&gt;0,countif(filter(Status!$C:$C,Status!$A:$A=$A12),CONCATENATE(Z$2,""*"")),"""")"),"")</f>
        <v/>
      </c>
      <c r="AA12" s="23">
        <f>IFERROR(__xludf.DUMMYFUNCTION("if((countif(filter(Status!$C:$C,Status!$A:$A=$A12),CONCATENATE(AA$2,""*""))-AB12)&gt;0,(countif(filter(Status!$C:$C,Status!$A:$A=$A12),CONCATENATE(AA$2,""*""))-AB12),"""")"),1.0)</f>
        <v>1</v>
      </c>
      <c r="AB12" s="23">
        <f>IFERROR(__xludf.DUMMYFUNCTION("if(countif(filter(Status!$C:$C,Status!$A:$A=$A12),CONCATENATE(AB$2,""*""))&gt;0,countif(filter(Status!$C:$C,Status!$A:$A=$A12),CONCATENATE(AB$2,""*"")),"""")"),1.0)</f>
        <v>1</v>
      </c>
      <c r="AC12" s="23">
        <f>IFERROR(__xludf.DUMMYFUNCTION("if(countif(filter(Status!$C:$C,Status!$A:$A=$A12),CONCATENATE(AC$2,""*""))&gt;0,countif(filter(Status!$C:$C,Status!$A:$A=$A12),CONCATENATE(AC$2,""*"")),"""")"),1.0)</f>
        <v>1</v>
      </c>
      <c r="AD12" s="23" t="str">
        <f>IFERROR(__xludf.DUMMYFUNCTION("if(countif(filter(Status!$C:$C,Status!$A:$A=$A12),CONCATENATE(AD$2,""*""))&gt;0,countif(filter(Status!$C:$C,Status!$A:$A=$A12),CONCATENATE(AD$2,""*"")),"""")"),"")</f>
        <v/>
      </c>
      <c r="AE12" s="23" t="str">
        <f>IFERROR(__xludf.DUMMYFUNCTION("if(countif(filter(Status!$C:$C,Status!$A:$A=$A12),CONCATENATE(AE$2,""*""))&gt;0,countif(filter(Status!$C:$C,Status!$A:$A=$A12),CONCATENATE(AE$2,""*"")),"""")"),"")</f>
        <v/>
      </c>
      <c r="AF12" s="23" t="str">
        <f>IFERROR(__xludf.DUMMYFUNCTION("if(countif(filter(Status!$C:$C,Status!$A:$A=$A12),CONCATENATE(AF$2,""*""))&gt;0,countif(filter(Status!$C:$C,Status!$A:$A=$A12),CONCATENATE(AF$2,""*"")),"""")"),"")</f>
        <v/>
      </c>
      <c r="AG12" s="23" t="str">
        <f>IFERROR(__xludf.DUMMYFUNCTION("if(countif(filter(Status!$C:$C,Status!$A:$A=$A12),CONCATENATE(AG$2,""*""))&gt;0,countif(filter(Status!$C:$C,Status!$A:$A=$A12),CONCATENATE(AG$2,""*"")),"""")"),"")</f>
        <v/>
      </c>
      <c r="AH12" s="23" t="str">
        <f>IFERROR(__xludf.DUMMYFUNCTION("if(countif(filter(Status!$C:$C,Status!$A:$A=$A12),CONCATENATE(AH$2,""*""))&gt;0,countif(filter(Status!$C:$C,Status!$A:$A=$A12),CONCATENATE(AH$2,""*"")),"""")"),"")</f>
        <v/>
      </c>
      <c r="AI12" s="23" t="str">
        <f>IFERROR(__xludf.DUMMYFUNCTION("if(countif(filter(Status!$C:$C,Status!$A:$A=$A12),CONCATENATE(AI$2,""*""))&gt;0,countif(filter(Status!$C:$C,Status!$A:$A=$A12),CONCATENATE(AI$2,""*"")),"""")"),"")</f>
        <v/>
      </c>
      <c r="AJ12" s="23" t="str">
        <f>IFERROR(__xludf.DUMMYFUNCTION("if(countif(filter(Status!$C:$C,Status!$A:$A=$A12),CONCATENATE(AJ$2,""*""))&gt;0,countif(filter(Status!$C:$C,Status!$A:$A=$A12),CONCATENATE(AJ$2,""*"")),"""")"),"")</f>
        <v/>
      </c>
      <c r="AK12" s="23" t="str">
        <f>IFERROR(__xludf.DUMMYFUNCTION("if(countif(filter(Status!$C:$C,Status!$A:$A=$A12),CONCATENATE(AK$2,""*""))&gt;0,countif(filter(Status!$C:$C,Status!$A:$A=$A12),CONCATENATE(AK$2,""*"")),"""")"),"")</f>
        <v/>
      </c>
      <c r="AL12" s="23" t="str">
        <f>IFERROR(__xludf.DUMMYFUNCTION("if(countif(filter(Status!$C:$C,Status!$A:$A=$A12),CONCATENATE(AL$2,""*""))&gt;0,countif(filter(Status!$C:$C,Status!$A:$A=$A12),CONCATENATE(AL$2,""*"")),"""")"),"")</f>
        <v/>
      </c>
      <c r="AM12" s="23" t="str">
        <f>IFERROR(__xludf.DUMMYFUNCTION("if(countif(filter(Status!$C:$C,Status!$A:$A=$A12),CONCATENATE(AM$2,""*""))&gt;0,countif(filter(Status!$C:$C,Status!$A:$A=$A12),CONCATENATE(AM$2,""*"")),"""")"),"")</f>
        <v/>
      </c>
      <c r="AN12" s="23" t="str">
        <f>IFERROR(__xludf.DUMMYFUNCTION("if(countif(filter(Status!$C:$C,Status!$A:$A=$A12),CONCATENATE(AN$2,""*""))&gt;0,countif(filter(Status!$C:$C,Status!$A:$A=$A12),CONCATENATE(AN$2,""*"")),"""")"),"")</f>
        <v/>
      </c>
      <c r="AO12" s="23" t="str">
        <f>IFERROR(__xludf.DUMMYFUNCTION("if(countif(filter(Status!$C:$C,Status!$A:$A=$A12),CONCATENATE(AO$2,""*""))&gt;0,countif(filter(Status!$C:$C,Status!$A:$A=$A12),CONCATENATE(AO$2,""*"")),"""")"),"")</f>
        <v/>
      </c>
      <c r="AP12" s="23">
        <f>IFERROR(__xludf.DUMMYFUNCTION("counta(iferror(filter(Status!C:C,Status!A:A=A12)))"),13.0)</f>
        <v>13</v>
      </c>
      <c r="AQ12" s="23">
        <f t="shared" si="6"/>
        <v>13</v>
      </c>
    </row>
    <row r="13">
      <c r="A13" s="1" t="s">
        <v>398</v>
      </c>
      <c r="B13" s="21">
        <f>IFERROR(__xludf.DUMMYFUNCTION("max(filter(Status!E:E,Status!A:A=A13))"),43663.0)</f>
        <v>43663</v>
      </c>
      <c r="C13" s="23">
        <f t="shared" si="1"/>
        <v>0.75</v>
      </c>
      <c r="D13" s="23">
        <f t="shared" si="2"/>
        <v>0</v>
      </c>
      <c r="E13" s="23">
        <f t="shared" si="3"/>
        <v>1</v>
      </c>
      <c r="F13" s="23">
        <f t="shared" si="4"/>
        <v>0.6</v>
      </c>
      <c r="G13" s="25">
        <f t="shared" si="5"/>
        <v>0.75</v>
      </c>
      <c r="J13" s="23">
        <f>IFERROR(__xludf.DUMMYFUNCTION("COUNTA(iferror(filter(Status!H:H,Status!A:A=A13)))"),4.0)</f>
        <v>4</v>
      </c>
      <c r="K13" s="25">
        <f>IFERROR(__xludf.DUMMYFUNCTION("COUNTA(iferror(filter(Status!H:H,Status!A:A=A13,Status!H:H=TRUE)))"),3.0)</f>
        <v>3</v>
      </c>
      <c r="L13" s="23">
        <f>IFERROR(__xludf.DUMMYFUNCTION("COUNTA(iferror(filter(Status!L:L,Status!A:A=A13)))"),2.0)</f>
        <v>2</v>
      </c>
      <c r="M13" s="25">
        <f>IFERROR(__xludf.DUMMYFUNCTION("COUNTA(iferror(filter(Status!L:L,Status!A:A=A13,Status!L:L=TRUE)))"),0.0)</f>
        <v>0</v>
      </c>
      <c r="N13" s="23">
        <f>IFERROR(__xludf.DUMMYFUNCTION("COUNTA(iferror(filter(Status!N:N,Status!A:A=A13,Status!N:N=TRUE)))"),4.0)</f>
        <v>4</v>
      </c>
      <c r="O13" s="25">
        <f>IFERROR(__xludf.DUMMYFUNCTION("COUNTA(iferror(filter(Status!N:N,Status!A:A=A13,Status!N:N=TRUE)))"),4.0)</f>
        <v>4</v>
      </c>
      <c r="P13" s="23">
        <f>IFERROR(__xludf.DUMMYFUNCTION("COUNTA(iferror(filter(Status!P:P,Status!A:A=A13)))"),5.0)</f>
        <v>5</v>
      </c>
      <c r="Q13" s="25">
        <f>IFERROR(__xludf.DUMMYFUNCTION("COUNTA(iferror(filter(Status!P:P,Status!A:A=A13,Status!P:P=TRUE)))"),3.0)</f>
        <v>3</v>
      </c>
      <c r="R13" s="23">
        <f>IFERROR(__xludf.DUMMYFUNCTION("COUNTA(iferror(filter(Status!R:R,Status!A:A=A13)))"),4.0)</f>
        <v>4</v>
      </c>
      <c r="S13" s="25">
        <f>IFERROR(__xludf.DUMMYFUNCTION("COUNTA(iferror(filter(Status!R:R,Status!A:A=A13,Status!R:R=TRUE)))"),3.0)</f>
        <v>3</v>
      </c>
      <c r="V13" s="23">
        <f>IFERROR(__xludf.DUMMYFUNCTION("if((countif(filter(Status!$C:$C,Status!$A:$A=$A13),CONCATENATE(V$2,""*""))-W13)&gt;0,(countif(filter(Status!$C:$C,Status!$A:$A=$A13),CONCATENATE(V$2,""*""))-W13),"""")"),2.0)</f>
        <v>2</v>
      </c>
      <c r="W13" s="23" t="str">
        <f>IFERROR(__xludf.DUMMYFUNCTION("if(countif(filter(Status!$C:$C,Status!$A:$A=$A13),CONCATENATE(W$2,""*""))&gt;0,countif(filter(Status!$C:$C,Status!$A:$A=$A13),CONCATENATE(W$2,""*"")),"""")"),"")</f>
        <v/>
      </c>
      <c r="X13" s="23" t="str">
        <f>IFERROR(__xludf.DUMMYFUNCTION("if(countif(filter(Status!$C:$C,Status!$A:$A=$A13),CONCATENATE(X$2,""*""))&gt;0,countif(filter(Status!$C:$C,Status!$A:$A=$A13),CONCATENATE(X$2,""*"")),"""")"),"")</f>
        <v/>
      </c>
      <c r="Y13" s="23" t="str">
        <f>IFERROR(__xludf.DUMMYFUNCTION("if(countif(filter(Status!$C:$C,Status!$A:$A=$A13),CONCATENATE(Y$2,""*""))&gt;0,countif(filter(Status!$C:$C,Status!$A:$A=$A13),CONCATENATE(Y$2,""*"")),"""")"),"")</f>
        <v/>
      </c>
      <c r="Z13" s="23" t="str">
        <f>IFERROR(__xludf.DUMMYFUNCTION("if(countif(filter(Status!$C:$C,Status!$A:$A=$A13),CONCATENATE(Z$2,""*""))&gt;0,countif(filter(Status!$C:$C,Status!$A:$A=$A13),CONCATENATE(Z$2,""*"")),"""")"),"")</f>
        <v/>
      </c>
      <c r="AA13" s="23">
        <f>IFERROR(__xludf.DUMMYFUNCTION("if((countif(filter(Status!$C:$C,Status!$A:$A=$A13),CONCATENATE(AA$2,""*""))-AB13)&gt;0,(countif(filter(Status!$C:$C,Status!$A:$A=$A13),CONCATENATE(AA$2,""*""))-AB13),"""")"),1.0)</f>
        <v>1</v>
      </c>
      <c r="AB13" s="23">
        <f>IFERROR(__xludf.DUMMYFUNCTION("if(countif(filter(Status!$C:$C,Status!$A:$A=$A13),CONCATENATE(AB$2,""*""))&gt;0,countif(filter(Status!$C:$C,Status!$A:$A=$A13),CONCATENATE(AB$2,""*"")),"""")"),1.0)</f>
        <v>1</v>
      </c>
      <c r="AC13" s="23">
        <f>IFERROR(__xludf.DUMMYFUNCTION("if(countif(filter(Status!$C:$C,Status!$A:$A=$A13),CONCATENATE(AC$2,""*""))&gt;0,countif(filter(Status!$C:$C,Status!$A:$A=$A13),CONCATENATE(AC$2,""*"")),"""")"),1.0)</f>
        <v>1</v>
      </c>
      <c r="AD13" s="23" t="str">
        <f>IFERROR(__xludf.DUMMYFUNCTION("if(countif(filter(Status!$C:$C,Status!$A:$A=$A13),CONCATENATE(AD$2,""*""))&gt;0,countif(filter(Status!$C:$C,Status!$A:$A=$A13),CONCATENATE(AD$2,""*"")),"""")"),"")</f>
        <v/>
      </c>
      <c r="AE13" s="23">
        <f>IFERROR(__xludf.DUMMYFUNCTION("if(countif(filter(Status!$C:$C,Status!$A:$A=$A13),CONCATENATE(AE$2,""*""))&gt;0,countif(filter(Status!$C:$C,Status!$A:$A=$A13),CONCATENATE(AE$2,""*"")),"""")"),1.0)</f>
        <v>1</v>
      </c>
      <c r="AF13" s="23" t="str">
        <f>IFERROR(__xludf.DUMMYFUNCTION("if(countif(filter(Status!$C:$C,Status!$A:$A=$A13),CONCATENATE(AF$2,""*""))&gt;0,countif(filter(Status!$C:$C,Status!$A:$A=$A13),CONCATENATE(AF$2,""*"")),"""")"),"")</f>
        <v/>
      </c>
      <c r="AG13" s="23" t="str">
        <f>IFERROR(__xludf.DUMMYFUNCTION("if(countif(filter(Status!$C:$C,Status!$A:$A=$A13),CONCATENATE(AG$2,""*""))&gt;0,countif(filter(Status!$C:$C,Status!$A:$A=$A13),CONCATENATE(AG$2,""*"")),"""")"),"")</f>
        <v/>
      </c>
      <c r="AH13" s="23" t="str">
        <f>IFERROR(__xludf.DUMMYFUNCTION("if(countif(filter(Status!$C:$C,Status!$A:$A=$A13),CONCATENATE(AH$2,""*""))&gt;0,countif(filter(Status!$C:$C,Status!$A:$A=$A13),CONCATENATE(AH$2,""*"")),"""")"),"")</f>
        <v/>
      </c>
      <c r="AI13" s="23" t="str">
        <f>IFERROR(__xludf.DUMMYFUNCTION("if(countif(filter(Status!$C:$C,Status!$A:$A=$A13),CONCATENATE(AI$2,""*""))&gt;0,countif(filter(Status!$C:$C,Status!$A:$A=$A13),CONCATENATE(AI$2,""*"")),"""")"),"")</f>
        <v/>
      </c>
      <c r="AJ13" s="23" t="str">
        <f>IFERROR(__xludf.DUMMYFUNCTION("if(countif(filter(Status!$C:$C,Status!$A:$A=$A13),CONCATENATE(AJ$2,""*""))&gt;0,countif(filter(Status!$C:$C,Status!$A:$A=$A13),CONCATENATE(AJ$2,""*"")),"""")"),"")</f>
        <v/>
      </c>
      <c r="AK13" s="23" t="str">
        <f>IFERROR(__xludf.DUMMYFUNCTION("if(countif(filter(Status!$C:$C,Status!$A:$A=$A13),CONCATENATE(AK$2,""*""))&gt;0,countif(filter(Status!$C:$C,Status!$A:$A=$A13),CONCATENATE(AK$2,""*"")),"""")"),"")</f>
        <v/>
      </c>
      <c r="AL13" s="23" t="str">
        <f>IFERROR(__xludf.DUMMYFUNCTION("if(countif(filter(Status!$C:$C,Status!$A:$A=$A13),CONCATENATE(AL$2,""*""))&gt;0,countif(filter(Status!$C:$C,Status!$A:$A=$A13),CONCATENATE(AL$2,""*"")),"""")"),"")</f>
        <v/>
      </c>
      <c r="AM13" s="23" t="str">
        <f>IFERROR(__xludf.DUMMYFUNCTION("if(countif(filter(Status!$C:$C,Status!$A:$A=$A13),CONCATENATE(AM$2,""*""))&gt;0,countif(filter(Status!$C:$C,Status!$A:$A=$A13),CONCATENATE(AM$2,""*"")),"""")"),"")</f>
        <v/>
      </c>
      <c r="AN13" s="23" t="str">
        <f>IFERROR(__xludf.DUMMYFUNCTION("if(countif(filter(Status!$C:$C,Status!$A:$A=$A13),CONCATENATE(AN$2,""*""))&gt;0,countif(filter(Status!$C:$C,Status!$A:$A=$A13),CONCATENATE(AN$2,""*"")),"""")"),"")</f>
        <v/>
      </c>
      <c r="AO13" s="23" t="str">
        <f>IFERROR(__xludf.DUMMYFUNCTION("if(countif(filter(Status!$C:$C,Status!$A:$A=$A13),CONCATENATE(AO$2,""*""))&gt;0,countif(filter(Status!$C:$C,Status!$A:$A=$A13),CONCATENATE(AO$2,""*"")),"""")"),"")</f>
        <v/>
      </c>
      <c r="AP13" s="23">
        <f>IFERROR(__xludf.DUMMYFUNCTION("counta(iferror(filter(Status!C:C,Status!A:A=A13)))"),6.0)</f>
        <v>6</v>
      </c>
      <c r="AQ13" s="23">
        <f t="shared" si="6"/>
        <v>6</v>
      </c>
    </row>
    <row r="14">
      <c r="A14" s="1" t="s">
        <v>402</v>
      </c>
      <c r="B14" s="21">
        <f>IFERROR(__xludf.DUMMYFUNCTION("max(filter(Status!E:E,Status!A:A=A14))"),43664.0)</f>
        <v>43664</v>
      </c>
      <c r="C14" s="23" t="str">
        <f t="shared" si="1"/>
        <v/>
      </c>
      <c r="D14" s="23" t="str">
        <f t="shared" si="2"/>
        <v/>
      </c>
      <c r="E14" s="23">
        <f t="shared" si="3"/>
        <v>1</v>
      </c>
      <c r="F14" s="23">
        <f t="shared" si="4"/>
        <v>0.8</v>
      </c>
      <c r="G14" s="25">
        <f t="shared" si="5"/>
        <v>1</v>
      </c>
      <c r="J14" s="23">
        <f>IFERROR(__xludf.DUMMYFUNCTION("COUNTA(iferror(filter(Status!H:H,Status!A:A=A14)))"),0.0)</f>
        <v>0</v>
      </c>
      <c r="K14" s="25">
        <f>IFERROR(__xludf.DUMMYFUNCTION("COUNTA(iferror(filter(Status!H:H,Status!A:A=A14,Status!H:H=TRUE)))"),0.0)</f>
        <v>0</v>
      </c>
      <c r="L14" s="23">
        <f>IFERROR(__xludf.DUMMYFUNCTION("COUNTA(iferror(filter(Status!L:L,Status!A:A=A14)))"),0.0)</f>
        <v>0</v>
      </c>
      <c r="M14" s="25">
        <f>IFERROR(__xludf.DUMMYFUNCTION("COUNTA(iferror(filter(Status!L:L,Status!A:A=A14,Status!L:L=TRUE)))"),0.0)</f>
        <v>0</v>
      </c>
      <c r="N14" s="23">
        <f>IFERROR(__xludf.DUMMYFUNCTION("COUNTA(iferror(filter(Status!N:N,Status!A:A=A14,Status!N:N=TRUE)))"),5.0)</f>
        <v>5</v>
      </c>
      <c r="O14" s="25">
        <f>IFERROR(__xludf.DUMMYFUNCTION("COUNTA(iferror(filter(Status!N:N,Status!A:A=A14,Status!N:N=TRUE)))"),5.0)</f>
        <v>5</v>
      </c>
      <c r="P14" s="23">
        <f>IFERROR(__xludf.DUMMYFUNCTION("COUNTA(iferror(filter(Status!P:P,Status!A:A=A14)))"),5.0)</f>
        <v>5</v>
      </c>
      <c r="Q14" s="25">
        <f>IFERROR(__xludf.DUMMYFUNCTION("COUNTA(iferror(filter(Status!P:P,Status!A:A=A14,Status!P:P=TRUE)))"),4.0)</f>
        <v>4</v>
      </c>
      <c r="R14" s="23">
        <f>IFERROR(__xludf.DUMMYFUNCTION("COUNTA(iferror(filter(Status!R:R,Status!A:A=A14)))"),5.0)</f>
        <v>5</v>
      </c>
      <c r="S14" s="25">
        <f>IFERROR(__xludf.DUMMYFUNCTION("COUNTA(iferror(filter(Status!R:R,Status!A:A=A14,Status!R:R=TRUE)))"),5.0)</f>
        <v>5</v>
      </c>
      <c r="V14" s="23" t="str">
        <f>IFERROR(__xludf.DUMMYFUNCTION("if((countif(filter(Status!$C:$C,Status!$A:$A=$A14),CONCATENATE(V$2,""*""))-W14)&gt;0,(countif(filter(Status!$C:$C,Status!$A:$A=$A14),CONCATENATE(V$2,""*""))-W14),"""")"),"")</f>
        <v/>
      </c>
      <c r="W14" s="23" t="str">
        <f>IFERROR(__xludf.DUMMYFUNCTION("if(countif(filter(Status!$C:$C,Status!$A:$A=$A14),CONCATENATE(W$2,""*""))&gt;0,countif(filter(Status!$C:$C,Status!$A:$A=$A14),CONCATENATE(W$2,""*"")),"""")"),"")</f>
        <v/>
      </c>
      <c r="X14" s="23">
        <f>IFERROR(__xludf.DUMMYFUNCTION("if(countif(filter(Status!$C:$C,Status!$A:$A=$A14),CONCATENATE(X$2,""*""))&gt;0,countif(filter(Status!$C:$C,Status!$A:$A=$A14),CONCATENATE(X$2,""*"")),"""")"),4.0)</f>
        <v>4</v>
      </c>
      <c r="Y14" s="23" t="str">
        <f>IFERROR(__xludf.DUMMYFUNCTION("if(countif(filter(Status!$C:$C,Status!$A:$A=$A14),CONCATENATE(Y$2,""*""))&gt;0,countif(filter(Status!$C:$C,Status!$A:$A=$A14),CONCATENATE(Y$2,""*"")),"""")"),"")</f>
        <v/>
      </c>
      <c r="Z14" s="23" t="str">
        <f>IFERROR(__xludf.DUMMYFUNCTION("if(countif(filter(Status!$C:$C,Status!$A:$A=$A14),CONCATENATE(Z$2,""*""))&gt;0,countif(filter(Status!$C:$C,Status!$A:$A=$A14),CONCATENATE(Z$2,""*"")),"""")"),"")</f>
        <v/>
      </c>
      <c r="AA14" s="23" t="str">
        <f>IFERROR(__xludf.DUMMYFUNCTION("if((countif(filter(Status!$C:$C,Status!$A:$A=$A14),CONCATENATE(AA$2,""*""))-AB14)&gt;0,(countif(filter(Status!$C:$C,Status!$A:$A=$A14),CONCATENATE(AA$2,""*""))-AB14),"""")"),"")</f>
        <v/>
      </c>
      <c r="AB14" s="23" t="str">
        <f>IFERROR(__xludf.DUMMYFUNCTION("if(countif(filter(Status!$C:$C,Status!$A:$A=$A14),CONCATENATE(AB$2,""*""))&gt;0,countif(filter(Status!$C:$C,Status!$A:$A=$A14),CONCATENATE(AB$2,""*"")),"""")"),"")</f>
        <v/>
      </c>
      <c r="AC14" s="23">
        <f>IFERROR(__xludf.DUMMYFUNCTION("if(countif(filter(Status!$C:$C,Status!$A:$A=$A14),CONCATENATE(AC$2,""*""))&gt;0,countif(filter(Status!$C:$C,Status!$A:$A=$A14),CONCATENATE(AC$2,""*"")),"""")"),1.0)</f>
        <v>1</v>
      </c>
      <c r="AD14" s="23" t="str">
        <f>IFERROR(__xludf.DUMMYFUNCTION("if(countif(filter(Status!$C:$C,Status!$A:$A=$A14),CONCATENATE(AD$2,""*""))&gt;0,countif(filter(Status!$C:$C,Status!$A:$A=$A14),CONCATENATE(AD$2,""*"")),"""")"),"")</f>
        <v/>
      </c>
      <c r="AE14" s="23" t="str">
        <f>IFERROR(__xludf.DUMMYFUNCTION("if(countif(filter(Status!$C:$C,Status!$A:$A=$A14),CONCATENATE(AE$2,""*""))&gt;0,countif(filter(Status!$C:$C,Status!$A:$A=$A14),CONCATENATE(AE$2,""*"")),"""")"),"")</f>
        <v/>
      </c>
      <c r="AF14" s="23" t="str">
        <f>IFERROR(__xludf.DUMMYFUNCTION("if(countif(filter(Status!$C:$C,Status!$A:$A=$A14),CONCATENATE(AF$2,""*""))&gt;0,countif(filter(Status!$C:$C,Status!$A:$A=$A14),CONCATENATE(AF$2,""*"")),"""")"),"")</f>
        <v/>
      </c>
      <c r="AG14" s="23" t="str">
        <f>IFERROR(__xludf.DUMMYFUNCTION("if(countif(filter(Status!$C:$C,Status!$A:$A=$A14),CONCATENATE(AG$2,""*""))&gt;0,countif(filter(Status!$C:$C,Status!$A:$A=$A14),CONCATENATE(AG$2,""*"")),"""")"),"")</f>
        <v/>
      </c>
      <c r="AH14" s="23" t="str">
        <f>IFERROR(__xludf.DUMMYFUNCTION("if(countif(filter(Status!$C:$C,Status!$A:$A=$A14),CONCATENATE(AH$2,""*""))&gt;0,countif(filter(Status!$C:$C,Status!$A:$A=$A14),CONCATENATE(AH$2,""*"")),"""")"),"")</f>
        <v/>
      </c>
      <c r="AI14" s="23" t="str">
        <f>IFERROR(__xludf.DUMMYFUNCTION("if(countif(filter(Status!$C:$C,Status!$A:$A=$A14),CONCATENATE(AI$2,""*""))&gt;0,countif(filter(Status!$C:$C,Status!$A:$A=$A14),CONCATENATE(AI$2,""*"")),"""")"),"")</f>
        <v/>
      </c>
      <c r="AJ14" s="23" t="str">
        <f>IFERROR(__xludf.DUMMYFUNCTION("if(countif(filter(Status!$C:$C,Status!$A:$A=$A14),CONCATENATE(AJ$2,""*""))&gt;0,countif(filter(Status!$C:$C,Status!$A:$A=$A14),CONCATENATE(AJ$2,""*"")),"""")"),"")</f>
        <v/>
      </c>
      <c r="AK14" s="23" t="str">
        <f>IFERROR(__xludf.DUMMYFUNCTION("if(countif(filter(Status!$C:$C,Status!$A:$A=$A14),CONCATENATE(AK$2,""*""))&gt;0,countif(filter(Status!$C:$C,Status!$A:$A=$A14),CONCATENATE(AK$2,""*"")),"""")"),"")</f>
        <v/>
      </c>
      <c r="AL14" s="23" t="str">
        <f>IFERROR(__xludf.DUMMYFUNCTION("if(countif(filter(Status!$C:$C,Status!$A:$A=$A14),CONCATENATE(AL$2,""*""))&gt;0,countif(filter(Status!$C:$C,Status!$A:$A=$A14),CONCATENATE(AL$2,""*"")),"""")"),"")</f>
        <v/>
      </c>
      <c r="AM14" s="23" t="str">
        <f>IFERROR(__xludf.DUMMYFUNCTION("if(countif(filter(Status!$C:$C,Status!$A:$A=$A14),CONCATENATE(AM$2,""*""))&gt;0,countif(filter(Status!$C:$C,Status!$A:$A=$A14),CONCATENATE(AM$2,""*"")),"""")"),"")</f>
        <v/>
      </c>
      <c r="AN14" s="23" t="str">
        <f>IFERROR(__xludf.DUMMYFUNCTION("if(countif(filter(Status!$C:$C,Status!$A:$A=$A14),CONCATENATE(AN$2,""*""))&gt;0,countif(filter(Status!$C:$C,Status!$A:$A=$A14),CONCATENATE(AN$2,""*"")),"""")"),"")</f>
        <v/>
      </c>
      <c r="AO14" s="23" t="str">
        <f>IFERROR(__xludf.DUMMYFUNCTION("if(countif(filter(Status!$C:$C,Status!$A:$A=$A14),CONCATENATE(AO$2,""*""))&gt;0,countif(filter(Status!$C:$C,Status!$A:$A=$A14),CONCATENATE(AO$2,""*"")),"""")"),"")</f>
        <v/>
      </c>
      <c r="AP14" s="23">
        <f>IFERROR(__xludf.DUMMYFUNCTION("counta(iferror(filter(Status!C:C,Status!A:A=A14)))"),5.0)</f>
        <v>5</v>
      </c>
      <c r="AQ14" s="23">
        <f t="shared" si="6"/>
        <v>5</v>
      </c>
    </row>
    <row r="15">
      <c r="A15" s="1" t="s">
        <v>407</v>
      </c>
      <c r="B15" s="21">
        <f>IFERROR(__xludf.DUMMYFUNCTION("max(filter(Status!E:E,Status!A:A=A15))"),43668.0)</f>
        <v>43668</v>
      </c>
      <c r="C15" s="23">
        <f t="shared" si="1"/>
        <v>0.6666666667</v>
      </c>
      <c r="D15" s="23">
        <f t="shared" si="2"/>
        <v>0</v>
      </c>
      <c r="E15" s="23">
        <f t="shared" si="3"/>
        <v>1</v>
      </c>
      <c r="F15" s="23">
        <f t="shared" si="4"/>
        <v>0.6666666667</v>
      </c>
      <c r="G15" s="25">
        <f t="shared" si="5"/>
        <v>1</v>
      </c>
      <c r="J15" s="23">
        <f>IFERROR(__xludf.DUMMYFUNCTION("COUNTA(iferror(filter(Status!H:H,Status!A:A=A15)))"),3.0)</f>
        <v>3</v>
      </c>
      <c r="K15" s="25">
        <f>IFERROR(__xludf.DUMMYFUNCTION("COUNTA(iferror(filter(Status!H:H,Status!A:A=A15,Status!H:H=TRUE)))"),2.0)</f>
        <v>2</v>
      </c>
      <c r="L15" s="23">
        <f>IFERROR(__xludf.DUMMYFUNCTION("COUNTA(iferror(filter(Status!L:L,Status!A:A=A15)))"),2.0)</f>
        <v>2</v>
      </c>
      <c r="M15" s="25">
        <f>IFERROR(__xludf.DUMMYFUNCTION("COUNTA(iferror(filter(Status!L:L,Status!A:A=A15,Status!L:L=TRUE)))"),0.0)</f>
        <v>0</v>
      </c>
      <c r="N15" s="23">
        <f>IFERROR(__xludf.DUMMYFUNCTION("COUNTA(iferror(filter(Status!N:N,Status!A:A=A15,Status!N:N=TRUE)))"),3.0)</f>
        <v>3</v>
      </c>
      <c r="O15" s="25">
        <f>IFERROR(__xludf.DUMMYFUNCTION("COUNTA(iferror(filter(Status!N:N,Status!A:A=A15,Status!N:N=TRUE)))"),3.0)</f>
        <v>3</v>
      </c>
      <c r="P15" s="23">
        <f>IFERROR(__xludf.DUMMYFUNCTION("COUNTA(iferror(filter(Status!P:P,Status!A:A=A15)))"),3.0)</f>
        <v>3</v>
      </c>
      <c r="Q15" s="25">
        <f>IFERROR(__xludf.DUMMYFUNCTION("COUNTA(iferror(filter(Status!P:P,Status!A:A=A15,Status!P:P=TRUE)))"),2.0)</f>
        <v>2</v>
      </c>
      <c r="R15" s="23">
        <f>IFERROR(__xludf.DUMMYFUNCTION("COUNTA(iferror(filter(Status!R:R,Status!A:A=A15)))"),2.0)</f>
        <v>2</v>
      </c>
      <c r="S15" s="25">
        <f>IFERROR(__xludf.DUMMYFUNCTION("COUNTA(iferror(filter(Status!R:R,Status!A:A=A15,Status!R:R=TRUE)))"),2.0)</f>
        <v>2</v>
      </c>
      <c r="V15" s="23">
        <f>IFERROR(__xludf.DUMMYFUNCTION("if((countif(filter(Status!$C:$C,Status!$A:$A=$A15),CONCATENATE(V$2,""*""))-W15)&gt;0,(countif(filter(Status!$C:$C,Status!$A:$A=$A15),CONCATENATE(V$2,""*""))-W15),"""")"),2.0)</f>
        <v>2</v>
      </c>
      <c r="W15" s="23" t="str">
        <f>IFERROR(__xludf.DUMMYFUNCTION("if(countif(filter(Status!$C:$C,Status!$A:$A=$A15),CONCATENATE(W$2,""*""))&gt;0,countif(filter(Status!$C:$C,Status!$A:$A=$A15),CONCATENATE(W$2,""*"")),"""")"),"")</f>
        <v/>
      </c>
      <c r="X15" s="23" t="str">
        <f>IFERROR(__xludf.DUMMYFUNCTION("if(countif(filter(Status!$C:$C,Status!$A:$A=$A15),CONCATENATE(X$2,""*""))&gt;0,countif(filter(Status!$C:$C,Status!$A:$A=$A15),CONCATENATE(X$2,""*"")),"""")"),"")</f>
        <v/>
      </c>
      <c r="Y15" s="23" t="str">
        <f>IFERROR(__xludf.DUMMYFUNCTION("if(countif(filter(Status!$C:$C,Status!$A:$A=$A15),CONCATENATE(Y$2,""*""))&gt;0,countif(filter(Status!$C:$C,Status!$A:$A=$A15),CONCATENATE(Y$2,""*"")),"""")"),"")</f>
        <v/>
      </c>
      <c r="Z15" s="23" t="str">
        <f>IFERROR(__xludf.DUMMYFUNCTION("if(countif(filter(Status!$C:$C,Status!$A:$A=$A15),CONCATENATE(Z$2,""*""))&gt;0,countif(filter(Status!$C:$C,Status!$A:$A=$A15),CONCATENATE(Z$2,""*"")),"""")"),"")</f>
        <v/>
      </c>
      <c r="AA15" s="23" t="str">
        <f>IFERROR(__xludf.DUMMYFUNCTION("if((countif(filter(Status!$C:$C,Status!$A:$A=$A15),CONCATENATE(AA$2,""*""))-AB15)&gt;0,(countif(filter(Status!$C:$C,Status!$A:$A=$A15),CONCATENATE(AA$2,""*""))-AB15),"""")"),"")</f>
        <v/>
      </c>
      <c r="AB15" s="23" t="str">
        <f>IFERROR(__xludf.DUMMYFUNCTION("if(countif(filter(Status!$C:$C,Status!$A:$A=$A15),CONCATENATE(AB$2,""*""))&gt;0,countif(filter(Status!$C:$C,Status!$A:$A=$A15),CONCATENATE(AB$2,""*"")),"""")"),"")</f>
        <v/>
      </c>
      <c r="AC15" s="23">
        <f>IFERROR(__xludf.DUMMYFUNCTION("if(countif(filter(Status!$C:$C,Status!$A:$A=$A15),CONCATENATE(AC$2,""*""))&gt;0,countif(filter(Status!$C:$C,Status!$A:$A=$A15),CONCATENATE(AC$2,""*"")),"""")"),1.0)</f>
        <v>1</v>
      </c>
      <c r="AD15" s="23" t="str">
        <f>IFERROR(__xludf.DUMMYFUNCTION("if(countif(filter(Status!$C:$C,Status!$A:$A=$A15),CONCATENATE(AD$2,""*""))&gt;0,countif(filter(Status!$C:$C,Status!$A:$A=$A15),CONCATENATE(AD$2,""*"")),"""")"),"")</f>
        <v/>
      </c>
      <c r="AE15" s="23">
        <f>IFERROR(__xludf.DUMMYFUNCTION("if(countif(filter(Status!$C:$C,Status!$A:$A=$A15),CONCATENATE(AE$2,""*""))&gt;0,countif(filter(Status!$C:$C,Status!$A:$A=$A15),CONCATENATE(AE$2,""*"")),"""")"),1.0)</f>
        <v>1</v>
      </c>
      <c r="AF15" s="23" t="str">
        <f>IFERROR(__xludf.DUMMYFUNCTION("if(countif(filter(Status!$C:$C,Status!$A:$A=$A15),CONCATENATE(AF$2,""*""))&gt;0,countif(filter(Status!$C:$C,Status!$A:$A=$A15),CONCATENATE(AF$2,""*"")),"""")"),"")</f>
        <v/>
      </c>
      <c r="AG15" s="23" t="str">
        <f>IFERROR(__xludf.DUMMYFUNCTION("if(countif(filter(Status!$C:$C,Status!$A:$A=$A15),CONCATENATE(AG$2,""*""))&gt;0,countif(filter(Status!$C:$C,Status!$A:$A=$A15),CONCATENATE(AG$2,""*"")),"""")"),"")</f>
        <v/>
      </c>
      <c r="AH15" s="23" t="str">
        <f>IFERROR(__xludf.DUMMYFUNCTION("if(countif(filter(Status!$C:$C,Status!$A:$A=$A15),CONCATENATE(AH$2,""*""))&gt;0,countif(filter(Status!$C:$C,Status!$A:$A=$A15),CONCATENATE(AH$2,""*"")),"""")"),"")</f>
        <v/>
      </c>
      <c r="AI15" s="23" t="str">
        <f>IFERROR(__xludf.DUMMYFUNCTION("if(countif(filter(Status!$C:$C,Status!$A:$A=$A15),CONCATENATE(AI$2,""*""))&gt;0,countif(filter(Status!$C:$C,Status!$A:$A=$A15),CONCATENATE(AI$2,""*"")),"""")"),"")</f>
        <v/>
      </c>
      <c r="AJ15" s="23" t="str">
        <f>IFERROR(__xludf.DUMMYFUNCTION("if(countif(filter(Status!$C:$C,Status!$A:$A=$A15),CONCATENATE(AJ$2,""*""))&gt;0,countif(filter(Status!$C:$C,Status!$A:$A=$A15),CONCATENATE(AJ$2,""*"")),"""")"),"")</f>
        <v/>
      </c>
      <c r="AK15" s="23" t="str">
        <f>IFERROR(__xludf.DUMMYFUNCTION("if(countif(filter(Status!$C:$C,Status!$A:$A=$A15),CONCATENATE(AK$2,""*""))&gt;0,countif(filter(Status!$C:$C,Status!$A:$A=$A15),CONCATENATE(AK$2,""*"")),"""")"),"")</f>
        <v/>
      </c>
      <c r="AL15" s="23" t="str">
        <f>IFERROR(__xludf.DUMMYFUNCTION("if(countif(filter(Status!$C:$C,Status!$A:$A=$A15),CONCATENATE(AL$2,""*""))&gt;0,countif(filter(Status!$C:$C,Status!$A:$A=$A15),CONCATENATE(AL$2,""*"")),"""")"),"")</f>
        <v/>
      </c>
      <c r="AM15" s="23" t="str">
        <f>IFERROR(__xludf.DUMMYFUNCTION("if(countif(filter(Status!$C:$C,Status!$A:$A=$A15),CONCATENATE(AM$2,""*""))&gt;0,countif(filter(Status!$C:$C,Status!$A:$A=$A15),CONCATENATE(AM$2,""*"")),"""")"),"")</f>
        <v/>
      </c>
      <c r="AN15" s="23" t="str">
        <f>IFERROR(__xludf.DUMMYFUNCTION("if(countif(filter(Status!$C:$C,Status!$A:$A=$A15),CONCATENATE(AN$2,""*""))&gt;0,countif(filter(Status!$C:$C,Status!$A:$A=$A15),CONCATENATE(AN$2,""*"")),"""")"),"")</f>
        <v/>
      </c>
      <c r="AO15" s="23" t="str">
        <f>IFERROR(__xludf.DUMMYFUNCTION("if(countif(filter(Status!$C:$C,Status!$A:$A=$A15),CONCATENATE(AO$2,""*""))&gt;0,countif(filter(Status!$C:$C,Status!$A:$A=$A15),CONCATENATE(AO$2,""*"")),"""")"),"")</f>
        <v/>
      </c>
      <c r="AP15" s="23">
        <f>IFERROR(__xludf.DUMMYFUNCTION("counta(iferror(filter(Status!C:C,Status!A:A=A15)))"),4.0)</f>
        <v>4</v>
      </c>
      <c r="AQ15" s="23">
        <f t="shared" si="6"/>
        <v>4</v>
      </c>
    </row>
    <row r="16">
      <c r="A16" s="1" t="s">
        <v>412</v>
      </c>
      <c r="B16" s="21">
        <f>IFERROR(__xludf.DUMMYFUNCTION("max(filter(Status!E:E,Status!A:A=A16))"),43669.0)</f>
        <v>43669</v>
      </c>
      <c r="C16" s="23">
        <f t="shared" si="1"/>
        <v>1</v>
      </c>
      <c r="D16" s="23">
        <f t="shared" si="2"/>
        <v>1</v>
      </c>
      <c r="E16" s="23">
        <f t="shared" si="3"/>
        <v>1</v>
      </c>
      <c r="F16" s="23">
        <f t="shared" si="4"/>
        <v>0.6470588235</v>
      </c>
      <c r="G16" s="25">
        <f t="shared" si="5"/>
        <v>0.8571428571</v>
      </c>
      <c r="J16" s="23">
        <f>IFERROR(__xludf.DUMMYFUNCTION("COUNTA(iferror(filter(Status!H:H,Status!A:A=A16)))"),4.0)</f>
        <v>4</v>
      </c>
      <c r="K16" s="25">
        <f>IFERROR(__xludf.DUMMYFUNCTION("COUNTA(iferror(filter(Status!H:H,Status!A:A=A16,Status!H:H=TRUE)))"),4.0)</f>
        <v>4</v>
      </c>
      <c r="L16" s="23">
        <f>IFERROR(__xludf.DUMMYFUNCTION("COUNTA(iferror(filter(Status!L:L,Status!A:A=A16)))"),2.0)</f>
        <v>2</v>
      </c>
      <c r="M16" s="25">
        <f>IFERROR(__xludf.DUMMYFUNCTION("COUNTA(iferror(filter(Status!L:L,Status!A:A=A16,Status!L:L=TRUE)))"),2.0)</f>
        <v>2</v>
      </c>
      <c r="N16" s="23">
        <f>IFERROR(__xludf.DUMMYFUNCTION("COUNTA(iferror(filter(Status!N:N,Status!A:A=A16,Status!N:N=TRUE)))"),8.0)</f>
        <v>8</v>
      </c>
      <c r="O16" s="25">
        <f>IFERROR(__xludf.DUMMYFUNCTION("COUNTA(iferror(filter(Status!N:N,Status!A:A=A16,Status!N:N=TRUE)))"),8.0)</f>
        <v>8</v>
      </c>
      <c r="P16" s="23">
        <f>IFERROR(__xludf.DUMMYFUNCTION("COUNTA(iferror(filter(Status!P:P,Status!A:A=A16)))"),17.0)</f>
        <v>17</v>
      </c>
      <c r="Q16" s="25">
        <f>IFERROR(__xludf.DUMMYFUNCTION("COUNTA(iferror(filter(Status!P:P,Status!A:A=A16,Status!P:P=TRUE)))"),11.0)</f>
        <v>11</v>
      </c>
      <c r="R16" s="23">
        <f>IFERROR(__xludf.DUMMYFUNCTION("COUNTA(iferror(filter(Status!R:R,Status!A:A=A16)))"),7.0)</f>
        <v>7</v>
      </c>
      <c r="S16" s="25">
        <f>IFERROR(__xludf.DUMMYFUNCTION("COUNTA(iferror(filter(Status!R:R,Status!A:A=A16,Status!R:R=TRUE)))"),6.0)</f>
        <v>6</v>
      </c>
      <c r="V16" s="23" t="str">
        <f>IFERROR(__xludf.DUMMYFUNCTION("if((countif(filter(Status!$C:$C,Status!$A:$A=$A16),CONCATENATE(V$2,""*""))-W16)&gt;0,(countif(filter(Status!$C:$C,Status!$A:$A=$A16),CONCATENATE(V$2,""*""))-W16),"""")"),"")</f>
        <v/>
      </c>
      <c r="W16" s="23" t="str">
        <f>IFERROR(__xludf.DUMMYFUNCTION("if(countif(filter(Status!$C:$C,Status!$A:$A=$A16),CONCATENATE(W$2,""*""))&gt;0,countif(filter(Status!$C:$C,Status!$A:$A=$A16),CONCATENATE(W$2,""*"")),"""")"),"")</f>
        <v/>
      </c>
      <c r="X16" s="23">
        <f>IFERROR(__xludf.DUMMYFUNCTION("if(countif(filter(Status!$C:$C,Status!$A:$A=$A16),CONCATENATE(X$2,""*""))&gt;0,countif(filter(Status!$C:$C,Status!$A:$A=$A16),CONCATENATE(X$2,""*"")),"""")"),12.0)</f>
        <v>12</v>
      </c>
      <c r="Y16" s="23" t="str">
        <f>IFERROR(__xludf.DUMMYFUNCTION("if(countif(filter(Status!$C:$C,Status!$A:$A=$A16),CONCATENATE(Y$2,""*""))&gt;0,countif(filter(Status!$C:$C,Status!$A:$A=$A16),CONCATENATE(Y$2,""*"")),"""")"),"")</f>
        <v/>
      </c>
      <c r="Z16" s="23" t="str">
        <f>IFERROR(__xludf.DUMMYFUNCTION("if(countif(filter(Status!$C:$C,Status!$A:$A=$A16),CONCATENATE(Z$2,""*""))&gt;0,countif(filter(Status!$C:$C,Status!$A:$A=$A16),CONCATENATE(Z$2,""*"")),"""")"),"")</f>
        <v/>
      </c>
      <c r="AA16" s="23">
        <f>IFERROR(__xludf.DUMMYFUNCTION("if((countif(filter(Status!$C:$C,Status!$A:$A=$A16),CONCATENATE(AA$2,""*""))-AB16)&gt;0,(countif(filter(Status!$C:$C,Status!$A:$A=$A16),CONCATENATE(AA$2,""*""))-AB16),"""")"),1.0)</f>
        <v>1</v>
      </c>
      <c r="AB16" s="23">
        <f>IFERROR(__xludf.DUMMYFUNCTION("if(countif(filter(Status!$C:$C,Status!$A:$A=$A16),CONCATENATE(AB$2,""*""))&gt;0,countif(filter(Status!$C:$C,Status!$A:$A=$A16),CONCATENATE(AB$2,""*"")),"""")"),1.0)</f>
        <v>1</v>
      </c>
      <c r="AC16" s="23">
        <f>IFERROR(__xludf.DUMMYFUNCTION("if(countif(filter(Status!$C:$C,Status!$A:$A=$A16),CONCATENATE(AC$2,""*""))&gt;0,countif(filter(Status!$C:$C,Status!$A:$A=$A16),CONCATENATE(AC$2,""*"")),"""")"),1.0)</f>
        <v>1</v>
      </c>
      <c r="AD16" s="23" t="str">
        <f>IFERROR(__xludf.DUMMYFUNCTION("if(countif(filter(Status!$C:$C,Status!$A:$A=$A16),CONCATENATE(AD$2,""*""))&gt;0,countif(filter(Status!$C:$C,Status!$A:$A=$A16),CONCATENATE(AD$2,""*"")),"""")"),"")</f>
        <v/>
      </c>
      <c r="AE16" s="23">
        <f>IFERROR(__xludf.DUMMYFUNCTION("if(countif(filter(Status!$C:$C,Status!$A:$A=$A16),CONCATENATE(AE$2,""*""))&gt;0,countif(filter(Status!$C:$C,Status!$A:$A=$A16),CONCATENATE(AE$2,""*"")),"""")"),1.0)</f>
        <v>1</v>
      </c>
      <c r="AF16" s="23" t="str">
        <f>IFERROR(__xludf.DUMMYFUNCTION("if(countif(filter(Status!$C:$C,Status!$A:$A=$A16),CONCATENATE(AF$2,""*""))&gt;0,countif(filter(Status!$C:$C,Status!$A:$A=$A16),CONCATENATE(AF$2,""*"")),"""")"),"")</f>
        <v/>
      </c>
      <c r="AG16" s="23" t="str">
        <f>IFERROR(__xludf.DUMMYFUNCTION("if(countif(filter(Status!$C:$C,Status!$A:$A=$A16),CONCATENATE(AG$2,""*""))&gt;0,countif(filter(Status!$C:$C,Status!$A:$A=$A16),CONCATENATE(AG$2,""*"")),"""")"),"")</f>
        <v/>
      </c>
      <c r="AH16" s="23" t="str">
        <f>IFERROR(__xludf.DUMMYFUNCTION("if(countif(filter(Status!$C:$C,Status!$A:$A=$A16),CONCATENATE(AH$2,""*""))&gt;0,countif(filter(Status!$C:$C,Status!$A:$A=$A16),CONCATENATE(AH$2,""*"")),"""")"),"")</f>
        <v/>
      </c>
      <c r="AI16" s="23" t="str">
        <f>IFERROR(__xludf.DUMMYFUNCTION("if(countif(filter(Status!$C:$C,Status!$A:$A=$A16),CONCATENATE(AI$2,""*""))&gt;0,countif(filter(Status!$C:$C,Status!$A:$A=$A16),CONCATENATE(AI$2,""*"")),"""")"),"")</f>
        <v/>
      </c>
      <c r="AJ16" s="23" t="str">
        <f>IFERROR(__xludf.DUMMYFUNCTION("if(countif(filter(Status!$C:$C,Status!$A:$A=$A16),CONCATENATE(AJ$2,""*""))&gt;0,countif(filter(Status!$C:$C,Status!$A:$A=$A16),CONCATENATE(AJ$2,""*"")),"""")"),"")</f>
        <v/>
      </c>
      <c r="AK16" s="23" t="str">
        <f>IFERROR(__xludf.DUMMYFUNCTION("if(countif(filter(Status!$C:$C,Status!$A:$A=$A16),CONCATENATE(AK$2,""*""))&gt;0,countif(filter(Status!$C:$C,Status!$A:$A=$A16),CONCATENATE(AK$2,""*"")),"""")"),"")</f>
        <v/>
      </c>
      <c r="AL16" s="23" t="str">
        <f>IFERROR(__xludf.DUMMYFUNCTION("if(countif(filter(Status!$C:$C,Status!$A:$A=$A16),CONCATENATE(AL$2,""*""))&gt;0,countif(filter(Status!$C:$C,Status!$A:$A=$A16),CONCATENATE(AL$2,""*"")),"""")"),"")</f>
        <v/>
      </c>
      <c r="AM16" s="23" t="str">
        <f>IFERROR(__xludf.DUMMYFUNCTION("if(countif(filter(Status!$C:$C,Status!$A:$A=$A16),CONCATENATE(AM$2,""*""))&gt;0,countif(filter(Status!$C:$C,Status!$A:$A=$A16),CONCATENATE(AM$2,""*"")),"""")"),"")</f>
        <v/>
      </c>
      <c r="AN16" s="23" t="str">
        <f>IFERROR(__xludf.DUMMYFUNCTION("if(countif(filter(Status!$C:$C,Status!$A:$A=$A16),CONCATENATE(AN$2,""*""))&gt;0,countif(filter(Status!$C:$C,Status!$A:$A=$A16),CONCATENATE(AN$2,""*"")),"""")"),"")</f>
        <v/>
      </c>
      <c r="AO16" s="23">
        <f>IFERROR(__xludf.DUMMYFUNCTION("if(countif(filter(Status!$C:$C,Status!$A:$A=$A16),CONCATENATE(AO$2,""*""))&gt;0,countif(filter(Status!$C:$C,Status!$A:$A=$A16),CONCATENATE(AO$2,""*"")),"""")"),2.0)</f>
        <v>2</v>
      </c>
      <c r="AP16" s="23">
        <f>IFERROR(__xludf.DUMMYFUNCTION("counta(iferror(filter(Status!C:C,Status!A:A=A16)))"),18.0)</f>
        <v>18</v>
      </c>
      <c r="AQ16" s="23">
        <f t="shared" si="6"/>
        <v>18</v>
      </c>
    </row>
    <row r="17">
      <c r="A17" s="1" t="s">
        <v>416</v>
      </c>
      <c r="B17" s="21">
        <f>IFERROR(__xludf.DUMMYFUNCTION("max(filter(Status!E:E,Status!A:A=A17))"),43670.0)</f>
        <v>43670</v>
      </c>
      <c r="C17" s="23">
        <f t="shared" si="1"/>
        <v>1</v>
      </c>
      <c r="D17" s="23">
        <f t="shared" si="2"/>
        <v>0.6666666667</v>
      </c>
      <c r="E17" s="23">
        <f t="shared" si="3"/>
        <v>1</v>
      </c>
      <c r="F17" s="23">
        <f t="shared" si="4"/>
        <v>0.7142857143</v>
      </c>
      <c r="G17" s="25">
        <f t="shared" si="5"/>
        <v>0.7142857143</v>
      </c>
      <c r="J17" s="23">
        <f>IFERROR(__xludf.DUMMYFUNCTION("COUNTA(iferror(filter(Status!H:H,Status!A:A=A17)))"),5.0)</f>
        <v>5</v>
      </c>
      <c r="K17" s="25">
        <f>IFERROR(__xludf.DUMMYFUNCTION("COUNTA(iferror(filter(Status!H:H,Status!A:A=A17,Status!H:H=TRUE)))"),5.0)</f>
        <v>5</v>
      </c>
      <c r="L17" s="23">
        <f>IFERROR(__xludf.DUMMYFUNCTION("COUNTA(iferror(filter(Status!L:L,Status!A:A=A17)))"),3.0)</f>
        <v>3</v>
      </c>
      <c r="M17" s="25">
        <f>IFERROR(__xludf.DUMMYFUNCTION("COUNTA(iferror(filter(Status!L:L,Status!A:A=A17,Status!L:L=TRUE)))"),2.0)</f>
        <v>2</v>
      </c>
      <c r="N17" s="23">
        <f>IFERROR(__xludf.DUMMYFUNCTION("COUNTA(iferror(filter(Status!N:N,Status!A:A=A17,Status!N:N=TRUE)))"),5.0)</f>
        <v>5</v>
      </c>
      <c r="O17" s="25">
        <f>IFERROR(__xludf.DUMMYFUNCTION("COUNTA(iferror(filter(Status!N:N,Status!A:A=A17,Status!N:N=TRUE)))"),5.0)</f>
        <v>5</v>
      </c>
      <c r="P17" s="23">
        <f>IFERROR(__xludf.DUMMYFUNCTION("COUNTA(iferror(filter(Status!P:P,Status!A:A=A17)))"),7.0)</f>
        <v>7</v>
      </c>
      <c r="Q17" s="25">
        <f>IFERROR(__xludf.DUMMYFUNCTION("COUNTA(iferror(filter(Status!P:P,Status!A:A=A17,Status!P:P=TRUE)))"),5.0)</f>
        <v>5</v>
      </c>
      <c r="R17" s="23">
        <f>IFERROR(__xludf.DUMMYFUNCTION("COUNTA(iferror(filter(Status!R:R,Status!A:A=A17)))"),7.0)</f>
        <v>7</v>
      </c>
      <c r="S17" s="25">
        <f>IFERROR(__xludf.DUMMYFUNCTION("COUNTA(iferror(filter(Status!R:R,Status!A:A=A17,Status!R:R=TRUE)))"),5.0)</f>
        <v>5</v>
      </c>
      <c r="V17" s="23">
        <f>IFERROR(__xludf.DUMMYFUNCTION("if((countif(filter(Status!$C:$C,Status!$A:$A=$A17),CONCATENATE(V$2,""*""))-W17)&gt;0,(countif(filter(Status!$C:$C,Status!$A:$A=$A17),CONCATENATE(V$2,""*""))-W17),"""")"),2.0)</f>
        <v>2</v>
      </c>
      <c r="W17" s="23" t="str">
        <f>IFERROR(__xludf.DUMMYFUNCTION("if(countif(filter(Status!$C:$C,Status!$A:$A=$A17),CONCATENATE(W$2,""*""))&gt;0,countif(filter(Status!$C:$C,Status!$A:$A=$A17),CONCATENATE(W$2,""*"")),"""")"),"")</f>
        <v/>
      </c>
      <c r="X17" s="23" t="str">
        <f>IFERROR(__xludf.DUMMYFUNCTION("if(countif(filter(Status!$C:$C,Status!$A:$A=$A17),CONCATENATE(X$2,""*""))&gt;0,countif(filter(Status!$C:$C,Status!$A:$A=$A17),CONCATENATE(X$2,""*"")),"""")"),"")</f>
        <v/>
      </c>
      <c r="Y17" s="23" t="str">
        <f>IFERROR(__xludf.DUMMYFUNCTION("if(countif(filter(Status!$C:$C,Status!$A:$A=$A17),CONCATENATE(Y$2,""*""))&gt;0,countif(filter(Status!$C:$C,Status!$A:$A=$A17),CONCATENATE(Y$2,""*"")),"""")"),"")</f>
        <v/>
      </c>
      <c r="Z17" s="23" t="str">
        <f>IFERROR(__xludf.DUMMYFUNCTION("if(countif(filter(Status!$C:$C,Status!$A:$A=$A17),CONCATENATE(Z$2,""*""))&gt;0,countif(filter(Status!$C:$C,Status!$A:$A=$A17),CONCATENATE(Z$2,""*"")),"""")"),"")</f>
        <v/>
      </c>
      <c r="AA17" s="23">
        <f>IFERROR(__xludf.DUMMYFUNCTION("if((countif(filter(Status!$C:$C,Status!$A:$A=$A17),CONCATENATE(AA$2,""*""))-AB17)&gt;0,(countif(filter(Status!$C:$C,Status!$A:$A=$A17),CONCATENATE(AA$2,""*""))-AB17),"""")"),1.0)</f>
        <v>1</v>
      </c>
      <c r="AB17" s="23">
        <f>IFERROR(__xludf.DUMMYFUNCTION("if(countif(filter(Status!$C:$C,Status!$A:$A=$A17),CONCATENATE(AB$2,""*""))&gt;0,countif(filter(Status!$C:$C,Status!$A:$A=$A17),CONCATENATE(AB$2,""*"")),"""")"),1.0)</f>
        <v>1</v>
      </c>
      <c r="AC17" s="23">
        <f>IFERROR(__xludf.DUMMYFUNCTION("if(countif(filter(Status!$C:$C,Status!$A:$A=$A17),CONCATENATE(AC$2,""*""))&gt;0,countif(filter(Status!$C:$C,Status!$A:$A=$A17),CONCATENATE(AC$2,""*"")),"""")"),1.0)</f>
        <v>1</v>
      </c>
      <c r="AD17" s="23" t="str">
        <f>IFERROR(__xludf.DUMMYFUNCTION("if(countif(filter(Status!$C:$C,Status!$A:$A=$A17),CONCATENATE(AD$2,""*""))&gt;0,countif(filter(Status!$C:$C,Status!$A:$A=$A17),CONCATENATE(AD$2,""*"")),"""")"),"")</f>
        <v/>
      </c>
      <c r="AE17" s="23">
        <f>IFERROR(__xludf.DUMMYFUNCTION("if(countif(filter(Status!$C:$C,Status!$A:$A=$A17),CONCATENATE(AE$2,""*""))&gt;0,countif(filter(Status!$C:$C,Status!$A:$A=$A17),CONCATENATE(AE$2,""*"")),"""")"),1.0)</f>
        <v>1</v>
      </c>
      <c r="AF17" s="23" t="str">
        <f>IFERROR(__xludf.DUMMYFUNCTION("if(countif(filter(Status!$C:$C,Status!$A:$A=$A17),CONCATENATE(AF$2,""*""))&gt;0,countif(filter(Status!$C:$C,Status!$A:$A=$A17),CONCATENATE(AF$2,""*"")),"""")"),"")</f>
        <v/>
      </c>
      <c r="AG17" s="23" t="str">
        <f>IFERROR(__xludf.DUMMYFUNCTION("if(countif(filter(Status!$C:$C,Status!$A:$A=$A17),CONCATENATE(AG$2,""*""))&gt;0,countif(filter(Status!$C:$C,Status!$A:$A=$A17),CONCATENATE(AG$2,""*"")),"""")"),"")</f>
        <v/>
      </c>
      <c r="AH17" s="23" t="str">
        <f>IFERROR(__xludf.DUMMYFUNCTION("if(countif(filter(Status!$C:$C,Status!$A:$A=$A17),CONCATENATE(AH$2,""*""))&gt;0,countif(filter(Status!$C:$C,Status!$A:$A=$A17),CONCATENATE(AH$2,""*"")),"""")"),"")</f>
        <v/>
      </c>
      <c r="AI17" s="23" t="str">
        <f>IFERROR(__xludf.DUMMYFUNCTION("if(countif(filter(Status!$C:$C,Status!$A:$A=$A17),CONCATENATE(AI$2,""*""))&gt;0,countif(filter(Status!$C:$C,Status!$A:$A=$A17),CONCATENATE(AI$2,""*"")),"""")"),"")</f>
        <v/>
      </c>
      <c r="AJ17" s="23" t="str">
        <f>IFERROR(__xludf.DUMMYFUNCTION("if(countif(filter(Status!$C:$C,Status!$A:$A=$A17),CONCATENATE(AJ$2,""*""))&gt;0,countif(filter(Status!$C:$C,Status!$A:$A=$A17),CONCATENATE(AJ$2,""*"")),"""")"),"")</f>
        <v/>
      </c>
      <c r="AK17" s="23" t="str">
        <f>IFERROR(__xludf.DUMMYFUNCTION("if(countif(filter(Status!$C:$C,Status!$A:$A=$A17),CONCATENATE(AK$2,""*""))&gt;0,countif(filter(Status!$C:$C,Status!$A:$A=$A17),CONCATENATE(AK$2,""*"")),"""")"),"")</f>
        <v/>
      </c>
      <c r="AL17" s="23">
        <f>IFERROR(__xludf.DUMMYFUNCTION("if(countif(filter(Status!$C:$C,Status!$A:$A=$A17),CONCATENATE(AL$2,""*""))&gt;0,countif(filter(Status!$C:$C,Status!$A:$A=$A17),CONCATENATE(AL$2,""*"")),"""")"),2.0)</f>
        <v>2</v>
      </c>
      <c r="AM17" s="23" t="str">
        <f>IFERROR(__xludf.DUMMYFUNCTION("if(countif(filter(Status!$C:$C,Status!$A:$A=$A17),CONCATENATE(AM$2,""*""))&gt;0,countif(filter(Status!$C:$C,Status!$A:$A=$A17),CONCATENATE(AM$2,""*"")),"""")"),"")</f>
        <v/>
      </c>
      <c r="AN17" s="23" t="str">
        <f>IFERROR(__xludf.DUMMYFUNCTION("if(countif(filter(Status!$C:$C,Status!$A:$A=$A17),CONCATENATE(AN$2,""*""))&gt;0,countif(filter(Status!$C:$C,Status!$A:$A=$A17),CONCATENATE(AN$2,""*"")),"""")"),"")</f>
        <v/>
      </c>
      <c r="AO17" s="23" t="str">
        <f>IFERROR(__xludf.DUMMYFUNCTION("if(countif(filter(Status!$C:$C,Status!$A:$A=$A17),CONCATENATE(AO$2,""*""))&gt;0,countif(filter(Status!$C:$C,Status!$A:$A=$A17),CONCATENATE(AO$2,""*"")),"""")"),"")</f>
        <v/>
      </c>
      <c r="AP17" s="23">
        <f>IFERROR(__xludf.DUMMYFUNCTION("counta(iferror(filter(Status!C:C,Status!A:A=A17)))"),8.0)</f>
        <v>8</v>
      </c>
      <c r="AQ17" s="23">
        <f t="shared" si="6"/>
        <v>8</v>
      </c>
    </row>
    <row r="18">
      <c r="A18" s="1" t="s">
        <v>420</v>
      </c>
      <c r="B18" s="21">
        <f>IFERROR(__xludf.DUMMYFUNCTION("max(filter(Status!E:E,Status!A:A=A18))"),43671.0)</f>
        <v>43671</v>
      </c>
      <c r="C18" s="23" t="str">
        <f t="shared" si="1"/>
        <v/>
      </c>
      <c r="D18" s="23" t="str">
        <f t="shared" si="2"/>
        <v/>
      </c>
      <c r="E18" s="23">
        <f t="shared" si="3"/>
        <v>1</v>
      </c>
      <c r="F18" s="23">
        <f t="shared" si="4"/>
        <v>0.8</v>
      </c>
      <c r="G18" s="25">
        <f t="shared" si="5"/>
        <v>1</v>
      </c>
      <c r="J18" s="23">
        <f>IFERROR(__xludf.DUMMYFUNCTION("COUNTA(iferror(filter(Status!H:H,Status!A:A=A18)))"),0.0)</f>
        <v>0</v>
      </c>
      <c r="K18" s="25">
        <f>IFERROR(__xludf.DUMMYFUNCTION("COUNTA(iferror(filter(Status!H:H,Status!A:A=A18,Status!H:H=TRUE)))"),0.0)</f>
        <v>0</v>
      </c>
      <c r="L18" s="23">
        <f>IFERROR(__xludf.DUMMYFUNCTION("COUNTA(iferror(filter(Status!L:L,Status!A:A=A18)))"),0.0)</f>
        <v>0</v>
      </c>
      <c r="M18" s="25">
        <f>IFERROR(__xludf.DUMMYFUNCTION("COUNTA(iferror(filter(Status!L:L,Status!A:A=A18,Status!L:L=TRUE)))"),0.0)</f>
        <v>0</v>
      </c>
      <c r="N18" s="23">
        <f>IFERROR(__xludf.DUMMYFUNCTION("COUNTA(iferror(filter(Status!N:N,Status!A:A=A18,Status!N:N=TRUE)))"),5.0)</f>
        <v>5</v>
      </c>
      <c r="O18" s="25">
        <f>IFERROR(__xludf.DUMMYFUNCTION("COUNTA(iferror(filter(Status!N:N,Status!A:A=A18,Status!N:N=TRUE)))"),5.0)</f>
        <v>5</v>
      </c>
      <c r="P18" s="23">
        <f>IFERROR(__xludf.DUMMYFUNCTION("COUNTA(iferror(filter(Status!P:P,Status!A:A=A18)))"),5.0)</f>
        <v>5</v>
      </c>
      <c r="Q18" s="25">
        <f>IFERROR(__xludf.DUMMYFUNCTION("COUNTA(iferror(filter(Status!P:P,Status!A:A=A18,Status!P:P=TRUE)))"),4.0)</f>
        <v>4</v>
      </c>
      <c r="R18" s="23">
        <f>IFERROR(__xludf.DUMMYFUNCTION("COUNTA(iferror(filter(Status!R:R,Status!A:A=A18)))"),5.0)</f>
        <v>5</v>
      </c>
      <c r="S18" s="25">
        <f>IFERROR(__xludf.DUMMYFUNCTION("COUNTA(iferror(filter(Status!R:R,Status!A:A=A18,Status!R:R=TRUE)))"),5.0)</f>
        <v>5</v>
      </c>
      <c r="V18" s="23" t="str">
        <f>IFERROR(__xludf.DUMMYFUNCTION("if((countif(filter(Status!$C:$C,Status!$A:$A=$A18),CONCATENATE(V$2,""*""))-W18)&gt;0,(countif(filter(Status!$C:$C,Status!$A:$A=$A18),CONCATENATE(V$2,""*""))-W18),"""")"),"")</f>
        <v/>
      </c>
      <c r="W18" s="23" t="str">
        <f>IFERROR(__xludf.DUMMYFUNCTION("if(countif(filter(Status!$C:$C,Status!$A:$A=$A18),CONCATENATE(W$2,""*""))&gt;0,countif(filter(Status!$C:$C,Status!$A:$A=$A18),CONCATENATE(W$2,""*"")),"""")"),"")</f>
        <v/>
      </c>
      <c r="X18" s="23">
        <f>IFERROR(__xludf.DUMMYFUNCTION("if(countif(filter(Status!$C:$C,Status!$A:$A=$A18),CONCATENATE(X$2,""*""))&gt;0,countif(filter(Status!$C:$C,Status!$A:$A=$A18),CONCATENATE(X$2,""*"")),"""")"),4.0)</f>
        <v>4</v>
      </c>
      <c r="Y18" s="23" t="str">
        <f>IFERROR(__xludf.DUMMYFUNCTION("if(countif(filter(Status!$C:$C,Status!$A:$A=$A18),CONCATENATE(Y$2,""*""))&gt;0,countif(filter(Status!$C:$C,Status!$A:$A=$A18),CONCATENATE(Y$2,""*"")),"""")"),"")</f>
        <v/>
      </c>
      <c r="Z18" s="23" t="str">
        <f>IFERROR(__xludf.DUMMYFUNCTION("if(countif(filter(Status!$C:$C,Status!$A:$A=$A18),CONCATENATE(Z$2,""*""))&gt;0,countif(filter(Status!$C:$C,Status!$A:$A=$A18),CONCATENATE(Z$2,""*"")),"""")"),"")</f>
        <v/>
      </c>
      <c r="AA18" s="23" t="str">
        <f>IFERROR(__xludf.DUMMYFUNCTION("if((countif(filter(Status!$C:$C,Status!$A:$A=$A18),CONCATENATE(AA$2,""*""))-AB18)&gt;0,(countif(filter(Status!$C:$C,Status!$A:$A=$A18),CONCATENATE(AA$2,""*""))-AB18),"""")"),"")</f>
        <v/>
      </c>
      <c r="AB18" s="23" t="str">
        <f>IFERROR(__xludf.DUMMYFUNCTION("if(countif(filter(Status!$C:$C,Status!$A:$A=$A18),CONCATENATE(AB$2,""*""))&gt;0,countif(filter(Status!$C:$C,Status!$A:$A=$A18),CONCATENATE(AB$2,""*"")),"""")"),"")</f>
        <v/>
      </c>
      <c r="AC18" s="23">
        <f>IFERROR(__xludf.DUMMYFUNCTION("if(countif(filter(Status!$C:$C,Status!$A:$A=$A18),CONCATENATE(AC$2,""*""))&gt;0,countif(filter(Status!$C:$C,Status!$A:$A=$A18),CONCATENATE(AC$2,""*"")),"""")"),1.0)</f>
        <v>1</v>
      </c>
      <c r="AD18" s="23" t="str">
        <f>IFERROR(__xludf.DUMMYFUNCTION("if(countif(filter(Status!$C:$C,Status!$A:$A=$A18),CONCATENATE(AD$2,""*""))&gt;0,countif(filter(Status!$C:$C,Status!$A:$A=$A18),CONCATENATE(AD$2,""*"")),"""")"),"")</f>
        <v/>
      </c>
      <c r="AE18" s="23" t="str">
        <f>IFERROR(__xludf.DUMMYFUNCTION("if(countif(filter(Status!$C:$C,Status!$A:$A=$A18),CONCATENATE(AE$2,""*""))&gt;0,countif(filter(Status!$C:$C,Status!$A:$A=$A18),CONCATENATE(AE$2,""*"")),"""")"),"")</f>
        <v/>
      </c>
      <c r="AF18" s="23" t="str">
        <f>IFERROR(__xludf.DUMMYFUNCTION("if(countif(filter(Status!$C:$C,Status!$A:$A=$A18),CONCATENATE(AF$2,""*""))&gt;0,countif(filter(Status!$C:$C,Status!$A:$A=$A18),CONCATENATE(AF$2,""*"")),"""")"),"")</f>
        <v/>
      </c>
      <c r="AG18" s="23" t="str">
        <f>IFERROR(__xludf.DUMMYFUNCTION("if(countif(filter(Status!$C:$C,Status!$A:$A=$A18),CONCATENATE(AG$2,""*""))&gt;0,countif(filter(Status!$C:$C,Status!$A:$A=$A18),CONCATENATE(AG$2,""*"")),"""")"),"")</f>
        <v/>
      </c>
      <c r="AH18" s="23" t="str">
        <f>IFERROR(__xludf.DUMMYFUNCTION("if(countif(filter(Status!$C:$C,Status!$A:$A=$A18),CONCATENATE(AH$2,""*""))&gt;0,countif(filter(Status!$C:$C,Status!$A:$A=$A18),CONCATENATE(AH$2,""*"")),"""")"),"")</f>
        <v/>
      </c>
      <c r="AI18" s="23" t="str">
        <f>IFERROR(__xludf.DUMMYFUNCTION("if(countif(filter(Status!$C:$C,Status!$A:$A=$A18),CONCATENATE(AI$2,""*""))&gt;0,countif(filter(Status!$C:$C,Status!$A:$A=$A18),CONCATENATE(AI$2,""*"")),"""")"),"")</f>
        <v/>
      </c>
      <c r="AJ18" s="23" t="str">
        <f>IFERROR(__xludf.DUMMYFUNCTION("if(countif(filter(Status!$C:$C,Status!$A:$A=$A18),CONCATENATE(AJ$2,""*""))&gt;0,countif(filter(Status!$C:$C,Status!$A:$A=$A18),CONCATENATE(AJ$2,""*"")),"""")"),"")</f>
        <v/>
      </c>
      <c r="AK18" s="23" t="str">
        <f>IFERROR(__xludf.DUMMYFUNCTION("if(countif(filter(Status!$C:$C,Status!$A:$A=$A18),CONCATENATE(AK$2,""*""))&gt;0,countif(filter(Status!$C:$C,Status!$A:$A=$A18),CONCATENATE(AK$2,""*"")),"""")"),"")</f>
        <v/>
      </c>
      <c r="AL18" s="23" t="str">
        <f>IFERROR(__xludf.DUMMYFUNCTION("if(countif(filter(Status!$C:$C,Status!$A:$A=$A18),CONCATENATE(AL$2,""*""))&gt;0,countif(filter(Status!$C:$C,Status!$A:$A=$A18),CONCATENATE(AL$2,""*"")),"""")"),"")</f>
        <v/>
      </c>
      <c r="AM18" s="23" t="str">
        <f>IFERROR(__xludf.DUMMYFUNCTION("if(countif(filter(Status!$C:$C,Status!$A:$A=$A18),CONCATENATE(AM$2,""*""))&gt;0,countif(filter(Status!$C:$C,Status!$A:$A=$A18),CONCATENATE(AM$2,""*"")),"""")"),"")</f>
        <v/>
      </c>
      <c r="AN18" s="23" t="str">
        <f>IFERROR(__xludf.DUMMYFUNCTION("if(countif(filter(Status!$C:$C,Status!$A:$A=$A18),CONCATENATE(AN$2,""*""))&gt;0,countif(filter(Status!$C:$C,Status!$A:$A=$A18),CONCATENATE(AN$2,""*"")),"""")"),"")</f>
        <v/>
      </c>
      <c r="AO18" s="23" t="str">
        <f>IFERROR(__xludf.DUMMYFUNCTION("if(countif(filter(Status!$C:$C,Status!$A:$A=$A18),CONCATENATE(AO$2,""*""))&gt;0,countif(filter(Status!$C:$C,Status!$A:$A=$A18),CONCATENATE(AO$2,""*"")),"""")"),"")</f>
        <v/>
      </c>
      <c r="AP18" s="23">
        <f>IFERROR(__xludf.DUMMYFUNCTION("counta(iferror(filter(Status!C:C,Status!A:A=A18)))"),5.0)</f>
        <v>5</v>
      </c>
      <c r="AQ18" s="23">
        <f t="shared" si="6"/>
        <v>5</v>
      </c>
    </row>
    <row r="19">
      <c r="A19" s="1" t="s">
        <v>426</v>
      </c>
      <c r="B19" s="21">
        <f>IFERROR(__xludf.DUMMYFUNCTION("max(filter(Status!E:E,Status!A:A=A19))"),43675.0)</f>
        <v>43675</v>
      </c>
      <c r="C19" s="23">
        <f t="shared" si="1"/>
        <v>1</v>
      </c>
      <c r="D19" s="23">
        <f t="shared" si="2"/>
        <v>0.75</v>
      </c>
      <c r="E19" s="23">
        <f t="shared" si="3"/>
        <v>1</v>
      </c>
      <c r="F19" s="23">
        <f t="shared" si="4"/>
        <v>0.4285714286</v>
      </c>
      <c r="G19" s="25">
        <f t="shared" si="5"/>
        <v>0.75</v>
      </c>
      <c r="J19" s="23">
        <f>IFERROR(__xludf.DUMMYFUNCTION("COUNTA(iferror(filter(Status!H:H,Status!A:A=A19)))"),6.0)</f>
        <v>6</v>
      </c>
      <c r="K19" s="25">
        <f>IFERROR(__xludf.DUMMYFUNCTION("COUNTA(iferror(filter(Status!H:H,Status!A:A=A19,Status!H:H=TRUE)))"),6.0)</f>
        <v>6</v>
      </c>
      <c r="L19" s="23">
        <f>IFERROR(__xludf.DUMMYFUNCTION("COUNTA(iferror(filter(Status!L:L,Status!A:A=A19)))"),4.0)</f>
        <v>4</v>
      </c>
      <c r="M19" s="25">
        <f>IFERROR(__xludf.DUMMYFUNCTION("COUNTA(iferror(filter(Status!L:L,Status!A:A=A19,Status!L:L=TRUE)))"),3.0)</f>
        <v>3</v>
      </c>
      <c r="N19" s="23">
        <f>IFERROR(__xludf.DUMMYFUNCTION("COUNTA(iferror(filter(Status!N:N,Status!A:A=A19,Status!N:N=TRUE)))"),6.0)</f>
        <v>6</v>
      </c>
      <c r="O19" s="25">
        <f>IFERROR(__xludf.DUMMYFUNCTION("COUNTA(iferror(filter(Status!N:N,Status!A:A=A19,Status!N:N=TRUE)))"),6.0)</f>
        <v>6</v>
      </c>
      <c r="P19" s="23">
        <f>IFERROR(__xludf.DUMMYFUNCTION("COUNTA(iferror(filter(Status!P:P,Status!A:A=A19)))"),7.0)</f>
        <v>7</v>
      </c>
      <c r="Q19" s="25">
        <f>IFERROR(__xludf.DUMMYFUNCTION("COUNTA(iferror(filter(Status!P:P,Status!A:A=A19,Status!P:P=TRUE)))"),3.0)</f>
        <v>3</v>
      </c>
      <c r="R19" s="23">
        <f>IFERROR(__xludf.DUMMYFUNCTION("COUNTA(iferror(filter(Status!R:R,Status!A:A=A19)))"),4.0)</f>
        <v>4</v>
      </c>
      <c r="S19" s="25">
        <f>IFERROR(__xludf.DUMMYFUNCTION("COUNTA(iferror(filter(Status!R:R,Status!A:A=A19,Status!R:R=TRUE)))"),3.0)</f>
        <v>3</v>
      </c>
      <c r="V19" s="23">
        <f>IFERROR(__xludf.DUMMYFUNCTION("if((countif(filter(Status!$C:$C,Status!$A:$A=$A19),CONCATENATE(V$2,""*""))-W19)&gt;0,(countif(filter(Status!$C:$C,Status!$A:$A=$A19),CONCATENATE(V$2,""*""))-W19),"""")"),1.0)</f>
        <v>1</v>
      </c>
      <c r="W19" s="23" t="str">
        <f>IFERROR(__xludf.DUMMYFUNCTION("if(countif(filter(Status!$C:$C,Status!$A:$A=$A19),CONCATENATE(W$2,""*""))&gt;0,countif(filter(Status!$C:$C,Status!$A:$A=$A19),CONCATENATE(W$2,""*"")),"""")"),"")</f>
        <v/>
      </c>
      <c r="X19" s="23" t="str">
        <f>IFERROR(__xludf.DUMMYFUNCTION("if(countif(filter(Status!$C:$C,Status!$A:$A=$A19),CONCATENATE(X$2,""*""))&gt;0,countif(filter(Status!$C:$C,Status!$A:$A=$A19),CONCATENATE(X$2,""*"")),"""")"),"")</f>
        <v/>
      </c>
      <c r="Y19" s="23" t="str">
        <f>IFERROR(__xludf.DUMMYFUNCTION("if(countif(filter(Status!$C:$C,Status!$A:$A=$A19),CONCATENATE(Y$2,""*""))&gt;0,countif(filter(Status!$C:$C,Status!$A:$A=$A19),CONCATENATE(Y$2,""*"")),"""")"),"")</f>
        <v/>
      </c>
      <c r="Z19" s="23" t="str">
        <f>IFERROR(__xludf.DUMMYFUNCTION("if(countif(filter(Status!$C:$C,Status!$A:$A=$A19),CONCATENATE(Z$2,""*""))&gt;0,countif(filter(Status!$C:$C,Status!$A:$A=$A19),CONCATENATE(Z$2,""*"")),"""")"),"")</f>
        <v/>
      </c>
      <c r="AA19" s="23">
        <f>IFERROR(__xludf.DUMMYFUNCTION("if((countif(filter(Status!$C:$C,Status!$A:$A=$A19),CONCATENATE(AA$2,""*""))-AB19)&gt;0,(countif(filter(Status!$C:$C,Status!$A:$A=$A19),CONCATENATE(AA$2,""*""))-AB19),"""")"),1.0)</f>
        <v>1</v>
      </c>
      <c r="AB19" s="23">
        <f>IFERROR(__xludf.DUMMYFUNCTION("if(countif(filter(Status!$C:$C,Status!$A:$A=$A19),CONCATENATE(AB$2,""*""))&gt;0,countif(filter(Status!$C:$C,Status!$A:$A=$A19),CONCATENATE(AB$2,""*"")),"""")"),1.0)</f>
        <v>1</v>
      </c>
      <c r="AC19" s="23">
        <f>IFERROR(__xludf.DUMMYFUNCTION("if(countif(filter(Status!$C:$C,Status!$A:$A=$A19),CONCATENATE(AC$2,""*""))&gt;0,countif(filter(Status!$C:$C,Status!$A:$A=$A19),CONCATENATE(AC$2,""*"")),"""")"),1.0)</f>
        <v>1</v>
      </c>
      <c r="AD19" s="23" t="str">
        <f>IFERROR(__xludf.DUMMYFUNCTION("if(countif(filter(Status!$C:$C,Status!$A:$A=$A19),CONCATENATE(AD$2,""*""))&gt;0,countif(filter(Status!$C:$C,Status!$A:$A=$A19),CONCATENATE(AD$2,""*"")),"""")"),"")</f>
        <v/>
      </c>
      <c r="AE19" s="23">
        <f>IFERROR(__xludf.DUMMYFUNCTION("if(countif(filter(Status!$C:$C,Status!$A:$A=$A19),CONCATENATE(AE$2,""*""))&gt;0,countif(filter(Status!$C:$C,Status!$A:$A=$A19),CONCATENATE(AE$2,""*"")),"""")"),1.0)</f>
        <v>1</v>
      </c>
      <c r="AF19" s="23" t="str">
        <f>IFERROR(__xludf.DUMMYFUNCTION("if(countif(filter(Status!$C:$C,Status!$A:$A=$A19),CONCATENATE(AF$2,""*""))&gt;0,countif(filter(Status!$C:$C,Status!$A:$A=$A19),CONCATENATE(AF$2,""*"")),"""")"),"")</f>
        <v/>
      </c>
      <c r="AG19" s="23" t="str">
        <f>IFERROR(__xludf.DUMMYFUNCTION("if(countif(filter(Status!$C:$C,Status!$A:$A=$A19),CONCATENATE(AG$2,""*""))&gt;0,countif(filter(Status!$C:$C,Status!$A:$A=$A19),CONCATENATE(AG$2,""*"")),"""")"),"")</f>
        <v/>
      </c>
      <c r="AH19" s="23" t="str">
        <f>IFERROR(__xludf.DUMMYFUNCTION("if(countif(filter(Status!$C:$C,Status!$A:$A=$A19),CONCATENATE(AH$2,""*""))&gt;0,countif(filter(Status!$C:$C,Status!$A:$A=$A19),CONCATENATE(AH$2,""*"")),"""")"),"")</f>
        <v/>
      </c>
      <c r="AI19" s="23" t="str">
        <f>IFERROR(__xludf.DUMMYFUNCTION("if(countif(filter(Status!$C:$C,Status!$A:$A=$A19),CONCATENATE(AI$2,""*""))&gt;0,countif(filter(Status!$C:$C,Status!$A:$A=$A19),CONCATENATE(AI$2,""*"")),"""")"),"")</f>
        <v/>
      </c>
      <c r="AJ19" s="23" t="str">
        <f>IFERROR(__xludf.DUMMYFUNCTION("if(countif(filter(Status!$C:$C,Status!$A:$A=$A19),CONCATENATE(AJ$2,""*""))&gt;0,countif(filter(Status!$C:$C,Status!$A:$A=$A19),CONCATENATE(AJ$2,""*"")),"""")"),"")</f>
        <v/>
      </c>
      <c r="AK19" s="23" t="str">
        <f>IFERROR(__xludf.DUMMYFUNCTION("if(countif(filter(Status!$C:$C,Status!$A:$A=$A19),CONCATENATE(AK$2,""*""))&gt;0,countif(filter(Status!$C:$C,Status!$A:$A=$A19),CONCATENATE(AK$2,""*"")),"""")"),"")</f>
        <v/>
      </c>
      <c r="AL19" s="23" t="str">
        <f>IFERROR(__xludf.DUMMYFUNCTION("if(countif(filter(Status!$C:$C,Status!$A:$A=$A19),CONCATENATE(AL$2,""*""))&gt;0,countif(filter(Status!$C:$C,Status!$A:$A=$A19),CONCATENATE(AL$2,""*"")),"""")"),"")</f>
        <v/>
      </c>
      <c r="AM19" s="23">
        <f>IFERROR(__xludf.DUMMYFUNCTION("if(countif(filter(Status!$C:$C,Status!$A:$A=$A19),CONCATENATE(AM$2,""*""))&gt;0,countif(filter(Status!$C:$C,Status!$A:$A=$A19),CONCATENATE(AM$2,""*"")),"""")"),3.0)</f>
        <v>3</v>
      </c>
      <c r="AN19" s="23" t="str">
        <f>IFERROR(__xludf.DUMMYFUNCTION("if(countif(filter(Status!$C:$C,Status!$A:$A=$A19),CONCATENATE(AN$2,""*""))&gt;0,countif(filter(Status!$C:$C,Status!$A:$A=$A19),CONCATENATE(AN$2,""*"")),"""")"),"")</f>
        <v/>
      </c>
      <c r="AO19" s="23" t="str">
        <f>IFERROR(__xludf.DUMMYFUNCTION("if(countif(filter(Status!$C:$C,Status!$A:$A=$A19),CONCATENATE(AO$2,""*""))&gt;0,countif(filter(Status!$C:$C,Status!$A:$A=$A19),CONCATENATE(AO$2,""*"")),"""")"),"")</f>
        <v/>
      </c>
      <c r="AP19" s="23">
        <f>IFERROR(__xludf.DUMMYFUNCTION("counta(iferror(filter(Status!C:C,Status!A:A=A19)))"),8.0)</f>
        <v>8</v>
      </c>
      <c r="AQ19" s="23">
        <f t="shared" si="6"/>
        <v>8</v>
      </c>
    </row>
    <row r="20">
      <c r="A20" s="1" t="s">
        <v>430</v>
      </c>
      <c r="B20" s="21">
        <f>IFERROR(__xludf.DUMMYFUNCTION("max(filter(Status!E:E,Status!A:A=A20))"),43676.0)</f>
        <v>43676</v>
      </c>
      <c r="C20" s="23">
        <f t="shared" si="1"/>
        <v>1</v>
      </c>
      <c r="D20" s="23">
        <f t="shared" si="2"/>
        <v>0.6666666667</v>
      </c>
      <c r="E20" s="23" t="str">
        <f t="shared" si="3"/>
        <v/>
      </c>
      <c r="F20" s="23">
        <f t="shared" si="4"/>
        <v>0</v>
      </c>
      <c r="G20" s="25">
        <f t="shared" si="5"/>
        <v>0.7777777778</v>
      </c>
      <c r="J20" s="23">
        <f>IFERROR(__xludf.DUMMYFUNCTION("COUNTA(iferror(filter(Status!H:H,Status!A:A=A20)))"),5.0)</f>
        <v>5</v>
      </c>
      <c r="K20" s="25">
        <f>IFERROR(__xludf.DUMMYFUNCTION("COUNTA(iferror(filter(Status!H:H,Status!A:A=A20,Status!H:H=TRUE)))"),5.0)</f>
        <v>5</v>
      </c>
      <c r="L20" s="23">
        <f>IFERROR(__xludf.DUMMYFUNCTION("COUNTA(iferror(filter(Status!L:L,Status!A:A=A20)))"),3.0)</f>
        <v>3</v>
      </c>
      <c r="M20" s="25">
        <f>IFERROR(__xludf.DUMMYFUNCTION("COUNTA(iferror(filter(Status!L:L,Status!A:A=A20,Status!L:L=TRUE)))"),2.0)</f>
        <v>2</v>
      </c>
      <c r="N20" s="23">
        <f>IFERROR(__xludf.DUMMYFUNCTION("COUNTA(iferror(filter(Status!N:N,Status!A:A=A20,Status!N:N=TRUE)))"),0.0)</f>
        <v>0</v>
      </c>
      <c r="O20" s="25">
        <f>IFERROR(__xludf.DUMMYFUNCTION("COUNTA(iferror(filter(Status!N:N,Status!A:A=A20,Status!N:N=TRUE)))"),0.0)</f>
        <v>0</v>
      </c>
      <c r="P20" s="23">
        <f>IFERROR(__xludf.DUMMYFUNCTION("COUNTA(iferror(filter(Status!P:P,Status!A:A=A20)))"),11.0)</f>
        <v>11</v>
      </c>
      <c r="Q20" s="25">
        <f>IFERROR(__xludf.DUMMYFUNCTION("COUNTA(iferror(filter(Status!P:P,Status!A:A=A20,Status!P:P=TRUE)))"),0.0)</f>
        <v>0</v>
      </c>
      <c r="R20" s="23">
        <f>IFERROR(__xludf.DUMMYFUNCTION("COUNTA(iferror(filter(Status!R:R,Status!A:A=A20)))"),9.0)</f>
        <v>9</v>
      </c>
      <c r="S20" s="25">
        <f>IFERROR(__xludf.DUMMYFUNCTION("COUNTA(iferror(filter(Status!R:R,Status!A:A=A20,Status!R:R=TRUE)))"),7.0)</f>
        <v>7</v>
      </c>
      <c r="V20" s="23" t="str">
        <f>IFERROR(__xludf.DUMMYFUNCTION("if((countif(filter(Status!$C:$C,Status!$A:$A=$A20),CONCATENATE(V$2,""*""))-W20)&gt;0,(countif(filter(Status!$C:$C,Status!$A:$A=$A20),CONCATENATE(V$2,""*""))-W20),"""")"),"")</f>
        <v/>
      </c>
      <c r="W20" s="23" t="str">
        <f>IFERROR(__xludf.DUMMYFUNCTION("if(countif(filter(Status!$C:$C,Status!$A:$A=$A20),CONCATENATE(W$2,""*""))&gt;0,countif(filter(Status!$C:$C,Status!$A:$A=$A20),CONCATENATE(W$2,""*"")),"""")"),"")</f>
        <v/>
      </c>
      <c r="X20" s="23">
        <f>IFERROR(__xludf.DUMMYFUNCTION("if(countif(filter(Status!$C:$C,Status!$A:$A=$A20),CONCATENATE(X$2,""*""))&gt;0,countif(filter(Status!$C:$C,Status!$A:$A=$A20),CONCATENATE(X$2,""*"")),"""")"),4.0)</f>
        <v>4</v>
      </c>
      <c r="Y20" s="23" t="str">
        <f>IFERROR(__xludf.DUMMYFUNCTION("if(countif(filter(Status!$C:$C,Status!$A:$A=$A20),CONCATENATE(Y$2,""*""))&gt;0,countif(filter(Status!$C:$C,Status!$A:$A=$A20),CONCATENATE(Y$2,""*"")),"""")"),"")</f>
        <v/>
      </c>
      <c r="Z20" s="23" t="str">
        <f>IFERROR(__xludf.DUMMYFUNCTION("if(countif(filter(Status!$C:$C,Status!$A:$A=$A20),CONCATENATE(Z$2,""*""))&gt;0,countif(filter(Status!$C:$C,Status!$A:$A=$A20),CONCATENATE(Z$2,""*"")),"""")"),"")</f>
        <v/>
      </c>
      <c r="AA20" s="23">
        <f>IFERROR(__xludf.DUMMYFUNCTION("if((countif(filter(Status!$C:$C,Status!$A:$A=$A20),CONCATENATE(AA$2,""*""))-AB20)&gt;0,(countif(filter(Status!$C:$C,Status!$A:$A=$A20),CONCATENATE(AA$2,""*""))-AB20),"""")"),2.0)</f>
        <v>2</v>
      </c>
      <c r="AB20" s="23">
        <f>IFERROR(__xludf.DUMMYFUNCTION("if(countif(filter(Status!$C:$C,Status!$A:$A=$A20),CONCATENATE(AB$2,""*""))&gt;0,countif(filter(Status!$C:$C,Status!$A:$A=$A20),CONCATENATE(AB$2,""*"")),"""")"),2.0)</f>
        <v>2</v>
      </c>
      <c r="AC20" s="23">
        <f>IFERROR(__xludf.DUMMYFUNCTION("if(countif(filter(Status!$C:$C,Status!$A:$A=$A20),CONCATENATE(AC$2,""*""))&gt;0,countif(filter(Status!$C:$C,Status!$A:$A=$A20),CONCATENATE(AC$2,""*"")),"""")"),1.0)</f>
        <v>1</v>
      </c>
      <c r="AD20" s="23" t="str">
        <f>IFERROR(__xludf.DUMMYFUNCTION("if(countif(filter(Status!$C:$C,Status!$A:$A=$A20),CONCATENATE(AD$2,""*""))&gt;0,countif(filter(Status!$C:$C,Status!$A:$A=$A20),CONCATENATE(AD$2,""*"")),"""")"),"")</f>
        <v/>
      </c>
      <c r="AE20" s="23">
        <f>IFERROR(__xludf.DUMMYFUNCTION("if(countif(filter(Status!$C:$C,Status!$A:$A=$A20),CONCATENATE(AE$2,""*""))&gt;0,countif(filter(Status!$C:$C,Status!$A:$A=$A20),CONCATENATE(AE$2,""*"")),"""")"),1.0)</f>
        <v>1</v>
      </c>
      <c r="AF20" s="23" t="str">
        <f>IFERROR(__xludf.DUMMYFUNCTION("if(countif(filter(Status!$C:$C,Status!$A:$A=$A20),CONCATENATE(AF$2,""*""))&gt;0,countif(filter(Status!$C:$C,Status!$A:$A=$A20),CONCATENATE(AF$2,""*"")),"""")"),"")</f>
        <v/>
      </c>
      <c r="AG20" s="23" t="str">
        <f>IFERROR(__xludf.DUMMYFUNCTION("if(countif(filter(Status!$C:$C,Status!$A:$A=$A20),CONCATENATE(AG$2,""*""))&gt;0,countif(filter(Status!$C:$C,Status!$A:$A=$A20),CONCATENATE(AG$2,""*"")),"""")"),"")</f>
        <v/>
      </c>
      <c r="AH20" s="23" t="str">
        <f>IFERROR(__xludf.DUMMYFUNCTION("if(countif(filter(Status!$C:$C,Status!$A:$A=$A20),CONCATENATE(AH$2,""*""))&gt;0,countif(filter(Status!$C:$C,Status!$A:$A=$A20),CONCATENATE(AH$2,""*"")),"""")"),"")</f>
        <v/>
      </c>
      <c r="AI20" s="23" t="str">
        <f>IFERROR(__xludf.DUMMYFUNCTION("if(countif(filter(Status!$C:$C,Status!$A:$A=$A20),CONCATENATE(AI$2,""*""))&gt;0,countif(filter(Status!$C:$C,Status!$A:$A=$A20),CONCATENATE(AI$2,""*"")),"""")"),"")</f>
        <v/>
      </c>
      <c r="AJ20" s="23">
        <f>IFERROR(__xludf.DUMMYFUNCTION("if(countif(filter(Status!$C:$C,Status!$A:$A=$A20),CONCATENATE(AJ$2,""*""))&gt;0,countif(filter(Status!$C:$C,Status!$A:$A=$A20),CONCATENATE(AJ$2,""*"")),"""")"),2.0)</f>
        <v>2</v>
      </c>
      <c r="AK20" s="23" t="str">
        <f>IFERROR(__xludf.DUMMYFUNCTION("if(countif(filter(Status!$C:$C,Status!$A:$A=$A20),CONCATENATE(AK$2,""*""))&gt;0,countif(filter(Status!$C:$C,Status!$A:$A=$A20),CONCATENATE(AK$2,""*"")),"""")"),"")</f>
        <v/>
      </c>
      <c r="AL20" s="23" t="str">
        <f>IFERROR(__xludf.DUMMYFUNCTION("if(countif(filter(Status!$C:$C,Status!$A:$A=$A20),CONCATENATE(AL$2,""*""))&gt;0,countif(filter(Status!$C:$C,Status!$A:$A=$A20),CONCATENATE(AL$2,""*"")),"""")"),"")</f>
        <v/>
      </c>
      <c r="AM20" s="23" t="str">
        <f>IFERROR(__xludf.DUMMYFUNCTION("if(countif(filter(Status!$C:$C,Status!$A:$A=$A20),CONCATENATE(AM$2,""*""))&gt;0,countif(filter(Status!$C:$C,Status!$A:$A=$A20),CONCATENATE(AM$2,""*"")),"""")"),"")</f>
        <v/>
      </c>
      <c r="AN20" s="23" t="str">
        <f>IFERROR(__xludf.DUMMYFUNCTION("if(countif(filter(Status!$C:$C,Status!$A:$A=$A20),CONCATENATE(AN$2,""*""))&gt;0,countif(filter(Status!$C:$C,Status!$A:$A=$A20),CONCATENATE(AN$2,""*"")),"""")"),"")</f>
        <v/>
      </c>
      <c r="AO20" s="23" t="str">
        <f>IFERROR(__xludf.DUMMYFUNCTION("if(countif(filter(Status!$C:$C,Status!$A:$A=$A20),CONCATENATE(AO$2,""*""))&gt;0,countif(filter(Status!$C:$C,Status!$A:$A=$A20),CONCATENATE(AO$2,""*"")),"""")"),"")</f>
        <v/>
      </c>
      <c r="AP20" s="23">
        <f>IFERROR(__xludf.DUMMYFUNCTION("counta(iferror(filter(Status!C:C,Status!A:A=A20)))"),12.0)</f>
        <v>12</v>
      </c>
      <c r="AQ20" s="23">
        <f t="shared" si="6"/>
        <v>12</v>
      </c>
    </row>
    <row r="21">
      <c r="A21" s="1" t="s">
        <v>434</v>
      </c>
      <c r="B21" s="21">
        <f>IFERROR(__xludf.DUMMYFUNCTION("max(filter(Status!E:E,Status!A:A=A21))"),43677.0)</f>
        <v>43677</v>
      </c>
      <c r="C21" s="23">
        <f t="shared" si="1"/>
        <v>1</v>
      </c>
      <c r="D21" s="23">
        <f t="shared" si="2"/>
        <v>0.6666666667</v>
      </c>
      <c r="E21" s="23" t="str">
        <f t="shared" si="3"/>
        <v/>
      </c>
      <c r="F21" s="23">
        <f t="shared" si="4"/>
        <v>0</v>
      </c>
      <c r="G21" s="25">
        <f t="shared" si="5"/>
        <v>0.75</v>
      </c>
      <c r="J21" s="23">
        <f>IFERROR(__xludf.DUMMYFUNCTION("COUNTA(iferror(filter(Status!H:H,Status!A:A=A21)))"),5.0)</f>
        <v>5</v>
      </c>
      <c r="K21" s="25">
        <f>IFERROR(__xludf.DUMMYFUNCTION("COUNTA(iferror(filter(Status!H:H,Status!A:A=A21,Status!H:H=TRUE)))"),5.0)</f>
        <v>5</v>
      </c>
      <c r="L21" s="23">
        <f>IFERROR(__xludf.DUMMYFUNCTION("COUNTA(iferror(filter(Status!L:L,Status!A:A=A21)))"),3.0)</f>
        <v>3</v>
      </c>
      <c r="M21" s="25">
        <f>IFERROR(__xludf.DUMMYFUNCTION("COUNTA(iferror(filter(Status!L:L,Status!A:A=A21,Status!L:L=TRUE)))"),2.0)</f>
        <v>2</v>
      </c>
      <c r="N21" s="23">
        <f>IFERROR(__xludf.DUMMYFUNCTION("COUNTA(iferror(filter(Status!N:N,Status!A:A=A21,Status!N:N=TRUE)))"),0.0)</f>
        <v>0</v>
      </c>
      <c r="O21" s="25">
        <f>IFERROR(__xludf.DUMMYFUNCTION("COUNTA(iferror(filter(Status!N:N,Status!A:A=A21,Status!N:N=TRUE)))"),0.0)</f>
        <v>0</v>
      </c>
      <c r="P21" s="23">
        <f>IFERROR(__xludf.DUMMYFUNCTION("COUNTA(iferror(filter(Status!P:P,Status!A:A=A21)))"),6.0)</f>
        <v>6</v>
      </c>
      <c r="Q21" s="25">
        <f>IFERROR(__xludf.DUMMYFUNCTION("COUNTA(iferror(filter(Status!P:P,Status!A:A=A21,Status!P:P=TRUE)))"),0.0)</f>
        <v>0</v>
      </c>
      <c r="R21" s="23">
        <f>IFERROR(__xludf.DUMMYFUNCTION("COUNTA(iferror(filter(Status!R:R,Status!A:A=A21)))"),4.0)</f>
        <v>4</v>
      </c>
      <c r="S21" s="25">
        <f>IFERROR(__xludf.DUMMYFUNCTION("COUNTA(iferror(filter(Status!R:R,Status!A:A=A21,Status!R:R=TRUE)))"),3.0)</f>
        <v>3</v>
      </c>
      <c r="V21" s="23">
        <f>IFERROR(__xludf.DUMMYFUNCTION("if((countif(filter(Status!$C:$C,Status!$A:$A=$A21),CONCATENATE(V$2,""*""))-W21)&gt;0,(countif(filter(Status!$C:$C,Status!$A:$A=$A21),CONCATENATE(V$2,""*""))-W21),"""")"),1.0)</f>
        <v>1</v>
      </c>
      <c r="W21" s="23" t="str">
        <f>IFERROR(__xludf.DUMMYFUNCTION("if(countif(filter(Status!$C:$C,Status!$A:$A=$A21),CONCATENATE(W$2,""*""))&gt;0,countif(filter(Status!$C:$C,Status!$A:$A=$A21),CONCATENATE(W$2,""*"")),"""")"),"")</f>
        <v/>
      </c>
      <c r="X21" s="23" t="str">
        <f>IFERROR(__xludf.DUMMYFUNCTION("if(countif(filter(Status!$C:$C,Status!$A:$A=$A21),CONCATENATE(X$2,""*""))&gt;0,countif(filter(Status!$C:$C,Status!$A:$A=$A21),CONCATENATE(X$2,""*"")),"""")"),"")</f>
        <v/>
      </c>
      <c r="Y21" s="23" t="str">
        <f>IFERROR(__xludf.DUMMYFUNCTION("if(countif(filter(Status!$C:$C,Status!$A:$A=$A21),CONCATENATE(Y$2,""*""))&gt;0,countif(filter(Status!$C:$C,Status!$A:$A=$A21),CONCATENATE(Y$2,""*"")),"""")"),"")</f>
        <v/>
      </c>
      <c r="Z21" s="23" t="str">
        <f>IFERROR(__xludf.DUMMYFUNCTION("if(countif(filter(Status!$C:$C,Status!$A:$A=$A21),CONCATENATE(Z$2,""*""))&gt;0,countif(filter(Status!$C:$C,Status!$A:$A=$A21),CONCATENATE(Z$2,""*"")),"""")"),"")</f>
        <v/>
      </c>
      <c r="AA21" s="23">
        <f>IFERROR(__xludf.DUMMYFUNCTION("if((countif(filter(Status!$C:$C,Status!$A:$A=$A21),CONCATENATE(AA$2,""*""))-AB21)&gt;0,(countif(filter(Status!$C:$C,Status!$A:$A=$A21),CONCATENATE(AA$2,""*""))-AB21),"""")"),1.0)</f>
        <v>1</v>
      </c>
      <c r="AB21" s="23">
        <f>IFERROR(__xludf.DUMMYFUNCTION("if(countif(filter(Status!$C:$C,Status!$A:$A=$A21),CONCATENATE(AB$2,""*""))&gt;0,countif(filter(Status!$C:$C,Status!$A:$A=$A21),CONCATENATE(AB$2,""*"")),"""")"),1.0)</f>
        <v>1</v>
      </c>
      <c r="AC21" s="23">
        <f>IFERROR(__xludf.DUMMYFUNCTION("if(countif(filter(Status!$C:$C,Status!$A:$A=$A21),CONCATENATE(AC$2,""*""))&gt;0,countif(filter(Status!$C:$C,Status!$A:$A=$A21),CONCATENATE(AC$2,""*"")),"""")"),1.0)</f>
        <v>1</v>
      </c>
      <c r="AD21" s="23" t="str">
        <f>IFERROR(__xludf.DUMMYFUNCTION("if(countif(filter(Status!$C:$C,Status!$A:$A=$A21),CONCATENATE(AD$2,""*""))&gt;0,countif(filter(Status!$C:$C,Status!$A:$A=$A21),CONCATENATE(AD$2,""*"")),"""")"),"")</f>
        <v/>
      </c>
      <c r="AE21" s="23">
        <f>IFERROR(__xludf.DUMMYFUNCTION("if(countif(filter(Status!$C:$C,Status!$A:$A=$A21),CONCATENATE(AE$2,""*""))&gt;0,countif(filter(Status!$C:$C,Status!$A:$A=$A21),CONCATENATE(AE$2,""*"")),"""")"),1.0)</f>
        <v>1</v>
      </c>
      <c r="AF21" s="23" t="str">
        <f>IFERROR(__xludf.DUMMYFUNCTION("if(countif(filter(Status!$C:$C,Status!$A:$A=$A21),CONCATENATE(AF$2,""*""))&gt;0,countif(filter(Status!$C:$C,Status!$A:$A=$A21),CONCATENATE(AF$2,""*"")),"""")"),"")</f>
        <v/>
      </c>
      <c r="AG21" s="23" t="str">
        <f>IFERROR(__xludf.DUMMYFUNCTION("if(countif(filter(Status!$C:$C,Status!$A:$A=$A21),CONCATENATE(AG$2,""*""))&gt;0,countif(filter(Status!$C:$C,Status!$A:$A=$A21),CONCATENATE(AG$2,""*"")),"""")"),"")</f>
        <v/>
      </c>
      <c r="AH21" s="23" t="str">
        <f>IFERROR(__xludf.DUMMYFUNCTION("if(countif(filter(Status!$C:$C,Status!$A:$A=$A21),CONCATENATE(AH$2,""*""))&gt;0,countif(filter(Status!$C:$C,Status!$A:$A=$A21),CONCATENATE(AH$2,""*"")),"""")"),"")</f>
        <v/>
      </c>
      <c r="AI21" s="23" t="str">
        <f>IFERROR(__xludf.DUMMYFUNCTION("if(countif(filter(Status!$C:$C,Status!$A:$A=$A21),CONCATENATE(AI$2,""*""))&gt;0,countif(filter(Status!$C:$C,Status!$A:$A=$A21),CONCATENATE(AI$2,""*"")),"""")"),"")</f>
        <v/>
      </c>
      <c r="AJ21" s="23" t="str">
        <f>IFERROR(__xludf.DUMMYFUNCTION("if(countif(filter(Status!$C:$C,Status!$A:$A=$A21),CONCATENATE(AJ$2,""*""))&gt;0,countif(filter(Status!$C:$C,Status!$A:$A=$A21),CONCATENATE(AJ$2,""*"")),"""")"),"")</f>
        <v/>
      </c>
      <c r="AK21" s="23" t="str">
        <f>IFERROR(__xludf.DUMMYFUNCTION("if(countif(filter(Status!$C:$C,Status!$A:$A=$A21),CONCATENATE(AK$2,""*""))&gt;0,countif(filter(Status!$C:$C,Status!$A:$A=$A21),CONCATENATE(AK$2,""*"")),"""")"),"")</f>
        <v/>
      </c>
      <c r="AL21" s="23" t="str">
        <f>IFERROR(__xludf.DUMMYFUNCTION("if(countif(filter(Status!$C:$C,Status!$A:$A=$A21),CONCATENATE(AL$2,""*""))&gt;0,countif(filter(Status!$C:$C,Status!$A:$A=$A21),CONCATENATE(AL$2,""*"")),"""")"),"")</f>
        <v/>
      </c>
      <c r="AM21" s="23" t="str">
        <f>IFERROR(__xludf.DUMMYFUNCTION("if(countif(filter(Status!$C:$C,Status!$A:$A=$A21),CONCATENATE(AM$2,""*""))&gt;0,countif(filter(Status!$C:$C,Status!$A:$A=$A21),CONCATENATE(AM$2,""*"")),"""")"),"")</f>
        <v/>
      </c>
      <c r="AN21" s="23" t="str">
        <f>IFERROR(__xludf.DUMMYFUNCTION("if(countif(filter(Status!$C:$C,Status!$A:$A=$A21),CONCATENATE(AN$2,""*""))&gt;0,countif(filter(Status!$C:$C,Status!$A:$A=$A21),CONCATENATE(AN$2,""*"")),"""")"),"")</f>
        <v/>
      </c>
      <c r="AO21" s="23">
        <f>IFERROR(__xludf.DUMMYFUNCTION("if(countif(filter(Status!$C:$C,Status!$A:$A=$A21),CONCATENATE(AO$2,""*""))&gt;0,countif(filter(Status!$C:$C,Status!$A:$A=$A21),CONCATENATE(AO$2,""*"")),"""")"),2.0)</f>
        <v>2</v>
      </c>
      <c r="AP21" s="23">
        <f>IFERROR(__xludf.DUMMYFUNCTION("counta(iferror(filter(Status!C:C,Status!A:A=A21)))"),7.0)</f>
        <v>7</v>
      </c>
      <c r="AQ21" s="23">
        <f t="shared" si="6"/>
        <v>7</v>
      </c>
    </row>
    <row r="22">
      <c r="A22" s="1" t="s">
        <v>439</v>
      </c>
      <c r="B22" s="21">
        <f>IFERROR(__xludf.DUMMYFUNCTION("max(filter(Status!E:E,Status!A:A=A22))"),43678.0)</f>
        <v>43678</v>
      </c>
      <c r="C22" s="23">
        <f t="shared" si="1"/>
        <v>1</v>
      </c>
      <c r="D22" s="23" t="str">
        <f t="shared" si="2"/>
        <v/>
      </c>
      <c r="E22" s="23">
        <f t="shared" si="3"/>
        <v>1</v>
      </c>
      <c r="F22" s="23">
        <f t="shared" si="4"/>
        <v>0.5714285714</v>
      </c>
      <c r="G22" s="25">
        <f t="shared" si="5"/>
        <v>0.8571428571</v>
      </c>
      <c r="J22" s="23">
        <f>IFERROR(__xludf.DUMMYFUNCTION("COUNTA(iferror(filter(Status!H:H,Status!A:A=A22)))"),2.0)</f>
        <v>2</v>
      </c>
      <c r="K22" s="25">
        <f>IFERROR(__xludf.DUMMYFUNCTION("COUNTA(iferror(filter(Status!H:H,Status!A:A=A22,Status!H:H=TRUE)))"),2.0)</f>
        <v>2</v>
      </c>
      <c r="L22" s="23">
        <f>IFERROR(__xludf.DUMMYFUNCTION("COUNTA(iferror(filter(Status!L:L,Status!A:A=A22)))"),0.0)</f>
        <v>0</v>
      </c>
      <c r="M22" s="25">
        <f>IFERROR(__xludf.DUMMYFUNCTION("COUNTA(iferror(filter(Status!L:L,Status!A:A=A22,Status!L:L=TRUE)))"),0.0)</f>
        <v>0</v>
      </c>
      <c r="N22" s="23">
        <f>IFERROR(__xludf.DUMMYFUNCTION("COUNTA(iferror(filter(Status!N:N,Status!A:A=A22,Status!N:N=TRUE)))"),5.0)</f>
        <v>5</v>
      </c>
      <c r="O22" s="25">
        <f>IFERROR(__xludf.DUMMYFUNCTION("COUNTA(iferror(filter(Status!N:N,Status!A:A=A22,Status!N:N=TRUE)))"),5.0)</f>
        <v>5</v>
      </c>
      <c r="P22" s="23">
        <f>IFERROR(__xludf.DUMMYFUNCTION("COUNTA(iferror(filter(Status!P:P,Status!A:A=A22)))"),7.0)</f>
        <v>7</v>
      </c>
      <c r="Q22" s="25">
        <f>IFERROR(__xludf.DUMMYFUNCTION("COUNTA(iferror(filter(Status!P:P,Status!A:A=A22,Status!P:P=TRUE)))"),4.0)</f>
        <v>4</v>
      </c>
      <c r="R22" s="23">
        <f>IFERROR(__xludf.DUMMYFUNCTION("COUNTA(iferror(filter(Status!R:R,Status!A:A=A22)))"),7.0)</f>
        <v>7</v>
      </c>
      <c r="S22" s="25">
        <f>IFERROR(__xludf.DUMMYFUNCTION("COUNTA(iferror(filter(Status!R:R,Status!A:A=A22,Status!R:R=TRUE)))"),6.0)</f>
        <v>6</v>
      </c>
      <c r="V22" s="23" t="str">
        <f>IFERROR(__xludf.DUMMYFUNCTION("if((countif(filter(Status!$C:$C,Status!$A:$A=$A22),CONCATENATE(V$2,""*""))-W22)&gt;0,(countif(filter(Status!$C:$C,Status!$A:$A=$A22),CONCATENATE(V$2,""*""))-W22),"""")"),"")</f>
        <v/>
      </c>
      <c r="W22" s="23" t="str">
        <f>IFERROR(__xludf.DUMMYFUNCTION("if(countif(filter(Status!$C:$C,Status!$A:$A=$A22),CONCATENATE(W$2,""*""))&gt;0,countif(filter(Status!$C:$C,Status!$A:$A=$A22),CONCATENATE(W$2,""*"")),"""")"),"")</f>
        <v/>
      </c>
      <c r="X22" s="23">
        <f>IFERROR(__xludf.DUMMYFUNCTION("if(countif(filter(Status!$C:$C,Status!$A:$A=$A22),CONCATENATE(X$2,""*""))&gt;0,countif(filter(Status!$C:$C,Status!$A:$A=$A22),CONCATENATE(X$2,""*"")),"""")"),4.0)</f>
        <v>4</v>
      </c>
      <c r="Y22" s="23" t="str">
        <f>IFERROR(__xludf.DUMMYFUNCTION("if(countif(filter(Status!$C:$C,Status!$A:$A=$A22),CONCATENATE(Y$2,""*""))&gt;0,countif(filter(Status!$C:$C,Status!$A:$A=$A22),CONCATENATE(Y$2,""*"")),"""")"),"")</f>
        <v/>
      </c>
      <c r="Z22" s="23" t="str">
        <f>IFERROR(__xludf.DUMMYFUNCTION("if(countif(filter(Status!$C:$C,Status!$A:$A=$A22),CONCATENATE(Z$2,""*""))&gt;0,countif(filter(Status!$C:$C,Status!$A:$A=$A22),CONCATENATE(Z$2,""*"")),"""")"),"")</f>
        <v/>
      </c>
      <c r="AA22" s="23">
        <f>IFERROR(__xludf.DUMMYFUNCTION("if((countif(filter(Status!$C:$C,Status!$A:$A=$A22),CONCATENATE(AA$2,""*""))-AB22)&gt;0,(countif(filter(Status!$C:$C,Status!$A:$A=$A22),CONCATENATE(AA$2,""*""))-AB22),"""")"),1.0)</f>
        <v>1</v>
      </c>
      <c r="AB22" s="23">
        <f>IFERROR(__xludf.DUMMYFUNCTION("if(countif(filter(Status!$C:$C,Status!$A:$A=$A22),CONCATENATE(AB$2,""*""))&gt;0,countif(filter(Status!$C:$C,Status!$A:$A=$A22),CONCATENATE(AB$2,""*"")),"""")"),1.0)</f>
        <v>1</v>
      </c>
      <c r="AC22" s="23">
        <f>IFERROR(__xludf.DUMMYFUNCTION("if(countif(filter(Status!$C:$C,Status!$A:$A=$A22),CONCATENATE(AC$2,""*""))&gt;0,countif(filter(Status!$C:$C,Status!$A:$A=$A22),CONCATENATE(AC$2,""*"")),"""")"),1.0)</f>
        <v>1</v>
      </c>
      <c r="AD22" s="23" t="str">
        <f>IFERROR(__xludf.DUMMYFUNCTION("if(countif(filter(Status!$C:$C,Status!$A:$A=$A22),CONCATENATE(AD$2,""*""))&gt;0,countif(filter(Status!$C:$C,Status!$A:$A=$A22),CONCATENATE(AD$2,""*"")),"""")"),"")</f>
        <v/>
      </c>
      <c r="AE22" s="23">
        <f>IFERROR(__xludf.DUMMYFUNCTION("if(countif(filter(Status!$C:$C,Status!$A:$A=$A22),CONCATENATE(AE$2,""*""))&gt;0,countif(filter(Status!$C:$C,Status!$A:$A=$A22),CONCATENATE(AE$2,""*"")),"""")"),1.0)</f>
        <v>1</v>
      </c>
      <c r="AF22" s="23" t="str">
        <f>IFERROR(__xludf.DUMMYFUNCTION("if(countif(filter(Status!$C:$C,Status!$A:$A=$A22),CONCATENATE(AF$2,""*""))&gt;0,countif(filter(Status!$C:$C,Status!$A:$A=$A22),CONCATENATE(AF$2,""*"")),"""")"),"")</f>
        <v/>
      </c>
      <c r="AG22" s="23" t="str">
        <f>IFERROR(__xludf.DUMMYFUNCTION("if(countif(filter(Status!$C:$C,Status!$A:$A=$A22),CONCATENATE(AG$2,""*""))&gt;0,countif(filter(Status!$C:$C,Status!$A:$A=$A22),CONCATENATE(AG$2,""*"")),"""")"),"")</f>
        <v/>
      </c>
      <c r="AH22" s="23" t="str">
        <f>IFERROR(__xludf.DUMMYFUNCTION("if(countif(filter(Status!$C:$C,Status!$A:$A=$A22),CONCATENATE(AH$2,""*""))&gt;0,countif(filter(Status!$C:$C,Status!$A:$A=$A22),CONCATENATE(AH$2,""*"")),"""")"),"")</f>
        <v/>
      </c>
      <c r="AI22" s="23" t="str">
        <f>IFERROR(__xludf.DUMMYFUNCTION("if(countif(filter(Status!$C:$C,Status!$A:$A=$A22),CONCATENATE(AI$2,""*""))&gt;0,countif(filter(Status!$C:$C,Status!$A:$A=$A22),CONCATENATE(AI$2,""*"")),"""")"),"")</f>
        <v/>
      </c>
      <c r="AJ22" s="23" t="str">
        <f>IFERROR(__xludf.DUMMYFUNCTION("if(countif(filter(Status!$C:$C,Status!$A:$A=$A22),CONCATENATE(AJ$2,""*""))&gt;0,countif(filter(Status!$C:$C,Status!$A:$A=$A22),CONCATENATE(AJ$2,""*"")),"""")"),"")</f>
        <v/>
      </c>
      <c r="AK22" s="23" t="str">
        <f>IFERROR(__xludf.DUMMYFUNCTION("if(countif(filter(Status!$C:$C,Status!$A:$A=$A22),CONCATENATE(AK$2,""*""))&gt;0,countif(filter(Status!$C:$C,Status!$A:$A=$A22),CONCATENATE(AK$2,""*"")),"""")"),"")</f>
        <v/>
      </c>
      <c r="AL22" s="23" t="str">
        <f>IFERROR(__xludf.DUMMYFUNCTION("if(countif(filter(Status!$C:$C,Status!$A:$A=$A22),CONCATENATE(AL$2,""*""))&gt;0,countif(filter(Status!$C:$C,Status!$A:$A=$A22),CONCATENATE(AL$2,""*"")),"""")"),"")</f>
        <v/>
      </c>
      <c r="AM22" s="23" t="str">
        <f>IFERROR(__xludf.DUMMYFUNCTION("if(countif(filter(Status!$C:$C,Status!$A:$A=$A22),CONCATENATE(AM$2,""*""))&gt;0,countif(filter(Status!$C:$C,Status!$A:$A=$A22),CONCATENATE(AM$2,""*"")),"""")"),"")</f>
        <v/>
      </c>
      <c r="AN22" s="23" t="str">
        <f>IFERROR(__xludf.DUMMYFUNCTION("if(countif(filter(Status!$C:$C,Status!$A:$A=$A22),CONCATENATE(AN$2,""*""))&gt;0,countif(filter(Status!$C:$C,Status!$A:$A=$A22),CONCATENATE(AN$2,""*"")),"""")"),"")</f>
        <v/>
      </c>
      <c r="AO22" s="23" t="str">
        <f>IFERROR(__xludf.DUMMYFUNCTION("if(countif(filter(Status!$C:$C,Status!$A:$A=$A22),CONCATENATE(AO$2,""*""))&gt;0,countif(filter(Status!$C:$C,Status!$A:$A=$A22),CONCATENATE(AO$2,""*"")),"""")"),"")</f>
        <v/>
      </c>
      <c r="AP22" s="23">
        <f>IFERROR(__xludf.DUMMYFUNCTION("counta(iferror(filter(Status!C:C,Status!A:A=A22)))"),8.0)</f>
        <v>8</v>
      </c>
      <c r="AQ22" s="23">
        <f t="shared" si="6"/>
        <v>8</v>
      </c>
    </row>
    <row r="23">
      <c r="A23" s="1" t="s">
        <v>443</v>
      </c>
      <c r="B23" s="21">
        <f>IFERROR(__xludf.DUMMYFUNCTION("max(filter(Status!E:E,Status!A:A=A23))"),43682.0)</f>
        <v>43682</v>
      </c>
      <c r="C23" s="23">
        <f t="shared" si="1"/>
        <v>1</v>
      </c>
      <c r="D23" s="23">
        <f t="shared" si="2"/>
        <v>0.25</v>
      </c>
      <c r="E23" s="23">
        <f t="shared" si="3"/>
        <v>1</v>
      </c>
      <c r="F23" s="23">
        <f t="shared" si="4"/>
        <v>0.4444444444</v>
      </c>
      <c r="G23" s="25">
        <f t="shared" si="5"/>
        <v>0.6666666667</v>
      </c>
      <c r="J23" s="23">
        <f>IFERROR(__xludf.DUMMYFUNCTION("COUNTA(iferror(filter(Status!H:H,Status!A:A=A23)))"),6.0)</f>
        <v>6</v>
      </c>
      <c r="K23" s="25">
        <f>IFERROR(__xludf.DUMMYFUNCTION("COUNTA(iferror(filter(Status!H:H,Status!A:A=A23,Status!H:H=TRUE)))"),6.0)</f>
        <v>6</v>
      </c>
      <c r="L23" s="23">
        <f>IFERROR(__xludf.DUMMYFUNCTION("COUNTA(iferror(filter(Status!L:L,Status!A:A=A23)))"),4.0)</f>
        <v>4</v>
      </c>
      <c r="M23" s="25">
        <f>IFERROR(__xludf.DUMMYFUNCTION("COUNTA(iferror(filter(Status!L:L,Status!A:A=A23,Status!L:L=TRUE)))"),1.0)</f>
        <v>1</v>
      </c>
      <c r="N23" s="23">
        <f>IFERROR(__xludf.DUMMYFUNCTION("COUNTA(iferror(filter(Status!N:N,Status!A:A=A23,Status!N:N=TRUE)))"),4.0)</f>
        <v>4</v>
      </c>
      <c r="O23" s="25">
        <f>IFERROR(__xludf.DUMMYFUNCTION("COUNTA(iferror(filter(Status!N:N,Status!A:A=A23,Status!N:N=TRUE)))"),4.0)</f>
        <v>4</v>
      </c>
      <c r="P23" s="23">
        <f>IFERROR(__xludf.DUMMYFUNCTION("COUNTA(iferror(filter(Status!P:P,Status!A:A=A23)))"),9.0)</f>
        <v>9</v>
      </c>
      <c r="Q23" s="25">
        <f>IFERROR(__xludf.DUMMYFUNCTION("COUNTA(iferror(filter(Status!P:P,Status!A:A=A23,Status!P:P=TRUE)))"),4.0)</f>
        <v>4</v>
      </c>
      <c r="R23" s="23">
        <f>IFERROR(__xludf.DUMMYFUNCTION("COUNTA(iferror(filter(Status!R:R,Status!A:A=A23)))"),6.0)</f>
        <v>6</v>
      </c>
      <c r="S23" s="25">
        <f>IFERROR(__xludf.DUMMYFUNCTION("COUNTA(iferror(filter(Status!R:R,Status!A:A=A23,Status!R:R=TRUE)))"),4.0)</f>
        <v>4</v>
      </c>
      <c r="V23" s="23">
        <f>IFERROR(__xludf.DUMMYFUNCTION("if((countif(filter(Status!$C:$C,Status!$A:$A=$A23),CONCATENATE(V$2,""*""))-W23)&gt;0,(countif(filter(Status!$C:$C,Status!$A:$A=$A23),CONCATENATE(V$2,""*""))-W23),"""")"),2.0)</f>
        <v>2</v>
      </c>
      <c r="W23" s="23" t="str">
        <f>IFERROR(__xludf.DUMMYFUNCTION("if(countif(filter(Status!$C:$C,Status!$A:$A=$A23),CONCATENATE(W$2,""*""))&gt;0,countif(filter(Status!$C:$C,Status!$A:$A=$A23),CONCATENATE(W$2,""*"")),"""")"),"")</f>
        <v/>
      </c>
      <c r="X23" s="23" t="str">
        <f>IFERROR(__xludf.DUMMYFUNCTION("if(countif(filter(Status!$C:$C,Status!$A:$A=$A23),CONCATENATE(X$2,""*""))&gt;0,countif(filter(Status!$C:$C,Status!$A:$A=$A23),CONCATENATE(X$2,""*"")),"""")"),"")</f>
        <v/>
      </c>
      <c r="Y23" s="23" t="str">
        <f>IFERROR(__xludf.DUMMYFUNCTION("if(countif(filter(Status!$C:$C,Status!$A:$A=$A23),CONCATENATE(Y$2,""*""))&gt;0,countif(filter(Status!$C:$C,Status!$A:$A=$A23),CONCATENATE(Y$2,""*"")),"""")"),"")</f>
        <v/>
      </c>
      <c r="Z23" s="23" t="str">
        <f>IFERROR(__xludf.DUMMYFUNCTION("if(countif(filter(Status!$C:$C,Status!$A:$A=$A23),CONCATENATE(Z$2,""*""))&gt;0,countif(filter(Status!$C:$C,Status!$A:$A=$A23),CONCATENATE(Z$2,""*"")),"""")"),"")</f>
        <v/>
      </c>
      <c r="AA23" s="23">
        <f>IFERROR(__xludf.DUMMYFUNCTION("if((countif(filter(Status!$C:$C,Status!$A:$A=$A23),CONCATENATE(AA$2,""*""))-AB23)&gt;0,(countif(filter(Status!$C:$C,Status!$A:$A=$A23),CONCATENATE(AA$2,""*""))-AB23),"""")"),2.0)</f>
        <v>2</v>
      </c>
      <c r="AB23" s="23">
        <f>IFERROR(__xludf.DUMMYFUNCTION("if(countif(filter(Status!$C:$C,Status!$A:$A=$A23),CONCATENATE(AB$2,""*""))&gt;0,countif(filter(Status!$C:$C,Status!$A:$A=$A23),CONCATENATE(AB$2,""*"")),"""")"),2.0)</f>
        <v>2</v>
      </c>
      <c r="AC23" s="23">
        <f>IFERROR(__xludf.DUMMYFUNCTION("if(countif(filter(Status!$C:$C,Status!$A:$A=$A23),CONCATENATE(AC$2,""*""))&gt;0,countif(filter(Status!$C:$C,Status!$A:$A=$A23),CONCATENATE(AC$2,""*"")),"""")"),1.0)</f>
        <v>1</v>
      </c>
      <c r="AD23" s="23" t="str">
        <f>IFERROR(__xludf.DUMMYFUNCTION("if(countif(filter(Status!$C:$C,Status!$A:$A=$A23),CONCATENATE(AD$2,""*""))&gt;0,countif(filter(Status!$C:$C,Status!$A:$A=$A23),CONCATENATE(AD$2,""*"")),"""")"),"")</f>
        <v/>
      </c>
      <c r="AE23" s="23">
        <f>IFERROR(__xludf.DUMMYFUNCTION("if(countif(filter(Status!$C:$C,Status!$A:$A=$A23),CONCATENATE(AE$2,""*""))&gt;0,countif(filter(Status!$C:$C,Status!$A:$A=$A23),CONCATENATE(AE$2,""*"")),"""")"),1.0)</f>
        <v>1</v>
      </c>
      <c r="AF23" s="23" t="str">
        <f>IFERROR(__xludf.DUMMYFUNCTION("if(countif(filter(Status!$C:$C,Status!$A:$A=$A23),CONCATENATE(AF$2,""*""))&gt;0,countif(filter(Status!$C:$C,Status!$A:$A=$A23),CONCATENATE(AF$2,""*"")),"""")"),"")</f>
        <v/>
      </c>
      <c r="AG23" s="23" t="str">
        <f>IFERROR(__xludf.DUMMYFUNCTION("if(countif(filter(Status!$C:$C,Status!$A:$A=$A23),CONCATENATE(AG$2,""*""))&gt;0,countif(filter(Status!$C:$C,Status!$A:$A=$A23),CONCATENATE(AG$2,""*"")),"""")"),"")</f>
        <v/>
      </c>
      <c r="AH23" s="23" t="str">
        <f>IFERROR(__xludf.DUMMYFUNCTION("if(countif(filter(Status!$C:$C,Status!$A:$A=$A23),CONCATENATE(AH$2,""*""))&gt;0,countif(filter(Status!$C:$C,Status!$A:$A=$A23),CONCATENATE(AH$2,""*"")),"""")"),"")</f>
        <v/>
      </c>
      <c r="AI23" s="23" t="str">
        <f>IFERROR(__xludf.DUMMYFUNCTION("if(countif(filter(Status!$C:$C,Status!$A:$A=$A23),CONCATENATE(AI$2,""*""))&gt;0,countif(filter(Status!$C:$C,Status!$A:$A=$A23),CONCATENATE(AI$2,""*"")),"""")"),"")</f>
        <v/>
      </c>
      <c r="AJ23" s="23">
        <f>IFERROR(__xludf.DUMMYFUNCTION("if(countif(filter(Status!$C:$C,Status!$A:$A=$A23),CONCATENATE(AJ$2,""*""))&gt;0,countif(filter(Status!$C:$C,Status!$A:$A=$A23),CONCATENATE(AJ$2,""*"")),"""")"),1.0)</f>
        <v>1</v>
      </c>
      <c r="AK23" s="23" t="str">
        <f>IFERROR(__xludf.DUMMYFUNCTION("if(countif(filter(Status!$C:$C,Status!$A:$A=$A23),CONCATENATE(AK$2,""*""))&gt;0,countif(filter(Status!$C:$C,Status!$A:$A=$A23),CONCATENATE(AK$2,""*"")),"""")"),"")</f>
        <v/>
      </c>
      <c r="AL23" s="23" t="str">
        <f>IFERROR(__xludf.DUMMYFUNCTION("if(countif(filter(Status!$C:$C,Status!$A:$A=$A23),CONCATENATE(AL$2,""*""))&gt;0,countif(filter(Status!$C:$C,Status!$A:$A=$A23),CONCATENATE(AL$2,""*"")),"""")"),"")</f>
        <v/>
      </c>
      <c r="AM23" s="23" t="str">
        <f>IFERROR(__xludf.DUMMYFUNCTION("if(countif(filter(Status!$C:$C,Status!$A:$A=$A23),CONCATENATE(AM$2,""*""))&gt;0,countif(filter(Status!$C:$C,Status!$A:$A=$A23),CONCATENATE(AM$2,""*"")),"""")"),"")</f>
        <v/>
      </c>
      <c r="AN23" s="23" t="str">
        <f>IFERROR(__xludf.DUMMYFUNCTION("if(countif(filter(Status!$C:$C,Status!$A:$A=$A23),CONCATENATE(AN$2,""*""))&gt;0,countif(filter(Status!$C:$C,Status!$A:$A=$A23),CONCATENATE(AN$2,""*"")),"""")"),"")</f>
        <v/>
      </c>
      <c r="AO23" s="23">
        <f>IFERROR(__xludf.DUMMYFUNCTION("if(countif(filter(Status!$C:$C,Status!$A:$A=$A23),CONCATENATE(AO$2,""*""))&gt;0,countif(filter(Status!$C:$C,Status!$A:$A=$A23),CONCATENATE(AO$2,""*"")),"""")"),1.0)</f>
        <v>1</v>
      </c>
      <c r="AP23" s="23">
        <f>IFERROR(__xludf.DUMMYFUNCTION("counta(iferror(filter(Status!C:C,Status!A:A=A23)))"),10.0)</f>
        <v>10</v>
      </c>
      <c r="AQ23" s="23">
        <f t="shared" si="6"/>
        <v>10</v>
      </c>
    </row>
    <row r="24">
      <c r="A24" s="1" t="s">
        <v>447</v>
      </c>
      <c r="B24" s="21">
        <f>IFERROR(__xludf.DUMMYFUNCTION("max(filter(Status!E:E,Status!A:A=A24))"),43683.0)</f>
        <v>43683</v>
      </c>
      <c r="C24" s="23">
        <f t="shared" si="1"/>
        <v>1</v>
      </c>
      <c r="D24" s="23">
        <f t="shared" si="2"/>
        <v>1</v>
      </c>
      <c r="E24" s="23">
        <f t="shared" si="3"/>
        <v>1</v>
      </c>
      <c r="F24" s="23">
        <f t="shared" si="4"/>
        <v>0.75</v>
      </c>
      <c r="G24" s="25">
        <f t="shared" si="5"/>
        <v>0.7</v>
      </c>
      <c r="J24" s="23">
        <f>IFERROR(__xludf.DUMMYFUNCTION("COUNTA(iferror(filter(Status!H:H,Status!A:A=A24)))"),6.0)</f>
        <v>6</v>
      </c>
      <c r="K24" s="25">
        <f>IFERROR(__xludf.DUMMYFUNCTION("COUNTA(iferror(filter(Status!H:H,Status!A:A=A24,Status!H:H=TRUE)))"),6.0)</f>
        <v>6</v>
      </c>
      <c r="L24" s="23">
        <f>IFERROR(__xludf.DUMMYFUNCTION("COUNTA(iferror(filter(Status!L:L,Status!A:A=A24)))"),3.0)</f>
        <v>3</v>
      </c>
      <c r="M24" s="25">
        <f>IFERROR(__xludf.DUMMYFUNCTION("COUNTA(iferror(filter(Status!L:L,Status!A:A=A24,Status!L:L=TRUE)))"),3.0)</f>
        <v>3</v>
      </c>
      <c r="N24" s="23">
        <f>IFERROR(__xludf.DUMMYFUNCTION("COUNTA(iferror(filter(Status!N:N,Status!A:A=A24,Status!N:N=TRUE)))"),10.0)</f>
        <v>10</v>
      </c>
      <c r="O24" s="25">
        <f>IFERROR(__xludf.DUMMYFUNCTION("COUNTA(iferror(filter(Status!N:N,Status!A:A=A24,Status!N:N=TRUE)))"),10.0)</f>
        <v>10</v>
      </c>
      <c r="P24" s="23">
        <f>IFERROR(__xludf.DUMMYFUNCTION("COUNTA(iferror(filter(Status!P:P,Status!A:A=A24)))"),12.0)</f>
        <v>12</v>
      </c>
      <c r="Q24" s="25">
        <f>IFERROR(__xludf.DUMMYFUNCTION("COUNTA(iferror(filter(Status!P:P,Status!A:A=A24,Status!P:P=TRUE)))"),9.0)</f>
        <v>9</v>
      </c>
      <c r="R24" s="23">
        <f>IFERROR(__xludf.DUMMYFUNCTION("COUNTA(iferror(filter(Status!R:R,Status!A:A=A24)))"),10.0)</f>
        <v>10</v>
      </c>
      <c r="S24" s="25">
        <f>IFERROR(__xludf.DUMMYFUNCTION("COUNTA(iferror(filter(Status!R:R,Status!A:A=A24,Status!R:R=TRUE)))"),7.0)</f>
        <v>7</v>
      </c>
      <c r="V24" s="23" t="str">
        <f>IFERROR(__xludf.DUMMYFUNCTION("if((countif(filter(Status!$C:$C,Status!$A:$A=$A24),CONCATENATE(V$2,""*""))-W24)&gt;0,(countif(filter(Status!$C:$C,Status!$A:$A=$A24),CONCATENATE(V$2,""*""))-W24),"""")"),"")</f>
        <v/>
      </c>
      <c r="W24" s="23" t="str">
        <f>IFERROR(__xludf.DUMMYFUNCTION("if(countif(filter(Status!$C:$C,Status!$A:$A=$A24),CONCATENATE(W$2,""*""))&gt;0,countif(filter(Status!$C:$C,Status!$A:$A=$A24),CONCATENATE(W$2,""*"")),"""")"),"")</f>
        <v/>
      </c>
      <c r="X24" s="23">
        <f>IFERROR(__xludf.DUMMYFUNCTION("if(countif(filter(Status!$C:$C,Status!$A:$A=$A24),CONCATENATE(X$2,""*""))&gt;0,countif(filter(Status!$C:$C,Status!$A:$A=$A24),CONCATENATE(X$2,""*"")),"""")"),4.0)</f>
        <v>4</v>
      </c>
      <c r="Y24" s="23" t="str">
        <f>IFERROR(__xludf.DUMMYFUNCTION("if(countif(filter(Status!$C:$C,Status!$A:$A=$A24),CONCATENATE(Y$2,""*""))&gt;0,countif(filter(Status!$C:$C,Status!$A:$A=$A24),CONCATENATE(Y$2,""*"")),"""")"),"")</f>
        <v/>
      </c>
      <c r="Z24" s="23" t="str">
        <f>IFERROR(__xludf.DUMMYFUNCTION("if(countif(filter(Status!$C:$C,Status!$A:$A=$A24),CONCATENATE(Z$2,""*""))&gt;0,countif(filter(Status!$C:$C,Status!$A:$A=$A24),CONCATENATE(Z$2,""*"")),"""")"),"")</f>
        <v/>
      </c>
      <c r="AA24" s="23">
        <f>IFERROR(__xludf.DUMMYFUNCTION("if((countif(filter(Status!$C:$C,Status!$A:$A=$A24),CONCATENATE(AA$2,""*""))-AB24)&gt;0,(countif(filter(Status!$C:$C,Status!$A:$A=$A24),CONCATENATE(AA$2,""*""))-AB24),"""")"),2.0)</f>
        <v>2</v>
      </c>
      <c r="AB24" s="23">
        <f>IFERROR(__xludf.DUMMYFUNCTION("if(countif(filter(Status!$C:$C,Status!$A:$A=$A24),CONCATENATE(AB$2,""*""))&gt;0,countif(filter(Status!$C:$C,Status!$A:$A=$A24),CONCATENATE(AB$2,""*"")),"""")"),2.0)</f>
        <v>2</v>
      </c>
      <c r="AC24" s="23">
        <f>IFERROR(__xludf.DUMMYFUNCTION("if(countif(filter(Status!$C:$C,Status!$A:$A=$A24),CONCATENATE(AC$2,""*""))&gt;0,countif(filter(Status!$C:$C,Status!$A:$A=$A24),CONCATENATE(AC$2,""*"")),"""")"),1.0)</f>
        <v>1</v>
      </c>
      <c r="AD24" s="23" t="str">
        <f>IFERROR(__xludf.DUMMYFUNCTION("if(countif(filter(Status!$C:$C,Status!$A:$A=$A24),CONCATENATE(AD$2,""*""))&gt;0,countif(filter(Status!$C:$C,Status!$A:$A=$A24),CONCATENATE(AD$2,""*"")),"""")"),"")</f>
        <v/>
      </c>
      <c r="AE24" s="23">
        <f>IFERROR(__xludf.DUMMYFUNCTION("if(countif(filter(Status!$C:$C,Status!$A:$A=$A24),CONCATENATE(AE$2,""*""))&gt;0,countif(filter(Status!$C:$C,Status!$A:$A=$A24),CONCATENATE(AE$2,""*"")),"""")"),1.0)</f>
        <v>1</v>
      </c>
      <c r="AF24" s="23" t="str">
        <f>IFERROR(__xludf.DUMMYFUNCTION("if(countif(filter(Status!$C:$C,Status!$A:$A=$A24),CONCATENATE(AF$2,""*""))&gt;0,countif(filter(Status!$C:$C,Status!$A:$A=$A24),CONCATENATE(AF$2,""*"")),"""")"),"")</f>
        <v/>
      </c>
      <c r="AG24" s="23" t="str">
        <f>IFERROR(__xludf.DUMMYFUNCTION("if(countif(filter(Status!$C:$C,Status!$A:$A=$A24),CONCATENATE(AG$2,""*""))&gt;0,countif(filter(Status!$C:$C,Status!$A:$A=$A24),CONCATENATE(AG$2,""*"")),"""")"),"")</f>
        <v/>
      </c>
      <c r="AH24" s="23" t="str">
        <f>IFERROR(__xludf.DUMMYFUNCTION("if(countif(filter(Status!$C:$C,Status!$A:$A=$A24),CONCATENATE(AH$2,""*""))&gt;0,countif(filter(Status!$C:$C,Status!$A:$A=$A24),CONCATENATE(AH$2,""*"")),"""")"),"")</f>
        <v/>
      </c>
      <c r="AI24" s="23">
        <f>IFERROR(__xludf.DUMMYFUNCTION("if(countif(filter(Status!$C:$C,Status!$A:$A=$A24),CONCATENATE(AI$2,""*""))&gt;0,countif(filter(Status!$C:$C,Status!$A:$A=$A24),CONCATENATE(AI$2,""*"")),"""")"),2.0)</f>
        <v>2</v>
      </c>
      <c r="AJ24" s="23" t="str">
        <f>IFERROR(__xludf.DUMMYFUNCTION("if(countif(filter(Status!$C:$C,Status!$A:$A=$A24),CONCATENATE(AJ$2,""*""))&gt;0,countif(filter(Status!$C:$C,Status!$A:$A=$A24),CONCATENATE(AJ$2,""*"")),"""")"),"")</f>
        <v/>
      </c>
      <c r="AK24" s="23">
        <f>IFERROR(__xludf.DUMMYFUNCTION("if(countif(filter(Status!$C:$C,Status!$A:$A=$A24),CONCATENATE(AK$2,""*""))&gt;0,countif(filter(Status!$C:$C,Status!$A:$A=$A24),CONCATENATE(AK$2,""*"")),"""")"),1.0)</f>
        <v>1</v>
      </c>
      <c r="AL24" s="23" t="str">
        <f>IFERROR(__xludf.DUMMYFUNCTION("if(countif(filter(Status!$C:$C,Status!$A:$A=$A24),CONCATENATE(AL$2,""*""))&gt;0,countif(filter(Status!$C:$C,Status!$A:$A=$A24),CONCATENATE(AL$2,""*"")),"""")"),"")</f>
        <v/>
      </c>
      <c r="AM24" s="23" t="str">
        <f>IFERROR(__xludf.DUMMYFUNCTION("if(countif(filter(Status!$C:$C,Status!$A:$A=$A24),CONCATENATE(AM$2,""*""))&gt;0,countif(filter(Status!$C:$C,Status!$A:$A=$A24),CONCATENATE(AM$2,""*"")),"""")"),"")</f>
        <v/>
      </c>
      <c r="AN24" s="23" t="str">
        <f>IFERROR(__xludf.DUMMYFUNCTION("if(countif(filter(Status!$C:$C,Status!$A:$A=$A24),CONCATENATE(AN$2,""*""))&gt;0,countif(filter(Status!$C:$C,Status!$A:$A=$A24),CONCATENATE(AN$2,""*"")),"""")"),"")</f>
        <v/>
      </c>
      <c r="AO24" s="23" t="str">
        <f>IFERROR(__xludf.DUMMYFUNCTION("if(countif(filter(Status!$C:$C,Status!$A:$A=$A24),CONCATENATE(AO$2,""*""))&gt;0,countif(filter(Status!$C:$C,Status!$A:$A=$A24),CONCATENATE(AO$2,""*"")),"""")"),"")</f>
        <v/>
      </c>
      <c r="AP24" s="23">
        <f>IFERROR(__xludf.DUMMYFUNCTION("counta(iferror(filter(Status!C:C,Status!A:A=A24)))"),13.0)</f>
        <v>13</v>
      </c>
      <c r="AQ24" s="23">
        <f t="shared" si="6"/>
        <v>13</v>
      </c>
    </row>
    <row r="25">
      <c r="A25" s="1" t="s">
        <v>451</v>
      </c>
      <c r="B25" s="21">
        <f>IFERROR(__xludf.DUMMYFUNCTION("max(filter(Status!E:E,Status!A:A=A25))"),43684.0)</f>
        <v>43684</v>
      </c>
      <c r="C25" s="23">
        <f t="shared" si="1"/>
        <v>1</v>
      </c>
      <c r="D25" s="23">
        <f t="shared" si="2"/>
        <v>0</v>
      </c>
      <c r="E25" s="23">
        <f t="shared" si="3"/>
        <v>1</v>
      </c>
      <c r="F25" s="23">
        <f t="shared" si="4"/>
        <v>0.2857142857</v>
      </c>
      <c r="G25" s="25">
        <f t="shared" si="5"/>
        <v>0.5714285714</v>
      </c>
      <c r="J25" s="23">
        <f>IFERROR(__xludf.DUMMYFUNCTION("COUNTA(iferror(filter(Status!H:H,Status!A:A=A25)))"),5.0)</f>
        <v>5</v>
      </c>
      <c r="K25" s="25">
        <f>IFERROR(__xludf.DUMMYFUNCTION("COUNTA(iferror(filter(Status!H:H,Status!A:A=A25,Status!H:H=TRUE)))"),5.0)</f>
        <v>5</v>
      </c>
      <c r="L25" s="23">
        <f>IFERROR(__xludf.DUMMYFUNCTION("COUNTA(iferror(filter(Status!L:L,Status!A:A=A25)))"),3.0)</f>
        <v>3</v>
      </c>
      <c r="M25" s="25">
        <f>IFERROR(__xludf.DUMMYFUNCTION("COUNTA(iferror(filter(Status!L:L,Status!A:A=A25,Status!L:L=TRUE)))"),0.0)</f>
        <v>0</v>
      </c>
      <c r="N25" s="23">
        <f>IFERROR(__xludf.DUMMYFUNCTION("COUNTA(iferror(filter(Status!N:N,Status!A:A=A25,Status!N:N=TRUE)))"),3.0)</f>
        <v>3</v>
      </c>
      <c r="O25" s="25">
        <f>IFERROR(__xludf.DUMMYFUNCTION("COUNTA(iferror(filter(Status!N:N,Status!A:A=A25,Status!N:N=TRUE)))"),3.0)</f>
        <v>3</v>
      </c>
      <c r="P25" s="23">
        <f>IFERROR(__xludf.DUMMYFUNCTION("COUNTA(iferror(filter(Status!P:P,Status!A:A=A25)))"),7.0)</f>
        <v>7</v>
      </c>
      <c r="Q25" s="25">
        <f>IFERROR(__xludf.DUMMYFUNCTION("COUNTA(iferror(filter(Status!P:P,Status!A:A=A25,Status!P:P=TRUE)))"),2.0)</f>
        <v>2</v>
      </c>
      <c r="R25" s="23">
        <f>IFERROR(__xludf.DUMMYFUNCTION("COUNTA(iferror(filter(Status!R:R,Status!A:A=A25)))"),7.0)</f>
        <v>7</v>
      </c>
      <c r="S25" s="25">
        <f>IFERROR(__xludf.DUMMYFUNCTION("COUNTA(iferror(filter(Status!R:R,Status!A:A=A25,Status!R:R=TRUE)))"),4.0)</f>
        <v>4</v>
      </c>
      <c r="V25" s="23">
        <f>IFERROR(__xludf.DUMMYFUNCTION("if((countif(filter(Status!$C:$C,Status!$A:$A=$A25),CONCATENATE(V$2,""*""))-W25)&gt;0,(countif(filter(Status!$C:$C,Status!$A:$A=$A25),CONCATENATE(V$2,""*""))-W25),"""")"),1.0)</f>
        <v>1</v>
      </c>
      <c r="W25" s="23" t="str">
        <f>IFERROR(__xludf.DUMMYFUNCTION("if(countif(filter(Status!$C:$C,Status!$A:$A=$A25),CONCATENATE(W$2,""*""))&gt;0,countif(filter(Status!$C:$C,Status!$A:$A=$A25),CONCATENATE(W$2,""*"")),"""")"),"")</f>
        <v/>
      </c>
      <c r="X25" s="23" t="str">
        <f>IFERROR(__xludf.DUMMYFUNCTION("if(countif(filter(Status!$C:$C,Status!$A:$A=$A25),CONCATENATE(X$2,""*""))&gt;0,countif(filter(Status!$C:$C,Status!$A:$A=$A25),CONCATENATE(X$2,""*"")),"""")"),"")</f>
        <v/>
      </c>
      <c r="Y25" s="23" t="str">
        <f>IFERROR(__xludf.DUMMYFUNCTION("if(countif(filter(Status!$C:$C,Status!$A:$A=$A25),CONCATENATE(Y$2,""*""))&gt;0,countif(filter(Status!$C:$C,Status!$A:$A=$A25),CONCATENATE(Y$2,""*"")),"""")"),"")</f>
        <v/>
      </c>
      <c r="Z25" s="23" t="str">
        <f>IFERROR(__xludf.DUMMYFUNCTION("if(countif(filter(Status!$C:$C,Status!$A:$A=$A25),CONCATENATE(Z$2,""*""))&gt;0,countif(filter(Status!$C:$C,Status!$A:$A=$A25),CONCATENATE(Z$2,""*"")),"""")"),"")</f>
        <v/>
      </c>
      <c r="AA25" s="23">
        <f>IFERROR(__xludf.DUMMYFUNCTION("if((countif(filter(Status!$C:$C,Status!$A:$A=$A25),CONCATENATE(AA$2,""*""))-AB25)&gt;0,(countif(filter(Status!$C:$C,Status!$A:$A=$A25),CONCATENATE(AA$2,""*""))-AB25),"""")"),2.0)</f>
        <v>2</v>
      </c>
      <c r="AB25" s="23">
        <f>IFERROR(__xludf.DUMMYFUNCTION("if(countif(filter(Status!$C:$C,Status!$A:$A=$A25),CONCATENATE(AB$2,""*""))&gt;0,countif(filter(Status!$C:$C,Status!$A:$A=$A25),CONCATENATE(AB$2,""*"")),"""")"),2.0)</f>
        <v>2</v>
      </c>
      <c r="AC25" s="23">
        <f>IFERROR(__xludf.DUMMYFUNCTION("if(countif(filter(Status!$C:$C,Status!$A:$A=$A25),CONCATENATE(AC$2,""*""))&gt;0,countif(filter(Status!$C:$C,Status!$A:$A=$A25),CONCATENATE(AC$2,""*"")),"""")"),1.0)</f>
        <v>1</v>
      </c>
      <c r="AD25" s="23" t="str">
        <f>IFERROR(__xludf.DUMMYFUNCTION("if(countif(filter(Status!$C:$C,Status!$A:$A=$A25),CONCATENATE(AD$2,""*""))&gt;0,countif(filter(Status!$C:$C,Status!$A:$A=$A25),CONCATENATE(AD$2,""*"")),"""")"),"")</f>
        <v/>
      </c>
      <c r="AE25" s="23">
        <f>IFERROR(__xludf.DUMMYFUNCTION("if(countif(filter(Status!$C:$C,Status!$A:$A=$A25),CONCATENATE(AE$2,""*""))&gt;0,countif(filter(Status!$C:$C,Status!$A:$A=$A25),CONCATENATE(AE$2,""*"")),"""")"),1.0)</f>
        <v>1</v>
      </c>
      <c r="AF25" s="23" t="str">
        <f>IFERROR(__xludf.DUMMYFUNCTION("if(countif(filter(Status!$C:$C,Status!$A:$A=$A25),CONCATENATE(AF$2,""*""))&gt;0,countif(filter(Status!$C:$C,Status!$A:$A=$A25),CONCATENATE(AF$2,""*"")),"""")"),"")</f>
        <v/>
      </c>
      <c r="AG25" s="23" t="str">
        <f>IFERROR(__xludf.DUMMYFUNCTION("if(countif(filter(Status!$C:$C,Status!$A:$A=$A25),CONCATENATE(AG$2,""*""))&gt;0,countif(filter(Status!$C:$C,Status!$A:$A=$A25),CONCATENATE(AG$2,""*"")),"""")"),"")</f>
        <v/>
      </c>
      <c r="AH25" s="23" t="str">
        <f>IFERROR(__xludf.DUMMYFUNCTION("if(countif(filter(Status!$C:$C,Status!$A:$A=$A25),CONCATENATE(AH$2,""*""))&gt;0,countif(filter(Status!$C:$C,Status!$A:$A=$A25),CONCATENATE(AH$2,""*"")),"""")"),"")</f>
        <v/>
      </c>
      <c r="AI25" s="23" t="str">
        <f>IFERROR(__xludf.DUMMYFUNCTION("if(countif(filter(Status!$C:$C,Status!$A:$A=$A25),CONCATENATE(AI$2,""*""))&gt;0,countif(filter(Status!$C:$C,Status!$A:$A=$A25),CONCATENATE(AI$2,""*"")),"""")"),"")</f>
        <v/>
      </c>
      <c r="AJ25" s="23" t="str">
        <f>IFERROR(__xludf.DUMMYFUNCTION("if(countif(filter(Status!$C:$C,Status!$A:$A=$A25),CONCATENATE(AJ$2,""*""))&gt;0,countif(filter(Status!$C:$C,Status!$A:$A=$A25),CONCATENATE(AJ$2,""*"")),"""")"),"")</f>
        <v/>
      </c>
      <c r="AK25" s="23">
        <f>IFERROR(__xludf.DUMMYFUNCTION("if(countif(filter(Status!$C:$C,Status!$A:$A=$A25),CONCATENATE(AK$2,""*""))&gt;0,countif(filter(Status!$C:$C,Status!$A:$A=$A25),CONCATENATE(AK$2,""*"")),"""")"),1.0)</f>
        <v>1</v>
      </c>
      <c r="AL25" s="23" t="str">
        <f>IFERROR(__xludf.DUMMYFUNCTION("if(countif(filter(Status!$C:$C,Status!$A:$A=$A25),CONCATENATE(AL$2,""*""))&gt;0,countif(filter(Status!$C:$C,Status!$A:$A=$A25),CONCATENATE(AL$2,""*"")),"""")"),"")</f>
        <v/>
      </c>
      <c r="AM25" s="23" t="str">
        <f>IFERROR(__xludf.DUMMYFUNCTION("if(countif(filter(Status!$C:$C,Status!$A:$A=$A25),CONCATENATE(AM$2,""*""))&gt;0,countif(filter(Status!$C:$C,Status!$A:$A=$A25),CONCATENATE(AM$2,""*"")),"""")"),"")</f>
        <v/>
      </c>
      <c r="AN25" s="23" t="str">
        <f>IFERROR(__xludf.DUMMYFUNCTION("if(countif(filter(Status!$C:$C,Status!$A:$A=$A25),CONCATENATE(AN$2,""*""))&gt;0,countif(filter(Status!$C:$C,Status!$A:$A=$A25),CONCATENATE(AN$2,""*"")),"""")"),"")</f>
        <v/>
      </c>
      <c r="AO25" s="23" t="str">
        <f>IFERROR(__xludf.DUMMYFUNCTION("if(countif(filter(Status!$C:$C,Status!$A:$A=$A25),CONCATENATE(AO$2,""*""))&gt;0,countif(filter(Status!$C:$C,Status!$A:$A=$A25),CONCATENATE(AO$2,""*"")),"""")"),"")</f>
        <v/>
      </c>
      <c r="AP25" s="23">
        <f>IFERROR(__xludf.DUMMYFUNCTION("counta(iferror(filter(Status!C:C,Status!A:A=A25)))"),8.0)</f>
        <v>8</v>
      </c>
      <c r="AQ25" s="23">
        <f t="shared" si="6"/>
        <v>8</v>
      </c>
    </row>
    <row r="26">
      <c r="A26" s="1" t="s">
        <v>455</v>
      </c>
      <c r="B26" s="21">
        <f>IFERROR(__xludf.DUMMYFUNCTION("max(filter(Status!E:E,Status!A:A=A26))"),43686.0)</f>
        <v>43686</v>
      </c>
      <c r="C26" s="23">
        <f t="shared" si="1"/>
        <v>1</v>
      </c>
      <c r="D26" s="23">
        <f t="shared" si="2"/>
        <v>0.5</v>
      </c>
      <c r="E26" s="23">
        <f t="shared" si="3"/>
        <v>1</v>
      </c>
      <c r="F26" s="23">
        <f t="shared" si="4"/>
        <v>0.7</v>
      </c>
      <c r="G26" s="25">
        <f t="shared" si="5"/>
        <v>0.7</v>
      </c>
      <c r="J26" s="23">
        <f>IFERROR(__xludf.DUMMYFUNCTION("COUNTA(iferror(filter(Status!H:H,Status!A:A=A26)))"),5.0)</f>
        <v>5</v>
      </c>
      <c r="K26" s="25">
        <f>IFERROR(__xludf.DUMMYFUNCTION("COUNTA(iferror(filter(Status!H:H,Status!A:A=A26,Status!H:H=TRUE)))"),5.0)</f>
        <v>5</v>
      </c>
      <c r="L26" s="23">
        <f>IFERROR(__xludf.DUMMYFUNCTION("COUNTA(iferror(filter(Status!L:L,Status!A:A=A26)))"),2.0)</f>
        <v>2</v>
      </c>
      <c r="M26" s="25">
        <f>IFERROR(__xludf.DUMMYFUNCTION("COUNTA(iferror(filter(Status!L:L,Status!A:A=A26,Status!L:L=TRUE)))"),1.0)</f>
        <v>1</v>
      </c>
      <c r="N26" s="23">
        <f>IFERROR(__xludf.DUMMYFUNCTION("COUNTA(iferror(filter(Status!N:N,Status!A:A=A26,Status!N:N=TRUE)))"),8.0)</f>
        <v>8</v>
      </c>
      <c r="O26" s="25">
        <f>IFERROR(__xludf.DUMMYFUNCTION("COUNTA(iferror(filter(Status!N:N,Status!A:A=A26,Status!N:N=TRUE)))"),8.0)</f>
        <v>8</v>
      </c>
      <c r="P26" s="23">
        <f>IFERROR(__xludf.DUMMYFUNCTION("COUNTA(iferror(filter(Status!P:P,Status!A:A=A26)))"),10.0)</f>
        <v>10</v>
      </c>
      <c r="Q26" s="25">
        <f>IFERROR(__xludf.DUMMYFUNCTION("COUNTA(iferror(filter(Status!P:P,Status!A:A=A26,Status!P:P=TRUE)))"),7.0)</f>
        <v>7</v>
      </c>
      <c r="R26" s="23">
        <f>IFERROR(__xludf.DUMMYFUNCTION("COUNTA(iferror(filter(Status!R:R,Status!A:A=A26)))"),10.0)</f>
        <v>10</v>
      </c>
      <c r="S26" s="25">
        <f>IFERROR(__xludf.DUMMYFUNCTION("COUNTA(iferror(filter(Status!R:R,Status!A:A=A26,Status!R:R=TRUE)))"),7.0)</f>
        <v>7</v>
      </c>
      <c r="V26" s="23" t="str">
        <f>IFERROR(__xludf.DUMMYFUNCTION("if((countif(filter(Status!$C:$C,Status!$A:$A=$A26),CONCATENATE(V$2,""*""))-W26)&gt;0,(countif(filter(Status!$C:$C,Status!$A:$A=$A26),CONCATENATE(V$2,""*""))-W26),"""")"),"")</f>
        <v/>
      </c>
      <c r="W26" s="23" t="str">
        <f>IFERROR(__xludf.DUMMYFUNCTION("if(countif(filter(Status!$C:$C,Status!$A:$A=$A26),CONCATENATE(W$2,""*""))&gt;0,countif(filter(Status!$C:$C,Status!$A:$A=$A26),CONCATENATE(W$2,""*"")),"""")"),"")</f>
        <v/>
      </c>
      <c r="X26" s="23">
        <f>IFERROR(__xludf.DUMMYFUNCTION("if(countif(filter(Status!$C:$C,Status!$A:$A=$A26),CONCATENATE(X$2,""*""))&gt;0,countif(filter(Status!$C:$C,Status!$A:$A=$A26),CONCATENATE(X$2,""*"")),"""")"),4.0)</f>
        <v>4</v>
      </c>
      <c r="Y26" s="23" t="str">
        <f>IFERROR(__xludf.DUMMYFUNCTION("if(countif(filter(Status!$C:$C,Status!$A:$A=$A26),CONCATENATE(Y$2,""*""))&gt;0,countif(filter(Status!$C:$C,Status!$A:$A=$A26),CONCATENATE(Y$2,""*"")),"""")"),"")</f>
        <v/>
      </c>
      <c r="Z26" s="23" t="str">
        <f>IFERROR(__xludf.DUMMYFUNCTION("if(countif(filter(Status!$C:$C,Status!$A:$A=$A26),CONCATENATE(Z$2,""*""))&gt;0,countif(filter(Status!$C:$C,Status!$A:$A=$A26),CONCATENATE(Z$2,""*"")),"""")"),"")</f>
        <v/>
      </c>
      <c r="AA26" s="23">
        <f>IFERROR(__xludf.DUMMYFUNCTION("if((countif(filter(Status!$C:$C,Status!$A:$A=$A26),CONCATENATE(AA$2,""*""))-AB26)&gt;0,(countif(filter(Status!$C:$C,Status!$A:$A=$A26),CONCATENATE(AA$2,""*""))-AB26),"""")"),2.0)</f>
        <v>2</v>
      </c>
      <c r="AB26" s="23">
        <f>IFERROR(__xludf.DUMMYFUNCTION("if(countif(filter(Status!$C:$C,Status!$A:$A=$A26),CONCATENATE(AB$2,""*""))&gt;0,countif(filter(Status!$C:$C,Status!$A:$A=$A26),CONCATENATE(AB$2,""*"")),"""")"),2.0)</f>
        <v>2</v>
      </c>
      <c r="AC26" s="23">
        <f>IFERROR(__xludf.DUMMYFUNCTION("if(countif(filter(Status!$C:$C,Status!$A:$A=$A26),CONCATENATE(AC$2,""*""))&gt;0,countif(filter(Status!$C:$C,Status!$A:$A=$A26),CONCATENATE(AC$2,""*"")),"""")"),1.0)</f>
        <v>1</v>
      </c>
      <c r="AD26" s="23" t="str">
        <f>IFERROR(__xludf.DUMMYFUNCTION("if(countif(filter(Status!$C:$C,Status!$A:$A=$A26),CONCATENATE(AD$2,""*""))&gt;0,countif(filter(Status!$C:$C,Status!$A:$A=$A26),CONCATENATE(AD$2,""*"")),"""")"),"")</f>
        <v/>
      </c>
      <c r="AE26" s="23">
        <f>IFERROR(__xludf.DUMMYFUNCTION("if(countif(filter(Status!$C:$C,Status!$A:$A=$A26),CONCATENATE(AE$2,""*""))&gt;0,countif(filter(Status!$C:$C,Status!$A:$A=$A26),CONCATENATE(AE$2,""*"")),"""")"),2.0)</f>
        <v>2</v>
      </c>
      <c r="AF26" s="23" t="str">
        <f>IFERROR(__xludf.DUMMYFUNCTION("if(countif(filter(Status!$C:$C,Status!$A:$A=$A26),CONCATENATE(AF$2,""*""))&gt;0,countif(filter(Status!$C:$C,Status!$A:$A=$A26),CONCATENATE(AF$2,""*"")),"""")"),"")</f>
        <v/>
      </c>
      <c r="AG26" s="23" t="str">
        <f>IFERROR(__xludf.DUMMYFUNCTION("if(countif(filter(Status!$C:$C,Status!$A:$A=$A26),CONCATENATE(AG$2,""*""))&gt;0,countif(filter(Status!$C:$C,Status!$A:$A=$A26),CONCATENATE(AG$2,""*"")),"""")"),"")</f>
        <v/>
      </c>
      <c r="AH26" s="23" t="str">
        <f>IFERROR(__xludf.DUMMYFUNCTION("if(countif(filter(Status!$C:$C,Status!$A:$A=$A26),CONCATENATE(AH$2,""*""))&gt;0,countif(filter(Status!$C:$C,Status!$A:$A=$A26),CONCATENATE(AH$2,""*"")),"""")"),"")</f>
        <v/>
      </c>
      <c r="AI26" s="23" t="str">
        <f>IFERROR(__xludf.DUMMYFUNCTION("if(countif(filter(Status!$C:$C,Status!$A:$A=$A26),CONCATENATE(AI$2,""*""))&gt;0,countif(filter(Status!$C:$C,Status!$A:$A=$A26),CONCATENATE(AI$2,""*"")),"""")"),"")</f>
        <v/>
      </c>
      <c r="AJ26" s="23" t="str">
        <f>IFERROR(__xludf.DUMMYFUNCTION("if(countif(filter(Status!$C:$C,Status!$A:$A=$A26),CONCATENATE(AJ$2,""*""))&gt;0,countif(filter(Status!$C:$C,Status!$A:$A=$A26),CONCATENATE(AJ$2,""*"")),"""")"),"")</f>
        <v/>
      </c>
      <c r="AK26" s="23">
        <f>IFERROR(__xludf.DUMMYFUNCTION("if(countif(filter(Status!$C:$C,Status!$A:$A=$A26),CONCATENATE(AK$2,""*""))&gt;0,countif(filter(Status!$C:$C,Status!$A:$A=$A26),CONCATENATE(AK$2,""*"")),"""")"),1.0)</f>
        <v>1</v>
      </c>
      <c r="AL26" s="23" t="str">
        <f>IFERROR(__xludf.DUMMYFUNCTION("if(countif(filter(Status!$C:$C,Status!$A:$A=$A26),CONCATENATE(AL$2,""*""))&gt;0,countif(filter(Status!$C:$C,Status!$A:$A=$A26),CONCATENATE(AL$2,""*"")),"""")"),"")</f>
        <v/>
      </c>
      <c r="AM26" s="23" t="str">
        <f>IFERROR(__xludf.DUMMYFUNCTION("if(countif(filter(Status!$C:$C,Status!$A:$A=$A26),CONCATENATE(AM$2,""*""))&gt;0,countif(filter(Status!$C:$C,Status!$A:$A=$A26),CONCATENATE(AM$2,""*"")),"""")"),"")</f>
        <v/>
      </c>
      <c r="AN26" s="23" t="str">
        <f>IFERROR(__xludf.DUMMYFUNCTION("if(countif(filter(Status!$C:$C,Status!$A:$A=$A26),CONCATENATE(AN$2,""*""))&gt;0,countif(filter(Status!$C:$C,Status!$A:$A=$A26),CONCATENATE(AN$2,""*"")),"""")"),"")</f>
        <v/>
      </c>
      <c r="AO26" s="23" t="str">
        <f>IFERROR(__xludf.DUMMYFUNCTION("if(countif(filter(Status!$C:$C,Status!$A:$A=$A26),CONCATENATE(AO$2,""*""))&gt;0,countif(filter(Status!$C:$C,Status!$A:$A=$A26),CONCATENATE(AO$2,""*"")),"""")"),"")</f>
        <v/>
      </c>
      <c r="AP26" s="23">
        <f>IFERROR(__xludf.DUMMYFUNCTION("counta(iferror(filter(Status!C:C,Status!A:A=A26)))"),12.0)</f>
        <v>12</v>
      </c>
      <c r="AQ26" s="23">
        <f t="shared" si="6"/>
        <v>12</v>
      </c>
    </row>
    <row r="27">
      <c r="A27" s="1" t="s">
        <v>460</v>
      </c>
      <c r="B27" s="21">
        <f>IFERROR(__xludf.DUMMYFUNCTION("max(filter(Status!E:E,Status!A:A=A27))"),43696.0)</f>
        <v>43696</v>
      </c>
      <c r="C27" s="23">
        <f t="shared" si="1"/>
        <v>0.5</v>
      </c>
      <c r="D27" s="23">
        <f t="shared" si="2"/>
        <v>1</v>
      </c>
      <c r="E27" s="23">
        <f t="shared" si="3"/>
        <v>1</v>
      </c>
      <c r="F27" s="23">
        <f t="shared" si="4"/>
        <v>0</v>
      </c>
      <c r="G27" s="25">
        <f t="shared" si="5"/>
        <v>0</v>
      </c>
      <c r="J27" s="23">
        <f>IFERROR(__xludf.DUMMYFUNCTION("COUNTA(iferror(filter(Status!H:H,Status!A:A=A27)))"),2.0)</f>
        <v>2</v>
      </c>
      <c r="K27" s="25">
        <f>IFERROR(__xludf.DUMMYFUNCTION("COUNTA(iferror(filter(Status!H:H,Status!A:A=A27,Status!H:H=TRUE)))"),1.0)</f>
        <v>1</v>
      </c>
      <c r="L27" s="23">
        <f>IFERROR(__xludf.DUMMYFUNCTION("COUNTA(iferror(filter(Status!L:L,Status!A:A=A27)))"),1.0)</f>
        <v>1</v>
      </c>
      <c r="M27" s="25">
        <f>IFERROR(__xludf.DUMMYFUNCTION("COUNTA(iferror(filter(Status!L:L,Status!A:A=A27,Status!L:L=TRUE)))"),1.0)</f>
        <v>1</v>
      </c>
      <c r="N27" s="23">
        <f>IFERROR(__xludf.DUMMYFUNCTION("COUNTA(iferror(filter(Status!N:N,Status!A:A=A27,Status!N:N=TRUE)))"),1.0)</f>
        <v>1</v>
      </c>
      <c r="O27" s="25">
        <f>IFERROR(__xludf.DUMMYFUNCTION("COUNTA(iferror(filter(Status!N:N,Status!A:A=A27,Status!N:N=TRUE)))"),1.0)</f>
        <v>1</v>
      </c>
      <c r="P27" s="23">
        <f>IFERROR(__xludf.DUMMYFUNCTION("COUNTA(iferror(filter(Status!P:P,Status!A:A=A27)))"),1.0)</f>
        <v>1</v>
      </c>
      <c r="Q27" s="25">
        <f>IFERROR(__xludf.DUMMYFUNCTION("COUNTA(iferror(filter(Status!P:P,Status!A:A=A27,Status!P:P=TRUE)))"),0.0)</f>
        <v>0</v>
      </c>
      <c r="R27" s="23">
        <f>IFERROR(__xludf.DUMMYFUNCTION("COUNTA(iferror(filter(Status!R:R,Status!A:A=A27)))"),1.0)</f>
        <v>1</v>
      </c>
      <c r="S27" s="25">
        <f>IFERROR(__xludf.DUMMYFUNCTION("COUNTA(iferror(filter(Status!R:R,Status!A:A=A27,Status!R:R=TRUE)))"),0.0)</f>
        <v>0</v>
      </c>
      <c r="V27" s="23" t="str">
        <f>IFERROR(__xludf.DUMMYFUNCTION("if((countif(filter(Status!$C:$C,Status!$A:$A=$A27),CONCATENATE(V$2,""*""))-W27)&gt;0,(countif(filter(Status!$C:$C,Status!$A:$A=$A27),CONCATENATE(V$2,""*""))-W27),"""")"),"")</f>
        <v/>
      </c>
      <c r="W27" s="23" t="str">
        <f>IFERROR(__xludf.DUMMYFUNCTION("if(countif(filter(Status!$C:$C,Status!$A:$A=$A27),CONCATENATE(W$2,""*""))&gt;0,countif(filter(Status!$C:$C,Status!$A:$A=$A27),CONCATENATE(W$2,""*"")),"""")"),"")</f>
        <v/>
      </c>
      <c r="X27" s="23" t="str">
        <f>IFERROR(__xludf.DUMMYFUNCTION("if(countif(filter(Status!$C:$C,Status!$A:$A=$A27),CONCATENATE(X$2,""*""))&gt;0,countif(filter(Status!$C:$C,Status!$A:$A=$A27),CONCATENATE(X$2,""*"")),"""")"),"")</f>
        <v/>
      </c>
      <c r="Y27" s="23" t="str">
        <f>IFERROR(__xludf.DUMMYFUNCTION("if(countif(filter(Status!$C:$C,Status!$A:$A=$A27),CONCATENATE(Y$2,""*""))&gt;0,countif(filter(Status!$C:$C,Status!$A:$A=$A27),CONCATENATE(Y$2,""*"")),"""")"),"")</f>
        <v/>
      </c>
      <c r="Z27" s="23" t="str">
        <f>IFERROR(__xludf.DUMMYFUNCTION("if(countif(filter(Status!$C:$C,Status!$A:$A=$A27),CONCATENATE(Z$2,""*""))&gt;0,countif(filter(Status!$C:$C,Status!$A:$A=$A27),CONCATENATE(Z$2,""*"")),"""")"),"")</f>
        <v/>
      </c>
      <c r="AA27" s="23" t="str">
        <f>IFERROR(__xludf.DUMMYFUNCTION("if((countif(filter(Status!$C:$C,Status!$A:$A=$A27),CONCATENATE(AA$2,""*""))-AB27)&gt;0,(countif(filter(Status!$C:$C,Status!$A:$A=$A27),CONCATENATE(AA$2,""*""))-AB27),"""")"),"")</f>
        <v/>
      </c>
      <c r="AB27" s="23" t="str">
        <f>IFERROR(__xludf.DUMMYFUNCTION("if(countif(filter(Status!$C:$C,Status!$A:$A=$A27),CONCATENATE(AB$2,""*""))&gt;0,countif(filter(Status!$C:$C,Status!$A:$A=$A27),CONCATENATE(AB$2,""*"")),"""")"),"")</f>
        <v/>
      </c>
      <c r="AC27" s="23" t="str">
        <f>IFERROR(__xludf.DUMMYFUNCTION("if(countif(filter(Status!$C:$C,Status!$A:$A=$A27),CONCATENATE(AC$2,""*""))&gt;0,countif(filter(Status!$C:$C,Status!$A:$A=$A27),CONCATENATE(AC$2,""*"")),"""")"),"")</f>
        <v/>
      </c>
      <c r="AD27" s="23" t="str">
        <f>IFERROR(__xludf.DUMMYFUNCTION("if(countif(filter(Status!$C:$C,Status!$A:$A=$A27),CONCATENATE(AD$2,""*""))&gt;0,countif(filter(Status!$C:$C,Status!$A:$A=$A27),CONCATENATE(AD$2,""*"")),"""")"),"")</f>
        <v/>
      </c>
      <c r="AE27" s="23">
        <f>IFERROR(__xludf.DUMMYFUNCTION("if(countif(filter(Status!$C:$C,Status!$A:$A=$A27),CONCATENATE(AE$2,""*""))&gt;0,countif(filter(Status!$C:$C,Status!$A:$A=$A27),CONCATENATE(AE$2,""*"")),"""")"),1.0)</f>
        <v>1</v>
      </c>
      <c r="AF27" s="23">
        <f>IFERROR(__xludf.DUMMYFUNCTION("if(countif(filter(Status!$C:$C,Status!$A:$A=$A27),CONCATENATE(AF$2,""*""))&gt;0,countif(filter(Status!$C:$C,Status!$A:$A=$A27),CONCATENATE(AF$2,""*"")),"""")"),1.0)</f>
        <v>1</v>
      </c>
      <c r="AG27" s="23" t="str">
        <f>IFERROR(__xludf.DUMMYFUNCTION("if(countif(filter(Status!$C:$C,Status!$A:$A=$A27),CONCATENATE(AG$2,""*""))&gt;0,countif(filter(Status!$C:$C,Status!$A:$A=$A27),CONCATENATE(AG$2,""*"")),"""")"),"")</f>
        <v/>
      </c>
      <c r="AH27" s="23" t="str">
        <f>IFERROR(__xludf.DUMMYFUNCTION("if(countif(filter(Status!$C:$C,Status!$A:$A=$A27),CONCATENATE(AH$2,""*""))&gt;0,countif(filter(Status!$C:$C,Status!$A:$A=$A27),CONCATENATE(AH$2,""*"")),"""")"),"")</f>
        <v/>
      </c>
      <c r="AI27" s="23" t="str">
        <f>IFERROR(__xludf.DUMMYFUNCTION("if(countif(filter(Status!$C:$C,Status!$A:$A=$A27),CONCATENATE(AI$2,""*""))&gt;0,countif(filter(Status!$C:$C,Status!$A:$A=$A27),CONCATENATE(AI$2,""*"")),"""")"),"")</f>
        <v/>
      </c>
      <c r="AJ27" s="23" t="str">
        <f>IFERROR(__xludf.DUMMYFUNCTION("if(countif(filter(Status!$C:$C,Status!$A:$A=$A27),CONCATENATE(AJ$2,""*""))&gt;0,countif(filter(Status!$C:$C,Status!$A:$A=$A27),CONCATENATE(AJ$2,""*"")),"""")"),"")</f>
        <v/>
      </c>
      <c r="AK27" s="23" t="str">
        <f>IFERROR(__xludf.DUMMYFUNCTION("if(countif(filter(Status!$C:$C,Status!$A:$A=$A27),CONCATENATE(AK$2,""*""))&gt;0,countif(filter(Status!$C:$C,Status!$A:$A=$A27),CONCATENATE(AK$2,""*"")),"""")"),"")</f>
        <v/>
      </c>
      <c r="AL27" s="23" t="str">
        <f>IFERROR(__xludf.DUMMYFUNCTION("if(countif(filter(Status!$C:$C,Status!$A:$A=$A27),CONCATENATE(AL$2,""*""))&gt;0,countif(filter(Status!$C:$C,Status!$A:$A=$A27),CONCATENATE(AL$2,""*"")),"""")"),"")</f>
        <v/>
      </c>
      <c r="AM27" s="23" t="str">
        <f>IFERROR(__xludf.DUMMYFUNCTION("if(countif(filter(Status!$C:$C,Status!$A:$A=$A27),CONCATENATE(AM$2,""*""))&gt;0,countif(filter(Status!$C:$C,Status!$A:$A=$A27),CONCATENATE(AM$2,""*"")),"""")"),"")</f>
        <v/>
      </c>
      <c r="AN27" s="23" t="str">
        <f>IFERROR(__xludf.DUMMYFUNCTION("if(countif(filter(Status!$C:$C,Status!$A:$A=$A27),CONCATENATE(AN$2,""*""))&gt;0,countif(filter(Status!$C:$C,Status!$A:$A=$A27),CONCATENATE(AN$2,""*"")),"""")"),"")</f>
        <v/>
      </c>
      <c r="AO27" s="23" t="str">
        <f>IFERROR(__xludf.DUMMYFUNCTION("if(countif(filter(Status!$C:$C,Status!$A:$A=$A27),CONCATENATE(AO$2,""*""))&gt;0,countif(filter(Status!$C:$C,Status!$A:$A=$A27),CONCATENATE(AO$2,""*"")),"""")"),"")</f>
        <v/>
      </c>
      <c r="AP27" s="23">
        <f>IFERROR(__xludf.DUMMYFUNCTION("counta(iferror(filter(Status!C:C,Status!A:A=A27)))"),2.0)</f>
        <v>2</v>
      </c>
      <c r="AQ27" s="23">
        <f t="shared" si="6"/>
        <v>2</v>
      </c>
    </row>
    <row r="28">
      <c r="A28" s="1" t="s">
        <v>463</v>
      </c>
      <c r="B28" s="21">
        <f>IFERROR(__xludf.DUMMYFUNCTION("max(filter(Status!E:E,Status!A:A=A28))"),43697.0)</f>
        <v>43697</v>
      </c>
      <c r="C28" s="23">
        <f t="shared" si="1"/>
        <v>1</v>
      </c>
      <c r="D28" s="23">
        <f t="shared" si="2"/>
        <v>0.5</v>
      </c>
      <c r="E28" s="23">
        <f t="shared" si="3"/>
        <v>1</v>
      </c>
      <c r="F28" s="23">
        <f t="shared" si="4"/>
        <v>0.7142857143</v>
      </c>
      <c r="G28" s="25">
        <f t="shared" si="5"/>
        <v>0.6666666667</v>
      </c>
      <c r="J28" s="23">
        <f>IFERROR(__xludf.DUMMYFUNCTION("COUNTA(iferror(filter(Status!H:H,Status!A:A=A28)))"),6.0)</f>
        <v>6</v>
      </c>
      <c r="K28" s="25">
        <f>IFERROR(__xludf.DUMMYFUNCTION("COUNTA(iferror(filter(Status!H:H,Status!A:A=A28,Status!H:H=TRUE)))"),6.0)</f>
        <v>6</v>
      </c>
      <c r="L28" s="23">
        <f>IFERROR(__xludf.DUMMYFUNCTION("COUNTA(iferror(filter(Status!L:L,Status!A:A=A28)))"),4.0)</f>
        <v>4</v>
      </c>
      <c r="M28" s="25">
        <f>IFERROR(__xludf.DUMMYFUNCTION("COUNTA(iferror(filter(Status!L:L,Status!A:A=A28,Status!L:L=TRUE)))"),2.0)</f>
        <v>2</v>
      </c>
      <c r="N28" s="23">
        <f>IFERROR(__xludf.DUMMYFUNCTION("COUNTA(iferror(filter(Status!N:N,Status!A:A=A28,Status!N:N=TRUE)))"),7.0)</f>
        <v>7</v>
      </c>
      <c r="O28" s="25">
        <f>IFERROR(__xludf.DUMMYFUNCTION("COUNTA(iferror(filter(Status!N:N,Status!A:A=A28,Status!N:N=TRUE)))"),7.0)</f>
        <v>7</v>
      </c>
      <c r="P28" s="23">
        <f>IFERROR(__xludf.DUMMYFUNCTION("COUNTA(iferror(filter(Status!P:P,Status!A:A=A28)))"),7.0)</f>
        <v>7</v>
      </c>
      <c r="Q28" s="25">
        <f>IFERROR(__xludf.DUMMYFUNCTION("COUNTA(iferror(filter(Status!P:P,Status!A:A=A28,Status!P:P=TRUE)))"),5.0)</f>
        <v>5</v>
      </c>
      <c r="R28" s="23">
        <f>IFERROR(__xludf.DUMMYFUNCTION("COUNTA(iferror(filter(Status!R:R,Status!A:A=A28)))"),6.0)</f>
        <v>6</v>
      </c>
      <c r="S28" s="25">
        <f>IFERROR(__xludf.DUMMYFUNCTION("COUNTA(iferror(filter(Status!R:R,Status!A:A=A28,Status!R:R=TRUE)))"),4.0)</f>
        <v>4</v>
      </c>
      <c r="V28" s="23">
        <f>IFERROR(__xludf.DUMMYFUNCTION("if((countif(filter(Status!$C:$C,Status!$A:$A=$A28),CONCATENATE(V$2,""*""))-W28)&gt;0,(countif(filter(Status!$C:$C,Status!$A:$A=$A28),CONCATENATE(V$2,""*""))-W28),"""")"),1.0)</f>
        <v>1</v>
      </c>
      <c r="W28" s="23" t="str">
        <f>IFERROR(__xludf.DUMMYFUNCTION("if(countif(filter(Status!$C:$C,Status!$A:$A=$A28),CONCATENATE(W$2,""*""))&gt;0,countif(filter(Status!$C:$C,Status!$A:$A=$A28),CONCATENATE(W$2,""*"")),"""")"),"")</f>
        <v/>
      </c>
      <c r="X28" s="23" t="str">
        <f>IFERROR(__xludf.DUMMYFUNCTION("if(countif(filter(Status!$C:$C,Status!$A:$A=$A28),CONCATENATE(X$2,""*""))&gt;0,countif(filter(Status!$C:$C,Status!$A:$A=$A28),CONCATENATE(X$2,""*"")),"""")"),"")</f>
        <v/>
      </c>
      <c r="Y28" s="23" t="str">
        <f>IFERROR(__xludf.DUMMYFUNCTION("if(countif(filter(Status!$C:$C,Status!$A:$A=$A28),CONCATENATE(Y$2,""*""))&gt;0,countif(filter(Status!$C:$C,Status!$A:$A=$A28),CONCATENATE(Y$2,""*"")),"""")"),"")</f>
        <v/>
      </c>
      <c r="Z28" s="23" t="str">
        <f>IFERROR(__xludf.DUMMYFUNCTION("if(countif(filter(Status!$C:$C,Status!$A:$A=$A28),CONCATENATE(Z$2,""*""))&gt;0,countif(filter(Status!$C:$C,Status!$A:$A=$A28),CONCATENATE(Z$2,""*"")),"""")"),"")</f>
        <v/>
      </c>
      <c r="AA28" s="23">
        <f>IFERROR(__xludf.DUMMYFUNCTION("if((countif(filter(Status!$C:$C,Status!$A:$A=$A28),CONCATENATE(AA$2,""*""))-AB28)&gt;0,(countif(filter(Status!$C:$C,Status!$A:$A=$A28),CONCATENATE(AA$2,""*""))-AB28),"""")"),2.0)</f>
        <v>2</v>
      </c>
      <c r="AB28" s="23">
        <f>IFERROR(__xludf.DUMMYFUNCTION("if(countif(filter(Status!$C:$C,Status!$A:$A=$A28),CONCATENATE(AB$2,""*""))&gt;0,countif(filter(Status!$C:$C,Status!$A:$A=$A28),CONCATENATE(AB$2,""*"")),"""")"),2.0)</f>
        <v>2</v>
      </c>
      <c r="AC28" s="23">
        <f>IFERROR(__xludf.DUMMYFUNCTION("if(countif(filter(Status!$C:$C,Status!$A:$A=$A28),CONCATENATE(AC$2,""*""))&gt;0,countif(filter(Status!$C:$C,Status!$A:$A=$A28),CONCATENATE(AC$2,""*"")),"""")"),1.0)</f>
        <v>1</v>
      </c>
      <c r="AD28" s="23" t="str">
        <f>IFERROR(__xludf.DUMMYFUNCTION("if(countif(filter(Status!$C:$C,Status!$A:$A=$A28),CONCATENATE(AD$2,""*""))&gt;0,countif(filter(Status!$C:$C,Status!$A:$A=$A28),CONCATENATE(AD$2,""*"")),"""")"),"")</f>
        <v/>
      </c>
      <c r="AE28" s="23">
        <f>IFERROR(__xludf.DUMMYFUNCTION("if(countif(filter(Status!$C:$C,Status!$A:$A=$A28),CONCATENATE(AE$2,""*""))&gt;0,countif(filter(Status!$C:$C,Status!$A:$A=$A28),CONCATENATE(AE$2,""*"")),"""")"),1.0)</f>
        <v>1</v>
      </c>
      <c r="AF28" s="23" t="str">
        <f>IFERROR(__xludf.DUMMYFUNCTION("if(countif(filter(Status!$C:$C,Status!$A:$A=$A28),CONCATENATE(AF$2,""*""))&gt;0,countif(filter(Status!$C:$C,Status!$A:$A=$A28),CONCATENATE(AF$2,""*"")),"""")"),"")</f>
        <v/>
      </c>
      <c r="AG28" s="23" t="str">
        <f>IFERROR(__xludf.DUMMYFUNCTION("if(countif(filter(Status!$C:$C,Status!$A:$A=$A28),CONCATENATE(AG$2,""*""))&gt;0,countif(filter(Status!$C:$C,Status!$A:$A=$A28),CONCATENATE(AG$2,""*"")),"""")"),"")</f>
        <v/>
      </c>
      <c r="AH28" s="23" t="str">
        <f>IFERROR(__xludf.DUMMYFUNCTION("if(countif(filter(Status!$C:$C,Status!$A:$A=$A28),CONCATENATE(AH$2,""*""))&gt;0,countif(filter(Status!$C:$C,Status!$A:$A=$A28),CONCATENATE(AH$2,""*"")),"""")"),"")</f>
        <v/>
      </c>
      <c r="AI28" s="23" t="str">
        <f>IFERROR(__xludf.DUMMYFUNCTION("if(countif(filter(Status!$C:$C,Status!$A:$A=$A28),CONCATENATE(AI$2,""*""))&gt;0,countif(filter(Status!$C:$C,Status!$A:$A=$A28),CONCATENATE(AI$2,""*"")),"""")"),"")</f>
        <v/>
      </c>
      <c r="AJ28" s="23">
        <f>IFERROR(__xludf.DUMMYFUNCTION("if(countif(filter(Status!$C:$C,Status!$A:$A=$A28),CONCATENATE(AJ$2,""*""))&gt;0,countif(filter(Status!$C:$C,Status!$A:$A=$A28),CONCATENATE(AJ$2,""*"")),"""")"),1.0)</f>
        <v>1</v>
      </c>
      <c r="AK28" s="23" t="str">
        <f>IFERROR(__xludf.DUMMYFUNCTION("if(countif(filter(Status!$C:$C,Status!$A:$A=$A28),CONCATENATE(AK$2,""*""))&gt;0,countif(filter(Status!$C:$C,Status!$A:$A=$A28),CONCATENATE(AK$2,""*"")),"""")"),"")</f>
        <v/>
      </c>
      <c r="AL28" s="23" t="str">
        <f>IFERROR(__xludf.DUMMYFUNCTION("if(countif(filter(Status!$C:$C,Status!$A:$A=$A28),CONCATENATE(AL$2,""*""))&gt;0,countif(filter(Status!$C:$C,Status!$A:$A=$A28),CONCATENATE(AL$2,""*"")),"""")"),"")</f>
        <v/>
      </c>
      <c r="AM28" s="23" t="str">
        <f>IFERROR(__xludf.DUMMYFUNCTION("if(countif(filter(Status!$C:$C,Status!$A:$A=$A28),CONCATENATE(AM$2,""*""))&gt;0,countif(filter(Status!$C:$C,Status!$A:$A=$A28),CONCATENATE(AM$2,""*"")),"""")"),"")</f>
        <v/>
      </c>
      <c r="AN28" s="23" t="str">
        <f>IFERROR(__xludf.DUMMYFUNCTION("if(countif(filter(Status!$C:$C,Status!$A:$A=$A28),CONCATENATE(AN$2,""*""))&gt;0,countif(filter(Status!$C:$C,Status!$A:$A=$A28),CONCATENATE(AN$2,""*"")),"""")"),"")</f>
        <v/>
      </c>
      <c r="AO28" s="23">
        <f>IFERROR(__xludf.DUMMYFUNCTION("if(countif(filter(Status!$C:$C,Status!$A:$A=$A28),CONCATENATE(AO$2,""*""))&gt;0,countif(filter(Status!$C:$C,Status!$A:$A=$A28),CONCATENATE(AO$2,""*"")),"""")"),1.0)</f>
        <v>1</v>
      </c>
      <c r="AP28" s="23">
        <f>IFERROR(__xludf.DUMMYFUNCTION("counta(iferror(filter(Status!C:C,Status!A:A=A28)))"),9.0)</f>
        <v>9</v>
      </c>
      <c r="AQ28" s="23">
        <f t="shared" si="6"/>
        <v>9</v>
      </c>
    </row>
    <row r="29">
      <c r="A29" s="1" t="s">
        <v>466</v>
      </c>
      <c r="B29" s="21">
        <f>IFERROR(__xludf.DUMMYFUNCTION("max(filter(Status!E:E,Status!A:A=A29))"),43698.0)</f>
        <v>43698</v>
      </c>
      <c r="C29" s="23">
        <f t="shared" si="1"/>
        <v>1</v>
      </c>
      <c r="D29" s="23">
        <f t="shared" si="2"/>
        <v>0.625</v>
      </c>
      <c r="E29" s="23">
        <f t="shared" si="3"/>
        <v>1</v>
      </c>
      <c r="F29" s="23">
        <f t="shared" si="4"/>
        <v>0.7</v>
      </c>
      <c r="G29" s="25">
        <f t="shared" si="5"/>
        <v>0.2</v>
      </c>
      <c r="J29" s="23">
        <f>IFERROR(__xludf.DUMMYFUNCTION("COUNTA(iferror(filter(Status!H:H,Status!A:A=A29)))"),8.0)</f>
        <v>8</v>
      </c>
      <c r="K29" s="25">
        <f>IFERROR(__xludf.DUMMYFUNCTION("COUNTA(iferror(filter(Status!H:H,Status!A:A=A29,Status!H:H=TRUE)))"),8.0)</f>
        <v>8</v>
      </c>
      <c r="L29" s="23">
        <f>IFERROR(__xludf.DUMMYFUNCTION("COUNTA(iferror(filter(Status!L:L,Status!A:A=A29)))"),8.0)</f>
        <v>8</v>
      </c>
      <c r="M29" s="25">
        <f>IFERROR(__xludf.DUMMYFUNCTION("COUNTA(iferror(filter(Status!L:L,Status!A:A=A29,Status!L:L=TRUE)))"),5.0)</f>
        <v>5</v>
      </c>
      <c r="N29" s="23">
        <f>IFERROR(__xludf.DUMMYFUNCTION("COUNTA(iferror(filter(Status!N:N,Status!A:A=A29,Status!N:N=TRUE)))"),9.0)</f>
        <v>9</v>
      </c>
      <c r="O29" s="25">
        <f>IFERROR(__xludf.DUMMYFUNCTION("COUNTA(iferror(filter(Status!N:N,Status!A:A=A29,Status!N:N=TRUE)))"),9.0)</f>
        <v>9</v>
      </c>
      <c r="P29" s="23">
        <f>IFERROR(__xludf.DUMMYFUNCTION("COUNTA(iferror(filter(Status!P:P,Status!A:A=A29)))"),10.0)</f>
        <v>10</v>
      </c>
      <c r="Q29" s="25">
        <f>IFERROR(__xludf.DUMMYFUNCTION("COUNTA(iferror(filter(Status!P:P,Status!A:A=A29,Status!P:P=TRUE)))"),7.0)</f>
        <v>7</v>
      </c>
      <c r="R29" s="23">
        <f>IFERROR(__xludf.DUMMYFUNCTION("COUNTA(iferror(filter(Status!R:R,Status!A:A=A29)))"),10.0)</f>
        <v>10</v>
      </c>
      <c r="S29" s="25">
        <f>IFERROR(__xludf.DUMMYFUNCTION("COUNTA(iferror(filter(Status!R:R,Status!A:A=A29,Status!R:R=TRUE)))"),2.0)</f>
        <v>2</v>
      </c>
      <c r="V29" s="23" t="str">
        <f>IFERROR(__xludf.DUMMYFUNCTION("if((countif(filter(Status!$C:$C,Status!$A:$A=$A29),CONCATENATE(V$2,""*""))-W29)&gt;0,(countif(filter(Status!$C:$C,Status!$A:$A=$A29),CONCATENATE(V$2,""*""))-W29),"""")"),"")</f>
        <v/>
      </c>
      <c r="W29" s="23" t="str">
        <f>IFERROR(__xludf.DUMMYFUNCTION("if(countif(filter(Status!$C:$C,Status!$A:$A=$A29),CONCATENATE(W$2,""*""))&gt;0,countif(filter(Status!$C:$C,Status!$A:$A=$A29),CONCATENATE(W$2,""*"")),"""")"),"")</f>
        <v/>
      </c>
      <c r="X29" s="23" t="str">
        <f>IFERROR(__xludf.DUMMYFUNCTION("if(countif(filter(Status!$C:$C,Status!$A:$A=$A29),CONCATENATE(X$2,""*""))&gt;0,countif(filter(Status!$C:$C,Status!$A:$A=$A29),CONCATENATE(X$2,""*"")),"""")"),"")</f>
        <v/>
      </c>
      <c r="Y29" s="23" t="str">
        <f>IFERROR(__xludf.DUMMYFUNCTION("if(countif(filter(Status!$C:$C,Status!$A:$A=$A29),CONCATENATE(Y$2,""*""))&gt;0,countif(filter(Status!$C:$C,Status!$A:$A=$A29),CONCATENATE(Y$2,""*"")),"""")"),"")</f>
        <v/>
      </c>
      <c r="Z29" s="23">
        <f>IFERROR(__xludf.DUMMYFUNCTION("if(countif(filter(Status!$C:$C,Status!$A:$A=$A29),CONCATENATE(Z$2,""*""))&gt;0,countif(filter(Status!$C:$C,Status!$A:$A=$A29),CONCATENATE(Z$2,""*"")),"""")"),5.0)</f>
        <v>5</v>
      </c>
      <c r="AA29" s="23">
        <f>IFERROR(__xludf.DUMMYFUNCTION("if((countif(filter(Status!$C:$C,Status!$A:$A=$A29),CONCATENATE(AA$2,""*""))-AB29)&gt;0,(countif(filter(Status!$C:$C,Status!$A:$A=$A29),CONCATENATE(AA$2,""*""))-AB29),"""")"),2.0)</f>
        <v>2</v>
      </c>
      <c r="AB29" s="23">
        <f>IFERROR(__xludf.DUMMYFUNCTION("if(countif(filter(Status!$C:$C,Status!$A:$A=$A29),CONCATENATE(AB$2,""*""))&gt;0,countif(filter(Status!$C:$C,Status!$A:$A=$A29),CONCATENATE(AB$2,""*"")),"""")"),2.0)</f>
        <v>2</v>
      </c>
      <c r="AC29" s="23" t="str">
        <f>IFERROR(__xludf.DUMMYFUNCTION("if(countif(filter(Status!$C:$C,Status!$A:$A=$A29),CONCATENATE(AC$2,""*""))&gt;0,countif(filter(Status!$C:$C,Status!$A:$A=$A29),CONCATENATE(AC$2,""*"")),"""")"),"")</f>
        <v/>
      </c>
      <c r="AD29" s="23" t="str">
        <f>IFERROR(__xludf.DUMMYFUNCTION("if(countif(filter(Status!$C:$C,Status!$A:$A=$A29),CONCATENATE(AD$2,""*""))&gt;0,countif(filter(Status!$C:$C,Status!$A:$A=$A29),CONCATENATE(AD$2,""*"")),"""")"),"")</f>
        <v/>
      </c>
      <c r="AE29" s="23">
        <f>IFERROR(__xludf.DUMMYFUNCTION("if(countif(filter(Status!$C:$C,Status!$A:$A=$A29),CONCATENATE(AE$2,""*""))&gt;0,countif(filter(Status!$C:$C,Status!$A:$A=$A29),CONCATENATE(AE$2,""*"")),"""")"),1.0)</f>
        <v>1</v>
      </c>
      <c r="AF29" s="23">
        <f>IFERROR(__xludf.DUMMYFUNCTION("if(countif(filter(Status!$C:$C,Status!$A:$A=$A29),CONCATENATE(AF$2,""*""))&gt;0,countif(filter(Status!$C:$C,Status!$A:$A=$A29),CONCATENATE(AF$2,""*"")),"""")"),1.0)</f>
        <v>1</v>
      </c>
      <c r="AG29" s="23" t="str">
        <f>IFERROR(__xludf.DUMMYFUNCTION("if(countif(filter(Status!$C:$C,Status!$A:$A=$A29),CONCATENATE(AG$2,""*""))&gt;0,countif(filter(Status!$C:$C,Status!$A:$A=$A29),CONCATENATE(AG$2,""*"")),"""")"),"")</f>
        <v/>
      </c>
      <c r="AH29" s="23" t="str">
        <f>IFERROR(__xludf.DUMMYFUNCTION("if(countif(filter(Status!$C:$C,Status!$A:$A=$A29),CONCATENATE(AH$2,""*""))&gt;0,countif(filter(Status!$C:$C,Status!$A:$A=$A29),CONCATENATE(AH$2,""*"")),"""")"),"")</f>
        <v/>
      </c>
      <c r="AI29" s="23" t="str">
        <f>IFERROR(__xludf.DUMMYFUNCTION("if(countif(filter(Status!$C:$C,Status!$A:$A=$A29),CONCATENATE(AI$2,""*""))&gt;0,countif(filter(Status!$C:$C,Status!$A:$A=$A29),CONCATENATE(AI$2,""*"")),"""")"),"")</f>
        <v/>
      </c>
      <c r="AJ29" s="23" t="str">
        <f>IFERROR(__xludf.DUMMYFUNCTION("if(countif(filter(Status!$C:$C,Status!$A:$A=$A29),CONCATENATE(AJ$2,""*""))&gt;0,countif(filter(Status!$C:$C,Status!$A:$A=$A29),CONCATENATE(AJ$2,""*"")),"""")"),"")</f>
        <v/>
      </c>
      <c r="AK29" s="23" t="str">
        <f>IFERROR(__xludf.DUMMYFUNCTION("if(countif(filter(Status!$C:$C,Status!$A:$A=$A29),CONCATENATE(AK$2,""*""))&gt;0,countif(filter(Status!$C:$C,Status!$A:$A=$A29),CONCATENATE(AK$2,""*"")),"""")"),"")</f>
        <v/>
      </c>
      <c r="AL29" s="23" t="str">
        <f>IFERROR(__xludf.DUMMYFUNCTION("if(countif(filter(Status!$C:$C,Status!$A:$A=$A29),CONCATENATE(AL$2,""*""))&gt;0,countif(filter(Status!$C:$C,Status!$A:$A=$A29),CONCATENATE(AL$2,""*"")),"""")"),"")</f>
        <v/>
      </c>
      <c r="AM29" s="23" t="str">
        <f>IFERROR(__xludf.DUMMYFUNCTION("if(countif(filter(Status!$C:$C,Status!$A:$A=$A29),CONCATENATE(AM$2,""*""))&gt;0,countif(filter(Status!$C:$C,Status!$A:$A=$A29),CONCATENATE(AM$2,""*"")),"""")"),"")</f>
        <v/>
      </c>
      <c r="AN29" s="23" t="str">
        <f>IFERROR(__xludf.DUMMYFUNCTION("if(countif(filter(Status!$C:$C,Status!$A:$A=$A29),CONCATENATE(AN$2,""*""))&gt;0,countif(filter(Status!$C:$C,Status!$A:$A=$A29),CONCATENATE(AN$2,""*"")),"""")"),"")</f>
        <v/>
      </c>
      <c r="AO29" s="23" t="str">
        <f>IFERROR(__xludf.DUMMYFUNCTION("if(countif(filter(Status!$C:$C,Status!$A:$A=$A29),CONCATENATE(AO$2,""*""))&gt;0,countif(filter(Status!$C:$C,Status!$A:$A=$A29),CONCATENATE(AO$2,""*"")),"""")"),"")</f>
        <v/>
      </c>
      <c r="AP29" s="23">
        <f>IFERROR(__xludf.DUMMYFUNCTION("counta(iferror(filter(Status!C:C,Status!A:A=A29)))"),11.0)</f>
        <v>11</v>
      </c>
      <c r="AQ29" s="23">
        <f t="shared" si="6"/>
        <v>11</v>
      </c>
    </row>
    <row r="30">
      <c r="A30" s="1" t="s">
        <v>469</v>
      </c>
      <c r="B30" s="21">
        <f>IFERROR(__xludf.DUMMYFUNCTION("max(filter(Status!E:E,Status!A:A=A30))"),43699.0)</f>
        <v>43699</v>
      </c>
      <c r="C30" s="23">
        <f t="shared" si="1"/>
        <v>1</v>
      </c>
      <c r="D30" s="23">
        <f t="shared" si="2"/>
        <v>0.8</v>
      </c>
      <c r="E30" s="23">
        <f t="shared" si="3"/>
        <v>1</v>
      </c>
      <c r="F30" s="23">
        <f t="shared" si="4"/>
        <v>0.8333333333</v>
      </c>
      <c r="G30" s="25">
        <f t="shared" si="5"/>
        <v>0.1666666667</v>
      </c>
      <c r="J30" s="23">
        <f>IFERROR(__xludf.DUMMYFUNCTION("COUNTA(iferror(filter(Status!H:H,Status!A:A=A30)))"),11.0)</f>
        <v>11</v>
      </c>
      <c r="K30" s="25">
        <f>IFERROR(__xludf.DUMMYFUNCTION("COUNTA(iferror(filter(Status!H:H,Status!A:A=A30,Status!H:H=TRUE)))"),11.0)</f>
        <v>11</v>
      </c>
      <c r="L30" s="23">
        <f>IFERROR(__xludf.DUMMYFUNCTION("COUNTA(iferror(filter(Status!L:L,Status!A:A=A30)))"),10.0)</f>
        <v>10</v>
      </c>
      <c r="M30" s="25">
        <f>IFERROR(__xludf.DUMMYFUNCTION("COUNTA(iferror(filter(Status!L:L,Status!A:A=A30,Status!L:L=TRUE)))"),8.0)</f>
        <v>8</v>
      </c>
      <c r="N30" s="23">
        <f>IFERROR(__xludf.DUMMYFUNCTION("COUNTA(iferror(filter(Status!N:N,Status!A:A=A30,Status!N:N=TRUE)))"),10.0)</f>
        <v>10</v>
      </c>
      <c r="O30" s="25">
        <f>IFERROR(__xludf.DUMMYFUNCTION("COUNTA(iferror(filter(Status!N:N,Status!A:A=A30,Status!N:N=TRUE)))"),10.0)</f>
        <v>10</v>
      </c>
      <c r="P30" s="23">
        <f>IFERROR(__xludf.DUMMYFUNCTION("COUNTA(iferror(filter(Status!P:P,Status!A:A=A30)))"),12.0)</f>
        <v>12</v>
      </c>
      <c r="Q30" s="25">
        <f>IFERROR(__xludf.DUMMYFUNCTION("COUNTA(iferror(filter(Status!P:P,Status!A:A=A30,Status!P:P=TRUE)))"),10.0)</f>
        <v>10</v>
      </c>
      <c r="R30" s="23">
        <f>IFERROR(__xludf.DUMMYFUNCTION("COUNTA(iferror(filter(Status!R:R,Status!A:A=A30)))"),12.0)</f>
        <v>12</v>
      </c>
      <c r="S30" s="25">
        <f>IFERROR(__xludf.DUMMYFUNCTION("COUNTA(iferror(filter(Status!R:R,Status!A:A=A30,Status!R:R=TRUE)))"),2.0)</f>
        <v>2</v>
      </c>
      <c r="V30" s="23" t="str">
        <f>IFERROR(__xludf.DUMMYFUNCTION("if((countif(filter(Status!$C:$C,Status!$A:$A=$A30),CONCATENATE(V$2,""*""))-W30)&gt;0,(countif(filter(Status!$C:$C,Status!$A:$A=$A30),CONCATENATE(V$2,""*""))-W30),"""")"),"")</f>
        <v/>
      </c>
      <c r="W30" s="23" t="str">
        <f>IFERROR(__xludf.DUMMYFUNCTION("if(countif(filter(Status!$C:$C,Status!$A:$A=$A30),CONCATENATE(W$2,""*""))&gt;0,countif(filter(Status!$C:$C,Status!$A:$A=$A30),CONCATENATE(W$2,""*"")),"""")"),"")</f>
        <v/>
      </c>
      <c r="X30" s="23" t="str">
        <f>IFERROR(__xludf.DUMMYFUNCTION("if(countif(filter(Status!$C:$C,Status!$A:$A=$A30),CONCATENATE(X$2,""*""))&gt;0,countif(filter(Status!$C:$C,Status!$A:$A=$A30),CONCATENATE(X$2,""*"")),"""")"),"")</f>
        <v/>
      </c>
      <c r="Y30" s="23">
        <f>IFERROR(__xludf.DUMMYFUNCTION("if(countif(filter(Status!$C:$C,Status!$A:$A=$A30),CONCATENATE(Y$2,""*""))&gt;0,countif(filter(Status!$C:$C,Status!$A:$A=$A30),CONCATENATE(Y$2,""*"")),"""")"),8.0)</f>
        <v>8</v>
      </c>
      <c r="Z30" s="23" t="str">
        <f>IFERROR(__xludf.DUMMYFUNCTION("if(countif(filter(Status!$C:$C,Status!$A:$A=$A30),CONCATENATE(Z$2,""*""))&gt;0,countif(filter(Status!$C:$C,Status!$A:$A=$A30),CONCATENATE(Z$2,""*"")),"""")"),"")</f>
        <v/>
      </c>
      <c r="AA30" s="23">
        <f>IFERROR(__xludf.DUMMYFUNCTION("if((countif(filter(Status!$C:$C,Status!$A:$A=$A30),CONCATENATE(AA$2,""*""))-AB30)&gt;0,(countif(filter(Status!$C:$C,Status!$A:$A=$A30),CONCATENATE(AA$2,""*""))-AB30),"""")"),2.0)</f>
        <v>2</v>
      </c>
      <c r="AB30" s="23">
        <f>IFERROR(__xludf.DUMMYFUNCTION("if(countif(filter(Status!$C:$C,Status!$A:$A=$A30),CONCATENATE(AB$2,""*""))&gt;0,countif(filter(Status!$C:$C,Status!$A:$A=$A30),CONCATENATE(AB$2,""*"")),"""")"),2.0)</f>
        <v>2</v>
      </c>
      <c r="AC30" s="23" t="str">
        <f>IFERROR(__xludf.DUMMYFUNCTION("if(countif(filter(Status!$C:$C,Status!$A:$A=$A30),CONCATENATE(AC$2,""*""))&gt;0,countif(filter(Status!$C:$C,Status!$A:$A=$A30),CONCATENATE(AC$2,""*"")),"""")"),"")</f>
        <v/>
      </c>
      <c r="AD30" s="23" t="str">
        <f>IFERROR(__xludf.DUMMYFUNCTION("if(countif(filter(Status!$C:$C,Status!$A:$A=$A30),CONCATENATE(AD$2,""*""))&gt;0,countif(filter(Status!$C:$C,Status!$A:$A=$A30),CONCATENATE(AD$2,""*"")),"""")"),"")</f>
        <v/>
      </c>
      <c r="AE30" s="23">
        <f>IFERROR(__xludf.DUMMYFUNCTION("if(countif(filter(Status!$C:$C,Status!$A:$A=$A30),CONCATENATE(AE$2,""*""))&gt;0,countif(filter(Status!$C:$C,Status!$A:$A=$A30),CONCATENATE(AE$2,""*"")),"""")"),1.0)</f>
        <v>1</v>
      </c>
      <c r="AF30" s="23" t="str">
        <f>IFERROR(__xludf.DUMMYFUNCTION("if(countif(filter(Status!$C:$C,Status!$A:$A=$A30),CONCATENATE(AF$2,""*""))&gt;0,countif(filter(Status!$C:$C,Status!$A:$A=$A30),CONCATENATE(AF$2,""*"")),"""")"),"")</f>
        <v/>
      </c>
      <c r="AG30" s="23" t="str">
        <f>IFERROR(__xludf.DUMMYFUNCTION("if(countif(filter(Status!$C:$C,Status!$A:$A=$A30),CONCATENATE(AG$2,""*""))&gt;0,countif(filter(Status!$C:$C,Status!$A:$A=$A30),CONCATENATE(AG$2,""*"")),"""")"),"")</f>
        <v/>
      </c>
      <c r="AH30" s="23" t="str">
        <f>IFERROR(__xludf.DUMMYFUNCTION("if(countif(filter(Status!$C:$C,Status!$A:$A=$A30),CONCATENATE(AH$2,""*""))&gt;0,countif(filter(Status!$C:$C,Status!$A:$A=$A30),CONCATENATE(AH$2,""*"")),"""")"),"")</f>
        <v/>
      </c>
      <c r="AI30" s="23" t="str">
        <f>IFERROR(__xludf.DUMMYFUNCTION("if(countif(filter(Status!$C:$C,Status!$A:$A=$A30),CONCATENATE(AI$2,""*""))&gt;0,countif(filter(Status!$C:$C,Status!$A:$A=$A30),CONCATENATE(AI$2,""*"")),"""")"),"")</f>
        <v/>
      </c>
      <c r="AJ30" s="23" t="str">
        <f>IFERROR(__xludf.DUMMYFUNCTION("if(countif(filter(Status!$C:$C,Status!$A:$A=$A30),CONCATENATE(AJ$2,""*""))&gt;0,countif(filter(Status!$C:$C,Status!$A:$A=$A30),CONCATENATE(AJ$2,""*"")),"""")"),"")</f>
        <v/>
      </c>
      <c r="AK30" s="23" t="str">
        <f>IFERROR(__xludf.DUMMYFUNCTION("if(countif(filter(Status!$C:$C,Status!$A:$A=$A30),CONCATENATE(AK$2,""*""))&gt;0,countif(filter(Status!$C:$C,Status!$A:$A=$A30),CONCATENATE(AK$2,""*"")),"""")"),"")</f>
        <v/>
      </c>
      <c r="AL30" s="23" t="str">
        <f>IFERROR(__xludf.DUMMYFUNCTION("if(countif(filter(Status!$C:$C,Status!$A:$A=$A30),CONCATENATE(AL$2,""*""))&gt;0,countif(filter(Status!$C:$C,Status!$A:$A=$A30),CONCATENATE(AL$2,""*"")),"""")"),"")</f>
        <v/>
      </c>
      <c r="AM30" s="23" t="str">
        <f>IFERROR(__xludf.DUMMYFUNCTION("if(countif(filter(Status!$C:$C,Status!$A:$A=$A30),CONCATENATE(AM$2,""*""))&gt;0,countif(filter(Status!$C:$C,Status!$A:$A=$A30),CONCATENATE(AM$2,""*"")),"""")"),"")</f>
        <v/>
      </c>
      <c r="AN30" s="23" t="str">
        <f>IFERROR(__xludf.DUMMYFUNCTION("if(countif(filter(Status!$C:$C,Status!$A:$A=$A30),CONCATENATE(AN$2,""*""))&gt;0,countif(filter(Status!$C:$C,Status!$A:$A=$A30),CONCATENATE(AN$2,""*"")),"""")"),"")</f>
        <v/>
      </c>
      <c r="AO30" s="23" t="str">
        <f>IFERROR(__xludf.DUMMYFUNCTION("if(countif(filter(Status!$C:$C,Status!$A:$A=$A30),CONCATENATE(AO$2,""*""))&gt;0,countif(filter(Status!$C:$C,Status!$A:$A=$A30),CONCATENATE(AO$2,""*"")),"""")"),"")</f>
        <v/>
      </c>
      <c r="AP30" s="23">
        <f>IFERROR(__xludf.DUMMYFUNCTION("counta(iferror(filter(Status!C:C,Status!A:A=A30)))"),13.0)</f>
        <v>13</v>
      </c>
      <c r="AQ30" s="23">
        <f t="shared" si="6"/>
        <v>13</v>
      </c>
    </row>
    <row r="31">
      <c r="A31" s="1" t="s">
        <v>472</v>
      </c>
      <c r="B31" s="21">
        <f>IFERROR(__xludf.DUMMYFUNCTION("max(filter(Status!E:E,Status!A:A=A31))"),43703.0)</f>
        <v>43703</v>
      </c>
      <c r="C31" s="23">
        <f t="shared" si="1"/>
        <v>0.625</v>
      </c>
      <c r="D31" s="23">
        <f t="shared" si="2"/>
        <v>0.2222222222</v>
      </c>
      <c r="E31" s="23">
        <f t="shared" si="3"/>
        <v>1</v>
      </c>
      <c r="F31" s="23">
        <f t="shared" si="4"/>
        <v>0.6</v>
      </c>
      <c r="G31" s="25">
        <f t="shared" si="5"/>
        <v>0.5</v>
      </c>
      <c r="J31" s="23">
        <f>IFERROR(__xludf.DUMMYFUNCTION("COUNTA(iferror(filter(Status!H:H,Status!A:A=A31)))"),8.0)</f>
        <v>8</v>
      </c>
      <c r="K31" s="25">
        <f>IFERROR(__xludf.DUMMYFUNCTION("COUNTA(iferror(filter(Status!H:H,Status!A:A=A31,Status!H:H=TRUE)))"),5.0)</f>
        <v>5</v>
      </c>
      <c r="L31" s="23">
        <f>IFERROR(__xludf.DUMMYFUNCTION("COUNTA(iferror(filter(Status!L:L,Status!A:A=A31)))"),9.0)</f>
        <v>9</v>
      </c>
      <c r="M31" s="25">
        <f>IFERROR(__xludf.DUMMYFUNCTION("COUNTA(iferror(filter(Status!L:L,Status!A:A=A31,Status!L:L=TRUE)))"),2.0)</f>
        <v>2</v>
      </c>
      <c r="N31" s="23">
        <f>IFERROR(__xludf.DUMMYFUNCTION("COUNTA(iferror(filter(Status!N:N,Status!A:A=A31,Status!N:N=TRUE)))"),10.0)</f>
        <v>10</v>
      </c>
      <c r="O31" s="25">
        <f>IFERROR(__xludf.DUMMYFUNCTION("COUNTA(iferror(filter(Status!N:N,Status!A:A=A31,Status!N:N=TRUE)))"),10.0)</f>
        <v>10</v>
      </c>
      <c r="P31" s="23">
        <f>IFERROR(__xludf.DUMMYFUNCTION("COUNTA(iferror(filter(Status!P:P,Status!A:A=A31)))"),10.0)</f>
        <v>10</v>
      </c>
      <c r="Q31" s="25">
        <f>IFERROR(__xludf.DUMMYFUNCTION("COUNTA(iferror(filter(Status!P:P,Status!A:A=A31,Status!P:P=TRUE)))"),6.0)</f>
        <v>6</v>
      </c>
      <c r="R31" s="23">
        <f>IFERROR(__xludf.DUMMYFUNCTION("COUNTA(iferror(filter(Status!R:R,Status!A:A=A31)))"),6.0)</f>
        <v>6</v>
      </c>
      <c r="S31" s="25">
        <f>IFERROR(__xludf.DUMMYFUNCTION("COUNTA(iferror(filter(Status!R:R,Status!A:A=A31,Status!R:R=TRUE)))"),3.0)</f>
        <v>3</v>
      </c>
      <c r="V31" s="23" t="str">
        <f>IFERROR(__xludf.DUMMYFUNCTION("if((countif(filter(Status!$C:$C,Status!$A:$A=$A31),CONCATENATE(V$2,""*""))-W31)&gt;0,(countif(filter(Status!$C:$C,Status!$A:$A=$A31),CONCATENATE(V$2,""*""))-W31),"""")"),"")</f>
        <v/>
      </c>
      <c r="W31" s="23" t="str">
        <f>IFERROR(__xludf.DUMMYFUNCTION("if(countif(filter(Status!$C:$C,Status!$A:$A=$A31),CONCATENATE(W$2,""*""))&gt;0,countif(filter(Status!$C:$C,Status!$A:$A=$A31),CONCATENATE(W$2,""*"")),"""")"),"")</f>
        <v/>
      </c>
      <c r="X31" s="23" t="str">
        <f>IFERROR(__xludf.DUMMYFUNCTION("if(countif(filter(Status!$C:$C,Status!$A:$A=$A31),CONCATENATE(X$2,""*""))&gt;0,countif(filter(Status!$C:$C,Status!$A:$A=$A31),CONCATENATE(X$2,""*"")),"""")"),"")</f>
        <v/>
      </c>
      <c r="Y31" s="23" t="str">
        <f>IFERROR(__xludf.DUMMYFUNCTION("if(countif(filter(Status!$C:$C,Status!$A:$A=$A31),CONCATENATE(Y$2,""*""))&gt;0,countif(filter(Status!$C:$C,Status!$A:$A=$A31),CONCATENATE(Y$2,""*"")),"""")"),"")</f>
        <v/>
      </c>
      <c r="Z31" s="23" t="str">
        <f>IFERROR(__xludf.DUMMYFUNCTION("if(countif(filter(Status!$C:$C,Status!$A:$A=$A31),CONCATENATE(Z$2,""*""))&gt;0,countif(filter(Status!$C:$C,Status!$A:$A=$A31),CONCATENATE(Z$2,""*"")),"""")"),"")</f>
        <v/>
      </c>
      <c r="AA31" s="23">
        <f>IFERROR(__xludf.DUMMYFUNCTION("if((countif(filter(Status!$C:$C,Status!$A:$A=$A31),CONCATENATE(AA$2,""*""))-AB31)&gt;0,(countif(filter(Status!$C:$C,Status!$A:$A=$A31),CONCATENATE(AA$2,""*""))-AB31),"""")"),3.0)</f>
        <v>3</v>
      </c>
      <c r="AB31" s="23">
        <f>IFERROR(__xludf.DUMMYFUNCTION("if(countif(filter(Status!$C:$C,Status!$A:$A=$A31),CONCATENATE(AB$2,""*""))&gt;0,countif(filter(Status!$C:$C,Status!$A:$A=$A31),CONCATENATE(AB$2,""*"")),"""")"),3.0)</f>
        <v>3</v>
      </c>
      <c r="AC31" s="23" t="str">
        <f>IFERROR(__xludf.DUMMYFUNCTION("if(countif(filter(Status!$C:$C,Status!$A:$A=$A31),CONCATENATE(AC$2,""*""))&gt;0,countif(filter(Status!$C:$C,Status!$A:$A=$A31),CONCATENATE(AC$2,""*"")),"""")"),"")</f>
        <v/>
      </c>
      <c r="AD31" s="23" t="str">
        <f>IFERROR(__xludf.DUMMYFUNCTION("if(countif(filter(Status!$C:$C,Status!$A:$A=$A31),CONCATENATE(AD$2,""*""))&gt;0,countif(filter(Status!$C:$C,Status!$A:$A=$A31),CONCATENATE(AD$2,""*"")),"""")"),"")</f>
        <v/>
      </c>
      <c r="AE31" s="23">
        <f>IFERROR(__xludf.DUMMYFUNCTION("if(countif(filter(Status!$C:$C,Status!$A:$A=$A31),CONCATENATE(AE$2,""*""))&gt;0,countif(filter(Status!$C:$C,Status!$A:$A=$A31),CONCATENATE(AE$2,""*"")),"""")"),1.0)</f>
        <v>1</v>
      </c>
      <c r="AF31" s="23">
        <f>IFERROR(__xludf.DUMMYFUNCTION("if(countif(filter(Status!$C:$C,Status!$A:$A=$A31),CONCATENATE(AF$2,""*""))&gt;0,countif(filter(Status!$C:$C,Status!$A:$A=$A31),CONCATENATE(AF$2,""*"")),"""")"),1.0)</f>
        <v>1</v>
      </c>
      <c r="AG31" s="23">
        <f>IFERROR(__xludf.DUMMYFUNCTION("if(countif(filter(Status!$C:$C,Status!$A:$A=$A31),CONCATENATE(AG$2,""*""))&gt;0,countif(filter(Status!$C:$C,Status!$A:$A=$A31),CONCATENATE(AG$2,""*"")),"""")"),1.0)</f>
        <v>1</v>
      </c>
      <c r="AH31" s="23" t="str">
        <f>IFERROR(__xludf.DUMMYFUNCTION("if(countif(filter(Status!$C:$C,Status!$A:$A=$A31),CONCATENATE(AH$2,""*""))&gt;0,countif(filter(Status!$C:$C,Status!$A:$A=$A31),CONCATENATE(AH$2,""*"")),"""")"),"")</f>
        <v/>
      </c>
      <c r="AI31" s="23">
        <f>IFERROR(__xludf.DUMMYFUNCTION("if(countif(filter(Status!$C:$C,Status!$A:$A=$A31),CONCATENATE(AI$2,""*""))&gt;0,countif(filter(Status!$C:$C,Status!$A:$A=$A31),CONCATENATE(AI$2,""*"")),"""")"),1.0)</f>
        <v>1</v>
      </c>
      <c r="AJ31" s="23" t="str">
        <f>IFERROR(__xludf.DUMMYFUNCTION("if(countif(filter(Status!$C:$C,Status!$A:$A=$A31),CONCATENATE(AJ$2,""*""))&gt;0,countif(filter(Status!$C:$C,Status!$A:$A=$A31),CONCATENATE(AJ$2,""*"")),"""")"),"")</f>
        <v/>
      </c>
      <c r="AK31" s="23" t="str">
        <f>IFERROR(__xludf.DUMMYFUNCTION("if(countif(filter(Status!$C:$C,Status!$A:$A=$A31),CONCATENATE(AK$2,""*""))&gt;0,countif(filter(Status!$C:$C,Status!$A:$A=$A31),CONCATENATE(AK$2,""*"")),"""")"),"")</f>
        <v/>
      </c>
      <c r="AL31" s="23" t="str">
        <f>IFERROR(__xludf.DUMMYFUNCTION("if(countif(filter(Status!$C:$C,Status!$A:$A=$A31),CONCATENATE(AL$2,""*""))&gt;0,countif(filter(Status!$C:$C,Status!$A:$A=$A31),CONCATENATE(AL$2,""*"")),"""")"),"")</f>
        <v/>
      </c>
      <c r="AM31" s="23">
        <f>IFERROR(__xludf.DUMMYFUNCTION("if(countif(filter(Status!$C:$C,Status!$A:$A=$A31),CONCATENATE(AM$2,""*""))&gt;0,countif(filter(Status!$C:$C,Status!$A:$A=$A31),CONCATENATE(AM$2,""*"")),"""")"),1.0)</f>
        <v>1</v>
      </c>
      <c r="AN31" s="23" t="str">
        <f>IFERROR(__xludf.DUMMYFUNCTION("if(countif(filter(Status!$C:$C,Status!$A:$A=$A31),CONCATENATE(AN$2,""*""))&gt;0,countif(filter(Status!$C:$C,Status!$A:$A=$A31),CONCATENATE(AN$2,""*"")),"""")"),"")</f>
        <v/>
      </c>
      <c r="AO31" s="23" t="str">
        <f>IFERROR(__xludf.DUMMYFUNCTION("if(countif(filter(Status!$C:$C,Status!$A:$A=$A31),CONCATENATE(AO$2,""*""))&gt;0,countif(filter(Status!$C:$C,Status!$A:$A=$A31),CONCATENATE(AO$2,""*"")),"""")"),"")</f>
        <v/>
      </c>
      <c r="AP31" s="23">
        <f>IFERROR(__xludf.DUMMYFUNCTION("counta(iferror(filter(Status!C:C,Status!A:A=A31)))"),11.0)</f>
        <v>11</v>
      </c>
      <c r="AQ31" s="23">
        <f t="shared" si="6"/>
        <v>11</v>
      </c>
    </row>
    <row r="32">
      <c r="A32" s="1" t="s">
        <v>478</v>
      </c>
      <c r="B32" s="21">
        <f>IFERROR(__xludf.DUMMYFUNCTION("max(filter(Status!E:E,Status!A:A=A32))"),43704.0)</f>
        <v>43704</v>
      </c>
      <c r="C32" s="23">
        <f t="shared" si="1"/>
        <v>0.8</v>
      </c>
      <c r="D32" s="23">
        <f t="shared" si="2"/>
        <v>0</v>
      </c>
      <c r="E32" s="23">
        <f t="shared" si="3"/>
        <v>1</v>
      </c>
      <c r="F32" s="23">
        <f t="shared" si="4"/>
        <v>0</v>
      </c>
      <c r="G32" s="25">
        <f t="shared" si="5"/>
        <v>0.8</v>
      </c>
      <c r="J32" s="23">
        <f>IFERROR(__xludf.DUMMYFUNCTION("COUNTA(iferror(filter(Status!H:H,Status!A:A=A32)))"),5.0)</f>
        <v>5</v>
      </c>
      <c r="K32" s="25">
        <f>IFERROR(__xludf.DUMMYFUNCTION("COUNTA(iferror(filter(Status!H:H,Status!A:A=A32,Status!H:H=TRUE)))"),4.0)</f>
        <v>4</v>
      </c>
      <c r="L32" s="23">
        <f>IFERROR(__xludf.DUMMYFUNCTION("COUNTA(iferror(filter(Status!L:L,Status!A:A=A32)))"),2.0)</f>
        <v>2</v>
      </c>
      <c r="M32" s="25">
        <f>IFERROR(__xludf.DUMMYFUNCTION("COUNTA(iferror(filter(Status!L:L,Status!A:A=A32,Status!L:L=TRUE)))"),0.0)</f>
        <v>0</v>
      </c>
      <c r="N32" s="23">
        <f>IFERROR(__xludf.DUMMYFUNCTION("COUNTA(iferror(filter(Status!N:N,Status!A:A=A32,Status!N:N=TRUE)))"),8.0)</f>
        <v>8</v>
      </c>
      <c r="O32" s="25">
        <f>IFERROR(__xludf.DUMMYFUNCTION("COUNTA(iferror(filter(Status!N:N,Status!A:A=A32,Status!N:N=TRUE)))"),8.0)</f>
        <v>8</v>
      </c>
      <c r="P32" s="23">
        <f>IFERROR(__xludf.DUMMYFUNCTION("COUNTA(iferror(filter(Status!P:P,Status!A:A=A32)))"),8.0)</f>
        <v>8</v>
      </c>
      <c r="Q32" s="25">
        <f>IFERROR(__xludf.DUMMYFUNCTION("COUNTA(iferror(filter(Status!P:P,Status!A:A=A32,Status!P:P=TRUE)))"),0.0)</f>
        <v>0</v>
      </c>
      <c r="R32" s="23">
        <f>IFERROR(__xludf.DUMMYFUNCTION("COUNTA(iferror(filter(Status!R:R,Status!A:A=A32)))"),5.0)</f>
        <v>5</v>
      </c>
      <c r="S32" s="25">
        <f>IFERROR(__xludf.DUMMYFUNCTION("COUNTA(iferror(filter(Status!R:R,Status!A:A=A32,Status!R:R=TRUE)))"),4.0)</f>
        <v>4</v>
      </c>
      <c r="V32" s="23">
        <f>IFERROR(__xludf.DUMMYFUNCTION("if((countif(filter(Status!$C:$C,Status!$A:$A=$A32),CONCATENATE(V$2,""*""))-W32)&gt;0,(countif(filter(Status!$C:$C,Status!$A:$A=$A32),CONCATENATE(V$2,""*""))-W32),"""")"),2.0)</f>
        <v>2</v>
      </c>
      <c r="W32" s="23" t="str">
        <f>IFERROR(__xludf.DUMMYFUNCTION("if(countif(filter(Status!$C:$C,Status!$A:$A=$A32),CONCATENATE(W$2,""*""))&gt;0,countif(filter(Status!$C:$C,Status!$A:$A=$A32),CONCATENATE(W$2,""*"")),"""")"),"")</f>
        <v/>
      </c>
      <c r="X32" s="23">
        <f>IFERROR(__xludf.DUMMYFUNCTION("if(countif(filter(Status!$C:$C,Status!$A:$A=$A32),CONCATENATE(X$2,""*""))&gt;0,countif(filter(Status!$C:$C,Status!$A:$A=$A32),CONCATENATE(X$2,""*"")),"""")"),1.0)</f>
        <v>1</v>
      </c>
      <c r="Y32" s="23" t="str">
        <f>IFERROR(__xludf.DUMMYFUNCTION("if(countif(filter(Status!$C:$C,Status!$A:$A=$A32),CONCATENATE(Y$2,""*""))&gt;0,countif(filter(Status!$C:$C,Status!$A:$A=$A32),CONCATENATE(Y$2,""*"")),"""")"),"")</f>
        <v/>
      </c>
      <c r="Z32" s="23" t="str">
        <f>IFERROR(__xludf.DUMMYFUNCTION("if(countif(filter(Status!$C:$C,Status!$A:$A=$A32),CONCATENATE(Z$2,""*""))&gt;0,countif(filter(Status!$C:$C,Status!$A:$A=$A32),CONCATENATE(Z$2,""*"")),"""")"),"")</f>
        <v/>
      </c>
      <c r="AA32" s="23">
        <f>IFERROR(__xludf.DUMMYFUNCTION("if((countif(filter(Status!$C:$C,Status!$A:$A=$A32),CONCATENATE(AA$2,""*""))-AB32)&gt;0,(countif(filter(Status!$C:$C,Status!$A:$A=$A32),CONCATENATE(AA$2,""*""))-AB32),"""")"),2.0)</f>
        <v>2</v>
      </c>
      <c r="AB32" s="23">
        <f>IFERROR(__xludf.DUMMYFUNCTION("if(countif(filter(Status!$C:$C,Status!$A:$A=$A32),CONCATENATE(AB$2,""*""))&gt;0,countif(filter(Status!$C:$C,Status!$A:$A=$A32),CONCATENATE(AB$2,""*"")),"""")"),2.0)</f>
        <v>2</v>
      </c>
      <c r="AC32" s="23" t="str">
        <f>IFERROR(__xludf.DUMMYFUNCTION("if(countif(filter(Status!$C:$C,Status!$A:$A=$A32),CONCATENATE(AC$2,""*""))&gt;0,countif(filter(Status!$C:$C,Status!$A:$A=$A32),CONCATENATE(AC$2,""*"")),"""")"),"")</f>
        <v/>
      </c>
      <c r="AD32" s="23" t="str">
        <f>IFERROR(__xludf.DUMMYFUNCTION("if(countif(filter(Status!$C:$C,Status!$A:$A=$A32),CONCATENATE(AD$2,""*""))&gt;0,countif(filter(Status!$C:$C,Status!$A:$A=$A32),CONCATENATE(AD$2,""*"")),"""")"),"")</f>
        <v/>
      </c>
      <c r="AE32" s="23">
        <f>IFERROR(__xludf.DUMMYFUNCTION("if(countif(filter(Status!$C:$C,Status!$A:$A=$A32),CONCATENATE(AE$2,""*""))&gt;0,countif(filter(Status!$C:$C,Status!$A:$A=$A32),CONCATENATE(AE$2,""*"")),"""")"),1.0)</f>
        <v>1</v>
      </c>
      <c r="AF32" s="23">
        <f>IFERROR(__xludf.DUMMYFUNCTION("if(countif(filter(Status!$C:$C,Status!$A:$A=$A32),CONCATENATE(AF$2,""*""))&gt;0,countif(filter(Status!$C:$C,Status!$A:$A=$A32),CONCATENATE(AF$2,""*"")),"""")"),1.0)</f>
        <v>1</v>
      </c>
      <c r="AG32" s="23" t="str">
        <f>IFERROR(__xludf.DUMMYFUNCTION("if(countif(filter(Status!$C:$C,Status!$A:$A=$A32),CONCATENATE(AG$2,""*""))&gt;0,countif(filter(Status!$C:$C,Status!$A:$A=$A32),CONCATENATE(AG$2,""*"")),"""")"),"")</f>
        <v/>
      </c>
      <c r="AH32" s="23" t="str">
        <f>IFERROR(__xludf.DUMMYFUNCTION("if(countif(filter(Status!$C:$C,Status!$A:$A=$A32),CONCATENATE(AH$2,""*""))&gt;0,countif(filter(Status!$C:$C,Status!$A:$A=$A32),CONCATENATE(AH$2,""*"")),"""")"),"")</f>
        <v/>
      </c>
      <c r="AI32" s="23" t="str">
        <f>IFERROR(__xludf.DUMMYFUNCTION("if(countif(filter(Status!$C:$C,Status!$A:$A=$A32),CONCATENATE(AI$2,""*""))&gt;0,countif(filter(Status!$C:$C,Status!$A:$A=$A32),CONCATENATE(AI$2,""*"")),"""")"),"")</f>
        <v/>
      </c>
      <c r="AJ32" s="23" t="str">
        <f>IFERROR(__xludf.DUMMYFUNCTION("if(countif(filter(Status!$C:$C,Status!$A:$A=$A32),CONCATENATE(AJ$2,""*""))&gt;0,countif(filter(Status!$C:$C,Status!$A:$A=$A32),CONCATENATE(AJ$2,""*"")),"""")"),"")</f>
        <v/>
      </c>
      <c r="AK32" s="23" t="str">
        <f>IFERROR(__xludf.DUMMYFUNCTION("if(countif(filter(Status!$C:$C,Status!$A:$A=$A32),CONCATENATE(AK$2,""*""))&gt;0,countif(filter(Status!$C:$C,Status!$A:$A=$A32),CONCATENATE(AK$2,""*"")),"""")"),"")</f>
        <v/>
      </c>
      <c r="AL32" s="23" t="str">
        <f>IFERROR(__xludf.DUMMYFUNCTION("if(countif(filter(Status!$C:$C,Status!$A:$A=$A32),CONCATENATE(AL$2,""*""))&gt;0,countif(filter(Status!$C:$C,Status!$A:$A=$A32),CONCATENATE(AL$2,""*"")),"""")"),"")</f>
        <v/>
      </c>
      <c r="AM32" s="23" t="str">
        <f>IFERROR(__xludf.DUMMYFUNCTION("if(countif(filter(Status!$C:$C,Status!$A:$A=$A32),CONCATENATE(AM$2,""*""))&gt;0,countif(filter(Status!$C:$C,Status!$A:$A=$A32),CONCATENATE(AM$2,""*"")),"""")"),"")</f>
        <v/>
      </c>
      <c r="AN32" s="23" t="str">
        <f>IFERROR(__xludf.DUMMYFUNCTION("if(countif(filter(Status!$C:$C,Status!$A:$A=$A32),CONCATENATE(AN$2,""*""))&gt;0,countif(filter(Status!$C:$C,Status!$A:$A=$A32),CONCATENATE(AN$2,""*"")),"""")"),"")</f>
        <v/>
      </c>
      <c r="AO32" s="23" t="str">
        <f>IFERROR(__xludf.DUMMYFUNCTION("if(countif(filter(Status!$C:$C,Status!$A:$A=$A32),CONCATENATE(AO$2,""*""))&gt;0,countif(filter(Status!$C:$C,Status!$A:$A=$A32),CONCATENATE(AO$2,""*"")),"""")"),"")</f>
        <v/>
      </c>
      <c r="AP32" s="23">
        <f>IFERROR(__xludf.DUMMYFUNCTION("counta(iferror(filter(Status!C:C,Status!A:A=A32)))"),9.0)</f>
        <v>9</v>
      </c>
      <c r="AQ32" s="23">
        <f t="shared" si="6"/>
        <v>9</v>
      </c>
    </row>
    <row r="33">
      <c r="A33" s="1" t="s">
        <v>484</v>
      </c>
      <c r="B33" s="21">
        <f>IFERROR(__xludf.DUMMYFUNCTION("max(filter(Status!E:E,Status!A:A=A33))"),43706.0)</f>
        <v>43706</v>
      </c>
      <c r="C33" s="23">
        <f t="shared" si="1"/>
        <v>0.625</v>
      </c>
      <c r="D33" s="23">
        <f t="shared" si="2"/>
        <v>0</v>
      </c>
      <c r="E33" s="23">
        <f t="shared" si="3"/>
        <v>1</v>
      </c>
      <c r="F33" s="23">
        <f t="shared" si="4"/>
        <v>0.8888888889</v>
      </c>
      <c r="G33" s="25">
        <f t="shared" si="5"/>
        <v>0.8333333333</v>
      </c>
      <c r="J33" s="23">
        <f>IFERROR(__xludf.DUMMYFUNCTION("COUNTA(iferror(filter(Status!H:H,Status!A:A=A33)))"),8.0)</f>
        <v>8</v>
      </c>
      <c r="K33" s="25">
        <f>IFERROR(__xludf.DUMMYFUNCTION("COUNTA(iferror(filter(Status!H:H,Status!A:A=A33,Status!H:H=TRUE)))"),5.0)</f>
        <v>5</v>
      </c>
      <c r="L33" s="23">
        <f>IFERROR(__xludf.DUMMYFUNCTION("COUNTA(iferror(filter(Status!L:L,Status!A:A=A33)))"),7.0)</f>
        <v>7</v>
      </c>
      <c r="M33" s="25">
        <f>IFERROR(__xludf.DUMMYFUNCTION("COUNTA(iferror(filter(Status!L:L,Status!A:A=A33,Status!L:L=TRUE)))"),0.0)</f>
        <v>0</v>
      </c>
      <c r="N33" s="23">
        <f>IFERROR(__xludf.DUMMYFUNCTION("COUNTA(iferror(filter(Status!N:N,Status!A:A=A33,Status!N:N=TRUE)))"),8.0)</f>
        <v>8</v>
      </c>
      <c r="O33" s="25">
        <f>IFERROR(__xludf.DUMMYFUNCTION("COUNTA(iferror(filter(Status!N:N,Status!A:A=A33,Status!N:N=TRUE)))"),8.0)</f>
        <v>8</v>
      </c>
      <c r="P33" s="23">
        <f>IFERROR(__xludf.DUMMYFUNCTION("COUNTA(iferror(filter(Status!P:P,Status!A:A=A33)))"),9.0)</f>
        <v>9</v>
      </c>
      <c r="Q33" s="25">
        <f>IFERROR(__xludf.DUMMYFUNCTION("COUNTA(iferror(filter(Status!P:P,Status!A:A=A33,Status!P:P=TRUE)))"),8.0)</f>
        <v>8</v>
      </c>
      <c r="R33" s="23">
        <f>IFERROR(__xludf.DUMMYFUNCTION("COUNTA(iferror(filter(Status!R:R,Status!A:A=A33)))"),6.0)</f>
        <v>6</v>
      </c>
      <c r="S33" s="25">
        <f>IFERROR(__xludf.DUMMYFUNCTION("COUNTA(iferror(filter(Status!R:R,Status!A:A=A33,Status!R:R=TRUE)))"),5.0)</f>
        <v>5</v>
      </c>
      <c r="V33" s="23" t="str">
        <f>IFERROR(__xludf.DUMMYFUNCTION("if((countif(filter(Status!$C:$C,Status!$A:$A=$A33),CONCATENATE(V$2,""*""))-W33)&gt;0,(countif(filter(Status!$C:$C,Status!$A:$A=$A33),CONCATENATE(V$2,""*""))-W33),"""")"),"")</f>
        <v/>
      </c>
      <c r="W33" s="23" t="str">
        <f>IFERROR(__xludf.DUMMYFUNCTION("if(countif(filter(Status!$C:$C,Status!$A:$A=$A33),CONCATENATE(W$2,""*""))&gt;0,countif(filter(Status!$C:$C,Status!$A:$A=$A33),CONCATENATE(W$2,""*"")),"""")"),"")</f>
        <v/>
      </c>
      <c r="X33" s="23" t="str">
        <f>IFERROR(__xludf.DUMMYFUNCTION("if(countif(filter(Status!$C:$C,Status!$A:$A=$A33),CONCATENATE(X$2,""*""))&gt;0,countif(filter(Status!$C:$C,Status!$A:$A=$A33),CONCATENATE(X$2,""*"")),"""")"),"")</f>
        <v/>
      </c>
      <c r="Y33" s="23" t="str">
        <f>IFERROR(__xludf.DUMMYFUNCTION("if(countif(filter(Status!$C:$C,Status!$A:$A=$A33),CONCATENATE(Y$2,""*""))&gt;0,countif(filter(Status!$C:$C,Status!$A:$A=$A33),CONCATENATE(Y$2,""*"")),"""")"),"")</f>
        <v/>
      </c>
      <c r="Z33" s="23" t="str">
        <f>IFERROR(__xludf.DUMMYFUNCTION("if(countif(filter(Status!$C:$C,Status!$A:$A=$A33),CONCATENATE(Z$2,""*""))&gt;0,countif(filter(Status!$C:$C,Status!$A:$A=$A33),CONCATENATE(Z$2,""*"")),"""")"),"")</f>
        <v/>
      </c>
      <c r="AA33" s="23">
        <f>IFERROR(__xludf.DUMMYFUNCTION("if((countif(filter(Status!$C:$C,Status!$A:$A=$A33),CONCATENATE(AA$2,""*""))-AB33)&gt;0,(countif(filter(Status!$C:$C,Status!$A:$A=$A33),CONCATENATE(AA$2,""*""))-AB33),"""")"),2.0)</f>
        <v>2</v>
      </c>
      <c r="AB33" s="23">
        <f>IFERROR(__xludf.DUMMYFUNCTION("if(countif(filter(Status!$C:$C,Status!$A:$A=$A33),CONCATENATE(AB$2,""*""))&gt;0,countif(filter(Status!$C:$C,Status!$A:$A=$A33),CONCATENATE(AB$2,""*"")),"""")"),2.0)</f>
        <v>2</v>
      </c>
      <c r="AC33" s="23" t="str">
        <f>IFERROR(__xludf.DUMMYFUNCTION("if(countif(filter(Status!$C:$C,Status!$A:$A=$A33),CONCATENATE(AC$2,""*""))&gt;0,countif(filter(Status!$C:$C,Status!$A:$A=$A33),CONCATENATE(AC$2,""*"")),"""")"),"")</f>
        <v/>
      </c>
      <c r="AD33" s="23" t="str">
        <f>IFERROR(__xludf.DUMMYFUNCTION("if(countif(filter(Status!$C:$C,Status!$A:$A=$A33),CONCATENATE(AD$2,""*""))&gt;0,countif(filter(Status!$C:$C,Status!$A:$A=$A33),CONCATENATE(AD$2,""*"")),"""")"),"")</f>
        <v/>
      </c>
      <c r="AE33" s="23">
        <f>IFERROR(__xludf.DUMMYFUNCTION("if(countif(filter(Status!$C:$C,Status!$A:$A=$A33),CONCATENATE(AE$2,""*""))&gt;0,countif(filter(Status!$C:$C,Status!$A:$A=$A33),CONCATENATE(AE$2,""*"")),"""")"),1.0)</f>
        <v>1</v>
      </c>
      <c r="AF33" s="23" t="str">
        <f>IFERROR(__xludf.DUMMYFUNCTION("if(countif(filter(Status!$C:$C,Status!$A:$A=$A33),CONCATENATE(AF$2,""*""))&gt;0,countif(filter(Status!$C:$C,Status!$A:$A=$A33),CONCATENATE(AF$2,""*"")),"""")"),"")</f>
        <v/>
      </c>
      <c r="AG33" s="23" t="str">
        <f>IFERROR(__xludf.DUMMYFUNCTION("if(countif(filter(Status!$C:$C,Status!$A:$A=$A33),CONCATENATE(AG$2,""*""))&gt;0,countif(filter(Status!$C:$C,Status!$A:$A=$A33),CONCATENATE(AG$2,""*"")),"""")"),"")</f>
        <v/>
      </c>
      <c r="AH33" s="23" t="str">
        <f>IFERROR(__xludf.DUMMYFUNCTION("if(countif(filter(Status!$C:$C,Status!$A:$A=$A33),CONCATENATE(AH$2,""*""))&gt;0,countif(filter(Status!$C:$C,Status!$A:$A=$A33),CONCATENATE(AH$2,""*"")),"""")"),"")</f>
        <v/>
      </c>
      <c r="AI33" s="23" t="str">
        <f>IFERROR(__xludf.DUMMYFUNCTION("if(countif(filter(Status!$C:$C,Status!$A:$A=$A33),CONCATENATE(AI$2,""*""))&gt;0,countif(filter(Status!$C:$C,Status!$A:$A=$A33),CONCATENATE(AI$2,""*"")),"""")"),"")</f>
        <v/>
      </c>
      <c r="AJ33" s="23" t="str">
        <f>IFERROR(__xludf.DUMMYFUNCTION("if(countif(filter(Status!$C:$C,Status!$A:$A=$A33),CONCATENATE(AJ$2,""*""))&gt;0,countif(filter(Status!$C:$C,Status!$A:$A=$A33),CONCATENATE(AJ$2,""*"")),"""")"),"")</f>
        <v/>
      </c>
      <c r="AK33" s="23" t="str">
        <f>IFERROR(__xludf.DUMMYFUNCTION("if(countif(filter(Status!$C:$C,Status!$A:$A=$A33),CONCATENATE(AK$2,""*""))&gt;0,countif(filter(Status!$C:$C,Status!$A:$A=$A33),CONCATENATE(AK$2,""*"")),"""")"),"")</f>
        <v/>
      </c>
      <c r="AL33" s="23">
        <f>IFERROR(__xludf.DUMMYFUNCTION("if(countif(filter(Status!$C:$C,Status!$A:$A=$A33),CONCATENATE(AL$2,""*""))&gt;0,countif(filter(Status!$C:$C,Status!$A:$A=$A33),CONCATENATE(AL$2,""*"")),"""")"),4.0)</f>
        <v>4</v>
      </c>
      <c r="AM33" s="23" t="str">
        <f>IFERROR(__xludf.DUMMYFUNCTION("if(countif(filter(Status!$C:$C,Status!$A:$A=$A33),CONCATENATE(AM$2,""*""))&gt;0,countif(filter(Status!$C:$C,Status!$A:$A=$A33),CONCATENATE(AM$2,""*"")),"""")"),"")</f>
        <v/>
      </c>
      <c r="AN33" s="23" t="str">
        <f>IFERROR(__xludf.DUMMYFUNCTION("if(countif(filter(Status!$C:$C,Status!$A:$A=$A33),CONCATENATE(AN$2,""*""))&gt;0,countif(filter(Status!$C:$C,Status!$A:$A=$A33),CONCATENATE(AN$2,""*"")),"""")"),"")</f>
        <v/>
      </c>
      <c r="AO33" s="23">
        <f>IFERROR(__xludf.DUMMYFUNCTION("if(countif(filter(Status!$C:$C,Status!$A:$A=$A33),CONCATENATE(AO$2,""*""))&gt;0,countif(filter(Status!$C:$C,Status!$A:$A=$A33),CONCATENATE(AO$2,""*"")),"""")"),1.0)</f>
        <v>1</v>
      </c>
      <c r="AP33" s="23">
        <f>IFERROR(__xludf.DUMMYFUNCTION("counta(iferror(filter(Status!C:C,Status!A:A=A33)))"),10.0)</f>
        <v>10</v>
      </c>
      <c r="AQ33" s="23">
        <f t="shared" si="6"/>
        <v>10</v>
      </c>
    </row>
    <row r="34">
      <c r="A34" s="1" t="s">
        <v>487</v>
      </c>
      <c r="B34" s="21">
        <f>IFERROR(__xludf.DUMMYFUNCTION("max(filter(Status!E:E,Status!A:A=A34))"),43710.0)</f>
        <v>43710</v>
      </c>
      <c r="C34" s="23">
        <f t="shared" si="1"/>
        <v>1</v>
      </c>
      <c r="D34" s="23">
        <f t="shared" si="2"/>
        <v>0</v>
      </c>
      <c r="E34" s="23">
        <f t="shared" si="3"/>
        <v>1</v>
      </c>
      <c r="F34" s="23">
        <f t="shared" si="4"/>
        <v>0.5625</v>
      </c>
      <c r="G34" s="25">
        <f t="shared" si="5"/>
        <v>0.8</v>
      </c>
      <c r="J34" s="23">
        <f>IFERROR(__xludf.DUMMYFUNCTION("COUNTA(iferror(filter(Status!H:H,Status!A:A=A34)))"),12.0)</f>
        <v>12</v>
      </c>
      <c r="K34" s="25">
        <f>IFERROR(__xludf.DUMMYFUNCTION("COUNTA(iferror(filter(Status!H:H,Status!A:A=A34,Status!H:H=TRUE)))"),12.0)</f>
        <v>12</v>
      </c>
      <c r="L34" s="23">
        <f>IFERROR(__xludf.DUMMYFUNCTION("COUNTA(iferror(filter(Status!L:L,Status!A:A=A34)))"),13.0)</f>
        <v>13</v>
      </c>
      <c r="M34" s="25">
        <f>IFERROR(__xludf.DUMMYFUNCTION("COUNTA(iferror(filter(Status!L:L,Status!A:A=A34,Status!L:L=TRUE)))"),0.0)</f>
        <v>0</v>
      </c>
      <c r="N34" s="23">
        <f>IFERROR(__xludf.DUMMYFUNCTION("COUNTA(iferror(filter(Status!N:N,Status!A:A=A34,Status!N:N=TRUE)))"),15.0)</f>
        <v>15</v>
      </c>
      <c r="O34" s="25">
        <f>IFERROR(__xludf.DUMMYFUNCTION("COUNTA(iferror(filter(Status!N:N,Status!A:A=A34,Status!N:N=TRUE)))"),15.0)</f>
        <v>15</v>
      </c>
      <c r="P34" s="23">
        <f>IFERROR(__xludf.DUMMYFUNCTION("COUNTA(iferror(filter(Status!P:P,Status!A:A=A34)))"),16.0)</f>
        <v>16</v>
      </c>
      <c r="Q34" s="25">
        <f>IFERROR(__xludf.DUMMYFUNCTION("COUNTA(iferror(filter(Status!P:P,Status!A:A=A34,Status!P:P=TRUE)))"),9.0)</f>
        <v>9</v>
      </c>
      <c r="R34" s="23">
        <f>IFERROR(__xludf.DUMMYFUNCTION("COUNTA(iferror(filter(Status!R:R,Status!A:A=A34)))"),5.0)</f>
        <v>5</v>
      </c>
      <c r="S34" s="25">
        <f>IFERROR(__xludf.DUMMYFUNCTION("COUNTA(iferror(filter(Status!R:R,Status!A:A=A34,Status!R:R=TRUE)))"),4.0)</f>
        <v>4</v>
      </c>
      <c r="V34" s="23" t="str">
        <f>IFERROR(__xludf.DUMMYFUNCTION("if((countif(filter(Status!$C:$C,Status!$A:$A=$A34),CONCATENATE(V$2,""*""))-W34)&gt;0,(countif(filter(Status!$C:$C,Status!$A:$A=$A34),CONCATENATE(V$2,""*""))-W34),"""")"),"")</f>
        <v/>
      </c>
      <c r="W34" s="23" t="str">
        <f>IFERROR(__xludf.DUMMYFUNCTION("if(countif(filter(Status!$C:$C,Status!$A:$A=$A34),CONCATENATE(W$2,""*""))&gt;0,countif(filter(Status!$C:$C,Status!$A:$A=$A34),CONCATENATE(W$2,""*"")),"""")"),"")</f>
        <v/>
      </c>
      <c r="X34" s="23" t="str">
        <f>IFERROR(__xludf.DUMMYFUNCTION("if(countif(filter(Status!$C:$C,Status!$A:$A=$A34),CONCATENATE(X$2,""*""))&gt;0,countif(filter(Status!$C:$C,Status!$A:$A=$A34),CONCATENATE(X$2,""*"")),"""")"),"")</f>
        <v/>
      </c>
      <c r="Y34" s="23" t="str">
        <f>IFERROR(__xludf.DUMMYFUNCTION("if(countif(filter(Status!$C:$C,Status!$A:$A=$A34),CONCATENATE(Y$2,""*""))&gt;0,countif(filter(Status!$C:$C,Status!$A:$A=$A34),CONCATENATE(Y$2,""*"")),"""")"),"")</f>
        <v/>
      </c>
      <c r="Z34" s="23" t="str">
        <f>IFERROR(__xludf.DUMMYFUNCTION("if(countif(filter(Status!$C:$C,Status!$A:$A=$A34),CONCATENATE(Z$2,""*""))&gt;0,countif(filter(Status!$C:$C,Status!$A:$A=$A34),CONCATENATE(Z$2,""*"")),"""")"),"")</f>
        <v/>
      </c>
      <c r="AA34" s="23">
        <f>IFERROR(__xludf.DUMMYFUNCTION("if((countif(filter(Status!$C:$C,Status!$A:$A=$A34),CONCATENATE(AA$2,""*""))-AB34)&gt;0,(countif(filter(Status!$C:$C,Status!$A:$A=$A34),CONCATENATE(AA$2,""*""))-AB34),"""")"),4.0)</f>
        <v>4</v>
      </c>
      <c r="AB34" s="23">
        <f>IFERROR(__xludf.DUMMYFUNCTION("if(countif(filter(Status!$C:$C,Status!$A:$A=$A34),CONCATENATE(AB$2,""*""))&gt;0,countif(filter(Status!$C:$C,Status!$A:$A=$A34),CONCATENATE(AB$2,""*"")),"""")"),4.0)</f>
        <v>4</v>
      </c>
      <c r="AC34" s="23" t="str">
        <f>IFERROR(__xludf.DUMMYFUNCTION("if(countif(filter(Status!$C:$C,Status!$A:$A=$A34),CONCATENATE(AC$2,""*""))&gt;0,countif(filter(Status!$C:$C,Status!$A:$A=$A34),CONCATENATE(AC$2,""*"")),"""")"),"")</f>
        <v/>
      </c>
      <c r="AD34" s="23">
        <f>IFERROR(__xludf.DUMMYFUNCTION("if(countif(filter(Status!$C:$C,Status!$A:$A=$A34),CONCATENATE(AD$2,""*""))&gt;0,countif(filter(Status!$C:$C,Status!$A:$A=$A34),CONCATENATE(AD$2,""*"")),"""")"),1.0)</f>
        <v>1</v>
      </c>
      <c r="AE34" s="23">
        <f>IFERROR(__xludf.DUMMYFUNCTION("if(countif(filter(Status!$C:$C,Status!$A:$A=$A34),CONCATENATE(AE$2,""*""))&gt;0,countif(filter(Status!$C:$C,Status!$A:$A=$A34),CONCATENATE(AE$2,""*"")),"""")"),1.0)</f>
        <v>1</v>
      </c>
      <c r="AF34" s="23">
        <f>IFERROR(__xludf.DUMMYFUNCTION("if(countif(filter(Status!$C:$C,Status!$A:$A=$A34),CONCATENATE(AF$2,""*""))&gt;0,countif(filter(Status!$C:$C,Status!$A:$A=$A34),CONCATENATE(AF$2,""*"")),"""")"),1.0)</f>
        <v>1</v>
      </c>
      <c r="AG34" s="23">
        <f>IFERROR(__xludf.DUMMYFUNCTION("if(countif(filter(Status!$C:$C,Status!$A:$A=$A34),CONCATENATE(AG$2,""*""))&gt;0,countif(filter(Status!$C:$C,Status!$A:$A=$A34),CONCATENATE(AG$2,""*"")),"""")"),1.0)</f>
        <v>1</v>
      </c>
      <c r="AH34" s="23" t="str">
        <f>IFERROR(__xludf.DUMMYFUNCTION("if(countif(filter(Status!$C:$C,Status!$A:$A=$A34),CONCATENATE(AH$2,""*""))&gt;0,countif(filter(Status!$C:$C,Status!$A:$A=$A34),CONCATENATE(AH$2,""*"")),"""")"),"")</f>
        <v/>
      </c>
      <c r="AI34" s="23" t="str">
        <f>IFERROR(__xludf.DUMMYFUNCTION("if(countif(filter(Status!$C:$C,Status!$A:$A=$A34),CONCATENATE(AI$2,""*""))&gt;0,countif(filter(Status!$C:$C,Status!$A:$A=$A34),CONCATENATE(AI$2,""*"")),"""")"),"")</f>
        <v/>
      </c>
      <c r="AJ34" s="23">
        <f>IFERROR(__xludf.DUMMYFUNCTION("if(countif(filter(Status!$C:$C,Status!$A:$A=$A34),CONCATENATE(AJ$2,""*""))&gt;0,countif(filter(Status!$C:$C,Status!$A:$A=$A34),CONCATENATE(AJ$2,""*"")),"""")"),1.0)</f>
        <v>1</v>
      </c>
      <c r="AK34" s="23" t="str">
        <f>IFERROR(__xludf.DUMMYFUNCTION("if(countif(filter(Status!$C:$C,Status!$A:$A=$A34),CONCATENATE(AK$2,""*""))&gt;0,countif(filter(Status!$C:$C,Status!$A:$A=$A34),CONCATENATE(AK$2,""*"")),"""")"),"")</f>
        <v/>
      </c>
      <c r="AL34" s="23" t="str">
        <f>IFERROR(__xludf.DUMMYFUNCTION("if(countif(filter(Status!$C:$C,Status!$A:$A=$A34),CONCATENATE(AL$2,""*""))&gt;0,countif(filter(Status!$C:$C,Status!$A:$A=$A34),CONCATENATE(AL$2,""*"")),"""")"),"")</f>
        <v/>
      </c>
      <c r="AM34" s="23" t="str">
        <f>IFERROR(__xludf.DUMMYFUNCTION("if(countif(filter(Status!$C:$C,Status!$A:$A=$A34),CONCATENATE(AM$2,""*""))&gt;0,countif(filter(Status!$C:$C,Status!$A:$A=$A34),CONCATENATE(AM$2,""*"")),"""")"),"")</f>
        <v/>
      </c>
      <c r="AN34" s="23">
        <f>IFERROR(__xludf.DUMMYFUNCTION("if(countif(filter(Status!$C:$C,Status!$A:$A=$A34),CONCATENATE(AN$2,""*""))&gt;0,countif(filter(Status!$C:$C,Status!$A:$A=$A34),CONCATENATE(AN$2,""*"")),"""")"),3.0)</f>
        <v>3</v>
      </c>
      <c r="AO34" s="23">
        <f>IFERROR(__xludf.DUMMYFUNCTION("if(countif(filter(Status!$C:$C,Status!$A:$A=$A34),CONCATENATE(AO$2,""*""))&gt;0,countif(filter(Status!$C:$C,Status!$A:$A=$A34),CONCATENATE(AO$2,""*"")),"""")"),1.0)</f>
        <v>1</v>
      </c>
      <c r="AP34" s="23">
        <f>IFERROR(__xludf.DUMMYFUNCTION("counta(iferror(filter(Status!C:C,Status!A:A=A34)))"),17.0)</f>
        <v>17</v>
      </c>
      <c r="AQ34" s="23">
        <f t="shared" si="6"/>
        <v>17</v>
      </c>
    </row>
    <row r="35">
      <c r="A35" s="1" t="s">
        <v>492</v>
      </c>
      <c r="B35" s="21">
        <f>IFERROR(__xludf.DUMMYFUNCTION("max(filter(Status!E:E,Status!A:A=A35))"),43711.0)</f>
        <v>43711</v>
      </c>
      <c r="C35" s="23">
        <f t="shared" si="1"/>
        <v>1</v>
      </c>
      <c r="D35" s="23">
        <f t="shared" si="2"/>
        <v>0</v>
      </c>
      <c r="E35" s="23">
        <f t="shared" si="3"/>
        <v>1</v>
      </c>
      <c r="F35" s="23">
        <f t="shared" si="4"/>
        <v>0.7777777778</v>
      </c>
      <c r="G35" s="25">
        <f t="shared" si="5"/>
        <v>0.7142857143</v>
      </c>
      <c r="J35" s="23">
        <f>IFERROR(__xludf.DUMMYFUNCTION("COUNTA(iferror(filter(Status!H:H,Status!A:A=A35)))"),6.0)</f>
        <v>6</v>
      </c>
      <c r="K35" s="25">
        <f>IFERROR(__xludf.DUMMYFUNCTION("COUNTA(iferror(filter(Status!H:H,Status!A:A=A35,Status!H:H=TRUE)))"),6.0)</f>
        <v>6</v>
      </c>
      <c r="L35" s="23">
        <f>IFERROR(__xludf.DUMMYFUNCTION("COUNTA(iferror(filter(Status!L:L,Status!A:A=A35)))"),3.0)</f>
        <v>3</v>
      </c>
      <c r="M35" s="25">
        <f>IFERROR(__xludf.DUMMYFUNCTION("COUNTA(iferror(filter(Status!L:L,Status!A:A=A35,Status!L:L=TRUE)))"),0.0)</f>
        <v>0</v>
      </c>
      <c r="N35" s="23">
        <f>IFERROR(__xludf.DUMMYFUNCTION("COUNTA(iferror(filter(Status!N:N,Status!A:A=A35,Status!N:N=TRUE)))"),8.0)</f>
        <v>8</v>
      </c>
      <c r="O35" s="25">
        <f>IFERROR(__xludf.DUMMYFUNCTION("COUNTA(iferror(filter(Status!N:N,Status!A:A=A35,Status!N:N=TRUE)))"),8.0)</f>
        <v>8</v>
      </c>
      <c r="P35" s="23">
        <f>IFERROR(__xludf.DUMMYFUNCTION("COUNTA(iferror(filter(Status!P:P,Status!A:A=A35)))"),9.0)</f>
        <v>9</v>
      </c>
      <c r="Q35" s="25">
        <f>IFERROR(__xludf.DUMMYFUNCTION("COUNTA(iferror(filter(Status!P:P,Status!A:A=A35,Status!P:P=TRUE)))"),7.0)</f>
        <v>7</v>
      </c>
      <c r="R35" s="23">
        <f>IFERROR(__xludf.DUMMYFUNCTION("COUNTA(iferror(filter(Status!R:R,Status!A:A=A35)))"),7.0)</f>
        <v>7</v>
      </c>
      <c r="S35" s="25">
        <f>IFERROR(__xludf.DUMMYFUNCTION("COUNTA(iferror(filter(Status!R:R,Status!A:A=A35,Status!R:R=TRUE)))"),5.0)</f>
        <v>5</v>
      </c>
      <c r="V35" s="23">
        <f>IFERROR(__xludf.DUMMYFUNCTION("if((countif(filter(Status!$C:$C,Status!$A:$A=$A35),CONCATENATE(V$2,""*""))-W35)&gt;0,(countif(filter(Status!$C:$C,Status!$A:$A=$A35),CONCATENATE(V$2,""*""))-W35),"""")"),2.0)</f>
        <v>2</v>
      </c>
      <c r="W35" s="23" t="str">
        <f>IFERROR(__xludf.DUMMYFUNCTION("if(countif(filter(Status!$C:$C,Status!$A:$A=$A35),CONCATENATE(W$2,""*""))&gt;0,countif(filter(Status!$C:$C,Status!$A:$A=$A35),CONCATENATE(W$2,""*"")),"""")"),"")</f>
        <v/>
      </c>
      <c r="X35" s="23">
        <f>IFERROR(__xludf.DUMMYFUNCTION("if(countif(filter(Status!$C:$C,Status!$A:$A=$A35),CONCATENATE(X$2,""*""))&gt;0,countif(filter(Status!$C:$C,Status!$A:$A=$A35),CONCATENATE(X$2,""*"")),"""")"),2.0)</f>
        <v>2</v>
      </c>
      <c r="Y35" s="23" t="str">
        <f>IFERROR(__xludf.DUMMYFUNCTION("if(countif(filter(Status!$C:$C,Status!$A:$A=$A35),CONCATENATE(Y$2,""*""))&gt;0,countif(filter(Status!$C:$C,Status!$A:$A=$A35),CONCATENATE(Y$2,""*"")),"""")"),"")</f>
        <v/>
      </c>
      <c r="Z35" s="23" t="str">
        <f>IFERROR(__xludf.DUMMYFUNCTION("if(countif(filter(Status!$C:$C,Status!$A:$A=$A35),CONCATENATE(Z$2,""*""))&gt;0,countif(filter(Status!$C:$C,Status!$A:$A=$A35),CONCATENATE(Z$2,""*"")),"""")"),"")</f>
        <v/>
      </c>
      <c r="AA35" s="23">
        <f>IFERROR(__xludf.DUMMYFUNCTION("if((countif(filter(Status!$C:$C,Status!$A:$A=$A35),CONCATENATE(AA$2,""*""))-AB35)&gt;0,(countif(filter(Status!$C:$C,Status!$A:$A=$A35),CONCATENATE(AA$2,""*""))-AB35),"""")"),2.0)</f>
        <v>2</v>
      </c>
      <c r="AB35" s="23">
        <f>IFERROR(__xludf.DUMMYFUNCTION("if(countif(filter(Status!$C:$C,Status!$A:$A=$A35),CONCATENATE(AB$2,""*""))&gt;0,countif(filter(Status!$C:$C,Status!$A:$A=$A35),CONCATENATE(AB$2,""*"")),"""")"),2.0)</f>
        <v>2</v>
      </c>
      <c r="AC35" s="23" t="str">
        <f>IFERROR(__xludf.DUMMYFUNCTION("if(countif(filter(Status!$C:$C,Status!$A:$A=$A35),CONCATENATE(AC$2,""*""))&gt;0,countif(filter(Status!$C:$C,Status!$A:$A=$A35),CONCATENATE(AC$2,""*"")),"""")"),"")</f>
        <v/>
      </c>
      <c r="AD35" s="23" t="str">
        <f>IFERROR(__xludf.DUMMYFUNCTION("if(countif(filter(Status!$C:$C,Status!$A:$A=$A35),CONCATENATE(AD$2,""*""))&gt;0,countif(filter(Status!$C:$C,Status!$A:$A=$A35),CONCATENATE(AD$2,""*"")),"""")"),"")</f>
        <v/>
      </c>
      <c r="AE35" s="23">
        <f>IFERROR(__xludf.DUMMYFUNCTION("if(countif(filter(Status!$C:$C,Status!$A:$A=$A35),CONCATENATE(AE$2,""*""))&gt;0,countif(filter(Status!$C:$C,Status!$A:$A=$A35),CONCATENATE(AE$2,""*"")),"""")"),1.0)</f>
        <v>1</v>
      </c>
      <c r="AF35" s="23">
        <f>IFERROR(__xludf.DUMMYFUNCTION("if(countif(filter(Status!$C:$C,Status!$A:$A=$A35),CONCATENATE(AF$2,""*""))&gt;0,countif(filter(Status!$C:$C,Status!$A:$A=$A35),CONCATENATE(AF$2,""*"")),"""")"),1.0)</f>
        <v>1</v>
      </c>
      <c r="AG35" s="23" t="str">
        <f>IFERROR(__xludf.DUMMYFUNCTION("if(countif(filter(Status!$C:$C,Status!$A:$A=$A35),CONCATENATE(AG$2,""*""))&gt;0,countif(filter(Status!$C:$C,Status!$A:$A=$A35),CONCATENATE(AG$2,""*"")),"""")"),"")</f>
        <v/>
      </c>
      <c r="AH35" s="23" t="str">
        <f>IFERROR(__xludf.DUMMYFUNCTION("if(countif(filter(Status!$C:$C,Status!$A:$A=$A35),CONCATENATE(AH$2,""*""))&gt;0,countif(filter(Status!$C:$C,Status!$A:$A=$A35),CONCATENATE(AH$2,""*"")),"""")"),"")</f>
        <v/>
      </c>
      <c r="AI35" s="23" t="str">
        <f>IFERROR(__xludf.DUMMYFUNCTION("if(countif(filter(Status!$C:$C,Status!$A:$A=$A35),CONCATENATE(AI$2,""*""))&gt;0,countif(filter(Status!$C:$C,Status!$A:$A=$A35),CONCATENATE(AI$2,""*"")),"""")"),"")</f>
        <v/>
      </c>
      <c r="AJ35" s="23" t="str">
        <f>IFERROR(__xludf.DUMMYFUNCTION("if(countif(filter(Status!$C:$C,Status!$A:$A=$A35),CONCATENATE(AJ$2,""*""))&gt;0,countif(filter(Status!$C:$C,Status!$A:$A=$A35),CONCATENATE(AJ$2,""*"")),"""")"),"")</f>
        <v/>
      </c>
      <c r="AK35" s="23" t="str">
        <f>IFERROR(__xludf.DUMMYFUNCTION("if(countif(filter(Status!$C:$C,Status!$A:$A=$A35),CONCATENATE(AK$2,""*""))&gt;0,countif(filter(Status!$C:$C,Status!$A:$A=$A35),CONCATENATE(AK$2,""*"")),"""")"),"")</f>
        <v/>
      </c>
      <c r="AL35" s="23" t="str">
        <f>IFERROR(__xludf.DUMMYFUNCTION("if(countif(filter(Status!$C:$C,Status!$A:$A=$A35),CONCATENATE(AL$2,""*""))&gt;0,countif(filter(Status!$C:$C,Status!$A:$A=$A35),CONCATENATE(AL$2,""*"")),"""")"),"")</f>
        <v/>
      </c>
      <c r="AM35" s="23" t="str">
        <f>IFERROR(__xludf.DUMMYFUNCTION("if(countif(filter(Status!$C:$C,Status!$A:$A=$A35),CONCATENATE(AM$2,""*""))&gt;0,countif(filter(Status!$C:$C,Status!$A:$A=$A35),CONCATENATE(AM$2,""*"")),"""")"),"")</f>
        <v/>
      </c>
      <c r="AN35" s="23" t="str">
        <f>IFERROR(__xludf.DUMMYFUNCTION("if(countif(filter(Status!$C:$C,Status!$A:$A=$A35),CONCATENATE(AN$2,""*""))&gt;0,countif(filter(Status!$C:$C,Status!$A:$A=$A35),CONCATENATE(AN$2,""*"")),"""")"),"")</f>
        <v/>
      </c>
      <c r="AO35" s="23" t="str">
        <f>IFERROR(__xludf.DUMMYFUNCTION("if(countif(filter(Status!$C:$C,Status!$A:$A=$A35),CONCATENATE(AO$2,""*""))&gt;0,countif(filter(Status!$C:$C,Status!$A:$A=$A35),CONCATENATE(AO$2,""*"")),"""")"),"")</f>
        <v/>
      </c>
      <c r="AP35" s="23">
        <f>IFERROR(__xludf.DUMMYFUNCTION("counta(iferror(filter(Status!C:C,Status!A:A=A35)))"),10.0)</f>
        <v>10</v>
      </c>
      <c r="AQ35" s="23">
        <f t="shared" si="6"/>
        <v>10</v>
      </c>
    </row>
    <row r="36">
      <c r="A36" s="1" t="s">
        <v>497</v>
      </c>
      <c r="B36" s="21">
        <f>IFERROR(__xludf.DUMMYFUNCTION("max(filter(Status!E:E,Status!A:A=A36))"),43712.0)</f>
        <v>43712</v>
      </c>
      <c r="C36" s="23">
        <f t="shared" si="1"/>
        <v>0.9230769231</v>
      </c>
      <c r="D36" s="23">
        <f t="shared" si="2"/>
        <v>0.1</v>
      </c>
      <c r="E36" s="23">
        <f t="shared" si="3"/>
        <v>1</v>
      </c>
      <c r="F36" s="23">
        <f t="shared" si="4"/>
        <v>0.7368421053</v>
      </c>
      <c r="G36" s="25">
        <f t="shared" si="5"/>
        <v>0.8181818182</v>
      </c>
      <c r="J36" s="23">
        <f>IFERROR(__xludf.DUMMYFUNCTION("COUNTA(iferror(filter(Status!H:H,Status!A:A=A36)))"),13.0)</f>
        <v>13</v>
      </c>
      <c r="K36" s="25">
        <f>IFERROR(__xludf.DUMMYFUNCTION("COUNTA(iferror(filter(Status!H:H,Status!A:A=A36,Status!H:H=TRUE)))"),12.0)</f>
        <v>12</v>
      </c>
      <c r="L36" s="23">
        <f>IFERROR(__xludf.DUMMYFUNCTION("COUNTA(iferror(filter(Status!L:L,Status!A:A=A36)))"),10.0)</f>
        <v>10</v>
      </c>
      <c r="M36" s="25">
        <f>IFERROR(__xludf.DUMMYFUNCTION("COUNTA(iferror(filter(Status!L:L,Status!A:A=A36,Status!L:L=TRUE)))"),1.0)</f>
        <v>1</v>
      </c>
      <c r="N36" s="23">
        <f>IFERROR(__xludf.DUMMYFUNCTION("COUNTA(iferror(filter(Status!N:N,Status!A:A=A36,Status!N:N=TRUE)))"),16.0)</f>
        <v>16</v>
      </c>
      <c r="O36" s="25">
        <f>IFERROR(__xludf.DUMMYFUNCTION("COUNTA(iferror(filter(Status!N:N,Status!A:A=A36,Status!N:N=TRUE)))"),16.0)</f>
        <v>16</v>
      </c>
      <c r="P36" s="23">
        <f>IFERROR(__xludf.DUMMYFUNCTION("COUNTA(iferror(filter(Status!P:P,Status!A:A=A36)))"),19.0)</f>
        <v>19</v>
      </c>
      <c r="Q36" s="25">
        <f>IFERROR(__xludf.DUMMYFUNCTION("COUNTA(iferror(filter(Status!P:P,Status!A:A=A36,Status!P:P=TRUE)))"),14.0)</f>
        <v>14</v>
      </c>
      <c r="R36" s="23">
        <f>IFERROR(__xludf.DUMMYFUNCTION("COUNTA(iferror(filter(Status!R:R,Status!A:A=A36)))"),11.0)</f>
        <v>11</v>
      </c>
      <c r="S36" s="25">
        <f>IFERROR(__xludf.DUMMYFUNCTION("COUNTA(iferror(filter(Status!R:R,Status!A:A=A36,Status!R:R=TRUE)))"),9.0)</f>
        <v>9</v>
      </c>
      <c r="V36" s="23">
        <f>IFERROR(__xludf.DUMMYFUNCTION("if((countif(filter(Status!$C:$C,Status!$A:$A=$A36),CONCATENATE(V$2,""*""))-W36)&gt;0,(countif(filter(Status!$C:$C,Status!$A:$A=$A36),CONCATENATE(V$2,""*""))-W36),"""")"),1.0)</f>
        <v>1</v>
      </c>
      <c r="W36" s="23" t="str">
        <f>IFERROR(__xludf.DUMMYFUNCTION("if(countif(filter(Status!$C:$C,Status!$A:$A=$A36),CONCATENATE(W$2,""*""))&gt;0,countif(filter(Status!$C:$C,Status!$A:$A=$A36),CONCATENATE(W$2,""*"")),"""")"),"")</f>
        <v/>
      </c>
      <c r="X36" s="23">
        <f>IFERROR(__xludf.DUMMYFUNCTION("if(countif(filter(Status!$C:$C,Status!$A:$A=$A36),CONCATENATE(X$2,""*""))&gt;0,countif(filter(Status!$C:$C,Status!$A:$A=$A36),CONCATENATE(X$2,""*"")),"""")"),1.0)</f>
        <v>1</v>
      </c>
      <c r="Y36" s="23" t="str">
        <f>IFERROR(__xludf.DUMMYFUNCTION("if(countif(filter(Status!$C:$C,Status!$A:$A=$A36),CONCATENATE(Y$2,""*""))&gt;0,countif(filter(Status!$C:$C,Status!$A:$A=$A36),CONCATENATE(Y$2,""*"")),"""")"),"")</f>
        <v/>
      </c>
      <c r="Z36" s="23" t="str">
        <f>IFERROR(__xludf.DUMMYFUNCTION("if(countif(filter(Status!$C:$C,Status!$A:$A=$A36),CONCATENATE(Z$2,""*""))&gt;0,countif(filter(Status!$C:$C,Status!$A:$A=$A36),CONCATENATE(Z$2,""*"")),"""")"),"")</f>
        <v/>
      </c>
      <c r="AA36" s="23">
        <f>IFERROR(__xludf.DUMMYFUNCTION("if((countif(filter(Status!$C:$C,Status!$A:$A=$A36),CONCATENATE(AA$2,""*""))-AB36)&gt;0,(countif(filter(Status!$C:$C,Status!$A:$A=$A36),CONCATENATE(AA$2,""*""))-AB36),"""")"),4.0)</f>
        <v>4</v>
      </c>
      <c r="AB36" s="23">
        <f>IFERROR(__xludf.DUMMYFUNCTION("if(countif(filter(Status!$C:$C,Status!$A:$A=$A36),CONCATENATE(AB$2,""*""))&gt;0,countif(filter(Status!$C:$C,Status!$A:$A=$A36),CONCATENATE(AB$2,""*"")),"""")"),4.0)</f>
        <v>4</v>
      </c>
      <c r="AC36" s="23" t="str">
        <f>IFERROR(__xludf.DUMMYFUNCTION("if(countif(filter(Status!$C:$C,Status!$A:$A=$A36),CONCATENATE(AC$2,""*""))&gt;0,countif(filter(Status!$C:$C,Status!$A:$A=$A36),CONCATENATE(AC$2,""*"")),"""")"),"")</f>
        <v/>
      </c>
      <c r="AD36" s="23">
        <f>IFERROR(__xludf.DUMMYFUNCTION("if(countif(filter(Status!$C:$C,Status!$A:$A=$A36),CONCATENATE(AD$2,""*""))&gt;0,countif(filter(Status!$C:$C,Status!$A:$A=$A36),CONCATENATE(AD$2,""*"")),"""")"),2.0)</f>
        <v>2</v>
      </c>
      <c r="AE36" s="23">
        <f>IFERROR(__xludf.DUMMYFUNCTION("if(countif(filter(Status!$C:$C,Status!$A:$A=$A36),CONCATENATE(AE$2,""*""))&gt;0,countif(filter(Status!$C:$C,Status!$A:$A=$A36),CONCATENATE(AE$2,""*"")),"""")"),1.0)</f>
        <v>1</v>
      </c>
      <c r="AF36" s="23">
        <f>IFERROR(__xludf.DUMMYFUNCTION("if(countif(filter(Status!$C:$C,Status!$A:$A=$A36),CONCATENATE(AF$2,""*""))&gt;0,countif(filter(Status!$C:$C,Status!$A:$A=$A36),CONCATENATE(AF$2,""*"")),"""")"),1.0)</f>
        <v>1</v>
      </c>
      <c r="AG36" s="23" t="str">
        <f>IFERROR(__xludf.DUMMYFUNCTION("if(countif(filter(Status!$C:$C,Status!$A:$A=$A36),CONCATENATE(AG$2,""*""))&gt;0,countif(filter(Status!$C:$C,Status!$A:$A=$A36),CONCATENATE(AG$2,""*"")),"""")"),"")</f>
        <v/>
      </c>
      <c r="AH36" s="23" t="str">
        <f>IFERROR(__xludf.DUMMYFUNCTION("if(countif(filter(Status!$C:$C,Status!$A:$A=$A36),CONCATENATE(AH$2,""*""))&gt;0,countif(filter(Status!$C:$C,Status!$A:$A=$A36),CONCATENATE(AH$2,""*"")),"""")"),"")</f>
        <v/>
      </c>
      <c r="AI36" s="23" t="str">
        <f>IFERROR(__xludf.DUMMYFUNCTION("if(countif(filter(Status!$C:$C,Status!$A:$A=$A36),CONCATENATE(AI$2,""*""))&gt;0,countif(filter(Status!$C:$C,Status!$A:$A=$A36),CONCATENATE(AI$2,""*"")),"""")"),"")</f>
        <v/>
      </c>
      <c r="AJ36" s="23" t="str">
        <f>IFERROR(__xludf.DUMMYFUNCTION("if(countif(filter(Status!$C:$C,Status!$A:$A=$A36),CONCATENATE(AJ$2,""*""))&gt;0,countif(filter(Status!$C:$C,Status!$A:$A=$A36),CONCATENATE(AJ$2,""*"")),"""")"),"")</f>
        <v/>
      </c>
      <c r="AK36" s="23" t="str">
        <f>IFERROR(__xludf.DUMMYFUNCTION("if(countif(filter(Status!$C:$C,Status!$A:$A=$A36),CONCATENATE(AK$2,""*""))&gt;0,countif(filter(Status!$C:$C,Status!$A:$A=$A36),CONCATENATE(AK$2,""*"")),"""")"),"")</f>
        <v/>
      </c>
      <c r="AL36" s="23">
        <f>IFERROR(__xludf.DUMMYFUNCTION("if(countif(filter(Status!$C:$C,Status!$A:$A=$A36),CONCATENATE(AL$2,""*""))&gt;0,countif(filter(Status!$C:$C,Status!$A:$A=$A36),CONCATENATE(AL$2,""*"")),"""")"),4.0)</f>
        <v>4</v>
      </c>
      <c r="AM36" s="23">
        <f>IFERROR(__xludf.DUMMYFUNCTION("if(countif(filter(Status!$C:$C,Status!$A:$A=$A36),CONCATENATE(AM$2,""*""))&gt;0,countif(filter(Status!$C:$C,Status!$A:$A=$A36),CONCATENATE(AM$2,""*"")),"""")"),2.0)</f>
        <v>2</v>
      </c>
      <c r="AN36" s="23" t="str">
        <f>IFERROR(__xludf.DUMMYFUNCTION("if(countif(filter(Status!$C:$C,Status!$A:$A=$A36),CONCATENATE(AN$2,""*""))&gt;0,countif(filter(Status!$C:$C,Status!$A:$A=$A36),CONCATENATE(AN$2,""*"")),"""")"),"")</f>
        <v/>
      </c>
      <c r="AO36" s="23" t="str">
        <f>IFERROR(__xludf.DUMMYFUNCTION("if(countif(filter(Status!$C:$C,Status!$A:$A=$A36),CONCATENATE(AO$2,""*""))&gt;0,countif(filter(Status!$C:$C,Status!$A:$A=$A36),CONCATENATE(AO$2,""*"")),"""")"),"")</f>
        <v/>
      </c>
      <c r="AP36" s="23">
        <f>IFERROR(__xludf.DUMMYFUNCTION("counta(iferror(filter(Status!C:C,Status!A:A=A36)))"),20.0)</f>
        <v>20</v>
      </c>
      <c r="AQ36" s="23">
        <f t="shared" si="6"/>
        <v>20</v>
      </c>
    </row>
    <row r="37">
      <c r="A37" s="1" t="s">
        <v>500</v>
      </c>
      <c r="B37" s="21">
        <f>IFERROR(__xludf.DUMMYFUNCTION("max(filter(Status!E:E,Status!A:A=A37))"),43719.0)</f>
        <v>43719</v>
      </c>
      <c r="C37" s="23">
        <f t="shared" si="1"/>
        <v>1</v>
      </c>
      <c r="D37" s="23">
        <f t="shared" si="2"/>
        <v>0.5</v>
      </c>
      <c r="E37" s="23">
        <f t="shared" si="3"/>
        <v>1</v>
      </c>
      <c r="F37" s="23">
        <f t="shared" si="4"/>
        <v>0.6666666667</v>
      </c>
      <c r="G37" s="25">
        <f t="shared" si="5"/>
        <v>0.75</v>
      </c>
      <c r="J37" s="23">
        <f>IFERROR(__xludf.DUMMYFUNCTION("COUNTA(iferror(filter(Status!H:H,Status!A:A=A37)))"),5.0)</f>
        <v>5</v>
      </c>
      <c r="K37" s="25">
        <f>IFERROR(__xludf.DUMMYFUNCTION("COUNTA(iferror(filter(Status!H:H,Status!A:A=A37,Status!H:H=TRUE)))"),5.0)</f>
        <v>5</v>
      </c>
      <c r="L37" s="23">
        <f>IFERROR(__xludf.DUMMYFUNCTION("COUNTA(iferror(filter(Status!L:L,Status!A:A=A37)))"),4.0)</f>
        <v>4</v>
      </c>
      <c r="M37" s="25">
        <f>IFERROR(__xludf.DUMMYFUNCTION("COUNTA(iferror(filter(Status!L:L,Status!A:A=A37,Status!L:L=TRUE)))"),2.0)</f>
        <v>2</v>
      </c>
      <c r="N37" s="23">
        <f>IFERROR(__xludf.DUMMYFUNCTION("COUNTA(iferror(filter(Status!N:N,Status!A:A=A37,Status!N:N=TRUE)))"),5.0)</f>
        <v>5</v>
      </c>
      <c r="O37" s="25">
        <f>IFERROR(__xludf.DUMMYFUNCTION("COUNTA(iferror(filter(Status!N:N,Status!A:A=A37,Status!N:N=TRUE)))"),5.0)</f>
        <v>5</v>
      </c>
      <c r="P37" s="23">
        <f>IFERROR(__xludf.DUMMYFUNCTION("COUNTA(iferror(filter(Status!P:P,Status!A:A=A37)))"),6.0)</f>
        <v>6</v>
      </c>
      <c r="Q37" s="25">
        <f>IFERROR(__xludf.DUMMYFUNCTION("COUNTA(iferror(filter(Status!P:P,Status!A:A=A37,Status!P:P=TRUE)))"),4.0)</f>
        <v>4</v>
      </c>
      <c r="R37" s="23">
        <f>IFERROR(__xludf.DUMMYFUNCTION("COUNTA(iferror(filter(Status!R:R,Status!A:A=A37)))"),4.0)</f>
        <v>4</v>
      </c>
      <c r="S37" s="25">
        <f>IFERROR(__xludf.DUMMYFUNCTION("COUNTA(iferror(filter(Status!R:R,Status!A:A=A37,Status!R:R=TRUE)))"),3.0)</f>
        <v>3</v>
      </c>
      <c r="V37" s="23" t="str">
        <f>IFERROR(__xludf.DUMMYFUNCTION("if((countif(filter(Status!$C:$C,Status!$A:$A=$A37),CONCATENATE(V$2,""*""))-W37)&gt;0,(countif(filter(Status!$C:$C,Status!$A:$A=$A37),CONCATENATE(V$2,""*""))-W37),"""")"),"")</f>
        <v/>
      </c>
      <c r="W37" s="23" t="str">
        <f>IFERROR(__xludf.DUMMYFUNCTION("if(countif(filter(Status!$C:$C,Status!$A:$A=$A37),CONCATENATE(W$2,""*""))&gt;0,countif(filter(Status!$C:$C,Status!$A:$A=$A37),CONCATENATE(W$2,""*"")),"""")"),"")</f>
        <v/>
      </c>
      <c r="X37" s="23" t="str">
        <f>IFERROR(__xludf.DUMMYFUNCTION("if(countif(filter(Status!$C:$C,Status!$A:$A=$A37),CONCATENATE(X$2,""*""))&gt;0,countif(filter(Status!$C:$C,Status!$A:$A=$A37),CONCATENATE(X$2,""*"")),"""")"),"")</f>
        <v/>
      </c>
      <c r="Y37" s="23" t="str">
        <f>IFERROR(__xludf.DUMMYFUNCTION("if(countif(filter(Status!$C:$C,Status!$A:$A=$A37),CONCATENATE(Y$2,""*""))&gt;0,countif(filter(Status!$C:$C,Status!$A:$A=$A37),CONCATENATE(Y$2,""*"")),"""")"),"")</f>
        <v/>
      </c>
      <c r="Z37" s="23" t="str">
        <f>IFERROR(__xludf.DUMMYFUNCTION("if(countif(filter(Status!$C:$C,Status!$A:$A=$A37),CONCATENATE(Z$2,""*""))&gt;0,countif(filter(Status!$C:$C,Status!$A:$A=$A37),CONCATENATE(Z$2,""*"")),"""")"),"")</f>
        <v/>
      </c>
      <c r="AA37" s="23">
        <f>IFERROR(__xludf.DUMMYFUNCTION("if((countif(filter(Status!$C:$C,Status!$A:$A=$A37),CONCATENATE(AA$2,""*""))-AB37)&gt;0,(countif(filter(Status!$C:$C,Status!$A:$A=$A37),CONCATENATE(AA$2,""*""))-AB37),"""")"),2.0)</f>
        <v>2</v>
      </c>
      <c r="AB37" s="23">
        <f>IFERROR(__xludf.DUMMYFUNCTION("if(countif(filter(Status!$C:$C,Status!$A:$A=$A37),CONCATENATE(AB$2,""*""))&gt;0,countif(filter(Status!$C:$C,Status!$A:$A=$A37),CONCATENATE(AB$2,""*"")),"""")"),2.0)</f>
        <v>2</v>
      </c>
      <c r="AC37" s="23" t="str">
        <f>IFERROR(__xludf.DUMMYFUNCTION("if(countif(filter(Status!$C:$C,Status!$A:$A=$A37),CONCATENATE(AC$2,""*""))&gt;0,countif(filter(Status!$C:$C,Status!$A:$A=$A37),CONCATENATE(AC$2,""*"")),"""")"),"")</f>
        <v/>
      </c>
      <c r="AD37" s="23" t="str">
        <f>IFERROR(__xludf.DUMMYFUNCTION("if(countif(filter(Status!$C:$C,Status!$A:$A=$A37),CONCATENATE(AD$2,""*""))&gt;0,countif(filter(Status!$C:$C,Status!$A:$A=$A37),CONCATENATE(AD$2,""*"")),"""")"),"")</f>
        <v/>
      </c>
      <c r="AE37" s="23">
        <f>IFERROR(__xludf.DUMMYFUNCTION("if(countif(filter(Status!$C:$C,Status!$A:$A=$A37),CONCATENATE(AE$2,""*""))&gt;0,countif(filter(Status!$C:$C,Status!$A:$A=$A37),CONCATENATE(AE$2,""*"")),"""")"),1.0)</f>
        <v>1</v>
      </c>
      <c r="AF37" s="23" t="str">
        <f>IFERROR(__xludf.DUMMYFUNCTION("if(countif(filter(Status!$C:$C,Status!$A:$A=$A37),CONCATENATE(AF$2,""*""))&gt;0,countif(filter(Status!$C:$C,Status!$A:$A=$A37),CONCATENATE(AF$2,""*"")),"""")"),"")</f>
        <v/>
      </c>
      <c r="AG37" s="23" t="str">
        <f>IFERROR(__xludf.DUMMYFUNCTION("if(countif(filter(Status!$C:$C,Status!$A:$A=$A37),CONCATENATE(AG$2,""*""))&gt;0,countif(filter(Status!$C:$C,Status!$A:$A=$A37),CONCATENATE(AG$2,""*"")),"""")"),"")</f>
        <v/>
      </c>
      <c r="AH37" s="23" t="str">
        <f>IFERROR(__xludf.DUMMYFUNCTION("if(countif(filter(Status!$C:$C,Status!$A:$A=$A37),CONCATENATE(AH$2,""*""))&gt;0,countif(filter(Status!$C:$C,Status!$A:$A=$A37),CONCATENATE(AH$2,""*"")),"""")"),"")</f>
        <v/>
      </c>
      <c r="AI37" s="23" t="str">
        <f>IFERROR(__xludf.DUMMYFUNCTION("if(countif(filter(Status!$C:$C,Status!$A:$A=$A37),CONCATENATE(AI$2,""*""))&gt;0,countif(filter(Status!$C:$C,Status!$A:$A=$A37),CONCATENATE(AI$2,""*"")),"""")"),"")</f>
        <v/>
      </c>
      <c r="AJ37" s="23">
        <f>IFERROR(__xludf.DUMMYFUNCTION("if(countif(filter(Status!$C:$C,Status!$A:$A=$A37),CONCATENATE(AJ$2,""*""))&gt;0,countif(filter(Status!$C:$C,Status!$A:$A=$A37),CONCATENATE(AJ$2,""*"")),"""")"),1.0)</f>
        <v>1</v>
      </c>
      <c r="AK37" s="23" t="str">
        <f>IFERROR(__xludf.DUMMYFUNCTION("if(countif(filter(Status!$C:$C,Status!$A:$A=$A37),CONCATENATE(AK$2,""*""))&gt;0,countif(filter(Status!$C:$C,Status!$A:$A=$A37),CONCATENATE(AK$2,""*"")),"""")"),"")</f>
        <v/>
      </c>
      <c r="AL37" s="23" t="str">
        <f>IFERROR(__xludf.DUMMYFUNCTION("if(countif(filter(Status!$C:$C,Status!$A:$A=$A37),CONCATENATE(AL$2,""*""))&gt;0,countif(filter(Status!$C:$C,Status!$A:$A=$A37),CONCATENATE(AL$2,""*"")),"""")"),"")</f>
        <v/>
      </c>
      <c r="AM37" s="23" t="str">
        <f>IFERROR(__xludf.DUMMYFUNCTION("if(countif(filter(Status!$C:$C,Status!$A:$A=$A37),CONCATENATE(AM$2,""*""))&gt;0,countif(filter(Status!$C:$C,Status!$A:$A=$A37),CONCATENATE(AM$2,""*"")),"""")"),"")</f>
        <v/>
      </c>
      <c r="AN37" s="23" t="str">
        <f>IFERROR(__xludf.DUMMYFUNCTION("if(countif(filter(Status!$C:$C,Status!$A:$A=$A37),CONCATENATE(AN$2,""*""))&gt;0,countif(filter(Status!$C:$C,Status!$A:$A=$A37),CONCATENATE(AN$2,""*"")),"""")"),"")</f>
        <v/>
      </c>
      <c r="AO37" s="23">
        <f>IFERROR(__xludf.DUMMYFUNCTION("if(countif(filter(Status!$C:$C,Status!$A:$A=$A37),CONCATENATE(AO$2,""*""))&gt;0,countif(filter(Status!$C:$C,Status!$A:$A=$A37),CONCATENATE(AO$2,""*"")),"""")"),1.0)</f>
        <v>1</v>
      </c>
      <c r="AP37" s="23">
        <f>IFERROR(__xludf.DUMMYFUNCTION("counta(iferror(filter(Status!C:C,Status!A:A=A37)))"),7.0)</f>
        <v>7</v>
      </c>
      <c r="AQ37" s="23">
        <f t="shared" si="6"/>
        <v>7</v>
      </c>
    </row>
    <row r="38">
      <c r="A38" s="1" t="s">
        <v>506</v>
      </c>
      <c r="B38" s="21">
        <f>IFERROR(__xludf.DUMMYFUNCTION("max(filter(Status!E:E,Status!A:A=A38))"),43720.0)</f>
        <v>43720</v>
      </c>
      <c r="C38" s="23">
        <f t="shared" si="1"/>
        <v>1</v>
      </c>
      <c r="D38" s="23">
        <f t="shared" si="2"/>
        <v>0.8333333333</v>
      </c>
      <c r="E38" s="23">
        <f t="shared" si="3"/>
        <v>1</v>
      </c>
      <c r="F38" s="23">
        <f t="shared" si="4"/>
        <v>0.8571428571</v>
      </c>
      <c r="G38" s="25">
        <f t="shared" si="5"/>
        <v>0.8571428571</v>
      </c>
      <c r="J38" s="23">
        <f>IFERROR(__xludf.DUMMYFUNCTION("COUNTA(iferror(filter(Status!H:H,Status!A:A=A38)))"),7.0)</f>
        <v>7</v>
      </c>
      <c r="K38" s="25">
        <f>IFERROR(__xludf.DUMMYFUNCTION("COUNTA(iferror(filter(Status!H:H,Status!A:A=A38,Status!H:H=TRUE)))"),7.0)</f>
        <v>7</v>
      </c>
      <c r="L38" s="23">
        <f>IFERROR(__xludf.DUMMYFUNCTION("COUNTA(iferror(filter(Status!L:L,Status!A:A=A38)))"),6.0)</f>
        <v>6</v>
      </c>
      <c r="M38" s="25">
        <f>IFERROR(__xludf.DUMMYFUNCTION("COUNTA(iferror(filter(Status!L:L,Status!A:A=A38,Status!L:L=TRUE)))"),5.0)</f>
        <v>5</v>
      </c>
      <c r="N38" s="23">
        <f>IFERROR(__xludf.DUMMYFUNCTION("COUNTA(iferror(filter(Status!N:N,Status!A:A=A38,Status!N:N=TRUE)))"),7.0)</f>
        <v>7</v>
      </c>
      <c r="O38" s="25">
        <f>IFERROR(__xludf.DUMMYFUNCTION("COUNTA(iferror(filter(Status!N:N,Status!A:A=A38,Status!N:N=TRUE)))"),7.0)</f>
        <v>7</v>
      </c>
      <c r="P38" s="23">
        <f>IFERROR(__xludf.DUMMYFUNCTION("COUNTA(iferror(filter(Status!P:P,Status!A:A=A38)))"),7.0)</f>
        <v>7</v>
      </c>
      <c r="Q38" s="25">
        <f>IFERROR(__xludf.DUMMYFUNCTION("COUNTA(iferror(filter(Status!P:P,Status!A:A=A38,Status!P:P=TRUE)))"),6.0)</f>
        <v>6</v>
      </c>
      <c r="R38" s="23">
        <f>IFERROR(__xludf.DUMMYFUNCTION("COUNTA(iferror(filter(Status!R:R,Status!A:A=A38)))"),7.0)</f>
        <v>7</v>
      </c>
      <c r="S38" s="25">
        <f>IFERROR(__xludf.DUMMYFUNCTION("COUNTA(iferror(filter(Status!R:R,Status!A:A=A38,Status!R:R=TRUE)))"),6.0)</f>
        <v>6</v>
      </c>
      <c r="V38" s="23" t="str">
        <f>IFERROR(__xludf.DUMMYFUNCTION("if((countif(filter(Status!$C:$C,Status!$A:$A=$A38),CONCATENATE(V$2,""*""))-W38)&gt;0,(countif(filter(Status!$C:$C,Status!$A:$A=$A38),CONCATENATE(V$2,""*""))-W38),"""")"),"")</f>
        <v/>
      </c>
      <c r="W38" s="23" t="str">
        <f>IFERROR(__xludf.DUMMYFUNCTION("if(countif(filter(Status!$C:$C,Status!$A:$A=$A38),CONCATENATE(W$2,""*""))&gt;0,countif(filter(Status!$C:$C,Status!$A:$A=$A38),CONCATENATE(W$2,""*"")),"""")"),"")</f>
        <v/>
      </c>
      <c r="X38" s="23" t="str">
        <f>IFERROR(__xludf.DUMMYFUNCTION("if(countif(filter(Status!$C:$C,Status!$A:$A=$A38),CONCATENATE(X$2,""*""))&gt;0,countif(filter(Status!$C:$C,Status!$A:$A=$A38),CONCATENATE(X$2,""*"")),"""")"),"")</f>
        <v/>
      </c>
      <c r="Y38" s="23" t="str">
        <f>IFERROR(__xludf.DUMMYFUNCTION("if(countif(filter(Status!$C:$C,Status!$A:$A=$A38),CONCATENATE(Y$2,""*""))&gt;0,countif(filter(Status!$C:$C,Status!$A:$A=$A38),CONCATENATE(Y$2,""*"")),"""")"),"")</f>
        <v/>
      </c>
      <c r="Z38" s="23">
        <f>IFERROR(__xludf.DUMMYFUNCTION("if(countif(filter(Status!$C:$C,Status!$A:$A=$A38),CONCATENATE(Z$2,""*""))&gt;0,countif(filter(Status!$C:$C,Status!$A:$A=$A38),CONCATENATE(Z$2,""*"")),"""")"),5.0)</f>
        <v>5</v>
      </c>
      <c r="AA38" s="23">
        <f>IFERROR(__xludf.DUMMYFUNCTION("if((countif(filter(Status!$C:$C,Status!$A:$A=$A38),CONCATENATE(AA$2,""*""))-AB38)&gt;0,(countif(filter(Status!$C:$C,Status!$A:$A=$A38),CONCATENATE(AA$2,""*""))-AB38),"""")"),1.0)</f>
        <v>1</v>
      </c>
      <c r="AB38" s="23">
        <f>IFERROR(__xludf.DUMMYFUNCTION("if(countif(filter(Status!$C:$C,Status!$A:$A=$A38),CONCATENATE(AB$2,""*""))&gt;0,countif(filter(Status!$C:$C,Status!$A:$A=$A38),CONCATENATE(AB$2,""*"")),"""")"),1.0)</f>
        <v>1</v>
      </c>
      <c r="AC38" s="23" t="str">
        <f>IFERROR(__xludf.DUMMYFUNCTION("if(countif(filter(Status!$C:$C,Status!$A:$A=$A38),CONCATENATE(AC$2,""*""))&gt;0,countif(filter(Status!$C:$C,Status!$A:$A=$A38),CONCATENATE(AC$2,""*"")),"""")"),"")</f>
        <v/>
      </c>
      <c r="AD38" s="23" t="str">
        <f>IFERROR(__xludf.DUMMYFUNCTION("if(countif(filter(Status!$C:$C,Status!$A:$A=$A38),CONCATENATE(AD$2,""*""))&gt;0,countif(filter(Status!$C:$C,Status!$A:$A=$A38),CONCATENATE(AD$2,""*"")),"""")"),"")</f>
        <v/>
      </c>
      <c r="AE38" s="23">
        <f>IFERROR(__xludf.DUMMYFUNCTION("if(countif(filter(Status!$C:$C,Status!$A:$A=$A38),CONCATENATE(AE$2,""*""))&gt;0,countif(filter(Status!$C:$C,Status!$A:$A=$A38),CONCATENATE(AE$2,""*"")),"""")"),1.0)</f>
        <v>1</v>
      </c>
      <c r="AF38" s="23" t="str">
        <f>IFERROR(__xludf.DUMMYFUNCTION("if(countif(filter(Status!$C:$C,Status!$A:$A=$A38),CONCATENATE(AF$2,""*""))&gt;0,countif(filter(Status!$C:$C,Status!$A:$A=$A38),CONCATENATE(AF$2,""*"")),"""")"),"")</f>
        <v/>
      </c>
      <c r="AG38" s="23" t="str">
        <f>IFERROR(__xludf.DUMMYFUNCTION("if(countif(filter(Status!$C:$C,Status!$A:$A=$A38),CONCATENATE(AG$2,""*""))&gt;0,countif(filter(Status!$C:$C,Status!$A:$A=$A38),CONCATENATE(AG$2,""*"")),"""")"),"")</f>
        <v/>
      </c>
      <c r="AH38" s="23" t="str">
        <f>IFERROR(__xludf.DUMMYFUNCTION("if(countif(filter(Status!$C:$C,Status!$A:$A=$A38),CONCATENATE(AH$2,""*""))&gt;0,countif(filter(Status!$C:$C,Status!$A:$A=$A38),CONCATENATE(AH$2,""*"")),"""")"),"")</f>
        <v/>
      </c>
      <c r="AI38" s="23" t="str">
        <f>IFERROR(__xludf.DUMMYFUNCTION("if(countif(filter(Status!$C:$C,Status!$A:$A=$A38),CONCATENATE(AI$2,""*""))&gt;0,countif(filter(Status!$C:$C,Status!$A:$A=$A38),CONCATENATE(AI$2,""*"")),"""")"),"")</f>
        <v/>
      </c>
      <c r="AJ38" s="23" t="str">
        <f>IFERROR(__xludf.DUMMYFUNCTION("if(countif(filter(Status!$C:$C,Status!$A:$A=$A38),CONCATENATE(AJ$2,""*""))&gt;0,countif(filter(Status!$C:$C,Status!$A:$A=$A38),CONCATENATE(AJ$2,""*"")),"""")"),"")</f>
        <v/>
      </c>
      <c r="AK38" s="23" t="str">
        <f>IFERROR(__xludf.DUMMYFUNCTION("if(countif(filter(Status!$C:$C,Status!$A:$A=$A38),CONCATENATE(AK$2,""*""))&gt;0,countif(filter(Status!$C:$C,Status!$A:$A=$A38),CONCATENATE(AK$2,""*"")),"""")"),"")</f>
        <v/>
      </c>
      <c r="AL38" s="23" t="str">
        <f>IFERROR(__xludf.DUMMYFUNCTION("if(countif(filter(Status!$C:$C,Status!$A:$A=$A38),CONCATENATE(AL$2,""*""))&gt;0,countif(filter(Status!$C:$C,Status!$A:$A=$A38),CONCATENATE(AL$2,""*"")),"""")"),"")</f>
        <v/>
      </c>
      <c r="AM38" s="23" t="str">
        <f>IFERROR(__xludf.DUMMYFUNCTION("if(countif(filter(Status!$C:$C,Status!$A:$A=$A38),CONCATENATE(AM$2,""*""))&gt;0,countif(filter(Status!$C:$C,Status!$A:$A=$A38),CONCATENATE(AM$2,""*"")),"""")"),"")</f>
        <v/>
      </c>
      <c r="AN38" s="23" t="str">
        <f>IFERROR(__xludf.DUMMYFUNCTION("if(countif(filter(Status!$C:$C,Status!$A:$A=$A38),CONCATENATE(AN$2,""*""))&gt;0,countif(filter(Status!$C:$C,Status!$A:$A=$A38),CONCATENATE(AN$2,""*"")),"""")"),"")</f>
        <v/>
      </c>
      <c r="AO38" s="23" t="str">
        <f>IFERROR(__xludf.DUMMYFUNCTION("if(countif(filter(Status!$C:$C,Status!$A:$A=$A38),CONCATENATE(AO$2,""*""))&gt;0,countif(filter(Status!$C:$C,Status!$A:$A=$A38),CONCATENATE(AO$2,""*"")),"""")"),"")</f>
        <v/>
      </c>
      <c r="AP38" s="23">
        <f>IFERROR(__xludf.DUMMYFUNCTION("counta(iferror(filter(Status!C:C,Status!A:A=A38)))"),8.0)</f>
        <v>8</v>
      </c>
      <c r="AQ38" s="23">
        <f t="shared" si="6"/>
        <v>8</v>
      </c>
    </row>
    <row r="39">
      <c r="A39" s="1" t="s">
        <v>513</v>
      </c>
      <c r="B39" s="21">
        <f>IFERROR(__xludf.DUMMYFUNCTION("max(filter(Status!E:E,Status!A:A=A39))"),43724.0)</f>
        <v>43724</v>
      </c>
      <c r="C39" s="23">
        <f t="shared" si="1"/>
        <v>1</v>
      </c>
      <c r="D39" s="23">
        <f t="shared" si="2"/>
        <v>0</v>
      </c>
      <c r="E39" s="23">
        <f t="shared" si="3"/>
        <v>1</v>
      </c>
      <c r="F39" s="23">
        <f t="shared" si="4"/>
        <v>0.6</v>
      </c>
      <c r="G39" s="25">
        <f t="shared" si="5"/>
        <v>1</v>
      </c>
      <c r="J39" s="23">
        <f>IFERROR(__xludf.DUMMYFUNCTION("COUNTA(iferror(filter(Status!H:H,Status!A:A=A39)))"),3.0)</f>
        <v>3</v>
      </c>
      <c r="K39" s="25">
        <f>IFERROR(__xludf.DUMMYFUNCTION("COUNTA(iferror(filter(Status!H:H,Status!A:A=A39,Status!H:H=TRUE)))"),3.0)</f>
        <v>3</v>
      </c>
      <c r="L39" s="23">
        <f>IFERROR(__xludf.DUMMYFUNCTION("COUNTA(iferror(filter(Status!L:L,Status!A:A=A39)))"),1.0)</f>
        <v>1</v>
      </c>
      <c r="M39" s="25">
        <f>IFERROR(__xludf.DUMMYFUNCTION("COUNTA(iferror(filter(Status!L:L,Status!A:A=A39,Status!L:L=TRUE)))"),0.0)</f>
        <v>0</v>
      </c>
      <c r="N39" s="23">
        <f>IFERROR(__xludf.DUMMYFUNCTION("COUNTA(iferror(filter(Status!N:N,Status!A:A=A39,Status!N:N=TRUE)))"),3.0)</f>
        <v>3</v>
      </c>
      <c r="O39" s="25">
        <f>IFERROR(__xludf.DUMMYFUNCTION("COUNTA(iferror(filter(Status!N:N,Status!A:A=A39,Status!N:N=TRUE)))"),3.0)</f>
        <v>3</v>
      </c>
      <c r="P39" s="23">
        <f>IFERROR(__xludf.DUMMYFUNCTION("COUNTA(iferror(filter(Status!P:P,Status!A:A=A39)))"),5.0)</f>
        <v>5</v>
      </c>
      <c r="Q39" s="25">
        <f>IFERROR(__xludf.DUMMYFUNCTION("COUNTA(iferror(filter(Status!P:P,Status!A:A=A39,Status!P:P=TRUE)))"),3.0)</f>
        <v>3</v>
      </c>
      <c r="R39" s="23">
        <f>IFERROR(__xludf.DUMMYFUNCTION("COUNTA(iferror(filter(Status!R:R,Status!A:A=A39)))"),3.0)</f>
        <v>3</v>
      </c>
      <c r="S39" s="25">
        <f>IFERROR(__xludf.DUMMYFUNCTION("COUNTA(iferror(filter(Status!R:R,Status!A:A=A39,Status!R:R=TRUE)))"),3.0)</f>
        <v>3</v>
      </c>
      <c r="V39" s="23" t="str">
        <f>IFERROR(__xludf.DUMMYFUNCTION("if((countif(filter(Status!$C:$C,Status!$A:$A=$A39),CONCATENATE(V$2,""*""))-W39)&gt;0,(countif(filter(Status!$C:$C,Status!$A:$A=$A39),CONCATENATE(V$2,""*""))-W39),"""")"),"")</f>
        <v/>
      </c>
      <c r="W39" s="23">
        <f>IFERROR(__xludf.DUMMYFUNCTION("if(countif(filter(Status!$C:$C,Status!$A:$A=$A39),CONCATENATE(W$2,""*""))&gt;0,countif(filter(Status!$C:$C,Status!$A:$A=$A39),CONCATENATE(W$2,""*"")),"""")"),2.0)</f>
        <v>2</v>
      </c>
      <c r="X39" s="23" t="str">
        <f>IFERROR(__xludf.DUMMYFUNCTION("if(countif(filter(Status!$C:$C,Status!$A:$A=$A39),CONCATENATE(X$2,""*""))&gt;0,countif(filter(Status!$C:$C,Status!$A:$A=$A39),CONCATENATE(X$2,""*"")),"""")"),"")</f>
        <v/>
      </c>
      <c r="Y39" s="23" t="str">
        <f>IFERROR(__xludf.DUMMYFUNCTION("if(countif(filter(Status!$C:$C,Status!$A:$A=$A39),CONCATENATE(Y$2,""*""))&gt;0,countif(filter(Status!$C:$C,Status!$A:$A=$A39),CONCATENATE(Y$2,""*"")),"""")"),"")</f>
        <v/>
      </c>
      <c r="Z39" s="23" t="str">
        <f>IFERROR(__xludf.DUMMYFUNCTION("if(countif(filter(Status!$C:$C,Status!$A:$A=$A39),CONCATENATE(Z$2,""*""))&gt;0,countif(filter(Status!$C:$C,Status!$A:$A=$A39),CONCATENATE(Z$2,""*"")),"""")"),"")</f>
        <v/>
      </c>
      <c r="AA39" s="23">
        <f>IFERROR(__xludf.DUMMYFUNCTION("if((countif(filter(Status!$C:$C,Status!$A:$A=$A39),CONCATENATE(AA$2,""*""))-AB39)&gt;0,(countif(filter(Status!$C:$C,Status!$A:$A=$A39),CONCATENATE(AA$2,""*""))-AB39),"""")"),1.0)</f>
        <v>1</v>
      </c>
      <c r="AB39" s="23">
        <f>IFERROR(__xludf.DUMMYFUNCTION("if(countif(filter(Status!$C:$C,Status!$A:$A=$A39),CONCATENATE(AB$2,""*""))&gt;0,countif(filter(Status!$C:$C,Status!$A:$A=$A39),CONCATENATE(AB$2,""*"")),"""")"),1.0)</f>
        <v>1</v>
      </c>
      <c r="AC39" s="23" t="str">
        <f>IFERROR(__xludf.DUMMYFUNCTION("if(countif(filter(Status!$C:$C,Status!$A:$A=$A39),CONCATENATE(AC$2,""*""))&gt;0,countif(filter(Status!$C:$C,Status!$A:$A=$A39),CONCATENATE(AC$2,""*"")),"""")"),"")</f>
        <v/>
      </c>
      <c r="AD39" s="23">
        <f>IFERROR(__xludf.DUMMYFUNCTION("if(countif(filter(Status!$C:$C,Status!$A:$A=$A39),CONCATENATE(AD$2,""*""))&gt;0,countif(filter(Status!$C:$C,Status!$A:$A=$A39),CONCATENATE(AD$2,""*"")),"""")"),1.0)</f>
        <v>1</v>
      </c>
      <c r="AE39" s="23">
        <f>IFERROR(__xludf.DUMMYFUNCTION("if(countif(filter(Status!$C:$C,Status!$A:$A=$A39),CONCATENATE(AE$2,""*""))&gt;0,countif(filter(Status!$C:$C,Status!$A:$A=$A39),CONCATENATE(AE$2,""*"")),"""")"),1.0)</f>
        <v>1</v>
      </c>
      <c r="AF39" s="23" t="str">
        <f>IFERROR(__xludf.DUMMYFUNCTION("if(countif(filter(Status!$C:$C,Status!$A:$A=$A39),CONCATENATE(AF$2,""*""))&gt;0,countif(filter(Status!$C:$C,Status!$A:$A=$A39),CONCATENATE(AF$2,""*"")),"""")"),"")</f>
        <v/>
      </c>
      <c r="AG39" s="23" t="str">
        <f>IFERROR(__xludf.DUMMYFUNCTION("if(countif(filter(Status!$C:$C,Status!$A:$A=$A39),CONCATENATE(AG$2,""*""))&gt;0,countif(filter(Status!$C:$C,Status!$A:$A=$A39),CONCATENATE(AG$2,""*"")),"""")"),"")</f>
        <v/>
      </c>
      <c r="AH39" s="23" t="str">
        <f>IFERROR(__xludf.DUMMYFUNCTION("if(countif(filter(Status!$C:$C,Status!$A:$A=$A39),CONCATENATE(AH$2,""*""))&gt;0,countif(filter(Status!$C:$C,Status!$A:$A=$A39),CONCATENATE(AH$2,""*"")),"""")"),"")</f>
        <v/>
      </c>
      <c r="AI39" s="23" t="str">
        <f>IFERROR(__xludf.DUMMYFUNCTION("if(countif(filter(Status!$C:$C,Status!$A:$A=$A39),CONCATENATE(AI$2,""*""))&gt;0,countif(filter(Status!$C:$C,Status!$A:$A=$A39),CONCATENATE(AI$2,""*"")),"""")"),"")</f>
        <v/>
      </c>
      <c r="AJ39" s="23" t="str">
        <f>IFERROR(__xludf.DUMMYFUNCTION("if(countif(filter(Status!$C:$C,Status!$A:$A=$A39),CONCATENATE(AJ$2,""*""))&gt;0,countif(filter(Status!$C:$C,Status!$A:$A=$A39),CONCATENATE(AJ$2,""*"")),"""")"),"")</f>
        <v/>
      </c>
      <c r="AK39" s="23" t="str">
        <f>IFERROR(__xludf.DUMMYFUNCTION("if(countif(filter(Status!$C:$C,Status!$A:$A=$A39),CONCATENATE(AK$2,""*""))&gt;0,countif(filter(Status!$C:$C,Status!$A:$A=$A39),CONCATENATE(AK$2,""*"")),"""")"),"")</f>
        <v/>
      </c>
      <c r="AL39" s="23" t="str">
        <f>IFERROR(__xludf.DUMMYFUNCTION("if(countif(filter(Status!$C:$C,Status!$A:$A=$A39),CONCATENATE(AL$2,""*""))&gt;0,countif(filter(Status!$C:$C,Status!$A:$A=$A39),CONCATENATE(AL$2,""*"")),"""")"),"")</f>
        <v/>
      </c>
      <c r="AM39" s="23" t="str">
        <f>IFERROR(__xludf.DUMMYFUNCTION("if(countif(filter(Status!$C:$C,Status!$A:$A=$A39),CONCATENATE(AM$2,""*""))&gt;0,countif(filter(Status!$C:$C,Status!$A:$A=$A39),CONCATENATE(AM$2,""*"")),"""")"),"")</f>
        <v/>
      </c>
      <c r="AN39" s="23" t="str">
        <f>IFERROR(__xludf.DUMMYFUNCTION("if(countif(filter(Status!$C:$C,Status!$A:$A=$A39),CONCATENATE(AN$2,""*""))&gt;0,countif(filter(Status!$C:$C,Status!$A:$A=$A39),CONCATENATE(AN$2,""*"")),"""")"),"")</f>
        <v/>
      </c>
      <c r="AO39" s="23" t="str">
        <f>IFERROR(__xludf.DUMMYFUNCTION("if(countif(filter(Status!$C:$C,Status!$A:$A=$A39),CONCATENATE(AO$2,""*""))&gt;0,countif(filter(Status!$C:$C,Status!$A:$A=$A39),CONCATENATE(AO$2,""*"")),"""")"),"")</f>
        <v/>
      </c>
      <c r="AP39" s="23">
        <f>IFERROR(__xludf.DUMMYFUNCTION("counta(iferror(filter(Status!C:C,Status!A:A=A39)))"),6.0)</f>
        <v>6</v>
      </c>
      <c r="AQ39" s="23">
        <f t="shared" si="6"/>
        <v>6</v>
      </c>
    </row>
    <row r="40">
      <c r="A40" s="1" t="s">
        <v>519</v>
      </c>
      <c r="B40" s="21">
        <f>IFERROR(__xludf.DUMMYFUNCTION("max(filter(Status!E:E,Status!A:A=A40))"),43725.0)</f>
        <v>43725</v>
      </c>
      <c r="C40" s="23">
        <f t="shared" si="1"/>
        <v>1</v>
      </c>
      <c r="D40" s="23">
        <f t="shared" si="2"/>
        <v>0.7272727273</v>
      </c>
      <c r="E40" s="23">
        <f t="shared" si="3"/>
        <v>1</v>
      </c>
      <c r="F40" s="23">
        <f t="shared" si="4"/>
        <v>0.8823529412</v>
      </c>
      <c r="G40" s="25">
        <f t="shared" si="5"/>
        <v>0.3125</v>
      </c>
      <c r="J40" s="23">
        <f>IFERROR(__xludf.DUMMYFUNCTION("COUNTA(iferror(filter(Status!H:H,Status!A:A=A40)))"),13.0)</f>
        <v>13</v>
      </c>
      <c r="K40" s="25">
        <f>IFERROR(__xludf.DUMMYFUNCTION("COUNTA(iferror(filter(Status!H:H,Status!A:A=A40,Status!H:H=TRUE)))"),13.0)</f>
        <v>13</v>
      </c>
      <c r="L40" s="23">
        <f>IFERROR(__xludf.DUMMYFUNCTION("COUNTA(iferror(filter(Status!L:L,Status!A:A=A40)))"),11.0)</f>
        <v>11</v>
      </c>
      <c r="M40" s="25">
        <f>IFERROR(__xludf.DUMMYFUNCTION("COUNTA(iferror(filter(Status!L:L,Status!A:A=A40,Status!L:L=TRUE)))"),8.0)</f>
        <v>8</v>
      </c>
      <c r="N40" s="23">
        <f>IFERROR(__xludf.DUMMYFUNCTION("COUNTA(iferror(filter(Status!N:N,Status!A:A=A40,Status!N:N=TRUE)))"),16.0)</f>
        <v>16</v>
      </c>
      <c r="O40" s="25">
        <f>IFERROR(__xludf.DUMMYFUNCTION("COUNTA(iferror(filter(Status!N:N,Status!A:A=A40,Status!N:N=TRUE)))"),16.0)</f>
        <v>16</v>
      </c>
      <c r="P40" s="23">
        <f>IFERROR(__xludf.DUMMYFUNCTION("COUNTA(iferror(filter(Status!P:P,Status!A:A=A40)))"),17.0)</f>
        <v>17</v>
      </c>
      <c r="Q40" s="25">
        <f>IFERROR(__xludf.DUMMYFUNCTION("COUNTA(iferror(filter(Status!P:P,Status!A:A=A40,Status!P:P=TRUE)))"),15.0)</f>
        <v>15</v>
      </c>
      <c r="R40" s="23">
        <f>IFERROR(__xludf.DUMMYFUNCTION("COUNTA(iferror(filter(Status!R:R,Status!A:A=A40)))"),16.0)</f>
        <v>16</v>
      </c>
      <c r="S40" s="25">
        <f>IFERROR(__xludf.DUMMYFUNCTION("COUNTA(iferror(filter(Status!R:R,Status!A:A=A40,Status!R:R=TRUE)))"),5.0)</f>
        <v>5</v>
      </c>
      <c r="V40" s="23" t="str">
        <f>IFERROR(__xludf.DUMMYFUNCTION("if((countif(filter(Status!$C:$C,Status!$A:$A=$A40),CONCATENATE(V$2,""*""))-W40)&gt;0,(countif(filter(Status!$C:$C,Status!$A:$A=$A40),CONCATENATE(V$2,""*""))-W40),"""")"),"")</f>
        <v/>
      </c>
      <c r="W40" s="23" t="str">
        <f>IFERROR(__xludf.DUMMYFUNCTION("if(countif(filter(Status!$C:$C,Status!$A:$A=$A40),CONCATENATE(W$2,""*""))&gt;0,countif(filter(Status!$C:$C,Status!$A:$A=$A40),CONCATENATE(W$2,""*"")),"""")"),"")</f>
        <v/>
      </c>
      <c r="X40" s="23">
        <f>IFERROR(__xludf.DUMMYFUNCTION("if(countif(filter(Status!$C:$C,Status!$A:$A=$A40),CONCATENATE(X$2,""*""))&gt;0,countif(filter(Status!$C:$C,Status!$A:$A=$A40),CONCATENATE(X$2,""*"")),"""")"),1.0)</f>
        <v>1</v>
      </c>
      <c r="Y40" s="23">
        <f>IFERROR(__xludf.DUMMYFUNCTION("if(countif(filter(Status!$C:$C,Status!$A:$A=$A40),CONCATENATE(Y$2,""*""))&gt;0,countif(filter(Status!$C:$C,Status!$A:$A=$A40),CONCATENATE(Y$2,""*"")),"""")"),9.0)</f>
        <v>9</v>
      </c>
      <c r="Z40" s="23" t="str">
        <f>IFERROR(__xludf.DUMMYFUNCTION("if(countif(filter(Status!$C:$C,Status!$A:$A=$A40),CONCATENATE(Z$2,""*""))&gt;0,countif(filter(Status!$C:$C,Status!$A:$A=$A40),CONCATENATE(Z$2,""*"")),"""")"),"")</f>
        <v/>
      </c>
      <c r="AA40" s="23">
        <f>IFERROR(__xludf.DUMMYFUNCTION("if((countif(filter(Status!$C:$C,Status!$A:$A=$A40),CONCATENATE(AA$2,""*""))-AB40)&gt;0,(countif(filter(Status!$C:$C,Status!$A:$A=$A40),CONCATENATE(AA$2,""*""))-AB40),"""")"),3.0)</f>
        <v>3</v>
      </c>
      <c r="AB40" s="23">
        <f>IFERROR(__xludf.DUMMYFUNCTION("if(countif(filter(Status!$C:$C,Status!$A:$A=$A40),CONCATENATE(AB$2,""*""))&gt;0,countif(filter(Status!$C:$C,Status!$A:$A=$A40),CONCATENATE(AB$2,""*"")),"""")"),3.0)</f>
        <v>3</v>
      </c>
      <c r="AC40" s="23">
        <f>IFERROR(__xludf.DUMMYFUNCTION("if(countif(filter(Status!$C:$C,Status!$A:$A=$A40),CONCATENATE(AC$2,""*""))&gt;0,countif(filter(Status!$C:$C,Status!$A:$A=$A40),CONCATENATE(AC$2,""*"")),"""")"),1.0)</f>
        <v>1</v>
      </c>
      <c r="AD40" s="23" t="str">
        <f>IFERROR(__xludf.DUMMYFUNCTION("if(countif(filter(Status!$C:$C,Status!$A:$A=$A40),CONCATENATE(AD$2,""*""))&gt;0,countif(filter(Status!$C:$C,Status!$A:$A=$A40),CONCATENATE(AD$2,""*"")),"""")"),"")</f>
        <v/>
      </c>
      <c r="AE40" s="23">
        <f>IFERROR(__xludf.DUMMYFUNCTION("if(countif(filter(Status!$C:$C,Status!$A:$A=$A40),CONCATENATE(AE$2,""*""))&gt;0,countif(filter(Status!$C:$C,Status!$A:$A=$A40),CONCATENATE(AE$2,""*"")),"""")"),1.0)</f>
        <v>1</v>
      </c>
      <c r="AF40" s="23" t="str">
        <f>IFERROR(__xludf.DUMMYFUNCTION("if(countif(filter(Status!$C:$C,Status!$A:$A=$A40),CONCATENATE(AF$2,""*""))&gt;0,countif(filter(Status!$C:$C,Status!$A:$A=$A40),CONCATENATE(AF$2,""*"")),"""")"),"")</f>
        <v/>
      </c>
      <c r="AG40" s="23" t="str">
        <f>IFERROR(__xludf.DUMMYFUNCTION("if(countif(filter(Status!$C:$C,Status!$A:$A=$A40),CONCATENATE(AG$2,""*""))&gt;0,countif(filter(Status!$C:$C,Status!$A:$A=$A40),CONCATENATE(AG$2,""*"")),"""")"),"")</f>
        <v/>
      </c>
      <c r="AH40" s="23" t="str">
        <f>IFERROR(__xludf.DUMMYFUNCTION("if(countif(filter(Status!$C:$C,Status!$A:$A=$A40),CONCATENATE(AH$2,""*""))&gt;0,countif(filter(Status!$C:$C,Status!$A:$A=$A40),CONCATENATE(AH$2,""*"")),"""")"),"")</f>
        <v/>
      </c>
      <c r="AI40" s="23" t="str">
        <f>IFERROR(__xludf.DUMMYFUNCTION("if(countif(filter(Status!$C:$C,Status!$A:$A=$A40),CONCATENATE(AI$2,""*""))&gt;0,countif(filter(Status!$C:$C,Status!$A:$A=$A40),CONCATENATE(AI$2,""*"")),"""")"),"")</f>
        <v/>
      </c>
      <c r="AJ40" s="23" t="str">
        <f>IFERROR(__xludf.DUMMYFUNCTION("if(countif(filter(Status!$C:$C,Status!$A:$A=$A40),CONCATENATE(AJ$2,""*""))&gt;0,countif(filter(Status!$C:$C,Status!$A:$A=$A40),CONCATENATE(AJ$2,""*"")),"""")"),"")</f>
        <v/>
      </c>
      <c r="AK40" s="23" t="str">
        <f>IFERROR(__xludf.DUMMYFUNCTION("if(countif(filter(Status!$C:$C,Status!$A:$A=$A40),CONCATENATE(AK$2,""*""))&gt;0,countif(filter(Status!$C:$C,Status!$A:$A=$A40),CONCATENATE(AK$2,""*"")),"""")"),"")</f>
        <v/>
      </c>
      <c r="AL40" s="23" t="str">
        <f>IFERROR(__xludf.DUMMYFUNCTION("if(countif(filter(Status!$C:$C,Status!$A:$A=$A40),CONCATENATE(AL$2,""*""))&gt;0,countif(filter(Status!$C:$C,Status!$A:$A=$A40),CONCATENATE(AL$2,""*"")),"""")"),"")</f>
        <v/>
      </c>
      <c r="AM40" s="23" t="str">
        <f>IFERROR(__xludf.DUMMYFUNCTION("if(countif(filter(Status!$C:$C,Status!$A:$A=$A40),CONCATENATE(AM$2,""*""))&gt;0,countif(filter(Status!$C:$C,Status!$A:$A=$A40),CONCATENATE(AM$2,""*"")),"""")"),"")</f>
        <v/>
      </c>
      <c r="AN40" s="23" t="str">
        <f>IFERROR(__xludf.DUMMYFUNCTION("if(countif(filter(Status!$C:$C,Status!$A:$A=$A40),CONCATENATE(AN$2,""*""))&gt;0,countif(filter(Status!$C:$C,Status!$A:$A=$A40),CONCATENATE(AN$2,""*"")),"""")"),"")</f>
        <v/>
      </c>
      <c r="AO40" s="23" t="str">
        <f>IFERROR(__xludf.DUMMYFUNCTION("if(countif(filter(Status!$C:$C,Status!$A:$A=$A40),CONCATENATE(AO$2,""*""))&gt;0,countif(filter(Status!$C:$C,Status!$A:$A=$A40),CONCATENATE(AO$2,""*"")),"""")"),"")</f>
        <v/>
      </c>
      <c r="AP40" s="23">
        <f>IFERROR(__xludf.DUMMYFUNCTION("counta(iferror(filter(Status!C:C,Status!A:A=A40)))"),18.0)</f>
        <v>18</v>
      </c>
      <c r="AQ40" s="23">
        <f t="shared" si="6"/>
        <v>18</v>
      </c>
    </row>
    <row r="41">
      <c r="A41" s="1" t="s">
        <v>542</v>
      </c>
      <c r="B41" s="21">
        <f>IFERROR(__xludf.DUMMYFUNCTION("max(filter(Status!E:E,Status!A:A=A41))"),43727.0)</f>
        <v>43727</v>
      </c>
      <c r="C41" s="23">
        <f t="shared" si="1"/>
        <v>1</v>
      </c>
      <c r="D41" s="23">
        <f t="shared" si="2"/>
        <v>0</v>
      </c>
      <c r="E41" s="23">
        <f t="shared" si="3"/>
        <v>1</v>
      </c>
      <c r="F41" s="23">
        <f t="shared" si="4"/>
        <v>0.625</v>
      </c>
      <c r="G41" s="25">
        <f t="shared" si="5"/>
        <v>1</v>
      </c>
      <c r="J41" s="23">
        <f>IFERROR(__xludf.DUMMYFUNCTION("COUNTA(iferror(filter(Status!H:H,Status!A:A=A41)))"),4.0)</f>
        <v>4</v>
      </c>
      <c r="K41" s="25">
        <f>IFERROR(__xludf.DUMMYFUNCTION("COUNTA(iferror(filter(Status!H:H,Status!A:A=A41,Status!H:H=TRUE)))"),4.0)</f>
        <v>4</v>
      </c>
      <c r="L41" s="23">
        <f>IFERROR(__xludf.DUMMYFUNCTION("COUNTA(iferror(filter(Status!L:L,Status!A:A=A41)))"),1.0)</f>
        <v>1</v>
      </c>
      <c r="M41" s="25">
        <f>IFERROR(__xludf.DUMMYFUNCTION("COUNTA(iferror(filter(Status!L:L,Status!A:A=A41,Status!L:L=TRUE)))"),0.0)</f>
        <v>0</v>
      </c>
      <c r="N41" s="23">
        <f>IFERROR(__xludf.DUMMYFUNCTION("COUNTA(iferror(filter(Status!N:N,Status!A:A=A41,Status!N:N=TRUE)))"),7.0)</f>
        <v>7</v>
      </c>
      <c r="O41" s="25">
        <f>IFERROR(__xludf.DUMMYFUNCTION("COUNTA(iferror(filter(Status!N:N,Status!A:A=A41,Status!N:N=TRUE)))"),7.0)</f>
        <v>7</v>
      </c>
      <c r="P41" s="23">
        <f>IFERROR(__xludf.DUMMYFUNCTION("COUNTA(iferror(filter(Status!P:P,Status!A:A=A41)))"),8.0)</f>
        <v>8</v>
      </c>
      <c r="Q41" s="25">
        <f>IFERROR(__xludf.DUMMYFUNCTION("COUNTA(iferror(filter(Status!P:P,Status!A:A=A41,Status!P:P=TRUE)))"),5.0)</f>
        <v>5</v>
      </c>
      <c r="R41" s="23">
        <f>IFERROR(__xludf.DUMMYFUNCTION("COUNTA(iferror(filter(Status!R:R,Status!A:A=A41)))"),5.0)</f>
        <v>5</v>
      </c>
      <c r="S41" s="25">
        <f>IFERROR(__xludf.DUMMYFUNCTION("COUNTA(iferror(filter(Status!R:R,Status!A:A=A41,Status!R:R=TRUE)))"),5.0)</f>
        <v>5</v>
      </c>
      <c r="V41" s="23" t="str">
        <f>IFERROR(__xludf.DUMMYFUNCTION("if((countif(filter(Status!$C:$C,Status!$A:$A=$A41),CONCATENATE(V$2,""*""))-W41)&gt;0,(countif(filter(Status!$C:$C,Status!$A:$A=$A41),CONCATENATE(V$2,""*""))-W41),"""")"),"")</f>
        <v/>
      </c>
      <c r="W41" s="23">
        <f>IFERROR(__xludf.DUMMYFUNCTION("if(countif(filter(Status!$C:$C,Status!$A:$A=$A41),CONCATENATE(W$2,""*""))&gt;0,countif(filter(Status!$C:$C,Status!$A:$A=$A41),CONCATENATE(W$2,""*"")),"""")"),2.0)</f>
        <v>2</v>
      </c>
      <c r="X41" s="23">
        <f>IFERROR(__xludf.DUMMYFUNCTION("if(countif(filter(Status!$C:$C,Status!$A:$A=$A41),CONCATENATE(X$2,""*""))&gt;0,countif(filter(Status!$C:$C,Status!$A:$A=$A41),CONCATENATE(X$2,""*"")),"""")"),1.0)</f>
        <v>1</v>
      </c>
      <c r="Y41" s="23" t="str">
        <f>IFERROR(__xludf.DUMMYFUNCTION("if(countif(filter(Status!$C:$C,Status!$A:$A=$A41),CONCATENATE(Y$2,""*""))&gt;0,countif(filter(Status!$C:$C,Status!$A:$A=$A41),CONCATENATE(Y$2,""*"")),"""")"),"")</f>
        <v/>
      </c>
      <c r="Z41" s="23" t="str">
        <f>IFERROR(__xludf.DUMMYFUNCTION("if(countif(filter(Status!$C:$C,Status!$A:$A=$A41),CONCATENATE(Z$2,""*""))&gt;0,countif(filter(Status!$C:$C,Status!$A:$A=$A41),CONCATENATE(Z$2,""*"")),"""")"),"")</f>
        <v/>
      </c>
      <c r="AA41" s="23">
        <f>IFERROR(__xludf.DUMMYFUNCTION("if((countif(filter(Status!$C:$C,Status!$A:$A=$A41),CONCATENATE(AA$2,""*""))-AB41)&gt;0,(countif(filter(Status!$C:$C,Status!$A:$A=$A41),CONCATENATE(AA$2,""*""))-AB41),"""")"),2.0)</f>
        <v>2</v>
      </c>
      <c r="AB41" s="23">
        <f>IFERROR(__xludf.DUMMYFUNCTION("if(countif(filter(Status!$C:$C,Status!$A:$A=$A41),CONCATENATE(AB$2,""*""))&gt;0,countif(filter(Status!$C:$C,Status!$A:$A=$A41),CONCATENATE(AB$2,""*"")),"""")"),2.0)</f>
        <v>2</v>
      </c>
      <c r="AC41" s="23">
        <f>IFERROR(__xludf.DUMMYFUNCTION("if(countif(filter(Status!$C:$C,Status!$A:$A=$A41),CONCATENATE(AC$2,""*""))&gt;0,countif(filter(Status!$C:$C,Status!$A:$A=$A41),CONCATENATE(AC$2,""*"")),"""")"),1.0)</f>
        <v>1</v>
      </c>
      <c r="AD41" s="23" t="str">
        <f>IFERROR(__xludf.DUMMYFUNCTION("if(countif(filter(Status!$C:$C,Status!$A:$A=$A41),CONCATENATE(AD$2,""*""))&gt;0,countif(filter(Status!$C:$C,Status!$A:$A=$A41),CONCATENATE(AD$2,""*"")),"""")"),"")</f>
        <v/>
      </c>
      <c r="AE41" s="23">
        <f>IFERROR(__xludf.DUMMYFUNCTION("if(countif(filter(Status!$C:$C,Status!$A:$A=$A41),CONCATENATE(AE$2,""*""))&gt;0,countif(filter(Status!$C:$C,Status!$A:$A=$A41),CONCATENATE(AE$2,""*"")),"""")"),1.0)</f>
        <v>1</v>
      </c>
      <c r="AF41" s="23" t="str">
        <f>IFERROR(__xludf.DUMMYFUNCTION("if(countif(filter(Status!$C:$C,Status!$A:$A=$A41),CONCATENATE(AF$2,""*""))&gt;0,countif(filter(Status!$C:$C,Status!$A:$A=$A41),CONCATENATE(AF$2,""*"")),"""")"),"")</f>
        <v/>
      </c>
      <c r="AG41" s="23" t="str">
        <f>IFERROR(__xludf.DUMMYFUNCTION("if(countif(filter(Status!$C:$C,Status!$A:$A=$A41),CONCATENATE(AG$2,""*""))&gt;0,countif(filter(Status!$C:$C,Status!$A:$A=$A41),CONCATENATE(AG$2,""*"")),"""")"),"")</f>
        <v/>
      </c>
      <c r="AH41" s="23" t="str">
        <f>IFERROR(__xludf.DUMMYFUNCTION("if(countif(filter(Status!$C:$C,Status!$A:$A=$A41),CONCATENATE(AH$2,""*""))&gt;0,countif(filter(Status!$C:$C,Status!$A:$A=$A41),CONCATENATE(AH$2,""*"")),"""")"),"")</f>
        <v/>
      </c>
      <c r="AI41" s="23" t="str">
        <f>IFERROR(__xludf.DUMMYFUNCTION("if(countif(filter(Status!$C:$C,Status!$A:$A=$A41),CONCATENATE(AI$2,""*""))&gt;0,countif(filter(Status!$C:$C,Status!$A:$A=$A41),CONCATENATE(AI$2,""*"")),"""")"),"")</f>
        <v/>
      </c>
      <c r="AJ41" s="23" t="str">
        <f>IFERROR(__xludf.DUMMYFUNCTION("if(countif(filter(Status!$C:$C,Status!$A:$A=$A41),CONCATENATE(AJ$2,""*""))&gt;0,countif(filter(Status!$C:$C,Status!$A:$A=$A41),CONCATENATE(AJ$2,""*"")),"""")"),"")</f>
        <v/>
      </c>
      <c r="AK41" s="23" t="str">
        <f>IFERROR(__xludf.DUMMYFUNCTION("if(countif(filter(Status!$C:$C,Status!$A:$A=$A41),CONCATENATE(AK$2,""*""))&gt;0,countif(filter(Status!$C:$C,Status!$A:$A=$A41),CONCATENATE(AK$2,""*"")),"""")"),"")</f>
        <v/>
      </c>
      <c r="AL41" s="23" t="str">
        <f>IFERROR(__xludf.DUMMYFUNCTION("if(countif(filter(Status!$C:$C,Status!$A:$A=$A41),CONCATENATE(AL$2,""*""))&gt;0,countif(filter(Status!$C:$C,Status!$A:$A=$A41),CONCATENATE(AL$2,""*"")),"""")"),"")</f>
        <v/>
      </c>
      <c r="AM41" s="23" t="str">
        <f>IFERROR(__xludf.DUMMYFUNCTION("if(countif(filter(Status!$C:$C,Status!$A:$A=$A41),CONCATENATE(AM$2,""*""))&gt;0,countif(filter(Status!$C:$C,Status!$A:$A=$A41),CONCATENATE(AM$2,""*"")),"""")"),"")</f>
        <v/>
      </c>
      <c r="AN41" s="23" t="str">
        <f>IFERROR(__xludf.DUMMYFUNCTION("if(countif(filter(Status!$C:$C,Status!$A:$A=$A41),CONCATENATE(AN$2,""*""))&gt;0,countif(filter(Status!$C:$C,Status!$A:$A=$A41),CONCATENATE(AN$2,""*"")),"""")"),"")</f>
        <v/>
      </c>
      <c r="AO41" s="23" t="str">
        <f>IFERROR(__xludf.DUMMYFUNCTION("if(countif(filter(Status!$C:$C,Status!$A:$A=$A41),CONCATENATE(AO$2,""*""))&gt;0,countif(filter(Status!$C:$C,Status!$A:$A=$A41),CONCATENATE(AO$2,""*"")),"""")"),"")</f>
        <v/>
      </c>
      <c r="AP41" s="23">
        <f>IFERROR(__xludf.DUMMYFUNCTION("counta(iferror(filter(Status!C:C,Status!A:A=A41)))"),9.0)</f>
        <v>9</v>
      </c>
      <c r="AQ41" s="23">
        <f t="shared" si="6"/>
        <v>9</v>
      </c>
    </row>
    <row r="42">
      <c r="A42" s="1" t="s">
        <v>571</v>
      </c>
      <c r="B42" s="21">
        <f>IFERROR(__xludf.DUMMYFUNCTION("max(filter(Status!E:E,Status!A:A=A42))"),43731.0)</f>
        <v>43731</v>
      </c>
      <c r="C42" s="23">
        <f t="shared" si="1"/>
        <v>1</v>
      </c>
      <c r="D42" s="23">
        <f t="shared" si="2"/>
        <v>1</v>
      </c>
      <c r="E42" s="23">
        <f t="shared" si="3"/>
        <v>1</v>
      </c>
      <c r="F42" s="23">
        <f t="shared" si="4"/>
        <v>0.6</v>
      </c>
      <c r="G42" s="25">
        <f t="shared" si="5"/>
        <v>1</v>
      </c>
      <c r="J42" s="23">
        <f>IFERROR(__xludf.DUMMYFUNCTION("COUNTA(iferror(filter(Status!H:H,Status!A:A=A42)))"),3.0)</f>
        <v>3</v>
      </c>
      <c r="K42" s="25">
        <f>IFERROR(__xludf.DUMMYFUNCTION("COUNTA(iferror(filter(Status!H:H,Status!A:A=A42,Status!H:H=TRUE)))"),3.0)</f>
        <v>3</v>
      </c>
      <c r="L42" s="23">
        <f>IFERROR(__xludf.DUMMYFUNCTION("COUNTA(iferror(filter(Status!L:L,Status!A:A=A42)))"),1.0)</f>
        <v>1</v>
      </c>
      <c r="M42" s="25">
        <f>IFERROR(__xludf.DUMMYFUNCTION("COUNTA(iferror(filter(Status!L:L,Status!A:A=A42,Status!L:L=TRUE)))"),1.0)</f>
        <v>1</v>
      </c>
      <c r="N42" s="23">
        <f>IFERROR(__xludf.DUMMYFUNCTION("COUNTA(iferror(filter(Status!N:N,Status!A:A=A42,Status!N:N=TRUE)))"),4.0)</f>
        <v>4</v>
      </c>
      <c r="O42" s="25">
        <f>IFERROR(__xludf.DUMMYFUNCTION("COUNTA(iferror(filter(Status!N:N,Status!A:A=A42,Status!N:N=TRUE)))"),4.0)</f>
        <v>4</v>
      </c>
      <c r="P42" s="23">
        <f>IFERROR(__xludf.DUMMYFUNCTION("COUNTA(iferror(filter(Status!P:P,Status!A:A=A42)))"),5.0)</f>
        <v>5</v>
      </c>
      <c r="Q42" s="25">
        <f>IFERROR(__xludf.DUMMYFUNCTION("COUNTA(iferror(filter(Status!P:P,Status!A:A=A42,Status!P:P=TRUE)))"),3.0)</f>
        <v>3</v>
      </c>
      <c r="R42" s="23">
        <f>IFERROR(__xludf.DUMMYFUNCTION("COUNTA(iferror(filter(Status!R:R,Status!A:A=A42)))"),3.0)</f>
        <v>3</v>
      </c>
      <c r="S42" s="25">
        <f>IFERROR(__xludf.DUMMYFUNCTION("COUNTA(iferror(filter(Status!R:R,Status!A:A=A42,Status!R:R=TRUE)))"),3.0)</f>
        <v>3</v>
      </c>
      <c r="V42" s="23" t="str">
        <f>IFERROR(__xludf.DUMMYFUNCTION("if((countif(filter(Status!$C:$C,Status!$A:$A=$A42),CONCATENATE(V$2,""*""))-W42)&gt;0,(countif(filter(Status!$C:$C,Status!$A:$A=$A42),CONCATENATE(V$2,""*""))-W42),"""")"),"")</f>
        <v/>
      </c>
      <c r="W42" s="23">
        <f>IFERROR(__xludf.DUMMYFUNCTION("if(countif(filter(Status!$C:$C,Status!$A:$A=$A42),CONCATENATE(W$2,""*""))&gt;0,countif(filter(Status!$C:$C,Status!$A:$A=$A42),CONCATENATE(W$2,""*"")),"""")"),2.0)</f>
        <v>2</v>
      </c>
      <c r="X42" s="23" t="str">
        <f>IFERROR(__xludf.DUMMYFUNCTION("if(countif(filter(Status!$C:$C,Status!$A:$A=$A42),CONCATENATE(X$2,""*""))&gt;0,countif(filter(Status!$C:$C,Status!$A:$A=$A42),CONCATENATE(X$2,""*"")),"""")"),"")</f>
        <v/>
      </c>
      <c r="Y42" s="23" t="str">
        <f>IFERROR(__xludf.DUMMYFUNCTION("if(countif(filter(Status!$C:$C,Status!$A:$A=$A42),CONCATENATE(Y$2,""*""))&gt;0,countif(filter(Status!$C:$C,Status!$A:$A=$A42),CONCATENATE(Y$2,""*"")),"""")"),"")</f>
        <v/>
      </c>
      <c r="Z42" s="23" t="str">
        <f>IFERROR(__xludf.DUMMYFUNCTION("if(countif(filter(Status!$C:$C,Status!$A:$A=$A42),CONCATENATE(Z$2,""*""))&gt;0,countif(filter(Status!$C:$C,Status!$A:$A=$A42),CONCATENATE(Z$2,""*"")),"""")"),"")</f>
        <v/>
      </c>
      <c r="AA42" s="23">
        <f>IFERROR(__xludf.DUMMYFUNCTION("if((countif(filter(Status!$C:$C,Status!$A:$A=$A42),CONCATENATE(AA$2,""*""))-AB42)&gt;0,(countif(filter(Status!$C:$C,Status!$A:$A=$A42),CONCATENATE(AA$2,""*""))-AB42),"""")"),1.0)</f>
        <v>1</v>
      </c>
      <c r="AB42" s="23">
        <f>IFERROR(__xludf.DUMMYFUNCTION("if(countif(filter(Status!$C:$C,Status!$A:$A=$A42),CONCATENATE(AB$2,""*""))&gt;0,countif(filter(Status!$C:$C,Status!$A:$A=$A42),CONCATENATE(AB$2,""*"")),"""")"),1.0)</f>
        <v>1</v>
      </c>
      <c r="AC42" s="23">
        <f>IFERROR(__xludf.DUMMYFUNCTION("if(countif(filter(Status!$C:$C,Status!$A:$A=$A42),CONCATENATE(AC$2,""*""))&gt;0,countif(filter(Status!$C:$C,Status!$A:$A=$A42),CONCATENATE(AC$2,""*"")),"""")"),1.0)</f>
        <v>1</v>
      </c>
      <c r="AD42" s="23" t="str">
        <f>IFERROR(__xludf.DUMMYFUNCTION("if(countif(filter(Status!$C:$C,Status!$A:$A=$A42),CONCATENATE(AD$2,""*""))&gt;0,countif(filter(Status!$C:$C,Status!$A:$A=$A42),CONCATENATE(AD$2,""*"")),"""")"),"")</f>
        <v/>
      </c>
      <c r="AE42" s="23">
        <f>IFERROR(__xludf.DUMMYFUNCTION("if(countif(filter(Status!$C:$C,Status!$A:$A=$A42),CONCATENATE(AE$2,""*""))&gt;0,countif(filter(Status!$C:$C,Status!$A:$A=$A42),CONCATENATE(AE$2,""*"")),"""")"),1.0)</f>
        <v>1</v>
      </c>
      <c r="AF42" s="23" t="str">
        <f>IFERROR(__xludf.DUMMYFUNCTION("if(countif(filter(Status!$C:$C,Status!$A:$A=$A42),CONCATENATE(AF$2,""*""))&gt;0,countif(filter(Status!$C:$C,Status!$A:$A=$A42),CONCATENATE(AF$2,""*"")),"""")"),"")</f>
        <v/>
      </c>
      <c r="AG42" s="23" t="str">
        <f>IFERROR(__xludf.DUMMYFUNCTION("if(countif(filter(Status!$C:$C,Status!$A:$A=$A42),CONCATENATE(AG$2,""*""))&gt;0,countif(filter(Status!$C:$C,Status!$A:$A=$A42),CONCATENATE(AG$2,""*"")),"""")"),"")</f>
        <v/>
      </c>
      <c r="AH42" s="23" t="str">
        <f>IFERROR(__xludf.DUMMYFUNCTION("if(countif(filter(Status!$C:$C,Status!$A:$A=$A42),CONCATENATE(AH$2,""*""))&gt;0,countif(filter(Status!$C:$C,Status!$A:$A=$A42),CONCATENATE(AH$2,""*"")),"""")"),"")</f>
        <v/>
      </c>
      <c r="AI42" s="23" t="str">
        <f>IFERROR(__xludf.DUMMYFUNCTION("if(countif(filter(Status!$C:$C,Status!$A:$A=$A42),CONCATENATE(AI$2,""*""))&gt;0,countif(filter(Status!$C:$C,Status!$A:$A=$A42),CONCATENATE(AI$2,""*"")),"""")"),"")</f>
        <v/>
      </c>
      <c r="AJ42" s="23" t="str">
        <f>IFERROR(__xludf.DUMMYFUNCTION("if(countif(filter(Status!$C:$C,Status!$A:$A=$A42),CONCATENATE(AJ$2,""*""))&gt;0,countif(filter(Status!$C:$C,Status!$A:$A=$A42),CONCATENATE(AJ$2,""*"")),"""")"),"")</f>
        <v/>
      </c>
      <c r="AK42" s="23" t="str">
        <f>IFERROR(__xludf.DUMMYFUNCTION("if(countif(filter(Status!$C:$C,Status!$A:$A=$A42),CONCATENATE(AK$2,""*""))&gt;0,countif(filter(Status!$C:$C,Status!$A:$A=$A42),CONCATENATE(AK$2,""*"")),"""")"),"")</f>
        <v/>
      </c>
      <c r="AL42" s="23" t="str">
        <f>IFERROR(__xludf.DUMMYFUNCTION("if(countif(filter(Status!$C:$C,Status!$A:$A=$A42),CONCATENATE(AL$2,""*""))&gt;0,countif(filter(Status!$C:$C,Status!$A:$A=$A42),CONCATENATE(AL$2,""*"")),"""")"),"")</f>
        <v/>
      </c>
      <c r="AM42" s="23" t="str">
        <f>IFERROR(__xludf.DUMMYFUNCTION("if(countif(filter(Status!$C:$C,Status!$A:$A=$A42),CONCATENATE(AM$2,""*""))&gt;0,countif(filter(Status!$C:$C,Status!$A:$A=$A42),CONCATENATE(AM$2,""*"")),"""")"),"")</f>
        <v/>
      </c>
      <c r="AN42" s="23" t="str">
        <f>IFERROR(__xludf.DUMMYFUNCTION("if(countif(filter(Status!$C:$C,Status!$A:$A=$A42),CONCATENATE(AN$2,""*""))&gt;0,countif(filter(Status!$C:$C,Status!$A:$A=$A42),CONCATENATE(AN$2,""*"")),"""")"),"")</f>
        <v/>
      </c>
      <c r="AO42" s="23" t="str">
        <f>IFERROR(__xludf.DUMMYFUNCTION("if(countif(filter(Status!$C:$C,Status!$A:$A=$A42),CONCATENATE(AO$2,""*""))&gt;0,countif(filter(Status!$C:$C,Status!$A:$A=$A42),CONCATENATE(AO$2,""*"")),"""")"),"")</f>
        <v/>
      </c>
      <c r="AP42" s="23">
        <f>IFERROR(__xludf.DUMMYFUNCTION("counta(iferror(filter(Status!C:C,Status!A:A=A42)))"),6.0)</f>
        <v>6</v>
      </c>
      <c r="AQ42" s="23">
        <f t="shared" si="6"/>
        <v>6</v>
      </c>
    </row>
    <row r="43">
      <c r="A43" s="1" t="s">
        <v>595</v>
      </c>
      <c r="B43" s="21">
        <f>IFERROR(__xludf.DUMMYFUNCTION("max(filter(Status!E:E,Status!A:A=A43))"),43732.0)</f>
        <v>43732</v>
      </c>
      <c r="C43" s="23">
        <f t="shared" si="1"/>
        <v>1</v>
      </c>
      <c r="D43" s="23" t="str">
        <f t="shared" si="2"/>
        <v/>
      </c>
      <c r="E43" s="23" t="str">
        <f t="shared" si="3"/>
        <v/>
      </c>
      <c r="F43" s="23">
        <f t="shared" si="4"/>
        <v>0</v>
      </c>
      <c r="G43" s="25">
        <f t="shared" si="5"/>
        <v>1</v>
      </c>
      <c r="J43" s="23">
        <f>IFERROR(__xludf.DUMMYFUNCTION("COUNTA(iferror(filter(Status!H:H,Status!A:A=A43)))"),3.0)</f>
        <v>3</v>
      </c>
      <c r="K43" s="25">
        <f>IFERROR(__xludf.DUMMYFUNCTION("COUNTA(iferror(filter(Status!H:H,Status!A:A=A43,Status!H:H=TRUE)))"),3.0)</f>
        <v>3</v>
      </c>
      <c r="L43" s="23">
        <f>IFERROR(__xludf.DUMMYFUNCTION("COUNTA(iferror(filter(Status!L:L,Status!A:A=A43)))"),0.0)</f>
        <v>0</v>
      </c>
      <c r="M43" s="25">
        <f>IFERROR(__xludf.DUMMYFUNCTION("COUNTA(iferror(filter(Status!L:L,Status!A:A=A43,Status!L:L=TRUE)))"),0.0)</f>
        <v>0</v>
      </c>
      <c r="N43" s="23">
        <f>IFERROR(__xludf.DUMMYFUNCTION("COUNTA(iferror(filter(Status!N:N,Status!A:A=A43,Status!N:N=TRUE)))"),0.0)</f>
        <v>0</v>
      </c>
      <c r="O43" s="25">
        <f>IFERROR(__xludf.DUMMYFUNCTION("COUNTA(iferror(filter(Status!N:N,Status!A:A=A43,Status!N:N=TRUE)))"),0.0)</f>
        <v>0</v>
      </c>
      <c r="P43" s="23">
        <f>IFERROR(__xludf.DUMMYFUNCTION("COUNTA(iferror(filter(Status!P:P,Status!A:A=A43)))"),7.0)</f>
        <v>7</v>
      </c>
      <c r="Q43" s="25">
        <f>IFERROR(__xludf.DUMMYFUNCTION("COUNTA(iferror(filter(Status!P:P,Status!A:A=A43,Status!P:P=TRUE)))"),0.0)</f>
        <v>0</v>
      </c>
      <c r="R43" s="23">
        <f>IFERROR(__xludf.DUMMYFUNCTION("COUNTA(iferror(filter(Status!R:R,Status!A:A=A43)))"),5.0)</f>
        <v>5</v>
      </c>
      <c r="S43" s="25">
        <f>IFERROR(__xludf.DUMMYFUNCTION("COUNTA(iferror(filter(Status!R:R,Status!A:A=A43,Status!R:R=TRUE)))"),5.0)</f>
        <v>5</v>
      </c>
      <c r="V43" s="23" t="str">
        <f>IFERROR(__xludf.DUMMYFUNCTION("if((countif(filter(Status!$C:$C,Status!$A:$A=$A43),CONCATENATE(V$2,""*""))-W43)&gt;0,(countif(filter(Status!$C:$C,Status!$A:$A=$A43),CONCATENATE(V$2,""*""))-W43),"""")"),"")</f>
        <v/>
      </c>
      <c r="W43" s="23" t="str">
        <f>IFERROR(__xludf.DUMMYFUNCTION("if(countif(filter(Status!$C:$C,Status!$A:$A=$A43),CONCATENATE(W$2,""*""))&gt;0,countif(filter(Status!$C:$C,Status!$A:$A=$A43),CONCATENATE(W$2,""*"")),"""")"),"")</f>
        <v/>
      </c>
      <c r="X43" s="23">
        <f>IFERROR(__xludf.DUMMYFUNCTION("if(countif(filter(Status!$C:$C,Status!$A:$A=$A43),CONCATENATE(X$2,""*""))&gt;0,countif(filter(Status!$C:$C,Status!$A:$A=$A43),CONCATENATE(X$2,""*"")),"""")"),2.0)</f>
        <v>2</v>
      </c>
      <c r="Y43" s="23" t="str">
        <f>IFERROR(__xludf.DUMMYFUNCTION("if(countif(filter(Status!$C:$C,Status!$A:$A=$A43),CONCATENATE(Y$2,""*""))&gt;0,countif(filter(Status!$C:$C,Status!$A:$A=$A43),CONCATENATE(Y$2,""*"")),"""")"),"")</f>
        <v/>
      </c>
      <c r="Z43" s="23" t="str">
        <f>IFERROR(__xludf.DUMMYFUNCTION("if(countif(filter(Status!$C:$C,Status!$A:$A=$A43),CONCATENATE(Z$2,""*""))&gt;0,countif(filter(Status!$C:$C,Status!$A:$A=$A43),CONCATENATE(Z$2,""*"")),"""")"),"")</f>
        <v/>
      </c>
      <c r="AA43" s="23">
        <f>IFERROR(__xludf.DUMMYFUNCTION("if((countif(filter(Status!$C:$C,Status!$A:$A=$A43),CONCATENATE(AA$2,""*""))-AB43)&gt;0,(countif(filter(Status!$C:$C,Status!$A:$A=$A43),CONCATENATE(AA$2,""*""))-AB43),"""")"),2.0)</f>
        <v>2</v>
      </c>
      <c r="AB43" s="23">
        <f>IFERROR(__xludf.DUMMYFUNCTION("if(countif(filter(Status!$C:$C,Status!$A:$A=$A43),CONCATENATE(AB$2,""*""))&gt;0,countif(filter(Status!$C:$C,Status!$A:$A=$A43),CONCATENATE(AB$2,""*"")),"""")"),2.0)</f>
        <v>2</v>
      </c>
      <c r="AC43" s="23">
        <f>IFERROR(__xludf.DUMMYFUNCTION("if(countif(filter(Status!$C:$C,Status!$A:$A=$A43),CONCATENATE(AC$2,""*""))&gt;0,countif(filter(Status!$C:$C,Status!$A:$A=$A43),CONCATENATE(AC$2,""*"")),"""")"),1.0)</f>
        <v>1</v>
      </c>
      <c r="AD43" s="23" t="str">
        <f>IFERROR(__xludf.DUMMYFUNCTION("if(countif(filter(Status!$C:$C,Status!$A:$A=$A43),CONCATENATE(AD$2,""*""))&gt;0,countif(filter(Status!$C:$C,Status!$A:$A=$A43),CONCATENATE(AD$2,""*"")),"""")"),"")</f>
        <v/>
      </c>
      <c r="AE43" s="23">
        <f>IFERROR(__xludf.DUMMYFUNCTION("if(countif(filter(Status!$C:$C,Status!$A:$A=$A43),CONCATENATE(AE$2,""*""))&gt;0,countif(filter(Status!$C:$C,Status!$A:$A=$A43),CONCATENATE(AE$2,""*"")),"""")"),1.0)</f>
        <v>1</v>
      </c>
      <c r="AF43" s="23" t="str">
        <f>IFERROR(__xludf.DUMMYFUNCTION("if(countif(filter(Status!$C:$C,Status!$A:$A=$A43),CONCATENATE(AF$2,""*""))&gt;0,countif(filter(Status!$C:$C,Status!$A:$A=$A43),CONCATENATE(AF$2,""*"")),"""")"),"")</f>
        <v/>
      </c>
      <c r="AG43" s="23" t="str">
        <f>IFERROR(__xludf.DUMMYFUNCTION("if(countif(filter(Status!$C:$C,Status!$A:$A=$A43),CONCATENATE(AG$2,""*""))&gt;0,countif(filter(Status!$C:$C,Status!$A:$A=$A43),CONCATENATE(AG$2,""*"")),"""")"),"")</f>
        <v/>
      </c>
      <c r="AH43" s="23" t="str">
        <f>IFERROR(__xludf.DUMMYFUNCTION("if(countif(filter(Status!$C:$C,Status!$A:$A=$A43),CONCATENATE(AH$2,""*""))&gt;0,countif(filter(Status!$C:$C,Status!$A:$A=$A43),CONCATENATE(AH$2,""*"")),"""")"),"")</f>
        <v/>
      </c>
      <c r="AI43" s="23" t="str">
        <f>IFERROR(__xludf.DUMMYFUNCTION("if(countif(filter(Status!$C:$C,Status!$A:$A=$A43),CONCATENATE(AI$2,""*""))&gt;0,countif(filter(Status!$C:$C,Status!$A:$A=$A43),CONCATENATE(AI$2,""*"")),"""")"),"")</f>
        <v/>
      </c>
      <c r="AJ43" s="23" t="str">
        <f>IFERROR(__xludf.DUMMYFUNCTION("if(countif(filter(Status!$C:$C,Status!$A:$A=$A43),CONCATENATE(AJ$2,""*""))&gt;0,countif(filter(Status!$C:$C,Status!$A:$A=$A43),CONCATENATE(AJ$2,""*"")),"""")"),"")</f>
        <v/>
      </c>
      <c r="AK43" s="23" t="str">
        <f>IFERROR(__xludf.DUMMYFUNCTION("if(countif(filter(Status!$C:$C,Status!$A:$A=$A43),CONCATENATE(AK$2,""*""))&gt;0,countif(filter(Status!$C:$C,Status!$A:$A=$A43),CONCATENATE(AK$2,""*"")),"""")"),"")</f>
        <v/>
      </c>
      <c r="AL43" s="23" t="str">
        <f>IFERROR(__xludf.DUMMYFUNCTION("if(countif(filter(Status!$C:$C,Status!$A:$A=$A43),CONCATENATE(AL$2,""*""))&gt;0,countif(filter(Status!$C:$C,Status!$A:$A=$A43),CONCATENATE(AL$2,""*"")),"""")"),"")</f>
        <v/>
      </c>
      <c r="AM43" s="23" t="str">
        <f>IFERROR(__xludf.DUMMYFUNCTION("if(countif(filter(Status!$C:$C,Status!$A:$A=$A43),CONCATENATE(AM$2,""*""))&gt;0,countif(filter(Status!$C:$C,Status!$A:$A=$A43),CONCATENATE(AM$2,""*"")),"""")"),"")</f>
        <v/>
      </c>
      <c r="AN43" s="23" t="str">
        <f>IFERROR(__xludf.DUMMYFUNCTION("if(countif(filter(Status!$C:$C,Status!$A:$A=$A43),CONCATENATE(AN$2,""*""))&gt;0,countif(filter(Status!$C:$C,Status!$A:$A=$A43),CONCATENATE(AN$2,""*"")),"""")"),"")</f>
        <v/>
      </c>
      <c r="AO43" s="23" t="str">
        <f>IFERROR(__xludf.DUMMYFUNCTION("if(countif(filter(Status!$C:$C,Status!$A:$A=$A43),CONCATENATE(AO$2,""*""))&gt;0,countif(filter(Status!$C:$C,Status!$A:$A=$A43),CONCATENATE(AO$2,""*"")),"""")"),"")</f>
        <v/>
      </c>
      <c r="AP43" s="23">
        <f>IFERROR(__xludf.DUMMYFUNCTION("counta(iferror(filter(Status!C:C,Status!A:A=A43)))"),8.0)</f>
        <v>8</v>
      </c>
      <c r="AQ43" s="23">
        <f t="shared" si="6"/>
        <v>8</v>
      </c>
    </row>
    <row r="44">
      <c r="A44" s="1" t="s">
        <v>618</v>
      </c>
      <c r="B44" s="21">
        <f>IFERROR(__xludf.DUMMYFUNCTION("max(filter(Status!E:E,Status!A:A=A44))"),43734.0)</f>
        <v>43734</v>
      </c>
      <c r="C44" s="23">
        <f t="shared" si="1"/>
        <v>1</v>
      </c>
      <c r="D44" s="23">
        <f t="shared" si="2"/>
        <v>1</v>
      </c>
      <c r="E44" s="23">
        <f t="shared" si="3"/>
        <v>1</v>
      </c>
      <c r="F44" s="23">
        <f t="shared" si="4"/>
        <v>0.5714285714</v>
      </c>
      <c r="G44" s="25">
        <f t="shared" si="5"/>
        <v>0.875</v>
      </c>
      <c r="J44" s="23">
        <f>IFERROR(__xludf.DUMMYFUNCTION("COUNTA(iferror(filter(Status!H:H,Status!A:A=A44)))"),5.0)</f>
        <v>5</v>
      </c>
      <c r="K44" s="25">
        <f>IFERROR(__xludf.DUMMYFUNCTION("COUNTA(iferror(filter(Status!H:H,Status!A:A=A44,Status!H:H=TRUE)))"),5.0)</f>
        <v>5</v>
      </c>
      <c r="L44" s="23">
        <f>IFERROR(__xludf.DUMMYFUNCTION("COUNTA(iferror(filter(Status!L:L,Status!A:A=A44)))"),1.0)</f>
        <v>1</v>
      </c>
      <c r="M44" s="25">
        <f>IFERROR(__xludf.DUMMYFUNCTION("COUNTA(iferror(filter(Status!L:L,Status!A:A=A44,Status!L:L=TRUE)))"),1.0)</f>
        <v>1</v>
      </c>
      <c r="N44" s="23">
        <f>IFERROR(__xludf.DUMMYFUNCTION("COUNTA(iferror(filter(Status!N:N,Status!A:A=A44,Status!N:N=TRUE)))"),11.0)</f>
        <v>11</v>
      </c>
      <c r="O44" s="25">
        <f>IFERROR(__xludf.DUMMYFUNCTION("COUNTA(iferror(filter(Status!N:N,Status!A:A=A44,Status!N:N=TRUE)))"),11.0)</f>
        <v>11</v>
      </c>
      <c r="P44" s="23">
        <f>IFERROR(__xludf.DUMMYFUNCTION("COUNTA(iferror(filter(Status!P:P,Status!A:A=A44)))"),14.0)</f>
        <v>14</v>
      </c>
      <c r="Q44" s="25">
        <f>IFERROR(__xludf.DUMMYFUNCTION("COUNTA(iferror(filter(Status!P:P,Status!A:A=A44,Status!P:P=TRUE)))"),8.0)</f>
        <v>8</v>
      </c>
      <c r="R44" s="23">
        <f>IFERROR(__xludf.DUMMYFUNCTION("COUNTA(iferror(filter(Status!R:R,Status!A:A=A44)))"),8.0)</f>
        <v>8</v>
      </c>
      <c r="S44" s="25">
        <f>IFERROR(__xludf.DUMMYFUNCTION("COUNTA(iferror(filter(Status!R:R,Status!A:A=A44,Status!R:R=TRUE)))"),7.0)</f>
        <v>7</v>
      </c>
      <c r="V44" s="23" t="str">
        <f>IFERROR(__xludf.DUMMYFUNCTION("if((countif(filter(Status!$C:$C,Status!$A:$A=$A44),CONCATENATE(V$2,""*""))-W44)&gt;0,(countif(filter(Status!$C:$C,Status!$A:$A=$A44),CONCATENATE(V$2,""*""))-W44),"""")"),"")</f>
        <v/>
      </c>
      <c r="W44" s="23">
        <f>IFERROR(__xludf.DUMMYFUNCTION("if(countif(filter(Status!$C:$C,Status!$A:$A=$A44),CONCATENATE(W$2,""*""))&gt;0,countif(filter(Status!$C:$C,Status!$A:$A=$A44),CONCATENATE(W$2,""*"")),"""")"),2.0)</f>
        <v>2</v>
      </c>
      <c r="X44" s="23">
        <f>IFERROR(__xludf.DUMMYFUNCTION("if(countif(filter(Status!$C:$C,Status!$A:$A=$A44),CONCATENATE(X$2,""*""))&gt;0,countif(filter(Status!$C:$C,Status!$A:$A=$A44),CONCATENATE(X$2,""*"")),"""")"),4.0)</f>
        <v>4</v>
      </c>
      <c r="Y44" s="23" t="str">
        <f>IFERROR(__xludf.DUMMYFUNCTION("if(countif(filter(Status!$C:$C,Status!$A:$A=$A44),CONCATENATE(Y$2,""*""))&gt;0,countif(filter(Status!$C:$C,Status!$A:$A=$A44),CONCATENATE(Y$2,""*"")),"""")"),"")</f>
        <v/>
      </c>
      <c r="Z44" s="23" t="str">
        <f>IFERROR(__xludf.DUMMYFUNCTION("if(countif(filter(Status!$C:$C,Status!$A:$A=$A44),CONCATENATE(Z$2,""*""))&gt;0,countif(filter(Status!$C:$C,Status!$A:$A=$A44),CONCATENATE(Z$2,""*"")),"""")"),"")</f>
        <v/>
      </c>
      <c r="AA44" s="23">
        <f>IFERROR(__xludf.DUMMYFUNCTION("if((countif(filter(Status!$C:$C,Status!$A:$A=$A44),CONCATENATE(AA$2,""*""))-AB44)&gt;0,(countif(filter(Status!$C:$C,Status!$A:$A=$A44),CONCATENATE(AA$2,""*""))-AB44),"""")"),3.0)</f>
        <v>3</v>
      </c>
      <c r="AB44" s="23">
        <f>IFERROR(__xludf.DUMMYFUNCTION("if(countif(filter(Status!$C:$C,Status!$A:$A=$A44),CONCATENATE(AB$2,""*""))&gt;0,countif(filter(Status!$C:$C,Status!$A:$A=$A44),CONCATENATE(AB$2,""*"")),"""")"),3.0)</f>
        <v>3</v>
      </c>
      <c r="AC44" s="23">
        <f>IFERROR(__xludf.DUMMYFUNCTION("if(countif(filter(Status!$C:$C,Status!$A:$A=$A44),CONCATENATE(AC$2,""*""))&gt;0,countif(filter(Status!$C:$C,Status!$A:$A=$A44),CONCATENATE(AC$2,""*"")),"""")"),1.0)</f>
        <v>1</v>
      </c>
      <c r="AD44" s="23">
        <f>IFERROR(__xludf.DUMMYFUNCTION("if(countif(filter(Status!$C:$C,Status!$A:$A=$A44),CONCATENATE(AD$2,""*""))&gt;0,countif(filter(Status!$C:$C,Status!$A:$A=$A44),CONCATENATE(AD$2,""*"")),"""")"),1.0)</f>
        <v>1</v>
      </c>
      <c r="AE44" s="23">
        <f>IFERROR(__xludf.DUMMYFUNCTION("if(countif(filter(Status!$C:$C,Status!$A:$A=$A44),CONCATENATE(AE$2,""*""))&gt;0,countif(filter(Status!$C:$C,Status!$A:$A=$A44),CONCATENATE(AE$2,""*"")),"""")"),1.0)</f>
        <v>1</v>
      </c>
      <c r="AF44" s="23" t="str">
        <f>IFERROR(__xludf.DUMMYFUNCTION("if(countif(filter(Status!$C:$C,Status!$A:$A=$A44),CONCATENATE(AF$2,""*""))&gt;0,countif(filter(Status!$C:$C,Status!$A:$A=$A44),CONCATENATE(AF$2,""*"")),"""")"),"")</f>
        <v/>
      </c>
      <c r="AG44" s="23" t="str">
        <f>IFERROR(__xludf.DUMMYFUNCTION("if(countif(filter(Status!$C:$C,Status!$A:$A=$A44),CONCATENATE(AG$2,""*""))&gt;0,countif(filter(Status!$C:$C,Status!$A:$A=$A44),CONCATENATE(AG$2,""*"")),"""")"),"")</f>
        <v/>
      </c>
      <c r="AH44" s="23" t="str">
        <f>IFERROR(__xludf.DUMMYFUNCTION("if(countif(filter(Status!$C:$C,Status!$A:$A=$A44),CONCATENATE(AH$2,""*""))&gt;0,countif(filter(Status!$C:$C,Status!$A:$A=$A44),CONCATENATE(AH$2,""*"")),"""")"),"")</f>
        <v/>
      </c>
      <c r="AI44" s="23" t="str">
        <f>IFERROR(__xludf.DUMMYFUNCTION("if(countif(filter(Status!$C:$C,Status!$A:$A=$A44),CONCATENATE(AI$2,""*""))&gt;0,countif(filter(Status!$C:$C,Status!$A:$A=$A44),CONCATENATE(AI$2,""*"")),"""")"),"")</f>
        <v/>
      </c>
      <c r="AJ44" s="23" t="str">
        <f>IFERROR(__xludf.DUMMYFUNCTION("if(countif(filter(Status!$C:$C,Status!$A:$A=$A44),CONCATENATE(AJ$2,""*""))&gt;0,countif(filter(Status!$C:$C,Status!$A:$A=$A44),CONCATENATE(AJ$2,""*"")),"""")"),"")</f>
        <v/>
      </c>
      <c r="AK44" s="23" t="str">
        <f>IFERROR(__xludf.DUMMYFUNCTION("if(countif(filter(Status!$C:$C,Status!$A:$A=$A44),CONCATENATE(AK$2,""*""))&gt;0,countif(filter(Status!$C:$C,Status!$A:$A=$A44),CONCATENATE(AK$2,""*"")),"""")"),"")</f>
        <v/>
      </c>
      <c r="AL44" s="23" t="str">
        <f>IFERROR(__xludf.DUMMYFUNCTION("if(countif(filter(Status!$C:$C,Status!$A:$A=$A44),CONCATENATE(AL$2,""*""))&gt;0,countif(filter(Status!$C:$C,Status!$A:$A=$A44),CONCATENATE(AL$2,""*"")),"""")"),"")</f>
        <v/>
      </c>
      <c r="AM44" s="23" t="str">
        <f>IFERROR(__xludf.DUMMYFUNCTION("if(countif(filter(Status!$C:$C,Status!$A:$A=$A44),CONCATENATE(AM$2,""*""))&gt;0,countif(filter(Status!$C:$C,Status!$A:$A=$A44),CONCATENATE(AM$2,""*"")),"""")"),"")</f>
        <v/>
      </c>
      <c r="AN44" s="23" t="str">
        <f>IFERROR(__xludf.DUMMYFUNCTION("if(countif(filter(Status!$C:$C,Status!$A:$A=$A44),CONCATENATE(AN$2,""*""))&gt;0,countif(filter(Status!$C:$C,Status!$A:$A=$A44),CONCATENATE(AN$2,""*"")),"""")"),"")</f>
        <v/>
      </c>
      <c r="AO44" s="23" t="str">
        <f>IFERROR(__xludf.DUMMYFUNCTION("if(countif(filter(Status!$C:$C,Status!$A:$A=$A44),CONCATENATE(AO$2,""*""))&gt;0,countif(filter(Status!$C:$C,Status!$A:$A=$A44),CONCATENATE(AO$2,""*"")),"""")"),"")</f>
        <v/>
      </c>
      <c r="AP44" s="23">
        <f>IFERROR(__xludf.DUMMYFUNCTION("counta(iferror(filter(Status!C:C,Status!A:A=A44)))"),15.0)</f>
        <v>15</v>
      </c>
      <c r="AQ44" s="23">
        <f t="shared" si="6"/>
        <v>15</v>
      </c>
    </row>
    <row r="45">
      <c r="A45" s="1" t="s">
        <v>639</v>
      </c>
      <c r="B45" s="21">
        <f>IFERROR(__xludf.DUMMYFUNCTION("max(filter(Status!E:E,Status!A:A=A45))"),43738.0)</f>
        <v>43738</v>
      </c>
      <c r="C45" s="23">
        <f t="shared" si="1"/>
        <v>1</v>
      </c>
      <c r="D45" s="23">
        <f t="shared" si="2"/>
        <v>1</v>
      </c>
      <c r="E45" s="23">
        <f t="shared" si="3"/>
        <v>1</v>
      </c>
      <c r="F45" s="23">
        <f t="shared" si="4"/>
        <v>0.6428571429</v>
      </c>
      <c r="G45" s="25">
        <f t="shared" si="5"/>
        <v>1</v>
      </c>
      <c r="J45" s="23">
        <f>IFERROR(__xludf.DUMMYFUNCTION("COUNTA(iferror(filter(Status!H:H,Status!A:A=A45)))"),7.0)</f>
        <v>7</v>
      </c>
      <c r="K45" s="25">
        <f>IFERROR(__xludf.DUMMYFUNCTION("COUNTA(iferror(filter(Status!H:H,Status!A:A=A45,Status!H:H=TRUE)))"),7.0)</f>
        <v>7</v>
      </c>
      <c r="L45" s="23">
        <f>IFERROR(__xludf.DUMMYFUNCTION("COUNTA(iferror(filter(Status!L:L,Status!A:A=A45)))"),3.0)</f>
        <v>3</v>
      </c>
      <c r="M45" s="25">
        <f>IFERROR(__xludf.DUMMYFUNCTION("COUNTA(iferror(filter(Status!L:L,Status!A:A=A45,Status!L:L=TRUE)))"),3.0)</f>
        <v>3</v>
      </c>
      <c r="N45" s="23">
        <f>IFERROR(__xludf.DUMMYFUNCTION("COUNTA(iferror(filter(Status!N:N,Status!A:A=A45,Status!N:N=TRUE)))"),11.0)</f>
        <v>11</v>
      </c>
      <c r="O45" s="25">
        <f>IFERROR(__xludf.DUMMYFUNCTION("COUNTA(iferror(filter(Status!N:N,Status!A:A=A45,Status!N:N=TRUE)))"),11.0)</f>
        <v>11</v>
      </c>
      <c r="P45" s="23">
        <f>IFERROR(__xludf.DUMMYFUNCTION("COUNTA(iferror(filter(Status!P:P,Status!A:A=A45)))"),14.0)</f>
        <v>14</v>
      </c>
      <c r="Q45" s="25">
        <f>IFERROR(__xludf.DUMMYFUNCTION("COUNTA(iferror(filter(Status!P:P,Status!A:A=A45,Status!P:P=TRUE)))"),9.0)</f>
        <v>9</v>
      </c>
      <c r="R45" s="23">
        <f>IFERROR(__xludf.DUMMYFUNCTION("COUNTA(iferror(filter(Status!R:R,Status!A:A=A45)))"),7.0)</f>
        <v>7</v>
      </c>
      <c r="S45" s="25">
        <f>IFERROR(__xludf.DUMMYFUNCTION("COUNTA(iferror(filter(Status!R:R,Status!A:A=A45,Status!R:R=TRUE)))"),7.0)</f>
        <v>7</v>
      </c>
      <c r="V45" s="23" t="str">
        <f>IFERROR(__xludf.DUMMYFUNCTION("if((countif(filter(Status!$C:$C,Status!$A:$A=$A45),CONCATENATE(V$2,""*""))-W45)&gt;0,(countif(filter(Status!$C:$C,Status!$A:$A=$A45),CONCATENATE(V$2,""*""))-W45),"""")"),"")</f>
        <v/>
      </c>
      <c r="W45" s="23">
        <f>IFERROR(__xludf.DUMMYFUNCTION("if(countif(filter(Status!$C:$C,Status!$A:$A=$A45),CONCATENATE(W$2,""*""))&gt;0,countif(filter(Status!$C:$C,Status!$A:$A=$A45),CONCATENATE(W$2,""*"")),"""")"),6.0)</f>
        <v>6</v>
      </c>
      <c r="X45" s="23" t="str">
        <f>IFERROR(__xludf.DUMMYFUNCTION("if(countif(filter(Status!$C:$C,Status!$A:$A=$A45),CONCATENATE(X$2,""*""))&gt;0,countif(filter(Status!$C:$C,Status!$A:$A=$A45),CONCATENATE(X$2,""*"")),"""")"),"")</f>
        <v/>
      </c>
      <c r="Y45" s="23" t="str">
        <f>IFERROR(__xludf.DUMMYFUNCTION("if(countif(filter(Status!$C:$C,Status!$A:$A=$A45),CONCATENATE(Y$2,""*""))&gt;0,countif(filter(Status!$C:$C,Status!$A:$A=$A45),CONCATENATE(Y$2,""*"")),"""")"),"")</f>
        <v/>
      </c>
      <c r="Z45" s="23" t="str">
        <f>IFERROR(__xludf.DUMMYFUNCTION("if(countif(filter(Status!$C:$C,Status!$A:$A=$A45),CONCATENATE(Z$2,""*""))&gt;0,countif(filter(Status!$C:$C,Status!$A:$A=$A45),CONCATENATE(Z$2,""*"")),"""")"),"")</f>
        <v/>
      </c>
      <c r="AA45" s="23">
        <f>IFERROR(__xludf.DUMMYFUNCTION("if((countif(filter(Status!$C:$C,Status!$A:$A=$A45),CONCATENATE(AA$2,""*""))-AB45)&gt;0,(countif(filter(Status!$C:$C,Status!$A:$A=$A45),CONCATENATE(AA$2,""*""))-AB45),"""")"),3.0)</f>
        <v>3</v>
      </c>
      <c r="AB45" s="23">
        <f>IFERROR(__xludf.DUMMYFUNCTION("if(countif(filter(Status!$C:$C,Status!$A:$A=$A45),CONCATENATE(AB$2,""*""))&gt;0,countif(filter(Status!$C:$C,Status!$A:$A=$A45),CONCATENATE(AB$2,""*"")),"""")"),3.0)</f>
        <v>3</v>
      </c>
      <c r="AC45" s="23">
        <f>IFERROR(__xludf.DUMMYFUNCTION("if(countif(filter(Status!$C:$C,Status!$A:$A=$A45),CONCATENATE(AC$2,""*""))&gt;0,countif(filter(Status!$C:$C,Status!$A:$A=$A45),CONCATENATE(AC$2,""*"")),"""")"),1.0)</f>
        <v>1</v>
      </c>
      <c r="AD45" s="23">
        <f>IFERROR(__xludf.DUMMYFUNCTION("if(countif(filter(Status!$C:$C,Status!$A:$A=$A45),CONCATENATE(AD$2,""*""))&gt;0,countif(filter(Status!$C:$C,Status!$A:$A=$A45),CONCATENATE(AD$2,""*"")),"""")"),1.0)</f>
        <v>1</v>
      </c>
      <c r="AE45" s="23">
        <f>IFERROR(__xludf.DUMMYFUNCTION("if(countif(filter(Status!$C:$C,Status!$A:$A=$A45),CONCATENATE(AE$2,""*""))&gt;0,countif(filter(Status!$C:$C,Status!$A:$A=$A45),CONCATENATE(AE$2,""*"")),"""")"),1.0)</f>
        <v>1</v>
      </c>
      <c r="AF45" s="23" t="str">
        <f>IFERROR(__xludf.DUMMYFUNCTION("if(countif(filter(Status!$C:$C,Status!$A:$A=$A45),CONCATENATE(AF$2,""*""))&gt;0,countif(filter(Status!$C:$C,Status!$A:$A=$A45),CONCATENATE(AF$2,""*"")),"""")"),"")</f>
        <v/>
      </c>
      <c r="AG45" s="23" t="str">
        <f>IFERROR(__xludf.DUMMYFUNCTION("if(countif(filter(Status!$C:$C,Status!$A:$A=$A45),CONCATENATE(AG$2,""*""))&gt;0,countif(filter(Status!$C:$C,Status!$A:$A=$A45),CONCATENATE(AG$2,""*"")),"""")"),"")</f>
        <v/>
      </c>
      <c r="AH45" s="23" t="str">
        <f>IFERROR(__xludf.DUMMYFUNCTION("if(countif(filter(Status!$C:$C,Status!$A:$A=$A45),CONCATENATE(AH$2,""*""))&gt;0,countif(filter(Status!$C:$C,Status!$A:$A=$A45),CONCATENATE(AH$2,""*"")),"""")"),"")</f>
        <v/>
      </c>
      <c r="AI45" s="23" t="str">
        <f>IFERROR(__xludf.DUMMYFUNCTION("if(countif(filter(Status!$C:$C,Status!$A:$A=$A45),CONCATENATE(AI$2,""*""))&gt;0,countif(filter(Status!$C:$C,Status!$A:$A=$A45),CONCATENATE(AI$2,""*"")),"""")"),"")</f>
        <v/>
      </c>
      <c r="AJ45" s="23" t="str">
        <f>IFERROR(__xludf.DUMMYFUNCTION("if(countif(filter(Status!$C:$C,Status!$A:$A=$A45),CONCATENATE(AJ$2,""*""))&gt;0,countif(filter(Status!$C:$C,Status!$A:$A=$A45),CONCATENATE(AJ$2,""*"")),"""")"),"")</f>
        <v/>
      </c>
      <c r="AK45" s="23" t="str">
        <f>IFERROR(__xludf.DUMMYFUNCTION("if(countif(filter(Status!$C:$C,Status!$A:$A=$A45),CONCATENATE(AK$2,""*""))&gt;0,countif(filter(Status!$C:$C,Status!$A:$A=$A45),CONCATENATE(AK$2,""*"")),"""")"),"")</f>
        <v/>
      </c>
      <c r="AL45" s="23" t="str">
        <f>IFERROR(__xludf.DUMMYFUNCTION("if(countif(filter(Status!$C:$C,Status!$A:$A=$A45),CONCATENATE(AL$2,""*""))&gt;0,countif(filter(Status!$C:$C,Status!$A:$A=$A45),CONCATENATE(AL$2,""*"")),"""")"),"")</f>
        <v/>
      </c>
      <c r="AM45" s="23" t="str">
        <f>IFERROR(__xludf.DUMMYFUNCTION("if(countif(filter(Status!$C:$C,Status!$A:$A=$A45),CONCATENATE(AM$2,""*""))&gt;0,countif(filter(Status!$C:$C,Status!$A:$A=$A45),CONCATENATE(AM$2,""*"")),"""")"),"")</f>
        <v/>
      </c>
      <c r="AN45" s="23" t="str">
        <f>IFERROR(__xludf.DUMMYFUNCTION("if(countif(filter(Status!$C:$C,Status!$A:$A=$A45),CONCATENATE(AN$2,""*""))&gt;0,countif(filter(Status!$C:$C,Status!$A:$A=$A45),CONCATENATE(AN$2,""*"")),"""")"),"")</f>
        <v/>
      </c>
      <c r="AO45" s="23" t="str">
        <f>IFERROR(__xludf.DUMMYFUNCTION("if(countif(filter(Status!$C:$C,Status!$A:$A=$A45),CONCATENATE(AO$2,""*""))&gt;0,countif(filter(Status!$C:$C,Status!$A:$A=$A45),CONCATENATE(AO$2,""*"")),"""")"),"")</f>
        <v/>
      </c>
      <c r="AP45" s="23">
        <f>IFERROR(__xludf.DUMMYFUNCTION("counta(iferror(filter(Status!C:C,Status!A:A=A45)))"),15.0)</f>
        <v>15</v>
      </c>
      <c r="AQ45" s="23">
        <f t="shared" si="6"/>
        <v>15</v>
      </c>
    </row>
    <row r="46">
      <c r="A46" s="1" t="s">
        <v>660</v>
      </c>
      <c r="B46" s="21">
        <f>IFERROR(__xludf.DUMMYFUNCTION("max(filter(Status!E:E,Status!A:A=A46))"),43741.0)</f>
        <v>43741</v>
      </c>
      <c r="C46" s="23">
        <f t="shared" si="1"/>
        <v>1</v>
      </c>
      <c r="D46" s="23">
        <f t="shared" si="2"/>
        <v>1</v>
      </c>
      <c r="E46" s="23">
        <f t="shared" si="3"/>
        <v>1</v>
      </c>
      <c r="F46" s="23">
        <f t="shared" si="4"/>
        <v>0.6153846154</v>
      </c>
      <c r="G46" s="25">
        <f t="shared" si="5"/>
        <v>1</v>
      </c>
      <c r="J46" s="23">
        <f>IFERROR(__xludf.DUMMYFUNCTION("COUNTA(iferror(filter(Status!H:H,Status!A:A=A46)))"),7.0)</f>
        <v>7</v>
      </c>
      <c r="K46" s="25">
        <f>IFERROR(__xludf.DUMMYFUNCTION("COUNTA(iferror(filter(Status!H:H,Status!A:A=A46,Status!H:H=TRUE)))"),7.0)</f>
        <v>7</v>
      </c>
      <c r="L46" s="23">
        <f>IFERROR(__xludf.DUMMYFUNCTION("COUNTA(iferror(filter(Status!L:L,Status!A:A=A46)))"),3.0)</f>
        <v>3</v>
      </c>
      <c r="M46" s="25">
        <f>IFERROR(__xludf.DUMMYFUNCTION("COUNTA(iferror(filter(Status!L:L,Status!A:A=A46,Status!L:L=TRUE)))"),3.0)</f>
        <v>3</v>
      </c>
      <c r="N46" s="23">
        <f>IFERROR(__xludf.DUMMYFUNCTION("COUNTA(iferror(filter(Status!N:N,Status!A:A=A46,Status!N:N=TRUE)))"),11.0)</f>
        <v>11</v>
      </c>
      <c r="O46" s="25">
        <f>IFERROR(__xludf.DUMMYFUNCTION("COUNTA(iferror(filter(Status!N:N,Status!A:A=A46,Status!N:N=TRUE)))"),11.0)</f>
        <v>11</v>
      </c>
      <c r="P46" s="23">
        <f>IFERROR(__xludf.DUMMYFUNCTION("COUNTA(iferror(filter(Status!P:P,Status!A:A=A46)))"),13.0)</f>
        <v>13</v>
      </c>
      <c r="Q46" s="25">
        <f>IFERROR(__xludf.DUMMYFUNCTION("COUNTA(iferror(filter(Status!P:P,Status!A:A=A46,Status!P:P=TRUE)))"),8.0)</f>
        <v>8</v>
      </c>
      <c r="R46" s="23">
        <f>IFERROR(__xludf.DUMMYFUNCTION("COUNTA(iferror(filter(Status!R:R,Status!A:A=A46)))"),7.0)</f>
        <v>7</v>
      </c>
      <c r="S46" s="25">
        <f>IFERROR(__xludf.DUMMYFUNCTION("COUNTA(iferror(filter(Status!R:R,Status!A:A=A46,Status!R:R=TRUE)))"),7.0)</f>
        <v>7</v>
      </c>
      <c r="V46" s="23" t="str">
        <f>IFERROR(__xludf.DUMMYFUNCTION("if((countif(filter(Status!$C:$C,Status!$A:$A=$A46),CONCATENATE(V$2,""*""))-W46)&gt;0,(countif(filter(Status!$C:$C,Status!$A:$A=$A46),CONCATENATE(V$2,""*""))-W46),"""")"),"")</f>
        <v/>
      </c>
      <c r="W46" s="23">
        <f>IFERROR(__xludf.DUMMYFUNCTION("if(countif(filter(Status!$C:$C,Status!$A:$A=$A46),CONCATENATE(W$2,""*""))&gt;0,countif(filter(Status!$C:$C,Status!$A:$A=$A46),CONCATENATE(W$2,""*"")),"""")"),5.0)</f>
        <v>5</v>
      </c>
      <c r="X46" s="23" t="str">
        <f>IFERROR(__xludf.DUMMYFUNCTION("if(countif(filter(Status!$C:$C,Status!$A:$A=$A46),CONCATENATE(X$2,""*""))&gt;0,countif(filter(Status!$C:$C,Status!$A:$A=$A46),CONCATENATE(X$2,""*"")),"""")"),"")</f>
        <v/>
      </c>
      <c r="Y46" s="23" t="str">
        <f>IFERROR(__xludf.DUMMYFUNCTION("if(countif(filter(Status!$C:$C,Status!$A:$A=$A46),CONCATENATE(Y$2,""*""))&gt;0,countif(filter(Status!$C:$C,Status!$A:$A=$A46),CONCATENATE(Y$2,""*"")),"""")"),"")</f>
        <v/>
      </c>
      <c r="Z46" s="23" t="str">
        <f>IFERROR(__xludf.DUMMYFUNCTION("if(countif(filter(Status!$C:$C,Status!$A:$A=$A46),CONCATENATE(Z$2,""*""))&gt;0,countif(filter(Status!$C:$C,Status!$A:$A=$A46),CONCATENATE(Z$2,""*"")),"""")"),"")</f>
        <v/>
      </c>
      <c r="AA46" s="23">
        <f>IFERROR(__xludf.DUMMYFUNCTION("if((countif(filter(Status!$C:$C,Status!$A:$A=$A46),CONCATENATE(AA$2,""*""))-AB46)&gt;0,(countif(filter(Status!$C:$C,Status!$A:$A=$A46),CONCATENATE(AA$2,""*""))-AB46),"""")"),3.0)</f>
        <v>3</v>
      </c>
      <c r="AB46" s="23">
        <f>IFERROR(__xludf.DUMMYFUNCTION("if(countif(filter(Status!$C:$C,Status!$A:$A=$A46),CONCATENATE(AB$2,""*""))&gt;0,countif(filter(Status!$C:$C,Status!$A:$A=$A46),CONCATENATE(AB$2,""*"")),"""")"),3.0)</f>
        <v>3</v>
      </c>
      <c r="AC46" s="23">
        <f>IFERROR(__xludf.DUMMYFUNCTION("if(countif(filter(Status!$C:$C,Status!$A:$A=$A46),CONCATENATE(AC$2,""*""))&gt;0,countif(filter(Status!$C:$C,Status!$A:$A=$A46),CONCATENATE(AC$2,""*"")),"""")"),1.0)</f>
        <v>1</v>
      </c>
      <c r="AD46" s="23">
        <f>IFERROR(__xludf.DUMMYFUNCTION("if(countif(filter(Status!$C:$C,Status!$A:$A=$A46),CONCATENATE(AD$2,""*""))&gt;0,countif(filter(Status!$C:$C,Status!$A:$A=$A46),CONCATENATE(AD$2,""*"")),"""")"),1.0)</f>
        <v>1</v>
      </c>
      <c r="AE46" s="23">
        <f>IFERROR(__xludf.DUMMYFUNCTION("if(countif(filter(Status!$C:$C,Status!$A:$A=$A46),CONCATENATE(AE$2,""*""))&gt;0,countif(filter(Status!$C:$C,Status!$A:$A=$A46),CONCATENATE(AE$2,""*"")),"""")"),1.0)</f>
        <v>1</v>
      </c>
      <c r="AF46" s="23" t="str">
        <f>IFERROR(__xludf.DUMMYFUNCTION("if(countif(filter(Status!$C:$C,Status!$A:$A=$A46),CONCATENATE(AF$2,""*""))&gt;0,countif(filter(Status!$C:$C,Status!$A:$A=$A46),CONCATENATE(AF$2,""*"")),"""")"),"")</f>
        <v/>
      </c>
      <c r="AG46" s="23" t="str">
        <f>IFERROR(__xludf.DUMMYFUNCTION("if(countif(filter(Status!$C:$C,Status!$A:$A=$A46),CONCATENATE(AG$2,""*""))&gt;0,countif(filter(Status!$C:$C,Status!$A:$A=$A46),CONCATENATE(AG$2,""*"")),"""")"),"")</f>
        <v/>
      </c>
      <c r="AH46" s="23" t="str">
        <f>IFERROR(__xludf.DUMMYFUNCTION("if(countif(filter(Status!$C:$C,Status!$A:$A=$A46),CONCATENATE(AH$2,""*""))&gt;0,countif(filter(Status!$C:$C,Status!$A:$A=$A46),CONCATENATE(AH$2,""*"")),"""")"),"")</f>
        <v/>
      </c>
      <c r="AI46" s="23" t="str">
        <f>IFERROR(__xludf.DUMMYFUNCTION("if(countif(filter(Status!$C:$C,Status!$A:$A=$A46),CONCATENATE(AI$2,""*""))&gt;0,countif(filter(Status!$C:$C,Status!$A:$A=$A46),CONCATENATE(AI$2,""*"")),"""")"),"")</f>
        <v/>
      </c>
      <c r="AJ46" s="23" t="str">
        <f>IFERROR(__xludf.DUMMYFUNCTION("if(countif(filter(Status!$C:$C,Status!$A:$A=$A46),CONCATENATE(AJ$2,""*""))&gt;0,countif(filter(Status!$C:$C,Status!$A:$A=$A46),CONCATENATE(AJ$2,""*"")),"""")"),"")</f>
        <v/>
      </c>
      <c r="AK46" s="23" t="str">
        <f>IFERROR(__xludf.DUMMYFUNCTION("if(countif(filter(Status!$C:$C,Status!$A:$A=$A46),CONCATENATE(AK$2,""*""))&gt;0,countif(filter(Status!$C:$C,Status!$A:$A=$A46),CONCATENATE(AK$2,""*"")),"""")"),"")</f>
        <v/>
      </c>
      <c r="AL46" s="23" t="str">
        <f>IFERROR(__xludf.DUMMYFUNCTION("if(countif(filter(Status!$C:$C,Status!$A:$A=$A46),CONCATENATE(AL$2,""*""))&gt;0,countif(filter(Status!$C:$C,Status!$A:$A=$A46),CONCATENATE(AL$2,""*"")),"""")"),"")</f>
        <v/>
      </c>
      <c r="AM46" s="23" t="str">
        <f>IFERROR(__xludf.DUMMYFUNCTION("if(countif(filter(Status!$C:$C,Status!$A:$A=$A46),CONCATENATE(AM$2,""*""))&gt;0,countif(filter(Status!$C:$C,Status!$A:$A=$A46),CONCATENATE(AM$2,""*"")),"""")"),"")</f>
        <v/>
      </c>
      <c r="AN46" s="23" t="str">
        <f>IFERROR(__xludf.DUMMYFUNCTION("if(countif(filter(Status!$C:$C,Status!$A:$A=$A46),CONCATENATE(AN$2,""*""))&gt;0,countif(filter(Status!$C:$C,Status!$A:$A=$A46),CONCATENATE(AN$2,""*"")),"""")"),"")</f>
        <v/>
      </c>
      <c r="AO46" s="23" t="str">
        <f>IFERROR(__xludf.DUMMYFUNCTION("if(countif(filter(Status!$C:$C,Status!$A:$A=$A46),CONCATENATE(AO$2,""*""))&gt;0,countif(filter(Status!$C:$C,Status!$A:$A=$A46),CONCATENATE(AO$2,""*"")),"""")"),"")</f>
        <v/>
      </c>
      <c r="AP46" s="23">
        <f>IFERROR(__xludf.DUMMYFUNCTION("counta(iferror(filter(Status!C:C,Status!A:A=A46)))"),14.0)</f>
        <v>14</v>
      </c>
      <c r="AQ46" s="23">
        <f t="shared" si="6"/>
        <v>14</v>
      </c>
    </row>
    <row r="47">
      <c r="A47" s="1" t="s">
        <v>682</v>
      </c>
      <c r="B47" s="21">
        <f>IFERROR(__xludf.DUMMYFUNCTION("max(filter(Status!E:E,Status!A:A=A47))"),43752.0)</f>
        <v>43752</v>
      </c>
      <c r="C47" s="23">
        <f t="shared" si="1"/>
        <v>1</v>
      </c>
      <c r="D47" s="23">
        <f t="shared" si="2"/>
        <v>1</v>
      </c>
      <c r="E47" s="23">
        <f t="shared" si="3"/>
        <v>1</v>
      </c>
      <c r="F47" s="23">
        <f t="shared" si="4"/>
        <v>0.6</v>
      </c>
      <c r="G47" s="25">
        <f t="shared" si="5"/>
        <v>1</v>
      </c>
      <c r="J47" s="23">
        <f>IFERROR(__xludf.DUMMYFUNCTION("COUNTA(iferror(filter(Status!H:H,Status!A:A=A47)))"),5.0)</f>
        <v>5</v>
      </c>
      <c r="K47" s="25">
        <f>IFERROR(__xludf.DUMMYFUNCTION("COUNTA(iferror(filter(Status!H:H,Status!A:A=A47,Status!H:H=TRUE)))"),5.0)</f>
        <v>5</v>
      </c>
      <c r="L47" s="23">
        <f>IFERROR(__xludf.DUMMYFUNCTION("COUNTA(iferror(filter(Status!L:L,Status!A:A=A47)))"),2.0)</f>
        <v>2</v>
      </c>
      <c r="M47" s="25">
        <f>IFERROR(__xludf.DUMMYFUNCTION("COUNTA(iferror(filter(Status!L:L,Status!A:A=A47,Status!L:L=TRUE)))"),2.0)</f>
        <v>2</v>
      </c>
      <c r="N47" s="23">
        <f>IFERROR(__xludf.DUMMYFUNCTION("COUNTA(iferror(filter(Status!N:N,Status!A:A=A47,Status!N:N=TRUE)))"),8.0)</f>
        <v>8</v>
      </c>
      <c r="O47" s="25">
        <f>IFERROR(__xludf.DUMMYFUNCTION("COUNTA(iferror(filter(Status!N:N,Status!A:A=A47,Status!N:N=TRUE)))"),8.0)</f>
        <v>8</v>
      </c>
      <c r="P47" s="23">
        <f>IFERROR(__xludf.DUMMYFUNCTION("COUNTA(iferror(filter(Status!P:P,Status!A:A=A47)))"),10.0)</f>
        <v>10</v>
      </c>
      <c r="Q47" s="25">
        <f>IFERROR(__xludf.DUMMYFUNCTION("COUNTA(iferror(filter(Status!P:P,Status!A:A=A47,Status!P:P=TRUE)))"),6.0)</f>
        <v>6</v>
      </c>
      <c r="R47" s="23">
        <f>IFERROR(__xludf.DUMMYFUNCTION("COUNTA(iferror(filter(Status!R:R,Status!A:A=A47)))"),5.0)</f>
        <v>5</v>
      </c>
      <c r="S47" s="25">
        <f>IFERROR(__xludf.DUMMYFUNCTION("COUNTA(iferror(filter(Status!R:R,Status!A:A=A47,Status!R:R=TRUE)))"),5.0)</f>
        <v>5</v>
      </c>
      <c r="V47" s="23" t="str">
        <f>IFERROR(__xludf.DUMMYFUNCTION("if((countif(filter(Status!$C:$C,Status!$A:$A=$A47),CONCATENATE(V$2,""*""))-W47)&gt;0,(countif(filter(Status!$C:$C,Status!$A:$A=$A47),CONCATENATE(V$2,""*""))-W47),"""")"),"")</f>
        <v/>
      </c>
      <c r="W47" s="23">
        <f>IFERROR(__xludf.DUMMYFUNCTION("if(countif(filter(Status!$C:$C,Status!$A:$A=$A47),CONCATENATE(W$2,""*""))&gt;0,countif(filter(Status!$C:$C,Status!$A:$A=$A47),CONCATENATE(W$2,""*"")),"""")"),4.0)</f>
        <v>4</v>
      </c>
      <c r="X47" s="23" t="str">
        <f>IFERROR(__xludf.DUMMYFUNCTION("if(countif(filter(Status!$C:$C,Status!$A:$A=$A47),CONCATENATE(X$2,""*""))&gt;0,countif(filter(Status!$C:$C,Status!$A:$A=$A47),CONCATENATE(X$2,""*"")),"""")"),"")</f>
        <v/>
      </c>
      <c r="Y47" s="23" t="str">
        <f>IFERROR(__xludf.DUMMYFUNCTION("if(countif(filter(Status!$C:$C,Status!$A:$A=$A47),CONCATENATE(Y$2,""*""))&gt;0,countif(filter(Status!$C:$C,Status!$A:$A=$A47),CONCATENATE(Y$2,""*"")),"""")"),"")</f>
        <v/>
      </c>
      <c r="Z47" s="23" t="str">
        <f>IFERROR(__xludf.DUMMYFUNCTION("if(countif(filter(Status!$C:$C,Status!$A:$A=$A47),CONCATENATE(Z$2,""*""))&gt;0,countif(filter(Status!$C:$C,Status!$A:$A=$A47),CONCATENATE(Z$2,""*"")),"""")"),"")</f>
        <v/>
      </c>
      <c r="AA47" s="23">
        <f>IFERROR(__xludf.DUMMYFUNCTION("if((countif(filter(Status!$C:$C,Status!$A:$A=$A47),CONCATENATE(AA$2,""*""))-AB47)&gt;0,(countif(filter(Status!$C:$C,Status!$A:$A=$A47),CONCATENATE(AA$2,""*""))-AB47),"""")"),2.0)</f>
        <v>2</v>
      </c>
      <c r="AB47" s="23">
        <f>IFERROR(__xludf.DUMMYFUNCTION("if(countif(filter(Status!$C:$C,Status!$A:$A=$A47),CONCATENATE(AB$2,""*""))&gt;0,countif(filter(Status!$C:$C,Status!$A:$A=$A47),CONCATENATE(AB$2,""*"")),"""")"),2.0)</f>
        <v>2</v>
      </c>
      <c r="AC47" s="23">
        <f>IFERROR(__xludf.DUMMYFUNCTION("if(countif(filter(Status!$C:$C,Status!$A:$A=$A47),CONCATENATE(AC$2,""*""))&gt;0,countif(filter(Status!$C:$C,Status!$A:$A=$A47),CONCATENATE(AC$2,""*"")),"""")"),1.0)</f>
        <v>1</v>
      </c>
      <c r="AD47" s="23">
        <f>IFERROR(__xludf.DUMMYFUNCTION("if(countif(filter(Status!$C:$C,Status!$A:$A=$A47),CONCATENATE(AD$2,""*""))&gt;0,countif(filter(Status!$C:$C,Status!$A:$A=$A47),CONCATENATE(AD$2,""*"")),"""")"),1.0)</f>
        <v>1</v>
      </c>
      <c r="AE47" s="23">
        <f>IFERROR(__xludf.DUMMYFUNCTION("if(countif(filter(Status!$C:$C,Status!$A:$A=$A47),CONCATENATE(AE$2,""*""))&gt;0,countif(filter(Status!$C:$C,Status!$A:$A=$A47),CONCATENATE(AE$2,""*"")),"""")"),1.0)</f>
        <v>1</v>
      </c>
      <c r="AF47" s="23" t="str">
        <f>IFERROR(__xludf.DUMMYFUNCTION("if(countif(filter(Status!$C:$C,Status!$A:$A=$A47),CONCATENATE(AF$2,""*""))&gt;0,countif(filter(Status!$C:$C,Status!$A:$A=$A47),CONCATENATE(AF$2,""*"")),"""")"),"")</f>
        <v/>
      </c>
      <c r="AG47" s="23" t="str">
        <f>IFERROR(__xludf.DUMMYFUNCTION("if(countif(filter(Status!$C:$C,Status!$A:$A=$A47),CONCATENATE(AG$2,""*""))&gt;0,countif(filter(Status!$C:$C,Status!$A:$A=$A47),CONCATENATE(AG$2,""*"")),"""")"),"")</f>
        <v/>
      </c>
      <c r="AH47" s="23" t="str">
        <f>IFERROR(__xludf.DUMMYFUNCTION("if(countif(filter(Status!$C:$C,Status!$A:$A=$A47),CONCATENATE(AH$2,""*""))&gt;0,countif(filter(Status!$C:$C,Status!$A:$A=$A47),CONCATENATE(AH$2,""*"")),"""")"),"")</f>
        <v/>
      </c>
      <c r="AI47" s="23" t="str">
        <f>IFERROR(__xludf.DUMMYFUNCTION("if(countif(filter(Status!$C:$C,Status!$A:$A=$A47),CONCATENATE(AI$2,""*""))&gt;0,countif(filter(Status!$C:$C,Status!$A:$A=$A47),CONCATENATE(AI$2,""*"")),"""")"),"")</f>
        <v/>
      </c>
      <c r="AJ47" s="23" t="str">
        <f>IFERROR(__xludf.DUMMYFUNCTION("if(countif(filter(Status!$C:$C,Status!$A:$A=$A47),CONCATENATE(AJ$2,""*""))&gt;0,countif(filter(Status!$C:$C,Status!$A:$A=$A47),CONCATENATE(AJ$2,""*"")),"""")"),"")</f>
        <v/>
      </c>
      <c r="AK47" s="23" t="str">
        <f>IFERROR(__xludf.DUMMYFUNCTION("if(countif(filter(Status!$C:$C,Status!$A:$A=$A47),CONCATENATE(AK$2,""*""))&gt;0,countif(filter(Status!$C:$C,Status!$A:$A=$A47),CONCATENATE(AK$2,""*"")),"""")"),"")</f>
        <v/>
      </c>
      <c r="AL47" s="23" t="str">
        <f>IFERROR(__xludf.DUMMYFUNCTION("if(countif(filter(Status!$C:$C,Status!$A:$A=$A47),CONCATENATE(AL$2,""*""))&gt;0,countif(filter(Status!$C:$C,Status!$A:$A=$A47),CONCATENATE(AL$2,""*"")),"""")"),"")</f>
        <v/>
      </c>
      <c r="AM47" s="23" t="str">
        <f>IFERROR(__xludf.DUMMYFUNCTION("if(countif(filter(Status!$C:$C,Status!$A:$A=$A47),CONCATENATE(AM$2,""*""))&gt;0,countif(filter(Status!$C:$C,Status!$A:$A=$A47),CONCATENATE(AM$2,""*"")),"""")"),"")</f>
        <v/>
      </c>
      <c r="AN47" s="23" t="str">
        <f>IFERROR(__xludf.DUMMYFUNCTION("if(countif(filter(Status!$C:$C,Status!$A:$A=$A47),CONCATENATE(AN$2,""*""))&gt;0,countif(filter(Status!$C:$C,Status!$A:$A=$A47),CONCATENATE(AN$2,""*"")),"""")"),"")</f>
        <v/>
      </c>
      <c r="AO47" s="23" t="str">
        <f>IFERROR(__xludf.DUMMYFUNCTION("if(countif(filter(Status!$C:$C,Status!$A:$A=$A47),CONCATENATE(AO$2,""*""))&gt;0,countif(filter(Status!$C:$C,Status!$A:$A=$A47),CONCATENATE(AO$2,""*"")),"""")"),"")</f>
        <v/>
      </c>
      <c r="AP47" s="23">
        <f>IFERROR(__xludf.DUMMYFUNCTION("counta(iferror(filter(Status!C:C,Status!A:A=A47)))"),11.0)</f>
        <v>11</v>
      </c>
      <c r="AQ47" s="23">
        <f t="shared" si="6"/>
        <v>11</v>
      </c>
    </row>
    <row r="48">
      <c r="A48" s="1" t="s">
        <v>714</v>
      </c>
      <c r="B48" s="21">
        <f>IFERROR(__xludf.DUMMYFUNCTION("max(filter(Status!E:E,Status!A:A=A48))"),43753.0)</f>
        <v>43753</v>
      </c>
      <c r="C48" s="23">
        <f t="shared" si="1"/>
        <v>1</v>
      </c>
      <c r="D48" s="23" t="str">
        <f t="shared" si="2"/>
        <v/>
      </c>
      <c r="E48" s="23">
        <f t="shared" si="3"/>
        <v>1</v>
      </c>
      <c r="F48" s="23">
        <f t="shared" si="4"/>
        <v>0.5</v>
      </c>
      <c r="G48" s="25">
        <f t="shared" si="5"/>
        <v>1</v>
      </c>
      <c r="J48" s="23">
        <f>IFERROR(__xludf.DUMMYFUNCTION("COUNTA(iferror(filter(Status!H:H,Status!A:A=A48)))"),3.0)</f>
        <v>3</v>
      </c>
      <c r="K48" s="25">
        <f>IFERROR(__xludf.DUMMYFUNCTION("COUNTA(iferror(filter(Status!H:H,Status!A:A=A48,Status!H:H=TRUE)))"),3.0)</f>
        <v>3</v>
      </c>
      <c r="L48" s="23">
        <f>IFERROR(__xludf.DUMMYFUNCTION("COUNTA(iferror(filter(Status!L:L,Status!A:A=A48)))"),0.0)</f>
        <v>0</v>
      </c>
      <c r="M48" s="25">
        <f>IFERROR(__xludf.DUMMYFUNCTION("COUNTA(iferror(filter(Status!L:L,Status!A:A=A48,Status!L:L=TRUE)))"),0.0)</f>
        <v>0</v>
      </c>
      <c r="N48" s="23">
        <f>IFERROR(__xludf.DUMMYFUNCTION("COUNTA(iferror(filter(Status!N:N,Status!A:A=A48,Status!N:N=TRUE)))"),8.0)</f>
        <v>8</v>
      </c>
      <c r="O48" s="25">
        <f>IFERROR(__xludf.DUMMYFUNCTION("COUNTA(iferror(filter(Status!N:N,Status!A:A=A48,Status!N:N=TRUE)))"),8.0)</f>
        <v>8</v>
      </c>
      <c r="P48" s="23">
        <f>IFERROR(__xludf.DUMMYFUNCTION("COUNTA(iferror(filter(Status!P:P,Status!A:A=A48)))"),8.0)</f>
        <v>8</v>
      </c>
      <c r="Q48" s="25">
        <f>IFERROR(__xludf.DUMMYFUNCTION("COUNTA(iferror(filter(Status!P:P,Status!A:A=A48,Status!P:P=TRUE)))"),4.0)</f>
        <v>4</v>
      </c>
      <c r="R48" s="23">
        <f>IFERROR(__xludf.DUMMYFUNCTION("COUNTA(iferror(filter(Status!R:R,Status!A:A=A48)))"),5.0)</f>
        <v>5</v>
      </c>
      <c r="S48" s="25">
        <f>IFERROR(__xludf.DUMMYFUNCTION("COUNTA(iferror(filter(Status!R:R,Status!A:A=A48,Status!R:R=TRUE)))"),5.0)</f>
        <v>5</v>
      </c>
      <c r="V48" s="23" t="str">
        <f>IFERROR(__xludf.DUMMYFUNCTION("if((countif(filter(Status!$C:$C,Status!$A:$A=$A48),CONCATENATE(V$2,""*""))-W48)&gt;0,(countif(filter(Status!$C:$C,Status!$A:$A=$A48),CONCATENATE(V$2,""*""))-W48),"""")"),"")</f>
        <v/>
      </c>
      <c r="W48" s="23" t="str">
        <f>IFERROR(__xludf.DUMMYFUNCTION("if(countif(filter(Status!$C:$C,Status!$A:$A=$A48),CONCATENATE(W$2,""*""))&gt;0,countif(filter(Status!$C:$C,Status!$A:$A=$A48),CONCATENATE(W$2,""*"")),"""")"),"")</f>
        <v/>
      </c>
      <c r="X48" s="23">
        <f>IFERROR(__xludf.DUMMYFUNCTION("if(countif(filter(Status!$C:$C,Status!$A:$A=$A48),CONCATENATE(X$2,""*""))&gt;0,countif(filter(Status!$C:$C,Status!$A:$A=$A48),CONCATENATE(X$2,""*"")),"""")"),2.0)</f>
        <v>2</v>
      </c>
      <c r="Y48" s="23" t="str">
        <f>IFERROR(__xludf.DUMMYFUNCTION("if(countif(filter(Status!$C:$C,Status!$A:$A=$A48),CONCATENATE(Y$2,""*""))&gt;0,countif(filter(Status!$C:$C,Status!$A:$A=$A48),CONCATENATE(Y$2,""*"")),"""")"),"")</f>
        <v/>
      </c>
      <c r="Z48" s="23" t="str">
        <f>IFERROR(__xludf.DUMMYFUNCTION("if(countif(filter(Status!$C:$C,Status!$A:$A=$A48),CONCATENATE(Z$2,""*""))&gt;0,countif(filter(Status!$C:$C,Status!$A:$A=$A48),CONCATENATE(Z$2,""*"")),"""")"),"")</f>
        <v/>
      </c>
      <c r="AA48" s="23">
        <f>IFERROR(__xludf.DUMMYFUNCTION("if((countif(filter(Status!$C:$C,Status!$A:$A=$A48),CONCATENATE(AA$2,""*""))-AB48)&gt;0,(countif(filter(Status!$C:$C,Status!$A:$A=$A48),CONCATENATE(AA$2,""*""))-AB48),"""")"),2.0)</f>
        <v>2</v>
      </c>
      <c r="AB48" s="23">
        <f>IFERROR(__xludf.DUMMYFUNCTION("if(countif(filter(Status!$C:$C,Status!$A:$A=$A48),CONCATENATE(AB$2,""*""))&gt;0,countif(filter(Status!$C:$C,Status!$A:$A=$A48),CONCATENATE(AB$2,""*"")),"""")"),2.0)</f>
        <v>2</v>
      </c>
      <c r="AC48" s="23">
        <f>IFERROR(__xludf.DUMMYFUNCTION("if(countif(filter(Status!$C:$C,Status!$A:$A=$A48),CONCATENATE(AC$2,""*""))&gt;0,countif(filter(Status!$C:$C,Status!$A:$A=$A48),CONCATENATE(AC$2,""*"")),"""")"),1.0)</f>
        <v>1</v>
      </c>
      <c r="AD48" s="23">
        <f>IFERROR(__xludf.DUMMYFUNCTION("if(countif(filter(Status!$C:$C,Status!$A:$A=$A48),CONCATENATE(AD$2,""*""))&gt;0,countif(filter(Status!$C:$C,Status!$A:$A=$A48),CONCATENATE(AD$2,""*"")),"""")"),1.0)</f>
        <v>1</v>
      </c>
      <c r="AE48" s="23">
        <f>IFERROR(__xludf.DUMMYFUNCTION("if(countif(filter(Status!$C:$C,Status!$A:$A=$A48),CONCATENATE(AE$2,""*""))&gt;0,countif(filter(Status!$C:$C,Status!$A:$A=$A48),CONCATENATE(AE$2,""*"")),"""")"),1.0)</f>
        <v>1</v>
      </c>
      <c r="AF48" s="23" t="str">
        <f>IFERROR(__xludf.DUMMYFUNCTION("if(countif(filter(Status!$C:$C,Status!$A:$A=$A48),CONCATENATE(AF$2,""*""))&gt;0,countif(filter(Status!$C:$C,Status!$A:$A=$A48),CONCATENATE(AF$2,""*"")),"""")"),"")</f>
        <v/>
      </c>
      <c r="AG48" s="23" t="str">
        <f>IFERROR(__xludf.DUMMYFUNCTION("if(countif(filter(Status!$C:$C,Status!$A:$A=$A48),CONCATENATE(AG$2,""*""))&gt;0,countif(filter(Status!$C:$C,Status!$A:$A=$A48),CONCATENATE(AG$2,""*"")),"""")"),"")</f>
        <v/>
      </c>
      <c r="AH48" s="23" t="str">
        <f>IFERROR(__xludf.DUMMYFUNCTION("if(countif(filter(Status!$C:$C,Status!$A:$A=$A48),CONCATENATE(AH$2,""*""))&gt;0,countif(filter(Status!$C:$C,Status!$A:$A=$A48),CONCATENATE(AH$2,""*"")),"""")"),"")</f>
        <v/>
      </c>
      <c r="AI48" s="23" t="str">
        <f>IFERROR(__xludf.DUMMYFUNCTION("if(countif(filter(Status!$C:$C,Status!$A:$A=$A48),CONCATENATE(AI$2,""*""))&gt;0,countif(filter(Status!$C:$C,Status!$A:$A=$A48),CONCATENATE(AI$2,""*"")),"""")"),"")</f>
        <v/>
      </c>
      <c r="AJ48" s="23" t="str">
        <f>IFERROR(__xludf.DUMMYFUNCTION("if(countif(filter(Status!$C:$C,Status!$A:$A=$A48),CONCATENATE(AJ$2,""*""))&gt;0,countif(filter(Status!$C:$C,Status!$A:$A=$A48),CONCATENATE(AJ$2,""*"")),"""")"),"")</f>
        <v/>
      </c>
      <c r="AK48" s="23" t="str">
        <f>IFERROR(__xludf.DUMMYFUNCTION("if(countif(filter(Status!$C:$C,Status!$A:$A=$A48),CONCATENATE(AK$2,""*""))&gt;0,countif(filter(Status!$C:$C,Status!$A:$A=$A48),CONCATENATE(AK$2,""*"")),"""")"),"")</f>
        <v/>
      </c>
      <c r="AL48" s="23" t="str">
        <f>IFERROR(__xludf.DUMMYFUNCTION("if(countif(filter(Status!$C:$C,Status!$A:$A=$A48),CONCATENATE(AL$2,""*""))&gt;0,countif(filter(Status!$C:$C,Status!$A:$A=$A48),CONCATENATE(AL$2,""*"")),"""")"),"")</f>
        <v/>
      </c>
      <c r="AM48" s="23" t="str">
        <f>IFERROR(__xludf.DUMMYFUNCTION("if(countif(filter(Status!$C:$C,Status!$A:$A=$A48),CONCATENATE(AM$2,""*""))&gt;0,countif(filter(Status!$C:$C,Status!$A:$A=$A48),CONCATENATE(AM$2,""*"")),"""")"),"")</f>
        <v/>
      </c>
      <c r="AN48" s="23" t="str">
        <f>IFERROR(__xludf.DUMMYFUNCTION("if(countif(filter(Status!$C:$C,Status!$A:$A=$A48),CONCATENATE(AN$2,""*""))&gt;0,countif(filter(Status!$C:$C,Status!$A:$A=$A48),CONCATENATE(AN$2,""*"")),"""")"),"")</f>
        <v/>
      </c>
      <c r="AO48" s="23" t="str">
        <f>IFERROR(__xludf.DUMMYFUNCTION("if(countif(filter(Status!$C:$C,Status!$A:$A=$A48),CONCATENATE(AO$2,""*""))&gt;0,countif(filter(Status!$C:$C,Status!$A:$A=$A48),CONCATENATE(AO$2,""*"")),"""")"),"")</f>
        <v/>
      </c>
      <c r="AP48" s="23">
        <f>IFERROR(__xludf.DUMMYFUNCTION("counta(iferror(filter(Status!C:C,Status!A:A=A48)))"),9.0)</f>
        <v>9</v>
      </c>
      <c r="AQ48" s="23">
        <f t="shared" si="6"/>
        <v>9</v>
      </c>
    </row>
    <row r="49">
      <c r="A49" s="1" t="s">
        <v>741</v>
      </c>
      <c r="B49" s="21">
        <f>IFERROR(__xludf.DUMMYFUNCTION("max(filter(Status!E:E,Status!A:A=A49))"),43755.0)</f>
        <v>43755</v>
      </c>
      <c r="C49" s="23">
        <f t="shared" si="1"/>
        <v>1</v>
      </c>
      <c r="D49" s="23">
        <f t="shared" si="2"/>
        <v>1</v>
      </c>
      <c r="E49" s="23">
        <f t="shared" si="3"/>
        <v>1</v>
      </c>
      <c r="F49" s="23">
        <f t="shared" si="4"/>
        <v>0.625</v>
      </c>
      <c r="G49" s="25">
        <f t="shared" si="5"/>
        <v>1</v>
      </c>
      <c r="J49" s="23">
        <f>IFERROR(__xludf.DUMMYFUNCTION("COUNTA(iferror(filter(Status!H:H,Status!A:A=A49)))"),7.0)</f>
        <v>7</v>
      </c>
      <c r="K49" s="25">
        <f>IFERROR(__xludf.DUMMYFUNCTION("COUNTA(iferror(filter(Status!H:H,Status!A:A=A49,Status!H:H=TRUE)))"),7.0)</f>
        <v>7</v>
      </c>
      <c r="L49" s="23">
        <f>IFERROR(__xludf.DUMMYFUNCTION("COUNTA(iferror(filter(Status!L:L,Status!A:A=A49)))"),2.0)</f>
        <v>2</v>
      </c>
      <c r="M49" s="25">
        <f>IFERROR(__xludf.DUMMYFUNCTION("COUNTA(iferror(filter(Status!L:L,Status!A:A=A49,Status!L:L=TRUE)))"),2.0)</f>
        <v>2</v>
      </c>
      <c r="N49" s="23">
        <f>IFERROR(__xludf.DUMMYFUNCTION("COUNTA(iferror(filter(Status!N:N,Status!A:A=A49,Status!N:N=TRUE)))"),14.0)</f>
        <v>14</v>
      </c>
      <c r="O49" s="25">
        <f>IFERROR(__xludf.DUMMYFUNCTION("COUNTA(iferror(filter(Status!N:N,Status!A:A=A49,Status!N:N=TRUE)))"),14.0)</f>
        <v>14</v>
      </c>
      <c r="P49" s="23">
        <f>IFERROR(__xludf.DUMMYFUNCTION("COUNTA(iferror(filter(Status!P:P,Status!A:A=A49)))"),16.0)</f>
        <v>16</v>
      </c>
      <c r="Q49" s="25">
        <f>IFERROR(__xludf.DUMMYFUNCTION("COUNTA(iferror(filter(Status!P:P,Status!A:A=A49,Status!P:P=TRUE)))"),10.0)</f>
        <v>10</v>
      </c>
      <c r="R49" s="23">
        <f>IFERROR(__xludf.DUMMYFUNCTION("COUNTA(iferror(filter(Status!R:R,Status!A:A=A49)))"),9.0)</f>
        <v>9</v>
      </c>
      <c r="S49" s="25">
        <f>IFERROR(__xludf.DUMMYFUNCTION("COUNTA(iferror(filter(Status!R:R,Status!A:A=A49,Status!R:R=TRUE)))"),9.0)</f>
        <v>9</v>
      </c>
      <c r="V49" s="23" t="str">
        <f>IFERROR(__xludf.DUMMYFUNCTION("if((countif(filter(Status!$C:$C,Status!$A:$A=$A49),CONCATENATE(V$2,""*""))-W49)&gt;0,(countif(filter(Status!$C:$C,Status!$A:$A=$A49),CONCATENATE(V$2,""*""))-W49),"""")"),"")</f>
        <v/>
      </c>
      <c r="W49" s="23">
        <f>IFERROR(__xludf.DUMMYFUNCTION("if(countif(filter(Status!$C:$C,Status!$A:$A=$A49),CONCATENATE(W$2,""*""))&gt;0,countif(filter(Status!$C:$C,Status!$A:$A=$A49),CONCATENATE(W$2,""*"")),"""")"),4.0)</f>
        <v>4</v>
      </c>
      <c r="X49" s="23">
        <f>IFERROR(__xludf.DUMMYFUNCTION("if(countif(filter(Status!$C:$C,Status!$A:$A=$A49),CONCATENATE(X$2,""*""))&gt;0,countif(filter(Status!$C:$C,Status!$A:$A=$A49),CONCATENATE(X$2,""*"")),"""")"),2.0)</f>
        <v>2</v>
      </c>
      <c r="Y49" s="23" t="str">
        <f>IFERROR(__xludf.DUMMYFUNCTION("if(countif(filter(Status!$C:$C,Status!$A:$A=$A49),CONCATENATE(Y$2,""*""))&gt;0,countif(filter(Status!$C:$C,Status!$A:$A=$A49),CONCATENATE(Y$2,""*"")),"""")"),"")</f>
        <v/>
      </c>
      <c r="Z49" s="23" t="str">
        <f>IFERROR(__xludf.DUMMYFUNCTION("if(countif(filter(Status!$C:$C,Status!$A:$A=$A49),CONCATENATE(Z$2,""*""))&gt;0,countif(filter(Status!$C:$C,Status!$A:$A=$A49),CONCATENATE(Z$2,""*"")),"""")"),"")</f>
        <v/>
      </c>
      <c r="AA49" s="23">
        <f>IFERROR(__xludf.DUMMYFUNCTION("if((countif(filter(Status!$C:$C,Status!$A:$A=$A49),CONCATENATE(AA$2,""*""))-AB49)&gt;0,(countif(filter(Status!$C:$C,Status!$A:$A=$A49),CONCATENATE(AA$2,""*""))-AB49),"""")"),4.0)</f>
        <v>4</v>
      </c>
      <c r="AB49" s="23">
        <f>IFERROR(__xludf.DUMMYFUNCTION("if(countif(filter(Status!$C:$C,Status!$A:$A=$A49),CONCATENATE(AB$2,""*""))&gt;0,countif(filter(Status!$C:$C,Status!$A:$A=$A49),CONCATENATE(AB$2,""*"")),"""")"),4.0)</f>
        <v>4</v>
      </c>
      <c r="AC49" s="23">
        <f>IFERROR(__xludf.DUMMYFUNCTION("if(countif(filter(Status!$C:$C,Status!$A:$A=$A49),CONCATENATE(AC$2,""*""))&gt;0,countif(filter(Status!$C:$C,Status!$A:$A=$A49),CONCATENATE(AC$2,""*"")),"""")"),1.0)</f>
        <v>1</v>
      </c>
      <c r="AD49" s="23">
        <f>IFERROR(__xludf.DUMMYFUNCTION("if(countif(filter(Status!$C:$C,Status!$A:$A=$A49),CONCATENATE(AD$2,""*""))&gt;0,countif(filter(Status!$C:$C,Status!$A:$A=$A49),CONCATENATE(AD$2,""*"")),"""")"),1.0)</f>
        <v>1</v>
      </c>
      <c r="AE49" s="23">
        <f>IFERROR(__xludf.DUMMYFUNCTION("if(countif(filter(Status!$C:$C,Status!$A:$A=$A49),CONCATENATE(AE$2,""*""))&gt;0,countif(filter(Status!$C:$C,Status!$A:$A=$A49),CONCATENATE(AE$2,""*"")),"""")"),1.0)</f>
        <v>1</v>
      </c>
      <c r="AF49" s="23" t="str">
        <f>IFERROR(__xludf.DUMMYFUNCTION("if(countif(filter(Status!$C:$C,Status!$A:$A=$A49),CONCATENATE(AF$2,""*""))&gt;0,countif(filter(Status!$C:$C,Status!$A:$A=$A49),CONCATENATE(AF$2,""*"")),"""")"),"")</f>
        <v/>
      </c>
      <c r="AG49" s="23" t="str">
        <f>IFERROR(__xludf.DUMMYFUNCTION("if(countif(filter(Status!$C:$C,Status!$A:$A=$A49),CONCATENATE(AG$2,""*""))&gt;0,countif(filter(Status!$C:$C,Status!$A:$A=$A49),CONCATENATE(AG$2,""*"")),"""")"),"")</f>
        <v/>
      </c>
      <c r="AH49" s="23" t="str">
        <f>IFERROR(__xludf.DUMMYFUNCTION("if(countif(filter(Status!$C:$C,Status!$A:$A=$A49),CONCATENATE(AH$2,""*""))&gt;0,countif(filter(Status!$C:$C,Status!$A:$A=$A49),CONCATENATE(AH$2,""*"")),"""")"),"")</f>
        <v/>
      </c>
      <c r="AI49" s="23" t="str">
        <f>IFERROR(__xludf.DUMMYFUNCTION("if(countif(filter(Status!$C:$C,Status!$A:$A=$A49),CONCATENATE(AI$2,""*""))&gt;0,countif(filter(Status!$C:$C,Status!$A:$A=$A49),CONCATENATE(AI$2,""*"")),"""")"),"")</f>
        <v/>
      </c>
      <c r="AJ49" s="23" t="str">
        <f>IFERROR(__xludf.DUMMYFUNCTION("if(countif(filter(Status!$C:$C,Status!$A:$A=$A49),CONCATENATE(AJ$2,""*""))&gt;0,countif(filter(Status!$C:$C,Status!$A:$A=$A49),CONCATENATE(AJ$2,""*"")),"""")"),"")</f>
        <v/>
      </c>
      <c r="AK49" s="23" t="str">
        <f>IFERROR(__xludf.DUMMYFUNCTION("if(countif(filter(Status!$C:$C,Status!$A:$A=$A49),CONCATENATE(AK$2,""*""))&gt;0,countif(filter(Status!$C:$C,Status!$A:$A=$A49),CONCATENATE(AK$2,""*"")),"""")"),"")</f>
        <v/>
      </c>
      <c r="AL49" s="23" t="str">
        <f>IFERROR(__xludf.DUMMYFUNCTION("if(countif(filter(Status!$C:$C,Status!$A:$A=$A49),CONCATENATE(AL$2,""*""))&gt;0,countif(filter(Status!$C:$C,Status!$A:$A=$A49),CONCATENATE(AL$2,""*"")),"""")"),"")</f>
        <v/>
      </c>
      <c r="AM49" s="23" t="str">
        <f>IFERROR(__xludf.DUMMYFUNCTION("if(countif(filter(Status!$C:$C,Status!$A:$A=$A49),CONCATENATE(AM$2,""*""))&gt;0,countif(filter(Status!$C:$C,Status!$A:$A=$A49),CONCATENATE(AM$2,""*"")),"""")"),"")</f>
        <v/>
      </c>
      <c r="AN49" s="23" t="str">
        <f>IFERROR(__xludf.DUMMYFUNCTION("if(countif(filter(Status!$C:$C,Status!$A:$A=$A49),CONCATENATE(AN$2,""*""))&gt;0,countif(filter(Status!$C:$C,Status!$A:$A=$A49),CONCATENATE(AN$2,""*"")),"""")"),"")</f>
        <v/>
      </c>
      <c r="AO49" s="23" t="str">
        <f>IFERROR(__xludf.DUMMYFUNCTION("if(countif(filter(Status!$C:$C,Status!$A:$A=$A49),CONCATENATE(AO$2,""*""))&gt;0,countif(filter(Status!$C:$C,Status!$A:$A=$A49),CONCATENATE(AO$2,""*"")),"""")"),"")</f>
        <v/>
      </c>
      <c r="AP49" s="23">
        <f>IFERROR(__xludf.DUMMYFUNCTION("counta(iferror(filter(Status!C:C,Status!A:A=A49)))"),17.0)</f>
        <v>17</v>
      </c>
      <c r="AQ49" s="23">
        <f t="shared" si="6"/>
        <v>17</v>
      </c>
    </row>
    <row r="50">
      <c r="A50" s="1" t="s">
        <v>773</v>
      </c>
      <c r="B50" s="21">
        <f>IFERROR(__xludf.DUMMYFUNCTION("max(filter(Status!E:E,Status!A:A=A50))"),43759.0)</f>
        <v>43759</v>
      </c>
      <c r="C50" s="23">
        <f t="shared" si="1"/>
        <v>1</v>
      </c>
      <c r="D50" s="23">
        <f t="shared" si="2"/>
        <v>1</v>
      </c>
      <c r="E50" s="23">
        <f t="shared" si="3"/>
        <v>1</v>
      </c>
      <c r="F50" s="23">
        <f t="shared" si="4"/>
        <v>0.5882352941</v>
      </c>
      <c r="G50" s="25">
        <f t="shared" si="5"/>
        <v>1</v>
      </c>
      <c r="J50" s="23">
        <f>IFERROR(__xludf.DUMMYFUNCTION("COUNTA(iferror(filter(Status!H:H,Status!A:A=A50)))"),11.0)</f>
        <v>11</v>
      </c>
      <c r="K50" s="25">
        <f>IFERROR(__xludf.DUMMYFUNCTION("COUNTA(iferror(filter(Status!H:H,Status!A:A=A50,Status!H:H=TRUE)))"),11.0)</f>
        <v>11</v>
      </c>
      <c r="L50" s="23">
        <f>IFERROR(__xludf.DUMMYFUNCTION("COUNTA(iferror(filter(Status!L:L,Status!A:A=A50)))"),5.0)</f>
        <v>5</v>
      </c>
      <c r="M50" s="25">
        <f>IFERROR(__xludf.DUMMYFUNCTION("COUNTA(iferror(filter(Status!L:L,Status!A:A=A50,Status!L:L=TRUE)))"),5.0)</f>
        <v>5</v>
      </c>
      <c r="N50" s="23">
        <f>IFERROR(__xludf.DUMMYFUNCTION("COUNTA(iferror(filter(Status!N:N,Status!A:A=A50,Status!N:N=TRUE)))"),17.0)</f>
        <v>17</v>
      </c>
      <c r="O50" s="25">
        <f>IFERROR(__xludf.DUMMYFUNCTION("COUNTA(iferror(filter(Status!N:N,Status!A:A=A50,Status!N:N=TRUE)))"),17.0)</f>
        <v>17</v>
      </c>
      <c r="P50" s="23">
        <f>IFERROR(__xludf.DUMMYFUNCTION("COUNTA(iferror(filter(Status!P:P,Status!A:A=A50)))"),17.0)</f>
        <v>17</v>
      </c>
      <c r="Q50" s="25">
        <f>IFERROR(__xludf.DUMMYFUNCTION("COUNTA(iferror(filter(Status!P:P,Status!A:A=A50,Status!P:P=TRUE)))"),10.0)</f>
        <v>10</v>
      </c>
      <c r="R50" s="23">
        <f>IFERROR(__xludf.DUMMYFUNCTION("COUNTA(iferror(filter(Status!R:R,Status!A:A=A50)))"),11.0)</f>
        <v>11</v>
      </c>
      <c r="S50" s="25">
        <f>IFERROR(__xludf.DUMMYFUNCTION("COUNTA(iferror(filter(Status!R:R,Status!A:A=A50,Status!R:R=TRUE)))"),11.0)</f>
        <v>11</v>
      </c>
      <c r="V50" s="23" t="str">
        <f>IFERROR(__xludf.DUMMYFUNCTION("if((countif(filter(Status!$C:$C,Status!$A:$A=$A50),CONCATENATE(V$2,""*""))-W50)&gt;0,(countif(filter(Status!$C:$C,Status!$A:$A=$A50),CONCATENATE(V$2,""*""))-W50),"""")"),"")</f>
        <v/>
      </c>
      <c r="W50" s="23">
        <f>IFERROR(__xludf.DUMMYFUNCTION("if(countif(filter(Status!$C:$C,Status!$A:$A=$A50),CONCATENATE(W$2,""*""))&gt;0,countif(filter(Status!$C:$C,Status!$A:$A=$A50),CONCATENATE(W$2,""*"")),"""")"),5.0)</f>
        <v>5</v>
      </c>
      <c r="X50" s="23" t="str">
        <f>IFERROR(__xludf.DUMMYFUNCTION("if(countif(filter(Status!$C:$C,Status!$A:$A=$A50),CONCATENATE(X$2,""*""))&gt;0,countif(filter(Status!$C:$C,Status!$A:$A=$A50),CONCATENATE(X$2,""*"")),"""")"),"")</f>
        <v/>
      </c>
      <c r="Y50" s="23" t="str">
        <f>IFERROR(__xludf.DUMMYFUNCTION("if(countif(filter(Status!$C:$C,Status!$A:$A=$A50),CONCATENATE(Y$2,""*""))&gt;0,countif(filter(Status!$C:$C,Status!$A:$A=$A50),CONCATENATE(Y$2,""*"")),"""")"),"")</f>
        <v/>
      </c>
      <c r="Z50" s="23" t="str">
        <f>IFERROR(__xludf.DUMMYFUNCTION("if(countif(filter(Status!$C:$C,Status!$A:$A=$A50),CONCATENATE(Z$2,""*""))&gt;0,countif(filter(Status!$C:$C,Status!$A:$A=$A50),CONCATENATE(Z$2,""*"")),"""")"),"")</f>
        <v/>
      </c>
      <c r="AA50" s="23">
        <f>IFERROR(__xludf.DUMMYFUNCTION("if((countif(filter(Status!$C:$C,Status!$A:$A=$A50),CONCATENATE(AA$2,""*""))-AB50)&gt;0,(countif(filter(Status!$C:$C,Status!$A:$A=$A50),CONCATENATE(AA$2,""*""))-AB50),"""")"),5.0)</f>
        <v>5</v>
      </c>
      <c r="AB50" s="23">
        <f>IFERROR(__xludf.DUMMYFUNCTION("if(countif(filter(Status!$C:$C,Status!$A:$A=$A50),CONCATENATE(AB$2,""*""))&gt;0,countif(filter(Status!$C:$C,Status!$A:$A=$A50),CONCATENATE(AB$2,""*"")),"""")"),5.0)</f>
        <v>5</v>
      </c>
      <c r="AC50" s="23">
        <f>IFERROR(__xludf.DUMMYFUNCTION("if(countif(filter(Status!$C:$C,Status!$A:$A=$A50),CONCATENATE(AC$2,""*""))&gt;0,countif(filter(Status!$C:$C,Status!$A:$A=$A50),CONCATENATE(AC$2,""*"")),"""")"),1.0)</f>
        <v>1</v>
      </c>
      <c r="AD50" s="23">
        <f>IFERROR(__xludf.DUMMYFUNCTION("if(countif(filter(Status!$C:$C,Status!$A:$A=$A50),CONCATENATE(AD$2,""*""))&gt;0,countif(filter(Status!$C:$C,Status!$A:$A=$A50),CONCATENATE(AD$2,""*"")),"""")"),1.0)</f>
        <v>1</v>
      </c>
      <c r="AE50" s="23">
        <f>IFERROR(__xludf.DUMMYFUNCTION("if(countif(filter(Status!$C:$C,Status!$A:$A=$A50),CONCATENATE(AE$2,""*""))&gt;0,countif(filter(Status!$C:$C,Status!$A:$A=$A50),CONCATENATE(AE$2,""*"")),"""")"),1.0)</f>
        <v>1</v>
      </c>
      <c r="AF50" s="23" t="str">
        <f>IFERROR(__xludf.DUMMYFUNCTION("if(countif(filter(Status!$C:$C,Status!$A:$A=$A50),CONCATENATE(AF$2,""*""))&gt;0,countif(filter(Status!$C:$C,Status!$A:$A=$A50),CONCATENATE(AF$2,""*"")),"""")"),"")</f>
        <v/>
      </c>
      <c r="AG50" s="23" t="str">
        <f>IFERROR(__xludf.DUMMYFUNCTION("if(countif(filter(Status!$C:$C,Status!$A:$A=$A50),CONCATENATE(AG$2,""*""))&gt;0,countif(filter(Status!$C:$C,Status!$A:$A=$A50),CONCATENATE(AG$2,""*"")),"""")"),"")</f>
        <v/>
      </c>
      <c r="AH50" s="23" t="str">
        <f>IFERROR(__xludf.DUMMYFUNCTION("if(countif(filter(Status!$C:$C,Status!$A:$A=$A50),CONCATENATE(AH$2,""*""))&gt;0,countif(filter(Status!$C:$C,Status!$A:$A=$A50),CONCATENATE(AH$2,""*"")),"""")"),"")</f>
        <v/>
      </c>
      <c r="AI50" s="23" t="str">
        <f>IFERROR(__xludf.DUMMYFUNCTION("if(countif(filter(Status!$C:$C,Status!$A:$A=$A50),CONCATENATE(AI$2,""*""))&gt;0,countif(filter(Status!$C:$C,Status!$A:$A=$A50),CONCATENATE(AI$2,""*"")),"""")"),"")</f>
        <v/>
      </c>
      <c r="AJ50" s="23" t="str">
        <f>IFERROR(__xludf.DUMMYFUNCTION("if(countif(filter(Status!$C:$C,Status!$A:$A=$A50),CONCATENATE(AJ$2,""*""))&gt;0,countif(filter(Status!$C:$C,Status!$A:$A=$A50),CONCATENATE(AJ$2,""*"")),"""")"),"")</f>
        <v/>
      </c>
      <c r="AK50" s="23" t="str">
        <f>IFERROR(__xludf.DUMMYFUNCTION("if(countif(filter(Status!$C:$C,Status!$A:$A=$A50),CONCATENATE(AK$2,""*""))&gt;0,countif(filter(Status!$C:$C,Status!$A:$A=$A50),CONCATENATE(AK$2,""*"")),"""")"),"")</f>
        <v/>
      </c>
      <c r="AL50" s="23" t="str">
        <f>IFERROR(__xludf.DUMMYFUNCTION("if(countif(filter(Status!$C:$C,Status!$A:$A=$A50),CONCATENATE(AL$2,""*""))&gt;0,countif(filter(Status!$C:$C,Status!$A:$A=$A50),CONCATENATE(AL$2,""*"")),"""")"),"")</f>
        <v/>
      </c>
      <c r="AM50" s="23" t="str">
        <f>IFERROR(__xludf.DUMMYFUNCTION("if(countif(filter(Status!$C:$C,Status!$A:$A=$A50),CONCATENATE(AM$2,""*""))&gt;0,countif(filter(Status!$C:$C,Status!$A:$A=$A50),CONCATENATE(AM$2,""*"")),"""")"),"")</f>
        <v/>
      </c>
      <c r="AN50" s="23" t="str">
        <f>IFERROR(__xludf.DUMMYFUNCTION("if(countif(filter(Status!$C:$C,Status!$A:$A=$A50),CONCATENATE(AN$2,""*""))&gt;0,countif(filter(Status!$C:$C,Status!$A:$A=$A50),CONCATENATE(AN$2,""*"")),"""")"),"")</f>
        <v/>
      </c>
      <c r="AO50" s="23" t="str">
        <f>IFERROR(__xludf.DUMMYFUNCTION("if(countif(filter(Status!$C:$C,Status!$A:$A=$A50),CONCATENATE(AO$2,""*""))&gt;0,countif(filter(Status!$C:$C,Status!$A:$A=$A50),CONCATENATE(AO$2,""*"")),"""")"),"")</f>
        <v/>
      </c>
      <c r="AP50" s="23">
        <f>IFERROR(__xludf.DUMMYFUNCTION("counta(iferror(filter(Status!C:C,Status!A:A=A50)))"),18.0)</f>
        <v>18</v>
      </c>
      <c r="AQ50" s="23">
        <f t="shared" si="6"/>
        <v>18</v>
      </c>
    </row>
    <row r="51">
      <c r="A51" s="1" t="s">
        <v>798</v>
      </c>
      <c r="B51" s="21">
        <f>IFERROR(__xludf.DUMMYFUNCTION("max(filter(Status!E:E,Status!A:A=A51))"),43760.0)</f>
        <v>43760</v>
      </c>
      <c r="C51" s="23">
        <f t="shared" si="1"/>
        <v>1</v>
      </c>
      <c r="D51" s="23" t="str">
        <f t="shared" si="2"/>
        <v/>
      </c>
      <c r="E51" s="23">
        <f t="shared" si="3"/>
        <v>1</v>
      </c>
      <c r="F51" s="23">
        <f t="shared" si="4"/>
        <v>0.6666666667</v>
      </c>
      <c r="G51" s="25">
        <f t="shared" si="5"/>
        <v>1</v>
      </c>
      <c r="J51" s="23">
        <f>IFERROR(__xludf.DUMMYFUNCTION("COUNTA(iferror(filter(Status!H:H,Status!A:A=A51)))"),3.0)</f>
        <v>3</v>
      </c>
      <c r="K51" s="25">
        <f>IFERROR(__xludf.DUMMYFUNCTION("COUNTA(iferror(filter(Status!H:H,Status!A:A=A51,Status!H:H=TRUE)))"),3.0)</f>
        <v>3</v>
      </c>
      <c r="L51" s="23">
        <f>IFERROR(__xludf.DUMMYFUNCTION("COUNTA(iferror(filter(Status!L:L,Status!A:A=A51)))"),0.0)</f>
        <v>0</v>
      </c>
      <c r="M51" s="25">
        <f>IFERROR(__xludf.DUMMYFUNCTION("COUNTA(iferror(filter(Status!L:L,Status!A:A=A51,Status!L:L=TRUE)))"),0.0)</f>
        <v>0</v>
      </c>
      <c r="N51" s="23">
        <f>IFERROR(__xludf.DUMMYFUNCTION("COUNTA(iferror(filter(Status!N:N,Status!A:A=A51,Status!N:N=TRUE)))"),7.0)</f>
        <v>7</v>
      </c>
      <c r="O51" s="25">
        <f>IFERROR(__xludf.DUMMYFUNCTION("COUNTA(iferror(filter(Status!N:N,Status!A:A=A51,Status!N:N=TRUE)))"),7.0)</f>
        <v>7</v>
      </c>
      <c r="P51" s="23">
        <f>IFERROR(__xludf.DUMMYFUNCTION("COUNTA(iferror(filter(Status!P:P,Status!A:A=A51)))"),9.0)</f>
        <v>9</v>
      </c>
      <c r="Q51" s="25">
        <f>IFERROR(__xludf.DUMMYFUNCTION("COUNTA(iferror(filter(Status!P:P,Status!A:A=A51,Status!P:P=TRUE)))"),6.0)</f>
        <v>6</v>
      </c>
      <c r="R51" s="23">
        <f>IFERROR(__xludf.DUMMYFUNCTION("COUNTA(iferror(filter(Status!R:R,Status!A:A=A51)))"),5.0)</f>
        <v>5</v>
      </c>
      <c r="S51" s="25">
        <f>IFERROR(__xludf.DUMMYFUNCTION("COUNTA(iferror(filter(Status!R:R,Status!A:A=A51,Status!R:R=TRUE)))"),5.0)</f>
        <v>5</v>
      </c>
      <c r="V51" s="23" t="str">
        <f>IFERROR(__xludf.DUMMYFUNCTION("if((countif(filter(Status!$C:$C,Status!$A:$A=$A51),CONCATENATE(V$2,""*""))-W51)&gt;0,(countif(filter(Status!$C:$C,Status!$A:$A=$A51),CONCATENATE(V$2,""*""))-W51),"""")"),"")</f>
        <v/>
      </c>
      <c r="W51" s="23" t="str">
        <f>IFERROR(__xludf.DUMMYFUNCTION("if(countif(filter(Status!$C:$C,Status!$A:$A=$A51),CONCATENATE(W$2,""*""))&gt;0,countif(filter(Status!$C:$C,Status!$A:$A=$A51),CONCATENATE(W$2,""*"")),"""")"),"")</f>
        <v/>
      </c>
      <c r="X51" s="23">
        <f>IFERROR(__xludf.DUMMYFUNCTION("if(countif(filter(Status!$C:$C,Status!$A:$A=$A51),CONCATENATE(X$2,""*""))&gt;0,countif(filter(Status!$C:$C,Status!$A:$A=$A51),CONCATENATE(X$2,""*"")),"""")"),4.0)</f>
        <v>4</v>
      </c>
      <c r="Y51" s="23" t="str">
        <f>IFERROR(__xludf.DUMMYFUNCTION("if(countif(filter(Status!$C:$C,Status!$A:$A=$A51),CONCATENATE(Y$2,""*""))&gt;0,countif(filter(Status!$C:$C,Status!$A:$A=$A51),CONCATENATE(Y$2,""*"")),"""")"),"")</f>
        <v/>
      </c>
      <c r="Z51" s="23" t="str">
        <f>IFERROR(__xludf.DUMMYFUNCTION("if(countif(filter(Status!$C:$C,Status!$A:$A=$A51),CONCATENATE(Z$2,""*""))&gt;0,countif(filter(Status!$C:$C,Status!$A:$A=$A51),CONCATENATE(Z$2,""*"")),"""")"),"")</f>
        <v/>
      </c>
      <c r="AA51" s="23">
        <f>IFERROR(__xludf.DUMMYFUNCTION("if((countif(filter(Status!$C:$C,Status!$A:$A=$A51),CONCATENATE(AA$2,""*""))-AB51)&gt;0,(countif(filter(Status!$C:$C,Status!$A:$A=$A51),CONCATENATE(AA$2,""*""))-AB51),"""")"),2.0)</f>
        <v>2</v>
      </c>
      <c r="AB51" s="23">
        <f>IFERROR(__xludf.DUMMYFUNCTION("if(countif(filter(Status!$C:$C,Status!$A:$A=$A51),CONCATENATE(AB$2,""*""))&gt;0,countif(filter(Status!$C:$C,Status!$A:$A=$A51),CONCATENATE(AB$2,""*"")),"""")"),2.0)</f>
        <v>2</v>
      </c>
      <c r="AC51" s="23">
        <f>IFERROR(__xludf.DUMMYFUNCTION("if(countif(filter(Status!$C:$C,Status!$A:$A=$A51),CONCATENATE(AC$2,""*""))&gt;0,countif(filter(Status!$C:$C,Status!$A:$A=$A51),CONCATENATE(AC$2,""*"")),"""")"),1.0)</f>
        <v>1</v>
      </c>
      <c r="AD51" s="23" t="str">
        <f>IFERROR(__xludf.DUMMYFUNCTION("if(countif(filter(Status!$C:$C,Status!$A:$A=$A51),CONCATENATE(AD$2,""*""))&gt;0,countif(filter(Status!$C:$C,Status!$A:$A=$A51),CONCATENATE(AD$2,""*"")),"""")"),"")</f>
        <v/>
      </c>
      <c r="AE51" s="23">
        <f>IFERROR(__xludf.DUMMYFUNCTION("if(countif(filter(Status!$C:$C,Status!$A:$A=$A51),CONCATENATE(AE$2,""*""))&gt;0,countif(filter(Status!$C:$C,Status!$A:$A=$A51),CONCATENATE(AE$2,""*"")),"""")"),1.0)</f>
        <v>1</v>
      </c>
      <c r="AF51" s="23" t="str">
        <f>IFERROR(__xludf.DUMMYFUNCTION("if(countif(filter(Status!$C:$C,Status!$A:$A=$A51),CONCATENATE(AF$2,""*""))&gt;0,countif(filter(Status!$C:$C,Status!$A:$A=$A51),CONCATENATE(AF$2,""*"")),"""")"),"")</f>
        <v/>
      </c>
      <c r="AG51" s="23" t="str">
        <f>IFERROR(__xludf.DUMMYFUNCTION("if(countif(filter(Status!$C:$C,Status!$A:$A=$A51),CONCATENATE(AG$2,""*""))&gt;0,countif(filter(Status!$C:$C,Status!$A:$A=$A51),CONCATENATE(AG$2,""*"")),"""")"),"")</f>
        <v/>
      </c>
      <c r="AH51" s="23" t="str">
        <f>IFERROR(__xludf.DUMMYFUNCTION("if(countif(filter(Status!$C:$C,Status!$A:$A=$A51),CONCATENATE(AH$2,""*""))&gt;0,countif(filter(Status!$C:$C,Status!$A:$A=$A51),CONCATENATE(AH$2,""*"")),"""")"),"")</f>
        <v/>
      </c>
      <c r="AI51" s="23" t="str">
        <f>IFERROR(__xludf.DUMMYFUNCTION("if(countif(filter(Status!$C:$C,Status!$A:$A=$A51),CONCATENATE(AI$2,""*""))&gt;0,countif(filter(Status!$C:$C,Status!$A:$A=$A51),CONCATENATE(AI$2,""*"")),"""")"),"")</f>
        <v/>
      </c>
      <c r="AJ51" s="23" t="str">
        <f>IFERROR(__xludf.DUMMYFUNCTION("if(countif(filter(Status!$C:$C,Status!$A:$A=$A51),CONCATENATE(AJ$2,""*""))&gt;0,countif(filter(Status!$C:$C,Status!$A:$A=$A51),CONCATENATE(AJ$2,""*"")),"""")"),"")</f>
        <v/>
      </c>
      <c r="AK51" s="23" t="str">
        <f>IFERROR(__xludf.DUMMYFUNCTION("if(countif(filter(Status!$C:$C,Status!$A:$A=$A51),CONCATENATE(AK$2,""*""))&gt;0,countif(filter(Status!$C:$C,Status!$A:$A=$A51),CONCATENATE(AK$2,""*"")),"""")"),"")</f>
        <v/>
      </c>
      <c r="AL51" s="23" t="str">
        <f>IFERROR(__xludf.DUMMYFUNCTION("if(countif(filter(Status!$C:$C,Status!$A:$A=$A51),CONCATENATE(AL$2,""*""))&gt;0,countif(filter(Status!$C:$C,Status!$A:$A=$A51),CONCATENATE(AL$2,""*"")),"""")"),"")</f>
        <v/>
      </c>
      <c r="AM51" s="23" t="str">
        <f>IFERROR(__xludf.DUMMYFUNCTION("if(countif(filter(Status!$C:$C,Status!$A:$A=$A51),CONCATENATE(AM$2,""*""))&gt;0,countif(filter(Status!$C:$C,Status!$A:$A=$A51),CONCATENATE(AM$2,""*"")),"""")"),"")</f>
        <v/>
      </c>
      <c r="AN51" s="23" t="str">
        <f>IFERROR(__xludf.DUMMYFUNCTION("if(countif(filter(Status!$C:$C,Status!$A:$A=$A51),CONCATENATE(AN$2,""*""))&gt;0,countif(filter(Status!$C:$C,Status!$A:$A=$A51),CONCATENATE(AN$2,""*"")),"""")"),"")</f>
        <v/>
      </c>
      <c r="AO51" s="23" t="str">
        <f>IFERROR(__xludf.DUMMYFUNCTION("if(countif(filter(Status!$C:$C,Status!$A:$A=$A51),CONCATENATE(AO$2,""*""))&gt;0,countif(filter(Status!$C:$C,Status!$A:$A=$A51),CONCATENATE(AO$2,""*"")),"""")"),"")</f>
        <v/>
      </c>
      <c r="AP51" s="23">
        <f>IFERROR(__xludf.DUMMYFUNCTION("counta(iferror(filter(Status!C:C,Status!A:A=A51)))"),10.0)</f>
        <v>10</v>
      </c>
      <c r="AQ51" s="23">
        <f t="shared" si="6"/>
        <v>10</v>
      </c>
    </row>
    <row r="52">
      <c r="A52" s="1" t="s">
        <v>812</v>
      </c>
      <c r="B52" s="21">
        <f>IFERROR(__xludf.DUMMYFUNCTION("max(filter(Status!E:E,Status!A:A=A52))"),43761.0)</f>
        <v>43761</v>
      </c>
      <c r="C52" s="23">
        <f t="shared" si="1"/>
        <v>1</v>
      </c>
      <c r="D52" s="23">
        <f t="shared" si="2"/>
        <v>1</v>
      </c>
      <c r="E52" s="23">
        <f t="shared" si="3"/>
        <v>1</v>
      </c>
      <c r="F52" s="23">
        <f t="shared" si="4"/>
        <v>0.6666666667</v>
      </c>
      <c r="G52" s="25">
        <f t="shared" si="5"/>
        <v>1</v>
      </c>
      <c r="J52" s="23">
        <f>IFERROR(__xludf.DUMMYFUNCTION("COUNTA(iferror(filter(Status!H:H,Status!A:A=A52)))"),7.0)</f>
        <v>7</v>
      </c>
      <c r="K52" s="25">
        <f>IFERROR(__xludf.DUMMYFUNCTION("COUNTA(iferror(filter(Status!H:H,Status!A:A=A52,Status!H:H=TRUE)))"),7.0)</f>
        <v>7</v>
      </c>
      <c r="L52" s="23">
        <f>IFERROR(__xludf.DUMMYFUNCTION("COUNTA(iferror(filter(Status!L:L,Status!A:A=A52)))"),5.0)</f>
        <v>5</v>
      </c>
      <c r="M52" s="25">
        <f>IFERROR(__xludf.DUMMYFUNCTION("COUNTA(iferror(filter(Status!L:L,Status!A:A=A52,Status!L:L=TRUE)))"),5.0)</f>
        <v>5</v>
      </c>
      <c r="N52" s="23">
        <f>IFERROR(__xludf.DUMMYFUNCTION("COUNTA(iferror(filter(Status!N:N,Status!A:A=A52,Status!N:N=TRUE)))"),9.0)</f>
        <v>9</v>
      </c>
      <c r="O52" s="25">
        <f>IFERROR(__xludf.DUMMYFUNCTION("COUNTA(iferror(filter(Status!N:N,Status!A:A=A52,Status!N:N=TRUE)))"),9.0)</f>
        <v>9</v>
      </c>
      <c r="P52" s="23">
        <f>IFERROR(__xludf.DUMMYFUNCTION("COUNTA(iferror(filter(Status!P:P,Status!A:A=A52)))"),9.0)</f>
        <v>9</v>
      </c>
      <c r="Q52" s="25">
        <f>IFERROR(__xludf.DUMMYFUNCTION("COUNTA(iferror(filter(Status!P:P,Status!A:A=A52,Status!P:P=TRUE)))"),6.0)</f>
        <v>6</v>
      </c>
      <c r="R52" s="23">
        <f>IFERROR(__xludf.DUMMYFUNCTION("COUNTA(iferror(filter(Status!R:R,Status!A:A=A52)))"),2.0)</f>
        <v>2</v>
      </c>
      <c r="S52" s="25">
        <f>IFERROR(__xludf.DUMMYFUNCTION("COUNTA(iferror(filter(Status!R:R,Status!A:A=A52,Status!R:R=TRUE)))"),2.0)</f>
        <v>2</v>
      </c>
      <c r="V52" s="23" t="str">
        <f>IFERROR(__xludf.DUMMYFUNCTION("if((countif(filter(Status!$C:$C,Status!$A:$A=$A52),CONCATENATE(V$2,""*""))-W52)&gt;0,(countif(filter(Status!$C:$C,Status!$A:$A=$A52),CONCATENATE(V$2,""*""))-W52),"""")"),"")</f>
        <v/>
      </c>
      <c r="W52" s="23" t="str">
        <f>IFERROR(__xludf.DUMMYFUNCTION("if(countif(filter(Status!$C:$C,Status!$A:$A=$A52),CONCATENATE(W$2,""*""))&gt;0,countif(filter(Status!$C:$C,Status!$A:$A=$A52),CONCATENATE(W$2,""*"")),"""")"),"")</f>
        <v/>
      </c>
      <c r="X52" s="23" t="str">
        <f>IFERROR(__xludf.DUMMYFUNCTION("if(countif(filter(Status!$C:$C,Status!$A:$A=$A52),CONCATENATE(X$2,""*""))&gt;0,countif(filter(Status!$C:$C,Status!$A:$A=$A52),CONCATENATE(X$2,""*"")),"""")"),"")</f>
        <v/>
      </c>
      <c r="Y52" s="23" t="str">
        <f>IFERROR(__xludf.DUMMYFUNCTION("if(countif(filter(Status!$C:$C,Status!$A:$A=$A52),CONCATENATE(Y$2,""*""))&gt;0,countif(filter(Status!$C:$C,Status!$A:$A=$A52),CONCATENATE(Y$2,""*"")),"""")"),"")</f>
        <v/>
      </c>
      <c r="Z52" s="23">
        <f>IFERROR(__xludf.DUMMYFUNCTION("if(countif(filter(Status!$C:$C,Status!$A:$A=$A52),CONCATENATE(Z$2,""*""))&gt;0,countif(filter(Status!$C:$C,Status!$A:$A=$A52),CONCATENATE(Z$2,""*"")),"""")"),5.0)</f>
        <v>5</v>
      </c>
      <c r="AA52" s="23">
        <f>IFERROR(__xludf.DUMMYFUNCTION("if((countif(filter(Status!$C:$C,Status!$A:$A=$A52),CONCATENATE(AA$2,""*""))-AB52)&gt;0,(countif(filter(Status!$C:$C,Status!$A:$A=$A52),CONCATENATE(AA$2,""*""))-AB52),"""")"),1.0)</f>
        <v>1</v>
      </c>
      <c r="AB52" s="23">
        <f>IFERROR(__xludf.DUMMYFUNCTION("if(countif(filter(Status!$C:$C,Status!$A:$A=$A52),CONCATENATE(AB$2,""*""))&gt;0,countif(filter(Status!$C:$C,Status!$A:$A=$A52),CONCATENATE(AB$2,""*"")),"""")"),1.0)</f>
        <v>1</v>
      </c>
      <c r="AC52" s="23">
        <f>IFERROR(__xludf.DUMMYFUNCTION("if(countif(filter(Status!$C:$C,Status!$A:$A=$A52),CONCATENATE(AC$2,""*""))&gt;0,countif(filter(Status!$C:$C,Status!$A:$A=$A52),CONCATENATE(AC$2,""*"")),"""")"),1.0)</f>
        <v>1</v>
      </c>
      <c r="AD52" s="23">
        <f>IFERROR(__xludf.DUMMYFUNCTION("if(countif(filter(Status!$C:$C,Status!$A:$A=$A52),CONCATENATE(AD$2,""*""))&gt;0,countif(filter(Status!$C:$C,Status!$A:$A=$A52),CONCATENATE(AD$2,""*"")),"""")"),1.0)</f>
        <v>1</v>
      </c>
      <c r="AE52" s="23">
        <f>IFERROR(__xludf.DUMMYFUNCTION("if(countif(filter(Status!$C:$C,Status!$A:$A=$A52),CONCATENATE(AE$2,""*""))&gt;0,countif(filter(Status!$C:$C,Status!$A:$A=$A52),CONCATENATE(AE$2,""*"")),"""")"),1.0)</f>
        <v>1</v>
      </c>
      <c r="AF52" s="23" t="str">
        <f>IFERROR(__xludf.DUMMYFUNCTION("if(countif(filter(Status!$C:$C,Status!$A:$A=$A52),CONCATENATE(AF$2,""*""))&gt;0,countif(filter(Status!$C:$C,Status!$A:$A=$A52),CONCATENATE(AF$2,""*"")),"""")"),"")</f>
        <v/>
      </c>
      <c r="AG52" s="23" t="str">
        <f>IFERROR(__xludf.DUMMYFUNCTION("if(countif(filter(Status!$C:$C,Status!$A:$A=$A52),CONCATENATE(AG$2,""*""))&gt;0,countif(filter(Status!$C:$C,Status!$A:$A=$A52),CONCATENATE(AG$2,""*"")),"""")"),"")</f>
        <v/>
      </c>
      <c r="AH52" s="23" t="str">
        <f>IFERROR(__xludf.DUMMYFUNCTION("if(countif(filter(Status!$C:$C,Status!$A:$A=$A52),CONCATENATE(AH$2,""*""))&gt;0,countif(filter(Status!$C:$C,Status!$A:$A=$A52),CONCATENATE(AH$2,""*"")),"""")"),"")</f>
        <v/>
      </c>
      <c r="AI52" s="23" t="str">
        <f>IFERROR(__xludf.DUMMYFUNCTION("if(countif(filter(Status!$C:$C,Status!$A:$A=$A52),CONCATENATE(AI$2,""*""))&gt;0,countif(filter(Status!$C:$C,Status!$A:$A=$A52),CONCATENATE(AI$2,""*"")),"""")"),"")</f>
        <v/>
      </c>
      <c r="AJ52" s="23" t="str">
        <f>IFERROR(__xludf.DUMMYFUNCTION("if(countif(filter(Status!$C:$C,Status!$A:$A=$A52),CONCATENATE(AJ$2,""*""))&gt;0,countif(filter(Status!$C:$C,Status!$A:$A=$A52),CONCATENATE(AJ$2,""*"")),"""")"),"")</f>
        <v/>
      </c>
      <c r="AK52" s="23" t="str">
        <f>IFERROR(__xludf.DUMMYFUNCTION("if(countif(filter(Status!$C:$C,Status!$A:$A=$A52),CONCATENATE(AK$2,""*""))&gt;0,countif(filter(Status!$C:$C,Status!$A:$A=$A52),CONCATENATE(AK$2,""*"")),"""")"),"")</f>
        <v/>
      </c>
      <c r="AL52" s="23" t="str">
        <f>IFERROR(__xludf.DUMMYFUNCTION("if(countif(filter(Status!$C:$C,Status!$A:$A=$A52),CONCATENATE(AL$2,""*""))&gt;0,countif(filter(Status!$C:$C,Status!$A:$A=$A52),CONCATENATE(AL$2,""*"")),"""")"),"")</f>
        <v/>
      </c>
      <c r="AM52" s="23" t="str">
        <f>IFERROR(__xludf.DUMMYFUNCTION("if(countif(filter(Status!$C:$C,Status!$A:$A=$A52),CONCATENATE(AM$2,""*""))&gt;0,countif(filter(Status!$C:$C,Status!$A:$A=$A52),CONCATENATE(AM$2,""*"")),"""")"),"")</f>
        <v/>
      </c>
      <c r="AN52" s="23" t="str">
        <f>IFERROR(__xludf.DUMMYFUNCTION("if(countif(filter(Status!$C:$C,Status!$A:$A=$A52),CONCATENATE(AN$2,""*""))&gt;0,countif(filter(Status!$C:$C,Status!$A:$A=$A52),CONCATENATE(AN$2,""*"")),"""")"),"")</f>
        <v/>
      </c>
      <c r="AO52" s="23" t="str">
        <f>IFERROR(__xludf.DUMMYFUNCTION("if(countif(filter(Status!$C:$C,Status!$A:$A=$A52),CONCATENATE(AO$2,""*""))&gt;0,countif(filter(Status!$C:$C,Status!$A:$A=$A52),CONCATENATE(AO$2,""*"")),"""")"),"")</f>
        <v/>
      </c>
      <c r="AP52" s="23">
        <f>IFERROR(__xludf.DUMMYFUNCTION("counta(iferror(filter(Status!C:C,Status!A:A=A52)))"),10.0)</f>
        <v>10</v>
      </c>
      <c r="AQ52" s="23">
        <f t="shared" si="6"/>
        <v>10</v>
      </c>
    </row>
    <row r="53">
      <c r="A53" s="1" t="s">
        <v>817</v>
      </c>
      <c r="B53" s="21">
        <f>IFERROR(__xludf.DUMMYFUNCTION("max(filter(Status!E:E,Status!A:A=A53))"),43762.0)</f>
        <v>43762</v>
      </c>
      <c r="C53" s="23">
        <f t="shared" si="1"/>
        <v>1</v>
      </c>
      <c r="D53" s="23">
        <f t="shared" si="2"/>
        <v>1</v>
      </c>
      <c r="E53" s="23">
        <f t="shared" si="3"/>
        <v>1</v>
      </c>
      <c r="F53" s="23">
        <f t="shared" si="4"/>
        <v>0.6956521739</v>
      </c>
      <c r="G53" s="25">
        <f t="shared" si="5"/>
        <v>1</v>
      </c>
      <c r="J53" s="23">
        <f>IFERROR(__xludf.DUMMYFUNCTION("COUNTA(iferror(filter(Status!H:H,Status!A:A=A53)))"),13.0)</f>
        <v>13</v>
      </c>
      <c r="K53" s="25">
        <f>IFERROR(__xludf.DUMMYFUNCTION("COUNTA(iferror(filter(Status!H:H,Status!A:A=A53,Status!H:H=TRUE)))"),13.0)</f>
        <v>13</v>
      </c>
      <c r="L53" s="23">
        <f>IFERROR(__xludf.DUMMYFUNCTION("COUNTA(iferror(filter(Status!L:L,Status!A:A=A53)))"),5.0)</f>
        <v>5</v>
      </c>
      <c r="M53" s="25">
        <f>IFERROR(__xludf.DUMMYFUNCTION("COUNTA(iferror(filter(Status!L:L,Status!A:A=A53,Status!L:L=TRUE)))"),5.0)</f>
        <v>5</v>
      </c>
      <c r="N53" s="23">
        <f>IFERROR(__xludf.DUMMYFUNCTION("COUNTA(iferror(filter(Status!N:N,Status!A:A=A53,Status!N:N=TRUE)))"),23.0)</f>
        <v>23</v>
      </c>
      <c r="O53" s="25">
        <f>IFERROR(__xludf.DUMMYFUNCTION("COUNTA(iferror(filter(Status!N:N,Status!A:A=A53,Status!N:N=TRUE)))"),23.0)</f>
        <v>23</v>
      </c>
      <c r="P53" s="23">
        <f>IFERROR(__xludf.DUMMYFUNCTION("COUNTA(iferror(filter(Status!P:P,Status!A:A=A53)))"),23.0)</f>
        <v>23</v>
      </c>
      <c r="Q53" s="25">
        <f>IFERROR(__xludf.DUMMYFUNCTION("COUNTA(iferror(filter(Status!P:P,Status!A:A=A53,Status!P:P=TRUE)))"),16.0)</f>
        <v>16</v>
      </c>
      <c r="R53" s="23">
        <f>IFERROR(__xludf.DUMMYFUNCTION("COUNTA(iferror(filter(Status!R:R,Status!A:A=A53)))"),16.0)</f>
        <v>16</v>
      </c>
      <c r="S53" s="25">
        <f>IFERROR(__xludf.DUMMYFUNCTION("COUNTA(iferror(filter(Status!R:R,Status!A:A=A53,Status!R:R=TRUE)))"),16.0)</f>
        <v>16</v>
      </c>
      <c r="V53" s="23" t="str">
        <f>IFERROR(__xludf.DUMMYFUNCTION("if((countif(filter(Status!$C:$C,Status!$A:$A=$A53),CONCATENATE(V$2,""*""))-W53)&gt;0,(countif(filter(Status!$C:$C,Status!$A:$A=$A53),CONCATENATE(V$2,""*""))-W53),"""")"),"")</f>
        <v/>
      </c>
      <c r="W53" s="23">
        <f>IFERROR(__xludf.DUMMYFUNCTION("if(countif(filter(Status!$C:$C,Status!$A:$A=$A53),CONCATENATE(W$2,""*""))&gt;0,countif(filter(Status!$C:$C,Status!$A:$A=$A53),CONCATENATE(W$2,""*"")),"""")"),6.0)</f>
        <v>6</v>
      </c>
      <c r="X53" s="23">
        <f>IFERROR(__xludf.DUMMYFUNCTION("if(countif(filter(Status!$C:$C,Status!$A:$A=$A53),CONCATENATE(X$2,""*""))&gt;0,countif(filter(Status!$C:$C,Status!$A:$A=$A53),CONCATENATE(X$2,""*"")),"""")"),2.0)</f>
        <v>2</v>
      </c>
      <c r="Y53" s="23" t="str">
        <f>IFERROR(__xludf.DUMMYFUNCTION("if(countif(filter(Status!$C:$C,Status!$A:$A=$A53),CONCATENATE(Y$2,""*""))&gt;0,countif(filter(Status!$C:$C,Status!$A:$A=$A53),CONCATENATE(Y$2,""*"")),"""")"),"")</f>
        <v/>
      </c>
      <c r="Z53" s="23" t="str">
        <f>IFERROR(__xludf.DUMMYFUNCTION("if(countif(filter(Status!$C:$C,Status!$A:$A=$A53),CONCATENATE(Z$2,""*""))&gt;0,countif(filter(Status!$C:$C,Status!$A:$A=$A53),CONCATENATE(Z$2,""*"")),"""")"),"")</f>
        <v/>
      </c>
      <c r="AA53" s="23">
        <f>IFERROR(__xludf.DUMMYFUNCTION("if((countif(filter(Status!$C:$C,Status!$A:$A=$A53),CONCATENATE(AA$2,""*""))-AB53)&gt;0,(countif(filter(Status!$C:$C,Status!$A:$A=$A53),CONCATENATE(AA$2,""*""))-AB53),"""")"),7.0)</f>
        <v>7</v>
      </c>
      <c r="AB53" s="23">
        <f>IFERROR(__xludf.DUMMYFUNCTION("if(countif(filter(Status!$C:$C,Status!$A:$A=$A53),CONCATENATE(AB$2,""*""))&gt;0,countif(filter(Status!$C:$C,Status!$A:$A=$A53),CONCATENATE(AB$2,""*"")),"""")"),7.0)</f>
        <v>7</v>
      </c>
      <c r="AC53" s="23">
        <f>IFERROR(__xludf.DUMMYFUNCTION("if(countif(filter(Status!$C:$C,Status!$A:$A=$A53),CONCATENATE(AC$2,""*""))&gt;0,countif(filter(Status!$C:$C,Status!$A:$A=$A53),CONCATENATE(AC$2,""*"")),"""")"),1.0)</f>
        <v>1</v>
      </c>
      <c r="AD53" s="23" t="str">
        <f>IFERROR(__xludf.DUMMYFUNCTION("if(countif(filter(Status!$C:$C,Status!$A:$A=$A53),CONCATENATE(AD$2,""*""))&gt;0,countif(filter(Status!$C:$C,Status!$A:$A=$A53),CONCATENATE(AD$2,""*"")),"""")"),"")</f>
        <v/>
      </c>
      <c r="AE53" s="23">
        <f>IFERROR(__xludf.DUMMYFUNCTION("if(countif(filter(Status!$C:$C,Status!$A:$A=$A53),CONCATENATE(AE$2,""*""))&gt;0,countif(filter(Status!$C:$C,Status!$A:$A=$A53),CONCATENATE(AE$2,""*"")),"""")"),1.0)</f>
        <v>1</v>
      </c>
      <c r="AF53" s="23" t="str">
        <f>IFERROR(__xludf.DUMMYFUNCTION("if(countif(filter(Status!$C:$C,Status!$A:$A=$A53),CONCATENATE(AF$2,""*""))&gt;0,countif(filter(Status!$C:$C,Status!$A:$A=$A53),CONCATENATE(AF$2,""*"")),"""")"),"")</f>
        <v/>
      </c>
      <c r="AG53" s="23" t="str">
        <f>IFERROR(__xludf.DUMMYFUNCTION("if(countif(filter(Status!$C:$C,Status!$A:$A=$A53),CONCATENATE(AG$2,""*""))&gt;0,countif(filter(Status!$C:$C,Status!$A:$A=$A53),CONCATENATE(AG$2,""*"")),"""")"),"")</f>
        <v/>
      </c>
      <c r="AH53" s="23" t="str">
        <f>IFERROR(__xludf.DUMMYFUNCTION("if(countif(filter(Status!$C:$C,Status!$A:$A=$A53),CONCATENATE(AH$2,""*""))&gt;0,countif(filter(Status!$C:$C,Status!$A:$A=$A53),CONCATENATE(AH$2,""*"")),"""")"),"")</f>
        <v/>
      </c>
      <c r="AI53" s="23" t="str">
        <f>IFERROR(__xludf.DUMMYFUNCTION("if(countif(filter(Status!$C:$C,Status!$A:$A=$A53),CONCATENATE(AI$2,""*""))&gt;0,countif(filter(Status!$C:$C,Status!$A:$A=$A53),CONCATENATE(AI$2,""*"")),"""")"),"")</f>
        <v/>
      </c>
      <c r="AJ53" s="23" t="str">
        <f>IFERROR(__xludf.DUMMYFUNCTION("if(countif(filter(Status!$C:$C,Status!$A:$A=$A53),CONCATENATE(AJ$2,""*""))&gt;0,countif(filter(Status!$C:$C,Status!$A:$A=$A53),CONCATENATE(AJ$2,""*"")),"""")"),"")</f>
        <v/>
      </c>
      <c r="AK53" s="23" t="str">
        <f>IFERROR(__xludf.DUMMYFUNCTION("if(countif(filter(Status!$C:$C,Status!$A:$A=$A53),CONCATENATE(AK$2,""*""))&gt;0,countif(filter(Status!$C:$C,Status!$A:$A=$A53),CONCATENATE(AK$2,""*"")),"""")"),"")</f>
        <v/>
      </c>
      <c r="AL53" s="23" t="str">
        <f>IFERROR(__xludf.DUMMYFUNCTION("if(countif(filter(Status!$C:$C,Status!$A:$A=$A53),CONCATENATE(AL$2,""*""))&gt;0,countif(filter(Status!$C:$C,Status!$A:$A=$A53),CONCATENATE(AL$2,""*"")),"""")"),"")</f>
        <v/>
      </c>
      <c r="AM53" s="23" t="str">
        <f>IFERROR(__xludf.DUMMYFUNCTION("if(countif(filter(Status!$C:$C,Status!$A:$A=$A53),CONCATENATE(AM$2,""*""))&gt;0,countif(filter(Status!$C:$C,Status!$A:$A=$A53),CONCATENATE(AM$2,""*"")),"""")"),"")</f>
        <v/>
      </c>
      <c r="AN53" s="23" t="str">
        <f>IFERROR(__xludf.DUMMYFUNCTION("if(countif(filter(Status!$C:$C,Status!$A:$A=$A53),CONCATENATE(AN$2,""*""))&gt;0,countif(filter(Status!$C:$C,Status!$A:$A=$A53),CONCATENATE(AN$2,""*"")),"""")"),"")</f>
        <v/>
      </c>
      <c r="AO53" s="23" t="str">
        <f>IFERROR(__xludf.DUMMYFUNCTION("if(countif(filter(Status!$C:$C,Status!$A:$A=$A53),CONCATENATE(AO$2,""*""))&gt;0,countif(filter(Status!$C:$C,Status!$A:$A=$A53),CONCATENATE(AO$2,""*"")),"""")"),"")</f>
        <v/>
      </c>
      <c r="AP53" s="23">
        <f>IFERROR(__xludf.DUMMYFUNCTION("counta(iferror(filter(Status!C:C,Status!A:A=A53)))"),24.0)</f>
        <v>24</v>
      </c>
      <c r="AQ53" s="23">
        <f t="shared" si="6"/>
        <v>24</v>
      </c>
    </row>
    <row r="54">
      <c r="A54" s="1" t="s">
        <v>821</v>
      </c>
      <c r="B54" s="21">
        <f>IFERROR(__xludf.DUMMYFUNCTION("max(filter(Status!E:E,Status!A:A=A54))"),43766.0)</f>
        <v>43766</v>
      </c>
      <c r="C54" s="23">
        <f t="shared" si="1"/>
        <v>1</v>
      </c>
      <c r="D54" s="23">
        <f t="shared" si="2"/>
        <v>1</v>
      </c>
      <c r="E54" s="23">
        <f t="shared" si="3"/>
        <v>1</v>
      </c>
      <c r="F54" s="23">
        <f t="shared" si="4"/>
        <v>0.5882352941</v>
      </c>
      <c r="G54" s="25">
        <f t="shared" si="5"/>
        <v>1</v>
      </c>
      <c r="J54" s="23">
        <f>IFERROR(__xludf.DUMMYFUNCTION("COUNTA(iferror(filter(Status!H:H,Status!A:A=A54)))"),11.0)</f>
        <v>11</v>
      </c>
      <c r="K54" s="25">
        <f>IFERROR(__xludf.DUMMYFUNCTION("COUNTA(iferror(filter(Status!H:H,Status!A:A=A54,Status!H:H=TRUE)))"),11.0)</f>
        <v>11</v>
      </c>
      <c r="L54" s="23">
        <f>IFERROR(__xludf.DUMMYFUNCTION("COUNTA(iferror(filter(Status!L:L,Status!A:A=A54)))"),5.0)</f>
        <v>5</v>
      </c>
      <c r="M54" s="25">
        <f>IFERROR(__xludf.DUMMYFUNCTION("COUNTA(iferror(filter(Status!L:L,Status!A:A=A54,Status!L:L=TRUE)))"),5.0)</f>
        <v>5</v>
      </c>
      <c r="N54" s="23">
        <f>IFERROR(__xludf.DUMMYFUNCTION("COUNTA(iferror(filter(Status!N:N,Status!A:A=A54,Status!N:N=TRUE)))"),16.0)</f>
        <v>16</v>
      </c>
      <c r="O54" s="25">
        <f>IFERROR(__xludf.DUMMYFUNCTION("COUNTA(iferror(filter(Status!N:N,Status!A:A=A54,Status!N:N=TRUE)))"),16.0)</f>
        <v>16</v>
      </c>
      <c r="P54" s="23">
        <f>IFERROR(__xludf.DUMMYFUNCTION("COUNTA(iferror(filter(Status!P:P,Status!A:A=A54)))"),17.0)</f>
        <v>17</v>
      </c>
      <c r="Q54" s="25">
        <f>IFERROR(__xludf.DUMMYFUNCTION("COUNTA(iferror(filter(Status!P:P,Status!A:A=A54,Status!P:P=TRUE)))"),10.0)</f>
        <v>10</v>
      </c>
      <c r="R54" s="23">
        <f>IFERROR(__xludf.DUMMYFUNCTION("COUNTA(iferror(filter(Status!R:R,Status!A:A=A54)))"),12.0)</f>
        <v>12</v>
      </c>
      <c r="S54" s="25">
        <f>IFERROR(__xludf.DUMMYFUNCTION("COUNTA(iferror(filter(Status!R:R,Status!A:A=A54,Status!R:R=TRUE)))"),12.0)</f>
        <v>12</v>
      </c>
      <c r="V54" s="23" t="str">
        <f>IFERROR(__xludf.DUMMYFUNCTION("if((countif(filter(Status!$C:$C,Status!$A:$A=$A54),CONCATENATE(V$2,""*""))-W54)&gt;0,(countif(filter(Status!$C:$C,Status!$A:$A=$A54),CONCATENATE(V$2,""*""))-W54),"""")"),"")</f>
        <v/>
      </c>
      <c r="W54" s="23">
        <f>IFERROR(__xludf.DUMMYFUNCTION("if(countif(filter(Status!$C:$C,Status!$A:$A=$A54),CONCATENATE(W$2,""*""))&gt;0,countif(filter(Status!$C:$C,Status!$A:$A=$A54),CONCATENATE(W$2,""*"")),"""")"),6.0)</f>
        <v>6</v>
      </c>
      <c r="X54" s="23" t="str">
        <f>IFERROR(__xludf.DUMMYFUNCTION("if(countif(filter(Status!$C:$C,Status!$A:$A=$A54),CONCATENATE(X$2,""*""))&gt;0,countif(filter(Status!$C:$C,Status!$A:$A=$A54),CONCATENATE(X$2,""*"")),"""")"),"")</f>
        <v/>
      </c>
      <c r="Y54" s="23" t="str">
        <f>IFERROR(__xludf.DUMMYFUNCTION("if(countif(filter(Status!$C:$C,Status!$A:$A=$A54),CONCATENATE(Y$2,""*""))&gt;0,countif(filter(Status!$C:$C,Status!$A:$A=$A54),CONCATENATE(Y$2,""*"")),"""")"),"")</f>
        <v/>
      </c>
      <c r="Z54" s="23" t="str">
        <f>IFERROR(__xludf.DUMMYFUNCTION("if(countif(filter(Status!$C:$C,Status!$A:$A=$A54),CONCATENATE(Z$2,""*""))&gt;0,countif(filter(Status!$C:$C,Status!$A:$A=$A54),CONCATENATE(Z$2,""*"")),"""")"),"")</f>
        <v/>
      </c>
      <c r="AA54" s="23">
        <f>IFERROR(__xludf.DUMMYFUNCTION("if((countif(filter(Status!$C:$C,Status!$A:$A=$A54),CONCATENATE(AA$2,""*""))-AB54)&gt;0,(countif(filter(Status!$C:$C,Status!$A:$A=$A54),CONCATENATE(AA$2,""*""))-AB54),"""")"),5.0)</f>
        <v>5</v>
      </c>
      <c r="AB54" s="23">
        <f>IFERROR(__xludf.DUMMYFUNCTION("if(countif(filter(Status!$C:$C,Status!$A:$A=$A54),CONCATENATE(AB$2,""*""))&gt;0,countif(filter(Status!$C:$C,Status!$A:$A=$A54),CONCATENATE(AB$2,""*"")),"""")"),5.0)</f>
        <v>5</v>
      </c>
      <c r="AC54" s="23">
        <f>IFERROR(__xludf.DUMMYFUNCTION("if(countif(filter(Status!$C:$C,Status!$A:$A=$A54),CONCATENATE(AC$2,""*""))&gt;0,countif(filter(Status!$C:$C,Status!$A:$A=$A54),CONCATENATE(AC$2,""*"")),"""")"),1.0)</f>
        <v>1</v>
      </c>
      <c r="AD54" s="23" t="str">
        <f>IFERROR(__xludf.DUMMYFUNCTION("if(countif(filter(Status!$C:$C,Status!$A:$A=$A54),CONCATENATE(AD$2,""*""))&gt;0,countif(filter(Status!$C:$C,Status!$A:$A=$A54),CONCATENATE(AD$2,""*"")),"""")"),"")</f>
        <v/>
      </c>
      <c r="AE54" s="23">
        <f>IFERROR(__xludf.DUMMYFUNCTION("if(countif(filter(Status!$C:$C,Status!$A:$A=$A54),CONCATENATE(AE$2,""*""))&gt;0,countif(filter(Status!$C:$C,Status!$A:$A=$A54),CONCATENATE(AE$2,""*"")),"""")"),1.0)</f>
        <v>1</v>
      </c>
      <c r="AF54" s="23" t="str">
        <f>IFERROR(__xludf.DUMMYFUNCTION("if(countif(filter(Status!$C:$C,Status!$A:$A=$A54),CONCATENATE(AF$2,""*""))&gt;0,countif(filter(Status!$C:$C,Status!$A:$A=$A54),CONCATENATE(AF$2,""*"")),"""")"),"")</f>
        <v/>
      </c>
      <c r="AG54" s="23" t="str">
        <f>IFERROR(__xludf.DUMMYFUNCTION("if(countif(filter(Status!$C:$C,Status!$A:$A=$A54),CONCATENATE(AG$2,""*""))&gt;0,countif(filter(Status!$C:$C,Status!$A:$A=$A54),CONCATENATE(AG$2,""*"")),"""")"),"")</f>
        <v/>
      </c>
      <c r="AH54" s="23" t="str">
        <f>IFERROR(__xludf.DUMMYFUNCTION("if(countif(filter(Status!$C:$C,Status!$A:$A=$A54),CONCATENATE(AH$2,""*""))&gt;0,countif(filter(Status!$C:$C,Status!$A:$A=$A54),CONCATENATE(AH$2,""*"")),"""")"),"")</f>
        <v/>
      </c>
      <c r="AI54" s="23" t="str">
        <f>IFERROR(__xludf.DUMMYFUNCTION("if(countif(filter(Status!$C:$C,Status!$A:$A=$A54),CONCATENATE(AI$2,""*""))&gt;0,countif(filter(Status!$C:$C,Status!$A:$A=$A54),CONCATENATE(AI$2,""*"")),"""")"),"")</f>
        <v/>
      </c>
      <c r="AJ54" s="23" t="str">
        <f>IFERROR(__xludf.DUMMYFUNCTION("if(countif(filter(Status!$C:$C,Status!$A:$A=$A54),CONCATENATE(AJ$2,""*""))&gt;0,countif(filter(Status!$C:$C,Status!$A:$A=$A54),CONCATENATE(AJ$2,""*"")),"""")"),"")</f>
        <v/>
      </c>
      <c r="AK54" s="23" t="str">
        <f>IFERROR(__xludf.DUMMYFUNCTION("if(countif(filter(Status!$C:$C,Status!$A:$A=$A54),CONCATENATE(AK$2,""*""))&gt;0,countif(filter(Status!$C:$C,Status!$A:$A=$A54),CONCATENATE(AK$2,""*"")),"""")"),"")</f>
        <v/>
      </c>
      <c r="AL54" s="23" t="str">
        <f>IFERROR(__xludf.DUMMYFUNCTION("if(countif(filter(Status!$C:$C,Status!$A:$A=$A54),CONCATENATE(AL$2,""*""))&gt;0,countif(filter(Status!$C:$C,Status!$A:$A=$A54),CONCATENATE(AL$2,""*"")),"""")"),"")</f>
        <v/>
      </c>
      <c r="AM54" s="23" t="str">
        <f>IFERROR(__xludf.DUMMYFUNCTION("if(countif(filter(Status!$C:$C,Status!$A:$A=$A54),CONCATENATE(AM$2,""*""))&gt;0,countif(filter(Status!$C:$C,Status!$A:$A=$A54),CONCATENATE(AM$2,""*"")),"""")"),"")</f>
        <v/>
      </c>
      <c r="AN54" s="23" t="str">
        <f>IFERROR(__xludf.DUMMYFUNCTION("if(countif(filter(Status!$C:$C,Status!$A:$A=$A54),CONCATENATE(AN$2,""*""))&gt;0,countif(filter(Status!$C:$C,Status!$A:$A=$A54),CONCATENATE(AN$2,""*"")),"""")"),"")</f>
        <v/>
      </c>
      <c r="AO54" s="23" t="str">
        <f>IFERROR(__xludf.DUMMYFUNCTION("if(countif(filter(Status!$C:$C,Status!$A:$A=$A54),CONCATENATE(AO$2,""*""))&gt;0,countif(filter(Status!$C:$C,Status!$A:$A=$A54),CONCATENATE(AO$2,""*"")),"""")"),"")</f>
        <v/>
      </c>
      <c r="AP54" s="23">
        <f>IFERROR(__xludf.DUMMYFUNCTION("counta(iferror(filter(Status!C:C,Status!A:A=A54)))"),18.0)</f>
        <v>18</v>
      </c>
      <c r="AQ54" s="23">
        <f t="shared" si="6"/>
        <v>18</v>
      </c>
    </row>
    <row r="55">
      <c r="A55" s="1" t="s">
        <v>825</v>
      </c>
      <c r="B55" s="21">
        <f>IFERROR(__xludf.DUMMYFUNCTION("max(filter(Status!E:E,Status!A:A=A55))"),43767.0)</f>
        <v>43767</v>
      </c>
      <c r="C55" s="23">
        <f t="shared" si="1"/>
        <v>1</v>
      </c>
      <c r="D55" s="23" t="str">
        <f t="shared" si="2"/>
        <v/>
      </c>
      <c r="E55" s="23">
        <f t="shared" si="3"/>
        <v>1</v>
      </c>
      <c r="F55" s="23">
        <f t="shared" si="4"/>
        <v>0.5714285714</v>
      </c>
      <c r="G55" s="25">
        <f t="shared" si="5"/>
        <v>1</v>
      </c>
      <c r="J55" s="23">
        <f>IFERROR(__xludf.DUMMYFUNCTION("COUNTA(iferror(filter(Status!H:H,Status!A:A=A55)))"),3.0)</f>
        <v>3</v>
      </c>
      <c r="K55" s="25">
        <f>IFERROR(__xludf.DUMMYFUNCTION("COUNTA(iferror(filter(Status!H:H,Status!A:A=A55,Status!H:H=TRUE)))"),3.0)</f>
        <v>3</v>
      </c>
      <c r="L55" s="23">
        <f>IFERROR(__xludf.DUMMYFUNCTION("COUNTA(iferror(filter(Status!L:L,Status!A:A=A55)))"),0.0)</f>
        <v>0</v>
      </c>
      <c r="M55" s="25">
        <f>IFERROR(__xludf.DUMMYFUNCTION("COUNTA(iferror(filter(Status!L:L,Status!A:A=A55,Status!L:L=TRUE)))"),0.0)</f>
        <v>0</v>
      </c>
      <c r="N55" s="23">
        <f>IFERROR(__xludf.DUMMYFUNCTION("COUNTA(iferror(filter(Status!N:N,Status!A:A=A55,Status!N:N=TRUE)))"),7.0)</f>
        <v>7</v>
      </c>
      <c r="O55" s="25">
        <f>IFERROR(__xludf.DUMMYFUNCTION("COUNTA(iferror(filter(Status!N:N,Status!A:A=A55,Status!N:N=TRUE)))"),7.0)</f>
        <v>7</v>
      </c>
      <c r="P55" s="23">
        <f>IFERROR(__xludf.DUMMYFUNCTION("COUNTA(iferror(filter(Status!P:P,Status!A:A=A55)))"),7.0)</f>
        <v>7</v>
      </c>
      <c r="Q55" s="25">
        <f>IFERROR(__xludf.DUMMYFUNCTION("COUNTA(iferror(filter(Status!P:P,Status!A:A=A55,Status!P:P=TRUE)))"),4.0)</f>
        <v>4</v>
      </c>
      <c r="R55" s="23">
        <f>IFERROR(__xludf.DUMMYFUNCTION("COUNTA(iferror(filter(Status!R:R,Status!A:A=A55)))"),5.0)</f>
        <v>5</v>
      </c>
      <c r="S55" s="25">
        <f>IFERROR(__xludf.DUMMYFUNCTION("COUNTA(iferror(filter(Status!R:R,Status!A:A=A55,Status!R:R=TRUE)))"),5.0)</f>
        <v>5</v>
      </c>
      <c r="V55" s="23" t="str">
        <f>IFERROR(__xludf.DUMMYFUNCTION("if((countif(filter(Status!$C:$C,Status!$A:$A=$A55),CONCATENATE(V$2,""*""))-W55)&gt;0,(countif(filter(Status!$C:$C,Status!$A:$A=$A55),CONCATENATE(V$2,""*""))-W55),"""")"),"")</f>
        <v/>
      </c>
      <c r="W55" s="23" t="str">
        <f>IFERROR(__xludf.DUMMYFUNCTION("if(countif(filter(Status!$C:$C,Status!$A:$A=$A55),CONCATENATE(W$2,""*""))&gt;0,countif(filter(Status!$C:$C,Status!$A:$A=$A55),CONCATENATE(W$2,""*"")),"""")"),"")</f>
        <v/>
      </c>
      <c r="X55" s="23">
        <f>IFERROR(__xludf.DUMMYFUNCTION("if(countif(filter(Status!$C:$C,Status!$A:$A=$A55),CONCATENATE(X$2,""*""))&gt;0,countif(filter(Status!$C:$C,Status!$A:$A=$A55),CONCATENATE(X$2,""*"")),"""")"),2.0)</f>
        <v>2</v>
      </c>
      <c r="Y55" s="23" t="str">
        <f>IFERROR(__xludf.DUMMYFUNCTION("if(countif(filter(Status!$C:$C,Status!$A:$A=$A55),CONCATENATE(Y$2,""*""))&gt;0,countif(filter(Status!$C:$C,Status!$A:$A=$A55),CONCATENATE(Y$2,""*"")),"""")"),"")</f>
        <v/>
      </c>
      <c r="Z55" s="23" t="str">
        <f>IFERROR(__xludf.DUMMYFUNCTION("if(countif(filter(Status!$C:$C,Status!$A:$A=$A55),CONCATENATE(Z$2,""*""))&gt;0,countif(filter(Status!$C:$C,Status!$A:$A=$A55),CONCATENATE(Z$2,""*"")),"""")"),"")</f>
        <v/>
      </c>
      <c r="AA55" s="23">
        <f>IFERROR(__xludf.DUMMYFUNCTION("if((countif(filter(Status!$C:$C,Status!$A:$A=$A55),CONCATENATE(AA$2,""*""))-AB55)&gt;0,(countif(filter(Status!$C:$C,Status!$A:$A=$A55),CONCATENATE(AA$2,""*""))-AB55),"""")"),2.0)</f>
        <v>2</v>
      </c>
      <c r="AB55" s="23">
        <f>IFERROR(__xludf.DUMMYFUNCTION("if(countif(filter(Status!$C:$C,Status!$A:$A=$A55),CONCATENATE(AB$2,""*""))&gt;0,countif(filter(Status!$C:$C,Status!$A:$A=$A55),CONCATENATE(AB$2,""*"")),"""")"),2.0)</f>
        <v>2</v>
      </c>
      <c r="AC55" s="23">
        <f>IFERROR(__xludf.DUMMYFUNCTION("if(countif(filter(Status!$C:$C,Status!$A:$A=$A55),CONCATENATE(AC$2,""*""))&gt;0,countif(filter(Status!$C:$C,Status!$A:$A=$A55),CONCATENATE(AC$2,""*"")),"""")"),1.0)</f>
        <v>1</v>
      </c>
      <c r="AD55" s="23" t="str">
        <f>IFERROR(__xludf.DUMMYFUNCTION("if(countif(filter(Status!$C:$C,Status!$A:$A=$A55),CONCATENATE(AD$2,""*""))&gt;0,countif(filter(Status!$C:$C,Status!$A:$A=$A55),CONCATENATE(AD$2,""*"")),"""")"),"")</f>
        <v/>
      </c>
      <c r="AE55" s="23">
        <f>IFERROR(__xludf.DUMMYFUNCTION("if(countif(filter(Status!$C:$C,Status!$A:$A=$A55),CONCATENATE(AE$2,""*""))&gt;0,countif(filter(Status!$C:$C,Status!$A:$A=$A55),CONCATENATE(AE$2,""*"")),"""")"),1.0)</f>
        <v>1</v>
      </c>
      <c r="AF55" s="23" t="str">
        <f>IFERROR(__xludf.DUMMYFUNCTION("if(countif(filter(Status!$C:$C,Status!$A:$A=$A55),CONCATENATE(AF$2,""*""))&gt;0,countif(filter(Status!$C:$C,Status!$A:$A=$A55),CONCATENATE(AF$2,""*"")),"""")"),"")</f>
        <v/>
      </c>
      <c r="AG55" s="23" t="str">
        <f>IFERROR(__xludf.DUMMYFUNCTION("if(countif(filter(Status!$C:$C,Status!$A:$A=$A55),CONCATENATE(AG$2,""*""))&gt;0,countif(filter(Status!$C:$C,Status!$A:$A=$A55),CONCATENATE(AG$2,""*"")),"""")"),"")</f>
        <v/>
      </c>
      <c r="AH55" s="23" t="str">
        <f>IFERROR(__xludf.DUMMYFUNCTION("if(countif(filter(Status!$C:$C,Status!$A:$A=$A55),CONCATENATE(AH$2,""*""))&gt;0,countif(filter(Status!$C:$C,Status!$A:$A=$A55),CONCATENATE(AH$2,""*"")),"""")"),"")</f>
        <v/>
      </c>
      <c r="AI55" s="23" t="str">
        <f>IFERROR(__xludf.DUMMYFUNCTION("if(countif(filter(Status!$C:$C,Status!$A:$A=$A55),CONCATENATE(AI$2,""*""))&gt;0,countif(filter(Status!$C:$C,Status!$A:$A=$A55),CONCATENATE(AI$2,""*"")),"""")"),"")</f>
        <v/>
      </c>
      <c r="AJ55" s="23" t="str">
        <f>IFERROR(__xludf.DUMMYFUNCTION("if(countif(filter(Status!$C:$C,Status!$A:$A=$A55),CONCATENATE(AJ$2,""*""))&gt;0,countif(filter(Status!$C:$C,Status!$A:$A=$A55),CONCATENATE(AJ$2,""*"")),"""")"),"")</f>
        <v/>
      </c>
      <c r="AK55" s="23" t="str">
        <f>IFERROR(__xludf.DUMMYFUNCTION("if(countif(filter(Status!$C:$C,Status!$A:$A=$A55),CONCATENATE(AK$2,""*""))&gt;0,countif(filter(Status!$C:$C,Status!$A:$A=$A55),CONCATENATE(AK$2,""*"")),"""")"),"")</f>
        <v/>
      </c>
      <c r="AL55" s="23" t="str">
        <f>IFERROR(__xludf.DUMMYFUNCTION("if(countif(filter(Status!$C:$C,Status!$A:$A=$A55),CONCATENATE(AL$2,""*""))&gt;0,countif(filter(Status!$C:$C,Status!$A:$A=$A55),CONCATENATE(AL$2,""*"")),"""")"),"")</f>
        <v/>
      </c>
      <c r="AM55" s="23" t="str">
        <f>IFERROR(__xludf.DUMMYFUNCTION("if(countif(filter(Status!$C:$C,Status!$A:$A=$A55),CONCATENATE(AM$2,""*""))&gt;0,countif(filter(Status!$C:$C,Status!$A:$A=$A55),CONCATENATE(AM$2,""*"")),"""")"),"")</f>
        <v/>
      </c>
      <c r="AN55" s="23" t="str">
        <f>IFERROR(__xludf.DUMMYFUNCTION("if(countif(filter(Status!$C:$C,Status!$A:$A=$A55),CONCATENATE(AN$2,""*""))&gt;0,countif(filter(Status!$C:$C,Status!$A:$A=$A55),CONCATENATE(AN$2,""*"")),"""")"),"")</f>
        <v/>
      </c>
      <c r="AO55" s="23" t="str">
        <f>IFERROR(__xludf.DUMMYFUNCTION("if(countif(filter(Status!$C:$C,Status!$A:$A=$A55),CONCATENATE(AO$2,""*""))&gt;0,countif(filter(Status!$C:$C,Status!$A:$A=$A55),CONCATENATE(AO$2,""*"")),"""")"),"")</f>
        <v/>
      </c>
      <c r="AP55" s="23">
        <f>IFERROR(__xludf.DUMMYFUNCTION("counta(iferror(filter(Status!C:C,Status!A:A=A55)))"),8.0)</f>
        <v>8</v>
      </c>
      <c r="AQ55" s="23">
        <f t="shared" si="6"/>
        <v>8</v>
      </c>
    </row>
    <row r="56">
      <c r="A56" s="1" t="s">
        <v>828</v>
      </c>
      <c r="B56" s="21">
        <f>IFERROR(__xludf.DUMMYFUNCTION("max(filter(Status!E:E,Status!A:A=A56))"),43769.0)</f>
        <v>43769</v>
      </c>
      <c r="C56" s="23">
        <f t="shared" si="1"/>
        <v>1</v>
      </c>
      <c r="D56" s="23">
        <f t="shared" si="2"/>
        <v>1</v>
      </c>
      <c r="E56" s="23">
        <f t="shared" si="3"/>
        <v>1</v>
      </c>
      <c r="F56" s="23">
        <f t="shared" si="4"/>
        <v>0.6363636364</v>
      </c>
      <c r="G56" s="25">
        <f t="shared" si="5"/>
        <v>1</v>
      </c>
      <c r="J56" s="23">
        <f>IFERROR(__xludf.DUMMYFUNCTION("COUNTA(iferror(filter(Status!H:H,Status!A:A=A56)))"),13.0)</f>
        <v>13</v>
      </c>
      <c r="K56" s="25">
        <f>IFERROR(__xludf.DUMMYFUNCTION("COUNTA(iferror(filter(Status!H:H,Status!A:A=A56,Status!H:H=TRUE)))"),13.0)</f>
        <v>13</v>
      </c>
      <c r="L56" s="23">
        <f>IFERROR(__xludf.DUMMYFUNCTION("COUNTA(iferror(filter(Status!L:L,Status!A:A=A56)))"),5.0)</f>
        <v>5</v>
      </c>
      <c r="M56" s="25">
        <f>IFERROR(__xludf.DUMMYFUNCTION("COUNTA(iferror(filter(Status!L:L,Status!A:A=A56,Status!L:L=TRUE)))"),5.0)</f>
        <v>5</v>
      </c>
      <c r="N56" s="23">
        <f>IFERROR(__xludf.DUMMYFUNCTION("COUNTA(iferror(filter(Status!N:N,Status!A:A=A56,Status!N:N=TRUE)))"),22.0)</f>
        <v>22</v>
      </c>
      <c r="O56" s="25">
        <f>IFERROR(__xludf.DUMMYFUNCTION("COUNTA(iferror(filter(Status!N:N,Status!A:A=A56,Status!N:N=TRUE)))"),22.0)</f>
        <v>22</v>
      </c>
      <c r="P56" s="23">
        <f>IFERROR(__xludf.DUMMYFUNCTION("COUNTA(iferror(filter(Status!P:P,Status!A:A=A56)))"),22.0)</f>
        <v>22</v>
      </c>
      <c r="Q56" s="25">
        <f>IFERROR(__xludf.DUMMYFUNCTION("COUNTA(iferror(filter(Status!P:P,Status!A:A=A56,Status!P:P=TRUE)))"),14.0)</f>
        <v>14</v>
      </c>
      <c r="R56" s="23">
        <f>IFERROR(__xludf.DUMMYFUNCTION("COUNTA(iferror(filter(Status!R:R,Status!A:A=A56)))"),15.0)</f>
        <v>15</v>
      </c>
      <c r="S56" s="25">
        <f>IFERROR(__xludf.DUMMYFUNCTION("COUNTA(iferror(filter(Status!R:R,Status!A:A=A56,Status!R:R=TRUE)))"),15.0)</f>
        <v>15</v>
      </c>
      <c r="V56" s="23" t="str">
        <f>IFERROR(__xludf.DUMMYFUNCTION("if((countif(filter(Status!$C:$C,Status!$A:$A=$A56),CONCATENATE(V$2,""*""))-W56)&gt;0,(countif(filter(Status!$C:$C,Status!$A:$A=$A56),CONCATENATE(V$2,""*""))-W56),"""")"),"")</f>
        <v/>
      </c>
      <c r="W56" s="23">
        <f>IFERROR(__xludf.DUMMYFUNCTION("if(countif(filter(Status!$C:$C,Status!$A:$A=$A56),CONCATENATE(W$2,""*""))&gt;0,countif(filter(Status!$C:$C,Status!$A:$A=$A56),CONCATENATE(W$2,""*"")),"""")"),5.0)</f>
        <v>5</v>
      </c>
      <c r="X56" s="23">
        <f>IFERROR(__xludf.DUMMYFUNCTION("if(countif(filter(Status!$C:$C,Status!$A:$A=$A56),CONCATENATE(X$2,""*""))&gt;0,countif(filter(Status!$C:$C,Status!$A:$A=$A56),CONCATENATE(X$2,""*"")),"""")"),2.0)</f>
        <v>2</v>
      </c>
      <c r="Y56" s="23" t="str">
        <f>IFERROR(__xludf.DUMMYFUNCTION("if(countif(filter(Status!$C:$C,Status!$A:$A=$A56),CONCATENATE(Y$2,""*""))&gt;0,countif(filter(Status!$C:$C,Status!$A:$A=$A56),CONCATENATE(Y$2,""*"")),"""")"),"")</f>
        <v/>
      </c>
      <c r="Z56" s="23" t="str">
        <f>IFERROR(__xludf.DUMMYFUNCTION("if(countif(filter(Status!$C:$C,Status!$A:$A=$A56),CONCATENATE(Z$2,""*""))&gt;0,countif(filter(Status!$C:$C,Status!$A:$A=$A56),CONCATENATE(Z$2,""*"")),"""")"),"")</f>
        <v/>
      </c>
      <c r="AA56" s="23">
        <f>IFERROR(__xludf.DUMMYFUNCTION("if((countif(filter(Status!$C:$C,Status!$A:$A=$A56),CONCATENATE(AA$2,""*""))-AB56)&gt;0,(countif(filter(Status!$C:$C,Status!$A:$A=$A56),CONCATENATE(AA$2,""*""))-AB56),"""")"),7.0)</f>
        <v>7</v>
      </c>
      <c r="AB56" s="23">
        <f>IFERROR(__xludf.DUMMYFUNCTION("if(countif(filter(Status!$C:$C,Status!$A:$A=$A56),CONCATENATE(AB$2,""*""))&gt;0,countif(filter(Status!$C:$C,Status!$A:$A=$A56),CONCATENATE(AB$2,""*"")),"""")"),7.0)</f>
        <v>7</v>
      </c>
      <c r="AC56" s="23">
        <f>IFERROR(__xludf.DUMMYFUNCTION("if(countif(filter(Status!$C:$C,Status!$A:$A=$A56),CONCATENATE(AC$2,""*""))&gt;0,countif(filter(Status!$C:$C,Status!$A:$A=$A56),CONCATENATE(AC$2,""*"")),"""")"),1.0)</f>
        <v>1</v>
      </c>
      <c r="AD56" s="23" t="str">
        <f>IFERROR(__xludf.DUMMYFUNCTION("if(countif(filter(Status!$C:$C,Status!$A:$A=$A56),CONCATENATE(AD$2,""*""))&gt;0,countif(filter(Status!$C:$C,Status!$A:$A=$A56),CONCATENATE(AD$2,""*"")),"""")"),"")</f>
        <v/>
      </c>
      <c r="AE56" s="23">
        <f>IFERROR(__xludf.DUMMYFUNCTION("if(countif(filter(Status!$C:$C,Status!$A:$A=$A56),CONCATENATE(AE$2,""*""))&gt;0,countif(filter(Status!$C:$C,Status!$A:$A=$A56),CONCATENATE(AE$2,""*"")),"""")"),1.0)</f>
        <v>1</v>
      </c>
      <c r="AF56" s="23" t="str">
        <f>IFERROR(__xludf.DUMMYFUNCTION("if(countif(filter(Status!$C:$C,Status!$A:$A=$A56),CONCATENATE(AF$2,""*""))&gt;0,countif(filter(Status!$C:$C,Status!$A:$A=$A56),CONCATENATE(AF$2,""*"")),"""")"),"")</f>
        <v/>
      </c>
      <c r="AG56" s="23" t="str">
        <f>IFERROR(__xludf.DUMMYFUNCTION("if(countif(filter(Status!$C:$C,Status!$A:$A=$A56),CONCATENATE(AG$2,""*""))&gt;0,countif(filter(Status!$C:$C,Status!$A:$A=$A56),CONCATENATE(AG$2,""*"")),"""")"),"")</f>
        <v/>
      </c>
      <c r="AH56" s="23" t="str">
        <f>IFERROR(__xludf.DUMMYFUNCTION("if(countif(filter(Status!$C:$C,Status!$A:$A=$A56),CONCATENATE(AH$2,""*""))&gt;0,countif(filter(Status!$C:$C,Status!$A:$A=$A56),CONCATENATE(AH$2,""*"")),"""")"),"")</f>
        <v/>
      </c>
      <c r="AI56" s="23" t="str">
        <f>IFERROR(__xludf.DUMMYFUNCTION("if(countif(filter(Status!$C:$C,Status!$A:$A=$A56),CONCATENATE(AI$2,""*""))&gt;0,countif(filter(Status!$C:$C,Status!$A:$A=$A56),CONCATENATE(AI$2,""*"")),"""")"),"")</f>
        <v/>
      </c>
      <c r="AJ56" s="23" t="str">
        <f>IFERROR(__xludf.DUMMYFUNCTION("if(countif(filter(Status!$C:$C,Status!$A:$A=$A56),CONCATENATE(AJ$2,""*""))&gt;0,countif(filter(Status!$C:$C,Status!$A:$A=$A56),CONCATENATE(AJ$2,""*"")),"""")"),"")</f>
        <v/>
      </c>
      <c r="AK56" s="23" t="str">
        <f>IFERROR(__xludf.DUMMYFUNCTION("if(countif(filter(Status!$C:$C,Status!$A:$A=$A56),CONCATENATE(AK$2,""*""))&gt;0,countif(filter(Status!$C:$C,Status!$A:$A=$A56),CONCATENATE(AK$2,""*"")),"""")"),"")</f>
        <v/>
      </c>
      <c r="AL56" s="23" t="str">
        <f>IFERROR(__xludf.DUMMYFUNCTION("if(countif(filter(Status!$C:$C,Status!$A:$A=$A56),CONCATENATE(AL$2,""*""))&gt;0,countif(filter(Status!$C:$C,Status!$A:$A=$A56),CONCATENATE(AL$2,""*"")),"""")"),"")</f>
        <v/>
      </c>
      <c r="AM56" s="23" t="str">
        <f>IFERROR(__xludf.DUMMYFUNCTION("if(countif(filter(Status!$C:$C,Status!$A:$A=$A56),CONCATENATE(AM$2,""*""))&gt;0,countif(filter(Status!$C:$C,Status!$A:$A=$A56),CONCATENATE(AM$2,""*"")),"""")"),"")</f>
        <v/>
      </c>
      <c r="AN56" s="23" t="str">
        <f>IFERROR(__xludf.DUMMYFUNCTION("if(countif(filter(Status!$C:$C,Status!$A:$A=$A56),CONCATENATE(AN$2,""*""))&gt;0,countif(filter(Status!$C:$C,Status!$A:$A=$A56),CONCATENATE(AN$2,""*"")),"""")"),"")</f>
        <v/>
      </c>
      <c r="AO56" s="23" t="str">
        <f>IFERROR(__xludf.DUMMYFUNCTION("if(countif(filter(Status!$C:$C,Status!$A:$A=$A56),CONCATENATE(AO$2,""*""))&gt;0,countif(filter(Status!$C:$C,Status!$A:$A=$A56),CONCATENATE(AO$2,""*"")),"""")"),"")</f>
        <v/>
      </c>
      <c r="AP56" s="23">
        <f>IFERROR(__xludf.DUMMYFUNCTION("counta(iferror(filter(Status!C:C,Status!A:A=A56)))"),23.0)</f>
        <v>23</v>
      </c>
      <c r="AQ56" s="23">
        <f t="shared" si="6"/>
        <v>23</v>
      </c>
    </row>
    <row r="57">
      <c r="A57" s="1" t="s">
        <v>832</v>
      </c>
      <c r="B57" s="21">
        <f>IFERROR(__xludf.DUMMYFUNCTION("max(filter(Status!E:E,Status!A:A=A57))"),43770.0)</f>
        <v>43770</v>
      </c>
      <c r="C57" s="23">
        <f t="shared" si="1"/>
        <v>1</v>
      </c>
      <c r="D57" s="23">
        <f t="shared" si="2"/>
        <v>1</v>
      </c>
      <c r="E57" s="23">
        <f t="shared" si="3"/>
        <v>1</v>
      </c>
      <c r="F57" s="23">
        <f t="shared" si="4"/>
        <v>0.7857142857</v>
      </c>
      <c r="G57" s="25">
        <f t="shared" si="5"/>
        <v>1</v>
      </c>
      <c r="J57" s="23">
        <f>IFERROR(__xludf.DUMMYFUNCTION("COUNTA(iferror(filter(Status!H:H,Status!A:A=A57)))"),10.0)</f>
        <v>10</v>
      </c>
      <c r="K57" s="25">
        <f>IFERROR(__xludf.DUMMYFUNCTION("COUNTA(iferror(filter(Status!H:H,Status!A:A=A57,Status!H:H=TRUE)))"),10.0)</f>
        <v>10</v>
      </c>
      <c r="L57" s="23">
        <f>IFERROR(__xludf.DUMMYFUNCTION("COUNTA(iferror(filter(Status!L:L,Status!A:A=A57)))"),6.0)</f>
        <v>6</v>
      </c>
      <c r="M57" s="25">
        <f>IFERROR(__xludf.DUMMYFUNCTION("COUNTA(iferror(filter(Status!L:L,Status!A:A=A57,Status!L:L=TRUE)))"),6.0)</f>
        <v>6</v>
      </c>
      <c r="N57" s="23">
        <f>IFERROR(__xludf.DUMMYFUNCTION("COUNTA(iferror(filter(Status!N:N,Status!A:A=A57,Status!N:N=TRUE)))"),14.0)</f>
        <v>14</v>
      </c>
      <c r="O57" s="25">
        <f>IFERROR(__xludf.DUMMYFUNCTION("COUNTA(iferror(filter(Status!N:N,Status!A:A=A57,Status!N:N=TRUE)))"),14.0)</f>
        <v>14</v>
      </c>
      <c r="P57" s="23">
        <f>IFERROR(__xludf.DUMMYFUNCTION("COUNTA(iferror(filter(Status!P:P,Status!A:A=A57)))"),14.0)</f>
        <v>14</v>
      </c>
      <c r="Q57" s="25">
        <f>IFERROR(__xludf.DUMMYFUNCTION("COUNTA(iferror(filter(Status!P:P,Status!A:A=A57,Status!P:P=TRUE)))"),11.0)</f>
        <v>11</v>
      </c>
      <c r="R57" s="23">
        <f>IFERROR(__xludf.DUMMYFUNCTION("COUNTA(iferror(filter(Status!R:R,Status!A:A=A57)))"),6.0)</f>
        <v>6</v>
      </c>
      <c r="S57" s="25">
        <f>IFERROR(__xludf.DUMMYFUNCTION("COUNTA(iferror(filter(Status!R:R,Status!A:A=A57,Status!R:R=TRUE)))"),6.0)</f>
        <v>6</v>
      </c>
      <c r="V57" s="23" t="str">
        <f>IFERROR(__xludf.DUMMYFUNCTION("if((countif(filter(Status!$C:$C,Status!$A:$A=$A57),CONCATENATE(V$2,""*""))-W57)&gt;0,(countif(filter(Status!$C:$C,Status!$A:$A=$A57),CONCATENATE(V$2,""*""))-W57),"""")"),"")</f>
        <v/>
      </c>
      <c r="W57" s="23">
        <f>IFERROR(__xludf.DUMMYFUNCTION("if(countif(filter(Status!$C:$C,Status!$A:$A=$A57),CONCATENATE(W$2,""*""))&gt;0,countif(filter(Status!$C:$C,Status!$A:$A=$A57),CONCATENATE(W$2,""*"")),"""")"),2.0)</f>
        <v>2</v>
      </c>
      <c r="X57" s="23" t="str">
        <f>IFERROR(__xludf.DUMMYFUNCTION("if(countif(filter(Status!$C:$C,Status!$A:$A=$A57),CONCATENATE(X$2,""*""))&gt;0,countif(filter(Status!$C:$C,Status!$A:$A=$A57),CONCATENATE(X$2,""*"")),"""")"),"")</f>
        <v/>
      </c>
      <c r="Y57" s="23">
        <f>IFERROR(__xludf.DUMMYFUNCTION("if(countif(filter(Status!$C:$C,Status!$A:$A=$A57),CONCATENATE(Y$2,""*""))&gt;0,countif(filter(Status!$C:$C,Status!$A:$A=$A57),CONCATENATE(Y$2,""*"")),"""")"),4.0)</f>
        <v>4</v>
      </c>
      <c r="Z57" s="23" t="str">
        <f>IFERROR(__xludf.DUMMYFUNCTION("if(countif(filter(Status!$C:$C,Status!$A:$A=$A57),CONCATENATE(Z$2,""*""))&gt;0,countif(filter(Status!$C:$C,Status!$A:$A=$A57),CONCATENATE(Z$2,""*"")),"""")"),"")</f>
        <v/>
      </c>
      <c r="AA57" s="23">
        <f>IFERROR(__xludf.DUMMYFUNCTION("if((countif(filter(Status!$C:$C,Status!$A:$A=$A57),CONCATENATE(AA$2,""*""))-AB57)&gt;0,(countif(filter(Status!$C:$C,Status!$A:$A=$A57),CONCATENATE(AA$2,""*""))-AB57),"""")"),3.0)</f>
        <v>3</v>
      </c>
      <c r="AB57" s="23">
        <f>IFERROR(__xludf.DUMMYFUNCTION("if(countif(filter(Status!$C:$C,Status!$A:$A=$A57),CONCATENATE(AB$2,""*""))&gt;0,countif(filter(Status!$C:$C,Status!$A:$A=$A57),CONCATENATE(AB$2,""*"")),"""")"),3.0)</f>
        <v>3</v>
      </c>
      <c r="AC57" s="23">
        <f>IFERROR(__xludf.DUMMYFUNCTION("if(countif(filter(Status!$C:$C,Status!$A:$A=$A57),CONCATENATE(AC$2,""*""))&gt;0,countif(filter(Status!$C:$C,Status!$A:$A=$A57),CONCATENATE(AC$2,""*"")),"""")"),1.0)</f>
        <v>1</v>
      </c>
      <c r="AD57" s="23">
        <f>IFERROR(__xludf.DUMMYFUNCTION("if(countif(filter(Status!$C:$C,Status!$A:$A=$A57),CONCATENATE(AD$2,""*""))&gt;0,countif(filter(Status!$C:$C,Status!$A:$A=$A57),CONCATENATE(AD$2,""*"")),"""")"),1.0)</f>
        <v>1</v>
      </c>
      <c r="AE57" s="23">
        <f>IFERROR(__xludf.DUMMYFUNCTION("if(countif(filter(Status!$C:$C,Status!$A:$A=$A57),CONCATENATE(AE$2,""*""))&gt;0,countif(filter(Status!$C:$C,Status!$A:$A=$A57),CONCATENATE(AE$2,""*"")),"""")"),1.0)</f>
        <v>1</v>
      </c>
      <c r="AF57" s="23" t="str">
        <f>IFERROR(__xludf.DUMMYFUNCTION("if(countif(filter(Status!$C:$C,Status!$A:$A=$A57),CONCATENATE(AF$2,""*""))&gt;0,countif(filter(Status!$C:$C,Status!$A:$A=$A57),CONCATENATE(AF$2,""*"")),"""")"),"")</f>
        <v/>
      </c>
      <c r="AG57" s="23" t="str">
        <f>IFERROR(__xludf.DUMMYFUNCTION("if(countif(filter(Status!$C:$C,Status!$A:$A=$A57),CONCATENATE(AG$2,""*""))&gt;0,countif(filter(Status!$C:$C,Status!$A:$A=$A57),CONCATENATE(AG$2,""*"")),"""")"),"")</f>
        <v/>
      </c>
      <c r="AH57" s="23" t="str">
        <f>IFERROR(__xludf.DUMMYFUNCTION("if(countif(filter(Status!$C:$C,Status!$A:$A=$A57),CONCATENATE(AH$2,""*""))&gt;0,countif(filter(Status!$C:$C,Status!$A:$A=$A57),CONCATENATE(AH$2,""*"")),"""")"),"")</f>
        <v/>
      </c>
      <c r="AI57" s="23" t="str">
        <f>IFERROR(__xludf.DUMMYFUNCTION("if(countif(filter(Status!$C:$C,Status!$A:$A=$A57),CONCATENATE(AI$2,""*""))&gt;0,countif(filter(Status!$C:$C,Status!$A:$A=$A57),CONCATENATE(AI$2,""*"")),"""")"),"")</f>
        <v/>
      </c>
      <c r="AJ57" s="23" t="str">
        <f>IFERROR(__xludf.DUMMYFUNCTION("if(countif(filter(Status!$C:$C,Status!$A:$A=$A57),CONCATENATE(AJ$2,""*""))&gt;0,countif(filter(Status!$C:$C,Status!$A:$A=$A57),CONCATENATE(AJ$2,""*"")),"""")"),"")</f>
        <v/>
      </c>
      <c r="AK57" s="23" t="str">
        <f>IFERROR(__xludf.DUMMYFUNCTION("if(countif(filter(Status!$C:$C,Status!$A:$A=$A57),CONCATENATE(AK$2,""*""))&gt;0,countif(filter(Status!$C:$C,Status!$A:$A=$A57),CONCATENATE(AK$2,""*"")),"""")"),"")</f>
        <v/>
      </c>
      <c r="AL57" s="23" t="str">
        <f>IFERROR(__xludf.DUMMYFUNCTION("if(countif(filter(Status!$C:$C,Status!$A:$A=$A57),CONCATENATE(AL$2,""*""))&gt;0,countif(filter(Status!$C:$C,Status!$A:$A=$A57),CONCATENATE(AL$2,""*"")),"""")"),"")</f>
        <v/>
      </c>
      <c r="AM57" s="23" t="str">
        <f>IFERROR(__xludf.DUMMYFUNCTION("if(countif(filter(Status!$C:$C,Status!$A:$A=$A57),CONCATENATE(AM$2,""*""))&gt;0,countif(filter(Status!$C:$C,Status!$A:$A=$A57),CONCATENATE(AM$2,""*"")),"""")"),"")</f>
        <v/>
      </c>
      <c r="AN57" s="23" t="str">
        <f>IFERROR(__xludf.DUMMYFUNCTION("if(countif(filter(Status!$C:$C,Status!$A:$A=$A57),CONCATENATE(AN$2,""*""))&gt;0,countif(filter(Status!$C:$C,Status!$A:$A=$A57),CONCATENATE(AN$2,""*"")),"""")"),"")</f>
        <v/>
      </c>
      <c r="AO57" s="23" t="str">
        <f>IFERROR(__xludf.DUMMYFUNCTION("if(countif(filter(Status!$C:$C,Status!$A:$A=$A57),CONCATENATE(AO$2,""*""))&gt;0,countif(filter(Status!$C:$C,Status!$A:$A=$A57),CONCATENATE(AO$2,""*"")),"""")"),"")</f>
        <v/>
      </c>
      <c r="AP57" s="23">
        <f>IFERROR(__xludf.DUMMYFUNCTION("counta(iferror(filter(Status!C:C,Status!A:A=A57)))"),15.0)</f>
        <v>15</v>
      </c>
      <c r="AQ57" s="23">
        <f t="shared" si="6"/>
        <v>15</v>
      </c>
    </row>
    <row r="58">
      <c r="A58" s="1" t="s">
        <v>837</v>
      </c>
      <c r="B58" s="21">
        <f>IFERROR(__xludf.DUMMYFUNCTION("max(filter(Status!E:E,Status!A:A=A58))"),43773.0)</f>
        <v>43773</v>
      </c>
      <c r="C58" s="23">
        <f t="shared" si="1"/>
        <v>1</v>
      </c>
      <c r="D58" s="23">
        <f t="shared" si="2"/>
        <v>1</v>
      </c>
      <c r="E58" s="23">
        <f t="shared" si="3"/>
        <v>1</v>
      </c>
      <c r="F58" s="23">
        <f t="shared" si="4"/>
        <v>0.6470588235</v>
      </c>
      <c r="G58" s="25">
        <f t="shared" si="5"/>
        <v>1</v>
      </c>
      <c r="J58" s="23">
        <f>IFERROR(__xludf.DUMMYFUNCTION("COUNTA(iferror(filter(Status!H:H,Status!A:A=A58)))"),11.0)</f>
        <v>11</v>
      </c>
      <c r="K58" s="25">
        <f>IFERROR(__xludf.DUMMYFUNCTION("COUNTA(iferror(filter(Status!H:H,Status!A:A=A58,Status!H:H=TRUE)))"),11.0)</f>
        <v>11</v>
      </c>
      <c r="L58" s="23">
        <f>IFERROR(__xludf.DUMMYFUNCTION("COUNTA(iferror(filter(Status!L:L,Status!A:A=A58)))"),5.0)</f>
        <v>5</v>
      </c>
      <c r="M58" s="25">
        <f>IFERROR(__xludf.DUMMYFUNCTION("COUNTA(iferror(filter(Status!L:L,Status!A:A=A58,Status!L:L=TRUE)))"),5.0)</f>
        <v>5</v>
      </c>
      <c r="N58" s="23">
        <f>IFERROR(__xludf.DUMMYFUNCTION("COUNTA(iferror(filter(Status!N:N,Status!A:A=A58,Status!N:N=TRUE)))"),13.0)</f>
        <v>13</v>
      </c>
      <c r="O58" s="25">
        <f>IFERROR(__xludf.DUMMYFUNCTION("COUNTA(iferror(filter(Status!N:N,Status!A:A=A58,Status!N:N=TRUE)))"),13.0)</f>
        <v>13</v>
      </c>
      <c r="P58" s="23">
        <f>IFERROR(__xludf.DUMMYFUNCTION("COUNTA(iferror(filter(Status!P:P,Status!A:A=A58)))"),17.0)</f>
        <v>17</v>
      </c>
      <c r="Q58" s="25">
        <f>IFERROR(__xludf.DUMMYFUNCTION("COUNTA(iferror(filter(Status!P:P,Status!A:A=A58,Status!P:P=TRUE)))"),11.0)</f>
        <v>11</v>
      </c>
      <c r="R58" s="23">
        <f>IFERROR(__xludf.DUMMYFUNCTION("COUNTA(iferror(filter(Status!R:R,Status!A:A=A58)))"),11.0)</f>
        <v>11</v>
      </c>
      <c r="S58" s="25">
        <f>IFERROR(__xludf.DUMMYFUNCTION("COUNTA(iferror(filter(Status!R:R,Status!A:A=A58,Status!R:R=TRUE)))"),11.0)</f>
        <v>11</v>
      </c>
      <c r="V58" s="23" t="str">
        <f>IFERROR(__xludf.DUMMYFUNCTION("if((countif(filter(Status!$C:$C,Status!$A:$A=$A58),CONCATENATE(V$2,""*""))-W58)&gt;0,(countif(filter(Status!$C:$C,Status!$A:$A=$A58),CONCATENATE(V$2,""*""))-W58),"""")"),"")</f>
        <v/>
      </c>
      <c r="W58" s="23">
        <f>IFERROR(__xludf.DUMMYFUNCTION("if(countif(filter(Status!$C:$C,Status!$A:$A=$A58),CONCATENATE(W$2,""*""))&gt;0,countif(filter(Status!$C:$C,Status!$A:$A=$A58),CONCATENATE(W$2,""*"")),"""")"),5.0)</f>
        <v>5</v>
      </c>
      <c r="X58" s="23" t="str">
        <f>IFERROR(__xludf.DUMMYFUNCTION("if(countif(filter(Status!$C:$C,Status!$A:$A=$A58),CONCATENATE(X$2,""*""))&gt;0,countif(filter(Status!$C:$C,Status!$A:$A=$A58),CONCATENATE(X$2,""*"")),"""")"),"")</f>
        <v/>
      </c>
      <c r="Y58" s="23" t="str">
        <f>IFERROR(__xludf.DUMMYFUNCTION("if(countif(filter(Status!$C:$C,Status!$A:$A=$A58),CONCATENATE(Y$2,""*""))&gt;0,countif(filter(Status!$C:$C,Status!$A:$A=$A58),CONCATENATE(Y$2,""*"")),"""")"),"")</f>
        <v/>
      </c>
      <c r="Z58" s="23" t="str">
        <f>IFERROR(__xludf.DUMMYFUNCTION("if(countif(filter(Status!$C:$C,Status!$A:$A=$A58),CONCATENATE(Z$2,""*""))&gt;0,countif(filter(Status!$C:$C,Status!$A:$A=$A58),CONCATENATE(Z$2,""*"")),"""")"),"")</f>
        <v/>
      </c>
      <c r="AA58" s="23">
        <f>IFERROR(__xludf.DUMMYFUNCTION("if((countif(filter(Status!$C:$C,Status!$A:$A=$A58),CONCATENATE(AA$2,""*""))-AB58)&gt;0,(countif(filter(Status!$C:$C,Status!$A:$A=$A58),CONCATENATE(AA$2,""*""))-AB58),"""")"),5.0)</f>
        <v>5</v>
      </c>
      <c r="AB58" s="23">
        <f>IFERROR(__xludf.DUMMYFUNCTION("if(countif(filter(Status!$C:$C,Status!$A:$A=$A58),CONCATENATE(AB$2,""*""))&gt;0,countif(filter(Status!$C:$C,Status!$A:$A=$A58),CONCATENATE(AB$2,""*"")),"""")"),5.0)</f>
        <v>5</v>
      </c>
      <c r="AC58" s="23">
        <f>IFERROR(__xludf.DUMMYFUNCTION("if(countif(filter(Status!$C:$C,Status!$A:$A=$A58),CONCATENATE(AC$2,""*""))&gt;0,countif(filter(Status!$C:$C,Status!$A:$A=$A58),CONCATENATE(AC$2,""*"")),"""")"),1.0)</f>
        <v>1</v>
      </c>
      <c r="AD58" s="23">
        <f>IFERROR(__xludf.DUMMYFUNCTION("if(countif(filter(Status!$C:$C,Status!$A:$A=$A58),CONCATENATE(AD$2,""*""))&gt;0,countif(filter(Status!$C:$C,Status!$A:$A=$A58),CONCATENATE(AD$2,""*"")),"""")"),1.0)</f>
        <v>1</v>
      </c>
      <c r="AE58" s="23">
        <f>IFERROR(__xludf.DUMMYFUNCTION("if(countif(filter(Status!$C:$C,Status!$A:$A=$A58),CONCATENATE(AE$2,""*""))&gt;0,countif(filter(Status!$C:$C,Status!$A:$A=$A58),CONCATENATE(AE$2,""*"")),"""")"),1.0)</f>
        <v>1</v>
      </c>
      <c r="AF58" s="23" t="str">
        <f>IFERROR(__xludf.DUMMYFUNCTION("if(countif(filter(Status!$C:$C,Status!$A:$A=$A58),CONCATENATE(AF$2,""*""))&gt;0,countif(filter(Status!$C:$C,Status!$A:$A=$A58),CONCATENATE(AF$2,""*"")),"""")"),"")</f>
        <v/>
      </c>
      <c r="AG58" s="23" t="str">
        <f>IFERROR(__xludf.DUMMYFUNCTION("if(countif(filter(Status!$C:$C,Status!$A:$A=$A58),CONCATENATE(AG$2,""*""))&gt;0,countif(filter(Status!$C:$C,Status!$A:$A=$A58),CONCATENATE(AG$2,""*"")),"""")"),"")</f>
        <v/>
      </c>
      <c r="AH58" s="23" t="str">
        <f>IFERROR(__xludf.DUMMYFUNCTION("if(countif(filter(Status!$C:$C,Status!$A:$A=$A58),CONCATENATE(AH$2,""*""))&gt;0,countif(filter(Status!$C:$C,Status!$A:$A=$A58),CONCATENATE(AH$2,""*"")),"""")"),"")</f>
        <v/>
      </c>
      <c r="AI58" s="23" t="str">
        <f>IFERROR(__xludf.DUMMYFUNCTION("if(countif(filter(Status!$C:$C,Status!$A:$A=$A58),CONCATENATE(AI$2,""*""))&gt;0,countif(filter(Status!$C:$C,Status!$A:$A=$A58),CONCATENATE(AI$2,""*"")),"""")"),"")</f>
        <v/>
      </c>
      <c r="AJ58" s="23" t="str">
        <f>IFERROR(__xludf.DUMMYFUNCTION("if(countif(filter(Status!$C:$C,Status!$A:$A=$A58),CONCATENATE(AJ$2,""*""))&gt;0,countif(filter(Status!$C:$C,Status!$A:$A=$A58),CONCATENATE(AJ$2,""*"")),"""")"),"")</f>
        <v/>
      </c>
      <c r="AK58" s="23" t="str">
        <f>IFERROR(__xludf.DUMMYFUNCTION("if(countif(filter(Status!$C:$C,Status!$A:$A=$A58),CONCATENATE(AK$2,""*""))&gt;0,countif(filter(Status!$C:$C,Status!$A:$A=$A58),CONCATENATE(AK$2,""*"")),"""")"),"")</f>
        <v/>
      </c>
      <c r="AL58" s="23" t="str">
        <f>IFERROR(__xludf.DUMMYFUNCTION("if(countif(filter(Status!$C:$C,Status!$A:$A=$A58),CONCATENATE(AL$2,""*""))&gt;0,countif(filter(Status!$C:$C,Status!$A:$A=$A58),CONCATENATE(AL$2,""*"")),"""")"),"")</f>
        <v/>
      </c>
      <c r="AM58" s="23" t="str">
        <f>IFERROR(__xludf.DUMMYFUNCTION("if(countif(filter(Status!$C:$C,Status!$A:$A=$A58),CONCATENATE(AM$2,""*""))&gt;0,countif(filter(Status!$C:$C,Status!$A:$A=$A58),CONCATENATE(AM$2,""*"")),"""")"),"")</f>
        <v/>
      </c>
      <c r="AN58" s="23" t="str">
        <f>IFERROR(__xludf.DUMMYFUNCTION("if(countif(filter(Status!$C:$C,Status!$A:$A=$A58),CONCATENATE(AN$2,""*""))&gt;0,countif(filter(Status!$C:$C,Status!$A:$A=$A58),CONCATENATE(AN$2,""*"")),"""")"),"")</f>
        <v/>
      </c>
      <c r="AO58" s="23" t="str">
        <f>IFERROR(__xludf.DUMMYFUNCTION("if(countif(filter(Status!$C:$C,Status!$A:$A=$A58),CONCATENATE(AO$2,""*""))&gt;0,countif(filter(Status!$C:$C,Status!$A:$A=$A58),CONCATENATE(AO$2,""*"")),"""")"),"")</f>
        <v/>
      </c>
      <c r="AP58" s="23">
        <f>IFERROR(__xludf.DUMMYFUNCTION("counta(iferror(filter(Status!C:C,Status!A:A=A58)))"),18.0)</f>
        <v>18</v>
      </c>
      <c r="AQ58" s="23">
        <f t="shared" si="6"/>
        <v>18</v>
      </c>
    </row>
    <row r="59">
      <c r="A59" s="1" t="s">
        <v>841</v>
      </c>
      <c r="B59" s="21">
        <f>IFERROR(__xludf.DUMMYFUNCTION("max(filter(Status!E:E,Status!A:A=A59))"),43774.0)</f>
        <v>43774</v>
      </c>
      <c r="C59" s="23">
        <f t="shared" si="1"/>
        <v>1</v>
      </c>
      <c r="D59" s="23">
        <f t="shared" si="2"/>
        <v>1</v>
      </c>
      <c r="E59" s="23">
        <f t="shared" si="3"/>
        <v>1</v>
      </c>
      <c r="F59" s="23">
        <f t="shared" si="4"/>
        <v>0.6153846154</v>
      </c>
      <c r="G59" s="25">
        <f t="shared" si="5"/>
        <v>1</v>
      </c>
      <c r="J59" s="23">
        <f>IFERROR(__xludf.DUMMYFUNCTION("COUNTA(iferror(filter(Status!H:H,Status!A:A=A59)))"),7.0)</f>
        <v>7</v>
      </c>
      <c r="K59" s="25">
        <f>IFERROR(__xludf.DUMMYFUNCTION("COUNTA(iferror(filter(Status!H:H,Status!A:A=A59,Status!H:H=TRUE)))"),7.0)</f>
        <v>7</v>
      </c>
      <c r="L59" s="23">
        <f>IFERROR(__xludf.DUMMYFUNCTION("COUNTA(iferror(filter(Status!L:L,Status!A:A=A59)))"),2.0)</f>
        <v>2</v>
      </c>
      <c r="M59" s="25">
        <f>IFERROR(__xludf.DUMMYFUNCTION("COUNTA(iferror(filter(Status!L:L,Status!A:A=A59,Status!L:L=TRUE)))"),2.0)</f>
        <v>2</v>
      </c>
      <c r="N59" s="23">
        <f>IFERROR(__xludf.DUMMYFUNCTION("COUNTA(iferror(filter(Status!N:N,Status!A:A=A59,Status!N:N=TRUE)))"),9.0)</f>
        <v>9</v>
      </c>
      <c r="O59" s="25">
        <f>IFERROR(__xludf.DUMMYFUNCTION("COUNTA(iferror(filter(Status!N:N,Status!A:A=A59,Status!N:N=TRUE)))"),9.0)</f>
        <v>9</v>
      </c>
      <c r="P59" s="23">
        <f>IFERROR(__xludf.DUMMYFUNCTION("COUNTA(iferror(filter(Status!P:P,Status!A:A=A59)))"),13.0)</f>
        <v>13</v>
      </c>
      <c r="Q59" s="25">
        <f>IFERROR(__xludf.DUMMYFUNCTION("COUNTA(iferror(filter(Status!P:P,Status!A:A=A59,Status!P:P=TRUE)))"),8.0)</f>
        <v>8</v>
      </c>
      <c r="R59" s="23">
        <f>IFERROR(__xludf.DUMMYFUNCTION("COUNTA(iferror(filter(Status!R:R,Status!A:A=A59)))"),9.0)</f>
        <v>9</v>
      </c>
      <c r="S59" s="25">
        <f>IFERROR(__xludf.DUMMYFUNCTION("COUNTA(iferror(filter(Status!R:R,Status!A:A=A59,Status!R:R=TRUE)))"),9.0)</f>
        <v>9</v>
      </c>
      <c r="V59" s="23" t="str">
        <f>IFERROR(__xludf.DUMMYFUNCTION("if((countif(filter(Status!$C:$C,Status!$A:$A=$A59),CONCATENATE(V$2,""*""))-W59)&gt;0,(countif(filter(Status!$C:$C,Status!$A:$A=$A59),CONCATENATE(V$2,""*""))-W59),"""")"),"")</f>
        <v/>
      </c>
      <c r="W59" s="23">
        <f>IFERROR(__xludf.DUMMYFUNCTION("if(countif(filter(Status!$C:$C,Status!$A:$A=$A59),CONCATENATE(W$2,""*""))&gt;0,countif(filter(Status!$C:$C,Status!$A:$A=$A59),CONCATENATE(W$2,""*"")),"""")"),2.0)</f>
        <v>2</v>
      </c>
      <c r="X59" s="23">
        <f>IFERROR(__xludf.DUMMYFUNCTION("if(countif(filter(Status!$C:$C,Status!$A:$A=$A59),CONCATENATE(X$2,""*""))&gt;0,countif(filter(Status!$C:$C,Status!$A:$A=$A59),CONCATENATE(X$2,""*"")),"""")"),2.0)</f>
        <v>2</v>
      </c>
      <c r="Y59" s="23" t="str">
        <f>IFERROR(__xludf.DUMMYFUNCTION("if(countif(filter(Status!$C:$C,Status!$A:$A=$A59),CONCATENATE(Y$2,""*""))&gt;0,countif(filter(Status!$C:$C,Status!$A:$A=$A59),CONCATENATE(Y$2,""*"")),"""")"),"")</f>
        <v/>
      </c>
      <c r="Z59" s="23" t="str">
        <f>IFERROR(__xludf.DUMMYFUNCTION("if(countif(filter(Status!$C:$C,Status!$A:$A=$A59),CONCATENATE(Z$2,""*""))&gt;0,countif(filter(Status!$C:$C,Status!$A:$A=$A59),CONCATENATE(Z$2,""*"")),"""")"),"")</f>
        <v/>
      </c>
      <c r="AA59" s="23">
        <f>IFERROR(__xludf.DUMMYFUNCTION("if((countif(filter(Status!$C:$C,Status!$A:$A=$A59),CONCATENATE(AA$2,""*""))-AB59)&gt;0,(countif(filter(Status!$C:$C,Status!$A:$A=$A59),CONCATENATE(AA$2,""*""))-AB59),"""")"),4.0)</f>
        <v>4</v>
      </c>
      <c r="AB59" s="23">
        <f>IFERROR(__xludf.DUMMYFUNCTION("if(countif(filter(Status!$C:$C,Status!$A:$A=$A59),CONCATENATE(AB$2,""*""))&gt;0,countif(filter(Status!$C:$C,Status!$A:$A=$A59),CONCATENATE(AB$2,""*"")),"""")"),4.0)</f>
        <v>4</v>
      </c>
      <c r="AC59" s="23">
        <f>IFERROR(__xludf.DUMMYFUNCTION("if(countif(filter(Status!$C:$C,Status!$A:$A=$A59),CONCATENATE(AC$2,""*""))&gt;0,countif(filter(Status!$C:$C,Status!$A:$A=$A59),CONCATENATE(AC$2,""*"")),"""")"),1.0)</f>
        <v>1</v>
      </c>
      <c r="AD59" s="23" t="str">
        <f>IFERROR(__xludf.DUMMYFUNCTION("if(countif(filter(Status!$C:$C,Status!$A:$A=$A59),CONCATENATE(AD$2,""*""))&gt;0,countif(filter(Status!$C:$C,Status!$A:$A=$A59),CONCATENATE(AD$2,""*"")),"""")"),"")</f>
        <v/>
      </c>
      <c r="AE59" s="23">
        <f>IFERROR(__xludf.DUMMYFUNCTION("if(countif(filter(Status!$C:$C,Status!$A:$A=$A59),CONCATENATE(AE$2,""*""))&gt;0,countif(filter(Status!$C:$C,Status!$A:$A=$A59),CONCATENATE(AE$2,""*"")),"""")"),1.0)</f>
        <v>1</v>
      </c>
      <c r="AF59" s="23" t="str">
        <f>IFERROR(__xludf.DUMMYFUNCTION("if(countif(filter(Status!$C:$C,Status!$A:$A=$A59),CONCATENATE(AF$2,""*""))&gt;0,countif(filter(Status!$C:$C,Status!$A:$A=$A59),CONCATENATE(AF$2,""*"")),"""")"),"")</f>
        <v/>
      </c>
      <c r="AG59" s="23" t="str">
        <f>IFERROR(__xludf.DUMMYFUNCTION("if(countif(filter(Status!$C:$C,Status!$A:$A=$A59),CONCATENATE(AG$2,""*""))&gt;0,countif(filter(Status!$C:$C,Status!$A:$A=$A59),CONCATENATE(AG$2,""*"")),"""")"),"")</f>
        <v/>
      </c>
      <c r="AH59" s="23" t="str">
        <f>IFERROR(__xludf.DUMMYFUNCTION("if(countif(filter(Status!$C:$C,Status!$A:$A=$A59),CONCATENATE(AH$2,""*""))&gt;0,countif(filter(Status!$C:$C,Status!$A:$A=$A59),CONCATENATE(AH$2,""*"")),"""")"),"")</f>
        <v/>
      </c>
      <c r="AI59" s="23" t="str">
        <f>IFERROR(__xludf.DUMMYFUNCTION("if(countif(filter(Status!$C:$C,Status!$A:$A=$A59),CONCATENATE(AI$2,""*""))&gt;0,countif(filter(Status!$C:$C,Status!$A:$A=$A59),CONCATENATE(AI$2,""*"")),"""")"),"")</f>
        <v/>
      </c>
      <c r="AJ59" s="23" t="str">
        <f>IFERROR(__xludf.DUMMYFUNCTION("if(countif(filter(Status!$C:$C,Status!$A:$A=$A59),CONCATENATE(AJ$2,""*""))&gt;0,countif(filter(Status!$C:$C,Status!$A:$A=$A59),CONCATENATE(AJ$2,""*"")),"""")"),"")</f>
        <v/>
      </c>
      <c r="AK59" s="23" t="str">
        <f>IFERROR(__xludf.DUMMYFUNCTION("if(countif(filter(Status!$C:$C,Status!$A:$A=$A59),CONCATENATE(AK$2,""*""))&gt;0,countif(filter(Status!$C:$C,Status!$A:$A=$A59),CONCATENATE(AK$2,""*"")),"""")"),"")</f>
        <v/>
      </c>
      <c r="AL59" s="23" t="str">
        <f>IFERROR(__xludf.DUMMYFUNCTION("if(countif(filter(Status!$C:$C,Status!$A:$A=$A59),CONCATENATE(AL$2,""*""))&gt;0,countif(filter(Status!$C:$C,Status!$A:$A=$A59),CONCATENATE(AL$2,""*"")),"""")"),"")</f>
        <v/>
      </c>
      <c r="AM59" s="23" t="str">
        <f>IFERROR(__xludf.DUMMYFUNCTION("if(countif(filter(Status!$C:$C,Status!$A:$A=$A59),CONCATENATE(AM$2,""*""))&gt;0,countif(filter(Status!$C:$C,Status!$A:$A=$A59),CONCATENATE(AM$2,""*"")),"""")"),"")</f>
        <v/>
      </c>
      <c r="AN59" s="23" t="str">
        <f>IFERROR(__xludf.DUMMYFUNCTION("if(countif(filter(Status!$C:$C,Status!$A:$A=$A59),CONCATENATE(AN$2,""*""))&gt;0,countif(filter(Status!$C:$C,Status!$A:$A=$A59),CONCATENATE(AN$2,""*"")),"""")"),"")</f>
        <v/>
      </c>
      <c r="AO59" s="23" t="str">
        <f>IFERROR(__xludf.DUMMYFUNCTION("if(countif(filter(Status!$C:$C,Status!$A:$A=$A59),CONCATENATE(AO$2,""*""))&gt;0,countif(filter(Status!$C:$C,Status!$A:$A=$A59),CONCATENATE(AO$2,""*"")),"""")"),"")</f>
        <v/>
      </c>
      <c r="AP59" s="23">
        <f>IFERROR(__xludf.DUMMYFUNCTION("counta(iferror(filter(Status!C:C,Status!A:A=A59)))"),14.0)</f>
        <v>14</v>
      </c>
      <c r="AQ59" s="23">
        <f t="shared" si="6"/>
        <v>14</v>
      </c>
    </row>
    <row r="60">
      <c r="A60" s="1" t="s">
        <v>844</v>
      </c>
      <c r="B60" s="21">
        <f>IFERROR(__xludf.DUMMYFUNCTION("max(filter(Status!E:E,Status!A:A=A60))"),43775.0)</f>
        <v>43775</v>
      </c>
      <c r="C60" s="23">
        <f t="shared" si="1"/>
        <v>1</v>
      </c>
      <c r="D60" s="23">
        <f t="shared" si="2"/>
        <v>1</v>
      </c>
      <c r="E60" s="23">
        <f t="shared" si="3"/>
        <v>1</v>
      </c>
      <c r="F60" s="23">
        <f t="shared" si="4"/>
        <v>0.5555555556</v>
      </c>
      <c r="G60" s="25">
        <f t="shared" si="5"/>
        <v>1</v>
      </c>
      <c r="J60" s="23">
        <f>IFERROR(__xludf.DUMMYFUNCTION("COUNTA(iferror(filter(Status!H:H,Status!A:A=A60)))"),7.0)</f>
        <v>7</v>
      </c>
      <c r="K60" s="25">
        <f>IFERROR(__xludf.DUMMYFUNCTION("COUNTA(iferror(filter(Status!H:H,Status!A:A=A60,Status!H:H=TRUE)))"),7.0)</f>
        <v>7</v>
      </c>
      <c r="L60" s="23">
        <f>IFERROR(__xludf.DUMMYFUNCTION("COUNTA(iferror(filter(Status!L:L,Status!A:A=A60)))"),5.0)</f>
        <v>5</v>
      </c>
      <c r="M60" s="25">
        <f>IFERROR(__xludf.DUMMYFUNCTION("COUNTA(iferror(filter(Status!L:L,Status!A:A=A60,Status!L:L=TRUE)))"),5.0)</f>
        <v>5</v>
      </c>
      <c r="N60" s="23">
        <f>IFERROR(__xludf.DUMMYFUNCTION("COUNTA(iferror(filter(Status!N:N,Status!A:A=A60,Status!N:N=TRUE)))"),8.0)</f>
        <v>8</v>
      </c>
      <c r="O60" s="25">
        <f>IFERROR(__xludf.DUMMYFUNCTION("COUNTA(iferror(filter(Status!N:N,Status!A:A=A60,Status!N:N=TRUE)))"),8.0)</f>
        <v>8</v>
      </c>
      <c r="P60" s="23">
        <f>IFERROR(__xludf.DUMMYFUNCTION("COUNTA(iferror(filter(Status!P:P,Status!A:A=A60)))"),9.0)</f>
        <v>9</v>
      </c>
      <c r="Q60" s="25">
        <f>IFERROR(__xludf.DUMMYFUNCTION("COUNTA(iferror(filter(Status!P:P,Status!A:A=A60,Status!P:P=TRUE)))"),5.0)</f>
        <v>5</v>
      </c>
      <c r="R60" s="23">
        <f>IFERROR(__xludf.DUMMYFUNCTION("COUNTA(iferror(filter(Status!R:R,Status!A:A=A60)))"),2.0)</f>
        <v>2</v>
      </c>
      <c r="S60" s="25">
        <f>IFERROR(__xludf.DUMMYFUNCTION("COUNTA(iferror(filter(Status!R:R,Status!A:A=A60,Status!R:R=TRUE)))"),2.0)</f>
        <v>2</v>
      </c>
      <c r="V60" s="23" t="str">
        <f>IFERROR(__xludf.DUMMYFUNCTION("if((countif(filter(Status!$C:$C,Status!$A:$A=$A60),CONCATENATE(V$2,""*""))-W60)&gt;0,(countif(filter(Status!$C:$C,Status!$A:$A=$A60),CONCATENATE(V$2,""*""))-W60),"""")"),"")</f>
        <v/>
      </c>
      <c r="W60" s="23" t="str">
        <f>IFERROR(__xludf.DUMMYFUNCTION("if(countif(filter(Status!$C:$C,Status!$A:$A=$A60),CONCATENATE(W$2,""*""))&gt;0,countif(filter(Status!$C:$C,Status!$A:$A=$A60),CONCATENATE(W$2,""*"")),"""")"),"")</f>
        <v/>
      </c>
      <c r="X60" s="23" t="str">
        <f>IFERROR(__xludf.DUMMYFUNCTION("if(countif(filter(Status!$C:$C,Status!$A:$A=$A60),CONCATENATE(X$2,""*""))&gt;0,countif(filter(Status!$C:$C,Status!$A:$A=$A60),CONCATENATE(X$2,""*"")),"""")"),"")</f>
        <v/>
      </c>
      <c r="Y60" s="23" t="str">
        <f>IFERROR(__xludf.DUMMYFUNCTION("if(countif(filter(Status!$C:$C,Status!$A:$A=$A60),CONCATENATE(Y$2,""*""))&gt;0,countif(filter(Status!$C:$C,Status!$A:$A=$A60),CONCATENATE(Y$2,""*"")),"""")"),"")</f>
        <v/>
      </c>
      <c r="Z60" s="23">
        <f>IFERROR(__xludf.DUMMYFUNCTION("if(countif(filter(Status!$C:$C,Status!$A:$A=$A60),CONCATENATE(Z$2,""*""))&gt;0,countif(filter(Status!$C:$C,Status!$A:$A=$A60),CONCATENATE(Z$2,""*"")),"""")"),5.0)</f>
        <v>5</v>
      </c>
      <c r="AA60" s="23">
        <f>IFERROR(__xludf.DUMMYFUNCTION("if((countif(filter(Status!$C:$C,Status!$A:$A=$A60),CONCATENATE(AA$2,""*""))-AB60)&gt;0,(countif(filter(Status!$C:$C,Status!$A:$A=$A60),CONCATENATE(AA$2,""*""))-AB60),"""")"),1.0)</f>
        <v>1</v>
      </c>
      <c r="AB60" s="23">
        <f>IFERROR(__xludf.DUMMYFUNCTION("if(countif(filter(Status!$C:$C,Status!$A:$A=$A60),CONCATENATE(AB$2,""*""))&gt;0,countif(filter(Status!$C:$C,Status!$A:$A=$A60),CONCATENATE(AB$2,""*"")),"""")"),1.0)</f>
        <v>1</v>
      </c>
      <c r="AC60" s="23">
        <f>IFERROR(__xludf.DUMMYFUNCTION("if(countif(filter(Status!$C:$C,Status!$A:$A=$A60),CONCATENATE(AC$2,""*""))&gt;0,countif(filter(Status!$C:$C,Status!$A:$A=$A60),CONCATENATE(AC$2,""*"")),"""")"),1.0)</f>
        <v>1</v>
      </c>
      <c r="AD60" s="23">
        <f>IFERROR(__xludf.DUMMYFUNCTION("if(countif(filter(Status!$C:$C,Status!$A:$A=$A60),CONCATENATE(AD$2,""*""))&gt;0,countif(filter(Status!$C:$C,Status!$A:$A=$A60),CONCATENATE(AD$2,""*"")),"""")"),1.0)</f>
        <v>1</v>
      </c>
      <c r="AE60" s="23">
        <f>IFERROR(__xludf.DUMMYFUNCTION("if(countif(filter(Status!$C:$C,Status!$A:$A=$A60),CONCATENATE(AE$2,""*""))&gt;0,countif(filter(Status!$C:$C,Status!$A:$A=$A60),CONCATENATE(AE$2,""*"")),"""")"),1.0)</f>
        <v>1</v>
      </c>
      <c r="AF60" s="23" t="str">
        <f>IFERROR(__xludf.DUMMYFUNCTION("if(countif(filter(Status!$C:$C,Status!$A:$A=$A60),CONCATENATE(AF$2,""*""))&gt;0,countif(filter(Status!$C:$C,Status!$A:$A=$A60),CONCATENATE(AF$2,""*"")),"""")"),"")</f>
        <v/>
      </c>
      <c r="AG60" s="23" t="str">
        <f>IFERROR(__xludf.DUMMYFUNCTION("if(countif(filter(Status!$C:$C,Status!$A:$A=$A60),CONCATENATE(AG$2,""*""))&gt;0,countif(filter(Status!$C:$C,Status!$A:$A=$A60),CONCATENATE(AG$2,""*"")),"""")"),"")</f>
        <v/>
      </c>
      <c r="AH60" s="23" t="str">
        <f>IFERROR(__xludf.DUMMYFUNCTION("if(countif(filter(Status!$C:$C,Status!$A:$A=$A60),CONCATENATE(AH$2,""*""))&gt;0,countif(filter(Status!$C:$C,Status!$A:$A=$A60),CONCATENATE(AH$2,""*"")),"""")"),"")</f>
        <v/>
      </c>
      <c r="AI60" s="23" t="str">
        <f>IFERROR(__xludf.DUMMYFUNCTION("if(countif(filter(Status!$C:$C,Status!$A:$A=$A60),CONCATENATE(AI$2,""*""))&gt;0,countif(filter(Status!$C:$C,Status!$A:$A=$A60),CONCATENATE(AI$2,""*"")),"""")"),"")</f>
        <v/>
      </c>
      <c r="AJ60" s="23" t="str">
        <f>IFERROR(__xludf.DUMMYFUNCTION("if(countif(filter(Status!$C:$C,Status!$A:$A=$A60),CONCATENATE(AJ$2,""*""))&gt;0,countif(filter(Status!$C:$C,Status!$A:$A=$A60),CONCATENATE(AJ$2,""*"")),"""")"),"")</f>
        <v/>
      </c>
      <c r="AK60" s="23" t="str">
        <f>IFERROR(__xludf.DUMMYFUNCTION("if(countif(filter(Status!$C:$C,Status!$A:$A=$A60),CONCATENATE(AK$2,""*""))&gt;0,countif(filter(Status!$C:$C,Status!$A:$A=$A60),CONCATENATE(AK$2,""*"")),"""")"),"")</f>
        <v/>
      </c>
      <c r="AL60" s="23" t="str">
        <f>IFERROR(__xludf.DUMMYFUNCTION("if(countif(filter(Status!$C:$C,Status!$A:$A=$A60),CONCATENATE(AL$2,""*""))&gt;0,countif(filter(Status!$C:$C,Status!$A:$A=$A60),CONCATENATE(AL$2,""*"")),"""")"),"")</f>
        <v/>
      </c>
      <c r="AM60" s="23" t="str">
        <f>IFERROR(__xludf.DUMMYFUNCTION("if(countif(filter(Status!$C:$C,Status!$A:$A=$A60),CONCATENATE(AM$2,""*""))&gt;0,countif(filter(Status!$C:$C,Status!$A:$A=$A60),CONCATENATE(AM$2,""*"")),"""")"),"")</f>
        <v/>
      </c>
      <c r="AN60" s="23" t="str">
        <f>IFERROR(__xludf.DUMMYFUNCTION("if(countif(filter(Status!$C:$C,Status!$A:$A=$A60),CONCATENATE(AN$2,""*""))&gt;0,countif(filter(Status!$C:$C,Status!$A:$A=$A60),CONCATENATE(AN$2,""*"")),"""")"),"")</f>
        <v/>
      </c>
      <c r="AO60" s="23" t="str">
        <f>IFERROR(__xludf.DUMMYFUNCTION("if(countif(filter(Status!$C:$C,Status!$A:$A=$A60),CONCATENATE(AO$2,""*""))&gt;0,countif(filter(Status!$C:$C,Status!$A:$A=$A60),CONCATENATE(AO$2,""*"")),"""")"),"")</f>
        <v/>
      </c>
      <c r="AP60" s="23">
        <f>IFERROR(__xludf.DUMMYFUNCTION("counta(iferror(filter(Status!C:C,Status!A:A=A60)))"),10.0)</f>
        <v>10</v>
      </c>
      <c r="AQ60" s="23">
        <f t="shared" si="6"/>
        <v>10</v>
      </c>
    </row>
    <row r="61">
      <c r="A61" s="1" t="s">
        <v>848</v>
      </c>
      <c r="B61" s="21">
        <f>IFERROR(__xludf.DUMMYFUNCTION("max(filter(Status!E:E,Status!A:A=A61))"),43776.0)</f>
        <v>43776</v>
      </c>
      <c r="C61" s="23">
        <f t="shared" si="1"/>
        <v>1</v>
      </c>
      <c r="D61" s="23">
        <f t="shared" si="2"/>
        <v>1</v>
      </c>
      <c r="E61" s="23">
        <f t="shared" si="3"/>
        <v>1</v>
      </c>
      <c r="F61" s="23">
        <f t="shared" si="4"/>
        <v>0.3913043478</v>
      </c>
      <c r="G61" s="25">
        <f t="shared" si="5"/>
        <v>1</v>
      </c>
      <c r="J61" s="23">
        <f>IFERROR(__xludf.DUMMYFUNCTION("COUNTA(iferror(filter(Status!H:H,Status!A:A=A61)))"),13.0)</f>
        <v>13</v>
      </c>
      <c r="K61" s="25">
        <f>IFERROR(__xludf.DUMMYFUNCTION("COUNTA(iferror(filter(Status!H:H,Status!A:A=A61,Status!H:H=TRUE)))"),13.0)</f>
        <v>13</v>
      </c>
      <c r="L61" s="23">
        <f>IFERROR(__xludf.DUMMYFUNCTION("COUNTA(iferror(filter(Status!L:L,Status!A:A=A61)))"),5.0)</f>
        <v>5</v>
      </c>
      <c r="M61" s="25">
        <f>IFERROR(__xludf.DUMMYFUNCTION("COUNTA(iferror(filter(Status!L:L,Status!A:A=A61,Status!L:L=TRUE)))"),5.0)</f>
        <v>5</v>
      </c>
      <c r="N61" s="23">
        <f>IFERROR(__xludf.DUMMYFUNCTION("COUNTA(iferror(filter(Status!N:N,Status!A:A=A61,Status!N:N=TRUE)))"),16.0)</f>
        <v>16</v>
      </c>
      <c r="O61" s="25">
        <f>IFERROR(__xludf.DUMMYFUNCTION("COUNTA(iferror(filter(Status!N:N,Status!A:A=A61,Status!N:N=TRUE)))"),16.0)</f>
        <v>16</v>
      </c>
      <c r="P61" s="23">
        <f>IFERROR(__xludf.DUMMYFUNCTION("COUNTA(iferror(filter(Status!P:P,Status!A:A=A61)))"),23.0)</f>
        <v>23</v>
      </c>
      <c r="Q61" s="25">
        <f>IFERROR(__xludf.DUMMYFUNCTION("COUNTA(iferror(filter(Status!P:P,Status!A:A=A61,Status!P:P=TRUE)))"),9.0)</f>
        <v>9</v>
      </c>
      <c r="R61" s="23">
        <f>IFERROR(__xludf.DUMMYFUNCTION("COUNTA(iferror(filter(Status!R:R,Status!A:A=A61)))"),15.0)</f>
        <v>15</v>
      </c>
      <c r="S61" s="25">
        <f>IFERROR(__xludf.DUMMYFUNCTION("COUNTA(iferror(filter(Status!R:R,Status!A:A=A61,Status!R:R=TRUE)))"),15.0)</f>
        <v>15</v>
      </c>
      <c r="V61" s="23" t="str">
        <f>IFERROR(__xludf.DUMMYFUNCTION("if((countif(filter(Status!$C:$C,Status!$A:$A=$A61),CONCATENATE(V$2,""*""))-W61)&gt;0,(countif(filter(Status!$C:$C,Status!$A:$A=$A61),CONCATENATE(V$2,""*""))-W61),"""")"),"")</f>
        <v/>
      </c>
      <c r="W61" s="23">
        <f>IFERROR(__xludf.DUMMYFUNCTION("if(countif(filter(Status!$C:$C,Status!$A:$A=$A61),CONCATENATE(W$2,""*""))&gt;0,countif(filter(Status!$C:$C,Status!$A:$A=$A61),CONCATENATE(W$2,""*"")),"""")"),5.0)</f>
        <v>5</v>
      </c>
      <c r="X61" s="23">
        <f>IFERROR(__xludf.DUMMYFUNCTION("if(countif(filter(Status!$C:$C,Status!$A:$A=$A61),CONCATENATE(X$2,""*""))&gt;0,countif(filter(Status!$C:$C,Status!$A:$A=$A61),CONCATENATE(X$2,""*"")),"""")"),2.0)</f>
        <v>2</v>
      </c>
      <c r="Y61" s="23" t="str">
        <f>IFERROR(__xludf.DUMMYFUNCTION("if(countif(filter(Status!$C:$C,Status!$A:$A=$A61),CONCATENATE(Y$2,""*""))&gt;0,countif(filter(Status!$C:$C,Status!$A:$A=$A61),CONCATENATE(Y$2,""*"")),"""")"),"")</f>
        <v/>
      </c>
      <c r="Z61" s="23" t="str">
        <f>IFERROR(__xludf.DUMMYFUNCTION("if(countif(filter(Status!$C:$C,Status!$A:$A=$A61),CONCATENATE(Z$2,""*""))&gt;0,countif(filter(Status!$C:$C,Status!$A:$A=$A61),CONCATENATE(Z$2,""*"")),"""")"),"")</f>
        <v/>
      </c>
      <c r="AA61" s="23">
        <f>IFERROR(__xludf.DUMMYFUNCTION("if((countif(filter(Status!$C:$C,Status!$A:$A=$A61),CONCATENATE(AA$2,""*""))-AB61)&gt;0,(countif(filter(Status!$C:$C,Status!$A:$A=$A61),CONCATENATE(AA$2,""*""))-AB61),"""")"),7.0)</f>
        <v>7</v>
      </c>
      <c r="AB61" s="23">
        <f>IFERROR(__xludf.DUMMYFUNCTION("if(countif(filter(Status!$C:$C,Status!$A:$A=$A61),CONCATENATE(AB$2,""*""))&gt;0,countif(filter(Status!$C:$C,Status!$A:$A=$A61),CONCATENATE(AB$2,""*"")),"""")"),7.0)</f>
        <v>7</v>
      </c>
      <c r="AC61" s="23">
        <f>IFERROR(__xludf.DUMMYFUNCTION("if(countif(filter(Status!$C:$C,Status!$A:$A=$A61),CONCATENATE(AC$2,""*""))&gt;0,countif(filter(Status!$C:$C,Status!$A:$A=$A61),CONCATENATE(AC$2,""*"")),"""")"),1.0)</f>
        <v>1</v>
      </c>
      <c r="AD61" s="23">
        <f>IFERROR(__xludf.DUMMYFUNCTION("if(countif(filter(Status!$C:$C,Status!$A:$A=$A61),CONCATENATE(AD$2,""*""))&gt;0,countif(filter(Status!$C:$C,Status!$A:$A=$A61),CONCATENATE(AD$2,""*"")),"""")"),1.0)</f>
        <v>1</v>
      </c>
      <c r="AE61" s="23">
        <f>IFERROR(__xludf.DUMMYFUNCTION("if(countif(filter(Status!$C:$C,Status!$A:$A=$A61),CONCATENATE(AE$2,""*""))&gt;0,countif(filter(Status!$C:$C,Status!$A:$A=$A61),CONCATENATE(AE$2,""*"")),"""")"),1.0)</f>
        <v>1</v>
      </c>
      <c r="AF61" s="23" t="str">
        <f>IFERROR(__xludf.DUMMYFUNCTION("if(countif(filter(Status!$C:$C,Status!$A:$A=$A61),CONCATENATE(AF$2,""*""))&gt;0,countif(filter(Status!$C:$C,Status!$A:$A=$A61),CONCATENATE(AF$2,""*"")),"""")"),"")</f>
        <v/>
      </c>
      <c r="AG61" s="23" t="str">
        <f>IFERROR(__xludf.DUMMYFUNCTION("if(countif(filter(Status!$C:$C,Status!$A:$A=$A61),CONCATENATE(AG$2,""*""))&gt;0,countif(filter(Status!$C:$C,Status!$A:$A=$A61),CONCATENATE(AG$2,""*"")),"""")"),"")</f>
        <v/>
      </c>
      <c r="AH61" s="23" t="str">
        <f>IFERROR(__xludf.DUMMYFUNCTION("if(countif(filter(Status!$C:$C,Status!$A:$A=$A61),CONCATENATE(AH$2,""*""))&gt;0,countif(filter(Status!$C:$C,Status!$A:$A=$A61),CONCATENATE(AH$2,""*"")),"""")"),"")</f>
        <v/>
      </c>
      <c r="AI61" s="23" t="str">
        <f>IFERROR(__xludf.DUMMYFUNCTION("if(countif(filter(Status!$C:$C,Status!$A:$A=$A61),CONCATENATE(AI$2,""*""))&gt;0,countif(filter(Status!$C:$C,Status!$A:$A=$A61),CONCATENATE(AI$2,""*"")),"""")"),"")</f>
        <v/>
      </c>
      <c r="AJ61" s="23" t="str">
        <f>IFERROR(__xludf.DUMMYFUNCTION("if(countif(filter(Status!$C:$C,Status!$A:$A=$A61),CONCATENATE(AJ$2,""*""))&gt;0,countif(filter(Status!$C:$C,Status!$A:$A=$A61),CONCATENATE(AJ$2,""*"")),"""")"),"")</f>
        <v/>
      </c>
      <c r="AK61" s="23" t="str">
        <f>IFERROR(__xludf.DUMMYFUNCTION("if(countif(filter(Status!$C:$C,Status!$A:$A=$A61),CONCATENATE(AK$2,""*""))&gt;0,countif(filter(Status!$C:$C,Status!$A:$A=$A61),CONCATENATE(AK$2,""*"")),"""")"),"")</f>
        <v/>
      </c>
      <c r="AL61" s="23" t="str">
        <f>IFERROR(__xludf.DUMMYFUNCTION("if(countif(filter(Status!$C:$C,Status!$A:$A=$A61),CONCATENATE(AL$2,""*""))&gt;0,countif(filter(Status!$C:$C,Status!$A:$A=$A61),CONCATENATE(AL$2,""*"")),"""")"),"")</f>
        <v/>
      </c>
      <c r="AM61" s="23" t="str">
        <f>IFERROR(__xludf.DUMMYFUNCTION("if(countif(filter(Status!$C:$C,Status!$A:$A=$A61),CONCATENATE(AM$2,""*""))&gt;0,countif(filter(Status!$C:$C,Status!$A:$A=$A61),CONCATENATE(AM$2,""*"")),"""")"),"")</f>
        <v/>
      </c>
      <c r="AN61" s="23" t="str">
        <f>IFERROR(__xludf.DUMMYFUNCTION("if(countif(filter(Status!$C:$C,Status!$A:$A=$A61),CONCATENATE(AN$2,""*""))&gt;0,countif(filter(Status!$C:$C,Status!$A:$A=$A61),CONCATENATE(AN$2,""*"")),"""")"),"")</f>
        <v/>
      </c>
      <c r="AO61" s="23" t="str">
        <f>IFERROR(__xludf.DUMMYFUNCTION("if(countif(filter(Status!$C:$C,Status!$A:$A=$A61),CONCATENATE(AO$2,""*""))&gt;0,countif(filter(Status!$C:$C,Status!$A:$A=$A61),CONCATENATE(AO$2,""*"")),"""")"),"")</f>
        <v/>
      </c>
      <c r="AP61" s="23">
        <f>IFERROR(__xludf.DUMMYFUNCTION("counta(iferror(filter(Status!C:C,Status!A:A=A61)))"),24.0)</f>
        <v>24</v>
      </c>
      <c r="AQ61" s="23">
        <f t="shared" si="6"/>
        <v>24</v>
      </c>
    </row>
    <row r="62">
      <c r="A62" s="1" t="s">
        <v>852</v>
      </c>
      <c r="B62" s="21">
        <f>IFERROR(__xludf.DUMMYFUNCTION("max(filter(Status!E:E,Status!A:A=A62))"),43780.0)</f>
        <v>43780</v>
      </c>
      <c r="C62" s="23">
        <f t="shared" si="1"/>
        <v>1</v>
      </c>
      <c r="D62" s="23">
        <f t="shared" si="2"/>
        <v>1</v>
      </c>
      <c r="E62" s="23">
        <f t="shared" si="3"/>
        <v>1</v>
      </c>
      <c r="F62" s="23">
        <f t="shared" si="4"/>
        <v>0.4705882353</v>
      </c>
      <c r="G62" s="25">
        <f t="shared" si="5"/>
        <v>1</v>
      </c>
      <c r="J62" s="23">
        <f>IFERROR(__xludf.DUMMYFUNCTION("COUNTA(iferror(filter(Status!H:H,Status!A:A=A62)))"),12.0)</f>
        <v>12</v>
      </c>
      <c r="K62" s="25">
        <f>IFERROR(__xludf.DUMMYFUNCTION("COUNTA(iferror(filter(Status!H:H,Status!A:A=A62,Status!H:H=TRUE)))"),12.0)</f>
        <v>12</v>
      </c>
      <c r="L62" s="23">
        <f>IFERROR(__xludf.DUMMYFUNCTION("COUNTA(iferror(filter(Status!L:L,Status!A:A=A62)))"),7.0)</f>
        <v>7</v>
      </c>
      <c r="M62" s="25">
        <f>IFERROR(__xludf.DUMMYFUNCTION("COUNTA(iferror(filter(Status!L:L,Status!A:A=A62,Status!L:L=TRUE)))"),7.0)</f>
        <v>7</v>
      </c>
      <c r="N62" s="23">
        <f>IFERROR(__xludf.DUMMYFUNCTION("COUNTA(iferror(filter(Status!N:N,Status!A:A=A62,Status!N:N=TRUE)))"),11.0)</f>
        <v>11</v>
      </c>
      <c r="O62" s="25">
        <f>IFERROR(__xludf.DUMMYFUNCTION("COUNTA(iferror(filter(Status!N:N,Status!A:A=A62,Status!N:N=TRUE)))"),11.0)</f>
        <v>11</v>
      </c>
      <c r="P62" s="23">
        <f>IFERROR(__xludf.DUMMYFUNCTION("COUNTA(iferror(filter(Status!P:P,Status!A:A=A62)))"),17.0)</f>
        <v>17</v>
      </c>
      <c r="Q62" s="25">
        <f>IFERROR(__xludf.DUMMYFUNCTION("COUNTA(iferror(filter(Status!P:P,Status!A:A=A62,Status!P:P=TRUE)))"),8.0)</f>
        <v>8</v>
      </c>
      <c r="R62" s="23">
        <f>IFERROR(__xludf.DUMMYFUNCTION("COUNTA(iferror(filter(Status!R:R,Status!A:A=A62)))"),8.0)</f>
        <v>8</v>
      </c>
      <c r="S62" s="25">
        <f>IFERROR(__xludf.DUMMYFUNCTION("COUNTA(iferror(filter(Status!R:R,Status!A:A=A62,Status!R:R=TRUE)))"),8.0)</f>
        <v>8</v>
      </c>
      <c r="V62" s="23" t="str">
        <f>IFERROR(__xludf.DUMMYFUNCTION("if((countif(filter(Status!$C:$C,Status!$A:$A=$A62),CONCATENATE(V$2,""*""))-W62)&gt;0,(countif(filter(Status!$C:$C,Status!$A:$A=$A62),CONCATENATE(V$2,""*""))-W62),"""")"),"")</f>
        <v/>
      </c>
      <c r="W62" s="23">
        <f>IFERROR(__xludf.DUMMYFUNCTION("if(countif(filter(Status!$C:$C,Status!$A:$A=$A62),CONCATENATE(W$2,""*""))&gt;0,countif(filter(Status!$C:$C,Status!$A:$A=$A62),CONCATENATE(W$2,""*"")),"""")"),3.0)</f>
        <v>3</v>
      </c>
      <c r="X62" s="23" t="str">
        <f>IFERROR(__xludf.DUMMYFUNCTION("if(countif(filter(Status!$C:$C,Status!$A:$A=$A62),CONCATENATE(X$2,""*""))&gt;0,countif(filter(Status!$C:$C,Status!$A:$A=$A62),CONCATENATE(X$2,""*"")),"""")"),"")</f>
        <v/>
      </c>
      <c r="Y62" s="23">
        <f>IFERROR(__xludf.DUMMYFUNCTION("if(countif(filter(Status!$C:$C,Status!$A:$A=$A62),CONCATENATE(Y$2,""*""))&gt;0,countif(filter(Status!$C:$C,Status!$A:$A=$A62),CONCATENATE(Y$2,""*"")),"""")"),4.0)</f>
        <v>4</v>
      </c>
      <c r="Z62" s="23" t="str">
        <f>IFERROR(__xludf.DUMMYFUNCTION("if(countif(filter(Status!$C:$C,Status!$A:$A=$A62),CONCATENATE(Z$2,""*""))&gt;0,countif(filter(Status!$C:$C,Status!$A:$A=$A62),CONCATENATE(Z$2,""*"")),"""")"),"")</f>
        <v/>
      </c>
      <c r="AA62" s="23">
        <f>IFERROR(__xludf.DUMMYFUNCTION("if((countif(filter(Status!$C:$C,Status!$A:$A=$A62),CONCATENATE(AA$2,""*""))-AB62)&gt;0,(countif(filter(Status!$C:$C,Status!$A:$A=$A62),CONCATENATE(AA$2,""*""))-AB62),"""")"),4.0)</f>
        <v>4</v>
      </c>
      <c r="AB62" s="23">
        <f>IFERROR(__xludf.DUMMYFUNCTION("if(countif(filter(Status!$C:$C,Status!$A:$A=$A62),CONCATENATE(AB$2,""*""))&gt;0,countif(filter(Status!$C:$C,Status!$A:$A=$A62),CONCATENATE(AB$2,""*"")),"""")"),4.0)</f>
        <v>4</v>
      </c>
      <c r="AC62" s="23">
        <f>IFERROR(__xludf.DUMMYFUNCTION("if(countif(filter(Status!$C:$C,Status!$A:$A=$A62),CONCATENATE(AC$2,""*""))&gt;0,countif(filter(Status!$C:$C,Status!$A:$A=$A62),CONCATENATE(AC$2,""*"")),"""")"),1.0)</f>
        <v>1</v>
      </c>
      <c r="AD62" s="23">
        <f>IFERROR(__xludf.DUMMYFUNCTION("if(countif(filter(Status!$C:$C,Status!$A:$A=$A62),CONCATENATE(AD$2,""*""))&gt;0,countif(filter(Status!$C:$C,Status!$A:$A=$A62),CONCATENATE(AD$2,""*"")),"""")"),1.0)</f>
        <v>1</v>
      </c>
      <c r="AE62" s="23">
        <f>IFERROR(__xludf.DUMMYFUNCTION("if(countif(filter(Status!$C:$C,Status!$A:$A=$A62),CONCATENATE(AE$2,""*""))&gt;0,countif(filter(Status!$C:$C,Status!$A:$A=$A62),CONCATENATE(AE$2,""*"")),"""")"),1.0)</f>
        <v>1</v>
      </c>
      <c r="AF62" s="23" t="str">
        <f>IFERROR(__xludf.DUMMYFUNCTION("if(countif(filter(Status!$C:$C,Status!$A:$A=$A62),CONCATENATE(AF$2,""*""))&gt;0,countif(filter(Status!$C:$C,Status!$A:$A=$A62),CONCATENATE(AF$2,""*"")),"""")"),"")</f>
        <v/>
      </c>
      <c r="AG62" s="23" t="str">
        <f>IFERROR(__xludf.DUMMYFUNCTION("if(countif(filter(Status!$C:$C,Status!$A:$A=$A62),CONCATENATE(AG$2,""*""))&gt;0,countif(filter(Status!$C:$C,Status!$A:$A=$A62),CONCATENATE(AG$2,""*"")),"""")"),"")</f>
        <v/>
      </c>
      <c r="AH62" s="23" t="str">
        <f>IFERROR(__xludf.DUMMYFUNCTION("if(countif(filter(Status!$C:$C,Status!$A:$A=$A62),CONCATENATE(AH$2,""*""))&gt;0,countif(filter(Status!$C:$C,Status!$A:$A=$A62),CONCATENATE(AH$2,""*"")),"""")"),"")</f>
        <v/>
      </c>
      <c r="AI62" s="23" t="str">
        <f>IFERROR(__xludf.DUMMYFUNCTION("if(countif(filter(Status!$C:$C,Status!$A:$A=$A62),CONCATENATE(AI$2,""*""))&gt;0,countif(filter(Status!$C:$C,Status!$A:$A=$A62),CONCATENATE(AI$2,""*"")),"""")"),"")</f>
        <v/>
      </c>
      <c r="AJ62" s="23" t="str">
        <f>IFERROR(__xludf.DUMMYFUNCTION("if(countif(filter(Status!$C:$C,Status!$A:$A=$A62),CONCATENATE(AJ$2,""*""))&gt;0,countif(filter(Status!$C:$C,Status!$A:$A=$A62),CONCATENATE(AJ$2,""*"")),"""")"),"")</f>
        <v/>
      </c>
      <c r="AK62" s="23" t="str">
        <f>IFERROR(__xludf.DUMMYFUNCTION("if(countif(filter(Status!$C:$C,Status!$A:$A=$A62),CONCATENATE(AK$2,""*""))&gt;0,countif(filter(Status!$C:$C,Status!$A:$A=$A62),CONCATENATE(AK$2,""*"")),"""")"),"")</f>
        <v/>
      </c>
      <c r="AL62" s="23" t="str">
        <f>IFERROR(__xludf.DUMMYFUNCTION("if(countif(filter(Status!$C:$C,Status!$A:$A=$A62),CONCATENATE(AL$2,""*""))&gt;0,countif(filter(Status!$C:$C,Status!$A:$A=$A62),CONCATENATE(AL$2,""*"")),"""")"),"")</f>
        <v/>
      </c>
      <c r="AM62" s="23" t="str">
        <f>IFERROR(__xludf.DUMMYFUNCTION("if(countif(filter(Status!$C:$C,Status!$A:$A=$A62),CONCATENATE(AM$2,""*""))&gt;0,countif(filter(Status!$C:$C,Status!$A:$A=$A62),CONCATENATE(AM$2,""*"")),"""")"),"")</f>
        <v/>
      </c>
      <c r="AN62" s="23" t="str">
        <f>IFERROR(__xludf.DUMMYFUNCTION("if(countif(filter(Status!$C:$C,Status!$A:$A=$A62),CONCATENATE(AN$2,""*""))&gt;0,countif(filter(Status!$C:$C,Status!$A:$A=$A62),CONCATENATE(AN$2,""*"")),"""")"),"")</f>
        <v/>
      </c>
      <c r="AO62" s="23" t="str">
        <f>IFERROR(__xludf.DUMMYFUNCTION("if(countif(filter(Status!$C:$C,Status!$A:$A=$A62),CONCATENATE(AO$2,""*""))&gt;0,countif(filter(Status!$C:$C,Status!$A:$A=$A62),CONCATENATE(AO$2,""*"")),"""")"),"")</f>
        <v/>
      </c>
      <c r="AP62" s="23">
        <f>IFERROR(__xludf.DUMMYFUNCTION("counta(iferror(filter(Status!C:C,Status!A:A=A62)))"),18.0)</f>
        <v>18</v>
      </c>
      <c r="AQ62" s="23">
        <f t="shared" si="6"/>
        <v>18</v>
      </c>
    </row>
    <row r="63">
      <c r="A63" s="1" t="s">
        <v>856</v>
      </c>
      <c r="B63" s="21">
        <f>IFERROR(__xludf.DUMMYFUNCTION("max(filter(Status!E:E,Status!A:A=A63))"),43783.0)</f>
        <v>43783</v>
      </c>
      <c r="C63" s="23">
        <f t="shared" si="1"/>
        <v>1</v>
      </c>
      <c r="D63" s="23" t="str">
        <f t="shared" si="2"/>
        <v/>
      </c>
      <c r="E63" s="23">
        <f t="shared" si="3"/>
        <v>1</v>
      </c>
      <c r="F63" s="23">
        <f t="shared" si="4"/>
        <v>0.375</v>
      </c>
      <c r="G63" s="25">
        <f t="shared" si="5"/>
        <v>1</v>
      </c>
      <c r="J63" s="23">
        <f>IFERROR(__xludf.DUMMYFUNCTION("COUNTA(iferror(filter(Status!H:H,Status!A:A=A63)))"),3.0)</f>
        <v>3</v>
      </c>
      <c r="K63" s="25">
        <f>IFERROR(__xludf.DUMMYFUNCTION("COUNTA(iferror(filter(Status!H:H,Status!A:A=A63,Status!H:H=TRUE)))"),3.0)</f>
        <v>3</v>
      </c>
      <c r="L63" s="23">
        <f>IFERROR(__xludf.DUMMYFUNCTION("COUNTA(iferror(filter(Status!L:L,Status!A:A=A63)))"),0.0)</f>
        <v>0</v>
      </c>
      <c r="M63" s="25">
        <f>IFERROR(__xludf.DUMMYFUNCTION("COUNTA(iferror(filter(Status!L:L,Status!A:A=A63,Status!L:L=TRUE)))"),0.0)</f>
        <v>0</v>
      </c>
      <c r="N63" s="23">
        <f>IFERROR(__xludf.DUMMYFUNCTION("COUNTA(iferror(filter(Status!N:N,Status!A:A=A63,Status!N:N=TRUE)))"),5.0)</f>
        <v>5</v>
      </c>
      <c r="O63" s="25">
        <f>IFERROR(__xludf.DUMMYFUNCTION("COUNTA(iferror(filter(Status!N:N,Status!A:A=A63,Status!N:N=TRUE)))"),5.0)</f>
        <v>5</v>
      </c>
      <c r="P63" s="23">
        <f>IFERROR(__xludf.DUMMYFUNCTION("COUNTA(iferror(filter(Status!P:P,Status!A:A=A63)))"),8.0)</f>
        <v>8</v>
      </c>
      <c r="Q63" s="25">
        <f>IFERROR(__xludf.DUMMYFUNCTION("COUNTA(iferror(filter(Status!P:P,Status!A:A=A63,Status!P:P=TRUE)))"),3.0)</f>
        <v>3</v>
      </c>
      <c r="R63" s="23">
        <f>IFERROR(__xludf.DUMMYFUNCTION("COUNTA(iferror(filter(Status!R:R,Status!A:A=A63)))"),5.0)</f>
        <v>5</v>
      </c>
      <c r="S63" s="25">
        <f>IFERROR(__xludf.DUMMYFUNCTION("COUNTA(iferror(filter(Status!R:R,Status!A:A=A63,Status!R:R=TRUE)))"),5.0)</f>
        <v>5</v>
      </c>
      <c r="V63" s="23" t="str">
        <f>IFERROR(__xludf.DUMMYFUNCTION("if((countif(filter(Status!$C:$C,Status!$A:$A=$A63),CONCATENATE(V$2,""*""))-W63)&gt;0,(countif(filter(Status!$C:$C,Status!$A:$A=$A63),CONCATENATE(V$2,""*""))-W63),"""")"),"")</f>
        <v/>
      </c>
      <c r="W63" s="23" t="str">
        <f>IFERROR(__xludf.DUMMYFUNCTION("if(countif(filter(Status!$C:$C,Status!$A:$A=$A63),CONCATENATE(W$2,""*""))&gt;0,countif(filter(Status!$C:$C,Status!$A:$A=$A63),CONCATENATE(W$2,""*"")),"""")"),"")</f>
        <v/>
      </c>
      <c r="X63" s="23">
        <f>IFERROR(__xludf.DUMMYFUNCTION("if(countif(filter(Status!$C:$C,Status!$A:$A=$A63),CONCATENATE(X$2,""*""))&gt;0,countif(filter(Status!$C:$C,Status!$A:$A=$A63),CONCATENATE(X$2,""*"")),"""")"),2.0)</f>
        <v>2</v>
      </c>
      <c r="Y63" s="23" t="str">
        <f>IFERROR(__xludf.DUMMYFUNCTION("if(countif(filter(Status!$C:$C,Status!$A:$A=$A63),CONCATENATE(Y$2,""*""))&gt;0,countif(filter(Status!$C:$C,Status!$A:$A=$A63),CONCATENATE(Y$2,""*"")),"""")"),"")</f>
        <v/>
      </c>
      <c r="Z63" s="23" t="str">
        <f>IFERROR(__xludf.DUMMYFUNCTION("if(countif(filter(Status!$C:$C,Status!$A:$A=$A63),CONCATENATE(Z$2,""*""))&gt;0,countif(filter(Status!$C:$C,Status!$A:$A=$A63),CONCATENATE(Z$2,""*"")),"""")"),"")</f>
        <v/>
      </c>
      <c r="AA63" s="23">
        <f>IFERROR(__xludf.DUMMYFUNCTION("if((countif(filter(Status!$C:$C,Status!$A:$A=$A63),CONCATENATE(AA$2,""*""))-AB63)&gt;0,(countif(filter(Status!$C:$C,Status!$A:$A=$A63),CONCATENATE(AA$2,""*""))-AB63),"""")"),2.0)</f>
        <v>2</v>
      </c>
      <c r="AB63" s="23">
        <f>IFERROR(__xludf.DUMMYFUNCTION("if(countif(filter(Status!$C:$C,Status!$A:$A=$A63),CONCATENATE(AB$2,""*""))&gt;0,countif(filter(Status!$C:$C,Status!$A:$A=$A63),CONCATENATE(AB$2,""*"")),"""")"),2.0)</f>
        <v>2</v>
      </c>
      <c r="AC63" s="23">
        <f>IFERROR(__xludf.DUMMYFUNCTION("if(countif(filter(Status!$C:$C,Status!$A:$A=$A63),CONCATENATE(AC$2,""*""))&gt;0,countif(filter(Status!$C:$C,Status!$A:$A=$A63),CONCATENATE(AC$2,""*"")),"""")"),1.0)</f>
        <v>1</v>
      </c>
      <c r="AD63" s="23">
        <f>IFERROR(__xludf.DUMMYFUNCTION("if(countif(filter(Status!$C:$C,Status!$A:$A=$A63),CONCATENATE(AD$2,""*""))&gt;0,countif(filter(Status!$C:$C,Status!$A:$A=$A63),CONCATENATE(AD$2,""*"")),"""")"),1.0)</f>
        <v>1</v>
      </c>
      <c r="AE63" s="23">
        <f>IFERROR(__xludf.DUMMYFUNCTION("if(countif(filter(Status!$C:$C,Status!$A:$A=$A63),CONCATENATE(AE$2,""*""))&gt;0,countif(filter(Status!$C:$C,Status!$A:$A=$A63),CONCATENATE(AE$2,""*"")),"""")"),1.0)</f>
        <v>1</v>
      </c>
      <c r="AF63" s="23" t="str">
        <f>IFERROR(__xludf.DUMMYFUNCTION("if(countif(filter(Status!$C:$C,Status!$A:$A=$A63),CONCATENATE(AF$2,""*""))&gt;0,countif(filter(Status!$C:$C,Status!$A:$A=$A63),CONCATENATE(AF$2,""*"")),"""")"),"")</f>
        <v/>
      </c>
      <c r="AG63" s="23" t="str">
        <f>IFERROR(__xludf.DUMMYFUNCTION("if(countif(filter(Status!$C:$C,Status!$A:$A=$A63),CONCATENATE(AG$2,""*""))&gt;0,countif(filter(Status!$C:$C,Status!$A:$A=$A63),CONCATENATE(AG$2,""*"")),"""")"),"")</f>
        <v/>
      </c>
      <c r="AH63" s="23" t="str">
        <f>IFERROR(__xludf.DUMMYFUNCTION("if(countif(filter(Status!$C:$C,Status!$A:$A=$A63),CONCATENATE(AH$2,""*""))&gt;0,countif(filter(Status!$C:$C,Status!$A:$A=$A63),CONCATENATE(AH$2,""*"")),"""")"),"")</f>
        <v/>
      </c>
      <c r="AI63" s="23" t="str">
        <f>IFERROR(__xludf.DUMMYFUNCTION("if(countif(filter(Status!$C:$C,Status!$A:$A=$A63),CONCATENATE(AI$2,""*""))&gt;0,countif(filter(Status!$C:$C,Status!$A:$A=$A63),CONCATENATE(AI$2,""*"")),"""")"),"")</f>
        <v/>
      </c>
      <c r="AJ63" s="23" t="str">
        <f>IFERROR(__xludf.DUMMYFUNCTION("if(countif(filter(Status!$C:$C,Status!$A:$A=$A63),CONCATENATE(AJ$2,""*""))&gt;0,countif(filter(Status!$C:$C,Status!$A:$A=$A63),CONCATENATE(AJ$2,""*"")),"""")"),"")</f>
        <v/>
      </c>
      <c r="AK63" s="23" t="str">
        <f>IFERROR(__xludf.DUMMYFUNCTION("if(countif(filter(Status!$C:$C,Status!$A:$A=$A63),CONCATENATE(AK$2,""*""))&gt;0,countif(filter(Status!$C:$C,Status!$A:$A=$A63),CONCATENATE(AK$2,""*"")),"""")"),"")</f>
        <v/>
      </c>
      <c r="AL63" s="23" t="str">
        <f>IFERROR(__xludf.DUMMYFUNCTION("if(countif(filter(Status!$C:$C,Status!$A:$A=$A63),CONCATENATE(AL$2,""*""))&gt;0,countif(filter(Status!$C:$C,Status!$A:$A=$A63),CONCATENATE(AL$2,""*"")),"""")"),"")</f>
        <v/>
      </c>
      <c r="AM63" s="23" t="str">
        <f>IFERROR(__xludf.DUMMYFUNCTION("if(countif(filter(Status!$C:$C,Status!$A:$A=$A63),CONCATENATE(AM$2,""*""))&gt;0,countif(filter(Status!$C:$C,Status!$A:$A=$A63),CONCATENATE(AM$2,""*"")),"""")"),"")</f>
        <v/>
      </c>
      <c r="AN63" s="23" t="str">
        <f>IFERROR(__xludf.DUMMYFUNCTION("if(countif(filter(Status!$C:$C,Status!$A:$A=$A63),CONCATENATE(AN$2,""*""))&gt;0,countif(filter(Status!$C:$C,Status!$A:$A=$A63),CONCATENATE(AN$2,""*"")),"""")"),"")</f>
        <v/>
      </c>
      <c r="AO63" s="23" t="str">
        <f>IFERROR(__xludf.DUMMYFUNCTION("if(countif(filter(Status!$C:$C,Status!$A:$A=$A63),CONCATENATE(AO$2,""*""))&gt;0,countif(filter(Status!$C:$C,Status!$A:$A=$A63),CONCATENATE(AO$2,""*"")),"""")"),"")</f>
        <v/>
      </c>
      <c r="AP63" s="23">
        <f>IFERROR(__xludf.DUMMYFUNCTION("counta(iferror(filter(Status!C:C,Status!A:A=A63)))"),9.0)</f>
        <v>9</v>
      </c>
      <c r="AQ63" s="23">
        <f t="shared" si="6"/>
        <v>9</v>
      </c>
    </row>
    <row r="64">
      <c r="A64" s="1" t="s">
        <v>859</v>
      </c>
      <c r="B64" s="21">
        <f>IFERROR(__xludf.DUMMYFUNCTION("max(filter(Status!E:E,Status!A:A=A64))"),43784.0)</f>
        <v>43784</v>
      </c>
      <c r="C64" s="23">
        <f t="shared" si="1"/>
        <v>1</v>
      </c>
      <c r="D64" s="23">
        <f t="shared" si="2"/>
        <v>1</v>
      </c>
      <c r="E64" s="23">
        <f t="shared" si="3"/>
        <v>1</v>
      </c>
      <c r="F64" s="23">
        <f t="shared" si="4"/>
        <v>0.4583333333</v>
      </c>
      <c r="G64" s="25">
        <f t="shared" si="5"/>
        <v>1</v>
      </c>
      <c r="J64" s="23">
        <f>IFERROR(__xludf.DUMMYFUNCTION("COUNTA(iferror(filter(Status!H:H,Status!A:A=A64)))"),17.0)</f>
        <v>17</v>
      </c>
      <c r="K64" s="25">
        <f>IFERROR(__xludf.DUMMYFUNCTION("COUNTA(iferror(filter(Status!H:H,Status!A:A=A64,Status!H:H=TRUE)))"),17.0)</f>
        <v>17</v>
      </c>
      <c r="L64" s="23">
        <f>IFERROR(__xludf.DUMMYFUNCTION("COUNTA(iferror(filter(Status!L:L,Status!A:A=A64)))"),10.0)</f>
        <v>10</v>
      </c>
      <c r="M64" s="25">
        <f>IFERROR(__xludf.DUMMYFUNCTION("COUNTA(iferror(filter(Status!L:L,Status!A:A=A64,Status!L:L=TRUE)))"),10.0)</f>
        <v>10</v>
      </c>
      <c r="N64" s="23">
        <f>IFERROR(__xludf.DUMMYFUNCTION("COUNTA(iferror(filter(Status!N:N,Status!A:A=A64,Status!N:N=TRUE)))"),12.0)</f>
        <v>12</v>
      </c>
      <c r="O64" s="25">
        <f>IFERROR(__xludf.DUMMYFUNCTION("COUNTA(iferror(filter(Status!N:N,Status!A:A=A64,Status!N:N=TRUE)))"),12.0)</f>
        <v>12</v>
      </c>
      <c r="P64" s="23">
        <f>IFERROR(__xludf.DUMMYFUNCTION("COUNTA(iferror(filter(Status!P:P,Status!A:A=A64)))"),24.0)</f>
        <v>24</v>
      </c>
      <c r="Q64" s="25">
        <f>IFERROR(__xludf.DUMMYFUNCTION("COUNTA(iferror(filter(Status!P:P,Status!A:A=A64,Status!P:P=TRUE)))"),11.0)</f>
        <v>11</v>
      </c>
      <c r="R64" s="23">
        <f>IFERROR(__xludf.DUMMYFUNCTION("COUNTA(iferror(filter(Status!R:R,Status!A:A=A64)))"),12.0)</f>
        <v>12</v>
      </c>
      <c r="S64" s="25">
        <f>IFERROR(__xludf.DUMMYFUNCTION("COUNTA(iferror(filter(Status!R:R,Status!A:A=A64,Status!R:R=TRUE)))"),12.0)</f>
        <v>12</v>
      </c>
      <c r="V64" s="23" t="str">
        <f>IFERROR(__xludf.DUMMYFUNCTION("if((countif(filter(Status!$C:$C,Status!$A:$A=$A64),CONCATENATE(V$2,""*""))-W64)&gt;0,(countif(filter(Status!$C:$C,Status!$A:$A=$A64),CONCATENATE(V$2,""*""))-W64),"""")"),"")</f>
        <v/>
      </c>
      <c r="W64" s="23">
        <f>IFERROR(__xludf.DUMMYFUNCTION("if(countif(filter(Status!$C:$C,Status!$A:$A=$A64),CONCATENATE(W$2,""*""))&gt;0,countif(filter(Status!$C:$C,Status!$A:$A=$A64),CONCATENATE(W$2,""*"")),"""")"),5.0)</f>
        <v>5</v>
      </c>
      <c r="X64" s="23" t="str">
        <f>IFERROR(__xludf.DUMMYFUNCTION("if(countif(filter(Status!$C:$C,Status!$A:$A=$A64),CONCATENATE(X$2,""*""))&gt;0,countif(filter(Status!$C:$C,Status!$A:$A=$A64),CONCATENATE(X$2,""*"")),"""")"),"")</f>
        <v/>
      </c>
      <c r="Y64" s="23" t="str">
        <f>IFERROR(__xludf.DUMMYFUNCTION("if(countif(filter(Status!$C:$C,Status!$A:$A=$A64),CONCATENATE(Y$2,""*""))&gt;0,countif(filter(Status!$C:$C,Status!$A:$A=$A64),CONCATENATE(Y$2,""*"")),"""")"),"")</f>
        <v/>
      </c>
      <c r="Z64" s="23">
        <f>IFERROR(__xludf.DUMMYFUNCTION("if(countif(filter(Status!$C:$C,Status!$A:$A=$A64),CONCATENATE(Z$2,""*""))&gt;0,countif(filter(Status!$C:$C,Status!$A:$A=$A64),CONCATENATE(Z$2,""*"")),"""")"),5.0)</f>
        <v>5</v>
      </c>
      <c r="AA64" s="23">
        <f>IFERROR(__xludf.DUMMYFUNCTION("if((countif(filter(Status!$C:$C,Status!$A:$A=$A64),CONCATENATE(AA$2,""*""))-AB64)&gt;0,(countif(filter(Status!$C:$C,Status!$A:$A=$A64),CONCATENATE(AA$2,""*""))-AB64),"""")"),6.0)</f>
        <v>6</v>
      </c>
      <c r="AB64" s="23">
        <f>IFERROR(__xludf.DUMMYFUNCTION("if(countif(filter(Status!$C:$C,Status!$A:$A=$A64),CONCATENATE(AB$2,""*""))&gt;0,countif(filter(Status!$C:$C,Status!$A:$A=$A64),CONCATENATE(AB$2,""*"")),"""")"),6.0)</f>
        <v>6</v>
      </c>
      <c r="AC64" s="23">
        <f>IFERROR(__xludf.DUMMYFUNCTION("if(countif(filter(Status!$C:$C,Status!$A:$A=$A64),CONCATENATE(AC$2,""*""))&gt;0,countif(filter(Status!$C:$C,Status!$A:$A=$A64),CONCATENATE(AC$2,""*"")),"""")"),1.0)</f>
        <v>1</v>
      </c>
      <c r="AD64" s="23">
        <f>IFERROR(__xludf.DUMMYFUNCTION("if(countif(filter(Status!$C:$C,Status!$A:$A=$A64),CONCATENATE(AD$2,""*""))&gt;0,countif(filter(Status!$C:$C,Status!$A:$A=$A64),CONCATENATE(AD$2,""*"")),"""")"),1.0)</f>
        <v>1</v>
      </c>
      <c r="AE64" s="23">
        <f>IFERROR(__xludf.DUMMYFUNCTION("if(countif(filter(Status!$C:$C,Status!$A:$A=$A64),CONCATENATE(AE$2,""*""))&gt;0,countif(filter(Status!$C:$C,Status!$A:$A=$A64),CONCATENATE(AE$2,""*"")),"""")"),1.0)</f>
        <v>1</v>
      </c>
      <c r="AF64" s="23" t="str">
        <f>IFERROR(__xludf.DUMMYFUNCTION("if(countif(filter(Status!$C:$C,Status!$A:$A=$A64),CONCATENATE(AF$2,""*""))&gt;0,countif(filter(Status!$C:$C,Status!$A:$A=$A64),CONCATENATE(AF$2,""*"")),"""")"),"")</f>
        <v/>
      </c>
      <c r="AG64" s="23" t="str">
        <f>IFERROR(__xludf.DUMMYFUNCTION("if(countif(filter(Status!$C:$C,Status!$A:$A=$A64),CONCATENATE(AG$2,""*""))&gt;0,countif(filter(Status!$C:$C,Status!$A:$A=$A64),CONCATENATE(AG$2,""*"")),"""")"),"")</f>
        <v/>
      </c>
      <c r="AH64" s="23" t="str">
        <f>IFERROR(__xludf.DUMMYFUNCTION("if(countif(filter(Status!$C:$C,Status!$A:$A=$A64),CONCATENATE(AH$2,""*""))&gt;0,countif(filter(Status!$C:$C,Status!$A:$A=$A64),CONCATENATE(AH$2,""*"")),"""")"),"")</f>
        <v/>
      </c>
      <c r="AI64" s="23" t="str">
        <f>IFERROR(__xludf.DUMMYFUNCTION("if(countif(filter(Status!$C:$C,Status!$A:$A=$A64),CONCATENATE(AI$2,""*""))&gt;0,countif(filter(Status!$C:$C,Status!$A:$A=$A64),CONCATENATE(AI$2,""*"")),"""")"),"")</f>
        <v/>
      </c>
      <c r="AJ64" s="23" t="str">
        <f>IFERROR(__xludf.DUMMYFUNCTION("if(countif(filter(Status!$C:$C,Status!$A:$A=$A64),CONCATENATE(AJ$2,""*""))&gt;0,countif(filter(Status!$C:$C,Status!$A:$A=$A64),CONCATENATE(AJ$2,""*"")),"""")"),"")</f>
        <v/>
      </c>
      <c r="AK64" s="23" t="str">
        <f>IFERROR(__xludf.DUMMYFUNCTION("if(countif(filter(Status!$C:$C,Status!$A:$A=$A64),CONCATENATE(AK$2,""*""))&gt;0,countif(filter(Status!$C:$C,Status!$A:$A=$A64),CONCATENATE(AK$2,""*"")),"""")"),"")</f>
        <v/>
      </c>
      <c r="AL64" s="23" t="str">
        <f>IFERROR(__xludf.DUMMYFUNCTION("if(countif(filter(Status!$C:$C,Status!$A:$A=$A64),CONCATENATE(AL$2,""*""))&gt;0,countif(filter(Status!$C:$C,Status!$A:$A=$A64),CONCATENATE(AL$2,""*"")),"""")"),"")</f>
        <v/>
      </c>
      <c r="AM64" s="23" t="str">
        <f>IFERROR(__xludf.DUMMYFUNCTION("if(countif(filter(Status!$C:$C,Status!$A:$A=$A64),CONCATENATE(AM$2,""*""))&gt;0,countif(filter(Status!$C:$C,Status!$A:$A=$A64),CONCATENATE(AM$2,""*"")),"""")"),"")</f>
        <v/>
      </c>
      <c r="AN64" s="23" t="str">
        <f>IFERROR(__xludf.DUMMYFUNCTION("if(countif(filter(Status!$C:$C,Status!$A:$A=$A64),CONCATENATE(AN$2,""*""))&gt;0,countif(filter(Status!$C:$C,Status!$A:$A=$A64),CONCATENATE(AN$2,""*"")),"""")"),"")</f>
        <v/>
      </c>
      <c r="AO64" s="23" t="str">
        <f>IFERROR(__xludf.DUMMYFUNCTION("if(countif(filter(Status!$C:$C,Status!$A:$A=$A64),CONCATENATE(AO$2,""*""))&gt;0,countif(filter(Status!$C:$C,Status!$A:$A=$A64),CONCATENATE(AO$2,""*"")),"""")"),"")</f>
        <v/>
      </c>
      <c r="AP64" s="23">
        <f>IFERROR(__xludf.DUMMYFUNCTION("counta(iferror(filter(Status!C:C,Status!A:A=A64)))"),25.0)</f>
        <v>25</v>
      </c>
      <c r="AQ64" s="23">
        <f t="shared" si="6"/>
        <v>25</v>
      </c>
    </row>
    <row r="65">
      <c r="A65" s="1" t="s">
        <v>862</v>
      </c>
      <c r="B65" s="21">
        <f>IFERROR(__xludf.DUMMYFUNCTION("max(filter(Status!E:E,Status!A:A=A65))"),43787.0)</f>
        <v>43787</v>
      </c>
      <c r="C65" s="23">
        <f t="shared" si="1"/>
        <v>1</v>
      </c>
      <c r="D65" s="23">
        <f t="shared" si="2"/>
        <v>1</v>
      </c>
      <c r="E65" s="23">
        <f t="shared" si="3"/>
        <v>1</v>
      </c>
      <c r="F65" s="23">
        <f t="shared" si="4"/>
        <v>0.3846153846</v>
      </c>
      <c r="G65" s="25">
        <f t="shared" si="5"/>
        <v>1</v>
      </c>
      <c r="J65" s="23">
        <f>IFERROR(__xludf.DUMMYFUNCTION("COUNTA(iferror(filter(Status!H:H,Status!A:A=A65)))"),9.0)</f>
        <v>9</v>
      </c>
      <c r="K65" s="25">
        <f>IFERROR(__xludf.DUMMYFUNCTION("COUNTA(iferror(filter(Status!H:H,Status!A:A=A65,Status!H:H=TRUE)))"),9.0)</f>
        <v>9</v>
      </c>
      <c r="L65" s="23">
        <f>IFERROR(__xludf.DUMMYFUNCTION("COUNTA(iferror(filter(Status!L:L,Status!A:A=A65)))"),4.0)</f>
        <v>4</v>
      </c>
      <c r="M65" s="25">
        <f>IFERROR(__xludf.DUMMYFUNCTION("COUNTA(iferror(filter(Status!L:L,Status!A:A=A65,Status!L:L=TRUE)))"),4.0)</f>
        <v>4</v>
      </c>
      <c r="N65" s="23">
        <f>IFERROR(__xludf.DUMMYFUNCTION("COUNTA(iferror(filter(Status!N:N,Status!A:A=A65,Status!N:N=TRUE)))"),5.0)</f>
        <v>5</v>
      </c>
      <c r="O65" s="25">
        <f>IFERROR(__xludf.DUMMYFUNCTION("COUNTA(iferror(filter(Status!N:N,Status!A:A=A65,Status!N:N=TRUE)))"),5.0)</f>
        <v>5</v>
      </c>
      <c r="P65" s="23">
        <f>IFERROR(__xludf.DUMMYFUNCTION("COUNTA(iferror(filter(Status!P:P,Status!A:A=A65)))"),13.0)</f>
        <v>13</v>
      </c>
      <c r="Q65" s="25">
        <f>IFERROR(__xludf.DUMMYFUNCTION("COUNTA(iferror(filter(Status!P:P,Status!A:A=A65,Status!P:P=TRUE)))"),5.0)</f>
        <v>5</v>
      </c>
      <c r="R65" s="23">
        <f>IFERROR(__xludf.DUMMYFUNCTION("COUNTA(iferror(filter(Status!R:R,Status!A:A=A65)))"),9.0)</f>
        <v>9</v>
      </c>
      <c r="S65" s="25">
        <f>IFERROR(__xludf.DUMMYFUNCTION("COUNTA(iferror(filter(Status!R:R,Status!A:A=A65,Status!R:R=TRUE)))"),9.0)</f>
        <v>9</v>
      </c>
      <c r="V65" s="23" t="str">
        <f>IFERROR(__xludf.DUMMYFUNCTION("if((countif(filter(Status!$C:$C,Status!$A:$A=$A65),CONCATENATE(V$2,""*""))-W65)&gt;0,(countif(filter(Status!$C:$C,Status!$A:$A=$A65),CONCATENATE(V$2,""*""))-W65),"""")"),"")</f>
        <v/>
      </c>
      <c r="W65" s="23">
        <f>IFERROR(__xludf.DUMMYFUNCTION("if(countif(filter(Status!$C:$C,Status!$A:$A=$A65),CONCATENATE(W$2,""*""))&gt;0,countif(filter(Status!$C:$C,Status!$A:$A=$A65),CONCATENATE(W$2,""*"")),"""")"),4.0)</f>
        <v>4</v>
      </c>
      <c r="X65" s="23" t="str">
        <f>IFERROR(__xludf.DUMMYFUNCTION("if(countif(filter(Status!$C:$C,Status!$A:$A=$A65),CONCATENATE(X$2,""*""))&gt;0,countif(filter(Status!$C:$C,Status!$A:$A=$A65),CONCATENATE(X$2,""*"")),"""")"),"")</f>
        <v/>
      </c>
      <c r="Y65" s="23" t="str">
        <f>IFERROR(__xludf.DUMMYFUNCTION("if(countif(filter(Status!$C:$C,Status!$A:$A=$A65),CONCATENATE(Y$2,""*""))&gt;0,countif(filter(Status!$C:$C,Status!$A:$A=$A65),CONCATENATE(Y$2,""*"")),"""")"),"")</f>
        <v/>
      </c>
      <c r="Z65" s="23" t="str">
        <f>IFERROR(__xludf.DUMMYFUNCTION("if(countif(filter(Status!$C:$C,Status!$A:$A=$A65),CONCATENATE(Z$2,""*""))&gt;0,countif(filter(Status!$C:$C,Status!$A:$A=$A65),CONCATENATE(Z$2,""*"")),"""")"),"")</f>
        <v/>
      </c>
      <c r="AA65" s="23">
        <f>IFERROR(__xludf.DUMMYFUNCTION("if((countif(filter(Status!$C:$C,Status!$A:$A=$A65),CONCATENATE(AA$2,""*""))-AB65)&gt;0,(countif(filter(Status!$C:$C,Status!$A:$A=$A65),CONCATENATE(AA$2,""*""))-AB65),"""")"),4.0)</f>
        <v>4</v>
      </c>
      <c r="AB65" s="23">
        <f>IFERROR(__xludf.DUMMYFUNCTION("if(countif(filter(Status!$C:$C,Status!$A:$A=$A65),CONCATENATE(AB$2,""*""))&gt;0,countif(filter(Status!$C:$C,Status!$A:$A=$A65),CONCATENATE(AB$2,""*"")),"""")"),4.0)</f>
        <v>4</v>
      </c>
      <c r="AC65" s="23">
        <f>IFERROR(__xludf.DUMMYFUNCTION("if(countif(filter(Status!$C:$C,Status!$A:$A=$A65),CONCATENATE(AC$2,""*""))&gt;0,countif(filter(Status!$C:$C,Status!$A:$A=$A65),CONCATENATE(AC$2,""*"")),"""")"),1.0)</f>
        <v>1</v>
      </c>
      <c r="AD65" s="23" t="str">
        <f>IFERROR(__xludf.DUMMYFUNCTION("if(countif(filter(Status!$C:$C,Status!$A:$A=$A65),CONCATENATE(AD$2,""*""))&gt;0,countif(filter(Status!$C:$C,Status!$A:$A=$A65),CONCATENATE(AD$2,""*"")),"""")"),"")</f>
        <v/>
      </c>
      <c r="AE65" s="23">
        <f>IFERROR(__xludf.DUMMYFUNCTION("if(countif(filter(Status!$C:$C,Status!$A:$A=$A65),CONCATENATE(AE$2,""*""))&gt;0,countif(filter(Status!$C:$C,Status!$A:$A=$A65),CONCATENATE(AE$2,""*"")),"""")"),1.0)</f>
        <v>1</v>
      </c>
      <c r="AF65" s="23" t="str">
        <f>IFERROR(__xludf.DUMMYFUNCTION("if(countif(filter(Status!$C:$C,Status!$A:$A=$A65),CONCATENATE(AF$2,""*""))&gt;0,countif(filter(Status!$C:$C,Status!$A:$A=$A65),CONCATENATE(AF$2,""*"")),"""")"),"")</f>
        <v/>
      </c>
      <c r="AG65" s="23" t="str">
        <f>IFERROR(__xludf.DUMMYFUNCTION("if(countif(filter(Status!$C:$C,Status!$A:$A=$A65),CONCATENATE(AG$2,""*""))&gt;0,countif(filter(Status!$C:$C,Status!$A:$A=$A65),CONCATENATE(AG$2,""*"")),"""")"),"")</f>
        <v/>
      </c>
      <c r="AH65" s="23" t="str">
        <f>IFERROR(__xludf.DUMMYFUNCTION("if(countif(filter(Status!$C:$C,Status!$A:$A=$A65),CONCATENATE(AH$2,""*""))&gt;0,countif(filter(Status!$C:$C,Status!$A:$A=$A65),CONCATENATE(AH$2,""*"")),"""")"),"")</f>
        <v/>
      </c>
      <c r="AI65" s="23" t="str">
        <f>IFERROR(__xludf.DUMMYFUNCTION("if(countif(filter(Status!$C:$C,Status!$A:$A=$A65),CONCATENATE(AI$2,""*""))&gt;0,countif(filter(Status!$C:$C,Status!$A:$A=$A65),CONCATENATE(AI$2,""*"")),"""")"),"")</f>
        <v/>
      </c>
      <c r="AJ65" s="23" t="str">
        <f>IFERROR(__xludf.DUMMYFUNCTION("if(countif(filter(Status!$C:$C,Status!$A:$A=$A65),CONCATENATE(AJ$2,""*""))&gt;0,countif(filter(Status!$C:$C,Status!$A:$A=$A65),CONCATENATE(AJ$2,""*"")),"""")"),"")</f>
        <v/>
      </c>
      <c r="AK65" s="23" t="str">
        <f>IFERROR(__xludf.DUMMYFUNCTION("if(countif(filter(Status!$C:$C,Status!$A:$A=$A65),CONCATENATE(AK$2,""*""))&gt;0,countif(filter(Status!$C:$C,Status!$A:$A=$A65),CONCATENATE(AK$2,""*"")),"""")"),"")</f>
        <v/>
      </c>
      <c r="AL65" s="23" t="str">
        <f>IFERROR(__xludf.DUMMYFUNCTION("if(countif(filter(Status!$C:$C,Status!$A:$A=$A65),CONCATENATE(AL$2,""*""))&gt;0,countif(filter(Status!$C:$C,Status!$A:$A=$A65),CONCATENATE(AL$2,""*"")),"""")"),"")</f>
        <v/>
      </c>
      <c r="AM65" s="23" t="str">
        <f>IFERROR(__xludf.DUMMYFUNCTION("if(countif(filter(Status!$C:$C,Status!$A:$A=$A65),CONCATENATE(AM$2,""*""))&gt;0,countif(filter(Status!$C:$C,Status!$A:$A=$A65),CONCATENATE(AM$2,""*"")),"""")"),"")</f>
        <v/>
      </c>
      <c r="AN65" s="23" t="str">
        <f>IFERROR(__xludf.DUMMYFUNCTION("if(countif(filter(Status!$C:$C,Status!$A:$A=$A65),CONCATENATE(AN$2,""*""))&gt;0,countif(filter(Status!$C:$C,Status!$A:$A=$A65),CONCATENATE(AN$2,""*"")),"""")"),"")</f>
        <v/>
      </c>
      <c r="AO65" s="23" t="str">
        <f>IFERROR(__xludf.DUMMYFUNCTION("if(countif(filter(Status!$C:$C,Status!$A:$A=$A65),CONCATENATE(AO$2,""*""))&gt;0,countif(filter(Status!$C:$C,Status!$A:$A=$A65),CONCATENATE(AO$2,""*"")),"""")"),"")</f>
        <v/>
      </c>
      <c r="AP65" s="23">
        <f>IFERROR(__xludf.DUMMYFUNCTION("counta(iferror(filter(Status!C:C,Status!A:A=A65)))"),14.0)</f>
        <v>14</v>
      </c>
      <c r="AQ65" s="23">
        <f t="shared" si="6"/>
        <v>14</v>
      </c>
    </row>
    <row r="66">
      <c r="A66" s="1" t="s">
        <v>866</v>
      </c>
      <c r="B66" s="21">
        <f>IFERROR(__xludf.DUMMYFUNCTION("max(filter(Status!E:E,Status!A:A=A66))"),43788.0)</f>
        <v>43788</v>
      </c>
      <c r="C66" s="23">
        <f t="shared" si="1"/>
        <v>1</v>
      </c>
      <c r="D66" s="23">
        <f t="shared" si="2"/>
        <v>1</v>
      </c>
      <c r="E66" s="23">
        <f t="shared" si="3"/>
        <v>1</v>
      </c>
      <c r="F66" s="23">
        <f t="shared" si="4"/>
        <v>0.3529411765</v>
      </c>
      <c r="G66" s="25">
        <f t="shared" si="5"/>
        <v>1</v>
      </c>
      <c r="J66" s="23">
        <f>IFERROR(__xludf.DUMMYFUNCTION("COUNTA(iferror(filter(Status!H:H,Status!A:A=A66)))"),9.0)</f>
        <v>9</v>
      </c>
      <c r="K66" s="25">
        <f>IFERROR(__xludf.DUMMYFUNCTION("COUNTA(iferror(filter(Status!H:H,Status!A:A=A66,Status!H:H=TRUE)))"),9.0)</f>
        <v>9</v>
      </c>
      <c r="L66" s="23">
        <f>IFERROR(__xludf.DUMMYFUNCTION("COUNTA(iferror(filter(Status!L:L,Status!A:A=A66)))"),3.0)</f>
        <v>3</v>
      </c>
      <c r="M66" s="25">
        <f>IFERROR(__xludf.DUMMYFUNCTION("COUNTA(iferror(filter(Status!L:L,Status!A:A=A66,Status!L:L=TRUE)))"),3.0)</f>
        <v>3</v>
      </c>
      <c r="N66" s="23">
        <f>IFERROR(__xludf.DUMMYFUNCTION("COUNTA(iferror(filter(Status!N:N,Status!A:A=A66,Status!N:N=TRUE)))"),7.0)</f>
        <v>7</v>
      </c>
      <c r="O66" s="25">
        <f>IFERROR(__xludf.DUMMYFUNCTION("COUNTA(iferror(filter(Status!N:N,Status!A:A=A66,Status!N:N=TRUE)))"),7.0)</f>
        <v>7</v>
      </c>
      <c r="P66" s="23">
        <f>IFERROR(__xludf.DUMMYFUNCTION("COUNTA(iferror(filter(Status!P:P,Status!A:A=A66)))"),17.0)</f>
        <v>17</v>
      </c>
      <c r="Q66" s="25">
        <f>IFERROR(__xludf.DUMMYFUNCTION("COUNTA(iferror(filter(Status!P:P,Status!A:A=A66,Status!P:P=TRUE)))"),6.0)</f>
        <v>6</v>
      </c>
      <c r="R66" s="23">
        <f>IFERROR(__xludf.DUMMYFUNCTION("COUNTA(iferror(filter(Status!R:R,Status!A:A=A66)))"),11.0)</f>
        <v>11</v>
      </c>
      <c r="S66" s="25">
        <f>IFERROR(__xludf.DUMMYFUNCTION("COUNTA(iferror(filter(Status!R:R,Status!A:A=A66,Status!R:R=TRUE)))"),11.0)</f>
        <v>11</v>
      </c>
      <c r="V66" s="23" t="str">
        <f>IFERROR(__xludf.DUMMYFUNCTION("if((countif(filter(Status!$C:$C,Status!$A:$A=$A66),CONCATENATE(V$2,""*""))-W66)&gt;0,(countif(filter(Status!$C:$C,Status!$A:$A=$A66),CONCATENATE(V$2,""*""))-W66),"""")"),"")</f>
        <v/>
      </c>
      <c r="W66" s="23">
        <f>IFERROR(__xludf.DUMMYFUNCTION("if(countif(filter(Status!$C:$C,Status!$A:$A=$A66),CONCATENATE(W$2,""*""))&gt;0,countif(filter(Status!$C:$C,Status!$A:$A=$A66),CONCATENATE(W$2,""*"")),"""")"),3.0)</f>
        <v>3</v>
      </c>
      <c r="X66" s="23">
        <f>IFERROR(__xludf.DUMMYFUNCTION("if(countif(filter(Status!$C:$C,Status!$A:$A=$A66),CONCATENATE(X$2,""*""))&gt;0,countif(filter(Status!$C:$C,Status!$A:$A=$A66),CONCATENATE(X$2,""*"")),"""")"),2.0)</f>
        <v>2</v>
      </c>
      <c r="Y66" s="23" t="str">
        <f>IFERROR(__xludf.DUMMYFUNCTION("if(countif(filter(Status!$C:$C,Status!$A:$A=$A66),CONCATENATE(Y$2,""*""))&gt;0,countif(filter(Status!$C:$C,Status!$A:$A=$A66),CONCATENATE(Y$2,""*"")),"""")"),"")</f>
        <v/>
      </c>
      <c r="Z66" s="23" t="str">
        <f>IFERROR(__xludf.DUMMYFUNCTION("if(countif(filter(Status!$C:$C,Status!$A:$A=$A66),CONCATENATE(Z$2,""*""))&gt;0,countif(filter(Status!$C:$C,Status!$A:$A=$A66),CONCATENATE(Z$2,""*"")),"""")"),"")</f>
        <v/>
      </c>
      <c r="AA66" s="23">
        <f>IFERROR(__xludf.DUMMYFUNCTION("if((countif(filter(Status!$C:$C,Status!$A:$A=$A66),CONCATENATE(AA$2,""*""))-AB66)&gt;0,(countif(filter(Status!$C:$C,Status!$A:$A=$A66),CONCATENATE(AA$2,""*""))-AB66),"""")"),5.0)</f>
        <v>5</v>
      </c>
      <c r="AB66" s="23">
        <f>IFERROR(__xludf.DUMMYFUNCTION("if(countif(filter(Status!$C:$C,Status!$A:$A=$A66),CONCATENATE(AB$2,""*""))&gt;0,countif(filter(Status!$C:$C,Status!$A:$A=$A66),CONCATENATE(AB$2,""*"")),"""")"),5.0)</f>
        <v>5</v>
      </c>
      <c r="AC66" s="23">
        <f>IFERROR(__xludf.DUMMYFUNCTION("if(countif(filter(Status!$C:$C,Status!$A:$A=$A66),CONCATENATE(AC$2,""*""))&gt;0,countif(filter(Status!$C:$C,Status!$A:$A=$A66),CONCATENATE(AC$2,""*"")),"""")"),1.0)</f>
        <v>1</v>
      </c>
      <c r="AD66" s="23">
        <f>IFERROR(__xludf.DUMMYFUNCTION("if(countif(filter(Status!$C:$C,Status!$A:$A=$A66),CONCATENATE(AD$2,""*""))&gt;0,countif(filter(Status!$C:$C,Status!$A:$A=$A66),CONCATENATE(AD$2,""*"")),"""")"),1.0)</f>
        <v>1</v>
      </c>
      <c r="AE66" s="23">
        <f>IFERROR(__xludf.DUMMYFUNCTION("if(countif(filter(Status!$C:$C,Status!$A:$A=$A66),CONCATENATE(AE$2,""*""))&gt;0,countif(filter(Status!$C:$C,Status!$A:$A=$A66),CONCATENATE(AE$2,""*"")),"""")"),1.0)</f>
        <v>1</v>
      </c>
      <c r="AF66" s="23" t="str">
        <f>IFERROR(__xludf.DUMMYFUNCTION("if(countif(filter(Status!$C:$C,Status!$A:$A=$A66),CONCATENATE(AF$2,""*""))&gt;0,countif(filter(Status!$C:$C,Status!$A:$A=$A66),CONCATENATE(AF$2,""*"")),"""")"),"")</f>
        <v/>
      </c>
      <c r="AG66" s="23" t="str">
        <f>IFERROR(__xludf.DUMMYFUNCTION("if(countif(filter(Status!$C:$C,Status!$A:$A=$A66),CONCATENATE(AG$2,""*""))&gt;0,countif(filter(Status!$C:$C,Status!$A:$A=$A66),CONCATENATE(AG$2,""*"")),"""")"),"")</f>
        <v/>
      </c>
      <c r="AH66" s="23" t="str">
        <f>IFERROR(__xludf.DUMMYFUNCTION("if(countif(filter(Status!$C:$C,Status!$A:$A=$A66),CONCATENATE(AH$2,""*""))&gt;0,countif(filter(Status!$C:$C,Status!$A:$A=$A66),CONCATENATE(AH$2,""*"")),"""")"),"")</f>
        <v/>
      </c>
      <c r="AI66" s="23" t="str">
        <f>IFERROR(__xludf.DUMMYFUNCTION("if(countif(filter(Status!$C:$C,Status!$A:$A=$A66),CONCATENATE(AI$2,""*""))&gt;0,countif(filter(Status!$C:$C,Status!$A:$A=$A66),CONCATENATE(AI$2,""*"")),"""")"),"")</f>
        <v/>
      </c>
      <c r="AJ66" s="23" t="str">
        <f>IFERROR(__xludf.DUMMYFUNCTION("if(countif(filter(Status!$C:$C,Status!$A:$A=$A66),CONCATENATE(AJ$2,""*""))&gt;0,countif(filter(Status!$C:$C,Status!$A:$A=$A66),CONCATENATE(AJ$2,""*"")),"""")"),"")</f>
        <v/>
      </c>
      <c r="AK66" s="23" t="str">
        <f>IFERROR(__xludf.DUMMYFUNCTION("if(countif(filter(Status!$C:$C,Status!$A:$A=$A66),CONCATENATE(AK$2,""*""))&gt;0,countif(filter(Status!$C:$C,Status!$A:$A=$A66),CONCATENATE(AK$2,""*"")),"""")"),"")</f>
        <v/>
      </c>
      <c r="AL66" s="23" t="str">
        <f>IFERROR(__xludf.DUMMYFUNCTION("if(countif(filter(Status!$C:$C,Status!$A:$A=$A66),CONCATENATE(AL$2,""*""))&gt;0,countif(filter(Status!$C:$C,Status!$A:$A=$A66),CONCATENATE(AL$2,""*"")),"""")"),"")</f>
        <v/>
      </c>
      <c r="AM66" s="23" t="str">
        <f>IFERROR(__xludf.DUMMYFUNCTION("if(countif(filter(Status!$C:$C,Status!$A:$A=$A66),CONCATENATE(AM$2,""*""))&gt;0,countif(filter(Status!$C:$C,Status!$A:$A=$A66),CONCATENATE(AM$2,""*"")),"""")"),"")</f>
        <v/>
      </c>
      <c r="AN66" s="23" t="str">
        <f>IFERROR(__xludf.DUMMYFUNCTION("if(countif(filter(Status!$C:$C,Status!$A:$A=$A66),CONCATENATE(AN$2,""*""))&gt;0,countif(filter(Status!$C:$C,Status!$A:$A=$A66),CONCATENATE(AN$2,""*"")),"""")"),"")</f>
        <v/>
      </c>
      <c r="AO66" s="23" t="str">
        <f>IFERROR(__xludf.DUMMYFUNCTION("if(countif(filter(Status!$C:$C,Status!$A:$A=$A66),CONCATENATE(AO$2,""*""))&gt;0,countif(filter(Status!$C:$C,Status!$A:$A=$A66),CONCATENATE(AO$2,""*"")),"""")"),"")</f>
        <v/>
      </c>
      <c r="AP66" s="23">
        <f>IFERROR(__xludf.DUMMYFUNCTION("counta(iferror(filter(Status!C:C,Status!A:A=A66)))"),18.0)</f>
        <v>18</v>
      </c>
      <c r="AQ66" s="23">
        <f t="shared" si="6"/>
        <v>18</v>
      </c>
    </row>
    <row r="67">
      <c r="A67" s="1" t="s">
        <v>870</v>
      </c>
      <c r="B67" s="21">
        <f>IFERROR(__xludf.DUMMYFUNCTION("max(filter(Status!E:E,Status!A:A=A67))"),43789.0)</f>
        <v>43789</v>
      </c>
      <c r="C67" s="23">
        <f t="shared" si="1"/>
        <v>1</v>
      </c>
      <c r="D67" s="23">
        <f t="shared" si="2"/>
        <v>1</v>
      </c>
      <c r="E67" s="23">
        <f t="shared" si="3"/>
        <v>1</v>
      </c>
      <c r="F67" s="23">
        <f t="shared" si="4"/>
        <v>0.7777777778</v>
      </c>
      <c r="G67" s="25">
        <f t="shared" si="5"/>
        <v>0.6666666667</v>
      </c>
      <c r="J67" s="23">
        <f>IFERROR(__xludf.DUMMYFUNCTION("COUNTA(iferror(filter(Status!H:H,Status!A:A=A67)))"),7.0)</f>
        <v>7</v>
      </c>
      <c r="K67" s="25">
        <f>IFERROR(__xludf.DUMMYFUNCTION("COUNTA(iferror(filter(Status!H:H,Status!A:A=A67,Status!H:H=TRUE)))"),7.0)</f>
        <v>7</v>
      </c>
      <c r="L67" s="23">
        <f>IFERROR(__xludf.DUMMYFUNCTION("COUNTA(iferror(filter(Status!L:L,Status!A:A=A67)))"),5.0)</f>
        <v>5</v>
      </c>
      <c r="M67" s="25">
        <f>IFERROR(__xludf.DUMMYFUNCTION("COUNTA(iferror(filter(Status!L:L,Status!A:A=A67,Status!L:L=TRUE)))"),5.0)</f>
        <v>5</v>
      </c>
      <c r="N67" s="23">
        <f>IFERROR(__xludf.DUMMYFUNCTION("COUNTA(iferror(filter(Status!N:N,Status!A:A=A67,Status!N:N=TRUE)))"),7.0)</f>
        <v>7</v>
      </c>
      <c r="O67" s="25">
        <f>IFERROR(__xludf.DUMMYFUNCTION("COUNTA(iferror(filter(Status!N:N,Status!A:A=A67,Status!N:N=TRUE)))"),7.0)</f>
        <v>7</v>
      </c>
      <c r="P67" s="23">
        <f>IFERROR(__xludf.DUMMYFUNCTION("COUNTA(iferror(filter(Status!P:P,Status!A:A=A67)))"),9.0)</f>
        <v>9</v>
      </c>
      <c r="Q67" s="25">
        <f>IFERROR(__xludf.DUMMYFUNCTION("COUNTA(iferror(filter(Status!P:P,Status!A:A=A67,Status!P:P=TRUE)))"),7.0)</f>
        <v>7</v>
      </c>
      <c r="R67" s="23">
        <f>IFERROR(__xludf.DUMMYFUNCTION("COUNTA(iferror(filter(Status!R:R,Status!A:A=A67)))"),3.0)</f>
        <v>3</v>
      </c>
      <c r="S67" s="25">
        <f>IFERROR(__xludf.DUMMYFUNCTION("COUNTA(iferror(filter(Status!R:R,Status!A:A=A67,Status!R:R=TRUE)))"),2.0)</f>
        <v>2</v>
      </c>
      <c r="V67" s="23" t="str">
        <f>IFERROR(__xludf.DUMMYFUNCTION("if((countif(filter(Status!$C:$C,Status!$A:$A=$A67),CONCATENATE(V$2,""*""))-W67)&gt;0,(countif(filter(Status!$C:$C,Status!$A:$A=$A67),CONCATENATE(V$2,""*""))-W67),"""")"),"")</f>
        <v/>
      </c>
      <c r="W67" s="23" t="str">
        <f>IFERROR(__xludf.DUMMYFUNCTION("if(countif(filter(Status!$C:$C,Status!$A:$A=$A67),CONCATENATE(W$2,""*""))&gt;0,countif(filter(Status!$C:$C,Status!$A:$A=$A67),CONCATENATE(W$2,""*"")),"""")"),"")</f>
        <v/>
      </c>
      <c r="X67" s="23" t="str">
        <f>IFERROR(__xludf.DUMMYFUNCTION("if(countif(filter(Status!$C:$C,Status!$A:$A=$A67),CONCATENATE(X$2,""*""))&gt;0,countif(filter(Status!$C:$C,Status!$A:$A=$A67),CONCATENATE(X$2,""*"")),"""")"),"")</f>
        <v/>
      </c>
      <c r="Y67" s="23">
        <f>IFERROR(__xludf.DUMMYFUNCTION("if(countif(filter(Status!$C:$C,Status!$A:$A=$A67),CONCATENATE(Y$2,""*""))&gt;0,countif(filter(Status!$C:$C,Status!$A:$A=$A67),CONCATENATE(Y$2,""*"")),"""")"),4.0)</f>
        <v>4</v>
      </c>
      <c r="Z67" s="23" t="str">
        <f>IFERROR(__xludf.DUMMYFUNCTION("if(countif(filter(Status!$C:$C,Status!$A:$A=$A67),CONCATENATE(Z$2,""*""))&gt;0,countif(filter(Status!$C:$C,Status!$A:$A=$A67),CONCATENATE(Z$2,""*"")),"""")"),"")</f>
        <v/>
      </c>
      <c r="AA67" s="23">
        <f>IFERROR(__xludf.DUMMYFUNCTION("if((countif(filter(Status!$C:$C,Status!$A:$A=$A67),CONCATENATE(AA$2,""*""))-AB67)&gt;0,(countif(filter(Status!$C:$C,Status!$A:$A=$A67),CONCATENATE(AA$2,""*""))-AB67),"""")"),1.0)</f>
        <v>1</v>
      </c>
      <c r="AB67" s="23">
        <f>IFERROR(__xludf.DUMMYFUNCTION("if(countif(filter(Status!$C:$C,Status!$A:$A=$A67),CONCATENATE(AB$2,""*""))&gt;0,countif(filter(Status!$C:$C,Status!$A:$A=$A67),CONCATENATE(AB$2,""*"")),"""")"),1.0)</f>
        <v>1</v>
      </c>
      <c r="AC67" s="23">
        <f>IFERROR(__xludf.DUMMYFUNCTION("if(countif(filter(Status!$C:$C,Status!$A:$A=$A67),CONCATENATE(AC$2,""*""))&gt;0,countif(filter(Status!$C:$C,Status!$A:$A=$A67),CONCATENATE(AC$2,""*"")),"""")"),1.0)</f>
        <v>1</v>
      </c>
      <c r="AD67" s="23">
        <f>IFERROR(__xludf.DUMMYFUNCTION("if(countif(filter(Status!$C:$C,Status!$A:$A=$A67),CONCATENATE(AD$2,""*""))&gt;0,countif(filter(Status!$C:$C,Status!$A:$A=$A67),CONCATENATE(AD$2,""*"")),"""")"),1.0)</f>
        <v>1</v>
      </c>
      <c r="AE67" s="23">
        <f>IFERROR(__xludf.DUMMYFUNCTION("if(countif(filter(Status!$C:$C,Status!$A:$A=$A67),CONCATENATE(AE$2,""*""))&gt;0,countif(filter(Status!$C:$C,Status!$A:$A=$A67),CONCATENATE(AE$2,""*"")),"""")"),1.0)</f>
        <v>1</v>
      </c>
      <c r="AF67" s="23">
        <f>IFERROR(__xludf.DUMMYFUNCTION("if(countif(filter(Status!$C:$C,Status!$A:$A=$A67),CONCATENATE(AF$2,""*""))&gt;0,countif(filter(Status!$C:$C,Status!$A:$A=$A67),CONCATENATE(AF$2,""*"")),"""")"),1.0)</f>
        <v>1</v>
      </c>
      <c r="AG67" s="23" t="str">
        <f>IFERROR(__xludf.DUMMYFUNCTION("if(countif(filter(Status!$C:$C,Status!$A:$A=$A67),CONCATENATE(AG$2,""*""))&gt;0,countif(filter(Status!$C:$C,Status!$A:$A=$A67),CONCATENATE(AG$2,""*"")),"""")"),"")</f>
        <v/>
      </c>
      <c r="AH67" s="23" t="str">
        <f>IFERROR(__xludf.DUMMYFUNCTION("if(countif(filter(Status!$C:$C,Status!$A:$A=$A67),CONCATENATE(AH$2,""*""))&gt;0,countif(filter(Status!$C:$C,Status!$A:$A=$A67),CONCATENATE(AH$2,""*"")),"""")"),"")</f>
        <v/>
      </c>
      <c r="AI67" s="23" t="str">
        <f>IFERROR(__xludf.DUMMYFUNCTION("if(countif(filter(Status!$C:$C,Status!$A:$A=$A67),CONCATENATE(AI$2,""*""))&gt;0,countif(filter(Status!$C:$C,Status!$A:$A=$A67),CONCATENATE(AI$2,""*"")),"""")"),"")</f>
        <v/>
      </c>
      <c r="AJ67" s="23" t="str">
        <f>IFERROR(__xludf.DUMMYFUNCTION("if(countif(filter(Status!$C:$C,Status!$A:$A=$A67),CONCATENATE(AJ$2,""*""))&gt;0,countif(filter(Status!$C:$C,Status!$A:$A=$A67),CONCATENATE(AJ$2,""*"")),"""")"),"")</f>
        <v/>
      </c>
      <c r="AK67" s="23" t="str">
        <f>IFERROR(__xludf.DUMMYFUNCTION("if(countif(filter(Status!$C:$C,Status!$A:$A=$A67),CONCATENATE(AK$2,""*""))&gt;0,countif(filter(Status!$C:$C,Status!$A:$A=$A67),CONCATENATE(AK$2,""*"")),"""")"),"")</f>
        <v/>
      </c>
      <c r="AL67" s="23" t="str">
        <f>IFERROR(__xludf.DUMMYFUNCTION("if(countif(filter(Status!$C:$C,Status!$A:$A=$A67),CONCATENATE(AL$2,""*""))&gt;0,countif(filter(Status!$C:$C,Status!$A:$A=$A67),CONCATENATE(AL$2,""*"")),"""")"),"")</f>
        <v/>
      </c>
      <c r="AM67" s="23" t="str">
        <f>IFERROR(__xludf.DUMMYFUNCTION("if(countif(filter(Status!$C:$C,Status!$A:$A=$A67),CONCATENATE(AM$2,""*""))&gt;0,countif(filter(Status!$C:$C,Status!$A:$A=$A67),CONCATENATE(AM$2,""*"")),"""")"),"")</f>
        <v/>
      </c>
      <c r="AN67" s="23" t="str">
        <f>IFERROR(__xludf.DUMMYFUNCTION("if(countif(filter(Status!$C:$C,Status!$A:$A=$A67),CONCATENATE(AN$2,""*""))&gt;0,countif(filter(Status!$C:$C,Status!$A:$A=$A67),CONCATENATE(AN$2,""*"")),"""")"),"")</f>
        <v/>
      </c>
      <c r="AO67" s="23" t="str">
        <f>IFERROR(__xludf.DUMMYFUNCTION("if(countif(filter(Status!$C:$C,Status!$A:$A=$A67),CONCATENATE(AO$2,""*""))&gt;0,countif(filter(Status!$C:$C,Status!$A:$A=$A67),CONCATENATE(AO$2,""*"")),"""")"),"")</f>
        <v/>
      </c>
      <c r="AP67" s="23">
        <f>IFERROR(__xludf.DUMMYFUNCTION("counta(iferror(filter(Status!C:C,Status!A:A=A67)))"),10.0)</f>
        <v>10</v>
      </c>
      <c r="AQ67" s="23">
        <f t="shared" si="6"/>
        <v>10</v>
      </c>
    </row>
    <row r="68">
      <c r="A68" s="1" t="s">
        <v>874</v>
      </c>
      <c r="B68" s="21">
        <f>IFERROR(__xludf.DUMMYFUNCTION("max(filter(Status!E:E,Status!A:A=A68))"),43790.0)</f>
        <v>43790</v>
      </c>
      <c r="C68" s="23">
        <f t="shared" si="1"/>
        <v>0.9090909091</v>
      </c>
      <c r="D68" s="23">
        <f t="shared" si="2"/>
        <v>1</v>
      </c>
      <c r="E68" s="23">
        <f t="shared" si="3"/>
        <v>1</v>
      </c>
      <c r="F68" s="23">
        <f t="shared" si="4"/>
        <v>0.5263157895</v>
      </c>
      <c r="G68" s="25">
        <f t="shared" si="5"/>
        <v>0.9166666667</v>
      </c>
      <c r="J68" s="23">
        <f>IFERROR(__xludf.DUMMYFUNCTION("COUNTA(iferror(filter(Status!H:H,Status!A:A=A68)))"),11.0)</f>
        <v>11</v>
      </c>
      <c r="K68" s="25">
        <f>IFERROR(__xludf.DUMMYFUNCTION("COUNTA(iferror(filter(Status!H:H,Status!A:A=A68,Status!H:H=TRUE)))"),10.0)</f>
        <v>10</v>
      </c>
      <c r="L68" s="23">
        <f>IFERROR(__xludf.DUMMYFUNCTION("COUNTA(iferror(filter(Status!L:L,Status!A:A=A68)))"),4.0)</f>
        <v>4</v>
      </c>
      <c r="M68" s="25">
        <f>IFERROR(__xludf.DUMMYFUNCTION("COUNTA(iferror(filter(Status!L:L,Status!A:A=A68,Status!L:L=TRUE)))"),4.0)</f>
        <v>4</v>
      </c>
      <c r="N68" s="23">
        <f>IFERROR(__xludf.DUMMYFUNCTION("COUNTA(iferror(filter(Status!N:N,Status!A:A=A68,Status!N:N=TRUE)))"),13.0)</f>
        <v>13</v>
      </c>
      <c r="O68" s="25">
        <f>IFERROR(__xludf.DUMMYFUNCTION("COUNTA(iferror(filter(Status!N:N,Status!A:A=A68,Status!N:N=TRUE)))"),13.0)</f>
        <v>13</v>
      </c>
      <c r="P68" s="23">
        <f>IFERROR(__xludf.DUMMYFUNCTION("COUNTA(iferror(filter(Status!P:P,Status!A:A=A68)))"),19.0)</f>
        <v>19</v>
      </c>
      <c r="Q68" s="25">
        <f>IFERROR(__xludf.DUMMYFUNCTION("COUNTA(iferror(filter(Status!P:P,Status!A:A=A68,Status!P:P=TRUE)))"),10.0)</f>
        <v>10</v>
      </c>
      <c r="R68" s="23">
        <f>IFERROR(__xludf.DUMMYFUNCTION("COUNTA(iferror(filter(Status!R:R,Status!A:A=A68)))"),12.0)</f>
        <v>12</v>
      </c>
      <c r="S68" s="25">
        <f>IFERROR(__xludf.DUMMYFUNCTION("COUNTA(iferror(filter(Status!R:R,Status!A:A=A68,Status!R:R=TRUE)))"),11.0)</f>
        <v>11</v>
      </c>
      <c r="V68" s="23" t="str">
        <f>IFERROR(__xludf.DUMMYFUNCTION("if((countif(filter(Status!$C:$C,Status!$A:$A=$A68),CONCATENATE(V$2,""*""))-W68)&gt;0,(countif(filter(Status!$C:$C,Status!$A:$A=$A68),CONCATENATE(V$2,""*""))-W68),"""")"),"")</f>
        <v/>
      </c>
      <c r="W68" s="23">
        <f>IFERROR(__xludf.DUMMYFUNCTION("if(countif(filter(Status!$C:$C,Status!$A:$A=$A68),CONCATENATE(W$2,""*""))&gt;0,countif(filter(Status!$C:$C,Status!$A:$A=$A68),CONCATENATE(W$2,""*"")),"""")"),4.0)</f>
        <v>4</v>
      </c>
      <c r="X68" s="23">
        <f>IFERROR(__xludf.DUMMYFUNCTION("if(countif(filter(Status!$C:$C,Status!$A:$A=$A68),CONCATENATE(X$2,""*""))&gt;0,countif(filter(Status!$C:$C,Status!$A:$A=$A68),CONCATENATE(X$2,""*"")),"""")"),2.0)</f>
        <v>2</v>
      </c>
      <c r="Y68" s="23" t="str">
        <f>IFERROR(__xludf.DUMMYFUNCTION("if(countif(filter(Status!$C:$C,Status!$A:$A=$A68),CONCATENATE(Y$2,""*""))&gt;0,countif(filter(Status!$C:$C,Status!$A:$A=$A68),CONCATENATE(Y$2,""*"")),"""")"),"")</f>
        <v/>
      </c>
      <c r="Z68" s="23" t="str">
        <f>IFERROR(__xludf.DUMMYFUNCTION("if(countif(filter(Status!$C:$C,Status!$A:$A=$A68),CONCATENATE(Z$2,""*""))&gt;0,countif(filter(Status!$C:$C,Status!$A:$A=$A68),CONCATENATE(Z$2,""*"")),"""")"),"")</f>
        <v/>
      </c>
      <c r="AA68" s="23">
        <f>IFERROR(__xludf.DUMMYFUNCTION("if((countif(filter(Status!$C:$C,Status!$A:$A=$A68),CONCATENATE(AA$2,""*""))-AB68)&gt;0,(countif(filter(Status!$C:$C,Status!$A:$A=$A68),CONCATENATE(AA$2,""*""))-AB68),"""")"),6.0)</f>
        <v>6</v>
      </c>
      <c r="AB68" s="23">
        <f>IFERROR(__xludf.DUMMYFUNCTION("if(countif(filter(Status!$C:$C,Status!$A:$A=$A68),CONCATENATE(AB$2,""*""))&gt;0,countif(filter(Status!$C:$C,Status!$A:$A=$A68),CONCATENATE(AB$2,""*"")),"""")"),5.0)</f>
        <v>5</v>
      </c>
      <c r="AC68" s="23">
        <f>IFERROR(__xludf.DUMMYFUNCTION("if(countif(filter(Status!$C:$C,Status!$A:$A=$A68),CONCATENATE(AC$2,""*""))&gt;0,countif(filter(Status!$C:$C,Status!$A:$A=$A68),CONCATENATE(AC$2,""*"")),"""")"),1.0)</f>
        <v>1</v>
      </c>
      <c r="AD68" s="23">
        <f>IFERROR(__xludf.DUMMYFUNCTION("if(countif(filter(Status!$C:$C,Status!$A:$A=$A68),CONCATENATE(AD$2,""*""))&gt;0,countif(filter(Status!$C:$C,Status!$A:$A=$A68),CONCATENATE(AD$2,""*"")),"""")"),1.0)</f>
        <v>1</v>
      </c>
      <c r="AE68" s="23">
        <f>IFERROR(__xludf.DUMMYFUNCTION("if(countif(filter(Status!$C:$C,Status!$A:$A=$A68),CONCATENATE(AE$2,""*""))&gt;0,countif(filter(Status!$C:$C,Status!$A:$A=$A68),CONCATENATE(AE$2,""*"")),"""")"),1.0)</f>
        <v>1</v>
      </c>
      <c r="AF68" s="23" t="str">
        <f>IFERROR(__xludf.DUMMYFUNCTION("if(countif(filter(Status!$C:$C,Status!$A:$A=$A68),CONCATENATE(AF$2,""*""))&gt;0,countif(filter(Status!$C:$C,Status!$A:$A=$A68),CONCATENATE(AF$2,""*"")),"""")"),"")</f>
        <v/>
      </c>
      <c r="AG68" s="23" t="str">
        <f>IFERROR(__xludf.DUMMYFUNCTION("if(countif(filter(Status!$C:$C,Status!$A:$A=$A68),CONCATENATE(AG$2,""*""))&gt;0,countif(filter(Status!$C:$C,Status!$A:$A=$A68),CONCATENATE(AG$2,""*"")),"""")"),"")</f>
        <v/>
      </c>
      <c r="AH68" s="23" t="str">
        <f>IFERROR(__xludf.DUMMYFUNCTION("if(countif(filter(Status!$C:$C,Status!$A:$A=$A68),CONCATENATE(AH$2,""*""))&gt;0,countif(filter(Status!$C:$C,Status!$A:$A=$A68),CONCATENATE(AH$2,""*"")),"""")"),"")</f>
        <v/>
      </c>
      <c r="AI68" s="23" t="str">
        <f>IFERROR(__xludf.DUMMYFUNCTION("if(countif(filter(Status!$C:$C,Status!$A:$A=$A68),CONCATENATE(AI$2,""*""))&gt;0,countif(filter(Status!$C:$C,Status!$A:$A=$A68),CONCATENATE(AI$2,""*"")),"""")"),"")</f>
        <v/>
      </c>
      <c r="AJ68" s="23" t="str">
        <f>IFERROR(__xludf.DUMMYFUNCTION("if(countif(filter(Status!$C:$C,Status!$A:$A=$A68),CONCATENATE(AJ$2,""*""))&gt;0,countif(filter(Status!$C:$C,Status!$A:$A=$A68),CONCATENATE(AJ$2,""*"")),"""")"),"")</f>
        <v/>
      </c>
      <c r="AK68" s="23" t="str">
        <f>IFERROR(__xludf.DUMMYFUNCTION("if(countif(filter(Status!$C:$C,Status!$A:$A=$A68),CONCATENATE(AK$2,""*""))&gt;0,countif(filter(Status!$C:$C,Status!$A:$A=$A68),CONCATENATE(AK$2,""*"")),"""")"),"")</f>
        <v/>
      </c>
      <c r="AL68" s="23" t="str">
        <f>IFERROR(__xludf.DUMMYFUNCTION("if(countif(filter(Status!$C:$C,Status!$A:$A=$A68),CONCATENATE(AL$2,""*""))&gt;0,countif(filter(Status!$C:$C,Status!$A:$A=$A68),CONCATENATE(AL$2,""*"")),"""")"),"")</f>
        <v/>
      </c>
      <c r="AM68" s="23" t="str">
        <f>IFERROR(__xludf.DUMMYFUNCTION("if(countif(filter(Status!$C:$C,Status!$A:$A=$A68),CONCATENATE(AM$2,""*""))&gt;0,countif(filter(Status!$C:$C,Status!$A:$A=$A68),CONCATENATE(AM$2,""*"")),"""")"),"")</f>
        <v/>
      </c>
      <c r="AN68" s="23" t="str">
        <f>IFERROR(__xludf.DUMMYFUNCTION("if(countif(filter(Status!$C:$C,Status!$A:$A=$A68),CONCATENATE(AN$2,""*""))&gt;0,countif(filter(Status!$C:$C,Status!$A:$A=$A68),CONCATENATE(AN$2,""*"")),"""")"),"")</f>
        <v/>
      </c>
      <c r="AO68" s="23" t="str">
        <f>IFERROR(__xludf.DUMMYFUNCTION("if(countif(filter(Status!$C:$C,Status!$A:$A=$A68),CONCATENATE(AO$2,""*""))&gt;0,countif(filter(Status!$C:$C,Status!$A:$A=$A68),CONCATENATE(AO$2,""*"")),"""")"),"")</f>
        <v/>
      </c>
      <c r="AP68" s="23">
        <f>IFERROR(__xludf.DUMMYFUNCTION("counta(iferror(filter(Status!C:C,Status!A:A=A68)))"),20.0)</f>
        <v>20</v>
      </c>
      <c r="AQ68" s="23">
        <f t="shared" si="6"/>
        <v>20</v>
      </c>
    </row>
    <row r="69">
      <c r="A69" s="1" t="s">
        <v>878</v>
      </c>
      <c r="B69" s="21">
        <f>IFERROR(__xludf.DUMMYFUNCTION("max(filter(Status!E:E,Status!A:A=A69))"),43791.0)</f>
        <v>43791</v>
      </c>
      <c r="C69" s="23">
        <f t="shared" si="1"/>
        <v>1</v>
      </c>
      <c r="D69" s="23">
        <f t="shared" si="2"/>
        <v>1</v>
      </c>
      <c r="E69" s="23">
        <f t="shared" si="3"/>
        <v>1</v>
      </c>
      <c r="F69" s="23">
        <f t="shared" si="4"/>
        <v>1</v>
      </c>
      <c r="G69" s="25">
        <f t="shared" si="5"/>
        <v>1</v>
      </c>
      <c r="J69" s="23">
        <f>IFERROR(__xludf.DUMMYFUNCTION("COUNTA(iferror(filter(Status!H:H,Status!A:A=A69)))"),7.0)</f>
        <v>7</v>
      </c>
      <c r="K69" s="25">
        <f>IFERROR(__xludf.DUMMYFUNCTION("COUNTA(iferror(filter(Status!H:H,Status!A:A=A69,Status!H:H=TRUE)))"),7.0)</f>
        <v>7</v>
      </c>
      <c r="L69" s="23">
        <f>IFERROR(__xludf.DUMMYFUNCTION("COUNTA(iferror(filter(Status!L:L,Status!A:A=A69)))"),3.0)</f>
        <v>3</v>
      </c>
      <c r="M69" s="25">
        <f>IFERROR(__xludf.DUMMYFUNCTION("COUNTA(iferror(filter(Status!L:L,Status!A:A=A69,Status!L:L=TRUE)))"),3.0)</f>
        <v>3</v>
      </c>
      <c r="N69" s="23">
        <f>IFERROR(__xludf.DUMMYFUNCTION("COUNTA(iferror(filter(Status!N:N,Status!A:A=A69,Status!N:N=TRUE)))"),7.0)</f>
        <v>7</v>
      </c>
      <c r="O69" s="25">
        <f>IFERROR(__xludf.DUMMYFUNCTION("COUNTA(iferror(filter(Status!N:N,Status!A:A=A69,Status!N:N=TRUE)))"),7.0)</f>
        <v>7</v>
      </c>
      <c r="P69" s="23">
        <f>IFERROR(__xludf.DUMMYFUNCTION("COUNTA(iferror(filter(Status!P:P,Status!A:A=A69)))"),7.0)</f>
        <v>7</v>
      </c>
      <c r="Q69" s="25">
        <f>IFERROR(__xludf.DUMMYFUNCTION("COUNTA(iferror(filter(Status!P:P,Status!A:A=A69,Status!P:P=TRUE)))"),7.0)</f>
        <v>7</v>
      </c>
      <c r="R69" s="23">
        <f>IFERROR(__xludf.DUMMYFUNCTION("COUNTA(iferror(filter(Status!R:R,Status!A:A=A69)))"),7.0)</f>
        <v>7</v>
      </c>
      <c r="S69" s="25">
        <f>IFERROR(__xludf.DUMMYFUNCTION("COUNTA(iferror(filter(Status!R:R,Status!A:A=A69,Status!R:R=TRUE)))"),7.0)</f>
        <v>7</v>
      </c>
      <c r="V69" s="23" t="str">
        <f>IFERROR(__xludf.DUMMYFUNCTION("if((countif(filter(Status!$C:$C,Status!$A:$A=$A69),CONCATENATE(V$2,""*""))-W69)&gt;0,(countif(filter(Status!$C:$C,Status!$A:$A=$A69),CONCATENATE(V$2,""*""))-W69),"""")"),"")</f>
        <v/>
      </c>
      <c r="W69" s="23">
        <f>IFERROR(__xludf.DUMMYFUNCTION("if(countif(filter(Status!$C:$C,Status!$A:$A=$A69),CONCATENATE(W$2,""*""))&gt;0,countif(filter(Status!$C:$C,Status!$A:$A=$A69),CONCATENATE(W$2,""*"")),"""")"),3.0)</f>
        <v>3</v>
      </c>
      <c r="X69" s="23" t="str">
        <f>IFERROR(__xludf.DUMMYFUNCTION("if(countif(filter(Status!$C:$C,Status!$A:$A=$A69),CONCATENATE(X$2,""*""))&gt;0,countif(filter(Status!$C:$C,Status!$A:$A=$A69),CONCATENATE(X$2,""*"")),"""")"),"")</f>
        <v/>
      </c>
      <c r="Y69" s="23" t="str">
        <f>IFERROR(__xludf.DUMMYFUNCTION("if(countif(filter(Status!$C:$C,Status!$A:$A=$A69),CONCATENATE(Y$2,""*""))&gt;0,countif(filter(Status!$C:$C,Status!$A:$A=$A69),CONCATENATE(Y$2,""*"")),"""")"),"")</f>
        <v/>
      </c>
      <c r="Z69" s="23" t="str">
        <f>IFERROR(__xludf.DUMMYFUNCTION("if(countif(filter(Status!$C:$C,Status!$A:$A=$A69),CONCATENATE(Z$2,""*""))&gt;0,countif(filter(Status!$C:$C,Status!$A:$A=$A69),CONCATENATE(Z$2,""*"")),"""")"),"")</f>
        <v/>
      </c>
      <c r="AA69" s="23">
        <f>IFERROR(__xludf.DUMMYFUNCTION("if((countif(filter(Status!$C:$C,Status!$A:$A=$A69),CONCATENATE(AA$2,""*""))-AB69)&gt;0,(countif(filter(Status!$C:$C,Status!$A:$A=$A69),CONCATENATE(AA$2,""*""))-AB69),"""")"),3.0)</f>
        <v>3</v>
      </c>
      <c r="AB69" s="23">
        <f>IFERROR(__xludf.DUMMYFUNCTION("if(countif(filter(Status!$C:$C,Status!$A:$A=$A69),CONCATENATE(AB$2,""*""))&gt;0,countif(filter(Status!$C:$C,Status!$A:$A=$A69),CONCATENATE(AB$2,""*"")),"""")"),3.0)</f>
        <v>3</v>
      </c>
      <c r="AC69" s="23">
        <f>IFERROR(__xludf.DUMMYFUNCTION("if(countif(filter(Status!$C:$C,Status!$A:$A=$A69),CONCATENATE(AC$2,""*""))&gt;0,countif(filter(Status!$C:$C,Status!$A:$A=$A69),CONCATENATE(AC$2,""*"")),"""")"),1.0)</f>
        <v>1</v>
      </c>
      <c r="AD69" s="23">
        <f>IFERROR(__xludf.DUMMYFUNCTION("if(countif(filter(Status!$C:$C,Status!$A:$A=$A69),CONCATENATE(AD$2,""*""))&gt;0,countif(filter(Status!$C:$C,Status!$A:$A=$A69),CONCATENATE(AD$2,""*"")),"""")"),1.0)</f>
        <v>1</v>
      </c>
      <c r="AE69" s="23">
        <f>IFERROR(__xludf.DUMMYFUNCTION("if(countif(filter(Status!$C:$C,Status!$A:$A=$A69),CONCATENATE(AE$2,""*""))&gt;0,countif(filter(Status!$C:$C,Status!$A:$A=$A69),CONCATENATE(AE$2,""*"")),"""")"),1.0)</f>
        <v>1</v>
      </c>
      <c r="AF69" s="23" t="str">
        <f>IFERROR(__xludf.DUMMYFUNCTION("if(countif(filter(Status!$C:$C,Status!$A:$A=$A69),CONCATENATE(AF$2,""*""))&gt;0,countif(filter(Status!$C:$C,Status!$A:$A=$A69),CONCATENATE(AF$2,""*"")),"""")"),"")</f>
        <v/>
      </c>
      <c r="AG69" s="23" t="str">
        <f>IFERROR(__xludf.DUMMYFUNCTION("if(countif(filter(Status!$C:$C,Status!$A:$A=$A69),CONCATENATE(AG$2,""*""))&gt;0,countif(filter(Status!$C:$C,Status!$A:$A=$A69),CONCATENATE(AG$2,""*"")),"""")"),"")</f>
        <v/>
      </c>
      <c r="AH69" s="23" t="str">
        <f>IFERROR(__xludf.DUMMYFUNCTION("if(countif(filter(Status!$C:$C,Status!$A:$A=$A69),CONCATENATE(AH$2,""*""))&gt;0,countif(filter(Status!$C:$C,Status!$A:$A=$A69),CONCATENATE(AH$2,""*"")),"""")"),"")</f>
        <v/>
      </c>
      <c r="AI69" s="23" t="str">
        <f>IFERROR(__xludf.DUMMYFUNCTION("if(countif(filter(Status!$C:$C,Status!$A:$A=$A69),CONCATENATE(AI$2,""*""))&gt;0,countif(filter(Status!$C:$C,Status!$A:$A=$A69),CONCATENATE(AI$2,""*"")),"""")"),"")</f>
        <v/>
      </c>
      <c r="AJ69" s="23" t="str">
        <f>IFERROR(__xludf.DUMMYFUNCTION("if(countif(filter(Status!$C:$C,Status!$A:$A=$A69),CONCATENATE(AJ$2,""*""))&gt;0,countif(filter(Status!$C:$C,Status!$A:$A=$A69),CONCATENATE(AJ$2,""*"")),"""")"),"")</f>
        <v/>
      </c>
      <c r="AK69" s="23" t="str">
        <f>IFERROR(__xludf.DUMMYFUNCTION("if(countif(filter(Status!$C:$C,Status!$A:$A=$A69),CONCATENATE(AK$2,""*""))&gt;0,countif(filter(Status!$C:$C,Status!$A:$A=$A69),CONCATENATE(AK$2,""*"")),"""")"),"")</f>
        <v/>
      </c>
      <c r="AL69" s="23" t="str">
        <f>IFERROR(__xludf.DUMMYFUNCTION("if(countif(filter(Status!$C:$C,Status!$A:$A=$A69),CONCATENATE(AL$2,""*""))&gt;0,countif(filter(Status!$C:$C,Status!$A:$A=$A69),CONCATENATE(AL$2,""*"")),"""")"),"")</f>
        <v/>
      </c>
      <c r="AM69" s="23" t="str">
        <f>IFERROR(__xludf.DUMMYFUNCTION("if(countif(filter(Status!$C:$C,Status!$A:$A=$A69),CONCATENATE(AM$2,""*""))&gt;0,countif(filter(Status!$C:$C,Status!$A:$A=$A69),CONCATENATE(AM$2,""*"")),"""")"),"")</f>
        <v/>
      </c>
      <c r="AN69" s="23" t="str">
        <f>IFERROR(__xludf.DUMMYFUNCTION("if(countif(filter(Status!$C:$C,Status!$A:$A=$A69),CONCATENATE(AN$2,""*""))&gt;0,countif(filter(Status!$C:$C,Status!$A:$A=$A69),CONCATENATE(AN$2,""*"")),"""")"),"")</f>
        <v/>
      </c>
      <c r="AO69" s="23" t="str">
        <f>IFERROR(__xludf.DUMMYFUNCTION("if(countif(filter(Status!$C:$C,Status!$A:$A=$A69),CONCATENATE(AO$2,""*""))&gt;0,countif(filter(Status!$C:$C,Status!$A:$A=$A69),CONCATENATE(AO$2,""*"")),"""")"),"")</f>
        <v/>
      </c>
      <c r="AP69" s="23">
        <f>IFERROR(__xludf.DUMMYFUNCTION("counta(iferror(filter(Status!C:C,Status!A:A=A69)))"),12.0)</f>
        <v>12</v>
      </c>
      <c r="AQ69" s="23">
        <f t="shared" si="6"/>
        <v>12</v>
      </c>
    </row>
    <row r="70">
      <c r="A70" s="1" t="s">
        <v>883</v>
      </c>
      <c r="B70" s="21">
        <f>IFERROR(__xludf.DUMMYFUNCTION("max(filter(Status!E:E,Status!A:A=A70))"),43794.0)</f>
        <v>43794</v>
      </c>
      <c r="C70" s="23">
        <f t="shared" si="1"/>
        <v>1</v>
      </c>
      <c r="D70" s="23">
        <f t="shared" si="2"/>
        <v>1</v>
      </c>
      <c r="E70" s="23">
        <f t="shared" si="3"/>
        <v>1</v>
      </c>
      <c r="F70" s="23">
        <f t="shared" si="4"/>
        <v>0.2857142857</v>
      </c>
      <c r="G70" s="25">
        <f t="shared" si="5"/>
        <v>1</v>
      </c>
      <c r="J70" s="23">
        <f>IFERROR(__xludf.DUMMYFUNCTION("COUNTA(iferror(filter(Status!H:H,Status!A:A=A70)))"),5.0)</f>
        <v>5</v>
      </c>
      <c r="K70" s="25">
        <f>IFERROR(__xludf.DUMMYFUNCTION("COUNTA(iferror(filter(Status!H:H,Status!A:A=A70,Status!H:H=TRUE)))"),5.0)</f>
        <v>5</v>
      </c>
      <c r="L70" s="23">
        <f>IFERROR(__xludf.DUMMYFUNCTION("COUNTA(iferror(filter(Status!L:L,Status!A:A=A70)))"),2.0)</f>
        <v>2</v>
      </c>
      <c r="M70" s="25">
        <f>IFERROR(__xludf.DUMMYFUNCTION("COUNTA(iferror(filter(Status!L:L,Status!A:A=A70,Status!L:L=TRUE)))"),2.0)</f>
        <v>2</v>
      </c>
      <c r="N70" s="23">
        <f>IFERROR(__xludf.DUMMYFUNCTION("COUNTA(iferror(filter(Status!N:N,Status!A:A=A70,Status!N:N=TRUE)))"),3.0)</f>
        <v>3</v>
      </c>
      <c r="O70" s="25">
        <f>IFERROR(__xludf.DUMMYFUNCTION("COUNTA(iferror(filter(Status!N:N,Status!A:A=A70,Status!N:N=TRUE)))"),3.0)</f>
        <v>3</v>
      </c>
      <c r="P70" s="23">
        <f>IFERROR(__xludf.DUMMYFUNCTION("COUNTA(iferror(filter(Status!P:P,Status!A:A=A70)))"),7.0)</f>
        <v>7</v>
      </c>
      <c r="Q70" s="25">
        <f>IFERROR(__xludf.DUMMYFUNCTION("COUNTA(iferror(filter(Status!P:P,Status!A:A=A70,Status!P:P=TRUE)))"),2.0)</f>
        <v>2</v>
      </c>
      <c r="R70" s="23">
        <f>IFERROR(__xludf.DUMMYFUNCTION("COUNTA(iferror(filter(Status!R:R,Status!A:A=A70)))"),5.0)</f>
        <v>5</v>
      </c>
      <c r="S70" s="25">
        <f>IFERROR(__xludf.DUMMYFUNCTION("COUNTA(iferror(filter(Status!R:R,Status!A:A=A70,Status!R:R=TRUE)))"),5.0)</f>
        <v>5</v>
      </c>
      <c r="V70" s="23" t="str">
        <f>IFERROR(__xludf.DUMMYFUNCTION("if((countif(filter(Status!$C:$C,Status!$A:$A=$A70),CONCATENATE(V$2,""*""))-W70)&gt;0,(countif(filter(Status!$C:$C,Status!$A:$A=$A70),CONCATENATE(V$2,""*""))-W70),"""")"),"")</f>
        <v/>
      </c>
      <c r="W70" s="23">
        <f>IFERROR(__xludf.DUMMYFUNCTION("if(countif(filter(Status!$C:$C,Status!$A:$A=$A70),CONCATENATE(W$2,""*""))&gt;0,countif(filter(Status!$C:$C,Status!$A:$A=$A70),CONCATENATE(W$2,""*"")),"""")"),2.0)</f>
        <v>2</v>
      </c>
      <c r="X70" s="23" t="str">
        <f>IFERROR(__xludf.DUMMYFUNCTION("if(countif(filter(Status!$C:$C,Status!$A:$A=$A70),CONCATENATE(X$2,""*""))&gt;0,countif(filter(Status!$C:$C,Status!$A:$A=$A70),CONCATENATE(X$2,""*"")),"""")"),"")</f>
        <v/>
      </c>
      <c r="Y70" s="23" t="str">
        <f>IFERROR(__xludf.DUMMYFUNCTION("if(countif(filter(Status!$C:$C,Status!$A:$A=$A70),CONCATENATE(Y$2,""*""))&gt;0,countif(filter(Status!$C:$C,Status!$A:$A=$A70),CONCATENATE(Y$2,""*"")),"""")"),"")</f>
        <v/>
      </c>
      <c r="Z70" s="23" t="str">
        <f>IFERROR(__xludf.DUMMYFUNCTION("if(countif(filter(Status!$C:$C,Status!$A:$A=$A70),CONCATENATE(Z$2,""*""))&gt;0,countif(filter(Status!$C:$C,Status!$A:$A=$A70),CONCATENATE(Z$2,""*"")),"""")"),"")</f>
        <v/>
      </c>
      <c r="AA70" s="23">
        <f>IFERROR(__xludf.DUMMYFUNCTION("if((countif(filter(Status!$C:$C,Status!$A:$A=$A70),CONCATENATE(AA$2,""*""))-AB70)&gt;0,(countif(filter(Status!$C:$C,Status!$A:$A=$A70),CONCATENATE(AA$2,""*""))-AB70),"""")"),2.0)</f>
        <v>2</v>
      </c>
      <c r="AB70" s="23">
        <f>IFERROR(__xludf.DUMMYFUNCTION("if(countif(filter(Status!$C:$C,Status!$A:$A=$A70),CONCATENATE(AB$2,""*""))&gt;0,countif(filter(Status!$C:$C,Status!$A:$A=$A70),CONCATENATE(AB$2,""*"")),"""")"),2.0)</f>
        <v>2</v>
      </c>
      <c r="AC70" s="23">
        <f>IFERROR(__xludf.DUMMYFUNCTION("if(countif(filter(Status!$C:$C,Status!$A:$A=$A70),CONCATENATE(AC$2,""*""))&gt;0,countif(filter(Status!$C:$C,Status!$A:$A=$A70),CONCATENATE(AC$2,""*"")),"""")"),1.0)</f>
        <v>1</v>
      </c>
      <c r="AD70" s="23" t="str">
        <f>IFERROR(__xludf.DUMMYFUNCTION("if(countif(filter(Status!$C:$C,Status!$A:$A=$A70),CONCATENATE(AD$2,""*""))&gt;0,countif(filter(Status!$C:$C,Status!$A:$A=$A70),CONCATENATE(AD$2,""*"")),"""")"),"")</f>
        <v/>
      </c>
      <c r="AE70" s="23">
        <f>IFERROR(__xludf.DUMMYFUNCTION("if(countif(filter(Status!$C:$C,Status!$A:$A=$A70),CONCATENATE(AE$2,""*""))&gt;0,countif(filter(Status!$C:$C,Status!$A:$A=$A70),CONCATENATE(AE$2,""*"")),"""")"),1.0)</f>
        <v>1</v>
      </c>
      <c r="AF70" s="23" t="str">
        <f>IFERROR(__xludf.DUMMYFUNCTION("if(countif(filter(Status!$C:$C,Status!$A:$A=$A70),CONCATENATE(AF$2,""*""))&gt;0,countif(filter(Status!$C:$C,Status!$A:$A=$A70),CONCATENATE(AF$2,""*"")),"""")"),"")</f>
        <v/>
      </c>
      <c r="AG70" s="23" t="str">
        <f>IFERROR(__xludf.DUMMYFUNCTION("if(countif(filter(Status!$C:$C,Status!$A:$A=$A70),CONCATENATE(AG$2,""*""))&gt;0,countif(filter(Status!$C:$C,Status!$A:$A=$A70),CONCATENATE(AG$2,""*"")),"""")"),"")</f>
        <v/>
      </c>
      <c r="AH70" s="23" t="str">
        <f>IFERROR(__xludf.DUMMYFUNCTION("if(countif(filter(Status!$C:$C,Status!$A:$A=$A70),CONCATENATE(AH$2,""*""))&gt;0,countif(filter(Status!$C:$C,Status!$A:$A=$A70),CONCATENATE(AH$2,""*"")),"""")"),"")</f>
        <v/>
      </c>
      <c r="AI70" s="23" t="str">
        <f>IFERROR(__xludf.DUMMYFUNCTION("if(countif(filter(Status!$C:$C,Status!$A:$A=$A70),CONCATENATE(AI$2,""*""))&gt;0,countif(filter(Status!$C:$C,Status!$A:$A=$A70),CONCATENATE(AI$2,""*"")),"""")"),"")</f>
        <v/>
      </c>
      <c r="AJ70" s="23" t="str">
        <f>IFERROR(__xludf.DUMMYFUNCTION("if(countif(filter(Status!$C:$C,Status!$A:$A=$A70),CONCATENATE(AJ$2,""*""))&gt;0,countif(filter(Status!$C:$C,Status!$A:$A=$A70),CONCATENATE(AJ$2,""*"")),"""")"),"")</f>
        <v/>
      </c>
      <c r="AK70" s="23" t="str">
        <f>IFERROR(__xludf.DUMMYFUNCTION("if(countif(filter(Status!$C:$C,Status!$A:$A=$A70),CONCATENATE(AK$2,""*""))&gt;0,countif(filter(Status!$C:$C,Status!$A:$A=$A70),CONCATENATE(AK$2,""*"")),"""")"),"")</f>
        <v/>
      </c>
      <c r="AL70" s="23" t="str">
        <f>IFERROR(__xludf.DUMMYFUNCTION("if(countif(filter(Status!$C:$C,Status!$A:$A=$A70),CONCATENATE(AL$2,""*""))&gt;0,countif(filter(Status!$C:$C,Status!$A:$A=$A70),CONCATENATE(AL$2,""*"")),"""")"),"")</f>
        <v/>
      </c>
      <c r="AM70" s="23" t="str">
        <f>IFERROR(__xludf.DUMMYFUNCTION("if(countif(filter(Status!$C:$C,Status!$A:$A=$A70),CONCATENATE(AM$2,""*""))&gt;0,countif(filter(Status!$C:$C,Status!$A:$A=$A70),CONCATENATE(AM$2,""*"")),"""")"),"")</f>
        <v/>
      </c>
      <c r="AN70" s="23" t="str">
        <f>IFERROR(__xludf.DUMMYFUNCTION("if(countif(filter(Status!$C:$C,Status!$A:$A=$A70),CONCATENATE(AN$2,""*""))&gt;0,countif(filter(Status!$C:$C,Status!$A:$A=$A70),CONCATENATE(AN$2,""*"")),"""")"),"")</f>
        <v/>
      </c>
      <c r="AO70" s="23" t="str">
        <f>IFERROR(__xludf.DUMMYFUNCTION("if(countif(filter(Status!$C:$C,Status!$A:$A=$A70),CONCATENATE(AO$2,""*""))&gt;0,countif(filter(Status!$C:$C,Status!$A:$A=$A70),CONCATENATE(AO$2,""*"")),"""")"),"")</f>
        <v/>
      </c>
      <c r="AP70" s="23">
        <f>IFERROR(__xludf.DUMMYFUNCTION("counta(iferror(filter(Status!C:C,Status!A:A=A70)))"),8.0)</f>
        <v>8</v>
      </c>
      <c r="AQ70" s="23">
        <f t="shared" si="6"/>
        <v>8</v>
      </c>
    </row>
    <row r="71">
      <c r="A71" s="1" t="s">
        <v>887</v>
      </c>
      <c r="B71" s="21">
        <f>IFERROR(__xludf.DUMMYFUNCTION("max(filter(Status!E:E,Status!A:A=A71))"),43795.0)</f>
        <v>43795</v>
      </c>
      <c r="C71" s="23">
        <f t="shared" si="1"/>
        <v>1</v>
      </c>
      <c r="D71" s="23">
        <f t="shared" si="2"/>
        <v>1</v>
      </c>
      <c r="E71" s="23">
        <f t="shared" si="3"/>
        <v>1</v>
      </c>
      <c r="F71" s="23">
        <f t="shared" si="4"/>
        <v>0.4117647059</v>
      </c>
      <c r="G71" s="25">
        <f t="shared" si="5"/>
        <v>1</v>
      </c>
      <c r="J71" s="23">
        <f>IFERROR(__xludf.DUMMYFUNCTION("COUNTA(iferror(filter(Status!H:H,Status!A:A=A71)))"),9.0)</f>
        <v>9</v>
      </c>
      <c r="K71" s="25">
        <f>IFERROR(__xludf.DUMMYFUNCTION("COUNTA(iferror(filter(Status!H:H,Status!A:A=A71,Status!H:H=TRUE)))"),9.0)</f>
        <v>9</v>
      </c>
      <c r="L71" s="23">
        <f>IFERROR(__xludf.DUMMYFUNCTION("COUNTA(iferror(filter(Status!L:L,Status!A:A=A71)))"),3.0)</f>
        <v>3</v>
      </c>
      <c r="M71" s="25">
        <f>IFERROR(__xludf.DUMMYFUNCTION("COUNTA(iferror(filter(Status!L:L,Status!A:A=A71,Status!L:L=TRUE)))"),3.0)</f>
        <v>3</v>
      </c>
      <c r="N71" s="23">
        <f>IFERROR(__xludf.DUMMYFUNCTION("COUNTA(iferror(filter(Status!N:N,Status!A:A=A71,Status!N:N=TRUE)))"),7.0)</f>
        <v>7</v>
      </c>
      <c r="O71" s="25">
        <f>IFERROR(__xludf.DUMMYFUNCTION("COUNTA(iferror(filter(Status!N:N,Status!A:A=A71,Status!N:N=TRUE)))"),7.0)</f>
        <v>7</v>
      </c>
      <c r="P71" s="23">
        <f>IFERROR(__xludf.DUMMYFUNCTION("COUNTA(iferror(filter(Status!P:P,Status!A:A=A71)))"),17.0)</f>
        <v>17</v>
      </c>
      <c r="Q71" s="25">
        <f>IFERROR(__xludf.DUMMYFUNCTION("COUNTA(iferror(filter(Status!P:P,Status!A:A=A71,Status!P:P=TRUE)))"),7.0)</f>
        <v>7</v>
      </c>
      <c r="R71" s="23">
        <f>IFERROR(__xludf.DUMMYFUNCTION("COUNTA(iferror(filter(Status!R:R,Status!A:A=A71)))"),11.0)</f>
        <v>11</v>
      </c>
      <c r="S71" s="25">
        <f>IFERROR(__xludf.DUMMYFUNCTION("COUNTA(iferror(filter(Status!R:R,Status!A:A=A71,Status!R:R=TRUE)))"),11.0)</f>
        <v>11</v>
      </c>
      <c r="V71" s="23" t="str">
        <f>IFERROR(__xludf.DUMMYFUNCTION("if((countif(filter(Status!$C:$C,Status!$A:$A=$A71),CONCATENATE(V$2,""*""))-W71)&gt;0,(countif(filter(Status!$C:$C,Status!$A:$A=$A71),CONCATENATE(V$2,""*""))-W71),"""")"),"")</f>
        <v/>
      </c>
      <c r="W71" s="23">
        <f>IFERROR(__xludf.DUMMYFUNCTION("if(countif(filter(Status!$C:$C,Status!$A:$A=$A71),CONCATENATE(W$2,""*""))&gt;0,countif(filter(Status!$C:$C,Status!$A:$A=$A71),CONCATENATE(W$2,""*"")),"""")"),3.0)</f>
        <v>3</v>
      </c>
      <c r="X71" s="23">
        <f>IFERROR(__xludf.DUMMYFUNCTION("if(countif(filter(Status!$C:$C,Status!$A:$A=$A71),CONCATENATE(X$2,""*""))&gt;0,countif(filter(Status!$C:$C,Status!$A:$A=$A71),CONCATENATE(X$2,""*"")),"""")"),2.0)</f>
        <v>2</v>
      </c>
      <c r="Y71" s="23" t="str">
        <f>IFERROR(__xludf.DUMMYFUNCTION("if(countif(filter(Status!$C:$C,Status!$A:$A=$A71),CONCATENATE(Y$2,""*""))&gt;0,countif(filter(Status!$C:$C,Status!$A:$A=$A71),CONCATENATE(Y$2,""*"")),"""")"),"")</f>
        <v/>
      </c>
      <c r="Z71" s="23" t="str">
        <f>IFERROR(__xludf.DUMMYFUNCTION("if(countif(filter(Status!$C:$C,Status!$A:$A=$A71),CONCATENATE(Z$2,""*""))&gt;0,countif(filter(Status!$C:$C,Status!$A:$A=$A71),CONCATENATE(Z$2,""*"")),"""")"),"")</f>
        <v/>
      </c>
      <c r="AA71" s="23">
        <f>IFERROR(__xludf.DUMMYFUNCTION("if((countif(filter(Status!$C:$C,Status!$A:$A=$A71),CONCATENATE(AA$2,""*""))-AB71)&gt;0,(countif(filter(Status!$C:$C,Status!$A:$A=$A71),CONCATENATE(AA$2,""*""))-AB71),"""")"),5.0)</f>
        <v>5</v>
      </c>
      <c r="AB71" s="23">
        <f>IFERROR(__xludf.DUMMYFUNCTION("if(countif(filter(Status!$C:$C,Status!$A:$A=$A71),CONCATENATE(AB$2,""*""))&gt;0,countif(filter(Status!$C:$C,Status!$A:$A=$A71),CONCATENATE(AB$2,""*"")),"""")"),5.0)</f>
        <v>5</v>
      </c>
      <c r="AC71" s="23">
        <f>IFERROR(__xludf.DUMMYFUNCTION("if(countif(filter(Status!$C:$C,Status!$A:$A=$A71),CONCATENATE(AC$2,""*""))&gt;0,countif(filter(Status!$C:$C,Status!$A:$A=$A71),CONCATENATE(AC$2,""*"")),"""")"),1.0)</f>
        <v>1</v>
      </c>
      <c r="AD71" s="23">
        <f>IFERROR(__xludf.DUMMYFUNCTION("if(countif(filter(Status!$C:$C,Status!$A:$A=$A71),CONCATENATE(AD$2,""*""))&gt;0,countif(filter(Status!$C:$C,Status!$A:$A=$A71),CONCATENATE(AD$2,""*"")),"""")"),1.0)</f>
        <v>1</v>
      </c>
      <c r="AE71" s="23">
        <f>IFERROR(__xludf.DUMMYFUNCTION("if(countif(filter(Status!$C:$C,Status!$A:$A=$A71),CONCATENATE(AE$2,""*""))&gt;0,countif(filter(Status!$C:$C,Status!$A:$A=$A71),CONCATENATE(AE$2,""*"")),"""")"),1.0)</f>
        <v>1</v>
      </c>
      <c r="AF71" s="23" t="str">
        <f>IFERROR(__xludf.DUMMYFUNCTION("if(countif(filter(Status!$C:$C,Status!$A:$A=$A71),CONCATENATE(AF$2,""*""))&gt;0,countif(filter(Status!$C:$C,Status!$A:$A=$A71),CONCATENATE(AF$2,""*"")),"""")"),"")</f>
        <v/>
      </c>
      <c r="AG71" s="23" t="str">
        <f>IFERROR(__xludf.DUMMYFUNCTION("if(countif(filter(Status!$C:$C,Status!$A:$A=$A71),CONCATENATE(AG$2,""*""))&gt;0,countif(filter(Status!$C:$C,Status!$A:$A=$A71),CONCATENATE(AG$2,""*"")),"""")"),"")</f>
        <v/>
      </c>
      <c r="AH71" s="23" t="str">
        <f>IFERROR(__xludf.DUMMYFUNCTION("if(countif(filter(Status!$C:$C,Status!$A:$A=$A71),CONCATENATE(AH$2,""*""))&gt;0,countif(filter(Status!$C:$C,Status!$A:$A=$A71),CONCATENATE(AH$2,""*"")),"""")"),"")</f>
        <v/>
      </c>
      <c r="AI71" s="23" t="str">
        <f>IFERROR(__xludf.DUMMYFUNCTION("if(countif(filter(Status!$C:$C,Status!$A:$A=$A71),CONCATENATE(AI$2,""*""))&gt;0,countif(filter(Status!$C:$C,Status!$A:$A=$A71),CONCATENATE(AI$2,""*"")),"""")"),"")</f>
        <v/>
      </c>
      <c r="AJ71" s="23" t="str">
        <f>IFERROR(__xludf.DUMMYFUNCTION("if(countif(filter(Status!$C:$C,Status!$A:$A=$A71),CONCATENATE(AJ$2,""*""))&gt;0,countif(filter(Status!$C:$C,Status!$A:$A=$A71),CONCATENATE(AJ$2,""*"")),"""")"),"")</f>
        <v/>
      </c>
      <c r="AK71" s="23" t="str">
        <f>IFERROR(__xludf.DUMMYFUNCTION("if(countif(filter(Status!$C:$C,Status!$A:$A=$A71),CONCATENATE(AK$2,""*""))&gt;0,countif(filter(Status!$C:$C,Status!$A:$A=$A71),CONCATENATE(AK$2,""*"")),"""")"),"")</f>
        <v/>
      </c>
      <c r="AL71" s="23" t="str">
        <f>IFERROR(__xludf.DUMMYFUNCTION("if(countif(filter(Status!$C:$C,Status!$A:$A=$A71),CONCATENATE(AL$2,""*""))&gt;0,countif(filter(Status!$C:$C,Status!$A:$A=$A71),CONCATENATE(AL$2,""*"")),"""")"),"")</f>
        <v/>
      </c>
      <c r="AM71" s="23" t="str">
        <f>IFERROR(__xludf.DUMMYFUNCTION("if(countif(filter(Status!$C:$C,Status!$A:$A=$A71),CONCATENATE(AM$2,""*""))&gt;0,countif(filter(Status!$C:$C,Status!$A:$A=$A71),CONCATENATE(AM$2,""*"")),"""")"),"")</f>
        <v/>
      </c>
      <c r="AN71" s="23" t="str">
        <f>IFERROR(__xludf.DUMMYFUNCTION("if(countif(filter(Status!$C:$C,Status!$A:$A=$A71),CONCATENATE(AN$2,""*""))&gt;0,countif(filter(Status!$C:$C,Status!$A:$A=$A71),CONCATENATE(AN$2,""*"")),"""")"),"")</f>
        <v/>
      </c>
      <c r="AO71" s="23" t="str">
        <f>IFERROR(__xludf.DUMMYFUNCTION("if(countif(filter(Status!$C:$C,Status!$A:$A=$A71),CONCATENATE(AO$2,""*""))&gt;0,countif(filter(Status!$C:$C,Status!$A:$A=$A71),CONCATENATE(AO$2,""*"")),"""")"),"")</f>
        <v/>
      </c>
      <c r="AP71" s="23">
        <f>IFERROR(__xludf.DUMMYFUNCTION("counta(iferror(filter(Status!C:C,Status!A:A=A71)))"),18.0)</f>
        <v>18</v>
      </c>
      <c r="AQ71" s="23">
        <f t="shared" si="6"/>
        <v>18</v>
      </c>
    </row>
    <row r="72">
      <c r="A72" s="1" t="s">
        <v>891</v>
      </c>
      <c r="B72" s="21">
        <f>IFERROR(__xludf.DUMMYFUNCTION("max(filter(Status!E:E,Status!A:A=A72))"),43796.0)</f>
        <v>43796</v>
      </c>
      <c r="C72" s="23">
        <f t="shared" si="1"/>
        <v>1</v>
      </c>
      <c r="D72" s="23">
        <f t="shared" si="2"/>
        <v>1</v>
      </c>
      <c r="E72" s="23">
        <f t="shared" si="3"/>
        <v>1</v>
      </c>
      <c r="F72" s="23">
        <f t="shared" si="4"/>
        <v>0.6666666667</v>
      </c>
      <c r="G72" s="25">
        <f t="shared" si="5"/>
        <v>0.6666666667</v>
      </c>
      <c r="J72" s="23">
        <f>IFERROR(__xludf.DUMMYFUNCTION("COUNTA(iferror(filter(Status!H:H,Status!A:A=A72)))"),8.0)</f>
        <v>8</v>
      </c>
      <c r="K72" s="25">
        <f>IFERROR(__xludf.DUMMYFUNCTION("COUNTA(iferror(filter(Status!H:H,Status!A:A=A72,Status!H:H=TRUE)))"),8.0)</f>
        <v>8</v>
      </c>
      <c r="L72" s="23">
        <f>IFERROR(__xludf.DUMMYFUNCTION("COUNTA(iferror(filter(Status!L:L,Status!A:A=A72)))"),6.0)</f>
        <v>6</v>
      </c>
      <c r="M72" s="25">
        <f>IFERROR(__xludf.DUMMYFUNCTION("COUNTA(iferror(filter(Status!L:L,Status!A:A=A72,Status!L:L=TRUE)))"),6.0)</f>
        <v>6</v>
      </c>
      <c r="N72" s="23">
        <f>IFERROR(__xludf.DUMMYFUNCTION("COUNTA(iferror(filter(Status!N:N,Status!A:A=A72,Status!N:N=TRUE)))"),7.0)</f>
        <v>7</v>
      </c>
      <c r="O72" s="25">
        <f>IFERROR(__xludf.DUMMYFUNCTION("COUNTA(iferror(filter(Status!N:N,Status!A:A=A72,Status!N:N=TRUE)))"),7.0)</f>
        <v>7</v>
      </c>
      <c r="P72" s="23">
        <f>IFERROR(__xludf.DUMMYFUNCTION("COUNTA(iferror(filter(Status!P:P,Status!A:A=A72)))"),9.0)</f>
        <v>9</v>
      </c>
      <c r="Q72" s="25">
        <f>IFERROR(__xludf.DUMMYFUNCTION("COUNTA(iferror(filter(Status!P:P,Status!A:A=A72,Status!P:P=TRUE)))"),6.0)</f>
        <v>6</v>
      </c>
      <c r="R72" s="23">
        <f>IFERROR(__xludf.DUMMYFUNCTION("COUNTA(iferror(filter(Status!R:R,Status!A:A=A72)))"),3.0)</f>
        <v>3</v>
      </c>
      <c r="S72" s="25">
        <f>IFERROR(__xludf.DUMMYFUNCTION("COUNTA(iferror(filter(Status!R:R,Status!A:A=A72,Status!R:R=TRUE)))"),2.0)</f>
        <v>2</v>
      </c>
      <c r="V72" s="23" t="str">
        <f>IFERROR(__xludf.DUMMYFUNCTION("if((countif(filter(Status!$C:$C,Status!$A:$A=$A72),CONCATENATE(V$2,""*""))-W72)&gt;0,(countif(filter(Status!$C:$C,Status!$A:$A=$A72),CONCATENATE(V$2,""*""))-W72),"""")"),"")</f>
        <v/>
      </c>
      <c r="W72" s="23" t="str">
        <f>IFERROR(__xludf.DUMMYFUNCTION("if(countif(filter(Status!$C:$C,Status!$A:$A=$A72),CONCATENATE(W$2,""*""))&gt;0,countif(filter(Status!$C:$C,Status!$A:$A=$A72),CONCATENATE(W$2,""*"")),"""")"),"")</f>
        <v/>
      </c>
      <c r="X72" s="23" t="str">
        <f>IFERROR(__xludf.DUMMYFUNCTION("if(countif(filter(Status!$C:$C,Status!$A:$A=$A72),CONCATENATE(X$2,""*""))&gt;0,countif(filter(Status!$C:$C,Status!$A:$A=$A72),CONCATENATE(X$2,""*"")),"""")"),"")</f>
        <v/>
      </c>
      <c r="Y72" s="23" t="str">
        <f>IFERROR(__xludf.DUMMYFUNCTION("if(countif(filter(Status!$C:$C,Status!$A:$A=$A72),CONCATENATE(Y$2,""*""))&gt;0,countif(filter(Status!$C:$C,Status!$A:$A=$A72),CONCATENATE(Y$2,""*"")),"""")"),"")</f>
        <v/>
      </c>
      <c r="Z72" s="23">
        <f>IFERROR(__xludf.DUMMYFUNCTION("if(countif(filter(Status!$C:$C,Status!$A:$A=$A72),CONCATENATE(Z$2,""*""))&gt;0,countif(filter(Status!$C:$C,Status!$A:$A=$A72),CONCATENATE(Z$2,""*"")),"""")"),5.0)</f>
        <v>5</v>
      </c>
      <c r="AA72" s="23">
        <f>IFERROR(__xludf.DUMMYFUNCTION("if((countif(filter(Status!$C:$C,Status!$A:$A=$A72),CONCATENATE(AA$2,""*""))-AB72)&gt;0,(countif(filter(Status!$C:$C,Status!$A:$A=$A72),CONCATENATE(AA$2,""*""))-AB72),"""")"),1.0)</f>
        <v>1</v>
      </c>
      <c r="AB72" s="23">
        <f>IFERROR(__xludf.DUMMYFUNCTION("if(countif(filter(Status!$C:$C,Status!$A:$A=$A72),CONCATENATE(AB$2,""*""))&gt;0,countif(filter(Status!$C:$C,Status!$A:$A=$A72),CONCATENATE(AB$2,""*"")),"""")"),1.0)</f>
        <v>1</v>
      </c>
      <c r="AC72" s="23">
        <f>IFERROR(__xludf.DUMMYFUNCTION("if(countif(filter(Status!$C:$C,Status!$A:$A=$A72),CONCATENATE(AC$2,""*""))&gt;0,countif(filter(Status!$C:$C,Status!$A:$A=$A72),CONCATENATE(AC$2,""*"")),"""")"),1.0)</f>
        <v>1</v>
      </c>
      <c r="AD72" s="23" t="str">
        <f>IFERROR(__xludf.DUMMYFUNCTION("if(countif(filter(Status!$C:$C,Status!$A:$A=$A72),CONCATENATE(AD$2,""*""))&gt;0,countif(filter(Status!$C:$C,Status!$A:$A=$A72),CONCATENATE(AD$2,""*"")),"""")"),"")</f>
        <v/>
      </c>
      <c r="AE72" s="23">
        <f>IFERROR(__xludf.DUMMYFUNCTION("if(countif(filter(Status!$C:$C,Status!$A:$A=$A72),CONCATENATE(AE$2,""*""))&gt;0,countif(filter(Status!$C:$C,Status!$A:$A=$A72),CONCATENATE(AE$2,""*"")),"""")"),1.0)</f>
        <v>1</v>
      </c>
      <c r="AF72" s="23">
        <f>IFERROR(__xludf.DUMMYFUNCTION("if(countif(filter(Status!$C:$C,Status!$A:$A=$A72),CONCATENATE(AF$2,""*""))&gt;0,countif(filter(Status!$C:$C,Status!$A:$A=$A72),CONCATENATE(AF$2,""*"")),"""")"),1.0)</f>
        <v>1</v>
      </c>
      <c r="AG72" s="23" t="str">
        <f>IFERROR(__xludf.DUMMYFUNCTION("if(countif(filter(Status!$C:$C,Status!$A:$A=$A72),CONCATENATE(AG$2,""*""))&gt;0,countif(filter(Status!$C:$C,Status!$A:$A=$A72),CONCATENATE(AG$2,""*"")),"""")"),"")</f>
        <v/>
      </c>
      <c r="AH72" s="23" t="str">
        <f>IFERROR(__xludf.DUMMYFUNCTION("if(countif(filter(Status!$C:$C,Status!$A:$A=$A72),CONCATENATE(AH$2,""*""))&gt;0,countif(filter(Status!$C:$C,Status!$A:$A=$A72),CONCATENATE(AH$2,""*"")),"""")"),"")</f>
        <v/>
      </c>
      <c r="AI72" s="23" t="str">
        <f>IFERROR(__xludf.DUMMYFUNCTION("if(countif(filter(Status!$C:$C,Status!$A:$A=$A72),CONCATENATE(AI$2,""*""))&gt;0,countif(filter(Status!$C:$C,Status!$A:$A=$A72),CONCATENATE(AI$2,""*"")),"""")"),"")</f>
        <v/>
      </c>
      <c r="AJ72" s="23" t="str">
        <f>IFERROR(__xludf.DUMMYFUNCTION("if(countif(filter(Status!$C:$C,Status!$A:$A=$A72),CONCATENATE(AJ$2,""*""))&gt;0,countif(filter(Status!$C:$C,Status!$A:$A=$A72),CONCATENATE(AJ$2,""*"")),"""")"),"")</f>
        <v/>
      </c>
      <c r="AK72" s="23" t="str">
        <f>IFERROR(__xludf.DUMMYFUNCTION("if(countif(filter(Status!$C:$C,Status!$A:$A=$A72),CONCATENATE(AK$2,""*""))&gt;0,countif(filter(Status!$C:$C,Status!$A:$A=$A72),CONCATENATE(AK$2,""*"")),"""")"),"")</f>
        <v/>
      </c>
      <c r="AL72" s="23" t="str">
        <f>IFERROR(__xludf.DUMMYFUNCTION("if(countif(filter(Status!$C:$C,Status!$A:$A=$A72),CONCATENATE(AL$2,""*""))&gt;0,countif(filter(Status!$C:$C,Status!$A:$A=$A72),CONCATENATE(AL$2,""*"")),"""")"),"")</f>
        <v/>
      </c>
      <c r="AM72" s="23" t="str">
        <f>IFERROR(__xludf.DUMMYFUNCTION("if(countif(filter(Status!$C:$C,Status!$A:$A=$A72),CONCATENATE(AM$2,""*""))&gt;0,countif(filter(Status!$C:$C,Status!$A:$A=$A72),CONCATENATE(AM$2,""*"")),"""")"),"")</f>
        <v/>
      </c>
      <c r="AN72" s="23" t="str">
        <f>IFERROR(__xludf.DUMMYFUNCTION("if(countif(filter(Status!$C:$C,Status!$A:$A=$A72),CONCATENATE(AN$2,""*""))&gt;0,countif(filter(Status!$C:$C,Status!$A:$A=$A72),CONCATENATE(AN$2,""*"")),"""")"),"")</f>
        <v/>
      </c>
      <c r="AO72" s="23" t="str">
        <f>IFERROR(__xludf.DUMMYFUNCTION("if(countif(filter(Status!$C:$C,Status!$A:$A=$A72),CONCATENATE(AO$2,""*""))&gt;0,countif(filter(Status!$C:$C,Status!$A:$A=$A72),CONCATENATE(AO$2,""*"")),"""")"),"")</f>
        <v/>
      </c>
      <c r="AP72" s="23">
        <f>IFERROR(__xludf.DUMMYFUNCTION("counta(iferror(filter(Status!C:C,Status!A:A=A72)))"),10.0)</f>
        <v>10</v>
      </c>
      <c r="AQ72" s="23">
        <f t="shared" si="6"/>
        <v>10</v>
      </c>
    </row>
    <row r="73">
      <c r="A73" s="1" t="s">
        <v>896</v>
      </c>
      <c r="B73" s="21">
        <f>IFERROR(__xludf.DUMMYFUNCTION("max(filter(Status!E:E,Status!A:A=A73))"),43797.0)</f>
        <v>43797</v>
      </c>
      <c r="C73" s="23">
        <f t="shared" si="1"/>
        <v>1</v>
      </c>
      <c r="D73" s="23">
        <f t="shared" si="2"/>
        <v>1</v>
      </c>
      <c r="E73" s="23">
        <f t="shared" si="3"/>
        <v>1</v>
      </c>
      <c r="F73" s="23">
        <f t="shared" si="4"/>
        <v>0.4285714286</v>
      </c>
      <c r="G73" s="25">
        <f t="shared" si="5"/>
        <v>1</v>
      </c>
      <c r="J73" s="23">
        <f>IFERROR(__xludf.DUMMYFUNCTION("COUNTA(iferror(filter(Status!H:H,Status!A:A=A73)))"),7.0)</f>
        <v>7</v>
      </c>
      <c r="K73" s="25">
        <f>IFERROR(__xludf.DUMMYFUNCTION("COUNTA(iferror(filter(Status!H:H,Status!A:A=A73,Status!H:H=TRUE)))"),7.0)</f>
        <v>7</v>
      </c>
      <c r="L73" s="23">
        <f>IFERROR(__xludf.DUMMYFUNCTION("COUNTA(iferror(filter(Status!L:L,Status!A:A=A73)))"),2.0)</f>
        <v>2</v>
      </c>
      <c r="M73" s="25">
        <f>IFERROR(__xludf.DUMMYFUNCTION("COUNTA(iferror(filter(Status!L:L,Status!A:A=A73,Status!L:L=TRUE)))"),2.0)</f>
        <v>2</v>
      </c>
      <c r="N73" s="23">
        <f>IFERROR(__xludf.DUMMYFUNCTION("COUNTA(iferror(filter(Status!N:N,Status!A:A=A73,Status!N:N=TRUE)))"),6.0)</f>
        <v>6</v>
      </c>
      <c r="O73" s="25">
        <f>IFERROR(__xludf.DUMMYFUNCTION("COUNTA(iferror(filter(Status!N:N,Status!A:A=A73,Status!N:N=TRUE)))"),6.0)</f>
        <v>6</v>
      </c>
      <c r="P73" s="23">
        <f>IFERROR(__xludf.DUMMYFUNCTION("COUNTA(iferror(filter(Status!P:P,Status!A:A=A73)))"),14.0)</f>
        <v>14</v>
      </c>
      <c r="Q73" s="25">
        <f>IFERROR(__xludf.DUMMYFUNCTION("COUNTA(iferror(filter(Status!P:P,Status!A:A=A73,Status!P:P=TRUE)))"),6.0)</f>
        <v>6</v>
      </c>
      <c r="R73" s="23">
        <f>IFERROR(__xludf.DUMMYFUNCTION("COUNTA(iferror(filter(Status!R:R,Status!A:A=A73)))"),9.0)</f>
        <v>9</v>
      </c>
      <c r="S73" s="25">
        <f>IFERROR(__xludf.DUMMYFUNCTION("COUNTA(iferror(filter(Status!R:R,Status!A:A=A73,Status!R:R=TRUE)))"),9.0)</f>
        <v>9</v>
      </c>
      <c r="V73" s="23" t="str">
        <f>IFERROR(__xludf.DUMMYFUNCTION("if((countif(filter(Status!$C:$C,Status!$A:$A=$A73),CONCATENATE(V$2,""*""))-W73)&gt;0,(countif(filter(Status!$C:$C,Status!$A:$A=$A73),CONCATENATE(V$2,""*""))-W73),"""")"),"")</f>
        <v/>
      </c>
      <c r="W73" s="23">
        <f>IFERROR(__xludf.DUMMYFUNCTION("if(countif(filter(Status!$C:$C,Status!$A:$A=$A73),CONCATENATE(W$2,""*""))&gt;0,countif(filter(Status!$C:$C,Status!$A:$A=$A73),CONCATENATE(W$2,""*"")),"""")"),2.0)</f>
        <v>2</v>
      </c>
      <c r="X73" s="23">
        <f>IFERROR(__xludf.DUMMYFUNCTION("if(countif(filter(Status!$C:$C,Status!$A:$A=$A73),CONCATENATE(X$2,""*""))&gt;0,countif(filter(Status!$C:$C,Status!$A:$A=$A73),CONCATENATE(X$2,""*"")),"""")"),2.0)</f>
        <v>2</v>
      </c>
      <c r="Y73" s="23" t="str">
        <f>IFERROR(__xludf.DUMMYFUNCTION("if(countif(filter(Status!$C:$C,Status!$A:$A=$A73),CONCATENATE(Y$2,""*""))&gt;0,countif(filter(Status!$C:$C,Status!$A:$A=$A73),CONCATENATE(Y$2,""*"")),"""")"),"")</f>
        <v/>
      </c>
      <c r="Z73" s="23" t="str">
        <f>IFERROR(__xludf.DUMMYFUNCTION("if(countif(filter(Status!$C:$C,Status!$A:$A=$A73),CONCATENATE(Z$2,""*""))&gt;0,countif(filter(Status!$C:$C,Status!$A:$A=$A73),CONCATENATE(Z$2,""*"")),"""")"),"")</f>
        <v/>
      </c>
      <c r="AA73" s="23">
        <f>IFERROR(__xludf.DUMMYFUNCTION("if((countif(filter(Status!$C:$C,Status!$A:$A=$A73),CONCATENATE(AA$2,""*""))-AB73)&gt;0,(countif(filter(Status!$C:$C,Status!$A:$A=$A73),CONCATENATE(AA$2,""*""))-AB73),"""")"),4.0)</f>
        <v>4</v>
      </c>
      <c r="AB73" s="23">
        <f>IFERROR(__xludf.DUMMYFUNCTION("if(countif(filter(Status!$C:$C,Status!$A:$A=$A73),CONCATENATE(AB$2,""*""))&gt;0,countif(filter(Status!$C:$C,Status!$A:$A=$A73),CONCATENATE(AB$2,""*"")),"""")"),4.0)</f>
        <v>4</v>
      </c>
      <c r="AC73" s="23">
        <f>IFERROR(__xludf.DUMMYFUNCTION("if(countif(filter(Status!$C:$C,Status!$A:$A=$A73),CONCATENATE(AC$2,""*""))&gt;0,countif(filter(Status!$C:$C,Status!$A:$A=$A73),CONCATENATE(AC$2,""*"")),"""")"),1.0)</f>
        <v>1</v>
      </c>
      <c r="AD73" s="23">
        <f>IFERROR(__xludf.DUMMYFUNCTION("if(countif(filter(Status!$C:$C,Status!$A:$A=$A73),CONCATENATE(AD$2,""*""))&gt;0,countif(filter(Status!$C:$C,Status!$A:$A=$A73),CONCATENATE(AD$2,""*"")),"""")"),1.0)</f>
        <v>1</v>
      </c>
      <c r="AE73" s="23">
        <f>IFERROR(__xludf.DUMMYFUNCTION("if(countif(filter(Status!$C:$C,Status!$A:$A=$A73),CONCATENATE(AE$2,""*""))&gt;0,countif(filter(Status!$C:$C,Status!$A:$A=$A73),CONCATENATE(AE$2,""*"")),"""")"),1.0)</f>
        <v>1</v>
      </c>
      <c r="AF73" s="23" t="str">
        <f>IFERROR(__xludf.DUMMYFUNCTION("if(countif(filter(Status!$C:$C,Status!$A:$A=$A73),CONCATENATE(AF$2,""*""))&gt;0,countif(filter(Status!$C:$C,Status!$A:$A=$A73),CONCATENATE(AF$2,""*"")),"""")"),"")</f>
        <v/>
      </c>
      <c r="AG73" s="23" t="str">
        <f>IFERROR(__xludf.DUMMYFUNCTION("if(countif(filter(Status!$C:$C,Status!$A:$A=$A73),CONCATENATE(AG$2,""*""))&gt;0,countif(filter(Status!$C:$C,Status!$A:$A=$A73),CONCATENATE(AG$2,""*"")),"""")"),"")</f>
        <v/>
      </c>
      <c r="AH73" s="23" t="str">
        <f>IFERROR(__xludf.DUMMYFUNCTION("if(countif(filter(Status!$C:$C,Status!$A:$A=$A73),CONCATENATE(AH$2,""*""))&gt;0,countif(filter(Status!$C:$C,Status!$A:$A=$A73),CONCATENATE(AH$2,""*"")),"""")"),"")</f>
        <v/>
      </c>
      <c r="AI73" s="23" t="str">
        <f>IFERROR(__xludf.DUMMYFUNCTION("if(countif(filter(Status!$C:$C,Status!$A:$A=$A73),CONCATENATE(AI$2,""*""))&gt;0,countif(filter(Status!$C:$C,Status!$A:$A=$A73),CONCATENATE(AI$2,""*"")),"""")"),"")</f>
        <v/>
      </c>
      <c r="AJ73" s="23" t="str">
        <f>IFERROR(__xludf.DUMMYFUNCTION("if(countif(filter(Status!$C:$C,Status!$A:$A=$A73),CONCATENATE(AJ$2,""*""))&gt;0,countif(filter(Status!$C:$C,Status!$A:$A=$A73),CONCATENATE(AJ$2,""*"")),"""")"),"")</f>
        <v/>
      </c>
      <c r="AK73" s="23" t="str">
        <f>IFERROR(__xludf.DUMMYFUNCTION("if(countif(filter(Status!$C:$C,Status!$A:$A=$A73),CONCATENATE(AK$2,""*""))&gt;0,countif(filter(Status!$C:$C,Status!$A:$A=$A73),CONCATENATE(AK$2,""*"")),"""")"),"")</f>
        <v/>
      </c>
      <c r="AL73" s="23" t="str">
        <f>IFERROR(__xludf.DUMMYFUNCTION("if(countif(filter(Status!$C:$C,Status!$A:$A=$A73),CONCATENATE(AL$2,""*""))&gt;0,countif(filter(Status!$C:$C,Status!$A:$A=$A73),CONCATENATE(AL$2,""*"")),"""")"),"")</f>
        <v/>
      </c>
      <c r="AM73" s="23" t="str">
        <f>IFERROR(__xludf.DUMMYFUNCTION("if(countif(filter(Status!$C:$C,Status!$A:$A=$A73),CONCATENATE(AM$2,""*""))&gt;0,countif(filter(Status!$C:$C,Status!$A:$A=$A73),CONCATENATE(AM$2,""*"")),"""")"),"")</f>
        <v/>
      </c>
      <c r="AN73" s="23" t="str">
        <f>IFERROR(__xludf.DUMMYFUNCTION("if(countif(filter(Status!$C:$C,Status!$A:$A=$A73),CONCATENATE(AN$2,""*""))&gt;0,countif(filter(Status!$C:$C,Status!$A:$A=$A73),CONCATENATE(AN$2,""*"")),"""")"),"")</f>
        <v/>
      </c>
      <c r="AO73" s="23" t="str">
        <f>IFERROR(__xludf.DUMMYFUNCTION("if(countif(filter(Status!$C:$C,Status!$A:$A=$A73),CONCATENATE(AO$2,""*""))&gt;0,countif(filter(Status!$C:$C,Status!$A:$A=$A73),CONCATENATE(AO$2,""*"")),"""")"),"")</f>
        <v/>
      </c>
      <c r="AP73" s="23">
        <f>IFERROR(__xludf.DUMMYFUNCTION("counta(iferror(filter(Status!C:C,Status!A:A=A73)))"),15.0)</f>
        <v>15</v>
      </c>
      <c r="AQ73" s="23">
        <f t="shared" si="6"/>
        <v>15</v>
      </c>
    </row>
    <row r="74">
      <c r="A74" s="1" t="s">
        <v>899</v>
      </c>
      <c r="B74" s="21">
        <f>IFERROR(__xludf.DUMMYFUNCTION("max(filter(Status!E:E,Status!A:A=A74))"),43798.0)</f>
        <v>43798</v>
      </c>
      <c r="C74" s="23">
        <f t="shared" si="1"/>
        <v>1</v>
      </c>
      <c r="D74" s="23">
        <f t="shared" si="2"/>
        <v>1</v>
      </c>
      <c r="E74" s="23">
        <f t="shared" si="3"/>
        <v>1</v>
      </c>
      <c r="F74" s="23">
        <f t="shared" si="4"/>
        <v>0.4</v>
      </c>
      <c r="G74" s="25">
        <f t="shared" si="5"/>
        <v>1</v>
      </c>
      <c r="J74" s="23">
        <f>IFERROR(__xludf.DUMMYFUNCTION("COUNTA(iferror(filter(Status!H:H,Status!A:A=A74)))"),7.0)</f>
        <v>7</v>
      </c>
      <c r="K74" s="25">
        <f>IFERROR(__xludf.DUMMYFUNCTION("COUNTA(iferror(filter(Status!H:H,Status!A:A=A74,Status!H:H=TRUE)))"),7.0)</f>
        <v>7</v>
      </c>
      <c r="L74" s="23">
        <f>IFERROR(__xludf.DUMMYFUNCTION("COUNTA(iferror(filter(Status!L:L,Status!A:A=A74)))"),3.0)</f>
        <v>3</v>
      </c>
      <c r="M74" s="25">
        <f>IFERROR(__xludf.DUMMYFUNCTION("COUNTA(iferror(filter(Status!L:L,Status!A:A=A74,Status!L:L=TRUE)))"),3.0)</f>
        <v>3</v>
      </c>
      <c r="N74" s="23">
        <f>IFERROR(__xludf.DUMMYFUNCTION("COUNTA(iferror(filter(Status!N:N,Status!A:A=A74,Status!N:N=TRUE)))"),4.0)</f>
        <v>4</v>
      </c>
      <c r="O74" s="25">
        <f>IFERROR(__xludf.DUMMYFUNCTION("COUNTA(iferror(filter(Status!N:N,Status!A:A=A74,Status!N:N=TRUE)))"),4.0)</f>
        <v>4</v>
      </c>
      <c r="P74" s="23">
        <f>IFERROR(__xludf.DUMMYFUNCTION("COUNTA(iferror(filter(Status!P:P,Status!A:A=A74)))"),10.0)</f>
        <v>10</v>
      </c>
      <c r="Q74" s="25">
        <f>IFERROR(__xludf.DUMMYFUNCTION("COUNTA(iferror(filter(Status!P:P,Status!A:A=A74,Status!P:P=TRUE)))"),4.0)</f>
        <v>4</v>
      </c>
      <c r="R74" s="23">
        <f>IFERROR(__xludf.DUMMYFUNCTION("COUNTA(iferror(filter(Status!R:R,Status!A:A=A74)))"),7.0)</f>
        <v>7</v>
      </c>
      <c r="S74" s="25">
        <f>IFERROR(__xludf.DUMMYFUNCTION("COUNTA(iferror(filter(Status!R:R,Status!A:A=A74,Status!R:R=TRUE)))"),7.0)</f>
        <v>7</v>
      </c>
      <c r="V74" s="23" t="str">
        <f>IFERROR(__xludf.DUMMYFUNCTION("if((countif(filter(Status!$C:$C,Status!$A:$A=$A74),CONCATENATE(V$2,""*""))-W74)&gt;0,(countif(filter(Status!$C:$C,Status!$A:$A=$A74),CONCATENATE(V$2,""*""))-W74),"""")"),"")</f>
        <v/>
      </c>
      <c r="W74" s="23">
        <f>IFERROR(__xludf.DUMMYFUNCTION("if(countif(filter(Status!$C:$C,Status!$A:$A=$A74),CONCATENATE(W$2,""*""))&gt;0,countif(filter(Status!$C:$C,Status!$A:$A=$A74),CONCATENATE(W$2,""*"")),"""")"),3.0)</f>
        <v>3</v>
      </c>
      <c r="X74" s="23" t="str">
        <f>IFERROR(__xludf.DUMMYFUNCTION("if(countif(filter(Status!$C:$C,Status!$A:$A=$A74),CONCATENATE(X$2,""*""))&gt;0,countif(filter(Status!$C:$C,Status!$A:$A=$A74),CONCATENATE(X$2,""*"")),"""")"),"")</f>
        <v/>
      </c>
      <c r="Y74" s="23" t="str">
        <f>IFERROR(__xludf.DUMMYFUNCTION("if(countif(filter(Status!$C:$C,Status!$A:$A=$A74),CONCATENATE(Y$2,""*""))&gt;0,countif(filter(Status!$C:$C,Status!$A:$A=$A74),CONCATENATE(Y$2,""*"")),"""")"),"")</f>
        <v/>
      </c>
      <c r="Z74" s="23" t="str">
        <f>IFERROR(__xludf.DUMMYFUNCTION("if(countif(filter(Status!$C:$C,Status!$A:$A=$A74),CONCATENATE(Z$2,""*""))&gt;0,countif(filter(Status!$C:$C,Status!$A:$A=$A74),CONCATENATE(Z$2,""*"")),"""")"),"")</f>
        <v/>
      </c>
      <c r="AA74" s="23">
        <f>IFERROR(__xludf.DUMMYFUNCTION("if((countif(filter(Status!$C:$C,Status!$A:$A=$A74),CONCATENATE(AA$2,""*""))-AB74)&gt;0,(countif(filter(Status!$C:$C,Status!$A:$A=$A74),CONCATENATE(AA$2,""*""))-AB74),"""")"),3.0)</f>
        <v>3</v>
      </c>
      <c r="AB74" s="23">
        <f>IFERROR(__xludf.DUMMYFUNCTION("if(countif(filter(Status!$C:$C,Status!$A:$A=$A74),CONCATENATE(AB$2,""*""))&gt;0,countif(filter(Status!$C:$C,Status!$A:$A=$A74),CONCATENATE(AB$2,""*"")),"""")"),3.0)</f>
        <v>3</v>
      </c>
      <c r="AC74" s="23">
        <f>IFERROR(__xludf.DUMMYFUNCTION("if(countif(filter(Status!$C:$C,Status!$A:$A=$A74),CONCATENATE(AC$2,""*""))&gt;0,countif(filter(Status!$C:$C,Status!$A:$A=$A74),CONCATENATE(AC$2,""*"")),"""")"),1.0)</f>
        <v>1</v>
      </c>
      <c r="AD74" s="23" t="str">
        <f>IFERROR(__xludf.DUMMYFUNCTION("if(countif(filter(Status!$C:$C,Status!$A:$A=$A74),CONCATENATE(AD$2,""*""))&gt;0,countif(filter(Status!$C:$C,Status!$A:$A=$A74),CONCATENATE(AD$2,""*"")),"""")"),"")</f>
        <v/>
      </c>
      <c r="AE74" s="23">
        <f>IFERROR(__xludf.DUMMYFUNCTION("if(countif(filter(Status!$C:$C,Status!$A:$A=$A74),CONCATENATE(AE$2,""*""))&gt;0,countif(filter(Status!$C:$C,Status!$A:$A=$A74),CONCATENATE(AE$2,""*"")),"""")"),1.0)</f>
        <v>1</v>
      </c>
      <c r="AF74" s="23" t="str">
        <f>IFERROR(__xludf.DUMMYFUNCTION("if(countif(filter(Status!$C:$C,Status!$A:$A=$A74),CONCATENATE(AF$2,""*""))&gt;0,countif(filter(Status!$C:$C,Status!$A:$A=$A74),CONCATENATE(AF$2,""*"")),"""")"),"")</f>
        <v/>
      </c>
      <c r="AG74" s="23" t="str">
        <f>IFERROR(__xludf.DUMMYFUNCTION("if(countif(filter(Status!$C:$C,Status!$A:$A=$A74),CONCATENATE(AG$2,""*""))&gt;0,countif(filter(Status!$C:$C,Status!$A:$A=$A74),CONCATENATE(AG$2,""*"")),"""")"),"")</f>
        <v/>
      </c>
      <c r="AH74" s="23" t="str">
        <f>IFERROR(__xludf.DUMMYFUNCTION("if(countif(filter(Status!$C:$C,Status!$A:$A=$A74),CONCATENATE(AH$2,""*""))&gt;0,countif(filter(Status!$C:$C,Status!$A:$A=$A74),CONCATENATE(AH$2,""*"")),"""")"),"")</f>
        <v/>
      </c>
      <c r="AI74" s="23" t="str">
        <f>IFERROR(__xludf.DUMMYFUNCTION("if(countif(filter(Status!$C:$C,Status!$A:$A=$A74),CONCATENATE(AI$2,""*""))&gt;0,countif(filter(Status!$C:$C,Status!$A:$A=$A74),CONCATENATE(AI$2,""*"")),"""")"),"")</f>
        <v/>
      </c>
      <c r="AJ74" s="23" t="str">
        <f>IFERROR(__xludf.DUMMYFUNCTION("if(countif(filter(Status!$C:$C,Status!$A:$A=$A74),CONCATENATE(AJ$2,""*""))&gt;0,countif(filter(Status!$C:$C,Status!$A:$A=$A74),CONCATENATE(AJ$2,""*"")),"""")"),"")</f>
        <v/>
      </c>
      <c r="AK74" s="23" t="str">
        <f>IFERROR(__xludf.DUMMYFUNCTION("if(countif(filter(Status!$C:$C,Status!$A:$A=$A74),CONCATENATE(AK$2,""*""))&gt;0,countif(filter(Status!$C:$C,Status!$A:$A=$A74),CONCATENATE(AK$2,""*"")),"""")"),"")</f>
        <v/>
      </c>
      <c r="AL74" s="23" t="str">
        <f>IFERROR(__xludf.DUMMYFUNCTION("if(countif(filter(Status!$C:$C,Status!$A:$A=$A74),CONCATENATE(AL$2,""*""))&gt;0,countif(filter(Status!$C:$C,Status!$A:$A=$A74),CONCATENATE(AL$2,""*"")),"""")"),"")</f>
        <v/>
      </c>
      <c r="AM74" s="23" t="str">
        <f>IFERROR(__xludf.DUMMYFUNCTION("if(countif(filter(Status!$C:$C,Status!$A:$A=$A74),CONCATENATE(AM$2,""*""))&gt;0,countif(filter(Status!$C:$C,Status!$A:$A=$A74),CONCATENATE(AM$2,""*"")),"""")"),"")</f>
        <v/>
      </c>
      <c r="AN74" s="23" t="str">
        <f>IFERROR(__xludf.DUMMYFUNCTION("if(countif(filter(Status!$C:$C,Status!$A:$A=$A74),CONCATENATE(AN$2,""*""))&gt;0,countif(filter(Status!$C:$C,Status!$A:$A=$A74),CONCATENATE(AN$2,""*"")),"""")"),"")</f>
        <v/>
      </c>
      <c r="AO74" s="23" t="str">
        <f>IFERROR(__xludf.DUMMYFUNCTION("if(countif(filter(Status!$C:$C,Status!$A:$A=$A74),CONCATENATE(AO$2,""*""))&gt;0,countif(filter(Status!$C:$C,Status!$A:$A=$A74),CONCATENATE(AO$2,""*"")),"""")"),"")</f>
        <v/>
      </c>
      <c r="AP74" s="23">
        <f>IFERROR(__xludf.DUMMYFUNCTION("counta(iferror(filter(Status!C:C,Status!A:A=A74)))"),11.0)</f>
        <v>11</v>
      </c>
      <c r="AQ74" s="23">
        <f t="shared" si="6"/>
        <v>11</v>
      </c>
    </row>
    <row r="75">
      <c r="A75" s="1" t="s">
        <v>904</v>
      </c>
      <c r="B75" s="21">
        <f>IFERROR(__xludf.DUMMYFUNCTION("max(filter(Status!E:E,Status!A:A=A75))"),43801.0)</f>
        <v>43801</v>
      </c>
      <c r="C75" s="23">
        <f t="shared" si="1"/>
        <v>1</v>
      </c>
      <c r="D75" s="23">
        <f t="shared" si="2"/>
        <v>1</v>
      </c>
      <c r="E75" s="23">
        <f t="shared" si="3"/>
        <v>1</v>
      </c>
      <c r="F75" s="23">
        <f t="shared" si="4"/>
        <v>0.375</v>
      </c>
      <c r="G75" s="25">
        <f t="shared" si="5"/>
        <v>1</v>
      </c>
      <c r="J75" s="23">
        <f>IFERROR(__xludf.DUMMYFUNCTION("COUNTA(iferror(filter(Status!H:H,Status!A:A=A75)))"),5.0)</f>
        <v>5</v>
      </c>
      <c r="K75" s="25">
        <f>IFERROR(__xludf.DUMMYFUNCTION("COUNTA(iferror(filter(Status!H:H,Status!A:A=A75,Status!H:H=TRUE)))"),5.0)</f>
        <v>5</v>
      </c>
      <c r="L75" s="23">
        <f>IFERROR(__xludf.DUMMYFUNCTION("COUNTA(iferror(filter(Status!L:L,Status!A:A=A75)))"),2.0)</f>
        <v>2</v>
      </c>
      <c r="M75" s="25">
        <f>IFERROR(__xludf.DUMMYFUNCTION("COUNTA(iferror(filter(Status!L:L,Status!A:A=A75,Status!L:L=TRUE)))"),2.0)</f>
        <v>2</v>
      </c>
      <c r="N75" s="23">
        <f>IFERROR(__xludf.DUMMYFUNCTION("COUNTA(iferror(filter(Status!N:N,Status!A:A=A75,Status!N:N=TRUE)))"),4.0)</f>
        <v>4</v>
      </c>
      <c r="O75" s="25">
        <f>IFERROR(__xludf.DUMMYFUNCTION("COUNTA(iferror(filter(Status!N:N,Status!A:A=A75,Status!N:N=TRUE)))"),4.0)</f>
        <v>4</v>
      </c>
      <c r="P75" s="23">
        <f>IFERROR(__xludf.DUMMYFUNCTION("COUNTA(iferror(filter(Status!P:P,Status!A:A=A75)))"),8.0)</f>
        <v>8</v>
      </c>
      <c r="Q75" s="25">
        <f>IFERROR(__xludf.DUMMYFUNCTION("COUNTA(iferror(filter(Status!P:P,Status!A:A=A75,Status!P:P=TRUE)))"),3.0)</f>
        <v>3</v>
      </c>
      <c r="R75" s="23">
        <f>IFERROR(__xludf.DUMMYFUNCTION("COUNTA(iferror(filter(Status!R:R,Status!A:A=A75)))"),5.0)</f>
        <v>5</v>
      </c>
      <c r="S75" s="25">
        <f>IFERROR(__xludf.DUMMYFUNCTION("COUNTA(iferror(filter(Status!R:R,Status!A:A=A75,Status!R:R=TRUE)))"),5.0)</f>
        <v>5</v>
      </c>
      <c r="V75" s="23" t="str">
        <f>IFERROR(__xludf.DUMMYFUNCTION("if((countif(filter(Status!$C:$C,Status!$A:$A=$A75),CONCATENATE(V$2,""*""))-W75)&gt;0,(countif(filter(Status!$C:$C,Status!$A:$A=$A75),CONCATENATE(V$2,""*""))-W75),"""")"),"")</f>
        <v/>
      </c>
      <c r="W75" s="23">
        <f>IFERROR(__xludf.DUMMYFUNCTION("if(countif(filter(Status!$C:$C,Status!$A:$A=$A75),CONCATENATE(W$2,""*""))&gt;0,countif(filter(Status!$C:$C,Status!$A:$A=$A75),CONCATENATE(W$2,""*"")),"""")"),2.0)</f>
        <v>2</v>
      </c>
      <c r="X75" s="23" t="str">
        <f>IFERROR(__xludf.DUMMYFUNCTION("if(countif(filter(Status!$C:$C,Status!$A:$A=$A75),CONCATENATE(X$2,""*""))&gt;0,countif(filter(Status!$C:$C,Status!$A:$A=$A75),CONCATENATE(X$2,""*"")),"""")"),"")</f>
        <v/>
      </c>
      <c r="Y75" s="23" t="str">
        <f>IFERROR(__xludf.DUMMYFUNCTION("if(countif(filter(Status!$C:$C,Status!$A:$A=$A75),CONCATENATE(Y$2,""*""))&gt;0,countif(filter(Status!$C:$C,Status!$A:$A=$A75),CONCATENATE(Y$2,""*"")),"""")"),"")</f>
        <v/>
      </c>
      <c r="Z75" s="23" t="str">
        <f>IFERROR(__xludf.DUMMYFUNCTION("if(countif(filter(Status!$C:$C,Status!$A:$A=$A75),CONCATENATE(Z$2,""*""))&gt;0,countif(filter(Status!$C:$C,Status!$A:$A=$A75),CONCATENATE(Z$2,""*"")),"""")"),"")</f>
        <v/>
      </c>
      <c r="AA75" s="23">
        <f>IFERROR(__xludf.DUMMYFUNCTION("if((countif(filter(Status!$C:$C,Status!$A:$A=$A75),CONCATENATE(AA$2,""*""))-AB75)&gt;0,(countif(filter(Status!$C:$C,Status!$A:$A=$A75),CONCATENATE(AA$2,""*""))-AB75),"""")"),2.0)</f>
        <v>2</v>
      </c>
      <c r="AB75" s="23">
        <f>IFERROR(__xludf.DUMMYFUNCTION("if(countif(filter(Status!$C:$C,Status!$A:$A=$A75),CONCATENATE(AB$2,""*""))&gt;0,countif(filter(Status!$C:$C,Status!$A:$A=$A75),CONCATENATE(AB$2,""*"")),"""")"),2.0)</f>
        <v>2</v>
      </c>
      <c r="AC75" s="23">
        <f>IFERROR(__xludf.DUMMYFUNCTION("if(countif(filter(Status!$C:$C,Status!$A:$A=$A75),CONCATENATE(AC$2,""*""))&gt;0,countif(filter(Status!$C:$C,Status!$A:$A=$A75),CONCATENATE(AC$2,""*"")),"""")"),1.0)</f>
        <v>1</v>
      </c>
      <c r="AD75" s="23">
        <f>IFERROR(__xludf.DUMMYFUNCTION("if(countif(filter(Status!$C:$C,Status!$A:$A=$A75),CONCATENATE(AD$2,""*""))&gt;0,countif(filter(Status!$C:$C,Status!$A:$A=$A75),CONCATENATE(AD$2,""*"")),"""")"),1.0)</f>
        <v>1</v>
      </c>
      <c r="AE75" s="23">
        <f>IFERROR(__xludf.DUMMYFUNCTION("if(countif(filter(Status!$C:$C,Status!$A:$A=$A75),CONCATENATE(AE$2,""*""))&gt;0,countif(filter(Status!$C:$C,Status!$A:$A=$A75),CONCATENATE(AE$2,""*"")),"""")"),1.0)</f>
        <v>1</v>
      </c>
      <c r="AF75" s="23" t="str">
        <f>IFERROR(__xludf.DUMMYFUNCTION("if(countif(filter(Status!$C:$C,Status!$A:$A=$A75),CONCATENATE(AF$2,""*""))&gt;0,countif(filter(Status!$C:$C,Status!$A:$A=$A75),CONCATENATE(AF$2,""*"")),"""")"),"")</f>
        <v/>
      </c>
      <c r="AG75" s="23" t="str">
        <f>IFERROR(__xludf.DUMMYFUNCTION("if(countif(filter(Status!$C:$C,Status!$A:$A=$A75),CONCATENATE(AG$2,""*""))&gt;0,countif(filter(Status!$C:$C,Status!$A:$A=$A75),CONCATENATE(AG$2,""*"")),"""")"),"")</f>
        <v/>
      </c>
      <c r="AH75" s="23" t="str">
        <f>IFERROR(__xludf.DUMMYFUNCTION("if(countif(filter(Status!$C:$C,Status!$A:$A=$A75),CONCATENATE(AH$2,""*""))&gt;0,countif(filter(Status!$C:$C,Status!$A:$A=$A75),CONCATENATE(AH$2,""*"")),"""")"),"")</f>
        <v/>
      </c>
      <c r="AI75" s="23" t="str">
        <f>IFERROR(__xludf.DUMMYFUNCTION("if(countif(filter(Status!$C:$C,Status!$A:$A=$A75),CONCATENATE(AI$2,""*""))&gt;0,countif(filter(Status!$C:$C,Status!$A:$A=$A75),CONCATENATE(AI$2,""*"")),"""")"),"")</f>
        <v/>
      </c>
      <c r="AJ75" s="23" t="str">
        <f>IFERROR(__xludf.DUMMYFUNCTION("if(countif(filter(Status!$C:$C,Status!$A:$A=$A75),CONCATENATE(AJ$2,""*""))&gt;0,countif(filter(Status!$C:$C,Status!$A:$A=$A75),CONCATENATE(AJ$2,""*"")),"""")"),"")</f>
        <v/>
      </c>
      <c r="AK75" s="23" t="str">
        <f>IFERROR(__xludf.DUMMYFUNCTION("if(countif(filter(Status!$C:$C,Status!$A:$A=$A75),CONCATENATE(AK$2,""*""))&gt;0,countif(filter(Status!$C:$C,Status!$A:$A=$A75),CONCATENATE(AK$2,""*"")),"""")"),"")</f>
        <v/>
      </c>
      <c r="AL75" s="23" t="str">
        <f>IFERROR(__xludf.DUMMYFUNCTION("if(countif(filter(Status!$C:$C,Status!$A:$A=$A75),CONCATENATE(AL$2,""*""))&gt;0,countif(filter(Status!$C:$C,Status!$A:$A=$A75),CONCATENATE(AL$2,""*"")),"""")"),"")</f>
        <v/>
      </c>
      <c r="AM75" s="23" t="str">
        <f>IFERROR(__xludf.DUMMYFUNCTION("if(countif(filter(Status!$C:$C,Status!$A:$A=$A75),CONCATENATE(AM$2,""*""))&gt;0,countif(filter(Status!$C:$C,Status!$A:$A=$A75),CONCATENATE(AM$2,""*"")),"""")"),"")</f>
        <v/>
      </c>
      <c r="AN75" s="23" t="str">
        <f>IFERROR(__xludf.DUMMYFUNCTION("if(countif(filter(Status!$C:$C,Status!$A:$A=$A75),CONCATENATE(AN$2,""*""))&gt;0,countif(filter(Status!$C:$C,Status!$A:$A=$A75),CONCATENATE(AN$2,""*"")),"""")"),"")</f>
        <v/>
      </c>
      <c r="AO75" s="23" t="str">
        <f>IFERROR(__xludf.DUMMYFUNCTION("if(countif(filter(Status!$C:$C,Status!$A:$A=$A75),CONCATENATE(AO$2,""*""))&gt;0,countif(filter(Status!$C:$C,Status!$A:$A=$A75),CONCATENATE(AO$2,""*"")),"""")"),"")</f>
        <v/>
      </c>
      <c r="AP75" s="23">
        <f>IFERROR(__xludf.DUMMYFUNCTION("counta(iferror(filter(Status!C:C,Status!A:A=A75)))"),9.0)</f>
        <v>9</v>
      </c>
      <c r="AQ75" s="23">
        <f t="shared" si="6"/>
        <v>9</v>
      </c>
    </row>
    <row r="76">
      <c r="A76" s="1" t="s">
        <v>908</v>
      </c>
      <c r="B76" s="21">
        <f>IFERROR(__xludf.DUMMYFUNCTION("max(filter(Status!E:E,Status!A:A=A76))"),43802.0)</f>
        <v>43802</v>
      </c>
      <c r="C76" s="23">
        <f t="shared" si="1"/>
        <v>1</v>
      </c>
      <c r="D76" s="23">
        <f t="shared" si="2"/>
        <v>1</v>
      </c>
      <c r="E76" s="23">
        <f t="shared" si="3"/>
        <v>1</v>
      </c>
      <c r="F76" s="23">
        <f t="shared" si="4"/>
        <v>0.4117647059</v>
      </c>
      <c r="G76" s="25">
        <f t="shared" si="5"/>
        <v>0.9090909091</v>
      </c>
      <c r="J76" s="23">
        <f>IFERROR(__xludf.DUMMYFUNCTION("COUNTA(iferror(filter(Status!H:H,Status!A:A=A76)))"),9.0)</f>
        <v>9</v>
      </c>
      <c r="K76" s="25">
        <f>IFERROR(__xludf.DUMMYFUNCTION("COUNTA(iferror(filter(Status!H:H,Status!A:A=A76,Status!H:H=TRUE)))"),9.0)</f>
        <v>9</v>
      </c>
      <c r="L76" s="23">
        <f>IFERROR(__xludf.DUMMYFUNCTION("COUNTA(iferror(filter(Status!L:L,Status!A:A=A76)))"),3.0)</f>
        <v>3</v>
      </c>
      <c r="M76" s="25">
        <f>IFERROR(__xludf.DUMMYFUNCTION("COUNTA(iferror(filter(Status!L:L,Status!A:A=A76,Status!L:L=TRUE)))"),3.0)</f>
        <v>3</v>
      </c>
      <c r="N76" s="23">
        <f>IFERROR(__xludf.DUMMYFUNCTION("COUNTA(iferror(filter(Status!N:N,Status!A:A=A76,Status!N:N=TRUE)))"),7.0)</f>
        <v>7</v>
      </c>
      <c r="O76" s="25">
        <f>IFERROR(__xludf.DUMMYFUNCTION("COUNTA(iferror(filter(Status!N:N,Status!A:A=A76,Status!N:N=TRUE)))"),7.0)</f>
        <v>7</v>
      </c>
      <c r="P76" s="23">
        <f>IFERROR(__xludf.DUMMYFUNCTION("COUNTA(iferror(filter(Status!P:P,Status!A:A=A76)))"),17.0)</f>
        <v>17</v>
      </c>
      <c r="Q76" s="25">
        <f>IFERROR(__xludf.DUMMYFUNCTION("COUNTA(iferror(filter(Status!P:P,Status!A:A=A76,Status!P:P=TRUE)))"),7.0)</f>
        <v>7</v>
      </c>
      <c r="R76" s="23">
        <f>IFERROR(__xludf.DUMMYFUNCTION("COUNTA(iferror(filter(Status!R:R,Status!A:A=A76)))"),11.0)</f>
        <v>11</v>
      </c>
      <c r="S76" s="25">
        <f>IFERROR(__xludf.DUMMYFUNCTION("COUNTA(iferror(filter(Status!R:R,Status!A:A=A76,Status!R:R=TRUE)))"),10.0)</f>
        <v>10</v>
      </c>
      <c r="V76" s="23" t="str">
        <f>IFERROR(__xludf.DUMMYFUNCTION("if((countif(filter(Status!$C:$C,Status!$A:$A=$A76),CONCATENATE(V$2,""*""))-W76)&gt;0,(countif(filter(Status!$C:$C,Status!$A:$A=$A76),CONCATENATE(V$2,""*""))-W76),"""")"),"")</f>
        <v/>
      </c>
      <c r="W76" s="23">
        <f>IFERROR(__xludf.DUMMYFUNCTION("if(countif(filter(Status!$C:$C,Status!$A:$A=$A76),CONCATENATE(W$2,""*""))&gt;0,countif(filter(Status!$C:$C,Status!$A:$A=$A76),CONCATENATE(W$2,""*"")),"""")"),3.0)</f>
        <v>3</v>
      </c>
      <c r="X76" s="23">
        <f>IFERROR(__xludf.DUMMYFUNCTION("if(countif(filter(Status!$C:$C,Status!$A:$A=$A76),CONCATENATE(X$2,""*""))&gt;0,countif(filter(Status!$C:$C,Status!$A:$A=$A76),CONCATENATE(X$2,""*"")),"""")"),2.0)</f>
        <v>2</v>
      </c>
      <c r="Y76" s="23" t="str">
        <f>IFERROR(__xludf.DUMMYFUNCTION("if(countif(filter(Status!$C:$C,Status!$A:$A=$A76),CONCATENATE(Y$2,""*""))&gt;0,countif(filter(Status!$C:$C,Status!$A:$A=$A76),CONCATENATE(Y$2,""*"")),"""")"),"")</f>
        <v/>
      </c>
      <c r="Z76" s="23" t="str">
        <f>IFERROR(__xludf.DUMMYFUNCTION("if(countif(filter(Status!$C:$C,Status!$A:$A=$A76),CONCATENATE(Z$2,""*""))&gt;0,countif(filter(Status!$C:$C,Status!$A:$A=$A76),CONCATENATE(Z$2,""*"")),"""")"),"")</f>
        <v/>
      </c>
      <c r="AA76" s="23">
        <f>IFERROR(__xludf.DUMMYFUNCTION("if((countif(filter(Status!$C:$C,Status!$A:$A=$A76),CONCATENATE(AA$2,""*""))-AB76)&gt;0,(countif(filter(Status!$C:$C,Status!$A:$A=$A76),CONCATENATE(AA$2,""*""))-AB76),"""")"),5.0)</f>
        <v>5</v>
      </c>
      <c r="AB76" s="23">
        <f>IFERROR(__xludf.DUMMYFUNCTION("if(countif(filter(Status!$C:$C,Status!$A:$A=$A76),CONCATENATE(AB$2,""*""))&gt;0,countif(filter(Status!$C:$C,Status!$A:$A=$A76),CONCATENATE(AB$2,""*"")),"""")"),5.0)</f>
        <v>5</v>
      </c>
      <c r="AC76" s="23">
        <f>IFERROR(__xludf.DUMMYFUNCTION("if(countif(filter(Status!$C:$C,Status!$A:$A=$A76),CONCATENATE(AC$2,""*""))&gt;0,countif(filter(Status!$C:$C,Status!$A:$A=$A76),CONCATENATE(AC$2,""*"")),"""")"),1.0)</f>
        <v>1</v>
      </c>
      <c r="AD76" s="23">
        <f>IFERROR(__xludf.DUMMYFUNCTION("if(countif(filter(Status!$C:$C,Status!$A:$A=$A76),CONCATENATE(AD$2,""*""))&gt;0,countif(filter(Status!$C:$C,Status!$A:$A=$A76),CONCATENATE(AD$2,""*"")),"""")"),1.0)</f>
        <v>1</v>
      </c>
      <c r="AE76" s="23">
        <f>IFERROR(__xludf.DUMMYFUNCTION("if(countif(filter(Status!$C:$C,Status!$A:$A=$A76),CONCATENATE(AE$2,""*""))&gt;0,countif(filter(Status!$C:$C,Status!$A:$A=$A76),CONCATENATE(AE$2,""*"")),"""")"),1.0)</f>
        <v>1</v>
      </c>
      <c r="AF76" s="23" t="str">
        <f>IFERROR(__xludf.DUMMYFUNCTION("if(countif(filter(Status!$C:$C,Status!$A:$A=$A76),CONCATENATE(AF$2,""*""))&gt;0,countif(filter(Status!$C:$C,Status!$A:$A=$A76),CONCATENATE(AF$2,""*"")),"""")"),"")</f>
        <v/>
      </c>
      <c r="AG76" s="23" t="str">
        <f>IFERROR(__xludf.DUMMYFUNCTION("if(countif(filter(Status!$C:$C,Status!$A:$A=$A76),CONCATENATE(AG$2,""*""))&gt;0,countif(filter(Status!$C:$C,Status!$A:$A=$A76),CONCATENATE(AG$2,""*"")),"""")"),"")</f>
        <v/>
      </c>
      <c r="AH76" s="23" t="str">
        <f>IFERROR(__xludf.DUMMYFUNCTION("if(countif(filter(Status!$C:$C,Status!$A:$A=$A76),CONCATENATE(AH$2,""*""))&gt;0,countif(filter(Status!$C:$C,Status!$A:$A=$A76),CONCATENATE(AH$2,""*"")),"""")"),"")</f>
        <v/>
      </c>
      <c r="AI76" s="23" t="str">
        <f>IFERROR(__xludf.DUMMYFUNCTION("if(countif(filter(Status!$C:$C,Status!$A:$A=$A76),CONCATENATE(AI$2,""*""))&gt;0,countif(filter(Status!$C:$C,Status!$A:$A=$A76),CONCATENATE(AI$2,""*"")),"""")"),"")</f>
        <v/>
      </c>
      <c r="AJ76" s="23" t="str">
        <f>IFERROR(__xludf.DUMMYFUNCTION("if(countif(filter(Status!$C:$C,Status!$A:$A=$A76),CONCATENATE(AJ$2,""*""))&gt;0,countif(filter(Status!$C:$C,Status!$A:$A=$A76),CONCATENATE(AJ$2,""*"")),"""")"),"")</f>
        <v/>
      </c>
      <c r="AK76" s="23" t="str">
        <f>IFERROR(__xludf.DUMMYFUNCTION("if(countif(filter(Status!$C:$C,Status!$A:$A=$A76),CONCATENATE(AK$2,""*""))&gt;0,countif(filter(Status!$C:$C,Status!$A:$A=$A76),CONCATENATE(AK$2,""*"")),"""")"),"")</f>
        <v/>
      </c>
      <c r="AL76" s="23" t="str">
        <f>IFERROR(__xludf.DUMMYFUNCTION("if(countif(filter(Status!$C:$C,Status!$A:$A=$A76),CONCATENATE(AL$2,""*""))&gt;0,countif(filter(Status!$C:$C,Status!$A:$A=$A76),CONCATENATE(AL$2,""*"")),"""")"),"")</f>
        <v/>
      </c>
      <c r="AM76" s="23" t="str">
        <f>IFERROR(__xludf.DUMMYFUNCTION("if(countif(filter(Status!$C:$C,Status!$A:$A=$A76),CONCATENATE(AM$2,""*""))&gt;0,countif(filter(Status!$C:$C,Status!$A:$A=$A76),CONCATENATE(AM$2,""*"")),"""")"),"")</f>
        <v/>
      </c>
      <c r="AN76" s="23" t="str">
        <f>IFERROR(__xludf.DUMMYFUNCTION("if(countif(filter(Status!$C:$C,Status!$A:$A=$A76),CONCATENATE(AN$2,""*""))&gt;0,countif(filter(Status!$C:$C,Status!$A:$A=$A76),CONCATENATE(AN$2,""*"")),"""")"),"")</f>
        <v/>
      </c>
      <c r="AO76" s="23" t="str">
        <f>IFERROR(__xludf.DUMMYFUNCTION("if(countif(filter(Status!$C:$C,Status!$A:$A=$A76),CONCATENATE(AO$2,""*""))&gt;0,countif(filter(Status!$C:$C,Status!$A:$A=$A76),CONCATENATE(AO$2,""*"")),"""")"),"")</f>
        <v/>
      </c>
      <c r="AP76" s="23">
        <f>IFERROR(__xludf.DUMMYFUNCTION("counta(iferror(filter(Status!C:C,Status!A:A=A76)))"),18.0)</f>
        <v>18</v>
      </c>
      <c r="AQ76" s="23">
        <f t="shared" si="6"/>
        <v>18</v>
      </c>
    </row>
    <row r="77">
      <c r="A77" s="1" t="s">
        <v>911</v>
      </c>
      <c r="B77" s="21">
        <f>IFERROR(__xludf.DUMMYFUNCTION("max(filter(Status!E:E,Status!A:A=A77))"),43803.0)</f>
        <v>43803</v>
      </c>
      <c r="C77" s="23">
        <f t="shared" si="1"/>
        <v>1</v>
      </c>
      <c r="D77" s="23">
        <f t="shared" si="2"/>
        <v>1</v>
      </c>
      <c r="E77" s="23">
        <f t="shared" si="3"/>
        <v>1</v>
      </c>
      <c r="F77" s="23">
        <f t="shared" si="4"/>
        <v>1</v>
      </c>
      <c r="G77" s="25" t="str">
        <f t="shared" si="5"/>
        <v/>
      </c>
      <c r="J77" s="23">
        <f>IFERROR(__xludf.DUMMYFUNCTION("COUNTA(iferror(filter(Status!H:H,Status!A:A=A77)))"),2.0)</f>
        <v>2</v>
      </c>
      <c r="K77" s="25">
        <f>IFERROR(__xludf.DUMMYFUNCTION("COUNTA(iferror(filter(Status!H:H,Status!A:A=A77,Status!H:H=TRUE)))"),2.0)</f>
        <v>2</v>
      </c>
      <c r="L77" s="23">
        <f>IFERROR(__xludf.DUMMYFUNCTION("COUNTA(iferror(filter(Status!L:L,Status!A:A=A77)))"),1.0)</f>
        <v>1</v>
      </c>
      <c r="M77" s="25">
        <f>IFERROR(__xludf.DUMMYFUNCTION("COUNTA(iferror(filter(Status!L:L,Status!A:A=A77,Status!L:L=TRUE)))"),1.0)</f>
        <v>1</v>
      </c>
      <c r="N77" s="23">
        <f>IFERROR(__xludf.DUMMYFUNCTION("COUNTA(iferror(filter(Status!N:N,Status!A:A=A77,Status!N:N=TRUE)))"),2.0)</f>
        <v>2</v>
      </c>
      <c r="O77" s="25">
        <f>IFERROR(__xludf.DUMMYFUNCTION("COUNTA(iferror(filter(Status!N:N,Status!A:A=A77,Status!N:N=TRUE)))"),2.0)</f>
        <v>2</v>
      </c>
      <c r="P77" s="23">
        <f>IFERROR(__xludf.DUMMYFUNCTION("COUNTA(iferror(filter(Status!P:P,Status!A:A=A77)))"),2.0)</f>
        <v>2</v>
      </c>
      <c r="Q77" s="25">
        <f>IFERROR(__xludf.DUMMYFUNCTION("COUNTA(iferror(filter(Status!P:P,Status!A:A=A77,Status!P:P=TRUE)))"),2.0)</f>
        <v>2</v>
      </c>
      <c r="R77" s="23">
        <f>IFERROR(__xludf.DUMMYFUNCTION("COUNTA(iferror(filter(Status!R:R,Status!A:A=A77)))"),0.0)</f>
        <v>0</v>
      </c>
      <c r="S77" s="25">
        <f>IFERROR(__xludf.DUMMYFUNCTION("COUNTA(iferror(filter(Status!R:R,Status!A:A=A77,Status!R:R=TRUE)))"),0.0)</f>
        <v>0</v>
      </c>
      <c r="V77" s="23" t="str">
        <f>IFERROR(__xludf.DUMMYFUNCTION("if((countif(filter(Status!$C:$C,Status!$A:$A=$A77),CONCATENATE(V$2,""*""))-W77)&gt;0,(countif(filter(Status!$C:$C,Status!$A:$A=$A77),CONCATENATE(V$2,""*""))-W77),"""")"),"")</f>
        <v/>
      </c>
      <c r="W77" s="23" t="str">
        <f>IFERROR(__xludf.DUMMYFUNCTION("if(countif(filter(Status!$C:$C,Status!$A:$A=$A77),CONCATENATE(W$2,""*""))&gt;0,countif(filter(Status!$C:$C,Status!$A:$A=$A77),CONCATENATE(W$2,""*"")),"""")"),"")</f>
        <v/>
      </c>
      <c r="X77" s="23" t="str">
        <f>IFERROR(__xludf.DUMMYFUNCTION("if(countif(filter(Status!$C:$C,Status!$A:$A=$A77),CONCATENATE(X$2,""*""))&gt;0,countif(filter(Status!$C:$C,Status!$A:$A=$A77),CONCATENATE(X$2,""*"")),"""")"),"")</f>
        <v/>
      </c>
      <c r="Y77" s="23" t="str">
        <f>IFERROR(__xludf.DUMMYFUNCTION("if(countif(filter(Status!$C:$C,Status!$A:$A=$A77),CONCATENATE(Y$2,""*""))&gt;0,countif(filter(Status!$C:$C,Status!$A:$A=$A77),CONCATENATE(Y$2,""*"")),"""")"),"")</f>
        <v/>
      </c>
      <c r="Z77" s="23" t="str">
        <f>IFERROR(__xludf.DUMMYFUNCTION("if(countif(filter(Status!$C:$C,Status!$A:$A=$A77),CONCATENATE(Z$2,""*""))&gt;0,countif(filter(Status!$C:$C,Status!$A:$A=$A77),CONCATENATE(Z$2,""*"")),"""")"),"")</f>
        <v/>
      </c>
      <c r="AA77" s="23" t="str">
        <f>IFERROR(__xludf.DUMMYFUNCTION("if((countif(filter(Status!$C:$C,Status!$A:$A=$A77),CONCATENATE(AA$2,""*""))-AB77)&gt;0,(countif(filter(Status!$C:$C,Status!$A:$A=$A77),CONCATENATE(AA$2,""*""))-AB77),"""")"),"")</f>
        <v/>
      </c>
      <c r="AB77" s="23" t="str">
        <f>IFERROR(__xludf.DUMMYFUNCTION("if(countif(filter(Status!$C:$C,Status!$A:$A=$A77),CONCATENATE(AB$2,""*""))&gt;0,countif(filter(Status!$C:$C,Status!$A:$A=$A77),CONCATENATE(AB$2,""*"")),"""")"),"")</f>
        <v/>
      </c>
      <c r="AC77" s="23" t="str">
        <f>IFERROR(__xludf.DUMMYFUNCTION("if(countif(filter(Status!$C:$C,Status!$A:$A=$A77),CONCATENATE(AC$2,""*""))&gt;0,countif(filter(Status!$C:$C,Status!$A:$A=$A77),CONCATENATE(AC$2,""*"")),"""")"),"")</f>
        <v/>
      </c>
      <c r="AD77" s="23" t="str">
        <f>IFERROR(__xludf.DUMMYFUNCTION("if(countif(filter(Status!$C:$C,Status!$A:$A=$A77),CONCATENATE(AD$2,""*""))&gt;0,countif(filter(Status!$C:$C,Status!$A:$A=$A77),CONCATENATE(AD$2,""*"")),"""")"),"")</f>
        <v/>
      </c>
      <c r="AE77" s="23">
        <f>IFERROR(__xludf.DUMMYFUNCTION("if(countif(filter(Status!$C:$C,Status!$A:$A=$A77),CONCATENATE(AE$2,""*""))&gt;0,countif(filter(Status!$C:$C,Status!$A:$A=$A77),CONCATENATE(AE$2,""*"")),"""")"),1.0)</f>
        <v>1</v>
      </c>
      <c r="AF77" s="23">
        <f>IFERROR(__xludf.DUMMYFUNCTION("if(countif(filter(Status!$C:$C,Status!$A:$A=$A77),CONCATENATE(AF$2,""*""))&gt;0,countif(filter(Status!$C:$C,Status!$A:$A=$A77),CONCATENATE(AF$2,""*"")),"""")"),2.0)</f>
        <v>2</v>
      </c>
      <c r="AG77" s="23" t="str">
        <f>IFERROR(__xludf.DUMMYFUNCTION("if(countif(filter(Status!$C:$C,Status!$A:$A=$A77),CONCATENATE(AG$2,""*""))&gt;0,countif(filter(Status!$C:$C,Status!$A:$A=$A77),CONCATENATE(AG$2,""*"")),"""")"),"")</f>
        <v/>
      </c>
      <c r="AH77" s="23" t="str">
        <f>IFERROR(__xludf.DUMMYFUNCTION("if(countif(filter(Status!$C:$C,Status!$A:$A=$A77),CONCATENATE(AH$2,""*""))&gt;0,countif(filter(Status!$C:$C,Status!$A:$A=$A77),CONCATENATE(AH$2,""*"")),"""")"),"")</f>
        <v/>
      </c>
      <c r="AI77" s="23" t="str">
        <f>IFERROR(__xludf.DUMMYFUNCTION("if(countif(filter(Status!$C:$C,Status!$A:$A=$A77),CONCATENATE(AI$2,""*""))&gt;0,countif(filter(Status!$C:$C,Status!$A:$A=$A77),CONCATENATE(AI$2,""*"")),"""")"),"")</f>
        <v/>
      </c>
      <c r="AJ77" s="23" t="str">
        <f>IFERROR(__xludf.DUMMYFUNCTION("if(countif(filter(Status!$C:$C,Status!$A:$A=$A77),CONCATENATE(AJ$2,""*""))&gt;0,countif(filter(Status!$C:$C,Status!$A:$A=$A77),CONCATENATE(AJ$2,""*"")),"""")"),"")</f>
        <v/>
      </c>
      <c r="AK77" s="23" t="str">
        <f>IFERROR(__xludf.DUMMYFUNCTION("if(countif(filter(Status!$C:$C,Status!$A:$A=$A77),CONCATENATE(AK$2,""*""))&gt;0,countif(filter(Status!$C:$C,Status!$A:$A=$A77),CONCATENATE(AK$2,""*"")),"""")"),"")</f>
        <v/>
      </c>
      <c r="AL77" s="23" t="str">
        <f>IFERROR(__xludf.DUMMYFUNCTION("if(countif(filter(Status!$C:$C,Status!$A:$A=$A77),CONCATENATE(AL$2,""*""))&gt;0,countif(filter(Status!$C:$C,Status!$A:$A=$A77),CONCATENATE(AL$2,""*"")),"""")"),"")</f>
        <v/>
      </c>
      <c r="AM77" s="23" t="str">
        <f>IFERROR(__xludf.DUMMYFUNCTION("if(countif(filter(Status!$C:$C,Status!$A:$A=$A77),CONCATENATE(AM$2,""*""))&gt;0,countif(filter(Status!$C:$C,Status!$A:$A=$A77),CONCATENATE(AM$2,""*"")),"""")"),"")</f>
        <v/>
      </c>
      <c r="AN77" s="23" t="str">
        <f>IFERROR(__xludf.DUMMYFUNCTION("if(countif(filter(Status!$C:$C,Status!$A:$A=$A77),CONCATENATE(AN$2,""*""))&gt;0,countif(filter(Status!$C:$C,Status!$A:$A=$A77),CONCATENATE(AN$2,""*"")),"""")"),"")</f>
        <v/>
      </c>
      <c r="AO77" s="23" t="str">
        <f>IFERROR(__xludf.DUMMYFUNCTION("if(countif(filter(Status!$C:$C,Status!$A:$A=$A77),CONCATENATE(AO$2,""*""))&gt;0,countif(filter(Status!$C:$C,Status!$A:$A=$A77),CONCATENATE(AO$2,""*"")),"""")"),"")</f>
        <v/>
      </c>
      <c r="AP77" s="23">
        <f>IFERROR(__xludf.DUMMYFUNCTION("counta(iferror(filter(Status!C:C,Status!A:A=A77)))"),3.0)</f>
        <v>3</v>
      </c>
      <c r="AQ77" s="23">
        <f t="shared" si="6"/>
        <v>3</v>
      </c>
    </row>
    <row r="78">
      <c r="A78" s="1" t="s">
        <v>915</v>
      </c>
      <c r="B78" s="21">
        <f>IFERROR(__xludf.DUMMYFUNCTION("max(filter(Status!E:E,Status!A:A=A78))"),43804.0)</f>
        <v>43804</v>
      </c>
      <c r="C78" s="23">
        <f t="shared" si="1"/>
        <v>1</v>
      </c>
      <c r="D78" s="23">
        <f t="shared" si="2"/>
        <v>1</v>
      </c>
      <c r="E78" s="23">
        <f t="shared" si="3"/>
        <v>1</v>
      </c>
      <c r="F78" s="23">
        <f t="shared" si="4"/>
        <v>0.4</v>
      </c>
      <c r="G78" s="25">
        <f t="shared" si="5"/>
        <v>1</v>
      </c>
      <c r="J78" s="23">
        <f>IFERROR(__xludf.DUMMYFUNCTION("COUNTA(iferror(filter(Status!H:H,Status!A:A=A78)))"),11.0)</f>
        <v>11</v>
      </c>
      <c r="K78" s="25">
        <f>IFERROR(__xludf.DUMMYFUNCTION("COUNTA(iferror(filter(Status!H:H,Status!A:A=A78,Status!H:H=TRUE)))"),11.0)</f>
        <v>11</v>
      </c>
      <c r="L78" s="23">
        <f>IFERROR(__xludf.DUMMYFUNCTION("COUNTA(iferror(filter(Status!L:L,Status!A:A=A78)))"),4.0)</f>
        <v>4</v>
      </c>
      <c r="M78" s="25">
        <f>IFERROR(__xludf.DUMMYFUNCTION("COUNTA(iferror(filter(Status!L:L,Status!A:A=A78,Status!L:L=TRUE)))"),4.0)</f>
        <v>4</v>
      </c>
      <c r="N78" s="23">
        <f>IFERROR(__xludf.DUMMYFUNCTION("COUNTA(iferror(filter(Status!N:N,Status!A:A=A78,Status!N:N=TRUE)))"),8.0)</f>
        <v>8</v>
      </c>
      <c r="O78" s="25">
        <f>IFERROR(__xludf.DUMMYFUNCTION("COUNTA(iferror(filter(Status!N:N,Status!A:A=A78,Status!N:N=TRUE)))"),8.0)</f>
        <v>8</v>
      </c>
      <c r="P78" s="23">
        <f>IFERROR(__xludf.DUMMYFUNCTION("COUNTA(iferror(filter(Status!P:P,Status!A:A=A78)))"),20.0)</f>
        <v>20</v>
      </c>
      <c r="Q78" s="25">
        <f>IFERROR(__xludf.DUMMYFUNCTION("COUNTA(iferror(filter(Status!P:P,Status!A:A=A78,Status!P:P=TRUE)))"),8.0)</f>
        <v>8</v>
      </c>
      <c r="R78" s="23">
        <f>IFERROR(__xludf.DUMMYFUNCTION("COUNTA(iferror(filter(Status!R:R,Status!A:A=A78)))"),13.0)</f>
        <v>13</v>
      </c>
      <c r="S78" s="25">
        <f>IFERROR(__xludf.DUMMYFUNCTION("COUNTA(iferror(filter(Status!R:R,Status!A:A=A78,Status!R:R=TRUE)))"),13.0)</f>
        <v>13</v>
      </c>
      <c r="V78" s="23" t="str">
        <f>IFERROR(__xludf.DUMMYFUNCTION("if((countif(filter(Status!$C:$C,Status!$A:$A=$A78),CONCATENATE(V$2,""*""))-W78)&gt;0,(countif(filter(Status!$C:$C,Status!$A:$A=$A78),CONCATENATE(V$2,""*""))-W78),"""")"),"")</f>
        <v/>
      </c>
      <c r="W78" s="23">
        <f>IFERROR(__xludf.DUMMYFUNCTION("if(countif(filter(Status!$C:$C,Status!$A:$A=$A78),CONCATENATE(W$2,""*""))&gt;0,countif(filter(Status!$C:$C,Status!$A:$A=$A78),CONCATENATE(W$2,""*"")),"""")"),4.0)</f>
        <v>4</v>
      </c>
      <c r="X78" s="23">
        <f>IFERROR(__xludf.DUMMYFUNCTION("if(countif(filter(Status!$C:$C,Status!$A:$A=$A78),CONCATENATE(X$2,""*""))&gt;0,countif(filter(Status!$C:$C,Status!$A:$A=$A78),CONCATENATE(X$2,""*"")),"""")"),2.0)</f>
        <v>2</v>
      </c>
      <c r="Y78" s="23" t="str">
        <f>IFERROR(__xludf.DUMMYFUNCTION("if(countif(filter(Status!$C:$C,Status!$A:$A=$A78),CONCATENATE(Y$2,""*""))&gt;0,countif(filter(Status!$C:$C,Status!$A:$A=$A78),CONCATENATE(Y$2,""*"")),"""")"),"")</f>
        <v/>
      </c>
      <c r="Z78" s="23" t="str">
        <f>IFERROR(__xludf.DUMMYFUNCTION("if(countif(filter(Status!$C:$C,Status!$A:$A=$A78),CONCATENATE(Z$2,""*""))&gt;0,countif(filter(Status!$C:$C,Status!$A:$A=$A78),CONCATENATE(Z$2,""*"")),"""")"),"")</f>
        <v/>
      </c>
      <c r="AA78" s="23">
        <f>IFERROR(__xludf.DUMMYFUNCTION("if((countif(filter(Status!$C:$C,Status!$A:$A=$A78),CONCATENATE(AA$2,""*""))-AB78)&gt;0,(countif(filter(Status!$C:$C,Status!$A:$A=$A78),CONCATENATE(AA$2,""*""))-AB78),"""")"),6.0)</f>
        <v>6</v>
      </c>
      <c r="AB78" s="23">
        <f>IFERROR(__xludf.DUMMYFUNCTION("if(countif(filter(Status!$C:$C,Status!$A:$A=$A78),CONCATENATE(AB$2,""*""))&gt;0,countif(filter(Status!$C:$C,Status!$A:$A=$A78),CONCATENATE(AB$2,""*"")),"""")"),6.0)</f>
        <v>6</v>
      </c>
      <c r="AC78" s="23">
        <f>IFERROR(__xludf.DUMMYFUNCTION("if(countif(filter(Status!$C:$C,Status!$A:$A=$A78),CONCATENATE(AC$2,""*""))&gt;0,countif(filter(Status!$C:$C,Status!$A:$A=$A78),CONCATENATE(AC$2,""*"")),"""")"),1.0)</f>
        <v>1</v>
      </c>
      <c r="AD78" s="23">
        <f>IFERROR(__xludf.DUMMYFUNCTION("if(countif(filter(Status!$C:$C,Status!$A:$A=$A78),CONCATENATE(AD$2,""*""))&gt;0,countif(filter(Status!$C:$C,Status!$A:$A=$A78),CONCATENATE(AD$2,""*"")),"""")"),1.0)</f>
        <v>1</v>
      </c>
      <c r="AE78" s="23">
        <f>IFERROR(__xludf.DUMMYFUNCTION("if(countif(filter(Status!$C:$C,Status!$A:$A=$A78),CONCATENATE(AE$2,""*""))&gt;0,countif(filter(Status!$C:$C,Status!$A:$A=$A78),CONCATENATE(AE$2,""*"")),"""")"),1.0)</f>
        <v>1</v>
      </c>
      <c r="AF78" s="23" t="str">
        <f>IFERROR(__xludf.DUMMYFUNCTION("if(countif(filter(Status!$C:$C,Status!$A:$A=$A78),CONCATENATE(AF$2,""*""))&gt;0,countif(filter(Status!$C:$C,Status!$A:$A=$A78),CONCATENATE(AF$2,""*"")),"""")"),"")</f>
        <v/>
      </c>
      <c r="AG78" s="23" t="str">
        <f>IFERROR(__xludf.DUMMYFUNCTION("if(countif(filter(Status!$C:$C,Status!$A:$A=$A78),CONCATENATE(AG$2,""*""))&gt;0,countif(filter(Status!$C:$C,Status!$A:$A=$A78),CONCATENATE(AG$2,""*"")),"""")"),"")</f>
        <v/>
      </c>
      <c r="AH78" s="23" t="str">
        <f>IFERROR(__xludf.DUMMYFUNCTION("if(countif(filter(Status!$C:$C,Status!$A:$A=$A78),CONCATENATE(AH$2,""*""))&gt;0,countif(filter(Status!$C:$C,Status!$A:$A=$A78),CONCATENATE(AH$2,""*"")),"""")"),"")</f>
        <v/>
      </c>
      <c r="AI78" s="23" t="str">
        <f>IFERROR(__xludf.DUMMYFUNCTION("if(countif(filter(Status!$C:$C,Status!$A:$A=$A78),CONCATENATE(AI$2,""*""))&gt;0,countif(filter(Status!$C:$C,Status!$A:$A=$A78),CONCATENATE(AI$2,""*"")),"""")"),"")</f>
        <v/>
      </c>
      <c r="AJ78" s="23" t="str">
        <f>IFERROR(__xludf.DUMMYFUNCTION("if(countif(filter(Status!$C:$C,Status!$A:$A=$A78),CONCATENATE(AJ$2,""*""))&gt;0,countif(filter(Status!$C:$C,Status!$A:$A=$A78),CONCATENATE(AJ$2,""*"")),"""")"),"")</f>
        <v/>
      </c>
      <c r="AK78" s="23" t="str">
        <f>IFERROR(__xludf.DUMMYFUNCTION("if(countif(filter(Status!$C:$C,Status!$A:$A=$A78),CONCATENATE(AK$2,""*""))&gt;0,countif(filter(Status!$C:$C,Status!$A:$A=$A78),CONCATENATE(AK$2,""*"")),"""")"),"")</f>
        <v/>
      </c>
      <c r="AL78" s="23" t="str">
        <f>IFERROR(__xludf.DUMMYFUNCTION("if(countif(filter(Status!$C:$C,Status!$A:$A=$A78),CONCATENATE(AL$2,""*""))&gt;0,countif(filter(Status!$C:$C,Status!$A:$A=$A78),CONCATENATE(AL$2,""*"")),"""")"),"")</f>
        <v/>
      </c>
      <c r="AM78" s="23" t="str">
        <f>IFERROR(__xludf.DUMMYFUNCTION("if(countif(filter(Status!$C:$C,Status!$A:$A=$A78),CONCATENATE(AM$2,""*""))&gt;0,countif(filter(Status!$C:$C,Status!$A:$A=$A78),CONCATENATE(AM$2,""*"")),"""")"),"")</f>
        <v/>
      </c>
      <c r="AN78" s="23" t="str">
        <f>IFERROR(__xludf.DUMMYFUNCTION("if(countif(filter(Status!$C:$C,Status!$A:$A=$A78),CONCATENATE(AN$2,""*""))&gt;0,countif(filter(Status!$C:$C,Status!$A:$A=$A78),CONCATENATE(AN$2,""*"")),"""")"),"")</f>
        <v/>
      </c>
      <c r="AO78" s="23" t="str">
        <f>IFERROR(__xludf.DUMMYFUNCTION("if(countif(filter(Status!$C:$C,Status!$A:$A=$A78),CONCATENATE(AO$2,""*""))&gt;0,countif(filter(Status!$C:$C,Status!$A:$A=$A78),CONCATENATE(AO$2,""*"")),"""")"),"")</f>
        <v/>
      </c>
      <c r="AP78" s="23">
        <f>IFERROR(__xludf.DUMMYFUNCTION("counta(iferror(filter(Status!C:C,Status!A:A=A78)))"),21.0)</f>
        <v>21</v>
      </c>
      <c r="AQ78" s="23">
        <f t="shared" si="6"/>
        <v>21</v>
      </c>
    </row>
    <row r="79">
      <c r="A79" s="1" t="s">
        <v>919</v>
      </c>
      <c r="B79" s="21">
        <f>IFERROR(__xludf.DUMMYFUNCTION("max(filter(Status!E:E,Status!A:A=A79))"),43805.0)</f>
        <v>43805</v>
      </c>
      <c r="C79" s="23">
        <f t="shared" si="1"/>
        <v>1</v>
      </c>
      <c r="D79" s="23">
        <f t="shared" si="2"/>
        <v>1</v>
      </c>
      <c r="E79" s="23">
        <f t="shared" si="3"/>
        <v>1</v>
      </c>
      <c r="F79" s="23">
        <f t="shared" si="4"/>
        <v>0.3846153846</v>
      </c>
      <c r="G79" s="25">
        <f t="shared" si="5"/>
        <v>1</v>
      </c>
      <c r="J79" s="23">
        <f>IFERROR(__xludf.DUMMYFUNCTION("COUNTA(iferror(filter(Status!H:H,Status!A:A=A79)))"),9.0)</f>
        <v>9</v>
      </c>
      <c r="K79" s="25">
        <f>IFERROR(__xludf.DUMMYFUNCTION("COUNTA(iferror(filter(Status!H:H,Status!A:A=A79,Status!H:H=TRUE)))"),9.0)</f>
        <v>9</v>
      </c>
      <c r="L79" s="23">
        <f>IFERROR(__xludf.DUMMYFUNCTION("COUNTA(iferror(filter(Status!L:L,Status!A:A=A79)))"),4.0)</f>
        <v>4</v>
      </c>
      <c r="M79" s="25">
        <f>IFERROR(__xludf.DUMMYFUNCTION("COUNTA(iferror(filter(Status!L:L,Status!A:A=A79,Status!L:L=TRUE)))"),4.0)</f>
        <v>4</v>
      </c>
      <c r="N79" s="23">
        <f>IFERROR(__xludf.DUMMYFUNCTION("COUNTA(iferror(filter(Status!N:N,Status!A:A=A79,Status!N:N=TRUE)))"),5.0)</f>
        <v>5</v>
      </c>
      <c r="O79" s="25">
        <f>IFERROR(__xludf.DUMMYFUNCTION("COUNTA(iferror(filter(Status!N:N,Status!A:A=A79,Status!N:N=TRUE)))"),5.0)</f>
        <v>5</v>
      </c>
      <c r="P79" s="23">
        <f>IFERROR(__xludf.DUMMYFUNCTION("COUNTA(iferror(filter(Status!P:P,Status!A:A=A79)))"),13.0)</f>
        <v>13</v>
      </c>
      <c r="Q79" s="25">
        <f>IFERROR(__xludf.DUMMYFUNCTION("COUNTA(iferror(filter(Status!P:P,Status!A:A=A79,Status!P:P=TRUE)))"),5.0)</f>
        <v>5</v>
      </c>
      <c r="R79" s="23">
        <f>IFERROR(__xludf.DUMMYFUNCTION("COUNTA(iferror(filter(Status!R:R,Status!A:A=A79)))"),9.0)</f>
        <v>9</v>
      </c>
      <c r="S79" s="25">
        <f>IFERROR(__xludf.DUMMYFUNCTION("COUNTA(iferror(filter(Status!R:R,Status!A:A=A79,Status!R:R=TRUE)))"),9.0)</f>
        <v>9</v>
      </c>
      <c r="V79" s="23" t="str">
        <f>IFERROR(__xludf.DUMMYFUNCTION("if((countif(filter(Status!$C:$C,Status!$A:$A=$A79),CONCATENATE(V$2,""*""))-W79)&gt;0,(countif(filter(Status!$C:$C,Status!$A:$A=$A79),CONCATENATE(V$2,""*""))-W79),"""")"),"")</f>
        <v/>
      </c>
      <c r="W79" s="23">
        <f>IFERROR(__xludf.DUMMYFUNCTION("if(countif(filter(Status!$C:$C,Status!$A:$A=$A79),CONCATENATE(W$2,""*""))&gt;0,countif(filter(Status!$C:$C,Status!$A:$A=$A79),CONCATENATE(W$2,""*"")),"""")"),4.0)</f>
        <v>4</v>
      </c>
      <c r="X79" s="23" t="str">
        <f>IFERROR(__xludf.DUMMYFUNCTION("if(countif(filter(Status!$C:$C,Status!$A:$A=$A79),CONCATENATE(X$2,""*""))&gt;0,countif(filter(Status!$C:$C,Status!$A:$A=$A79),CONCATENATE(X$2,""*"")),"""")"),"")</f>
        <v/>
      </c>
      <c r="Y79" s="23" t="str">
        <f>IFERROR(__xludf.DUMMYFUNCTION("if(countif(filter(Status!$C:$C,Status!$A:$A=$A79),CONCATENATE(Y$2,""*""))&gt;0,countif(filter(Status!$C:$C,Status!$A:$A=$A79),CONCATENATE(Y$2,""*"")),"""")"),"")</f>
        <v/>
      </c>
      <c r="Z79" s="23" t="str">
        <f>IFERROR(__xludf.DUMMYFUNCTION("if(countif(filter(Status!$C:$C,Status!$A:$A=$A79),CONCATENATE(Z$2,""*""))&gt;0,countif(filter(Status!$C:$C,Status!$A:$A=$A79),CONCATENATE(Z$2,""*"")),"""")"),"")</f>
        <v/>
      </c>
      <c r="AA79" s="23">
        <f>IFERROR(__xludf.DUMMYFUNCTION("if((countif(filter(Status!$C:$C,Status!$A:$A=$A79),CONCATENATE(AA$2,""*""))-AB79)&gt;0,(countif(filter(Status!$C:$C,Status!$A:$A=$A79),CONCATENATE(AA$2,""*""))-AB79),"""")"),4.0)</f>
        <v>4</v>
      </c>
      <c r="AB79" s="23">
        <f>IFERROR(__xludf.DUMMYFUNCTION("if(countif(filter(Status!$C:$C,Status!$A:$A=$A79),CONCATENATE(AB$2,""*""))&gt;0,countif(filter(Status!$C:$C,Status!$A:$A=$A79),CONCATENATE(AB$2,""*"")),"""")"),4.0)</f>
        <v>4</v>
      </c>
      <c r="AC79" s="23">
        <f>IFERROR(__xludf.DUMMYFUNCTION("if(countif(filter(Status!$C:$C,Status!$A:$A=$A79),CONCATENATE(AC$2,""*""))&gt;0,countif(filter(Status!$C:$C,Status!$A:$A=$A79),CONCATENATE(AC$2,""*"")),"""")"),1.0)</f>
        <v>1</v>
      </c>
      <c r="AD79" s="23" t="str">
        <f>IFERROR(__xludf.DUMMYFUNCTION("if(countif(filter(Status!$C:$C,Status!$A:$A=$A79),CONCATENATE(AD$2,""*""))&gt;0,countif(filter(Status!$C:$C,Status!$A:$A=$A79),CONCATENATE(AD$2,""*"")),"""")"),"")</f>
        <v/>
      </c>
      <c r="AE79" s="23">
        <f>IFERROR(__xludf.DUMMYFUNCTION("if(countif(filter(Status!$C:$C,Status!$A:$A=$A79),CONCATENATE(AE$2,""*""))&gt;0,countif(filter(Status!$C:$C,Status!$A:$A=$A79),CONCATENATE(AE$2,""*"")),"""")"),1.0)</f>
        <v>1</v>
      </c>
      <c r="AF79" s="23" t="str">
        <f>IFERROR(__xludf.DUMMYFUNCTION("if(countif(filter(Status!$C:$C,Status!$A:$A=$A79),CONCATENATE(AF$2,""*""))&gt;0,countif(filter(Status!$C:$C,Status!$A:$A=$A79),CONCATENATE(AF$2,""*"")),"""")"),"")</f>
        <v/>
      </c>
      <c r="AG79" s="23" t="str">
        <f>IFERROR(__xludf.DUMMYFUNCTION("if(countif(filter(Status!$C:$C,Status!$A:$A=$A79),CONCATENATE(AG$2,""*""))&gt;0,countif(filter(Status!$C:$C,Status!$A:$A=$A79),CONCATENATE(AG$2,""*"")),"""")"),"")</f>
        <v/>
      </c>
      <c r="AH79" s="23" t="str">
        <f>IFERROR(__xludf.DUMMYFUNCTION("if(countif(filter(Status!$C:$C,Status!$A:$A=$A79),CONCATENATE(AH$2,""*""))&gt;0,countif(filter(Status!$C:$C,Status!$A:$A=$A79),CONCATENATE(AH$2,""*"")),"""")"),"")</f>
        <v/>
      </c>
      <c r="AI79" s="23" t="str">
        <f>IFERROR(__xludf.DUMMYFUNCTION("if(countif(filter(Status!$C:$C,Status!$A:$A=$A79),CONCATENATE(AI$2,""*""))&gt;0,countif(filter(Status!$C:$C,Status!$A:$A=$A79),CONCATENATE(AI$2,""*"")),"""")"),"")</f>
        <v/>
      </c>
      <c r="AJ79" s="23" t="str">
        <f>IFERROR(__xludf.DUMMYFUNCTION("if(countif(filter(Status!$C:$C,Status!$A:$A=$A79),CONCATENATE(AJ$2,""*""))&gt;0,countif(filter(Status!$C:$C,Status!$A:$A=$A79),CONCATENATE(AJ$2,""*"")),"""")"),"")</f>
        <v/>
      </c>
      <c r="AK79" s="23" t="str">
        <f>IFERROR(__xludf.DUMMYFUNCTION("if(countif(filter(Status!$C:$C,Status!$A:$A=$A79),CONCATENATE(AK$2,""*""))&gt;0,countif(filter(Status!$C:$C,Status!$A:$A=$A79),CONCATENATE(AK$2,""*"")),"""")"),"")</f>
        <v/>
      </c>
      <c r="AL79" s="23" t="str">
        <f>IFERROR(__xludf.DUMMYFUNCTION("if(countif(filter(Status!$C:$C,Status!$A:$A=$A79),CONCATENATE(AL$2,""*""))&gt;0,countif(filter(Status!$C:$C,Status!$A:$A=$A79),CONCATENATE(AL$2,""*"")),"""")"),"")</f>
        <v/>
      </c>
      <c r="AM79" s="23" t="str">
        <f>IFERROR(__xludf.DUMMYFUNCTION("if(countif(filter(Status!$C:$C,Status!$A:$A=$A79),CONCATENATE(AM$2,""*""))&gt;0,countif(filter(Status!$C:$C,Status!$A:$A=$A79),CONCATENATE(AM$2,""*"")),"""")"),"")</f>
        <v/>
      </c>
      <c r="AN79" s="23" t="str">
        <f>IFERROR(__xludf.DUMMYFUNCTION("if(countif(filter(Status!$C:$C,Status!$A:$A=$A79),CONCATENATE(AN$2,""*""))&gt;0,countif(filter(Status!$C:$C,Status!$A:$A=$A79),CONCATENATE(AN$2,""*"")),"""")"),"")</f>
        <v/>
      </c>
      <c r="AO79" s="23" t="str">
        <f>IFERROR(__xludf.DUMMYFUNCTION("if(countif(filter(Status!$C:$C,Status!$A:$A=$A79),CONCATENATE(AO$2,""*""))&gt;0,countif(filter(Status!$C:$C,Status!$A:$A=$A79),CONCATENATE(AO$2,""*"")),"""")"),"")</f>
        <v/>
      </c>
      <c r="AP79" s="23">
        <f>IFERROR(__xludf.DUMMYFUNCTION("counta(iferror(filter(Status!C:C,Status!A:A=A79)))"),14.0)</f>
        <v>14</v>
      </c>
      <c r="AQ79" s="23">
        <f t="shared" si="6"/>
        <v>14</v>
      </c>
    </row>
    <row r="80">
      <c r="A80" s="1" t="s">
        <v>923</v>
      </c>
      <c r="B80" s="21">
        <f>IFERROR(__xludf.DUMMYFUNCTION("max(filter(Status!E:E,Status!A:A=A80))"),43808.0)</f>
        <v>43808</v>
      </c>
      <c r="C80" s="23">
        <f t="shared" si="1"/>
        <v>1</v>
      </c>
      <c r="D80" s="23">
        <f t="shared" si="2"/>
        <v>1</v>
      </c>
      <c r="E80" s="23">
        <f t="shared" si="3"/>
        <v>1</v>
      </c>
      <c r="F80" s="23">
        <f t="shared" si="4"/>
        <v>0.3846153846</v>
      </c>
      <c r="G80" s="25">
        <f t="shared" si="5"/>
        <v>1</v>
      </c>
      <c r="J80" s="23">
        <f>IFERROR(__xludf.DUMMYFUNCTION("COUNTA(iferror(filter(Status!H:H,Status!A:A=A80)))"),9.0)</f>
        <v>9</v>
      </c>
      <c r="K80" s="25">
        <f>IFERROR(__xludf.DUMMYFUNCTION("COUNTA(iferror(filter(Status!H:H,Status!A:A=A80,Status!H:H=TRUE)))"),9.0)</f>
        <v>9</v>
      </c>
      <c r="L80" s="23">
        <f>IFERROR(__xludf.DUMMYFUNCTION("COUNTA(iferror(filter(Status!L:L,Status!A:A=A80)))"),4.0)</f>
        <v>4</v>
      </c>
      <c r="M80" s="25">
        <f>IFERROR(__xludf.DUMMYFUNCTION("COUNTA(iferror(filter(Status!L:L,Status!A:A=A80,Status!L:L=TRUE)))"),4.0)</f>
        <v>4</v>
      </c>
      <c r="N80" s="23">
        <f>IFERROR(__xludf.DUMMYFUNCTION("COUNTA(iferror(filter(Status!N:N,Status!A:A=A80,Status!N:N=TRUE)))"),5.0)</f>
        <v>5</v>
      </c>
      <c r="O80" s="25">
        <f>IFERROR(__xludf.DUMMYFUNCTION("COUNTA(iferror(filter(Status!N:N,Status!A:A=A80,Status!N:N=TRUE)))"),5.0)</f>
        <v>5</v>
      </c>
      <c r="P80" s="23">
        <f>IFERROR(__xludf.DUMMYFUNCTION("COUNTA(iferror(filter(Status!P:P,Status!A:A=A80)))"),13.0)</f>
        <v>13</v>
      </c>
      <c r="Q80" s="25">
        <f>IFERROR(__xludf.DUMMYFUNCTION("COUNTA(iferror(filter(Status!P:P,Status!A:A=A80,Status!P:P=TRUE)))"),5.0)</f>
        <v>5</v>
      </c>
      <c r="R80" s="23">
        <f>IFERROR(__xludf.DUMMYFUNCTION("COUNTA(iferror(filter(Status!R:R,Status!A:A=A80)))"),9.0)</f>
        <v>9</v>
      </c>
      <c r="S80" s="25">
        <f>IFERROR(__xludf.DUMMYFUNCTION("COUNTA(iferror(filter(Status!R:R,Status!A:A=A80,Status!R:R=TRUE)))"),9.0)</f>
        <v>9</v>
      </c>
      <c r="V80" s="23" t="str">
        <f>IFERROR(__xludf.DUMMYFUNCTION("if((countif(filter(Status!$C:$C,Status!$A:$A=$A80),CONCATENATE(V$2,""*""))-W80)&gt;0,(countif(filter(Status!$C:$C,Status!$A:$A=$A80),CONCATENATE(V$2,""*""))-W80),"""")"),"")</f>
        <v/>
      </c>
      <c r="W80" s="23">
        <f>IFERROR(__xludf.DUMMYFUNCTION("if(countif(filter(Status!$C:$C,Status!$A:$A=$A80),CONCATENATE(W$2,""*""))&gt;0,countif(filter(Status!$C:$C,Status!$A:$A=$A80),CONCATENATE(W$2,""*"")),"""")"),4.0)</f>
        <v>4</v>
      </c>
      <c r="X80" s="23" t="str">
        <f>IFERROR(__xludf.DUMMYFUNCTION("if(countif(filter(Status!$C:$C,Status!$A:$A=$A80),CONCATENATE(X$2,""*""))&gt;0,countif(filter(Status!$C:$C,Status!$A:$A=$A80),CONCATENATE(X$2,""*"")),"""")"),"")</f>
        <v/>
      </c>
      <c r="Y80" s="23" t="str">
        <f>IFERROR(__xludf.DUMMYFUNCTION("if(countif(filter(Status!$C:$C,Status!$A:$A=$A80),CONCATENATE(Y$2,""*""))&gt;0,countif(filter(Status!$C:$C,Status!$A:$A=$A80),CONCATENATE(Y$2,""*"")),"""")"),"")</f>
        <v/>
      </c>
      <c r="Z80" s="23" t="str">
        <f>IFERROR(__xludf.DUMMYFUNCTION("if(countif(filter(Status!$C:$C,Status!$A:$A=$A80),CONCATENATE(Z$2,""*""))&gt;0,countif(filter(Status!$C:$C,Status!$A:$A=$A80),CONCATENATE(Z$2,""*"")),"""")"),"")</f>
        <v/>
      </c>
      <c r="AA80" s="23">
        <f>IFERROR(__xludf.DUMMYFUNCTION("if((countif(filter(Status!$C:$C,Status!$A:$A=$A80),CONCATENATE(AA$2,""*""))-AB80)&gt;0,(countif(filter(Status!$C:$C,Status!$A:$A=$A80),CONCATENATE(AA$2,""*""))-AB80),"""")"),4.0)</f>
        <v>4</v>
      </c>
      <c r="AB80" s="23">
        <f>IFERROR(__xludf.DUMMYFUNCTION("if(countif(filter(Status!$C:$C,Status!$A:$A=$A80),CONCATENATE(AB$2,""*""))&gt;0,countif(filter(Status!$C:$C,Status!$A:$A=$A80),CONCATENATE(AB$2,""*"")),"""")"),4.0)</f>
        <v>4</v>
      </c>
      <c r="AC80" s="23">
        <f>IFERROR(__xludf.DUMMYFUNCTION("if(countif(filter(Status!$C:$C,Status!$A:$A=$A80),CONCATENATE(AC$2,""*""))&gt;0,countif(filter(Status!$C:$C,Status!$A:$A=$A80),CONCATENATE(AC$2,""*"")),"""")"),1.0)</f>
        <v>1</v>
      </c>
      <c r="AD80" s="23" t="str">
        <f>IFERROR(__xludf.DUMMYFUNCTION("if(countif(filter(Status!$C:$C,Status!$A:$A=$A80),CONCATENATE(AD$2,""*""))&gt;0,countif(filter(Status!$C:$C,Status!$A:$A=$A80),CONCATENATE(AD$2,""*"")),"""")"),"")</f>
        <v/>
      </c>
      <c r="AE80" s="23">
        <f>IFERROR(__xludf.DUMMYFUNCTION("if(countif(filter(Status!$C:$C,Status!$A:$A=$A80),CONCATENATE(AE$2,""*""))&gt;0,countif(filter(Status!$C:$C,Status!$A:$A=$A80),CONCATENATE(AE$2,""*"")),"""")"),1.0)</f>
        <v>1</v>
      </c>
      <c r="AF80" s="23" t="str">
        <f>IFERROR(__xludf.DUMMYFUNCTION("if(countif(filter(Status!$C:$C,Status!$A:$A=$A80),CONCATENATE(AF$2,""*""))&gt;0,countif(filter(Status!$C:$C,Status!$A:$A=$A80),CONCATENATE(AF$2,""*"")),"""")"),"")</f>
        <v/>
      </c>
      <c r="AG80" s="23" t="str">
        <f>IFERROR(__xludf.DUMMYFUNCTION("if(countif(filter(Status!$C:$C,Status!$A:$A=$A80),CONCATENATE(AG$2,""*""))&gt;0,countif(filter(Status!$C:$C,Status!$A:$A=$A80),CONCATENATE(AG$2,""*"")),"""")"),"")</f>
        <v/>
      </c>
      <c r="AH80" s="23" t="str">
        <f>IFERROR(__xludf.DUMMYFUNCTION("if(countif(filter(Status!$C:$C,Status!$A:$A=$A80),CONCATENATE(AH$2,""*""))&gt;0,countif(filter(Status!$C:$C,Status!$A:$A=$A80),CONCATENATE(AH$2,""*"")),"""")"),"")</f>
        <v/>
      </c>
      <c r="AI80" s="23" t="str">
        <f>IFERROR(__xludf.DUMMYFUNCTION("if(countif(filter(Status!$C:$C,Status!$A:$A=$A80),CONCATENATE(AI$2,""*""))&gt;0,countif(filter(Status!$C:$C,Status!$A:$A=$A80),CONCATENATE(AI$2,""*"")),"""")"),"")</f>
        <v/>
      </c>
      <c r="AJ80" s="23" t="str">
        <f>IFERROR(__xludf.DUMMYFUNCTION("if(countif(filter(Status!$C:$C,Status!$A:$A=$A80),CONCATENATE(AJ$2,""*""))&gt;0,countif(filter(Status!$C:$C,Status!$A:$A=$A80),CONCATENATE(AJ$2,""*"")),"""")"),"")</f>
        <v/>
      </c>
      <c r="AK80" s="23" t="str">
        <f>IFERROR(__xludf.DUMMYFUNCTION("if(countif(filter(Status!$C:$C,Status!$A:$A=$A80),CONCATENATE(AK$2,""*""))&gt;0,countif(filter(Status!$C:$C,Status!$A:$A=$A80),CONCATENATE(AK$2,""*"")),"""")"),"")</f>
        <v/>
      </c>
      <c r="AL80" s="23" t="str">
        <f>IFERROR(__xludf.DUMMYFUNCTION("if(countif(filter(Status!$C:$C,Status!$A:$A=$A80),CONCATENATE(AL$2,""*""))&gt;0,countif(filter(Status!$C:$C,Status!$A:$A=$A80),CONCATENATE(AL$2,""*"")),"""")"),"")</f>
        <v/>
      </c>
      <c r="AM80" s="23" t="str">
        <f>IFERROR(__xludf.DUMMYFUNCTION("if(countif(filter(Status!$C:$C,Status!$A:$A=$A80),CONCATENATE(AM$2,""*""))&gt;0,countif(filter(Status!$C:$C,Status!$A:$A=$A80),CONCATENATE(AM$2,""*"")),"""")"),"")</f>
        <v/>
      </c>
      <c r="AN80" s="23" t="str">
        <f>IFERROR(__xludf.DUMMYFUNCTION("if(countif(filter(Status!$C:$C,Status!$A:$A=$A80),CONCATENATE(AN$2,""*""))&gt;0,countif(filter(Status!$C:$C,Status!$A:$A=$A80),CONCATENATE(AN$2,""*"")),"""")"),"")</f>
        <v/>
      </c>
      <c r="AO80" s="23" t="str">
        <f>IFERROR(__xludf.DUMMYFUNCTION("if(countif(filter(Status!$C:$C,Status!$A:$A=$A80),CONCATENATE(AO$2,""*""))&gt;0,countif(filter(Status!$C:$C,Status!$A:$A=$A80),CONCATENATE(AO$2,""*"")),"""")"),"")</f>
        <v/>
      </c>
      <c r="AP80" s="23">
        <f>IFERROR(__xludf.DUMMYFUNCTION("counta(iferror(filter(Status!C:C,Status!A:A=A80)))"),14.0)</f>
        <v>14</v>
      </c>
      <c r="AQ80" s="23">
        <f t="shared" si="6"/>
        <v>14</v>
      </c>
    </row>
    <row r="81">
      <c r="A81" s="1" t="s">
        <v>927</v>
      </c>
      <c r="B81" s="21">
        <f>IFERROR(__xludf.DUMMYFUNCTION("max(filter(Status!E:E,Status!A:A=A81))"),43809.0)</f>
        <v>43809</v>
      </c>
      <c r="C81" s="23">
        <f t="shared" si="1"/>
        <v>1</v>
      </c>
      <c r="D81" s="23">
        <f t="shared" si="2"/>
        <v>1</v>
      </c>
      <c r="E81" s="23">
        <f t="shared" si="3"/>
        <v>1</v>
      </c>
      <c r="F81" s="23">
        <f t="shared" si="4"/>
        <v>0.3684210526</v>
      </c>
      <c r="G81" s="25">
        <f t="shared" si="5"/>
        <v>1</v>
      </c>
      <c r="J81" s="23">
        <f>IFERROR(__xludf.DUMMYFUNCTION("COUNTA(iferror(filter(Status!H:H,Status!A:A=A81)))"),11.0)</f>
        <v>11</v>
      </c>
      <c r="K81" s="25">
        <f>IFERROR(__xludf.DUMMYFUNCTION("COUNTA(iferror(filter(Status!H:H,Status!A:A=A81,Status!H:H=TRUE)))"),11.0)</f>
        <v>11</v>
      </c>
      <c r="L81" s="23">
        <f>IFERROR(__xludf.DUMMYFUNCTION("COUNTA(iferror(filter(Status!L:L,Status!A:A=A81)))"),4.0)</f>
        <v>4</v>
      </c>
      <c r="M81" s="25">
        <f>IFERROR(__xludf.DUMMYFUNCTION("COUNTA(iferror(filter(Status!L:L,Status!A:A=A81,Status!L:L=TRUE)))"),4.0)</f>
        <v>4</v>
      </c>
      <c r="N81" s="23">
        <f>IFERROR(__xludf.DUMMYFUNCTION("COUNTA(iferror(filter(Status!N:N,Status!A:A=A81,Status!N:N=TRUE)))"),8.0)</f>
        <v>8</v>
      </c>
      <c r="O81" s="25">
        <f>IFERROR(__xludf.DUMMYFUNCTION("COUNTA(iferror(filter(Status!N:N,Status!A:A=A81,Status!N:N=TRUE)))"),8.0)</f>
        <v>8</v>
      </c>
      <c r="P81" s="23">
        <f>IFERROR(__xludf.DUMMYFUNCTION("COUNTA(iferror(filter(Status!P:P,Status!A:A=A81)))"),19.0)</f>
        <v>19</v>
      </c>
      <c r="Q81" s="25">
        <f>IFERROR(__xludf.DUMMYFUNCTION("COUNTA(iferror(filter(Status!P:P,Status!A:A=A81,Status!P:P=TRUE)))"),7.0)</f>
        <v>7</v>
      </c>
      <c r="R81" s="23">
        <f>IFERROR(__xludf.DUMMYFUNCTION("COUNTA(iferror(filter(Status!R:R,Status!A:A=A81)))"),13.0)</f>
        <v>13</v>
      </c>
      <c r="S81" s="25">
        <f>IFERROR(__xludf.DUMMYFUNCTION("COUNTA(iferror(filter(Status!R:R,Status!A:A=A81,Status!R:R=TRUE)))"),13.0)</f>
        <v>13</v>
      </c>
      <c r="V81" s="23" t="str">
        <f>IFERROR(__xludf.DUMMYFUNCTION("if((countif(filter(Status!$C:$C,Status!$A:$A=$A81),CONCATENATE(V$2,""*""))-W81)&gt;0,(countif(filter(Status!$C:$C,Status!$A:$A=$A81),CONCATENATE(V$2,""*""))-W81),"""")"),"")</f>
        <v/>
      </c>
      <c r="W81" s="23">
        <f>IFERROR(__xludf.DUMMYFUNCTION("if(countif(filter(Status!$C:$C,Status!$A:$A=$A81),CONCATENATE(W$2,""*""))&gt;0,countif(filter(Status!$C:$C,Status!$A:$A=$A81),CONCATENATE(W$2,""*"")),"""")"),4.0)</f>
        <v>4</v>
      </c>
      <c r="X81" s="23">
        <f>IFERROR(__xludf.DUMMYFUNCTION("if(countif(filter(Status!$C:$C,Status!$A:$A=$A81),CONCATENATE(X$2,""*""))&gt;0,countif(filter(Status!$C:$C,Status!$A:$A=$A81),CONCATENATE(X$2,""*"")),"""")"),2.0)</f>
        <v>2</v>
      </c>
      <c r="Y81" s="23" t="str">
        <f>IFERROR(__xludf.DUMMYFUNCTION("if(countif(filter(Status!$C:$C,Status!$A:$A=$A81),CONCATENATE(Y$2,""*""))&gt;0,countif(filter(Status!$C:$C,Status!$A:$A=$A81),CONCATENATE(Y$2,""*"")),"""")"),"")</f>
        <v/>
      </c>
      <c r="Z81" s="23" t="str">
        <f>IFERROR(__xludf.DUMMYFUNCTION("if(countif(filter(Status!$C:$C,Status!$A:$A=$A81),CONCATENATE(Z$2,""*""))&gt;0,countif(filter(Status!$C:$C,Status!$A:$A=$A81),CONCATENATE(Z$2,""*"")),"""")"),"")</f>
        <v/>
      </c>
      <c r="AA81" s="23">
        <f>IFERROR(__xludf.DUMMYFUNCTION("if((countif(filter(Status!$C:$C,Status!$A:$A=$A81),CONCATENATE(AA$2,""*""))-AB81)&gt;0,(countif(filter(Status!$C:$C,Status!$A:$A=$A81),CONCATENATE(AA$2,""*""))-AB81),"""")"),6.0)</f>
        <v>6</v>
      </c>
      <c r="AB81" s="23">
        <f>IFERROR(__xludf.DUMMYFUNCTION("if(countif(filter(Status!$C:$C,Status!$A:$A=$A81),CONCATENATE(AB$2,""*""))&gt;0,countif(filter(Status!$C:$C,Status!$A:$A=$A81),CONCATENATE(AB$2,""*"")),"""")"),6.0)</f>
        <v>6</v>
      </c>
      <c r="AC81" s="23">
        <f>IFERROR(__xludf.DUMMYFUNCTION("if(countif(filter(Status!$C:$C,Status!$A:$A=$A81),CONCATENATE(AC$2,""*""))&gt;0,countif(filter(Status!$C:$C,Status!$A:$A=$A81),CONCATENATE(AC$2,""*"")),"""")"),1.0)</f>
        <v>1</v>
      </c>
      <c r="AD81" s="23">
        <f>IFERROR(__xludf.DUMMYFUNCTION("if(countif(filter(Status!$C:$C,Status!$A:$A=$A81),CONCATENATE(AD$2,""*""))&gt;0,countif(filter(Status!$C:$C,Status!$A:$A=$A81),CONCATENATE(AD$2,""*"")),"""")"),1.0)</f>
        <v>1</v>
      </c>
      <c r="AE81" s="23">
        <f>IFERROR(__xludf.DUMMYFUNCTION("if(countif(filter(Status!$C:$C,Status!$A:$A=$A81),CONCATENATE(AE$2,""*""))&gt;0,countif(filter(Status!$C:$C,Status!$A:$A=$A81),CONCATENATE(AE$2,""*"")),"""")"),1.0)</f>
        <v>1</v>
      </c>
      <c r="AF81" s="23" t="str">
        <f>IFERROR(__xludf.DUMMYFUNCTION("if(countif(filter(Status!$C:$C,Status!$A:$A=$A81),CONCATENATE(AF$2,""*""))&gt;0,countif(filter(Status!$C:$C,Status!$A:$A=$A81),CONCATENATE(AF$2,""*"")),"""")"),"")</f>
        <v/>
      </c>
      <c r="AG81" s="23" t="str">
        <f>IFERROR(__xludf.DUMMYFUNCTION("if(countif(filter(Status!$C:$C,Status!$A:$A=$A81),CONCATENATE(AG$2,""*""))&gt;0,countif(filter(Status!$C:$C,Status!$A:$A=$A81),CONCATENATE(AG$2,""*"")),"""")"),"")</f>
        <v/>
      </c>
      <c r="AH81" s="23" t="str">
        <f>IFERROR(__xludf.DUMMYFUNCTION("if(countif(filter(Status!$C:$C,Status!$A:$A=$A81),CONCATENATE(AH$2,""*""))&gt;0,countif(filter(Status!$C:$C,Status!$A:$A=$A81),CONCATENATE(AH$2,""*"")),"""")"),"")</f>
        <v/>
      </c>
      <c r="AI81" s="23" t="str">
        <f>IFERROR(__xludf.DUMMYFUNCTION("if(countif(filter(Status!$C:$C,Status!$A:$A=$A81),CONCATENATE(AI$2,""*""))&gt;0,countif(filter(Status!$C:$C,Status!$A:$A=$A81),CONCATENATE(AI$2,""*"")),"""")"),"")</f>
        <v/>
      </c>
      <c r="AJ81" s="23" t="str">
        <f>IFERROR(__xludf.DUMMYFUNCTION("if(countif(filter(Status!$C:$C,Status!$A:$A=$A81),CONCATENATE(AJ$2,""*""))&gt;0,countif(filter(Status!$C:$C,Status!$A:$A=$A81),CONCATENATE(AJ$2,""*"")),"""")"),"")</f>
        <v/>
      </c>
      <c r="AK81" s="23" t="str">
        <f>IFERROR(__xludf.DUMMYFUNCTION("if(countif(filter(Status!$C:$C,Status!$A:$A=$A81),CONCATENATE(AK$2,""*""))&gt;0,countif(filter(Status!$C:$C,Status!$A:$A=$A81),CONCATENATE(AK$2,""*"")),"""")"),"")</f>
        <v/>
      </c>
      <c r="AL81" s="23" t="str">
        <f>IFERROR(__xludf.DUMMYFUNCTION("if(countif(filter(Status!$C:$C,Status!$A:$A=$A81),CONCATENATE(AL$2,""*""))&gt;0,countif(filter(Status!$C:$C,Status!$A:$A=$A81),CONCATENATE(AL$2,""*"")),"""")"),"")</f>
        <v/>
      </c>
      <c r="AM81" s="23" t="str">
        <f>IFERROR(__xludf.DUMMYFUNCTION("if(countif(filter(Status!$C:$C,Status!$A:$A=$A81),CONCATENATE(AM$2,""*""))&gt;0,countif(filter(Status!$C:$C,Status!$A:$A=$A81),CONCATENATE(AM$2,""*"")),"""")"),"")</f>
        <v/>
      </c>
      <c r="AN81" s="23" t="str">
        <f>IFERROR(__xludf.DUMMYFUNCTION("if(countif(filter(Status!$C:$C,Status!$A:$A=$A81),CONCATENATE(AN$2,""*""))&gt;0,countif(filter(Status!$C:$C,Status!$A:$A=$A81),CONCATENATE(AN$2,""*"")),"""")"),"")</f>
        <v/>
      </c>
      <c r="AO81" s="23" t="str">
        <f>IFERROR(__xludf.DUMMYFUNCTION("if(countif(filter(Status!$C:$C,Status!$A:$A=$A81),CONCATENATE(AO$2,""*""))&gt;0,countif(filter(Status!$C:$C,Status!$A:$A=$A81),CONCATENATE(AO$2,""*"")),"""")"),"")</f>
        <v/>
      </c>
      <c r="AP81" s="23">
        <f>IFERROR(__xludf.DUMMYFUNCTION("counta(iferror(filter(Status!C:C,Status!A:A=A81)))"),21.0)</f>
        <v>21</v>
      </c>
      <c r="AQ81" s="23">
        <f t="shared" si="6"/>
        <v>21</v>
      </c>
    </row>
    <row r="82">
      <c r="A82" s="1" t="s">
        <v>932</v>
      </c>
      <c r="B82" s="21">
        <f>IFERROR(__xludf.DUMMYFUNCTION("max(filter(Status!E:E,Status!A:A=A82))"),43810.0)</f>
        <v>43810</v>
      </c>
      <c r="C82" s="23">
        <f t="shared" si="1"/>
        <v>1</v>
      </c>
      <c r="D82" s="23">
        <f t="shared" si="2"/>
        <v>1</v>
      </c>
      <c r="E82" s="23">
        <f t="shared" si="3"/>
        <v>1</v>
      </c>
      <c r="F82" s="23">
        <f t="shared" si="4"/>
        <v>0.5</v>
      </c>
      <c r="G82" s="25">
        <f t="shared" si="5"/>
        <v>0</v>
      </c>
      <c r="J82" s="23">
        <f>IFERROR(__xludf.DUMMYFUNCTION("COUNTA(iferror(filter(Status!H:H,Status!A:A=A82)))"),2.0)</f>
        <v>2</v>
      </c>
      <c r="K82" s="25">
        <f>IFERROR(__xludf.DUMMYFUNCTION("COUNTA(iferror(filter(Status!H:H,Status!A:A=A82,Status!H:H=TRUE)))"),2.0)</f>
        <v>2</v>
      </c>
      <c r="L82" s="23">
        <f>IFERROR(__xludf.DUMMYFUNCTION("COUNTA(iferror(filter(Status!L:L,Status!A:A=A82)))"),1.0)</f>
        <v>1</v>
      </c>
      <c r="M82" s="25">
        <f>IFERROR(__xludf.DUMMYFUNCTION("COUNTA(iferror(filter(Status!L:L,Status!A:A=A82,Status!L:L=TRUE)))"),1.0)</f>
        <v>1</v>
      </c>
      <c r="N82" s="23">
        <f>IFERROR(__xludf.DUMMYFUNCTION("COUNTA(iferror(filter(Status!N:N,Status!A:A=A82,Status!N:N=TRUE)))"),4.0)</f>
        <v>4</v>
      </c>
      <c r="O82" s="25">
        <f>IFERROR(__xludf.DUMMYFUNCTION("COUNTA(iferror(filter(Status!N:N,Status!A:A=A82,Status!N:N=TRUE)))"),4.0)</f>
        <v>4</v>
      </c>
      <c r="P82" s="23">
        <f>IFERROR(__xludf.DUMMYFUNCTION("COUNTA(iferror(filter(Status!P:P,Status!A:A=A82)))"),4.0)</f>
        <v>4</v>
      </c>
      <c r="Q82" s="25">
        <f>IFERROR(__xludf.DUMMYFUNCTION("COUNTA(iferror(filter(Status!P:P,Status!A:A=A82,Status!P:P=TRUE)))"),2.0)</f>
        <v>2</v>
      </c>
      <c r="R82" s="23">
        <f>IFERROR(__xludf.DUMMYFUNCTION("COUNTA(iferror(filter(Status!R:R,Status!A:A=A82)))"),3.0)</f>
        <v>3</v>
      </c>
      <c r="S82" s="25">
        <f>IFERROR(__xludf.DUMMYFUNCTION("COUNTA(iferror(filter(Status!R:R,Status!A:A=A82,Status!R:R=TRUE)))"),0.0)</f>
        <v>0</v>
      </c>
      <c r="V82" s="23" t="str">
        <f>IFERROR(__xludf.DUMMYFUNCTION("if((countif(filter(Status!$C:$C,Status!$A:$A=$A82),CONCATENATE(V$2,""*""))-W82)&gt;0,(countif(filter(Status!$C:$C,Status!$A:$A=$A82),CONCATENATE(V$2,""*""))-W82),"""")"),"")</f>
        <v/>
      </c>
      <c r="W82" s="23" t="str">
        <f>IFERROR(__xludf.DUMMYFUNCTION("if(countif(filter(Status!$C:$C,Status!$A:$A=$A82),CONCATENATE(W$2,""*""))&gt;0,countif(filter(Status!$C:$C,Status!$A:$A=$A82),CONCATENATE(W$2,""*"")),"""")"),"")</f>
        <v/>
      </c>
      <c r="X82" s="23" t="str">
        <f>IFERROR(__xludf.DUMMYFUNCTION("if(countif(filter(Status!$C:$C,Status!$A:$A=$A82),CONCATENATE(X$2,""*""))&gt;0,countif(filter(Status!$C:$C,Status!$A:$A=$A82),CONCATENATE(X$2,""*"")),"""")"),"")</f>
        <v/>
      </c>
      <c r="Y82" s="23" t="str">
        <f>IFERROR(__xludf.DUMMYFUNCTION("if(countif(filter(Status!$C:$C,Status!$A:$A=$A82),CONCATENATE(Y$2,""*""))&gt;0,countif(filter(Status!$C:$C,Status!$A:$A=$A82),CONCATENATE(Y$2,""*"")),"""")"),"")</f>
        <v/>
      </c>
      <c r="Z82" s="23" t="str">
        <f>IFERROR(__xludf.DUMMYFUNCTION("if(countif(filter(Status!$C:$C,Status!$A:$A=$A82),CONCATENATE(Z$2,""*""))&gt;0,countif(filter(Status!$C:$C,Status!$A:$A=$A82),CONCATENATE(Z$2,""*"")),"""")"),"")</f>
        <v/>
      </c>
      <c r="AA82" s="23" t="str">
        <f>IFERROR(__xludf.DUMMYFUNCTION("if((countif(filter(Status!$C:$C,Status!$A:$A=$A82),CONCATENATE(AA$2,""*""))-AB82)&gt;0,(countif(filter(Status!$C:$C,Status!$A:$A=$A82),CONCATENATE(AA$2,""*""))-AB82),"""")"),"")</f>
        <v/>
      </c>
      <c r="AB82" s="23" t="str">
        <f>IFERROR(__xludf.DUMMYFUNCTION("if(countif(filter(Status!$C:$C,Status!$A:$A=$A82),CONCATENATE(AB$2,""*""))&gt;0,countif(filter(Status!$C:$C,Status!$A:$A=$A82),CONCATENATE(AB$2,""*"")),"""")"),"")</f>
        <v/>
      </c>
      <c r="AC82" s="23" t="str">
        <f>IFERROR(__xludf.DUMMYFUNCTION("if(countif(filter(Status!$C:$C,Status!$A:$A=$A82),CONCATENATE(AC$2,""*""))&gt;0,countif(filter(Status!$C:$C,Status!$A:$A=$A82),CONCATENATE(AC$2,""*"")),"""")"),"")</f>
        <v/>
      </c>
      <c r="AD82" s="23">
        <f>IFERROR(__xludf.DUMMYFUNCTION("if(countif(filter(Status!$C:$C,Status!$A:$A=$A82),CONCATENATE(AD$2,""*""))&gt;0,countif(filter(Status!$C:$C,Status!$A:$A=$A82),CONCATENATE(AD$2,""*"")),"""")"),1.0)</f>
        <v>1</v>
      </c>
      <c r="AE82" s="23">
        <f>IFERROR(__xludf.DUMMYFUNCTION("if(countif(filter(Status!$C:$C,Status!$A:$A=$A82),CONCATENATE(AE$2,""*""))&gt;0,countif(filter(Status!$C:$C,Status!$A:$A=$A82),CONCATENATE(AE$2,""*"")),"""")"),1.0)</f>
        <v>1</v>
      </c>
      <c r="AF82" s="23">
        <f>IFERROR(__xludf.DUMMYFUNCTION("if(countif(filter(Status!$C:$C,Status!$A:$A=$A82),CONCATENATE(AF$2,""*""))&gt;0,countif(filter(Status!$C:$C,Status!$A:$A=$A82),CONCATENATE(AF$2,""*"")),"""")"),3.0)</f>
        <v>3</v>
      </c>
      <c r="AG82" s="23" t="str">
        <f>IFERROR(__xludf.DUMMYFUNCTION("if(countif(filter(Status!$C:$C,Status!$A:$A=$A82),CONCATENATE(AG$2,""*""))&gt;0,countif(filter(Status!$C:$C,Status!$A:$A=$A82),CONCATENATE(AG$2,""*"")),"""")"),"")</f>
        <v/>
      </c>
      <c r="AH82" s="23" t="str">
        <f>IFERROR(__xludf.DUMMYFUNCTION("if(countif(filter(Status!$C:$C,Status!$A:$A=$A82),CONCATENATE(AH$2,""*""))&gt;0,countif(filter(Status!$C:$C,Status!$A:$A=$A82),CONCATENATE(AH$2,""*"")),"""")"),"")</f>
        <v/>
      </c>
      <c r="AI82" s="23" t="str">
        <f>IFERROR(__xludf.DUMMYFUNCTION("if(countif(filter(Status!$C:$C,Status!$A:$A=$A82),CONCATENATE(AI$2,""*""))&gt;0,countif(filter(Status!$C:$C,Status!$A:$A=$A82),CONCATENATE(AI$2,""*"")),"""")"),"")</f>
        <v/>
      </c>
      <c r="AJ82" s="23" t="str">
        <f>IFERROR(__xludf.DUMMYFUNCTION("if(countif(filter(Status!$C:$C,Status!$A:$A=$A82),CONCATENATE(AJ$2,""*""))&gt;0,countif(filter(Status!$C:$C,Status!$A:$A=$A82),CONCATENATE(AJ$2,""*"")),"""")"),"")</f>
        <v/>
      </c>
      <c r="AK82" s="23" t="str">
        <f>IFERROR(__xludf.DUMMYFUNCTION("if(countif(filter(Status!$C:$C,Status!$A:$A=$A82),CONCATENATE(AK$2,""*""))&gt;0,countif(filter(Status!$C:$C,Status!$A:$A=$A82),CONCATENATE(AK$2,""*"")),"""")"),"")</f>
        <v/>
      </c>
      <c r="AL82" s="23" t="str">
        <f>IFERROR(__xludf.DUMMYFUNCTION("if(countif(filter(Status!$C:$C,Status!$A:$A=$A82),CONCATENATE(AL$2,""*""))&gt;0,countif(filter(Status!$C:$C,Status!$A:$A=$A82),CONCATENATE(AL$2,""*"")),"""")"),"")</f>
        <v/>
      </c>
      <c r="AM82" s="23" t="str">
        <f>IFERROR(__xludf.DUMMYFUNCTION("if(countif(filter(Status!$C:$C,Status!$A:$A=$A82),CONCATENATE(AM$2,""*""))&gt;0,countif(filter(Status!$C:$C,Status!$A:$A=$A82),CONCATENATE(AM$2,""*"")),"""")"),"")</f>
        <v/>
      </c>
      <c r="AN82" s="23" t="str">
        <f>IFERROR(__xludf.DUMMYFUNCTION("if(countif(filter(Status!$C:$C,Status!$A:$A=$A82),CONCATENATE(AN$2,""*""))&gt;0,countif(filter(Status!$C:$C,Status!$A:$A=$A82),CONCATENATE(AN$2,""*"")),"""")"),"")</f>
        <v/>
      </c>
      <c r="AO82" s="23" t="str">
        <f>IFERROR(__xludf.DUMMYFUNCTION("if(countif(filter(Status!$C:$C,Status!$A:$A=$A82),CONCATENATE(AO$2,""*""))&gt;0,countif(filter(Status!$C:$C,Status!$A:$A=$A82),CONCATENATE(AO$2,""*"")),"""")"),"")</f>
        <v/>
      </c>
      <c r="AP82" s="23">
        <f>IFERROR(__xludf.DUMMYFUNCTION("counta(iferror(filter(Status!C:C,Status!A:A=A82)))"),5.0)</f>
        <v>5</v>
      </c>
      <c r="AQ82" s="23">
        <f t="shared" si="6"/>
        <v>5</v>
      </c>
    </row>
    <row r="83">
      <c r="A83" s="1" t="s">
        <v>936</v>
      </c>
      <c r="B83" s="21">
        <f>IFERROR(__xludf.DUMMYFUNCTION("max(filter(Status!E:E,Status!A:A=A83))"),43811.0)</f>
        <v>43811</v>
      </c>
      <c r="C83" s="23">
        <f t="shared" si="1"/>
        <v>1</v>
      </c>
      <c r="D83" s="23">
        <f t="shared" si="2"/>
        <v>1</v>
      </c>
      <c r="E83" s="23">
        <f t="shared" si="3"/>
        <v>1</v>
      </c>
      <c r="F83" s="23">
        <f t="shared" si="4"/>
        <v>0.3636363636</v>
      </c>
      <c r="G83" s="25">
        <f t="shared" si="5"/>
        <v>1</v>
      </c>
      <c r="J83" s="23">
        <f>IFERROR(__xludf.DUMMYFUNCTION("COUNTA(iferror(filter(Status!H:H,Status!A:A=A83)))"),13.0)</f>
        <v>13</v>
      </c>
      <c r="K83" s="25">
        <f>IFERROR(__xludf.DUMMYFUNCTION("COUNTA(iferror(filter(Status!H:H,Status!A:A=A83,Status!H:H=TRUE)))"),13.0)</f>
        <v>13</v>
      </c>
      <c r="L83" s="23">
        <f>IFERROR(__xludf.DUMMYFUNCTION("COUNTA(iferror(filter(Status!L:L,Status!A:A=A83)))"),5.0)</f>
        <v>5</v>
      </c>
      <c r="M83" s="25">
        <f>IFERROR(__xludf.DUMMYFUNCTION("COUNTA(iferror(filter(Status!L:L,Status!A:A=A83,Status!L:L=TRUE)))"),5.0)</f>
        <v>5</v>
      </c>
      <c r="N83" s="23">
        <f>IFERROR(__xludf.DUMMYFUNCTION("COUNTA(iferror(filter(Status!N:N,Status!A:A=A83,Status!N:N=TRUE)))"),8.0)</f>
        <v>8</v>
      </c>
      <c r="O83" s="25">
        <f>IFERROR(__xludf.DUMMYFUNCTION("COUNTA(iferror(filter(Status!N:N,Status!A:A=A83,Status!N:N=TRUE)))"),8.0)</f>
        <v>8</v>
      </c>
      <c r="P83" s="23">
        <f>IFERROR(__xludf.DUMMYFUNCTION("COUNTA(iferror(filter(Status!P:P,Status!A:A=A83)))"),22.0)</f>
        <v>22</v>
      </c>
      <c r="Q83" s="25">
        <f>IFERROR(__xludf.DUMMYFUNCTION("COUNTA(iferror(filter(Status!P:P,Status!A:A=A83,Status!P:P=TRUE)))"),8.0)</f>
        <v>8</v>
      </c>
      <c r="R83" s="23">
        <f>IFERROR(__xludf.DUMMYFUNCTION("COUNTA(iferror(filter(Status!R:R,Status!A:A=A83)))"),15.0)</f>
        <v>15</v>
      </c>
      <c r="S83" s="25">
        <f>IFERROR(__xludf.DUMMYFUNCTION("COUNTA(iferror(filter(Status!R:R,Status!A:A=A83,Status!R:R=TRUE)))"),15.0)</f>
        <v>15</v>
      </c>
      <c r="V83" s="23" t="str">
        <f>IFERROR(__xludf.DUMMYFUNCTION("if((countif(filter(Status!$C:$C,Status!$A:$A=$A83),CONCATENATE(V$2,""*""))-W83)&gt;0,(countif(filter(Status!$C:$C,Status!$A:$A=$A83),CONCATENATE(V$2,""*""))-W83),"""")"),"")</f>
        <v/>
      </c>
      <c r="W83" s="23">
        <f>IFERROR(__xludf.DUMMYFUNCTION("if(countif(filter(Status!$C:$C,Status!$A:$A=$A83),CONCATENATE(W$2,""*""))&gt;0,countif(filter(Status!$C:$C,Status!$A:$A=$A83),CONCATENATE(W$2,""*"")),"""")"),5.0)</f>
        <v>5</v>
      </c>
      <c r="X83" s="23">
        <f>IFERROR(__xludf.DUMMYFUNCTION("if(countif(filter(Status!$C:$C,Status!$A:$A=$A83),CONCATENATE(X$2,""*""))&gt;0,countif(filter(Status!$C:$C,Status!$A:$A=$A83),CONCATENATE(X$2,""*"")),"""")"),2.0)</f>
        <v>2</v>
      </c>
      <c r="Y83" s="23" t="str">
        <f>IFERROR(__xludf.DUMMYFUNCTION("if(countif(filter(Status!$C:$C,Status!$A:$A=$A83),CONCATENATE(Y$2,""*""))&gt;0,countif(filter(Status!$C:$C,Status!$A:$A=$A83),CONCATENATE(Y$2,""*"")),"""")"),"")</f>
        <v/>
      </c>
      <c r="Z83" s="23" t="str">
        <f>IFERROR(__xludf.DUMMYFUNCTION("if(countif(filter(Status!$C:$C,Status!$A:$A=$A83),CONCATENATE(Z$2,""*""))&gt;0,countif(filter(Status!$C:$C,Status!$A:$A=$A83),CONCATENATE(Z$2,""*"")),"""")"),"")</f>
        <v/>
      </c>
      <c r="AA83" s="23">
        <f>IFERROR(__xludf.DUMMYFUNCTION("if((countif(filter(Status!$C:$C,Status!$A:$A=$A83),CONCATENATE(AA$2,""*""))-AB83)&gt;0,(countif(filter(Status!$C:$C,Status!$A:$A=$A83),CONCATENATE(AA$2,""*""))-AB83),"""")"),7.0)</f>
        <v>7</v>
      </c>
      <c r="AB83" s="23">
        <f>IFERROR(__xludf.DUMMYFUNCTION("if(countif(filter(Status!$C:$C,Status!$A:$A=$A83),CONCATENATE(AB$2,""*""))&gt;0,countif(filter(Status!$C:$C,Status!$A:$A=$A83),CONCATENATE(AB$2,""*"")),"""")"),7.0)</f>
        <v>7</v>
      </c>
      <c r="AC83" s="23">
        <f>IFERROR(__xludf.DUMMYFUNCTION("if(countif(filter(Status!$C:$C,Status!$A:$A=$A83),CONCATENATE(AC$2,""*""))&gt;0,countif(filter(Status!$C:$C,Status!$A:$A=$A83),CONCATENATE(AC$2,""*"")),"""")"),1.0)</f>
        <v>1</v>
      </c>
      <c r="AD83" s="23" t="str">
        <f>IFERROR(__xludf.DUMMYFUNCTION("if(countif(filter(Status!$C:$C,Status!$A:$A=$A83),CONCATENATE(AD$2,""*""))&gt;0,countif(filter(Status!$C:$C,Status!$A:$A=$A83),CONCATENATE(AD$2,""*"")),"""")"),"")</f>
        <v/>
      </c>
      <c r="AE83" s="23">
        <f>IFERROR(__xludf.DUMMYFUNCTION("if(countif(filter(Status!$C:$C,Status!$A:$A=$A83),CONCATENATE(AE$2,""*""))&gt;0,countif(filter(Status!$C:$C,Status!$A:$A=$A83),CONCATENATE(AE$2,""*"")),"""")"),1.0)</f>
        <v>1</v>
      </c>
      <c r="AF83" s="23" t="str">
        <f>IFERROR(__xludf.DUMMYFUNCTION("if(countif(filter(Status!$C:$C,Status!$A:$A=$A83),CONCATENATE(AF$2,""*""))&gt;0,countif(filter(Status!$C:$C,Status!$A:$A=$A83),CONCATENATE(AF$2,""*"")),"""")"),"")</f>
        <v/>
      </c>
      <c r="AG83" s="23" t="str">
        <f>IFERROR(__xludf.DUMMYFUNCTION("if(countif(filter(Status!$C:$C,Status!$A:$A=$A83),CONCATENATE(AG$2,""*""))&gt;0,countif(filter(Status!$C:$C,Status!$A:$A=$A83),CONCATENATE(AG$2,""*"")),"""")"),"")</f>
        <v/>
      </c>
      <c r="AH83" s="23" t="str">
        <f>IFERROR(__xludf.DUMMYFUNCTION("if(countif(filter(Status!$C:$C,Status!$A:$A=$A83),CONCATENATE(AH$2,""*""))&gt;0,countif(filter(Status!$C:$C,Status!$A:$A=$A83),CONCATENATE(AH$2,""*"")),"""")"),"")</f>
        <v/>
      </c>
      <c r="AI83" s="23" t="str">
        <f>IFERROR(__xludf.DUMMYFUNCTION("if(countif(filter(Status!$C:$C,Status!$A:$A=$A83),CONCATENATE(AI$2,""*""))&gt;0,countif(filter(Status!$C:$C,Status!$A:$A=$A83),CONCATENATE(AI$2,""*"")),"""")"),"")</f>
        <v/>
      </c>
      <c r="AJ83" s="23" t="str">
        <f>IFERROR(__xludf.DUMMYFUNCTION("if(countif(filter(Status!$C:$C,Status!$A:$A=$A83),CONCATENATE(AJ$2,""*""))&gt;0,countif(filter(Status!$C:$C,Status!$A:$A=$A83),CONCATENATE(AJ$2,""*"")),"""")"),"")</f>
        <v/>
      </c>
      <c r="AK83" s="23" t="str">
        <f>IFERROR(__xludf.DUMMYFUNCTION("if(countif(filter(Status!$C:$C,Status!$A:$A=$A83),CONCATENATE(AK$2,""*""))&gt;0,countif(filter(Status!$C:$C,Status!$A:$A=$A83),CONCATENATE(AK$2,""*"")),"""")"),"")</f>
        <v/>
      </c>
      <c r="AL83" s="23" t="str">
        <f>IFERROR(__xludf.DUMMYFUNCTION("if(countif(filter(Status!$C:$C,Status!$A:$A=$A83),CONCATENATE(AL$2,""*""))&gt;0,countif(filter(Status!$C:$C,Status!$A:$A=$A83),CONCATENATE(AL$2,""*"")),"""")"),"")</f>
        <v/>
      </c>
      <c r="AM83" s="23" t="str">
        <f>IFERROR(__xludf.DUMMYFUNCTION("if(countif(filter(Status!$C:$C,Status!$A:$A=$A83),CONCATENATE(AM$2,""*""))&gt;0,countif(filter(Status!$C:$C,Status!$A:$A=$A83),CONCATENATE(AM$2,""*"")),"""")"),"")</f>
        <v/>
      </c>
      <c r="AN83" s="23" t="str">
        <f>IFERROR(__xludf.DUMMYFUNCTION("if(countif(filter(Status!$C:$C,Status!$A:$A=$A83),CONCATENATE(AN$2,""*""))&gt;0,countif(filter(Status!$C:$C,Status!$A:$A=$A83),CONCATENATE(AN$2,""*"")),"""")"),"")</f>
        <v/>
      </c>
      <c r="AO83" s="23" t="str">
        <f>IFERROR(__xludf.DUMMYFUNCTION("if(countif(filter(Status!$C:$C,Status!$A:$A=$A83),CONCATENATE(AO$2,""*""))&gt;0,countif(filter(Status!$C:$C,Status!$A:$A=$A83),CONCATENATE(AO$2,""*"")),"""")"),"")</f>
        <v/>
      </c>
      <c r="AP83" s="23">
        <f>IFERROR(__xludf.DUMMYFUNCTION("counta(iferror(filter(Status!C:C,Status!A:A=A83)))"),23.0)</f>
        <v>23</v>
      </c>
      <c r="AQ83" s="23">
        <f t="shared" si="6"/>
        <v>23</v>
      </c>
    </row>
    <row r="84">
      <c r="A84" s="1" t="s">
        <v>940</v>
      </c>
      <c r="B84" s="21">
        <f>IFERROR(__xludf.DUMMYFUNCTION("max(filter(Status!E:E,Status!A:A=A84))"),43812.0)</f>
        <v>43812</v>
      </c>
      <c r="C84" s="23">
        <f t="shared" si="1"/>
        <v>1</v>
      </c>
      <c r="D84" s="23">
        <f t="shared" si="2"/>
        <v>1</v>
      </c>
      <c r="E84" s="23">
        <f t="shared" si="3"/>
        <v>1</v>
      </c>
      <c r="F84" s="23">
        <f t="shared" si="4"/>
        <v>0.3571428571</v>
      </c>
      <c r="G84" s="25">
        <f t="shared" si="5"/>
        <v>1</v>
      </c>
      <c r="J84" s="23">
        <f>IFERROR(__xludf.DUMMYFUNCTION("COUNTA(iferror(filter(Status!H:H,Status!A:A=A84)))"),9.0)</f>
        <v>9</v>
      </c>
      <c r="K84" s="25">
        <f>IFERROR(__xludf.DUMMYFUNCTION("COUNTA(iferror(filter(Status!H:H,Status!A:A=A84,Status!H:H=TRUE)))"),9.0)</f>
        <v>9</v>
      </c>
      <c r="L84" s="23">
        <f>IFERROR(__xludf.DUMMYFUNCTION("COUNTA(iferror(filter(Status!L:L,Status!A:A=A84)))"),4.0)</f>
        <v>4</v>
      </c>
      <c r="M84" s="25">
        <f>IFERROR(__xludf.DUMMYFUNCTION("COUNTA(iferror(filter(Status!L:L,Status!A:A=A84,Status!L:L=TRUE)))"),4.0)</f>
        <v>4</v>
      </c>
      <c r="N84" s="23">
        <f>IFERROR(__xludf.DUMMYFUNCTION("COUNTA(iferror(filter(Status!N:N,Status!A:A=A84,Status!N:N=TRUE)))"),6.0)</f>
        <v>6</v>
      </c>
      <c r="O84" s="25">
        <f>IFERROR(__xludf.DUMMYFUNCTION("COUNTA(iferror(filter(Status!N:N,Status!A:A=A84,Status!N:N=TRUE)))"),6.0)</f>
        <v>6</v>
      </c>
      <c r="P84" s="23">
        <f>IFERROR(__xludf.DUMMYFUNCTION("COUNTA(iferror(filter(Status!P:P,Status!A:A=A84)))"),14.0)</f>
        <v>14</v>
      </c>
      <c r="Q84" s="25">
        <f>IFERROR(__xludf.DUMMYFUNCTION("COUNTA(iferror(filter(Status!P:P,Status!A:A=A84,Status!P:P=TRUE)))"),5.0)</f>
        <v>5</v>
      </c>
      <c r="R84" s="23">
        <f>IFERROR(__xludf.DUMMYFUNCTION("COUNTA(iferror(filter(Status!R:R,Status!A:A=A84)))"),9.0)</f>
        <v>9</v>
      </c>
      <c r="S84" s="25">
        <f>IFERROR(__xludf.DUMMYFUNCTION("COUNTA(iferror(filter(Status!R:R,Status!A:A=A84,Status!R:R=TRUE)))"),9.0)</f>
        <v>9</v>
      </c>
      <c r="V84" s="23" t="str">
        <f>IFERROR(__xludf.DUMMYFUNCTION("if((countif(filter(Status!$C:$C,Status!$A:$A=$A84),CONCATENATE(V$2,""*""))-W84)&gt;0,(countif(filter(Status!$C:$C,Status!$A:$A=$A84),CONCATENATE(V$2,""*""))-W84),"""")"),"")</f>
        <v/>
      </c>
      <c r="W84" s="23">
        <f>IFERROR(__xludf.DUMMYFUNCTION("if(countif(filter(Status!$C:$C,Status!$A:$A=$A84),CONCATENATE(W$2,""*""))&gt;0,countif(filter(Status!$C:$C,Status!$A:$A=$A84),CONCATENATE(W$2,""*"")),"""")"),4.0)</f>
        <v>4</v>
      </c>
      <c r="X84" s="23" t="str">
        <f>IFERROR(__xludf.DUMMYFUNCTION("if(countif(filter(Status!$C:$C,Status!$A:$A=$A84),CONCATENATE(X$2,""*""))&gt;0,countif(filter(Status!$C:$C,Status!$A:$A=$A84),CONCATENATE(X$2,""*"")),"""")"),"")</f>
        <v/>
      </c>
      <c r="Y84" s="23" t="str">
        <f>IFERROR(__xludf.DUMMYFUNCTION("if(countif(filter(Status!$C:$C,Status!$A:$A=$A84),CONCATENATE(Y$2,""*""))&gt;0,countif(filter(Status!$C:$C,Status!$A:$A=$A84),CONCATENATE(Y$2,""*"")),"""")"),"")</f>
        <v/>
      </c>
      <c r="Z84" s="23" t="str">
        <f>IFERROR(__xludf.DUMMYFUNCTION("if(countif(filter(Status!$C:$C,Status!$A:$A=$A84),CONCATENATE(Z$2,""*""))&gt;0,countif(filter(Status!$C:$C,Status!$A:$A=$A84),CONCATENATE(Z$2,""*"")),"""")"),"")</f>
        <v/>
      </c>
      <c r="AA84" s="23">
        <f>IFERROR(__xludf.DUMMYFUNCTION("if((countif(filter(Status!$C:$C,Status!$A:$A=$A84),CONCATENATE(AA$2,""*""))-AB84)&gt;0,(countif(filter(Status!$C:$C,Status!$A:$A=$A84),CONCATENATE(AA$2,""*""))-AB84),"""")"),4.0)</f>
        <v>4</v>
      </c>
      <c r="AB84" s="23">
        <f>IFERROR(__xludf.DUMMYFUNCTION("if(countif(filter(Status!$C:$C,Status!$A:$A=$A84),CONCATENATE(AB$2,""*""))&gt;0,countif(filter(Status!$C:$C,Status!$A:$A=$A84),CONCATENATE(AB$2,""*"")),"""")"),4.0)</f>
        <v>4</v>
      </c>
      <c r="AC84" s="23">
        <f>IFERROR(__xludf.DUMMYFUNCTION("if(countif(filter(Status!$C:$C,Status!$A:$A=$A84),CONCATENATE(AC$2,""*""))&gt;0,countif(filter(Status!$C:$C,Status!$A:$A=$A84),CONCATENATE(AC$2,""*"")),"""")"),1.0)</f>
        <v>1</v>
      </c>
      <c r="AD84" s="23">
        <f>IFERROR(__xludf.DUMMYFUNCTION("if(countif(filter(Status!$C:$C,Status!$A:$A=$A84),CONCATENATE(AD$2,""*""))&gt;0,countif(filter(Status!$C:$C,Status!$A:$A=$A84),CONCATENATE(AD$2,""*"")),"""")"),1.0)</f>
        <v>1</v>
      </c>
      <c r="AE84" s="23">
        <f>IFERROR(__xludf.DUMMYFUNCTION("if(countif(filter(Status!$C:$C,Status!$A:$A=$A84),CONCATENATE(AE$2,""*""))&gt;0,countif(filter(Status!$C:$C,Status!$A:$A=$A84),CONCATENATE(AE$2,""*"")),"""")"),1.0)</f>
        <v>1</v>
      </c>
      <c r="AF84" s="23" t="str">
        <f>IFERROR(__xludf.DUMMYFUNCTION("if(countif(filter(Status!$C:$C,Status!$A:$A=$A84),CONCATENATE(AF$2,""*""))&gt;0,countif(filter(Status!$C:$C,Status!$A:$A=$A84),CONCATENATE(AF$2,""*"")),"""")"),"")</f>
        <v/>
      </c>
      <c r="AG84" s="23" t="str">
        <f>IFERROR(__xludf.DUMMYFUNCTION("if(countif(filter(Status!$C:$C,Status!$A:$A=$A84),CONCATENATE(AG$2,""*""))&gt;0,countif(filter(Status!$C:$C,Status!$A:$A=$A84),CONCATENATE(AG$2,""*"")),"""")"),"")</f>
        <v/>
      </c>
      <c r="AH84" s="23" t="str">
        <f>IFERROR(__xludf.DUMMYFUNCTION("if(countif(filter(Status!$C:$C,Status!$A:$A=$A84),CONCATENATE(AH$2,""*""))&gt;0,countif(filter(Status!$C:$C,Status!$A:$A=$A84),CONCATENATE(AH$2,""*"")),"""")"),"")</f>
        <v/>
      </c>
      <c r="AI84" s="23" t="str">
        <f>IFERROR(__xludf.DUMMYFUNCTION("if(countif(filter(Status!$C:$C,Status!$A:$A=$A84),CONCATENATE(AI$2,""*""))&gt;0,countif(filter(Status!$C:$C,Status!$A:$A=$A84),CONCATENATE(AI$2,""*"")),"""")"),"")</f>
        <v/>
      </c>
      <c r="AJ84" s="23" t="str">
        <f>IFERROR(__xludf.DUMMYFUNCTION("if(countif(filter(Status!$C:$C,Status!$A:$A=$A84),CONCATENATE(AJ$2,""*""))&gt;0,countif(filter(Status!$C:$C,Status!$A:$A=$A84),CONCATENATE(AJ$2,""*"")),"""")"),"")</f>
        <v/>
      </c>
      <c r="AK84" s="23" t="str">
        <f>IFERROR(__xludf.DUMMYFUNCTION("if(countif(filter(Status!$C:$C,Status!$A:$A=$A84),CONCATENATE(AK$2,""*""))&gt;0,countif(filter(Status!$C:$C,Status!$A:$A=$A84),CONCATENATE(AK$2,""*"")),"""")"),"")</f>
        <v/>
      </c>
      <c r="AL84" s="23" t="str">
        <f>IFERROR(__xludf.DUMMYFUNCTION("if(countif(filter(Status!$C:$C,Status!$A:$A=$A84),CONCATENATE(AL$2,""*""))&gt;0,countif(filter(Status!$C:$C,Status!$A:$A=$A84),CONCATENATE(AL$2,""*"")),"""")"),"")</f>
        <v/>
      </c>
      <c r="AM84" s="23" t="str">
        <f>IFERROR(__xludf.DUMMYFUNCTION("if(countif(filter(Status!$C:$C,Status!$A:$A=$A84),CONCATENATE(AM$2,""*""))&gt;0,countif(filter(Status!$C:$C,Status!$A:$A=$A84),CONCATENATE(AM$2,""*"")),"""")"),"")</f>
        <v/>
      </c>
      <c r="AN84" s="23" t="str">
        <f>IFERROR(__xludf.DUMMYFUNCTION("if(countif(filter(Status!$C:$C,Status!$A:$A=$A84),CONCATENATE(AN$2,""*""))&gt;0,countif(filter(Status!$C:$C,Status!$A:$A=$A84),CONCATENATE(AN$2,""*"")),"""")"),"")</f>
        <v/>
      </c>
      <c r="AO84" s="23" t="str">
        <f>IFERROR(__xludf.DUMMYFUNCTION("if(countif(filter(Status!$C:$C,Status!$A:$A=$A84),CONCATENATE(AO$2,""*""))&gt;0,countif(filter(Status!$C:$C,Status!$A:$A=$A84),CONCATENATE(AO$2,""*"")),"""")"),"")</f>
        <v/>
      </c>
      <c r="AP84" s="23">
        <f>IFERROR(__xludf.DUMMYFUNCTION("counta(iferror(filter(Status!C:C,Status!A:A=A84)))"),15.0)</f>
        <v>15</v>
      </c>
      <c r="AQ84" s="23">
        <f t="shared" si="6"/>
        <v>15</v>
      </c>
    </row>
    <row r="85">
      <c r="A85" s="1" t="s">
        <v>943</v>
      </c>
      <c r="B85" s="21">
        <f>IFERROR(__xludf.DUMMYFUNCTION("max(filter(Status!E:E,Status!A:A=A85))"),43815.0)</f>
        <v>43815</v>
      </c>
      <c r="C85" s="23">
        <f t="shared" si="1"/>
        <v>1</v>
      </c>
      <c r="D85" s="23">
        <f t="shared" si="2"/>
        <v>1</v>
      </c>
      <c r="E85" s="23">
        <f t="shared" si="3"/>
        <v>1</v>
      </c>
      <c r="F85" s="23">
        <f t="shared" si="4"/>
        <v>0.375</v>
      </c>
      <c r="G85" s="25">
        <f t="shared" si="5"/>
        <v>1</v>
      </c>
      <c r="J85" s="23">
        <f>IFERROR(__xludf.DUMMYFUNCTION("COUNTA(iferror(filter(Status!H:H,Status!A:A=A85)))"),11.0)</f>
        <v>11</v>
      </c>
      <c r="K85" s="25">
        <f>IFERROR(__xludf.DUMMYFUNCTION("COUNTA(iferror(filter(Status!H:H,Status!A:A=A85,Status!H:H=TRUE)))"),11.0)</f>
        <v>11</v>
      </c>
      <c r="L85" s="23">
        <f>IFERROR(__xludf.DUMMYFUNCTION("COUNTA(iferror(filter(Status!L:L,Status!A:A=A85)))"),5.0)</f>
        <v>5</v>
      </c>
      <c r="M85" s="25">
        <f>IFERROR(__xludf.DUMMYFUNCTION("COUNTA(iferror(filter(Status!L:L,Status!A:A=A85,Status!L:L=TRUE)))"),5.0)</f>
        <v>5</v>
      </c>
      <c r="N85" s="23">
        <f>IFERROR(__xludf.DUMMYFUNCTION("COUNTA(iferror(filter(Status!N:N,Status!A:A=A85,Status!N:N=TRUE)))"),4.0)</f>
        <v>4</v>
      </c>
      <c r="O85" s="25">
        <f>IFERROR(__xludf.DUMMYFUNCTION("COUNTA(iferror(filter(Status!N:N,Status!A:A=A85,Status!N:N=TRUE)))"),4.0)</f>
        <v>4</v>
      </c>
      <c r="P85" s="23">
        <f>IFERROR(__xludf.DUMMYFUNCTION("COUNTA(iferror(filter(Status!P:P,Status!A:A=A85)))"),16.0)</f>
        <v>16</v>
      </c>
      <c r="Q85" s="25">
        <f>IFERROR(__xludf.DUMMYFUNCTION("COUNTA(iferror(filter(Status!P:P,Status!A:A=A85,Status!P:P=TRUE)))"),6.0)</f>
        <v>6</v>
      </c>
      <c r="R85" s="23">
        <f>IFERROR(__xludf.DUMMYFUNCTION("COUNTA(iferror(filter(Status!R:R,Status!A:A=A85)))"),11.0)</f>
        <v>11</v>
      </c>
      <c r="S85" s="25">
        <f>IFERROR(__xludf.DUMMYFUNCTION("COUNTA(iferror(filter(Status!R:R,Status!A:A=A85,Status!R:R=TRUE)))"),11.0)</f>
        <v>11</v>
      </c>
      <c r="V85" s="23" t="str">
        <f>IFERROR(__xludf.DUMMYFUNCTION("if((countif(filter(Status!$C:$C,Status!$A:$A=$A85),CONCATENATE(V$2,""*""))-W85)&gt;0,(countif(filter(Status!$C:$C,Status!$A:$A=$A85),CONCATENATE(V$2,""*""))-W85),"""")"),"")</f>
        <v/>
      </c>
      <c r="W85" s="23">
        <f>IFERROR(__xludf.DUMMYFUNCTION("if(countif(filter(Status!$C:$C,Status!$A:$A=$A85),CONCATENATE(W$2,""*""))&gt;0,countif(filter(Status!$C:$C,Status!$A:$A=$A85),CONCATENATE(W$2,""*"")),"""")"),5.0)</f>
        <v>5</v>
      </c>
      <c r="X85" s="23" t="str">
        <f>IFERROR(__xludf.DUMMYFUNCTION("if(countif(filter(Status!$C:$C,Status!$A:$A=$A85),CONCATENATE(X$2,""*""))&gt;0,countif(filter(Status!$C:$C,Status!$A:$A=$A85),CONCATENATE(X$2,""*"")),"""")"),"")</f>
        <v/>
      </c>
      <c r="Y85" s="23" t="str">
        <f>IFERROR(__xludf.DUMMYFUNCTION("if(countif(filter(Status!$C:$C,Status!$A:$A=$A85),CONCATENATE(Y$2,""*""))&gt;0,countif(filter(Status!$C:$C,Status!$A:$A=$A85),CONCATENATE(Y$2,""*"")),"""")"),"")</f>
        <v/>
      </c>
      <c r="Z85" s="23" t="str">
        <f>IFERROR(__xludf.DUMMYFUNCTION("if(countif(filter(Status!$C:$C,Status!$A:$A=$A85),CONCATENATE(Z$2,""*""))&gt;0,countif(filter(Status!$C:$C,Status!$A:$A=$A85),CONCATENATE(Z$2,""*"")),"""")"),"")</f>
        <v/>
      </c>
      <c r="AA85" s="23">
        <f>IFERROR(__xludf.DUMMYFUNCTION("if((countif(filter(Status!$C:$C,Status!$A:$A=$A85),CONCATENATE(AA$2,""*""))-AB85)&gt;0,(countif(filter(Status!$C:$C,Status!$A:$A=$A85),CONCATENATE(AA$2,""*""))-AB85),"""")"),5.0)</f>
        <v>5</v>
      </c>
      <c r="AB85" s="23">
        <f>IFERROR(__xludf.DUMMYFUNCTION("if(countif(filter(Status!$C:$C,Status!$A:$A=$A85),CONCATENATE(AB$2,""*""))&gt;0,countif(filter(Status!$C:$C,Status!$A:$A=$A85),CONCATENATE(AB$2,""*"")),"""")"),5.0)</f>
        <v>5</v>
      </c>
      <c r="AC85" s="23">
        <f>IFERROR(__xludf.DUMMYFUNCTION("if(countif(filter(Status!$C:$C,Status!$A:$A=$A85),CONCATENATE(AC$2,""*""))&gt;0,countif(filter(Status!$C:$C,Status!$A:$A=$A85),CONCATENATE(AC$2,""*"")),"""")"),1.0)</f>
        <v>1</v>
      </c>
      <c r="AD85" s="23" t="str">
        <f>IFERROR(__xludf.DUMMYFUNCTION("if(countif(filter(Status!$C:$C,Status!$A:$A=$A85),CONCATENATE(AD$2,""*""))&gt;0,countif(filter(Status!$C:$C,Status!$A:$A=$A85),CONCATENATE(AD$2,""*"")),"""")"),"")</f>
        <v/>
      </c>
      <c r="AE85" s="23">
        <f>IFERROR(__xludf.DUMMYFUNCTION("if(countif(filter(Status!$C:$C,Status!$A:$A=$A85),CONCATENATE(AE$2,""*""))&gt;0,countif(filter(Status!$C:$C,Status!$A:$A=$A85),CONCATENATE(AE$2,""*"")),"""")"),1.0)</f>
        <v>1</v>
      </c>
      <c r="AF85" s="23" t="str">
        <f>IFERROR(__xludf.DUMMYFUNCTION("if(countif(filter(Status!$C:$C,Status!$A:$A=$A85),CONCATENATE(AF$2,""*""))&gt;0,countif(filter(Status!$C:$C,Status!$A:$A=$A85),CONCATENATE(AF$2,""*"")),"""")"),"")</f>
        <v/>
      </c>
      <c r="AG85" s="23" t="str">
        <f>IFERROR(__xludf.DUMMYFUNCTION("if(countif(filter(Status!$C:$C,Status!$A:$A=$A85),CONCATENATE(AG$2,""*""))&gt;0,countif(filter(Status!$C:$C,Status!$A:$A=$A85),CONCATENATE(AG$2,""*"")),"""")"),"")</f>
        <v/>
      </c>
      <c r="AH85" s="23" t="str">
        <f>IFERROR(__xludf.DUMMYFUNCTION("if(countif(filter(Status!$C:$C,Status!$A:$A=$A85),CONCATENATE(AH$2,""*""))&gt;0,countif(filter(Status!$C:$C,Status!$A:$A=$A85),CONCATENATE(AH$2,""*"")),"""")"),"")</f>
        <v/>
      </c>
      <c r="AI85" s="23" t="str">
        <f>IFERROR(__xludf.DUMMYFUNCTION("if(countif(filter(Status!$C:$C,Status!$A:$A=$A85),CONCATENATE(AI$2,""*""))&gt;0,countif(filter(Status!$C:$C,Status!$A:$A=$A85),CONCATENATE(AI$2,""*"")),"""")"),"")</f>
        <v/>
      </c>
      <c r="AJ85" s="23" t="str">
        <f>IFERROR(__xludf.DUMMYFUNCTION("if(countif(filter(Status!$C:$C,Status!$A:$A=$A85),CONCATENATE(AJ$2,""*""))&gt;0,countif(filter(Status!$C:$C,Status!$A:$A=$A85),CONCATENATE(AJ$2,""*"")),"""")"),"")</f>
        <v/>
      </c>
      <c r="AK85" s="23" t="str">
        <f>IFERROR(__xludf.DUMMYFUNCTION("if(countif(filter(Status!$C:$C,Status!$A:$A=$A85),CONCATENATE(AK$2,""*""))&gt;0,countif(filter(Status!$C:$C,Status!$A:$A=$A85),CONCATENATE(AK$2,""*"")),"""")"),"")</f>
        <v/>
      </c>
      <c r="AL85" s="23" t="str">
        <f>IFERROR(__xludf.DUMMYFUNCTION("if(countif(filter(Status!$C:$C,Status!$A:$A=$A85),CONCATENATE(AL$2,""*""))&gt;0,countif(filter(Status!$C:$C,Status!$A:$A=$A85),CONCATENATE(AL$2,""*"")),"""")"),"")</f>
        <v/>
      </c>
      <c r="AM85" s="23" t="str">
        <f>IFERROR(__xludf.DUMMYFUNCTION("if(countif(filter(Status!$C:$C,Status!$A:$A=$A85),CONCATENATE(AM$2,""*""))&gt;0,countif(filter(Status!$C:$C,Status!$A:$A=$A85),CONCATENATE(AM$2,""*"")),"""")"),"")</f>
        <v/>
      </c>
      <c r="AN85" s="23" t="str">
        <f>IFERROR(__xludf.DUMMYFUNCTION("if(countif(filter(Status!$C:$C,Status!$A:$A=$A85),CONCATENATE(AN$2,""*""))&gt;0,countif(filter(Status!$C:$C,Status!$A:$A=$A85),CONCATENATE(AN$2,""*"")),"""")"),"")</f>
        <v/>
      </c>
      <c r="AO85" s="23" t="str">
        <f>IFERROR(__xludf.DUMMYFUNCTION("if(countif(filter(Status!$C:$C,Status!$A:$A=$A85),CONCATENATE(AO$2,""*""))&gt;0,countif(filter(Status!$C:$C,Status!$A:$A=$A85),CONCATENATE(AO$2,""*"")),"""")"),"")</f>
        <v/>
      </c>
      <c r="AP85" s="23">
        <f>IFERROR(__xludf.DUMMYFUNCTION("counta(iferror(filter(Status!C:C,Status!A:A=A85)))"),17.0)</f>
        <v>17</v>
      </c>
      <c r="AQ85" s="23">
        <f t="shared" si="6"/>
        <v>17</v>
      </c>
    </row>
    <row r="86">
      <c r="A86" s="1" t="s">
        <v>947</v>
      </c>
      <c r="B86" s="21">
        <f>IFERROR(__xludf.DUMMYFUNCTION("max(filter(Status!E:E,Status!A:A=A86))"),43816.0)</f>
        <v>43816</v>
      </c>
      <c r="C86" s="23">
        <f t="shared" si="1"/>
        <v>0.6363636364</v>
      </c>
      <c r="D86" s="23">
        <f t="shared" si="2"/>
        <v>1</v>
      </c>
      <c r="E86" s="23">
        <f t="shared" si="3"/>
        <v>1</v>
      </c>
      <c r="F86" s="23">
        <f t="shared" si="4"/>
        <v>0.3888888889</v>
      </c>
      <c r="G86" s="25">
        <f t="shared" si="5"/>
        <v>0.8181818182</v>
      </c>
      <c r="J86" s="23">
        <f>IFERROR(__xludf.DUMMYFUNCTION("COUNTA(iferror(filter(Status!H:H,Status!A:A=A86)))"),11.0)</f>
        <v>11</v>
      </c>
      <c r="K86" s="25">
        <f>IFERROR(__xludf.DUMMYFUNCTION("COUNTA(iferror(filter(Status!H:H,Status!A:A=A86,Status!H:H=TRUE)))"),7.0)</f>
        <v>7</v>
      </c>
      <c r="L86" s="23">
        <f>IFERROR(__xludf.DUMMYFUNCTION("COUNTA(iferror(filter(Status!L:L,Status!A:A=A86)))"),4.0)</f>
        <v>4</v>
      </c>
      <c r="M86" s="25">
        <f>IFERROR(__xludf.DUMMYFUNCTION("COUNTA(iferror(filter(Status!L:L,Status!A:A=A86,Status!L:L=TRUE)))"),4.0)</f>
        <v>4</v>
      </c>
      <c r="N86" s="23">
        <f>IFERROR(__xludf.DUMMYFUNCTION("COUNTA(iferror(filter(Status!N:N,Status!A:A=A86,Status!N:N=TRUE)))"),8.0)</f>
        <v>8</v>
      </c>
      <c r="O86" s="25">
        <f>IFERROR(__xludf.DUMMYFUNCTION("COUNTA(iferror(filter(Status!N:N,Status!A:A=A86,Status!N:N=TRUE)))"),8.0)</f>
        <v>8</v>
      </c>
      <c r="P86" s="23">
        <f>IFERROR(__xludf.DUMMYFUNCTION("COUNTA(iferror(filter(Status!P:P,Status!A:A=A86)))"),18.0)</f>
        <v>18</v>
      </c>
      <c r="Q86" s="25">
        <f>IFERROR(__xludf.DUMMYFUNCTION("COUNTA(iferror(filter(Status!P:P,Status!A:A=A86,Status!P:P=TRUE)))"),7.0)</f>
        <v>7</v>
      </c>
      <c r="R86" s="23">
        <f>IFERROR(__xludf.DUMMYFUNCTION("COUNTA(iferror(filter(Status!R:R,Status!A:A=A86)))"),11.0)</f>
        <v>11</v>
      </c>
      <c r="S86" s="25">
        <f>IFERROR(__xludf.DUMMYFUNCTION("COUNTA(iferror(filter(Status!R:R,Status!A:A=A86,Status!R:R=TRUE)))"),9.0)</f>
        <v>9</v>
      </c>
      <c r="V86" s="23" t="str">
        <f>IFERROR(__xludf.DUMMYFUNCTION("if((countif(filter(Status!$C:$C,Status!$A:$A=$A86),CONCATENATE(V$2,""*""))-W86)&gt;0,(countif(filter(Status!$C:$C,Status!$A:$A=$A86),CONCATENATE(V$2,""*""))-W86),"""")"),"")</f>
        <v/>
      </c>
      <c r="W86" s="23">
        <f>IFERROR(__xludf.DUMMYFUNCTION("if(countif(filter(Status!$C:$C,Status!$A:$A=$A86),CONCATENATE(W$2,""*""))&gt;0,countif(filter(Status!$C:$C,Status!$A:$A=$A86),CONCATENATE(W$2,""*"")),"""")"),4.0)</f>
        <v>4</v>
      </c>
      <c r="X86" s="23">
        <f>IFERROR(__xludf.DUMMYFUNCTION("if(countif(filter(Status!$C:$C,Status!$A:$A=$A86),CONCATENATE(X$2,""*""))&gt;0,countif(filter(Status!$C:$C,Status!$A:$A=$A86),CONCATENATE(X$2,""*"")),"""")"),2.0)</f>
        <v>2</v>
      </c>
      <c r="Y86" s="23" t="str">
        <f>IFERROR(__xludf.DUMMYFUNCTION("if(countif(filter(Status!$C:$C,Status!$A:$A=$A86),CONCATENATE(Y$2,""*""))&gt;0,countif(filter(Status!$C:$C,Status!$A:$A=$A86),CONCATENATE(Y$2,""*"")),"""")"),"")</f>
        <v/>
      </c>
      <c r="Z86" s="23" t="str">
        <f>IFERROR(__xludf.DUMMYFUNCTION("if(countif(filter(Status!$C:$C,Status!$A:$A=$A86),CONCATENATE(Z$2,""*""))&gt;0,countif(filter(Status!$C:$C,Status!$A:$A=$A86),CONCATENATE(Z$2,""*"")),"""")"),"")</f>
        <v/>
      </c>
      <c r="AA86" s="23">
        <f>IFERROR(__xludf.DUMMYFUNCTION("if((countif(filter(Status!$C:$C,Status!$A:$A=$A86),CONCATENATE(AA$2,""*""))-AB86)&gt;0,(countif(filter(Status!$C:$C,Status!$A:$A=$A86),CONCATENATE(AA$2,""*""))-AB86),"""")"),6.0)</f>
        <v>6</v>
      </c>
      <c r="AB86" s="23">
        <f>IFERROR(__xludf.DUMMYFUNCTION("if(countif(filter(Status!$C:$C,Status!$A:$A=$A86),CONCATENATE(AB$2,""*""))&gt;0,countif(filter(Status!$C:$C,Status!$A:$A=$A86),CONCATENATE(AB$2,""*"")),"""")"),4.0)</f>
        <v>4</v>
      </c>
      <c r="AC86" s="23">
        <f>IFERROR(__xludf.DUMMYFUNCTION("if(countif(filter(Status!$C:$C,Status!$A:$A=$A86),CONCATENATE(AC$2,""*""))&gt;0,countif(filter(Status!$C:$C,Status!$A:$A=$A86),CONCATENATE(AC$2,""*"")),"""")"),1.0)</f>
        <v>1</v>
      </c>
      <c r="AD86" s="23">
        <f>IFERROR(__xludf.DUMMYFUNCTION("if(countif(filter(Status!$C:$C,Status!$A:$A=$A86),CONCATENATE(AD$2,""*""))&gt;0,countif(filter(Status!$C:$C,Status!$A:$A=$A86),CONCATENATE(AD$2,""*"")),"""")"),1.0)</f>
        <v>1</v>
      </c>
      <c r="AE86" s="23">
        <f>IFERROR(__xludf.DUMMYFUNCTION("if(countif(filter(Status!$C:$C,Status!$A:$A=$A86),CONCATENATE(AE$2,""*""))&gt;0,countif(filter(Status!$C:$C,Status!$A:$A=$A86),CONCATENATE(AE$2,""*"")),"""")"),1.0)</f>
        <v>1</v>
      </c>
      <c r="AF86" s="23" t="str">
        <f>IFERROR(__xludf.DUMMYFUNCTION("if(countif(filter(Status!$C:$C,Status!$A:$A=$A86),CONCATENATE(AF$2,""*""))&gt;0,countif(filter(Status!$C:$C,Status!$A:$A=$A86),CONCATENATE(AF$2,""*"")),"""")"),"")</f>
        <v/>
      </c>
      <c r="AG86" s="23" t="str">
        <f>IFERROR(__xludf.DUMMYFUNCTION("if(countif(filter(Status!$C:$C,Status!$A:$A=$A86),CONCATENATE(AG$2,""*""))&gt;0,countif(filter(Status!$C:$C,Status!$A:$A=$A86),CONCATENATE(AG$2,""*"")),"""")"),"")</f>
        <v/>
      </c>
      <c r="AH86" s="23" t="str">
        <f>IFERROR(__xludf.DUMMYFUNCTION("if(countif(filter(Status!$C:$C,Status!$A:$A=$A86),CONCATENATE(AH$2,""*""))&gt;0,countif(filter(Status!$C:$C,Status!$A:$A=$A86),CONCATENATE(AH$2,""*"")),"""")"),"")</f>
        <v/>
      </c>
      <c r="AI86" s="23" t="str">
        <f>IFERROR(__xludf.DUMMYFUNCTION("if(countif(filter(Status!$C:$C,Status!$A:$A=$A86),CONCATENATE(AI$2,""*""))&gt;0,countif(filter(Status!$C:$C,Status!$A:$A=$A86),CONCATENATE(AI$2,""*"")),"""")"),"")</f>
        <v/>
      </c>
      <c r="AJ86" s="23" t="str">
        <f>IFERROR(__xludf.DUMMYFUNCTION("if(countif(filter(Status!$C:$C,Status!$A:$A=$A86),CONCATENATE(AJ$2,""*""))&gt;0,countif(filter(Status!$C:$C,Status!$A:$A=$A86),CONCATENATE(AJ$2,""*"")),"""")"),"")</f>
        <v/>
      </c>
      <c r="AK86" s="23" t="str">
        <f>IFERROR(__xludf.DUMMYFUNCTION("if(countif(filter(Status!$C:$C,Status!$A:$A=$A86),CONCATENATE(AK$2,""*""))&gt;0,countif(filter(Status!$C:$C,Status!$A:$A=$A86),CONCATENATE(AK$2,""*"")),"""")"),"")</f>
        <v/>
      </c>
      <c r="AL86" s="23" t="str">
        <f>IFERROR(__xludf.DUMMYFUNCTION("if(countif(filter(Status!$C:$C,Status!$A:$A=$A86),CONCATENATE(AL$2,""*""))&gt;0,countif(filter(Status!$C:$C,Status!$A:$A=$A86),CONCATENATE(AL$2,""*"")),"""")"),"")</f>
        <v/>
      </c>
      <c r="AM86" s="23" t="str">
        <f>IFERROR(__xludf.DUMMYFUNCTION("if(countif(filter(Status!$C:$C,Status!$A:$A=$A86),CONCATENATE(AM$2,""*""))&gt;0,countif(filter(Status!$C:$C,Status!$A:$A=$A86),CONCATENATE(AM$2,""*"")),"""")"),"")</f>
        <v/>
      </c>
      <c r="AN86" s="23" t="str">
        <f>IFERROR(__xludf.DUMMYFUNCTION("if(countif(filter(Status!$C:$C,Status!$A:$A=$A86),CONCATENATE(AN$2,""*""))&gt;0,countif(filter(Status!$C:$C,Status!$A:$A=$A86),CONCATENATE(AN$2,""*"")),"""")"),"")</f>
        <v/>
      </c>
      <c r="AO86" s="23" t="str">
        <f>IFERROR(__xludf.DUMMYFUNCTION("if(countif(filter(Status!$C:$C,Status!$A:$A=$A86),CONCATENATE(AO$2,""*""))&gt;0,countif(filter(Status!$C:$C,Status!$A:$A=$A86),CONCATENATE(AO$2,""*"")),"""")"),"")</f>
        <v/>
      </c>
      <c r="AP86" s="23">
        <f>IFERROR(__xludf.DUMMYFUNCTION("counta(iferror(filter(Status!C:C,Status!A:A=A86)))"),19.0)</f>
        <v>19</v>
      </c>
      <c r="AQ86" s="23">
        <f t="shared" si="6"/>
        <v>19</v>
      </c>
    </row>
    <row r="87">
      <c r="A87" s="1" t="s">
        <v>952</v>
      </c>
      <c r="B87" s="21">
        <f>IFERROR(__xludf.DUMMYFUNCTION("max(filter(Status!E:E,Status!A:A=A87))"),43817.0)</f>
        <v>43817</v>
      </c>
      <c r="C87" s="23">
        <f t="shared" si="1"/>
        <v>1</v>
      </c>
      <c r="D87" s="23">
        <f t="shared" si="2"/>
        <v>1</v>
      </c>
      <c r="E87" s="23">
        <f t="shared" si="3"/>
        <v>1</v>
      </c>
      <c r="F87" s="23">
        <f t="shared" si="4"/>
        <v>1</v>
      </c>
      <c r="G87" s="25">
        <f t="shared" si="5"/>
        <v>0</v>
      </c>
      <c r="J87" s="23">
        <f>IFERROR(__xludf.DUMMYFUNCTION("COUNTA(iferror(filter(Status!H:H,Status!A:A=A87)))"),1.0)</f>
        <v>1</v>
      </c>
      <c r="K87" s="25">
        <f>IFERROR(__xludf.DUMMYFUNCTION("COUNTA(iferror(filter(Status!H:H,Status!A:A=A87,Status!H:H=TRUE)))"),1.0)</f>
        <v>1</v>
      </c>
      <c r="L87" s="23">
        <f>IFERROR(__xludf.DUMMYFUNCTION("COUNTA(iferror(filter(Status!L:L,Status!A:A=A87)))"),1.0)</f>
        <v>1</v>
      </c>
      <c r="M87" s="25">
        <f>IFERROR(__xludf.DUMMYFUNCTION("COUNTA(iferror(filter(Status!L:L,Status!A:A=A87,Status!L:L=TRUE)))"),1.0)</f>
        <v>1</v>
      </c>
      <c r="N87" s="23">
        <f>IFERROR(__xludf.DUMMYFUNCTION("COUNTA(iferror(filter(Status!N:N,Status!A:A=A87,Status!N:N=TRUE)))"),2.0)</f>
        <v>2</v>
      </c>
      <c r="O87" s="25">
        <f>IFERROR(__xludf.DUMMYFUNCTION("COUNTA(iferror(filter(Status!N:N,Status!A:A=A87,Status!N:N=TRUE)))"),2.0)</f>
        <v>2</v>
      </c>
      <c r="P87" s="23">
        <f>IFERROR(__xludf.DUMMYFUNCTION("COUNTA(iferror(filter(Status!P:P,Status!A:A=A87)))"),2.0)</f>
        <v>2</v>
      </c>
      <c r="Q87" s="25">
        <f>IFERROR(__xludf.DUMMYFUNCTION("COUNTA(iferror(filter(Status!P:P,Status!A:A=A87,Status!P:P=TRUE)))"),2.0)</f>
        <v>2</v>
      </c>
      <c r="R87" s="23">
        <f>IFERROR(__xludf.DUMMYFUNCTION("COUNTA(iferror(filter(Status!R:R,Status!A:A=A87)))"),2.0)</f>
        <v>2</v>
      </c>
      <c r="S87" s="25">
        <f>IFERROR(__xludf.DUMMYFUNCTION("COUNTA(iferror(filter(Status!R:R,Status!A:A=A87,Status!R:R=TRUE)))"),0.0)</f>
        <v>0</v>
      </c>
      <c r="V87" s="23" t="str">
        <f>IFERROR(__xludf.DUMMYFUNCTION("if((countif(filter(Status!$C:$C,Status!$A:$A=$A87),CONCATENATE(V$2,""*""))-W87)&gt;0,(countif(filter(Status!$C:$C,Status!$A:$A=$A87),CONCATENATE(V$2,""*""))-W87),"""")"),"")</f>
        <v/>
      </c>
      <c r="W87" s="23" t="str">
        <f>IFERROR(__xludf.DUMMYFUNCTION("if(countif(filter(Status!$C:$C,Status!$A:$A=$A87),CONCATENATE(W$2,""*""))&gt;0,countif(filter(Status!$C:$C,Status!$A:$A=$A87),CONCATENATE(W$2,""*"")),"""")"),"")</f>
        <v/>
      </c>
      <c r="X87" s="23" t="str">
        <f>IFERROR(__xludf.DUMMYFUNCTION("if(countif(filter(Status!$C:$C,Status!$A:$A=$A87),CONCATENATE(X$2,""*""))&gt;0,countif(filter(Status!$C:$C,Status!$A:$A=$A87),CONCATENATE(X$2,""*"")),"""")"),"")</f>
        <v/>
      </c>
      <c r="Y87" s="23" t="str">
        <f>IFERROR(__xludf.DUMMYFUNCTION("if(countif(filter(Status!$C:$C,Status!$A:$A=$A87),CONCATENATE(Y$2,""*""))&gt;0,countif(filter(Status!$C:$C,Status!$A:$A=$A87),CONCATENATE(Y$2,""*"")),"""")"),"")</f>
        <v/>
      </c>
      <c r="Z87" s="23" t="str">
        <f>IFERROR(__xludf.DUMMYFUNCTION("if(countif(filter(Status!$C:$C,Status!$A:$A=$A87),CONCATENATE(Z$2,""*""))&gt;0,countif(filter(Status!$C:$C,Status!$A:$A=$A87),CONCATENATE(Z$2,""*"")),"""")"),"")</f>
        <v/>
      </c>
      <c r="AA87" s="23" t="str">
        <f>IFERROR(__xludf.DUMMYFUNCTION("if((countif(filter(Status!$C:$C,Status!$A:$A=$A87),CONCATENATE(AA$2,""*""))-AB87)&gt;0,(countif(filter(Status!$C:$C,Status!$A:$A=$A87),CONCATENATE(AA$2,""*""))-AB87),"""")"),"")</f>
        <v/>
      </c>
      <c r="AB87" s="23" t="str">
        <f>IFERROR(__xludf.DUMMYFUNCTION("if(countif(filter(Status!$C:$C,Status!$A:$A=$A87),CONCATENATE(AB$2,""*""))&gt;0,countif(filter(Status!$C:$C,Status!$A:$A=$A87),CONCATENATE(AB$2,""*"")),"""")"),"")</f>
        <v/>
      </c>
      <c r="AC87" s="23" t="str">
        <f>IFERROR(__xludf.DUMMYFUNCTION("if(countif(filter(Status!$C:$C,Status!$A:$A=$A87),CONCATENATE(AC$2,""*""))&gt;0,countif(filter(Status!$C:$C,Status!$A:$A=$A87),CONCATENATE(AC$2,""*"")),"""")"),"")</f>
        <v/>
      </c>
      <c r="AD87" s="23" t="str">
        <f>IFERROR(__xludf.DUMMYFUNCTION("if(countif(filter(Status!$C:$C,Status!$A:$A=$A87),CONCATENATE(AD$2,""*""))&gt;0,countif(filter(Status!$C:$C,Status!$A:$A=$A87),CONCATENATE(AD$2,""*"")),"""")"),"")</f>
        <v/>
      </c>
      <c r="AE87" s="23" t="str">
        <f>IFERROR(__xludf.DUMMYFUNCTION("if(countif(filter(Status!$C:$C,Status!$A:$A=$A87),CONCATENATE(AE$2,""*""))&gt;0,countif(filter(Status!$C:$C,Status!$A:$A=$A87),CONCATENATE(AE$2,""*"")),"""")"),"")</f>
        <v/>
      </c>
      <c r="AF87" s="23">
        <f>IFERROR(__xludf.DUMMYFUNCTION("if(countif(filter(Status!$C:$C,Status!$A:$A=$A87),CONCATENATE(AF$2,""*""))&gt;0,countif(filter(Status!$C:$C,Status!$A:$A=$A87),CONCATENATE(AF$2,""*"")),"""")"),2.0)</f>
        <v>2</v>
      </c>
      <c r="AG87" s="23" t="str">
        <f>IFERROR(__xludf.DUMMYFUNCTION("if(countif(filter(Status!$C:$C,Status!$A:$A=$A87),CONCATENATE(AG$2,""*""))&gt;0,countif(filter(Status!$C:$C,Status!$A:$A=$A87),CONCATENATE(AG$2,""*"")),"""")"),"")</f>
        <v/>
      </c>
      <c r="AH87" s="23" t="str">
        <f>IFERROR(__xludf.DUMMYFUNCTION("if(countif(filter(Status!$C:$C,Status!$A:$A=$A87),CONCATENATE(AH$2,""*""))&gt;0,countif(filter(Status!$C:$C,Status!$A:$A=$A87),CONCATENATE(AH$2,""*"")),"""")"),"")</f>
        <v/>
      </c>
      <c r="AI87" s="23" t="str">
        <f>IFERROR(__xludf.DUMMYFUNCTION("if(countif(filter(Status!$C:$C,Status!$A:$A=$A87),CONCATENATE(AI$2,""*""))&gt;0,countif(filter(Status!$C:$C,Status!$A:$A=$A87),CONCATENATE(AI$2,""*"")),"""")"),"")</f>
        <v/>
      </c>
      <c r="AJ87" s="23" t="str">
        <f>IFERROR(__xludf.DUMMYFUNCTION("if(countif(filter(Status!$C:$C,Status!$A:$A=$A87),CONCATENATE(AJ$2,""*""))&gt;0,countif(filter(Status!$C:$C,Status!$A:$A=$A87),CONCATENATE(AJ$2,""*"")),"""")"),"")</f>
        <v/>
      </c>
      <c r="AK87" s="23" t="str">
        <f>IFERROR(__xludf.DUMMYFUNCTION("if(countif(filter(Status!$C:$C,Status!$A:$A=$A87),CONCATENATE(AK$2,""*""))&gt;0,countif(filter(Status!$C:$C,Status!$A:$A=$A87),CONCATENATE(AK$2,""*"")),"""")"),"")</f>
        <v/>
      </c>
      <c r="AL87" s="23" t="str">
        <f>IFERROR(__xludf.DUMMYFUNCTION("if(countif(filter(Status!$C:$C,Status!$A:$A=$A87),CONCATENATE(AL$2,""*""))&gt;0,countif(filter(Status!$C:$C,Status!$A:$A=$A87),CONCATENATE(AL$2,""*"")),"""")"),"")</f>
        <v/>
      </c>
      <c r="AM87" s="23" t="str">
        <f>IFERROR(__xludf.DUMMYFUNCTION("if(countif(filter(Status!$C:$C,Status!$A:$A=$A87),CONCATENATE(AM$2,""*""))&gt;0,countif(filter(Status!$C:$C,Status!$A:$A=$A87),CONCATENATE(AM$2,""*"")),"""")"),"")</f>
        <v/>
      </c>
      <c r="AN87" s="23" t="str">
        <f>IFERROR(__xludf.DUMMYFUNCTION("if(countif(filter(Status!$C:$C,Status!$A:$A=$A87),CONCATENATE(AN$2,""*""))&gt;0,countif(filter(Status!$C:$C,Status!$A:$A=$A87),CONCATENATE(AN$2,""*"")),"""")"),"")</f>
        <v/>
      </c>
      <c r="AO87" s="23" t="str">
        <f>IFERROR(__xludf.DUMMYFUNCTION("if(countif(filter(Status!$C:$C,Status!$A:$A=$A87),CONCATENATE(AO$2,""*""))&gt;0,countif(filter(Status!$C:$C,Status!$A:$A=$A87),CONCATENATE(AO$2,""*"")),"""")"),"")</f>
        <v/>
      </c>
      <c r="AP87" s="23">
        <f>IFERROR(__xludf.DUMMYFUNCTION("counta(iferror(filter(Status!C:C,Status!A:A=A87)))"),2.0)</f>
        <v>2</v>
      </c>
      <c r="AQ87" s="23">
        <f t="shared" si="6"/>
        <v>2</v>
      </c>
    </row>
    <row r="88">
      <c r="A88" s="1" t="s">
        <v>956</v>
      </c>
      <c r="B88" s="21">
        <f>IFERROR(__xludf.DUMMYFUNCTION("max(filter(Status!E:E,Status!A:A=A88))"),43818.0)</f>
        <v>43818</v>
      </c>
      <c r="C88" s="23">
        <f t="shared" si="1"/>
        <v>0.2857142857</v>
      </c>
      <c r="D88" s="23">
        <f t="shared" si="2"/>
        <v>1</v>
      </c>
      <c r="E88" s="23">
        <f t="shared" si="3"/>
        <v>1</v>
      </c>
      <c r="F88" s="23">
        <f t="shared" si="4"/>
        <v>0.36</v>
      </c>
      <c r="G88" s="25">
        <f t="shared" si="5"/>
        <v>1</v>
      </c>
      <c r="J88" s="23">
        <f>IFERROR(__xludf.DUMMYFUNCTION("COUNTA(iferror(filter(Status!H:H,Status!A:A=A88)))"),14.0)</f>
        <v>14</v>
      </c>
      <c r="K88" s="25">
        <f>IFERROR(__xludf.DUMMYFUNCTION("COUNTA(iferror(filter(Status!H:H,Status!A:A=A88,Status!H:H=TRUE)))"),4.0)</f>
        <v>4</v>
      </c>
      <c r="L88" s="23">
        <f>IFERROR(__xludf.DUMMYFUNCTION("COUNTA(iferror(filter(Status!L:L,Status!A:A=A88)))"),6.0)</f>
        <v>6</v>
      </c>
      <c r="M88" s="25">
        <f>IFERROR(__xludf.DUMMYFUNCTION("COUNTA(iferror(filter(Status!L:L,Status!A:A=A88,Status!L:L=TRUE)))"),6.0)</f>
        <v>6</v>
      </c>
      <c r="N88" s="23">
        <f>IFERROR(__xludf.DUMMYFUNCTION("COUNTA(iferror(filter(Status!N:N,Status!A:A=A88,Status!N:N=TRUE)))"),8.0)</f>
        <v>8</v>
      </c>
      <c r="O88" s="25">
        <f>IFERROR(__xludf.DUMMYFUNCTION("COUNTA(iferror(filter(Status!N:N,Status!A:A=A88,Status!N:N=TRUE)))"),8.0)</f>
        <v>8</v>
      </c>
      <c r="P88" s="23">
        <f>IFERROR(__xludf.DUMMYFUNCTION("COUNTA(iferror(filter(Status!P:P,Status!A:A=A88)))"),25.0)</f>
        <v>25</v>
      </c>
      <c r="Q88" s="25">
        <f>IFERROR(__xludf.DUMMYFUNCTION("COUNTA(iferror(filter(Status!P:P,Status!A:A=A88,Status!P:P=TRUE)))"),9.0)</f>
        <v>9</v>
      </c>
      <c r="R88" s="23">
        <f>IFERROR(__xludf.DUMMYFUNCTION("COUNTA(iferror(filter(Status!R:R,Status!A:A=A88)))"),17.0)</f>
        <v>17</v>
      </c>
      <c r="S88" s="25">
        <f>IFERROR(__xludf.DUMMYFUNCTION("COUNTA(iferror(filter(Status!R:R,Status!A:A=A88,Status!R:R=TRUE)))"),17.0)</f>
        <v>17</v>
      </c>
      <c r="V88" s="23" t="str">
        <f>IFERROR(__xludf.DUMMYFUNCTION("if((countif(filter(Status!$C:$C,Status!$A:$A=$A88),CONCATENATE(V$2,""*""))-W88)&gt;0,(countif(filter(Status!$C:$C,Status!$A:$A=$A88),CONCATENATE(V$2,""*""))-W88),"""")"),"")</f>
        <v/>
      </c>
      <c r="W88" s="23">
        <f>IFERROR(__xludf.DUMMYFUNCTION("if(countif(filter(Status!$C:$C,Status!$A:$A=$A88),CONCATENATE(W$2,""*""))&gt;0,countif(filter(Status!$C:$C,Status!$A:$A=$A88),CONCATENATE(W$2,""*"")),"""")"),6.0)</f>
        <v>6</v>
      </c>
      <c r="X88" s="23">
        <f>IFERROR(__xludf.DUMMYFUNCTION("if(countif(filter(Status!$C:$C,Status!$A:$A=$A88),CONCATENATE(X$2,""*""))&gt;0,countif(filter(Status!$C:$C,Status!$A:$A=$A88),CONCATENATE(X$2,""*"")),"""")"),2.0)</f>
        <v>2</v>
      </c>
      <c r="Y88" s="23" t="str">
        <f>IFERROR(__xludf.DUMMYFUNCTION("if(countif(filter(Status!$C:$C,Status!$A:$A=$A88),CONCATENATE(Y$2,""*""))&gt;0,countif(filter(Status!$C:$C,Status!$A:$A=$A88),CONCATENATE(Y$2,""*"")),"""")"),"")</f>
        <v/>
      </c>
      <c r="Z88" s="23" t="str">
        <f>IFERROR(__xludf.DUMMYFUNCTION("if(countif(filter(Status!$C:$C,Status!$A:$A=$A88),CONCATENATE(Z$2,""*""))&gt;0,countif(filter(Status!$C:$C,Status!$A:$A=$A88),CONCATENATE(Z$2,""*"")),"""")"),"")</f>
        <v/>
      </c>
      <c r="AA88" s="23">
        <f>IFERROR(__xludf.DUMMYFUNCTION("if((countif(filter(Status!$C:$C,Status!$A:$A=$A88),CONCATENATE(AA$2,""*""))-AB88)&gt;0,(countif(filter(Status!$C:$C,Status!$A:$A=$A88),CONCATENATE(AA$2,""*""))-AB88),"""")"),8.0)</f>
        <v>8</v>
      </c>
      <c r="AB88" s="23">
        <f>IFERROR(__xludf.DUMMYFUNCTION("if(countif(filter(Status!$C:$C,Status!$A:$A=$A88),CONCATENATE(AB$2,""*""))&gt;0,countif(filter(Status!$C:$C,Status!$A:$A=$A88),CONCATENATE(AB$2,""*"")),"""")"),8.0)</f>
        <v>8</v>
      </c>
      <c r="AC88" s="23">
        <f>IFERROR(__xludf.DUMMYFUNCTION("if(countif(filter(Status!$C:$C,Status!$A:$A=$A88),CONCATENATE(AC$2,""*""))&gt;0,countif(filter(Status!$C:$C,Status!$A:$A=$A88),CONCATENATE(AC$2,""*"")),"""")"),1.0)</f>
        <v>1</v>
      </c>
      <c r="AD88" s="23" t="str">
        <f>IFERROR(__xludf.DUMMYFUNCTION("if(countif(filter(Status!$C:$C,Status!$A:$A=$A88),CONCATENATE(AD$2,""*""))&gt;0,countif(filter(Status!$C:$C,Status!$A:$A=$A88),CONCATENATE(AD$2,""*"")),"""")"),"")</f>
        <v/>
      </c>
      <c r="AE88" s="23" t="str">
        <f>IFERROR(__xludf.DUMMYFUNCTION("if(countif(filter(Status!$C:$C,Status!$A:$A=$A88),CONCATENATE(AE$2,""*""))&gt;0,countif(filter(Status!$C:$C,Status!$A:$A=$A88),CONCATENATE(AE$2,""*"")),"""")"),"")</f>
        <v/>
      </c>
      <c r="AF88" s="23" t="str">
        <f>IFERROR(__xludf.DUMMYFUNCTION("if(countif(filter(Status!$C:$C,Status!$A:$A=$A88),CONCATENATE(AF$2,""*""))&gt;0,countif(filter(Status!$C:$C,Status!$A:$A=$A88),CONCATENATE(AF$2,""*"")),"""")"),"")</f>
        <v/>
      </c>
      <c r="AG88" s="23" t="str">
        <f>IFERROR(__xludf.DUMMYFUNCTION("if(countif(filter(Status!$C:$C,Status!$A:$A=$A88),CONCATENATE(AG$2,""*""))&gt;0,countif(filter(Status!$C:$C,Status!$A:$A=$A88),CONCATENATE(AG$2,""*"")),"""")"),"")</f>
        <v/>
      </c>
      <c r="AH88" s="23" t="str">
        <f>IFERROR(__xludf.DUMMYFUNCTION("if(countif(filter(Status!$C:$C,Status!$A:$A=$A88),CONCATENATE(AH$2,""*""))&gt;0,countif(filter(Status!$C:$C,Status!$A:$A=$A88),CONCATENATE(AH$2,""*"")),"""")"),"")</f>
        <v/>
      </c>
      <c r="AI88" s="23" t="str">
        <f>IFERROR(__xludf.DUMMYFUNCTION("if(countif(filter(Status!$C:$C,Status!$A:$A=$A88),CONCATENATE(AI$2,""*""))&gt;0,countif(filter(Status!$C:$C,Status!$A:$A=$A88),CONCATENATE(AI$2,""*"")),"""")"),"")</f>
        <v/>
      </c>
      <c r="AJ88" s="23" t="str">
        <f>IFERROR(__xludf.DUMMYFUNCTION("if(countif(filter(Status!$C:$C,Status!$A:$A=$A88),CONCATENATE(AJ$2,""*""))&gt;0,countif(filter(Status!$C:$C,Status!$A:$A=$A88),CONCATENATE(AJ$2,""*"")),"""")"),"")</f>
        <v/>
      </c>
      <c r="AK88" s="23" t="str">
        <f>IFERROR(__xludf.DUMMYFUNCTION("if(countif(filter(Status!$C:$C,Status!$A:$A=$A88),CONCATENATE(AK$2,""*""))&gt;0,countif(filter(Status!$C:$C,Status!$A:$A=$A88),CONCATENATE(AK$2,""*"")),"""")"),"")</f>
        <v/>
      </c>
      <c r="AL88" s="23" t="str">
        <f>IFERROR(__xludf.DUMMYFUNCTION("if(countif(filter(Status!$C:$C,Status!$A:$A=$A88),CONCATENATE(AL$2,""*""))&gt;0,countif(filter(Status!$C:$C,Status!$A:$A=$A88),CONCATENATE(AL$2,""*"")),"""")"),"")</f>
        <v/>
      </c>
      <c r="AM88" s="23" t="str">
        <f>IFERROR(__xludf.DUMMYFUNCTION("if(countif(filter(Status!$C:$C,Status!$A:$A=$A88),CONCATENATE(AM$2,""*""))&gt;0,countif(filter(Status!$C:$C,Status!$A:$A=$A88),CONCATENATE(AM$2,""*"")),"""")"),"")</f>
        <v/>
      </c>
      <c r="AN88" s="23" t="str">
        <f>IFERROR(__xludf.DUMMYFUNCTION("if(countif(filter(Status!$C:$C,Status!$A:$A=$A88),CONCATENATE(AN$2,""*""))&gt;0,countif(filter(Status!$C:$C,Status!$A:$A=$A88),CONCATENATE(AN$2,""*"")),"""")"),"")</f>
        <v/>
      </c>
      <c r="AO88" s="23" t="str">
        <f>IFERROR(__xludf.DUMMYFUNCTION("if(countif(filter(Status!$C:$C,Status!$A:$A=$A88),CONCATENATE(AO$2,""*""))&gt;0,countif(filter(Status!$C:$C,Status!$A:$A=$A88),CONCATENATE(AO$2,""*"")),"""")"),"")</f>
        <v/>
      </c>
      <c r="AP88" s="23">
        <f>IFERROR(__xludf.DUMMYFUNCTION("counta(iferror(filter(Status!C:C,Status!A:A=A88)))"),25.0)</f>
        <v>25</v>
      </c>
      <c r="AQ88" s="23">
        <f t="shared" si="6"/>
        <v>25</v>
      </c>
    </row>
    <row r="89">
      <c r="A89" s="1" t="s">
        <v>960</v>
      </c>
      <c r="B89" s="21">
        <f>IFERROR(__xludf.DUMMYFUNCTION("max(filter(Status!E:E,Status!A:A=A89))"),43822.0)</f>
        <v>43822</v>
      </c>
      <c r="C89" s="23">
        <f t="shared" si="1"/>
        <v>0</v>
      </c>
      <c r="D89" s="23">
        <f t="shared" si="2"/>
        <v>1</v>
      </c>
      <c r="E89" s="23">
        <f t="shared" si="3"/>
        <v>1</v>
      </c>
      <c r="F89" s="23">
        <f t="shared" si="4"/>
        <v>0.3571428571</v>
      </c>
      <c r="G89" s="25">
        <f t="shared" si="5"/>
        <v>1</v>
      </c>
      <c r="J89" s="23">
        <f>IFERROR(__xludf.DUMMYFUNCTION("COUNTA(iferror(filter(Status!H:H,Status!A:A=A89)))"),8.0)</f>
        <v>8</v>
      </c>
      <c r="K89" s="25">
        <f>IFERROR(__xludf.DUMMYFUNCTION("COUNTA(iferror(filter(Status!H:H,Status!A:A=A89,Status!H:H=TRUE)))"),0.0)</f>
        <v>0</v>
      </c>
      <c r="L89" s="23">
        <f>IFERROR(__xludf.DUMMYFUNCTION("COUNTA(iferror(filter(Status!L:L,Status!A:A=A89)))"),4.0)</f>
        <v>4</v>
      </c>
      <c r="M89" s="25">
        <f>IFERROR(__xludf.DUMMYFUNCTION("COUNTA(iferror(filter(Status!L:L,Status!A:A=A89,Status!L:L=TRUE)))"),4.0)</f>
        <v>4</v>
      </c>
      <c r="N89" s="23">
        <f>IFERROR(__xludf.DUMMYFUNCTION("COUNTA(iferror(filter(Status!N:N,Status!A:A=A89,Status!N:N=TRUE)))"),6.0)</f>
        <v>6</v>
      </c>
      <c r="O89" s="25">
        <f>IFERROR(__xludf.DUMMYFUNCTION("COUNTA(iferror(filter(Status!N:N,Status!A:A=A89,Status!N:N=TRUE)))"),6.0)</f>
        <v>6</v>
      </c>
      <c r="P89" s="23">
        <f>IFERROR(__xludf.DUMMYFUNCTION("COUNTA(iferror(filter(Status!P:P,Status!A:A=A89)))"),14.0)</f>
        <v>14</v>
      </c>
      <c r="Q89" s="25">
        <f>IFERROR(__xludf.DUMMYFUNCTION("COUNTA(iferror(filter(Status!P:P,Status!A:A=A89,Status!P:P=TRUE)))"),5.0)</f>
        <v>5</v>
      </c>
      <c r="R89" s="23">
        <f>IFERROR(__xludf.DUMMYFUNCTION("COUNTA(iferror(filter(Status!R:R,Status!A:A=A89)))"),9.0)</f>
        <v>9</v>
      </c>
      <c r="S89" s="25">
        <f>IFERROR(__xludf.DUMMYFUNCTION("COUNTA(iferror(filter(Status!R:R,Status!A:A=A89,Status!R:R=TRUE)))"),9.0)</f>
        <v>9</v>
      </c>
      <c r="V89" s="23" t="str">
        <f>IFERROR(__xludf.DUMMYFUNCTION("if((countif(filter(Status!$C:$C,Status!$A:$A=$A89),CONCATENATE(V$2,""*""))-W89)&gt;0,(countif(filter(Status!$C:$C,Status!$A:$A=$A89),CONCATENATE(V$2,""*""))-W89),"""")"),"")</f>
        <v/>
      </c>
      <c r="W89" s="23">
        <f>IFERROR(__xludf.DUMMYFUNCTION("if(countif(filter(Status!$C:$C,Status!$A:$A=$A89),CONCATENATE(W$2,""*""))&gt;0,countif(filter(Status!$C:$C,Status!$A:$A=$A89),CONCATENATE(W$2,""*"")),"""")"),4.0)</f>
        <v>4</v>
      </c>
      <c r="X89" s="23" t="str">
        <f>IFERROR(__xludf.DUMMYFUNCTION("if(countif(filter(Status!$C:$C,Status!$A:$A=$A89),CONCATENATE(X$2,""*""))&gt;0,countif(filter(Status!$C:$C,Status!$A:$A=$A89),CONCATENATE(X$2,""*"")),"""")"),"")</f>
        <v/>
      </c>
      <c r="Y89" s="23" t="str">
        <f>IFERROR(__xludf.DUMMYFUNCTION("if(countif(filter(Status!$C:$C,Status!$A:$A=$A89),CONCATENATE(Y$2,""*""))&gt;0,countif(filter(Status!$C:$C,Status!$A:$A=$A89),CONCATENATE(Y$2,""*"")),"""")"),"")</f>
        <v/>
      </c>
      <c r="Z89" s="23" t="str">
        <f>IFERROR(__xludf.DUMMYFUNCTION("if(countif(filter(Status!$C:$C,Status!$A:$A=$A89),CONCATENATE(Z$2,""*""))&gt;0,countif(filter(Status!$C:$C,Status!$A:$A=$A89),CONCATENATE(Z$2,""*"")),"""")"),"")</f>
        <v/>
      </c>
      <c r="AA89" s="23">
        <f>IFERROR(__xludf.DUMMYFUNCTION("if((countif(filter(Status!$C:$C,Status!$A:$A=$A89),CONCATENATE(AA$2,""*""))-AB89)&gt;0,(countif(filter(Status!$C:$C,Status!$A:$A=$A89),CONCATENATE(AA$2,""*""))-AB89),"""")"),4.0)</f>
        <v>4</v>
      </c>
      <c r="AB89" s="23">
        <f>IFERROR(__xludf.DUMMYFUNCTION("if(countif(filter(Status!$C:$C,Status!$A:$A=$A89),CONCATENATE(AB$2,""*""))&gt;0,countif(filter(Status!$C:$C,Status!$A:$A=$A89),CONCATENATE(AB$2,""*"")),"""")"),4.0)</f>
        <v>4</v>
      </c>
      <c r="AC89" s="23">
        <f>IFERROR(__xludf.DUMMYFUNCTION("if(countif(filter(Status!$C:$C,Status!$A:$A=$A89),CONCATENATE(AC$2,""*""))&gt;0,countif(filter(Status!$C:$C,Status!$A:$A=$A89),CONCATENATE(AC$2,""*"")),"""")"),1.0)</f>
        <v>1</v>
      </c>
      <c r="AD89" s="23">
        <f>IFERROR(__xludf.DUMMYFUNCTION("if(countif(filter(Status!$C:$C,Status!$A:$A=$A89),CONCATENATE(AD$2,""*""))&gt;0,countif(filter(Status!$C:$C,Status!$A:$A=$A89),CONCATENATE(AD$2,""*"")),"""")"),1.0)</f>
        <v>1</v>
      </c>
      <c r="AE89" s="23" t="str">
        <f>IFERROR(__xludf.DUMMYFUNCTION("if(countif(filter(Status!$C:$C,Status!$A:$A=$A89),CONCATENATE(AE$2,""*""))&gt;0,countif(filter(Status!$C:$C,Status!$A:$A=$A89),CONCATENATE(AE$2,""*"")),"""")"),"")</f>
        <v/>
      </c>
      <c r="AF89" s="23" t="str">
        <f>IFERROR(__xludf.DUMMYFUNCTION("if(countif(filter(Status!$C:$C,Status!$A:$A=$A89),CONCATENATE(AF$2,""*""))&gt;0,countif(filter(Status!$C:$C,Status!$A:$A=$A89),CONCATENATE(AF$2,""*"")),"""")"),"")</f>
        <v/>
      </c>
      <c r="AG89" s="23" t="str">
        <f>IFERROR(__xludf.DUMMYFUNCTION("if(countif(filter(Status!$C:$C,Status!$A:$A=$A89),CONCATENATE(AG$2,""*""))&gt;0,countif(filter(Status!$C:$C,Status!$A:$A=$A89),CONCATENATE(AG$2,""*"")),"""")"),"")</f>
        <v/>
      </c>
      <c r="AH89" s="23" t="str">
        <f>IFERROR(__xludf.DUMMYFUNCTION("if(countif(filter(Status!$C:$C,Status!$A:$A=$A89),CONCATENATE(AH$2,""*""))&gt;0,countif(filter(Status!$C:$C,Status!$A:$A=$A89),CONCATENATE(AH$2,""*"")),"""")"),"")</f>
        <v/>
      </c>
      <c r="AI89" s="23" t="str">
        <f>IFERROR(__xludf.DUMMYFUNCTION("if(countif(filter(Status!$C:$C,Status!$A:$A=$A89),CONCATENATE(AI$2,""*""))&gt;0,countif(filter(Status!$C:$C,Status!$A:$A=$A89),CONCATENATE(AI$2,""*"")),"""")"),"")</f>
        <v/>
      </c>
      <c r="AJ89" s="23" t="str">
        <f>IFERROR(__xludf.DUMMYFUNCTION("if(countif(filter(Status!$C:$C,Status!$A:$A=$A89),CONCATENATE(AJ$2,""*""))&gt;0,countif(filter(Status!$C:$C,Status!$A:$A=$A89),CONCATENATE(AJ$2,""*"")),"""")"),"")</f>
        <v/>
      </c>
      <c r="AK89" s="23" t="str">
        <f>IFERROR(__xludf.DUMMYFUNCTION("if(countif(filter(Status!$C:$C,Status!$A:$A=$A89),CONCATENATE(AK$2,""*""))&gt;0,countif(filter(Status!$C:$C,Status!$A:$A=$A89),CONCATENATE(AK$2,""*"")),"""")"),"")</f>
        <v/>
      </c>
      <c r="AL89" s="23" t="str">
        <f>IFERROR(__xludf.DUMMYFUNCTION("if(countif(filter(Status!$C:$C,Status!$A:$A=$A89),CONCATENATE(AL$2,""*""))&gt;0,countif(filter(Status!$C:$C,Status!$A:$A=$A89),CONCATENATE(AL$2,""*"")),"""")"),"")</f>
        <v/>
      </c>
      <c r="AM89" s="23" t="str">
        <f>IFERROR(__xludf.DUMMYFUNCTION("if(countif(filter(Status!$C:$C,Status!$A:$A=$A89),CONCATENATE(AM$2,""*""))&gt;0,countif(filter(Status!$C:$C,Status!$A:$A=$A89),CONCATENATE(AM$2,""*"")),"""")"),"")</f>
        <v/>
      </c>
      <c r="AN89" s="23" t="str">
        <f>IFERROR(__xludf.DUMMYFUNCTION("if(countif(filter(Status!$C:$C,Status!$A:$A=$A89),CONCATENATE(AN$2,""*""))&gt;0,countif(filter(Status!$C:$C,Status!$A:$A=$A89),CONCATENATE(AN$2,""*"")),"""")"),"")</f>
        <v/>
      </c>
      <c r="AO89" s="23" t="str">
        <f>IFERROR(__xludf.DUMMYFUNCTION("if(countif(filter(Status!$C:$C,Status!$A:$A=$A89),CONCATENATE(AO$2,""*""))&gt;0,countif(filter(Status!$C:$C,Status!$A:$A=$A89),CONCATENATE(AO$2,""*"")),"""")"),"")</f>
        <v/>
      </c>
      <c r="AP89" s="23">
        <f>IFERROR(__xludf.DUMMYFUNCTION("counta(iferror(filter(Status!C:C,Status!A:A=A89)))"),14.0)</f>
        <v>14</v>
      </c>
      <c r="AQ89" s="23">
        <f t="shared" si="6"/>
        <v>14</v>
      </c>
    </row>
    <row r="90">
      <c r="A90" s="1" t="s">
        <v>963</v>
      </c>
      <c r="B90" s="21">
        <f>IFERROR(__xludf.DUMMYFUNCTION("max(filter(Status!E:E,Status!A:A=A90))"),43825.0)</f>
        <v>43825</v>
      </c>
      <c r="C90" s="23">
        <f t="shared" si="1"/>
        <v>0</v>
      </c>
      <c r="D90" s="23">
        <f t="shared" si="2"/>
        <v>1</v>
      </c>
      <c r="E90" s="23">
        <f t="shared" si="3"/>
        <v>1</v>
      </c>
      <c r="F90" s="23">
        <f t="shared" si="4"/>
        <v>0.4285714286</v>
      </c>
      <c r="G90" s="25">
        <f t="shared" si="5"/>
        <v>1</v>
      </c>
      <c r="J90" s="23">
        <f>IFERROR(__xludf.DUMMYFUNCTION("COUNTA(iferror(filter(Status!H:H,Status!A:A=A90)))"),8.0)</f>
        <v>8</v>
      </c>
      <c r="K90" s="25">
        <f>IFERROR(__xludf.DUMMYFUNCTION("COUNTA(iferror(filter(Status!H:H,Status!A:A=A90,Status!H:H=TRUE)))"),0.0)</f>
        <v>0</v>
      </c>
      <c r="L90" s="23">
        <f>IFERROR(__xludf.DUMMYFUNCTION("COUNTA(iferror(filter(Status!L:L,Status!A:A=A90)))"),4.0)</f>
        <v>4</v>
      </c>
      <c r="M90" s="25">
        <f>IFERROR(__xludf.DUMMYFUNCTION("COUNTA(iferror(filter(Status!L:L,Status!A:A=A90,Status!L:L=TRUE)))"),4.0)</f>
        <v>4</v>
      </c>
      <c r="N90" s="23">
        <f>IFERROR(__xludf.DUMMYFUNCTION("COUNTA(iferror(filter(Status!N:N,Status!A:A=A90,Status!N:N=TRUE)))"),6.0)</f>
        <v>6</v>
      </c>
      <c r="O90" s="25">
        <f>IFERROR(__xludf.DUMMYFUNCTION("COUNTA(iferror(filter(Status!N:N,Status!A:A=A90,Status!N:N=TRUE)))"),6.0)</f>
        <v>6</v>
      </c>
      <c r="P90" s="23">
        <f>IFERROR(__xludf.DUMMYFUNCTION("COUNTA(iferror(filter(Status!P:P,Status!A:A=A90)))"),14.0)</f>
        <v>14</v>
      </c>
      <c r="Q90" s="25">
        <f>IFERROR(__xludf.DUMMYFUNCTION("COUNTA(iferror(filter(Status!P:P,Status!A:A=A90,Status!P:P=TRUE)))"),6.0)</f>
        <v>6</v>
      </c>
      <c r="R90" s="23">
        <f>IFERROR(__xludf.DUMMYFUNCTION("COUNTA(iferror(filter(Status!R:R,Status!A:A=A90)))"),9.0)</f>
        <v>9</v>
      </c>
      <c r="S90" s="25">
        <f>IFERROR(__xludf.DUMMYFUNCTION("COUNTA(iferror(filter(Status!R:R,Status!A:A=A90,Status!R:R=TRUE)))"),9.0)</f>
        <v>9</v>
      </c>
      <c r="V90" s="23" t="str">
        <f>IFERROR(__xludf.DUMMYFUNCTION("if((countif(filter(Status!$C:$C,Status!$A:$A=$A90),CONCATENATE(V$2,""*""))-W90)&gt;0,(countif(filter(Status!$C:$C,Status!$A:$A=$A90),CONCATENATE(V$2,""*""))-W90),"""")"),"")</f>
        <v/>
      </c>
      <c r="W90" s="23">
        <f>IFERROR(__xludf.DUMMYFUNCTION("if(countif(filter(Status!$C:$C,Status!$A:$A=$A90),CONCATENATE(W$2,""*""))&gt;0,countif(filter(Status!$C:$C,Status!$A:$A=$A90),CONCATENATE(W$2,""*"")),"""")"),4.0)</f>
        <v>4</v>
      </c>
      <c r="X90" s="23" t="str">
        <f>IFERROR(__xludf.DUMMYFUNCTION("if(countif(filter(Status!$C:$C,Status!$A:$A=$A90),CONCATENATE(X$2,""*""))&gt;0,countif(filter(Status!$C:$C,Status!$A:$A=$A90),CONCATENATE(X$2,""*"")),"""")"),"")</f>
        <v/>
      </c>
      <c r="Y90" s="23" t="str">
        <f>IFERROR(__xludf.DUMMYFUNCTION("if(countif(filter(Status!$C:$C,Status!$A:$A=$A90),CONCATENATE(Y$2,""*""))&gt;0,countif(filter(Status!$C:$C,Status!$A:$A=$A90),CONCATENATE(Y$2,""*"")),"""")"),"")</f>
        <v/>
      </c>
      <c r="Z90" s="23" t="str">
        <f>IFERROR(__xludf.DUMMYFUNCTION("if(countif(filter(Status!$C:$C,Status!$A:$A=$A90),CONCATENATE(Z$2,""*""))&gt;0,countif(filter(Status!$C:$C,Status!$A:$A=$A90),CONCATENATE(Z$2,""*"")),"""")"),"")</f>
        <v/>
      </c>
      <c r="AA90" s="23">
        <f>IFERROR(__xludf.DUMMYFUNCTION("if((countif(filter(Status!$C:$C,Status!$A:$A=$A90),CONCATENATE(AA$2,""*""))-AB90)&gt;0,(countif(filter(Status!$C:$C,Status!$A:$A=$A90),CONCATENATE(AA$2,""*""))-AB90),"""")"),4.0)</f>
        <v>4</v>
      </c>
      <c r="AB90" s="23">
        <f>IFERROR(__xludf.DUMMYFUNCTION("if(countif(filter(Status!$C:$C,Status!$A:$A=$A90),CONCATENATE(AB$2,""*""))&gt;0,countif(filter(Status!$C:$C,Status!$A:$A=$A90),CONCATENATE(AB$2,""*"")),"""")"),4.0)</f>
        <v>4</v>
      </c>
      <c r="AC90" s="23">
        <f>IFERROR(__xludf.DUMMYFUNCTION("if(countif(filter(Status!$C:$C,Status!$A:$A=$A90),CONCATENATE(AC$2,""*""))&gt;0,countif(filter(Status!$C:$C,Status!$A:$A=$A90),CONCATENATE(AC$2,""*"")),"""")"),1.0)</f>
        <v>1</v>
      </c>
      <c r="AD90" s="23">
        <f>IFERROR(__xludf.DUMMYFUNCTION("if(countif(filter(Status!$C:$C,Status!$A:$A=$A90),CONCATENATE(AD$2,""*""))&gt;0,countif(filter(Status!$C:$C,Status!$A:$A=$A90),CONCATENATE(AD$2,""*"")),"""")"),1.0)</f>
        <v>1</v>
      </c>
      <c r="AE90" s="23" t="str">
        <f>IFERROR(__xludf.DUMMYFUNCTION("if(countif(filter(Status!$C:$C,Status!$A:$A=$A90),CONCATENATE(AE$2,""*""))&gt;0,countif(filter(Status!$C:$C,Status!$A:$A=$A90),CONCATENATE(AE$2,""*"")),"""")"),"")</f>
        <v/>
      </c>
      <c r="AF90" s="23" t="str">
        <f>IFERROR(__xludf.DUMMYFUNCTION("if(countif(filter(Status!$C:$C,Status!$A:$A=$A90),CONCATENATE(AF$2,""*""))&gt;0,countif(filter(Status!$C:$C,Status!$A:$A=$A90),CONCATENATE(AF$2,""*"")),"""")"),"")</f>
        <v/>
      </c>
      <c r="AG90" s="23" t="str">
        <f>IFERROR(__xludf.DUMMYFUNCTION("if(countif(filter(Status!$C:$C,Status!$A:$A=$A90),CONCATENATE(AG$2,""*""))&gt;0,countif(filter(Status!$C:$C,Status!$A:$A=$A90),CONCATENATE(AG$2,""*"")),"""")"),"")</f>
        <v/>
      </c>
      <c r="AH90" s="23" t="str">
        <f>IFERROR(__xludf.DUMMYFUNCTION("if(countif(filter(Status!$C:$C,Status!$A:$A=$A90),CONCATENATE(AH$2,""*""))&gt;0,countif(filter(Status!$C:$C,Status!$A:$A=$A90),CONCATENATE(AH$2,""*"")),"""")"),"")</f>
        <v/>
      </c>
      <c r="AI90" s="23" t="str">
        <f>IFERROR(__xludf.DUMMYFUNCTION("if(countif(filter(Status!$C:$C,Status!$A:$A=$A90),CONCATENATE(AI$2,""*""))&gt;0,countif(filter(Status!$C:$C,Status!$A:$A=$A90),CONCATENATE(AI$2,""*"")),"""")"),"")</f>
        <v/>
      </c>
      <c r="AJ90" s="23" t="str">
        <f>IFERROR(__xludf.DUMMYFUNCTION("if(countif(filter(Status!$C:$C,Status!$A:$A=$A90),CONCATENATE(AJ$2,""*""))&gt;0,countif(filter(Status!$C:$C,Status!$A:$A=$A90),CONCATENATE(AJ$2,""*"")),"""")"),"")</f>
        <v/>
      </c>
      <c r="AK90" s="23" t="str">
        <f>IFERROR(__xludf.DUMMYFUNCTION("if(countif(filter(Status!$C:$C,Status!$A:$A=$A90),CONCATENATE(AK$2,""*""))&gt;0,countif(filter(Status!$C:$C,Status!$A:$A=$A90),CONCATENATE(AK$2,""*"")),"""")"),"")</f>
        <v/>
      </c>
      <c r="AL90" s="23" t="str">
        <f>IFERROR(__xludf.DUMMYFUNCTION("if(countif(filter(Status!$C:$C,Status!$A:$A=$A90),CONCATENATE(AL$2,""*""))&gt;0,countif(filter(Status!$C:$C,Status!$A:$A=$A90),CONCATENATE(AL$2,""*"")),"""")"),"")</f>
        <v/>
      </c>
      <c r="AM90" s="23" t="str">
        <f>IFERROR(__xludf.DUMMYFUNCTION("if(countif(filter(Status!$C:$C,Status!$A:$A=$A90),CONCATENATE(AM$2,""*""))&gt;0,countif(filter(Status!$C:$C,Status!$A:$A=$A90),CONCATENATE(AM$2,""*"")),"""")"),"")</f>
        <v/>
      </c>
      <c r="AN90" s="23" t="str">
        <f>IFERROR(__xludf.DUMMYFUNCTION("if(countif(filter(Status!$C:$C,Status!$A:$A=$A90),CONCATENATE(AN$2,""*""))&gt;0,countif(filter(Status!$C:$C,Status!$A:$A=$A90),CONCATENATE(AN$2,""*"")),"""")"),"")</f>
        <v/>
      </c>
      <c r="AO90" s="23" t="str">
        <f>IFERROR(__xludf.DUMMYFUNCTION("if(countif(filter(Status!$C:$C,Status!$A:$A=$A90),CONCATENATE(AO$2,""*""))&gt;0,countif(filter(Status!$C:$C,Status!$A:$A=$A90),CONCATENATE(AO$2,""*"")),"""")"),"")</f>
        <v/>
      </c>
      <c r="AP90" s="23">
        <f>IFERROR(__xludf.DUMMYFUNCTION("counta(iferror(filter(Status!C:C,Status!A:A=A90)))"),14.0)</f>
        <v>14</v>
      </c>
      <c r="AQ90" s="23">
        <f t="shared" si="6"/>
        <v>14</v>
      </c>
    </row>
    <row r="91">
      <c r="A91" s="1" t="s">
        <v>968</v>
      </c>
      <c r="B91" s="21">
        <f>IFERROR(__xludf.DUMMYFUNCTION("max(filter(Status!E:E,Status!A:A=A91))"),43826.0)</f>
        <v>43826</v>
      </c>
      <c r="C91" s="23">
        <f t="shared" si="1"/>
        <v>0</v>
      </c>
      <c r="D91" s="23">
        <f t="shared" si="2"/>
        <v>1</v>
      </c>
      <c r="E91" s="23">
        <f t="shared" si="3"/>
        <v>1</v>
      </c>
      <c r="F91" s="23">
        <f t="shared" si="4"/>
        <v>0.3846153846</v>
      </c>
      <c r="G91" s="25">
        <f t="shared" si="5"/>
        <v>1</v>
      </c>
      <c r="J91" s="23">
        <f>IFERROR(__xludf.DUMMYFUNCTION("COUNTA(iferror(filter(Status!H:H,Status!A:A=A91)))"),6.0)</f>
        <v>6</v>
      </c>
      <c r="K91" s="25">
        <f>IFERROR(__xludf.DUMMYFUNCTION("COUNTA(iferror(filter(Status!H:H,Status!A:A=A91,Status!H:H=TRUE)))"),0.0)</f>
        <v>0</v>
      </c>
      <c r="L91" s="23">
        <f>IFERROR(__xludf.DUMMYFUNCTION("COUNTA(iferror(filter(Status!L:L,Status!A:A=A91)))"),2.0)</f>
        <v>2</v>
      </c>
      <c r="M91" s="25">
        <f>IFERROR(__xludf.DUMMYFUNCTION("COUNTA(iferror(filter(Status!L:L,Status!A:A=A91,Status!L:L=TRUE)))"),2.0)</f>
        <v>2</v>
      </c>
      <c r="N91" s="23">
        <f>IFERROR(__xludf.DUMMYFUNCTION("COUNTA(iferror(filter(Status!N:N,Status!A:A=A91,Status!N:N=TRUE)))"),5.0)</f>
        <v>5</v>
      </c>
      <c r="O91" s="25">
        <f>IFERROR(__xludf.DUMMYFUNCTION("COUNTA(iferror(filter(Status!N:N,Status!A:A=A91,Status!N:N=TRUE)))"),5.0)</f>
        <v>5</v>
      </c>
      <c r="P91" s="23">
        <f>IFERROR(__xludf.DUMMYFUNCTION("COUNTA(iferror(filter(Status!P:P,Status!A:A=A91)))"),13.0)</f>
        <v>13</v>
      </c>
      <c r="Q91" s="25">
        <f>IFERROR(__xludf.DUMMYFUNCTION("COUNTA(iferror(filter(Status!P:P,Status!A:A=A91,Status!P:P=TRUE)))"),5.0)</f>
        <v>5</v>
      </c>
      <c r="R91" s="23">
        <f>IFERROR(__xludf.DUMMYFUNCTION("COUNTA(iferror(filter(Status!R:R,Status!A:A=A91)))"),9.0)</f>
        <v>9</v>
      </c>
      <c r="S91" s="25">
        <f>IFERROR(__xludf.DUMMYFUNCTION("COUNTA(iferror(filter(Status!R:R,Status!A:A=A91,Status!R:R=TRUE)))"),9.0)</f>
        <v>9</v>
      </c>
      <c r="V91" s="23" t="str">
        <f>IFERROR(__xludf.DUMMYFUNCTION("if((countif(filter(Status!$C:$C,Status!$A:$A=$A91),CONCATENATE(V$2,""*""))-W91)&gt;0,(countif(filter(Status!$C:$C,Status!$A:$A=$A91),CONCATENATE(V$2,""*""))-W91),"""")"),"")</f>
        <v/>
      </c>
      <c r="W91" s="23">
        <f>IFERROR(__xludf.DUMMYFUNCTION("if(countif(filter(Status!$C:$C,Status!$A:$A=$A91),CONCATENATE(W$2,""*""))&gt;0,countif(filter(Status!$C:$C,Status!$A:$A=$A91),CONCATENATE(W$2,""*"")),"""")"),2.0)</f>
        <v>2</v>
      </c>
      <c r="X91" s="23">
        <f>IFERROR(__xludf.DUMMYFUNCTION("if(countif(filter(Status!$C:$C,Status!$A:$A=$A91),CONCATENATE(X$2,""*""))&gt;0,countif(filter(Status!$C:$C,Status!$A:$A=$A91),CONCATENATE(X$2,""*"")),"""")"),2.0)</f>
        <v>2</v>
      </c>
      <c r="Y91" s="23" t="str">
        <f>IFERROR(__xludf.DUMMYFUNCTION("if(countif(filter(Status!$C:$C,Status!$A:$A=$A91),CONCATENATE(Y$2,""*""))&gt;0,countif(filter(Status!$C:$C,Status!$A:$A=$A91),CONCATENATE(Y$2,""*"")),"""")"),"")</f>
        <v/>
      </c>
      <c r="Z91" s="23" t="str">
        <f>IFERROR(__xludf.DUMMYFUNCTION("if(countif(filter(Status!$C:$C,Status!$A:$A=$A91),CONCATENATE(Z$2,""*""))&gt;0,countif(filter(Status!$C:$C,Status!$A:$A=$A91),CONCATENATE(Z$2,""*"")),"""")"),"")</f>
        <v/>
      </c>
      <c r="AA91" s="23">
        <f>IFERROR(__xludf.DUMMYFUNCTION("if((countif(filter(Status!$C:$C,Status!$A:$A=$A91),CONCATENATE(AA$2,""*""))-AB91)&gt;0,(countif(filter(Status!$C:$C,Status!$A:$A=$A91),CONCATENATE(AA$2,""*""))-AB91),"""")"),4.0)</f>
        <v>4</v>
      </c>
      <c r="AB91" s="23">
        <f>IFERROR(__xludf.DUMMYFUNCTION("if(countif(filter(Status!$C:$C,Status!$A:$A=$A91),CONCATENATE(AB$2,""*""))&gt;0,countif(filter(Status!$C:$C,Status!$A:$A=$A91),CONCATENATE(AB$2,""*"")),"""")"),4.0)</f>
        <v>4</v>
      </c>
      <c r="AC91" s="23">
        <f>IFERROR(__xludf.DUMMYFUNCTION("if(countif(filter(Status!$C:$C,Status!$A:$A=$A91),CONCATENATE(AC$2,""*""))&gt;0,countif(filter(Status!$C:$C,Status!$A:$A=$A91),CONCATENATE(AC$2,""*"")),"""")"),1.0)</f>
        <v>1</v>
      </c>
      <c r="AD91" s="23" t="str">
        <f>IFERROR(__xludf.DUMMYFUNCTION("if(countif(filter(Status!$C:$C,Status!$A:$A=$A91),CONCATENATE(AD$2,""*""))&gt;0,countif(filter(Status!$C:$C,Status!$A:$A=$A91),CONCATENATE(AD$2,""*"")),"""")"),"")</f>
        <v/>
      </c>
      <c r="AE91" s="23" t="str">
        <f>IFERROR(__xludf.DUMMYFUNCTION("if(countif(filter(Status!$C:$C,Status!$A:$A=$A91),CONCATENATE(AE$2,""*""))&gt;0,countif(filter(Status!$C:$C,Status!$A:$A=$A91),CONCATENATE(AE$2,""*"")),"""")"),"")</f>
        <v/>
      </c>
      <c r="AF91" s="23" t="str">
        <f>IFERROR(__xludf.DUMMYFUNCTION("if(countif(filter(Status!$C:$C,Status!$A:$A=$A91),CONCATENATE(AF$2,""*""))&gt;0,countif(filter(Status!$C:$C,Status!$A:$A=$A91),CONCATENATE(AF$2,""*"")),"""")"),"")</f>
        <v/>
      </c>
      <c r="AG91" s="23" t="str">
        <f>IFERROR(__xludf.DUMMYFUNCTION("if(countif(filter(Status!$C:$C,Status!$A:$A=$A91),CONCATENATE(AG$2,""*""))&gt;0,countif(filter(Status!$C:$C,Status!$A:$A=$A91),CONCATENATE(AG$2,""*"")),"""")"),"")</f>
        <v/>
      </c>
      <c r="AH91" s="23" t="str">
        <f>IFERROR(__xludf.DUMMYFUNCTION("if(countif(filter(Status!$C:$C,Status!$A:$A=$A91),CONCATENATE(AH$2,""*""))&gt;0,countif(filter(Status!$C:$C,Status!$A:$A=$A91),CONCATENATE(AH$2,""*"")),"""")"),"")</f>
        <v/>
      </c>
      <c r="AI91" s="23" t="str">
        <f>IFERROR(__xludf.DUMMYFUNCTION("if(countif(filter(Status!$C:$C,Status!$A:$A=$A91),CONCATENATE(AI$2,""*""))&gt;0,countif(filter(Status!$C:$C,Status!$A:$A=$A91),CONCATENATE(AI$2,""*"")),"""")"),"")</f>
        <v/>
      </c>
      <c r="AJ91" s="23" t="str">
        <f>IFERROR(__xludf.DUMMYFUNCTION("if(countif(filter(Status!$C:$C,Status!$A:$A=$A91),CONCATENATE(AJ$2,""*""))&gt;0,countif(filter(Status!$C:$C,Status!$A:$A=$A91),CONCATENATE(AJ$2,""*"")),"""")"),"")</f>
        <v/>
      </c>
      <c r="AK91" s="23" t="str">
        <f>IFERROR(__xludf.DUMMYFUNCTION("if(countif(filter(Status!$C:$C,Status!$A:$A=$A91),CONCATENATE(AK$2,""*""))&gt;0,countif(filter(Status!$C:$C,Status!$A:$A=$A91),CONCATENATE(AK$2,""*"")),"""")"),"")</f>
        <v/>
      </c>
      <c r="AL91" s="23" t="str">
        <f>IFERROR(__xludf.DUMMYFUNCTION("if(countif(filter(Status!$C:$C,Status!$A:$A=$A91),CONCATENATE(AL$2,""*""))&gt;0,countif(filter(Status!$C:$C,Status!$A:$A=$A91),CONCATENATE(AL$2,""*"")),"""")"),"")</f>
        <v/>
      </c>
      <c r="AM91" s="23" t="str">
        <f>IFERROR(__xludf.DUMMYFUNCTION("if(countif(filter(Status!$C:$C,Status!$A:$A=$A91),CONCATENATE(AM$2,""*""))&gt;0,countif(filter(Status!$C:$C,Status!$A:$A=$A91),CONCATENATE(AM$2,""*"")),"""")"),"")</f>
        <v/>
      </c>
      <c r="AN91" s="23" t="str">
        <f>IFERROR(__xludf.DUMMYFUNCTION("if(countif(filter(Status!$C:$C,Status!$A:$A=$A91),CONCATENATE(AN$2,""*""))&gt;0,countif(filter(Status!$C:$C,Status!$A:$A=$A91),CONCATENATE(AN$2,""*"")),"""")"),"")</f>
        <v/>
      </c>
      <c r="AO91" s="23" t="str">
        <f>IFERROR(__xludf.DUMMYFUNCTION("if(countif(filter(Status!$C:$C,Status!$A:$A=$A91),CONCATENATE(AO$2,""*""))&gt;0,countif(filter(Status!$C:$C,Status!$A:$A=$A91),CONCATENATE(AO$2,""*"")),"""")"),"")</f>
        <v/>
      </c>
      <c r="AP91" s="23">
        <f>IFERROR(__xludf.DUMMYFUNCTION("counta(iferror(filter(Status!C:C,Status!A:A=A91)))"),13.0)</f>
        <v>13</v>
      </c>
      <c r="AQ91" s="23">
        <f t="shared" si="6"/>
        <v>13</v>
      </c>
    </row>
    <row r="92">
      <c r="A92" s="1" t="s">
        <v>971</v>
      </c>
      <c r="B92" s="21">
        <f>IFERROR(__xludf.DUMMYFUNCTION("max(filter(Status!E:E,Status!A:A=A92))"),43829.0)</f>
        <v>43829</v>
      </c>
      <c r="C92" s="23">
        <f t="shared" si="1"/>
        <v>0</v>
      </c>
      <c r="D92" s="23">
        <f t="shared" si="2"/>
        <v>1</v>
      </c>
      <c r="E92" s="23">
        <f t="shared" si="3"/>
        <v>1</v>
      </c>
      <c r="F92" s="23">
        <f t="shared" si="4"/>
        <v>0.3846153846</v>
      </c>
      <c r="G92" s="25">
        <f t="shared" si="5"/>
        <v>1</v>
      </c>
      <c r="J92" s="23">
        <f>IFERROR(__xludf.DUMMYFUNCTION("COUNTA(iferror(filter(Status!H:H,Status!A:A=A92)))"),8.0)</f>
        <v>8</v>
      </c>
      <c r="K92" s="25">
        <f>IFERROR(__xludf.DUMMYFUNCTION("COUNTA(iferror(filter(Status!H:H,Status!A:A=A92,Status!H:H=TRUE)))"),0.0)</f>
        <v>0</v>
      </c>
      <c r="L92" s="23">
        <f>IFERROR(__xludf.DUMMYFUNCTION("COUNTA(iferror(filter(Status!L:L,Status!A:A=A92)))"),4.0)</f>
        <v>4</v>
      </c>
      <c r="M92" s="25">
        <f>IFERROR(__xludf.DUMMYFUNCTION("COUNTA(iferror(filter(Status!L:L,Status!A:A=A92,Status!L:L=TRUE)))"),4.0)</f>
        <v>4</v>
      </c>
      <c r="N92" s="23">
        <f>IFERROR(__xludf.DUMMYFUNCTION("COUNTA(iferror(filter(Status!N:N,Status!A:A=A92,Status!N:N=TRUE)))"),5.0)</f>
        <v>5</v>
      </c>
      <c r="O92" s="25">
        <f>IFERROR(__xludf.DUMMYFUNCTION("COUNTA(iferror(filter(Status!N:N,Status!A:A=A92,Status!N:N=TRUE)))"),5.0)</f>
        <v>5</v>
      </c>
      <c r="P92" s="23">
        <f>IFERROR(__xludf.DUMMYFUNCTION("COUNTA(iferror(filter(Status!P:P,Status!A:A=A92)))"),13.0)</f>
        <v>13</v>
      </c>
      <c r="Q92" s="25">
        <f>IFERROR(__xludf.DUMMYFUNCTION("COUNTA(iferror(filter(Status!P:P,Status!A:A=A92,Status!P:P=TRUE)))"),5.0)</f>
        <v>5</v>
      </c>
      <c r="R92" s="23">
        <f>IFERROR(__xludf.DUMMYFUNCTION("COUNTA(iferror(filter(Status!R:R,Status!A:A=A92)))"),9.0)</f>
        <v>9</v>
      </c>
      <c r="S92" s="25">
        <f>IFERROR(__xludf.DUMMYFUNCTION("COUNTA(iferror(filter(Status!R:R,Status!A:A=A92,Status!R:R=TRUE)))"),9.0)</f>
        <v>9</v>
      </c>
      <c r="V92" s="23" t="str">
        <f>IFERROR(__xludf.DUMMYFUNCTION("if((countif(filter(Status!$C:$C,Status!$A:$A=$A92),CONCATENATE(V$2,""*""))-W92)&gt;0,(countif(filter(Status!$C:$C,Status!$A:$A=$A92),CONCATENATE(V$2,""*""))-W92),"""")"),"")</f>
        <v/>
      </c>
      <c r="W92" s="23">
        <f>IFERROR(__xludf.DUMMYFUNCTION("if(countif(filter(Status!$C:$C,Status!$A:$A=$A92),CONCATENATE(W$2,""*""))&gt;0,countif(filter(Status!$C:$C,Status!$A:$A=$A92),CONCATENATE(W$2,""*"")),"""")"),4.0)</f>
        <v>4</v>
      </c>
      <c r="X92" s="23" t="str">
        <f>IFERROR(__xludf.DUMMYFUNCTION("if(countif(filter(Status!$C:$C,Status!$A:$A=$A92),CONCATENATE(X$2,""*""))&gt;0,countif(filter(Status!$C:$C,Status!$A:$A=$A92),CONCATENATE(X$2,""*"")),"""")"),"")</f>
        <v/>
      </c>
      <c r="Y92" s="23" t="str">
        <f>IFERROR(__xludf.DUMMYFUNCTION("if(countif(filter(Status!$C:$C,Status!$A:$A=$A92),CONCATENATE(Y$2,""*""))&gt;0,countif(filter(Status!$C:$C,Status!$A:$A=$A92),CONCATENATE(Y$2,""*"")),"""")"),"")</f>
        <v/>
      </c>
      <c r="Z92" s="23" t="str">
        <f>IFERROR(__xludf.DUMMYFUNCTION("if(countif(filter(Status!$C:$C,Status!$A:$A=$A92),CONCATENATE(Z$2,""*""))&gt;0,countif(filter(Status!$C:$C,Status!$A:$A=$A92),CONCATENATE(Z$2,""*"")),"""")"),"")</f>
        <v/>
      </c>
      <c r="AA92" s="23">
        <f>IFERROR(__xludf.DUMMYFUNCTION("if((countif(filter(Status!$C:$C,Status!$A:$A=$A92),CONCATENATE(AA$2,""*""))-AB92)&gt;0,(countif(filter(Status!$C:$C,Status!$A:$A=$A92),CONCATENATE(AA$2,""*""))-AB92),"""")"),4.0)</f>
        <v>4</v>
      </c>
      <c r="AB92" s="23">
        <f>IFERROR(__xludf.DUMMYFUNCTION("if(countif(filter(Status!$C:$C,Status!$A:$A=$A92),CONCATENATE(AB$2,""*""))&gt;0,countif(filter(Status!$C:$C,Status!$A:$A=$A92),CONCATENATE(AB$2,""*"")),"""")"),4.0)</f>
        <v>4</v>
      </c>
      <c r="AC92" s="23">
        <f>IFERROR(__xludf.DUMMYFUNCTION("if(countif(filter(Status!$C:$C,Status!$A:$A=$A92),CONCATENATE(AC$2,""*""))&gt;0,countif(filter(Status!$C:$C,Status!$A:$A=$A92),CONCATENATE(AC$2,""*"")),"""")"),1.0)</f>
        <v>1</v>
      </c>
      <c r="AD92" s="23" t="str">
        <f>IFERROR(__xludf.DUMMYFUNCTION("if(countif(filter(Status!$C:$C,Status!$A:$A=$A92),CONCATENATE(AD$2,""*""))&gt;0,countif(filter(Status!$C:$C,Status!$A:$A=$A92),CONCATENATE(AD$2,""*"")),"""")"),"")</f>
        <v/>
      </c>
      <c r="AE92" s="23" t="str">
        <f>IFERROR(__xludf.DUMMYFUNCTION("if(countif(filter(Status!$C:$C,Status!$A:$A=$A92),CONCATENATE(AE$2,""*""))&gt;0,countif(filter(Status!$C:$C,Status!$A:$A=$A92),CONCATENATE(AE$2,""*"")),"""")"),"")</f>
        <v/>
      </c>
      <c r="AF92" s="23" t="str">
        <f>IFERROR(__xludf.DUMMYFUNCTION("if(countif(filter(Status!$C:$C,Status!$A:$A=$A92),CONCATENATE(AF$2,""*""))&gt;0,countif(filter(Status!$C:$C,Status!$A:$A=$A92),CONCATENATE(AF$2,""*"")),"""")"),"")</f>
        <v/>
      </c>
      <c r="AG92" s="23" t="str">
        <f>IFERROR(__xludf.DUMMYFUNCTION("if(countif(filter(Status!$C:$C,Status!$A:$A=$A92),CONCATENATE(AG$2,""*""))&gt;0,countif(filter(Status!$C:$C,Status!$A:$A=$A92),CONCATENATE(AG$2,""*"")),"""")"),"")</f>
        <v/>
      </c>
      <c r="AH92" s="23" t="str">
        <f>IFERROR(__xludf.DUMMYFUNCTION("if(countif(filter(Status!$C:$C,Status!$A:$A=$A92),CONCATENATE(AH$2,""*""))&gt;0,countif(filter(Status!$C:$C,Status!$A:$A=$A92),CONCATENATE(AH$2,""*"")),"""")"),"")</f>
        <v/>
      </c>
      <c r="AI92" s="23" t="str">
        <f>IFERROR(__xludf.DUMMYFUNCTION("if(countif(filter(Status!$C:$C,Status!$A:$A=$A92),CONCATENATE(AI$2,""*""))&gt;0,countif(filter(Status!$C:$C,Status!$A:$A=$A92),CONCATENATE(AI$2,""*"")),"""")"),"")</f>
        <v/>
      </c>
      <c r="AJ92" s="23" t="str">
        <f>IFERROR(__xludf.DUMMYFUNCTION("if(countif(filter(Status!$C:$C,Status!$A:$A=$A92),CONCATENATE(AJ$2,""*""))&gt;0,countif(filter(Status!$C:$C,Status!$A:$A=$A92),CONCATENATE(AJ$2,""*"")),"""")"),"")</f>
        <v/>
      </c>
      <c r="AK92" s="23" t="str">
        <f>IFERROR(__xludf.DUMMYFUNCTION("if(countif(filter(Status!$C:$C,Status!$A:$A=$A92),CONCATENATE(AK$2,""*""))&gt;0,countif(filter(Status!$C:$C,Status!$A:$A=$A92),CONCATENATE(AK$2,""*"")),"""")"),"")</f>
        <v/>
      </c>
      <c r="AL92" s="23" t="str">
        <f>IFERROR(__xludf.DUMMYFUNCTION("if(countif(filter(Status!$C:$C,Status!$A:$A=$A92),CONCATENATE(AL$2,""*""))&gt;0,countif(filter(Status!$C:$C,Status!$A:$A=$A92),CONCATENATE(AL$2,""*"")),"""")"),"")</f>
        <v/>
      </c>
      <c r="AM92" s="23" t="str">
        <f>IFERROR(__xludf.DUMMYFUNCTION("if(countif(filter(Status!$C:$C,Status!$A:$A=$A92),CONCATENATE(AM$2,""*""))&gt;0,countif(filter(Status!$C:$C,Status!$A:$A=$A92),CONCATENATE(AM$2,""*"")),"""")"),"")</f>
        <v/>
      </c>
      <c r="AN92" s="23" t="str">
        <f>IFERROR(__xludf.DUMMYFUNCTION("if(countif(filter(Status!$C:$C,Status!$A:$A=$A92),CONCATENATE(AN$2,""*""))&gt;0,countif(filter(Status!$C:$C,Status!$A:$A=$A92),CONCATENATE(AN$2,""*"")),"""")"),"")</f>
        <v/>
      </c>
      <c r="AO92" s="23" t="str">
        <f>IFERROR(__xludf.DUMMYFUNCTION("if(countif(filter(Status!$C:$C,Status!$A:$A=$A92),CONCATENATE(AO$2,""*""))&gt;0,countif(filter(Status!$C:$C,Status!$A:$A=$A92),CONCATENATE(AO$2,""*"")),"""")"),"")</f>
        <v/>
      </c>
      <c r="AP92" s="23">
        <f>IFERROR(__xludf.DUMMYFUNCTION("counta(iferror(filter(Status!C:C,Status!A:A=A92)))"),13.0)</f>
        <v>13</v>
      </c>
      <c r="AQ92" s="23">
        <f t="shared" si="6"/>
        <v>13</v>
      </c>
    </row>
    <row r="93">
      <c r="A93" s="1" t="s">
        <v>974</v>
      </c>
      <c r="B93" s="21">
        <f>IFERROR(__xludf.DUMMYFUNCTION("max(filter(Status!E:E,Status!A:A=A93))"),43830.0)</f>
        <v>43830</v>
      </c>
      <c r="C93" s="23">
        <f t="shared" si="1"/>
        <v>0</v>
      </c>
      <c r="D93" s="23">
        <f t="shared" si="2"/>
        <v>1</v>
      </c>
      <c r="E93" s="23">
        <f t="shared" si="3"/>
        <v>1</v>
      </c>
      <c r="F93" s="23">
        <f t="shared" si="4"/>
        <v>0.5</v>
      </c>
      <c r="G93" s="25">
        <f t="shared" si="5"/>
        <v>0.7777777778</v>
      </c>
      <c r="J93" s="23">
        <f>IFERROR(__xludf.DUMMYFUNCTION("COUNTA(iferror(filter(Status!H:H,Status!A:A=A93)))"),4.0)</f>
        <v>4</v>
      </c>
      <c r="K93" s="25">
        <f>IFERROR(__xludf.DUMMYFUNCTION("COUNTA(iferror(filter(Status!H:H,Status!A:A=A93,Status!H:H=TRUE)))"),0.0)</f>
        <v>0</v>
      </c>
      <c r="L93" s="23">
        <f>IFERROR(__xludf.DUMMYFUNCTION("COUNTA(iferror(filter(Status!L:L,Status!A:A=A93)))"),1.0)</f>
        <v>1</v>
      </c>
      <c r="M93" s="25">
        <f>IFERROR(__xludf.DUMMYFUNCTION("COUNTA(iferror(filter(Status!L:L,Status!A:A=A93,Status!L:L=TRUE)))"),1.0)</f>
        <v>1</v>
      </c>
      <c r="N93" s="23">
        <f>IFERROR(__xludf.DUMMYFUNCTION("COUNTA(iferror(filter(Status!N:N,Status!A:A=A93,Status!N:N=TRUE)))"),6.0)</f>
        <v>6</v>
      </c>
      <c r="O93" s="25">
        <f>IFERROR(__xludf.DUMMYFUNCTION("COUNTA(iferror(filter(Status!N:N,Status!A:A=A93,Status!N:N=TRUE)))"),6.0)</f>
        <v>6</v>
      </c>
      <c r="P93" s="23">
        <f>IFERROR(__xludf.DUMMYFUNCTION("COUNTA(iferror(filter(Status!P:P,Status!A:A=A93)))"),12.0)</f>
        <v>12</v>
      </c>
      <c r="Q93" s="25">
        <f>IFERROR(__xludf.DUMMYFUNCTION("COUNTA(iferror(filter(Status!P:P,Status!A:A=A93,Status!P:P=TRUE)))"),6.0)</f>
        <v>6</v>
      </c>
      <c r="R93" s="23">
        <f>IFERROR(__xludf.DUMMYFUNCTION("COUNTA(iferror(filter(Status!R:R,Status!A:A=A93)))"),9.0)</f>
        <v>9</v>
      </c>
      <c r="S93" s="25">
        <f>IFERROR(__xludf.DUMMYFUNCTION("COUNTA(iferror(filter(Status!R:R,Status!A:A=A93,Status!R:R=TRUE)))"),7.0)</f>
        <v>7</v>
      </c>
      <c r="V93" s="23" t="str">
        <f>IFERROR(__xludf.DUMMYFUNCTION("if((countif(filter(Status!$C:$C,Status!$A:$A=$A93),CONCATENATE(V$2,""*""))-W93)&gt;0,(countif(filter(Status!$C:$C,Status!$A:$A=$A93),CONCATENATE(V$2,""*""))-W93),"""")"),"")</f>
        <v/>
      </c>
      <c r="W93" s="23" t="str">
        <f>IFERROR(__xludf.DUMMYFUNCTION("if(countif(filter(Status!$C:$C,Status!$A:$A=$A93),CONCATENATE(W$2,""*""))&gt;0,countif(filter(Status!$C:$C,Status!$A:$A=$A93),CONCATENATE(W$2,""*"")),"""")"),"")</f>
        <v/>
      </c>
      <c r="X93" s="23">
        <f>IFERROR(__xludf.DUMMYFUNCTION("if(countif(filter(Status!$C:$C,Status!$A:$A=$A93),CONCATENATE(X$2,""*""))&gt;0,countif(filter(Status!$C:$C,Status!$A:$A=$A93),CONCATENATE(X$2,""*"")),"""")"),3.0)</f>
        <v>3</v>
      </c>
      <c r="Y93" s="23" t="str">
        <f>IFERROR(__xludf.DUMMYFUNCTION("if(countif(filter(Status!$C:$C,Status!$A:$A=$A93),CONCATENATE(Y$2,""*""))&gt;0,countif(filter(Status!$C:$C,Status!$A:$A=$A93),CONCATENATE(Y$2,""*"")),"""")"),"")</f>
        <v/>
      </c>
      <c r="Z93" s="23" t="str">
        <f>IFERROR(__xludf.DUMMYFUNCTION("if(countif(filter(Status!$C:$C,Status!$A:$A=$A93),CONCATENATE(Z$2,""*""))&gt;0,countif(filter(Status!$C:$C,Status!$A:$A=$A93),CONCATENATE(Z$2,""*"")),"""")"),"")</f>
        <v/>
      </c>
      <c r="AA93" s="23">
        <f>IFERROR(__xludf.DUMMYFUNCTION("if((countif(filter(Status!$C:$C,Status!$A:$A=$A93),CONCATENATE(AA$2,""*""))-AB93)&gt;0,(countif(filter(Status!$C:$C,Status!$A:$A=$A93),CONCATENATE(AA$2,""*""))-AB93),"""")"),3.0)</f>
        <v>3</v>
      </c>
      <c r="AB93" s="23">
        <f>IFERROR(__xludf.DUMMYFUNCTION("if(countif(filter(Status!$C:$C,Status!$A:$A=$A93),CONCATENATE(AB$2,""*""))&gt;0,countif(filter(Status!$C:$C,Status!$A:$A=$A93),CONCATENATE(AB$2,""*"")),"""")"),3.0)</f>
        <v>3</v>
      </c>
      <c r="AC93" s="23">
        <f>IFERROR(__xludf.DUMMYFUNCTION("if(countif(filter(Status!$C:$C,Status!$A:$A=$A93),CONCATENATE(AC$2,""*""))&gt;0,countif(filter(Status!$C:$C,Status!$A:$A=$A93),CONCATENATE(AC$2,""*"")),"""")"),1.0)</f>
        <v>1</v>
      </c>
      <c r="AD93" s="23" t="str">
        <f>IFERROR(__xludf.DUMMYFUNCTION("if(countif(filter(Status!$C:$C,Status!$A:$A=$A93),CONCATENATE(AD$2,""*""))&gt;0,countif(filter(Status!$C:$C,Status!$A:$A=$A93),CONCATENATE(AD$2,""*"")),"""")"),"")</f>
        <v/>
      </c>
      <c r="AE93" s="23" t="str">
        <f>IFERROR(__xludf.DUMMYFUNCTION("if(countif(filter(Status!$C:$C,Status!$A:$A=$A93),CONCATENATE(AE$2,""*""))&gt;0,countif(filter(Status!$C:$C,Status!$A:$A=$A93),CONCATENATE(AE$2,""*"")),"""")"),"")</f>
        <v/>
      </c>
      <c r="AF93" s="23">
        <f>IFERROR(__xludf.DUMMYFUNCTION("if(countif(filter(Status!$C:$C,Status!$A:$A=$A93),CONCATENATE(AF$2,""*""))&gt;0,countif(filter(Status!$C:$C,Status!$A:$A=$A93),CONCATENATE(AF$2,""*"")),"""")"),2.0)</f>
        <v>2</v>
      </c>
      <c r="AG93" s="23" t="str">
        <f>IFERROR(__xludf.DUMMYFUNCTION("if(countif(filter(Status!$C:$C,Status!$A:$A=$A93),CONCATENATE(AG$2,""*""))&gt;0,countif(filter(Status!$C:$C,Status!$A:$A=$A93),CONCATENATE(AG$2,""*"")),"""")"),"")</f>
        <v/>
      </c>
      <c r="AH93" s="23" t="str">
        <f>IFERROR(__xludf.DUMMYFUNCTION("if(countif(filter(Status!$C:$C,Status!$A:$A=$A93),CONCATENATE(AH$2,""*""))&gt;0,countif(filter(Status!$C:$C,Status!$A:$A=$A93),CONCATENATE(AH$2,""*"")),"""")"),"")</f>
        <v/>
      </c>
      <c r="AI93" s="23" t="str">
        <f>IFERROR(__xludf.DUMMYFUNCTION("if(countif(filter(Status!$C:$C,Status!$A:$A=$A93),CONCATENATE(AI$2,""*""))&gt;0,countif(filter(Status!$C:$C,Status!$A:$A=$A93),CONCATENATE(AI$2,""*"")),"""")"),"")</f>
        <v/>
      </c>
      <c r="AJ93" s="23" t="str">
        <f>IFERROR(__xludf.DUMMYFUNCTION("if(countif(filter(Status!$C:$C,Status!$A:$A=$A93),CONCATENATE(AJ$2,""*""))&gt;0,countif(filter(Status!$C:$C,Status!$A:$A=$A93),CONCATENATE(AJ$2,""*"")),"""")"),"")</f>
        <v/>
      </c>
      <c r="AK93" s="23" t="str">
        <f>IFERROR(__xludf.DUMMYFUNCTION("if(countif(filter(Status!$C:$C,Status!$A:$A=$A93),CONCATENATE(AK$2,""*""))&gt;0,countif(filter(Status!$C:$C,Status!$A:$A=$A93),CONCATENATE(AK$2,""*"")),"""")"),"")</f>
        <v/>
      </c>
      <c r="AL93" s="23" t="str">
        <f>IFERROR(__xludf.DUMMYFUNCTION("if(countif(filter(Status!$C:$C,Status!$A:$A=$A93),CONCATENATE(AL$2,""*""))&gt;0,countif(filter(Status!$C:$C,Status!$A:$A=$A93),CONCATENATE(AL$2,""*"")),"""")"),"")</f>
        <v/>
      </c>
      <c r="AM93" s="23" t="str">
        <f>IFERROR(__xludf.DUMMYFUNCTION("if(countif(filter(Status!$C:$C,Status!$A:$A=$A93),CONCATENATE(AM$2,""*""))&gt;0,countif(filter(Status!$C:$C,Status!$A:$A=$A93),CONCATENATE(AM$2,""*"")),"""")"),"")</f>
        <v/>
      </c>
      <c r="AN93" s="23" t="str">
        <f>IFERROR(__xludf.DUMMYFUNCTION("if(countif(filter(Status!$C:$C,Status!$A:$A=$A93),CONCATENATE(AN$2,""*""))&gt;0,countif(filter(Status!$C:$C,Status!$A:$A=$A93),CONCATENATE(AN$2,""*"")),"""")"),"")</f>
        <v/>
      </c>
      <c r="AO93" s="23" t="str">
        <f>IFERROR(__xludf.DUMMYFUNCTION("if(countif(filter(Status!$C:$C,Status!$A:$A=$A93),CONCATENATE(AO$2,""*""))&gt;0,countif(filter(Status!$C:$C,Status!$A:$A=$A93),CONCATENATE(AO$2,""*"")),"""")"),"")</f>
        <v/>
      </c>
      <c r="AP93" s="23">
        <f>IFERROR(__xludf.DUMMYFUNCTION("counta(iferror(filter(Status!C:C,Status!A:A=A93)))"),12.0)</f>
        <v>12</v>
      </c>
      <c r="AQ93" s="23">
        <f t="shared" si="6"/>
        <v>12</v>
      </c>
    </row>
    <row r="94">
      <c r="A94" s="1" t="s">
        <v>977</v>
      </c>
      <c r="B94" s="21">
        <f>IFERROR(__xludf.DUMMYFUNCTION("max(filter(Status!E:E,Status!A:A=A94))"),43831.0)</f>
        <v>43831</v>
      </c>
      <c r="C94" s="23">
        <f t="shared" si="1"/>
        <v>0</v>
      </c>
      <c r="D94" s="23">
        <f t="shared" si="2"/>
        <v>0</v>
      </c>
      <c r="E94" s="23">
        <f t="shared" si="3"/>
        <v>1</v>
      </c>
      <c r="F94" s="23">
        <f t="shared" si="4"/>
        <v>0.3333333333</v>
      </c>
      <c r="G94" s="25">
        <f t="shared" si="5"/>
        <v>1</v>
      </c>
      <c r="J94" s="23">
        <f>IFERROR(__xludf.DUMMYFUNCTION("COUNTA(iferror(filter(Status!H:H,Status!A:A=A94)))"),2.0)</f>
        <v>2</v>
      </c>
      <c r="K94" s="25">
        <f>IFERROR(__xludf.DUMMYFUNCTION("COUNTA(iferror(filter(Status!H:H,Status!A:A=A94,Status!H:H=TRUE)))"),0.0)</f>
        <v>0</v>
      </c>
      <c r="L94" s="23">
        <f>IFERROR(__xludf.DUMMYFUNCTION("COUNTA(iferror(filter(Status!L:L,Status!A:A=A94)))"),1.0)</f>
        <v>1</v>
      </c>
      <c r="M94" s="25">
        <f>IFERROR(__xludf.DUMMYFUNCTION("COUNTA(iferror(filter(Status!L:L,Status!A:A=A94,Status!L:L=TRUE)))"),0.0)</f>
        <v>0</v>
      </c>
      <c r="N94" s="23">
        <f>IFERROR(__xludf.DUMMYFUNCTION("COUNTA(iferror(filter(Status!N:N,Status!A:A=A94,Status!N:N=TRUE)))"),2.0)</f>
        <v>2</v>
      </c>
      <c r="O94" s="25">
        <f>IFERROR(__xludf.DUMMYFUNCTION("COUNTA(iferror(filter(Status!N:N,Status!A:A=A94,Status!N:N=TRUE)))"),2.0)</f>
        <v>2</v>
      </c>
      <c r="P94" s="23">
        <f>IFERROR(__xludf.DUMMYFUNCTION("COUNTA(iferror(filter(Status!P:P,Status!A:A=A94)))"),3.0)</f>
        <v>3</v>
      </c>
      <c r="Q94" s="25">
        <f>IFERROR(__xludf.DUMMYFUNCTION("COUNTA(iferror(filter(Status!P:P,Status!A:A=A94,Status!P:P=TRUE)))"),1.0)</f>
        <v>1</v>
      </c>
      <c r="R94" s="23">
        <f>IFERROR(__xludf.DUMMYFUNCTION("COUNTA(iferror(filter(Status!R:R,Status!A:A=A94)))"),1.0)</f>
        <v>1</v>
      </c>
      <c r="S94" s="25">
        <f>IFERROR(__xludf.DUMMYFUNCTION("COUNTA(iferror(filter(Status!R:R,Status!A:A=A94,Status!R:R=TRUE)))"),1.0)</f>
        <v>1</v>
      </c>
      <c r="V94" s="23" t="str">
        <f>IFERROR(__xludf.DUMMYFUNCTION("if((countif(filter(Status!$C:$C,Status!$A:$A=$A94),CONCATENATE(V$2,""*""))-W94)&gt;0,(countif(filter(Status!$C:$C,Status!$A:$A=$A94),CONCATENATE(V$2,""*""))-W94),"""")"),"")</f>
        <v/>
      </c>
      <c r="W94" s="23" t="str">
        <f>IFERROR(__xludf.DUMMYFUNCTION("if(countif(filter(Status!$C:$C,Status!$A:$A=$A94),CONCATENATE(W$2,""*""))&gt;0,countif(filter(Status!$C:$C,Status!$A:$A=$A94),CONCATENATE(W$2,""*"")),"""")"),"")</f>
        <v/>
      </c>
      <c r="X94" s="23" t="str">
        <f>IFERROR(__xludf.DUMMYFUNCTION("if(countif(filter(Status!$C:$C,Status!$A:$A=$A94),CONCATENATE(X$2,""*""))&gt;0,countif(filter(Status!$C:$C,Status!$A:$A=$A94),CONCATENATE(X$2,""*"")),"""")"),"")</f>
        <v/>
      </c>
      <c r="Y94" s="23" t="str">
        <f>IFERROR(__xludf.DUMMYFUNCTION("if(countif(filter(Status!$C:$C,Status!$A:$A=$A94),CONCATENATE(Y$2,""*""))&gt;0,countif(filter(Status!$C:$C,Status!$A:$A=$A94),CONCATENATE(Y$2,""*"")),"""")"),"")</f>
        <v/>
      </c>
      <c r="Z94" s="23" t="str">
        <f>IFERROR(__xludf.DUMMYFUNCTION("if(countif(filter(Status!$C:$C,Status!$A:$A=$A94),CONCATENATE(Z$2,""*""))&gt;0,countif(filter(Status!$C:$C,Status!$A:$A=$A94),CONCATENATE(Z$2,""*"")),"""")"),"")</f>
        <v/>
      </c>
      <c r="AA94" s="23">
        <f>IFERROR(__xludf.DUMMYFUNCTION("if((countif(filter(Status!$C:$C,Status!$A:$A=$A94),CONCATENATE(AA$2,""*""))-AB94)&gt;0,(countif(filter(Status!$C:$C,Status!$A:$A=$A94),CONCATENATE(AA$2,""*""))-AB94),"""")"),1.0)</f>
        <v>1</v>
      </c>
      <c r="AB94" s="23" t="str">
        <f>IFERROR(__xludf.DUMMYFUNCTION("if(countif(filter(Status!$C:$C,Status!$A:$A=$A94),CONCATENATE(AB$2,""*""))&gt;0,countif(filter(Status!$C:$C,Status!$A:$A=$A94),CONCATENATE(AB$2,""*"")),"""")"),"")</f>
        <v/>
      </c>
      <c r="AC94" s="23">
        <f>IFERROR(__xludf.DUMMYFUNCTION("if(countif(filter(Status!$C:$C,Status!$A:$A=$A94),CONCATENATE(AC$2,""*""))&gt;0,countif(filter(Status!$C:$C,Status!$A:$A=$A94),CONCATENATE(AC$2,""*"")),"""")"),1.0)</f>
        <v>1</v>
      </c>
      <c r="AD94" s="23" t="str">
        <f>IFERROR(__xludf.DUMMYFUNCTION("if(countif(filter(Status!$C:$C,Status!$A:$A=$A94),CONCATENATE(AD$2,""*""))&gt;0,countif(filter(Status!$C:$C,Status!$A:$A=$A94),CONCATENATE(AD$2,""*"")),"""")"),"")</f>
        <v/>
      </c>
      <c r="AE94" s="23" t="str">
        <f>IFERROR(__xludf.DUMMYFUNCTION("if(countif(filter(Status!$C:$C,Status!$A:$A=$A94),CONCATENATE(AE$2,""*""))&gt;0,countif(filter(Status!$C:$C,Status!$A:$A=$A94),CONCATENATE(AE$2,""*"")),"""")"),"")</f>
        <v/>
      </c>
      <c r="AF94" s="23" t="str">
        <f>IFERROR(__xludf.DUMMYFUNCTION("if(countif(filter(Status!$C:$C,Status!$A:$A=$A94),CONCATENATE(AF$2,""*""))&gt;0,countif(filter(Status!$C:$C,Status!$A:$A=$A94),CONCATENATE(AF$2,""*"")),"""")"),"")</f>
        <v/>
      </c>
      <c r="AG94" s="23">
        <f>IFERROR(__xludf.DUMMYFUNCTION("if(countif(filter(Status!$C:$C,Status!$A:$A=$A94),CONCATENATE(AG$2,""*""))&gt;0,countif(filter(Status!$C:$C,Status!$A:$A=$A94),CONCATENATE(AG$2,""*"")),"""")"),1.0)</f>
        <v>1</v>
      </c>
      <c r="AH94" s="23" t="str">
        <f>IFERROR(__xludf.DUMMYFUNCTION("if(countif(filter(Status!$C:$C,Status!$A:$A=$A94),CONCATENATE(AH$2,""*""))&gt;0,countif(filter(Status!$C:$C,Status!$A:$A=$A94),CONCATENATE(AH$2,""*"")),"""")"),"")</f>
        <v/>
      </c>
      <c r="AI94" s="23" t="str">
        <f>IFERROR(__xludf.DUMMYFUNCTION("if(countif(filter(Status!$C:$C,Status!$A:$A=$A94),CONCATENATE(AI$2,""*""))&gt;0,countif(filter(Status!$C:$C,Status!$A:$A=$A94),CONCATENATE(AI$2,""*"")),"""")"),"")</f>
        <v/>
      </c>
      <c r="AJ94" s="23" t="str">
        <f>IFERROR(__xludf.DUMMYFUNCTION("if(countif(filter(Status!$C:$C,Status!$A:$A=$A94),CONCATENATE(AJ$2,""*""))&gt;0,countif(filter(Status!$C:$C,Status!$A:$A=$A94),CONCATENATE(AJ$2,""*"")),"""")"),"")</f>
        <v/>
      </c>
      <c r="AK94" s="23" t="str">
        <f>IFERROR(__xludf.DUMMYFUNCTION("if(countif(filter(Status!$C:$C,Status!$A:$A=$A94),CONCATENATE(AK$2,""*""))&gt;0,countif(filter(Status!$C:$C,Status!$A:$A=$A94),CONCATENATE(AK$2,""*"")),"""")"),"")</f>
        <v/>
      </c>
      <c r="AL94" s="23" t="str">
        <f>IFERROR(__xludf.DUMMYFUNCTION("if(countif(filter(Status!$C:$C,Status!$A:$A=$A94),CONCATENATE(AL$2,""*""))&gt;0,countif(filter(Status!$C:$C,Status!$A:$A=$A94),CONCATENATE(AL$2,""*"")),"""")"),"")</f>
        <v/>
      </c>
      <c r="AM94" s="23" t="str">
        <f>IFERROR(__xludf.DUMMYFUNCTION("if(countif(filter(Status!$C:$C,Status!$A:$A=$A94),CONCATENATE(AM$2,""*""))&gt;0,countif(filter(Status!$C:$C,Status!$A:$A=$A94),CONCATENATE(AM$2,""*"")),"""")"),"")</f>
        <v/>
      </c>
      <c r="AN94" s="23" t="str">
        <f>IFERROR(__xludf.DUMMYFUNCTION("if(countif(filter(Status!$C:$C,Status!$A:$A=$A94),CONCATENATE(AN$2,""*""))&gt;0,countif(filter(Status!$C:$C,Status!$A:$A=$A94),CONCATENATE(AN$2,""*"")),"""")"),"")</f>
        <v/>
      </c>
      <c r="AO94" s="23" t="str">
        <f>IFERROR(__xludf.DUMMYFUNCTION("if(countif(filter(Status!$C:$C,Status!$A:$A=$A94),CONCATENATE(AO$2,""*""))&gt;0,countif(filter(Status!$C:$C,Status!$A:$A=$A94),CONCATENATE(AO$2,""*"")),"""")"),"")</f>
        <v/>
      </c>
      <c r="AP94" s="23">
        <f>IFERROR(__xludf.DUMMYFUNCTION("counta(iferror(filter(Status!C:C,Status!A:A=A94)))"),3.0)</f>
        <v>3</v>
      </c>
      <c r="AQ94" s="23">
        <f t="shared" si="6"/>
        <v>3</v>
      </c>
    </row>
    <row r="95">
      <c r="A95" s="1" t="s">
        <v>980</v>
      </c>
      <c r="B95" s="21">
        <f>IFERROR(__xludf.DUMMYFUNCTION("max(filter(Status!E:E,Status!A:A=A95))"),43832.0)</f>
        <v>43832</v>
      </c>
      <c r="C95" s="23">
        <f t="shared" si="1"/>
        <v>0</v>
      </c>
      <c r="D95" s="23">
        <f t="shared" si="2"/>
        <v>1</v>
      </c>
      <c r="E95" s="23">
        <f t="shared" si="3"/>
        <v>1</v>
      </c>
      <c r="F95" s="23">
        <f t="shared" si="4"/>
        <v>0.3076923077</v>
      </c>
      <c r="G95" s="25">
        <f t="shared" si="5"/>
        <v>1</v>
      </c>
      <c r="J95" s="23">
        <f>IFERROR(__xludf.DUMMYFUNCTION("COUNTA(iferror(filter(Status!H:H,Status!A:A=A95)))"),13.0)</f>
        <v>13</v>
      </c>
      <c r="K95" s="25">
        <f>IFERROR(__xludf.DUMMYFUNCTION("COUNTA(iferror(filter(Status!H:H,Status!A:A=A95,Status!H:H=TRUE)))"),0.0)</f>
        <v>0</v>
      </c>
      <c r="L95" s="23">
        <f>IFERROR(__xludf.DUMMYFUNCTION("COUNTA(iferror(filter(Status!L:L,Status!A:A=A95)))"),5.0)</f>
        <v>5</v>
      </c>
      <c r="M95" s="25">
        <f>IFERROR(__xludf.DUMMYFUNCTION("COUNTA(iferror(filter(Status!L:L,Status!A:A=A95,Status!L:L=TRUE)))"),5.0)</f>
        <v>5</v>
      </c>
      <c r="N95" s="23">
        <f>IFERROR(__xludf.DUMMYFUNCTION("COUNTA(iferror(filter(Status!N:N,Status!A:A=A95,Status!N:N=TRUE)))"),10.0)</f>
        <v>10</v>
      </c>
      <c r="O95" s="25">
        <f>IFERROR(__xludf.DUMMYFUNCTION("COUNTA(iferror(filter(Status!N:N,Status!A:A=A95,Status!N:N=TRUE)))"),10.0)</f>
        <v>10</v>
      </c>
      <c r="P95" s="23">
        <f>IFERROR(__xludf.DUMMYFUNCTION("COUNTA(iferror(filter(Status!P:P,Status!A:A=A95)))"),26.0)</f>
        <v>26</v>
      </c>
      <c r="Q95" s="25">
        <f>IFERROR(__xludf.DUMMYFUNCTION("COUNTA(iferror(filter(Status!P:P,Status!A:A=A95,Status!P:P=TRUE)))"),8.0)</f>
        <v>8</v>
      </c>
      <c r="R95" s="23">
        <f>IFERROR(__xludf.DUMMYFUNCTION("COUNTA(iferror(filter(Status!R:R,Status!A:A=A95)))"),17.0)</f>
        <v>17</v>
      </c>
      <c r="S95" s="25">
        <f>IFERROR(__xludf.DUMMYFUNCTION("COUNTA(iferror(filter(Status!R:R,Status!A:A=A95,Status!R:R=TRUE)))"),17.0)</f>
        <v>17</v>
      </c>
      <c r="V95" s="23" t="str">
        <f>IFERROR(__xludf.DUMMYFUNCTION("if((countif(filter(Status!$C:$C,Status!$A:$A=$A95),CONCATENATE(V$2,""*""))-W95)&gt;0,(countif(filter(Status!$C:$C,Status!$A:$A=$A95),CONCATENATE(V$2,""*""))-W95),"""")"),"")</f>
        <v/>
      </c>
      <c r="W95" s="23">
        <f>IFERROR(__xludf.DUMMYFUNCTION("if(countif(filter(Status!$C:$C,Status!$A:$A=$A95),CONCATENATE(W$2,""*""))&gt;0,countif(filter(Status!$C:$C,Status!$A:$A=$A95),CONCATENATE(W$2,""*"")),"""")"),5.0)</f>
        <v>5</v>
      </c>
      <c r="X95" s="23">
        <f>IFERROR(__xludf.DUMMYFUNCTION("if(countif(filter(Status!$C:$C,Status!$A:$A=$A95),CONCATENATE(X$2,""*""))&gt;0,countif(filter(Status!$C:$C,Status!$A:$A=$A95),CONCATENATE(X$2,""*"")),"""")"),3.0)</f>
        <v>3</v>
      </c>
      <c r="Y95" s="23" t="str">
        <f>IFERROR(__xludf.DUMMYFUNCTION("if(countif(filter(Status!$C:$C,Status!$A:$A=$A95),CONCATENATE(Y$2,""*""))&gt;0,countif(filter(Status!$C:$C,Status!$A:$A=$A95),CONCATENATE(Y$2,""*"")),"""")"),"")</f>
        <v/>
      </c>
      <c r="Z95" s="23" t="str">
        <f>IFERROR(__xludf.DUMMYFUNCTION("if(countif(filter(Status!$C:$C,Status!$A:$A=$A95),CONCATENATE(Z$2,""*""))&gt;0,countif(filter(Status!$C:$C,Status!$A:$A=$A95),CONCATENATE(Z$2,""*"")),"""")"),"")</f>
        <v/>
      </c>
      <c r="AA95" s="23">
        <f>IFERROR(__xludf.DUMMYFUNCTION("if((countif(filter(Status!$C:$C,Status!$A:$A=$A95),CONCATENATE(AA$2,""*""))-AB95)&gt;0,(countif(filter(Status!$C:$C,Status!$A:$A=$A95),CONCATENATE(AA$2,""*""))-AB95),"""")"),8.0)</f>
        <v>8</v>
      </c>
      <c r="AB95" s="23">
        <f>IFERROR(__xludf.DUMMYFUNCTION("if(countif(filter(Status!$C:$C,Status!$A:$A=$A95),CONCATENATE(AB$2,""*""))&gt;0,countif(filter(Status!$C:$C,Status!$A:$A=$A95),CONCATENATE(AB$2,""*"")),"""")"),8.0)</f>
        <v>8</v>
      </c>
      <c r="AC95" s="23">
        <f>IFERROR(__xludf.DUMMYFUNCTION("if(countif(filter(Status!$C:$C,Status!$A:$A=$A95),CONCATENATE(AC$2,""*""))&gt;0,countif(filter(Status!$C:$C,Status!$A:$A=$A95),CONCATENATE(AC$2,""*"")),"""")"),1.0)</f>
        <v>1</v>
      </c>
      <c r="AD95" s="23">
        <f>IFERROR(__xludf.DUMMYFUNCTION("if(countif(filter(Status!$C:$C,Status!$A:$A=$A95),CONCATENATE(AD$2,""*""))&gt;0,countif(filter(Status!$C:$C,Status!$A:$A=$A95),CONCATENATE(AD$2,""*"")),"""")"),1.0)</f>
        <v>1</v>
      </c>
      <c r="AE95" s="23" t="str">
        <f>IFERROR(__xludf.DUMMYFUNCTION("if(countif(filter(Status!$C:$C,Status!$A:$A=$A95),CONCATENATE(AE$2,""*""))&gt;0,countif(filter(Status!$C:$C,Status!$A:$A=$A95),CONCATENATE(AE$2,""*"")),"""")"),"")</f>
        <v/>
      </c>
      <c r="AF95" s="23" t="str">
        <f>IFERROR(__xludf.DUMMYFUNCTION("if(countif(filter(Status!$C:$C,Status!$A:$A=$A95),CONCATENATE(AF$2,""*""))&gt;0,countif(filter(Status!$C:$C,Status!$A:$A=$A95),CONCATENATE(AF$2,""*"")),"""")"),"")</f>
        <v/>
      </c>
      <c r="AG95" s="23" t="str">
        <f>IFERROR(__xludf.DUMMYFUNCTION("if(countif(filter(Status!$C:$C,Status!$A:$A=$A95),CONCATENATE(AG$2,""*""))&gt;0,countif(filter(Status!$C:$C,Status!$A:$A=$A95),CONCATENATE(AG$2,""*"")),"""")"),"")</f>
        <v/>
      </c>
      <c r="AH95" s="23" t="str">
        <f>IFERROR(__xludf.DUMMYFUNCTION("if(countif(filter(Status!$C:$C,Status!$A:$A=$A95),CONCATENATE(AH$2,""*""))&gt;0,countif(filter(Status!$C:$C,Status!$A:$A=$A95),CONCATENATE(AH$2,""*"")),"""")"),"")</f>
        <v/>
      </c>
      <c r="AI95" s="23" t="str">
        <f>IFERROR(__xludf.DUMMYFUNCTION("if(countif(filter(Status!$C:$C,Status!$A:$A=$A95),CONCATENATE(AI$2,""*""))&gt;0,countif(filter(Status!$C:$C,Status!$A:$A=$A95),CONCATENATE(AI$2,""*"")),"""")"),"")</f>
        <v/>
      </c>
      <c r="AJ95" s="23" t="str">
        <f>IFERROR(__xludf.DUMMYFUNCTION("if(countif(filter(Status!$C:$C,Status!$A:$A=$A95),CONCATENATE(AJ$2,""*""))&gt;0,countif(filter(Status!$C:$C,Status!$A:$A=$A95),CONCATENATE(AJ$2,""*"")),"""")"),"")</f>
        <v/>
      </c>
      <c r="AK95" s="23" t="str">
        <f>IFERROR(__xludf.DUMMYFUNCTION("if(countif(filter(Status!$C:$C,Status!$A:$A=$A95),CONCATENATE(AK$2,""*""))&gt;0,countif(filter(Status!$C:$C,Status!$A:$A=$A95),CONCATENATE(AK$2,""*"")),"""")"),"")</f>
        <v/>
      </c>
      <c r="AL95" s="23" t="str">
        <f>IFERROR(__xludf.DUMMYFUNCTION("if(countif(filter(Status!$C:$C,Status!$A:$A=$A95),CONCATENATE(AL$2,""*""))&gt;0,countif(filter(Status!$C:$C,Status!$A:$A=$A95),CONCATENATE(AL$2,""*"")),"""")"),"")</f>
        <v/>
      </c>
      <c r="AM95" s="23" t="str">
        <f>IFERROR(__xludf.DUMMYFUNCTION("if(countif(filter(Status!$C:$C,Status!$A:$A=$A95),CONCATENATE(AM$2,""*""))&gt;0,countif(filter(Status!$C:$C,Status!$A:$A=$A95),CONCATENATE(AM$2,""*"")),"""")"),"")</f>
        <v/>
      </c>
      <c r="AN95" s="23" t="str">
        <f>IFERROR(__xludf.DUMMYFUNCTION("if(countif(filter(Status!$C:$C,Status!$A:$A=$A95),CONCATENATE(AN$2,""*""))&gt;0,countif(filter(Status!$C:$C,Status!$A:$A=$A95),CONCATENATE(AN$2,""*"")),"""")"),"")</f>
        <v/>
      </c>
      <c r="AO95" s="23" t="str">
        <f>IFERROR(__xludf.DUMMYFUNCTION("if(countif(filter(Status!$C:$C,Status!$A:$A=$A95),CONCATENATE(AO$2,""*""))&gt;0,countif(filter(Status!$C:$C,Status!$A:$A=$A95),CONCATENATE(AO$2,""*"")),"""")"),"")</f>
        <v/>
      </c>
      <c r="AP95" s="23">
        <f>IFERROR(__xludf.DUMMYFUNCTION("counta(iferror(filter(Status!C:C,Status!A:A=A95)))"),26.0)</f>
        <v>26</v>
      </c>
      <c r="AQ95" s="23">
        <f t="shared" si="6"/>
        <v>26</v>
      </c>
    </row>
    <row r="96">
      <c r="A96" s="1" t="s">
        <v>984</v>
      </c>
      <c r="B96" s="21">
        <f>IFERROR(__xludf.DUMMYFUNCTION("max(filter(Status!E:E,Status!A:A=A96))"),43839.0)</f>
        <v>43839</v>
      </c>
      <c r="C96" s="23">
        <f t="shared" si="1"/>
        <v>0</v>
      </c>
      <c r="D96" s="23">
        <f t="shared" si="2"/>
        <v>1</v>
      </c>
      <c r="E96" s="23">
        <f t="shared" si="3"/>
        <v>1</v>
      </c>
      <c r="F96" s="23">
        <f t="shared" si="4"/>
        <v>0.2777777778</v>
      </c>
      <c r="G96" s="25">
        <f t="shared" si="5"/>
        <v>0.6428571429</v>
      </c>
      <c r="J96" s="23">
        <f>IFERROR(__xludf.DUMMYFUNCTION("COUNTA(iferror(filter(Status!H:H,Status!A:A=A96)))"),13.0)</f>
        <v>13</v>
      </c>
      <c r="K96" s="25">
        <f>IFERROR(__xludf.DUMMYFUNCTION("COUNTA(iferror(filter(Status!H:H,Status!A:A=A96,Status!H:H=TRUE)))"),0.0)</f>
        <v>0</v>
      </c>
      <c r="L96" s="23">
        <f>IFERROR(__xludf.DUMMYFUNCTION("COUNTA(iferror(filter(Status!L:L,Status!A:A=A96)))"),9.0)</f>
        <v>9</v>
      </c>
      <c r="M96" s="25">
        <f>IFERROR(__xludf.DUMMYFUNCTION("COUNTA(iferror(filter(Status!L:L,Status!A:A=A96,Status!L:L=TRUE)))"),9.0)</f>
        <v>9</v>
      </c>
      <c r="N96" s="23">
        <f>IFERROR(__xludf.DUMMYFUNCTION("COUNTA(iferror(filter(Status!N:N,Status!A:A=A96,Status!N:N=TRUE)))"),5.0)</f>
        <v>5</v>
      </c>
      <c r="O96" s="25">
        <f>IFERROR(__xludf.DUMMYFUNCTION("COUNTA(iferror(filter(Status!N:N,Status!A:A=A96,Status!N:N=TRUE)))"),5.0)</f>
        <v>5</v>
      </c>
      <c r="P96" s="23">
        <f>IFERROR(__xludf.DUMMYFUNCTION("COUNTA(iferror(filter(Status!P:P,Status!A:A=A96)))"),18.0)</f>
        <v>18</v>
      </c>
      <c r="Q96" s="25">
        <f>IFERROR(__xludf.DUMMYFUNCTION("COUNTA(iferror(filter(Status!P:P,Status!A:A=A96,Status!P:P=TRUE)))"),5.0)</f>
        <v>5</v>
      </c>
      <c r="R96" s="23">
        <f>IFERROR(__xludf.DUMMYFUNCTION("COUNTA(iferror(filter(Status!R:R,Status!A:A=A96)))"),14.0)</f>
        <v>14</v>
      </c>
      <c r="S96" s="25">
        <f>IFERROR(__xludf.DUMMYFUNCTION("COUNTA(iferror(filter(Status!R:R,Status!A:A=A96,Status!R:R=TRUE)))"),9.0)</f>
        <v>9</v>
      </c>
      <c r="V96" s="23" t="str">
        <f>IFERROR(__xludf.DUMMYFUNCTION("if((countif(filter(Status!$C:$C,Status!$A:$A=$A96),CONCATENATE(V$2,""*""))-W96)&gt;0,(countif(filter(Status!$C:$C,Status!$A:$A=$A96),CONCATENATE(V$2,""*""))-W96),"""")"),"")</f>
        <v/>
      </c>
      <c r="W96" s="23">
        <f>IFERROR(__xludf.DUMMYFUNCTION("if(countif(filter(Status!$C:$C,Status!$A:$A=$A96),CONCATENATE(W$2,""*""))&gt;0,countif(filter(Status!$C:$C,Status!$A:$A=$A96),CONCATENATE(W$2,""*"")),"""")"),9.0)</f>
        <v>9</v>
      </c>
      <c r="X96" s="23" t="str">
        <f>IFERROR(__xludf.DUMMYFUNCTION("if(countif(filter(Status!$C:$C,Status!$A:$A=$A96),CONCATENATE(X$2,""*""))&gt;0,countif(filter(Status!$C:$C,Status!$A:$A=$A96),CONCATENATE(X$2,""*"")),"""")"),"")</f>
        <v/>
      </c>
      <c r="Y96" s="23" t="str">
        <f>IFERROR(__xludf.DUMMYFUNCTION("if(countif(filter(Status!$C:$C,Status!$A:$A=$A96),CONCATENATE(Y$2,""*""))&gt;0,countif(filter(Status!$C:$C,Status!$A:$A=$A96),CONCATENATE(Y$2,""*"")),"""")"),"")</f>
        <v/>
      </c>
      <c r="Z96" s="23" t="str">
        <f>IFERROR(__xludf.DUMMYFUNCTION("if(countif(filter(Status!$C:$C,Status!$A:$A=$A96),CONCATENATE(Z$2,""*""))&gt;0,countif(filter(Status!$C:$C,Status!$A:$A=$A96),CONCATENATE(Z$2,""*"")),"""")"),"")</f>
        <v/>
      </c>
      <c r="AA96" s="23">
        <f>IFERROR(__xludf.DUMMYFUNCTION("if((countif(filter(Status!$C:$C,Status!$A:$A=$A96),CONCATENATE(AA$2,""*""))-AB96)&gt;0,(countif(filter(Status!$C:$C,Status!$A:$A=$A96),CONCATENATE(AA$2,""*""))-AB96),"""")"),4.0)</f>
        <v>4</v>
      </c>
      <c r="AB96" s="23">
        <f>IFERROR(__xludf.DUMMYFUNCTION("if(countif(filter(Status!$C:$C,Status!$A:$A=$A96),CONCATENATE(AB$2,""*""))&gt;0,countif(filter(Status!$C:$C,Status!$A:$A=$A96),CONCATENATE(AB$2,""*"")),"""")"),4.0)</f>
        <v>4</v>
      </c>
      <c r="AC96" s="23">
        <f>IFERROR(__xludf.DUMMYFUNCTION("if(countif(filter(Status!$C:$C,Status!$A:$A=$A96),CONCATENATE(AC$2,""*""))&gt;0,countif(filter(Status!$C:$C,Status!$A:$A=$A96),CONCATENATE(AC$2,""*"")),"""")"),1.0)</f>
        <v>1</v>
      </c>
      <c r="AD96" s="23" t="str">
        <f>IFERROR(__xludf.DUMMYFUNCTION("if(countif(filter(Status!$C:$C,Status!$A:$A=$A96),CONCATENATE(AD$2,""*""))&gt;0,countif(filter(Status!$C:$C,Status!$A:$A=$A96),CONCATENATE(AD$2,""*"")),"""")"),"")</f>
        <v/>
      </c>
      <c r="AE96" s="23" t="str">
        <f>IFERROR(__xludf.DUMMYFUNCTION("if(countif(filter(Status!$C:$C,Status!$A:$A=$A96),CONCATENATE(AE$2,""*""))&gt;0,countif(filter(Status!$C:$C,Status!$A:$A=$A96),CONCATENATE(AE$2,""*"")),"""")"),"")</f>
        <v/>
      </c>
      <c r="AF96" s="23" t="str">
        <f>IFERROR(__xludf.DUMMYFUNCTION("if(countif(filter(Status!$C:$C,Status!$A:$A=$A96),CONCATENATE(AF$2,""*""))&gt;0,countif(filter(Status!$C:$C,Status!$A:$A=$A96),CONCATENATE(AF$2,""*"")),"""")"),"")</f>
        <v/>
      </c>
      <c r="AG96" s="23" t="str">
        <f>IFERROR(__xludf.DUMMYFUNCTION("if(countif(filter(Status!$C:$C,Status!$A:$A=$A96),CONCATENATE(AG$2,""*""))&gt;0,countif(filter(Status!$C:$C,Status!$A:$A=$A96),CONCATENATE(AG$2,""*"")),"""")"),"")</f>
        <v/>
      </c>
      <c r="AH96" s="23" t="str">
        <f>IFERROR(__xludf.DUMMYFUNCTION("if(countif(filter(Status!$C:$C,Status!$A:$A=$A96),CONCATENATE(AH$2,""*""))&gt;0,countif(filter(Status!$C:$C,Status!$A:$A=$A96),CONCATENATE(AH$2,""*"")),"""")"),"")</f>
        <v/>
      </c>
      <c r="AI96" s="23" t="str">
        <f>IFERROR(__xludf.DUMMYFUNCTION("if(countif(filter(Status!$C:$C,Status!$A:$A=$A96),CONCATENATE(AI$2,""*""))&gt;0,countif(filter(Status!$C:$C,Status!$A:$A=$A96),CONCATENATE(AI$2,""*"")),"""")"),"")</f>
        <v/>
      </c>
      <c r="AJ96" s="23" t="str">
        <f>IFERROR(__xludf.DUMMYFUNCTION("if(countif(filter(Status!$C:$C,Status!$A:$A=$A96),CONCATENATE(AJ$2,""*""))&gt;0,countif(filter(Status!$C:$C,Status!$A:$A=$A96),CONCATENATE(AJ$2,""*"")),"""")"),"")</f>
        <v/>
      </c>
      <c r="AK96" s="23" t="str">
        <f>IFERROR(__xludf.DUMMYFUNCTION("if(countif(filter(Status!$C:$C,Status!$A:$A=$A96),CONCATENATE(AK$2,""*""))&gt;0,countif(filter(Status!$C:$C,Status!$A:$A=$A96),CONCATENATE(AK$2,""*"")),"""")"),"")</f>
        <v/>
      </c>
      <c r="AL96" s="23" t="str">
        <f>IFERROR(__xludf.DUMMYFUNCTION("if(countif(filter(Status!$C:$C,Status!$A:$A=$A96),CONCATENATE(AL$2,""*""))&gt;0,countif(filter(Status!$C:$C,Status!$A:$A=$A96),CONCATENATE(AL$2,""*"")),"""")"),"")</f>
        <v/>
      </c>
      <c r="AM96" s="23" t="str">
        <f>IFERROR(__xludf.DUMMYFUNCTION("if(countif(filter(Status!$C:$C,Status!$A:$A=$A96),CONCATENATE(AM$2,""*""))&gt;0,countif(filter(Status!$C:$C,Status!$A:$A=$A96),CONCATENATE(AM$2,""*"")),"""")"),"")</f>
        <v/>
      </c>
      <c r="AN96" s="23" t="str">
        <f>IFERROR(__xludf.DUMMYFUNCTION("if(countif(filter(Status!$C:$C,Status!$A:$A=$A96),CONCATENATE(AN$2,""*""))&gt;0,countif(filter(Status!$C:$C,Status!$A:$A=$A96),CONCATENATE(AN$2,""*"")),"""")"),"")</f>
        <v/>
      </c>
      <c r="AO96" s="23" t="str">
        <f>IFERROR(__xludf.DUMMYFUNCTION("if(countif(filter(Status!$C:$C,Status!$A:$A=$A96),CONCATENATE(AO$2,""*""))&gt;0,countif(filter(Status!$C:$C,Status!$A:$A=$A96),CONCATENATE(AO$2,""*"")),"""")"),"")</f>
        <v/>
      </c>
      <c r="AP96" s="23">
        <f>IFERROR(__xludf.DUMMYFUNCTION("counta(iferror(filter(Status!C:C,Status!A:A=A96)))"),18.0)</f>
        <v>18</v>
      </c>
      <c r="AQ96" s="23">
        <f t="shared" si="6"/>
        <v>18</v>
      </c>
    </row>
    <row r="97">
      <c r="A97" s="1" t="s">
        <v>988</v>
      </c>
      <c r="B97" s="21">
        <f>IFERROR(__xludf.DUMMYFUNCTION("max(filter(Status!E:E,Status!A:A=A97))"),43837.0)</f>
        <v>43837</v>
      </c>
      <c r="C97" s="23">
        <f t="shared" si="1"/>
        <v>0</v>
      </c>
      <c r="D97" s="23">
        <f t="shared" si="2"/>
        <v>1</v>
      </c>
      <c r="E97" s="23">
        <f t="shared" si="3"/>
        <v>1</v>
      </c>
      <c r="F97" s="23">
        <f t="shared" si="4"/>
        <v>0.3846153846</v>
      </c>
      <c r="G97" s="25">
        <f t="shared" si="5"/>
        <v>0.7777777778</v>
      </c>
      <c r="J97" s="23">
        <f>IFERROR(__xludf.DUMMYFUNCTION("COUNTA(iferror(filter(Status!H:H,Status!A:A=A97)))"),5.0)</f>
        <v>5</v>
      </c>
      <c r="K97" s="25">
        <f>IFERROR(__xludf.DUMMYFUNCTION("COUNTA(iferror(filter(Status!H:H,Status!A:A=A97,Status!H:H=TRUE)))"),0.0)</f>
        <v>0</v>
      </c>
      <c r="L97" s="23">
        <f>IFERROR(__xludf.DUMMYFUNCTION("COUNTA(iferror(filter(Status!L:L,Status!A:A=A97)))"),2.0)</f>
        <v>2</v>
      </c>
      <c r="M97" s="25">
        <f>IFERROR(__xludf.DUMMYFUNCTION("COUNTA(iferror(filter(Status!L:L,Status!A:A=A97,Status!L:L=TRUE)))"),2.0)</f>
        <v>2</v>
      </c>
      <c r="N97" s="23">
        <f>IFERROR(__xludf.DUMMYFUNCTION("COUNTA(iferror(filter(Status!N:N,Status!A:A=A97,Status!N:N=TRUE)))"),6.0)</f>
        <v>6</v>
      </c>
      <c r="O97" s="25">
        <f>IFERROR(__xludf.DUMMYFUNCTION("COUNTA(iferror(filter(Status!N:N,Status!A:A=A97,Status!N:N=TRUE)))"),6.0)</f>
        <v>6</v>
      </c>
      <c r="P97" s="23">
        <f>IFERROR(__xludf.DUMMYFUNCTION("COUNTA(iferror(filter(Status!P:P,Status!A:A=A97)))"),13.0)</f>
        <v>13</v>
      </c>
      <c r="Q97" s="25">
        <f>IFERROR(__xludf.DUMMYFUNCTION("COUNTA(iferror(filter(Status!P:P,Status!A:A=A97,Status!P:P=TRUE)))"),5.0)</f>
        <v>5</v>
      </c>
      <c r="R97" s="23">
        <f>IFERROR(__xludf.DUMMYFUNCTION("COUNTA(iferror(filter(Status!R:R,Status!A:A=A97)))"),9.0)</f>
        <v>9</v>
      </c>
      <c r="S97" s="25">
        <f>IFERROR(__xludf.DUMMYFUNCTION("COUNTA(iferror(filter(Status!R:R,Status!A:A=A97,Status!R:R=TRUE)))"),7.0)</f>
        <v>7</v>
      </c>
      <c r="V97" s="23" t="str">
        <f>IFERROR(__xludf.DUMMYFUNCTION("if((countif(filter(Status!$C:$C,Status!$A:$A=$A97),CONCATENATE(V$2,""*""))-W97)&gt;0,(countif(filter(Status!$C:$C,Status!$A:$A=$A97),CONCATENATE(V$2,""*""))-W97),"""")"),"")</f>
        <v/>
      </c>
      <c r="W97" s="23" t="str">
        <f>IFERROR(__xludf.DUMMYFUNCTION("if(countif(filter(Status!$C:$C,Status!$A:$A=$A97),CONCATENATE(W$2,""*""))&gt;0,countif(filter(Status!$C:$C,Status!$A:$A=$A97),CONCATENATE(W$2,""*"")),"""")"),"")</f>
        <v/>
      </c>
      <c r="X97" s="23">
        <f>IFERROR(__xludf.DUMMYFUNCTION("if(countif(filter(Status!$C:$C,Status!$A:$A=$A97),CONCATENATE(X$2,""*""))&gt;0,countif(filter(Status!$C:$C,Status!$A:$A=$A97),CONCATENATE(X$2,""*"")),"""")"),3.0)</f>
        <v>3</v>
      </c>
      <c r="Y97" s="23" t="str">
        <f>IFERROR(__xludf.DUMMYFUNCTION("if(countif(filter(Status!$C:$C,Status!$A:$A=$A97),CONCATENATE(Y$2,""*""))&gt;0,countif(filter(Status!$C:$C,Status!$A:$A=$A97),CONCATENATE(Y$2,""*"")),"""")"),"")</f>
        <v/>
      </c>
      <c r="Z97" s="23" t="str">
        <f>IFERROR(__xludf.DUMMYFUNCTION("if(countif(filter(Status!$C:$C,Status!$A:$A=$A97),CONCATENATE(Z$2,""*""))&gt;0,countif(filter(Status!$C:$C,Status!$A:$A=$A97),CONCATENATE(Z$2,""*"")),"""")"),"")</f>
        <v/>
      </c>
      <c r="AA97" s="23">
        <f>IFERROR(__xludf.DUMMYFUNCTION("if((countif(filter(Status!$C:$C,Status!$A:$A=$A97),CONCATENATE(AA$2,""*""))-AB97)&gt;0,(countif(filter(Status!$C:$C,Status!$A:$A=$A97),CONCATENATE(AA$2,""*""))-AB97),"""")"),3.0)</f>
        <v>3</v>
      </c>
      <c r="AB97" s="23">
        <f>IFERROR(__xludf.DUMMYFUNCTION("if(countif(filter(Status!$C:$C,Status!$A:$A=$A97),CONCATENATE(AB$2,""*""))&gt;0,countif(filter(Status!$C:$C,Status!$A:$A=$A97),CONCATENATE(AB$2,""*"")),"""")"),3.0)</f>
        <v>3</v>
      </c>
      <c r="AC97" s="23">
        <f>IFERROR(__xludf.DUMMYFUNCTION("if(countif(filter(Status!$C:$C,Status!$A:$A=$A97),CONCATENATE(AC$2,""*""))&gt;0,countif(filter(Status!$C:$C,Status!$A:$A=$A97),CONCATENATE(AC$2,""*"")),"""")"),1.0)</f>
        <v>1</v>
      </c>
      <c r="AD97" s="23">
        <f>IFERROR(__xludf.DUMMYFUNCTION("if(countif(filter(Status!$C:$C,Status!$A:$A=$A97),CONCATENATE(AD$2,""*""))&gt;0,countif(filter(Status!$C:$C,Status!$A:$A=$A97),CONCATENATE(AD$2,""*"")),"""")"),1.0)</f>
        <v>1</v>
      </c>
      <c r="AE97" s="23" t="str">
        <f>IFERROR(__xludf.DUMMYFUNCTION("if(countif(filter(Status!$C:$C,Status!$A:$A=$A97),CONCATENATE(AE$2,""*""))&gt;0,countif(filter(Status!$C:$C,Status!$A:$A=$A97),CONCATENATE(AE$2,""*"")),"""")"),"")</f>
        <v/>
      </c>
      <c r="AF97" s="23">
        <f>IFERROR(__xludf.DUMMYFUNCTION("if(countif(filter(Status!$C:$C,Status!$A:$A=$A97),CONCATENATE(AF$2,""*""))&gt;0,countif(filter(Status!$C:$C,Status!$A:$A=$A97),CONCATENATE(AF$2,""*"")),"""")"),2.0)</f>
        <v>2</v>
      </c>
      <c r="AG97" s="23" t="str">
        <f>IFERROR(__xludf.DUMMYFUNCTION("if(countif(filter(Status!$C:$C,Status!$A:$A=$A97),CONCATENATE(AG$2,""*""))&gt;0,countif(filter(Status!$C:$C,Status!$A:$A=$A97),CONCATENATE(AG$2,""*"")),"""")"),"")</f>
        <v/>
      </c>
      <c r="AH97" s="23" t="str">
        <f>IFERROR(__xludf.DUMMYFUNCTION("if(countif(filter(Status!$C:$C,Status!$A:$A=$A97),CONCATENATE(AH$2,""*""))&gt;0,countif(filter(Status!$C:$C,Status!$A:$A=$A97),CONCATENATE(AH$2,""*"")),"""")"),"")</f>
        <v/>
      </c>
      <c r="AI97" s="23" t="str">
        <f>IFERROR(__xludf.DUMMYFUNCTION("if(countif(filter(Status!$C:$C,Status!$A:$A=$A97),CONCATENATE(AI$2,""*""))&gt;0,countif(filter(Status!$C:$C,Status!$A:$A=$A97),CONCATENATE(AI$2,""*"")),"""")"),"")</f>
        <v/>
      </c>
      <c r="AJ97" s="23" t="str">
        <f>IFERROR(__xludf.DUMMYFUNCTION("if(countif(filter(Status!$C:$C,Status!$A:$A=$A97),CONCATENATE(AJ$2,""*""))&gt;0,countif(filter(Status!$C:$C,Status!$A:$A=$A97),CONCATENATE(AJ$2,""*"")),"""")"),"")</f>
        <v/>
      </c>
      <c r="AK97" s="23" t="str">
        <f>IFERROR(__xludf.DUMMYFUNCTION("if(countif(filter(Status!$C:$C,Status!$A:$A=$A97),CONCATENATE(AK$2,""*""))&gt;0,countif(filter(Status!$C:$C,Status!$A:$A=$A97),CONCATENATE(AK$2,""*"")),"""")"),"")</f>
        <v/>
      </c>
      <c r="AL97" s="23" t="str">
        <f>IFERROR(__xludf.DUMMYFUNCTION("if(countif(filter(Status!$C:$C,Status!$A:$A=$A97),CONCATENATE(AL$2,""*""))&gt;0,countif(filter(Status!$C:$C,Status!$A:$A=$A97),CONCATENATE(AL$2,""*"")),"""")"),"")</f>
        <v/>
      </c>
      <c r="AM97" s="23" t="str">
        <f>IFERROR(__xludf.DUMMYFUNCTION("if(countif(filter(Status!$C:$C,Status!$A:$A=$A97),CONCATENATE(AM$2,""*""))&gt;0,countif(filter(Status!$C:$C,Status!$A:$A=$A97),CONCATENATE(AM$2,""*"")),"""")"),"")</f>
        <v/>
      </c>
      <c r="AN97" s="23" t="str">
        <f>IFERROR(__xludf.DUMMYFUNCTION("if(countif(filter(Status!$C:$C,Status!$A:$A=$A97),CONCATENATE(AN$2,""*""))&gt;0,countif(filter(Status!$C:$C,Status!$A:$A=$A97),CONCATENATE(AN$2,""*"")),"""")"),"")</f>
        <v/>
      </c>
      <c r="AO97" s="23" t="str">
        <f>IFERROR(__xludf.DUMMYFUNCTION("if(countif(filter(Status!$C:$C,Status!$A:$A=$A97),CONCATENATE(AO$2,""*""))&gt;0,countif(filter(Status!$C:$C,Status!$A:$A=$A97),CONCATENATE(AO$2,""*"")),"""")"),"")</f>
        <v/>
      </c>
      <c r="AP97" s="23">
        <f>IFERROR(__xludf.DUMMYFUNCTION("counta(iferror(filter(Status!C:C,Status!A:A=A97)))"),13.0)</f>
        <v>13</v>
      </c>
      <c r="AQ97" s="23">
        <f t="shared" si="6"/>
        <v>13</v>
      </c>
    </row>
    <row r="98">
      <c r="A98" s="1" t="s">
        <v>991</v>
      </c>
      <c r="B98" s="21">
        <f>IFERROR(__xludf.DUMMYFUNCTION("max(filter(Status!E:E,Status!A:A=A98))"),43838.0)</f>
        <v>43838</v>
      </c>
      <c r="C98" s="23">
        <f t="shared" si="1"/>
        <v>0.6666666667</v>
      </c>
      <c r="D98" s="23">
        <f t="shared" si="2"/>
        <v>1</v>
      </c>
      <c r="E98" s="23">
        <f t="shared" si="3"/>
        <v>1</v>
      </c>
      <c r="F98" s="23">
        <f t="shared" si="4"/>
        <v>0.2</v>
      </c>
      <c r="G98" s="25">
        <f t="shared" si="5"/>
        <v>1</v>
      </c>
      <c r="J98" s="23">
        <f>IFERROR(__xludf.DUMMYFUNCTION("COUNTA(iferror(filter(Status!H:H,Status!A:A=A98)))"),3.0)</f>
        <v>3</v>
      </c>
      <c r="K98" s="25">
        <f>IFERROR(__xludf.DUMMYFUNCTION("COUNTA(iferror(filter(Status!H:H,Status!A:A=A98,Status!H:H=TRUE)))"),2.0)</f>
        <v>2</v>
      </c>
      <c r="L98" s="23">
        <f>IFERROR(__xludf.DUMMYFUNCTION("COUNTA(iferror(filter(Status!L:L,Status!A:A=A98)))"),2.0)</f>
        <v>2</v>
      </c>
      <c r="M98" s="25">
        <f>IFERROR(__xludf.DUMMYFUNCTION("COUNTA(iferror(filter(Status!L:L,Status!A:A=A98,Status!L:L=TRUE)))"),2.0)</f>
        <v>2</v>
      </c>
      <c r="N98" s="23">
        <f>IFERROR(__xludf.DUMMYFUNCTION("COUNTA(iferror(filter(Status!N:N,Status!A:A=A98,Status!N:N=TRUE)))"),2.0)</f>
        <v>2</v>
      </c>
      <c r="O98" s="25">
        <f>IFERROR(__xludf.DUMMYFUNCTION("COUNTA(iferror(filter(Status!N:N,Status!A:A=A98,Status!N:N=TRUE)))"),2.0)</f>
        <v>2</v>
      </c>
      <c r="P98" s="23">
        <f>IFERROR(__xludf.DUMMYFUNCTION("COUNTA(iferror(filter(Status!P:P,Status!A:A=A98)))"),5.0)</f>
        <v>5</v>
      </c>
      <c r="Q98" s="25">
        <f>IFERROR(__xludf.DUMMYFUNCTION("COUNTA(iferror(filter(Status!P:P,Status!A:A=A98,Status!P:P=TRUE)))"),1.0)</f>
        <v>1</v>
      </c>
      <c r="R98" s="23">
        <f>IFERROR(__xludf.DUMMYFUNCTION("COUNTA(iferror(filter(Status!R:R,Status!A:A=A98)))"),2.0)</f>
        <v>2</v>
      </c>
      <c r="S98" s="25">
        <f>IFERROR(__xludf.DUMMYFUNCTION("COUNTA(iferror(filter(Status!R:R,Status!A:A=A98,Status!R:R=TRUE)))"),2.0)</f>
        <v>2</v>
      </c>
      <c r="V98" s="23" t="str">
        <f>IFERROR(__xludf.DUMMYFUNCTION("if((countif(filter(Status!$C:$C,Status!$A:$A=$A98),CONCATENATE(V$2,""*""))-W98)&gt;0,(countif(filter(Status!$C:$C,Status!$A:$A=$A98),CONCATENATE(V$2,""*""))-W98),"""")"),"")</f>
        <v/>
      </c>
      <c r="W98" s="23" t="str">
        <f>IFERROR(__xludf.DUMMYFUNCTION("if(countif(filter(Status!$C:$C,Status!$A:$A=$A98),CONCATENATE(W$2,""*""))&gt;0,countif(filter(Status!$C:$C,Status!$A:$A=$A98),CONCATENATE(W$2,""*"")),"""")"),"")</f>
        <v/>
      </c>
      <c r="X98" s="23" t="str">
        <f>IFERROR(__xludf.DUMMYFUNCTION("if(countif(filter(Status!$C:$C,Status!$A:$A=$A98),CONCATENATE(X$2,""*""))&gt;0,countif(filter(Status!$C:$C,Status!$A:$A=$A98),CONCATENATE(X$2,""*"")),"""")"),"")</f>
        <v/>
      </c>
      <c r="Y98" s="23" t="str">
        <f>IFERROR(__xludf.DUMMYFUNCTION("if(countif(filter(Status!$C:$C,Status!$A:$A=$A98),CONCATENATE(Y$2,""*""))&gt;0,countif(filter(Status!$C:$C,Status!$A:$A=$A98),CONCATENATE(Y$2,""*"")),"""")"),"")</f>
        <v/>
      </c>
      <c r="Z98" s="23" t="str">
        <f>IFERROR(__xludf.DUMMYFUNCTION("if(countif(filter(Status!$C:$C,Status!$A:$A=$A98),CONCATENATE(Z$2,""*""))&gt;0,countif(filter(Status!$C:$C,Status!$A:$A=$A98),CONCATENATE(Z$2,""*"")),"""")"),"")</f>
        <v/>
      </c>
      <c r="AA98" s="23">
        <f>IFERROR(__xludf.DUMMYFUNCTION("if((countif(filter(Status!$C:$C,Status!$A:$A=$A98),CONCATENATE(AA$2,""*""))-AB98)&gt;0,(countif(filter(Status!$C:$C,Status!$A:$A=$A98),CONCATENATE(AA$2,""*""))-AB98),"""")"),1.0)</f>
        <v>1</v>
      </c>
      <c r="AB98" s="23">
        <f>IFERROR(__xludf.DUMMYFUNCTION("if(countif(filter(Status!$C:$C,Status!$A:$A=$A98),CONCATENATE(AB$2,""*""))&gt;0,countif(filter(Status!$C:$C,Status!$A:$A=$A98),CONCATENATE(AB$2,""*"")),"""")"),1.0)</f>
        <v>1</v>
      </c>
      <c r="AC98" s="23">
        <f>IFERROR(__xludf.DUMMYFUNCTION("if(countif(filter(Status!$C:$C,Status!$A:$A=$A98),CONCATENATE(AC$2,""*""))&gt;0,countif(filter(Status!$C:$C,Status!$A:$A=$A98),CONCATENATE(AC$2,""*"")),"""")"),1.0)</f>
        <v>1</v>
      </c>
      <c r="AD98" s="23" t="str">
        <f>IFERROR(__xludf.DUMMYFUNCTION("if(countif(filter(Status!$C:$C,Status!$A:$A=$A98),CONCATENATE(AD$2,""*""))&gt;0,countif(filter(Status!$C:$C,Status!$A:$A=$A98),CONCATENATE(AD$2,""*"")),"""")"),"")</f>
        <v/>
      </c>
      <c r="AE98" s="23" t="str">
        <f>IFERROR(__xludf.DUMMYFUNCTION("if(countif(filter(Status!$C:$C,Status!$A:$A=$A98),CONCATENATE(AE$2,""*""))&gt;0,countif(filter(Status!$C:$C,Status!$A:$A=$A98),CONCATENATE(AE$2,""*"")),"""")"),"")</f>
        <v/>
      </c>
      <c r="AF98" s="23" t="str">
        <f>IFERROR(__xludf.DUMMYFUNCTION("if(countif(filter(Status!$C:$C,Status!$A:$A=$A98),CONCATENATE(AF$2,""*""))&gt;0,countif(filter(Status!$C:$C,Status!$A:$A=$A98),CONCATENATE(AF$2,""*"")),"""")"),"")</f>
        <v/>
      </c>
      <c r="AG98" s="23">
        <f>IFERROR(__xludf.DUMMYFUNCTION("if(countif(filter(Status!$C:$C,Status!$A:$A=$A98),CONCATENATE(AG$2,""*""))&gt;0,countif(filter(Status!$C:$C,Status!$A:$A=$A98),CONCATENATE(AG$2,""*"")),"""")"),2.0)</f>
        <v>2</v>
      </c>
      <c r="AH98" s="23" t="str">
        <f>IFERROR(__xludf.DUMMYFUNCTION("if(countif(filter(Status!$C:$C,Status!$A:$A=$A98),CONCATENATE(AH$2,""*""))&gt;0,countif(filter(Status!$C:$C,Status!$A:$A=$A98),CONCATENATE(AH$2,""*"")),"""")"),"")</f>
        <v/>
      </c>
      <c r="AI98" s="23" t="str">
        <f>IFERROR(__xludf.DUMMYFUNCTION("if(countif(filter(Status!$C:$C,Status!$A:$A=$A98),CONCATENATE(AI$2,""*""))&gt;0,countif(filter(Status!$C:$C,Status!$A:$A=$A98),CONCATENATE(AI$2,""*"")),"""")"),"")</f>
        <v/>
      </c>
      <c r="AJ98" s="23" t="str">
        <f>IFERROR(__xludf.DUMMYFUNCTION("if(countif(filter(Status!$C:$C,Status!$A:$A=$A98),CONCATENATE(AJ$2,""*""))&gt;0,countif(filter(Status!$C:$C,Status!$A:$A=$A98),CONCATENATE(AJ$2,""*"")),"""")"),"")</f>
        <v/>
      </c>
      <c r="AK98" s="23" t="str">
        <f>IFERROR(__xludf.DUMMYFUNCTION("if(countif(filter(Status!$C:$C,Status!$A:$A=$A98),CONCATENATE(AK$2,""*""))&gt;0,countif(filter(Status!$C:$C,Status!$A:$A=$A98),CONCATENATE(AK$2,""*"")),"""")"),"")</f>
        <v/>
      </c>
      <c r="AL98" s="23" t="str">
        <f>IFERROR(__xludf.DUMMYFUNCTION("if(countif(filter(Status!$C:$C,Status!$A:$A=$A98),CONCATENATE(AL$2,""*""))&gt;0,countif(filter(Status!$C:$C,Status!$A:$A=$A98),CONCATENATE(AL$2,""*"")),"""")"),"")</f>
        <v/>
      </c>
      <c r="AM98" s="23" t="str">
        <f>IFERROR(__xludf.DUMMYFUNCTION("if(countif(filter(Status!$C:$C,Status!$A:$A=$A98),CONCATENATE(AM$2,""*""))&gt;0,countif(filter(Status!$C:$C,Status!$A:$A=$A98),CONCATENATE(AM$2,""*"")),"""")"),"")</f>
        <v/>
      </c>
      <c r="AN98" s="23" t="str">
        <f>IFERROR(__xludf.DUMMYFUNCTION("if(countif(filter(Status!$C:$C,Status!$A:$A=$A98),CONCATENATE(AN$2,""*""))&gt;0,countif(filter(Status!$C:$C,Status!$A:$A=$A98),CONCATENATE(AN$2,""*"")),"""")"),"")</f>
        <v/>
      </c>
      <c r="AO98" s="23" t="str">
        <f>IFERROR(__xludf.DUMMYFUNCTION("if(countif(filter(Status!$C:$C,Status!$A:$A=$A98),CONCATENATE(AO$2,""*""))&gt;0,countif(filter(Status!$C:$C,Status!$A:$A=$A98),CONCATENATE(AO$2,""*"")),"""")"),"")</f>
        <v/>
      </c>
      <c r="AP98" s="23">
        <f>IFERROR(__xludf.DUMMYFUNCTION("counta(iferror(filter(Status!C:C,Status!A:A=A98)))"),5.0)</f>
        <v>5</v>
      </c>
      <c r="AQ98" s="23">
        <f t="shared" si="6"/>
        <v>5</v>
      </c>
    </row>
    <row r="99">
      <c r="A99" s="1" t="s">
        <v>996</v>
      </c>
      <c r="B99" s="21">
        <f>IFERROR(__xludf.DUMMYFUNCTION("max(filter(Status!E:E,Status!A:A=A99))"),43839.0)</f>
        <v>43839</v>
      </c>
      <c r="C99" s="23">
        <f t="shared" si="1"/>
        <v>1</v>
      </c>
      <c r="D99" s="23">
        <f t="shared" si="2"/>
        <v>1</v>
      </c>
      <c r="E99" s="23">
        <f t="shared" si="3"/>
        <v>1</v>
      </c>
      <c r="F99" s="23">
        <f t="shared" si="4"/>
        <v>0.3636363636</v>
      </c>
      <c r="G99" s="25">
        <f t="shared" si="5"/>
        <v>1</v>
      </c>
      <c r="J99" s="23">
        <f>IFERROR(__xludf.DUMMYFUNCTION("COUNTA(iferror(filter(Status!H:H,Status!A:A=A99)))"),5.0)</f>
        <v>5</v>
      </c>
      <c r="K99" s="25">
        <f>IFERROR(__xludf.DUMMYFUNCTION("COUNTA(iferror(filter(Status!H:H,Status!A:A=A99,Status!H:H=TRUE)))"),5.0)</f>
        <v>5</v>
      </c>
      <c r="L99" s="23">
        <f>IFERROR(__xludf.DUMMYFUNCTION("COUNTA(iferror(filter(Status!L:L,Status!A:A=A99)))"),1.0)</f>
        <v>1</v>
      </c>
      <c r="M99" s="25">
        <f>IFERROR(__xludf.DUMMYFUNCTION("COUNTA(iferror(filter(Status!L:L,Status!A:A=A99,Status!L:L=TRUE)))"),1.0)</f>
        <v>1</v>
      </c>
      <c r="N99" s="23">
        <f>IFERROR(__xludf.DUMMYFUNCTION("COUNTA(iferror(filter(Status!N:N,Status!A:A=A99,Status!N:N=TRUE)))"),5.0)</f>
        <v>5</v>
      </c>
      <c r="O99" s="25">
        <f>IFERROR(__xludf.DUMMYFUNCTION("COUNTA(iferror(filter(Status!N:N,Status!A:A=A99,Status!N:N=TRUE)))"),5.0)</f>
        <v>5</v>
      </c>
      <c r="P99" s="23">
        <f>IFERROR(__xludf.DUMMYFUNCTION("COUNTA(iferror(filter(Status!P:P,Status!A:A=A99)))"),11.0)</f>
        <v>11</v>
      </c>
      <c r="Q99" s="25">
        <f>IFERROR(__xludf.DUMMYFUNCTION("COUNTA(iferror(filter(Status!P:P,Status!A:A=A99,Status!P:P=TRUE)))"),4.0)</f>
        <v>4</v>
      </c>
      <c r="R99" s="23">
        <f>IFERROR(__xludf.DUMMYFUNCTION("COUNTA(iferror(filter(Status!R:R,Status!A:A=A99)))"),7.0)</f>
        <v>7</v>
      </c>
      <c r="S99" s="25">
        <f>IFERROR(__xludf.DUMMYFUNCTION("COUNTA(iferror(filter(Status!R:R,Status!A:A=A99,Status!R:R=TRUE)))"),7.0)</f>
        <v>7</v>
      </c>
      <c r="V99" s="23" t="str">
        <f>IFERROR(__xludf.DUMMYFUNCTION("if((countif(filter(Status!$C:$C,Status!$A:$A=$A99),CONCATENATE(V$2,""*""))-W99)&gt;0,(countif(filter(Status!$C:$C,Status!$A:$A=$A99),CONCATENATE(V$2,""*""))-W99),"""")"),"")</f>
        <v/>
      </c>
      <c r="W99" s="23">
        <f>IFERROR(__xludf.DUMMYFUNCTION("if(countif(filter(Status!$C:$C,Status!$A:$A=$A99),CONCATENATE(W$2,""*""))&gt;0,countif(filter(Status!$C:$C,Status!$A:$A=$A99),CONCATENATE(W$2,""*"")),"""")"),1.0)</f>
        <v>1</v>
      </c>
      <c r="X99" s="23">
        <f>IFERROR(__xludf.DUMMYFUNCTION("if(countif(filter(Status!$C:$C,Status!$A:$A=$A99),CONCATENATE(X$2,""*""))&gt;0,countif(filter(Status!$C:$C,Status!$A:$A=$A99),CONCATENATE(X$2,""*"")),"""")"),2.0)</f>
        <v>2</v>
      </c>
      <c r="Y99" s="23" t="str">
        <f>IFERROR(__xludf.DUMMYFUNCTION("if(countif(filter(Status!$C:$C,Status!$A:$A=$A99),CONCATENATE(Y$2,""*""))&gt;0,countif(filter(Status!$C:$C,Status!$A:$A=$A99),CONCATENATE(Y$2,""*"")),"""")"),"")</f>
        <v/>
      </c>
      <c r="Z99" s="23" t="str">
        <f>IFERROR(__xludf.DUMMYFUNCTION("if(countif(filter(Status!$C:$C,Status!$A:$A=$A99),CONCATENATE(Z$2,""*""))&gt;0,countif(filter(Status!$C:$C,Status!$A:$A=$A99),CONCATENATE(Z$2,""*"")),"""")"),"")</f>
        <v/>
      </c>
      <c r="AA99" s="23">
        <f>IFERROR(__xludf.DUMMYFUNCTION("if((countif(filter(Status!$C:$C,Status!$A:$A=$A99),CONCATENATE(AA$2,""*""))-AB99)&gt;0,(countif(filter(Status!$C:$C,Status!$A:$A=$A99),CONCATENATE(AA$2,""*""))-AB99),"""")"),3.0)</f>
        <v>3</v>
      </c>
      <c r="AB99" s="23">
        <f>IFERROR(__xludf.DUMMYFUNCTION("if(countif(filter(Status!$C:$C,Status!$A:$A=$A99),CONCATENATE(AB$2,""*""))&gt;0,countif(filter(Status!$C:$C,Status!$A:$A=$A99),CONCATENATE(AB$2,""*"")),"""")"),3.0)</f>
        <v>3</v>
      </c>
      <c r="AC99" s="23">
        <f>IFERROR(__xludf.DUMMYFUNCTION("if(countif(filter(Status!$C:$C,Status!$A:$A=$A99),CONCATENATE(AC$2,""*""))&gt;0,countif(filter(Status!$C:$C,Status!$A:$A=$A99),CONCATENATE(AC$2,""*"")),"""")"),1.0)</f>
        <v>1</v>
      </c>
      <c r="AD99" s="23">
        <f>IFERROR(__xludf.DUMMYFUNCTION("if(countif(filter(Status!$C:$C,Status!$A:$A=$A99),CONCATENATE(AD$2,""*""))&gt;0,countif(filter(Status!$C:$C,Status!$A:$A=$A99),CONCATENATE(AD$2,""*"")),"""")"),1.0)</f>
        <v>1</v>
      </c>
      <c r="AE99" s="23">
        <f>IFERROR(__xludf.DUMMYFUNCTION("if(countif(filter(Status!$C:$C,Status!$A:$A=$A99),CONCATENATE(AE$2,""*""))&gt;0,countif(filter(Status!$C:$C,Status!$A:$A=$A99),CONCATENATE(AE$2,""*"")),"""")"),1.0)</f>
        <v>1</v>
      </c>
      <c r="AF99" s="23" t="str">
        <f>IFERROR(__xludf.DUMMYFUNCTION("if(countif(filter(Status!$C:$C,Status!$A:$A=$A99),CONCATENATE(AF$2,""*""))&gt;0,countif(filter(Status!$C:$C,Status!$A:$A=$A99),CONCATENATE(AF$2,""*"")),"""")"),"")</f>
        <v/>
      </c>
      <c r="AG99" s="23" t="str">
        <f>IFERROR(__xludf.DUMMYFUNCTION("if(countif(filter(Status!$C:$C,Status!$A:$A=$A99),CONCATENATE(AG$2,""*""))&gt;0,countif(filter(Status!$C:$C,Status!$A:$A=$A99),CONCATENATE(AG$2,""*"")),"""")"),"")</f>
        <v/>
      </c>
      <c r="AH99" s="23" t="str">
        <f>IFERROR(__xludf.DUMMYFUNCTION("if(countif(filter(Status!$C:$C,Status!$A:$A=$A99),CONCATENATE(AH$2,""*""))&gt;0,countif(filter(Status!$C:$C,Status!$A:$A=$A99),CONCATENATE(AH$2,""*"")),"""")"),"")</f>
        <v/>
      </c>
      <c r="AI99" s="23" t="str">
        <f>IFERROR(__xludf.DUMMYFUNCTION("if(countif(filter(Status!$C:$C,Status!$A:$A=$A99),CONCATENATE(AI$2,""*""))&gt;0,countif(filter(Status!$C:$C,Status!$A:$A=$A99),CONCATENATE(AI$2,""*"")),"""")"),"")</f>
        <v/>
      </c>
      <c r="AJ99" s="23" t="str">
        <f>IFERROR(__xludf.DUMMYFUNCTION("if(countif(filter(Status!$C:$C,Status!$A:$A=$A99),CONCATENATE(AJ$2,""*""))&gt;0,countif(filter(Status!$C:$C,Status!$A:$A=$A99),CONCATENATE(AJ$2,""*"")),"""")"),"")</f>
        <v/>
      </c>
      <c r="AK99" s="23" t="str">
        <f>IFERROR(__xludf.DUMMYFUNCTION("if(countif(filter(Status!$C:$C,Status!$A:$A=$A99),CONCATENATE(AK$2,""*""))&gt;0,countif(filter(Status!$C:$C,Status!$A:$A=$A99),CONCATENATE(AK$2,""*"")),"""")"),"")</f>
        <v/>
      </c>
      <c r="AL99" s="23" t="str">
        <f>IFERROR(__xludf.DUMMYFUNCTION("if(countif(filter(Status!$C:$C,Status!$A:$A=$A99),CONCATENATE(AL$2,""*""))&gt;0,countif(filter(Status!$C:$C,Status!$A:$A=$A99),CONCATENATE(AL$2,""*"")),"""")"),"")</f>
        <v/>
      </c>
      <c r="AM99" s="23" t="str">
        <f>IFERROR(__xludf.DUMMYFUNCTION("if(countif(filter(Status!$C:$C,Status!$A:$A=$A99),CONCATENATE(AM$2,""*""))&gt;0,countif(filter(Status!$C:$C,Status!$A:$A=$A99),CONCATENATE(AM$2,""*"")),"""")"),"")</f>
        <v/>
      </c>
      <c r="AN99" s="23" t="str">
        <f>IFERROR(__xludf.DUMMYFUNCTION("if(countif(filter(Status!$C:$C,Status!$A:$A=$A99),CONCATENATE(AN$2,""*""))&gt;0,countif(filter(Status!$C:$C,Status!$A:$A=$A99),CONCATENATE(AN$2,""*"")),"""")"),"")</f>
        <v/>
      </c>
      <c r="AO99" s="23" t="str">
        <f>IFERROR(__xludf.DUMMYFUNCTION("if(countif(filter(Status!$C:$C,Status!$A:$A=$A99),CONCATENATE(AO$2,""*""))&gt;0,countif(filter(Status!$C:$C,Status!$A:$A=$A99),CONCATENATE(AO$2,""*"")),"""")"),"")</f>
        <v/>
      </c>
      <c r="AP99" s="23">
        <f>IFERROR(__xludf.DUMMYFUNCTION("counta(iferror(filter(Status!C:C,Status!A:A=A99)))"),12.0)</f>
        <v>12</v>
      </c>
      <c r="AQ99" s="23">
        <f t="shared" si="6"/>
        <v>12</v>
      </c>
    </row>
    <row r="100">
      <c r="A100" s="1" t="s">
        <v>1000</v>
      </c>
      <c r="B100" s="21">
        <f>IFERROR(__xludf.DUMMYFUNCTION("max(filter(Status!E:E,Status!A:A=A100))"),43843.0)</f>
        <v>43843</v>
      </c>
      <c r="C100" s="23">
        <f t="shared" si="1"/>
        <v>1</v>
      </c>
      <c r="D100" s="23">
        <f t="shared" si="2"/>
        <v>1</v>
      </c>
      <c r="E100" s="23">
        <f t="shared" si="3"/>
        <v>1</v>
      </c>
      <c r="F100" s="23">
        <f t="shared" si="4"/>
        <v>0.3846153846</v>
      </c>
      <c r="G100" s="25">
        <f t="shared" si="5"/>
        <v>1</v>
      </c>
      <c r="J100" s="23">
        <f>IFERROR(__xludf.DUMMYFUNCTION("COUNTA(iferror(filter(Status!H:H,Status!A:A=A100)))"),9.0)</f>
        <v>9</v>
      </c>
      <c r="K100" s="25">
        <f>IFERROR(__xludf.DUMMYFUNCTION("COUNTA(iferror(filter(Status!H:H,Status!A:A=A100,Status!H:H=TRUE)))"),9.0)</f>
        <v>9</v>
      </c>
      <c r="L100" s="23">
        <f>IFERROR(__xludf.DUMMYFUNCTION("COUNTA(iferror(filter(Status!L:L,Status!A:A=A100)))"),4.0)</f>
        <v>4</v>
      </c>
      <c r="M100" s="25">
        <f>IFERROR(__xludf.DUMMYFUNCTION("COUNTA(iferror(filter(Status!L:L,Status!A:A=A100,Status!L:L=TRUE)))"),4.0)</f>
        <v>4</v>
      </c>
      <c r="N100" s="23">
        <f>IFERROR(__xludf.DUMMYFUNCTION("COUNTA(iferror(filter(Status!N:N,Status!A:A=A100,Status!N:N=TRUE)))"),5.0)</f>
        <v>5</v>
      </c>
      <c r="O100" s="25">
        <f>IFERROR(__xludf.DUMMYFUNCTION("COUNTA(iferror(filter(Status!N:N,Status!A:A=A100,Status!N:N=TRUE)))"),5.0)</f>
        <v>5</v>
      </c>
      <c r="P100" s="23">
        <f>IFERROR(__xludf.DUMMYFUNCTION("COUNTA(iferror(filter(Status!P:P,Status!A:A=A100)))"),13.0)</f>
        <v>13</v>
      </c>
      <c r="Q100" s="25">
        <f>IFERROR(__xludf.DUMMYFUNCTION("COUNTA(iferror(filter(Status!P:P,Status!A:A=A100,Status!P:P=TRUE)))"),5.0)</f>
        <v>5</v>
      </c>
      <c r="R100" s="23">
        <f>IFERROR(__xludf.DUMMYFUNCTION("COUNTA(iferror(filter(Status!R:R,Status!A:A=A100)))"),9.0)</f>
        <v>9</v>
      </c>
      <c r="S100" s="25">
        <f>IFERROR(__xludf.DUMMYFUNCTION("COUNTA(iferror(filter(Status!R:R,Status!A:A=A100,Status!R:R=TRUE)))"),9.0)</f>
        <v>9</v>
      </c>
      <c r="V100" s="23" t="str">
        <f>IFERROR(__xludf.DUMMYFUNCTION("if((countif(filter(Status!$C:$C,Status!$A:$A=$A100),CONCATENATE(V$2,""*""))-W100)&gt;0,(countif(filter(Status!$C:$C,Status!$A:$A=$A100),CONCATENATE(V$2,""*""))-W100),"""")"),"")</f>
        <v/>
      </c>
      <c r="W100" s="23">
        <f>IFERROR(__xludf.DUMMYFUNCTION("if(countif(filter(Status!$C:$C,Status!$A:$A=$A100),CONCATENATE(W$2,""*""))&gt;0,countif(filter(Status!$C:$C,Status!$A:$A=$A100),CONCATENATE(W$2,""*"")),"""")"),4.0)</f>
        <v>4</v>
      </c>
      <c r="X100" s="23" t="str">
        <f>IFERROR(__xludf.DUMMYFUNCTION("if(countif(filter(Status!$C:$C,Status!$A:$A=$A100),CONCATENATE(X$2,""*""))&gt;0,countif(filter(Status!$C:$C,Status!$A:$A=$A100),CONCATENATE(X$2,""*"")),"""")"),"")</f>
        <v/>
      </c>
      <c r="Y100" s="23" t="str">
        <f>IFERROR(__xludf.DUMMYFUNCTION("if(countif(filter(Status!$C:$C,Status!$A:$A=$A100),CONCATENATE(Y$2,""*""))&gt;0,countif(filter(Status!$C:$C,Status!$A:$A=$A100),CONCATENATE(Y$2,""*"")),"""")"),"")</f>
        <v/>
      </c>
      <c r="Z100" s="23" t="str">
        <f>IFERROR(__xludf.DUMMYFUNCTION("if(countif(filter(Status!$C:$C,Status!$A:$A=$A100),CONCATENATE(Z$2,""*""))&gt;0,countif(filter(Status!$C:$C,Status!$A:$A=$A100),CONCATENATE(Z$2,""*"")),"""")"),"")</f>
        <v/>
      </c>
      <c r="AA100" s="23">
        <f>IFERROR(__xludf.DUMMYFUNCTION("if((countif(filter(Status!$C:$C,Status!$A:$A=$A100),CONCATENATE(AA$2,""*""))-AB100)&gt;0,(countif(filter(Status!$C:$C,Status!$A:$A=$A100),CONCATENATE(AA$2,""*""))-AB100),"""")"),4.0)</f>
        <v>4</v>
      </c>
      <c r="AB100" s="23">
        <f>IFERROR(__xludf.DUMMYFUNCTION("if(countif(filter(Status!$C:$C,Status!$A:$A=$A100),CONCATENATE(AB$2,""*""))&gt;0,countif(filter(Status!$C:$C,Status!$A:$A=$A100),CONCATENATE(AB$2,""*"")),"""")"),4.0)</f>
        <v>4</v>
      </c>
      <c r="AC100" s="23">
        <f>IFERROR(__xludf.DUMMYFUNCTION("if(countif(filter(Status!$C:$C,Status!$A:$A=$A100),CONCATENATE(AC$2,""*""))&gt;0,countif(filter(Status!$C:$C,Status!$A:$A=$A100),CONCATENATE(AC$2,""*"")),"""")"),1.0)</f>
        <v>1</v>
      </c>
      <c r="AD100" s="23" t="str">
        <f>IFERROR(__xludf.DUMMYFUNCTION("if(countif(filter(Status!$C:$C,Status!$A:$A=$A100),CONCATENATE(AD$2,""*""))&gt;0,countif(filter(Status!$C:$C,Status!$A:$A=$A100),CONCATENATE(AD$2,""*"")),"""")"),"")</f>
        <v/>
      </c>
      <c r="AE100" s="23">
        <f>IFERROR(__xludf.DUMMYFUNCTION("if(countif(filter(Status!$C:$C,Status!$A:$A=$A100),CONCATENATE(AE$2,""*""))&gt;0,countif(filter(Status!$C:$C,Status!$A:$A=$A100),CONCATENATE(AE$2,""*"")),"""")"),1.0)</f>
        <v>1</v>
      </c>
      <c r="AF100" s="23" t="str">
        <f>IFERROR(__xludf.DUMMYFUNCTION("if(countif(filter(Status!$C:$C,Status!$A:$A=$A100),CONCATENATE(AF$2,""*""))&gt;0,countif(filter(Status!$C:$C,Status!$A:$A=$A100),CONCATENATE(AF$2,""*"")),"""")"),"")</f>
        <v/>
      </c>
      <c r="AG100" s="23" t="str">
        <f>IFERROR(__xludf.DUMMYFUNCTION("if(countif(filter(Status!$C:$C,Status!$A:$A=$A100),CONCATENATE(AG$2,""*""))&gt;0,countif(filter(Status!$C:$C,Status!$A:$A=$A100),CONCATENATE(AG$2,""*"")),"""")"),"")</f>
        <v/>
      </c>
      <c r="AH100" s="23" t="str">
        <f>IFERROR(__xludf.DUMMYFUNCTION("if(countif(filter(Status!$C:$C,Status!$A:$A=$A100),CONCATENATE(AH$2,""*""))&gt;0,countif(filter(Status!$C:$C,Status!$A:$A=$A100),CONCATENATE(AH$2,""*"")),"""")"),"")</f>
        <v/>
      </c>
      <c r="AI100" s="23" t="str">
        <f>IFERROR(__xludf.DUMMYFUNCTION("if(countif(filter(Status!$C:$C,Status!$A:$A=$A100),CONCATENATE(AI$2,""*""))&gt;0,countif(filter(Status!$C:$C,Status!$A:$A=$A100),CONCATENATE(AI$2,""*"")),"""")"),"")</f>
        <v/>
      </c>
      <c r="AJ100" s="23" t="str">
        <f>IFERROR(__xludf.DUMMYFUNCTION("if(countif(filter(Status!$C:$C,Status!$A:$A=$A100),CONCATENATE(AJ$2,""*""))&gt;0,countif(filter(Status!$C:$C,Status!$A:$A=$A100),CONCATENATE(AJ$2,""*"")),"""")"),"")</f>
        <v/>
      </c>
      <c r="AK100" s="23" t="str">
        <f>IFERROR(__xludf.DUMMYFUNCTION("if(countif(filter(Status!$C:$C,Status!$A:$A=$A100),CONCATENATE(AK$2,""*""))&gt;0,countif(filter(Status!$C:$C,Status!$A:$A=$A100),CONCATENATE(AK$2,""*"")),"""")"),"")</f>
        <v/>
      </c>
      <c r="AL100" s="23" t="str">
        <f>IFERROR(__xludf.DUMMYFUNCTION("if(countif(filter(Status!$C:$C,Status!$A:$A=$A100),CONCATENATE(AL$2,""*""))&gt;0,countif(filter(Status!$C:$C,Status!$A:$A=$A100),CONCATENATE(AL$2,""*"")),"""")"),"")</f>
        <v/>
      </c>
      <c r="AM100" s="23" t="str">
        <f>IFERROR(__xludf.DUMMYFUNCTION("if(countif(filter(Status!$C:$C,Status!$A:$A=$A100),CONCATENATE(AM$2,""*""))&gt;0,countif(filter(Status!$C:$C,Status!$A:$A=$A100),CONCATENATE(AM$2,""*"")),"""")"),"")</f>
        <v/>
      </c>
      <c r="AN100" s="23" t="str">
        <f>IFERROR(__xludf.DUMMYFUNCTION("if(countif(filter(Status!$C:$C,Status!$A:$A=$A100),CONCATENATE(AN$2,""*""))&gt;0,countif(filter(Status!$C:$C,Status!$A:$A=$A100),CONCATENATE(AN$2,""*"")),"""")"),"")</f>
        <v/>
      </c>
      <c r="AO100" s="23" t="str">
        <f>IFERROR(__xludf.DUMMYFUNCTION("if(countif(filter(Status!$C:$C,Status!$A:$A=$A100),CONCATENATE(AO$2,""*""))&gt;0,countif(filter(Status!$C:$C,Status!$A:$A=$A100),CONCATENATE(AO$2,""*"")),"""")"),"")</f>
        <v/>
      </c>
      <c r="AP100" s="23">
        <f>IFERROR(__xludf.DUMMYFUNCTION("counta(iferror(filter(Status!C:C,Status!A:A=A100)))"),14.0)</f>
        <v>14</v>
      </c>
      <c r="AQ100" s="23">
        <f t="shared" si="6"/>
        <v>14</v>
      </c>
    </row>
    <row r="101">
      <c r="A101" s="1" t="s">
        <v>1004</v>
      </c>
      <c r="B101" s="21">
        <f>IFERROR(__xludf.DUMMYFUNCTION("max(filter(Status!E:E,Status!A:A=A101))"),43844.0)</f>
        <v>43844</v>
      </c>
      <c r="C101" s="23">
        <f t="shared" si="1"/>
        <v>1</v>
      </c>
      <c r="D101" s="23">
        <f t="shared" si="2"/>
        <v>1</v>
      </c>
      <c r="E101" s="23">
        <f t="shared" si="3"/>
        <v>1</v>
      </c>
      <c r="F101" s="23">
        <f t="shared" si="4"/>
        <v>0.3333333333</v>
      </c>
      <c r="G101" s="25">
        <f t="shared" si="5"/>
        <v>0.75</v>
      </c>
      <c r="J101" s="23">
        <f>IFERROR(__xludf.DUMMYFUNCTION("COUNTA(iferror(filter(Status!H:H,Status!A:A=A101)))"),4.0)</f>
        <v>4</v>
      </c>
      <c r="K101" s="25">
        <f>IFERROR(__xludf.DUMMYFUNCTION("COUNTA(iferror(filter(Status!H:H,Status!A:A=A101,Status!H:H=TRUE)))"),4.0)</f>
        <v>4</v>
      </c>
      <c r="L101" s="23">
        <f>IFERROR(__xludf.DUMMYFUNCTION("COUNTA(iferror(filter(Status!L:L,Status!A:A=A101)))"),1.0)</f>
        <v>1</v>
      </c>
      <c r="M101" s="25">
        <f>IFERROR(__xludf.DUMMYFUNCTION("COUNTA(iferror(filter(Status!L:L,Status!A:A=A101,Status!L:L=TRUE)))"),1.0)</f>
        <v>1</v>
      </c>
      <c r="N101" s="23">
        <f>IFERROR(__xludf.DUMMYFUNCTION("COUNTA(iferror(filter(Status!N:N,Status!A:A=A101,Status!N:N=TRUE)))"),6.0)</f>
        <v>6</v>
      </c>
      <c r="O101" s="25">
        <f>IFERROR(__xludf.DUMMYFUNCTION("COUNTA(iferror(filter(Status!N:N,Status!A:A=A101,Status!N:N=TRUE)))"),6.0)</f>
        <v>6</v>
      </c>
      <c r="P101" s="23">
        <f>IFERROR(__xludf.DUMMYFUNCTION("COUNTA(iferror(filter(Status!P:P,Status!A:A=A101)))"),12.0)</f>
        <v>12</v>
      </c>
      <c r="Q101" s="25">
        <f>IFERROR(__xludf.DUMMYFUNCTION("COUNTA(iferror(filter(Status!P:P,Status!A:A=A101,Status!P:P=TRUE)))"),4.0)</f>
        <v>4</v>
      </c>
      <c r="R101" s="23">
        <f>IFERROR(__xludf.DUMMYFUNCTION("COUNTA(iferror(filter(Status!R:R,Status!A:A=A101)))"),8.0)</f>
        <v>8</v>
      </c>
      <c r="S101" s="25">
        <f>IFERROR(__xludf.DUMMYFUNCTION("COUNTA(iferror(filter(Status!R:R,Status!A:A=A101,Status!R:R=TRUE)))"),6.0)</f>
        <v>6</v>
      </c>
      <c r="V101" s="23" t="str">
        <f>IFERROR(__xludf.DUMMYFUNCTION("if((countif(filter(Status!$C:$C,Status!$A:$A=$A101),CONCATENATE(V$2,""*""))-W101)&gt;0,(countif(filter(Status!$C:$C,Status!$A:$A=$A101),CONCATENATE(V$2,""*""))-W101),"""")"),"")</f>
        <v/>
      </c>
      <c r="W101" s="23" t="str">
        <f>IFERROR(__xludf.DUMMYFUNCTION("if(countif(filter(Status!$C:$C,Status!$A:$A=$A101),CONCATENATE(W$2,""*""))&gt;0,countif(filter(Status!$C:$C,Status!$A:$A=$A101),CONCATENATE(W$2,""*"")),"""")"),"")</f>
        <v/>
      </c>
      <c r="X101" s="23">
        <f>IFERROR(__xludf.DUMMYFUNCTION("if(countif(filter(Status!$C:$C,Status!$A:$A=$A101),CONCATENATE(X$2,""*""))&gt;0,countif(filter(Status!$C:$C,Status!$A:$A=$A101),CONCATENATE(X$2,""*"")),"""")"),3.0)</f>
        <v>3</v>
      </c>
      <c r="Y101" s="23" t="str">
        <f>IFERROR(__xludf.DUMMYFUNCTION("if(countif(filter(Status!$C:$C,Status!$A:$A=$A101),CONCATENATE(Y$2,""*""))&gt;0,countif(filter(Status!$C:$C,Status!$A:$A=$A101),CONCATENATE(Y$2,""*"")),"""")"),"")</f>
        <v/>
      </c>
      <c r="Z101" s="23" t="str">
        <f>IFERROR(__xludf.DUMMYFUNCTION("if(countif(filter(Status!$C:$C,Status!$A:$A=$A101),CONCATENATE(Z$2,""*""))&gt;0,countif(filter(Status!$C:$C,Status!$A:$A=$A101),CONCATENATE(Z$2,""*"")),"""")"),"")</f>
        <v/>
      </c>
      <c r="AA101" s="23">
        <f>IFERROR(__xludf.DUMMYFUNCTION("if((countif(filter(Status!$C:$C,Status!$A:$A=$A101),CONCATENATE(AA$2,""*""))-AB101)&gt;0,(countif(filter(Status!$C:$C,Status!$A:$A=$A101),CONCATENATE(AA$2,""*""))-AB101),"""")"),3.0)</f>
        <v>3</v>
      </c>
      <c r="AB101" s="23">
        <f>IFERROR(__xludf.DUMMYFUNCTION("if(countif(filter(Status!$C:$C,Status!$A:$A=$A101),CONCATENATE(AB$2,""*""))&gt;0,countif(filter(Status!$C:$C,Status!$A:$A=$A101),CONCATENATE(AB$2,""*"")),"""")"),3.0)</f>
        <v>3</v>
      </c>
      <c r="AC101" s="23">
        <f>IFERROR(__xludf.DUMMYFUNCTION("if(countif(filter(Status!$C:$C,Status!$A:$A=$A101),CONCATENATE(AC$2,""*""))&gt;0,countif(filter(Status!$C:$C,Status!$A:$A=$A101),CONCATENATE(AC$2,""*"")),"""")"),1.0)</f>
        <v>1</v>
      </c>
      <c r="AD101" s="23">
        <f>IFERROR(__xludf.DUMMYFUNCTION("if(countif(filter(Status!$C:$C,Status!$A:$A=$A101),CONCATENATE(AD$2,""*""))&gt;0,countif(filter(Status!$C:$C,Status!$A:$A=$A101),CONCATENATE(AD$2,""*"")),"""")"),1.0)</f>
        <v>1</v>
      </c>
      <c r="AE101" s="23" t="str">
        <f>IFERROR(__xludf.DUMMYFUNCTION("if(countif(filter(Status!$C:$C,Status!$A:$A=$A101),CONCATENATE(AE$2,""*""))&gt;0,countif(filter(Status!$C:$C,Status!$A:$A=$A101),CONCATENATE(AE$2,""*"")),"""")"),"")</f>
        <v/>
      </c>
      <c r="AF101" s="23">
        <f>IFERROR(__xludf.DUMMYFUNCTION("if(countif(filter(Status!$C:$C,Status!$A:$A=$A101),CONCATENATE(AF$2,""*""))&gt;0,countif(filter(Status!$C:$C,Status!$A:$A=$A101),CONCATENATE(AF$2,""*"")),"""")"),1.0)</f>
        <v>1</v>
      </c>
      <c r="AG101" s="23" t="str">
        <f>IFERROR(__xludf.DUMMYFUNCTION("if(countif(filter(Status!$C:$C,Status!$A:$A=$A101),CONCATENATE(AG$2,""*""))&gt;0,countif(filter(Status!$C:$C,Status!$A:$A=$A101),CONCATENATE(AG$2,""*"")),"""")"),"")</f>
        <v/>
      </c>
      <c r="AH101" s="23" t="str">
        <f>IFERROR(__xludf.DUMMYFUNCTION("if(countif(filter(Status!$C:$C,Status!$A:$A=$A101),CONCATENATE(AH$2,""*""))&gt;0,countif(filter(Status!$C:$C,Status!$A:$A=$A101),CONCATENATE(AH$2,""*"")),"""")"),"")</f>
        <v/>
      </c>
      <c r="AI101" s="23" t="str">
        <f>IFERROR(__xludf.DUMMYFUNCTION("if(countif(filter(Status!$C:$C,Status!$A:$A=$A101),CONCATENATE(AI$2,""*""))&gt;0,countif(filter(Status!$C:$C,Status!$A:$A=$A101),CONCATENATE(AI$2,""*"")),"""")"),"")</f>
        <v/>
      </c>
      <c r="AJ101" s="23" t="str">
        <f>IFERROR(__xludf.DUMMYFUNCTION("if(countif(filter(Status!$C:$C,Status!$A:$A=$A101),CONCATENATE(AJ$2,""*""))&gt;0,countif(filter(Status!$C:$C,Status!$A:$A=$A101),CONCATENATE(AJ$2,""*"")),"""")"),"")</f>
        <v/>
      </c>
      <c r="AK101" s="23" t="str">
        <f>IFERROR(__xludf.DUMMYFUNCTION("if(countif(filter(Status!$C:$C,Status!$A:$A=$A101),CONCATENATE(AK$2,""*""))&gt;0,countif(filter(Status!$C:$C,Status!$A:$A=$A101),CONCATENATE(AK$2,""*"")),"""")"),"")</f>
        <v/>
      </c>
      <c r="AL101" s="23" t="str">
        <f>IFERROR(__xludf.DUMMYFUNCTION("if(countif(filter(Status!$C:$C,Status!$A:$A=$A101),CONCATENATE(AL$2,""*""))&gt;0,countif(filter(Status!$C:$C,Status!$A:$A=$A101),CONCATENATE(AL$2,""*"")),"""")"),"")</f>
        <v/>
      </c>
      <c r="AM101" s="23" t="str">
        <f>IFERROR(__xludf.DUMMYFUNCTION("if(countif(filter(Status!$C:$C,Status!$A:$A=$A101),CONCATENATE(AM$2,""*""))&gt;0,countif(filter(Status!$C:$C,Status!$A:$A=$A101),CONCATENATE(AM$2,""*"")),"""")"),"")</f>
        <v/>
      </c>
      <c r="AN101" s="23" t="str">
        <f>IFERROR(__xludf.DUMMYFUNCTION("if(countif(filter(Status!$C:$C,Status!$A:$A=$A101),CONCATENATE(AN$2,""*""))&gt;0,countif(filter(Status!$C:$C,Status!$A:$A=$A101),CONCATENATE(AN$2,""*"")),"""")"),"")</f>
        <v/>
      </c>
      <c r="AO101" s="23" t="str">
        <f>IFERROR(__xludf.DUMMYFUNCTION("if(countif(filter(Status!$C:$C,Status!$A:$A=$A101),CONCATENATE(AO$2,""*""))&gt;0,countif(filter(Status!$C:$C,Status!$A:$A=$A101),CONCATENATE(AO$2,""*"")),"""")"),"")</f>
        <v/>
      </c>
      <c r="AP101" s="23">
        <f>IFERROR(__xludf.DUMMYFUNCTION("counta(iferror(filter(Status!C:C,Status!A:A=A101)))"),12.0)</f>
        <v>12</v>
      </c>
      <c r="AQ101" s="23">
        <f t="shared" si="6"/>
        <v>12</v>
      </c>
    </row>
    <row r="102">
      <c r="A102" s="1" t="s">
        <v>1007</v>
      </c>
      <c r="B102" s="21">
        <f>IFERROR(__xludf.DUMMYFUNCTION("max(filter(Status!E:E,Status!A:A=A102))"),43845.0)</f>
        <v>43845</v>
      </c>
      <c r="C102" s="23">
        <f t="shared" si="1"/>
        <v>1</v>
      </c>
      <c r="D102" s="23">
        <f t="shared" si="2"/>
        <v>1</v>
      </c>
      <c r="E102" s="23">
        <f t="shared" si="3"/>
        <v>1</v>
      </c>
      <c r="F102" s="23">
        <f t="shared" si="4"/>
        <v>0.55</v>
      </c>
      <c r="G102" s="25">
        <f t="shared" si="5"/>
        <v>1</v>
      </c>
      <c r="J102" s="23">
        <f>IFERROR(__xludf.DUMMYFUNCTION("COUNTA(iferror(filter(Status!H:H,Status!A:A=A102)))"),15.0)</f>
        <v>15</v>
      </c>
      <c r="K102" s="25">
        <f>IFERROR(__xludf.DUMMYFUNCTION("COUNTA(iferror(filter(Status!H:H,Status!A:A=A102,Status!H:H=TRUE)))"),15.0)</f>
        <v>15</v>
      </c>
      <c r="L102" s="23">
        <f>IFERROR(__xludf.DUMMYFUNCTION("COUNTA(iferror(filter(Status!L:L,Status!A:A=A102)))"),10.0)</f>
        <v>10</v>
      </c>
      <c r="M102" s="25">
        <f>IFERROR(__xludf.DUMMYFUNCTION("COUNTA(iferror(filter(Status!L:L,Status!A:A=A102,Status!L:L=TRUE)))"),10.0)</f>
        <v>10</v>
      </c>
      <c r="N102" s="23">
        <f>IFERROR(__xludf.DUMMYFUNCTION("COUNTA(iferror(filter(Status!N:N,Status!A:A=A102,Status!N:N=TRUE)))"),12.0)</f>
        <v>12</v>
      </c>
      <c r="O102" s="25">
        <f>IFERROR(__xludf.DUMMYFUNCTION("COUNTA(iferror(filter(Status!N:N,Status!A:A=A102,Status!N:N=TRUE)))"),12.0)</f>
        <v>12</v>
      </c>
      <c r="P102" s="23">
        <f>IFERROR(__xludf.DUMMYFUNCTION("COUNTA(iferror(filter(Status!P:P,Status!A:A=A102)))"),20.0)</f>
        <v>20</v>
      </c>
      <c r="Q102" s="25">
        <f>IFERROR(__xludf.DUMMYFUNCTION("COUNTA(iferror(filter(Status!P:P,Status!A:A=A102,Status!P:P=TRUE)))"),11.0)</f>
        <v>11</v>
      </c>
      <c r="R102" s="23">
        <f>IFERROR(__xludf.DUMMYFUNCTION("COUNTA(iferror(filter(Status!R:R,Status!A:A=A102)))"),5.0)</f>
        <v>5</v>
      </c>
      <c r="S102" s="25">
        <f>IFERROR(__xludf.DUMMYFUNCTION("COUNTA(iferror(filter(Status!R:R,Status!A:A=A102,Status!R:R=TRUE)))"),5.0)</f>
        <v>5</v>
      </c>
      <c r="V102" s="23" t="str">
        <f>IFERROR(__xludf.DUMMYFUNCTION("if((countif(filter(Status!$C:$C,Status!$A:$A=$A102),CONCATENATE(V$2,""*""))-W102)&gt;0,(countif(filter(Status!$C:$C,Status!$A:$A=$A102),CONCATENATE(V$2,""*""))-W102),"""")"),"")</f>
        <v/>
      </c>
      <c r="W102" s="23" t="str">
        <f>IFERROR(__xludf.DUMMYFUNCTION("if(countif(filter(Status!$C:$C,Status!$A:$A=$A102),CONCATENATE(W$2,""*""))&gt;0,countif(filter(Status!$C:$C,Status!$A:$A=$A102),CONCATENATE(W$2,""*"")),"""")"),"")</f>
        <v/>
      </c>
      <c r="X102" s="23" t="str">
        <f>IFERROR(__xludf.DUMMYFUNCTION("if(countif(filter(Status!$C:$C,Status!$A:$A=$A102),CONCATENATE(X$2,""*""))&gt;0,countif(filter(Status!$C:$C,Status!$A:$A=$A102),CONCATENATE(X$2,""*"")),"""")"),"")</f>
        <v/>
      </c>
      <c r="Y102" s="23">
        <f>IFERROR(__xludf.DUMMYFUNCTION("if(countif(filter(Status!$C:$C,Status!$A:$A=$A102),CONCATENATE(Y$2,""*""))&gt;0,countif(filter(Status!$C:$C,Status!$A:$A=$A102),CONCATENATE(Y$2,""*"")),"""")"),8.0)</f>
        <v>8</v>
      </c>
      <c r="Z102" s="23" t="str">
        <f>IFERROR(__xludf.DUMMYFUNCTION("if(countif(filter(Status!$C:$C,Status!$A:$A=$A102),CONCATENATE(Z$2,""*""))&gt;0,countif(filter(Status!$C:$C,Status!$A:$A=$A102),CONCATENATE(Z$2,""*"")),"""")"),"")</f>
        <v/>
      </c>
      <c r="AA102" s="23">
        <f>IFERROR(__xludf.DUMMYFUNCTION("if((countif(filter(Status!$C:$C,Status!$A:$A=$A102),CONCATENATE(AA$2,""*""))-AB102)&gt;0,(countif(filter(Status!$C:$C,Status!$A:$A=$A102),CONCATENATE(AA$2,""*""))-AB102),"""")"),4.0)</f>
        <v>4</v>
      </c>
      <c r="AB102" s="23">
        <f>IFERROR(__xludf.DUMMYFUNCTION("if(countif(filter(Status!$C:$C,Status!$A:$A=$A102),CONCATENATE(AB$2,""*""))&gt;0,countif(filter(Status!$C:$C,Status!$A:$A=$A102),CONCATENATE(AB$2,""*"")),"""")"),4.0)</f>
        <v>4</v>
      </c>
      <c r="AC102" s="23">
        <f>IFERROR(__xludf.DUMMYFUNCTION("if(countif(filter(Status!$C:$C,Status!$A:$A=$A102),CONCATENATE(AC$2,""*""))&gt;0,countif(filter(Status!$C:$C,Status!$A:$A=$A102),CONCATENATE(AC$2,""*"")),"""")"),1.0)</f>
        <v>1</v>
      </c>
      <c r="AD102" s="23">
        <f>IFERROR(__xludf.DUMMYFUNCTION("if(countif(filter(Status!$C:$C,Status!$A:$A=$A102),CONCATENATE(AD$2,""*""))&gt;0,countif(filter(Status!$C:$C,Status!$A:$A=$A102),CONCATENATE(AD$2,""*"")),"""")"),1.0)</f>
        <v>1</v>
      </c>
      <c r="AE102" s="23">
        <f>IFERROR(__xludf.DUMMYFUNCTION("if(countif(filter(Status!$C:$C,Status!$A:$A=$A102),CONCATENATE(AE$2,""*""))&gt;0,countif(filter(Status!$C:$C,Status!$A:$A=$A102),CONCATENATE(AE$2,""*"")),"""")"),1.0)</f>
        <v>1</v>
      </c>
      <c r="AF102" s="23" t="str">
        <f>IFERROR(__xludf.DUMMYFUNCTION("if(countif(filter(Status!$C:$C,Status!$A:$A=$A102),CONCATENATE(AF$2,""*""))&gt;0,countif(filter(Status!$C:$C,Status!$A:$A=$A102),CONCATENATE(AF$2,""*"")),"""")"),"")</f>
        <v/>
      </c>
      <c r="AG102" s="23" t="str">
        <f>IFERROR(__xludf.DUMMYFUNCTION("if(countif(filter(Status!$C:$C,Status!$A:$A=$A102),CONCATENATE(AG$2,""*""))&gt;0,countif(filter(Status!$C:$C,Status!$A:$A=$A102),CONCATENATE(AG$2,""*"")),"""")"),"")</f>
        <v/>
      </c>
      <c r="AH102" s="23" t="str">
        <f>IFERROR(__xludf.DUMMYFUNCTION("if(countif(filter(Status!$C:$C,Status!$A:$A=$A102),CONCATENATE(AH$2,""*""))&gt;0,countif(filter(Status!$C:$C,Status!$A:$A=$A102),CONCATENATE(AH$2,""*"")),"""")"),"")</f>
        <v/>
      </c>
      <c r="AI102" s="23" t="str">
        <f>IFERROR(__xludf.DUMMYFUNCTION("if(countif(filter(Status!$C:$C,Status!$A:$A=$A102),CONCATENATE(AI$2,""*""))&gt;0,countif(filter(Status!$C:$C,Status!$A:$A=$A102),CONCATENATE(AI$2,""*"")),"""")"),"")</f>
        <v/>
      </c>
      <c r="AJ102" s="23" t="str">
        <f>IFERROR(__xludf.DUMMYFUNCTION("if(countif(filter(Status!$C:$C,Status!$A:$A=$A102),CONCATENATE(AJ$2,""*""))&gt;0,countif(filter(Status!$C:$C,Status!$A:$A=$A102),CONCATENATE(AJ$2,""*"")),"""")"),"")</f>
        <v/>
      </c>
      <c r="AK102" s="23" t="str">
        <f>IFERROR(__xludf.DUMMYFUNCTION("if(countif(filter(Status!$C:$C,Status!$A:$A=$A102),CONCATENATE(AK$2,""*""))&gt;0,countif(filter(Status!$C:$C,Status!$A:$A=$A102),CONCATENATE(AK$2,""*"")),"""")"),"")</f>
        <v/>
      </c>
      <c r="AL102" s="23" t="str">
        <f>IFERROR(__xludf.DUMMYFUNCTION("if(countif(filter(Status!$C:$C,Status!$A:$A=$A102),CONCATENATE(AL$2,""*""))&gt;0,countif(filter(Status!$C:$C,Status!$A:$A=$A102),CONCATENATE(AL$2,""*"")),"""")"),"")</f>
        <v/>
      </c>
      <c r="AM102" s="23">
        <f>IFERROR(__xludf.DUMMYFUNCTION("if(countif(filter(Status!$C:$C,Status!$A:$A=$A102),CONCATENATE(AM$2,""*""))&gt;0,countif(filter(Status!$C:$C,Status!$A:$A=$A102),CONCATENATE(AM$2,""*"")),"""")"),1.0)</f>
        <v>1</v>
      </c>
      <c r="AN102" s="23" t="str">
        <f>IFERROR(__xludf.DUMMYFUNCTION("if(countif(filter(Status!$C:$C,Status!$A:$A=$A102),CONCATENATE(AN$2,""*""))&gt;0,countif(filter(Status!$C:$C,Status!$A:$A=$A102),CONCATENATE(AN$2,""*"")),"""")"),"")</f>
        <v/>
      </c>
      <c r="AO102" s="23">
        <f>IFERROR(__xludf.DUMMYFUNCTION("if(countif(filter(Status!$C:$C,Status!$A:$A=$A102),CONCATENATE(AO$2,""*""))&gt;0,countif(filter(Status!$C:$C,Status!$A:$A=$A102),CONCATENATE(AO$2,""*"")),"""")"),1.0)</f>
        <v>1</v>
      </c>
      <c r="AP102" s="23">
        <f>IFERROR(__xludf.DUMMYFUNCTION("counta(iferror(filter(Status!C:C,Status!A:A=A102)))"),21.0)</f>
        <v>21</v>
      </c>
      <c r="AQ102" s="23">
        <f t="shared" si="6"/>
        <v>21</v>
      </c>
    </row>
    <row r="103">
      <c r="A103" s="1" t="s">
        <v>1011</v>
      </c>
      <c r="B103" s="21">
        <f>IFERROR(__xludf.DUMMYFUNCTION("max(filter(Status!E:E,Status!A:A=A103))"),43846.0)</f>
        <v>43846</v>
      </c>
      <c r="C103" s="23">
        <f t="shared" si="1"/>
        <v>0.8181818182</v>
      </c>
      <c r="D103" s="23">
        <f t="shared" si="2"/>
        <v>0.6</v>
      </c>
      <c r="E103" s="23">
        <f t="shared" si="3"/>
        <v>1</v>
      </c>
      <c r="F103" s="23">
        <f t="shared" si="4"/>
        <v>0.4736842105</v>
      </c>
      <c r="G103" s="25">
        <f t="shared" si="5"/>
        <v>1</v>
      </c>
      <c r="J103" s="23">
        <f>IFERROR(__xludf.DUMMYFUNCTION("COUNTA(iferror(filter(Status!H:H,Status!A:A=A103)))"),11.0)</f>
        <v>11</v>
      </c>
      <c r="K103" s="25">
        <f>IFERROR(__xludf.DUMMYFUNCTION("COUNTA(iferror(filter(Status!H:H,Status!A:A=A103,Status!H:H=TRUE)))"),9.0)</f>
        <v>9</v>
      </c>
      <c r="L103" s="23">
        <f>IFERROR(__xludf.DUMMYFUNCTION("COUNTA(iferror(filter(Status!L:L,Status!A:A=A103)))"),5.0)</f>
        <v>5</v>
      </c>
      <c r="M103" s="25">
        <f>IFERROR(__xludf.DUMMYFUNCTION("COUNTA(iferror(filter(Status!L:L,Status!A:A=A103,Status!L:L=TRUE)))"),3.0)</f>
        <v>3</v>
      </c>
      <c r="N103" s="23">
        <f>IFERROR(__xludf.DUMMYFUNCTION("COUNTA(iferror(filter(Status!N:N,Status!A:A=A103,Status!N:N=TRUE)))"),9.0)</f>
        <v>9</v>
      </c>
      <c r="O103" s="25">
        <f>IFERROR(__xludf.DUMMYFUNCTION("COUNTA(iferror(filter(Status!N:N,Status!A:A=A103,Status!N:N=TRUE)))"),9.0)</f>
        <v>9</v>
      </c>
      <c r="P103" s="23">
        <f>IFERROR(__xludf.DUMMYFUNCTION("COUNTA(iferror(filter(Status!P:P,Status!A:A=A103)))"),19.0)</f>
        <v>19</v>
      </c>
      <c r="Q103" s="25">
        <f>IFERROR(__xludf.DUMMYFUNCTION("COUNTA(iferror(filter(Status!P:P,Status!A:A=A103,Status!P:P=TRUE)))"),9.0)</f>
        <v>9</v>
      </c>
      <c r="R103" s="23">
        <f>IFERROR(__xludf.DUMMYFUNCTION("COUNTA(iferror(filter(Status!R:R,Status!A:A=A103)))"),10.0)</f>
        <v>10</v>
      </c>
      <c r="S103" s="25">
        <f>IFERROR(__xludf.DUMMYFUNCTION("COUNTA(iferror(filter(Status!R:R,Status!A:A=A103,Status!R:R=TRUE)))"),10.0)</f>
        <v>10</v>
      </c>
      <c r="V103" s="23" t="str">
        <f>IFERROR(__xludf.DUMMYFUNCTION("if((countif(filter(Status!$C:$C,Status!$A:$A=$A103),CONCATENATE(V$2,""*""))-W103)&gt;0,(countif(filter(Status!$C:$C,Status!$A:$A=$A103),CONCATENATE(V$2,""*""))-W103),"""")"),"")</f>
        <v/>
      </c>
      <c r="W103" s="23">
        <f>IFERROR(__xludf.DUMMYFUNCTION("if(countif(filter(Status!$C:$C,Status!$A:$A=$A103),CONCATENATE(W$2,""*""))&gt;0,countif(filter(Status!$C:$C,Status!$A:$A=$A103),CONCATENATE(W$2,""*"")),"""")"),2.0)</f>
        <v>2</v>
      </c>
      <c r="X103" s="23">
        <f>IFERROR(__xludf.DUMMYFUNCTION("if(countif(filter(Status!$C:$C,Status!$A:$A=$A103),CONCATENATE(X$2,""*""))&gt;0,countif(filter(Status!$C:$C,Status!$A:$A=$A103),CONCATENATE(X$2,""*"")),"""")"),2.0)</f>
        <v>2</v>
      </c>
      <c r="Y103" s="23" t="str">
        <f>IFERROR(__xludf.DUMMYFUNCTION("if(countif(filter(Status!$C:$C,Status!$A:$A=$A103),CONCATENATE(Y$2,""*""))&gt;0,countif(filter(Status!$C:$C,Status!$A:$A=$A103),CONCATENATE(Y$2,""*"")),"""")"),"")</f>
        <v/>
      </c>
      <c r="Z103" s="23" t="str">
        <f>IFERROR(__xludf.DUMMYFUNCTION("if(countif(filter(Status!$C:$C,Status!$A:$A=$A103),CONCATENATE(Z$2,""*""))&gt;0,countif(filter(Status!$C:$C,Status!$A:$A=$A103),CONCATENATE(Z$2,""*"")),"""")"),"")</f>
        <v/>
      </c>
      <c r="AA103" s="23">
        <f>IFERROR(__xludf.DUMMYFUNCTION("if((countif(filter(Status!$C:$C,Status!$A:$A=$A103),CONCATENATE(AA$2,""*""))-AB103)&gt;0,(countif(filter(Status!$C:$C,Status!$A:$A=$A103),CONCATENATE(AA$2,""*""))-AB103),"""")"),5.0)</f>
        <v>5</v>
      </c>
      <c r="AB103" s="23">
        <f>IFERROR(__xludf.DUMMYFUNCTION("if(countif(filter(Status!$C:$C,Status!$A:$A=$A103),CONCATENATE(AB$2,""*""))&gt;0,countif(filter(Status!$C:$C,Status!$A:$A=$A103),CONCATENATE(AB$2,""*"")),"""")"),5.0)</f>
        <v>5</v>
      </c>
      <c r="AC103" s="23">
        <f>IFERROR(__xludf.DUMMYFUNCTION("if(countif(filter(Status!$C:$C,Status!$A:$A=$A103),CONCATENATE(AC$2,""*""))&gt;0,countif(filter(Status!$C:$C,Status!$A:$A=$A103),CONCATENATE(AC$2,""*"")),"""")"),1.0)</f>
        <v>1</v>
      </c>
      <c r="AD103" s="23">
        <f>IFERROR(__xludf.DUMMYFUNCTION("if(countif(filter(Status!$C:$C,Status!$A:$A=$A103),CONCATENATE(AD$2,""*""))&gt;0,countif(filter(Status!$C:$C,Status!$A:$A=$A103),CONCATENATE(AD$2,""*"")),"""")"),1.0)</f>
        <v>1</v>
      </c>
      <c r="AE103" s="23">
        <f>IFERROR(__xludf.DUMMYFUNCTION("if(countif(filter(Status!$C:$C,Status!$A:$A=$A103),CONCATENATE(AE$2,""*""))&gt;0,countif(filter(Status!$C:$C,Status!$A:$A=$A103),CONCATENATE(AE$2,""*"")),"""")"),1.0)</f>
        <v>1</v>
      </c>
      <c r="AF103" s="23" t="str">
        <f>IFERROR(__xludf.DUMMYFUNCTION("if(countif(filter(Status!$C:$C,Status!$A:$A=$A103),CONCATENATE(AF$2,""*""))&gt;0,countif(filter(Status!$C:$C,Status!$A:$A=$A103),CONCATENATE(AF$2,""*"")),"""")"),"")</f>
        <v/>
      </c>
      <c r="AG103" s="23">
        <f>IFERROR(__xludf.DUMMYFUNCTION("if(countif(filter(Status!$C:$C,Status!$A:$A=$A103),CONCATENATE(AG$2,""*""))&gt;0,countif(filter(Status!$C:$C,Status!$A:$A=$A103),CONCATENATE(AG$2,""*"")),"""")"),3.0)</f>
        <v>3</v>
      </c>
      <c r="AH103" s="23" t="str">
        <f>IFERROR(__xludf.DUMMYFUNCTION("if(countif(filter(Status!$C:$C,Status!$A:$A=$A103),CONCATENATE(AH$2,""*""))&gt;0,countif(filter(Status!$C:$C,Status!$A:$A=$A103),CONCATENATE(AH$2,""*"")),"""")"),"")</f>
        <v/>
      </c>
      <c r="AI103" s="23" t="str">
        <f>IFERROR(__xludf.DUMMYFUNCTION("if(countif(filter(Status!$C:$C,Status!$A:$A=$A103),CONCATENATE(AI$2,""*""))&gt;0,countif(filter(Status!$C:$C,Status!$A:$A=$A103),CONCATENATE(AI$2,""*"")),"""")"),"")</f>
        <v/>
      </c>
      <c r="AJ103" s="23" t="str">
        <f>IFERROR(__xludf.DUMMYFUNCTION("if(countif(filter(Status!$C:$C,Status!$A:$A=$A103),CONCATENATE(AJ$2,""*""))&gt;0,countif(filter(Status!$C:$C,Status!$A:$A=$A103),CONCATENATE(AJ$2,""*"")),"""")"),"")</f>
        <v/>
      </c>
      <c r="AK103" s="23" t="str">
        <f>IFERROR(__xludf.DUMMYFUNCTION("if(countif(filter(Status!$C:$C,Status!$A:$A=$A103),CONCATENATE(AK$2,""*""))&gt;0,countif(filter(Status!$C:$C,Status!$A:$A=$A103),CONCATENATE(AK$2,""*"")),"""")"),"")</f>
        <v/>
      </c>
      <c r="AL103" s="23" t="str">
        <f>IFERROR(__xludf.DUMMYFUNCTION("if(countif(filter(Status!$C:$C,Status!$A:$A=$A103),CONCATENATE(AL$2,""*""))&gt;0,countif(filter(Status!$C:$C,Status!$A:$A=$A103),CONCATENATE(AL$2,""*"")),"""")"),"")</f>
        <v/>
      </c>
      <c r="AM103" s="23" t="str">
        <f>IFERROR(__xludf.DUMMYFUNCTION("if(countif(filter(Status!$C:$C,Status!$A:$A=$A103),CONCATENATE(AM$2,""*""))&gt;0,countif(filter(Status!$C:$C,Status!$A:$A=$A103),CONCATENATE(AM$2,""*"")),"""")"),"")</f>
        <v/>
      </c>
      <c r="AN103" s="23" t="str">
        <f>IFERROR(__xludf.DUMMYFUNCTION("if(countif(filter(Status!$C:$C,Status!$A:$A=$A103),CONCATENATE(AN$2,""*""))&gt;0,countif(filter(Status!$C:$C,Status!$A:$A=$A103),CONCATENATE(AN$2,""*"")),"""")"),"")</f>
        <v/>
      </c>
      <c r="AO103" s="23" t="str">
        <f>IFERROR(__xludf.DUMMYFUNCTION("if(countif(filter(Status!$C:$C,Status!$A:$A=$A103),CONCATENATE(AO$2,""*""))&gt;0,countif(filter(Status!$C:$C,Status!$A:$A=$A103),CONCATENATE(AO$2,""*"")),"""")"),"")</f>
        <v/>
      </c>
      <c r="AP103" s="23">
        <f>IFERROR(__xludf.DUMMYFUNCTION("counta(iferror(filter(Status!C:C,Status!A:A=A103)))"),20.0)</f>
        <v>20</v>
      </c>
      <c r="AQ103" s="23">
        <f t="shared" si="6"/>
        <v>20</v>
      </c>
    </row>
    <row r="104">
      <c r="A104" s="1" t="s">
        <v>1015</v>
      </c>
      <c r="B104" s="21">
        <f>IFERROR(__xludf.DUMMYFUNCTION("max(filter(Status!E:E,Status!A:A=A104))"),43850.0)</f>
        <v>43850</v>
      </c>
      <c r="C104" s="23">
        <f t="shared" si="1"/>
        <v>1</v>
      </c>
      <c r="D104" s="23">
        <f t="shared" si="2"/>
        <v>1</v>
      </c>
      <c r="E104" s="23">
        <f t="shared" si="3"/>
        <v>1</v>
      </c>
      <c r="F104" s="23">
        <f t="shared" si="4"/>
        <v>0.3</v>
      </c>
      <c r="G104" s="25">
        <f t="shared" si="5"/>
        <v>1</v>
      </c>
      <c r="J104" s="23">
        <f>IFERROR(__xludf.DUMMYFUNCTION("COUNTA(iferror(filter(Status!H:H,Status!A:A=A104)))"),7.0)</f>
        <v>7</v>
      </c>
      <c r="K104" s="25">
        <f>IFERROR(__xludf.DUMMYFUNCTION("COUNTA(iferror(filter(Status!H:H,Status!A:A=A104,Status!H:H=TRUE)))"),7.0)</f>
        <v>7</v>
      </c>
      <c r="L104" s="23">
        <f>IFERROR(__xludf.DUMMYFUNCTION("COUNTA(iferror(filter(Status!L:L,Status!A:A=A104)))"),3.0)</f>
        <v>3</v>
      </c>
      <c r="M104" s="25">
        <f>IFERROR(__xludf.DUMMYFUNCTION("COUNTA(iferror(filter(Status!L:L,Status!A:A=A104,Status!L:L=TRUE)))"),3.0)</f>
        <v>3</v>
      </c>
      <c r="N104" s="23">
        <f>IFERROR(__xludf.DUMMYFUNCTION("COUNTA(iferror(filter(Status!N:N,Status!A:A=A104,Status!N:N=TRUE)))"),4.0)</f>
        <v>4</v>
      </c>
      <c r="O104" s="25">
        <f>IFERROR(__xludf.DUMMYFUNCTION("COUNTA(iferror(filter(Status!N:N,Status!A:A=A104,Status!N:N=TRUE)))"),4.0)</f>
        <v>4</v>
      </c>
      <c r="P104" s="23">
        <f>IFERROR(__xludf.DUMMYFUNCTION("COUNTA(iferror(filter(Status!P:P,Status!A:A=A104)))"),10.0)</f>
        <v>10</v>
      </c>
      <c r="Q104" s="25">
        <f>IFERROR(__xludf.DUMMYFUNCTION("COUNTA(iferror(filter(Status!P:P,Status!A:A=A104,Status!P:P=TRUE)))"),3.0)</f>
        <v>3</v>
      </c>
      <c r="R104" s="23">
        <f>IFERROR(__xludf.DUMMYFUNCTION("COUNTA(iferror(filter(Status!R:R,Status!A:A=A104)))"),7.0)</f>
        <v>7</v>
      </c>
      <c r="S104" s="25">
        <f>IFERROR(__xludf.DUMMYFUNCTION("COUNTA(iferror(filter(Status!R:R,Status!A:A=A104,Status!R:R=TRUE)))"),7.0)</f>
        <v>7</v>
      </c>
      <c r="V104" s="23" t="str">
        <f>IFERROR(__xludf.DUMMYFUNCTION("if((countif(filter(Status!$C:$C,Status!$A:$A=$A104),CONCATENATE(V$2,""*""))-W104)&gt;0,(countif(filter(Status!$C:$C,Status!$A:$A=$A104),CONCATENATE(V$2,""*""))-W104),"""")"),"")</f>
        <v/>
      </c>
      <c r="W104" s="23">
        <f>IFERROR(__xludf.DUMMYFUNCTION("if(countif(filter(Status!$C:$C,Status!$A:$A=$A104),CONCATENATE(W$2,""*""))&gt;0,countif(filter(Status!$C:$C,Status!$A:$A=$A104),CONCATENATE(W$2,""*"")),"""")"),3.0)</f>
        <v>3</v>
      </c>
      <c r="X104" s="23" t="str">
        <f>IFERROR(__xludf.DUMMYFUNCTION("if(countif(filter(Status!$C:$C,Status!$A:$A=$A104),CONCATENATE(X$2,""*""))&gt;0,countif(filter(Status!$C:$C,Status!$A:$A=$A104),CONCATENATE(X$2,""*"")),"""")"),"")</f>
        <v/>
      </c>
      <c r="Y104" s="23" t="str">
        <f>IFERROR(__xludf.DUMMYFUNCTION("if(countif(filter(Status!$C:$C,Status!$A:$A=$A104),CONCATENATE(Y$2,""*""))&gt;0,countif(filter(Status!$C:$C,Status!$A:$A=$A104),CONCATENATE(Y$2,""*"")),"""")"),"")</f>
        <v/>
      </c>
      <c r="Z104" s="23" t="str">
        <f>IFERROR(__xludf.DUMMYFUNCTION("if(countif(filter(Status!$C:$C,Status!$A:$A=$A104),CONCATENATE(Z$2,""*""))&gt;0,countif(filter(Status!$C:$C,Status!$A:$A=$A104),CONCATENATE(Z$2,""*"")),"""")"),"")</f>
        <v/>
      </c>
      <c r="AA104" s="23">
        <f>IFERROR(__xludf.DUMMYFUNCTION("if((countif(filter(Status!$C:$C,Status!$A:$A=$A104),CONCATENATE(AA$2,""*""))-AB104)&gt;0,(countif(filter(Status!$C:$C,Status!$A:$A=$A104),CONCATENATE(AA$2,""*""))-AB104),"""")"),3.0)</f>
        <v>3</v>
      </c>
      <c r="AB104" s="23">
        <f>IFERROR(__xludf.DUMMYFUNCTION("if(countif(filter(Status!$C:$C,Status!$A:$A=$A104),CONCATENATE(AB$2,""*""))&gt;0,countif(filter(Status!$C:$C,Status!$A:$A=$A104),CONCATENATE(AB$2,""*"")),"""")"),3.0)</f>
        <v>3</v>
      </c>
      <c r="AC104" s="23">
        <f>IFERROR(__xludf.DUMMYFUNCTION("if(countif(filter(Status!$C:$C,Status!$A:$A=$A104),CONCATENATE(AC$2,""*""))&gt;0,countif(filter(Status!$C:$C,Status!$A:$A=$A104),CONCATENATE(AC$2,""*"")),"""")"),1.0)</f>
        <v>1</v>
      </c>
      <c r="AD104" s="23" t="str">
        <f>IFERROR(__xludf.DUMMYFUNCTION("if(countif(filter(Status!$C:$C,Status!$A:$A=$A104),CONCATENATE(AD$2,""*""))&gt;0,countif(filter(Status!$C:$C,Status!$A:$A=$A104),CONCATENATE(AD$2,""*"")),"""")"),"")</f>
        <v/>
      </c>
      <c r="AE104" s="23">
        <f>IFERROR(__xludf.DUMMYFUNCTION("if(countif(filter(Status!$C:$C,Status!$A:$A=$A104),CONCATENATE(AE$2,""*""))&gt;0,countif(filter(Status!$C:$C,Status!$A:$A=$A104),CONCATENATE(AE$2,""*"")),"""")"),1.0)</f>
        <v>1</v>
      </c>
      <c r="AF104" s="23" t="str">
        <f>IFERROR(__xludf.DUMMYFUNCTION("if(countif(filter(Status!$C:$C,Status!$A:$A=$A104),CONCATENATE(AF$2,""*""))&gt;0,countif(filter(Status!$C:$C,Status!$A:$A=$A104),CONCATENATE(AF$2,""*"")),"""")"),"")</f>
        <v/>
      </c>
      <c r="AG104" s="23" t="str">
        <f>IFERROR(__xludf.DUMMYFUNCTION("if(countif(filter(Status!$C:$C,Status!$A:$A=$A104),CONCATENATE(AG$2,""*""))&gt;0,countif(filter(Status!$C:$C,Status!$A:$A=$A104),CONCATENATE(AG$2,""*"")),"""")"),"")</f>
        <v/>
      </c>
      <c r="AH104" s="23" t="str">
        <f>IFERROR(__xludf.DUMMYFUNCTION("if(countif(filter(Status!$C:$C,Status!$A:$A=$A104),CONCATENATE(AH$2,""*""))&gt;0,countif(filter(Status!$C:$C,Status!$A:$A=$A104),CONCATENATE(AH$2,""*"")),"""")"),"")</f>
        <v/>
      </c>
      <c r="AI104" s="23" t="str">
        <f>IFERROR(__xludf.DUMMYFUNCTION("if(countif(filter(Status!$C:$C,Status!$A:$A=$A104),CONCATENATE(AI$2,""*""))&gt;0,countif(filter(Status!$C:$C,Status!$A:$A=$A104),CONCATENATE(AI$2,""*"")),"""")"),"")</f>
        <v/>
      </c>
      <c r="AJ104" s="23" t="str">
        <f>IFERROR(__xludf.DUMMYFUNCTION("if(countif(filter(Status!$C:$C,Status!$A:$A=$A104),CONCATENATE(AJ$2,""*""))&gt;0,countif(filter(Status!$C:$C,Status!$A:$A=$A104),CONCATENATE(AJ$2,""*"")),"""")"),"")</f>
        <v/>
      </c>
      <c r="AK104" s="23" t="str">
        <f>IFERROR(__xludf.DUMMYFUNCTION("if(countif(filter(Status!$C:$C,Status!$A:$A=$A104),CONCATENATE(AK$2,""*""))&gt;0,countif(filter(Status!$C:$C,Status!$A:$A=$A104),CONCATENATE(AK$2,""*"")),"""")"),"")</f>
        <v/>
      </c>
      <c r="AL104" s="23" t="str">
        <f>IFERROR(__xludf.DUMMYFUNCTION("if(countif(filter(Status!$C:$C,Status!$A:$A=$A104),CONCATENATE(AL$2,""*""))&gt;0,countif(filter(Status!$C:$C,Status!$A:$A=$A104),CONCATENATE(AL$2,""*"")),"""")"),"")</f>
        <v/>
      </c>
      <c r="AM104" s="23" t="str">
        <f>IFERROR(__xludf.DUMMYFUNCTION("if(countif(filter(Status!$C:$C,Status!$A:$A=$A104),CONCATENATE(AM$2,""*""))&gt;0,countif(filter(Status!$C:$C,Status!$A:$A=$A104),CONCATENATE(AM$2,""*"")),"""")"),"")</f>
        <v/>
      </c>
      <c r="AN104" s="23" t="str">
        <f>IFERROR(__xludf.DUMMYFUNCTION("if(countif(filter(Status!$C:$C,Status!$A:$A=$A104),CONCATENATE(AN$2,""*""))&gt;0,countif(filter(Status!$C:$C,Status!$A:$A=$A104),CONCATENATE(AN$2,""*"")),"""")"),"")</f>
        <v/>
      </c>
      <c r="AO104" s="23" t="str">
        <f>IFERROR(__xludf.DUMMYFUNCTION("if(countif(filter(Status!$C:$C,Status!$A:$A=$A104),CONCATENATE(AO$2,""*""))&gt;0,countif(filter(Status!$C:$C,Status!$A:$A=$A104),CONCATENATE(AO$2,""*"")),"""")"),"")</f>
        <v/>
      </c>
      <c r="AP104" s="23">
        <f>IFERROR(__xludf.DUMMYFUNCTION("counta(iferror(filter(Status!C:C,Status!A:A=A104)))"),11.0)</f>
        <v>11</v>
      </c>
      <c r="AQ104" s="23">
        <f t="shared" si="6"/>
        <v>11</v>
      </c>
    </row>
    <row r="105">
      <c r="A105" s="1" t="s">
        <v>1019</v>
      </c>
      <c r="B105" s="21">
        <f>IFERROR(__xludf.DUMMYFUNCTION("max(filter(Status!E:E,Status!A:A=A105))"),43851.0)</f>
        <v>43851</v>
      </c>
      <c r="C105" s="23">
        <f t="shared" si="1"/>
        <v>0.8333333333</v>
      </c>
      <c r="D105" s="23">
        <f t="shared" si="2"/>
        <v>0.5</v>
      </c>
      <c r="E105" s="23">
        <f t="shared" si="3"/>
        <v>1</v>
      </c>
      <c r="F105" s="23">
        <f t="shared" si="4"/>
        <v>0.4166666667</v>
      </c>
      <c r="G105" s="25">
        <f t="shared" si="5"/>
        <v>0.7777777778</v>
      </c>
      <c r="J105" s="23">
        <f>IFERROR(__xludf.DUMMYFUNCTION("COUNTA(iferror(filter(Status!H:H,Status!A:A=A105)))"),6.0)</f>
        <v>6</v>
      </c>
      <c r="K105" s="25">
        <f>IFERROR(__xludf.DUMMYFUNCTION("COUNTA(iferror(filter(Status!H:H,Status!A:A=A105,Status!H:H=TRUE)))"),5.0)</f>
        <v>5</v>
      </c>
      <c r="L105" s="23">
        <f>IFERROR(__xludf.DUMMYFUNCTION("COUNTA(iferror(filter(Status!L:L,Status!A:A=A105)))"),2.0)</f>
        <v>2</v>
      </c>
      <c r="M105" s="25">
        <f>IFERROR(__xludf.DUMMYFUNCTION("COUNTA(iferror(filter(Status!L:L,Status!A:A=A105,Status!L:L=TRUE)))"),1.0)</f>
        <v>1</v>
      </c>
      <c r="N105" s="23">
        <f>IFERROR(__xludf.DUMMYFUNCTION("COUNTA(iferror(filter(Status!N:N,Status!A:A=A105,Status!N:N=TRUE)))"),6.0)</f>
        <v>6</v>
      </c>
      <c r="O105" s="25">
        <f>IFERROR(__xludf.DUMMYFUNCTION("COUNTA(iferror(filter(Status!N:N,Status!A:A=A105,Status!N:N=TRUE)))"),6.0)</f>
        <v>6</v>
      </c>
      <c r="P105" s="23">
        <f>IFERROR(__xludf.DUMMYFUNCTION("COUNTA(iferror(filter(Status!P:P,Status!A:A=A105)))"),12.0)</f>
        <v>12</v>
      </c>
      <c r="Q105" s="25">
        <f>IFERROR(__xludf.DUMMYFUNCTION("COUNTA(iferror(filter(Status!P:P,Status!A:A=A105,Status!P:P=TRUE)))"),5.0)</f>
        <v>5</v>
      </c>
      <c r="R105" s="23">
        <f>IFERROR(__xludf.DUMMYFUNCTION("COUNTA(iferror(filter(Status!R:R,Status!A:A=A105)))"),9.0)</f>
        <v>9</v>
      </c>
      <c r="S105" s="25">
        <f>IFERROR(__xludf.DUMMYFUNCTION("COUNTA(iferror(filter(Status!R:R,Status!A:A=A105,Status!R:R=TRUE)))"),7.0)</f>
        <v>7</v>
      </c>
      <c r="V105" s="23" t="str">
        <f>IFERROR(__xludf.DUMMYFUNCTION("if((countif(filter(Status!$C:$C,Status!$A:$A=$A105),CONCATENATE(V$2,""*""))-W105)&gt;0,(countif(filter(Status!$C:$C,Status!$A:$A=$A105),CONCATENATE(V$2,""*""))-W105),"""")"),"")</f>
        <v/>
      </c>
      <c r="W105" s="23" t="str">
        <f>IFERROR(__xludf.DUMMYFUNCTION("if(countif(filter(Status!$C:$C,Status!$A:$A=$A105),CONCATENATE(W$2,""*""))&gt;0,countif(filter(Status!$C:$C,Status!$A:$A=$A105),CONCATENATE(W$2,""*"")),"""")"),"")</f>
        <v/>
      </c>
      <c r="X105" s="23">
        <f>IFERROR(__xludf.DUMMYFUNCTION("if(countif(filter(Status!$C:$C,Status!$A:$A=$A105),CONCATENATE(X$2,""*""))&gt;0,countif(filter(Status!$C:$C,Status!$A:$A=$A105),CONCATENATE(X$2,""*"")),"""")"),3.0)</f>
        <v>3</v>
      </c>
      <c r="Y105" s="23" t="str">
        <f>IFERROR(__xludf.DUMMYFUNCTION("if(countif(filter(Status!$C:$C,Status!$A:$A=$A105),CONCATENATE(Y$2,""*""))&gt;0,countif(filter(Status!$C:$C,Status!$A:$A=$A105),CONCATENATE(Y$2,""*"")),"""")"),"")</f>
        <v/>
      </c>
      <c r="Z105" s="23" t="str">
        <f>IFERROR(__xludf.DUMMYFUNCTION("if(countif(filter(Status!$C:$C,Status!$A:$A=$A105),CONCATENATE(Z$2,""*""))&gt;0,countif(filter(Status!$C:$C,Status!$A:$A=$A105),CONCATENATE(Z$2,""*"")),"""")"),"")</f>
        <v/>
      </c>
      <c r="AA105" s="23">
        <f>IFERROR(__xludf.DUMMYFUNCTION("if((countif(filter(Status!$C:$C,Status!$A:$A=$A105),CONCATENATE(AA$2,""*""))-AB105)&gt;0,(countif(filter(Status!$C:$C,Status!$A:$A=$A105),CONCATENATE(AA$2,""*""))-AB105),"""")"),3.0)</f>
        <v>3</v>
      </c>
      <c r="AB105" s="23">
        <f>IFERROR(__xludf.DUMMYFUNCTION("if(countif(filter(Status!$C:$C,Status!$A:$A=$A105),CONCATENATE(AB$2,""*""))&gt;0,countif(filter(Status!$C:$C,Status!$A:$A=$A105),CONCATENATE(AB$2,""*"")),"""")"),3.0)</f>
        <v>3</v>
      </c>
      <c r="AC105" s="23">
        <f>IFERROR(__xludf.DUMMYFUNCTION("if(countif(filter(Status!$C:$C,Status!$A:$A=$A105),CONCATENATE(AC$2,""*""))&gt;0,countif(filter(Status!$C:$C,Status!$A:$A=$A105),CONCATENATE(AC$2,""*"")),"""")"),1.0)</f>
        <v>1</v>
      </c>
      <c r="AD105" s="23" t="str">
        <f>IFERROR(__xludf.DUMMYFUNCTION("if(countif(filter(Status!$C:$C,Status!$A:$A=$A105),CONCATENATE(AD$2,""*""))&gt;0,countif(filter(Status!$C:$C,Status!$A:$A=$A105),CONCATENATE(AD$2,""*"")),"""")"),"")</f>
        <v/>
      </c>
      <c r="AE105" s="23">
        <f>IFERROR(__xludf.DUMMYFUNCTION("if(countif(filter(Status!$C:$C,Status!$A:$A=$A105),CONCATENATE(AE$2,""*""))&gt;0,countif(filter(Status!$C:$C,Status!$A:$A=$A105),CONCATENATE(AE$2,""*"")),"""")"),1.0)</f>
        <v>1</v>
      </c>
      <c r="AF105" s="23">
        <f>IFERROR(__xludf.DUMMYFUNCTION("if(countif(filter(Status!$C:$C,Status!$A:$A=$A105),CONCATENATE(AF$2,""*""))&gt;0,countif(filter(Status!$C:$C,Status!$A:$A=$A105),CONCATENATE(AF$2,""*"")),"""")"),2.0)</f>
        <v>2</v>
      </c>
      <c r="AG105" s="23" t="str">
        <f>IFERROR(__xludf.DUMMYFUNCTION("if(countif(filter(Status!$C:$C,Status!$A:$A=$A105),CONCATENATE(AG$2,""*""))&gt;0,countif(filter(Status!$C:$C,Status!$A:$A=$A105),CONCATENATE(AG$2,""*"")),"""")"),"")</f>
        <v/>
      </c>
      <c r="AH105" s="23" t="str">
        <f>IFERROR(__xludf.DUMMYFUNCTION("if(countif(filter(Status!$C:$C,Status!$A:$A=$A105),CONCATENATE(AH$2,""*""))&gt;0,countif(filter(Status!$C:$C,Status!$A:$A=$A105),CONCATENATE(AH$2,""*"")),"""")"),"")</f>
        <v/>
      </c>
      <c r="AI105" s="23" t="str">
        <f>IFERROR(__xludf.DUMMYFUNCTION("if(countif(filter(Status!$C:$C,Status!$A:$A=$A105),CONCATENATE(AI$2,""*""))&gt;0,countif(filter(Status!$C:$C,Status!$A:$A=$A105),CONCATENATE(AI$2,""*"")),"""")"),"")</f>
        <v/>
      </c>
      <c r="AJ105" s="23" t="str">
        <f>IFERROR(__xludf.DUMMYFUNCTION("if(countif(filter(Status!$C:$C,Status!$A:$A=$A105),CONCATENATE(AJ$2,""*""))&gt;0,countif(filter(Status!$C:$C,Status!$A:$A=$A105),CONCATENATE(AJ$2,""*"")),"""")"),"")</f>
        <v/>
      </c>
      <c r="AK105" s="23" t="str">
        <f>IFERROR(__xludf.DUMMYFUNCTION("if(countif(filter(Status!$C:$C,Status!$A:$A=$A105),CONCATENATE(AK$2,""*""))&gt;0,countif(filter(Status!$C:$C,Status!$A:$A=$A105),CONCATENATE(AK$2,""*"")),"""")"),"")</f>
        <v/>
      </c>
      <c r="AL105" s="23" t="str">
        <f>IFERROR(__xludf.DUMMYFUNCTION("if(countif(filter(Status!$C:$C,Status!$A:$A=$A105),CONCATENATE(AL$2,""*""))&gt;0,countif(filter(Status!$C:$C,Status!$A:$A=$A105),CONCATENATE(AL$2,""*"")),"""")"),"")</f>
        <v/>
      </c>
      <c r="AM105" s="23" t="str">
        <f>IFERROR(__xludf.DUMMYFUNCTION("if(countif(filter(Status!$C:$C,Status!$A:$A=$A105),CONCATENATE(AM$2,""*""))&gt;0,countif(filter(Status!$C:$C,Status!$A:$A=$A105),CONCATENATE(AM$2,""*"")),"""")"),"")</f>
        <v/>
      </c>
      <c r="AN105" s="23" t="str">
        <f>IFERROR(__xludf.DUMMYFUNCTION("if(countif(filter(Status!$C:$C,Status!$A:$A=$A105),CONCATENATE(AN$2,""*""))&gt;0,countif(filter(Status!$C:$C,Status!$A:$A=$A105),CONCATENATE(AN$2,""*"")),"""")"),"")</f>
        <v/>
      </c>
      <c r="AO105" s="23" t="str">
        <f>IFERROR(__xludf.DUMMYFUNCTION("if(countif(filter(Status!$C:$C,Status!$A:$A=$A105),CONCATENATE(AO$2,""*""))&gt;0,countif(filter(Status!$C:$C,Status!$A:$A=$A105),CONCATENATE(AO$2,""*"")),"""")"),"")</f>
        <v/>
      </c>
      <c r="AP105" s="23">
        <f>IFERROR(__xludf.DUMMYFUNCTION("counta(iferror(filter(Status!C:C,Status!A:A=A105)))"),13.0)</f>
        <v>13</v>
      </c>
      <c r="AQ105" s="23">
        <f t="shared" si="6"/>
        <v>13</v>
      </c>
    </row>
    <row r="106">
      <c r="A106" s="1" t="s">
        <v>1022</v>
      </c>
      <c r="B106" s="21">
        <f>IFERROR(__xludf.DUMMYFUNCTION("max(filter(Status!E:E,Status!A:A=A106))"),43852.0)</f>
        <v>43852</v>
      </c>
      <c r="C106" s="23">
        <f t="shared" si="1"/>
        <v>1</v>
      </c>
      <c r="D106" s="23">
        <f t="shared" si="2"/>
        <v>1</v>
      </c>
      <c r="E106" s="23">
        <f t="shared" si="3"/>
        <v>1</v>
      </c>
      <c r="F106" s="23">
        <f t="shared" si="4"/>
        <v>0.5</v>
      </c>
      <c r="G106" s="25">
        <f t="shared" si="5"/>
        <v>0.9166666667</v>
      </c>
      <c r="J106" s="23">
        <f>IFERROR(__xludf.DUMMYFUNCTION("COUNTA(iferror(filter(Status!H:H,Status!A:A=A106)))"),15.0)</f>
        <v>15</v>
      </c>
      <c r="K106" s="25">
        <f>IFERROR(__xludf.DUMMYFUNCTION("COUNTA(iferror(filter(Status!H:H,Status!A:A=A106,Status!H:H=TRUE)))"),15.0)</f>
        <v>15</v>
      </c>
      <c r="L106" s="23">
        <f>IFERROR(__xludf.DUMMYFUNCTION("COUNTA(iferror(filter(Status!L:L,Status!A:A=A106)))"),8.0)</f>
        <v>8</v>
      </c>
      <c r="M106" s="25">
        <f>IFERROR(__xludf.DUMMYFUNCTION("COUNTA(iferror(filter(Status!L:L,Status!A:A=A106,Status!L:L=TRUE)))"),8.0)</f>
        <v>8</v>
      </c>
      <c r="N106" s="23">
        <f>IFERROR(__xludf.DUMMYFUNCTION("COUNTA(iferror(filter(Status!N:N,Status!A:A=A106,Status!N:N=TRUE)))"),14.0)</f>
        <v>14</v>
      </c>
      <c r="O106" s="25">
        <f>IFERROR(__xludf.DUMMYFUNCTION("COUNTA(iferror(filter(Status!N:N,Status!A:A=A106,Status!N:N=TRUE)))"),14.0)</f>
        <v>14</v>
      </c>
      <c r="P106" s="23">
        <f>IFERROR(__xludf.DUMMYFUNCTION("COUNTA(iferror(filter(Status!P:P,Status!A:A=A106)))"),26.0)</f>
        <v>26</v>
      </c>
      <c r="Q106" s="25">
        <f>IFERROR(__xludf.DUMMYFUNCTION("COUNTA(iferror(filter(Status!P:P,Status!A:A=A106,Status!P:P=TRUE)))"),13.0)</f>
        <v>13</v>
      </c>
      <c r="R106" s="23">
        <f>IFERROR(__xludf.DUMMYFUNCTION("COUNTA(iferror(filter(Status!R:R,Status!A:A=A106)))"),12.0)</f>
        <v>12</v>
      </c>
      <c r="S106" s="25">
        <f>IFERROR(__xludf.DUMMYFUNCTION("COUNTA(iferror(filter(Status!R:R,Status!A:A=A106,Status!R:R=TRUE)))"),11.0)</f>
        <v>11</v>
      </c>
      <c r="V106" s="23" t="str">
        <f>IFERROR(__xludf.DUMMYFUNCTION("if((countif(filter(Status!$C:$C,Status!$A:$A=$A106),CONCATENATE(V$2,""*""))-W106)&gt;0,(countif(filter(Status!$C:$C,Status!$A:$A=$A106),CONCATENATE(V$2,""*""))-W106),"""")"),"")</f>
        <v/>
      </c>
      <c r="W106" s="23" t="str">
        <f>IFERROR(__xludf.DUMMYFUNCTION("if(countif(filter(Status!$C:$C,Status!$A:$A=$A106),CONCATENATE(W$2,""*""))&gt;0,countif(filter(Status!$C:$C,Status!$A:$A=$A106),CONCATENATE(W$2,""*"")),"""")"),"")</f>
        <v/>
      </c>
      <c r="X106" s="23">
        <f>IFERROR(__xludf.DUMMYFUNCTION("if(countif(filter(Status!$C:$C,Status!$A:$A=$A106),CONCATENATE(X$2,""*""))&gt;0,countif(filter(Status!$C:$C,Status!$A:$A=$A106),CONCATENATE(X$2,""*"")),"""")"),3.0)</f>
        <v>3</v>
      </c>
      <c r="Y106" s="23" t="str">
        <f>IFERROR(__xludf.DUMMYFUNCTION("if(countif(filter(Status!$C:$C,Status!$A:$A=$A106),CONCATENATE(Y$2,""*""))&gt;0,countif(filter(Status!$C:$C,Status!$A:$A=$A106),CONCATENATE(Y$2,""*"")),"""")"),"")</f>
        <v/>
      </c>
      <c r="Z106" s="23">
        <f>IFERROR(__xludf.DUMMYFUNCTION("if(countif(filter(Status!$C:$C,Status!$A:$A=$A106),CONCATENATE(Z$2,""*""))&gt;0,countif(filter(Status!$C:$C,Status!$A:$A=$A106),CONCATENATE(Z$2,""*"")),"""")"),5.0)</f>
        <v>5</v>
      </c>
      <c r="AA106" s="23">
        <f>IFERROR(__xludf.DUMMYFUNCTION("if((countif(filter(Status!$C:$C,Status!$A:$A=$A106),CONCATENATE(AA$2,""*""))-AB106)&gt;0,(countif(filter(Status!$C:$C,Status!$A:$A=$A106),CONCATENATE(AA$2,""*""))-AB106),"""")"),6.0)</f>
        <v>6</v>
      </c>
      <c r="AB106" s="23">
        <f>IFERROR(__xludf.DUMMYFUNCTION("if(countif(filter(Status!$C:$C,Status!$A:$A=$A106),CONCATENATE(AB$2,""*""))&gt;0,countif(filter(Status!$C:$C,Status!$A:$A=$A106),CONCATENATE(AB$2,""*"")),"""")"),6.0)</f>
        <v>6</v>
      </c>
      <c r="AC106" s="23">
        <f>IFERROR(__xludf.DUMMYFUNCTION("if(countif(filter(Status!$C:$C,Status!$A:$A=$A106),CONCATENATE(AC$2,""*""))&gt;0,countif(filter(Status!$C:$C,Status!$A:$A=$A106),CONCATENATE(AC$2,""*"")),"""")"),1.0)</f>
        <v>1</v>
      </c>
      <c r="AD106" s="23">
        <f>IFERROR(__xludf.DUMMYFUNCTION("if(countif(filter(Status!$C:$C,Status!$A:$A=$A106),CONCATENATE(AD$2,""*""))&gt;0,countif(filter(Status!$C:$C,Status!$A:$A=$A106),CONCATENATE(AD$2,""*"")),"""")"),2.0)</f>
        <v>2</v>
      </c>
      <c r="AE106" s="23">
        <f>IFERROR(__xludf.DUMMYFUNCTION("if(countif(filter(Status!$C:$C,Status!$A:$A=$A106),CONCATENATE(AE$2,""*""))&gt;0,countif(filter(Status!$C:$C,Status!$A:$A=$A106),CONCATENATE(AE$2,""*"")),"""")"),1.0)</f>
        <v>1</v>
      </c>
      <c r="AF106" s="23">
        <f>IFERROR(__xludf.DUMMYFUNCTION("if(countif(filter(Status!$C:$C,Status!$A:$A=$A106),CONCATENATE(AF$2,""*""))&gt;0,countif(filter(Status!$C:$C,Status!$A:$A=$A106),CONCATENATE(AF$2,""*"")),"""")"),1.0)</f>
        <v>1</v>
      </c>
      <c r="AG106" s="23" t="str">
        <f>IFERROR(__xludf.DUMMYFUNCTION("if(countif(filter(Status!$C:$C,Status!$A:$A=$A106),CONCATENATE(AG$2,""*""))&gt;0,countif(filter(Status!$C:$C,Status!$A:$A=$A106),CONCATENATE(AG$2,""*"")),"""")"),"")</f>
        <v/>
      </c>
      <c r="AH106" s="23" t="str">
        <f>IFERROR(__xludf.DUMMYFUNCTION("if(countif(filter(Status!$C:$C,Status!$A:$A=$A106),CONCATENATE(AH$2,""*""))&gt;0,countif(filter(Status!$C:$C,Status!$A:$A=$A106),CONCATENATE(AH$2,""*"")),"""")"),"")</f>
        <v/>
      </c>
      <c r="AI106" s="23" t="str">
        <f>IFERROR(__xludf.DUMMYFUNCTION("if(countif(filter(Status!$C:$C,Status!$A:$A=$A106),CONCATENATE(AI$2,""*""))&gt;0,countif(filter(Status!$C:$C,Status!$A:$A=$A106),CONCATENATE(AI$2,""*"")),"""")"),"")</f>
        <v/>
      </c>
      <c r="AJ106" s="23">
        <f>IFERROR(__xludf.DUMMYFUNCTION("if(countif(filter(Status!$C:$C,Status!$A:$A=$A106),CONCATENATE(AJ$2,""*""))&gt;0,countif(filter(Status!$C:$C,Status!$A:$A=$A106),CONCATENATE(AJ$2,""*"")),"""")"),1.0)</f>
        <v>1</v>
      </c>
      <c r="AK106" s="23" t="str">
        <f>IFERROR(__xludf.DUMMYFUNCTION("if(countif(filter(Status!$C:$C,Status!$A:$A=$A106),CONCATENATE(AK$2,""*""))&gt;0,countif(filter(Status!$C:$C,Status!$A:$A=$A106),CONCATENATE(AK$2,""*"")),"""")"),"")</f>
        <v/>
      </c>
      <c r="AL106" s="23">
        <f>IFERROR(__xludf.DUMMYFUNCTION("if(countif(filter(Status!$C:$C,Status!$A:$A=$A106),CONCATENATE(AL$2,""*""))&gt;0,countif(filter(Status!$C:$C,Status!$A:$A=$A106),CONCATENATE(AL$2,""*"")),"""")"),1.0)</f>
        <v>1</v>
      </c>
      <c r="AM106" s="23" t="str">
        <f>IFERROR(__xludf.DUMMYFUNCTION("if(countif(filter(Status!$C:$C,Status!$A:$A=$A106),CONCATENATE(AM$2,""*""))&gt;0,countif(filter(Status!$C:$C,Status!$A:$A=$A106),CONCATENATE(AM$2,""*"")),"""")"),"")</f>
        <v/>
      </c>
      <c r="AN106" s="23" t="str">
        <f>IFERROR(__xludf.DUMMYFUNCTION("if(countif(filter(Status!$C:$C,Status!$A:$A=$A106),CONCATENATE(AN$2,""*""))&gt;0,countif(filter(Status!$C:$C,Status!$A:$A=$A106),CONCATENATE(AN$2,""*"")),"""")"),"")</f>
        <v/>
      </c>
      <c r="AO106" s="23" t="str">
        <f>IFERROR(__xludf.DUMMYFUNCTION("if(countif(filter(Status!$C:$C,Status!$A:$A=$A106),CONCATENATE(AO$2,""*""))&gt;0,countif(filter(Status!$C:$C,Status!$A:$A=$A106),CONCATENATE(AO$2,""*"")),"""")"),"")</f>
        <v/>
      </c>
      <c r="AP106" s="23">
        <f>IFERROR(__xludf.DUMMYFUNCTION("counta(iferror(filter(Status!C:C,Status!A:A=A106)))"),27.0)</f>
        <v>27</v>
      </c>
      <c r="AQ106" s="23">
        <f t="shared" si="6"/>
        <v>27</v>
      </c>
    </row>
    <row r="107">
      <c r="A107" s="1" t="s">
        <v>1027</v>
      </c>
      <c r="B107" s="21">
        <f>IFERROR(__xludf.DUMMYFUNCTION("max(filter(Status!E:E,Status!A:A=A107))"),43857.0)</f>
        <v>43857</v>
      </c>
      <c r="C107" s="23">
        <f t="shared" si="1"/>
        <v>1</v>
      </c>
      <c r="D107" s="23">
        <f t="shared" si="2"/>
        <v>1</v>
      </c>
      <c r="E107" s="23">
        <f t="shared" si="3"/>
        <v>1</v>
      </c>
      <c r="F107" s="23">
        <f t="shared" si="4"/>
        <v>0.4</v>
      </c>
      <c r="G107" s="25">
        <f t="shared" si="5"/>
        <v>1</v>
      </c>
      <c r="J107" s="23">
        <f>IFERROR(__xludf.DUMMYFUNCTION("COUNTA(iferror(filter(Status!H:H,Status!A:A=A107)))"),7.0)</f>
        <v>7</v>
      </c>
      <c r="K107" s="25">
        <f>IFERROR(__xludf.DUMMYFUNCTION("COUNTA(iferror(filter(Status!H:H,Status!A:A=A107,Status!H:H=TRUE)))"),7.0)</f>
        <v>7</v>
      </c>
      <c r="L107" s="23">
        <f>IFERROR(__xludf.DUMMYFUNCTION("COUNTA(iferror(filter(Status!L:L,Status!A:A=A107)))"),3.0)</f>
        <v>3</v>
      </c>
      <c r="M107" s="25">
        <f>IFERROR(__xludf.DUMMYFUNCTION("COUNTA(iferror(filter(Status!L:L,Status!A:A=A107,Status!L:L=TRUE)))"),3.0)</f>
        <v>3</v>
      </c>
      <c r="N107" s="23">
        <f>IFERROR(__xludf.DUMMYFUNCTION("COUNTA(iferror(filter(Status!N:N,Status!A:A=A107,Status!N:N=TRUE)))"),4.0)</f>
        <v>4</v>
      </c>
      <c r="O107" s="25">
        <f>IFERROR(__xludf.DUMMYFUNCTION("COUNTA(iferror(filter(Status!N:N,Status!A:A=A107,Status!N:N=TRUE)))"),4.0)</f>
        <v>4</v>
      </c>
      <c r="P107" s="23">
        <f>IFERROR(__xludf.DUMMYFUNCTION("COUNTA(iferror(filter(Status!P:P,Status!A:A=A107)))"),10.0)</f>
        <v>10</v>
      </c>
      <c r="Q107" s="25">
        <f>IFERROR(__xludf.DUMMYFUNCTION("COUNTA(iferror(filter(Status!P:P,Status!A:A=A107,Status!P:P=TRUE)))"),4.0)</f>
        <v>4</v>
      </c>
      <c r="R107" s="23">
        <f>IFERROR(__xludf.DUMMYFUNCTION("COUNTA(iferror(filter(Status!R:R,Status!A:A=A107)))"),5.0)</f>
        <v>5</v>
      </c>
      <c r="S107" s="25">
        <f>IFERROR(__xludf.DUMMYFUNCTION("COUNTA(iferror(filter(Status!R:R,Status!A:A=A107,Status!R:R=TRUE)))"),5.0)</f>
        <v>5</v>
      </c>
      <c r="V107" s="23" t="str">
        <f>IFERROR(__xludf.DUMMYFUNCTION("if((countif(filter(Status!$C:$C,Status!$A:$A=$A107),CONCATENATE(V$2,""*""))-W107)&gt;0,(countif(filter(Status!$C:$C,Status!$A:$A=$A107),CONCATENATE(V$2,""*""))-W107),"""")"),"")</f>
        <v/>
      </c>
      <c r="W107" s="23">
        <f>IFERROR(__xludf.DUMMYFUNCTION("if(countif(filter(Status!$C:$C,Status!$A:$A=$A107),CONCATENATE(W$2,""*""))&gt;0,countif(filter(Status!$C:$C,Status!$A:$A=$A107),CONCATENATE(W$2,""*"")),"""")"),1.0)</f>
        <v>1</v>
      </c>
      <c r="X107" s="23" t="str">
        <f>IFERROR(__xludf.DUMMYFUNCTION("if(countif(filter(Status!$C:$C,Status!$A:$A=$A107),CONCATENATE(X$2,""*""))&gt;0,countif(filter(Status!$C:$C,Status!$A:$A=$A107),CONCATENATE(X$2,""*"")),"""")"),"")</f>
        <v/>
      </c>
      <c r="Y107" s="23" t="str">
        <f>IFERROR(__xludf.DUMMYFUNCTION("if(countif(filter(Status!$C:$C,Status!$A:$A=$A107),CONCATENATE(Y$2,""*""))&gt;0,countif(filter(Status!$C:$C,Status!$A:$A=$A107),CONCATENATE(Y$2,""*"")),"""")"),"")</f>
        <v/>
      </c>
      <c r="Z107" s="23" t="str">
        <f>IFERROR(__xludf.DUMMYFUNCTION("if(countif(filter(Status!$C:$C,Status!$A:$A=$A107),CONCATENATE(Z$2,""*""))&gt;0,countif(filter(Status!$C:$C,Status!$A:$A=$A107),CONCATENATE(Z$2,""*"")),"""")"),"")</f>
        <v/>
      </c>
      <c r="AA107" s="23">
        <f>IFERROR(__xludf.DUMMYFUNCTION("if((countif(filter(Status!$C:$C,Status!$A:$A=$A107),CONCATENATE(AA$2,""*""))-AB107)&gt;0,(countif(filter(Status!$C:$C,Status!$A:$A=$A107),CONCATENATE(AA$2,""*""))-AB107),"""")"),3.0)</f>
        <v>3</v>
      </c>
      <c r="AB107" s="23">
        <f>IFERROR(__xludf.DUMMYFUNCTION("if(countif(filter(Status!$C:$C,Status!$A:$A=$A107),CONCATENATE(AB$2,""*""))&gt;0,countif(filter(Status!$C:$C,Status!$A:$A=$A107),CONCATENATE(AB$2,""*"")),"""")"),3.0)</f>
        <v>3</v>
      </c>
      <c r="AC107" s="23">
        <f>IFERROR(__xludf.DUMMYFUNCTION("if(countif(filter(Status!$C:$C,Status!$A:$A=$A107),CONCATENATE(AC$2,""*""))&gt;0,countif(filter(Status!$C:$C,Status!$A:$A=$A107),CONCATENATE(AC$2,""*"")),"""")"),1.0)</f>
        <v>1</v>
      </c>
      <c r="AD107" s="23" t="str">
        <f>IFERROR(__xludf.DUMMYFUNCTION("if(countif(filter(Status!$C:$C,Status!$A:$A=$A107),CONCATENATE(AD$2,""*""))&gt;0,countif(filter(Status!$C:$C,Status!$A:$A=$A107),CONCATENATE(AD$2,""*"")),"""")"),"")</f>
        <v/>
      </c>
      <c r="AE107" s="23">
        <f>IFERROR(__xludf.DUMMYFUNCTION("if(countif(filter(Status!$C:$C,Status!$A:$A=$A107),CONCATENATE(AE$2,""*""))&gt;0,countif(filter(Status!$C:$C,Status!$A:$A=$A107),CONCATENATE(AE$2,""*"")),"""")"),1.0)</f>
        <v>1</v>
      </c>
      <c r="AF107" s="23" t="str">
        <f>IFERROR(__xludf.DUMMYFUNCTION("if(countif(filter(Status!$C:$C,Status!$A:$A=$A107),CONCATENATE(AF$2,""*""))&gt;0,countif(filter(Status!$C:$C,Status!$A:$A=$A107),CONCATENATE(AF$2,""*"")),"""")"),"")</f>
        <v/>
      </c>
      <c r="AG107" s="23" t="str">
        <f>IFERROR(__xludf.DUMMYFUNCTION("if(countif(filter(Status!$C:$C,Status!$A:$A=$A107),CONCATENATE(AG$2,""*""))&gt;0,countif(filter(Status!$C:$C,Status!$A:$A=$A107),CONCATENATE(AG$2,""*"")),"""")"),"")</f>
        <v/>
      </c>
      <c r="AH107" s="23">
        <f>IFERROR(__xludf.DUMMYFUNCTION("if(countif(filter(Status!$C:$C,Status!$A:$A=$A107),CONCATENATE(AH$2,""*""))&gt;0,countif(filter(Status!$C:$C,Status!$A:$A=$A107),CONCATENATE(AH$2,""*"")),"""")"),1.0)</f>
        <v>1</v>
      </c>
      <c r="AI107" s="23" t="str">
        <f>IFERROR(__xludf.DUMMYFUNCTION("if(countif(filter(Status!$C:$C,Status!$A:$A=$A107),CONCATENATE(AI$2,""*""))&gt;0,countif(filter(Status!$C:$C,Status!$A:$A=$A107),CONCATENATE(AI$2,""*"")),"""")"),"")</f>
        <v/>
      </c>
      <c r="AJ107" s="23" t="str">
        <f>IFERROR(__xludf.DUMMYFUNCTION("if(countif(filter(Status!$C:$C,Status!$A:$A=$A107),CONCATENATE(AJ$2,""*""))&gt;0,countif(filter(Status!$C:$C,Status!$A:$A=$A107),CONCATENATE(AJ$2,""*"")),"""")"),"")</f>
        <v/>
      </c>
      <c r="AK107" s="23" t="str">
        <f>IFERROR(__xludf.DUMMYFUNCTION("if(countif(filter(Status!$C:$C,Status!$A:$A=$A107),CONCATENATE(AK$2,""*""))&gt;0,countif(filter(Status!$C:$C,Status!$A:$A=$A107),CONCATENATE(AK$2,""*"")),"""")"),"")</f>
        <v/>
      </c>
      <c r="AL107" s="23" t="str">
        <f>IFERROR(__xludf.DUMMYFUNCTION("if(countif(filter(Status!$C:$C,Status!$A:$A=$A107),CONCATENATE(AL$2,""*""))&gt;0,countif(filter(Status!$C:$C,Status!$A:$A=$A107),CONCATENATE(AL$2,""*"")),"""")"),"")</f>
        <v/>
      </c>
      <c r="AM107" s="23" t="str">
        <f>IFERROR(__xludf.DUMMYFUNCTION("if(countif(filter(Status!$C:$C,Status!$A:$A=$A107),CONCATENATE(AM$2,""*""))&gt;0,countif(filter(Status!$C:$C,Status!$A:$A=$A107),CONCATENATE(AM$2,""*"")),"""")"),"")</f>
        <v/>
      </c>
      <c r="AN107" s="23" t="str">
        <f>IFERROR(__xludf.DUMMYFUNCTION("if(countif(filter(Status!$C:$C,Status!$A:$A=$A107),CONCATENATE(AN$2,""*""))&gt;0,countif(filter(Status!$C:$C,Status!$A:$A=$A107),CONCATENATE(AN$2,""*"")),"""")"),"")</f>
        <v/>
      </c>
      <c r="AO107" s="23">
        <f>IFERROR(__xludf.DUMMYFUNCTION("if(countif(filter(Status!$C:$C,Status!$A:$A=$A107),CONCATENATE(AO$2,""*""))&gt;0,countif(filter(Status!$C:$C,Status!$A:$A=$A107),CONCATENATE(AO$2,""*"")),"""")"),1.0)</f>
        <v>1</v>
      </c>
      <c r="AP107" s="23">
        <f>IFERROR(__xludf.DUMMYFUNCTION("counta(iferror(filter(Status!C:C,Status!A:A=A107)))"),11.0)</f>
        <v>11</v>
      </c>
      <c r="AQ107" s="23">
        <f t="shared" si="6"/>
        <v>11</v>
      </c>
    </row>
    <row r="108">
      <c r="A108" s="1" t="s">
        <v>1031</v>
      </c>
      <c r="B108" s="21">
        <f>IFERROR(__xludf.DUMMYFUNCTION("max(filter(Status!E:E,Status!A:A=A108))"),43858.0)</f>
        <v>43858</v>
      </c>
      <c r="C108" s="23">
        <f t="shared" si="1"/>
        <v>1</v>
      </c>
      <c r="D108" s="23">
        <f t="shared" si="2"/>
        <v>1</v>
      </c>
      <c r="E108" s="23">
        <f t="shared" si="3"/>
        <v>1</v>
      </c>
      <c r="F108" s="23">
        <f t="shared" si="4"/>
        <v>0.5</v>
      </c>
      <c r="G108" s="25">
        <f t="shared" si="5"/>
        <v>0.875</v>
      </c>
      <c r="J108" s="23">
        <f>IFERROR(__xludf.DUMMYFUNCTION("COUNTA(iferror(filter(Status!H:H,Status!A:A=A108)))"),5.0)</f>
        <v>5</v>
      </c>
      <c r="K108" s="25">
        <f>IFERROR(__xludf.DUMMYFUNCTION("COUNTA(iferror(filter(Status!H:H,Status!A:A=A108,Status!H:H=TRUE)))"),5.0)</f>
        <v>5</v>
      </c>
      <c r="L108" s="23">
        <f>IFERROR(__xludf.DUMMYFUNCTION("COUNTA(iferror(filter(Status!L:L,Status!A:A=A108)))"),1.0)</f>
        <v>1</v>
      </c>
      <c r="M108" s="25">
        <f>IFERROR(__xludf.DUMMYFUNCTION("COUNTA(iferror(filter(Status!L:L,Status!A:A=A108,Status!L:L=TRUE)))"),1.0)</f>
        <v>1</v>
      </c>
      <c r="N108" s="23">
        <f>IFERROR(__xludf.DUMMYFUNCTION("COUNTA(iferror(filter(Status!N:N,Status!A:A=A108,Status!N:N=TRUE)))"),6.0)</f>
        <v>6</v>
      </c>
      <c r="O108" s="25">
        <f>IFERROR(__xludf.DUMMYFUNCTION("COUNTA(iferror(filter(Status!N:N,Status!A:A=A108,Status!N:N=TRUE)))"),6.0)</f>
        <v>6</v>
      </c>
      <c r="P108" s="23">
        <f>IFERROR(__xludf.DUMMYFUNCTION("COUNTA(iferror(filter(Status!P:P,Status!A:A=A108)))"),12.0)</f>
        <v>12</v>
      </c>
      <c r="Q108" s="25">
        <f>IFERROR(__xludf.DUMMYFUNCTION("COUNTA(iferror(filter(Status!P:P,Status!A:A=A108,Status!P:P=TRUE)))"),6.0)</f>
        <v>6</v>
      </c>
      <c r="R108" s="23">
        <f>IFERROR(__xludf.DUMMYFUNCTION("COUNTA(iferror(filter(Status!R:R,Status!A:A=A108)))"),8.0)</f>
        <v>8</v>
      </c>
      <c r="S108" s="25">
        <f>IFERROR(__xludf.DUMMYFUNCTION("COUNTA(iferror(filter(Status!R:R,Status!A:A=A108,Status!R:R=TRUE)))"),7.0)</f>
        <v>7</v>
      </c>
      <c r="V108" s="23" t="str">
        <f>IFERROR(__xludf.DUMMYFUNCTION("if((countif(filter(Status!$C:$C,Status!$A:$A=$A108),CONCATENATE(V$2,""*""))-W108)&gt;0,(countif(filter(Status!$C:$C,Status!$A:$A=$A108),CONCATENATE(V$2,""*""))-W108),"""")"),"")</f>
        <v/>
      </c>
      <c r="W108" s="23" t="str">
        <f>IFERROR(__xludf.DUMMYFUNCTION("if(countif(filter(Status!$C:$C,Status!$A:$A=$A108),CONCATENATE(W$2,""*""))&gt;0,countif(filter(Status!$C:$C,Status!$A:$A=$A108),CONCATENATE(W$2,""*"")),"""")"),"")</f>
        <v/>
      </c>
      <c r="X108" s="23">
        <f>IFERROR(__xludf.DUMMYFUNCTION("if(countif(filter(Status!$C:$C,Status!$A:$A=$A108),CONCATENATE(X$2,""*""))&gt;0,countif(filter(Status!$C:$C,Status!$A:$A=$A108),CONCATENATE(X$2,""*"")),"""")"),3.0)</f>
        <v>3</v>
      </c>
      <c r="Y108" s="23" t="str">
        <f>IFERROR(__xludf.DUMMYFUNCTION("if(countif(filter(Status!$C:$C,Status!$A:$A=$A108),CONCATENATE(Y$2,""*""))&gt;0,countif(filter(Status!$C:$C,Status!$A:$A=$A108),CONCATENATE(Y$2,""*"")),"""")"),"")</f>
        <v/>
      </c>
      <c r="Z108" s="23" t="str">
        <f>IFERROR(__xludf.DUMMYFUNCTION("if(countif(filter(Status!$C:$C,Status!$A:$A=$A108),CONCATENATE(Z$2,""*""))&gt;0,countif(filter(Status!$C:$C,Status!$A:$A=$A108),CONCATENATE(Z$2,""*"")),"""")"),"")</f>
        <v/>
      </c>
      <c r="AA108" s="23">
        <f>IFERROR(__xludf.DUMMYFUNCTION("if((countif(filter(Status!$C:$C,Status!$A:$A=$A108),CONCATENATE(AA$2,""*""))-AB108)&gt;0,(countif(filter(Status!$C:$C,Status!$A:$A=$A108),CONCATENATE(AA$2,""*""))-AB108),"""")"),3.0)</f>
        <v>3</v>
      </c>
      <c r="AB108" s="23">
        <f>IFERROR(__xludf.DUMMYFUNCTION("if(countif(filter(Status!$C:$C,Status!$A:$A=$A108),CONCATENATE(AB$2,""*""))&gt;0,countif(filter(Status!$C:$C,Status!$A:$A=$A108),CONCATENATE(AB$2,""*"")),"""")"),3.0)</f>
        <v>3</v>
      </c>
      <c r="AC108" s="23">
        <f>IFERROR(__xludf.DUMMYFUNCTION("if(countif(filter(Status!$C:$C,Status!$A:$A=$A108),CONCATENATE(AC$2,""*""))&gt;0,countif(filter(Status!$C:$C,Status!$A:$A=$A108),CONCATENATE(AC$2,""*"")),"""")"),1.0)</f>
        <v>1</v>
      </c>
      <c r="AD108" s="23">
        <f>IFERROR(__xludf.DUMMYFUNCTION("if(countif(filter(Status!$C:$C,Status!$A:$A=$A108),CONCATENATE(AD$2,""*""))&gt;0,countif(filter(Status!$C:$C,Status!$A:$A=$A108),CONCATENATE(AD$2,""*"")),"""")"),1.0)</f>
        <v>1</v>
      </c>
      <c r="AE108" s="23">
        <f>IFERROR(__xludf.DUMMYFUNCTION("if(countif(filter(Status!$C:$C,Status!$A:$A=$A108),CONCATENATE(AE$2,""*""))&gt;0,countif(filter(Status!$C:$C,Status!$A:$A=$A108),CONCATENATE(AE$2,""*"")),"""")"),1.0)</f>
        <v>1</v>
      </c>
      <c r="AF108" s="23">
        <f>IFERROR(__xludf.DUMMYFUNCTION("if(countif(filter(Status!$C:$C,Status!$A:$A=$A108),CONCATENATE(AF$2,""*""))&gt;0,countif(filter(Status!$C:$C,Status!$A:$A=$A108),CONCATENATE(AF$2,""*"")),"""")"),1.0)</f>
        <v>1</v>
      </c>
      <c r="AG108" s="23" t="str">
        <f>IFERROR(__xludf.DUMMYFUNCTION("if(countif(filter(Status!$C:$C,Status!$A:$A=$A108),CONCATENATE(AG$2,""*""))&gt;0,countif(filter(Status!$C:$C,Status!$A:$A=$A108),CONCATENATE(AG$2,""*"")),"""")"),"")</f>
        <v/>
      </c>
      <c r="AH108" s="23" t="str">
        <f>IFERROR(__xludf.DUMMYFUNCTION("if(countif(filter(Status!$C:$C,Status!$A:$A=$A108),CONCATENATE(AH$2,""*""))&gt;0,countif(filter(Status!$C:$C,Status!$A:$A=$A108),CONCATENATE(AH$2,""*"")),"""")"),"")</f>
        <v/>
      </c>
      <c r="AI108" s="23" t="str">
        <f>IFERROR(__xludf.DUMMYFUNCTION("if(countif(filter(Status!$C:$C,Status!$A:$A=$A108),CONCATENATE(AI$2,""*""))&gt;0,countif(filter(Status!$C:$C,Status!$A:$A=$A108),CONCATENATE(AI$2,""*"")),"""")"),"")</f>
        <v/>
      </c>
      <c r="AJ108" s="23" t="str">
        <f>IFERROR(__xludf.DUMMYFUNCTION("if(countif(filter(Status!$C:$C,Status!$A:$A=$A108),CONCATENATE(AJ$2,""*""))&gt;0,countif(filter(Status!$C:$C,Status!$A:$A=$A108),CONCATENATE(AJ$2,""*"")),"""")"),"")</f>
        <v/>
      </c>
      <c r="AK108" s="23" t="str">
        <f>IFERROR(__xludf.DUMMYFUNCTION("if(countif(filter(Status!$C:$C,Status!$A:$A=$A108),CONCATENATE(AK$2,""*""))&gt;0,countif(filter(Status!$C:$C,Status!$A:$A=$A108),CONCATENATE(AK$2,""*"")),"""")"),"")</f>
        <v/>
      </c>
      <c r="AL108" s="23" t="str">
        <f>IFERROR(__xludf.DUMMYFUNCTION("if(countif(filter(Status!$C:$C,Status!$A:$A=$A108),CONCATENATE(AL$2,""*""))&gt;0,countif(filter(Status!$C:$C,Status!$A:$A=$A108),CONCATENATE(AL$2,""*"")),"""")"),"")</f>
        <v/>
      </c>
      <c r="AM108" s="23" t="str">
        <f>IFERROR(__xludf.DUMMYFUNCTION("if(countif(filter(Status!$C:$C,Status!$A:$A=$A108),CONCATENATE(AM$2,""*""))&gt;0,countif(filter(Status!$C:$C,Status!$A:$A=$A108),CONCATENATE(AM$2,""*"")),"""")"),"")</f>
        <v/>
      </c>
      <c r="AN108" s="23" t="str">
        <f>IFERROR(__xludf.DUMMYFUNCTION("if(countif(filter(Status!$C:$C,Status!$A:$A=$A108),CONCATENATE(AN$2,""*""))&gt;0,countif(filter(Status!$C:$C,Status!$A:$A=$A108),CONCATENATE(AN$2,""*"")),"""")"),"")</f>
        <v/>
      </c>
      <c r="AO108" s="23" t="str">
        <f>IFERROR(__xludf.DUMMYFUNCTION("if(countif(filter(Status!$C:$C,Status!$A:$A=$A108),CONCATENATE(AO$2,""*""))&gt;0,countif(filter(Status!$C:$C,Status!$A:$A=$A108),CONCATENATE(AO$2,""*"")),"""")"),"")</f>
        <v/>
      </c>
      <c r="AP108" s="23">
        <f>IFERROR(__xludf.DUMMYFUNCTION("counta(iferror(filter(Status!C:C,Status!A:A=A108)))"),13.0)</f>
        <v>13</v>
      </c>
      <c r="AQ108" s="23">
        <f t="shared" si="6"/>
        <v>13</v>
      </c>
    </row>
    <row r="109">
      <c r="A109" s="1" t="s">
        <v>1034</v>
      </c>
      <c r="B109" s="21">
        <f>IFERROR(__xludf.DUMMYFUNCTION("max(filter(Status!E:E,Status!A:A=A109))"),43864.0)</f>
        <v>43864</v>
      </c>
      <c r="C109" s="23">
        <f t="shared" si="1"/>
        <v>0.7</v>
      </c>
      <c r="D109" s="23">
        <f t="shared" si="2"/>
        <v>0.5</v>
      </c>
      <c r="E109" s="23">
        <f t="shared" si="3"/>
        <v>1</v>
      </c>
      <c r="F109" s="23">
        <f t="shared" si="4"/>
        <v>0.3076923077</v>
      </c>
      <c r="G109" s="25">
        <f t="shared" si="5"/>
        <v>0.7</v>
      </c>
      <c r="J109" s="23">
        <f>IFERROR(__xludf.DUMMYFUNCTION("COUNTA(iferror(filter(Status!H:H,Status!A:A=A109)))"),10.0)</f>
        <v>10</v>
      </c>
      <c r="K109" s="25">
        <f>IFERROR(__xludf.DUMMYFUNCTION("COUNTA(iferror(filter(Status!H:H,Status!A:A=A109,Status!H:H=TRUE)))"),7.0)</f>
        <v>7</v>
      </c>
      <c r="L109" s="23">
        <f>IFERROR(__xludf.DUMMYFUNCTION("COUNTA(iferror(filter(Status!L:L,Status!A:A=A109)))"),6.0)</f>
        <v>6</v>
      </c>
      <c r="M109" s="25">
        <f>IFERROR(__xludf.DUMMYFUNCTION("COUNTA(iferror(filter(Status!L:L,Status!A:A=A109,Status!L:L=TRUE)))"),3.0)</f>
        <v>3</v>
      </c>
      <c r="N109" s="23">
        <f>IFERROR(__xludf.DUMMYFUNCTION("COUNTA(iferror(filter(Status!N:N,Status!A:A=A109,Status!N:N=TRUE)))"),4.0)</f>
        <v>4</v>
      </c>
      <c r="O109" s="25">
        <f>IFERROR(__xludf.DUMMYFUNCTION("COUNTA(iferror(filter(Status!N:N,Status!A:A=A109,Status!N:N=TRUE)))"),4.0)</f>
        <v>4</v>
      </c>
      <c r="P109" s="23">
        <f>IFERROR(__xludf.DUMMYFUNCTION("COUNTA(iferror(filter(Status!P:P,Status!A:A=A109)))"),13.0)</f>
        <v>13</v>
      </c>
      <c r="Q109" s="25">
        <f>IFERROR(__xludf.DUMMYFUNCTION("COUNTA(iferror(filter(Status!P:P,Status!A:A=A109,Status!P:P=TRUE)))"),4.0)</f>
        <v>4</v>
      </c>
      <c r="R109" s="23">
        <f>IFERROR(__xludf.DUMMYFUNCTION("COUNTA(iferror(filter(Status!R:R,Status!A:A=A109)))"),10.0)</f>
        <v>10</v>
      </c>
      <c r="S109" s="25">
        <f>IFERROR(__xludf.DUMMYFUNCTION("COUNTA(iferror(filter(Status!R:R,Status!A:A=A109,Status!R:R=TRUE)))"),7.0)</f>
        <v>7</v>
      </c>
      <c r="V109" s="23" t="str">
        <f>IFERROR(__xludf.DUMMYFUNCTION("if((countif(filter(Status!$C:$C,Status!$A:$A=$A109),CONCATENATE(V$2,""*""))-W109)&gt;0,(countif(filter(Status!$C:$C,Status!$A:$A=$A109),CONCATENATE(V$2,""*""))-W109),"""")"),"")</f>
        <v/>
      </c>
      <c r="W109" s="23">
        <f>IFERROR(__xludf.DUMMYFUNCTION("if(countif(filter(Status!$C:$C,Status!$A:$A=$A109),CONCATENATE(W$2,""*""))&gt;0,countif(filter(Status!$C:$C,Status!$A:$A=$A109),CONCATENATE(W$2,""*"")),"""")"),6.0)</f>
        <v>6</v>
      </c>
      <c r="X109" s="23" t="str">
        <f>IFERROR(__xludf.DUMMYFUNCTION("if(countif(filter(Status!$C:$C,Status!$A:$A=$A109),CONCATENATE(X$2,""*""))&gt;0,countif(filter(Status!$C:$C,Status!$A:$A=$A109),CONCATENATE(X$2,""*"")),"""")"),"")</f>
        <v/>
      </c>
      <c r="Y109" s="23" t="str">
        <f>IFERROR(__xludf.DUMMYFUNCTION("if(countif(filter(Status!$C:$C,Status!$A:$A=$A109),CONCATENATE(Y$2,""*""))&gt;0,countif(filter(Status!$C:$C,Status!$A:$A=$A109),CONCATENATE(Y$2,""*"")),"""")"),"")</f>
        <v/>
      </c>
      <c r="Z109" s="23" t="str">
        <f>IFERROR(__xludf.DUMMYFUNCTION("if(countif(filter(Status!$C:$C,Status!$A:$A=$A109),CONCATENATE(Z$2,""*""))&gt;0,countif(filter(Status!$C:$C,Status!$A:$A=$A109),CONCATENATE(Z$2,""*"")),"""")"),"")</f>
        <v/>
      </c>
      <c r="AA109" s="23">
        <f>IFERROR(__xludf.DUMMYFUNCTION("if((countif(filter(Status!$C:$C,Status!$A:$A=$A109),CONCATENATE(AA$2,""*""))-AB109)&gt;0,(countif(filter(Status!$C:$C,Status!$A:$A=$A109),CONCATENATE(AA$2,""*""))-AB109),"""")"),3.0)</f>
        <v>3</v>
      </c>
      <c r="AB109" s="23">
        <f>IFERROR(__xludf.DUMMYFUNCTION("if(countif(filter(Status!$C:$C,Status!$A:$A=$A109),CONCATENATE(AB$2,""*""))&gt;0,countif(filter(Status!$C:$C,Status!$A:$A=$A109),CONCATENATE(AB$2,""*"")),"""")"),3.0)</f>
        <v>3</v>
      </c>
      <c r="AC109" s="23">
        <f>IFERROR(__xludf.DUMMYFUNCTION("if(countif(filter(Status!$C:$C,Status!$A:$A=$A109),CONCATENATE(AC$2,""*""))&gt;0,countif(filter(Status!$C:$C,Status!$A:$A=$A109),CONCATENATE(AC$2,""*"")),"""")"),1.0)</f>
        <v>1</v>
      </c>
      <c r="AD109" s="23" t="str">
        <f>IFERROR(__xludf.DUMMYFUNCTION("if(countif(filter(Status!$C:$C,Status!$A:$A=$A109),CONCATENATE(AD$2,""*""))&gt;0,countif(filter(Status!$C:$C,Status!$A:$A=$A109),CONCATENATE(AD$2,""*"")),"""")"),"")</f>
        <v/>
      </c>
      <c r="AE109" s="23">
        <f>IFERROR(__xludf.DUMMYFUNCTION("if(countif(filter(Status!$C:$C,Status!$A:$A=$A109),CONCATENATE(AE$2,""*""))&gt;0,countif(filter(Status!$C:$C,Status!$A:$A=$A109),CONCATENATE(AE$2,""*"")),"""")"),1.0)</f>
        <v>1</v>
      </c>
      <c r="AF109" s="23" t="str">
        <f>IFERROR(__xludf.DUMMYFUNCTION("if(countif(filter(Status!$C:$C,Status!$A:$A=$A109),CONCATENATE(AF$2,""*""))&gt;0,countif(filter(Status!$C:$C,Status!$A:$A=$A109),CONCATENATE(AF$2,""*"")),"""")"),"")</f>
        <v/>
      </c>
      <c r="AG109" s="23" t="str">
        <f>IFERROR(__xludf.DUMMYFUNCTION("if(countif(filter(Status!$C:$C,Status!$A:$A=$A109),CONCATENATE(AG$2,""*""))&gt;0,countif(filter(Status!$C:$C,Status!$A:$A=$A109),CONCATENATE(AG$2,""*"")),"""")"),"")</f>
        <v/>
      </c>
      <c r="AH109" s="23" t="str">
        <f>IFERROR(__xludf.DUMMYFUNCTION("if(countif(filter(Status!$C:$C,Status!$A:$A=$A109),CONCATENATE(AH$2,""*""))&gt;0,countif(filter(Status!$C:$C,Status!$A:$A=$A109),CONCATENATE(AH$2,""*"")),"""")"),"")</f>
        <v/>
      </c>
      <c r="AI109" s="23" t="str">
        <f>IFERROR(__xludf.DUMMYFUNCTION("if(countif(filter(Status!$C:$C,Status!$A:$A=$A109),CONCATENATE(AI$2,""*""))&gt;0,countif(filter(Status!$C:$C,Status!$A:$A=$A109),CONCATENATE(AI$2,""*"")),"""")"),"")</f>
        <v/>
      </c>
      <c r="AJ109" s="23" t="str">
        <f>IFERROR(__xludf.DUMMYFUNCTION("if(countif(filter(Status!$C:$C,Status!$A:$A=$A109),CONCATENATE(AJ$2,""*""))&gt;0,countif(filter(Status!$C:$C,Status!$A:$A=$A109),CONCATENATE(AJ$2,""*"")),"""")"),"")</f>
        <v/>
      </c>
      <c r="AK109" s="23" t="str">
        <f>IFERROR(__xludf.DUMMYFUNCTION("if(countif(filter(Status!$C:$C,Status!$A:$A=$A109),CONCATENATE(AK$2,""*""))&gt;0,countif(filter(Status!$C:$C,Status!$A:$A=$A109),CONCATENATE(AK$2,""*"")),"""")"),"")</f>
        <v/>
      </c>
      <c r="AL109" s="23" t="str">
        <f>IFERROR(__xludf.DUMMYFUNCTION("if(countif(filter(Status!$C:$C,Status!$A:$A=$A109),CONCATENATE(AL$2,""*""))&gt;0,countif(filter(Status!$C:$C,Status!$A:$A=$A109),CONCATENATE(AL$2,""*"")),"""")"),"")</f>
        <v/>
      </c>
      <c r="AM109" s="23" t="str">
        <f>IFERROR(__xludf.DUMMYFUNCTION("if(countif(filter(Status!$C:$C,Status!$A:$A=$A109),CONCATENATE(AM$2,""*""))&gt;0,countif(filter(Status!$C:$C,Status!$A:$A=$A109),CONCATENATE(AM$2,""*"")),"""")"),"")</f>
        <v/>
      </c>
      <c r="AN109" s="23" t="str">
        <f>IFERROR(__xludf.DUMMYFUNCTION("if(countif(filter(Status!$C:$C,Status!$A:$A=$A109),CONCATENATE(AN$2,""*""))&gt;0,countif(filter(Status!$C:$C,Status!$A:$A=$A109),CONCATENATE(AN$2,""*"")),"""")"),"")</f>
        <v/>
      </c>
      <c r="AO109" s="23" t="str">
        <f>IFERROR(__xludf.DUMMYFUNCTION("if(countif(filter(Status!$C:$C,Status!$A:$A=$A109),CONCATENATE(AO$2,""*""))&gt;0,countif(filter(Status!$C:$C,Status!$A:$A=$A109),CONCATENATE(AO$2,""*"")),"""")"),"")</f>
        <v/>
      </c>
      <c r="AP109" s="23">
        <f>IFERROR(__xludf.DUMMYFUNCTION("counta(iferror(filter(Status!C:C,Status!A:A=A109)))"),14.0)</f>
        <v>14</v>
      </c>
      <c r="AQ109" s="23">
        <f t="shared" si="6"/>
        <v>14</v>
      </c>
    </row>
    <row r="110">
      <c r="A110" s="1" t="s">
        <v>1038</v>
      </c>
      <c r="B110" s="21">
        <f>IFERROR(__xludf.DUMMYFUNCTION("max(filter(Status!E:E,Status!A:A=A110))"),43865.0)</f>
        <v>43865</v>
      </c>
      <c r="C110" s="23">
        <f t="shared" si="1"/>
        <v>0.8181818182</v>
      </c>
      <c r="D110" s="23">
        <f t="shared" si="2"/>
        <v>0.6</v>
      </c>
      <c r="E110" s="23">
        <f t="shared" si="3"/>
        <v>1</v>
      </c>
      <c r="F110" s="23">
        <f t="shared" si="4"/>
        <v>0.3333333333</v>
      </c>
      <c r="G110" s="25">
        <f t="shared" si="5"/>
        <v>0.7857142857</v>
      </c>
      <c r="J110" s="23">
        <f>IFERROR(__xludf.DUMMYFUNCTION("COUNTA(iferror(filter(Status!H:H,Status!A:A=A110)))"),11.0)</f>
        <v>11</v>
      </c>
      <c r="K110" s="25">
        <f>IFERROR(__xludf.DUMMYFUNCTION("COUNTA(iferror(filter(Status!H:H,Status!A:A=A110,Status!H:H=TRUE)))"),9.0)</f>
        <v>9</v>
      </c>
      <c r="L110" s="23">
        <f>IFERROR(__xludf.DUMMYFUNCTION("COUNTA(iferror(filter(Status!L:L,Status!A:A=A110)))"),5.0)</f>
        <v>5</v>
      </c>
      <c r="M110" s="25">
        <f>IFERROR(__xludf.DUMMYFUNCTION("COUNTA(iferror(filter(Status!L:L,Status!A:A=A110,Status!L:L=TRUE)))"),3.0)</f>
        <v>3</v>
      </c>
      <c r="N110" s="23">
        <f>IFERROR(__xludf.DUMMYFUNCTION("COUNTA(iferror(filter(Status!N:N,Status!A:A=A110,Status!N:N=TRUE)))"),7.0)</f>
        <v>7</v>
      </c>
      <c r="O110" s="25">
        <f>IFERROR(__xludf.DUMMYFUNCTION("COUNTA(iferror(filter(Status!N:N,Status!A:A=A110,Status!N:N=TRUE)))"),7.0)</f>
        <v>7</v>
      </c>
      <c r="P110" s="23">
        <f>IFERROR(__xludf.DUMMYFUNCTION("COUNTA(iferror(filter(Status!P:P,Status!A:A=A110)))"),21.0)</f>
        <v>21</v>
      </c>
      <c r="Q110" s="25">
        <f>IFERROR(__xludf.DUMMYFUNCTION("COUNTA(iferror(filter(Status!P:P,Status!A:A=A110,Status!P:P=TRUE)))"),7.0)</f>
        <v>7</v>
      </c>
      <c r="R110" s="23">
        <f>IFERROR(__xludf.DUMMYFUNCTION("COUNTA(iferror(filter(Status!R:R,Status!A:A=A110)))"),14.0)</f>
        <v>14</v>
      </c>
      <c r="S110" s="25">
        <f>IFERROR(__xludf.DUMMYFUNCTION("COUNTA(iferror(filter(Status!R:R,Status!A:A=A110,Status!R:R=TRUE)))"),11.0)</f>
        <v>11</v>
      </c>
      <c r="V110" s="23" t="str">
        <f>IFERROR(__xludf.DUMMYFUNCTION("if((countif(filter(Status!$C:$C,Status!$A:$A=$A110),CONCATENATE(V$2,""*""))-W110)&gt;0,(countif(filter(Status!$C:$C,Status!$A:$A=$A110),CONCATENATE(V$2,""*""))-W110),"""")"),"")</f>
        <v/>
      </c>
      <c r="W110" s="23">
        <f>IFERROR(__xludf.DUMMYFUNCTION("if(countif(filter(Status!$C:$C,Status!$A:$A=$A110),CONCATENATE(W$2,""*""))&gt;0,countif(filter(Status!$C:$C,Status!$A:$A=$A110),CONCATENATE(W$2,""*"")),"""")"),2.0)</f>
        <v>2</v>
      </c>
      <c r="X110" s="23">
        <f>IFERROR(__xludf.DUMMYFUNCTION("if(countif(filter(Status!$C:$C,Status!$A:$A=$A110),CONCATENATE(X$2,""*""))&gt;0,countif(filter(Status!$C:$C,Status!$A:$A=$A110),CONCATENATE(X$2,""*"")),"""")"),3.0)</f>
        <v>3</v>
      </c>
      <c r="Y110" s="23" t="str">
        <f>IFERROR(__xludf.DUMMYFUNCTION("if(countif(filter(Status!$C:$C,Status!$A:$A=$A110),CONCATENATE(Y$2,""*""))&gt;0,countif(filter(Status!$C:$C,Status!$A:$A=$A110),CONCATENATE(Y$2,""*"")),"""")"),"")</f>
        <v/>
      </c>
      <c r="Z110" s="23" t="str">
        <f>IFERROR(__xludf.DUMMYFUNCTION("if(countif(filter(Status!$C:$C,Status!$A:$A=$A110),CONCATENATE(Z$2,""*""))&gt;0,countif(filter(Status!$C:$C,Status!$A:$A=$A110),CONCATENATE(Z$2,""*"")),"""")"),"")</f>
        <v/>
      </c>
      <c r="AA110" s="23">
        <f>IFERROR(__xludf.DUMMYFUNCTION("if((countif(filter(Status!$C:$C,Status!$A:$A=$A110),CONCATENATE(AA$2,""*""))-AB110)&gt;0,(countif(filter(Status!$C:$C,Status!$A:$A=$A110),CONCATENATE(AA$2,""*""))-AB110),"""")"),5.0)</f>
        <v>5</v>
      </c>
      <c r="AB110" s="23">
        <f>IFERROR(__xludf.DUMMYFUNCTION("if(countif(filter(Status!$C:$C,Status!$A:$A=$A110),CONCATENATE(AB$2,""*""))&gt;0,countif(filter(Status!$C:$C,Status!$A:$A=$A110),CONCATENATE(AB$2,""*"")),"""")"),6.0)</f>
        <v>6</v>
      </c>
      <c r="AC110" s="23">
        <f>IFERROR(__xludf.DUMMYFUNCTION("if(countif(filter(Status!$C:$C,Status!$A:$A=$A110),CONCATENATE(AC$2,""*""))&gt;0,countif(filter(Status!$C:$C,Status!$A:$A=$A110),CONCATENATE(AC$2,""*"")),"""")"),1.0)</f>
        <v>1</v>
      </c>
      <c r="AD110" s="23">
        <f>IFERROR(__xludf.DUMMYFUNCTION("if(countif(filter(Status!$C:$C,Status!$A:$A=$A110),CONCATENATE(AD$2,""*""))&gt;0,countif(filter(Status!$C:$C,Status!$A:$A=$A110),CONCATENATE(AD$2,""*"")),"""")"),1.0)</f>
        <v>1</v>
      </c>
      <c r="AE110" s="23">
        <f>IFERROR(__xludf.DUMMYFUNCTION("if(countif(filter(Status!$C:$C,Status!$A:$A=$A110),CONCATENATE(AE$2,""*""))&gt;0,countif(filter(Status!$C:$C,Status!$A:$A=$A110),CONCATENATE(AE$2,""*"")),"""")"),1.0)</f>
        <v>1</v>
      </c>
      <c r="AF110" s="23">
        <f>IFERROR(__xludf.DUMMYFUNCTION("if(countif(filter(Status!$C:$C,Status!$A:$A=$A110),CONCATENATE(AF$2,""*""))&gt;0,countif(filter(Status!$C:$C,Status!$A:$A=$A110),CONCATENATE(AF$2,""*"")),"""")"),2.0)</f>
        <v>2</v>
      </c>
      <c r="AG110" s="23" t="str">
        <f>IFERROR(__xludf.DUMMYFUNCTION("if(countif(filter(Status!$C:$C,Status!$A:$A=$A110),CONCATENATE(AG$2,""*""))&gt;0,countif(filter(Status!$C:$C,Status!$A:$A=$A110),CONCATENATE(AG$2,""*"")),"""")"),"")</f>
        <v/>
      </c>
      <c r="AH110" s="23" t="str">
        <f>IFERROR(__xludf.DUMMYFUNCTION("if(countif(filter(Status!$C:$C,Status!$A:$A=$A110),CONCATENATE(AH$2,""*""))&gt;0,countif(filter(Status!$C:$C,Status!$A:$A=$A110),CONCATENATE(AH$2,""*"")),"""")"),"")</f>
        <v/>
      </c>
      <c r="AI110" s="23" t="str">
        <f>IFERROR(__xludf.DUMMYFUNCTION("if(countif(filter(Status!$C:$C,Status!$A:$A=$A110),CONCATENATE(AI$2,""*""))&gt;0,countif(filter(Status!$C:$C,Status!$A:$A=$A110),CONCATENATE(AI$2,""*"")),"""")"),"")</f>
        <v/>
      </c>
      <c r="AJ110" s="23" t="str">
        <f>IFERROR(__xludf.DUMMYFUNCTION("if(countif(filter(Status!$C:$C,Status!$A:$A=$A110),CONCATENATE(AJ$2,""*""))&gt;0,countif(filter(Status!$C:$C,Status!$A:$A=$A110),CONCATENATE(AJ$2,""*"")),"""")"),"")</f>
        <v/>
      </c>
      <c r="AK110" s="23" t="str">
        <f>IFERROR(__xludf.DUMMYFUNCTION("if(countif(filter(Status!$C:$C,Status!$A:$A=$A110),CONCATENATE(AK$2,""*""))&gt;0,countif(filter(Status!$C:$C,Status!$A:$A=$A110),CONCATENATE(AK$2,""*"")),"""")"),"")</f>
        <v/>
      </c>
      <c r="AL110" s="23" t="str">
        <f>IFERROR(__xludf.DUMMYFUNCTION("if(countif(filter(Status!$C:$C,Status!$A:$A=$A110),CONCATENATE(AL$2,""*""))&gt;0,countif(filter(Status!$C:$C,Status!$A:$A=$A110),CONCATENATE(AL$2,""*"")),"""")"),"")</f>
        <v/>
      </c>
      <c r="AM110" s="23" t="str">
        <f>IFERROR(__xludf.DUMMYFUNCTION("if(countif(filter(Status!$C:$C,Status!$A:$A=$A110),CONCATENATE(AM$2,""*""))&gt;0,countif(filter(Status!$C:$C,Status!$A:$A=$A110),CONCATENATE(AM$2,""*"")),"""")"),"")</f>
        <v/>
      </c>
      <c r="AN110" s="23">
        <f>IFERROR(__xludf.DUMMYFUNCTION("if(countif(filter(Status!$C:$C,Status!$A:$A=$A110),CONCATENATE(AN$2,""*""))&gt;0,countif(filter(Status!$C:$C,Status!$A:$A=$A110),CONCATENATE(AN$2,""*"")),"""")"),1.0)</f>
        <v>1</v>
      </c>
      <c r="AO110" s="23" t="str">
        <f>IFERROR(__xludf.DUMMYFUNCTION("if(countif(filter(Status!$C:$C,Status!$A:$A=$A110),CONCATENATE(AO$2,""*""))&gt;0,countif(filter(Status!$C:$C,Status!$A:$A=$A110),CONCATENATE(AO$2,""*"")),"""")"),"")</f>
        <v/>
      </c>
      <c r="AP110" s="23">
        <f>IFERROR(__xludf.DUMMYFUNCTION("counta(iferror(filter(Status!C:C,Status!A:A=A110)))"),22.0)</f>
        <v>22</v>
      </c>
      <c r="AQ110" s="23">
        <f t="shared" si="6"/>
        <v>22</v>
      </c>
    </row>
    <row r="111">
      <c r="A111" s="1" t="s">
        <v>1041</v>
      </c>
      <c r="B111" s="21">
        <f>IFERROR(__xludf.DUMMYFUNCTION("max(filter(Status!E:E,Status!A:A=A111))"),43866.0)</f>
        <v>43866</v>
      </c>
      <c r="C111" s="23">
        <f t="shared" si="1"/>
        <v>1</v>
      </c>
      <c r="D111" s="23">
        <f t="shared" si="2"/>
        <v>1</v>
      </c>
      <c r="E111" s="23">
        <f t="shared" si="3"/>
        <v>1</v>
      </c>
      <c r="F111" s="23">
        <f t="shared" si="4"/>
        <v>0.06666666667</v>
      </c>
      <c r="G111" s="25">
        <f t="shared" si="5"/>
        <v>0.75</v>
      </c>
      <c r="J111" s="23">
        <f>IFERROR(__xludf.DUMMYFUNCTION("COUNTA(iferror(filter(Status!H:H,Status!A:A=A111)))"),12.0)</f>
        <v>12</v>
      </c>
      <c r="K111" s="25">
        <f>IFERROR(__xludf.DUMMYFUNCTION("COUNTA(iferror(filter(Status!H:H,Status!A:A=A111,Status!H:H=TRUE)))"),12.0)</f>
        <v>12</v>
      </c>
      <c r="L111" s="23">
        <f>IFERROR(__xludf.DUMMYFUNCTION("COUNTA(iferror(filter(Status!L:L,Status!A:A=A111)))"),9.0)</f>
        <v>9</v>
      </c>
      <c r="M111" s="25">
        <f>IFERROR(__xludf.DUMMYFUNCTION("COUNTA(iferror(filter(Status!L:L,Status!A:A=A111,Status!L:L=TRUE)))"),9.0)</f>
        <v>9</v>
      </c>
      <c r="N111" s="23">
        <f>IFERROR(__xludf.DUMMYFUNCTION("COUNTA(iferror(filter(Status!N:N,Status!A:A=A111,Status!N:N=TRUE)))"),11.0)</f>
        <v>11</v>
      </c>
      <c r="O111" s="25">
        <f>IFERROR(__xludf.DUMMYFUNCTION("COUNTA(iferror(filter(Status!N:N,Status!A:A=A111,Status!N:N=TRUE)))"),11.0)</f>
        <v>11</v>
      </c>
      <c r="P111" s="23">
        <f>IFERROR(__xludf.DUMMYFUNCTION("COUNTA(iferror(filter(Status!P:P,Status!A:A=A111)))"),15.0)</f>
        <v>15</v>
      </c>
      <c r="Q111" s="25">
        <f>IFERROR(__xludf.DUMMYFUNCTION("COUNTA(iferror(filter(Status!P:P,Status!A:A=A111,Status!P:P=TRUE)))"),1.0)</f>
        <v>1</v>
      </c>
      <c r="R111" s="23">
        <f>IFERROR(__xludf.DUMMYFUNCTION("COUNTA(iferror(filter(Status!R:R,Status!A:A=A111)))"),4.0)</f>
        <v>4</v>
      </c>
      <c r="S111" s="25">
        <f>IFERROR(__xludf.DUMMYFUNCTION("COUNTA(iferror(filter(Status!R:R,Status!A:A=A111,Status!R:R=TRUE)))"),3.0)</f>
        <v>3</v>
      </c>
      <c r="V111" s="23" t="str">
        <f>IFERROR(__xludf.DUMMYFUNCTION("if((countif(filter(Status!$C:$C,Status!$A:$A=$A111),CONCATENATE(V$2,""*""))-W111)&gt;0,(countif(filter(Status!$C:$C,Status!$A:$A=$A111),CONCATENATE(V$2,""*""))-W111),"""")"),"")</f>
        <v/>
      </c>
      <c r="W111" s="23" t="str">
        <f>IFERROR(__xludf.DUMMYFUNCTION("if(countif(filter(Status!$C:$C,Status!$A:$A=$A111),CONCATENATE(W$2,""*""))&gt;0,countif(filter(Status!$C:$C,Status!$A:$A=$A111),CONCATENATE(W$2,""*"")),"""")"),"")</f>
        <v/>
      </c>
      <c r="X111" s="23" t="str">
        <f>IFERROR(__xludf.DUMMYFUNCTION("if(countif(filter(Status!$C:$C,Status!$A:$A=$A111),CONCATENATE(X$2,""*""))&gt;0,countif(filter(Status!$C:$C,Status!$A:$A=$A111),CONCATENATE(X$2,""*"")),"""")"),"")</f>
        <v/>
      </c>
      <c r="Y111" s="23">
        <f>IFERROR(__xludf.DUMMYFUNCTION("if(countif(filter(Status!$C:$C,Status!$A:$A=$A111),CONCATENATE(Y$2,""*""))&gt;0,countif(filter(Status!$C:$C,Status!$A:$A=$A111),CONCATENATE(Y$2,""*"")),"""")"),8.0)</f>
        <v>8</v>
      </c>
      <c r="Z111" s="23" t="str">
        <f>IFERROR(__xludf.DUMMYFUNCTION("if(countif(filter(Status!$C:$C,Status!$A:$A=$A111),CONCATENATE(Z$2,""*""))&gt;0,countif(filter(Status!$C:$C,Status!$A:$A=$A111),CONCATENATE(Z$2,""*"")),"""")"),"")</f>
        <v/>
      </c>
      <c r="AA111" s="23">
        <f>IFERROR(__xludf.DUMMYFUNCTION("if((countif(filter(Status!$C:$C,Status!$A:$A=$A111),CONCATENATE(AA$2,""*""))-AB111)&gt;0,(countif(filter(Status!$C:$C,Status!$A:$A=$A111),CONCATENATE(AA$2,""*""))-AB111),"""")"),2.0)</f>
        <v>2</v>
      </c>
      <c r="AB111" s="23">
        <f>IFERROR(__xludf.DUMMYFUNCTION("if(countif(filter(Status!$C:$C,Status!$A:$A=$A111),CONCATENATE(AB$2,""*""))&gt;0,countif(filter(Status!$C:$C,Status!$A:$A=$A111),CONCATENATE(AB$2,""*"")),"""")"),2.0)</f>
        <v>2</v>
      </c>
      <c r="AC111" s="23">
        <f>IFERROR(__xludf.DUMMYFUNCTION("if(countif(filter(Status!$C:$C,Status!$A:$A=$A111),CONCATENATE(AC$2,""*""))&gt;0,countif(filter(Status!$C:$C,Status!$A:$A=$A111),CONCATENATE(AC$2,""*"")),"""")"),1.0)</f>
        <v>1</v>
      </c>
      <c r="AD111" s="23">
        <f>IFERROR(__xludf.DUMMYFUNCTION("if(countif(filter(Status!$C:$C,Status!$A:$A=$A111),CONCATENATE(AD$2,""*""))&gt;0,countif(filter(Status!$C:$C,Status!$A:$A=$A111),CONCATENATE(AD$2,""*"")),"""")"),1.0)</f>
        <v>1</v>
      </c>
      <c r="AE111" s="23">
        <f>IFERROR(__xludf.DUMMYFUNCTION("if(countif(filter(Status!$C:$C,Status!$A:$A=$A111),CONCATENATE(AE$2,""*""))&gt;0,countif(filter(Status!$C:$C,Status!$A:$A=$A111),CONCATENATE(AE$2,""*"")),"""")"),1.0)</f>
        <v>1</v>
      </c>
      <c r="AF111" s="23">
        <f>IFERROR(__xludf.DUMMYFUNCTION("if(countif(filter(Status!$C:$C,Status!$A:$A=$A111),CONCATENATE(AF$2,""*""))&gt;0,countif(filter(Status!$C:$C,Status!$A:$A=$A111),CONCATENATE(AF$2,""*"")),"""")"),1.0)</f>
        <v>1</v>
      </c>
      <c r="AG111" s="23" t="str">
        <f>IFERROR(__xludf.DUMMYFUNCTION("if(countif(filter(Status!$C:$C,Status!$A:$A=$A111),CONCATENATE(AG$2,""*""))&gt;0,countif(filter(Status!$C:$C,Status!$A:$A=$A111),CONCATENATE(AG$2,""*"")),"""")"),"")</f>
        <v/>
      </c>
      <c r="AH111" s="23" t="str">
        <f>IFERROR(__xludf.DUMMYFUNCTION("if(countif(filter(Status!$C:$C,Status!$A:$A=$A111),CONCATENATE(AH$2,""*""))&gt;0,countif(filter(Status!$C:$C,Status!$A:$A=$A111),CONCATENATE(AH$2,""*"")),"""")"),"")</f>
        <v/>
      </c>
      <c r="AI111" s="23" t="str">
        <f>IFERROR(__xludf.DUMMYFUNCTION("if(countif(filter(Status!$C:$C,Status!$A:$A=$A111),CONCATENATE(AI$2,""*""))&gt;0,countif(filter(Status!$C:$C,Status!$A:$A=$A111),CONCATENATE(AI$2,""*"")),"""")"),"")</f>
        <v/>
      </c>
      <c r="AJ111" s="23" t="str">
        <f>IFERROR(__xludf.DUMMYFUNCTION("if(countif(filter(Status!$C:$C,Status!$A:$A=$A111),CONCATENATE(AJ$2,""*""))&gt;0,countif(filter(Status!$C:$C,Status!$A:$A=$A111),CONCATENATE(AJ$2,""*"")),"""")"),"")</f>
        <v/>
      </c>
      <c r="AK111" s="23" t="str">
        <f>IFERROR(__xludf.DUMMYFUNCTION("if(countif(filter(Status!$C:$C,Status!$A:$A=$A111),CONCATENATE(AK$2,""*""))&gt;0,countif(filter(Status!$C:$C,Status!$A:$A=$A111),CONCATENATE(AK$2,""*"")),"""")"),"")</f>
        <v/>
      </c>
      <c r="AL111" s="23" t="str">
        <f>IFERROR(__xludf.DUMMYFUNCTION("if(countif(filter(Status!$C:$C,Status!$A:$A=$A111),CONCATENATE(AL$2,""*""))&gt;0,countif(filter(Status!$C:$C,Status!$A:$A=$A111),CONCATENATE(AL$2,""*"")),"""")"),"")</f>
        <v/>
      </c>
      <c r="AM111" s="23" t="str">
        <f>IFERROR(__xludf.DUMMYFUNCTION("if(countif(filter(Status!$C:$C,Status!$A:$A=$A111),CONCATENATE(AM$2,""*""))&gt;0,countif(filter(Status!$C:$C,Status!$A:$A=$A111),CONCATENATE(AM$2,""*"")),"""")"),"")</f>
        <v/>
      </c>
      <c r="AN111" s="23" t="str">
        <f>IFERROR(__xludf.DUMMYFUNCTION("if(countif(filter(Status!$C:$C,Status!$A:$A=$A111),CONCATENATE(AN$2,""*""))&gt;0,countif(filter(Status!$C:$C,Status!$A:$A=$A111),CONCATENATE(AN$2,""*"")),"""")"),"")</f>
        <v/>
      </c>
      <c r="AO111" s="23" t="str">
        <f>IFERROR(__xludf.DUMMYFUNCTION("if(countif(filter(Status!$C:$C,Status!$A:$A=$A111),CONCATENATE(AO$2,""*""))&gt;0,countif(filter(Status!$C:$C,Status!$A:$A=$A111),CONCATENATE(AO$2,""*"")),"""")"),"")</f>
        <v/>
      </c>
      <c r="AP111" s="23">
        <f>IFERROR(__xludf.DUMMYFUNCTION("counta(iferror(filter(Status!C:C,Status!A:A=A111)))"),16.0)</f>
        <v>16</v>
      </c>
      <c r="AQ111" s="23">
        <f t="shared" si="6"/>
        <v>16</v>
      </c>
    </row>
    <row r="112">
      <c r="A112" s="1" t="s">
        <v>1045</v>
      </c>
      <c r="B112" s="21">
        <f>IFERROR(__xludf.DUMMYFUNCTION("max(filter(Status!E:E,Status!A:A=A112))"),43867.0)</f>
        <v>43867</v>
      </c>
      <c r="C112" s="23">
        <f t="shared" si="1"/>
        <v>1</v>
      </c>
      <c r="D112" s="23">
        <f t="shared" si="2"/>
        <v>1</v>
      </c>
      <c r="E112" s="23">
        <f t="shared" si="3"/>
        <v>1</v>
      </c>
      <c r="F112" s="23">
        <f t="shared" si="4"/>
        <v>0.52</v>
      </c>
      <c r="G112" s="25">
        <f t="shared" si="5"/>
        <v>1</v>
      </c>
      <c r="J112" s="23">
        <f>IFERROR(__xludf.DUMMYFUNCTION("COUNTA(iferror(filter(Status!H:H,Status!A:A=A112)))"),16.0)</f>
        <v>16</v>
      </c>
      <c r="K112" s="25">
        <f>IFERROR(__xludf.DUMMYFUNCTION("COUNTA(iferror(filter(Status!H:H,Status!A:A=A112,Status!H:H=TRUE)))"),16.0)</f>
        <v>16</v>
      </c>
      <c r="L112" s="23">
        <f>IFERROR(__xludf.DUMMYFUNCTION("COUNTA(iferror(filter(Status!L:L,Status!A:A=A112)))"),9.0)</f>
        <v>9</v>
      </c>
      <c r="M112" s="25">
        <f>IFERROR(__xludf.DUMMYFUNCTION("COUNTA(iferror(filter(Status!L:L,Status!A:A=A112,Status!L:L=TRUE)))"),9.0)</f>
        <v>9</v>
      </c>
      <c r="N112" s="23">
        <f>IFERROR(__xludf.DUMMYFUNCTION("COUNTA(iferror(filter(Status!N:N,Status!A:A=A112,Status!N:N=TRUE)))"),13.0)</f>
        <v>13</v>
      </c>
      <c r="O112" s="25">
        <f>IFERROR(__xludf.DUMMYFUNCTION("COUNTA(iferror(filter(Status!N:N,Status!A:A=A112,Status!N:N=TRUE)))"),13.0)</f>
        <v>13</v>
      </c>
      <c r="P112" s="23">
        <f>IFERROR(__xludf.DUMMYFUNCTION("COUNTA(iferror(filter(Status!P:P,Status!A:A=A112)))"),25.0)</f>
        <v>25</v>
      </c>
      <c r="Q112" s="25">
        <f>IFERROR(__xludf.DUMMYFUNCTION("COUNTA(iferror(filter(Status!P:P,Status!A:A=A112,Status!P:P=TRUE)))"),13.0)</f>
        <v>13</v>
      </c>
      <c r="R112" s="23">
        <f>IFERROR(__xludf.DUMMYFUNCTION("COUNTA(iferror(filter(Status!R:R,Status!A:A=A112)))"),11.0)</f>
        <v>11</v>
      </c>
      <c r="S112" s="25">
        <f>IFERROR(__xludf.DUMMYFUNCTION("COUNTA(iferror(filter(Status!R:R,Status!A:A=A112,Status!R:R=TRUE)))"),11.0)</f>
        <v>11</v>
      </c>
      <c r="V112" s="23" t="str">
        <f>IFERROR(__xludf.DUMMYFUNCTION("if((countif(filter(Status!$C:$C,Status!$A:$A=$A112),CONCATENATE(V$2,""*""))-W112)&gt;0,(countif(filter(Status!$C:$C,Status!$A:$A=$A112),CONCATENATE(V$2,""*""))-W112),"""")"),"")</f>
        <v/>
      </c>
      <c r="W112" s="23">
        <f>IFERROR(__xludf.DUMMYFUNCTION("if(countif(filter(Status!$C:$C,Status!$A:$A=$A112),CONCATENATE(W$2,""*""))&gt;0,countif(filter(Status!$C:$C,Status!$A:$A=$A112),CONCATENATE(W$2,""*"")),"""")"),1.0)</f>
        <v>1</v>
      </c>
      <c r="X112" s="23">
        <f>IFERROR(__xludf.DUMMYFUNCTION("if(countif(filter(Status!$C:$C,Status!$A:$A=$A112),CONCATENATE(X$2,""*""))&gt;0,countif(filter(Status!$C:$C,Status!$A:$A=$A112),CONCATENATE(X$2,""*"")),"""")"),3.0)</f>
        <v>3</v>
      </c>
      <c r="Y112" s="23">
        <f>IFERROR(__xludf.DUMMYFUNCTION("if(countif(filter(Status!$C:$C,Status!$A:$A=$A112),CONCATENATE(Y$2,""*""))&gt;0,countif(filter(Status!$C:$C,Status!$A:$A=$A112),CONCATENATE(Y$2,""*"")),"""")"),8.0)</f>
        <v>8</v>
      </c>
      <c r="Z112" s="23" t="str">
        <f>IFERROR(__xludf.DUMMYFUNCTION("if(countif(filter(Status!$C:$C,Status!$A:$A=$A112),CONCATENATE(Z$2,""*""))&gt;0,countif(filter(Status!$C:$C,Status!$A:$A=$A112),CONCATENATE(Z$2,""*"")),"""")"),"")</f>
        <v/>
      </c>
      <c r="AA112" s="23">
        <f>IFERROR(__xludf.DUMMYFUNCTION("if((countif(filter(Status!$C:$C,Status!$A:$A=$A112),CONCATENATE(AA$2,""*""))-AB112)&gt;0,(countif(filter(Status!$C:$C,Status!$A:$A=$A112),CONCATENATE(AA$2,""*""))-AB112),"""")"),6.0)</f>
        <v>6</v>
      </c>
      <c r="AB112" s="23">
        <f>IFERROR(__xludf.DUMMYFUNCTION("if(countif(filter(Status!$C:$C,Status!$A:$A=$A112),CONCATENATE(AB$2,""*""))&gt;0,countif(filter(Status!$C:$C,Status!$A:$A=$A112),CONCATENATE(AB$2,""*"")),"""")"),6.0)</f>
        <v>6</v>
      </c>
      <c r="AC112" s="23">
        <f>IFERROR(__xludf.DUMMYFUNCTION("if(countif(filter(Status!$C:$C,Status!$A:$A=$A112),CONCATENATE(AC$2,""*""))&gt;0,countif(filter(Status!$C:$C,Status!$A:$A=$A112),CONCATENATE(AC$2,""*"")),"""")"),1.0)</f>
        <v>1</v>
      </c>
      <c r="AD112" s="23" t="str">
        <f>IFERROR(__xludf.DUMMYFUNCTION("if(countif(filter(Status!$C:$C,Status!$A:$A=$A112),CONCATENATE(AD$2,""*""))&gt;0,countif(filter(Status!$C:$C,Status!$A:$A=$A112),CONCATENATE(AD$2,""*"")),"""")"),"")</f>
        <v/>
      </c>
      <c r="AE112" s="23">
        <f>IFERROR(__xludf.DUMMYFUNCTION("if(countif(filter(Status!$C:$C,Status!$A:$A=$A112),CONCATENATE(AE$2,""*""))&gt;0,countif(filter(Status!$C:$C,Status!$A:$A=$A112),CONCATENATE(AE$2,""*"")),"""")"),1.0)</f>
        <v>1</v>
      </c>
      <c r="AF112" s="23" t="str">
        <f>IFERROR(__xludf.DUMMYFUNCTION("if(countif(filter(Status!$C:$C,Status!$A:$A=$A112),CONCATENATE(AF$2,""*""))&gt;0,countif(filter(Status!$C:$C,Status!$A:$A=$A112),CONCATENATE(AF$2,""*"")),"""")"),"")</f>
        <v/>
      </c>
      <c r="AG112" s="23" t="str">
        <f>IFERROR(__xludf.DUMMYFUNCTION("if(countif(filter(Status!$C:$C,Status!$A:$A=$A112),CONCATENATE(AG$2,""*""))&gt;0,countif(filter(Status!$C:$C,Status!$A:$A=$A112),CONCATENATE(AG$2,""*"")),"""")"),"")</f>
        <v/>
      </c>
      <c r="AH112" s="23" t="str">
        <f>IFERROR(__xludf.DUMMYFUNCTION("if(countif(filter(Status!$C:$C,Status!$A:$A=$A112),CONCATENATE(AH$2,""*""))&gt;0,countif(filter(Status!$C:$C,Status!$A:$A=$A112),CONCATENATE(AH$2,""*"")),"""")"),"")</f>
        <v/>
      </c>
      <c r="AI112" s="23" t="str">
        <f>IFERROR(__xludf.DUMMYFUNCTION("if(countif(filter(Status!$C:$C,Status!$A:$A=$A112),CONCATENATE(AI$2,""*""))&gt;0,countif(filter(Status!$C:$C,Status!$A:$A=$A112),CONCATENATE(AI$2,""*"")),"""")"),"")</f>
        <v/>
      </c>
      <c r="AJ112" s="23" t="str">
        <f>IFERROR(__xludf.DUMMYFUNCTION("if(countif(filter(Status!$C:$C,Status!$A:$A=$A112),CONCATENATE(AJ$2,""*""))&gt;0,countif(filter(Status!$C:$C,Status!$A:$A=$A112),CONCATENATE(AJ$2,""*"")),"""")"),"")</f>
        <v/>
      </c>
      <c r="AK112" s="23" t="str">
        <f>IFERROR(__xludf.DUMMYFUNCTION("if(countif(filter(Status!$C:$C,Status!$A:$A=$A112),CONCATENATE(AK$2,""*""))&gt;0,countif(filter(Status!$C:$C,Status!$A:$A=$A112),CONCATENATE(AK$2,""*"")),"""")"),"")</f>
        <v/>
      </c>
      <c r="AL112" s="23" t="str">
        <f>IFERROR(__xludf.DUMMYFUNCTION("if(countif(filter(Status!$C:$C,Status!$A:$A=$A112),CONCATENATE(AL$2,""*""))&gt;0,countif(filter(Status!$C:$C,Status!$A:$A=$A112),CONCATENATE(AL$2,""*"")),"""")"),"")</f>
        <v/>
      </c>
      <c r="AM112" s="23" t="str">
        <f>IFERROR(__xludf.DUMMYFUNCTION("if(countif(filter(Status!$C:$C,Status!$A:$A=$A112),CONCATENATE(AM$2,""*""))&gt;0,countif(filter(Status!$C:$C,Status!$A:$A=$A112),CONCATENATE(AM$2,""*"")),"""")"),"")</f>
        <v/>
      </c>
      <c r="AN112" s="23" t="str">
        <f>IFERROR(__xludf.DUMMYFUNCTION("if(countif(filter(Status!$C:$C,Status!$A:$A=$A112),CONCATENATE(AN$2,""*""))&gt;0,countif(filter(Status!$C:$C,Status!$A:$A=$A112),CONCATENATE(AN$2,""*"")),"""")"),"")</f>
        <v/>
      </c>
      <c r="AO112" s="23" t="str">
        <f>IFERROR(__xludf.DUMMYFUNCTION("if(countif(filter(Status!$C:$C,Status!$A:$A=$A112),CONCATENATE(AO$2,""*""))&gt;0,countif(filter(Status!$C:$C,Status!$A:$A=$A112),CONCATENATE(AO$2,""*"")),"""")"),"")</f>
        <v/>
      </c>
      <c r="AP112" s="23">
        <f>IFERROR(__xludf.DUMMYFUNCTION("counta(iferror(filter(Status!C:C,Status!A:A=A112)))"),26.0)</f>
        <v>26</v>
      </c>
      <c r="AQ112" s="23">
        <f t="shared" si="6"/>
        <v>26</v>
      </c>
    </row>
    <row r="113">
      <c r="A113" s="1" t="s">
        <v>1049</v>
      </c>
      <c r="B113" s="21">
        <f>IFERROR(__xludf.DUMMYFUNCTION("max(filter(Status!E:E,Status!A:A=A113))"),43868.0)</f>
        <v>43868</v>
      </c>
      <c r="C113" s="23">
        <f t="shared" si="1"/>
        <v>1</v>
      </c>
      <c r="D113" s="23">
        <f t="shared" si="2"/>
        <v>1</v>
      </c>
      <c r="E113" s="23">
        <f t="shared" si="3"/>
        <v>1</v>
      </c>
      <c r="F113" s="23">
        <f t="shared" si="4"/>
        <v>0.5</v>
      </c>
      <c r="G113" s="25">
        <f t="shared" si="5"/>
        <v>1</v>
      </c>
      <c r="J113" s="23">
        <f>IFERROR(__xludf.DUMMYFUNCTION("COUNTA(iferror(filter(Status!H:H,Status!A:A=A113)))"),5.0)</f>
        <v>5</v>
      </c>
      <c r="K113" s="25">
        <f>IFERROR(__xludf.DUMMYFUNCTION("COUNTA(iferror(filter(Status!H:H,Status!A:A=A113,Status!H:H=TRUE)))"),5.0)</f>
        <v>5</v>
      </c>
      <c r="L113" s="23">
        <f>IFERROR(__xludf.DUMMYFUNCTION("COUNTA(iferror(filter(Status!L:L,Status!A:A=A113)))"),2.0)</f>
        <v>2</v>
      </c>
      <c r="M113" s="25">
        <f>IFERROR(__xludf.DUMMYFUNCTION("COUNTA(iferror(filter(Status!L:L,Status!A:A=A113,Status!L:L=TRUE)))"),2.0)</f>
        <v>2</v>
      </c>
      <c r="N113" s="23">
        <f>IFERROR(__xludf.DUMMYFUNCTION("COUNTA(iferror(filter(Status!N:N,Status!A:A=A113,Status!N:N=TRUE)))"),3.0)</f>
        <v>3</v>
      </c>
      <c r="O113" s="25">
        <f>IFERROR(__xludf.DUMMYFUNCTION("COUNTA(iferror(filter(Status!N:N,Status!A:A=A113,Status!N:N=TRUE)))"),3.0)</f>
        <v>3</v>
      </c>
      <c r="P113" s="23">
        <f>IFERROR(__xludf.DUMMYFUNCTION("COUNTA(iferror(filter(Status!P:P,Status!A:A=A113)))"),6.0)</f>
        <v>6</v>
      </c>
      <c r="Q113" s="25">
        <f>IFERROR(__xludf.DUMMYFUNCTION("COUNTA(iferror(filter(Status!P:P,Status!A:A=A113,Status!P:P=TRUE)))"),3.0)</f>
        <v>3</v>
      </c>
      <c r="R113" s="23">
        <f>IFERROR(__xludf.DUMMYFUNCTION("COUNTA(iferror(filter(Status!R:R,Status!A:A=A113)))"),4.0)</f>
        <v>4</v>
      </c>
      <c r="S113" s="25">
        <f>IFERROR(__xludf.DUMMYFUNCTION("COUNTA(iferror(filter(Status!R:R,Status!A:A=A113,Status!R:R=TRUE)))"),4.0)</f>
        <v>4</v>
      </c>
      <c r="V113" s="23" t="str">
        <f>IFERROR(__xludf.DUMMYFUNCTION("if((countif(filter(Status!$C:$C,Status!$A:$A=$A113),CONCATENATE(V$2,""*""))-W113)&gt;0,(countif(filter(Status!$C:$C,Status!$A:$A=$A113),CONCATENATE(V$2,""*""))-W113),"""")"),"")</f>
        <v/>
      </c>
      <c r="W113" s="23">
        <f>IFERROR(__xludf.DUMMYFUNCTION("if(countif(filter(Status!$C:$C,Status!$A:$A=$A113),CONCATENATE(W$2,""*""))&gt;0,countif(filter(Status!$C:$C,Status!$A:$A=$A113),CONCATENATE(W$2,""*"")),"""")"),2.0)</f>
        <v>2</v>
      </c>
      <c r="X113" s="23" t="str">
        <f>IFERROR(__xludf.DUMMYFUNCTION("if(countif(filter(Status!$C:$C,Status!$A:$A=$A113),CONCATENATE(X$2,""*""))&gt;0,countif(filter(Status!$C:$C,Status!$A:$A=$A113),CONCATENATE(X$2,""*"")),"""")"),"")</f>
        <v/>
      </c>
      <c r="Y113" s="23" t="str">
        <f>IFERROR(__xludf.DUMMYFUNCTION("if(countif(filter(Status!$C:$C,Status!$A:$A=$A113),CONCATENATE(Y$2,""*""))&gt;0,countif(filter(Status!$C:$C,Status!$A:$A=$A113),CONCATENATE(Y$2,""*"")),"""")"),"")</f>
        <v/>
      </c>
      <c r="Z113" s="23" t="str">
        <f>IFERROR(__xludf.DUMMYFUNCTION("if(countif(filter(Status!$C:$C,Status!$A:$A=$A113),CONCATENATE(Z$2,""*""))&gt;0,countif(filter(Status!$C:$C,Status!$A:$A=$A113),CONCATENATE(Z$2,""*"")),"""")"),"")</f>
        <v/>
      </c>
      <c r="AA113" s="23">
        <f>IFERROR(__xludf.DUMMYFUNCTION("if((countif(filter(Status!$C:$C,Status!$A:$A=$A113),CONCATENATE(AA$2,""*""))-AB113)&gt;0,(countif(filter(Status!$C:$C,Status!$A:$A=$A113),CONCATENATE(AA$2,""*""))-AB113),"""")"),2.0)</f>
        <v>2</v>
      </c>
      <c r="AB113" s="23">
        <f>IFERROR(__xludf.DUMMYFUNCTION("if(countif(filter(Status!$C:$C,Status!$A:$A=$A113),CONCATENATE(AB$2,""*""))&gt;0,countif(filter(Status!$C:$C,Status!$A:$A=$A113),CONCATENATE(AB$2,""*"")),"""")"),2.0)</f>
        <v>2</v>
      </c>
      <c r="AC113" s="23" t="str">
        <f>IFERROR(__xludf.DUMMYFUNCTION("if(countif(filter(Status!$C:$C,Status!$A:$A=$A113),CONCATENATE(AC$2,""*""))&gt;0,countif(filter(Status!$C:$C,Status!$A:$A=$A113),CONCATENATE(AC$2,""*"")),"""")"),"")</f>
        <v/>
      </c>
      <c r="AD113" s="23" t="str">
        <f>IFERROR(__xludf.DUMMYFUNCTION("if(countif(filter(Status!$C:$C,Status!$A:$A=$A113),CONCATENATE(AD$2,""*""))&gt;0,countif(filter(Status!$C:$C,Status!$A:$A=$A113),CONCATENATE(AD$2,""*"")),"""")"),"")</f>
        <v/>
      </c>
      <c r="AE113" s="23">
        <f>IFERROR(__xludf.DUMMYFUNCTION("if(countif(filter(Status!$C:$C,Status!$A:$A=$A113),CONCATENATE(AE$2,""*""))&gt;0,countif(filter(Status!$C:$C,Status!$A:$A=$A113),CONCATENATE(AE$2,""*"")),"""")"),1.0)</f>
        <v>1</v>
      </c>
      <c r="AF113" s="23" t="str">
        <f>IFERROR(__xludf.DUMMYFUNCTION("if(countif(filter(Status!$C:$C,Status!$A:$A=$A113),CONCATENATE(AF$2,""*""))&gt;0,countif(filter(Status!$C:$C,Status!$A:$A=$A113),CONCATENATE(AF$2,""*"")),"""")"),"")</f>
        <v/>
      </c>
      <c r="AG113" s="23" t="str">
        <f>IFERROR(__xludf.DUMMYFUNCTION("if(countif(filter(Status!$C:$C,Status!$A:$A=$A113),CONCATENATE(AG$2,""*""))&gt;0,countif(filter(Status!$C:$C,Status!$A:$A=$A113),CONCATENATE(AG$2,""*"")),"""")"),"")</f>
        <v/>
      </c>
      <c r="AH113" s="23" t="str">
        <f>IFERROR(__xludf.DUMMYFUNCTION("if(countif(filter(Status!$C:$C,Status!$A:$A=$A113),CONCATENATE(AH$2,""*""))&gt;0,countif(filter(Status!$C:$C,Status!$A:$A=$A113),CONCATENATE(AH$2,""*"")),"""")"),"")</f>
        <v/>
      </c>
      <c r="AI113" s="23" t="str">
        <f>IFERROR(__xludf.DUMMYFUNCTION("if(countif(filter(Status!$C:$C,Status!$A:$A=$A113),CONCATENATE(AI$2,""*""))&gt;0,countif(filter(Status!$C:$C,Status!$A:$A=$A113),CONCATENATE(AI$2,""*"")),"""")"),"")</f>
        <v/>
      </c>
      <c r="AJ113" s="23" t="str">
        <f>IFERROR(__xludf.DUMMYFUNCTION("if(countif(filter(Status!$C:$C,Status!$A:$A=$A113),CONCATENATE(AJ$2,""*""))&gt;0,countif(filter(Status!$C:$C,Status!$A:$A=$A113),CONCATENATE(AJ$2,""*"")),"""")"),"")</f>
        <v/>
      </c>
      <c r="AK113" s="23" t="str">
        <f>IFERROR(__xludf.DUMMYFUNCTION("if(countif(filter(Status!$C:$C,Status!$A:$A=$A113),CONCATENATE(AK$2,""*""))&gt;0,countif(filter(Status!$C:$C,Status!$A:$A=$A113),CONCATENATE(AK$2,""*"")),"""")"),"")</f>
        <v/>
      </c>
      <c r="AL113" s="23" t="str">
        <f>IFERROR(__xludf.DUMMYFUNCTION("if(countif(filter(Status!$C:$C,Status!$A:$A=$A113),CONCATENATE(AL$2,""*""))&gt;0,countif(filter(Status!$C:$C,Status!$A:$A=$A113),CONCATENATE(AL$2,""*"")),"""")"),"")</f>
        <v/>
      </c>
      <c r="AM113" s="23" t="str">
        <f>IFERROR(__xludf.DUMMYFUNCTION("if(countif(filter(Status!$C:$C,Status!$A:$A=$A113),CONCATENATE(AM$2,""*""))&gt;0,countif(filter(Status!$C:$C,Status!$A:$A=$A113),CONCATENATE(AM$2,""*"")),"""")"),"")</f>
        <v/>
      </c>
      <c r="AN113" s="23" t="str">
        <f>IFERROR(__xludf.DUMMYFUNCTION("if(countif(filter(Status!$C:$C,Status!$A:$A=$A113),CONCATENATE(AN$2,""*""))&gt;0,countif(filter(Status!$C:$C,Status!$A:$A=$A113),CONCATENATE(AN$2,""*"")),"""")"),"")</f>
        <v/>
      </c>
      <c r="AO113" s="23" t="str">
        <f>IFERROR(__xludf.DUMMYFUNCTION("if(countif(filter(Status!$C:$C,Status!$A:$A=$A113),CONCATENATE(AO$2,""*""))&gt;0,countif(filter(Status!$C:$C,Status!$A:$A=$A113),CONCATENATE(AO$2,""*"")),"""")"),"")</f>
        <v/>
      </c>
      <c r="AP113" s="23">
        <f>IFERROR(__xludf.DUMMYFUNCTION("counta(iferror(filter(Status!C:C,Status!A:A=A113)))"),7.0)</f>
        <v>7</v>
      </c>
      <c r="AQ113" s="23">
        <f t="shared" si="6"/>
        <v>7</v>
      </c>
    </row>
    <row r="114">
      <c r="A114" s="1" t="s">
        <v>1053</v>
      </c>
      <c r="B114" s="21">
        <f>IFERROR(__xludf.DUMMYFUNCTION("max(filter(Status!E:E,Status!A:A=A114))"),43871.0)</f>
        <v>43871</v>
      </c>
      <c r="C114" s="23">
        <f t="shared" si="1"/>
        <v>1</v>
      </c>
      <c r="D114" s="23">
        <f t="shared" si="2"/>
        <v>1</v>
      </c>
      <c r="E114" s="23">
        <f t="shared" si="3"/>
        <v>1</v>
      </c>
      <c r="F114" s="23">
        <f t="shared" si="4"/>
        <v>0.375</v>
      </c>
      <c r="G114" s="25">
        <f t="shared" si="5"/>
        <v>1</v>
      </c>
      <c r="J114" s="23">
        <f>IFERROR(__xludf.DUMMYFUNCTION("COUNTA(iferror(filter(Status!H:H,Status!A:A=A114)))"),11.0)</f>
        <v>11</v>
      </c>
      <c r="K114" s="25">
        <f>IFERROR(__xludf.DUMMYFUNCTION("COUNTA(iferror(filter(Status!H:H,Status!A:A=A114,Status!H:H=TRUE)))"),11.0)</f>
        <v>11</v>
      </c>
      <c r="L114" s="23">
        <f>IFERROR(__xludf.DUMMYFUNCTION("COUNTA(iferror(filter(Status!L:L,Status!A:A=A114)))"),5.0)</f>
        <v>5</v>
      </c>
      <c r="M114" s="25">
        <f>IFERROR(__xludf.DUMMYFUNCTION("COUNTA(iferror(filter(Status!L:L,Status!A:A=A114,Status!L:L=TRUE)))"),5.0)</f>
        <v>5</v>
      </c>
      <c r="N114" s="23">
        <f>IFERROR(__xludf.DUMMYFUNCTION("COUNTA(iferror(filter(Status!N:N,Status!A:A=A114,Status!N:N=TRUE)))"),6.0)</f>
        <v>6</v>
      </c>
      <c r="O114" s="25">
        <f>IFERROR(__xludf.DUMMYFUNCTION("COUNTA(iferror(filter(Status!N:N,Status!A:A=A114,Status!N:N=TRUE)))"),6.0)</f>
        <v>6</v>
      </c>
      <c r="P114" s="23">
        <f>IFERROR(__xludf.DUMMYFUNCTION("COUNTA(iferror(filter(Status!P:P,Status!A:A=A114)))"),16.0)</f>
        <v>16</v>
      </c>
      <c r="Q114" s="25">
        <f>IFERROR(__xludf.DUMMYFUNCTION("COUNTA(iferror(filter(Status!P:P,Status!A:A=A114,Status!P:P=TRUE)))"),6.0)</f>
        <v>6</v>
      </c>
      <c r="R114" s="23">
        <f>IFERROR(__xludf.DUMMYFUNCTION("COUNTA(iferror(filter(Status!R:R,Status!A:A=A114)))"),11.0)</f>
        <v>11</v>
      </c>
      <c r="S114" s="25">
        <f>IFERROR(__xludf.DUMMYFUNCTION("COUNTA(iferror(filter(Status!R:R,Status!A:A=A114,Status!R:R=TRUE)))"),11.0)</f>
        <v>11</v>
      </c>
      <c r="V114" s="23" t="str">
        <f>IFERROR(__xludf.DUMMYFUNCTION("if((countif(filter(Status!$C:$C,Status!$A:$A=$A114),CONCATENATE(V$2,""*""))-W114)&gt;0,(countif(filter(Status!$C:$C,Status!$A:$A=$A114),CONCATENATE(V$2,""*""))-W114),"""")"),"")</f>
        <v/>
      </c>
      <c r="W114" s="23">
        <f>IFERROR(__xludf.DUMMYFUNCTION("if(countif(filter(Status!$C:$C,Status!$A:$A=$A114),CONCATENATE(W$2,""*""))&gt;0,countif(filter(Status!$C:$C,Status!$A:$A=$A114),CONCATENATE(W$2,""*"")),"""")"),5.0)</f>
        <v>5</v>
      </c>
      <c r="X114" s="23" t="str">
        <f>IFERROR(__xludf.DUMMYFUNCTION("if(countif(filter(Status!$C:$C,Status!$A:$A=$A114),CONCATENATE(X$2,""*""))&gt;0,countif(filter(Status!$C:$C,Status!$A:$A=$A114),CONCATENATE(X$2,""*"")),"""")"),"")</f>
        <v/>
      </c>
      <c r="Y114" s="23" t="str">
        <f>IFERROR(__xludf.DUMMYFUNCTION("if(countif(filter(Status!$C:$C,Status!$A:$A=$A114),CONCATENATE(Y$2,""*""))&gt;0,countif(filter(Status!$C:$C,Status!$A:$A=$A114),CONCATENATE(Y$2,""*"")),"""")"),"")</f>
        <v/>
      </c>
      <c r="Z114" s="23" t="str">
        <f>IFERROR(__xludf.DUMMYFUNCTION("if(countif(filter(Status!$C:$C,Status!$A:$A=$A114),CONCATENATE(Z$2,""*""))&gt;0,countif(filter(Status!$C:$C,Status!$A:$A=$A114),CONCATENATE(Z$2,""*"")),"""")"),"")</f>
        <v/>
      </c>
      <c r="AA114" s="23">
        <f>IFERROR(__xludf.DUMMYFUNCTION("if((countif(filter(Status!$C:$C,Status!$A:$A=$A114),CONCATENATE(AA$2,""*""))-AB114)&gt;0,(countif(filter(Status!$C:$C,Status!$A:$A=$A114),CONCATENATE(AA$2,""*""))-AB114),"""")"),5.0)</f>
        <v>5</v>
      </c>
      <c r="AB114" s="23">
        <f>IFERROR(__xludf.DUMMYFUNCTION("if(countif(filter(Status!$C:$C,Status!$A:$A=$A114),CONCATENATE(AB$2,""*""))&gt;0,countif(filter(Status!$C:$C,Status!$A:$A=$A114),CONCATENATE(AB$2,""*"")),"""")"),5.0)</f>
        <v>5</v>
      </c>
      <c r="AC114" s="23">
        <f>IFERROR(__xludf.DUMMYFUNCTION("if(countif(filter(Status!$C:$C,Status!$A:$A=$A114),CONCATENATE(AC$2,""*""))&gt;0,countif(filter(Status!$C:$C,Status!$A:$A=$A114),CONCATENATE(AC$2,""*"")),"""")"),1.0)</f>
        <v>1</v>
      </c>
      <c r="AD114" s="23" t="str">
        <f>IFERROR(__xludf.DUMMYFUNCTION("if(countif(filter(Status!$C:$C,Status!$A:$A=$A114),CONCATENATE(AD$2,""*""))&gt;0,countif(filter(Status!$C:$C,Status!$A:$A=$A114),CONCATENATE(AD$2,""*"")),"""")"),"")</f>
        <v/>
      </c>
      <c r="AE114" s="23">
        <f>IFERROR(__xludf.DUMMYFUNCTION("if(countif(filter(Status!$C:$C,Status!$A:$A=$A114),CONCATENATE(AE$2,""*""))&gt;0,countif(filter(Status!$C:$C,Status!$A:$A=$A114),CONCATENATE(AE$2,""*"")),"""")"),1.0)</f>
        <v>1</v>
      </c>
      <c r="AF114" s="23" t="str">
        <f>IFERROR(__xludf.DUMMYFUNCTION("if(countif(filter(Status!$C:$C,Status!$A:$A=$A114),CONCATENATE(AF$2,""*""))&gt;0,countif(filter(Status!$C:$C,Status!$A:$A=$A114),CONCATENATE(AF$2,""*"")),"""")"),"")</f>
        <v/>
      </c>
      <c r="AG114" s="23" t="str">
        <f>IFERROR(__xludf.DUMMYFUNCTION("if(countif(filter(Status!$C:$C,Status!$A:$A=$A114),CONCATENATE(AG$2,""*""))&gt;0,countif(filter(Status!$C:$C,Status!$A:$A=$A114),CONCATENATE(AG$2,""*"")),"""")"),"")</f>
        <v/>
      </c>
      <c r="AH114" s="23" t="str">
        <f>IFERROR(__xludf.DUMMYFUNCTION("if(countif(filter(Status!$C:$C,Status!$A:$A=$A114),CONCATENATE(AH$2,""*""))&gt;0,countif(filter(Status!$C:$C,Status!$A:$A=$A114),CONCATENATE(AH$2,""*"")),"""")"),"")</f>
        <v/>
      </c>
      <c r="AI114" s="23" t="str">
        <f>IFERROR(__xludf.DUMMYFUNCTION("if(countif(filter(Status!$C:$C,Status!$A:$A=$A114),CONCATENATE(AI$2,""*""))&gt;0,countif(filter(Status!$C:$C,Status!$A:$A=$A114),CONCATENATE(AI$2,""*"")),"""")"),"")</f>
        <v/>
      </c>
      <c r="AJ114" s="23" t="str">
        <f>IFERROR(__xludf.DUMMYFUNCTION("if(countif(filter(Status!$C:$C,Status!$A:$A=$A114),CONCATENATE(AJ$2,""*""))&gt;0,countif(filter(Status!$C:$C,Status!$A:$A=$A114),CONCATENATE(AJ$2,""*"")),"""")"),"")</f>
        <v/>
      </c>
      <c r="AK114" s="23" t="str">
        <f>IFERROR(__xludf.DUMMYFUNCTION("if(countif(filter(Status!$C:$C,Status!$A:$A=$A114),CONCATENATE(AK$2,""*""))&gt;0,countif(filter(Status!$C:$C,Status!$A:$A=$A114),CONCATENATE(AK$2,""*"")),"""")"),"")</f>
        <v/>
      </c>
      <c r="AL114" s="23" t="str">
        <f>IFERROR(__xludf.DUMMYFUNCTION("if(countif(filter(Status!$C:$C,Status!$A:$A=$A114),CONCATENATE(AL$2,""*""))&gt;0,countif(filter(Status!$C:$C,Status!$A:$A=$A114),CONCATENATE(AL$2,""*"")),"""")"),"")</f>
        <v/>
      </c>
      <c r="AM114" s="23" t="str">
        <f>IFERROR(__xludf.DUMMYFUNCTION("if(countif(filter(Status!$C:$C,Status!$A:$A=$A114),CONCATENATE(AM$2,""*""))&gt;0,countif(filter(Status!$C:$C,Status!$A:$A=$A114),CONCATENATE(AM$2,""*"")),"""")"),"")</f>
        <v/>
      </c>
      <c r="AN114" s="23" t="str">
        <f>IFERROR(__xludf.DUMMYFUNCTION("if(countif(filter(Status!$C:$C,Status!$A:$A=$A114),CONCATENATE(AN$2,""*""))&gt;0,countif(filter(Status!$C:$C,Status!$A:$A=$A114),CONCATENATE(AN$2,""*"")),"""")"),"")</f>
        <v/>
      </c>
      <c r="AO114" s="23" t="str">
        <f>IFERROR(__xludf.DUMMYFUNCTION("if(countif(filter(Status!$C:$C,Status!$A:$A=$A114),CONCATENATE(AO$2,""*""))&gt;0,countif(filter(Status!$C:$C,Status!$A:$A=$A114),CONCATENATE(AO$2,""*"")),"""")"),"")</f>
        <v/>
      </c>
      <c r="AP114" s="23">
        <f>IFERROR(__xludf.DUMMYFUNCTION("counta(iferror(filter(Status!C:C,Status!A:A=A114)))"),17.0)</f>
        <v>17</v>
      </c>
      <c r="AQ114" s="23">
        <f t="shared" si="6"/>
        <v>17</v>
      </c>
    </row>
    <row r="115">
      <c r="A115" s="1" t="s">
        <v>1056</v>
      </c>
      <c r="B115" s="21">
        <f>IFERROR(__xludf.DUMMYFUNCTION("max(filter(Status!E:E,Status!A:A=A115))"),43872.0)</f>
        <v>43872</v>
      </c>
      <c r="C115" s="23">
        <f t="shared" si="1"/>
        <v>0.9</v>
      </c>
      <c r="D115" s="23">
        <f t="shared" si="2"/>
        <v>0.3333333333</v>
      </c>
      <c r="E115" s="23">
        <f t="shared" si="3"/>
        <v>1</v>
      </c>
      <c r="F115" s="23">
        <f t="shared" si="4"/>
        <v>0.4</v>
      </c>
      <c r="G115" s="25">
        <f t="shared" si="5"/>
        <v>0.9230769231</v>
      </c>
      <c r="J115" s="23">
        <f>IFERROR(__xludf.DUMMYFUNCTION("COUNTA(iferror(filter(Status!H:H,Status!A:A=A115)))"),10.0)</f>
        <v>10</v>
      </c>
      <c r="K115" s="25">
        <f>IFERROR(__xludf.DUMMYFUNCTION("COUNTA(iferror(filter(Status!H:H,Status!A:A=A115,Status!H:H=TRUE)))"),9.0)</f>
        <v>9</v>
      </c>
      <c r="L115" s="23">
        <f>IFERROR(__xludf.DUMMYFUNCTION("COUNTA(iferror(filter(Status!L:L,Status!A:A=A115)))"),3.0)</f>
        <v>3</v>
      </c>
      <c r="M115" s="25">
        <f>IFERROR(__xludf.DUMMYFUNCTION("COUNTA(iferror(filter(Status!L:L,Status!A:A=A115,Status!L:L=TRUE)))"),1.0)</f>
        <v>1</v>
      </c>
      <c r="N115" s="23">
        <f>IFERROR(__xludf.DUMMYFUNCTION("COUNTA(iferror(filter(Status!N:N,Status!A:A=A115,Status!N:N=TRUE)))"),8.0)</f>
        <v>8</v>
      </c>
      <c r="O115" s="25">
        <f>IFERROR(__xludf.DUMMYFUNCTION("COUNTA(iferror(filter(Status!N:N,Status!A:A=A115,Status!N:N=TRUE)))"),8.0)</f>
        <v>8</v>
      </c>
      <c r="P115" s="23">
        <f>IFERROR(__xludf.DUMMYFUNCTION("COUNTA(iferror(filter(Status!P:P,Status!A:A=A115)))"),20.0)</f>
        <v>20</v>
      </c>
      <c r="Q115" s="25">
        <f>IFERROR(__xludf.DUMMYFUNCTION("COUNTA(iferror(filter(Status!P:P,Status!A:A=A115,Status!P:P=TRUE)))"),8.0)</f>
        <v>8</v>
      </c>
      <c r="R115" s="23">
        <f>IFERROR(__xludf.DUMMYFUNCTION("COUNTA(iferror(filter(Status!R:R,Status!A:A=A115)))"),13.0)</f>
        <v>13</v>
      </c>
      <c r="S115" s="25">
        <f>IFERROR(__xludf.DUMMYFUNCTION("COUNTA(iferror(filter(Status!R:R,Status!A:A=A115,Status!R:R=TRUE)))"),12.0)</f>
        <v>12</v>
      </c>
      <c r="V115" s="23" t="str">
        <f>IFERROR(__xludf.DUMMYFUNCTION("if((countif(filter(Status!$C:$C,Status!$A:$A=$A115),CONCATENATE(V$2,""*""))-W115)&gt;0,(countif(filter(Status!$C:$C,Status!$A:$A=$A115),CONCATENATE(V$2,""*""))-W115),"""")"),"")</f>
        <v/>
      </c>
      <c r="W115" s="23" t="str">
        <f>IFERROR(__xludf.DUMMYFUNCTION("if(countif(filter(Status!$C:$C,Status!$A:$A=$A115),CONCATENATE(W$2,""*""))&gt;0,countif(filter(Status!$C:$C,Status!$A:$A=$A115),CONCATENATE(W$2,""*"")),"""")"),"")</f>
        <v/>
      </c>
      <c r="X115" s="23">
        <f>IFERROR(__xludf.DUMMYFUNCTION("if(countif(filter(Status!$C:$C,Status!$A:$A=$A115),CONCATENATE(X$2,""*""))&gt;0,countif(filter(Status!$C:$C,Status!$A:$A=$A115),CONCATENATE(X$2,""*"")),"""")"),4.0)</f>
        <v>4</v>
      </c>
      <c r="Y115" s="23" t="str">
        <f>IFERROR(__xludf.DUMMYFUNCTION("if(countif(filter(Status!$C:$C,Status!$A:$A=$A115),CONCATENATE(Y$2,""*""))&gt;0,countif(filter(Status!$C:$C,Status!$A:$A=$A115),CONCATENATE(Y$2,""*"")),"""")"),"")</f>
        <v/>
      </c>
      <c r="Z115" s="23" t="str">
        <f>IFERROR(__xludf.DUMMYFUNCTION("if(countif(filter(Status!$C:$C,Status!$A:$A=$A115),CONCATENATE(Z$2,""*""))&gt;0,countif(filter(Status!$C:$C,Status!$A:$A=$A115),CONCATENATE(Z$2,""*"")),"""")"),"")</f>
        <v/>
      </c>
      <c r="AA115" s="23">
        <f>IFERROR(__xludf.DUMMYFUNCTION("if((countif(filter(Status!$C:$C,Status!$A:$A=$A115),CONCATENATE(AA$2,""*""))-AB115)&gt;0,(countif(filter(Status!$C:$C,Status!$A:$A=$A115),CONCATENATE(AA$2,""*""))-AB115),"""")"),6.0)</f>
        <v>6</v>
      </c>
      <c r="AB115" s="23">
        <f>IFERROR(__xludf.DUMMYFUNCTION("if(countif(filter(Status!$C:$C,Status!$A:$A=$A115),CONCATENATE(AB$2,""*""))&gt;0,countif(filter(Status!$C:$C,Status!$A:$A=$A115),CONCATENATE(AB$2,""*"")),"""")"),6.0)</f>
        <v>6</v>
      </c>
      <c r="AC115" s="23">
        <f>IFERROR(__xludf.DUMMYFUNCTION("if(countif(filter(Status!$C:$C,Status!$A:$A=$A115),CONCATENATE(AC$2,""*""))&gt;0,countif(filter(Status!$C:$C,Status!$A:$A=$A115),CONCATENATE(AC$2,""*"")),"""")"),1.0)</f>
        <v>1</v>
      </c>
      <c r="AD115" s="23" t="str">
        <f>IFERROR(__xludf.DUMMYFUNCTION("if(countif(filter(Status!$C:$C,Status!$A:$A=$A115),CONCATENATE(AD$2,""*""))&gt;0,countif(filter(Status!$C:$C,Status!$A:$A=$A115),CONCATENATE(AD$2,""*"")),"""")"),"")</f>
        <v/>
      </c>
      <c r="AE115" s="23">
        <f>IFERROR(__xludf.DUMMYFUNCTION("if(countif(filter(Status!$C:$C,Status!$A:$A=$A115),CONCATENATE(AE$2,""*""))&gt;0,countif(filter(Status!$C:$C,Status!$A:$A=$A115),CONCATENATE(AE$2,""*"")),"""")"),1.0)</f>
        <v>1</v>
      </c>
      <c r="AF115" s="23">
        <f>IFERROR(__xludf.DUMMYFUNCTION("if(countif(filter(Status!$C:$C,Status!$A:$A=$A115),CONCATENATE(AF$2,""*""))&gt;0,countif(filter(Status!$C:$C,Status!$A:$A=$A115),CONCATENATE(AF$2,""*"")),"""")"),1.0)</f>
        <v>1</v>
      </c>
      <c r="AG115" s="23" t="str">
        <f>IFERROR(__xludf.DUMMYFUNCTION("if(countif(filter(Status!$C:$C,Status!$A:$A=$A115),CONCATENATE(AG$2,""*""))&gt;0,countif(filter(Status!$C:$C,Status!$A:$A=$A115),CONCATENATE(AG$2,""*"")),"""")"),"")</f>
        <v/>
      </c>
      <c r="AH115" s="23" t="str">
        <f>IFERROR(__xludf.DUMMYFUNCTION("if(countif(filter(Status!$C:$C,Status!$A:$A=$A115),CONCATENATE(AH$2,""*""))&gt;0,countif(filter(Status!$C:$C,Status!$A:$A=$A115),CONCATENATE(AH$2,""*"")),"""")"),"")</f>
        <v/>
      </c>
      <c r="AI115" s="23" t="str">
        <f>IFERROR(__xludf.DUMMYFUNCTION("if(countif(filter(Status!$C:$C,Status!$A:$A=$A115),CONCATENATE(AI$2,""*""))&gt;0,countif(filter(Status!$C:$C,Status!$A:$A=$A115),CONCATENATE(AI$2,""*"")),"""")"),"")</f>
        <v/>
      </c>
      <c r="AJ115" s="23" t="str">
        <f>IFERROR(__xludf.DUMMYFUNCTION("if(countif(filter(Status!$C:$C,Status!$A:$A=$A115),CONCATENATE(AJ$2,""*""))&gt;0,countif(filter(Status!$C:$C,Status!$A:$A=$A115),CONCATENATE(AJ$2,""*"")),"""")"),"")</f>
        <v/>
      </c>
      <c r="AK115" s="23" t="str">
        <f>IFERROR(__xludf.DUMMYFUNCTION("if(countif(filter(Status!$C:$C,Status!$A:$A=$A115),CONCATENATE(AK$2,""*""))&gt;0,countif(filter(Status!$C:$C,Status!$A:$A=$A115),CONCATENATE(AK$2,""*"")),"""")"),"")</f>
        <v/>
      </c>
      <c r="AL115" s="23">
        <f>IFERROR(__xludf.DUMMYFUNCTION("if(countif(filter(Status!$C:$C,Status!$A:$A=$A115),CONCATENATE(AL$2,""*""))&gt;0,countif(filter(Status!$C:$C,Status!$A:$A=$A115),CONCATENATE(AL$2,""*"")),"""")"),1.0)</f>
        <v>1</v>
      </c>
      <c r="AM115" s="23">
        <f>IFERROR(__xludf.DUMMYFUNCTION("if(countif(filter(Status!$C:$C,Status!$A:$A=$A115),CONCATENATE(AM$2,""*""))&gt;0,countif(filter(Status!$C:$C,Status!$A:$A=$A115),CONCATENATE(AM$2,""*"")),"""")"),1.0)</f>
        <v>1</v>
      </c>
      <c r="AN115" s="23" t="str">
        <f>IFERROR(__xludf.DUMMYFUNCTION("if(countif(filter(Status!$C:$C,Status!$A:$A=$A115),CONCATENATE(AN$2,""*""))&gt;0,countif(filter(Status!$C:$C,Status!$A:$A=$A115),CONCATENATE(AN$2,""*"")),"""")"),"")</f>
        <v/>
      </c>
      <c r="AO115" s="23" t="str">
        <f>IFERROR(__xludf.DUMMYFUNCTION("if(countif(filter(Status!$C:$C,Status!$A:$A=$A115),CONCATENATE(AO$2,""*""))&gt;0,countif(filter(Status!$C:$C,Status!$A:$A=$A115),CONCATENATE(AO$2,""*"")),"""")"),"")</f>
        <v/>
      </c>
      <c r="AP115" s="23">
        <f>IFERROR(__xludf.DUMMYFUNCTION("counta(iferror(filter(Status!C:C,Status!A:A=A115)))"),21.0)</f>
        <v>21</v>
      </c>
      <c r="AQ115" s="23">
        <f t="shared" si="6"/>
        <v>21</v>
      </c>
    </row>
    <row r="116">
      <c r="A116" s="1" t="s">
        <v>1060</v>
      </c>
      <c r="B116" s="21">
        <f>IFERROR(__xludf.DUMMYFUNCTION("max(filter(Status!E:E,Status!A:A=A116))"),43873.0)</f>
        <v>43873</v>
      </c>
      <c r="C116" s="23">
        <f t="shared" si="1"/>
        <v>1</v>
      </c>
      <c r="D116" s="23">
        <f t="shared" si="2"/>
        <v>1</v>
      </c>
      <c r="E116" s="23">
        <f t="shared" si="3"/>
        <v>1</v>
      </c>
      <c r="F116" s="23">
        <f t="shared" si="4"/>
        <v>0.4285714286</v>
      </c>
      <c r="G116" s="25">
        <f t="shared" si="5"/>
        <v>0.9</v>
      </c>
      <c r="J116" s="23">
        <f>IFERROR(__xludf.DUMMYFUNCTION("COUNTA(iferror(filter(Status!H:H,Status!A:A=A116)))"),8.0)</f>
        <v>8</v>
      </c>
      <c r="K116" s="25">
        <f>IFERROR(__xludf.DUMMYFUNCTION("COUNTA(iferror(filter(Status!H:H,Status!A:A=A116,Status!H:H=TRUE)))"),8.0)</f>
        <v>8</v>
      </c>
      <c r="L116" s="23">
        <f>IFERROR(__xludf.DUMMYFUNCTION("COUNTA(iferror(filter(Status!L:L,Status!A:A=A116)))"),3.0)</f>
        <v>3</v>
      </c>
      <c r="M116" s="25">
        <f>IFERROR(__xludf.DUMMYFUNCTION("COUNTA(iferror(filter(Status!L:L,Status!A:A=A116,Status!L:L=TRUE)))"),3.0)</f>
        <v>3</v>
      </c>
      <c r="N116" s="23">
        <f>IFERROR(__xludf.DUMMYFUNCTION("COUNTA(iferror(filter(Status!N:N,Status!A:A=A116,Status!N:N=TRUE)))"),6.0)</f>
        <v>6</v>
      </c>
      <c r="O116" s="25">
        <f>IFERROR(__xludf.DUMMYFUNCTION("COUNTA(iferror(filter(Status!N:N,Status!A:A=A116,Status!N:N=TRUE)))"),6.0)</f>
        <v>6</v>
      </c>
      <c r="P116" s="23">
        <f>IFERROR(__xludf.DUMMYFUNCTION("COUNTA(iferror(filter(Status!P:P,Status!A:A=A116)))"),14.0)</f>
        <v>14</v>
      </c>
      <c r="Q116" s="25">
        <f>IFERROR(__xludf.DUMMYFUNCTION("COUNTA(iferror(filter(Status!P:P,Status!A:A=A116,Status!P:P=TRUE)))"),6.0)</f>
        <v>6</v>
      </c>
      <c r="R116" s="23">
        <f>IFERROR(__xludf.DUMMYFUNCTION("COUNTA(iferror(filter(Status!R:R,Status!A:A=A116)))"),10.0)</f>
        <v>10</v>
      </c>
      <c r="S116" s="25">
        <f>IFERROR(__xludf.DUMMYFUNCTION("COUNTA(iferror(filter(Status!R:R,Status!A:A=A116,Status!R:R=TRUE)))"),9.0)</f>
        <v>9</v>
      </c>
      <c r="V116" s="23">
        <f>IFERROR(__xludf.DUMMYFUNCTION("if((countif(filter(Status!$C:$C,Status!$A:$A=$A116),CONCATENATE(V$2,""*""))-W116)&gt;0,(countif(filter(Status!$C:$C,Status!$A:$A=$A116),CONCATENATE(V$2,""*""))-W116),"""")"),2.0)</f>
        <v>2</v>
      </c>
      <c r="W116" s="23" t="str">
        <f>IFERROR(__xludf.DUMMYFUNCTION("if(countif(filter(Status!$C:$C,Status!$A:$A=$A116),CONCATENATE(W$2,""*""))&gt;0,countif(filter(Status!$C:$C,Status!$A:$A=$A116),CONCATENATE(W$2,""*"")),"""")"),"")</f>
        <v/>
      </c>
      <c r="X116" s="23">
        <f>IFERROR(__xludf.DUMMYFUNCTION("if(countif(filter(Status!$C:$C,Status!$A:$A=$A116),CONCATENATE(X$2,""*""))&gt;0,countif(filter(Status!$C:$C,Status!$A:$A=$A116),CONCATENATE(X$2,""*"")),"""")"),2.0)</f>
        <v>2</v>
      </c>
      <c r="Y116" s="23" t="str">
        <f>IFERROR(__xludf.DUMMYFUNCTION("if(countif(filter(Status!$C:$C,Status!$A:$A=$A116),CONCATENATE(Y$2,""*""))&gt;0,countif(filter(Status!$C:$C,Status!$A:$A=$A116),CONCATENATE(Y$2,""*"")),"""")"),"")</f>
        <v/>
      </c>
      <c r="Z116" s="23" t="str">
        <f>IFERROR(__xludf.DUMMYFUNCTION("if(countif(filter(Status!$C:$C,Status!$A:$A=$A116),CONCATENATE(Z$2,""*""))&gt;0,countif(filter(Status!$C:$C,Status!$A:$A=$A116),CONCATENATE(Z$2,""*"")),"""")"),"")</f>
        <v/>
      </c>
      <c r="AA116" s="23">
        <f>IFERROR(__xludf.DUMMYFUNCTION("if((countif(filter(Status!$C:$C,Status!$A:$A=$A116),CONCATENATE(AA$2,""*""))-AB116)&gt;0,(countif(filter(Status!$C:$C,Status!$A:$A=$A116),CONCATENATE(AA$2,""*""))-AB116),"""")"),4.0)</f>
        <v>4</v>
      </c>
      <c r="AB116" s="23">
        <f>IFERROR(__xludf.DUMMYFUNCTION("if(countif(filter(Status!$C:$C,Status!$A:$A=$A116),CONCATENATE(AB$2,""*""))&gt;0,countif(filter(Status!$C:$C,Status!$A:$A=$A116),CONCATENATE(AB$2,""*"")),"""")"),4.0)</f>
        <v>4</v>
      </c>
      <c r="AC116" s="23">
        <f>IFERROR(__xludf.DUMMYFUNCTION("if(countif(filter(Status!$C:$C,Status!$A:$A=$A116),CONCATENATE(AC$2,""*""))&gt;0,countif(filter(Status!$C:$C,Status!$A:$A=$A116),CONCATENATE(AC$2,""*"")),"""")"),1.0)</f>
        <v>1</v>
      </c>
      <c r="AD116" s="23" t="str">
        <f>IFERROR(__xludf.DUMMYFUNCTION("if(countif(filter(Status!$C:$C,Status!$A:$A=$A116),CONCATENATE(AD$2,""*""))&gt;0,countif(filter(Status!$C:$C,Status!$A:$A=$A116),CONCATENATE(AD$2,""*"")),"""")"),"")</f>
        <v/>
      </c>
      <c r="AE116" s="23">
        <f>IFERROR(__xludf.DUMMYFUNCTION("if(countif(filter(Status!$C:$C,Status!$A:$A=$A116),CONCATENATE(AE$2,""*""))&gt;0,countif(filter(Status!$C:$C,Status!$A:$A=$A116),CONCATENATE(AE$2,""*"")),"""")"),1.0)</f>
        <v>1</v>
      </c>
      <c r="AF116" s="23">
        <f>IFERROR(__xludf.DUMMYFUNCTION("if(countif(filter(Status!$C:$C,Status!$A:$A=$A116),CONCATENATE(AF$2,""*""))&gt;0,countif(filter(Status!$C:$C,Status!$A:$A=$A116),CONCATENATE(AF$2,""*"")),"""")"),1.0)</f>
        <v>1</v>
      </c>
      <c r="AG116" s="23" t="str">
        <f>IFERROR(__xludf.DUMMYFUNCTION("if(countif(filter(Status!$C:$C,Status!$A:$A=$A116),CONCATENATE(AG$2,""*""))&gt;0,countif(filter(Status!$C:$C,Status!$A:$A=$A116),CONCATENATE(AG$2,""*"")),"""")"),"")</f>
        <v/>
      </c>
      <c r="AH116" s="23" t="str">
        <f>IFERROR(__xludf.DUMMYFUNCTION("if(countif(filter(Status!$C:$C,Status!$A:$A=$A116),CONCATENATE(AH$2,""*""))&gt;0,countif(filter(Status!$C:$C,Status!$A:$A=$A116),CONCATENATE(AH$2,""*"")),"""")"),"")</f>
        <v/>
      </c>
      <c r="AI116" s="23" t="str">
        <f>IFERROR(__xludf.DUMMYFUNCTION("if(countif(filter(Status!$C:$C,Status!$A:$A=$A116),CONCATENATE(AI$2,""*""))&gt;0,countif(filter(Status!$C:$C,Status!$A:$A=$A116),CONCATENATE(AI$2,""*"")),"""")"),"")</f>
        <v/>
      </c>
      <c r="AJ116" s="23" t="str">
        <f>IFERROR(__xludf.DUMMYFUNCTION("if(countif(filter(Status!$C:$C,Status!$A:$A=$A116),CONCATENATE(AJ$2,""*""))&gt;0,countif(filter(Status!$C:$C,Status!$A:$A=$A116),CONCATENATE(AJ$2,""*"")),"""")"),"")</f>
        <v/>
      </c>
      <c r="AK116" s="23" t="str">
        <f>IFERROR(__xludf.DUMMYFUNCTION("if(countif(filter(Status!$C:$C,Status!$A:$A=$A116),CONCATENATE(AK$2,""*""))&gt;0,countif(filter(Status!$C:$C,Status!$A:$A=$A116),CONCATENATE(AK$2,""*"")),"""")"),"")</f>
        <v/>
      </c>
      <c r="AL116" s="23" t="str">
        <f>IFERROR(__xludf.DUMMYFUNCTION("if(countif(filter(Status!$C:$C,Status!$A:$A=$A116),CONCATENATE(AL$2,""*""))&gt;0,countif(filter(Status!$C:$C,Status!$A:$A=$A116),CONCATENATE(AL$2,""*"")),"""")"),"")</f>
        <v/>
      </c>
      <c r="AM116" s="23" t="str">
        <f>IFERROR(__xludf.DUMMYFUNCTION("if(countif(filter(Status!$C:$C,Status!$A:$A=$A116),CONCATENATE(AM$2,""*""))&gt;0,countif(filter(Status!$C:$C,Status!$A:$A=$A116),CONCATENATE(AM$2,""*"")),"""")"),"")</f>
        <v/>
      </c>
      <c r="AN116" s="23" t="str">
        <f>IFERROR(__xludf.DUMMYFUNCTION("if(countif(filter(Status!$C:$C,Status!$A:$A=$A116),CONCATENATE(AN$2,""*""))&gt;0,countif(filter(Status!$C:$C,Status!$A:$A=$A116),CONCATENATE(AN$2,""*"")),"""")"),"")</f>
        <v/>
      </c>
      <c r="AO116" s="23" t="str">
        <f>IFERROR(__xludf.DUMMYFUNCTION("if(countif(filter(Status!$C:$C,Status!$A:$A=$A116),CONCATENATE(AO$2,""*""))&gt;0,countif(filter(Status!$C:$C,Status!$A:$A=$A116),CONCATENATE(AO$2,""*"")),"""")"),"")</f>
        <v/>
      </c>
      <c r="AP116" s="23">
        <f>IFERROR(__xludf.DUMMYFUNCTION("counta(iferror(filter(Status!C:C,Status!A:A=A116)))"),15.0)</f>
        <v>15</v>
      </c>
      <c r="AQ116" s="23">
        <f t="shared" si="6"/>
        <v>15</v>
      </c>
    </row>
    <row r="117">
      <c r="A117" s="1" t="s">
        <v>1063</v>
      </c>
      <c r="B117" s="21">
        <f>IFERROR(__xludf.DUMMYFUNCTION("max(filter(Status!E:E,Status!A:A=A117))"),43879.0)</f>
        <v>43879</v>
      </c>
      <c r="C117" s="23">
        <f t="shared" si="1"/>
        <v>1</v>
      </c>
      <c r="D117" s="23">
        <f t="shared" si="2"/>
        <v>1</v>
      </c>
      <c r="E117" s="23">
        <f t="shared" si="3"/>
        <v>1</v>
      </c>
      <c r="F117" s="23">
        <f t="shared" si="4"/>
        <v>0.5294117647</v>
      </c>
      <c r="G117" s="25">
        <f t="shared" si="5"/>
        <v>1</v>
      </c>
      <c r="J117" s="23">
        <f>IFERROR(__xludf.DUMMYFUNCTION("COUNTA(iferror(filter(Status!H:H,Status!A:A=A117)))"),25.0)</f>
        <v>25</v>
      </c>
      <c r="K117" s="25">
        <f>IFERROR(__xludf.DUMMYFUNCTION("COUNTA(iferror(filter(Status!H:H,Status!A:A=A117,Status!H:H=TRUE)))"),25.0)</f>
        <v>25</v>
      </c>
      <c r="L117" s="23">
        <f>IFERROR(__xludf.DUMMYFUNCTION("COUNTA(iferror(filter(Status!L:L,Status!A:A=A117)))"),15.0)</f>
        <v>15</v>
      </c>
      <c r="M117" s="25">
        <f>IFERROR(__xludf.DUMMYFUNCTION("COUNTA(iferror(filter(Status!L:L,Status!A:A=A117,Status!L:L=TRUE)))"),15.0)</f>
        <v>15</v>
      </c>
      <c r="N117" s="23">
        <f>IFERROR(__xludf.DUMMYFUNCTION("COUNTA(iferror(filter(Status!N:N,Status!A:A=A117,Status!N:N=TRUE)))"),20.0)</f>
        <v>20</v>
      </c>
      <c r="O117" s="25">
        <f>IFERROR(__xludf.DUMMYFUNCTION("COUNTA(iferror(filter(Status!N:N,Status!A:A=A117,Status!N:N=TRUE)))"),20.0)</f>
        <v>20</v>
      </c>
      <c r="P117" s="23">
        <f>IFERROR(__xludf.DUMMYFUNCTION("COUNTA(iferror(filter(Status!P:P,Status!A:A=A117)))"),34.0)</f>
        <v>34</v>
      </c>
      <c r="Q117" s="25">
        <f>IFERROR(__xludf.DUMMYFUNCTION("COUNTA(iferror(filter(Status!P:P,Status!A:A=A117,Status!P:P=TRUE)))"),18.0)</f>
        <v>18</v>
      </c>
      <c r="R117" s="23">
        <f>IFERROR(__xludf.DUMMYFUNCTION("COUNTA(iferror(filter(Status!R:R,Status!A:A=A117)))"),13.0)</f>
        <v>13</v>
      </c>
      <c r="S117" s="25">
        <f>IFERROR(__xludf.DUMMYFUNCTION("COUNTA(iferror(filter(Status!R:R,Status!A:A=A117,Status!R:R=TRUE)))"),13.0)</f>
        <v>13</v>
      </c>
      <c r="V117" s="23" t="str">
        <f>IFERROR(__xludf.DUMMYFUNCTION("if((countif(filter(Status!$C:$C,Status!$A:$A=$A117),CONCATENATE(V$2,""*""))-W117)&gt;0,(countif(filter(Status!$C:$C,Status!$A:$A=$A117),CONCATENATE(V$2,""*""))-W117),"""")"),"")</f>
        <v/>
      </c>
      <c r="W117" s="23">
        <f>IFERROR(__xludf.DUMMYFUNCTION("if(countif(filter(Status!$C:$C,Status!$A:$A=$A117),CONCATENATE(W$2,""*""))&gt;0,countif(filter(Status!$C:$C,Status!$A:$A=$A117),CONCATENATE(W$2,""*"")),"""")"),3.0)</f>
        <v>3</v>
      </c>
      <c r="X117" s="23">
        <f>IFERROR(__xludf.DUMMYFUNCTION("if(countif(filter(Status!$C:$C,Status!$A:$A=$A117),CONCATENATE(X$2,""*""))&gt;0,countif(filter(Status!$C:$C,Status!$A:$A=$A117),CONCATENATE(X$2,""*"")),"""")"),3.0)</f>
        <v>3</v>
      </c>
      <c r="Y117" s="23">
        <f>IFERROR(__xludf.DUMMYFUNCTION("if(countif(filter(Status!$C:$C,Status!$A:$A=$A117),CONCATENATE(Y$2,""*""))&gt;0,countif(filter(Status!$C:$C,Status!$A:$A=$A117),CONCATENATE(Y$2,""*"")),"""")"),2.0)</f>
        <v>2</v>
      </c>
      <c r="Z117" s="23">
        <f>IFERROR(__xludf.DUMMYFUNCTION("if(countif(filter(Status!$C:$C,Status!$A:$A=$A117),CONCATENATE(Z$2,""*""))&gt;0,countif(filter(Status!$C:$C,Status!$A:$A=$A117),CONCATENATE(Z$2,""*"")),"""")"),10.0)</f>
        <v>10</v>
      </c>
      <c r="AA117" s="23">
        <f>IFERROR(__xludf.DUMMYFUNCTION("if((countif(filter(Status!$C:$C,Status!$A:$A=$A117),CONCATENATE(AA$2,""*""))-AB117)&gt;0,(countif(filter(Status!$C:$C,Status!$A:$A=$A117),CONCATENATE(AA$2,""*""))-AB117),"""")"),9.0)</f>
        <v>9</v>
      </c>
      <c r="AB117" s="23">
        <f>IFERROR(__xludf.DUMMYFUNCTION("if(countif(filter(Status!$C:$C,Status!$A:$A=$A117),CONCATENATE(AB$2,""*""))&gt;0,countif(filter(Status!$C:$C,Status!$A:$A=$A117),CONCATENATE(AB$2,""*"")),"""")"),6.0)</f>
        <v>6</v>
      </c>
      <c r="AC117" s="23">
        <f>IFERROR(__xludf.DUMMYFUNCTION("if(countif(filter(Status!$C:$C,Status!$A:$A=$A117),CONCATENATE(AC$2,""*""))&gt;0,countif(filter(Status!$C:$C,Status!$A:$A=$A117),CONCATENATE(AC$2,""*"")),"""")"),1.0)</f>
        <v>1</v>
      </c>
      <c r="AD117" s="23">
        <f>IFERROR(__xludf.DUMMYFUNCTION("if(countif(filter(Status!$C:$C,Status!$A:$A=$A117),CONCATENATE(AD$2,""*""))&gt;0,countif(filter(Status!$C:$C,Status!$A:$A=$A117),CONCATENATE(AD$2,""*"")),"""")"),1.0)</f>
        <v>1</v>
      </c>
      <c r="AE117" s="23">
        <f>IFERROR(__xludf.DUMMYFUNCTION("if(countif(filter(Status!$C:$C,Status!$A:$A=$A117),CONCATENATE(AE$2,""*""))&gt;0,countif(filter(Status!$C:$C,Status!$A:$A=$A117),CONCATENATE(AE$2,""*"")),"""")"),1.0)</f>
        <v>1</v>
      </c>
      <c r="AF117" s="23" t="str">
        <f>IFERROR(__xludf.DUMMYFUNCTION("if(countif(filter(Status!$C:$C,Status!$A:$A=$A117),CONCATENATE(AF$2,""*""))&gt;0,countif(filter(Status!$C:$C,Status!$A:$A=$A117),CONCATENATE(AF$2,""*"")),"""")"),"")</f>
        <v/>
      </c>
      <c r="AG117" s="23" t="str">
        <f>IFERROR(__xludf.DUMMYFUNCTION("if(countif(filter(Status!$C:$C,Status!$A:$A=$A117),CONCATENATE(AG$2,""*""))&gt;0,countif(filter(Status!$C:$C,Status!$A:$A=$A117),CONCATENATE(AG$2,""*"")),"""")"),"")</f>
        <v/>
      </c>
      <c r="AH117" s="23" t="str">
        <f>IFERROR(__xludf.DUMMYFUNCTION("if(countif(filter(Status!$C:$C,Status!$A:$A=$A117),CONCATENATE(AH$2,""*""))&gt;0,countif(filter(Status!$C:$C,Status!$A:$A=$A117),CONCATENATE(AH$2,""*"")),"""")"),"")</f>
        <v/>
      </c>
      <c r="AI117" s="23" t="str">
        <f>IFERROR(__xludf.DUMMYFUNCTION("if(countif(filter(Status!$C:$C,Status!$A:$A=$A117),CONCATENATE(AI$2,""*""))&gt;0,countif(filter(Status!$C:$C,Status!$A:$A=$A117),CONCATENATE(AI$2,""*"")),"""")"),"")</f>
        <v/>
      </c>
      <c r="AJ117" s="23" t="str">
        <f>IFERROR(__xludf.DUMMYFUNCTION("if(countif(filter(Status!$C:$C,Status!$A:$A=$A117),CONCATENATE(AJ$2,""*""))&gt;0,countif(filter(Status!$C:$C,Status!$A:$A=$A117),CONCATENATE(AJ$2,""*"")),"""")"),"")</f>
        <v/>
      </c>
      <c r="AK117" s="23" t="str">
        <f>IFERROR(__xludf.DUMMYFUNCTION("if(countif(filter(Status!$C:$C,Status!$A:$A=$A117),CONCATENATE(AK$2,""*""))&gt;0,countif(filter(Status!$C:$C,Status!$A:$A=$A117),CONCATENATE(AK$2,""*"")),"""")"),"")</f>
        <v/>
      </c>
      <c r="AL117" s="23" t="str">
        <f>IFERROR(__xludf.DUMMYFUNCTION("if(countif(filter(Status!$C:$C,Status!$A:$A=$A117),CONCATENATE(AL$2,""*""))&gt;0,countif(filter(Status!$C:$C,Status!$A:$A=$A117),CONCATENATE(AL$2,""*"")),"""")"),"")</f>
        <v/>
      </c>
      <c r="AM117" s="23" t="str">
        <f>IFERROR(__xludf.DUMMYFUNCTION("if(countif(filter(Status!$C:$C,Status!$A:$A=$A117),CONCATENATE(AM$2,""*""))&gt;0,countif(filter(Status!$C:$C,Status!$A:$A=$A117),CONCATENATE(AM$2,""*"")),"""")"),"")</f>
        <v/>
      </c>
      <c r="AN117" s="23" t="str">
        <f>IFERROR(__xludf.DUMMYFUNCTION("if(countif(filter(Status!$C:$C,Status!$A:$A=$A117),CONCATENATE(AN$2,""*""))&gt;0,countif(filter(Status!$C:$C,Status!$A:$A=$A117),CONCATENATE(AN$2,""*"")),"""")"),"")</f>
        <v/>
      </c>
      <c r="AO117" s="23" t="str">
        <f>IFERROR(__xludf.DUMMYFUNCTION("if(countif(filter(Status!$C:$C,Status!$A:$A=$A117),CONCATENATE(AO$2,""*""))&gt;0,countif(filter(Status!$C:$C,Status!$A:$A=$A117),CONCATENATE(AO$2,""*"")),"""")"),"")</f>
        <v/>
      </c>
      <c r="AP117" s="23">
        <f>IFERROR(__xludf.DUMMYFUNCTION("counta(iferror(filter(Status!C:C,Status!A:A=A117)))"),36.0)</f>
        <v>36</v>
      </c>
      <c r="AQ117" s="23">
        <f t="shared" si="6"/>
        <v>36</v>
      </c>
    </row>
    <row r="118">
      <c r="A118" s="1" t="s">
        <v>1067</v>
      </c>
      <c r="B118" s="21">
        <f>IFERROR(__xludf.DUMMYFUNCTION("max(filter(Status!E:E,Status!A:A=A118))"),43878.0)</f>
        <v>43878</v>
      </c>
      <c r="C118" s="23">
        <f t="shared" si="1"/>
        <v>1</v>
      </c>
      <c r="D118" s="23">
        <f t="shared" si="2"/>
        <v>1</v>
      </c>
      <c r="E118" s="23">
        <f t="shared" si="3"/>
        <v>1</v>
      </c>
      <c r="F118" s="23">
        <f t="shared" si="4"/>
        <v>0.4117647059</v>
      </c>
      <c r="G118" s="25">
        <f t="shared" si="5"/>
        <v>1</v>
      </c>
      <c r="J118" s="23">
        <f>IFERROR(__xludf.DUMMYFUNCTION("COUNTA(iferror(filter(Status!H:H,Status!A:A=A118)))"),11.0)</f>
        <v>11</v>
      </c>
      <c r="K118" s="25">
        <f>IFERROR(__xludf.DUMMYFUNCTION("COUNTA(iferror(filter(Status!H:H,Status!A:A=A118,Status!H:H=TRUE)))"),11.0)</f>
        <v>11</v>
      </c>
      <c r="L118" s="23">
        <f>IFERROR(__xludf.DUMMYFUNCTION("COUNTA(iferror(filter(Status!L:L,Status!A:A=A118)))"),5.0)</f>
        <v>5</v>
      </c>
      <c r="M118" s="25">
        <f>IFERROR(__xludf.DUMMYFUNCTION("COUNTA(iferror(filter(Status!L:L,Status!A:A=A118,Status!L:L=TRUE)))"),5.0)</f>
        <v>5</v>
      </c>
      <c r="N118" s="23">
        <f>IFERROR(__xludf.DUMMYFUNCTION("COUNTA(iferror(filter(Status!N:N,Status!A:A=A118,Status!N:N=TRUE)))"),7.0)</f>
        <v>7</v>
      </c>
      <c r="O118" s="25">
        <f>IFERROR(__xludf.DUMMYFUNCTION("COUNTA(iferror(filter(Status!N:N,Status!A:A=A118,Status!N:N=TRUE)))"),7.0)</f>
        <v>7</v>
      </c>
      <c r="P118" s="23">
        <f>IFERROR(__xludf.DUMMYFUNCTION("COUNTA(iferror(filter(Status!P:P,Status!A:A=A118)))"),17.0)</f>
        <v>17</v>
      </c>
      <c r="Q118" s="25">
        <f>IFERROR(__xludf.DUMMYFUNCTION("COUNTA(iferror(filter(Status!P:P,Status!A:A=A118,Status!P:P=TRUE)))"),7.0)</f>
        <v>7</v>
      </c>
      <c r="R118" s="23">
        <f>IFERROR(__xludf.DUMMYFUNCTION("COUNTA(iferror(filter(Status!R:R,Status!A:A=A118)))"),11.0)</f>
        <v>11</v>
      </c>
      <c r="S118" s="25">
        <f>IFERROR(__xludf.DUMMYFUNCTION("COUNTA(iferror(filter(Status!R:R,Status!A:A=A118,Status!R:R=TRUE)))"),11.0)</f>
        <v>11</v>
      </c>
      <c r="V118" s="23" t="str">
        <f>IFERROR(__xludf.DUMMYFUNCTION("if((countif(filter(Status!$C:$C,Status!$A:$A=$A118),CONCATENATE(V$2,""*""))-W118)&gt;0,(countif(filter(Status!$C:$C,Status!$A:$A=$A118),CONCATENATE(V$2,""*""))-W118),"""")"),"")</f>
        <v/>
      </c>
      <c r="W118" s="23">
        <f>IFERROR(__xludf.DUMMYFUNCTION("if(countif(filter(Status!$C:$C,Status!$A:$A=$A118),CONCATENATE(W$2,""*""))&gt;0,countif(filter(Status!$C:$C,Status!$A:$A=$A118),CONCATENATE(W$2,""*"")),"""")"),5.0)</f>
        <v>5</v>
      </c>
      <c r="X118" s="23" t="str">
        <f>IFERROR(__xludf.DUMMYFUNCTION("if(countif(filter(Status!$C:$C,Status!$A:$A=$A118),CONCATENATE(X$2,""*""))&gt;0,countif(filter(Status!$C:$C,Status!$A:$A=$A118),CONCATENATE(X$2,""*"")),"""")"),"")</f>
        <v/>
      </c>
      <c r="Y118" s="23" t="str">
        <f>IFERROR(__xludf.DUMMYFUNCTION("if(countif(filter(Status!$C:$C,Status!$A:$A=$A118),CONCATENATE(Y$2,""*""))&gt;0,countif(filter(Status!$C:$C,Status!$A:$A=$A118),CONCATENATE(Y$2,""*"")),"""")"),"")</f>
        <v/>
      </c>
      <c r="Z118" s="23" t="str">
        <f>IFERROR(__xludf.DUMMYFUNCTION("if(countif(filter(Status!$C:$C,Status!$A:$A=$A118),CONCATENATE(Z$2,""*""))&gt;0,countif(filter(Status!$C:$C,Status!$A:$A=$A118),CONCATENATE(Z$2,""*"")),"""")"),"")</f>
        <v/>
      </c>
      <c r="AA118" s="23">
        <f>IFERROR(__xludf.DUMMYFUNCTION("if((countif(filter(Status!$C:$C,Status!$A:$A=$A118),CONCATENATE(AA$2,""*""))-AB118)&gt;0,(countif(filter(Status!$C:$C,Status!$A:$A=$A118),CONCATENATE(AA$2,""*""))-AB118),"""")"),5.0)</f>
        <v>5</v>
      </c>
      <c r="AB118" s="23">
        <f>IFERROR(__xludf.DUMMYFUNCTION("if(countif(filter(Status!$C:$C,Status!$A:$A=$A118),CONCATENATE(AB$2,""*""))&gt;0,countif(filter(Status!$C:$C,Status!$A:$A=$A118),CONCATENATE(AB$2,""*"")),"""")"),5.0)</f>
        <v>5</v>
      </c>
      <c r="AC118" s="23">
        <f>IFERROR(__xludf.DUMMYFUNCTION("if(countif(filter(Status!$C:$C,Status!$A:$A=$A118),CONCATENATE(AC$2,""*""))&gt;0,countif(filter(Status!$C:$C,Status!$A:$A=$A118),CONCATENATE(AC$2,""*"")),"""")"),1.0)</f>
        <v>1</v>
      </c>
      <c r="AD118" s="23">
        <f>IFERROR(__xludf.DUMMYFUNCTION("if(countif(filter(Status!$C:$C,Status!$A:$A=$A118),CONCATENATE(AD$2,""*""))&gt;0,countif(filter(Status!$C:$C,Status!$A:$A=$A118),CONCATENATE(AD$2,""*"")),"""")"),1.0)</f>
        <v>1</v>
      </c>
      <c r="AE118" s="23">
        <f>IFERROR(__xludf.DUMMYFUNCTION("if(countif(filter(Status!$C:$C,Status!$A:$A=$A118),CONCATENATE(AE$2,""*""))&gt;0,countif(filter(Status!$C:$C,Status!$A:$A=$A118),CONCATENATE(AE$2,""*"")),"""")"),1.0)</f>
        <v>1</v>
      </c>
      <c r="AF118" s="23" t="str">
        <f>IFERROR(__xludf.DUMMYFUNCTION("if(countif(filter(Status!$C:$C,Status!$A:$A=$A118),CONCATENATE(AF$2,""*""))&gt;0,countif(filter(Status!$C:$C,Status!$A:$A=$A118),CONCATENATE(AF$2,""*"")),"""")"),"")</f>
        <v/>
      </c>
      <c r="AG118" s="23" t="str">
        <f>IFERROR(__xludf.DUMMYFUNCTION("if(countif(filter(Status!$C:$C,Status!$A:$A=$A118),CONCATENATE(AG$2,""*""))&gt;0,countif(filter(Status!$C:$C,Status!$A:$A=$A118),CONCATENATE(AG$2,""*"")),"""")"),"")</f>
        <v/>
      </c>
      <c r="AH118" s="23" t="str">
        <f>IFERROR(__xludf.DUMMYFUNCTION("if(countif(filter(Status!$C:$C,Status!$A:$A=$A118),CONCATENATE(AH$2,""*""))&gt;0,countif(filter(Status!$C:$C,Status!$A:$A=$A118),CONCATENATE(AH$2,""*"")),"""")"),"")</f>
        <v/>
      </c>
      <c r="AI118" s="23" t="str">
        <f>IFERROR(__xludf.DUMMYFUNCTION("if(countif(filter(Status!$C:$C,Status!$A:$A=$A118),CONCATENATE(AI$2,""*""))&gt;0,countif(filter(Status!$C:$C,Status!$A:$A=$A118),CONCATENATE(AI$2,""*"")),"""")"),"")</f>
        <v/>
      </c>
      <c r="AJ118" s="23" t="str">
        <f>IFERROR(__xludf.DUMMYFUNCTION("if(countif(filter(Status!$C:$C,Status!$A:$A=$A118),CONCATENATE(AJ$2,""*""))&gt;0,countif(filter(Status!$C:$C,Status!$A:$A=$A118),CONCATENATE(AJ$2,""*"")),"""")"),"")</f>
        <v/>
      </c>
      <c r="AK118" s="23" t="str">
        <f>IFERROR(__xludf.DUMMYFUNCTION("if(countif(filter(Status!$C:$C,Status!$A:$A=$A118),CONCATENATE(AK$2,""*""))&gt;0,countif(filter(Status!$C:$C,Status!$A:$A=$A118),CONCATENATE(AK$2,""*"")),"""")"),"")</f>
        <v/>
      </c>
      <c r="AL118" s="23" t="str">
        <f>IFERROR(__xludf.DUMMYFUNCTION("if(countif(filter(Status!$C:$C,Status!$A:$A=$A118),CONCATENATE(AL$2,""*""))&gt;0,countif(filter(Status!$C:$C,Status!$A:$A=$A118),CONCATENATE(AL$2,""*"")),"""")"),"")</f>
        <v/>
      </c>
      <c r="AM118" s="23" t="str">
        <f>IFERROR(__xludf.DUMMYFUNCTION("if(countif(filter(Status!$C:$C,Status!$A:$A=$A118),CONCATENATE(AM$2,""*""))&gt;0,countif(filter(Status!$C:$C,Status!$A:$A=$A118),CONCATENATE(AM$2,""*"")),"""")"),"")</f>
        <v/>
      </c>
      <c r="AN118" s="23" t="str">
        <f>IFERROR(__xludf.DUMMYFUNCTION("if(countif(filter(Status!$C:$C,Status!$A:$A=$A118),CONCATENATE(AN$2,""*""))&gt;0,countif(filter(Status!$C:$C,Status!$A:$A=$A118),CONCATENATE(AN$2,""*"")),"""")"),"")</f>
        <v/>
      </c>
      <c r="AO118" s="23" t="str">
        <f>IFERROR(__xludf.DUMMYFUNCTION("if(countif(filter(Status!$C:$C,Status!$A:$A=$A118),CONCATENATE(AO$2,""*""))&gt;0,countif(filter(Status!$C:$C,Status!$A:$A=$A118),CONCATENATE(AO$2,""*"")),"""")"),"")</f>
        <v/>
      </c>
      <c r="AP118" s="23">
        <f>IFERROR(__xludf.DUMMYFUNCTION("counta(iferror(filter(Status!C:C,Status!A:A=A118)))"),18.0)</f>
        <v>18</v>
      </c>
      <c r="AQ118" s="23">
        <f t="shared" si="6"/>
        <v>18</v>
      </c>
    </row>
    <row r="119">
      <c r="A119" s="1" t="s">
        <v>1072</v>
      </c>
      <c r="B119" s="21">
        <f>IFERROR(__xludf.DUMMYFUNCTION("max(filter(Status!E:E,Status!A:A=A119))"),43879.0)</f>
        <v>43879</v>
      </c>
      <c r="C119" s="23">
        <f t="shared" si="1"/>
        <v>1</v>
      </c>
      <c r="D119" s="23">
        <f t="shared" si="2"/>
        <v>1</v>
      </c>
      <c r="E119" s="23">
        <f t="shared" si="3"/>
        <v>1</v>
      </c>
      <c r="F119" s="23">
        <f t="shared" si="4"/>
        <v>0.4444444444</v>
      </c>
      <c r="G119" s="25">
        <f t="shared" si="5"/>
        <v>0.9</v>
      </c>
      <c r="J119" s="23">
        <f>IFERROR(__xludf.DUMMYFUNCTION("COUNTA(iferror(filter(Status!H:H,Status!A:A=A119)))"),10.0)</f>
        <v>10</v>
      </c>
      <c r="K119" s="25">
        <f>IFERROR(__xludf.DUMMYFUNCTION("COUNTA(iferror(filter(Status!H:H,Status!A:A=A119,Status!H:H=TRUE)))"),10.0)</f>
        <v>10</v>
      </c>
      <c r="L119" s="23">
        <f>IFERROR(__xludf.DUMMYFUNCTION("COUNTA(iferror(filter(Status!L:L,Status!A:A=A119)))"),3.0)</f>
        <v>3</v>
      </c>
      <c r="M119" s="25">
        <f>IFERROR(__xludf.DUMMYFUNCTION("COUNTA(iferror(filter(Status!L:L,Status!A:A=A119,Status!L:L=TRUE)))"),3.0)</f>
        <v>3</v>
      </c>
      <c r="N119" s="23">
        <f>IFERROR(__xludf.DUMMYFUNCTION("COUNTA(iferror(filter(Status!N:N,Status!A:A=A119,Status!N:N=TRUE)))"),8.0)</f>
        <v>8</v>
      </c>
      <c r="O119" s="25">
        <f>IFERROR(__xludf.DUMMYFUNCTION("COUNTA(iferror(filter(Status!N:N,Status!A:A=A119,Status!N:N=TRUE)))"),8.0)</f>
        <v>8</v>
      </c>
      <c r="P119" s="23">
        <f>IFERROR(__xludf.DUMMYFUNCTION("COUNTA(iferror(filter(Status!P:P,Status!A:A=A119)))"),18.0)</f>
        <v>18</v>
      </c>
      <c r="Q119" s="25">
        <f>IFERROR(__xludf.DUMMYFUNCTION("COUNTA(iferror(filter(Status!P:P,Status!A:A=A119,Status!P:P=TRUE)))"),8.0)</f>
        <v>8</v>
      </c>
      <c r="R119" s="23">
        <f>IFERROR(__xludf.DUMMYFUNCTION("COUNTA(iferror(filter(Status!R:R,Status!A:A=A119)))"),10.0)</f>
        <v>10</v>
      </c>
      <c r="S119" s="25">
        <f>IFERROR(__xludf.DUMMYFUNCTION("COUNTA(iferror(filter(Status!R:R,Status!A:A=A119,Status!R:R=TRUE)))"),9.0)</f>
        <v>9</v>
      </c>
      <c r="V119" s="23" t="str">
        <f>IFERROR(__xludf.DUMMYFUNCTION("if((countif(filter(Status!$C:$C,Status!$A:$A=$A119),CONCATENATE(V$2,""*""))-W119)&gt;0,(countif(filter(Status!$C:$C,Status!$A:$A=$A119),CONCATENATE(V$2,""*""))-W119),"""")"),"")</f>
        <v/>
      </c>
      <c r="W119" s="23" t="str">
        <f>IFERROR(__xludf.DUMMYFUNCTION("if(countif(filter(Status!$C:$C,Status!$A:$A=$A119),CONCATENATE(W$2,""*""))&gt;0,countif(filter(Status!$C:$C,Status!$A:$A=$A119),CONCATENATE(W$2,""*"")),"""")"),"")</f>
        <v/>
      </c>
      <c r="X119" s="23">
        <f>IFERROR(__xludf.DUMMYFUNCTION("if(countif(filter(Status!$C:$C,Status!$A:$A=$A119),CONCATENATE(X$2,""*""))&gt;0,countif(filter(Status!$C:$C,Status!$A:$A=$A119),CONCATENATE(X$2,""*"")),"""")"),4.0)</f>
        <v>4</v>
      </c>
      <c r="Y119" s="23" t="str">
        <f>IFERROR(__xludf.DUMMYFUNCTION("if(countif(filter(Status!$C:$C,Status!$A:$A=$A119),CONCATENATE(Y$2,""*""))&gt;0,countif(filter(Status!$C:$C,Status!$A:$A=$A119),CONCATENATE(Y$2,""*"")),"""")"),"")</f>
        <v/>
      </c>
      <c r="Z119" s="23" t="str">
        <f>IFERROR(__xludf.DUMMYFUNCTION("if(countif(filter(Status!$C:$C,Status!$A:$A=$A119),CONCATENATE(Z$2,""*""))&gt;0,countif(filter(Status!$C:$C,Status!$A:$A=$A119),CONCATENATE(Z$2,""*"")),"""")"),"")</f>
        <v/>
      </c>
      <c r="AA119" s="23">
        <f>IFERROR(__xludf.DUMMYFUNCTION("if((countif(filter(Status!$C:$C,Status!$A:$A=$A119),CONCATENATE(AA$2,""*""))-AB119)&gt;0,(countif(filter(Status!$C:$C,Status!$A:$A=$A119),CONCATENATE(AA$2,""*""))-AB119),"""")"),6.0)</f>
        <v>6</v>
      </c>
      <c r="AB119" s="23">
        <f>IFERROR(__xludf.DUMMYFUNCTION("if(countif(filter(Status!$C:$C,Status!$A:$A=$A119),CONCATENATE(AB$2,""*""))&gt;0,countif(filter(Status!$C:$C,Status!$A:$A=$A119),CONCATENATE(AB$2,""*"")),"""")"),4.0)</f>
        <v>4</v>
      </c>
      <c r="AC119" s="23">
        <f>IFERROR(__xludf.DUMMYFUNCTION("if(countif(filter(Status!$C:$C,Status!$A:$A=$A119),CONCATENATE(AC$2,""*""))&gt;0,countif(filter(Status!$C:$C,Status!$A:$A=$A119),CONCATENATE(AC$2,""*"")),"""")"),1.0)</f>
        <v>1</v>
      </c>
      <c r="AD119" s="23" t="str">
        <f>IFERROR(__xludf.DUMMYFUNCTION("if(countif(filter(Status!$C:$C,Status!$A:$A=$A119),CONCATENATE(AD$2,""*""))&gt;0,countif(filter(Status!$C:$C,Status!$A:$A=$A119),CONCATENATE(AD$2,""*"")),"""")"),"")</f>
        <v/>
      </c>
      <c r="AE119" s="23">
        <f>IFERROR(__xludf.DUMMYFUNCTION("if(countif(filter(Status!$C:$C,Status!$A:$A=$A119),CONCATENATE(AE$2,""*""))&gt;0,countif(filter(Status!$C:$C,Status!$A:$A=$A119),CONCATENATE(AE$2,""*"")),"""")"),1.0)</f>
        <v>1</v>
      </c>
      <c r="AF119" s="23">
        <f>IFERROR(__xludf.DUMMYFUNCTION("if(countif(filter(Status!$C:$C,Status!$A:$A=$A119),CONCATENATE(AF$2,""*""))&gt;0,countif(filter(Status!$C:$C,Status!$A:$A=$A119),CONCATENATE(AF$2,""*"")),"""")"),1.0)</f>
        <v>1</v>
      </c>
      <c r="AG119" s="23" t="str">
        <f>IFERROR(__xludf.DUMMYFUNCTION("if(countif(filter(Status!$C:$C,Status!$A:$A=$A119),CONCATENATE(AG$2,""*""))&gt;0,countif(filter(Status!$C:$C,Status!$A:$A=$A119),CONCATENATE(AG$2,""*"")),"""")"),"")</f>
        <v/>
      </c>
      <c r="AH119" s="23" t="str">
        <f>IFERROR(__xludf.DUMMYFUNCTION("if(countif(filter(Status!$C:$C,Status!$A:$A=$A119),CONCATENATE(AH$2,""*""))&gt;0,countif(filter(Status!$C:$C,Status!$A:$A=$A119),CONCATENATE(AH$2,""*"")),"""")"),"")</f>
        <v/>
      </c>
      <c r="AI119" s="23" t="str">
        <f>IFERROR(__xludf.DUMMYFUNCTION("if(countif(filter(Status!$C:$C,Status!$A:$A=$A119),CONCATENATE(AI$2,""*""))&gt;0,countif(filter(Status!$C:$C,Status!$A:$A=$A119),CONCATENATE(AI$2,""*"")),"""")"),"")</f>
        <v/>
      </c>
      <c r="AJ119" s="23">
        <f>IFERROR(__xludf.DUMMYFUNCTION("if(countif(filter(Status!$C:$C,Status!$A:$A=$A119),CONCATENATE(AJ$2,""*""))&gt;0,countif(filter(Status!$C:$C,Status!$A:$A=$A119),CONCATENATE(AJ$2,""*"")),"""")"),1.0)</f>
        <v>1</v>
      </c>
      <c r="AK119" s="23" t="str">
        <f>IFERROR(__xludf.DUMMYFUNCTION("if(countif(filter(Status!$C:$C,Status!$A:$A=$A119),CONCATENATE(AK$2,""*""))&gt;0,countif(filter(Status!$C:$C,Status!$A:$A=$A119),CONCATENATE(AK$2,""*"")),"""")"),"")</f>
        <v/>
      </c>
      <c r="AL119" s="23" t="str">
        <f>IFERROR(__xludf.DUMMYFUNCTION("if(countif(filter(Status!$C:$C,Status!$A:$A=$A119),CONCATENATE(AL$2,""*""))&gt;0,countif(filter(Status!$C:$C,Status!$A:$A=$A119),CONCATENATE(AL$2,""*"")),"""")"),"")</f>
        <v/>
      </c>
      <c r="AM119" s="23" t="str">
        <f>IFERROR(__xludf.DUMMYFUNCTION("if(countif(filter(Status!$C:$C,Status!$A:$A=$A119),CONCATENATE(AM$2,""*""))&gt;0,countif(filter(Status!$C:$C,Status!$A:$A=$A119),CONCATENATE(AM$2,""*"")),"""")"),"")</f>
        <v/>
      </c>
      <c r="AN119" s="23" t="str">
        <f>IFERROR(__xludf.DUMMYFUNCTION("if(countif(filter(Status!$C:$C,Status!$A:$A=$A119),CONCATENATE(AN$2,""*""))&gt;0,countif(filter(Status!$C:$C,Status!$A:$A=$A119),CONCATENATE(AN$2,""*"")),"""")"),"")</f>
        <v/>
      </c>
      <c r="AO119" s="23">
        <f>IFERROR(__xludf.DUMMYFUNCTION("if(countif(filter(Status!$C:$C,Status!$A:$A=$A119),CONCATENATE(AO$2,""*""))&gt;0,countif(filter(Status!$C:$C,Status!$A:$A=$A119),CONCATENATE(AO$2,""*"")),"""")"),1.0)</f>
        <v>1</v>
      </c>
      <c r="AP119" s="23">
        <f>IFERROR(__xludf.DUMMYFUNCTION("counta(iferror(filter(Status!C:C,Status!A:A=A119)))"),19.0)</f>
        <v>19</v>
      </c>
      <c r="AQ119" s="23">
        <f t="shared" si="6"/>
        <v>19</v>
      </c>
    </row>
    <row r="120">
      <c r="A120" s="1" t="s">
        <v>1075</v>
      </c>
      <c r="B120" s="21">
        <f>IFERROR(__xludf.DUMMYFUNCTION("max(filter(Status!E:E,Status!A:A=A120))"),43880.0)</f>
        <v>43880</v>
      </c>
      <c r="C120" s="23">
        <f t="shared" si="1"/>
        <v>1</v>
      </c>
      <c r="D120" s="23">
        <f t="shared" si="2"/>
        <v>1</v>
      </c>
      <c r="E120" s="23">
        <f t="shared" si="3"/>
        <v>1</v>
      </c>
      <c r="F120" s="23">
        <f t="shared" si="4"/>
        <v>0.4117647059</v>
      </c>
      <c r="G120" s="25">
        <f t="shared" si="5"/>
        <v>0.9166666667</v>
      </c>
      <c r="J120" s="23">
        <f>IFERROR(__xludf.DUMMYFUNCTION("COUNTA(iferror(filter(Status!H:H,Status!A:A=A120)))"),9.0)</f>
        <v>9</v>
      </c>
      <c r="K120" s="25">
        <f>IFERROR(__xludf.DUMMYFUNCTION("COUNTA(iferror(filter(Status!H:H,Status!A:A=A120,Status!H:H=TRUE)))"),9.0)</f>
        <v>9</v>
      </c>
      <c r="L120" s="23">
        <f>IFERROR(__xludf.DUMMYFUNCTION("COUNTA(iferror(filter(Status!L:L,Status!A:A=A120)))"),3.0)</f>
        <v>3</v>
      </c>
      <c r="M120" s="25">
        <f>IFERROR(__xludf.DUMMYFUNCTION("COUNTA(iferror(filter(Status!L:L,Status!A:A=A120,Status!L:L=TRUE)))"),3.0)</f>
        <v>3</v>
      </c>
      <c r="N120" s="23">
        <f>IFERROR(__xludf.DUMMYFUNCTION("COUNTA(iferror(filter(Status!N:N,Status!A:A=A120,Status!N:N=TRUE)))"),7.0)</f>
        <v>7</v>
      </c>
      <c r="O120" s="25">
        <f>IFERROR(__xludf.DUMMYFUNCTION("COUNTA(iferror(filter(Status!N:N,Status!A:A=A120,Status!N:N=TRUE)))"),7.0)</f>
        <v>7</v>
      </c>
      <c r="P120" s="23">
        <f>IFERROR(__xludf.DUMMYFUNCTION("COUNTA(iferror(filter(Status!P:P,Status!A:A=A120)))"),17.0)</f>
        <v>17</v>
      </c>
      <c r="Q120" s="25">
        <f>IFERROR(__xludf.DUMMYFUNCTION("COUNTA(iferror(filter(Status!P:P,Status!A:A=A120,Status!P:P=TRUE)))"),7.0)</f>
        <v>7</v>
      </c>
      <c r="R120" s="23">
        <f>IFERROR(__xludf.DUMMYFUNCTION("COUNTA(iferror(filter(Status!R:R,Status!A:A=A120)))"),12.0)</f>
        <v>12</v>
      </c>
      <c r="S120" s="25">
        <f>IFERROR(__xludf.DUMMYFUNCTION("COUNTA(iferror(filter(Status!R:R,Status!A:A=A120,Status!R:R=TRUE)))"),11.0)</f>
        <v>11</v>
      </c>
      <c r="V120" s="23">
        <f>IFERROR(__xludf.DUMMYFUNCTION("if((countif(filter(Status!$C:$C,Status!$A:$A=$A120),CONCATENATE(V$2,""*""))-W120)&gt;0,(countif(filter(Status!$C:$C,Status!$A:$A=$A120),CONCATENATE(V$2,""*""))-W120),"""")"),2.0)</f>
        <v>2</v>
      </c>
      <c r="W120" s="23" t="str">
        <f>IFERROR(__xludf.DUMMYFUNCTION("if(countif(filter(Status!$C:$C,Status!$A:$A=$A120),CONCATENATE(W$2,""*""))&gt;0,countif(filter(Status!$C:$C,Status!$A:$A=$A120),CONCATENATE(W$2,""*"")),"""")"),"")</f>
        <v/>
      </c>
      <c r="X120" s="23">
        <f>IFERROR(__xludf.DUMMYFUNCTION("if(countif(filter(Status!$C:$C,Status!$A:$A=$A120),CONCATENATE(X$2,""*""))&gt;0,countif(filter(Status!$C:$C,Status!$A:$A=$A120),CONCATENATE(X$2,""*"")),"""")"),3.0)</f>
        <v>3</v>
      </c>
      <c r="Y120" s="23" t="str">
        <f>IFERROR(__xludf.DUMMYFUNCTION("if(countif(filter(Status!$C:$C,Status!$A:$A=$A120),CONCATENATE(Y$2,""*""))&gt;0,countif(filter(Status!$C:$C,Status!$A:$A=$A120),CONCATENATE(Y$2,""*"")),"""")"),"")</f>
        <v/>
      </c>
      <c r="Z120" s="23" t="str">
        <f>IFERROR(__xludf.DUMMYFUNCTION("if(countif(filter(Status!$C:$C,Status!$A:$A=$A120),CONCATENATE(Z$2,""*""))&gt;0,countif(filter(Status!$C:$C,Status!$A:$A=$A120),CONCATENATE(Z$2,""*"")),"""")"),"")</f>
        <v/>
      </c>
      <c r="AA120" s="23">
        <f>IFERROR(__xludf.DUMMYFUNCTION("if((countif(filter(Status!$C:$C,Status!$A:$A=$A120),CONCATENATE(AA$2,""*""))-AB120)&gt;0,(countif(filter(Status!$C:$C,Status!$A:$A=$A120),CONCATENATE(AA$2,""*""))-AB120),"""")"),5.0)</f>
        <v>5</v>
      </c>
      <c r="AB120" s="23">
        <f>IFERROR(__xludf.DUMMYFUNCTION("if(countif(filter(Status!$C:$C,Status!$A:$A=$A120),CONCATENATE(AB$2,""*""))&gt;0,countif(filter(Status!$C:$C,Status!$A:$A=$A120),CONCATENATE(AB$2,""*"")),"""")"),5.0)</f>
        <v>5</v>
      </c>
      <c r="AC120" s="23">
        <f>IFERROR(__xludf.DUMMYFUNCTION("if(countif(filter(Status!$C:$C,Status!$A:$A=$A120),CONCATENATE(AC$2,""*""))&gt;0,countif(filter(Status!$C:$C,Status!$A:$A=$A120),CONCATENATE(AC$2,""*"")),"""")"),1.0)</f>
        <v>1</v>
      </c>
      <c r="AD120" s="23" t="str">
        <f>IFERROR(__xludf.DUMMYFUNCTION("if(countif(filter(Status!$C:$C,Status!$A:$A=$A120),CONCATENATE(AD$2,""*""))&gt;0,countif(filter(Status!$C:$C,Status!$A:$A=$A120),CONCATENATE(AD$2,""*"")),"""")"),"")</f>
        <v/>
      </c>
      <c r="AE120" s="23">
        <f>IFERROR(__xludf.DUMMYFUNCTION("if(countif(filter(Status!$C:$C,Status!$A:$A=$A120),CONCATENATE(AE$2,""*""))&gt;0,countif(filter(Status!$C:$C,Status!$A:$A=$A120),CONCATENATE(AE$2,""*"")),"""")"),1.0)</f>
        <v>1</v>
      </c>
      <c r="AF120" s="23">
        <f>IFERROR(__xludf.DUMMYFUNCTION("if(countif(filter(Status!$C:$C,Status!$A:$A=$A120),CONCATENATE(AF$2,""*""))&gt;0,countif(filter(Status!$C:$C,Status!$A:$A=$A120),CONCATENATE(AF$2,""*"")),"""")"),1.0)</f>
        <v>1</v>
      </c>
      <c r="AG120" s="23" t="str">
        <f>IFERROR(__xludf.DUMMYFUNCTION("if(countif(filter(Status!$C:$C,Status!$A:$A=$A120),CONCATENATE(AG$2,""*""))&gt;0,countif(filter(Status!$C:$C,Status!$A:$A=$A120),CONCATENATE(AG$2,""*"")),"""")"),"")</f>
        <v/>
      </c>
      <c r="AH120" s="23" t="str">
        <f>IFERROR(__xludf.DUMMYFUNCTION("if(countif(filter(Status!$C:$C,Status!$A:$A=$A120),CONCATENATE(AH$2,""*""))&gt;0,countif(filter(Status!$C:$C,Status!$A:$A=$A120),CONCATENATE(AH$2,""*"")),"""")"),"")</f>
        <v/>
      </c>
      <c r="AI120" s="23" t="str">
        <f>IFERROR(__xludf.DUMMYFUNCTION("if(countif(filter(Status!$C:$C,Status!$A:$A=$A120),CONCATENATE(AI$2,""*""))&gt;0,countif(filter(Status!$C:$C,Status!$A:$A=$A120),CONCATENATE(AI$2,""*"")),"""")"),"")</f>
        <v/>
      </c>
      <c r="AJ120" s="23" t="str">
        <f>IFERROR(__xludf.DUMMYFUNCTION("if(countif(filter(Status!$C:$C,Status!$A:$A=$A120),CONCATENATE(AJ$2,""*""))&gt;0,countif(filter(Status!$C:$C,Status!$A:$A=$A120),CONCATENATE(AJ$2,""*"")),"""")"),"")</f>
        <v/>
      </c>
      <c r="AK120" s="23" t="str">
        <f>IFERROR(__xludf.DUMMYFUNCTION("if(countif(filter(Status!$C:$C,Status!$A:$A=$A120),CONCATENATE(AK$2,""*""))&gt;0,countif(filter(Status!$C:$C,Status!$A:$A=$A120),CONCATENATE(AK$2,""*"")),"""")"),"")</f>
        <v/>
      </c>
      <c r="AL120" s="23" t="str">
        <f>IFERROR(__xludf.DUMMYFUNCTION("if(countif(filter(Status!$C:$C,Status!$A:$A=$A120),CONCATENATE(AL$2,""*""))&gt;0,countif(filter(Status!$C:$C,Status!$A:$A=$A120),CONCATENATE(AL$2,""*"")),"""")"),"")</f>
        <v/>
      </c>
      <c r="AM120" s="23" t="str">
        <f>IFERROR(__xludf.DUMMYFUNCTION("if(countif(filter(Status!$C:$C,Status!$A:$A=$A120),CONCATENATE(AM$2,""*""))&gt;0,countif(filter(Status!$C:$C,Status!$A:$A=$A120),CONCATENATE(AM$2,""*"")),"""")"),"")</f>
        <v/>
      </c>
      <c r="AN120" s="23" t="str">
        <f>IFERROR(__xludf.DUMMYFUNCTION("if(countif(filter(Status!$C:$C,Status!$A:$A=$A120),CONCATENATE(AN$2,""*""))&gt;0,countif(filter(Status!$C:$C,Status!$A:$A=$A120),CONCATENATE(AN$2,""*"")),"""")"),"")</f>
        <v/>
      </c>
      <c r="AO120" s="23" t="str">
        <f>IFERROR(__xludf.DUMMYFUNCTION("if(countif(filter(Status!$C:$C,Status!$A:$A=$A120),CONCATENATE(AO$2,""*""))&gt;0,countif(filter(Status!$C:$C,Status!$A:$A=$A120),CONCATENATE(AO$2,""*"")),"""")"),"")</f>
        <v/>
      </c>
      <c r="AP120" s="23">
        <f>IFERROR(__xludf.DUMMYFUNCTION("counta(iferror(filter(Status!C:C,Status!A:A=A120)))"),18.0)</f>
        <v>18</v>
      </c>
      <c r="AQ120" s="23">
        <f t="shared" si="6"/>
        <v>18</v>
      </c>
    </row>
    <row r="121">
      <c r="A121" s="1" t="s">
        <v>1079</v>
      </c>
      <c r="B121" s="21">
        <f>IFERROR(__xludf.DUMMYFUNCTION("max(filter(Status!E:E,Status!A:A=A121))"),43881.0)</f>
        <v>43881</v>
      </c>
      <c r="C121" s="23">
        <f t="shared" si="1"/>
        <v>1</v>
      </c>
      <c r="D121" s="23">
        <f t="shared" si="2"/>
        <v>1</v>
      </c>
      <c r="E121" s="23" t="str">
        <f t="shared" si="3"/>
        <v/>
      </c>
      <c r="F121" s="23">
        <f t="shared" si="4"/>
        <v>0.4193548387</v>
      </c>
      <c r="G121" s="25">
        <f t="shared" si="5"/>
        <v>1</v>
      </c>
      <c r="J121" s="23">
        <f>IFERROR(__xludf.DUMMYFUNCTION("COUNTA(iferror(filter(Status!H:H,Status!A:A=A121)))"),18.0)</f>
        <v>18</v>
      </c>
      <c r="K121" s="25">
        <f>IFERROR(__xludf.DUMMYFUNCTION("COUNTA(iferror(filter(Status!H:H,Status!A:A=A121,Status!H:H=TRUE)))"),18.0)</f>
        <v>18</v>
      </c>
      <c r="L121" s="23">
        <f>IFERROR(__xludf.DUMMYFUNCTION("COUNTA(iferror(filter(Status!L:L,Status!A:A=A121)))"),8.0)</f>
        <v>8</v>
      </c>
      <c r="M121" s="25">
        <f>IFERROR(__xludf.DUMMYFUNCTION("COUNTA(iferror(filter(Status!L:L,Status!A:A=A121,Status!L:L=TRUE)))"),8.0)</f>
        <v>8</v>
      </c>
      <c r="N121" s="23">
        <f>IFERROR(__xludf.DUMMYFUNCTION("COUNTA(iferror(filter(Status!N:N,Status!A:A=A121,Status!N:N=TRUE)))"),0.0)</f>
        <v>0</v>
      </c>
      <c r="O121" s="25">
        <f>IFERROR(__xludf.DUMMYFUNCTION("COUNTA(iferror(filter(Status!N:N,Status!A:A=A121,Status!N:N=TRUE)))"),0.0)</f>
        <v>0</v>
      </c>
      <c r="P121" s="23">
        <f>IFERROR(__xludf.DUMMYFUNCTION("COUNTA(iferror(filter(Status!P:P,Status!A:A=A121)))"),31.0)</f>
        <v>31</v>
      </c>
      <c r="Q121" s="25">
        <f>IFERROR(__xludf.DUMMYFUNCTION("COUNTA(iferror(filter(Status!P:P,Status!A:A=A121,Status!P:P=TRUE)))"),13.0)</f>
        <v>13</v>
      </c>
      <c r="R121" s="23">
        <f>IFERROR(__xludf.DUMMYFUNCTION("COUNTA(iferror(filter(Status!R:R,Status!A:A=A121)))"),17.0)</f>
        <v>17</v>
      </c>
      <c r="S121" s="25">
        <f>IFERROR(__xludf.DUMMYFUNCTION("COUNTA(iferror(filter(Status!R:R,Status!A:A=A121,Status!R:R=TRUE)))"),17.0)</f>
        <v>17</v>
      </c>
      <c r="V121" s="23" t="str">
        <f>IFERROR(__xludf.DUMMYFUNCTION("if((countif(filter(Status!$C:$C,Status!$A:$A=$A121),CONCATENATE(V$2,""*""))-W121)&gt;0,(countif(filter(Status!$C:$C,Status!$A:$A=$A121),CONCATENATE(V$2,""*""))-W121),"""")"),"")</f>
        <v/>
      </c>
      <c r="W121" s="23">
        <f>IFERROR(__xludf.DUMMYFUNCTION("if(countif(filter(Status!$C:$C,Status!$A:$A=$A121),CONCATENATE(W$2,""*""))&gt;0,countif(filter(Status!$C:$C,Status!$A:$A=$A121),CONCATENATE(W$2,""*"")),"""")"),3.0)</f>
        <v>3</v>
      </c>
      <c r="X121" s="23">
        <f>IFERROR(__xludf.DUMMYFUNCTION("if(countif(filter(Status!$C:$C,Status!$A:$A=$A121),CONCATENATE(X$2,""*""))&gt;0,countif(filter(Status!$C:$C,Status!$A:$A=$A121),CONCATENATE(X$2,""*"")),"""")"),5.0)</f>
        <v>5</v>
      </c>
      <c r="Y121" s="23" t="str">
        <f>IFERROR(__xludf.DUMMYFUNCTION("if(countif(filter(Status!$C:$C,Status!$A:$A=$A121),CONCATENATE(Y$2,""*""))&gt;0,countif(filter(Status!$C:$C,Status!$A:$A=$A121),CONCATENATE(Y$2,""*"")),"""")"),"")</f>
        <v/>
      </c>
      <c r="Z121" s="23">
        <f>IFERROR(__xludf.DUMMYFUNCTION("if(countif(filter(Status!$C:$C,Status!$A:$A=$A121),CONCATENATE(Z$2,""*""))&gt;0,countif(filter(Status!$C:$C,Status!$A:$A=$A121),CONCATENATE(Z$2,""*"")),"""")"),5.0)</f>
        <v>5</v>
      </c>
      <c r="AA121" s="23">
        <f>IFERROR(__xludf.DUMMYFUNCTION("if((countif(filter(Status!$C:$C,Status!$A:$A=$A121),CONCATENATE(AA$2,""*""))-AB121)&gt;0,(countif(filter(Status!$C:$C,Status!$A:$A=$A121),CONCATENATE(AA$2,""*""))-AB121),"""")"),9.0)</f>
        <v>9</v>
      </c>
      <c r="AB121" s="23">
        <f>IFERROR(__xludf.DUMMYFUNCTION("if(countif(filter(Status!$C:$C,Status!$A:$A=$A121),CONCATENATE(AB$2,""*""))&gt;0,countif(filter(Status!$C:$C,Status!$A:$A=$A121),CONCATENATE(AB$2,""*"")),"""")"),8.0)</f>
        <v>8</v>
      </c>
      <c r="AC121" s="23">
        <f>IFERROR(__xludf.DUMMYFUNCTION("if(countif(filter(Status!$C:$C,Status!$A:$A=$A121),CONCATENATE(AC$2,""*""))&gt;0,countif(filter(Status!$C:$C,Status!$A:$A=$A121),CONCATENATE(AC$2,""*"")),"""")"),1.0)</f>
        <v>1</v>
      </c>
      <c r="AD121" s="23" t="str">
        <f>IFERROR(__xludf.DUMMYFUNCTION("if(countif(filter(Status!$C:$C,Status!$A:$A=$A121),CONCATENATE(AD$2,""*""))&gt;0,countif(filter(Status!$C:$C,Status!$A:$A=$A121),CONCATENATE(AD$2,""*"")),"""")"),"")</f>
        <v/>
      </c>
      <c r="AE121" s="23">
        <f>IFERROR(__xludf.DUMMYFUNCTION("if(countif(filter(Status!$C:$C,Status!$A:$A=$A121),CONCATENATE(AE$2,""*""))&gt;0,countif(filter(Status!$C:$C,Status!$A:$A=$A121),CONCATENATE(AE$2,""*"")),"""")"),1.0)</f>
        <v>1</v>
      </c>
      <c r="AF121" s="23" t="str">
        <f>IFERROR(__xludf.DUMMYFUNCTION("if(countif(filter(Status!$C:$C,Status!$A:$A=$A121),CONCATENATE(AF$2,""*""))&gt;0,countif(filter(Status!$C:$C,Status!$A:$A=$A121),CONCATENATE(AF$2,""*"")),"""")"),"")</f>
        <v/>
      </c>
      <c r="AG121" s="23" t="str">
        <f>IFERROR(__xludf.DUMMYFUNCTION("if(countif(filter(Status!$C:$C,Status!$A:$A=$A121),CONCATENATE(AG$2,""*""))&gt;0,countif(filter(Status!$C:$C,Status!$A:$A=$A121),CONCATENATE(AG$2,""*"")),"""")"),"")</f>
        <v/>
      </c>
      <c r="AH121" s="23" t="str">
        <f>IFERROR(__xludf.DUMMYFUNCTION("if(countif(filter(Status!$C:$C,Status!$A:$A=$A121),CONCATENATE(AH$2,""*""))&gt;0,countif(filter(Status!$C:$C,Status!$A:$A=$A121),CONCATENATE(AH$2,""*"")),"""")"),"")</f>
        <v/>
      </c>
      <c r="AI121" s="23" t="str">
        <f>IFERROR(__xludf.DUMMYFUNCTION("if(countif(filter(Status!$C:$C,Status!$A:$A=$A121),CONCATENATE(AI$2,""*""))&gt;0,countif(filter(Status!$C:$C,Status!$A:$A=$A121),CONCATENATE(AI$2,""*"")),"""")"),"")</f>
        <v/>
      </c>
      <c r="AJ121" s="23" t="str">
        <f>IFERROR(__xludf.DUMMYFUNCTION("if(countif(filter(Status!$C:$C,Status!$A:$A=$A121),CONCATENATE(AJ$2,""*""))&gt;0,countif(filter(Status!$C:$C,Status!$A:$A=$A121),CONCATENATE(AJ$2,""*"")),"""")"),"")</f>
        <v/>
      </c>
      <c r="AK121" s="23" t="str">
        <f>IFERROR(__xludf.DUMMYFUNCTION("if(countif(filter(Status!$C:$C,Status!$A:$A=$A121),CONCATENATE(AK$2,""*""))&gt;0,countif(filter(Status!$C:$C,Status!$A:$A=$A121),CONCATENATE(AK$2,""*"")),"""")"),"")</f>
        <v/>
      </c>
      <c r="AL121" s="23" t="str">
        <f>IFERROR(__xludf.DUMMYFUNCTION("if(countif(filter(Status!$C:$C,Status!$A:$A=$A121),CONCATENATE(AL$2,""*""))&gt;0,countif(filter(Status!$C:$C,Status!$A:$A=$A121),CONCATENATE(AL$2,""*"")),"""")"),"")</f>
        <v/>
      </c>
      <c r="AM121" s="23" t="str">
        <f>IFERROR(__xludf.DUMMYFUNCTION("if(countif(filter(Status!$C:$C,Status!$A:$A=$A121),CONCATENATE(AM$2,""*""))&gt;0,countif(filter(Status!$C:$C,Status!$A:$A=$A121),CONCATENATE(AM$2,""*"")),"""")"),"")</f>
        <v/>
      </c>
      <c r="AN121" s="23" t="str">
        <f>IFERROR(__xludf.DUMMYFUNCTION("if(countif(filter(Status!$C:$C,Status!$A:$A=$A121),CONCATENATE(AN$2,""*""))&gt;0,countif(filter(Status!$C:$C,Status!$A:$A=$A121),CONCATENATE(AN$2,""*"")),"""")"),"")</f>
        <v/>
      </c>
      <c r="AO121" s="23" t="str">
        <f>IFERROR(__xludf.DUMMYFUNCTION("if(countif(filter(Status!$C:$C,Status!$A:$A=$A121),CONCATENATE(AO$2,""*""))&gt;0,countif(filter(Status!$C:$C,Status!$A:$A=$A121),CONCATENATE(AO$2,""*"")),"""")"),"")</f>
        <v/>
      </c>
      <c r="AP121" s="23">
        <f>IFERROR(__xludf.DUMMYFUNCTION("counta(iferror(filter(Status!C:C,Status!A:A=A121)))"),32.0)</f>
        <v>32</v>
      </c>
      <c r="AQ121" s="23">
        <f t="shared" si="6"/>
        <v>32</v>
      </c>
    </row>
    <row r="122">
      <c r="A122" s="1" t="s">
        <v>1082</v>
      </c>
      <c r="B122" s="21">
        <f>IFERROR(__xludf.DUMMYFUNCTION("max(filter(Status!E:E,Status!A:A=A122))"),43885.0)</f>
        <v>43885</v>
      </c>
      <c r="C122" s="23">
        <f t="shared" si="1"/>
        <v>1</v>
      </c>
      <c r="D122" s="23">
        <f t="shared" si="2"/>
        <v>1</v>
      </c>
      <c r="E122" s="23" t="str">
        <f t="shared" si="3"/>
        <v/>
      </c>
      <c r="F122" s="23">
        <f t="shared" si="4"/>
        <v>0.25</v>
      </c>
      <c r="G122" s="25">
        <f t="shared" si="5"/>
        <v>1</v>
      </c>
      <c r="J122" s="23">
        <f>IFERROR(__xludf.DUMMYFUNCTION("COUNTA(iferror(filter(Status!H:H,Status!A:A=A122)))"),11.0)</f>
        <v>11</v>
      </c>
      <c r="K122" s="25">
        <f>IFERROR(__xludf.DUMMYFUNCTION("COUNTA(iferror(filter(Status!H:H,Status!A:A=A122,Status!H:H=TRUE)))"),11.0)</f>
        <v>11</v>
      </c>
      <c r="L122" s="23">
        <f>IFERROR(__xludf.DUMMYFUNCTION("COUNTA(iferror(filter(Status!L:L,Status!A:A=A122)))"),5.0)</f>
        <v>5</v>
      </c>
      <c r="M122" s="25">
        <f>IFERROR(__xludf.DUMMYFUNCTION("COUNTA(iferror(filter(Status!L:L,Status!A:A=A122,Status!L:L=TRUE)))"),5.0)</f>
        <v>5</v>
      </c>
      <c r="N122" s="23">
        <f>IFERROR(__xludf.DUMMYFUNCTION("COUNTA(iferror(filter(Status!N:N,Status!A:A=A122,Status!N:N=TRUE)))"),0.0)</f>
        <v>0</v>
      </c>
      <c r="O122" s="25">
        <f>IFERROR(__xludf.DUMMYFUNCTION("COUNTA(iferror(filter(Status!N:N,Status!A:A=A122,Status!N:N=TRUE)))"),0.0)</f>
        <v>0</v>
      </c>
      <c r="P122" s="23">
        <f>IFERROR(__xludf.DUMMYFUNCTION("COUNTA(iferror(filter(Status!P:P,Status!A:A=A122)))"),16.0)</f>
        <v>16</v>
      </c>
      <c r="Q122" s="25">
        <f>IFERROR(__xludf.DUMMYFUNCTION("COUNTA(iferror(filter(Status!P:P,Status!A:A=A122,Status!P:P=TRUE)))"),4.0)</f>
        <v>4</v>
      </c>
      <c r="R122" s="23">
        <f>IFERROR(__xludf.DUMMYFUNCTION("COUNTA(iferror(filter(Status!R:R,Status!A:A=A122)))"),11.0)</f>
        <v>11</v>
      </c>
      <c r="S122" s="25">
        <f>IFERROR(__xludf.DUMMYFUNCTION("COUNTA(iferror(filter(Status!R:R,Status!A:A=A122,Status!R:R=TRUE)))"),11.0)</f>
        <v>11</v>
      </c>
      <c r="V122" s="23" t="str">
        <f>IFERROR(__xludf.DUMMYFUNCTION("if((countif(filter(Status!$C:$C,Status!$A:$A=$A122),CONCATENATE(V$2,""*""))-W122)&gt;0,(countif(filter(Status!$C:$C,Status!$A:$A=$A122),CONCATENATE(V$2,""*""))-W122),"""")"),"")</f>
        <v/>
      </c>
      <c r="W122" s="23">
        <f>IFERROR(__xludf.DUMMYFUNCTION("if(countif(filter(Status!$C:$C,Status!$A:$A=$A122),CONCATENATE(W$2,""*""))&gt;0,countif(filter(Status!$C:$C,Status!$A:$A=$A122),CONCATENATE(W$2,""*"")),"""")"),5.0)</f>
        <v>5</v>
      </c>
      <c r="X122" s="23" t="str">
        <f>IFERROR(__xludf.DUMMYFUNCTION("if(countif(filter(Status!$C:$C,Status!$A:$A=$A122),CONCATENATE(X$2,""*""))&gt;0,countif(filter(Status!$C:$C,Status!$A:$A=$A122),CONCATENATE(X$2,""*"")),"""")"),"")</f>
        <v/>
      </c>
      <c r="Y122" s="23" t="str">
        <f>IFERROR(__xludf.DUMMYFUNCTION("if(countif(filter(Status!$C:$C,Status!$A:$A=$A122),CONCATENATE(Y$2,""*""))&gt;0,countif(filter(Status!$C:$C,Status!$A:$A=$A122),CONCATENATE(Y$2,""*"")),"""")"),"")</f>
        <v/>
      </c>
      <c r="Z122" s="23" t="str">
        <f>IFERROR(__xludf.DUMMYFUNCTION("if(countif(filter(Status!$C:$C,Status!$A:$A=$A122),CONCATENATE(Z$2,""*""))&gt;0,countif(filter(Status!$C:$C,Status!$A:$A=$A122),CONCATENATE(Z$2,""*"")),"""")"),"")</f>
        <v/>
      </c>
      <c r="AA122" s="23">
        <f>IFERROR(__xludf.DUMMYFUNCTION("if((countif(filter(Status!$C:$C,Status!$A:$A=$A122),CONCATENATE(AA$2,""*""))-AB122)&gt;0,(countif(filter(Status!$C:$C,Status!$A:$A=$A122),CONCATENATE(AA$2,""*""))-AB122),"""")"),5.0)</f>
        <v>5</v>
      </c>
      <c r="AB122" s="23">
        <f>IFERROR(__xludf.DUMMYFUNCTION("if(countif(filter(Status!$C:$C,Status!$A:$A=$A122),CONCATENATE(AB$2,""*""))&gt;0,countif(filter(Status!$C:$C,Status!$A:$A=$A122),CONCATENATE(AB$2,""*"")),"""")"),5.0)</f>
        <v>5</v>
      </c>
      <c r="AC122" s="23">
        <f>IFERROR(__xludf.DUMMYFUNCTION("if(countif(filter(Status!$C:$C,Status!$A:$A=$A122),CONCATENATE(AC$2,""*""))&gt;0,countif(filter(Status!$C:$C,Status!$A:$A=$A122),CONCATENATE(AC$2,""*"")),"""")"),1.0)</f>
        <v>1</v>
      </c>
      <c r="AD122" s="23" t="str">
        <f>IFERROR(__xludf.DUMMYFUNCTION("if(countif(filter(Status!$C:$C,Status!$A:$A=$A122),CONCATENATE(AD$2,""*""))&gt;0,countif(filter(Status!$C:$C,Status!$A:$A=$A122),CONCATENATE(AD$2,""*"")),"""")"),"")</f>
        <v/>
      </c>
      <c r="AE122" s="23">
        <f>IFERROR(__xludf.DUMMYFUNCTION("if(countif(filter(Status!$C:$C,Status!$A:$A=$A122),CONCATENATE(AE$2,""*""))&gt;0,countif(filter(Status!$C:$C,Status!$A:$A=$A122),CONCATENATE(AE$2,""*"")),"""")"),1.0)</f>
        <v>1</v>
      </c>
      <c r="AF122" s="23" t="str">
        <f>IFERROR(__xludf.DUMMYFUNCTION("if(countif(filter(Status!$C:$C,Status!$A:$A=$A122),CONCATENATE(AF$2,""*""))&gt;0,countif(filter(Status!$C:$C,Status!$A:$A=$A122),CONCATENATE(AF$2,""*"")),"""")"),"")</f>
        <v/>
      </c>
      <c r="AG122" s="23" t="str">
        <f>IFERROR(__xludf.DUMMYFUNCTION("if(countif(filter(Status!$C:$C,Status!$A:$A=$A122),CONCATENATE(AG$2,""*""))&gt;0,countif(filter(Status!$C:$C,Status!$A:$A=$A122),CONCATENATE(AG$2,""*"")),"""")"),"")</f>
        <v/>
      </c>
      <c r="AH122" s="23" t="str">
        <f>IFERROR(__xludf.DUMMYFUNCTION("if(countif(filter(Status!$C:$C,Status!$A:$A=$A122),CONCATENATE(AH$2,""*""))&gt;0,countif(filter(Status!$C:$C,Status!$A:$A=$A122),CONCATENATE(AH$2,""*"")),"""")"),"")</f>
        <v/>
      </c>
      <c r="AI122" s="23" t="str">
        <f>IFERROR(__xludf.DUMMYFUNCTION("if(countif(filter(Status!$C:$C,Status!$A:$A=$A122),CONCATENATE(AI$2,""*""))&gt;0,countif(filter(Status!$C:$C,Status!$A:$A=$A122),CONCATENATE(AI$2,""*"")),"""")"),"")</f>
        <v/>
      </c>
      <c r="AJ122" s="23" t="str">
        <f>IFERROR(__xludf.DUMMYFUNCTION("if(countif(filter(Status!$C:$C,Status!$A:$A=$A122),CONCATENATE(AJ$2,""*""))&gt;0,countif(filter(Status!$C:$C,Status!$A:$A=$A122),CONCATENATE(AJ$2,""*"")),"""")"),"")</f>
        <v/>
      </c>
      <c r="AK122" s="23" t="str">
        <f>IFERROR(__xludf.DUMMYFUNCTION("if(countif(filter(Status!$C:$C,Status!$A:$A=$A122),CONCATENATE(AK$2,""*""))&gt;0,countif(filter(Status!$C:$C,Status!$A:$A=$A122),CONCATENATE(AK$2,""*"")),"""")"),"")</f>
        <v/>
      </c>
      <c r="AL122" s="23" t="str">
        <f>IFERROR(__xludf.DUMMYFUNCTION("if(countif(filter(Status!$C:$C,Status!$A:$A=$A122),CONCATENATE(AL$2,""*""))&gt;0,countif(filter(Status!$C:$C,Status!$A:$A=$A122),CONCATENATE(AL$2,""*"")),"""")"),"")</f>
        <v/>
      </c>
      <c r="AM122" s="23" t="str">
        <f>IFERROR(__xludf.DUMMYFUNCTION("if(countif(filter(Status!$C:$C,Status!$A:$A=$A122),CONCATENATE(AM$2,""*""))&gt;0,countif(filter(Status!$C:$C,Status!$A:$A=$A122),CONCATENATE(AM$2,""*"")),"""")"),"")</f>
        <v/>
      </c>
      <c r="AN122" s="23" t="str">
        <f>IFERROR(__xludf.DUMMYFUNCTION("if(countif(filter(Status!$C:$C,Status!$A:$A=$A122),CONCATENATE(AN$2,""*""))&gt;0,countif(filter(Status!$C:$C,Status!$A:$A=$A122),CONCATENATE(AN$2,""*"")),"""")"),"")</f>
        <v/>
      </c>
      <c r="AO122" s="23" t="str">
        <f>IFERROR(__xludf.DUMMYFUNCTION("if(countif(filter(Status!$C:$C,Status!$A:$A=$A122),CONCATENATE(AO$2,""*""))&gt;0,countif(filter(Status!$C:$C,Status!$A:$A=$A122),CONCATENATE(AO$2,""*"")),"""")"),"")</f>
        <v/>
      </c>
      <c r="AP122" s="23">
        <f>IFERROR(__xludf.DUMMYFUNCTION("counta(iferror(filter(Status!C:C,Status!A:A=A122)))"),17.0)</f>
        <v>17</v>
      </c>
      <c r="AQ122" s="23">
        <f t="shared" si="6"/>
        <v>17</v>
      </c>
    </row>
    <row r="123">
      <c r="A123" s="1" t="s">
        <v>1086</v>
      </c>
      <c r="B123" s="21">
        <f>IFERROR(__xludf.DUMMYFUNCTION("max(filter(Status!E:E,Status!A:A=A123))"),43886.0)</f>
        <v>43886</v>
      </c>
      <c r="C123" s="23">
        <f t="shared" si="1"/>
        <v>0.6</v>
      </c>
      <c r="D123" s="23">
        <f t="shared" si="2"/>
        <v>1</v>
      </c>
      <c r="E123" s="23" t="str">
        <f t="shared" si="3"/>
        <v/>
      </c>
      <c r="F123" s="23">
        <f t="shared" si="4"/>
        <v>0</v>
      </c>
      <c r="G123" s="25">
        <f t="shared" si="5"/>
        <v>0.9090909091</v>
      </c>
      <c r="J123" s="23">
        <f>IFERROR(__xludf.DUMMYFUNCTION("COUNTA(iferror(filter(Status!H:H,Status!A:A=A123)))"),10.0)</f>
        <v>10</v>
      </c>
      <c r="K123" s="25">
        <f>IFERROR(__xludf.DUMMYFUNCTION("COUNTA(iferror(filter(Status!H:H,Status!A:A=A123,Status!H:H=TRUE)))"),6.0)</f>
        <v>6</v>
      </c>
      <c r="L123" s="23">
        <f>IFERROR(__xludf.DUMMYFUNCTION("COUNTA(iferror(filter(Status!L:L,Status!A:A=A123)))"),3.0)</f>
        <v>3</v>
      </c>
      <c r="M123" s="25">
        <f>IFERROR(__xludf.DUMMYFUNCTION("COUNTA(iferror(filter(Status!L:L,Status!A:A=A123,Status!L:L=TRUE)))"),3.0)</f>
        <v>3</v>
      </c>
      <c r="N123" s="23">
        <f>IFERROR(__xludf.DUMMYFUNCTION("COUNTA(iferror(filter(Status!N:N,Status!A:A=A123,Status!N:N=TRUE)))"),0.0)</f>
        <v>0</v>
      </c>
      <c r="O123" s="25">
        <f>IFERROR(__xludf.DUMMYFUNCTION("COUNTA(iferror(filter(Status!N:N,Status!A:A=A123,Status!N:N=TRUE)))"),0.0)</f>
        <v>0</v>
      </c>
      <c r="P123" s="23">
        <f>IFERROR(__xludf.DUMMYFUNCTION("COUNTA(iferror(filter(Status!P:P,Status!A:A=A123)))"),18.0)</f>
        <v>18</v>
      </c>
      <c r="Q123" s="25">
        <f>IFERROR(__xludf.DUMMYFUNCTION("COUNTA(iferror(filter(Status!P:P,Status!A:A=A123,Status!P:P=TRUE)))"),0.0)</f>
        <v>0</v>
      </c>
      <c r="R123" s="23">
        <f>IFERROR(__xludf.DUMMYFUNCTION("COUNTA(iferror(filter(Status!R:R,Status!A:A=A123)))"),11.0)</f>
        <v>11</v>
      </c>
      <c r="S123" s="25">
        <f>IFERROR(__xludf.DUMMYFUNCTION("COUNTA(iferror(filter(Status!R:R,Status!A:A=A123,Status!R:R=TRUE)))"),10.0)</f>
        <v>10</v>
      </c>
      <c r="V123" s="23" t="str">
        <f>IFERROR(__xludf.DUMMYFUNCTION("if((countif(filter(Status!$C:$C,Status!$A:$A=$A123),CONCATENATE(V$2,""*""))-W123)&gt;0,(countif(filter(Status!$C:$C,Status!$A:$A=$A123),CONCATENATE(V$2,""*""))-W123),"""")"),"")</f>
        <v/>
      </c>
      <c r="W123" s="23" t="str">
        <f>IFERROR(__xludf.DUMMYFUNCTION("if(countif(filter(Status!$C:$C,Status!$A:$A=$A123),CONCATENATE(W$2,""*""))&gt;0,countif(filter(Status!$C:$C,Status!$A:$A=$A123),CONCATENATE(W$2,""*"")),"""")"),"")</f>
        <v/>
      </c>
      <c r="X123" s="23">
        <f>IFERROR(__xludf.DUMMYFUNCTION("if(countif(filter(Status!$C:$C,Status!$A:$A=$A123),CONCATENATE(X$2,""*""))&gt;0,countif(filter(Status!$C:$C,Status!$A:$A=$A123),CONCATENATE(X$2,""*"")),"""")"),4.0)</f>
        <v>4</v>
      </c>
      <c r="Y123" s="23" t="str">
        <f>IFERROR(__xludf.DUMMYFUNCTION("if(countif(filter(Status!$C:$C,Status!$A:$A=$A123),CONCATENATE(Y$2,""*""))&gt;0,countif(filter(Status!$C:$C,Status!$A:$A=$A123),CONCATENATE(Y$2,""*"")),"""")"),"")</f>
        <v/>
      </c>
      <c r="Z123" s="23" t="str">
        <f>IFERROR(__xludf.DUMMYFUNCTION("if(countif(filter(Status!$C:$C,Status!$A:$A=$A123),CONCATENATE(Z$2,""*""))&gt;0,countif(filter(Status!$C:$C,Status!$A:$A=$A123),CONCATENATE(Z$2,""*"")),"""")"),"")</f>
        <v/>
      </c>
      <c r="AA123" s="23">
        <f>IFERROR(__xludf.DUMMYFUNCTION("if((countif(filter(Status!$C:$C,Status!$A:$A=$A123),CONCATENATE(AA$2,""*""))-AB123)&gt;0,(countif(filter(Status!$C:$C,Status!$A:$A=$A123),CONCATENATE(AA$2,""*""))-AB123),"""")"),6.0)</f>
        <v>6</v>
      </c>
      <c r="AB123" s="23">
        <f>IFERROR(__xludf.DUMMYFUNCTION("if(countif(filter(Status!$C:$C,Status!$A:$A=$A123),CONCATENATE(AB$2,""*""))&gt;0,countif(filter(Status!$C:$C,Status!$A:$A=$A123),CONCATENATE(AB$2,""*"")),"""")"),4.0)</f>
        <v>4</v>
      </c>
      <c r="AC123" s="23">
        <f>IFERROR(__xludf.DUMMYFUNCTION("if(countif(filter(Status!$C:$C,Status!$A:$A=$A123),CONCATENATE(AC$2,""*""))&gt;0,countif(filter(Status!$C:$C,Status!$A:$A=$A123),CONCATENATE(AC$2,""*"")),"""")"),1.0)</f>
        <v>1</v>
      </c>
      <c r="AD123" s="23" t="str">
        <f>IFERROR(__xludf.DUMMYFUNCTION("if(countif(filter(Status!$C:$C,Status!$A:$A=$A123),CONCATENATE(AD$2,""*""))&gt;0,countif(filter(Status!$C:$C,Status!$A:$A=$A123),CONCATENATE(AD$2,""*"")),"""")"),"")</f>
        <v/>
      </c>
      <c r="AE123" s="23">
        <f>IFERROR(__xludf.DUMMYFUNCTION("if(countif(filter(Status!$C:$C,Status!$A:$A=$A123),CONCATENATE(AE$2,""*""))&gt;0,countif(filter(Status!$C:$C,Status!$A:$A=$A123),CONCATENATE(AE$2,""*"")),"""")"),1.0)</f>
        <v>1</v>
      </c>
      <c r="AF123" s="23">
        <f>IFERROR(__xludf.DUMMYFUNCTION("if(countif(filter(Status!$C:$C,Status!$A:$A=$A123),CONCATENATE(AF$2,""*""))&gt;0,countif(filter(Status!$C:$C,Status!$A:$A=$A123),CONCATENATE(AF$2,""*"")),"""")"),1.0)</f>
        <v>1</v>
      </c>
      <c r="AG123" s="23">
        <f>IFERROR(__xludf.DUMMYFUNCTION("if(countif(filter(Status!$C:$C,Status!$A:$A=$A123),CONCATENATE(AG$2,""*""))&gt;0,countif(filter(Status!$C:$C,Status!$A:$A=$A123),CONCATENATE(AG$2,""*"")),"""")"),1.0)</f>
        <v>1</v>
      </c>
      <c r="AH123" s="23" t="str">
        <f>IFERROR(__xludf.DUMMYFUNCTION("if(countif(filter(Status!$C:$C,Status!$A:$A=$A123),CONCATENATE(AH$2,""*""))&gt;0,countif(filter(Status!$C:$C,Status!$A:$A=$A123),CONCATENATE(AH$2,""*"")),"""")"),"")</f>
        <v/>
      </c>
      <c r="AI123" s="23" t="str">
        <f>IFERROR(__xludf.DUMMYFUNCTION("if(countif(filter(Status!$C:$C,Status!$A:$A=$A123),CONCATENATE(AI$2,""*""))&gt;0,countif(filter(Status!$C:$C,Status!$A:$A=$A123),CONCATENATE(AI$2,""*"")),"""")"),"")</f>
        <v/>
      </c>
      <c r="AJ123" s="23" t="str">
        <f>IFERROR(__xludf.DUMMYFUNCTION("if(countif(filter(Status!$C:$C,Status!$A:$A=$A123),CONCATENATE(AJ$2,""*""))&gt;0,countif(filter(Status!$C:$C,Status!$A:$A=$A123),CONCATENATE(AJ$2,""*"")),"""")"),"")</f>
        <v/>
      </c>
      <c r="AK123" s="23" t="str">
        <f>IFERROR(__xludf.DUMMYFUNCTION("if(countif(filter(Status!$C:$C,Status!$A:$A=$A123),CONCATENATE(AK$2,""*""))&gt;0,countif(filter(Status!$C:$C,Status!$A:$A=$A123),CONCATENATE(AK$2,""*"")),"""")"),"")</f>
        <v/>
      </c>
      <c r="AL123" s="23">
        <f>IFERROR(__xludf.DUMMYFUNCTION("if(countif(filter(Status!$C:$C,Status!$A:$A=$A123),CONCATENATE(AL$2,""*""))&gt;0,countif(filter(Status!$C:$C,Status!$A:$A=$A123),CONCATENATE(AL$2,""*"")),"""")"),1.0)</f>
        <v>1</v>
      </c>
      <c r="AM123" s="23" t="str">
        <f>IFERROR(__xludf.DUMMYFUNCTION("if(countif(filter(Status!$C:$C,Status!$A:$A=$A123),CONCATENATE(AM$2,""*""))&gt;0,countif(filter(Status!$C:$C,Status!$A:$A=$A123),CONCATENATE(AM$2,""*"")),"""")"),"")</f>
        <v/>
      </c>
      <c r="AN123" s="23" t="str">
        <f>IFERROR(__xludf.DUMMYFUNCTION("if(countif(filter(Status!$C:$C,Status!$A:$A=$A123),CONCATENATE(AN$2,""*""))&gt;0,countif(filter(Status!$C:$C,Status!$A:$A=$A123),CONCATENATE(AN$2,""*"")),"""")"),"")</f>
        <v/>
      </c>
      <c r="AO123" s="23" t="str">
        <f>IFERROR(__xludf.DUMMYFUNCTION("if(countif(filter(Status!$C:$C,Status!$A:$A=$A123),CONCATENATE(AO$2,""*""))&gt;0,countif(filter(Status!$C:$C,Status!$A:$A=$A123),CONCATENATE(AO$2,""*"")),"""")"),"")</f>
        <v/>
      </c>
      <c r="AP123" s="23">
        <f>IFERROR(__xludf.DUMMYFUNCTION("counta(iferror(filter(Status!C:C,Status!A:A=A123)))"),19.0)</f>
        <v>19</v>
      </c>
      <c r="AQ123" s="23">
        <f t="shared" si="6"/>
        <v>19</v>
      </c>
    </row>
    <row r="124">
      <c r="A124" s="1" t="s">
        <v>1089</v>
      </c>
      <c r="B124" s="21">
        <f>IFERROR(__xludf.DUMMYFUNCTION("max(filter(Status!E:E,Status!A:A=A124))"),43887.0)</f>
        <v>43887</v>
      </c>
      <c r="C124" s="23">
        <f t="shared" si="1"/>
        <v>0.6666666667</v>
      </c>
      <c r="D124" s="23">
        <f t="shared" si="2"/>
        <v>1</v>
      </c>
      <c r="E124" s="23" t="str">
        <f t="shared" si="3"/>
        <v/>
      </c>
      <c r="F124" s="23">
        <f t="shared" si="4"/>
        <v>0</v>
      </c>
      <c r="G124" s="25">
        <f t="shared" si="5"/>
        <v>0.9166666667</v>
      </c>
      <c r="J124" s="23">
        <f>IFERROR(__xludf.DUMMYFUNCTION("COUNTA(iferror(filter(Status!H:H,Status!A:A=A124)))"),9.0)</f>
        <v>9</v>
      </c>
      <c r="K124" s="25">
        <f>IFERROR(__xludf.DUMMYFUNCTION("COUNTA(iferror(filter(Status!H:H,Status!A:A=A124,Status!H:H=TRUE)))"),6.0)</f>
        <v>6</v>
      </c>
      <c r="L124" s="23">
        <f>IFERROR(__xludf.DUMMYFUNCTION("COUNTA(iferror(filter(Status!L:L,Status!A:A=A124)))"),3.0)</f>
        <v>3</v>
      </c>
      <c r="M124" s="25">
        <f>IFERROR(__xludf.DUMMYFUNCTION("COUNTA(iferror(filter(Status!L:L,Status!A:A=A124,Status!L:L=TRUE)))"),3.0)</f>
        <v>3</v>
      </c>
      <c r="N124" s="23">
        <f>IFERROR(__xludf.DUMMYFUNCTION("COUNTA(iferror(filter(Status!N:N,Status!A:A=A124,Status!N:N=TRUE)))"),0.0)</f>
        <v>0</v>
      </c>
      <c r="O124" s="25">
        <f>IFERROR(__xludf.DUMMYFUNCTION("COUNTA(iferror(filter(Status!N:N,Status!A:A=A124,Status!N:N=TRUE)))"),0.0)</f>
        <v>0</v>
      </c>
      <c r="P124" s="23">
        <f>IFERROR(__xludf.DUMMYFUNCTION("COUNTA(iferror(filter(Status!P:P,Status!A:A=A124)))"),17.0)</f>
        <v>17</v>
      </c>
      <c r="Q124" s="25">
        <f>IFERROR(__xludf.DUMMYFUNCTION("COUNTA(iferror(filter(Status!P:P,Status!A:A=A124,Status!P:P=TRUE)))"),0.0)</f>
        <v>0</v>
      </c>
      <c r="R124" s="23">
        <f>IFERROR(__xludf.DUMMYFUNCTION("COUNTA(iferror(filter(Status!R:R,Status!A:A=A124)))"),12.0)</f>
        <v>12</v>
      </c>
      <c r="S124" s="25">
        <f>IFERROR(__xludf.DUMMYFUNCTION("COUNTA(iferror(filter(Status!R:R,Status!A:A=A124,Status!R:R=TRUE)))"),11.0)</f>
        <v>11</v>
      </c>
      <c r="V124" s="23">
        <f>IFERROR(__xludf.DUMMYFUNCTION("if((countif(filter(Status!$C:$C,Status!$A:$A=$A124),CONCATENATE(V$2,""*""))-W124)&gt;0,(countif(filter(Status!$C:$C,Status!$A:$A=$A124),CONCATENATE(V$2,""*""))-W124),"""")"),2.0)</f>
        <v>2</v>
      </c>
      <c r="W124" s="23" t="str">
        <f>IFERROR(__xludf.DUMMYFUNCTION("if(countif(filter(Status!$C:$C,Status!$A:$A=$A124),CONCATENATE(W$2,""*""))&gt;0,countif(filter(Status!$C:$C,Status!$A:$A=$A124),CONCATENATE(W$2,""*"")),"""")"),"")</f>
        <v/>
      </c>
      <c r="X124" s="23">
        <f>IFERROR(__xludf.DUMMYFUNCTION("if(countif(filter(Status!$C:$C,Status!$A:$A=$A124),CONCATENATE(X$2,""*""))&gt;0,countif(filter(Status!$C:$C,Status!$A:$A=$A124),CONCATENATE(X$2,""*"")),"""")"),3.0)</f>
        <v>3</v>
      </c>
      <c r="Y124" s="23" t="str">
        <f>IFERROR(__xludf.DUMMYFUNCTION("if(countif(filter(Status!$C:$C,Status!$A:$A=$A124),CONCATENATE(Y$2,""*""))&gt;0,countif(filter(Status!$C:$C,Status!$A:$A=$A124),CONCATENATE(Y$2,""*"")),"""")"),"")</f>
        <v/>
      </c>
      <c r="Z124" s="23" t="str">
        <f>IFERROR(__xludf.DUMMYFUNCTION("if(countif(filter(Status!$C:$C,Status!$A:$A=$A124),CONCATENATE(Z$2,""*""))&gt;0,countif(filter(Status!$C:$C,Status!$A:$A=$A124),CONCATENATE(Z$2,""*"")),"""")"),"")</f>
        <v/>
      </c>
      <c r="AA124" s="23">
        <f>IFERROR(__xludf.DUMMYFUNCTION("if((countif(filter(Status!$C:$C,Status!$A:$A=$A124),CONCATENATE(AA$2,""*""))-AB124)&gt;0,(countif(filter(Status!$C:$C,Status!$A:$A=$A124),CONCATENATE(AA$2,""*""))-AB124),"""")"),5.0)</f>
        <v>5</v>
      </c>
      <c r="AB124" s="23">
        <f>IFERROR(__xludf.DUMMYFUNCTION("if(countif(filter(Status!$C:$C,Status!$A:$A=$A124),CONCATENATE(AB$2,""*""))&gt;0,countif(filter(Status!$C:$C,Status!$A:$A=$A124),CONCATENATE(AB$2,""*"")),"""")"),5.0)</f>
        <v>5</v>
      </c>
      <c r="AC124" s="23">
        <f>IFERROR(__xludf.DUMMYFUNCTION("if(countif(filter(Status!$C:$C,Status!$A:$A=$A124),CONCATENATE(AC$2,""*""))&gt;0,countif(filter(Status!$C:$C,Status!$A:$A=$A124),CONCATENATE(AC$2,""*"")),"""")"),1.0)</f>
        <v>1</v>
      </c>
      <c r="AD124" s="23" t="str">
        <f>IFERROR(__xludf.DUMMYFUNCTION("if(countif(filter(Status!$C:$C,Status!$A:$A=$A124),CONCATENATE(AD$2,""*""))&gt;0,countif(filter(Status!$C:$C,Status!$A:$A=$A124),CONCATENATE(AD$2,""*"")),"""")"),"")</f>
        <v/>
      </c>
      <c r="AE124" s="23">
        <f>IFERROR(__xludf.DUMMYFUNCTION("if(countif(filter(Status!$C:$C,Status!$A:$A=$A124),CONCATENATE(AE$2,""*""))&gt;0,countif(filter(Status!$C:$C,Status!$A:$A=$A124),CONCATENATE(AE$2,""*"")),"""")"),1.0)</f>
        <v>1</v>
      </c>
      <c r="AF124" s="23">
        <f>IFERROR(__xludf.DUMMYFUNCTION("if(countif(filter(Status!$C:$C,Status!$A:$A=$A124),CONCATENATE(AF$2,""*""))&gt;0,countif(filter(Status!$C:$C,Status!$A:$A=$A124),CONCATENATE(AF$2,""*"")),"""")"),1.0)</f>
        <v>1</v>
      </c>
      <c r="AG124" s="23" t="str">
        <f>IFERROR(__xludf.DUMMYFUNCTION("if(countif(filter(Status!$C:$C,Status!$A:$A=$A124),CONCATENATE(AG$2,""*""))&gt;0,countif(filter(Status!$C:$C,Status!$A:$A=$A124),CONCATENATE(AG$2,""*"")),"""")"),"")</f>
        <v/>
      </c>
      <c r="AH124" s="23" t="str">
        <f>IFERROR(__xludf.DUMMYFUNCTION("if(countif(filter(Status!$C:$C,Status!$A:$A=$A124),CONCATENATE(AH$2,""*""))&gt;0,countif(filter(Status!$C:$C,Status!$A:$A=$A124),CONCATENATE(AH$2,""*"")),"""")"),"")</f>
        <v/>
      </c>
      <c r="AI124" s="23" t="str">
        <f>IFERROR(__xludf.DUMMYFUNCTION("if(countif(filter(Status!$C:$C,Status!$A:$A=$A124),CONCATENATE(AI$2,""*""))&gt;0,countif(filter(Status!$C:$C,Status!$A:$A=$A124),CONCATENATE(AI$2,""*"")),"""")"),"")</f>
        <v/>
      </c>
      <c r="AJ124" s="23" t="str">
        <f>IFERROR(__xludf.DUMMYFUNCTION("if(countif(filter(Status!$C:$C,Status!$A:$A=$A124),CONCATENATE(AJ$2,""*""))&gt;0,countif(filter(Status!$C:$C,Status!$A:$A=$A124),CONCATENATE(AJ$2,""*"")),"""")"),"")</f>
        <v/>
      </c>
      <c r="AK124" s="23" t="str">
        <f>IFERROR(__xludf.DUMMYFUNCTION("if(countif(filter(Status!$C:$C,Status!$A:$A=$A124),CONCATENATE(AK$2,""*""))&gt;0,countif(filter(Status!$C:$C,Status!$A:$A=$A124),CONCATENATE(AK$2,""*"")),"""")"),"")</f>
        <v/>
      </c>
      <c r="AL124" s="23" t="str">
        <f>IFERROR(__xludf.DUMMYFUNCTION("if(countif(filter(Status!$C:$C,Status!$A:$A=$A124),CONCATENATE(AL$2,""*""))&gt;0,countif(filter(Status!$C:$C,Status!$A:$A=$A124),CONCATENATE(AL$2,""*"")),"""")"),"")</f>
        <v/>
      </c>
      <c r="AM124" s="23" t="str">
        <f>IFERROR(__xludf.DUMMYFUNCTION("if(countif(filter(Status!$C:$C,Status!$A:$A=$A124),CONCATENATE(AM$2,""*""))&gt;0,countif(filter(Status!$C:$C,Status!$A:$A=$A124),CONCATENATE(AM$2,""*"")),"""")"),"")</f>
        <v/>
      </c>
      <c r="AN124" s="23" t="str">
        <f>IFERROR(__xludf.DUMMYFUNCTION("if(countif(filter(Status!$C:$C,Status!$A:$A=$A124),CONCATENATE(AN$2,""*""))&gt;0,countif(filter(Status!$C:$C,Status!$A:$A=$A124),CONCATENATE(AN$2,""*"")),"""")"),"")</f>
        <v/>
      </c>
      <c r="AO124" s="23" t="str">
        <f>IFERROR(__xludf.DUMMYFUNCTION("if(countif(filter(Status!$C:$C,Status!$A:$A=$A124),CONCATENATE(AO$2,""*""))&gt;0,countif(filter(Status!$C:$C,Status!$A:$A=$A124),CONCATENATE(AO$2,""*"")),"""")"),"")</f>
        <v/>
      </c>
      <c r="AP124" s="23">
        <f>IFERROR(__xludf.DUMMYFUNCTION("counta(iferror(filter(Status!C:C,Status!A:A=A124)))"),18.0)</f>
        <v>18</v>
      </c>
      <c r="AQ124" s="23">
        <f t="shared" si="6"/>
        <v>18</v>
      </c>
    </row>
    <row r="125">
      <c r="A125" s="1" t="s">
        <v>1091</v>
      </c>
      <c r="B125" s="21">
        <f>IFERROR(__xludf.DUMMYFUNCTION("max(filter(Status!E:E,Status!A:A=A125))"),43888.0)</f>
        <v>43888</v>
      </c>
      <c r="C125" s="23">
        <f t="shared" si="1"/>
        <v>0.7222222222</v>
      </c>
      <c r="D125" s="23">
        <f t="shared" si="2"/>
        <v>1</v>
      </c>
      <c r="E125" s="23" t="str">
        <f t="shared" si="3"/>
        <v/>
      </c>
      <c r="F125" s="23">
        <f t="shared" si="4"/>
        <v>0</v>
      </c>
      <c r="G125" s="25">
        <f t="shared" si="5"/>
        <v>1</v>
      </c>
      <c r="J125" s="23">
        <f>IFERROR(__xludf.DUMMYFUNCTION("COUNTA(iferror(filter(Status!H:H,Status!A:A=A125)))"),18.0)</f>
        <v>18</v>
      </c>
      <c r="K125" s="25">
        <f>IFERROR(__xludf.DUMMYFUNCTION("COUNTA(iferror(filter(Status!H:H,Status!A:A=A125,Status!H:H=TRUE)))"),13.0)</f>
        <v>13</v>
      </c>
      <c r="L125" s="23">
        <f>IFERROR(__xludf.DUMMYFUNCTION("COUNTA(iferror(filter(Status!L:L,Status!A:A=A125)))"),8.0)</f>
        <v>8</v>
      </c>
      <c r="M125" s="25">
        <f>IFERROR(__xludf.DUMMYFUNCTION("COUNTA(iferror(filter(Status!L:L,Status!A:A=A125,Status!L:L=TRUE)))"),8.0)</f>
        <v>8</v>
      </c>
      <c r="N125" s="23">
        <f>IFERROR(__xludf.DUMMYFUNCTION("COUNTA(iferror(filter(Status!N:N,Status!A:A=A125,Status!N:N=TRUE)))"),0.0)</f>
        <v>0</v>
      </c>
      <c r="O125" s="25">
        <f>IFERROR(__xludf.DUMMYFUNCTION("COUNTA(iferror(filter(Status!N:N,Status!A:A=A125,Status!N:N=TRUE)))"),0.0)</f>
        <v>0</v>
      </c>
      <c r="P125" s="23">
        <f>IFERROR(__xludf.DUMMYFUNCTION("COUNTA(iferror(filter(Status!P:P,Status!A:A=A125)))"),32.0)</f>
        <v>32</v>
      </c>
      <c r="Q125" s="25">
        <f>IFERROR(__xludf.DUMMYFUNCTION("COUNTA(iferror(filter(Status!P:P,Status!A:A=A125,Status!P:P=TRUE)))"),0.0)</f>
        <v>0</v>
      </c>
      <c r="R125" s="23">
        <f>IFERROR(__xludf.DUMMYFUNCTION("COUNTA(iferror(filter(Status!R:R,Status!A:A=A125)))"),18.0)</f>
        <v>18</v>
      </c>
      <c r="S125" s="25">
        <f>IFERROR(__xludf.DUMMYFUNCTION("COUNTA(iferror(filter(Status!R:R,Status!A:A=A125,Status!R:R=TRUE)))"),18.0)</f>
        <v>18</v>
      </c>
      <c r="V125" s="23" t="str">
        <f>IFERROR(__xludf.DUMMYFUNCTION("if((countif(filter(Status!$C:$C,Status!$A:$A=$A125),CONCATENATE(V$2,""*""))-W125)&gt;0,(countif(filter(Status!$C:$C,Status!$A:$A=$A125),CONCATENATE(V$2,""*""))-W125),"""")"),"")</f>
        <v/>
      </c>
      <c r="W125" s="23">
        <f>IFERROR(__xludf.DUMMYFUNCTION("if(countif(filter(Status!$C:$C,Status!$A:$A=$A125),CONCATENATE(W$2,""*""))&gt;0,countif(filter(Status!$C:$C,Status!$A:$A=$A125),CONCATENATE(W$2,""*"")),"""")"),3.0)</f>
        <v>3</v>
      </c>
      <c r="X125" s="23">
        <f>IFERROR(__xludf.DUMMYFUNCTION("if(countif(filter(Status!$C:$C,Status!$A:$A=$A125),CONCATENATE(X$2,""*""))&gt;0,countif(filter(Status!$C:$C,Status!$A:$A=$A125),CONCATENATE(X$2,""*"")),"""")"),5.0)</f>
        <v>5</v>
      </c>
      <c r="Y125" s="23" t="str">
        <f>IFERROR(__xludf.DUMMYFUNCTION("if(countif(filter(Status!$C:$C,Status!$A:$A=$A125),CONCATENATE(Y$2,""*""))&gt;0,countif(filter(Status!$C:$C,Status!$A:$A=$A125),CONCATENATE(Y$2,""*"")),"""")"),"")</f>
        <v/>
      </c>
      <c r="Z125" s="23">
        <f>IFERROR(__xludf.DUMMYFUNCTION("if(countif(filter(Status!$C:$C,Status!$A:$A=$A125),CONCATENATE(Z$2,""*""))&gt;0,countif(filter(Status!$C:$C,Status!$A:$A=$A125),CONCATENATE(Z$2,""*"")),"""")"),5.0)</f>
        <v>5</v>
      </c>
      <c r="AA125" s="23">
        <f>IFERROR(__xludf.DUMMYFUNCTION("if((countif(filter(Status!$C:$C,Status!$A:$A=$A125),CONCATENATE(AA$2,""*""))-AB125)&gt;0,(countif(filter(Status!$C:$C,Status!$A:$A=$A125),CONCATENATE(AA$2,""*""))-AB125),"""")"),9.0)</f>
        <v>9</v>
      </c>
      <c r="AB125" s="23">
        <f>IFERROR(__xludf.DUMMYFUNCTION("if(countif(filter(Status!$C:$C,Status!$A:$A=$A125),CONCATENATE(AB$2,""*""))&gt;0,countif(filter(Status!$C:$C,Status!$A:$A=$A125),CONCATENATE(AB$2,""*"")),"""")"),9.0)</f>
        <v>9</v>
      </c>
      <c r="AC125" s="23">
        <f>IFERROR(__xludf.DUMMYFUNCTION("if(countif(filter(Status!$C:$C,Status!$A:$A=$A125),CONCATENATE(AC$2,""*""))&gt;0,countif(filter(Status!$C:$C,Status!$A:$A=$A125),CONCATENATE(AC$2,""*"")),"""")"),1.0)</f>
        <v>1</v>
      </c>
      <c r="AD125" s="23" t="str">
        <f>IFERROR(__xludf.DUMMYFUNCTION("if(countif(filter(Status!$C:$C,Status!$A:$A=$A125),CONCATENATE(AD$2,""*""))&gt;0,countif(filter(Status!$C:$C,Status!$A:$A=$A125),CONCATENATE(AD$2,""*"")),"""")"),"")</f>
        <v/>
      </c>
      <c r="AE125" s="23">
        <f>IFERROR(__xludf.DUMMYFUNCTION("if(countif(filter(Status!$C:$C,Status!$A:$A=$A125),CONCATENATE(AE$2,""*""))&gt;0,countif(filter(Status!$C:$C,Status!$A:$A=$A125),CONCATENATE(AE$2,""*"")),"""")"),1.0)</f>
        <v>1</v>
      </c>
      <c r="AF125" s="23" t="str">
        <f>IFERROR(__xludf.DUMMYFUNCTION("if(countif(filter(Status!$C:$C,Status!$A:$A=$A125),CONCATENATE(AF$2,""*""))&gt;0,countif(filter(Status!$C:$C,Status!$A:$A=$A125),CONCATENATE(AF$2,""*"")),"""")"),"")</f>
        <v/>
      </c>
      <c r="AG125" s="23" t="str">
        <f>IFERROR(__xludf.DUMMYFUNCTION("if(countif(filter(Status!$C:$C,Status!$A:$A=$A125),CONCATENATE(AG$2,""*""))&gt;0,countif(filter(Status!$C:$C,Status!$A:$A=$A125),CONCATENATE(AG$2,""*"")),"""")"),"")</f>
        <v/>
      </c>
      <c r="AH125" s="23" t="str">
        <f>IFERROR(__xludf.DUMMYFUNCTION("if(countif(filter(Status!$C:$C,Status!$A:$A=$A125),CONCATENATE(AH$2,""*""))&gt;0,countif(filter(Status!$C:$C,Status!$A:$A=$A125),CONCATENATE(AH$2,""*"")),"""")"),"")</f>
        <v/>
      </c>
      <c r="AI125" s="23" t="str">
        <f>IFERROR(__xludf.DUMMYFUNCTION("if(countif(filter(Status!$C:$C,Status!$A:$A=$A125),CONCATENATE(AI$2,""*""))&gt;0,countif(filter(Status!$C:$C,Status!$A:$A=$A125),CONCATENATE(AI$2,""*"")),"""")"),"")</f>
        <v/>
      </c>
      <c r="AJ125" s="23" t="str">
        <f>IFERROR(__xludf.DUMMYFUNCTION("if(countif(filter(Status!$C:$C,Status!$A:$A=$A125),CONCATENATE(AJ$2,""*""))&gt;0,countif(filter(Status!$C:$C,Status!$A:$A=$A125),CONCATENATE(AJ$2,""*"")),"""")"),"")</f>
        <v/>
      </c>
      <c r="AK125" s="23" t="str">
        <f>IFERROR(__xludf.DUMMYFUNCTION("if(countif(filter(Status!$C:$C,Status!$A:$A=$A125),CONCATENATE(AK$2,""*""))&gt;0,countif(filter(Status!$C:$C,Status!$A:$A=$A125),CONCATENATE(AK$2,""*"")),"""")"),"")</f>
        <v/>
      </c>
      <c r="AL125" s="23" t="str">
        <f>IFERROR(__xludf.DUMMYFUNCTION("if(countif(filter(Status!$C:$C,Status!$A:$A=$A125),CONCATENATE(AL$2,""*""))&gt;0,countif(filter(Status!$C:$C,Status!$A:$A=$A125),CONCATENATE(AL$2,""*"")),"""")"),"")</f>
        <v/>
      </c>
      <c r="AM125" s="23" t="str">
        <f>IFERROR(__xludf.DUMMYFUNCTION("if(countif(filter(Status!$C:$C,Status!$A:$A=$A125),CONCATENATE(AM$2,""*""))&gt;0,countif(filter(Status!$C:$C,Status!$A:$A=$A125),CONCATENATE(AM$2,""*"")),"""")"),"")</f>
        <v/>
      </c>
      <c r="AN125" s="23" t="str">
        <f>IFERROR(__xludf.DUMMYFUNCTION("if(countif(filter(Status!$C:$C,Status!$A:$A=$A125),CONCATENATE(AN$2,""*""))&gt;0,countif(filter(Status!$C:$C,Status!$A:$A=$A125),CONCATENATE(AN$2,""*"")),"""")"),"")</f>
        <v/>
      </c>
      <c r="AO125" s="23" t="str">
        <f>IFERROR(__xludf.DUMMYFUNCTION("if(countif(filter(Status!$C:$C,Status!$A:$A=$A125),CONCATENATE(AO$2,""*""))&gt;0,countif(filter(Status!$C:$C,Status!$A:$A=$A125),CONCATENATE(AO$2,""*"")),"""")"),"")</f>
        <v/>
      </c>
      <c r="AP125" s="23">
        <f>IFERROR(__xludf.DUMMYFUNCTION("counta(iferror(filter(Status!C:C,Status!A:A=A125)))"),33.0)</f>
        <v>33</v>
      </c>
      <c r="AQ125" s="23">
        <f t="shared" si="6"/>
        <v>33</v>
      </c>
    </row>
    <row r="126">
      <c r="A126" s="1" t="s">
        <v>1095</v>
      </c>
      <c r="B126" s="21">
        <f>IFERROR(__xludf.DUMMYFUNCTION("max(filter(Status!E:E,Status!A:A=A126))"),43892.0)</f>
        <v>43892</v>
      </c>
      <c r="C126" s="23">
        <f t="shared" si="1"/>
        <v>1</v>
      </c>
      <c r="D126" s="23">
        <f t="shared" si="2"/>
        <v>1</v>
      </c>
      <c r="E126" s="23" t="str">
        <f t="shared" si="3"/>
        <v/>
      </c>
      <c r="F126" s="23">
        <f t="shared" si="4"/>
        <v>0</v>
      </c>
      <c r="G126" s="25">
        <f t="shared" si="5"/>
        <v>0</v>
      </c>
      <c r="J126" s="23">
        <f>IFERROR(__xludf.DUMMYFUNCTION("COUNTA(iferror(filter(Status!H:H,Status!A:A=A126)))"),7.0)</f>
        <v>7</v>
      </c>
      <c r="K126" s="25">
        <f>IFERROR(__xludf.DUMMYFUNCTION("COUNTA(iferror(filter(Status!H:H,Status!A:A=A126,Status!H:H=TRUE)))"),7.0)</f>
        <v>7</v>
      </c>
      <c r="L126" s="23">
        <f>IFERROR(__xludf.DUMMYFUNCTION("COUNTA(iferror(filter(Status!L:L,Status!A:A=A126)))"),3.0)</f>
        <v>3</v>
      </c>
      <c r="M126" s="25">
        <f>IFERROR(__xludf.DUMMYFUNCTION("COUNTA(iferror(filter(Status!L:L,Status!A:A=A126,Status!L:L=TRUE)))"),3.0)</f>
        <v>3</v>
      </c>
      <c r="N126" s="23">
        <f>IFERROR(__xludf.DUMMYFUNCTION("COUNTA(iferror(filter(Status!N:N,Status!A:A=A126,Status!N:N=TRUE)))"),0.0)</f>
        <v>0</v>
      </c>
      <c r="O126" s="25">
        <f>IFERROR(__xludf.DUMMYFUNCTION("COUNTA(iferror(filter(Status!N:N,Status!A:A=A126,Status!N:N=TRUE)))"),0.0)</f>
        <v>0</v>
      </c>
      <c r="P126" s="23">
        <f>IFERROR(__xludf.DUMMYFUNCTION("COUNTA(iferror(filter(Status!P:P,Status!A:A=A126)))"),6.0)</f>
        <v>6</v>
      </c>
      <c r="Q126" s="25">
        <f>IFERROR(__xludf.DUMMYFUNCTION("COUNTA(iferror(filter(Status!P:P,Status!A:A=A126,Status!P:P=TRUE)))"),0.0)</f>
        <v>0</v>
      </c>
      <c r="R126" s="23">
        <f>IFERROR(__xludf.DUMMYFUNCTION("COUNTA(iferror(filter(Status!R:R,Status!A:A=A126)))"),3.0)</f>
        <v>3</v>
      </c>
      <c r="S126" s="25">
        <f>IFERROR(__xludf.DUMMYFUNCTION("COUNTA(iferror(filter(Status!R:R,Status!A:A=A126,Status!R:R=TRUE)))"),0.0)</f>
        <v>0</v>
      </c>
      <c r="V126" s="23" t="str">
        <f>IFERROR(__xludf.DUMMYFUNCTION("if((countif(filter(Status!$C:$C,Status!$A:$A=$A126),CONCATENATE(V$2,""*""))-W126)&gt;0,(countif(filter(Status!$C:$C,Status!$A:$A=$A126),CONCATENATE(V$2,""*""))-W126),"""")"),"")</f>
        <v/>
      </c>
      <c r="W126" s="23">
        <f>IFERROR(__xludf.DUMMYFUNCTION("if(countif(filter(Status!$C:$C,Status!$A:$A=$A126),CONCATENATE(W$2,""*""))&gt;0,countif(filter(Status!$C:$C,Status!$A:$A=$A126),CONCATENATE(W$2,""*"")),"""")"),3.0)</f>
        <v>3</v>
      </c>
      <c r="X126" s="23" t="str">
        <f>IFERROR(__xludf.DUMMYFUNCTION("if(countif(filter(Status!$C:$C,Status!$A:$A=$A126),CONCATENATE(X$2,""*""))&gt;0,countif(filter(Status!$C:$C,Status!$A:$A=$A126),CONCATENATE(X$2,""*"")),"""")"),"")</f>
        <v/>
      </c>
      <c r="Y126" s="23" t="str">
        <f>IFERROR(__xludf.DUMMYFUNCTION("if(countif(filter(Status!$C:$C,Status!$A:$A=$A126),CONCATENATE(Y$2,""*""))&gt;0,countif(filter(Status!$C:$C,Status!$A:$A=$A126),CONCATENATE(Y$2,""*"")),"""")"),"")</f>
        <v/>
      </c>
      <c r="Z126" s="23" t="str">
        <f>IFERROR(__xludf.DUMMYFUNCTION("if(countif(filter(Status!$C:$C,Status!$A:$A=$A126),CONCATENATE(Z$2,""*""))&gt;0,countif(filter(Status!$C:$C,Status!$A:$A=$A126),CONCATENATE(Z$2,""*"")),"""")"),"")</f>
        <v/>
      </c>
      <c r="AA126" s="23">
        <f>IFERROR(__xludf.DUMMYFUNCTION("if((countif(filter(Status!$C:$C,Status!$A:$A=$A126),CONCATENATE(AA$2,""*""))-AB126)&gt;0,(countif(filter(Status!$C:$C,Status!$A:$A=$A126),CONCATENATE(AA$2,""*""))-AB126),"""")"),3.0)</f>
        <v>3</v>
      </c>
      <c r="AB126" s="23" t="str">
        <f>IFERROR(__xludf.DUMMYFUNCTION("if(countif(filter(Status!$C:$C,Status!$A:$A=$A126),CONCATENATE(AB$2,""*""))&gt;0,countif(filter(Status!$C:$C,Status!$A:$A=$A126),CONCATENATE(AB$2,""*"")),"""")"),"")</f>
        <v/>
      </c>
      <c r="AC126" s="23" t="str">
        <f>IFERROR(__xludf.DUMMYFUNCTION("if(countif(filter(Status!$C:$C,Status!$A:$A=$A126),CONCATENATE(AC$2,""*""))&gt;0,countif(filter(Status!$C:$C,Status!$A:$A=$A126),CONCATENATE(AC$2,""*"")),"""")"),"")</f>
        <v/>
      </c>
      <c r="AD126" s="23" t="str">
        <f>IFERROR(__xludf.DUMMYFUNCTION("if(countif(filter(Status!$C:$C,Status!$A:$A=$A126),CONCATENATE(AD$2,""*""))&gt;0,countif(filter(Status!$C:$C,Status!$A:$A=$A126),CONCATENATE(AD$2,""*"")),"""")"),"")</f>
        <v/>
      </c>
      <c r="AE126" s="23">
        <f>IFERROR(__xludf.DUMMYFUNCTION("if(countif(filter(Status!$C:$C,Status!$A:$A=$A126),CONCATENATE(AE$2,""*""))&gt;0,countif(filter(Status!$C:$C,Status!$A:$A=$A126),CONCATENATE(AE$2,""*"")),"""")"),1.0)</f>
        <v>1</v>
      </c>
      <c r="AF126" s="23" t="str">
        <f>IFERROR(__xludf.DUMMYFUNCTION("if(countif(filter(Status!$C:$C,Status!$A:$A=$A126),CONCATENATE(AF$2,""*""))&gt;0,countif(filter(Status!$C:$C,Status!$A:$A=$A126),CONCATENATE(AF$2,""*"")),"""")"),"")</f>
        <v/>
      </c>
      <c r="AG126" s="23" t="str">
        <f>IFERROR(__xludf.DUMMYFUNCTION("if(countif(filter(Status!$C:$C,Status!$A:$A=$A126),CONCATENATE(AG$2,""*""))&gt;0,countif(filter(Status!$C:$C,Status!$A:$A=$A126),CONCATENATE(AG$2,""*"")),"""")"),"")</f>
        <v/>
      </c>
      <c r="AH126" s="23" t="str">
        <f>IFERROR(__xludf.DUMMYFUNCTION("if(countif(filter(Status!$C:$C,Status!$A:$A=$A126),CONCATENATE(AH$2,""*""))&gt;0,countif(filter(Status!$C:$C,Status!$A:$A=$A126),CONCATENATE(AH$2,""*"")),"""")"),"")</f>
        <v/>
      </c>
      <c r="AI126" s="23" t="str">
        <f>IFERROR(__xludf.DUMMYFUNCTION("if(countif(filter(Status!$C:$C,Status!$A:$A=$A126),CONCATENATE(AI$2,""*""))&gt;0,countif(filter(Status!$C:$C,Status!$A:$A=$A126),CONCATENATE(AI$2,""*"")),"""")"),"")</f>
        <v/>
      </c>
      <c r="AJ126" s="23" t="str">
        <f>IFERROR(__xludf.DUMMYFUNCTION("if(countif(filter(Status!$C:$C,Status!$A:$A=$A126),CONCATENATE(AJ$2,""*""))&gt;0,countif(filter(Status!$C:$C,Status!$A:$A=$A126),CONCATENATE(AJ$2,""*"")),"""")"),"")</f>
        <v/>
      </c>
      <c r="AK126" s="23" t="str">
        <f>IFERROR(__xludf.DUMMYFUNCTION("if(countif(filter(Status!$C:$C,Status!$A:$A=$A126),CONCATENATE(AK$2,""*""))&gt;0,countif(filter(Status!$C:$C,Status!$A:$A=$A126),CONCATENATE(AK$2,""*"")),"""")"),"")</f>
        <v/>
      </c>
      <c r="AL126" s="23" t="str">
        <f>IFERROR(__xludf.DUMMYFUNCTION("if(countif(filter(Status!$C:$C,Status!$A:$A=$A126),CONCATENATE(AL$2,""*""))&gt;0,countif(filter(Status!$C:$C,Status!$A:$A=$A126),CONCATENATE(AL$2,""*"")),"""")"),"")</f>
        <v/>
      </c>
      <c r="AM126" s="23" t="str">
        <f>IFERROR(__xludf.DUMMYFUNCTION("if(countif(filter(Status!$C:$C,Status!$A:$A=$A126),CONCATENATE(AM$2,""*""))&gt;0,countif(filter(Status!$C:$C,Status!$A:$A=$A126),CONCATENATE(AM$2,""*"")),"""")"),"")</f>
        <v/>
      </c>
      <c r="AN126" s="23" t="str">
        <f>IFERROR(__xludf.DUMMYFUNCTION("if(countif(filter(Status!$C:$C,Status!$A:$A=$A126),CONCATENATE(AN$2,""*""))&gt;0,countif(filter(Status!$C:$C,Status!$A:$A=$A126),CONCATENATE(AN$2,""*"")),"""")"),"")</f>
        <v/>
      </c>
      <c r="AO126" s="23" t="str">
        <f>IFERROR(__xludf.DUMMYFUNCTION("if(countif(filter(Status!$C:$C,Status!$A:$A=$A126),CONCATENATE(AO$2,""*""))&gt;0,countif(filter(Status!$C:$C,Status!$A:$A=$A126),CONCATENATE(AO$2,""*"")),"""")"),"")</f>
        <v/>
      </c>
      <c r="AP126" s="23">
        <f>IFERROR(__xludf.DUMMYFUNCTION("counta(iferror(filter(Status!C:C,Status!A:A=A126)))"),7.0)</f>
        <v>7</v>
      </c>
      <c r="AQ126" s="23">
        <f t="shared" si="6"/>
        <v>7</v>
      </c>
    </row>
    <row r="127">
      <c r="A127" s="1" t="s">
        <v>1098</v>
      </c>
      <c r="B127" s="21">
        <f>IFERROR(__xludf.DUMMYFUNCTION("max(filter(Status!E:E,Status!A:A=A127))"),43893.0)</f>
        <v>43893</v>
      </c>
      <c r="C127" s="23">
        <f t="shared" si="1"/>
        <v>0.6</v>
      </c>
      <c r="D127" s="23">
        <f t="shared" si="2"/>
        <v>1</v>
      </c>
      <c r="E127" s="23" t="str">
        <f t="shared" si="3"/>
        <v/>
      </c>
      <c r="F127" s="23">
        <f t="shared" si="4"/>
        <v>0</v>
      </c>
      <c r="G127" s="25">
        <f t="shared" si="5"/>
        <v>0</v>
      </c>
      <c r="J127" s="23">
        <f>IFERROR(__xludf.DUMMYFUNCTION("COUNTA(iferror(filter(Status!H:H,Status!A:A=A127)))"),10.0)</f>
        <v>10</v>
      </c>
      <c r="K127" s="25">
        <f>IFERROR(__xludf.DUMMYFUNCTION("COUNTA(iferror(filter(Status!H:H,Status!A:A=A127,Status!H:H=TRUE)))"),6.0)</f>
        <v>6</v>
      </c>
      <c r="L127" s="23">
        <f>IFERROR(__xludf.DUMMYFUNCTION("COUNTA(iferror(filter(Status!L:L,Status!A:A=A127)))"),3.0)</f>
        <v>3</v>
      </c>
      <c r="M127" s="25">
        <f>IFERROR(__xludf.DUMMYFUNCTION("COUNTA(iferror(filter(Status!L:L,Status!A:A=A127,Status!L:L=TRUE)))"),3.0)</f>
        <v>3</v>
      </c>
      <c r="N127" s="23">
        <f>IFERROR(__xludf.DUMMYFUNCTION("COUNTA(iferror(filter(Status!N:N,Status!A:A=A127,Status!N:N=TRUE)))"),0.0)</f>
        <v>0</v>
      </c>
      <c r="O127" s="25">
        <f>IFERROR(__xludf.DUMMYFUNCTION("COUNTA(iferror(filter(Status!N:N,Status!A:A=A127,Status!N:N=TRUE)))"),0.0)</f>
        <v>0</v>
      </c>
      <c r="P127" s="23">
        <f>IFERROR(__xludf.DUMMYFUNCTION("COUNTA(iferror(filter(Status!P:P,Status!A:A=A127)))"),13.0)</f>
        <v>13</v>
      </c>
      <c r="Q127" s="25">
        <f>IFERROR(__xludf.DUMMYFUNCTION("COUNTA(iferror(filter(Status!P:P,Status!A:A=A127,Status!P:P=TRUE)))"),0.0)</f>
        <v>0</v>
      </c>
      <c r="R127" s="23">
        <f>IFERROR(__xludf.DUMMYFUNCTION("COUNTA(iferror(filter(Status!R:R,Status!A:A=A127)))"),7.0)</f>
        <v>7</v>
      </c>
      <c r="S127" s="25">
        <f>IFERROR(__xludf.DUMMYFUNCTION("COUNTA(iferror(filter(Status!R:R,Status!A:A=A127,Status!R:R=TRUE)))"),0.0)</f>
        <v>0</v>
      </c>
      <c r="V127" s="23" t="str">
        <f>IFERROR(__xludf.DUMMYFUNCTION("if((countif(filter(Status!$C:$C,Status!$A:$A=$A127),CONCATENATE(V$2,""*""))-W127)&gt;0,(countif(filter(Status!$C:$C,Status!$A:$A=$A127),CONCATENATE(V$2,""*""))-W127),"""")"),"")</f>
        <v/>
      </c>
      <c r="W127" s="23" t="str">
        <f>IFERROR(__xludf.DUMMYFUNCTION("if(countif(filter(Status!$C:$C,Status!$A:$A=$A127),CONCATENATE(W$2,""*""))&gt;0,countif(filter(Status!$C:$C,Status!$A:$A=$A127),CONCATENATE(W$2,""*"")),"""")"),"")</f>
        <v/>
      </c>
      <c r="X127" s="23">
        <f>IFERROR(__xludf.DUMMYFUNCTION("if(countif(filter(Status!$C:$C,Status!$A:$A=$A127),CONCATENATE(X$2,""*""))&gt;0,countif(filter(Status!$C:$C,Status!$A:$A=$A127),CONCATENATE(X$2,""*"")),"""")"),4.0)</f>
        <v>4</v>
      </c>
      <c r="Y127" s="23" t="str">
        <f>IFERROR(__xludf.DUMMYFUNCTION("if(countif(filter(Status!$C:$C,Status!$A:$A=$A127),CONCATENATE(Y$2,""*""))&gt;0,countif(filter(Status!$C:$C,Status!$A:$A=$A127),CONCATENATE(Y$2,""*"")),"""")"),"")</f>
        <v/>
      </c>
      <c r="Z127" s="23" t="str">
        <f>IFERROR(__xludf.DUMMYFUNCTION("if(countif(filter(Status!$C:$C,Status!$A:$A=$A127),CONCATENATE(Z$2,""*""))&gt;0,countif(filter(Status!$C:$C,Status!$A:$A=$A127),CONCATENATE(Z$2,""*"")),"""")"),"")</f>
        <v/>
      </c>
      <c r="AA127" s="23">
        <f>IFERROR(__xludf.DUMMYFUNCTION("if((countif(filter(Status!$C:$C,Status!$A:$A=$A127),CONCATENATE(AA$2,""*""))-AB127)&gt;0,(countif(filter(Status!$C:$C,Status!$A:$A=$A127),CONCATENATE(AA$2,""*""))-AB127),"""")"),6.0)</f>
        <v>6</v>
      </c>
      <c r="AB127" s="23" t="str">
        <f>IFERROR(__xludf.DUMMYFUNCTION("if(countif(filter(Status!$C:$C,Status!$A:$A=$A127),CONCATENATE(AB$2,""*""))&gt;0,countif(filter(Status!$C:$C,Status!$A:$A=$A127),CONCATENATE(AB$2,""*"")),"""")"),"")</f>
        <v/>
      </c>
      <c r="AC127" s="23" t="str">
        <f>IFERROR(__xludf.DUMMYFUNCTION("if(countif(filter(Status!$C:$C,Status!$A:$A=$A127),CONCATENATE(AC$2,""*""))&gt;0,countif(filter(Status!$C:$C,Status!$A:$A=$A127),CONCATENATE(AC$2,""*"")),"""")"),"")</f>
        <v/>
      </c>
      <c r="AD127" s="23" t="str">
        <f>IFERROR(__xludf.DUMMYFUNCTION("if(countif(filter(Status!$C:$C,Status!$A:$A=$A127),CONCATENATE(AD$2,""*""))&gt;0,countif(filter(Status!$C:$C,Status!$A:$A=$A127),CONCATENATE(AD$2,""*"")),"""")"),"")</f>
        <v/>
      </c>
      <c r="AE127" s="23">
        <f>IFERROR(__xludf.DUMMYFUNCTION("if(countif(filter(Status!$C:$C,Status!$A:$A=$A127),CONCATENATE(AE$2,""*""))&gt;0,countif(filter(Status!$C:$C,Status!$A:$A=$A127),CONCATENATE(AE$2,""*"")),"""")"),1.0)</f>
        <v>1</v>
      </c>
      <c r="AF127" s="23">
        <f>IFERROR(__xludf.DUMMYFUNCTION("if(countif(filter(Status!$C:$C,Status!$A:$A=$A127),CONCATENATE(AF$2,""*""))&gt;0,countif(filter(Status!$C:$C,Status!$A:$A=$A127),CONCATENATE(AF$2,""*"")),"""")"),1.0)</f>
        <v>1</v>
      </c>
      <c r="AG127" s="23" t="str">
        <f>IFERROR(__xludf.DUMMYFUNCTION("if(countif(filter(Status!$C:$C,Status!$A:$A=$A127),CONCATENATE(AG$2,""*""))&gt;0,countif(filter(Status!$C:$C,Status!$A:$A=$A127),CONCATENATE(AG$2,""*"")),"""")"),"")</f>
        <v/>
      </c>
      <c r="AH127" s="23">
        <f>IFERROR(__xludf.DUMMYFUNCTION("if(countif(filter(Status!$C:$C,Status!$A:$A=$A127),CONCATENATE(AH$2,""*""))&gt;0,countif(filter(Status!$C:$C,Status!$A:$A=$A127),CONCATENATE(AH$2,""*"")),"""")"),1.0)</f>
        <v>1</v>
      </c>
      <c r="AI127" s="23" t="str">
        <f>IFERROR(__xludf.DUMMYFUNCTION("if(countif(filter(Status!$C:$C,Status!$A:$A=$A127),CONCATENATE(AI$2,""*""))&gt;0,countif(filter(Status!$C:$C,Status!$A:$A=$A127),CONCATENATE(AI$2,""*"")),"""")"),"")</f>
        <v/>
      </c>
      <c r="AJ127" s="23" t="str">
        <f>IFERROR(__xludf.DUMMYFUNCTION("if(countif(filter(Status!$C:$C,Status!$A:$A=$A127),CONCATENATE(AJ$2,""*""))&gt;0,countif(filter(Status!$C:$C,Status!$A:$A=$A127),CONCATENATE(AJ$2,""*"")),"""")"),"")</f>
        <v/>
      </c>
      <c r="AK127" s="23" t="str">
        <f>IFERROR(__xludf.DUMMYFUNCTION("if(countif(filter(Status!$C:$C,Status!$A:$A=$A127),CONCATENATE(AK$2,""*""))&gt;0,countif(filter(Status!$C:$C,Status!$A:$A=$A127),CONCATENATE(AK$2,""*"")),"""")"),"")</f>
        <v/>
      </c>
      <c r="AL127" s="23" t="str">
        <f>IFERROR(__xludf.DUMMYFUNCTION("if(countif(filter(Status!$C:$C,Status!$A:$A=$A127),CONCATENATE(AL$2,""*""))&gt;0,countif(filter(Status!$C:$C,Status!$A:$A=$A127),CONCATENATE(AL$2,""*"")),"""")"),"")</f>
        <v/>
      </c>
      <c r="AM127" s="23">
        <f>IFERROR(__xludf.DUMMYFUNCTION("if(countif(filter(Status!$C:$C,Status!$A:$A=$A127),CONCATENATE(AM$2,""*""))&gt;0,countif(filter(Status!$C:$C,Status!$A:$A=$A127),CONCATENATE(AM$2,""*"")),"""")"),1.0)</f>
        <v>1</v>
      </c>
      <c r="AN127" s="23" t="str">
        <f>IFERROR(__xludf.DUMMYFUNCTION("if(countif(filter(Status!$C:$C,Status!$A:$A=$A127),CONCATENATE(AN$2,""*""))&gt;0,countif(filter(Status!$C:$C,Status!$A:$A=$A127),CONCATENATE(AN$2,""*"")),"""")"),"")</f>
        <v/>
      </c>
      <c r="AO127" s="23" t="str">
        <f>IFERROR(__xludf.DUMMYFUNCTION("if(countif(filter(Status!$C:$C,Status!$A:$A=$A127),CONCATENATE(AO$2,""*""))&gt;0,countif(filter(Status!$C:$C,Status!$A:$A=$A127),CONCATENATE(AO$2,""*"")),"""")"),"")</f>
        <v/>
      </c>
      <c r="AP127" s="23">
        <f>IFERROR(__xludf.DUMMYFUNCTION("counta(iferror(filter(Status!C:C,Status!A:A=A127)))"),14.0)</f>
        <v>14</v>
      </c>
      <c r="AQ127" s="23">
        <f t="shared" si="6"/>
        <v>14</v>
      </c>
    </row>
    <row r="128">
      <c r="A128" s="1" t="s">
        <v>1101</v>
      </c>
      <c r="B128" s="21">
        <f>IFERROR(__xludf.DUMMYFUNCTION("max(filter(Status!E:E,Status!A:A=A128))"),43894.0)</f>
        <v>43894</v>
      </c>
      <c r="C128" s="23">
        <f t="shared" si="1"/>
        <v>0.6666666667</v>
      </c>
      <c r="D128" s="23">
        <f t="shared" si="2"/>
        <v>1</v>
      </c>
      <c r="E128" s="23" t="str">
        <f t="shared" si="3"/>
        <v/>
      </c>
      <c r="F128" s="23">
        <f t="shared" si="4"/>
        <v>0</v>
      </c>
      <c r="G128" s="25">
        <f t="shared" si="5"/>
        <v>0</v>
      </c>
      <c r="J128" s="23">
        <f>IFERROR(__xludf.DUMMYFUNCTION("COUNTA(iferror(filter(Status!H:H,Status!A:A=A128)))"),9.0)</f>
        <v>9</v>
      </c>
      <c r="K128" s="25">
        <f>IFERROR(__xludf.DUMMYFUNCTION("COUNTA(iferror(filter(Status!H:H,Status!A:A=A128,Status!H:H=TRUE)))"),6.0)</f>
        <v>6</v>
      </c>
      <c r="L128" s="23">
        <f>IFERROR(__xludf.DUMMYFUNCTION("COUNTA(iferror(filter(Status!L:L,Status!A:A=A128)))"),3.0)</f>
        <v>3</v>
      </c>
      <c r="M128" s="25">
        <f>IFERROR(__xludf.DUMMYFUNCTION("COUNTA(iferror(filter(Status!L:L,Status!A:A=A128,Status!L:L=TRUE)))"),3.0)</f>
        <v>3</v>
      </c>
      <c r="N128" s="23">
        <f>IFERROR(__xludf.DUMMYFUNCTION("COUNTA(iferror(filter(Status!N:N,Status!A:A=A128,Status!N:N=TRUE)))"),0.0)</f>
        <v>0</v>
      </c>
      <c r="O128" s="25">
        <f>IFERROR(__xludf.DUMMYFUNCTION("COUNTA(iferror(filter(Status!N:N,Status!A:A=A128,Status!N:N=TRUE)))"),0.0)</f>
        <v>0</v>
      </c>
      <c r="P128" s="23">
        <f>IFERROR(__xludf.DUMMYFUNCTION("COUNTA(iferror(filter(Status!P:P,Status!A:A=A128)))"),11.0)</f>
        <v>11</v>
      </c>
      <c r="Q128" s="25">
        <f>IFERROR(__xludf.DUMMYFUNCTION("COUNTA(iferror(filter(Status!P:P,Status!A:A=A128,Status!P:P=TRUE)))"),0.0)</f>
        <v>0</v>
      </c>
      <c r="R128" s="23">
        <f>IFERROR(__xludf.DUMMYFUNCTION("COUNTA(iferror(filter(Status!R:R,Status!A:A=A128)))"),6.0)</f>
        <v>6</v>
      </c>
      <c r="S128" s="25">
        <f>IFERROR(__xludf.DUMMYFUNCTION("COUNTA(iferror(filter(Status!R:R,Status!A:A=A128,Status!R:R=TRUE)))"),0.0)</f>
        <v>0</v>
      </c>
      <c r="V128" s="23">
        <f>IFERROR(__xludf.DUMMYFUNCTION("if((countif(filter(Status!$C:$C,Status!$A:$A=$A128),CONCATENATE(V$2,""*""))-W128)&gt;0,(countif(filter(Status!$C:$C,Status!$A:$A=$A128),CONCATENATE(V$2,""*""))-W128),"""")"),2.0)</f>
        <v>2</v>
      </c>
      <c r="W128" s="23" t="str">
        <f>IFERROR(__xludf.DUMMYFUNCTION("if(countif(filter(Status!$C:$C,Status!$A:$A=$A128),CONCATENATE(W$2,""*""))&gt;0,countif(filter(Status!$C:$C,Status!$A:$A=$A128),CONCATENATE(W$2,""*"")),"""")"),"")</f>
        <v/>
      </c>
      <c r="X128" s="23">
        <f>IFERROR(__xludf.DUMMYFUNCTION("if(countif(filter(Status!$C:$C,Status!$A:$A=$A128),CONCATENATE(X$2,""*""))&gt;0,countif(filter(Status!$C:$C,Status!$A:$A=$A128),CONCATENATE(X$2,""*"")),"""")"),3.0)</f>
        <v>3</v>
      </c>
      <c r="Y128" s="23" t="str">
        <f>IFERROR(__xludf.DUMMYFUNCTION("if(countif(filter(Status!$C:$C,Status!$A:$A=$A128),CONCATENATE(Y$2,""*""))&gt;0,countif(filter(Status!$C:$C,Status!$A:$A=$A128),CONCATENATE(Y$2,""*"")),"""")"),"")</f>
        <v/>
      </c>
      <c r="Z128" s="23" t="str">
        <f>IFERROR(__xludf.DUMMYFUNCTION("if(countif(filter(Status!$C:$C,Status!$A:$A=$A128),CONCATENATE(Z$2,""*""))&gt;0,countif(filter(Status!$C:$C,Status!$A:$A=$A128),CONCATENATE(Z$2,""*"")),"""")"),"")</f>
        <v/>
      </c>
      <c r="AA128" s="23">
        <f>IFERROR(__xludf.DUMMYFUNCTION("if((countif(filter(Status!$C:$C,Status!$A:$A=$A128),CONCATENATE(AA$2,""*""))-AB128)&gt;0,(countif(filter(Status!$C:$C,Status!$A:$A=$A128),CONCATENATE(AA$2,""*""))-AB128),"""")"),5.0)</f>
        <v>5</v>
      </c>
      <c r="AB128" s="23" t="str">
        <f>IFERROR(__xludf.DUMMYFUNCTION("if(countif(filter(Status!$C:$C,Status!$A:$A=$A128),CONCATENATE(AB$2,""*""))&gt;0,countif(filter(Status!$C:$C,Status!$A:$A=$A128),CONCATENATE(AB$2,""*"")),"""")"),"")</f>
        <v/>
      </c>
      <c r="AC128" s="23" t="str">
        <f>IFERROR(__xludf.DUMMYFUNCTION("if(countif(filter(Status!$C:$C,Status!$A:$A=$A128),CONCATENATE(AC$2,""*""))&gt;0,countif(filter(Status!$C:$C,Status!$A:$A=$A128),CONCATENATE(AC$2,""*"")),"""")"),"")</f>
        <v/>
      </c>
      <c r="AD128" s="23" t="str">
        <f>IFERROR(__xludf.DUMMYFUNCTION("if(countif(filter(Status!$C:$C,Status!$A:$A=$A128),CONCATENATE(AD$2,""*""))&gt;0,countif(filter(Status!$C:$C,Status!$A:$A=$A128),CONCATENATE(AD$2,""*"")),"""")"),"")</f>
        <v/>
      </c>
      <c r="AE128" s="23">
        <f>IFERROR(__xludf.DUMMYFUNCTION("if(countif(filter(Status!$C:$C,Status!$A:$A=$A128),CONCATENATE(AE$2,""*""))&gt;0,countif(filter(Status!$C:$C,Status!$A:$A=$A128),CONCATENATE(AE$2,""*"")),"""")"),1.0)</f>
        <v>1</v>
      </c>
      <c r="AF128" s="23">
        <f>IFERROR(__xludf.DUMMYFUNCTION("if(countif(filter(Status!$C:$C,Status!$A:$A=$A128),CONCATENATE(AF$2,""*""))&gt;0,countif(filter(Status!$C:$C,Status!$A:$A=$A128),CONCATENATE(AF$2,""*"")),"""")"),1.0)</f>
        <v>1</v>
      </c>
      <c r="AG128" s="23" t="str">
        <f>IFERROR(__xludf.DUMMYFUNCTION("if(countif(filter(Status!$C:$C,Status!$A:$A=$A128),CONCATENATE(AG$2,""*""))&gt;0,countif(filter(Status!$C:$C,Status!$A:$A=$A128),CONCATENATE(AG$2,""*"")),"""")"),"")</f>
        <v/>
      </c>
      <c r="AH128" s="23" t="str">
        <f>IFERROR(__xludf.DUMMYFUNCTION("if(countif(filter(Status!$C:$C,Status!$A:$A=$A128),CONCATENATE(AH$2,""*""))&gt;0,countif(filter(Status!$C:$C,Status!$A:$A=$A128),CONCATENATE(AH$2,""*"")),"""")"),"")</f>
        <v/>
      </c>
      <c r="AI128" s="23" t="str">
        <f>IFERROR(__xludf.DUMMYFUNCTION("if(countif(filter(Status!$C:$C,Status!$A:$A=$A128),CONCATENATE(AI$2,""*""))&gt;0,countif(filter(Status!$C:$C,Status!$A:$A=$A128),CONCATENATE(AI$2,""*"")),"""")"),"")</f>
        <v/>
      </c>
      <c r="AJ128" s="23" t="str">
        <f>IFERROR(__xludf.DUMMYFUNCTION("if(countif(filter(Status!$C:$C,Status!$A:$A=$A128),CONCATENATE(AJ$2,""*""))&gt;0,countif(filter(Status!$C:$C,Status!$A:$A=$A128),CONCATENATE(AJ$2,""*"")),"""")"),"")</f>
        <v/>
      </c>
      <c r="AK128" s="23" t="str">
        <f>IFERROR(__xludf.DUMMYFUNCTION("if(countif(filter(Status!$C:$C,Status!$A:$A=$A128),CONCATENATE(AK$2,""*""))&gt;0,countif(filter(Status!$C:$C,Status!$A:$A=$A128),CONCATENATE(AK$2,""*"")),"""")"),"")</f>
        <v/>
      </c>
      <c r="AL128" s="23" t="str">
        <f>IFERROR(__xludf.DUMMYFUNCTION("if(countif(filter(Status!$C:$C,Status!$A:$A=$A128),CONCATENATE(AL$2,""*""))&gt;0,countif(filter(Status!$C:$C,Status!$A:$A=$A128),CONCATENATE(AL$2,""*"")),"""")"),"")</f>
        <v/>
      </c>
      <c r="AM128" s="23" t="str">
        <f>IFERROR(__xludf.DUMMYFUNCTION("if(countif(filter(Status!$C:$C,Status!$A:$A=$A128),CONCATENATE(AM$2,""*""))&gt;0,countif(filter(Status!$C:$C,Status!$A:$A=$A128),CONCATENATE(AM$2,""*"")),"""")"),"")</f>
        <v/>
      </c>
      <c r="AN128" s="23" t="str">
        <f>IFERROR(__xludf.DUMMYFUNCTION("if(countif(filter(Status!$C:$C,Status!$A:$A=$A128),CONCATENATE(AN$2,""*""))&gt;0,countif(filter(Status!$C:$C,Status!$A:$A=$A128),CONCATENATE(AN$2,""*"")),"""")"),"")</f>
        <v/>
      </c>
      <c r="AO128" s="23" t="str">
        <f>IFERROR(__xludf.DUMMYFUNCTION("if(countif(filter(Status!$C:$C,Status!$A:$A=$A128),CONCATENATE(AO$2,""*""))&gt;0,countif(filter(Status!$C:$C,Status!$A:$A=$A128),CONCATENATE(AO$2,""*"")),"""")"),"")</f>
        <v/>
      </c>
      <c r="AP128" s="23">
        <f>IFERROR(__xludf.DUMMYFUNCTION("counta(iferror(filter(Status!C:C,Status!A:A=A128)))"),12.0)</f>
        <v>12</v>
      </c>
      <c r="AQ128" s="23">
        <f t="shared" si="6"/>
        <v>12</v>
      </c>
    </row>
    <row r="129">
      <c r="A129" s="1" t="s">
        <v>1106</v>
      </c>
      <c r="B129" s="21">
        <f>IFERROR(__xludf.DUMMYFUNCTION("max(filter(Status!E:E,Status!A:A=A129))"),43895.0)</f>
        <v>43895</v>
      </c>
      <c r="C129" s="23">
        <f t="shared" si="1"/>
        <v>0.5</v>
      </c>
      <c r="D129" s="23">
        <f t="shared" si="2"/>
        <v>1</v>
      </c>
      <c r="E129" s="23" t="str">
        <f t="shared" si="3"/>
        <v/>
      </c>
      <c r="F129" s="23">
        <f t="shared" si="4"/>
        <v>0</v>
      </c>
      <c r="G129" s="25">
        <f t="shared" si="5"/>
        <v>0</v>
      </c>
      <c r="J129" s="23">
        <f>IFERROR(__xludf.DUMMYFUNCTION("COUNTA(iferror(filter(Status!H:H,Status!A:A=A129)))"),10.0)</f>
        <v>10</v>
      </c>
      <c r="K129" s="25">
        <f>IFERROR(__xludf.DUMMYFUNCTION("COUNTA(iferror(filter(Status!H:H,Status!A:A=A129,Status!H:H=TRUE)))"),5.0)</f>
        <v>5</v>
      </c>
      <c r="L129" s="23">
        <f>IFERROR(__xludf.DUMMYFUNCTION("COUNTA(iferror(filter(Status!L:L,Status!A:A=A129)))"),2.0)</f>
        <v>2</v>
      </c>
      <c r="M129" s="25">
        <f>IFERROR(__xludf.DUMMYFUNCTION("COUNTA(iferror(filter(Status!L:L,Status!A:A=A129,Status!L:L=TRUE)))"),2.0)</f>
        <v>2</v>
      </c>
      <c r="N129" s="23">
        <f>IFERROR(__xludf.DUMMYFUNCTION("COUNTA(iferror(filter(Status!N:N,Status!A:A=A129,Status!N:N=TRUE)))"),0.0)</f>
        <v>0</v>
      </c>
      <c r="O129" s="25">
        <f>IFERROR(__xludf.DUMMYFUNCTION("COUNTA(iferror(filter(Status!N:N,Status!A:A=A129,Status!N:N=TRUE)))"),0.0)</f>
        <v>0</v>
      </c>
      <c r="P129" s="23">
        <f>IFERROR(__xludf.DUMMYFUNCTION("COUNTA(iferror(filter(Status!P:P,Status!A:A=A129)))"),14.0)</f>
        <v>14</v>
      </c>
      <c r="Q129" s="25">
        <f>IFERROR(__xludf.DUMMYFUNCTION("COUNTA(iferror(filter(Status!P:P,Status!A:A=A129,Status!P:P=TRUE)))"),0.0)</f>
        <v>0</v>
      </c>
      <c r="R129" s="23">
        <f>IFERROR(__xludf.DUMMYFUNCTION("COUNTA(iferror(filter(Status!R:R,Status!A:A=A129)))"),7.0)</f>
        <v>7</v>
      </c>
      <c r="S129" s="25">
        <f>IFERROR(__xludf.DUMMYFUNCTION("COUNTA(iferror(filter(Status!R:R,Status!A:A=A129,Status!R:R=TRUE)))"),0.0)</f>
        <v>0</v>
      </c>
      <c r="V129" s="23" t="str">
        <f>IFERROR(__xludf.DUMMYFUNCTION("if((countif(filter(Status!$C:$C,Status!$A:$A=$A129),CONCATENATE(V$2,""*""))-W129)&gt;0,(countif(filter(Status!$C:$C,Status!$A:$A=$A129),CONCATENATE(V$2,""*""))-W129),"""")"),"")</f>
        <v/>
      </c>
      <c r="W129" s="23">
        <f>IFERROR(__xludf.DUMMYFUNCTION("if(countif(filter(Status!$C:$C,Status!$A:$A=$A129),CONCATENATE(W$2,""*""))&gt;0,countif(filter(Status!$C:$C,Status!$A:$A=$A129),CONCATENATE(W$2,""*"")),"""")"),2.0)</f>
        <v>2</v>
      </c>
      <c r="X129" s="23">
        <f>IFERROR(__xludf.DUMMYFUNCTION("if(countif(filter(Status!$C:$C,Status!$A:$A=$A129),CONCATENATE(X$2,""*""))&gt;0,countif(filter(Status!$C:$C,Status!$A:$A=$A129),CONCATENATE(X$2,""*"")),"""")"),5.0)</f>
        <v>5</v>
      </c>
      <c r="Y129" s="23" t="str">
        <f>IFERROR(__xludf.DUMMYFUNCTION("if(countif(filter(Status!$C:$C,Status!$A:$A=$A129),CONCATENATE(Y$2,""*""))&gt;0,countif(filter(Status!$C:$C,Status!$A:$A=$A129),CONCATENATE(Y$2,""*"")),"""")"),"")</f>
        <v/>
      </c>
      <c r="Z129" s="23" t="str">
        <f>IFERROR(__xludf.DUMMYFUNCTION("if(countif(filter(Status!$C:$C,Status!$A:$A=$A129),CONCATENATE(Z$2,""*""))&gt;0,countif(filter(Status!$C:$C,Status!$A:$A=$A129),CONCATENATE(Z$2,""*"")),"""")"),"")</f>
        <v/>
      </c>
      <c r="AA129" s="23">
        <f>IFERROR(__xludf.DUMMYFUNCTION("if((countif(filter(Status!$C:$C,Status!$A:$A=$A129),CONCATENATE(AA$2,""*""))-AB129)&gt;0,(countif(filter(Status!$C:$C,Status!$A:$A=$A129),CONCATENATE(AA$2,""*""))-AB129),"""")"),7.0)</f>
        <v>7</v>
      </c>
      <c r="AB129" s="23" t="str">
        <f>IFERROR(__xludf.DUMMYFUNCTION("if(countif(filter(Status!$C:$C,Status!$A:$A=$A129),CONCATENATE(AB$2,""*""))&gt;0,countif(filter(Status!$C:$C,Status!$A:$A=$A129),CONCATENATE(AB$2,""*"")),"""")"),"")</f>
        <v/>
      </c>
      <c r="AC129" s="23" t="str">
        <f>IFERROR(__xludf.DUMMYFUNCTION("if(countif(filter(Status!$C:$C,Status!$A:$A=$A129),CONCATENATE(AC$2,""*""))&gt;0,countif(filter(Status!$C:$C,Status!$A:$A=$A129),CONCATENATE(AC$2,""*"")),"""")"),"")</f>
        <v/>
      </c>
      <c r="AD129" s="23" t="str">
        <f>IFERROR(__xludf.DUMMYFUNCTION("if(countif(filter(Status!$C:$C,Status!$A:$A=$A129),CONCATENATE(AD$2,""*""))&gt;0,countif(filter(Status!$C:$C,Status!$A:$A=$A129),CONCATENATE(AD$2,""*"")),"""")"),"")</f>
        <v/>
      </c>
      <c r="AE129" s="23">
        <f>IFERROR(__xludf.DUMMYFUNCTION("if(countif(filter(Status!$C:$C,Status!$A:$A=$A129),CONCATENATE(AE$2,""*""))&gt;0,countif(filter(Status!$C:$C,Status!$A:$A=$A129),CONCATENATE(AE$2,""*"")),"""")"),1.0)</f>
        <v>1</v>
      </c>
      <c r="AF129" s="23" t="str">
        <f>IFERROR(__xludf.DUMMYFUNCTION("if(countif(filter(Status!$C:$C,Status!$A:$A=$A129),CONCATENATE(AF$2,""*""))&gt;0,countif(filter(Status!$C:$C,Status!$A:$A=$A129),CONCATENATE(AF$2,""*"")),"""")"),"")</f>
        <v/>
      </c>
      <c r="AG129" s="23" t="str">
        <f>IFERROR(__xludf.DUMMYFUNCTION("if(countif(filter(Status!$C:$C,Status!$A:$A=$A129),CONCATENATE(AG$2,""*""))&gt;0,countif(filter(Status!$C:$C,Status!$A:$A=$A129),CONCATENATE(AG$2,""*"")),"""")"),"")</f>
        <v/>
      </c>
      <c r="AH129" s="23" t="str">
        <f>IFERROR(__xludf.DUMMYFUNCTION("if(countif(filter(Status!$C:$C,Status!$A:$A=$A129),CONCATENATE(AH$2,""*""))&gt;0,countif(filter(Status!$C:$C,Status!$A:$A=$A129),CONCATENATE(AH$2,""*"")),"""")"),"")</f>
        <v/>
      </c>
      <c r="AI129" s="23" t="str">
        <f>IFERROR(__xludf.DUMMYFUNCTION("if(countif(filter(Status!$C:$C,Status!$A:$A=$A129),CONCATENATE(AI$2,""*""))&gt;0,countif(filter(Status!$C:$C,Status!$A:$A=$A129),CONCATENATE(AI$2,""*"")),"""")"),"")</f>
        <v/>
      </c>
      <c r="AJ129" s="23" t="str">
        <f>IFERROR(__xludf.DUMMYFUNCTION("if(countif(filter(Status!$C:$C,Status!$A:$A=$A129),CONCATENATE(AJ$2,""*""))&gt;0,countif(filter(Status!$C:$C,Status!$A:$A=$A129),CONCATENATE(AJ$2,""*"")),"""")"),"")</f>
        <v/>
      </c>
      <c r="AK129" s="23" t="str">
        <f>IFERROR(__xludf.DUMMYFUNCTION("if(countif(filter(Status!$C:$C,Status!$A:$A=$A129),CONCATENATE(AK$2,""*""))&gt;0,countif(filter(Status!$C:$C,Status!$A:$A=$A129),CONCATENATE(AK$2,""*"")),"""")"),"")</f>
        <v/>
      </c>
      <c r="AL129" s="23" t="str">
        <f>IFERROR(__xludf.DUMMYFUNCTION("if(countif(filter(Status!$C:$C,Status!$A:$A=$A129),CONCATENATE(AL$2,""*""))&gt;0,countif(filter(Status!$C:$C,Status!$A:$A=$A129),CONCATENATE(AL$2,""*"")),"""")"),"")</f>
        <v/>
      </c>
      <c r="AM129" s="23" t="str">
        <f>IFERROR(__xludf.DUMMYFUNCTION("if(countif(filter(Status!$C:$C,Status!$A:$A=$A129),CONCATENATE(AM$2,""*""))&gt;0,countif(filter(Status!$C:$C,Status!$A:$A=$A129),CONCATENATE(AM$2,""*"")),"""")"),"")</f>
        <v/>
      </c>
      <c r="AN129" s="23" t="str">
        <f>IFERROR(__xludf.DUMMYFUNCTION("if(countif(filter(Status!$C:$C,Status!$A:$A=$A129),CONCATENATE(AN$2,""*""))&gt;0,countif(filter(Status!$C:$C,Status!$A:$A=$A129),CONCATENATE(AN$2,""*"")),"""")"),"")</f>
        <v/>
      </c>
      <c r="AO129" s="23" t="str">
        <f>IFERROR(__xludf.DUMMYFUNCTION("if(countif(filter(Status!$C:$C,Status!$A:$A=$A129),CONCATENATE(AO$2,""*""))&gt;0,countif(filter(Status!$C:$C,Status!$A:$A=$A129),CONCATENATE(AO$2,""*"")),"""")"),"")</f>
        <v/>
      </c>
      <c r="AP129" s="23">
        <f>IFERROR(__xludf.DUMMYFUNCTION("counta(iferror(filter(Status!C:C,Status!A:A=A129)))"),15.0)</f>
        <v>15</v>
      </c>
      <c r="AQ129" s="23">
        <f t="shared" si="6"/>
        <v>15</v>
      </c>
    </row>
    <row r="130">
      <c r="A130" s="1" t="s">
        <v>1107</v>
      </c>
      <c r="B130" s="21">
        <f>IFERROR(__xludf.DUMMYFUNCTION("max(filter(Status!E:E,Status!A:A=A130))"),43901.0)</f>
        <v>43901</v>
      </c>
      <c r="C130" s="23">
        <f t="shared" si="1"/>
        <v>1</v>
      </c>
      <c r="D130" s="23">
        <f t="shared" si="2"/>
        <v>1</v>
      </c>
      <c r="E130" s="23" t="str">
        <f t="shared" si="3"/>
        <v/>
      </c>
      <c r="F130" s="23">
        <f t="shared" si="4"/>
        <v>0</v>
      </c>
      <c r="G130" s="25">
        <f t="shared" si="5"/>
        <v>0</v>
      </c>
      <c r="J130" s="23">
        <f>IFERROR(__xludf.DUMMYFUNCTION("COUNTA(iferror(filter(Status!H:H,Status!A:A=A130)))"),9.0)</f>
        <v>9</v>
      </c>
      <c r="K130" s="25">
        <f>IFERROR(__xludf.DUMMYFUNCTION("COUNTA(iferror(filter(Status!H:H,Status!A:A=A130,Status!H:H=TRUE)))"),9.0)</f>
        <v>9</v>
      </c>
      <c r="L130" s="23">
        <f>IFERROR(__xludf.DUMMYFUNCTION("COUNTA(iferror(filter(Status!L:L,Status!A:A=A130)))"),6.0)</f>
        <v>6</v>
      </c>
      <c r="M130" s="25">
        <f>IFERROR(__xludf.DUMMYFUNCTION("COUNTA(iferror(filter(Status!L:L,Status!A:A=A130,Status!L:L=TRUE)))"),6.0)</f>
        <v>6</v>
      </c>
      <c r="N130" s="23">
        <f>IFERROR(__xludf.DUMMYFUNCTION("COUNTA(iferror(filter(Status!N:N,Status!A:A=A130,Status!N:N=TRUE)))"),0.0)</f>
        <v>0</v>
      </c>
      <c r="O130" s="25">
        <f>IFERROR(__xludf.DUMMYFUNCTION("COUNTA(iferror(filter(Status!N:N,Status!A:A=A130,Status!N:N=TRUE)))"),0.0)</f>
        <v>0</v>
      </c>
      <c r="P130" s="23">
        <f>IFERROR(__xludf.DUMMYFUNCTION("COUNTA(iferror(filter(Status!P:P,Status!A:A=A130)))"),8.0)</f>
        <v>8</v>
      </c>
      <c r="Q130" s="25">
        <f>IFERROR(__xludf.DUMMYFUNCTION("COUNTA(iferror(filter(Status!P:P,Status!A:A=A130,Status!P:P=TRUE)))"),0.0)</f>
        <v>0</v>
      </c>
      <c r="R130" s="23">
        <f>IFERROR(__xludf.DUMMYFUNCTION("COUNTA(iferror(filter(Status!R:R,Status!A:A=A130)))"),6.0)</f>
        <v>6</v>
      </c>
      <c r="S130" s="25">
        <f>IFERROR(__xludf.DUMMYFUNCTION("COUNTA(iferror(filter(Status!R:R,Status!A:A=A130,Status!R:R=TRUE)))"),0.0)</f>
        <v>0</v>
      </c>
      <c r="V130" s="23">
        <f>IFERROR(__xludf.DUMMYFUNCTION("if((countif(filter(Status!$C:$C,Status!$A:$A=$A130),CONCATENATE(V$2,""*""))-W130)&gt;0,(countif(filter(Status!$C:$C,Status!$A:$A=$A130),CONCATENATE(V$2,""*""))-W130),"""")"),2.0)</f>
        <v>2</v>
      </c>
      <c r="W130" s="23" t="str">
        <f>IFERROR(__xludf.DUMMYFUNCTION("if(countif(filter(Status!$C:$C,Status!$A:$A=$A130),CONCATENATE(W$2,""*""))&gt;0,countif(filter(Status!$C:$C,Status!$A:$A=$A130),CONCATENATE(W$2,""*"")),"""")"),"")</f>
        <v/>
      </c>
      <c r="X130" s="23" t="str">
        <f>IFERROR(__xludf.DUMMYFUNCTION("if(countif(filter(Status!$C:$C,Status!$A:$A=$A130),CONCATENATE(X$2,""*""))&gt;0,countif(filter(Status!$C:$C,Status!$A:$A=$A130),CONCATENATE(X$2,""*"")),"""")"),"")</f>
        <v/>
      </c>
      <c r="Y130" s="23" t="str">
        <f>IFERROR(__xludf.DUMMYFUNCTION("if(countif(filter(Status!$C:$C,Status!$A:$A=$A130),CONCATENATE(Y$2,""*""))&gt;0,countif(filter(Status!$C:$C,Status!$A:$A=$A130),CONCATENATE(Y$2,""*"")),"""")"),"")</f>
        <v/>
      </c>
      <c r="Z130" s="23" t="str">
        <f>IFERROR(__xludf.DUMMYFUNCTION("if(countif(filter(Status!$C:$C,Status!$A:$A=$A130),CONCATENATE(Z$2,""*""))&gt;0,countif(filter(Status!$C:$C,Status!$A:$A=$A130),CONCATENATE(Z$2,""*"")),"""")"),"")</f>
        <v/>
      </c>
      <c r="AA130" s="23">
        <f>IFERROR(__xludf.DUMMYFUNCTION("if((countif(filter(Status!$C:$C,Status!$A:$A=$A130),CONCATENATE(AA$2,""*""))-AB130)&gt;0,(countif(filter(Status!$C:$C,Status!$A:$A=$A130),CONCATENATE(AA$2,""*""))-AB130),"""")"),2.0)</f>
        <v>2</v>
      </c>
      <c r="AB130" s="23" t="str">
        <f>IFERROR(__xludf.DUMMYFUNCTION("if(countif(filter(Status!$C:$C,Status!$A:$A=$A130),CONCATENATE(AB$2,""*""))&gt;0,countif(filter(Status!$C:$C,Status!$A:$A=$A130),CONCATENATE(AB$2,""*"")),"""")"),"")</f>
        <v/>
      </c>
      <c r="AC130" s="23" t="str">
        <f>IFERROR(__xludf.DUMMYFUNCTION("if(countif(filter(Status!$C:$C,Status!$A:$A=$A130),CONCATENATE(AC$2,""*""))&gt;0,countif(filter(Status!$C:$C,Status!$A:$A=$A130),CONCATENATE(AC$2,""*"")),"""")"),"")</f>
        <v/>
      </c>
      <c r="AD130" s="23" t="str">
        <f>IFERROR(__xludf.DUMMYFUNCTION("if(countif(filter(Status!$C:$C,Status!$A:$A=$A130),CONCATENATE(AD$2,""*""))&gt;0,countif(filter(Status!$C:$C,Status!$A:$A=$A130),CONCATENATE(AD$2,""*"")),"""")"),"")</f>
        <v/>
      </c>
      <c r="AE130" s="23">
        <f>IFERROR(__xludf.DUMMYFUNCTION("if(countif(filter(Status!$C:$C,Status!$A:$A=$A130),CONCATENATE(AE$2,""*""))&gt;0,countif(filter(Status!$C:$C,Status!$A:$A=$A130),CONCATENATE(AE$2,""*"")),"""")"),1.0)</f>
        <v>1</v>
      </c>
      <c r="AF130" s="23" t="str">
        <f>IFERROR(__xludf.DUMMYFUNCTION("if(countif(filter(Status!$C:$C,Status!$A:$A=$A130),CONCATENATE(AF$2,""*""))&gt;0,countif(filter(Status!$C:$C,Status!$A:$A=$A130),CONCATENATE(AF$2,""*"")),"""")"),"")</f>
        <v/>
      </c>
      <c r="AG130" s="23" t="str">
        <f>IFERROR(__xludf.DUMMYFUNCTION("if(countif(filter(Status!$C:$C,Status!$A:$A=$A130),CONCATENATE(AG$2,""*""))&gt;0,countif(filter(Status!$C:$C,Status!$A:$A=$A130),CONCATENATE(AG$2,""*"")),"""")"),"")</f>
        <v/>
      </c>
      <c r="AH130" s="23">
        <f>IFERROR(__xludf.DUMMYFUNCTION("if(countif(filter(Status!$C:$C,Status!$A:$A=$A130),CONCATENATE(AH$2,""*""))&gt;0,countif(filter(Status!$C:$C,Status!$A:$A=$A130),CONCATENATE(AH$2,""*"")),"""")"),1.0)</f>
        <v>1</v>
      </c>
      <c r="AI130" s="23" t="str">
        <f>IFERROR(__xludf.DUMMYFUNCTION("if(countif(filter(Status!$C:$C,Status!$A:$A=$A130),CONCATENATE(AI$2,""*""))&gt;0,countif(filter(Status!$C:$C,Status!$A:$A=$A130),CONCATENATE(AI$2,""*"")),"""")"),"")</f>
        <v/>
      </c>
      <c r="AJ130" s="23">
        <f>IFERROR(__xludf.DUMMYFUNCTION("if(countif(filter(Status!$C:$C,Status!$A:$A=$A130),CONCATENATE(AJ$2,""*""))&gt;0,countif(filter(Status!$C:$C,Status!$A:$A=$A130),CONCATENATE(AJ$2,""*"")),"""")"),1.0)</f>
        <v>1</v>
      </c>
      <c r="AK130" s="23" t="str">
        <f>IFERROR(__xludf.DUMMYFUNCTION("if(countif(filter(Status!$C:$C,Status!$A:$A=$A130),CONCATENATE(AK$2,""*""))&gt;0,countif(filter(Status!$C:$C,Status!$A:$A=$A130),CONCATENATE(AK$2,""*"")),"""")"),"")</f>
        <v/>
      </c>
      <c r="AL130" s="23" t="str">
        <f>IFERROR(__xludf.DUMMYFUNCTION("if(countif(filter(Status!$C:$C,Status!$A:$A=$A130),CONCATENATE(AL$2,""*""))&gt;0,countif(filter(Status!$C:$C,Status!$A:$A=$A130),CONCATENATE(AL$2,""*"")),"""")"),"")</f>
        <v/>
      </c>
      <c r="AM130" s="23">
        <f>IFERROR(__xludf.DUMMYFUNCTION("if(countif(filter(Status!$C:$C,Status!$A:$A=$A130),CONCATENATE(AM$2,""*""))&gt;0,countif(filter(Status!$C:$C,Status!$A:$A=$A130),CONCATENATE(AM$2,""*"")),"""")"),1.0)</f>
        <v>1</v>
      </c>
      <c r="AN130" s="23" t="str">
        <f>IFERROR(__xludf.DUMMYFUNCTION("if(countif(filter(Status!$C:$C,Status!$A:$A=$A130),CONCATENATE(AN$2,""*""))&gt;0,countif(filter(Status!$C:$C,Status!$A:$A=$A130),CONCATENATE(AN$2,""*"")),"""")"),"")</f>
        <v/>
      </c>
      <c r="AO130" s="23">
        <f>IFERROR(__xludf.DUMMYFUNCTION("if(countif(filter(Status!$C:$C,Status!$A:$A=$A130),CONCATENATE(AO$2,""*""))&gt;0,countif(filter(Status!$C:$C,Status!$A:$A=$A130),CONCATENATE(AO$2,""*"")),"""")"),1.0)</f>
        <v>1</v>
      </c>
      <c r="AP130" s="23">
        <f>IFERROR(__xludf.DUMMYFUNCTION("counta(iferror(filter(Status!C:C,Status!A:A=A130)))"),9.0)</f>
        <v>9</v>
      </c>
      <c r="AQ130" s="23">
        <f t="shared" si="6"/>
        <v>9</v>
      </c>
    </row>
    <row r="131">
      <c r="A131" s="1" t="s">
        <v>1108</v>
      </c>
      <c r="B131" s="21">
        <f>IFERROR(__xludf.DUMMYFUNCTION("max(filter(Status!E:E,Status!A:A=A131))"),43902.0)</f>
        <v>43902</v>
      </c>
      <c r="C131" s="23">
        <f t="shared" si="1"/>
        <v>1</v>
      </c>
      <c r="D131" s="23">
        <f t="shared" si="2"/>
        <v>1</v>
      </c>
      <c r="E131" s="23" t="str">
        <f t="shared" si="3"/>
        <v/>
      </c>
      <c r="F131" s="23">
        <f t="shared" si="4"/>
        <v>0</v>
      </c>
      <c r="G131" s="25">
        <f t="shared" si="5"/>
        <v>0</v>
      </c>
      <c r="J131" s="23">
        <f>IFERROR(__xludf.DUMMYFUNCTION("COUNTA(iferror(filter(Status!H:H,Status!A:A=A131)))"),6.0)</f>
        <v>6</v>
      </c>
      <c r="K131" s="25">
        <f>IFERROR(__xludf.DUMMYFUNCTION("COUNTA(iferror(filter(Status!H:H,Status!A:A=A131,Status!H:H=TRUE)))"),6.0)</f>
        <v>6</v>
      </c>
      <c r="L131" s="23">
        <f>IFERROR(__xludf.DUMMYFUNCTION("COUNTA(iferror(filter(Status!L:L,Status!A:A=A131)))"),3.0)</f>
        <v>3</v>
      </c>
      <c r="M131" s="25">
        <f>IFERROR(__xludf.DUMMYFUNCTION("COUNTA(iferror(filter(Status!L:L,Status!A:A=A131,Status!L:L=TRUE)))"),3.0)</f>
        <v>3</v>
      </c>
      <c r="N131" s="23">
        <f>IFERROR(__xludf.DUMMYFUNCTION("COUNTA(iferror(filter(Status!N:N,Status!A:A=A131,Status!N:N=TRUE)))"),0.0)</f>
        <v>0</v>
      </c>
      <c r="O131" s="25">
        <f>IFERROR(__xludf.DUMMYFUNCTION("COUNTA(iferror(filter(Status!N:N,Status!A:A=A131,Status!N:N=TRUE)))"),0.0)</f>
        <v>0</v>
      </c>
      <c r="P131" s="23">
        <f>IFERROR(__xludf.DUMMYFUNCTION("COUNTA(iferror(filter(Status!P:P,Status!A:A=A131)))"),10.0)</f>
        <v>10</v>
      </c>
      <c r="Q131" s="25">
        <f>IFERROR(__xludf.DUMMYFUNCTION("COUNTA(iferror(filter(Status!P:P,Status!A:A=A131,Status!P:P=TRUE)))"),0.0)</f>
        <v>0</v>
      </c>
      <c r="R131" s="23">
        <f>IFERROR(__xludf.DUMMYFUNCTION("COUNTA(iferror(filter(Status!R:R,Status!A:A=A131)))"),8.0)</f>
        <v>8</v>
      </c>
      <c r="S131" s="25">
        <f>IFERROR(__xludf.DUMMYFUNCTION("COUNTA(iferror(filter(Status!R:R,Status!A:A=A131,Status!R:R=TRUE)))"),0.0)</f>
        <v>0</v>
      </c>
      <c r="V131" s="23" t="str">
        <f>IFERROR(__xludf.DUMMYFUNCTION("if((countif(filter(Status!$C:$C,Status!$A:$A=$A131),CONCATENATE(V$2,""*""))-W131)&gt;0,(countif(filter(Status!$C:$C,Status!$A:$A=$A131),CONCATENATE(V$2,""*""))-W131),"""")"),"")</f>
        <v/>
      </c>
      <c r="W131" s="23">
        <f>IFERROR(__xludf.DUMMYFUNCTION("if(countif(filter(Status!$C:$C,Status!$A:$A=$A131),CONCATENATE(W$2,""*""))&gt;0,countif(filter(Status!$C:$C,Status!$A:$A=$A131),CONCATENATE(W$2,""*"")),"""")"),2.0)</f>
        <v>2</v>
      </c>
      <c r="X131" s="23">
        <f>IFERROR(__xludf.DUMMYFUNCTION("if(countif(filter(Status!$C:$C,Status!$A:$A=$A131),CONCATENATE(X$2,""*""))&gt;0,countif(filter(Status!$C:$C,Status!$A:$A=$A131),CONCATENATE(X$2,""*"")),"""")"),5.0)</f>
        <v>5</v>
      </c>
      <c r="Y131" s="23" t="str">
        <f>IFERROR(__xludf.DUMMYFUNCTION("if(countif(filter(Status!$C:$C,Status!$A:$A=$A131),CONCATENATE(Y$2,""*""))&gt;0,countif(filter(Status!$C:$C,Status!$A:$A=$A131),CONCATENATE(Y$2,""*"")),"""")"),"")</f>
        <v/>
      </c>
      <c r="Z131" s="23" t="str">
        <f>IFERROR(__xludf.DUMMYFUNCTION("if(countif(filter(Status!$C:$C,Status!$A:$A=$A131),CONCATENATE(Z$2,""*""))&gt;0,countif(filter(Status!$C:$C,Status!$A:$A=$A131),CONCATENATE(Z$2,""*"")),"""")"),"")</f>
        <v/>
      </c>
      <c r="AA131" s="23">
        <f>IFERROR(__xludf.DUMMYFUNCTION("if((countif(filter(Status!$C:$C,Status!$A:$A=$A131),CONCATENATE(AA$2,""*""))-AB131)&gt;0,(countif(filter(Status!$C:$C,Status!$A:$A=$A131),CONCATENATE(AA$2,""*""))-AB131),"""")"),2.0)</f>
        <v>2</v>
      </c>
      <c r="AB131" s="23" t="str">
        <f>IFERROR(__xludf.DUMMYFUNCTION("if(countif(filter(Status!$C:$C,Status!$A:$A=$A131),CONCATENATE(AB$2,""*""))&gt;0,countif(filter(Status!$C:$C,Status!$A:$A=$A131),CONCATENATE(AB$2,""*"")),"""")"),"")</f>
        <v/>
      </c>
      <c r="AC131" s="23" t="str">
        <f>IFERROR(__xludf.DUMMYFUNCTION("if(countif(filter(Status!$C:$C,Status!$A:$A=$A131),CONCATENATE(AC$2,""*""))&gt;0,countif(filter(Status!$C:$C,Status!$A:$A=$A131),CONCATENATE(AC$2,""*"")),"""")"),"")</f>
        <v/>
      </c>
      <c r="AD131" s="23" t="str">
        <f>IFERROR(__xludf.DUMMYFUNCTION("if(countif(filter(Status!$C:$C,Status!$A:$A=$A131),CONCATENATE(AD$2,""*""))&gt;0,countif(filter(Status!$C:$C,Status!$A:$A=$A131),CONCATENATE(AD$2,""*"")),"""")"),"")</f>
        <v/>
      </c>
      <c r="AE131" s="23">
        <f>IFERROR(__xludf.DUMMYFUNCTION("if(countif(filter(Status!$C:$C,Status!$A:$A=$A131),CONCATENATE(AE$2,""*""))&gt;0,countif(filter(Status!$C:$C,Status!$A:$A=$A131),CONCATENATE(AE$2,""*"")),"""")"),1.0)</f>
        <v>1</v>
      </c>
      <c r="AF131" s="23">
        <f>IFERROR(__xludf.DUMMYFUNCTION("if(countif(filter(Status!$C:$C,Status!$A:$A=$A131),CONCATENATE(AF$2,""*""))&gt;0,countif(filter(Status!$C:$C,Status!$A:$A=$A131),CONCATENATE(AF$2,""*"")),"""")"),1.0)</f>
        <v>1</v>
      </c>
      <c r="AG131" s="23" t="str">
        <f>IFERROR(__xludf.DUMMYFUNCTION("if(countif(filter(Status!$C:$C,Status!$A:$A=$A131),CONCATENATE(AG$2,""*""))&gt;0,countif(filter(Status!$C:$C,Status!$A:$A=$A131),CONCATENATE(AG$2,""*"")),"""")"),"")</f>
        <v/>
      </c>
      <c r="AH131" s="23" t="str">
        <f>IFERROR(__xludf.DUMMYFUNCTION("if(countif(filter(Status!$C:$C,Status!$A:$A=$A131),CONCATENATE(AH$2,""*""))&gt;0,countif(filter(Status!$C:$C,Status!$A:$A=$A131),CONCATENATE(AH$2,""*"")),"""")"),"")</f>
        <v/>
      </c>
      <c r="AI131" s="23" t="str">
        <f>IFERROR(__xludf.DUMMYFUNCTION("if(countif(filter(Status!$C:$C,Status!$A:$A=$A131),CONCATENATE(AI$2,""*""))&gt;0,countif(filter(Status!$C:$C,Status!$A:$A=$A131),CONCATENATE(AI$2,""*"")),"""")"),"")</f>
        <v/>
      </c>
      <c r="AJ131" s="23" t="str">
        <f>IFERROR(__xludf.DUMMYFUNCTION("if(countif(filter(Status!$C:$C,Status!$A:$A=$A131),CONCATENATE(AJ$2,""*""))&gt;0,countif(filter(Status!$C:$C,Status!$A:$A=$A131),CONCATENATE(AJ$2,""*"")),"""")"),"")</f>
        <v/>
      </c>
      <c r="AK131" s="23" t="str">
        <f>IFERROR(__xludf.DUMMYFUNCTION("if(countif(filter(Status!$C:$C,Status!$A:$A=$A131),CONCATENATE(AK$2,""*""))&gt;0,countif(filter(Status!$C:$C,Status!$A:$A=$A131),CONCATENATE(AK$2,""*"")),"""")"),"")</f>
        <v/>
      </c>
      <c r="AL131" s="23" t="str">
        <f>IFERROR(__xludf.DUMMYFUNCTION("if(countif(filter(Status!$C:$C,Status!$A:$A=$A131),CONCATENATE(AL$2,""*""))&gt;0,countif(filter(Status!$C:$C,Status!$A:$A=$A131),CONCATENATE(AL$2,""*"")),"""")"),"")</f>
        <v/>
      </c>
      <c r="AM131" s="23" t="str">
        <f>IFERROR(__xludf.DUMMYFUNCTION("if(countif(filter(Status!$C:$C,Status!$A:$A=$A131),CONCATENATE(AM$2,""*""))&gt;0,countif(filter(Status!$C:$C,Status!$A:$A=$A131),CONCATENATE(AM$2,""*"")),"""")"),"")</f>
        <v/>
      </c>
      <c r="AN131" s="23" t="str">
        <f>IFERROR(__xludf.DUMMYFUNCTION("if(countif(filter(Status!$C:$C,Status!$A:$A=$A131),CONCATENATE(AN$2,""*""))&gt;0,countif(filter(Status!$C:$C,Status!$A:$A=$A131),CONCATENATE(AN$2,""*"")),"""")"),"")</f>
        <v/>
      </c>
      <c r="AO131" s="23" t="str">
        <f>IFERROR(__xludf.DUMMYFUNCTION("if(countif(filter(Status!$C:$C,Status!$A:$A=$A131),CONCATENATE(AO$2,""*""))&gt;0,countif(filter(Status!$C:$C,Status!$A:$A=$A131),CONCATENATE(AO$2,""*"")),"""")"),"")</f>
        <v/>
      </c>
      <c r="AP131" s="23">
        <f>IFERROR(__xludf.DUMMYFUNCTION("counta(iferror(filter(Status!C:C,Status!A:A=A131)))"),11.0)</f>
        <v>11</v>
      </c>
      <c r="AQ131" s="23">
        <f t="shared" si="6"/>
        <v>11</v>
      </c>
    </row>
    <row r="132">
      <c r="A132" s="1" t="s">
        <v>1111</v>
      </c>
      <c r="B132" s="21">
        <f>IFERROR(__xludf.DUMMYFUNCTION("max(filter(Status!E:E,Status!A:A=A132))"),43906.0)</f>
        <v>43906</v>
      </c>
      <c r="C132" s="23">
        <f t="shared" si="1"/>
        <v>0</v>
      </c>
      <c r="D132" s="23">
        <f t="shared" si="2"/>
        <v>0.625</v>
      </c>
      <c r="E132" s="23" t="str">
        <f t="shared" si="3"/>
        <v/>
      </c>
      <c r="F132" s="23">
        <f t="shared" si="4"/>
        <v>0</v>
      </c>
      <c r="G132" s="25">
        <f t="shared" si="5"/>
        <v>0</v>
      </c>
      <c r="J132" s="23">
        <f>IFERROR(__xludf.DUMMYFUNCTION("COUNTA(iferror(filter(Status!H:H,Status!A:A=A132)))"),11.0)</f>
        <v>11</v>
      </c>
      <c r="K132" s="25">
        <f>IFERROR(__xludf.DUMMYFUNCTION("COUNTA(iferror(filter(Status!H:H,Status!A:A=A132,Status!H:H=TRUE)))"),0.0)</f>
        <v>0</v>
      </c>
      <c r="L132" s="23">
        <f>IFERROR(__xludf.DUMMYFUNCTION("COUNTA(iferror(filter(Status!L:L,Status!A:A=A132)))"),8.0)</f>
        <v>8</v>
      </c>
      <c r="M132" s="25">
        <f>IFERROR(__xludf.DUMMYFUNCTION("COUNTA(iferror(filter(Status!L:L,Status!A:A=A132,Status!L:L=TRUE)))"),5.0)</f>
        <v>5</v>
      </c>
      <c r="N132" s="23">
        <f>IFERROR(__xludf.DUMMYFUNCTION("COUNTA(iferror(filter(Status!N:N,Status!A:A=A132,Status!N:N=TRUE)))"),0.0)</f>
        <v>0</v>
      </c>
      <c r="O132" s="25">
        <f>IFERROR(__xludf.DUMMYFUNCTION("COUNTA(iferror(filter(Status!N:N,Status!A:A=A132,Status!N:N=TRUE)))"),0.0)</f>
        <v>0</v>
      </c>
      <c r="P132" s="23">
        <f>IFERROR(__xludf.DUMMYFUNCTION("COUNTA(iferror(filter(Status!P:P,Status!A:A=A132)))"),11.0)</f>
        <v>11</v>
      </c>
      <c r="Q132" s="25">
        <f>IFERROR(__xludf.DUMMYFUNCTION("COUNTA(iferror(filter(Status!P:P,Status!A:A=A132,Status!P:P=TRUE)))"),0.0)</f>
        <v>0</v>
      </c>
      <c r="R132" s="23">
        <f>IFERROR(__xludf.DUMMYFUNCTION("COUNTA(iferror(filter(Status!R:R,Status!A:A=A132)))"),8.0)</f>
        <v>8</v>
      </c>
      <c r="S132" s="25">
        <f>IFERROR(__xludf.DUMMYFUNCTION("COUNTA(iferror(filter(Status!R:R,Status!A:A=A132,Status!R:R=TRUE)))"),0.0)</f>
        <v>0</v>
      </c>
      <c r="V132" s="23" t="str">
        <f>IFERROR(__xludf.DUMMYFUNCTION("if((countif(filter(Status!$C:$C,Status!$A:$A=$A132),CONCATENATE(V$2,""*""))-W132)&gt;0,(countif(filter(Status!$C:$C,Status!$A:$A=$A132),CONCATENATE(V$2,""*""))-W132),"""")"),"")</f>
        <v/>
      </c>
      <c r="W132" s="23">
        <f>IFERROR(__xludf.DUMMYFUNCTION("if(countif(filter(Status!$C:$C,Status!$A:$A=$A132),CONCATENATE(W$2,""*""))&gt;0,countif(filter(Status!$C:$C,Status!$A:$A=$A132),CONCATENATE(W$2,""*"")),"""")"),2.0)</f>
        <v>2</v>
      </c>
      <c r="X132" s="23" t="str">
        <f>IFERROR(__xludf.DUMMYFUNCTION("if(countif(filter(Status!$C:$C,Status!$A:$A=$A132),CONCATENATE(X$2,""*""))&gt;0,countif(filter(Status!$C:$C,Status!$A:$A=$A132),CONCATENATE(X$2,""*"")),"""")"),"")</f>
        <v/>
      </c>
      <c r="Y132" s="23" t="str">
        <f>IFERROR(__xludf.DUMMYFUNCTION("if(countif(filter(Status!$C:$C,Status!$A:$A=$A132),CONCATENATE(Y$2,""*""))&gt;0,countif(filter(Status!$C:$C,Status!$A:$A=$A132),CONCATENATE(Y$2,""*"")),"""")"),"")</f>
        <v/>
      </c>
      <c r="Z132" s="23" t="str">
        <f>IFERROR(__xludf.DUMMYFUNCTION("if(countif(filter(Status!$C:$C,Status!$A:$A=$A132),CONCATENATE(Z$2,""*""))&gt;0,countif(filter(Status!$C:$C,Status!$A:$A=$A132),CONCATENATE(Z$2,""*"")),"""")"),"")</f>
        <v/>
      </c>
      <c r="AA132" s="23">
        <f>IFERROR(__xludf.DUMMYFUNCTION("if((countif(filter(Status!$C:$C,Status!$A:$A=$A132),CONCATENATE(AA$2,""*""))-AB132)&gt;0,(countif(filter(Status!$C:$C,Status!$A:$A=$A132),CONCATENATE(AA$2,""*""))-AB132),"""")"),3.0)</f>
        <v>3</v>
      </c>
      <c r="AB132" s="23" t="str">
        <f>IFERROR(__xludf.DUMMYFUNCTION("if(countif(filter(Status!$C:$C,Status!$A:$A=$A132),CONCATENATE(AB$2,""*""))&gt;0,countif(filter(Status!$C:$C,Status!$A:$A=$A132),CONCATENATE(AB$2,""*"")),"""")"),"")</f>
        <v/>
      </c>
      <c r="AC132" s="23" t="str">
        <f>IFERROR(__xludf.DUMMYFUNCTION("if(countif(filter(Status!$C:$C,Status!$A:$A=$A132),CONCATENATE(AC$2,""*""))&gt;0,countif(filter(Status!$C:$C,Status!$A:$A=$A132),CONCATENATE(AC$2,""*"")),"""")"),"")</f>
        <v/>
      </c>
      <c r="AD132" s="23" t="str">
        <f>IFERROR(__xludf.DUMMYFUNCTION("if(countif(filter(Status!$C:$C,Status!$A:$A=$A132),CONCATENATE(AD$2,""*""))&gt;0,countif(filter(Status!$C:$C,Status!$A:$A=$A132),CONCATENATE(AD$2,""*"")),"""")"),"")</f>
        <v/>
      </c>
      <c r="AE132" s="23" t="str">
        <f>IFERROR(__xludf.DUMMYFUNCTION("if(countif(filter(Status!$C:$C,Status!$A:$A=$A132),CONCATENATE(AE$2,""*""))&gt;0,countif(filter(Status!$C:$C,Status!$A:$A=$A132),CONCATENATE(AE$2,""*"")),"""")"),"")</f>
        <v/>
      </c>
      <c r="AF132" s="23" t="str">
        <f>IFERROR(__xludf.DUMMYFUNCTION("if(countif(filter(Status!$C:$C,Status!$A:$A=$A132),CONCATENATE(AF$2,""*""))&gt;0,countif(filter(Status!$C:$C,Status!$A:$A=$A132),CONCATENATE(AF$2,""*"")),"""")"),"")</f>
        <v/>
      </c>
      <c r="AG132" s="23" t="str">
        <f>IFERROR(__xludf.DUMMYFUNCTION("if(countif(filter(Status!$C:$C,Status!$A:$A=$A132),CONCATENATE(AG$2,""*""))&gt;0,countif(filter(Status!$C:$C,Status!$A:$A=$A132),CONCATENATE(AG$2,""*"")),"""")"),"")</f>
        <v/>
      </c>
      <c r="AH132" s="23" t="str">
        <f>IFERROR(__xludf.DUMMYFUNCTION("if(countif(filter(Status!$C:$C,Status!$A:$A=$A132),CONCATENATE(AH$2,""*""))&gt;0,countif(filter(Status!$C:$C,Status!$A:$A=$A132),CONCATENATE(AH$2,""*"")),"""")"),"")</f>
        <v/>
      </c>
      <c r="AI132" s="23" t="str">
        <f>IFERROR(__xludf.DUMMYFUNCTION("if(countif(filter(Status!$C:$C,Status!$A:$A=$A132),CONCATENATE(AI$2,""*""))&gt;0,countif(filter(Status!$C:$C,Status!$A:$A=$A132),CONCATENATE(AI$2,""*"")),"""")"),"")</f>
        <v/>
      </c>
      <c r="AJ132" s="23" t="str">
        <f>IFERROR(__xludf.DUMMYFUNCTION("if(countif(filter(Status!$C:$C,Status!$A:$A=$A132),CONCATENATE(AJ$2,""*""))&gt;0,countif(filter(Status!$C:$C,Status!$A:$A=$A132),CONCATENATE(AJ$2,""*"")),"""")"),"")</f>
        <v/>
      </c>
      <c r="AK132" s="23" t="str">
        <f>IFERROR(__xludf.DUMMYFUNCTION("if(countif(filter(Status!$C:$C,Status!$A:$A=$A132),CONCATENATE(AK$2,""*""))&gt;0,countif(filter(Status!$C:$C,Status!$A:$A=$A132),CONCATENATE(AK$2,""*"")),"""")"),"")</f>
        <v/>
      </c>
      <c r="AL132" s="23">
        <f>IFERROR(__xludf.DUMMYFUNCTION("if(countif(filter(Status!$C:$C,Status!$A:$A=$A132),CONCATENATE(AL$2,""*""))&gt;0,countif(filter(Status!$C:$C,Status!$A:$A=$A132),CONCATENATE(AL$2,""*"")),"""")"),1.0)</f>
        <v>1</v>
      </c>
      <c r="AM132" s="23">
        <f>IFERROR(__xludf.DUMMYFUNCTION("if(countif(filter(Status!$C:$C,Status!$A:$A=$A132),CONCATENATE(AM$2,""*""))&gt;0,countif(filter(Status!$C:$C,Status!$A:$A=$A132),CONCATENATE(AM$2,""*"")),"""")"),2.0)</f>
        <v>2</v>
      </c>
      <c r="AN132" s="23">
        <f>IFERROR(__xludf.DUMMYFUNCTION("if(countif(filter(Status!$C:$C,Status!$A:$A=$A132),CONCATENATE(AN$2,""*""))&gt;0,countif(filter(Status!$C:$C,Status!$A:$A=$A132),CONCATENATE(AN$2,""*"")),"""")"),2.0)</f>
        <v>2</v>
      </c>
      <c r="AO132" s="23">
        <f>IFERROR(__xludf.DUMMYFUNCTION("if(countif(filter(Status!$C:$C,Status!$A:$A=$A132),CONCATENATE(AO$2,""*""))&gt;0,countif(filter(Status!$C:$C,Status!$A:$A=$A132),CONCATENATE(AO$2,""*"")),"""")"),1.0)</f>
        <v>1</v>
      </c>
      <c r="AP132" s="23">
        <f>IFERROR(__xludf.DUMMYFUNCTION("counta(iferror(filter(Status!C:C,Status!A:A=A132)))"),11.0)</f>
        <v>11</v>
      </c>
      <c r="AQ132" s="23">
        <f t="shared" si="6"/>
        <v>11</v>
      </c>
    </row>
    <row r="133">
      <c r="A133" s="1" t="s">
        <v>1112</v>
      </c>
      <c r="B133" s="21">
        <f>IFERROR(__xludf.DUMMYFUNCTION("max(filter(Status!E:E,Status!A:A=A133))"),43907.0)</f>
        <v>43907</v>
      </c>
      <c r="C133" s="23">
        <f t="shared" si="1"/>
        <v>0</v>
      </c>
      <c r="D133" s="23">
        <f t="shared" si="2"/>
        <v>1</v>
      </c>
      <c r="E133" s="23" t="str">
        <f t="shared" si="3"/>
        <v/>
      </c>
      <c r="F133" s="23">
        <f t="shared" si="4"/>
        <v>0</v>
      </c>
      <c r="G133" s="25">
        <f t="shared" si="5"/>
        <v>0</v>
      </c>
      <c r="J133" s="23">
        <f>IFERROR(__xludf.DUMMYFUNCTION("COUNTA(iferror(filter(Status!H:H,Status!A:A=A133)))"),2.0)</f>
        <v>2</v>
      </c>
      <c r="K133" s="25">
        <f>IFERROR(__xludf.DUMMYFUNCTION("COUNTA(iferror(filter(Status!H:H,Status!A:A=A133,Status!H:H=TRUE)))"),0.0)</f>
        <v>0</v>
      </c>
      <c r="L133" s="23">
        <f>IFERROR(__xludf.DUMMYFUNCTION("COUNTA(iferror(filter(Status!L:L,Status!A:A=A133)))"),1.0)</f>
        <v>1</v>
      </c>
      <c r="M133" s="25">
        <f>IFERROR(__xludf.DUMMYFUNCTION("COUNTA(iferror(filter(Status!L:L,Status!A:A=A133,Status!L:L=TRUE)))"),1.0)</f>
        <v>1</v>
      </c>
      <c r="N133" s="23">
        <f>IFERROR(__xludf.DUMMYFUNCTION("COUNTA(iferror(filter(Status!N:N,Status!A:A=A133,Status!N:N=TRUE)))"),0.0)</f>
        <v>0</v>
      </c>
      <c r="O133" s="25">
        <f>IFERROR(__xludf.DUMMYFUNCTION("COUNTA(iferror(filter(Status!N:N,Status!A:A=A133,Status!N:N=TRUE)))"),0.0)</f>
        <v>0</v>
      </c>
      <c r="P133" s="23">
        <f>IFERROR(__xludf.DUMMYFUNCTION("COUNTA(iferror(filter(Status!P:P,Status!A:A=A133)))"),6.0)</f>
        <v>6</v>
      </c>
      <c r="Q133" s="25">
        <f>IFERROR(__xludf.DUMMYFUNCTION("COUNTA(iferror(filter(Status!P:P,Status!A:A=A133,Status!P:P=TRUE)))"),0.0)</f>
        <v>0</v>
      </c>
      <c r="R133" s="23">
        <f>IFERROR(__xludf.DUMMYFUNCTION("COUNTA(iferror(filter(Status!R:R,Status!A:A=A133)))"),5.0)</f>
        <v>5</v>
      </c>
      <c r="S133" s="25">
        <f>IFERROR(__xludf.DUMMYFUNCTION("COUNTA(iferror(filter(Status!R:R,Status!A:A=A133,Status!R:R=TRUE)))"),0.0)</f>
        <v>0</v>
      </c>
      <c r="V133" s="23" t="str">
        <f>IFERROR(__xludf.DUMMYFUNCTION("if((countif(filter(Status!$C:$C,Status!$A:$A=$A133),CONCATENATE(V$2,""*""))-W133)&gt;0,(countif(filter(Status!$C:$C,Status!$A:$A=$A133),CONCATENATE(V$2,""*""))-W133),"""")"),"")</f>
        <v/>
      </c>
      <c r="W133" s="23" t="str">
        <f>IFERROR(__xludf.DUMMYFUNCTION("if(countif(filter(Status!$C:$C,Status!$A:$A=$A133),CONCATENATE(W$2,""*""))&gt;0,countif(filter(Status!$C:$C,Status!$A:$A=$A133),CONCATENATE(W$2,""*"")),"""")"),"")</f>
        <v/>
      </c>
      <c r="X133" s="23">
        <f>IFERROR(__xludf.DUMMYFUNCTION("if(countif(filter(Status!$C:$C,Status!$A:$A=$A133),CONCATENATE(X$2,""*""))&gt;0,countif(filter(Status!$C:$C,Status!$A:$A=$A133),CONCATENATE(X$2,""*"")),"""")"),4.0)</f>
        <v>4</v>
      </c>
      <c r="Y133" s="23" t="str">
        <f>IFERROR(__xludf.DUMMYFUNCTION("if(countif(filter(Status!$C:$C,Status!$A:$A=$A133),CONCATENATE(Y$2,""*""))&gt;0,countif(filter(Status!$C:$C,Status!$A:$A=$A133),CONCATENATE(Y$2,""*"")),"""")"),"")</f>
        <v/>
      </c>
      <c r="Z133" s="23" t="str">
        <f>IFERROR(__xludf.DUMMYFUNCTION("if(countif(filter(Status!$C:$C,Status!$A:$A=$A133),CONCATENATE(Z$2,""*""))&gt;0,countif(filter(Status!$C:$C,Status!$A:$A=$A133),CONCATENATE(Z$2,""*"")),"""")"),"")</f>
        <v/>
      </c>
      <c r="AA133" s="23">
        <f>IFERROR(__xludf.DUMMYFUNCTION("if((countif(filter(Status!$C:$C,Status!$A:$A=$A133),CONCATENATE(AA$2,""*""))-AB133)&gt;0,(countif(filter(Status!$C:$C,Status!$A:$A=$A133),CONCATENATE(AA$2,""*""))-AB133),"""")"),1.0)</f>
        <v>1</v>
      </c>
      <c r="AB133" s="23" t="str">
        <f>IFERROR(__xludf.DUMMYFUNCTION("if(countif(filter(Status!$C:$C,Status!$A:$A=$A133),CONCATENATE(AB$2,""*""))&gt;0,countif(filter(Status!$C:$C,Status!$A:$A=$A133),CONCATENATE(AB$2,""*"")),"""")"),"")</f>
        <v/>
      </c>
      <c r="AC133" s="23" t="str">
        <f>IFERROR(__xludf.DUMMYFUNCTION("if(countif(filter(Status!$C:$C,Status!$A:$A=$A133),CONCATENATE(AC$2,""*""))&gt;0,countif(filter(Status!$C:$C,Status!$A:$A=$A133),CONCATENATE(AC$2,""*"")),"""")"),"")</f>
        <v/>
      </c>
      <c r="AD133" s="23" t="str">
        <f>IFERROR(__xludf.DUMMYFUNCTION("if(countif(filter(Status!$C:$C,Status!$A:$A=$A133),CONCATENATE(AD$2,""*""))&gt;0,countif(filter(Status!$C:$C,Status!$A:$A=$A133),CONCATENATE(AD$2,""*"")),"""")"),"")</f>
        <v/>
      </c>
      <c r="AE133" s="23" t="str">
        <f>IFERROR(__xludf.DUMMYFUNCTION("if(countif(filter(Status!$C:$C,Status!$A:$A=$A133),CONCATENATE(AE$2,""*""))&gt;0,countif(filter(Status!$C:$C,Status!$A:$A=$A133),CONCATENATE(AE$2,""*"")),"""")"),"")</f>
        <v/>
      </c>
      <c r="AF133" s="23">
        <f>IFERROR(__xludf.DUMMYFUNCTION("if(countif(filter(Status!$C:$C,Status!$A:$A=$A133),CONCATENATE(AF$2,""*""))&gt;0,countif(filter(Status!$C:$C,Status!$A:$A=$A133),CONCATENATE(AF$2,""*"")),"""")"),1.0)</f>
        <v>1</v>
      </c>
      <c r="AG133" s="23" t="str">
        <f>IFERROR(__xludf.DUMMYFUNCTION("if(countif(filter(Status!$C:$C,Status!$A:$A=$A133),CONCATENATE(AG$2,""*""))&gt;0,countif(filter(Status!$C:$C,Status!$A:$A=$A133),CONCATENATE(AG$2,""*"")),"""")"),"")</f>
        <v/>
      </c>
      <c r="AH133" s="23" t="str">
        <f>IFERROR(__xludf.DUMMYFUNCTION("if(countif(filter(Status!$C:$C,Status!$A:$A=$A133),CONCATENATE(AH$2,""*""))&gt;0,countif(filter(Status!$C:$C,Status!$A:$A=$A133),CONCATENATE(AH$2,""*"")),"""")"),"")</f>
        <v/>
      </c>
      <c r="AI133" s="23" t="str">
        <f>IFERROR(__xludf.DUMMYFUNCTION("if(countif(filter(Status!$C:$C,Status!$A:$A=$A133),CONCATENATE(AI$2,""*""))&gt;0,countif(filter(Status!$C:$C,Status!$A:$A=$A133),CONCATENATE(AI$2,""*"")),"""")"),"")</f>
        <v/>
      </c>
      <c r="AJ133" s="23" t="str">
        <f>IFERROR(__xludf.DUMMYFUNCTION("if(countif(filter(Status!$C:$C,Status!$A:$A=$A133),CONCATENATE(AJ$2,""*""))&gt;0,countif(filter(Status!$C:$C,Status!$A:$A=$A133),CONCATENATE(AJ$2,""*"")),"""")"),"")</f>
        <v/>
      </c>
      <c r="AK133" s="23" t="str">
        <f>IFERROR(__xludf.DUMMYFUNCTION("if(countif(filter(Status!$C:$C,Status!$A:$A=$A133),CONCATENATE(AK$2,""*""))&gt;0,countif(filter(Status!$C:$C,Status!$A:$A=$A133),CONCATENATE(AK$2,""*"")),"""")"),"")</f>
        <v/>
      </c>
      <c r="AL133" s="23" t="str">
        <f>IFERROR(__xludf.DUMMYFUNCTION("if(countif(filter(Status!$C:$C,Status!$A:$A=$A133),CONCATENATE(AL$2,""*""))&gt;0,countif(filter(Status!$C:$C,Status!$A:$A=$A133),CONCATENATE(AL$2,""*"")),"""")"),"")</f>
        <v/>
      </c>
      <c r="AM133" s="23" t="str">
        <f>IFERROR(__xludf.DUMMYFUNCTION("if(countif(filter(Status!$C:$C,Status!$A:$A=$A133),CONCATENATE(AM$2,""*""))&gt;0,countif(filter(Status!$C:$C,Status!$A:$A=$A133),CONCATENATE(AM$2,""*"")),"""")"),"")</f>
        <v/>
      </c>
      <c r="AN133" s="23" t="str">
        <f>IFERROR(__xludf.DUMMYFUNCTION("if(countif(filter(Status!$C:$C,Status!$A:$A=$A133),CONCATENATE(AN$2,""*""))&gt;0,countif(filter(Status!$C:$C,Status!$A:$A=$A133),CONCATENATE(AN$2,""*"")),"""")"),"")</f>
        <v/>
      </c>
      <c r="AO133" s="23" t="str">
        <f>IFERROR(__xludf.DUMMYFUNCTION("if(countif(filter(Status!$C:$C,Status!$A:$A=$A133),CONCATENATE(AO$2,""*""))&gt;0,countif(filter(Status!$C:$C,Status!$A:$A=$A133),CONCATENATE(AO$2,""*"")),"""")"),"")</f>
        <v/>
      </c>
      <c r="AP133" s="23">
        <f>IFERROR(__xludf.DUMMYFUNCTION("counta(iferror(filter(Status!C:C,Status!A:A=A133)))"),6.0)</f>
        <v>6</v>
      </c>
      <c r="AQ133" s="23">
        <f t="shared" si="6"/>
        <v>6</v>
      </c>
    </row>
    <row r="134">
      <c r="A134" s="1" t="s">
        <v>1113</v>
      </c>
      <c r="B134" s="21">
        <f>IFERROR(__xludf.DUMMYFUNCTION("max(filter(Status!E:E,Status!A:A=A134))"),43908.0)</f>
        <v>43908</v>
      </c>
      <c r="C134" s="23">
        <f t="shared" si="1"/>
        <v>0</v>
      </c>
      <c r="D134" s="23">
        <f t="shared" si="2"/>
        <v>0</v>
      </c>
      <c r="E134" s="23" t="str">
        <f t="shared" si="3"/>
        <v/>
      </c>
      <c r="F134" s="23">
        <f t="shared" si="4"/>
        <v>0</v>
      </c>
      <c r="G134" s="25">
        <f t="shared" si="5"/>
        <v>0</v>
      </c>
      <c r="J134" s="23">
        <f>IFERROR(__xludf.DUMMYFUNCTION("COUNTA(iferror(filter(Status!H:H,Status!A:A=A134)))"),5.0)</f>
        <v>5</v>
      </c>
      <c r="K134" s="25">
        <f>IFERROR(__xludf.DUMMYFUNCTION("COUNTA(iferror(filter(Status!H:H,Status!A:A=A134,Status!H:H=TRUE)))"),0.0)</f>
        <v>0</v>
      </c>
      <c r="L134" s="23">
        <f>IFERROR(__xludf.DUMMYFUNCTION("COUNTA(iferror(filter(Status!L:L,Status!A:A=A134)))"),3.0)</f>
        <v>3</v>
      </c>
      <c r="M134" s="25">
        <f>IFERROR(__xludf.DUMMYFUNCTION("COUNTA(iferror(filter(Status!L:L,Status!A:A=A134,Status!L:L=TRUE)))"),0.0)</f>
        <v>0</v>
      </c>
      <c r="N134" s="23">
        <f>IFERROR(__xludf.DUMMYFUNCTION("COUNTA(iferror(filter(Status!N:N,Status!A:A=A134,Status!N:N=TRUE)))"),0.0)</f>
        <v>0</v>
      </c>
      <c r="O134" s="25">
        <f>IFERROR(__xludf.DUMMYFUNCTION("COUNTA(iferror(filter(Status!N:N,Status!A:A=A134,Status!N:N=TRUE)))"),0.0)</f>
        <v>0</v>
      </c>
      <c r="P134" s="23">
        <f>IFERROR(__xludf.DUMMYFUNCTION("COUNTA(iferror(filter(Status!P:P,Status!A:A=A134)))"),8.0)</f>
        <v>8</v>
      </c>
      <c r="Q134" s="25">
        <f>IFERROR(__xludf.DUMMYFUNCTION("COUNTA(iferror(filter(Status!P:P,Status!A:A=A134,Status!P:P=TRUE)))"),0.0)</f>
        <v>0</v>
      </c>
      <c r="R134" s="23">
        <f>IFERROR(__xludf.DUMMYFUNCTION("COUNTA(iferror(filter(Status!R:R,Status!A:A=A134)))"),6.0)</f>
        <v>6</v>
      </c>
      <c r="S134" s="25">
        <f>IFERROR(__xludf.DUMMYFUNCTION("COUNTA(iferror(filter(Status!R:R,Status!A:A=A134,Status!R:R=TRUE)))"),0.0)</f>
        <v>0</v>
      </c>
      <c r="V134" s="23">
        <f>IFERROR(__xludf.DUMMYFUNCTION("if((countif(filter(Status!$C:$C,Status!$A:$A=$A134),CONCATENATE(V$2,""*""))-W134)&gt;0,(countif(filter(Status!$C:$C,Status!$A:$A=$A134),CONCATENATE(V$2,""*""))-W134),"""")"),2.0)</f>
        <v>2</v>
      </c>
      <c r="W134" s="23" t="str">
        <f>IFERROR(__xludf.DUMMYFUNCTION("if(countif(filter(Status!$C:$C,Status!$A:$A=$A134),CONCATENATE(W$2,""*""))&gt;0,countif(filter(Status!$C:$C,Status!$A:$A=$A134),CONCATENATE(W$2,""*"")),"""")"),"")</f>
        <v/>
      </c>
      <c r="X134" s="23">
        <f>IFERROR(__xludf.DUMMYFUNCTION("if(countif(filter(Status!$C:$C,Status!$A:$A=$A134),CONCATENATE(X$2,""*""))&gt;0,countif(filter(Status!$C:$C,Status!$A:$A=$A134),CONCATENATE(X$2,""*"")),"""")"),3.0)</f>
        <v>3</v>
      </c>
      <c r="Y134" s="23" t="str">
        <f>IFERROR(__xludf.DUMMYFUNCTION("if(countif(filter(Status!$C:$C,Status!$A:$A=$A134),CONCATENATE(Y$2,""*""))&gt;0,countif(filter(Status!$C:$C,Status!$A:$A=$A134),CONCATENATE(Y$2,""*"")),"""")"),"")</f>
        <v/>
      </c>
      <c r="Z134" s="23" t="str">
        <f>IFERROR(__xludf.DUMMYFUNCTION("if(countif(filter(Status!$C:$C,Status!$A:$A=$A134),CONCATENATE(Z$2,""*""))&gt;0,countif(filter(Status!$C:$C,Status!$A:$A=$A134),CONCATENATE(Z$2,""*"")),"""")"),"")</f>
        <v/>
      </c>
      <c r="AA134" s="23">
        <f>IFERROR(__xludf.DUMMYFUNCTION("if((countif(filter(Status!$C:$C,Status!$A:$A=$A134),CONCATENATE(AA$2,""*""))-AB134)&gt;0,(countif(filter(Status!$C:$C,Status!$A:$A=$A134),CONCATENATE(AA$2,""*""))-AB134),"""")"),2.0)</f>
        <v>2</v>
      </c>
      <c r="AB134" s="23" t="str">
        <f>IFERROR(__xludf.DUMMYFUNCTION("if(countif(filter(Status!$C:$C,Status!$A:$A=$A134),CONCATENATE(AB$2,""*""))&gt;0,countif(filter(Status!$C:$C,Status!$A:$A=$A134),CONCATENATE(AB$2,""*"")),"""")"),"")</f>
        <v/>
      </c>
      <c r="AC134" s="23" t="str">
        <f>IFERROR(__xludf.DUMMYFUNCTION("if(countif(filter(Status!$C:$C,Status!$A:$A=$A134),CONCATENATE(AC$2,""*""))&gt;0,countif(filter(Status!$C:$C,Status!$A:$A=$A134),CONCATENATE(AC$2,""*"")),"""")"),"")</f>
        <v/>
      </c>
      <c r="AD134" s="23" t="str">
        <f>IFERROR(__xludf.DUMMYFUNCTION("if(countif(filter(Status!$C:$C,Status!$A:$A=$A134),CONCATENATE(AD$2,""*""))&gt;0,countif(filter(Status!$C:$C,Status!$A:$A=$A134),CONCATENATE(AD$2,""*"")),"""")"),"")</f>
        <v/>
      </c>
      <c r="AE134" s="23" t="str">
        <f>IFERROR(__xludf.DUMMYFUNCTION("if(countif(filter(Status!$C:$C,Status!$A:$A=$A134),CONCATENATE(AE$2,""*""))&gt;0,countif(filter(Status!$C:$C,Status!$A:$A=$A134),CONCATENATE(AE$2,""*"")),"""")"),"")</f>
        <v/>
      </c>
      <c r="AF134" s="23">
        <f>IFERROR(__xludf.DUMMYFUNCTION("if(countif(filter(Status!$C:$C,Status!$A:$A=$A134),CONCATENATE(AF$2,""*""))&gt;0,countif(filter(Status!$C:$C,Status!$A:$A=$A134),CONCATENATE(AF$2,""*"")),"""")"),1.0)</f>
        <v>1</v>
      </c>
      <c r="AG134" s="23" t="str">
        <f>IFERROR(__xludf.DUMMYFUNCTION("if(countif(filter(Status!$C:$C,Status!$A:$A=$A134),CONCATENATE(AG$2,""*""))&gt;0,countif(filter(Status!$C:$C,Status!$A:$A=$A134),CONCATENATE(AG$2,""*"")),"""")"),"")</f>
        <v/>
      </c>
      <c r="AH134" s="23" t="str">
        <f>IFERROR(__xludf.DUMMYFUNCTION("if(countif(filter(Status!$C:$C,Status!$A:$A=$A134),CONCATENATE(AH$2,""*""))&gt;0,countif(filter(Status!$C:$C,Status!$A:$A=$A134),CONCATENATE(AH$2,""*"")),"""")"),"")</f>
        <v/>
      </c>
      <c r="AI134" s="23" t="str">
        <f>IFERROR(__xludf.DUMMYFUNCTION("if(countif(filter(Status!$C:$C,Status!$A:$A=$A134),CONCATENATE(AI$2,""*""))&gt;0,countif(filter(Status!$C:$C,Status!$A:$A=$A134),CONCATENATE(AI$2,""*"")),"""")"),"")</f>
        <v/>
      </c>
      <c r="AJ134" s="23" t="str">
        <f>IFERROR(__xludf.DUMMYFUNCTION("if(countif(filter(Status!$C:$C,Status!$A:$A=$A134),CONCATENATE(AJ$2,""*""))&gt;0,countif(filter(Status!$C:$C,Status!$A:$A=$A134),CONCATENATE(AJ$2,""*"")),"""")"),"")</f>
        <v/>
      </c>
      <c r="AK134" s="23" t="str">
        <f>IFERROR(__xludf.DUMMYFUNCTION("if(countif(filter(Status!$C:$C,Status!$A:$A=$A134),CONCATENATE(AK$2,""*""))&gt;0,countif(filter(Status!$C:$C,Status!$A:$A=$A134),CONCATENATE(AK$2,""*"")),"""")"),"")</f>
        <v/>
      </c>
      <c r="AL134" s="23" t="str">
        <f>IFERROR(__xludf.DUMMYFUNCTION("if(countif(filter(Status!$C:$C,Status!$A:$A=$A134),CONCATENATE(AL$2,""*""))&gt;0,countif(filter(Status!$C:$C,Status!$A:$A=$A134),CONCATENATE(AL$2,""*"")),"""")"),"")</f>
        <v/>
      </c>
      <c r="AM134" s="23" t="str">
        <f>IFERROR(__xludf.DUMMYFUNCTION("if(countif(filter(Status!$C:$C,Status!$A:$A=$A134),CONCATENATE(AM$2,""*""))&gt;0,countif(filter(Status!$C:$C,Status!$A:$A=$A134),CONCATENATE(AM$2,""*"")),"""")"),"")</f>
        <v/>
      </c>
      <c r="AN134" s="23" t="str">
        <f>IFERROR(__xludf.DUMMYFUNCTION("if(countif(filter(Status!$C:$C,Status!$A:$A=$A134),CONCATENATE(AN$2,""*""))&gt;0,countif(filter(Status!$C:$C,Status!$A:$A=$A134),CONCATENATE(AN$2,""*"")),"""")"),"")</f>
        <v/>
      </c>
      <c r="AO134" s="23" t="str">
        <f>IFERROR(__xludf.DUMMYFUNCTION("if(countif(filter(Status!$C:$C,Status!$A:$A=$A134),CONCATENATE(AO$2,""*""))&gt;0,countif(filter(Status!$C:$C,Status!$A:$A=$A134),CONCATENATE(AO$2,""*"")),"""")"),"")</f>
        <v/>
      </c>
      <c r="AP134" s="23">
        <f>IFERROR(__xludf.DUMMYFUNCTION("counta(iferror(filter(Status!C:C,Status!A:A=A134)))"),8.0)</f>
        <v>8</v>
      </c>
      <c r="AQ134" s="23">
        <f t="shared" si="6"/>
        <v>8</v>
      </c>
    </row>
    <row r="135">
      <c r="A135" s="1" t="s">
        <v>1115</v>
      </c>
      <c r="B135" s="21">
        <f>IFERROR(__xludf.DUMMYFUNCTION("max(filter(Status!E:E,Status!A:A=A135))"),43909.0)</f>
        <v>43909</v>
      </c>
      <c r="C135" s="23">
        <f t="shared" si="1"/>
        <v>0</v>
      </c>
      <c r="D135" s="23">
        <f t="shared" si="2"/>
        <v>0</v>
      </c>
      <c r="E135" s="23" t="str">
        <f t="shared" si="3"/>
        <v/>
      </c>
      <c r="F135" s="23">
        <f t="shared" si="4"/>
        <v>0</v>
      </c>
      <c r="G135" s="25">
        <f t="shared" si="5"/>
        <v>0</v>
      </c>
      <c r="J135" s="23">
        <f>IFERROR(__xludf.DUMMYFUNCTION("COUNTA(iferror(filter(Status!H:H,Status!A:A=A135)))"),9.0)</f>
        <v>9</v>
      </c>
      <c r="K135" s="25">
        <f>IFERROR(__xludf.DUMMYFUNCTION("COUNTA(iferror(filter(Status!H:H,Status!A:A=A135,Status!H:H=TRUE)))"),0.0)</f>
        <v>0</v>
      </c>
      <c r="L135" s="23">
        <f>IFERROR(__xludf.DUMMYFUNCTION("COUNTA(iferror(filter(Status!L:L,Status!A:A=A135)))"),6.0)</f>
        <v>6</v>
      </c>
      <c r="M135" s="25">
        <f>IFERROR(__xludf.DUMMYFUNCTION("COUNTA(iferror(filter(Status!L:L,Status!A:A=A135,Status!L:L=TRUE)))"),0.0)</f>
        <v>0</v>
      </c>
      <c r="N135" s="23">
        <f>IFERROR(__xludf.DUMMYFUNCTION("COUNTA(iferror(filter(Status!N:N,Status!A:A=A135,Status!N:N=TRUE)))"),0.0)</f>
        <v>0</v>
      </c>
      <c r="O135" s="25">
        <f>IFERROR(__xludf.DUMMYFUNCTION("COUNTA(iferror(filter(Status!N:N,Status!A:A=A135,Status!N:N=TRUE)))"),0.0)</f>
        <v>0</v>
      </c>
      <c r="P135" s="23">
        <f>IFERROR(__xludf.DUMMYFUNCTION("COUNTA(iferror(filter(Status!P:P,Status!A:A=A135)))"),14.0)</f>
        <v>14</v>
      </c>
      <c r="Q135" s="25">
        <f>IFERROR(__xludf.DUMMYFUNCTION("COUNTA(iferror(filter(Status!P:P,Status!A:A=A135,Status!P:P=TRUE)))"),0.0)</f>
        <v>0</v>
      </c>
      <c r="R135" s="23">
        <f>IFERROR(__xludf.DUMMYFUNCTION("COUNTA(iferror(filter(Status!R:R,Status!A:A=A135)))"),11.0)</f>
        <v>11</v>
      </c>
      <c r="S135" s="25">
        <f>IFERROR(__xludf.DUMMYFUNCTION("COUNTA(iferror(filter(Status!R:R,Status!A:A=A135,Status!R:R=TRUE)))"),0.0)</f>
        <v>0</v>
      </c>
      <c r="V135" s="23" t="str">
        <f>IFERROR(__xludf.DUMMYFUNCTION("if((countif(filter(Status!$C:$C,Status!$A:$A=$A135),CONCATENATE(V$2,""*""))-W135)&gt;0,(countif(filter(Status!$C:$C,Status!$A:$A=$A135),CONCATENATE(V$2,""*""))-W135),"""")"),"")</f>
        <v/>
      </c>
      <c r="W135" s="23">
        <f>IFERROR(__xludf.DUMMYFUNCTION("if(countif(filter(Status!$C:$C,Status!$A:$A=$A135),CONCATENATE(W$2,""*""))&gt;0,countif(filter(Status!$C:$C,Status!$A:$A=$A135),CONCATENATE(W$2,""*"")),"""")"),2.0)</f>
        <v>2</v>
      </c>
      <c r="X135" s="23">
        <f>IFERROR(__xludf.DUMMYFUNCTION("if(countif(filter(Status!$C:$C,Status!$A:$A=$A135),CONCATENATE(X$2,""*""))&gt;0,countif(filter(Status!$C:$C,Status!$A:$A=$A135),CONCATENATE(X$2,""*"")),"""")"),5.0)</f>
        <v>5</v>
      </c>
      <c r="Y135" s="23" t="str">
        <f>IFERROR(__xludf.DUMMYFUNCTION("if(countif(filter(Status!$C:$C,Status!$A:$A=$A135),CONCATENATE(Y$2,""*""))&gt;0,countif(filter(Status!$C:$C,Status!$A:$A=$A135),CONCATENATE(Y$2,""*"")),"""")"),"")</f>
        <v/>
      </c>
      <c r="Z135" s="23" t="str">
        <f>IFERROR(__xludf.DUMMYFUNCTION("if(countif(filter(Status!$C:$C,Status!$A:$A=$A135),CONCATENATE(Z$2,""*""))&gt;0,countif(filter(Status!$C:$C,Status!$A:$A=$A135),CONCATENATE(Z$2,""*"")),"""")"),"")</f>
        <v/>
      </c>
      <c r="AA135" s="23">
        <f>IFERROR(__xludf.DUMMYFUNCTION("if((countif(filter(Status!$C:$C,Status!$A:$A=$A135),CONCATENATE(AA$2,""*""))-AB135)&gt;0,(countif(filter(Status!$C:$C,Status!$A:$A=$A135),CONCATENATE(AA$2,""*""))-AB135),"""")"),3.0)</f>
        <v>3</v>
      </c>
      <c r="AB135" s="23" t="str">
        <f>IFERROR(__xludf.DUMMYFUNCTION("if(countif(filter(Status!$C:$C,Status!$A:$A=$A135),CONCATENATE(AB$2,""*""))&gt;0,countif(filter(Status!$C:$C,Status!$A:$A=$A135),CONCATENATE(AB$2,""*"")),"""")"),"")</f>
        <v/>
      </c>
      <c r="AC135" s="23" t="str">
        <f>IFERROR(__xludf.DUMMYFUNCTION("if(countif(filter(Status!$C:$C,Status!$A:$A=$A135),CONCATENATE(AC$2,""*""))&gt;0,countif(filter(Status!$C:$C,Status!$A:$A=$A135),CONCATENATE(AC$2,""*"")),"""")"),"")</f>
        <v/>
      </c>
      <c r="AD135" s="23" t="str">
        <f>IFERROR(__xludf.DUMMYFUNCTION("if(countif(filter(Status!$C:$C,Status!$A:$A=$A135),CONCATENATE(AD$2,""*""))&gt;0,countif(filter(Status!$C:$C,Status!$A:$A=$A135),CONCATENATE(AD$2,""*"")),"""")"),"")</f>
        <v/>
      </c>
      <c r="AE135" s="23" t="str">
        <f>IFERROR(__xludf.DUMMYFUNCTION("if(countif(filter(Status!$C:$C,Status!$A:$A=$A135),CONCATENATE(AE$2,""*""))&gt;0,countif(filter(Status!$C:$C,Status!$A:$A=$A135),CONCATENATE(AE$2,""*"")),"""")"),"")</f>
        <v/>
      </c>
      <c r="AF135" s="23" t="str">
        <f>IFERROR(__xludf.DUMMYFUNCTION("if(countif(filter(Status!$C:$C,Status!$A:$A=$A135),CONCATENATE(AF$2,""*""))&gt;0,countif(filter(Status!$C:$C,Status!$A:$A=$A135),CONCATENATE(AF$2,""*"")),"""")"),"")</f>
        <v/>
      </c>
      <c r="AG135" s="23">
        <f>IFERROR(__xludf.DUMMYFUNCTION("if(countif(filter(Status!$C:$C,Status!$A:$A=$A135),CONCATENATE(AG$2,""*""))&gt;0,countif(filter(Status!$C:$C,Status!$A:$A=$A135),CONCATENATE(AG$2,""*"")),"""")"),2.0)</f>
        <v>2</v>
      </c>
      <c r="AH135" s="23">
        <f>IFERROR(__xludf.DUMMYFUNCTION("if(countif(filter(Status!$C:$C,Status!$A:$A=$A135),CONCATENATE(AH$2,""*""))&gt;0,countif(filter(Status!$C:$C,Status!$A:$A=$A135),CONCATENATE(AH$2,""*"")),"""")"),1.0)</f>
        <v>1</v>
      </c>
      <c r="AI135" s="23" t="str">
        <f>IFERROR(__xludf.DUMMYFUNCTION("if(countif(filter(Status!$C:$C,Status!$A:$A=$A135),CONCATENATE(AI$2,""*""))&gt;0,countif(filter(Status!$C:$C,Status!$A:$A=$A135),CONCATENATE(AI$2,""*"")),"""")"),"")</f>
        <v/>
      </c>
      <c r="AJ135" s="23">
        <f>IFERROR(__xludf.DUMMYFUNCTION("if(countif(filter(Status!$C:$C,Status!$A:$A=$A135),CONCATENATE(AJ$2,""*""))&gt;0,countif(filter(Status!$C:$C,Status!$A:$A=$A135),CONCATENATE(AJ$2,""*"")),"""")"),1.0)</f>
        <v>1</v>
      </c>
      <c r="AK135" s="23" t="str">
        <f>IFERROR(__xludf.DUMMYFUNCTION("if(countif(filter(Status!$C:$C,Status!$A:$A=$A135),CONCATENATE(AK$2,""*""))&gt;0,countif(filter(Status!$C:$C,Status!$A:$A=$A135),CONCATENATE(AK$2,""*"")),"""")"),"")</f>
        <v/>
      </c>
      <c r="AL135" s="23" t="str">
        <f>IFERROR(__xludf.DUMMYFUNCTION("if(countif(filter(Status!$C:$C,Status!$A:$A=$A135),CONCATENATE(AL$2,""*""))&gt;0,countif(filter(Status!$C:$C,Status!$A:$A=$A135),CONCATENATE(AL$2,""*"")),"""")"),"")</f>
        <v/>
      </c>
      <c r="AM135" s="23" t="str">
        <f>IFERROR(__xludf.DUMMYFUNCTION("if(countif(filter(Status!$C:$C,Status!$A:$A=$A135),CONCATENATE(AM$2,""*""))&gt;0,countif(filter(Status!$C:$C,Status!$A:$A=$A135),CONCATENATE(AM$2,""*"")),"""")"),"")</f>
        <v/>
      </c>
      <c r="AN135" s="23" t="str">
        <f>IFERROR(__xludf.DUMMYFUNCTION("if(countif(filter(Status!$C:$C,Status!$A:$A=$A135),CONCATENATE(AN$2,""*""))&gt;0,countif(filter(Status!$C:$C,Status!$A:$A=$A135),CONCATENATE(AN$2,""*"")),"""")"),"")</f>
        <v/>
      </c>
      <c r="AO135" s="23" t="str">
        <f>IFERROR(__xludf.DUMMYFUNCTION("if(countif(filter(Status!$C:$C,Status!$A:$A=$A135),CONCATENATE(AO$2,""*""))&gt;0,countif(filter(Status!$C:$C,Status!$A:$A=$A135),CONCATENATE(AO$2,""*"")),"""")"),"")</f>
        <v/>
      </c>
      <c r="AP135" s="23">
        <f>IFERROR(__xludf.DUMMYFUNCTION("counta(iferror(filter(Status!C:C,Status!A:A=A135)))"),14.0)</f>
        <v>14</v>
      </c>
      <c r="AQ135" s="23">
        <f t="shared" si="6"/>
        <v>14</v>
      </c>
    </row>
    <row r="136">
      <c r="A136" s="1" t="s">
        <v>1117</v>
      </c>
      <c r="B136" s="25" t="str">
        <f>IFERROR(__xludf.DUMMYFUNCTION("max(filter(Status!E:E,Status!A:A=A136))"),"#N/A")</f>
        <v>#N/A</v>
      </c>
      <c r="C136" s="23" t="str">
        <f t="shared" si="1"/>
        <v/>
      </c>
      <c r="D136" s="23" t="str">
        <f t="shared" si="2"/>
        <v/>
      </c>
      <c r="E136" s="23" t="str">
        <f t="shared" si="3"/>
        <v/>
      </c>
      <c r="F136" s="23" t="str">
        <f t="shared" si="4"/>
        <v/>
      </c>
      <c r="G136" s="25" t="str">
        <f t="shared" si="5"/>
        <v/>
      </c>
      <c r="J136" s="23">
        <f>IFERROR(__xludf.DUMMYFUNCTION("COUNTA(iferror(filter(Status!H:H,Status!A:A=A136)))"),0.0)</f>
        <v>0</v>
      </c>
      <c r="K136" s="25">
        <f>IFERROR(__xludf.DUMMYFUNCTION("COUNTA(iferror(filter(Status!H:H,Status!A:A=A136,Status!H:H=TRUE)))"),0.0)</f>
        <v>0</v>
      </c>
      <c r="L136" s="23">
        <f>IFERROR(__xludf.DUMMYFUNCTION("COUNTA(iferror(filter(Status!L:L,Status!A:A=A136)))"),0.0)</f>
        <v>0</v>
      </c>
      <c r="M136" s="25">
        <f>IFERROR(__xludf.DUMMYFUNCTION("COUNTA(iferror(filter(Status!L:L,Status!A:A=A136,Status!L:L=TRUE)))"),0.0)</f>
        <v>0</v>
      </c>
      <c r="N136" s="23">
        <f>IFERROR(__xludf.DUMMYFUNCTION("COUNTA(iferror(filter(Status!N:N,Status!A:A=A136,Status!N:N=TRUE)))"),0.0)</f>
        <v>0</v>
      </c>
      <c r="O136" s="25">
        <f>IFERROR(__xludf.DUMMYFUNCTION("COUNTA(iferror(filter(Status!N:N,Status!A:A=A136,Status!N:N=TRUE)))"),0.0)</f>
        <v>0</v>
      </c>
      <c r="P136" s="23">
        <f>IFERROR(__xludf.DUMMYFUNCTION("COUNTA(iferror(filter(Status!P:P,Status!A:A=A136)))"),0.0)</f>
        <v>0</v>
      </c>
      <c r="Q136" s="25">
        <f>IFERROR(__xludf.DUMMYFUNCTION("COUNTA(iferror(filter(Status!P:P,Status!A:A=A136,Status!P:P=TRUE)))"),0.0)</f>
        <v>0</v>
      </c>
      <c r="R136" s="23">
        <f>IFERROR(__xludf.DUMMYFUNCTION("COUNTA(iferror(filter(Status!R:R,Status!A:A=A136)))"),0.0)</f>
        <v>0</v>
      </c>
      <c r="S136" s="25">
        <f>IFERROR(__xludf.DUMMYFUNCTION("COUNTA(iferror(filter(Status!R:R,Status!A:A=A136,Status!R:R=TRUE)))"),0.0)</f>
        <v>0</v>
      </c>
      <c r="V136" s="23" t="str">
        <f>IFERROR(__xludf.DUMMYFUNCTION("if((countif(filter(Status!$C:$C,Status!$A:$A=$A136),CONCATENATE(V$2,""*""))-W136)&gt;0,(countif(filter(Status!$C:$C,Status!$A:$A=$A136),CONCATENATE(V$2,""*""))-W136),"""")"),"")</f>
        <v/>
      </c>
      <c r="W136" s="23" t="str">
        <f>IFERROR(__xludf.DUMMYFUNCTION("if(countif(filter(Status!$C:$C,Status!$A:$A=$A136),CONCATENATE(W$2,""*""))&gt;0,countif(filter(Status!$C:$C,Status!$A:$A=$A136),CONCATENATE(W$2,""*"")),"""")"),"")</f>
        <v/>
      </c>
      <c r="X136" s="23" t="str">
        <f>IFERROR(__xludf.DUMMYFUNCTION("if(countif(filter(Status!$C:$C,Status!$A:$A=$A136),CONCATENATE(X$2,""*""))&gt;0,countif(filter(Status!$C:$C,Status!$A:$A=$A136),CONCATENATE(X$2,""*"")),"""")"),"")</f>
        <v/>
      </c>
      <c r="Y136" s="23" t="str">
        <f>IFERROR(__xludf.DUMMYFUNCTION("if(countif(filter(Status!$C:$C,Status!$A:$A=$A136),CONCATENATE(Y$2,""*""))&gt;0,countif(filter(Status!$C:$C,Status!$A:$A=$A136),CONCATENATE(Y$2,""*"")),"""")"),"")</f>
        <v/>
      </c>
      <c r="Z136" s="23" t="str">
        <f>IFERROR(__xludf.DUMMYFUNCTION("if(countif(filter(Status!$C:$C,Status!$A:$A=$A136),CONCATENATE(Z$2,""*""))&gt;0,countif(filter(Status!$C:$C,Status!$A:$A=$A136),CONCATENATE(Z$2,""*"")),"""")"),"")</f>
        <v/>
      </c>
      <c r="AA136" s="23" t="str">
        <f>IFERROR(__xludf.DUMMYFUNCTION("if((countif(filter(Status!$C:$C,Status!$A:$A=$A136),CONCATENATE(AA$2,""*""))-AB136)&gt;0,(countif(filter(Status!$C:$C,Status!$A:$A=$A136),CONCATENATE(AA$2,""*""))-AB136),"""")"),"")</f>
        <v/>
      </c>
      <c r="AB136" s="23" t="str">
        <f>IFERROR(__xludf.DUMMYFUNCTION("if(countif(filter(Status!$C:$C,Status!$A:$A=$A136),CONCATENATE(AB$2,""*""))&gt;0,countif(filter(Status!$C:$C,Status!$A:$A=$A136),CONCATENATE(AB$2,""*"")),"""")"),"")</f>
        <v/>
      </c>
      <c r="AC136" s="23" t="str">
        <f>IFERROR(__xludf.DUMMYFUNCTION("if(countif(filter(Status!$C:$C,Status!$A:$A=$A136),CONCATENATE(AC$2,""*""))&gt;0,countif(filter(Status!$C:$C,Status!$A:$A=$A136),CONCATENATE(AC$2,""*"")),"""")"),"")</f>
        <v/>
      </c>
      <c r="AD136" s="23" t="str">
        <f>IFERROR(__xludf.DUMMYFUNCTION("if(countif(filter(Status!$C:$C,Status!$A:$A=$A136),CONCATENATE(AD$2,""*""))&gt;0,countif(filter(Status!$C:$C,Status!$A:$A=$A136),CONCATENATE(AD$2,""*"")),"""")"),"")</f>
        <v/>
      </c>
      <c r="AE136" s="23" t="str">
        <f>IFERROR(__xludf.DUMMYFUNCTION("if(countif(filter(Status!$C:$C,Status!$A:$A=$A136),CONCATENATE(AE$2,""*""))&gt;0,countif(filter(Status!$C:$C,Status!$A:$A=$A136),CONCATENATE(AE$2,""*"")),"""")"),"")</f>
        <v/>
      </c>
      <c r="AF136" s="23" t="str">
        <f>IFERROR(__xludf.DUMMYFUNCTION("if(countif(filter(Status!$C:$C,Status!$A:$A=$A136),CONCATENATE(AF$2,""*""))&gt;0,countif(filter(Status!$C:$C,Status!$A:$A=$A136),CONCATENATE(AF$2,""*"")),"""")"),"")</f>
        <v/>
      </c>
      <c r="AG136" s="23" t="str">
        <f>IFERROR(__xludf.DUMMYFUNCTION("if(countif(filter(Status!$C:$C,Status!$A:$A=$A136),CONCATENATE(AG$2,""*""))&gt;0,countif(filter(Status!$C:$C,Status!$A:$A=$A136),CONCATENATE(AG$2,""*"")),"""")"),"")</f>
        <v/>
      </c>
      <c r="AH136" s="23" t="str">
        <f>IFERROR(__xludf.DUMMYFUNCTION("if(countif(filter(Status!$C:$C,Status!$A:$A=$A136),CONCATENATE(AH$2,""*""))&gt;0,countif(filter(Status!$C:$C,Status!$A:$A=$A136),CONCATENATE(AH$2,""*"")),"""")"),"")</f>
        <v/>
      </c>
      <c r="AI136" s="23" t="str">
        <f>IFERROR(__xludf.DUMMYFUNCTION("if(countif(filter(Status!$C:$C,Status!$A:$A=$A136),CONCATENATE(AI$2,""*""))&gt;0,countif(filter(Status!$C:$C,Status!$A:$A=$A136),CONCATENATE(AI$2,""*"")),"""")"),"")</f>
        <v/>
      </c>
      <c r="AJ136" s="23" t="str">
        <f>IFERROR(__xludf.DUMMYFUNCTION("if(countif(filter(Status!$C:$C,Status!$A:$A=$A136),CONCATENATE(AJ$2,""*""))&gt;0,countif(filter(Status!$C:$C,Status!$A:$A=$A136),CONCATENATE(AJ$2,""*"")),"""")"),"")</f>
        <v/>
      </c>
      <c r="AK136" s="23" t="str">
        <f>IFERROR(__xludf.DUMMYFUNCTION("if(countif(filter(Status!$C:$C,Status!$A:$A=$A136),CONCATENATE(AK$2,""*""))&gt;0,countif(filter(Status!$C:$C,Status!$A:$A=$A136),CONCATENATE(AK$2,""*"")),"""")"),"")</f>
        <v/>
      </c>
      <c r="AL136" s="23" t="str">
        <f>IFERROR(__xludf.DUMMYFUNCTION("if(countif(filter(Status!$C:$C,Status!$A:$A=$A136),CONCATENATE(AL$2,""*""))&gt;0,countif(filter(Status!$C:$C,Status!$A:$A=$A136),CONCATENATE(AL$2,""*"")),"""")"),"")</f>
        <v/>
      </c>
      <c r="AM136" s="23" t="str">
        <f>IFERROR(__xludf.DUMMYFUNCTION("if(countif(filter(Status!$C:$C,Status!$A:$A=$A136),CONCATENATE(AM$2,""*""))&gt;0,countif(filter(Status!$C:$C,Status!$A:$A=$A136),CONCATENATE(AM$2,""*"")),"""")"),"")</f>
        <v/>
      </c>
      <c r="AN136" s="23" t="str">
        <f>IFERROR(__xludf.DUMMYFUNCTION("if(countif(filter(Status!$C:$C,Status!$A:$A=$A136),CONCATENATE(AN$2,""*""))&gt;0,countif(filter(Status!$C:$C,Status!$A:$A=$A136),CONCATENATE(AN$2,""*"")),"""")"),"")</f>
        <v/>
      </c>
      <c r="AO136" s="23" t="str">
        <f>IFERROR(__xludf.DUMMYFUNCTION("if(countif(filter(Status!$C:$C,Status!$A:$A=$A136),CONCATENATE(AO$2,""*""))&gt;0,countif(filter(Status!$C:$C,Status!$A:$A=$A136),CONCATENATE(AO$2,""*"")),"""")"),"")</f>
        <v/>
      </c>
      <c r="AP136" s="23">
        <f>IFERROR(__xludf.DUMMYFUNCTION("counta(iferror(filter(Status!C:C,Status!A:A=A136)))"),0.0)</f>
        <v>0</v>
      </c>
      <c r="AQ136" s="23">
        <f t="shared" si="6"/>
        <v>0</v>
      </c>
    </row>
    <row r="137">
      <c r="A137" s="1" t="s">
        <v>1118</v>
      </c>
      <c r="B137" s="25" t="str">
        <f>IFERROR(__xludf.DUMMYFUNCTION("max(filter(Status!E:E,Status!A:A=A137))"),"#N/A")</f>
        <v>#N/A</v>
      </c>
      <c r="C137" s="23" t="str">
        <f t="shared" si="1"/>
        <v/>
      </c>
      <c r="D137" s="23" t="str">
        <f t="shared" si="2"/>
        <v/>
      </c>
      <c r="E137" s="23" t="str">
        <f t="shared" si="3"/>
        <v/>
      </c>
      <c r="F137" s="23" t="str">
        <f t="shared" si="4"/>
        <v/>
      </c>
      <c r="G137" s="25" t="str">
        <f t="shared" si="5"/>
        <v/>
      </c>
      <c r="J137" s="23">
        <f>IFERROR(__xludf.DUMMYFUNCTION("COUNTA(iferror(filter(Status!H:H,Status!A:A=A137)))"),0.0)</f>
        <v>0</v>
      </c>
      <c r="K137" s="25">
        <f>IFERROR(__xludf.DUMMYFUNCTION("COUNTA(iferror(filter(Status!H:H,Status!A:A=A137,Status!H:H=TRUE)))"),0.0)</f>
        <v>0</v>
      </c>
      <c r="L137" s="23">
        <f>IFERROR(__xludf.DUMMYFUNCTION("COUNTA(iferror(filter(Status!L:L,Status!A:A=A137)))"),0.0)</f>
        <v>0</v>
      </c>
      <c r="M137" s="25">
        <f>IFERROR(__xludf.DUMMYFUNCTION("COUNTA(iferror(filter(Status!L:L,Status!A:A=A137,Status!L:L=TRUE)))"),0.0)</f>
        <v>0</v>
      </c>
      <c r="N137" s="23">
        <f>IFERROR(__xludf.DUMMYFUNCTION("COUNTA(iferror(filter(Status!N:N,Status!A:A=A137,Status!N:N=TRUE)))"),0.0)</f>
        <v>0</v>
      </c>
      <c r="O137" s="25">
        <f>IFERROR(__xludf.DUMMYFUNCTION("COUNTA(iferror(filter(Status!N:N,Status!A:A=A137,Status!N:N=TRUE)))"),0.0)</f>
        <v>0</v>
      </c>
      <c r="P137" s="23">
        <f>IFERROR(__xludf.DUMMYFUNCTION("COUNTA(iferror(filter(Status!P:P,Status!A:A=A137)))"),0.0)</f>
        <v>0</v>
      </c>
      <c r="Q137" s="25">
        <f>IFERROR(__xludf.DUMMYFUNCTION("COUNTA(iferror(filter(Status!P:P,Status!A:A=A137,Status!P:P=TRUE)))"),0.0)</f>
        <v>0</v>
      </c>
      <c r="R137" s="23">
        <f>IFERROR(__xludf.DUMMYFUNCTION("COUNTA(iferror(filter(Status!R:R,Status!A:A=A137)))"),0.0)</f>
        <v>0</v>
      </c>
      <c r="S137" s="25">
        <f>IFERROR(__xludf.DUMMYFUNCTION("COUNTA(iferror(filter(Status!R:R,Status!A:A=A137,Status!R:R=TRUE)))"),0.0)</f>
        <v>0</v>
      </c>
      <c r="V137" s="23" t="str">
        <f>IFERROR(__xludf.DUMMYFUNCTION("if((countif(filter(Status!$C:$C,Status!$A:$A=$A137),CONCATENATE(V$2,""*""))-W137)&gt;0,(countif(filter(Status!$C:$C,Status!$A:$A=$A137),CONCATENATE(V$2,""*""))-W137),"""")"),"")</f>
        <v/>
      </c>
      <c r="W137" s="23" t="str">
        <f>IFERROR(__xludf.DUMMYFUNCTION("if(countif(filter(Status!$C:$C,Status!$A:$A=$A137),CONCATENATE(W$2,""*""))&gt;0,countif(filter(Status!$C:$C,Status!$A:$A=$A137),CONCATENATE(W$2,""*"")),"""")"),"")</f>
        <v/>
      </c>
      <c r="X137" s="23" t="str">
        <f>IFERROR(__xludf.DUMMYFUNCTION("if(countif(filter(Status!$C:$C,Status!$A:$A=$A137),CONCATENATE(X$2,""*""))&gt;0,countif(filter(Status!$C:$C,Status!$A:$A=$A137),CONCATENATE(X$2,""*"")),"""")"),"")</f>
        <v/>
      </c>
      <c r="Y137" s="23" t="str">
        <f>IFERROR(__xludf.DUMMYFUNCTION("if(countif(filter(Status!$C:$C,Status!$A:$A=$A137),CONCATENATE(Y$2,""*""))&gt;0,countif(filter(Status!$C:$C,Status!$A:$A=$A137),CONCATENATE(Y$2,""*"")),"""")"),"")</f>
        <v/>
      </c>
      <c r="Z137" s="23" t="str">
        <f>IFERROR(__xludf.DUMMYFUNCTION("if(countif(filter(Status!$C:$C,Status!$A:$A=$A137),CONCATENATE(Z$2,""*""))&gt;0,countif(filter(Status!$C:$C,Status!$A:$A=$A137),CONCATENATE(Z$2,""*"")),"""")"),"")</f>
        <v/>
      </c>
      <c r="AA137" s="23" t="str">
        <f>IFERROR(__xludf.DUMMYFUNCTION("if((countif(filter(Status!$C:$C,Status!$A:$A=$A137),CONCATENATE(AA$2,""*""))-AB137)&gt;0,(countif(filter(Status!$C:$C,Status!$A:$A=$A137),CONCATENATE(AA$2,""*""))-AB137),"""")"),"")</f>
        <v/>
      </c>
      <c r="AB137" s="23" t="str">
        <f>IFERROR(__xludf.DUMMYFUNCTION("if(countif(filter(Status!$C:$C,Status!$A:$A=$A137),CONCATENATE(AB$2,""*""))&gt;0,countif(filter(Status!$C:$C,Status!$A:$A=$A137),CONCATENATE(AB$2,""*"")),"""")"),"")</f>
        <v/>
      </c>
      <c r="AC137" s="23" t="str">
        <f>IFERROR(__xludf.DUMMYFUNCTION("if(countif(filter(Status!$C:$C,Status!$A:$A=$A137),CONCATENATE(AC$2,""*""))&gt;0,countif(filter(Status!$C:$C,Status!$A:$A=$A137),CONCATENATE(AC$2,""*"")),"""")"),"")</f>
        <v/>
      </c>
      <c r="AD137" s="23" t="str">
        <f>IFERROR(__xludf.DUMMYFUNCTION("if(countif(filter(Status!$C:$C,Status!$A:$A=$A137),CONCATENATE(AD$2,""*""))&gt;0,countif(filter(Status!$C:$C,Status!$A:$A=$A137),CONCATENATE(AD$2,""*"")),"""")"),"")</f>
        <v/>
      </c>
      <c r="AE137" s="23" t="str">
        <f>IFERROR(__xludf.DUMMYFUNCTION("if(countif(filter(Status!$C:$C,Status!$A:$A=$A137),CONCATENATE(AE$2,""*""))&gt;0,countif(filter(Status!$C:$C,Status!$A:$A=$A137),CONCATENATE(AE$2,""*"")),"""")"),"")</f>
        <v/>
      </c>
      <c r="AF137" s="23" t="str">
        <f>IFERROR(__xludf.DUMMYFUNCTION("if(countif(filter(Status!$C:$C,Status!$A:$A=$A137),CONCATENATE(AF$2,""*""))&gt;0,countif(filter(Status!$C:$C,Status!$A:$A=$A137),CONCATENATE(AF$2,""*"")),"""")"),"")</f>
        <v/>
      </c>
      <c r="AG137" s="23" t="str">
        <f>IFERROR(__xludf.DUMMYFUNCTION("if(countif(filter(Status!$C:$C,Status!$A:$A=$A137),CONCATENATE(AG$2,""*""))&gt;0,countif(filter(Status!$C:$C,Status!$A:$A=$A137),CONCATENATE(AG$2,""*"")),"""")"),"")</f>
        <v/>
      </c>
      <c r="AH137" s="23" t="str">
        <f>IFERROR(__xludf.DUMMYFUNCTION("if(countif(filter(Status!$C:$C,Status!$A:$A=$A137),CONCATENATE(AH$2,""*""))&gt;0,countif(filter(Status!$C:$C,Status!$A:$A=$A137),CONCATENATE(AH$2,""*"")),"""")"),"")</f>
        <v/>
      </c>
      <c r="AI137" s="23" t="str">
        <f>IFERROR(__xludf.DUMMYFUNCTION("if(countif(filter(Status!$C:$C,Status!$A:$A=$A137),CONCATENATE(AI$2,""*""))&gt;0,countif(filter(Status!$C:$C,Status!$A:$A=$A137),CONCATENATE(AI$2,""*"")),"""")"),"")</f>
        <v/>
      </c>
      <c r="AJ137" s="23" t="str">
        <f>IFERROR(__xludf.DUMMYFUNCTION("if(countif(filter(Status!$C:$C,Status!$A:$A=$A137),CONCATENATE(AJ$2,""*""))&gt;0,countif(filter(Status!$C:$C,Status!$A:$A=$A137),CONCATENATE(AJ$2,""*"")),"""")"),"")</f>
        <v/>
      </c>
      <c r="AK137" s="23" t="str">
        <f>IFERROR(__xludf.DUMMYFUNCTION("if(countif(filter(Status!$C:$C,Status!$A:$A=$A137),CONCATENATE(AK$2,""*""))&gt;0,countif(filter(Status!$C:$C,Status!$A:$A=$A137),CONCATENATE(AK$2,""*"")),"""")"),"")</f>
        <v/>
      </c>
      <c r="AL137" s="23" t="str">
        <f>IFERROR(__xludf.DUMMYFUNCTION("if(countif(filter(Status!$C:$C,Status!$A:$A=$A137),CONCATENATE(AL$2,""*""))&gt;0,countif(filter(Status!$C:$C,Status!$A:$A=$A137),CONCATENATE(AL$2,""*"")),"""")"),"")</f>
        <v/>
      </c>
      <c r="AM137" s="23" t="str">
        <f>IFERROR(__xludf.DUMMYFUNCTION("if(countif(filter(Status!$C:$C,Status!$A:$A=$A137),CONCATENATE(AM$2,""*""))&gt;0,countif(filter(Status!$C:$C,Status!$A:$A=$A137),CONCATENATE(AM$2,""*"")),"""")"),"")</f>
        <v/>
      </c>
      <c r="AN137" s="23" t="str">
        <f>IFERROR(__xludf.DUMMYFUNCTION("if(countif(filter(Status!$C:$C,Status!$A:$A=$A137),CONCATENATE(AN$2,""*""))&gt;0,countif(filter(Status!$C:$C,Status!$A:$A=$A137),CONCATENATE(AN$2,""*"")),"""")"),"")</f>
        <v/>
      </c>
      <c r="AO137" s="23" t="str">
        <f>IFERROR(__xludf.DUMMYFUNCTION("if(countif(filter(Status!$C:$C,Status!$A:$A=$A137),CONCATENATE(AO$2,""*""))&gt;0,countif(filter(Status!$C:$C,Status!$A:$A=$A137),CONCATENATE(AO$2,""*"")),"""")"),"")</f>
        <v/>
      </c>
      <c r="AP137" s="23">
        <f>IFERROR(__xludf.DUMMYFUNCTION("counta(iferror(filter(Status!C:C,Status!A:A=A137)))"),0.0)</f>
        <v>0</v>
      </c>
      <c r="AQ137" s="23">
        <f t="shared" si="6"/>
        <v>0</v>
      </c>
    </row>
    <row r="138">
      <c r="A138" s="1" t="s">
        <v>1121</v>
      </c>
      <c r="B138" s="25" t="str">
        <f>IFERROR(__xludf.DUMMYFUNCTION("max(filter(Status!E:E,Status!A:A=A138))"),"#N/A")</f>
        <v>#N/A</v>
      </c>
      <c r="C138" s="23" t="str">
        <f t="shared" si="1"/>
        <v/>
      </c>
      <c r="D138" s="23" t="str">
        <f t="shared" si="2"/>
        <v/>
      </c>
      <c r="E138" s="23" t="str">
        <f t="shared" si="3"/>
        <v/>
      </c>
      <c r="F138" s="23" t="str">
        <f t="shared" si="4"/>
        <v/>
      </c>
      <c r="G138" s="25" t="str">
        <f t="shared" si="5"/>
        <v/>
      </c>
      <c r="J138" s="23">
        <f>IFERROR(__xludf.DUMMYFUNCTION("COUNTA(iferror(filter(Status!H:H,Status!A:A=A138)))"),0.0)</f>
        <v>0</v>
      </c>
      <c r="K138" s="25">
        <f>IFERROR(__xludf.DUMMYFUNCTION("COUNTA(iferror(filter(Status!H:H,Status!A:A=A138,Status!H:H=TRUE)))"),0.0)</f>
        <v>0</v>
      </c>
      <c r="L138" s="23">
        <f>IFERROR(__xludf.DUMMYFUNCTION("COUNTA(iferror(filter(Status!L:L,Status!A:A=A138)))"),0.0)</f>
        <v>0</v>
      </c>
      <c r="M138" s="25">
        <f>IFERROR(__xludf.DUMMYFUNCTION("COUNTA(iferror(filter(Status!L:L,Status!A:A=A138,Status!L:L=TRUE)))"),0.0)</f>
        <v>0</v>
      </c>
      <c r="N138" s="23">
        <f>IFERROR(__xludf.DUMMYFUNCTION("COUNTA(iferror(filter(Status!N:N,Status!A:A=A138,Status!N:N=TRUE)))"),0.0)</f>
        <v>0</v>
      </c>
      <c r="O138" s="25">
        <f>IFERROR(__xludf.DUMMYFUNCTION("COUNTA(iferror(filter(Status!N:N,Status!A:A=A138,Status!N:N=TRUE)))"),0.0)</f>
        <v>0</v>
      </c>
      <c r="P138" s="23">
        <f>IFERROR(__xludf.DUMMYFUNCTION("COUNTA(iferror(filter(Status!P:P,Status!A:A=A138)))"),0.0)</f>
        <v>0</v>
      </c>
      <c r="Q138" s="25">
        <f>IFERROR(__xludf.DUMMYFUNCTION("COUNTA(iferror(filter(Status!P:P,Status!A:A=A138,Status!P:P=TRUE)))"),0.0)</f>
        <v>0</v>
      </c>
      <c r="R138" s="23">
        <f>IFERROR(__xludf.DUMMYFUNCTION("COUNTA(iferror(filter(Status!R:R,Status!A:A=A138)))"),0.0)</f>
        <v>0</v>
      </c>
      <c r="S138" s="25">
        <f>IFERROR(__xludf.DUMMYFUNCTION("COUNTA(iferror(filter(Status!R:R,Status!A:A=A138,Status!R:R=TRUE)))"),0.0)</f>
        <v>0</v>
      </c>
      <c r="V138" s="23" t="str">
        <f>IFERROR(__xludf.DUMMYFUNCTION("if((countif(filter(Status!$C:$C,Status!$A:$A=$A138),CONCATENATE(V$2,""*""))-W138)&gt;0,(countif(filter(Status!$C:$C,Status!$A:$A=$A138),CONCATENATE(V$2,""*""))-W138),"""")"),"")</f>
        <v/>
      </c>
      <c r="W138" s="23" t="str">
        <f>IFERROR(__xludf.DUMMYFUNCTION("if(countif(filter(Status!$C:$C,Status!$A:$A=$A138),CONCATENATE(W$2,""*""))&gt;0,countif(filter(Status!$C:$C,Status!$A:$A=$A138),CONCATENATE(W$2,""*"")),"""")"),"")</f>
        <v/>
      </c>
      <c r="X138" s="23" t="str">
        <f>IFERROR(__xludf.DUMMYFUNCTION("if(countif(filter(Status!$C:$C,Status!$A:$A=$A138),CONCATENATE(X$2,""*""))&gt;0,countif(filter(Status!$C:$C,Status!$A:$A=$A138),CONCATENATE(X$2,""*"")),"""")"),"")</f>
        <v/>
      </c>
      <c r="Y138" s="23" t="str">
        <f>IFERROR(__xludf.DUMMYFUNCTION("if(countif(filter(Status!$C:$C,Status!$A:$A=$A138),CONCATENATE(Y$2,""*""))&gt;0,countif(filter(Status!$C:$C,Status!$A:$A=$A138),CONCATENATE(Y$2,""*"")),"""")"),"")</f>
        <v/>
      </c>
      <c r="Z138" s="23" t="str">
        <f>IFERROR(__xludf.DUMMYFUNCTION("if(countif(filter(Status!$C:$C,Status!$A:$A=$A138),CONCATENATE(Z$2,""*""))&gt;0,countif(filter(Status!$C:$C,Status!$A:$A=$A138),CONCATENATE(Z$2,""*"")),"""")"),"")</f>
        <v/>
      </c>
      <c r="AA138" s="23" t="str">
        <f>IFERROR(__xludf.DUMMYFUNCTION("if((countif(filter(Status!$C:$C,Status!$A:$A=$A138),CONCATENATE(AA$2,""*""))-AB138)&gt;0,(countif(filter(Status!$C:$C,Status!$A:$A=$A138),CONCATENATE(AA$2,""*""))-AB138),"""")"),"")</f>
        <v/>
      </c>
      <c r="AB138" s="23" t="str">
        <f>IFERROR(__xludf.DUMMYFUNCTION("if(countif(filter(Status!$C:$C,Status!$A:$A=$A138),CONCATENATE(AB$2,""*""))&gt;0,countif(filter(Status!$C:$C,Status!$A:$A=$A138),CONCATENATE(AB$2,""*"")),"""")"),"")</f>
        <v/>
      </c>
      <c r="AC138" s="23" t="str">
        <f>IFERROR(__xludf.DUMMYFUNCTION("if(countif(filter(Status!$C:$C,Status!$A:$A=$A138),CONCATENATE(AC$2,""*""))&gt;0,countif(filter(Status!$C:$C,Status!$A:$A=$A138),CONCATENATE(AC$2,""*"")),"""")"),"")</f>
        <v/>
      </c>
      <c r="AD138" s="23" t="str">
        <f>IFERROR(__xludf.DUMMYFUNCTION("if(countif(filter(Status!$C:$C,Status!$A:$A=$A138),CONCATENATE(AD$2,""*""))&gt;0,countif(filter(Status!$C:$C,Status!$A:$A=$A138),CONCATENATE(AD$2,""*"")),"""")"),"")</f>
        <v/>
      </c>
      <c r="AE138" s="23" t="str">
        <f>IFERROR(__xludf.DUMMYFUNCTION("if(countif(filter(Status!$C:$C,Status!$A:$A=$A138),CONCATENATE(AE$2,""*""))&gt;0,countif(filter(Status!$C:$C,Status!$A:$A=$A138),CONCATENATE(AE$2,""*"")),"""")"),"")</f>
        <v/>
      </c>
      <c r="AF138" s="23" t="str">
        <f>IFERROR(__xludf.DUMMYFUNCTION("if(countif(filter(Status!$C:$C,Status!$A:$A=$A138),CONCATENATE(AF$2,""*""))&gt;0,countif(filter(Status!$C:$C,Status!$A:$A=$A138),CONCATENATE(AF$2,""*"")),"""")"),"")</f>
        <v/>
      </c>
      <c r="AG138" s="23" t="str">
        <f>IFERROR(__xludf.DUMMYFUNCTION("if(countif(filter(Status!$C:$C,Status!$A:$A=$A138),CONCATENATE(AG$2,""*""))&gt;0,countif(filter(Status!$C:$C,Status!$A:$A=$A138),CONCATENATE(AG$2,""*"")),"""")"),"")</f>
        <v/>
      </c>
      <c r="AH138" s="23" t="str">
        <f>IFERROR(__xludf.DUMMYFUNCTION("if(countif(filter(Status!$C:$C,Status!$A:$A=$A138),CONCATENATE(AH$2,""*""))&gt;0,countif(filter(Status!$C:$C,Status!$A:$A=$A138),CONCATENATE(AH$2,""*"")),"""")"),"")</f>
        <v/>
      </c>
      <c r="AI138" s="23" t="str">
        <f>IFERROR(__xludf.DUMMYFUNCTION("if(countif(filter(Status!$C:$C,Status!$A:$A=$A138),CONCATENATE(AI$2,""*""))&gt;0,countif(filter(Status!$C:$C,Status!$A:$A=$A138),CONCATENATE(AI$2,""*"")),"""")"),"")</f>
        <v/>
      </c>
      <c r="AJ138" s="23" t="str">
        <f>IFERROR(__xludf.DUMMYFUNCTION("if(countif(filter(Status!$C:$C,Status!$A:$A=$A138),CONCATENATE(AJ$2,""*""))&gt;0,countif(filter(Status!$C:$C,Status!$A:$A=$A138),CONCATENATE(AJ$2,""*"")),"""")"),"")</f>
        <v/>
      </c>
      <c r="AK138" s="23" t="str">
        <f>IFERROR(__xludf.DUMMYFUNCTION("if(countif(filter(Status!$C:$C,Status!$A:$A=$A138),CONCATENATE(AK$2,""*""))&gt;0,countif(filter(Status!$C:$C,Status!$A:$A=$A138),CONCATENATE(AK$2,""*"")),"""")"),"")</f>
        <v/>
      </c>
      <c r="AL138" s="23" t="str">
        <f>IFERROR(__xludf.DUMMYFUNCTION("if(countif(filter(Status!$C:$C,Status!$A:$A=$A138),CONCATENATE(AL$2,""*""))&gt;0,countif(filter(Status!$C:$C,Status!$A:$A=$A138),CONCATENATE(AL$2,""*"")),"""")"),"")</f>
        <v/>
      </c>
      <c r="AM138" s="23" t="str">
        <f>IFERROR(__xludf.DUMMYFUNCTION("if(countif(filter(Status!$C:$C,Status!$A:$A=$A138),CONCATENATE(AM$2,""*""))&gt;0,countif(filter(Status!$C:$C,Status!$A:$A=$A138),CONCATENATE(AM$2,""*"")),"""")"),"")</f>
        <v/>
      </c>
      <c r="AN138" s="23" t="str">
        <f>IFERROR(__xludf.DUMMYFUNCTION("if(countif(filter(Status!$C:$C,Status!$A:$A=$A138),CONCATENATE(AN$2,""*""))&gt;0,countif(filter(Status!$C:$C,Status!$A:$A=$A138),CONCATENATE(AN$2,""*"")),"""")"),"")</f>
        <v/>
      </c>
      <c r="AO138" s="23" t="str">
        <f>IFERROR(__xludf.DUMMYFUNCTION("if(countif(filter(Status!$C:$C,Status!$A:$A=$A138),CONCATENATE(AO$2,""*""))&gt;0,countif(filter(Status!$C:$C,Status!$A:$A=$A138),CONCATENATE(AO$2,""*"")),"""")"),"")</f>
        <v/>
      </c>
      <c r="AP138" s="23">
        <f>IFERROR(__xludf.DUMMYFUNCTION("counta(iferror(filter(Status!C:C,Status!A:A=A138)))"),0.0)</f>
        <v>0</v>
      </c>
      <c r="AQ138" s="23">
        <f t="shared" si="6"/>
        <v>0</v>
      </c>
    </row>
    <row r="139">
      <c r="A139" s="1" t="s">
        <v>1124</v>
      </c>
      <c r="B139" s="25" t="str">
        <f>IFERROR(__xludf.DUMMYFUNCTION("max(filter(Status!E:E,Status!A:A=A139))"),"#N/A")</f>
        <v>#N/A</v>
      </c>
      <c r="C139" s="23" t="str">
        <f t="shared" si="1"/>
        <v/>
      </c>
      <c r="D139" s="23" t="str">
        <f t="shared" si="2"/>
        <v/>
      </c>
      <c r="E139" s="23" t="str">
        <f t="shared" si="3"/>
        <v/>
      </c>
      <c r="F139" s="23" t="str">
        <f t="shared" si="4"/>
        <v/>
      </c>
      <c r="G139" s="25" t="str">
        <f t="shared" si="5"/>
        <v/>
      </c>
      <c r="J139" s="23">
        <f>IFERROR(__xludf.DUMMYFUNCTION("COUNTA(iferror(filter(Status!H:H,Status!A:A=A139)))"),0.0)</f>
        <v>0</v>
      </c>
      <c r="K139" s="25">
        <f>IFERROR(__xludf.DUMMYFUNCTION("COUNTA(iferror(filter(Status!H:H,Status!A:A=A139,Status!H:H=TRUE)))"),0.0)</f>
        <v>0</v>
      </c>
      <c r="L139" s="23">
        <f>IFERROR(__xludf.DUMMYFUNCTION("COUNTA(iferror(filter(Status!L:L,Status!A:A=A139)))"),0.0)</f>
        <v>0</v>
      </c>
      <c r="M139" s="25">
        <f>IFERROR(__xludf.DUMMYFUNCTION("COUNTA(iferror(filter(Status!L:L,Status!A:A=A139,Status!L:L=TRUE)))"),0.0)</f>
        <v>0</v>
      </c>
      <c r="N139" s="23">
        <f>IFERROR(__xludf.DUMMYFUNCTION("COUNTA(iferror(filter(Status!N:N,Status!A:A=A139,Status!N:N=TRUE)))"),0.0)</f>
        <v>0</v>
      </c>
      <c r="O139" s="25">
        <f>IFERROR(__xludf.DUMMYFUNCTION("COUNTA(iferror(filter(Status!N:N,Status!A:A=A139,Status!N:N=TRUE)))"),0.0)</f>
        <v>0</v>
      </c>
      <c r="P139" s="23">
        <f>IFERROR(__xludf.DUMMYFUNCTION("COUNTA(iferror(filter(Status!P:P,Status!A:A=A139)))"),0.0)</f>
        <v>0</v>
      </c>
      <c r="Q139" s="25">
        <f>IFERROR(__xludf.DUMMYFUNCTION("COUNTA(iferror(filter(Status!P:P,Status!A:A=A139,Status!P:P=TRUE)))"),0.0)</f>
        <v>0</v>
      </c>
      <c r="R139" s="23">
        <f>IFERROR(__xludf.DUMMYFUNCTION("COUNTA(iferror(filter(Status!R:R,Status!A:A=A139)))"),0.0)</f>
        <v>0</v>
      </c>
      <c r="S139" s="25">
        <f>IFERROR(__xludf.DUMMYFUNCTION("COUNTA(iferror(filter(Status!R:R,Status!A:A=A139,Status!R:R=TRUE)))"),0.0)</f>
        <v>0</v>
      </c>
      <c r="V139" s="23" t="str">
        <f>IFERROR(__xludf.DUMMYFUNCTION("if((countif(filter(Status!$C:$C,Status!$A:$A=$A139),CONCATENATE(V$2,""*""))-W139)&gt;0,(countif(filter(Status!$C:$C,Status!$A:$A=$A139),CONCATENATE(V$2,""*""))-W139),"""")"),"")</f>
        <v/>
      </c>
      <c r="W139" s="23" t="str">
        <f>IFERROR(__xludf.DUMMYFUNCTION("if(countif(filter(Status!$C:$C,Status!$A:$A=$A139),CONCATENATE(W$2,""*""))&gt;0,countif(filter(Status!$C:$C,Status!$A:$A=$A139),CONCATENATE(W$2,""*"")),"""")"),"")</f>
        <v/>
      </c>
      <c r="X139" s="23" t="str">
        <f>IFERROR(__xludf.DUMMYFUNCTION("if(countif(filter(Status!$C:$C,Status!$A:$A=$A139),CONCATENATE(X$2,""*""))&gt;0,countif(filter(Status!$C:$C,Status!$A:$A=$A139),CONCATENATE(X$2,""*"")),"""")"),"")</f>
        <v/>
      </c>
      <c r="Y139" s="23" t="str">
        <f>IFERROR(__xludf.DUMMYFUNCTION("if(countif(filter(Status!$C:$C,Status!$A:$A=$A139),CONCATENATE(Y$2,""*""))&gt;0,countif(filter(Status!$C:$C,Status!$A:$A=$A139),CONCATENATE(Y$2,""*"")),"""")"),"")</f>
        <v/>
      </c>
      <c r="Z139" s="23" t="str">
        <f>IFERROR(__xludf.DUMMYFUNCTION("if(countif(filter(Status!$C:$C,Status!$A:$A=$A139),CONCATENATE(Z$2,""*""))&gt;0,countif(filter(Status!$C:$C,Status!$A:$A=$A139),CONCATENATE(Z$2,""*"")),"""")"),"")</f>
        <v/>
      </c>
      <c r="AA139" s="23" t="str">
        <f>IFERROR(__xludf.DUMMYFUNCTION("if((countif(filter(Status!$C:$C,Status!$A:$A=$A139),CONCATENATE(AA$2,""*""))-AB139)&gt;0,(countif(filter(Status!$C:$C,Status!$A:$A=$A139),CONCATENATE(AA$2,""*""))-AB139),"""")"),"")</f>
        <v/>
      </c>
      <c r="AB139" s="23" t="str">
        <f>IFERROR(__xludf.DUMMYFUNCTION("if(countif(filter(Status!$C:$C,Status!$A:$A=$A139),CONCATENATE(AB$2,""*""))&gt;0,countif(filter(Status!$C:$C,Status!$A:$A=$A139),CONCATENATE(AB$2,""*"")),"""")"),"")</f>
        <v/>
      </c>
      <c r="AC139" s="23" t="str">
        <f>IFERROR(__xludf.DUMMYFUNCTION("if(countif(filter(Status!$C:$C,Status!$A:$A=$A139),CONCATENATE(AC$2,""*""))&gt;0,countif(filter(Status!$C:$C,Status!$A:$A=$A139),CONCATENATE(AC$2,""*"")),"""")"),"")</f>
        <v/>
      </c>
      <c r="AD139" s="23" t="str">
        <f>IFERROR(__xludf.DUMMYFUNCTION("if(countif(filter(Status!$C:$C,Status!$A:$A=$A139),CONCATENATE(AD$2,""*""))&gt;0,countif(filter(Status!$C:$C,Status!$A:$A=$A139),CONCATENATE(AD$2,""*"")),"""")"),"")</f>
        <v/>
      </c>
      <c r="AE139" s="23" t="str">
        <f>IFERROR(__xludf.DUMMYFUNCTION("if(countif(filter(Status!$C:$C,Status!$A:$A=$A139),CONCATENATE(AE$2,""*""))&gt;0,countif(filter(Status!$C:$C,Status!$A:$A=$A139),CONCATENATE(AE$2,""*"")),"""")"),"")</f>
        <v/>
      </c>
      <c r="AF139" s="23" t="str">
        <f>IFERROR(__xludf.DUMMYFUNCTION("if(countif(filter(Status!$C:$C,Status!$A:$A=$A139),CONCATENATE(AF$2,""*""))&gt;0,countif(filter(Status!$C:$C,Status!$A:$A=$A139),CONCATENATE(AF$2,""*"")),"""")"),"")</f>
        <v/>
      </c>
      <c r="AG139" s="23" t="str">
        <f>IFERROR(__xludf.DUMMYFUNCTION("if(countif(filter(Status!$C:$C,Status!$A:$A=$A139),CONCATENATE(AG$2,""*""))&gt;0,countif(filter(Status!$C:$C,Status!$A:$A=$A139),CONCATENATE(AG$2,""*"")),"""")"),"")</f>
        <v/>
      </c>
      <c r="AH139" s="23" t="str">
        <f>IFERROR(__xludf.DUMMYFUNCTION("if(countif(filter(Status!$C:$C,Status!$A:$A=$A139),CONCATENATE(AH$2,""*""))&gt;0,countif(filter(Status!$C:$C,Status!$A:$A=$A139),CONCATENATE(AH$2,""*"")),"""")"),"")</f>
        <v/>
      </c>
      <c r="AI139" s="23" t="str">
        <f>IFERROR(__xludf.DUMMYFUNCTION("if(countif(filter(Status!$C:$C,Status!$A:$A=$A139),CONCATENATE(AI$2,""*""))&gt;0,countif(filter(Status!$C:$C,Status!$A:$A=$A139),CONCATENATE(AI$2,""*"")),"""")"),"")</f>
        <v/>
      </c>
      <c r="AJ139" s="23" t="str">
        <f>IFERROR(__xludf.DUMMYFUNCTION("if(countif(filter(Status!$C:$C,Status!$A:$A=$A139),CONCATENATE(AJ$2,""*""))&gt;0,countif(filter(Status!$C:$C,Status!$A:$A=$A139),CONCATENATE(AJ$2,""*"")),"""")"),"")</f>
        <v/>
      </c>
      <c r="AK139" s="23" t="str">
        <f>IFERROR(__xludf.DUMMYFUNCTION("if(countif(filter(Status!$C:$C,Status!$A:$A=$A139),CONCATENATE(AK$2,""*""))&gt;0,countif(filter(Status!$C:$C,Status!$A:$A=$A139),CONCATENATE(AK$2,""*"")),"""")"),"")</f>
        <v/>
      </c>
      <c r="AL139" s="23" t="str">
        <f>IFERROR(__xludf.DUMMYFUNCTION("if(countif(filter(Status!$C:$C,Status!$A:$A=$A139),CONCATENATE(AL$2,""*""))&gt;0,countif(filter(Status!$C:$C,Status!$A:$A=$A139),CONCATENATE(AL$2,""*"")),"""")"),"")</f>
        <v/>
      </c>
      <c r="AM139" s="23" t="str">
        <f>IFERROR(__xludf.DUMMYFUNCTION("if(countif(filter(Status!$C:$C,Status!$A:$A=$A139),CONCATENATE(AM$2,""*""))&gt;0,countif(filter(Status!$C:$C,Status!$A:$A=$A139),CONCATENATE(AM$2,""*"")),"""")"),"")</f>
        <v/>
      </c>
      <c r="AN139" s="23" t="str">
        <f>IFERROR(__xludf.DUMMYFUNCTION("if(countif(filter(Status!$C:$C,Status!$A:$A=$A139),CONCATENATE(AN$2,""*""))&gt;0,countif(filter(Status!$C:$C,Status!$A:$A=$A139),CONCATENATE(AN$2,""*"")),"""")"),"")</f>
        <v/>
      </c>
      <c r="AO139" s="23" t="str">
        <f>IFERROR(__xludf.DUMMYFUNCTION("if(countif(filter(Status!$C:$C,Status!$A:$A=$A139),CONCATENATE(AO$2,""*""))&gt;0,countif(filter(Status!$C:$C,Status!$A:$A=$A139),CONCATENATE(AO$2,""*"")),"""")"),"")</f>
        <v/>
      </c>
      <c r="AP139" s="23">
        <f>IFERROR(__xludf.DUMMYFUNCTION("counta(iferror(filter(Status!C:C,Status!A:A=A139)))"),0.0)</f>
        <v>0</v>
      </c>
      <c r="AQ139" s="23">
        <f t="shared" si="6"/>
        <v>0</v>
      </c>
    </row>
    <row r="140">
      <c r="A140" s="1" t="s">
        <v>1127</v>
      </c>
      <c r="B140" s="25" t="str">
        <f>IFERROR(__xludf.DUMMYFUNCTION("max(filter(Status!E:E,Status!A:A=A140))"),"#N/A")</f>
        <v>#N/A</v>
      </c>
      <c r="C140" s="23" t="str">
        <f t="shared" si="1"/>
        <v/>
      </c>
      <c r="D140" s="23" t="str">
        <f t="shared" si="2"/>
        <v/>
      </c>
      <c r="E140" s="23" t="str">
        <f t="shared" si="3"/>
        <v/>
      </c>
      <c r="F140" s="23" t="str">
        <f t="shared" si="4"/>
        <v/>
      </c>
      <c r="G140" s="25" t="str">
        <f t="shared" si="5"/>
        <v/>
      </c>
      <c r="J140" s="23">
        <f>IFERROR(__xludf.DUMMYFUNCTION("COUNTA(iferror(filter(Status!H:H,Status!A:A=A140)))"),0.0)</f>
        <v>0</v>
      </c>
      <c r="K140" s="25">
        <f>IFERROR(__xludf.DUMMYFUNCTION("COUNTA(iferror(filter(Status!H:H,Status!A:A=A140,Status!H:H=TRUE)))"),0.0)</f>
        <v>0</v>
      </c>
      <c r="L140" s="23">
        <f>IFERROR(__xludf.DUMMYFUNCTION("COUNTA(iferror(filter(Status!L:L,Status!A:A=A140)))"),0.0)</f>
        <v>0</v>
      </c>
      <c r="M140" s="25">
        <f>IFERROR(__xludf.DUMMYFUNCTION("COUNTA(iferror(filter(Status!L:L,Status!A:A=A140,Status!L:L=TRUE)))"),0.0)</f>
        <v>0</v>
      </c>
      <c r="N140" s="23">
        <f>IFERROR(__xludf.DUMMYFUNCTION("COUNTA(iferror(filter(Status!N:N,Status!A:A=A140,Status!N:N=TRUE)))"),0.0)</f>
        <v>0</v>
      </c>
      <c r="O140" s="25">
        <f>IFERROR(__xludf.DUMMYFUNCTION("COUNTA(iferror(filter(Status!N:N,Status!A:A=A140,Status!N:N=TRUE)))"),0.0)</f>
        <v>0</v>
      </c>
      <c r="P140" s="23">
        <f>IFERROR(__xludf.DUMMYFUNCTION("COUNTA(iferror(filter(Status!P:P,Status!A:A=A140)))"),0.0)</f>
        <v>0</v>
      </c>
      <c r="Q140" s="25">
        <f>IFERROR(__xludf.DUMMYFUNCTION("COUNTA(iferror(filter(Status!P:P,Status!A:A=A140,Status!P:P=TRUE)))"),0.0)</f>
        <v>0</v>
      </c>
      <c r="R140" s="23">
        <f>IFERROR(__xludf.DUMMYFUNCTION("COUNTA(iferror(filter(Status!R:R,Status!A:A=A140)))"),0.0)</f>
        <v>0</v>
      </c>
      <c r="S140" s="25">
        <f>IFERROR(__xludf.DUMMYFUNCTION("COUNTA(iferror(filter(Status!R:R,Status!A:A=A140,Status!R:R=TRUE)))"),0.0)</f>
        <v>0</v>
      </c>
      <c r="V140" s="23" t="str">
        <f>IFERROR(__xludf.DUMMYFUNCTION("if((countif(filter(Status!$C:$C,Status!$A:$A=$A140),CONCATENATE(V$2,""*""))-W140)&gt;0,(countif(filter(Status!$C:$C,Status!$A:$A=$A140),CONCATENATE(V$2,""*""))-W140),"""")"),"")</f>
        <v/>
      </c>
      <c r="W140" s="23" t="str">
        <f>IFERROR(__xludf.DUMMYFUNCTION("if(countif(filter(Status!$C:$C,Status!$A:$A=$A140),CONCATENATE(W$2,""*""))&gt;0,countif(filter(Status!$C:$C,Status!$A:$A=$A140),CONCATENATE(W$2,""*"")),"""")"),"")</f>
        <v/>
      </c>
      <c r="X140" s="23" t="str">
        <f>IFERROR(__xludf.DUMMYFUNCTION("if(countif(filter(Status!$C:$C,Status!$A:$A=$A140),CONCATENATE(X$2,""*""))&gt;0,countif(filter(Status!$C:$C,Status!$A:$A=$A140),CONCATENATE(X$2,""*"")),"""")"),"")</f>
        <v/>
      </c>
      <c r="Y140" s="23" t="str">
        <f>IFERROR(__xludf.DUMMYFUNCTION("if(countif(filter(Status!$C:$C,Status!$A:$A=$A140),CONCATENATE(Y$2,""*""))&gt;0,countif(filter(Status!$C:$C,Status!$A:$A=$A140),CONCATENATE(Y$2,""*"")),"""")"),"")</f>
        <v/>
      </c>
      <c r="Z140" s="23" t="str">
        <f>IFERROR(__xludf.DUMMYFUNCTION("if(countif(filter(Status!$C:$C,Status!$A:$A=$A140),CONCATENATE(Z$2,""*""))&gt;0,countif(filter(Status!$C:$C,Status!$A:$A=$A140),CONCATENATE(Z$2,""*"")),"""")"),"")</f>
        <v/>
      </c>
      <c r="AA140" s="23" t="str">
        <f>IFERROR(__xludf.DUMMYFUNCTION("if((countif(filter(Status!$C:$C,Status!$A:$A=$A140),CONCATENATE(AA$2,""*""))-AB140)&gt;0,(countif(filter(Status!$C:$C,Status!$A:$A=$A140),CONCATENATE(AA$2,""*""))-AB140),"""")"),"")</f>
        <v/>
      </c>
      <c r="AB140" s="23" t="str">
        <f>IFERROR(__xludf.DUMMYFUNCTION("if(countif(filter(Status!$C:$C,Status!$A:$A=$A140),CONCATENATE(AB$2,""*""))&gt;0,countif(filter(Status!$C:$C,Status!$A:$A=$A140),CONCATENATE(AB$2,""*"")),"""")"),"")</f>
        <v/>
      </c>
      <c r="AC140" s="23" t="str">
        <f>IFERROR(__xludf.DUMMYFUNCTION("if(countif(filter(Status!$C:$C,Status!$A:$A=$A140),CONCATENATE(AC$2,""*""))&gt;0,countif(filter(Status!$C:$C,Status!$A:$A=$A140),CONCATENATE(AC$2,""*"")),"""")"),"")</f>
        <v/>
      </c>
      <c r="AD140" s="23" t="str">
        <f>IFERROR(__xludf.DUMMYFUNCTION("if(countif(filter(Status!$C:$C,Status!$A:$A=$A140),CONCATENATE(AD$2,""*""))&gt;0,countif(filter(Status!$C:$C,Status!$A:$A=$A140),CONCATENATE(AD$2,""*"")),"""")"),"")</f>
        <v/>
      </c>
      <c r="AE140" s="23" t="str">
        <f>IFERROR(__xludf.DUMMYFUNCTION("if(countif(filter(Status!$C:$C,Status!$A:$A=$A140),CONCATENATE(AE$2,""*""))&gt;0,countif(filter(Status!$C:$C,Status!$A:$A=$A140),CONCATENATE(AE$2,""*"")),"""")"),"")</f>
        <v/>
      </c>
      <c r="AF140" s="23" t="str">
        <f>IFERROR(__xludf.DUMMYFUNCTION("if(countif(filter(Status!$C:$C,Status!$A:$A=$A140),CONCATENATE(AF$2,""*""))&gt;0,countif(filter(Status!$C:$C,Status!$A:$A=$A140),CONCATENATE(AF$2,""*"")),"""")"),"")</f>
        <v/>
      </c>
      <c r="AG140" s="23" t="str">
        <f>IFERROR(__xludf.DUMMYFUNCTION("if(countif(filter(Status!$C:$C,Status!$A:$A=$A140),CONCATENATE(AG$2,""*""))&gt;0,countif(filter(Status!$C:$C,Status!$A:$A=$A140),CONCATENATE(AG$2,""*"")),"""")"),"")</f>
        <v/>
      </c>
      <c r="AH140" s="23" t="str">
        <f>IFERROR(__xludf.DUMMYFUNCTION("if(countif(filter(Status!$C:$C,Status!$A:$A=$A140),CONCATENATE(AH$2,""*""))&gt;0,countif(filter(Status!$C:$C,Status!$A:$A=$A140),CONCATENATE(AH$2,""*"")),"""")"),"")</f>
        <v/>
      </c>
      <c r="AI140" s="23" t="str">
        <f>IFERROR(__xludf.DUMMYFUNCTION("if(countif(filter(Status!$C:$C,Status!$A:$A=$A140),CONCATENATE(AI$2,""*""))&gt;0,countif(filter(Status!$C:$C,Status!$A:$A=$A140),CONCATENATE(AI$2,""*"")),"""")"),"")</f>
        <v/>
      </c>
      <c r="AJ140" s="23" t="str">
        <f>IFERROR(__xludf.DUMMYFUNCTION("if(countif(filter(Status!$C:$C,Status!$A:$A=$A140),CONCATENATE(AJ$2,""*""))&gt;0,countif(filter(Status!$C:$C,Status!$A:$A=$A140),CONCATENATE(AJ$2,""*"")),"""")"),"")</f>
        <v/>
      </c>
      <c r="AK140" s="23" t="str">
        <f>IFERROR(__xludf.DUMMYFUNCTION("if(countif(filter(Status!$C:$C,Status!$A:$A=$A140),CONCATENATE(AK$2,""*""))&gt;0,countif(filter(Status!$C:$C,Status!$A:$A=$A140),CONCATENATE(AK$2,""*"")),"""")"),"")</f>
        <v/>
      </c>
      <c r="AL140" s="23" t="str">
        <f>IFERROR(__xludf.DUMMYFUNCTION("if(countif(filter(Status!$C:$C,Status!$A:$A=$A140),CONCATENATE(AL$2,""*""))&gt;0,countif(filter(Status!$C:$C,Status!$A:$A=$A140),CONCATENATE(AL$2,""*"")),"""")"),"")</f>
        <v/>
      </c>
      <c r="AM140" s="23" t="str">
        <f>IFERROR(__xludf.DUMMYFUNCTION("if(countif(filter(Status!$C:$C,Status!$A:$A=$A140),CONCATENATE(AM$2,""*""))&gt;0,countif(filter(Status!$C:$C,Status!$A:$A=$A140),CONCATENATE(AM$2,""*"")),"""")"),"")</f>
        <v/>
      </c>
      <c r="AN140" s="23" t="str">
        <f>IFERROR(__xludf.DUMMYFUNCTION("if(countif(filter(Status!$C:$C,Status!$A:$A=$A140),CONCATENATE(AN$2,""*""))&gt;0,countif(filter(Status!$C:$C,Status!$A:$A=$A140),CONCATENATE(AN$2,""*"")),"""")"),"")</f>
        <v/>
      </c>
      <c r="AO140" s="23" t="str">
        <f>IFERROR(__xludf.DUMMYFUNCTION("if(countif(filter(Status!$C:$C,Status!$A:$A=$A140),CONCATENATE(AO$2,""*""))&gt;0,countif(filter(Status!$C:$C,Status!$A:$A=$A140),CONCATENATE(AO$2,""*"")),"""")"),"")</f>
        <v/>
      </c>
      <c r="AP140" s="23">
        <f>IFERROR(__xludf.DUMMYFUNCTION("counta(iferror(filter(Status!C:C,Status!A:A=A140)))"),0.0)</f>
        <v>0</v>
      </c>
      <c r="AQ140" s="23">
        <f t="shared" si="6"/>
        <v>0</v>
      </c>
    </row>
    <row r="141">
      <c r="A141" s="1" t="s">
        <v>1130</v>
      </c>
      <c r="B141" s="25" t="str">
        <f>IFERROR(__xludf.DUMMYFUNCTION("max(filter(Status!E:E,Status!A:A=A141))"),"#N/A")</f>
        <v>#N/A</v>
      </c>
      <c r="C141" s="23" t="str">
        <f t="shared" si="1"/>
        <v/>
      </c>
      <c r="D141" s="23" t="str">
        <f t="shared" si="2"/>
        <v/>
      </c>
      <c r="E141" s="23" t="str">
        <f t="shared" si="3"/>
        <v/>
      </c>
      <c r="F141" s="23" t="str">
        <f t="shared" si="4"/>
        <v/>
      </c>
      <c r="G141" s="25" t="str">
        <f t="shared" si="5"/>
        <v/>
      </c>
      <c r="J141" s="23">
        <f>IFERROR(__xludf.DUMMYFUNCTION("COUNTA(iferror(filter(Status!H:H,Status!A:A=A141)))"),0.0)</f>
        <v>0</v>
      </c>
      <c r="K141" s="25">
        <f>IFERROR(__xludf.DUMMYFUNCTION("COUNTA(iferror(filter(Status!H:H,Status!A:A=A141,Status!H:H=TRUE)))"),0.0)</f>
        <v>0</v>
      </c>
      <c r="L141" s="23">
        <f>IFERROR(__xludf.DUMMYFUNCTION("COUNTA(iferror(filter(Status!L:L,Status!A:A=A141)))"),0.0)</f>
        <v>0</v>
      </c>
      <c r="M141" s="25">
        <f>IFERROR(__xludf.DUMMYFUNCTION("COUNTA(iferror(filter(Status!L:L,Status!A:A=A141,Status!L:L=TRUE)))"),0.0)</f>
        <v>0</v>
      </c>
      <c r="N141" s="23">
        <f>IFERROR(__xludf.DUMMYFUNCTION("COUNTA(iferror(filter(Status!N:N,Status!A:A=A141,Status!N:N=TRUE)))"),0.0)</f>
        <v>0</v>
      </c>
      <c r="O141" s="25">
        <f>IFERROR(__xludf.DUMMYFUNCTION("COUNTA(iferror(filter(Status!N:N,Status!A:A=A141,Status!N:N=TRUE)))"),0.0)</f>
        <v>0</v>
      </c>
      <c r="P141" s="23">
        <f>IFERROR(__xludf.DUMMYFUNCTION("COUNTA(iferror(filter(Status!P:P,Status!A:A=A141)))"),0.0)</f>
        <v>0</v>
      </c>
      <c r="Q141" s="25">
        <f>IFERROR(__xludf.DUMMYFUNCTION("COUNTA(iferror(filter(Status!P:P,Status!A:A=A141,Status!P:P=TRUE)))"),0.0)</f>
        <v>0</v>
      </c>
      <c r="R141" s="23">
        <f>IFERROR(__xludf.DUMMYFUNCTION("COUNTA(iferror(filter(Status!R:R,Status!A:A=A141)))"),0.0)</f>
        <v>0</v>
      </c>
      <c r="S141" s="25">
        <f>IFERROR(__xludf.DUMMYFUNCTION("COUNTA(iferror(filter(Status!R:R,Status!A:A=A141,Status!R:R=TRUE)))"),0.0)</f>
        <v>0</v>
      </c>
      <c r="V141" s="23" t="str">
        <f>IFERROR(__xludf.DUMMYFUNCTION("if((countif(filter(Status!$C:$C,Status!$A:$A=$A141),CONCATENATE(V$2,""*""))-W141)&gt;0,(countif(filter(Status!$C:$C,Status!$A:$A=$A141),CONCATENATE(V$2,""*""))-W141),"""")"),"")</f>
        <v/>
      </c>
      <c r="W141" s="23" t="str">
        <f>IFERROR(__xludf.DUMMYFUNCTION("if(countif(filter(Status!$C:$C,Status!$A:$A=$A141),CONCATENATE(W$2,""*""))&gt;0,countif(filter(Status!$C:$C,Status!$A:$A=$A141),CONCATENATE(W$2,""*"")),"""")"),"")</f>
        <v/>
      </c>
      <c r="X141" s="23" t="str">
        <f>IFERROR(__xludf.DUMMYFUNCTION("if(countif(filter(Status!$C:$C,Status!$A:$A=$A141),CONCATENATE(X$2,""*""))&gt;0,countif(filter(Status!$C:$C,Status!$A:$A=$A141),CONCATENATE(X$2,""*"")),"""")"),"")</f>
        <v/>
      </c>
      <c r="Y141" s="23" t="str">
        <f>IFERROR(__xludf.DUMMYFUNCTION("if(countif(filter(Status!$C:$C,Status!$A:$A=$A141),CONCATENATE(Y$2,""*""))&gt;0,countif(filter(Status!$C:$C,Status!$A:$A=$A141),CONCATENATE(Y$2,""*"")),"""")"),"")</f>
        <v/>
      </c>
      <c r="Z141" s="23" t="str">
        <f>IFERROR(__xludf.DUMMYFUNCTION("if(countif(filter(Status!$C:$C,Status!$A:$A=$A141),CONCATENATE(Z$2,""*""))&gt;0,countif(filter(Status!$C:$C,Status!$A:$A=$A141),CONCATENATE(Z$2,""*"")),"""")"),"")</f>
        <v/>
      </c>
      <c r="AA141" s="23" t="str">
        <f>IFERROR(__xludf.DUMMYFUNCTION("if((countif(filter(Status!$C:$C,Status!$A:$A=$A141),CONCATENATE(AA$2,""*""))-AB141)&gt;0,(countif(filter(Status!$C:$C,Status!$A:$A=$A141),CONCATENATE(AA$2,""*""))-AB141),"""")"),"")</f>
        <v/>
      </c>
      <c r="AB141" s="23" t="str">
        <f>IFERROR(__xludf.DUMMYFUNCTION("if(countif(filter(Status!$C:$C,Status!$A:$A=$A141),CONCATENATE(AB$2,""*""))&gt;0,countif(filter(Status!$C:$C,Status!$A:$A=$A141),CONCATENATE(AB$2,""*"")),"""")"),"")</f>
        <v/>
      </c>
      <c r="AC141" s="23" t="str">
        <f>IFERROR(__xludf.DUMMYFUNCTION("if(countif(filter(Status!$C:$C,Status!$A:$A=$A141),CONCATENATE(AC$2,""*""))&gt;0,countif(filter(Status!$C:$C,Status!$A:$A=$A141),CONCATENATE(AC$2,""*"")),"""")"),"")</f>
        <v/>
      </c>
      <c r="AD141" s="23" t="str">
        <f>IFERROR(__xludf.DUMMYFUNCTION("if(countif(filter(Status!$C:$C,Status!$A:$A=$A141),CONCATENATE(AD$2,""*""))&gt;0,countif(filter(Status!$C:$C,Status!$A:$A=$A141),CONCATENATE(AD$2,""*"")),"""")"),"")</f>
        <v/>
      </c>
      <c r="AE141" s="23" t="str">
        <f>IFERROR(__xludf.DUMMYFUNCTION("if(countif(filter(Status!$C:$C,Status!$A:$A=$A141),CONCATENATE(AE$2,""*""))&gt;0,countif(filter(Status!$C:$C,Status!$A:$A=$A141),CONCATENATE(AE$2,""*"")),"""")"),"")</f>
        <v/>
      </c>
      <c r="AF141" s="23" t="str">
        <f>IFERROR(__xludf.DUMMYFUNCTION("if(countif(filter(Status!$C:$C,Status!$A:$A=$A141),CONCATENATE(AF$2,""*""))&gt;0,countif(filter(Status!$C:$C,Status!$A:$A=$A141),CONCATENATE(AF$2,""*"")),"""")"),"")</f>
        <v/>
      </c>
      <c r="AG141" s="23" t="str">
        <f>IFERROR(__xludf.DUMMYFUNCTION("if(countif(filter(Status!$C:$C,Status!$A:$A=$A141),CONCATENATE(AG$2,""*""))&gt;0,countif(filter(Status!$C:$C,Status!$A:$A=$A141),CONCATENATE(AG$2,""*"")),"""")"),"")</f>
        <v/>
      </c>
      <c r="AH141" s="23" t="str">
        <f>IFERROR(__xludf.DUMMYFUNCTION("if(countif(filter(Status!$C:$C,Status!$A:$A=$A141),CONCATENATE(AH$2,""*""))&gt;0,countif(filter(Status!$C:$C,Status!$A:$A=$A141),CONCATENATE(AH$2,""*"")),"""")"),"")</f>
        <v/>
      </c>
      <c r="AI141" s="23" t="str">
        <f>IFERROR(__xludf.DUMMYFUNCTION("if(countif(filter(Status!$C:$C,Status!$A:$A=$A141),CONCATENATE(AI$2,""*""))&gt;0,countif(filter(Status!$C:$C,Status!$A:$A=$A141),CONCATENATE(AI$2,""*"")),"""")"),"")</f>
        <v/>
      </c>
      <c r="AJ141" s="23" t="str">
        <f>IFERROR(__xludf.DUMMYFUNCTION("if(countif(filter(Status!$C:$C,Status!$A:$A=$A141),CONCATENATE(AJ$2,""*""))&gt;0,countif(filter(Status!$C:$C,Status!$A:$A=$A141),CONCATENATE(AJ$2,""*"")),"""")"),"")</f>
        <v/>
      </c>
      <c r="AK141" s="23" t="str">
        <f>IFERROR(__xludf.DUMMYFUNCTION("if(countif(filter(Status!$C:$C,Status!$A:$A=$A141),CONCATENATE(AK$2,""*""))&gt;0,countif(filter(Status!$C:$C,Status!$A:$A=$A141),CONCATENATE(AK$2,""*"")),"""")"),"")</f>
        <v/>
      </c>
      <c r="AL141" s="23" t="str">
        <f>IFERROR(__xludf.DUMMYFUNCTION("if(countif(filter(Status!$C:$C,Status!$A:$A=$A141),CONCATENATE(AL$2,""*""))&gt;0,countif(filter(Status!$C:$C,Status!$A:$A=$A141),CONCATENATE(AL$2,""*"")),"""")"),"")</f>
        <v/>
      </c>
      <c r="AM141" s="23" t="str">
        <f>IFERROR(__xludf.DUMMYFUNCTION("if(countif(filter(Status!$C:$C,Status!$A:$A=$A141),CONCATENATE(AM$2,""*""))&gt;0,countif(filter(Status!$C:$C,Status!$A:$A=$A141),CONCATENATE(AM$2,""*"")),"""")"),"")</f>
        <v/>
      </c>
      <c r="AN141" s="23" t="str">
        <f>IFERROR(__xludf.DUMMYFUNCTION("if(countif(filter(Status!$C:$C,Status!$A:$A=$A141),CONCATENATE(AN$2,""*""))&gt;0,countif(filter(Status!$C:$C,Status!$A:$A=$A141),CONCATENATE(AN$2,""*"")),"""")"),"")</f>
        <v/>
      </c>
      <c r="AO141" s="23" t="str">
        <f>IFERROR(__xludf.DUMMYFUNCTION("if(countif(filter(Status!$C:$C,Status!$A:$A=$A141),CONCATENATE(AO$2,""*""))&gt;0,countif(filter(Status!$C:$C,Status!$A:$A=$A141),CONCATENATE(AO$2,""*"")),"""")"),"")</f>
        <v/>
      </c>
      <c r="AP141" s="23">
        <f>IFERROR(__xludf.DUMMYFUNCTION("counta(iferror(filter(Status!C:C,Status!A:A=A141)))"),0.0)</f>
        <v>0</v>
      </c>
      <c r="AQ141" s="23">
        <f t="shared" si="6"/>
        <v>0</v>
      </c>
    </row>
    <row r="142">
      <c r="A142" s="1" t="s">
        <v>1133</v>
      </c>
      <c r="B142" s="25" t="str">
        <f>IFERROR(__xludf.DUMMYFUNCTION("max(filter(Status!E:E,Status!A:A=A142))"),"#N/A")</f>
        <v>#N/A</v>
      </c>
      <c r="C142" s="23" t="str">
        <f t="shared" si="1"/>
        <v/>
      </c>
      <c r="D142" s="23" t="str">
        <f t="shared" si="2"/>
        <v/>
      </c>
      <c r="E142" s="23" t="str">
        <f t="shared" si="3"/>
        <v/>
      </c>
      <c r="F142" s="23" t="str">
        <f t="shared" si="4"/>
        <v/>
      </c>
      <c r="G142" s="25" t="str">
        <f t="shared" si="5"/>
        <v/>
      </c>
      <c r="J142" s="23">
        <f>IFERROR(__xludf.DUMMYFUNCTION("COUNTA(iferror(filter(Status!H:H,Status!A:A=A142)))"),0.0)</f>
        <v>0</v>
      </c>
      <c r="K142" s="25">
        <f>IFERROR(__xludf.DUMMYFUNCTION("COUNTA(iferror(filter(Status!H:H,Status!A:A=A142,Status!H:H=TRUE)))"),0.0)</f>
        <v>0</v>
      </c>
      <c r="L142" s="23">
        <f>IFERROR(__xludf.DUMMYFUNCTION("COUNTA(iferror(filter(Status!L:L,Status!A:A=A142)))"),0.0)</f>
        <v>0</v>
      </c>
      <c r="M142" s="25">
        <f>IFERROR(__xludf.DUMMYFUNCTION("COUNTA(iferror(filter(Status!L:L,Status!A:A=A142,Status!L:L=TRUE)))"),0.0)</f>
        <v>0</v>
      </c>
      <c r="N142" s="23">
        <f>IFERROR(__xludf.DUMMYFUNCTION("COUNTA(iferror(filter(Status!N:N,Status!A:A=A142,Status!N:N=TRUE)))"),0.0)</f>
        <v>0</v>
      </c>
      <c r="O142" s="25">
        <f>IFERROR(__xludf.DUMMYFUNCTION("COUNTA(iferror(filter(Status!N:N,Status!A:A=A142,Status!N:N=TRUE)))"),0.0)</f>
        <v>0</v>
      </c>
      <c r="P142" s="23">
        <f>IFERROR(__xludf.DUMMYFUNCTION("COUNTA(iferror(filter(Status!P:P,Status!A:A=A142)))"),0.0)</f>
        <v>0</v>
      </c>
      <c r="Q142" s="25">
        <f>IFERROR(__xludf.DUMMYFUNCTION("COUNTA(iferror(filter(Status!P:P,Status!A:A=A142,Status!P:P=TRUE)))"),0.0)</f>
        <v>0</v>
      </c>
      <c r="R142" s="23">
        <f>IFERROR(__xludf.DUMMYFUNCTION("COUNTA(iferror(filter(Status!R:R,Status!A:A=A142)))"),0.0)</f>
        <v>0</v>
      </c>
      <c r="S142" s="25">
        <f>IFERROR(__xludf.DUMMYFUNCTION("COUNTA(iferror(filter(Status!R:R,Status!A:A=A142,Status!R:R=TRUE)))"),0.0)</f>
        <v>0</v>
      </c>
      <c r="V142" s="23" t="str">
        <f>IFERROR(__xludf.DUMMYFUNCTION("if((countif(filter(Status!$C:$C,Status!$A:$A=$A142),CONCATENATE(V$2,""*""))-W142)&gt;0,(countif(filter(Status!$C:$C,Status!$A:$A=$A142),CONCATENATE(V$2,""*""))-W142),"""")"),"")</f>
        <v/>
      </c>
      <c r="W142" s="23" t="str">
        <f>IFERROR(__xludf.DUMMYFUNCTION("if(countif(filter(Status!$C:$C,Status!$A:$A=$A142),CONCATENATE(W$2,""*""))&gt;0,countif(filter(Status!$C:$C,Status!$A:$A=$A142),CONCATENATE(W$2,""*"")),"""")"),"")</f>
        <v/>
      </c>
      <c r="X142" s="23" t="str">
        <f>IFERROR(__xludf.DUMMYFUNCTION("if(countif(filter(Status!$C:$C,Status!$A:$A=$A142),CONCATENATE(X$2,""*""))&gt;0,countif(filter(Status!$C:$C,Status!$A:$A=$A142),CONCATENATE(X$2,""*"")),"""")"),"")</f>
        <v/>
      </c>
      <c r="Y142" s="23" t="str">
        <f>IFERROR(__xludf.DUMMYFUNCTION("if(countif(filter(Status!$C:$C,Status!$A:$A=$A142),CONCATENATE(Y$2,""*""))&gt;0,countif(filter(Status!$C:$C,Status!$A:$A=$A142),CONCATENATE(Y$2,""*"")),"""")"),"")</f>
        <v/>
      </c>
      <c r="Z142" s="23" t="str">
        <f>IFERROR(__xludf.DUMMYFUNCTION("if(countif(filter(Status!$C:$C,Status!$A:$A=$A142),CONCATENATE(Z$2,""*""))&gt;0,countif(filter(Status!$C:$C,Status!$A:$A=$A142),CONCATENATE(Z$2,""*"")),"""")"),"")</f>
        <v/>
      </c>
      <c r="AA142" s="23" t="str">
        <f>IFERROR(__xludf.DUMMYFUNCTION("if((countif(filter(Status!$C:$C,Status!$A:$A=$A142),CONCATENATE(AA$2,""*""))-AB142)&gt;0,(countif(filter(Status!$C:$C,Status!$A:$A=$A142),CONCATENATE(AA$2,""*""))-AB142),"""")"),"")</f>
        <v/>
      </c>
      <c r="AB142" s="23" t="str">
        <f>IFERROR(__xludf.DUMMYFUNCTION("if(countif(filter(Status!$C:$C,Status!$A:$A=$A142),CONCATENATE(AB$2,""*""))&gt;0,countif(filter(Status!$C:$C,Status!$A:$A=$A142),CONCATENATE(AB$2,""*"")),"""")"),"")</f>
        <v/>
      </c>
      <c r="AC142" s="23" t="str">
        <f>IFERROR(__xludf.DUMMYFUNCTION("if(countif(filter(Status!$C:$C,Status!$A:$A=$A142),CONCATENATE(AC$2,""*""))&gt;0,countif(filter(Status!$C:$C,Status!$A:$A=$A142),CONCATENATE(AC$2,""*"")),"""")"),"")</f>
        <v/>
      </c>
      <c r="AD142" s="23" t="str">
        <f>IFERROR(__xludf.DUMMYFUNCTION("if(countif(filter(Status!$C:$C,Status!$A:$A=$A142),CONCATENATE(AD$2,""*""))&gt;0,countif(filter(Status!$C:$C,Status!$A:$A=$A142),CONCATENATE(AD$2,""*"")),"""")"),"")</f>
        <v/>
      </c>
      <c r="AE142" s="23" t="str">
        <f>IFERROR(__xludf.DUMMYFUNCTION("if(countif(filter(Status!$C:$C,Status!$A:$A=$A142),CONCATENATE(AE$2,""*""))&gt;0,countif(filter(Status!$C:$C,Status!$A:$A=$A142),CONCATENATE(AE$2,""*"")),"""")"),"")</f>
        <v/>
      </c>
      <c r="AF142" s="23" t="str">
        <f>IFERROR(__xludf.DUMMYFUNCTION("if(countif(filter(Status!$C:$C,Status!$A:$A=$A142),CONCATENATE(AF$2,""*""))&gt;0,countif(filter(Status!$C:$C,Status!$A:$A=$A142),CONCATENATE(AF$2,""*"")),"""")"),"")</f>
        <v/>
      </c>
      <c r="AG142" s="23" t="str">
        <f>IFERROR(__xludf.DUMMYFUNCTION("if(countif(filter(Status!$C:$C,Status!$A:$A=$A142),CONCATENATE(AG$2,""*""))&gt;0,countif(filter(Status!$C:$C,Status!$A:$A=$A142),CONCATENATE(AG$2,""*"")),"""")"),"")</f>
        <v/>
      </c>
      <c r="AH142" s="23" t="str">
        <f>IFERROR(__xludf.DUMMYFUNCTION("if(countif(filter(Status!$C:$C,Status!$A:$A=$A142),CONCATENATE(AH$2,""*""))&gt;0,countif(filter(Status!$C:$C,Status!$A:$A=$A142),CONCATENATE(AH$2,""*"")),"""")"),"")</f>
        <v/>
      </c>
      <c r="AI142" s="23" t="str">
        <f>IFERROR(__xludf.DUMMYFUNCTION("if(countif(filter(Status!$C:$C,Status!$A:$A=$A142),CONCATENATE(AI$2,""*""))&gt;0,countif(filter(Status!$C:$C,Status!$A:$A=$A142),CONCATENATE(AI$2,""*"")),"""")"),"")</f>
        <v/>
      </c>
      <c r="AJ142" s="23" t="str">
        <f>IFERROR(__xludf.DUMMYFUNCTION("if(countif(filter(Status!$C:$C,Status!$A:$A=$A142),CONCATENATE(AJ$2,""*""))&gt;0,countif(filter(Status!$C:$C,Status!$A:$A=$A142),CONCATENATE(AJ$2,""*"")),"""")"),"")</f>
        <v/>
      </c>
      <c r="AK142" s="23" t="str">
        <f>IFERROR(__xludf.DUMMYFUNCTION("if(countif(filter(Status!$C:$C,Status!$A:$A=$A142),CONCATENATE(AK$2,""*""))&gt;0,countif(filter(Status!$C:$C,Status!$A:$A=$A142),CONCATENATE(AK$2,""*"")),"""")"),"")</f>
        <v/>
      </c>
      <c r="AL142" s="23" t="str">
        <f>IFERROR(__xludf.DUMMYFUNCTION("if(countif(filter(Status!$C:$C,Status!$A:$A=$A142),CONCATENATE(AL$2,""*""))&gt;0,countif(filter(Status!$C:$C,Status!$A:$A=$A142),CONCATENATE(AL$2,""*"")),"""")"),"")</f>
        <v/>
      </c>
      <c r="AM142" s="23" t="str">
        <f>IFERROR(__xludf.DUMMYFUNCTION("if(countif(filter(Status!$C:$C,Status!$A:$A=$A142),CONCATENATE(AM$2,""*""))&gt;0,countif(filter(Status!$C:$C,Status!$A:$A=$A142),CONCATENATE(AM$2,""*"")),"""")"),"")</f>
        <v/>
      </c>
      <c r="AN142" s="23" t="str">
        <f>IFERROR(__xludf.DUMMYFUNCTION("if(countif(filter(Status!$C:$C,Status!$A:$A=$A142),CONCATENATE(AN$2,""*""))&gt;0,countif(filter(Status!$C:$C,Status!$A:$A=$A142),CONCATENATE(AN$2,""*"")),"""")"),"")</f>
        <v/>
      </c>
      <c r="AO142" s="23" t="str">
        <f>IFERROR(__xludf.DUMMYFUNCTION("if(countif(filter(Status!$C:$C,Status!$A:$A=$A142),CONCATENATE(AO$2,""*""))&gt;0,countif(filter(Status!$C:$C,Status!$A:$A=$A142),CONCATENATE(AO$2,""*"")),"""")"),"")</f>
        <v/>
      </c>
      <c r="AP142" s="23">
        <f>IFERROR(__xludf.DUMMYFUNCTION("counta(iferror(filter(Status!C:C,Status!A:A=A142)))"),0.0)</f>
        <v>0</v>
      </c>
      <c r="AQ142" s="23">
        <f t="shared" si="6"/>
        <v>0</v>
      </c>
    </row>
    <row r="143">
      <c r="A143" s="1" t="s">
        <v>1135</v>
      </c>
      <c r="B143" s="25" t="str">
        <f>IFERROR(__xludf.DUMMYFUNCTION("max(filter(Status!E:E,Status!A:A=A143))"),"#N/A")</f>
        <v>#N/A</v>
      </c>
      <c r="C143" s="23" t="str">
        <f t="shared" si="1"/>
        <v/>
      </c>
      <c r="D143" s="23" t="str">
        <f t="shared" si="2"/>
        <v/>
      </c>
      <c r="E143" s="23" t="str">
        <f t="shared" si="3"/>
        <v/>
      </c>
      <c r="F143" s="23" t="str">
        <f t="shared" si="4"/>
        <v/>
      </c>
      <c r="G143" s="25" t="str">
        <f t="shared" si="5"/>
        <v/>
      </c>
      <c r="J143" s="23">
        <f>IFERROR(__xludf.DUMMYFUNCTION("COUNTA(iferror(filter(Status!H:H,Status!A:A=A143)))"),0.0)</f>
        <v>0</v>
      </c>
      <c r="K143" s="25">
        <f>IFERROR(__xludf.DUMMYFUNCTION("COUNTA(iferror(filter(Status!H:H,Status!A:A=A143,Status!H:H=TRUE)))"),0.0)</f>
        <v>0</v>
      </c>
      <c r="L143" s="23">
        <f>IFERROR(__xludf.DUMMYFUNCTION("COUNTA(iferror(filter(Status!L:L,Status!A:A=A143)))"),0.0)</f>
        <v>0</v>
      </c>
      <c r="M143" s="25">
        <f>IFERROR(__xludf.DUMMYFUNCTION("COUNTA(iferror(filter(Status!L:L,Status!A:A=A143,Status!L:L=TRUE)))"),0.0)</f>
        <v>0</v>
      </c>
      <c r="N143" s="23">
        <f>IFERROR(__xludf.DUMMYFUNCTION("COUNTA(iferror(filter(Status!N:N,Status!A:A=A143,Status!N:N=TRUE)))"),0.0)</f>
        <v>0</v>
      </c>
      <c r="O143" s="25">
        <f>IFERROR(__xludf.DUMMYFUNCTION("COUNTA(iferror(filter(Status!N:N,Status!A:A=A143,Status!N:N=TRUE)))"),0.0)</f>
        <v>0</v>
      </c>
      <c r="P143" s="23">
        <f>IFERROR(__xludf.DUMMYFUNCTION("COUNTA(iferror(filter(Status!P:P,Status!A:A=A143)))"),0.0)</f>
        <v>0</v>
      </c>
      <c r="Q143" s="25">
        <f>IFERROR(__xludf.DUMMYFUNCTION("COUNTA(iferror(filter(Status!P:P,Status!A:A=A143,Status!P:P=TRUE)))"),0.0)</f>
        <v>0</v>
      </c>
      <c r="R143" s="23">
        <f>IFERROR(__xludf.DUMMYFUNCTION("COUNTA(iferror(filter(Status!R:R,Status!A:A=A143)))"),0.0)</f>
        <v>0</v>
      </c>
      <c r="S143" s="25">
        <f>IFERROR(__xludf.DUMMYFUNCTION("COUNTA(iferror(filter(Status!R:R,Status!A:A=A143,Status!R:R=TRUE)))"),0.0)</f>
        <v>0</v>
      </c>
      <c r="V143" s="23" t="str">
        <f>IFERROR(__xludf.DUMMYFUNCTION("if((countif(filter(Status!$C:$C,Status!$A:$A=$A143),CONCATENATE(V$2,""*""))-W143)&gt;0,(countif(filter(Status!$C:$C,Status!$A:$A=$A143),CONCATENATE(V$2,""*""))-W143),"""")"),"")</f>
        <v/>
      </c>
      <c r="W143" s="23" t="str">
        <f>IFERROR(__xludf.DUMMYFUNCTION("if(countif(filter(Status!$C:$C,Status!$A:$A=$A143),CONCATENATE(W$2,""*""))&gt;0,countif(filter(Status!$C:$C,Status!$A:$A=$A143),CONCATENATE(W$2,""*"")),"""")"),"")</f>
        <v/>
      </c>
      <c r="X143" s="23" t="str">
        <f>IFERROR(__xludf.DUMMYFUNCTION("if(countif(filter(Status!$C:$C,Status!$A:$A=$A143),CONCATENATE(X$2,""*""))&gt;0,countif(filter(Status!$C:$C,Status!$A:$A=$A143),CONCATENATE(X$2,""*"")),"""")"),"")</f>
        <v/>
      </c>
      <c r="Y143" s="23" t="str">
        <f>IFERROR(__xludf.DUMMYFUNCTION("if(countif(filter(Status!$C:$C,Status!$A:$A=$A143),CONCATENATE(Y$2,""*""))&gt;0,countif(filter(Status!$C:$C,Status!$A:$A=$A143),CONCATENATE(Y$2,""*"")),"""")"),"")</f>
        <v/>
      </c>
      <c r="Z143" s="23" t="str">
        <f>IFERROR(__xludf.DUMMYFUNCTION("if(countif(filter(Status!$C:$C,Status!$A:$A=$A143),CONCATENATE(Z$2,""*""))&gt;0,countif(filter(Status!$C:$C,Status!$A:$A=$A143),CONCATENATE(Z$2,""*"")),"""")"),"")</f>
        <v/>
      </c>
      <c r="AA143" s="23" t="str">
        <f>IFERROR(__xludf.DUMMYFUNCTION("if((countif(filter(Status!$C:$C,Status!$A:$A=$A143),CONCATENATE(AA$2,""*""))-AB143)&gt;0,(countif(filter(Status!$C:$C,Status!$A:$A=$A143),CONCATENATE(AA$2,""*""))-AB143),"""")"),"")</f>
        <v/>
      </c>
      <c r="AB143" s="23" t="str">
        <f>IFERROR(__xludf.DUMMYFUNCTION("if(countif(filter(Status!$C:$C,Status!$A:$A=$A143),CONCATENATE(AB$2,""*""))&gt;0,countif(filter(Status!$C:$C,Status!$A:$A=$A143),CONCATENATE(AB$2,""*"")),"""")"),"")</f>
        <v/>
      </c>
      <c r="AC143" s="23" t="str">
        <f>IFERROR(__xludf.DUMMYFUNCTION("if(countif(filter(Status!$C:$C,Status!$A:$A=$A143),CONCATENATE(AC$2,""*""))&gt;0,countif(filter(Status!$C:$C,Status!$A:$A=$A143),CONCATENATE(AC$2,""*"")),"""")"),"")</f>
        <v/>
      </c>
      <c r="AD143" s="23" t="str">
        <f>IFERROR(__xludf.DUMMYFUNCTION("if(countif(filter(Status!$C:$C,Status!$A:$A=$A143),CONCATENATE(AD$2,""*""))&gt;0,countif(filter(Status!$C:$C,Status!$A:$A=$A143),CONCATENATE(AD$2,""*"")),"""")"),"")</f>
        <v/>
      </c>
      <c r="AE143" s="23" t="str">
        <f>IFERROR(__xludf.DUMMYFUNCTION("if(countif(filter(Status!$C:$C,Status!$A:$A=$A143),CONCATENATE(AE$2,""*""))&gt;0,countif(filter(Status!$C:$C,Status!$A:$A=$A143),CONCATENATE(AE$2,""*"")),"""")"),"")</f>
        <v/>
      </c>
      <c r="AF143" s="23" t="str">
        <f>IFERROR(__xludf.DUMMYFUNCTION("if(countif(filter(Status!$C:$C,Status!$A:$A=$A143),CONCATENATE(AF$2,""*""))&gt;0,countif(filter(Status!$C:$C,Status!$A:$A=$A143),CONCATENATE(AF$2,""*"")),"""")"),"")</f>
        <v/>
      </c>
      <c r="AG143" s="23" t="str">
        <f>IFERROR(__xludf.DUMMYFUNCTION("if(countif(filter(Status!$C:$C,Status!$A:$A=$A143),CONCATENATE(AG$2,""*""))&gt;0,countif(filter(Status!$C:$C,Status!$A:$A=$A143),CONCATENATE(AG$2,""*"")),"""")"),"")</f>
        <v/>
      </c>
      <c r="AH143" s="23" t="str">
        <f>IFERROR(__xludf.DUMMYFUNCTION("if(countif(filter(Status!$C:$C,Status!$A:$A=$A143),CONCATENATE(AH$2,""*""))&gt;0,countif(filter(Status!$C:$C,Status!$A:$A=$A143),CONCATENATE(AH$2,""*"")),"""")"),"")</f>
        <v/>
      </c>
      <c r="AI143" s="23" t="str">
        <f>IFERROR(__xludf.DUMMYFUNCTION("if(countif(filter(Status!$C:$C,Status!$A:$A=$A143),CONCATENATE(AI$2,""*""))&gt;0,countif(filter(Status!$C:$C,Status!$A:$A=$A143),CONCATENATE(AI$2,""*"")),"""")"),"")</f>
        <v/>
      </c>
      <c r="AJ143" s="23" t="str">
        <f>IFERROR(__xludf.DUMMYFUNCTION("if(countif(filter(Status!$C:$C,Status!$A:$A=$A143),CONCATENATE(AJ$2,""*""))&gt;0,countif(filter(Status!$C:$C,Status!$A:$A=$A143),CONCATENATE(AJ$2,""*"")),"""")"),"")</f>
        <v/>
      </c>
      <c r="AK143" s="23" t="str">
        <f>IFERROR(__xludf.DUMMYFUNCTION("if(countif(filter(Status!$C:$C,Status!$A:$A=$A143),CONCATENATE(AK$2,""*""))&gt;0,countif(filter(Status!$C:$C,Status!$A:$A=$A143),CONCATENATE(AK$2,""*"")),"""")"),"")</f>
        <v/>
      </c>
      <c r="AL143" s="23" t="str">
        <f>IFERROR(__xludf.DUMMYFUNCTION("if(countif(filter(Status!$C:$C,Status!$A:$A=$A143),CONCATENATE(AL$2,""*""))&gt;0,countif(filter(Status!$C:$C,Status!$A:$A=$A143),CONCATENATE(AL$2,""*"")),"""")"),"")</f>
        <v/>
      </c>
      <c r="AM143" s="23" t="str">
        <f>IFERROR(__xludf.DUMMYFUNCTION("if(countif(filter(Status!$C:$C,Status!$A:$A=$A143),CONCATENATE(AM$2,""*""))&gt;0,countif(filter(Status!$C:$C,Status!$A:$A=$A143),CONCATENATE(AM$2,""*"")),"""")"),"")</f>
        <v/>
      </c>
      <c r="AN143" s="23" t="str">
        <f>IFERROR(__xludf.DUMMYFUNCTION("if(countif(filter(Status!$C:$C,Status!$A:$A=$A143),CONCATENATE(AN$2,""*""))&gt;0,countif(filter(Status!$C:$C,Status!$A:$A=$A143),CONCATENATE(AN$2,""*"")),"""")"),"")</f>
        <v/>
      </c>
      <c r="AO143" s="23" t="str">
        <f>IFERROR(__xludf.DUMMYFUNCTION("if(countif(filter(Status!$C:$C,Status!$A:$A=$A143),CONCATENATE(AO$2,""*""))&gt;0,countif(filter(Status!$C:$C,Status!$A:$A=$A143),CONCATENATE(AO$2,""*"")),"""")"),"")</f>
        <v/>
      </c>
      <c r="AP143" s="23">
        <f>IFERROR(__xludf.DUMMYFUNCTION("counta(iferror(filter(Status!C:C,Status!A:A=A143)))"),0.0)</f>
        <v>0</v>
      </c>
      <c r="AQ143" s="23">
        <f t="shared" si="6"/>
        <v>0</v>
      </c>
    </row>
    <row r="144">
      <c r="A144" s="1" t="s">
        <v>1139</v>
      </c>
      <c r="B144" s="25" t="str">
        <f>IFERROR(__xludf.DUMMYFUNCTION("max(filter(Status!E:E,Status!A:A=A144))"),"#N/A")</f>
        <v>#N/A</v>
      </c>
      <c r="C144" s="23" t="str">
        <f t="shared" si="1"/>
        <v/>
      </c>
      <c r="D144" s="23" t="str">
        <f t="shared" si="2"/>
        <v/>
      </c>
      <c r="E144" s="23" t="str">
        <f t="shared" si="3"/>
        <v/>
      </c>
      <c r="F144" s="23" t="str">
        <f t="shared" si="4"/>
        <v/>
      </c>
      <c r="G144" s="25" t="str">
        <f t="shared" si="5"/>
        <v/>
      </c>
      <c r="J144" s="23">
        <f>IFERROR(__xludf.DUMMYFUNCTION("COUNTA(iferror(filter(Status!H:H,Status!A:A=A144)))"),0.0)</f>
        <v>0</v>
      </c>
      <c r="K144" s="25">
        <f>IFERROR(__xludf.DUMMYFUNCTION("COUNTA(iferror(filter(Status!H:H,Status!A:A=A144,Status!H:H=TRUE)))"),0.0)</f>
        <v>0</v>
      </c>
      <c r="L144" s="23">
        <f>IFERROR(__xludf.DUMMYFUNCTION("COUNTA(iferror(filter(Status!L:L,Status!A:A=A144)))"),0.0)</f>
        <v>0</v>
      </c>
      <c r="M144" s="25">
        <f>IFERROR(__xludf.DUMMYFUNCTION("COUNTA(iferror(filter(Status!L:L,Status!A:A=A144,Status!L:L=TRUE)))"),0.0)</f>
        <v>0</v>
      </c>
      <c r="N144" s="23">
        <f>IFERROR(__xludf.DUMMYFUNCTION("COUNTA(iferror(filter(Status!N:N,Status!A:A=A144,Status!N:N=TRUE)))"),0.0)</f>
        <v>0</v>
      </c>
      <c r="O144" s="25">
        <f>IFERROR(__xludf.DUMMYFUNCTION("COUNTA(iferror(filter(Status!N:N,Status!A:A=A144,Status!N:N=TRUE)))"),0.0)</f>
        <v>0</v>
      </c>
      <c r="P144" s="23">
        <f>IFERROR(__xludf.DUMMYFUNCTION("COUNTA(iferror(filter(Status!P:P,Status!A:A=A144)))"),0.0)</f>
        <v>0</v>
      </c>
      <c r="Q144" s="25">
        <f>IFERROR(__xludf.DUMMYFUNCTION("COUNTA(iferror(filter(Status!P:P,Status!A:A=A144,Status!P:P=TRUE)))"),0.0)</f>
        <v>0</v>
      </c>
      <c r="R144" s="23">
        <f>IFERROR(__xludf.DUMMYFUNCTION("COUNTA(iferror(filter(Status!R:R,Status!A:A=A144)))"),0.0)</f>
        <v>0</v>
      </c>
      <c r="S144" s="25">
        <f>IFERROR(__xludf.DUMMYFUNCTION("COUNTA(iferror(filter(Status!R:R,Status!A:A=A144,Status!R:R=TRUE)))"),0.0)</f>
        <v>0</v>
      </c>
      <c r="V144" s="23" t="str">
        <f>IFERROR(__xludf.DUMMYFUNCTION("if((countif(filter(Status!$C:$C,Status!$A:$A=$A144),CONCATENATE(V$2,""*""))-W144)&gt;0,(countif(filter(Status!$C:$C,Status!$A:$A=$A144),CONCATENATE(V$2,""*""))-W144),"""")"),"")</f>
        <v/>
      </c>
      <c r="W144" s="23" t="str">
        <f>IFERROR(__xludf.DUMMYFUNCTION("if(countif(filter(Status!$C:$C,Status!$A:$A=$A144),CONCATENATE(W$2,""*""))&gt;0,countif(filter(Status!$C:$C,Status!$A:$A=$A144),CONCATENATE(W$2,""*"")),"""")"),"")</f>
        <v/>
      </c>
      <c r="X144" s="23" t="str">
        <f>IFERROR(__xludf.DUMMYFUNCTION("if(countif(filter(Status!$C:$C,Status!$A:$A=$A144),CONCATENATE(X$2,""*""))&gt;0,countif(filter(Status!$C:$C,Status!$A:$A=$A144),CONCATENATE(X$2,""*"")),"""")"),"")</f>
        <v/>
      </c>
      <c r="Y144" s="23" t="str">
        <f>IFERROR(__xludf.DUMMYFUNCTION("if(countif(filter(Status!$C:$C,Status!$A:$A=$A144),CONCATENATE(Y$2,""*""))&gt;0,countif(filter(Status!$C:$C,Status!$A:$A=$A144),CONCATENATE(Y$2,""*"")),"""")"),"")</f>
        <v/>
      </c>
      <c r="Z144" s="23" t="str">
        <f>IFERROR(__xludf.DUMMYFUNCTION("if(countif(filter(Status!$C:$C,Status!$A:$A=$A144),CONCATENATE(Z$2,""*""))&gt;0,countif(filter(Status!$C:$C,Status!$A:$A=$A144),CONCATENATE(Z$2,""*"")),"""")"),"")</f>
        <v/>
      </c>
      <c r="AA144" s="23" t="str">
        <f>IFERROR(__xludf.DUMMYFUNCTION("if((countif(filter(Status!$C:$C,Status!$A:$A=$A144),CONCATENATE(AA$2,""*""))-AB144)&gt;0,(countif(filter(Status!$C:$C,Status!$A:$A=$A144),CONCATENATE(AA$2,""*""))-AB144),"""")"),"")</f>
        <v/>
      </c>
      <c r="AB144" s="23" t="str">
        <f>IFERROR(__xludf.DUMMYFUNCTION("if(countif(filter(Status!$C:$C,Status!$A:$A=$A144),CONCATENATE(AB$2,""*""))&gt;0,countif(filter(Status!$C:$C,Status!$A:$A=$A144),CONCATENATE(AB$2,""*"")),"""")"),"")</f>
        <v/>
      </c>
      <c r="AC144" s="23" t="str">
        <f>IFERROR(__xludf.DUMMYFUNCTION("if(countif(filter(Status!$C:$C,Status!$A:$A=$A144),CONCATENATE(AC$2,""*""))&gt;0,countif(filter(Status!$C:$C,Status!$A:$A=$A144),CONCATENATE(AC$2,""*"")),"""")"),"")</f>
        <v/>
      </c>
      <c r="AD144" s="23" t="str">
        <f>IFERROR(__xludf.DUMMYFUNCTION("if(countif(filter(Status!$C:$C,Status!$A:$A=$A144),CONCATENATE(AD$2,""*""))&gt;0,countif(filter(Status!$C:$C,Status!$A:$A=$A144),CONCATENATE(AD$2,""*"")),"""")"),"")</f>
        <v/>
      </c>
      <c r="AE144" s="23" t="str">
        <f>IFERROR(__xludf.DUMMYFUNCTION("if(countif(filter(Status!$C:$C,Status!$A:$A=$A144),CONCATENATE(AE$2,""*""))&gt;0,countif(filter(Status!$C:$C,Status!$A:$A=$A144),CONCATENATE(AE$2,""*"")),"""")"),"")</f>
        <v/>
      </c>
      <c r="AF144" s="23" t="str">
        <f>IFERROR(__xludf.DUMMYFUNCTION("if(countif(filter(Status!$C:$C,Status!$A:$A=$A144),CONCATENATE(AF$2,""*""))&gt;0,countif(filter(Status!$C:$C,Status!$A:$A=$A144),CONCATENATE(AF$2,""*"")),"""")"),"")</f>
        <v/>
      </c>
      <c r="AG144" s="23" t="str">
        <f>IFERROR(__xludf.DUMMYFUNCTION("if(countif(filter(Status!$C:$C,Status!$A:$A=$A144),CONCATENATE(AG$2,""*""))&gt;0,countif(filter(Status!$C:$C,Status!$A:$A=$A144),CONCATENATE(AG$2,""*"")),"""")"),"")</f>
        <v/>
      </c>
      <c r="AH144" s="23" t="str">
        <f>IFERROR(__xludf.DUMMYFUNCTION("if(countif(filter(Status!$C:$C,Status!$A:$A=$A144),CONCATENATE(AH$2,""*""))&gt;0,countif(filter(Status!$C:$C,Status!$A:$A=$A144),CONCATENATE(AH$2,""*"")),"""")"),"")</f>
        <v/>
      </c>
      <c r="AI144" s="23" t="str">
        <f>IFERROR(__xludf.DUMMYFUNCTION("if(countif(filter(Status!$C:$C,Status!$A:$A=$A144),CONCATENATE(AI$2,""*""))&gt;0,countif(filter(Status!$C:$C,Status!$A:$A=$A144),CONCATENATE(AI$2,""*"")),"""")"),"")</f>
        <v/>
      </c>
      <c r="AJ144" s="23" t="str">
        <f>IFERROR(__xludf.DUMMYFUNCTION("if(countif(filter(Status!$C:$C,Status!$A:$A=$A144),CONCATENATE(AJ$2,""*""))&gt;0,countif(filter(Status!$C:$C,Status!$A:$A=$A144),CONCATENATE(AJ$2,""*"")),"""")"),"")</f>
        <v/>
      </c>
      <c r="AK144" s="23" t="str">
        <f>IFERROR(__xludf.DUMMYFUNCTION("if(countif(filter(Status!$C:$C,Status!$A:$A=$A144),CONCATENATE(AK$2,""*""))&gt;0,countif(filter(Status!$C:$C,Status!$A:$A=$A144),CONCATENATE(AK$2,""*"")),"""")"),"")</f>
        <v/>
      </c>
      <c r="AL144" s="23" t="str">
        <f>IFERROR(__xludf.DUMMYFUNCTION("if(countif(filter(Status!$C:$C,Status!$A:$A=$A144),CONCATENATE(AL$2,""*""))&gt;0,countif(filter(Status!$C:$C,Status!$A:$A=$A144),CONCATENATE(AL$2,""*"")),"""")"),"")</f>
        <v/>
      </c>
      <c r="AM144" s="23" t="str">
        <f>IFERROR(__xludf.DUMMYFUNCTION("if(countif(filter(Status!$C:$C,Status!$A:$A=$A144),CONCATENATE(AM$2,""*""))&gt;0,countif(filter(Status!$C:$C,Status!$A:$A=$A144),CONCATENATE(AM$2,""*"")),"""")"),"")</f>
        <v/>
      </c>
      <c r="AN144" s="23" t="str">
        <f>IFERROR(__xludf.DUMMYFUNCTION("if(countif(filter(Status!$C:$C,Status!$A:$A=$A144),CONCATENATE(AN$2,""*""))&gt;0,countif(filter(Status!$C:$C,Status!$A:$A=$A144),CONCATENATE(AN$2,""*"")),"""")"),"")</f>
        <v/>
      </c>
      <c r="AO144" s="23" t="str">
        <f>IFERROR(__xludf.DUMMYFUNCTION("if(countif(filter(Status!$C:$C,Status!$A:$A=$A144),CONCATENATE(AO$2,""*""))&gt;0,countif(filter(Status!$C:$C,Status!$A:$A=$A144),CONCATENATE(AO$2,""*"")),"""")"),"")</f>
        <v/>
      </c>
      <c r="AP144" s="23">
        <f>IFERROR(__xludf.DUMMYFUNCTION("counta(iferror(filter(Status!C:C,Status!A:A=A144)))"),0.0)</f>
        <v>0</v>
      </c>
      <c r="AQ144" s="23">
        <f t="shared" si="6"/>
        <v>0</v>
      </c>
    </row>
    <row r="145">
      <c r="A145" s="1" t="s">
        <v>1142</v>
      </c>
      <c r="B145" s="25" t="str">
        <f>IFERROR(__xludf.DUMMYFUNCTION("max(filter(Status!E:E,Status!A:A=A145))"),"#N/A")</f>
        <v>#N/A</v>
      </c>
      <c r="C145" s="23" t="str">
        <f t="shared" si="1"/>
        <v/>
      </c>
      <c r="D145" s="23" t="str">
        <f t="shared" si="2"/>
        <v/>
      </c>
      <c r="E145" s="23" t="str">
        <f t="shared" si="3"/>
        <v/>
      </c>
      <c r="F145" s="23" t="str">
        <f t="shared" si="4"/>
        <v/>
      </c>
      <c r="G145" s="25" t="str">
        <f t="shared" si="5"/>
        <v/>
      </c>
      <c r="J145" s="23">
        <f>IFERROR(__xludf.DUMMYFUNCTION("COUNTA(iferror(filter(Status!H:H,Status!A:A=A145)))"),0.0)</f>
        <v>0</v>
      </c>
      <c r="K145" s="25">
        <f>IFERROR(__xludf.DUMMYFUNCTION("COUNTA(iferror(filter(Status!H:H,Status!A:A=A145,Status!H:H=TRUE)))"),0.0)</f>
        <v>0</v>
      </c>
      <c r="L145" s="23">
        <f>IFERROR(__xludf.DUMMYFUNCTION("COUNTA(iferror(filter(Status!L:L,Status!A:A=A145)))"),0.0)</f>
        <v>0</v>
      </c>
      <c r="M145" s="25">
        <f>IFERROR(__xludf.DUMMYFUNCTION("COUNTA(iferror(filter(Status!L:L,Status!A:A=A145,Status!L:L=TRUE)))"),0.0)</f>
        <v>0</v>
      </c>
      <c r="N145" s="23">
        <f>IFERROR(__xludf.DUMMYFUNCTION("COUNTA(iferror(filter(Status!N:N,Status!A:A=A145,Status!N:N=TRUE)))"),0.0)</f>
        <v>0</v>
      </c>
      <c r="O145" s="25">
        <f>IFERROR(__xludf.DUMMYFUNCTION("COUNTA(iferror(filter(Status!N:N,Status!A:A=A145,Status!N:N=TRUE)))"),0.0)</f>
        <v>0</v>
      </c>
      <c r="P145" s="23">
        <f>IFERROR(__xludf.DUMMYFUNCTION("COUNTA(iferror(filter(Status!P:P,Status!A:A=A145)))"),0.0)</f>
        <v>0</v>
      </c>
      <c r="Q145" s="25">
        <f>IFERROR(__xludf.DUMMYFUNCTION("COUNTA(iferror(filter(Status!P:P,Status!A:A=A145,Status!P:P=TRUE)))"),0.0)</f>
        <v>0</v>
      </c>
      <c r="R145" s="23">
        <f>IFERROR(__xludf.DUMMYFUNCTION("COUNTA(iferror(filter(Status!R:R,Status!A:A=A145)))"),0.0)</f>
        <v>0</v>
      </c>
      <c r="S145" s="25">
        <f>IFERROR(__xludf.DUMMYFUNCTION("COUNTA(iferror(filter(Status!R:R,Status!A:A=A145,Status!R:R=TRUE)))"),0.0)</f>
        <v>0</v>
      </c>
      <c r="V145" s="23" t="str">
        <f>IFERROR(__xludf.DUMMYFUNCTION("if((countif(filter(Status!$C:$C,Status!$A:$A=$A145),CONCATENATE(V$2,""*""))-W145)&gt;0,(countif(filter(Status!$C:$C,Status!$A:$A=$A145),CONCATENATE(V$2,""*""))-W145),"""")"),"")</f>
        <v/>
      </c>
      <c r="W145" s="23" t="str">
        <f>IFERROR(__xludf.DUMMYFUNCTION("if(countif(filter(Status!$C:$C,Status!$A:$A=$A145),CONCATENATE(W$2,""*""))&gt;0,countif(filter(Status!$C:$C,Status!$A:$A=$A145),CONCATENATE(W$2,""*"")),"""")"),"")</f>
        <v/>
      </c>
      <c r="X145" s="23" t="str">
        <f>IFERROR(__xludf.DUMMYFUNCTION("if(countif(filter(Status!$C:$C,Status!$A:$A=$A145),CONCATENATE(X$2,""*""))&gt;0,countif(filter(Status!$C:$C,Status!$A:$A=$A145),CONCATENATE(X$2,""*"")),"""")"),"")</f>
        <v/>
      </c>
      <c r="Y145" s="23" t="str">
        <f>IFERROR(__xludf.DUMMYFUNCTION("if(countif(filter(Status!$C:$C,Status!$A:$A=$A145),CONCATENATE(Y$2,""*""))&gt;0,countif(filter(Status!$C:$C,Status!$A:$A=$A145),CONCATENATE(Y$2,""*"")),"""")"),"")</f>
        <v/>
      </c>
      <c r="Z145" s="23" t="str">
        <f>IFERROR(__xludf.DUMMYFUNCTION("if(countif(filter(Status!$C:$C,Status!$A:$A=$A145),CONCATENATE(Z$2,""*""))&gt;0,countif(filter(Status!$C:$C,Status!$A:$A=$A145),CONCATENATE(Z$2,""*"")),"""")"),"")</f>
        <v/>
      </c>
      <c r="AA145" s="23" t="str">
        <f>IFERROR(__xludf.DUMMYFUNCTION("if((countif(filter(Status!$C:$C,Status!$A:$A=$A145),CONCATENATE(AA$2,""*""))-AB145)&gt;0,(countif(filter(Status!$C:$C,Status!$A:$A=$A145),CONCATENATE(AA$2,""*""))-AB145),"""")"),"")</f>
        <v/>
      </c>
      <c r="AB145" s="23" t="str">
        <f>IFERROR(__xludf.DUMMYFUNCTION("if(countif(filter(Status!$C:$C,Status!$A:$A=$A145),CONCATENATE(AB$2,""*""))&gt;0,countif(filter(Status!$C:$C,Status!$A:$A=$A145),CONCATENATE(AB$2,""*"")),"""")"),"")</f>
        <v/>
      </c>
      <c r="AC145" s="23" t="str">
        <f>IFERROR(__xludf.DUMMYFUNCTION("if(countif(filter(Status!$C:$C,Status!$A:$A=$A145),CONCATENATE(AC$2,""*""))&gt;0,countif(filter(Status!$C:$C,Status!$A:$A=$A145),CONCATENATE(AC$2,""*"")),"""")"),"")</f>
        <v/>
      </c>
      <c r="AD145" s="23" t="str">
        <f>IFERROR(__xludf.DUMMYFUNCTION("if(countif(filter(Status!$C:$C,Status!$A:$A=$A145),CONCATENATE(AD$2,""*""))&gt;0,countif(filter(Status!$C:$C,Status!$A:$A=$A145),CONCATENATE(AD$2,""*"")),"""")"),"")</f>
        <v/>
      </c>
      <c r="AE145" s="23" t="str">
        <f>IFERROR(__xludf.DUMMYFUNCTION("if(countif(filter(Status!$C:$C,Status!$A:$A=$A145),CONCATENATE(AE$2,""*""))&gt;0,countif(filter(Status!$C:$C,Status!$A:$A=$A145),CONCATENATE(AE$2,""*"")),"""")"),"")</f>
        <v/>
      </c>
      <c r="AF145" s="23" t="str">
        <f>IFERROR(__xludf.DUMMYFUNCTION("if(countif(filter(Status!$C:$C,Status!$A:$A=$A145),CONCATENATE(AF$2,""*""))&gt;0,countif(filter(Status!$C:$C,Status!$A:$A=$A145),CONCATENATE(AF$2,""*"")),"""")"),"")</f>
        <v/>
      </c>
      <c r="AG145" s="23" t="str">
        <f>IFERROR(__xludf.DUMMYFUNCTION("if(countif(filter(Status!$C:$C,Status!$A:$A=$A145),CONCATENATE(AG$2,""*""))&gt;0,countif(filter(Status!$C:$C,Status!$A:$A=$A145),CONCATENATE(AG$2,""*"")),"""")"),"")</f>
        <v/>
      </c>
      <c r="AH145" s="23" t="str">
        <f>IFERROR(__xludf.DUMMYFUNCTION("if(countif(filter(Status!$C:$C,Status!$A:$A=$A145),CONCATENATE(AH$2,""*""))&gt;0,countif(filter(Status!$C:$C,Status!$A:$A=$A145),CONCATENATE(AH$2,""*"")),"""")"),"")</f>
        <v/>
      </c>
      <c r="AI145" s="23" t="str">
        <f>IFERROR(__xludf.DUMMYFUNCTION("if(countif(filter(Status!$C:$C,Status!$A:$A=$A145),CONCATENATE(AI$2,""*""))&gt;0,countif(filter(Status!$C:$C,Status!$A:$A=$A145),CONCATENATE(AI$2,""*"")),"""")"),"")</f>
        <v/>
      </c>
      <c r="AJ145" s="23" t="str">
        <f>IFERROR(__xludf.DUMMYFUNCTION("if(countif(filter(Status!$C:$C,Status!$A:$A=$A145),CONCATENATE(AJ$2,""*""))&gt;0,countif(filter(Status!$C:$C,Status!$A:$A=$A145),CONCATENATE(AJ$2,""*"")),"""")"),"")</f>
        <v/>
      </c>
      <c r="AK145" s="23" t="str">
        <f>IFERROR(__xludf.DUMMYFUNCTION("if(countif(filter(Status!$C:$C,Status!$A:$A=$A145),CONCATENATE(AK$2,""*""))&gt;0,countif(filter(Status!$C:$C,Status!$A:$A=$A145),CONCATENATE(AK$2,""*"")),"""")"),"")</f>
        <v/>
      </c>
      <c r="AL145" s="23" t="str">
        <f>IFERROR(__xludf.DUMMYFUNCTION("if(countif(filter(Status!$C:$C,Status!$A:$A=$A145),CONCATENATE(AL$2,""*""))&gt;0,countif(filter(Status!$C:$C,Status!$A:$A=$A145),CONCATENATE(AL$2,""*"")),"""")"),"")</f>
        <v/>
      </c>
      <c r="AM145" s="23" t="str">
        <f>IFERROR(__xludf.DUMMYFUNCTION("if(countif(filter(Status!$C:$C,Status!$A:$A=$A145),CONCATENATE(AM$2,""*""))&gt;0,countif(filter(Status!$C:$C,Status!$A:$A=$A145),CONCATENATE(AM$2,""*"")),"""")"),"")</f>
        <v/>
      </c>
      <c r="AN145" s="23" t="str">
        <f>IFERROR(__xludf.DUMMYFUNCTION("if(countif(filter(Status!$C:$C,Status!$A:$A=$A145),CONCATENATE(AN$2,""*""))&gt;0,countif(filter(Status!$C:$C,Status!$A:$A=$A145),CONCATENATE(AN$2,""*"")),"""")"),"")</f>
        <v/>
      </c>
      <c r="AO145" s="23" t="str">
        <f>IFERROR(__xludf.DUMMYFUNCTION("if(countif(filter(Status!$C:$C,Status!$A:$A=$A145),CONCATENATE(AO$2,""*""))&gt;0,countif(filter(Status!$C:$C,Status!$A:$A=$A145),CONCATENATE(AO$2,""*"")),"""")"),"")</f>
        <v/>
      </c>
      <c r="AP145" s="23">
        <f>IFERROR(__xludf.DUMMYFUNCTION("counta(iferror(filter(Status!C:C,Status!A:A=A145)))"),0.0)</f>
        <v>0</v>
      </c>
      <c r="AQ145" s="23">
        <f t="shared" si="6"/>
        <v>0</v>
      </c>
    </row>
    <row r="146">
      <c r="A146" s="1" t="s">
        <v>1145</v>
      </c>
      <c r="B146" s="25" t="str">
        <f>IFERROR(__xludf.DUMMYFUNCTION("max(filter(Status!E:E,Status!A:A=A146))"),"#N/A")</f>
        <v>#N/A</v>
      </c>
      <c r="C146" s="23" t="str">
        <f t="shared" si="1"/>
        <v/>
      </c>
      <c r="D146" s="23" t="str">
        <f t="shared" si="2"/>
        <v/>
      </c>
      <c r="E146" s="23" t="str">
        <f t="shared" si="3"/>
        <v/>
      </c>
      <c r="F146" s="23" t="str">
        <f t="shared" si="4"/>
        <v/>
      </c>
      <c r="G146" s="25" t="str">
        <f t="shared" si="5"/>
        <v/>
      </c>
      <c r="J146" s="23">
        <f>IFERROR(__xludf.DUMMYFUNCTION("COUNTA(iferror(filter(Status!H:H,Status!A:A=A146)))"),0.0)</f>
        <v>0</v>
      </c>
      <c r="K146" s="25">
        <f>IFERROR(__xludf.DUMMYFUNCTION("COUNTA(iferror(filter(Status!H:H,Status!A:A=A146,Status!H:H=TRUE)))"),0.0)</f>
        <v>0</v>
      </c>
      <c r="L146" s="23">
        <f>IFERROR(__xludf.DUMMYFUNCTION("COUNTA(iferror(filter(Status!L:L,Status!A:A=A146)))"),0.0)</f>
        <v>0</v>
      </c>
      <c r="M146" s="25">
        <f>IFERROR(__xludf.DUMMYFUNCTION("COUNTA(iferror(filter(Status!L:L,Status!A:A=A146,Status!L:L=TRUE)))"),0.0)</f>
        <v>0</v>
      </c>
      <c r="N146" s="23">
        <f>IFERROR(__xludf.DUMMYFUNCTION("COUNTA(iferror(filter(Status!N:N,Status!A:A=A146,Status!N:N=TRUE)))"),0.0)</f>
        <v>0</v>
      </c>
      <c r="O146" s="25">
        <f>IFERROR(__xludf.DUMMYFUNCTION("COUNTA(iferror(filter(Status!N:N,Status!A:A=A146,Status!N:N=TRUE)))"),0.0)</f>
        <v>0</v>
      </c>
      <c r="P146" s="23">
        <f>IFERROR(__xludf.DUMMYFUNCTION("COUNTA(iferror(filter(Status!P:P,Status!A:A=A146)))"),0.0)</f>
        <v>0</v>
      </c>
      <c r="Q146" s="25">
        <f>IFERROR(__xludf.DUMMYFUNCTION("COUNTA(iferror(filter(Status!P:P,Status!A:A=A146,Status!P:P=TRUE)))"),0.0)</f>
        <v>0</v>
      </c>
      <c r="R146" s="23">
        <f>IFERROR(__xludf.DUMMYFUNCTION("COUNTA(iferror(filter(Status!R:R,Status!A:A=A146)))"),0.0)</f>
        <v>0</v>
      </c>
      <c r="S146" s="25">
        <f>IFERROR(__xludf.DUMMYFUNCTION("COUNTA(iferror(filter(Status!R:R,Status!A:A=A146,Status!R:R=TRUE)))"),0.0)</f>
        <v>0</v>
      </c>
      <c r="V146" s="23" t="str">
        <f>IFERROR(__xludf.DUMMYFUNCTION("if((countif(filter(Status!$C:$C,Status!$A:$A=$A146),CONCATENATE(V$2,""*""))-W146)&gt;0,(countif(filter(Status!$C:$C,Status!$A:$A=$A146),CONCATENATE(V$2,""*""))-W146),"""")"),"")</f>
        <v/>
      </c>
      <c r="W146" s="23" t="str">
        <f>IFERROR(__xludf.DUMMYFUNCTION("if(countif(filter(Status!$C:$C,Status!$A:$A=$A146),CONCATENATE(W$2,""*""))&gt;0,countif(filter(Status!$C:$C,Status!$A:$A=$A146),CONCATENATE(W$2,""*"")),"""")"),"")</f>
        <v/>
      </c>
      <c r="X146" s="23" t="str">
        <f>IFERROR(__xludf.DUMMYFUNCTION("if(countif(filter(Status!$C:$C,Status!$A:$A=$A146),CONCATENATE(X$2,""*""))&gt;0,countif(filter(Status!$C:$C,Status!$A:$A=$A146),CONCATENATE(X$2,""*"")),"""")"),"")</f>
        <v/>
      </c>
      <c r="Y146" s="23" t="str">
        <f>IFERROR(__xludf.DUMMYFUNCTION("if(countif(filter(Status!$C:$C,Status!$A:$A=$A146),CONCATENATE(Y$2,""*""))&gt;0,countif(filter(Status!$C:$C,Status!$A:$A=$A146),CONCATENATE(Y$2,""*"")),"""")"),"")</f>
        <v/>
      </c>
      <c r="Z146" s="23" t="str">
        <f>IFERROR(__xludf.DUMMYFUNCTION("if(countif(filter(Status!$C:$C,Status!$A:$A=$A146),CONCATENATE(Z$2,""*""))&gt;0,countif(filter(Status!$C:$C,Status!$A:$A=$A146),CONCATENATE(Z$2,""*"")),"""")"),"")</f>
        <v/>
      </c>
      <c r="AA146" s="23" t="str">
        <f>IFERROR(__xludf.DUMMYFUNCTION("if((countif(filter(Status!$C:$C,Status!$A:$A=$A146),CONCATENATE(AA$2,""*""))-AB146)&gt;0,(countif(filter(Status!$C:$C,Status!$A:$A=$A146),CONCATENATE(AA$2,""*""))-AB146),"""")"),"")</f>
        <v/>
      </c>
      <c r="AB146" s="23" t="str">
        <f>IFERROR(__xludf.DUMMYFUNCTION("if(countif(filter(Status!$C:$C,Status!$A:$A=$A146),CONCATENATE(AB$2,""*""))&gt;0,countif(filter(Status!$C:$C,Status!$A:$A=$A146),CONCATENATE(AB$2,""*"")),"""")"),"")</f>
        <v/>
      </c>
      <c r="AC146" s="23" t="str">
        <f>IFERROR(__xludf.DUMMYFUNCTION("if(countif(filter(Status!$C:$C,Status!$A:$A=$A146),CONCATENATE(AC$2,""*""))&gt;0,countif(filter(Status!$C:$C,Status!$A:$A=$A146),CONCATENATE(AC$2,""*"")),"""")"),"")</f>
        <v/>
      </c>
      <c r="AD146" s="23" t="str">
        <f>IFERROR(__xludf.DUMMYFUNCTION("if(countif(filter(Status!$C:$C,Status!$A:$A=$A146),CONCATENATE(AD$2,""*""))&gt;0,countif(filter(Status!$C:$C,Status!$A:$A=$A146),CONCATENATE(AD$2,""*"")),"""")"),"")</f>
        <v/>
      </c>
      <c r="AE146" s="23" t="str">
        <f>IFERROR(__xludf.DUMMYFUNCTION("if(countif(filter(Status!$C:$C,Status!$A:$A=$A146),CONCATENATE(AE$2,""*""))&gt;0,countif(filter(Status!$C:$C,Status!$A:$A=$A146),CONCATENATE(AE$2,""*"")),"""")"),"")</f>
        <v/>
      </c>
      <c r="AF146" s="23" t="str">
        <f>IFERROR(__xludf.DUMMYFUNCTION("if(countif(filter(Status!$C:$C,Status!$A:$A=$A146),CONCATENATE(AF$2,""*""))&gt;0,countif(filter(Status!$C:$C,Status!$A:$A=$A146),CONCATENATE(AF$2,""*"")),"""")"),"")</f>
        <v/>
      </c>
      <c r="AG146" s="23" t="str">
        <f>IFERROR(__xludf.DUMMYFUNCTION("if(countif(filter(Status!$C:$C,Status!$A:$A=$A146),CONCATENATE(AG$2,""*""))&gt;0,countif(filter(Status!$C:$C,Status!$A:$A=$A146),CONCATENATE(AG$2,""*"")),"""")"),"")</f>
        <v/>
      </c>
      <c r="AH146" s="23" t="str">
        <f>IFERROR(__xludf.DUMMYFUNCTION("if(countif(filter(Status!$C:$C,Status!$A:$A=$A146),CONCATENATE(AH$2,""*""))&gt;0,countif(filter(Status!$C:$C,Status!$A:$A=$A146),CONCATENATE(AH$2,""*"")),"""")"),"")</f>
        <v/>
      </c>
      <c r="AI146" s="23" t="str">
        <f>IFERROR(__xludf.DUMMYFUNCTION("if(countif(filter(Status!$C:$C,Status!$A:$A=$A146),CONCATENATE(AI$2,""*""))&gt;0,countif(filter(Status!$C:$C,Status!$A:$A=$A146),CONCATENATE(AI$2,""*"")),"""")"),"")</f>
        <v/>
      </c>
      <c r="AJ146" s="23" t="str">
        <f>IFERROR(__xludf.DUMMYFUNCTION("if(countif(filter(Status!$C:$C,Status!$A:$A=$A146),CONCATENATE(AJ$2,""*""))&gt;0,countif(filter(Status!$C:$C,Status!$A:$A=$A146),CONCATENATE(AJ$2,""*"")),"""")"),"")</f>
        <v/>
      </c>
      <c r="AK146" s="23" t="str">
        <f>IFERROR(__xludf.DUMMYFUNCTION("if(countif(filter(Status!$C:$C,Status!$A:$A=$A146),CONCATENATE(AK$2,""*""))&gt;0,countif(filter(Status!$C:$C,Status!$A:$A=$A146),CONCATENATE(AK$2,""*"")),"""")"),"")</f>
        <v/>
      </c>
      <c r="AL146" s="23" t="str">
        <f>IFERROR(__xludf.DUMMYFUNCTION("if(countif(filter(Status!$C:$C,Status!$A:$A=$A146),CONCATENATE(AL$2,""*""))&gt;0,countif(filter(Status!$C:$C,Status!$A:$A=$A146),CONCATENATE(AL$2,""*"")),"""")"),"")</f>
        <v/>
      </c>
      <c r="AM146" s="23" t="str">
        <f>IFERROR(__xludf.DUMMYFUNCTION("if(countif(filter(Status!$C:$C,Status!$A:$A=$A146),CONCATENATE(AM$2,""*""))&gt;0,countif(filter(Status!$C:$C,Status!$A:$A=$A146),CONCATENATE(AM$2,""*"")),"""")"),"")</f>
        <v/>
      </c>
      <c r="AN146" s="23" t="str">
        <f>IFERROR(__xludf.DUMMYFUNCTION("if(countif(filter(Status!$C:$C,Status!$A:$A=$A146),CONCATENATE(AN$2,""*""))&gt;0,countif(filter(Status!$C:$C,Status!$A:$A=$A146),CONCATENATE(AN$2,""*"")),"""")"),"")</f>
        <v/>
      </c>
      <c r="AO146" s="23" t="str">
        <f>IFERROR(__xludf.DUMMYFUNCTION("if(countif(filter(Status!$C:$C,Status!$A:$A=$A146),CONCATENATE(AO$2,""*""))&gt;0,countif(filter(Status!$C:$C,Status!$A:$A=$A146),CONCATENATE(AO$2,""*"")),"""")"),"")</f>
        <v/>
      </c>
      <c r="AP146" s="23">
        <f>IFERROR(__xludf.DUMMYFUNCTION("counta(iferror(filter(Status!C:C,Status!A:A=A146)))"),0.0)</f>
        <v>0</v>
      </c>
      <c r="AQ146" s="23">
        <f t="shared" si="6"/>
        <v>0</v>
      </c>
    </row>
    <row r="147">
      <c r="A147" s="1" t="s">
        <v>1148</v>
      </c>
      <c r="B147" s="25" t="str">
        <f>IFERROR(__xludf.DUMMYFUNCTION("max(filter(Status!E:E,Status!A:A=A147))"),"#N/A")</f>
        <v>#N/A</v>
      </c>
      <c r="C147" s="23" t="str">
        <f t="shared" si="1"/>
        <v/>
      </c>
      <c r="D147" s="23" t="str">
        <f t="shared" si="2"/>
        <v/>
      </c>
      <c r="E147" s="23" t="str">
        <f t="shared" si="3"/>
        <v/>
      </c>
      <c r="F147" s="23" t="str">
        <f t="shared" si="4"/>
        <v/>
      </c>
      <c r="G147" s="25" t="str">
        <f t="shared" si="5"/>
        <v/>
      </c>
      <c r="J147" s="23">
        <f>IFERROR(__xludf.DUMMYFUNCTION("COUNTA(iferror(filter(Status!H:H,Status!A:A=A147)))"),0.0)</f>
        <v>0</v>
      </c>
      <c r="K147" s="25">
        <f>IFERROR(__xludf.DUMMYFUNCTION("COUNTA(iferror(filter(Status!H:H,Status!A:A=A147,Status!H:H=TRUE)))"),0.0)</f>
        <v>0</v>
      </c>
      <c r="L147" s="23">
        <f>IFERROR(__xludf.DUMMYFUNCTION("COUNTA(iferror(filter(Status!L:L,Status!A:A=A147)))"),0.0)</f>
        <v>0</v>
      </c>
      <c r="M147" s="25">
        <f>IFERROR(__xludf.DUMMYFUNCTION("COUNTA(iferror(filter(Status!L:L,Status!A:A=A147,Status!L:L=TRUE)))"),0.0)</f>
        <v>0</v>
      </c>
      <c r="N147" s="23">
        <f>IFERROR(__xludf.DUMMYFUNCTION("COUNTA(iferror(filter(Status!N:N,Status!A:A=A147,Status!N:N=TRUE)))"),0.0)</f>
        <v>0</v>
      </c>
      <c r="O147" s="25">
        <f>IFERROR(__xludf.DUMMYFUNCTION("COUNTA(iferror(filter(Status!N:N,Status!A:A=A147,Status!N:N=TRUE)))"),0.0)</f>
        <v>0</v>
      </c>
      <c r="P147" s="23">
        <f>IFERROR(__xludf.DUMMYFUNCTION("COUNTA(iferror(filter(Status!P:P,Status!A:A=A147)))"),0.0)</f>
        <v>0</v>
      </c>
      <c r="Q147" s="25">
        <f>IFERROR(__xludf.DUMMYFUNCTION("COUNTA(iferror(filter(Status!P:P,Status!A:A=A147,Status!P:P=TRUE)))"),0.0)</f>
        <v>0</v>
      </c>
      <c r="R147" s="23">
        <f>IFERROR(__xludf.DUMMYFUNCTION("COUNTA(iferror(filter(Status!R:R,Status!A:A=A147)))"),0.0)</f>
        <v>0</v>
      </c>
      <c r="S147" s="25">
        <f>IFERROR(__xludf.DUMMYFUNCTION("COUNTA(iferror(filter(Status!R:R,Status!A:A=A147,Status!R:R=TRUE)))"),0.0)</f>
        <v>0</v>
      </c>
      <c r="V147" s="23" t="str">
        <f>IFERROR(__xludf.DUMMYFUNCTION("if((countif(filter(Status!$C:$C,Status!$A:$A=$A147),CONCATENATE(V$2,""*""))-W147)&gt;0,(countif(filter(Status!$C:$C,Status!$A:$A=$A147),CONCATENATE(V$2,""*""))-W147),"""")"),"")</f>
        <v/>
      </c>
      <c r="W147" s="23" t="str">
        <f>IFERROR(__xludf.DUMMYFUNCTION("if(countif(filter(Status!$C:$C,Status!$A:$A=$A147),CONCATENATE(W$2,""*""))&gt;0,countif(filter(Status!$C:$C,Status!$A:$A=$A147),CONCATENATE(W$2,""*"")),"""")"),"")</f>
        <v/>
      </c>
      <c r="X147" s="23" t="str">
        <f>IFERROR(__xludf.DUMMYFUNCTION("if(countif(filter(Status!$C:$C,Status!$A:$A=$A147),CONCATENATE(X$2,""*""))&gt;0,countif(filter(Status!$C:$C,Status!$A:$A=$A147),CONCATENATE(X$2,""*"")),"""")"),"")</f>
        <v/>
      </c>
      <c r="Y147" s="23" t="str">
        <f>IFERROR(__xludf.DUMMYFUNCTION("if(countif(filter(Status!$C:$C,Status!$A:$A=$A147),CONCATENATE(Y$2,""*""))&gt;0,countif(filter(Status!$C:$C,Status!$A:$A=$A147),CONCATENATE(Y$2,""*"")),"""")"),"")</f>
        <v/>
      </c>
      <c r="Z147" s="23" t="str">
        <f>IFERROR(__xludf.DUMMYFUNCTION("if(countif(filter(Status!$C:$C,Status!$A:$A=$A147),CONCATENATE(Z$2,""*""))&gt;0,countif(filter(Status!$C:$C,Status!$A:$A=$A147),CONCATENATE(Z$2,""*"")),"""")"),"")</f>
        <v/>
      </c>
      <c r="AA147" s="23" t="str">
        <f>IFERROR(__xludf.DUMMYFUNCTION("if((countif(filter(Status!$C:$C,Status!$A:$A=$A147),CONCATENATE(AA$2,""*""))-AB147)&gt;0,(countif(filter(Status!$C:$C,Status!$A:$A=$A147),CONCATENATE(AA$2,""*""))-AB147),"""")"),"")</f>
        <v/>
      </c>
      <c r="AB147" s="23" t="str">
        <f>IFERROR(__xludf.DUMMYFUNCTION("if(countif(filter(Status!$C:$C,Status!$A:$A=$A147),CONCATENATE(AB$2,""*""))&gt;0,countif(filter(Status!$C:$C,Status!$A:$A=$A147),CONCATENATE(AB$2,""*"")),"""")"),"")</f>
        <v/>
      </c>
      <c r="AC147" s="23" t="str">
        <f>IFERROR(__xludf.DUMMYFUNCTION("if(countif(filter(Status!$C:$C,Status!$A:$A=$A147),CONCATENATE(AC$2,""*""))&gt;0,countif(filter(Status!$C:$C,Status!$A:$A=$A147),CONCATENATE(AC$2,""*"")),"""")"),"")</f>
        <v/>
      </c>
      <c r="AD147" s="23" t="str">
        <f>IFERROR(__xludf.DUMMYFUNCTION("if(countif(filter(Status!$C:$C,Status!$A:$A=$A147),CONCATENATE(AD$2,""*""))&gt;0,countif(filter(Status!$C:$C,Status!$A:$A=$A147),CONCATENATE(AD$2,""*"")),"""")"),"")</f>
        <v/>
      </c>
      <c r="AE147" s="23" t="str">
        <f>IFERROR(__xludf.DUMMYFUNCTION("if(countif(filter(Status!$C:$C,Status!$A:$A=$A147),CONCATENATE(AE$2,""*""))&gt;0,countif(filter(Status!$C:$C,Status!$A:$A=$A147),CONCATENATE(AE$2,""*"")),"""")"),"")</f>
        <v/>
      </c>
      <c r="AF147" s="23" t="str">
        <f>IFERROR(__xludf.DUMMYFUNCTION("if(countif(filter(Status!$C:$C,Status!$A:$A=$A147),CONCATENATE(AF$2,""*""))&gt;0,countif(filter(Status!$C:$C,Status!$A:$A=$A147),CONCATENATE(AF$2,""*"")),"""")"),"")</f>
        <v/>
      </c>
      <c r="AG147" s="23" t="str">
        <f>IFERROR(__xludf.DUMMYFUNCTION("if(countif(filter(Status!$C:$C,Status!$A:$A=$A147),CONCATENATE(AG$2,""*""))&gt;0,countif(filter(Status!$C:$C,Status!$A:$A=$A147),CONCATENATE(AG$2,""*"")),"""")"),"")</f>
        <v/>
      </c>
      <c r="AH147" s="23" t="str">
        <f>IFERROR(__xludf.DUMMYFUNCTION("if(countif(filter(Status!$C:$C,Status!$A:$A=$A147),CONCATENATE(AH$2,""*""))&gt;0,countif(filter(Status!$C:$C,Status!$A:$A=$A147),CONCATENATE(AH$2,""*"")),"""")"),"")</f>
        <v/>
      </c>
      <c r="AI147" s="23" t="str">
        <f>IFERROR(__xludf.DUMMYFUNCTION("if(countif(filter(Status!$C:$C,Status!$A:$A=$A147),CONCATENATE(AI$2,""*""))&gt;0,countif(filter(Status!$C:$C,Status!$A:$A=$A147),CONCATENATE(AI$2,""*"")),"""")"),"")</f>
        <v/>
      </c>
      <c r="AJ147" s="23" t="str">
        <f>IFERROR(__xludf.DUMMYFUNCTION("if(countif(filter(Status!$C:$C,Status!$A:$A=$A147),CONCATENATE(AJ$2,""*""))&gt;0,countif(filter(Status!$C:$C,Status!$A:$A=$A147),CONCATENATE(AJ$2,""*"")),"""")"),"")</f>
        <v/>
      </c>
      <c r="AK147" s="23" t="str">
        <f>IFERROR(__xludf.DUMMYFUNCTION("if(countif(filter(Status!$C:$C,Status!$A:$A=$A147),CONCATENATE(AK$2,""*""))&gt;0,countif(filter(Status!$C:$C,Status!$A:$A=$A147),CONCATENATE(AK$2,""*"")),"""")"),"")</f>
        <v/>
      </c>
      <c r="AL147" s="23" t="str">
        <f>IFERROR(__xludf.DUMMYFUNCTION("if(countif(filter(Status!$C:$C,Status!$A:$A=$A147),CONCATENATE(AL$2,""*""))&gt;0,countif(filter(Status!$C:$C,Status!$A:$A=$A147),CONCATENATE(AL$2,""*"")),"""")"),"")</f>
        <v/>
      </c>
      <c r="AM147" s="23" t="str">
        <f>IFERROR(__xludf.DUMMYFUNCTION("if(countif(filter(Status!$C:$C,Status!$A:$A=$A147),CONCATENATE(AM$2,""*""))&gt;0,countif(filter(Status!$C:$C,Status!$A:$A=$A147),CONCATENATE(AM$2,""*"")),"""")"),"")</f>
        <v/>
      </c>
      <c r="AN147" s="23" t="str">
        <f>IFERROR(__xludf.DUMMYFUNCTION("if(countif(filter(Status!$C:$C,Status!$A:$A=$A147),CONCATENATE(AN$2,""*""))&gt;0,countif(filter(Status!$C:$C,Status!$A:$A=$A147),CONCATENATE(AN$2,""*"")),"""")"),"")</f>
        <v/>
      </c>
      <c r="AO147" s="23" t="str">
        <f>IFERROR(__xludf.DUMMYFUNCTION("if(countif(filter(Status!$C:$C,Status!$A:$A=$A147),CONCATENATE(AO$2,""*""))&gt;0,countif(filter(Status!$C:$C,Status!$A:$A=$A147),CONCATENATE(AO$2,""*"")),"""")"),"")</f>
        <v/>
      </c>
      <c r="AP147" s="23">
        <f>IFERROR(__xludf.DUMMYFUNCTION("counta(iferror(filter(Status!C:C,Status!A:A=A147)))"),0.0)</f>
        <v>0</v>
      </c>
      <c r="AQ147" s="23">
        <f t="shared" si="6"/>
        <v>0</v>
      </c>
    </row>
    <row r="148">
      <c r="A148" s="1" t="s">
        <v>1151</v>
      </c>
      <c r="B148" s="25" t="str">
        <f>IFERROR(__xludf.DUMMYFUNCTION("max(filter(Status!E:E,Status!A:A=A148))"),"#N/A")</f>
        <v>#N/A</v>
      </c>
      <c r="C148" s="23" t="str">
        <f t="shared" si="1"/>
        <v/>
      </c>
      <c r="D148" s="23" t="str">
        <f t="shared" si="2"/>
        <v/>
      </c>
      <c r="E148" s="23" t="str">
        <f t="shared" si="3"/>
        <v/>
      </c>
      <c r="F148" s="23" t="str">
        <f t="shared" si="4"/>
        <v/>
      </c>
      <c r="G148" s="25" t="str">
        <f t="shared" si="5"/>
        <v/>
      </c>
      <c r="J148" s="23">
        <f>IFERROR(__xludf.DUMMYFUNCTION("COUNTA(iferror(filter(Status!H:H,Status!A:A=A148)))"),0.0)</f>
        <v>0</v>
      </c>
      <c r="K148" s="25">
        <f>IFERROR(__xludf.DUMMYFUNCTION("COUNTA(iferror(filter(Status!H:H,Status!A:A=A148,Status!H:H=TRUE)))"),0.0)</f>
        <v>0</v>
      </c>
      <c r="L148" s="23">
        <f>IFERROR(__xludf.DUMMYFUNCTION("COUNTA(iferror(filter(Status!L:L,Status!A:A=A148)))"),0.0)</f>
        <v>0</v>
      </c>
      <c r="M148" s="25">
        <f>IFERROR(__xludf.DUMMYFUNCTION("COUNTA(iferror(filter(Status!L:L,Status!A:A=A148,Status!L:L=TRUE)))"),0.0)</f>
        <v>0</v>
      </c>
      <c r="N148" s="23">
        <f>IFERROR(__xludf.DUMMYFUNCTION("COUNTA(iferror(filter(Status!N:N,Status!A:A=A148,Status!N:N=TRUE)))"),0.0)</f>
        <v>0</v>
      </c>
      <c r="O148" s="25">
        <f>IFERROR(__xludf.DUMMYFUNCTION("COUNTA(iferror(filter(Status!N:N,Status!A:A=A148,Status!N:N=TRUE)))"),0.0)</f>
        <v>0</v>
      </c>
      <c r="P148" s="23">
        <f>IFERROR(__xludf.DUMMYFUNCTION("COUNTA(iferror(filter(Status!P:P,Status!A:A=A148)))"),0.0)</f>
        <v>0</v>
      </c>
      <c r="Q148" s="25">
        <f>IFERROR(__xludf.DUMMYFUNCTION("COUNTA(iferror(filter(Status!P:P,Status!A:A=A148,Status!P:P=TRUE)))"),0.0)</f>
        <v>0</v>
      </c>
      <c r="R148" s="23">
        <f>IFERROR(__xludf.DUMMYFUNCTION("COUNTA(iferror(filter(Status!R:R,Status!A:A=A148)))"),0.0)</f>
        <v>0</v>
      </c>
      <c r="S148" s="25">
        <f>IFERROR(__xludf.DUMMYFUNCTION("COUNTA(iferror(filter(Status!R:R,Status!A:A=A148,Status!R:R=TRUE)))"),0.0)</f>
        <v>0</v>
      </c>
      <c r="V148" s="23" t="str">
        <f>IFERROR(__xludf.DUMMYFUNCTION("if((countif(filter(Status!$C:$C,Status!$A:$A=$A148),CONCATENATE(V$2,""*""))-W148)&gt;0,(countif(filter(Status!$C:$C,Status!$A:$A=$A148),CONCATENATE(V$2,""*""))-W148),"""")"),"")</f>
        <v/>
      </c>
      <c r="W148" s="23" t="str">
        <f>IFERROR(__xludf.DUMMYFUNCTION("if(countif(filter(Status!$C:$C,Status!$A:$A=$A148),CONCATENATE(W$2,""*""))&gt;0,countif(filter(Status!$C:$C,Status!$A:$A=$A148),CONCATENATE(W$2,""*"")),"""")"),"")</f>
        <v/>
      </c>
      <c r="X148" s="23" t="str">
        <f>IFERROR(__xludf.DUMMYFUNCTION("if(countif(filter(Status!$C:$C,Status!$A:$A=$A148),CONCATENATE(X$2,""*""))&gt;0,countif(filter(Status!$C:$C,Status!$A:$A=$A148),CONCATENATE(X$2,""*"")),"""")"),"")</f>
        <v/>
      </c>
      <c r="Y148" s="23" t="str">
        <f>IFERROR(__xludf.DUMMYFUNCTION("if(countif(filter(Status!$C:$C,Status!$A:$A=$A148),CONCATENATE(Y$2,""*""))&gt;0,countif(filter(Status!$C:$C,Status!$A:$A=$A148),CONCATENATE(Y$2,""*"")),"""")"),"")</f>
        <v/>
      </c>
      <c r="Z148" s="23" t="str">
        <f>IFERROR(__xludf.DUMMYFUNCTION("if(countif(filter(Status!$C:$C,Status!$A:$A=$A148),CONCATENATE(Z$2,""*""))&gt;0,countif(filter(Status!$C:$C,Status!$A:$A=$A148),CONCATENATE(Z$2,""*"")),"""")"),"")</f>
        <v/>
      </c>
      <c r="AA148" s="23" t="str">
        <f>IFERROR(__xludf.DUMMYFUNCTION("if((countif(filter(Status!$C:$C,Status!$A:$A=$A148),CONCATENATE(AA$2,""*""))-AB148)&gt;0,(countif(filter(Status!$C:$C,Status!$A:$A=$A148),CONCATENATE(AA$2,""*""))-AB148),"""")"),"")</f>
        <v/>
      </c>
      <c r="AB148" s="23" t="str">
        <f>IFERROR(__xludf.DUMMYFUNCTION("if(countif(filter(Status!$C:$C,Status!$A:$A=$A148),CONCATENATE(AB$2,""*""))&gt;0,countif(filter(Status!$C:$C,Status!$A:$A=$A148),CONCATENATE(AB$2,""*"")),"""")"),"")</f>
        <v/>
      </c>
      <c r="AC148" s="23" t="str">
        <f>IFERROR(__xludf.DUMMYFUNCTION("if(countif(filter(Status!$C:$C,Status!$A:$A=$A148),CONCATENATE(AC$2,""*""))&gt;0,countif(filter(Status!$C:$C,Status!$A:$A=$A148),CONCATENATE(AC$2,""*"")),"""")"),"")</f>
        <v/>
      </c>
      <c r="AD148" s="23" t="str">
        <f>IFERROR(__xludf.DUMMYFUNCTION("if(countif(filter(Status!$C:$C,Status!$A:$A=$A148),CONCATENATE(AD$2,""*""))&gt;0,countif(filter(Status!$C:$C,Status!$A:$A=$A148),CONCATENATE(AD$2,""*"")),"""")"),"")</f>
        <v/>
      </c>
      <c r="AE148" s="23" t="str">
        <f>IFERROR(__xludf.DUMMYFUNCTION("if(countif(filter(Status!$C:$C,Status!$A:$A=$A148),CONCATENATE(AE$2,""*""))&gt;0,countif(filter(Status!$C:$C,Status!$A:$A=$A148),CONCATENATE(AE$2,""*"")),"""")"),"")</f>
        <v/>
      </c>
      <c r="AF148" s="23" t="str">
        <f>IFERROR(__xludf.DUMMYFUNCTION("if(countif(filter(Status!$C:$C,Status!$A:$A=$A148),CONCATENATE(AF$2,""*""))&gt;0,countif(filter(Status!$C:$C,Status!$A:$A=$A148),CONCATENATE(AF$2,""*"")),"""")"),"")</f>
        <v/>
      </c>
      <c r="AG148" s="23" t="str">
        <f>IFERROR(__xludf.DUMMYFUNCTION("if(countif(filter(Status!$C:$C,Status!$A:$A=$A148),CONCATENATE(AG$2,""*""))&gt;0,countif(filter(Status!$C:$C,Status!$A:$A=$A148),CONCATENATE(AG$2,""*"")),"""")"),"")</f>
        <v/>
      </c>
      <c r="AH148" s="23" t="str">
        <f>IFERROR(__xludf.DUMMYFUNCTION("if(countif(filter(Status!$C:$C,Status!$A:$A=$A148),CONCATENATE(AH$2,""*""))&gt;0,countif(filter(Status!$C:$C,Status!$A:$A=$A148),CONCATENATE(AH$2,""*"")),"""")"),"")</f>
        <v/>
      </c>
      <c r="AI148" s="23" t="str">
        <f>IFERROR(__xludf.DUMMYFUNCTION("if(countif(filter(Status!$C:$C,Status!$A:$A=$A148),CONCATENATE(AI$2,""*""))&gt;0,countif(filter(Status!$C:$C,Status!$A:$A=$A148),CONCATENATE(AI$2,""*"")),"""")"),"")</f>
        <v/>
      </c>
      <c r="AJ148" s="23" t="str">
        <f>IFERROR(__xludf.DUMMYFUNCTION("if(countif(filter(Status!$C:$C,Status!$A:$A=$A148),CONCATENATE(AJ$2,""*""))&gt;0,countif(filter(Status!$C:$C,Status!$A:$A=$A148),CONCATENATE(AJ$2,""*"")),"""")"),"")</f>
        <v/>
      </c>
      <c r="AK148" s="23" t="str">
        <f>IFERROR(__xludf.DUMMYFUNCTION("if(countif(filter(Status!$C:$C,Status!$A:$A=$A148),CONCATENATE(AK$2,""*""))&gt;0,countif(filter(Status!$C:$C,Status!$A:$A=$A148),CONCATENATE(AK$2,""*"")),"""")"),"")</f>
        <v/>
      </c>
      <c r="AL148" s="23" t="str">
        <f>IFERROR(__xludf.DUMMYFUNCTION("if(countif(filter(Status!$C:$C,Status!$A:$A=$A148),CONCATENATE(AL$2,""*""))&gt;0,countif(filter(Status!$C:$C,Status!$A:$A=$A148),CONCATENATE(AL$2,""*"")),"""")"),"")</f>
        <v/>
      </c>
      <c r="AM148" s="23" t="str">
        <f>IFERROR(__xludf.DUMMYFUNCTION("if(countif(filter(Status!$C:$C,Status!$A:$A=$A148),CONCATENATE(AM$2,""*""))&gt;0,countif(filter(Status!$C:$C,Status!$A:$A=$A148),CONCATENATE(AM$2,""*"")),"""")"),"")</f>
        <v/>
      </c>
      <c r="AN148" s="23" t="str">
        <f>IFERROR(__xludf.DUMMYFUNCTION("if(countif(filter(Status!$C:$C,Status!$A:$A=$A148),CONCATENATE(AN$2,""*""))&gt;0,countif(filter(Status!$C:$C,Status!$A:$A=$A148),CONCATENATE(AN$2,""*"")),"""")"),"")</f>
        <v/>
      </c>
      <c r="AO148" s="23" t="str">
        <f>IFERROR(__xludf.DUMMYFUNCTION("if(countif(filter(Status!$C:$C,Status!$A:$A=$A148),CONCATENATE(AO$2,""*""))&gt;0,countif(filter(Status!$C:$C,Status!$A:$A=$A148),CONCATENATE(AO$2,""*"")),"""")"),"")</f>
        <v/>
      </c>
      <c r="AP148" s="23">
        <f>IFERROR(__xludf.DUMMYFUNCTION("counta(iferror(filter(Status!C:C,Status!A:A=A148)))"),0.0)</f>
        <v>0</v>
      </c>
      <c r="AQ148" s="23">
        <f t="shared" si="6"/>
        <v>0</v>
      </c>
    </row>
    <row r="149">
      <c r="A149" s="1" t="s">
        <v>1154</v>
      </c>
      <c r="B149" s="25" t="str">
        <f>IFERROR(__xludf.DUMMYFUNCTION("max(filter(Status!E:E,Status!A:A=A149))"),"#N/A")</f>
        <v>#N/A</v>
      </c>
      <c r="C149" s="23" t="str">
        <f t="shared" si="1"/>
        <v/>
      </c>
      <c r="D149" s="23" t="str">
        <f t="shared" si="2"/>
        <v/>
      </c>
      <c r="E149" s="23" t="str">
        <f t="shared" si="3"/>
        <v/>
      </c>
      <c r="F149" s="23" t="str">
        <f t="shared" si="4"/>
        <v/>
      </c>
      <c r="G149" s="25" t="str">
        <f t="shared" si="5"/>
        <v/>
      </c>
      <c r="J149" s="23">
        <f>IFERROR(__xludf.DUMMYFUNCTION("COUNTA(iferror(filter(Status!H:H,Status!A:A=A149)))"),0.0)</f>
        <v>0</v>
      </c>
      <c r="K149" s="25">
        <f>IFERROR(__xludf.DUMMYFUNCTION("COUNTA(iferror(filter(Status!H:H,Status!A:A=A149,Status!H:H=TRUE)))"),0.0)</f>
        <v>0</v>
      </c>
      <c r="L149" s="23">
        <f>IFERROR(__xludf.DUMMYFUNCTION("COUNTA(iferror(filter(Status!L:L,Status!A:A=A149)))"),0.0)</f>
        <v>0</v>
      </c>
      <c r="M149" s="25">
        <f>IFERROR(__xludf.DUMMYFUNCTION("COUNTA(iferror(filter(Status!L:L,Status!A:A=A149,Status!L:L=TRUE)))"),0.0)</f>
        <v>0</v>
      </c>
      <c r="N149" s="23">
        <f>IFERROR(__xludf.DUMMYFUNCTION("COUNTA(iferror(filter(Status!N:N,Status!A:A=A149,Status!N:N=TRUE)))"),0.0)</f>
        <v>0</v>
      </c>
      <c r="O149" s="25">
        <f>IFERROR(__xludf.DUMMYFUNCTION("COUNTA(iferror(filter(Status!N:N,Status!A:A=A149,Status!N:N=TRUE)))"),0.0)</f>
        <v>0</v>
      </c>
      <c r="P149" s="23">
        <f>IFERROR(__xludf.DUMMYFUNCTION("COUNTA(iferror(filter(Status!P:P,Status!A:A=A149)))"),0.0)</f>
        <v>0</v>
      </c>
      <c r="Q149" s="25">
        <f>IFERROR(__xludf.DUMMYFUNCTION("COUNTA(iferror(filter(Status!P:P,Status!A:A=A149,Status!P:P=TRUE)))"),0.0)</f>
        <v>0</v>
      </c>
      <c r="R149" s="23">
        <f>IFERROR(__xludf.DUMMYFUNCTION("COUNTA(iferror(filter(Status!R:R,Status!A:A=A149)))"),0.0)</f>
        <v>0</v>
      </c>
      <c r="S149" s="25">
        <f>IFERROR(__xludf.DUMMYFUNCTION("COUNTA(iferror(filter(Status!R:R,Status!A:A=A149,Status!R:R=TRUE)))"),0.0)</f>
        <v>0</v>
      </c>
      <c r="V149" s="23" t="str">
        <f>IFERROR(__xludf.DUMMYFUNCTION("if((countif(filter(Status!$C:$C,Status!$A:$A=$A149),CONCATENATE(V$2,""*""))-W149)&gt;0,(countif(filter(Status!$C:$C,Status!$A:$A=$A149),CONCATENATE(V$2,""*""))-W149),"""")"),"")</f>
        <v/>
      </c>
      <c r="W149" s="23" t="str">
        <f>IFERROR(__xludf.DUMMYFUNCTION("if(countif(filter(Status!$C:$C,Status!$A:$A=$A149),CONCATENATE(W$2,""*""))&gt;0,countif(filter(Status!$C:$C,Status!$A:$A=$A149),CONCATENATE(W$2,""*"")),"""")"),"")</f>
        <v/>
      </c>
      <c r="X149" s="23" t="str">
        <f>IFERROR(__xludf.DUMMYFUNCTION("if(countif(filter(Status!$C:$C,Status!$A:$A=$A149),CONCATENATE(X$2,""*""))&gt;0,countif(filter(Status!$C:$C,Status!$A:$A=$A149),CONCATENATE(X$2,""*"")),"""")"),"")</f>
        <v/>
      </c>
      <c r="Y149" s="23" t="str">
        <f>IFERROR(__xludf.DUMMYFUNCTION("if(countif(filter(Status!$C:$C,Status!$A:$A=$A149),CONCATENATE(Y$2,""*""))&gt;0,countif(filter(Status!$C:$C,Status!$A:$A=$A149),CONCATENATE(Y$2,""*"")),"""")"),"")</f>
        <v/>
      </c>
      <c r="Z149" s="23" t="str">
        <f>IFERROR(__xludf.DUMMYFUNCTION("if(countif(filter(Status!$C:$C,Status!$A:$A=$A149),CONCATENATE(Z$2,""*""))&gt;0,countif(filter(Status!$C:$C,Status!$A:$A=$A149),CONCATENATE(Z$2,""*"")),"""")"),"")</f>
        <v/>
      </c>
      <c r="AA149" s="23" t="str">
        <f>IFERROR(__xludf.DUMMYFUNCTION("if((countif(filter(Status!$C:$C,Status!$A:$A=$A149),CONCATENATE(AA$2,""*""))-AB149)&gt;0,(countif(filter(Status!$C:$C,Status!$A:$A=$A149),CONCATENATE(AA$2,""*""))-AB149),"""")"),"")</f>
        <v/>
      </c>
      <c r="AB149" s="23" t="str">
        <f>IFERROR(__xludf.DUMMYFUNCTION("if(countif(filter(Status!$C:$C,Status!$A:$A=$A149),CONCATENATE(AB$2,""*""))&gt;0,countif(filter(Status!$C:$C,Status!$A:$A=$A149),CONCATENATE(AB$2,""*"")),"""")"),"")</f>
        <v/>
      </c>
      <c r="AC149" s="23" t="str">
        <f>IFERROR(__xludf.DUMMYFUNCTION("if(countif(filter(Status!$C:$C,Status!$A:$A=$A149),CONCATENATE(AC$2,""*""))&gt;0,countif(filter(Status!$C:$C,Status!$A:$A=$A149),CONCATENATE(AC$2,""*"")),"""")"),"")</f>
        <v/>
      </c>
      <c r="AD149" s="23" t="str">
        <f>IFERROR(__xludf.DUMMYFUNCTION("if(countif(filter(Status!$C:$C,Status!$A:$A=$A149),CONCATENATE(AD$2,""*""))&gt;0,countif(filter(Status!$C:$C,Status!$A:$A=$A149),CONCATENATE(AD$2,""*"")),"""")"),"")</f>
        <v/>
      </c>
      <c r="AE149" s="23" t="str">
        <f>IFERROR(__xludf.DUMMYFUNCTION("if(countif(filter(Status!$C:$C,Status!$A:$A=$A149),CONCATENATE(AE$2,""*""))&gt;0,countif(filter(Status!$C:$C,Status!$A:$A=$A149),CONCATENATE(AE$2,""*"")),"""")"),"")</f>
        <v/>
      </c>
      <c r="AF149" s="23" t="str">
        <f>IFERROR(__xludf.DUMMYFUNCTION("if(countif(filter(Status!$C:$C,Status!$A:$A=$A149),CONCATENATE(AF$2,""*""))&gt;0,countif(filter(Status!$C:$C,Status!$A:$A=$A149),CONCATENATE(AF$2,""*"")),"""")"),"")</f>
        <v/>
      </c>
      <c r="AG149" s="23" t="str">
        <f>IFERROR(__xludf.DUMMYFUNCTION("if(countif(filter(Status!$C:$C,Status!$A:$A=$A149),CONCATENATE(AG$2,""*""))&gt;0,countif(filter(Status!$C:$C,Status!$A:$A=$A149),CONCATENATE(AG$2,""*"")),"""")"),"")</f>
        <v/>
      </c>
      <c r="AH149" s="23" t="str">
        <f>IFERROR(__xludf.DUMMYFUNCTION("if(countif(filter(Status!$C:$C,Status!$A:$A=$A149),CONCATENATE(AH$2,""*""))&gt;0,countif(filter(Status!$C:$C,Status!$A:$A=$A149),CONCATENATE(AH$2,""*"")),"""")"),"")</f>
        <v/>
      </c>
      <c r="AI149" s="23" t="str">
        <f>IFERROR(__xludf.DUMMYFUNCTION("if(countif(filter(Status!$C:$C,Status!$A:$A=$A149),CONCATENATE(AI$2,""*""))&gt;0,countif(filter(Status!$C:$C,Status!$A:$A=$A149),CONCATENATE(AI$2,""*"")),"""")"),"")</f>
        <v/>
      </c>
      <c r="AJ149" s="23" t="str">
        <f>IFERROR(__xludf.DUMMYFUNCTION("if(countif(filter(Status!$C:$C,Status!$A:$A=$A149),CONCATENATE(AJ$2,""*""))&gt;0,countif(filter(Status!$C:$C,Status!$A:$A=$A149),CONCATENATE(AJ$2,""*"")),"""")"),"")</f>
        <v/>
      </c>
      <c r="AK149" s="23" t="str">
        <f>IFERROR(__xludf.DUMMYFUNCTION("if(countif(filter(Status!$C:$C,Status!$A:$A=$A149),CONCATENATE(AK$2,""*""))&gt;0,countif(filter(Status!$C:$C,Status!$A:$A=$A149),CONCATENATE(AK$2,""*"")),"""")"),"")</f>
        <v/>
      </c>
      <c r="AL149" s="23" t="str">
        <f>IFERROR(__xludf.DUMMYFUNCTION("if(countif(filter(Status!$C:$C,Status!$A:$A=$A149),CONCATENATE(AL$2,""*""))&gt;0,countif(filter(Status!$C:$C,Status!$A:$A=$A149),CONCATENATE(AL$2,""*"")),"""")"),"")</f>
        <v/>
      </c>
      <c r="AM149" s="23" t="str">
        <f>IFERROR(__xludf.DUMMYFUNCTION("if(countif(filter(Status!$C:$C,Status!$A:$A=$A149),CONCATENATE(AM$2,""*""))&gt;0,countif(filter(Status!$C:$C,Status!$A:$A=$A149),CONCATENATE(AM$2,""*"")),"""")"),"")</f>
        <v/>
      </c>
      <c r="AN149" s="23" t="str">
        <f>IFERROR(__xludf.DUMMYFUNCTION("if(countif(filter(Status!$C:$C,Status!$A:$A=$A149),CONCATENATE(AN$2,""*""))&gt;0,countif(filter(Status!$C:$C,Status!$A:$A=$A149),CONCATENATE(AN$2,""*"")),"""")"),"")</f>
        <v/>
      </c>
      <c r="AO149" s="23" t="str">
        <f>IFERROR(__xludf.DUMMYFUNCTION("if(countif(filter(Status!$C:$C,Status!$A:$A=$A149),CONCATENATE(AO$2,""*""))&gt;0,countif(filter(Status!$C:$C,Status!$A:$A=$A149),CONCATENATE(AO$2,""*"")),"""")"),"")</f>
        <v/>
      </c>
      <c r="AP149" s="23">
        <f>IFERROR(__xludf.DUMMYFUNCTION("counta(iferror(filter(Status!C:C,Status!A:A=A149)))"),0.0)</f>
        <v>0</v>
      </c>
      <c r="AQ149" s="23">
        <f t="shared" si="6"/>
        <v>0</v>
      </c>
    </row>
    <row r="150">
      <c r="A150" s="1" t="s">
        <v>1157</v>
      </c>
      <c r="B150" s="25" t="str">
        <f>IFERROR(__xludf.DUMMYFUNCTION("max(filter(Status!E:E,Status!A:A=A150))"),"#N/A")</f>
        <v>#N/A</v>
      </c>
      <c r="C150" s="23" t="str">
        <f t="shared" si="1"/>
        <v/>
      </c>
      <c r="D150" s="23" t="str">
        <f t="shared" si="2"/>
        <v/>
      </c>
      <c r="E150" s="23" t="str">
        <f t="shared" si="3"/>
        <v/>
      </c>
      <c r="F150" s="23" t="str">
        <f t="shared" si="4"/>
        <v/>
      </c>
      <c r="G150" s="25" t="str">
        <f t="shared" si="5"/>
        <v/>
      </c>
      <c r="J150" s="23">
        <f>IFERROR(__xludf.DUMMYFUNCTION("COUNTA(iferror(filter(Status!H:H,Status!A:A=A150)))"),0.0)</f>
        <v>0</v>
      </c>
      <c r="K150" s="25">
        <f>IFERROR(__xludf.DUMMYFUNCTION("COUNTA(iferror(filter(Status!H:H,Status!A:A=A150,Status!H:H=TRUE)))"),0.0)</f>
        <v>0</v>
      </c>
      <c r="L150" s="23">
        <f>IFERROR(__xludf.DUMMYFUNCTION("COUNTA(iferror(filter(Status!L:L,Status!A:A=A150)))"),0.0)</f>
        <v>0</v>
      </c>
      <c r="M150" s="25">
        <f>IFERROR(__xludf.DUMMYFUNCTION("COUNTA(iferror(filter(Status!L:L,Status!A:A=A150,Status!L:L=TRUE)))"),0.0)</f>
        <v>0</v>
      </c>
      <c r="N150" s="23">
        <f>IFERROR(__xludf.DUMMYFUNCTION("COUNTA(iferror(filter(Status!N:N,Status!A:A=A150,Status!N:N=TRUE)))"),0.0)</f>
        <v>0</v>
      </c>
      <c r="O150" s="25">
        <f>IFERROR(__xludf.DUMMYFUNCTION("COUNTA(iferror(filter(Status!N:N,Status!A:A=A150,Status!N:N=TRUE)))"),0.0)</f>
        <v>0</v>
      </c>
      <c r="P150" s="23">
        <f>IFERROR(__xludf.DUMMYFUNCTION("COUNTA(iferror(filter(Status!P:P,Status!A:A=A150)))"),0.0)</f>
        <v>0</v>
      </c>
      <c r="Q150" s="25">
        <f>IFERROR(__xludf.DUMMYFUNCTION("COUNTA(iferror(filter(Status!P:P,Status!A:A=A150,Status!P:P=TRUE)))"),0.0)</f>
        <v>0</v>
      </c>
      <c r="R150" s="23">
        <f>IFERROR(__xludf.DUMMYFUNCTION("COUNTA(iferror(filter(Status!R:R,Status!A:A=A150)))"),0.0)</f>
        <v>0</v>
      </c>
      <c r="S150" s="25">
        <f>IFERROR(__xludf.DUMMYFUNCTION("COUNTA(iferror(filter(Status!R:R,Status!A:A=A150,Status!R:R=TRUE)))"),0.0)</f>
        <v>0</v>
      </c>
      <c r="V150" s="23" t="str">
        <f>IFERROR(__xludf.DUMMYFUNCTION("if((countif(filter(Status!$C:$C,Status!$A:$A=$A150),CONCATENATE(V$2,""*""))-W150)&gt;0,(countif(filter(Status!$C:$C,Status!$A:$A=$A150),CONCATENATE(V$2,""*""))-W150),"""")"),"")</f>
        <v/>
      </c>
      <c r="W150" s="23" t="str">
        <f>IFERROR(__xludf.DUMMYFUNCTION("if(countif(filter(Status!$C:$C,Status!$A:$A=$A150),CONCATENATE(W$2,""*""))&gt;0,countif(filter(Status!$C:$C,Status!$A:$A=$A150),CONCATENATE(W$2,""*"")),"""")"),"")</f>
        <v/>
      </c>
      <c r="X150" s="23" t="str">
        <f>IFERROR(__xludf.DUMMYFUNCTION("if(countif(filter(Status!$C:$C,Status!$A:$A=$A150),CONCATENATE(X$2,""*""))&gt;0,countif(filter(Status!$C:$C,Status!$A:$A=$A150),CONCATENATE(X$2,""*"")),"""")"),"")</f>
        <v/>
      </c>
      <c r="Y150" s="23" t="str">
        <f>IFERROR(__xludf.DUMMYFUNCTION("if(countif(filter(Status!$C:$C,Status!$A:$A=$A150),CONCATENATE(Y$2,""*""))&gt;0,countif(filter(Status!$C:$C,Status!$A:$A=$A150),CONCATENATE(Y$2,""*"")),"""")"),"")</f>
        <v/>
      </c>
      <c r="Z150" s="23" t="str">
        <f>IFERROR(__xludf.DUMMYFUNCTION("if(countif(filter(Status!$C:$C,Status!$A:$A=$A150),CONCATENATE(Z$2,""*""))&gt;0,countif(filter(Status!$C:$C,Status!$A:$A=$A150),CONCATENATE(Z$2,""*"")),"""")"),"")</f>
        <v/>
      </c>
      <c r="AA150" s="23" t="str">
        <f>IFERROR(__xludf.DUMMYFUNCTION("if((countif(filter(Status!$C:$C,Status!$A:$A=$A150),CONCATENATE(AA$2,""*""))-AB150)&gt;0,(countif(filter(Status!$C:$C,Status!$A:$A=$A150),CONCATENATE(AA$2,""*""))-AB150),"""")"),"")</f>
        <v/>
      </c>
      <c r="AB150" s="23" t="str">
        <f>IFERROR(__xludf.DUMMYFUNCTION("if(countif(filter(Status!$C:$C,Status!$A:$A=$A150),CONCATENATE(AB$2,""*""))&gt;0,countif(filter(Status!$C:$C,Status!$A:$A=$A150),CONCATENATE(AB$2,""*"")),"""")"),"")</f>
        <v/>
      </c>
      <c r="AC150" s="23" t="str">
        <f>IFERROR(__xludf.DUMMYFUNCTION("if(countif(filter(Status!$C:$C,Status!$A:$A=$A150),CONCATENATE(AC$2,""*""))&gt;0,countif(filter(Status!$C:$C,Status!$A:$A=$A150),CONCATENATE(AC$2,""*"")),"""")"),"")</f>
        <v/>
      </c>
      <c r="AD150" s="23" t="str">
        <f>IFERROR(__xludf.DUMMYFUNCTION("if(countif(filter(Status!$C:$C,Status!$A:$A=$A150),CONCATENATE(AD$2,""*""))&gt;0,countif(filter(Status!$C:$C,Status!$A:$A=$A150),CONCATENATE(AD$2,""*"")),"""")"),"")</f>
        <v/>
      </c>
      <c r="AE150" s="23" t="str">
        <f>IFERROR(__xludf.DUMMYFUNCTION("if(countif(filter(Status!$C:$C,Status!$A:$A=$A150),CONCATENATE(AE$2,""*""))&gt;0,countif(filter(Status!$C:$C,Status!$A:$A=$A150),CONCATENATE(AE$2,""*"")),"""")"),"")</f>
        <v/>
      </c>
      <c r="AF150" s="23" t="str">
        <f>IFERROR(__xludf.DUMMYFUNCTION("if(countif(filter(Status!$C:$C,Status!$A:$A=$A150),CONCATENATE(AF$2,""*""))&gt;0,countif(filter(Status!$C:$C,Status!$A:$A=$A150),CONCATENATE(AF$2,""*"")),"""")"),"")</f>
        <v/>
      </c>
      <c r="AG150" s="23" t="str">
        <f>IFERROR(__xludf.DUMMYFUNCTION("if(countif(filter(Status!$C:$C,Status!$A:$A=$A150),CONCATENATE(AG$2,""*""))&gt;0,countif(filter(Status!$C:$C,Status!$A:$A=$A150),CONCATENATE(AG$2,""*"")),"""")"),"")</f>
        <v/>
      </c>
      <c r="AH150" s="23" t="str">
        <f>IFERROR(__xludf.DUMMYFUNCTION("if(countif(filter(Status!$C:$C,Status!$A:$A=$A150),CONCATENATE(AH$2,""*""))&gt;0,countif(filter(Status!$C:$C,Status!$A:$A=$A150),CONCATENATE(AH$2,""*"")),"""")"),"")</f>
        <v/>
      </c>
      <c r="AI150" s="23" t="str">
        <f>IFERROR(__xludf.DUMMYFUNCTION("if(countif(filter(Status!$C:$C,Status!$A:$A=$A150),CONCATENATE(AI$2,""*""))&gt;0,countif(filter(Status!$C:$C,Status!$A:$A=$A150),CONCATENATE(AI$2,""*"")),"""")"),"")</f>
        <v/>
      </c>
      <c r="AJ150" s="23" t="str">
        <f>IFERROR(__xludf.DUMMYFUNCTION("if(countif(filter(Status!$C:$C,Status!$A:$A=$A150),CONCATENATE(AJ$2,""*""))&gt;0,countif(filter(Status!$C:$C,Status!$A:$A=$A150),CONCATENATE(AJ$2,""*"")),"""")"),"")</f>
        <v/>
      </c>
      <c r="AK150" s="23" t="str">
        <f>IFERROR(__xludf.DUMMYFUNCTION("if(countif(filter(Status!$C:$C,Status!$A:$A=$A150),CONCATENATE(AK$2,""*""))&gt;0,countif(filter(Status!$C:$C,Status!$A:$A=$A150),CONCATENATE(AK$2,""*"")),"""")"),"")</f>
        <v/>
      </c>
      <c r="AL150" s="23" t="str">
        <f>IFERROR(__xludf.DUMMYFUNCTION("if(countif(filter(Status!$C:$C,Status!$A:$A=$A150),CONCATENATE(AL$2,""*""))&gt;0,countif(filter(Status!$C:$C,Status!$A:$A=$A150),CONCATENATE(AL$2,""*"")),"""")"),"")</f>
        <v/>
      </c>
      <c r="AM150" s="23" t="str">
        <f>IFERROR(__xludf.DUMMYFUNCTION("if(countif(filter(Status!$C:$C,Status!$A:$A=$A150),CONCATENATE(AM$2,""*""))&gt;0,countif(filter(Status!$C:$C,Status!$A:$A=$A150),CONCATENATE(AM$2,""*"")),"""")"),"")</f>
        <v/>
      </c>
      <c r="AN150" s="23" t="str">
        <f>IFERROR(__xludf.DUMMYFUNCTION("if(countif(filter(Status!$C:$C,Status!$A:$A=$A150),CONCATENATE(AN$2,""*""))&gt;0,countif(filter(Status!$C:$C,Status!$A:$A=$A150),CONCATENATE(AN$2,""*"")),"""")"),"")</f>
        <v/>
      </c>
      <c r="AO150" s="23" t="str">
        <f>IFERROR(__xludf.DUMMYFUNCTION("if(countif(filter(Status!$C:$C,Status!$A:$A=$A150),CONCATENATE(AO$2,""*""))&gt;0,countif(filter(Status!$C:$C,Status!$A:$A=$A150),CONCATENATE(AO$2,""*"")),"""")"),"")</f>
        <v/>
      </c>
      <c r="AP150" s="23">
        <f>IFERROR(__xludf.DUMMYFUNCTION("counta(iferror(filter(Status!C:C,Status!A:A=A150)))"),0.0)</f>
        <v>0</v>
      </c>
      <c r="AQ150" s="23">
        <f t="shared" si="6"/>
        <v>0</v>
      </c>
    </row>
    <row r="151">
      <c r="A151" s="1" t="s">
        <v>1160</v>
      </c>
      <c r="B151" s="25" t="str">
        <f>IFERROR(__xludf.DUMMYFUNCTION("max(filter(Status!E:E,Status!A:A=A151))"),"#N/A")</f>
        <v>#N/A</v>
      </c>
      <c r="C151" s="23" t="str">
        <f t="shared" si="1"/>
        <v/>
      </c>
      <c r="D151" s="23" t="str">
        <f t="shared" si="2"/>
        <v/>
      </c>
      <c r="E151" s="23" t="str">
        <f t="shared" si="3"/>
        <v/>
      </c>
      <c r="F151" s="23" t="str">
        <f t="shared" si="4"/>
        <v/>
      </c>
      <c r="G151" s="25" t="str">
        <f t="shared" si="5"/>
        <v/>
      </c>
      <c r="J151" s="23">
        <f>IFERROR(__xludf.DUMMYFUNCTION("COUNTA(iferror(filter(Status!H:H,Status!A:A=A151)))"),0.0)</f>
        <v>0</v>
      </c>
      <c r="K151" s="25">
        <f>IFERROR(__xludf.DUMMYFUNCTION("COUNTA(iferror(filter(Status!H:H,Status!A:A=A151,Status!H:H=TRUE)))"),0.0)</f>
        <v>0</v>
      </c>
      <c r="L151" s="23">
        <f>IFERROR(__xludf.DUMMYFUNCTION("COUNTA(iferror(filter(Status!L:L,Status!A:A=A151)))"),0.0)</f>
        <v>0</v>
      </c>
      <c r="M151" s="25">
        <f>IFERROR(__xludf.DUMMYFUNCTION("COUNTA(iferror(filter(Status!L:L,Status!A:A=A151,Status!L:L=TRUE)))"),0.0)</f>
        <v>0</v>
      </c>
      <c r="N151" s="23">
        <f>IFERROR(__xludf.DUMMYFUNCTION("COUNTA(iferror(filter(Status!N:N,Status!A:A=A151,Status!N:N=TRUE)))"),0.0)</f>
        <v>0</v>
      </c>
      <c r="O151" s="25">
        <f>IFERROR(__xludf.DUMMYFUNCTION("COUNTA(iferror(filter(Status!N:N,Status!A:A=A151,Status!N:N=TRUE)))"),0.0)</f>
        <v>0</v>
      </c>
      <c r="P151" s="23">
        <f>IFERROR(__xludf.DUMMYFUNCTION("COUNTA(iferror(filter(Status!P:P,Status!A:A=A151)))"),0.0)</f>
        <v>0</v>
      </c>
      <c r="Q151" s="25">
        <f>IFERROR(__xludf.DUMMYFUNCTION("COUNTA(iferror(filter(Status!P:P,Status!A:A=A151,Status!P:P=TRUE)))"),0.0)</f>
        <v>0</v>
      </c>
      <c r="R151" s="23">
        <f>IFERROR(__xludf.DUMMYFUNCTION("COUNTA(iferror(filter(Status!R:R,Status!A:A=A151)))"),0.0)</f>
        <v>0</v>
      </c>
      <c r="S151" s="25">
        <f>IFERROR(__xludf.DUMMYFUNCTION("COUNTA(iferror(filter(Status!R:R,Status!A:A=A151,Status!R:R=TRUE)))"),0.0)</f>
        <v>0</v>
      </c>
      <c r="V151" s="23" t="str">
        <f>IFERROR(__xludf.DUMMYFUNCTION("if((countif(filter(Status!$C:$C,Status!$A:$A=$A151),CONCATENATE(V$2,""*""))-W151)&gt;0,(countif(filter(Status!$C:$C,Status!$A:$A=$A151),CONCATENATE(V$2,""*""))-W151),"""")"),"")</f>
        <v/>
      </c>
      <c r="W151" s="23" t="str">
        <f>IFERROR(__xludf.DUMMYFUNCTION("if(countif(filter(Status!$C:$C,Status!$A:$A=$A151),CONCATENATE(W$2,""*""))&gt;0,countif(filter(Status!$C:$C,Status!$A:$A=$A151),CONCATENATE(W$2,""*"")),"""")"),"")</f>
        <v/>
      </c>
      <c r="X151" s="23" t="str">
        <f>IFERROR(__xludf.DUMMYFUNCTION("if(countif(filter(Status!$C:$C,Status!$A:$A=$A151),CONCATENATE(X$2,""*""))&gt;0,countif(filter(Status!$C:$C,Status!$A:$A=$A151),CONCATENATE(X$2,""*"")),"""")"),"")</f>
        <v/>
      </c>
      <c r="Y151" s="23" t="str">
        <f>IFERROR(__xludf.DUMMYFUNCTION("if(countif(filter(Status!$C:$C,Status!$A:$A=$A151),CONCATENATE(Y$2,""*""))&gt;0,countif(filter(Status!$C:$C,Status!$A:$A=$A151),CONCATENATE(Y$2,""*"")),"""")"),"")</f>
        <v/>
      </c>
      <c r="Z151" s="23" t="str">
        <f>IFERROR(__xludf.DUMMYFUNCTION("if(countif(filter(Status!$C:$C,Status!$A:$A=$A151),CONCATENATE(Z$2,""*""))&gt;0,countif(filter(Status!$C:$C,Status!$A:$A=$A151),CONCATENATE(Z$2,""*"")),"""")"),"")</f>
        <v/>
      </c>
      <c r="AA151" s="23" t="str">
        <f>IFERROR(__xludf.DUMMYFUNCTION("if((countif(filter(Status!$C:$C,Status!$A:$A=$A151),CONCATENATE(AA$2,""*""))-AB151)&gt;0,(countif(filter(Status!$C:$C,Status!$A:$A=$A151),CONCATENATE(AA$2,""*""))-AB151),"""")"),"")</f>
        <v/>
      </c>
      <c r="AB151" s="23" t="str">
        <f>IFERROR(__xludf.DUMMYFUNCTION("if(countif(filter(Status!$C:$C,Status!$A:$A=$A151),CONCATENATE(AB$2,""*""))&gt;0,countif(filter(Status!$C:$C,Status!$A:$A=$A151),CONCATENATE(AB$2,""*"")),"""")"),"")</f>
        <v/>
      </c>
      <c r="AC151" s="23" t="str">
        <f>IFERROR(__xludf.DUMMYFUNCTION("if(countif(filter(Status!$C:$C,Status!$A:$A=$A151),CONCATENATE(AC$2,""*""))&gt;0,countif(filter(Status!$C:$C,Status!$A:$A=$A151),CONCATENATE(AC$2,""*"")),"""")"),"")</f>
        <v/>
      </c>
      <c r="AD151" s="23" t="str">
        <f>IFERROR(__xludf.DUMMYFUNCTION("if(countif(filter(Status!$C:$C,Status!$A:$A=$A151),CONCATENATE(AD$2,""*""))&gt;0,countif(filter(Status!$C:$C,Status!$A:$A=$A151),CONCATENATE(AD$2,""*"")),"""")"),"")</f>
        <v/>
      </c>
      <c r="AE151" s="23" t="str">
        <f>IFERROR(__xludf.DUMMYFUNCTION("if(countif(filter(Status!$C:$C,Status!$A:$A=$A151),CONCATENATE(AE$2,""*""))&gt;0,countif(filter(Status!$C:$C,Status!$A:$A=$A151),CONCATENATE(AE$2,""*"")),"""")"),"")</f>
        <v/>
      </c>
      <c r="AF151" s="23" t="str">
        <f>IFERROR(__xludf.DUMMYFUNCTION("if(countif(filter(Status!$C:$C,Status!$A:$A=$A151),CONCATENATE(AF$2,""*""))&gt;0,countif(filter(Status!$C:$C,Status!$A:$A=$A151),CONCATENATE(AF$2,""*"")),"""")"),"")</f>
        <v/>
      </c>
      <c r="AG151" s="23" t="str">
        <f>IFERROR(__xludf.DUMMYFUNCTION("if(countif(filter(Status!$C:$C,Status!$A:$A=$A151),CONCATENATE(AG$2,""*""))&gt;0,countif(filter(Status!$C:$C,Status!$A:$A=$A151),CONCATENATE(AG$2,""*"")),"""")"),"")</f>
        <v/>
      </c>
      <c r="AH151" s="23" t="str">
        <f>IFERROR(__xludf.DUMMYFUNCTION("if(countif(filter(Status!$C:$C,Status!$A:$A=$A151),CONCATENATE(AH$2,""*""))&gt;0,countif(filter(Status!$C:$C,Status!$A:$A=$A151),CONCATENATE(AH$2,""*"")),"""")"),"")</f>
        <v/>
      </c>
      <c r="AI151" s="23" t="str">
        <f>IFERROR(__xludf.DUMMYFUNCTION("if(countif(filter(Status!$C:$C,Status!$A:$A=$A151),CONCATENATE(AI$2,""*""))&gt;0,countif(filter(Status!$C:$C,Status!$A:$A=$A151),CONCATENATE(AI$2,""*"")),"""")"),"")</f>
        <v/>
      </c>
      <c r="AJ151" s="23" t="str">
        <f>IFERROR(__xludf.DUMMYFUNCTION("if(countif(filter(Status!$C:$C,Status!$A:$A=$A151),CONCATENATE(AJ$2,""*""))&gt;0,countif(filter(Status!$C:$C,Status!$A:$A=$A151),CONCATENATE(AJ$2,""*"")),"""")"),"")</f>
        <v/>
      </c>
      <c r="AK151" s="23" t="str">
        <f>IFERROR(__xludf.DUMMYFUNCTION("if(countif(filter(Status!$C:$C,Status!$A:$A=$A151),CONCATENATE(AK$2,""*""))&gt;0,countif(filter(Status!$C:$C,Status!$A:$A=$A151),CONCATENATE(AK$2,""*"")),"""")"),"")</f>
        <v/>
      </c>
      <c r="AL151" s="23" t="str">
        <f>IFERROR(__xludf.DUMMYFUNCTION("if(countif(filter(Status!$C:$C,Status!$A:$A=$A151),CONCATENATE(AL$2,""*""))&gt;0,countif(filter(Status!$C:$C,Status!$A:$A=$A151),CONCATENATE(AL$2,""*"")),"""")"),"")</f>
        <v/>
      </c>
      <c r="AM151" s="23" t="str">
        <f>IFERROR(__xludf.DUMMYFUNCTION("if(countif(filter(Status!$C:$C,Status!$A:$A=$A151),CONCATENATE(AM$2,""*""))&gt;0,countif(filter(Status!$C:$C,Status!$A:$A=$A151),CONCATENATE(AM$2,""*"")),"""")"),"")</f>
        <v/>
      </c>
      <c r="AN151" s="23" t="str">
        <f>IFERROR(__xludf.DUMMYFUNCTION("if(countif(filter(Status!$C:$C,Status!$A:$A=$A151),CONCATENATE(AN$2,""*""))&gt;0,countif(filter(Status!$C:$C,Status!$A:$A=$A151),CONCATENATE(AN$2,""*"")),"""")"),"")</f>
        <v/>
      </c>
      <c r="AO151" s="23" t="str">
        <f>IFERROR(__xludf.DUMMYFUNCTION("if(countif(filter(Status!$C:$C,Status!$A:$A=$A151),CONCATENATE(AO$2,""*""))&gt;0,countif(filter(Status!$C:$C,Status!$A:$A=$A151),CONCATENATE(AO$2,""*"")),"""")"),"")</f>
        <v/>
      </c>
      <c r="AP151" s="23">
        <f>IFERROR(__xludf.DUMMYFUNCTION("counta(iferror(filter(Status!C:C,Status!A:A=A151)))"),0.0)</f>
        <v>0</v>
      </c>
      <c r="AQ151" s="23">
        <f t="shared" si="6"/>
        <v>0</v>
      </c>
    </row>
    <row r="152">
      <c r="A152" s="1" t="s">
        <v>1163</v>
      </c>
      <c r="B152" s="25" t="str">
        <f>IFERROR(__xludf.DUMMYFUNCTION("max(filter(Status!E:E,Status!A:A=A152))"),"#N/A")</f>
        <v>#N/A</v>
      </c>
      <c r="C152" s="23" t="str">
        <f t="shared" si="1"/>
        <v/>
      </c>
      <c r="D152" s="23" t="str">
        <f t="shared" si="2"/>
        <v/>
      </c>
      <c r="E152" s="23" t="str">
        <f t="shared" si="3"/>
        <v/>
      </c>
      <c r="F152" s="23" t="str">
        <f t="shared" si="4"/>
        <v/>
      </c>
      <c r="G152" s="25" t="str">
        <f t="shared" si="5"/>
        <v/>
      </c>
      <c r="J152" s="23">
        <f>IFERROR(__xludf.DUMMYFUNCTION("COUNTA(iferror(filter(Status!H:H,Status!A:A=A152)))"),0.0)</f>
        <v>0</v>
      </c>
      <c r="K152" s="25">
        <f>IFERROR(__xludf.DUMMYFUNCTION("COUNTA(iferror(filter(Status!H:H,Status!A:A=A152,Status!H:H=TRUE)))"),0.0)</f>
        <v>0</v>
      </c>
      <c r="L152" s="23">
        <f>IFERROR(__xludf.DUMMYFUNCTION("COUNTA(iferror(filter(Status!L:L,Status!A:A=A152)))"),0.0)</f>
        <v>0</v>
      </c>
      <c r="M152" s="25">
        <f>IFERROR(__xludf.DUMMYFUNCTION("COUNTA(iferror(filter(Status!L:L,Status!A:A=A152,Status!L:L=TRUE)))"),0.0)</f>
        <v>0</v>
      </c>
      <c r="N152" s="23">
        <f>IFERROR(__xludf.DUMMYFUNCTION("COUNTA(iferror(filter(Status!N:N,Status!A:A=A152,Status!N:N=TRUE)))"),0.0)</f>
        <v>0</v>
      </c>
      <c r="O152" s="25">
        <f>IFERROR(__xludf.DUMMYFUNCTION("COUNTA(iferror(filter(Status!N:N,Status!A:A=A152,Status!N:N=TRUE)))"),0.0)</f>
        <v>0</v>
      </c>
      <c r="P152" s="23">
        <f>IFERROR(__xludf.DUMMYFUNCTION("COUNTA(iferror(filter(Status!P:P,Status!A:A=A152)))"),0.0)</f>
        <v>0</v>
      </c>
      <c r="Q152" s="25">
        <f>IFERROR(__xludf.DUMMYFUNCTION("COUNTA(iferror(filter(Status!P:P,Status!A:A=A152,Status!P:P=TRUE)))"),0.0)</f>
        <v>0</v>
      </c>
      <c r="R152" s="23">
        <f>IFERROR(__xludf.DUMMYFUNCTION("COUNTA(iferror(filter(Status!R:R,Status!A:A=A152)))"),0.0)</f>
        <v>0</v>
      </c>
      <c r="S152" s="25">
        <f>IFERROR(__xludf.DUMMYFUNCTION("COUNTA(iferror(filter(Status!R:R,Status!A:A=A152,Status!R:R=TRUE)))"),0.0)</f>
        <v>0</v>
      </c>
      <c r="V152" s="23" t="str">
        <f>IFERROR(__xludf.DUMMYFUNCTION("if((countif(filter(Status!$C:$C,Status!$A:$A=$A152),CONCATENATE(V$2,""*""))-W152)&gt;0,(countif(filter(Status!$C:$C,Status!$A:$A=$A152),CONCATENATE(V$2,""*""))-W152),"""")"),"")</f>
        <v/>
      </c>
      <c r="W152" s="23" t="str">
        <f>IFERROR(__xludf.DUMMYFUNCTION("if(countif(filter(Status!$C:$C,Status!$A:$A=$A152),CONCATENATE(W$2,""*""))&gt;0,countif(filter(Status!$C:$C,Status!$A:$A=$A152),CONCATENATE(W$2,""*"")),"""")"),"")</f>
        <v/>
      </c>
      <c r="X152" s="23" t="str">
        <f>IFERROR(__xludf.DUMMYFUNCTION("if(countif(filter(Status!$C:$C,Status!$A:$A=$A152),CONCATENATE(X$2,""*""))&gt;0,countif(filter(Status!$C:$C,Status!$A:$A=$A152),CONCATENATE(X$2,""*"")),"""")"),"")</f>
        <v/>
      </c>
      <c r="Y152" s="23" t="str">
        <f>IFERROR(__xludf.DUMMYFUNCTION("if(countif(filter(Status!$C:$C,Status!$A:$A=$A152),CONCATENATE(Y$2,""*""))&gt;0,countif(filter(Status!$C:$C,Status!$A:$A=$A152),CONCATENATE(Y$2,""*"")),"""")"),"")</f>
        <v/>
      </c>
      <c r="Z152" s="23" t="str">
        <f>IFERROR(__xludf.DUMMYFUNCTION("if(countif(filter(Status!$C:$C,Status!$A:$A=$A152),CONCATENATE(Z$2,""*""))&gt;0,countif(filter(Status!$C:$C,Status!$A:$A=$A152),CONCATENATE(Z$2,""*"")),"""")"),"")</f>
        <v/>
      </c>
      <c r="AA152" s="23" t="str">
        <f>IFERROR(__xludf.DUMMYFUNCTION("if((countif(filter(Status!$C:$C,Status!$A:$A=$A152),CONCATENATE(AA$2,""*""))-AB152)&gt;0,(countif(filter(Status!$C:$C,Status!$A:$A=$A152),CONCATENATE(AA$2,""*""))-AB152),"""")"),"")</f>
        <v/>
      </c>
      <c r="AB152" s="23" t="str">
        <f>IFERROR(__xludf.DUMMYFUNCTION("if(countif(filter(Status!$C:$C,Status!$A:$A=$A152),CONCATENATE(AB$2,""*""))&gt;0,countif(filter(Status!$C:$C,Status!$A:$A=$A152),CONCATENATE(AB$2,""*"")),"""")"),"")</f>
        <v/>
      </c>
      <c r="AC152" s="23" t="str">
        <f>IFERROR(__xludf.DUMMYFUNCTION("if(countif(filter(Status!$C:$C,Status!$A:$A=$A152),CONCATENATE(AC$2,""*""))&gt;0,countif(filter(Status!$C:$C,Status!$A:$A=$A152),CONCATENATE(AC$2,""*"")),"""")"),"")</f>
        <v/>
      </c>
      <c r="AD152" s="23" t="str">
        <f>IFERROR(__xludf.DUMMYFUNCTION("if(countif(filter(Status!$C:$C,Status!$A:$A=$A152),CONCATENATE(AD$2,""*""))&gt;0,countif(filter(Status!$C:$C,Status!$A:$A=$A152),CONCATENATE(AD$2,""*"")),"""")"),"")</f>
        <v/>
      </c>
      <c r="AE152" s="23" t="str">
        <f>IFERROR(__xludf.DUMMYFUNCTION("if(countif(filter(Status!$C:$C,Status!$A:$A=$A152),CONCATENATE(AE$2,""*""))&gt;0,countif(filter(Status!$C:$C,Status!$A:$A=$A152),CONCATENATE(AE$2,""*"")),"""")"),"")</f>
        <v/>
      </c>
      <c r="AF152" s="23" t="str">
        <f>IFERROR(__xludf.DUMMYFUNCTION("if(countif(filter(Status!$C:$C,Status!$A:$A=$A152),CONCATENATE(AF$2,""*""))&gt;0,countif(filter(Status!$C:$C,Status!$A:$A=$A152),CONCATENATE(AF$2,""*"")),"""")"),"")</f>
        <v/>
      </c>
      <c r="AG152" s="23" t="str">
        <f>IFERROR(__xludf.DUMMYFUNCTION("if(countif(filter(Status!$C:$C,Status!$A:$A=$A152),CONCATENATE(AG$2,""*""))&gt;0,countif(filter(Status!$C:$C,Status!$A:$A=$A152),CONCATENATE(AG$2,""*"")),"""")"),"")</f>
        <v/>
      </c>
      <c r="AH152" s="23" t="str">
        <f>IFERROR(__xludf.DUMMYFUNCTION("if(countif(filter(Status!$C:$C,Status!$A:$A=$A152),CONCATENATE(AH$2,""*""))&gt;0,countif(filter(Status!$C:$C,Status!$A:$A=$A152),CONCATENATE(AH$2,""*"")),"""")"),"")</f>
        <v/>
      </c>
      <c r="AI152" s="23" t="str">
        <f>IFERROR(__xludf.DUMMYFUNCTION("if(countif(filter(Status!$C:$C,Status!$A:$A=$A152),CONCATENATE(AI$2,""*""))&gt;0,countif(filter(Status!$C:$C,Status!$A:$A=$A152),CONCATENATE(AI$2,""*"")),"""")"),"")</f>
        <v/>
      </c>
      <c r="AJ152" s="23" t="str">
        <f>IFERROR(__xludf.DUMMYFUNCTION("if(countif(filter(Status!$C:$C,Status!$A:$A=$A152),CONCATENATE(AJ$2,""*""))&gt;0,countif(filter(Status!$C:$C,Status!$A:$A=$A152),CONCATENATE(AJ$2,""*"")),"""")"),"")</f>
        <v/>
      </c>
      <c r="AK152" s="23" t="str">
        <f>IFERROR(__xludf.DUMMYFUNCTION("if(countif(filter(Status!$C:$C,Status!$A:$A=$A152),CONCATENATE(AK$2,""*""))&gt;0,countif(filter(Status!$C:$C,Status!$A:$A=$A152),CONCATENATE(AK$2,""*"")),"""")"),"")</f>
        <v/>
      </c>
      <c r="AL152" s="23" t="str">
        <f>IFERROR(__xludf.DUMMYFUNCTION("if(countif(filter(Status!$C:$C,Status!$A:$A=$A152),CONCATENATE(AL$2,""*""))&gt;0,countif(filter(Status!$C:$C,Status!$A:$A=$A152),CONCATENATE(AL$2,""*"")),"""")"),"")</f>
        <v/>
      </c>
      <c r="AM152" s="23" t="str">
        <f>IFERROR(__xludf.DUMMYFUNCTION("if(countif(filter(Status!$C:$C,Status!$A:$A=$A152),CONCATENATE(AM$2,""*""))&gt;0,countif(filter(Status!$C:$C,Status!$A:$A=$A152),CONCATENATE(AM$2,""*"")),"""")"),"")</f>
        <v/>
      </c>
      <c r="AN152" s="23" t="str">
        <f>IFERROR(__xludf.DUMMYFUNCTION("if(countif(filter(Status!$C:$C,Status!$A:$A=$A152),CONCATENATE(AN$2,""*""))&gt;0,countif(filter(Status!$C:$C,Status!$A:$A=$A152),CONCATENATE(AN$2,""*"")),"""")"),"")</f>
        <v/>
      </c>
      <c r="AO152" s="23" t="str">
        <f>IFERROR(__xludf.DUMMYFUNCTION("if(countif(filter(Status!$C:$C,Status!$A:$A=$A152),CONCATENATE(AO$2,""*""))&gt;0,countif(filter(Status!$C:$C,Status!$A:$A=$A152),CONCATENATE(AO$2,""*"")),"""")"),"")</f>
        <v/>
      </c>
      <c r="AP152" s="23">
        <f>IFERROR(__xludf.DUMMYFUNCTION("counta(iferror(filter(Status!C:C,Status!A:A=A152)))"),0.0)</f>
        <v>0</v>
      </c>
      <c r="AQ152" s="23">
        <f t="shared" si="6"/>
        <v>0</v>
      </c>
    </row>
    <row r="153">
      <c r="A153" s="1" t="s">
        <v>1166</v>
      </c>
      <c r="B153" s="25" t="str">
        <f>IFERROR(__xludf.DUMMYFUNCTION("max(filter(Status!E:E,Status!A:A=A153))"),"#N/A")</f>
        <v>#N/A</v>
      </c>
      <c r="C153" s="23" t="str">
        <f t="shared" si="1"/>
        <v/>
      </c>
      <c r="D153" s="23" t="str">
        <f t="shared" si="2"/>
        <v/>
      </c>
      <c r="E153" s="23" t="str">
        <f t="shared" si="3"/>
        <v/>
      </c>
      <c r="F153" s="23" t="str">
        <f t="shared" si="4"/>
        <v/>
      </c>
      <c r="G153" s="25" t="str">
        <f t="shared" si="5"/>
        <v/>
      </c>
      <c r="J153" s="23">
        <f>IFERROR(__xludf.DUMMYFUNCTION("COUNTA(iferror(filter(Status!H:H,Status!A:A=A153)))"),0.0)</f>
        <v>0</v>
      </c>
      <c r="K153" s="25">
        <f>IFERROR(__xludf.DUMMYFUNCTION("COUNTA(iferror(filter(Status!H:H,Status!A:A=A153,Status!H:H=TRUE)))"),0.0)</f>
        <v>0</v>
      </c>
      <c r="L153" s="23">
        <f>IFERROR(__xludf.DUMMYFUNCTION("COUNTA(iferror(filter(Status!L:L,Status!A:A=A153)))"),0.0)</f>
        <v>0</v>
      </c>
      <c r="M153" s="25">
        <f>IFERROR(__xludf.DUMMYFUNCTION("COUNTA(iferror(filter(Status!L:L,Status!A:A=A153,Status!L:L=TRUE)))"),0.0)</f>
        <v>0</v>
      </c>
      <c r="N153" s="23">
        <f>IFERROR(__xludf.DUMMYFUNCTION("COUNTA(iferror(filter(Status!N:N,Status!A:A=A153,Status!N:N=TRUE)))"),0.0)</f>
        <v>0</v>
      </c>
      <c r="O153" s="25">
        <f>IFERROR(__xludf.DUMMYFUNCTION("COUNTA(iferror(filter(Status!N:N,Status!A:A=A153,Status!N:N=TRUE)))"),0.0)</f>
        <v>0</v>
      </c>
      <c r="P153" s="23">
        <f>IFERROR(__xludf.DUMMYFUNCTION("COUNTA(iferror(filter(Status!P:P,Status!A:A=A153)))"),0.0)</f>
        <v>0</v>
      </c>
      <c r="Q153" s="25">
        <f>IFERROR(__xludf.DUMMYFUNCTION("COUNTA(iferror(filter(Status!P:P,Status!A:A=A153,Status!P:P=TRUE)))"),0.0)</f>
        <v>0</v>
      </c>
      <c r="R153" s="23">
        <f>IFERROR(__xludf.DUMMYFUNCTION("COUNTA(iferror(filter(Status!R:R,Status!A:A=A153)))"),0.0)</f>
        <v>0</v>
      </c>
      <c r="S153" s="25">
        <f>IFERROR(__xludf.DUMMYFUNCTION("COUNTA(iferror(filter(Status!R:R,Status!A:A=A153,Status!R:R=TRUE)))"),0.0)</f>
        <v>0</v>
      </c>
      <c r="V153" s="23" t="str">
        <f>IFERROR(__xludf.DUMMYFUNCTION("if((countif(filter(Status!$C:$C,Status!$A:$A=$A153),CONCATENATE(V$2,""*""))-W153)&gt;0,(countif(filter(Status!$C:$C,Status!$A:$A=$A153),CONCATENATE(V$2,""*""))-W153),"""")"),"")</f>
        <v/>
      </c>
      <c r="W153" s="23" t="str">
        <f>IFERROR(__xludf.DUMMYFUNCTION("if(countif(filter(Status!$C:$C,Status!$A:$A=$A153),CONCATENATE(W$2,""*""))&gt;0,countif(filter(Status!$C:$C,Status!$A:$A=$A153),CONCATENATE(W$2,""*"")),"""")"),"")</f>
        <v/>
      </c>
      <c r="X153" s="23" t="str">
        <f>IFERROR(__xludf.DUMMYFUNCTION("if(countif(filter(Status!$C:$C,Status!$A:$A=$A153),CONCATENATE(X$2,""*""))&gt;0,countif(filter(Status!$C:$C,Status!$A:$A=$A153),CONCATENATE(X$2,""*"")),"""")"),"")</f>
        <v/>
      </c>
      <c r="Y153" s="23" t="str">
        <f>IFERROR(__xludf.DUMMYFUNCTION("if(countif(filter(Status!$C:$C,Status!$A:$A=$A153),CONCATENATE(Y$2,""*""))&gt;0,countif(filter(Status!$C:$C,Status!$A:$A=$A153),CONCATENATE(Y$2,""*"")),"""")"),"")</f>
        <v/>
      </c>
      <c r="Z153" s="23" t="str">
        <f>IFERROR(__xludf.DUMMYFUNCTION("if(countif(filter(Status!$C:$C,Status!$A:$A=$A153),CONCATENATE(Z$2,""*""))&gt;0,countif(filter(Status!$C:$C,Status!$A:$A=$A153),CONCATENATE(Z$2,""*"")),"""")"),"")</f>
        <v/>
      </c>
      <c r="AA153" s="23" t="str">
        <f>IFERROR(__xludf.DUMMYFUNCTION("if((countif(filter(Status!$C:$C,Status!$A:$A=$A153),CONCATENATE(AA$2,""*""))-AB153)&gt;0,(countif(filter(Status!$C:$C,Status!$A:$A=$A153),CONCATENATE(AA$2,""*""))-AB153),"""")"),"")</f>
        <v/>
      </c>
      <c r="AB153" s="23" t="str">
        <f>IFERROR(__xludf.DUMMYFUNCTION("if(countif(filter(Status!$C:$C,Status!$A:$A=$A153),CONCATENATE(AB$2,""*""))&gt;0,countif(filter(Status!$C:$C,Status!$A:$A=$A153),CONCATENATE(AB$2,""*"")),"""")"),"")</f>
        <v/>
      </c>
      <c r="AC153" s="23" t="str">
        <f>IFERROR(__xludf.DUMMYFUNCTION("if(countif(filter(Status!$C:$C,Status!$A:$A=$A153),CONCATENATE(AC$2,""*""))&gt;0,countif(filter(Status!$C:$C,Status!$A:$A=$A153),CONCATENATE(AC$2,""*"")),"""")"),"")</f>
        <v/>
      </c>
      <c r="AD153" s="23" t="str">
        <f>IFERROR(__xludf.DUMMYFUNCTION("if(countif(filter(Status!$C:$C,Status!$A:$A=$A153),CONCATENATE(AD$2,""*""))&gt;0,countif(filter(Status!$C:$C,Status!$A:$A=$A153),CONCATENATE(AD$2,""*"")),"""")"),"")</f>
        <v/>
      </c>
      <c r="AE153" s="23" t="str">
        <f>IFERROR(__xludf.DUMMYFUNCTION("if(countif(filter(Status!$C:$C,Status!$A:$A=$A153),CONCATENATE(AE$2,""*""))&gt;0,countif(filter(Status!$C:$C,Status!$A:$A=$A153),CONCATENATE(AE$2,""*"")),"""")"),"")</f>
        <v/>
      </c>
      <c r="AF153" s="23" t="str">
        <f>IFERROR(__xludf.DUMMYFUNCTION("if(countif(filter(Status!$C:$C,Status!$A:$A=$A153),CONCATENATE(AF$2,""*""))&gt;0,countif(filter(Status!$C:$C,Status!$A:$A=$A153),CONCATENATE(AF$2,""*"")),"""")"),"")</f>
        <v/>
      </c>
      <c r="AG153" s="23" t="str">
        <f>IFERROR(__xludf.DUMMYFUNCTION("if(countif(filter(Status!$C:$C,Status!$A:$A=$A153),CONCATENATE(AG$2,""*""))&gt;0,countif(filter(Status!$C:$C,Status!$A:$A=$A153),CONCATENATE(AG$2,""*"")),"""")"),"")</f>
        <v/>
      </c>
      <c r="AH153" s="23" t="str">
        <f>IFERROR(__xludf.DUMMYFUNCTION("if(countif(filter(Status!$C:$C,Status!$A:$A=$A153),CONCATENATE(AH$2,""*""))&gt;0,countif(filter(Status!$C:$C,Status!$A:$A=$A153),CONCATENATE(AH$2,""*"")),"""")"),"")</f>
        <v/>
      </c>
      <c r="AI153" s="23" t="str">
        <f>IFERROR(__xludf.DUMMYFUNCTION("if(countif(filter(Status!$C:$C,Status!$A:$A=$A153),CONCATENATE(AI$2,""*""))&gt;0,countif(filter(Status!$C:$C,Status!$A:$A=$A153),CONCATENATE(AI$2,""*"")),"""")"),"")</f>
        <v/>
      </c>
      <c r="AJ153" s="23" t="str">
        <f>IFERROR(__xludf.DUMMYFUNCTION("if(countif(filter(Status!$C:$C,Status!$A:$A=$A153),CONCATENATE(AJ$2,""*""))&gt;0,countif(filter(Status!$C:$C,Status!$A:$A=$A153),CONCATENATE(AJ$2,""*"")),"""")"),"")</f>
        <v/>
      </c>
      <c r="AK153" s="23" t="str">
        <f>IFERROR(__xludf.DUMMYFUNCTION("if(countif(filter(Status!$C:$C,Status!$A:$A=$A153),CONCATENATE(AK$2,""*""))&gt;0,countif(filter(Status!$C:$C,Status!$A:$A=$A153),CONCATENATE(AK$2,""*"")),"""")"),"")</f>
        <v/>
      </c>
      <c r="AL153" s="23" t="str">
        <f>IFERROR(__xludf.DUMMYFUNCTION("if(countif(filter(Status!$C:$C,Status!$A:$A=$A153),CONCATENATE(AL$2,""*""))&gt;0,countif(filter(Status!$C:$C,Status!$A:$A=$A153),CONCATENATE(AL$2,""*"")),"""")"),"")</f>
        <v/>
      </c>
      <c r="AM153" s="23" t="str">
        <f>IFERROR(__xludf.DUMMYFUNCTION("if(countif(filter(Status!$C:$C,Status!$A:$A=$A153),CONCATENATE(AM$2,""*""))&gt;0,countif(filter(Status!$C:$C,Status!$A:$A=$A153),CONCATENATE(AM$2,""*"")),"""")"),"")</f>
        <v/>
      </c>
      <c r="AN153" s="23" t="str">
        <f>IFERROR(__xludf.DUMMYFUNCTION("if(countif(filter(Status!$C:$C,Status!$A:$A=$A153),CONCATENATE(AN$2,""*""))&gt;0,countif(filter(Status!$C:$C,Status!$A:$A=$A153),CONCATENATE(AN$2,""*"")),"""")"),"")</f>
        <v/>
      </c>
      <c r="AO153" s="23" t="str">
        <f>IFERROR(__xludf.DUMMYFUNCTION("if(countif(filter(Status!$C:$C,Status!$A:$A=$A153),CONCATENATE(AO$2,""*""))&gt;0,countif(filter(Status!$C:$C,Status!$A:$A=$A153),CONCATENATE(AO$2,""*"")),"""")"),"")</f>
        <v/>
      </c>
      <c r="AP153" s="23">
        <f>IFERROR(__xludf.DUMMYFUNCTION("counta(iferror(filter(Status!C:C,Status!A:A=A153)))"),0.0)</f>
        <v>0</v>
      </c>
      <c r="AQ153" s="23">
        <f t="shared" si="6"/>
        <v>0</v>
      </c>
    </row>
    <row r="154">
      <c r="A154" s="1" t="s">
        <v>1170</v>
      </c>
      <c r="B154" s="25" t="str">
        <f>IFERROR(__xludf.DUMMYFUNCTION("max(filter(Status!E:E,Status!A:A=A154))"),"#N/A")</f>
        <v>#N/A</v>
      </c>
      <c r="C154" s="23" t="str">
        <f t="shared" si="1"/>
        <v/>
      </c>
      <c r="D154" s="23" t="str">
        <f t="shared" si="2"/>
        <v/>
      </c>
      <c r="E154" s="23" t="str">
        <f t="shared" si="3"/>
        <v/>
      </c>
      <c r="F154" s="23" t="str">
        <f t="shared" si="4"/>
        <v/>
      </c>
      <c r="G154" s="25" t="str">
        <f t="shared" si="5"/>
        <v/>
      </c>
      <c r="J154" s="23">
        <f>IFERROR(__xludf.DUMMYFUNCTION("COUNTA(iferror(filter(Status!H:H,Status!A:A=A154)))"),0.0)</f>
        <v>0</v>
      </c>
      <c r="K154" s="25">
        <f>IFERROR(__xludf.DUMMYFUNCTION("COUNTA(iferror(filter(Status!H:H,Status!A:A=A154,Status!H:H=TRUE)))"),0.0)</f>
        <v>0</v>
      </c>
      <c r="L154" s="23">
        <f>IFERROR(__xludf.DUMMYFUNCTION("COUNTA(iferror(filter(Status!L:L,Status!A:A=A154)))"),0.0)</f>
        <v>0</v>
      </c>
      <c r="M154" s="25">
        <f>IFERROR(__xludf.DUMMYFUNCTION("COUNTA(iferror(filter(Status!L:L,Status!A:A=A154,Status!L:L=TRUE)))"),0.0)</f>
        <v>0</v>
      </c>
      <c r="N154" s="23">
        <f>IFERROR(__xludf.DUMMYFUNCTION("COUNTA(iferror(filter(Status!N:N,Status!A:A=A154,Status!N:N=TRUE)))"),0.0)</f>
        <v>0</v>
      </c>
      <c r="O154" s="25">
        <f>IFERROR(__xludf.DUMMYFUNCTION("COUNTA(iferror(filter(Status!N:N,Status!A:A=A154,Status!N:N=TRUE)))"),0.0)</f>
        <v>0</v>
      </c>
      <c r="P154" s="23">
        <f>IFERROR(__xludf.DUMMYFUNCTION("COUNTA(iferror(filter(Status!P:P,Status!A:A=A154)))"),0.0)</f>
        <v>0</v>
      </c>
      <c r="Q154" s="25">
        <f>IFERROR(__xludf.DUMMYFUNCTION("COUNTA(iferror(filter(Status!P:P,Status!A:A=A154,Status!P:P=TRUE)))"),0.0)</f>
        <v>0</v>
      </c>
      <c r="R154" s="23">
        <f>IFERROR(__xludf.DUMMYFUNCTION("COUNTA(iferror(filter(Status!R:R,Status!A:A=A154)))"),0.0)</f>
        <v>0</v>
      </c>
      <c r="S154" s="25">
        <f>IFERROR(__xludf.DUMMYFUNCTION("COUNTA(iferror(filter(Status!R:R,Status!A:A=A154,Status!R:R=TRUE)))"),0.0)</f>
        <v>0</v>
      </c>
      <c r="V154" s="23" t="str">
        <f>IFERROR(__xludf.DUMMYFUNCTION("if((countif(filter(Status!$C:$C,Status!$A:$A=$A154),CONCATENATE(V$2,""*""))-W154)&gt;0,(countif(filter(Status!$C:$C,Status!$A:$A=$A154),CONCATENATE(V$2,""*""))-W154),"""")"),"")</f>
        <v/>
      </c>
      <c r="W154" s="23" t="str">
        <f>IFERROR(__xludf.DUMMYFUNCTION("if(countif(filter(Status!$C:$C,Status!$A:$A=$A154),CONCATENATE(W$2,""*""))&gt;0,countif(filter(Status!$C:$C,Status!$A:$A=$A154),CONCATENATE(W$2,""*"")),"""")"),"")</f>
        <v/>
      </c>
      <c r="X154" s="23" t="str">
        <f>IFERROR(__xludf.DUMMYFUNCTION("if(countif(filter(Status!$C:$C,Status!$A:$A=$A154),CONCATENATE(X$2,""*""))&gt;0,countif(filter(Status!$C:$C,Status!$A:$A=$A154),CONCATENATE(X$2,""*"")),"""")"),"")</f>
        <v/>
      </c>
      <c r="Y154" s="23" t="str">
        <f>IFERROR(__xludf.DUMMYFUNCTION("if(countif(filter(Status!$C:$C,Status!$A:$A=$A154),CONCATENATE(Y$2,""*""))&gt;0,countif(filter(Status!$C:$C,Status!$A:$A=$A154),CONCATENATE(Y$2,""*"")),"""")"),"")</f>
        <v/>
      </c>
      <c r="Z154" s="23" t="str">
        <f>IFERROR(__xludf.DUMMYFUNCTION("if(countif(filter(Status!$C:$C,Status!$A:$A=$A154),CONCATENATE(Z$2,""*""))&gt;0,countif(filter(Status!$C:$C,Status!$A:$A=$A154),CONCATENATE(Z$2,""*"")),"""")"),"")</f>
        <v/>
      </c>
      <c r="AA154" s="23" t="str">
        <f>IFERROR(__xludf.DUMMYFUNCTION("if((countif(filter(Status!$C:$C,Status!$A:$A=$A154),CONCATENATE(AA$2,""*""))-AB154)&gt;0,(countif(filter(Status!$C:$C,Status!$A:$A=$A154),CONCATENATE(AA$2,""*""))-AB154),"""")"),"")</f>
        <v/>
      </c>
      <c r="AB154" s="23" t="str">
        <f>IFERROR(__xludf.DUMMYFUNCTION("if(countif(filter(Status!$C:$C,Status!$A:$A=$A154),CONCATENATE(AB$2,""*""))&gt;0,countif(filter(Status!$C:$C,Status!$A:$A=$A154),CONCATENATE(AB$2,""*"")),"""")"),"")</f>
        <v/>
      </c>
      <c r="AC154" s="23" t="str">
        <f>IFERROR(__xludf.DUMMYFUNCTION("if(countif(filter(Status!$C:$C,Status!$A:$A=$A154),CONCATENATE(AC$2,""*""))&gt;0,countif(filter(Status!$C:$C,Status!$A:$A=$A154),CONCATENATE(AC$2,""*"")),"""")"),"")</f>
        <v/>
      </c>
      <c r="AD154" s="23" t="str">
        <f>IFERROR(__xludf.DUMMYFUNCTION("if(countif(filter(Status!$C:$C,Status!$A:$A=$A154),CONCATENATE(AD$2,""*""))&gt;0,countif(filter(Status!$C:$C,Status!$A:$A=$A154),CONCATENATE(AD$2,""*"")),"""")"),"")</f>
        <v/>
      </c>
      <c r="AE154" s="23" t="str">
        <f>IFERROR(__xludf.DUMMYFUNCTION("if(countif(filter(Status!$C:$C,Status!$A:$A=$A154),CONCATENATE(AE$2,""*""))&gt;0,countif(filter(Status!$C:$C,Status!$A:$A=$A154),CONCATENATE(AE$2,""*"")),"""")"),"")</f>
        <v/>
      </c>
      <c r="AF154" s="23" t="str">
        <f>IFERROR(__xludf.DUMMYFUNCTION("if(countif(filter(Status!$C:$C,Status!$A:$A=$A154),CONCATENATE(AF$2,""*""))&gt;0,countif(filter(Status!$C:$C,Status!$A:$A=$A154),CONCATENATE(AF$2,""*"")),"""")"),"")</f>
        <v/>
      </c>
      <c r="AG154" s="23" t="str">
        <f>IFERROR(__xludf.DUMMYFUNCTION("if(countif(filter(Status!$C:$C,Status!$A:$A=$A154),CONCATENATE(AG$2,""*""))&gt;0,countif(filter(Status!$C:$C,Status!$A:$A=$A154),CONCATENATE(AG$2,""*"")),"""")"),"")</f>
        <v/>
      </c>
      <c r="AH154" s="23" t="str">
        <f>IFERROR(__xludf.DUMMYFUNCTION("if(countif(filter(Status!$C:$C,Status!$A:$A=$A154),CONCATENATE(AH$2,""*""))&gt;0,countif(filter(Status!$C:$C,Status!$A:$A=$A154),CONCATENATE(AH$2,""*"")),"""")"),"")</f>
        <v/>
      </c>
      <c r="AI154" s="23" t="str">
        <f>IFERROR(__xludf.DUMMYFUNCTION("if(countif(filter(Status!$C:$C,Status!$A:$A=$A154),CONCATENATE(AI$2,""*""))&gt;0,countif(filter(Status!$C:$C,Status!$A:$A=$A154),CONCATENATE(AI$2,""*"")),"""")"),"")</f>
        <v/>
      </c>
      <c r="AJ154" s="23" t="str">
        <f>IFERROR(__xludf.DUMMYFUNCTION("if(countif(filter(Status!$C:$C,Status!$A:$A=$A154),CONCATENATE(AJ$2,""*""))&gt;0,countif(filter(Status!$C:$C,Status!$A:$A=$A154),CONCATENATE(AJ$2,""*"")),"""")"),"")</f>
        <v/>
      </c>
      <c r="AK154" s="23" t="str">
        <f>IFERROR(__xludf.DUMMYFUNCTION("if(countif(filter(Status!$C:$C,Status!$A:$A=$A154),CONCATENATE(AK$2,""*""))&gt;0,countif(filter(Status!$C:$C,Status!$A:$A=$A154),CONCATENATE(AK$2,""*"")),"""")"),"")</f>
        <v/>
      </c>
      <c r="AL154" s="23" t="str">
        <f>IFERROR(__xludf.DUMMYFUNCTION("if(countif(filter(Status!$C:$C,Status!$A:$A=$A154),CONCATENATE(AL$2,""*""))&gt;0,countif(filter(Status!$C:$C,Status!$A:$A=$A154),CONCATENATE(AL$2,""*"")),"""")"),"")</f>
        <v/>
      </c>
      <c r="AM154" s="23" t="str">
        <f>IFERROR(__xludf.DUMMYFUNCTION("if(countif(filter(Status!$C:$C,Status!$A:$A=$A154),CONCATENATE(AM$2,""*""))&gt;0,countif(filter(Status!$C:$C,Status!$A:$A=$A154),CONCATENATE(AM$2,""*"")),"""")"),"")</f>
        <v/>
      </c>
      <c r="AN154" s="23" t="str">
        <f>IFERROR(__xludf.DUMMYFUNCTION("if(countif(filter(Status!$C:$C,Status!$A:$A=$A154),CONCATENATE(AN$2,""*""))&gt;0,countif(filter(Status!$C:$C,Status!$A:$A=$A154),CONCATENATE(AN$2,""*"")),"""")"),"")</f>
        <v/>
      </c>
      <c r="AO154" s="23" t="str">
        <f>IFERROR(__xludf.DUMMYFUNCTION("if(countif(filter(Status!$C:$C,Status!$A:$A=$A154),CONCATENATE(AO$2,""*""))&gt;0,countif(filter(Status!$C:$C,Status!$A:$A=$A154),CONCATENATE(AO$2,""*"")),"""")"),"")</f>
        <v/>
      </c>
      <c r="AP154" s="23">
        <f>IFERROR(__xludf.DUMMYFUNCTION("counta(iferror(filter(Status!C:C,Status!A:A=A154)))"),0.0)</f>
        <v>0</v>
      </c>
      <c r="AQ154" s="23">
        <f t="shared" si="6"/>
        <v>0</v>
      </c>
    </row>
    <row r="155">
      <c r="A155" s="1" t="s">
        <v>1173</v>
      </c>
      <c r="B155" s="25" t="str">
        <f>IFERROR(__xludf.DUMMYFUNCTION("max(filter(Status!E:E,Status!A:A=A155))"),"#N/A")</f>
        <v>#N/A</v>
      </c>
      <c r="C155" s="23" t="str">
        <f t="shared" si="1"/>
        <v/>
      </c>
      <c r="D155" s="23" t="str">
        <f t="shared" si="2"/>
        <v/>
      </c>
      <c r="E155" s="23" t="str">
        <f t="shared" si="3"/>
        <v/>
      </c>
      <c r="F155" s="23" t="str">
        <f t="shared" si="4"/>
        <v/>
      </c>
      <c r="G155" s="25" t="str">
        <f t="shared" si="5"/>
        <v/>
      </c>
      <c r="J155" s="23">
        <f>IFERROR(__xludf.DUMMYFUNCTION("COUNTA(iferror(filter(Status!H:H,Status!A:A=A155)))"),0.0)</f>
        <v>0</v>
      </c>
      <c r="K155" s="25">
        <f>IFERROR(__xludf.DUMMYFUNCTION("COUNTA(iferror(filter(Status!H:H,Status!A:A=A155,Status!H:H=TRUE)))"),0.0)</f>
        <v>0</v>
      </c>
      <c r="L155" s="23">
        <f>IFERROR(__xludf.DUMMYFUNCTION("COUNTA(iferror(filter(Status!L:L,Status!A:A=A155)))"),0.0)</f>
        <v>0</v>
      </c>
      <c r="M155" s="25">
        <f>IFERROR(__xludf.DUMMYFUNCTION("COUNTA(iferror(filter(Status!L:L,Status!A:A=A155,Status!L:L=TRUE)))"),0.0)</f>
        <v>0</v>
      </c>
      <c r="N155" s="23">
        <f>IFERROR(__xludf.DUMMYFUNCTION("COUNTA(iferror(filter(Status!N:N,Status!A:A=A155,Status!N:N=TRUE)))"),0.0)</f>
        <v>0</v>
      </c>
      <c r="O155" s="25">
        <f>IFERROR(__xludf.DUMMYFUNCTION("COUNTA(iferror(filter(Status!N:N,Status!A:A=A155,Status!N:N=TRUE)))"),0.0)</f>
        <v>0</v>
      </c>
      <c r="P155" s="23">
        <f>IFERROR(__xludf.DUMMYFUNCTION("COUNTA(iferror(filter(Status!P:P,Status!A:A=A155)))"),0.0)</f>
        <v>0</v>
      </c>
      <c r="Q155" s="25">
        <f>IFERROR(__xludf.DUMMYFUNCTION("COUNTA(iferror(filter(Status!P:P,Status!A:A=A155,Status!P:P=TRUE)))"),0.0)</f>
        <v>0</v>
      </c>
      <c r="R155" s="23">
        <f>IFERROR(__xludf.DUMMYFUNCTION("COUNTA(iferror(filter(Status!R:R,Status!A:A=A155)))"),0.0)</f>
        <v>0</v>
      </c>
      <c r="S155" s="25">
        <f>IFERROR(__xludf.DUMMYFUNCTION("COUNTA(iferror(filter(Status!R:R,Status!A:A=A155,Status!R:R=TRUE)))"),0.0)</f>
        <v>0</v>
      </c>
      <c r="V155" s="23" t="str">
        <f>IFERROR(__xludf.DUMMYFUNCTION("if((countif(filter(Status!$C:$C,Status!$A:$A=$A155),CONCATENATE(V$2,""*""))-W155)&gt;0,(countif(filter(Status!$C:$C,Status!$A:$A=$A155),CONCATENATE(V$2,""*""))-W155),"""")"),"")</f>
        <v/>
      </c>
      <c r="W155" s="23" t="str">
        <f>IFERROR(__xludf.DUMMYFUNCTION("if(countif(filter(Status!$C:$C,Status!$A:$A=$A155),CONCATENATE(W$2,""*""))&gt;0,countif(filter(Status!$C:$C,Status!$A:$A=$A155),CONCATENATE(W$2,""*"")),"""")"),"")</f>
        <v/>
      </c>
      <c r="X155" s="23" t="str">
        <f>IFERROR(__xludf.DUMMYFUNCTION("if(countif(filter(Status!$C:$C,Status!$A:$A=$A155),CONCATENATE(X$2,""*""))&gt;0,countif(filter(Status!$C:$C,Status!$A:$A=$A155),CONCATENATE(X$2,""*"")),"""")"),"")</f>
        <v/>
      </c>
      <c r="Y155" s="23" t="str">
        <f>IFERROR(__xludf.DUMMYFUNCTION("if(countif(filter(Status!$C:$C,Status!$A:$A=$A155),CONCATENATE(Y$2,""*""))&gt;0,countif(filter(Status!$C:$C,Status!$A:$A=$A155),CONCATENATE(Y$2,""*"")),"""")"),"")</f>
        <v/>
      </c>
      <c r="Z155" s="23" t="str">
        <f>IFERROR(__xludf.DUMMYFUNCTION("if(countif(filter(Status!$C:$C,Status!$A:$A=$A155),CONCATENATE(Z$2,""*""))&gt;0,countif(filter(Status!$C:$C,Status!$A:$A=$A155),CONCATENATE(Z$2,""*"")),"""")"),"")</f>
        <v/>
      </c>
      <c r="AA155" s="23" t="str">
        <f>IFERROR(__xludf.DUMMYFUNCTION("if((countif(filter(Status!$C:$C,Status!$A:$A=$A155),CONCATENATE(AA$2,""*""))-AB155)&gt;0,(countif(filter(Status!$C:$C,Status!$A:$A=$A155),CONCATENATE(AA$2,""*""))-AB155),"""")"),"")</f>
        <v/>
      </c>
      <c r="AB155" s="23" t="str">
        <f>IFERROR(__xludf.DUMMYFUNCTION("if(countif(filter(Status!$C:$C,Status!$A:$A=$A155),CONCATENATE(AB$2,""*""))&gt;0,countif(filter(Status!$C:$C,Status!$A:$A=$A155),CONCATENATE(AB$2,""*"")),"""")"),"")</f>
        <v/>
      </c>
      <c r="AC155" s="23" t="str">
        <f>IFERROR(__xludf.DUMMYFUNCTION("if(countif(filter(Status!$C:$C,Status!$A:$A=$A155),CONCATENATE(AC$2,""*""))&gt;0,countif(filter(Status!$C:$C,Status!$A:$A=$A155),CONCATENATE(AC$2,""*"")),"""")"),"")</f>
        <v/>
      </c>
      <c r="AD155" s="23" t="str">
        <f>IFERROR(__xludf.DUMMYFUNCTION("if(countif(filter(Status!$C:$C,Status!$A:$A=$A155),CONCATENATE(AD$2,""*""))&gt;0,countif(filter(Status!$C:$C,Status!$A:$A=$A155),CONCATENATE(AD$2,""*"")),"""")"),"")</f>
        <v/>
      </c>
      <c r="AE155" s="23" t="str">
        <f>IFERROR(__xludf.DUMMYFUNCTION("if(countif(filter(Status!$C:$C,Status!$A:$A=$A155),CONCATENATE(AE$2,""*""))&gt;0,countif(filter(Status!$C:$C,Status!$A:$A=$A155),CONCATENATE(AE$2,""*"")),"""")"),"")</f>
        <v/>
      </c>
      <c r="AF155" s="23" t="str">
        <f>IFERROR(__xludf.DUMMYFUNCTION("if(countif(filter(Status!$C:$C,Status!$A:$A=$A155),CONCATENATE(AF$2,""*""))&gt;0,countif(filter(Status!$C:$C,Status!$A:$A=$A155),CONCATENATE(AF$2,""*"")),"""")"),"")</f>
        <v/>
      </c>
      <c r="AG155" s="23" t="str">
        <f>IFERROR(__xludf.DUMMYFUNCTION("if(countif(filter(Status!$C:$C,Status!$A:$A=$A155),CONCATENATE(AG$2,""*""))&gt;0,countif(filter(Status!$C:$C,Status!$A:$A=$A155),CONCATENATE(AG$2,""*"")),"""")"),"")</f>
        <v/>
      </c>
      <c r="AH155" s="23" t="str">
        <f>IFERROR(__xludf.DUMMYFUNCTION("if(countif(filter(Status!$C:$C,Status!$A:$A=$A155),CONCATENATE(AH$2,""*""))&gt;0,countif(filter(Status!$C:$C,Status!$A:$A=$A155),CONCATENATE(AH$2,""*"")),"""")"),"")</f>
        <v/>
      </c>
      <c r="AI155" s="23" t="str">
        <f>IFERROR(__xludf.DUMMYFUNCTION("if(countif(filter(Status!$C:$C,Status!$A:$A=$A155),CONCATENATE(AI$2,""*""))&gt;0,countif(filter(Status!$C:$C,Status!$A:$A=$A155),CONCATENATE(AI$2,""*"")),"""")"),"")</f>
        <v/>
      </c>
      <c r="AJ155" s="23" t="str">
        <f>IFERROR(__xludf.DUMMYFUNCTION("if(countif(filter(Status!$C:$C,Status!$A:$A=$A155),CONCATENATE(AJ$2,""*""))&gt;0,countif(filter(Status!$C:$C,Status!$A:$A=$A155),CONCATENATE(AJ$2,""*"")),"""")"),"")</f>
        <v/>
      </c>
      <c r="AK155" s="23" t="str">
        <f>IFERROR(__xludf.DUMMYFUNCTION("if(countif(filter(Status!$C:$C,Status!$A:$A=$A155),CONCATENATE(AK$2,""*""))&gt;0,countif(filter(Status!$C:$C,Status!$A:$A=$A155),CONCATENATE(AK$2,""*"")),"""")"),"")</f>
        <v/>
      </c>
      <c r="AL155" s="23" t="str">
        <f>IFERROR(__xludf.DUMMYFUNCTION("if(countif(filter(Status!$C:$C,Status!$A:$A=$A155),CONCATENATE(AL$2,""*""))&gt;0,countif(filter(Status!$C:$C,Status!$A:$A=$A155),CONCATENATE(AL$2,""*"")),"""")"),"")</f>
        <v/>
      </c>
      <c r="AM155" s="23" t="str">
        <f>IFERROR(__xludf.DUMMYFUNCTION("if(countif(filter(Status!$C:$C,Status!$A:$A=$A155),CONCATENATE(AM$2,""*""))&gt;0,countif(filter(Status!$C:$C,Status!$A:$A=$A155),CONCATENATE(AM$2,""*"")),"""")"),"")</f>
        <v/>
      </c>
      <c r="AN155" s="23" t="str">
        <f>IFERROR(__xludf.DUMMYFUNCTION("if(countif(filter(Status!$C:$C,Status!$A:$A=$A155),CONCATENATE(AN$2,""*""))&gt;0,countif(filter(Status!$C:$C,Status!$A:$A=$A155),CONCATENATE(AN$2,""*"")),"""")"),"")</f>
        <v/>
      </c>
      <c r="AO155" s="23" t="str">
        <f>IFERROR(__xludf.DUMMYFUNCTION("if(countif(filter(Status!$C:$C,Status!$A:$A=$A155),CONCATENATE(AO$2,""*""))&gt;0,countif(filter(Status!$C:$C,Status!$A:$A=$A155),CONCATENATE(AO$2,""*"")),"""")"),"")</f>
        <v/>
      </c>
      <c r="AP155" s="23">
        <f>IFERROR(__xludf.DUMMYFUNCTION("counta(iferror(filter(Status!C:C,Status!A:A=A155)))"),0.0)</f>
        <v>0</v>
      </c>
      <c r="AQ155" s="23">
        <f t="shared" si="6"/>
        <v>0</v>
      </c>
    </row>
    <row r="156">
      <c r="A156" s="1" t="s">
        <v>1176</v>
      </c>
      <c r="B156" s="25" t="str">
        <f>IFERROR(__xludf.DUMMYFUNCTION("max(filter(Status!E:E,Status!A:A=A156))"),"#N/A")</f>
        <v>#N/A</v>
      </c>
      <c r="C156" s="23" t="str">
        <f t="shared" si="1"/>
        <v/>
      </c>
      <c r="D156" s="23" t="str">
        <f t="shared" si="2"/>
        <v/>
      </c>
      <c r="E156" s="23" t="str">
        <f t="shared" si="3"/>
        <v/>
      </c>
      <c r="F156" s="23" t="str">
        <f t="shared" si="4"/>
        <v/>
      </c>
      <c r="G156" s="25" t="str">
        <f t="shared" si="5"/>
        <v/>
      </c>
      <c r="J156" s="23">
        <f>IFERROR(__xludf.DUMMYFUNCTION("COUNTA(iferror(filter(Status!H:H,Status!A:A=A156)))"),0.0)</f>
        <v>0</v>
      </c>
      <c r="K156" s="25">
        <f>IFERROR(__xludf.DUMMYFUNCTION("COUNTA(iferror(filter(Status!H:H,Status!A:A=A156,Status!H:H=TRUE)))"),0.0)</f>
        <v>0</v>
      </c>
      <c r="L156" s="23">
        <f>IFERROR(__xludf.DUMMYFUNCTION("COUNTA(iferror(filter(Status!L:L,Status!A:A=A156)))"),0.0)</f>
        <v>0</v>
      </c>
      <c r="M156" s="25">
        <f>IFERROR(__xludf.DUMMYFUNCTION("COUNTA(iferror(filter(Status!L:L,Status!A:A=A156,Status!L:L=TRUE)))"),0.0)</f>
        <v>0</v>
      </c>
      <c r="N156" s="23">
        <f>IFERROR(__xludf.DUMMYFUNCTION("COUNTA(iferror(filter(Status!N:N,Status!A:A=A156,Status!N:N=TRUE)))"),0.0)</f>
        <v>0</v>
      </c>
      <c r="O156" s="25">
        <f>IFERROR(__xludf.DUMMYFUNCTION("COUNTA(iferror(filter(Status!N:N,Status!A:A=A156,Status!N:N=TRUE)))"),0.0)</f>
        <v>0</v>
      </c>
      <c r="P156" s="23">
        <f>IFERROR(__xludf.DUMMYFUNCTION("COUNTA(iferror(filter(Status!P:P,Status!A:A=A156)))"),0.0)</f>
        <v>0</v>
      </c>
      <c r="Q156" s="25">
        <f>IFERROR(__xludf.DUMMYFUNCTION("COUNTA(iferror(filter(Status!P:P,Status!A:A=A156,Status!P:P=TRUE)))"),0.0)</f>
        <v>0</v>
      </c>
      <c r="R156" s="23">
        <f>IFERROR(__xludf.DUMMYFUNCTION("COUNTA(iferror(filter(Status!R:R,Status!A:A=A156)))"),0.0)</f>
        <v>0</v>
      </c>
      <c r="S156" s="25">
        <f>IFERROR(__xludf.DUMMYFUNCTION("COUNTA(iferror(filter(Status!R:R,Status!A:A=A156,Status!R:R=TRUE)))"),0.0)</f>
        <v>0</v>
      </c>
      <c r="V156" s="23" t="str">
        <f>IFERROR(__xludf.DUMMYFUNCTION("if((countif(filter(Status!$C:$C,Status!$A:$A=$A156),CONCATENATE(V$2,""*""))-W156)&gt;0,(countif(filter(Status!$C:$C,Status!$A:$A=$A156),CONCATENATE(V$2,""*""))-W156),"""")"),"")</f>
        <v/>
      </c>
      <c r="W156" s="23" t="str">
        <f>IFERROR(__xludf.DUMMYFUNCTION("if(countif(filter(Status!$C:$C,Status!$A:$A=$A156),CONCATENATE(W$2,""*""))&gt;0,countif(filter(Status!$C:$C,Status!$A:$A=$A156),CONCATENATE(W$2,""*"")),"""")"),"")</f>
        <v/>
      </c>
      <c r="X156" s="23" t="str">
        <f>IFERROR(__xludf.DUMMYFUNCTION("if(countif(filter(Status!$C:$C,Status!$A:$A=$A156),CONCATENATE(X$2,""*""))&gt;0,countif(filter(Status!$C:$C,Status!$A:$A=$A156),CONCATENATE(X$2,""*"")),"""")"),"")</f>
        <v/>
      </c>
      <c r="Y156" s="23" t="str">
        <f>IFERROR(__xludf.DUMMYFUNCTION("if(countif(filter(Status!$C:$C,Status!$A:$A=$A156),CONCATENATE(Y$2,""*""))&gt;0,countif(filter(Status!$C:$C,Status!$A:$A=$A156),CONCATENATE(Y$2,""*"")),"""")"),"")</f>
        <v/>
      </c>
      <c r="Z156" s="23" t="str">
        <f>IFERROR(__xludf.DUMMYFUNCTION("if(countif(filter(Status!$C:$C,Status!$A:$A=$A156),CONCATENATE(Z$2,""*""))&gt;0,countif(filter(Status!$C:$C,Status!$A:$A=$A156),CONCATENATE(Z$2,""*"")),"""")"),"")</f>
        <v/>
      </c>
      <c r="AA156" s="23" t="str">
        <f>IFERROR(__xludf.DUMMYFUNCTION("if((countif(filter(Status!$C:$C,Status!$A:$A=$A156),CONCATENATE(AA$2,""*""))-AB156)&gt;0,(countif(filter(Status!$C:$C,Status!$A:$A=$A156),CONCATENATE(AA$2,""*""))-AB156),"""")"),"")</f>
        <v/>
      </c>
      <c r="AB156" s="23" t="str">
        <f>IFERROR(__xludf.DUMMYFUNCTION("if(countif(filter(Status!$C:$C,Status!$A:$A=$A156),CONCATENATE(AB$2,""*""))&gt;0,countif(filter(Status!$C:$C,Status!$A:$A=$A156),CONCATENATE(AB$2,""*"")),"""")"),"")</f>
        <v/>
      </c>
      <c r="AC156" s="23" t="str">
        <f>IFERROR(__xludf.DUMMYFUNCTION("if(countif(filter(Status!$C:$C,Status!$A:$A=$A156),CONCATENATE(AC$2,""*""))&gt;0,countif(filter(Status!$C:$C,Status!$A:$A=$A156),CONCATENATE(AC$2,""*"")),"""")"),"")</f>
        <v/>
      </c>
      <c r="AD156" s="23" t="str">
        <f>IFERROR(__xludf.DUMMYFUNCTION("if(countif(filter(Status!$C:$C,Status!$A:$A=$A156),CONCATENATE(AD$2,""*""))&gt;0,countif(filter(Status!$C:$C,Status!$A:$A=$A156),CONCATENATE(AD$2,""*"")),"""")"),"")</f>
        <v/>
      </c>
      <c r="AE156" s="23" t="str">
        <f>IFERROR(__xludf.DUMMYFUNCTION("if(countif(filter(Status!$C:$C,Status!$A:$A=$A156),CONCATENATE(AE$2,""*""))&gt;0,countif(filter(Status!$C:$C,Status!$A:$A=$A156),CONCATENATE(AE$2,""*"")),"""")"),"")</f>
        <v/>
      </c>
      <c r="AF156" s="23" t="str">
        <f>IFERROR(__xludf.DUMMYFUNCTION("if(countif(filter(Status!$C:$C,Status!$A:$A=$A156),CONCATENATE(AF$2,""*""))&gt;0,countif(filter(Status!$C:$C,Status!$A:$A=$A156),CONCATENATE(AF$2,""*"")),"""")"),"")</f>
        <v/>
      </c>
      <c r="AG156" s="23" t="str">
        <f>IFERROR(__xludf.DUMMYFUNCTION("if(countif(filter(Status!$C:$C,Status!$A:$A=$A156),CONCATENATE(AG$2,""*""))&gt;0,countif(filter(Status!$C:$C,Status!$A:$A=$A156),CONCATENATE(AG$2,""*"")),"""")"),"")</f>
        <v/>
      </c>
      <c r="AH156" s="23" t="str">
        <f>IFERROR(__xludf.DUMMYFUNCTION("if(countif(filter(Status!$C:$C,Status!$A:$A=$A156),CONCATENATE(AH$2,""*""))&gt;0,countif(filter(Status!$C:$C,Status!$A:$A=$A156),CONCATENATE(AH$2,""*"")),"""")"),"")</f>
        <v/>
      </c>
      <c r="AI156" s="23" t="str">
        <f>IFERROR(__xludf.DUMMYFUNCTION("if(countif(filter(Status!$C:$C,Status!$A:$A=$A156),CONCATENATE(AI$2,""*""))&gt;0,countif(filter(Status!$C:$C,Status!$A:$A=$A156),CONCATENATE(AI$2,""*"")),"""")"),"")</f>
        <v/>
      </c>
      <c r="AJ156" s="23" t="str">
        <f>IFERROR(__xludf.DUMMYFUNCTION("if(countif(filter(Status!$C:$C,Status!$A:$A=$A156),CONCATENATE(AJ$2,""*""))&gt;0,countif(filter(Status!$C:$C,Status!$A:$A=$A156),CONCATENATE(AJ$2,""*"")),"""")"),"")</f>
        <v/>
      </c>
      <c r="AK156" s="23" t="str">
        <f>IFERROR(__xludf.DUMMYFUNCTION("if(countif(filter(Status!$C:$C,Status!$A:$A=$A156),CONCATENATE(AK$2,""*""))&gt;0,countif(filter(Status!$C:$C,Status!$A:$A=$A156),CONCATENATE(AK$2,""*"")),"""")"),"")</f>
        <v/>
      </c>
      <c r="AL156" s="23" t="str">
        <f>IFERROR(__xludf.DUMMYFUNCTION("if(countif(filter(Status!$C:$C,Status!$A:$A=$A156),CONCATENATE(AL$2,""*""))&gt;0,countif(filter(Status!$C:$C,Status!$A:$A=$A156),CONCATENATE(AL$2,""*"")),"""")"),"")</f>
        <v/>
      </c>
      <c r="AM156" s="23" t="str">
        <f>IFERROR(__xludf.DUMMYFUNCTION("if(countif(filter(Status!$C:$C,Status!$A:$A=$A156),CONCATENATE(AM$2,""*""))&gt;0,countif(filter(Status!$C:$C,Status!$A:$A=$A156),CONCATENATE(AM$2,""*"")),"""")"),"")</f>
        <v/>
      </c>
      <c r="AN156" s="23" t="str">
        <f>IFERROR(__xludf.DUMMYFUNCTION("if(countif(filter(Status!$C:$C,Status!$A:$A=$A156),CONCATENATE(AN$2,""*""))&gt;0,countif(filter(Status!$C:$C,Status!$A:$A=$A156),CONCATENATE(AN$2,""*"")),"""")"),"")</f>
        <v/>
      </c>
      <c r="AO156" s="23" t="str">
        <f>IFERROR(__xludf.DUMMYFUNCTION("if(countif(filter(Status!$C:$C,Status!$A:$A=$A156),CONCATENATE(AO$2,""*""))&gt;0,countif(filter(Status!$C:$C,Status!$A:$A=$A156),CONCATENATE(AO$2,""*"")),"""")"),"")</f>
        <v/>
      </c>
      <c r="AP156" s="23">
        <f>IFERROR(__xludf.DUMMYFUNCTION("counta(iferror(filter(Status!C:C,Status!A:A=A156)))"),0.0)</f>
        <v>0</v>
      </c>
      <c r="AQ156" s="23">
        <f t="shared" si="6"/>
        <v>0</v>
      </c>
    </row>
    <row r="157">
      <c r="A157" s="1" t="s">
        <v>1179</v>
      </c>
      <c r="B157" s="25" t="str">
        <f>IFERROR(__xludf.DUMMYFUNCTION("max(filter(Status!E:E,Status!A:A=A157))"),"#N/A")</f>
        <v>#N/A</v>
      </c>
      <c r="C157" s="23" t="str">
        <f t="shared" si="1"/>
        <v/>
      </c>
      <c r="D157" s="23" t="str">
        <f t="shared" si="2"/>
        <v/>
      </c>
      <c r="E157" s="23" t="str">
        <f t="shared" si="3"/>
        <v/>
      </c>
      <c r="F157" s="23" t="str">
        <f t="shared" si="4"/>
        <v/>
      </c>
      <c r="G157" s="25" t="str">
        <f t="shared" si="5"/>
        <v/>
      </c>
      <c r="J157" s="23">
        <f>IFERROR(__xludf.DUMMYFUNCTION("COUNTA(iferror(filter(Status!H:H,Status!A:A=A157)))"),0.0)</f>
        <v>0</v>
      </c>
      <c r="K157" s="25">
        <f>IFERROR(__xludf.DUMMYFUNCTION("COUNTA(iferror(filter(Status!H:H,Status!A:A=A157,Status!H:H=TRUE)))"),0.0)</f>
        <v>0</v>
      </c>
      <c r="L157" s="23">
        <f>IFERROR(__xludf.DUMMYFUNCTION("COUNTA(iferror(filter(Status!L:L,Status!A:A=A157)))"),0.0)</f>
        <v>0</v>
      </c>
      <c r="M157" s="25">
        <f>IFERROR(__xludf.DUMMYFUNCTION("COUNTA(iferror(filter(Status!L:L,Status!A:A=A157,Status!L:L=TRUE)))"),0.0)</f>
        <v>0</v>
      </c>
      <c r="N157" s="23">
        <f>IFERROR(__xludf.DUMMYFUNCTION("COUNTA(iferror(filter(Status!N:N,Status!A:A=A157,Status!N:N=TRUE)))"),0.0)</f>
        <v>0</v>
      </c>
      <c r="O157" s="25">
        <f>IFERROR(__xludf.DUMMYFUNCTION("COUNTA(iferror(filter(Status!N:N,Status!A:A=A157,Status!N:N=TRUE)))"),0.0)</f>
        <v>0</v>
      </c>
      <c r="P157" s="23">
        <f>IFERROR(__xludf.DUMMYFUNCTION("COUNTA(iferror(filter(Status!P:P,Status!A:A=A157)))"),0.0)</f>
        <v>0</v>
      </c>
      <c r="Q157" s="25">
        <f>IFERROR(__xludf.DUMMYFUNCTION("COUNTA(iferror(filter(Status!P:P,Status!A:A=A157,Status!P:P=TRUE)))"),0.0)</f>
        <v>0</v>
      </c>
      <c r="R157" s="23">
        <f>IFERROR(__xludf.DUMMYFUNCTION("COUNTA(iferror(filter(Status!R:R,Status!A:A=A157)))"),0.0)</f>
        <v>0</v>
      </c>
      <c r="S157" s="25">
        <f>IFERROR(__xludf.DUMMYFUNCTION("COUNTA(iferror(filter(Status!R:R,Status!A:A=A157,Status!R:R=TRUE)))"),0.0)</f>
        <v>0</v>
      </c>
      <c r="V157" s="23" t="str">
        <f>IFERROR(__xludf.DUMMYFUNCTION("if((countif(filter(Status!$C:$C,Status!$A:$A=$A157),CONCATENATE(V$2,""*""))-W157)&gt;0,(countif(filter(Status!$C:$C,Status!$A:$A=$A157),CONCATENATE(V$2,""*""))-W157),"""")"),"")</f>
        <v/>
      </c>
      <c r="W157" s="23" t="str">
        <f>IFERROR(__xludf.DUMMYFUNCTION("if(countif(filter(Status!$C:$C,Status!$A:$A=$A157),CONCATENATE(W$2,""*""))&gt;0,countif(filter(Status!$C:$C,Status!$A:$A=$A157),CONCATENATE(W$2,""*"")),"""")"),"")</f>
        <v/>
      </c>
      <c r="X157" s="23" t="str">
        <f>IFERROR(__xludf.DUMMYFUNCTION("if(countif(filter(Status!$C:$C,Status!$A:$A=$A157),CONCATENATE(X$2,""*""))&gt;0,countif(filter(Status!$C:$C,Status!$A:$A=$A157),CONCATENATE(X$2,""*"")),"""")"),"")</f>
        <v/>
      </c>
      <c r="Y157" s="23" t="str">
        <f>IFERROR(__xludf.DUMMYFUNCTION("if(countif(filter(Status!$C:$C,Status!$A:$A=$A157),CONCATENATE(Y$2,""*""))&gt;0,countif(filter(Status!$C:$C,Status!$A:$A=$A157),CONCATENATE(Y$2,""*"")),"""")"),"")</f>
        <v/>
      </c>
      <c r="Z157" s="23" t="str">
        <f>IFERROR(__xludf.DUMMYFUNCTION("if(countif(filter(Status!$C:$C,Status!$A:$A=$A157),CONCATENATE(Z$2,""*""))&gt;0,countif(filter(Status!$C:$C,Status!$A:$A=$A157),CONCATENATE(Z$2,""*"")),"""")"),"")</f>
        <v/>
      </c>
      <c r="AA157" s="23" t="str">
        <f>IFERROR(__xludf.DUMMYFUNCTION("if((countif(filter(Status!$C:$C,Status!$A:$A=$A157),CONCATENATE(AA$2,""*""))-AB157)&gt;0,(countif(filter(Status!$C:$C,Status!$A:$A=$A157),CONCATENATE(AA$2,""*""))-AB157),"""")"),"")</f>
        <v/>
      </c>
      <c r="AB157" s="23" t="str">
        <f>IFERROR(__xludf.DUMMYFUNCTION("if(countif(filter(Status!$C:$C,Status!$A:$A=$A157),CONCATENATE(AB$2,""*""))&gt;0,countif(filter(Status!$C:$C,Status!$A:$A=$A157),CONCATENATE(AB$2,""*"")),"""")"),"")</f>
        <v/>
      </c>
      <c r="AC157" s="23" t="str">
        <f>IFERROR(__xludf.DUMMYFUNCTION("if(countif(filter(Status!$C:$C,Status!$A:$A=$A157),CONCATENATE(AC$2,""*""))&gt;0,countif(filter(Status!$C:$C,Status!$A:$A=$A157),CONCATENATE(AC$2,""*"")),"""")"),"")</f>
        <v/>
      </c>
      <c r="AD157" s="23" t="str">
        <f>IFERROR(__xludf.DUMMYFUNCTION("if(countif(filter(Status!$C:$C,Status!$A:$A=$A157),CONCATENATE(AD$2,""*""))&gt;0,countif(filter(Status!$C:$C,Status!$A:$A=$A157),CONCATENATE(AD$2,""*"")),"""")"),"")</f>
        <v/>
      </c>
      <c r="AE157" s="23" t="str">
        <f>IFERROR(__xludf.DUMMYFUNCTION("if(countif(filter(Status!$C:$C,Status!$A:$A=$A157),CONCATENATE(AE$2,""*""))&gt;0,countif(filter(Status!$C:$C,Status!$A:$A=$A157),CONCATENATE(AE$2,""*"")),"""")"),"")</f>
        <v/>
      </c>
      <c r="AF157" s="23" t="str">
        <f>IFERROR(__xludf.DUMMYFUNCTION("if(countif(filter(Status!$C:$C,Status!$A:$A=$A157),CONCATENATE(AF$2,""*""))&gt;0,countif(filter(Status!$C:$C,Status!$A:$A=$A157),CONCATENATE(AF$2,""*"")),"""")"),"")</f>
        <v/>
      </c>
      <c r="AG157" s="23" t="str">
        <f>IFERROR(__xludf.DUMMYFUNCTION("if(countif(filter(Status!$C:$C,Status!$A:$A=$A157),CONCATENATE(AG$2,""*""))&gt;0,countif(filter(Status!$C:$C,Status!$A:$A=$A157),CONCATENATE(AG$2,""*"")),"""")"),"")</f>
        <v/>
      </c>
      <c r="AH157" s="23" t="str">
        <f>IFERROR(__xludf.DUMMYFUNCTION("if(countif(filter(Status!$C:$C,Status!$A:$A=$A157),CONCATENATE(AH$2,""*""))&gt;0,countif(filter(Status!$C:$C,Status!$A:$A=$A157),CONCATENATE(AH$2,""*"")),"""")"),"")</f>
        <v/>
      </c>
      <c r="AI157" s="23" t="str">
        <f>IFERROR(__xludf.DUMMYFUNCTION("if(countif(filter(Status!$C:$C,Status!$A:$A=$A157),CONCATENATE(AI$2,""*""))&gt;0,countif(filter(Status!$C:$C,Status!$A:$A=$A157),CONCATENATE(AI$2,""*"")),"""")"),"")</f>
        <v/>
      </c>
      <c r="AJ157" s="23" t="str">
        <f>IFERROR(__xludf.DUMMYFUNCTION("if(countif(filter(Status!$C:$C,Status!$A:$A=$A157),CONCATENATE(AJ$2,""*""))&gt;0,countif(filter(Status!$C:$C,Status!$A:$A=$A157),CONCATENATE(AJ$2,""*"")),"""")"),"")</f>
        <v/>
      </c>
      <c r="AK157" s="23" t="str">
        <f>IFERROR(__xludf.DUMMYFUNCTION("if(countif(filter(Status!$C:$C,Status!$A:$A=$A157),CONCATENATE(AK$2,""*""))&gt;0,countif(filter(Status!$C:$C,Status!$A:$A=$A157),CONCATENATE(AK$2,""*"")),"""")"),"")</f>
        <v/>
      </c>
      <c r="AL157" s="23" t="str">
        <f>IFERROR(__xludf.DUMMYFUNCTION("if(countif(filter(Status!$C:$C,Status!$A:$A=$A157),CONCATENATE(AL$2,""*""))&gt;0,countif(filter(Status!$C:$C,Status!$A:$A=$A157),CONCATENATE(AL$2,""*"")),"""")"),"")</f>
        <v/>
      </c>
      <c r="AM157" s="23" t="str">
        <f>IFERROR(__xludf.DUMMYFUNCTION("if(countif(filter(Status!$C:$C,Status!$A:$A=$A157),CONCATENATE(AM$2,""*""))&gt;0,countif(filter(Status!$C:$C,Status!$A:$A=$A157),CONCATENATE(AM$2,""*"")),"""")"),"")</f>
        <v/>
      </c>
      <c r="AN157" s="23" t="str">
        <f>IFERROR(__xludf.DUMMYFUNCTION("if(countif(filter(Status!$C:$C,Status!$A:$A=$A157),CONCATENATE(AN$2,""*""))&gt;0,countif(filter(Status!$C:$C,Status!$A:$A=$A157),CONCATENATE(AN$2,""*"")),"""")"),"")</f>
        <v/>
      </c>
      <c r="AO157" s="23" t="str">
        <f>IFERROR(__xludf.DUMMYFUNCTION("if(countif(filter(Status!$C:$C,Status!$A:$A=$A157),CONCATENATE(AO$2,""*""))&gt;0,countif(filter(Status!$C:$C,Status!$A:$A=$A157),CONCATENATE(AO$2,""*"")),"""")"),"")</f>
        <v/>
      </c>
      <c r="AP157" s="23">
        <f>IFERROR(__xludf.DUMMYFUNCTION("counta(iferror(filter(Status!C:C,Status!A:A=A157)))"),0.0)</f>
        <v>0</v>
      </c>
      <c r="AQ157" s="23">
        <f t="shared" si="6"/>
        <v>0</v>
      </c>
    </row>
    <row r="158">
      <c r="A158" s="1" t="s">
        <v>1182</v>
      </c>
      <c r="B158" s="25" t="str">
        <f>IFERROR(__xludf.DUMMYFUNCTION("max(filter(Status!E:E,Status!A:A=A158))"),"#N/A")</f>
        <v>#N/A</v>
      </c>
      <c r="C158" s="23" t="str">
        <f t="shared" si="1"/>
        <v/>
      </c>
      <c r="D158" s="23" t="str">
        <f t="shared" si="2"/>
        <v/>
      </c>
      <c r="E158" s="23" t="str">
        <f t="shared" si="3"/>
        <v/>
      </c>
      <c r="F158" s="23" t="str">
        <f t="shared" si="4"/>
        <v/>
      </c>
      <c r="G158" s="25" t="str">
        <f t="shared" si="5"/>
        <v/>
      </c>
      <c r="J158" s="23">
        <f>IFERROR(__xludf.DUMMYFUNCTION("COUNTA(iferror(filter(Status!H:H,Status!A:A=A158)))"),0.0)</f>
        <v>0</v>
      </c>
      <c r="K158" s="25">
        <f>IFERROR(__xludf.DUMMYFUNCTION("COUNTA(iferror(filter(Status!H:H,Status!A:A=A158,Status!H:H=TRUE)))"),0.0)</f>
        <v>0</v>
      </c>
      <c r="L158" s="23">
        <f>IFERROR(__xludf.DUMMYFUNCTION("COUNTA(iferror(filter(Status!L:L,Status!A:A=A158)))"),0.0)</f>
        <v>0</v>
      </c>
      <c r="M158" s="25">
        <f>IFERROR(__xludf.DUMMYFUNCTION("COUNTA(iferror(filter(Status!L:L,Status!A:A=A158,Status!L:L=TRUE)))"),0.0)</f>
        <v>0</v>
      </c>
      <c r="N158" s="23">
        <f>IFERROR(__xludf.DUMMYFUNCTION("COUNTA(iferror(filter(Status!N:N,Status!A:A=A158,Status!N:N=TRUE)))"),0.0)</f>
        <v>0</v>
      </c>
      <c r="O158" s="25">
        <f>IFERROR(__xludf.DUMMYFUNCTION("COUNTA(iferror(filter(Status!N:N,Status!A:A=A158,Status!N:N=TRUE)))"),0.0)</f>
        <v>0</v>
      </c>
      <c r="P158" s="23">
        <f>IFERROR(__xludf.DUMMYFUNCTION("COUNTA(iferror(filter(Status!P:P,Status!A:A=A158)))"),0.0)</f>
        <v>0</v>
      </c>
      <c r="Q158" s="25">
        <f>IFERROR(__xludf.DUMMYFUNCTION("COUNTA(iferror(filter(Status!P:P,Status!A:A=A158,Status!P:P=TRUE)))"),0.0)</f>
        <v>0</v>
      </c>
      <c r="R158" s="23">
        <f>IFERROR(__xludf.DUMMYFUNCTION("COUNTA(iferror(filter(Status!R:R,Status!A:A=A158)))"),0.0)</f>
        <v>0</v>
      </c>
      <c r="S158" s="25">
        <f>IFERROR(__xludf.DUMMYFUNCTION("COUNTA(iferror(filter(Status!R:R,Status!A:A=A158,Status!R:R=TRUE)))"),0.0)</f>
        <v>0</v>
      </c>
      <c r="V158" s="23" t="str">
        <f>IFERROR(__xludf.DUMMYFUNCTION("if((countif(filter(Status!$C:$C,Status!$A:$A=$A158),CONCATENATE(V$2,""*""))-W158)&gt;0,(countif(filter(Status!$C:$C,Status!$A:$A=$A158),CONCATENATE(V$2,""*""))-W158),"""")"),"")</f>
        <v/>
      </c>
      <c r="W158" s="23" t="str">
        <f>IFERROR(__xludf.DUMMYFUNCTION("if(countif(filter(Status!$C:$C,Status!$A:$A=$A158),CONCATENATE(W$2,""*""))&gt;0,countif(filter(Status!$C:$C,Status!$A:$A=$A158),CONCATENATE(W$2,""*"")),"""")"),"")</f>
        <v/>
      </c>
      <c r="X158" s="23" t="str">
        <f>IFERROR(__xludf.DUMMYFUNCTION("if(countif(filter(Status!$C:$C,Status!$A:$A=$A158),CONCATENATE(X$2,""*""))&gt;0,countif(filter(Status!$C:$C,Status!$A:$A=$A158),CONCATENATE(X$2,""*"")),"""")"),"")</f>
        <v/>
      </c>
      <c r="Y158" s="23" t="str">
        <f>IFERROR(__xludf.DUMMYFUNCTION("if(countif(filter(Status!$C:$C,Status!$A:$A=$A158),CONCATENATE(Y$2,""*""))&gt;0,countif(filter(Status!$C:$C,Status!$A:$A=$A158),CONCATENATE(Y$2,""*"")),"""")"),"")</f>
        <v/>
      </c>
      <c r="Z158" s="23" t="str">
        <f>IFERROR(__xludf.DUMMYFUNCTION("if(countif(filter(Status!$C:$C,Status!$A:$A=$A158),CONCATENATE(Z$2,""*""))&gt;0,countif(filter(Status!$C:$C,Status!$A:$A=$A158),CONCATENATE(Z$2,""*"")),"""")"),"")</f>
        <v/>
      </c>
      <c r="AA158" s="23" t="str">
        <f>IFERROR(__xludf.DUMMYFUNCTION("if((countif(filter(Status!$C:$C,Status!$A:$A=$A158),CONCATENATE(AA$2,""*""))-AB158)&gt;0,(countif(filter(Status!$C:$C,Status!$A:$A=$A158),CONCATENATE(AA$2,""*""))-AB158),"""")"),"")</f>
        <v/>
      </c>
      <c r="AB158" s="23" t="str">
        <f>IFERROR(__xludf.DUMMYFUNCTION("if(countif(filter(Status!$C:$C,Status!$A:$A=$A158),CONCATENATE(AB$2,""*""))&gt;0,countif(filter(Status!$C:$C,Status!$A:$A=$A158),CONCATENATE(AB$2,""*"")),"""")"),"")</f>
        <v/>
      </c>
      <c r="AC158" s="23" t="str">
        <f>IFERROR(__xludf.DUMMYFUNCTION("if(countif(filter(Status!$C:$C,Status!$A:$A=$A158),CONCATENATE(AC$2,""*""))&gt;0,countif(filter(Status!$C:$C,Status!$A:$A=$A158),CONCATENATE(AC$2,""*"")),"""")"),"")</f>
        <v/>
      </c>
      <c r="AD158" s="23" t="str">
        <f>IFERROR(__xludf.DUMMYFUNCTION("if(countif(filter(Status!$C:$C,Status!$A:$A=$A158),CONCATENATE(AD$2,""*""))&gt;0,countif(filter(Status!$C:$C,Status!$A:$A=$A158),CONCATENATE(AD$2,""*"")),"""")"),"")</f>
        <v/>
      </c>
      <c r="AE158" s="23" t="str">
        <f>IFERROR(__xludf.DUMMYFUNCTION("if(countif(filter(Status!$C:$C,Status!$A:$A=$A158),CONCATENATE(AE$2,""*""))&gt;0,countif(filter(Status!$C:$C,Status!$A:$A=$A158),CONCATENATE(AE$2,""*"")),"""")"),"")</f>
        <v/>
      </c>
      <c r="AF158" s="23" t="str">
        <f>IFERROR(__xludf.DUMMYFUNCTION("if(countif(filter(Status!$C:$C,Status!$A:$A=$A158),CONCATENATE(AF$2,""*""))&gt;0,countif(filter(Status!$C:$C,Status!$A:$A=$A158),CONCATENATE(AF$2,""*"")),"""")"),"")</f>
        <v/>
      </c>
      <c r="AG158" s="23" t="str">
        <f>IFERROR(__xludf.DUMMYFUNCTION("if(countif(filter(Status!$C:$C,Status!$A:$A=$A158),CONCATENATE(AG$2,""*""))&gt;0,countif(filter(Status!$C:$C,Status!$A:$A=$A158),CONCATENATE(AG$2,""*"")),"""")"),"")</f>
        <v/>
      </c>
      <c r="AH158" s="23" t="str">
        <f>IFERROR(__xludf.DUMMYFUNCTION("if(countif(filter(Status!$C:$C,Status!$A:$A=$A158),CONCATENATE(AH$2,""*""))&gt;0,countif(filter(Status!$C:$C,Status!$A:$A=$A158),CONCATENATE(AH$2,""*"")),"""")"),"")</f>
        <v/>
      </c>
      <c r="AI158" s="23" t="str">
        <f>IFERROR(__xludf.DUMMYFUNCTION("if(countif(filter(Status!$C:$C,Status!$A:$A=$A158),CONCATENATE(AI$2,""*""))&gt;0,countif(filter(Status!$C:$C,Status!$A:$A=$A158),CONCATENATE(AI$2,""*"")),"""")"),"")</f>
        <v/>
      </c>
      <c r="AJ158" s="23" t="str">
        <f>IFERROR(__xludf.DUMMYFUNCTION("if(countif(filter(Status!$C:$C,Status!$A:$A=$A158),CONCATENATE(AJ$2,""*""))&gt;0,countif(filter(Status!$C:$C,Status!$A:$A=$A158),CONCATENATE(AJ$2,""*"")),"""")"),"")</f>
        <v/>
      </c>
      <c r="AK158" s="23" t="str">
        <f>IFERROR(__xludf.DUMMYFUNCTION("if(countif(filter(Status!$C:$C,Status!$A:$A=$A158),CONCATENATE(AK$2,""*""))&gt;0,countif(filter(Status!$C:$C,Status!$A:$A=$A158),CONCATENATE(AK$2,""*"")),"""")"),"")</f>
        <v/>
      </c>
      <c r="AL158" s="23" t="str">
        <f>IFERROR(__xludf.DUMMYFUNCTION("if(countif(filter(Status!$C:$C,Status!$A:$A=$A158),CONCATENATE(AL$2,""*""))&gt;0,countif(filter(Status!$C:$C,Status!$A:$A=$A158),CONCATENATE(AL$2,""*"")),"""")"),"")</f>
        <v/>
      </c>
      <c r="AM158" s="23" t="str">
        <f>IFERROR(__xludf.DUMMYFUNCTION("if(countif(filter(Status!$C:$C,Status!$A:$A=$A158),CONCATENATE(AM$2,""*""))&gt;0,countif(filter(Status!$C:$C,Status!$A:$A=$A158),CONCATENATE(AM$2,""*"")),"""")"),"")</f>
        <v/>
      </c>
      <c r="AN158" s="23" t="str">
        <f>IFERROR(__xludf.DUMMYFUNCTION("if(countif(filter(Status!$C:$C,Status!$A:$A=$A158),CONCATENATE(AN$2,""*""))&gt;0,countif(filter(Status!$C:$C,Status!$A:$A=$A158),CONCATENATE(AN$2,""*"")),"""")"),"")</f>
        <v/>
      </c>
      <c r="AO158" s="23" t="str">
        <f>IFERROR(__xludf.DUMMYFUNCTION("if(countif(filter(Status!$C:$C,Status!$A:$A=$A158),CONCATENATE(AO$2,""*""))&gt;0,countif(filter(Status!$C:$C,Status!$A:$A=$A158),CONCATENATE(AO$2,""*"")),"""")"),"")</f>
        <v/>
      </c>
      <c r="AP158" s="23">
        <f>IFERROR(__xludf.DUMMYFUNCTION("counta(iferror(filter(Status!C:C,Status!A:A=A158)))"),0.0)</f>
        <v>0</v>
      </c>
      <c r="AQ158" s="23">
        <f t="shared" si="6"/>
        <v>0</v>
      </c>
    </row>
    <row r="159">
      <c r="A159" s="1" t="s">
        <v>1185</v>
      </c>
      <c r="B159" s="25" t="str">
        <f>IFERROR(__xludf.DUMMYFUNCTION("max(filter(Status!E:E,Status!A:A=A159))"),"#N/A")</f>
        <v>#N/A</v>
      </c>
      <c r="C159" s="23" t="str">
        <f t="shared" si="1"/>
        <v/>
      </c>
      <c r="D159" s="23" t="str">
        <f t="shared" si="2"/>
        <v/>
      </c>
      <c r="E159" s="23" t="str">
        <f t="shared" si="3"/>
        <v/>
      </c>
      <c r="F159" s="23" t="str">
        <f t="shared" si="4"/>
        <v/>
      </c>
      <c r="G159" s="25" t="str">
        <f t="shared" si="5"/>
        <v/>
      </c>
      <c r="J159" s="23">
        <f>IFERROR(__xludf.DUMMYFUNCTION("COUNTA(iferror(filter(Status!H:H,Status!A:A=A159)))"),0.0)</f>
        <v>0</v>
      </c>
      <c r="K159" s="25">
        <f>IFERROR(__xludf.DUMMYFUNCTION("COUNTA(iferror(filter(Status!H:H,Status!A:A=A159,Status!H:H=TRUE)))"),0.0)</f>
        <v>0</v>
      </c>
      <c r="L159" s="23">
        <f>IFERROR(__xludf.DUMMYFUNCTION("COUNTA(iferror(filter(Status!L:L,Status!A:A=A159)))"),0.0)</f>
        <v>0</v>
      </c>
      <c r="M159" s="25">
        <f>IFERROR(__xludf.DUMMYFUNCTION("COUNTA(iferror(filter(Status!L:L,Status!A:A=A159,Status!L:L=TRUE)))"),0.0)</f>
        <v>0</v>
      </c>
      <c r="N159" s="23">
        <f>IFERROR(__xludf.DUMMYFUNCTION("COUNTA(iferror(filter(Status!N:N,Status!A:A=A159,Status!N:N=TRUE)))"),0.0)</f>
        <v>0</v>
      </c>
      <c r="O159" s="25">
        <f>IFERROR(__xludf.DUMMYFUNCTION("COUNTA(iferror(filter(Status!N:N,Status!A:A=A159,Status!N:N=TRUE)))"),0.0)</f>
        <v>0</v>
      </c>
      <c r="P159" s="23">
        <f>IFERROR(__xludf.DUMMYFUNCTION("COUNTA(iferror(filter(Status!P:P,Status!A:A=A159)))"),0.0)</f>
        <v>0</v>
      </c>
      <c r="Q159" s="25">
        <f>IFERROR(__xludf.DUMMYFUNCTION("COUNTA(iferror(filter(Status!P:P,Status!A:A=A159,Status!P:P=TRUE)))"),0.0)</f>
        <v>0</v>
      </c>
      <c r="R159" s="23">
        <f>IFERROR(__xludf.DUMMYFUNCTION("COUNTA(iferror(filter(Status!R:R,Status!A:A=A159)))"),0.0)</f>
        <v>0</v>
      </c>
      <c r="S159" s="25">
        <f>IFERROR(__xludf.DUMMYFUNCTION("COUNTA(iferror(filter(Status!R:R,Status!A:A=A159,Status!R:R=TRUE)))"),0.0)</f>
        <v>0</v>
      </c>
      <c r="V159" s="23" t="str">
        <f>IFERROR(__xludf.DUMMYFUNCTION("if((countif(filter(Status!$C:$C,Status!$A:$A=$A159),CONCATENATE(V$2,""*""))-W159)&gt;0,(countif(filter(Status!$C:$C,Status!$A:$A=$A159),CONCATENATE(V$2,""*""))-W159),"""")"),"")</f>
        <v/>
      </c>
      <c r="W159" s="23" t="str">
        <f>IFERROR(__xludf.DUMMYFUNCTION("if(countif(filter(Status!$C:$C,Status!$A:$A=$A159),CONCATENATE(W$2,""*""))&gt;0,countif(filter(Status!$C:$C,Status!$A:$A=$A159),CONCATENATE(W$2,""*"")),"""")"),"")</f>
        <v/>
      </c>
      <c r="X159" s="23" t="str">
        <f>IFERROR(__xludf.DUMMYFUNCTION("if(countif(filter(Status!$C:$C,Status!$A:$A=$A159),CONCATENATE(X$2,""*""))&gt;0,countif(filter(Status!$C:$C,Status!$A:$A=$A159),CONCATENATE(X$2,""*"")),"""")"),"")</f>
        <v/>
      </c>
      <c r="Y159" s="23" t="str">
        <f>IFERROR(__xludf.DUMMYFUNCTION("if(countif(filter(Status!$C:$C,Status!$A:$A=$A159),CONCATENATE(Y$2,""*""))&gt;0,countif(filter(Status!$C:$C,Status!$A:$A=$A159),CONCATENATE(Y$2,""*"")),"""")"),"")</f>
        <v/>
      </c>
      <c r="Z159" s="23" t="str">
        <f>IFERROR(__xludf.DUMMYFUNCTION("if(countif(filter(Status!$C:$C,Status!$A:$A=$A159),CONCATENATE(Z$2,""*""))&gt;0,countif(filter(Status!$C:$C,Status!$A:$A=$A159),CONCATENATE(Z$2,""*"")),"""")"),"")</f>
        <v/>
      </c>
      <c r="AA159" s="23" t="str">
        <f>IFERROR(__xludf.DUMMYFUNCTION("if((countif(filter(Status!$C:$C,Status!$A:$A=$A159),CONCATENATE(AA$2,""*""))-AB159)&gt;0,(countif(filter(Status!$C:$C,Status!$A:$A=$A159),CONCATENATE(AA$2,""*""))-AB159),"""")"),"")</f>
        <v/>
      </c>
      <c r="AB159" s="23" t="str">
        <f>IFERROR(__xludf.DUMMYFUNCTION("if(countif(filter(Status!$C:$C,Status!$A:$A=$A159),CONCATENATE(AB$2,""*""))&gt;0,countif(filter(Status!$C:$C,Status!$A:$A=$A159),CONCATENATE(AB$2,""*"")),"""")"),"")</f>
        <v/>
      </c>
      <c r="AC159" s="23" t="str">
        <f>IFERROR(__xludf.DUMMYFUNCTION("if(countif(filter(Status!$C:$C,Status!$A:$A=$A159),CONCATENATE(AC$2,""*""))&gt;0,countif(filter(Status!$C:$C,Status!$A:$A=$A159),CONCATENATE(AC$2,""*"")),"""")"),"")</f>
        <v/>
      </c>
      <c r="AD159" s="23" t="str">
        <f>IFERROR(__xludf.DUMMYFUNCTION("if(countif(filter(Status!$C:$C,Status!$A:$A=$A159),CONCATENATE(AD$2,""*""))&gt;0,countif(filter(Status!$C:$C,Status!$A:$A=$A159),CONCATENATE(AD$2,""*"")),"""")"),"")</f>
        <v/>
      </c>
      <c r="AE159" s="23" t="str">
        <f>IFERROR(__xludf.DUMMYFUNCTION("if(countif(filter(Status!$C:$C,Status!$A:$A=$A159),CONCATENATE(AE$2,""*""))&gt;0,countif(filter(Status!$C:$C,Status!$A:$A=$A159),CONCATENATE(AE$2,""*"")),"""")"),"")</f>
        <v/>
      </c>
      <c r="AF159" s="23" t="str">
        <f>IFERROR(__xludf.DUMMYFUNCTION("if(countif(filter(Status!$C:$C,Status!$A:$A=$A159),CONCATENATE(AF$2,""*""))&gt;0,countif(filter(Status!$C:$C,Status!$A:$A=$A159),CONCATENATE(AF$2,""*"")),"""")"),"")</f>
        <v/>
      </c>
      <c r="AG159" s="23" t="str">
        <f>IFERROR(__xludf.DUMMYFUNCTION("if(countif(filter(Status!$C:$C,Status!$A:$A=$A159),CONCATENATE(AG$2,""*""))&gt;0,countif(filter(Status!$C:$C,Status!$A:$A=$A159),CONCATENATE(AG$2,""*"")),"""")"),"")</f>
        <v/>
      </c>
      <c r="AH159" s="23" t="str">
        <f>IFERROR(__xludf.DUMMYFUNCTION("if(countif(filter(Status!$C:$C,Status!$A:$A=$A159),CONCATENATE(AH$2,""*""))&gt;0,countif(filter(Status!$C:$C,Status!$A:$A=$A159),CONCATENATE(AH$2,""*"")),"""")"),"")</f>
        <v/>
      </c>
      <c r="AI159" s="23" t="str">
        <f>IFERROR(__xludf.DUMMYFUNCTION("if(countif(filter(Status!$C:$C,Status!$A:$A=$A159),CONCATENATE(AI$2,""*""))&gt;0,countif(filter(Status!$C:$C,Status!$A:$A=$A159),CONCATENATE(AI$2,""*"")),"""")"),"")</f>
        <v/>
      </c>
      <c r="AJ159" s="23" t="str">
        <f>IFERROR(__xludf.DUMMYFUNCTION("if(countif(filter(Status!$C:$C,Status!$A:$A=$A159),CONCATENATE(AJ$2,""*""))&gt;0,countif(filter(Status!$C:$C,Status!$A:$A=$A159),CONCATENATE(AJ$2,""*"")),"""")"),"")</f>
        <v/>
      </c>
      <c r="AK159" s="23" t="str">
        <f>IFERROR(__xludf.DUMMYFUNCTION("if(countif(filter(Status!$C:$C,Status!$A:$A=$A159),CONCATENATE(AK$2,""*""))&gt;0,countif(filter(Status!$C:$C,Status!$A:$A=$A159),CONCATENATE(AK$2,""*"")),"""")"),"")</f>
        <v/>
      </c>
      <c r="AL159" s="23" t="str">
        <f>IFERROR(__xludf.DUMMYFUNCTION("if(countif(filter(Status!$C:$C,Status!$A:$A=$A159),CONCATENATE(AL$2,""*""))&gt;0,countif(filter(Status!$C:$C,Status!$A:$A=$A159),CONCATENATE(AL$2,""*"")),"""")"),"")</f>
        <v/>
      </c>
      <c r="AM159" s="23" t="str">
        <f>IFERROR(__xludf.DUMMYFUNCTION("if(countif(filter(Status!$C:$C,Status!$A:$A=$A159),CONCATENATE(AM$2,""*""))&gt;0,countif(filter(Status!$C:$C,Status!$A:$A=$A159),CONCATENATE(AM$2,""*"")),"""")"),"")</f>
        <v/>
      </c>
      <c r="AN159" s="23" t="str">
        <f>IFERROR(__xludf.DUMMYFUNCTION("if(countif(filter(Status!$C:$C,Status!$A:$A=$A159),CONCATENATE(AN$2,""*""))&gt;0,countif(filter(Status!$C:$C,Status!$A:$A=$A159),CONCATENATE(AN$2,""*"")),"""")"),"")</f>
        <v/>
      </c>
      <c r="AO159" s="23" t="str">
        <f>IFERROR(__xludf.DUMMYFUNCTION("if(countif(filter(Status!$C:$C,Status!$A:$A=$A159),CONCATENATE(AO$2,""*""))&gt;0,countif(filter(Status!$C:$C,Status!$A:$A=$A159),CONCATENATE(AO$2,""*"")),"""")"),"")</f>
        <v/>
      </c>
      <c r="AP159" s="23">
        <f>IFERROR(__xludf.DUMMYFUNCTION("counta(iferror(filter(Status!C:C,Status!A:A=A159)))"),0.0)</f>
        <v>0</v>
      </c>
      <c r="AQ159" s="23">
        <f t="shared" si="6"/>
        <v>0</v>
      </c>
    </row>
    <row r="160">
      <c r="A160" s="1" t="s">
        <v>1188</v>
      </c>
      <c r="B160" s="25" t="str">
        <f>IFERROR(__xludf.DUMMYFUNCTION("max(filter(Status!E:E,Status!A:A=A160))"),"#N/A")</f>
        <v>#N/A</v>
      </c>
      <c r="C160" s="23" t="str">
        <f t="shared" si="1"/>
        <v/>
      </c>
      <c r="D160" s="23" t="str">
        <f t="shared" si="2"/>
        <v/>
      </c>
      <c r="E160" s="23" t="str">
        <f t="shared" si="3"/>
        <v/>
      </c>
      <c r="F160" s="23" t="str">
        <f t="shared" si="4"/>
        <v/>
      </c>
      <c r="G160" s="25" t="str">
        <f t="shared" si="5"/>
        <v/>
      </c>
      <c r="J160" s="23">
        <f>IFERROR(__xludf.DUMMYFUNCTION("COUNTA(iferror(filter(Status!H:H,Status!A:A=A160)))"),0.0)</f>
        <v>0</v>
      </c>
      <c r="K160" s="25">
        <f>IFERROR(__xludf.DUMMYFUNCTION("COUNTA(iferror(filter(Status!H:H,Status!A:A=A160,Status!H:H=TRUE)))"),0.0)</f>
        <v>0</v>
      </c>
      <c r="L160" s="23">
        <f>IFERROR(__xludf.DUMMYFUNCTION("COUNTA(iferror(filter(Status!L:L,Status!A:A=A160)))"),0.0)</f>
        <v>0</v>
      </c>
      <c r="M160" s="25">
        <f>IFERROR(__xludf.DUMMYFUNCTION("COUNTA(iferror(filter(Status!L:L,Status!A:A=A160,Status!L:L=TRUE)))"),0.0)</f>
        <v>0</v>
      </c>
      <c r="N160" s="23">
        <f>IFERROR(__xludf.DUMMYFUNCTION("COUNTA(iferror(filter(Status!N:N,Status!A:A=A160,Status!N:N=TRUE)))"),0.0)</f>
        <v>0</v>
      </c>
      <c r="O160" s="25">
        <f>IFERROR(__xludf.DUMMYFUNCTION("COUNTA(iferror(filter(Status!N:N,Status!A:A=A160,Status!N:N=TRUE)))"),0.0)</f>
        <v>0</v>
      </c>
      <c r="P160" s="23">
        <f>IFERROR(__xludf.DUMMYFUNCTION("COUNTA(iferror(filter(Status!P:P,Status!A:A=A160)))"),0.0)</f>
        <v>0</v>
      </c>
      <c r="Q160" s="25">
        <f>IFERROR(__xludf.DUMMYFUNCTION("COUNTA(iferror(filter(Status!P:P,Status!A:A=A160,Status!P:P=TRUE)))"),0.0)</f>
        <v>0</v>
      </c>
      <c r="R160" s="23">
        <f>IFERROR(__xludf.DUMMYFUNCTION("COUNTA(iferror(filter(Status!R:R,Status!A:A=A160)))"),0.0)</f>
        <v>0</v>
      </c>
      <c r="S160" s="25">
        <f>IFERROR(__xludf.DUMMYFUNCTION("COUNTA(iferror(filter(Status!R:R,Status!A:A=A160,Status!R:R=TRUE)))"),0.0)</f>
        <v>0</v>
      </c>
      <c r="V160" s="23" t="str">
        <f>IFERROR(__xludf.DUMMYFUNCTION("if((countif(filter(Status!$C:$C,Status!$A:$A=$A160),CONCATENATE(V$2,""*""))-W160)&gt;0,(countif(filter(Status!$C:$C,Status!$A:$A=$A160),CONCATENATE(V$2,""*""))-W160),"""")"),"")</f>
        <v/>
      </c>
      <c r="W160" s="23" t="str">
        <f>IFERROR(__xludf.DUMMYFUNCTION("if(countif(filter(Status!$C:$C,Status!$A:$A=$A160),CONCATENATE(W$2,""*""))&gt;0,countif(filter(Status!$C:$C,Status!$A:$A=$A160),CONCATENATE(W$2,""*"")),"""")"),"")</f>
        <v/>
      </c>
      <c r="X160" s="23" t="str">
        <f>IFERROR(__xludf.DUMMYFUNCTION("if(countif(filter(Status!$C:$C,Status!$A:$A=$A160),CONCATENATE(X$2,""*""))&gt;0,countif(filter(Status!$C:$C,Status!$A:$A=$A160),CONCATENATE(X$2,""*"")),"""")"),"")</f>
        <v/>
      </c>
      <c r="Y160" s="23" t="str">
        <f>IFERROR(__xludf.DUMMYFUNCTION("if(countif(filter(Status!$C:$C,Status!$A:$A=$A160),CONCATENATE(Y$2,""*""))&gt;0,countif(filter(Status!$C:$C,Status!$A:$A=$A160),CONCATENATE(Y$2,""*"")),"""")"),"")</f>
        <v/>
      </c>
      <c r="Z160" s="23" t="str">
        <f>IFERROR(__xludf.DUMMYFUNCTION("if(countif(filter(Status!$C:$C,Status!$A:$A=$A160),CONCATENATE(Z$2,""*""))&gt;0,countif(filter(Status!$C:$C,Status!$A:$A=$A160),CONCATENATE(Z$2,""*"")),"""")"),"")</f>
        <v/>
      </c>
      <c r="AA160" s="23" t="str">
        <f>IFERROR(__xludf.DUMMYFUNCTION("if((countif(filter(Status!$C:$C,Status!$A:$A=$A160),CONCATENATE(AA$2,""*""))-AB160)&gt;0,(countif(filter(Status!$C:$C,Status!$A:$A=$A160),CONCATENATE(AA$2,""*""))-AB160),"""")"),"")</f>
        <v/>
      </c>
      <c r="AB160" s="23" t="str">
        <f>IFERROR(__xludf.DUMMYFUNCTION("if(countif(filter(Status!$C:$C,Status!$A:$A=$A160),CONCATENATE(AB$2,""*""))&gt;0,countif(filter(Status!$C:$C,Status!$A:$A=$A160),CONCATENATE(AB$2,""*"")),"""")"),"")</f>
        <v/>
      </c>
      <c r="AC160" s="23" t="str">
        <f>IFERROR(__xludf.DUMMYFUNCTION("if(countif(filter(Status!$C:$C,Status!$A:$A=$A160),CONCATENATE(AC$2,""*""))&gt;0,countif(filter(Status!$C:$C,Status!$A:$A=$A160),CONCATENATE(AC$2,""*"")),"""")"),"")</f>
        <v/>
      </c>
      <c r="AD160" s="23" t="str">
        <f>IFERROR(__xludf.DUMMYFUNCTION("if(countif(filter(Status!$C:$C,Status!$A:$A=$A160),CONCATENATE(AD$2,""*""))&gt;0,countif(filter(Status!$C:$C,Status!$A:$A=$A160),CONCATENATE(AD$2,""*"")),"""")"),"")</f>
        <v/>
      </c>
      <c r="AE160" s="23" t="str">
        <f>IFERROR(__xludf.DUMMYFUNCTION("if(countif(filter(Status!$C:$C,Status!$A:$A=$A160),CONCATENATE(AE$2,""*""))&gt;0,countif(filter(Status!$C:$C,Status!$A:$A=$A160),CONCATENATE(AE$2,""*"")),"""")"),"")</f>
        <v/>
      </c>
      <c r="AF160" s="23" t="str">
        <f>IFERROR(__xludf.DUMMYFUNCTION("if(countif(filter(Status!$C:$C,Status!$A:$A=$A160),CONCATENATE(AF$2,""*""))&gt;0,countif(filter(Status!$C:$C,Status!$A:$A=$A160),CONCATENATE(AF$2,""*"")),"""")"),"")</f>
        <v/>
      </c>
      <c r="AG160" s="23" t="str">
        <f>IFERROR(__xludf.DUMMYFUNCTION("if(countif(filter(Status!$C:$C,Status!$A:$A=$A160),CONCATENATE(AG$2,""*""))&gt;0,countif(filter(Status!$C:$C,Status!$A:$A=$A160),CONCATENATE(AG$2,""*"")),"""")"),"")</f>
        <v/>
      </c>
      <c r="AH160" s="23" t="str">
        <f>IFERROR(__xludf.DUMMYFUNCTION("if(countif(filter(Status!$C:$C,Status!$A:$A=$A160),CONCATENATE(AH$2,""*""))&gt;0,countif(filter(Status!$C:$C,Status!$A:$A=$A160),CONCATENATE(AH$2,""*"")),"""")"),"")</f>
        <v/>
      </c>
      <c r="AI160" s="23" t="str">
        <f>IFERROR(__xludf.DUMMYFUNCTION("if(countif(filter(Status!$C:$C,Status!$A:$A=$A160),CONCATENATE(AI$2,""*""))&gt;0,countif(filter(Status!$C:$C,Status!$A:$A=$A160),CONCATENATE(AI$2,""*"")),"""")"),"")</f>
        <v/>
      </c>
      <c r="AJ160" s="23" t="str">
        <f>IFERROR(__xludf.DUMMYFUNCTION("if(countif(filter(Status!$C:$C,Status!$A:$A=$A160),CONCATENATE(AJ$2,""*""))&gt;0,countif(filter(Status!$C:$C,Status!$A:$A=$A160),CONCATENATE(AJ$2,""*"")),"""")"),"")</f>
        <v/>
      </c>
      <c r="AK160" s="23" t="str">
        <f>IFERROR(__xludf.DUMMYFUNCTION("if(countif(filter(Status!$C:$C,Status!$A:$A=$A160),CONCATENATE(AK$2,""*""))&gt;0,countif(filter(Status!$C:$C,Status!$A:$A=$A160),CONCATENATE(AK$2,""*"")),"""")"),"")</f>
        <v/>
      </c>
      <c r="AL160" s="23" t="str">
        <f>IFERROR(__xludf.DUMMYFUNCTION("if(countif(filter(Status!$C:$C,Status!$A:$A=$A160),CONCATENATE(AL$2,""*""))&gt;0,countif(filter(Status!$C:$C,Status!$A:$A=$A160),CONCATENATE(AL$2,""*"")),"""")"),"")</f>
        <v/>
      </c>
      <c r="AM160" s="23" t="str">
        <f>IFERROR(__xludf.DUMMYFUNCTION("if(countif(filter(Status!$C:$C,Status!$A:$A=$A160),CONCATENATE(AM$2,""*""))&gt;0,countif(filter(Status!$C:$C,Status!$A:$A=$A160),CONCATENATE(AM$2,""*"")),"""")"),"")</f>
        <v/>
      </c>
      <c r="AN160" s="23" t="str">
        <f>IFERROR(__xludf.DUMMYFUNCTION("if(countif(filter(Status!$C:$C,Status!$A:$A=$A160),CONCATENATE(AN$2,""*""))&gt;0,countif(filter(Status!$C:$C,Status!$A:$A=$A160),CONCATENATE(AN$2,""*"")),"""")"),"")</f>
        <v/>
      </c>
      <c r="AO160" s="23" t="str">
        <f>IFERROR(__xludf.DUMMYFUNCTION("if(countif(filter(Status!$C:$C,Status!$A:$A=$A160),CONCATENATE(AO$2,""*""))&gt;0,countif(filter(Status!$C:$C,Status!$A:$A=$A160),CONCATENATE(AO$2,""*"")),"""")"),"")</f>
        <v/>
      </c>
      <c r="AP160" s="23">
        <f>IFERROR(__xludf.DUMMYFUNCTION("counta(iferror(filter(Status!C:C,Status!A:A=A160)))"),0.0)</f>
        <v>0</v>
      </c>
      <c r="AQ160" s="23">
        <f t="shared" si="6"/>
        <v>0</v>
      </c>
    </row>
    <row r="161">
      <c r="A161" s="1" t="s">
        <v>1191</v>
      </c>
      <c r="B161" s="25" t="str">
        <f>IFERROR(__xludf.DUMMYFUNCTION("max(filter(Status!E:E,Status!A:A=A161))"),"#N/A")</f>
        <v>#N/A</v>
      </c>
      <c r="C161" s="23" t="str">
        <f t="shared" si="1"/>
        <v/>
      </c>
      <c r="D161" s="23" t="str">
        <f t="shared" si="2"/>
        <v/>
      </c>
      <c r="E161" s="23" t="str">
        <f t="shared" si="3"/>
        <v/>
      </c>
      <c r="F161" s="23" t="str">
        <f t="shared" si="4"/>
        <v/>
      </c>
      <c r="G161" s="25" t="str">
        <f t="shared" si="5"/>
        <v/>
      </c>
      <c r="J161" s="23">
        <f>IFERROR(__xludf.DUMMYFUNCTION("COUNTA(iferror(filter(Status!H:H,Status!A:A=A161)))"),0.0)</f>
        <v>0</v>
      </c>
      <c r="K161" s="25">
        <f>IFERROR(__xludf.DUMMYFUNCTION("COUNTA(iferror(filter(Status!H:H,Status!A:A=A161,Status!H:H=TRUE)))"),0.0)</f>
        <v>0</v>
      </c>
      <c r="L161" s="23">
        <f>IFERROR(__xludf.DUMMYFUNCTION("COUNTA(iferror(filter(Status!L:L,Status!A:A=A161)))"),0.0)</f>
        <v>0</v>
      </c>
      <c r="M161" s="25">
        <f>IFERROR(__xludf.DUMMYFUNCTION("COUNTA(iferror(filter(Status!L:L,Status!A:A=A161,Status!L:L=TRUE)))"),0.0)</f>
        <v>0</v>
      </c>
      <c r="N161" s="23">
        <f>IFERROR(__xludf.DUMMYFUNCTION("COUNTA(iferror(filter(Status!N:N,Status!A:A=A161,Status!N:N=TRUE)))"),0.0)</f>
        <v>0</v>
      </c>
      <c r="O161" s="25">
        <f>IFERROR(__xludf.DUMMYFUNCTION("COUNTA(iferror(filter(Status!N:N,Status!A:A=A161,Status!N:N=TRUE)))"),0.0)</f>
        <v>0</v>
      </c>
      <c r="P161" s="23">
        <f>IFERROR(__xludf.DUMMYFUNCTION("COUNTA(iferror(filter(Status!P:P,Status!A:A=A161)))"),0.0)</f>
        <v>0</v>
      </c>
      <c r="Q161" s="25">
        <f>IFERROR(__xludf.DUMMYFUNCTION("COUNTA(iferror(filter(Status!P:P,Status!A:A=A161,Status!P:P=TRUE)))"),0.0)</f>
        <v>0</v>
      </c>
      <c r="R161" s="23">
        <f>IFERROR(__xludf.DUMMYFUNCTION("COUNTA(iferror(filter(Status!R:R,Status!A:A=A161)))"),0.0)</f>
        <v>0</v>
      </c>
      <c r="S161" s="25">
        <f>IFERROR(__xludf.DUMMYFUNCTION("COUNTA(iferror(filter(Status!R:R,Status!A:A=A161,Status!R:R=TRUE)))"),0.0)</f>
        <v>0</v>
      </c>
      <c r="V161" s="23" t="str">
        <f>IFERROR(__xludf.DUMMYFUNCTION("if((countif(filter(Status!$C:$C,Status!$A:$A=$A161),CONCATENATE(V$2,""*""))-W161)&gt;0,(countif(filter(Status!$C:$C,Status!$A:$A=$A161),CONCATENATE(V$2,""*""))-W161),"""")"),"")</f>
        <v/>
      </c>
      <c r="W161" s="23" t="str">
        <f>IFERROR(__xludf.DUMMYFUNCTION("if(countif(filter(Status!$C:$C,Status!$A:$A=$A161),CONCATENATE(W$2,""*""))&gt;0,countif(filter(Status!$C:$C,Status!$A:$A=$A161),CONCATENATE(W$2,""*"")),"""")"),"")</f>
        <v/>
      </c>
      <c r="X161" s="23" t="str">
        <f>IFERROR(__xludf.DUMMYFUNCTION("if(countif(filter(Status!$C:$C,Status!$A:$A=$A161),CONCATENATE(X$2,""*""))&gt;0,countif(filter(Status!$C:$C,Status!$A:$A=$A161),CONCATENATE(X$2,""*"")),"""")"),"")</f>
        <v/>
      </c>
      <c r="Y161" s="23" t="str">
        <f>IFERROR(__xludf.DUMMYFUNCTION("if(countif(filter(Status!$C:$C,Status!$A:$A=$A161),CONCATENATE(Y$2,""*""))&gt;0,countif(filter(Status!$C:$C,Status!$A:$A=$A161),CONCATENATE(Y$2,""*"")),"""")"),"")</f>
        <v/>
      </c>
      <c r="Z161" s="23" t="str">
        <f>IFERROR(__xludf.DUMMYFUNCTION("if(countif(filter(Status!$C:$C,Status!$A:$A=$A161),CONCATENATE(Z$2,""*""))&gt;0,countif(filter(Status!$C:$C,Status!$A:$A=$A161),CONCATENATE(Z$2,""*"")),"""")"),"")</f>
        <v/>
      </c>
      <c r="AA161" s="23" t="str">
        <f>IFERROR(__xludf.DUMMYFUNCTION("if((countif(filter(Status!$C:$C,Status!$A:$A=$A161),CONCATENATE(AA$2,""*""))-AB161)&gt;0,(countif(filter(Status!$C:$C,Status!$A:$A=$A161),CONCATENATE(AA$2,""*""))-AB161),"""")"),"")</f>
        <v/>
      </c>
      <c r="AB161" s="23" t="str">
        <f>IFERROR(__xludf.DUMMYFUNCTION("if(countif(filter(Status!$C:$C,Status!$A:$A=$A161),CONCATENATE(AB$2,""*""))&gt;0,countif(filter(Status!$C:$C,Status!$A:$A=$A161),CONCATENATE(AB$2,""*"")),"""")"),"")</f>
        <v/>
      </c>
      <c r="AC161" s="23" t="str">
        <f>IFERROR(__xludf.DUMMYFUNCTION("if(countif(filter(Status!$C:$C,Status!$A:$A=$A161),CONCATENATE(AC$2,""*""))&gt;0,countif(filter(Status!$C:$C,Status!$A:$A=$A161),CONCATENATE(AC$2,""*"")),"""")"),"")</f>
        <v/>
      </c>
      <c r="AD161" s="23" t="str">
        <f>IFERROR(__xludf.DUMMYFUNCTION("if(countif(filter(Status!$C:$C,Status!$A:$A=$A161),CONCATENATE(AD$2,""*""))&gt;0,countif(filter(Status!$C:$C,Status!$A:$A=$A161),CONCATENATE(AD$2,""*"")),"""")"),"")</f>
        <v/>
      </c>
      <c r="AE161" s="23" t="str">
        <f>IFERROR(__xludf.DUMMYFUNCTION("if(countif(filter(Status!$C:$C,Status!$A:$A=$A161),CONCATENATE(AE$2,""*""))&gt;0,countif(filter(Status!$C:$C,Status!$A:$A=$A161),CONCATENATE(AE$2,""*"")),"""")"),"")</f>
        <v/>
      </c>
      <c r="AF161" s="23" t="str">
        <f>IFERROR(__xludf.DUMMYFUNCTION("if(countif(filter(Status!$C:$C,Status!$A:$A=$A161),CONCATENATE(AF$2,""*""))&gt;0,countif(filter(Status!$C:$C,Status!$A:$A=$A161),CONCATENATE(AF$2,""*"")),"""")"),"")</f>
        <v/>
      </c>
      <c r="AG161" s="23" t="str">
        <f>IFERROR(__xludf.DUMMYFUNCTION("if(countif(filter(Status!$C:$C,Status!$A:$A=$A161),CONCATENATE(AG$2,""*""))&gt;0,countif(filter(Status!$C:$C,Status!$A:$A=$A161),CONCATENATE(AG$2,""*"")),"""")"),"")</f>
        <v/>
      </c>
      <c r="AH161" s="23" t="str">
        <f>IFERROR(__xludf.DUMMYFUNCTION("if(countif(filter(Status!$C:$C,Status!$A:$A=$A161),CONCATENATE(AH$2,""*""))&gt;0,countif(filter(Status!$C:$C,Status!$A:$A=$A161),CONCATENATE(AH$2,""*"")),"""")"),"")</f>
        <v/>
      </c>
      <c r="AI161" s="23" t="str">
        <f>IFERROR(__xludf.DUMMYFUNCTION("if(countif(filter(Status!$C:$C,Status!$A:$A=$A161),CONCATENATE(AI$2,""*""))&gt;0,countif(filter(Status!$C:$C,Status!$A:$A=$A161),CONCATENATE(AI$2,""*"")),"""")"),"")</f>
        <v/>
      </c>
      <c r="AJ161" s="23" t="str">
        <f>IFERROR(__xludf.DUMMYFUNCTION("if(countif(filter(Status!$C:$C,Status!$A:$A=$A161),CONCATENATE(AJ$2,""*""))&gt;0,countif(filter(Status!$C:$C,Status!$A:$A=$A161),CONCATENATE(AJ$2,""*"")),"""")"),"")</f>
        <v/>
      </c>
      <c r="AK161" s="23" t="str">
        <f>IFERROR(__xludf.DUMMYFUNCTION("if(countif(filter(Status!$C:$C,Status!$A:$A=$A161),CONCATENATE(AK$2,""*""))&gt;0,countif(filter(Status!$C:$C,Status!$A:$A=$A161),CONCATENATE(AK$2,""*"")),"""")"),"")</f>
        <v/>
      </c>
      <c r="AL161" s="23" t="str">
        <f>IFERROR(__xludf.DUMMYFUNCTION("if(countif(filter(Status!$C:$C,Status!$A:$A=$A161),CONCATENATE(AL$2,""*""))&gt;0,countif(filter(Status!$C:$C,Status!$A:$A=$A161),CONCATENATE(AL$2,""*"")),"""")"),"")</f>
        <v/>
      </c>
      <c r="AM161" s="23" t="str">
        <f>IFERROR(__xludf.DUMMYFUNCTION("if(countif(filter(Status!$C:$C,Status!$A:$A=$A161),CONCATENATE(AM$2,""*""))&gt;0,countif(filter(Status!$C:$C,Status!$A:$A=$A161),CONCATENATE(AM$2,""*"")),"""")"),"")</f>
        <v/>
      </c>
      <c r="AN161" s="23" t="str">
        <f>IFERROR(__xludf.DUMMYFUNCTION("if(countif(filter(Status!$C:$C,Status!$A:$A=$A161),CONCATENATE(AN$2,""*""))&gt;0,countif(filter(Status!$C:$C,Status!$A:$A=$A161),CONCATENATE(AN$2,""*"")),"""")"),"")</f>
        <v/>
      </c>
      <c r="AO161" s="23" t="str">
        <f>IFERROR(__xludf.DUMMYFUNCTION("if(countif(filter(Status!$C:$C,Status!$A:$A=$A161),CONCATENATE(AO$2,""*""))&gt;0,countif(filter(Status!$C:$C,Status!$A:$A=$A161),CONCATENATE(AO$2,""*"")),"""")"),"")</f>
        <v/>
      </c>
      <c r="AP161" s="23">
        <f>IFERROR(__xludf.DUMMYFUNCTION("counta(iferror(filter(Status!C:C,Status!A:A=A161)))"),0.0)</f>
        <v>0</v>
      </c>
      <c r="AQ161" s="23">
        <f t="shared" si="6"/>
        <v>0</v>
      </c>
    </row>
    <row r="162">
      <c r="A162" s="1" t="s">
        <v>1194</v>
      </c>
      <c r="B162" s="25" t="str">
        <f>IFERROR(__xludf.DUMMYFUNCTION("max(filter(Status!E:E,Status!A:A=A162))"),"#N/A")</f>
        <v>#N/A</v>
      </c>
      <c r="C162" s="23" t="str">
        <f t="shared" si="1"/>
        <v/>
      </c>
      <c r="D162" s="23" t="str">
        <f t="shared" si="2"/>
        <v/>
      </c>
      <c r="E162" s="23" t="str">
        <f t="shared" si="3"/>
        <v/>
      </c>
      <c r="F162" s="23" t="str">
        <f t="shared" si="4"/>
        <v/>
      </c>
      <c r="G162" s="25" t="str">
        <f t="shared" si="5"/>
        <v/>
      </c>
      <c r="J162" s="23">
        <f>IFERROR(__xludf.DUMMYFUNCTION("COUNTA(iferror(filter(Status!H:H,Status!A:A=A162)))"),0.0)</f>
        <v>0</v>
      </c>
      <c r="K162" s="25">
        <f>IFERROR(__xludf.DUMMYFUNCTION("COUNTA(iferror(filter(Status!H:H,Status!A:A=A162,Status!H:H=TRUE)))"),0.0)</f>
        <v>0</v>
      </c>
      <c r="L162" s="23">
        <f>IFERROR(__xludf.DUMMYFUNCTION("COUNTA(iferror(filter(Status!L:L,Status!A:A=A162)))"),0.0)</f>
        <v>0</v>
      </c>
      <c r="M162" s="25">
        <f>IFERROR(__xludf.DUMMYFUNCTION("COUNTA(iferror(filter(Status!L:L,Status!A:A=A162,Status!L:L=TRUE)))"),0.0)</f>
        <v>0</v>
      </c>
      <c r="N162" s="23">
        <f>IFERROR(__xludf.DUMMYFUNCTION("COUNTA(iferror(filter(Status!N:N,Status!A:A=A162,Status!N:N=TRUE)))"),0.0)</f>
        <v>0</v>
      </c>
      <c r="O162" s="25">
        <f>IFERROR(__xludf.DUMMYFUNCTION("COUNTA(iferror(filter(Status!N:N,Status!A:A=A162,Status!N:N=TRUE)))"),0.0)</f>
        <v>0</v>
      </c>
      <c r="P162" s="23">
        <f>IFERROR(__xludf.DUMMYFUNCTION("COUNTA(iferror(filter(Status!P:P,Status!A:A=A162)))"),0.0)</f>
        <v>0</v>
      </c>
      <c r="Q162" s="25">
        <f>IFERROR(__xludf.DUMMYFUNCTION("COUNTA(iferror(filter(Status!P:P,Status!A:A=A162,Status!P:P=TRUE)))"),0.0)</f>
        <v>0</v>
      </c>
      <c r="R162" s="23">
        <f>IFERROR(__xludf.DUMMYFUNCTION("COUNTA(iferror(filter(Status!R:R,Status!A:A=A162)))"),0.0)</f>
        <v>0</v>
      </c>
      <c r="S162" s="25">
        <f>IFERROR(__xludf.DUMMYFUNCTION("COUNTA(iferror(filter(Status!R:R,Status!A:A=A162,Status!R:R=TRUE)))"),0.0)</f>
        <v>0</v>
      </c>
      <c r="V162" s="23" t="str">
        <f>IFERROR(__xludf.DUMMYFUNCTION("if((countif(filter(Status!$C:$C,Status!$A:$A=$A162),CONCATENATE(V$2,""*""))-W162)&gt;0,(countif(filter(Status!$C:$C,Status!$A:$A=$A162),CONCATENATE(V$2,""*""))-W162),"""")"),"")</f>
        <v/>
      </c>
      <c r="W162" s="23" t="str">
        <f>IFERROR(__xludf.DUMMYFUNCTION("if(countif(filter(Status!$C:$C,Status!$A:$A=$A162),CONCATENATE(W$2,""*""))&gt;0,countif(filter(Status!$C:$C,Status!$A:$A=$A162),CONCATENATE(W$2,""*"")),"""")"),"")</f>
        <v/>
      </c>
      <c r="X162" s="23" t="str">
        <f>IFERROR(__xludf.DUMMYFUNCTION("if(countif(filter(Status!$C:$C,Status!$A:$A=$A162),CONCATENATE(X$2,""*""))&gt;0,countif(filter(Status!$C:$C,Status!$A:$A=$A162),CONCATENATE(X$2,""*"")),"""")"),"")</f>
        <v/>
      </c>
      <c r="Y162" s="23" t="str">
        <f>IFERROR(__xludf.DUMMYFUNCTION("if(countif(filter(Status!$C:$C,Status!$A:$A=$A162),CONCATENATE(Y$2,""*""))&gt;0,countif(filter(Status!$C:$C,Status!$A:$A=$A162),CONCATENATE(Y$2,""*"")),"""")"),"")</f>
        <v/>
      </c>
      <c r="Z162" s="23" t="str">
        <f>IFERROR(__xludf.DUMMYFUNCTION("if(countif(filter(Status!$C:$C,Status!$A:$A=$A162),CONCATENATE(Z$2,""*""))&gt;0,countif(filter(Status!$C:$C,Status!$A:$A=$A162),CONCATENATE(Z$2,""*"")),"""")"),"")</f>
        <v/>
      </c>
      <c r="AA162" s="23" t="str">
        <f>IFERROR(__xludf.DUMMYFUNCTION("if((countif(filter(Status!$C:$C,Status!$A:$A=$A162),CONCATENATE(AA$2,""*""))-AB162)&gt;0,(countif(filter(Status!$C:$C,Status!$A:$A=$A162),CONCATENATE(AA$2,""*""))-AB162),"""")"),"")</f>
        <v/>
      </c>
      <c r="AB162" s="23" t="str">
        <f>IFERROR(__xludf.DUMMYFUNCTION("if(countif(filter(Status!$C:$C,Status!$A:$A=$A162),CONCATENATE(AB$2,""*""))&gt;0,countif(filter(Status!$C:$C,Status!$A:$A=$A162),CONCATENATE(AB$2,""*"")),"""")"),"")</f>
        <v/>
      </c>
      <c r="AC162" s="23" t="str">
        <f>IFERROR(__xludf.DUMMYFUNCTION("if(countif(filter(Status!$C:$C,Status!$A:$A=$A162),CONCATENATE(AC$2,""*""))&gt;0,countif(filter(Status!$C:$C,Status!$A:$A=$A162),CONCATENATE(AC$2,""*"")),"""")"),"")</f>
        <v/>
      </c>
      <c r="AD162" s="23" t="str">
        <f>IFERROR(__xludf.DUMMYFUNCTION("if(countif(filter(Status!$C:$C,Status!$A:$A=$A162),CONCATENATE(AD$2,""*""))&gt;0,countif(filter(Status!$C:$C,Status!$A:$A=$A162),CONCATENATE(AD$2,""*"")),"""")"),"")</f>
        <v/>
      </c>
      <c r="AE162" s="23" t="str">
        <f>IFERROR(__xludf.DUMMYFUNCTION("if(countif(filter(Status!$C:$C,Status!$A:$A=$A162),CONCATENATE(AE$2,""*""))&gt;0,countif(filter(Status!$C:$C,Status!$A:$A=$A162),CONCATENATE(AE$2,""*"")),"""")"),"")</f>
        <v/>
      </c>
      <c r="AF162" s="23" t="str">
        <f>IFERROR(__xludf.DUMMYFUNCTION("if(countif(filter(Status!$C:$C,Status!$A:$A=$A162),CONCATENATE(AF$2,""*""))&gt;0,countif(filter(Status!$C:$C,Status!$A:$A=$A162),CONCATENATE(AF$2,""*"")),"""")"),"")</f>
        <v/>
      </c>
      <c r="AG162" s="23" t="str">
        <f>IFERROR(__xludf.DUMMYFUNCTION("if(countif(filter(Status!$C:$C,Status!$A:$A=$A162),CONCATENATE(AG$2,""*""))&gt;0,countif(filter(Status!$C:$C,Status!$A:$A=$A162),CONCATENATE(AG$2,""*"")),"""")"),"")</f>
        <v/>
      </c>
      <c r="AH162" s="23" t="str">
        <f>IFERROR(__xludf.DUMMYFUNCTION("if(countif(filter(Status!$C:$C,Status!$A:$A=$A162),CONCATENATE(AH$2,""*""))&gt;0,countif(filter(Status!$C:$C,Status!$A:$A=$A162),CONCATENATE(AH$2,""*"")),"""")"),"")</f>
        <v/>
      </c>
      <c r="AI162" s="23" t="str">
        <f>IFERROR(__xludf.DUMMYFUNCTION("if(countif(filter(Status!$C:$C,Status!$A:$A=$A162),CONCATENATE(AI$2,""*""))&gt;0,countif(filter(Status!$C:$C,Status!$A:$A=$A162),CONCATENATE(AI$2,""*"")),"""")"),"")</f>
        <v/>
      </c>
      <c r="AJ162" s="23" t="str">
        <f>IFERROR(__xludf.DUMMYFUNCTION("if(countif(filter(Status!$C:$C,Status!$A:$A=$A162),CONCATENATE(AJ$2,""*""))&gt;0,countif(filter(Status!$C:$C,Status!$A:$A=$A162),CONCATENATE(AJ$2,""*"")),"""")"),"")</f>
        <v/>
      </c>
      <c r="AK162" s="23" t="str">
        <f>IFERROR(__xludf.DUMMYFUNCTION("if(countif(filter(Status!$C:$C,Status!$A:$A=$A162),CONCATENATE(AK$2,""*""))&gt;0,countif(filter(Status!$C:$C,Status!$A:$A=$A162),CONCATENATE(AK$2,""*"")),"""")"),"")</f>
        <v/>
      </c>
      <c r="AL162" s="23" t="str">
        <f>IFERROR(__xludf.DUMMYFUNCTION("if(countif(filter(Status!$C:$C,Status!$A:$A=$A162),CONCATENATE(AL$2,""*""))&gt;0,countif(filter(Status!$C:$C,Status!$A:$A=$A162),CONCATENATE(AL$2,""*"")),"""")"),"")</f>
        <v/>
      </c>
      <c r="AM162" s="23" t="str">
        <f>IFERROR(__xludf.DUMMYFUNCTION("if(countif(filter(Status!$C:$C,Status!$A:$A=$A162),CONCATENATE(AM$2,""*""))&gt;0,countif(filter(Status!$C:$C,Status!$A:$A=$A162),CONCATENATE(AM$2,""*"")),"""")"),"")</f>
        <v/>
      </c>
      <c r="AN162" s="23" t="str">
        <f>IFERROR(__xludf.DUMMYFUNCTION("if(countif(filter(Status!$C:$C,Status!$A:$A=$A162),CONCATENATE(AN$2,""*""))&gt;0,countif(filter(Status!$C:$C,Status!$A:$A=$A162),CONCATENATE(AN$2,""*"")),"""")"),"")</f>
        <v/>
      </c>
      <c r="AO162" s="23" t="str">
        <f>IFERROR(__xludf.DUMMYFUNCTION("if(countif(filter(Status!$C:$C,Status!$A:$A=$A162),CONCATENATE(AO$2,""*""))&gt;0,countif(filter(Status!$C:$C,Status!$A:$A=$A162),CONCATENATE(AO$2,""*"")),"""")"),"")</f>
        <v/>
      </c>
      <c r="AP162" s="23">
        <f>IFERROR(__xludf.DUMMYFUNCTION("counta(iferror(filter(Status!C:C,Status!A:A=A162)))"),0.0)</f>
        <v>0</v>
      </c>
      <c r="AQ162" s="23">
        <f t="shared" si="6"/>
        <v>0</v>
      </c>
    </row>
    <row r="163">
      <c r="A163" s="1" t="s">
        <v>1197</v>
      </c>
      <c r="B163" s="25" t="str">
        <f>IFERROR(__xludf.DUMMYFUNCTION("max(filter(Status!E:E,Status!A:A=A163))"),"#N/A")</f>
        <v>#N/A</v>
      </c>
      <c r="C163" s="23" t="str">
        <f t="shared" si="1"/>
        <v/>
      </c>
      <c r="D163" s="23" t="str">
        <f t="shared" si="2"/>
        <v/>
      </c>
      <c r="E163" s="23" t="str">
        <f t="shared" si="3"/>
        <v/>
      </c>
      <c r="F163" s="23" t="str">
        <f t="shared" si="4"/>
        <v/>
      </c>
      <c r="G163" s="25" t="str">
        <f t="shared" si="5"/>
        <v/>
      </c>
      <c r="J163" s="23">
        <f>IFERROR(__xludf.DUMMYFUNCTION("COUNTA(iferror(filter(Status!H:H,Status!A:A=A163)))"),0.0)</f>
        <v>0</v>
      </c>
      <c r="K163" s="25">
        <f>IFERROR(__xludf.DUMMYFUNCTION("COUNTA(iferror(filter(Status!H:H,Status!A:A=A163,Status!H:H=TRUE)))"),0.0)</f>
        <v>0</v>
      </c>
      <c r="L163" s="23">
        <f>IFERROR(__xludf.DUMMYFUNCTION("COUNTA(iferror(filter(Status!L:L,Status!A:A=A163)))"),0.0)</f>
        <v>0</v>
      </c>
      <c r="M163" s="25">
        <f>IFERROR(__xludf.DUMMYFUNCTION("COUNTA(iferror(filter(Status!L:L,Status!A:A=A163,Status!L:L=TRUE)))"),0.0)</f>
        <v>0</v>
      </c>
      <c r="N163" s="23">
        <f>IFERROR(__xludf.DUMMYFUNCTION("COUNTA(iferror(filter(Status!N:N,Status!A:A=A163,Status!N:N=TRUE)))"),0.0)</f>
        <v>0</v>
      </c>
      <c r="O163" s="25">
        <f>IFERROR(__xludf.DUMMYFUNCTION("COUNTA(iferror(filter(Status!N:N,Status!A:A=A163,Status!N:N=TRUE)))"),0.0)</f>
        <v>0</v>
      </c>
      <c r="P163" s="23">
        <f>IFERROR(__xludf.DUMMYFUNCTION("COUNTA(iferror(filter(Status!P:P,Status!A:A=A163)))"),0.0)</f>
        <v>0</v>
      </c>
      <c r="Q163" s="25">
        <f>IFERROR(__xludf.DUMMYFUNCTION("COUNTA(iferror(filter(Status!P:P,Status!A:A=A163,Status!P:P=TRUE)))"),0.0)</f>
        <v>0</v>
      </c>
      <c r="R163" s="23">
        <f>IFERROR(__xludf.DUMMYFUNCTION("COUNTA(iferror(filter(Status!R:R,Status!A:A=A163)))"),0.0)</f>
        <v>0</v>
      </c>
      <c r="S163" s="25">
        <f>IFERROR(__xludf.DUMMYFUNCTION("COUNTA(iferror(filter(Status!R:R,Status!A:A=A163,Status!R:R=TRUE)))"),0.0)</f>
        <v>0</v>
      </c>
      <c r="V163" s="23" t="str">
        <f>IFERROR(__xludf.DUMMYFUNCTION("if((countif(filter(Status!$C:$C,Status!$A:$A=$A163),CONCATENATE(V$2,""*""))-W163)&gt;0,(countif(filter(Status!$C:$C,Status!$A:$A=$A163),CONCATENATE(V$2,""*""))-W163),"""")"),"")</f>
        <v/>
      </c>
      <c r="W163" s="23" t="str">
        <f>IFERROR(__xludf.DUMMYFUNCTION("if(countif(filter(Status!$C:$C,Status!$A:$A=$A163),CONCATENATE(W$2,""*""))&gt;0,countif(filter(Status!$C:$C,Status!$A:$A=$A163),CONCATENATE(W$2,""*"")),"""")"),"")</f>
        <v/>
      </c>
      <c r="X163" s="23" t="str">
        <f>IFERROR(__xludf.DUMMYFUNCTION("if(countif(filter(Status!$C:$C,Status!$A:$A=$A163),CONCATENATE(X$2,""*""))&gt;0,countif(filter(Status!$C:$C,Status!$A:$A=$A163),CONCATENATE(X$2,""*"")),"""")"),"")</f>
        <v/>
      </c>
      <c r="Y163" s="23" t="str">
        <f>IFERROR(__xludf.DUMMYFUNCTION("if(countif(filter(Status!$C:$C,Status!$A:$A=$A163),CONCATENATE(Y$2,""*""))&gt;0,countif(filter(Status!$C:$C,Status!$A:$A=$A163),CONCATENATE(Y$2,""*"")),"""")"),"")</f>
        <v/>
      </c>
      <c r="Z163" s="23" t="str">
        <f>IFERROR(__xludf.DUMMYFUNCTION("if(countif(filter(Status!$C:$C,Status!$A:$A=$A163),CONCATENATE(Z$2,""*""))&gt;0,countif(filter(Status!$C:$C,Status!$A:$A=$A163),CONCATENATE(Z$2,""*"")),"""")"),"")</f>
        <v/>
      </c>
      <c r="AA163" s="23" t="str">
        <f>IFERROR(__xludf.DUMMYFUNCTION("if((countif(filter(Status!$C:$C,Status!$A:$A=$A163),CONCATENATE(AA$2,""*""))-AB163)&gt;0,(countif(filter(Status!$C:$C,Status!$A:$A=$A163),CONCATENATE(AA$2,""*""))-AB163),"""")"),"")</f>
        <v/>
      </c>
      <c r="AB163" s="23" t="str">
        <f>IFERROR(__xludf.DUMMYFUNCTION("if(countif(filter(Status!$C:$C,Status!$A:$A=$A163),CONCATENATE(AB$2,""*""))&gt;0,countif(filter(Status!$C:$C,Status!$A:$A=$A163),CONCATENATE(AB$2,""*"")),"""")"),"")</f>
        <v/>
      </c>
      <c r="AC163" s="23" t="str">
        <f>IFERROR(__xludf.DUMMYFUNCTION("if(countif(filter(Status!$C:$C,Status!$A:$A=$A163),CONCATENATE(AC$2,""*""))&gt;0,countif(filter(Status!$C:$C,Status!$A:$A=$A163),CONCATENATE(AC$2,""*"")),"""")"),"")</f>
        <v/>
      </c>
      <c r="AD163" s="23" t="str">
        <f>IFERROR(__xludf.DUMMYFUNCTION("if(countif(filter(Status!$C:$C,Status!$A:$A=$A163),CONCATENATE(AD$2,""*""))&gt;0,countif(filter(Status!$C:$C,Status!$A:$A=$A163),CONCATENATE(AD$2,""*"")),"""")"),"")</f>
        <v/>
      </c>
      <c r="AE163" s="23" t="str">
        <f>IFERROR(__xludf.DUMMYFUNCTION("if(countif(filter(Status!$C:$C,Status!$A:$A=$A163),CONCATENATE(AE$2,""*""))&gt;0,countif(filter(Status!$C:$C,Status!$A:$A=$A163),CONCATENATE(AE$2,""*"")),"""")"),"")</f>
        <v/>
      </c>
      <c r="AF163" s="23" t="str">
        <f>IFERROR(__xludf.DUMMYFUNCTION("if(countif(filter(Status!$C:$C,Status!$A:$A=$A163),CONCATENATE(AF$2,""*""))&gt;0,countif(filter(Status!$C:$C,Status!$A:$A=$A163),CONCATENATE(AF$2,""*"")),"""")"),"")</f>
        <v/>
      </c>
      <c r="AG163" s="23" t="str">
        <f>IFERROR(__xludf.DUMMYFUNCTION("if(countif(filter(Status!$C:$C,Status!$A:$A=$A163),CONCATENATE(AG$2,""*""))&gt;0,countif(filter(Status!$C:$C,Status!$A:$A=$A163),CONCATENATE(AG$2,""*"")),"""")"),"")</f>
        <v/>
      </c>
      <c r="AH163" s="23" t="str">
        <f>IFERROR(__xludf.DUMMYFUNCTION("if(countif(filter(Status!$C:$C,Status!$A:$A=$A163),CONCATENATE(AH$2,""*""))&gt;0,countif(filter(Status!$C:$C,Status!$A:$A=$A163),CONCATENATE(AH$2,""*"")),"""")"),"")</f>
        <v/>
      </c>
      <c r="AI163" s="23" t="str">
        <f>IFERROR(__xludf.DUMMYFUNCTION("if(countif(filter(Status!$C:$C,Status!$A:$A=$A163),CONCATENATE(AI$2,""*""))&gt;0,countif(filter(Status!$C:$C,Status!$A:$A=$A163),CONCATENATE(AI$2,""*"")),"""")"),"")</f>
        <v/>
      </c>
      <c r="AJ163" s="23" t="str">
        <f>IFERROR(__xludf.DUMMYFUNCTION("if(countif(filter(Status!$C:$C,Status!$A:$A=$A163),CONCATENATE(AJ$2,""*""))&gt;0,countif(filter(Status!$C:$C,Status!$A:$A=$A163),CONCATENATE(AJ$2,""*"")),"""")"),"")</f>
        <v/>
      </c>
      <c r="AK163" s="23" t="str">
        <f>IFERROR(__xludf.DUMMYFUNCTION("if(countif(filter(Status!$C:$C,Status!$A:$A=$A163),CONCATENATE(AK$2,""*""))&gt;0,countif(filter(Status!$C:$C,Status!$A:$A=$A163),CONCATENATE(AK$2,""*"")),"""")"),"")</f>
        <v/>
      </c>
      <c r="AL163" s="23" t="str">
        <f>IFERROR(__xludf.DUMMYFUNCTION("if(countif(filter(Status!$C:$C,Status!$A:$A=$A163),CONCATENATE(AL$2,""*""))&gt;0,countif(filter(Status!$C:$C,Status!$A:$A=$A163),CONCATENATE(AL$2,""*"")),"""")"),"")</f>
        <v/>
      </c>
      <c r="AM163" s="23" t="str">
        <f>IFERROR(__xludf.DUMMYFUNCTION("if(countif(filter(Status!$C:$C,Status!$A:$A=$A163),CONCATENATE(AM$2,""*""))&gt;0,countif(filter(Status!$C:$C,Status!$A:$A=$A163),CONCATENATE(AM$2,""*"")),"""")"),"")</f>
        <v/>
      </c>
      <c r="AN163" s="23" t="str">
        <f>IFERROR(__xludf.DUMMYFUNCTION("if(countif(filter(Status!$C:$C,Status!$A:$A=$A163),CONCATENATE(AN$2,""*""))&gt;0,countif(filter(Status!$C:$C,Status!$A:$A=$A163),CONCATENATE(AN$2,""*"")),"""")"),"")</f>
        <v/>
      </c>
      <c r="AO163" s="23" t="str">
        <f>IFERROR(__xludf.DUMMYFUNCTION("if(countif(filter(Status!$C:$C,Status!$A:$A=$A163),CONCATENATE(AO$2,""*""))&gt;0,countif(filter(Status!$C:$C,Status!$A:$A=$A163),CONCATENATE(AO$2,""*"")),"""")"),"")</f>
        <v/>
      </c>
      <c r="AP163" s="23">
        <f>IFERROR(__xludf.DUMMYFUNCTION("counta(iferror(filter(Status!C:C,Status!A:A=A163)))"),0.0)</f>
        <v>0</v>
      </c>
      <c r="AQ163" s="23">
        <f t="shared" si="6"/>
        <v>0</v>
      </c>
    </row>
    <row r="164">
      <c r="A164" s="1" t="s">
        <v>1201</v>
      </c>
      <c r="B164" s="25" t="str">
        <f>IFERROR(__xludf.DUMMYFUNCTION("max(filter(Status!E:E,Status!A:A=A164))"),"#N/A")</f>
        <v>#N/A</v>
      </c>
      <c r="C164" s="23" t="str">
        <f t="shared" si="1"/>
        <v/>
      </c>
      <c r="D164" s="23" t="str">
        <f t="shared" si="2"/>
        <v/>
      </c>
      <c r="E164" s="23" t="str">
        <f t="shared" si="3"/>
        <v/>
      </c>
      <c r="F164" s="23" t="str">
        <f t="shared" si="4"/>
        <v/>
      </c>
      <c r="G164" s="25" t="str">
        <f t="shared" si="5"/>
        <v/>
      </c>
      <c r="J164" s="23">
        <f>IFERROR(__xludf.DUMMYFUNCTION("COUNTA(iferror(filter(Status!H:H,Status!A:A=A164)))"),0.0)</f>
        <v>0</v>
      </c>
      <c r="K164" s="25">
        <f>IFERROR(__xludf.DUMMYFUNCTION("COUNTA(iferror(filter(Status!H:H,Status!A:A=A164,Status!H:H=TRUE)))"),0.0)</f>
        <v>0</v>
      </c>
      <c r="L164" s="23">
        <f>IFERROR(__xludf.DUMMYFUNCTION("COUNTA(iferror(filter(Status!L:L,Status!A:A=A164)))"),0.0)</f>
        <v>0</v>
      </c>
      <c r="M164" s="25">
        <f>IFERROR(__xludf.DUMMYFUNCTION("COUNTA(iferror(filter(Status!L:L,Status!A:A=A164,Status!L:L=TRUE)))"),0.0)</f>
        <v>0</v>
      </c>
      <c r="N164" s="23">
        <f>IFERROR(__xludf.DUMMYFUNCTION("COUNTA(iferror(filter(Status!N:N,Status!A:A=A164,Status!N:N=TRUE)))"),0.0)</f>
        <v>0</v>
      </c>
      <c r="O164" s="25">
        <f>IFERROR(__xludf.DUMMYFUNCTION("COUNTA(iferror(filter(Status!N:N,Status!A:A=A164,Status!N:N=TRUE)))"),0.0)</f>
        <v>0</v>
      </c>
      <c r="P164" s="23">
        <f>IFERROR(__xludf.DUMMYFUNCTION("COUNTA(iferror(filter(Status!P:P,Status!A:A=A164)))"),0.0)</f>
        <v>0</v>
      </c>
      <c r="Q164" s="25">
        <f>IFERROR(__xludf.DUMMYFUNCTION("COUNTA(iferror(filter(Status!P:P,Status!A:A=A164,Status!P:P=TRUE)))"),0.0)</f>
        <v>0</v>
      </c>
      <c r="R164" s="23">
        <f>IFERROR(__xludf.DUMMYFUNCTION("COUNTA(iferror(filter(Status!R:R,Status!A:A=A164)))"),0.0)</f>
        <v>0</v>
      </c>
      <c r="S164" s="25">
        <f>IFERROR(__xludf.DUMMYFUNCTION("COUNTA(iferror(filter(Status!R:R,Status!A:A=A164,Status!R:R=TRUE)))"),0.0)</f>
        <v>0</v>
      </c>
      <c r="V164" s="23" t="str">
        <f>IFERROR(__xludf.DUMMYFUNCTION("if((countif(filter(Status!$C:$C,Status!$A:$A=$A164),CONCATENATE(V$2,""*""))-W164)&gt;0,(countif(filter(Status!$C:$C,Status!$A:$A=$A164),CONCATENATE(V$2,""*""))-W164),"""")"),"")</f>
        <v/>
      </c>
      <c r="W164" s="23" t="str">
        <f>IFERROR(__xludf.DUMMYFUNCTION("if(countif(filter(Status!$C:$C,Status!$A:$A=$A164),CONCATENATE(W$2,""*""))&gt;0,countif(filter(Status!$C:$C,Status!$A:$A=$A164),CONCATENATE(W$2,""*"")),"""")"),"")</f>
        <v/>
      </c>
      <c r="X164" s="23" t="str">
        <f>IFERROR(__xludf.DUMMYFUNCTION("if(countif(filter(Status!$C:$C,Status!$A:$A=$A164),CONCATENATE(X$2,""*""))&gt;0,countif(filter(Status!$C:$C,Status!$A:$A=$A164),CONCATENATE(X$2,""*"")),"""")"),"")</f>
        <v/>
      </c>
      <c r="Y164" s="23" t="str">
        <f>IFERROR(__xludf.DUMMYFUNCTION("if(countif(filter(Status!$C:$C,Status!$A:$A=$A164),CONCATENATE(Y$2,""*""))&gt;0,countif(filter(Status!$C:$C,Status!$A:$A=$A164),CONCATENATE(Y$2,""*"")),"""")"),"")</f>
        <v/>
      </c>
      <c r="Z164" s="23" t="str">
        <f>IFERROR(__xludf.DUMMYFUNCTION("if(countif(filter(Status!$C:$C,Status!$A:$A=$A164),CONCATENATE(Z$2,""*""))&gt;0,countif(filter(Status!$C:$C,Status!$A:$A=$A164),CONCATENATE(Z$2,""*"")),"""")"),"")</f>
        <v/>
      </c>
      <c r="AA164" s="23" t="str">
        <f>IFERROR(__xludf.DUMMYFUNCTION("if((countif(filter(Status!$C:$C,Status!$A:$A=$A164),CONCATENATE(AA$2,""*""))-AB164)&gt;0,(countif(filter(Status!$C:$C,Status!$A:$A=$A164),CONCATENATE(AA$2,""*""))-AB164),"""")"),"")</f>
        <v/>
      </c>
      <c r="AB164" s="23" t="str">
        <f>IFERROR(__xludf.DUMMYFUNCTION("if(countif(filter(Status!$C:$C,Status!$A:$A=$A164),CONCATENATE(AB$2,""*""))&gt;0,countif(filter(Status!$C:$C,Status!$A:$A=$A164),CONCATENATE(AB$2,""*"")),"""")"),"")</f>
        <v/>
      </c>
      <c r="AC164" s="23" t="str">
        <f>IFERROR(__xludf.DUMMYFUNCTION("if(countif(filter(Status!$C:$C,Status!$A:$A=$A164),CONCATENATE(AC$2,""*""))&gt;0,countif(filter(Status!$C:$C,Status!$A:$A=$A164),CONCATENATE(AC$2,""*"")),"""")"),"")</f>
        <v/>
      </c>
      <c r="AD164" s="23" t="str">
        <f>IFERROR(__xludf.DUMMYFUNCTION("if(countif(filter(Status!$C:$C,Status!$A:$A=$A164),CONCATENATE(AD$2,""*""))&gt;0,countif(filter(Status!$C:$C,Status!$A:$A=$A164),CONCATENATE(AD$2,""*"")),"""")"),"")</f>
        <v/>
      </c>
      <c r="AE164" s="23" t="str">
        <f>IFERROR(__xludf.DUMMYFUNCTION("if(countif(filter(Status!$C:$C,Status!$A:$A=$A164),CONCATENATE(AE$2,""*""))&gt;0,countif(filter(Status!$C:$C,Status!$A:$A=$A164),CONCATENATE(AE$2,""*"")),"""")"),"")</f>
        <v/>
      </c>
      <c r="AF164" s="23" t="str">
        <f>IFERROR(__xludf.DUMMYFUNCTION("if(countif(filter(Status!$C:$C,Status!$A:$A=$A164),CONCATENATE(AF$2,""*""))&gt;0,countif(filter(Status!$C:$C,Status!$A:$A=$A164),CONCATENATE(AF$2,""*"")),"""")"),"")</f>
        <v/>
      </c>
      <c r="AG164" s="23" t="str">
        <f>IFERROR(__xludf.DUMMYFUNCTION("if(countif(filter(Status!$C:$C,Status!$A:$A=$A164),CONCATENATE(AG$2,""*""))&gt;0,countif(filter(Status!$C:$C,Status!$A:$A=$A164),CONCATENATE(AG$2,""*"")),"""")"),"")</f>
        <v/>
      </c>
      <c r="AH164" s="23" t="str">
        <f>IFERROR(__xludf.DUMMYFUNCTION("if(countif(filter(Status!$C:$C,Status!$A:$A=$A164),CONCATENATE(AH$2,""*""))&gt;0,countif(filter(Status!$C:$C,Status!$A:$A=$A164),CONCATENATE(AH$2,""*"")),"""")"),"")</f>
        <v/>
      </c>
      <c r="AI164" s="23" t="str">
        <f>IFERROR(__xludf.DUMMYFUNCTION("if(countif(filter(Status!$C:$C,Status!$A:$A=$A164),CONCATENATE(AI$2,""*""))&gt;0,countif(filter(Status!$C:$C,Status!$A:$A=$A164),CONCATENATE(AI$2,""*"")),"""")"),"")</f>
        <v/>
      </c>
      <c r="AJ164" s="23" t="str">
        <f>IFERROR(__xludf.DUMMYFUNCTION("if(countif(filter(Status!$C:$C,Status!$A:$A=$A164),CONCATENATE(AJ$2,""*""))&gt;0,countif(filter(Status!$C:$C,Status!$A:$A=$A164),CONCATENATE(AJ$2,""*"")),"""")"),"")</f>
        <v/>
      </c>
      <c r="AK164" s="23" t="str">
        <f>IFERROR(__xludf.DUMMYFUNCTION("if(countif(filter(Status!$C:$C,Status!$A:$A=$A164),CONCATENATE(AK$2,""*""))&gt;0,countif(filter(Status!$C:$C,Status!$A:$A=$A164),CONCATENATE(AK$2,""*"")),"""")"),"")</f>
        <v/>
      </c>
      <c r="AL164" s="23" t="str">
        <f>IFERROR(__xludf.DUMMYFUNCTION("if(countif(filter(Status!$C:$C,Status!$A:$A=$A164),CONCATENATE(AL$2,""*""))&gt;0,countif(filter(Status!$C:$C,Status!$A:$A=$A164),CONCATENATE(AL$2,""*"")),"""")"),"")</f>
        <v/>
      </c>
      <c r="AM164" s="23" t="str">
        <f>IFERROR(__xludf.DUMMYFUNCTION("if(countif(filter(Status!$C:$C,Status!$A:$A=$A164),CONCATENATE(AM$2,""*""))&gt;0,countif(filter(Status!$C:$C,Status!$A:$A=$A164),CONCATENATE(AM$2,""*"")),"""")"),"")</f>
        <v/>
      </c>
      <c r="AN164" s="23" t="str">
        <f>IFERROR(__xludf.DUMMYFUNCTION("if(countif(filter(Status!$C:$C,Status!$A:$A=$A164),CONCATENATE(AN$2,""*""))&gt;0,countif(filter(Status!$C:$C,Status!$A:$A=$A164),CONCATENATE(AN$2,""*"")),"""")"),"")</f>
        <v/>
      </c>
      <c r="AO164" s="23" t="str">
        <f>IFERROR(__xludf.DUMMYFUNCTION("if(countif(filter(Status!$C:$C,Status!$A:$A=$A164),CONCATENATE(AO$2,""*""))&gt;0,countif(filter(Status!$C:$C,Status!$A:$A=$A164),CONCATENATE(AO$2,""*"")),"""")"),"")</f>
        <v/>
      </c>
      <c r="AP164" s="23">
        <f>IFERROR(__xludf.DUMMYFUNCTION("counta(iferror(filter(Status!C:C,Status!A:A=A164)))"),0.0)</f>
        <v>0</v>
      </c>
      <c r="AQ164" s="23">
        <f t="shared" si="6"/>
        <v>0</v>
      </c>
    </row>
    <row r="165">
      <c r="A165" s="1" t="s">
        <v>1204</v>
      </c>
      <c r="B165" s="25" t="str">
        <f>IFERROR(__xludf.DUMMYFUNCTION("max(filter(Status!E:E,Status!A:A=A165))"),"#N/A")</f>
        <v>#N/A</v>
      </c>
      <c r="C165" s="23" t="str">
        <f t="shared" si="1"/>
        <v/>
      </c>
      <c r="D165" s="23" t="str">
        <f t="shared" si="2"/>
        <v/>
      </c>
      <c r="E165" s="23" t="str">
        <f t="shared" si="3"/>
        <v/>
      </c>
      <c r="F165" s="23" t="str">
        <f t="shared" si="4"/>
        <v/>
      </c>
      <c r="G165" s="25" t="str">
        <f t="shared" si="5"/>
        <v/>
      </c>
      <c r="J165" s="23">
        <f>IFERROR(__xludf.DUMMYFUNCTION("COUNTA(iferror(filter(Status!H:H,Status!A:A=A165)))"),0.0)</f>
        <v>0</v>
      </c>
      <c r="K165" s="25">
        <f>IFERROR(__xludf.DUMMYFUNCTION("COUNTA(iferror(filter(Status!H:H,Status!A:A=A165,Status!H:H=TRUE)))"),0.0)</f>
        <v>0</v>
      </c>
      <c r="L165" s="23">
        <f>IFERROR(__xludf.DUMMYFUNCTION("COUNTA(iferror(filter(Status!L:L,Status!A:A=A165)))"),0.0)</f>
        <v>0</v>
      </c>
      <c r="M165" s="25">
        <f>IFERROR(__xludf.DUMMYFUNCTION("COUNTA(iferror(filter(Status!L:L,Status!A:A=A165,Status!L:L=TRUE)))"),0.0)</f>
        <v>0</v>
      </c>
      <c r="N165" s="23">
        <f>IFERROR(__xludf.DUMMYFUNCTION("COUNTA(iferror(filter(Status!N:N,Status!A:A=A165,Status!N:N=TRUE)))"),0.0)</f>
        <v>0</v>
      </c>
      <c r="O165" s="25">
        <f>IFERROR(__xludf.DUMMYFUNCTION("COUNTA(iferror(filter(Status!N:N,Status!A:A=A165,Status!N:N=TRUE)))"),0.0)</f>
        <v>0</v>
      </c>
      <c r="P165" s="23">
        <f>IFERROR(__xludf.DUMMYFUNCTION("COUNTA(iferror(filter(Status!P:P,Status!A:A=A165)))"),0.0)</f>
        <v>0</v>
      </c>
      <c r="Q165" s="25">
        <f>IFERROR(__xludf.DUMMYFUNCTION("COUNTA(iferror(filter(Status!P:P,Status!A:A=A165,Status!P:P=TRUE)))"),0.0)</f>
        <v>0</v>
      </c>
      <c r="R165" s="23">
        <f>IFERROR(__xludf.DUMMYFUNCTION("COUNTA(iferror(filter(Status!R:R,Status!A:A=A165)))"),0.0)</f>
        <v>0</v>
      </c>
      <c r="S165" s="25">
        <f>IFERROR(__xludf.DUMMYFUNCTION("COUNTA(iferror(filter(Status!R:R,Status!A:A=A165,Status!R:R=TRUE)))"),0.0)</f>
        <v>0</v>
      </c>
      <c r="V165" s="23" t="str">
        <f>IFERROR(__xludf.DUMMYFUNCTION("if((countif(filter(Status!$C:$C,Status!$A:$A=$A165),CONCATENATE(V$2,""*""))-W165)&gt;0,(countif(filter(Status!$C:$C,Status!$A:$A=$A165),CONCATENATE(V$2,""*""))-W165),"""")"),"")</f>
        <v/>
      </c>
      <c r="W165" s="23" t="str">
        <f>IFERROR(__xludf.DUMMYFUNCTION("if(countif(filter(Status!$C:$C,Status!$A:$A=$A165),CONCATENATE(W$2,""*""))&gt;0,countif(filter(Status!$C:$C,Status!$A:$A=$A165),CONCATENATE(W$2,""*"")),"""")"),"")</f>
        <v/>
      </c>
      <c r="X165" s="23" t="str">
        <f>IFERROR(__xludf.DUMMYFUNCTION("if(countif(filter(Status!$C:$C,Status!$A:$A=$A165),CONCATENATE(X$2,""*""))&gt;0,countif(filter(Status!$C:$C,Status!$A:$A=$A165),CONCATENATE(X$2,""*"")),"""")"),"")</f>
        <v/>
      </c>
      <c r="Y165" s="23" t="str">
        <f>IFERROR(__xludf.DUMMYFUNCTION("if(countif(filter(Status!$C:$C,Status!$A:$A=$A165),CONCATENATE(Y$2,""*""))&gt;0,countif(filter(Status!$C:$C,Status!$A:$A=$A165),CONCATENATE(Y$2,""*"")),"""")"),"")</f>
        <v/>
      </c>
      <c r="Z165" s="23" t="str">
        <f>IFERROR(__xludf.DUMMYFUNCTION("if(countif(filter(Status!$C:$C,Status!$A:$A=$A165),CONCATENATE(Z$2,""*""))&gt;0,countif(filter(Status!$C:$C,Status!$A:$A=$A165),CONCATENATE(Z$2,""*"")),"""")"),"")</f>
        <v/>
      </c>
      <c r="AA165" s="23" t="str">
        <f>IFERROR(__xludf.DUMMYFUNCTION("if((countif(filter(Status!$C:$C,Status!$A:$A=$A165),CONCATENATE(AA$2,""*""))-AB165)&gt;0,(countif(filter(Status!$C:$C,Status!$A:$A=$A165),CONCATENATE(AA$2,""*""))-AB165),"""")"),"")</f>
        <v/>
      </c>
      <c r="AB165" s="23" t="str">
        <f>IFERROR(__xludf.DUMMYFUNCTION("if(countif(filter(Status!$C:$C,Status!$A:$A=$A165),CONCATENATE(AB$2,""*""))&gt;0,countif(filter(Status!$C:$C,Status!$A:$A=$A165),CONCATENATE(AB$2,""*"")),"""")"),"")</f>
        <v/>
      </c>
      <c r="AC165" s="23" t="str">
        <f>IFERROR(__xludf.DUMMYFUNCTION("if(countif(filter(Status!$C:$C,Status!$A:$A=$A165),CONCATENATE(AC$2,""*""))&gt;0,countif(filter(Status!$C:$C,Status!$A:$A=$A165),CONCATENATE(AC$2,""*"")),"""")"),"")</f>
        <v/>
      </c>
      <c r="AD165" s="23" t="str">
        <f>IFERROR(__xludf.DUMMYFUNCTION("if(countif(filter(Status!$C:$C,Status!$A:$A=$A165),CONCATENATE(AD$2,""*""))&gt;0,countif(filter(Status!$C:$C,Status!$A:$A=$A165),CONCATENATE(AD$2,""*"")),"""")"),"")</f>
        <v/>
      </c>
      <c r="AE165" s="23" t="str">
        <f>IFERROR(__xludf.DUMMYFUNCTION("if(countif(filter(Status!$C:$C,Status!$A:$A=$A165),CONCATENATE(AE$2,""*""))&gt;0,countif(filter(Status!$C:$C,Status!$A:$A=$A165),CONCATENATE(AE$2,""*"")),"""")"),"")</f>
        <v/>
      </c>
      <c r="AF165" s="23" t="str">
        <f>IFERROR(__xludf.DUMMYFUNCTION("if(countif(filter(Status!$C:$C,Status!$A:$A=$A165),CONCATENATE(AF$2,""*""))&gt;0,countif(filter(Status!$C:$C,Status!$A:$A=$A165),CONCATENATE(AF$2,""*"")),"""")"),"")</f>
        <v/>
      </c>
      <c r="AG165" s="23" t="str">
        <f>IFERROR(__xludf.DUMMYFUNCTION("if(countif(filter(Status!$C:$C,Status!$A:$A=$A165),CONCATENATE(AG$2,""*""))&gt;0,countif(filter(Status!$C:$C,Status!$A:$A=$A165),CONCATENATE(AG$2,""*"")),"""")"),"")</f>
        <v/>
      </c>
      <c r="AH165" s="23" t="str">
        <f>IFERROR(__xludf.DUMMYFUNCTION("if(countif(filter(Status!$C:$C,Status!$A:$A=$A165),CONCATENATE(AH$2,""*""))&gt;0,countif(filter(Status!$C:$C,Status!$A:$A=$A165),CONCATENATE(AH$2,""*"")),"""")"),"")</f>
        <v/>
      </c>
      <c r="AI165" s="23" t="str">
        <f>IFERROR(__xludf.DUMMYFUNCTION("if(countif(filter(Status!$C:$C,Status!$A:$A=$A165),CONCATENATE(AI$2,""*""))&gt;0,countif(filter(Status!$C:$C,Status!$A:$A=$A165),CONCATENATE(AI$2,""*"")),"""")"),"")</f>
        <v/>
      </c>
      <c r="AJ165" s="23" t="str">
        <f>IFERROR(__xludf.DUMMYFUNCTION("if(countif(filter(Status!$C:$C,Status!$A:$A=$A165),CONCATENATE(AJ$2,""*""))&gt;0,countif(filter(Status!$C:$C,Status!$A:$A=$A165),CONCATENATE(AJ$2,""*"")),"""")"),"")</f>
        <v/>
      </c>
      <c r="AK165" s="23" t="str">
        <f>IFERROR(__xludf.DUMMYFUNCTION("if(countif(filter(Status!$C:$C,Status!$A:$A=$A165),CONCATENATE(AK$2,""*""))&gt;0,countif(filter(Status!$C:$C,Status!$A:$A=$A165),CONCATENATE(AK$2,""*"")),"""")"),"")</f>
        <v/>
      </c>
      <c r="AL165" s="23" t="str">
        <f>IFERROR(__xludf.DUMMYFUNCTION("if(countif(filter(Status!$C:$C,Status!$A:$A=$A165),CONCATENATE(AL$2,""*""))&gt;0,countif(filter(Status!$C:$C,Status!$A:$A=$A165),CONCATENATE(AL$2,""*"")),"""")"),"")</f>
        <v/>
      </c>
      <c r="AM165" s="23" t="str">
        <f>IFERROR(__xludf.DUMMYFUNCTION("if(countif(filter(Status!$C:$C,Status!$A:$A=$A165),CONCATENATE(AM$2,""*""))&gt;0,countif(filter(Status!$C:$C,Status!$A:$A=$A165),CONCATENATE(AM$2,""*"")),"""")"),"")</f>
        <v/>
      </c>
      <c r="AN165" s="23" t="str">
        <f>IFERROR(__xludf.DUMMYFUNCTION("if(countif(filter(Status!$C:$C,Status!$A:$A=$A165),CONCATENATE(AN$2,""*""))&gt;0,countif(filter(Status!$C:$C,Status!$A:$A=$A165),CONCATENATE(AN$2,""*"")),"""")"),"")</f>
        <v/>
      </c>
      <c r="AO165" s="23" t="str">
        <f>IFERROR(__xludf.DUMMYFUNCTION("if(countif(filter(Status!$C:$C,Status!$A:$A=$A165),CONCATENATE(AO$2,""*""))&gt;0,countif(filter(Status!$C:$C,Status!$A:$A=$A165),CONCATENATE(AO$2,""*"")),"""")"),"")</f>
        <v/>
      </c>
      <c r="AP165" s="23">
        <f>IFERROR(__xludf.DUMMYFUNCTION("counta(iferror(filter(Status!C:C,Status!A:A=A165)))"),0.0)</f>
        <v>0</v>
      </c>
      <c r="AQ165" s="23">
        <f t="shared" si="6"/>
        <v>0</v>
      </c>
    </row>
    <row r="166">
      <c r="A166" s="1" t="s">
        <v>1206</v>
      </c>
      <c r="B166" s="25" t="str">
        <f>IFERROR(__xludf.DUMMYFUNCTION("max(filter(Status!E:E,Status!A:A=A166))"),"#N/A")</f>
        <v>#N/A</v>
      </c>
      <c r="C166" s="23" t="str">
        <f t="shared" si="1"/>
        <v/>
      </c>
      <c r="D166" s="23" t="str">
        <f t="shared" si="2"/>
        <v/>
      </c>
      <c r="E166" s="23" t="str">
        <f t="shared" si="3"/>
        <v/>
      </c>
      <c r="F166" s="23" t="str">
        <f t="shared" si="4"/>
        <v/>
      </c>
      <c r="G166" s="25" t="str">
        <f t="shared" si="5"/>
        <v/>
      </c>
      <c r="J166" s="23">
        <f>IFERROR(__xludf.DUMMYFUNCTION("COUNTA(iferror(filter(Status!H:H,Status!A:A=A166)))"),0.0)</f>
        <v>0</v>
      </c>
      <c r="K166" s="25">
        <f>IFERROR(__xludf.DUMMYFUNCTION("COUNTA(iferror(filter(Status!H:H,Status!A:A=A166,Status!H:H=TRUE)))"),0.0)</f>
        <v>0</v>
      </c>
      <c r="L166" s="23">
        <f>IFERROR(__xludf.DUMMYFUNCTION("COUNTA(iferror(filter(Status!L:L,Status!A:A=A166)))"),0.0)</f>
        <v>0</v>
      </c>
      <c r="M166" s="25">
        <f>IFERROR(__xludf.DUMMYFUNCTION("COUNTA(iferror(filter(Status!L:L,Status!A:A=A166,Status!L:L=TRUE)))"),0.0)</f>
        <v>0</v>
      </c>
      <c r="N166" s="23">
        <f>IFERROR(__xludf.DUMMYFUNCTION("COUNTA(iferror(filter(Status!N:N,Status!A:A=A166,Status!N:N=TRUE)))"),0.0)</f>
        <v>0</v>
      </c>
      <c r="O166" s="25">
        <f>IFERROR(__xludf.DUMMYFUNCTION("COUNTA(iferror(filter(Status!N:N,Status!A:A=A166,Status!N:N=TRUE)))"),0.0)</f>
        <v>0</v>
      </c>
      <c r="P166" s="23">
        <f>IFERROR(__xludf.DUMMYFUNCTION("COUNTA(iferror(filter(Status!P:P,Status!A:A=A166)))"),0.0)</f>
        <v>0</v>
      </c>
      <c r="Q166" s="25">
        <f>IFERROR(__xludf.DUMMYFUNCTION("COUNTA(iferror(filter(Status!P:P,Status!A:A=A166,Status!P:P=TRUE)))"),0.0)</f>
        <v>0</v>
      </c>
      <c r="R166" s="23">
        <f>IFERROR(__xludf.DUMMYFUNCTION("COUNTA(iferror(filter(Status!R:R,Status!A:A=A166)))"),0.0)</f>
        <v>0</v>
      </c>
      <c r="S166" s="25">
        <f>IFERROR(__xludf.DUMMYFUNCTION("COUNTA(iferror(filter(Status!R:R,Status!A:A=A166,Status!R:R=TRUE)))"),0.0)</f>
        <v>0</v>
      </c>
      <c r="V166" s="23" t="str">
        <f>IFERROR(__xludf.DUMMYFUNCTION("if((countif(filter(Status!$C:$C,Status!$A:$A=$A166),CONCATENATE(V$2,""*""))-W166)&gt;0,(countif(filter(Status!$C:$C,Status!$A:$A=$A166),CONCATENATE(V$2,""*""))-W166),"""")"),"")</f>
        <v/>
      </c>
      <c r="W166" s="23" t="str">
        <f>IFERROR(__xludf.DUMMYFUNCTION("if(countif(filter(Status!$C:$C,Status!$A:$A=$A166),CONCATENATE(W$2,""*""))&gt;0,countif(filter(Status!$C:$C,Status!$A:$A=$A166),CONCATENATE(W$2,""*"")),"""")"),"")</f>
        <v/>
      </c>
      <c r="X166" s="23" t="str">
        <f>IFERROR(__xludf.DUMMYFUNCTION("if(countif(filter(Status!$C:$C,Status!$A:$A=$A166),CONCATENATE(X$2,""*""))&gt;0,countif(filter(Status!$C:$C,Status!$A:$A=$A166),CONCATENATE(X$2,""*"")),"""")"),"")</f>
        <v/>
      </c>
      <c r="Y166" s="23" t="str">
        <f>IFERROR(__xludf.DUMMYFUNCTION("if(countif(filter(Status!$C:$C,Status!$A:$A=$A166),CONCATENATE(Y$2,""*""))&gt;0,countif(filter(Status!$C:$C,Status!$A:$A=$A166),CONCATENATE(Y$2,""*"")),"""")"),"")</f>
        <v/>
      </c>
      <c r="Z166" s="23" t="str">
        <f>IFERROR(__xludf.DUMMYFUNCTION("if(countif(filter(Status!$C:$C,Status!$A:$A=$A166),CONCATENATE(Z$2,""*""))&gt;0,countif(filter(Status!$C:$C,Status!$A:$A=$A166),CONCATENATE(Z$2,""*"")),"""")"),"")</f>
        <v/>
      </c>
      <c r="AA166" s="23" t="str">
        <f>IFERROR(__xludf.DUMMYFUNCTION("if((countif(filter(Status!$C:$C,Status!$A:$A=$A166),CONCATENATE(AA$2,""*""))-AB166)&gt;0,(countif(filter(Status!$C:$C,Status!$A:$A=$A166),CONCATENATE(AA$2,""*""))-AB166),"""")"),"")</f>
        <v/>
      </c>
      <c r="AB166" s="23" t="str">
        <f>IFERROR(__xludf.DUMMYFUNCTION("if(countif(filter(Status!$C:$C,Status!$A:$A=$A166),CONCATENATE(AB$2,""*""))&gt;0,countif(filter(Status!$C:$C,Status!$A:$A=$A166),CONCATENATE(AB$2,""*"")),"""")"),"")</f>
        <v/>
      </c>
      <c r="AC166" s="23" t="str">
        <f>IFERROR(__xludf.DUMMYFUNCTION("if(countif(filter(Status!$C:$C,Status!$A:$A=$A166),CONCATENATE(AC$2,""*""))&gt;0,countif(filter(Status!$C:$C,Status!$A:$A=$A166),CONCATENATE(AC$2,""*"")),"""")"),"")</f>
        <v/>
      </c>
      <c r="AD166" s="23" t="str">
        <f>IFERROR(__xludf.DUMMYFUNCTION("if(countif(filter(Status!$C:$C,Status!$A:$A=$A166),CONCATENATE(AD$2,""*""))&gt;0,countif(filter(Status!$C:$C,Status!$A:$A=$A166),CONCATENATE(AD$2,""*"")),"""")"),"")</f>
        <v/>
      </c>
      <c r="AE166" s="23" t="str">
        <f>IFERROR(__xludf.DUMMYFUNCTION("if(countif(filter(Status!$C:$C,Status!$A:$A=$A166),CONCATENATE(AE$2,""*""))&gt;0,countif(filter(Status!$C:$C,Status!$A:$A=$A166),CONCATENATE(AE$2,""*"")),"""")"),"")</f>
        <v/>
      </c>
      <c r="AF166" s="23" t="str">
        <f>IFERROR(__xludf.DUMMYFUNCTION("if(countif(filter(Status!$C:$C,Status!$A:$A=$A166),CONCATENATE(AF$2,""*""))&gt;0,countif(filter(Status!$C:$C,Status!$A:$A=$A166),CONCATENATE(AF$2,""*"")),"""")"),"")</f>
        <v/>
      </c>
      <c r="AG166" s="23" t="str">
        <f>IFERROR(__xludf.DUMMYFUNCTION("if(countif(filter(Status!$C:$C,Status!$A:$A=$A166),CONCATENATE(AG$2,""*""))&gt;0,countif(filter(Status!$C:$C,Status!$A:$A=$A166),CONCATENATE(AG$2,""*"")),"""")"),"")</f>
        <v/>
      </c>
      <c r="AH166" s="23" t="str">
        <f>IFERROR(__xludf.DUMMYFUNCTION("if(countif(filter(Status!$C:$C,Status!$A:$A=$A166),CONCATENATE(AH$2,""*""))&gt;0,countif(filter(Status!$C:$C,Status!$A:$A=$A166),CONCATENATE(AH$2,""*"")),"""")"),"")</f>
        <v/>
      </c>
      <c r="AI166" s="23" t="str">
        <f>IFERROR(__xludf.DUMMYFUNCTION("if(countif(filter(Status!$C:$C,Status!$A:$A=$A166),CONCATENATE(AI$2,""*""))&gt;0,countif(filter(Status!$C:$C,Status!$A:$A=$A166),CONCATENATE(AI$2,""*"")),"""")"),"")</f>
        <v/>
      </c>
      <c r="AJ166" s="23" t="str">
        <f>IFERROR(__xludf.DUMMYFUNCTION("if(countif(filter(Status!$C:$C,Status!$A:$A=$A166),CONCATENATE(AJ$2,""*""))&gt;0,countif(filter(Status!$C:$C,Status!$A:$A=$A166),CONCATENATE(AJ$2,""*"")),"""")"),"")</f>
        <v/>
      </c>
      <c r="AK166" s="23" t="str">
        <f>IFERROR(__xludf.DUMMYFUNCTION("if(countif(filter(Status!$C:$C,Status!$A:$A=$A166),CONCATENATE(AK$2,""*""))&gt;0,countif(filter(Status!$C:$C,Status!$A:$A=$A166),CONCATENATE(AK$2,""*"")),"""")"),"")</f>
        <v/>
      </c>
      <c r="AL166" s="23" t="str">
        <f>IFERROR(__xludf.DUMMYFUNCTION("if(countif(filter(Status!$C:$C,Status!$A:$A=$A166),CONCATENATE(AL$2,""*""))&gt;0,countif(filter(Status!$C:$C,Status!$A:$A=$A166),CONCATENATE(AL$2,""*"")),"""")"),"")</f>
        <v/>
      </c>
      <c r="AM166" s="23" t="str">
        <f>IFERROR(__xludf.DUMMYFUNCTION("if(countif(filter(Status!$C:$C,Status!$A:$A=$A166),CONCATENATE(AM$2,""*""))&gt;0,countif(filter(Status!$C:$C,Status!$A:$A=$A166),CONCATENATE(AM$2,""*"")),"""")"),"")</f>
        <v/>
      </c>
      <c r="AN166" s="23" t="str">
        <f>IFERROR(__xludf.DUMMYFUNCTION("if(countif(filter(Status!$C:$C,Status!$A:$A=$A166),CONCATENATE(AN$2,""*""))&gt;0,countif(filter(Status!$C:$C,Status!$A:$A=$A166),CONCATENATE(AN$2,""*"")),"""")"),"")</f>
        <v/>
      </c>
      <c r="AO166" s="23" t="str">
        <f>IFERROR(__xludf.DUMMYFUNCTION("if(countif(filter(Status!$C:$C,Status!$A:$A=$A166),CONCATENATE(AO$2,""*""))&gt;0,countif(filter(Status!$C:$C,Status!$A:$A=$A166),CONCATENATE(AO$2,""*"")),"""")"),"")</f>
        <v/>
      </c>
      <c r="AP166" s="23">
        <f>IFERROR(__xludf.DUMMYFUNCTION("counta(iferror(filter(Status!C:C,Status!A:A=A166)))"),0.0)</f>
        <v>0</v>
      </c>
      <c r="AQ166" s="23">
        <f t="shared" si="6"/>
        <v>0</v>
      </c>
    </row>
    <row r="167">
      <c r="A167" s="1" t="s">
        <v>1210</v>
      </c>
      <c r="B167" s="25" t="str">
        <f>IFERROR(__xludf.DUMMYFUNCTION("max(filter(Status!E:E,Status!A:A=A167))"),"#N/A")</f>
        <v>#N/A</v>
      </c>
      <c r="C167" s="23" t="str">
        <f t="shared" si="1"/>
        <v/>
      </c>
      <c r="D167" s="23" t="str">
        <f t="shared" si="2"/>
        <v/>
      </c>
      <c r="E167" s="23" t="str">
        <f t="shared" si="3"/>
        <v/>
      </c>
      <c r="F167" s="23" t="str">
        <f t="shared" si="4"/>
        <v/>
      </c>
      <c r="G167" s="25" t="str">
        <f t="shared" si="5"/>
        <v/>
      </c>
      <c r="J167" s="23">
        <f>IFERROR(__xludf.DUMMYFUNCTION("COUNTA(iferror(filter(Status!H:H,Status!A:A=A167)))"),0.0)</f>
        <v>0</v>
      </c>
      <c r="K167" s="25">
        <f>IFERROR(__xludf.DUMMYFUNCTION("COUNTA(iferror(filter(Status!H:H,Status!A:A=A167,Status!H:H=TRUE)))"),0.0)</f>
        <v>0</v>
      </c>
      <c r="L167" s="23">
        <f>IFERROR(__xludf.DUMMYFUNCTION("COUNTA(iferror(filter(Status!L:L,Status!A:A=A167)))"),0.0)</f>
        <v>0</v>
      </c>
      <c r="M167" s="25">
        <f>IFERROR(__xludf.DUMMYFUNCTION("COUNTA(iferror(filter(Status!L:L,Status!A:A=A167,Status!L:L=TRUE)))"),0.0)</f>
        <v>0</v>
      </c>
      <c r="N167" s="23">
        <f>IFERROR(__xludf.DUMMYFUNCTION("COUNTA(iferror(filter(Status!N:N,Status!A:A=A167,Status!N:N=TRUE)))"),0.0)</f>
        <v>0</v>
      </c>
      <c r="O167" s="25">
        <f>IFERROR(__xludf.DUMMYFUNCTION("COUNTA(iferror(filter(Status!N:N,Status!A:A=A167,Status!N:N=TRUE)))"),0.0)</f>
        <v>0</v>
      </c>
      <c r="P167" s="23">
        <f>IFERROR(__xludf.DUMMYFUNCTION("COUNTA(iferror(filter(Status!P:P,Status!A:A=A167)))"),0.0)</f>
        <v>0</v>
      </c>
      <c r="Q167" s="25">
        <f>IFERROR(__xludf.DUMMYFUNCTION("COUNTA(iferror(filter(Status!P:P,Status!A:A=A167,Status!P:P=TRUE)))"),0.0)</f>
        <v>0</v>
      </c>
      <c r="R167" s="23">
        <f>IFERROR(__xludf.DUMMYFUNCTION("COUNTA(iferror(filter(Status!R:R,Status!A:A=A167)))"),0.0)</f>
        <v>0</v>
      </c>
      <c r="S167" s="25">
        <f>IFERROR(__xludf.DUMMYFUNCTION("COUNTA(iferror(filter(Status!R:R,Status!A:A=A167,Status!R:R=TRUE)))"),0.0)</f>
        <v>0</v>
      </c>
      <c r="V167" s="23" t="str">
        <f>IFERROR(__xludf.DUMMYFUNCTION("if((countif(filter(Status!$C:$C,Status!$A:$A=$A167),CONCATENATE(V$2,""*""))-W167)&gt;0,(countif(filter(Status!$C:$C,Status!$A:$A=$A167),CONCATENATE(V$2,""*""))-W167),"""")"),"")</f>
        <v/>
      </c>
      <c r="W167" s="23" t="str">
        <f>IFERROR(__xludf.DUMMYFUNCTION("if(countif(filter(Status!$C:$C,Status!$A:$A=$A167),CONCATENATE(W$2,""*""))&gt;0,countif(filter(Status!$C:$C,Status!$A:$A=$A167),CONCATENATE(W$2,""*"")),"""")"),"")</f>
        <v/>
      </c>
      <c r="X167" s="23" t="str">
        <f>IFERROR(__xludf.DUMMYFUNCTION("if(countif(filter(Status!$C:$C,Status!$A:$A=$A167),CONCATENATE(X$2,""*""))&gt;0,countif(filter(Status!$C:$C,Status!$A:$A=$A167),CONCATENATE(X$2,""*"")),"""")"),"")</f>
        <v/>
      </c>
      <c r="Y167" s="23" t="str">
        <f>IFERROR(__xludf.DUMMYFUNCTION("if(countif(filter(Status!$C:$C,Status!$A:$A=$A167),CONCATENATE(Y$2,""*""))&gt;0,countif(filter(Status!$C:$C,Status!$A:$A=$A167),CONCATENATE(Y$2,""*"")),"""")"),"")</f>
        <v/>
      </c>
      <c r="Z167" s="23" t="str">
        <f>IFERROR(__xludf.DUMMYFUNCTION("if(countif(filter(Status!$C:$C,Status!$A:$A=$A167),CONCATENATE(Z$2,""*""))&gt;0,countif(filter(Status!$C:$C,Status!$A:$A=$A167),CONCATENATE(Z$2,""*"")),"""")"),"")</f>
        <v/>
      </c>
      <c r="AA167" s="23" t="str">
        <f>IFERROR(__xludf.DUMMYFUNCTION("if((countif(filter(Status!$C:$C,Status!$A:$A=$A167),CONCATENATE(AA$2,""*""))-AB167)&gt;0,(countif(filter(Status!$C:$C,Status!$A:$A=$A167),CONCATENATE(AA$2,""*""))-AB167),"""")"),"")</f>
        <v/>
      </c>
      <c r="AB167" s="23" t="str">
        <f>IFERROR(__xludf.DUMMYFUNCTION("if(countif(filter(Status!$C:$C,Status!$A:$A=$A167),CONCATENATE(AB$2,""*""))&gt;0,countif(filter(Status!$C:$C,Status!$A:$A=$A167),CONCATENATE(AB$2,""*"")),"""")"),"")</f>
        <v/>
      </c>
      <c r="AC167" s="23" t="str">
        <f>IFERROR(__xludf.DUMMYFUNCTION("if(countif(filter(Status!$C:$C,Status!$A:$A=$A167),CONCATENATE(AC$2,""*""))&gt;0,countif(filter(Status!$C:$C,Status!$A:$A=$A167),CONCATENATE(AC$2,""*"")),"""")"),"")</f>
        <v/>
      </c>
      <c r="AD167" s="23" t="str">
        <f>IFERROR(__xludf.DUMMYFUNCTION("if(countif(filter(Status!$C:$C,Status!$A:$A=$A167),CONCATENATE(AD$2,""*""))&gt;0,countif(filter(Status!$C:$C,Status!$A:$A=$A167),CONCATENATE(AD$2,""*"")),"""")"),"")</f>
        <v/>
      </c>
      <c r="AE167" s="23" t="str">
        <f>IFERROR(__xludf.DUMMYFUNCTION("if(countif(filter(Status!$C:$C,Status!$A:$A=$A167),CONCATENATE(AE$2,""*""))&gt;0,countif(filter(Status!$C:$C,Status!$A:$A=$A167),CONCATENATE(AE$2,""*"")),"""")"),"")</f>
        <v/>
      </c>
      <c r="AF167" s="23" t="str">
        <f>IFERROR(__xludf.DUMMYFUNCTION("if(countif(filter(Status!$C:$C,Status!$A:$A=$A167),CONCATENATE(AF$2,""*""))&gt;0,countif(filter(Status!$C:$C,Status!$A:$A=$A167),CONCATENATE(AF$2,""*"")),"""")"),"")</f>
        <v/>
      </c>
      <c r="AG167" s="23" t="str">
        <f>IFERROR(__xludf.DUMMYFUNCTION("if(countif(filter(Status!$C:$C,Status!$A:$A=$A167),CONCATENATE(AG$2,""*""))&gt;0,countif(filter(Status!$C:$C,Status!$A:$A=$A167),CONCATENATE(AG$2,""*"")),"""")"),"")</f>
        <v/>
      </c>
      <c r="AH167" s="23" t="str">
        <f>IFERROR(__xludf.DUMMYFUNCTION("if(countif(filter(Status!$C:$C,Status!$A:$A=$A167),CONCATENATE(AH$2,""*""))&gt;0,countif(filter(Status!$C:$C,Status!$A:$A=$A167),CONCATENATE(AH$2,""*"")),"""")"),"")</f>
        <v/>
      </c>
      <c r="AI167" s="23" t="str">
        <f>IFERROR(__xludf.DUMMYFUNCTION("if(countif(filter(Status!$C:$C,Status!$A:$A=$A167),CONCATENATE(AI$2,""*""))&gt;0,countif(filter(Status!$C:$C,Status!$A:$A=$A167),CONCATENATE(AI$2,""*"")),"""")"),"")</f>
        <v/>
      </c>
      <c r="AJ167" s="23" t="str">
        <f>IFERROR(__xludf.DUMMYFUNCTION("if(countif(filter(Status!$C:$C,Status!$A:$A=$A167),CONCATENATE(AJ$2,""*""))&gt;0,countif(filter(Status!$C:$C,Status!$A:$A=$A167),CONCATENATE(AJ$2,""*"")),"""")"),"")</f>
        <v/>
      </c>
      <c r="AK167" s="23" t="str">
        <f>IFERROR(__xludf.DUMMYFUNCTION("if(countif(filter(Status!$C:$C,Status!$A:$A=$A167),CONCATENATE(AK$2,""*""))&gt;0,countif(filter(Status!$C:$C,Status!$A:$A=$A167),CONCATENATE(AK$2,""*"")),"""")"),"")</f>
        <v/>
      </c>
      <c r="AL167" s="23" t="str">
        <f>IFERROR(__xludf.DUMMYFUNCTION("if(countif(filter(Status!$C:$C,Status!$A:$A=$A167),CONCATENATE(AL$2,""*""))&gt;0,countif(filter(Status!$C:$C,Status!$A:$A=$A167),CONCATENATE(AL$2,""*"")),"""")"),"")</f>
        <v/>
      </c>
      <c r="AM167" s="23" t="str">
        <f>IFERROR(__xludf.DUMMYFUNCTION("if(countif(filter(Status!$C:$C,Status!$A:$A=$A167),CONCATENATE(AM$2,""*""))&gt;0,countif(filter(Status!$C:$C,Status!$A:$A=$A167),CONCATENATE(AM$2,""*"")),"""")"),"")</f>
        <v/>
      </c>
      <c r="AN167" s="23" t="str">
        <f>IFERROR(__xludf.DUMMYFUNCTION("if(countif(filter(Status!$C:$C,Status!$A:$A=$A167),CONCATENATE(AN$2,""*""))&gt;0,countif(filter(Status!$C:$C,Status!$A:$A=$A167),CONCATENATE(AN$2,""*"")),"""")"),"")</f>
        <v/>
      </c>
      <c r="AO167" s="23" t="str">
        <f>IFERROR(__xludf.DUMMYFUNCTION("if(countif(filter(Status!$C:$C,Status!$A:$A=$A167),CONCATENATE(AO$2,""*""))&gt;0,countif(filter(Status!$C:$C,Status!$A:$A=$A167),CONCATENATE(AO$2,""*"")),"""")"),"")</f>
        <v/>
      </c>
      <c r="AP167" s="23">
        <f>IFERROR(__xludf.DUMMYFUNCTION("counta(iferror(filter(Status!C:C,Status!A:A=A167)))"),0.0)</f>
        <v>0</v>
      </c>
      <c r="AQ167" s="23">
        <f t="shared" si="6"/>
        <v>0</v>
      </c>
    </row>
    <row r="168">
      <c r="A168" s="1" t="s">
        <v>1213</v>
      </c>
      <c r="B168" s="25" t="str">
        <f>IFERROR(__xludf.DUMMYFUNCTION("max(filter(Status!E:E,Status!A:A=A168))"),"#N/A")</f>
        <v>#N/A</v>
      </c>
      <c r="C168" s="23" t="str">
        <f t="shared" si="1"/>
        <v/>
      </c>
      <c r="D168" s="23" t="str">
        <f t="shared" si="2"/>
        <v/>
      </c>
      <c r="E168" s="23" t="str">
        <f t="shared" si="3"/>
        <v/>
      </c>
      <c r="F168" s="23" t="str">
        <f t="shared" si="4"/>
        <v/>
      </c>
      <c r="G168" s="25" t="str">
        <f t="shared" si="5"/>
        <v/>
      </c>
      <c r="J168" s="23">
        <f>IFERROR(__xludf.DUMMYFUNCTION("COUNTA(iferror(filter(Status!H:H,Status!A:A=A168)))"),0.0)</f>
        <v>0</v>
      </c>
      <c r="K168" s="25">
        <f>IFERROR(__xludf.DUMMYFUNCTION("COUNTA(iferror(filter(Status!H:H,Status!A:A=A168,Status!H:H=TRUE)))"),0.0)</f>
        <v>0</v>
      </c>
      <c r="L168" s="23">
        <f>IFERROR(__xludf.DUMMYFUNCTION("COUNTA(iferror(filter(Status!L:L,Status!A:A=A168)))"),0.0)</f>
        <v>0</v>
      </c>
      <c r="M168" s="25">
        <f>IFERROR(__xludf.DUMMYFUNCTION("COUNTA(iferror(filter(Status!L:L,Status!A:A=A168,Status!L:L=TRUE)))"),0.0)</f>
        <v>0</v>
      </c>
      <c r="N168" s="23">
        <f>IFERROR(__xludf.DUMMYFUNCTION("COUNTA(iferror(filter(Status!N:N,Status!A:A=A168,Status!N:N=TRUE)))"),0.0)</f>
        <v>0</v>
      </c>
      <c r="O168" s="25">
        <f>IFERROR(__xludf.DUMMYFUNCTION("COUNTA(iferror(filter(Status!N:N,Status!A:A=A168,Status!N:N=TRUE)))"),0.0)</f>
        <v>0</v>
      </c>
      <c r="P168" s="23">
        <f>IFERROR(__xludf.DUMMYFUNCTION("COUNTA(iferror(filter(Status!P:P,Status!A:A=A168)))"),0.0)</f>
        <v>0</v>
      </c>
      <c r="Q168" s="25">
        <f>IFERROR(__xludf.DUMMYFUNCTION("COUNTA(iferror(filter(Status!P:P,Status!A:A=A168,Status!P:P=TRUE)))"),0.0)</f>
        <v>0</v>
      </c>
      <c r="R168" s="23">
        <f>IFERROR(__xludf.DUMMYFUNCTION("COUNTA(iferror(filter(Status!R:R,Status!A:A=A168)))"),0.0)</f>
        <v>0</v>
      </c>
      <c r="S168" s="25">
        <f>IFERROR(__xludf.DUMMYFUNCTION("COUNTA(iferror(filter(Status!R:R,Status!A:A=A168,Status!R:R=TRUE)))"),0.0)</f>
        <v>0</v>
      </c>
      <c r="V168" s="23" t="str">
        <f>IFERROR(__xludf.DUMMYFUNCTION("if((countif(filter(Status!$C:$C,Status!$A:$A=$A168),CONCATENATE(V$2,""*""))-W168)&gt;0,(countif(filter(Status!$C:$C,Status!$A:$A=$A168),CONCATENATE(V$2,""*""))-W168),"""")"),"")</f>
        <v/>
      </c>
      <c r="W168" s="23" t="str">
        <f>IFERROR(__xludf.DUMMYFUNCTION("if(countif(filter(Status!$C:$C,Status!$A:$A=$A168),CONCATENATE(W$2,""*""))&gt;0,countif(filter(Status!$C:$C,Status!$A:$A=$A168),CONCATENATE(W$2,""*"")),"""")"),"")</f>
        <v/>
      </c>
      <c r="X168" s="23" t="str">
        <f>IFERROR(__xludf.DUMMYFUNCTION("if(countif(filter(Status!$C:$C,Status!$A:$A=$A168),CONCATENATE(X$2,""*""))&gt;0,countif(filter(Status!$C:$C,Status!$A:$A=$A168),CONCATENATE(X$2,""*"")),"""")"),"")</f>
        <v/>
      </c>
      <c r="Y168" s="23" t="str">
        <f>IFERROR(__xludf.DUMMYFUNCTION("if(countif(filter(Status!$C:$C,Status!$A:$A=$A168),CONCATENATE(Y$2,""*""))&gt;0,countif(filter(Status!$C:$C,Status!$A:$A=$A168),CONCATENATE(Y$2,""*"")),"""")"),"")</f>
        <v/>
      </c>
      <c r="Z168" s="23" t="str">
        <f>IFERROR(__xludf.DUMMYFUNCTION("if(countif(filter(Status!$C:$C,Status!$A:$A=$A168),CONCATENATE(Z$2,""*""))&gt;0,countif(filter(Status!$C:$C,Status!$A:$A=$A168),CONCATENATE(Z$2,""*"")),"""")"),"")</f>
        <v/>
      </c>
      <c r="AA168" s="23" t="str">
        <f>IFERROR(__xludf.DUMMYFUNCTION("if((countif(filter(Status!$C:$C,Status!$A:$A=$A168),CONCATENATE(AA$2,""*""))-AB168)&gt;0,(countif(filter(Status!$C:$C,Status!$A:$A=$A168),CONCATENATE(AA$2,""*""))-AB168),"""")"),"")</f>
        <v/>
      </c>
      <c r="AB168" s="23" t="str">
        <f>IFERROR(__xludf.DUMMYFUNCTION("if(countif(filter(Status!$C:$C,Status!$A:$A=$A168),CONCATENATE(AB$2,""*""))&gt;0,countif(filter(Status!$C:$C,Status!$A:$A=$A168),CONCATENATE(AB$2,""*"")),"""")"),"")</f>
        <v/>
      </c>
      <c r="AC168" s="23" t="str">
        <f>IFERROR(__xludf.DUMMYFUNCTION("if(countif(filter(Status!$C:$C,Status!$A:$A=$A168),CONCATENATE(AC$2,""*""))&gt;0,countif(filter(Status!$C:$C,Status!$A:$A=$A168),CONCATENATE(AC$2,""*"")),"""")"),"")</f>
        <v/>
      </c>
      <c r="AD168" s="23" t="str">
        <f>IFERROR(__xludf.DUMMYFUNCTION("if(countif(filter(Status!$C:$C,Status!$A:$A=$A168),CONCATENATE(AD$2,""*""))&gt;0,countif(filter(Status!$C:$C,Status!$A:$A=$A168),CONCATENATE(AD$2,""*"")),"""")"),"")</f>
        <v/>
      </c>
      <c r="AE168" s="23" t="str">
        <f>IFERROR(__xludf.DUMMYFUNCTION("if(countif(filter(Status!$C:$C,Status!$A:$A=$A168),CONCATENATE(AE$2,""*""))&gt;0,countif(filter(Status!$C:$C,Status!$A:$A=$A168),CONCATENATE(AE$2,""*"")),"""")"),"")</f>
        <v/>
      </c>
      <c r="AF168" s="23" t="str">
        <f>IFERROR(__xludf.DUMMYFUNCTION("if(countif(filter(Status!$C:$C,Status!$A:$A=$A168),CONCATENATE(AF$2,""*""))&gt;0,countif(filter(Status!$C:$C,Status!$A:$A=$A168),CONCATENATE(AF$2,""*"")),"""")"),"")</f>
        <v/>
      </c>
      <c r="AG168" s="23" t="str">
        <f>IFERROR(__xludf.DUMMYFUNCTION("if(countif(filter(Status!$C:$C,Status!$A:$A=$A168),CONCATENATE(AG$2,""*""))&gt;0,countif(filter(Status!$C:$C,Status!$A:$A=$A168),CONCATENATE(AG$2,""*"")),"""")"),"")</f>
        <v/>
      </c>
      <c r="AH168" s="23" t="str">
        <f>IFERROR(__xludf.DUMMYFUNCTION("if(countif(filter(Status!$C:$C,Status!$A:$A=$A168),CONCATENATE(AH$2,""*""))&gt;0,countif(filter(Status!$C:$C,Status!$A:$A=$A168),CONCATENATE(AH$2,""*"")),"""")"),"")</f>
        <v/>
      </c>
      <c r="AI168" s="23" t="str">
        <f>IFERROR(__xludf.DUMMYFUNCTION("if(countif(filter(Status!$C:$C,Status!$A:$A=$A168),CONCATENATE(AI$2,""*""))&gt;0,countif(filter(Status!$C:$C,Status!$A:$A=$A168),CONCATENATE(AI$2,""*"")),"""")"),"")</f>
        <v/>
      </c>
      <c r="AJ168" s="23" t="str">
        <f>IFERROR(__xludf.DUMMYFUNCTION("if(countif(filter(Status!$C:$C,Status!$A:$A=$A168),CONCATENATE(AJ$2,""*""))&gt;0,countif(filter(Status!$C:$C,Status!$A:$A=$A168),CONCATENATE(AJ$2,""*"")),"""")"),"")</f>
        <v/>
      </c>
      <c r="AK168" s="23" t="str">
        <f>IFERROR(__xludf.DUMMYFUNCTION("if(countif(filter(Status!$C:$C,Status!$A:$A=$A168),CONCATENATE(AK$2,""*""))&gt;0,countif(filter(Status!$C:$C,Status!$A:$A=$A168),CONCATENATE(AK$2,""*"")),"""")"),"")</f>
        <v/>
      </c>
      <c r="AL168" s="23" t="str">
        <f>IFERROR(__xludf.DUMMYFUNCTION("if(countif(filter(Status!$C:$C,Status!$A:$A=$A168),CONCATENATE(AL$2,""*""))&gt;0,countif(filter(Status!$C:$C,Status!$A:$A=$A168),CONCATENATE(AL$2,""*"")),"""")"),"")</f>
        <v/>
      </c>
      <c r="AM168" s="23" t="str">
        <f>IFERROR(__xludf.DUMMYFUNCTION("if(countif(filter(Status!$C:$C,Status!$A:$A=$A168),CONCATENATE(AM$2,""*""))&gt;0,countif(filter(Status!$C:$C,Status!$A:$A=$A168),CONCATENATE(AM$2,""*"")),"""")"),"")</f>
        <v/>
      </c>
      <c r="AN168" s="23" t="str">
        <f>IFERROR(__xludf.DUMMYFUNCTION("if(countif(filter(Status!$C:$C,Status!$A:$A=$A168),CONCATENATE(AN$2,""*""))&gt;0,countif(filter(Status!$C:$C,Status!$A:$A=$A168),CONCATENATE(AN$2,""*"")),"""")"),"")</f>
        <v/>
      </c>
      <c r="AO168" s="23" t="str">
        <f>IFERROR(__xludf.DUMMYFUNCTION("if(countif(filter(Status!$C:$C,Status!$A:$A=$A168),CONCATENATE(AO$2,""*""))&gt;0,countif(filter(Status!$C:$C,Status!$A:$A=$A168),CONCATENATE(AO$2,""*"")),"""")"),"")</f>
        <v/>
      </c>
      <c r="AP168" s="23">
        <f>IFERROR(__xludf.DUMMYFUNCTION("counta(iferror(filter(Status!C:C,Status!A:A=A168)))"),0.0)</f>
        <v>0</v>
      </c>
      <c r="AQ168" s="23">
        <f t="shared" si="6"/>
        <v>0</v>
      </c>
    </row>
    <row r="169">
      <c r="A169" s="1" t="s">
        <v>1216</v>
      </c>
      <c r="B169" s="25" t="str">
        <f>IFERROR(__xludf.DUMMYFUNCTION("max(filter(Status!E:E,Status!A:A=A169))"),"#N/A")</f>
        <v>#N/A</v>
      </c>
      <c r="C169" s="23" t="str">
        <f t="shared" si="1"/>
        <v/>
      </c>
      <c r="D169" s="23" t="str">
        <f t="shared" si="2"/>
        <v/>
      </c>
      <c r="E169" s="23" t="str">
        <f t="shared" si="3"/>
        <v/>
      </c>
      <c r="F169" s="23" t="str">
        <f t="shared" si="4"/>
        <v/>
      </c>
      <c r="G169" s="25" t="str">
        <f t="shared" si="5"/>
        <v/>
      </c>
      <c r="J169" s="23">
        <f>IFERROR(__xludf.DUMMYFUNCTION("COUNTA(iferror(filter(Status!H:H,Status!A:A=A169)))"),0.0)</f>
        <v>0</v>
      </c>
      <c r="K169" s="25">
        <f>IFERROR(__xludf.DUMMYFUNCTION("COUNTA(iferror(filter(Status!H:H,Status!A:A=A169,Status!H:H=TRUE)))"),0.0)</f>
        <v>0</v>
      </c>
      <c r="L169" s="23">
        <f>IFERROR(__xludf.DUMMYFUNCTION("COUNTA(iferror(filter(Status!L:L,Status!A:A=A169)))"),0.0)</f>
        <v>0</v>
      </c>
      <c r="M169" s="25">
        <f>IFERROR(__xludf.DUMMYFUNCTION("COUNTA(iferror(filter(Status!L:L,Status!A:A=A169,Status!L:L=TRUE)))"),0.0)</f>
        <v>0</v>
      </c>
      <c r="N169" s="23">
        <f>IFERROR(__xludf.DUMMYFUNCTION("COUNTA(iferror(filter(Status!N:N,Status!A:A=A169,Status!N:N=TRUE)))"),0.0)</f>
        <v>0</v>
      </c>
      <c r="O169" s="25">
        <f>IFERROR(__xludf.DUMMYFUNCTION("COUNTA(iferror(filter(Status!N:N,Status!A:A=A169,Status!N:N=TRUE)))"),0.0)</f>
        <v>0</v>
      </c>
      <c r="P169" s="23">
        <f>IFERROR(__xludf.DUMMYFUNCTION("COUNTA(iferror(filter(Status!P:P,Status!A:A=A169)))"),0.0)</f>
        <v>0</v>
      </c>
      <c r="Q169" s="25">
        <f>IFERROR(__xludf.DUMMYFUNCTION("COUNTA(iferror(filter(Status!P:P,Status!A:A=A169,Status!P:P=TRUE)))"),0.0)</f>
        <v>0</v>
      </c>
      <c r="R169" s="23">
        <f>IFERROR(__xludf.DUMMYFUNCTION("COUNTA(iferror(filter(Status!R:R,Status!A:A=A169)))"),0.0)</f>
        <v>0</v>
      </c>
      <c r="S169" s="25">
        <f>IFERROR(__xludf.DUMMYFUNCTION("COUNTA(iferror(filter(Status!R:R,Status!A:A=A169,Status!R:R=TRUE)))"),0.0)</f>
        <v>0</v>
      </c>
      <c r="V169" s="23" t="str">
        <f>IFERROR(__xludf.DUMMYFUNCTION("if((countif(filter(Status!$C:$C,Status!$A:$A=$A169),CONCATENATE(V$2,""*""))-W169)&gt;0,(countif(filter(Status!$C:$C,Status!$A:$A=$A169),CONCATENATE(V$2,""*""))-W169),"""")"),"")</f>
        <v/>
      </c>
      <c r="W169" s="23" t="str">
        <f>IFERROR(__xludf.DUMMYFUNCTION("if(countif(filter(Status!$C:$C,Status!$A:$A=$A169),CONCATENATE(W$2,""*""))&gt;0,countif(filter(Status!$C:$C,Status!$A:$A=$A169),CONCATENATE(W$2,""*"")),"""")"),"")</f>
        <v/>
      </c>
      <c r="X169" s="23" t="str">
        <f>IFERROR(__xludf.DUMMYFUNCTION("if(countif(filter(Status!$C:$C,Status!$A:$A=$A169),CONCATENATE(X$2,""*""))&gt;0,countif(filter(Status!$C:$C,Status!$A:$A=$A169),CONCATENATE(X$2,""*"")),"""")"),"")</f>
        <v/>
      </c>
      <c r="Y169" s="23" t="str">
        <f>IFERROR(__xludf.DUMMYFUNCTION("if(countif(filter(Status!$C:$C,Status!$A:$A=$A169),CONCATENATE(Y$2,""*""))&gt;0,countif(filter(Status!$C:$C,Status!$A:$A=$A169),CONCATENATE(Y$2,""*"")),"""")"),"")</f>
        <v/>
      </c>
      <c r="Z169" s="23" t="str">
        <f>IFERROR(__xludf.DUMMYFUNCTION("if(countif(filter(Status!$C:$C,Status!$A:$A=$A169),CONCATENATE(Z$2,""*""))&gt;0,countif(filter(Status!$C:$C,Status!$A:$A=$A169),CONCATENATE(Z$2,""*"")),"""")"),"")</f>
        <v/>
      </c>
      <c r="AA169" s="23" t="str">
        <f>IFERROR(__xludf.DUMMYFUNCTION("if((countif(filter(Status!$C:$C,Status!$A:$A=$A169),CONCATENATE(AA$2,""*""))-AB169)&gt;0,(countif(filter(Status!$C:$C,Status!$A:$A=$A169),CONCATENATE(AA$2,""*""))-AB169),"""")"),"")</f>
        <v/>
      </c>
      <c r="AB169" s="23" t="str">
        <f>IFERROR(__xludf.DUMMYFUNCTION("if(countif(filter(Status!$C:$C,Status!$A:$A=$A169),CONCATENATE(AB$2,""*""))&gt;0,countif(filter(Status!$C:$C,Status!$A:$A=$A169),CONCATENATE(AB$2,""*"")),"""")"),"")</f>
        <v/>
      </c>
      <c r="AC169" s="23" t="str">
        <f>IFERROR(__xludf.DUMMYFUNCTION("if(countif(filter(Status!$C:$C,Status!$A:$A=$A169),CONCATENATE(AC$2,""*""))&gt;0,countif(filter(Status!$C:$C,Status!$A:$A=$A169),CONCATENATE(AC$2,""*"")),"""")"),"")</f>
        <v/>
      </c>
      <c r="AD169" s="23" t="str">
        <f>IFERROR(__xludf.DUMMYFUNCTION("if(countif(filter(Status!$C:$C,Status!$A:$A=$A169),CONCATENATE(AD$2,""*""))&gt;0,countif(filter(Status!$C:$C,Status!$A:$A=$A169),CONCATENATE(AD$2,""*"")),"""")"),"")</f>
        <v/>
      </c>
      <c r="AE169" s="23" t="str">
        <f>IFERROR(__xludf.DUMMYFUNCTION("if(countif(filter(Status!$C:$C,Status!$A:$A=$A169),CONCATENATE(AE$2,""*""))&gt;0,countif(filter(Status!$C:$C,Status!$A:$A=$A169),CONCATENATE(AE$2,""*"")),"""")"),"")</f>
        <v/>
      </c>
      <c r="AF169" s="23" t="str">
        <f>IFERROR(__xludf.DUMMYFUNCTION("if(countif(filter(Status!$C:$C,Status!$A:$A=$A169),CONCATENATE(AF$2,""*""))&gt;0,countif(filter(Status!$C:$C,Status!$A:$A=$A169),CONCATENATE(AF$2,""*"")),"""")"),"")</f>
        <v/>
      </c>
      <c r="AG169" s="23" t="str">
        <f>IFERROR(__xludf.DUMMYFUNCTION("if(countif(filter(Status!$C:$C,Status!$A:$A=$A169),CONCATENATE(AG$2,""*""))&gt;0,countif(filter(Status!$C:$C,Status!$A:$A=$A169),CONCATENATE(AG$2,""*"")),"""")"),"")</f>
        <v/>
      </c>
      <c r="AH169" s="23" t="str">
        <f>IFERROR(__xludf.DUMMYFUNCTION("if(countif(filter(Status!$C:$C,Status!$A:$A=$A169),CONCATENATE(AH$2,""*""))&gt;0,countif(filter(Status!$C:$C,Status!$A:$A=$A169),CONCATENATE(AH$2,""*"")),"""")"),"")</f>
        <v/>
      </c>
      <c r="AI169" s="23" t="str">
        <f>IFERROR(__xludf.DUMMYFUNCTION("if(countif(filter(Status!$C:$C,Status!$A:$A=$A169),CONCATENATE(AI$2,""*""))&gt;0,countif(filter(Status!$C:$C,Status!$A:$A=$A169),CONCATENATE(AI$2,""*"")),"""")"),"")</f>
        <v/>
      </c>
      <c r="AJ169" s="23" t="str">
        <f>IFERROR(__xludf.DUMMYFUNCTION("if(countif(filter(Status!$C:$C,Status!$A:$A=$A169),CONCATENATE(AJ$2,""*""))&gt;0,countif(filter(Status!$C:$C,Status!$A:$A=$A169),CONCATENATE(AJ$2,""*"")),"""")"),"")</f>
        <v/>
      </c>
      <c r="AK169" s="23" t="str">
        <f>IFERROR(__xludf.DUMMYFUNCTION("if(countif(filter(Status!$C:$C,Status!$A:$A=$A169),CONCATENATE(AK$2,""*""))&gt;0,countif(filter(Status!$C:$C,Status!$A:$A=$A169),CONCATENATE(AK$2,""*"")),"""")"),"")</f>
        <v/>
      </c>
      <c r="AL169" s="23" t="str">
        <f>IFERROR(__xludf.DUMMYFUNCTION("if(countif(filter(Status!$C:$C,Status!$A:$A=$A169),CONCATENATE(AL$2,""*""))&gt;0,countif(filter(Status!$C:$C,Status!$A:$A=$A169),CONCATENATE(AL$2,""*"")),"""")"),"")</f>
        <v/>
      </c>
      <c r="AM169" s="23" t="str">
        <f>IFERROR(__xludf.DUMMYFUNCTION("if(countif(filter(Status!$C:$C,Status!$A:$A=$A169),CONCATENATE(AM$2,""*""))&gt;0,countif(filter(Status!$C:$C,Status!$A:$A=$A169),CONCATENATE(AM$2,""*"")),"""")"),"")</f>
        <v/>
      </c>
      <c r="AN169" s="23" t="str">
        <f>IFERROR(__xludf.DUMMYFUNCTION("if(countif(filter(Status!$C:$C,Status!$A:$A=$A169),CONCATENATE(AN$2,""*""))&gt;0,countif(filter(Status!$C:$C,Status!$A:$A=$A169),CONCATENATE(AN$2,""*"")),"""")"),"")</f>
        <v/>
      </c>
      <c r="AO169" s="23" t="str">
        <f>IFERROR(__xludf.DUMMYFUNCTION("if(countif(filter(Status!$C:$C,Status!$A:$A=$A169),CONCATENATE(AO$2,""*""))&gt;0,countif(filter(Status!$C:$C,Status!$A:$A=$A169),CONCATENATE(AO$2,""*"")),"""")"),"")</f>
        <v/>
      </c>
      <c r="AP169" s="23">
        <f>IFERROR(__xludf.DUMMYFUNCTION("counta(iferror(filter(Status!C:C,Status!A:A=A169)))"),0.0)</f>
        <v>0</v>
      </c>
      <c r="AQ169" s="23">
        <f t="shared" si="6"/>
        <v>0</v>
      </c>
    </row>
    <row r="170">
      <c r="A170" s="1" t="s">
        <v>1220</v>
      </c>
      <c r="B170" s="25" t="str">
        <f>IFERROR(__xludf.DUMMYFUNCTION("max(filter(Status!E:E,Status!A:A=A170))"),"#N/A")</f>
        <v>#N/A</v>
      </c>
      <c r="C170" s="23" t="str">
        <f t="shared" si="1"/>
        <v/>
      </c>
      <c r="D170" s="23" t="str">
        <f t="shared" si="2"/>
        <v/>
      </c>
      <c r="E170" s="23" t="str">
        <f t="shared" si="3"/>
        <v/>
      </c>
      <c r="F170" s="23" t="str">
        <f t="shared" si="4"/>
        <v/>
      </c>
      <c r="G170" s="25" t="str">
        <f t="shared" si="5"/>
        <v/>
      </c>
      <c r="J170" s="23">
        <f>IFERROR(__xludf.DUMMYFUNCTION("COUNTA(iferror(filter(Status!H:H,Status!A:A=A170)))"),0.0)</f>
        <v>0</v>
      </c>
      <c r="K170" s="25">
        <f>IFERROR(__xludf.DUMMYFUNCTION("COUNTA(iferror(filter(Status!H:H,Status!A:A=A170,Status!H:H=TRUE)))"),0.0)</f>
        <v>0</v>
      </c>
      <c r="L170" s="23">
        <f>IFERROR(__xludf.DUMMYFUNCTION("COUNTA(iferror(filter(Status!L:L,Status!A:A=A170)))"),0.0)</f>
        <v>0</v>
      </c>
      <c r="M170" s="25">
        <f>IFERROR(__xludf.DUMMYFUNCTION("COUNTA(iferror(filter(Status!L:L,Status!A:A=A170,Status!L:L=TRUE)))"),0.0)</f>
        <v>0</v>
      </c>
      <c r="N170" s="23">
        <f>IFERROR(__xludf.DUMMYFUNCTION("COUNTA(iferror(filter(Status!N:N,Status!A:A=A170,Status!N:N=TRUE)))"),0.0)</f>
        <v>0</v>
      </c>
      <c r="O170" s="25">
        <f>IFERROR(__xludf.DUMMYFUNCTION("COUNTA(iferror(filter(Status!N:N,Status!A:A=A170,Status!N:N=TRUE)))"),0.0)</f>
        <v>0</v>
      </c>
      <c r="P170" s="23">
        <f>IFERROR(__xludf.DUMMYFUNCTION("COUNTA(iferror(filter(Status!P:P,Status!A:A=A170)))"),0.0)</f>
        <v>0</v>
      </c>
      <c r="Q170" s="25">
        <f>IFERROR(__xludf.DUMMYFUNCTION("COUNTA(iferror(filter(Status!P:P,Status!A:A=A170,Status!P:P=TRUE)))"),0.0)</f>
        <v>0</v>
      </c>
      <c r="R170" s="23">
        <f>IFERROR(__xludf.DUMMYFUNCTION("COUNTA(iferror(filter(Status!R:R,Status!A:A=A170)))"),0.0)</f>
        <v>0</v>
      </c>
      <c r="S170" s="25">
        <f>IFERROR(__xludf.DUMMYFUNCTION("COUNTA(iferror(filter(Status!R:R,Status!A:A=A170,Status!R:R=TRUE)))"),0.0)</f>
        <v>0</v>
      </c>
      <c r="V170" s="23" t="str">
        <f>IFERROR(__xludf.DUMMYFUNCTION("if((countif(filter(Status!$C:$C,Status!$A:$A=$A170),CONCATENATE(V$2,""*""))-W170)&gt;0,(countif(filter(Status!$C:$C,Status!$A:$A=$A170),CONCATENATE(V$2,""*""))-W170),"""")"),"")</f>
        <v/>
      </c>
      <c r="W170" s="23" t="str">
        <f>IFERROR(__xludf.DUMMYFUNCTION("if(countif(filter(Status!$C:$C,Status!$A:$A=$A170),CONCATENATE(W$2,""*""))&gt;0,countif(filter(Status!$C:$C,Status!$A:$A=$A170),CONCATENATE(W$2,""*"")),"""")"),"")</f>
        <v/>
      </c>
      <c r="X170" s="23" t="str">
        <f>IFERROR(__xludf.DUMMYFUNCTION("if(countif(filter(Status!$C:$C,Status!$A:$A=$A170),CONCATENATE(X$2,""*""))&gt;0,countif(filter(Status!$C:$C,Status!$A:$A=$A170),CONCATENATE(X$2,""*"")),"""")"),"")</f>
        <v/>
      </c>
      <c r="Y170" s="23" t="str">
        <f>IFERROR(__xludf.DUMMYFUNCTION("if(countif(filter(Status!$C:$C,Status!$A:$A=$A170),CONCATENATE(Y$2,""*""))&gt;0,countif(filter(Status!$C:$C,Status!$A:$A=$A170),CONCATENATE(Y$2,""*"")),"""")"),"")</f>
        <v/>
      </c>
      <c r="Z170" s="23" t="str">
        <f>IFERROR(__xludf.DUMMYFUNCTION("if(countif(filter(Status!$C:$C,Status!$A:$A=$A170),CONCATENATE(Z$2,""*""))&gt;0,countif(filter(Status!$C:$C,Status!$A:$A=$A170),CONCATENATE(Z$2,""*"")),"""")"),"")</f>
        <v/>
      </c>
      <c r="AA170" s="23" t="str">
        <f>IFERROR(__xludf.DUMMYFUNCTION("if((countif(filter(Status!$C:$C,Status!$A:$A=$A170),CONCATENATE(AA$2,""*""))-AB170)&gt;0,(countif(filter(Status!$C:$C,Status!$A:$A=$A170),CONCATENATE(AA$2,""*""))-AB170),"""")"),"")</f>
        <v/>
      </c>
      <c r="AB170" s="23" t="str">
        <f>IFERROR(__xludf.DUMMYFUNCTION("if(countif(filter(Status!$C:$C,Status!$A:$A=$A170),CONCATENATE(AB$2,""*""))&gt;0,countif(filter(Status!$C:$C,Status!$A:$A=$A170),CONCATENATE(AB$2,""*"")),"""")"),"")</f>
        <v/>
      </c>
      <c r="AC170" s="23" t="str">
        <f>IFERROR(__xludf.DUMMYFUNCTION("if(countif(filter(Status!$C:$C,Status!$A:$A=$A170),CONCATENATE(AC$2,""*""))&gt;0,countif(filter(Status!$C:$C,Status!$A:$A=$A170),CONCATENATE(AC$2,""*"")),"""")"),"")</f>
        <v/>
      </c>
      <c r="AD170" s="23" t="str">
        <f>IFERROR(__xludf.DUMMYFUNCTION("if(countif(filter(Status!$C:$C,Status!$A:$A=$A170),CONCATENATE(AD$2,""*""))&gt;0,countif(filter(Status!$C:$C,Status!$A:$A=$A170),CONCATENATE(AD$2,""*"")),"""")"),"")</f>
        <v/>
      </c>
      <c r="AE170" s="23" t="str">
        <f>IFERROR(__xludf.DUMMYFUNCTION("if(countif(filter(Status!$C:$C,Status!$A:$A=$A170),CONCATENATE(AE$2,""*""))&gt;0,countif(filter(Status!$C:$C,Status!$A:$A=$A170),CONCATENATE(AE$2,""*"")),"""")"),"")</f>
        <v/>
      </c>
      <c r="AF170" s="23" t="str">
        <f>IFERROR(__xludf.DUMMYFUNCTION("if(countif(filter(Status!$C:$C,Status!$A:$A=$A170),CONCATENATE(AF$2,""*""))&gt;0,countif(filter(Status!$C:$C,Status!$A:$A=$A170),CONCATENATE(AF$2,""*"")),"""")"),"")</f>
        <v/>
      </c>
      <c r="AG170" s="23" t="str">
        <f>IFERROR(__xludf.DUMMYFUNCTION("if(countif(filter(Status!$C:$C,Status!$A:$A=$A170),CONCATENATE(AG$2,""*""))&gt;0,countif(filter(Status!$C:$C,Status!$A:$A=$A170),CONCATENATE(AG$2,""*"")),"""")"),"")</f>
        <v/>
      </c>
      <c r="AH170" s="23" t="str">
        <f>IFERROR(__xludf.DUMMYFUNCTION("if(countif(filter(Status!$C:$C,Status!$A:$A=$A170),CONCATENATE(AH$2,""*""))&gt;0,countif(filter(Status!$C:$C,Status!$A:$A=$A170),CONCATENATE(AH$2,""*"")),"""")"),"")</f>
        <v/>
      </c>
      <c r="AI170" s="23" t="str">
        <f>IFERROR(__xludf.DUMMYFUNCTION("if(countif(filter(Status!$C:$C,Status!$A:$A=$A170),CONCATENATE(AI$2,""*""))&gt;0,countif(filter(Status!$C:$C,Status!$A:$A=$A170),CONCATENATE(AI$2,""*"")),"""")"),"")</f>
        <v/>
      </c>
      <c r="AJ170" s="23" t="str">
        <f>IFERROR(__xludf.DUMMYFUNCTION("if(countif(filter(Status!$C:$C,Status!$A:$A=$A170),CONCATENATE(AJ$2,""*""))&gt;0,countif(filter(Status!$C:$C,Status!$A:$A=$A170),CONCATENATE(AJ$2,""*"")),"""")"),"")</f>
        <v/>
      </c>
      <c r="AK170" s="23" t="str">
        <f>IFERROR(__xludf.DUMMYFUNCTION("if(countif(filter(Status!$C:$C,Status!$A:$A=$A170),CONCATENATE(AK$2,""*""))&gt;0,countif(filter(Status!$C:$C,Status!$A:$A=$A170),CONCATENATE(AK$2,""*"")),"""")"),"")</f>
        <v/>
      </c>
      <c r="AL170" s="23" t="str">
        <f>IFERROR(__xludf.DUMMYFUNCTION("if(countif(filter(Status!$C:$C,Status!$A:$A=$A170),CONCATENATE(AL$2,""*""))&gt;0,countif(filter(Status!$C:$C,Status!$A:$A=$A170),CONCATENATE(AL$2,""*"")),"""")"),"")</f>
        <v/>
      </c>
      <c r="AM170" s="23" t="str">
        <f>IFERROR(__xludf.DUMMYFUNCTION("if(countif(filter(Status!$C:$C,Status!$A:$A=$A170),CONCATENATE(AM$2,""*""))&gt;0,countif(filter(Status!$C:$C,Status!$A:$A=$A170),CONCATENATE(AM$2,""*"")),"""")"),"")</f>
        <v/>
      </c>
      <c r="AN170" s="23" t="str">
        <f>IFERROR(__xludf.DUMMYFUNCTION("if(countif(filter(Status!$C:$C,Status!$A:$A=$A170),CONCATENATE(AN$2,""*""))&gt;0,countif(filter(Status!$C:$C,Status!$A:$A=$A170),CONCATENATE(AN$2,""*"")),"""")"),"")</f>
        <v/>
      </c>
      <c r="AO170" s="23" t="str">
        <f>IFERROR(__xludf.DUMMYFUNCTION("if(countif(filter(Status!$C:$C,Status!$A:$A=$A170),CONCATENATE(AO$2,""*""))&gt;0,countif(filter(Status!$C:$C,Status!$A:$A=$A170),CONCATENATE(AO$2,""*"")),"""")"),"")</f>
        <v/>
      </c>
      <c r="AP170" s="23">
        <f>IFERROR(__xludf.DUMMYFUNCTION("counta(iferror(filter(Status!C:C,Status!A:A=A170)))"),0.0)</f>
        <v>0</v>
      </c>
      <c r="AQ170" s="23">
        <f t="shared" si="6"/>
        <v>0</v>
      </c>
    </row>
    <row r="171">
      <c r="A171" s="1" t="s">
        <v>1223</v>
      </c>
      <c r="B171" s="25" t="str">
        <f>IFERROR(__xludf.DUMMYFUNCTION("max(filter(Status!E:E,Status!A:A=A171))"),"#N/A")</f>
        <v>#N/A</v>
      </c>
      <c r="C171" s="23" t="str">
        <f t="shared" si="1"/>
        <v/>
      </c>
      <c r="D171" s="23" t="str">
        <f t="shared" si="2"/>
        <v/>
      </c>
      <c r="E171" s="23" t="str">
        <f t="shared" si="3"/>
        <v/>
      </c>
      <c r="F171" s="23" t="str">
        <f t="shared" si="4"/>
        <v/>
      </c>
      <c r="G171" s="25" t="str">
        <f t="shared" si="5"/>
        <v/>
      </c>
      <c r="J171" s="23">
        <f>IFERROR(__xludf.DUMMYFUNCTION("COUNTA(iferror(filter(Status!H:H,Status!A:A=A171)))"),0.0)</f>
        <v>0</v>
      </c>
      <c r="K171" s="25">
        <f>IFERROR(__xludf.DUMMYFUNCTION("COUNTA(iferror(filter(Status!H:H,Status!A:A=A171,Status!H:H=TRUE)))"),0.0)</f>
        <v>0</v>
      </c>
      <c r="L171" s="23">
        <f>IFERROR(__xludf.DUMMYFUNCTION("COUNTA(iferror(filter(Status!L:L,Status!A:A=A171)))"),0.0)</f>
        <v>0</v>
      </c>
      <c r="M171" s="25">
        <f>IFERROR(__xludf.DUMMYFUNCTION("COUNTA(iferror(filter(Status!L:L,Status!A:A=A171,Status!L:L=TRUE)))"),0.0)</f>
        <v>0</v>
      </c>
      <c r="N171" s="23">
        <f>IFERROR(__xludf.DUMMYFUNCTION("COUNTA(iferror(filter(Status!N:N,Status!A:A=A171,Status!N:N=TRUE)))"),0.0)</f>
        <v>0</v>
      </c>
      <c r="O171" s="25">
        <f>IFERROR(__xludf.DUMMYFUNCTION("COUNTA(iferror(filter(Status!N:N,Status!A:A=A171,Status!N:N=TRUE)))"),0.0)</f>
        <v>0</v>
      </c>
      <c r="P171" s="23">
        <f>IFERROR(__xludf.DUMMYFUNCTION("COUNTA(iferror(filter(Status!P:P,Status!A:A=A171)))"),0.0)</f>
        <v>0</v>
      </c>
      <c r="Q171" s="25">
        <f>IFERROR(__xludf.DUMMYFUNCTION("COUNTA(iferror(filter(Status!P:P,Status!A:A=A171,Status!P:P=TRUE)))"),0.0)</f>
        <v>0</v>
      </c>
      <c r="R171" s="23">
        <f>IFERROR(__xludf.DUMMYFUNCTION("COUNTA(iferror(filter(Status!R:R,Status!A:A=A171)))"),0.0)</f>
        <v>0</v>
      </c>
      <c r="S171" s="25">
        <f>IFERROR(__xludf.DUMMYFUNCTION("COUNTA(iferror(filter(Status!R:R,Status!A:A=A171,Status!R:R=TRUE)))"),0.0)</f>
        <v>0</v>
      </c>
      <c r="V171" s="23" t="str">
        <f>IFERROR(__xludf.DUMMYFUNCTION("if((countif(filter(Status!$C:$C,Status!$A:$A=$A171),CONCATENATE(V$2,""*""))-W171)&gt;0,(countif(filter(Status!$C:$C,Status!$A:$A=$A171),CONCATENATE(V$2,""*""))-W171),"""")"),"")</f>
        <v/>
      </c>
      <c r="W171" s="23" t="str">
        <f>IFERROR(__xludf.DUMMYFUNCTION("if(countif(filter(Status!$C:$C,Status!$A:$A=$A171),CONCATENATE(W$2,""*""))&gt;0,countif(filter(Status!$C:$C,Status!$A:$A=$A171),CONCATENATE(W$2,""*"")),"""")"),"")</f>
        <v/>
      </c>
      <c r="X171" s="23" t="str">
        <f>IFERROR(__xludf.DUMMYFUNCTION("if(countif(filter(Status!$C:$C,Status!$A:$A=$A171),CONCATENATE(X$2,""*""))&gt;0,countif(filter(Status!$C:$C,Status!$A:$A=$A171),CONCATENATE(X$2,""*"")),"""")"),"")</f>
        <v/>
      </c>
      <c r="Y171" s="23" t="str">
        <f>IFERROR(__xludf.DUMMYFUNCTION("if(countif(filter(Status!$C:$C,Status!$A:$A=$A171),CONCATENATE(Y$2,""*""))&gt;0,countif(filter(Status!$C:$C,Status!$A:$A=$A171),CONCATENATE(Y$2,""*"")),"""")"),"")</f>
        <v/>
      </c>
      <c r="Z171" s="23" t="str">
        <f>IFERROR(__xludf.DUMMYFUNCTION("if(countif(filter(Status!$C:$C,Status!$A:$A=$A171),CONCATENATE(Z$2,""*""))&gt;0,countif(filter(Status!$C:$C,Status!$A:$A=$A171),CONCATENATE(Z$2,""*"")),"""")"),"")</f>
        <v/>
      </c>
      <c r="AA171" s="23" t="str">
        <f>IFERROR(__xludf.DUMMYFUNCTION("if((countif(filter(Status!$C:$C,Status!$A:$A=$A171),CONCATENATE(AA$2,""*""))-AB171)&gt;0,(countif(filter(Status!$C:$C,Status!$A:$A=$A171),CONCATENATE(AA$2,""*""))-AB171),"""")"),"")</f>
        <v/>
      </c>
      <c r="AB171" s="23" t="str">
        <f>IFERROR(__xludf.DUMMYFUNCTION("if(countif(filter(Status!$C:$C,Status!$A:$A=$A171),CONCATENATE(AB$2,""*""))&gt;0,countif(filter(Status!$C:$C,Status!$A:$A=$A171),CONCATENATE(AB$2,""*"")),"""")"),"")</f>
        <v/>
      </c>
      <c r="AC171" s="23" t="str">
        <f>IFERROR(__xludf.DUMMYFUNCTION("if(countif(filter(Status!$C:$C,Status!$A:$A=$A171),CONCATENATE(AC$2,""*""))&gt;0,countif(filter(Status!$C:$C,Status!$A:$A=$A171),CONCATENATE(AC$2,""*"")),"""")"),"")</f>
        <v/>
      </c>
      <c r="AD171" s="23" t="str">
        <f>IFERROR(__xludf.DUMMYFUNCTION("if(countif(filter(Status!$C:$C,Status!$A:$A=$A171),CONCATENATE(AD$2,""*""))&gt;0,countif(filter(Status!$C:$C,Status!$A:$A=$A171),CONCATENATE(AD$2,""*"")),"""")"),"")</f>
        <v/>
      </c>
      <c r="AE171" s="23" t="str">
        <f>IFERROR(__xludf.DUMMYFUNCTION("if(countif(filter(Status!$C:$C,Status!$A:$A=$A171),CONCATENATE(AE$2,""*""))&gt;0,countif(filter(Status!$C:$C,Status!$A:$A=$A171),CONCATENATE(AE$2,""*"")),"""")"),"")</f>
        <v/>
      </c>
      <c r="AF171" s="23" t="str">
        <f>IFERROR(__xludf.DUMMYFUNCTION("if(countif(filter(Status!$C:$C,Status!$A:$A=$A171),CONCATENATE(AF$2,""*""))&gt;0,countif(filter(Status!$C:$C,Status!$A:$A=$A171),CONCATENATE(AF$2,""*"")),"""")"),"")</f>
        <v/>
      </c>
      <c r="AG171" s="23" t="str">
        <f>IFERROR(__xludf.DUMMYFUNCTION("if(countif(filter(Status!$C:$C,Status!$A:$A=$A171),CONCATENATE(AG$2,""*""))&gt;0,countif(filter(Status!$C:$C,Status!$A:$A=$A171),CONCATENATE(AG$2,""*"")),"""")"),"")</f>
        <v/>
      </c>
      <c r="AH171" s="23" t="str">
        <f>IFERROR(__xludf.DUMMYFUNCTION("if(countif(filter(Status!$C:$C,Status!$A:$A=$A171),CONCATENATE(AH$2,""*""))&gt;0,countif(filter(Status!$C:$C,Status!$A:$A=$A171),CONCATENATE(AH$2,""*"")),"""")"),"")</f>
        <v/>
      </c>
      <c r="AI171" s="23" t="str">
        <f>IFERROR(__xludf.DUMMYFUNCTION("if(countif(filter(Status!$C:$C,Status!$A:$A=$A171),CONCATENATE(AI$2,""*""))&gt;0,countif(filter(Status!$C:$C,Status!$A:$A=$A171),CONCATENATE(AI$2,""*"")),"""")"),"")</f>
        <v/>
      </c>
      <c r="AJ171" s="23" t="str">
        <f>IFERROR(__xludf.DUMMYFUNCTION("if(countif(filter(Status!$C:$C,Status!$A:$A=$A171),CONCATENATE(AJ$2,""*""))&gt;0,countif(filter(Status!$C:$C,Status!$A:$A=$A171),CONCATENATE(AJ$2,""*"")),"""")"),"")</f>
        <v/>
      </c>
      <c r="AK171" s="23" t="str">
        <f>IFERROR(__xludf.DUMMYFUNCTION("if(countif(filter(Status!$C:$C,Status!$A:$A=$A171),CONCATENATE(AK$2,""*""))&gt;0,countif(filter(Status!$C:$C,Status!$A:$A=$A171),CONCATENATE(AK$2,""*"")),"""")"),"")</f>
        <v/>
      </c>
      <c r="AL171" s="23" t="str">
        <f>IFERROR(__xludf.DUMMYFUNCTION("if(countif(filter(Status!$C:$C,Status!$A:$A=$A171),CONCATENATE(AL$2,""*""))&gt;0,countif(filter(Status!$C:$C,Status!$A:$A=$A171),CONCATENATE(AL$2,""*"")),"""")"),"")</f>
        <v/>
      </c>
      <c r="AM171" s="23" t="str">
        <f>IFERROR(__xludf.DUMMYFUNCTION("if(countif(filter(Status!$C:$C,Status!$A:$A=$A171),CONCATENATE(AM$2,""*""))&gt;0,countif(filter(Status!$C:$C,Status!$A:$A=$A171),CONCATENATE(AM$2,""*"")),"""")"),"")</f>
        <v/>
      </c>
      <c r="AN171" s="23" t="str">
        <f>IFERROR(__xludf.DUMMYFUNCTION("if(countif(filter(Status!$C:$C,Status!$A:$A=$A171),CONCATENATE(AN$2,""*""))&gt;0,countif(filter(Status!$C:$C,Status!$A:$A=$A171),CONCATENATE(AN$2,""*"")),"""")"),"")</f>
        <v/>
      </c>
      <c r="AO171" s="23" t="str">
        <f>IFERROR(__xludf.DUMMYFUNCTION("if(countif(filter(Status!$C:$C,Status!$A:$A=$A171),CONCATENATE(AO$2,""*""))&gt;0,countif(filter(Status!$C:$C,Status!$A:$A=$A171),CONCATENATE(AO$2,""*"")),"""")"),"")</f>
        <v/>
      </c>
      <c r="AP171" s="23">
        <f>IFERROR(__xludf.DUMMYFUNCTION("counta(iferror(filter(Status!C:C,Status!A:A=A171)))"),0.0)</f>
        <v>0</v>
      </c>
      <c r="AQ171" s="23">
        <f t="shared" si="6"/>
        <v>0</v>
      </c>
    </row>
    <row r="172">
      <c r="A172" s="1" t="s">
        <v>1226</v>
      </c>
      <c r="B172" s="25" t="str">
        <f>IFERROR(__xludf.DUMMYFUNCTION("max(filter(Status!E:E,Status!A:A=A172))"),"#N/A")</f>
        <v>#N/A</v>
      </c>
      <c r="C172" s="23" t="str">
        <f t="shared" si="1"/>
        <v/>
      </c>
      <c r="D172" s="23" t="str">
        <f t="shared" si="2"/>
        <v/>
      </c>
      <c r="E172" s="23" t="str">
        <f t="shared" si="3"/>
        <v/>
      </c>
      <c r="F172" s="23" t="str">
        <f t="shared" si="4"/>
        <v/>
      </c>
      <c r="G172" s="25" t="str">
        <f t="shared" si="5"/>
        <v/>
      </c>
      <c r="J172" s="23">
        <f>IFERROR(__xludf.DUMMYFUNCTION("COUNTA(iferror(filter(Status!H:H,Status!A:A=A172)))"),0.0)</f>
        <v>0</v>
      </c>
      <c r="K172" s="25">
        <f>IFERROR(__xludf.DUMMYFUNCTION("COUNTA(iferror(filter(Status!H:H,Status!A:A=A172,Status!H:H=TRUE)))"),0.0)</f>
        <v>0</v>
      </c>
      <c r="L172" s="23">
        <f>IFERROR(__xludf.DUMMYFUNCTION("COUNTA(iferror(filter(Status!L:L,Status!A:A=A172)))"),0.0)</f>
        <v>0</v>
      </c>
      <c r="M172" s="25">
        <f>IFERROR(__xludf.DUMMYFUNCTION("COUNTA(iferror(filter(Status!L:L,Status!A:A=A172,Status!L:L=TRUE)))"),0.0)</f>
        <v>0</v>
      </c>
      <c r="N172" s="23">
        <f>IFERROR(__xludf.DUMMYFUNCTION("COUNTA(iferror(filter(Status!N:N,Status!A:A=A172,Status!N:N=TRUE)))"),0.0)</f>
        <v>0</v>
      </c>
      <c r="O172" s="25">
        <f>IFERROR(__xludf.DUMMYFUNCTION("COUNTA(iferror(filter(Status!N:N,Status!A:A=A172,Status!N:N=TRUE)))"),0.0)</f>
        <v>0</v>
      </c>
      <c r="P172" s="23">
        <f>IFERROR(__xludf.DUMMYFUNCTION("COUNTA(iferror(filter(Status!P:P,Status!A:A=A172)))"),0.0)</f>
        <v>0</v>
      </c>
      <c r="Q172" s="25">
        <f>IFERROR(__xludf.DUMMYFUNCTION("COUNTA(iferror(filter(Status!P:P,Status!A:A=A172,Status!P:P=TRUE)))"),0.0)</f>
        <v>0</v>
      </c>
      <c r="R172" s="23">
        <f>IFERROR(__xludf.DUMMYFUNCTION("COUNTA(iferror(filter(Status!R:R,Status!A:A=A172)))"),0.0)</f>
        <v>0</v>
      </c>
      <c r="S172" s="25">
        <f>IFERROR(__xludf.DUMMYFUNCTION("COUNTA(iferror(filter(Status!R:R,Status!A:A=A172,Status!R:R=TRUE)))"),0.0)</f>
        <v>0</v>
      </c>
      <c r="V172" s="23" t="str">
        <f>IFERROR(__xludf.DUMMYFUNCTION("if((countif(filter(Status!$C:$C,Status!$A:$A=$A172),CONCATENATE(V$2,""*""))-W172)&gt;0,(countif(filter(Status!$C:$C,Status!$A:$A=$A172),CONCATENATE(V$2,""*""))-W172),"""")"),"")</f>
        <v/>
      </c>
      <c r="W172" s="23" t="str">
        <f>IFERROR(__xludf.DUMMYFUNCTION("if(countif(filter(Status!$C:$C,Status!$A:$A=$A172),CONCATENATE(W$2,""*""))&gt;0,countif(filter(Status!$C:$C,Status!$A:$A=$A172),CONCATENATE(W$2,""*"")),"""")"),"")</f>
        <v/>
      </c>
      <c r="X172" s="23" t="str">
        <f>IFERROR(__xludf.DUMMYFUNCTION("if(countif(filter(Status!$C:$C,Status!$A:$A=$A172),CONCATENATE(X$2,""*""))&gt;0,countif(filter(Status!$C:$C,Status!$A:$A=$A172),CONCATENATE(X$2,""*"")),"""")"),"")</f>
        <v/>
      </c>
      <c r="Y172" s="23" t="str">
        <f>IFERROR(__xludf.DUMMYFUNCTION("if(countif(filter(Status!$C:$C,Status!$A:$A=$A172),CONCATENATE(Y$2,""*""))&gt;0,countif(filter(Status!$C:$C,Status!$A:$A=$A172),CONCATENATE(Y$2,""*"")),"""")"),"")</f>
        <v/>
      </c>
      <c r="Z172" s="23" t="str">
        <f>IFERROR(__xludf.DUMMYFUNCTION("if(countif(filter(Status!$C:$C,Status!$A:$A=$A172),CONCATENATE(Z$2,""*""))&gt;0,countif(filter(Status!$C:$C,Status!$A:$A=$A172),CONCATENATE(Z$2,""*"")),"""")"),"")</f>
        <v/>
      </c>
      <c r="AA172" s="23" t="str">
        <f>IFERROR(__xludf.DUMMYFUNCTION("if((countif(filter(Status!$C:$C,Status!$A:$A=$A172),CONCATENATE(AA$2,""*""))-AB172)&gt;0,(countif(filter(Status!$C:$C,Status!$A:$A=$A172),CONCATENATE(AA$2,""*""))-AB172),"""")"),"")</f>
        <v/>
      </c>
      <c r="AB172" s="23" t="str">
        <f>IFERROR(__xludf.DUMMYFUNCTION("if(countif(filter(Status!$C:$C,Status!$A:$A=$A172),CONCATENATE(AB$2,""*""))&gt;0,countif(filter(Status!$C:$C,Status!$A:$A=$A172),CONCATENATE(AB$2,""*"")),"""")"),"")</f>
        <v/>
      </c>
      <c r="AC172" s="23" t="str">
        <f>IFERROR(__xludf.DUMMYFUNCTION("if(countif(filter(Status!$C:$C,Status!$A:$A=$A172),CONCATENATE(AC$2,""*""))&gt;0,countif(filter(Status!$C:$C,Status!$A:$A=$A172),CONCATENATE(AC$2,""*"")),"""")"),"")</f>
        <v/>
      </c>
      <c r="AD172" s="23" t="str">
        <f>IFERROR(__xludf.DUMMYFUNCTION("if(countif(filter(Status!$C:$C,Status!$A:$A=$A172),CONCATENATE(AD$2,""*""))&gt;0,countif(filter(Status!$C:$C,Status!$A:$A=$A172),CONCATENATE(AD$2,""*"")),"""")"),"")</f>
        <v/>
      </c>
      <c r="AE172" s="23" t="str">
        <f>IFERROR(__xludf.DUMMYFUNCTION("if(countif(filter(Status!$C:$C,Status!$A:$A=$A172),CONCATENATE(AE$2,""*""))&gt;0,countif(filter(Status!$C:$C,Status!$A:$A=$A172),CONCATENATE(AE$2,""*"")),"""")"),"")</f>
        <v/>
      </c>
      <c r="AF172" s="23" t="str">
        <f>IFERROR(__xludf.DUMMYFUNCTION("if(countif(filter(Status!$C:$C,Status!$A:$A=$A172),CONCATENATE(AF$2,""*""))&gt;0,countif(filter(Status!$C:$C,Status!$A:$A=$A172),CONCATENATE(AF$2,""*"")),"""")"),"")</f>
        <v/>
      </c>
      <c r="AG172" s="23" t="str">
        <f>IFERROR(__xludf.DUMMYFUNCTION("if(countif(filter(Status!$C:$C,Status!$A:$A=$A172),CONCATENATE(AG$2,""*""))&gt;0,countif(filter(Status!$C:$C,Status!$A:$A=$A172),CONCATENATE(AG$2,""*"")),"""")"),"")</f>
        <v/>
      </c>
      <c r="AH172" s="23" t="str">
        <f>IFERROR(__xludf.DUMMYFUNCTION("if(countif(filter(Status!$C:$C,Status!$A:$A=$A172),CONCATENATE(AH$2,""*""))&gt;0,countif(filter(Status!$C:$C,Status!$A:$A=$A172),CONCATENATE(AH$2,""*"")),"""")"),"")</f>
        <v/>
      </c>
      <c r="AI172" s="23" t="str">
        <f>IFERROR(__xludf.DUMMYFUNCTION("if(countif(filter(Status!$C:$C,Status!$A:$A=$A172),CONCATENATE(AI$2,""*""))&gt;0,countif(filter(Status!$C:$C,Status!$A:$A=$A172),CONCATENATE(AI$2,""*"")),"""")"),"")</f>
        <v/>
      </c>
      <c r="AJ172" s="23" t="str">
        <f>IFERROR(__xludf.DUMMYFUNCTION("if(countif(filter(Status!$C:$C,Status!$A:$A=$A172),CONCATENATE(AJ$2,""*""))&gt;0,countif(filter(Status!$C:$C,Status!$A:$A=$A172),CONCATENATE(AJ$2,""*"")),"""")"),"")</f>
        <v/>
      </c>
      <c r="AK172" s="23" t="str">
        <f>IFERROR(__xludf.DUMMYFUNCTION("if(countif(filter(Status!$C:$C,Status!$A:$A=$A172),CONCATENATE(AK$2,""*""))&gt;0,countif(filter(Status!$C:$C,Status!$A:$A=$A172),CONCATENATE(AK$2,""*"")),"""")"),"")</f>
        <v/>
      </c>
      <c r="AL172" s="23" t="str">
        <f>IFERROR(__xludf.DUMMYFUNCTION("if(countif(filter(Status!$C:$C,Status!$A:$A=$A172),CONCATENATE(AL$2,""*""))&gt;0,countif(filter(Status!$C:$C,Status!$A:$A=$A172),CONCATENATE(AL$2,""*"")),"""")"),"")</f>
        <v/>
      </c>
      <c r="AM172" s="23" t="str">
        <f>IFERROR(__xludf.DUMMYFUNCTION("if(countif(filter(Status!$C:$C,Status!$A:$A=$A172),CONCATENATE(AM$2,""*""))&gt;0,countif(filter(Status!$C:$C,Status!$A:$A=$A172),CONCATENATE(AM$2,""*"")),"""")"),"")</f>
        <v/>
      </c>
      <c r="AN172" s="23" t="str">
        <f>IFERROR(__xludf.DUMMYFUNCTION("if(countif(filter(Status!$C:$C,Status!$A:$A=$A172),CONCATENATE(AN$2,""*""))&gt;0,countif(filter(Status!$C:$C,Status!$A:$A=$A172),CONCATENATE(AN$2,""*"")),"""")"),"")</f>
        <v/>
      </c>
      <c r="AO172" s="23" t="str">
        <f>IFERROR(__xludf.DUMMYFUNCTION("if(countif(filter(Status!$C:$C,Status!$A:$A=$A172),CONCATENATE(AO$2,""*""))&gt;0,countif(filter(Status!$C:$C,Status!$A:$A=$A172),CONCATENATE(AO$2,""*"")),"""")"),"")</f>
        <v/>
      </c>
      <c r="AP172" s="23">
        <f>IFERROR(__xludf.DUMMYFUNCTION("counta(iferror(filter(Status!C:C,Status!A:A=A172)))"),0.0)</f>
        <v>0</v>
      </c>
      <c r="AQ172" s="23">
        <f t="shared" si="6"/>
        <v>0</v>
      </c>
    </row>
    <row r="173">
      <c r="A173" s="1" t="s">
        <v>1229</v>
      </c>
      <c r="B173" s="25" t="str">
        <f>IFERROR(__xludf.DUMMYFUNCTION("max(filter(Status!E:E,Status!A:A=A173))"),"#N/A")</f>
        <v>#N/A</v>
      </c>
      <c r="C173" s="23" t="str">
        <f t="shared" si="1"/>
        <v/>
      </c>
      <c r="D173" s="23" t="str">
        <f t="shared" si="2"/>
        <v/>
      </c>
      <c r="E173" s="23" t="str">
        <f t="shared" si="3"/>
        <v/>
      </c>
      <c r="F173" s="23" t="str">
        <f t="shared" si="4"/>
        <v/>
      </c>
      <c r="G173" s="25" t="str">
        <f t="shared" si="5"/>
        <v/>
      </c>
      <c r="J173" s="23">
        <f>IFERROR(__xludf.DUMMYFUNCTION("COUNTA(iferror(filter(Status!H:H,Status!A:A=A173)))"),0.0)</f>
        <v>0</v>
      </c>
      <c r="K173" s="25">
        <f>IFERROR(__xludf.DUMMYFUNCTION("COUNTA(iferror(filter(Status!H:H,Status!A:A=A173,Status!H:H=TRUE)))"),0.0)</f>
        <v>0</v>
      </c>
      <c r="L173" s="23">
        <f>IFERROR(__xludf.DUMMYFUNCTION("COUNTA(iferror(filter(Status!L:L,Status!A:A=A173)))"),0.0)</f>
        <v>0</v>
      </c>
      <c r="M173" s="25">
        <f>IFERROR(__xludf.DUMMYFUNCTION("COUNTA(iferror(filter(Status!L:L,Status!A:A=A173,Status!L:L=TRUE)))"),0.0)</f>
        <v>0</v>
      </c>
      <c r="N173" s="23">
        <f>IFERROR(__xludf.DUMMYFUNCTION("COUNTA(iferror(filter(Status!N:N,Status!A:A=A173,Status!N:N=TRUE)))"),0.0)</f>
        <v>0</v>
      </c>
      <c r="O173" s="25">
        <f>IFERROR(__xludf.DUMMYFUNCTION("COUNTA(iferror(filter(Status!N:N,Status!A:A=A173,Status!N:N=TRUE)))"),0.0)</f>
        <v>0</v>
      </c>
      <c r="P173" s="23">
        <f>IFERROR(__xludf.DUMMYFUNCTION("COUNTA(iferror(filter(Status!P:P,Status!A:A=A173)))"),0.0)</f>
        <v>0</v>
      </c>
      <c r="Q173" s="25">
        <f>IFERROR(__xludf.DUMMYFUNCTION("COUNTA(iferror(filter(Status!P:P,Status!A:A=A173,Status!P:P=TRUE)))"),0.0)</f>
        <v>0</v>
      </c>
      <c r="R173" s="23">
        <f>IFERROR(__xludf.DUMMYFUNCTION("COUNTA(iferror(filter(Status!R:R,Status!A:A=A173)))"),0.0)</f>
        <v>0</v>
      </c>
      <c r="S173" s="25">
        <f>IFERROR(__xludf.DUMMYFUNCTION("COUNTA(iferror(filter(Status!R:R,Status!A:A=A173,Status!R:R=TRUE)))"),0.0)</f>
        <v>0</v>
      </c>
      <c r="V173" s="23" t="str">
        <f>IFERROR(__xludf.DUMMYFUNCTION("if((countif(filter(Status!$C:$C,Status!$A:$A=$A173),CONCATENATE(V$2,""*""))-W173)&gt;0,(countif(filter(Status!$C:$C,Status!$A:$A=$A173),CONCATENATE(V$2,""*""))-W173),"""")"),"")</f>
        <v/>
      </c>
      <c r="W173" s="23" t="str">
        <f>IFERROR(__xludf.DUMMYFUNCTION("if(countif(filter(Status!$C:$C,Status!$A:$A=$A173),CONCATENATE(W$2,""*""))&gt;0,countif(filter(Status!$C:$C,Status!$A:$A=$A173),CONCATENATE(W$2,""*"")),"""")"),"")</f>
        <v/>
      </c>
      <c r="X173" s="23" t="str">
        <f>IFERROR(__xludf.DUMMYFUNCTION("if(countif(filter(Status!$C:$C,Status!$A:$A=$A173),CONCATENATE(X$2,""*""))&gt;0,countif(filter(Status!$C:$C,Status!$A:$A=$A173),CONCATENATE(X$2,""*"")),"""")"),"")</f>
        <v/>
      </c>
      <c r="Y173" s="23" t="str">
        <f>IFERROR(__xludf.DUMMYFUNCTION("if(countif(filter(Status!$C:$C,Status!$A:$A=$A173),CONCATENATE(Y$2,""*""))&gt;0,countif(filter(Status!$C:$C,Status!$A:$A=$A173),CONCATENATE(Y$2,""*"")),"""")"),"")</f>
        <v/>
      </c>
      <c r="Z173" s="23" t="str">
        <f>IFERROR(__xludf.DUMMYFUNCTION("if(countif(filter(Status!$C:$C,Status!$A:$A=$A173),CONCATENATE(Z$2,""*""))&gt;0,countif(filter(Status!$C:$C,Status!$A:$A=$A173),CONCATENATE(Z$2,""*"")),"""")"),"")</f>
        <v/>
      </c>
      <c r="AA173" s="23" t="str">
        <f>IFERROR(__xludf.DUMMYFUNCTION("if((countif(filter(Status!$C:$C,Status!$A:$A=$A173),CONCATENATE(AA$2,""*""))-AB173)&gt;0,(countif(filter(Status!$C:$C,Status!$A:$A=$A173),CONCATENATE(AA$2,""*""))-AB173),"""")"),"")</f>
        <v/>
      </c>
      <c r="AB173" s="23" t="str">
        <f>IFERROR(__xludf.DUMMYFUNCTION("if(countif(filter(Status!$C:$C,Status!$A:$A=$A173),CONCATENATE(AB$2,""*""))&gt;0,countif(filter(Status!$C:$C,Status!$A:$A=$A173),CONCATENATE(AB$2,""*"")),"""")"),"")</f>
        <v/>
      </c>
      <c r="AC173" s="23" t="str">
        <f>IFERROR(__xludf.DUMMYFUNCTION("if(countif(filter(Status!$C:$C,Status!$A:$A=$A173),CONCATENATE(AC$2,""*""))&gt;0,countif(filter(Status!$C:$C,Status!$A:$A=$A173),CONCATENATE(AC$2,""*"")),"""")"),"")</f>
        <v/>
      </c>
      <c r="AD173" s="23" t="str">
        <f>IFERROR(__xludf.DUMMYFUNCTION("if(countif(filter(Status!$C:$C,Status!$A:$A=$A173),CONCATENATE(AD$2,""*""))&gt;0,countif(filter(Status!$C:$C,Status!$A:$A=$A173),CONCATENATE(AD$2,""*"")),"""")"),"")</f>
        <v/>
      </c>
      <c r="AE173" s="23" t="str">
        <f>IFERROR(__xludf.DUMMYFUNCTION("if(countif(filter(Status!$C:$C,Status!$A:$A=$A173),CONCATENATE(AE$2,""*""))&gt;0,countif(filter(Status!$C:$C,Status!$A:$A=$A173),CONCATENATE(AE$2,""*"")),"""")"),"")</f>
        <v/>
      </c>
      <c r="AF173" s="23" t="str">
        <f>IFERROR(__xludf.DUMMYFUNCTION("if(countif(filter(Status!$C:$C,Status!$A:$A=$A173),CONCATENATE(AF$2,""*""))&gt;0,countif(filter(Status!$C:$C,Status!$A:$A=$A173),CONCATENATE(AF$2,""*"")),"""")"),"")</f>
        <v/>
      </c>
      <c r="AG173" s="23" t="str">
        <f>IFERROR(__xludf.DUMMYFUNCTION("if(countif(filter(Status!$C:$C,Status!$A:$A=$A173),CONCATENATE(AG$2,""*""))&gt;0,countif(filter(Status!$C:$C,Status!$A:$A=$A173),CONCATENATE(AG$2,""*"")),"""")"),"")</f>
        <v/>
      </c>
      <c r="AH173" s="23" t="str">
        <f>IFERROR(__xludf.DUMMYFUNCTION("if(countif(filter(Status!$C:$C,Status!$A:$A=$A173),CONCATENATE(AH$2,""*""))&gt;0,countif(filter(Status!$C:$C,Status!$A:$A=$A173),CONCATENATE(AH$2,""*"")),"""")"),"")</f>
        <v/>
      </c>
      <c r="AI173" s="23" t="str">
        <f>IFERROR(__xludf.DUMMYFUNCTION("if(countif(filter(Status!$C:$C,Status!$A:$A=$A173),CONCATENATE(AI$2,""*""))&gt;0,countif(filter(Status!$C:$C,Status!$A:$A=$A173),CONCATENATE(AI$2,""*"")),"""")"),"")</f>
        <v/>
      </c>
      <c r="AJ173" s="23" t="str">
        <f>IFERROR(__xludf.DUMMYFUNCTION("if(countif(filter(Status!$C:$C,Status!$A:$A=$A173),CONCATENATE(AJ$2,""*""))&gt;0,countif(filter(Status!$C:$C,Status!$A:$A=$A173),CONCATENATE(AJ$2,""*"")),"""")"),"")</f>
        <v/>
      </c>
      <c r="AK173" s="23" t="str">
        <f>IFERROR(__xludf.DUMMYFUNCTION("if(countif(filter(Status!$C:$C,Status!$A:$A=$A173),CONCATENATE(AK$2,""*""))&gt;0,countif(filter(Status!$C:$C,Status!$A:$A=$A173),CONCATENATE(AK$2,""*"")),"""")"),"")</f>
        <v/>
      </c>
      <c r="AL173" s="23" t="str">
        <f>IFERROR(__xludf.DUMMYFUNCTION("if(countif(filter(Status!$C:$C,Status!$A:$A=$A173),CONCATENATE(AL$2,""*""))&gt;0,countif(filter(Status!$C:$C,Status!$A:$A=$A173),CONCATENATE(AL$2,""*"")),"""")"),"")</f>
        <v/>
      </c>
      <c r="AM173" s="23" t="str">
        <f>IFERROR(__xludf.DUMMYFUNCTION("if(countif(filter(Status!$C:$C,Status!$A:$A=$A173),CONCATENATE(AM$2,""*""))&gt;0,countif(filter(Status!$C:$C,Status!$A:$A=$A173),CONCATENATE(AM$2,""*"")),"""")"),"")</f>
        <v/>
      </c>
      <c r="AN173" s="23" t="str">
        <f>IFERROR(__xludf.DUMMYFUNCTION("if(countif(filter(Status!$C:$C,Status!$A:$A=$A173),CONCATENATE(AN$2,""*""))&gt;0,countif(filter(Status!$C:$C,Status!$A:$A=$A173),CONCATENATE(AN$2,""*"")),"""")"),"")</f>
        <v/>
      </c>
      <c r="AO173" s="23" t="str">
        <f>IFERROR(__xludf.DUMMYFUNCTION("if(countif(filter(Status!$C:$C,Status!$A:$A=$A173),CONCATENATE(AO$2,""*""))&gt;0,countif(filter(Status!$C:$C,Status!$A:$A=$A173),CONCATENATE(AO$2,""*"")),"""")"),"")</f>
        <v/>
      </c>
      <c r="AP173" s="23">
        <f>IFERROR(__xludf.DUMMYFUNCTION("counta(iferror(filter(Status!C:C,Status!A:A=A173)))"),0.0)</f>
        <v>0</v>
      </c>
      <c r="AQ173" s="23">
        <f t="shared" si="6"/>
        <v>0</v>
      </c>
    </row>
    <row r="174">
      <c r="A174" s="1" t="s">
        <v>1232</v>
      </c>
      <c r="B174" s="25" t="str">
        <f>IFERROR(__xludf.DUMMYFUNCTION("max(filter(Status!E:E,Status!A:A=A174))"),"#N/A")</f>
        <v>#N/A</v>
      </c>
      <c r="C174" s="23" t="str">
        <f t="shared" si="1"/>
        <v/>
      </c>
      <c r="D174" s="23" t="str">
        <f t="shared" si="2"/>
        <v/>
      </c>
      <c r="E174" s="23" t="str">
        <f t="shared" si="3"/>
        <v/>
      </c>
      <c r="F174" s="23" t="str">
        <f t="shared" si="4"/>
        <v/>
      </c>
      <c r="G174" s="25" t="str">
        <f t="shared" si="5"/>
        <v/>
      </c>
      <c r="J174" s="23">
        <f>IFERROR(__xludf.DUMMYFUNCTION("COUNTA(iferror(filter(Status!H:H,Status!A:A=A174)))"),0.0)</f>
        <v>0</v>
      </c>
      <c r="K174" s="25">
        <f>IFERROR(__xludf.DUMMYFUNCTION("COUNTA(iferror(filter(Status!H:H,Status!A:A=A174,Status!H:H=TRUE)))"),0.0)</f>
        <v>0</v>
      </c>
      <c r="L174" s="23">
        <f>IFERROR(__xludf.DUMMYFUNCTION("COUNTA(iferror(filter(Status!L:L,Status!A:A=A174)))"),0.0)</f>
        <v>0</v>
      </c>
      <c r="M174" s="25">
        <f>IFERROR(__xludf.DUMMYFUNCTION("COUNTA(iferror(filter(Status!L:L,Status!A:A=A174,Status!L:L=TRUE)))"),0.0)</f>
        <v>0</v>
      </c>
      <c r="N174" s="23">
        <f>IFERROR(__xludf.DUMMYFUNCTION("COUNTA(iferror(filter(Status!N:N,Status!A:A=A174,Status!N:N=TRUE)))"),0.0)</f>
        <v>0</v>
      </c>
      <c r="O174" s="25">
        <f>IFERROR(__xludf.DUMMYFUNCTION("COUNTA(iferror(filter(Status!N:N,Status!A:A=A174,Status!N:N=TRUE)))"),0.0)</f>
        <v>0</v>
      </c>
      <c r="P174" s="23">
        <f>IFERROR(__xludf.DUMMYFUNCTION("COUNTA(iferror(filter(Status!P:P,Status!A:A=A174)))"),0.0)</f>
        <v>0</v>
      </c>
      <c r="Q174" s="25">
        <f>IFERROR(__xludf.DUMMYFUNCTION("COUNTA(iferror(filter(Status!P:P,Status!A:A=A174,Status!P:P=TRUE)))"),0.0)</f>
        <v>0</v>
      </c>
      <c r="R174" s="23">
        <f>IFERROR(__xludf.DUMMYFUNCTION("COUNTA(iferror(filter(Status!R:R,Status!A:A=A174)))"),0.0)</f>
        <v>0</v>
      </c>
      <c r="S174" s="25">
        <f>IFERROR(__xludf.DUMMYFUNCTION("COUNTA(iferror(filter(Status!R:R,Status!A:A=A174,Status!R:R=TRUE)))"),0.0)</f>
        <v>0</v>
      </c>
      <c r="V174" s="23" t="str">
        <f>IFERROR(__xludf.DUMMYFUNCTION("if((countif(filter(Status!$C:$C,Status!$A:$A=$A174),CONCATENATE(V$2,""*""))-W174)&gt;0,(countif(filter(Status!$C:$C,Status!$A:$A=$A174),CONCATENATE(V$2,""*""))-W174),"""")"),"")</f>
        <v/>
      </c>
      <c r="W174" s="23" t="str">
        <f>IFERROR(__xludf.DUMMYFUNCTION("if(countif(filter(Status!$C:$C,Status!$A:$A=$A174),CONCATENATE(W$2,""*""))&gt;0,countif(filter(Status!$C:$C,Status!$A:$A=$A174),CONCATENATE(W$2,""*"")),"""")"),"")</f>
        <v/>
      </c>
      <c r="X174" s="23" t="str">
        <f>IFERROR(__xludf.DUMMYFUNCTION("if(countif(filter(Status!$C:$C,Status!$A:$A=$A174),CONCATENATE(X$2,""*""))&gt;0,countif(filter(Status!$C:$C,Status!$A:$A=$A174),CONCATENATE(X$2,""*"")),"""")"),"")</f>
        <v/>
      </c>
      <c r="Y174" s="23" t="str">
        <f>IFERROR(__xludf.DUMMYFUNCTION("if(countif(filter(Status!$C:$C,Status!$A:$A=$A174),CONCATENATE(Y$2,""*""))&gt;0,countif(filter(Status!$C:$C,Status!$A:$A=$A174),CONCATENATE(Y$2,""*"")),"""")"),"")</f>
        <v/>
      </c>
      <c r="Z174" s="23" t="str">
        <f>IFERROR(__xludf.DUMMYFUNCTION("if(countif(filter(Status!$C:$C,Status!$A:$A=$A174),CONCATENATE(Z$2,""*""))&gt;0,countif(filter(Status!$C:$C,Status!$A:$A=$A174),CONCATENATE(Z$2,""*"")),"""")"),"")</f>
        <v/>
      </c>
      <c r="AA174" s="23" t="str">
        <f>IFERROR(__xludf.DUMMYFUNCTION("if((countif(filter(Status!$C:$C,Status!$A:$A=$A174),CONCATENATE(AA$2,""*""))-AB174)&gt;0,(countif(filter(Status!$C:$C,Status!$A:$A=$A174),CONCATENATE(AA$2,""*""))-AB174),"""")"),"")</f>
        <v/>
      </c>
      <c r="AB174" s="23" t="str">
        <f>IFERROR(__xludf.DUMMYFUNCTION("if(countif(filter(Status!$C:$C,Status!$A:$A=$A174),CONCATENATE(AB$2,""*""))&gt;0,countif(filter(Status!$C:$C,Status!$A:$A=$A174),CONCATENATE(AB$2,""*"")),"""")"),"")</f>
        <v/>
      </c>
      <c r="AC174" s="23" t="str">
        <f>IFERROR(__xludf.DUMMYFUNCTION("if(countif(filter(Status!$C:$C,Status!$A:$A=$A174),CONCATENATE(AC$2,""*""))&gt;0,countif(filter(Status!$C:$C,Status!$A:$A=$A174),CONCATENATE(AC$2,""*"")),"""")"),"")</f>
        <v/>
      </c>
      <c r="AD174" s="23" t="str">
        <f>IFERROR(__xludf.DUMMYFUNCTION("if(countif(filter(Status!$C:$C,Status!$A:$A=$A174),CONCATENATE(AD$2,""*""))&gt;0,countif(filter(Status!$C:$C,Status!$A:$A=$A174),CONCATENATE(AD$2,""*"")),"""")"),"")</f>
        <v/>
      </c>
      <c r="AE174" s="23" t="str">
        <f>IFERROR(__xludf.DUMMYFUNCTION("if(countif(filter(Status!$C:$C,Status!$A:$A=$A174),CONCATENATE(AE$2,""*""))&gt;0,countif(filter(Status!$C:$C,Status!$A:$A=$A174),CONCATENATE(AE$2,""*"")),"""")"),"")</f>
        <v/>
      </c>
      <c r="AF174" s="23" t="str">
        <f>IFERROR(__xludf.DUMMYFUNCTION("if(countif(filter(Status!$C:$C,Status!$A:$A=$A174),CONCATENATE(AF$2,""*""))&gt;0,countif(filter(Status!$C:$C,Status!$A:$A=$A174),CONCATENATE(AF$2,""*"")),"""")"),"")</f>
        <v/>
      </c>
      <c r="AG174" s="23" t="str">
        <f>IFERROR(__xludf.DUMMYFUNCTION("if(countif(filter(Status!$C:$C,Status!$A:$A=$A174),CONCATENATE(AG$2,""*""))&gt;0,countif(filter(Status!$C:$C,Status!$A:$A=$A174),CONCATENATE(AG$2,""*"")),"""")"),"")</f>
        <v/>
      </c>
      <c r="AH174" s="23" t="str">
        <f>IFERROR(__xludf.DUMMYFUNCTION("if(countif(filter(Status!$C:$C,Status!$A:$A=$A174),CONCATENATE(AH$2,""*""))&gt;0,countif(filter(Status!$C:$C,Status!$A:$A=$A174),CONCATENATE(AH$2,""*"")),"""")"),"")</f>
        <v/>
      </c>
      <c r="AI174" s="23" t="str">
        <f>IFERROR(__xludf.DUMMYFUNCTION("if(countif(filter(Status!$C:$C,Status!$A:$A=$A174),CONCATENATE(AI$2,""*""))&gt;0,countif(filter(Status!$C:$C,Status!$A:$A=$A174),CONCATENATE(AI$2,""*"")),"""")"),"")</f>
        <v/>
      </c>
      <c r="AJ174" s="23" t="str">
        <f>IFERROR(__xludf.DUMMYFUNCTION("if(countif(filter(Status!$C:$C,Status!$A:$A=$A174),CONCATENATE(AJ$2,""*""))&gt;0,countif(filter(Status!$C:$C,Status!$A:$A=$A174),CONCATENATE(AJ$2,""*"")),"""")"),"")</f>
        <v/>
      </c>
      <c r="AK174" s="23" t="str">
        <f>IFERROR(__xludf.DUMMYFUNCTION("if(countif(filter(Status!$C:$C,Status!$A:$A=$A174),CONCATENATE(AK$2,""*""))&gt;0,countif(filter(Status!$C:$C,Status!$A:$A=$A174),CONCATENATE(AK$2,""*"")),"""")"),"")</f>
        <v/>
      </c>
      <c r="AL174" s="23" t="str">
        <f>IFERROR(__xludf.DUMMYFUNCTION("if(countif(filter(Status!$C:$C,Status!$A:$A=$A174),CONCATENATE(AL$2,""*""))&gt;0,countif(filter(Status!$C:$C,Status!$A:$A=$A174),CONCATENATE(AL$2,""*"")),"""")"),"")</f>
        <v/>
      </c>
      <c r="AM174" s="23" t="str">
        <f>IFERROR(__xludf.DUMMYFUNCTION("if(countif(filter(Status!$C:$C,Status!$A:$A=$A174),CONCATENATE(AM$2,""*""))&gt;0,countif(filter(Status!$C:$C,Status!$A:$A=$A174),CONCATENATE(AM$2,""*"")),"""")"),"")</f>
        <v/>
      </c>
      <c r="AN174" s="23" t="str">
        <f>IFERROR(__xludf.DUMMYFUNCTION("if(countif(filter(Status!$C:$C,Status!$A:$A=$A174),CONCATENATE(AN$2,""*""))&gt;0,countif(filter(Status!$C:$C,Status!$A:$A=$A174),CONCATENATE(AN$2,""*"")),"""")"),"")</f>
        <v/>
      </c>
      <c r="AO174" s="23" t="str">
        <f>IFERROR(__xludf.DUMMYFUNCTION("if(countif(filter(Status!$C:$C,Status!$A:$A=$A174),CONCATENATE(AO$2,""*""))&gt;0,countif(filter(Status!$C:$C,Status!$A:$A=$A174),CONCATENATE(AO$2,""*"")),"""")"),"")</f>
        <v/>
      </c>
      <c r="AP174" s="23">
        <f>IFERROR(__xludf.DUMMYFUNCTION("counta(iferror(filter(Status!C:C,Status!A:A=A174)))"),0.0)</f>
        <v>0</v>
      </c>
      <c r="AQ174" s="23">
        <f t="shared" si="6"/>
        <v>0</v>
      </c>
    </row>
    <row r="175">
      <c r="A175" s="1" t="s">
        <v>1235</v>
      </c>
      <c r="B175" s="25" t="str">
        <f>IFERROR(__xludf.DUMMYFUNCTION("max(filter(Status!E:E,Status!A:A=A175))"),"#N/A")</f>
        <v>#N/A</v>
      </c>
      <c r="C175" s="23" t="str">
        <f t="shared" si="1"/>
        <v/>
      </c>
      <c r="D175" s="23" t="str">
        <f t="shared" si="2"/>
        <v/>
      </c>
      <c r="E175" s="23" t="str">
        <f t="shared" si="3"/>
        <v/>
      </c>
      <c r="F175" s="23" t="str">
        <f t="shared" si="4"/>
        <v/>
      </c>
      <c r="G175" s="25" t="str">
        <f t="shared" si="5"/>
        <v/>
      </c>
      <c r="J175" s="23">
        <f>IFERROR(__xludf.DUMMYFUNCTION("COUNTA(iferror(filter(Status!H:H,Status!A:A=A175)))"),0.0)</f>
        <v>0</v>
      </c>
      <c r="K175" s="25">
        <f>IFERROR(__xludf.DUMMYFUNCTION("COUNTA(iferror(filter(Status!H:H,Status!A:A=A175,Status!H:H=TRUE)))"),0.0)</f>
        <v>0</v>
      </c>
      <c r="L175" s="23">
        <f>IFERROR(__xludf.DUMMYFUNCTION("COUNTA(iferror(filter(Status!L:L,Status!A:A=A175)))"),0.0)</f>
        <v>0</v>
      </c>
      <c r="M175" s="25">
        <f>IFERROR(__xludf.DUMMYFUNCTION("COUNTA(iferror(filter(Status!L:L,Status!A:A=A175,Status!L:L=TRUE)))"),0.0)</f>
        <v>0</v>
      </c>
      <c r="N175" s="23">
        <f>IFERROR(__xludf.DUMMYFUNCTION("COUNTA(iferror(filter(Status!N:N,Status!A:A=A175,Status!N:N=TRUE)))"),0.0)</f>
        <v>0</v>
      </c>
      <c r="O175" s="25">
        <f>IFERROR(__xludf.DUMMYFUNCTION("COUNTA(iferror(filter(Status!N:N,Status!A:A=A175,Status!N:N=TRUE)))"),0.0)</f>
        <v>0</v>
      </c>
      <c r="P175" s="23">
        <f>IFERROR(__xludf.DUMMYFUNCTION("COUNTA(iferror(filter(Status!P:P,Status!A:A=A175)))"),0.0)</f>
        <v>0</v>
      </c>
      <c r="Q175" s="25">
        <f>IFERROR(__xludf.DUMMYFUNCTION("COUNTA(iferror(filter(Status!P:P,Status!A:A=A175,Status!P:P=TRUE)))"),0.0)</f>
        <v>0</v>
      </c>
      <c r="R175" s="23">
        <f>IFERROR(__xludf.DUMMYFUNCTION("COUNTA(iferror(filter(Status!R:R,Status!A:A=A175)))"),0.0)</f>
        <v>0</v>
      </c>
      <c r="S175" s="25">
        <f>IFERROR(__xludf.DUMMYFUNCTION("COUNTA(iferror(filter(Status!R:R,Status!A:A=A175,Status!R:R=TRUE)))"),0.0)</f>
        <v>0</v>
      </c>
      <c r="V175" s="23" t="str">
        <f>IFERROR(__xludf.DUMMYFUNCTION("if((countif(filter(Status!$C:$C,Status!$A:$A=$A175),CONCATENATE(V$2,""*""))-W175)&gt;0,(countif(filter(Status!$C:$C,Status!$A:$A=$A175),CONCATENATE(V$2,""*""))-W175),"""")"),"")</f>
        <v/>
      </c>
      <c r="W175" s="23" t="str">
        <f>IFERROR(__xludf.DUMMYFUNCTION("if(countif(filter(Status!$C:$C,Status!$A:$A=$A175),CONCATENATE(W$2,""*""))&gt;0,countif(filter(Status!$C:$C,Status!$A:$A=$A175),CONCATENATE(W$2,""*"")),"""")"),"")</f>
        <v/>
      </c>
      <c r="X175" s="23" t="str">
        <f>IFERROR(__xludf.DUMMYFUNCTION("if(countif(filter(Status!$C:$C,Status!$A:$A=$A175),CONCATENATE(X$2,""*""))&gt;0,countif(filter(Status!$C:$C,Status!$A:$A=$A175),CONCATENATE(X$2,""*"")),"""")"),"")</f>
        <v/>
      </c>
      <c r="Y175" s="23" t="str">
        <f>IFERROR(__xludf.DUMMYFUNCTION("if(countif(filter(Status!$C:$C,Status!$A:$A=$A175),CONCATENATE(Y$2,""*""))&gt;0,countif(filter(Status!$C:$C,Status!$A:$A=$A175),CONCATENATE(Y$2,""*"")),"""")"),"")</f>
        <v/>
      </c>
      <c r="Z175" s="23" t="str">
        <f>IFERROR(__xludf.DUMMYFUNCTION("if(countif(filter(Status!$C:$C,Status!$A:$A=$A175),CONCATENATE(Z$2,""*""))&gt;0,countif(filter(Status!$C:$C,Status!$A:$A=$A175),CONCATENATE(Z$2,""*"")),"""")"),"")</f>
        <v/>
      </c>
      <c r="AA175" s="23" t="str">
        <f>IFERROR(__xludf.DUMMYFUNCTION("if((countif(filter(Status!$C:$C,Status!$A:$A=$A175),CONCATENATE(AA$2,""*""))-AB175)&gt;0,(countif(filter(Status!$C:$C,Status!$A:$A=$A175),CONCATENATE(AA$2,""*""))-AB175),"""")"),"")</f>
        <v/>
      </c>
      <c r="AB175" s="23" t="str">
        <f>IFERROR(__xludf.DUMMYFUNCTION("if(countif(filter(Status!$C:$C,Status!$A:$A=$A175),CONCATENATE(AB$2,""*""))&gt;0,countif(filter(Status!$C:$C,Status!$A:$A=$A175),CONCATENATE(AB$2,""*"")),"""")"),"")</f>
        <v/>
      </c>
      <c r="AC175" s="23" t="str">
        <f>IFERROR(__xludf.DUMMYFUNCTION("if(countif(filter(Status!$C:$C,Status!$A:$A=$A175),CONCATENATE(AC$2,""*""))&gt;0,countif(filter(Status!$C:$C,Status!$A:$A=$A175),CONCATENATE(AC$2,""*"")),"""")"),"")</f>
        <v/>
      </c>
      <c r="AD175" s="23" t="str">
        <f>IFERROR(__xludf.DUMMYFUNCTION("if(countif(filter(Status!$C:$C,Status!$A:$A=$A175),CONCATENATE(AD$2,""*""))&gt;0,countif(filter(Status!$C:$C,Status!$A:$A=$A175),CONCATENATE(AD$2,""*"")),"""")"),"")</f>
        <v/>
      </c>
      <c r="AE175" s="23" t="str">
        <f>IFERROR(__xludf.DUMMYFUNCTION("if(countif(filter(Status!$C:$C,Status!$A:$A=$A175),CONCATENATE(AE$2,""*""))&gt;0,countif(filter(Status!$C:$C,Status!$A:$A=$A175),CONCATENATE(AE$2,""*"")),"""")"),"")</f>
        <v/>
      </c>
      <c r="AF175" s="23" t="str">
        <f>IFERROR(__xludf.DUMMYFUNCTION("if(countif(filter(Status!$C:$C,Status!$A:$A=$A175),CONCATENATE(AF$2,""*""))&gt;0,countif(filter(Status!$C:$C,Status!$A:$A=$A175),CONCATENATE(AF$2,""*"")),"""")"),"")</f>
        <v/>
      </c>
      <c r="AG175" s="23" t="str">
        <f>IFERROR(__xludf.DUMMYFUNCTION("if(countif(filter(Status!$C:$C,Status!$A:$A=$A175),CONCATENATE(AG$2,""*""))&gt;0,countif(filter(Status!$C:$C,Status!$A:$A=$A175),CONCATENATE(AG$2,""*"")),"""")"),"")</f>
        <v/>
      </c>
      <c r="AH175" s="23" t="str">
        <f>IFERROR(__xludf.DUMMYFUNCTION("if(countif(filter(Status!$C:$C,Status!$A:$A=$A175),CONCATENATE(AH$2,""*""))&gt;0,countif(filter(Status!$C:$C,Status!$A:$A=$A175),CONCATENATE(AH$2,""*"")),"""")"),"")</f>
        <v/>
      </c>
      <c r="AI175" s="23" t="str">
        <f>IFERROR(__xludf.DUMMYFUNCTION("if(countif(filter(Status!$C:$C,Status!$A:$A=$A175),CONCATENATE(AI$2,""*""))&gt;0,countif(filter(Status!$C:$C,Status!$A:$A=$A175),CONCATENATE(AI$2,""*"")),"""")"),"")</f>
        <v/>
      </c>
      <c r="AJ175" s="23" t="str">
        <f>IFERROR(__xludf.DUMMYFUNCTION("if(countif(filter(Status!$C:$C,Status!$A:$A=$A175),CONCATENATE(AJ$2,""*""))&gt;0,countif(filter(Status!$C:$C,Status!$A:$A=$A175),CONCATENATE(AJ$2,""*"")),"""")"),"")</f>
        <v/>
      </c>
      <c r="AK175" s="23" t="str">
        <f>IFERROR(__xludf.DUMMYFUNCTION("if(countif(filter(Status!$C:$C,Status!$A:$A=$A175),CONCATENATE(AK$2,""*""))&gt;0,countif(filter(Status!$C:$C,Status!$A:$A=$A175),CONCATENATE(AK$2,""*"")),"""")"),"")</f>
        <v/>
      </c>
      <c r="AL175" s="23" t="str">
        <f>IFERROR(__xludf.DUMMYFUNCTION("if(countif(filter(Status!$C:$C,Status!$A:$A=$A175),CONCATENATE(AL$2,""*""))&gt;0,countif(filter(Status!$C:$C,Status!$A:$A=$A175),CONCATENATE(AL$2,""*"")),"""")"),"")</f>
        <v/>
      </c>
      <c r="AM175" s="23" t="str">
        <f>IFERROR(__xludf.DUMMYFUNCTION("if(countif(filter(Status!$C:$C,Status!$A:$A=$A175),CONCATENATE(AM$2,""*""))&gt;0,countif(filter(Status!$C:$C,Status!$A:$A=$A175),CONCATENATE(AM$2,""*"")),"""")"),"")</f>
        <v/>
      </c>
      <c r="AN175" s="23" t="str">
        <f>IFERROR(__xludf.DUMMYFUNCTION("if(countif(filter(Status!$C:$C,Status!$A:$A=$A175),CONCATENATE(AN$2,""*""))&gt;0,countif(filter(Status!$C:$C,Status!$A:$A=$A175),CONCATENATE(AN$2,""*"")),"""")"),"")</f>
        <v/>
      </c>
      <c r="AO175" s="23" t="str">
        <f>IFERROR(__xludf.DUMMYFUNCTION("if(countif(filter(Status!$C:$C,Status!$A:$A=$A175),CONCATENATE(AO$2,""*""))&gt;0,countif(filter(Status!$C:$C,Status!$A:$A=$A175),CONCATENATE(AO$2,""*"")),"""")"),"")</f>
        <v/>
      </c>
      <c r="AP175" s="23">
        <f>IFERROR(__xludf.DUMMYFUNCTION("counta(iferror(filter(Status!C:C,Status!A:A=A175)))"),0.0)</f>
        <v>0</v>
      </c>
      <c r="AQ175" s="23">
        <f t="shared" si="6"/>
        <v>0</v>
      </c>
    </row>
    <row r="176">
      <c r="A176" s="1" t="s">
        <v>1238</v>
      </c>
      <c r="B176" s="25" t="str">
        <f>IFERROR(__xludf.DUMMYFUNCTION("max(filter(Status!E:E,Status!A:A=A176))"),"#N/A")</f>
        <v>#N/A</v>
      </c>
      <c r="C176" s="23" t="str">
        <f t="shared" si="1"/>
        <v/>
      </c>
      <c r="D176" s="23" t="str">
        <f t="shared" si="2"/>
        <v/>
      </c>
      <c r="E176" s="23" t="str">
        <f t="shared" si="3"/>
        <v/>
      </c>
      <c r="F176" s="23" t="str">
        <f t="shared" si="4"/>
        <v/>
      </c>
      <c r="G176" s="25" t="str">
        <f t="shared" si="5"/>
        <v/>
      </c>
      <c r="J176" s="23">
        <f>IFERROR(__xludf.DUMMYFUNCTION("COUNTA(iferror(filter(Status!H:H,Status!A:A=A176)))"),0.0)</f>
        <v>0</v>
      </c>
      <c r="K176" s="25">
        <f>IFERROR(__xludf.DUMMYFUNCTION("COUNTA(iferror(filter(Status!H:H,Status!A:A=A176,Status!H:H=TRUE)))"),0.0)</f>
        <v>0</v>
      </c>
      <c r="L176" s="23">
        <f>IFERROR(__xludf.DUMMYFUNCTION("COUNTA(iferror(filter(Status!L:L,Status!A:A=A176)))"),0.0)</f>
        <v>0</v>
      </c>
      <c r="M176" s="25">
        <f>IFERROR(__xludf.DUMMYFUNCTION("COUNTA(iferror(filter(Status!L:L,Status!A:A=A176,Status!L:L=TRUE)))"),0.0)</f>
        <v>0</v>
      </c>
      <c r="N176" s="23">
        <f>IFERROR(__xludf.DUMMYFUNCTION("COUNTA(iferror(filter(Status!N:N,Status!A:A=A176,Status!N:N=TRUE)))"),0.0)</f>
        <v>0</v>
      </c>
      <c r="O176" s="25">
        <f>IFERROR(__xludf.DUMMYFUNCTION("COUNTA(iferror(filter(Status!N:N,Status!A:A=A176,Status!N:N=TRUE)))"),0.0)</f>
        <v>0</v>
      </c>
      <c r="P176" s="23">
        <f>IFERROR(__xludf.DUMMYFUNCTION("COUNTA(iferror(filter(Status!P:P,Status!A:A=A176)))"),0.0)</f>
        <v>0</v>
      </c>
      <c r="Q176" s="25">
        <f>IFERROR(__xludf.DUMMYFUNCTION("COUNTA(iferror(filter(Status!P:P,Status!A:A=A176,Status!P:P=TRUE)))"),0.0)</f>
        <v>0</v>
      </c>
      <c r="R176" s="23">
        <f>IFERROR(__xludf.DUMMYFUNCTION("COUNTA(iferror(filter(Status!R:R,Status!A:A=A176)))"),0.0)</f>
        <v>0</v>
      </c>
      <c r="S176" s="25">
        <f>IFERROR(__xludf.DUMMYFUNCTION("COUNTA(iferror(filter(Status!R:R,Status!A:A=A176,Status!R:R=TRUE)))"),0.0)</f>
        <v>0</v>
      </c>
      <c r="V176" s="23" t="str">
        <f>IFERROR(__xludf.DUMMYFUNCTION("if((countif(filter(Status!$C:$C,Status!$A:$A=$A176),CONCATENATE(V$2,""*""))-W176)&gt;0,(countif(filter(Status!$C:$C,Status!$A:$A=$A176),CONCATENATE(V$2,""*""))-W176),"""")"),"")</f>
        <v/>
      </c>
      <c r="W176" s="23" t="str">
        <f>IFERROR(__xludf.DUMMYFUNCTION("if(countif(filter(Status!$C:$C,Status!$A:$A=$A176),CONCATENATE(W$2,""*""))&gt;0,countif(filter(Status!$C:$C,Status!$A:$A=$A176),CONCATENATE(W$2,""*"")),"""")"),"")</f>
        <v/>
      </c>
      <c r="X176" s="23" t="str">
        <f>IFERROR(__xludf.DUMMYFUNCTION("if(countif(filter(Status!$C:$C,Status!$A:$A=$A176),CONCATENATE(X$2,""*""))&gt;0,countif(filter(Status!$C:$C,Status!$A:$A=$A176),CONCATENATE(X$2,""*"")),"""")"),"")</f>
        <v/>
      </c>
      <c r="Y176" s="23" t="str">
        <f>IFERROR(__xludf.DUMMYFUNCTION("if(countif(filter(Status!$C:$C,Status!$A:$A=$A176),CONCATENATE(Y$2,""*""))&gt;0,countif(filter(Status!$C:$C,Status!$A:$A=$A176),CONCATENATE(Y$2,""*"")),"""")"),"")</f>
        <v/>
      </c>
      <c r="Z176" s="23" t="str">
        <f>IFERROR(__xludf.DUMMYFUNCTION("if(countif(filter(Status!$C:$C,Status!$A:$A=$A176),CONCATENATE(Z$2,""*""))&gt;0,countif(filter(Status!$C:$C,Status!$A:$A=$A176),CONCATENATE(Z$2,""*"")),"""")"),"")</f>
        <v/>
      </c>
      <c r="AA176" s="23" t="str">
        <f>IFERROR(__xludf.DUMMYFUNCTION("if((countif(filter(Status!$C:$C,Status!$A:$A=$A176),CONCATENATE(AA$2,""*""))-AB176)&gt;0,(countif(filter(Status!$C:$C,Status!$A:$A=$A176),CONCATENATE(AA$2,""*""))-AB176),"""")"),"")</f>
        <v/>
      </c>
      <c r="AB176" s="23" t="str">
        <f>IFERROR(__xludf.DUMMYFUNCTION("if(countif(filter(Status!$C:$C,Status!$A:$A=$A176),CONCATENATE(AB$2,""*""))&gt;0,countif(filter(Status!$C:$C,Status!$A:$A=$A176),CONCATENATE(AB$2,""*"")),"""")"),"")</f>
        <v/>
      </c>
      <c r="AC176" s="23" t="str">
        <f>IFERROR(__xludf.DUMMYFUNCTION("if(countif(filter(Status!$C:$C,Status!$A:$A=$A176),CONCATENATE(AC$2,""*""))&gt;0,countif(filter(Status!$C:$C,Status!$A:$A=$A176),CONCATENATE(AC$2,""*"")),"""")"),"")</f>
        <v/>
      </c>
      <c r="AD176" s="23" t="str">
        <f>IFERROR(__xludf.DUMMYFUNCTION("if(countif(filter(Status!$C:$C,Status!$A:$A=$A176),CONCATENATE(AD$2,""*""))&gt;0,countif(filter(Status!$C:$C,Status!$A:$A=$A176),CONCATENATE(AD$2,""*"")),"""")"),"")</f>
        <v/>
      </c>
      <c r="AE176" s="23" t="str">
        <f>IFERROR(__xludf.DUMMYFUNCTION("if(countif(filter(Status!$C:$C,Status!$A:$A=$A176),CONCATENATE(AE$2,""*""))&gt;0,countif(filter(Status!$C:$C,Status!$A:$A=$A176),CONCATENATE(AE$2,""*"")),"""")"),"")</f>
        <v/>
      </c>
      <c r="AF176" s="23" t="str">
        <f>IFERROR(__xludf.DUMMYFUNCTION("if(countif(filter(Status!$C:$C,Status!$A:$A=$A176),CONCATENATE(AF$2,""*""))&gt;0,countif(filter(Status!$C:$C,Status!$A:$A=$A176),CONCATENATE(AF$2,""*"")),"""")"),"")</f>
        <v/>
      </c>
      <c r="AG176" s="23" t="str">
        <f>IFERROR(__xludf.DUMMYFUNCTION("if(countif(filter(Status!$C:$C,Status!$A:$A=$A176),CONCATENATE(AG$2,""*""))&gt;0,countif(filter(Status!$C:$C,Status!$A:$A=$A176),CONCATENATE(AG$2,""*"")),"""")"),"")</f>
        <v/>
      </c>
      <c r="AH176" s="23" t="str">
        <f>IFERROR(__xludf.DUMMYFUNCTION("if(countif(filter(Status!$C:$C,Status!$A:$A=$A176),CONCATENATE(AH$2,""*""))&gt;0,countif(filter(Status!$C:$C,Status!$A:$A=$A176),CONCATENATE(AH$2,""*"")),"""")"),"")</f>
        <v/>
      </c>
      <c r="AI176" s="23" t="str">
        <f>IFERROR(__xludf.DUMMYFUNCTION("if(countif(filter(Status!$C:$C,Status!$A:$A=$A176),CONCATENATE(AI$2,""*""))&gt;0,countif(filter(Status!$C:$C,Status!$A:$A=$A176),CONCATENATE(AI$2,""*"")),"""")"),"")</f>
        <v/>
      </c>
      <c r="AJ176" s="23" t="str">
        <f>IFERROR(__xludf.DUMMYFUNCTION("if(countif(filter(Status!$C:$C,Status!$A:$A=$A176),CONCATENATE(AJ$2,""*""))&gt;0,countif(filter(Status!$C:$C,Status!$A:$A=$A176),CONCATENATE(AJ$2,""*"")),"""")"),"")</f>
        <v/>
      </c>
      <c r="AK176" s="23" t="str">
        <f>IFERROR(__xludf.DUMMYFUNCTION("if(countif(filter(Status!$C:$C,Status!$A:$A=$A176),CONCATENATE(AK$2,""*""))&gt;0,countif(filter(Status!$C:$C,Status!$A:$A=$A176),CONCATENATE(AK$2,""*"")),"""")"),"")</f>
        <v/>
      </c>
      <c r="AL176" s="23" t="str">
        <f>IFERROR(__xludf.DUMMYFUNCTION("if(countif(filter(Status!$C:$C,Status!$A:$A=$A176),CONCATENATE(AL$2,""*""))&gt;0,countif(filter(Status!$C:$C,Status!$A:$A=$A176),CONCATENATE(AL$2,""*"")),"""")"),"")</f>
        <v/>
      </c>
      <c r="AM176" s="23" t="str">
        <f>IFERROR(__xludf.DUMMYFUNCTION("if(countif(filter(Status!$C:$C,Status!$A:$A=$A176),CONCATENATE(AM$2,""*""))&gt;0,countif(filter(Status!$C:$C,Status!$A:$A=$A176),CONCATENATE(AM$2,""*"")),"""")"),"")</f>
        <v/>
      </c>
      <c r="AN176" s="23" t="str">
        <f>IFERROR(__xludf.DUMMYFUNCTION("if(countif(filter(Status!$C:$C,Status!$A:$A=$A176),CONCATENATE(AN$2,""*""))&gt;0,countif(filter(Status!$C:$C,Status!$A:$A=$A176),CONCATENATE(AN$2,""*"")),"""")"),"")</f>
        <v/>
      </c>
      <c r="AO176" s="23" t="str">
        <f>IFERROR(__xludf.DUMMYFUNCTION("if(countif(filter(Status!$C:$C,Status!$A:$A=$A176),CONCATENATE(AO$2,""*""))&gt;0,countif(filter(Status!$C:$C,Status!$A:$A=$A176),CONCATENATE(AO$2,""*"")),"""")"),"")</f>
        <v/>
      </c>
      <c r="AP176" s="23">
        <f>IFERROR(__xludf.DUMMYFUNCTION("counta(iferror(filter(Status!C:C,Status!A:A=A176)))"),0.0)</f>
        <v>0</v>
      </c>
      <c r="AQ176" s="23">
        <f t="shared" si="6"/>
        <v>0</v>
      </c>
    </row>
    <row r="177">
      <c r="A177" s="1" t="s">
        <v>1241</v>
      </c>
      <c r="B177" s="25" t="str">
        <f>IFERROR(__xludf.DUMMYFUNCTION("max(filter(Status!E:E,Status!A:A=A177))"),"#N/A")</f>
        <v>#N/A</v>
      </c>
      <c r="C177" s="23" t="str">
        <f t="shared" si="1"/>
        <v/>
      </c>
      <c r="D177" s="23" t="str">
        <f t="shared" si="2"/>
        <v/>
      </c>
      <c r="E177" s="23" t="str">
        <f t="shared" si="3"/>
        <v/>
      </c>
      <c r="F177" s="23" t="str">
        <f t="shared" si="4"/>
        <v/>
      </c>
      <c r="G177" s="25" t="str">
        <f t="shared" si="5"/>
        <v/>
      </c>
      <c r="J177" s="23">
        <f>IFERROR(__xludf.DUMMYFUNCTION("COUNTA(iferror(filter(Status!H:H,Status!A:A=A177)))"),0.0)</f>
        <v>0</v>
      </c>
      <c r="K177" s="25">
        <f>IFERROR(__xludf.DUMMYFUNCTION("COUNTA(iferror(filter(Status!H:H,Status!A:A=A177,Status!H:H=TRUE)))"),0.0)</f>
        <v>0</v>
      </c>
      <c r="L177" s="23">
        <f>IFERROR(__xludf.DUMMYFUNCTION("COUNTA(iferror(filter(Status!L:L,Status!A:A=A177)))"),0.0)</f>
        <v>0</v>
      </c>
      <c r="M177" s="25">
        <f>IFERROR(__xludf.DUMMYFUNCTION("COUNTA(iferror(filter(Status!L:L,Status!A:A=A177,Status!L:L=TRUE)))"),0.0)</f>
        <v>0</v>
      </c>
      <c r="N177" s="23">
        <f>IFERROR(__xludf.DUMMYFUNCTION("COUNTA(iferror(filter(Status!N:N,Status!A:A=A177,Status!N:N=TRUE)))"),0.0)</f>
        <v>0</v>
      </c>
      <c r="O177" s="25">
        <f>IFERROR(__xludf.DUMMYFUNCTION("COUNTA(iferror(filter(Status!N:N,Status!A:A=A177,Status!N:N=TRUE)))"),0.0)</f>
        <v>0</v>
      </c>
      <c r="P177" s="23">
        <f>IFERROR(__xludf.DUMMYFUNCTION("COUNTA(iferror(filter(Status!P:P,Status!A:A=A177)))"),0.0)</f>
        <v>0</v>
      </c>
      <c r="Q177" s="25">
        <f>IFERROR(__xludf.DUMMYFUNCTION("COUNTA(iferror(filter(Status!P:P,Status!A:A=A177,Status!P:P=TRUE)))"),0.0)</f>
        <v>0</v>
      </c>
      <c r="R177" s="23">
        <f>IFERROR(__xludf.DUMMYFUNCTION("COUNTA(iferror(filter(Status!R:R,Status!A:A=A177)))"),0.0)</f>
        <v>0</v>
      </c>
      <c r="S177" s="25">
        <f>IFERROR(__xludf.DUMMYFUNCTION("COUNTA(iferror(filter(Status!R:R,Status!A:A=A177,Status!R:R=TRUE)))"),0.0)</f>
        <v>0</v>
      </c>
      <c r="V177" s="23" t="str">
        <f>IFERROR(__xludf.DUMMYFUNCTION("if((countif(filter(Status!$C:$C,Status!$A:$A=$A177),CONCATENATE(V$2,""*""))-W177)&gt;0,(countif(filter(Status!$C:$C,Status!$A:$A=$A177),CONCATENATE(V$2,""*""))-W177),"""")"),"")</f>
        <v/>
      </c>
      <c r="W177" s="23" t="str">
        <f>IFERROR(__xludf.DUMMYFUNCTION("if(countif(filter(Status!$C:$C,Status!$A:$A=$A177),CONCATENATE(W$2,""*""))&gt;0,countif(filter(Status!$C:$C,Status!$A:$A=$A177),CONCATENATE(W$2,""*"")),"""")"),"")</f>
        <v/>
      </c>
      <c r="X177" s="23" t="str">
        <f>IFERROR(__xludf.DUMMYFUNCTION("if(countif(filter(Status!$C:$C,Status!$A:$A=$A177),CONCATENATE(X$2,""*""))&gt;0,countif(filter(Status!$C:$C,Status!$A:$A=$A177),CONCATENATE(X$2,""*"")),"""")"),"")</f>
        <v/>
      </c>
      <c r="Y177" s="23" t="str">
        <f>IFERROR(__xludf.DUMMYFUNCTION("if(countif(filter(Status!$C:$C,Status!$A:$A=$A177),CONCATENATE(Y$2,""*""))&gt;0,countif(filter(Status!$C:$C,Status!$A:$A=$A177),CONCATENATE(Y$2,""*"")),"""")"),"")</f>
        <v/>
      </c>
      <c r="Z177" s="23" t="str">
        <f>IFERROR(__xludf.DUMMYFUNCTION("if(countif(filter(Status!$C:$C,Status!$A:$A=$A177),CONCATENATE(Z$2,""*""))&gt;0,countif(filter(Status!$C:$C,Status!$A:$A=$A177),CONCATENATE(Z$2,""*"")),"""")"),"")</f>
        <v/>
      </c>
      <c r="AA177" s="23" t="str">
        <f>IFERROR(__xludf.DUMMYFUNCTION("if((countif(filter(Status!$C:$C,Status!$A:$A=$A177),CONCATENATE(AA$2,""*""))-AB177)&gt;0,(countif(filter(Status!$C:$C,Status!$A:$A=$A177),CONCATENATE(AA$2,""*""))-AB177),"""")"),"")</f>
        <v/>
      </c>
      <c r="AB177" s="23" t="str">
        <f>IFERROR(__xludf.DUMMYFUNCTION("if(countif(filter(Status!$C:$C,Status!$A:$A=$A177),CONCATENATE(AB$2,""*""))&gt;0,countif(filter(Status!$C:$C,Status!$A:$A=$A177),CONCATENATE(AB$2,""*"")),"""")"),"")</f>
        <v/>
      </c>
      <c r="AC177" s="23" t="str">
        <f>IFERROR(__xludf.DUMMYFUNCTION("if(countif(filter(Status!$C:$C,Status!$A:$A=$A177),CONCATENATE(AC$2,""*""))&gt;0,countif(filter(Status!$C:$C,Status!$A:$A=$A177),CONCATENATE(AC$2,""*"")),"""")"),"")</f>
        <v/>
      </c>
      <c r="AD177" s="23" t="str">
        <f>IFERROR(__xludf.DUMMYFUNCTION("if(countif(filter(Status!$C:$C,Status!$A:$A=$A177),CONCATENATE(AD$2,""*""))&gt;0,countif(filter(Status!$C:$C,Status!$A:$A=$A177),CONCATENATE(AD$2,""*"")),"""")"),"")</f>
        <v/>
      </c>
      <c r="AE177" s="23" t="str">
        <f>IFERROR(__xludf.DUMMYFUNCTION("if(countif(filter(Status!$C:$C,Status!$A:$A=$A177),CONCATENATE(AE$2,""*""))&gt;0,countif(filter(Status!$C:$C,Status!$A:$A=$A177),CONCATENATE(AE$2,""*"")),"""")"),"")</f>
        <v/>
      </c>
      <c r="AF177" s="23" t="str">
        <f>IFERROR(__xludf.DUMMYFUNCTION("if(countif(filter(Status!$C:$C,Status!$A:$A=$A177),CONCATENATE(AF$2,""*""))&gt;0,countif(filter(Status!$C:$C,Status!$A:$A=$A177),CONCATENATE(AF$2,""*"")),"""")"),"")</f>
        <v/>
      </c>
      <c r="AG177" s="23" t="str">
        <f>IFERROR(__xludf.DUMMYFUNCTION("if(countif(filter(Status!$C:$C,Status!$A:$A=$A177),CONCATENATE(AG$2,""*""))&gt;0,countif(filter(Status!$C:$C,Status!$A:$A=$A177),CONCATENATE(AG$2,""*"")),"""")"),"")</f>
        <v/>
      </c>
      <c r="AH177" s="23" t="str">
        <f>IFERROR(__xludf.DUMMYFUNCTION("if(countif(filter(Status!$C:$C,Status!$A:$A=$A177),CONCATENATE(AH$2,""*""))&gt;0,countif(filter(Status!$C:$C,Status!$A:$A=$A177),CONCATENATE(AH$2,""*"")),"""")"),"")</f>
        <v/>
      </c>
      <c r="AI177" s="23" t="str">
        <f>IFERROR(__xludf.DUMMYFUNCTION("if(countif(filter(Status!$C:$C,Status!$A:$A=$A177),CONCATENATE(AI$2,""*""))&gt;0,countif(filter(Status!$C:$C,Status!$A:$A=$A177),CONCATENATE(AI$2,""*"")),"""")"),"")</f>
        <v/>
      </c>
      <c r="AJ177" s="23" t="str">
        <f>IFERROR(__xludf.DUMMYFUNCTION("if(countif(filter(Status!$C:$C,Status!$A:$A=$A177),CONCATENATE(AJ$2,""*""))&gt;0,countif(filter(Status!$C:$C,Status!$A:$A=$A177),CONCATENATE(AJ$2,""*"")),"""")"),"")</f>
        <v/>
      </c>
      <c r="AK177" s="23" t="str">
        <f>IFERROR(__xludf.DUMMYFUNCTION("if(countif(filter(Status!$C:$C,Status!$A:$A=$A177),CONCATENATE(AK$2,""*""))&gt;0,countif(filter(Status!$C:$C,Status!$A:$A=$A177),CONCATENATE(AK$2,""*"")),"""")"),"")</f>
        <v/>
      </c>
      <c r="AL177" s="23" t="str">
        <f>IFERROR(__xludf.DUMMYFUNCTION("if(countif(filter(Status!$C:$C,Status!$A:$A=$A177),CONCATENATE(AL$2,""*""))&gt;0,countif(filter(Status!$C:$C,Status!$A:$A=$A177),CONCATENATE(AL$2,""*"")),"""")"),"")</f>
        <v/>
      </c>
      <c r="AM177" s="23" t="str">
        <f>IFERROR(__xludf.DUMMYFUNCTION("if(countif(filter(Status!$C:$C,Status!$A:$A=$A177),CONCATENATE(AM$2,""*""))&gt;0,countif(filter(Status!$C:$C,Status!$A:$A=$A177),CONCATENATE(AM$2,""*"")),"""")"),"")</f>
        <v/>
      </c>
      <c r="AN177" s="23" t="str">
        <f>IFERROR(__xludf.DUMMYFUNCTION("if(countif(filter(Status!$C:$C,Status!$A:$A=$A177),CONCATENATE(AN$2,""*""))&gt;0,countif(filter(Status!$C:$C,Status!$A:$A=$A177),CONCATENATE(AN$2,""*"")),"""")"),"")</f>
        <v/>
      </c>
      <c r="AO177" s="23" t="str">
        <f>IFERROR(__xludf.DUMMYFUNCTION("if(countif(filter(Status!$C:$C,Status!$A:$A=$A177),CONCATENATE(AO$2,""*""))&gt;0,countif(filter(Status!$C:$C,Status!$A:$A=$A177),CONCATENATE(AO$2,""*"")),"""")"),"")</f>
        <v/>
      </c>
      <c r="AP177" s="23">
        <f>IFERROR(__xludf.DUMMYFUNCTION("counta(iferror(filter(Status!C:C,Status!A:A=A177)))"),0.0)</f>
        <v>0</v>
      </c>
      <c r="AQ177" s="23">
        <f t="shared" si="6"/>
        <v>0</v>
      </c>
    </row>
    <row r="178">
      <c r="A178" s="1" t="s">
        <v>1243</v>
      </c>
      <c r="B178" s="25" t="str">
        <f>IFERROR(__xludf.DUMMYFUNCTION("max(filter(Status!E:E,Status!A:A=A178))"),"#N/A")</f>
        <v>#N/A</v>
      </c>
      <c r="C178" s="23" t="str">
        <f t="shared" si="1"/>
        <v/>
      </c>
      <c r="D178" s="23" t="str">
        <f t="shared" si="2"/>
        <v/>
      </c>
      <c r="E178" s="23" t="str">
        <f t="shared" si="3"/>
        <v/>
      </c>
      <c r="F178" s="23" t="str">
        <f t="shared" si="4"/>
        <v/>
      </c>
      <c r="G178" s="25" t="str">
        <f t="shared" si="5"/>
        <v/>
      </c>
      <c r="J178" s="23">
        <f>IFERROR(__xludf.DUMMYFUNCTION("COUNTA(iferror(filter(Status!H:H,Status!A:A=A178)))"),0.0)</f>
        <v>0</v>
      </c>
      <c r="K178" s="25">
        <f>IFERROR(__xludf.DUMMYFUNCTION("COUNTA(iferror(filter(Status!H:H,Status!A:A=A178,Status!H:H=TRUE)))"),0.0)</f>
        <v>0</v>
      </c>
      <c r="L178" s="23">
        <f>IFERROR(__xludf.DUMMYFUNCTION("COUNTA(iferror(filter(Status!L:L,Status!A:A=A178)))"),0.0)</f>
        <v>0</v>
      </c>
      <c r="M178" s="25">
        <f>IFERROR(__xludf.DUMMYFUNCTION("COUNTA(iferror(filter(Status!L:L,Status!A:A=A178,Status!L:L=TRUE)))"),0.0)</f>
        <v>0</v>
      </c>
      <c r="N178" s="23">
        <f>IFERROR(__xludf.DUMMYFUNCTION("COUNTA(iferror(filter(Status!N:N,Status!A:A=A178,Status!N:N=TRUE)))"),0.0)</f>
        <v>0</v>
      </c>
      <c r="O178" s="25">
        <f>IFERROR(__xludf.DUMMYFUNCTION("COUNTA(iferror(filter(Status!N:N,Status!A:A=A178,Status!N:N=TRUE)))"),0.0)</f>
        <v>0</v>
      </c>
      <c r="P178" s="23">
        <f>IFERROR(__xludf.DUMMYFUNCTION("COUNTA(iferror(filter(Status!P:P,Status!A:A=A178)))"),0.0)</f>
        <v>0</v>
      </c>
      <c r="Q178" s="25">
        <f>IFERROR(__xludf.DUMMYFUNCTION("COUNTA(iferror(filter(Status!P:P,Status!A:A=A178,Status!P:P=TRUE)))"),0.0)</f>
        <v>0</v>
      </c>
      <c r="R178" s="23">
        <f>IFERROR(__xludf.DUMMYFUNCTION("COUNTA(iferror(filter(Status!R:R,Status!A:A=A178)))"),0.0)</f>
        <v>0</v>
      </c>
      <c r="S178" s="25">
        <f>IFERROR(__xludf.DUMMYFUNCTION("COUNTA(iferror(filter(Status!R:R,Status!A:A=A178,Status!R:R=TRUE)))"),0.0)</f>
        <v>0</v>
      </c>
      <c r="V178" s="23" t="str">
        <f>IFERROR(__xludf.DUMMYFUNCTION("if((countif(filter(Status!$C:$C,Status!$A:$A=$A178),CONCATENATE(V$2,""*""))-W178)&gt;0,(countif(filter(Status!$C:$C,Status!$A:$A=$A178),CONCATENATE(V$2,""*""))-W178),"""")"),"")</f>
        <v/>
      </c>
      <c r="W178" s="23" t="str">
        <f>IFERROR(__xludf.DUMMYFUNCTION("if(countif(filter(Status!$C:$C,Status!$A:$A=$A178),CONCATENATE(W$2,""*""))&gt;0,countif(filter(Status!$C:$C,Status!$A:$A=$A178),CONCATENATE(W$2,""*"")),"""")"),"")</f>
        <v/>
      </c>
      <c r="X178" s="23" t="str">
        <f>IFERROR(__xludf.DUMMYFUNCTION("if(countif(filter(Status!$C:$C,Status!$A:$A=$A178),CONCATENATE(X$2,""*""))&gt;0,countif(filter(Status!$C:$C,Status!$A:$A=$A178),CONCATENATE(X$2,""*"")),"""")"),"")</f>
        <v/>
      </c>
      <c r="Y178" s="23" t="str">
        <f>IFERROR(__xludf.DUMMYFUNCTION("if(countif(filter(Status!$C:$C,Status!$A:$A=$A178),CONCATENATE(Y$2,""*""))&gt;0,countif(filter(Status!$C:$C,Status!$A:$A=$A178),CONCATENATE(Y$2,""*"")),"""")"),"")</f>
        <v/>
      </c>
      <c r="Z178" s="23" t="str">
        <f>IFERROR(__xludf.DUMMYFUNCTION("if(countif(filter(Status!$C:$C,Status!$A:$A=$A178),CONCATENATE(Z$2,""*""))&gt;0,countif(filter(Status!$C:$C,Status!$A:$A=$A178),CONCATENATE(Z$2,""*"")),"""")"),"")</f>
        <v/>
      </c>
      <c r="AA178" s="23" t="str">
        <f>IFERROR(__xludf.DUMMYFUNCTION("if((countif(filter(Status!$C:$C,Status!$A:$A=$A178),CONCATENATE(AA$2,""*""))-AB178)&gt;0,(countif(filter(Status!$C:$C,Status!$A:$A=$A178),CONCATENATE(AA$2,""*""))-AB178),"""")"),"")</f>
        <v/>
      </c>
      <c r="AB178" s="23" t="str">
        <f>IFERROR(__xludf.DUMMYFUNCTION("if(countif(filter(Status!$C:$C,Status!$A:$A=$A178),CONCATENATE(AB$2,""*""))&gt;0,countif(filter(Status!$C:$C,Status!$A:$A=$A178),CONCATENATE(AB$2,""*"")),"""")"),"")</f>
        <v/>
      </c>
      <c r="AC178" s="23" t="str">
        <f>IFERROR(__xludf.DUMMYFUNCTION("if(countif(filter(Status!$C:$C,Status!$A:$A=$A178),CONCATENATE(AC$2,""*""))&gt;0,countif(filter(Status!$C:$C,Status!$A:$A=$A178),CONCATENATE(AC$2,""*"")),"""")"),"")</f>
        <v/>
      </c>
      <c r="AD178" s="23" t="str">
        <f>IFERROR(__xludf.DUMMYFUNCTION("if(countif(filter(Status!$C:$C,Status!$A:$A=$A178),CONCATENATE(AD$2,""*""))&gt;0,countif(filter(Status!$C:$C,Status!$A:$A=$A178),CONCATENATE(AD$2,""*"")),"""")"),"")</f>
        <v/>
      </c>
      <c r="AE178" s="23" t="str">
        <f>IFERROR(__xludf.DUMMYFUNCTION("if(countif(filter(Status!$C:$C,Status!$A:$A=$A178),CONCATENATE(AE$2,""*""))&gt;0,countif(filter(Status!$C:$C,Status!$A:$A=$A178),CONCATENATE(AE$2,""*"")),"""")"),"")</f>
        <v/>
      </c>
      <c r="AF178" s="23" t="str">
        <f>IFERROR(__xludf.DUMMYFUNCTION("if(countif(filter(Status!$C:$C,Status!$A:$A=$A178),CONCATENATE(AF$2,""*""))&gt;0,countif(filter(Status!$C:$C,Status!$A:$A=$A178),CONCATENATE(AF$2,""*"")),"""")"),"")</f>
        <v/>
      </c>
      <c r="AG178" s="23" t="str">
        <f>IFERROR(__xludf.DUMMYFUNCTION("if(countif(filter(Status!$C:$C,Status!$A:$A=$A178),CONCATENATE(AG$2,""*""))&gt;0,countif(filter(Status!$C:$C,Status!$A:$A=$A178),CONCATENATE(AG$2,""*"")),"""")"),"")</f>
        <v/>
      </c>
      <c r="AH178" s="23" t="str">
        <f>IFERROR(__xludf.DUMMYFUNCTION("if(countif(filter(Status!$C:$C,Status!$A:$A=$A178),CONCATENATE(AH$2,""*""))&gt;0,countif(filter(Status!$C:$C,Status!$A:$A=$A178),CONCATENATE(AH$2,""*"")),"""")"),"")</f>
        <v/>
      </c>
      <c r="AI178" s="23" t="str">
        <f>IFERROR(__xludf.DUMMYFUNCTION("if(countif(filter(Status!$C:$C,Status!$A:$A=$A178),CONCATENATE(AI$2,""*""))&gt;0,countif(filter(Status!$C:$C,Status!$A:$A=$A178),CONCATENATE(AI$2,""*"")),"""")"),"")</f>
        <v/>
      </c>
      <c r="AJ178" s="23" t="str">
        <f>IFERROR(__xludf.DUMMYFUNCTION("if(countif(filter(Status!$C:$C,Status!$A:$A=$A178),CONCATENATE(AJ$2,""*""))&gt;0,countif(filter(Status!$C:$C,Status!$A:$A=$A178),CONCATENATE(AJ$2,""*"")),"""")"),"")</f>
        <v/>
      </c>
      <c r="AK178" s="23" t="str">
        <f>IFERROR(__xludf.DUMMYFUNCTION("if(countif(filter(Status!$C:$C,Status!$A:$A=$A178),CONCATENATE(AK$2,""*""))&gt;0,countif(filter(Status!$C:$C,Status!$A:$A=$A178),CONCATENATE(AK$2,""*"")),"""")"),"")</f>
        <v/>
      </c>
      <c r="AL178" s="23" t="str">
        <f>IFERROR(__xludf.DUMMYFUNCTION("if(countif(filter(Status!$C:$C,Status!$A:$A=$A178),CONCATENATE(AL$2,""*""))&gt;0,countif(filter(Status!$C:$C,Status!$A:$A=$A178),CONCATENATE(AL$2,""*"")),"""")"),"")</f>
        <v/>
      </c>
      <c r="AM178" s="23" t="str">
        <f>IFERROR(__xludf.DUMMYFUNCTION("if(countif(filter(Status!$C:$C,Status!$A:$A=$A178),CONCATENATE(AM$2,""*""))&gt;0,countif(filter(Status!$C:$C,Status!$A:$A=$A178),CONCATENATE(AM$2,""*"")),"""")"),"")</f>
        <v/>
      </c>
      <c r="AN178" s="23" t="str">
        <f>IFERROR(__xludf.DUMMYFUNCTION("if(countif(filter(Status!$C:$C,Status!$A:$A=$A178),CONCATENATE(AN$2,""*""))&gt;0,countif(filter(Status!$C:$C,Status!$A:$A=$A178),CONCATENATE(AN$2,""*"")),"""")"),"")</f>
        <v/>
      </c>
      <c r="AO178" s="23" t="str">
        <f>IFERROR(__xludf.DUMMYFUNCTION("if(countif(filter(Status!$C:$C,Status!$A:$A=$A178),CONCATENATE(AO$2,""*""))&gt;0,countif(filter(Status!$C:$C,Status!$A:$A=$A178),CONCATENATE(AO$2,""*"")),"""")"),"")</f>
        <v/>
      </c>
      <c r="AP178" s="23">
        <f>IFERROR(__xludf.DUMMYFUNCTION("counta(iferror(filter(Status!C:C,Status!A:A=A178)))"),0.0)</f>
        <v>0</v>
      </c>
      <c r="AQ178" s="23">
        <f t="shared" si="6"/>
        <v>0</v>
      </c>
    </row>
    <row r="179">
      <c r="A179" s="1" t="s">
        <v>1244</v>
      </c>
      <c r="B179" s="25" t="str">
        <f>IFERROR(__xludf.DUMMYFUNCTION("max(filter(Status!E:E,Status!A:A=A179))"),"#N/A")</f>
        <v>#N/A</v>
      </c>
      <c r="C179" s="23" t="str">
        <f t="shared" si="1"/>
        <v/>
      </c>
      <c r="D179" s="23" t="str">
        <f t="shared" si="2"/>
        <v/>
      </c>
      <c r="E179" s="23" t="str">
        <f t="shared" si="3"/>
        <v/>
      </c>
      <c r="F179" s="23" t="str">
        <f t="shared" si="4"/>
        <v/>
      </c>
      <c r="G179" s="25" t="str">
        <f t="shared" si="5"/>
        <v/>
      </c>
      <c r="J179" s="23">
        <f>IFERROR(__xludf.DUMMYFUNCTION("COUNTA(iferror(filter(Status!H:H,Status!A:A=A179)))"),0.0)</f>
        <v>0</v>
      </c>
      <c r="K179" s="25">
        <f>IFERROR(__xludf.DUMMYFUNCTION("COUNTA(iferror(filter(Status!H:H,Status!A:A=A179,Status!H:H=TRUE)))"),0.0)</f>
        <v>0</v>
      </c>
      <c r="L179" s="23">
        <f>IFERROR(__xludf.DUMMYFUNCTION("COUNTA(iferror(filter(Status!L:L,Status!A:A=A179)))"),0.0)</f>
        <v>0</v>
      </c>
      <c r="M179" s="25">
        <f>IFERROR(__xludf.DUMMYFUNCTION("COUNTA(iferror(filter(Status!L:L,Status!A:A=A179,Status!L:L=TRUE)))"),0.0)</f>
        <v>0</v>
      </c>
      <c r="N179" s="23">
        <f>IFERROR(__xludf.DUMMYFUNCTION("COUNTA(iferror(filter(Status!N:N,Status!A:A=A179,Status!N:N=TRUE)))"),0.0)</f>
        <v>0</v>
      </c>
      <c r="O179" s="25">
        <f>IFERROR(__xludf.DUMMYFUNCTION("COUNTA(iferror(filter(Status!N:N,Status!A:A=A179,Status!N:N=TRUE)))"),0.0)</f>
        <v>0</v>
      </c>
      <c r="P179" s="23">
        <f>IFERROR(__xludf.DUMMYFUNCTION("COUNTA(iferror(filter(Status!P:P,Status!A:A=A179)))"),0.0)</f>
        <v>0</v>
      </c>
      <c r="Q179" s="25">
        <f>IFERROR(__xludf.DUMMYFUNCTION("COUNTA(iferror(filter(Status!P:P,Status!A:A=A179,Status!P:P=TRUE)))"),0.0)</f>
        <v>0</v>
      </c>
      <c r="R179" s="23">
        <f>IFERROR(__xludf.DUMMYFUNCTION("COUNTA(iferror(filter(Status!R:R,Status!A:A=A179)))"),0.0)</f>
        <v>0</v>
      </c>
      <c r="S179" s="25">
        <f>IFERROR(__xludf.DUMMYFUNCTION("COUNTA(iferror(filter(Status!R:R,Status!A:A=A179,Status!R:R=TRUE)))"),0.0)</f>
        <v>0</v>
      </c>
      <c r="V179" s="23" t="str">
        <f>IFERROR(__xludf.DUMMYFUNCTION("if((countif(filter(Status!$C:$C,Status!$A:$A=$A179),CONCATENATE(V$2,""*""))-W179)&gt;0,(countif(filter(Status!$C:$C,Status!$A:$A=$A179),CONCATENATE(V$2,""*""))-W179),"""")"),"")</f>
        <v/>
      </c>
      <c r="W179" s="23" t="str">
        <f>IFERROR(__xludf.DUMMYFUNCTION("if(countif(filter(Status!$C:$C,Status!$A:$A=$A179),CONCATENATE(W$2,""*""))&gt;0,countif(filter(Status!$C:$C,Status!$A:$A=$A179),CONCATENATE(W$2,""*"")),"""")"),"")</f>
        <v/>
      </c>
      <c r="X179" s="23" t="str">
        <f>IFERROR(__xludf.DUMMYFUNCTION("if(countif(filter(Status!$C:$C,Status!$A:$A=$A179),CONCATENATE(X$2,""*""))&gt;0,countif(filter(Status!$C:$C,Status!$A:$A=$A179),CONCATENATE(X$2,""*"")),"""")"),"")</f>
        <v/>
      </c>
      <c r="Y179" s="23" t="str">
        <f>IFERROR(__xludf.DUMMYFUNCTION("if(countif(filter(Status!$C:$C,Status!$A:$A=$A179),CONCATENATE(Y$2,""*""))&gt;0,countif(filter(Status!$C:$C,Status!$A:$A=$A179),CONCATENATE(Y$2,""*"")),"""")"),"")</f>
        <v/>
      </c>
      <c r="Z179" s="23" t="str">
        <f>IFERROR(__xludf.DUMMYFUNCTION("if(countif(filter(Status!$C:$C,Status!$A:$A=$A179),CONCATENATE(Z$2,""*""))&gt;0,countif(filter(Status!$C:$C,Status!$A:$A=$A179),CONCATENATE(Z$2,""*"")),"""")"),"")</f>
        <v/>
      </c>
      <c r="AA179" s="23" t="str">
        <f>IFERROR(__xludf.DUMMYFUNCTION("if((countif(filter(Status!$C:$C,Status!$A:$A=$A179),CONCATENATE(AA$2,""*""))-AB179)&gt;0,(countif(filter(Status!$C:$C,Status!$A:$A=$A179),CONCATENATE(AA$2,""*""))-AB179),"""")"),"")</f>
        <v/>
      </c>
      <c r="AB179" s="23" t="str">
        <f>IFERROR(__xludf.DUMMYFUNCTION("if(countif(filter(Status!$C:$C,Status!$A:$A=$A179),CONCATENATE(AB$2,""*""))&gt;0,countif(filter(Status!$C:$C,Status!$A:$A=$A179),CONCATENATE(AB$2,""*"")),"""")"),"")</f>
        <v/>
      </c>
      <c r="AC179" s="23" t="str">
        <f>IFERROR(__xludf.DUMMYFUNCTION("if(countif(filter(Status!$C:$C,Status!$A:$A=$A179),CONCATENATE(AC$2,""*""))&gt;0,countif(filter(Status!$C:$C,Status!$A:$A=$A179),CONCATENATE(AC$2,""*"")),"""")"),"")</f>
        <v/>
      </c>
      <c r="AD179" s="23" t="str">
        <f>IFERROR(__xludf.DUMMYFUNCTION("if(countif(filter(Status!$C:$C,Status!$A:$A=$A179),CONCATENATE(AD$2,""*""))&gt;0,countif(filter(Status!$C:$C,Status!$A:$A=$A179),CONCATENATE(AD$2,""*"")),"""")"),"")</f>
        <v/>
      </c>
      <c r="AE179" s="23" t="str">
        <f>IFERROR(__xludf.DUMMYFUNCTION("if(countif(filter(Status!$C:$C,Status!$A:$A=$A179),CONCATENATE(AE$2,""*""))&gt;0,countif(filter(Status!$C:$C,Status!$A:$A=$A179),CONCATENATE(AE$2,""*"")),"""")"),"")</f>
        <v/>
      </c>
      <c r="AF179" s="23" t="str">
        <f>IFERROR(__xludf.DUMMYFUNCTION("if(countif(filter(Status!$C:$C,Status!$A:$A=$A179),CONCATENATE(AF$2,""*""))&gt;0,countif(filter(Status!$C:$C,Status!$A:$A=$A179),CONCATENATE(AF$2,""*"")),"""")"),"")</f>
        <v/>
      </c>
      <c r="AG179" s="23" t="str">
        <f>IFERROR(__xludf.DUMMYFUNCTION("if(countif(filter(Status!$C:$C,Status!$A:$A=$A179),CONCATENATE(AG$2,""*""))&gt;0,countif(filter(Status!$C:$C,Status!$A:$A=$A179),CONCATENATE(AG$2,""*"")),"""")"),"")</f>
        <v/>
      </c>
      <c r="AH179" s="23" t="str">
        <f>IFERROR(__xludf.DUMMYFUNCTION("if(countif(filter(Status!$C:$C,Status!$A:$A=$A179),CONCATENATE(AH$2,""*""))&gt;0,countif(filter(Status!$C:$C,Status!$A:$A=$A179),CONCATENATE(AH$2,""*"")),"""")"),"")</f>
        <v/>
      </c>
      <c r="AI179" s="23" t="str">
        <f>IFERROR(__xludf.DUMMYFUNCTION("if(countif(filter(Status!$C:$C,Status!$A:$A=$A179),CONCATENATE(AI$2,""*""))&gt;0,countif(filter(Status!$C:$C,Status!$A:$A=$A179),CONCATENATE(AI$2,""*"")),"""")"),"")</f>
        <v/>
      </c>
      <c r="AJ179" s="23" t="str">
        <f>IFERROR(__xludf.DUMMYFUNCTION("if(countif(filter(Status!$C:$C,Status!$A:$A=$A179),CONCATENATE(AJ$2,""*""))&gt;0,countif(filter(Status!$C:$C,Status!$A:$A=$A179),CONCATENATE(AJ$2,""*"")),"""")"),"")</f>
        <v/>
      </c>
      <c r="AK179" s="23" t="str">
        <f>IFERROR(__xludf.DUMMYFUNCTION("if(countif(filter(Status!$C:$C,Status!$A:$A=$A179),CONCATENATE(AK$2,""*""))&gt;0,countif(filter(Status!$C:$C,Status!$A:$A=$A179),CONCATENATE(AK$2,""*"")),"""")"),"")</f>
        <v/>
      </c>
      <c r="AL179" s="23" t="str">
        <f>IFERROR(__xludf.DUMMYFUNCTION("if(countif(filter(Status!$C:$C,Status!$A:$A=$A179),CONCATENATE(AL$2,""*""))&gt;0,countif(filter(Status!$C:$C,Status!$A:$A=$A179),CONCATENATE(AL$2,""*"")),"""")"),"")</f>
        <v/>
      </c>
      <c r="AM179" s="23" t="str">
        <f>IFERROR(__xludf.DUMMYFUNCTION("if(countif(filter(Status!$C:$C,Status!$A:$A=$A179),CONCATENATE(AM$2,""*""))&gt;0,countif(filter(Status!$C:$C,Status!$A:$A=$A179),CONCATENATE(AM$2,""*"")),"""")"),"")</f>
        <v/>
      </c>
      <c r="AN179" s="23" t="str">
        <f>IFERROR(__xludf.DUMMYFUNCTION("if(countif(filter(Status!$C:$C,Status!$A:$A=$A179),CONCATENATE(AN$2,""*""))&gt;0,countif(filter(Status!$C:$C,Status!$A:$A=$A179),CONCATENATE(AN$2,""*"")),"""")"),"")</f>
        <v/>
      </c>
      <c r="AO179" s="23" t="str">
        <f>IFERROR(__xludf.DUMMYFUNCTION("if(countif(filter(Status!$C:$C,Status!$A:$A=$A179),CONCATENATE(AO$2,""*""))&gt;0,countif(filter(Status!$C:$C,Status!$A:$A=$A179),CONCATENATE(AO$2,""*"")),"""")"),"")</f>
        <v/>
      </c>
      <c r="AP179" s="23">
        <f>IFERROR(__xludf.DUMMYFUNCTION("counta(iferror(filter(Status!C:C,Status!A:A=A179)))"),0.0)</f>
        <v>0</v>
      </c>
      <c r="AQ179" s="23">
        <f t="shared" si="6"/>
        <v>0</v>
      </c>
    </row>
    <row r="180">
      <c r="A180" s="1" t="s">
        <v>1245</v>
      </c>
      <c r="B180" s="25" t="str">
        <f>IFERROR(__xludf.DUMMYFUNCTION("max(filter(Status!E:E,Status!A:A=A180))"),"#N/A")</f>
        <v>#N/A</v>
      </c>
      <c r="C180" s="23" t="str">
        <f t="shared" si="1"/>
        <v/>
      </c>
      <c r="D180" s="23" t="str">
        <f t="shared" si="2"/>
        <v/>
      </c>
      <c r="E180" s="23" t="str">
        <f t="shared" si="3"/>
        <v/>
      </c>
      <c r="F180" s="23" t="str">
        <f t="shared" si="4"/>
        <v/>
      </c>
      <c r="G180" s="25" t="str">
        <f t="shared" si="5"/>
        <v/>
      </c>
      <c r="J180" s="23">
        <f>IFERROR(__xludf.DUMMYFUNCTION("COUNTA(iferror(filter(Status!H:H,Status!A:A=A180)))"),0.0)</f>
        <v>0</v>
      </c>
      <c r="K180" s="25">
        <f>IFERROR(__xludf.DUMMYFUNCTION("COUNTA(iferror(filter(Status!H:H,Status!A:A=A180,Status!H:H=TRUE)))"),0.0)</f>
        <v>0</v>
      </c>
      <c r="L180" s="23">
        <f>IFERROR(__xludf.DUMMYFUNCTION("COUNTA(iferror(filter(Status!L:L,Status!A:A=A180)))"),0.0)</f>
        <v>0</v>
      </c>
      <c r="M180" s="25">
        <f>IFERROR(__xludf.DUMMYFUNCTION("COUNTA(iferror(filter(Status!L:L,Status!A:A=A180,Status!L:L=TRUE)))"),0.0)</f>
        <v>0</v>
      </c>
      <c r="N180" s="23">
        <f>IFERROR(__xludf.DUMMYFUNCTION("COUNTA(iferror(filter(Status!N:N,Status!A:A=A180,Status!N:N=TRUE)))"),0.0)</f>
        <v>0</v>
      </c>
      <c r="O180" s="25">
        <f>IFERROR(__xludf.DUMMYFUNCTION("COUNTA(iferror(filter(Status!N:N,Status!A:A=A180,Status!N:N=TRUE)))"),0.0)</f>
        <v>0</v>
      </c>
      <c r="P180" s="23">
        <f>IFERROR(__xludf.DUMMYFUNCTION("COUNTA(iferror(filter(Status!P:P,Status!A:A=A180)))"),0.0)</f>
        <v>0</v>
      </c>
      <c r="Q180" s="25">
        <f>IFERROR(__xludf.DUMMYFUNCTION("COUNTA(iferror(filter(Status!P:P,Status!A:A=A180,Status!P:P=TRUE)))"),0.0)</f>
        <v>0</v>
      </c>
      <c r="R180" s="23">
        <f>IFERROR(__xludf.DUMMYFUNCTION("COUNTA(iferror(filter(Status!R:R,Status!A:A=A180)))"),0.0)</f>
        <v>0</v>
      </c>
      <c r="S180" s="25">
        <f>IFERROR(__xludf.DUMMYFUNCTION("COUNTA(iferror(filter(Status!R:R,Status!A:A=A180,Status!R:R=TRUE)))"),0.0)</f>
        <v>0</v>
      </c>
      <c r="V180" s="23" t="str">
        <f>IFERROR(__xludf.DUMMYFUNCTION("if((countif(filter(Status!$C:$C,Status!$A:$A=$A180),CONCATENATE(V$2,""*""))-W180)&gt;0,(countif(filter(Status!$C:$C,Status!$A:$A=$A180),CONCATENATE(V$2,""*""))-W180),"""")"),"")</f>
        <v/>
      </c>
      <c r="W180" s="23" t="str">
        <f>IFERROR(__xludf.DUMMYFUNCTION("if(countif(filter(Status!$C:$C,Status!$A:$A=$A180),CONCATENATE(W$2,""*""))&gt;0,countif(filter(Status!$C:$C,Status!$A:$A=$A180),CONCATENATE(W$2,""*"")),"""")"),"")</f>
        <v/>
      </c>
      <c r="X180" s="23" t="str">
        <f>IFERROR(__xludf.DUMMYFUNCTION("if(countif(filter(Status!$C:$C,Status!$A:$A=$A180),CONCATENATE(X$2,""*""))&gt;0,countif(filter(Status!$C:$C,Status!$A:$A=$A180),CONCATENATE(X$2,""*"")),"""")"),"")</f>
        <v/>
      </c>
      <c r="Y180" s="23" t="str">
        <f>IFERROR(__xludf.DUMMYFUNCTION("if(countif(filter(Status!$C:$C,Status!$A:$A=$A180),CONCATENATE(Y$2,""*""))&gt;0,countif(filter(Status!$C:$C,Status!$A:$A=$A180),CONCATENATE(Y$2,""*"")),"""")"),"")</f>
        <v/>
      </c>
      <c r="Z180" s="23" t="str">
        <f>IFERROR(__xludf.DUMMYFUNCTION("if(countif(filter(Status!$C:$C,Status!$A:$A=$A180),CONCATENATE(Z$2,""*""))&gt;0,countif(filter(Status!$C:$C,Status!$A:$A=$A180),CONCATENATE(Z$2,""*"")),"""")"),"")</f>
        <v/>
      </c>
      <c r="AA180" s="23" t="str">
        <f>IFERROR(__xludf.DUMMYFUNCTION("if((countif(filter(Status!$C:$C,Status!$A:$A=$A180),CONCATENATE(AA$2,""*""))-AB180)&gt;0,(countif(filter(Status!$C:$C,Status!$A:$A=$A180),CONCATENATE(AA$2,""*""))-AB180),"""")"),"")</f>
        <v/>
      </c>
      <c r="AB180" s="23" t="str">
        <f>IFERROR(__xludf.DUMMYFUNCTION("if(countif(filter(Status!$C:$C,Status!$A:$A=$A180),CONCATENATE(AB$2,""*""))&gt;0,countif(filter(Status!$C:$C,Status!$A:$A=$A180),CONCATENATE(AB$2,""*"")),"""")"),"")</f>
        <v/>
      </c>
      <c r="AC180" s="23" t="str">
        <f>IFERROR(__xludf.DUMMYFUNCTION("if(countif(filter(Status!$C:$C,Status!$A:$A=$A180),CONCATENATE(AC$2,""*""))&gt;0,countif(filter(Status!$C:$C,Status!$A:$A=$A180),CONCATENATE(AC$2,""*"")),"""")"),"")</f>
        <v/>
      </c>
      <c r="AD180" s="23" t="str">
        <f>IFERROR(__xludf.DUMMYFUNCTION("if(countif(filter(Status!$C:$C,Status!$A:$A=$A180),CONCATENATE(AD$2,""*""))&gt;0,countif(filter(Status!$C:$C,Status!$A:$A=$A180),CONCATENATE(AD$2,""*"")),"""")"),"")</f>
        <v/>
      </c>
      <c r="AE180" s="23" t="str">
        <f>IFERROR(__xludf.DUMMYFUNCTION("if(countif(filter(Status!$C:$C,Status!$A:$A=$A180),CONCATENATE(AE$2,""*""))&gt;0,countif(filter(Status!$C:$C,Status!$A:$A=$A180),CONCATENATE(AE$2,""*"")),"""")"),"")</f>
        <v/>
      </c>
      <c r="AF180" s="23" t="str">
        <f>IFERROR(__xludf.DUMMYFUNCTION("if(countif(filter(Status!$C:$C,Status!$A:$A=$A180),CONCATENATE(AF$2,""*""))&gt;0,countif(filter(Status!$C:$C,Status!$A:$A=$A180),CONCATENATE(AF$2,""*"")),"""")"),"")</f>
        <v/>
      </c>
      <c r="AG180" s="23" t="str">
        <f>IFERROR(__xludf.DUMMYFUNCTION("if(countif(filter(Status!$C:$C,Status!$A:$A=$A180),CONCATENATE(AG$2,""*""))&gt;0,countif(filter(Status!$C:$C,Status!$A:$A=$A180),CONCATENATE(AG$2,""*"")),"""")"),"")</f>
        <v/>
      </c>
      <c r="AH180" s="23" t="str">
        <f>IFERROR(__xludf.DUMMYFUNCTION("if(countif(filter(Status!$C:$C,Status!$A:$A=$A180),CONCATENATE(AH$2,""*""))&gt;0,countif(filter(Status!$C:$C,Status!$A:$A=$A180),CONCATENATE(AH$2,""*"")),"""")"),"")</f>
        <v/>
      </c>
      <c r="AI180" s="23" t="str">
        <f>IFERROR(__xludf.DUMMYFUNCTION("if(countif(filter(Status!$C:$C,Status!$A:$A=$A180),CONCATENATE(AI$2,""*""))&gt;0,countif(filter(Status!$C:$C,Status!$A:$A=$A180),CONCATENATE(AI$2,""*"")),"""")"),"")</f>
        <v/>
      </c>
      <c r="AJ180" s="23" t="str">
        <f>IFERROR(__xludf.DUMMYFUNCTION("if(countif(filter(Status!$C:$C,Status!$A:$A=$A180),CONCATENATE(AJ$2,""*""))&gt;0,countif(filter(Status!$C:$C,Status!$A:$A=$A180),CONCATENATE(AJ$2,""*"")),"""")"),"")</f>
        <v/>
      </c>
      <c r="AK180" s="23" t="str">
        <f>IFERROR(__xludf.DUMMYFUNCTION("if(countif(filter(Status!$C:$C,Status!$A:$A=$A180),CONCATENATE(AK$2,""*""))&gt;0,countif(filter(Status!$C:$C,Status!$A:$A=$A180),CONCATENATE(AK$2,""*"")),"""")"),"")</f>
        <v/>
      </c>
      <c r="AL180" s="23" t="str">
        <f>IFERROR(__xludf.DUMMYFUNCTION("if(countif(filter(Status!$C:$C,Status!$A:$A=$A180),CONCATENATE(AL$2,""*""))&gt;0,countif(filter(Status!$C:$C,Status!$A:$A=$A180),CONCATENATE(AL$2,""*"")),"""")"),"")</f>
        <v/>
      </c>
      <c r="AM180" s="23" t="str">
        <f>IFERROR(__xludf.DUMMYFUNCTION("if(countif(filter(Status!$C:$C,Status!$A:$A=$A180),CONCATENATE(AM$2,""*""))&gt;0,countif(filter(Status!$C:$C,Status!$A:$A=$A180),CONCATENATE(AM$2,""*"")),"""")"),"")</f>
        <v/>
      </c>
      <c r="AN180" s="23" t="str">
        <f>IFERROR(__xludf.DUMMYFUNCTION("if(countif(filter(Status!$C:$C,Status!$A:$A=$A180),CONCATENATE(AN$2,""*""))&gt;0,countif(filter(Status!$C:$C,Status!$A:$A=$A180),CONCATENATE(AN$2,""*"")),"""")"),"")</f>
        <v/>
      </c>
      <c r="AO180" s="23" t="str">
        <f>IFERROR(__xludf.DUMMYFUNCTION("if(countif(filter(Status!$C:$C,Status!$A:$A=$A180),CONCATENATE(AO$2,""*""))&gt;0,countif(filter(Status!$C:$C,Status!$A:$A=$A180),CONCATENATE(AO$2,""*"")),"""")"),"")</f>
        <v/>
      </c>
      <c r="AP180" s="23">
        <f>IFERROR(__xludf.DUMMYFUNCTION("counta(iferror(filter(Status!C:C,Status!A:A=A180)))"),0.0)</f>
        <v>0</v>
      </c>
      <c r="AQ180" s="23">
        <f t="shared" si="6"/>
        <v>0</v>
      </c>
    </row>
    <row r="181">
      <c r="A181" s="1" t="s">
        <v>1247</v>
      </c>
      <c r="B181" s="25" t="str">
        <f>IFERROR(__xludf.DUMMYFUNCTION("max(filter(Status!E:E,Status!A:A=A181))"),"#N/A")</f>
        <v>#N/A</v>
      </c>
      <c r="C181" s="23" t="str">
        <f t="shared" si="1"/>
        <v/>
      </c>
      <c r="D181" s="23" t="str">
        <f t="shared" si="2"/>
        <v/>
      </c>
      <c r="E181" s="23" t="str">
        <f t="shared" si="3"/>
        <v/>
      </c>
      <c r="F181" s="23" t="str">
        <f t="shared" si="4"/>
        <v/>
      </c>
      <c r="G181" s="25" t="str">
        <f t="shared" si="5"/>
        <v/>
      </c>
      <c r="J181" s="23">
        <f>IFERROR(__xludf.DUMMYFUNCTION("COUNTA(iferror(filter(Status!H:H,Status!A:A=A181)))"),0.0)</f>
        <v>0</v>
      </c>
      <c r="K181" s="25">
        <f>IFERROR(__xludf.DUMMYFUNCTION("COUNTA(iferror(filter(Status!H:H,Status!A:A=A181,Status!H:H=TRUE)))"),0.0)</f>
        <v>0</v>
      </c>
      <c r="L181" s="23">
        <f>IFERROR(__xludf.DUMMYFUNCTION("COUNTA(iferror(filter(Status!L:L,Status!A:A=A181)))"),0.0)</f>
        <v>0</v>
      </c>
      <c r="M181" s="25">
        <f>IFERROR(__xludf.DUMMYFUNCTION("COUNTA(iferror(filter(Status!L:L,Status!A:A=A181,Status!L:L=TRUE)))"),0.0)</f>
        <v>0</v>
      </c>
      <c r="N181" s="23">
        <f>IFERROR(__xludf.DUMMYFUNCTION("COUNTA(iferror(filter(Status!N:N,Status!A:A=A181,Status!N:N=TRUE)))"),0.0)</f>
        <v>0</v>
      </c>
      <c r="O181" s="25">
        <f>IFERROR(__xludf.DUMMYFUNCTION("COUNTA(iferror(filter(Status!N:N,Status!A:A=A181,Status!N:N=TRUE)))"),0.0)</f>
        <v>0</v>
      </c>
      <c r="P181" s="23">
        <f>IFERROR(__xludf.DUMMYFUNCTION("COUNTA(iferror(filter(Status!P:P,Status!A:A=A181)))"),0.0)</f>
        <v>0</v>
      </c>
      <c r="Q181" s="25">
        <f>IFERROR(__xludf.DUMMYFUNCTION("COUNTA(iferror(filter(Status!P:P,Status!A:A=A181,Status!P:P=TRUE)))"),0.0)</f>
        <v>0</v>
      </c>
      <c r="R181" s="23">
        <f>IFERROR(__xludf.DUMMYFUNCTION("COUNTA(iferror(filter(Status!R:R,Status!A:A=A181)))"),0.0)</f>
        <v>0</v>
      </c>
      <c r="S181" s="25">
        <f>IFERROR(__xludf.DUMMYFUNCTION("COUNTA(iferror(filter(Status!R:R,Status!A:A=A181,Status!R:R=TRUE)))"),0.0)</f>
        <v>0</v>
      </c>
      <c r="V181" s="23" t="str">
        <f>IFERROR(__xludf.DUMMYFUNCTION("if((countif(filter(Status!$C:$C,Status!$A:$A=$A181),CONCATENATE(V$2,""*""))-W181)&gt;0,(countif(filter(Status!$C:$C,Status!$A:$A=$A181),CONCATENATE(V$2,""*""))-W181),"""")"),"")</f>
        <v/>
      </c>
      <c r="W181" s="23" t="str">
        <f>IFERROR(__xludf.DUMMYFUNCTION("if(countif(filter(Status!$C:$C,Status!$A:$A=$A181),CONCATENATE(W$2,""*""))&gt;0,countif(filter(Status!$C:$C,Status!$A:$A=$A181),CONCATENATE(W$2,""*"")),"""")"),"")</f>
        <v/>
      </c>
      <c r="X181" s="23" t="str">
        <f>IFERROR(__xludf.DUMMYFUNCTION("if(countif(filter(Status!$C:$C,Status!$A:$A=$A181),CONCATENATE(X$2,""*""))&gt;0,countif(filter(Status!$C:$C,Status!$A:$A=$A181),CONCATENATE(X$2,""*"")),"""")"),"")</f>
        <v/>
      </c>
      <c r="Y181" s="23" t="str">
        <f>IFERROR(__xludf.DUMMYFUNCTION("if(countif(filter(Status!$C:$C,Status!$A:$A=$A181),CONCATENATE(Y$2,""*""))&gt;0,countif(filter(Status!$C:$C,Status!$A:$A=$A181),CONCATENATE(Y$2,""*"")),"""")"),"")</f>
        <v/>
      </c>
      <c r="Z181" s="23" t="str">
        <f>IFERROR(__xludf.DUMMYFUNCTION("if(countif(filter(Status!$C:$C,Status!$A:$A=$A181),CONCATENATE(Z$2,""*""))&gt;0,countif(filter(Status!$C:$C,Status!$A:$A=$A181),CONCATENATE(Z$2,""*"")),"""")"),"")</f>
        <v/>
      </c>
      <c r="AA181" s="23" t="str">
        <f>IFERROR(__xludf.DUMMYFUNCTION("if((countif(filter(Status!$C:$C,Status!$A:$A=$A181),CONCATENATE(AA$2,""*""))-AB181)&gt;0,(countif(filter(Status!$C:$C,Status!$A:$A=$A181),CONCATENATE(AA$2,""*""))-AB181),"""")"),"")</f>
        <v/>
      </c>
      <c r="AB181" s="23" t="str">
        <f>IFERROR(__xludf.DUMMYFUNCTION("if(countif(filter(Status!$C:$C,Status!$A:$A=$A181),CONCATENATE(AB$2,""*""))&gt;0,countif(filter(Status!$C:$C,Status!$A:$A=$A181),CONCATENATE(AB$2,""*"")),"""")"),"")</f>
        <v/>
      </c>
      <c r="AC181" s="23" t="str">
        <f>IFERROR(__xludf.DUMMYFUNCTION("if(countif(filter(Status!$C:$C,Status!$A:$A=$A181),CONCATENATE(AC$2,""*""))&gt;0,countif(filter(Status!$C:$C,Status!$A:$A=$A181),CONCATENATE(AC$2,""*"")),"""")"),"")</f>
        <v/>
      </c>
      <c r="AD181" s="23" t="str">
        <f>IFERROR(__xludf.DUMMYFUNCTION("if(countif(filter(Status!$C:$C,Status!$A:$A=$A181),CONCATENATE(AD$2,""*""))&gt;0,countif(filter(Status!$C:$C,Status!$A:$A=$A181),CONCATENATE(AD$2,""*"")),"""")"),"")</f>
        <v/>
      </c>
      <c r="AE181" s="23" t="str">
        <f>IFERROR(__xludf.DUMMYFUNCTION("if(countif(filter(Status!$C:$C,Status!$A:$A=$A181),CONCATENATE(AE$2,""*""))&gt;0,countif(filter(Status!$C:$C,Status!$A:$A=$A181),CONCATENATE(AE$2,""*"")),"""")"),"")</f>
        <v/>
      </c>
      <c r="AF181" s="23" t="str">
        <f>IFERROR(__xludf.DUMMYFUNCTION("if(countif(filter(Status!$C:$C,Status!$A:$A=$A181),CONCATENATE(AF$2,""*""))&gt;0,countif(filter(Status!$C:$C,Status!$A:$A=$A181),CONCATENATE(AF$2,""*"")),"""")"),"")</f>
        <v/>
      </c>
      <c r="AG181" s="23" t="str">
        <f>IFERROR(__xludf.DUMMYFUNCTION("if(countif(filter(Status!$C:$C,Status!$A:$A=$A181),CONCATENATE(AG$2,""*""))&gt;0,countif(filter(Status!$C:$C,Status!$A:$A=$A181),CONCATENATE(AG$2,""*"")),"""")"),"")</f>
        <v/>
      </c>
      <c r="AH181" s="23" t="str">
        <f>IFERROR(__xludf.DUMMYFUNCTION("if(countif(filter(Status!$C:$C,Status!$A:$A=$A181),CONCATENATE(AH$2,""*""))&gt;0,countif(filter(Status!$C:$C,Status!$A:$A=$A181),CONCATENATE(AH$2,""*"")),"""")"),"")</f>
        <v/>
      </c>
      <c r="AI181" s="23" t="str">
        <f>IFERROR(__xludf.DUMMYFUNCTION("if(countif(filter(Status!$C:$C,Status!$A:$A=$A181),CONCATENATE(AI$2,""*""))&gt;0,countif(filter(Status!$C:$C,Status!$A:$A=$A181),CONCATENATE(AI$2,""*"")),"""")"),"")</f>
        <v/>
      </c>
      <c r="AJ181" s="23" t="str">
        <f>IFERROR(__xludf.DUMMYFUNCTION("if(countif(filter(Status!$C:$C,Status!$A:$A=$A181),CONCATENATE(AJ$2,""*""))&gt;0,countif(filter(Status!$C:$C,Status!$A:$A=$A181),CONCATENATE(AJ$2,""*"")),"""")"),"")</f>
        <v/>
      </c>
      <c r="AK181" s="23" t="str">
        <f>IFERROR(__xludf.DUMMYFUNCTION("if(countif(filter(Status!$C:$C,Status!$A:$A=$A181),CONCATENATE(AK$2,""*""))&gt;0,countif(filter(Status!$C:$C,Status!$A:$A=$A181),CONCATENATE(AK$2,""*"")),"""")"),"")</f>
        <v/>
      </c>
      <c r="AL181" s="23" t="str">
        <f>IFERROR(__xludf.DUMMYFUNCTION("if(countif(filter(Status!$C:$C,Status!$A:$A=$A181),CONCATENATE(AL$2,""*""))&gt;0,countif(filter(Status!$C:$C,Status!$A:$A=$A181),CONCATENATE(AL$2,""*"")),"""")"),"")</f>
        <v/>
      </c>
      <c r="AM181" s="23" t="str">
        <f>IFERROR(__xludf.DUMMYFUNCTION("if(countif(filter(Status!$C:$C,Status!$A:$A=$A181),CONCATENATE(AM$2,""*""))&gt;0,countif(filter(Status!$C:$C,Status!$A:$A=$A181),CONCATENATE(AM$2,""*"")),"""")"),"")</f>
        <v/>
      </c>
      <c r="AN181" s="23" t="str">
        <f>IFERROR(__xludf.DUMMYFUNCTION("if(countif(filter(Status!$C:$C,Status!$A:$A=$A181),CONCATENATE(AN$2,""*""))&gt;0,countif(filter(Status!$C:$C,Status!$A:$A=$A181),CONCATENATE(AN$2,""*"")),"""")"),"")</f>
        <v/>
      </c>
      <c r="AO181" s="23" t="str">
        <f>IFERROR(__xludf.DUMMYFUNCTION("if(countif(filter(Status!$C:$C,Status!$A:$A=$A181),CONCATENATE(AO$2,""*""))&gt;0,countif(filter(Status!$C:$C,Status!$A:$A=$A181),CONCATENATE(AO$2,""*"")),"""")"),"")</f>
        <v/>
      </c>
      <c r="AP181" s="23">
        <f>IFERROR(__xludf.DUMMYFUNCTION("counta(iferror(filter(Status!C:C,Status!A:A=A181)))"),0.0)</f>
        <v>0</v>
      </c>
      <c r="AQ181" s="23">
        <f t="shared" si="6"/>
        <v>0</v>
      </c>
    </row>
    <row r="182">
      <c r="A182" s="1" t="s">
        <v>1251</v>
      </c>
      <c r="B182" s="25" t="str">
        <f>IFERROR(__xludf.DUMMYFUNCTION("max(filter(Status!E:E,Status!A:A=A182))"),"#N/A")</f>
        <v>#N/A</v>
      </c>
      <c r="C182" s="23" t="str">
        <f t="shared" si="1"/>
        <v/>
      </c>
      <c r="D182" s="23" t="str">
        <f t="shared" si="2"/>
        <v/>
      </c>
      <c r="E182" s="23" t="str">
        <f t="shared" si="3"/>
        <v/>
      </c>
      <c r="F182" s="23" t="str">
        <f t="shared" si="4"/>
        <v/>
      </c>
      <c r="G182" s="25" t="str">
        <f t="shared" si="5"/>
        <v/>
      </c>
      <c r="J182" s="23">
        <f>IFERROR(__xludf.DUMMYFUNCTION("COUNTA(iferror(filter(Status!H:H,Status!A:A=A182)))"),0.0)</f>
        <v>0</v>
      </c>
      <c r="K182" s="25">
        <f>IFERROR(__xludf.DUMMYFUNCTION("COUNTA(iferror(filter(Status!H:H,Status!A:A=A182,Status!H:H=TRUE)))"),0.0)</f>
        <v>0</v>
      </c>
      <c r="L182" s="23">
        <f>IFERROR(__xludf.DUMMYFUNCTION("COUNTA(iferror(filter(Status!L:L,Status!A:A=A182)))"),0.0)</f>
        <v>0</v>
      </c>
      <c r="M182" s="25">
        <f>IFERROR(__xludf.DUMMYFUNCTION("COUNTA(iferror(filter(Status!L:L,Status!A:A=A182,Status!L:L=TRUE)))"),0.0)</f>
        <v>0</v>
      </c>
      <c r="N182" s="23">
        <f>IFERROR(__xludf.DUMMYFUNCTION("COUNTA(iferror(filter(Status!N:N,Status!A:A=A182,Status!N:N=TRUE)))"),0.0)</f>
        <v>0</v>
      </c>
      <c r="O182" s="25">
        <f>IFERROR(__xludf.DUMMYFUNCTION("COUNTA(iferror(filter(Status!N:N,Status!A:A=A182,Status!N:N=TRUE)))"),0.0)</f>
        <v>0</v>
      </c>
      <c r="P182" s="23">
        <f>IFERROR(__xludf.DUMMYFUNCTION("COUNTA(iferror(filter(Status!P:P,Status!A:A=A182)))"),0.0)</f>
        <v>0</v>
      </c>
      <c r="Q182" s="25">
        <f>IFERROR(__xludf.DUMMYFUNCTION("COUNTA(iferror(filter(Status!P:P,Status!A:A=A182,Status!P:P=TRUE)))"),0.0)</f>
        <v>0</v>
      </c>
      <c r="R182" s="23">
        <f>IFERROR(__xludf.DUMMYFUNCTION("COUNTA(iferror(filter(Status!R:R,Status!A:A=A182)))"),0.0)</f>
        <v>0</v>
      </c>
      <c r="S182" s="25">
        <f>IFERROR(__xludf.DUMMYFUNCTION("COUNTA(iferror(filter(Status!R:R,Status!A:A=A182,Status!R:R=TRUE)))"),0.0)</f>
        <v>0</v>
      </c>
      <c r="V182" s="23" t="str">
        <f>IFERROR(__xludf.DUMMYFUNCTION("if((countif(filter(Status!$C:$C,Status!$A:$A=$A182),CONCATENATE(V$2,""*""))-W182)&gt;0,(countif(filter(Status!$C:$C,Status!$A:$A=$A182),CONCATENATE(V$2,""*""))-W182),"""")"),"")</f>
        <v/>
      </c>
      <c r="W182" s="23" t="str">
        <f>IFERROR(__xludf.DUMMYFUNCTION("if(countif(filter(Status!$C:$C,Status!$A:$A=$A182),CONCATENATE(W$2,""*""))&gt;0,countif(filter(Status!$C:$C,Status!$A:$A=$A182),CONCATENATE(W$2,""*"")),"""")"),"")</f>
        <v/>
      </c>
      <c r="X182" s="23" t="str">
        <f>IFERROR(__xludf.DUMMYFUNCTION("if(countif(filter(Status!$C:$C,Status!$A:$A=$A182),CONCATENATE(X$2,""*""))&gt;0,countif(filter(Status!$C:$C,Status!$A:$A=$A182),CONCATENATE(X$2,""*"")),"""")"),"")</f>
        <v/>
      </c>
      <c r="Y182" s="23" t="str">
        <f>IFERROR(__xludf.DUMMYFUNCTION("if(countif(filter(Status!$C:$C,Status!$A:$A=$A182),CONCATENATE(Y$2,""*""))&gt;0,countif(filter(Status!$C:$C,Status!$A:$A=$A182),CONCATENATE(Y$2,""*"")),"""")"),"")</f>
        <v/>
      </c>
      <c r="Z182" s="23" t="str">
        <f>IFERROR(__xludf.DUMMYFUNCTION("if(countif(filter(Status!$C:$C,Status!$A:$A=$A182),CONCATENATE(Z$2,""*""))&gt;0,countif(filter(Status!$C:$C,Status!$A:$A=$A182),CONCATENATE(Z$2,""*"")),"""")"),"")</f>
        <v/>
      </c>
      <c r="AA182" s="23" t="str">
        <f>IFERROR(__xludf.DUMMYFUNCTION("if((countif(filter(Status!$C:$C,Status!$A:$A=$A182),CONCATENATE(AA$2,""*""))-AB182)&gt;0,(countif(filter(Status!$C:$C,Status!$A:$A=$A182),CONCATENATE(AA$2,""*""))-AB182),"""")"),"")</f>
        <v/>
      </c>
      <c r="AB182" s="23" t="str">
        <f>IFERROR(__xludf.DUMMYFUNCTION("if(countif(filter(Status!$C:$C,Status!$A:$A=$A182),CONCATENATE(AB$2,""*""))&gt;0,countif(filter(Status!$C:$C,Status!$A:$A=$A182),CONCATENATE(AB$2,""*"")),"""")"),"")</f>
        <v/>
      </c>
      <c r="AC182" s="23" t="str">
        <f>IFERROR(__xludf.DUMMYFUNCTION("if(countif(filter(Status!$C:$C,Status!$A:$A=$A182),CONCATENATE(AC$2,""*""))&gt;0,countif(filter(Status!$C:$C,Status!$A:$A=$A182),CONCATENATE(AC$2,""*"")),"""")"),"")</f>
        <v/>
      </c>
      <c r="AD182" s="23" t="str">
        <f>IFERROR(__xludf.DUMMYFUNCTION("if(countif(filter(Status!$C:$C,Status!$A:$A=$A182),CONCATENATE(AD$2,""*""))&gt;0,countif(filter(Status!$C:$C,Status!$A:$A=$A182),CONCATENATE(AD$2,""*"")),"""")"),"")</f>
        <v/>
      </c>
      <c r="AE182" s="23" t="str">
        <f>IFERROR(__xludf.DUMMYFUNCTION("if(countif(filter(Status!$C:$C,Status!$A:$A=$A182),CONCATENATE(AE$2,""*""))&gt;0,countif(filter(Status!$C:$C,Status!$A:$A=$A182),CONCATENATE(AE$2,""*"")),"""")"),"")</f>
        <v/>
      </c>
      <c r="AF182" s="23" t="str">
        <f>IFERROR(__xludf.DUMMYFUNCTION("if(countif(filter(Status!$C:$C,Status!$A:$A=$A182),CONCATENATE(AF$2,""*""))&gt;0,countif(filter(Status!$C:$C,Status!$A:$A=$A182),CONCATENATE(AF$2,""*"")),"""")"),"")</f>
        <v/>
      </c>
      <c r="AG182" s="23" t="str">
        <f>IFERROR(__xludf.DUMMYFUNCTION("if(countif(filter(Status!$C:$C,Status!$A:$A=$A182),CONCATENATE(AG$2,""*""))&gt;0,countif(filter(Status!$C:$C,Status!$A:$A=$A182),CONCATENATE(AG$2,""*"")),"""")"),"")</f>
        <v/>
      </c>
      <c r="AH182" s="23" t="str">
        <f>IFERROR(__xludf.DUMMYFUNCTION("if(countif(filter(Status!$C:$C,Status!$A:$A=$A182),CONCATENATE(AH$2,""*""))&gt;0,countif(filter(Status!$C:$C,Status!$A:$A=$A182),CONCATENATE(AH$2,""*"")),"""")"),"")</f>
        <v/>
      </c>
      <c r="AI182" s="23" t="str">
        <f>IFERROR(__xludf.DUMMYFUNCTION("if(countif(filter(Status!$C:$C,Status!$A:$A=$A182),CONCATENATE(AI$2,""*""))&gt;0,countif(filter(Status!$C:$C,Status!$A:$A=$A182),CONCATENATE(AI$2,""*"")),"""")"),"")</f>
        <v/>
      </c>
      <c r="AJ182" s="23" t="str">
        <f>IFERROR(__xludf.DUMMYFUNCTION("if(countif(filter(Status!$C:$C,Status!$A:$A=$A182),CONCATENATE(AJ$2,""*""))&gt;0,countif(filter(Status!$C:$C,Status!$A:$A=$A182),CONCATENATE(AJ$2,""*"")),"""")"),"")</f>
        <v/>
      </c>
      <c r="AK182" s="23" t="str">
        <f>IFERROR(__xludf.DUMMYFUNCTION("if(countif(filter(Status!$C:$C,Status!$A:$A=$A182),CONCATENATE(AK$2,""*""))&gt;0,countif(filter(Status!$C:$C,Status!$A:$A=$A182),CONCATENATE(AK$2,""*"")),"""")"),"")</f>
        <v/>
      </c>
      <c r="AL182" s="23" t="str">
        <f>IFERROR(__xludf.DUMMYFUNCTION("if(countif(filter(Status!$C:$C,Status!$A:$A=$A182),CONCATENATE(AL$2,""*""))&gt;0,countif(filter(Status!$C:$C,Status!$A:$A=$A182),CONCATENATE(AL$2,""*"")),"""")"),"")</f>
        <v/>
      </c>
      <c r="AM182" s="23" t="str">
        <f>IFERROR(__xludf.DUMMYFUNCTION("if(countif(filter(Status!$C:$C,Status!$A:$A=$A182),CONCATENATE(AM$2,""*""))&gt;0,countif(filter(Status!$C:$C,Status!$A:$A=$A182),CONCATENATE(AM$2,""*"")),"""")"),"")</f>
        <v/>
      </c>
      <c r="AN182" s="23" t="str">
        <f>IFERROR(__xludf.DUMMYFUNCTION("if(countif(filter(Status!$C:$C,Status!$A:$A=$A182),CONCATENATE(AN$2,""*""))&gt;0,countif(filter(Status!$C:$C,Status!$A:$A=$A182),CONCATENATE(AN$2,""*"")),"""")"),"")</f>
        <v/>
      </c>
      <c r="AO182" s="23" t="str">
        <f>IFERROR(__xludf.DUMMYFUNCTION("if(countif(filter(Status!$C:$C,Status!$A:$A=$A182),CONCATENATE(AO$2,""*""))&gt;0,countif(filter(Status!$C:$C,Status!$A:$A=$A182),CONCATENATE(AO$2,""*"")),"""")"),"")</f>
        <v/>
      </c>
      <c r="AP182" s="23">
        <f>IFERROR(__xludf.DUMMYFUNCTION("counta(iferror(filter(Status!C:C,Status!A:A=A182)))"),0.0)</f>
        <v>0</v>
      </c>
      <c r="AQ182" s="23">
        <f t="shared" si="6"/>
        <v>0</v>
      </c>
    </row>
    <row r="183">
      <c r="A183" s="1" t="s">
        <v>1254</v>
      </c>
      <c r="B183" s="25" t="str">
        <f>IFERROR(__xludf.DUMMYFUNCTION("max(filter(Status!E:E,Status!A:A=A183))"),"#N/A")</f>
        <v>#N/A</v>
      </c>
      <c r="C183" s="23" t="str">
        <f t="shared" si="1"/>
        <v/>
      </c>
      <c r="D183" s="23" t="str">
        <f t="shared" si="2"/>
        <v/>
      </c>
      <c r="E183" s="23" t="str">
        <f t="shared" si="3"/>
        <v/>
      </c>
      <c r="F183" s="23" t="str">
        <f t="shared" si="4"/>
        <v/>
      </c>
      <c r="G183" s="25" t="str">
        <f t="shared" si="5"/>
        <v/>
      </c>
      <c r="J183" s="23">
        <f>IFERROR(__xludf.DUMMYFUNCTION("COUNTA(iferror(filter(Status!H:H,Status!A:A=A183)))"),0.0)</f>
        <v>0</v>
      </c>
      <c r="K183" s="25">
        <f>IFERROR(__xludf.DUMMYFUNCTION("COUNTA(iferror(filter(Status!H:H,Status!A:A=A183,Status!H:H=TRUE)))"),0.0)</f>
        <v>0</v>
      </c>
      <c r="L183" s="23">
        <f>IFERROR(__xludf.DUMMYFUNCTION("COUNTA(iferror(filter(Status!L:L,Status!A:A=A183)))"),0.0)</f>
        <v>0</v>
      </c>
      <c r="M183" s="25">
        <f>IFERROR(__xludf.DUMMYFUNCTION("COUNTA(iferror(filter(Status!L:L,Status!A:A=A183,Status!L:L=TRUE)))"),0.0)</f>
        <v>0</v>
      </c>
      <c r="N183" s="23">
        <f>IFERROR(__xludf.DUMMYFUNCTION("COUNTA(iferror(filter(Status!N:N,Status!A:A=A183,Status!N:N=TRUE)))"),0.0)</f>
        <v>0</v>
      </c>
      <c r="O183" s="25">
        <f>IFERROR(__xludf.DUMMYFUNCTION("COUNTA(iferror(filter(Status!N:N,Status!A:A=A183,Status!N:N=TRUE)))"),0.0)</f>
        <v>0</v>
      </c>
      <c r="P183" s="23">
        <f>IFERROR(__xludf.DUMMYFUNCTION("COUNTA(iferror(filter(Status!P:P,Status!A:A=A183)))"),0.0)</f>
        <v>0</v>
      </c>
      <c r="Q183" s="25">
        <f>IFERROR(__xludf.DUMMYFUNCTION("COUNTA(iferror(filter(Status!P:P,Status!A:A=A183,Status!P:P=TRUE)))"),0.0)</f>
        <v>0</v>
      </c>
      <c r="R183" s="23">
        <f>IFERROR(__xludf.DUMMYFUNCTION("COUNTA(iferror(filter(Status!R:R,Status!A:A=A183)))"),0.0)</f>
        <v>0</v>
      </c>
      <c r="S183" s="25">
        <f>IFERROR(__xludf.DUMMYFUNCTION("COUNTA(iferror(filter(Status!R:R,Status!A:A=A183,Status!R:R=TRUE)))"),0.0)</f>
        <v>0</v>
      </c>
      <c r="V183" s="23" t="str">
        <f>IFERROR(__xludf.DUMMYFUNCTION("if((countif(filter(Status!$C:$C,Status!$A:$A=$A183),CONCATENATE(V$2,""*""))-W183)&gt;0,(countif(filter(Status!$C:$C,Status!$A:$A=$A183),CONCATENATE(V$2,""*""))-W183),"""")"),"")</f>
        <v/>
      </c>
      <c r="W183" s="23" t="str">
        <f>IFERROR(__xludf.DUMMYFUNCTION("if(countif(filter(Status!$C:$C,Status!$A:$A=$A183),CONCATENATE(W$2,""*""))&gt;0,countif(filter(Status!$C:$C,Status!$A:$A=$A183),CONCATENATE(W$2,""*"")),"""")"),"")</f>
        <v/>
      </c>
      <c r="X183" s="23" t="str">
        <f>IFERROR(__xludf.DUMMYFUNCTION("if(countif(filter(Status!$C:$C,Status!$A:$A=$A183),CONCATENATE(X$2,""*""))&gt;0,countif(filter(Status!$C:$C,Status!$A:$A=$A183),CONCATENATE(X$2,""*"")),"""")"),"")</f>
        <v/>
      </c>
      <c r="Y183" s="23" t="str">
        <f>IFERROR(__xludf.DUMMYFUNCTION("if(countif(filter(Status!$C:$C,Status!$A:$A=$A183),CONCATENATE(Y$2,""*""))&gt;0,countif(filter(Status!$C:$C,Status!$A:$A=$A183),CONCATENATE(Y$2,""*"")),"""")"),"")</f>
        <v/>
      </c>
      <c r="Z183" s="23" t="str">
        <f>IFERROR(__xludf.DUMMYFUNCTION("if(countif(filter(Status!$C:$C,Status!$A:$A=$A183),CONCATENATE(Z$2,""*""))&gt;0,countif(filter(Status!$C:$C,Status!$A:$A=$A183),CONCATENATE(Z$2,""*"")),"""")"),"")</f>
        <v/>
      </c>
      <c r="AA183" s="23" t="str">
        <f>IFERROR(__xludf.DUMMYFUNCTION("if((countif(filter(Status!$C:$C,Status!$A:$A=$A183),CONCATENATE(AA$2,""*""))-AB183)&gt;0,(countif(filter(Status!$C:$C,Status!$A:$A=$A183),CONCATENATE(AA$2,""*""))-AB183),"""")"),"")</f>
        <v/>
      </c>
      <c r="AB183" s="23" t="str">
        <f>IFERROR(__xludf.DUMMYFUNCTION("if(countif(filter(Status!$C:$C,Status!$A:$A=$A183),CONCATENATE(AB$2,""*""))&gt;0,countif(filter(Status!$C:$C,Status!$A:$A=$A183),CONCATENATE(AB$2,""*"")),"""")"),"")</f>
        <v/>
      </c>
      <c r="AC183" s="23" t="str">
        <f>IFERROR(__xludf.DUMMYFUNCTION("if(countif(filter(Status!$C:$C,Status!$A:$A=$A183),CONCATENATE(AC$2,""*""))&gt;0,countif(filter(Status!$C:$C,Status!$A:$A=$A183),CONCATENATE(AC$2,""*"")),"""")"),"")</f>
        <v/>
      </c>
      <c r="AD183" s="23" t="str">
        <f>IFERROR(__xludf.DUMMYFUNCTION("if(countif(filter(Status!$C:$C,Status!$A:$A=$A183),CONCATENATE(AD$2,""*""))&gt;0,countif(filter(Status!$C:$C,Status!$A:$A=$A183),CONCATENATE(AD$2,""*"")),"""")"),"")</f>
        <v/>
      </c>
      <c r="AE183" s="23" t="str">
        <f>IFERROR(__xludf.DUMMYFUNCTION("if(countif(filter(Status!$C:$C,Status!$A:$A=$A183),CONCATENATE(AE$2,""*""))&gt;0,countif(filter(Status!$C:$C,Status!$A:$A=$A183),CONCATENATE(AE$2,""*"")),"""")"),"")</f>
        <v/>
      </c>
      <c r="AF183" s="23" t="str">
        <f>IFERROR(__xludf.DUMMYFUNCTION("if(countif(filter(Status!$C:$C,Status!$A:$A=$A183),CONCATENATE(AF$2,""*""))&gt;0,countif(filter(Status!$C:$C,Status!$A:$A=$A183),CONCATENATE(AF$2,""*"")),"""")"),"")</f>
        <v/>
      </c>
      <c r="AG183" s="23" t="str">
        <f>IFERROR(__xludf.DUMMYFUNCTION("if(countif(filter(Status!$C:$C,Status!$A:$A=$A183),CONCATENATE(AG$2,""*""))&gt;0,countif(filter(Status!$C:$C,Status!$A:$A=$A183),CONCATENATE(AG$2,""*"")),"""")"),"")</f>
        <v/>
      </c>
      <c r="AH183" s="23" t="str">
        <f>IFERROR(__xludf.DUMMYFUNCTION("if(countif(filter(Status!$C:$C,Status!$A:$A=$A183),CONCATENATE(AH$2,""*""))&gt;0,countif(filter(Status!$C:$C,Status!$A:$A=$A183),CONCATENATE(AH$2,""*"")),"""")"),"")</f>
        <v/>
      </c>
      <c r="AI183" s="23" t="str">
        <f>IFERROR(__xludf.DUMMYFUNCTION("if(countif(filter(Status!$C:$C,Status!$A:$A=$A183),CONCATENATE(AI$2,""*""))&gt;0,countif(filter(Status!$C:$C,Status!$A:$A=$A183),CONCATENATE(AI$2,""*"")),"""")"),"")</f>
        <v/>
      </c>
      <c r="AJ183" s="23" t="str">
        <f>IFERROR(__xludf.DUMMYFUNCTION("if(countif(filter(Status!$C:$C,Status!$A:$A=$A183),CONCATENATE(AJ$2,""*""))&gt;0,countif(filter(Status!$C:$C,Status!$A:$A=$A183),CONCATENATE(AJ$2,""*"")),"""")"),"")</f>
        <v/>
      </c>
      <c r="AK183" s="23" t="str">
        <f>IFERROR(__xludf.DUMMYFUNCTION("if(countif(filter(Status!$C:$C,Status!$A:$A=$A183),CONCATENATE(AK$2,""*""))&gt;0,countif(filter(Status!$C:$C,Status!$A:$A=$A183),CONCATENATE(AK$2,""*"")),"""")"),"")</f>
        <v/>
      </c>
      <c r="AL183" s="23" t="str">
        <f>IFERROR(__xludf.DUMMYFUNCTION("if(countif(filter(Status!$C:$C,Status!$A:$A=$A183),CONCATENATE(AL$2,""*""))&gt;0,countif(filter(Status!$C:$C,Status!$A:$A=$A183),CONCATENATE(AL$2,""*"")),"""")"),"")</f>
        <v/>
      </c>
      <c r="AM183" s="23" t="str">
        <f>IFERROR(__xludf.DUMMYFUNCTION("if(countif(filter(Status!$C:$C,Status!$A:$A=$A183),CONCATENATE(AM$2,""*""))&gt;0,countif(filter(Status!$C:$C,Status!$A:$A=$A183),CONCATENATE(AM$2,""*"")),"""")"),"")</f>
        <v/>
      </c>
      <c r="AN183" s="23" t="str">
        <f>IFERROR(__xludf.DUMMYFUNCTION("if(countif(filter(Status!$C:$C,Status!$A:$A=$A183),CONCATENATE(AN$2,""*""))&gt;0,countif(filter(Status!$C:$C,Status!$A:$A=$A183),CONCATENATE(AN$2,""*"")),"""")"),"")</f>
        <v/>
      </c>
      <c r="AO183" s="23" t="str">
        <f>IFERROR(__xludf.DUMMYFUNCTION("if(countif(filter(Status!$C:$C,Status!$A:$A=$A183),CONCATENATE(AO$2,""*""))&gt;0,countif(filter(Status!$C:$C,Status!$A:$A=$A183),CONCATENATE(AO$2,""*"")),"""")"),"")</f>
        <v/>
      </c>
      <c r="AP183" s="23">
        <f>IFERROR(__xludf.DUMMYFUNCTION("counta(iferror(filter(Status!C:C,Status!A:A=A183)))"),0.0)</f>
        <v>0</v>
      </c>
      <c r="AQ183" s="23">
        <f t="shared" si="6"/>
        <v>0</v>
      </c>
    </row>
    <row r="184">
      <c r="A184" s="1" t="s">
        <v>1257</v>
      </c>
      <c r="B184" s="25" t="str">
        <f>IFERROR(__xludf.DUMMYFUNCTION("max(filter(Status!E:E,Status!A:A=A184))"),"#N/A")</f>
        <v>#N/A</v>
      </c>
      <c r="C184" s="23" t="str">
        <f t="shared" si="1"/>
        <v/>
      </c>
      <c r="D184" s="23" t="str">
        <f t="shared" si="2"/>
        <v/>
      </c>
      <c r="E184" s="23" t="str">
        <f t="shared" si="3"/>
        <v/>
      </c>
      <c r="F184" s="23" t="str">
        <f t="shared" si="4"/>
        <v/>
      </c>
      <c r="G184" s="25" t="str">
        <f t="shared" si="5"/>
        <v/>
      </c>
      <c r="J184" s="23">
        <f>IFERROR(__xludf.DUMMYFUNCTION("COUNTA(iferror(filter(Status!H:H,Status!A:A=A184)))"),0.0)</f>
        <v>0</v>
      </c>
      <c r="K184" s="25">
        <f>IFERROR(__xludf.DUMMYFUNCTION("COUNTA(iferror(filter(Status!H:H,Status!A:A=A184,Status!H:H=TRUE)))"),0.0)</f>
        <v>0</v>
      </c>
      <c r="L184" s="23">
        <f>IFERROR(__xludf.DUMMYFUNCTION("COUNTA(iferror(filter(Status!L:L,Status!A:A=A184)))"),0.0)</f>
        <v>0</v>
      </c>
      <c r="M184" s="25">
        <f>IFERROR(__xludf.DUMMYFUNCTION("COUNTA(iferror(filter(Status!L:L,Status!A:A=A184,Status!L:L=TRUE)))"),0.0)</f>
        <v>0</v>
      </c>
      <c r="N184" s="23">
        <f>IFERROR(__xludf.DUMMYFUNCTION("COUNTA(iferror(filter(Status!N:N,Status!A:A=A184,Status!N:N=TRUE)))"),0.0)</f>
        <v>0</v>
      </c>
      <c r="O184" s="25">
        <f>IFERROR(__xludf.DUMMYFUNCTION("COUNTA(iferror(filter(Status!N:N,Status!A:A=A184,Status!N:N=TRUE)))"),0.0)</f>
        <v>0</v>
      </c>
      <c r="P184" s="23">
        <f>IFERROR(__xludf.DUMMYFUNCTION("COUNTA(iferror(filter(Status!P:P,Status!A:A=A184)))"),0.0)</f>
        <v>0</v>
      </c>
      <c r="Q184" s="25">
        <f>IFERROR(__xludf.DUMMYFUNCTION("COUNTA(iferror(filter(Status!P:P,Status!A:A=A184,Status!P:P=TRUE)))"),0.0)</f>
        <v>0</v>
      </c>
      <c r="R184" s="23">
        <f>IFERROR(__xludf.DUMMYFUNCTION("COUNTA(iferror(filter(Status!R:R,Status!A:A=A184)))"),0.0)</f>
        <v>0</v>
      </c>
      <c r="S184" s="25">
        <f>IFERROR(__xludf.DUMMYFUNCTION("COUNTA(iferror(filter(Status!R:R,Status!A:A=A184,Status!R:R=TRUE)))"),0.0)</f>
        <v>0</v>
      </c>
      <c r="V184" s="23" t="str">
        <f>IFERROR(__xludf.DUMMYFUNCTION("if((countif(filter(Status!$C:$C,Status!$A:$A=$A184),CONCATENATE(V$2,""*""))-W184)&gt;0,(countif(filter(Status!$C:$C,Status!$A:$A=$A184),CONCATENATE(V$2,""*""))-W184),"""")"),"")</f>
        <v/>
      </c>
      <c r="W184" s="23" t="str">
        <f>IFERROR(__xludf.DUMMYFUNCTION("if(countif(filter(Status!$C:$C,Status!$A:$A=$A184),CONCATENATE(W$2,""*""))&gt;0,countif(filter(Status!$C:$C,Status!$A:$A=$A184),CONCATENATE(W$2,""*"")),"""")"),"")</f>
        <v/>
      </c>
      <c r="X184" s="23" t="str">
        <f>IFERROR(__xludf.DUMMYFUNCTION("if(countif(filter(Status!$C:$C,Status!$A:$A=$A184),CONCATENATE(X$2,""*""))&gt;0,countif(filter(Status!$C:$C,Status!$A:$A=$A184),CONCATENATE(X$2,""*"")),"""")"),"")</f>
        <v/>
      </c>
      <c r="Y184" s="23" t="str">
        <f>IFERROR(__xludf.DUMMYFUNCTION("if(countif(filter(Status!$C:$C,Status!$A:$A=$A184),CONCATENATE(Y$2,""*""))&gt;0,countif(filter(Status!$C:$C,Status!$A:$A=$A184),CONCATENATE(Y$2,""*"")),"""")"),"")</f>
        <v/>
      </c>
      <c r="Z184" s="23" t="str">
        <f>IFERROR(__xludf.DUMMYFUNCTION("if(countif(filter(Status!$C:$C,Status!$A:$A=$A184),CONCATENATE(Z$2,""*""))&gt;0,countif(filter(Status!$C:$C,Status!$A:$A=$A184),CONCATENATE(Z$2,""*"")),"""")"),"")</f>
        <v/>
      </c>
      <c r="AA184" s="23" t="str">
        <f>IFERROR(__xludf.DUMMYFUNCTION("if((countif(filter(Status!$C:$C,Status!$A:$A=$A184),CONCATENATE(AA$2,""*""))-AB184)&gt;0,(countif(filter(Status!$C:$C,Status!$A:$A=$A184),CONCATENATE(AA$2,""*""))-AB184),"""")"),"")</f>
        <v/>
      </c>
      <c r="AB184" s="23" t="str">
        <f>IFERROR(__xludf.DUMMYFUNCTION("if(countif(filter(Status!$C:$C,Status!$A:$A=$A184),CONCATENATE(AB$2,""*""))&gt;0,countif(filter(Status!$C:$C,Status!$A:$A=$A184),CONCATENATE(AB$2,""*"")),"""")"),"")</f>
        <v/>
      </c>
      <c r="AC184" s="23" t="str">
        <f>IFERROR(__xludf.DUMMYFUNCTION("if(countif(filter(Status!$C:$C,Status!$A:$A=$A184),CONCATENATE(AC$2,""*""))&gt;0,countif(filter(Status!$C:$C,Status!$A:$A=$A184),CONCATENATE(AC$2,""*"")),"""")"),"")</f>
        <v/>
      </c>
      <c r="AD184" s="23" t="str">
        <f>IFERROR(__xludf.DUMMYFUNCTION("if(countif(filter(Status!$C:$C,Status!$A:$A=$A184),CONCATENATE(AD$2,""*""))&gt;0,countif(filter(Status!$C:$C,Status!$A:$A=$A184),CONCATENATE(AD$2,""*"")),"""")"),"")</f>
        <v/>
      </c>
      <c r="AE184" s="23" t="str">
        <f>IFERROR(__xludf.DUMMYFUNCTION("if(countif(filter(Status!$C:$C,Status!$A:$A=$A184),CONCATENATE(AE$2,""*""))&gt;0,countif(filter(Status!$C:$C,Status!$A:$A=$A184),CONCATENATE(AE$2,""*"")),"""")"),"")</f>
        <v/>
      </c>
      <c r="AF184" s="23" t="str">
        <f>IFERROR(__xludf.DUMMYFUNCTION("if(countif(filter(Status!$C:$C,Status!$A:$A=$A184),CONCATENATE(AF$2,""*""))&gt;0,countif(filter(Status!$C:$C,Status!$A:$A=$A184),CONCATENATE(AF$2,""*"")),"""")"),"")</f>
        <v/>
      </c>
      <c r="AG184" s="23" t="str">
        <f>IFERROR(__xludf.DUMMYFUNCTION("if(countif(filter(Status!$C:$C,Status!$A:$A=$A184),CONCATENATE(AG$2,""*""))&gt;0,countif(filter(Status!$C:$C,Status!$A:$A=$A184),CONCATENATE(AG$2,""*"")),"""")"),"")</f>
        <v/>
      </c>
      <c r="AH184" s="23" t="str">
        <f>IFERROR(__xludf.DUMMYFUNCTION("if(countif(filter(Status!$C:$C,Status!$A:$A=$A184),CONCATENATE(AH$2,""*""))&gt;0,countif(filter(Status!$C:$C,Status!$A:$A=$A184),CONCATENATE(AH$2,""*"")),"""")"),"")</f>
        <v/>
      </c>
      <c r="AI184" s="23" t="str">
        <f>IFERROR(__xludf.DUMMYFUNCTION("if(countif(filter(Status!$C:$C,Status!$A:$A=$A184),CONCATENATE(AI$2,""*""))&gt;0,countif(filter(Status!$C:$C,Status!$A:$A=$A184),CONCATENATE(AI$2,""*"")),"""")"),"")</f>
        <v/>
      </c>
      <c r="AJ184" s="23" t="str">
        <f>IFERROR(__xludf.DUMMYFUNCTION("if(countif(filter(Status!$C:$C,Status!$A:$A=$A184),CONCATENATE(AJ$2,""*""))&gt;0,countif(filter(Status!$C:$C,Status!$A:$A=$A184),CONCATENATE(AJ$2,""*"")),"""")"),"")</f>
        <v/>
      </c>
      <c r="AK184" s="23" t="str">
        <f>IFERROR(__xludf.DUMMYFUNCTION("if(countif(filter(Status!$C:$C,Status!$A:$A=$A184),CONCATENATE(AK$2,""*""))&gt;0,countif(filter(Status!$C:$C,Status!$A:$A=$A184),CONCATENATE(AK$2,""*"")),"""")"),"")</f>
        <v/>
      </c>
      <c r="AL184" s="23" t="str">
        <f>IFERROR(__xludf.DUMMYFUNCTION("if(countif(filter(Status!$C:$C,Status!$A:$A=$A184),CONCATENATE(AL$2,""*""))&gt;0,countif(filter(Status!$C:$C,Status!$A:$A=$A184),CONCATENATE(AL$2,""*"")),"""")"),"")</f>
        <v/>
      </c>
      <c r="AM184" s="23" t="str">
        <f>IFERROR(__xludf.DUMMYFUNCTION("if(countif(filter(Status!$C:$C,Status!$A:$A=$A184),CONCATENATE(AM$2,""*""))&gt;0,countif(filter(Status!$C:$C,Status!$A:$A=$A184),CONCATENATE(AM$2,""*"")),"""")"),"")</f>
        <v/>
      </c>
      <c r="AN184" s="23" t="str">
        <f>IFERROR(__xludf.DUMMYFUNCTION("if(countif(filter(Status!$C:$C,Status!$A:$A=$A184),CONCATENATE(AN$2,""*""))&gt;0,countif(filter(Status!$C:$C,Status!$A:$A=$A184),CONCATENATE(AN$2,""*"")),"""")"),"")</f>
        <v/>
      </c>
      <c r="AO184" s="23" t="str">
        <f>IFERROR(__xludf.DUMMYFUNCTION("if(countif(filter(Status!$C:$C,Status!$A:$A=$A184),CONCATENATE(AO$2,""*""))&gt;0,countif(filter(Status!$C:$C,Status!$A:$A=$A184),CONCATENATE(AO$2,""*"")),"""")"),"")</f>
        <v/>
      </c>
      <c r="AP184" s="23">
        <f>IFERROR(__xludf.DUMMYFUNCTION("counta(iferror(filter(Status!C:C,Status!A:A=A184)))"),0.0)</f>
        <v>0</v>
      </c>
      <c r="AQ184" s="23">
        <f t="shared" si="6"/>
        <v>0</v>
      </c>
    </row>
    <row r="185">
      <c r="A185" s="1" t="s">
        <v>1260</v>
      </c>
      <c r="B185" s="25" t="str">
        <f>IFERROR(__xludf.DUMMYFUNCTION("max(filter(Status!E:E,Status!A:A=A185))"),"#N/A")</f>
        <v>#N/A</v>
      </c>
      <c r="C185" s="23" t="str">
        <f t="shared" si="1"/>
        <v/>
      </c>
      <c r="D185" s="23" t="str">
        <f t="shared" si="2"/>
        <v/>
      </c>
      <c r="E185" s="23" t="str">
        <f t="shared" si="3"/>
        <v/>
      </c>
      <c r="F185" s="23" t="str">
        <f t="shared" si="4"/>
        <v/>
      </c>
      <c r="G185" s="25" t="str">
        <f t="shared" si="5"/>
        <v/>
      </c>
      <c r="J185" s="23">
        <f>IFERROR(__xludf.DUMMYFUNCTION("COUNTA(iferror(filter(Status!H:H,Status!A:A=A185)))"),0.0)</f>
        <v>0</v>
      </c>
      <c r="K185" s="25">
        <f>IFERROR(__xludf.DUMMYFUNCTION("COUNTA(iferror(filter(Status!H:H,Status!A:A=A185,Status!H:H=TRUE)))"),0.0)</f>
        <v>0</v>
      </c>
      <c r="L185" s="23">
        <f>IFERROR(__xludf.DUMMYFUNCTION("COUNTA(iferror(filter(Status!L:L,Status!A:A=A185)))"),0.0)</f>
        <v>0</v>
      </c>
      <c r="M185" s="25">
        <f>IFERROR(__xludf.DUMMYFUNCTION("COUNTA(iferror(filter(Status!L:L,Status!A:A=A185,Status!L:L=TRUE)))"),0.0)</f>
        <v>0</v>
      </c>
      <c r="N185" s="23">
        <f>IFERROR(__xludf.DUMMYFUNCTION("COUNTA(iferror(filter(Status!N:N,Status!A:A=A185,Status!N:N=TRUE)))"),0.0)</f>
        <v>0</v>
      </c>
      <c r="O185" s="25">
        <f>IFERROR(__xludf.DUMMYFUNCTION("COUNTA(iferror(filter(Status!N:N,Status!A:A=A185,Status!N:N=TRUE)))"),0.0)</f>
        <v>0</v>
      </c>
      <c r="P185" s="23">
        <f>IFERROR(__xludf.DUMMYFUNCTION("COUNTA(iferror(filter(Status!P:P,Status!A:A=A185)))"),0.0)</f>
        <v>0</v>
      </c>
      <c r="Q185" s="25">
        <f>IFERROR(__xludf.DUMMYFUNCTION("COUNTA(iferror(filter(Status!P:P,Status!A:A=A185,Status!P:P=TRUE)))"),0.0)</f>
        <v>0</v>
      </c>
      <c r="R185" s="23">
        <f>IFERROR(__xludf.DUMMYFUNCTION("COUNTA(iferror(filter(Status!R:R,Status!A:A=A185)))"),0.0)</f>
        <v>0</v>
      </c>
      <c r="S185" s="25">
        <f>IFERROR(__xludf.DUMMYFUNCTION("COUNTA(iferror(filter(Status!R:R,Status!A:A=A185,Status!R:R=TRUE)))"),0.0)</f>
        <v>0</v>
      </c>
      <c r="V185" s="23" t="str">
        <f>IFERROR(__xludf.DUMMYFUNCTION("if((countif(filter(Status!$C:$C,Status!$A:$A=$A185),CONCATENATE(V$2,""*""))-W185)&gt;0,(countif(filter(Status!$C:$C,Status!$A:$A=$A185),CONCATENATE(V$2,""*""))-W185),"""")"),"")</f>
        <v/>
      </c>
      <c r="W185" s="23" t="str">
        <f>IFERROR(__xludf.DUMMYFUNCTION("if(countif(filter(Status!$C:$C,Status!$A:$A=$A185),CONCATENATE(W$2,""*""))&gt;0,countif(filter(Status!$C:$C,Status!$A:$A=$A185),CONCATENATE(W$2,""*"")),"""")"),"")</f>
        <v/>
      </c>
      <c r="X185" s="23" t="str">
        <f>IFERROR(__xludf.DUMMYFUNCTION("if(countif(filter(Status!$C:$C,Status!$A:$A=$A185),CONCATENATE(X$2,""*""))&gt;0,countif(filter(Status!$C:$C,Status!$A:$A=$A185),CONCATENATE(X$2,""*"")),"""")"),"")</f>
        <v/>
      </c>
      <c r="Y185" s="23" t="str">
        <f>IFERROR(__xludf.DUMMYFUNCTION("if(countif(filter(Status!$C:$C,Status!$A:$A=$A185),CONCATENATE(Y$2,""*""))&gt;0,countif(filter(Status!$C:$C,Status!$A:$A=$A185),CONCATENATE(Y$2,""*"")),"""")"),"")</f>
        <v/>
      </c>
      <c r="Z185" s="23" t="str">
        <f>IFERROR(__xludf.DUMMYFUNCTION("if(countif(filter(Status!$C:$C,Status!$A:$A=$A185),CONCATENATE(Z$2,""*""))&gt;0,countif(filter(Status!$C:$C,Status!$A:$A=$A185),CONCATENATE(Z$2,""*"")),"""")"),"")</f>
        <v/>
      </c>
      <c r="AA185" s="23" t="str">
        <f>IFERROR(__xludf.DUMMYFUNCTION("if((countif(filter(Status!$C:$C,Status!$A:$A=$A185),CONCATENATE(AA$2,""*""))-AB185)&gt;0,(countif(filter(Status!$C:$C,Status!$A:$A=$A185),CONCATENATE(AA$2,""*""))-AB185),"""")"),"")</f>
        <v/>
      </c>
      <c r="AB185" s="23" t="str">
        <f>IFERROR(__xludf.DUMMYFUNCTION("if(countif(filter(Status!$C:$C,Status!$A:$A=$A185),CONCATENATE(AB$2,""*""))&gt;0,countif(filter(Status!$C:$C,Status!$A:$A=$A185),CONCATENATE(AB$2,""*"")),"""")"),"")</f>
        <v/>
      </c>
      <c r="AC185" s="23" t="str">
        <f>IFERROR(__xludf.DUMMYFUNCTION("if(countif(filter(Status!$C:$C,Status!$A:$A=$A185),CONCATENATE(AC$2,""*""))&gt;0,countif(filter(Status!$C:$C,Status!$A:$A=$A185),CONCATENATE(AC$2,""*"")),"""")"),"")</f>
        <v/>
      </c>
      <c r="AD185" s="23" t="str">
        <f>IFERROR(__xludf.DUMMYFUNCTION("if(countif(filter(Status!$C:$C,Status!$A:$A=$A185),CONCATENATE(AD$2,""*""))&gt;0,countif(filter(Status!$C:$C,Status!$A:$A=$A185),CONCATENATE(AD$2,""*"")),"""")"),"")</f>
        <v/>
      </c>
      <c r="AE185" s="23" t="str">
        <f>IFERROR(__xludf.DUMMYFUNCTION("if(countif(filter(Status!$C:$C,Status!$A:$A=$A185),CONCATENATE(AE$2,""*""))&gt;0,countif(filter(Status!$C:$C,Status!$A:$A=$A185),CONCATENATE(AE$2,""*"")),"""")"),"")</f>
        <v/>
      </c>
      <c r="AF185" s="23" t="str">
        <f>IFERROR(__xludf.DUMMYFUNCTION("if(countif(filter(Status!$C:$C,Status!$A:$A=$A185),CONCATENATE(AF$2,""*""))&gt;0,countif(filter(Status!$C:$C,Status!$A:$A=$A185),CONCATENATE(AF$2,""*"")),"""")"),"")</f>
        <v/>
      </c>
      <c r="AG185" s="23" t="str">
        <f>IFERROR(__xludf.DUMMYFUNCTION("if(countif(filter(Status!$C:$C,Status!$A:$A=$A185),CONCATENATE(AG$2,""*""))&gt;0,countif(filter(Status!$C:$C,Status!$A:$A=$A185),CONCATENATE(AG$2,""*"")),"""")"),"")</f>
        <v/>
      </c>
      <c r="AH185" s="23" t="str">
        <f>IFERROR(__xludf.DUMMYFUNCTION("if(countif(filter(Status!$C:$C,Status!$A:$A=$A185),CONCATENATE(AH$2,""*""))&gt;0,countif(filter(Status!$C:$C,Status!$A:$A=$A185),CONCATENATE(AH$2,""*"")),"""")"),"")</f>
        <v/>
      </c>
      <c r="AI185" s="23" t="str">
        <f>IFERROR(__xludf.DUMMYFUNCTION("if(countif(filter(Status!$C:$C,Status!$A:$A=$A185),CONCATENATE(AI$2,""*""))&gt;0,countif(filter(Status!$C:$C,Status!$A:$A=$A185),CONCATENATE(AI$2,""*"")),"""")"),"")</f>
        <v/>
      </c>
      <c r="AJ185" s="23" t="str">
        <f>IFERROR(__xludf.DUMMYFUNCTION("if(countif(filter(Status!$C:$C,Status!$A:$A=$A185),CONCATENATE(AJ$2,""*""))&gt;0,countif(filter(Status!$C:$C,Status!$A:$A=$A185),CONCATENATE(AJ$2,""*"")),"""")"),"")</f>
        <v/>
      </c>
      <c r="AK185" s="23" t="str">
        <f>IFERROR(__xludf.DUMMYFUNCTION("if(countif(filter(Status!$C:$C,Status!$A:$A=$A185),CONCATENATE(AK$2,""*""))&gt;0,countif(filter(Status!$C:$C,Status!$A:$A=$A185),CONCATENATE(AK$2,""*"")),"""")"),"")</f>
        <v/>
      </c>
      <c r="AL185" s="23" t="str">
        <f>IFERROR(__xludf.DUMMYFUNCTION("if(countif(filter(Status!$C:$C,Status!$A:$A=$A185),CONCATENATE(AL$2,""*""))&gt;0,countif(filter(Status!$C:$C,Status!$A:$A=$A185),CONCATENATE(AL$2,""*"")),"""")"),"")</f>
        <v/>
      </c>
      <c r="AM185" s="23" t="str">
        <f>IFERROR(__xludf.DUMMYFUNCTION("if(countif(filter(Status!$C:$C,Status!$A:$A=$A185),CONCATENATE(AM$2,""*""))&gt;0,countif(filter(Status!$C:$C,Status!$A:$A=$A185),CONCATENATE(AM$2,""*"")),"""")"),"")</f>
        <v/>
      </c>
      <c r="AN185" s="23" t="str">
        <f>IFERROR(__xludf.DUMMYFUNCTION("if(countif(filter(Status!$C:$C,Status!$A:$A=$A185),CONCATENATE(AN$2,""*""))&gt;0,countif(filter(Status!$C:$C,Status!$A:$A=$A185),CONCATENATE(AN$2,""*"")),"""")"),"")</f>
        <v/>
      </c>
      <c r="AO185" s="23" t="str">
        <f>IFERROR(__xludf.DUMMYFUNCTION("if(countif(filter(Status!$C:$C,Status!$A:$A=$A185),CONCATENATE(AO$2,""*""))&gt;0,countif(filter(Status!$C:$C,Status!$A:$A=$A185),CONCATENATE(AO$2,""*"")),"""")"),"")</f>
        <v/>
      </c>
      <c r="AP185" s="23">
        <f>IFERROR(__xludf.DUMMYFUNCTION("counta(iferror(filter(Status!C:C,Status!A:A=A185)))"),0.0)</f>
        <v>0</v>
      </c>
      <c r="AQ185" s="23">
        <f t="shared" si="6"/>
        <v>0</v>
      </c>
    </row>
    <row r="186">
      <c r="A186" s="1" t="s">
        <v>1262</v>
      </c>
      <c r="B186" s="25" t="str">
        <f>IFERROR(__xludf.DUMMYFUNCTION("max(filter(Status!E:E,Status!A:A=A186))"),"#N/A")</f>
        <v>#N/A</v>
      </c>
      <c r="C186" s="23" t="str">
        <f t="shared" si="1"/>
        <v/>
      </c>
      <c r="D186" s="23" t="str">
        <f t="shared" si="2"/>
        <v/>
      </c>
      <c r="E186" s="23" t="str">
        <f t="shared" si="3"/>
        <v/>
      </c>
      <c r="F186" s="23" t="str">
        <f t="shared" si="4"/>
        <v/>
      </c>
      <c r="G186" s="25" t="str">
        <f t="shared" si="5"/>
        <v/>
      </c>
      <c r="J186" s="23">
        <f>IFERROR(__xludf.DUMMYFUNCTION("COUNTA(iferror(filter(Status!H:H,Status!A:A=A186)))"),0.0)</f>
        <v>0</v>
      </c>
      <c r="K186" s="25">
        <f>IFERROR(__xludf.DUMMYFUNCTION("COUNTA(iferror(filter(Status!H:H,Status!A:A=A186,Status!H:H=TRUE)))"),0.0)</f>
        <v>0</v>
      </c>
      <c r="L186" s="23">
        <f>IFERROR(__xludf.DUMMYFUNCTION("COUNTA(iferror(filter(Status!L:L,Status!A:A=A186)))"),0.0)</f>
        <v>0</v>
      </c>
      <c r="M186" s="25">
        <f>IFERROR(__xludf.DUMMYFUNCTION("COUNTA(iferror(filter(Status!L:L,Status!A:A=A186,Status!L:L=TRUE)))"),0.0)</f>
        <v>0</v>
      </c>
      <c r="N186" s="23">
        <f>IFERROR(__xludf.DUMMYFUNCTION("COUNTA(iferror(filter(Status!N:N,Status!A:A=A186,Status!N:N=TRUE)))"),0.0)</f>
        <v>0</v>
      </c>
      <c r="O186" s="25">
        <f>IFERROR(__xludf.DUMMYFUNCTION("COUNTA(iferror(filter(Status!N:N,Status!A:A=A186,Status!N:N=TRUE)))"),0.0)</f>
        <v>0</v>
      </c>
      <c r="P186" s="23">
        <f>IFERROR(__xludf.DUMMYFUNCTION("COUNTA(iferror(filter(Status!P:P,Status!A:A=A186)))"),0.0)</f>
        <v>0</v>
      </c>
      <c r="Q186" s="25">
        <f>IFERROR(__xludf.DUMMYFUNCTION("COUNTA(iferror(filter(Status!P:P,Status!A:A=A186,Status!P:P=TRUE)))"),0.0)</f>
        <v>0</v>
      </c>
      <c r="R186" s="23">
        <f>IFERROR(__xludf.DUMMYFUNCTION("COUNTA(iferror(filter(Status!R:R,Status!A:A=A186)))"),0.0)</f>
        <v>0</v>
      </c>
      <c r="S186" s="25">
        <f>IFERROR(__xludf.DUMMYFUNCTION("COUNTA(iferror(filter(Status!R:R,Status!A:A=A186,Status!R:R=TRUE)))"),0.0)</f>
        <v>0</v>
      </c>
      <c r="V186" s="23" t="str">
        <f>IFERROR(__xludf.DUMMYFUNCTION("if((countif(filter(Status!$C:$C,Status!$A:$A=$A186),CONCATENATE(V$2,""*""))-W186)&gt;0,(countif(filter(Status!$C:$C,Status!$A:$A=$A186),CONCATENATE(V$2,""*""))-W186),"""")"),"")</f>
        <v/>
      </c>
      <c r="W186" s="23" t="str">
        <f>IFERROR(__xludf.DUMMYFUNCTION("if(countif(filter(Status!$C:$C,Status!$A:$A=$A186),CONCATENATE(W$2,""*""))&gt;0,countif(filter(Status!$C:$C,Status!$A:$A=$A186),CONCATENATE(W$2,""*"")),"""")"),"")</f>
        <v/>
      </c>
      <c r="X186" s="23" t="str">
        <f>IFERROR(__xludf.DUMMYFUNCTION("if(countif(filter(Status!$C:$C,Status!$A:$A=$A186),CONCATENATE(X$2,""*""))&gt;0,countif(filter(Status!$C:$C,Status!$A:$A=$A186),CONCATENATE(X$2,""*"")),"""")"),"")</f>
        <v/>
      </c>
      <c r="Y186" s="23" t="str">
        <f>IFERROR(__xludf.DUMMYFUNCTION("if(countif(filter(Status!$C:$C,Status!$A:$A=$A186),CONCATENATE(Y$2,""*""))&gt;0,countif(filter(Status!$C:$C,Status!$A:$A=$A186),CONCATENATE(Y$2,""*"")),"""")"),"")</f>
        <v/>
      </c>
      <c r="Z186" s="23" t="str">
        <f>IFERROR(__xludf.DUMMYFUNCTION("if(countif(filter(Status!$C:$C,Status!$A:$A=$A186),CONCATENATE(Z$2,""*""))&gt;0,countif(filter(Status!$C:$C,Status!$A:$A=$A186),CONCATENATE(Z$2,""*"")),"""")"),"")</f>
        <v/>
      </c>
      <c r="AA186" s="23" t="str">
        <f>IFERROR(__xludf.DUMMYFUNCTION("if((countif(filter(Status!$C:$C,Status!$A:$A=$A186),CONCATENATE(AA$2,""*""))-AB186)&gt;0,(countif(filter(Status!$C:$C,Status!$A:$A=$A186),CONCATENATE(AA$2,""*""))-AB186),"""")"),"")</f>
        <v/>
      </c>
      <c r="AB186" s="23" t="str">
        <f>IFERROR(__xludf.DUMMYFUNCTION("if(countif(filter(Status!$C:$C,Status!$A:$A=$A186),CONCATENATE(AB$2,""*""))&gt;0,countif(filter(Status!$C:$C,Status!$A:$A=$A186),CONCATENATE(AB$2,""*"")),"""")"),"")</f>
        <v/>
      </c>
      <c r="AC186" s="23" t="str">
        <f>IFERROR(__xludf.DUMMYFUNCTION("if(countif(filter(Status!$C:$C,Status!$A:$A=$A186),CONCATENATE(AC$2,""*""))&gt;0,countif(filter(Status!$C:$C,Status!$A:$A=$A186),CONCATENATE(AC$2,""*"")),"""")"),"")</f>
        <v/>
      </c>
      <c r="AD186" s="23" t="str">
        <f>IFERROR(__xludf.DUMMYFUNCTION("if(countif(filter(Status!$C:$C,Status!$A:$A=$A186),CONCATENATE(AD$2,""*""))&gt;0,countif(filter(Status!$C:$C,Status!$A:$A=$A186),CONCATENATE(AD$2,""*"")),"""")"),"")</f>
        <v/>
      </c>
      <c r="AE186" s="23" t="str">
        <f>IFERROR(__xludf.DUMMYFUNCTION("if(countif(filter(Status!$C:$C,Status!$A:$A=$A186),CONCATENATE(AE$2,""*""))&gt;0,countif(filter(Status!$C:$C,Status!$A:$A=$A186),CONCATENATE(AE$2,""*"")),"""")"),"")</f>
        <v/>
      </c>
      <c r="AF186" s="23" t="str">
        <f>IFERROR(__xludf.DUMMYFUNCTION("if(countif(filter(Status!$C:$C,Status!$A:$A=$A186),CONCATENATE(AF$2,""*""))&gt;0,countif(filter(Status!$C:$C,Status!$A:$A=$A186),CONCATENATE(AF$2,""*"")),"""")"),"")</f>
        <v/>
      </c>
      <c r="AG186" s="23" t="str">
        <f>IFERROR(__xludf.DUMMYFUNCTION("if(countif(filter(Status!$C:$C,Status!$A:$A=$A186),CONCATENATE(AG$2,""*""))&gt;0,countif(filter(Status!$C:$C,Status!$A:$A=$A186),CONCATENATE(AG$2,""*"")),"""")"),"")</f>
        <v/>
      </c>
      <c r="AH186" s="23" t="str">
        <f>IFERROR(__xludf.DUMMYFUNCTION("if(countif(filter(Status!$C:$C,Status!$A:$A=$A186),CONCATENATE(AH$2,""*""))&gt;0,countif(filter(Status!$C:$C,Status!$A:$A=$A186),CONCATENATE(AH$2,""*"")),"""")"),"")</f>
        <v/>
      </c>
      <c r="AI186" s="23" t="str">
        <f>IFERROR(__xludf.DUMMYFUNCTION("if(countif(filter(Status!$C:$C,Status!$A:$A=$A186),CONCATENATE(AI$2,""*""))&gt;0,countif(filter(Status!$C:$C,Status!$A:$A=$A186),CONCATENATE(AI$2,""*"")),"""")"),"")</f>
        <v/>
      </c>
      <c r="AJ186" s="23" t="str">
        <f>IFERROR(__xludf.DUMMYFUNCTION("if(countif(filter(Status!$C:$C,Status!$A:$A=$A186),CONCATENATE(AJ$2,""*""))&gt;0,countif(filter(Status!$C:$C,Status!$A:$A=$A186),CONCATENATE(AJ$2,""*"")),"""")"),"")</f>
        <v/>
      </c>
      <c r="AK186" s="23" t="str">
        <f>IFERROR(__xludf.DUMMYFUNCTION("if(countif(filter(Status!$C:$C,Status!$A:$A=$A186),CONCATENATE(AK$2,""*""))&gt;0,countif(filter(Status!$C:$C,Status!$A:$A=$A186),CONCATENATE(AK$2,""*"")),"""")"),"")</f>
        <v/>
      </c>
      <c r="AL186" s="23" t="str">
        <f>IFERROR(__xludf.DUMMYFUNCTION("if(countif(filter(Status!$C:$C,Status!$A:$A=$A186),CONCATENATE(AL$2,""*""))&gt;0,countif(filter(Status!$C:$C,Status!$A:$A=$A186),CONCATENATE(AL$2,""*"")),"""")"),"")</f>
        <v/>
      </c>
      <c r="AM186" s="23" t="str">
        <f>IFERROR(__xludf.DUMMYFUNCTION("if(countif(filter(Status!$C:$C,Status!$A:$A=$A186),CONCATENATE(AM$2,""*""))&gt;0,countif(filter(Status!$C:$C,Status!$A:$A=$A186),CONCATENATE(AM$2,""*"")),"""")"),"")</f>
        <v/>
      </c>
      <c r="AN186" s="23" t="str">
        <f>IFERROR(__xludf.DUMMYFUNCTION("if(countif(filter(Status!$C:$C,Status!$A:$A=$A186),CONCATENATE(AN$2,""*""))&gt;0,countif(filter(Status!$C:$C,Status!$A:$A=$A186),CONCATENATE(AN$2,""*"")),"""")"),"")</f>
        <v/>
      </c>
      <c r="AO186" s="23" t="str">
        <f>IFERROR(__xludf.DUMMYFUNCTION("if(countif(filter(Status!$C:$C,Status!$A:$A=$A186),CONCATENATE(AO$2,""*""))&gt;0,countif(filter(Status!$C:$C,Status!$A:$A=$A186),CONCATENATE(AO$2,""*"")),"""")"),"")</f>
        <v/>
      </c>
      <c r="AP186" s="23">
        <f>IFERROR(__xludf.DUMMYFUNCTION("counta(iferror(filter(Status!C:C,Status!A:A=A186)))"),0.0)</f>
        <v>0</v>
      </c>
      <c r="AQ186" s="23">
        <f t="shared" si="6"/>
        <v>0</v>
      </c>
    </row>
    <row r="187">
      <c r="A187" s="1" t="s">
        <v>1263</v>
      </c>
      <c r="B187" s="25" t="str">
        <f>IFERROR(__xludf.DUMMYFUNCTION("max(filter(Status!E:E,Status!A:A=A187))"),"#N/A")</f>
        <v>#N/A</v>
      </c>
      <c r="C187" s="23" t="str">
        <f t="shared" si="1"/>
        <v/>
      </c>
      <c r="D187" s="23" t="str">
        <f t="shared" si="2"/>
        <v/>
      </c>
      <c r="E187" s="23" t="str">
        <f t="shared" si="3"/>
        <v/>
      </c>
      <c r="F187" s="23" t="str">
        <f t="shared" si="4"/>
        <v/>
      </c>
      <c r="G187" s="25" t="str">
        <f t="shared" si="5"/>
        <v/>
      </c>
      <c r="J187" s="23">
        <f>IFERROR(__xludf.DUMMYFUNCTION("COUNTA(iferror(filter(Status!H:H,Status!A:A=A187)))"),0.0)</f>
        <v>0</v>
      </c>
      <c r="K187" s="25">
        <f>IFERROR(__xludf.DUMMYFUNCTION("COUNTA(iferror(filter(Status!H:H,Status!A:A=A187,Status!H:H=TRUE)))"),0.0)</f>
        <v>0</v>
      </c>
      <c r="L187" s="23">
        <f>IFERROR(__xludf.DUMMYFUNCTION("COUNTA(iferror(filter(Status!L:L,Status!A:A=A187)))"),0.0)</f>
        <v>0</v>
      </c>
      <c r="M187" s="25">
        <f>IFERROR(__xludf.DUMMYFUNCTION("COUNTA(iferror(filter(Status!L:L,Status!A:A=A187,Status!L:L=TRUE)))"),0.0)</f>
        <v>0</v>
      </c>
      <c r="N187" s="23">
        <f>IFERROR(__xludf.DUMMYFUNCTION("COUNTA(iferror(filter(Status!N:N,Status!A:A=A187,Status!N:N=TRUE)))"),0.0)</f>
        <v>0</v>
      </c>
      <c r="O187" s="25">
        <f>IFERROR(__xludf.DUMMYFUNCTION("COUNTA(iferror(filter(Status!N:N,Status!A:A=A187,Status!N:N=TRUE)))"),0.0)</f>
        <v>0</v>
      </c>
      <c r="P187" s="23">
        <f>IFERROR(__xludf.DUMMYFUNCTION("COUNTA(iferror(filter(Status!P:P,Status!A:A=A187)))"),0.0)</f>
        <v>0</v>
      </c>
      <c r="Q187" s="25">
        <f>IFERROR(__xludf.DUMMYFUNCTION("COUNTA(iferror(filter(Status!P:P,Status!A:A=A187,Status!P:P=TRUE)))"),0.0)</f>
        <v>0</v>
      </c>
      <c r="R187" s="23">
        <f>IFERROR(__xludf.DUMMYFUNCTION("COUNTA(iferror(filter(Status!R:R,Status!A:A=A187)))"),0.0)</f>
        <v>0</v>
      </c>
      <c r="S187" s="25">
        <f>IFERROR(__xludf.DUMMYFUNCTION("COUNTA(iferror(filter(Status!R:R,Status!A:A=A187,Status!R:R=TRUE)))"),0.0)</f>
        <v>0</v>
      </c>
      <c r="V187" s="23" t="str">
        <f>IFERROR(__xludf.DUMMYFUNCTION("if((countif(filter(Status!$C:$C,Status!$A:$A=$A187),CONCATENATE(V$2,""*""))-W187)&gt;0,(countif(filter(Status!$C:$C,Status!$A:$A=$A187),CONCATENATE(V$2,""*""))-W187),"""")"),"")</f>
        <v/>
      </c>
      <c r="W187" s="23" t="str">
        <f>IFERROR(__xludf.DUMMYFUNCTION("if(countif(filter(Status!$C:$C,Status!$A:$A=$A187),CONCATENATE(W$2,""*""))&gt;0,countif(filter(Status!$C:$C,Status!$A:$A=$A187),CONCATENATE(W$2,""*"")),"""")"),"")</f>
        <v/>
      </c>
      <c r="X187" s="23" t="str">
        <f>IFERROR(__xludf.DUMMYFUNCTION("if(countif(filter(Status!$C:$C,Status!$A:$A=$A187),CONCATENATE(X$2,""*""))&gt;0,countif(filter(Status!$C:$C,Status!$A:$A=$A187),CONCATENATE(X$2,""*"")),"""")"),"")</f>
        <v/>
      </c>
      <c r="Y187" s="23" t="str">
        <f>IFERROR(__xludf.DUMMYFUNCTION("if(countif(filter(Status!$C:$C,Status!$A:$A=$A187),CONCATENATE(Y$2,""*""))&gt;0,countif(filter(Status!$C:$C,Status!$A:$A=$A187),CONCATENATE(Y$2,""*"")),"""")"),"")</f>
        <v/>
      </c>
      <c r="Z187" s="23" t="str">
        <f>IFERROR(__xludf.DUMMYFUNCTION("if(countif(filter(Status!$C:$C,Status!$A:$A=$A187),CONCATENATE(Z$2,""*""))&gt;0,countif(filter(Status!$C:$C,Status!$A:$A=$A187),CONCATENATE(Z$2,""*"")),"""")"),"")</f>
        <v/>
      </c>
      <c r="AA187" s="23" t="str">
        <f>IFERROR(__xludf.DUMMYFUNCTION("if((countif(filter(Status!$C:$C,Status!$A:$A=$A187),CONCATENATE(AA$2,""*""))-AB187)&gt;0,(countif(filter(Status!$C:$C,Status!$A:$A=$A187),CONCATENATE(AA$2,""*""))-AB187),"""")"),"")</f>
        <v/>
      </c>
      <c r="AB187" s="23" t="str">
        <f>IFERROR(__xludf.DUMMYFUNCTION("if(countif(filter(Status!$C:$C,Status!$A:$A=$A187),CONCATENATE(AB$2,""*""))&gt;0,countif(filter(Status!$C:$C,Status!$A:$A=$A187),CONCATENATE(AB$2,""*"")),"""")"),"")</f>
        <v/>
      </c>
      <c r="AC187" s="23" t="str">
        <f>IFERROR(__xludf.DUMMYFUNCTION("if(countif(filter(Status!$C:$C,Status!$A:$A=$A187),CONCATENATE(AC$2,""*""))&gt;0,countif(filter(Status!$C:$C,Status!$A:$A=$A187),CONCATENATE(AC$2,""*"")),"""")"),"")</f>
        <v/>
      </c>
      <c r="AD187" s="23" t="str">
        <f>IFERROR(__xludf.DUMMYFUNCTION("if(countif(filter(Status!$C:$C,Status!$A:$A=$A187),CONCATENATE(AD$2,""*""))&gt;0,countif(filter(Status!$C:$C,Status!$A:$A=$A187),CONCATENATE(AD$2,""*"")),"""")"),"")</f>
        <v/>
      </c>
      <c r="AE187" s="23" t="str">
        <f>IFERROR(__xludf.DUMMYFUNCTION("if(countif(filter(Status!$C:$C,Status!$A:$A=$A187),CONCATENATE(AE$2,""*""))&gt;0,countif(filter(Status!$C:$C,Status!$A:$A=$A187),CONCATENATE(AE$2,""*"")),"""")"),"")</f>
        <v/>
      </c>
      <c r="AF187" s="23" t="str">
        <f>IFERROR(__xludf.DUMMYFUNCTION("if(countif(filter(Status!$C:$C,Status!$A:$A=$A187),CONCATENATE(AF$2,""*""))&gt;0,countif(filter(Status!$C:$C,Status!$A:$A=$A187),CONCATENATE(AF$2,""*"")),"""")"),"")</f>
        <v/>
      </c>
      <c r="AG187" s="23" t="str">
        <f>IFERROR(__xludf.DUMMYFUNCTION("if(countif(filter(Status!$C:$C,Status!$A:$A=$A187),CONCATENATE(AG$2,""*""))&gt;0,countif(filter(Status!$C:$C,Status!$A:$A=$A187),CONCATENATE(AG$2,""*"")),"""")"),"")</f>
        <v/>
      </c>
      <c r="AH187" s="23" t="str">
        <f>IFERROR(__xludf.DUMMYFUNCTION("if(countif(filter(Status!$C:$C,Status!$A:$A=$A187),CONCATENATE(AH$2,""*""))&gt;0,countif(filter(Status!$C:$C,Status!$A:$A=$A187),CONCATENATE(AH$2,""*"")),"""")"),"")</f>
        <v/>
      </c>
      <c r="AI187" s="23" t="str">
        <f>IFERROR(__xludf.DUMMYFUNCTION("if(countif(filter(Status!$C:$C,Status!$A:$A=$A187),CONCATENATE(AI$2,""*""))&gt;0,countif(filter(Status!$C:$C,Status!$A:$A=$A187),CONCATENATE(AI$2,""*"")),"""")"),"")</f>
        <v/>
      </c>
      <c r="AJ187" s="23" t="str">
        <f>IFERROR(__xludf.DUMMYFUNCTION("if(countif(filter(Status!$C:$C,Status!$A:$A=$A187),CONCATENATE(AJ$2,""*""))&gt;0,countif(filter(Status!$C:$C,Status!$A:$A=$A187),CONCATENATE(AJ$2,""*"")),"""")"),"")</f>
        <v/>
      </c>
      <c r="AK187" s="23" t="str">
        <f>IFERROR(__xludf.DUMMYFUNCTION("if(countif(filter(Status!$C:$C,Status!$A:$A=$A187),CONCATENATE(AK$2,""*""))&gt;0,countif(filter(Status!$C:$C,Status!$A:$A=$A187),CONCATENATE(AK$2,""*"")),"""")"),"")</f>
        <v/>
      </c>
      <c r="AL187" s="23" t="str">
        <f>IFERROR(__xludf.DUMMYFUNCTION("if(countif(filter(Status!$C:$C,Status!$A:$A=$A187),CONCATENATE(AL$2,""*""))&gt;0,countif(filter(Status!$C:$C,Status!$A:$A=$A187),CONCATENATE(AL$2,""*"")),"""")"),"")</f>
        <v/>
      </c>
      <c r="AM187" s="23" t="str">
        <f>IFERROR(__xludf.DUMMYFUNCTION("if(countif(filter(Status!$C:$C,Status!$A:$A=$A187),CONCATENATE(AM$2,""*""))&gt;0,countif(filter(Status!$C:$C,Status!$A:$A=$A187),CONCATENATE(AM$2,""*"")),"""")"),"")</f>
        <v/>
      </c>
      <c r="AN187" s="23" t="str">
        <f>IFERROR(__xludf.DUMMYFUNCTION("if(countif(filter(Status!$C:$C,Status!$A:$A=$A187),CONCATENATE(AN$2,""*""))&gt;0,countif(filter(Status!$C:$C,Status!$A:$A=$A187),CONCATENATE(AN$2,""*"")),"""")"),"")</f>
        <v/>
      </c>
      <c r="AO187" s="23" t="str">
        <f>IFERROR(__xludf.DUMMYFUNCTION("if(countif(filter(Status!$C:$C,Status!$A:$A=$A187),CONCATENATE(AO$2,""*""))&gt;0,countif(filter(Status!$C:$C,Status!$A:$A=$A187),CONCATENATE(AO$2,""*"")),"""")"),"")</f>
        <v/>
      </c>
      <c r="AP187" s="23">
        <f>IFERROR(__xludf.DUMMYFUNCTION("counta(iferror(filter(Status!C:C,Status!A:A=A187)))"),0.0)</f>
        <v>0</v>
      </c>
      <c r="AQ187" s="23">
        <f t="shared" si="6"/>
        <v>0</v>
      </c>
    </row>
    <row r="188">
      <c r="A188" s="1" t="s">
        <v>1266</v>
      </c>
      <c r="B188" s="25" t="str">
        <f>IFERROR(__xludf.DUMMYFUNCTION("max(filter(Status!E:E,Status!A:A=A188))"),"#N/A")</f>
        <v>#N/A</v>
      </c>
      <c r="C188" s="23" t="str">
        <f t="shared" si="1"/>
        <v/>
      </c>
      <c r="D188" s="23" t="str">
        <f t="shared" si="2"/>
        <v/>
      </c>
      <c r="E188" s="23" t="str">
        <f t="shared" si="3"/>
        <v/>
      </c>
      <c r="F188" s="23" t="str">
        <f t="shared" si="4"/>
        <v/>
      </c>
      <c r="G188" s="25" t="str">
        <f t="shared" si="5"/>
        <v/>
      </c>
      <c r="J188" s="23">
        <f>IFERROR(__xludf.DUMMYFUNCTION("COUNTA(iferror(filter(Status!H:H,Status!A:A=A188)))"),0.0)</f>
        <v>0</v>
      </c>
      <c r="K188" s="25">
        <f>IFERROR(__xludf.DUMMYFUNCTION("COUNTA(iferror(filter(Status!H:H,Status!A:A=A188,Status!H:H=TRUE)))"),0.0)</f>
        <v>0</v>
      </c>
      <c r="L188" s="23">
        <f>IFERROR(__xludf.DUMMYFUNCTION("COUNTA(iferror(filter(Status!L:L,Status!A:A=A188)))"),0.0)</f>
        <v>0</v>
      </c>
      <c r="M188" s="25">
        <f>IFERROR(__xludf.DUMMYFUNCTION("COUNTA(iferror(filter(Status!L:L,Status!A:A=A188,Status!L:L=TRUE)))"),0.0)</f>
        <v>0</v>
      </c>
      <c r="N188" s="23">
        <f>IFERROR(__xludf.DUMMYFUNCTION("COUNTA(iferror(filter(Status!N:N,Status!A:A=A188,Status!N:N=TRUE)))"),0.0)</f>
        <v>0</v>
      </c>
      <c r="O188" s="25">
        <f>IFERROR(__xludf.DUMMYFUNCTION("COUNTA(iferror(filter(Status!N:N,Status!A:A=A188,Status!N:N=TRUE)))"),0.0)</f>
        <v>0</v>
      </c>
      <c r="P188" s="23">
        <f>IFERROR(__xludf.DUMMYFUNCTION("COUNTA(iferror(filter(Status!P:P,Status!A:A=A188)))"),0.0)</f>
        <v>0</v>
      </c>
      <c r="Q188" s="25">
        <f>IFERROR(__xludf.DUMMYFUNCTION("COUNTA(iferror(filter(Status!P:P,Status!A:A=A188,Status!P:P=TRUE)))"),0.0)</f>
        <v>0</v>
      </c>
      <c r="R188" s="23">
        <f>IFERROR(__xludf.DUMMYFUNCTION("COUNTA(iferror(filter(Status!R:R,Status!A:A=A188)))"),0.0)</f>
        <v>0</v>
      </c>
      <c r="S188" s="25">
        <f>IFERROR(__xludf.DUMMYFUNCTION("COUNTA(iferror(filter(Status!R:R,Status!A:A=A188,Status!R:R=TRUE)))"),0.0)</f>
        <v>0</v>
      </c>
      <c r="V188" s="23" t="str">
        <f>IFERROR(__xludf.DUMMYFUNCTION("if((countif(filter(Status!$C:$C,Status!$A:$A=$A188),CONCATENATE(V$2,""*""))-W188)&gt;0,(countif(filter(Status!$C:$C,Status!$A:$A=$A188),CONCATENATE(V$2,""*""))-W188),"""")"),"")</f>
        <v/>
      </c>
      <c r="W188" s="23" t="str">
        <f>IFERROR(__xludf.DUMMYFUNCTION("if(countif(filter(Status!$C:$C,Status!$A:$A=$A188),CONCATENATE(W$2,""*""))&gt;0,countif(filter(Status!$C:$C,Status!$A:$A=$A188),CONCATENATE(W$2,""*"")),"""")"),"")</f>
        <v/>
      </c>
      <c r="X188" s="23" t="str">
        <f>IFERROR(__xludf.DUMMYFUNCTION("if(countif(filter(Status!$C:$C,Status!$A:$A=$A188),CONCATENATE(X$2,""*""))&gt;0,countif(filter(Status!$C:$C,Status!$A:$A=$A188),CONCATENATE(X$2,""*"")),"""")"),"")</f>
        <v/>
      </c>
      <c r="Y188" s="23" t="str">
        <f>IFERROR(__xludf.DUMMYFUNCTION("if(countif(filter(Status!$C:$C,Status!$A:$A=$A188),CONCATENATE(Y$2,""*""))&gt;0,countif(filter(Status!$C:$C,Status!$A:$A=$A188),CONCATENATE(Y$2,""*"")),"""")"),"")</f>
        <v/>
      </c>
      <c r="Z188" s="23" t="str">
        <f>IFERROR(__xludf.DUMMYFUNCTION("if(countif(filter(Status!$C:$C,Status!$A:$A=$A188),CONCATENATE(Z$2,""*""))&gt;0,countif(filter(Status!$C:$C,Status!$A:$A=$A188),CONCATENATE(Z$2,""*"")),"""")"),"")</f>
        <v/>
      </c>
      <c r="AA188" s="23" t="str">
        <f>IFERROR(__xludf.DUMMYFUNCTION("if((countif(filter(Status!$C:$C,Status!$A:$A=$A188),CONCATENATE(AA$2,""*""))-AB188)&gt;0,(countif(filter(Status!$C:$C,Status!$A:$A=$A188),CONCATENATE(AA$2,""*""))-AB188),"""")"),"")</f>
        <v/>
      </c>
      <c r="AB188" s="23" t="str">
        <f>IFERROR(__xludf.DUMMYFUNCTION("if(countif(filter(Status!$C:$C,Status!$A:$A=$A188),CONCATENATE(AB$2,""*""))&gt;0,countif(filter(Status!$C:$C,Status!$A:$A=$A188),CONCATENATE(AB$2,""*"")),"""")"),"")</f>
        <v/>
      </c>
      <c r="AC188" s="23" t="str">
        <f>IFERROR(__xludf.DUMMYFUNCTION("if(countif(filter(Status!$C:$C,Status!$A:$A=$A188),CONCATENATE(AC$2,""*""))&gt;0,countif(filter(Status!$C:$C,Status!$A:$A=$A188),CONCATENATE(AC$2,""*"")),"""")"),"")</f>
        <v/>
      </c>
      <c r="AD188" s="23" t="str">
        <f>IFERROR(__xludf.DUMMYFUNCTION("if(countif(filter(Status!$C:$C,Status!$A:$A=$A188),CONCATENATE(AD$2,""*""))&gt;0,countif(filter(Status!$C:$C,Status!$A:$A=$A188),CONCATENATE(AD$2,""*"")),"""")"),"")</f>
        <v/>
      </c>
      <c r="AE188" s="23" t="str">
        <f>IFERROR(__xludf.DUMMYFUNCTION("if(countif(filter(Status!$C:$C,Status!$A:$A=$A188),CONCATENATE(AE$2,""*""))&gt;0,countif(filter(Status!$C:$C,Status!$A:$A=$A188),CONCATENATE(AE$2,""*"")),"""")"),"")</f>
        <v/>
      </c>
      <c r="AF188" s="23" t="str">
        <f>IFERROR(__xludf.DUMMYFUNCTION("if(countif(filter(Status!$C:$C,Status!$A:$A=$A188),CONCATENATE(AF$2,""*""))&gt;0,countif(filter(Status!$C:$C,Status!$A:$A=$A188),CONCATENATE(AF$2,""*"")),"""")"),"")</f>
        <v/>
      </c>
      <c r="AG188" s="23" t="str">
        <f>IFERROR(__xludf.DUMMYFUNCTION("if(countif(filter(Status!$C:$C,Status!$A:$A=$A188),CONCATENATE(AG$2,""*""))&gt;0,countif(filter(Status!$C:$C,Status!$A:$A=$A188),CONCATENATE(AG$2,""*"")),"""")"),"")</f>
        <v/>
      </c>
      <c r="AH188" s="23" t="str">
        <f>IFERROR(__xludf.DUMMYFUNCTION("if(countif(filter(Status!$C:$C,Status!$A:$A=$A188),CONCATENATE(AH$2,""*""))&gt;0,countif(filter(Status!$C:$C,Status!$A:$A=$A188),CONCATENATE(AH$2,""*"")),"""")"),"")</f>
        <v/>
      </c>
      <c r="AI188" s="23" t="str">
        <f>IFERROR(__xludf.DUMMYFUNCTION("if(countif(filter(Status!$C:$C,Status!$A:$A=$A188),CONCATENATE(AI$2,""*""))&gt;0,countif(filter(Status!$C:$C,Status!$A:$A=$A188),CONCATENATE(AI$2,""*"")),"""")"),"")</f>
        <v/>
      </c>
      <c r="AJ188" s="23" t="str">
        <f>IFERROR(__xludf.DUMMYFUNCTION("if(countif(filter(Status!$C:$C,Status!$A:$A=$A188),CONCATENATE(AJ$2,""*""))&gt;0,countif(filter(Status!$C:$C,Status!$A:$A=$A188),CONCATENATE(AJ$2,""*"")),"""")"),"")</f>
        <v/>
      </c>
      <c r="AK188" s="23" t="str">
        <f>IFERROR(__xludf.DUMMYFUNCTION("if(countif(filter(Status!$C:$C,Status!$A:$A=$A188),CONCATENATE(AK$2,""*""))&gt;0,countif(filter(Status!$C:$C,Status!$A:$A=$A188),CONCATENATE(AK$2,""*"")),"""")"),"")</f>
        <v/>
      </c>
      <c r="AL188" s="23" t="str">
        <f>IFERROR(__xludf.DUMMYFUNCTION("if(countif(filter(Status!$C:$C,Status!$A:$A=$A188),CONCATENATE(AL$2,""*""))&gt;0,countif(filter(Status!$C:$C,Status!$A:$A=$A188),CONCATENATE(AL$2,""*"")),"""")"),"")</f>
        <v/>
      </c>
      <c r="AM188" s="23" t="str">
        <f>IFERROR(__xludf.DUMMYFUNCTION("if(countif(filter(Status!$C:$C,Status!$A:$A=$A188),CONCATENATE(AM$2,""*""))&gt;0,countif(filter(Status!$C:$C,Status!$A:$A=$A188),CONCATENATE(AM$2,""*"")),"""")"),"")</f>
        <v/>
      </c>
      <c r="AN188" s="23" t="str">
        <f>IFERROR(__xludf.DUMMYFUNCTION("if(countif(filter(Status!$C:$C,Status!$A:$A=$A188),CONCATENATE(AN$2,""*""))&gt;0,countif(filter(Status!$C:$C,Status!$A:$A=$A188),CONCATENATE(AN$2,""*"")),"""")"),"")</f>
        <v/>
      </c>
      <c r="AO188" s="23" t="str">
        <f>IFERROR(__xludf.DUMMYFUNCTION("if(countif(filter(Status!$C:$C,Status!$A:$A=$A188),CONCATENATE(AO$2,""*""))&gt;0,countif(filter(Status!$C:$C,Status!$A:$A=$A188),CONCATENATE(AO$2,""*"")),"""")"),"")</f>
        <v/>
      </c>
      <c r="AP188" s="23">
        <f>IFERROR(__xludf.DUMMYFUNCTION("counta(iferror(filter(Status!C:C,Status!A:A=A188)))"),0.0)</f>
        <v>0</v>
      </c>
      <c r="AQ188" s="23">
        <f t="shared" si="6"/>
        <v>0</v>
      </c>
    </row>
    <row r="189">
      <c r="A189" s="1" t="s">
        <v>1267</v>
      </c>
      <c r="B189" s="25" t="str">
        <f>IFERROR(__xludf.DUMMYFUNCTION("max(filter(Status!E:E,Status!A:A=A189))"),"#N/A")</f>
        <v>#N/A</v>
      </c>
      <c r="C189" s="23" t="str">
        <f t="shared" si="1"/>
        <v/>
      </c>
      <c r="D189" s="23" t="str">
        <f t="shared" si="2"/>
        <v/>
      </c>
      <c r="E189" s="23" t="str">
        <f t="shared" si="3"/>
        <v/>
      </c>
      <c r="F189" s="23" t="str">
        <f t="shared" si="4"/>
        <v/>
      </c>
      <c r="G189" s="25" t="str">
        <f t="shared" si="5"/>
        <v/>
      </c>
      <c r="J189" s="23">
        <f>IFERROR(__xludf.DUMMYFUNCTION("COUNTA(iferror(filter(Status!H:H,Status!A:A=A189)))"),0.0)</f>
        <v>0</v>
      </c>
      <c r="K189" s="25">
        <f>IFERROR(__xludf.DUMMYFUNCTION("COUNTA(iferror(filter(Status!H:H,Status!A:A=A189,Status!H:H=TRUE)))"),0.0)</f>
        <v>0</v>
      </c>
      <c r="L189" s="23">
        <f>IFERROR(__xludf.DUMMYFUNCTION("COUNTA(iferror(filter(Status!L:L,Status!A:A=A189)))"),0.0)</f>
        <v>0</v>
      </c>
      <c r="M189" s="25">
        <f>IFERROR(__xludf.DUMMYFUNCTION("COUNTA(iferror(filter(Status!L:L,Status!A:A=A189,Status!L:L=TRUE)))"),0.0)</f>
        <v>0</v>
      </c>
      <c r="N189" s="23">
        <f>IFERROR(__xludf.DUMMYFUNCTION("COUNTA(iferror(filter(Status!N:N,Status!A:A=A189,Status!N:N=TRUE)))"),0.0)</f>
        <v>0</v>
      </c>
      <c r="O189" s="25">
        <f>IFERROR(__xludf.DUMMYFUNCTION("COUNTA(iferror(filter(Status!N:N,Status!A:A=A189,Status!N:N=TRUE)))"),0.0)</f>
        <v>0</v>
      </c>
      <c r="P189" s="23">
        <f>IFERROR(__xludf.DUMMYFUNCTION("COUNTA(iferror(filter(Status!P:P,Status!A:A=A189)))"),0.0)</f>
        <v>0</v>
      </c>
      <c r="Q189" s="25">
        <f>IFERROR(__xludf.DUMMYFUNCTION("COUNTA(iferror(filter(Status!P:P,Status!A:A=A189,Status!P:P=TRUE)))"),0.0)</f>
        <v>0</v>
      </c>
      <c r="R189" s="23">
        <f>IFERROR(__xludf.DUMMYFUNCTION("COUNTA(iferror(filter(Status!R:R,Status!A:A=A189)))"),0.0)</f>
        <v>0</v>
      </c>
      <c r="S189" s="25">
        <f>IFERROR(__xludf.DUMMYFUNCTION("COUNTA(iferror(filter(Status!R:R,Status!A:A=A189,Status!R:R=TRUE)))"),0.0)</f>
        <v>0</v>
      </c>
      <c r="V189" s="23" t="str">
        <f>IFERROR(__xludf.DUMMYFUNCTION("if((countif(filter(Status!$C:$C,Status!$A:$A=$A189),CONCATENATE(V$2,""*""))-W189)&gt;0,(countif(filter(Status!$C:$C,Status!$A:$A=$A189),CONCATENATE(V$2,""*""))-W189),"""")"),"")</f>
        <v/>
      </c>
      <c r="W189" s="23" t="str">
        <f>IFERROR(__xludf.DUMMYFUNCTION("if(countif(filter(Status!$C:$C,Status!$A:$A=$A189),CONCATENATE(W$2,""*""))&gt;0,countif(filter(Status!$C:$C,Status!$A:$A=$A189),CONCATENATE(W$2,""*"")),"""")"),"")</f>
        <v/>
      </c>
      <c r="X189" s="23" t="str">
        <f>IFERROR(__xludf.DUMMYFUNCTION("if(countif(filter(Status!$C:$C,Status!$A:$A=$A189),CONCATENATE(X$2,""*""))&gt;0,countif(filter(Status!$C:$C,Status!$A:$A=$A189),CONCATENATE(X$2,""*"")),"""")"),"")</f>
        <v/>
      </c>
      <c r="Y189" s="23" t="str">
        <f>IFERROR(__xludf.DUMMYFUNCTION("if(countif(filter(Status!$C:$C,Status!$A:$A=$A189),CONCATENATE(Y$2,""*""))&gt;0,countif(filter(Status!$C:$C,Status!$A:$A=$A189),CONCATENATE(Y$2,""*"")),"""")"),"")</f>
        <v/>
      </c>
      <c r="Z189" s="23" t="str">
        <f>IFERROR(__xludf.DUMMYFUNCTION("if(countif(filter(Status!$C:$C,Status!$A:$A=$A189),CONCATENATE(Z$2,""*""))&gt;0,countif(filter(Status!$C:$C,Status!$A:$A=$A189),CONCATENATE(Z$2,""*"")),"""")"),"")</f>
        <v/>
      </c>
      <c r="AA189" s="23" t="str">
        <f>IFERROR(__xludf.DUMMYFUNCTION("if((countif(filter(Status!$C:$C,Status!$A:$A=$A189),CONCATENATE(AA$2,""*""))-AB189)&gt;0,(countif(filter(Status!$C:$C,Status!$A:$A=$A189),CONCATENATE(AA$2,""*""))-AB189),"""")"),"")</f>
        <v/>
      </c>
      <c r="AB189" s="23" t="str">
        <f>IFERROR(__xludf.DUMMYFUNCTION("if(countif(filter(Status!$C:$C,Status!$A:$A=$A189),CONCATENATE(AB$2,""*""))&gt;0,countif(filter(Status!$C:$C,Status!$A:$A=$A189),CONCATENATE(AB$2,""*"")),"""")"),"")</f>
        <v/>
      </c>
      <c r="AC189" s="23" t="str">
        <f>IFERROR(__xludf.DUMMYFUNCTION("if(countif(filter(Status!$C:$C,Status!$A:$A=$A189),CONCATENATE(AC$2,""*""))&gt;0,countif(filter(Status!$C:$C,Status!$A:$A=$A189),CONCATENATE(AC$2,""*"")),"""")"),"")</f>
        <v/>
      </c>
      <c r="AD189" s="23" t="str">
        <f>IFERROR(__xludf.DUMMYFUNCTION("if(countif(filter(Status!$C:$C,Status!$A:$A=$A189),CONCATENATE(AD$2,""*""))&gt;0,countif(filter(Status!$C:$C,Status!$A:$A=$A189),CONCATENATE(AD$2,""*"")),"""")"),"")</f>
        <v/>
      </c>
      <c r="AE189" s="23" t="str">
        <f>IFERROR(__xludf.DUMMYFUNCTION("if(countif(filter(Status!$C:$C,Status!$A:$A=$A189),CONCATENATE(AE$2,""*""))&gt;0,countif(filter(Status!$C:$C,Status!$A:$A=$A189),CONCATENATE(AE$2,""*"")),"""")"),"")</f>
        <v/>
      </c>
      <c r="AF189" s="23" t="str">
        <f>IFERROR(__xludf.DUMMYFUNCTION("if(countif(filter(Status!$C:$C,Status!$A:$A=$A189),CONCATENATE(AF$2,""*""))&gt;0,countif(filter(Status!$C:$C,Status!$A:$A=$A189),CONCATENATE(AF$2,""*"")),"""")"),"")</f>
        <v/>
      </c>
      <c r="AG189" s="23" t="str">
        <f>IFERROR(__xludf.DUMMYFUNCTION("if(countif(filter(Status!$C:$C,Status!$A:$A=$A189),CONCATENATE(AG$2,""*""))&gt;0,countif(filter(Status!$C:$C,Status!$A:$A=$A189),CONCATENATE(AG$2,""*"")),"""")"),"")</f>
        <v/>
      </c>
      <c r="AH189" s="23" t="str">
        <f>IFERROR(__xludf.DUMMYFUNCTION("if(countif(filter(Status!$C:$C,Status!$A:$A=$A189),CONCATENATE(AH$2,""*""))&gt;0,countif(filter(Status!$C:$C,Status!$A:$A=$A189),CONCATENATE(AH$2,""*"")),"""")"),"")</f>
        <v/>
      </c>
      <c r="AI189" s="23" t="str">
        <f>IFERROR(__xludf.DUMMYFUNCTION("if(countif(filter(Status!$C:$C,Status!$A:$A=$A189),CONCATENATE(AI$2,""*""))&gt;0,countif(filter(Status!$C:$C,Status!$A:$A=$A189),CONCATENATE(AI$2,""*"")),"""")"),"")</f>
        <v/>
      </c>
      <c r="AJ189" s="23" t="str">
        <f>IFERROR(__xludf.DUMMYFUNCTION("if(countif(filter(Status!$C:$C,Status!$A:$A=$A189),CONCATENATE(AJ$2,""*""))&gt;0,countif(filter(Status!$C:$C,Status!$A:$A=$A189),CONCATENATE(AJ$2,""*"")),"""")"),"")</f>
        <v/>
      </c>
      <c r="AK189" s="23" t="str">
        <f>IFERROR(__xludf.DUMMYFUNCTION("if(countif(filter(Status!$C:$C,Status!$A:$A=$A189),CONCATENATE(AK$2,""*""))&gt;0,countif(filter(Status!$C:$C,Status!$A:$A=$A189),CONCATENATE(AK$2,""*"")),"""")"),"")</f>
        <v/>
      </c>
      <c r="AL189" s="23" t="str">
        <f>IFERROR(__xludf.DUMMYFUNCTION("if(countif(filter(Status!$C:$C,Status!$A:$A=$A189),CONCATENATE(AL$2,""*""))&gt;0,countif(filter(Status!$C:$C,Status!$A:$A=$A189),CONCATENATE(AL$2,""*"")),"""")"),"")</f>
        <v/>
      </c>
      <c r="AM189" s="23" t="str">
        <f>IFERROR(__xludf.DUMMYFUNCTION("if(countif(filter(Status!$C:$C,Status!$A:$A=$A189),CONCATENATE(AM$2,""*""))&gt;0,countif(filter(Status!$C:$C,Status!$A:$A=$A189),CONCATENATE(AM$2,""*"")),"""")"),"")</f>
        <v/>
      </c>
      <c r="AN189" s="23" t="str">
        <f>IFERROR(__xludf.DUMMYFUNCTION("if(countif(filter(Status!$C:$C,Status!$A:$A=$A189),CONCATENATE(AN$2,""*""))&gt;0,countif(filter(Status!$C:$C,Status!$A:$A=$A189),CONCATENATE(AN$2,""*"")),"""")"),"")</f>
        <v/>
      </c>
      <c r="AO189" s="23" t="str">
        <f>IFERROR(__xludf.DUMMYFUNCTION("if(countif(filter(Status!$C:$C,Status!$A:$A=$A189),CONCATENATE(AO$2,""*""))&gt;0,countif(filter(Status!$C:$C,Status!$A:$A=$A189),CONCATENATE(AO$2,""*"")),"""")"),"")</f>
        <v/>
      </c>
      <c r="AP189" s="23">
        <f>IFERROR(__xludf.DUMMYFUNCTION("counta(iferror(filter(Status!C:C,Status!A:A=A189)))"),0.0)</f>
        <v>0</v>
      </c>
      <c r="AQ189" s="23">
        <f t="shared" si="6"/>
        <v>0</v>
      </c>
    </row>
    <row r="190">
      <c r="A190" s="1" t="s">
        <v>1268</v>
      </c>
      <c r="B190" s="25" t="str">
        <f>IFERROR(__xludf.DUMMYFUNCTION("max(filter(Status!E:E,Status!A:A=A190))"),"#N/A")</f>
        <v>#N/A</v>
      </c>
      <c r="C190" s="23" t="str">
        <f t="shared" si="1"/>
        <v/>
      </c>
      <c r="D190" s="23" t="str">
        <f t="shared" si="2"/>
        <v/>
      </c>
      <c r="E190" s="23" t="str">
        <f t="shared" si="3"/>
        <v/>
      </c>
      <c r="F190" s="23" t="str">
        <f t="shared" si="4"/>
        <v/>
      </c>
      <c r="G190" s="25" t="str">
        <f t="shared" si="5"/>
        <v/>
      </c>
      <c r="J190" s="23">
        <f>IFERROR(__xludf.DUMMYFUNCTION("COUNTA(iferror(filter(Status!H:H,Status!A:A=A190)))"),0.0)</f>
        <v>0</v>
      </c>
      <c r="K190" s="25">
        <f>IFERROR(__xludf.DUMMYFUNCTION("COUNTA(iferror(filter(Status!H:H,Status!A:A=A190,Status!H:H=TRUE)))"),0.0)</f>
        <v>0</v>
      </c>
      <c r="L190" s="23">
        <f>IFERROR(__xludf.DUMMYFUNCTION("COUNTA(iferror(filter(Status!L:L,Status!A:A=A190)))"),0.0)</f>
        <v>0</v>
      </c>
      <c r="M190" s="25">
        <f>IFERROR(__xludf.DUMMYFUNCTION("COUNTA(iferror(filter(Status!L:L,Status!A:A=A190,Status!L:L=TRUE)))"),0.0)</f>
        <v>0</v>
      </c>
      <c r="N190" s="23">
        <f>IFERROR(__xludf.DUMMYFUNCTION("COUNTA(iferror(filter(Status!N:N,Status!A:A=A190,Status!N:N=TRUE)))"),0.0)</f>
        <v>0</v>
      </c>
      <c r="O190" s="25">
        <f>IFERROR(__xludf.DUMMYFUNCTION("COUNTA(iferror(filter(Status!N:N,Status!A:A=A190,Status!N:N=TRUE)))"),0.0)</f>
        <v>0</v>
      </c>
      <c r="P190" s="23">
        <f>IFERROR(__xludf.DUMMYFUNCTION("COUNTA(iferror(filter(Status!P:P,Status!A:A=A190)))"),0.0)</f>
        <v>0</v>
      </c>
      <c r="Q190" s="25">
        <f>IFERROR(__xludf.DUMMYFUNCTION("COUNTA(iferror(filter(Status!P:P,Status!A:A=A190,Status!P:P=TRUE)))"),0.0)</f>
        <v>0</v>
      </c>
      <c r="R190" s="23">
        <f>IFERROR(__xludf.DUMMYFUNCTION("COUNTA(iferror(filter(Status!R:R,Status!A:A=A190)))"),0.0)</f>
        <v>0</v>
      </c>
      <c r="S190" s="25">
        <f>IFERROR(__xludf.DUMMYFUNCTION("COUNTA(iferror(filter(Status!R:R,Status!A:A=A190,Status!R:R=TRUE)))"),0.0)</f>
        <v>0</v>
      </c>
      <c r="V190" s="23" t="str">
        <f>IFERROR(__xludf.DUMMYFUNCTION("if((countif(filter(Status!$C:$C,Status!$A:$A=$A190),CONCATENATE(V$2,""*""))-W190)&gt;0,(countif(filter(Status!$C:$C,Status!$A:$A=$A190),CONCATENATE(V$2,""*""))-W190),"""")"),"")</f>
        <v/>
      </c>
      <c r="W190" s="23" t="str">
        <f>IFERROR(__xludf.DUMMYFUNCTION("if(countif(filter(Status!$C:$C,Status!$A:$A=$A190),CONCATENATE(W$2,""*""))&gt;0,countif(filter(Status!$C:$C,Status!$A:$A=$A190),CONCATENATE(W$2,""*"")),"""")"),"")</f>
        <v/>
      </c>
      <c r="X190" s="23" t="str">
        <f>IFERROR(__xludf.DUMMYFUNCTION("if(countif(filter(Status!$C:$C,Status!$A:$A=$A190),CONCATENATE(X$2,""*""))&gt;0,countif(filter(Status!$C:$C,Status!$A:$A=$A190),CONCATENATE(X$2,""*"")),"""")"),"")</f>
        <v/>
      </c>
      <c r="Y190" s="23" t="str">
        <f>IFERROR(__xludf.DUMMYFUNCTION("if(countif(filter(Status!$C:$C,Status!$A:$A=$A190),CONCATENATE(Y$2,""*""))&gt;0,countif(filter(Status!$C:$C,Status!$A:$A=$A190),CONCATENATE(Y$2,""*"")),"""")"),"")</f>
        <v/>
      </c>
      <c r="Z190" s="23" t="str">
        <f>IFERROR(__xludf.DUMMYFUNCTION("if(countif(filter(Status!$C:$C,Status!$A:$A=$A190),CONCATENATE(Z$2,""*""))&gt;0,countif(filter(Status!$C:$C,Status!$A:$A=$A190),CONCATENATE(Z$2,""*"")),"""")"),"")</f>
        <v/>
      </c>
      <c r="AA190" s="23" t="str">
        <f>IFERROR(__xludf.DUMMYFUNCTION("if((countif(filter(Status!$C:$C,Status!$A:$A=$A190),CONCATENATE(AA$2,""*""))-AB190)&gt;0,(countif(filter(Status!$C:$C,Status!$A:$A=$A190),CONCATENATE(AA$2,""*""))-AB190),"""")"),"")</f>
        <v/>
      </c>
      <c r="AB190" s="23" t="str">
        <f>IFERROR(__xludf.DUMMYFUNCTION("if(countif(filter(Status!$C:$C,Status!$A:$A=$A190),CONCATENATE(AB$2,""*""))&gt;0,countif(filter(Status!$C:$C,Status!$A:$A=$A190),CONCATENATE(AB$2,""*"")),"""")"),"")</f>
        <v/>
      </c>
      <c r="AC190" s="23" t="str">
        <f>IFERROR(__xludf.DUMMYFUNCTION("if(countif(filter(Status!$C:$C,Status!$A:$A=$A190),CONCATENATE(AC$2,""*""))&gt;0,countif(filter(Status!$C:$C,Status!$A:$A=$A190),CONCATENATE(AC$2,""*"")),"""")"),"")</f>
        <v/>
      </c>
      <c r="AD190" s="23" t="str">
        <f>IFERROR(__xludf.DUMMYFUNCTION("if(countif(filter(Status!$C:$C,Status!$A:$A=$A190),CONCATENATE(AD$2,""*""))&gt;0,countif(filter(Status!$C:$C,Status!$A:$A=$A190),CONCATENATE(AD$2,""*"")),"""")"),"")</f>
        <v/>
      </c>
      <c r="AE190" s="23" t="str">
        <f>IFERROR(__xludf.DUMMYFUNCTION("if(countif(filter(Status!$C:$C,Status!$A:$A=$A190),CONCATENATE(AE$2,""*""))&gt;0,countif(filter(Status!$C:$C,Status!$A:$A=$A190),CONCATENATE(AE$2,""*"")),"""")"),"")</f>
        <v/>
      </c>
      <c r="AF190" s="23" t="str">
        <f>IFERROR(__xludf.DUMMYFUNCTION("if(countif(filter(Status!$C:$C,Status!$A:$A=$A190),CONCATENATE(AF$2,""*""))&gt;0,countif(filter(Status!$C:$C,Status!$A:$A=$A190),CONCATENATE(AF$2,""*"")),"""")"),"")</f>
        <v/>
      </c>
      <c r="AG190" s="23" t="str">
        <f>IFERROR(__xludf.DUMMYFUNCTION("if(countif(filter(Status!$C:$C,Status!$A:$A=$A190),CONCATENATE(AG$2,""*""))&gt;0,countif(filter(Status!$C:$C,Status!$A:$A=$A190),CONCATENATE(AG$2,""*"")),"""")"),"")</f>
        <v/>
      </c>
      <c r="AH190" s="23" t="str">
        <f>IFERROR(__xludf.DUMMYFUNCTION("if(countif(filter(Status!$C:$C,Status!$A:$A=$A190),CONCATENATE(AH$2,""*""))&gt;0,countif(filter(Status!$C:$C,Status!$A:$A=$A190),CONCATENATE(AH$2,""*"")),"""")"),"")</f>
        <v/>
      </c>
      <c r="AI190" s="23" t="str">
        <f>IFERROR(__xludf.DUMMYFUNCTION("if(countif(filter(Status!$C:$C,Status!$A:$A=$A190),CONCATENATE(AI$2,""*""))&gt;0,countif(filter(Status!$C:$C,Status!$A:$A=$A190),CONCATENATE(AI$2,""*"")),"""")"),"")</f>
        <v/>
      </c>
      <c r="AJ190" s="23" t="str">
        <f>IFERROR(__xludf.DUMMYFUNCTION("if(countif(filter(Status!$C:$C,Status!$A:$A=$A190),CONCATENATE(AJ$2,""*""))&gt;0,countif(filter(Status!$C:$C,Status!$A:$A=$A190),CONCATENATE(AJ$2,""*"")),"""")"),"")</f>
        <v/>
      </c>
      <c r="AK190" s="23" t="str">
        <f>IFERROR(__xludf.DUMMYFUNCTION("if(countif(filter(Status!$C:$C,Status!$A:$A=$A190),CONCATENATE(AK$2,""*""))&gt;0,countif(filter(Status!$C:$C,Status!$A:$A=$A190),CONCATENATE(AK$2,""*"")),"""")"),"")</f>
        <v/>
      </c>
      <c r="AL190" s="23" t="str">
        <f>IFERROR(__xludf.DUMMYFUNCTION("if(countif(filter(Status!$C:$C,Status!$A:$A=$A190),CONCATENATE(AL$2,""*""))&gt;0,countif(filter(Status!$C:$C,Status!$A:$A=$A190),CONCATENATE(AL$2,""*"")),"""")"),"")</f>
        <v/>
      </c>
      <c r="AM190" s="23" t="str">
        <f>IFERROR(__xludf.DUMMYFUNCTION("if(countif(filter(Status!$C:$C,Status!$A:$A=$A190),CONCATENATE(AM$2,""*""))&gt;0,countif(filter(Status!$C:$C,Status!$A:$A=$A190),CONCATENATE(AM$2,""*"")),"""")"),"")</f>
        <v/>
      </c>
      <c r="AN190" s="23" t="str">
        <f>IFERROR(__xludf.DUMMYFUNCTION("if(countif(filter(Status!$C:$C,Status!$A:$A=$A190),CONCATENATE(AN$2,""*""))&gt;0,countif(filter(Status!$C:$C,Status!$A:$A=$A190),CONCATENATE(AN$2,""*"")),"""")"),"")</f>
        <v/>
      </c>
      <c r="AO190" s="23" t="str">
        <f>IFERROR(__xludf.DUMMYFUNCTION("if(countif(filter(Status!$C:$C,Status!$A:$A=$A190),CONCATENATE(AO$2,""*""))&gt;0,countif(filter(Status!$C:$C,Status!$A:$A=$A190),CONCATENATE(AO$2,""*"")),"""")"),"")</f>
        <v/>
      </c>
      <c r="AP190" s="23">
        <f>IFERROR(__xludf.DUMMYFUNCTION("counta(iferror(filter(Status!C:C,Status!A:A=A190)))"),0.0)</f>
        <v>0</v>
      </c>
      <c r="AQ190" s="23">
        <f t="shared" si="6"/>
        <v>0</v>
      </c>
    </row>
    <row r="191">
      <c r="A191" s="1" t="s">
        <v>1270</v>
      </c>
      <c r="B191" s="25" t="str">
        <f>IFERROR(__xludf.DUMMYFUNCTION("max(filter(Status!E:E,Status!A:A=A191))"),"#N/A")</f>
        <v>#N/A</v>
      </c>
      <c r="C191" s="23" t="str">
        <f t="shared" si="1"/>
        <v/>
      </c>
      <c r="D191" s="23" t="str">
        <f t="shared" si="2"/>
        <v/>
      </c>
      <c r="E191" s="23" t="str">
        <f t="shared" si="3"/>
        <v/>
      </c>
      <c r="F191" s="23" t="str">
        <f t="shared" si="4"/>
        <v/>
      </c>
      <c r="G191" s="25" t="str">
        <f t="shared" si="5"/>
        <v/>
      </c>
      <c r="J191" s="23">
        <f>IFERROR(__xludf.DUMMYFUNCTION("COUNTA(iferror(filter(Status!H:H,Status!A:A=A191)))"),0.0)</f>
        <v>0</v>
      </c>
      <c r="K191" s="25">
        <f>IFERROR(__xludf.DUMMYFUNCTION("COUNTA(iferror(filter(Status!H:H,Status!A:A=A191,Status!H:H=TRUE)))"),0.0)</f>
        <v>0</v>
      </c>
      <c r="L191" s="23">
        <f>IFERROR(__xludf.DUMMYFUNCTION("COUNTA(iferror(filter(Status!L:L,Status!A:A=A191)))"),0.0)</f>
        <v>0</v>
      </c>
      <c r="M191" s="25">
        <f>IFERROR(__xludf.DUMMYFUNCTION("COUNTA(iferror(filter(Status!L:L,Status!A:A=A191,Status!L:L=TRUE)))"),0.0)</f>
        <v>0</v>
      </c>
      <c r="N191" s="23">
        <f>IFERROR(__xludf.DUMMYFUNCTION("COUNTA(iferror(filter(Status!N:N,Status!A:A=A191,Status!N:N=TRUE)))"),0.0)</f>
        <v>0</v>
      </c>
      <c r="O191" s="25">
        <f>IFERROR(__xludf.DUMMYFUNCTION("COUNTA(iferror(filter(Status!N:N,Status!A:A=A191,Status!N:N=TRUE)))"),0.0)</f>
        <v>0</v>
      </c>
      <c r="P191" s="23">
        <f>IFERROR(__xludf.DUMMYFUNCTION("COUNTA(iferror(filter(Status!P:P,Status!A:A=A191)))"),0.0)</f>
        <v>0</v>
      </c>
      <c r="Q191" s="25">
        <f>IFERROR(__xludf.DUMMYFUNCTION("COUNTA(iferror(filter(Status!P:P,Status!A:A=A191,Status!P:P=TRUE)))"),0.0)</f>
        <v>0</v>
      </c>
      <c r="R191" s="23">
        <f>IFERROR(__xludf.DUMMYFUNCTION("COUNTA(iferror(filter(Status!R:R,Status!A:A=A191)))"),0.0)</f>
        <v>0</v>
      </c>
      <c r="S191" s="25">
        <f>IFERROR(__xludf.DUMMYFUNCTION("COUNTA(iferror(filter(Status!R:R,Status!A:A=A191,Status!R:R=TRUE)))"),0.0)</f>
        <v>0</v>
      </c>
      <c r="V191" s="23" t="str">
        <f>IFERROR(__xludf.DUMMYFUNCTION("if((countif(filter(Status!$C:$C,Status!$A:$A=$A191),CONCATENATE(V$2,""*""))-W191)&gt;0,(countif(filter(Status!$C:$C,Status!$A:$A=$A191),CONCATENATE(V$2,""*""))-W191),"""")"),"")</f>
        <v/>
      </c>
      <c r="W191" s="23" t="str">
        <f>IFERROR(__xludf.DUMMYFUNCTION("if(countif(filter(Status!$C:$C,Status!$A:$A=$A191),CONCATENATE(W$2,""*""))&gt;0,countif(filter(Status!$C:$C,Status!$A:$A=$A191),CONCATENATE(W$2,""*"")),"""")"),"")</f>
        <v/>
      </c>
      <c r="X191" s="23" t="str">
        <f>IFERROR(__xludf.DUMMYFUNCTION("if(countif(filter(Status!$C:$C,Status!$A:$A=$A191),CONCATENATE(X$2,""*""))&gt;0,countif(filter(Status!$C:$C,Status!$A:$A=$A191),CONCATENATE(X$2,""*"")),"""")"),"")</f>
        <v/>
      </c>
      <c r="Y191" s="23" t="str">
        <f>IFERROR(__xludf.DUMMYFUNCTION("if(countif(filter(Status!$C:$C,Status!$A:$A=$A191),CONCATENATE(Y$2,""*""))&gt;0,countif(filter(Status!$C:$C,Status!$A:$A=$A191),CONCATENATE(Y$2,""*"")),"""")"),"")</f>
        <v/>
      </c>
      <c r="Z191" s="23" t="str">
        <f>IFERROR(__xludf.DUMMYFUNCTION("if(countif(filter(Status!$C:$C,Status!$A:$A=$A191),CONCATENATE(Z$2,""*""))&gt;0,countif(filter(Status!$C:$C,Status!$A:$A=$A191),CONCATENATE(Z$2,""*"")),"""")"),"")</f>
        <v/>
      </c>
      <c r="AA191" s="23" t="str">
        <f>IFERROR(__xludf.DUMMYFUNCTION("if((countif(filter(Status!$C:$C,Status!$A:$A=$A191),CONCATENATE(AA$2,""*""))-AB191)&gt;0,(countif(filter(Status!$C:$C,Status!$A:$A=$A191),CONCATENATE(AA$2,""*""))-AB191),"""")"),"")</f>
        <v/>
      </c>
      <c r="AB191" s="23" t="str">
        <f>IFERROR(__xludf.DUMMYFUNCTION("if(countif(filter(Status!$C:$C,Status!$A:$A=$A191),CONCATENATE(AB$2,""*""))&gt;0,countif(filter(Status!$C:$C,Status!$A:$A=$A191),CONCATENATE(AB$2,""*"")),"""")"),"")</f>
        <v/>
      </c>
      <c r="AC191" s="23" t="str">
        <f>IFERROR(__xludf.DUMMYFUNCTION("if(countif(filter(Status!$C:$C,Status!$A:$A=$A191),CONCATENATE(AC$2,""*""))&gt;0,countif(filter(Status!$C:$C,Status!$A:$A=$A191),CONCATENATE(AC$2,""*"")),"""")"),"")</f>
        <v/>
      </c>
      <c r="AD191" s="23" t="str">
        <f>IFERROR(__xludf.DUMMYFUNCTION("if(countif(filter(Status!$C:$C,Status!$A:$A=$A191),CONCATENATE(AD$2,""*""))&gt;0,countif(filter(Status!$C:$C,Status!$A:$A=$A191),CONCATENATE(AD$2,""*"")),"""")"),"")</f>
        <v/>
      </c>
      <c r="AE191" s="23" t="str">
        <f>IFERROR(__xludf.DUMMYFUNCTION("if(countif(filter(Status!$C:$C,Status!$A:$A=$A191),CONCATENATE(AE$2,""*""))&gt;0,countif(filter(Status!$C:$C,Status!$A:$A=$A191),CONCATENATE(AE$2,""*"")),"""")"),"")</f>
        <v/>
      </c>
      <c r="AF191" s="23" t="str">
        <f>IFERROR(__xludf.DUMMYFUNCTION("if(countif(filter(Status!$C:$C,Status!$A:$A=$A191),CONCATENATE(AF$2,""*""))&gt;0,countif(filter(Status!$C:$C,Status!$A:$A=$A191),CONCATENATE(AF$2,""*"")),"""")"),"")</f>
        <v/>
      </c>
      <c r="AG191" s="23" t="str">
        <f>IFERROR(__xludf.DUMMYFUNCTION("if(countif(filter(Status!$C:$C,Status!$A:$A=$A191),CONCATENATE(AG$2,""*""))&gt;0,countif(filter(Status!$C:$C,Status!$A:$A=$A191),CONCATENATE(AG$2,""*"")),"""")"),"")</f>
        <v/>
      </c>
      <c r="AH191" s="23" t="str">
        <f>IFERROR(__xludf.DUMMYFUNCTION("if(countif(filter(Status!$C:$C,Status!$A:$A=$A191),CONCATENATE(AH$2,""*""))&gt;0,countif(filter(Status!$C:$C,Status!$A:$A=$A191),CONCATENATE(AH$2,""*"")),"""")"),"")</f>
        <v/>
      </c>
      <c r="AI191" s="23" t="str">
        <f>IFERROR(__xludf.DUMMYFUNCTION("if(countif(filter(Status!$C:$C,Status!$A:$A=$A191),CONCATENATE(AI$2,""*""))&gt;0,countif(filter(Status!$C:$C,Status!$A:$A=$A191),CONCATENATE(AI$2,""*"")),"""")"),"")</f>
        <v/>
      </c>
      <c r="AJ191" s="23" t="str">
        <f>IFERROR(__xludf.DUMMYFUNCTION("if(countif(filter(Status!$C:$C,Status!$A:$A=$A191),CONCATENATE(AJ$2,""*""))&gt;0,countif(filter(Status!$C:$C,Status!$A:$A=$A191),CONCATENATE(AJ$2,""*"")),"""")"),"")</f>
        <v/>
      </c>
      <c r="AK191" s="23" t="str">
        <f>IFERROR(__xludf.DUMMYFUNCTION("if(countif(filter(Status!$C:$C,Status!$A:$A=$A191),CONCATENATE(AK$2,""*""))&gt;0,countif(filter(Status!$C:$C,Status!$A:$A=$A191),CONCATENATE(AK$2,""*"")),"""")"),"")</f>
        <v/>
      </c>
      <c r="AL191" s="23" t="str">
        <f>IFERROR(__xludf.DUMMYFUNCTION("if(countif(filter(Status!$C:$C,Status!$A:$A=$A191),CONCATENATE(AL$2,""*""))&gt;0,countif(filter(Status!$C:$C,Status!$A:$A=$A191),CONCATENATE(AL$2,""*"")),"""")"),"")</f>
        <v/>
      </c>
      <c r="AM191" s="23" t="str">
        <f>IFERROR(__xludf.DUMMYFUNCTION("if(countif(filter(Status!$C:$C,Status!$A:$A=$A191),CONCATENATE(AM$2,""*""))&gt;0,countif(filter(Status!$C:$C,Status!$A:$A=$A191),CONCATENATE(AM$2,""*"")),"""")"),"")</f>
        <v/>
      </c>
      <c r="AN191" s="23" t="str">
        <f>IFERROR(__xludf.DUMMYFUNCTION("if(countif(filter(Status!$C:$C,Status!$A:$A=$A191),CONCATENATE(AN$2,""*""))&gt;0,countif(filter(Status!$C:$C,Status!$A:$A=$A191),CONCATENATE(AN$2,""*"")),"""")"),"")</f>
        <v/>
      </c>
      <c r="AO191" s="23" t="str">
        <f>IFERROR(__xludf.DUMMYFUNCTION("if(countif(filter(Status!$C:$C,Status!$A:$A=$A191),CONCATENATE(AO$2,""*""))&gt;0,countif(filter(Status!$C:$C,Status!$A:$A=$A191),CONCATENATE(AO$2,""*"")),"""")"),"")</f>
        <v/>
      </c>
      <c r="AP191" s="23">
        <f>IFERROR(__xludf.DUMMYFUNCTION("counta(iferror(filter(Status!C:C,Status!A:A=A191)))"),0.0)</f>
        <v>0</v>
      </c>
      <c r="AQ191" s="23">
        <f t="shared" si="6"/>
        <v>0</v>
      </c>
    </row>
    <row r="192">
      <c r="A192" s="1" t="s">
        <v>1279</v>
      </c>
      <c r="B192" s="25" t="str">
        <f>IFERROR(__xludf.DUMMYFUNCTION("max(filter(Status!E:E,Status!A:A=A192))"),"#N/A")</f>
        <v>#N/A</v>
      </c>
      <c r="C192" s="23" t="str">
        <f t="shared" si="1"/>
        <v/>
      </c>
      <c r="D192" s="23" t="str">
        <f t="shared" si="2"/>
        <v/>
      </c>
      <c r="E192" s="23" t="str">
        <f t="shared" si="3"/>
        <v/>
      </c>
      <c r="F192" s="23" t="str">
        <f t="shared" si="4"/>
        <v/>
      </c>
      <c r="G192" s="25" t="str">
        <f t="shared" si="5"/>
        <v/>
      </c>
      <c r="J192" s="23">
        <f>IFERROR(__xludf.DUMMYFUNCTION("COUNTA(iferror(filter(Status!H:H,Status!A:A=A192)))"),0.0)</f>
        <v>0</v>
      </c>
      <c r="K192" s="25">
        <f>IFERROR(__xludf.DUMMYFUNCTION("COUNTA(iferror(filter(Status!H:H,Status!A:A=A192,Status!H:H=TRUE)))"),0.0)</f>
        <v>0</v>
      </c>
      <c r="L192" s="23">
        <f>IFERROR(__xludf.DUMMYFUNCTION("COUNTA(iferror(filter(Status!L:L,Status!A:A=A192)))"),0.0)</f>
        <v>0</v>
      </c>
      <c r="M192" s="25">
        <f>IFERROR(__xludf.DUMMYFUNCTION("COUNTA(iferror(filter(Status!L:L,Status!A:A=A192,Status!L:L=TRUE)))"),0.0)</f>
        <v>0</v>
      </c>
      <c r="N192" s="23">
        <f>IFERROR(__xludf.DUMMYFUNCTION("COUNTA(iferror(filter(Status!N:N,Status!A:A=A192,Status!N:N=TRUE)))"),0.0)</f>
        <v>0</v>
      </c>
      <c r="O192" s="25">
        <f>IFERROR(__xludf.DUMMYFUNCTION("COUNTA(iferror(filter(Status!N:N,Status!A:A=A192,Status!N:N=TRUE)))"),0.0)</f>
        <v>0</v>
      </c>
      <c r="P192" s="23">
        <f>IFERROR(__xludf.DUMMYFUNCTION("COUNTA(iferror(filter(Status!P:P,Status!A:A=A192)))"),0.0)</f>
        <v>0</v>
      </c>
      <c r="Q192" s="25">
        <f>IFERROR(__xludf.DUMMYFUNCTION("COUNTA(iferror(filter(Status!P:P,Status!A:A=A192,Status!P:P=TRUE)))"),0.0)</f>
        <v>0</v>
      </c>
      <c r="R192" s="23">
        <f>IFERROR(__xludf.DUMMYFUNCTION("COUNTA(iferror(filter(Status!R:R,Status!A:A=A192)))"),0.0)</f>
        <v>0</v>
      </c>
      <c r="S192" s="25">
        <f>IFERROR(__xludf.DUMMYFUNCTION("COUNTA(iferror(filter(Status!R:R,Status!A:A=A192,Status!R:R=TRUE)))"),0.0)</f>
        <v>0</v>
      </c>
      <c r="V192" s="23" t="str">
        <f>IFERROR(__xludf.DUMMYFUNCTION("if((countif(filter(Status!$C:$C,Status!$A:$A=$A192),CONCATENATE(V$2,""*""))-W192)&gt;0,(countif(filter(Status!$C:$C,Status!$A:$A=$A192),CONCATENATE(V$2,""*""))-W192),"""")"),"")</f>
        <v/>
      </c>
      <c r="W192" s="23" t="str">
        <f>IFERROR(__xludf.DUMMYFUNCTION("if(countif(filter(Status!$C:$C,Status!$A:$A=$A192),CONCATENATE(W$2,""*""))&gt;0,countif(filter(Status!$C:$C,Status!$A:$A=$A192),CONCATENATE(W$2,""*"")),"""")"),"")</f>
        <v/>
      </c>
      <c r="X192" s="23" t="str">
        <f>IFERROR(__xludf.DUMMYFUNCTION("if(countif(filter(Status!$C:$C,Status!$A:$A=$A192),CONCATENATE(X$2,""*""))&gt;0,countif(filter(Status!$C:$C,Status!$A:$A=$A192),CONCATENATE(X$2,""*"")),"""")"),"")</f>
        <v/>
      </c>
      <c r="Y192" s="23" t="str">
        <f>IFERROR(__xludf.DUMMYFUNCTION("if(countif(filter(Status!$C:$C,Status!$A:$A=$A192),CONCATENATE(Y$2,""*""))&gt;0,countif(filter(Status!$C:$C,Status!$A:$A=$A192),CONCATENATE(Y$2,""*"")),"""")"),"")</f>
        <v/>
      </c>
      <c r="Z192" s="23" t="str">
        <f>IFERROR(__xludf.DUMMYFUNCTION("if(countif(filter(Status!$C:$C,Status!$A:$A=$A192),CONCATENATE(Z$2,""*""))&gt;0,countif(filter(Status!$C:$C,Status!$A:$A=$A192),CONCATENATE(Z$2,""*"")),"""")"),"")</f>
        <v/>
      </c>
      <c r="AA192" s="23" t="str">
        <f>IFERROR(__xludf.DUMMYFUNCTION("if((countif(filter(Status!$C:$C,Status!$A:$A=$A192),CONCATENATE(AA$2,""*""))-AB192)&gt;0,(countif(filter(Status!$C:$C,Status!$A:$A=$A192),CONCATENATE(AA$2,""*""))-AB192),"""")"),"")</f>
        <v/>
      </c>
      <c r="AB192" s="23" t="str">
        <f>IFERROR(__xludf.DUMMYFUNCTION("if(countif(filter(Status!$C:$C,Status!$A:$A=$A192),CONCATENATE(AB$2,""*""))&gt;0,countif(filter(Status!$C:$C,Status!$A:$A=$A192),CONCATENATE(AB$2,""*"")),"""")"),"")</f>
        <v/>
      </c>
      <c r="AC192" s="23" t="str">
        <f>IFERROR(__xludf.DUMMYFUNCTION("if(countif(filter(Status!$C:$C,Status!$A:$A=$A192),CONCATENATE(AC$2,""*""))&gt;0,countif(filter(Status!$C:$C,Status!$A:$A=$A192),CONCATENATE(AC$2,""*"")),"""")"),"")</f>
        <v/>
      </c>
      <c r="AD192" s="23" t="str">
        <f>IFERROR(__xludf.DUMMYFUNCTION("if(countif(filter(Status!$C:$C,Status!$A:$A=$A192),CONCATENATE(AD$2,""*""))&gt;0,countif(filter(Status!$C:$C,Status!$A:$A=$A192),CONCATENATE(AD$2,""*"")),"""")"),"")</f>
        <v/>
      </c>
      <c r="AE192" s="23" t="str">
        <f>IFERROR(__xludf.DUMMYFUNCTION("if(countif(filter(Status!$C:$C,Status!$A:$A=$A192),CONCATENATE(AE$2,""*""))&gt;0,countif(filter(Status!$C:$C,Status!$A:$A=$A192),CONCATENATE(AE$2,""*"")),"""")"),"")</f>
        <v/>
      </c>
      <c r="AF192" s="23" t="str">
        <f>IFERROR(__xludf.DUMMYFUNCTION("if(countif(filter(Status!$C:$C,Status!$A:$A=$A192),CONCATENATE(AF$2,""*""))&gt;0,countif(filter(Status!$C:$C,Status!$A:$A=$A192),CONCATENATE(AF$2,""*"")),"""")"),"")</f>
        <v/>
      </c>
      <c r="AG192" s="23" t="str">
        <f>IFERROR(__xludf.DUMMYFUNCTION("if(countif(filter(Status!$C:$C,Status!$A:$A=$A192),CONCATENATE(AG$2,""*""))&gt;0,countif(filter(Status!$C:$C,Status!$A:$A=$A192),CONCATENATE(AG$2,""*"")),"""")"),"")</f>
        <v/>
      </c>
      <c r="AH192" s="23" t="str">
        <f>IFERROR(__xludf.DUMMYFUNCTION("if(countif(filter(Status!$C:$C,Status!$A:$A=$A192),CONCATENATE(AH$2,""*""))&gt;0,countif(filter(Status!$C:$C,Status!$A:$A=$A192),CONCATENATE(AH$2,""*"")),"""")"),"")</f>
        <v/>
      </c>
      <c r="AI192" s="23" t="str">
        <f>IFERROR(__xludf.DUMMYFUNCTION("if(countif(filter(Status!$C:$C,Status!$A:$A=$A192),CONCATENATE(AI$2,""*""))&gt;0,countif(filter(Status!$C:$C,Status!$A:$A=$A192),CONCATENATE(AI$2,""*"")),"""")"),"")</f>
        <v/>
      </c>
      <c r="AJ192" s="23" t="str">
        <f>IFERROR(__xludf.DUMMYFUNCTION("if(countif(filter(Status!$C:$C,Status!$A:$A=$A192),CONCATENATE(AJ$2,""*""))&gt;0,countif(filter(Status!$C:$C,Status!$A:$A=$A192),CONCATENATE(AJ$2,""*"")),"""")"),"")</f>
        <v/>
      </c>
      <c r="AK192" s="23" t="str">
        <f>IFERROR(__xludf.DUMMYFUNCTION("if(countif(filter(Status!$C:$C,Status!$A:$A=$A192),CONCATENATE(AK$2,""*""))&gt;0,countif(filter(Status!$C:$C,Status!$A:$A=$A192),CONCATENATE(AK$2,""*"")),"""")"),"")</f>
        <v/>
      </c>
      <c r="AL192" s="23" t="str">
        <f>IFERROR(__xludf.DUMMYFUNCTION("if(countif(filter(Status!$C:$C,Status!$A:$A=$A192),CONCATENATE(AL$2,""*""))&gt;0,countif(filter(Status!$C:$C,Status!$A:$A=$A192),CONCATENATE(AL$2,""*"")),"""")"),"")</f>
        <v/>
      </c>
      <c r="AM192" s="23" t="str">
        <f>IFERROR(__xludf.DUMMYFUNCTION("if(countif(filter(Status!$C:$C,Status!$A:$A=$A192),CONCATENATE(AM$2,""*""))&gt;0,countif(filter(Status!$C:$C,Status!$A:$A=$A192),CONCATENATE(AM$2,""*"")),"""")"),"")</f>
        <v/>
      </c>
      <c r="AN192" s="23" t="str">
        <f>IFERROR(__xludf.DUMMYFUNCTION("if(countif(filter(Status!$C:$C,Status!$A:$A=$A192),CONCATENATE(AN$2,""*""))&gt;0,countif(filter(Status!$C:$C,Status!$A:$A=$A192),CONCATENATE(AN$2,""*"")),"""")"),"")</f>
        <v/>
      </c>
      <c r="AO192" s="23" t="str">
        <f>IFERROR(__xludf.DUMMYFUNCTION("if(countif(filter(Status!$C:$C,Status!$A:$A=$A192),CONCATENATE(AO$2,""*""))&gt;0,countif(filter(Status!$C:$C,Status!$A:$A=$A192),CONCATENATE(AO$2,""*"")),"""")"),"")</f>
        <v/>
      </c>
      <c r="AP192" s="23">
        <f>IFERROR(__xludf.DUMMYFUNCTION("counta(iferror(filter(Status!C:C,Status!A:A=A192)))"),0.0)</f>
        <v>0</v>
      </c>
      <c r="AQ192" s="23">
        <f t="shared" si="6"/>
        <v>0</v>
      </c>
    </row>
    <row r="193">
      <c r="A193" s="1" t="s">
        <v>1282</v>
      </c>
      <c r="B193" s="25" t="str">
        <f>IFERROR(__xludf.DUMMYFUNCTION("max(filter(Status!E:E,Status!A:A=A193))"),"#N/A")</f>
        <v>#N/A</v>
      </c>
      <c r="C193" s="23" t="str">
        <f t="shared" si="1"/>
        <v/>
      </c>
      <c r="D193" s="23" t="str">
        <f t="shared" si="2"/>
        <v/>
      </c>
      <c r="E193" s="23" t="str">
        <f t="shared" si="3"/>
        <v/>
      </c>
      <c r="F193" s="23" t="str">
        <f t="shared" si="4"/>
        <v/>
      </c>
      <c r="G193" s="25" t="str">
        <f t="shared" si="5"/>
        <v/>
      </c>
      <c r="J193" s="23">
        <f>IFERROR(__xludf.DUMMYFUNCTION("COUNTA(iferror(filter(Status!H:H,Status!A:A=A193)))"),0.0)</f>
        <v>0</v>
      </c>
      <c r="K193" s="25">
        <f>IFERROR(__xludf.DUMMYFUNCTION("COUNTA(iferror(filter(Status!H:H,Status!A:A=A193,Status!H:H=TRUE)))"),0.0)</f>
        <v>0</v>
      </c>
      <c r="L193" s="23">
        <f>IFERROR(__xludf.DUMMYFUNCTION("COUNTA(iferror(filter(Status!L:L,Status!A:A=A193)))"),0.0)</f>
        <v>0</v>
      </c>
      <c r="M193" s="25">
        <f>IFERROR(__xludf.DUMMYFUNCTION("COUNTA(iferror(filter(Status!L:L,Status!A:A=A193,Status!L:L=TRUE)))"),0.0)</f>
        <v>0</v>
      </c>
      <c r="N193" s="23">
        <f>IFERROR(__xludf.DUMMYFUNCTION("COUNTA(iferror(filter(Status!N:N,Status!A:A=A193,Status!N:N=TRUE)))"),0.0)</f>
        <v>0</v>
      </c>
      <c r="O193" s="25">
        <f>IFERROR(__xludf.DUMMYFUNCTION("COUNTA(iferror(filter(Status!N:N,Status!A:A=A193,Status!N:N=TRUE)))"),0.0)</f>
        <v>0</v>
      </c>
      <c r="P193" s="23">
        <f>IFERROR(__xludf.DUMMYFUNCTION("COUNTA(iferror(filter(Status!P:P,Status!A:A=A193)))"),0.0)</f>
        <v>0</v>
      </c>
      <c r="Q193" s="25">
        <f>IFERROR(__xludf.DUMMYFUNCTION("COUNTA(iferror(filter(Status!P:P,Status!A:A=A193,Status!P:P=TRUE)))"),0.0)</f>
        <v>0</v>
      </c>
      <c r="R193" s="23">
        <f>IFERROR(__xludf.DUMMYFUNCTION("COUNTA(iferror(filter(Status!R:R,Status!A:A=A193)))"),0.0)</f>
        <v>0</v>
      </c>
      <c r="S193" s="25">
        <f>IFERROR(__xludf.DUMMYFUNCTION("COUNTA(iferror(filter(Status!R:R,Status!A:A=A193,Status!R:R=TRUE)))"),0.0)</f>
        <v>0</v>
      </c>
      <c r="V193" s="23" t="str">
        <f>IFERROR(__xludf.DUMMYFUNCTION("if((countif(filter(Status!$C:$C,Status!$A:$A=$A193),CONCATENATE(V$2,""*""))-W193)&gt;0,(countif(filter(Status!$C:$C,Status!$A:$A=$A193),CONCATENATE(V$2,""*""))-W193),"""")"),"")</f>
        <v/>
      </c>
      <c r="W193" s="23" t="str">
        <f>IFERROR(__xludf.DUMMYFUNCTION("if(countif(filter(Status!$C:$C,Status!$A:$A=$A193),CONCATENATE(W$2,""*""))&gt;0,countif(filter(Status!$C:$C,Status!$A:$A=$A193),CONCATENATE(W$2,""*"")),"""")"),"")</f>
        <v/>
      </c>
      <c r="X193" s="23" t="str">
        <f>IFERROR(__xludf.DUMMYFUNCTION("if(countif(filter(Status!$C:$C,Status!$A:$A=$A193),CONCATENATE(X$2,""*""))&gt;0,countif(filter(Status!$C:$C,Status!$A:$A=$A193),CONCATENATE(X$2,""*"")),"""")"),"")</f>
        <v/>
      </c>
      <c r="Y193" s="23" t="str">
        <f>IFERROR(__xludf.DUMMYFUNCTION("if(countif(filter(Status!$C:$C,Status!$A:$A=$A193),CONCATENATE(Y$2,""*""))&gt;0,countif(filter(Status!$C:$C,Status!$A:$A=$A193),CONCATENATE(Y$2,""*"")),"""")"),"")</f>
        <v/>
      </c>
      <c r="Z193" s="23" t="str">
        <f>IFERROR(__xludf.DUMMYFUNCTION("if(countif(filter(Status!$C:$C,Status!$A:$A=$A193),CONCATENATE(Z$2,""*""))&gt;0,countif(filter(Status!$C:$C,Status!$A:$A=$A193),CONCATENATE(Z$2,""*"")),"""")"),"")</f>
        <v/>
      </c>
      <c r="AA193" s="23" t="str">
        <f>IFERROR(__xludf.DUMMYFUNCTION("if((countif(filter(Status!$C:$C,Status!$A:$A=$A193),CONCATENATE(AA$2,""*""))-AB193)&gt;0,(countif(filter(Status!$C:$C,Status!$A:$A=$A193),CONCATENATE(AA$2,""*""))-AB193),"""")"),"")</f>
        <v/>
      </c>
      <c r="AB193" s="23" t="str">
        <f>IFERROR(__xludf.DUMMYFUNCTION("if(countif(filter(Status!$C:$C,Status!$A:$A=$A193),CONCATENATE(AB$2,""*""))&gt;0,countif(filter(Status!$C:$C,Status!$A:$A=$A193),CONCATENATE(AB$2,""*"")),"""")"),"")</f>
        <v/>
      </c>
      <c r="AC193" s="23" t="str">
        <f>IFERROR(__xludf.DUMMYFUNCTION("if(countif(filter(Status!$C:$C,Status!$A:$A=$A193),CONCATENATE(AC$2,""*""))&gt;0,countif(filter(Status!$C:$C,Status!$A:$A=$A193),CONCATENATE(AC$2,""*"")),"""")"),"")</f>
        <v/>
      </c>
      <c r="AD193" s="23" t="str">
        <f>IFERROR(__xludf.DUMMYFUNCTION("if(countif(filter(Status!$C:$C,Status!$A:$A=$A193),CONCATENATE(AD$2,""*""))&gt;0,countif(filter(Status!$C:$C,Status!$A:$A=$A193),CONCATENATE(AD$2,""*"")),"""")"),"")</f>
        <v/>
      </c>
      <c r="AE193" s="23" t="str">
        <f>IFERROR(__xludf.DUMMYFUNCTION("if(countif(filter(Status!$C:$C,Status!$A:$A=$A193),CONCATENATE(AE$2,""*""))&gt;0,countif(filter(Status!$C:$C,Status!$A:$A=$A193),CONCATENATE(AE$2,""*"")),"""")"),"")</f>
        <v/>
      </c>
      <c r="AF193" s="23" t="str">
        <f>IFERROR(__xludf.DUMMYFUNCTION("if(countif(filter(Status!$C:$C,Status!$A:$A=$A193),CONCATENATE(AF$2,""*""))&gt;0,countif(filter(Status!$C:$C,Status!$A:$A=$A193),CONCATENATE(AF$2,""*"")),"""")"),"")</f>
        <v/>
      </c>
      <c r="AG193" s="23" t="str">
        <f>IFERROR(__xludf.DUMMYFUNCTION("if(countif(filter(Status!$C:$C,Status!$A:$A=$A193),CONCATENATE(AG$2,""*""))&gt;0,countif(filter(Status!$C:$C,Status!$A:$A=$A193),CONCATENATE(AG$2,""*"")),"""")"),"")</f>
        <v/>
      </c>
      <c r="AH193" s="23" t="str">
        <f>IFERROR(__xludf.DUMMYFUNCTION("if(countif(filter(Status!$C:$C,Status!$A:$A=$A193),CONCATENATE(AH$2,""*""))&gt;0,countif(filter(Status!$C:$C,Status!$A:$A=$A193),CONCATENATE(AH$2,""*"")),"""")"),"")</f>
        <v/>
      </c>
      <c r="AI193" s="23" t="str">
        <f>IFERROR(__xludf.DUMMYFUNCTION("if(countif(filter(Status!$C:$C,Status!$A:$A=$A193),CONCATENATE(AI$2,""*""))&gt;0,countif(filter(Status!$C:$C,Status!$A:$A=$A193),CONCATENATE(AI$2,""*"")),"""")"),"")</f>
        <v/>
      </c>
      <c r="AJ193" s="23" t="str">
        <f>IFERROR(__xludf.DUMMYFUNCTION("if(countif(filter(Status!$C:$C,Status!$A:$A=$A193),CONCATENATE(AJ$2,""*""))&gt;0,countif(filter(Status!$C:$C,Status!$A:$A=$A193),CONCATENATE(AJ$2,""*"")),"""")"),"")</f>
        <v/>
      </c>
      <c r="AK193" s="23" t="str">
        <f>IFERROR(__xludf.DUMMYFUNCTION("if(countif(filter(Status!$C:$C,Status!$A:$A=$A193),CONCATENATE(AK$2,""*""))&gt;0,countif(filter(Status!$C:$C,Status!$A:$A=$A193),CONCATENATE(AK$2,""*"")),"""")"),"")</f>
        <v/>
      </c>
      <c r="AL193" s="23" t="str">
        <f>IFERROR(__xludf.DUMMYFUNCTION("if(countif(filter(Status!$C:$C,Status!$A:$A=$A193),CONCATENATE(AL$2,""*""))&gt;0,countif(filter(Status!$C:$C,Status!$A:$A=$A193),CONCATENATE(AL$2,""*"")),"""")"),"")</f>
        <v/>
      </c>
      <c r="AM193" s="23" t="str">
        <f>IFERROR(__xludf.DUMMYFUNCTION("if(countif(filter(Status!$C:$C,Status!$A:$A=$A193),CONCATENATE(AM$2,""*""))&gt;0,countif(filter(Status!$C:$C,Status!$A:$A=$A193),CONCATENATE(AM$2,""*"")),"""")"),"")</f>
        <v/>
      </c>
      <c r="AN193" s="23" t="str">
        <f>IFERROR(__xludf.DUMMYFUNCTION("if(countif(filter(Status!$C:$C,Status!$A:$A=$A193),CONCATENATE(AN$2,""*""))&gt;0,countif(filter(Status!$C:$C,Status!$A:$A=$A193),CONCATENATE(AN$2,""*"")),"""")"),"")</f>
        <v/>
      </c>
      <c r="AO193" s="23" t="str">
        <f>IFERROR(__xludf.DUMMYFUNCTION("if(countif(filter(Status!$C:$C,Status!$A:$A=$A193),CONCATENATE(AO$2,""*""))&gt;0,countif(filter(Status!$C:$C,Status!$A:$A=$A193),CONCATENATE(AO$2,""*"")),"""")"),"")</f>
        <v/>
      </c>
      <c r="AP193" s="23">
        <f>IFERROR(__xludf.DUMMYFUNCTION("counta(iferror(filter(Status!C:C,Status!A:A=A193)))"),0.0)</f>
        <v>0</v>
      </c>
      <c r="AQ193" s="23">
        <f t="shared" si="6"/>
        <v>0</v>
      </c>
    </row>
    <row r="194">
      <c r="A194" s="1" t="s">
        <v>1283</v>
      </c>
      <c r="B194" s="25" t="str">
        <f>IFERROR(__xludf.DUMMYFUNCTION("max(filter(Status!E:E,Status!A:A=A194))"),"#N/A")</f>
        <v>#N/A</v>
      </c>
      <c r="C194" s="23" t="str">
        <f t="shared" si="1"/>
        <v/>
      </c>
      <c r="D194" s="23" t="str">
        <f t="shared" si="2"/>
        <v/>
      </c>
      <c r="E194" s="23" t="str">
        <f t="shared" si="3"/>
        <v/>
      </c>
      <c r="F194" s="23" t="str">
        <f t="shared" si="4"/>
        <v/>
      </c>
      <c r="G194" s="25" t="str">
        <f t="shared" si="5"/>
        <v/>
      </c>
      <c r="J194" s="23">
        <f>IFERROR(__xludf.DUMMYFUNCTION("COUNTA(iferror(filter(Status!H:H,Status!A:A=A194)))"),0.0)</f>
        <v>0</v>
      </c>
      <c r="K194" s="25">
        <f>IFERROR(__xludf.DUMMYFUNCTION("COUNTA(iferror(filter(Status!H:H,Status!A:A=A194,Status!H:H=TRUE)))"),0.0)</f>
        <v>0</v>
      </c>
      <c r="L194" s="23">
        <f>IFERROR(__xludf.DUMMYFUNCTION("COUNTA(iferror(filter(Status!L:L,Status!A:A=A194)))"),0.0)</f>
        <v>0</v>
      </c>
      <c r="M194" s="25">
        <f>IFERROR(__xludf.DUMMYFUNCTION("COUNTA(iferror(filter(Status!L:L,Status!A:A=A194,Status!L:L=TRUE)))"),0.0)</f>
        <v>0</v>
      </c>
      <c r="N194" s="23">
        <f>IFERROR(__xludf.DUMMYFUNCTION("COUNTA(iferror(filter(Status!N:N,Status!A:A=A194,Status!N:N=TRUE)))"),0.0)</f>
        <v>0</v>
      </c>
      <c r="O194" s="25">
        <f>IFERROR(__xludf.DUMMYFUNCTION("COUNTA(iferror(filter(Status!N:N,Status!A:A=A194,Status!N:N=TRUE)))"),0.0)</f>
        <v>0</v>
      </c>
      <c r="P194" s="23">
        <f>IFERROR(__xludf.DUMMYFUNCTION("COUNTA(iferror(filter(Status!P:P,Status!A:A=A194)))"),0.0)</f>
        <v>0</v>
      </c>
      <c r="Q194" s="25">
        <f>IFERROR(__xludf.DUMMYFUNCTION("COUNTA(iferror(filter(Status!P:P,Status!A:A=A194,Status!P:P=TRUE)))"),0.0)</f>
        <v>0</v>
      </c>
      <c r="R194" s="23">
        <f>IFERROR(__xludf.DUMMYFUNCTION("COUNTA(iferror(filter(Status!R:R,Status!A:A=A194)))"),0.0)</f>
        <v>0</v>
      </c>
      <c r="S194" s="25">
        <f>IFERROR(__xludf.DUMMYFUNCTION("COUNTA(iferror(filter(Status!R:R,Status!A:A=A194,Status!R:R=TRUE)))"),0.0)</f>
        <v>0</v>
      </c>
      <c r="V194" s="23" t="str">
        <f>IFERROR(__xludf.DUMMYFUNCTION("if((countif(filter(Status!$C:$C,Status!$A:$A=$A194),CONCATENATE(V$2,""*""))-W194)&gt;0,(countif(filter(Status!$C:$C,Status!$A:$A=$A194),CONCATENATE(V$2,""*""))-W194),"""")"),"")</f>
        <v/>
      </c>
      <c r="W194" s="23" t="str">
        <f>IFERROR(__xludf.DUMMYFUNCTION("if(countif(filter(Status!$C:$C,Status!$A:$A=$A194),CONCATENATE(W$2,""*""))&gt;0,countif(filter(Status!$C:$C,Status!$A:$A=$A194),CONCATENATE(W$2,""*"")),"""")"),"")</f>
        <v/>
      </c>
      <c r="X194" s="23" t="str">
        <f>IFERROR(__xludf.DUMMYFUNCTION("if(countif(filter(Status!$C:$C,Status!$A:$A=$A194),CONCATENATE(X$2,""*""))&gt;0,countif(filter(Status!$C:$C,Status!$A:$A=$A194),CONCATENATE(X$2,""*"")),"""")"),"")</f>
        <v/>
      </c>
      <c r="Y194" s="23" t="str">
        <f>IFERROR(__xludf.DUMMYFUNCTION("if(countif(filter(Status!$C:$C,Status!$A:$A=$A194),CONCATENATE(Y$2,""*""))&gt;0,countif(filter(Status!$C:$C,Status!$A:$A=$A194),CONCATENATE(Y$2,""*"")),"""")"),"")</f>
        <v/>
      </c>
      <c r="Z194" s="23" t="str">
        <f>IFERROR(__xludf.DUMMYFUNCTION("if(countif(filter(Status!$C:$C,Status!$A:$A=$A194),CONCATENATE(Z$2,""*""))&gt;0,countif(filter(Status!$C:$C,Status!$A:$A=$A194),CONCATENATE(Z$2,""*"")),"""")"),"")</f>
        <v/>
      </c>
      <c r="AA194" s="23" t="str">
        <f>IFERROR(__xludf.DUMMYFUNCTION("if((countif(filter(Status!$C:$C,Status!$A:$A=$A194),CONCATENATE(AA$2,""*""))-AB194)&gt;0,(countif(filter(Status!$C:$C,Status!$A:$A=$A194),CONCATENATE(AA$2,""*""))-AB194),"""")"),"")</f>
        <v/>
      </c>
      <c r="AB194" s="23" t="str">
        <f>IFERROR(__xludf.DUMMYFUNCTION("if(countif(filter(Status!$C:$C,Status!$A:$A=$A194),CONCATENATE(AB$2,""*""))&gt;0,countif(filter(Status!$C:$C,Status!$A:$A=$A194),CONCATENATE(AB$2,""*"")),"""")"),"")</f>
        <v/>
      </c>
      <c r="AC194" s="23" t="str">
        <f>IFERROR(__xludf.DUMMYFUNCTION("if(countif(filter(Status!$C:$C,Status!$A:$A=$A194),CONCATENATE(AC$2,""*""))&gt;0,countif(filter(Status!$C:$C,Status!$A:$A=$A194),CONCATENATE(AC$2,""*"")),"""")"),"")</f>
        <v/>
      </c>
      <c r="AD194" s="23" t="str">
        <f>IFERROR(__xludf.DUMMYFUNCTION("if(countif(filter(Status!$C:$C,Status!$A:$A=$A194),CONCATENATE(AD$2,""*""))&gt;0,countif(filter(Status!$C:$C,Status!$A:$A=$A194),CONCATENATE(AD$2,""*"")),"""")"),"")</f>
        <v/>
      </c>
      <c r="AE194" s="23" t="str">
        <f>IFERROR(__xludf.DUMMYFUNCTION("if(countif(filter(Status!$C:$C,Status!$A:$A=$A194),CONCATENATE(AE$2,""*""))&gt;0,countif(filter(Status!$C:$C,Status!$A:$A=$A194),CONCATENATE(AE$2,""*"")),"""")"),"")</f>
        <v/>
      </c>
      <c r="AF194" s="23" t="str">
        <f>IFERROR(__xludf.DUMMYFUNCTION("if(countif(filter(Status!$C:$C,Status!$A:$A=$A194),CONCATENATE(AF$2,""*""))&gt;0,countif(filter(Status!$C:$C,Status!$A:$A=$A194),CONCATENATE(AF$2,""*"")),"""")"),"")</f>
        <v/>
      </c>
      <c r="AG194" s="23" t="str">
        <f>IFERROR(__xludf.DUMMYFUNCTION("if(countif(filter(Status!$C:$C,Status!$A:$A=$A194),CONCATENATE(AG$2,""*""))&gt;0,countif(filter(Status!$C:$C,Status!$A:$A=$A194),CONCATENATE(AG$2,""*"")),"""")"),"")</f>
        <v/>
      </c>
      <c r="AH194" s="23" t="str">
        <f>IFERROR(__xludf.DUMMYFUNCTION("if(countif(filter(Status!$C:$C,Status!$A:$A=$A194),CONCATENATE(AH$2,""*""))&gt;0,countif(filter(Status!$C:$C,Status!$A:$A=$A194),CONCATENATE(AH$2,""*"")),"""")"),"")</f>
        <v/>
      </c>
      <c r="AI194" s="23" t="str">
        <f>IFERROR(__xludf.DUMMYFUNCTION("if(countif(filter(Status!$C:$C,Status!$A:$A=$A194),CONCATENATE(AI$2,""*""))&gt;0,countif(filter(Status!$C:$C,Status!$A:$A=$A194),CONCATENATE(AI$2,""*"")),"""")"),"")</f>
        <v/>
      </c>
      <c r="AJ194" s="23" t="str">
        <f>IFERROR(__xludf.DUMMYFUNCTION("if(countif(filter(Status!$C:$C,Status!$A:$A=$A194),CONCATENATE(AJ$2,""*""))&gt;0,countif(filter(Status!$C:$C,Status!$A:$A=$A194),CONCATENATE(AJ$2,""*"")),"""")"),"")</f>
        <v/>
      </c>
      <c r="AK194" s="23" t="str">
        <f>IFERROR(__xludf.DUMMYFUNCTION("if(countif(filter(Status!$C:$C,Status!$A:$A=$A194),CONCATENATE(AK$2,""*""))&gt;0,countif(filter(Status!$C:$C,Status!$A:$A=$A194),CONCATENATE(AK$2,""*"")),"""")"),"")</f>
        <v/>
      </c>
      <c r="AL194" s="23" t="str">
        <f>IFERROR(__xludf.DUMMYFUNCTION("if(countif(filter(Status!$C:$C,Status!$A:$A=$A194),CONCATENATE(AL$2,""*""))&gt;0,countif(filter(Status!$C:$C,Status!$A:$A=$A194),CONCATENATE(AL$2,""*"")),"""")"),"")</f>
        <v/>
      </c>
      <c r="AM194" s="23" t="str">
        <f>IFERROR(__xludf.DUMMYFUNCTION("if(countif(filter(Status!$C:$C,Status!$A:$A=$A194),CONCATENATE(AM$2,""*""))&gt;0,countif(filter(Status!$C:$C,Status!$A:$A=$A194),CONCATENATE(AM$2,""*"")),"""")"),"")</f>
        <v/>
      </c>
      <c r="AN194" s="23" t="str">
        <f>IFERROR(__xludf.DUMMYFUNCTION("if(countif(filter(Status!$C:$C,Status!$A:$A=$A194),CONCATENATE(AN$2,""*""))&gt;0,countif(filter(Status!$C:$C,Status!$A:$A=$A194),CONCATENATE(AN$2,""*"")),"""")"),"")</f>
        <v/>
      </c>
      <c r="AO194" s="23" t="str">
        <f>IFERROR(__xludf.DUMMYFUNCTION("if(countif(filter(Status!$C:$C,Status!$A:$A=$A194),CONCATENATE(AO$2,""*""))&gt;0,countif(filter(Status!$C:$C,Status!$A:$A=$A194),CONCATENATE(AO$2,""*"")),"""")"),"")</f>
        <v/>
      </c>
      <c r="AP194" s="23">
        <f>IFERROR(__xludf.DUMMYFUNCTION("counta(iferror(filter(Status!C:C,Status!A:A=A194)))"),0.0)</f>
        <v>0</v>
      </c>
      <c r="AQ194" s="23">
        <f t="shared" si="6"/>
        <v>0</v>
      </c>
    </row>
    <row r="195">
      <c r="A195" s="1" t="s">
        <v>1287</v>
      </c>
      <c r="B195" s="25" t="str">
        <f>IFERROR(__xludf.DUMMYFUNCTION("max(filter(Status!E:E,Status!A:A=A195))"),"#N/A")</f>
        <v>#N/A</v>
      </c>
      <c r="C195" s="23" t="str">
        <f t="shared" si="1"/>
        <v/>
      </c>
      <c r="D195" s="23" t="str">
        <f t="shared" si="2"/>
        <v/>
      </c>
      <c r="E195" s="23" t="str">
        <f t="shared" si="3"/>
        <v/>
      </c>
      <c r="F195" s="23" t="str">
        <f t="shared" si="4"/>
        <v/>
      </c>
      <c r="G195" s="25" t="str">
        <f t="shared" si="5"/>
        <v/>
      </c>
      <c r="J195" s="23">
        <f>IFERROR(__xludf.DUMMYFUNCTION("COUNTA(iferror(filter(Status!H:H,Status!A:A=A195)))"),0.0)</f>
        <v>0</v>
      </c>
      <c r="K195" s="25">
        <f>IFERROR(__xludf.DUMMYFUNCTION("COUNTA(iferror(filter(Status!H:H,Status!A:A=A195,Status!H:H=TRUE)))"),0.0)</f>
        <v>0</v>
      </c>
      <c r="L195" s="23">
        <f>IFERROR(__xludf.DUMMYFUNCTION("COUNTA(iferror(filter(Status!L:L,Status!A:A=A195)))"),0.0)</f>
        <v>0</v>
      </c>
      <c r="M195" s="25">
        <f>IFERROR(__xludf.DUMMYFUNCTION("COUNTA(iferror(filter(Status!L:L,Status!A:A=A195,Status!L:L=TRUE)))"),0.0)</f>
        <v>0</v>
      </c>
      <c r="N195" s="23">
        <f>IFERROR(__xludf.DUMMYFUNCTION("COUNTA(iferror(filter(Status!N:N,Status!A:A=A195,Status!N:N=TRUE)))"),0.0)</f>
        <v>0</v>
      </c>
      <c r="O195" s="25">
        <f>IFERROR(__xludf.DUMMYFUNCTION("COUNTA(iferror(filter(Status!N:N,Status!A:A=A195,Status!N:N=TRUE)))"),0.0)</f>
        <v>0</v>
      </c>
      <c r="P195" s="23">
        <f>IFERROR(__xludf.DUMMYFUNCTION("COUNTA(iferror(filter(Status!P:P,Status!A:A=A195)))"),0.0)</f>
        <v>0</v>
      </c>
      <c r="Q195" s="25">
        <f>IFERROR(__xludf.DUMMYFUNCTION("COUNTA(iferror(filter(Status!P:P,Status!A:A=A195,Status!P:P=TRUE)))"),0.0)</f>
        <v>0</v>
      </c>
      <c r="R195" s="23">
        <f>IFERROR(__xludf.DUMMYFUNCTION("COUNTA(iferror(filter(Status!R:R,Status!A:A=A195)))"),0.0)</f>
        <v>0</v>
      </c>
      <c r="S195" s="25">
        <f>IFERROR(__xludf.DUMMYFUNCTION("COUNTA(iferror(filter(Status!R:R,Status!A:A=A195,Status!R:R=TRUE)))"),0.0)</f>
        <v>0</v>
      </c>
      <c r="V195" s="23" t="str">
        <f>IFERROR(__xludf.DUMMYFUNCTION("if((countif(filter(Status!$C:$C,Status!$A:$A=$A195),CONCATENATE(V$2,""*""))-W195)&gt;0,(countif(filter(Status!$C:$C,Status!$A:$A=$A195),CONCATENATE(V$2,""*""))-W195),"""")"),"")</f>
        <v/>
      </c>
      <c r="W195" s="23" t="str">
        <f>IFERROR(__xludf.DUMMYFUNCTION("if(countif(filter(Status!$C:$C,Status!$A:$A=$A195),CONCATENATE(W$2,""*""))&gt;0,countif(filter(Status!$C:$C,Status!$A:$A=$A195),CONCATENATE(W$2,""*"")),"""")"),"")</f>
        <v/>
      </c>
      <c r="X195" s="23" t="str">
        <f>IFERROR(__xludf.DUMMYFUNCTION("if(countif(filter(Status!$C:$C,Status!$A:$A=$A195),CONCATENATE(X$2,""*""))&gt;0,countif(filter(Status!$C:$C,Status!$A:$A=$A195),CONCATENATE(X$2,""*"")),"""")"),"")</f>
        <v/>
      </c>
      <c r="Y195" s="23" t="str">
        <f>IFERROR(__xludf.DUMMYFUNCTION("if(countif(filter(Status!$C:$C,Status!$A:$A=$A195),CONCATENATE(Y$2,""*""))&gt;0,countif(filter(Status!$C:$C,Status!$A:$A=$A195),CONCATENATE(Y$2,""*"")),"""")"),"")</f>
        <v/>
      </c>
      <c r="Z195" s="23" t="str">
        <f>IFERROR(__xludf.DUMMYFUNCTION("if(countif(filter(Status!$C:$C,Status!$A:$A=$A195),CONCATENATE(Z$2,""*""))&gt;0,countif(filter(Status!$C:$C,Status!$A:$A=$A195),CONCATENATE(Z$2,""*"")),"""")"),"")</f>
        <v/>
      </c>
      <c r="AA195" s="23" t="str">
        <f>IFERROR(__xludf.DUMMYFUNCTION("if((countif(filter(Status!$C:$C,Status!$A:$A=$A195),CONCATENATE(AA$2,""*""))-AB195)&gt;0,(countif(filter(Status!$C:$C,Status!$A:$A=$A195),CONCATENATE(AA$2,""*""))-AB195),"""")"),"")</f>
        <v/>
      </c>
      <c r="AB195" s="23" t="str">
        <f>IFERROR(__xludf.DUMMYFUNCTION("if(countif(filter(Status!$C:$C,Status!$A:$A=$A195),CONCATENATE(AB$2,""*""))&gt;0,countif(filter(Status!$C:$C,Status!$A:$A=$A195),CONCATENATE(AB$2,""*"")),"""")"),"")</f>
        <v/>
      </c>
      <c r="AC195" s="23" t="str">
        <f>IFERROR(__xludf.DUMMYFUNCTION("if(countif(filter(Status!$C:$C,Status!$A:$A=$A195),CONCATENATE(AC$2,""*""))&gt;0,countif(filter(Status!$C:$C,Status!$A:$A=$A195),CONCATENATE(AC$2,""*"")),"""")"),"")</f>
        <v/>
      </c>
      <c r="AD195" s="23" t="str">
        <f>IFERROR(__xludf.DUMMYFUNCTION("if(countif(filter(Status!$C:$C,Status!$A:$A=$A195),CONCATENATE(AD$2,""*""))&gt;0,countif(filter(Status!$C:$C,Status!$A:$A=$A195),CONCATENATE(AD$2,""*"")),"""")"),"")</f>
        <v/>
      </c>
      <c r="AE195" s="23" t="str">
        <f>IFERROR(__xludf.DUMMYFUNCTION("if(countif(filter(Status!$C:$C,Status!$A:$A=$A195),CONCATENATE(AE$2,""*""))&gt;0,countif(filter(Status!$C:$C,Status!$A:$A=$A195),CONCATENATE(AE$2,""*"")),"""")"),"")</f>
        <v/>
      </c>
      <c r="AF195" s="23" t="str">
        <f>IFERROR(__xludf.DUMMYFUNCTION("if(countif(filter(Status!$C:$C,Status!$A:$A=$A195),CONCATENATE(AF$2,""*""))&gt;0,countif(filter(Status!$C:$C,Status!$A:$A=$A195),CONCATENATE(AF$2,""*"")),"""")"),"")</f>
        <v/>
      </c>
      <c r="AG195" s="23" t="str">
        <f>IFERROR(__xludf.DUMMYFUNCTION("if(countif(filter(Status!$C:$C,Status!$A:$A=$A195),CONCATENATE(AG$2,""*""))&gt;0,countif(filter(Status!$C:$C,Status!$A:$A=$A195),CONCATENATE(AG$2,""*"")),"""")"),"")</f>
        <v/>
      </c>
      <c r="AH195" s="23" t="str">
        <f>IFERROR(__xludf.DUMMYFUNCTION("if(countif(filter(Status!$C:$C,Status!$A:$A=$A195),CONCATENATE(AH$2,""*""))&gt;0,countif(filter(Status!$C:$C,Status!$A:$A=$A195),CONCATENATE(AH$2,""*"")),"""")"),"")</f>
        <v/>
      </c>
      <c r="AI195" s="23" t="str">
        <f>IFERROR(__xludf.DUMMYFUNCTION("if(countif(filter(Status!$C:$C,Status!$A:$A=$A195),CONCATENATE(AI$2,""*""))&gt;0,countif(filter(Status!$C:$C,Status!$A:$A=$A195),CONCATENATE(AI$2,""*"")),"""")"),"")</f>
        <v/>
      </c>
      <c r="AJ195" s="23" t="str">
        <f>IFERROR(__xludf.DUMMYFUNCTION("if(countif(filter(Status!$C:$C,Status!$A:$A=$A195),CONCATENATE(AJ$2,""*""))&gt;0,countif(filter(Status!$C:$C,Status!$A:$A=$A195),CONCATENATE(AJ$2,""*"")),"""")"),"")</f>
        <v/>
      </c>
      <c r="AK195" s="23" t="str">
        <f>IFERROR(__xludf.DUMMYFUNCTION("if(countif(filter(Status!$C:$C,Status!$A:$A=$A195),CONCATENATE(AK$2,""*""))&gt;0,countif(filter(Status!$C:$C,Status!$A:$A=$A195),CONCATENATE(AK$2,""*"")),"""")"),"")</f>
        <v/>
      </c>
      <c r="AL195" s="23" t="str">
        <f>IFERROR(__xludf.DUMMYFUNCTION("if(countif(filter(Status!$C:$C,Status!$A:$A=$A195),CONCATENATE(AL$2,""*""))&gt;0,countif(filter(Status!$C:$C,Status!$A:$A=$A195),CONCATENATE(AL$2,""*"")),"""")"),"")</f>
        <v/>
      </c>
      <c r="AM195" s="23" t="str">
        <f>IFERROR(__xludf.DUMMYFUNCTION("if(countif(filter(Status!$C:$C,Status!$A:$A=$A195),CONCATENATE(AM$2,""*""))&gt;0,countif(filter(Status!$C:$C,Status!$A:$A=$A195),CONCATENATE(AM$2,""*"")),"""")"),"")</f>
        <v/>
      </c>
      <c r="AN195" s="23" t="str">
        <f>IFERROR(__xludf.DUMMYFUNCTION("if(countif(filter(Status!$C:$C,Status!$A:$A=$A195),CONCATENATE(AN$2,""*""))&gt;0,countif(filter(Status!$C:$C,Status!$A:$A=$A195),CONCATENATE(AN$2,""*"")),"""")"),"")</f>
        <v/>
      </c>
      <c r="AO195" s="23" t="str">
        <f>IFERROR(__xludf.DUMMYFUNCTION("if(countif(filter(Status!$C:$C,Status!$A:$A=$A195),CONCATENATE(AO$2,""*""))&gt;0,countif(filter(Status!$C:$C,Status!$A:$A=$A195),CONCATENATE(AO$2,""*"")),"""")"),"")</f>
        <v/>
      </c>
      <c r="AP195" s="23">
        <f>IFERROR(__xludf.DUMMYFUNCTION("counta(iferror(filter(Status!C:C,Status!A:A=A195)))"),0.0)</f>
        <v>0</v>
      </c>
      <c r="AQ195" s="23">
        <f t="shared" si="6"/>
        <v>0</v>
      </c>
    </row>
    <row r="196">
      <c r="A196" s="1" t="s">
        <v>1290</v>
      </c>
      <c r="B196" s="25" t="str">
        <f>IFERROR(__xludf.DUMMYFUNCTION("max(filter(Status!E:E,Status!A:A=A196))"),"#N/A")</f>
        <v>#N/A</v>
      </c>
      <c r="C196" s="23" t="str">
        <f t="shared" si="1"/>
        <v/>
      </c>
      <c r="D196" s="23" t="str">
        <f t="shared" si="2"/>
        <v/>
      </c>
      <c r="E196" s="23" t="str">
        <f t="shared" si="3"/>
        <v/>
      </c>
      <c r="F196" s="23" t="str">
        <f t="shared" si="4"/>
        <v/>
      </c>
      <c r="G196" s="25" t="str">
        <f t="shared" si="5"/>
        <v/>
      </c>
      <c r="J196" s="23">
        <f>IFERROR(__xludf.DUMMYFUNCTION("COUNTA(iferror(filter(Status!H:H,Status!A:A=A196)))"),0.0)</f>
        <v>0</v>
      </c>
      <c r="K196" s="25">
        <f>IFERROR(__xludf.DUMMYFUNCTION("COUNTA(iferror(filter(Status!H:H,Status!A:A=A196,Status!H:H=TRUE)))"),0.0)</f>
        <v>0</v>
      </c>
      <c r="L196" s="23">
        <f>IFERROR(__xludf.DUMMYFUNCTION("COUNTA(iferror(filter(Status!L:L,Status!A:A=A196)))"),0.0)</f>
        <v>0</v>
      </c>
      <c r="M196" s="25">
        <f>IFERROR(__xludf.DUMMYFUNCTION("COUNTA(iferror(filter(Status!L:L,Status!A:A=A196,Status!L:L=TRUE)))"),0.0)</f>
        <v>0</v>
      </c>
      <c r="N196" s="23">
        <f>IFERROR(__xludf.DUMMYFUNCTION("COUNTA(iferror(filter(Status!N:N,Status!A:A=A196,Status!N:N=TRUE)))"),0.0)</f>
        <v>0</v>
      </c>
      <c r="O196" s="25">
        <f>IFERROR(__xludf.DUMMYFUNCTION("COUNTA(iferror(filter(Status!N:N,Status!A:A=A196,Status!N:N=TRUE)))"),0.0)</f>
        <v>0</v>
      </c>
      <c r="P196" s="23">
        <f>IFERROR(__xludf.DUMMYFUNCTION("COUNTA(iferror(filter(Status!P:P,Status!A:A=A196)))"),0.0)</f>
        <v>0</v>
      </c>
      <c r="Q196" s="25">
        <f>IFERROR(__xludf.DUMMYFUNCTION("COUNTA(iferror(filter(Status!P:P,Status!A:A=A196,Status!P:P=TRUE)))"),0.0)</f>
        <v>0</v>
      </c>
      <c r="R196" s="23">
        <f>IFERROR(__xludf.DUMMYFUNCTION("COUNTA(iferror(filter(Status!R:R,Status!A:A=A196)))"),0.0)</f>
        <v>0</v>
      </c>
      <c r="S196" s="25">
        <f>IFERROR(__xludf.DUMMYFUNCTION("COUNTA(iferror(filter(Status!R:R,Status!A:A=A196,Status!R:R=TRUE)))"),0.0)</f>
        <v>0</v>
      </c>
      <c r="V196" s="23" t="str">
        <f>IFERROR(__xludf.DUMMYFUNCTION("if((countif(filter(Status!$C:$C,Status!$A:$A=$A196),CONCATENATE(V$2,""*""))-W196)&gt;0,(countif(filter(Status!$C:$C,Status!$A:$A=$A196),CONCATENATE(V$2,""*""))-W196),"""")"),"")</f>
        <v/>
      </c>
      <c r="W196" s="23" t="str">
        <f>IFERROR(__xludf.DUMMYFUNCTION("if(countif(filter(Status!$C:$C,Status!$A:$A=$A196),CONCATENATE(W$2,""*""))&gt;0,countif(filter(Status!$C:$C,Status!$A:$A=$A196),CONCATENATE(W$2,""*"")),"""")"),"")</f>
        <v/>
      </c>
      <c r="X196" s="23" t="str">
        <f>IFERROR(__xludf.DUMMYFUNCTION("if(countif(filter(Status!$C:$C,Status!$A:$A=$A196),CONCATENATE(X$2,""*""))&gt;0,countif(filter(Status!$C:$C,Status!$A:$A=$A196),CONCATENATE(X$2,""*"")),"""")"),"")</f>
        <v/>
      </c>
      <c r="Y196" s="23" t="str">
        <f>IFERROR(__xludf.DUMMYFUNCTION("if(countif(filter(Status!$C:$C,Status!$A:$A=$A196),CONCATENATE(Y$2,""*""))&gt;0,countif(filter(Status!$C:$C,Status!$A:$A=$A196),CONCATENATE(Y$2,""*"")),"""")"),"")</f>
        <v/>
      </c>
      <c r="Z196" s="23" t="str">
        <f>IFERROR(__xludf.DUMMYFUNCTION("if(countif(filter(Status!$C:$C,Status!$A:$A=$A196),CONCATENATE(Z$2,""*""))&gt;0,countif(filter(Status!$C:$C,Status!$A:$A=$A196),CONCATENATE(Z$2,""*"")),"""")"),"")</f>
        <v/>
      </c>
      <c r="AA196" s="23" t="str">
        <f>IFERROR(__xludf.DUMMYFUNCTION("if((countif(filter(Status!$C:$C,Status!$A:$A=$A196),CONCATENATE(AA$2,""*""))-AB196)&gt;0,(countif(filter(Status!$C:$C,Status!$A:$A=$A196),CONCATENATE(AA$2,""*""))-AB196),"""")"),"")</f>
        <v/>
      </c>
      <c r="AB196" s="23" t="str">
        <f>IFERROR(__xludf.DUMMYFUNCTION("if(countif(filter(Status!$C:$C,Status!$A:$A=$A196),CONCATENATE(AB$2,""*""))&gt;0,countif(filter(Status!$C:$C,Status!$A:$A=$A196),CONCATENATE(AB$2,""*"")),"""")"),"")</f>
        <v/>
      </c>
      <c r="AC196" s="23" t="str">
        <f>IFERROR(__xludf.DUMMYFUNCTION("if(countif(filter(Status!$C:$C,Status!$A:$A=$A196),CONCATENATE(AC$2,""*""))&gt;0,countif(filter(Status!$C:$C,Status!$A:$A=$A196),CONCATENATE(AC$2,""*"")),"""")"),"")</f>
        <v/>
      </c>
      <c r="AD196" s="23" t="str">
        <f>IFERROR(__xludf.DUMMYFUNCTION("if(countif(filter(Status!$C:$C,Status!$A:$A=$A196),CONCATENATE(AD$2,""*""))&gt;0,countif(filter(Status!$C:$C,Status!$A:$A=$A196),CONCATENATE(AD$2,""*"")),"""")"),"")</f>
        <v/>
      </c>
      <c r="AE196" s="23" t="str">
        <f>IFERROR(__xludf.DUMMYFUNCTION("if(countif(filter(Status!$C:$C,Status!$A:$A=$A196),CONCATENATE(AE$2,""*""))&gt;0,countif(filter(Status!$C:$C,Status!$A:$A=$A196),CONCATENATE(AE$2,""*"")),"""")"),"")</f>
        <v/>
      </c>
      <c r="AF196" s="23" t="str">
        <f>IFERROR(__xludf.DUMMYFUNCTION("if(countif(filter(Status!$C:$C,Status!$A:$A=$A196),CONCATENATE(AF$2,""*""))&gt;0,countif(filter(Status!$C:$C,Status!$A:$A=$A196),CONCATENATE(AF$2,""*"")),"""")"),"")</f>
        <v/>
      </c>
      <c r="AG196" s="23" t="str">
        <f>IFERROR(__xludf.DUMMYFUNCTION("if(countif(filter(Status!$C:$C,Status!$A:$A=$A196),CONCATENATE(AG$2,""*""))&gt;0,countif(filter(Status!$C:$C,Status!$A:$A=$A196),CONCATENATE(AG$2,""*"")),"""")"),"")</f>
        <v/>
      </c>
      <c r="AH196" s="23" t="str">
        <f>IFERROR(__xludf.DUMMYFUNCTION("if(countif(filter(Status!$C:$C,Status!$A:$A=$A196),CONCATENATE(AH$2,""*""))&gt;0,countif(filter(Status!$C:$C,Status!$A:$A=$A196),CONCATENATE(AH$2,""*"")),"""")"),"")</f>
        <v/>
      </c>
      <c r="AI196" s="23" t="str">
        <f>IFERROR(__xludf.DUMMYFUNCTION("if(countif(filter(Status!$C:$C,Status!$A:$A=$A196),CONCATENATE(AI$2,""*""))&gt;0,countif(filter(Status!$C:$C,Status!$A:$A=$A196),CONCATENATE(AI$2,""*"")),"""")"),"")</f>
        <v/>
      </c>
      <c r="AJ196" s="23" t="str">
        <f>IFERROR(__xludf.DUMMYFUNCTION("if(countif(filter(Status!$C:$C,Status!$A:$A=$A196),CONCATENATE(AJ$2,""*""))&gt;0,countif(filter(Status!$C:$C,Status!$A:$A=$A196),CONCATENATE(AJ$2,""*"")),"""")"),"")</f>
        <v/>
      </c>
      <c r="AK196" s="23" t="str">
        <f>IFERROR(__xludf.DUMMYFUNCTION("if(countif(filter(Status!$C:$C,Status!$A:$A=$A196),CONCATENATE(AK$2,""*""))&gt;0,countif(filter(Status!$C:$C,Status!$A:$A=$A196),CONCATENATE(AK$2,""*"")),"""")"),"")</f>
        <v/>
      </c>
      <c r="AL196" s="23" t="str">
        <f>IFERROR(__xludf.DUMMYFUNCTION("if(countif(filter(Status!$C:$C,Status!$A:$A=$A196),CONCATENATE(AL$2,""*""))&gt;0,countif(filter(Status!$C:$C,Status!$A:$A=$A196),CONCATENATE(AL$2,""*"")),"""")"),"")</f>
        <v/>
      </c>
      <c r="AM196" s="23" t="str">
        <f>IFERROR(__xludf.DUMMYFUNCTION("if(countif(filter(Status!$C:$C,Status!$A:$A=$A196),CONCATENATE(AM$2,""*""))&gt;0,countif(filter(Status!$C:$C,Status!$A:$A=$A196),CONCATENATE(AM$2,""*"")),"""")"),"")</f>
        <v/>
      </c>
      <c r="AN196" s="23" t="str">
        <f>IFERROR(__xludf.DUMMYFUNCTION("if(countif(filter(Status!$C:$C,Status!$A:$A=$A196),CONCATENATE(AN$2,""*""))&gt;0,countif(filter(Status!$C:$C,Status!$A:$A=$A196),CONCATENATE(AN$2,""*"")),"""")"),"")</f>
        <v/>
      </c>
      <c r="AO196" s="23" t="str">
        <f>IFERROR(__xludf.DUMMYFUNCTION("if(countif(filter(Status!$C:$C,Status!$A:$A=$A196),CONCATENATE(AO$2,""*""))&gt;0,countif(filter(Status!$C:$C,Status!$A:$A=$A196),CONCATENATE(AO$2,""*"")),"""")"),"")</f>
        <v/>
      </c>
      <c r="AP196" s="23">
        <f>IFERROR(__xludf.DUMMYFUNCTION("counta(iferror(filter(Status!C:C,Status!A:A=A196)))"),0.0)</f>
        <v>0</v>
      </c>
      <c r="AQ196" s="23">
        <f t="shared" si="6"/>
        <v>0</v>
      </c>
    </row>
    <row r="197">
      <c r="A197" s="1" t="s">
        <v>1293</v>
      </c>
      <c r="B197" s="25" t="str">
        <f>IFERROR(__xludf.DUMMYFUNCTION("max(filter(Status!E:E,Status!A:A=A197))"),"#N/A")</f>
        <v>#N/A</v>
      </c>
      <c r="C197" s="23" t="str">
        <f t="shared" si="1"/>
        <v/>
      </c>
      <c r="D197" s="23" t="str">
        <f t="shared" si="2"/>
        <v/>
      </c>
      <c r="E197" s="23" t="str">
        <f t="shared" si="3"/>
        <v/>
      </c>
      <c r="F197" s="23" t="str">
        <f t="shared" si="4"/>
        <v/>
      </c>
      <c r="G197" s="25" t="str">
        <f t="shared" si="5"/>
        <v/>
      </c>
      <c r="J197" s="23">
        <f>IFERROR(__xludf.DUMMYFUNCTION("COUNTA(iferror(filter(Status!H:H,Status!A:A=A197)))"),0.0)</f>
        <v>0</v>
      </c>
      <c r="K197" s="25">
        <f>IFERROR(__xludf.DUMMYFUNCTION("COUNTA(iferror(filter(Status!H:H,Status!A:A=A197,Status!H:H=TRUE)))"),0.0)</f>
        <v>0</v>
      </c>
      <c r="L197" s="23">
        <f>IFERROR(__xludf.DUMMYFUNCTION("COUNTA(iferror(filter(Status!L:L,Status!A:A=A197)))"),0.0)</f>
        <v>0</v>
      </c>
      <c r="M197" s="25">
        <f>IFERROR(__xludf.DUMMYFUNCTION("COUNTA(iferror(filter(Status!L:L,Status!A:A=A197,Status!L:L=TRUE)))"),0.0)</f>
        <v>0</v>
      </c>
      <c r="N197" s="23">
        <f>IFERROR(__xludf.DUMMYFUNCTION("COUNTA(iferror(filter(Status!N:N,Status!A:A=A197,Status!N:N=TRUE)))"),0.0)</f>
        <v>0</v>
      </c>
      <c r="O197" s="25">
        <f>IFERROR(__xludf.DUMMYFUNCTION("COUNTA(iferror(filter(Status!N:N,Status!A:A=A197,Status!N:N=TRUE)))"),0.0)</f>
        <v>0</v>
      </c>
      <c r="P197" s="23">
        <f>IFERROR(__xludf.DUMMYFUNCTION("COUNTA(iferror(filter(Status!P:P,Status!A:A=A197)))"),0.0)</f>
        <v>0</v>
      </c>
      <c r="Q197" s="25">
        <f>IFERROR(__xludf.DUMMYFUNCTION("COUNTA(iferror(filter(Status!P:P,Status!A:A=A197,Status!P:P=TRUE)))"),0.0)</f>
        <v>0</v>
      </c>
      <c r="R197" s="23">
        <f>IFERROR(__xludf.DUMMYFUNCTION("COUNTA(iferror(filter(Status!R:R,Status!A:A=A197)))"),0.0)</f>
        <v>0</v>
      </c>
      <c r="S197" s="25">
        <f>IFERROR(__xludf.DUMMYFUNCTION("COUNTA(iferror(filter(Status!R:R,Status!A:A=A197,Status!R:R=TRUE)))"),0.0)</f>
        <v>0</v>
      </c>
      <c r="V197" s="23" t="str">
        <f>IFERROR(__xludf.DUMMYFUNCTION("if((countif(filter(Status!$C:$C,Status!$A:$A=$A197),CONCATENATE(V$2,""*""))-W197)&gt;0,(countif(filter(Status!$C:$C,Status!$A:$A=$A197),CONCATENATE(V$2,""*""))-W197),"""")"),"")</f>
        <v/>
      </c>
      <c r="W197" s="23" t="str">
        <f>IFERROR(__xludf.DUMMYFUNCTION("if(countif(filter(Status!$C:$C,Status!$A:$A=$A197),CONCATENATE(W$2,""*""))&gt;0,countif(filter(Status!$C:$C,Status!$A:$A=$A197),CONCATENATE(W$2,""*"")),"""")"),"")</f>
        <v/>
      </c>
      <c r="X197" s="23" t="str">
        <f>IFERROR(__xludf.DUMMYFUNCTION("if(countif(filter(Status!$C:$C,Status!$A:$A=$A197),CONCATENATE(X$2,""*""))&gt;0,countif(filter(Status!$C:$C,Status!$A:$A=$A197),CONCATENATE(X$2,""*"")),"""")"),"")</f>
        <v/>
      </c>
      <c r="Y197" s="23" t="str">
        <f>IFERROR(__xludf.DUMMYFUNCTION("if(countif(filter(Status!$C:$C,Status!$A:$A=$A197),CONCATENATE(Y$2,""*""))&gt;0,countif(filter(Status!$C:$C,Status!$A:$A=$A197),CONCATENATE(Y$2,""*"")),"""")"),"")</f>
        <v/>
      </c>
      <c r="Z197" s="23" t="str">
        <f>IFERROR(__xludf.DUMMYFUNCTION("if(countif(filter(Status!$C:$C,Status!$A:$A=$A197),CONCATENATE(Z$2,""*""))&gt;0,countif(filter(Status!$C:$C,Status!$A:$A=$A197),CONCATENATE(Z$2,""*"")),"""")"),"")</f>
        <v/>
      </c>
      <c r="AA197" s="23" t="str">
        <f>IFERROR(__xludf.DUMMYFUNCTION("if((countif(filter(Status!$C:$C,Status!$A:$A=$A197),CONCATENATE(AA$2,""*""))-AB197)&gt;0,(countif(filter(Status!$C:$C,Status!$A:$A=$A197),CONCATENATE(AA$2,""*""))-AB197),"""")"),"")</f>
        <v/>
      </c>
      <c r="AB197" s="23" t="str">
        <f>IFERROR(__xludf.DUMMYFUNCTION("if(countif(filter(Status!$C:$C,Status!$A:$A=$A197),CONCATENATE(AB$2,""*""))&gt;0,countif(filter(Status!$C:$C,Status!$A:$A=$A197),CONCATENATE(AB$2,""*"")),"""")"),"")</f>
        <v/>
      </c>
      <c r="AC197" s="23" t="str">
        <f>IFERROR(__xludf.DUMMYFUNCTION("if(countif(filter(Status!$C:$C,Status!$A:$A=$A197),CONCATENATE(AC$2,""*""))&gt;0,countif(filter(Status!$C:$C,Status!$A:$A=$A197),CONCATENATE(AC$2,""*"")),"""")"),"")</f>
        <v/>
      </c>
      <c r="AD197" s="23" t="str">
        <f>IFERROR(__xludf.DUMMYFUNCTION("if(countif(filter(Status!$C:$C,Status!$A:$A=$A197),CONCATENATE(AD$2,""*""))&gt;0,countif(filter(Status!$C:$C,Status!$A:$A=$A197),CONCATENATE(AD$2,""*"")),"""")"),"")</f>
        <v/>
      </c>
      <c r="AE197" s="23" t="str">
        <f>IFERROR(__xludf.DUMMYFUNCTION("if(countif(filter(Status!$C:$C,Status!$A:$A=$A197),CONCATENATE(AE$2,""*""))&gt;0,countif(filter(Status!$C:$C,Status!$A:$A=$A197),CONCATENATE(AE$2,""*"")),"""")"),"")</f>
        <v/>
      </c>
      <c r="AF197" s="23" t="str">
        <f>IFERROR(__xludf.DUMMYFUNCTION("if(countif(filter(Status!$C:$C,Status!$A:$A=$A197),CONCATENATE(AF$2,""*""))&gt;0,countif(filter(Status!$C:$C,Status!$A:$A=$A197),CONCATENATE(AF$2,""*"")),"""")"),"")</f>
        <v/>
      </c>
      <c r="AG197" s="23" t="str">
        <f>IFERROR(__xludf.DUMMYFUNCTION("if(countif(filter(Status!$C:$C,Status!$A:$A=$A197),CONCATENATE(AG$2,""*""))&gt;0,countif(filter(Status!$C:$C,Status!$A:$A=$A197),CONCATENATE(AG$2,""*"")),"""")"),"")</f>
        <v/>
      </c>
      <c r="AH197" s="23" t="str">
        <f>IFERROR(__xludf.DUMMYFUNCTION("if(countif(filter(Status!$C:$C,Status!$A:$A=$A197),CONCATENATE(AH$2,""*""))&gt;0,countif(filter(Status!$C:$C,Status!$A:$A=$A197),CONCATENATE(AH$2,""*"")),"""")"),"")</f>
        <v/>
      </c>
      <c r="AI197" s="23" t="str">
        <f>IFERROR(__xludf.DUMMYFUNCTION("if(countif(filter(Status!$C:$C,Status!$A:$A=$A197),CONCATENATE(AI$2,""*""))&gt;0,countif(filter(Status!$C:$C,Status!$A:$A=$A197),CONCATENATE(AI$2,""*"")),"""")"),"")</f>
        <v/>
      </c>
      <c r="AJ197" s="23" t="str">
        <f>IFERROR(__xludf.DUMMYFUNCTION("if(countif(filter(Status!$C:$C,Status!$A:$A=$A197),CONCATENATE(AJ$2,""*""))&gt;0,countif(filter(Status!$C:$C,Status!$A:$A=$A197),CONCATENATE(AJ$2,""*"")),"""")"),"")</f>
        <v/>
      </c>
      <c r="AK197" s="23" t="str">
        <f>IFERROR(__xludf.DUMMYFUNCTION("if(countif(filter(Status!$C:$C,Status!$A:$A=$A197),CONCATENATE(AK$2,""*""))&gt;0,countif(filter(Status!$C:$C,Status!$A:$A=$A197),CONCATENATE(AK$2,""*"")),"""")"),"")</f>
        <v/>
      </c>
      <c r="AL197" s="23" t="str">
        <f>IFERROR(__xludf.DUMMYFUNCTION("if(countif(filter(Status!$C:$C,Status!$A:$A=$A197),CONCATENATE(AL$2,""*""))&gt;0,countif(filter(Status!$C:$C,Status!$A:$A=$A197),CONCATENATE(AL$2,""*"")),"""")"),"")</f>
        <v/>
      </c>
      <c r="AM197" s="23" t="str">
        <f>IFERROR(__xludf.DUMMYFUNCTION("if(countif(filter(Status!$C:$C,Status!$A:$A=$A197),CONCATENATE(AM$2,""*""))&gt;0,countif(filter(Status!$C:$C,Status!$A:$A=$A197),CONCATENATE(AM$2,""*"")),"""")"),"")</f>
        <v/>
      </c>
      <c r="AN197" s="23" t="str">
        <f>IFERROR(__xludf.DUMMYFUNCTION("if(countif(filter(Status!$C:$C,Status!$A:$A=$A197),CONCATENATE(AN$2,""*""))&gt;0,countif(filter(Status!$C:$C,Status!$A:$A=$A197),CONCATENATE(AN$2,""*"")),"""")"),"")</f>
        <v/>
      </c>
      <c r="AO197" s="23" t="str">
        <f>IFERROR(__xludf.DUMMYFUNCTION("if(countif(filter(Status!$C:$C,Status!$A:$A=$A197),CONCATENATE(AO$2,""*""))&gt;0,countif(filter(Status!$C:$C,Status!$A:$A=$A197),CONCATENATE(AO$2,""*"")),"""")"),"")</f>
        <v/>
      </c>
      <c r="AP197" s="23">
        <f>IFERROR(__xludf.DUMMYFUNCTION("counta(iferror(filter(Status!C:C,Status!A:A=A197)))"),0.0)</f>
        <v>0</v>
      </c>
      <c r="AQ197" s="23">
        <f t="shared" si="6"/>
        <v>0</v>
      </c>
    </row>
    <row r="198">
      <c r="A198" s="1" t="s">
        <v>1296</v>
      </c>
      <c r="B198" s="25" t="str">
        <f>IFERROR(__xludf.DUMMYFUNCTION("max(filter(Status!E:E,Status!A:A=A198))"),"#N/A")</f>
        <v>#N/A</v>
      </c>
      <c r="C198" s="23" t="str">
        <f t="shared" si="1"/>
        <v/>
      </c>
      <c r="D198" s="23" t="str">
        <f t="shared" si="2"/>
        <v/>
      </c>
      <c r="E198" s="23" t="str">
        <f t="shared" si="3"/>
        <v/>
      </c>
      <c r="F198" s="23" t="str">
        <f t="shared" si="4"/>
        <v/>
      </c>
      <c r="G198" s="25" t="str">
        <f t="shared" si="5"/>
        <v/>
      </c>
      <c r="J198" s="23">
        <f>IFERROR(__xludf.DUMMYFUNCTION("COUNTA(iferror(filter(Status!H:H,Status!A:A=A198)))"),0.0)</f>
        <v>0</v>
      </c>
      <c r="K198" s="25">
        <f>IFERROR(__xludf.DUMMYFUNCTION("COUNTA(iferror(filter(Status!H:H,Status!A:A=A198,Status!H:H=TRUE)))"),0.0)</f>
        <v>0</v>
      </c>
      <c r="L198" s="23">
        <f>IFERROR(__xludf.DUMMYFUNCTION("COUNTA(iferror(filter(Status!L:L,Status!A:A=A198)))"),0.0)</f>
        <v>0</v>
      </c>
      <c r="M198" s="25">
        <f>IFERROR(__xludf.DUMMYFUNCTION("COUNTA(iferror(filter(Status!L:L,Status!A:A=A198,Status!L:L=TRUE)))"),0.0)</f>
        <v>0</v>
      </c>
      <c r="N198" s="23">
        <f>IFERROR(__xludf.DUMMYFUNCTION("COUNTA(iferror(filter(Status!N:N,Status!A:A=A198,Status!N:N=TRUE)))"),0.0)</f>
        <v>0</v>
      </c>
      <c r="O198" s="25">
        <f>IFERROR(__xludf.DUMMYFUNCTION("COUNTA(iferror(filter(Status!N:N,Status!A:A=A198,Status!N:N=TRUE)))"),0.0)</f>
        <v>0</v>
      </c>
      <c r="P198" s="23">
        <f>IFERROR(__xludf.DUMMYFUNCTION("COUNTA(iferror(filter(Status!P:P,Status!A:A=A198)))"),0.0)</f>
        <v>0</v>
      </c>
      <c r="Q198" s="25">
        <f>IFERROR(__xludf.DUMMYFUNCTION("COUNTA(iferror(filter(Status!P:P,Status!A:A=A198,Status!P:P=TRUE)))"),0.0)</f>
        <v>0</v>
      </c>
      <c r="R198" s="23">
        <f>IFERROR(__xludf.DUMMYFUNCTION("COUNTA(iferror(filter(Status!R:R,Status!A:A=A198)))"),0.0)</f>
        <v>0</v>
      </c>
      <c r="S198" s="25">
        <f>IFERROR(__xludf.DUMMYFUNCTION("COUNTA(iferror(filter(Status!R:R,Status!A:A=A198,Status!R:R=TRUE)))"),0.0)</f>
        <v>0</v>
      </c>
      <c r="V198" s="23" t="str">
        <f>IFERROR(__xludf.DUMMYFUNCTION("if((countif(filter(Status!$C:$C,Status!$A:$A=$A198),CONCATENATE(V$2,""*""))-W198)&gt;0,(countif(filter(Status!$C:$C,Status!$A:$A=$A198),CONCATENATE(V$2,""*""))-W198),"""")"),"")</f>
        <v/>
      </c>
      <c r="W198" s="23" t="str">
        <f>IFERROR(__xludf.DUMMYFUNCTION("if(countif(filter(Status!$C:$C,Status!$A:$A=$A198),CONCATENATE(W$2,""*""))&gt;0,countif(filter(Status!$C:$C,Status!$A:$A=$A198),CONCATENATE(W$2,""*"")),"""")"),"")</f>
        <v/>
      </c>
      <c r="X198" s="23" t="str">
        <f>IFERROR(__xludf.DUMMYFUNCTION("if(countif(filter(Status!$C:$C,Status!$A:$A=$A198),CONCATENATE(X$2,""*""))&gt;0,countif(filter(Status!$C:$C,Status!$A:$A=$A198),CONCATENATE(X$2,""*"")),"""")"),"")</f>
        <v/>
      </c>
      <c r="Y198" s="23" t="str">
        <f>IFERROR(__xludf.DUMMYFUNCTION("if(countif(filter(Status!$C:$C,Status!$A:$A=$A198),CONCATENATE(Y$2,""*""))&gt;0,countif(filter(Status!$C:$C,Status!$A:$A=$A198),CONCATENATE(Y$2,""*"")),"""")"),"")</f>
        <v/>
      </c>
      <c r="Z198" s="23" t="str">
        <f>IFERROR(__xludf.DUMMYFUNCTION("if(countif(filter(Status!$C:$C,Status!$A:$A=$A198),CONCATENATE(Z$2,""*""))&gt;0,countif(filter(Status!$C:$C,Status!$A:$A=$A198),CONCATENATE(Z$2,""*"")),"""")"),"")</f>
        <v/>
      </c>
      <c r="AA198" s="23" t="str">
        <f>IFERROR(__xludf.DUMMYFUNCTION("if((countif(filter(Status!$C:$C,Status!$A:$A=$A198),CONCATENATE(AA$2,""*""))-AB198)&gt;0,(countif(filter(Status!$C:$C,Status!$A:$A=$A198),CONCATENATE(AA$2,""*""))-AB198),"""")"),"")</f>
        <v/>
      </c>
      <c r="AB198" s="23" t="str">
        <f>IFERROR(__xludf.DUMMYFUNCTION("if(countif(filter(Status!$C:$C,Status!$A:$A=$A198),CONCATENATE(AB$2,""*""))&gt;0,countif(filter(Status!$C:$C,Status!$A:$A=$A198),CONCATENATE(AB$2,""*"")),"""")"),"")</f>
        <v/>
      </c>
      <c r="AC198" s="23" t="str">
        <f>IFERROR(__xludf.DUMMYFUNCTION("if(countif(filter(Status!$C:$C,Status!$A:$A=$A198),CONCATENATE(AC$2,""*""))&gt;0,countif(filter(Status!$C:$C,Status!$A:$A=$A198),CONCATENATE(AC$2,""*"")),"""")"),"")</f>
        <v/>
      </c>
      <c r="AD198" s="23" t="str">
        <f>IFERROR(__xludf.DUMMYFUNCTION("if(countif(filter(Status!$C:$C,Status!$A:$A=$A198),CONCATENATE(AD$2,""*""))&gt;0,countif(filter(Status!$C:$C,Status!$A:$A=$A198),CONCATENATE(AD$2,""*"")),"""")"),"")</f>
        <v/>
      </c>
      <c r="AE198" s="23" t="str">
        <f>IFERROR(__xludf.DUMMYFUNCTION("if(countif(filter(Status!$C:$C,Status!$A:$A=$A198),CONCATENATE(AE$2,""*""))&gt;0,countif(filter(Status!$C:$C,Status!$A:$A=$A198),CONCATENATE(AE$2,""*"")),"""")"),"")</f>
        <v/>
      </c>
      <c r="AF198" s="23" t="str">
        <f>IFERROR(__xludf.DUMMYFUNCTION("if(countif(filter(Status!$C:$C,Status!$A:$A=$A198),CONCATENATE(AF$2,""*""))&gt;0,countif(filter(Status!$C:$C,Status!$A:$A=$A198),CONCATENATE(AF$2,""*"")),"""")"),"")</f>
        <v/>
      </c>
      <c r="AG198" s="23" t="str">
        <f>IFERROR(__xludf.DUMMYFUNCTION("if(countif(filter(Status!$C:$C,Status!$A:$A=$A198),CONCATENATE(AG$2,""*""))&gt;0,countif(filter(Status!$C:$C,Status!$A:$A=$A198),CONCATENATE(AG$2,""*"")),"""")"),"")</f>
        <v/>
      </c>
      <c r="AH198" s="23" t="str">
        <f>IFERROR(__xludf.DUMMYFUNCTION("if(countif(filter(Status!$C:$C,Status!$A:$A=$A198),CONCATENATE(AH$2,""*""))&gt;0,countif(filter(Status!$C:$C,Status!$A:$A=$A198),CONCATENATE(AH$2,""*"")),"""")"),"")</f>
        <v/>
      </c>
      <c r="AI198" s="23" t="str">
        <f>IFERROR(__xludf.DUMMYFUNCTION("if(countif(filter(Status!$C:$C,Status!$A:$A=$A198),CONCATENATE(AI$2,""*""))&gt;0,countif(filter(Status!$C:$C,Status!$A:$A=$A198),CONCATENATE(AI$2,""*"")),"""")"),"")</f>
        <v/>
      </c>
      <c r="AJ198" s="23" t="str">
        <f>IFERROR(__xludf.DUMMYFUNCTION("if(countif(filter(Status!$C:$C,Status!$A:$A=$A198),CONCATENATE(AJ$2,""*""))&gt;0,countif(filter(Status!$C:$C,Status!$A:$A=$A198),CONCATENATE(AJ$2,""*"")),"""")"),"")</f>
        <v/>
      </c>
      <c r="AK198" s="23" t="str">
        <f>IFERROR(__xludf.DUMMYFUNCTION("if(countif(filter(Status!$C:$C,Status!$A:$A=$A198),CONCATENATE(AK$2,""*""))&gt;0,countif(filter(Status!$C:$C,Status!$A:$A=$A198),CONCATENATE(AK$2,""*"")),"""")"),"")</f>
        <v/>
      </c>
      <c r="AL198" s="23" t="str">
        <f>IFERROR(__xludf.DUMMYFUNCTION("if(countif(filter(Status!$C:$C,Status!$A:$A=$A198),CONCATENATE(AL$2,""*""))&gt;0,countif(filter(Status!$C:$C,Status!$A:$A=$A198),CONCATENATE(AL$2,""*"")),"""")"),"")</f>
        <v/>
      </c>
      <c r="AM198" s="23" t="str">
        <f>IFERROR(__xludf.DUMMYFUNCTION("if(countif(filter(Status!$C:$C,Status!$A:$A=$A198),CONCATENATE(AM$2,""*""))&gt;0,countif(filter(Status!$C:$C,Status!$A:$A=$A198),CONCATENATE(AM$2,""*"")),"""")"),"")</f>
        <v/>
      </c>
      <c r="AN198" s="23" t="str">
        <f>IFERROR(__xludf.DUMMYFUNCTION("if(countif(filter(Status!$C:$C,Status!$A:$A=$A198),CONCATENATE(AN$2,""*""))&gt;0,countif(filter(Status!$C:$C,Status!$A:$A=$A198),CONCATENATE(AN$2,""*"")),"""")"),"")</f>
        <v/>
      </c>
      <c r="AO198" s="23" t="str">
        <f>IFERROR(__xludf.DUMMYFUNCTION("if(countif(filter(Status!$C:$C,Status!$A:$A=$A198),CONCATENATE(AO$2,""*""))&gt;0,countif(filter(Status!$C:$C,Status!$A:$A=$A198),CONCATENATE(AO$2,""*"")),"""")"),"")</f>
        <v/>
      </c>
      <c r="AP198" s="23">
        <f>IFERROR(__xludf.DUMMYFUNCTION("counta(iferror(filter(Status!C:C,Status!A:A=A198)))"),0.0)</f>
        <v>0</v>
      </c>
      <c r="AQ198" s="23">
        <f t="shared" si="6"/>
        <v>0</v>
      </c>
    </row>
    <row r="199">
      <c r="A199" s="1" t="s">
        <v>1299</v>
      </c>
      <c r="B199" s="25" t="str">
        <f>IFERROR(__xludf.DUMMYFUNCTION("max(filter(Status!E:E,Status!A:A=A199))"),"#N/A")</f>
        <v>#N/A</v>
      </c>
      <c r="C199" s="23" t="str">
        <f t="shared" si="1"/>
        <v/>
      </c>
      <c r="D199" s="23" t="str">
        <f t="shared" si="2"/>
        <v/>
      </c>
      <c r="E199" s="23" t="str">
        <f t="shared" si="3"/>
        <v/>
      </c>
      <c r="F199" s="23" t="str">
        <f t="shared" si="4"/>
        <v/>
      </c>
      <c r="G199" s="25" t="str">
        <f t="shared" si="5"/>
        <v/>
      </c>
      <c r="J199" s="23">
        <f>IFERROR(__xludf.DUMMYFUNCTION("COUNTA(iferror(filter(Status!H:H,Status!A:A=A199)))"),0.0)</f>
        <v>0</v>
      </c>
      <c r="K199" s="25">
        <f>IFERROR(__xludf.DUMMYFUNCTION("COUNTA(iferror(filter(Status!H:H,Status!A:A=A199,Status!H:H=TRUE)))"),0.0)</f>
        <v>0</v>
      </c>
      <c r="L199" s="23">
        <f>IFERROR(__xludf.DUMMYFUNCTION("COUNTA(iferror(filter(Status!L:L,Status!A:A=A199)))"),0.0)</f>
        <v>0</v>
      </c>
      <c r="M199" s="25">
        <f>IFERROR(__xludf.DUMMYFUNCTION("COUNTA(iferror(filter(Status!L:L,Status!A:A=A199,Status!L:L=TRUE)))"),0.0)</f>
        <v>0</v>
      </c>
      <c r="N199" s="23">
        <f>IFERROR(__xludf.DUMMYFUNCTION("COUNTA(iferror(filter(Status!N:N,Status!A:A=A199,Status!N:N=TRUE)))"),0.0)</f>
        <v>0</v>
      </c>
      <c r="O199" s="25">
        <f>IFERROR(__xludf.DUMMYFUNCTION("COUNTA(iferror(filter(Status!N:N,Status!A:A=A199,Status!N:N=TRUE)))"),0.0)</f>
        <v>0</v>
      </c>
      <c r="P199" s="23">
        <f>IFERROR(__xludf.DUMMYFUNCTION("COUNTA(iferror(filter(Status!P:P,Status!A:A=A199)))"),0.0)</f>
        <v>0</v>
      </c>
      <c r="Q199" s="25">
        <f>IFERROR(__xludf.DUMMYFUNCTION("COUNTA(iferror(filter(Status!P:P,Status!A:A=A199,Status!P:P=TRUE)))"),0.0)</f>
        <v>0</v>
      </c>
      <c r="R199" s="23">
        <f>IFERROR(__xludf.DUMMYFUNCTION("COUNTA(iferror(filter(Status!R:R,Status!A:A=A199)))"),0.0)</f>
        <v>0</v>
      </c>
      <c r="S199" s="25">
        <f>IFERROR(__xludf.DUMMYFUNCTION("COUNTA(iferror(filter(Status!R:R,Status!A:A=A199,Status!R:R=TRUE)))"),0.0)</f>
        <v>0</v>
      </c>
      <c r="V199" s="23" t="str">
        <f>IFERROR(__xludf.DUMMYFUNCTION("if((countif(filter(Status!$C:$C,Status!$A:$A=$A199),CONCATENATE(V$2,""*""))-W199)&gt;0,(countif(filter(Status!$C:$C,Status!$A:$A=$A199),CONCATENATE(V$2,""*""))-W199),"""")"),"")</f>
        <v/>
      </c>
      <c r="W199" s="23" t="str">
        <f>IFERROR(__xludf.DUMMYFUNCTION("if(countif(filter(Status!$C:$C,Status!$A:$A=$A199),CONCATENATE(W$2,""*""))&gt;0,countif(filter(Status!$C:$C,Status!$A:$A=$A199),CONCATENATE(W$2,""*"")),"""")"),"")</f>
        <v/>
      </c>
      <c r="X199" s="23" t="str">
        <f>IFERROR(__xludf.DUMMYFUNCTION("if(countif(filter(Status!$C:$C,Status!$A:$A=$A199),CONCATENATE(X$2,""*""))&gt;0,countif(filter(Status!$C:$C,Status!$A:$A=$A199),CONCATENATE(X$2,""*"")),"""")"),"")</f>
        <v/>
      </c>
      <c r="Y199" s="23" t="str">
        <f>IFERROR(__xludf.DUMMYFUNCTION("if(countif(filter(Status!$C:$C,Status!$A:$A=$A199),CONCATENATE(Y$2,""*""))&gt;0,countif(filter(Status!$C:$C,Status!$A:$A=$A199),CONCATENATE(Y$2,""*"")),"""")"),"")</f>
        <v/>
      </c>
      <c r="Z199" s="23" t="str">
        <f>IFERROR(__xludf.DUMMYFUNCTION("if(countif(filter(Status!$C:$C,Status!$A:$A=$A199),CONCATENATE(Z$2,""*""))&gt;0,countif(filter(Status!$C:$C,Status!$A:$A=$A199),CONCATENATE(Z$2,""*"")),"""")"),"")</f>
        <v/>
      </c>
      <c r="AA199" s="23" t="str">
        <f>IFERROR(__xludf.DUMMYFUNCTION("if((countif(filter(Status!$C:$C,Status!$A:$A=$A199),CONCATENATE(AA$2,""*""))-AB199)&gt;0,(countif(filter(Status!$C:$C,Status!$A:$A=$A199),CONCATENATE(AA$2,""*""))-AB199),"""")"),"")</f>
        <v/>
      </c>
      <c r="AB199" s="23" t="str">
        <f>IFERROR(__xludf.DUMMYFUNCTION("if(countif(filter(Status!$C:$C,Status!$A:$A=$A199),CONCATENATE(AB$2,""*""))&gt;0,countif(filter(Status!$C:$C,Status!$A:$A=$A199),CONCATENATE(AB$2,""*"")),"""")"),"")</f>
        <v/>
      </c>
      <c r="AC199" s="23" t="str">
        <f>IFERROR(__xludf.DUMMYFUNCTION("if(countif(filter(Status!$C:$C,Status!$A:$A=$A199),CONCATENATE(AC$2,""*""))&gt;0,countif(filter(Status!$C:$C,Status!$A:$A=$A199),CONCATENATE(AC$2,""*"")),"""")"),"")</f>
        <v/>
      </c>
      <c r="AD199" s="23" t="str">
        <f>IFERROR(__xludf.DUMMYFUNCTION("if(countif(filter(Status!$C:$C,Status!$A:$A=$A199),CONCATENATE(AD$2,""*""))&gt;0,countif(filter(Status!$C:$C,Status!$A:$A=$A199),CONCATENATE(AD$2,""*"")),"""")"),"")</f>
        <v/>
      </c>
      <c r="AE199" s="23" t="str">
        <f>IFERROR(__xludf.DUMMYFUNCTION("if(countif(filter(Status!$C:$C,Status!$A:$A=$A199),CONCATENATE(AE$2,""*""))&gt;0,countif(filter(Status!$C:$C,Status!$A:$A=$A199),CONCATENATE(AE$2,""*"")),"""")"),"")</f>
        <v/>
      </c>
      <c r="AF199" s="23" t="str">
        <f>IFERROR(__xludf.DUMMYFUNCTION("if(countif(filter(Status!$C:$C,Status!$A:$A=$A199),CONCATENATE(AF$2,""*""))&gt;0,countif(filter(Status!$C:$C,Status!$A:$A=$A199),CONCATENATE(AF$2,""*"")),"""")"),"")</f>
        <v/>
      </c>
      <c r="AG199" s="23" t="str">
        <f>IFERROR(__xludf.DUMMYFUNCTION("if(countif(filter(Status!$C:$C,Status!$A:$A=$A199),CONCATENATE(AG$2,""*""))&gt;0,countif(filter(Status!$C:$C,Status!$A:$A=$A199),CONCATENATE(AG$2,""*"")),"""")"),"")</f>
        <v/>
      </c>
      <c r="AH199" s="23" t="str">
        <f>IFERROR(__xludf.DUMMYFUNCTION("if(countif(filter(Status!$C:$C,Status!$A:$A=$A199),CONCATENATE(AH$2,""*""))&gt;0,countif(filter(Status!$C:$C,Status!$A:$A=$A199),CONCATENATE(AH$2,""*"")),"""")"),"")</f>
        <v/>
      </c>
      <c r="AI199" s="23" t="str">
        <f>IFERROR(__xludf.DUMMYFUNCTION("if(countif(filter(Status!$C:$C,Status!$A:$A=$A199),CONCATENATE(AI$2,""*""))&gt;0,countif(filter(Status!$C:$C,Status!$A:$A=$A199),CONCATENATE(AI$2,""*"")),"""")"),"")</f>
        <v/>
      </c>
      <c r="AJ199" s="23" t="str">
        <f>IFERROR(__xludf.DUMMYFUNCTION("if(countif(filter(Status!$C:$C,Status!$A:$A=$A199),CONCATENATE(AJ$2,""*""))&gt;0,countif(filter(Status!$C:$C,Status!$A:$A=$A199),CONCATENATE(AJ$2,""*"")),"""")"),"")</f>
        <v/>
      </c>
      <c r="AK199" s="23" t="str">
        <f>IFERROR(__xludf.DUMMYFUNCTION("if(countif(filter(Status!$C:$C,Status!$A:$A=$A199),CONCATENATE(AK$2,""*""))&gt;0,countif(filter(Status!$C:$C,Status!$A:$A=$A199),CONCATENATE(AK$2,""*"")),"""")"),"")</f>
        <v/>
      </c>
      <c r="AL199" s="23" t="str">
        <f>IFERROR(__xludf.DUMMYFUNCTION("if(countif(filter(Status!$C:$C,Status!$A:$A=$A199),CONCATENATE(AL$2,""*""))&gt;0,countif(filter(Status!$C:$C,Status!$A:$A=$A199),CONCATENATE(AL$2,""*"")),"""")"),"")</f>
        <v/>
      </c>
      <c r="AM199" s="23" t="str">
        <f>IFERROR(__xludf.DUMMYFUNCTION("if(countif(filter(Status!$C:$C,Status!$A:$A=$A199),CONCATENATE(AM$2,""*""))&gt;0,countif(filter(Status!$C:$C,Status!$A:$A=$A199),CONCATENATE(AM$2,""*"")),"""")"),"")</f>
        <v/>
      </c>
      <c r="AN199" s="23" t="str">
        <f>IFERROR(__xludf.DUMMYFUNCTION("if(countif(filter(Status!$C:$C,Status!$A:$A=$A199),CONCATENATE(AN$2,""*""))&gt;0,countif(filter(Status!$C:$C,Status!$A:$A=$A199),CONCATENATE(AN$2,""*"")),"""")"),"")</f>
        <v/>
      </c>
      <c r="AO199" s="23" t="str">
        <f>IFERROR(__xludf.DUMMYFUNCTION("if(countif(filter(Status!$C:$C,Status!$A:$A=$A199),CONCATENATE(AO$2,""*""))&gt;0,countif(filter(Status!$C:$C,Status!$A:$A=$A199),CONCATENATE(AO$2,""*"")),"""")"),"")</f>
        <v/>
      </c>
      <c r="AP199" s="23">
        <f>IFERROR(__xludf.DUMMYFUNCTION("counta(iferror(filter(Status!C:C,Status!A:A=A199)))"),0.0)</f>
        <v>0</v>
      </c>
      <c r="AQ199" s="23">
        <f t="shared" si="6"/>
        <v>0</v>
      </c>
    </row>
    <row r="200">
      <c r="A200" s="1" t="s">
        <v>1302</v>
      </c>
      <c r="B200" s="25" t="str">
        <f>IFERROR(__xludf.DUMMYFUNCTION("max(filter(Status!E:E,Status!A:A=A200))"),"#N/A")</f>
        <v>#N/A</v>
      </c>
      <c r="C200" s="23" t="str">
        <f t="shared" si="1"/>
        <v/>
      </c>
      <c r="D200" s="23" t="str">
        <f t="shared" si="2"/>
        <v/>
      </c>
      <c r="E200" s="23" t="str">
        <f t="shared" si="3"/>
        <v/>
      </c>
      <c r="F200" s="23" t="str">
        <f t="shared" si="4"/>
        <v/>
      </c>
      <c r="G200" s="25" t="str">
        <f t="shared" si="5"/>
        <v/>
      </c>
      <c r="J200" s="23">
        <f>IFERROR(__xludf.DUMMYFUNCTION("COUNTA(iferror(filter(Status!H:H,Status!A:A=A200)))"),0.0)</f>
        <v>0</v>
      </c>
      <c r="K200" s="25">
        <f>IFERROR(__xludf.DUMMYFUNCTION("COUNTA(iferror(filter(Status!H:H,Status!A:A=A200,Status!H:H=TRUE)))"),0.0)</f>
        <v>0</v>
      </c>
      <c r="L200" s="23">
        <f>IFERROR(__xludf.DUMMYFUNCTION("COUNTA(iferror(filter(Status!L:L,Status!A:A=A200)))"),0.0)</f>
        <v>0</v>
      </c>
      <c r="M200" s="25">
        <f>IFERROR(__xludf.DUMMYFUNCTION("COUNTA(iferror(filter(Status!L:L,Status!A:A=A200,Status!L:L=TRUE)))"),0.0)</f>
        <v>0</v>
      </c>
      <c r="N200" s="23">
        <f>IFERROR(__xludf.DUMMYFUNCTION("COUNTA(iferror(filter(Status!N:N,Status!A:A=A200,Status!N:N=TRUE)))"),0.0)</f>
        <v>0</v>
      </c>
      <c r="O200" s="25">
        <f>IFERROR(__xludf.DUMMYFUNCTION("COUNTA(iferror(filter(Status!N:N,Status!A:A=A200,Status!N:N=TRUE)))"),0.0)</f>
        <v>0</v>
      </c>
      <c r="P200" s="23">
        <f>IFERROR(__xludf.DUMMYFUNCTION("COUNTA(iferror(filter(Status!P:P,Status!A:A=A200)))"),0.0)</f>
        <v>0</v>
      </c>
      <c r="Q200" s="25">
        <f>IFERROR(__xludf.DUMMYFUNCTION("COUNTA(iferror(filter(Status!P:P,Status!A:A=A200,Status!P:P=TRUE)))"),0.0)</f>
        <v>0</v>
      </c>
      <c r="R200" s="23">
        <f>IFERROR(__xludf.DUMMYFUNCTION("COUNTA(iferror(filter(Status!R:R,Status!A:A=A200)))"),0.0)</f>
        <v>0</v>
      </c>
      <c r="S200" s="25">
        <f>IFERROR(__xludf.DUMMYFUNCTION("COUNTA(iferror(filter(Status!R:R,Status!A:A=A200,Status!R:R=TRUE)))"),0.0)</f>
        <v>0</v>
      </c>
      <c r="V200" s="23" t="str">
        <f>IFERROR(__xludf.DUMMYFUNCTION("if((countif(filter(Status!$C:$C,Status!$A:$A=$A200),CONCATENATE(V$2,""*""))-W200)&gt;0,(countif(filter(Status!$C:$C,Status!$A:$A=$A200),CONCATENATE(V$2,""*""))-W200),"""")"),"")</f>
        <v/>
      </c>
      <c r="W200" s="23" t="str">
        <f>IFERROR(__xludf.DUMMYFUNCTION("if(countif(filter(Status!$C:$C,Status!$A:$A=$A200),CONCATENATE(W$2,""*""))&gt;0,countif(filter(Status!$C:$C,Status!$A:$A=$A200),CONCATENATE(W$2,""*"")),"""")"),"")</f>
        <v/>
      </c>
      <c r="X200" s="23" t="str">
        <f>IFERROR(__xludf.DUMMYFUNCTION("if(countif(filter(Status!$C:$C,Status!$A:$A=$A200),CONCATENATE(X$2,""*""))&gt;0,countif(filter(Status!$C:$C,Status!$A:$A=$A200),CONCATENATE(X$2,""*"")),"""")"),"")</f>
        <v/>
      </c>
      <c r="Y200" s="23" t="str">
        <f>IFERROR(__xludf.DUMMYFUNCTION("if(countif(filter(Status!$C:$C,Status!$A:$A=$A200),CONCATENATE(Y$2,""*""))&gt;0,countif(filter(Status!$C:$C,Status!$A:$A=$A200),CONCATENATE(Y$2,""*"")),"""")"),"")</f>
        <v/>
      </c>
      <c r="Z200" s="23" t="str">
        <f>IFERROR(__xludf.DUMMYFUNCTION("if(countif(filter(Status!$C:$C,Status!$A:$A=$A200),CONCATENATE(Z$2,""*""))&gt;0,countif(filter(Status!$C:$C,Status!$A:$A=$A200),CONCATENATE(Z$2,""*"")),"""")"),"")</f>
        <v/>
      </c>
      <c r="AA200" s="23" t="str">
        <f>IFERROR(__xludf.DUMMYFUNCTION("if((countif(filter(Status!$C:$C,Status!$A:$A=$A200),CONCATENATE(AA$2,""*""))-AB200)&gt;0,(countif(filter(Status!$C:$C,Status!$A:$A=$A200),CONCATENATE(AA$2,""*""))-AB200),"""")"),"")</f>
        <v/>
      </c>
      <c r="AB200" s="23" t="str">
        <f>IFERROR(__xludf.DUMMYFUNCTION("if(countif(filter(Status!$C:$C,Status!$A:$A=$A200),CONCATENATE(AB$2,""*""))&gt;0,countif(filter(Status!$C:$C,Status!$A:$A=$A200),CONCATENATE(AB$2,""*"")),"""")"),"")</f>
        <v/>
      </c>
      <c r="AC200" s="23" t="str">
        <f>IFERROR(__xludf.DUMMYFUNCTION("if(countif(filter(Status!$C:$C,Status!$A:$A=$A200),CONCATENATE(AC$2,""*""))&gt;0,countif(filter(Status!$C:$C,Status!$A:$A=$A200),CONCATENATE(AC$2,""*"")),"""")"),"")</f>
        <v/>
      </c>
      <c r="AD200" s="23" t="str">
        <f>IFERROR(__xludf.DUMMYFUNCTION("if(countif(filter(Status!$C:$C,Status!$A:$A=$A200),CONCATENATE(AD$2,""*""))&gt;0,countif(filter(Status!$C:$C,Status!$A:$A=$A200),CONCATENATE(AD$2,""*"")),"""")"),"")</f>
        <v/>
      </c>
      <c r="AE200" s="23" t="str">
        <f>IFERROR(__xludf.DUMMYFUNCTION("if(countif(filter(Status!$C:$C,Status!$A:$A=$A200),CONCATENATE(AE$2,""*""))&gt;0,countif(filter(Status!$C:$C,Status!$A:$A=$A200),CONCATENATE(AE$2,""*"")),"""")"),"")</f>
        <v/>
      </c>
      <c r="AF200" s="23" t="str">
        <f>IFERROR(__xludf.DUMMYFUNCTION("if(countif(filter(Status!$C:$C,Status!$A:$A=$A200),CONCATENATE(AF$2,""*""))&gt;0,countif(filter(Status!$C:$C,Status!$A:$A=$A200),CONCATENATE(AF$2,""*"")),"""")"),"")</f>
        <v/>
      </c>
      <c r="AG200" s="23" t="str">
        <f>IFERROR(__xludf.DUMMYFUNCTION("if(countif(filter(Status!$C:$C,Status!$A:$A=$A200),CONCATENATE(AG$2,""*""))&gt;0,countif(filter(Status!$C:$C,Status!$A:$A=$A200),CONCATENATE(AG$2,""*"")),"""")"),"")</f>
        <v/>
      </c>
      <c r="AH200" s="23" t="str">
        <f>IFERROR(__xludf.DUMMYFUNCTION("if(countif(filter(Status!$C:$C,Status!$A:$A=$A200),CONCATENATE(AH$2,""*""))&gt;0,countif(filter(Status!$C:$C,Status!$A:$A=$A200),CONCATENATE(AH$2,""*"")),"""")"),"")</f>
        <v/>
      </c>
      <c r="AI200" s="23" t="str">
        <f>IFERROR(__xludf.DUMMYFUNCTION("if(countif(filter(Status!$C:$C,Status!$A:$A=$A200),CONCATENATE(AI$2,""*""))&gt;0,countif(filter(Status!$C:$C,Status!$A:$A=$A200),CONCATENATE(AI$2,""*"")),"""")"),"")</f>
        <v/>
      </c>
      <c r="AJ200" s="23" t="str">
        <f>IFERROR(__xludf.DUMMYFUNCTION("if(countif(filter(Status!$C:$C,Status!$A:$A=$A200),CONCATENATE(AJ$2,""*""))&gt;0,countif(filter(Status!$C:$C,Status!$A:$A=$A200),CONCATENATE(AJ$2,""*"")),"""")"),"")</f>
        <v/>
      </c>
      <c r="AK200" s="23" t="str">
        <f>IFERROR(__xludf.DUMMYFUNCTION("if(countif(filter(Status!$C:$C,Status!$A:$A=$A200),CONCATENATE(AK$2,""*""))&gt;0,countif(filter(Status!$C:$C,Status!$A:$A=$A200),CONCATENATE(AK$2,""*"")),"""")"),"")</f>
        <v/>
      </c>
      <c r="AL200" s="23" t="str">
        <f>IFERROR(__xludf.DUMMYFUNCTION("if(countif(filter(Status!$C:$C,Status!$A:$A=$A200),CONCATENATE(AL$2,""*""))&gt;0,countif(filter(Status!$C:$C,Status!$A:$A=$A200),CONCATENATE(AL$2,""*"")),"""")"),"")</f>
        <v/>
      </c>
      <c r="AM200" s="23" t="str">
        <f>IFERROR(__xludf.DUMMYFUNCTION("if(countif(filter(Status!$C:$C,Status!$A:$A=$A200),CONCATENATE(AM$2,""*""))&gt;0,countif(filter(Status!$C:$C,Status!$A:$A=$A200),CONCATENATE(AM$2,""*"")),"""")"),"")</f>
        <v/>
      </c>
      <c r="AN200" s="23" t="str">
        <f>IFERROR(__xludf.DUMMYFUNCTION("if(countif(filter(Status!$C:$C,Status!$A:$A=$A200),CONCATENATE(AN$2,""*""))&gt;0,countif(filter(Status!$C:$C,Status!$A:$A=$A200),CONCATENATE(AN$2,""*"")),"""")"),"")</f>
        <v/>
      </c>
      <c r="AO200" s="23" t="str">
        <f>IFERROR(__xludf.DUMMYFUNCTION("if(countif(filter(Status!$C:$C,Status!$A:$A=$A200),CONCATENATE(AO$2,""*""))&gt;0,countif(filter(Status!$C:$C,Status!$A:$A=$A200),CONCATENATE(AO$2,""*"")),"""")"),"")</f>
        <v/>
      </c>
      <c r="AP200" s="23">
        <f>IFERROR(__xludf.DUMMYFUNCTION("counta(iferror(filter(Status!C:C,Status!A:A=A200)))"),0.0)</f>
        <v>0</v>
      </c>
      <c r="AQ200" s="23">
        <f t="shared" si="6"/>
        <v>0</v>
      </c>
    </row>
    <row r="201">
      <c r="A201" s="1" t="s">
        <v>1305</v>
      </c>
      <c r="B201" s="25" t="str">
        <f>IFERROR(__xludf.DUMMYFUNCTION("max(filter(Status!E:E,Status!A:A=A201))"),"#N/A")</f>
        <v>#N/A</v>
      </c>
      <c r="C201" s="23" t="str">
        <f t="shared" si="1"/>
        <v/>
      </c>
      <c r="D201" s="23" t="str">
        <f t="shared" si="2"/>
        <v/>
      </c>
      <c r="E201" s="23" t="str">
        <f t="shared" si="3"/>
        <v/>
      </c>
      <c r="F201" s="23" t="str">
        <f t="shared" si="4"/>
        <v/>
      </c>
      <c r="G201" s="25" t="str">
        <f t="shared" si="5"/>
        <v/>
      </c>
      <c r="J201" s="23">
        <f>IFERROR(__xludf.DUMMYFUNCTION("COUNTA(iferror(filter(Status!H:H,Status!A:A=A201)))"),0.0)</f>
        <v>0</v>
      </c>
      <c r="K201" s="25">
        <f>IFERROR(__xludf.DUMMYFUNCTION("COUNTA(iferror(filter(Status!H:H,Status!A:A=A201,Status!H:H=TRUE)))"),0.0)</f>
        <v>0</v>
      </c>
      <c r="L201" s="23">
        <f>IFERROR(__xludf.DUMMYFUNCTION("COUNTA(iferror(filter(Status!L:L,Status!A:A=A201)))"),0.0)</f>
        <v>0</v>
      </c>
      <c r="M201" s="25">
        <f>IFERROR(__xludf.DUMMYFUNCTION("COUNTA(iferror(filter(Status!L:L,Status!A:A=A201,Status!L:L=TRUE)))"),0.0)</f>
        <v>0</v>
      </c>
      <c r="N201" s="23">
        <f>IFERROR(__xludf.DUMMYFUNCTION("COUNTA(iferror(filter(Status!N:N,Status!A:A=A201,Status!N:N=TRUE)))"),0.0)</f>
        <v>0</v>
      </c>
      <c r="O201" s="25">
        <f>IFERROR(__xludf.DUMMYFUNCTION("COUNTA(iferror(filter(Status!N:N,Status!A:A=A201,Status!N:N=TRUE)))"),0.0)</f>
        <v>0</v>
      </c>
      <c r="P201" s="23">
        <f>IFERROR(__xludf.DUMMYFUNCTION("COUNTA(iferror(filter(Status!P:P,Status!A:A=A201)))"),0.0)</f>
        <v>0</v>
      </c>
      <c r="Q201" s="25">
        <f>IFERROR(__xludf.DUMMYFUNCTION("COUNTA(iferror(filter(Status!P:P,Status!A:A=A201,Status!P:P=TRUE)))"),0.0)</f>
        <v>0</v>
      </c>
      <c r="R201" s="23">
        <f>IFERROR(__xludf.DUMMYFUNCTION("COUNTA(iferror(filter(Status!R:R,Status!A:A=A201)))"),0.0)</f>
        <v>0</v>
      </c>
      <c r="S201" s="25">
        <f>IFERROR(__xludf.DUMMYFUNCTION("COUNTA(iferror(filter(Status!R:R,Status!A:A=A201,Status!R:R=TRUE)))"),0.0)</f>
        <v>0</v>
      </c>
      <c r="V201" s="23" t="str">
        <f>IFERROR(__xludf.DUMMYFUNCTION("if((countif(filter(Status!$C:$C,Status!$A:$A=$A201),CONCATENATE(V$2,""*""))-W201)&gt;0,(countif(filter(Status!$C:$C,Status!$A:$A=$A201),CONCATENATE(V$2,""*""))-W201),"""")"),"")</f>
        <v/>
      </c>
      <c r="W201" s="23" t="str">
        <f>IFERROR(__xludf.DUMMYFUNCTION("if(countif(filter(Status!$C:$C,Status!$A:$A=$A201),CONCATENATE(W$2,""*""))&gt;0,countif(filter(Status!$C:$C,Status!$A:$A=$A201),CONCATENATE(W$2,""*"")),"""")"),"")</f>
        <v/>
      </c>
      <c r="X201" s="23" t="str">
        <f>IFERROR(__xludf.DUMMYFUNCTION("if(countif(filter(Status!$C:$C,Status!$A:$A=$A201),CONCATENATE(X$2,""*""))&gt;0,countif(filter(Status!$C:$C,Status!$A:$A=$A201),CONCATENATE(X$2,""*"")),"""")"),"")</f>
        <v/>
      </c>
      <c r="Y201" s="23" t="str">
        <f>IFERROR(__xludf.DUMMYFUNCTION("if(countif(filter(Status!$C:$C,Status!$A:$A=$A201),CONCATENATE(Y$2,""*""))&gt;0,countif(filter(Status!$C:$C,Status!$A:$A=$A201),CONCATENATE(Y$2,""*"")),"""")"),"")</f>
        <v/>
      </c>
      <c r="Z201" s="23" t="str">
        <f>IFERROR(__xludf.DUMMYFUNCTION("if(countif(filter(Status!$C:$C,Status!$A:$A=$A201),CONCATENATE(Z$2,""*""))&gt;0,countif(filter(Status!$C:$C,Status!$A:$A=$A201),CONCATENATE(Z$2,""*"")),"""")"),"")</f>
        <v/>
      </c>
      <c r="AA201" s="23" t="str">
        <f>IFERROR(__xludf.DUMMYFUNCTION("if((countif(filter(Status!$C:$C,Status!$A:$A=$A201),CONCATENATE(AA$2,""*""))-AB201)&gt;0,(countif(filter(Status!$C:$C,Status!$A:$A=$A201),CONCATENATE(AA$2,""*""))-AB201),"""")"),"")</f>
        <v/>
      </c>
      <c r="AB201" s="23" t="str">
        <f>IFERROR(__xludf.DUMMYFUNCTION("if(countif(filter(Status!$C:$C,Status!$A:$A=$A201),CONCATENATE(AB$2,""*""))&gt;0,countif(filter(Status!$C:$C,Status!$A:$A=$A201),CONCATENATE(AB$2,""*"")),"""")"),"")</f>
        <v/>
      </c>
      <c r="AC201" s="23" t="str">
        <f>IFERROR(__xludf.DUMMYFUNCTION("if(countif(filter(Status!$C:$C,Status!$A:$A=$A201),CONCATENATE(AC$2,""*""))&gt;0,countif(filter(Status!$C:$C,Status!$A:$A=$A201),CONCATENATE(AC$2,""*"")),"""")"),"")</f>
        <v/>
      </c>
      <c r="AD201" s="23" t="str">
        <f>IFERROR(__xludf.DUMMYFUNCTION("if(countif(filter(Status!$C:$C,Status!$A:$A=$A201),CONCATENATE(AD$2,""*""))&gt;0,countif(filter(Status!$C:$C,Status!$A:$A=$A201),CONCATENATE(AD$2,""*"")),"""")"),"")</f>
        <v/>
      </c>
      <c r="AE201" s="23" t="str">
        <f>IFERROR(__xludf.DUMMYFUNCTION("if(countif(filter(Status!$C:$C,Status!$A:$A=$A201),CONCATENATE(AE$2,""*""))&gt;0,countif(filter(Status!$C:$C,Status!$A:$A=$A201),CONCATENATE(AE$2,""*"")),"""")"),"")</f>
        <v/>
      </c>
      <c r="AF201" s="23" t="str">
        <f>IFERROR(__xludf.DUMMYFUNCTION("if(countif(filter(Status!$C:$C,Status!$A:$A=$A201),CONCATENATE(AF$2,""*""))&gt;0,countif(filter(Status!$C:$C,Status!$A:$A=$A201),CONCATENATE(AF$2,""*"")),"""")"),"")</f>
        <v/>
      </c>
      <c r="AG201" s="23" t="str">
        <f>IFERROR(__xludf.DUMMYFUNCTION("if(countif(filter(Status!$C:$C,Status!$A:$A=$A201),CONCATENATE(AG$2,""*""))&gt;0,countif(filter(Status!$C:$C,Status!$A:$A=$A201),CONCATENATE(AG$2,""*"")),"""")"),"")</f>
        <v/>
      </c>
      <c r="AH201" s="23" t="str">
        <f>IFERROR(__xludf.DUMMYFUNCTION("if(countif(filter(Status!$C:$C,Status!$A:$A=$A201),CONCATENATE(AH$2,""*""))&gt;0,countif(filter(Status!$C:$C,Status!$A:$A=$A201),CONCATENATE(AH$2,""*"")),"""")"),"")</f>
        <v/>
      </c>
      <c r="AI201" s="23" t="str">
        <f>IFERROR(__xludf.DUMMYFUNCTION("if(countif(filter(Status!$C:$C,Status!$A:$A=$A201),CONCATENATE(AI$2,""*""))&gt;0,countif(filter(Status!$C:$C,Status!$A:$A=$A201),CONCATENATE(AI$2,""*"")),"""")"),"")</f>
        <v/>
      </c>
      <c r="AJ201" s="23" t="str">
        <f>IFERROR(__xludf.DUMMYFUNCTION("if(countif(filter(Status!$C:$C,Status!$A:$A=$A201),CONCATENATE(AJ$2,""*""))&gt;0,countif(filter(Status!$C:$C,Status!$A:$A=$A201),CONCATENATE(AJ$2,""*"")),"""")"),"")</f>
        <v/>
      </c>
      <c r="AK201" s="23" t="str">
        <f>IFERROR(__xludf.DUMMYFUNCTION("if(countif(filter(Status!$C:$C,Status!$A:$A=$A201),CONCATENATE(AK$2,""*""))&gt;0,countif(filter(Status!$C:$C,Status!$A:$A=$A201),CONCATENATE(AK$2,""*"")),"""")"),"")</f>
        <v/>
      </c>
      <c r="AL201" s="23" t="str">
        <f>IFERROR(__xludf.DUMMYFUNCTION("if(countif(filter(Status!$C:$C,Status!$A:$A=$A201),CONCATENATE(AL$2,""*""))&gt;0,countif(filter(Status!$C:$C,Status!$A:$A=$A201),CONCATENATE(AL$2,""*"")),"""")"),"")</f>
        <v/>
      </c>
      <c r="AM201" s="23" t="str">
        <f>IFERROR(__xludf.DUMMYFUNCTION("if(countif(filter(Status!$C:$C,Status!$A:$A=$A201),CONCATENATE(AM$2,""*""))&gt;0,countif(filter(Status!$C:$C,Status!$A:$A=$A201),CONCATENATE(AM$2,""*"")),"""")"),"")</f>
        <v/>
      </c>
      <c r="AN201" s="23" t="str">
        <f>IFERROR(__xludf.DUMMYFUNCTION("if(countif(filter(Status!$C:$C,Status!$A:$A=$A201),CONCATENATE(AN$2,""*""))&gt;0,countif(filter(Status!$C:$C,Status!$A:$A=$A201),CONCATENATE(AN$2,""*"")),"""")"),"")</f>
        <v/>
      </c>
      <c r="AO201" s="23" t="str">
        <f>IFERROR(__xludf.DUMMYFUNCTION("if(countif(filter(Status!$C:$C,Status!$A:$A=$A201),CONCATENATE(AO$2,""*""))&gt;0,countif(filter(Status!$C:$C,Status!$A:$A=$A201),CONCATENATE(AO$2,""*"")),"""")"),"")</f>
        <v/>
      </c>
      <c r="AP201" s="23">
        <f>IFERROR(__xludf.DUMMYFUNCTION("counta(iferror(filter(Status!C:C,Status!A:A=A201)))"),0.0)</f>
        <v>0</v>
      </c>
      <c r="AQ201" s="23">
        <f t="shared" si="6"/>
        <v>0</v>
      </c>
    </row>
    <row r="202">
      <c r="A202" s="1" t="s">
        <v>1308</v>
      </c>
      <c r="B202" s="25" t="str">
        <f>IFERROR(__xludf.DUMMYFUNCTION("max(filter(Status!E:E,Status!A:A=A202))"),"#N/A")</f>
        <v>#N/A</v>
      </c>
      <c r="C202" s="23" t="str">
        <f t="shared" si="1"/>
        <v/>
      </c>
      <c r="D202" s="23" t="str">
        <f t="shared" si="2"/>
        <v/>
      </c>
      <c r="E202" s="23" t="str">
        <f t="shared" si="3"/>
        <v/>
      </c>
      <c r="F202" s="23" t="str">
        <f t="shared" si="4"/>
        <v/>
      </c>
      <c r="G202" s="25" t="str">
        <f t="shared" si="5"/>
        <v/>
      </c>
      <c r="J202" s="23">
        <f>IFERROR(__xludf.DUMMYFUNCTION("COUNTA(iferror(filter(Status!H:H,Status!A:A=A202)))"),0.0)</f>
        <v>0</v>
      </c>
      <c r="K202" s="25">
        <f>IFERROR(__xludf.DUMMYFUNCTION("COUNTA(iferror(filter(Status!H:H,Status!A:A=A202,Status!H:H=TRUE)))"),0.0)</f>
        <v>0</v>
      </c>
      <c r="L202" s="23">
        <f>IFERROR(__xludf.DUMMYFUNCTION("COUNTA(iferror(filter(Status!L:L,Status!A:A=A202)))"),0.0)</f>
        <v>0</v>
      </c>
      <c r="M202" s="25">
        <f>IFERROR(__xludf.DUMMYFUNCTION("COUNTA(iferror(filter(Status!L:L,Status!A:A=A202,Status!L:L=TRUE)))"),0.0)</f>
        <v>0</v>
      </c>
      <c r="N202" s="23">
        <f>IFERROR(__xludf.DUMMYFUNCTION("COUNTA(iferror(filter(Status!N:N,Status!A:A=A202,Status!N:N=TRUE)))"),0.0)</f>
        <v>0</v>
      </c>
      <c r="O202" s="25">
        <f>IFERROR(__xludf.DUMMYFUNCTION("COUNTA(iferror(filter(Status!N:N,Status!A:A=A202,Status!N:N=TRUE)))"),0.0)</f>
        <v>0</v>
      </c>
      <c r="P202" s="23">
        <f>IFERROR(__xludf.DUMMYFUNCTION("COUNTA(iferror(filter(Status!P:P,Status!A:A=A202)))"),0.0)</f>
        <v>0</v>
      </c>
      <c r="Q202" s="25">
        <f>IFERROR(__xludf.DUMMYFUNCTION("COUNTA(iferror(filter(Status!P:P,Status!A:A=A202,Status!P:P=TRUE)))"),0.0)</f>
        <v>0</v>
      </c>
      <c r="R202" s="23">
        <f>IFERROR(__xludf.DUMMYFUNCTION("COUNTA(iferror(filter(Status!R:R,Status!A:A=A202)))"),0.0)</f>
        <v>0</v>
      </c>
      <c r="S202" s="25">
        <f>IFERROR(__xludf.DUMMYFUNCTION("COUNTA(iferror(filter(Status!R:R,Status!A:A=A202,Status!R:R=TRUE)))"),0.0)</f>
        <v>0</v>
      </c>
      <c r="V202" s="23" t="str">
        <f>IFERROR(__xludf.DUMMYFUNCTION("if((countif(filter(Status!$C:$C,Status!$A:$A=$A202),CONCATENATE(V$2,""*""))-W202)&gt;0,(countif(filter(Status!$C:$C,Status!$A:$A=$A202),CONCATENATE(V$2,""*""))-W202),"""")"),"")</f>
        <v/>
      </c>
      <c r="W202" s="23" t="str">
        <f>IFERROR(__xludf.DUMMYFUNCTION("if(countif(filter(Status!$C:$C,Status!$A:$A=$A202),CONCATENATE(W$2,""*""))&gt;0,countif(filter(Status!$C:$C,Status!$A:$A=$A202),CONCATENATE(W$2,""*"")),"""")"),"")</f>
        <v/>
      </c>
      <c r="X202" s="23" t="str">
        <f>IFERROR(__xludf.DUMMYFUNCTION("if(countif(filter(Status!$C:$C,Status!$A:$A=$A202),CONCATENATE(X$2,""*""))&gt;0,countif(filter(Status!$C:$C,Status!$A:$A=$A202),CONCATENATE(X$2,""*"")),"""")"),"")</f>
        <v/>
      </c>
      <c r="Y202" s="23" t="str">
        <f>IFERROR(__xludf.DUMMYFUNCTION("if(countif(filter(Status!$C:$C,Status!$A:$A=$A202),CONCATENATE(Y$2,""*""))&gt;0,countif(filter(Status!$C:$C,Status!$A:$A=$A202),CONCATENATE(Y$2,""*"")),"""")"),"")</f>
        <v/>
      </c>
      <c r="Z202" s="23" t="str">
        <f>IFERROR(__xludf.DUMMYFUNCTION("if(countif(filter(Status!$C:$C,Status!$A:$A=$A202),CONCATENATE(Z$2,""*""))&gt;0,countif(filter(Status!$C:$C,Status!$A:$A=$A202),CONCATENATE(Z$2,""*"")),"""")"),"")</f>
        <v/>
      </c>
      <c r="AA202" s="23" t="str">
        <f>IFERROR(__xludf.DUMMYFUNCTION("if((countif(filter(Status!$C:$C,Status!$A:$A=$A202),CONCATENATE(AA$2,""*""))-AB202)&gt;0,(countif(filter(Status!$C:$C,Status!$A:$A=$A202),CONCATENATE(AA$2,""*""))-AB202),"""")"),"")</f>
        <v/>
      </c>
      <c r="AB202" s="23" t="str">
        <f>IFERROR(__xludf.DUMMYFUNCTION("if(countif(filter(Status!$C:$C,Status!$A:$A=$A202),CONCATENATE(AB$2,""*""))&gt;0,countif(filter(Status!$C:$C,Status!$A:$A=$A202),CONCATENATE(AB$2,""*"")),"""")"),"")</f>
        <v/>
      </c>
      <c r="AC202" s="23" t="str">
        <f>IFERROR(__xludf.DUMMYFUNCTION("if(countif(filter(Status!$C:$C,Status!$A:$A=$A202),CONCATENATE(AC$2,""*""))&gt;0,countif(filter(Status!$C:$C,Status!$A:$A=$A202),CONCATENATE(AC$2,""*"")),"""")"),"")</f>
        <v/>
      </c>
      <c r="AD202" s="23" t="str">
        <f>IFERROR(__xludf.DUMMYFUNCTION("if(countif(filter(Status!$C:$C,Status!$A:$A=$A202),CONCATENATE(AD$2,""*""))&gt;0,countif(filter(Status!$C:$C,Status!$A:$A=$A202),CONCATENATE(AD$2,""*"")),"""")"),"")</f>
        <v/>
      </c>
      <c r="AE202" s="23" t="str">
        <f>IFERROR(__xludf.DUMMYFUNCTION("if(countif(filter(Status!$C:$C,Status!$A:$A=$A202),CONCATENATE(AE$2,""*""))&gt;0,countif(filter(Status!$C:$C,Status!$A:$A=$A202),CONCATENATE(AE$2,""*"")),"""")"),"")</f>
        <v/>
      </c>
      <c r="AF202" s="23" t="str">
        <f>IFERROR(__xludf.DUMMYFUNCTION("if(countif(filter(Status!$C:$C,Status!$A:$A=$A202),CONCATENATE(AF$2,""*""))&gt;0,countif(filter(Status!$C:$C,Status!$A:$A=$A202),CONCATENATE(AF$2,""*"")),"""")"),"")</f>
        <v/>
      </c>
      <c r="AG202" s="23" t="str">
        <f>IFERROR(__xludf.DUMMYFUNCTION("if(countif(filter(Status!$C:$C,Status!$A:$A=$A202),CONCATENATE(AG$2,""*""))&gt;0,countif(filter(Status!$C:$C,Status!$A:$A=$A202),CONCATENATE(AG$2,""*"")),"""")"),"")</f>
        <v/>
      </c>
      <c r="AH202" s="23" t="str">
        <f>IFERROR(__xludf.DUMMYFUNCTION("if(countif(filter(Status!$C:$C,Status!$A:$A=$A202),CONCATENATE(AH$2,""*""))&gt;0,countif(filter(Status!$C:$C,Status!$A:$A=$A202),CONCATENATE(AH$2,""*"")),"""")"),"")</f>
        <v/>
      </c>
      <c r="AI202" s="23" t="str">
        <f>IFERROR(__xludf.DUMMYFUNCTION("if(countif(filter(Status!$C:$C,Status!$A:$A=$A202),CONCATENATE(AI$2,""*""))&gt;0,countif(filter(Status!$C:$C,Status!$A:$A=$A202),CONCATENATE(AI$2,""*"")),"""")"),"")</f>
        <v/>
      </c>
      <c r="AJ202" s="23" t="str">
        <f>IFERROR(__xludf.DUMMYFUNCTION("if(countif(filter(Status!$C:$C,Status!$A:$A=$A202),CONCATENATE(AJ$2,""*""))&gt;0,countif(filter(Status!$C:$C,Status!$A:$A=$A202),CONCATENATE(AJ$2,""*"")),"""")"),"")</f>
        <v/>
      </c>
      <c r="AK202" s="23" t="str">
        <f>IFERROR(__xludf.DUMMYFUNCTION("if(countif(filter(Status!$C:$C,Status!$A:$A=$A202),CONCATENATE(AK$2,""*""))&gt;0,countif(filter(Status!$C:$C,Status!$A:$A=$A202),CONCATENATE(AK$2,""*"")),"""")"),"")</f>
        <v/>
      </c>
      <c r="AL202" s="23" t="str">
        <f>IFERROR(__xludf.DUMMYFUNCTION("if(countif(filter(Status!$C:$C,Status!$A:$A=$A202),CONCATENATE(AL$2,""*""))&gt;0,countif(filter(Status!$C:$C,Status!$A:$A=$A202),CONCATENATE(AL$2,""*"")),"""")"),"")</f>
        <v/>
      </c>
      <c r="AM202" s="23" t="str">
        <f>IFERROR(__xludf.DUMMYFUNCTION("if(countif(filter(Status!$C:$C,Status!$A:$A=$A202),CONCATENATE(AM$2,""*""))&gt;0,countif(filter(Status!$C:$C,Status!$A:$A=$A202),CONCATENATE(AM$2,""*"")),"""")"),"")</f>
        <v/>
      </c>
      <c r="AN202" s="23" t="str">
        <f>IFERROR(__xludf.DUMMYFUNCTION("if(countif(filter(Status!$C:$C,Status!$A:$A=$A202),CONCATENATE(AN$2,""*""))&gt;0,countif(filter(Status!$C:$C,Status!$A:$A=$A202),CONCATENATE(AN$2,""*"")),"""")"),"")</f>
        <v/>
      </c>
      <c r="AO202" s="23" t="str">
        <f>IFERROR(__xludf.DUMMYFUNCTION("if(countif(filter(Status!$C:$C,Status!$A:$A=$A202),CONCATENATE(AO$2,""*""))&gt;0,countif(filter(Status!$C:$C,Status!$A:$A=$A202),CONCATENATE(AO$2,""*"")),"""")"),"")</f>
        <v/>
      </c>
      <c r="AP202" s="23">
        <f>IFERROR(__xludf.DUMMYFUNCTION("counta(iferror(filter(Status!C:C,Status!A:A=A202)))"),0.0)</f>
        <v>0</v>
      </c>
      <c r="AQ202" s="23">
        <f t="shared" si="6"/>
        <v>0</v>
      </c>
    </row>
    <row r="203">
      <c r="A203" s="1" t="s">
        <v>1311</v>
      </c>
      <c r="B203" s="25" t="str">
        <f>IFERROR(__xludf.DUMMYFUNCTION("max(filter(Status!E:E,Status!A:A=A203))"),"#N/A")</f>
        <v>#N/A</v>
      </c>
      <c r="C203" s="23" t="str">
        <f t="shared" si="1"/>
        <v/>
      </c>
      <c r="D203" s="23" t="str">
        <f t="shared" si="2"/>
        <v/>
      </c>
      <c r="E203" s="23" t="str">
        <f t="shared" si="3"/>
        <v/>
      </c>
      <c r="F203" s="23" t="str">
        <f t="shared" si="4"/>
        <v/>
      </c>
      <c r="G203" s="25" t="str">
        <f t="shared" si="5"/>
        <v/>
      </c>
      <c r="J203" s="23">
        <f>IFERROR(__xludf.DUMMYFUNCTION("COUNTA(iferror(filter(Status!H:H,Status!A:A=A203)))"),0.0)</f>
        <v>0</v>
      </c>
      <c r="K203" s="25">
        <f>IFERROR(__xludf.DUMMYFUNCTION("COUNTA(iferror(filter(Status!H:H,Status!A:A=A203,Status!H:H=TRUE)))"),0.0)</f>
        <v>0</v>
      </c>
      <c r="L203" s="23">
        <f>IFERROR(__xludf.DUMMYFUNCTION("COUNTA(iferror(filter(Status!L:L,Status!A:A=A203)))"),0.0)</f>
        <v>0</v>
      </c>
      <c r="M203" s="25">
        <f>IFERROR(__xludf.DUMMYFUNCTION("COUNTA(iferror(filter(Status!L:L,Status!A:A=A203,Status!L:L=TRUE)))"),0.0)</f>
        <v>0</v>
      </c>
      <c r="N203" s="23">
        <f>IFERROR(__xludf.DUMMYFUNCTION("COUNTA(iferror(filter(Status!N:N,Status!A:A=A203,Status!N:N=TRUE)))"),0.0)</f>
        <v>0</v>
      </c>
      <c r="O203" s="25">
        <f>IFERROR(__xludf.DUMMYFUNCTION("COUNTA(iferror(filter(Status!N:N,Status!A:A=A203,Status!N:N=TRUE)))"),0.0)</f>
        <v>0</v>
      </c>
      <c r="P203" s="23">
        <f>IFERROR(__xludf.DUMMYFUNCTION("COUNTA(iferror(filter(Status!P:P,Status!A:A=A203)))"),0.0)</f>
        <v>0</v>
      </c>
      <c r="Q203" s="25">
        <f>IFERROR(__xludf.DUMMYFUNCTION("COUNTA(iferror(filter(Status!P:P,Status!A:A=A203,Status!P:P=TRUE)))"),0.0)</f>
        <v>0</v>
      </c>
      <c r="R203" s="23">
        <f>IFERROR(__xludf.DUMMYFUNCTION("COUNTA(iferror(filter(Status!R:R,Status!A:A=A203)))"),0.0)</f>
        <v>0</v>
      </c>
      <c r="S203" s="25">
        <f>IFERROR(__xludf.DUMMYFUNCTION("COUNTA(iferror(filter(Status!R:R,Status!A:A=A203,Status!R:R=TRUE)))"),0.0)</f>
        <v>0</v>
      </c>
      <c r="V203" s="23" t="str">
        <f>IFERROR(__xludf.DUMMYFUNCTION("if((countif(filter(Status!$C:$C,Status!$A:$A=$A203),CONCATENATE(V$2,""*""))-W203)&gt;0,(countif(filter(Status!$C:$C,Status!$A:$A=$A203),CONCATENATE(V$2,""*""))-W203),"""")"),"")</f>
        <v/>
      </c>
      <c r="W203" s="23" t="str">
        <f>IFERROR(__xludf.DUMMYFUNCTION("if(countif(filter(Status!$C:$C,Status!$A:$A=$A203),CONCATENATE(W$2,""*""))&gt;0,countif(filter(Status!$C:$C,Status!$A:$A=$A203),CONCATENATE(W$2,""*"")),"""")"),"")</f>
        <v/>
      </c>
      <c r="X203" s="23" t="str">
        <f>IFERROR(__xludf.DUMMYFUNCTION("if(countif(filter(Status!$C:$C,Status!$A:$A=$A203),CONCATENATE(X$2,""*""))&gt;0,countif(filter(Status!$C:$C,Status!$A:$A=$A203),CONCATENATE(X$2,""*"")),"""")"),"")</f>
        <v/>
      </c>
      <c r="Y203" s="23" t="str">
        <f>IFERROR(__xludf.DUMMYFUNCTION("if(countif(filter(Status!$C:$C,Status!$A:$A=$A203),CONCATENATE(Y$2,""*""))&gt;0,countif(filter(Status!$C:$C,Status!$A:$A=$A203),CONCATENATE(Y$2,""*"")),"""")"),"")</f>
        <v/>
      </c>
      <c r="Z203" s="23" t="str">
        <f>IFERROR(__xludf.DUMMYFUNCTION("if(countif(filter(Status!$C:$C,Status!$A:$A=$A203),CONCATENATE(Z$2,""*""))&gt;0,countif(filter(Status!$C:$C,Status!$A:$A=$A203),CONCATENATE(Z$2,""*"")),"""")"),"")</f>
        <v/>
      </c>
      <c r="AA203" s="23" t="str">
        <f>IFERROR(__xludf.DUMMYFUNCTION("if((countif(filter(Status!$C:$C,Status!$A:$A=$A203),CONCATENATE(AA$2,""*""))-AB203)&gt;0,(countif(filter(Status!$C:$C,Status!$A:$A=$A203),CONCATENATE(AA$2,""*""))-AB203),"""")"),"")</f>
        <v/>
      </c>
      <c r="AB203" s="23" t="str">
        <f>IFERROR(__xludf.DUMMYFUNCTION("if(countif(filter(Status!$C:$C,Status!$A:$A=$A203),CONCATENATE(AB$2,""*""))&gt;0,countif(filter(Status!$C:$C,Status!$A:$A=$A203),CONCATENATE(AB$2,""*"")),"""")"),"")</f>
        <v/>
      </c>
      <c r="AC203" s="23" t="str">
        <f>IFERROR(__xludf.DUMMYFUNCTION("if(countif(filter(Status!$C:$C,Status!$A:$A=$A203),CONCATENATE(AC$2,""*""))&gt;0,countif(filter(Status!$C:$C,Status!$A:$A=$A203),CONCATENATE(AC$2,""*"")),"""")"),"")</f>
        <v/>
      </c>
      <c r="AD203" s="23" t="str">
        <f>IFERROR(__xludf.DUMMYFUNCTION("if(countif(filter(Status!$C:$C,Status!$A:$A=$A203),CONCATENATE(AD$2,""*""))&gt;0,countif(filter(Status!$C:$C,Status!$A:$A=$A203),CONCATENATE(AD$2,""*"")),"""")"),"")</f>
        <v/>
      </c>
      <c r="AE203" s="23" t="str">
        <f>IFERROR(__xludf.DUMMYFUNCTION("if(countif(filter(Status!$C:$C,Status!$A:$A=$A203),CONCATENATE(AE$2,""*""))&gt;0,countif(filter(Status!$C:$C,Status!$A:$A=$A203),CONCATENATE(AE$2,""*"")),"""")"),"")</f>
        <v/>
      </c>
      <c r="AF203" s="23" t="str">
        <f>IFERROR(__xludf.DUMMYFUNCTION("if(countif(filter(Status!$C:$C,Status!$A:$A=$A203),CONCATENATE(AF$2,""*""))&gt;0,countif(filter(Status!$C:$C,Status!$A:$A=$A203),CONCATENATE(AF$2,""*"")),"""")"),"")</f>
        <v/>
      </c>
      <c r="AG203" s="23" t="str">
        <f>IFERROR(__xludf.DUMMYFUNCTION("if(countif(filter(Status!$C:$C,Status!$A:$A=$A203),CONCATENATE(AG$2,""*""))&gt;0,countif(filter(Status!$C:$C,Status!$A:$A=$A203),CONCATENATE(AG$2,""*"")),"""")"),"")</f>
        <v/>
      </c>
      <c r="AH203" s="23" t="str">
        <f>IFERROR(__xludf.DUMMYFUNCTION("if(countif(filter(Status!$C:$C,Status!$A:$A=$A203),CONCATENATE(AH$2,""*""))&gt;0,countif(filter(Status!$C:$C,Status!$A:$A=$A203),CONCATENATE(AH$2,""*"")),"""")"),"")</f>
        <v/>
      </c>
      <c r="AI203" s="23" t="str">
        <f>IFERROR(__xludf.DUMMYFUNCTION("if(countif(filter(Status!$C:$C,Status!$A:$A=$A203),CONCATENATE(AI$2,""*""))&gt;0,countif(filter(Status!$C:$C,Status!$A:$A=$A203),CONCATENATE(AI$2,""*"")),"""")"),"")</f>
        <v/>
      </c>
      <c r="AJ203" s="23" t="str">
        <f>IFERROR(__xludf.DUMMYFUNCTION("if(countif(filter(Status!$C:$C,Status!$A:$A=$A203),CONCATENATE(AJ$2,""*""))&gt;0,countif(filter(Status!$C:$C,Status!$A:$A=$A203),CONCATENATE(AJ$2,""*"")),"""")"),"")</f>
        <v/>
      </c>
      <c r="AK203" s="23" t="str">
        <f>IFERROR(__xludf.DUMMYFUNCTION("if(countif(filter(Status!$C:$C,Status!$A:$A=$A203),CONCATENATE(AK$2,""*""))&gt;0,countif(filter(Status!$C:$C,Status!$A:$A=$A203),CONCATENATE(AK$2,""*"")),"""")"),"")</f>
        <v/>
      </c>
      <c r="AL203" s="23" t="str">
        <f>IFERROR(__xludf.DUMMYFUNCTION("if(countif(filter(Status!$C:$C,Status!$A:$A=$A203),CONCATENATE(AL$2,""*""))&gt;0,countif(filter(Status!$C:$C,Status!$A:$A=$A203),CONCATENATE(AL$2,""*"")),"""")"),"")</f>
        <v/>
      </c>
      <c r="AM203" s="23" t="str">
        <f>IFERROR(__xludf.DUMMYFUNCTION("if(countif(filter(Status!$C:$C,Status!$A:$A=$A203),CONCATENATE(AM$2,""*""))&gt;0,countif(filter(Status!$C:$C,Status!$A:$A=$A203),CONCATENATE(AM$2,""*"")),"""")"),"")</f>
        <v/>
      </c>
      <c r="AN203" s="23" t="str">
        <f>IFERROR(__xludf.DUMMYFUNCTION("if(countif(filter(Status!$C:$C,Status!$A:$A=$A203),CONCATENATE(AN$2,""*""))&gt;0,countif(filter(Status!$C:$C,Status!$A:$A=$A203),CONCATENATE(AN$2,""*"")),"""")"),"")</f>
        <v/>
      </c>
      <c r="AO203" s="23" t="str">
        <f>IFERROR(__xludf.DUMMYFUNCTION("if(countif(filter(Status!$C:$C,Status!$A:$A=$A203),CONCATENATE(AO$2,""*""))&gt;0,countif(filter(Status!$C:$C,Status!$A:$A=$A203),CONCATENATE(AO$2,""*"")),"""")"),"")</f>
        <v/>
      </c>
      <c r="AP203" s="23">
        <f>IFERROR(__xludf.DUMMYFUNCTION("counta(iferror(filter(Status!C:C,Status!A:A=A203)))"),0.0)</f>
        <v>0</v>
      </c>
      <c r="AQ203" s="23">
        <f t="shared" si="6"/>
        <v>0</v>
      </c>
    </row>
    <row r="204">
      <c r="A204" s="1" t="s">
        <v>1314</v>
      </c>
      <c r="B204" s="25" t="str">
        <f>IFERROR(__xludf.DUMMYFUNCTION("max(filter(Status!E:E,Status!A:A=A204))"),"#N/A")</f>
        <v>#N/A</v>
      </c>
      <c r="C204" s="23" t="str">
        <f t="shared" si="1"/>
        <v/>
      </c>
      <c r="D204" s="23" t="str">
        <f t="shared" si="2"/>
        <v/>
      </c>
      <c r="E204" s="23" t="str">
        <f t="shared" si="3"/>
        <v/>
      </c>
      <c r="F204" s="23" t="str">
        <f t="shared" si="4"/>
        <v/>
      </c>
      <c r="G204" s="25" t="str">
        <f t="shared" si="5"/>
        <v/>
      </c>
      <c r="J204" s="23">
        <f>IFERROR(__xludf.DUMMYFUNCTION("COUNTA(iferror(filter(Status!H:H,Status!A:A=A204)))"),0.0)</f>
        <v>0</v>
      </c>
      <c r="K204" s="25">
        <f>IFERROR(__xludf.DUMMYFUNCTION("COUNTA(iferror(filter(Status!H:H,Status!A:A=A204,Status!H:H=TRUE)))"),0.0)</f>
        <v>0</v>
      </c>
      <c r="L204" s="23">
        <f>IFERROR(__xludf.DUMMYFUNCTION("COUNTA(iferror(filter(Status!L:L,Status!A:A=A204)))"),0.0)</f>
        <v>0</v>
      </c>
      <c r="M204" s="25">
        <f>IFERROR(__xludf.DUMMYFUNCTION("COUNTA(iferror(filter(Status!L:L,Status!A:A=A204,Status!L:L=TRUE)))"),0.0)</f>
        <v>0</v>
      </c>
      <c r="N204" s="23">
        <f>IFERROR(__xludf.DUMMYFUNCTION("COUNTA(iferror(filter(Status!N:N,Status!A:A=A204,Status!N:N=TRUE)))"),0.0)</f>
        <v>0</v>
      </c>
      <c r="O204" s="25">
        <f>IFERROR(__xludf.DUMMYFUNCTION("COUNTA(iferror(filter(Status!N:N,Status!A:A=A204,Status!N:N=TRUE)))"),0.0)</f>
        <v>0</v>
      </c>
      <c r="P204" s="23">
        <f>IFERROR(__xludf.DUMMYFUNCTION("COUNTA(iferror(filter(Status!P:P,Status!A:A=A204)))"),0.0)</f>
        <v>0</v>
      </c>
      <c r="Q204" s="25">
        <f>IFERROR(__xludf.DUMMYFUNCTION("COUNTA(iferror(filter(Status!P:P,Status!A:A=A204,Status!P:P=TRUE)))"),0.0)</f>
        <v>0</v>
      </c>
      <c r="R204" s="23">
        <f>IFERROR(__xludf.DUMMYFUNCTION("COUNTA(iferror(filter(Status!R:R,Status!A:A=A204)))"),0.0)</f>
        <v>0</v>
      </c>
      <c r="S204" s="25">
        <f>IFERROR(__xludf.DUMMYFUNCTION("COUNTA(iferror(filter(Status!R:R,Status!A:A=A204,Status!R:R=TRUE)))"),0.0)</f>
        <v>0</v>
      </c>
      <c r="V204" s="23" t="str">
        <f>IFERROR(__xludf.DUMMYFUNCTION("if((countif(filter(Status!$C:$C,Status!$A:$A=$A204),CONCATENATE(V$2,""*""))-W204)&gt;0,(countif(filter(Status!$C:$C,Status!$A:$A=$A204),CONCATENATE(V$2,""*""))-W204),"""")"),"")</f>
        <v/>
      </c>
      <c r="W204" s="23" t="str">
        <f>IFERROR(__xludf.DUMMYFUNCTION("if(countif(filter(Status!$C:$C,Status!$A:$A=$A204),CONCATENATE(W$2,""*""))&gt;0,countif(filter(Status!$C:$C,Status!$A:$A=$A204),CONCATENATE(W$2,""*"")),"""")"),"")</f>
        <v/>
      </c>
      <c r="X204" s="23" t="str">
        <f>IFERROR(__xludf.DUMMYFUNCTION("if(countif(filter(Status!$C:$C,Status!$A:$A=$A204),CONCATENATE(X$2,""*""))&gt;0,countif(filter(Status!$C:$C,Status!$A:$A=$A204),CONCATENATE(X$2,""*"")),"""")"),"")</f>
        <v/>
      </c>
      <c r="Y204" s="23" t="str">
        <f>IFERROR(__xludf.DUMMYFUNCTION("if(countif(filter(Status!$C:$C,Status!$A:$A=$A204),CONCATENATE(Y$2,""*""))&gt;0,countif(filter(Status!$C:$C,Status!$A:$A=$A204),CONCATENATE(Y$2,""*"")),"""")"),"")</f>
        <v/>
      </c>
      <c r="Z204" s="23" t="str">
        <f>IFERROR(__xludf.DUMMYFUNCTION("if(countif(filter(Status!$C:$C,Status!$A:$A=$A204),CONCATENATE(Z$2,""*""))&gt;0,countif(filter(Status!$C:$C,Status!$A:$A=$A204),CONCATENATE(Z$2,""*"")),"""")"),"")</f>
        <v/>
      </c>
      <c r="AA204" s="23" t="str">
        <f>IFERROR(__xludf.DUMMYFUNCTION("if((countif(filter(Status!$C:$C,Status!$A:$A=$A204),CONCATENATE(AA$2,""*""))-AB204)&gt;0,(countif(filter(Status!$C:$C,Status!$A:$A=$A204),CONCATENATE(AA$2,""*""))-AB204),"""")"),"")</f>
        <v/>
      </c>
      <c r="AB204" s="23" t="str">
        <f>IFERROR(__xludf.DUMMYFUNCTION("if(countif(filter(Status!$C:$C,Status!$A:$A=$A204),CONCATENATE(AB$2,""*""))&gt;0,countif(filter(Status!$C:$C,Status!$A:$A=$A204),CONCATENATE(AB$2,""*"")),"""")"),"")</f>
        <v/>
      </c>
      <c r="AC204" s="23" t="str">
        <f>IFERROR(__xludf.DUMMYFUNCTION("if(countif(filter(Status!$C:$C,Status!$A:$A=$A204),CONCATENATE(AC$2,""*""))&gt;0,countif(filter(Status!$C:$C,Status!$A:$A=$A204),CONCATENATE(AC$2,""*"")),"""")"),"")</f>
        <v/>
      </c>
      <c r="AD204" s="23" t="str">
        <f>IFERROR(__xludf.DUMMYFUNCTION("if(countif(filter(Status!$C:$C,Status!$A:$A=$A204),CONCATENATE(AD$2,""*""))&gt;0,countif(filter(Status!$C:$C,Status!$A:$A=$A204),CONCATENATE(AD$2,""*"")),"""")"),"")</f>
        <v/>
      </c>
      <c r="AE204" s="23" t="str">
        <f>IFERROR(__xludf.DUMMYFUNCTION("if(countif(filter(Status!$C:$C,Status!$A:$A=$A204),CONCATENATE(AE$2,""*""))&gt;0,countif(filter(Status!$C:$C,Status!$A:$A=$A204),CONCATENATE(AE$2,""*"")),"""")"),"")</f>
        <v/>
      </c>
      <c r="AF204" s="23" t="str">
        <f>IFERROR(__xludf.DUMMYFUNCTION("if(countif(filter(Status!$C:$C,Status!$A:$A=$A204),CONCATENATE(AF$2,""*""))&gt;0,countif(filter(Status!$C:$C,Status!$A:$A=$A204),CONCATENATE(AF$2,""*"")),"""")"),"")</f>
        <v/>
      </c>
      <c r="AG204" s="23" t="str">
        <f>IFERROR(__xludf.DUMMYFUNCTION("if(countif(filter(Status!$C:$C,Status!$A:$A=$A204),CONCATENATE(AG$2,""*""))&gt;0,countif(filter(Status!$C:$C,Status!$A:$A=$A204),CONCATENATE(AG$2,""*"")),"""")"),"")</f>
        <v/>
      </c>
      <c r="AH204" s="23" t="str">
        <f>IFERROR(__xludf.DUMMYFUNCTION("if(countif(filter(Status!$C:$C,Status!$A:$A=$A204),CONCATENATE(AH$2,""*""))&gt;0,countif(filter(Status!$C:$C,Status!$A:$A=$A204),CONCATENATE(AH$2,""*"")),"""")"),"")</f>
        <v/>
      </c>
      <c r="AI204" s="23" t="str">
        <f>IFERROR(__xludf.DUMMYFUNCTION("if(countif(filter(Status!$C:$C,Status!$A:$A=$A204),CONCATENATE(AI$2,""*""))&gt;0,countif(filter(Status!$C:$C,Status!$A:$A=$A204),CONCATENATE(AI$2,""*"")),"""")"),"")</f>
        <v/>
      </c>
      <c r="AJ204" s="23" t="str">
        <f>IFERROR(__xludf.DUMMYFUNCTION("if(countif(filter(Status!$C:$C,Status!$A:$A=$A204),CONCATENATE(AJ$2,""*""))&gt;0,countif(filter(Status!$C:$C,Status!$A:$A=$A204),CONCATENATE(AJ$2,""*"")),"""")"),"")</f>
        <v/>
      </c>
      <c r="AK204" s="23" t="str">
        <f>IFERROR(__xludf.DUMMYFUNCTION("if(countif(filter(Status!$C:$C,Status!$A:$A=$A204),CONCATENATE(AK$2,""*""))&gt;0,countif(filter(Status!$C:$C,Status!$A:$A=$A204),CONCATENATE(AK$2,""*"")),"""")"),"")</f>
        <v/>
      </c>
      <c r="AL204" s="23" t="str">
        <f>IFERROR(__xludf.DUMMYFUNCTION("if(countif(filter(Status!$C:$C,Status!$A:$A=$A204),CONCATENATE(AL$2,""*""))&gt;0,countif(filter(Status!$C:$C,Status!$A:$A=$A204),CONCATENATE(AL$2,""*"")),"""")"),"")</f>
        <v/>
      </c>
      <c r="AM204" s="23" t="str">
        <f>IFERROR(__xludf.DUMMYFUNCTION("if(countif(filter(Status!$C:$C,Status!$A:$A=$A204),CONCATENATE(AM$2,""*""))&gt;0,countif(filter(Status!$C:$C,Status!$A:$A=$A204),CONCATENATE(AM$2,""*"")),"""")"),"")</f>
        <v/>
      </c>
      <c r="AN204" s="23" t="str">
        <f>IFERROR(__xludf.DUMMYFUNCTION("if(countif(filter(Status!$C:$C,Status!$A:$A=$A204),CONCATENATE(AN$2,""*""))&gt;0,countif(filter(Status!$C:$C,Status!$A:$A=$A204),CONCATENATE(AN$2,""*"")),"""")"),"")</f>
        <v/>
      </c>
      <c r="AO204" s="23" t="str">
        <f>IFERROR(__xludf.DUMMYFUNCTION("if(countif(filter(Status!$C:$C,Status!$A:$A=$A204),CONCATENATE(AO$2,""*""))&gt;0,countif(filter(Status!$C:$C,Status!$A:$A=$A204),CONCATENATE(AO$2,""*"")),"""")"),"")</f>
        <v/>
      </c>
      <c r="AP204" s="23">
        <f>IFERROR(__xludf.DUMMYFUNCTION("counta(iferror(filter(Status!C:C,Status!A:A=A204)))"),0.0)</f>
        <v>0</v>
      </c>
      <c r="AQ204" s="23">
        <f t="shared" si="6"/>
        <v>0</v>
      </c>
    </row>
    <row r="205">
      <c r="A205" s="1" t="s">
        <v>1318</v>
      </c>
      <c r="B205" s="25" t="str">
        <f>IFERROR(__xludf.DUMMYFUNCTION("max(filter(Status!E:E,Status!A:A=A205))"),"#N/A")</f>
        <v>#N/A</v>
      </c>
      <c r="C205" s="23" t="str">
        <f t="shared" si="1"/>
        <v/>
      </c>
      <c r="D205" s="23" t="str">
        <f t="shared" si="2"/>
        <v/>
      </c>
      <c r="E205" s="23" t="str">
        <f t="shared" si="3"/>
        <v/>
      </c>
      <c r="F205" s="23" t="str">
        <f t="shared" si="4"/>
        <v/>
      </c>
      <c r="G205" s="25" t="str">
        <f t="shared" si="5"/>
        <v/>
      </c>
      <c r="J205" s="23">
        <f>IFERROR(__xludf.DUMMYFUNCTION("COUNTA(iferror(filter(Status!H:H,Status!A:A=A205)))"),0.0)</f>
        <v>0</v>
      </c>
      <c r="K205" s="25">
        <f>IFERROR(__xludf.DUMMYFUNCTION("COUNTA(iferror(filter(Status!H:H,Status!A:A=A205,Status!H:H=TRUE)))"),0.0)</f>
        <v>0</v>
      </c>
      <c r="L205" s="23">
        <f>IFERROR(__xludf.DUMMYFUNCTION("COUNTA(iferror(filter(Status!L:L,Status!A:A=A205)))"),0.0)</f>
        <v>0</v>
      </c>
      <c r="M205" s="25">
        <f>IFERROR(__xludf.DUMMYFUNCTION("COUNTA(iferror(filter(Status!L:L,Status!A:A=A205,Status!L:L=TRUE)))"),0.0)</f>
        <v>0</v>
      </c>
      <c r="N205" s="23">
        <f>IFERROR(__xludf.DUMMYFUNCTION("COUNTA(iferror(filter(Status!N:N,Status!A:A=A205,Status!N:N=TRUE)))"),0.0)</f>
        <v>0</v>
      </c>
      <c r="O205" s="25">
        <f>IFERROR(__xludf.DUMMYFUNCTION("COUNTA(iferror(filter(Status!N:N,Status!A:A=A205,Status!N:N=TRUE)))"),0.0)</f>
        <v>0</v>
      </c>
      <c r="P205" s="23">
        <f>IFERROR(__xludf.DUMMYFUNCTION("COUNTA(iferror(filter(Status!P:P,Status!A:A=A205)))"),0.0)</f>
        <v>0</v>
      </c>
      <c r="Q205" s="25">
        <f>IFERROR(__xludf.DUMMYFUNCTION("COUNTA(iferror(filter(Status!P:P,Status!A:A=A205,Status!P:P=TRUE)))"),0.0)</f>
        <v>0</v>
      </c>
      <c r="R205" s="23">
        <f>IFERROR(__xludf.DUMMYFUNCTION("COUNTA(iferror(filter(Status!R:R,Status!A:A=A205)))"),0.0)</f>
        <v>0</v>
      </c>
      <c r="S205" s="25">
        <f>IFERROR(__xludf.DUMMYFUNCTION("COUNTA(iferror(filter(Status!R:R,Status!A:A=A205,Status!R:R=TRUE)))"),0.0)</f>
        <v>0</v>
      </c>
      <c r="V205" s="23" t="str">
        <f>IFERROR(__xludf.DUMMYFUNCTION("if((countif(filter(Status!$C:$C,Status!$A:$A=$A205),CONCATENATE(V$2,""*""))-W205)&gt;0,(countif(filter(Status!$C:$C,Status!$A:$A=$A205),CONCATENATE(V$2,""*""))-W205),"""")"),"")</f>
        <v/>
      </c>
      <c r="W205" s="23" t="str">
        <f>IFERROR(__xludf.DUMMYFUNCTION("if(countif(filter(Status!$C:$C,Status!$A:$A=$A205),CONCATENATE(W$2,""*""))&gt;0,countif(filter(Status!$C:$C,Status!$A:$A=$A205),CONCATENATE(W$2,""*"")),"""")"),"")</f>
        <v/>
      </c>
      <c r="X205" s="23" t="str">
        <f>IFERROR(__xludf.DUMMYFUNCTION("if(countif(filter(Status!$C:$C,Status!$A:$A=$A205),CONCATENATE(X$2,""*""))&gt;0,countif(filter(Status!$C:$C,Status!$A:$A=$A205),CONCATENATE(X$2,""*"")),"""")"),"")</f>
        <v/>
      </c>
      <c r="Y205" s="23" t="str">
        <f>IFERROR(__xludf.DUMMYFUNCTION("if(countif(filter(Status!$C:$C,Status!$A:$A=$A205),CONCATENATE(Y$2,""*""))&gt;0,countif(filter(Status!$C:$C,Status!$A:$A=$A205),CONCATENATE(Y$2,""*"")),"""")"),"")</f>
        <v/>
      </c>
      <c r="Z205" s="23" t="str">
        <f>IFERROR(__xludf.DUMMYFUNCTION("if(countif(filter(Status!$C:$C,Status!$A:$A=$A205),CONCATENATE(Z$2,""*""))&gt;0,countif(filter(Status!$C:$C,Status!$A:$A=$A205),CONCATENATE(Z$2,""*"")),"""")"),"")</f>
        <v/>
      </c>
      <c r="AA205" s="23" t="str">
        <f>IFERROR(__xludf.DUMMYFUNCTION("if((countif(filter(Status!$C:$C,Status!$A:$A=$A205),CONCATENATE(AA$2,""*""))-AB205)&gt;0,(countif(filter(Status!$C:$C,Status!$A:$A=$A205),CONCATENATE(AA$2,""*""))-AB205),"""")"),"")</f>
        <v/>
      </c>
      <c r="AB205" s="23" t="str">
        <f>IFERROR(__xludf.DUMMYFUNCTION("if(countif(filter(Status!$C:$C,Status!$A:$A=$A205),CONCATENATE(AB$2,""*""))&gt;0,countif(filter(Status!$C:$C,Status!$A:$A=$A205),CONCATENATE(AB$2,""*"")),"""")"),"")</f>
        <v/>
      </c>
      <c r="AC205" s="23" t="str">
        <f>IFERROR(__xludf.DUMMYFUNCTION("if(countif(filter(Status!$C:$C,Status!$A:$A=$A205),CONCATENATE(AC$2,""*""))&gt;0,countif(filter(Status!$C:$C,Status!$A:$A=$A205),CONCATENATE(AC$2,""*"")),"""")"),"")</f>
        <v/>
      </c>
      <c r="AD205" s="23" t="str">
        <f>IFERROR(__xludf.DUMMYFUNCTION("if(countif(filter(Status!$C:$C,Status!$A:$A=$A205),CONCATENATE(AD$2,""*""))&gt;0,countif(filter(Status!$C:$C,Status!$A:$A=$A205),CONCATENATE(AD$2,""*"")),"""")"),"")</f>
        <v/>
      </c>
      <c r="AE205" s="23" t="str">
        <f>IFERROR(__xludf.DUMMYFUNCTION("if(countif(filter(Status!$C:$C,Status!$A:$A=$A205),CONCATENATE(AE$2,""*""))&gt;0,countif(filter(Status!$C:$C,Status!$A:$A=$A205),CONCATENATE(AE$2,""*"")),"""")"),"")</f>
        <v/>
      </c>
      <c r="AF205" s="23" t="str">
        <f>IFERROR(__xludf.DUMMYFUNCTION("if(countif(filter(Status!$C:$C,Status!$A:$A=$A205),CONCATENATE(AF$2,""*""))&gt;0,countif(filter(Status!$C:$C,Status!$A:$A=$A205),CONCATENATE(AF$2,""*"")),"""")"),"")</f>
        <v/>
      </c>
      <c r="AG205" s="23" t="str">
        <f>IFERROR(__xludf.DUMMYFUNCTION("if(countif(filter(Status!$C:$C,Status!$A:$A=$A205),CONCATENATE(AG$2,""*""))&gt;0,countif(filter(Status!$C:$C,Status!$A:$A=$A205),CONCATENATE(AG$2,""*"")),"""")"),"")</f>
        <v/>
      </c>
      <c r="AH205" s="23" t="str">
        <f>IFERROR(__xludf.DUMMYFUNCTION("if(countif(filter(Status!$C:$C,Status!$A:$A=$A205),CONCATENATE(AH$2,""*""))&gt;0,countif(filter(Status!$C:$C,Status!$A:$A=$A205),CONCATENATE(AH$2,""*"")),"""")"),"")</f>
        <v/>
      </c>
      <c r="AI205" s="23" t="str">
        <f>IFERROR(__xludf.DUMMYFUNCTION("if(countif(filter(Status!$C:$C,Status!$A:$A=$A205),CONCATENATE(AI$2,""*""))&gt;0,countif(filter(Status!$C:$C,Status!$A:$A=$A205),CONCATENATE(AI$2,""*"")),"""")"),"")</f>
        <v/>
      </c>
      <c r="AJ205" s="23" t="str">
        <f>IFERROR(__xludf.DUMMYFUNCTION("if(countif(filter(Status!$C:$C,Status!$A:$A=$A205),CONCATENATE(AJ$2,""*""))&gt;0,countif(filter(Status!$C:$C,Status!$A:$A=$A205),CONCATENATE(AJ$2,""*"")),"""")"),"")</f>
        <v/>
      </c>
      <c r="AK205" s="23" t="str">
        <f>IFERROR(__xludf.DUMMYFUNCTION("if(countif(filter(Status!$C:$C,Status!$A:$A=$A205),CONCATENATE(AK$2,""*""))&gt;0,countif(filter(Status!$C:$C,Status!$A:$A=$A205),CONCATENATE(AK$2,""*"")),"""")"),"")</f>
        <v/>
      </c>
      <c r="AL205" s="23" t="str">
        <f>IFERROR(__xludf.DUMMYFUNCTION("if(countif(filter(Status!$C:$C,Status!$A:$A=$A205),CONCATENATE(AL$2,""*""))&gt;0,countif(filter(Status!$C:$C,Status!$A:$A=$A205),CONCATENATE(AL$2,""*"")),"""")"),"")</f>
        <v/>
      </c>
      <c r="AM205" s="23" t="str">
        <f>IFERROR(__xludf.DUMMYFUNCTION("if(countif(filter(Status!$C:$C,Status!$A:$A=$A205),CONCATENATE(AM$2,""*""))&gt;0,countif(filter(Status!$C:$C,Status!$A:$A=$A205),CONCATENATE(AM$2,""*"")),"""")"),"")</f>
        <v/>
      </c>
      <c r="AN205" s="23" t="str">
        <f>IFERROR(__xludf.DUMMYFUNCTION("if(countif(filter(Status!$C:$C,Status!$A:$A=$A205),CONCATENATE(AN$2,""*""))&gt;0,countif(filter(Status!$C:$C,Status!$A:$A=$A205),CONCATENATE(AN$2,""*"")),"""")"),"")</f>
        <v/>
      </c>
      <c r="AO205" s="23" t="str">
        <f>IFERROR(__xludf.DUMMYFUNCTION("if(countif(filter(Status!$C:$C,Status!$A:$A=$A205),CONCATENATE(AO$2,""*""))&gt;0,countif(filter(Status!$C:$C,Status!$A:$A=$A205),CONCATENATE(AO$2,""*"")),"""")"),"")</f>
        <v/>
      </c>
      <c r="AP205" s="23">
        <f>IFERROR(__xludf.DUMMYFUNCTION("counta(iferror(filter(Status!C:C,Status!A:A=A205)))"),0.0)</f>
        <v>0</v>
      </c>
      <c r="AQ205" s="23">
        <f t="shared" si="6"/>
        <v>0</v>
      </c>
    </row>
    <row r="206">
      <c r="A206" s="1" t="s">
        <v>1322</v>
      </c>
      <c r="B206" s="25" t="str">
        <f>IFERROR(__xludf.DUMMYFUNCTION("max(filter(Status!E:E,Status!A:A=A206))"),"#N/A")</f>
        <v>#N/A</v>
      </c>
      <c r="C206" s="23" t="str">
        <f t="shared" si="1"/>
        <v/>
      </c>
      <c r="D206" s="23" t="str">
        <f t="shared" si="2"/>
        <v/>
      </c>
      <c r="E206" s="23" t="str">
        <f t="shared" si="3"/>
        <v/>
      </c>
      <c r="F206" s="23" t="str">
        <f t="shared" si="4"/>
        <v/>
      </c>
      <c r="G206" s="25" t="str">
        <f t="shared" si="5"/>
        <v/>
      </c>
      <c r="J206" s="23">
        <f>IFERROR(__xludf.DUMMYFUNCTION("COUNTA(iferror(filter(Status!H:H,Status!A:A=A206)))"),0.0)</f>
        <v>0</v>
      </c>
      <c r="K206" s="25">
        <f>IFERROR(__xludf.DUMMYFUNCTION("COUNTA(iferror(filter(Status!H:H,Status!A:A=A206,Status!H:H=TRUE)))"),0.0)</f>
        <v>0</v>
      </c>
      <c r="L206" s="23">
        <f>IFERROR(__xludf.DUMMYFUNCTION("COUNTA(iferror(filter(Status!L:L,Status!A:A=A206)))"),0.0)</f>
        <v>0</v>
      </c>
      <c r="M206" s="25">
        <f>IFERROR(__xludf.DUMMYFUNCTION("COUNTA(iferror(filter(Status!L:L,Status!A:A=A206,Status!L:L=TRUE)))"),0.0)</f>
        <v>0</v>
      </c>
      <c r="N206" s="23">
        <f>IFERROR(__xludf.DUMMYFUNCTION("COUNTA(iferror(filter(Status!N:N,Status!A:A=A206,Status!N:N=TRUE)))"),0.0)</f>
        <v>0</v>
      </c>
      <c r="O206" s="25">
        <f>IFERROR(__xludf.DUMMYFUNCTION("COUNTA(iferror(filter(Status!N:N,Status!A:A=A206,Status!N:N=TRUE)))"),0.0)</f>
        <v>0</v>
      </c>
      <c r="P206" s="23">
        <f>IFERROR(__xludf.DUMMYFUNCTION("COUNTA(iferror(filter(Status!P:P,Status!A:A=A206)))"),0.0)</f>
        <v>0</v>
      </c>
      <c r="Q206" s="25">
        <f>IFERROR(__xludf.DUMMYFUNCTION("COUNTA(iferror(filter(Status!P:P,Status!A:A=A206,Status!P:P=TRUE)))"),0.0)</f>
        <v>0</v>
      </c>
      <c r="R206" s="23">
        <f>IFERROR(__xludf.DUMMYFUNCTION("COUNTA(iferror(filter(Status!R:R,Status!A:A=A206)))"),0.0)</f>
        <v>0</v>
      </c>
      <c r="S206" s="25">
        <f>IFERROR(__xludf.DUMMYFUNCTION("COUNTA(iferror(filter(Status!R:R,Status!A:A=A206,Status!R:R=TRUE)))"),0.0)</f>
        <v>0</v>
      </c>
      <c r="V206" s="23" t="str">
        <f>IFERROR(__xludf.DUMMYFUNCTION("if((countif(filter(Status!$C:$C,Status!$A:$A=$A206),CONCATENATE(V$2,""*""))-W206)&gt;0,(countif(filter(Status!$C:$C,Status!$A:$A=$A206),CONCATENATE(V$2,""*""))-W206),"""")"),"")</f>
        <v/>
      </c>
      <c r="W206" s="23" t="str">
        <f>IFERROR(__xludf.DUMMYFUNCTION("if(countif(filter(Status!$C:$C,Status!$A:$A=$A206),CONCATENATE(W$2,""*""))&gt;0,countif(filter(Status!$C:$C,Status!$A:$A=$A206),CONCATENATE(W$2,""*"")),"""")"),"")</f>
        <v/>
      </c>
      <c r="X206" s="23" t="str">
        <f>IFERROR(__xludf.DUMMYFUNCTION("if(countif(filter(Status!$C:$C,Status!$A:$A=$A206),CONCATENATE(X$2,""*""))&gt;0,countif(filter(Status!$C:$C,Status!$A:$A=$A206),CONCATENATE(X$2,""*"")),"""")"),"")</f>
        <v/>
      </c>
      <c r="Y206" s="23" t="str">
        <f>IFERROR(__xludf.DUMMYFUNCTION("if(countif(filter(Status!$C:$C,Status!$A:$A=$A206),CONCATENATE(Y$2,""*""))&gt;0,countif(filter(Status!$C:$C,Status!$A:$A=$A206),CONCATENATE(Y$2,""*"")),"""")"),"")</f>
        <v/>
      </c>
      <c r="Z206" s="23" t="str">
        <f>IFERROR(__xludf.DUMMYFUNCTION("if(countif(filter(Status!$C:$C,Status!$A:$A=$A206),CONCATENATE(Z$2,""*""))&gt;0,countif(filter(Status!$C:$C,Status!$A:$A=$A206),CONCATENATE(Z$2,""*"")),"""")"),"")</f>
        <v/>
      </c>
      <c r="AA206" s="23" t="str">
        <f>IFERROR(__xludf.DUMMYFUNCTION("if((countif(filter(Status!$C:$C,Status!$A:$A=$A206),CONCATENATE(AA$2,""*""))-AB206)&gt;0,(countif(filter(Status!$C:$C,Status!$A:$A=$A206),CONCATENATE(AA$2,""*""))-AB206),"""")"),"")</f>
        <v/>
      </c>
      <c r="AB206" s="23" t="str">
        <f>IFERROR(__xludf.DUMMYFUNCTION("if(countif(filter(Status!$C:$C,Status!$A:$A=$A206),CONCATENATE(AB$2,""*""))&gt;0,countif(filter(Status!$C:$C,Status!$A:$A=$A206),CONCATENATE(AB$2,""*"")),"""")"),"")</f>
        <v/>
      </c>
      <c r="AC206" s="23" t="str">
        <f>IFERROR(__xludf.DUMMYFUNCTION("if(countif(filter(Status!$C:$C,Status!$A:$A=$A206),CONCATENATE(AC$2,""*""))&gt;0,countif(filter(Status!$C:$C,Status!$A:$A=$A206),CONCATENATE(AC$2,""*"")),"""")"),"")</f>
        <v/>
      </c>
      <c r="AD206" s="23" t="str">
        <f>IFERROR(__xludf.DUMMYFUNCTION("if(countif(filter(Status!$C:$C,Status!$A:$A=$A206),CONCATENATE(AD$2,""*""))&gt;0,countif(filter(Status!$C:$C,Status!$A:$A=$A206),CONCATENATE(AD$2,""*"")),"""")"),"")</f>
        <v/>
      </c>
      <c r="AE206" s="23" t="str">
        <f>IFERROR(__xludf.DUMMYFUNCTION("if(countif(filter(Status!$C:$C,Status!$A:$A=$A206),CONCATENATE(AE$2,""*""))&gt;0,countif(filter(Status!$C:$C,Status!$A:$A=$A206),CONCATENATE(AE$2,""*"")),"""")"),"")</f>
        <v/>
      </c>
      <c r="AF206" s="23" t="str">
        <f>IFERROR(__xludf.DUMMYFUNCTION("if(countif(filter(Status!$C:$C,Status!$A:$A=$A206),CONCATENATE(AF$2,""*""))&gt;0,countif(filter(Status!$C:$C,Status!$A:$A=$A206),CONCATENATE(AF$2,""*"")),"""")"),"")</f>
        <v/>
      </c>
      <c r="AG206" s="23" t="str">
        <f>IFERROR(__xludf.DUMMYFUNCTION("if(countif(filter(Status!$C:$C,Status!$A:$A=$A206),CONCATENATE(AG$2,""*""))&gt;0,countif(filter(Status!$C:$C,Status!$A:$A=$A206),CONCATENATE(AG$2,""*"")),"""")"),"")</f>
        <v/>
      </c>
      <c r="AH206" s="23" t="str">
        <f>IFERROR(__xludf.DUMMYFUNCTION("if(countif(filter(Status!$C:$C,Status!$A:$A=$A206),CONCATENATE(AH$2,""*""))&gt;0,countif(filter(Status!$C:$C,Status!$A:$A=$A206),CONCATENATE(AH$2,""*"")),"""")"),"")</f>
        <v/>
      </c>
      <c r="AI206" s="23" t="str">
        <f>IFERROR(__xludf.DUMMYFUNCTION("if(countif(filter(Status!$C:$C,Status!$A:$A=$A206),CONCATENATE(AI$2,""*""))&gt;0,countif(filter(Status!$C:$C,Status!$A:$A=$A206),CONCATENATE(AI$2,""*"")),"""")"),"")</f>
        <v/>
      </c>
      <c r="AJ206" s="23" t="str">
        <f>IFERROR(__xludf.DUMMYFUNCTION("if(countif(filter(Status!$C:$C,Status!$A:$A=$A206),CONCATENATE(AJ$2,""*""))&gt;0,countif(filter(Status!$C:$C,Status!$A:$A=$A206),CONCATENATE(AJ$2,""*"")),"""")"),"")</f>
        <v/>
      </c>
      <c r="AK206" s="23" t="str">
        <f>IFERROR(__xludf.DUMMYFUNCTION("if(countif(filter(Status!$C:$C,Status!$A:$A=$A206),CONCATENATE(AK$2,""*""))&gt;0,countif(filter(Status!$C:$C,Status!$A:$A=$A206),CONCATENATE(AK$2,""*"")),"""")"),"")</f>
        <v/>
      </c>
      <c r="AL206" s="23" t="str">
        <f>IFERROR(__xludf.DUMMYFUNCTION("if(countif(filter(Status!$C:$C,Status!$A:$A=$A206),CONCATENATE(AL$2,""*""))&gt;0,countif(filter(Status!$C:$C,Status!$A:$A=$A206),CONCATENATE(AL$2,""*"")),"""")"),"")</f>
        <v/>
      </c>
      <c r="AM206" s="23" t="str">
        <f>IFERROR(__xludf.DUMMYFUNCTION("if(countif(filter(Status!$C:$C,Status!$A:$A=$A206),CONCATENATE(AM$2,""*""))&gt;0,countif(filter(Status!$C:$C,Status!$A:$A=$A206),CONCATENATE(AM$2,""*"")),"""")"),"")</f>
        <v/>
      </c>
      <c r="AN206" s="23" t="str">
        <f>IFERROR(__xludf.DUMMYFUNCTION("if(countif(filter(Status!$C:$C,Status!$A:$A=$A206),CONCATENATE(AN$2,""*""))&gt;0,countif(filter(Status!$C:$C,Status!$A:$A=$A206),CONCATENATE(AN$2,""*"")),"""")"),"")</f>
        <v/>
      </c>
      <c r="AO206" s="23" t="str">
        <f>IFERROR(__xludf.DUMMYFUNCTION("if(countif(filter(Status!$C:$C,Status!$A:$A=$A206),CONCATENATE(AO$2,""*""))&gt;0,countif(filter(Status!$C:$C,Status!$A:$A=$A206),CONCATENATE(AO$2,""*"")),"""")"),"")</f>
        <v/>
      </c>
      <c r="AP206" s="23">
        <f>IFERROR(__xludf.DUMMYFUNCTION("counta(iferror(filter(Status!C:C,Status!A:A=A206)))"),0.0)</f>
        <v>0</v>
      </c>
      <c r="AQ206" s="23">
        <f t="shared" si="6"/>
        <v>0</v>
      </c>
    </row>
    <row r="207">
      <c r="A207" s="1" t="s">
        <v>1324</v>
      </c>
      <c r="B207" s="25" t="str">
        <f>IFERROR(__xludf.DUMMYFUNCTION("max(filter(Status!E:E,Status!A:A=A207))"),"#N/A")</f>
        <v>#N/A</v>
      </c>
      <c r="C207" s="23" t="str">
        <f t="shared" si="1"/>
        <v/>
      </c>
      <c r="D207" s="23" t="str">
        <f t="shared" si="2"/>
        <v/>
      </c>
      <c r="E207" s="23" t="str">
        <f t="shared" si="3"/>
        <v/>
      </c>
      <c r="F207" s="23" t="str">
        <f t="shared" si="4"/>
        <v/>
      </c>
      <c r="G207" s="25" t="str">
        <f t="shared" si="5"/>
        <v/>
      </c>
      <c r="J207" s="23">
        <f>IFERROR(__xludf.DUMMYFUNCTION("COUNTA(iferror(filter(Status!H:H,Status!A:A=A207)))"),0.0)</f>
        <v>0</v>
      </c>
      <c r="K207" s="25">
        <f>IFERROR(__xludf.DUMMYFUNCTION("COUNTA(iferror(filter(Status!H:H,Status!A:A=A207,Status!H:H=TRUE)))"),0.0)</f>
        <v>0</v>
      </c>
      <c r="L207" s="23">
        <f>IFERROR(__xludf.DUMMYFUNCTION("COUNTA(iferror(filter(Status!L:L,Status!A:A=A207)))"),0.0)</f>
        <v>0</v>
      </c>
      <c r="M207" s="25">
        <f>IFERROR(__xludf.DUMMYFUNCTION("COUNTA(iferror(filter(Status!L:L,Status!A:A=A207,Status!L:L=TRUE)))"),0.0)</f>
        <v>0</v>
      </c>
      <c r="N207" s="23">
        <f>IFERROR(__xludf.DUMMYFUNCTION("COUNTA(iferror(filter(Status!N:N,Status!A:A=A207,Status!N:N=TRUE)))"),0.0)</f>
        <v>0</v>
      </c>
      <c r="O207" s="25">
        <f>IFERROR(__xludf.DUMMYFUNCTION("COUNTA(iferror(filter(Status!N:N,Status!A:A=A207,Status!N:N=TRUE)))"),0.0)</f>
        <v>0</v>
      </c>
      <c r="P207" s="23">
        <f>IFERROR(__xludf.DUMMYFUNCTION("COUNTA(iferror(filter(Status!P:P,Status!A:A=A207)))"),0.0)</f>
        <v>0</v>
      </c>
      <c r="Q207" s="25">
        <f>IFERROR(__xludf.DUMMYFUNCTION("COUNTA(iferror(filter(Status!P:P,Status!A:A=A207,Status!P:P=TRUE)))"),0.0)</f>
        <v>0</v>
      </c>
      <c r="R207" s="23">
        <f>IFERROR(__xludf.DUMMYFUNCTION("COUNTA(iferror(filter(Status!R:R,Status!A:A=A207)))"),0.0)</f>
        <v>0</v>
      </c>
      <c r="S207" s="25">
        <f>IFERROR(__xludf.DUMMYFUNCTION("COUNTA(iferror(filter(Status!R:R,Status!A:A=A207,Status!R:R=TRUE)))"),0.0)</f>
        <v>0</v>
      </c>
      <c r="V207" s="23" t="str">
        <f>IFERROR(__xludf.DUMMYFUNCTION("if((countif(filter(Status!$C:$C,Status!$A:$A=$A207),CONCATENATE(V$2,""*""))-W207)&gt;0,(countif(filter(Status!$C:$C,Status!$A:$A=$A207),CONCATENATE(V$2,""*""))-W207),"""")"),"")</f>
        <v/>
      </c>
      <c r="W207" s="23" t="str">
        <f>IFERROR(__xludf.DUMMYFUNCTION("if(countif(filter(Status!$C:$C,Status!$A:$A=$A207),CONCATENATE(W$2,""*""))&gt;0,countif(filter(Status!$C:$C,Status!$A:$A=$A207),CONCATENATE(W$2,""*"")),"""")"),"")</f>
        <v/>
      </c>
      <c r="X207" s="23" t="str">
        <f>IFERROR(__xludf.DUMMYFUNCTION("if(countif(filter(Status!$C:$C,Status!$A:$A=$A207),CONCATENATE(X$2,""*""))&gt;0,countif(filter(Status!$C:$C,Status!$A:$A=$A207),CONCATENATE(X$2,""*"")),"""")"),"")</f>
        <v/>
      </c>
      <c r="Y207" s="23" t="str">
        <f>IFERROR(__xludf.DUMMYFUNCTION("if(countif(filter(Status!$C:$C,Status!$A:$A=$A207),CONCATENATE(Y$2,""*""))&gt;0,countif(filter(Status!$C:$C,Status!$A:$A=$A207),CONCATENATE(Y$2,""*"")),"""")"),"")</f>
        <v/>
      </c>
      <c r="Z207" s="23" t="str">
        <f>IFERROR(__xludf.DUMMYFUNCTION("if(countif(filter(Status!$C:$C,Status!$A:$A=$A207),CONCATENATE(Z$2,""*""))&gt;0,countif(filter(Status!$C:$C,Status!$A:$A=$A207),CONCATENATE(Z$2,""*"")),"""")"),"")</f>
        <v/>
      </c>
      <c r="AA207" s="23" t="str">
        <f>IFERROR(__xludf.DUMMYFUNCTION("if((countif(filter(Status!$C:$C,Status!$A:$A=$A207),CONCATENATE(AA$2,""*""))-AB207)&gt;0,(countif(filter(Status!$C:$C,Status!$A:$A=$A207),CONCATENATE(AA$2,""*""))-AB207),"""")"),"")</f>
        <v/>
      </c>
      <c r="AB207" s="23" t="str">
        <f>IFERROR(__xludf.DUMMYFUNCTION("if(countif(filter(Status!$C:$C,Status!$A:$A=$A207),CONCATENATE(AB$2,""*""))&gt;0,countif(filter(Status!$C:$C,Status!$A:$A=$A207),CONCATENATE(AB$2,""*"")),"""")"),"")</f>
        <v/>
      </c>
      <c r="AC207" s="23" t="str">
        <f>IFERROR(__xludf.DUMMYFUNCTION("if(countif(filter(Status!$C:$C,Status!$A:$A=$A207),CONCATENATE(AC$2,""*""))&gt;0,countif(filter(Status!$C:$C,Status!$A:$A=$A207),CONCATENATE(AC$2,""*"")),"""")"),"")</f>
        <v/>
      </c>
      <c r="AD207" s="23" t="str">
        <f>IFERROR(__xludf.DUMMYFUNCTION("if(countif(filter(Status!$C:$C,Status!$A:$A=$A207),CONCATENATE(AD$2,""*""))&gt;0,countif(filter(Status!$C:$C,Status!$A:$A=$A207),CONCATENATE(AD$2,""*"")),"""")"),"")</f>
        <v/>
      </c>
      <c r="AE207" s="23" t="str">
        <f>IFERROR(__xludf.DUMMYFUNCTION("if(countif(filter(Status!$C:$C,Status!$A:$A=$A207),CONCATENATE(AE$2,""*""))&gt;0,countif(filter(Status!$C:$C,Status!$A:$A=$A207),CONCATENATE(AE$2,""*"")),"""")"),"")</f>
        <v/>
      </c>
      <c r="AF207" s="23" t="str">
        <f>IFERROR(__xludf.DUMMYFUNCTION("if(countif(filter(Status!$C:$C,Status!$A:$A=$A207),CONCATENATE(AF$2,""*""))&gt;0,countif(filter(Status!$C:$C,Status!$A:$A=$A207),CONCATENATE(AF$2,""*"")),"""")"),"")</f>
        <v/>
      </c>
      <c r="AG207" s="23" t="str">
        <f>IFERROR(__xludf.DUMMYFUNCTION("if(countif(filter(Status!$C:$C,Status!$A:$A=$A207),CONCATENATE(AG$2,""*""))&gt;0,countif(filter(Status!$C:$C,Status!$A:$A=$A207),CONCATENATE(AG$2,""*"")),"""")"),"")</f>
        <v/>
      </c>
      <c r="AH207" s="23" t="str">
        <f>IFERROR(__xludf.DUMMYFUNCTION("if(countif(filter(Status!$C:$C,Status!$A:$A=$A207),CONCATENATE(AH$2,""*""))&gt;0,countif(filter(Status!$C:$C,Status!$A:$A=$A207),CONCATENATE(AH$2,""*"")),"""")"),"")</f>
        <v/>
      </c>
      <c r="AI207" s="23" t="str">
        <f>IFERROR(__xludf.DUMMYFUNCTION("if(countif(filter(Status!$C:$C,Status!$A:$A=$A207),CONCATENATE(AI$2,""*""))&gt;0,countif(filter(Status!$C:$C,Status!$A:$A=$A207),CONCATENATE(AI$2,""*"")),"""")"),"")</f>
        <v/>
      </c>
      <c r="AJ207" s="23" t="str">
        <f>IFERROR(__xludf.DUMMYFUNCTION("if(countif(filter(Status!$C:$C,Status!$A:$A=$A207),CONCATENATE(AJ$2,""*""))&gt;0,countif(filter(Status!$C:$C,Status!$A:$A=$A207),CONCATENATE(AJ$2,""*"")),"""")"),"")</f>
        <v/>
      </c>
      <c r="AK207" s="23" t="str">
        <f>IFERROR(__xludf.DUMMYFUNCTION("if(countif(filter(Status!$C:$C,Status!$A:$A=$A207),CONCATENATE(AK$2,""*""))&gt;0,countif(filter(Status!$C:$C,Status!$A:$A=$A207),CONCATENATE(AK$2,""*"")),"""")"),"")</f>
        <v/>
      </c>
      <c r="AL207" s="23" t="str">
        <f>IFERROR(__xludf.DUMMYFUNCTION("if(countif(filter(Status!$C:$C,Status!$A:$A=$A207),CONCATENATE(AL$2,""*""))&gt;0,countif(filter(Status!$C:$C,Status!$A:$A=$A207),CONCATENATE(AL$2,""*"")),"""")"),"")</f>
        <v/>
      </c>
      <c r="AM207" s="23" t="str">
        <f>IFERROR(__xludf.DUMMYFUNCTION("if(countif(filter(Status!$C:$C,Status!$A:$A=$A207),CONCATENATE(AM$2,""*""))&gt;0,countif(filter(Status!$C:$C,Status!$A:$A=$A207),CONCATENATE(AM$2,""*"")),"""")"),"")</f>
        <v/>
      </c>
      <c r="AN207" s="23" t="str">
        <f>IFERROR(__xludf.DUMMYFUNCTION("if(countif(filter(Status!$C:$C,Status!$A:$A=$A207),CONCATENATE(AN$2,""*""))&gt;0,countif(filter(Status!$C:$C,Status!$A:$A=$A207),CONCATENATE(AN$2,""*"")),"""")"),"")</f>
        <v/>
      </c>
      <c r="AO207" s="23" t="str">
        <f>IFERROR(__xludf.DUMMYFUNCTION("if(countif(filter(Status!$C:$C,Status!$A:$A=$A207),CONCATENATE(AO$2,""*""))&gt;0,countif(filter(Status!$C:$C,Status!$A:$A=$A207),CONCATENATE(AO$2,""*"")),"""")"),"")</f>
        <v/>
      </c>
      <c r="AP207" s="23">
        <f>IFERROR(__xludf.DUMMYFUNCTION("counta(iferror(filter(Status!C:C,Status!A:A=A207)))"),0.0)</f>
        <v>0</v>
      </c>
      <c r="AQ207" s="23">
        <f t="shared" si="6"/>
        <v>0</v>
      </c>
    </row>
    <row r="208">
      <c r="A208" s="1" t="s">
        <v>1328</v>
      </c>
      <c r="B208" s="25" t="str">
        <f>IFERROR(__xludf.DUMMYFUNCTION("max(filter(Status!E:E,Status!A:A=A208))"),"#N/A")</f>
        <v>#N/A</v>
      </c>
      <c r="C208" s="23" t="str">
        <f t="shared" si="1"/>
        <v/>
      </c>
      <c r="D208" s="23" t="str">
        <f t="shared" si="2"/>
        <v/>
      </c>
      <c r="E208" s="23" t="str">
        <f t="shared" si="3"/>
        <v/>
      </c>
      <c r="F208" s="23" t="str">
        <f t="shared" si="4"/>
        <v/>
      </c>
      <c r="G208" s="25" t="str">
        <f t="shared" si="5"/>
        <v/>
      </c>
      <c r="J208" s="23">
        <f>IFERROR(__xludf.DUMMYFUNCTION("COUNTA(iferror(filter(Status!H:H,Status!A:A=A208)))"),0.0)</f>
        <v>0</v>
      </c>
      <c r="K208" s="25">
        <f>IFERROR(__xludf.DUMMYFUNCTION("COUNTA(iferror(filter(Status!H:H,Status!A:A=A208,Status!H:H=TRUE)))"),0.0)</f>
        <v>0</v>
      </c>
      <c r="L208" s="23">
        <f>IFERROR(__xludf.DUMMYFUNCTION("COUNTA(iferror(filter(Status!L:L,Status!A:A=A208)))"),0.0)</f>
        <v>0</v>
      </c>
      <c r="M208" s="25">
        <f>IFERROR(__xludf.DUMMYFUNCTION("COUNTA(iferror(filter(Status!L:L,Status!A:A=A208,Status!L:L=TRUE)))"),0.0)</f>
        <v>0</v>
      </c>
      <c r="N208" s="23">
        <f>IFERROR(__xludf.DUMMYFUNCTION("COUNTA(iferror(filter(Status!N:N,Status!A:A=A208,Status!N:N=TRUE)))"),0.0)</f>
        <v>0</v>
      </c>
      <c r="O208" s="25">
        <f>IFERROR(__xludf.DUMMYFUNCTION("COUNTA(iferror(filter(Status!N:N,Status!A:A=A208,Status!N:N=TRUE)))"),0.0)</f>
        <v>0</v>
      </c>
      <c r="P208" s="23">
        <f>IFERROR(__xludf.DUMMYFUNCTION("COUNTA(iferror(filter(Status!P:P,Status!A:A=A208)))"),0.0)</f>
        <v>0</v>
      </c>
      <c r="Q208" s="25">
        <f>IFERROR(__xludf.DUMMYFUNCTION("COUNTA(iferror(filter(Status!P:P,Status!A:A=A208,Status!P:P=TRUE)))"),0.0)</f>
        <v>0</v>
      </c>
      <c r="R208" s="23">
        <f>IFERROR(__xludf.DUMMYFUNCTION("COUNTA(iferror(filter(Status!R:R,Status!A:A=A208)))"),0.0)</f>
        <v>0</v>
      </c>
      <c r="S208" s="25">
        <f>IFERROR(__xludf.DUMMYFUNCTION("COUNTA(iferror(filter(Status!R:R,Status!A:A=A208,Status!R:R=TRUE)))"),0.0)</f>
        <v>0</v>
      </c>
      <c r="V208" s="23" t="str">
        <f>IFERROR(__xludf.DUMMYFUNCTION("if((countif(filter(Status!$C:$C,Status!$A:$A=$A208),CONCATENATE(V$2,""*""))-W208)&gt;0,(countif(filter(Status!$C:$C,Status!$A:$A=$A208),CONCATENATE(V$2,""*""))-W208),"""")"),"")</f>
        <v/>
      </c>
      <c r="W208" s="23" t="str">
        <f>IFERROR(__xludf.DUMMYFUNCTION("if(countif(filter(Status!$C:$C,Status!$A:$A=$A208),CONCATENATE(W$2,""*""))&gt;0,countif(filter(Status!$C:$C,Status!$A:$A=$A208),CONCATENATE(W$2,""*"")),"""")"),"")</f>
        <v/>
      </c>
      <c r="X208" s="23" t="str">
        <f>IFERROR(__xludf.DUMMYFUNCTION("if(countif(filter(Status!$C:$C,Status!$A:$A=$A208),CONCATENATE(X$2,""*""))&gt;0,countif(filter(Status!$C:$C,Status!$A:$A=$A208),CONCATENATE(X$2,""*"")),"""")"),"")</f>
        <v/>
      </c>
      <c r="Y208" s="23" t="str">
        <f>IFERROR(__xludf.DUMMYFUNCTION("if(countif(filter(Status!$C:$C,Status!$A:$A=$A208),CONCATENATE(Y$2,""*""))&gt;0,countif(filter(Status!$C:$C,Status!$A:$A=$A208),CONCATENATE(Y$2,""*"")),"""")"),"")</f>
        <v/>
      </c>
      <c r="Z208" s="23" t="str">
        <f>IFERROR(__xludf.DUMMYFUNCTION("if(countif(filter(Status!$C:$C,Status!$A:$A=$A208),CONCATENATE(Z$2,""*""))&gt;0,countif(filter(Status!$C:$C,Status!$A:$A=$A208),CONCATENATE(Z$2,""*"")),"""")"),"")</f>
        <v/>
      </c>
      <c r="AA208" s="23" t="str">
        <f>IFERROR(__xludf.DUMMYFUNCTION("if((countif(filter(Status!$C:$C,Status!$A:$A=$A208),CONCATENATE(AA$2,""*""))-AB208)&gt;0,(countif(filter(Status!$C:$C,Status!$A:$A=$A208),CONCATENATE(AA$2,""*""))-AB208),"""")"),"")</f>
        <v/>
      </c>
      <c r="AB208" s="23" t="str">
        <f>IFERROR(__xludf.DUMMYFUNCTION("if(countif(filter(Status!$C:$C,Status!$A:$A=$A208),CONCATENATE(AB$2,""*""))&gt;0,countif(filter(Status!$C:$C,Status!$A:$A=$A208),CONCATENATE(AB$2,""*"")),"""")"),"")</f>
        <v/>
      </c>
      <c r="AC208" s="23" t="str">
        <f>IFERROR(__xludf.DUMMYFUNCTION("if(countif(filter(Status!$C:$C,Status!$A:$A=$A208),CONCATENATE(AC$2,""*""))&gt;0,countif(filter(Status!$C:$C,Status!$A:$A=$A208),CONCATENATE(AC$2,""*"")),"""")"),"")</f>
        <v/>
      </c>
      <c r="AD208" s="23" t="str">
        <f>IFERROR(__xludf.DUMMYFUNCTION("if(countif(filter(Status!$C:$C,Status!$A:$A=$A208),CONCATENATE(AD$2,""*""))&gt;0,countif(filter(Status!$C:$C,Status!$A:$A=$A208),CONCATENATE(AD$2,""*"")),"""")"),"")</f>
        <v/>
      </c>
      <c r="AE208" s="23" t="str">
        <f>IFERROR(__xludf.DUMMYFUNCTION("if(countif(filter(Status!$C:$C,Status!$A:$A=$A208),CONCATENATE(AE$2,""*""))&gt;0,countif(filter(Status!$C:$C,Status!$A:$A=$A208),CONCATENATE(AE$2,""*"")),"""")"),"")</f>
        <v/>
      </c>
      <c r="AF208" s="23" t="str">
        <f>IFERROR(__xludf.DUMMYFUNCTION("if(countif(filter(Status!$C:$C,Status!$A:$A=$A208),CONCATENATE(AF$2,""*""))&gt;0,countif(filter(Status!$C:$C,Status!$A:$A=$A208),CONCATENATE(AF$2,""*"")),"""")"),"")</f>
        <v/>
      </c>
      <c r="AG208" s="23" t="str">
        <f>IFERROR(__xludf.DUMMYFUNCTION("if(countif(filter(Status!$C:$C,Status!$A:$A=$A208),CONCATENATE(AG$2,""*""))&gt;0,countif(filter(Status!$C:$C,Status!$A:$A=$A208),CONCATENATE(AG$2,""*"")),"""")"),"")</f>
        <v/>
      </c>
      <c r="AH208" s="23" t="str">
        <f>IFERROR(__xludf.DUMMYFUNCTION("if(countif(filter(Status!$C:$C,Status!$A:$A=$A208),CONCATENATE(AH$2,""*""))&gt;0,countif(filter(Status!$C:$C,Status!$A:$A=$A208),CONCATENATE(AH$2,""*"")),"""")"),"")</f>
        <v/>
      </c>
      <c r="AI208" s="23" t="str">
        <f>IFERROR(__xludf.DUMMYFUNCTION("if(countif(filter(Status!$C:$C,Status!$A:$A=$A208),CONCATENATE(AI$2,""*""))&gt;0,countif(filter(Status!$C:$C,Status!$A:$A=$A208),CONCATENATE(AI$2,""*"")),"""")"),"")</f>
        <v/>
      </c>
      <c r="AJ208" s="23" t="str">
        <f>IFERROR(__xludf.DUMMYFUNCTION("if(countif(filter(Status!$C:$C,Status!$A:$A=$A208),CONCATENATE(AJ$2,""*""))&gt;0,countif(filter(Status!$C:$C,Status!$A:$A=$A208),CONCATENATE(AJ$2,""*"")),"""")"),"")</f>
        <v/>
      </c>
      <c r="AK208" s="23" t="str">
        <f>IFERROR(__xludf.DUMMYFUNCTION("if(countif(filter(Status!$C:$C,Status!$A:$A=$A208),CONCATENATE(AK$2,""*""))&gt;0,countif(filter(Status!$C:$C,Status!$A:$A=$A208),CONCATENATE(AK$2,""*"")),"""")"),"")</f>
        <v/>
      </c>
      <c r="AL208" s="23" t="str">
        <f>IFERROR(__xludf.DUMMYFUNCTION("if(countif(filter(Status!$C:$C,Status!$A:$A=$A208),CONCATENATE(AL$2,""*""))&gt;0,countif(filter(Status!$C:$C,Status!$A:$A=$A208),CONCATENATE(AL$2,""*"")),"""")"),"")</f>
        <v/>
      </c>
      <c r="AM208" s="23" t="str">
        <f>IFERROR(__xludf.DUMMYFUNCTION("if(countif(filter(Status!$C:$C,Status!$A:$A=$A208),CONCATENATE(AM$2,""*""))&gt;0,countif(filter(Status!$C:$C,Status!$A:$A=$A208),CONCATENATE(AM$2,""*"")),"""")"),"")</f>
        <v/>
      </c>
      <c r="AN208" s="23" t="str">
        <f>IFERROR(__xludf.DUMMYFUNCTION("if(countif(filter(Status!$C:$C,Status!$A:$A=$A208),CONCATENATE(AN$2,""*""))&gt;0,countif(filter(Status!$C:$C,Status!$A:$A=$A208),CONCATENATE(AN$2,""*"")),"""")"),"")</f>
        <v/>
      </c>
      <c r="AO208" s="23" t="str">
        <f>IFERROR(__xludf.DUMMYFUNCTION("if(countif(filter(Status!$C:$C,Status!$A:$A=$A208),CONCATENATE(AO$2,""*""))&gt;0,countif(filter(Status!$C:$C,Status!$A:$A=$A208),CONCATENATE(AO$2,""*"")),"""")"),"")</f>
        <v/>
      </c>
      <c r="AP208" s="23">
        <f>IFERROR(__xludf.DUMMYFUNCTION("counta(iferror(filter(Status!C:C,Status!A:A=A208)))"),0.0)</f>
        <v>0</v>
      </c>
      <c r="AQ208" s="23">
        <f t="shared" si="6"/>
        <v>0</v>
      </c>
    </row>
    <row r="209">
      <c r="A209" s="1" t="s">
        <v>1330</v>
      </c>
      <c r="B209" s="25" t="str">
        <f>IFERROR(__xludf.DUMMYFUNCTION("max(filter(Status!E:E,Status!A:A=A209))"),"#N/A")</f>
        <v>#N/A</v>
      </c>
      <c r="C209" s="23" t="str">
        <f t="shared" si="1"/>
        <v/>
      </c>
      <c r="D209" s="23" t="str">
        <f t="shared" si="2"/>
        <v/>
      </c>
      <c r="E209" s="23" t="str">
        <f t="shared" si="3"/>
        <v/>
      </c>
      <c r="F209" s="23" t="str">
        <f t="shared" si="4"/>
        <v/>
      </c>
      <c r="G209" s="25" t="str">
        <f t="shared" si="5"/>
        <v/>
      </c>
      <c r="J209" s="23">
        <f>IFERROR(__xludf.DUMMYFUNCTION("COUNTA(iferror(filter(Status!H:H,Status!A:A=A209)))"),0.0)</f>
        <v>0</v>
      </c>
      <c r="K209" s="25">
        <f>IFERROR(__xludf.DUMMYFUNCTION("COUNTA(iferror(filter(Status!H:H,Status!A:A=A209,Status!H:H=TRUE)))"),0.0)</f>
        <v>0</v>
      </c>
      <c r="L209" s="23">
        <f>IFERROR(__xludf.DUMMYFUNCTION("COUNTA(iferror(filter(Status!L:L,Status!A:A=A209)))"),0.0)</f>
        <v>0</v>
      </c>
      <c r="M209" s="25">
        <f>IFERROR(__xludf.DUMMYFUNCTION("COUNTA(iferror(filter(Status!L:L,Status!A:A=A209,Status!L:L=TRUE)))"),0.0)</f>
        <v>0</v>
      </c>
      <c r="N209" s="23">
        <f>IFERROR(__xludf.DUMMYFUNCTION("COUNTA(iferror(filter(Status!N:N,Status!A:A=A209,Status!N:N=TRUE)))"),0.0)</f>
        <v>0</v>
      </c>
      <c r="O209" s="25">
        <f>IFERROR(__xludf.DUMMYFUNCTION("COUNTA(iferror(filter(Status!N:N,Status!A:A=A209,Status!N:N=TRUE)))"),0.0)</f>
        <v>0</v>
      </c>
      <c r="P209" s="23">
        <f>IFERROR(__xludf.DUMMYFUNCTION("COUNTA(iferror(filter(Status!P:P,Status!A:A=A209)))"),0.0)</f>
        <v>0</v>
      </c>
      <c r="Q209" s="25">
        <f>IFERROR(__xludf.DUMMYFUNCTION("COUNTA(iferror(filter(Status!P:P,Status!A:A=A209,Status!P:P=TRUE)))"),0.0)</f>
        <v>0</v>
      </c>
      <c r="R209" s="23">
        <f>IFERROR(__xludf.DUMMYFUNCTION("COUNTA(iferror(filter(Status!R:R,Status!A:A=A209)))"),0.0)</f>
        <v>0</v>
      </c>
      <c r="S209" s="25">
        <f>IFERROR(__xludf.DUMMYFUNCTION("COUNTA(iferror(filter(Status!R:R,Status!A:A=A209,Status!R:R=TRUE)))"),0.0)</f>
        <v>0</v>
      </c>
      <c r="V209" s="23" t="str">
        <f>IFERROR(__xludf.DUMMYFUNCTION("if((countif(filter(Status!$C:$C,Status!$A:$A=$A209),CONCATENATE(V$2,""*""))-W209)&gt;0,(countif(filter(Status!$C:$C,Status!$A:$A=$A209),CONCATENATE(V$2,""*""))-W209),"""")"),"")</f>
        <v/>
      </c>
      <c r="W209" s="23" t="str">
        <f>IFERROR(__xludf.DUMMYFUNCTION("if(countif(filter(Status!$C:$C,Status!$A:$A=$A209),CONCATENATE(W$2,""*""))&gt;0,countif(filter(Status!$C:$C,Status!$A:$A=$A209),CONCATENATE(W$2,""*"")),"""")"),"")</f>
        <v/>
      </c>
      <c r="X209" s="23" t="str">
        <f>IFERROR(__xludf.DUMMYFUNCTION("if(countif(filter(Status!$C:$C,Status!$A:$A=$A209),CONCATENATE(X$2,""*""))&gt;0,countif(filter(Status!$C:$C,Status!$A:$A=$A209),CONCATENATE(X$2,""*"")),"""")"),"")</f>
        <v/>
      </c>
      <c r="Y209" s="23" t="str">
        <f>IFERROR(__xludf.DUMMYFUNCTION("if(countif(filter(Status!$C:$C,Status!$A:$A=$A209),CONCATENATE(Y$2,""*""))&gt;0,countif(filter(Status!$C:$C,Status!$A:$A=$A209),CONCATENATE(Y$2,""*"")),"""")"),"")</f>
        <v/>
      </c>
      <c r="Z209" s="23" t="str">
        <f>IFERROR(__xludf.DUMMYFUNCTION("if(countif(filter(Status!$C:$C,Status!$A:$A=$A209),CONCATENATE(Z$2,""*""))&gt;0,countif(filter(Status!$C:$C,Status!$A:$A=$A209),CONCATENATE(Z$2,""*"")),"""")"),"")</f>
        <v/>
      </c>
      <c r="AA209" s="23" t="str">
        <f>IFERROR(__xludf.DUMMYFUNCTION("if((countif(filter(Status!$C:$C,Status!$A:$A=$A209),CONCATENATE(AA$2,""*""))-AB209)&gt;0,(countif(filter(Status!$C:$C,Status!$A:$A=$A209),CONCATENATE(AA$2,""*""))-AB209),"""")"),"")</f>
        <v/>
      </c>
      <c r="AB209" s="23" t="str">
        <f>IFERROR(__xludf.DUMMYFUNCTION("if(countif(filter(Status!$C:$C,Status!$A:$A=$A209),CONCATENATE(AB$2,""*""))&gt;0,countif(filter(Status!$C:$C,Status!$A:$A=$A209),CONCATENATE(AB$2,""*"")),"""")"),"")</f>
        <v/>
      </c>
      <c r="AC209" s="23" t="str">
        <f>IFERROR(__xludf.DUMMYFUNCTION("if(countif(filter(Status!$C:$C,Status!$A:$A=$A209),CONCATENATE(AC$2,""*""))&gt;0,countif(filter(Status!$C:$C,Status!$A:$A=$A209),CONCATENATE(AC$2,""*"")),"""")"),"")</f>
        <v/>
      </c>
      <c r="AD209" s="23" t="str">
        <f>IFERROR(__xludf.DUMMYFUNCTION("if(countif(filter(Status!$C:$C,Status!$A:$A=$A209),CONCATENATE(AD$2,""*""))&gt;0,countif(filter(Status!$C:$C,Status!$A:$A=$A209),CONCATENATE(AD$2,""*"")),"""")"),"")</f>
        <v/>
      </c>
      <c r="AE209" s="23" t="str">
        <f>IFERROR(__xludf.DUMMYFUNCTION("if(countif(filter(Status!$C:$C,Status!$A:$A=$A209),CONCATENATE(AE$2,""*""))&gt;0,countif(filter(Status!$C:$C,Status!$A:$A=$A209),CONCATENATE(AE$2,""*"")),"""")"),"")</f>
        <v/>
      </c>
      <c r="AF209" s="23" t="str">
        <f>IFERROR(__xludf.DUMMYFUNCTION("if(countif(filter(Status!$C:$C,Status!$A:$A=$A209),CONCATENATE(AF$2,""*""))&gt;0,countif(filter(Status!$C:$C,Status!$A:$A=$A209),CONCATENATE(AF$2,""*"")),"""")"),"")</f>
        <v/>
      </c>
      <c r="AG209" s="23" t="str">
        <f>IFERROR(__xludf.DUMMYFUNCTION("if(countif(filter(Status!$C:$C,Status!$A:$A=$A209),CONCATENATE(AG$2,""*""))&gt;0,countif(filter(Status!$C:$C,Status!$A:$A=$A209),CONCATENATE(AG$2,""*"")),"""")"),"")</f>
        <v/>
      </c>
      <c r="AH209" s="23" t="str">
        <f>IFERROR(__xludf.DUMMYFUNCTION("if(countif(filter(Status!$C:$C,Status!$A:$A=$A209),CONCATENATE(AH$2,""*""))&gt;0,countif(filter(Status!$C:$C,Status!$A:$A=$A209),CONCATENATE(AH$2,""*"")),"""")"),"")</f>
        <v/>
      </c>
      <c r="AI209" s="23" t="str">
        <f>IFERROR(__xludf.DUMMYFUNCTION("if(countif(filter(Status!$C:$C,Status!$A:$A=$A209),CONCATENATE(AI$2,""*""))&gt;0,countif(filter(Status!$C:$C,Status!$A:$A=$A209),CONCATENATE(AI$2,""*"")),"""")"),"")</f>
        <v/>
      </c>
      <c r="AJ209" s="23" t="str">
        <f>IFERROR(__xludf.DUMMYFUNCTION("if(countif(filter(Status!$C:$C,Status!$A:$A=$A209),CONCATENATE(AJ$2,""*""))&gt;0,countif(filter(Status!$C:$C,Status!$A:$A=$A209),CONCATENATE(AJ$2,""*"")),"""")"),"")</f>
        <v/>
      </c>
      <c r="AK209" s="23" t="str">
        <f>IFERROR(__xludf.DUMMYFUNCTION("if(countif(filter(Status!$C:$C,Status!$A:$A=$A209),CONCATENATE(AK$2,""*""))&gt;0,countif(filter(Status!$C:$C,Status!$A:$A=$A209),CONCATENATE(AK$2,""*"")),"""")"),"")</f>
        <v/>
      </c>
      <c r="AL209" s="23" t="str">
        <f>IFERROR(__xludf.DUMMYFUNCTION("if(countif(filter(Status!$C:$C,Status!$A:$A=$A209),CONCATENATE(AL$2,""*""))&gt;0,countif(filter(Status!$C:$C,Status!$A:$A=$A209),CONCATENATE(AL$2,""*"")),"""")"),"")</f>
        <v/>
      </c>
      <c r="AM209" s="23" t="str">
        <f>IFERROR(__xludf.DUMMYFUNCTION("if(countif(filter(Status!$C:$C,Status!$A:$A=$A209),CONCATENATE(AM$2,""*""))&gt;0,countif(filter(Status!$C:$C,Status!$A:$A=$A209),CONCATENATE(AM$2,""*"")),"""")"),"")</f>
        <v/>
      </c>
      <c r="AN209" s="23" t="str">
        <f>IFERROR(__xludf.DUMMYFUNCTION("if(countif(filter(Status!$C:$C,Status!$A:$A=$A209),CONCATENATE(AN$2,""*""))&gt;0,countif(filter(Status!$C:$C,Status!$A:$A=$A209),CONCATENATE(AN$2,""*"")),"""")"),"")</f>
        <v/>
      </c>
      <c r="AO209" s="23" t="str">
        <f>IFERROR(__xludf.DUMMYFUNCTION("if(countif(filter(Status!$C:$C,Status!$A:$A=$A209),CONCATENATE(AO$2,""*""))&gt;0,countif(filter(Status!$C:$C,Status!$A:$A=$A209),CONCATENATE(AO$2,""*"")),"""")"),"")</f>
        <v/>
      </c>
      <c r="AP209" s="23">
        <f>IFERROR(__xludf.DUMMYFUNCTION("counta(iferror(filter(Status!C:C,Status!A:A=A209)))"),0.0)</f>
        <v>0</v>
      </c>
      <c r="AQ209" s="23">
        <f t="shared" si="6"/>
        <v>0</v>
      </c>
    </row>
    <row r="210">
      <c r="A210" s="1" t="s">
        <v>1333</v>
      </c>
      <c r="B210" s="25" t="str">
        <f>IFERROR(__xludf.DUMMYFUNCTION("max(filter(Status!E:E,Status!A:A=A210))"),"#N/A")</f>
        <v>#N/A</v>
      </c>
      <c r="C210" s="23" t="str">
        <f t="shared" si="1"/>
        <v/>
      </c>
      <c r="D210" s="23" t="str">
        <f t="shared" si="2"/>
        <v/>
      </c>
      <c r="E210" s="23" t="str">
        <f t="shared" si="3"/>
        <v/>
      </c>
      <c r="F210" s="23" t="str">
        <f t="shared" si="4"/>
        <v/>
      </c>
      <c r="G210" s="25" t="str">
        <f t="shared" si="5"/>
        <v/>
      </c>
      <c r="J210" s="23">
        <f>IFERROR(__xludf.DUMMYFUNCTION("COUNTA(iferror(filter(Status!H:H,Status!A:A=A210)))"),0.0)</f>
        <v>0</v>
      </c>
      <c r="K210" s="25">
        <f>IFERROR(__xludf.DUMMYFUNCTION("COUNTA(iferror(filter(Status!H:H,Status!A:A=A210,Status!H:H=TRUE)))"),0.0)</f>
        <v>0</v>
      </c>
      <c r="L210" s="23">
        <f>IFERROR(__xludf.DUMMYFUNCTION("COUNTA(iferror(filter(Status!L:L,Status!A:A=A210)))"),0.0)</f>
        <v>0</v>
      </c>
      <c r="M210" s="25">
        <f>IFERROR(__xludf.DUMMYFUNCTION("COUNTA(iferror(filter(Status!L:L,Status!A:A=A210,Status!L:L=TRUE)))"),0.0)</f>
        <v>0</v>
      </c>
      <c r="N210" s="23">
        <f>IFERROR(__xludf.DUMMYFUNCTION("COUNTA(iferror(filter(Status!N:N,Status!A:A=A210,Status!N:N=TRUE)))"),0.0)</f>
        <v>0</v>
      </c>
      <c r="O210" s="25">
        <f>IFERROR(__xludf.DUMMYFUNCTION("COUNTA(iferror(filter(Status!N:N,Status!A:A=A210,Status!N:N=TRUE)))"),0.0)</f>
        <v>0</v>
      </c>
      <c r="P210" s="23">
        <f>IFERROR(__xludf.DUMMYFUNCTION("COUNTA(iferror(filter(Status!P:P,Status!A:A=A210)))"),0.0)</f>
        <v>0</v>
      </c>
      <c r="Q210" s="25">
        <f>IFERROR(__xludf.DUMMYFUNCTION("COUNTA(iferror(filter(Status!P:P,Status!A:A=A210,Status!P:P=TRUE)))"),0.0)</f>
        <v>0</v>
      </c>
      <c r="R210" s="23">
        <f>IFERROR(__xludf.DUMMYFUNCTION("COUNTA(iferror(filter(Status!R:R,Status!A:A=A210)))"),0.0)</f>
        <v>0</v>
      </c>
      <c r="S210" s="25">
        <f>IFERROR(__xludf.DUMMYFUNCTION("COUNTA(iferror(filter(Status!R:R,Status!A:A=A210,Status!R:R=TRUE)))"),0.0)</f>
        <v>0</v>
      </c>
      <c r="V210" s="23" t="str">
        <f>IFERROR(__xludf.DUMMYFUNCTION("if((countif(filter(Status!$C:$C,Status!$A:$A=$A210),CONCATENATE(V$2,""*""))-W210)&gt;0,(countif(filter(Status!$C:$C,Status!$A:$A=$A210),CONCATENATE(V$2,""*""))-W210),"""")"),"")</f>
        <v/>
      </c>
      <c r="W210" s="23" t="str">
        <f>IFERROR(__xludf.DUMMYFUNCTION("if(countif(filter(Status!$C:$C,Status!$A:$A=$A210),CONCATENATE(W$2,""*""))&gt;0,countif(filter(Status!$C:$C,Status!$A:$A=$A210),CONCATENATE(W$2,""*"")),"""")"),"")</f>
        <v/>
      </c>
      <c r="X210" s="23" t="str">
        <f>IFERROR(__xludf.DUMMYFUNCTION("if(countif(filter(Status!$C:$C,Status!$A:$A=$A210),CONCATENATE(X$2,""*""))&gt;0,countif(filter(Status!$C:$C,Status!$A:$A=$A210),CONCATENATE(X$2,""*"")),"""")"),"")</f>
        <v/>
      </c>
      <c r="Y210" s="23" t="str">
        <f>IFERROR(__xludf.DUMMYFUNCTION("if(countif(filter(Status!$C:$C,Status!$A:$A=$A210),CONCATENATE(Y$2,""*""))&gt;0,countif(filter(Status!$C:$C,Status!$A:$A=$A210),CONCATENATE(Y$2,""*"")),"""")"),"")</f>
        <v/>
      </c>
      <c r="Z210" s="23" t="str">
        <f>IFERROR(__xludf.DUMMYFUNCTION("if(countif(filter(Status!$C:$C,Status!$A:$A=$A210),CONCATENATE(Z$2,""*""))&gt;0,countif(filter(Status!$C:$C,Status!$A:$A=$A210),CONCATENATE(Z$2,""*"")),"""")"),"")</f>
        <v/>
      </c>
      <c r="AA210" s="23" t="str">
        <f>IFERROR(__xludf.DUMMYFUNCTION("if((countif(filter(Status!$C:$C,Status!$A:$A=$A210),CONCATENATE(AA$2,""*""))-AB210)&gt;0,(countif(filter(Status!$C:$C,Status!$A:$A=$A210),CONCATENATE(AA$2,""*""))-AB210),"""")"),"")</f>
        <v/>
      </c>
      <c r="AB210" s="23" t="str">
        <f>IFERROR(__xludf.DUMMYFUNCTION("if(countif(filter(Status!$C:$C,Status!$A:$A=$A210),CONCATENATE(AB$2,""*""))&gt;0,countif(filter(Status!$C:$C,Status!$A:$A=$A210),CONCATENATE(AB$2,""*"")),"""")"),"")</f>
        <v/>
      </c>
      <c r="AC210" s="23" t="str">
        <f>IFERROR(__xludf.DUMMYFUNCTION("if(countif(filter(Status!$C:$C,Status!$A:$A=$A210),CONCATENATE(AC$2,""*""))&gt;0,countif(filter(Status!$C:$C,Status!$A:$A=$A210),CONCATENATE(AC$2,""*"")),"""")"),"")</f>
        <v/>
      </c>
      <c r="AD210" s="23" t="str">
        <f>IFERROR(__xludf.DUMMYFUNCTION("if(countif(filter(Status!$C:$C,Status!$A:$A=$A210),CONCATENATE(AD$2,""*""))&gt;0,countif(filter(Status!$C:$C,Status!$A:$A=$A210),CONCATENATE(AD$2,""*"")),"""")"),"")</f>
        <v/>
      </c>
      <c r="AE210" s="23" t="str">
        <f>IFERROR(__xludf.DUMMYFUNCTION("if(countif(filter(Status!$C:$C,Status!$A:$A=$A210),CONCATENATE(AE$2,""*""))&gt;0,countif(filter(Status!$C:$C,Status!$A:$A=$A210),CONCATENATE(AE$2,""*"")),"""")"),"")</f>
        <v/>
      </c>
      <c r="AF210" s="23" t="str">
        <f>IFERROR(__xludf.DUMMYFUNCTION("if(countif(filter(Status!$C:$C,Status!$A:$A=$A210),CONCATENATE(AF$2,""*""))&gt;0,countif(filter(Status!$C:$C,Status!$A:$A=$A210),CONCATENATE(AF$2,""*"")),"""")"),"")</f>
        <v/>
      </c>
      <c r="AG210" s="23" t="str">
        <f>IFERROR(__xludf.DUMMYFUNCTION("if(countif(filter(Status!$C:$C,Status!$A:$A=$A210),CONCATENATE(AG$2,""*""))&gt;0,countif(filter(Status!$C:$C,Status!$A:$A=$A210),CONCATENATE(AG$2,""*"")),"""")"),"")</f>
        <v/>
      </c>
      <c r="AH210" s="23" t="str">
        <f>IFERROR(__xludf.DUMMYFUNCTION("if(countif(filter(Status!$C:$C,Status!$A:$A=$A210),CONCATENATE(AH$2,""*""))&gt;0,countif(filter(Status!$C:$C,Status!$A:$A=$A210),CONCATENATE(AH$2,""*"")),"""")"),"")</f>
        <v/>
      </c>
      <c r="AI210" s="23" t="str">
        <f>IFERROR(__xludf.DUMMYFUNCTION("if(countif(filter(Status!$C:$C,Status!$A:$A=$A210),CONCATENATE(AI$2,""*""))&gt;0,countif(filter(Status!$C:$C,Status!$A:$A=$A210),CONCATENATE(AI$2,""*"")),"""")"),"")</f>
        <v/>
      </c>
      <c r="AJ210" s="23" t="str">
        <f>IFERROR(__xludf.DUMMYFUNCTION("if(countif(filter(Status!$C:$C,Status!$A:$A=$A210),CONCATENATE(AJ$2,""*""))&gt;0,countif(filter(Status!$C:$C,Status!$A:$A=$A210),CONCATENATE(AJ$2,""*"")),"""")"),"")</f>
        <v/>
      </c>
      <c r="AK210" s="23" t="str">
        <f>IFERROR(__xludf.DUMMYFUNCTION("if(countif(filter(Status!$C:$C,Status!$A:$A=$A210),CONCATENATE(AK$2,""*""))&gt;0,countif(filter(Status!$C:$C,Status!$A:$A=$A210),CONCATENATE(AK$2,""*"")),"""")"),"")</f>
        <v/>
      </c>
      <c r="AL210" s="23" t="str">
        <f>IFERROR(__xludf.DUMMYFUNCTION("if(countif(filter(Status!$C:$C,Status!$A:$A=$A210),CONCATENATE(AL$2,""*""))&gt;0,countif(filter(Status!$C:$C,Status!$A:$A=$A210),CONCATENATE(AL$2,""*"")),"""")"),"")</f>
        <v/>
      </c>
      <c r="AM210" s="23" t="str">
        <f>IFERROR(__xludf.DUMMYFUNCTION("if(countif(filter(Status!$C:$C,Status!$A:$A=$A210),CONCATENATE(AM$2,""*""))&gt;0,countif(filter(Status!$C:$C,Status!$A:$A=$A210),CONCATENATE(AM$2,""*"")),"""")"),"")</f>
        <v/>
      </c>
      <c r="AN210" s="23" t="str">
        <f>IFERROR(__xludf.DUMMYFUNCTION("if(countif(filter(Status!$C:$C,Status!$A:$A=$A210),CONCATENATE(AN$2,""*""))&gt;0,countif(filter(Status!$C:$C,Status!$A:$A=$A210),CONCATENATE(AN$2,""*"")),"""")"),"")</f>
        <v/>
      </c>
      <c r="AO210" s="23" t="str">
        <f>IFERROR(__xludf.DUMMYFUNCTION("if(countif(filter(Status!$C:$C,Status!$A:$A=$A210),CONCATENATE(AO$2,""*""))&gt;0,countif(filter(Status!$C:$C,Status!$A:$A=$A210),CONCATENATE(AO$2,""*"")),"""")"),"")</f>
        <v/>
      </c>
      <c r="AP210" s="23">
        <f>IFERROR(__xludf.DUMMYFUNCTION("counta(iferror(filter(Status!C:C,Status!A:A=A210)))"),0.0)</f>
        <v>0</v>
      </c>
      <c r="AQ210" s="23">
        <f t="shared" si="6"/>
        <v>0</v>
      </c>
    </row>
    <row r="211">
      <c r="A211" s="1" t="s">
        <v>1336</v>
      </c>
      <c r="B211" s="25" t="str">
        <f>IFERROR(__xludf.DUMMYFUNCTION("max(filter(Status!E:E,Status!A:A=A211))"),"#N/A")</f>
        <v>#N/A</v>
      </c>
      <c r="C211" s="23" t="str">
        <f t="shared" si="1"/>
        <v/>
      </c>
      <c r="D211" s="23" t="str">
        <f t="shared" si="2"/>
        <v/>
      </c>
      <c r="E211" s="23" t="str">
        <f t="shared" si="3"/>
        <v/>
      </c>
      <c r="F211" s="23" t="str">
        <f t="shared" si="4"/>
        <v/>
      </c>
      <c r="G211" s="25" t="str">
        <f t="shared" si="5"/>
        <v/>
      </c>
      <c r="J211" s="23">
        <f>IFERROR(__xludf.DUMMYFUNCTION("COUNTA(iferror(filter(Status!H:H,Status!A:A=A211)))"),0.0)</f>
        <v>0</v>
      </c>
      <c r="K211" s="25">
        <f>IFERROR(__xludf.DUMMYFUNCTION("COUNTA(iferror(filter(Status!H:H,Status!A:A=A211,Status!H:H=TRUE)))"),0.0)</f>
        <v>0</v>
      </c>
      <c r="L211" s="23">
        <f>IFERROR(__xludf.DUMMYFUNCTION("COUNTA(iferror(filter(Status!L:L,Status!A:A=A211)))"),0.0)</f>
        <v>0</v>
      </c>
      <c r="M211" s="25">
        <f>IFERROR(__xludf.DUMMYFUNCTION("COUNTA(iferror(filter(Status!L:L,Status!A:A=A211,Status!L:L=TRUE)))"),0.0)</f>
        <v>0</v>
      </c>
      <c r="N211" s="23">
        <f>IFERROR(__xludf.DUMMYFUNCTION("COUNTA(iferror(filter(Status!N:N,Status!A:A=A211,Status!N:N=TRUE)))"),0.0)</f>
        <v>0</v>
      </c>
      <c r="O211" s="25">
        <f>IFERROR(__xludf.DUMMYFUNCTION("COUNTA(iferror(filter(Status!N:N,Status!A:A=A211,Status!N:N=TRUE)))"),0.0)</f>
        <v>0</v>
      </c>
      <c r="P211" s="23">
        <f>IFERROR(__xludf.DUMMYFUNCTION("COUNTA(iferror(filter(Status!P:P,Status!A:A=A211)))"),0.0)</f>
        <v>0</v>
      </c>
      <c r="Q211" s="25">
        <f>IFERROR(__xludf.DUMMYFUNCTION("COUNTA(iferror(filter(Status!P:P,Status!A:A=A211,Status!P:P=TRUE)))"),0.0)</f>
        <v>0</v>
      </c>
      <c r="R211" s="23">
        <f>IFERROR(__xludf.DUMMYFUNCTION("COUNTA(iferror(filter(Status!R:R,Status!A:A=A211)))"),0.0)</f>
        <v>0</v>
      </c>
      <c r="S211" s="25">
        <f>IFERROR(__xludf.DUMMYFUNCTION("COUNTA(iferror(filter(Status!R:R,Status!A:A=A211,Status!R:R=TRUE)))"),0.0)</f>
        <v>0</v>
      </c>
      <c r="V211" s="23" t="str">
        <f>IFERROR(__xludf.DUMMYFUNCTION("if((countif(filter(Status!$C:$C,Status!$A:$A=$A211),CONCATENATE(V$2,""*""))-W211)&gt;0,(countif(filter(Status!$C:$C,Status!$A:$A=$A211),CONCATENATE(V$2,""*""))-W211),"""")"),"")</f>
        <v/>
      </c>
      <c r="W211" s="23" t="str">
        <f>IFERROR(__xludf.DUMMYFUNCTION("if(countif(filter(Status!$C:$C,Status!$A:$A=$A211),CONCATENATE(W$2,""*""))&gt;0,countif(filter(Status!$C:$C,Status!$A:$A=$A211),CONCATENATE(W$2,""*"")),"""")"),"")</f>
        <v/>
      </c>
      <c r="X211" s="23" t="str">
        <f>IFERROR(__xludf.DUMMYFUNCTION("if(countif(filter(Status!$C:$C,Status!$A:$A=$A211),CONCATENATE(X$2,""*""))&gt;0,countif(filter(Status!$C:$C,Status!$A:$A=$A211),CONCATENATE(X$2,""*"")),"""")"),"")</f>
        <v/>
      </c>
      <c r="Y211" s="23" t="str">
        <f>IFERROR(__xludf.DUMMYFUNCTION("if(countif(filter(Status!$C:$C,Status!$A:$A=$A211),CONCATENATE(Y$2,""*""))&gt;0,countif(filter(Status!$C:$C,Status!$A:$A=$A211),CONCATENATE(Y$2,""*"")),"""")"),"")</f>
        <v/>
      </c>
      <c r="Z211" s="23" t="str">
        <f>IFERROR(__xludf.DUMMYFUNCTION("if(countif(filter(Status!$C:$C,Status!$A:$A=$A211),CONCATENATE(Z$2,""*""))&gt;0,countif(filter(Status!$C:$C,Status!$A:$A=$A211),CONCATENATE(Z$2,""*"")),"""")"),"")</f>
        <v/>
      </c>
      <c r="AA211" s="23" t="str">
        <f>IFERROR(__xludf.DUMMYFUNCTION("if((countif(filter(Status!$C:$C,Status!$A:$A=$A211),CONCATENATE(AA$2,""*""))-AB211)&gt;0,(countif(filter(Status!$C:$C,Status!$A:$A=$A211),CONCATENATE(AA$2,""*""))-AB211),"""")"),"")</f>
        <v/>
      </c>
      <c r="AB211" s="23" t="str">
        <f>IFERROR(__xludf.DUMMYFUNCTION("if(countif(filter(Status!$C:$C,Status!$A:$A=$A211),CONCATENATE(AB$2,""*""))&gt;0,countif(filter(Status!$C:$C,Status!$A:$A=$A211),CONCATENATE(AB$2,""*"")),"""")"),"")</f>
        <v/>
      </c>
      <c r="AC211" s="23" t="str">
        <f>IFERROR(__xludf.DUMMYFUNCTION("if(countif(filter(Status!$C:$C,Status!$A:$A=$A211),CONCATENATE(AC$2,""*""))&gt;0,countif(filter(Status!$C:$C,Status!$A:$A=$A211),CONCATENATE(AC$2,""*"")),"""")"),"")</f>
        <v/>
      </c>
      <c r="AD211" s="23" t="str">
        <f>IFERROR(__xludf.DUMMYFUNCTION("if(countif(filter(Status!$C:$C,Status!$A:$A=$A211),CONCATENATE(AD$2,""*""))&gt;0,countif(filter(Status!$C:$C,Status!$A:$A=$A211),CONCATENATE(AD$2,""*"")),"""")"),"")</f>
        <v/>
      </c>
      <c r="AE211" s="23" t="str">
        <f>IFERROR(__xludf.DUMMYFUNCTION("if(countif(filter(Status!$C:$C,Status!$A:$A=$A211),CONCATENATE(AE$2,""*""))&gt;0,countif(filter(Status!$C:$C,Status!$A:$A=$A211),CONCATENATE(AE$2,""*"")),"""")"),"")</f>
        <v/>
      </c>
      <c r="AF211" s="23" t="str">
        <f>IFERROR(__xludf.DUMMYFUNCTION("if(countif(filter(Status!$C:$C,Status!$A:$A=$A211),CONCATENATE(AF$2,""*""))&gt;0,countif(filter(Status!$C:$C,Status!$A:$A=$A211),CONCATENATE(AF$2,""*"")),"""")"),"")</f>
        <v/>
      </c>
      <c r="AG211" s="23" t="str">
        <f>IFERROR(__xludf.DUMMYFUNCTION("if(countif(filter(Status!$C:$C,Status!$A:$A=$A211),CONCATENATE(AG$2,""*""))&gt;0,countif(filter(Status!$C:$C,Status!$A:$A=$A211),CONCATENATE(AG$2,""*"")),"""")"),"")</f>
        <v/>
      </c>
      <c r="AH211" s="23" t="str">
        <f>IFERROR(__xludf.DUMMYFUNCTION("if(countif(filter(Status!$C:$C,Status!$A:$A=$A211),CONCATENATE(AH$2,""*""))&gt;0,countif(filter(Status!$C:$C,Status!$A:$A=$A211),CONCATENATE(AH$2,""*"")),"""")"),"")</f>
        <v/>
      </c>
      <c r="AI211" s="23" t="str">
        <f>IFERROR(__xludf.DUMMYFUNCTION("if(countif(filter(Status!$C:$C,Status!$A:$A=$A211),CONCATENATE(AI$2,""*""))&gt;0,countif(filter(Status!$C:$C,Status!$A:$A=$A211),CONCATENATE(AI$2,""*"")),"""")"),"")</f>
        <v/>
      </c>
      <c r="AJ211" s="23" t="str">
        <f>IFERROR(__xludf.DUMMYFUNCTION("if(countif(filter(Status!$C:$C,Status!$A:$A=$A211),CONCATENATE(AJ$2,""*""))&gt;0,countif(filter(Status!$C:$C,Status!$A:$A=$A211),CONCATENATE(AJ$2,""*"")),"""")"),"")</f>
        <v/>
      </c>
      <c r="AK211" s="23" t="str">
        <f>IFERROR(__xludf.DUMMYFUNCTION("if(countif(filter(Status!$C:$C,Status!$A:$A=$A211),CONCATENATE(AK$2,""*""))&gt;0,countif(filter(Status!$C:$C,Status!$A:$A=$A211),CONCATENATE(AK$2,""*"")),"""")"),"")</f>
        <v/>
      </c>
      <c r="AL211" s="23" t="str">
        <f>IFERROR(__xludf.DUMMYFUNCTION("if(countif(filter(Status!$C:$C,Status!$A:$A=$A211),CONCATENATE(AL$2,""*""))&gt;0,countif(filter(Status!$C:$C,Status!$A:$A=$A211),CONCATENATE(AL$2,""*"")),"""")"),"")</f>
        <v/>
      </c>
      <c r="AM211" s="23" t="str">
        <f>IFERROR(__xludf.DUMMYFUNCTION("if(countif(filter(Status!$C:$C,Status!$A:$A=$A211),CONCATENATE(AM$2,""*""))&gt;0,countif(filter(Status!$C:$C,Status!$A:$A=$A211),CONCATENATE(AM$2,""*"")),"""")"),"")</f>
        <v/>
      </c>
      <c r="AN211" s="23" t="str">
        <f>IFERROR(__xludf.DUMMYFUNCTION("if(countif(filter(Status!$C:$C,Status!$A:$A=$A211),CONCATENATE(AN$2,""*""))&gt;0,countif(filter(Status!$C:$C,Status!$A:$A=$A211),CONCATENATE(AN$2,""*"")),"""")"),"")</f>
        <v/>
      </c>
      <c r="AO211" s="23" t="str">
        <f>IFERROR(__xludf.DUMMYFUNCTION("if(countif(filter(Status!$C:$C,Status!$A:$A=$A211),CONCATENATE(AO$2,""*""))&gt;0,countif(filter(Status!$C:$C,Status!$A:$A=$A211),CONCATENATE(AO$2,""*"")),"""")"),"")</f>
        <v/>
      </c>
      <c r="AP211" s="23">
        <f>IFERROR(__xludf.DUMMYFUNCTION("counta(iferror(filter(Status!C:C,Status!A:A=A211)))"),0.0)</f>
        <v>0</v>
      </c>
      <c r="AQ211" s="23">
        <f t="shared" si="6"/>
        <v>0</v>
      </c>
    </row>
    <row r="212">
      <c r="A212" s="1" t="s">
        <v>1340</v>
      </c>
      <c r="B212" s="25" t="str">
        <f>IFERROR(__xludf.DUMMYFUNCTION("max(filter(Status!E:E,Status!A:A=A212))"),"#N/A")</f>
        <v>#N/A</v>
      </c>
      <c r="C212" s="23" t="str">
        <f t="shared" si="1"/>
        <v/>
      </c>
      <c r="D212" s="23" t="str">
        <f t="shared" si="2"/>
        <v/>
      </c>
      <c r="E212" s="23" t="str">
        <f t="shared" si="3"/>
        <v/>
      </c>
      <c r="F212" s="23" t="str">
        <f t="shared" si="4"/>
        <v/>
      </c>
      <c r="G212" s="25" t="str">
        <f t="shared" si="5"/>
        <v/>
      </c>
      <c r="J212" s="23">
        <f>IFERROR(__xludf.DUMMYFUNCTION("COUNTA(iferror(filter(Status!H:H,Status!A:A=A212)))"),0.0)</f>
        <v>0</v>
      </c>
      <c r="K212" s="25">
        <f>IFERROR(__xludf.DUMMYFUNCTION("COUNTA(iferror(filter(Status!H:H,Status!A:A=A212,Status!H:H=TRUE)))"),0.0)</f>
        <v>0</v>
      </c>
      <c r="L212" s="23">
        <f>IFERROR(__xludf.DUMMYFUNCTION("COUNTA(iferror(filter(Status!L:L,Status!A:A=A212)))"),0.0)</f>
        <v>0</v>
      </c>
      <c r="M212" s="25">
        <f>IFERROR(__xludf.DUMMYFUNCTION("COUNTA(iferror(filter(Status!L:L,Status!A:A=A212,Status!L:L=TRUE)))"),0.0)</f>
        <v>0</v>
      </c>
      <c r="N212" s="23">
        <f>IFERROR(__xludf.DUMMYFUNCTION("COUNTA(iferror(filter(Status!N:N,Status!A:A=A212,Status!N:N=TRUE)))"),0.0)</f>
        <v>0</v>
      </c>
      <c r="O212" s="25">
        <f>IFERROR(__xludf.DUMMYFUNCTION("COUNTA(iferror(filter(Status!N:N,Status!A:A=A212,Status!N:N=TRUE)))"),0.0)</f>
        <v>0</v>
      </c>
      <c r="P212" s="23">
        <f>IFERROR(__xludf.DUMMYFUNCTION("COUNTA(iferror(filter(Status!P:P,Status!A:A=A212)))"),0.0)</f>
        <v>0</v>
      </c>
      <c r="Q212" s="25">
        <f>IFERROR(__xludf.DUMMYFUNCTION("COUNTA(iferror(filter(Status!P:P,Status!A:A=A212,Status!P:P=TRUE)))"),0.0)</f>
        <v>0</v>
      </c>
      <c r="R212" s="23">
        <f>IFERROR(__xludf.DUMMYFUNCTION("COUNTA(iferror(filter(Status!R:R,Status!A:A=A212)))"),0.0)</f>
        <v>0</v>
      </c>
      <c r="S212" s="25">
        <f>IFERROR(__xludf.DUMMYFUNCTION("COUNTA(iferror(filter(Status!R:R,Status!A:A=A212,Status!R:R=TRUE)))"),0.0)</f>
        <v>0</v>
      </c>
      <c r="V212" s="23" t="str">
        <f>IFERROR(__xludf.DUMMYFUNCTION("if((countif(filter(Status!$C:$C,Status!$A:$A=$A212),CONCATENATE(V$2,""*""))-W212)&gt;0,(countif(filter(Status!$C:$C,Status!$A:$A=$A212),CONCATENATE(V$2,""*""))-W212),"""")"),"")</f>
        <v/>
      </c>
      <c r="W212" s="23" t="str">
        <f>IFERROR(__xludf.DUMMYFUNCTION("if(countif(filter(Status!$C:$C,Status!$A:$A=$A212),CONCATENATE(W$2,""*""))&gt;0,countif(filter(Status!$C:$C,Status!$A:$A=$A212),CONCATENATE(W$2,""*"")),"""")"),"")</f>
        <v/>
      </c>
      <c r="X212" s="23" t="str">
        <f>IFERROR(__xludf.DUMMYFUNCTION("if(countif(filter(Status!$C:$C,Status!$A:$A=$A212),CONCATENATE(X$2,""*""))&gt;0,countif(filter(Status!$C:$C,Status!$A:$A=$A212),CONCATENATE(X$2,""*"")),"""")"),"")</f>
        <v/>
      </c>
      <c r="Y212" s="23" t="str">
        <f>IFERROR(__xludf.DUMMYFUNCTION("if(countif(filter(Status!$C:$C,Status!$A:$A=$A212),CONCATENATE(Y$2,""*""))&gt;0,countif(filter(Status!$C:$C,Status!$A:$A=$A212),CONCATENATE(Y$2,""*"")),"""")"),"")</f>
        <v/>
      </c>
      <c r="Z212" s="23" t="str">
        <f>IFERROR(__xludf.DUMMYFUNCTION("if(countif(filter(Status!$C:$C,Status!$A:$A=$A212),CONCATENATE(Z$2,""*""))&gt;0,countif(filter(Status!$C:$C,Status!$A:$A=$A212),CONCATENATE(Z$2,""*"")),"""")"),"")</f>
        <v/>
      </c>
      <c r="AA212" s="23" t="str">
        <f>IFERROR(__xludf.DUMMYFUNCTION("if((countif(filter(Status!$C:$C,Status!$A:$A=$A212),CONCATENATE(AA$2,""*""))-AB212)&gt;0,(countif(filter(Status!$C:$C,Status!$A:$A=$A212),CONCATENATE(AA$2,""*""))-AB212),"""")"),"")</f>
        <v/>
      </c>
      <c r="AB212" s="23" t="str">
        <f>IFERROR(__xludf.DUMMYFUNCTION("if(countif(filter(Status!$C:$C,Status!$A:$A=$A212),CONCATENATE(AB$2,""*""))&gt;0,countif(filter(Status!$C:$C,Status!$A:$A=$A212),CONCATENATE(AB$2,""*"")),"""")"),"")</f>
        <v/>
      </c>
      <c r="AC212" s="23" t="str">
        <f>IFERROR(__xludf.DUMMYFUNCTION("if(countif(filter(Status!$C:$C,Status!$A:$A=$A212),CONCATENATE(AC$2,""*""))&gt;0,countif(filter(Status!$C:$C,Status!$A:$A=$A212),CONCATENATE(AC$2,""*"")),"""")"),"")</f>
        <v/>
      </c>
      <c r="AD212" s="23" t="str">
        <f>IFERROR(__xludf.DUMMYFUNCTION("if(countif(filter(Status!$C:$C,Status!$A:$A=$A212),CONCATENATE(AD$2,""*""))&gt;0,countif(filter(Status!$C:$C,Status!$A:$A=$A212),CONCATENATE(AD$2,""*"")),"""")"),"")</f>
        <v/>
      </c>
      <c r="AE212" s="23" t="str">
        <f>IFERROR(__xludf.DUMMYFUNCTION("if(countif(filter(Status!$C:$C,Status!$A:$A=$A212),CONCATENATE(AE$2,""*""))&gt;0,countif(filter(Status!$C:$C,Status!$A:$A=$A212),CONCATENATE(AE$2,""*"")),"""")"),"")</f>
        <v/>
      </c>
      <c r="AF212" s="23" t="str">
        <f>IFERROR(__xludf.DUMMYFUNCTION("if(countif(filter(Status!$C:$C,Status!$A:$A=$A212),CONCATENATE(AF$2,""*""))&gt;0,countif(filter(Status!$C:$C,Status!$A:$A=$A212),CONCATENATE(AF$2,""*"")),"""")"),"")</f>
        <v/>
      </c>
      <c r="AG212" s="23" t="str">
        <f>IFERROR(__xludf.DUMMYFUNCTION("if(countif(filter(Status!$C:$C,Status!$A:$A=$A212),CONCATENATE(AG$2,""*""))&gt;0,countif(filter(Status!$C:$C,Status!$A:$A=$A212),CONCATENATE(AG$2,""*"")),"""")"),"")</f>
        <v/>
      </c>
      <c r="AH212" s="23" t="str">
        <f>IFERROR(__xludf.DUMMYFUNCTION("if(countif(filter(Status!$C:$C,Status!$A:$A=$A212),CONCATENATE(AH$2,""*""))&gt;0,countif(filter(Status!$C:$C,Status!$A:$A=$A212),CONCATENATE(AH$2,""*"")),"""")"),"")</f>
        <v/>
      </c>
      <c r="AI212" s="23" t="str">
        <f>IFERROR(__xludf.DUMMYFUNCTION("if(countif(filter(Status!$C:$C,Status!$A:$A=$A212),CONCATENATE(AI$2,""*""))&gt;0,countif(filter(Status!$C:$C,Status!$A:$A=$A212),CONCATENATE(AI$2,""*"")),"""")"),"")</f>
        <v/>
      </c>
      <c r="AJ212" s="23" t="str">
        <f>IFERROR(__xludf.DUMMYFUNCTION("if(countif(filter(Status!$C:$C,Status!$A:$A=$A212),CONCATENATE(AJ$2,""*""))&gt;0,countif(filter(Status!$C:$C,Status!$A:$A=$A212),CONCATENATE(AJ$2,""*"")),"""")"),"")</f>
        <v/>
      </c>
      <c r="AK212" s="23" t="str">
        <f>IFERROR(__xludf.DUMMYFUNCTION("if(countif(filter(Status!$C:$C,Status!$A:$A=$A212),CONCATENATE(AK$2,""*""))&gt;0,countif(filter(Status!$C:$C,Status!$A:$A=$A212),CONCATENATE(AK$2,""*"")),"""")"),"")</f>
        <v/>
      </c>
      <c r="AL212" s="23" t="str">
        <f>IFERROR(__xludf.DUMMYFUNCTION("if(countif(filter(Status!$C:$C,Status!$A:$A=$A212),CONCATENATE(AL$2,""*""))&gt;0,countif(filter(Status!$C:$C,Status!$A:$A=$A212),CONCATENATE(AL$2,""*"")),"""")"),"")</f>
        <v/>
      </c>
      <c r="AM212" s="23" t="str">
        <f>IFERROR(__xludf.DUMMYFUNCTION("if(countif(filter(Status!$C:$C,Status!$A:$A=$A212),CONCATENATE(AM$2,""*""))&gt;0,countif(filter(Status!$C:$C,Status!$A:$A=$A212),CONCATENATE(AM$2,""*"")),"""")"),"")</f>
        <v/>
      </c>
      <c r="AN212" s="23" t="str">
        <f>IFERROR(__xludf.DUMMYFUNCTION("if(countif(filter(Status!$C:$C,Status!$A:$A=$A212),CONCATENATE(AN$2,""*""))&gt;0,countif(filter(Status!$C:$C,Status!$A:$A=$A212),CONCATENATE(AN$2,""*"")),"""")"),"")</f>
        <v/>
      </c>
      <c r="AO212" s="23" t="str">
        <f>IFERROR(__xludf.DUMMYFUNCTION("if(countif(filter(Status!$C:$C,Status!$A:$A=$A212),CONCATENATE(AO$2,""*""))&gt;0,countif(filter(Status!$C:$C,Status!$A:$A=$A212),CONCATENATE(AO$2,""*"")),"""")"),"")</f>
        <v/>
      </c>
      <c r="AP212" s="23">
        <f>IFERROR(__xludf.DUMMYFUNCTION("counta(iferror(filter(Status!C:C,Status!A:A=A212)))"),0.0)</f>
        <v>0</v>
      </c>
      <c r="AQ212" s="23">
        <f t="shared" si="6"/>
        <v>0</v>
      </c>
    </row>
    <row r="213">
      <c r="A213" s="1" t="s">
        <v>1343</v>
      </c>
      <c r="B213" s="25" t="str">
        <f>IFERROR(__xludf.DUMMYFUNCTION("max(filter(Status!E:E,Status!A:A=A213))"),"#N/A")</f>
        <v>#N/A</v>
      </c>
      <c r="C213" s="23" t="str">
        <f t="shared" si="1"/>
        <v/>
      </c>
      <c r="D213" s="23" t="str">
        <f t="shared" si="2"/>
        <v/>
      </c>
      <c r="E213" s="23" t="str">
        <f t="shared" si="3"/>
        <v/>
      </c>
      <c r="F213" s="23" t="str">
        <f t="shared" si="4"/>
        <v/>
      </c>
      <c r="G213" s="25" t="str">
        <f t="shared" si="5"/>
        <v/>
      </c>
      <c r="J213" s="23">
        <f>IFERROR(__xludf.DUMMYFUNCTION("COUNTA(iferror(filter(Status!H:H,Status!A:A=A213)))"),0.0)</f>
        <v>0</v>
      </c>
      <c r="K213" s="25">
        <f>IFERROR(__xludf.DUMMYFUNCTION("COUNTA(iferror(filter(Status!H:H,Status!A:A=A213,Status!H:H=TRUE)))"),0.0)</f>
        <v>0</v>
      </c>
      <c r="L213" s="23">
        <f>IFERROR(__xludf.DUMMYFUNCTION("COUNTA(iferror(filter(Status!L:L,Status!A:A=A213)))"),0.0)</f>
        <v>0</v>
      </c>
      <c r="M213" s="25">
        <f>IFERROR(__xludf.DUMMYFUNCTION("COUNTA(iferror(filter(Status!L:L,Status!A:A=A213,Status!L:L=TRUE)))"),0.0)</f>
        <v>0</v>
      </c>
      <c r="N213" s="23">
        <f>IFERROR(__xludf.DUMMYFUNCTION("COUNTA(iferror(filter(Status!N:N,Status!A:A=A213,Status!N:N=TRUE)))"),0.0)</f>
        <v>0</v>
      </c>
      <c r="O213" s="25">
        <f>IFERROR(__xludf.DUMMYFUNCTION("COUNTA(iferror(filter(Status!N:N,Status!A:A=A213,Status!N:N=TRUE)))"),0.0)</f>
        <v>0</v>
      </c>
      <c r="P213" s="23">
        <f>IFERROR(__xludf.DUMMYFUNCTION("COUNTA(iferror(filter(Status!P:P,Status!A:A=A213)))"),0.0)</f>
        <v>0</v>
      </c>
      <c r="Q213" s="25">
        <f>IFERROR(__xludf.DUMMYFUNCTION("COUNTA(iferror(filter(Status!P:P,Status!A:A=A213,Status!P:P=TRUE)))"),0.0)</f>
        <v>0</v>
      </c>
      <c r="R213" s="23">
        <f>IFERROR(__xludf.DUMMYFUNCTION("COUNTA(iferror(filter(Status!R:R,Status!A:A=A213)))"),0.0)</f>
        <v>0</v>
      </c>
      <c r="S213" s="25">
        <f>IFERROR(__xludf.DUMMYFUNCTION("COUNTA(iferror(filter(Status!R:R,Status!A:A=A213,Status!R:R=TRUE)))"),0.0)</f>
        <v>0</v>
      </c>
      <c r="V213" s="23" t="str">
        <f>IFERROR(__xludf.DUMMYFUNCTION("if((countif(filter(Status!$C:$C,Status!$A:$A=$A213),CONCATENATE(V$2,""*""))-W213)&gt;0,(countif(filter(Status!$C:$C,Status!$A:$A=$A213),CONCATENATE(V$2,""*""))-W213),"""")"),"")</f>
        <v/>
      </c>
      <c r="W213" s="23" t="str">
        <f>IFERROR(__xludf.DUMMYFUNCTION("if(countif(filter(Status!$C:$C,Status!$A:$A=$A213),CONCATENATE(W$2,""*""))&gt;0,countif(filter(Status!$C:$C,Status!$A:$A=$A213),CONCATENATE(W$2,""*"")),"""")"),"")</f>
        <v/>
      </c>
      <c r="X213" s="23" t="str">
        <f>IFERROR(__xludf.DUMMYFUNCTION("if(countif(filter(Status!$C:$C,Status!$A:$A=$A213),CONCATENATE(X$2,""*""))&gt;0,countif(filter(Status!$C:$C,Status!$A:$A=$A213),CONCATENATE(X$2,""*"")),"""")"),"")</f>
        <v/>
      </c>
      <c r="Y213" s="23" t="str">
        <f>IFERROR(__xludf.DUMMYFUNCTION("if(countif(filter(Status!$C:$C,Status!$A:$A=$A213),CONCATENATE(Y$2,""*""))&gt;0,countif(filter(Status!$C:$C,Status!$A:$A=$A213),CONCATENATE(Y$2,""*"")),"""")"),"")</f>
        <v/>
      </c>
      <c r="Z213" s="23" t="str">
        <f>IFERROR(__xludf.DUMMYFUNCTION("if(countif(filter(Status!$C:$C,Status!$A:$A=$A213),CONCATENATE(Z$2,""*""))&gt;0,countif(filter(Status!$C:$C,Status!$A:$A=$A213),CONCATENATE(Z$2,""*"")),"""")"),"")</f>
        <v/>
      </c>
      <c r="AA213" s="23" t="str">
        <f>IFERROR(__xludf.DUMMYFUNCTION("if((countif(filter(Status!$C:$C,Status!$A:$A=$A213),CONCATENATE(AA$2,""*""))-AB213)&gt;0,(countif(filter(Status!$C:$C,Status!$A:$A=$A213),CONCATENATE(AA$2,""*""))-AB213),"""")"),"")</f>
        <v/>
      </c>
      <c r="AB213" s="23" t="str">
        <f>IFERROR(__xludf.DUMMYFUNCTION("if(countif(filter(Status!$C:$C,Status!$A:$A=$A213),CONCATENATE(AB$2,""*""))&gt;0,countif(filter(Status!$C:$C,Status!$A:$A=$A213),CONCATENATE(AB$2,""*"")),"""")"),"")</f>
        <v/>
      </c>
      <c r="AC213" s="23" t="str">
        <f>IFERROR(__xludf.DUMMYFUNCTION("if(countif(filter(Status!$C:$C,Status!$A:$A=$A213),CONCATENATE(AC$2,""*""))&gt;0,countif(filter(Status!$C:$C,Status!$A:$A=$A213),CONCATENATE(AC$2,""*"")),"""")"),"")</f>
        <v/>
      </c>
      <c r="AD213" s="23" t="str">
        <f>IFERROR(__xludf.DUMMYFUNCTION("if(countif(filter(Status!$C:$C,Status!$A:$A=$A213),CONCATENATE(AD$2,""*""))&gt;0,countif(filter(Status!$C:$C,Status!$A:$A=$A213),CONCATENATE(AD$2,""*"")),"""")"),"")</f>
        <v/>
      </c>
      <c r="AE213" s="23" t="str">
        <f>IFERROR(__xludf.DUMMYFUNCTION("if(countif(filter(Status!$C:$C,Status!$A:$A=$A213),CONCATENATE(AE$2,""*""))&gt;0,countif(filter(Status!$C:$C,Status!$A:$A=$A213),CONCATENATE(AE$2,""*"")),"""")"),"")</f>
        <v/>
      </c>
      <c r="AF213" s="23" t="str">
        <f>IFERROR(__xludf.DUMMYFUNCTION("if(countif(filter(Status!$C:$C,Status!$A:$A=$A213),CONCATENATE(AF$2,""*""))&gt;0,countif(filter(Status!$C:$C,Status!$A:$A=$A213),CONCATENATE(AF$2,""*"")),"""")"),"")</f>
        <v/>
      </c>
      <c r="AG213" s="23" t="str">
        <f>IFERROR(__xludf.DUMMYFUNCTION("if(countif(filter(Status!$C:$C,Status!$A:$A=$A213),CONCATENATE(AG$2,""*""))&gt;0,countif(filter(Status!$C:$C,Status!$A:$A=$A213),CONCATENATE(AG$2,""*"")),"""")"),"")</f>
        <v/>
      </c>
      <c r="AH213" s="23" t="str">
        <f>IFERROR(__xludf.DUMMYFUNCTION("if(countif(filter(Status!$C:$C,Status!$A:$A=$A213),CONCATENATE(AH$2,""*""))&gt;0,countif(filter(Status!$C:$C,Status!$A:$A=$A213),CONCATENATE(AH$2,""*"")),"""")"),"")</f>
        <v/>
      </c>
      <c r="AI213" s="23" t="str">
        <f>IFERROR(__xludf.DUMMYFUNCTION("if(countif(filter(Status!$C:$C,Status!$A:$A=$A213),CONCATENATE(AI$2,""*""))&gt;0,countif(filter(Status!$C:$C,Status!$A:$A=$A213),CONCATENATE(AI$2,""*"")),"""")"),"")</f>
        <v/>
      </c>
      <c r="AJ213" s="23" t="str">
        <f>IFERROR(__xludf.DUMMYFUNCTION("if(countif(filter(Status!$C:$C,Status!$A:$A=$A213),CONCATENATE(AJ$2,""*""))&gt;0,countif(filter(Status!$C:$C,Status!$A:$A=$A213),CONCATENATE(AJ$2,""*"")),"""")"),"")</f>
        <v/>
      </c>
      <c r="AK213" s="23" t="str">
        <f>IFERROR(__xludf.DUMMYFUNCTION("if(countif(filter(Status!$C:$C,Status!$A:$A=$A213),CONCATENATE(AK$2,""*""))&gt;0,countif(filter(Status!$C:$C,Status!$A:$A=$A213),CONCATENATE(AK$2,""*"")),"""")"),"")</f>
        <v/>
      </c>
      <c r="AL213" s="23" t="str">
        <f>IFERROR(__xludf.DUMMYFUNCTION("if(countif(filter(Status!$C:$C,Status!$A:$A=$A213),CONCATENATE(AL$2,""*""))&gt;0,countif(filter(Status!$C:$C,Status!$A:$A=$A213),CONCATENATE(AL$2,""*"")),"""")"),"")</f>
        <v/>
      </c>
      <c r="AM213" s="23" t="str">
        <f>IFERROR(__xludf.DUMMYFUNCTION("if(countif(filter(Status!$C:$C,Status!$A:$A=$A213),CONCATENATE(AM$2,""*""))&gt;0,countif(filter(Status!$C:$C,Status!$A:$A=$A213),CONCATENATE(AM$2,""*"")),"""")"),"")</f>
        <v/>
      </c>
      <c r="AN213" s="23" t="str">
        <f>IFERROR(__xludf.DUMMYFUNCTION("if(countif(filter(Status!$C:$C,Status!$A:$A=$A213),CONCATENATE(AN$2,""*""))&gt;0,countif(filter(Status!$C:$C,Status!$A:$A=$A213),CONCATENATE(AN$2,""*"")),"""")"),"")</f>
        <v/>
      </c>
      <c r="AO213" s="23" t="str">
        <f>IFERROR(__xludf.DUMMYFUNCTION("if(countif(filter(Status!$C:$C,Status!$A:$A=$A213),CONCATENATE(AO$2,""*""))&gt;0,countif(filter(Status!$C:$C,Status!$A:$A=$A213),CONCATENATE(AO$2,""*"")),"""")"),"")</f>
        <v/>
      </c>
      <c r="AP213" s="23">
        <f>IFERROR(__xludf.DUMMYFUNCTION("counta(iferror(filter(Status!C:C,Status!A:A=A213)))"),0.0)</f>
        <v>0</v>
      </c>
      <c r="AQ213" s="23">
        <f t="shared" si="6"/>
        <v>0</v>
      </c>
    </row>
    <row r="214">
      <c r="A214" s="1" t="s">
        <v>1347</v>
      </c>
      <c r="B214" s="25" t="str">
        <f>IFERROR(__xludf.DUMMYFUNCTION("max(filter(Status!E:E,Status!A:A=A214))"),"#N/A")</f>
        <v>#N/A</v>
      </c>
      <c r="C214" s="23" t="str">
        <f t="shared" si="1"/>
        <v/>
      </c>
      <c r="D214" s="23" t="str">
        <f t="shared" si="2"/>
        <v/>
      </c>
      <c r="E214" s="23" t="str">
        <f t="shared" si="3"/>
        <v/>
      </c>
      <c r="F214" s="23" t="str">
        <f t="shared" si="4"/>
        <v/>
      </c>
      <c r="G214" s="25" t="str">
        <f t="shared" si="5"/>
        <v/>
      </c>
      <c r="J214" s="23">
        <f>IFERROR(__xludf.DUMMYFUNCTION("COUNTA(iferror(filter(Status!H:H,Status!A:A=A214)))"),0.0)</f>
        <v>0</v>
      </c>
      <c r="K214" s="25">
        <f>IFERROR(__xludf.DUMMYFUNCTION("COUNTA(iferror(filter(Status!H:H,Status!A:A=A214,Status!H:H=TRUE)))"),0.0)</f>
        <v>0</v>
      </c>
      <c r="L214" s="23">
        <f>IFERROR(__xludf.DUMMYFUNCTION("COUNTA(iferror(filter(Status!L:L,Status!A:A=A214)))"),0.0)</f>
        <v>0</v>
      </c>
      <c r="M214" s="25">
        <f>IFERROR(__xludf.DUMMYFUNCTION("COUNTA(iferror(filter(Status!L:L,Status!A:A=A214,Status!L:L=TRUE)))"),0.0)</f>
        <v>0</v>
      </c>
      <c r="N214" s="23">
        <f>IFERROR(__xludf.DUMMYFUNCTION("COUNTA(iferror(filter(Status!N:N,Status!A:A=A214,Status!N:N=TRUE)))"),0.0)</f>
        <v>0</v>
      </c>
      <c r="O214" s="25">
        <f>IFERROR(__xludf.DUMMYFUNCTION("COUNTA(iferror(filter(Status!N:N,Status!A:A=A214,Status!N:N=TRUE)))"),0.0)</f>
        <v>0</v>
      </c>
      <c r="P214" s="23">
        <f>IFERROR(__xludf.DUMMYFUNCTION("COUNTA(iferror(filter(Status!P:P,Status!A:A=A214)))"),0.0)</f>
        <v>0</v>
      </c>
      <c r="Q214" s="25">
        <f>IFERROR(__xludf.DUMMYFUNCTION("COUNTA(iferror(filter(Status!P:P,Status!A:A=A214,Status!P:P=TRUE)))"),0.0)</f>
        <v>0</v>
      </c>
      <c r="R214" s="23">
        <f>IFERROR(__xludf.DUMMYFUNCTION("COUNTA(iferror(filter(Status!R:R,Status!A:A=A214)))"),0.0)</f>
        <v>0</v>
      </c>
      <c r="S214" s="25">
        <f>IFERROR(__xludf.DUMMYFUNCTION("COUNTA(iferror(filter(Status!R:R,Status!A:A=A214,Status!R:R=TRUE)))"),0.0)</f>
        <v>0</v>
      </c>
      <c r="V214" s="23" t="str">
        <f>IFERROR(__xludf.DUMMYFUNCTION("if((countif(filter(Status!$C:$C,Status!$A:$A=$A214),CONCATENATE(V$2,""*""))-W214)&gt;0,(countif(filter(Status!$C:$C,Status!$A:$A=$A214),CONCATENATE(V$2,""*""))-W214),"""")"),"")</f>
        <v/>
      </c>
      <c r="W214" s="23" t="str">
        <f>IFERROR(__xludf.DUMMYFUNCTION("if(countif(filter(Status!$C:$C,Status!$A:$A=$A214),CONCATENATE(W$2,""*""))&gt;0,countif(filter(Status!$C:$C,Status!$A:$A=$A214),CONCATENATE(W$2,""*"")),"""")"),"")</f>
        <v/>
      </c>
      <c r="X214" s="23" t="str">
        <f>IFERROR(__xludf.DUMMYFUNCTION("if(countif(filter(Status!$C:$C,Status!$A:$A=$A214),CONCATENATE(X$2,""*""))&gt;0,countif(filter(Status!$C:$C,Status!$A:$A=$A214),CONCATENATE(X$2,""*"")),"""")"),"")</f>
        <v/>
      </c>
      <c r="Y214" s="23" t="str">
        <f>IFERROR(__xludf.DUMMYFUNCTION("if(countif(filter(Status!$C:$C,Status!$A:$A=$A214),CONCATENATE(Y$2,""*""))&gt;0,countif(filter(Status!$C:$C,Status!$A:$A=$A214),CONCATENATE(Y$2,""*"")),"""")"),"")</f>
        <v/>
      </c>
      <c r="Z214" s="23" t="str">
        <f>IFERROR(__xludf.DUMMYFUNCTION("if(countif(filter(Status!$C:$C,Status!$A:$A=$A214),CONCATENATE(Z$2,""*""))&gt;0,countif(filter(Status!$C:$C,Status!$A:$A=$A214),CONCATENATE(Z$2,""*"")),"""")"),"")</f>
        <v/>
      </c>
      <c r="AA214" s="23" t="str">
        <f>IFERROR(__xludf.DUMMYFUNCTION("if((countif(filter(Status!$C:$C,Status!$A:$A=$A214),CONCATENATE(AA$2,""*""))-AB214)&gt;0,(countif(filter(Status!$C:$C,Status!$A:$A=$A214),CONCATENATE(AA$2,""*""))-AB214),"""")"),"")</f>
        <v/>
      </c>
      <c r="AB214" s="23" t="str">
        <f>IFERROR(__xludf.DUMMYFUNCTION("if(countif(filter(Status!$C:$C,Status!$A:$A=$A214),CONCATENATE(AB$2,""*""))&gt;0,countif(filter(Status!$C:$C,Status!$A:$A=$A214),CONCATENATE(AB$2,""*"")),"""")"),"")</f>
        <v/>
      </c>
      <c r="AC214" s="23" t="str">
        <f>IFERROR(__xludf.DUMMYFUNCTION("if(countif(filter(Status!$C:$C,Status!$A:$A=$A214),CONCATENATE(AC$2,""*""))&gt;0,countif(filter(Status!$C:$C,Status!$A:$A=$A214),CONCATENATE(AC$2,""*"")),"""")"),"")</f>
        <v/>
      </c>
      <c r="AD214" s="23" t="str">
        <f>IFERROR(__xludf.DUMMYFUNCTION("if(countif(filter(Status!$C:$C,Status!$A:$A=$A214),CONCATENATE(AD$2,""*""))&gt;0,countif(filter(Status!$C:$C,Status!$A:$A=$A214),CONCATENATE(AD$2,""*"")),"""")"),"")</f>
        <v/>
      </c>
      <c r="AE214" s="23" t="str">
        <f>IFERROR(__xludf.DUMMYFUNCTION("if(countif(filter(Status!$C:$C,Status!$A:$A=$A214),CONCATENATE(AE$2,""*""))&gt;0,countif(filter(Status!$C:$C,Status!$A:$A=$A214),CONCATENATE(AE$2,""*"")),"""")"),"")</f>
        <v/>
      </c>
      <c r="AF214" s="23" t="str">
        <f>IFERROR(__xludf.DUMMYFUNCTION("if(countif(filter(Status!$C:$C,Status!$A:$A=$A214),CONCATENATE(AF$2,""*""))&gt;0,countif(filter(Status!$C:$C,Status!$A:$A=$A214),CONCATENATE(AF$2,""*"")),"""")"),"")</f>
        <v/>
      </c>
      <c r="AG214" s="23" t="str">
        <f>IFERROR(__xludf.DUMMYFUNCTION("if(countif(filter(Status!$C:$C,Status!$A:$A=$A214),CONCATENATE(AG$2,""*""))&gt;0,countif(filter(Status!$C:$C,Status!$A:$A=$A214),CONCATENATE(AG$2,""*"")),"""")"),"")</f>
        <v/>
      </c>
      <c r="AH214" s="23" t="str">
        <f>IFERROR(__xludf.DUMMYFUNCTION("if(countif(filter(Status!$C:$C,Status!$A:$A=$A214),CONCATENATE(AH$2,""*""))&gt;0,countif(filter(Status!$C:$C,Status!$A:$A=$A214),CONCATENATE(AH$2,""*"")),"""")"),"")</f>
        <v/>
      </c>
      <c r="AI214" s="23" t="str">
        <f>IFERROR(__xludf.DUMMYFUNCTION("if(countif(filter(Status!$C:$C,Status!$A:$A=$A214),CONCATENATE(AI$2,""*""))&gt;0,countif(filter(Status!$C:$C,Status!$A:$A=$A214),CONCATENATE(AI$2,""*"")),"""")"),"")</f>
        <v/>
      </c>
      <c r="AJ214" s="23" t="str">
        <f>IFERROR(__xludf.DUMMYFUNCTION("if(countif(filter(Status!$C:$C,Status!$A:$A=$A214),CONCATENATE(AJ$2,""*""))&gt;0,countif(filter(Status!$C:$C,Status!$A:$A=$A214),CONCATENATE(AJ$2,""*"")),"""")"),"")</f>
        <v/>
      </c>
      <c r="AK214" s="23" t="str">
        <f>IFERROR(__xludf.DUMMYFUNCTION("if(countif(filter(Status!$C:$C,Status!$A:$A=$A214),CONCATENATE(AK$2,""*""))&gt;0,countif(filter(Status!$C:$C,Status!$A:$A=$A214),CONCATENATE(AK$2,""*"")),"""")"),"")</f>
        <v/>
      </c>
      <c r="AL214" s="23" t="str">
        <f>IFERROR(__xludf.DUMMYFUNCTION("if(countif(filter(Status!$C:$C,Status!$A:$A=$A214),CONCATENATE(AL$2,""*""))&gt;0,countif(filter(Status!$C:$C,Status!$A:$A=$A214),CONCATENATE(AL$2,""*"")),"""")"),"")</f>
        <v/>
      </c>
      <c r="AM214" s="23" t="str">
        <f>IFERROR(__xludf.DUMMYFUNCTION("if(countif(filter(Status!$C:$C,Status!$A:$A=$A214),CONCATENATE(AM$2,""*""))&gt;0,countif(filter(Status!$C:$C,Status!$A:$A=$A214),CONCATENATE(AM$2,""*"")),"""")"),"")</f>
        <v/>
      </c>
      <c r="AN214" s="23" t="str">
        <f>IFERROR(__xludf.DUMMYFUNCTION("if(countif(filter(Status!$C:$C,Status!$A:$A=$A214),CONCATENATE(AN$2,""*""))&gt;0,countif(filter(Status!$C:$C,Status!$A:$A=$A214),CONCATENATE(AN$2,""*"")),"""")"),"")</f>
        <v/>
      </c>
      <c r="AO214" s="23" t="str">
        <f>IFERROR(__xludf.DUMMYFUNCTION("if(countif(filter(Status!$C:$C,Status!$A:$A=$A214),CONCATENATE(AO$2,""*""))&gt;0,countif(filter(Status!$C:$C,Status!$A:$A=$A214),CONCATENATE(AO$2,""*"")),"""")"),"")</f>
        <v/>
      </c>
      <c r="AP214" s="23">
        <f>IFERROR(__xludf.DUMMYFUNCTION("counta(iferror(filter(Status!C:C,Status!A:A=A214)))"),0.0)</f>
        <v>0</v>
      </c>
      <c r="AQ214" s="23">
        <f t="shared" si="6"/>
        <v>0</v>
      </c>
    </row>
    <row r="215">
      <c r="A215" s="1" t="s">
        <v>1350</v>
      </c>
      <c r="B215" s="25" t="str">
        <f>IFERROR(__xludf.DUMMYFUNCTION("max(filter(Status!E:E,Status!A:A=A215))"),"#N/A")</f>
        <v>#N/A</v>
      </c>
      <c r="C215" s="23" t="str">
        <f t="shared" si="1"/>
        <v/>
      </c>
      <c r="D215" s="23" t="str">
        <f t="shared" si="2"/>
        <v/>
      </c>
      <c r="E215" s="23" t="str">
        <f t="shared" si="3"/>
        <v/>
      </c>
      <c r="F215" s="23" t="str">
        <f t="shared" si="4"/>
        <v/>
      </c>
      <c r="G215" s="25" t="str">
        <f t="shared" si="5"/>
        <v/>
      </c>
      <c r="J215" s="23">
        <f>IFERROR(__xludf.DUMMYFUNCTION("COUNTA(iferror(filter(Status!H:H,Status!A:A=A215)))"),0.0)</f>
        <v>0</v>
      </c>
      <c r="K215" s="25">
        <f>IFERROR(__xludf.DUMMYFUNCTION("COUNTA(iferror(filter(Status!H:H,Status!A:A=A215,Status!H:H=TRUE)))"),0.0)</f>
        <v>0</v>
      </c>
      <c r="L215" s="23">
        <f>IFERROR(__xludf.DUMMYFUNCTION("COUNTA(iferror(filter(Status!L:L,Status!A:A=A215)))"),0.0)</f>
        <v>0</v>
      </c>
      <c r="M215" s="25">
        <f>IFERROR(__xludf.DUMMYFUNCTION("COUNTA(iferror(filter(Status!L:L,Status!A:A=A215,Status!L:L=TRUE)))"),0.0)</f>
        <v>0</v>
      </c>
      <c r="N215" s="23">
        <f>IFERROR(__xludf.DUMMYFUNCTION("COUNTA(iferror(filter(Status!N:N,Status!A:A=A215,Status!N:N=TRUE)))"),0.0)</f>
        <v>0</v>
      </c>
      <c r="O215" s="25">
        <f>IFERROR(__xludf.DUMMYFUNCTION("COUNTA(iferror(filter(Status!N:N,Status!A:A=A215,Status!N:N=TRUE)))"),0.0)</f>
        <v>0</v>
      </c>
      <c r="P215" s="23">
        <f>IFERROR(__xludf.DUMMYFUNCTION("COUNTA(iferror(filter(Status!P:P,Status!A:A=A215)))"),0.0)</f>
        <v>0</v>
      </c>
      <c r="Q215" s="25">
        <f>IFERROR(__xludf.DUMMYFUNCTION("COUNTA(iferror(filter(Status!P:P,Status!A:A=A215,Status!P:P=TRUE)))"),0.0)</f>
        <v>0</v>
      </c>
      <c r="R215" s="23">
        <f>IFERROR(__xludf.DUMMYFUNCTION("COUNTA(iferror(filter(Status!R:R,Status!A:A=A215)))"),0.0)</f>
        <v>0</v>
      </c>
      <c r="S215" s="25">
        <f>IFERROR(__xludf.DUMMYFUNCTION("COUNTA(iferror(filter(Status!R:R,Status!A:A=A215,Status!R:R=TRUE)))"),0.0)</f>
        <v>0</v>
      </c>
      <c r="V215" s="23" t="str">
        <f>IFERROR(__xludf.DUMMYFUNCTION("if((countif(filter(Status!$C:$C,Status!$A:$A=$A215),CONCATENATE(V$2,""*""))-W215)&gt;0,(countif(filter(Status!$C:$C,Status!$A:$A=$A215),CONCATENATE(V$2,""*""))-W215),"""")"),"")</f>
        <v/>
      </c>
      <c r="W215" s="23" t="str">
        <f>IFERROR(__xludf.DUMMYFUNCTION("if(countif(filter(Status!$C:$C,Status!$A:$A=$A215),CONCATENATE(W$2,""*""))&gt;0,countif(filter(Status!$C:$C,Status!$A:$A=$A215),CONCATENATE(W$2,""*"")),"""")"),"")</f>
        <v/>
      </c>
      <c r="X215" s="23" t="str">
        <f>IFERROR(__xludf.DUMMYFUNCTION("if(countif(filter(Status!$C:$C,Status!$A:$A=$A215),CONCATENATE(X$2,""*""))&gt;0,countif(filter(Status!$C:$C,Status!$A:$A=$A215),CONCATENATE(X$2,""*"")),"""")"),"")</f>
        <v/>
      </c>
      <c r="Y215" s="23" t="str">
        <f>IFERROR(__xludf.DUMMYFUNCTION("if(countif(filter(Status!$C:$C,Status!$A:$A=$A215),CONCATENATE(Y$2,""*""))&gt;0,countif(filter(Status!$C:$C,Status!$A:$A=$A215),CONCATENATE(Y$2,""*"")),"""")"),"")</f>
        <v/>
      </c>
      <c r="Z215" s="23" t="str">
        <f>IFERROR(__xludf.DUMMYFUNCTION("if(countif(filter(Status!$C:$C,Status!$A:$A=$A215),CONCATENATE(Z$2,""*""))&gt;0,countif(filter(Status!$C:$C,Status!$A:$A=$A215),CONCATENATE(Z$2,""*"")),"""")"),"")</f>
        <v/>
      </c>
      <c r="AA215" s="23" t="str">
        <f>IFERROR(__xludf.DUMMYFUNCTION("if((countif(filter(Status!$C:$C,Status!$A:$A=$A215),CONCATENATE(AA$2,""*""))-AB215)&gt;0,(countif(filter(Status!$C:$C,Status!$A:$A=$A215),CONCATENATE(AA$2,""*""))-AB215),"""")"),"")</f>
        <v/>
      </c>
      <c r="AB215" s="23" t="str">
        <f>IFERROR(__xludf.DUMMYFUNCTION("if(countif(filter(Status!$C:$C,Status!$A:$A=$A215),CONCATENATE(AB$2,""*""))&gt;0,countif(filter(Status!$C:$C,Status!$A:$A=$A215),CONCATENATE(AB$2,""*"")),"""")"),"")</f>
        <v/>
      </c>
      <c r="AC215" s="23" t="str">
        <f>IFERROR(__xludf.DUMMYFUNCTION("if(countif(filter(Status!$C:$C,Status!$A:$A=$A215),CONCATENATE(AC$2,""*""))&gt;0,countif(filter(Status!$C:$C,Status!$A:$A=$A215),CONCATENATE(AC$2,""*"")),"""")"),"")</f>
        <v/>
      </c>
      <c r="AD215" s="23" t="str">
        <f>IFERROR(__xludf.DUMMYFUNCTION("if(countif(filter(Status!$C:$C,Status!$A:$A=$A215),CONCATENATE(AD$2,""*""))&gt;0,countif(filter(Status!$C:$C,Status!$A:$A=$A215),CONCATENATE(AD$2,""*"")),"""")"),"")</f>
        <v/>
      </c>
      <c r="AE215" s="23" t="str">
        <f>IFERROR(__xludf.DUMMYFUNCTION("if(countif(filter(Status!$C:$C,Status!$A:$A=$A215),CONCATENATE(AE$2,""*""))&gt;0,countif(filter(Status!$C:$C,Status!$A:$A=$A215),CONCATENATE(AE$2,""*"")),"""")"),"")</f>
        <v/>
      </c>
      <c r="AF215" s="23" t="str">
        <f>IFERROR(__xludf.DUMMYFUNCTION("if(countif(filter(Status!$C:$C,Status!$A:$A=$A215),CONCATENATE(AF$2,""*""))&gt;0,countif(filter(Status!$C:$C,Status!$A:$A=$A215),CONCATENATE(AF$2,""*"")),"""")"),"")</f>
        <v/>
      </c>
      <c r="AG215" s="23" t="str">
        <f>IFERROR(__xludf.DUMMYFUNCTION("if(countif(filter(Status!$C:$C,Status!$A:$A=$A215),CONCATENATE(AG$2,""*""))&gt;0,countif(filter(Status!$C:$C,Status!$A:$A=$A215),CONCATENATE(AG$2,""*"")),"""")"),"")</f>
        <v/>
      </c>
      <c r="AH215" s="23" t="str">
        <f>IFERROR(__xludf.DUMMYFUNCTION("if(countif(filter(Status!$C:$C,Status!$A:$A=$A215),CONCATENATE(AH$2,""*""))&gt;0,countif(filter(Status!$C:$C,Status!$A:$A=$A215),CONCATENATE(AH$2,""*"")),"""")"),"")</f>
        <v/>
      </c>
      <c r="AI215" s="23" t="str">
        <f>IFERROR(__xludf.DUMMYFUNCTION("if(countif(filter(Status!$C:$C,Status!$A:$A=$A215),CONCATENATE(AI$2,""*""))&gt;0,countif(filter(Status!$C:$C,Status!$A:$A=$A215),CONCATENATE(AI$2,""*"")),"""")"),"")</f>
        <v/>
      </c>
      <c r="AJ215" s="23" t="str">
        <f>IFERROR(__xludf.DUMMYFUNCTION("if(countif(filter(Status!$C:$C,Status!$A:$A=$A215),CONCATENATE(AJ$2,""*""))&gt;0,countif(filter(Status!$C:$C,Status!$A:$A=$A215),CONCATENATE(AJ$2,""*"")),"""")"),"")</f>
        <v/>
      </c>
      <c r="AK215" s="23" t="str">
        <f>IFERROR(__xludf.DUMMYFUNCTION("if(countif(filter(Status!$C:$C,Status!$A:$A=$A215),CONCATENATE(AK$2,""*""))&gt;0,countif(filter(Status!$C:$C,Status!$A:$A=$A215),CONCATENATE(AK$2,""*"")),"""")"),"")</f>
        <v/>
      </c>
      <c r="AL215" s="23" t="str">
        <f>IFERROR(__xludf.DUMMYFUNCTION("if(countif(filter(Status!$C:$C,Status!$A:$A=$A215),CONCATENATE(AL$2,""*""))&gt;0,countif(filter(Status!$C:$C,Status!$A:$A=$A215),CONCATENATE(AL$2,""*"")),"""")"),"")</f>
        <v/>
      </c>
      <c r="AM215" s="23" t="str">
        <f>IFERROR(__xludf.DUMMYFUNCTION("if(countif(filter(Status!$C:$C,Status!$A:$A=$A215),CONCATENATE(AM$2,""*""))&gt;0,countif(filter(Status!$C:$C,Status!$A:$A=$A215),CONCATENATE(AM$2,""*"")),"""")"),"")</f>
        <v/>
      </c>
      <c r="AN215" s="23" t="str">
        <f>IFERROR(__xludf.DUMMYFUNCTION("if(countif(filter(Status!$C:$C,Status!$A:$A=$A215),CONCATENATE(AN$2,""*""))&gt;0,countif(filter(Status!$C:$C,Status!$A:$A=$A215),CONCATENATE(AN$2,""*"")),"""")"),"")</f>
        <v/>
      </c>
      <c r="AO215" s="23" t="str">
        <f>IFERROR(__xludf.DUMMYFUNCTION("if(countif(filter(Status!$C:$C,Status!$A:$A=$A215),CONCATENATE(AO$2,""*""))&gt;0,countif(filter(Status!$C:$C,Status!$A:$A=$A215),CONCATENATE(AO$2,""*"")),"""")"),"")</f>
        <v/>
      </c>
      <c r="AP215" s="23">
        <f>IFERROR(__xludf.DUMMYFUNCTION("counta(iferror(filter(Status!C:C,Status!A:A=A215)))"),0.0)</f>
        <v>0</v>
      </c>
      <c r="AQ215" s="23">
        <f t="shared" si="6"/>
        <v>0</v>
      </c>
    </row>
    <row r="216">
      <c r="A216" s="1" t="s">
        <v>1354</v>
      </c>
      <c r="B216" s="25" t="str">
        <f>IFERROR(__xludf.DUMMYFUNCTION("max(filter(Status!E:E,Status!A:A=A216))"),"#N/A")</f>
        <v>#N/A</v>
      </c>
      <c r="C216" s="23" t="str">
        <f t="shared" si="1"/>
        <v/>
      </c>
      <c r="D216" s="23" t="str">
        <f t="shared" si="2"/>
        <v/>
      </c>
      <c r="E216" s="23" t="str">
        <f t="shared" si="3"/>
        <v/>
      </c>
      <c r="F216" s="23" t="str">
        <f t="shared" si="4"/>
        <v/>
      </c>
      <c r="G216" s="25" t="str">
        <f t="shared" si="5"/>
        <v/>
      </c>
      <c r="J216" s="23">
        <f>IFERROR(__xludf.DUMMYFUNCTION("COUNTA(iferror(filter(Status!H:H,Status!A:A=A216)))"),0.0)</f>
        <v>0</v>
      </c>
      <c r="K216" s="25">
        <f>IFERROR(__xludf.DUMMYFUNCTION("COUNTA(iferror(filter(Status!H:H,Status!A:A=A216,Status!H:H=TRUE)))"),0.0)</f>
        <v>0</v>
      </c>
      <c r="L216" s="23">
        <f>IFERROR(__xludf.DUMMYFUNCTION("COUNTA(iferror(filter(Status!L:L,Status!A:A=A216)))"),0.0)</f>
        <v>0</v>
      </c>
      <c r="M216" s="25">
        <f>IFERROR(__xludf.DUMMYFUNCTION("COUNTA(iferror(filter(Status!L:L,Status!A:A=A216,Status!L:L=TRUE)))"),0.0)</f>
        <v>0</v>
      </c>
      <c r="N216" s="23">
        <f>IFERROR(__xludf.DUMMYFUNCTION("COUNTA(iferror(filter(Status!N:N,Status!A:A=A216,Status!N:N=TRUE)))"),0.0)</f>
        <v>0</v>
      </c>
      <c r="O216" s="25">
        <f>IFERROR(__xludf.DUMMYFUNCTION("COUNTA(iferror(filter(Status!N:N,Status!A:A=A216,Status!N:N=TRUE)))"),0.0)</f>
        <v>0</v>
      </c>
      <c r="P216" s="23">
        <f>IFERROR(__xludf.DUMMYFUNCTION("COUNTA(iferror(filter(Status!P:P,Status!A:A=A216)))"),0.0)</f>
        <v>0</v>
      </c>
      <c r="Q216" s="25">
        <f>IFERROR(__xludf.DUMMYFUNCTION("COUNTA(iferror(filter(Status!P:P,Status!A:A=A216,Status!P:P=TRUE)))"),0.0)</f>
        <v>0</v>
      </c>
      <c r="R216" s="23">
        <f>IFERROR(__xludf.DUMMYFUNCTION("COUNTA(iferror(filter(Status!R:R,Status!A:A=A216)))"),0.0)</f>
        <v>0</v>
      </c>
      <c r="S216" s="25">
        <f>IFERROR(__xludf.DUMMYFUNCTION("COUNTA(iferror(filter(Status!R:R,Status!A:A=A216,Status!R:R=TRUE)))"),0.0)</f>
        <v>0</v>
      </c>
      <c r="V216" s="23" t="str">
        <f>IFERROR(__xludf.DUMMYFUNCTION("if((countif(filter(Status!$C:$C,Status!$A:$A=$A216),CONCATENATE(V$2,""*""))-W216)&gt;0,(countif(filter(Status!$C:$C,Status!$A:$A=$A216),CONCATENATE(V$2,""*""))-W216),"""")"),"")</f>
        <v/>
      </c>
      <c r="W216" s="23" t="str">
        <f>IFERROR(__xludf.DUMMYFUNCTION("if(countif(filter(Status!$C:$C,Status!$A:$A=$A216),CONCATENATE(W$2,""*""))&gt;0,countif(filter(Status!$C:$C,Status!$A:$A=$A216),CONCATENATE(W$2,""*"")),"""")"),"")</f>
        <v/>
      </c>
      <c r="X216" s="23" t="str">
        <f>IFERROR(__xludf.DUMMYFUNCTION("if(countif(filter(Status!$C:$C,Status!$A:$A=$A216),CONCATENATE(X$2,""*""))&gt;0,countif(filter(Status!$C:$C,Status!$A:$A=$A216),CONCATENATE(X$2,""*"")),"""")"),"")</f>
        <v/>
      </c>
      <c r="Y216" s="23" t="str">
        <f>IFERROR(__xludf.DUMMYFUNCTION("if(countif(filter(Status!$C:$C,Status!$A:$A=$A216),CONCATENATE(Y$2,""*""))&gt;0,countif(filter(Status!$C:$C,Status!$A:$A=$A216),CONCATENATE(Y$2,""*"")),"""")"),"")</f>
        <v/>
      </c>
      <c r="Z216" s="23" t="str">
        <f>IFERROR(__xludf.DUMMYFUNCTION("if(countif(filter(Status!$C:$C,Status!$A:$A=$A216),CONCATENATE(Z$2,""*""))&gt;0,countif(filter(Status!$C:$C,Status!$A:$A=$A216),CONCATENATE(Z$2,""*"")),"""")"),"")</f>
        <v/>
      </c>
      <c r="AA216" s="23" t="str">
        <f>IFERROR(__xludf.DUMMYFUNCTION("if((countif(filter(Status!$C:$C,Status!$A:$A=$A216),CONCATENATE(AA$2,""*""))-AB216)&gt;0,(countif(filter(Status!$C:$C,Status!$A:$A=$A216),CONCATENATE(AA$2,""*""))-AB216),"""")"),"")</f>
        <v/>
      </c>
      <c r="AB216" s="23" t="str">
        <f>IFERROR(__xludf.DUMMYFUNCTION("if(countif(filter(Status!$C:$C,Status!$A:$A=$A216),CONCATENATE(AB$2,""*""))&gt;0,countif(filter(Status!$C:$C,Status!$A:$A=$A216),CONCATENATE(AB$2,""*"")),"""")"),"")</f>
        <v/>
      </c>
      <c r="AC216" s="23" t="str">
        <f>IFERROR(__xludf.DUMMYFUNCTION("if(countif(filter(Status!$C:$C,Status!$A:$A=$A216),CONCATENATE(AC$2,""*""))&gt;0,countif(filter(Status!$C:$C,Status!$A:$A=$A216),CONCATENATE(AC$2,""*"")),"""")"),"")</f>
        <v/>
      </c>
      <c r="AD216" s="23" t="str">
        <f>IFERROR(__xludf.DUMMYFUNCTION("if(countif(filter(Status!$C:$C,Status!$A:$A=$A216),CONCATENATE(AD$2,""*""))&gt;0,countif(filter(Status!$C:$C,Status!$A:$A=$A216),CONCATENATE(AD$2,""*"")),"""")"),"")</f>
        <v/>
      </c>
      <c r="AE216" s="23" t="str">
        <f>IFERROR(__xludf.DUMMYFUNCTION("if(countif(filter(Status!$C:$C,Status!$A:$A=$A216),CONCATENATE(AE$2,""*""))&gt;0,countif(filter(Status!$C:$C,Status!$A:$A=$A216),CONCATENATE(AE$2,""*"")),"""")"),"")</f>
        <v/>
      </c>
      <c r="AF216" s="23" t="str">
        <f>IFERROR(__xludf.DUMMYFUNCTION("if(countif(filter(Status!$C:$C,Status!$A:$A=$A216),CONCATENATE(AF$2,""*""))&gt;0,countif(filter(Status!$C:$C,Status!$A:$A=$A216),CONCATENATE(AF$2,""*"")),"""")"),"")</f>
        <v/>
      </c>
      <c r="AG216" s="23" t="str">
        <f>IFERROR(__xludf.DUMMYFUNCTION("if(countif(filter(Status!$C:$C,Status!$A:$A=$A216),CONCATENATE(AG$2,""*""))&gt;0,countif(filter(Status!$C:$C,Status!$A:$A=$A216),CONCATENATE(AG$2,""*"")),"""")"),"")</f>
        <v/>
      </c>
      <c r="AH216" s="23" t="str">
        <f>IFERROR(__xludf.DUMMYFUNCTION("if(countif(filter(Status!$C:$C,Status!$A:$A=$A216),CONCATENATE(AH$2,""*""))&gt;0,countif(filter(Status!$C:$C,Status!$A:$A=$A216),CONCATENATE(AH$2,""*"")),"""")"),"")</f>
        <v/>
      </c>
      <c r="AI216" s="23" t="str">
        <f>IFERROR(__xludf.DUMMYFUNCTION("if(countif(filter(Status!$C:$C,Status!$A:$A=$A216),CONCATENATE(AI$2,""*""))&gt;0,countif(filter(Status!$C:$C,Status!$A:$A=$A216),CONCATENATE(AI$2,""*"")),"""")"),"")</f>
        <v/>
      </c>
      <c r="AJ216" s="23" t="str">
        <f>IFERROR(__xludf.DUMMYFUNCTION("if(countif(filter(Status!$C:$C,Status!$A:$A=$A216),CONCATENATE(AJ$2,""*""))&gt;0,countif(filter(Status!$C:$C,Status!$A:$A=$A216),CONCATENATE(AJ$2,""*"")),"""")"),"")</f>
        <v/>
      </c>
      <c r="AK216" s="23" t="str">
        <f>IFERROR(__xludf.DUMMYFUNCTION("if(countif(filter(Status!$C:$C,Status!$A:$A=$A216),CONCATENATE(AK$2,""*""))&gt;0,countif(filter(Status!$C:$C,Status!$A:$A=$A216),CONCATENATE(AK$2,""*"")),"""")"),"")</f>
        <v/>
      </c>
      <c r="AL216" s="23" t="str">
        <f>IFERROR(__xludf.DUMMYFUNCTION("if(countif(filter(Status!$C:$C,Status!$A:$A=$A216),CONCATENATE(AL$2,""*""))&gt;0,countif(filter(Status!$C:$C,Status!$A:$A=$A216),CONCATENATE(AL$2,""*"")),"""")"),"")</f>
        <v/>
      </c>
      <c r="AM216" s="23" t="str">
        <f>IFERROR(__xludf.DUMMYFUNCTION("if(countif(filter(Status!$C:$C,Status!$A:$A=$A216),CONCATENATE(AM$2,""*""))&gt;0,countif(filter(Status!$C:$C,Status!$A:$A=$A216),CONCATENATE(AM$2,""*"")),"""")"),"")</f>
        <v/>
      </c>
      <c r="AN216" s="23" t="str">
        <f>IFERROR(__xludf.DUMMYFUNCTION("if(countif(filter(Status!$C:$C,Status!$A:$A=$A216),CONCATENATE(AN$2,""*""))&gt;0,countif(filter(Status!$C:$C,Status!$A:$A=$A216),CONCATENATE(AN$2,""*"")),"""")"),"")</f>
        <v/>
      </c>
      <c r="AO216" s="23" t="str">
        <f>IFERROR(__xludf.DUMMYFUNCTION("if(countif(filter(Status!$C:$C,Status!$A:$A=$A216),CONCATENATE(AO$2,""*""))&gt;0,countif(filter(Status!$C:$C,Status!$A:$A=$A216),CONCATENATE(AO$2,""*"")),"""")"),"")</f>
        <v/>
      </c>
      <c r="AP216" s="23">
        <f>IFERROR(__xludf.DUMMYFUNCTION("counta(iferror(filter(Status!C:C,Status!A:A=A216)))"),0.0)</f>
        <v>0</v>
      </c>
      <c r="AQ216" s="23">
        <f t="shared" si="6"/>
        <v>0</v>
      </c>
    </row>
    <row r="217">
      <c r="A217" s="1" t="s">
        <v>1359</v>
      </c>
      <c r="B217" s="25" t="str">
        <f>IFERROR(__xludf.DUMMYFUNCTION("max(filter(Status!E:E,Status!A:A=A217))"),"#N/A")</f>
        <v>#N/A</v>
      </c>
      <c r="C217" s="23" t="str">
        <f t="shared" si="1"/>
        <v/>
      </c>
      <c r="D217" s="23" t="str">
        <f t="shared" si="2"/>
        <v/>
      </c>
      <c r="E217" s="23" t="str">
        <f t="shared" si="3"/>
        <v/>
      </c>
      <c r="F217" s="23" t="str">
        <f t="shared" si="4"/>
        <v/>
      </c>
      <c r="G217" s="25" t="str">
        <f t="shared" si="5"/>
        <v/>
      </c>
      <c r="J217" s="23">
        <f>IFERROR(__xludf.DUMMYFUNCTION("COUNTA(iferror(filter(Status!H:H,Status!A:A=A217)))"),0.0)</f>
        <v>0</v>
      </c>
      <c r="K217" s="25">
        <f>IFERROR(__xludf.DUMMYFUNCTION("COUNTA(iferror(filter(Status!H:H,Status!A:A=A217,Status!H:H=TRUE)))"),0.0)</f>
        <v>0</v>
      </c>
      <c r="L217" s="23">
        <f>IFERROR(__xludf.DUMMYFUNCTION("COUNTA(iferror(filter(Status!L:L,Status!A:A=A217)))"),0.0)</f>
        <v>0</v>
      </c>
      <c r="M217" s="25">
        <f>IFERROR(__xludf.DUMMYFUNCTION("COUNTA(iferror(filter(Status!L:L,Status!A:A=A217,Status!L:L=TRUE)))"),0.0)</f>
        <v>0</v>
      </c>
      <c r="N217" s="23">
        <f>IFERROR(__xludf.DUMMYFUNCTION("COUNTA(iferror(filter(Status!N:N,Status!A:A=A217,Status!N:N=TRUE)))"),0.0)</f>
        <v>0</v>
      </c>
      <c r="O217" s="25">
        <f>IFERROR(__xludf.DUMMYFUNCTION("COUNTA(iferror(filter(Status!N:N,Status!A:A=A217,Status!N:N=TRUE)))"),0.0)</f>
        <v>0</v>
      </c>
      <c r="P217" s="23">
        <f>IFERROR(__xludf.DUMMYFUNCTION("COUNTA(iferror(filter(Status!P:P,Status!A:A=A217)))"),0.0)</f>
        <v>0</v>
      </c>
      <c r="Q217" s="25">
        <f>IFERROR(__xludf.DUMMYFUNCTION("COUNTA(iferror(filter(Status!P:P,Status!A:A=A217,Status!P:P=TRUE)))"),0.0)</f>
        <v>0</v>
      </c>
      <c r="R217" s="23">
        <f>IFERROR(__xludf.DUMMYFUNCTION("COUNTA(iferror(filter(Status!R:R,Status!A:A=A217)))"),0.0)</f>
        <v>0</v>
      </c>
      <c r="S217" s="25">
        <f>IFERROR(__xludf.DUMMYFUNCTION("COUNTA(iferror(filter(Status!R:R,Status!A:A=A217,Status!R:R=TRUE)))"),0.0)</f>
        <v>0</v>
      </c>
      <c r="V217" s="23" t="str">
        <f>IFERROR(__xludf.DUMMYFUNCTION("if((countif(filter(Status!$C:$C,Status!$A:$A=$A217),CONCATENATE(V$2,""*""))-W217)&gt;0,(countif(filter(Status!$C:$C,Status!$A:$A=$A217),CONCATENATE(V$2,""*""))-W217),"""")"),"")</f>
        <v/>
      </c>
      <c r="W217" s="23" t="str">
        <f>IFERROR(__xludf.DUMMYFUNCTION("if(countif(filter(Status!$C:$C,Status!$A:$A=$A217),CONCATENATE(W$2,""*""))&gt;0,countif(filter(Status!$C:$C,Status!$A:$A=$A217),CONCATENATE(W$2,""*"")),"""")"),"")</f>
        <v/>
      </c>
      <c r="X217" s="23" t="str">
        <f>IFERROR(__xludf.DUMMYFUNCTION("if(countif(filter(Status!$C:$C,Status!$A:$A=$A217),CONCATENATE(X$2,""*""))&gt;0,countif(filter(Status!$C:$C,Status!$A:$A=$A217),CONCATENATE(X$2,""*"")),"""")"),"")</f>
        <v/>
      </c>
      <c r="Y217" s="23" t="str">
        <f>IFERROR(__xludf.DUMMYFUNCTION("if(countif(filter(Status!$C:$C,Status!$A:$A=$A217),CONCATENATE(Y$2,""*""))&gt;0,countif(filter(Status!$C:$C,Status!$A:$A=$A217),CONCATENATE(Y$2,""*"")),"""")"),"")</f>
        <v/>
      </c>
      <c r="Z217" s="23" t="str">
        <f>IFERROR(__xludf.DUMMYFUNCTION("if(countif(filter(Status!$C:$C,Status!$A:$A=$A217),CONCATENATE(Z$2,""*""))&gt;0,countif(filter(Status!$C:$C,Status!$A:$A=$A217),CONCATENATE(Z$2,""*"")),"""")"),"")</f>
        <v/>
      </c>
      <c r="AA217" s="23" t="str">
        <f>IFERROR(__xludf.DUMMYFUNCTION("if((countif(filter(Status!$C:$C,Status!$A:$A=$A217),CONCATENATE(AA$2,""*""))-AB217)&gt;0,(countif(filter(Status!$C:$C,Status!$A:$A=$A217),CONCATENATE(AA$2,""*""))-AB217),"""")"),"")</f>
        <v/>
      </c>
      <c r="AB217" s="23" t="str">
        <f>IFERROR(__xludf.DUMMYFUNCTION("if(countif(filter(Status!$C:$C,Status!$A:$A=$A217),CONCATENATE(AB$2,""*""))&gt;0,countif(filter(Status!$C:$C,Status!$A:$A=$A217),CONCATENATE(AB$2,""*"")),"""")"),"")</f>
        <v/>
      </c>
      <c r="AC217" s="23" t="str">
        <f>IFERROR(__xludf.DUMMYFUNCTION("if(countif(filter(Status!$C:$C,Status!$A:$A=$A217),CONCATENATE(AC$2,""*""))&gt;0,countif(filter(Status!$C:$C,Status!$A:$A=$A217),CONCATENATE(AC$2,""*"")),"""")"),"")</f>
        <v/>
      </c>
      <c r="AD217" s="23" t="str">
        <f>IFERROR(__xludf.DUMMYFUNCTION("if(countif(filter(Status!$C:$C,Status!$A:$A=$A217),CONCATENATE(AD$2,""*""))&gt;0,countif(filter(Status!$C:$C,Status!$A:$A=$A217),CONCATENATE(AD$2,""*"")),"""")"),"")</f>
        <v/>
      </c>
      <c r="AE217" s="23" t="str">
        <f>IFERROR(__xludf.DUMMYFUNCTION("if(countif(filter(Status!$C:$C,Status!$A:$A=$A217),CONCATENATE(AE$2,""*""))&gt;0,countif(filter(Status!$C:$C,Status!$A:$A=$A217),CONCATENATE(AE$2,""*"")),"""")"),"")</f>
        <v/>
      </c>
      <c r="AF217" s="23" t="str">
        <f>IFERROR(__xludf.DUMMYFUNCTION("if(countif(filter(Status!$C:$C,Status!$A:$A=$A217),CONCATENATE(AF$2,""*""))&gt;0,countif(filter(Status!$C:$C,Status!$A:$A=$A217),CONCATENATE(AF$2,""*"")),"""")"),"")</f>
        <v/>
      </c>
      <c r="AG217" s="23" t="str">
        <f>IFERROR(__xludf.DUMMYFUNCTION("if(countif(filter(Status!$C:$C,Status!$A:$A=$A217),CONCATENATE(AG$2,""*""))&gt;0,countif(filter(Status!$C:$C,Status!$A:$A=$A217),CONCATENATE(AG$2,""*"")),"""")"),"")</f>
        <v/>
      </c>
      <c r="AH217" s="23" t="str">
        <f>IFERROR(__xludf.DUMMYFUNCTION("if(countif(filter(Status!$C:$C,Status!$A:$A=$A217),CONCATENATE(AH$2,""*""))&gt;0,countif(filter(Status!$C:$C,Status!$A:$A=$A217),CONCATENATE(AH$2,""*"")),"""")"),"")</f>
        <v/>
      </c>
      <c r="AI217" s="23" t="str">
        <f>IFERROR(__xludf.DUMMYFUNCTION("if(countif(filter(Status!$C:$C,Status!$A:$A=$A217),CONCATENATE(AI$2,""*""))&gt;0,countif(filter(Status!$C:$C,Status!$A:$A=$A217),CONCATENATE(AI$2,""*"")),"""")"),"")</f>
        <v/>
      </c>
      <c r="AJ217" s="23" t="str">
        <f>IFERROR(__xludf.DUMMYFUNCTION("if(countif(filter(Status!$C:$C,Status!$A:$A=$A217),CONCATENATE(AJ$2,""*""))&gt;0,countif(filter(Status!$C:$C,Status!$A:$A=$A217),CONCATENATE(AJ$2,""*"")),"""")"),"")</f>
        <v/>
      </c>
      <c r="AK217" s="23" t="str">
        <f>IFERROR(__xludf.DUMMYFUNCTION("if(countif(filter(Status!$C:$C,Status!$A:$A=$A217),CONCATENATE(AK$2,""*""))&gt;0,countif(filter(Status!$C:$C,Status!$A:$A=$A217),CONCATENATE(AK$2,""*"")),"""")"),"")</f>
        <v/>
      </c>
      <c r="AL217" s="23" t="str">
        <f>IFERROR(__xludf.DUMMYFUNCTION("if(countif(filter(Status!$C:$C,Status!$A:$A=$A217),CONCATENATE(AL$2,""*""))&gt;0,countif(filter(Status!$C:$C,Status!$A:$A=$A217),CONCATENATE(AL$2,""*"")),"""")"),"")</f>
        <v/>
      </c>
      <c r="AM217" s="23" t="str">
        <f>IFERROR(__xludf.DUMMYFUNCTION("if(countif(filter(Status!$C:$C,Status!$A:$A=$A217),CONCATENATE(AM$2,""*""))&gt;0,countif(filter(Status!$C:$C,Status!$A:$A=$A217),CONCATENATE(AM$2,""*"")),"""")"),"")</f>
        <v/>
      </c>
      <c r="AN217" s="23" t="str">
        <f>IFERROR(__xludf.DUMMYFUNCTION("if(countif(filter(Status!$C:$C,Status!$A:$A=$A217),CONCATENATE(AN$2,""*""))&gt;0,countif(filter(Status!$C:$C,Status!$A:$A=$A217),CONCATENATE(AN$2,""*"")),"""")"),"")</f>
        <v/>
      </c>
      <c r="AO217" s="23" t="str">
        <f>IFERROR(__xludf.DUMMYFUNCTION("if(countif(filter(Status!$C:$C,Status!$A:$A=$A217),CONCATENATE(AO$2,""*""))&gt;0,countif(filter(Status!$C:$C,Status!$A:$A=$A217),CONCATENATE(AO$2,""*"")),"""")"),"")</f>
        <v/>
      </c>
      <c r="AP217" s="23">
        <f>IFERROR(__xludf.DUMMYFUNCTION("counta(iferror(filter(Status!C:C,Status!A:A=A217)))"),0.0)</f>
        <v>0</v>
      </c>
      <c r="AQ217" s="23">
        <f t="shared" si="6"/>
        <v>0</v>
      </c>
    </row>
    <row r="218">
      <c r="A218" s="1" t="s">
        <v>1362</v>
      </c>
      <c r="B218" s="25" t="str">
        <f>IFERROR(__xludf.DUMMYFUNCTION("max(filter(Status!E:E,Status!A:A=A218))"),"#N/A")</f>
        <v>#N/A</v>
      </c>
      <c r="C218" s="23" t="str">
        <f t="shared" si="1"/>
        <v/>
      </c>
      <c r="D218" s="23" t="str">
        <f t="shared" si="2"/>
        <v/>
      </c>
      <c r="E218" s="23" t="str">
        <f t="shared" si="3"/>
        <v/>
      </c>
      <c r="F218" s="23" t="str">
        <f t="shared" si="4"/>
        <v/>
      </c>
      <c r="G218" s="25" t="str">
        <f t="shared" si="5"/>
        <v/>
      </c>
      <c r="J218" s="23">
        <f>IFERROR(__xludf.DUMMYFUNCTION("COUNTA(iferror(filter(Status!H:H,Status!A:A=A218)))"),0.0)</f>
        <v>0</v>
      </c>
      <c r="K218" s="25">
        <f>IFERROR(__xludf.DUMMYFUNCTION("COUNTA(iferror(filter(Status!H:H,Status!A:A=A218,Status!H:H=TRUE)))"),0.0)</f>
        <v>0</v>
      </c>
      <c r="L218" s="23">
        <f>IFERROR(__xludf.DUMMYFUNCTION("COUNTA(iferror(filter(Status!L:L,Status!A:A=A218)))"),0.0)</f>
        <v>0</v>
      </c>
      <c r="M218" s="25">
        <f>IFERROR(__xludf.DUMMYFUNCTION("COUNTA(iferror(filter(Status!L:L,Status!A:A=A218,Status!L:L=TRUE)))"),0.0)</f>
        <v>0</v>
      </c>
      <c r="N218" s="23">
        <f>IFERROR(__xludf.DUMMYFUNCTION("COUNTA(iferror(filter(Status!N:N,Status!A:A=A218,Status!N:N=TRUE)))"),0.0)</f>
        <v>0</v>
      </c>
      <c r="O218" s="25">
        <f>IFERROR(__xludf.DUMMYFUNCTION("COUNTA(iferror(filter(Status!N:N,Status!A:A=A218,Status!N:N=TRUE)))"),0.0)</f>
        <v>0</v>
      </c>
      <c r="P218" s="23">
        <f>IFERROR(__xludf.DUMMYFUNCTION("COUNTA(iferror(filter(Status!P:P,Status!A:A=A218)))"),0.0)</f>
        <v>0</v>
      </c>
      <c r="Q218" s="25">
        <f>IFERROR(__xludf.DUMMYFUNCTION("COUNTA(iferror(filter(Status!P:P,Status!A:A=A218,Status!P:P=TRUE)))"),0.0)</f>
        <v>0</v>
      </c>
      <c r="R218" s="23">
        <f>IFERROR(__xludf.DUMMYFUNCTION("COUNTA(iferror(filter(Status!R:R,Status!A:A=A218)))"),0.0)</f>
        <v>0</v>
      </c>
      <c r="S218" s="25">
        <f>IFERROR(__xludf.DUMMYFUNCTION("COUNTA(iferror(filter(Status!R:R,Status!A:A=A218,Status!R:R=TRUE)))"),0.0)</f>
        <v>0</v>
      </c>
      <c r="V218" s="23" t="str">
        <f>IFERROR(__xludf.DUMMYFUNCTION("if((countif(filter(Status!$C:$C,Status!$A:$A=$A218),CONCATENATE(V$2,""*""))-W218)&gt;0,(countif(filter(Status!$C:$C,Status!$A:$A=$A218),CONCATENATE(V$2,""*""))-W218),"""")"),"")</f>
        <v/>
      </c>
      <c r="W218" s="23" t="str">
        <f>IFERROR(__xludf.DUMMYFUNCTION("if(countif(filter(Status!$C:$C,Status!$A:$A=$A218),CONCATENATE(W$2,""*""))&gt;0,countif(filter(Status!$C:$C,Status!$A:$A=$A218),CONCATENATE(W$2,""*"")),"""")"),"")</f>
        <v/>
      </c>
      <c r="X218" s="23" t="str">
        <f>IFERROR(__xludf.DUMMYFUNCTION("if(countif(filter(Status!$C:$C,Status!$A:$A=$A218),CONCATENATE(X$2,""*""))&gt;0,countif(filter(Status!$C:$C,Status!$A:$A=$A218),CONCATENATE(X$2,""*"")),"""")"),"")</f>
        <v/>
      </c>
      <c r="Y218" s="23" t="str">
        <f>IFERROR(__xludf.DUMMYFUNCTION("if(countif(filter(Status!$C:$C,Status!$A:$A=$A218),CONCATENATE(Y$2,""*""))&gt;0,countif(filter(Status!$C:$C,Status!$A:$A=$A218),CONCATENATE(Y$2,""*"")),"""")"),"")</f>
        <v/>
      </c>
      <c r="Z218" s="23" t="str">
        <f>IFERROR(__xludf.DUMMYFUNCTION("if(countif(filter(Status!$C:$C,Status!$A:$A=$A218),CONCATENATE(Z$2,""*""))&gt;0,countif(filter(Status!$C:$C,Status!$A:$A=$A218),CONCATENATE(Z$2,""*"")),"""")"),"")</f>
        <v/>
      </c>
      <c r="AA218" s="23" t="str">
        <f>IFERROR(__xludf.DUMMYFUNCTION("if((countif(filter(Status!$C:$C,Status!$A:$A=$A218),CONCATENATE(AA$2,""*""))-AB218)&gt;0,(countif(filter(Status!$C:$C,Status!$A:$A=$A218),CONCATENATE(AA$2,""*""))-AB218),"""")"),"")</f>
        <v/>
      </c>
      <c r="AB218" s="23" t="str">
        <f>IFERROR(__xludf.DUMMYFUNCTION("if(countif(filter(Status!$C:$C,Status!$A:$A=$A218),CONCATENATE(AB$2,""*""))&gt;0,countif(filter(Status!$C:$C,Status!$A:$A=$A218),CONCATENATE(AB$2,""*"")),"""")"),"")</f>
        <v/>
      </c>
      <c r="AC218" s="23" t="str">
        <f>IFERROR(__xludf.DUMMYFUNCTION("if(countif(filter(Status!$C:$C,Status!$A:$A=$A218),CONCATENATE(AC$2,""*""))&gt;0,countif(filter(Status!$C:$C,Status!$A:$A=$A218),CONCATENATE(AC$2,""*"")),"""")"),"")</f>
        <v/>
      </c>
      <c r="AD218" s="23" t="str">
        <f>IFERROR(__xludf.DUMMYFUNCTION("if(countif(filter(Status!$C:$C,Status!$A:$A=$A218),CONCATENATE(AD$2,""*""))&gt;0,countif(filter(Status!$C:$C,Status!$A:$A=$A218),CONCATENATE(AD$2,""*"")),"""")"),"")</f>
        <v/>
      </c>
      <c r="AE218" s="23" t="str">
        <f>IFERROR(__xludf.DUMMYFUNCTION("if(countif(filter(Status!$C:$C,Status!$A:$A=$A218),CONCATENATE(AE$2,""*""))&gt;0,countif(filter(Status!$C:$C,Status!$A:$A=$A218),CONCATENATE(AE$2,""*"")),"""")"),"")</f>
        <v/>
      </c>
      <c r="AF218" s="23" t="str">
        <f>IFERROR(__xludf.DUMMYFUNCTION("if(countif(filter(Status!$C:$C,Status!$A:$A=$A218),CONCATENATE(AF$2,""*""))&gt;0,countif(filter(Status!$C:$C,Status!$A:$A=$A218),CONCATENATE(AF$2,""*"")),"""")"),"")</f>
        <v/>
      </c>
      <c r="AG218" s="23" t="str">
        <f>IFERROR(__xludf.DUMMYFUNCTION("if(countif(filter(Status!$C:$C,Status!$A:$A=$A218),CONCATENATE(AG$2,""*""))&gt;0,countif(filter(Status!$C:$C,Status!$A:$A=$A218),CONCATENATE(AG$2,""*"")),"""")"),"")</f>
        <v/>
      </c>
      <c r="AH218" s="23" t="str">
        <f>IFERROR(__xludf.DUMMYFUNCTION("if(countif(filter(Status!$C:$C,Status!$A:$A=$A218),CONCATENATE(AH$2,""*""))&gt;0,countif(filter(Status!$C:$C,Status!$A:$A=$A218),CONCATENATE(AH$2,""*"")),"""")"),"")</f>
        <v/>
      </c>
      <c r="AI218" s="23" t="str">
        <f>IFERROR(__xludf.DUMMYFUNCTION("if(countif(filter(Status!$C:$C,Status!$A:$A=$A218),CONCATENATE(AI$2,""*""))&gt;0,countif(filter(Status!$C:$C,Status!$A:$A=$A218),CONCATENATE(AI$2,""*"")),"""")"),"")</f>
        <v/>
      </c>
      <c r="AJ218" s="23" t="str">
        <f>IFERROR(__xludf.DUMMYFUNCTION("if(countif(filter(Status!$C:$C,Status!$A:$A=$A218),CONCATENATE(AJ$2,""*""))&gt;0,countif(filter(Status!$C:$C,Status!$A:$A=$A218),CONCATENATE(AJ$2,""*"")),"""")"),"")</f>
        <v/>
      </c>
      <c r="AK218" s="23" t="str">
        <f>IFERROR(__xludf.DUMMYFUNCTION("if(countif(filter(Status!$C:$C,Status!$A:$A=$A218),CONCATENATE(AK$2,""*""))&gt;0,countif(filter(Status!$C:$C,Status!$A:$A=$A218),CONCATENATE(AK$2,""*"")),"""")"),"")</f>
        <v/>
      </c>
      <c r="AL218" s="23" t="str">
        <f>IFERROR(__xludf.DUMMYFUNCTION("if(countif(filter(Status!$C:$C,Status!$A:$A=$A218),CONCATENATE(AL$2,""*""))&gt;0,countif(filter(Status!$C:$C,Status!$A:$A=$A218),CONCATENATE(AL$2,""*"")),"""")"),"")</f>
        <v/>
      </c>
      <c r="AM218" s="23" t="str">
        <f>IFERROR(__xludf.DUMMYFUNCTION("if(countif(filter(Status!$C:$C,Status!$A:$A=$A218),CONCATENATE(AM$2,""*""))&gt;0,countif(filter(Status!$C:$C,Status!$A:$A=$A218),CONCATENATE(AM$2,""*"")),"""")"),"")</f>
        <v/>
      </c>
      <c r="AN218" s="23" t="str">
        <f>IFERROR(__xludf.DUMMYFUNCTION("if(countif(filter(Status!$C:$C,Status!$A:$A=$A218),CONCATENATE(AN$2,""*""))&gt;0,countif(filter(Status!$C:$C,Status!$A:$A=$A218),CONCATENATE(AN$2,""*"")),"""")"),"")</f>
        <v/>
      </c>
      <c r="AO218" s="23" t="str">
        <f>IFERROR(__xludf.DUMMYFUNCTION("if(countif(filter(Status!$C:$C,Status!$A:$A=$A218),CONCATENATE(AO$2,""*""))&gt;0,countif(filter(Status!$C:$C,Status!$A:$A=$A218),CONCATENATE(AO$2,""*"")),"""")"),"")</f>
        <v/>
      </c>
      <c r="AP218" s="23">
        <f>IFERROR(__xludf.DUMMYFUNCTION("counta(iferror(filter(Status!C:C,Status!A:A=A218)))"),0.0)</f>
        <v>0</v>
      </c>
      <c r="AQ218" s="23">
        <f t="shared" si="6"/>
        <v>0</v>
      </c>
    </row>
    <row r="219">
      <c r="A219" s="1" t="s">
        <v>1363</v>
      </c>
      <c r="B219" s="25" t="str">
        <f>IFERROR(__xludf.DUMMYFUNCTION("max(filter(Status!E:E,Status!A:A=A219))"),"#N/A")</f>
        <v>#N/A</v>
      </c>
      <c r="C219" s="23" t="str">
        <f t="shared" si="1"/>
        <v/>
      </c>
      <c r="D219" s="23" t="str">
        <f t="shared" si="2"/>
        <v/>
      </c>
      <c r="E219" s="23" t="str">
        <f t="shared" si="3"/>
        <v/>
      </c>
      <c r="F219" s="23" t="str">
        <f t="shared" si="4"/>
        <v/>
      </c>
      <c r="G219" s="25" t="str">
        <f t="shared" si="5"/>
        <v/>
      </c>
      <c r="J219" s="23">
        <f>IFERROR(__xludf.DUMMYFUNCTION("COUNTA(iferror(filter(Status!H:H,Status!A:A=A219)))"),0.0)</f>
        <v>0</v>
      </c>
      <c r="K219" s="25">
        <f>IFERROR(__xludf.DUMMYFUNCTION("COUNTA(iferror(filter(Status!H:H,Status!A:A=A219,Status!H:H=TRUE)))"),0.0)</f>
        <v>0</v>
      </c>
      <c r="L219" s="23">
        <f>IFERROR(__xludf.DUMMYFUNCTION("COUNTA(iferror(filter(Status!L:L,Status!A:A=A219)))"),0.0)</f>
        <v>0</v>
      </c>
      <c r="M219" s="25">
        <f>IFERROR(__xludf.DUMMYFUNCTION("COUNTA(iferror(filter(Status!L:L,Status!A:A=A219,Status!L:L=TRUE)))"),0.0)</f>
        <v>0</v>
      </c>
      <c r="N219" s="23">
        <f>IFERROR(__xludf.DUMMYFUNCTION("COUNTA(iferror(filter(Status!N:N,Status!A:A=A219,Status!N:N=TRUE)))"),0.0)</f>
        <v>0</v>
      </c>
      <c r="O219" s="25">
        <f>IFERROR(__xludf.DUMMYFUNCTION("COUNTA(iferror(filter(Status!N:N,Status!A:A=A219,Status!N:N=TRUE)))"),0.0)</f>
        <v>0</v>
      </c>
      <c r="P219" s="23">
        <f>IFERROR(__xludf.DUMMYFUNCTION("COUNTA(iferror(filter(Status!P:P,Status!A:A=A219)))"),0.0)</f>
        <v>0</v>
      </c>
      <c r="Q219" s="25">
        <f>IFERROR(__xludf.DUMMYFUNCTION("COUNTA(iferror(filter(Status!P:P,Status!A:A=A219,Status!P:P=TRUE)))"),0.0)</f>
        <v>0</v>
      </c>
      <c r="R219" s="23">
        <f>IFERROR(__xludf.DUMMYFUNCTION("COUNTA(iferror(filter(Status!R:R,Status!A:A=A219)))"),0.0)</f>
        <v>0</v>
      </c>
      <c r="S219" s="25">
        <f>IFERROR(__xludf.DUMMYFUNCTION("COUNTA(iferror(filter(Status!R:R,Status!A:A=A219,Status!R:R=TRUE)))"),0.0)</f>
        <v>0</v>
      </c>
      <c r="V219" s="23" t="str">
        <f>IFERROR(__xludf.DUMMYFUNCTION("if((countif(filter(Status!$C:$C,Status!$A:$A=$A219),CONCATENATE(V$2,""*""))-W219)&gt;0,(countif(filter(Status!$C:$C,Status!$A:$A=$A219),CONCATENATE(V$2,""*""))-W219),"""")"),"")</f>
        <v/>
      </c>
      <c r="W219" s="23" t="str">
        <f>IFERROR(__xludf.DUMMYFUNCTION("if(countif(filter(Status!$C:$C,Status!$A:$A=$A219),CONCATENATE(W$2,""*""))&gt;0,countif(filter(Status!$C:$C,Status!$A:$A=$A219),CONCATENATE(W$2,""*"")),"""")"),"")</f>
        <v/>
      </c>
      <c r="X219" s="23" t="str">
        <f>IFERROR(__xludf.DUMMYFUNCTION("if(countif(filter(Status!$C:$C,Status!$A:$A=$A219),CONCATENATE(X$2,""*""))&gt;0,countif(filter(Status!$C:$C,Status!$A:$A=$A219),CONCATENATE(X$2,""*"")),"""")"),"")</f>
        <v/>
      </c>
      <c r="Y219" s="23" t="str">
        <f>IFERROR(__xludf.DUMMYFUNCTION("if(countif(filter(Status!$C:$C,Status!$A:$A=$A219),CONCATENATE(Y$2,""*""))&gt;0,countif(filter(Status!$C:$C,Status!$A:$A=$A219),CONCATENATE(Y$2,""*"")),"""")"),"")</f>
        <v/>
      </c>
      <c r="Z219" s="23" t="str">
        <f>IFERROR(__xludf.DUMMYFUNCTION("if(countif(filter(Status!$C:$C,Status!$A:$A=$A219),CONCATENATE(Z$2,""*""))&gt;0,countif(filter(Status!$C:$C,Status!$A:$A=$A219),CONCATENATE(Z$2,""*"")),"""")"),"")</f>
        <v/>
      </c>
      <c r="AA219" s="23" t="str">
        <f>IFERROR(__xludf.DUMMYFUNCTION("if((countif(filter(Status!$C:$C,Status!$A:$A=$A219),CONCATENATE(AA$2,""*""))-AB219)&gt;0,(countif(filter(Status!$C:$C,Status!$A:$A=$A219),CONCATENATE(AA$2,""*""))-AB219),"""")"),"")</f>
        <v/>
      </c>
      <c r="AB219" s="23" t="str">
        <f>IFERROR(__xludf.DUMMYFUNCTION("if(countif(filter(Status!$C:$C,Status!$A:$A=$A219),CONCATENATE(AB$2,""*""))&gt;0,countif(filter(Status!$C:$C,Status!$A:$A=$A219),CONCATENATE(AB$2,""*"")),"""")"),"")</f>
        <v/>
      </c>
      <c r="AC219" s="23" t="str">
        <f>IFERROR(__xludf.DUMMYFUNCTION("if(countif(filter(Status!$C:$C,Status!$A:$A=$A219),CONCATENATE(AC$2,""*""))&gt;0,countif(filter(Status!$C:$C,Status!$A:$A=$A219),CONCATENATE(AC$2,""*"")),"""")"),"")</f>
        <v/>
      </c>
      <c r="AD219" s="23" t="str">
        <f>IFERROR(__xludf.DUMMYFUNCTION("if(countif(filter(Status!$C:$C,Status!$A:$A=$A219),CONCATENATE(AD$2,""*""))&gt;0,countif(filter(Status!$C:$C,Status!$A:$A=$A219),CONCATENATE(AD$2,""*"")),"""")"),"")</f>
        <v/>
      </c>
      <c r="AE219" s="23" t="str">
        <f>IFERROR(__xludf.DUMMYFUNCTION("if(countif(filter(Status!$C:$C,Status!$A:$A=$A219),CONCATENATE(AE$2,""*""))&gt;0,countif(filter(Status!$C:$C,Status!$A:$A=$A219),CONCATENATE(AE$2,""*"")),"""")"),"")</f>
        <v/>
      </c>
      <c r="AF219" s="23" t="str">
        <f>IFERROR(__xludf.DUMMYFUNCTION("if(countif(filter(Status!$C:$C,Status!$A:$A=$A219),CONCATENATE(AF$2,""*""))&gt;0,countif(filter(Status!$C:$C,Status!$A:$A=$A219),CONCATENATE(AF$2,""*"")),"""")"),"")</f>
        <v/>
      </c>
      <c r="AG219" s="23" t="str">
        <f>IFERROR(__xludf.DUMMYFUNCTION("if(countif(filter(Status!$C:$C,Status!$A:$A=$A219),CONCATENATE(AG$2,""*""))&gt;0,countif(filter(Status!$C:$C,Status!$A:$A=$A219),CONCATENATE(AG$2,""*"")),"""")"),"")</f>
        <v/>
      </c>
      <c r="AH219" s="23" t="str">
        <f>IFERROR(__xludf.DUMMYFUNCTION("if(countif(filter(Status!$C:$C,Status!$A:$A=$A219),CONCATENATE(AH$2,""*""))&gt;0,countif(filter(Status!$C:$C,Status!$A:$A=$A219),CONCATENATE(AH$2,""*"")),"""")"),"")</f>
        <v/>
      </c>
      <c r="AI219" s="23" t="str">
        <f>IFERROR(__xludf.DUMMYFUNCTION("if(countif(filter(Status!$C:$C,Status!$A:$A=$A219),CONCATENATE(AI$2,""*""))&gt;0,countif(filter(Status!$C:$C,Status!$A:$A=$A219),CONCATENATE(AI$2,""*"")),"""")"),"")</f>
        <v/>
      </c>
      <c r="AJ219" s="23" t="str">
        <f>IFERROR(__xludf.DUMMYFUNCTION("if(countif(filter(Status!$C:$C,Status!$A:$A=$A219),CONCATENATE(AJ$2,""*""))&gt;0,countif(filter(Status!$C:$C,Status!$A:$A=$A219),CONCATENATE(AJ$2,""*"")),"""")"),"")</f>
        <v/>
      </c>
      <c r="AK219" s="23" t="str">
        <f>IFERROR(__xludf.DUMMYFUNCTION("if(countif(filter(Status!$C:$C,Status!$A:$A=$A219),CONCATENATE(AK$2,""*""))&gt;0,countif(filter(Status!$C:$C,Status!$A:$A=$A219),CONCATENATE(AK$2,""*"")),"""")"),"")</f>
        <v/>
      </c>
      <c r="AL219" s="23" t="str">
        <f>IFERROR(__xludf.DUMMYFUNCTION("if(countif(filter(Status!$C:$C,Status!$A:$A=$A219),CONCATENATE(AL$2,""*""))&gt;0,countif(filter(Status!$C:$C,Status!$A:$A=$A219),CONCATENATE(AL$2,""*"")),"""")"),"")</f>
        <v/>
      </c>
      <c r="AM219" s="23" t="str">
        <f>IFERROR(__xludf.DUMMYFUNCTION("if(countif(filter(Status!$C:$C,Status!$A:$A=$A219),CONCATENATE(AM$2,""*""))&gt;0,countif(filter(Status!$C:$C,Status!$A:$A=$A219),CONCATENATE(AM$2,""*"")),"""")"),"")</f>
        <v/>
      </c>
      <c r="AN219" s="23" t="str">
        <f>IFERROR(__xludf.DUMMYFUNCTION("if(countif(filter(Status!$C:$C,Status!$A:$A=$A219),CONCATENATE(AN$2,""*""))&gt;0,countif(filter(Status!$C:$C,Status!$A:$A=$A219),CONCATENATE(AN$2,""*"")),"""")"),"")</f>
        <v/>
      </c>
      <c r="AO219" s="23" t="str">
        <f>IFERROR(__xludf.DUMMYFUNCTION("if(countif(filter(Status!$C:$C,Status!$A:$A=$A219),CONCATENATE(AO$2,""*""))&gt;0,countif(filter(Status!$C:$C,Status!$A:$A=$A219),CONCATENATE(AO$2,""*"")),"""")"),"")</f>
        <v/>
      </c>
      <c r="AP219" s="23">
        <f>IFERROR(__xludf.DUMMYFUNCTION("counta(iferror(filter(Status!C:C,Status!A:A=A219)))"),0.0)</f>
        <v>0</v>
      </c>
      <c r="AQ219" s="23">
        <f t="shared" si="6"/>
        <v>0</v>
      </c>
    </row>
    <row r="220">
      <c r="A220" s="1" t="s">
        <v>1366</v>
      </c>
      <c r="B220" s="25" t="str">
        <f>IFERROR(__xludf.DUMMYFUNCTION("max(filter(Status!E:E,Status!A:A=A220))"),"#N/A")</f>
        <v>#N/A</v>
      </c>
      <c r="C220" s="23" t="str">
        <f t="shared" si="1"/>
        <v/>
      </c>
      <c r="D220" s="23" t="str">
        <f t="shared" si="2"/>
        <v/>
      </c>
      <c r="E220" s="23" t="str">
        <f t="shared" si="3"/>
        <v/>
      </c>
      <c r="F220" s="23" t="str">
        <f t="shared" si="4"/>
        <v/>
      </c>
      <c r="G220" s="25" t="str">
        <f t="shared" si="5"/>
        <v/>
      </c>
      <c r="J220" s="23">
        <f>IFERROR(__xludf.DUMMYFUNCTION("COUNTA(iferror(filter(Status!H:H,Status!A:A=A220)))"),0.0)</f>
        <v>0</v>
      </c>
      <c r="K220" s="25">
        <f>IFERROR(__xludf.DUMMYFUNCTION("COUNTA(iferror(filter(Status!H:H,Status!A:A=A220,Status!H:H=TRUE)))"),0.0)</f>
        <v>0</v>
      </c>
      <c r="L220" s="23">
        <f>IFERROR(__xludf.DUMMYFUNCTION("COUNTA(iferror(filter(Status!L:L,Status!A:A=A220)))"),0.0)</f>
        <v>0</v>
      </c>
      <c r="M220" s="25">
        <f>IFERROR(__xludf.DUMMYFUNCTION("COUNTA(iferror(filter(Status!L:L,Status!A:A=A220,Status!L:L=TRUE)))"),0.0)</f>
        <v>0</v>
      </c>
      <c r="N220" s="23">
        <f>IFERROR(__xludf.DUMMYFUNCTION("COUNTA(iferror(filter(Status!N:N,Status!A:A=A220,Status!N:N=TRUE)))"),0.0)</f>
        <v>0</v>
      </c>
      <c r="O220" s="25">
        <f>IFERROR(__xludf.DUMMYFUNCTION("COUNTA(iferror(filter(Status!N:N,Status!A:A=A220,Status!N:N=TRUE)))"),0.0)</f>
        <v>0</v>
      </c>
      <c r="P220" s="23">
        <f>IFERROR(__xludf.DUMMYFUNCTION("COUNTA(iferror(filter(Status!P:P,Status!A:A=A220)))"),0.0)</f>
        <v>0</v>
      </c>
      <c r="Q220" s="25">
        <f>IFERROR(__xludf.DUMMYFUNCTION("COUNTA(iferror(filter(Status!P:P,Status!A:A=A220,Status!P:P=TRUE)))"),0.0)</f>
        <v>0</v>
      </c>
      <c r="R220" s="23">
        <f>IFERROR(__xludf.DUMMYFUNCTION("COUNTA(iferror(filter(Status!R:R,Status!A:A=A220)))"),0.0)</f>
        <v>0</v>
      </c>
      <c r="S220" s="25">
        <f>IFERROR(__xludf.DUMMYFUNCTION("COUNTA(iferror(filter(Status!R:R,Status!A:A=A220,Status!R:R=TRUE)))"),0.0)</f>
        <v>0</v>
      </c>
      <c r="V220" s="23" t="str">
        <f>IFERROR(__xludf.DUMMYFUNCTION("if((countif(filter(Status!$C:$C,Status!$A:$A=$A220),CONCATENATE(V$2,""*""))-W220)&gt;0,(countif(filter(Status!$C:$C,Status!$A:$A=$A220),CONCATENATE(V$2,""*""))-W220),"""")"),"")</f>
        <v/>
      </c>
      <c r="W220" s="23" t="str">
        <f>IFERROR(__xludf.DUMMYFUNCTION("if(countif(filter(Status!$C:$C,Status!$A:$A=$A220),CONCATENATE(W$2,""*""))&gt;0,countif(filter(Status!$C:$C,Status!$A:$A=$A220),CONCATENATE(W$2,""*"")),"""")"),"")</f>
        <v/>
      </c>
      <c r="X220" s="23" t="str">
        <f>IFERROR(__xludf.DUMMYFUNCTION("if(countif(filter(Status!$C:$C,Status!$A:$A=$A220),CONCATENATE(X$2,""*""))&gt;0,countif(filter(Status!$C:$C,Status!$A:$A=$A220),CONCATENATE(X$2,""*"")),"""")"),"")</f>
        <v/>
      </c>
      <c r="Y220" s="23" t="str">
        <f>IFERROR(__xludf.DUMMYFUNCTION("if(countif(filter(Status!$C:$C,Status!$A:$A=$A220),CONCATENATE(Y$2,""*""))&gt;0,countif(filter(Status!$C:$C,Status!$A:$A=$A220),CONCATENATE(Y$2,""*"")),"""")"),"")</f>
        <v/>
      </c>
      <c r="Z220" s="23" t="str">
        <f>IFERROR(__xludf.DUMMYFUNCTION("if(countif(filter(Status!$C:$C,Status!$A:$A=$A220),CONCATENATE(Z$2,""*""))&gt;0,countif(filter(Status!$C:$C,Status!$A:$A=$A220),CONCATENATE(Z$2,""*"")),"""")"),"")</f>
        <v/>
      </c>
      <c r="AA220" s="23" t="str">
        <f>IFERROR(__xludf.DUMMYFUNCTION("if((countif(filter(Status!$C:$C,Status!$A:$A=$A220),CONCATENATE(AA$2,""*""))-AB220)&gt;0,(countif(filter(Status!$C:$C,Status!$A:$A=$A220),CONCATENATE(AA$2,""*""))-AB220),"""")"),"")</f>
        <v/>
      </c>
      <c r="AB220" s="23" t="str">
        <f>IFERROR(__xludf.DUMMYFUNCTION("if(countif(filter(Status!$C:$C,Status!$A:$A=$A220),CONCATENATE(AB$2,""*""))&gt;0,countif(filter(Status!$C:$C,Status!$A:$A=$A220),CONCATENATE(AB$2,""*"")),"""")"),"")</f>
        <v/>
      </c>
      <c r="AC220" s="23" t="str">
        <f>IFERROR(__xludf.DUMMYFUNCTION("if(countif(filter(Status!$C:$C,Status!$A:$A=$A220),CONCATENATE(AC$2,""*""))&gt;0,countif(filter(Status!$C:$C,Status!$A:$A=$A220),CONCATENATE(AC$2,""*"")),"""")"),"")</f>
        <v/>
      </c>
      <c r="AD220" s="23" t="str">
        <f>IFERROR(__xludf.DUMMYFUNCTION("if(countif(filter(Status!$C:$C,Status!$A:$A=$A220),CONCATENATE(AD$2,""*""))&gt;0,countif(filter(Status!$C:$C,Status!$A:$A=$A220),CONCATENATE(AD$2,""*"")),"""")"),"")</f>
        <v/>
      </c>
      <c r="AE220" s="23" t="str">
        <f>IFERROR(__xludf.DUMMYFUNCTION("if(countif(filter(Status!$C:$C,Status!$A:$A=$A220),CONCATENATE(AE$2,""*""))&gt;0,countif(filter(Status!$C:$C,Status!$A:$A=$A220),CONCATENATE(AE$2,""*"")),"""")"),"")</f>
        <v/>
      </c>
      <c r="AF220" s="23" t="str">
        <f>IFERROR(__xludf.DUMMYFUNCTION("if(countif(filter(Status!$C:$C,Status!$A:$A=$A220),CONCATENATE(AF$2,""*""))&gt;0,countif(filter(Status!$C:$C,Status!$A:$A=$A220),CONCATENATE(AF$2,""*"")),"""")"),"")</f>
        <v/>
      </c>
      <c r="AG220" s="23" t="str">
        <f>IFERROR(__xludf.DUMMYFUNCTION("if(countif(filter(Status!$C:$C,Status!$A:$A=$A220),CONCATENATE(AG$2,""*""))&gt;0,countif(filter(Status!$C:$C,Status!$A:$A=$A220),CONCATENATE(AG$2,""*"")),"""")"),"")</f>
        <v/>
      </c>
      <c r="AH220" s="23" t="str">
        <f>IFERROR(__xludf.DUMMYFUNCTION("if(countif(filter(Status!$C:$C,Status!$A:$A=$A220),CONCATENATE(AH$2,""*""))&gt;0,countif(filter(Status!$C:$C,Status!$A:$A=$A220),CONCATENATE(AH$2,""*"")),"""")"),"")</f>
        <v/>
      </c>
      <c r="AI220" s="23" t="str">
        <f>IFERROR(__xludf.DUMMYFUNCTION("if(countif(filter(Status!$C:$C,Status!$A:$A=$A220),CONCATENATE(AI$2,""*""))&gt;0,countif(filter(Status!$C:$C,Status!$A:$A=$A220),CONCATENATE(AI$2,""*"")),"""")"),"")</f>
        <v/>
      </c>
      <c r="AJ220" s="23" t="str">
        <f>IFERROR(__xludf.DUMMYFUNCTION("if(countif(filter(Status!$C:$C,Status!$A:$A=$A220),CONCATENATE(AJ$2,""*""))&gt;0,countif(filter(Status!$C:$C,Status!$A:$A=$A220),CONCATENATE(AJ$2,""*"")),"""")"),"")</f>
        <v/>
      </c>
      <c r="AK220" s="23" t="str">
        <f>IFERROR(__xludf.DUMMYFUNCTION("if(countif(filter(Status!$C:$C,Status!$A:$A=$A220),CONCATENATE(AK$2,""*""))&gt;0,countif(filter(Status!$C:$C,Status!$A:$A=$A220),CONCATENATE(AK$2,""*"")),"""")"),"")</f>
        <v/>
      </c>
      <c r="AL220" s="23" t="str">
        <f>IFERROR(__xludf.DUMMYFUNCTION("if(countif(filter(Status!$C:$C,Status!$A:$A=$A220),CONCATENATE(AL$2,""*""))&gt;0,countif(filter(Status!$C:$C,Status!$A:$A=$A220),CONCATENATE(AL$2,""*"")),"""")"),"")</f>
        <v/>
      </c>
      <c r="AM220" s="23" t="str">
        <f>IFERROR(__xludf.DUMMYFUNCTION("if(countif(filter(Status!$C:$C,Status!$A:$A=$A220),CONCATENATE(AM$2,""*""))&gt;0,countif(filter(Status!$C:$C,Status!$A:$A=$A220),CONCATENATE(AM$2,""*"")),"""")"),"")</f>
        <v/>
      </c>
      <c r="AN220" s="23" t="str">
        <f>IFERROR(__xludf.DUMMYFUNCTION("if(countif(filter(Status!$C:$C,Status!$A:$A=$A220),CONCATENATE(AN$2,""*""))&gt;0,countif(filter(Status!$C:$C,Status!$A:$A=$A220),CONCATENATE(AN$2,""*"")),"""")"),"")</f>
        <v/>
      </c>
      <c r="AO220" s="23" t="str">
        <f>IFERROR(__xludf.DUMMYFUNCTION("if(countif(filter(Status!$C:$C,Status!$A:$A=$A220),CONCATENATE(AO$2,""*""))&gt;0,countif(filter(Status!$C:$C,Status!$A:$A=$A220),CONCATENATE(AO$2,""*"")),"""")"),"")</f>
        <v/>
      </c>
      <c r="AP220" s="23">
        <f>IFERROR(__xludf.DUMMYFUNCTION("counta(iferror(filter(Status!C:C,Status!A:A=A220)))"),0.0)</f>
        <v>0</v>
      </c>
      <c r="AQ220" s="23">
        <f t="shared" si="6"/>
        <v>0</v>
      </c>
    </row>
    <row r="221">
      <c r="A221" s="1" t="s">
        <v>1368</v>
      </c>
      <c r="B221" s="25" t="str">
        <f>IFERROR(__xludf.DUMMYFUNCTION("max(filter(Status!E:E,Status!A:A=A221))"),"#N/A")</f>
        <v>#N/A</v>
      </c>
      <c r="C221" s="23" t="str">
        <f t="shared" si="1"/>
        <v/>
      </c>
      <c r="D221" s="23" t="str">
        <f t="shared" si="2"/>
        <v/>
      </c>
      <c r="E221" s="23" t="str">
        <f t="shared" si="3"/>
        <v/>
      </c>
      <c r="F221" s="23" t="str">
        <f t="shared" si="4"/>
        <v/>
      </c>
      <c r="G221" s="25" t="str">
        <f t="shared" si="5"/>
        <v/>
      </c>
      <c r="J221" s="23">
        <f>IFERROR(__xludf.DUMMYFUNCTION("COUNTA(iferror(filter(Status!H:H,Status!A:A=A221)))"),0.0)</f>
        <v>0</v>
      </c>
      <c r="K221" s="25">
        <f>IFERROR(__xludf.DUMMYFUNCTION("COUNTA(iferror(filter(Status!H:H,Status!A:A=A221,Status!H:H=TRUE)))"),0.0)</f>
        <v>0</v>
      </c>
      <c r="L221" s="23">
        <f>IFERROR(__xludf.DUMMYFUNCTION("COUNTA(iferror(filter(Status!L:L,Status!A:A=A221)))"),0.0)</f>
        <v>0</v>
      </c>
      <c r="M221" s="25">
        <f>IFERROR(__xludf.DUMMYFUNCTION("COUNTA(iferror(filter(Status!L:L,Status!A:A=A221,Status!L:L=TRUE)))"),0.0)</f>
        <v>0</v>
      </c>
      <c r="N221" s="23">
        <f>IFERROR(__xludf.DUMMYFUNCTION("COUNTA(iferror(filter(Status!N:N,Status!A:A=A221,Status!N:N=TRUE)))"),0.0)</f>
        <v>0</v>
      </c>
      <c r="O221" s="25">
        <f>IFERROR(__xludf.DUMMYFUNCTION("COUNTA(iferror(filter(Status!N:N,Status!A:A=A221,Status!N:N=TRUE)))"),0.0)</f>
        <v>0</v>
      </c>
      <c r="P221" s="23">
        <f>IFERROR(__xludf.DUMMYFUNCTION("COUNTA(iferror(filter(Status!P:P,Status!A:A=A221)))"),0.0)</f>
        <v>0</v>
      </c>
      <c r="Q221" s="25">
        <f>IFERROR(__xludf.DUMMYFUNCTION("COUNTA(iferror(filter(Status!P:P,Status!A:A=A221,Status!P:P=TRUE)))"),0.0)</f>
        <v>0</v>
      </c>
      <c r="R221" s="23">
        <f>IFERROR(__xludf.DUMMYFUNCTION("COUNTA(iferror(filter(Status!R:R,Status!A:A=A221)))"),0.0)</f>
        <v>0</v>
      </c>
      <c r="S221" s="25">
        <f>IFERROR(__xludf.DUMMYFUNCTION("COUNTA(iferror(filter(Status!R:R,Status!A:A=A221,Status!R:R=TRUE)))"),0.0)</f>
        <v>0</v>
      </c>
      <c r="V221" s="23" t="str">
        <f>IFERROR(__xludf.DUMMYFUNCTION("if((countif(filter(Status!$C:$C,Status!$A:$A=$A221),CONCATENATE(V$2,""*""))-W221)&gt;0,(countif(filter(Status!$C:$C,Status!$A:$A=$A221),CONCATENATE(V$2,""*""))-W221),"""")"),"")</f>
        <v/>
      </c>
      <c r="W221" s="23" t="str">
        <f>IFERROR(__xludf.DUMMYFUNCTION("if(countif(filter(Status!$C:$C,Status!$A:$A=$A221),CONCATENATE(W$2,""*""))&gt;0,countif(filter(Status!$C:$C,Status!$A:$A=$A221),CONCATENATE(W$2,""*"")),"""")"),"")</f>
        <v/>
      </c>
      <c r="X221" s="23" t="str">
        <f>IFERROR(__xludf.DUMMYFUNCTION("if(countif(filter(Status!$C:$C,Status!$A:$A=$A221),CONCATENATE(X$2,""*""))&gt;0,countif(filter(Status!$C:$C,Status!$A:$A=$A221),CONCATENATE(X$2,""*"")),"""")"),"")</f>
        <v/>
      </c>
      <c r="Y221" s="23" t="str">
        <f>IFERROR(__xludf.DUMMYFUNCTION("if(countif(filter(Status!$C:$C,Status!$A:$A=$A221),CONCATENATE(Y$2,""*""))&gt;0,countif(filter(Status!$C:$C,Status!$A:$A=$A221),CONCATENATE(Y$2,""*"")),"""")"),"")</f>
        <v/>
      </c>
      <c r="Z221" s="23" t="str">
        <f>IFERROR(__xludf.DUMMYFUNCTION("if(countif(filter(Status!$C:$C,Status!$A:$A=$A221),CONCATENATE(Z$2,""*""))&gt;0,countif(filter(Status!$C:$C,Status!$A:$A=$A221),CONCATENATE(Z$2,""*"")),"""")"),"")</f>
        <v/>
      </c>
      <c r="AA221" s="23" t="str">
        <f>IFERROR(__xludf.DUMMYFUNCTION("if((countif(filter(Status!$C:$C,Status!$A:$A=$A221),CONCATENATE(AA$2,""*""))-AB221)&gt;0,(countif(filter(Status!$C:$C,Status!$A:$A=$A221),CONCATENATE(AA$2,""*""))-AB221),"""")"),"")</f>
        <v/>
      </c>
      <c r="AB221" s="23" t="str">
        <f>IFERROR(__xludf.DUMMYFUNCTION("if(countif(filter(Status!$C:$C,Status!$A:$A=$A221),CONCATENATE(AB$2,""*""))&gt;0,countif(filter(Status!$C:$C,Status!$A:$A=$A221),CONCATENATE(AB$2,""*"")),"""")"),"")</f>
        <v/>
      </c>
      <c r="AC221" s="23" t="str">
        <f>IFERROR(__xludf.DUMMYFUNCTION("if(countif(filter(Status!$C:$C,Status!$A:$A=$A221),CONCATENATE(AC$2,""*""))&gt;0,countif(filter(Status!$C:$C,Status!$A:$A=$A221),CONCATENATE(AC$2,""*"")),"""")"),"")</f>
        <v/>
      </c>
      <c r="AD221" s="23" t="str">
        <f>IFERROR(__xludf.DUMMYFUNCTION("if(countif(filter(Status!$C:$C,Status!$A:$A=$A221),CONCATENATE(AD$2,""*""))&gt;0,countif(filter(Status!$C:$C,Status!$A:$A=$A221),CONCATENATE(AD$2,""*"")),"""")"),"")</f>
        <v/>
      </c>
      <c r="AE221" s="23" t="str">
        <f>IFERROR(__xludf.DUMMYFUNCTION("if(countif(filter(Status!$C:$C,Status!$A:$A=$A221),CONCATENATE(AE$2,""*""))&gt;0,countif(filter(Status!$C:$C,Status!$A:$A=$A221),CONCATENATE(AE$2,""*"")),"""")"),"")</f>
        <v/>
      </c>
      <c r="AF221" s="23" t="str">
        <f>IFERROR(__xludf.DUMMYFUNCTION("if(countif(filter(Status!$C:$C,Status!$A:$A=$A221),CONCATENATE(AF$2,""*""))&gt;0,countif(filter(Status!$C:$C,Status!$A:$A=$A221),CONCATENATE(AF$2,""*"")),"""")"),"")</f>
        <v/>
      </c>
      <c r="AG221" s="23" t="str">
        <f>IFERROR(__xludf.DUMMYFUNCTION("if(countif(filter(Status!$C:$C,Status!$A:$A=$A221),CONCATENATE(AG$2,""*""))&gt;0,countif(filter(Status!$C:$C,Status!$A:$A=$A221),CONCATENATE(AG$2,""*"")),"""")"),"")</f>
        <v/>
      </c>
      <c r="AH221" s="23" t="str">
        <f>IFERROR(__xludf.DUMMYFUNCTION("if(countif(filter(Status!$C:$C,Status!$A:$A=$A221),CONCATENATE(AH$2,""*""))&gt;0,countif(filter(Status!$C:$C,Status!$A:$A=$A221),CONCATENATE(AH$2,""*"")),"""")"),"")</f>
        <v/>
      </c>
      <c r="AI221" s="23" t="str">
        <f>IFERROR(__xludf.DUMMYFUNCTION("if(countif(filter(Status!$C:$C,Status!$A:$A=$A221),CONCATENATE(AI$2,""*""))&gt;0,countif(filter(Status!$C:$C,Status!$A:$A=$A221),CONCATENATE(AI$2,""*"")),"""")"),"")</f>
        <v/>
      </c>
      <c r="AJ221" s="23" t="str">
        <f>IFERROR(__xludf.DUMMYFUNCTION("if(countif(filter(Status!$C:$C,Status!$A:$A=$A221),CONCATENATE(AJ$2,""*""))&gt;0,countif(filter(Status!$C:$C,Status!$A:$A=$A221),CONCATENATE(AJ$2,""*"")),"""")"),"")</f>
        <v/>
      </c>
      <c r="AK221" s="23" t="str">
        <f>IFERROR(__xludf.DUMMYFUNCTION("if(countif(filter(Status!$C:$C,Status!$A:$A=$A221),CONCATENATE(AK$2,""*""))&gt;0,countif(filter(Status!$C:$C,Status!$A:$A=$A221),CONCATENATE(AK$2,""*"")),"""")"),"")</f>
        <v/>
      </c>
      <c r="AL221" s="23" t="str">
        <f>IFERROR(__xludf.DUMMYFUNCTION("if(countif(filter(Status!$C:$C,Status!$A:$A=$A221),CONCATENATE(AL$2,""*""))&gt;0,countif(filter(Status!$C:$C,Status!$A:$A=$A221),CONCATENATE(AL$2,""*"")),"""")"),"")</f>
        <v/>
      </c>
      <c r="AM221" s="23" t="str">
        <f>IFERROR(__xludf.DUMMYFUNCTION("if(countif(filter(Status!$C:$C,Status!$A:$A=$A221),CONCATENATE(AM$2,""*""))&gt;0,countif(filter(Status!$C:$C,Status!$A:$A=$A221),CONCATENATE(AM$2,""*"")),"""")"),"")</f>
        <v/>
      </c>
      <c r="AN221" s="23" t="str">
        <f>IFERROR(__xludf.DUMMYFUNCTION("if(countif(filter(Status!$C:$C,Status!$A:$A=$A221),CONCATENATE(AN$2,""*""))&gt;0,countif(filter(Status!$C:$C,Status!$A:$A=$A221),CONCATENATE(AN$2,""*"")),"""")"),"")</f>
        <v/>
      </c>
      <c r="AO221" s="23" t="str">
        <f>IFERROR(__xludf.DUMMYFUNCTION("if(countif(filter(Status!$C:$C,Status!$A:$A=$A221),CONCATENATE(AO$2,""*""))&gt;0,countif(filter(Status!$C:$C,Status!$A:$A=$A221),CONCATENATE(AO$2,""*"")),"""")"),"")</f>
        <v/>
      </c>
      <c r="AP221" s="23">
        <f>IFERROR(__xludf.DUMMYFUNCTION("counta(iferror(filter(Status!C:C,Status!A:A=A221)))"),0.0)</f>
        <v>0</v>
      </c>
      <c r="AQ221" s="23">
        <f t="shared" si="6"/>
        <v>0</v>
      </c>
    </row>
    <row r="222">
      <c r="A222" s="1" t="s">
        <v>1372</v>
      </c>
      <c r="B222" s="25" t="str">
        <f>IFERROR(__xludf.DUMMYFUNCTION("max(filter(Status!E:E,Status!A:A=A222))"),"#N/A")</f>
        <v>#N/A</v>
      </c>
      <c r="C222" s="23" t="str">
        <f t="shared" si="1"/>
        <v/>
      </c>
      <c r="D222" s="23" t="str">
        <f t="shared" si="2"/>
        <v/>
      </c>
      <c r="E222" s="23" t="str">
        <f t="shared" si="3"/>
        <v/>
      </c>
      <c r="F222" s="23" t="str">
        <f t="shared" si="4"/>
        <v/>
      </c>
      <c r="G222" s="25" t="str">
        <f t="shared" si="5"/>
        <v/>
      </c>
      <c r="J222" s="23">
        <f>IFERROR(__xludf.DUMMYFUNCTION("COUNTA(iferror(filter(Status!H:H,Status!A:A=A222)))"),0.0)</f>
        <v>0</v>
      </c>
      <c r="K222" s="25">
        <f>IFERROR(__xludf.DUMMYFUNCTION("COUNTA(iferror(filter(Status!H:H,Status!A:A=A222,Status!H:H=TRUE)))"),0.0)</f>
        <v>0</v>
      </c>
      <c r="L222" s="23">
        <f>IFERROR(__xludf.DUMMYFUNCTION("COUNTA(iferror(filter(Status!L:L,Status!A:A=A222)))"),0.0)</f>
        <v>0</v>
      </c>
      <c r="M222" s="25">
        <f>IFERROR(__xludf.DUMMYFUNCTION("COUNTA(iferror(filter(Status!L:L,Status!A:A=A222,Status!L:L=TRUE)))"),0.0)</f>
        <v>0</v>
      </c>
      <c r="N222" s="23">
        <f>IFERROR(__xludf.DUMMYFUNCTION("COUNTA(iferror(filter(Status!N:N,Status!A:A=A222,Status!N:N=TRUE)))"),0.0)</f>
        <v>0</v>
      </c>
      <c r="O222" s="25">
        <f>IFERROR(__xludf.DUMMYFUNCTION("COUNTA(iferror(filter(Status!N:N,Status!A:A=A222,Status!N:N=TRUE)))"),0.0)</f>
        <v>0</v>
      </c>
      <c r="P222" s="23">
        <f>IFERROR(__xludf.DUMMYFUNCTION("COUNTA(iferror(filter(Status!P:P,Status!A:A=A222)))"),0.0)</f>
        <v>0</v>
      </c>
      <c r="Q222" s="25">
        <f>IFERROR(__xludf.DUMMYFUNCTION("COUNTA(iferror(filter(Status!P:P,Status!A:A=A222,Status!P:P=TRUE)))"),0.0)</f>
        <v>0</v>
      </c>
      <c r="R222" s="23">
        <f>IFERROR(__xludf.DUMMYFUNCTION("COUNTA(iferror(filter(Status!R:R,Status!A:A=A222)))"),0.0)</f>
        <v>0</v>
      </c>
      <c r="S222" s="25">
        <f>IFERROR(__xludf.DUMMYFUNCTION("COUNTA(iferror(filter(Status!R:R,Status!A:A=A222,Status!R:R=TRUE)))"),0.0)</f>
        <v>0</v>
      </c>
      <c r="V222" s="23" t="str">
        <f>IFERROR(__xludf.DUMMYFUNCTION("if((countif(filter(Status!$C:$C,Status!$A:$A=$A222),CONCATENATE(V$2,""*""))-W222)&gt;0,(countif(filter(Status!$C:$C,Status!$A:$A=$A222),CONCATENATE(V$2,""*""))-W222),"""")"),"")</f>
        <v/>
      </c>
      <c r="W222" s="23" t="str">
        <f>IFERROR(__xludf.DUMMYFUNCTION("if(countif(filter(Status!$C:$C,Status!$A:$A=$A222),CONCATENATE(W$2,""*""))&gt;0,countif(filter(Status!$C:$C,Status!$A:$A=$A222),CONCATENATE(W$2,""*"")),"""")"),"")</f>
        <v/>
      </c>
      <c r="X222" s="23" t="str">
        <f>IFERROR(__xludf.DUMMYFUNCTION("if(countif(filter(Status!$C:$C,Status!$A:$A=$A222),CONCATENATE(X$2,""*""))&gt;0,countif(filter(Status!$C:$C,Status!$A:$A=$A222),CONCATENATE(X$2,""*"")),"""")"),"")</f>
        <v/>
      </c>
      <c r="Y222" s="23" t="str">
        <f>IFERROR(__xludf.DUMMYFUNCTION("if(countif(filter(Status!$C:$C,Status!$A:$A=$A222),CONCATENATE(Y$2,""*""))&gt;0,countif(filter(Status!$C:$C,Status!$A:$A=$A222),CONCATENATE(Y$2,""*"")),"""")"),"")</f>
        <v/>
      </c>
      <c r="Z222" s="23" t="str">
        <f>IFERROR(__xludf.DUMMYFUNCTION("if(countif(filter(Status!$C:$C,Status!$A:$A=$A222),CONCATENATE(Z$2,""*""))&gt;0,countif(filter(Status!$C:$C,Status!$A:$A=$A222),CONCATENATE(Z$2,""*"")),"""")"),"")</f>
        <v/>
      </c>
      <c r="AA222" s="23" t="str">
        <f>IFERROR(__xludf.DUMMYFUNCTION("if((countif(filter(Status!$C:$C,Status!$A:$A=$A222),CONCATENATE(AA$2,""*""))-AB222)&gt;0,(countif(filter(Status!$C:$C,Status!$A:$A=$A222),CONCATENATE(AA$2,""*""))-AB222),"""")"),"")</f>
        <v/>
      </c>
      <c r="AB222" s="23" t="str">
        <f>IFERROR(__xludf.DUMMYFUNCTION("if(countif(filter(Status!$C:$C,Status!$A:$A=$A222),CONCATENATE(AB$2,""*""))&gt;0,countif(filter(Status!$C:$C,Status!$A:$A=$A222),CONCATENATE(AB$2,""*"")),"""")"),"")</f>
        <v/>
      </c>
      <c r="AC222" s="23" t="str">
        <f>IFERROR(__xludf.DUMMYFUNCTION("if(countif(filter(Status!$C:$C,Status!$A:$A=$A222),CONCATENATE(AC$2,""*""))&gt;0,countif(filter(Status!$C:$C,Status!$A:$A=$A222),CONCATENATE(AC$2,""*"")),"""")"),"")</f>
        <v/>
      </c>
      <c r="AD222" s="23" t="str">
        <f>IFERROR(__xludf.DUMMYFUNCTION("if(countif(filter(Status!$C:$C,Status!$A:$A=$A222),CONCATENATE(AD$2,""*""))&gt;0,countif(filter(Status!$C:$C,Status!$A:$A=$A222),CONCATENATE(AD$2,""*"")),"""")"),"")</f>
        <v/>
      </c>
      <c r="AE222" s="23" t="str">
        <f>IFERROR(__xludf.DUMMYFUNCTION("if(countif(filter(Status!$C:$C,Status!$A:$A=$A222),CONCATENATE(AE$2,""*""))&gt;0,countif(filter(Status!$C:$C,Status!$A:$A=$A222),CONCATENATE(AE$2,""*"")),"""")"),"")</f>
        <v/>
      </c>
      <c r="AF222" s="23" t="str">
        <f>IFERROR(__xludf.DUMMYFUNCTION("if(countif(filter(Status!$C:$C,Status!$A:$A=$A222),CONCATENATE(AF$2,""*""))&gt;0,countif(filter(Status!$C:$C,Status!$A:$A=$A222),CONCATENATE(AF$2,""*"")),"""")"),"")</f>
        <v/>
      </c>
      <c r="AG222" s="23" t="str">
        <f>IFERROR(__xludf.DUMMYFUNCTION("if(countif(filter(Status!$C:$C,Status!$A:$A=$A222),CONCATENATE(AG$2,""*""))&gt;0,countif(filter(Status!$C:$C,Status!$A:$A=$A222),CONCATENATE(AG$2,""*"")),"""")"),"")</f>
        <v/>
      </c>
      <c r="AH222" s="23" t="str">
        <f>IFERROR(__xludf.DUMMYFUNCTION("if(countif(filter(Status!$C:$C,Status!$A:$A=$A222),CONCATENATE(AH$2,""*""))&gt;0,countif(filter(Status!$C:$C,Status!$A:$A=$A222),CONCATENATE(AH$2,""*"")),"""")"),"")</f>
        <v/>
      </c>
      <c r="AI222" s="23" t="str">
        <f>IFERROR(__xludf.DUMMYFUNCTION("if(countif(filter(Status!$C:$C,Status!$A:$A=$A222),CONCATENATE(AI$2,""*""))&gt;0,countif(filter(Status!$C:$C,Status!$A:$A=$A222),CONCATENATE(AI$2,""*"")),"""")"),"")</f>
        <v/>
      </c>
      <c r="AJ222" s="23" t="str">
        <f>IFERROR(__xludf.DUMMYFUNCTION("if(countif(filter(Status!$C:$C,Status!$A:$A=$A222),CONCATENATE(AJ$2,""*""))&gt;0,countif(filter(Status!$C:$C,Status!$A:$A=$A222),CONCATENATE(AJ$2,""*"")),"""")"),"")</f>
        <v/>
      </c>
      <c r="AK222" s="23" t="str">
        <f>IFERROR(__xludf.DUMMYFUNCTION("if(countif(filter(Status!$C:$C,Status!$A:$A=$A222),CONCATENATE(AK$2,""*""))&gt;0,countif(filter(Status!$C:$C,Status!$A:$A=$A222),CONCATENATE(AK$2,""*"")),"""")"),"")</f>
        <v/>
      </c>
      <c r="AL222" s="23" t="str">
        <f>IFERROR(__xludf.DUMMYFUNCTION("if(countif(filter(Status!$C:$C,Status!$A:$A=$A222),CONCATENATE(AL$2,""*""))&gt;0,countif(filter(Status!$C:$C,Status!$A:$A=$A222),CONCATENATE(AL$2,""*"")),"""")"),"")</f>
        <v/>
      </c>
      <c r="AM222" s="23" t="str">
        <f>IFERROR(__xludf.DUMMYFUNCTION("if(countif(filter(Status!$C:$C,Status!$A:$A=$A222),CONCATENATE(AM$2,""*""))&gt;0,countif(filter(Status!$C:$C,Status!$A:$A=$A222),CONCATENATE(AM$2,""*"")),"""")"),"")</f>
        <v/>
      </c>
      <c r="AN222" s="23" t="str">
        <f>IFERROR(__xludf.DUMMYFUNCTION("if(countif(filter(Status!$C:$C,Status!$A:$A=$A222),CONCATENATE(AN$2,""*""))&gt;0,countif(filter(Status!$C:$C,Status!$A:$A=$A222),CONCATENATE(AN$2,""*"")),"""")"),"")</f>
        <v/>
      </c>
      <c r="AO222" s="23" t="str">
        <f>IFERROR(__xludf.DUMMYFUNCTION("if(countif(filter(Status!$C:$C,Status!$A:$A=$A222),CONCATENATE(AO$2,""*""))&gt;0,countif(filter(Status!$C:$C,Status!$A:$A=$A222),CONCATENATE(AO$2,""*"")),"""")"),"")</f>
        <v/>
      </c>
      <c r="AP222" s="23">
        <f>IFERROR(__xludf.DUMMYFUNCTION("counta(iferror(filter(Status!C:C,Status!A:A=A222)))"),0.0)</f>
        <v>0</v>
      </c>
      <c r="AQ222" s="23">
        <f t="shared" si="6"/>
        <v>0</v>
      </c>
    </row>
    <row r="223">
      <c r="A223" s="1" t="s">
        <v>1376</v>
      </c>
      <c r="B223" s="25" t="str">
        <f>IFERROR(__xludf.DUMMYFUNCTION("max(filter(Status!E:E,Status!A:A=A223))"),"#N/A")</f>
        <v>#N/A</v>
      </c>
      <c r="C223" s="23" t="str">
        <f t="shared" si="1"/>
        <v/>
      </c>
      <c r="D223" s="23" t="str">
        <f t="shared" si="2"/>
        <v/>
      </c>
      <c r="E223" s="23" t="str">
        <f t="shared" si="3"/>
        <v/>
      </c>
      <c r="F223" s="23" t="str">
        <f t="shared" si="4"/>
        <v/>
      </c>
      <c r="G223" s="25" t="str">
        <f t="shared" si="5"/>
        <v/>
      </c>
      <c r="J223" s="23">
        <f>IFERROR(__xludf.DUMMYFUNCTION("COUNTA(iferror(filter(Status!H:H,Status!A:A=A223)))"),0.0)</f>
        <v>0</v>
      </c>
      <c r="K223" s="25">
        <f>IFERROR(__xludf.DUMMYFUNCTION("COUNTA(iferror(filter(Status!H:H,Status!A:A=A223,Status!H:H=TRUE)))"),0.0)</f>
        <v>0</v>
      </c>
      <c r="L223" s="23">
        <f>IFERROR(__xludf.DUMMYFUNCTION("COUNTA(iferror(filter(Status!L:L,Status!A:A=A223)))"),0.0)</f>
        <v>0</v>
      </c>
      <c r="M223" s="25">
        <f>IFERROR(__xludf.DUMMYFUNCTION("COUNTA(iferror(filter(Status!L:L,Status!A:A=A223,Status!L:L=TRUE)))"),0.0)</f>
        <v>0</v>
      </c>
      <c r="N223" s="23">
        <f>IFERROR(__xludf.DUMMYFUNCTION("COUNTA(iferror(filter(Status!N:N,Status!A:A=A223,Status!N:N=TRUE)))"),0.0)</f>
        <v>0</v>
      </c>
      <c r="O223" s="25">
        <f>IFERROR(__xludf.DUMMYFUNCTION("COUNTA(iferror(filter(Status!N:N,Status!A:A=A223,Status!N:N=TRUE)))"),0.0)</f>
        <v>0</v>
      </c>
      <c r="P223" s="23">
        <f>IFERROR(__xludf.DUMMYFUNCTION("COUNTA(iferror(filter(Status!P:P,Status!A:A=A223)))"),0.0)</f>
        <v>0</v>
      </c>
      <c r="Q223" s="25">
        <f>IFERROR(__xludf.DUMMYFUNCTION("COUNTA(iferror(filter(Status!P:P,Status!A:A=A223,Status!P:P=TRUE)))"),0.0)</f>
        <v>0</v>
      </c>
      <c r="R223" s="23">
        <f>IFERROR(__xludf.DUMMYFUNCTION("COUNTA(iferror(filter(Status!R:R,Status!A:A=A223)))"),0.0)</f>
        <v>0</v>
      </c>
      <c r="S223" s="25">
        <f>IFERROR(__xludf.DUMMYFUNCTION("COUNTA(iferror(filter(Status!R:R,Status!A:A=A223,Status!R:R=TRUE)))"),0.0)</f>
        <v>0</v>
      </c>
      <c r="V223" s="23" t="str">
        <f>IFERROR(__xludf.DUMMYFUNCTION("if((countif(filter(Status!$C:$C,Status!$A:$A=$A223),CONCATENATE(V$2,""*""))-W223)&gt;0,(countif(filter(Status!$C:$C,Status!$A:$A=$A223),CONCATENATE(V$2,""*""))-W223),"""")"),"")</f>
        <v/>
      </c>
      <c r="W223" s="23" t="str">
        <f>IFERROR(__xludf.DUMMYFUNCTION("if(countif(filter(Status!$C:$C,Status!$A:$A=$A223),CONCATENATE(W$2,""*""))&gt;0,countif(filter(Status!$C:$C,Status!$A:$A=$A223),CONCATENATE(W$2,""*"")),"""")"),"")</f>
        <v/>
      </c>
      <c r="X223" s="23" t="str">
        <f>IFERROR(__xludf.DUMMYFUNCTION("if(countif(filter(Status!$C:$C,Status!$A:$A=$A223),CONCATENATE(X$2,""*""))&gt;0,countif(filter(Status!$C:$C,Status!$A:$A=$A223),CONCATENATE(X$2,""*"")),"""")"),"")</f>
        <v/>
      </c>
      <c r="Y223" s="23" t="str">
        <f>IFERROR(__xludf.DUMMYFUNCTION("if(countif(filter(Status!$C:$C,Status!$A:$A=$A223),CONCATENATE(Y$2,""*""))&gt;0,countif(filter(Status!$C:$C,Status!$A:$A=$A223),CONCATENATE(Y$2,""*"")),"""")"),"")</f>
        <v/>
      </c>
      <c r="Z223" s="23" t="str">
        <f>IFERROR(__xludf.DUMMYFUNCTION("if(countif(filter(Status!$C:$C,Status!$A:$A=$A223),CONCATENATE(Z$2,""*""))&gt;0,countif(filter(Status!$C:$C,Status!$A:$A=$A223),CONCATENATE(Z$2,""*"")),"""")"),"")</f>
        <v/>
      </c>
      <c r="AA223" s="23" t="str">
        <f>IFERROR(__xludf.DUMMYFUNCTION("if((countif(filter(Status!$C:$C,Status!$A:$A=$A223),CONCATENATE(AA$2,""*""))-AB223)&gt;0,(countif(filter(Status!$C:$C,Status!$A:$A=$A223),CONCATENATE(AA$2,""*""))-AB223),"""")"),"")</f>
        <v/>
      </c>
      <c r="AB223" s="23" t="str">
        <f>IFERROR(__xludf.DUMMYFUNCTION("if(countif(filter(Status!$C:$C,Status!$A:$A=$A223),CONCATENATE(AB$2,""*""))&gt;0,countif(filter(Status!$C:$C,Status!$A:$A=$A223),CONCATENATE(AB$2,""*"")),"""")"),"")</f>
        <v/>
      </c>
      <c r="AC223" s="23" t="str">
        <f>IFERROR(__xludf.DUMMYFUNCTION("if(countif(filter(Status!$C:$C,Status!$A:$A=$A223),CONCATENATE(AC$2,""*""))&gt;0,countif(filter(Status!$C:$C,Status!$A:$A=$A223),CONCATENATE(AC$2,""*"")),"""")"),"")</f>
        <v/>
      </c>
      <c r="AD223" s="23" t="str">
        <f>IFERROR(__xludf.DUMMYFUNCTION("if(countif(filter(Status!$C:$C,Status!$A:$A=$A223),CONCATENATE(AD$2,""*""))&gt;0,countif(filter(Status!$C:$C,Status!$A:$A=$A223),CONCATENATE(AD$2,""*"")),"""")"),"")</f>
        <v/>
      </c>
      <c r="AE223" s="23" t="str">
        <f>IFERROR(__xludf.DUMMYFUNCTION("if(countif(filter(Status!$C:$C,Status!$A:$A=$A223),CONCATENATE(AE$2,""*""))&gt;0,countif(filter(Status!$C:$C,Status!$A:$A=$A223),CONCATENATE(AE$2,""*"")),"""")"),"")</f>
        <v/>
      </c>
      <c r="AF223" s="23" t="str">
        <f>IFERROR(__xludf.DUMMYFUNCTION("if(countif(filter(Status!$C:$C,Status!$A:$A=$A223),CONCATENATE(AF$2,""*""))&gt;0,countif(filter(Status!$C:$C,Status!$A:$A=$A223),CONCATENATE(AF$2,""*"")),"""")"),"")</f>
        <v/>
      </c>
      <c r="AG223" s="23" t="str">
        <f>IFERROR(__xludf.DUMMYFUNCTION("if(countif(filter(Status!$C:$C,Status!$A:$A=$A223),CONCATENATE(AG$2,""*""))&gt;0,countif(filter(Status!$C:$C,Status!$A:$A=$A223),CONCATENATE(AG$2,""*"")),"""")"),"")</f>
        <v/>
      </c>
      <c r="AH223" s="23" t="str">
        <f>IFERROR(__xludf.DUMMYFUNCTION("if(countif(filter(Status!$C:$C,Status!$A:$A=$A223),CONCATENATE(AH$2,""*""))&gt;0,countif(filter(Status!$C:$C,Status!$A:$A=$A223),CONCATENATE(AH$2,""*"")),"""")"),"")</f>
        <v/>
      </c>
      <c r="AI223" s="23" t="str">
        <f>IFERROR(__xludf.DUMMYFUNCTION("if(countif(filter(Status!$C:$C,Status!$A:$A=$A223),CONCATENATE(AI$2,""*""))&gt;0,countif(filter(Status!$C:$C,Status!$A:$A=$A223),CONCATENATE(AI$2,""*"")),"""")"),"")</f>
        <v/>
      </c>
      <c r="AJ223" s="23" t="str">
        <f>IFERROR(__xludf.DUMMYFUNCTION("if(countif(filter(Status!$C:$C,Status!$A:$A=$A223),CONCATENATE(AJ$2,""*""))&gt;0,countif(filter(Status!$C:$C,Status!$A:$A=$A223),CONCATENATE(AJ$2,""*"")),"""")"),"")</f>
        <v/>
      </c>
      <c r="AK223" s="23" t="str">
        <f>IFERROR(__xludf.DUMMYFUNCTION("if(countif(filter(Status!$C:$C,Status!$A:$A=$A223),CONCATENATE(AK$2,""*""))&gt;0,countif(filter(Status!$C:$C,Status!$A:$A=$A223),CONCATENATE(AK$2,""*"")),"""")"),"")</f>
        <v/>
      </c>
      <c r="AL223" s="23" t="str">
        <f>IFERROR(__xludf.DUMMYFUNCTION("if(countif(filter(Status!$C:$C,Status!$A:$A=$A223),CONCATENATE(AL$2,""*""))&gt;0,countif(filter(Status!$C:$C,Status!$A:$A=$A223),CONCATENATE(AL$2,""*"")),"""")"),"")</f>
        <v/>
      </c>
      <c r="AM223" s="23" t="str">
        <f>IFERROR(__xludf.DUMMYFUNCTION("if(countif(filter(Status!$C:$C,Status!$A:$A=$A223),CONCATENATE(AM$2,""*""))&gt;0,countif(filter(Status!$C:$C,Status!$A:$A=$A223),CONCATENATE(AM$2,""*"")),"""")"),"")</f>
        <v/>
      </c>
      <c r="AN223" s="23" t="str">
        <f>IFERROR(__xludf.DUMMYFUNCTION("if(countif(filter(Status!$C:$C,Status!$A:$A=$A223),CONCATENATE(AN$2,""*""))&gt;0,countif(filter(Status!$C:$C,Status!$A:$A=$A223),CONCATENATE(AN$2,""*"")),"""")"),"")</f>
        <v/>
      </c>
      <c r="AO223" s="23" t="str">
        <f>IFERROR(__xludf.DUMMYFUNCTION("if(countif(filter(Status!$C:$C,Status!$A:$A=$A223),CONCATENATE(AO$2,""*""))&gt;0,countif(filter(Status!$C:$C,Status!$A:$A=$A223),CONCATENATE(AO$2,""*"")),"""")"),"")</f>
        <v/>
      </c>
      <c r="AP223" s="23">
        <f>IFERROR(__xludf.DUMMYFUNCTION("counta(iferror(filter(Status!C:C,Status!A:A=A223)))"),0.0)</f>
        <v>0</v>
      </c>
      <c r="AQ223" s="23">
        <f t="shared" si="6"/>
        <v>0</v>
      </c>
    </row>
    <row r="224">
      <c r="A224" s="1" t="s">
        <v>1380</v>
      </c>
      <c r="B224" s="25" t="str">
        <f>IFERROR(__xludf.DUMMYFUNCTION("max(filter(Status!E:E,Status!A:A=A224))"),"#N/A")</f>
        <v>#N/A</v>
      </c>
      <c r="C224" s="23" t="str">
        <f t="shared" si="1"/>
        <v/>
      </c>
      <c r="D224" s="23" t="str">
        <f t="shared" si="2"/>
        <v/>
      </c>
      <c r="E224" s="23" t="str">
        <f t="shared" si="3"/>
        <v/>
      </c>
      <c r="F224" s="23" t="str">
        <f t="shared" si="4"/>
        <v/>
      </c>
      <c r="G224" s="25" t="str">
        <f t="shared" si="5"/>
        <v/>
      </c>
      <c r="J224" s="23">
        <f>IFERROR(__xludf.DUMMYFUNCTION("COUNTA(iferror(filter(Status!H:H,Status!A:A=A224)))"),0.0)</f>
        <v>0</v>
      </c>
      <c r="K224" s="25">
        <f>IFERROR(__xludf.DUMMYFUNCTION("COUNTA(iferror(filter(Status!H:H,Status!A:A=A224,Status!H:H=TRUE)))"),0.0)</f>
        <v>0</v>
      </c>
      <c r="L224" s="23">
        <f>IFERROR(__xludf.DUMMYFUNCTION("COUNTA(iferror(filter(Status!L:L,Status!A:A=A224)))"),0.0)</f>
        <v>0</v>
      </c>
      <c r="M224" s="25">
        <f>IFERROR(__xludf.DUMMYFUNCTION("COUNTA(iferror(filter(Status!L:L,Status!A:A=A224,Status!L:L=TRUE)))"),0.0)</f>
        <v>0</v>
      </c>
      <c r="N224" s="23">
        <f>IFERROR(__xludf.DUMMYFUNCTION("COUNTA(iferror(filter(Status!N:N,Status!A:A=A224,Status!N:N=TRUE)))"),0.0)</f>
        <v>0</v>
      </c>
      <c r="O224" s="25">
        <f>IFERROR(__xludf.DUMMYFUNCTION("COUNTA(iferror(filter(Status!N:N,Status!A:A=A224,Status!N:N=TRUE)))"),0.0)</f>
        <v>0</v>
      </c>
      <c r="P224" s="23">
        <f>IFERROR(__xludf.DUMMYFUNCTION("COUNTA(iferror(filter(Status!P:P,Status!A:A=A224)))"),0.0)</f>
        <v>0</v>
      </c>
      <c r="Q224" s="25">
        <f>IFERROR(__xludf.DUMMYFUNCTION("COUNTA(iferror(filter(Status!P:P,Status!A:A=A224,Status!P:P=TRUE)))"),0.0)</f>
        <v>0</v>
      </c>
      <c r="R224" s="23">
        <f>IFERROR(__xludf.DUMMYFUNCTION("COUNTA(iferror(filter(Status!R:R,Status!A:A=A224)))"),0.0)</f>
        <v>0</v>
      </c>
      <c r="S224" s="25">
        <f>IFERROR(__xludf.DUMMYFUNCTION("COUNTA(iferror(filter(Status!R:R,Status!A:A=A224,Status!R:R=TRUE)))"),0.0)</f>
        <v>0</v>
      </c>
      <c r="V224" s="23" t="str">
        <f>IFERROR(__xludf.DUMMYFUNCTION("if((countif(filter(Status!$C:$C,Status!$A:$A=$A224),CONCATENATE(V$2,""*""))-W224)&gt;0,(countif(filter(Status!$C:$C,Status!$A:$A=$A224),CONCATENATE(V$2,""*""))-W224),"""")"),"")</f>
        <v/>
      </c>
      <c r="W224" s="23" t="str">
        <f>IFERROR(__xludf.DUMMYFUNCTION("if(countif(filter(Status!$C:$C,Status!$A:$A=$A224),CONCATENATE(W$2,""*""))&gt;0,countif(filter(Status!$C:$C,Status!$A:$A=$A224),CONCATENATE(W$2,""*"")),"""")"),"")</f>
        <v/>
      </c>
      <c r="X224" s="23" t="str">
        <f>IFERROR(__xludf.DUMMYFUNCTION("if(countif(filter(Status!$C:$C,Status!$A:$A=$A224),CONCATENATE(X$2,""*""))&gt;0,countif(filter(Status!$C:$C,Status!$A:$A=$A224),CONCATENATE(X$2,""*"")),"""")"),"")</f>
        <v/>
      </c>
      <c r="Y224" s="23" t="str">
        <f>IFERROR(__xludf.DUMMYFUNCTION("if(countif(filter(Status!$C:$C,Status!$A:$A=$A224),CONCATENATE(Y$2,""*""))&gt;0,countif(filter(Status!$C:$C,Status!$A:$A=$A224),CONCATENATE(Y$2,""*"")),"""")"),"")</f>
        <v/>
      </c>
      <c r="Z224" s="23" t="str">
        <f>IFERROR(__xludf.DUMMYFUNCTION("if(countif(filter(Status!$C:$C,Status!$A:$A=$A224),CONCATENATE(Z$2,""*""))&gt;0,countif(filter(Status!$C:$C,Status!$A:$A=$A224),CONCATENATE(Z$2,""*"")),"""")"),"")</f>
        <v/>
      </c>
      <c r="AA224" s="23" t="str">
        <f>IFERROR(__xludf.DUMMYFUNCTION("if((countif(filter(Status!$C:$C,Status!$A:$A=$A224),CONCATENATE(AA$2,""*""))-AB224)&gt;0,(countif(filter(Status!$C:$C,Status!$A:$A=$A224),CONCATENATE(AA$2,""*""))-AB224),"""")"),"")</f>
        <v/>
      </c>
      <c r="AB224" s="23" t="str">
        <f>IFERROR(__xludf.DUMMYFUNCTION("if(countif(filter(Status!$C:$C,Status!$A:$A=$A224),CONCATENATE(AB$2,""*""))&gt;0,countif(filter(Status!$C:$C,Status!$A:$A=$A224),CONCATENATE(AB$2,""*"")),"""")"),"")</f>
        <v/>
      </c>
      <c r="AC224" s="23" t="str">
        <f>IFERROR(__xludf.DUMMYFUNCTION("if(countif(filter(Status!$C:$C,Status!$A:$A=$A224),CONCATENATE(AC$2,""*""))&gt;0,countif(filter(Status!$C:$C,Status!$A:$A=$A224),CONCATENATE(AC$2,""*"")),"""")"),"")</f>
        <v/>
      </c>
      <c r="AD224" s="23" t="str">
        <f>IFERROR(__xludf.DUMMYFUNCTION("if(countif(filter(Status!$C:$C,Status!$A:$A=$A224),CONCATENATE(AD$2,""*""))&gt;0,countif(filter(Status!$C:$C,Status!$A:$A=$A224),CONCATENATE(AD$2,""*"")),"""")"),"")</f>
        <v/>
      </c>
      <c r="AE224" s="23" t="str">
        <f>IFERROR(__xludf.DUMMYFUNCTION("if(countif(filter(Status!$C:$C,Status!$A:$A=$A224),CONCATENATE(AE$2,""*""))&gt;0,countif(filter(Status!$C:$C,Status!$A:$A=$A224),CONCATENATE(AE$2,""*"")),"""")"),"")</f>
        <v/>
      </c>
      <c r="AF224" s="23" t="str">
        <f>IFERROR(__xludf.DUMMYFUNCTION("if(countif(filter(Status!$C:$C,Status!$A:$A=$A224),CONCATENATE(AF$2,""*""))&gt;0,countif(filter(Status!$C:$C,Status!$A:$A=$A224),CONCATENATE(AF$2,""*"")),"""")"),"")</f>
        <v/>
      </c>
      <c r="AG224" s="23" t="str">
        <f>IFERROR(__xludf.DUMMYFUNCTION("if(countif(filter(Status!$C:$C,Status!$A:$A=$A224),CONCATENATE(AG$2,""*""))&gt;0,countif(filter(Status!$C:$C,Status!$A:$A=$A224),CONCATENATE(AG$2,""*"")),"""")"),"")</f>
        <v/>
      </c>
      <c r="AH224" s="23" t="str">
        <f>IFERROR(__xludf.DUMMYFUNCTION("if(countif(filter(Status!$C:$C,Status!$A:$A=$A224),CONCATENATE(AH$2,""*""))&gt;0,countif(filter(Status!$C:$C,Status!$A:$A=$A224),CONCATENATE(AH$2,""*"")),"""")"),"")</f>
        <v/>
      </c>
      <c r="AI224" s="23" t="str">
        <f>IFERROR(__xludf.DUMMYFUNCTION("if(countif(filter(Status!$C:$C,Status!$A:$A=$A224),CONCATENATE(AI$2,""*""))&gt;0,countif(filter(Status!$C:$C,Status!$A:$A=$A224),CONCATENATE(AI$2,""*"")),"""")"),"")</f>
        <v/>
      </c>
      <c r="AJ224" s="23" t="str">
        <f>IFERROR(__xludf.DUMMYFUNCTION("if(countif(filter(Status!$C:$C,Status!$A:$A=$A224),CONCATENATE(AJ$2,""*""))&gt;0,countif(filter(Status!$C:$C,Status!$A:$A=$A224),CONCATENATE(AJ$2,""*"")),"""")"),"")</f>
        <v/>
      </c>
      <c r="AK224" s="23" t="str">
        <f>IFERROR(__xludf.DUMMYFUNCTION("if(countif(filter(Status!$C:$C,Status!$A:$A=$A224),CONCATENATE(AK$2,""*""))&gt;0,countif(filter(Status!$C:$C,Status!$A:$A=$A224),CONCATENATE(AK$2,""*"")),"""")"),"")</f>
        <v/>
      </c>
      <c r="AL224" s="23" t="str">
        <f>IFERROR(__xludf.DUMMYFUNCTION("if(countif(filter(Status!$C:$C,Status!$A:$A=$A224),CONCATENATE(AL$2,""*""))&gt;0,countif(filter(Status!$C:$C,Status!$A:$A=$A224),CONCATENATE(AL$2,""*"")),"""")"),"")</f>
        <v/>
      </c>
      <c r="AM224" s="23" t="str">
        <f>IFERROR(__xludf.DUMMYFUNCTION("if(countif(filter(Status!$C:$C,Status!$A:$A=$A224),CONCATENATE(AM$2,""*""))&gt;0,countif(filter(Status!$C:$C,Status!$A:$A=$A224),CONCATENATE(AM$2,""*"")),"""")"),"")</f>
        <v/>
      </c>
      <c r="AN224" s="23" t="str">
        <f>IFERROR(__xludf.DUMMYFUNCTION("if(countif(filter(Status!$C:$C,Status!$A:$A=$A224),CONCATENATE(AN$2,""*""))&gt;0,countif(filter(Status!$C:$C,Status!$A:$A=$A224),CONCATENATE(AN$2,""*"")),"""")"),"")</f>
        <v/>
      </c>
      <c r="AO224" s="23" t="str">
        <f>IFERROR(__xludf.DUMMYFUNCTION("if(countif(filter(Status!$C:$C,Status!$A:$A=$A224),CONCATENATE(AO$2,""*""))&gt;0,countif(filter(Status!$C:$C,Status!$A:$A=$A224),CONCATENATE(AO$2,""*"")),"""")"),"")</f>
        <v/>
      </c>
      <c r="AP224" s="23">
        <f>IFERROR(__xludf.DUMMYFUNCTION("counta(iferror(filter(Status!C:C,Status!A:A=A224)))"),0.0)</f>
        <v>0</v>
      </c>
      <c r="AQ224" s="23">
        <f t="shared" si="6"/>
        <v>0</v>
      </c>
    </row>
    <row r="225">
      <c r="A225" s="1" t="s">
        <v>1383</v>
      </c>
      <c r="B225" s="25" t="str">
        <f>IFERROR(__xludf.DUMMYFUNCTION("max(filter(Status!E:E,Status!A:A=A225))"),"#N/A")</f>
        <v>#N/A</v>
      </c>
      <c r="C225" s="23" t="str">
        <f t="shared" si="1"/>
        <v/>
      </c>
      <c r="D225" s="23" t="str">
        <f t="shared" si="2"/>
        <v/>
      </c>
      <c r="E225" s="23" t="str">
        <f t="shared" si="3"/>
        <v/>
      </c>
      <c r="F225" s="23" t="str">
        <f t="shared" si="4"/>
        <v/>
      </c>
      <c r="G225" s="25" t="str">
        <f t="shared" si="5"/>
        <v/>
      </c>
      <c r="J225" s="23">
        <f>IFERROR(__xludf.DUMMYFUNCTION("COUNTA(iferror(filter(Status!H:H,Status!A:A=A225)))"),0.0)</f>
        <v>0</v>
      </c>
      <c r="K225" s="25">
        <f>IFERROR(__xludf.DUMMYFUNCTION("COUNTA(iferror(filter(Status!H:H,Status!A:A=A225,Status!H:H=TRUE)))"),0.0)</f>
        <v>0</v>
      </c>
      <c r="L225" s="23">
        <f>IFERROR(__xludf.DUMMYFUNCTION("COUNTA(iferror(filter(Status!L:L,Status!A:A=A225)))"),0.0)</f>
        <v>0</v>
      </c>
      <c r="M225" s="25">
        <f>IFERROR(__xludf.DUMMYFUNCTION("COUNTA(iferror(filter(Status!L:L,Status!A:A=A225,Status!L:L=TRUE)))"),0.0)</f>
        <v>0</v>
      </c>
      <c r="N225" s="23">
        <f>IFERROR(__xludf.DUMMYFUNCTION("COUNTA(iferror(filter(Status!N:N,Status!A:A=A225,Status!N:N=TRUE)))"),0.0)</f>
        <v>0</v>
      </c>
      <c r="O225" s="25">
        <f>IFERROR(__xludf.DUMMYFUNCTION("COUNTA(iferror(filter(Status!N:N,Status!A:A=A225,Status!N:N=TRUE)))"),0.0)</f>
        <v>0</v>
      </c>
      <c r="P225" s="23">
        <f>IFERROR(__xludf.DUMMYFUNCTION("COUNTA(iferror(filter(Status!P:P,Status!A:A=A225)))"),0.0)</f>
        <v>0</v>
      </c>
      <c r="Q225" s="25">
        <f>IFERROR(__xludf.DUMMYFUNCTION("COUNTA(iferror(filter(Status!P:P,Status!A:A=A225,Status!P:P=TRUE)))"),0.0)</f>
        <v>0</v>
      </c>
      <c r="R225" s="23">
        <f>IFERROR(__xludf.DUMMYFUNCTION("COUNTA(iferror(filter(Status!R:R,Status!A:A=A225)))"),0.0)</f>
        <v>0</v>
      </c>
      <c r="S225" s="25">
        <f>IFERROR(__xludf.DUMMYFUNCTION("COUNTA(iferror(filter(Status!R:R,Status!A:A=A225,Status!R:R=TRUE)))"),0.0)</f>
        <v>0</v>
      </c>
      <c r="V225" s="23" t="str">
        <f>IFERROR(__xludf.DUMMYFUNCTION("if((countif(filter(Status!$C:$C,Status!$A:$A=$A225),CONCATENATE(V$2,""*""))-W225)&gt;0,(countif(filter(Status!$C:$C,Status!$A:$A=$A225),CONCATENATE(V$2,""*""))-W225),"""")"),"")</f>
        <v/>
      </c>
      <c r="W225" s="23" t="str">
        <f>IFERROR(__xludf.DUMMYFUNCTION("if(countif(filter(Status!$C:$C,Status!$A:$A=$A225),CONCATENATE(W$2,""*""))&gt;0,countif(filter(Status!$C:$C,Status!$A:$A=$A225),CONCATENATE(W$2,""*"")),"""")"),"")</f>
        <v/>
      </c>
      <c r="X225" s="23" t="str">
        <f>IFERROR(__xludf.DUMMYFUNCTION("if(countif(filter(Status!$C:$C,Status!$A:$A=$A225),CONCATENATE(X$2,""*""))&gt;0,countif(filter(Status!$C:$C,Status!$A:$A=$A225),CONCATENATE(X$2,""*"")),"""")"),"")</f>
        <v/>
      </c>
      <c r="Y225" s="23" t="str">
        <f>IFERROR(__xludf.DUMMYFUNCTION("if(countif(filter(Status!$C:$C,Status!$A:$A=$A225),CONCATENATE(Y$2,""*""))&gt;0,countif(filter(Status!$C:$C,Status!$A:$A=$A225),CONCATENATE(Y$2,""*"")),"""")"),"")</f>
        <v/>
      </c>
      <c r="Z225" s="23" t="str">
        <f>IFERROR(__xludf.DUMMYFUNCTION("if(countif(filter(Status!$C:$C,Status!$A:$A=$A225),CONCATENATE(Z$2,""*""))&gt;0,countif(filter(Status!$C:$C,Status!$A:$A=$A225),CONCATENATE(Z$2,""*"")),"""")"),"")</f>
        <v/>
      </c>
      <c r="AA225" s="23" t="str">
        <f>IFERROR(__xludf.DUMMYFUNCTION("if((countif(filter(Status!$C:$C,Status!$A:$A=$A225),CONCATENATE(AA$2,""*""))-AB225)&gt;0,(countif(filter(Status!$C:$C,Status!$A:$A=$A225),CONCATENATE(AA$2,""*""))-AB225),"""")"),"")</f>
        <v/>
      </c>
      <c r="AB225" s="23" t="str">
        <f>IFERROR(__xludf.DUMMYFUNCTION("if(countif(filter(Status!$C:$C,Status!$A:$A=$A225),CONCATENATE(AB$2,""*""))&gt;0,countif(filter(Status!$C:$C,Status!$A:$A=$A225),CONCATENATE(AB$2,""*"")),"""")"),"")</f>
        <v/>
      </c>
      <c r="AC225" s="23" t="str">
        <f>IFERROR(__xludf.DUMMYFUNCTION("if(countif(filter(Status!$C:$C,Status!$A:$A=$A225),CONCATENATE(AC$2,""*""))&gt;0,countif(filter(Status!$C:$C,Status!$A:$A=$A225),CONCATENATE(AC$2,""*"")),"""")"),"")</f>
        <v/>
      </c>
      <c r="AD225" s="23" t="str">
        <f>IFERROR(__xludf.DUMMYFUNCTION("if(countif(filter(Status!$C:$C,Status!$A:$A=$A225),CONCATENATE(AD$2,""*""))&gt;0,countif(filter(Status!$C:$C,Status!$A:$A=$A225),CONCATENATE(AD$2,""*"")),"""")"),"")</f>
        <v/>
      </c>
      <c r="AE225" s="23" t="str">
        <f>IFERROR(__xludf.DUMMYFUNCTION("if(countif(filter(Status!$C:$C,Status!$A:$A=$A225),CONCATENATE(AE$2,""*""))&gt;0,countif(filter(Status!$C:$C,Status!$A:$A=$A225),CONCATENATE(AE$2,""*"")),"""")"),"")</f>
        <v/>
      </c>
      <c r="AF225" s="23" t="str">
        <f>IFERROR(__xludf.DUMMYFUNCTION("if(countif(filter(Status!$C:$C,Status!$A:$A=$A225),CONCATENATE(AF$2,""*""))&gt;0,countif(filter(Status!$C:$C,Status!$A:$A=$A225),CONCATENATE(AF$2,""*"")),"""")"),"")</f>
        <v/>
      </c>
      <c r="AG225" s="23" t="str">
        <f>IFERROR(__xludf.DUMMYFUNCTION("if(countif(filter(Status!$C:$C,Status!$A:$A=$A225),CONCATENATE(AG$2,""*""))&gt;0,countif(filter(Status!$C:$C,Status!$A:$A=$A225),CONCATENATE(AG$2,""*"")),"""")"),"")</f>
        <v/>
      </c>
      <c r="AH225" s="23" t="str">
        <f>IFERROR(__xludf.DUMMYFUNCTION("if(countif(filter(Status!$C:$C,Status!$A:$A=$A225),CONCATENATE(AH$2,""*""))&gt;0,countif(filter(Status!$C:$C,Status!$A:$A=$A225),CONCATENATE(AH$2,""*"")),"""")"),"")</f>
        <v/>
      </c>
      <c r="AI225" s="23" t="str">
        <f>IFERROR(__xludf.DUMMYFUNCTION("if(countif(filter(Status!$C:$C,Status!$A:$A=$A225),CONCATENATE(AI$2,""*""))&gt;0,countif(filter(Status!$C:$C,Status!$A:$A=$A225),CONCATENATE(AI$2,""*"")),"""")"),"")</f>
        <v/>
      </c>
      <c r="AJ225" s="23" t="str">
        <f>IFERROR(__xludf.DUMMYFUNCTION("if(countif(filter(Status!$C:$C,Status!$A:$A=$A225),CONCATENATE(AJ$2,""*""))&gt;0,countif(filter(Status!$C:$C,Status!$A:$A=$A225),CONCATENATE(AJ$2,""*"")),"""")"),"")</f>
        <v/>
      </c>
      <c r="AK225" s="23" t="str">
        <f>IFERROR(__xludf.DUMMYFUNCTION("if(countif(filter(Status!$C:$C,Status!$A:$A=$A225),CONCATENATE(AK$2,""*""))&gt;0,countif(filter(Status!$C:$C,Status!$A:$A=$A225),CONCATENATE(AK$2,""*"")),"""")"),"")</f>
        <v/>
      </c>
      <c r="AL225" s="23" t="str">
        <f>IFERROR(__xludf.DUMMYFUNCTION("if(countif(filter(Status!$C:$C,Status!$A:$A=$A225),CONCATENATE(AL$2,""*""))&gt;0,countif(filter(Status!$C:$C,Status!$A:$A=$A225),CONCATENATE(AL$2,""*"")),"""")"),"")</f>
        <v/>
      </c>
      <c r="AM225" s="23" t="str">
        <f>IFERROR(__xludf.DUMMYFUNCTION("if(countif(filter(Status!$C:$C,Status!$A:$A=$A225),CONCATENATE(AM$2,""*""))&gt;0,countif(filter(Status!$C:$C,Status!$A:$A=$A225),CONCATENATE(AM$2,""*"")),"""")"),"")</f>
        <v/>
      </c>
      <c r="AN225" s="23" t="str">
        <f>IFERROR(__xludf.DUMMYFUNCTION("if(countif(filter(Status!$C:$C,Status!$A:$A=$A225),CONCATENATE(AN$2,""*""))&gt;0,countif(filter(Status!$C:$C,Status!$A:$A=$A225),CONCATENATE(AN$2,""*"")),"""")"),"")</f>
        <v/>
      </c>
      <c r="AO225" s="23" t="str">
        <f>IFERROR(__xludf.DUMMYFUNCTION("if(countif(filter(Status!$C:$C,Status!$A:$A=$A225),CONCATENATE(AO$2,""*""))&gt;0,countif(filter(Status!$C:$C,Status!$A:$A=$A225),CONCATENATE(AO$2,""*"")),"""")"),"")</f>
        <v/>
      </c>
      <c r="AP225" s="23">
        <f>IFERROR(__xludf.DUMMYFUNCTION("counta(iferror(filter(Status!C:C,Status!A:A=A225)))"),0.0)</f>
        <v>0</v>
      </c>
      <c r="AQ225" s="23">
        <f t="shared" si="6"/>
        <v>0</v>
      </c>
    </row>
    <row r="226">
      <c r="A226" s="1" t="s">
        <v>1388</v>
      </c>
      <c r="B226" s="25" t="str">
        <f>IFERROR(__xludf.DUMMYFUNCTION("max(filter(Status!E:E,Status!A:A=A226))"),"#N/A")</f>
        <v>#N/A</v>
      </c>
      <c r="C226" s="23" t="str">
        <f t="shared" si="1"/>
        <v/>
      </c>
      <c r="D226" s="23" t="str">
        <f t="shared" si="2"/>
        <v/>
      </c>
      <c r="E226" s="23" t="str">
        <f t="shared" si="3"/>
        <v/>
      </c>
      <c r="F226" s="23" t="str">
        <f t="shared" si="4"/>
        <v/>
      </c>
      <c r="G226" s="25" t="str">
        <f t="shared" si="5"/>
        <v/>
      </c>
      <c r="J226" s="23">
        <f>IFERROR(__xludf.DUMMYFUNCTION("COUNTA(iferror(filter(Status!H:H,Status!A:A=A226)))"),0.0)</f>
        <v>0</v>
      </c>
      <c r="K226" s="25">
        <f>IFERROR(__xludf.DUMMYFUNCTION("COUNTA(iferror(filter(Status!H:H,Status!A:A=A226,Status!H:H=TRUE)))"),0.0)</f>
        <v>0</v>
      </c>
      <c r="L226" s="23">
        <f>IFERROR(__xludf.DUMMYFUNCTION("COUNTA(iferror(filter(Status!L:L,Status!A:A=A226)))"),0.0)</f>
        <v>0</v>
      </c>
      <c r="M226" s="25">
        <f>IFERROR(__xludf.DUMMYFUNCTION("COUNTA(iferror(filter(Status!L:L,Status!A:A=A226,Status!L:L=TRUE)))"),0.0)</f>
        <v>0</v>
      </c>
      <c r="N226" s="23">
        <f>IFERROR(__xludf.DUMMYFUNCTION("COUNTA(iferror(filter(Status!N:N,Status!A:A=A226,Status!N:N=TRUE)))"),0.0)</f>
        <v>0</v>
      </c>
      <c r="O226" s="25">
        <f>IFERROR(__xludf.DUMMYFUNCTION("COUNTA(iferror(filter(Status!N:N,Status!A:A=A226,Status!N:N=TRUE)))"),0.0)</f>
        <v>0</v>
      </c>
      <c r="P226" s="23">
        <f>IFERROR(__xludf.DUMMYFUNCTION("COUNTA(iferror(filter(Status!P:P,Status!A:A=A226)))"),0.0)</f>
        <v>0</v>
      </c>
      <c r="Q226" s="25">
        <f>IFERROR(__xludf.DUMMYFUNCTION("COUNTA(iferror(filter(Status!P:P,Status!A:A=A226,Status!P:P=TRUE)))"),0.0)</f>
        <v>0</v>
      </c>
      <c r="R226" s="23">
        <f>IFERROR(__xludf.DUMMYFUNCTION("COUNTA(iferror(filter(Status!R:R,Status!A:A=A226)))"),0.0)</f>
        <v>0</v>
      </c>
      <c r="S226" s="25">
        <f>IFERROR(__xludf.DUMMYFUNCTION("COUNTA(iferror(filter(Status!R:R,Status!A:A=A226,Status!R:R=TRUE)))"),0.0)</f>
        <v>0</v>
      </c>
      <c r="V226" s="23" t="str">
        <f>IFERROR(__xludf.DUMMYFUNCTION("if((countif(filter(Status!$C:$C,Status!$A:$A=$A226),CONCATENATE(V$2,""*""))-W226)&gt;0,(countif(filter(Status!$C:$C,Status!$A:$A=$A226),CONCATENATE(V$2,""*""))-W226),"""")"),"")</f>
        <v/>
      </c>
      <c r="W226" s="23" t="str">
        <f>IFERROR(__xludf.DUMMYFUNCTION("if(countif(filter(Status!$C:$C,Status!$A:$A=$A226),CONCATENATE(W$2,""*""))&gt;0,countif(filter(Status!$C:$C,Status!$A:$A=$A226),CONCATENATE(W$2,""*"")),"""")"),"")</f>
        <v/>
      </c>
      <c r="X226" s="23" t="str">
        <f>IFERROR(__xludf.DUMMYFUNCTION("if(countif(filter(Status!$C:$C,Status!$A:$A=$A226),CONCATENATE(X$2,""*""))&gt;0,countif(filter(Status!$C:$C,Status!$A:$A=$A226),CONCATENATE(X$2,""*"")),"""")"),"")</f>
        <v/>
      </c>
      <c r="Y226" s="23" t="str">
        <f>IFERROR(__xludf.DUMMYFUNCTION("if(countif(filter(Status!$C:$C,Status!$A:$A=$A226),CONCATENATE(Y$2,""*""))&gt;0,countif(filter(Status!$C:$C,Status!$A:$A=$A226),CONCATENATE(Y$2,""*"")),"""")"),"")</f>
        <v/>
      </c>
      <c r="Z226" s="23" t="str">
        <f>IFERROR(__xludf.DUMMYFUNCTION("if(countif(filter(Status!$C:$C,Status!$A:$A=$A226),CONCATENATE(Z$2,""*""))&gt;0,countif(filter(Status!$C:$C,Status!$A:$A=$A226),CONCATENATE(Z$2,""*"")),"""")"),"")</f>
        <v/>
      </c>
      <c r="AA226" s="23" t="str">
        <f>IFERROR(__xludf.DUMMYFUNCTION("if((countif(filter(Status!$C:$C,Status!$A:$A=$A226),CONCATENATE(AA$2,""*""))-AB226)&gt;0,(countif(filter(Status!$C:$C,Status!$A:$A=$A226),CONCATENATE(AA$2,""*""))-AB226),"""")"),"")</f>
        <v/>
      </c>
      <c r="AB226" s="23" t="str">
        <f>IFERROR(__xludf.DUMMYFUNCTION("if(countif(filter(Status!$C:$C,Status!$A:$A=$A226),CONCATENATE(AB$2,""*""))&gt;0,countif(filter(Status!$C:$C,Status!$A:$A=$A226),CONCATENATE(AB$2,""*"")),"""")"),"")</f>
        <v/>
      </c>
      <c r="AC226" s="23" t="str">
        <f>IFERROR(__xludf.DUMMYFUNCTION("if(countif(filter(Status!$C:$C,Status!$A:$A=$A226),CONCATENATE(AC$2,""*""))&gt;0,countif(filter(Status!$C:$C,Status!$A:$A=$A226),CONCATENATE(AC$2,""*"")),"""")"),"")</f>
        <v/>
      </c>
      <c r="AD226" s="23" t="str">
        <f>IFERROR(__xludf.DUMMYFUNCTION("if(countif(filter(Status!$C:$C,Status!$A:$A=$A226),CONCATENATE(AD$2,""*""))&gt;0,countif(filter(Status!$C:$C,Status!$A:$A=$A226),CONCATENATE(AD$2,""*"")),"""")"),"")</f>
        <v/>
      </c>
      <c r="AE226" s="23" t="str">
        <f>IFERROR(__xludf.DUMMYFUNCTION("if(countif(filter(Status!$C:$C,Status!$A:$A=$A226),CONCATENATE(AE$2,""*""))&gt;0,countif(filter(Status!$C:$C,Status!$A:$A=$A226),CONCATENATE(AE$2,""*"")),"""")"),"")</f>
        <v/>
      </c>
      <c r="AF226" s="23" t="str">
        <f>IFERROR(__xludf.DUMMYFUNCTION("if(countif(filter(Status!$C:$C,Status!$A:$A=$A226),CONCATENATE(AF$2,""*""))&gt;0,countif(filter(Status!$C:$C,Status!$A:$A=$A226),CONCATENATE(AF$2,""*"")),"""")"),"")</f>
        <v/>
      </c>
      <c r="AG226" s="23" t="str">
        <f>IFERROR(__xludf.DUMMYFUNCTION("if(countif(filter(Status!$C:$C,Status!$A:$A=$A226),CONCATENATE(AG$2,""*""))&gt;0,countif(filter(Status!$C:$C,Status!$A:$A=$A226),CONCATENATE(AG$2,""*"")),"""")"),"")</f>
        <v/>
      </c>
      <c r="AH226" s="23" t="str">
        <f>IFERROR(__xludf.DUMMYFUNCTION("if(countif(filter(Status!$C:$C,Status!$A:$A=$A226),CONCATENATE(AH$2,""*""))&gt;0,countif(filter(Status!$C:$C,Status!$A:$A=$A226),CONCATENATE(AH$2,""*"")),"""")"),"")</f>
        <v/>
      </c>
      <c r="AI226" s="23" t="str">
        <f>IFERROR(__xludf.DUMMYFUNCTION("if(countif(filter(Status!$C:$C,Status!$A:$A=$A226),CONCATENATE(AI$2,""*""))&gt;0,countif(filter(Status!$C:$C,Status!$A:$A=$A226),CONCATENATE(AI$2,""*"")),"""")"),"")</f>
        <v/>
      </c>
      <c r="AJ226" s="23" t="str">
        <f>IFERROR(__xludf.DUMMYFUNCTION("if(countif(filter(Status!$C:$C,Status!$A:$A=$A226),CONCATENATE(AJ$2,""*""))&gt;0,countif(filter(Status!$C:$C,Status!$A:$A=$A226),CONCATENATE(AJ$2,""*"")),"""")"),"")</f>
        <v/>
      </c>
      <c r="AK226" s="23" t="str">
        <f>IFERROR(__xludf.DUMMYFUNCTION("if(countif(filter(Status!$C:$C,Status!$A:$A=$A226),CONCATENATE(AK$2,""*""))&gt;0,countif(filter(Status!$C:$C,Status!$A:$A=$A226),CONCATENATE(AK$2,""*"")),"""")"),"")</f>
        <v/>
      </c>
      <c r="AL226" s="23" t="str">
        <f>IFERROR(__xludf.DUMMYFUNCTION("if(countif(filter(Status!$C:$C,Status!$A:$A=$A226),CONCATENATE(AL$2,""*""))&gt;0,countif(filter(Status!$C:$C,Status!$A:$A=$A226),CONCATENATE(AL$2,""*"")),"""")"),"")</f>
        <v/>
      </c>
      <c r="AM226" s="23" t="str">
        <f>IFERROR(__xludf.DUMMYFUNCTION("if(countif(filter(Status!$C:$C,Status!$A:$A=$A226),CONCATENATE(AM$2,""*""))&gt;0,countif(filter(Status!$C:$C,Status!$A:$A=$A226),CONCATENATE(AM$2,""*"")),"""")"),"")</f>
        <v/>
      </c>
      <c r="AN226" s="23" t="str">
        <f>IFERROR(__xludf.DUMMYFUNCTION("if(countif(filter(Status!$C:$C,Status!$A:$A=$A226),CONCATENATE(AN$2,""*""))&gt;0,countif(filter(Status!$C:$C,Status!$A:$A=$A226),CONCATENATE(AN$2,""*"")),"""")"),"")</f>
        <v/>
      </c>
      <c r="AO226" s="23" t="str">
        <f>IFERROR(__xludf.DUMMYFUNCTION("if(countif(filter(Status!$C:$C,Status!$A:$A=$A226),CONCATENATE(AO$2,""*""))&gt;0,countif(filter(Status!$C:$C,Status!$A:$A=$A226),CONCATENATE(AO$2,""*"")),"""")"),"")</f>
        <v/>
      </c>
      <c r="AP226" s="23">
        <f>IFERROR(__xludf.DUMMYFUNCTION("counta(iferror(filter(Status!C:C,Status!A:A=A226)))"),0.0)</f>
        <v>0</v>
      </c>
      <c r="AQ226" s="23">
        <f t="shared" si="6"/>
        <v>0</v>
      </c>
    </row>
    <row r="227">
      <c r="A227" s="1" t="s">
        <v>1391</v>
      </c>
      <c r="B227" s="25" t="str">
        <f>IFERROR(__xludf.DUMMYFUNCTION("max(filter(Status!E:E,Status!A:A=A227))"),"#N/A")</f>
        <v>#N/A</v>
      </c>
      <c r="C227" s="23" t="str">
        <f t="shared" si="1"/>
        <v/>
      </c>
      <c r="D227" s="23" t="str">
        <f t="shared" si="2"/>
        <v/>
      </c>
      <c r="E227" s="23" t="str">
        <f t="shared" si="3"/>
        <v/>
      </c>
      <c r="F227" s="23" t="str">
        <f t="shared" si="4"/>
        <v/>
      </c>
      <c r="G227" s="25" t="str">
        <f t="shared" si="5"/>
        <v/>
      </c>
      <c r="J227" s="23">
        <f>IFERROR(__xludf.DUMMYFUNCTION("COUNTA(iferror(filter(Status!H:H,Status!A:A=A227)))"),0.0)</f>
        <v>0</v>
      </c>
      <c r="K227" s="25">
        <f>IFERROR(__xludf.DUMMYFUNCTION("COUNTA(iferror(filter(Status!H:H,Status!A:A=A227,Status!H:H=TRUE)))"),0.0)</f>
        <v>0</v>
      </c>
      <c r="L227" s="23">
        <f>IFERROR(__xludf.DUMMYFUNCTION("COUNTA(iferror(filter(Status!L:L,Status!A:A=A227)))"),0.0)</f>
        <v>0</v>
      </c>
      <c r="M227" s="25">
        <f>IFERROR(__xludf.DUMMYFUNCTION("COUNTA(iferror(filter(Status!L:L,Status!A:A=A227,Status!L:L=TRUE)))"),0.0)</f>
        <v>0</v>
      </c>
      <c r="N227" s="23">
        <f>IFERROR(__xludf.DUMMYFUNCTION("COUNTA(iferror(filter(Status!N:N,Status!A:A=A227,Status!N:N=TRUE)))"),0.0)</f>
        <v>0</v>
      </c>
      <c r="O227" s="25">
        <f>IFERROR(__xludf.DUMMYFUNCTION("COUNTA(iferror(filter(Status!N:N,Status!A:A=A227,Status!N:N=TRUE)))"),0.0)</f>
        <v>0</v>
      </c>
      <c r="P227" s="23">
        <f>IFERROR(__xludf.DUMMYFUNCTION("COUNTA(iferror(filter(Status!P:P,Status!A:A=A227)))"),0.0)</f>
        <v>0</v>
      </c>
      <c r="Q227" s="25">
        <f>IFERROR(__xludf.DUMMYFUNCTION("COUNTA(iferror(filter(Status!P:P,Status!A:A=A227,Status!P:P=TRUE)))"),0.0)</f>
        <v>0</v>
      </c>
      <c r="R227" s="23">
        <f>IFERROR(__xludf.DUMMYFUNCTION("COUNTA(iferror(filter(Status!R:R,Status!A:A=A227)))"),0.0)</f>
        <v>0</v>
      </c>
      <c r="S227" s="25">
        <f>IFERROR(__xludf.DUMMYFUNCTION("COUNTA(iferror(filter(Status!R:R,Status!A:A=A227,Status!R:R=TRUE)))"),0.0)</f>
        <v>0</v>
      </c>
      <c r="V227" s="23" t="str">
        <f>IFERROR(__xludf.DUMMYFUNCTION("if((countif(filter(Status!$C:$C,Status!$A:$A=$A227),CONCATENATE(V$2,""*""))-W227)&gt;0,(countif(filter(Status!$C:$C,Status!$A:$A=$A227),CONCATENATE(V$2,""*""))-W227),"""")"),"")</f>
        <v/>
      </c>
      <c r="W227" s="23" t="str">
        <f>IFERROR(__xludf.DUMMYFUNCTION("if(countif(filter(Status!$C:$C,Status!$A:$A=$A227),CONCATENATE(W$2,""*""))&gt;0,countif(filter(Status!$C:$C,Status!$A:$A=$A227),CONCATENATE(W$2,""*"")),"""")"),"")</f>
        <v/>
      </c>
      <c r="X227" s="23" t="str">
        <f>IFERROR(__xludf.DUMMYFUNCTION("if(countif(filter(Status!$C:$C,Status!$A:$A=$A227),CONCATENATE(X$2,""*""))&gt;0,countif(filter(Status!$C:$C,Status!$A:$A=$A227),CONCATENATE(X$2,""*"")),"""")"),"")</f>
        <v/>
      </c>
      <c r="Y227" s="23" t="str">
        <f>IFERROR(__xludf.DUMMYFUNCTION("if(countif(filter(Status!$C:$C,Status!$A:$A=$A227),CONCATENATE(Y$2,""*""))&gt;0,countif(filter(Status!$C:$C,Status!$A:$A=$A227),CONCATENATE(Y$2,""*"")),"""")"),"")</f>
        <v/>
      </c>
      <c r="Z227" s="23" t="str">
        <f>IFERROR(__xludf.DUMMYFUNCTION("if(countif(filter(Status!$C:$C,Status!$A:$A=$A227),CONCATENATE(Z$2,""*""))&gt;0,countif(filter(Status!$C:$C,Status!$A:$A=$A227),CONCATENATE(Z$2,""*"")),"""")"),"")</f>
        <v/>
      </c>
      <c r="AA227" s="23" t="str">
        <f>IFERROR(__xludf.DUMMYFUNCTION("if((countif(filter(Status!$C:$C,Status!$A:$A=$A227),CONCATENATE(AA$2,""*""))-AB227)&gt;0,(countif(filter(Status!$C:$C,Status!$A:$A=$A227),CONCATENATE(AA$2,""*""))-AB227),"""")"),"")</f>
        <v/>
      </c>
      <c r="AB227" s="23" t="str">
        <f>IFERROR(__xludf.DUMMYFUNCTION("if(countif(filter(Status!$C:$C,Status!$A:$A=$A227),CONCATENATE(AB$2,""*""))&gt;0,countif(filter(Status!$C:$C,Status!$A:$A=$A227),CONCATENATE(AB$2,""*"")),"""")"),"")</f>
        <v/>
      </c>
      <c r="AC227" s="23" t="str">
        <f>IFERROR(__xludf.DUMMYFUNCTION("if(countif(filter(Status!$C:$C,Status!$A:$A=$A227),CONCATENATE(AC$2,""*""))&gt;0,countif(filter(Status!$C:$C,Status!$A:$A=$A227),CONCATENATE(AC$2,""*"")),"""")"),"")</f>
        <v/>
      </c>
      <c r="AD227" s="23" t="str">
        <f>IFERROR(__xludf.DUMMYFUNCTION("if(countif(filter(Status!$C:$C,Status!$A:$A=$A227),CONCATENATE(AD$2,""*""))&gt;0,countif(filter(Status!$C:$C,Status!$A:$A=$A227),CONCATENATE(AD$2,""*"")),"""")"),"")</f>
        <v/>
      </c>
      <c r="AE227" s="23" t="str">
        <f>IFERROR(__xludf.DUMMYFUNCTION("if(countif(filter(Status!$C:$C,Status!$A:$A=$A227),CONCATENATE(AE$2,""*""))&gt;0,countif(filter(Status!$C:$C,Status!$A:$A=$A227),CONCATENATE(AE$2,""*"")),"""")"),"")</f>
        <v/>
      </c>
      <c r="AF227" s="23" t="str">
        <f>IFERROR(__xludf.DUMMYFUNCTION("if(countif(filter(Status!$C:$C,Status!$A:$A=$A227),CONCATENATE(AF$2,""*""))&gt;0,countif(filter(Status!$C:$C,Status!$A:$A=$A227),CONCATENATE(AF$2,""*"")),"""")"),"")</f>
        <v/>
      </c>
      <c r="AG227" s="23" t="str">
        <f>IFERROR(__xludf.DUMMYFUNCTION("if(countif(filter(Status!$C:$C,Status!$A:$A=$A227),CONCATENATE(AG$2,""*""))&gt;0,countif(filter(Status!$C:$C,Status!$A:$A=$A227),CONCATENATE(AG$2,""*"")),"""")"),"")</f>
        <v/>
      </c>
      <c r="AH227" s="23" t="str">
        <f>IFERROR(__xludf.DUMMYFUNCTION("if(countif(filter(Status!$C:$C,Status!$A:$A=$A227),CONCATENATE(AH$2,""*""))&gt;0,countif(filter(Status!$C:$C,Status!$A:$A=$A227),CONCATENATE(AH$2,""*"")),"""")"),"")</f>
        <v/>
      </c>
      <c r="AI227" s="23" t="str">
        <f>IFERROR(__xludf.DUMMYFUNCTION("if(countif(filter(Status!$C:$C,Status!$A:$A=$A227),CONCATENATE(AI$2,""*""))&gt;0,countif(filter(Status!$C:$C,Status!$A:$A=$A227),CONCATENATE(AI$2,""*"")),"""")"),"")</f>
        <v/>
      </c>
      <c r="AJ227" s="23" t="str">
        <f>IFERROR(__xludf.DUMMYFUNCTION("if(countif(filter(Status!$C:$C,Status!$A:$A=$A227),CONCATENATE(AJ$2,""*""))&gt;0,countif(filter(Status!$C:$C,Status!$A:$A=$A227),CONCATENATE(AJ$2,""*"")),"""")"),"")</f>
        <v/>
      </c>
      <c r="AK227" s="23" t="str">
        <f>IFERROR(__xludf.DUMMYFUNCTION("if(countif(filter(Status!$C:$C,Status!$A:$A=$A227),CONCATENATE(AK$2,""*""))&gt;0,countif(filter(Status!$C:$C,Status!$A:$A=$A227),CONCATENATE(AK$2,""*"")),"""")"),"")</f>
        <v/>
      </c>
      <c r="AL227" s="23" t="str">
        <f>IFERROR(__xludf.DUMMYFUNCTION("if(countif(filter(Status!$C:$C,Status!$A:$A=$A227),CONCATENATE(AL$2,""*""))&gt;0,countif(filter(Status!$C:$C,Status!$A:$A=$A227),CONCATENATE(AL$2,""*"")),"""")"),"")</f>
        <v/>
      </c>
      <c r="AM227" s="23" t="str">
        <f>IFERROR(__xludf.DUMMYFUNCTION("if(countif(filter(Status!$C:$C,Status!$A:$A=$A227),CONCATENATE(AM$2,""*""))&gt;0,countif(filter(Status!$C:$C,Status!$A:$A=$A227),CONCATENATE(AM$2,""*"")),"""")"),"")</f>
        <v/>
      </c>
      <c r="AN227" s="23" t="str">
        <f>IFERROR(__xludf.DUMMYFUNCTION("if(countif(filter(Status!$C:$C,Status!$A:$A=$A227),CONCATENATE(AN$2,""*""))&gt;0,countif(filter(Status!$C:$C,Status!$A:$A=$A227),CONCATENATE(AN$2,""*"")),"""")"),"")</f>
        <v/>
      </c>
      <c r="AO227" s="23" t="str">
        <f>IFERROR(__xludf.DUMMYFUNCTION("if(countif(filter(Status!$C:$C,Status!$A:$A=$A227),CONCATENATE(AO$2,""*""))&gt;0,countif(filter(Status!$C:$C,Status!$A:$A=$A227),CONCATENATE(AO$2,""*"")),"""")"),"")</f>
        <v/>
      </c>
      <c r="AP227" s="23">
        <f>IFERROR(__xludf.DUMMYFUNCTION("counta(iferror(filter(Status!C:C,Status!A:A=A227)))"),0.0)</f>
        <v>0</v>
      </c>
      <c r="AQ227" s="23">
        <f t="shared" si="6"/>
        <v>0</v>
      </c>
    </row>
    <row r="228">
      <c r="A228" s="1" t="s">
        <v>1396</v>
      </c>
      <c r="B228" s="25" t="str">
        <f>IFERROR(__xludf.DUMMYFUNCTION("max(filter(Status!E:E,Status!A:A=A228))"),"#N/A")</f>
        <v>#N/A</v>
      </c>
      <c r="C228" s="23" t="str">
        <f t="shared" si="1"/>
        <v/>
      </c>
      <c r="D228" s="23" t="str">
        <f t="shared" si="2"/>
        <v/>
      </c>
      <c r="E228" s="23" t="str">
        <f t="shared" si="3"/>
        <v/>
      </c>
      <c r="F228" s="23" t="str">
        <f t="shared" si="4"/>
        <v/>
      </c>
      <c r="G228" s="25" t="str">
        <f t="shared" si="5"/>
        <v/>
      </c>
      <c r="J228" s="23">
        <f>IFERROR(__xludf.DUMMYFUNCTION("COUNTA(iferror(filter(Status!H:H,Status!A:A=A228)))"),0.0)</f>
        <v>0</v>
      </c>
      <c r="K228" s="25">
        <f>IFERROR(__xludf.DUMMYFUNCTION("COUNTA(iferror(filter(Status!H:H,Status!A:A=A228,Status!H:H=TRUE)))"),0.0)</f>
        <v>0</v>
      </c>
      <c r="L228" s="23">
        <f>IFERROR(__xludf.DUMMYFUNCTION("COUNTA(iferror(filter(Status!L:L,Status!A:A=A228)))"),0.0)</f>
        <v>0</v>
      </c>
      <c r="M228" s="25">
        <f>IFERROR(__xludf.DUMMYFUNCTION("COUNTA(iferror(filter(Status!L:L,Status!A:A=A228,Status!L:L=TRUE)))"),0.0)</f>
        <v>0</v>
      </c>
      <c r="N228" s="23">
        <f>IFERROR(__xludf.DUMMYFUNCTION("COUNTA(iferror(filter(Status!N:N,Status!A:A=A228,Status!N:N=TRUE)))"),0.0)</f>
        <v>0</v>
      </c>
      <c r="O228" s="25">
        <f>IFERROR(__xludf.DUMMYFUNCTION("COUNTA(iferror(filter(Status!N:N,Status!A:A=A228,Status!N:N=TRUE)))"),0.0)</f>
        <v>0</v>
      </c>
      <c r="P228" s="23">
        <f>IFERROR(__xludf.DUMMYFUNCTION("COUNTA(iferror(filter(Status!P:P,Status!A:A=A228)))"),0.0)</f>
        <v>0</v>
      </c>
      <c r="Q228" s="25">
        <f>IFERROR(__xludf.DUMMYFUNCTION("COUNTA(iferror(filter(Status!P:P,Status!A:A=A228,Status!P:P=TRUE)))"),0.0)</f>
        <v>0</v>
      </c>
      <c r="R228" s="23">
        <f>IFERROR(__xludf.DUMMYFUNCTION("COUNTA(iferror(filter(Status!R:R,Status!A:A=A228)))"),0.0)</f>
        <v>0</v>
      </c>
      <c r="S228" s="25">
        <f>IFERROR(__xludf.DUMMYFUNCTION("COUNTA(iferror(filter(Status!R:R,Status!A:A=A228,Status!R:R=TRUE)))"),0.0)</f>
        <v>0</v>
      </c>
      <c r="V228" s="23" t="str">
        <f>IFERROR(__xludf.DUMMYFUNCTION("if((countif(filter(Status!$C:$C,Status!$A:$A=$A228),CONCATENATE(V$2,""*""))-W228)&gt;0,(countif(filter(Status!$C:$C,Status!$A:$A=$A228),CONCATENATE(V$2,""*""))-W228),"""")"),"")</f>
        <v/>
      </c>
      <c r="W228" s="23" t="str">
        <f>IFERROR(__xludf.DUMMYFUNCTION("if(countif(filter(Status!$C:$C,Status!$A:$A=$A228),CONCATENATE(W$2,""*""))&gt;0,countif(filter(Status!$C:$C,Status!$A:$A=$A228),CONCATENATE(W$2,""*"")),"""")"),"")</f>
        <v/>
      </c>
      <c r="X228" s="23" t="str">
        <f>IFERROR(__xludf.DUMMYFUNCTION("if(countif(filter(Status!$C:$C,Status!$A:$A=$A228),CONCATENATE(X$2,""*""))&gt;0,countif(filter(Status!$C:$C,Status!$A:$A=$A228),CONCATENATE(X$2,""*"")),"""")"),"")</f>
        <v/>
      </c>
      <c r="Y228" s="23" t="str">
        <f>IFERROR(__xludf.DUMMYFUNCTION("if(countif(filter(Status!$C:$C,Status!$A:$A=$A228),CONCATENATE(Y$2,""*""))&gt;0,countif(filter(Status!$C:$C,Status!$A:$A=$A228),CONCATENATE(Y$2,""*"")),"""")"),"")</f>
        <v/>
      </c>
      <c r="Z228" s="23" t="str">
        <f>IFERROR(__xludf.DUMMYFUNCTION("if(countif(filter(Status!$C:$C,Status!$A:$A=$A228),CONCATENATE(Z$2,""*""))&gt;0,countif(filter(Status!$C:$C,Status!$A:$A=$A228),CONCATENATE(Z$2,""*"")),"""")"),"")</f>
        <v/>
      </c>
      <c r="AA228" s="23" t="str">
        <f>IFERROR(__xludf.DUMMYFUNCTION("if((countif(filter(Status!$C:$C,Status!$A:$A=$A228),CONCATENATE(AA$2,""*""))-AB228)&gt;0,(countif(filter(Status!$C:$C,Status!$A:$A=$A228),CONCATENATE(AA$2,""*""))-AB228),"""")"),"")</f>
        <v/>
      </c>
      <c r="AB228" s="23" t="str">
        <f>IFERROR(__xludf.DUMMYFUNCTION("if(countif(filter(Status!$C:$C,Status!$A:$A=$A228),CONCATENATE(AB$2,""*""))&gt;0,countif(filter(Status!$C:$C,Status!$A:$A=$A228),CONCATENATE(AB$2,""*"")),"""")"),"")</f>
        <v/>
      </c>
      <c r="AC228" s="23" t="str">
        <f>IFERROR(__xludf.DUMMYFUNCTION("if(countif(filter(Status!$C:$C,Status!$A:$A=$A228),CONCATENATE(AC$2,""*""))&gt;0,countif(filter(Status!$C:$C,Status!$A:$A=$A228),CONCATENATE(AC$2,""*"")),"""")"),"")</f>
        <v/>
      </c>
      <c r="AD228" s="23" t="str">
        <f>IFERROR(__xludf.DUMMYFUNCTION("if(countif(filter(Status!$C:$C,Status!$A:$A=$A228),CONCATENATE(AD$2,""*""))&gt;0,countif(filter(Status!$C:$C,Status!$A:$A=$A228),CONCATENATE(AD$2,""*"")),"""")"),"")</f>
        <v/>
      </c>
      <c r="AE228" s="23" t="str">
        <f>IFERROR(__xludf.DUMMYFUNCTION("if(countif(filter(Status!$C:$C,Status!$A:$A=$A228),CONCATENATE(AE$2,""*""))&gt;0,countif(filter(Status!$C:$C,Status!$A:$A=$A228),CONCATENATE(AE$2,""*"")),"""")"),"")</f>
        <v/>
      </c>
      <c r="AF228" s="23" t="str">
        <f>IFERROR(__xludf.DUMMYFUNCTION("if(countif(filter(Status!$C:$C,Status!$A:$A=$A228),CONCATENATE(AF$2,""*""))&gt;0,countif(filter(Status!$C:$C,Status!$A:$A=$A228),CONCATENATE(AF$2,""*"")),"""")"),"")</f>
        <v/>
      </c>
      <c r="AG228" s="23" t="str">
        <f>IFERROR(__xludf.DUMMYFUNCTION("if(countif(filter(Status!$C:$C,Status!$A:$A=$A228),CONCATENATE(AG$2,""*""))&gt;0,countif(filter(Status!$C:$C,Status!$A:$A=$A228),CONCATENATE(AG$2,""*"")),"""")"),"")</f>
        <v/>
      </c>
      <c r="AH228" s="23" t="str">
        <f>IFERROR(__xludf.DUMMYFUNCTION("if(countif(filter(Status!$C:$C,Status!$A:$A=$A228),CONCATENATE(AH$2,""*""))&gt;0,countif(filter(Status!$C:$C,Status!$A:$A=$A228),CONCATENATE(AH$2,""*"")),"""")"),"")</f>
        <v/>
      </c>
      <c r="AI228" s="23" t="str">
        <f>IFERROR(__xludf.DUMMYFUNCTION("if(countif(filter(Status!$C:$C,Status!$A:$A=$A228),CONCATENATE(AI$2,""*""))&gt;0,countif(filter(Status!$C:$C,Status!$A:$A=$A228),CONCATENATE(AI$2,""*"")),"""")"),"")</f>
        <v/>
      </c>
      <c r="AJ228" s="23" t="str">
        <f>IFERROR(__xludf.DUMMYFUNCTION("if(countif(filter(Status!$C:$C,Status!$A:$A=$A228),CONCATENATE(AJ$2,""*""))&gt;0,countif(filter(Status!$C:$C,Status!$A:$A=$A228),CONCATENATE(AJ$2,""*"")),"""")"),"")</f>
        <v/>
      </c>
      <c r="AK228" s="23" t="str">
        <f>IFERROR(__xludf.DUMMYFUNCTION("if(countif(filter(Status!$C:$C,Status!$A:$A=$A228),CONCATENATE(AK$2,""*""))&gt;0,countif(filter(Status!$C:$C,Status!$A:$A=$A228),CONCATENATE(AK$2,""*"")),"""")"),"")</f>
        <v/>
      </c>
      <c r="AL228" s="23" t="str">
        <f>IFERROR(__xludf.DUMMYFUNCTION("if(countif(filter(Status!$C:$C,Status!$A:$A=$A228),CONCATENATE(AL$2,""*""))&gt;0,countif(filter(Status!$C:$C,Status!$A:$A=$A228),CONCATENATE(AL$2,""*"")),"""")"),"")</f>
        <v/>
      </c>
      <c r="AM228" s="23" t="str">
        <f>IFERROR(__xludf.DUMMYFUNCTION("if(countif(filter(Status!$C:$C,Status!$A:$A=$A228),CONCATENATE(AM$2,""*""))&gt;0,countif(filter(Status!$C:$C,Status!$A:$A=$A228),CONCATENATE(AM$2,""*"")),"""")"),"")</f>
        <v/>
      </c>
      <c r="AN228" s="23" t="str">
        <f>IFERROR(__xludf.DUMMYFUNCTION("if(countif(filter(Status!$C:$C,Status!$A:$A=$A228),CONCATENATE(AN$2,""*""))&gt;0,countif(filter(Status!$C:$C,Status!$A:$A=$A228),CONCATENATE(AN$2,""*"")),"""")"),"")</f>
        <v/>
      </c>
      <c r="AO228" s="23" t="str">
        <f>IFERROR(__xludf.DUMMYFUNCTION("if(countif(filter(Status!$C:$C,Status!$A:$A=$A228),CONCATENATE(AO$2,""*""))&gt;0,countif(filter(Status!$C:$C,Status!$A:$A=$A228),CONCATENATE(AO$2,""*"")),"""")"),"")</f>
        <v/>
      </c>
      <c r="AP228" s="23">
        <f>IFERROR(__xludf.DUMMYFUNCTION("counta(iferror(filter(Status!C:C,Status!A:A=A228)))"),0.0)</f>
        <v>0</v>
      </c>
      <c r="AQ228" s="23">
        <f t="shared" si="6"/>
        <v>0</v>
      </c>
    </row>
    <row r="229">
      <c r="A229" s="1" t="s">
        <v>1400</v>
      </c>
      <c r="B229" s="25" t="str">
        <f>IFERROR(__xludf.DUMMYFUNCTION("max(filter(Status!E:E,Status!A:A=A229))"),"#N/A")</f>
        <v>#N/A</v>
      </c>
      <c r="C229" s="23" t="str">
        <f t="shared" si="1"/>
        <v/>
      </c>
      <c r="D229" s="23" t="str">
        <f t="shared" si="2"/>
        <v/>
      </c>
      <c r="E229" s="23" t="str">
        <f t="shared" si="3"/>
        <v/>
      </c>
      <c r="F229" s="23" t="str">
        <f t="shared" si="4"/>
        <v/>
      </c>
      <c r="G229" s="25" t="str">
        <f t="shared" si="5"/>
        <v/>
      </c>
      <c r="J229" s="23">
        <f>IFERROR(__xludf.DUMMYFUNCTION("COUNTA(iferror(filter(Status!H:H,Status!A:A=A229)))"),0.0)</f>
        <v>0</v>
      </c>
      <c r="K229" s="25">
        <f>IFERROR(__xludf.DUMMYFUNCTION("COUNTA(iferror(filter(Status!H:H,Status!A:A=A229,Status!H:H=TRUE)))"),0.0)</f>
        <v>0</v>
      </c>
      <c r="L229" s="23">
        <f>IFERROR(__xludf.DUMMYFUNCTION("COUNTA(iferror(filter(Status!L:L,Status!A:A=A229)))"),0.0)</f>
        <v>0</v>
      </c>
      <c r="M229" s="25">
        <f>IFERROR(__xludf.DUMMYFUNCTION("COUNTA(iferror(filter(Status!L:L,Status!A:A=A229,Status!L:L=TRUE)))"),0.0)</f>
        <v>0</v>
      </c>
      <c r="N229" s="23">
        <f>IFERROR(__xludf.DUMMYFUNCTION("COUNTA(iferror(filter(Status!N:N,Status!A:A=A229,Status!N:N=TRUE)))"),0.0)</f>
        <v>0</v>
      </c>
      <c r="O229" s="25">
        <f>IFERROR(__xludf.DUMMYFUNCTION("COUNTA(iferror(filter(Status!N:N,Status!A:A=A229,Status!N:N=TRUE)))"),0.0)</f>
        <v>0</v>
      </c>
      <c r="P229" s="23">
        <f>IFERROR(__xludf.DUMMYFUNCTION("COUNTA(iferror(filter(Status!P:P,Status!A:A=A229)))"),0.0)</f>
        <v>0</v>
      </c>
      <c r="Q229" s="25">
        <f>IFERROR(__xludf.DUMMYFUNCTION("COUNTA(iferror(filter(Status!P:P,Status!A:A=A229,Status!P:P=TRUE)))"),0.0)</f>
        <v>0</v>
      </c>
      <c r="R229" s="23">
        <f>IFERROR(__xludf.DUMMYFUNCTION("COUNTA(iferror(filter(Status!R:R,Status!A:A=A229)))"),0.0)</f>
        <v>0</v>
      </c>
      <c r="S229" s="25">
        <f>IFERROR(__xludf.DUMMYFUNCTION("COUNTA(iferror(filter(Status!R:R,Status!A:A=A229,Status!R:R=TRUE)))"),0.0)</f>
        <v>0</v>
      </c>
      <c r="V229" s="23" t="str">
        <f>IFERROR(__xludf.DUMMYFUNCTION("if((countif(filter(Status!$C:$C,Status!$A:$A=$A229),CONCATENATE(V$2,""*""))-W229)&gt;0,(countif(filter(Status!$C:$C,Status!$A:$A=$A229),CONCATENATE(V$2,""*""))-W229),"""")"),"")</f>
        <v/>
      </c>
      <c r="W229" s="23" t="str">
        <f>IFERROR(__xludf.DUMMYFUNCTION("if(countif(filter(Status!$C:$C,Status!$A:$A=$A229),CONCATENATE(W$2,""*""))&gt;0,countif(filter(Status!$C:$C,Status!$A:$A=$A229),CONCATENATE(W$2,""*"")),"""")"),"")</f>
        <v/>
      </c>
      <c r="X229" s="23" t="str">
        <f>IFERROR(__xludf.DUMMYFUNCTION("if(countif(filter(Status!$C:$C,Status!$A:$A=$A229),CONCATENATE(X$2,""*""))&gt;0,countif(filter(Status!$C:$C,Status!$A:$A=$A229),CONCATENATE(X$2,""*"")),"""")"),"")</f>
        <v/>
      </c>
      <c r="Y229" s="23" t="str">
        <f>IFERROR(__xludf.DUMMYFUNCTION("if(countif(filter(Status!$C:$C,Status!$A:$A=$A229),CONCATENATE(Y$2,""*""))&gt;0,countif(filter(Status!$C:$C,Status!$A:$A=$A229),CONCATENATE(Y$2,""*"")),"""")"),"")</f>
        <v/>
      </c>
      <c r="Z229" s="23" t="str">
        <f>IFERROR(__xludf.DUMMYFUNCTION("if(countif(filter(Status!$C:$C,Status!$A:$A=$A229),CONCATENATE(Z$2,""*""))&gt;0,countif(filter(Status!$C:$C,Status!$A:$A=$A229),CONCATENATE(Z$2,""*"")),"""")"),"")</f>
        <v/>
      </c>
      <c r="AA229" s="23" t="str">
        <f>IFERROR(__xludf.DUMMYFUNCTION("if((countif(filter(Status!$C:$C,Status!$A:$A=$A229),CONCATENATE(AA$2,""*""))-AB229)&gt;0,(countif(filter(Status!$C:$C,Status!$A:$A=$A229),CONCATENATE(AA$2,""*""))-AB229),"""")"),"")</f>
        <v/>
      </c>
      <c r="AB229" s="23" t="str">
        <f>IFERROR(__xludf.DUMMYFUNCTION("if(countif(filter(Status!$C:$C,Status!$A:$A=$A229),CONCATENATE(AB$2,""*""))&gt;0,countif(filter(Status!$C:$C,Status!$A:$A=$A229),CONCATENATE(AB$2,""*"")),"""")"),"")</f>
        <v/>
      </c>
      <c r="AC229" s="23" t="str">
        <f>IFERROR(__xludf.DUMMYFUNCTION("if(countif(filter(Status!$C:$C,Status!$A:$A=$A229),CONCATENATE(AC$2,""*""))&gt;0,countif(filter(Status!$C:$C,Status!$A:$A=$A229),CONCATENATE(AC$2,""*"")),"""")"),"")</f>
        <v/>
      </c>
      <c r="AD229" s="23" t="str">
        <f>IFERROR(__xludf.DUMMYFUNCTION("if(countif(filter(Status!$C:$C,Status!$A:$A=$A229),CONCATENATE(AD$2,""*""))&gt;0,countif(filter(Status!$C:$C,Status!$A:$A=$A229),CONCATENATE(AD$2,""*"")),"""")"),"")</f>
        <v/>
      </c>
      <c r="AE229" s="23" t="str">
        <f>IFERROR(__xludf.DUMMYFUNCTION("if(countif(filter(Status!$C:$C,Status!$A:$A=$A229),CONCATENATE(AE$2,""*""))&gt;0,countif(filter(Status!$C:$C,Status!$A:$A=$A229),CONCATENATE(AE$2,""*"")),"""")"),"")</f>
        <v/>
      </c>
      <c r="AF229" s="23" t="str">
        <f>IFERROR(__xludf.DUMMYFUNCTION("if(countif(filter(Status!$C:$C,Status!$A:$A=$A229),CONCATENATE(AF$2,""*""))&gt;0,countif(filter(Status!$C:$C,Status!$A:$A=$A229),CONCATENATE(AF$2,""*"")),"""")"),"")</f>
        <v/>
      </c>
      <c r="AG229" s="23" t="str">
        <f>IFERROR(__xludf.DUMMYFUNCTION("if(countif(filter(Status!$C:$C,Status!$A:$A=$A229),CONCATENATE(AG$2,""*""))&gt;0,countif(filter(Status!$C:$C,Status!$A:$A=$A229),CONCATENATE(AG$2,""*"")),"""")"),"")</f>
        <v/>
      </c>
      <c r="AH229" s="23" t="str">
        <f>IFERROR(__xludf.DUMMYFUNCTION("if(countif(filter(Status!$C:$C,Status!$A:$A=$A229),CONCATENATE(AH$2,""*""))&gt;0,countif(filter(Status!$C:$C,Status!$A:$A=$A229),CONCATENATE(AH$2,""*"")),"""")"),"")</f>
        <v/>
      </c>
      <c r="AI229" s="23" t="str">
        <f>IFERROR(__xludf.DUMMYFUNCTION("if(countif(filter(Status!$C:$C,Status!$A:$A=$A229),CONCATENATE(AI$2,""*""))&gt;0,countif(filter(Status!$C:$C,Status!$A:$A=$A229),CONCATENATE(AI$2,""*"")),"""")"),"")</f>
        <v/>
      </c>
      <c r="AJ229" s="23" t="str">
        <f>IFERROR(__xludf.DUMMYFUNCTION("if(countif(filter(Status!$C:$C,Status!$A:$A=$A229),CONCATENATE(AJ$2,""*""))&gt;0,countif(filter(Status!$C:$C,Status!$A:$A=$A229),CONCATENATE(AJ$2,""*"")),"""")"),"")</f>
        <v/>
      </c>
      <c r="AK229" s="23" t="str">
        <f>IFERROR(__xludf.DUMMYFUNCTION("if(countif(filter(Status!$C:$C,Status!$A:$A=$A229),CONCATENATE(AK$2,""*""))&gt;0,countif(filter(Status!$C:$C,Status!$A:$A=$A229),CONCATENATE(AK$2,""*"")),"""")"),"")</f>
        <v/>
      </c>
      <c r="AL229" s="23" t="str">
        <f>IFERROR(__xludf.DUMMYFUNCTION("if(countif(filter(Status!$C:$C,Status!$A:$A=$A229),CONCATENATE(AL$2,""*""))&gt;0,countif(filter(Status!$C:$C,Status!$A:$A=$A229),CONCATENATE(AL$2,""*"")),"""")"),"")</f>
        <v/>
      </c>
      <c r="AM229" s="23" t="str">
        <f>IFERROR(__xludf.DUMMYFUNCTION("if(countif(filter(Status!$C:$C,Status!$A:$A=$A229),CONCATENATE(AM$2,""*""))&gt;0,countif(filter(Status!$C:$C,Status!$A:$A=$A229),CONCATENATE(AM$2,""*"")),"""")"),"")</f>
        <v/>
      </c>
      <c r="AN229" s="23" t="str">
        <f>IFERROR(__xludf.DUMMYFUNCTION("if(countif(filter(Status!$C:$C,Status!$A:$A=$A229),CONCATENATE(AN$2,""*""))&gt;0,countif(filter(Status!$C:$C,Status!$A:$A=$A229),CONCATENATE(AN$2,""*"")),"""")"),"")</f>
        <v/>
      </c>
      <c r="AO229" s="23" t="str">
        <f>IFERROR(__xludf.DUMMYFUNCTION("if(countif(filter(Status!$C:$C,Status!$A:$A=$A229),CONCATENATE(AO$2,""*""))&gt;0,countif(filter(Status!$C:$C,Status!$A:$A=$A229),CONCATENATE(AO$2,""*"")),"""")"),"")</f>
        <v/>
      </c>
      <c r="AP229" s="23">
        <f>IFERROR(__xludf.DUMMYFUNCTION("counta(iferror(filter(Status!C:C,Status!A:A=A229)))"),0.0)</f>
        <v>0</v>
      </c>
      <c r="AQ229" s="23">
        <f t="shared" si="6"/>
        <v>0</v>
      </c>
    </row>
    <row r="230">
      <c r="A230" s="1" t="s">
        <v>1403</v>
      </c>
      <c r="B230" s="25" t="str">
        <f>IFERROR(__xludf.DUMMYFUNCTION("max(filter(Status!E:E,Status!A:A=A230))"),"#N/A")</f>
        <v>#N/A</v>
      </c>
      <c r="C230" s="23" t="str">
        <f t="shared" si="1"/>
        <v/>
      </c>
      <c r="D230" s="23" t="str">
        <f t="shared" si="2"/>
        <v/>
      </c>
      <c r="E230" s="23" t="str">
        <f t="shared" si="3"/>
        <v/>
      </c>
      <c r="F230" s="23" t="str">
        <f t="shared" si="4"/>
        <v/>
      </c>
      <c r="G230" s="25" t="str">
        <f t="shared" si="5"/>
        <v/>
      </c>
      <c r="J230" s="23">
        <f>IFERROR(__xludf.DUMMYFUNCTION("COUNTA(iferror(filter(Status!H:H,Status!A:A=A230)))"),0.0)</f>
        <v>0</v>
      </c>
      <c r="K230" s="25">
        <f>IFERROR(__xludf.DUMMYFUNCTION("COUNTA(iferror(filter(Status!H:H,Status!A:A=A230,Status!H:H=TRUE)))"),0.0)</f>
        <v>0</v>
      </c>
      <c r="L230" s="23">
        <f>IFERROR(__xludf.DUMMYFUNCTION("COUNTA(iferror(filter(Status!L:L,Status!A:A=A230)))"),0.0)</f>
        <v>0</v>
      </c>
      <c r="M230" s="25">
        <f>IFERROR(__xludf.DUMMYFUNCTION("COUNTA(iferror(filter(Status!L:L,Status!A:A=A230,Status!L:L=TRUE)))"),0.0)</f>
        <v>0</v>
      </c>
      <c r="N230" s="23">
        <f>IFERROR(__xludf.DUMMYFUNCTION("COUNTA(iferror(filter(Status!N:N,Status!A:A=A230,Status!N:N=TRUE)))"),0.0)</f>
        <v>0</v>
      </c>
      <c r="O230" s="25">
        <f>IFERROR(__xludf.DUMMYFUNCTION("COUNTA(iferror(filter(Status!N:N,Status!A:A=A230,Status!N:N=TRUE)))"),0.0)</f>
        <v>0</v>
      </c>
      <c r="P230" s="23">
        <f>IFERROR(__xludf.DUMMYFUNCTION("COUNTA(iferror(filter(Status!P:P,Status!A:A=A230)))"),0.0)</f>
        <v>0</v>
      </c>
      <c r="Q230" s="25">
        <f>IFERROR(__xludf.DUMMYFUNCTION("COUNTA(iferror(filter(Status!P:P,Status!A:A=A230,Status!P:P=TRUE)))"),0.0)</f>
        <v>0</v>
      </c>
      <c r="R230" s="23">
        <f>IFERROR(__xludf.DUMMYFUNCTION("COUNTA(iferror(filter(Status!R:R,Status!A:A=A230)))"),0.0)</f>
        <v>0</v>
      </c>
      <c r="S230" s="25">
        <f>IFERROR(__xludf.DUMMYFUNCTION("COUNTA(iferror(filter(Status!R:R,Status!A:A=A230,Status!R:R=TRUE)))"),0.0)</f>
        <v>0</v>
      </c>
      <c r="V230" s="23" t="str">
        <f>IFERROR(__xludf.DUMMYFUNCTION("if((countif(filter(Status!$C:$C,Status!$A:$A=$A230),CONCATENATE(V$2,""*""))-W230)&gt;0,(countif(filter(Status!$C:$C,Status!$A:$A=$A230),CONCATENATE(V$2,""*""))-W230),"""")"),"")</f>
        <v/>
      </c>
      <c r="W230" s="23" t="str">
        <f>IFERROR(__xludf.DUMMYFUNCTION("if(countif(filter(Status!$C:$C,Status!$A:$A=$A230),CONCATENATE(W$2,""*""))&gt;0,countif(filter(Status!$C:$C,Status!$A:$A=$A230),CONCATENATE(W$2,""*"")),"""")"),"")</f>
        <v/>
      </c>
      <c r="X230" s="23" t="str">
        <f>IFERROR(__xludf.DUMMYFUNCTION("if(countif(filter(Status!$C:$C,Status!$A:$A=$A230),CONCATENATE(X$2,""*""))&gt;0,countif(filter(Status!$C:$C,Status!$A:$A=$A230),CONCATENATE(X$2,""*"")),"""")"),"")</f>
        <v/>
      </c>
      <c r="Y230" s="23" t="str">
        <f>IFERROR(__xludf.DUMMYFUNCTION("if(countif(filter(Status!$C:$C,Status!$A:$A=$A230),CONCATENATE(Y$2,""*""))&gt;0,countif(filter(Status!$C:$C,Status!$A:$A=$A230),CONCATENATE(Y$2,""*"")),"""")"),"")</f>
        <v/>
      </c>
      <c r="Z230" s="23" t="str">
        <f>IFERROR(__xludf.DUMMYFUNCTION("if(countif(filter(Status!$C:$C,Status!$A:$A=$A230),CONCATENATE(Z$2,""*""))&gt;0,countif(filter(Status!$C:$C,Status!$A:$A=$A230),CONCATENATE(Z$2,""*"")),"""")"),"")</f>
        <v/>
      </c>
      <c r="AA230" s="23" t="str">
        <f>IFERROR(__xludf.DUMMYFUNCTION("if((countif(filter(Status!$C:$C,Status!$A:$A=$A230),CONCATENATE(AA$2,""*""))-AB230)&gt;0,(countif(filter(Status!$C:$C,Status!$A:$A=$A230),CONCATENATE(AA$2,""*""))-AB230),"""")"),"")</f>
        <v/>
      </c>
      <c r="AB230" s="23" t="str">
        <f>IFERROR(__xludf.DUMMYFUNCTION("if(countif(filter(Status!$C:$C,Status!$A:$A=$A230),CONCATENATE(AB$2,""*""))&gt;0,countif(filter(Status!$C:$C,Status!$A:$A=$A230),CONCATENATE(AB$2,""*"")),"""")"),"")</f>
        <v/>
      </c>
      <c r="AC230" s="23" t="str">
        <f>IFERROR(__xludf.DUMMYFUNCTION("if(countif(filter(Status!$C:$C,Status!$A:$A=$A230),CONCATENATE(AC$2,""*""))&gt;0,countif(filter(Status!$C:$C,Status!$A:$A=$A230),CONCATENATE(AC$2,""*"")),"""")"),"")</f>
        <v/>
      </c>
      <c r="AD230" s="23" t="str">
        <f>IFERROR(__xludf.DUMMYFUNCTION("if(countif(filter(Status!$C:$C,Status!$A:$A=$A230),CONCATENATE(AD$2,""*""))&gt;0,countif(filter(Status!$C:$C,Status!$A:$A=$A230),CONCATENATE(AD$2,""*"")),"""")"),"")</f>
        <v/>
      </c>
      <c r="AE230" s="23" t="str">
        <f>IFERROR(__xludf.DUMMYFUNCTION("if(countif(filter(Status!$C:$C,Status!$A:$A=$A230),CONCATENATE(AE$2,""*""))&gt;0,countif(filter(Status!$C:$C,Status!$A:$A=$A230),CONCATENATE(AE$2,""*"")),"""")"),"")</f>
        <v/>
      </c>
      <c r="AF230" s="23" t="str">
        <f>IFERROR(__xludf.DUMMYFUNCTION("if(countif(filter(Status!$C:$C,Status!$A:$A=$A230),CONCATENATE(AF$2,""*""))&gt;0,countif(filter(Status!$C:$C,Status!$A:$A=$A230),CONCATENATE(AF$2,""*"")),"""")"),"")</f>
        <v/>
      </c>
      <c r="AG230" s="23" t="str">
        <f>IFERROR(__xludf.DUMMYFUNCTION("if(countif(filter(Status!$C:$C,Status!$A:$A=$A230),CONCATENATE(AG$2,""*""))&gt;0,countif(filter(Status!$C:$C,Status!$A:$A=$A230),CONCATENATE(AG$2,""*"")),"""")"),"")</f>
        <v/>
      </c>
      <c r="AH230" s="23" t="str">
        <f>IFERROR(__xludf.DUMMYFUNCTION("if(countif(filter(Status!$C:$C,Status!$A:$A=$A230),CONCATENATE(AH$2,""*""))&gt;0,countif(filter(Status!$C:$C,Status!$A:$A=$A230),CONCATENATE(AH$2,""*"")),"""")"),"")</f>
        <v/>
      </c>
      <c r="AI230" s="23" t="str">
        <f>IFERROR(__xludf.DUMMYFUNCTION("if(countif(filter(Status!$C:$C,Status!$A:$A=$A230),CONCATENATE(AI$2,""*""))&gt;0,countif(filter(Status!$C:$C,Status!$A:$A=$A230),CONCATENATE(AI$2,""*"")),"""")"),"")</f>
        <v/>
      </c>
      <c r="AJ230" s="23" t="str">
        <f>IFERROR(__xludf.DUMMYFUNCTION("if(countif(filter(Status!$C:$C,Status!$A:$A=$A230),CONCATENATE(AJ$2,""*""))&gt;0,countif(filter(Status!$C:$C,Status!$A:$A=$A230),CONCATENATE(AJ$2,""*"")),"""")"),"")</f>
        <v/>
      </c>
      <c r="AK230" s="23" t="str">
        <f>IFERROR(__xludf.DUMMYFUNCTION("if(countif(filter(Status!$C:$C,Status!$A:$A=$A230),CONCATENATE(AK$2,""*""))&gt;0,countif(filter(Status!$C:$C,Status!$A:$A=$A230),CONCATENATE(AK$2,""*"")),"""")"),"")</f>
        <v/>
      </c>
      <c r="AL230" s="23" t="str">
        <f>IFERROR(__xludf.DUMMYFUNCTION("if(countif(filter(Status!$C:$C,Status!$A:$A=$A230),CONCATENATE(AL$2,""*""))&gt;0,countif(filter(Status!$C:$C,Status!$A:$A=$A230),CONCATENATE(AL$2,""*"")),"""")"),"")</f>
        <v/>
      </c>
      <c r="AM230" s="23" t="str">
        <f>IFERROR(__xludf.DUMMYFUNCTION("if(countif(filter(Status!$C:$C,Status!$A:$A=$A230),CONCATENATE(AM$2,""*""))&gt;0,countif(filter(Status!$C:$C,Status!$A:$A=$A230),CONCATENATE(AM$2,""*"")),"""")"),"")</f>
        <v/>
      </c>
      <c r="AN230" s="23" t="str">
        <f>IFERROR(__xludf.DUMMYFUNCTION("if(countif(filter(Status!$C:$C,Status!$A:$A=$A230),CONCATENATE(AN$2,""*""))&gt;0,countif(filter(Status!$C:$C,Status!$A:$A=$A230),CONCATENATE(AN$2,""*"")),"""")"),"")</f>
        <v/>
      </c>
      <c r="AO230" s="23" t="str">
        <f>IFERROR(__xludf.DUMMYFUNCTION("if(countif(filter(Status!$C:$C,Status!$A:$A=$A230),CONCATENATE(AO$2,""*""))&gt;0,countif(filter(Status!$C:$C,Status!$A:$A=$A230),CONCATENATE(AO$2,""*"")),"""")"),"")</f>
        <v/>
      </c>
      <c r="AP230" s="23">
        <f>IFERROR(__xludf.DUMMYFUNCTION("counta(iferror(filter(Status!C:C,Status!A:A=A230)))"),0.0)</f>
        <v>0</v>
      </c>
      <c r="AQ230" s="23">
        <f t="shared" si="6"/>
        <v>0</v>
      </c>
    </row>
    <row r="231">
      <c r="A231" s="1" t="s">
        <v>1407</v>
      </c>
      <c r="B231" s="25" t="str">
        <f>IFERROR(__xludf.DUMMYFUNCTION("max(filter(Status!E:E,Status!A:A=A231))"),"#N/A")</f>
        <v>#N/A</v>
      </c>
      <c r="C231" s="23" t="str">
        <f t="shared" si="1"/>
        <v/>
      </c>
      <c r="D231" s="23" t="str">
        <f t="shared" si="2"/>
        <v/>
      </c>
      <c r="E231" s="23" t="str">
        <f t="shared" si="3"/>
        <v/>
      </c>
      <c r="F231" s="23" t="str">
        <f t="shared" si="4"/>
        <v/>
      </c>
      <c r="G231" s="25" t="str">
        <f t="shared" si="5"/>
        <v/>
      </c>
      <c r="J231" s="23">
        <f>IFERROR(__xludf.DUMMYFUNCTION("COUNTA(iferror(filter(Status!H:H,Status!A:A=A231)))"),0.0)</f>
        <v>0</v>
      </c>
      <c r="K231" s="25">
        <f>IFERROR(__xludf.DUMMYFUNCTION("COUNTA(iferror(filter(Status!H:H,Status!A:A=A231,Status!H:H=TRUE)))"),0.0)</f>
        <v>0</v>
      </c>
      <c r="L231" s="23">
        <f>IFERROR(__xludf.DUMMYFUNCTION("COUNTA(iferror(filter(Status!L:L,Status!A:A=A231)))"),0.0)</f>
        <v>0</v>
      </c>
      <c r="M231" s="25">
        <f>IFERROR(__xludf.DUMMYFUNCTION("COUNTA(iferror(filter(Status!L:L,Status!A:A=A231,Status!L:L=TRUE)))"),0.0)</f>
        <v>0</v>
      </c>
      <c r="N231" s="23">
        <f>IFERROR(__xludf.DUMMYFUNCTION("COUNTA(iferror(filter(Status!N:N,Status!A:A=A231,Status!N:N=TRUE)))"),0.0)</f>
        <v>0</v>
      </c>
      <c r="O231" s="25">
        <f>IFERROR(__xludf.DUMMYFUNCTION("COUNTA(iferror(filter(Status!N:N,Status!A:A=A231,Status!N:N=TRUE)))"),0.0)</f>
        <v>0</v>
      </c>
      <c r="P231" s="23">
        <f>IFERROR(__xludf.DUMMYFUNCTION("COUNTA(iferror(filter(Status!P:P,Status!A:A=A231)))"),0.0)</f>
        <v>0</v>
      </c>
      <c r="Q231" s="25">
        <f>IFERROR(__xludf.DUMMYFUNCTION("COUNTA(iferror(filter(Status!P:P,Status!A:A=A231,Status!P:P=TRUE)))"),0.0)</f>
        <v>0</v>
      </c>
      <c r="R231" s="23">
        <f>IFERROR(__xludf.DUMMYFUNCTION("COUNTA(iferror(filter(Status!R:R,Status!A:A=A231)))"),0.0)</f>
        <v>0</v>
      </c>
      <c r="S231" s="25">
        <f>IFERROR(__xludf.DUMMYFUNCTION("COUNTA(iferror(filter(Status!R:R,Status!A:A=A231,Status!R:R=TRUE)))"),0.0)</f>
        <v>0</v>
      </c>
      <c r="V231" s="23" t="str">
        <f>IFERROR(__xludf.DUMMYFUNCTION("if((countif(filter(Status!$C:$C,Status!$A:$A=$A231),CONCATENATE(V$2,""*""))-W231)&gt;0,(countif(filter(Status!$C:$C,Status!$A:$A=$A231),CONCATENATE(V$2,""*""))-W231),"""")"),"")</f>
        <v/>
      </c>
      <c r="W231" s="23" t="str">
        <f>IFERROR(__xludf.DUMMYFUNCTION("if(countif(filter(Status!$C:$C,Status!$A:$A=$A231),CONCATENATE(W$2,""*""))&gt;0,countif(filter(Status!$C:$C,Status!$A:$A=$A231),CONCATENATE(W$2,""*"")),"""")"),"")</f>
        <v/>
      </c>
      <c r="X231" s="23" t="str">
        <f>IFERROR(__xludf.DUMMYFUNCTION("if(countif(filter(Status!$C:$C,Status!$A:$A=$A231),CONCATENATE(X$2,""*""))&gt;0,countif(filter(Status!$C:$C,Status!$A:$A=$A231),CONCATENATE(X$2,""*"")),"""")"),"")</f>
        <v/>
      </c>
      <c r="Y231" s="23" t="str">
        <f>IFERROR(__xludf.DUMMYFUNCTION("if(countif(filter(Status!$C:$C,Status!$A:$A=$A231),CONCATENATE(Y$2,""*""))&gt;0,countif(filter(Status!$C:$C,Status!$A:$A=$A231),CONCATENATE(Y$2,""*"")),"""")"),"")</f>
        <v/>
      </c>
      <c r="Z231" s="23" t="str">
        <f>IFERROR(__xludf.DUMMYFUNCTION("if(countif(filter(Status!$C:$C,Status!$A:$A=$A231),CONCATENATE(Z$2,""*""))&gt;0,countif(filter(Status!$C:$C,Status!$A:$A=$A231),CONCATENATE(Z$2,""*"")),"""")"),"")</f>
        <v/>
      </c>
      <c r="AA231" s="23" t="str">
        <f>IFERROR(__xludf.DUMMYFUNCTION("if((countif(filter(Status!$C:$C,Status!$A:$A=$A231),CONCATENATE(AA$2,""*""))-AB231)&gt;0,(countif(filter(Status!$C:$C,Status!$A:$A=$A231),CONCATENATE(AA$2,""*""))-AB231),"""")"),"")</f>
        <v/>
      </c>
      <c r="AB231" s="23" t="str">
        <f>IFERROR(__xludf.DUMMYFUNCTION("if(countif(filter(Status!$C:$C,Status!$A:$A=$A231),CONCATENATE(AB$2,""*""))&gt;0,countif(filter(Status!$C:$C,Status!$A:$A=$A231),CONCATENATE(AB$2,""*"")),"""")"),"")</f>
        <v/>
      </c>
      <c r="AC231" s="23" t="str">
        <f>IFERROR(__xludf.DUMMYFUNCTION("if(countif(filter(Status!$C:$C,Status!$A:$A=$A231),CONCATENATE(AC$2,""*""))&gt;0,countif(filter(Status!$C:$C,Status!$A:$A=$A231),CONCATENATE(AC$2,""*"")),"""")"),"")</f>
        <v/>
      </c>
      <c r="AD231" s="23" t="str">
        <f>IFERROR(__xludf.DUMMYFUNCTION("if(countif(filter(Status!$C:$C,Status!$A:$A=$A231),CONCATENATE(AD$2,""*""))&gt;0,countif(filter(Status!$C:$C,Status!$A:$A=$A231),CONCATENATE(AD$2,""*"")),"""")"),"")</f>
        <v/>
      </c>
      <c r="AE231" s="23" t="str">
        <f>IFERROR(__xludf.DUMMYFUNCTION("if(countif(filter(Status!$C:$C,Status!$A:$A=$A231),CONCATENATE(AE$2,""*""))&gt;0,countif(filter(Status!$C:$C,Status!$A:$A=$A231),CONCATENATE(AE$2,""*"")),"""")"),"")</f>
        <v/>
      </c>
      <c r="AF231" s="23" t="str">
        <f>IFERROR(__xludf.DUMMYFUNCTION("if(countif(filter(Status!$C:$C,Status!$A:$A=$A231),CONCATENATE(AF$2,""*""))&gt;0,countif(filter(Status!$C:$C,Status!$A:$A=$A231),CONCATENATE(AF$2,""*"")),"""")"),"")</f>
        <v/>
      </c>
      <c r="AG231" s="23" t="str">
        <f>IFERROR(__xludf.DUMMYFUNCTION("if(countif(filter(Status!$C:$C,Status!$A:$A=$A231),CONCATENATE(AG$2,""*""))&gt;0,countif(filter(Status!$C:$C,Status!$A:$A=$A231),CONCATENATE(AG$2,""*"")),"""")"),"")</f>
        <v/>
      </c>
      <c r="AH231" s="23" t="str">
        <f>IFERROR(__xludf.DUMMYFUNCTION("if(countif(filter(Status!$C:$C,Status!$A:$A=$A231),CONCATENATE(AH$2,""*""))&gt;0,countif(filter(Status!$C:$C,Status!$A:$A=$A231),CONCATENATE(AH$2,""*"")),"""")"),"")</f>
        <v/>
      </c>
      <c r="AI231" s="23" t="str">
        <f>IFERROR(__xludf.DUMMYFUNCTION("if(countif(filter(Status!$C:$C,Status!$A:$A=$A231),CONCATENATE(AI$2,""*""))&gt;0,countif(filter(Status!$C:$C,Status!$A:$A=$A231),CONCATENATE(AI$2,""*"")),"""")"),"")</f>
        <v/>
      </c>
      <c r="AJ231" s="23" t="str">
        <f>IFERROR(__xludf.DUMMYFUNCTION("if(countif(filter(Status!$C:$C,Status!$A:$A=$A231),CONCATENATE(AJ$2,""*""))&gt;0,countif(filter(Status!$C:$C,Status!$A:$A=$A231),CONCATENATE(AJ$2,""*"")),"""")"),"")</f>
        <v/>
      </c>
      <c r="AK231" s="23" t="str">
        <f>IFERROR(__xludf.DUMMYFUNCTION("if(countif(filter(Status!$C:$C,Status!$A:$A=$A231),CONCATENATE(AK$2,""*""))&gt;0,countif(filter(Status!$C:$C,Status!$A:$A=$A231),CONCATENATE(AK$2,""*"")),"""")"),"")</f>
        <v/>
      </c>
      <c r="AL231" s="23" t="str">
        <f>IFERROR(__xludf.DUMMYFUNCTION("if(countif(filter(Status!$C:$C,Status!$A:$A=$A231),CONCATENATE(AL$2,""*""))&gt;0,countif(filter(Status!$C:$C,Status!$A:$A=$A231),CONCATENATE(AL$2,""*"")),"""")"),"")</f>
        <v/>
      </c>
      <c r="AM231" s="23" t="str">
        <f>IFERROR(__xludf.DUMMYFUNCTION("if(countif(filter(Status!$C:$C,Status!$A:$A=$A231),CONCATENATE(AM$2,""*""))&gt;0,countif(filter(Status!$C:$C,Status!$A:$A=$A231),CONCATENATE(AM$2,""*"")),"""")"),"")</f>
        <v/>
      </c>
      <c r="AN231" s="23" t="str">
        <f>IFERROR(__xludf.DUMMYFUNCTION("if(countif(filter(Status!$C:$C,Status!$A:$A=$A231),CONCATENATE(AN$2,""*""))&gt;0,countif(filter(Status!$C:$C,Status!$A:$A=$A231),CONCATENATE(AN$2,""*"")),"""")"),"")</f>
        <v/>
      </c>
      <c r="AO231" s="23" t="str">
        <f>IFERROR(__xludf.DUMMYFUNCTION("if(countif(filter(Status!$C:$C,Status!$A:$A=$A231),CONCATENATE(AO$2,""*""))&gt;0,countif(filter(Status!$C:$C,Status!$A:$A=$A231),CONCATENATE(AO$2,""*"")),"""")"),"")</f>
        <v/>
      </c>
      <c r="AP231" s="23">
        <f>IFERROR(__xludf.DUMMYFUNCTION("counta(iferror(filter(Status!C:C,Status!A:A=A231)))"),0.0)</f>
        <v>0</v>
      </c>
      <c r="AQ231" s="23">
        <f t="shared" si="6"/>
        <v>0</v>
      </c>
    </row>
    <row r="232">
      <c r="A232" s="1" t="s">
        <v>1411</v>
      </c>
      <c r="B232" s="25" t="str">
        <f>IFERROR(__xludf.DUMMYFUNCTION("max(filter(Status!E:E,Status!A:A=A232))"),"#N/A")</f>
        <v>#N/A</v>
      </c>
      <c r="C232" s="23" t="str">
        <f t="shared" si="1"/>
        <v/>
      </c>
      <c r="D232" s="23" t="str">
        <f t="shared" si="2"/>
        <v/>
      </c>
      <c r="E232" s="23" t="str">
        <f t="shared" si="3"/>
        <v/>
      </c>
      <c r="F232" s="23" t="str">
        <f t="shared" si="4"/>
        <v/>
      </c>
      <c r="G232" s="25" t="str">
        <f t="shared" si="5"/>
        <v/>
      </c>
      <c r="J232" s="23">
        <f>IFERROR(__xludf.DUMMYFUNCTION("COUNTA(iferror(filter(Status!H:H,Status!A:A=A232)))"),0.0)</f>
        <v>0</v>
      </c>
      <c r="K232" s="25">
        <f>IFERROR(__xludf.DUMMYFUNCTION("COUNTA(iferror(filter(Status!H:H,Status!A:A=A232,Status!H:H=TRUE)))"),0.0)</f>
        <v>0</v>
      </c>
      <c r="L232" s="23">
        <f>IFERROR(__xludf.DUMMYFUNCTION("COUNTA(iferror(filter(Status!L:L,Status!A:A=A232)))"),0.0)</f>
        <v>0</v>
      </c>
      <c r="M232" s="25">
        <f>IFERROR(__xludf.DUMMYFUNCTION("COUNTA(iferror(filter(Status!L:L,Status!A:A=A232,Status!L:L=TRUE)))"),0.0)</f>
        <v>0</v>
      </c>
      <c r="N232" s="23">
        <f>IFERROR(__xludf.DUMMYFUNCTION("COUNTA(iferror(filter(Status!N:N,Status!A:A=A232,Status!N:N=TRUE)))"),0.0)</f>
        <v>0</v>
      </c>
      <c r="O232" s="25">
        <f>IFERROR(__xludf.DUMMYFUNCTION("COUNTA(iferror(filter(Status!N:N,Status!A:A=A232,Status!N:N=TRUE)))"),0.0)</f>
        <v>0</v>
      </c>
      <c r="P232" s="23">
        <f>IFERROR(__xludf.DUMMYFUNCTION("COUNTA(iferror(filter(Status!P:P,Status!A:A=A232)))"),0.0)</f>
        <v>0</v>
      </c>
      <c r="Q232" s="25">
        <f>IFERROR(__xludf.DUMMYFUNCTION("COUNTA(iferror(filter(Status!P:P,Status!A:A=A232,Status!P:P=TRUE)))"),0.0)</f>
        <v>0</v>
      </c>
      <c r="R232" s="23">
        <f>IFERROR(__xludf.DUMMYFUNCTION("COUNTA(iferror(filter(Status!R:R,Status!A:A=A232)))"),0.0)</f>
        <v>0</v>
      </c>
      <c r="S232" s="25">
        <f>IFERROR(__xludf.DUMMYFUNCTION("COUNTA(iferror(filter(Status!R:R,Status!A:A=A232,Status!R:R=TRUE)))"),0.0)</f>
        <v>0</v>
      </c>
      <c r="V232" s="23" t="str">
        <f>IFERROR(__xludf.DUMMYFUNCTION("if((countif(filter(Status!$C:$C,Status!$A:$A=$A232),CONCATENATE(V$2,""*""))-W232)&gt;0,(countif(filter(Status!$C:$C,Status!$A:$A=$A232),CONCATENATE(V$2,""*""))-W232),"""")"),"")</f>
        <v/>
      </c>
      <c r="W232" s="23" t="str">
        <f>IFERROR(__xludf.DUMMYFUNCTION("if(countif(filter(Status!$C:$C,Status!$A:$A=$A232),CONCATENATE(W$2,""*""))&gt;0,countif(filter(Status!$C:$C,Status!$A:$A=$A232),CONCATENATE(W$2,""*"")),"""")"),"")</f>
        <v/>
      </c>
      <c r="X232" s="23" t="str">
        <f>IFERROR(__xludf.DUMMYFUNCTION("if(countif(filter(Status!$C:$C,Status!$A:$A=$A232),CONCATENATE(X$2,""*""))&gt;0,countif(filter(Status!$C:$C,Status!$A:$A=$A232),CONCATENATE(X$2,""*"")),"""")"),"")</f>
        <v/>
      </c>
      <c r="Y232" s="23" t="str">
        <f>IFERROR(__xludf.DUMMYFUNCTION("if(countif(filter(Status!$C:$C,Status!$A:$A=$A232),CONCATENATE(Y$2,""*""))&gt;0,countif(filter(Status!$C:$C,Status!$A:$A=$A232),CONCATENATE(Y$2,""*"")),"""")"),"")</f>
        <v/>
      </c>
      <c r="Z232" s="23" t="str">
        <f>IFERROR(__xludf.DUMMYFUNCTION("if(countif(filter(Status!$C:$C,Status!$A:$A=$A232),CONCATENATE(Z$2,""*""))&gt;0,countif(filter(Status!$C:$C,Status!$A:$A=$A232),CONCATENATE(Z$2,""*"")),"""")"),"")</f>
        <v/>
      </c>
      <c r="AA232" s="23" t="str">
        <f>IFERROR(__xludf.DUMMYFUNCTION("if((countif(filter(Status!$C:$C,Status!$A:$A=$A232),CONCATENATE(AA$2,""*""))-AB232)&gt;0,(countif(filter(Status!$C:$C,Status!$A:$A=$A232),CONCATENATE(AA$2,""*""))-AB232),"""")"),"")</f>
        <v/>
      </c>
      <c r="AB232" s="23" t="str">
        <f>IFERROR(__xludf.DUMMYFUNCTION("if(countif(filter(Status!$C:$C,Status!$A:$A=$A232),CONCATENATE(AB$2,""*""))&gt;0,countif(filter(Status!$C:$C,Status!$A:$A=$A232),CONCATENATE(AB$2,""*"")),"""")"),"")</f>
        <v/>
      </c>
      <c r="AC232" s="23" t="str">
        <f>IFERROR(__xludf.DUMMYFUNCTION("if(countif(filter(Status!$C:$C,Status!$A:$A=$A232),CONCATENATE(AC$2,""*""))&gt;0,countif(filter(Status!$C:$C,Status!$A:$A=$A232),CONCATENATE(AC$2,""*"")),"""")"),"")</f>
        <v/>
      </c>
      <c r="AD232" s="23" t="str">
        <f>IFERROR(__xludf.DUMMYFUNCTION("if(countif(filter(Status!$C:$C,Status!$A:$A=$A232),CONCATENATE(AD$2,""*""))&gt;0,countif(filter(Status!$C:$C,Status!$A:$A=$A232),CONCATENATE(AD$2,""*"")),"""")"),"")</f>
        <v/>
      </c>
      <c r="AE232" s="23" t="str">
        <f>IFERROR(__xludf.DUMMYFUNCTION("if(countif(filter(Status!$C:$C,Status!$A:$A=$A232),CONCATENATE(AE$2,""*""))&gt;0,countif(filter(Status!$C:$C,Status!$A:$A=$A232),CONCATENATE(AE$2,""*"")),"""")"),"")</f>
        <v/>
      </c>
      <c r="AF232" s="23" t="str">
        <f>IFERROR(__xludf.DUMMYFUNCTION("if(countif(filter(Status!$C:$C,Status!$A:$A=$A232),CONCATENATE(AF$2,""*""))&gt;0,countif(filter(Status!$C:$C,Status!$A:$A=$A232),CONCATENATE(AF$2,""*"")),"""")"),"")</f>
        <v/>
      </c>
      <c r="AG232" s="23" t="str">
        <f>IFERROR(__xludf.DUMMYFUNCTION("if(countif(filter(Status!$C:$C,Status!$A:$A=$A232),CONCATENATE(AG$2,""*""))&gt;0,countif(filter(Status!$C:$C,Status!$A:$A=$A232),CONCATENATE(AG$2,""*"")),"""")"),"")</f>
        <v/>
      </c>
      <c r="AH232" s="23" t="str">
        <f>IFERROR(__xludf.DUMMYFUNCTION("if(countif(filter(Status!$C:$C,Status!$A:$A=$A232),CONCATENATE(AH$2,""*""))&gt;0,countif(filter(Status!$C:$C,Status!$A:$A=$A232),CONCATENATE(AH$2,""*"")),"""")"),"")</f>
        <v/>
      </c>
      <c r="AI232" s="23" t="str">
        <f>IFERROR(__xludf.DUMMYFUNCTION("if(countif(filter(Status!$C:$C,Status!$A:$A=$A232),CONCATENATE(AI$2,""*""))&gt;0,countif(filter(Status!$C:$C,Status!$A:$A=$A232),CONCATENATE(AI$2,""*"")),"""")"),"")</f>
        <v/>
      </c>
      <c r="AJ232" s="23" t="str">
        <f>IFERROR(__xludf.DUMMYFUNCTION("if(countif(filter(Status!$C:$C,Status!$A:$A=$A232),CONCATENATE(AJ$2,""*""))&gt;0,countif(filter(Status!$C:$C,Status!$A:$A=$A232),CONCATENATE(AJ$2,""*"")),"""")"),"")</f>
        <v/>
      </c>
      <c r="AK232" s="23" t="str">
        <f>IFERROR(__xludf.DUMMYFUNCTION("if(countif(filter(Status!$C:$C,Status!$A:$A=$A232),CONCATENATE(AK$2,""*""))&gt;0,countif(filter(Status!$C:$C,Status!$A:$A=$A232),CONCATENATE(AK$2,""*"")),"""")"),"")</f>
        <v/>
      </c>
      <c r="AL232" s="23" t="str">
        <f>IFERROR(__xludf.DUMMYFUNCTION("if(countif(filter(Status!$C:$C,Status!$A:$A=$A232),CONCATENATE(AL$2,""*""))&gt;0,countif(filter(Status!$C:$C,Status!$A:$A=$A232),CONCATENATE(AL$2,""*"")),"""")"),"")</f>
        <v/>
      </c>
      <c r="AM232" s="23" t="str">
        <f>IFERROR(__xludf.DUMMYFUNCTION("if(countif(filter(Status!$C:$C,Status!$A:$A=$A232),CONCATENATE(AM$2,""*""))&gt;0,countif(filter(Status!$C:$C,Status!$A:$A=$A232),CONCATENATE(AM$2,""*"")),"""")"),"")</f>
        <v/>
      </c>
      <c r="AN232" s="23" t="str">
        <f>IFERROR(__xludf.DUMMYFUNCTION("if(countif(filter(Status!$C:$C,Status!$A:$A=$A232),CONCATENATE(AN$2,""*""))&gt;0,countif(filter(Status!$C:$C,Status!$A:$A=$A232),CONCATENATE(AN$2,""*"")),"""")"),"")</f>
        <v/>
      </c>
      <c r="AO232" s="23" t="str">
        <f>IFERROR(__xludf.DUMMYFUNCTION("if(countif(filter(Status!$C:$C,Status!$A:$A=$A232),CONCATENATE(AO$2,""*""))&gt;0,countif(filter(Status!$C:$C,Status!$A:$A=$A232),CONCATENATE(AO$2,""*"")),"""")"),"")</f>
        <v/>
      </c>
      <c r="AP232" s="23">
        <f>IFERROR(__xludf.DUMMYFUNCTION("counta(iferror(filter(Status!C:C,Status!A:A=A232)))"),0.0)</f>
        <v>0</v>
      </c>
      <c r="AQ232" s="23">
        <f t="shared" si="6"/>
        <v>0</v>
      </c>
    </row>
    <row r="233">
      <c r="A233" s="1" t="s">
        <v>1413</v>
      </c>
      <c r="B233" s="25" t="str">
        <f>IFERROR(__xludf.DUMMYFUNCTION("max(filter(Status!E:E,Status!A:A=A233))"),"#N/A")</f>
        <v>#N/A</v>
      </c>
      <c r="C233" s="23" t="str">
        <f t="shared" si="1"/>
        <v/>
      </c>
      <c r="D233" s="23" t="str">
        <f t="shared" si="2"/>
        <v/>
      </c>
      <c r="E233" s="23" t="str">
        <f t="shared" si="3"/>
        <v/>
      </c>
      <c r="F233" s="23" t="str">
        <f t="shared" si="4"/>
        <v/>
      </c>
      <c r="G233" s="25" t="str">
        <f t="shared" si="5"/>
        <v/>
      </c>
      <c r="J233" s="23">
        <f>IFERROR(__xludf.DUMMYFUNCTION("COUNTA(iferror(filter(Status!H:H,Status!A:A=A233)))"),0.0)</f>
        <v>0</v>
      </c>
      <c r="K233" s="25">
        <f>IFERROR(__xludf.DUMMYFUNCTION("COUNTA(iferror(filter(Status!H:H,Status!A:A=A233,Status!H:H=TRUE)))"),0.0)</f>
        <v>0</v>
      </c>
      <c r="L233" s="23">
        <f>IFERROR(__xludf.DUMMYFUNCTION("COUNTA(iferror(filter(Status!L:L,Status!A:A=A233)))"),0.0)</f>
        <v>0</v>
      </c>
      <c r="M233" s="25">
        <f>IFERROR(__xludf.DUMMYFUNCTION("COUNTA(iferror(filter(Status!L:L,Status!A:A=A233,Status!L:L=TRUE)))"),0.0)</f>
        <v>0</v>
      </c>
      <c r="N233" s="23">
        <f>IFERROR(__xludf.DUMMYFUNCTION("COUNTA(iferror(filter(Status!N:N,Status!A:A=A233,Status!N:N=TRUE)))"),0.0)</f>
        <v>0</v>
      </c>
      <c r="O233" s="25">
        <f>IFERROR(__xludf.DUMMYFUNCTION("COUNTA(iferror(filter(Status!N:N,Status!A:A=A233,Status!N:N=TRUE)))"),0.0)</f>
        <v>0</v>
      </c>
      <c r="P233" s="23">
        <f>IFERROR(__xludf.DUMMYFUNCTION("COUNTA(iferror(filter(Status!P:P,Status!A:A=A233)))"),0.0)</f>
        <v>0</v>
      </c>
      <c r="Q233" s="25">
        <f>IFERROR(__xludf.DUMMYFUNCTION("COUNTA(iferror(filter(Status!P:P,Status!A:A=A233,Status!P:P=TRUE)))"),0.0)</f>
        <v>0</v>
      </c>
      <c r="R233" s="23">
        <f>IFERROR(__xludf.DUMMYFUNCTION("COUNTA(iferror(filter(Status!R:R,Status!A:A=A233)))"),0.0)</f>
        <v>0</v>
      </c>
      <c r="S233" s="25">
        <f>IFERROR(__xludf.DUMMYFUNCTION("COUNTA(iferror(filter(Status!R:R,Status!A:A=A233,Status!R:R=TRUE)))"),0.0)</f>
        <v>0</v>
      </c>
      <c r="V233" s="23" t="str">
        <f>IFERROR(__xludf.DUMMYFUNCTION("if((countif(filter(Status!$C:$C,Status!$A:$A=$A233),CONCATENATE(V$2,""*""))-W233)&gt;0,(countif(filter(Status!$C:$C,Status!$A:$A=$A233),CONCATENATE(V$2,""*""))-W233),"""")"),"")</f>
        <v/>
      </c>
      <c r="W233" s="23" t="str">
        <f>IFERROR(__xludf.DUMMYFUNCTION("if(countif(filter(Status!$C:$C,Status!$A:$A=$A233),CONCATENATE(W$2,""*""))&gt;0,countif(filter(Status!$C:$C,Status!$A:$A=$A233),CONCATENATE(W$2,""*"")),"""")"),"")</f>
        <v/>
      </c>
      <c r="X233" s="23" t="str">
        <f>IFERROR(__xludf.DUMMYFUNCTION("if(countif(filter(Status!$C:$C,Status!$A:$A=$A233),CONCATENATE(X$2,""*""))&gt;0,countif(filter(Status!$C:$C,Status!$A:$A=$A233),CONCATENATE(X$2,""*"")),"""")"),"")</f>
        <v/>
      </c>
      <c r="Y233" s="23" t="str">
        <f>IFERROR(__xludf.DUMMYFUNCTION("if(countif(filter(Status!$C:$C,Status!$A:$A=$A233),CONCATENATE(Y$2,""*""))&gt;0,countif(filter(Status!$C:$C,Status!$A:$A=$A233),CONCATENATE(Y$2,""*"")),"""")"),"")</f>
        <v/>
      </c>
      <c r="Z233" s="23" t="str">
        <f>IFERROR(__xludf.DUMMYFUNCTION("if(countif(filter(Status!$C:$C,Status!$A:$A=$A233),CONCATENATE(Z$2,""*""))&gt;0,countif(filter(Status!$C:$C,Status!$A:$A=$A233),CONCATENATE(Z$2,""*"")),"""")"),"")</f>
        <v/>
      </c>
      <c r="AA233" s="23" t="str">
        <f>IFERROR(__xludf.DUMMYFUNCTION("if((countif(filter(Status!$C:$C,Status!$A:$A=$A233),CONCATENATE(AA$2,""*""))-AB233)&gt;0,(countif(filter(Status!$C:$C,Status!$A:$A=$A233),CONCATENATE(AA$2,""*""))-AB233),"""")"),"")</f>
        <v/>
      </c>
      <c r="AB233" s="23" t="str">
        <f>IFERROR(__xludf.DUMMYFUNCTION("if(countif(filter(Status!$C:$C,Status!$A:$A=$A233),CONCATENATE(AB$2,""*""))&gt;0,countif(filter(Status!$C:$C,Status!$A:$A=$A233),CONCATENATE(AB$2,""*"")),"""")"),"")</f>
        <v/>
      </c>
      <c r="AC233" s="23" t="str">
        <f>IFERROR(__xludf.DUMMYFUNCTION("if(countif(filter(Status!$C:$C,Status!$A:$A=$A233),CONCATENATE(AC$2,""*""))&gt;0,countif(filter(Status!$C:$C,Status!$A:$A=$A233),CONCATENATE(AC$2,""*"")),"""")"),"")</f>
        <v/>
      </c>
      <c r="AD233" s="23" t="str">
        <f>IFERROR(__xludf.DUMMYFUNCTION("if(countif(filter(Status!$C:$C,Status!$A:$A=$A233),CONCATENATE(AD$2,""*""))&gt;0,countif(filter(Status!$C:$C,Status!$A:$A=$A233),CONCATENATE(AD$2,""*"")),"""")"),"")</f>
        <v/>
      </c>
      <c r="AE233" s="23" t="str">
        <f>IFERROR(__xludf.DUMMYFUNCTION("if(countif(filter(Status!$C:$C,Status!$A:$A=$A233),CONCATENATE(AE$2,""*""))&gt;0,countif(filter(Status!$C:$C,Status!$A:$A=$A233),CONCATENATE(AE$2,""*"")),"""")"),"")</f>
        <v/>
      </c>
      <c r="AF233" s="23" t="str">
        <f>IFERROR(__xludf.DUMMYFUNCTION("if(countif(filter(Status!$C:$C,Status!$A:$A=$A233),CONCATENATE(AF$2,""*""))&gt;0,countif(filter(Status!$C:$C,Status!$A:$A=$A233),CONCATENATE(AF$2,""*"")),"""")"),"")</f>
        <v/>
      </c>
      <c r="AG233" s="23" t="str">
        <f>IFERROR(__xludf.DUMMYFUNCTION("if(countif(filter(Status!$C:$C,Status!$A:$A=$A233),CONCATENATE(AG$2,""*""))&gt;0,countif(filter(Status!$C:$C,Status!$A:$A=$A233),CONCATENATE(AG$2,""*"")),"""")"),"")</f>
        <v/>
      </c>
      <c r="AH233" s="23" t="str">
        <f>IFERROR(__xludf.DUMMYFUNCTION("if(countif(filter(Status!$C:$C,Status!$A:$A=$A233),CONCATENATE(AH$2,""*""))&gt;0,countif(filter(Status!$C:$C,Status!$A:$A=$A233),CONCATENATE(AH$2,""*"")),"""")"),"")</f>
        <v/>
      </c>
      <c r="AI233" s="23" t="str">
        <f>IFERROR(__xludf.DUMMYFUNCTION("if(countif(filter(Status!$C:$C,Status!$A:$A=$A233),CONCATENATE(AI$2,""*""))&gt;0,countif(filter(Status!$C:$C,Status!$A:$A=$A233),CONCATENATE(AI$2,""*"")),"""")"),"")</f>
        <v/>
      </c>
      <c r="AJ233" s="23" t="str">
        <f>IFERROR(__xludf.DUMMYFUNCTION("if(countif(filter(Status!$C:$C,Status!$A:$A=$A233),CONCATENATE(AJ$2,""*""))&gt;0,countif(filter(Status!$C:$C,Status!$A:$A=$A233),CONCATENATE(AJ$2,""*"")),"""")"),"")</f>
        <v/>
      </c>
      <c r="AK233" s="23" t="str">
        <f>IFERROR(__xludf.DUMMYFUNCTION("if(countif(filter(Status!$C:$C,Status!$A:$A=$A233),CONCATENATE(AK$2,""*""))&gt;0,countif(filter(Status!$C:$C,Status!$A:$A=$A233),CONCATENATE(AK$2,""*"")),"""")"),"")</f>
        <v/>
      </c>
      <c r="AL233" s="23" t="str">
        <f>IFERROR(__xludf.DUMMYFUNCTION("if(countif(filter(Status!$C:$C,Status!$A:$A=$A233),CONCATENATE(AL$2,""*""))&gt;0,countif(filter(Status!$C:$C,Status!$A:$A=$A233),CONCATENATE(AL$2,""*"")),"""")"),"")</f>
        <v/>
      </c>
      <c r="AM233" s="23" t="str">
        <f>IFERROR(__xludf.DUMMYFUNCTION("if(countif(filter(Status!$C:$C,Status!$A:$A=$A233),CONCATENATE(AM$2,""*""))&gt;0,countif(filter(Status!$C:$C,Status!$A:$A=$A233),CONCATENATE(AM$2,""*"")),"""")"),"")</f>
        <v/>
      </c>
      <c r="AN233" s="23" t="str">
        <f>IFERROR(__xludf.DUMMYFUNCTION("if(countif(filter(Status!$C:$C,Status!$A:$A=$A233),CONCATENATE(AN$2,""*""))&gt;0,countif(filter(Status!$C:$C,Status!$A:$A=$A233),CONCATENATE(AN$2,""*"")),"""")"),"")</f>
        <v/>
      </c>
      <c r="AO233" s="23" t="str">
        <f>IFERROR(__xludf.DUMMYFUNCTION("if(countif(filter(Status!$C:$C,Status!$A:$A=$A233),CONCATENATE(AO$2,""*""))&gt;0,countif(filter(Status!$C:$C,Status!$A:$A=$A233),CONCATENATE(AO$2,""*"")),"""")"),"")</f>
        <v/>
      </c>
      <c r="AP233" s="23">
        <f>IFERROR(__xludf.DUMMYFUNCTION("counta(iferror(filter(Status!C:C,Status!A:A=A233)))"),0.0)</f>
        <v>0</v>
      </c>
      <c r="AQ233" s="23">
        <f t="shared" si="6"/>
        <v>0</v>
      </c>
    </row>
    <row r="234">
      <c r="A234" s="1" t="s">
        <v>1417</v>
      </c>
      <c r="B234" s="25" t="str">
        <f>IFERROR(__xludf.DUMMYFUNCTION("max(filter(Status!E:E,Status!A:A=A234))"),"#N/A")</f>
        <v>#N/A</v>
      </c>
      <c r="C234" s="23" t="str">
        <f t="shared" si="1"/>
        <v/>
      </c>
      <c r="D234" s="23" t="str">
        <f t="shared" si="2"/>
        <v/>
      </c>
      <c r="E234" s="23" t="str">
        <f t="shared" si="3"/>
        <v/>
      </c>
      <c r="F234" s="23" t="str">
        <f t="shared" si="4"/>
        <v/>
      </c>
      <c r="G234" s="25" t="str">
        <f t="shared" si="5"/>
        <v/>
      </c>
      <c r="J234" s="23">
        <f>IFERROR(__xludf.DUMMYFUNCTION("COUNTA(iferror(filter(Status!H:H,Status!A:A=A234)))"),0.0)</f>
        <v>0</v>
      </c>
      <c r="K234" s="25">
        <f>IFERROR(__xludf.DUMMYFUNCTION("COUNTA(iferror(filter(Status!H:H,Status!A:A=A234,Status!H:H=TRUE)))"),0.0)</f>
        <v>0</v>
      </c>
      <c r="L234" s="23">
        <f>IFERROR(__xludf.DUMMYFUNCTION("COUNTA(iferror(filter(Status!L:L,Status!A:A=A234)))"),0.0)</f>
        <v>0</v>
      </c>
      <c r="M234" s="25">
        <f>IFERROR(__xludf.DUMMYFUNCTION("COUNTA(iferror(filter(Status!L:L,Status!A:A=A234,Status!L:L=TRUE)))"),0.0)</f>
        <v>0</v>
      </c>
      <c r="N234" s="23">
        <f>IFERROR(__xludf.DUMMYFUNCTION("COUNTA(iferror(filter(Status!N:N,Status!A:A=A234,Status!N:N=TRUE)))"),0.0)</f>
        <v>0</v>
      </c>
      <c r="O234" s="25">
        <f>IFERROR(__xludf.DUMMYFUNCTION("COUNTA(iferror(filter(Status!N:N,Status!A:A=A234,Status!N:N=TRUE)))"),0.0)</f>
        <v>0</v>
      </c>
      <c r="P234" s="23">
        <f>IFERROR(__xludf.DUMMYFUNCTION("COUNTA(iferror(filter(Status!P:P,Status!A:A=A234)))"),0.0)</f>
        <v>0</v>
      </c>
      <c r="Q234" s="25">
        <f>IFERROR(__xludf.DUMMYFUNCTION("COUNTA(iferror(filter(Status!P:P,Status!A:A=A234,Status!P:P=TRUE)))"),0.0)</f>
        <v>0</v>
      </c>
      <c r="R234" s="23">
        <f>IFERROR(__xludf.DUMMYFUNCTION("COUNTA(iferror(filter(Status!R:R,Status!A:A=A234)))"),0.0)</f>
        <v>0</v>
      </c>
      <c r="S234" s="25">
        <f>IFERROR(__xludf.DUMMYFUNCTION("COUNTA(iferror(filter(Status!R:R,Status!A:A=A234,Status!R:R=TRUE)))"),0.0)</f>
        <v>0</v>
      </c>
      <c r="V234" s="23" t="str">
        <f>IFERROR(__xludf.DUMMYFUNCTION("if((countif(filter(Status!$C:$C,Status!$A:$A=$A234),CONCATENATE(V$2,""*""))-W234)&gt;0,(countif(filter(Status!$C:$C,Status!$A:$A=$A234),CONCATENATE(V$2,""*""))-W234),"""")"),"")</f>
        <v/>
      </c>
      <c r="W234" s="23" t="str">
        <f>IFERROR(__xludf.DUMMYFUNCTION("if(countif(filter(Status!$C:$C,Status!$A:$A=$A234),CONCATENATE(W$2,""*""))&gt;0,countif(filter(Status!$C:$C,Status!$A:$A=$A234),CONCATENATE(W$2,""*"")),"""")"),"")</f>
        <v/>
      </c>
      <c r="X234" s="23" t="str">
        <f>IFERROR(__xludf.DUMMYFUNCTION("if(countif(filter(Status!$C:$C,Status!$A:$A=$A234),CONCATENATE(X$2,""*""))&gt;0,countif(filter(Status!$C:$C,Status!$A:$A=$A234),CONCATENATE(X$2,""*"")),"""")"),"")</f>
        <v/>
      </c>
      <c r="Y234" s="23" t="str">
        <f>IFERROR(__xludf.DUMMYFUNCTION("if(countif(filter(Status!$C:$C,Status!$A:$A=$A234),CONCATENATE(Y$2,""*""))&gt;0,countif(filter(Status!$C:$C,Status!$A:$A=$A234),CONCATENATE(Y$2,""*"")),"""")"),"")</f>
        <v/>
      </c>
      <c r="Z234" s="23" t="str">
        <f>IFERROR(__xludf.DUMMYFUNCTION("if(countif(filter(Status!$C:$C,Status!$A:$A=$A234),CONCATENATE(Z$2,""*""))&gt;0,countif(filter(Status!$C:$C,Status!$A:$A=$A234),CONCATENATE(Z$2,""*"")),"""")"),"")</f>
        <v/>
      </c>
      <c r="AA234" s="23" t="str">
        <f>IFERROR(__xludf.DUMMYFUNCTION("if((countif(filter(Status!$C:$C,Status!$A:$A=$A234),CONCATENATE(AA$2,""*""))-AB234)&gt;0,(countif(filter(Status!$C:$C,Status!$A:$A=$A234),CONCATENATE(AA$2,""*""))-AB234),"""")"),"")</f>
        <v/>
      </c>
      <c r="AB234" s="23" t="str">
        <f>IFERROR(__xludf.DUMMYFUNCTION("if(countif(filter(Status!$C:$C,Status!$A:$A=$A234),CONCATENATE(AB$2,""*""))&gt;0,countif(filter(Status!$C:$C,Status!$A:$A=$A234),CONCATENATE(AB$2,""*"")),"""")"),"")</f>
        <v/>
      </c>
      <c r="AC234" s="23" t="str">
        <f>IFERROR(__xludf.DUMMYFUNCTION("if(countif(filter(Status!$C:$C,Status!$A:$A=$A234),CONCATENATE(AC$2,""*""))&gt;0,countif(filter(Status!$C:$C,Status!$A:$A=$A234),CONCATENATE(AC$2,""*"")),"""")"),"")</f>
        <v/>
      </c>
      <c r="AD234" s="23" t="str">
        <f>IFERROR(__xludf.DUMMYFUNCTION("if(countif(filter(Status!$C:$C,Status!$A:$A=$A234),CONCATENATE(AD$2,""*""))&gt;0,countif(filter(Status!$C:$C,Status!$A:$A=$A234),CONCATENATE(AD$2,""*"")),"""")"),"")</f>
        <v/>
      </c>
      <c r="AE234" s="23" t="str">
        <f>IFERROR(__xludf.DUMMYFUNCTION("if(countif(filter(Status!$C:$C,Status!$A:$A=$A234),CONCATENATE(AE$2,""*""))&gt;0,countif(filter(Status!$C:$C,Status!$A:$A=$A234),CONCATENATE(AE$2,""*"")),"""")"),"")</f>
        <v/>
      </c>
      <c r="AF234" s="23" t="str">
        <f>IFERROR(__xludf.DUMMYFUNCTION("if(countif(filter(Status!$C:$C,Status!$A:$A=$A234),CONCATENATE(AF$2,""*""))&gt;0,countif(filter(Status!$C:$C,Status!$A:$A=$A234),CONCATENATE(AF$2,""*"")),"""")"),"")</f>
        <v/>
      </c>
      <c r="AG234" s="23" t="str">
        <f>IFERROR(__xludf.DUMMYFUNCTION("if(countif(filter(Status!$C:$C,Status!$A:$A=$A234),CONCATENATE(AG$2,""*""))&gt;0,countif(filter(Status!$C:$C,Status!$A:$A=$A234),CONCATENATE(AG$2,""*"")),"""")"),"")</f>
        <v/>
      </c>
      <c r="AH234" s="23" t="str">
        <f>IFERROR(__xludf.DUMMYFUNCTION("if(countif(filter(Status!$C:$C,Status!$A:$A=$A234),CONCATENATE(AH$2,""*""))&gt;0,countif(filter(Status!$C:$C,Status!$A:$A=$A234),CONCATENATE(AH$2,""*"")),"""")"),"")</f>
        <v/>
      </c>
      <c r="AI234" s="23" t="str">
        <f>IFERROR(__xludf.DUMMYFUNCTION("if(countif(filter(Status!$C:$C,Status!$A:$A=$A234),CONCATENATE(AI$2,""*""))&gt;0,countif(filter(Status!$C:$C,Status!$A:$A=$A234),CONCATENATE(AI$2,""*"")),"""")"),"")</f>
        <v/>
      </c>
      <c r="AJ234" s="23" t="str">
        <f>IFERROR(__xludf.DUMMYFUNCTION("if(countif(filter(Status!$C:$C,Status!$A:$A=$A234),CONCATENATE(AJ$2,""*""))&gt;0,countif(filter(Status!$C:$C,Status!$A:$A=$A234),CONCATENATE(AJ$2,""*"")),"""")"),"")</f>
        <v/>
      </c>
      <c r="AK234" s="23" t="str">
        <f>IFERROR(__xludf.DUMMYFUNCTION("if(countif(filter(Status!$C:$C,Status!$A:$A=$A234),CONCATENATE(AK$2,""*""))&gt;0,countif(filter(Status!$C:$C,Status!$A:$A=$A234),CONCATENATE(AK$2,""*"")),"""")"),"")</f>
        <v/>
      </c>
      <c r="AL234" s="23" t="str">
        <f>IFERROR(__xludf.DUMMYFUNCTION("if(countif(filter(Status!$C:$C,Status!$A:$A=$A234),CONCATENATE(AL$2,""*""))&gt;0,countif(filter(Status!$C:$C,Status!$A:$A=$A234),CONCATENATE(AL$2,""*"")),"""")"),"")</f>
        <v/>
      </c>
      <c r="AM234" s="23" t="str">
        <f>IFERROR(__xludf.DUMMYFUNCTION("if(countif(filter(Status!$C:$C,Status!$A:$A=$A234),CONCATENATE(AM$2,""*""))&gt;0,countif(filter(Status!$C:$C,Status!$A:$A=$A234),CONCATENATE(AM$2,""*"")),"""")"),"")</f>
        <v/>
      </c>
      <c r="AN234" s="23" t="str">
        <f>IFERROR(__xludf.DUMMYFUNCTION("if(countif(filter(Status!$C:$C,Status!$A:$A=$A234),CONCATENATE(AN$2,""*""))&gt;0,countif(filter(Status!$C:$C,Status!$A:$A=$A234),CONCATENATE(AN$2,""*"")),"""")"),"")</f>
        <v/>
      </c>
      <c r="AO234" s="23" t="str">
        <f>IFERROR(__xludf.DUMMYFUNCTION("if(countif(filter(Status!$C:$C,Status!$A:$A=$A234),CONCATENATE(AO$2,""*""))&gt;0,countif(filter(Status!$C:$C,Status!$A:$A=$A234),CONCATENATE(AO$2,""*"")),"""")"),"")</f>
        <v/>
      </c>
      <c r="AP234" s="23">
        <f>IFERROR(__xludf.DUMMYFUNCTION("counta(iferror(filter(Status!C:C,Status!A:A=A234)))"),0.0)</f>
        <v>0</v>
      </c>
      <c r="AQ234" s="23">
        <f t="shared" si="6"/>
        <v>0</v>
      </c>
    </row>
    <row r="235">
      <c r="A235" s="1" t="s">
        <v>1420</v>
      </c>
      <c r="B235" s="25" t="str">
        <f>IFERROR(__xludf.DUMMYFUNCTION("max(filter(Status!E:E,Status!A:A=A235))"),"#N/A")</f>
        <v>#N/A</v>
      </c>
      <c r="C235" s="23" t="str">
        <f t="shared" si="1"/>
        <v/>
      </c>
      <c r="D235" s="23" t="str">
        <f t="shared" si="2"/>
        <v/>
      </c>
      <c r="E235" s="23" t="str">
        <f t="shared" si="3"/>
        <v/>
      </c>
      <c r="F235" s="23" t="str">
        <f t="shared" si="4"/>
        <v/>
      </c>
      <c r="G235" s="25" t="str">
        <f t="shared" si="5"/>
        <v/>
      </c>
      <c r="J235" s="23">
        <f>IFERROR(__xludf.DUMMYFUNCTION("COUNTA(iferror(filter(Status!H:H,Status!A:A=A235)))"),0.0)</f>
        <v>0</v>
      </c>
      <c r="K235" s="25">
        <f>IFERROR(__xludf.DUMMYFUNCTION("COUNTA(iferror(filter(Status!H:H,Status!A:A=A235,Status!H:H=TRUE)))"),0.0)</f>
        <v>0</v>
      </c>
      <c r="L235" s="23">
        <f>IFERROR(__xludf.DUMMYFUNCTION("COUNTA(iferror(filter(Status!L:L,Status!A:A=A235)))"),0.0)</f>
        <v>0</v>
      </c>
      <c r="M235" s="25">
        <f>IFERROR(__xludf.DUMMYFUNCTION("COUNTA(iferror(filter(Status!L:L,Status!A:A=A235,Status!L:L=TRUE)))"),0.0)</f>
        <v>0</v>
      </c>
      <c r="N235" s="23">
        <f>IFERROR(__xludf.DUMMYFUNCTION("COUNTA(iferror(filter(Status!N:N,Status!A:A=A235,Status!N:N=TRUE)))"),0.0)</f>
        <v>0</v>
      </c>
      <c r="O235" s="25">
        <f>IFERROR(__xludf.DUMMYFUNCTION("COUNTA(iferror(filter(Status!N:N,Status!A:A=A235,Status!N:N=TRUE)))"),0.0)</f>
        <v>0</v>
      </c>
      <c r="P235" s="23">
        <f>IFERROR(__xludf.DUMMYFUNCTION("COUNTA(iferror(filter(Status!P:P,Status!A:A=A235)))"),0.0)</f>
        <v>0</v>
      </c>
      <c r="Q235" s="25">
        <f>IFERROR(__xludf.DUMMYFUNCTION("COUNTA(iferror(filter(Status!P:P,Status!A:A=A235,Status!P:P=TRUE)))"),0.0)</f>
        <v>0</v>
      </c>
      <c r="R235" s="23">
        <f>IFERROR(__xludf.DUMMYFUNCTION("COUNTA(iferror(filter(Status!R:R,Status!A:A=A235)))"),0.0)</f>
        <v>0</v>
      </c>
      <c r="S235" s="25">
        <f>IFERROR(__xludf.DUMMYFUNCTION("COUNTA(iferror(filter(Status!R:R,Status!A:A=A235,Status!R:R=TRUE)))"),0.0)</f>
        <v>0</v>
      </c>
      <c r="V235" s="23" t="str">
        <f>IFERROR(__xludf.DUMMYFUNCTION("if((countif(filter(Status!$C:$C,Status!$A:$A=$A235),CONCATENATE(V$2,""*""))-W235)&gt;0,(countif(filter(Status!$C:$C,Status!$A:$A=$A235),CONCATENATE(V$2,""*""))-W235),"""")"),"")</f>
        <v/>
      </c>
      <c r="W235" s="23" t="str">
        <f>IFERROR(__xludf.DUMMYFUNCTION("if(countif(filter(Status!$C:$C,Status!$A:$A=$A235),CONCATENATE(W$2,""*""))&gt;0,countif(filter(Status!$C:$C,Status!$A:$A=$A235),CONCATENATE(W$2,""*"")),"""")"),"")</f>
        <v/>
      </c>
      <c r="X235" s="23" t="str">
        <f>IFERROR(__xludf.DUMMYFUNCTION("if(countif(filter(Status!$C:$C,Status!$A:$A=$A235),CONCATENATE(X$2,""*""))&gt;0,countif(filter(Status!$C:$C,Status!$A:$A=$A235),CONCATENATE(X$2,""*"")),"""")"),"")</f>
        <v/>
      </c>
      <c r="Y235" s="23" t="str">
        <f>IFERROR(__xludf.DUMMYFUNCTION("if(countif(filter(Status!$C:$C,Status!$A:$A=$A235),CONCATENATE(Y$2,""*""))&gt;0,countif(filter(Status!$C:$C,Status!$A:$A=$A235),CONCATENATE(Y$2,""*"")),"""")"),"")</f>
        <v/>
      </c>
      <c r="Z235" s="23" t="str">
        <f>IFERROR(__xludf.DUMMYFUNCTION("if(countif(filter(Status!$C:$C,Status!$A:$A=$A235),CONCATENATE(Z$2,""*""))&gt;0,countif(filter(Status!$C:$C,Status!$A:$A=$A235),CONCATENATE(Z$2,""*"")),"""")"),"")</f>
        <v/>
      </c>
      <c r="AA235" s="23" t="str">
        <f>IFERROR(__xludf.DUMMYFUNCTION("if((countif(filter(Status!$C:$C,Status!$A:$A=$A235),CONCATENATE(AA$2,""*""))-AB235)&gt;0,(countif(filter(Status!$C:$C,Status!$A:$A=$A235),CONCATENATE(AA$2,""*""))-AB235),"""")"),"")</f>
        <v/>
      </c>
      <c r="AB235" s="23" t="str">
        <f>IFERROR(__xludf.DUMMYFUNCTION("if(countif(filter(Status!$C:$C,Status!$A:$A=$A235),CONCATENATE(AB$2,""*""))&gt;0,countif(filter(Status!$C:$C,Status!$A:$A=$A235),CONCATENATE(AB$2,""*"")),"""")"),"")</f>
        <v/>
      </c>
      <c r="AC235" s="23" t="str">
        <f>IFERROR(__xludf.DUMMYFUNCTION("if(countif(filter(Status!$C:$C,Status!$A:$A=$A235),CONCATENATE(AC$2,""*""))&gt;0,countif(filter(Status!$C:$C,Status!$A:$A=$A235),CONCATENATE(AC$2,""*"")),"""")"),"")</f>
        <v/>
      </c>
      <c r="AD235" s="23" t="str">
        <f>IFERROR(__xludf.DUMMYFUNCTION("if(countif(filter(Status!$C:$C,Status!$A:$A=$A235),CONCATENATE(AD$2,""*""))&gt;0,countif(filter(Status!$C:$C,Status!$A:$A=$A235),CONCATENATE(AD$2,""*"")),"""")"),"")</f>
        <v/>
      </c>
      <c r="AE235" s="23" t="str">
        <f>IFERROR(__xludf.DUMMYFUNCTION("if(countif(filter(Status!$C:$C,Status!$A:$A=$A235),CONCATENATE(AE$2,""*""))&gt;0,countif(filter(Status!$C:$C,Status!$A:$A=$A235),CONCATENATE(AE$2,""*"")),"""")"),"")</f>
        <v/>
      </c>
      <c r="AF235" s="23" t="str">
        <f>IFERROR(__xludf.DUMMYFUNCTION("if(countif(filter(Status!$C:$C,Status!$A:$A=$A235),CONCATENATE(AF$2,""*""))&gt;0,countif(filter(Status!$C:$C,Status!$A:$A=$A235),CONCATENATE(AF$2,""*"")),"""")"),"")</f>
        <v/>
      </c>
      <c r="AG235" s="23" t="str">
        <f>IFERROR(__xludf.DUMMYFUNCTION("if(countif(filter(Status!$C:$C,Status!$A:$A=$A235),CONCATENATE(AG$2,""*""))&gt;0,countif(filter(Status!$C:$C,Status!$A:$A=$A235),CONCATENATE(AG$2,""*"")),"""")"),"")</f>
        <v/>
      </c>
      <c r="AH235" s="23" t="str">
        <f>IFERROR(__xludf.DUMMYFUNCTION("if(countif(filter(Status!$C:$C,Status!$A:$A=$A235),CONCATENATE(AH$2,""*""))&gt;0,countif(filter(Status!$C:$C,Status!$A:$A=$A235),CONCATENATE(AH$2,""*"")),"""")"),"")</f>
        <v/>
      </c>
      <c r="AI235" s="23" t="str">
        <f>IFERROR(__xludf.DUMMYFUNCTION("if(countif(filter(Status!$C:$C,Status!$A:$A=$A235),CONCATENATE(AI$2,""*""))&gt;0,countif(filter(Status!$C:$C,Status!$A:$A=$A235),CONCATENATE(AI$2,""*"")),"""")"),"")</f>
        <v/>
      </c>
      <c r="AJ235" s="23" t="str">
        <f>IFERROR(__xludf.DUMMYFUNCTION("if(countif(filter(Status!$C:$C,Status!$A:$A=$A235),CONCATENATE(AJ$2,""*""))&gt;0,countif(filter(Status!$C:$C,Status!$A:$A=$A235),CONCATENATE(AJ$2,""*"")),"""")"),"")</f>
        <v/>
      </c>
      <c r="AK235" s="23" t="str">
        <f>IFERROR(__xludf.DUMMYFUNCTION("if(countif(filter(Status!$C:$C,Status!$A:$A=$A235),CONCATENATE(AK$2,""*""))&gt;0,countif(filter(Status!$C:$C,Status!$A:$A=$A235),CONCATENATE(AK$2,""*"")),"""")"),"")</f>
        <v/>
      </c>
      <c r="AL235" s="23" t="str">
        <f>IFERROR(__xludf.DUMMYFUNCTION("if(countif(filter(Status!$C:$C,Status!$A:$A=$A235),CONCATENATE(AL$2,""*""))&gt;0,countif(filter(Status!$C:$C,Status!$A:$A=$A235),CONCATENATE(AL$2,""*"")),"""")"),"")</f>
        <v/>
      </c>
      <c r="AM235" s="23" t="str">
        <f>IFERROR(__xludf.DUMMYFUNCTION("if(countif(filter(Status!$C:$C,Status!$A:$A=$A235),CONCATENATE(AM$2,""*""))&gt;0,countif(filter(Status!$C:$C,Status!$A:$A=$A235),CONCATENATE(AM$2,""*"")),"""")"),"")</f>
        <v/>
      </c>
      <c r="AN235" s="23" t="str">
        <f>IFERROR(__xludf.DUMMYFUNCTION("if(countif(filter(Status!$C:$C,Status!$A:$A=$A235),CONCATENATE(AN$2,""*""))&gt;0,countif(filter(Status!$C:$C,Status!$A:$A=$A235),CONCATENATE(AN$2,""*"")),"""")"),"")</f>
        <v/>
      </c>
      <c r="AO235" s="23" t="str">
        <f>IFERROR(__xludf.DUMMYFUNCTION("if(countif(filter(Status!$C:$C,Status!$A:$A=$A235),CONCATENATE(AO$2,""*""))&gt;0,countif(filter(Status!$C:$C,Status!$A:$A=$A235),CONCATENATE(AO$2,""*"")),"""")"),"")</f>
        <v/>
      </c>
      <c r="AP235" s="23">
        <f>IFERROR(__xludf.DUMMYFUNCTION("counta(iferror(filter(Status!C:C,Status!A:A=A235)))"),0.0)</f>
        <v>0</v>
      </c>
      <c r="AQ235" s="23">
        <f t="shared" si="6"/>
        <v>0</v>
      </c>
    </row>
    <row r="236">
      <c r="A236" s="1" t="s">
        <v>1423</v>
      </c>
      <c r="B236" s="25" t="str">
        <f>IFERROR(__xludf.DUMMYFUNCTION("max(filter(Status!E:E,Status!A:A=A236))"),"#N/A")</f>
        <v>#N/A</v>
      </c>
      <c r="C236" s="23" t="str">
        <f t="shared" si="1"/>
        <v/>
      </c>
      <c r="D236" s="23" t="str">
        <f t="shared" si="2"/>
        <v/>
      </c>
      <c r="E236" s="23" t="str">
        <f t="shared" si="3"/>
        <v/>
      </c>
      <c r="F236" s="23" t="str">
        <f t="shared" si="4"/>
        <v/>
      </c>
      <c r="G236" s="25" t="str">
        <f t="shared" si="5"/>
        <v/>
      </c>
      <c r="J236" s="23">
        <f>IFERROR(__xludf.DUMMYFUNCTION("COUNTA(iferror(filter(Status!H:H,Status!A:A=A236)))"),0.0)</f>
        <v>0</v>
      </c>
      <c r="K236" s="25">
        <f>IFERROR(__xludf.DUMMYFUNCTION("COUNTA(iferror(filter(Status!H:H,Status!A:A=A236,Status!H:H=TRUE)))"),0.0)</f>
        <v>0</v>
      </c>
      <c r="L236" s="23">
        <f>IFERROR(__xludf.DUMMYFUNCTION("COUNTA(iferror(filter(Status!L:L,Status!A:A=A236)))"),0.0)</f>
        <v>0</v>
      </c>
      <c r="M236" s="25">
        <f>IFERROR(__xludf.DUMMYFUNCTION("COUNTA(iferror(filter(Status!L:L,Status!A:A=A236,Status!L:L=TRUE)))"),0.0)</f>
        <v>0</v>
      </c>
      <c r="N236" s="23">
        <f>IFERROR(__xludf.DUMMYFUNCTION("COUNTA(iferror(filter(Status!N:N,Status!A:A=A236,Status!N:N=TRUE)))"),0.0)</f>
        <v>0</v>
      </c>
      <c r="O236" s="25">
        <f>IFERROR(__xludf.DUMMYFUNCTION("COUNTA(iferror(filter(Status!N:N,Status!A:A=A236,Status!N:N=TRUE)))"),0.0)</f>
        <v>0</v>
      </c>
      <c r="P236" s="23">
        <f>IFERROR(__xludf.DUMMYFUNCTION("COUNTA(iferror(filter(Status!P:P,Status!A:A=A236)))"),0.0)</f>
        <v>0</v>
      </c>
      <c r="Q236" s="25">
        <f>IFERROR(__xludf.DUMMYFUNCTION("COUNTA(iferror(filter(Status!P:P,Status!A:A=A236,Status!P:P=TRUE)))"),0.0)</f>
        <v>0</v>
      </c>
      <c r="R236" s="23">
        <f>IFERROR(__xludf.DUMMYFUNCTION("COUNTA(iferror(filter(Status!R:R,Status!A:A=A236)))"),0.0)</f>
        <v>0</v>
      </c>
      <c r="S236" s="25">
        <f>IFERROR(__xludf.DUMMYFUNCTION("COUNTA(iferror(filter(Status!R:R,Status!A:A=A236,Status!R:R=TRUE)))"),0.0)</f>
        <v>0</v>
      </c>
      <c r="V236" s="23" t="str">
        <f>IFERROR(__xludf.DUMMYFUNCTION("if((countif(filter(Status!$C:$C,Status!$A:$A=$A236),CONCATENATE(V$2,""*""))-W236)&gt;0,(countif(filter(Status!$C:$C,Status!$A:$A=$A236),CONCATENATE(V$2,""*""))-W236),"""")"),"")</f>
        <v/>
      </c>
      <c r="W236" s="23" t="str">
        <f>IFERROR(__xludf.DUMMYFUNCTION("if(countif(filter(Status!$C:$C,Status!$A:$A=$A236),CONCATENATE(W$2,""*""))&gt;0,countif(filter(Status!$C:$C,Status!$A:$A=$A236),CONCATENATE(W$2,""*"")),"""")"),"")</f>
        <v/>
      </c>
      <c r="X236" s="23" t="str">
        <f>IFERROR(__xludf.DUMMYFUNCTION("if(countif(filter(Status!$C:$C,Status!$A:$A=$A236),CONCATENATE(X$2,""*""))&gt;0,countif(filter(Status!$C:$C,Status!$A:$A=$A236),CONCATENATE(X$2,""*"")),"""")"),"")</f>
        <v/>
      </c>
      <c r="Y236" s="23" t="str">
        <f>IFERROR(__xludf.DUMMYFUNCTION("if(countif(filter(Status!$C:$C,Status!$A:$A=$A236),CONCATENATE(Y$2,""*""))&gt;0,countif(filter(Status!$C:$C,Status!$A:$A=$A236),CONCATENATE(Y$2,""*"")),"""")"),"")</f>
        <v/>
      </c>
      <c r="Z236" s="23" t="str">
        <f>IFERROR(__xludf.DUMMYFUNCTION("if(countif(filter(Status!$C:$C,Status!$A:$A=$A236),CONCATENATE(Z$2,""*""))&gt;0,countif(filter(Status!$C:$C,Status!$A:$A=$A236),CONCATENATE(Z$2,""*"")),"""")"),"")</f>
        <v/>
      </c>
      <c r="AA236" s="23" t="str">
        <f>IFERROR(__xludf.DUMMYFUNCTION("if((countif(filter(Status!$C:$C,Status!$A:$A=$A236),CONCATENATE(AA$2,""*""))-AB236)&gt;0,(countif(filter(Status!$C:$C,Status!$A:$A=$A236),CONCATENATE(AA$2,""*""))-AB236),"""")"),"")</f>
        <v/>
      </c>
      <c r="AB236" s="23" t="str">
        <f>IFERROR(__xludf.DUMMYFUNCTION("if(countif(filter(Status!$C:$C,Status!$A:$A=$A236),CONCATENATE(AB$2,""*""))&gt;0,countif(filter(Status!$C:$C,Status!$A:$A=$A236),CONCATENATE(AB$2,""*"")),"""")"),"")</f>
        <v/>
      </c>
      <c r="AC236" s="23" t="str">
        <f>IFERROR(__xludf.DUMMYFUNCTION("if(countif(filter(Status!$C:$C,Status!$A:$A=$A236),CONCATENATE(AC$2,""*""))&gt;0,countif(filter(Status!$C:$C,Status!$A:$A=$A236),CONCATENATE(AC$2,""*"")),"""")"),"")</f>
        <v/>
      </c>
      <c r="AD236" s="23" t="str">
        <f>IFERROR(__xludf.DUMMYFUNCTION("if(countif(filter(Status!$C:$C,Status!$A:$A=$A236),CONCATENATE(AD$2,""*""))&gt;0,countif(filter(Status!$C:$C,Status!$A:$A=$A236),CONCATENATE(AD$2,""*"")),"""")"),"")</f>
        <v/>
      </c>
      <c r="AE236" s="23" t="str">
        <f>IFERROR(__xludf.DUMMYFUNCTION("if(countif(filter(Status!$C:$C,Status!$A:$A=$A236),CONCATENATE(AE$2,""*""))&gt;0,countif(filter(Status!$C:$C,Status!$A:$A=$A236),CONCATENATE(AE$2,""*"")),"""")"),"")</f>
        <v/>
      </c>
      <c r="AF236" s="23" t="str">
        <f>IFERROR(__xludf.DUMMYFUNCTION("if(countif(filter(Status!$C:$C,Status!$A:$A=$A236),CONCATENATE(AF$2,""*""))&gt;0,countif(filter(Status!$C:$C,Status!$A:$A=$A236),CONCATENATE(AF$2,""*"")),"""")"),"")</f>
        <v/>
      </c>
      <c r="AG236" s="23" t="str">
        <f>IFERROR(__xludf.DUMMYFUNCTION("if(countif(filter(Status!$C:$C,Status!$A:$A=$A236),CONCATENATE(AG$2,""*""))&gt;0,countif(filter(Status!$C:$C,Status!$A:$A=$A236),CONCATENATE(AG$2,""*"")),"""")"),"")</f>
        <v/>
      </c>
      <c r="AH236" s="23" t="str">
        <f>IFERROR(__xludf.DUMMYFUNCTION("if(countif(filter(Status!$C:$C,Status!$A:$A=$A236),CONCATENATE(AH$2,""*""))&gt;0,countif(filter(Status!$C:$C,Status!$A:$A=$A236),CONCATENATE(AH$2,""*"")),"""")"),"")</f>
        <v/>
      </c>
      <c r="AI236" s="23" t="str">
        <f>IFERROR(__xludf.DUMMYFUNCTION("if(countif(filter(Status!$C:$C,Status!$A:$A=$A236),CONCATENATE(AI$2,""*""))&gt;0,countif(filter(Status!$C:$C,Status!$A:$A=$A236),CONCATENATE(AI$2,""*"")),"""")"),"")</f>
        <v/>
      </c>
      <c r="AJ236" s="23" t="str">
        <f>IFERROR(__xludf.DUMMYFUNCTION("if(countif(filter(Status!$C:$C,Status!$A:$A=$A236),CONCATENATE(AJ$2,""*""))&gt;0,countif(filter(Status!$C:$C,Status!$A:$A=$A236),CONCATENATE(AJ$2,""*"")),"""")"),"")</f>
        <v/>
      </c>
      <c r="AK236" s="23" t="str">
        <f>IFERROR(__xludf.DUMMYFUNCTION("if(countif(filter(Status!$C:$C,Status!$A:$A=$A236),CONCATENATE(AK$2,""*""))&gt;0,countif(filter(Status!$C:$C,Status!$A:$A=$A236),CONCATENATE(AK$2,""*"")),"""")"),"")</f>
        <v/>
      </c>
      <c r="AL236" s="23" t="str">
        <f>IFERROR(__xludf.DUMMYFUNCTION("if(countif(filter(Status!$C:$C,Status!$A:$A=$A236),CONCATENATE(AL$2,""*""))&gt;0,countif(filter(Status!$C:$C,Status!$A:$A=$A236),CONCATENATE(AL$2,""*"")),"""")"),"")</f>
        <v/>
      </c>
      <c r="AM236" s="23" t="str">
        <f>IFERROR(__xludf.DUMMYFUNCTION("if(countif(filter(Status!$C:$C,Status!$A:$A=$A236),CONCATENATE(AM$2,""*""))&gt;0,countif(filter(Status!$C:$C,Status!$A:$A=$A236),CONCATENATE(AM$2,""*"")),"""")"),"")</f>
        <v/>
      </c>
      <c r="AN236" s="23" t="str">
        <f>IFERROR(__xludf.DUMMYFUNCTION("if(countif(filter(Status!$C:$C,Status!$A:$A=$A236),CONCATENATE(AN$2,""*""))&gt;0,countif(filter(Status!$C:$C,Status!$A:$A=$A236),CONCATENATE(AN$2,""*"")),"""")"),"")</f>
        <v/>
      </c>
      <c r="AO236" s="23" t="str">
        <f>IFERROR(__xludf.DUMMYFUNCTION("if(countif(filter(Status!$C:$C,Status!$A:$A=$A236),CONCATENATE(AO$2,""*""))&gt;0,countif(filter(Status!$C:$C,Status!$A:$A=$A236),CONCATENATE(AO$2,""*"")),"""")"),"")</f>
        <v/>
      </c>
      <c r="AP236" s="23">
        <f>IFERROR(__xludf.DUMMYFUNCTION("counta(iferror(filter(Status!C:C,Status!A:A=A236)))"),0.0)</f>
        <v>0</v>
      </c>
      <c r="AQ236" s="23">
        <f t="shared" si="6"/>
        <v>0</v>
      </c>
    </row>
    <row r="237">
      <c r="A237" s="1" t="s">
        <v>1427</v>
      </c>
      <c r="B237" s="25" t="str">
        <f>IFERROR(__xludf.DUMMYFUNCTION("max(filter(Status!E:E,Status!A:A=A237))"),"#N/A")</f>
        <v>#N/A</v>
      </c>
      <c r="C237" s="23" t="str">
        <f t="shared" si="1"/>
        <v/>
      </c>
      <c r="D237" s="23" t="str">
        <f t="shared" si="2"/>
        <v/>
      </c>
      <c r="E237" s="23" t="str">
        <f t="shared" si="3"/>
        <v/>
      </c>
      <c r="F237" s="23" t="str">
        <f t="shared" si="4"/>
        <v/>
      </c>
      <c r="G237" s="25" t="str">
        <f t="shared" si="5"/>
        <v/>
      </c>
      <c r="J237" s="23">
        <f>IFERROR(__xludf.DUMMYFUNCTION("COUNTA(iferror(filter(Status!H:H,Status!A:A=A237)))"),0.0)</f>
        <v>0</v>
      </c>
      <c r="K237" s="25">
        <f>IFERROR(__xludf.DUMMYFUNCTION("COUNTA(iferror(filter(Status!H:H,Status!A:A=A237,Status!H:H=TRUE)))"),0.0)</f>
        <v>0</v>
      </c>
      <c r="L237" s="23">
        <f>IFERROR(__xludf.DUMMYFUNCTION("COUNTA(iferror(filter(Status!L:L,Status!A:A=A237)))"),0.0)</f>
        <v>0</v>
      </c>
      <c r="M237" s="25">
        <f>IFERROR(__xludf.DUMMYFUNCTION("COUNTA(iferror(filter(Status!L:L,Status!A:A=A237,Status!L:L=TRUE)))"),0.0)</f>
        <v>0</v>
      </c>
      <c r="N237" s="23">
        <f>IFERROR(__xludf.DUMMYFUNCTION("COUNTA(iferror(filter(Status!N:N,Status!A:A=A237,Status!N:N=TRUE)))"),0.0)</f>
        <v>0</v>
      </c>
      <c r="O237" s="25">
        <f>IFERROR(__xludf.DUMMYFUNCTION("COUNTA(iferror(filter(Status!N:N,Status!A:A=A237,Status!N:N=TRUE)))"),0.0)</f>
        <v>0</v>
      </c>
      <c r="P237" s="23">
        <f>IFERROR(__xludf.DUMMYFUNCTION("COUNTA(iferror(filter(Status!P:P,Status!A:A=A237)))"),0.0)</f>
        <v>0</v>
      </c>
      <c r="Q237" s="25">
        <f>IFERROR(__xludf.DUMMYFUNCTION("COUNTA(iferror(filter(Status!P:P,Status!A:A=A237,Status!P:P=TRUE)))"),0.0)</f>
        <v>0</v>
      </c>
      <c r="R237" s="23">
        <f>IFERROR(__xludf.DUMMYFUNCTION("COUNTA(iferror(filter(Status!R:R,Status!A:A=A237)))"),0.0)</f>
        <v>0</v>
      </c>
      <c r="S237" s="25">
        <f>IFERROR(__xludf.DUMMYFUNCTION("COUNTA(iferror(filter(Status!R:R,Status!A:A=A237,Status!R:R=TRUE)))"),0.0)</f>
        <v>0</v>
      </c>
      <c r="V237" s="23" t="str">
        <f>IFERROR(__xludf.DUMMYFUNCTION("if((countif(filter(Status!$C:$C,Status!$A:$A=$A237),CONCATENATE(V$2,""*""))-W237)&gt;0,(countif(filter(Status!$C:$C,Status!$A:$A=$A237),CONCATENATE(V$2,""*""))-W237),"""")"),"")</f>
        <v/>
      </c>
      <c r="W237" s="23" t="str">
        <f>IFERROR(__xludf.DUMMYFUNCTION("if(countif(filter(Status!$C:$C,Status!$A:$A=$A237),CONCATENATE(W$2,""*""))&gt;0,countif(filter(Status!$C:$C,Status!$A:$A=$A237),CONCATENATE(W$2,""*"")),"""")"),"")</f>
        <v/>
      </c>
      <c r="X237" s="23" t="str">
        <f>IFERROR(__xludf.DUMMYFUNCTION("if(countif(filter(Status!$C:$C,Status!$A:$A=$A237),CONCATENATE(X$2,""*""))&gt;0,countif(filter(Status!$C:$C,Status!$A:$A=$A237),CONCATENATE(X$2,""*"")),"""")"),"")</f>
        <v/>
      </c>
      <c r="Y237" s="23" t="str">
        <f>IFERROR(__xludf.DUMMYFUNCTION("if(countif(filter(Status!$C:$C,Status!$A:$A=$A237),CONCATENATE(Y$2,""*""))&gt;0,countif(filter(Status!$C:$C,Status!$A:$A=$A237),CONCATENATE(Y$2,""*"")),"""")"),"")</f>
        <v/>
      </c>
      <c r="Z237" s="23" t="str">
        <f>IFERROR(__xludf.DUMMYFUNCTION("if(countif(filter(Status!$C:$C,Status!$A:$A=$A237),CONCATENATE(Z$2,""*""))&gt;0,countif(filter(Status!$C:$C,Status!$A:$A=$A237),CONCATENATE(Z$2,""*"")),"""")"),"")</f>
        <v/>
      </c>
      <c r="AA237" s="23" t="str">
        <f>IFERROR(__xludf.DUMMYFUNCTION("if((countif(filter(Status!$C:$C,Status!$A:$A=$A237),CONCATENATE(AA$2,""*""))-AB237)&gt;0,(countif(filter(Status!$C:$C,Status!$A:$A=$A237),CONCATENATE(AA$2,""*""))-AB237),"""")"),"")</f>
        <v/>
      </c>
      <c r="AB237" s="23" t="str">
        <f>IFERROR(__xludf.DUMMYFUNCTION("if(countif(filter(Status!$C:$C,Status!$A:$A=$A237),CONCATENATE(AB$2,""*""))&gt;0,countif(filter(Status!$C:$C,Status!$A:$A=$A237),CONCATENATE(AB$2,""*"")),"""")"),"")</f>
        <v/>
      </c>
      <c r="AC237" s="23" t="str">
        <f>IFERROR(__xludf.DUMMYFUNCTION("if(countif(filter(Status!$C:$C,Status!$A:$A=$A237),CONCATENATE(AC$2,""*""))&gt;0,countif(filter(Status!$C:$C,Status!$A:$A=$A237),CONCATENATE(AC$2,""*"")),"""")"),"")</f>
        <v/>
      </c>
      <c r="AD237" s="23" t="str">
        <f>IFERROR(__xludf.DUMMYFUNCTION("if(countif(filter(Status!$C:$C,Status!$A:$A=$A237),CONCATENATE(AD$2,""*""))&gt;0,countif(filter(Status!$C:$C,Status!$A:$A=$A237),CONCATENATE(AD$2,""*"")),"""")"),"")</f>
        <v/>
      </c>
      <c r="AE237" s="23" t="str">
        <f>IFERROR(__xludf.DUMMYFUNCTION("if(countif(filter(Status!$C:$C,Status!$A:$A=$A237),CONCATENATE(AE$2,""*""))&gt;0,countif(filter(Status!$C:$C,Status!$A:$A=$A237),CONCATENATE(AE$2,""*"")),"""")"),"")</f>
        <v/>
      </c>
      <c r="AF237" s="23" t="str">
        <f>IFERROR(__xludf.DUMMYFUNCTION("if(countif(filter(Status!$C:$C,Status!$A:$A=$A237),CONCATENATE(AF$2,""*""))&gt;0,countif(filter(Status!$C:$C,Status!$A:$A=$A237),CONCATENATE(AF$2,""*"")),"""")"),"")</f>
        <v/>
      </c>
      <c r="AG237" s="23" t="str">
        <f>IFERROR(__xludf.DUMMYFUNCTION("if(countif(filter(Status!$C:$C,Status!$A:$A=$A237),CONCATENATE(AG$2,""*""))&gt;0,countif(filter(Status!$C:$C,Status!$A:$A=$A237),CONCATENATE(AG$2,""*"")),"""")"),"")</f>
        <v/>
      </c>
      <c r="AH237" s="23" t="str">
        <f>IFERROR(__xludf.DUMMYFUNCTION("if(countif(filter(Status!$C:$C,Status!$A:$A=$A237),CONCATENATE(AH$2,""*""))&gt;0,countif(filter(Status!$C:$C,Status!$A:$A=$A237),CONCATENATE(AH$2,""*"")),"""")"),"")</f>
        <v/>
      </c>
      <c r="AI237" s="23" t="str">
        <f>IFERROR(__xludf.DUMMYFUNCTION("if(countif(filter(Status!$C:$C,Status!$A:$A=$A237),CONCATENATE(AI$2,""*""))&gt;0,countif(filter(Status!$C:$C,Status!$A:$A=$A237),CONCATENATE(AI$2,""*"")),"""")"),"")</f>
        <v/>
      </c>
      <c r="AJ237" s="23" t="str">
        <f>IFERROR(__xludf.DUMMYFUNCTION("if(countif(filter(Status!$C:$C,Status!$A:$A=$A237),CONCATENATE(AJ$2,""*""))&gt;0,countif(filter(Status!$C:$C,Status!$A:$A=$A237),CONCATENATE(AJ$2,""*"")),"""")"),"")</f>
        <v/>
      </c>
      <c r="AK237" s="23" t="str">
        <f>IFERROR(__xludf.DUMMYFUNCTION("if(countif(filter(Status!$C:$C,Status!$A:$A=$A237),CONCATENATE(AK$2,""*""))&gt;0,countif(filter(Status!$C:$C,Status!$A:$A=$A237),CONCATENATE(AK$2,""*"")),"""")"),"")</f>
        <v/>
      </c>
      <c r="AL237" s="23" t="str">
        <f>IFERROR(__xludf.DUMMYFUNCTION("if(countif(filter(Status!$C:$C,Status!$A:$A=$A237),CONCATENATE(AL$2,""*""))&gt;0,countif(filter(Status!$C:$C,Status!$A:$A=$A237),CONCATENATE(AL$2,""*"")),"""")"),"")</f>
        <v/>
      </c>
      <c r="AM237" s="23" t="str">
        <f>IFERROR(__xludf.DUMMYFUNCTION("if(countif(filter(Status!$C:$C,Status!$A:$A=$A237),CONCATENATE(AM$2,""*""))&gt;0,countif(filter(Status!$C:$C,Status!$A:$A=$A237),CONCATENATE(AM$2,""*"")),"""")"),"")</f>
        <v/>
      </c>
      <c r="AN237" s="23" t="str">
        <f>IFERROR(__xludf.DUMMYFUNCTION("if(countif(filter(Status!$C:$C,Status!$A:$A=$A237),CONCATENATE(AN$2,""*""))&gt;0,countif(filter(Status!$C:$C,Status!$A:$A=$A237),CONCATENATE(AN$2,""*"")),"""")"),"")</f>
        <v/>
      </c>
      <c r="AO237" s="23" t="str">
        <f>IFERROR(__xludf.DUMMYFUNCTION("if(countif(filter(Status!$C:$C,Status!$A:$A=$A237),CONCATENATE(AO$2,""*""))&gt;0,countif(filter(Status!$C:$C,Status!$A:$A=$A237),CONCATENATE(AO$2,""*"")),"""")"),"")</f>
        <v/>
      </c>
      <c r="AP237" s="23">
        <f>IFERROR(__xludf.DUMMYFUNCTION("counta(iferror(filter(Status!C:C,Status!A:A=A237)))"),0.0)</f>
        <v>0</v>
      </c>
      <c r="AQ237" s="23">
        <f t="shared" si="6"/>
        <v>0</v>
      </c>
    </row>
    <row r="238">
      <c r="A238" s="1" t="s">
        <v>1431</v>
      </c>
      <c r="B238" s="25" t="str">
        <f>IFERROR(__xludf.DUMMYFUNCTION("max(filter(Status!E:E,Status!A:A=A238))"),"#N/A")</f>
        <v>#N/A</v>
      </c>
      <c r="C238" s="23" t="str">
        <f t="shared" si="1"/>
        <v/>
      </c>
      <c r="D238" s="23" t="str">
        <f t="shared" si="2"/>
        <v/>
      </c>
      <c r="E238" s="23" t="str">
        <f t="shared" si="3"/>
        <v/>
      </c>
      <c r="F238" s="23" t="str">
        <f t="shared" si="4"/>
        <v/>
      </c>
      <c r="G238" s="25" t="str">
        <f t="shared" si="5"/>
        <v/>
      </c>
      <c r="J238" s="23">
        <f>IFERROR(__xludf.DUMMYFUNCTION("COUNTA(iferror(filter(Status!H:H,Status!A:A=A238)))"),0.0)</f>
        <v>0</v>
      </c>
      <c r="K238" s="25">
        <f>IFERROR(__xludf.DUMMYFUNCTION("COUNTA(iferror(filter(Status!H:H,Status!A:A=A238,Status!H:H=TRUE)))"),0.0)</f>
        <v>0</v>
      </c>
      <c r="L238" s="23">
        <f>IFERROR(__xludf.DUMMYFUNCTION("COUNTA(iferror(filter(Status!L:L,Status!A:A=A238)))"),0.0)</f>
        <v>0</v>
      </c>
      <c r="M238" s="25">
        <f>IFERROR(__xludf.DUMMYFUNCTION("COUNTA(iferror(filter(Status!L:L,Status!A:A=A238,Status!L:L=TRUE)))"),0.0)</f>
        <v>0</v>
      </c>
      <c r="N238" s="23">
        <f>IFERROR(__xludf.DUMMYFUNCTION("COUNTA(iferror(filter(Status!N:N,Status!A:A=A238,Status!N:N=TRUE)))"),0.0)</f>
        <v>0</v>
      </c>
      <c r="O238" s="25">
        <f>IFERROR(__xludf.DUMMYFUNCTION("COUNTA(iferror(filter(Status!N:N,Status!A:A=A238,Status!N:N=TRUE)))"),0.0)</f>
        <v>0</v>
      </c>
      <c r="P238" s="23">
        <f>IFERROR(__xludf.DUMMYFUNCTION("COUNTA(iferror(filter(Status!P:P,Status!A:A=A238)))"),0.0)</f>
        <v>0</v>
      </c>
      <c r="Q238" s="25">
        <f>IFERROR(__xludf.DUMMYFUNCTION("COUNTA(iferror(filter(Status!P:P,Status!A:A=A238,Status!P:P=TRUE)))"),0.0)</f>
        <v>0</v>
      </c>
      <c r="R238" s="23">
        <f>IFERROR(__xludf.DUMMYFUNCTION("COUNTA(iferror(filter(Status!R:R,Status!A:A=A238)))"),0.0)</f>
        <v>0</v>
      </c>
      <c r="S238" s="25">
        <f>IFERROR(__xludf.DUMMYFUNCTION("COUNTA(iferror(filter(Status!R:R,Status!A:A=A238,Status!R:R=TRUE)))"),0.0)</f>
        <v>0</v>
      </c>
      <c r="V238" s="23" t="str">
        <f>IFERROR(__xludf.DUMMYFUNCTION("if((countif(filter(Status!$C:$C,Status!$A:$A=$A238),CONCATENATE(V$2,""*""))-W238)&gt;0,(countif(filter(Status!$C:$C,Status!$A:$A=$A238),CONCATENATE(V$2,""*""))-W238),"""")"),"")</f>
        <v/>
      </c>
      <c r="W238" s="23" t="str">
        <f>IFERROR(__xludf.DUMMYFUNCTION("if(countif(filter(Status!$C:$C,Status!$A:$A=$A238),CONCATENATE(W$2,""*""))&gt;0,countif(filter(Status!$C:$C,Status!$A:$A=$A238),CONCATENATE(W$2,""*"")),"""")"),"")</f>
        <v/>
      </c>
      <c r="X238" s="23" t="str">
        <f>IFERROR(__xludf.DUMMYFUNCTION("if(countif(filter(Status!$C:$C,Status!$A:$A=$A238),CONCATENATE(X$2,""*""))&gt;0,countif(filter(Status!$C:$C,Status!$A:$A=$A238),CONCATENATE(X$2,""*"")),"""")"),"")</f>
        <v/>
      </c>
      <c r="Y238" s="23" t="str">
        <f>IFERROR(__xludf.DUMMYFUNCTION("if(countif(filter(Status!$C:$C,Status!$A:$A=$A238),CONCATENATE(Y$2,""*""))&gt;0,countif(filter(Status!$C:$C,Status!$A:$A=$A238),CONCATENATE(Y$2,""*"")),"""")"),"")</f>
        <v/>
      </c>
      <c r="Z238" s="23" t="str">
        <f>IFERROR(__xludf.DUMMYFUNCTION("if(countif(filter(Status!$C:$C,Status!$A:$A=$A238),CONCATENATE(Z$2,""*""))&gt;0,countif(filter(Status!$C:$C,Status!$A:$A=$A238),CONCATENATE(Z$2,""*"")),"""")"),"")</f>
        <v/>
      </c>
      <c r="AA238" s="23" t="str">
        <f>IFERROR(__xludf.DUMMYFUNCTION("if((countif(filter(Status!$C:$C,Status!$A:$A=$A238),CONCATENATE(AA$2,""*""))-AB238)&gt;0,(countif(filter(Status!$C:$C,Status!$A:$A=$A238),CONCATENATE(AA$2,""*""))-AB238),"""")"),"")</f>
        <v/>
      </c>
      <c r="AB238" s="23" t="str">
        <f>IFERROR(__xludf.DUMMYFUNCTION("if(countif(filter(Status!$C:$C,Status!$A:$A=$A238),CONCATENATE(AB$2,""*""))&gt;0,countif(filter(Status!$C:$C,Status!$A:$A=$A238),CONCATENATE(AB$2,""*"")),"""")"),"")</f>
        <v/>
      </c>
      <c r="AC238" s="23" t="str">
        <f>IFERROR(__xludf.DUMMYFUNCTION("if(countif(filter(Status!$C:$C,Status!$A:$A=$A238),CONCATENATE(AC$2,""*""))&gt;0,countif(filter(Status!$C:$C,Status!$A:$A=$A238),CONCATENATE(AC$2,""*"")),"""")"),"")</f>
        <v/>
      </c>
      <c r="AD238" s="23" t="str">
        <f>IFERROR(__xludf.DUMMYFUNCTION("if(countif(filter(Status!$C:$C,Status!$A:$A=$A238),CONCATENATE(AD$2,""*""))&gt;0,countif(filter(Status!$C:$C,Status!$A:$A=$A238),CONCATENATE(AD$2,""*"")),"""")"),"")</f>
        <v/>
      </c>
      <c r="AE238" s="23" t="str">
        <f>IFERROR(__xludf.DUMMYFUNCTION("if(countif(filter(Status!$C:$C,Status!$A:$A=$A238),CONCATENATE(AE$2,""*""))&gt;0,countif(filter(Status!$C:$C,Status!$A:$A=$A238),CONCATENATE(AE$2,""*"")),"""")"),"")</f>
        <v/>
      </c>
      <c r="AF238" s="23" t="str">
        <f>IFERROR(__xludf.DUMMYFUNCTION("if(countif(filter(Status!$C:$C,Status!$A:$A=$A238),CONCATENATE(AF$2,""*""))&gt;0,countif(filter(Status!$C:$C,Status!$A:$A=$A238),CONCATENATE(AF$2,""*"")),"""")"),"")</f>
        <v/>
      </c>
      <c r="AG238" s="23" t="str">
        <f>IFERROR(__xludf.DUMMYFUNCTION("if(countif(filter(Status!$C:$C,Status!$A:$A=$A238),CONCATENATE(AG$2,""*""))&gt;0,countif(filter(Status!$C:$C,Status!$A:$A=$A238),CONCATENATE(AG$2,""*"")),"""")"),"")</f>
        <v/>
      </c>
      <c r="AH238" s="23" t="str">
        <f>IFERROR(__xludf.DUMMYFUNCTION("if(countif(filter(Status!$C:$C,Status!$A:$A=$A238),CONCATENATE(AH$2,""*""))&gt;0,countif(filter(Status!$C:$C,Status!$A:$A=$A238),CONCATENATE(AH$2,""*"")),"""")"),"")</f>
        <v/>
      </c>
      <c r="AI238" s="23" t="str">
        <f>IFERROR(__xludf.DUMMYFUNCTION("if(countif(filter(Status!$C:$C,Status!$A:$A=$A238),CONCATENATE(AI$2,""*""))&gt;0,countif(filter(Status!$C:$C,Status!$A:$A=$A238),CONCATENATE(AI$2,""*"")),"""")"),"")</f>
        <v/>
      </c>
      <c r="AJ238" s="23" t="str">
        <f>IFERROR(__xludf.DUMMYFUNCTION("if(countif(filter(Status!$C:$C,Status!$A:$A=$A238),CONCATENATE(AJ$2,""*""))&gt;0,countif(filter(Status!$C:$C,Status!$A:$A=$A238),CONCATENATE(AJ$2,""*"")),"""")"),"")</f>
        <v/>
      </c>
      <c r="AK238" s="23" t="str">
        <f>IFERROR(__xludf.DUMMYFUNCTION("if(countif(filter(Status!$C:$C,Status!$A:$A=$A238),CONCATENATE(AK$2,""*""))&gt;0,countif(filter(Status!$C:$C,Status!$A:$A=$A238),CONCATENATE(AK$2,""*"")),"""")"),"")</f>
        <v/>
      </c>
      <c r="AL238" s="23" t="str">
        <f>IFERROR(__xludf.DUMMYFUNCTION("if(countif(filter(Status!$C:$C,Status!$A:$A=$A238),CONCATENATE(AL$2,""*""))&gt;0,countif(filter(Status!$C:$C,Status!$A:$A=$A238),CONCATENATE(AL$2,""*"")),"""")"),"")</f>
        <v/>
      </c>
      <c r="AM238" s="23" t="str">
        <f>IFERROR(__xludf.DUMMYFUNCTION("if(countif(filter(Status!$C:$C,Status!$A:$A=$A238),CONCATENATE(AM$2,""*""))&gt;0,countif(filter(Status!$C:$C,Status!$A:$A=$A238),CONCATENATE(AM$2,""*"")),"""")"),"")</f>
        <v/>
      </c>
      <c r="AN238" s="23" t="str">
        <f>IFERROR(__xludf.DUMMYFUNCTION("if(countif(filter(Status!$C:$C,Status!$A:$A=$A238),CONCATENATE(AN$2,""*""))&gt;0,countif(filter(Status!$C:$C,Status!$A:$A=$A238),CONCATENATE(AN$2,""*"")),"""")"),"")</f>
        <v/>
      </c>
      <c r="AO238" s="23" t="str">
        <f>IFERROR(__xludf.DUMMYFUNCTION("if(countif(filter(Status!$C:$C,Status!$A:$A=$A238),CONCATENATE(AO$2,""*""))&gt;0,countif(filter(Status!$C:$C,Status!$A:$A=$A238),CONCATENATE(AO$2,""*"")),"""")"),"")</f>
        <v/>
      </c>
      <c r="AP238" s="23">
        <f>IFERROR(__xludf.DUMMYFUNCTION("counta(iferror(filter(Status!C:C,Status!A:A=A238)))"),0.0)</f>
        <v>0</v>
      </c>
      <c r="AQ238" s="23">
        <f t="shared" si="6"/>
        <v>0</v>
      </c>
    </row>
    <row r="239">
      <c r="A239" s="1" t="s">
        <v>1436</v>
      </c>
      <c r="B239" s="25" t="str">
        <f>IFERROR(__xludf.DUMMYFUNCTION("max(filter(Status!E:E,Status!A:A=A239))"),"#N/A")</f>
        <v>#N/A</v>
      </c>
      <c r="C239" s="23" t="str">
        <f t="shared" si="1"/>
        <v/>
      </c>
      <c r="D239" s="23" t="str">
        <f t="shared" si="2"/>
        <v/>
      </c>
      <c r="E239" s="23" t="str">
        <f t="shared" si="3"/>
        <v/>
      </c>
      <c r="F239" s="23" t="str">
        <f t="shared" si="4"/>
        <v/>
      </c>
      <c r="G239" s="25" t="str">
        <f t="shared" si="5"/>
        <v/>
      </c>
      <c r="J239" s="23">
        <f>IFERROR(__xludf.DUMMYFUNCTION("COUNTA(iferror(filter(Status!H:H,Status!A:A=A239)))"),0.0)</f>
        <v>0</v>
      </c>
      <c r="K239" s="25">
        <f>IFERROR(__xludf.DUMMYFUNCTION("COUNTA(iferror(filter(Status!H:H,Status!A:A=A239,Status!H:H=TRUE)))"),0.0)</f>
        <v>0</v>
      </c>
      <c r="L239" s="23">
        <f>IFERROR(__xludf.DUMMYFUNCTION("COUNTA(iferror(filter(Status!L:L,Status!A:A=A239)))"),0.0)</f>
        <v>0</v>
      </c>
      <c r="M239" s="25">
        <f>IFERROR(__xludf.DUMMYFUNCTION("COUNTA(iferror(filter(Status!L:L,Status!A:A=A239,Status!L:L=TRUE)))"),0.0)</f>
        <v>0</v>
      </c>
      <c r="N239" s="23">
        <f>IFERROR(__xludf.DUMMYFUNCTION("COUNTA(iferror(filter(Status!N:N,Status!A:A=A239,Status!N:N=TRUE)))"),0.0)</f>
        <v>0</v>
      </c>
      <c r="O239" s="25">
        <f>IFERROR(__xludf.DUMMYFUNCTION("COUNTA(iferror(filter(Status!N:N,Status!A:A=A239,Status!N:N=TRUE)))"),0.0)</f>
        <v>0</v>
      </c>
      <c r="P239" s="23">
        <f>IFERROR(__xludf.DUMMYFUNCTION("COUNTA(iferror(filter(Status!P:P,Status!A:A=A239)))"),0.0)</f>
        <v>0</v>
      </c>
      <c r="Q239" s="25">
        <f>IFERROR(__xludf.DUMMYFUNCTION("COUNTA(iferror(filter(Status!P:P,Status!A:A=A239,Status!P:P=TRUE)))"),0.0)</f>
        <v>0</v>
      </c>
      <c r="R239" s="23">
        <f>IFERROR(__xludf.DUMMYFUNCTION("COUNTA(iferror(filter(Status!R:R,Status!A:A=A239)))"),0.0)</f>
        <v>0</v>
      </c>
      <c r="S239" s="25">
        <f>IFERROR(__xludf.DUMMYFUNCTION("COUNTA(iferror(filter(Status!R:R,Status!A:A=A239,Status!R:R=TRUE)))"),0.0)</f>
        <v>0</v>
      </c>
      <c r="V239" s="23" t="str">
        <f>IFERROR(__xludf.DUMMYFUNCTION("if((countif(filter(Status!$C:$C,Status!$A:$A=$A239),CONCATENATE(V$2,""*""))-W239)&gt;0,(countif(filter(Status!$C:$C,Status!$A:$A=$A239),CONCATENATE(V$2,""*""))-W239),"""")"),"")</f>
        <v/>
      </c>
      <c r="W239" s="23" t="str">
        <f>IFERROR(__xludf.DUMMYFUNCTION("if(countif(filter(Status!$C:$C,Status!$A:$A=$A239),CONCATENATE(W$2,""*""))&gt;0,countif(filter(Status!$C:$C,Status!$A:$A=$A239),CONCATENATE(W$2,""*"")),"""")"),"")</f>
        <v/>
      </c>
      <c r="X239" s="23" t="str">
        <f>IFERROR(__xludf.DUMMYFUNCTION("if(countif(filter(Status!$C:$C,Status!$A:$A=$A239),CONCATENATE(X$2,""*""))&gt;0,countif(filter(Status!$C:$C,Status!$A:$A=$A239),CONCATENATE(X$2,""*"")),"""")"),"")</f>
        <v/>
      </c>
      <c r="Y239" s="23" t="str">
        <f>IFERROR(__xludf.DUMMYFUNCTION("if(countif(filter(Status!$C:$C,Status!$A:$A=$A239),CONCATENATE(Y$2,""*""))&gt;0,countif(filter(Status!$C:$C,Status!$A:$A=$A239),CONCATENATE(Y$2,""*"")),"""")"),"")</f>
        <v/>
      </c>
      <c r="Z239" s="23" t="str">
        <f>IFERROR(__xludf.DUMMYFUNCTION("if(countif(filter(Status!$C:$C,Status!$A:$A=$A239),CONCATENATE(Z$2,""*""))&gt;0,countif(filter(Status!$C:$C,Status!$A:$A=$A239),CONCATENATE(Z$2,""*"")),"""")"),"")</f>
        <v/>
      </c>
      <c r="AA239" s="23" t="str">
        <f>IFERROR(__xludf.DUMMYFUNCTION("if((countif(filter(Status!$C:$C,Status!$A:$A=$A239),CONCATENATE(AA$2,""*""))-AB239)&gt;0,(countif(filter(Status!$C:$C,Status!$A:$A=$A239),CONCATENATE(AA$2,""*""))-AB239),"""")"),"")</f>
        <v/>
      </c>
      <c r="AB239" s="23" t="str">
        <f>IFERROR(__xludf.DUMMYFUNCTION("if(countif(filter(Status!$C:$C,Status!$A:$A=$A239),CONCATENATE(AB$2,""*""))&gt;0,countif(filter(Status!$C:$C,Status!$A:$A=$A239),CONCATENATE(AB$2,""*"")),"""")"),"")</f>
        <v/>
      </c>
      <c r="AC239" s="23" t="str">
        <f>IFERROR(__xludf.DUMMYFUNCTION("if(countif(filter(Status!$C:$C,Status!$A:$A=$A239),CONCATENATE(AC$2,""*""))&gt;0,countif(filter(Status!$C:$C,Status!$A:$A=$A239),CONCATENATE(AC$2,""*"")),"""")"),"")</f>
        <v/>
      </c>
      <c r="AD239" s="23" t="str">
        <f>IFERROR(__xludf.DUMMYFUNCTION("if(countif(filter(Status!$C:$C,Status!$A:$A=$A239),CONCATENATE(AD$2,""*""))&gt;0,countif(filter(Status!$C:$C,Status!$A:$A=$A239),CONCATENATE(AD$2,""*"")),"""")"),"")</f>
        <v/>
      </c>
      <c r="AE239" s="23" t="str">
        <f>IFERROR(__xludf.DUMMYFUNCTION("if(countif(filter(Status!$C:$C,Status!$A:$A=$A239),CONCATENATE(AE$2,""*""))&gt;0,countif(filter(Status!$C:$C,Status!$A:$A=$A239),CONCATENATE(AE$2,""*"")),"""")"),"")</f>
        <v/>
      </c>
      <c r="AF239" s="23" t="str">
        <f>IFERROR(__xludf.DUMMYFUNCTION("if(countif(filter(Status!$C:$C,Status!$A:$A=$A239),CONCATENATE(AF$2,""*""))&gt;0,countif(filter(Status!$C:$C,Status!$A:$A=$A239),CONCATENATE(AF$2,""*"")),"""")"),"")</f>
        <v/>
      </c>
      <c r="AG239" s="23" t="str">
        <f>IFERROR(__xludf.DUMMYFUNCTION("if(countif(filter(Status!$C:$C,Status!$A:$A=$A239),CONCATENATE(AG$2,""*""))&gt;0,countif(filter(Status!$C:$C,Status!$A:$A=$A239),CONCATENATE(AG$2,""*"")),"""")"),"")</f>
        <v/>
      </c>
      <c r="AH239" s="23" t="str">
        <f>IFERROR(__xludf.DUMMYFUNCTION("if(countif(filter(Status!$C:$C,Status!$A:$A=$A239),CONCATENATE(AH$2,""*""))&gt;0,countif(filter(Status!$C:$C,Status!$A:$A=$A239),CONCATENATE(AH$2,""*"")),"""")"),"")</f>
        <v/>
      </c>
      <c r="AI239" s="23" t="str">
        <f>IFERROR(__xludf.DUMMYFUNCTION("if(countif(filter(Status!$C:$C,Status!$A:$A=$A239),CONCATENATE(AI$2,""*""))&gt;0,countif(filter(Status!$C:$C,Status!$A:$A=$A239),CONCATENATE(AI$2,""*"")),"""")"),"")</f>
        <v/>
      </c>
      <c r="AJ239" s="23" t="str">
        <f>IFERROR(__xludf.DUMMYFUNCTION("if(countif(filter(Status!$C:$C,Status!$A:$A=$A239),CONCATENATE(AJ$2,""*""))&gt;0,countif(filter(Status!$C:$C,Status!$A:$A=$A239),CONCATENATE(AJ$2,""*"")),"""")"),"")</f>
        <v/>
      </c>
      <c r="AK239" s="23" t="str">
        <f>IFERROR(__xludf.DUMMYFUNCTION("if(countif(filter(Status!$C:$C,Status!$A:$A=$A239),CONCATENATE(AK$2,""*""))&gt;0,countif(filter(Status!$C:$C,Status!$A:$A=$A239),CONCATENATE(AK$2,""*"")),"""")"),"")</f>
        <v/>
      </c>
      <c r="AL239" s="23" t="str">
        <f>IFERROR(__xludf.DUMMYFUNCTION("if(countif(filter(Status!$C:$C,Status!$A:$A=$A239),CONCATENATE(AL$2,""*""))&gt;0,countif(filter(Status!$C:$C,Status!$A:$A=$A239),CONCATENATE(AL$2,""*"")),"""")"),"")</f>
        <v/>
      </c>
      <c r="AM239" s="23" t="str">
        <f>IFERROR(__xludf.DUMMYFUNCTION("if(countif(filter(Status!$C:$C,Status!$A:$A=$A239),CONCATENATE(AM$2,""*""))&gt;0,countif(filter(Status!$C:$C,Status!$A:$A=$A239),CONCATENATE(AM$2,""*"")),"""")"),"")</f>
        <v/>
      </c>
      <c r="AN239" s="23" t="str">
        <f>IFERROR(__xludf.DUMMYFUNCTION("if(countif(filter(Status!$C:$C,Status!$A:$A=$A239),CONCATENATE(AN$2,""*""))&gt;0,countif(filter(Status!$C:$C,Status!$A:$A=$A239),CONCATENATE(AN$2,""*"")),"""")"),"")</f>
        <v/>
      </c>
      <c r="AO239" s="23" t="str">
        <f>IFERROR(__xludf.DUMMYFUNCTION("if(countif(filter(Status!$C:$C,Status!$A:$A=$A239),CONCATENATE(AO$2,""*""))&gt;0,countif(filter(Status!$C:$C,Status!$A:$A=$A239),CONCATENATE(AO$2,""*"")),"""")"),"")</f>
        <v/>
      </c>
      <c r="AP239" s="23">
        <f>IFERROR(__xludf.DUMMYFUNCTION("counta(iferror(filter(Status!C:C,Status!A:A=A239)))"),0.0)</f>
        <v>0</v>
      </c>
      <c r="AQ239" s="23">
        <f t="shared" si="6"/>
        <v>0</v>
      </c>
    </row>
    <row r="240">
      <c r="A240" s="1" t="s">
        <v>1440</v>
      </c>
      <c r="B240" s="25" t="str">
        <f>IFERROR(__xludf.DUMMYFUNCTION("max(filter(Status!E:E,Status!A:A=A240))"),"#N/A")</f>
        <v>#N/A</v>
      </c>
      <c r="C240" s="23" t="str">
        <f t="shared" si="1"/>
        <v/>
      </c>
      <c r="D240" s="23" t="str">
        <f t="shared" si="2"/>
        <v/>
      </c>
      <c r="E240" s="23" t="str">
        <f t="shared" si="3"/>
        <v/>
      </c>
      <c r="F240" s="23" t="str">
        <f t="shared" si="4"/>
        <v/>
      </c>
      <c r="G240" s="25" t="str">
        <f t="shared" si="5"/>
        <v/>
      </c>
      <c r="J240" s="23">
        <f>IFERROR(__xludf.DUMMYFUNCTION("COUNTA(iferror(filter(Status!H:H,Status!A:A=A240)))"),0.0)</f>
        <v>0</v>
      </c>
      <c r="K240" s="25">
        <f>IFERROR(__xludf.DUMMYFUNCTION("COUNTA(iferror(filter(Status!H:H,Status!A:A=A240,Status!H:H=TRUE)))"),0.0)</f>
        <v>0</v>
      </c>
      <c r="L240" s="23">
        <f>IFERROR(__xludf.DUMMYFUNCTION("COUNTA(iferror(filter(Status!L:L,Status!A:A=A240)))"),0.0)</f>
        <v>0</v>
      </c>
      <c r="M240" s="25">
        <f>IFERROR(__xludf.DUMMYFUNCTION("COUNTA(iferror(filter(Status!L:L,Status!A:A=A240,Status!L:L=TRUE)))"),0.0)</f>
        <v>0</v>
      </c>
      <c r="N240" s="23">
        <f>IFERROR(__xludf.DUMMYFUNCTION("COUNTA(iferror(filter(Status!N:N,Status!A:A=A240,Status!N:N=TRUE)))"),0.0)</f>
        <v>0</v>
      </c>
      <c r="O240" s="25">
        <f>IFERROR(__xludf.DUMMYFUNCTION("COUNTA(iferror(filter(Status!N:N,Status!A:A=A240,Status!N:N=TRUE)))"),0.0)</f>
        <v>0</v>
      </c>
      <c r="P240" s="23">
        <f>IFERROR(__xludf.DUMMYFUNCTION("COUNTA(iferror(filter(Status!P:P,Status!A:A=A240)))"),0.0)</f>
        <v>0</v>
      </c>
      <c r="Q240" s="25">
        <f>IFERROR(__xludf.DUMMYFUNCTION("COUNTA(iferror(filter(Status!P:P,Status!A:A=A240,Status!P:P=TRUE)))"),0.0)</f>
        <v>0</v>
      </c>
      <c r="R240" s="23">
        <f>IFERROR(__xludf.DUMMYFUNCTION("COUNTA(iferror(filter(Status!R:R,Status!A:A=A240)))"),0.0)</f>
        <v>0</v>
      </c>
      <c r="S240" s="25">
        <f>IFERROR(__xludf.DUMMYFUNCTION("COUNTA(iferror(filter(Status!R:R,Status!A:A=A240,Status!R:R=TRUE)))"),0.0)</f>
        <v>0</v>
      </c>
      <c r="V240" s="23" t="str">
        <f>IFERROR(__xludf.DUMMYFUNCTION("if((countif(filter(Status!$C:$C,Status!$A:$A=$A240),CONCATENATE(V$2,""*""))-W240)&gt;0,(countif(filter(Status!$C:$C,Status!$A:$A=$A240),CONCATENATE(V$2,""*""))-W240),"""")"),"")</f>
        <v/>
      </c>
      <c r="W240" s="23" t="str">
        <f>IFERROR(__xludf.DUMMYFUNCTION("if(countif(filter(Status!$C:$C,Status!$A:$A=$A240),CONCATENATE(W$2,""*""))&gt;0,countif(filter(Status!$C:$C,Status!$A:$A=$A240),CONCATENATE(W$2,""*"")),"""")"),"")</f>
        <v/>
      </c>
      <c r="X240" s="23" t="str">
        <f>IFERROR(__xludf.DUMMYFUNCTION("if(countif(filter(Status!$C:$C,Status!$A:$A=$A240),CONCATENATE(X$2,""*""))&gt;0,countif(filter(Status!$C:$C,Status!$A:$A=$A240),CONCATENATE(X$2,""*"")),"""")"),"")</f>
        <v/>
      </c>
      <c r="Y240" s="23" t="str">
        <f>IFERROR(__xludf.DUMMYFUNCTION("if(countif(filter(Status!$C:$C,Status!$A:$A=$A240),CONCATENATE(Y$2,""*""))&gt;0,countif(filter(Status!$C:$C,Status!$A:$A=$A240),CONCATENATE(Y$2,""*"")),"""")"),"")</f>
        <v/>
      </c>
      <c r="Z240" s="23" t="str">
        <f>IFERROR(__xludf.DUMMYFUNCTION("if(countif(filter(Status!$C:$C,Status!$A:$A=$A240),CONCATENATE(Z$2,""*""))&gt;0,countif(filter(Status!$C:$C,Status!$A:$A=$A240),CONCATENATE(Z$2,""*"")),"""")"),"")</f>
        <v/>
      </c>
      <c r="AA240" s="23" t="str">
        <f>IFERROR(__xludf.DUMMYFUNCTION("if((countif(filter(Status!$C:$C,Status!$A:$A=$A240),CONCATENATE(AA$2,""*""))-AB240)&gt;0,(countif(filter(Status!$C:$C,Status!$A:$A=$A240),CONCATENATE(AA$2,""*""))-AB240),"""")"),"")</f>
        <v/>
      </c>
      <c r="AB240" s="23" t="str">
        <f>IFERROR(__xludf.DUMMYFUNCTION("if(countif(filter(Status!$C:$C,Status!$A:$A=$A240),CONCATENATE(AB$2,""*""))&gt;0,countif(filter(Status!$C:$C,Status!$A:$A=$A240),CONCATENATE(AB$2,""*"")),"""")"),"")</f>
        <v/>
      </c>
      <c r="AC240" s="23" t="str">
        <f>IFERROR(__xludf.DUMMYFUNCTION("if(countif(filter(Status!$C:$C,Status!$A:$A=$A240),CONCATENATE(AC$2,""*""))&gt;0,countif(filter(Status!$C:$C,Status!$A:$A=$A240),CONCATENATE(AC$2,""*"")),"""")"),"")</f>
        <v/>
      </c>
      <c r="AD240" s="23" t="str">
        <f>IFERROR(__xludf.DUMMYFUNCTION("if(countif(filter(Status!$C:$C,Status!$A:$A=$A240),CONCATENATE(AD$2,""*""))&gt;0,countif(filter(Status!$C:$C,Status!$A:$A=$A240),CONCATENATE(AD$2,""*"")),"""")"),"")</f>
        <v/>
      </c>
      <c r="AE240" s="23" t="str">
        <f>IFERROR(__xludf.DUMMYFUNCTION("if(countif(filter(Status!$C:$C,Status!$A:$A=$A240),CONCATENATE(AE$2,""*""))&gt;0,countif(filter(Status!$C:$C,Status!$A:$A=$A240),CONCATENATE(AE$2,""*"")),"""")"),"")</f>
        <v/>
      </c>
      <c r="AF240" s="23" t="str">
        <f>IFERROR(__xludf.DUMMYFUNCTION("if(countif(filter(Status!$C:$C,Status!$A:$A=$A240),CONCATENATE(AF$2,""*""))&gt;0,countif(filter(Status!$C:$C,Status!$A:$A=$A240),CONCATENATE(AF$2,""*"")),"""")"),"")</f>
        <v/>
      </c>
      <c r="AG240" s="23" t="str">
        <f>IFERROR(__xludf.DUMMYFUNCTION("if(countif(filter(Status!$C:$C,Status!$A:$A=$A240),CONCATENATE(AG$2,""*""))&gt;0,countif(filter(Status!$C:$C,Status!$A:$A=$A240),CONCATENATE(AG$2,""*"")),"""")"),"")</f>
        <v/>
      </c>
      <c r="AH240" s="23" t="str">
        <f>IFERROR(__xludf.DUMMYFUNCTION("if(countif(filter(Status!$C:$C,Status!$A:$A=$A240),CONCATENATE(AH$2,""*""))&gt;0,countif(filter(Status!$C:$C,Status!$A:$A=$A240),CONCATENATE(AH$2,""*"")),"""")"),"")</f>
        <v/>
      </c>
      <c r="AI240" s="23" t="str">
        <f>IFERROR(__xludf.DUMMYFUNCTION("if(countif(filter(Status!$C:$C,Status!$A:$A=$A240),CONCATENATE(AI$2,""*""))&gt;0,countif(filter(Status!$C:$C,Status!$A:$A=$A240),CONCATENATE(AI$2,""*"")),"""")"),"")</f>
        <v/>
      </c>
      <c r="AJ240" s="23" t="str">
        <f>IFERROR(__xludf.DUMMYFUNCTION("if(countif(filter(Status!$C:$C,Status!$A:$A=$A240),CONCATENATE(AJ$2,""*""))&gt;0,countif(filter(Status!$C:$C,Status!$A:$A=$A240),CONCATENATE(AJ$2,""*"")),"""")"),"")</f>
        <v/>
      </c>
      <c r="AK240" s="23" t="str">
        <f>IFERROR(__xludf.DUMMYFUNCTION("if(countif(filter(Status!$C:$C,Status!$A:$A=$A240),CONCATENATE(AK$2,""*""))&gt;0,countif(filter(Status!$C:$C,Status!$A:$A=$A240),CONCATENATE(AK$2,""*"")),"""")"),"")</f>
        <v/>
      </c>
      <c r="AL240" s="23" t="str">
        <f>IFERROR(__xludf.DUMMYFUNCTION("if(countif(filter(Status!$C:$C,Status!$A:$A=$A240),CONCATENATE(AL$2,""*""))&gt;0,countif(filter(Status!$C:$C,Status!$A:$A=$A240),CONCATENATE(AL$2,""*"")),"""")"),"")</f>
        <v/>
      </c>
      <c r="AM240" s="23" t="str">
        <f>IFERROR(__xludf.DUMMYFUNCTION("if(countif(filter(Status!$C:$C,Status!$A:$A=$A240),CONCATENATE(AM$2,""*""))&gt;0,countif(filter(Status!$C:$C,Status!$A:$A=$A240),CONCATENATE(AM$2,""*"")),"""")"),"")</f>
        <v/>
      </c>
      <c r="AN240" s="23" t="str">
        <f>IFERROR(__xludf.DUMMYFUNCTION("if(countif(filter(Status!$C:$C,Status!$A:$A=$A240),CONCATENATE(AN$2,""*""))&gt;0,countif(filter(Status!$C:$C,Status!$A:$A=$A240),CONCATENATE(AN$2,""*"")),"""")"),"")</f>
        <v/>
      </c>
      <c r="AO240" s="23" t="str">
        <f>IFERROR(__xludf.DUMMYFUNCTION("if(countif(filter(Status!$C:$C,Status!$A:$A=$A240),CONCATENATE(AO$2,""*""))&gt;0,countif(filter(Status!$C:$C,Status!$A:$A=$A240),CONCATENATE(AO$2,""*"")),"""")"),"")</f>
        <v/>
      </c>
      <c r="AP240" s="23">
        <f>IFERROR(__xludf.DUMMYFUNCTION("counta(iferror(filter(Status!C:C,Status!A:A=A240)))"),0.0)</f>
        <v>0</v>
      </c>
      <c r="AQ240" s="23">
        <f t="shared" si="6"/>
        <v>0</v>
      </c>
    </row>
    <row r="241">
      <c r="A241" s="1" t="s">
        <v>1444</v>
      </c>
      <c r="B241" s="25" t="str">
        <f>IFERROR(__xludf.DUMMYFUNCTION("max(filter(Status!E:E,Status!A:A=A241))"),"#N/A")</f>
        <v>#N/A</v>
      </c>
      <c r="C241" s="23" t="str">
        <f t="shared" si="1"/>
        <v/>
      </c>
      <c r="D241" s="23" t="str">
        <f t="shared" si="2"/>
        <v/>
      </c>
      <c r="E241" s="23" t="str">
        <f t="shared" si="3"/>
        <v/>
      </c>
      <c r="F241" s="23" t="str">
        <f t="shared" si="4"/>
        <v/>
      </c>
      <c r="G241" s="25" t="str">
        <f t="shared" si="5"/>
        <v/>
      </c>
      <c r="J241" s="23">
        <f>IFERROR(__xludf.DUMMYFUNCTION("COUNTA(iferror(filter(Status!H:H,Status!A:A=A241)))"),0.0)</f>
        <v>0</v>
      </c>
      <c r="K241" s="25">
        <f>IFERROR(__xludf.DUMMYFUNCTION("COUNTA(iferror(filter(Status!H:H,Status!A:A=A241,Status!H:H=TRUE)))"),0.0)</f>
        <v>0</v>
      </c>
      <c r="L241" s="23">
        <f>IFERROR(__xludf.DUMMYFUNCTION("COUNTA(iferror(filter(Status!L:L,Status!A:A=A241)))"),0.0)</f>
        <v>0</v>
      </c>
      <c r="M241" s="25">
        <f>IFERROR(__xludf.DUMMYFUNCTION("COUNTA(iferror(filter(Status!L:L,Status!A:A=A241,Status!L:L=TRUE)))"),0.0)</f>
        <v>0</v>
      </c>
      <c r="N241" s="23">
        <f>IFERROR(__xludf.DUMMYFUNCTION("COUNTA(iferror(filter(Status!N:N,Status!A:A=A241,Status!N:N=TRUE)))"),0.0)</f>
        <v>0</v>
      </c>
      <c r="O241" s="25">
        <f>IFERROR(__xludf.DUMMYFUNCTION("COUNTA(iferror(filter(Status!N:N,Status!A:A=A241,Status!N:N=TRUE)))"),0.0)</f>
        <v>0</v>
      </c>
      <c r="P241" s="23">
        <f>IFERROR(__xludf.DUMMYFUNCTION("COUNTA(iferror(filter(Status!P:P,Status!A:A=A241)))"),0.0)</f>
        <v>0</v>
      </c>
      <c r="Q241" s="25">
        <f>IFERROR(__xludf.DUMMYFUNCTION("COUNTA(iferror(filter(Status!P:P,Status!A:A=A241,Status!P:P=TRUE)))"),0.0)</f>
        <v>0</v>
      </c>
      <c r="R241" s="23">
        <f>IFERROR(__xludf.DUMMYFUNCTION("COUNTA(iferror(filter(Status!R:R,Status!A:A=A241)))"),0.0)</f>
        <v>0</v>
      </c>
      <c r="S241" s="25">
        <f>IFERROR(__xludf.DUMMYFUNCTION("COUNTA(iferror(filter(Status!R:R,Status!A:A=A241,Status!R:R=TRUE)))"),0.0)</f>
        <v>0</v>
      </c>
      <c r="V241" s="23" t="str">
        <f>IFERROR(__xludf.DUMMYFUNCTION("if((countif(filter(Status!$C:$C,Status!$A:$A=$A241),CONCATENATE(V$2,""*""))-W241)&gt;0,(countif(filter(Status!$C:$C,Status!$A:$A=$A241),CONCATENATE(V$2,""*""))-W241),"""")"),"")</f>
        <v/>
      </c>
      <c r="W241" s="23" t="str">
        <f>IFERROR(__xludf.DUMMYFUNCTION("if(countif(filter(Status!$C:$C,Status!$A:$A=$A241),CONCATENATE(W$2,""*""))&gt;0,countif(filter(Status!$C:$C,Status!$A:$A=$A241),CONCATENATE(W$2,""*"")),"""")"),"")</f>
        <v/>
      </c>
      <c r="X241" s="23" t="str">
        <f>IFERROR(__xludf.DUMMYFUNCTION("if(countif(filter(Status!$C:$C,Status!$A:$A=$A241),CONCATENATE(X$2,""*""))&gt;0,countif(filter(Status!$C:$C,Status!$A:$A=$A241),CONCATENATE(X$2,""*"")),"""")"),"")</f>
        <v/>
      </c>
      <c r="Y241" s="23" t="str">
        <f>IFERROR(__xludf.DUMMYFUNCTION("if(countif(filter(Status!$C:$C,Status!$A:$A=$A241),CONCATENATE(Y$2,""*""))&gt;0,countif(filter(Status!$C:$C,Status!$A:$A=$A241),CONCATENATE(Y$2,""*"")),"""")"),"")</f>
        <v/>
      </c>
      <c r="Z241" s="23" t="str">
        <f>IFERROR(__xludf.DUMMYFUNCTION("if(countif(filter(Status!$C:$C,Status!$A:$A=$A241),CONCATENATE(Z$2,""*""))&gt;0,countif(filter(Status!$C:$C,Status!$A:$A=$A241),CONCATENATE(Z$2,""*"")),"""")"),"")</f>
        <v/>
      </c>
      <c r="AA241" s="23" t="str">
        <f>IFERROR(__xludf.DUMMYFUNCTION("if((countif(filter(Status!$C:$C,Status!$A:$A=$A241),CONCATENATE(AA$2,""*""))-AB241)&gt;0,(countif(filter(Status!$C:$C,Status!$A:$A=$A241),CONCATENATE(AA$2,""*""))-AB241),"""")"),"")</f>
        <v/>
      </c>
      <c r="AB241" s="23" t="str">
        <f>IFERROR(__xludf.DUMMYFUNCTION("if(countif(filter(Status!$C:$C,Status!$A:$A=$A241),CONCATENATE(AB$2,""*""))&gt;0,countif(filter(Status!$C:$C,Status!$A:$A=$A241),CONCATENATE(AB$2,""*"")),"""")"),"")</f>
        <v/>
      </c>
      <c r="AC241" s="23" t="str">
        <f>IFERROR(__xludf.DUMMYFUNCTION("if(countif(filter(Status!$C:$C,Status!$A:$A=$A241),CONCATENATE(AC$2,""*""))&gt;0,countif(filter(Status!$C:$C,Status!$A:$A=$A241),CONCATENATE(AC$2,""*"")),"""")"),"")</f>
        <v/>
      </c>
      <c r="AD241" s="23" t="str">
        <f>IFERROR(__xludf.DUMMYFUNCTION("if(countif(filter(Status!$C:$C,Status!$A:$A=$A241),CONCATENATE(AD$2,""*""))&gt;0,countif(filter(Status!$C:$C,Status!$A:$A=$A241),CONCATENATE(AD$2,""*"")),"""")"),"")</f>
        <v/>
      </c>
      <c r="AE241" s="23" t="str">
        <f>IFERROR(__xludf.DUMMYFUNCTION("if(countif(filter(Status!$C:$C,Status!$A:$A=$A241),CONCATENATE(AE$2,""*""))&gt;0,countif(filter(Status!$C:$C,Status!$A:$A=$A241),CONCATENATE(AE$2,""*"")),"""")"),"")</f>
        <v/>
      </c>
      <c r="AF241" s="23" t="str">
        <f>IFERROR(__xludf.DUMMYFUNCTION("if(countif(filter(Status!$C:$C,Status!$A:$A=$A241),CONCATENATE(AF$2,""*""))&gt;0,countif(filter(Status!$C:$C,Status!$A:$A=$A241),CONCATENATE(AF$2,""*"")),"""")"),"")</f>
        <v/>
      </c>
      <c r="AG241" s="23" t="str">
        <f>IFERROR(__xludf.DUMMYFUNCTION("if(countif(filter(Status!$C:$C,Status!$A:$A=$A241),CONCATENATE(AG$2,""*""))&gt;0,countif(filter(Status!$C:$C,Status!$A:$A=$A241),CONCATENATE(AG$2,""*"")),"""")"),"")</f>
        <v/>
      </c>
      <c r="AH241" s="23" t="str">
        <f>IFERROR(__xludf.DUMMYFUNCTION("if(countif(filter(Status!$C:$C,Status!$A:$A=$A241),CONCATENATE(AH$2,""*""))&gt;0,countif(filter(Status!$C:$C,Status!$A:$A=$A241),CONCATENATE(AH$2,""*"")),"""")"),"")</f>
        <v/>
      </c>
      <c r="AI241" s="23" t="str">
        <f>IFERROR(__xludf.DUMMYFUNCTION("if(countif(filter(Status!$C:$C,Status!$A:$A=$A241),CONCATENATE(AI$2,""*""))&gt;0,countif(filter(Status!$C:$C,Status!$A:$A=$A241),CONCATENATE(AI$2,""*"")),"""")"),"")</f>
        <v/>
      </c>
      <c r="AJ241" s="23" t="str">
        <f>IFERROR(__xludf.DUMMYFUNCTION("if(countif(filter(Status!$C:$C,Status!$A:$A=$A241),CONCATENATE(AJ$2,""*""))&gt;0,countif(filter(Status!$C:$C,Status!$A:$A=$A241),CONCATENATE(AJ$2,""*"")),"""")"),"")</f>
        <v/>
      </c>
      <c r="AK241" s="23" t="str">
        <f>IFERROR(__xludf.DUMMYFUNCTION("if(countif(filter(Status!$C:$C,Status!$A:$A=$A241),CONCATENATE(AK$2,""*""))&gt;0,countif(filter(Status!$C:$C,Status!$A:$A=$A241),CONCATENATE(AK$2,""*"")),"""")"),"")</f>
        <v/>
      </c>
      <c r="AL241" s="23" t="str">
        <f>IFERROR(__xludf.DUMMYFUNCTION("if(countif(filter(Status!$C:$C,Status!$A:$A=$A241),CONCATENATE(AL$2,""*""))&gt;0,countif(filter(Status!$C:$C,Status!$A:$A=$A241),CONCATENATE(AL$2,""*"")),"""")"),"")</f>
        <v/>
      </c>
      <c r="AM241" s="23" t="str">
        <f>IFERROR(__xludf.DUMMYFUNCTION("if(countif(filter(Status!$C:$C,Status!$A:$A=$A241),CONCATENATE(AM$2,""*""))&gt;0,countif(filter(Status!$C:$C,Status!$A:$A=$A241),CONCATENATE(AM$2,""*"")),"""")"),"")</f>
        <v/>
      </c>
      <c r="AN241" s="23" t="str">
        <f>IFERROR(__xludf.DUMMYFUNCTION("if(countif(filter(Status!$C:$C,Status!$A:$A=$A241),CONCATENATE(AN$2,""*""))&gt;0,countif(filter(Status!$C:$C,Status!$A:$A=$A241),CONCATENATE(AN$2,""*"")),"""")"),"")</f>
        <v/>
      </c>
      <c r="AO241" s="23" t="str">
        <f>IFERROR(__xludf.DUMMYFUNCTION("if(countif(filter(Status!$C:$C,Status!$A:$A=$A241),CONCATENATE(AO$2,""*""))&gt;0,countif(filter(Status!$C:$C,Status!$A:$A=$A241),CONCATENATE(AO$2,""*"")),"""")"),"")</f>
        <v/>
      </c>
      <c r="AP241" s="23">
        <f>IFERROR(__xludf.DUMMYFUNCTION("counta(iferror(filter(Status!C:C,Status!A:A=A241)))"),0.0)</f>
        <v>0</v>
      </c>
      <c r="AQ241" s="23">
        <f t="shared" si="6"/>
        <v>0</v>
      </c>
    </row>
    <row r="242">
      <c r="A242" s="1" t="s">
        <v>1449</v>
      </c>
      <c r="B242" s="25" t="str">
        <f>IFERROR(__xludf.DUMMYFUNCTION("max(filter(Status!E:E,Status!A:A=A242))"),"#N/A")</f>
        <v>#N/A</v>
      </c>
      <c r="C242" s="23" t="str">
        <f t="shared" si="1"/>
        <v/>
      </c>
      <c r="D242" s="23" t="str">
        <f t="shared" si="2"/>
        <v/>
      </c>
      <c r="E242" s="23" t="str">
        <f t="shared" si="3"/>
        <v/>
      </c>
      <c r="F242" s="23" t="str">
        <f t="shared" si="4"/>
        <v/>
      </c>
      <c r="G242" s="25" t="str">
        <f t="shared" si="5"/>
        <v/>
      </c>
      <c r="J242" s="23">
        <f>IFERROR(__xludf.DUMMYFUNCTION("COUNTA(iferror(filter(Status!H:H,Status!A:A=A242)))"),0.0)</f>
        <v>0</v>
      </c>
      <c r="K242" s="25">
        <f>IFERROR(__xludf.DUMMYFUNCTION("COUNTA(iferror(filter(Status!H:H,Status!A:A=A242,Status!H:H=TRUE)))"),0.0)</f>
        <v>0</v>
      </c>
      <c r="L242" s="23">
        <f>IFERROR(__xludf.DUMMYFUNCTION("COUNTA(iferror(filter(Status!L:L,Status!A:A=A242)))"),0.0)</f>
        <v>0</v>
      </c>
      <c r="M242" s="25">
        <f>IFERROR(__xludf.DUMMYFUNCTION("COUNTA(iferror(filter(Status!L:L,Status!A:A=A242,Status!L:L=TRUE)))"),0.0)</f>
        <v>0</v>
      </c>
      <c r="N242" s="23">
        <f>IFERROR(__xludf.DUMMYFUNCTION("COUNTA(iferror(filter(Status!N:N,Status!A:A=A242,Status!N:N=TRUE)))"),0.0)</f>
        <v>0</v>
      </c>
      <c r="O242" s="25">
        <f>IFERROR(__xludf.DUMMYFUNCTION("COUNTA(iferror(filter(Status!N:N,Status!A:A=A242,Status!N:N=TRUE)))"),0.0)</f>
        <v>0</v>
      </c>
      <c r="P242" s="23">
        <f>IFERROR(__xludf.DUMMYFUNCTION("COUNTA(iferror(filter(Status!P:P,Status!A:A=A242)))"),0.0)</f>
        <v>0</v>
      </c>
      <c r="Q242" s="25">
        <f>IFERROR(__xludf.DUMMYFUNCTION("COUNTA(iferror(filter(Status!P:P,Status!A:A=A242,Status!P:P=TRUE)))"),0.0)</f>
        <v>0</v>
      </c>
      <c r="R242" s="23">
        <f>IFERROR(__xludf.DUMMYFUNCTION("COUNTA(iferror(filter(Status!R:R,Status!A:A=A242)))"),0.0)</f>
        <v>0</v>
      </c>
      <c r="S242" s="25">
        <f>IFERROR(__xludf.DUMMYFUNCTION("COUNTA(iferror(filter(Status!R:R,Status!A:A=A242,Status!R:R=TRUE)))"),0.0)</f>
        <v>0</v>
      </c>
      <c r="V242" s="23" t="str">
        <f>IFERROR(__xludf.DUMMYFUNCTION("if((countif(filter(Status!$C:$C,Status!$A:$A=$A242),CONCATENATE(V$2,""*""))-W242)&gt;0,(countif(filter(Status!$C:$C,Status!$A:$A=$A242),CONCATENATE(V$2,""*""))-W242),"""")"),"")</f>
        <v/>
      </c>
      <c r="W242" s="23" t="str">
        <f>IFERROR(__xludf.DUMMYFUNCTION("if(countif(filter(Status!$C:$C,Status!$A:$A=$A242),CONCATENATE(W$2,""*""))&gt;0,countif(filter(Status!$C:$C,Status!$A:$A=$A242),CONCATENATE(W$2,""*"")),"""")"),"")</f>
        <v/>
      </c>
      <c r="X242" s="23" t="str">
        <f>IFERROR(__xludf.DUMMYFUNCTION("if(countif(filter(Status!$C:$C,Status!$A:$A=$A242),CONCATENATE(X$2,""*""))&gt;0,countif(filter(Status!$C:$C,Status!$A:$A=$A242),CONCATENATE(X$2,""*"")),"""")"),"")</f>
        <v/>
      </c>
      <c r="Y242" s="23" t="str">
        <f>IFERROR(__xludf.DUMMYFUNCTION("if(countif(filter(Status!$C:$C,Status!$A:$A=$A242),CONCATENATE(Y$2,""*""))&gt;0,countif(filter(Status!$C:$C,Status!$A:$A=$A242),CONCATENATE(Y$2,""*"")),"""")"),"")</f>
        <v/>
      </c>
      <c r="Z242" s="23" t="str">
        <f>IFERROR(__xludf.DUMMYFUNCTION("if(countif(filter(Status!$C:$C,Status!$A:$A=$A242),CONCATENATE(Z$2,""*""))&gt;0,countif(filter(Status!$C:$C,Status!$A:$A=$A242),CONCATENATE(Z$2,""*"")),"""")"),"")</f>
        <v/>
      </c>
      <c r="AA242" s="23" t="str">
        <f>IFERROR(__xludf.DUMMYFUNCTION("if((countif(filter(Status!$C:$C,Status!$A:$A=$A242),CONCATENATE(AA$2,""*""))-AB242)&gt;0,(countif(filter(Status!$C:$C,Status!$A:$A=$A242),CONCATENATE(AA$2,""*""))-AB242),"""")"),"")</f>
        <v/>
      </c>
      <c r="AB242" s="23" t="str">
        <f>IFERROR(__xludf.DUMMYFUNCTION("if(countif(filter(Status!$C:$C,Status!$A:$A=$A242),CONCATENATE(AB$2,""*""))&gt;0,countif(filter(Status!$C:$C,Status!$A:$A=$A242),CONCATENATE(AB$2,""*"")),"""")"),"")</f>
        <v/>
      </c>
      <c r="AC242" s="23" t="str">
        <f>IFERROR(__xludf.DUMMYFUNCTION("if(countif(filter(Status!$C:$C,Status!$A:$A=$A242),CONCATENATE(AC$2,""*""))&gt;0,countif(filter(Status!$C:$C,Status!$A:$A=$A242),CONCATENATE(AC$2,""*"")),"""")"),"")</f>
        <v/>
      </c>
      <c r="AD242" s="23" t="str">
        <f>IFERROR(__xludf.DUMMYFUNCTION("if(countif(filter(Status!$C:$C,Status!$A:$A=$A242),CONCATENATE(AD$2,""*""))&gt;0,countif(filter(Status!$C:$C,Status!$A:$A=$A242),CONCATENATE(AD$2,""*"")),"""")"),"")</f>
        <v/>
      </c>
      <c r="AE242" s="23" t="str">
        <f>IFERROR(__xludf.DUMMYFUNCTION("if(countif(filter(Status!$C:$C,Status!$A:$A=$A242),CONCATENATE(AE$2,""*""))&gt;0,countif(filter(Status!$C:$C,Status!$A:$A=$A242),CONCATENATE(AE$2,""*"")),"""")"),"")</f>
        <v/>
      </c>
      <c r="AF242" s="23" t="str">
        <f>IFERROR(__xludf.DUMMYFUNCTION("if(countif(filter(Status!$C:$C,Status!$A:$A=$A242),CONCATENATE(AF$2,""*""))&gt;0,countif(filter(Status!$C:$C,Status!$A:$A=$A242),CONCATENATE(AF$2,""*"")),"""")"),"")</f>
        <v/>
      </c>
      <c r="AG242" s="23" t="str">
        <f>IFERROR(__xludf.DUMMYFUNCTION("if(countif(filter(Status!$C:$C,Status!$A:$A=$A242),CONCATENATE(AG$2,""*""))&gt;0,countif(filter(Status!$C:$C,Status!$A:$A=$A242),CONCATENATE(AG$2,""*"")),"""")"),"")</f>
        <v/>
      </c>
      <c r="AH242" s="23" t="str">
        <f>IFERROR(__xludf.DUMMYFUNCTION("if(countif(filter(Status!$C:$C,Status!$A:$A=$A242),CONCATENATE(AH$2,""*""))&gt;0,countif(filter(Status!$C:$C,Status!$A:$A=$A242),CONCATENATE(AH$2,""*"")),"""")"),"")</f>
        <v/>
      </c>
      <c r="AI242" s="23" t="str">
        <f>IFERROR(__xludf.DUMMYFUNCTION("if(countif(filter(Status!$C:$C,Status!$A:$A=$A242),CONCATENATE(AI$2,""*""))&gt;0,countif(filter(Status!$C:$C,Status!$A:$A=$A242),CONCATENATE(AI$2,""*"")),"""")"),"")</f>
        <v/>
      </c>
      <c r="AJ242" s="23" t="str">
        <f>IFERROR(__xludf.DUMMYFUNCTION("if(countif(filter(Status!$C:$C,Status!$A:$A=$A242),CONCATENATE(AJ$2,""*""))&gt;0,countif(filter(Status!$C:$C,Status!$A:$A=$A242),CONCATENATE(AJ$2,""*"")),"""")"),"")</f>
        <v/>
      </c>
      <c r="AK242" s="23" t="str">
        <f>IFERROR(__xludf.DUMMYFUNCTION("if(countif(filter(Status!$C:$C,Status!$A:$A=$A242),CONCATENATE(AK$2,""*""))&gt;0,countif(filter(Status!$C:$C,Status!$A:$A=$A242),CONCATENATE(AK$2,""*"")),"""")"),"")</f>
        <v/>
      </c>
      <c r="AL242" s="23" t="str">
        <f>IFERROR(__xludf.DUMMYFUNCTION("if(countif(filter(Status!$C:$C,Status!$A:$A=$A242),CONCATENATE(AL$2,""*""))&gt;0,countif(filter(Status!$C:$C,Status!$A:$A=$A242),CONCATENATE(AL$2,""*"")),"""")"),"")</f>
        <v/>
      </c>
      <c r="AM242" s="23" t="str">
        <f>IFERROR(__xludf.DUMMYFUNCTION("if(countif(filter(Status!$C:$C,Status!$A:$A=$A242),CONCATENATE(AM$2,""*""))&gt;0,countif(filter(Status!$C:$C,Status!$A:$A=$A242),CONCATENATE(AM$2,""*"")),"""")"),"")</f>
        <v/>
      </c>
      <c r="AN242" s="23" t="str">
        <f>IFERROR(__xludf.DUMMYFUNCTION("if(countif(filter(Status!$C:$C,Status!$A:$A=$A242),CONCATENATE(AN$2,""*""))&gt;0,countif(filter(Status!$C:$C,Status!$A:$A=$A242),CONCATENATE(AN$2,""*"")),"""")"),"")</f>
        <v/>
      </c>
      <c r="AO242" s="23" t="str">
        <f>IFERROR(__xludf.DUMMYFUNCTION("if(countif(filter(Status!$C:$C,Status!$A:$A=$A242),CONCATENATE(AO$2,""*""))&gt;0,countif(filter(Status!$C:$C,Status!$A:$A=$A242),CONCATENATE(AO$2,""*"")),"""")"),"")</f>
        <v/>
      </c>
      <c r="AP242" s="23">
        <f>IFERROR(__xludf.DUMMYFUNCTION("counta(iferror(filter(Status!C:C,Status!A:A=A242)))"),0.0)</f>
        <v>0</v>
      </c>
      <c r="AQ242" s="23">
        <f t="shared" si="6"/>
        <v>0</v>
      </c>
    </row>
    <row r="243">
      <c r="A243" s="1" t="s">
        <v>1454</v>
      </c>
      <c r="B243" s="25" t="str">
        <f>IFERROR(__xludf.DUMMYFUNCTION("max(filter(Status!E:E,Status!A:A=A243))"),"#N/A")</f>
        <v>#N/A</v>
      </c>
      <c r="C243" s="23" t="str">
        <f t="shared" si="1"/>
        <v/>
      </c>
      <c r="D243" s="23" t="str">
        <f t="shared" si="2"/>
        <v/>
      </c>
      <c r="E243" s="23" t="str">
        <f t="shared" si="3"/>
        <v/>
      </c>
      <c r="F243" s="23" t="str">
        <f t="shared" si="4"/>
        <v/>
      </c>
      <c r="G243" s="25" t="str">
        <f t="shared" si="5"/>
        <v/>
      </c>
      <c r="J243" s="23">
        <f>IFERROR(__xludf.DUMMYFUNCTION("COUNTA(iferror(filter(Status!H:H,Status!A:A=A243)))"),0.0)</f>
        <v>0</v>
      </c>
      <c r="K243" s="25">
        <f>IFERROR(__xludf.DUMMYFUNCTION("COUNTA(iferror(filter(Status!H:H,Status!A:A=A243,Status!H:H=TRUE)))"),0.0)</f>
        <v>0</v>
      </c>
      <c r="L243" s="23">
        <f>IFERROR(__xludf.DUMMYFUNCTION("COUNTA(iferror(filter(Status!L:L,Status!A:A=A243)))"),0.0)</f>
        <v>0</v>
      </c>
      <c r="M243" s="25">
        <f>IFERROR(__xludf.DUMMYFUNCTION("COUNTA(iferror(filter(Status!L:L,Status!A:A=A243,Status!L:L=TRUE)))"),0.0)</f>
        <v>0</v>
      </c>
      <c r="N243" s="23">
        <f>IFERROR(__xludf.DUMMYFUNCTION("COUNTA(iferror(filter(Status!N:N,Status!A:A=A243,Status!N:N=TRUE)))"),0.0)</f>
        <v>0</v>
      </c>
      <c r="O243" s="25">
        <f>IFERROR(__xludf.DUMMYFUNCTION("COUNTA(iferror(filter(Status!N:N,Status!A:A=A243,Status!N:N=TRUE)))"),0.0)</f>
        <v>0</v>
      </c>
      <c r="P243" s="23">
        <f>IFERROR(__xludf.DUMMYFUNCTION("COUNTA(iferror(filter(Status!P:P,Status!A:A=A243)))"),0.0)</f>
        <v>0</v>
      </c>
      <c r="Q243" s="25">
        <f>IFERROR(__xludf.DUMMYFUNCTION("COUNTA(iferror(filter(Status!P:P,Status!A:A=A243,Status!P:P=TRUE)))"),0.0)</f>
        <v>0</v>
      </c>
      <c r="R243" s="23">
        <f>IFERROR(__xludf.DUMMYFUNCTION("COUNTA(iferror(filter(Status!R:R,Status!A:A=A243)))"),0.0)</f>
        <v>0</v>
      </c>
      <c r="S243" s="25">
        <f>IFERROR(__xludf.DUMMYFUNCTION("COUNTA(iferror(filter(Status!R:R,Status!A:A=A243,Status!R:R=TRUE)))"),0.0)</f>
        <v>0</v>
      </c>
      <c r="V243" s="23" t="str">
        <f>IFERROR(__xludf.DUMMYFUNCTION("if((countif(filter(Status!$C:$C,Status!$A:$A=$A243),CONCATENATE(V$2,""*""))-W243)&gt;0,(countif(filter(Status!$C:$C,Status!$A:$A=$A243),CONCATENATE(V$2,""*""))-W243),"""")"),"")</f>
        <v/>
      </c>
      <c r="W243" s="23" t="str">
        <f>IFERROR(__xludf.DUMMYFUNCTION("if(countif(filter(Status!$C:$C,Status!$A:$A=$A243),CONCATENATE(W$2,""*""))&gt;0,countif(filter(Status!$C:$C,Status!$A:$A=$A243),CONCATENATE(W$2,""*"")),"""")"),"")</f>
        <v/>
      </c>
      <c r="X243" s="23" t="str">
        <f>IFERROR(__xludf.DUMMYFUNCTION("if(countif(filter(Status!$C:$C,Status!$A:$A=$A243),CONCATENATE(X$2,""*""))&gt;0,countif(filter(Status!$C:$C,Status!$A:$A=$A243),CONCATENATE(X$2,""*"")),"""")"),"")</f>
        <v/>
      </c>
      <c r="Y243" s="23" t="str">
        <f>IFERROR(__xludf.DUMMYFUNCTION("if(countif(filter(Status!$C:$C,Status!$A:$A=$A243),CONCATENATE(Y$2,""*""))&gt;0,countif(filter(Status!$C:$C,Status!$A:$A=$A243),CONCATENATE(Y$2,""*"")),"""")"),"")</f>
        <v/>
      </c>
      <c r="Z243" s="23" t="str">
        <f>IFERROR(__xludf.DUMMYFUNCTION("if(countif(filter(Status!$C:$C,Status!$A:$A=$A243),CONCATENATE(Z$2,""*""))&gt;0,countif(filter(Status!$C:$C,Status!$A:$A=$A243),CONCATENATE(Z$2,""*"")),"""")"),"")</f>
        <v/>
      </c>
      <c r="AA243" s="23" t="str">
        <f>IFERROR(__xludf.DUMMYFUNCTION("if((countif(filter(Status!$C:$C,Status!$A:$A=$A243),CONCATENATE(AA$2,""*""))-AB243)&gt;0,(countif(filter(Status!$C:$C,Status!$A:$A=$A243),CONCATENATE(AA$2,""*""))-AB243),"""")"),"")</f>
        <v/>
      </c>
      <c r="AB243" s="23" t="str">
        <f>IFERROR(__xludf.DUMMYFUNCTION("if(countif(filter(Status!$C:$C,Status!$A:$A=$A243),CONCATENATE(AB$2,""*""))&gt;0,countif(filter(Status!$C:$C,Status!$A:$A=$A243),CONCATENATE(AB$2,""*"")),"""")"),"")</f>
        <v/>
      </c>
      <c r="AC243" s="23" t="str">
        <f>IFERROR(__xludf.DUMMYFUNCTION("if(countif(filter(Status!$C:$C,Status!$A:$A=$A243),CONCATENATE(AC$2,""*""))&gt;0,countif(filter(Status!$C:$C,Status!$A:$A=$A243),CONCATENATE(AC$2,""*"")),"""")"),"")</f>
        <v/>
      </c>
      <c r="AD243" s="23" t="str">
        <f>IFERROR(__xludf.DUMMYFUNCTION("if(countif(filter(Status!$C:$C,Status!$A:$A=$A243),CONCATENATE(AD$2,""*""))&gt;0,countif(filter(Status!$C:$C,Status!$A:$A=$A243),CONCATENATE(AD$2,""*"")),"""")"),"")</f>
        <v/>
      </c>
      <c r="AE243" s="23" t="str">
        <f>IFERROR(__xludf.DUMMYFUNCTION("if(countif(filter(Status!$C:$C,Status!$A:$A=$A243),CONCATENATE(AE$2,""*""))&gt;0,countif(filter(Status!$C:$C,Status!$A:$A=$A243),CONCATENATE(AE$2,""*"")),"""")"),"")</f>
        <v/>
      </c>
      <c r="AF243" s="23" t="str">
        <f>IFERROR(__xludf.DUMMYFUNCTION("if(countif(filter(Status!$C:$C,Status!$A:$A=$A243),CONCATENATE(AF$2,""*""))&gt;0,countif(filter(Status!$C:$C,Status!$A:$A=$A243),CONCATENATE(AF$2,""*"")),"""")"),"")</f>
        <v/>
      </c>
      <c r="AG243" s="23" t="str">
        <f>IFERROR(__xludf.DUMMYFUNCTION("if(countif(filter(Status!$C:$C,Status!$A:$A=$A243),CONCATENATE(AG$2,""*""))&gt;0,countif(filter(Status!$C:$C,Status!$A:$A=$A243),CONCATENATE(AG$2,""*"")),"""")"),"")</f>
        <v/>
      </c>
      <c r="AH243" s="23" t="str">
        <f>IFERROR(__xludf.DUMMYFUNCTION("if(countif(filter(Status!$C:$C,Status!$A:$A=$A243),CONCATENATE(AH$2,""*""))&gt;0,countif(filter(Status!$C:$C,Status!$A:$A=$A243),CONCATENATE(AH$2,""*"")),"""")"),"")</f>
        <v/>
      </c>
      <c r="AI243" s="23" t="str">
        <f>IFERROR(__xludf.DUMMYFUNCTION("if(countif(filter(Status!$C:$C,Status!$A:$A=$A243),CONCATENATE(AI$2,""*""))&gt;0,countif(filter(Status!$C:$C,Status!$A:$A=$A243),CONCATENATE(AI$2,""*"")),"""")"),"")</f>
        <v/>
      </c>
      <c r="AJ243" s="23" t="str">
        <f>IFERROR(__xludf.DUMMYFUNCTION("if(countif(filter(Status!$C:$C,Status!$A:$A=$A243),CONCATENATE(AJ$2,""*""))&gt;0,countif(filter(Status!$C:$C,Status!$A:$A=$A243),CONCATENATE(AJ$2,""*"")),"""")"),"")</f>
        <v/>
      </c>
      <c r="AK243" s="23" t="str">
        <f>IFERROR(__xludf.DUMMYFUNCTION("if(countif(filter(Status!$C:$C,Status!$A:$A=$A243),CONCATENATE(AK$2,""*""))&gt;0,countif(filter(Status!$C:$C,Status!$A:$A=$A243),CONCATENATE(AK$2,""*"")),"""")"),"")</f>
        <v/>
      </c>
      <c r="AL243" s="23" t="str">
        <f>IFERROR(__xludf.DUMMYFUNCTION("if(countif(filter(Status!$C:$C,Status!$A:$A=$A243),CONCATENATE(AL$2,""*""))&gt;0,countif(filter(Status!$C:$C,Status!$A:$A=$A243),CONCATENATE(AL$2,""*"")),"""")"),"")</f>
        <v/>
      </c>
      <c r="AM243" s="23" t="str">
        <f>IFERROR(__xludf.DUMMYFUNCTION("if(countif(filter(Status!$C:$C,Status!$A:$A=$A243),CONCATENATE(AM$2,""*""))&gt;0,countif(filter(Status!$C:$C,Status!$A:$A=$A243),CONCATENATE(AM$2,""*"")),"""")"),"")</f>
        <v/>
      </c>
      <c r="AN243" s="23" t="str">
        <f>IFERROR(__xludf.DUMMYFUNCTION("if(countif(filter(Status!$C:$C,Status!$A:$A=$A243),CONCATENATE(AN$2,""*""))&gt;0,countif(filter(Status!$C:$C,Status!$A:$A=$A243),CONCATENATE(AN$2,""*"")),"""")"),"")</f>
        <v/>
      </c>
      <c r="AO243" s="23" t="str">
        <f>IFERROR(__xludf.DUMMYFUNCTION("if(countif(filter(Status!$C:$C,Status!$A:$A=$A243),CONCATENATE(AO$2,""*""))&gt;0,countif(filter(Status!$C:$C,Status!$A:$A=$A243),CONCATENATE(AO$2,""*"")),"""")"),"")</f>
        <v/>
      </c>
      <c r="AP243" s="23">
        <f>IFERROR(__xludf.DUMMYFUNCTION("counta(iferror(filter(Status!C:C,Status!A:A=A243)))"),0.0)</f>
        <v>0</v>
      </c>
      <c r="AQ243" s="23">
        <f t="shared" si="6"/>
        <v>0</v>
      </c>
    </row>
    <row r="244">
      <c r="A244" s="1" t="s">
        <v>1457</v>
      </c>
      <c r="B244" s="25" t="str">
        <f>IFERROR(__xludf.DUMMYFUNCTION("max(filter(Status!E:E,Status!A:A=A244))"),"#N/A")</f>
        <v>#N/A</v>
      </c>
      <c r="C244" s="23" t="str">
        <f t="shared" si="1"/>
        <v/>
      </c>
      <c r="D244" s="23" t="str">
        <f t="shared" si="2"/>
        <v/>
      </c>
      <c r="E244" s="23" t="str">
        <f t="shared" si="3"/>
        <v/>
      </c>
      <c r="F244" s="23" t="str">
        <f t="shared" si="4"/>
        <v/>
      </c>
      <c r="G244" s="25" t="str">
        <f t="shared" si="5"/>
        <v/>
      </c>
      <c r="J244" s="23">
        <f>IFERROR(__xludf.DUMMYFUNCTION("COUNTA(iferror(filter(Status!H:H,Status!A:A=A244)))"),0.0)</f>
        <v>0</v>
      </c>
      <c r="K244" s="25">
        <f>IFERROR(__xludf.DUMMYFUNCTION("COUNTA(iferror(filter(Status!H:H,Status!A:A=A244,Status!H:H=TRUE)))"),0.0)</f>
        <v>0</v>
      </c>
      <c r="L244" s="23">
        <f>IFERROR(__xludf.DUMMYFUNCTION("COUNTA(iferror(filter(Status!L:L,Status!A:A=A244)))"),0.0)</f>
        <v>0</v>
      </c>
      <c r="M244" s="25">
        <f>IFERROR(__xludf.DUMMYFUNCTION("COUNTA(iferror(filter(Status!L:L,Status!A:A=A244,Status!L:L=TRUE)))"),0.0)</f>
        <v>0</v>
      </c>
      <c r="N244" s="23">
        <f>IFERROR(__xludf.DUMMYFUNCTION("COUNTA(iferror(filter(Status!N:N,Status!A:A=A244,Status!N:N=TRUE)))"),0.0)</f>
        <v>0</v>
      </c>
      <c r="O244" s="25">
        <f>IFERROR(__xludf.DUMMYFUNCTION("COUNTA(iferror(filter(Status!N:N,Status!A:A=A244,Status!N:N=TRUE)))"),0.0)</f>
        <v>0</v>
      </c>
      <c r="P244" s="23">
        <f>IFERROR(__xludf.DUMMYFUNCTION("COUNTA(iferror(filter(Status!P:P,Status!A:A=A244)))"),0.0)</f>
        <v>0</v>
      </c>
      <c r="Q244" s="25">
        <f>IFERROR(__xludf.DUMMYFUNCTION("COUNTA(iferror(filter(Status!P:P,Status!A:A=A244,Status!P:P=TRUE)))"),0.0)</f>
        <v>0</v>
      </c>
      <c r="R244" s="23">
        <f>IFERROR(__xludf.DUMMYFUNCTION("COUNTA(iferror(filter(Status!R:R,Status!A:A=A244)))"),0.0)</f>
        <v>0</v>
      </c>
      <c r="S244" s="25">
        <f>IFERROR(__xludf.DUMMYFUNCTION("COUNTA(iferror(filter(Status!R:R,Status!A:A=A244,Status!R:R=TRUE)))"),0.0)</f>
        <v>0</v>
      </c>
      <c r="V244" s="23" t="str">
        <f>IFERROR(__xludf.DUMMYFUNCTION("if((countif(filter(Status!$C:$C,Status!$A:$A=$A244),CONCATENATE(V$2,""*""))-W244)&gt;0,(countif(filter(Status!$C:$C,Status!$A:$A=$A244),CONCATENATE(V$2,""*""))-W244),"""")"),"")</f>
        <v/>
      </c>
      <c r="W244" s="23" t="str">
        <f>IFERROR(__xludf.DUMMYFUNCTION("if(countif(filter(Status!$C:$C,Status!$A:$A=$A244),CONCATENATE(W$2,""*""))&gt;0,countif(filter(Status!$C:$C,Status!$A:$A=$A244),CONCATENATE(W$2,""*"")),"""")"),"")</f>
        <v/>
      </c>
      <c r="X244" s="23" t="str">
        <f>IFERROR(__xludf.DUMMYFUNCTION("if(countif(filter(Status!$C:$C,Status!$A:$A=$A244),CONCATENATE(X$2,""*""))&gt;0,countif(filter(Status!$C:$C,Status!$A:$A=$A244),CONCATENATE(X$2,""*"")),"""")"),"")</f>
        <v/>
      </c>
      <c r="Y244" s="23" t="str">
        <f>IFERROR(__xludf.DUMMYFUNCTION("if(countif(filter(Status!$C:$C,Status!$A:$A=$A244),CONCATENATE(Y$2,""*""))&gt;0,countif(filter(Status!$C:$C,Status!$A:$A=$A244),CONCATENATE(Y$2,""*"")),"""")"),"")</f>
        <v/>
      </c>
      <c r="Z244" s="23" t="str">
        <f>IFERROR(__xludf.DUMMYFUNCTION("if(countif(filter(Status!$C:$C,Status!$A:$A=$A244),CONCATENATE(Z$2,""*""))&gt;0,countif(filter(Status!$C:$C,Status!$A:$A=$A244),CONCATENATE(Z$2,""*"")),"""")"),"")</f>
        <v/>
      </c>
      <c r="AA244" s="23" t="str">
        <f>IFERROR(__xludf.DUMMYFUNCTION("if((countif(filter(Status!$C:$C,Status!$A:$A=$A244),CONCATENATE(AA$2,""*""))-AB244)&gt;0,(countif(filter(Status!$C:$C,Status!$A:$A=$A244),CONCATENATE(AA$2,""*""))-AB244),"""")"),"")</f>
        <v/>
      </c>
      <c r="AB244" s="23" t="str">
        <f>IFERROR(__xludf.DUMMYFUNCTION("if(countif(filter(Status!$C:$C,Status!$A:$A=$A244),CONCATENATE(AB$2,""*""))&gt;0,countif(filter(Status!$C:$C,Status!$A:$A=$A244),CONCATENATE(AB$2,""*"")),"""")"),"")</f>
        <v/>
      </c>
      <c r="AC244" s="23" t="str">
        <f>IFERROR(__xludf.DUMMYFUNCTION("if(countif(filter(Status!$C:$C,Status!$A:$A=$A244),CONCATENATE(AC$2,""*""))&gt;0,countif(filter(Status!$C:$C,Status!$A:$A=$A244),CONCATENATE(AC$2,""*"")),"""")"),"")</f>
        <v/>
      </c>
      <c r="AD244" s="23" t="str">
        <f>IFERROR(__xludf.DUMMYFUNCTION("if(countif(filter(Status!$C:$C,Status!$A:$A=$A244),CONCATENATE(AD$2,""*""))&gt;0,countif(filter(Status!$C:$C,Status!$A:$A=$A244),CONCATENATE(AD$2,""*"")),"""")"),"")</f>
        <v/>
      </c>
      <c r="AE244" s="23" t="str">
        <f>IFERROR(__xludf.DUMMYFUNCTION("if(countif(filter(Status!$C:$C,Status!$A:$A=$A244),CONCATENATE(AE$2,""*""))&gt;0,countif(filter(Status!$C:$C,Status!$A:$A=$A244),CONCATENATE(AE$2,""*"")),"""")"),"")</f>
        <v/>
      </c>
      <c r="AF244" s="23" t="str">
        <f>IFERROR(__xludf.DUMMYFUNCTION("if(countif(filter(Status!$C:$C,Status!$A:$A=$A244),CONCATENATE(AF$2,""*""))&gt;0,countif(filter(Status!$C:$C,Status!$A:$A=$A244),CONCATENATE(AF$2,""*"")),"""")"),"")</f>
        <v/>
      </c>
      <c r="AG244" s="23" t="str">
        <f>IFERROR(__xludf.DUMMYFUNCTION("if(countif(filter(Status!$C:$C,Status!$A:$A=$A244),CONCATENATE(AG$2,""*""))&gt;0,countif(filter(Status!$C:$C,Status!$A:$A=$A244),CONCATENATE(AG$2,""*"")),"""")"),"")</f>
        <v/>
      </c>
      <c r="AH244" s="23" t="str">
        <f>IFERROR(__xludf.DUMMYFUNCTION("if(countif(filter(Status!$C:$C,Status!$A:$A=$A244),CONCATENATE(AH$2,""*""))&gt;0,countif(filter(Status!$C:$C,Status!$A:$A=$A244),CONCATENATE(AH$2,""*"")),"""")"),"")</f>
        <v/>
      </c>
      <c r="AI244" s="23" t="str">
        <f>IFERROR(__xludf.DUMMYFUNCTION("if(countif(filter(Status!$C:$C,Status!$A:$A=$A244),CONCATENATE(AI$2,""*""))&gt;0,countif(filter(Status!$C:$C,Status!$A:$A=$A244),CONCATENATE(AI$2,""*"")),"""")"),"")</f>
        <v/>
      </c>
      <c r="AJ244" s="23" t="str">
        <f>IFERROR(__xludf.DUMMYFUNCTION("if(countif(filter(Status!$C:$C,Status!$A:$A=$A244),CONCATENATE(AJ$2,""*""))&gt;0,countif(filter(Status!$C:$C,Status!$A:$A=$A244),CONCATENATE(AJ$2,""*"")),"""")"),"")</f>
        <v/>
      </c>
      <c r="AK244" s="23" t="str">
        <f>IFERROR(__xludf.DUMMYFUNCTION("if(countif(filter(Status!$C:$C,Status!$A:$A=$A244),CONCATENATE(AK$2,""*""))&gt;0,countif(filter(Status!$C:$C,Status!$A:$A=$A244),CONCATENATE(AK$2,""*"")),"""")"),"")</f>
        <v/>
      </c>
      <c r="AL244" s="23" t="str">
        <f>IFERROR(__xludf.DUMMYFUNCTION("if(countif(filter(Status!$C:$C,Status!$A:$A=$A244),CONCATENATE(AL$2,""*""))&gt;0,countif(filter(Status!$C:$C,Status!$A:$A=$A244),CONCATENATE(AL$2,""*"")),"""")"),"")</f>
        <v/>
      </c>
      <c r="AM244" s="23" t="str">
        <f>IFERROR(__xludf.DUMMYFUNCTION("if(countif(filter(Status!$C:$C,Status!$A:$A=$A244),CONCATENATE(AM$2,""*""))&gt;0,countif(filter(Status!$C:$C,Status!$A:$A=$A244),CONCATENATE(AM$2,""*"")),"""")"),"")</f>
        <v/>
      </c>
      <c r="AN244" s="23" t="str">
        <f>IFERROR(__xludf.DUMMYFUNCTION("if(countif(filter(Status!$C:$C,Status!$A:$A=$A244),CONCATENATE(AN$2,""*""))&gt;0,countif(filter(Status!$C:$C,Status!$A:$A=$A244),CONCATENATE(AN$2,""*"")),"""")"),"")</f>
        <v/>
      </c>
      <c r="AO244" s="23" t="str">
        <f>IFERROR(__xludf.DUMMYFUNCTION("if(countif(filter(Status!$C:$C,Status!$A:$A=$A244),CONCATENATE(AO$2,""*""))&gt;0,countif(filter(Status!$C:$C,Status!$A:$A=$A244),CONCATENATE(AO$2,""*"")),"""")"),"")</f>
        <v/>
      </c>
      <c r="AP244" s="23">
        <f>IFERROR(__xludf.DUMMYFUNCTION("counta(iferror(filter(Status!C:C,Status!A:A=A244)))"),0.0)</f>
        <v>0</v>
      </c>
      <c r="AQ244" s="23">
        <f t="shared" si="6"/>
        <v>0</v>
      </c>
    </row>
    <row r="245">
      <c r="A245" s="1" t="s">
        <v>1460</v>
      </c>
      <c r="B245" s="25" t="str">
        <f>IFERROR(__xludf.DUMMYFUNCTION("max(filter(Status!E:E,Status!A:A=A245))"),"#N/A")</f>
        <v>#N/A</v>
      </c>
      <c r="C245" s="23" t="str">
        <f t="shared" si="1"/>
        <v/>
      </c>
      <c r="D245" s="23" t="str">
        <f t="shared" si="2"/>
        <v/>
      </c>
      <c r="E245" s="23" t="str">
        <f t="shared" si="3"/>
        <v/>
      </c>
      <c r="F245" s="23" t="str">
        <f t="shared" si="4"/>
        <v/>
      </c>
      <c r="G245" s="25" t="str">
        <f t="shared" si="5"/>
        <v/>
      </c>
      <c r="J245" s="23">
        <f>IFERROR(__xludf.DUMMYFUNCTION("COUNTA(iferror(filter(Status!H:H,Status!A:A=A245)))"),0.0)</f>
        <v>0</v>
      </c>
      <c r="K245" s="25">
        <f>IFERROR(__xludf.DUMMYFUNCTION("COUNTA(iferror(filter(Status!H:H,Status!A:A=A245,Status!H:H=TRUE)))"),0.0)</f>
        <v>0</v>
      </c>
      <c r="L245" s="23">
        <f>IFERROR(__xludf.DUMMYFUNCTION("COUNTA(iferror(filter(Status!L:L,Status!A:A=A245)))"),0.0)</f>
        <v>0</v>
      </c>
      <c r="M245" s="25">
        <f>IFERROR(__xludf.DUMMYFUNCTION("COUNTA(iferror(filter(Status!L:L,Status!A:A=A245,Status!L:L=TRUE)))"),0.0)</f>
        <v>0</v>
      </c>
      <c r="N245" s="23">
        <f>IFERROR(__xludf.DUMMYFUNCTION("COUNTA(iferror(filter(Status!N:N,Status!A:A=A245,Status!N:N=TRUE)))"),0.0)</f>
        <v>0</v>
      </c>
      <c r="O245" s="25">
        <f>IFERROR(__xludf.DUMMYFUNCTION("COUNTA(iferror(filter(Status!N:N,Status!A:A=A245,Status!N:N=TRUE)))"),0.0)</f>
        <v>0</v>
      </c>
      <c r="P245" s="23">
        <f>IFERROR(__xludf.DUMMYFUNCTION("COUNTA(iferror(filter(Status!P:P,Status!A:A=A245)))"),0.0)</f>
        <v>0</v>
      </c>
      <c r="Q245" s="25">
        <f>IFERROR(__xludf.DUMMYFUNCTION("COUNTA(iferror(filter(Status!P:P,Status!A:A=A245,Status!P:P=TRUE)))"),0.0)</f>
        <v>0</v>
      </c>
      <c r="R245" s="23">
        <f>IFERROR(__xludf.DUMMYFUNCTION("COUNTA(iferror(filter(Status!R:R,Status!A:A=A245)))"),0.0)</f>
        <v>0</v>
      </c>
      <c r="S245" s="25">
        <f>IFERROR(__xludf.DUMMYFUNCTION("COUNTA(iferror(filter(Status!R:R,Status!A:A=A245,Status!R:R=TRUE)))"),0.0)</f>
        <v>0</v>
      </c>
      <c r="V245" s="23" t="str">
        <f>IFERROR(__xludf.DUMMYFUNCTION("if((countif(filter(Status!$C:$C,Status!$A:$A=$A245),CONCATENATE(V$2,""*""))-W245)&gt;0,(countif(filter(Status!$C:$C,Status!$A:$A=$A245),CONCATENATE(V$2,""*""))-W245),"""")"),"")</f>
        <v/>
      </c>
      <c r="W245" s="23" t="str">
        <f>IFERROR(__xludf.DUMMYFUNCTION("if(countif(filter(Status!$C:$C,Status!$A:$A=$A245),CONCATENATE(W$2,""*""))&gt;0,countif(filter(Status!$C:$C,Status!$A:$A=$A245),CONCATENATE(W$2,""*"")),"""")"),"")</f>
        <v/>
      </c>
      <c r="X245" s="23" t="str">
        <f>IFERROR(__xludf.DUMMYFUNCTION("if(countif(filter(Status!$C:$C,Status!$A:$A=$A245),CONCATENATE(X$2,""*""))&gt;0,countif(filter(Status!$C:$C,Status!$A:$A=$A245),CONCATENATE(X$2,""*"")),"""")"),"")</f>
        <v/>
      </c>
      <c r="Y245" s="23" t="str">
        <f>IFERROR(__xludf.DUMMYFUNCTION("if(countif(filter(Status!$C:$C,Status!$A:$A=$A245),CONCATENATE(Y$2,""*""))&gt;0,countif(filter(Status!$C:$C,Status!$A:$A=$A245),CONCATENATE(Y$2,""*"")),"""")"),"")</f>
        <v/>
      </c>
      <c r="Z245" s="23" t="str">
        <f>IFERROR(__xludf.DUMMYFUNCTION("if(countif(filter(Status!$C:$C,Status!$A:$A=$A245),CONCATENATE(Z$2,""*""))&gt;0,countif(filter(Status!$C:$C,Status!$A:$A=$A245),CONCATENATE(Z$2,""*"")),"""")"),"")</f>
        <v/>
      </c>
      <c r="AA245" s="23" t="str">
        <f>IFERROR(__xludf.DUMMYFUNCTION("if((countif(filter(Status!$C:$C,Status!$A:$A=$A245),CONCATENATE(AA$2,""*""))-AB245)&gt;0,(countif(filter(Status!$C:$C,Status!$A:$A=$A245),CONCATENATE(AA$2,""*""))-AB245),"""")"),"")</f>
        <v/>
      </c>
      <c r="AB245" s="23" t="str">
        <f>IFERROR(__xludf.DUMMYFUNCTION("if(countif(filter(Status!$C:$C,Status!$A:$A=$A245),CONCATENATE(AB$2,""*""))&gt;0,countif(filter(Status!$C:$C,Status!$A:$A=$A245),CONCATENATE(AB$2,""*"")),"""")"),"")</f>
        <v/>
      </c>
      <c r="AC245" s="23" t="str">
        <f>IFERROR(__xludf.DUMMYFUNCTION("if(countif(filter(Status!$C:$C,Status!$A:$A=$A245),CONCATENATE(AC$2,""*""))&gt;0,countif(filter(Status!$C:$C,Status!$A:$A=$A245),CONCATENATE(AC$2,""*"")),"""")"),"")</f>
        <v/>
      </c>
      <c r="AD245" s="23" t="str">
        <f>IFERROR(__xludf.DUMMYFUNCTION("if(countif(filter(Status!$C:$C,Status!$A:$A=$A245),CONCATENATE(AD$2,""*""))&gt;0,countif(filter(Status!$C:$C,Status!$A:$A=$A245),CONCATENATE(AD$2,""*"")),"""")"),"")</f>
        <v/>
      </c>
      <c r="AE245" s="23" t="str">
        <f>IFERROR(__xludf.DUMMYFUNCTION("if(countif(filter(Status!$C:$C,Status!$A:$A=$A245),CONCATENATE(AE$2,""*""))&gt;0,countif(filter(Status!$C:$C,Status!$A:$A=$A245),CONCATENATE(AE$2,""*"")),"""")"),"")</f>
        <v/>
      </c>
      <c r="AF245" s="23" t="str">
        <f>IFERROR(__xludf.DUMMYFUNCTION("if(countif(filter(Status!$C:$C,Status!$A:$A=$A245),CONCATENATE(AF$2,""*""))&gt;0,countif(filter(Status!$C:$C,Status!$A:$A=$A245),CONCATENATE(AF$2,""*"")),"""")"),"")</f>
        <v/>
      </c>
      <c r="AG245" s="23" t="str">
        <f>IFERROR(__xludf.DUMMYFUNCTION("if(countif(filter(Status!$C:$C,Status!$A:$A=$A245),CONCATENATE(AG$2,""*""))&gt;0,countif(filter(Status!$C:$C,Status!$A:$A=$A245),CONCATENATE(AG$2,""*"")),"""")"),"")</f>
        <v/>
      </c>
      <c r="AH245" s="23" t="str">
        <f>IFERROR(__xludf.DUMMYFUNCTION("if(countif(filter(Status!$C:$C,Status!$A:$A=$A245),CONCATENATE(AH$2,""*""))&gt;0,countif(filter(Status!$C:$C,Status!$A:$A=$A245),CONCATENATE(AH$2,""*"")),"""")"),"")</f>
        <v/>
      </c>
      <c r="AI245" s="23" t="str">
        <f>IFERROR(__xludf.DUMMYFUNCTION("if(countif(filter(Status!$C:$C,Status!$A:$A=$A245),CONCATENATE(AI$2,""*""))&gt;0,countif(filter(Status!$C:$C,Status!$A:$A=$A245),CONCATENATE(AI$2,""*"")),"""")"),"")</f>
        <v/>
      </c>
      <c r="AJ245" s="23" t="str">
        <f>IFERROR(__xludf.DUMMYFUNCTION("if(countif(filter(Status!$C:$C,Status!$A:$A=$A245),CONCATENATE(AJ$2,""*""))&gt;0,countif(filter(Status!$C:$C,Status!$A:$A=$A245),CONCATENATE(AJ$2,""*"")),"""")"),"")</f>
        <v/>
      </c>
      <c r="AK245" s="23" t="str">
        <f>IFERROR(__xludf.DUMMYFUNCTION("if(countif(filter(Status!$C:$C,Status!$A:$A=$A245),CONCATENATE(AK$2,""*""))&gt;0,countif(filter(Status!$C:$C,Status!$A:$A=$A245),CONCATENATE(AK$2,""*"")),"""")"),"")</f>
        <v/>
      </c>
      <c r="AL245" s="23" t="str">
        <f>IFERROR(__xludf.DUMMYFUNCTION("if(countif(filter(Status!$C:$C,Status!$A:$A=$A245),CONCATENATE(AL$2,""*""))&gt;0,countif(filter(Status!$C:$C,Status!$A:$A=$A245),CONCATENATE(AL$2,""*"")),"""")"),"")</f>
        <v/>
      </c>
      <c r="AM245" s="23" t="str">
        <f>IFERROR(__xludf.DUMMYFUNCTION("if(countif(filter(Status!$C:$C,Status!$A:$A=$A245),CONCATENATE(AM$2,""*""))&gt;0,countif(filter(Status!$C:$C,Status!$A:$A=$A245),CONCATENATE(AM$2,""*"")),"""")"),"")</f>
        <v/>
      </c>
      <c r="AN245" s="23" t="str">
        <f>IFERROR(__xludf.DUMMYFUNCTION("if(countif(filter(Status!$C:$C,Status!$A:$A=$A245),CONCATENATE(AN$2,""*""))&gt;0,countif(filter(Status!$C:$C,Status!$A:$A=$A245),CONCATENATE(AN$2,""*"")),"""")"),"")</f>
        <v/>
      </c>
      <c r="AO245" s="23" t="str">
        <f>IFERROR(__xludf.DUMMYFUNCTION("if(countif(filter(Status!$C:$C,Status!$A:$A=$A245),CONCATENATE(AO$2,""*""))&gt;0,countif(filter(Status!$C:$C,Status!$A:$A=$A245),CONCATENATE(AO$2,""*"")),"""")"),"")</f>
        <v/>
      </c>
      <c r="AP245" s="23">
        <f>IFERROR(__xludf.DUMMYFUNCTION("counta(iferror(filter(Status!C:C,Status!A:A=A245)))"),0.0)</f>
        <v>0</v>
      </c>
      <c r="AQ245" s="23">
        <f t="shared" si="6"/>
        <v>0</v>
      </c>
    </row>
    <row r="246">
      <c r="A246" s="1" t="s">
        <v>1461</v>
      </c>
      <c r="B246" s="25" t="str">
        <f>IFERROR(__xludf.DUMMYFUNCTION("max(filter(Status!E:E,Status!A:A=A246))"),"#N/A")</f>
        <v>#N/A</v>
      </c>
      <c r="C246" s="23" t="str">
        <f t="shared" si="1"/>
        <v/>
      </c>
      <c r="D246" s="23" t="str">
        <f t="shared" si="2"/>
        <v/>
      </c>
      <c r="E246" s="23" t="str">
        <f t="shared" si="3"/>
        <v/>
      </c>
      <c r="F246" s="23" t="str">
        <f t="shared" si="4"/>
        <v/>
      </c>
      <c r="G246" s="25" t="str">
        <f t="shared" si="5"/>
        <v/>
      </c>
      <c r="J246" s="23">
        <f>IFERROR(__xludf.DUMMYFUNCTION("COUNTA(iferror(filter(Status!H:H,Status!A:A=A246)))"),0.0)</f>
        <v>0</v>
      </c>
      <c r="K246" s="25">
        <f>IFERROR(__xludf.DUMMYFUNCTION("COUNTA(iferror(filter(Status!H:H,Status!A:A=A246,Status!H:H=TRUE)))"),0.0)</f>
        <v>0</v>
      </c>
      <c r="L246" s="23">
        <f>IFERROR(__xludf.DUMMYFUNCTION("COUNTA(iferror(filter(Status!L:L,Status!A:A=A246)))"),0.0)</f>
        <v>0</v>
      </c>
      <c r="M246" s="25">
        <f>IFERROR(__xludf.DUMMYFUNCTION("COUNTA(iferror(filter(Status!L:L,Status!A:A=A246,Status!L:L=TRUE)))"),0.0)</f>
        <v>0</v>
      </c>
      <c r="N246" s="23">
        <f>IFERROR(__xludf.DUMMYFUNCTION("COUNTA(iferror(filter(Status!N:N,Status!A:A=A246,Status!N:N=TRUE)))"),0.0)</f>
        <v>0</v>
      </c>
      <c r="O246" s="25">
        <f>IFERROR(__xludf.DUMMYFUNCTION("COUNTA(iferror(filter(Status!N:N,Status!A:A=A246,Status!N:N=TRUE)))"),0.0)</f>
        <v>0</v>
      </c>
      <c r="P246" s="23">
        <f>IFERROR(__xludf.DUMMYFUNCTION("COUNTA(iferror(filter(Status!P:P,Status!A:A=A246)))"),0.0)</f>
        <v>0</v>
      </c>
      <c r="Q246" s="25">
        <f>IFERROR(__xludf.DUMMYFUNCTION("COUNTA(iferror(filter(Status!P:P,Status!A:A=A246,Status!P:P=TRUE)))"),0.0)</f>
        <v>0</v>
      </c>
      <c r="R246" s="23">
        <f>IFERROR(__xludf.DUMMYFUNCTION("COUNTA(iferror(filter(Status!R:R,Status!A:A=A246)))"),0.0)</f>
        <v>0</v>
      </c>
      <c r="S246" s="25">
        <f>IFERROR(__xludf.DUMMYFUNCTION("COUNTA(iferror(filter(Status!R:R,Status!A:A=A246,Status!R:R=TRUE)))"),0.0)</f>
        <v>0</v>
      </c>
      <c r="V246" s="23" t="str">
        <f>IFERROR(__xludf.DUMMYFUNCTION("if((countif(filter(Status!$C:$C,Status!$A:$A=$A246),CONCATENATE(V$2,""*""))-W246)&gt;0,(countif(filter(Status!$C:$C,Status!$A:$A=$A246),CONCATENATE(V$2,""*""))-W246),"""")"),"")</f>
        <v/>
      </c>
      <c r="W246" s="23" t="str">
        <f>IFERROR(__xludf.DUMMYFUNCTION("if(countif(filter(Status!$C:$C,Status!$A:$A=$A246),CONCATENATE(W$2,""*""))&gt;0,countif(filter(Status!$C:$C,Status!$A:$A=$A246),CONCATENATE(W$2,""*"")),"""")"),"")</f>
        <v/>
      </c>
      <c r="X246" s="23" t="str">
        <f>IFERROR(__xludf.DUMMYFUNCTION("if(countif(filter(Status!$C:$C,Status!$A:$A=$A246),CONCATENATE(X$2,""*""))&gt;0,countif(filter(Status!$C:$C,Status!$A:$A=$A246),CONCATENATE(X$2,""*"")),"""")"),"")</f>
        <v/>
      </c>
      <c r="Y246" s="23" t="str">
        <f>IFERROR(__xludf.DUMMYFUNCTION("if(countif(filter(Status!$C:$C,Status!$A:$A=$A246),CONCATENATE(Y$2,""*""))&gt;0,countif(filter(Status!$C:$C,Status!$A:$A=$A246),CONCATENATE(Y$2,""*"")),"""")"),"")</f>
        <v/>
      </c>
      <c r="Z246" s="23" t="str">
        <f>IFERROR(__xludf.DUMMYFUNCTION("if(countif(filter(Status!$C:$C,Status!$A:$A=$A246),CONCATENATE(Z$2,""*""))&gt;0,countif(filter(Status!$C:$C,Status!$A:$A=$A246),CONCATENATE(Z$2,""*"")),"""")"),"")</f>
        <v/>
      </c>
      <c r="AA246" s="23" t="str">
        <f>IFERROR(__xludf.DUMMYFUNCTION("if((countif(filter(Status!$C:$C,Status!$A:$A=$A246),CONCATENATE(AA$2,""*""))-AB246)&gt;0,(countif(filter(Status!$C:$C,Status!$A:$A=$A246),CONCATENATE(AA$2,""*""))-AB246),"""")"),"")</f>
        <v/>
      </c>
      <c r="AB246" s="23" t="str">
        <f>IFERROR(__xludf.DUMMYFUNCTION("if(countif(filter(Status!$C:$C,Status!$A:$A=$A246),CONCATENATE(AB$2,""*""))&gt;0,countif(filter(Status!$C:$C,Status!$A:$A=$A246),CONCATENATE(AB$2,""*"")),"""")"),"")</f>
        <v/>
      </c>
      <c r="AC246" s="23" t="str">
        <f>IFERROR(__xludf.DUMMYFUNCTION("if(countif(filter(Status!$C:$C,Status!$A:$A=$A246),CONCATENATE(AC$2,""*""))&gt;0,countif(filter(Status!$C:$C,Status!$A:$A=$A246),CONCATENATE(AC$2,""*"")),"""")"),"")</f>
        <v/>
      </c>
      <c r="AD246" s="23" t="str">
        <f>IFERROR(__xludf.DUMMYFUNCTION("if(countif(filter(Status!$C:$C,Status!$A:$A=$A246),CONCATENATE(AD$2,""*""))&gt;0,countif(filter(Status!$C:$C,Status!$A:$A=$A246),CONCATENATE(AD$2,""*"")),"""")"),"")</f>
        <v/>
      </c>
      <c r="AE246" s="23" t="str">
        <f>IFERROR(__xludf.DUMMYFUNCTION("if(countif(filter(Status!$C:$C,Status!$A:$A=$A246),CONCATENATE(AE$2,""*""))&gt;0,countif(filter(Status!$C:$C,Status!$A:$A=$A246),CONCATENATE(AE$2,""*"")),"""")"),"")</f>
        <v/>
      </c>
      <c r="AF246" s="23" t="str">
        <f>IFERROR(__xludf.DUMMYFUNCTION("if(countif(filter(Status!$C:$C,Status!$A:$A=$A246),CONCATENATE(AF$2,""*""))&gt;0,countif(filter(Status!$C:$C,Status!$A:$A=$A246),CONCATENATE(AF$2,""*"")),"""")"),"")</f>
        <v/>
      </c>
      <c r="AG246" s="23" t="str">
        <f>IFERROR(__xludf.DUMMYFUNCTION("if(countif(filter(Status!$C:$C,Status!$A:$A=$A246),CONCATENATE(AG$2,""*""))&gt;0,countif(filter(Status!$C:$C,Status!$A:$A=$A246),CONCATENATE(AG$2,""*"")),"""")"),"")</f>
        <v/>
      </c>
      <c r="AH246" s="23" t="str">
        <f>IFERROR(__xludf.DUMMYFUNCTION("if(countif(filter(Status!$C:$C,Status!$A:$A=$A246),CONCATENATE(AH$2,""*""))&gt;0,countif(filter(Status!$C:$C,Status!$A:$A=$A246),CONCATENATE(AH$2,""*"")),"""")"),"")</f>
        <v/>
      </c>
      <c r="AI246" s="23" t="str">
        <f>IFERROR(__xludf.DUMMYFUNCTION("if(countif(filter(Status!$C:$C,Status!$A:$A=$A246),CONCATENATE(AI$2,""*""))&gt;0,countif(filter(Status!$C:$C,Status!$A:$A=$A246),CONCATENATE(AI$2,""*"")),"""")"),"")</f>
        <v/>
      </c>
      <c r="AJ246" s="23" t="str">
        <f>IFERROR(__xludf.DUMMYFUNCTION("if(countif(filter(Status!$C:$C,Status!$A:$A=$A246),CONCATENATE(AJ$2,""*""))&gt;0,countif(filter(Status!$C:$C,Status!$A:$A=$A246),CONCATENATE(AJ$2,""*"")),"""")"),"")</f>
        <v/>
      </c>
      <c r="AK246" s="23" t="str">
        <f>IFERROR(__xludf.DUMMYFUNCTION("if(countif(filter(Status!$C:$C,Status!$A:$A=$A246),CONCATENATE(AK$2,""*""))&gt;0,countif(filter(Status!$C:$C,Status!$A:$A=$A246),CONCATENATE(AK$2,""*"")),"""")"),"")</f>
        <v/>
      </c>
      <c r="AL246" s="23" t="str">
        <f>IFERROR(__xludf.DUMMYFUNCTION("if(countif(filter(Status!$C:$C,Status!$A:$A=$A246),CONCATENATE(AL$2,""*""))&gt;0,countif(filter(Status!$C:$C,Status!$A:$A=$A246),CONCATENATE(AL$2,""*"")),"""")"),"")</f>
        <v/>
      </c>
      <c r="AM246" s="23" t="str">
        <f>IFERROR(__xludf.DUMMYFUNCTION("if(countif(filter(Status!$C:$C,Status!$A:$A=$A246),CONCATENATE(AM$2,""*""))&gt;0,countif(filter(Status!$C:$C,Status!$A:$A=$A246),CONCATENATE(AM$2,""*"")),"""")"),"")</f>
        <v/>
      </c>
      <c r="AN246" s="23" t="str">
        <f>IFERROR(__xludf.DUMMYFUNCTION("if(countif(filter(Status!$C:$C,Status!$A:$A=$A246),CONCATENATE(AN$2,""*""))&gt;0,countif(filter(Status!$C:$C,Status!$A:$A=$A246),CONCATENATE(AN$2,""*"")),"""")"),"")</f>
        <v/>
      </c>
      <c r="AO246" s="23" t="str">
        <f>IFERROR(__xludf.DUMMYFUNCTION("if(countif(filter(Status!$C:$C,Status!$A:$A=$A246),CONCATENATE(AO$2,""*""))&gt;0,countif(filter(Status!$C:$C,Status!$A:$A=$A246),CONCATENATE(AO$2,""*"")),"""")"),"")</f>
        <v/>
      </c>
      <c r="AP246" s="23">
        <f>IFERROR(__xludf.DUMMYFUNCTION("counta(iferror(filter(Status!C:C,Status!A:A=A246)))"),0.0)</f>
        <v>0</v>
      </c>
      <c r="AQ246" s="23">
        <f t="shared" si="6"/>
        <v>0</v>
      </c>
    </row>
    <row r="247">
      <c r="A247" s="1" t="s">
        <v>1463</v>
      </c>
      <c r="B247" s="25" t="str">
        <f>IFERROR(__xludf.DUMMYFUNCTION("max(filter(Status!E:E,Status!A:A=A247))"),"#N/A")</f>
        <v>#N/A</v>
      </c>
      <c r="C247" s="23" t="str">
        <f t="shared" si="1"/>
        <v/>
      </c>
      <c r="D247" s="23" t="str">
        <f t="shared" si="2"/>
        <v/>
      </c>
      <c r="E247" s="23" t="str">
        <f t="shared" si="3"/>
        <v/>
      </c>
      <c r="F247" s="23" t="str">
        <f t="shared" si="4"/>
        <v/>
      </c>
      <c r="G247" s="25" t="str">
        <f t="shared" si="5"/>
        <v/>
      </c>
      <c r="J247" s="23">
        <f>IFERROR(__xludf.DUMMYFUNCTION("COUNTA(iferror(filter(Status!H:H,Status!A:A=A247)))"),0.0)</f>
        <v>0</v>
      </c>
      <c r="K247" s="25">
        <f>IFERROR(__xludf.DUMMYFUNCTION("COUNTA(iferror(filter(Status!H:H,Status!A:A=A247,Status!H:H=TRUE)))"),0.0)</f>
        <v>0</v>
      </c>
      <c r="L247" s="23">
        <f>IFERROR(__xludf.DUMMYFUNCTION("COUNTA(iferror(filter(Status!L:L,Status!A:A=A247)))"),0.0)</f>
        <v>0</v>
      </c>
      <c r="M247" s="25">
        <f>IFERROR(__xludf.DUMMYFUNCTION("COUNTA(iferror(filter(Status!L:L,Status!A:A=A247,Status!L:L=TRUE)))"),0.0)</f>
        <v>0</v>
      </c>
      <c r="N247" s="23">
        <f>IFERROR(__xludf.DUMMYFUNCTION("COUNTA(iferror(filter(Status!N:N,Status!A:A=A247,Status!N:N=TRUE)))"),0.0)</f>
        <v>0</v>
      </c>
      <c r="O247" s="25">
        <f>IFERROR(__xludf.DUMMYFUNCTION("COUNTA(iferror(filter(Status!N:N,Status!A:A=A247,Status!N:N=TRUE)))"),0.0)</f>
        <v>0</v>
      </c>
      <c r="P247" s="23">
        <f>IFERROR(__xludf.DUMMYFUNCTION("COUNTA(iferror(filter(Status!P:P,Status!A:A=A247)))"),0.0)</f>
        <v>0</v>
      </c>
      <c r="Q247" s="25">
        <f>IFERROR(__xludf.DUMMYFUNCTION("COUNTA(iferror(filter(Status!P:P,Status!A:A=A247,Status!P:P=TRUE)))"),0.0)</f>
        <v>0</v>
      </c>
      <c r="R247" s="23">
        <f>IFERROR(__xludf.DUMMYFUNCTION("COUNTA(iferror(filter(Status!R:R,Status!A:A=A247)))"),0.0)</f>
        <v>0</v>
      </c>
      <c r="S247" s="25">
        <f>IFERROR(__xludf.DUMMYFUNCTION("COUNTA(iferror(filter(Status!R:R,Status!A:A=A247,Status!R:R=TRUE)))"),0.0)</f>
        <v>0</v>
      </c>
      <c r="V247" s="23" t="str">
        <f>IFERROR(__xludf.DUMMYFUNCTION("if((countif(filter(Status!$C:$C,Status!$A:$A=$A247),CONCATENATE(V$2,""*""))-W247)&gt;0,(countif(filter(Status!$C:$C,Status!$A:$A=$A247),CONCATENATE(V$2,""*""))-W247),"""")"),"")</f>
        <v/>
      </c>
      <c r="W247" s="23" t="str">
        <f>IFERROR(__xludf.DUMMYFUNCTION("if(countif(filter(Status!$C:$C,Status!$A:$A=$A247),CONCATENATE(W$2,""*""))&gt;0,countif(filter(Status!$C:$C,Status!$A:$A=$A247),CONCATENATE(W$2,""*"")),"""")"),"")</f>
        <v/>
      </c>
      <c r="X247" s="23" t="str">
        <f>IFERROR(__xludf.DUMMYFUNCTION("if(countif(filter(Status!$C:$C,Status!$A:$A=$A247),CONCATENATE(X$2,""*""))&gt;0,countif(filter(Status!$C:$C,Status!$A:$A=$A247),CONCATENATE(X$2,""*"")),"""")"),"")</f>
        <v/>
      </c>
      <c r="Y247" s="23" t="str">
        <f>IFERROR(__xludf.DUMMYFUNCTION("if(countif(filter(Status!$C:$C,Status!$A:$A=$A247),CONCATENATE(Y$2,""*""))&gt;0,countif(filter(Status!$C:$C,Status!$A:$A=$A247),CONCATENATE(Y$2,""*"")),"""")"),"")</f>
        <v/>
      </c>
      <c r="Z247" s="23" t="str">
        <f>IFERROR(__xludf.DUMMYFUNCTION("if(countif(filter(Status!$C:$C,Status!$A:$A=$A247),CONCATENATE(Z$2,""*""))&gt;0,countif(filter(Status!$C:$C,Status!$A:$A=$A247),CONCATENATE(Z$2,""*"")),"""")"),"")</f>
        <v/>
      </c>
      <c r="AA247" s="23" t="str">
        <f>IFERROR(__xludf.DUMMYFUNCTION("if((countif(filter(Status!$C:$C,Status!$A:$A=$A247),CONCATENATE(AA$2,""*""))-AB247)&gt;0,(countif(filter(Status!$C:$C,Status!$A:$A=$A247),CONCATENATE(AA$2,""*""))-AB247),"""")"),"")</f>
        <v/>
      </c>
      <c r="AB247" s="23" t="str">
        <f>IFERROR(__xludf.DUMMYFUNCTION("if(countif(filter(Status!$C:$C,Status!$A:$A=$A247),CONCATENATE(AB$2,""*""))&gt;0,countif(filter(Status!$C:$C,Status!$A:$A=$A247),CONCATENATE(AB$2,""*"")),"""")"),"")</f>
        <v/>
      </c>
      <c r="AC247" s="23" t="str">
        <f>IFERROR(__xludf.DUMMYFUNCTION("if(countif(filter(Status!$C:$C,Status!$A:$A=$A247),CONCATENATE(AC$2,""*""))&gt;0,countif(filter(Status!$C:$C,Status!$A:$A=$A247),CONCATENATE(AC$2,""*"")),"""")"),"")</f>
        <v/>
      </c>
      <c r="AD247" s="23" t="str">
        <f>IFERROR(__xludf.DUMMYFUNCTION("if(countif(filter(Status!$C:$C,Status!$A:$A=$A247),CONCATENATE(AD$2,""*""))&gt;0,countif(filter(Status!$C:$C,Status!$A:$A=$A247),CONCATENATE(AD$2,""*"")),"""")"),"")</f>
        <v/>
      </c>
      <c r="AE247" s="23" t="str">
        <f>IFERROR(__xludf.DUMMYFUNCTION("if(countif(filter(Status!$C:$C,Status!$A:$A=$A247),CONCATENATE(AE$2,""*""))&gt;0,countif(filter(Status!$C:$C,Status!$A:$A=$A247),CONCATENATE(AE$2,""*"")),"""")"),"")</f>
        <v/>
      </c>
      <c r="AF247" s="23" t="str">
        <f>IFERROR(__xludf.DUMMYFUNCTION("if(countif(filter(Status!$C:$C,Status!$A:$A=$A247),CONCATENATE(AF$2,""*""))&gt;0,countif(filter(Status!$C:$C,Status!$A:$A=$A247),CONCATENATE(AF$2,""*"")),"""")"),"")</f>
        <v/>
      </c>
      <c r="AG247" s="23" t="str">
        <f>IFERROR(__xludf.DUMMYFUNCTION("if(countif(filter(Status!$C:$C,Status!$A:$A=$A247),CONCATENATE(AG$2,""*""))&gt;0,countif(filter(Status!$C:$C,Status!$A:$A=$A247),CONCATENATE(AG$2,""*"")),"""")"),"")</f>
        <v/>
      </c>
      <c r="AH247" s="23" t="str">
        <f>IFERROR(__xludf.DUMMYFUNCTION("if(countif(filter(Status!$C:$C,Status!$A:$A=$A247),CONCATENATE(AH$2,""*""))&gt;0,countif(filter(Status!$C:$C,Status!$A:$A=$A247),CONCATENATE(AH$2,""*"")),"""")"),"")</f>
        <v/>
      </c>
      <c r="AI247" s="23" t="str">
        <f>IFERROR(__xludf.DUMMYFUNCTION("if(countif(filter(Status!$C:$C,Status!$A:$A=$A247),CONCATENATE(AI$2,""*""))&gt;0,countif(filter(Status!$C:$C,Status!$A:$A=$A247),CONCATENATE(AI$2,""*"")),"""")"),"")</f>
        <v/>
      </c>
      <c r="AJ247" s="23" t="str">
        <f>IFERROR(__xludf.DUMMYFUNCTION("if(countif(filter(Status!$C:$C,Status!$A:$A=$A247),CONCATENATE(AJ$2,""*""))&gt;0,countif(filter(Status!$C:$C,Status!$A:$A=$A247),CONCATENATE(AJ$2,""*"")),"""")"),"")</f>
        <v/>
      </c>
      <c r="AK247" s="23" t="str">
        <f>IFERROR(__xludf.DUMMYFUNCTION("if(countif(filter(Status!$C:$C,Status!$A:$A=$A247),CONCATENATE(AK$2,""*""))&gt;0,countif(filter(Status!$C:$C,Status!$A:$A=$A247),CONCATENATE(AK$2,""*"")),"""")"),"")</f>
        <v/>
      </c>
      <c r="AL247" s="23" t="str">
        <f>IFERROR(__xludf.DUMMYFUNCTION("if(countif(filter(Status!$C:$C,Status!$A:$A=$A247),CONCATENATE(AL$2,""*""))&gt;0,countif(filter(Status!$C:$C,Status!$A:$A=$A247),CONCATENATE(AL$2,""*"")),"""")"),"")</f>
        <v/>
      </c>
      <c r="AM247" s="23" t="str">
        <f>IFERROR(__xludf.DUMMYFUNCTION("if(countif(filter(Status!$C:$C,Status!$A:$A=$A247),CONCATENATE(AM$2,""*""))&gt;0,countif(filter(Status!$C:$C,Status!$A:$A=$A247),CONCATENATE(AM$2,""*"")),"""")"),"")</f>
        <v/>
      </c>
      <c r="AN247" s="23" t="str">
        <f>IFERROR(__xludf.DUMMYFUNCTION("if(countif(filter(Status!$C:$C,Status!$A:$A=$A247),CONCATENATE(AN$2,""*""))&gt;0,countif(filter(Status!$C:$C,Status!$A:$A=$A247),CONCATENATE(AN$2,""*"")),"""")"),"")</f>
        <v/>
      </c>
      <c r="AO247" s="23" t="str">
        <f>IFERROR(__xludf.DUMMYFUNCTION("if(countif(filter(Status!$C:$C,Status!$A:$A=$A247),CONCATENATE(AO$2,""*""))&gt;0,countif(filter(Status!$C:$C,Status!$A:$A=$A247),CONCATENATE(AO$2,""*"")),"""")"),"")</f>
        <v/>
      </c>
      <c r="AP247" s="23">
        <f>IFERROR(__xludf.DUMMYFUNCTION("counta(iferror(filter(Status!C:C,Status!A:A=A247)))"),0.0)</f>
        <v>0</v>
      </c>
      <c r="AQ247" s="23">
        <f t="shared" si="6"/>
        <v>0</v>
      </c>
    </row>
    <row r="248">
      <c r="A248" s="1" t="s">
        <v>1466</v>
      </c>
      <c r="B248" s="25" t="str">
        <f>IFERROR(__xludf.DUMMYFUNCTION("max(filter(Status!E:E,Status!A:A=A248))"),"#N/A")</f>
        <v>#N/A</v>
      </c>
      <c r="C248" s="23" t="str">
        <f t="shared" si="1"/>
        <v/>
      </c>
      <c r="D248" s="23" t="str">
        <f t="shared" si="2"/>
        <v/>
      </c>
      <c r="E248" s="23" t="str">
        <f t="shared" si="3"/>
        <v/>
      </c>
      <c r="F248" s="23" t="str">
        <f t="shared" si="4"/>
        <v/>
      </c>
      <c r="G248" s="25" t="str">
        <f t="shared" si="5"/>
        <v/>
      </c>
      <c r="J248" s="23">
        <f>IFERROR(__xludf.DUMMYFUNCTION("COUNTA(iferror(filter(Status!H:H,Status!A:A=A248)))"),0.0)</f>
        <v>0</v>
      </c>
      <c r="K248" s="25">
        <f>IFERROR(__xludf.DUMMYFUNCTION("COUNTA(iferror(filter(Status!H:H,Status!A:A=A248,Status!H:H=TRUE)))"),0.0)</f>
        <v>0</v>
      </c>
      <c r="L248" s="23">
        <f>IFERROR(__xludf.DUMMYFUNCTION("COUNTA(iferror(filter(Status!L:L,Status!A:A=A248)))"),0.0)</f>
        <v>0</v>
      </c>
      <c r="M248" s="25">
        <f>IFERROR(__xludf.DUMMYFUNCTION("COUNTA(iferror(filter(Status!L:L,Status!A:A=A248,Status!L:L=TRUE)))"),0.0)</f>
        <v>0</v>
      </c>
      <c r="N248" s="23">
        <f>IFERROR(__xludf.DUMMYFUNCTION("COUNTA(iferror(filter(Status!N:N,Status!A:A=A248,Status!N:N=TRUE)))"),0.0)</f>
        <v>0</v>
      </c>
      <c r="O248" s="25">
        <f>IFERROR(__xludf.DUMMYFUNCTION("COUNTA(iferror(filter(Status!N:N,Status!A:A=A248,Status!N:N=TRUE)))"),0.0)</f>
        <v>0</v>
      </c>
      <c r="P248" s="23">
        <f>IFERROR(__xludf.DUMMYFUNCTION("COUNTA(iferror(filter(Status!P:P,Status!A:A=A248)))"),0.0)</f>
        <v>0</v>
      </c>
      <c r="Q248" s="25">
        <f>IFERROR(__xludf.DUMMYFUNCTION("COUNTA(iferror(filter(Status!P:P,Status!A:A=A248,Status!P:P=TRUE)))"),0.0)</f>
        <v>0</v>
      </c>
      <c r="R248" s="23">
        <f>IFERROR(__xludf.DUMMYFUNCTION("COUNTA(iferror(filter(Status!R:R,Status!A:A=A248)))"),0.0)</f>
        <v>0</v>
      </c>
      <c r="S248" s="25">
        <f>IFERROR(__xludf.DUMMYFUNCTION("COUNTA(iferror(filter(Status!R:R,Status!A:A=A248,Status!R:R=TRUE)))"),0.0)</f>
        <v>0</v>
      </c>
      <c r="V248" s="23" t="str">
        <f>IFERROR(__xludf.DUMMYFUNCTION("if((countif(filter(Status!$C:$C,Status!$A:$A=$A248),CONCATENATE(V$2,""*""))-W248)&gt;0,(countif(filter(Status!$C:$C,Status!$A:$A=$A248),CONCATENATE(V$2,""*""))-W248),"""")"),"")</f>
        <v/>
      </c>
      <c r="W248" s="23" t="str">
        <f>IFERROR(__xludf.DUMMYFUNCTION("if(countif(filter(Status!$C:$C,Status!$A:$A=$A248),CONCATENATE(W$2,""*""))&gt;0,countif(filter(Status!$C:$C,Status!$A:$A=$A248),CONCATENATE(W$2,""*"")),"""")"),"")</f>
        <v/>
      </c>
      <c r="X248" s="23" t="str">
        <f>IFERROR(__xludf.DUMMYFUNCTION("if(countif(filter(Status!$C:$C,Status!$A:$A=$A248),CONCATENATE(X$2,""*""))&gt;0,countif(filter(Status!$C:$C,Status!$A:$A=$A248),CONCATENATE(X$2,""*"")),"""")"),"")</f>
        <v/>
      </c>
      <c r="Y248" s="23" t="str">
        <f>IFERROR(__xludf.DUMMYFUNCTION("if(countif(filter(Status!$C:$C,Status!$A:$A=$A248),CONCATENATE(Y$2,""*""))&gt;0,countif(filter(Status!$C:$C,Status!$A:$A=$A248),CONCATENATE(Y$2,""*"")),"""")"),"")</f>
        <v/>
      </c>
      <c r="Z248" s="23" t="str">
        <f>IFERROR(__xludf.DUMMYFUNCTION("if(countif(filter(Status!$C:$C,Status!$A:$A=$A248),CONCATENATE(Z$2,""*""))&gt;0,countif(filter(Status!$C:$C,Status!$A:$A=$A248),CONCATENATE(Z$2,""*"")),"""")"),"")</f>
        <v/>
      </c>
      <c r="AA248" s="23" t="str">
        <f>IFERROR(__xludf.DUMMYFUNCTION("if((countif(filter(Status!$C:$C,Status!$A:$A=$A248),CONCATENATE(AA$2,""*""))-AB248)&gt;0,(countif(filter(Status!$C:$C,Status!$A:$A=$A248),CONCATENATE(AA$2,""*""))-AB248),"""")"),"")</f>
        <v/>
      </c>
      <c r="AB248" s="23" t="str">
        <f>IFERROR(__xludf.DUMMYFUNCTION("if(countif(filter(Status!$C:$C,Status!$A:$A=$A248),CONCATENATE(AB$2,""*""))&gt;0,countif(filter(Status!$C:$C,Status!$A:$A=$A248),CONCATENATE(AB$2,""*"")),"""")"),"")</f>
        <v/>
      </c>
      <c r="AC248" s="23" t="str">
        <f>IFERROR(__xludf.DUMMYFUNCTION("if(countif(filter(Status!$C:$C,Status!$A:$A=$A248),CONCATENATE(AC$2,""*""))&gt;0,countif(filter(Status!$C:$C,Status!$A:$A=$A248),CONCATENATE(AC$2,""*"")),"""")"),"")</f>
        <v/>
      </c>
      <c r="AD248" s="23" t="str">
        <f>IFERROR(__xludf.DUMMYFUNCTION("if(countif(filter(Status!$C:$C,Status!$A:$A=$A248),CONCATENATE(AD$2,""*""))&gt;0,countif(filter(Status!$C:$C,Status!$A:$A=$A248),CONCATENATE(AD$2,""*"")),"""")"),"")</f>
        <v/>
      </c>
      <c r="AE248" s="23" t="str">
        <f>IFERROR(__xludf.DUMMYFUNCTION("if(countif(filter(Status!$C:$C,Status!$A:$A=$A248),CONCATENATE(AE$2,""*""))&gt;0,countif(filter(Status!$C:$C,Status!$A:$A=$A248),CONCATENATE(AE$2,""*"")),"""")"),"")</f>
        <v/>
      </c>
      <c r="AF248" s="23" t="str">
        <f>IFERROR(__xludf.DUMMYFUNCTION("if(countif(filter(Status!$C:$C,Status!$A:$A=$A248),CONCATENATE(AF$2,""*""))&gt;0,countif(filter(Status!$C:$C,Status!$A:$A=$A248),CONCATENATE(AF$2,""*"")),"""")"),"")</f>
        <v/>
      </c>
      <c r="AG248" s="23" t="str">
        <f>IFERROR(__xludf.DUMMYFUNCTION("if(countif(filter(Status!$C:$C,Status!$A:$A=$A248),CONCATENATE(AG$2,""*""))&gt;0,countif(filter(Status!$C:$C,Status!$A:$A=$A248),CONCATENATE(AG$2,""*"")),"""")"),"")</f>
        <v/>
      </c>
      <c r="AH248" s="23" t="str">
        <f>IFERROR(__xludf.DUMMYFUNCTION("if(countif(filter(Status!$C:$C,Status!$A:$A=$A248),CONCATENATE(AH$2,""*""))&gt;0,countif(filter(Status!$C:$C,Status!$A:$A=$A248),CONCATENATE(AH$2,""*"")),"""")"),"")</f>
        <v/>
      </c>
      <c r="AI248" s="23" t="str">
        <f>IFERROR(__xludf.DUMMYFUNCTION("if(countif(filter(Status!$C:$C,Status!$A:$A=$A248),CONCATENATE(AI$2,""*""))&gt;0,countif(filter(Status!$C:$C,Status!$A:$A=$A248),CONCATENATE(AI$2,""*"")),"""")"),"")</f>
        <v/>
      </c>
      <c r="AJ248" s="23" t="str">
        <f>IFERROR(__xludf.DUMMYFUNCTION("if(countif(filter(Status!$C:$C,Status!$A:$A=$A248),CONCATENATE(AJ$2,""*""))&gt;0,countif(filter(Status!$C:$C,Status!$A:$A=$A248),CONCATENATE(AJ$2,""*"")),"""")"),"")</f>
        <v/>
      </c>
      <c r="AK248" s="23" t="str">
        <f>IFERROR(__xludf.DUMMYFUNCTION("if(countif(filter(Status!$C:$C,Status!$A:$A=$A248),CONCATENATE(AK$2,""*""))&gt;0,countif(filter(Status!$C:$C,Status!$A:$A=$A248),CONCATENATE(AK$2,""*"")),"""")"),"")</f>
        <v/>
      </c>
      <c r="AL248" s="23" t="str">
        <f>IFERROR(__xludf.DUMMYFUNCTION("if(countif(filter(Status!$C:$C,Status!$A:$A=$A248),CONCATENATE(AL$2,""*""))&gt;0,countif(filter(Status!$C:$C,Status!$A:$A=$A248),CONCATENATE(AL$2,""*"")),"""")"),"")</f>
        <v/>
      </c>
      <c r="AM248" s="23" t="str">
        <f>IFERROR(__xludf.DUMMYFUNCTION("if(countif(filter(Status!$C:$C,Status!$A:$A=$A248),CONCATENATE(AM$2,""*""))&gt;0,countif(filter(Status!$C:$C,Status!$A:$A=$A248),CONCATENATE(AM$2,""*"")),"""")"),"")</f>
        <v/>
      </c>
      <c r="AN248" s="23" t="str">
        <f>IFERROR(__xludf.DUMMYFUNCTION("if(countif(filter(Status!$C:$C,Status!$A:$A=$A248),CONCATENATE(AN$2,""*""))&gt;0,countif(filter(Status!$C:$C,Status!$A:$A=$A248),CONCATENATE(AN$2,""*"")),"""")"),"")</f>
        <v/>
      </c>
      <c r="AO248" s="23" t="str">
        <f>IFERROR(__xludf.DUMMYFUNCTION("if(countif(filter(Status!$C:$C,Status!$A:$A=$A248),CONCATENATE(AO$2,""*""))&gt;0,countif(filter(Status!$C:$C,Status!$A:$A=$A248),CONCATENATE(AO$2,""*"")),"""")"),"")</f>
        <v/>
      </c>
      <c r="AP248" s="23">
        <f>IFERROR(__xludf.DUMMYFUNCTION("counta(iferror(filter(Status!C:C,Status!A:A=A248)))"),0.0)</f>
        <v>0</v>
      </c>
      <c r="AQ248" s="23">
        <f t="shared" si="6"/>
        <v>0</v>
      </c>
    </row>
    <row r="249">
      <c r="A249" s="1" t="s">
        <v>1469</v>
      </c>
      <c r="B249" s="25" t="str">
        <f>IFERROR(__xludf.DUMMYFUNCTION("max(filter(Status!E:E,Status!A:A=A249))"),"#N/A")</f>
        <v>#N/A</v>
      </c>
      <c r="C249" s="23" t="str">
        <f t="shared" si="1"/>
        <v/>
      </c>
      <c r="D249" s="23" t="str">
        <f t="shared" si="2"/>
        <v/>
      </c>
      <c r="E249" s="23" t="str">
        <f t="shared" si="3"/>
        <v/>
      </c>
      <c r="F249" s="23" t="str">
        <f t="shared" si="4"/>
        <v/>
      </c>
      <c r="G249" s="25" t="str">
        <f t="shared" si="5"/>
        <v/>
      </c>
      <c r="J249" s="23">
        <f>IFERROR(__xludf.DUMMYFUNCTION("COUNTA(iferror(filter(Status!H:H,Status!A:A=A249)))"),0.0)</f>
        <v>0</v>
      </c>
      <c r="K249" s="25">
        <f>IFERROR(__xludf.DUMMYFUNCTION("COUNTA(iferror(filter(Status!H:H,Status!A:A=A249,Status!H:H=TRUE)))"),0.0)</f>
        <v>0</v>
      </c>
      <c r="L249" s="23">
        <f>IFERROR(__xludf.DUMMYFUNCTION("COUNTA(iferror(filter(Status!L:L,Status!A:A=A249)))"),0.0)</f>
        <v>0</v>
      </c>
      <c r="M249" s="25">
        <f>IFERROR(__xludf.DUMMYFUNCTION("COUNTA(iferror(filter(Status!L:L,Status!A:A=A249,Status!L:L=TRUE)))"),0.0)</f>
        <v>0</v>
      </c>
      <c r="N249" s="23">
        <f>IFERROR(__xludf.DUMMYFUNCTION("COUNTA(iferror(filter(Status!N:N,Status!A:A=A249,Status!N:N=TRUE)))"),0.0)</f>
        <v>0</v>
      </c>
      <c r="O249" s="25">
        <f>IFERROR(__xludf.DUMMYFUNCTION("COUNTA(iferror(filter(Status!N:N,Status!A:A=A249,Status!N:N=TRUE)))"),0.0)</f>
        <v>0</v>
      </c>
      <c r="P249" s="23">
        <f>IFERROR(__xludf.DUMMYFUNCTION("COUNTA(iferror(filter(Status!P:P,Status!A:A=A249)))"),0.0)</f>
        <v>0</v>
      </c>
      <c r="Q249" s="25">
        <f>IFERROR(__xludf.DUMMYFUNCTION("COUNTA(iferror(filter(Status!P:P,Status!A:A=A249,Status!P:P=TRUE)))"),0.0)</f>
        <v>0</v>
      </c>
      <c r="R249" s="23">
        <f>IFERROR(__xludf.DUMMYFUNCTION("COUNTA(iferror(filter(Status!R:R,Status!A:A=A249)))"),0.0)</f>
        <v>0</v>
      </c>
      <c r="S249" s="25">
        <f>IFERROR(__xludf.DUMMYFUNCTION("COUNTA(iferror(filter(Status!R:R,Status!A:A=A249,Status!R:R=TRUE)))"),0.0)</f>
        <v>0</v>
      </c>
      <c r="V249" s="23" t="str">
        <f>IFERROR(__xludf.DUMMYFUNCTION("if((countif(filter(Status!$C:$C,Status!$A:$A=$A249),CONCATENATE(V$2,""*""))-W249)&gt;0,(countif(filter(Status!$C:$C,Status!$A:$A=$A249),CONCATENATE(V$2,""*""))-W249),"""")"),"")</f>
        <v/>
      </c>
      <c r="W249" s="23" t="str">
        <f>IFERROR(__xludf.DUMMYFUNCTION("if(countif(filter(Status!$C:$C,Status!$A:$A=$A249),CONCATENATE(W$2,""*""))&gt;0,countif(filter(Status!$C:$C,Status!$A:$A=$A249),CONCATENATE(W$2,""*"")),"""")"),"")</f>
        <v/>
      </c>
      <c r="X249" s="23" t="str">
        <f>IFERROR(__xludf.DUMMYFUNCTION("if(countif(filter(Status!$C:$C,Status!$A:$A=$A249),CONCATENATE(X$2,""*""))&gt;0,countif(filter(Status!$C:$C,Status!$A:$A=$A249),CONCATENATE(X$2,""*"")),"""")"),"")</f>
        <v/>
      </c>
      <c r="Y249" s="23" t="str">
        <f>IFERROR(__xludf.DUMMYFUNCTION("if(countif(filter(Status!$C:$C,Status!$A:$A=$A249),CONCATENATE(Y$2,""*""))&gt;0,countif(filter(Status!$C:$C,Status!$A:$A=$A249),CONCATENATE(Y$2,""*"")),"""")"),"")</f>
        <v/>
      </c>
      <c r="Z249" s="23" t="str">
        <f>IFERROR(__xludf.DUMMYFUNCTION("if(countif(filter(Status!$C:$C,Status!$A:$A=$A249),CONCATENATE(Z$2,""*""))&gt;0,countif(filter(Status!$C:$C,Status!$A:$A=$A249),CONCATENATE(Z$2,""*"")),"""")"),"")</f>
        <v/>
      </c>
      <c r="AA249" s="23" t="str">
        <f>IFERROR(__xludf.DUMMYFUNCTION("if((countif(filter(Status!$C:$C,Status!$A:$A=$A249),CONCATENATE(AA$2,""*""))-AB249)&gt;0,(countif(filter(Status!$C:$C,Status!$A:$A=$A249),CONCATENATE(AA$2,""*""))-AB249),"""")"),"")</f>
        <v/>
      </c>
      <c r="AB249" s="23" t="str">
        <f>IFERROR(__xludf.DUMMYFUNCTION("if(countif(filter(Status!$C:$C,Status!$A:$A=$A249),CONCATENATE(AB$2,""*""))&gt;0,countif(filter(Status!$C:$C,Status!$A:$A=$A249),CONCATENATE(AB$2,""*"")),"""")"),"")</f>
        <v/>
      </c>
      <c r="AC249" s="23" t="str">
        <f>IFERROR(__xludf.DUMMYFUNCTION("if(countif(filter(Status!$C:$C,Status!$A:$A=$A249),CONCATENATE(AC$2,""*""))&gt;0,countif(filter(Status!$C:$C,Status!$A:$A=$A249),CONCATENATE(AC$2,""*"")),"""")"),"")</f>
        <v/>
      </c>
      <c r="AD249" s="23" t="str">
        <f>IFERROR(__xludf.DUMMYFUNCTION("if(countif(filter(Status!$C:$C,Status!$A:$A=$A249),CONCATENATE(AD$2,""*""))&gt;0,countif(filter(Status!$C:$C,Status!$A:$A=$A249),CONCATENATE(AD$2,""*"")),"""")"),"")</f>
        <v/>
      </c>
      <c r="AE249" s="23" t="str">
        <f>IFERROR(__xludf.DUMMYFUNCTION("if(countif(filter(Status!$C:$C,Status!$A:$A=$A249),CONCATENATE(AE$2,""*""))&gt;0,countif(filter(Status!$C:$C,Status!$A:$A=$A249),CONCATENATE(AE$2,""*"")),"""")"),"")</f>
        <v/>
      </c>
      <c r="AF249" s="23" t="str">
        <f>IFERROR(__xludf.DUMMYFUNCTION("if(countif(filter(Status!$C:$C,Status!$A:$A=$A249),CONCATENATE(AF$2,""*""))&gt;0,countif(filter(Status!$C:$C,Status!$A:$A=$A249),CONCATENATE(AF$2,""*"")),"""")"),"")</f>
        <v/>
      </c>
      <c r="AG249" s="23" t="str">
        <f>IFERROR(__xludf.DUMMYFUNCTION("if(countif(filter(Status!$C:$C,Status!$A:$A=$A249),CONCATENATE(AG$2,""*""))&gt;0,countif(filter(Status!$C:$C,Status!$A:$A=$A249),CONCATENATE(AG$2,""*"")),"""")"),"")</f>
        <v/>
      </c>
      <c r="AH249" s="23" t="str">
        <f>IFERROR(__xludf.DUMMYFUNCTION("if(countif(filter(Status!$C:$C,Status!$A:$A=$A249),CONCATENATE(AH$2,""*""))&gt;0,countif(filter(Status!$C:$C,Status!$A:$A=$A249),CONCATENATE(AH$2,""*"")),"""")"),"")</f>
        <v/>
      </c>
      <c r="AI249" s="23" t="str">
        <f>IFERROR(__xludf.DUMMYFUNCTION("if(countif(filter(Status!$C:$C,Status!$A:$A=$A249),CONCATENATE(AI$2,""*""))&gt;0,countif(filter(Status!$C:$C,Status!$A:$A=$A249),CONCATENATE(AI$2,""*"")),"""")"),"")</f>
        <v/>
      </c>
      <c r="AJ249" s="23" t="str">
        <f>IFERROR(__xludf.DUMMYFUNCTION("if(countif(filter(Status!$C:$C,Status!$A:$A=$A249),CONCATENATE(AJ$2,""*""))&gt;0,countif(filter(Status!$C:$C,Status!$A:$A=$A249),CONCATENATE(AJ$2,""*"")),"""")"),"")</f>
        <v/>
      </c>
      <c r="AK249" s="23" t="str">
        <f>IFERROR(__xludf.DUMMYFUNCTION("if(countif(filter(Status!$C:$C,Status!$A:$A=$A249),CONCATENATE(AK$2,""*""))&gt;0,countif(filter(Status!$C:$C,Status!$A:$A=$A249),CONCATENATE(AK$2,""*"")),"""")"),"")</f>
        <v/>
      </c>
      <c r="AL249" s="23" t="str">
        <f>IFERROR(__xludf.DUMMYFUNCTION("if(countif(filter(Status!$C:$C,Status!$A:$A=$A249),CONCATENATE(AL$2,""*""))&gt;0,countif(filter(Status!$C:$C,Status!$A:$A=$A249),CONCATENATE(AL$2,""*"")),"""")"),"")</f>
        <v/>
      </c>
      <c r="AM249" s="23" t="str">
        <f>IFERROR(__xludf.DUMMYFUNCTION("if(countif(filter(Status!$C:$C,Status!$A:$A=$A249),CONCATENATE(AM$2,""*""))&gt;0,countif(filter(Status!$C:$C,Status!$A:$A=$A249),CONCATENATE(AM$2,""*"")),"""")"),"")</f>
        <v/>
      </c>
      <c r="AN249" s="23" t="str">
        <f>IFERROR(__xludf.DUMMYFUNCTION("if(countif(filter(Status!$C:$C,Status!$A:$A=$A249),CONCATENATE(AN$2,""*""))&gt;0,countif(filter(Status!$C:$C,Status!$A:$A=$A249),CONCATENATE(AN$2,""*"")),"""")"),"")</f>
        <v/>
      </c>
      <c r="AO249" s="23" t="str">
        <f>IFERROR(__xludf.DUMMYFUNCTION("if(countif(filter(Status!$C:$C,Status!$A:$A=$A249),CONCATENATE(AO$2,""*""))&gt;0,countif(filter(Status!$C:$C,Status!$A:$A=$A249),CONCATENATE(AO$2,""*"")),"""")"),"")</f>
        <v/>
      </c>
      <c r="AP249" s="23">
        <f>IFERROR(__xludf.DUMMYFUNCTION("counta(iferror(filter(Status!C:C,Status!A:A=A249)))"),0.0)</f>
        <v>0</v>
      </c>
      <c r="AQ249" s="23">
        <f t="shared" si="6"/>
        <v>0</v>
      </c>
    </row>
    <row r="250">
      <c r="A250" s="1" t="s">
        <v>1472</v>
      </c>
      <c r="B250" s="25" t="str">
        <f>IFERROR(__xludf.DUMMYFUNCTION("max(filter(Status!E:E,Status!A:A=A250))"),"#N/A")</f>
        <v>#N/A</v>
      </c>
      <c r="C250" s="23" t="str">
        <f t="shared" si="1"/>
        <v/>
      </c>
      <c r="D250" s="23" t="str">
        <f t="shared" si="2"/>
        <v/>
      </c>
      <c r="E250" s="23" t="str">
        <f t="shared" si="3"/>
        <v/>
      </c>
      <c r="F250" s="23" t="str">
        <f t="shared" si="4"/>
        <v/>
      </c>
      <c r="G250" s="25" t="str">
        <f t="shared" si="5"/>
        <v/>
      </c>
      <c r="J250" s="23">
        <f>IFERROR(__xludf.DUMMYFUNCTION("COUNTA(iferror(filter(Status!H:H,Status!A:A=A250)))"),0.0)</f>
        <v>0</v>
      </c>
      <c r="K250" s="25">
        <f>IFERROR(__xludf.DUMMYFUNCTION("COUNTA(iferror(filter(Status!H:H,Status!A:A=A250,Status!H:H=TRUE)))"),0.0)</f>
        <v>0</v>
      </c>
      <c r="L250" s="23">
        <f>IFERROR(__xludf.DUMMYFUNCTION("COUNTA(iferror(filter(Status!L:L,Status!A:A=A250)))"),0.0)</f>
        <v>0</v>
      </c>
      <c r="M250" s="25">
        <f>IFERROR(__xludf.DUMMYFUNCTION("COUNTA(iferror(filter(Status!L:L,Status!A:A=A250,Status!L:L=TRUE)))"),0.0)</f>
        <v>0</v>
      </c>
      <c r="N250" s="23">
        <f>IFERROR(__xludf.DUMMYFUNCTION("COUNTA(iferror(filter(Status!N:N,Status!A:A=A250,Status!N:N=TRUE)))"),0.0)</f>
        <v>0</v>
      </c>
      <c r="O250" s="25">
        <f>IFERROR(__xludf.DUMMYFUNCTION("COUNTA(iferror(filter(Status!N:N,Status!A:A=A250,Status!N:N=TRUE)))"),0.0)</f>
        <v>0</v>
      </c>
      <c r="P250" s="23">
        <f>IFERROR(__xludf.DUMMYFUNCTION("COUNTA(iferror(filter(Status!P:P,Status!A:A=A250)))"),0.0)</f>
        <v>0</v>
      </c>
      <c r="Q250" s="25">
        <f>IFERROR(__xludf.DUMMYFUNCTION("COUNTA(iferror(filter(Status!P:P,Status!A:A=A250,Status!P:P=TRUE)))"),0.0)</f>
        <v>0</v>
      </c>
      <c r="R250" s="23">
        <f>IFERROR(__xludf.DUMMYFUNCTION("COUNTA(iferror(filter(Status!R:R,Status!A:A=A250)))"),0.0)</f>
        <v>0</v>
      </c>
      <c r="S250" s="25">
        <f>IFERROR(__xludf.DUMMYFUNCTION("COUNTA(iferror(filter(Status!R:R,Status!A:A=A250,Status!R:R=TRUE)))"),0.0)</f>
        <v>0</v>
      </c>
      <c r="V250" s="23" t="str">
        <f>IFERROR(__xludf.DUMMYFUNCTION("if((countif(filter(Status!$C:$C,Status!$A:$A=$A250),CONCATENATE(V$2,""*""))-W250)&gt;0,(countif(filter(Status!$C:$C,Status!$A:$A=$A250),CONCATENATE(V$2,""*""))-W250),"""")"),"")</f>
        <v/>
      </c>
      <c r="W250" s="23" t="str">
        <f>IFERROR(__xludf.DUMMYFUNCTION("if(countif(filter(Status!$C:$C,Status!$A:$A=$A250),CONCATENATE(W$2,""*""))&gt;0,countif(filter(Status!$C:$C,Status!$A:$A=$A250),CONCATENATE(W$2,""*"")),"""")"),"")</f>
        <v/>
      </c>
      <c r="X250" s="23" t="str">
        <f>IFERROR(__xludf.DUMMYFUNCTION("if(countif(filter(Status!$C:$C,Status!$A:$A=$A250),CONCATENATE(X$2,""*""))&gt;0,countif(filter(Status!$C:$C,Status!$A:$A=$A250),CONCATENATE(X$2,""*"")),"""")"),"")</f>
        <v/>
      </c>
      <c r="Y250" s="23" t="str">
        <f>IFERROR(__xludf.DUMMYFUNCTION("if(countif(filter(Status!$C:$C,Status!$A:$A=$A250),CONCATENATE(Y$2,""*""))&gt;0,countif(filter(Status!$C:$C,Status!$A:$A=$A250),CONCATENATE(Y$2,""*"")),"""")"),"")</f>
        <v/>
      </c>
      <c r="Z250" s="23" t="str">
        <f>IFERROR(__xludf.DUMMYFUNCTION("if(countif(filter(Status!$C:$C,Status!$A:$A=$A250),CONCATENATE(Z$2,""*""))&gt;0,countif(filter(Status!$C:$C,Status!$A:$A=$A250),CONCATENATE(Z$2,""*"")),"""")"),"")</f>
        <v/>
      </c>
      <c r="AA250" s="23" t="str">
        <f>IFERROR(__xludf.DUMMYFUNCTION("if((countif(filter(Status!$C:$C,Status!$A:$A=$A250),CONCATENATE(AA$2,""*""))-AB250)&gt;0,(countif(filter(Status!$C:$C,Status!$A:$A=$A250),CONCATENATE(AA$2,""*""))-AB250),"""")"),"")</f>
        <v/>
      </c>
      <c r="AB250" s="23" t="str">
        <f>IFERROR(__xludf.DUMMYFUNCTION("if(countif(filter(Status!$C:$C,Status!$A:$A=$A250),CONCATENATE(AB$2,""*""))&gt;0,countif(filter(Status!$C:$C,Status!$A:$A=$A250),CONCATENATE(AB$2,""*"")),"""")"),"")</f>
        <v/>
      </c>
      <c r="AC250" s="23" t="str">
        <f>IFERROR(__xludf.DUMMYFUNCTION("if(countif(filter(Status!$C:$C,Status!$A:$A=$A250),CONCATENATE(AC$2,""*""))&gt;0,countif(filter(Status!$C:$C,Status!$A:$A=$A250),CONCATENATE(AC$2,""*"")),"""")"),"")</f>
        <v/>
      </c>
      <c r="AD250" s="23" t="str">
        <f>IFERROR(__xludf.DUMMYFUNCTION("if(countif(filter(Status!$C:$C,Status!$A:$A=$A250),CONCATENATE(AD$2,""*""))&gt;0,countif(filter(Status!$C:$C,Status!$A:$A=$A250),CONCATENATE(AD$2,""*"")),"""")"),"")</f>
        <v/>
      </c>
      <c r="AE250" s="23" t="str">
        <f>IFERROR(__xludf.DUMMYFUNCTION("if(countif(filter(Status!$C:$C,Status!$A:$A=$A250),CONCATENATE(AE$2,""*""))&gt;0,countif(filter(Status!$C:$C,Status!$A:$A=$A250),CONCATENATE(AE$2,""*"")),"""")"),"")</f>
        <v/>
      </c>
      <c r="AF250" s="23" t="str">
        <f>IFERROR(__xludf.DUMMYFUNCTION("if(countif(filter(Status!$C:$C,Status!$A:$A=$A250),CONCATENATE(AF$2,""*""))&gt;0,countif(filter(Status!$C:$C,Status!$A:$A=$A250),CONCATENATE(AF$2,""*"")),"""")"),"")</f>
        <v/>
      </c>
      <c r="AG250" s="23" t="str">
        <f>IFERROR(__xludf.DUMMYFUNCTION("if(countif(filter(Status!$C:$C,Status!$A:$A=$A250),CONCATENATE(AG$2,""*""))&gt;0,countif(filter(Status!$C:$C,Status!$A:$A=$A250),CONCATENATE(AG$2,""*"")),"""")"),"")</f>
        <v/>
      </c>
      <c r="AH250" s="23" t="str">
        <f>IFERROR(__xludf.DUMMYFUNCTION("if(countif(filter(Status!$C:$C,Status!$A:$A=$A250),CONCATENATE(AH$2,""*""))&gt;0,countif(filter(Status!$C:$C,Status!$A:$A=$A250),CONCATENATE(AH$2,""*"")),"""")"),"")</f>
        <v/>
      </c>
      <c r="AI250" s="23" t="str">
        <f>IFERROR(__xludf.DUMMYFUNCTION("if(countif(filter(Status!$C:$C,Status!$A:$A=$A250),CONCATENATE(AI$2,""*""))&gt;0,countif(filter(Status!$C:$C,Status!$A:$A=$A250),CONCATENATE(AI$2,""*"")),"""")"),"")</f>
        <v/>
      </c>
      <c r="AJ250" s="23" t="str">
        <f>IFERROR(__xludf.DUMMYFUNCTION("if(countif(filter(Status!$C:$C,Status!$A:$A=$A250),CONCATENATE(AJ$2,""*""))&gt;0,countif(filter(Status!$C:$C,Status!$A:$A=$A250),CONCATENATE(AJ$2,""*"")),"""")"),"")</f>
        <v/>
      </c>
      <c r="AK250" s="23" t="str">
        <f>IFERROR(__xludf.DUMMYFUNCTION("if(countif(filter(Status!$C:$C,Status!$A:$A=$A250),CONCATENATE(AK$2,""*""))&gt;0,countif(filter(Status!$C:$C,Status!$A:$A=$A250),CONCATENATE(AK$2,""*"")),"""")"),"")</f>
        <v/>
      </c>
      <c r="AL250" s="23" t="str">
        <f>IFERROR(__xludf.DUMMYFUNCTION("if(countif(filter(Status!$C:$C,Status!$A:$A=$A250),CONCATENATE(AL$2,""*""))&gt;0,countif(filter(Status!$C:$C,Status!$A:$A=$A250),CONCATENATE(AL$2,""*"")),"""")"),"")</f>
        <v/>
      </c>
      <c r="AM250" s="23" t="str">
        <f>IFERROR(__xludf.DUMMYFUNCTION("if(countif(filter(Status!$C:$C,Status!$A:$A=$A250),CONCATENATE(AM$2,""*""))&gt;0,countif(filter(Status!$C:$C,Status!$A:$A=$A250),CONCATENATE(AM$2,""*"")),"""")"),"")</f>
        <v/>
      </c>
      <c r="AN250" s="23" t="str">
        <f>IFERROR(__xludf.DUMMYFUNCTION("if(countif(filter(Status!$C:$C,Status!$A:$A=$A250),CONCATENATE(AN$2,""*""))&gt;0,countif(filter(Status!$C:$C,Status!$A:$A=$A250),CONCATENATE(AN$2,""*"")),"""")"),"")</f>
        <v/>
      </c>
      <c r="AO250" s="23" t="str">
        <f>IFERROR(__xludf.DUMMYFUNCTION("if(countif(filter(Status!$C:$C,Status!$A:$A=$A250),CONCATENATE(AO$2,""*""))&gt;0,countif(filter(Status!$C:$C,Status!$A:$A=$A250),CONCATENATE(AO$2,""*"")),"""")"),"")</f>
        <v/>
      </c>
      <c r="AP250" s="23">
        <f>IFERROR(__xludf.DUMMYFUNCTION("counta(iferror(filter(Status!C:C,Status!A:A=A250)))"),0.0)</f>
        <v>0</v>
      </c>
      <c r="AQ250" s="23">
        <f t="shared" si="6"/>
        <v>0</v>
      </c>
    </row>
    <row r="251">
      <c r="A251" s="1" t="s">
        <v>1475</v>
      </c>
      <c r="B251" s="25" t="str">
        <f>IFERROR(__xludf.DUMMYFUNCTION("max(filter(Status!E:E,Status!A:A=A251))"),"#N/A")</f>
        <v>#N/A</v>
      </c>
      <c r="C251" s="23" t="str">
        <f t="shared" si="1"/>
        <v/>
      </c>
      <c r="D251" s="23" t="str">
        <f t="shared" si="2"/>
        <v/>
      </c>
      <c r="E251" s="23" t="str">
        <f t="shared" si="3"/>
        <v/>
      </c>
      <c r="F251" s="23" t="str">
        <f t="shared" si="4"/>
        <v/>
      </c>
      <c r="G251" s="25" t="str">
        <f t="shared" si="5"/>
        <v/>
      </c>
      <c r="J251" s="23">
        <f>IFERROR(__xludf.DUMMYFUNCTION("COUNTA(iferror(filter(Status!H:H,Status!A:A=A251)))"),0.0)</f>
        <v>0</v>
      </c>
      <c r="K251" s="25">
        <f>IFERROR(__xludf.DUMMYFUNCTION("COUNTA(iferror(filter(Status!H:H,Status!A:A=A251,Status!H:H=TRUE)))"),0.0)</f>
        <v>0</v>
      </c>
      <c r="L251" s="23">
        <f>IFERROR(__xludf.DUMMYFUNCTION("COUNTA(iferror(filter(Status!L:L,Status!A:A=A251)))"),0.0)</f>
        <v>0</v>
      </c>
      <c r="M251" s="25">
        <f>IFERROR(__xludf.DUMMYFUNCTION("COUNTA(iferror(filter(Status!L:L,Status!A:A=A251,Status!L:L=TRUE)))"),0.0)</f>
        <v>0</v>
      </c>
      <c r="N251" s="23">
        <f>IFERROR(__xludf.DUMMYFUNCTION("COUNTA(iferror(filter(Status!N:N,Status!A:A=A251,Status!N:N=TRUE)))"),0.0)</f>
        <v>0</v>
      </c>
      <c r="O251" s="25">
        <f>IFERROR(__xludf.DUMMYFUNCTION("COUNTA(iferror(filter(Status!N:N,Status!A:A=A251,Status!N:N=TRUE)))"),0.0)</f>
        <v>0</v>
      </c>
      <c r="P251" s="23">
        <f>IFERROR(__xludf.DUMMYFUNCTION("COUNTA(iferror(filter(Status!P:P,Status!A:A=A251)))"),0.0)</f>
        <v>0</v>
      </c>
      <c r="Q251" s="25">
        <f>IFERROR(__xludf.DUMMYFUNCTION("COUNTA(iferror(filter(Status!P:P,Status!A:A=A251,Status!P:P=TRUE)))"),0.0)</f>
        <v>0</v>
      </c>
      <c r="R251" s="23">
        <f>IFERROR(__xludf.DUMMYFUNCTION("COUNTA(iferror(filter(Status!R:R,Status!A:A=A251)))"),0.0)</f>
        <v>0</v>
      </c>
      <c r="S251" s="25">
        <f>IFERROR(__xludf.DUMMYFUNCTION("COUNTA(iferror(filter(Status!R:R,Status!A:A=A251,Status!R:R=TRUE)))"),0.0)</f>
        <v>0</v>
      </c>
      <c r="V251" s="23" t="str">
        <f>IFERROR(__xludf.DUMMYFUNCTION("if((countif(filter(Status!$C:$C,Status!$A:$A=$A251),CONCATENATE(V$2,""*""))-W251)&gt;0,(countif(filter(Status!$C:$C,Status!$A:$A=$A251),CONCATENATE(V$2,""*""))-W251),"""")"),"")</f>
        <v/>
      </c>
      <c r="W251" s="23" t="str">
        <f>IFERROR(__xludf.DUMMYFUNCTION("if(countif(filter(Status!$C:$C,Status!$A:$A=$A251),CONCATENATE(W$2,""*""))&gt;0,countif(filter(Status!$C:$C,Status!$A:$A=$A251),CONCATENATE(W$2,""*"")),"""")"),"")</f>
        <v/>
      </c>
      <c r="X251" s="23" t="str">
        <f>IFERROR(__xludf.DUMMYFUNCTION("if(countif(filter(Status!$C:$C,Status!$A:$A=$A251),CONCATENATE(X$2,""*""))&gt;0,countif(filter(Status!$C:$C,Status!$A:$A=$A251),CONCATENATE(X$2,""*"")),"""")"),"")</f>
        <v/>
      </c>
      <c r="Y251" s="23" t="str">
        <f>IFERROR(__xludf.DUMMYFUNCTION("if(countif(filter(Status!$C:$C,Status!$A:$A=$A251),CONCATENATE(Y$2,""*""))&gt;0,countif(filter(Status!$C:$C,Status!$A:$A=$A251),CONCATENATE(Y$2,""*"")),"""")"),"")</f>
        <v/>
      </c>
      <c r="Z251" s="23" t="str">
        <f>IFERROR(__xludf.DUMMYFUNCTION("if(countif(filter(Status!$C:$C,Status!$A:$A=$A251),CONCATENATE(Z$2,""*""))&gt;0,countif(filter(Status!$C:$C,Status!$A:$A=$A251),CONCATENATE(Z$2,""*"")),"""")"),"")</f>
        <v/>
      </c>
      <c r="AA251" s="23" t="str">
        <f>IFERROR(__xludf.DUMMYFUNCTION("if((countif(filter(Status!$C:$C,Status!$A:$A=$A251),CONCATENATE(AA$2,""*""))-AB251)&gt;0,(countif(filter(Status!$C:$C,Status!$A:$A=$A251),CONCATENATE(AA$2,""*""))-AB251),"""")"),"")</f>
        <v/>
      </c>
      <c r="AB251" s="23" t="str">
        <f>IFERROR(__xludf.DUMMYFUNCTION("if(countif(filter(Status!$C:$C,Status!$A:$A=$A251),CONCATENATE(AB$2,""*""))&gt;0,countif(filter(Status!$C:$C,Status!$A:$A=$A251),CONCATENATE(AB$2,""*"")),"""")"),"")</f>
        <v/>
      </c>
      <c r="AC251" s="23" t="str">
        <f>IFERROR(__xludf.DUMMYFUNCTION("if(countif(filter(Status!$C:$C,Status!$A:$A=$A251),CONCATENATE(AC$2,""*""))&gt;0,countif(filter(Status!$C:$C,Status!$A:$A=$A251),CONCATENATE(AC$2,""*"")),"""")"),"")</f>
        <v/>
      </c>
      <c r="AD251" s="23" t="str">
        <f>IFERROR(__xludf.DUMMYFUNCTION("if(countif(filter(Status!$C:$C,Status!$A:$A=$A251),CONCATENATE(AD$2,""*""))&gt;0,countif(filter(Status!$C:$C,Status!$A:$A=$A251),CONCATENATE(AD$2,""*"")),"""")"),"")</f>
        <v/>
      </c>
      <c r="AE251" s="23" t="str">
        <f>IFERROR(__xludf.DUMMYFUNCTION("if(countif(filter(Status!$C:$C,Status!$A:$A=$A251),CONCATENATE(AE$2,""*""))&gt;0,countif(filter(Status!$C:$C,Status!$A:$A=$A251),CONCATENATE(AE$2,""*"")),"""")"),"")</f>
        <v/>
      </c>
      <c r="AF251" s="23" t="str">
        <f>IFERROR(__xludf.DUMMYFUNCTION("if(countif(filter(Status!$C:$C,Status!$A:$A=$A251),CONCATENATE(AF$2,""*""))&gt;0,countif(filter(Status!$C:$C,Status!$A:$A=$A251),CONCATENATE(AF$2,""*"")),"""")"),"")</f>
        <v/>
      </c>
      <c r="AG251" s="23" t="str">
        <f>IFERROR(__xludf.DUMMYFUNCTION("if(countif(filter(Status!$C:$C,Status!$A:$A=$A251),CONCATENATE(AG$2,""*""))&gt;0,countif(filter(Status!$C:$C,Status!$A:$A=$A251),CONCATENATE(AG$2,""*"")),"""")"),"")</f>
        <v/>
      </c>
      <c r="AH251" s="23" t="str">
        <f>IFERROR(__xludf.DUMMYFUNCTION("if(countif(filter(Status!$C:$C,Status!$A:$A=$A251),CONCATENATE(AH$2,""*""))&gt;0,countif(filter(Status!$C:$C,Status!$A:$A=$A251),CONCATENATE(AH$2,""*"")),"""")"),"")</f>
        <v/>
      </c>
      <c r="AI251" s="23" t="str">
        <f>IFERROR(__xludf.DUMMYFUNCTION("if(countif(filter(Status!$C:$C,Status!$A:$A=$A251),CONCATENATE(AI$2,""*""))&gt;0,countif(filter(Status!$C:$C,Status!$A:$A=$A251),CONCATENATE(AI$2,""*"")),"""")"),"")</f>
        <v/>
      </c>
      <c r="AJ251" s="23" t="str">
        <f>IFERROR(__xludf.DUMMYFUNCTION("if(countif(filter(Status!$C:$C,Status!$A:$A=$A251),CONCATENATE(AJ$2,""*""))&gt;0,countif(filter(Status!$C:$C,Status!$A:$A=$A251),CONCATENATE(AJ$2,""*"")),"""")"),"")</f>
        <v/>
      </c>
      <c r="AK251" s="23" t="str">
        <f>IFERROR(__xludf.DUMMYFUNCTION("if(countif(filter(Status!$C:$C,Status!$A:$A=$A251),CONCATENATE(AK$2,""*""))&gt;0,countif(filter(Status!$C:$C,Status!$A:$A=$A251),CONCATENATE(AK$2,""*"")),"""")"),"")</f>
        <v/>
      </c>
      <c r="AL251" s="23" t="str">
        <f>IFERROR(__xludf.DUMMYFUNCTION("if(countif(filter(Status!$C:$C,Status!$A:$A=$A251),CONCATENATE(AL$2,""*""))&gt;0,countif(filter(Status!$C:$C,Status!$A:$A=$A251),CONCATENATE(AL$2,""*"")),"""")"),"")</f>
        <v/>
      </c>
      <c r="AM251" s="23" t="str">
        <f>IFERROR(__xludf.DUMMYFUNCTION("if(countif(filter(Status!$C:$C,Status!$A:$A=$A251),CONCATENATE(AM$2,""*""))&gt;0,countif(filter(Status!$C:$C,Status!$A:$A=$A251),CONCATENATE(AM$2,""*"")),"""")"),"")</f>
        <v/>
      </c>
      <c r="AN251" s="23" t="str">
        <f>IFERROR(__xludf.DUMMYFUNCTION("if(countif(filter(Status!$C:$C,Status!$A:$A=$A251),CONCATENATE(AN$2,""*""))&gt;0,countif(filter(Status!$C:$C,Status!$A:$A=$A251),CONCATENATE(AN$2,""*"")),"""")"),"")</f>
        <v/>
      </c>
      <c r="AO251" s="23" t="str">
        <f>IFERROR(__xludf.DUMMYFUNCTION("if(countif(filter(Status!$C:$C,Status!$A:$A=$A251),CONCATENATE(AO$2,""*""))&gt;0,countif(filter(Status!$C:$C,Status!$A:$A=$A251),CONCATENATE(AO$2,""*"")),"""")"),"")</f>
        <v/>
      </c>
      <c r="AP251" s="23">
        <f>IFERROR(__xludf.DUMMYFUNCTION("counta(iferror(filter(Status!C:C,Status!A:A=A251)))"),0.0)</f>
        <v>0</v>
      </c>
      <c r="AQ251" s="23">
        <f t="shared" si="6"/>
        <v>0</v>
      </c>
    </row>
    <row r="252">
      <c r="A252" s="1" t="s">
        <v>1477</v>
      </c>
      <c r="B252" s="25" t="str">
        <f>IFERROR(__xludf.DUMMYFUNCTION("max(filter(Status!E:E,Status!A:A=A252))"),"#N/A")</f>
        <v>#N/A</v>
      </c>
      <c r="C252" s="23" t="str">
        <f t="shared" si="1"/>
        <v/>
      </c>
      <c r="D252" s="23" t="str">
        <f t="shared" si="2"/>
        <v/>
      </c>
      <c r="E252" s="23" t="str">
        <f t="shared" si="3"/>
        <v/>
      </c>
      <c r="F252" s="23" t="str">
        <f t="shared" si="4"/>
        <v/>
      </c>
      <c r="G252" s="25" t="str">
        <f t="shared" si="5"/>
        <v/>
      </c>
      <c r="J252" s="23">
        <f>IFERROR(__xludf.DUMMYFUNCTION("COUNTA(iferror(filter(Status!H:H,Status!A:A=A252)))"),0.0)</f>
        <v>0</v>
      </c>
      <c r="K252" s="25">
        <f>IFERROR(__xludf.DUMMYFUNCTION("COUNTA(iferror(filter(Status!H:H,Status!A:A=A252,Status!H:H=TRUE)))"),0.0)</f>
        <v>0</v>
      </c>
      <c r="L252" s="23">
        <f>IFERROR(__xludf.DUMMYFUNCTION("COUNTA(iferror(filter(Status!L:L,Status!A:A=A252)))"),0.0)</f>
        <v>0</v>
      </c>
      <c r="M252" s="25">
        <f>IFERROR(__xludf.DUMMYFUNCTION("COUNTA(iferror(filter(Status!L:L,Status!A:A=A252,Status!L:L=TRUE)))"),0.0)</f>
        <v>0</v>
      </c>
      <c r="N252" s="23">
        <f>IFERROR(__xludf.DUMMYFUNCTION("COUNTA(iferror(filter(Status!N:N,Status!A:A=A252,Status!N:N=TRUE)))"),0.0)</f>
        <v>0</v>
      </c>
      <c r="O252" s="25">
        <f>IFERROR(__xludf.DUMMYFUNCTION("COUNTA(iferror(filter(Status!N:N,Status!A:A=A252,Status!N:N=TRUE)))"),0.0)</f>
        <v>0</v>
      </c>
      <c r="P252" s="23">
        <f>IFERROR(__xludf.DUMMYFUNCTION("COUNTA(iferror(filter(Status!P:P,Status!A:A=A252)))"),0.0)</f>
        <v>0</v>
      </c>
      <c r="Q252" s="25">
        <f>IFERROR(__xludf.DUMMYFUNCTION("COUNTA(iferror(filter(Status!P:P,Status!A:A=A252,Status!P:P=TRUE)))"),0.0)</f>
        <v>0</v>
      </c>
      <c r="R252" s="23">
        <f>IFERROR(__xludf.DUMMYFUNCTION("COUNTA(iferror(filter(Status!R:R,Status!A:A=A252)))"),0.0)</f>
        <v>0</v>
      </c>
      <c r="S252" s="25">
        <f>IFERROR(__xludf.DUMMYFUNCTION("COUNTA(iferror(filter(Status!R:R,Status!A:A=A252,Status!R:R=TRUE)))"),0.0)</f>
        <v>0</v>
      </c>
      <c r="V252" s="23" t="str">
        <f>IFERROR(__xludf.DUMMYFUNCTION("if((countif(filter(Status!$C:$C,Status!$A:$A=$A252),CONCATENATE(V$2,""*""))-W252)&gt;0,(countif(filter(Status!$C:$C,Status!$A:$A=$A252),CONCATENATE(V$2,""*""))-W252),"""")"),"")</f>
        <v/>
      </c>
      <c r="W252" s="23" t="str">
        <f>IFERROR(__xludf.DUMMYFUNCTION("if(countif(filter(Status!$C:$C,Status!$A:$A=$A252),CONCATENATE(W$2,""*""))&gt;0,countif(filter(Status!$C:$C,Status!$A:$A=$A252),CONCATENATE(W$2,""*"")),"""")"),"")</f>
        <v/>
      </c>
      <c r="X252" s="23" t="str">
        <f>IFERROR(__xludf.DUMMYFUNCTION("if(countif(filter(Status!$C:$C,Status!$A:$A=$A252),CONCATENATE(X$2,""*""))&gt;0,countif(filter(Status!$C:$C,Status!$A:$A=$A252),CONCATENATE(X$2,""*"")),"""")"),"")</f>
        <v/>
      </c>
      <c r="Y252" s="23" t="str">
        <f>IFERROR(__xludf.DUMMYFUNCTION("if(countif(filter(Status!$C:$C,Status!$A:$A=$A252),CONCATENATE(Y$2,""*""))&gt;0,countif(filter(Status!$C:$C,Status!$A:$A=$A252),CONCATENATE(Y$2,""*"")),"""")"),"")</f>
        <v/>
      </c>
      <c r="Z252" s="23" t="str">
        <f>IFERROR(__xludf.DUMMYFUNCTION("if(countif(filter(Status!$C:$C,Status!$A:$A=$A252),CONCATENATE(Z$2,""*""))&gt;0,countif(filter(Status!$C:$C,Status!$A:$A=$A252),CONCATENATE(Z$2,""*"")),"""")"),"")</f>
        <v/>
      </c>
      <c r="AA252" s="23" t="str">
        <f>IFERROR(__xludf.DUMMYFUNCTION("if((countif(filter(Status!$C:$C,Status!$A:$A=$A252),CONCATENATE(AA$2,""*""))-AB252)&gt;0,(countif(filter(Status!$C:$C,Status!$A:$A=$A252),CONCATENATE(AA$2,""*""))-AB252),"""")"),"")</f>
        <v/>
      </c>
      <c r="AB252" s="23" t="str">
        <f>IFERROR(__xludf.DUMMYFUNCTION("if(countif(filter(Status!$C:$C,Status!$A:$A=$A252),CONCATENATE(AB$2,""*""))&gt;0,countif(filter(Status!$C:$C,Status!$A:$A=$A252),CONCATENATE(AB$2,""*"")),"""")"),"")</f>
        <v/>
      </c>
      <c r="AC252" s="23" t="str">
        <f>IFERROR(__xludf.DUMMYFUNCTION("if(countif(filter(Status!$C:$C,Status!$A:$A=$A252),CONCATENATE(AC$2,""*""))&gt;0,countif(filter(Status!$C:$C,Status!$A:$A=$A252),CONCATENATE(AC$2,""*"")),"""")"),"")</f>
        <v/>
      </c>
      <c r="AD252" s="23" t="str">
        <f>IFERROR(__xludf.DUMMYFUNCTION("if(countif(filter(Status!$C:$C,Status!$A:$A=$A252),CONCATENATE(AD$2,""*""))&gt;0,countif(filter(Status!$C:$C,Status!$A:$A=$A252),CONCATENATE(AD$2,""*"")),"""")"),"")</f>
        <v/>
      </c>
      <c r="AE252" s="23" t="str">
        <f>IFERROR(__xludf.DUMMYFUNCTION("if(countif(filter(Status!$C:$C,Status!$A:$A=$A252),CONCATENATE(AE$2,""*""))&gt;0,countif(filter(Status!$C:$C,Status!$A:$A=$A252),CONCATENATE(AE$2,""*"")),"""")"),"")</f>
        <v/>
      </c>
      <c r="AF252" s="23" t="str">
        <f>IFERROR(__xludf.DUMMYFUNCTION("if(countif(filter(Status!$C:$C,Status!$A:$A=$A252),CONCATENATE(AF$2,""*""))&gt;0,countif(filter(Status!$C:$C,Status!$A:$A=$A252),CONCATENATE(AF$2,""*"")),"""")"),"")</f>
        <v/>
      </c>
      <c r="AG252" s="23" t="str">
        <f>IFERROR(__xludf.DUMMYFUNCTION("if(countif(filter(Status!$C:$C,Status!$A:$A=$A252),CONCATENATE(AG$2,""*""))&gt;0,countif(filter(Status!$C:$C,Status!$A:$A=$A252),CONCATENATE(AG$2,""*"")),"""")"),"")</f>
        <v/>
      </c>
      <c r="AH252" s="23" t="str">
        <f>IFERROR(__xludf.DUMMYFUNCTION("if(countif(filter(Status!$C:$C,Status!$A:$A=$A252),CONCATENATE(AH$2,""*""))&gt;0,countif(filter(Status!$C:$C,Status!$A:$A=$A252),CONCATENATE(AH$2,""*"")),"""")"),"")</f>
        <v/>
      </c>
      <c r="AI252" s="23" t="str">
        <f>IFERROR(__xludf.DUMMYFUNCTION("if(countif(filter(Status!$C:$C,Status!$A:$A=$A252),CONCATENATE(AI$2,""*""))&gt;0,countif(filter(Status!$C:$C,Status!$A:$A=$A252),CONCATENATE(AI$2,""*"")),"""")"),"")</f>
        <v/>
      </c>
      <c r="AJ252" s="23" t="str">
        <f>IFERROR(__xludf.DUMMYFUNCTION("if(countif(filter(Status!$C:$C,Status!$A:$A=$A252),CONCATENATE(AJ$2,""*""))&gt;0,countif(filter(Status!$C:$C,Status!$A:$A=$A252),CONCATENATE(AJ$2,""*"")),"""")"),"")</f>
        <v/>
      </c>
      <c r="AK252" s="23" t="str">
        <f>IFERROR(__xludf.DUMMYFUNCTION("if(countif(filter(Status!$C:$C,Status!$A:$A=$A252),CONCATENATE(AK$2,""*""))&gt;0,countif(filter(Status!$C:$C,Status!$A:$A=$A252),CONCATENATE(AK$2,""*"")),"""")"),"")</f>
        <v/>
      </c>
      <c r="AL252" s="23" t="str">
        <f>IFERROR(__xludf.DUMMYFUNCTION("if(countif(filter(Status!$C:$C,Status!$A:$A=$A252),CONCATENATE(AL$2,""*""))&gt;0,countif(filter(Status!$C:$C,Status!$A:$A=$A252),CONCATENATE(AL$2,""*"")),"""")"),"")</f>
        <v/>
      </c>
      <c r="AM252" s="23" t="str">
        <f>IFERROR(__xludf.DUMMYFUNCTION("if(countif(filter(Status!$C:$C,Status!$A:$A=$A252),CONCATENATE(AM$2,""*""))&gt;0,countif(filter(Status!$C:$C,Status!$A:$A=$A252),CONCATENATE(AM$2,""*"")),"""")"),"")</f>
        <v/>
      </c>
      <c r="AN252" s="23" t="str">
        <f>IFERROR(__xludf.DUMMYFUNCTION("if(countif(filter(Status!$C:$C,Status!$A:$A=$A252),CONCATENATE(AN$2,""*""))&gt;0,countif(filter(Status!$C:$C,Status!$A:$A=$A252),CONCATENATE(AN$2,""*"")),"""")"),"")</f>
        <v/>
      </c>
      <c r="AO252" s="23" t="str">
        <f>IFERROR(__xludf.DUMMYFUNCTION("if(countif(filter(Status!$C:$C,Status!$A:$A=$A252),CONCATENATE(AO$2,""*""))&gt;0,countif(filter(Status!$C:$C,Status!$A:$A=$A252),CONCATENATE(AO$2,""*"")),"""")"),"")</f>
        <v/>
      </c>
      <c r="AP252" s="23">
        <f>IFERROR(__xludf.DUMMYFUNCTION("counta(iferror(filter(Status!C:C,Status!A:A=A252)))"),0.0)</f>
        <v>0</v>
      </c>
      <c r="AQ252" s="23">
        <f t="shared" si="6"/>
        <v>0</v>
      </c>
    </row>
    <row r="253">
      <c r="A253" s="1" t="s">
        <v>1478</v>
      </c>
      <c r="B253" s="25" t="str">
        <f>IFERROR(__xludf.DUMMYFUNCTION("max(filter(Status!E:E,Status!A:A=A253))"),"#N/A")</f>
        <v>#N/A</v>
      </c>
      <c r="C253" s="23" t="str">
        <f t="shared" si="1"/>
        <v/>
      </c>
      <c r="D253" s="23" t="str">
        <f t="shared" si="2"/>
        <v/>
      </c>
      <c r="E253" s="23" t="str">
        <f t="shared" si="3"/>
        <v/>
      </c>
      <c r="F253" s="23" t="str">
        <f t="shared" si="4"/>
        <v/>
      </c>
      <c r="G253" s="25" t="str">
        <f t="shared" si="5"/>
        <v/>
      </c>
      <c r="J253" s="23">
        <f>IFERROR(__xludf.DUMMYFUNCTION("COUNTA(iferror(filter(Status!H:H,Status!A:A=A253)))"),0.0)</f>
        <v>0</v>
      </c>
      <c r="K253" s="25">
        <f>IFERROR(__xludf.DUMMYFUNCTION("COUNTA(iferror(filter(Status!H:H,Status!A:A=A253,Status!H:H=TRUE)))"),0.0)</f>
        <v>0</v>
      </c>
      <c r="L253" s="23">
        <f>IFERROR(__xludf.DUMMYFUNCTION("COUNTA(iferror(filter(Status!L:L,Status!A:A=A253)))"),0.0)</f>
        <v>0</v>
      </c>
      <c r="M253" s="25">
        <f>IFERROR(__xludf.DUMMYFUNCTION("COUNTA(iferror(filter(Status!L:L,Status!A:A=A253,Status!L:L=TRUE)))"),0.0)</f>
        <v>0</v>
      </c>
      <c r="N253" s="23">
        <f>IFERROR(__xludf.DUMMYFUNCTION("COUNTA(iferror(filter(Status!N:N,Status!A:A=A253,Status!N:N=TRUE)))"),0.0)</f>
        <v>0</v>
      </c>
      <c r="O253" s="25">
        <f>IFERROR(__xludf.DUMMYFUNCTION("COUNTA(iferror(filter(Status!N:N,Status!A:A=A253,Status!N:N=TRUE)))"),0.0)</f>
        <v>0</v>
      </c>
      <c r="P253" s="23">
        <f>IFERROR(__xludf.DUMMYFUNCTION("COUNTA(iferror(filter(Status!P:P,Status!A:A=A253)))"),0.0)</f>
        <v>0</v>
      </c>
      <c r="Q253" s="25">
        <f>IFERROR(__xludf.DUMMYFUNCTION("COUNTA(iferror(filter(Status!P:P,Status!A:A=A253,Status!P:P=TRUE)))"),0.0)</f>
        <v>0</v>
      </c>
      <c r="R253" s="23">
        <f>IFERROR(__xludf.DUMMYFUNCTION("COUNTA(iferror(filter(Status!R:R,Status!A:A=A253)))"),0.0)</f>
        <v>0</v>
      </c>
      <c r="S253" s="25">
        <f>IFERROR(__xludf.DUMMYFUNCTION("COUNTA(iferror(filter(Status!R:R,Status!A:A=A253,Status!R:R=TRUE)))"),0.0)</f>
        <v>0</v>
      </c>
      <c r="V253" s="23" t="str">
        <f>IFERROR(__xludf.DUMMYFUNCTION("if((countif(filter(Status!$C:$C,Status!$A:$A=$A253),CONCATENATE(V$2,""*""))-W253)&gt;0,(countif(filter(Status!$C:$C,Status!$A:$A=$A253),CONCATENATE(V$2,""*""))-W253),"""")"),"")</f>
        <v/>
      </c>
      <c r="W253" s="23" t="str">
        <f>IFERROR(__xludf.DUMMYFUNCTION("if(countif(filter(Status!$C:$C,Status!$A:$A=$A253),CONCATENATE(W$2,""*""))&gt;0,countif(filter(Status!$C:$C,Status!$A:$A=$A253),CONCATENATE(W$2,""*"")),"""")"),"")</f>
        <v/>
      </c>
      <c r="X253" s="23" t="str">
        <f>IFERROR(__xludf.DUMMYFUNCTION("if(countif(filter(Status!$C:$C,Status!$A:$A=$A253),CONCATENATE(X$2,""*""))&gt;0,countif(filter(Status!$C:$C,Status!$A:$A=$A253),CONCATENATE(X$2,""*"")),"""")"),"")</f>
        <v/>
      </c>
      <c r="Y253" s="23" t="str">
        <f>IFERROR(__xludf.DUMMYFUNCTION("if(countif(filter(Status!$C:$C,Status!$A:$A=$A253),CONCATENATE(Y$2,""*""))&gt;0,countif(filter(Status!$C:$C,Status!$A:$A=$A253),CONCATENATE(Y$2,""*"")),"""")"),"")</f>
        <v/>
      </c>
      <c r="Z253" s="23" t="str">
        <f>IFERROR(__xludf.DUMMYFUNCTION("if(countif(filter(Status!$C:$C,Status!$A:$A=$A253),CONCATENATE(Z$2,""*""))&gt;0,countif(filter(Status!$C:$C,Status!$A:$A=$A253),CONCATENATE(Z$2,""*"")),"""")"),"")</f>
        <v/>
      </c>
      <c r="AA253" s="23" t="str">
        <f>IFERROR(__xludf.DUMMYFUNCTION("if((countif(filter(Status!$C:$C,Status!$A:$A=$A253),CONCATENATE(AA$2,""*""))-AB253)&gt;0,(countif(filter(Status!$C:$C,Status!$A:$A=$A253),CONCATENATE(AA$2,""*""))-AB253),"""")"),"")</f>
        <v/>
      </c>
      <c r="AB253" s="23" t="str">
        <f>IFERROR(__xludf.DUMMYFUNCTION("if(countif(filter(Status!$C:$C,Status!$A:$A=$A253),CONCATENATE(AB$2,""*""))&gt;0,countif(filter(Status!$C:$C,Status!$A:$A=$A253),CONCATENATE(AB$2,""*"")),"""")"),"")</f>
        <v/>
      </c>
      <c r="AC253" s="23" t="str">
        <f>IFERROR(__xludf.DUMMYFUNCTION("if(countif(filter(Status!$C:$C,Status!$A:$A=$A253),CONCATENATE(AC$2,""*""))&gt;0,countif(filter(Status!$C:$C,Status!$A:$A=$A253),CONCATENATE(AC$2,""*"")),"""")"),"")</f>
        <v/>
      </c>
      <c r="AD253" s="23" t="str">
        <f>IFERROR(__xludf.DUMMYFUNCTION("if(countif(filter(Status!$C:$C,Status!$A:$A=$A253),CONCATENATE(AD$2,""*""))&gt;0,countif(filter(Status!$C:$C,Status!$A:$A=$A253),CONCATENATE(AD$2,""*"")),"""")"),"")</f>
        <v/>
      </c>
      <c r="AE253" s="23" t="str">
        <f>IFERROR(__xludf.DUMMYFUNCTION("if(countif(filter(Status!$C:$C,Status!$A:$A=$A253),CONCATENATE(AE$2,""*""))&gt;0,countif(filter(Status!$C:$C,Status!$A:$A=$A253),CONCATENATE(AE$2,""*"")),"""")"),"")</f>
        <v/>
      </c>
      <c r="AF253" s="23" t="str">
        <f>IFERROR(__xludf.DUMMYFUNCTION("if(countif(filter(Status!$C:$C,Status!$A:$A=$A253),CONCATENATE(AF$2,""*""))&gt;0,countif(filter(Status!$C:$C,Status!$A:$A=$A253),CONCATENATE(AF$2,""*"")),"""")"),"")</f>
        <v/>
      </c>
      <c r="AG253" s="23" t="str">
        <f>IFERROR(__xludf.DUMMYFUNCTION("if(countif(filter(Status!$C:$C,Status!$A:$A=$A253),CONCATENATE(AG$2,""*""))&gt;0,countif(filter(Status!$C:$C,Status!$A:$A=$A253),CONCATENATE(AG$2,""*"")),"""")"),"")</f>
        <v/>
      </c>
      <c r="AH253" s="23" t="str">
        <f>IFERROR(__xludf.DUMMYFUNCTION("if(countif(filter(Status!$C:$C,Status!$A:$A=$A253),CONCATENATE(AH$2,""*""))&gt;0,countif(filter(Status!$C:$C,Status!$A:$A=$A253),CONCATENATE(AH$2,""*"")),"""")"),"")</f>
        <v/>
      </c>
      <c r="AI253" s="23" t="str">
        <f>IFERROR(__xludf.DUMMYFUNCTION("if(countif(filter(Status!$C:$C,Status!$A:$A=$A253),CONCATENATE(AI$2,""*""))&gt;0,countif(filter(Status!$C:$C,Status!$A:$A=$A253),CONCATENATE(AI$2,""*"")),"""")"),"")</f>
        <v/>
      </c>
      <c r="AJ253" s="23" t="str">
        <f>IFERROR(__xludf.DUMMYFUNCTION("if(countif(filter(Status!$C:$C,Status!$A:$A=$A253),CONCATENATE(AJ$2,""*""))&gt;0,countif(filter(Status!$C:$C,Status!$A:$A=$A253),CONCATENATE(AJ$2,""*"")),"""")"),"")</f>
        <v/>
      </c>
      <c r="AK253" s="23" t="str">
        <f>IFERROR(__xludf.DUMMYFUNCTION("if(countif(filter(Status!$C:$C,Status!$A:$A=$A253),CONCATENATE(AK$2,""*""))&gt;0,countif(filter(Status!$C:$C,Status!$A:$A=$A253),CONCATENATE(AK$2,""*"")),"""")"),"")</f>
        <v/>
      </c>
      <c r="AL253" s="23" t="str">
        <f>IFERROR(__xludf.DUMMYFUNCTION("if(countif(filter(Status!$C:$C,Status!$A:$A=$A253),CONCATENATE(AL$2,""*""))&gt;0,countif(filter(Status!$C:$C,Status!$A:$A=$A253),CONCATENATE(AL$2,""*"")),"""")"),"")</f>
        <v/>
      </c>
      <c r="AM253" s="23" t="str">
        <f>IFERROR(__xludf.DUMMYFUNCTION("if(countif(filter(Status!$C:$C,Status!$A:$A=$A253),CONCATENATE(AM$2,""*""))&gt;0,countif(filter(Status!$C:$C,Status!$A:$A=$A253),CONCATENATE(AM$2,""*"")),"""")"),"")</f>
        <v/>
      </c>
      <c r="AN253" s="23" t="str">
        <f>IFERROR(__xludf.DUMMYFUNCTION("if(countif(filter(Status!$C:$C,Status!$A:$A=$A253),CONCATENATE(AN$2,""*""))&gt;0,countif(filter(Status!$C:$C,Status!$A:$A=$A253),CONCATENATE(AN$2,""*"")),"""")"),"")</f>
        <v/>
      </c>
      <c r="AO253" s="23" t="str">
        <f>IFERROR(__xludf.DUMMYFUNCTION("if(countif(filter(Status!$C:$C,Status!$A:$A=$A253),CONCATENATE(AO$2,""*""))&gt;0,countif(filter(Status!$C:$C,Status!$A:$A=$A253),CONCATENATE(AO$2,""*"")),"""")"),"")</f>
        <v/>
      </c>
      <c r="AP253" s="23">
        <f>IFERROR(__xludf.DUMMYFUNCTION("counta(iferror(filter(Status!C:C,Status!A:A=A253)))"),0.0)</f>
        <v>0</v>
      </c>
      <c r="AQ253" s="23">
        <f t="shared" si="6"/>
        <v>0</v>
      </c>
    </row>
    <row r="254">
      <c r="A254" s="1" t="s">
        <v>1480</v>
      </c>
      <c r="B254" s="25" t="str">
        <f>IFERROR(__xludf.DUMMYFUNCTION("max(filter(Status!E:E,Status!A:A=A254))"),"#N/A")</f>
        <v>#N/A</v>
      </c>
      <c r="C254" s="23" t="str">
        <f t="shared" si="1"/>
        <v/>
      </c>
      <c r="D254" s="23" t="str">
        <f t="shared" si="2"/>
        <v/>
      </c>
      <c r="E254" s="23" t="str">
        <f t="shared" si="3"/>
        <v/>
      </c>
      <c r="F254" s="23" t="str">
        <f t="shared" si="4"/>
        <v/>
      </c>
      <c r="G254" s="25" t="str">
        <f t="shared" si="5"/>
        <v/>
      </c>
      <c r="J254" s="23">
        <f>IFERROR(__xludf.DUMMYFUNCTION("COUNTA(iferror(filter(Status!H:H,Status!A:A=A254)))"),0.0)</f>
        <v>0</v>
      </c>
      <c r="K254" s="25">
        <f>IFERROR(__xludf.DUMMYFUNCTION("COUNTA(iferror(filter(Status!H:H,Status!A:A=A254,Status!H:H=TRUE)))"),0.0)</f>
        <v>0</v>
      </c>
      <c r="L254" s="23">
        <f>IFERROR(__xludf.DUMMYFUNCTION("COUNTA(iferror(filter(Status!L:L,Status!A:A=A254)))"),0.0)</f>
        <v>0</v>
      </c>
      <c r="M254" s="25">
        <f>IFERROR(__xludf.DUMMYFUNCTION("COUNTA(iferror(filter(Status!L:L,Status!A:A=A254,Status!L:L=TRUE)))"),0.0)</f>
        <v>0</v>
      </c>
      <c r="N254" s="23">
        <f>IFERROR(__xludf.DUMMYFUNCTION("COUNTA(iferror(filter(Status!N:N,Status!A:A=A254,Status!N:N=TRUE)))"),0.0)</f>
        <v>0</v>
      </c>
      <c r="O254" s="25">
        <f>IFERROR(__xludf.DUMMYFUNCTION("COUNTA(iferror(filter(Status!N:N,Status!A:A=A254,Status!N:N=TRUE)))"),0.0)</f>
        <v>0</v>
      </c>
      <c r="P254" s="23">
        <f>IFERROR(__xludf.DUMMYFUNCTION("COUNTA(iferror(filter(Status!P:P,Status!A:A=A254)))"),0.0)</f>
        <v>0</v>
      </c>
      <c r="Q254" s="25">
        <f>IFERROR(__xludf.DUMMYFUNCTION("COUNTA(iferror(filter(Status!P:P,Status!A:A=A254,Status!P:P=TRUE)))"),0.0)</f>
        <v>0</v>
      </c>
      <c r="R254" s="23">
        <f>IFERROR(__xludf.DUMMYFUNCTION("COUNTA(iferror(filter(Status!R:R,Status!A:A=A254)))"),0.0)</f>
        <v>0</v>
      </c>
      <c r="S254" s="25">
        <f>IFERROR(__xludf.DUMMYFUNCTION("COUNTA(iferror(filter(Status!R:R,Status!A:A=A254,Status!R:R=TRUE)))"),0.0)</f>
        <v>0</v>
      </c>
      <c r="V254" s="23" t="str">
        <f>IFERROR(__xludf.DUMMYFUNCTION("if((countif(filter(Status!$C:$C,Status!$A:$A=$A254),CONCATENATE(V$2,""*""))-W254)&gt;0,(countif(filter(Status!$C:$C,Status!$A:$A=$A254),CONCATENATE(V$2,""*""))-W254),"""")"),"")</f>
        <v/>
      </c>
      <c r="W254" s="23" t="str">
        <f>IFERROR(__xludf.DUMMYFUNCTION("if(countif(filter(Status!$C:$C,Status!$A:$A=$A254),CONCATENATE(W$2,""*""))&gt;0,countif(filter(Status!$C:$C,Status!$A:$A=$A254),CONCATENATE(W$2,""*"")),"""")"),"")</f>
        <v/>
      </c>
      <c r="X254" s="23" t="str">
        <f>IFERROR(__xludf.DUMMYFUNCTION("if(countif(filter(Status!$C:$C,Status!$A:$A=$A254),CONCATENATE(X$2,""*""))&gt;0,countif(filter(Status!$C:$C,Status!$A:$A=$A254),CONCATENATE(X$2,""*"")),"""")"),"")</f>
        <v/>
      </c>
      <c r="Y254" s="23" t="str">
        <f>IFERROR(__xludf.DUMMYFUNCTION("if(countif(filter(Status!$C:$C,Status!$A:$A=$A254),CONCATENATE(Y$2,""*""))&gt;0,countif(filter(Status!$C:$C,Status!$A:$A=$A254),CONCATENATE(Y$2,""*"")),"""")"),"")</f>
        <v/>
      </c>
      <c r="Z254" s="23" t="str">
        <f>IFERROR(__xludf.DUMMYFUNCTION("if(countif(filter(Status!$C:$C,Status!$A:$A=$A254),CONCATENATE(Z$2,""*""))&gt;0,countif(filter(Status!$C:$C,Status!$A:$A=$A254),CONCATENATE(Z$2,""*"")),"""")"),"")</f>
        <v/>
      </c>
      <c r="AA254" s="23" t="str">
        <f>IFERROR(__xludf.DUMMYFUNCTION("if((countif(filter(Status!$C:$C,Status!$A:$A=$A254),CONCATENATE(AA$2,""*""))-AB254)&gt;0,(countif(filter(Status!$C:$C,Status!$A:$A=$A254),CONCATENATE(AA$2,""*""))-AB254),"""")"),"")</f>
        <v/>
      </c>
      <c r="AB254" s="23" t="str">
        <f>IFERROR(__xludf.DUMMYFUNCTION("if(countif(filter(Status!$C:$C,Status!$A:$A=$A254),CONCATENATE(AB$2,""*""))&gt;0,countif(filter(Status!$C:$C,Status!$A:$A=$A254),CONCATENATE(AB$2,""*"")),"""")"),"")</f>
        <v/>
      </c>
      <c r="AC254" s="23" t="str">
        <f>IFERROR(__xludf.DUMMYFUNCTION("if(countif(filter(Status!$C:$C,Status!$A:$A=$A254),CONCATENATE(AC$2,""*""))&gt;0,countif(filter(Status!$C:$C,Status!$A:$A=$A254),CONCATENATE(AC$2,""*"")),"""")"),"")</f>
        <v/>
      </c>
      <c r="AD254" s="23" t="str">
        <f>IFERROR(__xludf.DUMMYFUNCTION("if(countif(filter(Status!$C:$C,Status!$A:$A=$A254),CONCATENATE(AD$2,""*""))&gt;0,countif(filter(Status!$C:$C,Status!$A:$A=$A254),CONCATENATE(AD$2,""*"")),"""")"),"")</f>
        <v/>
      </c>
      <c r="AE254" s="23" t="str">
        <f>IFERROR(__xludf.DUMMYFUNCTION("if(countif(filter(Status!$C:$C,Status!$A:$A=$A254),CONCATENATE(AE$2,""*""))&gt;0,countif(filter(Status!$C:$C,Status!$A:$A=$A254),CONCATENATE(AE$2,""*"")),"""")"),"")</f>
        <v/>
      </c>
      <c r="AF254" s="23" t="str">
        <f>IFERROR(__xludf.DUMMYFUNCTION("if(countif(filter(Status!$C:$C,Status!$A:$A=$A254),CONCATENATE(AF$2,""*""))&gt;0,countif(filter(Status!$C:$C,Status!$A:$A=$A254),CONCATENATE(AF$2,""*"")),"""")"),"")</f>
        <v/>
      </c>
      <c r="AG254" s="23" t="str">
        <f>IFERROR(__xludf.DUMMYFUNCTION("if(countif(filter(Status!$C:$C,Status!$A:$A=$A254),CONCATENATE(AG$2,""*""))&gt;0,countif(filter(Status!$C:$C,Status!$A:$A=$A254),CONCATENATE(AG$2,""*"")),"""")"),"")</f>
        <v/>
      </c>
      <c r="AH254" s="23" t="str">
        <f>IFERROR(__xludf.DUMMYFUNCTION("if(countif(filter(Status!$C:$C,Status!$A:$A=$A254),CONCATENATE(AH$2,""*""))&gt;0,countif(filter(Status!$C:$C,Status!$A:$A=$A254),CONCATENATE(AH$2,""*"")),"""")"),"")</f>
        <v/>
      </c>
      <c r="AI254" s="23" t="str">
        <f>IFERROR(__xludf.DUMMYFUNCTION("if(countif(filter(Status!$C:$C,Status!$A:$A=$A254),CONCATENATE(AI$2,""*""))&gt;0,countif(filter(Status!$C:$C,Status!$A:$A=$A254),CONCATENATE(AI$2,""*"")),"""")"),"")</f>
        <v/>
      </c>
      <c r="AJ254" s="23" t="str">
        <f>IFERROR(__xludf.DUMMYFUNCTION("if(countif(filter(Status!$C:$C,Status!$A:$A=$A254),CONCATENATE(AJ$2,""*""))&gt;0,countif(filter(Status!$C:$C,Status!$A:$A=$A254),CONCATENATE(AJ$2,""*"")),"""")"),"")</f>
        <v/>
      </c>
      <c r="AK254" s="23" t="str">
        <f>IFERROR(__xludf.DUMMYFUNCTION("if(countif(filter(Status!$C:$C,Status!$A:$A=$A254),CONCATENATE(AK$2,""*""))&gt;0,countif(filter(Status!$C:$C,Status!$A:$A=$A254),CONCATENATE(AK$2,""*"")),"""")"),"")</f>
        <v/>
      </c>
      <c r="AL254" s="23" t="str">
        <f>IFERROR(__xludf.DUMMYFUNCTION("if(countif(filter(Status!$C:$C,Status!$A:$A=$A254),CONCATENATE(AL$2,""*""))&gt;0,countif(filter(Status!$C:$C,Status!$A:$A=$A254),CONCATENATE(AL$2,""*"")),"""")"),"")</f>
        <v/>
      </c>
      <c r="AM254" s="23" t="str">
        <f>IFERROR(__xludf.DUMMYFUNCTION("if(countif(filter(Status!$C:$C,Status!$A:$A=$A254),CONCATENATE(AM$2,""*""))&gt;0,countif(filter(Status!$C:$C,Status!$A:$A=$A254),CONCATENATE(AM$2,""*"")),"""")"),"")</f>
        <v/>
      </c>
      <c r="AN254" s="23" t="str">
        <f>IFERROR(__xludf.DUMMYFUNCTION("if(countif(filter(Status!$C:$C,Status!$A:$A=$A254),CONCATENATE(AN$2,""*""))&gt;0,countif(filter(Status!$C:$C,Status!$A:$A=$A254),CONCATENATE(AN$2,""*"")),"""")"),"")</f>
        <v/>
      </c>
      <c r="AO254" s="23" t="str">
        <f>IFERROR(__xludf.DUMMYFUNCTION("if(countif(filter(Status!$C:$C,Status!$A:$A=$A254),CONCATENATE(AO$2,""*""))&gt;0,countif(filter(Status!$C:$C,Status!$A:$A=$A254),CONCATENATE(AO$2,""*"")),"""")"),"")</f>
        <v/>
      </c>
      <c r="AP254" s="23">
        <f>IFERROR(__xludf.DUMMYFUNCTION("counta(iferror(filter(Status!C:C,Status!A:A=A254)))"),0.0)</f>
        <v>0</v>
      </c>
      <c r="AQ254" s="23">
        <f t="shared" si="6"/>
        <v>0</v>
      </c>
    </row>
    <row r="255">
      <c r="A255" s="1" t="s">
        <v>1482</v>
      </c>
      <c r="B255" s="25" t="str">
        <f>IFERROR(__xludf.DUMMYFUNCTION("max(filter(Status!E:E,Status!A:A=A255))"),"#N/A")</f>
        <v>#N/A</v>
      </c>
      <c r="C255" s="23" t="str">
        <f t="shared" si="1"/>
        <v/>
      </c>
      <c r="D255" s="23" t="str">
        <f t="shared" si="2"/>
        <v/>
      </c>
      <c r="E255" s="23" t="str">
        <f t="shared" si="3"/>
        <v/>
      </c>
      <c r="F255" s="23" t="str">
        <f t="shared" si="4"/>
        <v/>
      </c>
      <c r="G255" s="25" t="str">
        <f t="shared" si="5"/>
        <v/>
      </c>
      <c r="J255" s="23">
        <f>IFERROR(__xludf.DUMMYFUNCTION("COUNTA(iferror(filter(Status!H:H,Status!A:A=A255)))"),0.0)</f>
        <v>0</v>
      </c>
      <c r="K255" s="25">
        <f>IFERROR(__xludf.DUMMYFUNCTION("COUNTA(iferror(filter(Status!H:H,Status!A:A=A255,Status!H:H=TRUE)))"),0.0)</f>
        <v>0</v>
      </c>
      <c r="L255" s="23">
        <f>IFERROR(__xludf.DUMMYFUNCTION("COUNTA(iferror(filter(Status!L:L,Status!A:A=A255)))"),0.0)</f>
        <v>0</v>
      </c>
      <c r="M255" s="25">
        <f>IFERROR(__xludf.DUMMYFUNCTION("COUNTA(iferror(filter(Status!L:L,Status!A:A=A255,Status!L:L=TRUE)))"),0.0)</f>
        <v>0</v>
      </c>
      <c r="N255" s="23">
        <f>IFERROR(__xludf.DUMMYFUNCTION("COUNTA(iferror(filter(Status!N:N,Status!A:A=A255,Status!N:N=TRUE)))"),0.0)</f>
        <v>0</v>
      </c>
      <c r="O255" s="25">
        <f>IFERROR(__xludf.DUMMYFUNCTION("COUNTA(iferror(filter(Status!N:N,Status!A:A=A255,Status!N:N=TRUE)))"),0.0)</f>
        <v>0</v>
      </c>
      <c r="P255" s="23">
        <f>IFERROR(__xludf.DUMMYFUNCTION("COUNTA(iferror(filter(Status!P:P,Status!A:A=A255)))"),0.0)</f>
        <v>0</v>
      </c>
      <c r="Q255" s="25">
        <f>IFERROR(__xludf.DUMMYFUNCTION("COUNTA(iferror(filter(Status!P:P,Status!A:A=A255,Status!P:P=TRUE)))"),0.0)</f>
        <v>0</v>
      </c>
      <c r="R255" s="23">
        <f>IFERROR(__xludf.DUMMYFUNCTION("COUNTA(iferror(filter(Status!R:R,Status!A:A=A255)))"),0.0)</f>
        <v>0</v>
      </c>
      <c r="S255" s="25">
        <f>IFERROR(__xludf.DUMMYFUNCTION("COUNTA(iferror(filter(Status!R:R,Status!A:A=A255,Status!R:R=TRUE)))"),0.0)</f>
        <v>0</v>
      </c>
      <c r="V255" s="23" t="str">
        <f>IFERROR(__xludf.DUMMYFUNCTION("if((countif(filter(Status!$C:$C,Status!$A:$A=$A255),CONCATENATE(V$2,""*""))-W255)&gt;0,(countif(filter(Status!$C:$C,Status!$A:$A=$A255),CONCATENATE(V$2,""*""))-W255),"""")"),"")</f>
        <v/>
      </c>
      <c r="W255" s="23" t="str">
        <f>IFERROR(__xludf.DUMMYFUNCTION("if(countif(filter(Status!$C:$C,Status!$A:$A=$A255),CONCATENATE(W$2,""*""))&gt;0,countif(filter(Status!$C:$C,Status!$A:$A=$A255),CONCATENATE(W$2,""*"")),"""")"),"")</f>
        <v/>
      </c>
      <c r="X255" s="23" t="str">
        <f>IFERROR(__xludf.DUMMYFUNCTION("if(countif(filter(Status!$C:$C,Status!$A:$A=$A255),CONCATENATE(X$2,""*""))&gt;0,countif(filter(Status!$C:$C,Status!$A:$A=$A255),CONCATENATE(X$2,""*"")),"""")"),"")</f>
        <v/>
      </c>
      <c r="Y255" s="23" t="str">
        <f>IFERROR(__xludf.DUMMYFUNCTION("if(countif(filter(Status!$C:$C,Status!$A:$A=$A255),CONCATENATE(Y$2,""*""))&gt;0,countif(filter(Status!$C:$C,Status!$A:$A=$A255),CONCATENATE(Y$2,""*"")),"""")"),"")</f>
        <v/>
      </c>
      <c r="Z255" s="23" t="str">
        <f>IFERROR(__xludf.DUMMYFUNCTION("if(countif(filter(Status!$C:$C,Status!$A:$A=$A255),CONCATENATE(Z$2,""*""))&gt;0,countif(filter(Status!$C:$C,Status!$A:$A=$A255),CONCATENATE(Z$2,""*"")),"""")"),"")</f>
        <v/>
      </c>
      <c r="AA255" s="23" t="str">
        <f>IFERROR(__xludf.DUMMYFUNCTION("if((countif(filter(Status!$C:$C,Status!$A:$A=$A255),CONCATENATE(AA$2,""*""))-AB255)&gt;0,(countif(filter(Status!$C:$C,Status!$A:$A=$A255),CONCATENATE(AA$2,""*""))-AB255),"""")"),"")</f>
        <v/>
      </c>
      <c r="AB255" s="23" t="str">
        <f>IFERROR(__xludf.DUMMYFUNCTION("if(countif(filter(Status!$C:$C,Status!$A:$A=$A255),CONCATENATE(AB$2,""*""))&gt;0,countif(filter(Status!$C:$C,Status!$A:$A=$A255),CONCATENATE(AB$2,""*"")),"""")"),"")</f>
        <v/>
      </c>
      <c r="AC255" s="23" t="str">
        <f>IFERROR(__xludf.DUMMYFUNCTION("if(countif(filter(Status!$C:$C,Status!$A:$A=$A255),CONCATENATE(AC$2,""*""))&gt;0,countif(filter(Status!$C:$C,Status!$A:$A=$A255),CONCATENATE(AC$2,""*"")),"""")"),"")</f>
        <v/>
      </c>
      <c r="AD255" s="23" t="str">
        <f>IFERROR(__xludf.DUMMYFUNCTION("if(countif(filter(Status!$C:$C,Status!$A:$A=$A255),CONCATENATE(AD$2,""*""))&gt;0,countif(filter(Status!$C:$C,Status!$A:$A=$A255),CONCATENATE(AD$2,""*"")),"""")"),"")</f>
        <v/>
      </c>
      <c r="AE255" s="23" t="str">
        <f>IFERROR(__xludf.DUMMYFUNCTION("if(countif(filter(Status!$C:$C,Status!$A:$A=$A255),CONCATENATE(AE$2,""*""))&gt;0,countif(filter(Status!$C:$C,Status!$A:$A=$A255),CONCATENATE(AE$2,""*"")),"""")"),"")</f>
        <v/>
      </c>
      <c r="AF255" s="23" t="str">
        <f>IFERROR(__xludf.DUMMYFUNCTION("if(countif(filter(Status!$C:$C,Status!$A:$A=$A255),CONCATENATE(AF$2,""*""))&gt;0,countif(filter(Status!$C:$C,Status!$A:$A=$A255),CONCATENATE(AF$2,""*"")),"""")"),"")</f>
        <v/>
      </c>
      <c r="AG255" s="23" t="str">
        <f>IFERROR(__xludf.DUMMYFUNCTION("if(countif(filter(Status!$C:$C,Status!$A:$A=$A255),CONCATENATE(AG$2,""*""))&gt;0,countif(filter(Status!$C:$C,Status!$A:$A=$A255),CONCATENATE(AG$2,""*"")),"""")"),"")</f>
        <v/>
      </c>
      <c r="AH255" s="23" t="str">
        <f>IFERROR(__xludf.DUMMYFUNCTION("if(countif(filter(Status!$C:$C,Status!$A:$A=$A255),CONCATENATE(AH$2,""*""))&gt;0,countif(filter(Status!$C:$C,Status!$A:$A=$A255),CONCATENATE(AH$2,""*"")),"""")"),"")</f>
        <v/>
      </c>
      <c r="AI255" s="23" t="str">
        <f>IFERROR(__xludf.DUMMYFUNCTION("if(countif(filter(Status!$C:$C,Status!$A:$A=$A255),CONCATENATE(AI$2,""*""))&gt;0,countif(filter(Status!$C:$C,Status!$A:$A=$A255),CONCATENATE(AI$2,""*"")),"""")"),"")</f>
        <v/>
      </c>
      <c r="AJ255" s="23" t="str">
        <f>IFERROR(__xludf.DUMMYFUNCTION("if(countif(filter(Status!$C:$C,Status!$A:$A=$A255),CONCATENATE(AJ$2,""*""))&gt;0,countif(filter(Status!$C:$C,Status!$A:$A=$A255),CONCATENATE(AJ$2,""*"")),"""")"),"")</f>
        <v/>
      </c>
      <c r="AK255" s="23" t="str">
        <f>IFERROR(__xludf.DUMMYFUNCTION("if(countif(filter(Status!$C:$C,Status!$A:$A=$A255),CONCATENATE(AK$2,""*""))&gt;0,countif(filter(Status!$C:$C,Status!$A:$A=$A255),CONCATENATE(AK$2,""*"")),"""")"),"")</f>
        <v/>
      </c>
      <c r="AL255" s="23" t="str">
        <f>IFERROR(__xludf.DUMMYFUNCTION("if(countif(filter(Status!$C:$C,Status!$A:$A=$A255),CONCATENATE(AL$2,""*""))&gt;0,countif(filter(Status!$C:$C,Status!$A:$A=$A255),CONCATENATE(AL$2,""*"")),"""")"),"")</f>
        <v/>
      </c>
      <c r="AM255" s="23" t="str">
        <f>IFERROR(__xludf.DUMMYFUNCTION("if(countif(filter(Status!$C:$C,Status!$A:$A=$A255),CONCATENATE(AM$2,""*""))&gt;0,countif(filter(Status!$C:$C,Status!$A:$A=$A255),CONCATENATE(AM$2,""*"")),"""")"),"")</f>
        <v/>
      </c>
      <c r="AN255" s="23" t="str">
        <f>IFERROR(__xludf.DUMMYFUNCTION("if(countif(filter(Status!$C:$C,Status!$A:$A=$A255),CONCATENATE(AN$2,""*""))&gt;0,countif(filter(Status!$C:$C,Status!$A:$A=$A255),CONCATENATE(AN$2,""*"")),"""")"),"")</f>
        <v/>
      </c>
      <c r="AO255" s="23" t="str">
        <f>IFERROR(__xludf.DUMMYFUNCTION("if(countif(filter(Status!$C:$C,Status!$A:$A=$A255),CONCATENATE(AO$2,""*""))&gt;0,countif(filter(Status!$C:$C,Status!$A:$A=$A255),CONCATENATE(AO$2,""*"")),"""")"),"")</f>
        <v/>
      </c>
      <c r="AP255" s="23">
        <f>IFERROR(__xludf.DUMMYFUNCTION("counta(iferror(filter(Status!C:C,Status!A:A=A255)))"),0.0)</f>
        <v>0</v>
      </c>
      <c r="AQ255" s="23">
        <f t="shared" si="6"/>
        <v>0</v>
      </c>
    </row>
    <row r="256">
      <c r="B256" s="25"/>
      <c r="G256" s="25"/>
      <c r="K256" s="25"/>
      <c r="M256" s="25"/>
      <c r="O256" s="25"/>
      <c r="Q256" s="25"/>
      <c r="S256" s="25"/>
    </row>
    <row r="257">
      <c r="B257" s="25"/>
      <c r="G257" s="25"/>
      <c r="K257" s="25"/>
      <c r="M257" s="25"/>
      <c r="O257" s="25"/>
      <c r="Q257" s="25"/>
      <c r="S257" s="25"/>
    </row>
    <row r="258">
      <c r="B258" s="25"/>
      <c r="G258" s="25"/>
      <c r="K258" s="25"/>
      <c r="M258" s="25"/>
      <c r="O258" s="25"/>
      <c r="Q258" s="25"/>
      <c r="S258" s="25"/>
    </row>
    <row r="259">
      <c r="B259" s="25"/>
      <c r="G259" s="25"/>
      <c r="K259" s="25"/>
      <c r="M259" s="25"/>
      <c r="O259" s="25"/>
      <c r="Q259" s="25"/>
      <c r="S259" s="25"/>
    </row>
    <row r="260">
      <c r="B260" s="25"/>
      <c r="G260" s="25"/>
      <c r="K260" s="25"/>
      <c r="M260" s="25"/>
      <c r="O260" s="25"/>
      <c r="Q260" s="25"/>
      <c r="S260" s="25"/>
    </row>
    <row r="261">
      <c r="B261" s="25"/>
      <c r="G261" s="25"/>
      <c r="K261" s="25"/>
      <c r="M261" s="25"/>
      <c r="O261" s="25"/>
      <c r="Q261" s="25"/>
      <c r="S261" s="25"/>
    </row>
    <row r="262">
      <c r="B262" s="25"/>
      <c r="G262" s="25"/>
      <c r="K262" s="25"/>
      <c r="M262" s="25"/>
      <c r="O262" s="25"/>
      <c r="Q262" s="25"/>
      <c r="S262" s="25"/>
    </row>
    <row r="263">
      <c r="B263" s="25"/>
      <c r="G263" s="25"/>
      <c r="K263" s="25"/>
      <c r="M263" s="25"/>
      <c r="O263" s="25"/>
      <c r="Q263" s="25"/>
      <c r="S263" s="25"/>
    </row>
    <row r="264">
      <c r="B264" s="25"/>
      <c r="G264" s="25"/>
      <c r="K264" s="25"/>
      <c r="M264" s="25"/>
      <c r="O264" s="25"/>
      <c r="Q264" s="25"/>
      <c r="S264" s="25"/>
    </row>
    <row r="265">
      <c r="B265" s="25"/>
      <c r="G265" s="25"/>
      <c r="K265" s="25"/>
      <c r="M265" s="25"/>
      <c r="O265" s="25"/>
      <c r="Q265" s="25"/>
      <c r="S265" s="25"/>
    </row>
    <row r="266">
      <c r="B266" s="25"/>
      <c r="G266" s="25"/>
      <c r="K266" s="25"/>
      <c r="M266" s="25"/>
      <c r="O266" s="25"/>
      <c r="Q266" s="25"/>
      <c r="S266" s="25"/>
    </row>
    <row r="267">
      <c r="B267" s="25"/>
      <c r="G267" s="25"/>
      <c r="K267" s="25"/>
      <c r="M267" s="25"/>
      <c r="O267" s="25"/>
      <c r="Q267" s="25"/>
      <c r="S267" s="25"/>
    </row>
    <row r="268">
      <c r="B268" s="25"/>
      <c r="G268" s="25"/>
      <c r="K268" s="25"/>
      <c r="M268" s="25"/>
      <c r="O268" s="25"/>
      <c r="Q268" s="25"/>
      <c r="S268" s="25"/>
    </row>
    <row r="269">
      <c r="B269" s="25"/>
      <c r="G269" s="25"/>
      <c r="K269" s="25"/>
      <c r="M269" s="25"/>
      <c r="O269" s="25"/>
      <c r="Q269" s="25"/>
      <c r="S269" s="25"/>
    </row>
    <row r="270">
      <c r="B270" s="25"/>
      <c r="G270" s="25"/>
      <c r="K270" s="25"/>
      <c r="M270" s="25"/>
      <c r="O270" s="25"/>
      <c r="Q270" s="25"/>
      <c r="S270" s="25"/>
    </row>
    <row r="271">
      <c r="B271" s="25"/>
      <c r="G271" s="25"/>
      <c r="K271" s="25"/>
      <c r="M271" s="25"/>
      <c r="O271" s="25"/>
      <c r="Q271" s="25"/>
      <c r="S271" s="25"/>
    </row>
    <row r="272">
      <c r="B272" s="25"/>
      <c r="G272" s="25"/>
      <c r="K272" s="25"/>
      <c r="M272" s="25"/>
      <c r="O272" s="25"/>
      <c r="Q272" s="25"/>
      <c r="S272" s="25"/>
    </row>
    <row r="273">
      <c r="B273" s="25"/>
      <c r="G273" s="25"/>
      <c r="K273" s="25"/>
      <c r="M273" s="25"/>
      <c r="O273" s="25"/>
      <c r="Q273" s="25"/>
      <c r="S273" s="25"/>
    </row>
    <row r="274">
      <c r="B274" s="25"/>
      <c r="G274" s="25"/>
      <c r="K274" s="25"/>
      <c r="M274" s="25"/>
      <c r="O274" s="25"/>
      <c r="Q274" s="25"/>
      <c r="S274" s="25"/>
    </row>
    <row r="275">
      <c r="B275" s="25"/>
      <c r="G275" s="25"/>
      <c r="K275" s="25"/>
      <c r="M275" s="25"/>
      <c r="O275" s="25"/>
      <c r="Q275" s="25"/>
      <c r="S275" s="25"/>
    </row>
    <row r="276">
      <c r="B276" s="25"/>
      <c r="G276" s="25"/>
      <c r="K276" s="25"/>
      <c r="M276" s="25"/>
      <c r="O276" s="25"/>
      <c r="Q276" s="25"/>
      <c r="S276" s="25"/>
    </row>
    <row r="277">
      <c r="B277" s="25"/>
      <c r="G277" s="25"/>
      <c r="K277" s="25"/>
      <c r="M277" s="25"/>
      <c r="O277" s="25"/>
      <c r="Q277" s="25"/>
      <c r="S277" s="25"/>
    </row>
    <row r="278">
      <c r="B278" s="25"/>
      <c r="G278" s="25"/>
      <c r="K278" s="25"/>
      <c r="M278" s="25"/>
      <c r="O278" s="25"/>
      <c r="Q278" s="25"/>
      <c r="S278" s="25"/>
    </row>
    <row r="279">
      <c r="B279" s="25"/>
      <c r="G279" s="25"/>
      <c r="K279" s="25"/>
      <c r="M279" s="25"/>
      <c r="O279" s="25"/>
      <c r="Q279" s="25"/>
      <c r="S279" s="25"/>
    </row>
    <row r="280">
      <c r="B280" s="25"/>
      <c r="G280" s="25"/>
      <c r="K280" s="25"/>
      <c r="M280" s="25"/>
      <c r="O280" s="25"/>
      <c r="Q280" s="25"/>
      <c r="S280" s="25"/>
    </row>
    <row r="281">
      <c r="B281" s="25"/>
      <c r="G281" s="25"/>
      <c r="K281" s="25"/>
      <c r="M281" s="25"/>
      <c r="O281" s="25"/>
      <c r="Q281" s="25"/>
      <c r="S281" s="25"/>
    </row>
    <row r="282">
      <c r="B282" s="25"/>
      <c r="G282" s="25"/>
      <c r="K282" s="25"/>
      <c r="M282" s="25"/>
      <c r="O282" s="25"/>
      <c r="Q282" s="25"/>
      <c r="S282" s="25"/>
    </row>
    <row r="283">
      <c r="B283" s="25"/>
      <c r="G283" s="25"/>
      <c r="K283" s="25"/>
      <c r="M283" s="25"/>
      <c r="O283" s="25"/>
      <c r="Q283" s="25"/>
      <c r="S283" s="25"/>
    </row>
    <row r="284">
      <c r="B284" s="25"/>
      <c r="G284" s="25"/>
      <c r="K284" s="25"/>
      <c r="M284" s="25"/>
      <c r="O284" s="25"/>
      <c r="Q284" s="25"/>
      <c r="S284" s="25"/>
    </row>
    <row r="285">
      <c r="B285" s="25"/>
      <c r="G285" s="25"/>
      <c r="K285" s="25"/>
      <c r="M285" s="25"/>
      <c r="O285" s="25"/>
      <c r="Q285" s="25"/>
      <c r="S285" s="25"/>
    </row>
    <row r="286">
      <c r="B286" s="25"/>
      <c r="G286" s="25"/>
      <c r="K286" s="25"/>
      <c r="M286" s="25"/>
      <c r="O286" s="25"/>
      <c r="Q286" s="25"/>
      <c r="S286" s="25"/>
    </row>
    <row r="287">
      <c r="B287" s="25"/>
      <c r="G287" s="25"/>
      <c r="K287" s="25"/>
      <c r="M287" s="25"/>
      <c r="O287" s="25"/>
      <c r="Q287" s="25"/>
      <c r="S287" s="25"/>
    </row>
    <row r="288">
      <c r="B288" s="25"/>
      <c r="G288" s="25"/>
      <c r="K288" s="25"/>
      <c r="M288" s="25"/>
      <c r="O288" s="25"/>
      <c r="Q288" s="25"/>
      <c r="S288" s="25"/>
    </row>
    <row r="289">
      <c r="B289" s="25"/>
      <c r="G289" s="25"/>
      <c r="K289" s="25"/>
      <c r="M289" s="25"/>
      <c r="O289" s="25"/>
      <c r="Q289" s="25"/>
      <c r="S289" s="25"/>
    </row>
    <row r="290">
      <c r="B290" s="25"/>
      <c r="G290" s="25"/>
      <c r="K290" s="25"/>
      <c r="M290" s="25"/>
      <c r="O290" s="25"/>
      <c r="Q290" s="25"/>
      <c r="S290" s="25"/>
    </row>
    <row r="291">
      <c r="B291" s="25"/>
      <c r="G291" s="25"/>
      <c r="K291" s="25"/>
      <c r="M291" s="25"/>
      <c r="O291" s="25"/>
      <c r="Q291" s="25"/>
      <c r="S291" s="25"/>
    </row>
    <row r="292">
      <c r="B292" s="25"/>
      <c r="G292" s="25"/>
      <c r="K292" s="25"/>
      <c r="M292" s="25"/>
      <c r="O292" s="25"/>
      <c r="Q292" s="25"/>
      <c r="S292" s="25"/>
    </row>
    <row r="293">
      <c r="B293" s="25"/>
      <c r="G293" s="25"/>
      <c r="K293" s="25"/>
      <c r="M293" s="25"/>
      <c r="O293" s="25"/>
      <c r="Q293" s="25"/>
      <c r="S293" s="25"/>
    </row>
    <row r="294">
      <c r="B294" s="25"/>
      <c r="G294" s="25"/>
      <c r="K294" s="25"/>
      <c r="M294" s="25"/>
      <c r="O294" s="25"/>
      <c r="Q294" s="25"/>
      <c r="S294" s="25"/>
    </row>
    <row r="295">
      <c r="B295" s="25"/>
      <c r="G295" s="25"/>
      <c r="K295" s="25"/>
      <c r="M295" s="25"/>
      <c r="O295" s="25"/>
      <c r="Q295" s="25"/>
      <c r="S295" s="25"/>
    </row>
    <row r="296">
      <c r="B296" s="25"/>
      <c r="G296" s="25"/>
      <c r="K296" s="25"/>
      <c r="M296" s="25"/>
      <c r="O296" s="25"/>
      <c r="Q296" s="25"/>
      <c r="S296" s="25"/>
    </row>
    <row r="297">
      <c r="B297" s="25"/>
      <c r="G297" s="25"/>
      <c r="K297" s="25"/>
      <c r="M297" s="25"/>
      <c r="O297" s="25"/>
      <c r="Q297" s="25"/>
      <c r="S297" s="25"/>
    </row>
    <row r="298">
      <c r="B298" s="25"/>
      <c r="G298" s="25"/>
      <c r="K298" s="25"/>
      <c r="M298" s="25"/>
      <c r="O298" s="25"/>
      <c r="Q298" s="25"/>
      <c r="S298" s="25"/>
    </row>
    <row r="299">
      <c r="B299" s="25"/>
      <c r="G299" s="25"/>
      <c r="K299" s="25"/>
      <c r="M299" s="25"/>
      <c r="O299" s="25"/>
      <c r="Q299" s="25"/>
      <c r="S299" s="25"/>
    </row>
    <row r="300">
      <c r="B300" s="25"/>
      <c r="G300" s="25"/>
      <c r="K300" s="25"/>
      <c r="M300" s="25"/>
      <c r="O300" s="25"/>
      <c r="Q300" s="25"/>
      <c r="S300" s="25"/>
    </row>
    <row r="301">
      <c r="B301" s="25"/>
      <c r="G301" s="25"/>
      <c r="K301" s="25"/>
      <c r="M301" s="25"/>
      <c r="O301" s="25"/>
      <c r="Q301" s="25"/>
      <c r="S301" s="25"/>
    </row>
    <row r="302">
      <c r="B302" s="25"/>
      <c r="G302" s="25"/>
      <c r="K302" s="25"/>
      <c r="M302" s="25"/>
      <c r="O302" s="25"/>
      <c r="Q302" s="25"/>
      <c r="S302" s="25"/>
    </row>
    <row r="303">
      <c r="B303" s="25"/>
      <c r="G303" s="25"/>
      <c r="K303" s="25"/>
      <c r="M303" s="25"/>
      <c r="O303" s="25"/>
      <c r="Q303" s="25"/>
      <c r="S303" s="25"/>
    </row>
    <row r="304">
      <c r="B304" s="25"/>
      <c r="G304" s="25"/>
      <c r="K304" s="25"/>
      <c r="M304" s="25"/>
      <c r="O304" s="25"/>
      <c r="Q304" s="25"/>
      <c r="S304" s="25"/>
    </row>
    <row r="305">
      <c r="B305" s="25"/>
      <c r="G305" s="25"/>
      <c r="K305" s="25"/>
      <c r="M305" s="25"/>
      <c r="O305" s="25"/>
      <c r="Q305" s="25"/>
      <c r="S305" s="25"/>
    </row>
    <row r="306">
      <c r="B306" s="25"/>
      <c r="G306" s="25"/>
      <c r="K306" s="25"/>
      <c r="M306" s="25"/>
      <c r="O306" s="25"/>
      <c r="Q306" s="25"/>
      <c r="S306" s="25"/>
    </row>
    <row r="307">
      <c r="B307" s="25"/>
      <c r="G307" s="25"/>
      <c r="K307" s="25"/>
      <c r="M307" s="25"/>
      <c r="O307" s="25"/>
      <c r="Q307" s="25"/>
      <c r="S307" s="25"/>
    </row>
    <row r="308">
      <c r="B308" s="25"/>
      <c r="G308" s="25"/>
      <c r="K308" s="25"/>
      <c r="M308" s="25"/>
      <c r="O308" s="25"/>
      <c r="Q308" s="25"/>
      <c r="S308" s="25"/>
    </row>
    <row r="309">
      <c r="B309" s="25"/>
      <c r="G309" s="25"/>
      <c r="K309" s="25"/>
      <c r="M309" s="25"/>
      <c r="O309" s="25"/>
      <c r="Q309" s="25"/>
      <c r="S309" s="25"/>
    </row>
    <row r="310">
      <c r="B310" s="25"/>
      <c r="G310" s="25"/>
      <c r="K310" s="25"/>
      <c r="M310" s="25"/>
      <c r="O310" s="25"/>
      <c r="Q310" s="25"/>
      <c r="S310" s="25"/>
    </row>
    <row r="311">
      <c r="B311" s="25"/>
      <c r="G311" s="25"/>
      <c r="K311" s="25"/>
      <c r="M311" s="25"/>
      <c r="O311" s="25"/>
      <c r="Q311" s="25"/>
      <c r="S311" s="25"/>
    </row>
    <row r="312">
      <c r="B312" s="25"/>
      <c r="G312" s="25"/>
      <c r="K312" s="25"/>
      <c r="M312" s="25"/>
      <c r="O312" s="25"/>
      <c r="Q312" s="25"/>
      <c r="S312" s="25"/>
    </row>
    <row r="313">
      <c r="B313" s="25"/>
      <c r="G313" s="25"/>
      <c r="K313" s="25"/>
      <c r="M313" s="25"/>
      <c r="O313" s="25"/>
      <c r="Q313" s="25"/>
      <c r="S313" s="25"/>
    </row>
    <row r="314">
      <c r="B314" s="25"/>
      <c r="G314" s="25"/>
      <c r="K314" s="25"/>
      <c r="M314" s="25"/>
      <c r="O314" s="25"/>
      <c r="Q314" s="25"/>
      <c r="S314" s="25"/>
    </row>
    <row r="315">
      <c r="B315" s="25"/>
      <c r="G315" s="25"/>
      <c r="K315" s="25"/>
      <c r="M315" s="25"/>
      <c r="O315" s="25"/>
      <c r="Q315" s="25"/>
      <c r="S315" s="25"/>
    </row>
    <row r="316">
      <c r="B316" s="25"/>
      <c r="G316" s="25"/>
      <c r="K316" s="25"/>
      <c r="M316" s="25"/>
      <c r="O316" s="25"/>
      <c r="Q316" s="25"/>
      <c r="S316" s="25"/>
    </row>
    <row r="317">
      <c r="B317" s="25"/>
      <c r="G317" s="25"/>
      <c r="K317" s="25"/>
      <c r="M317" s="25"/>
      <c r="O317" s="25"/>
      <c r="Q317" s="25"/>
      <c r="S317" s="25"/>
    </row>
    <row r="318">
      <c r="B318" s="25"/>
      <c r="G318" s="25"/>
      <c r="K318" s="25"/>
      <c r="M318" s="25"/>
      <c r="O318" s="25"/>
      <c r="Q318" s="25"/>
      <c r="S318" s="25"/>
    </row>
    <row r="319">
      <c r="B319" s="25"/>
      <c r="G319" s="25"/>
      <c r="K319" s="25"/>
      <c r="M319" s="25"/>
      <c r="O319" s="25"/>
      <c r="Q319" s="25"/>
      <c r="S319" s="25"/>
    </row>
    <row r="320">
      <c r="B320" s="25"/>
      <c r="G320" s="25"/>
      <c r="K320" s="25"/>
      <c r="M320" s="25"/>
      <c r="O320" s="25"/>
      <c r="Q320" s="25"/>
      <c r="S320" s="25"/>
    </row>
    <row r="321">
      <c r="B321" s="25"/>
      <c r="G321" s="25"/>
      <c r="K321" s="25"/>
      <c r="M321" s="25"/>
      <c r="O321" s="25"/>
      <c r="Q321" s="25"/>
      <c r="S321" s="25"/>
    </row>
    <row r="322">
      <c r="B322" s="25"/>
      <c r="G322" s="25"/>
      <c r="K322" s="25"/>
      <c r="M322" s="25"/>
      <c r="O322" s="25"/>
      <c r="Q322" s="25"/>
      <c r="S322" s="25"/>
    </row>
    <row r="323">
      <c r="B323" s="25"/>
      <c r="G323" s="25"/>
      <c r="K323" s="25"/>
      <c r="M323" s="25"/>
      <c r="O323" s="25"/>
      <c r="Q323" s="25"/>
      <c r="S323" s="25"/>
    </row>
    <row r="324">
      <c r="B324" s="25"/>
      <c r="G324" s="25"/>
      <c r="K324" s="25"/>
      <c r="M324" s="25"/>
      <c r="O324" s="25"/>
      <c r="Q324" s="25"/>
      <c r="S324" s="25"/>
    </row>
    <row r="325">
      <c r="B325" s="25"/>
      <c r="G325" s="25"/>
      <c r="K325" s="25"/>
      <c r="M325" s="25"/>
      <c r="O325" s="25"/>
      <c r="Q325" s="25"/>
      <c r="S325" s="25"/>
    </row>
    <row r="326">
      <c r="B326" s="25"/>
      <c r="G326" s="25"/>
      <c r="K326" s="25"/>
      <c r="M326" s="25"/>
      <c r="O326" s="25"/>
      <c r="Q326" s="25"/>
      <c r="S326" s="25"/>
    </row>
    <row r="327">
      <c r="B327" s="25"/>
      <c r="G327" s="25"/>
      <c r="K327" s="25"/>
      <c r="M327" s="25"/>
      <c r="O327" s="25"/>
      <c r="Q327" s="25"/>
      <c r="S327" s="25"/>
    </row>
    <row r="328">
      <c r="B328" s="25"/>
      <c r="G328" s="25"/>
      <c r="K328" s="25"/>
      <c r="M328" s="25"/>
      <c r="O328" s="25"/>
      <c r="Q328" s="25"/>
      <c r="S328" s="25"/>
    </row>
    <row r="329">
      <c r="B329" s="25"/>
      <c r="G329" s="25"/>
      <c r="K329" s="25"/>
      <c r="M329" s="25"/>
      <c r="O329" s="25"/>
      <c r="Q329" s="25"/>
      <c r="S329" s="25"/>
    </row>
    <row r="330">
      <c r="B330" s="25"/>
      <c r="G330" s="25"/>
      <c r="K330" s="25"/>
      <c r="M330" s="25"/>
      <c r="O330" s="25"/>
      <c r="Q330" s="25"/>
      <c r="S330" s="25"/>
    </row>
    <row r="331">
      <c r="B331" s="25"/>
      <c r="G331" s="25"/>
      <c r="K331" s="25"/>
      <c r="M331" s="25"/>
      <c r="O331" s="25"/>
      <c r="Q331" s="25"/>
      <c r="S331" s="25"/>
    </row>
    <row r="332">
      <c r="B332" s="25"/>
      <c r="G332" s="25"/>
      <c r="K332" s="25"/>
      <c r="M332" s="25"/>
      <c r="O332" s="25"/>
      <c r="Q332" s="25"/>
      <c r="S332" s="25"/>
    </row>
    <row r="333">
      <c r="B333" s="25"/>
      <c r="G333" s="25"/>
      <c r="K333" s="25"/>
      <c r="M333" s="25"/>
      <c r="O333" s="25"/>
      <c r="Q333" s="25"/>
      <c r="S333" s="25"/>
    </row>
    <row r="334">
      <c r="B334" s="25"/>
      <c r="G334" s="25"/>
      <c r="K334" s="25"/>
      <c r="M334" s="25"/>
      <c r="O334" s="25"/>
      <c r="Q334" s="25"/>
      <c r="S334" s="25"/>
    </row>
    <row r="335">
      <c r="B335" s="25"/>
      <c r="G335" s="25"/>
      <c r="K335" s="25"/>
      <c r="M335" s="25"/>
      <c r="O335" s="25"/>
      <c r="Q335" s="25"/>
      <c r="S335" s="25"/>
    </row>
    <row r="336">
      <c r="B336" s="25"/>
      <c r="G336" s="25"/>
      <c r="K336" s="25"/>
      <c r="M336" s="25"/>
      <c r="O336" s="25"/>
      <c r="Q336" s="25"/>
      <c r="S336" s="25"/>
    </row>
    <row r="337">
      <c r="B337" s="25"/>
      <c r="G337" s="25"/>
      <c r="K337" s="25"/>
      <c r="M337" s="25"/>
      <c r="O337" s="25"/>
      <c r="Q337" s="25"/>
      <c r="S337" s="25"/>
    </row>
    <row r="338">
      <c r="B338" s="25"/>
      <c r="G338" s="25"/>
      <c r="K338" s="25"/>
      <c r="M338" s="25"/>
      <c r="O338" s="25"/>
      <c r="Q338" s="25"/>
      <c r="S338" s="25"/>
    </row>
    <row r="339">
      <c r="B339" s="25"/>
      <c r="G339" s="25"/>
      <c r="K339" s="25"/>
      <c r="M339" s="25"/>
      <c r="O339" s="25"/>
      <c r="Q339" s="25"/>
      <c r="S339" s="25"/>
    </row>
    <row r="340">
      <c r="B340" s="25"/>
      <c r="G340" s="25"/>
      <c r="K340" s="25"/>
      <c r="M340" s="25"/>
      <c r="O340" s="25"/>
      <c r="Q340" s="25"/>
      <c r="S340" s="25"/>
    </row>
    <row r="341">
      <c r="B341" s="25"/>
      <c r="G341" s="25"/>
      <c r="K341" s="25"/>
      <c r="M341" s="25"/>
      <c r="O341" s="25"/>
      <c r="Q341" s="25"/>
      <c r="S341" s="25"/>
    </row>
    <row r="342">
      <c r="B342" s="25"/>
      <c r="G342" s="25"/>
      <c r="K342" s="25"/>
      <c r="M342" s="25"/>
      <c r="O342" s="25"/>
      <c r="Q342" s="25"/>
      <c r="S342" s="25"/>
    </row>
    <row r="343">
      <c r="B343" s="25"/>
      <c r="G343" s="25"/>
      <c r="K343" s="25"/>
      <c r="M343" s="25"/>
      <c r="O343" s="25"/>
      <c r="Q343" s="25"/>
      <c r="S343" s="25"/>
    </row>
    <row r="344">
      <c r="B344" s="25"/>
      <c r="G344" s="25"/>
      <c r="K344" s="25"/>
      <c r="M344" s="25"/>
      <c r="O344" s="25"/>
      <c r="Q344" s="25"/>
      <c r="S344" s="25"/>
    </row>
    <row r="345">
      <c r="B345" s="25"/>
      <c r="G345" s="25"/>
      <c r="K345" s="25"/>
      <c r="M345" s="25"/>
      <c r="O345" s="25"/>
      <c r="Q345" s="25"/>
      <c r="S345" s="25"/>
    </row>
    <row r="346">
      <c r="B346" s="25"/>
      <c r="G346" s="25"/>
      <c r="K346" s="25"/>
      <c r="M346" s="25"/>
      <c r="O346" s="25"/>
      <c r="Q346" s="25"/>
      <c r="S346" s="25"/>
    </row>
    <row r="347">
      <c r="B347" s="25"/>
      <c r="G347" s="25"/>
      <c r="K347" s="25"/>
      <c r="M347" s="25"/>
      <c r="O347" s="25"/>
      <c r="Q347" s="25"/>
      <c r="S347" s="25"/>
    </row>
    <row r="348">
      <c r="B348" s="25"/>
      <c r="G348" s="25"/>
      <c r="K348" s="25"/>
      <c r="M348" s="25"/>
      <c r="O348" s="25"/>
      <c r="Q348" s="25"/>
      <c r="S348" s="25"/>
    </row>
    <row r="349">
      <c r="B349" s="25"/>
      <c r="G349" s="25"/>
      <c r="K349" s="25"/>
      <c r="M349" s="25"/>
      <c r="O349" s="25"/>
      <c r="Q349" s="25"/>
      <c r="S349" s="25"/>
    </row>
    <row r="350">
      <c r="B350" s="25"/>
      <c r="G350" s="25"/>
      <c r="K350" s="25"/>
      <c r="M350" s="25"/>
      <c r="O350" s="25"/>
      <c r="Q350" s="25"/>
      <c r="S350" s="25"/>
    </row>
    <row r="351">
      <c r="B351" s="25"/>
      <c r="G351" s="25"/>
      <c r="K351" s="25"/>
      <c r="M351" s="25"/>
      <c r="O351" s="25"/>
      <c r="Q351" s="25"/>
      <c r="S351" s="25"/>
    </row>
    <row r="352">
      <c r="B352" s="25"/>
      <c r="G352" s="25"/>
      <c r="K352" s="25"/>
      <c r="M352" s="25"/>
      <c r="O352" s="25"/>
      <c r="Q352" s="25"/>
      <c r="S352" s="25"/>
    </row>
    <row r="353">
      <c r="B353" s="25"/>
      <c r="G353" s="25"/>
      <c r="K353" s="25"/>
      <c r="M353" s="25"/>
      <c r="O353" s="25"/>
      <c r="Q353" s="25"/>
      <c r="S353" s="25"/>
    </row>
    <row r="354">
      <c r="B354" s="25"/>
      <c r="G354" s="25"/>
      <c r="K354" s="25"/>
      <c r="M354" s="25"/>
      <c r="O354" s="25"/>
      <c r="Q354" s="25"/>
      <c r="S354" s="25"/>
    </row>
    <row r="355">
      <c r="B355" s="25"/>
      <c r="G355" s="25"/>
      <c r="K355" s="25"/>
      <c r="M355" s="25"/>
      <c r="O355" s="25"/>
      <c r="Q355" s="25"/>
      <c r="S355" s="25"/>
    </row>
    <row r="356">
      <c r="B356" s="25"/>
      <c r="G356" s="25"/>
      <c r="K356" s="25"/>
      <c r="M356" s="25"/>
      <c r="O356" s="25"/>
      <c r="Q356" s="25"/>
      <c r="S356" s="25"/>
    </row>
    <row r="357">
      <c r="B357" s="25"/>
      <c r="G357" s="25"/>
      <c r="K357" s="25"/>
      <c r="M357" s="25"/>
      <c r="O357" s="25"/>
      <c r="Q357" s="25"/>
      <c r="S357" s="25"/>
    </row>
    <row r="358">
      <c r="B358" s="25"/>
      <c r="G358" s="25"/>
      <c r="K358" s="25"/>
      <c r="M358" s="25"/>
      <c r="O358" s="25"/>
      <c r="Q358" s="25"/>
      <c r="S358" s="25"/>
    </row>
    <row r="359">
      <c r="B359" s="25"/>
      <c r="G359" s="25"/>
      <c r="K359" s="25"/>
      <c r="M359" s="25"/>
      <c r="O359" s="25"/>
      <c r="Q359" s="25"/>
      <c r="S359" s="25"/>
    </row>
    <row r="360">
      <c r="B360" s="25"/>
      <c r="G360" s="25"/>
      <c r="K360" s="25"/>
      <c r="M360" s="25"/>
      <c r="O360" s="25"/>
      <c r="Q360" s="25"/>
      <c r="S360" s="25"/>
    </row>
    <row r="361">
      <c r="B361" s="25"/>
      <c r="G361" s="25"/>
      <c r="K361" s="25"/>
      <c r="M361" s="25"/>
      <c r="O361" s="25"/>
      <c r="Q361" s="25"/>
      <c r="S361" s="25"/>
    </row>
    <row r="362">
      <c r="B362" s="25"/>
      <c r="G362" s="25"/>
      <c r="K362" s="25"/>
      <c r="M362" s="25"/>
      <c r="O362" s="25"/>
      <c r="Q362" s="25"/>
      <c r="S362" s="25"/>
    </row>
    <row r="363">
      <c r="B363" s="25"/>
      <c r="G363" s="25"/>
      <c r="K363" s="25"/>
      <c r="M363" s="25"/>
      <c r="O363" s="25"/>
      <c r="Q363" s="25"/>
      <c r="S363" s="25"/>
    </row>
    <row r="364">
      <c r="B364" s="25"/>
      <c r="G364" s="25"/>
      <c r="K364" s="25"/>
      <c r="M364" s="25"/>
      <c r="O364" s="25"/>
      <c r="Q364" s="25"/>
      <c r="S364" s="25"/>
    </row>
    <row r="365">
      <c r="B365" s="25"/>
      <c r="G365" s="25"/>
      <c r="K365" s="25"/>
      <c r="M365" s="25"/>
      <c r="O365" s="25"/>
      <c r="Q365" s="25"/>
      <c r="S365" s="25"/>
    </row>
    <row r="366">
      <c r="B366" s="25"/>
      <c r="G366" s="25"/>
      <c r="K366" s="25"/>
      <c r="M366" s="25"/>
      <c r="O366" s="25"/>
      <c r="Q366" s="25"/>
      <c r="S366" s="25"/>
    </row>
    <row r="367">
      <c r="B367" s="25"/>
      <c r="G367" s="25"/>
      <c r="K367" s="25"/>
      <c r="M367" s="25"/>
      <c r="O367" s="25"/>
      <c r="Q367" s="25"/>
      <c r="S367" s="25"/>
    </row>
    <row r="368">
      <c r="B368" s="25"/>
      <c r="G368" s="25"/>
      <c r="K368" s="25"/>
      <c r="M368" s="25"/>
      <c r="O368" s="25"/>
      <c r="Q368" s="25"/>
      <c r="S368" s="25"/>
    </row>
    <row r="369">
      <c r="B369" s="25"/>
      <c r="G369" s="25"/>
      <c r="K369" s="25"/>
      <c r="M369" s="25"/>
      <c r="O369" s="25"/>
      <c r="Q369" s="25"/>
      <c r="S369" s="25"/>
    </row>
    <row r="370">
      <c r="B370" s="25"/>
      <c r="G370" s="25"/>
      <c r="K370" s="25"/>
      <c r="M370" s="25"/>
      <c r="O370" s="25"/>
      <c r="Q370" s="25"/>
      <c r="S370" s="25"/>
    </row>
    <row r="371">
      <c r="B371" s="25"/>
      <c r="G371" s="25"/>
      <c r="K371" s="25"/>
      <c r="M371" s="25"/>
      <c r="O371" s="25"/>
      <c r="Q371" s="25"/>
      <c r="S371" s="25"/>
    </row>
    <row r="372">
      <c r="B372" s="25"/>
      <c r="G372" s="25"/>
      <c r="K372" s="25"/>
      <c r="M372" s="25"/>
      <c r="O372" s="25"/>
      <c r="Q372" s="25"/>
      <c r="S372" s="25"/>
    </row>
    <row r="373">
      <c r="B373" s="25"/>
      <c r="G373" s="25"/>
      <c r="K373" s="25"/>
      <c r="M373" s="25"/>
      <c r="O373" s="25"/>
      <c r="Q373" s="25"/>
      <c r="S373" s="25"/>
    </row>
    <row r="374">
      <c r="B374" s="25"/>
      <c r="G374" s="25"/>
      <c r="K374" s="25"/>
      <c r="M374" s="25"/>
      <c r="O374" s="25"/>
      <c r="Q374" s="25"/>
      <c r="S374" s="25"/>
    </row>
    <row r="375">
      <c r="B375" s="25"/>
      <c r="G375" s="25"/>
      <c r="K375" s="25"/>
      <c r="M375" s="25"/>
      <c r="O375" s="25"/>
      <c r="Q375" s="25"/>
      <c r="S375" s="25"/>
    </row>
    <row r="376">
      <c r="B376" s="25"/>
      <c r="G376" s="25"/>
      <c r="K376" s="25"/>
      <c r="M376" s="25"/>
      <c r="O376" s="25"/>
      <c r="Q376" s="25"/>
      <c r="S376" s="25"/>
    </row>
    <row r="377">
      <c r="B377" s="25"/>
      <c r="G377" s="25"/>
      <c r="K377" s="25"/>
      <c r="M377" s="25"/>
      <c r="O377" s="25"/>
      <c r="Q377" s="25"/>
      <c r="S377" s="25"/>
    </row>
    <row r="378">
      <c r="B378" s="25"/>
      <c r="G378" s="25"/>
      <c r="K378" s="25"/>
      <c r="M378" s="25"/>
      <c r="O378" s="25"/>
      <c r="Q378" s="25"/>
      <c r="S378" s="25"/>
    </row>
    <row r="379">
      <c r="B379" s="25"/>
      <c r="G379" s="25"/>
      <c r="K379" s="25"/>
      <c r="M379" s="25"/>
      <c r="O379" s="25"/>
      <c r="Q379" s="25"/>
      <c r="S379" s="25"/>
    </row>
    <row r="380">
      <c r="B380" s="25"/>
      <c r="G380" s="25"/>
      <c r="K380" s="25"/>
      <c r="M380" s="25"/>
      <c r="O380" s="25"/>
      <c r="Q380" s="25"/>
      <c r="S380" s="25"/>
    </row>
    <row r="381">
      <c r="B381" s="25"/>
      <c r="G381" s="25"/>
      <c r="K381" s="25"/>
      <c r="M381" s="25"/>
      <c r="O381" s="25"/>
      <c r="Q381" s="25"/>
      <c r="S381" s="25"/>
    </row>
    <row r="382">
      <c r="B382" s="25"/>
      <c r="G382" s="25"/>
      <c r="K382" s="25"/>
      <c r="M382" s="25"/>
      <c r="O382" s="25"/>
      <c r="Q382" s="25"/>
      <c r="S382" s="25"/>
    </row>
    <row r="383">
      <c r="B383" s="25"/>
      <c r="G383" s="25"/>
      <c r="K383" s="25"/>
      <c r="M383" s="25"/>
      <c r="O383" s="25"/>
      <c r="Q383" s="25"/>
      <c r="S383" s="25"/>
    </row>
    <row r="384">
      <c r="B384" s="25"/>
      <c r="G384" s="25"/>
      <c r="K384" s="25"/>
      <c r="M384" s="25"/>
      <c r="O384" s="25"/>
      <c r="Q384" s="25"/>
      <c r="S384" s="25"/>
    </row>
    <row r="385">
      <c r="B385" s="25"/>
      <c r="G385" s="25"/>
      <c r="K385" s="25"/>
      <c r="M385" s="25"/>
      <c r="O385" s="25"/>
      <c r="Q385" s="25"/>
      <c r="S385" s="25"/>
    </row>
    <row r="386">
      <c r="B386" s="25"/>
      <c r="G386" s="25"/>
      <c r="K386" s="25"/>
      <c r="M386" s="25"/>
      <c r="O386" s="25"/>
      <c r="Q386" s="25"/>
      <c r="S386" s="25"/>
    </row>
    <row r="387">
      <c r="B387" s="25"/>
      <c r="G387" s="25"/>
      <c r="K387" s="25"/>
      <c r="M387" s="25"/>
      <c r="O387" s="25"/>
      <c r="Q387" s="25"/>
      <c r="S387" s="25"/>
    </row>
    <row r="388">
      <c r="B388" s="25"/>
      <c r="G388" s="25"/>
      <c r="K388" s="25"/>
      <c r="M388" s="25"/>
      <c r="O388" s="25"/>
      <c r="Q388" s="25"/>
      <c r="S388" s="25"/>
    </row>
    <row r="389">
      <c r="B389" s="25"/>
      <c r="G389" s="25"/>
      <c r="K389" s="25"/>
      <c r="M389" s="25"/>
      <c r="O389" s="25"/>
      <c r="Q389" s="25"/>
      <c r="S389" s="25"/>
    </row>
    <row r="390">
      <c r="B390" s="25"/>
      <c r="G390" s="25"/>
      <c r="K390" s="25"/>
      <c r="M390" s="25"/>
      <c r="O390" s="25"/>
      <c r="Q390" s="25"/>
      <c r="S390" s="25"/>
    </row>
    <row r="391">
      <c r="B391" s="25"/>
      <c r="G391" s="25"/>
      <c r="K391" s="25"/>
      <c r="M391" s="25"/>
      <c r="O391" s="25"/>
      <c r="Q391" s="25"/>
      <c r="S391" s="25"/>
    </row>
    <row r="392">
      <c r="B392" s="25"/>
      <c r="G392" s="25"/>
      <c r="K392" s="25"/>
      <c r="M392" s="25"/>
      <c r="O392" s="25"/>
      <c r="Q392" s="25"/>
      <c r="S392" s="25"/>
    </row>
    <row r="393">
      <c r="B393" s="25"/>
      <c r="G393" s="25"/>
      <c r="K393" s="25"/>
      <c r="M393" s="25"/>
      <c r="O393" s="25"/>
      <c r="Q393" s="25"/>
      <c r="S393" s="25"/>
    </row>
    <row r="394">
      <c r="B394" s="25"/>
      <c r="G394" s="25"/>
      <c r="K394" s="25"/>
      <c r="M394" s="25"/>
      <c r="O394" s="25"/>
      <c r="Q394" s="25"/>
      <c r="S394" s="25"/>
    </row>
    <row r="395">
      <c r="B395" s="25"/>
      <c r="G395" s="25"/>
      <c r="K395" s="25"/>
      <c r="M395" s="25"/>
      <c r="O395" s="25"/>
      <c r="Q395" s="25"/>
      <c r="S395" s="25"/>
    </row>
    <row r="396">
      <c r="B396" s="25"/>
      <c r="G396" s="25"/>
      <c r="K396" s="25"/>
      <c r="M396" s="25"/>
      <c r="O396" s="25"/>
      <c r="Q396" s="25"/>
      <c r="S396" s="25"/>
    </row>
    <row r="397">
      <c r="B397" s="25"/>
      <c r="G397" s="25"/>
      <c r="K397" s="25"/>
      <c r="M397" s="25"/>
      <c r="O397" s="25"/>
      <c r="Q397" s="25"/>
      <c r="S397" s="25"/>
    </row>
    <row r="398">
      <c r="B398" s="25"/>
      <c r="G398" s="25"/>
      <c r="K398" s="25"/>
      <c r="M398" s="25"/>
      <c r="O398" s="25"/>
      <c r="Q398" s="25"/>
      <c r="S398" s="25"/>
    </row>
    <row r="399">
      <c r="B399" s="25"/>
      <c r="G399" s="25"/>
      <c r="K399" s="25"/>
      <c r="M399" s="25"/>
      <c r="O399" s="25"/>
      <c r="Q399" s="25"/>
      <c r="S399" s="25"/>
    </row>
    <row r="400">
      <c r="B400" s="25"/>
      <c r="G400" s="25"/>
      <c r="K400" s="25"/>
      <c r="M400" s="25"/>
      <c r="O400" s="25"/>
      <c r="Q400" s="25"/>
      <c r="S400" s="25"/>
    </row>
    <row r="401">
      <c r="B401" s="25"/>
      <c r="G401" s="25"/>
      <c r="K401" s="25"/>
      <c r="M401" s="25"/>
      <c r="O401" s="25"/>
      <c r="Q401" s="25"/>
      <c r="S401" s="25"/>
    </row>
    <row r="402">
      <c r="B402" s="25"/>
      <c r="G402" s="25"/>
      <c r="K402" s="25"/>
      <c r="M402" s="25"/>
      <c r="O402" s="25"/>
      <c r="Q402" s="25"/>
      <c r="S402" s="25"/>
    </row>
    <row r="403">
      <c r="B403" s="25"/>
      <c r="G403" s="25"/>
      <c r="K403" s="25"/>
      <c r="M403" s="25"/>
      <c r="O403" s="25"/>
      <c r="Q403" s="25"/>
      <c r="S403" s="25"/>
    </row>
    <row r="404">
      <c r="B404" s="25"/>
      <c r="G404" s="25"/>
      <c r="K404" s="25"/>
      <c r="M404" s="25"/>
      <c r="O404" s="25"/>
      <c r="Q404" s="25"/>
      <c r="S404" s="25"/>
    </row>
    <row r="405">
      <c r="B405" s="25"/>
      <c r="G405" s="25"/>
      <c r="K405" s="25"/>
      <c r="M405" s="25"/>
      <c r="O405" s="25"/>
      <c r="Q405" s="25"/>
      <c r="S405" s="25"/>
    </row>
    <row r="406">
      <c r="B406" s="25"/>
      <c r="G406" s="25"/>
      <c r="K406" s="25"/>
      <c r="M406" s="25"/>
      <c r="O406" s="25"/>
      <c r="Q406" s="25"/>
      <c r="S406" s="25"/>
    </row>
    <row r="407">
      <c r="B407" s="25"/>
      <c r="G407" s="25"/>
      <c r="K407" s="25"/>
      <c r="M407" s="25"/>
      <c r="O407" s="25"/>
      <c r="Q407" s="25"/>
      <c r="S407" s="25"/>
    </row>
    <row r="408">
      <c r="B408" s="25"/>
      <c r="G408" s="25"/>
      <c r="K408" s="25"/>
      <c r="M408" s="25"/>
      <c r="O408" s="25"/>
      <c r="Q408" s="25"/>
      <c r="S408" s="25"/>
    </row>
    <row r="409">
      <c r="B409" s="25"/>
      <c r="G409" s="25"/>
      <c r="K409" s="25"/>
      <c r="M409" s="25"/>
      <c r="O409" s="25"/>
      <c r="Q409" s="25"/>
      <c r="S409" s="25"/>
    </row>
    <row r="410">
      <c r="B410" s="25"/>
      <c r="G410" s="25"/>
      <c r="K410" s="25"/>
      <c r="M410" s="25"/>
      <c r="O410" s="25"/>
      <c r="Q410" s="25"/>
      <c r="S410" s="25"/>
    </row>
    <row r="411">
      <c r="B411" s="25"/>
      <c r="G411" s="25"/>
      <c r="K411" s="25"/>
      <c r="M411" s="25"/>
      <c r="O411" s="25"/>
      <c r="Q411" s="25"/>
      <c r="S411" s="25"/>
    </row>
    <row r="412">
      <c r="B412" s="25"/>
      <c r="G412" s="25"/>
      <c r="K412" s="25"/>
      <c r="M412" s="25"/>
      <c r="O412" s="25"/>
      <c r="Q412" s="25"/>
      <c r="S412" s="25"/>
    </row>
    <row r="413">
      <c r="B413" s="25"/>
      <c r="G413" s="25"/>
      <c r="K413" s="25"/>
      <c r="M413" s="25"/>
      <c r="O413" s="25"/>
      <c r="Q413" s="25"/>
      <c r="S413" s="25"/>
    </row>
    <row r="414">
      <c r="B414" s="25"/>
      <c r="G414" s="25"/>
      <c r="K414" s="25"/>
      <c r="M414" s="25"/>
      <c r="O414" s="25"/>
      <c r="Q414" s="25"/>
      <c r="S414" s="25"/>
    </row>
    <row r="415">
      <c r="B415" s="25"/>
      <c r="G415" s="25"/>
      <c r="K415" s="25"/>
      <c r="M415" s="25"/>
      <c r="O415" s="25"/>
      <c r="Q415" s="25"/>
      <c r="S415" s="25"/>
    </row>
    <row r="416">
      <c r="B416" s="25"/>
      <c r="G416" s="25"/>
      <c r="K416" s="25"/>
      <c r="M416" s="25"/>
      <c r="O416" s="25"/>
      <c r="Q416" s="25"/>
      <c r="S416" s="25"/>
    </row>
    <row r="417">
      <c r="B417" s="25"/>
      <c r="G417" s="25"/>
      <c r="K417" s="25"/>
      <c r="M417" s="25"/>
      <c r="O417" s="25"/>
      <c r="Q417" s="25"/>
      <c r="S417" s="25"/>
    </row>
    <row r="418">
      <c r="B418" s="25"/>
      <c r="G418" s="25"/>
      <c r="K418" s="25"/>
      <c r="M418" s="25"/>
      <c r="O418" s="25"/>
      <c r="Q418" s="25"/>
      <c r="S418" s="25"/>
    </row>
    <row r="419">
      <c r="B419" s="25"/>
      <c r="G419" s="25"/>
      <c r="K419" s="25"/>
      <c r="M419" s="25"/>
      <c r="O419" s="25"/>
      <c r="Q419" s="25"/>
      <c r="S419" s="25"/>
    </row>
    <row r="420">
      <c r="B420" s="25"/>
      <c r="G420" s="25"/>
      <c r="K420" s="25"/>
      <c r="M420" s="25"/>
      <c r="O420" s="25"/>
      <c r="Q420" s="25"/>
      <c r="S420" s="25"/>
    </row>
    <row r="421">
      <c r="B421" s="25"/>
      <c r="G421" s="25"/>
      <c r="K421" s="25"/>
      <c r="M421" s="25"/>
      <c r="O421" s="25"/>
      <c r="Q421" s="25"/>
      <c r="S421" s="25"/>
    </row>
    <row r="422">
      <c r="B422" s="25"/>
      <c r="G422" s="25"/>
      <c r="K422" s="25"/>
      <c r="M422" s="25"/>
      <c r="O422" s="25"/>
      <c r="Q422" s="25"/>
      <c r="S422" s="25"/>
    </row>
    <row r="423">
      <c r="B423" s="25"/>
      <c r="G423" s="25"/>
      <c r="K423" s="25"/>
      <c r="M423" s="25"/>
      <c r="O423" s="25"/>
      <c r="Q423" s="25"/>
      <c r="S423" s="25"/>
    </row>
    <row r="424">
      <c r="B424" s="25"/>
      <c r="G424" s="25"/>
      <c r="K424" s="25"/>
      <c r="M424" s="25"/>
      <c r="O424" s="25"/>
      <c r="Q424" s="25"/>
      <c r="S424" s="25"/>
    </row>
    <row r="425">
      <c r="B425" s="25"/>
      <c r="G425" s="25"/>
      <c r="K425" s="25"/>
      <c r="M425" s="25"/>
      <c r="O425" s="25"/>
      <c r="Q425" s="25"/>
      <c r="S425" s="25"/>
    </row>
    <row r="426">
      <c r="B426" s="25"/>
      <c r="G426" s="25"/>
      <c r="K426" s="25"/>
      <c r="M426" s="25"/>
      <c r="O426" s="25"/>
      <c r="Q426" s="25"/>
      <c r="S426" s="25"/>
    </row>
    <row r="427">
      <c r="B427" s="25"/>
      <c r="G427" s="25"/>
      <c r="K427" s="25"/>
      <c r="M427" s="25"/>
      <c r="O427" s="25"/>
      <c r="Q427" s="25"/>
      <c r="S427" s="25"/>
    </row>
    <row r="428">
      <c r="B428" s="25"/>
      <c r="G428" s="25"/>
      <c r="K428" s="25"/>
      <c r="M428" s="25"/>
      <c r="O428" s="25"/>
      <c r="Q428" s="25"/>
      <c r="S428" s="25"/>
    </row>
    <row r="429">
      <c r="B429" s="25"/>
      <c r="G429" s="25"/>
      <c r="K429" s="25"/>
      <c r="M429" s="25"/>
      <c r="O429" s="25"/>
      <c r="Q429" s="25"/>
      <c r="S429" s="25"/>
    </row>
    <row r="430">
      <c r="B430" s="25"/>
      <c r="G430" s="25"/>
      <c r="K430" s="25"/>
      <c r="M430" s="25"/>
      <c r="O430" s="25"/>
      <c r="Q430" s="25"/>
      <c r="S430" s="25"/>
    </row>
    <row r="431">
      <c r="B431" s="25"/>
      <c r="G431" s="25"/>
      <c r="K431" s="25"/>
      <c r="M431" s="25"/>
      <c r="O431" s="25"/>
      <c r="Q431" s="25"/>
      <c r="S431" s="25"/>
    </row>
    <row r="432">
      <c r="B432" s="25"/>
      <c r="G432" s="25"/>
      <c r="K432" s="25"/>
      <c r="M432" s="25"/>
      <c r="O432" s="25"/>
      <c r="Q432" s="25"/>
      <c r="S432" s="25"/>
    </row>
    <row r="433">
      <c r="B433" s="25"/>
      <c r="G433" s="25"/>
      <c r="K433" s="25"/>
      <c r="M433" s="25"/>
      <c r="O433" s="25"/>
      <c r="Q433" s="25"/>
      <c r="S433" s="25"/>
    </row>
    <row r="434">
      <c r="B434" s="25"/>
      <c r="G434" s="25"/>
      <c r="K434" s="25"/>
      <c r="M434" s="25"/>
      <c r="O434" s="25"/>
      <c r="Q434" s="25"/>
      <c r="S434" s="25"/>
    </row>
    <row r="435">
      <c r="B435" s="25"/>
      <c r="G435" s="25"/>
      <c r="K435" s="25"/>
      <c r="M435" s="25"/>
      <c r="O435" s="25"/>
      <c r="Q435" s="25"/>
      <c r="S435" s="25"/>
    </row>
    <row r="436">
      <c r="B436" s="25"/>
      <c r="G436" s="25"/>
      <c r="K436" s="25"/>
      <c r="M436" s="25"/>
      <c r="O436" s="25"/>
      <c r="Q436" s="25"/>
      <c r="S436" s="25"/>
    </row>
    <row r="437">
      <c r="B437" s="25"/>
      <c r="G437" s="25"/>
      <c r="K437" s="25"/>
      <c r="M437" s="25"/>
      <c r="O437" s="25"/>
      <c r="Q437" s="25"/>
      <c r="S437" s="25"/>
    </row>
    <row r="438">
      <c r="B438" s="25"/>
      <c r="G438" s="25"/>
      <c r="K438" s="25"/>
      <c r="M438" s="25"/>
      <c r="O438" s="25"/>
      <c r="Q438" s="25"/>
      <c r="S438" s="25"/>
    </row>
    <row r="439">
      <c r="B439" s="25"/>
      <c r="G439" s="25"/>
      <c r="K439" s="25"/>
      <c r="M439" s="25"/>
      <c r="O439" s="25"/>
      <c r="Q439" s="25"/>
      <c r="S439" s="25"/>
    </row>
    <row r="440">
      <c r="B440" s="25"/>
      <c r="G440" s="25"/>
      <c r="K440" s="25"/>
      <c r="M440" s="25"/>
      <c r="O440" s="25"/>
      <c r="Q440" s="25"/>
      <c r="S440" s="25"/>
    </row>
    <row r="441">
      <c r="B441" s="25"/>
      <c r="G441" s="25"/>
      <c r="K441" s="25"/>
      <c r="M441" s="25"/>
      <c r="O441" s="25"/>
      <c r="Q441" s="25"/>
      <c r="S441" s="25"/>
    </row>
    <row r="442">
      <c r="B442" s="25"/>
      <c r="G442" s="25"/>
      <c r="K442" s="25"/>
      <c r="M442" s="25"/>
      <c r="O442" s="25"/>
      <c r="Q442" s="25"/>
      <c r="S442" s="25"/>
    </row>
    <row r="443">
      <c r="B443" s="25"/>
      <c r="G443" s="25"/>
      <c r="K443" s="25"/>
      <c r="M443" s="25"/>
      <c r="O443" s="25"/>
      <c r="Q443" s="25"/>
      <c r="S443" s="25"/>
    </row>
    <row r="444">
      <c r="B444" s="25"/>
      <c r="G444" s="25"/>
      <c r="K444" s="25"/>
      <c r="M444" s="25"/>
      <c r="O444" s="25"/>
      <c r="Q444" s="25"/>
      <c r="S444" s="25"/>
    </row>
    <row r="445">
      <c r="B445" s="25"/>
      <c r="G445" s="25"/>
      <c r="K445" s="25"/>
      <c r="M445" s="25"/>
      <c r="O445" s="25"/>
      <c r="Q445" s="25"/>
      <c r="S445" s="25"/>
    </row>
    <row r="446">
      <c r="B446" s="25"/>
      <c r="G446" s="25"/>
      <c r="K446" s="25"/>
      <c r="M446" s="25"/>
      <c r="O446" s="25"/>
      <c r="Q446" s="25"/>
      <c r="S446" s="25"/>
    </row>
    <row r="447">
      <c r="B447" s="25"/>
      <c r="G447" s="25"/>
      <c r="K447" s="25"/>
      <c r="M447" s="25"/>
      <c r="O447" s="25"/>
      <c r="Q447" s="25"/>
      <c r="S447" s="25"/>
    </row>
    <row r="448">
      <c r="B448" s="25"/>
      <c r="G448" s="25"/>
      <c r="K448" s="25"/>
      <c r="M448" s="25"/>
      <c r="O448" s="25"/>
      <c r="Q448" s="25"/>
      <c r="S448" s="25"/>
    </row>
    <row r="449">
      <c r="B449" s="25"/>
      <c r="G449" s="25"/>
      <c r="K449" s="25"/>
      <c r="M449" s="25"/>
      <c r="O449" s="25"/>
      <c r="Q449" s="25"/>
      <c r="S449" s="25"/>
    </row>
    <row r="450">
      <c r="B450" s="25"/>
      <c r="G450" s="25"/>
      <c r="K450" s="25"/>
      <c r="M450" s="25"/>
      <c r="O450" s="25"/>
      <c r="Q450" s="25"/>
      <c r="S450" s="25"/>
    </row>
    <row r="451">
      <c r="B451" s="25"/>
      <c r="G451" s="25"/>
      <c r="K451" s="25"/>
      <c r="M451" s="25"/>
      <c r="O451" s="25"/>
      <c r="Q451" s="25"/>
      <c r="S451" s="25"/>
    </row>
    <row r="452">
      <c r="B452" s="25"/>
      <c r="G452" s="25"/>
      <c r="K452" s="25"/>
      <c r="M452" s="25"/>
      <c r="O452" s="25"/>
      <c r="Q452" s="25"/>
      <c r="S452" s="25"/>
    </row>
    <row r="453">
      <c r="B453" s="25"/>
      <c r="G453" s="25"/>
      <c r="K453" s="25"/>
      <c r="M453" s="25"/>
      <c r="O453" s="25"/>
      <c r="Q453" s="25"/>
      <c r="S453" s="25"/>
    </row>
    <row r="454">
      <c r="B454" s="25"/>
      <c r="G454" s="25"/>
      <c r="K454" s="25"/>
      <c r="M454" s="25"/>
      <c r="O454" s="25"/>
      <c r="Q454" s="25"/>
      <c r="S454" s="25"/>
    </row>
    <row r="455">
      <c r="B455" s="25"/>
      <c r="G455" s="25"/>
      <c r="K455" s="25"/>
      <c r="M455" s="25"/>
      <c r="O455" s="25"/>
      <c r="Q455" s="25"/>
      <c r="S455" s="25"/>
    </row>
    <row r="456">
      <c r="B456" s="25"/>
      <c r="G456" s="25"/>
      <c r="K456" s="25"/>
      <c r="M456" s="25"/>
      <c r="O456" s="25"/>
      <c r="Q456" s="25"/>
      <c r="S456" s="25"/>
    </row>
    <row r="457">
      <c r="B457" s="25"/>
      <c r="G457" s="25"/>
      <c r="K457" s="25"/>
      <c r="M457" s="25"/>
      <c r="O457" s="25"/>
      <c r="Q457" s="25"/>
      <c r="S457" s="25"/>
    </row>
    <row r="458">
      <c r="B458" s="25"/>
      <c r="G458" s="25"/>
      <c r="K458" s="25"/>
      <c r="M458" s="25"/>
      <c r="O458" s="25"/>
      <c r="Q458" s="25"/>
      <c r="S458" s="25"/>
    </row>
    <row r="459">
      <c r="B459" s="25"/>
      <c r="G459" s="25"/>
      <c r="K459" s="25"/>
      <c r="M459" s="25"/>
      <c r="O459" s="25"/>
      <c r="Q459" s="25"/>
      <c r="S459" s="25"/>
    </row>
    <row r="460">
      <c r="B460" s="25"/>
      <c r="G460" s="25"/>
      <c r="K460" s="25"/>
      <c r="M460" s="25"/>
      <c r="O460" s="25"/>
      <c r="Q460" s="25"/>
      <c r="S460" s="25"/>
    </row>
    <row r="461">
      <c r="B461" s="25"/>
      <c r="G461" s="25"/>
      <c r="K461" s="25"/>
      <c r="M461" s="25"/>
      <c r="O461" s="25"/>
      <c r="Q461" s="25"/>
      <c r="S461" s="25"/>
    </row>
    <row r="462">
      <c r="B462" s="25"/>
      <c r="G462" s="25"/>
      <c r="K462" s="25"/>
      <c r="M462" s="25"/>
      <c r="O462" s="25"/>
      <c r="Q462" s="25"/>
      <c r="S462" s="25"/>
    </row>
    <row r="463">
      <c r="B463" s="25"/>
      <c r="G463" s="25"/>
      <c r="K463" s="25"/>
      <c r="M463" s="25"/>
      <c r="O463" s="25"/>
      <c r="Q463" s="25"/>
      <c r="S463" s="25"/>
    </row>
    <row r="464">
      <c r="B464" s="25"/>
      <c r="G464" s="25"/>
      <c r="K464" s="25"/>
      <c r="M464" s="25"/>
      <c r="O464" s="25"/>
      <c r="Q464" s="25"/>
      <c r="S464" s="25"/>
    </row>
    <row r="465">
      <c r="B465" s="25"/>
      <c r="G465" s="25"/>
      <c r="K465" s="25"/>
      <c r="M465" s="25"/>
      <c r="O465" s="25"/>
      <c r="Q465" s="25"/>
      <c r="S465" s="25"/>
    </row>
    <row r="466">
      <c r="B466" s="25"/>
      <c r="G466" s="25"/>
      <c r="K466" s="25"/>
      <c r="M466" s="25"/>
      <c r="O466" s="25"/>
      <c r="Q466" s="25"/>
      <c r="S466" s="25"/>
    </row>
    <row r="467">
      <c r="B467" s="25"/>
      <c r="G467" s="25"/>
      <c r="K467" s="25"/>
      <c r="M467" s="25"/>
      <c r="O467" s="25"/>
      <c r="Q467" s="25"/>
      <c r="S467" s="25"/>
    </row>
    <row r="468">
      <c r="B468" s="25"/>
      <c r="G468" s="25"/>
      <c r="K468" s="25"/>
      <c r="M468" s="25"/>
      <c r="O468" s="25"/>
      <c r="Q468" s="25"/>
      <c r="S468" s="25"/>
    </row>
    <row r="469">
      <c r="B469" s="25"/>
      <c r="G469" s="25"/>
      <c r="K469" s="25"/>
      <c r="M469" s="25"/>
      <c r="O469" s="25"/>
      <c r="Q469" s="25"/>
      <c r="S469" s="25"/>
    </row>
    <row r="470">
      <c r="B470" s="25"/>
      <c r="G470" s="25"/>
      <c r="K470" s="25"/>
      <c r="M470" s="25"/>
      <c r="O470" s="25"/>
      <c r="Q470" s="25"/>
      <c r="S470" s="25"/>
    </row>
    <row r="471">
      <c r="B471" s="25"/>
      <c r="G471" s="25"/>
      <c r="K471" s="25"/>
      <c r="M471" s="25"/>
      <c r="O471" s="25"/>
      <c r="Q471" s="25"/>
      <c r="S471" s="25"/>
    </row>
    <row r="472">
      <c r="B472" s="25"/>
      <c r="G472" s="25"/>
      <c r="K472" s="25"/>
      <c r="M472" s="25"/>
      <c r="O472" s="25"/>
      <c r="Q472" s="25"/>
      <c r="S472" s="25"/>
    </row>
    <row r="473">
      <c r="B473" s="25"/>
      <c r="G473" s="25"/>
      <c r="K473" s="25"/>
      <c r="M473" s="25"/>
      <c r="O473" s="25"/>
      <c r="Q473" s="25"/>
      <c r="S473" s="25"/>
    </row>
    <row r="474">
      <c r="B474" s="25"/>
      <c r="G474" s="25"/>
      <c r="K474" s="25"/>
      <c r="M474" s="25"/>
      <c r="O474" s="25"/>
      <c r="Q474" s="25"/>
      <c r="S474" s="25"/>
    </row>
    <row r="475">
      <c r="B475" s="25"/>
      <c r="G475" s="25"/>
      <c r="K475" s="25"/>
      <c r="M475" s="25"/>
      <c r="O475" s="25"/>
      <c r="Q475" s="25"/>
      <c r="S475" s="25"/>
    </row>
    <row r="476">
      <c r="B476" s="25"/>
      <c r="G476" s="25"/>
      <c r="K476" s="25"/>
      <c r="M476" s="25"/>
      <c r="O476" s="25"/>
      <c r="Q476" s="25"/>
      <c r="S476" s="25"/>
    </row>
    <row r="477">
      <c r="B477" s="25"/>
      <c r="G477" s="25"/>
      <c r="K477" s="25"/>
      <c r="M477" s="25"/>
      <c r="O477" s="25"/>
      <c r="Q477" s="25"/>
      <c r="S477" s="25"/>
    </row>
    <row r="478">
      <c r="B478" s="25"/>
      <c r="G478" s="25"/>
      <c r="K478" s="25"/>
      <c r="M478" s="25"/>
      <c r="O478" s="25"/>
      <c r="Q478" s="25"/>
      <c r="S478" s="25"/>
    </row>
    <row r="479">
      <c r="B479" s="25"/>
      <c r="G479" s="25"/>
      <c r="K479" s="25"/>
      <c r="M479" s="25"/>
      <c r="O479" s="25"/>
      <c r="Q479" s="25"/>
      <c r="S479" s="25"/>
    </row>
    <row r="480">
      <c r="B480" s="25"/>
      <c r="G480" s="25"/>
      <c r="K480" s="25"/>
      <c r="M480" s="25"/>
      <c r="O480" s="25"/>
      <c r="Q480" s="25"/>
      <c r="S480" s="25"/>
    </row>
    <row r="481">
      <c r="B481" s="25"/>
      <c r="G481" s="25"/>
      <c r="K481" s="25"/>
      <c r="M481" s="25"/>
      <c r="O481" s="25"/>
      <c r="Q481" s="25"/>
      <c r="S481" s="25"/>
    </row>
    <row r="482">
      <c r="B482" s="25"/>
      <c r="G482" s="25"/>
      <c r="K482" s="25"/>
      <c r="M482" s="25"/>
      <c r="O482" s="25"/>
      <c r="Q482" s="25"/>
      <c r="S482" s="25"/>
    </row>
    <row r="483">
      <c r="B483" s="25"/>
      <c r="G483" s="25"/>
      <c r="K483" s="25"/>
      <c r="M483" s="25"/>
      <c r="O483" s="25"/>
      <c r="Q483" s="25"/>
      <c r="S483" s="25"/>
    </row>
    <row r="484">
      <c r="B484" s="25"/>
      <c r="G484" s="25"/>
      <c r="K484" s="25"/>
      <c r="M484" s="25"/>
      <c r="O484" s="25"/>
      <c r="Q484" s="25"/>
      <c r="S484" s="25"/>
    </row>
    <row r="485">
      <c r="B485" s="25"/>
      <c r="G485" s="25"/>
      <c r="K485" s="25"/>
      <c r="M485" s="25"/>
      <c r="O485" s="25"/>
      <c r="Q485" s="25"/>
      <c r="S485" s="25"/>
    </row>
    <row r="486">
      <c r="B486" s="25"/>
      <c r="G486" s="25"/>
      <c r="K486" s="25"/>
      <c r="M486" s="25"/>
      <c r="O486" s="25"/>
      <c r="Q486" s="25"/>
      <c r="S486" s="25"/>
    </row>
    <row r="487">
      <c r="B487" s="25"/>
      <c r="G487" s="25"/>
      <c r="K487" s="25"/>
      <c r="M487" s="25"/>
      <c r="O487" s="25"/>
      <c r="Q487" s="25"/>
      <c r="S487" s="25"/>
    </row>
    <row r="488">
      <c r="B488" s="25"/>
      <c r="G488" s="25"/>
      <c r="K488" s="25"/>
      <c r="M488" s="25"/>
      <c r="O488" s="25"/>
      <c r="Q488" s="25"/>
      <c r="S488" s="25"/>
    </row>
    <row r="489">
      <c r="B489" s="25"/>
      <c r="G489" s="25"/>
      <c r="K489" s="25"/>
      <c r="M489" s="25"/>
      <c r="O489" s="25"/>
      <c r="Q489" s="25"/>
      <c r="S489" s="25"/>
    </row>
    <row r="490">
      <c r="B490" s="25"/>
      <c r="G490" s="25"/>
      <c r="K490" s="25"/>
      <c r="M490" s="25"/>
      <c r="O490" s="25"/>
      <c r="Q490" s="25"/>
      <c r="S490" s="25"/>
    </row>
    <row r="491">
      <c r="B491" s="25"/>
      <c r="G491" s="25"/>
      <c r="K491" s="25"/>
      <c r="M491" s="25"/>
      <c r="O491" s="25"/>
      <c r="Q491" s="25"/>
      <c r="S491" s="25"/>
    </row>
    <row r="492">
      <c r="B492" s="25"/>
      <c r="G492" s="25"/>
      <c r="K492" s="25"/>
      <c r="M492" s="25"/>
      <c r="O492" s="25"/>
      <c r="Q492" s="25"/>
      <c r="S492" s="25"/>
    </row>
    <row r="493">
      <c r="B493" s="25"/>
      <c r="G493" s="25"/>
      <c r="K493" s="25"/>
      <c r="M493" s="25"/>
      <c r="O493" s="25"/>
      <c r="Q493" s="25"/>
      <c r="S493" s="25"/>
    </row>
    <row r="494">
      <c r="B494" s="25"/>
      <c r="G494" s="25"/>
      <c r="K494" s="25"/>
      <c r="M494" s="25"/>
      <c r="O494" s="25"/>
      <c r="Q494" s="25"/>
      <c r="S494" s="25"/>
    </row>
    <row r="495">
      <c r="B495" s="25"/>
      <c r="G495" s="25"/>
      <c r="K495" s="25"/>
      <c r="M495" s="25"/>
      <c r="O495" s="25"/>
      <c r="Q495" s="25"/>
      <c r="S495" s="25"/>
    </row>
    <row r="496">
      <c r="B496" s="25"/>
      <c r="G496" s="25"/>
      <c r="K496" s="25"/>
      <c r="M496" s="25"/>
      <c r="O496" s="25"/>
      <c r="Q496" s="25"/>
      <c r="S496" s="25"/>
    </row>
    <row r="497">
      <c r="B497" s="25"/>
      <c r="G497" s="25"/>
      <c r="K497" s="25"/>
      <c r="M497" s="25"/>
      <c r="O497" s="25"/>
      <c r="Q497" s="25"/>
      <c r="S497" s="25"/>
    </row>
    <row r="498">
      <c r="B498" s="25"/>
      <c r="G498" s="25"/>
      <c r="K498" s="25"/>
      <c r="M498" s="25"/>
      <c r="O498" s="25"/>
      <c r="Q498" s="25"/>
      <c r="S498" s="25"/>
    </row>
    <row r="499">
      <c r="B499" s="25"/>
      <c r="G499" s="25"/>
      <c r="K499" s="25"/>
      <c r="M499" s="25"/>
      <c r="O499" s="25"/>
      <c r="Q499" s="25"/>
      <c r="S499" s="25"/>
    </row>
    <row r="500">
      <c r="B500" s="25"/>
      <c r="G500" s="25"/>
      <c r="K500" s="25"/>
      <c r="M500" s="25"/>
      <c r="O500" s="25"/>
      <c r="Q500" s="25"/>
      <c r="S500" s="25"/>
    </row>
    <row r="501">
      <c r="B501" s="25"/>
      <c r="G501" s="25"/>
      <c r="K501" s="25"/>
      <c r="M501" s="25"/>
      <c r="O501" s="25"/>
      <c r="Q501" s="25"/>
      <c r="S501" s="25"/>
    </row>
    <row r="502">
      <c r="B502" s="25"/>
      <c r="G502" s="25"/>
      <c r="K502" s="25"/>
      <c r="M502" s="25"/>
      <c r="O502" s="25"/>
      <c r="Q502" s="25"/>
      <c r="S502" s="25"/>
    </row>
    <row r="503">
      <c r="B503" s="25"/>
      <c r="G503" s="25"/>
      <c r="K503" s="25"/>
      <c r="M503" s="25"/>
      <c r="O503" s="25"/>
      <c r="Q503" s="25"/>
      <c r="S503" s="25"/>
    </row>
    <row r="504">
      <c r="B504" s="25"/>
      <c r="G504" s="25"/>
      <c r="K504" s="25"/>
      <c r="M504" s="25"/>
      <c r="O504" s="25"/>
      <c r="Q504" s="25"/>
      <c r="S504" s="25"/>
    </row>
    <row r="505">
      <c r="B505" s="25"/>
      <c r="G505" s="25"/>
      <c r="K505" s="25"/>
      <c r="M505" s="25"/>
      <c r="O505" s="25"/>
      <c r="Q505" s="25"/>
      <c r="S505" s="25"/>
    </row>
    <row r="506">
      <c r="B506" s="25"/>
      <c r="G506" s="25"/>
      <c r="K506" s="25"/>
      <c r="M506" s="25"/>
      <c r="O506" s="25"/>
      <c r="Q506" s="25"/>
      <c r="S506" s="25"/>
    </row>
    <row r="507">
      <c r="B507" s="25"/>
      <c r="G507" s="25"/>
      <c r="K507" s="25"/>
      <c r="M507" s="25"/>
      <c r="O507" s="25"/>
      <c r="Q507" s="25"/>
      <c r="S507" s="25"/>
    </row>
    <row r="508">
      <c r="B508" s="25"/>
      <c r="G508" s="25"/>
      <c r="K508" s="25"/>
      <c r="M508" s="25"/>
      <c r="O508" s="25"/>
      <c r="Q508" s="25"/>
      <c r="S508" s="25"/>
    </row>
    <row r="509">
      <c r="B509" s="25"/>
      <c r="G509" s="25"/>
      <c r="K509" s="25"/>
      <c r="M509" s="25"/>
      <c r="O509" s="25"/>
      <c r="Q509" s="25"/>
      <c r="S509" s="25"/>
    </row>
    <row r="510">
      <c r="B510" s="25"/>
      <c r="G510" s="25"/>
      <c r="K510" s="25"/>
      <c r="M510" s="25"/>
      <c r="O510" s="25"/>
      <c r="Q510" s="25"/>
      <c r="S510" s="25"/>
    </row>
    <row r="511">
      <c r="B511" s="25"/>
      <c r="G511" s="25"/>
      <c r="K511" s="25"/>
      <c r="M511" s="25"/>
      <c r="O511" s="25"/>
      <c r="Q511" s="25"/>
      <c r="S511" s="25"/>
    </row>
    <row r="512">
      <c r="B512" s="25"/>
      <c r="G512" s="25"/>
      <c r="K512" s="25"/>
      <c r="M512" s="25"/>
      <c r="O512" s="25"/>
      <c r="Q512" s="25"/>
      <c r="S512" s="25"/>
    </row>
    <row r="513">
      <c r="B513" s="25"/>
      <c r="G513" s="25"/>
      <c r="K513" s="25"/>
      <c r="M513" s="25"/>
      <c r="O513" s="25"/>
      <c r="Q513" s="25"/>
      <c r="S513" s="25"/>
    </row>
    <row r="514">
      <c r="B514" s="25"/>
      <c r="G514" s="25"/>
      <c r="K514" s="25"/>
      <c r="M514" s="25"/>
      <c r="O514" s="25"/>
      <c r="Q514" s="25"/>
      <c r="S514" s="25"/>
    </row>
    <row r="515">
      <c r="B515" s="25"/>
      <c r="G515" s="25"/>
      <c r="K515" s="25"/>
      <c r="M515" s="25"/>
      <c r="O515" s="25"/>
      <c r="Q515" s="25"/>
      <c r="S515" s="25"/>
    </row>
    <row r="516">
      <c r="B516" s="25"/>
      <c r="G516" s="25"/>
      <c r="K516" s="25"/>
      <c r="M516" s="25"/>
      <c r="O516" s="25"/>
      <c r="Q516" s="25"/>
      <c r="S516" s="25"/>
    </row>
    <row r="517">
      <c r="B517" s="25"/>
      <c r="G517" s="25"/>
      <c r="K517" s="25"/>
      <c r="M517" s="25"/>
      <c r="O517" s="25"/>
      <c r="Q517" s="25"/>
      <c r="S517" s="25"/>
    </row>
    <row r="518">
      <c r="B518" s="25"/>
      <c r="G518" s="25"/>
      <c r="K518" s="25"/>
      <c r="M518" s="25"/>
      <c r="O518" s="25"/>
      <c r="Q518" s="25"/>
      <c r="S518" s="25"/>
    </row>
    <row r="519">
      <c r="B519" s="25"/>
      <c r="G519" s="25"/>
      <c r="K519" s="25"/>
      <c r="M519" s="25"/>
      <c r="O519" s="25"/>
      <c r="Q519" s="25"/>
      <c r="S519" s="25"/>
    </row>
    <row r="520">
      <c r="B520" s="25"/>
      <c r="G520" s="25"/>
      <c r="K520" s="25"/>
      <c r="M520" s="25"/>
      <c r="O520" s="25"/>
      <c r="Q520" s="25"/>
      <c r="S520" s="25"/>
    </row>
    <row r="521">
      <c r="B521" s="25"/>
      <c r="G521" s="25"/>
      <c r="K521" s="25"/>
      <c r="M521" s="25"/>
      <c r="O521" s="25"/>
      <c r="Q521" s="25"/>
      <c r="S521" s="25"/>
    </row>
    <row r="522">
      <c r="B522" s="25"/>
      <c r="G522" s="25"/>
      <c r="K522" s="25"/>
      <c r="M522" s="25"/>
      <c r="O522" s="25"/>
      <c r="Q522" s="25"/>
      <c r="S522" s="25"/>
    </row>
    <row r="523">
      <c r="B523" s="25"/>
      <c r="G523" s="25"/>
      <c r="K523" s="25"/>
      <c r="M523" s="25"/>
      <c r="O523" s="25"/>
      <c r="Q523" s="25"/>
      <c r="S523" s="25"/>
    </row>
    <row r="524">
      <c r="B524" s="25"/>
      <c r="G524" s="25"/>
      <c r="K524" s="25"/>
      <c r="M524" s="25"/>
      <c r="O524" s="25"/>
      <c r="Q524" s="25"/>
      <c r="S524" s="25"/>
    </row>
    <row r="525">
      <c r="B525" s="25"/>
      <c r="G525" s="25"/>
      <c r="K525" s="25"/>
      <c r="M525" s="25"/>
      <c r="O525" s="25"/>
      <c r="Q525" s="25"/>
      <c r="S525" s="25"/>
    </row>
    <row r="526">
      <c r="B526" s="25"/>
      <c r="G526" s="25"/>
      <c r="K526" s="25"/>
      <c r="M526" s="25"/>
      <c r="O526" s="25"/>
      <c r="Q526" s="25"/>
      <c r="S526" s="25"/>
    </row>
    <row r="527">
      <c r="B527" s="25"/>
      <c r="G527" s="25"/>
      <c r="K527" s="25"/>
      <c r="M527" s="25"/>
      <c r="O527" s="25"/>
      <c r="Q527" s="25"/>
      <c r="S527" s="25"/>
    </row>
    <row r="528">
      <c r="B528" s="25"/>
      <c r="G528" s="25"/>
      <c r="K528" s="25"/>
      <c r="M528" s="25"/>
      <c r="O528" s="25"/>
      <c r="Q528" s="25"/>
      <c r="S528" s="25"/>
    </row>
    <row r="529">
      <c r="B529" s="25"/>
      <c r="G529" s="25"/>
      <c r="K529" s="25"/>
      <c r="M529" s="25"/>
      <c r="O529" s="25"/>
      <c r="Q529" s="25"/>
      <c r="S529" s="25"/>
    </row>
    <row r="530">
      <c r="B530" s="25"/>
      <c r="G530" s="25"/>
      <c r="K530" s="25"/>
      <c r="M530" s="25"/>
      <c r="O530" s="25"/>
      <c r="Q530" s="25"/>
      <c r="S530" s="25"/>
    </row>
    <row r="531">
      <c r="B531" s="25"/>
      <c r="G531" s="25"/>
      <c r="K531" s="25"/>
      <c r="M531" s="25"/>
      <c r="O531" s="25"/>
      <c r="Q531" s="25"/>
      <c r="S531" s="25"/>
    </row>
    <row r="532">
      <c r="B532" s="25"/>
      <c r="G532" s="25"/>
      <c r="K532" s="25"/>
      <c r="M532" s="25"/>
      <c r="O532" s="25"/>
      <c r="Q532" s="25"/>
      <c r="S532" s="25"/>
    </row>
    <row r="533">
      <c r="B533" s="25"/>
      <c r="G533" s="25"/>
      <c r="K533" s="25"/>
      <c r="M533" s="25"/>
      <c r="O533" s="25"/>
      <c r="Q533" s="25"/>
      <c r="S533" s="25"/>
    </row>
    <row r="534">
      <c r="B534" s="25"/>
      <c r="G534" s="25"/>
      <c r="K534" s="25"/>
      <c r="M534" s="25"/>
      <c r="O534" s="25"/>
      <c r="Q534" s="25"/>
      <c r="S534" s="25"/>
    </row>
    <row r="535">
      <c r="B535" s="25"/>
      <c r="G535" s="25"/>
      <c r="K535" s="25"/>
      <c r="M535" s="25"/>
      <c r="O535" s="25"/>
      <c r="Q535" s="25"/>
      <c r="S535" s="25"/>
    </row>
    <row r="536">
      <c r="B536" s="25"/>
      <c r="G536" s="25"/>
      <c r="K536" s="25"/>
      <c r="M536" s="25"/>
      <c r="O536" s="25"/>
      <c r="Q536" s="25"/>
      <c r="S536" s="25"/>
    </row>
    <row r="537">
      <c r="B537" s="25"/>
      <c r="G537" s="25"/>
      <c r="K537" s="25"/>
      <c r="M537" s="25"/>
      <c r="O537" s="25"/>
      <c r="Q537" s="25"/>
      <c r="S537" s="25"/>
    </row>
    <row r="538">
      <c r="B538" s="25"/>
      <c r="G538" s="25"/>
      <c r="K538" s="25"/>
      <c r="M538" s="25"/>
      <c r="O538" s="25"/>
      <c r="Q538" s="25"/>
      <c r="S538" s="25"/>
    </row>
    <row r="539">
      <c r="B539" s="25"/>
      <c r="G539" s="25"/>
      <c r="K539" s="25"/>
      <c r="M539" s="25"/>
      <c r="O539" s="25"/>
      <c r="Q539" s="25"/>
      <c r="S539" s="25"/>
    </row>
    <row r="540">
      <c r="B540" s="25"/>
      <c r="G540" s="25"/>
      <c r="K540" s="25"/>
      <c r="M540" s="25"/>
      <c r="O540" s="25"/>
      <c r="Q540" s="25"/>
      <c r="S540" s="25"/>
    </row>
    <row r="541">
      <c r="B541" s="25"/>
      <c r="G541" s="25"/>
      <c r="K541" s="25"/>
      <c r="M541" s="25"/>
      <c r="O541" s="25"/>
      <c r="Q541" s="25"/>
      <c r="S541" s="25"/>
    </row>
    <row r="542">
      <c r="B542" s="25"/>
      <c r="G542" s="25"/>
      <c r="K542" s="25"/>
      <c r="M542" s="25"/>
      <c r="O542" s="25"/>
      <c r="Q542" s="25"/>
      <c r="S542" s="25"/>
    </row>
    <row r="543">
      <c r="B543" s="25"/>
      <c r="G543" s="25"/>
      <c r="K543" s="25"/>
      <c r="M543" s="25"/>
      <c r="O543" s="25"/>
      <c r="Q543" s="25"/>
      <c r="S543" s="25"/>
    </row>
    <row r="544">
      <c r="B544" s="25"/>
      <c r="G544" s="25"/>
      <c r="K544" s="25"/>
      <c r="M544" s="25"/>
      <c r="O544" s="25"/>
      <c r="Q544" s="25"/>
      <c r="S544" s="25"/>
    </row>
    <row r="545">
      <c r="B545" s="25"/>
      <c r="G545" s="25"/>
      <c r="K545" s="25"/>
      <c r="M545" s="25"/>
      <c r="O545" s="25"/>
      <c r="Q545" s="25"/>
      <c r="S545" s="25"/>
    </row>
    <row r="546">
      <c r="B546" s="25"/>
      <c r="G546" s="25"/>
      <c r="K546" s="25"/>
      <c r="M546" s="25"/>
      <c r="O546" s="25"/>
      <c r="Q546" s="25"/>
      <c r="S546" s="25"/>
    </row>
    <row r="547">
      <c r="B547" s="25"/>
      <c r="G547" s="25"/>
      <c r="K547" s="25"/>
      <c r="M547" s="25"/>
      <c r="O547" s="25"/>
      <c r="Q547" s="25"/>
      <c r="S547" s="25"/>
    </row>
    <row r="548">
      <c r="B548" s="25"/>
      <c r="G548" s="25"/>
      <c r="K548" s="25"/>
      <c r="M548" s="25"/>
      <c r="O548" s="25"/>
      <c r="Q548" s="25"/>
      <c r="S548" s="25"/>
    </row>
    <row r="549">
      <c r="B549" s="25"/>
      <c r="G549" s="25"/>
      <c r="K549" s="25"/>
      <c r="M549" s="25"/>
      <c r="O549" s="25"/>
      <c r="Q549" s="25"/>
      <c r="S549" s="25"/>
    </row>
    <row r="550">
      <c r="B550" s="25"/>
      <c r="G550" s="25"/>
      <c r="K550" s="25"/>
      <c r="M550" s="25"/>
      <c r="O550" s="25"/>
      <c r="Q550" s="25"/>
      <c r="S550" s="25"/>
    </row>
    <row r="551">
      <c r="B551" s="25"/>
      <c r="G551" s="25"/>
      <c r="K551" s="25"/>
      <c r="M551" s="25"/>
      <c r="O551" s="25"/>
      <c r="Q551" s="25"/>
      <c r="S551" s="25"/>
    </row>
    <row r="552">
      <c r="B552" s="25"/>
      <c r="G552" s="25"/>
      <c r="K552" s="25"/>
      <c r="M552" s="25"/>
      <c r="O552" s="25"/>
      <c r="Q552" s="25"/>
      <c r="S552" s="25"/>
    </row>
    <row r="553">
      <c r="B553" s="25"/>
      <c r="G553" s="25"/>
      <c r="K553" s="25"/>
      <c r="M553" s="25"/>
      <c r="O553" s="25"/>
      <c r="Q553" s="25"/>
      <c r="S553" s="25"/>
    </row>
    <row r="554">
      <c r="B554" s="25"/>
      <c r="G554" s="25"/>
      <c r="K554" s="25"/>
      <c r="M554" s="25"/>
      <c r="O554" s="25"/>
      <c r="Q554" s="25"/>
      <c r="S554" s="25"/>
    </row>
    <row r="555">
      <c r="B555" s="25"/>
      <c r="G555" s="25"/>
      <c r="K555" s="25"/>
      <c r="M555" s="25"/>
      <c r="O555" s="25"/>
      <c r="Q555" s="25"/>
      <c r="S555" s="25"/>
    </row>
    <row r="556">
      <c r="B556" s="25"/>
      <c r="G556" s="25"/>
      <c r="K556" s="25"/>
      <c r="M556" s="25"/>
      <c r="O556" s="25"/>
      <c r="Q556" s="25"/>
      <c r="S556" s="25"/>
    </row>
    <row r="557">
      <c r="B557" s="25"/>
      <c r="G557" s="25"/>
      <c r="K557" s="25"/>
      <c r="M557" s="25"/>
      <c r="O557" s="25"/>
      <c r="Q557" s="25"/>
      <c r="S557" s="25"/>
    </row>
    <row r="558">
      <c r="B558" s="25"/>
      <c r="G558" s="25"/>
      <c r="K558" s="25"/>
      <c r="M558" s="25"/>
      <c r="O558" s="25"/>
      <c r="Q558" s="25"/>
      <c r="S558" s="25"/>
    </row>
    <row r="559">
      <c r="B559" s="25"/>
      <c r="G559" s="25"/>
      <c r="K559" s="25"/>
      <c r="M559" s="25"/>
      <c r="O559" s="25"/>
      <c r="Q559" s="25"/>
      <c r="S559" s="25"/>
    </row>
    <row r="560">
      <c r="B560" s="25"/>
      <c r="G560" s="25"/>
      <c r="K560" s="25"/>
      <c r="M560" s="25"/>
      <c r="O560" s="25"/>
      <c r="Q560" s="25"/>
      <c r="S560" s="25"/>
    </row>
    <row r="561">
      <c r="B561" s="25"/>
      <c r="G561" s="25"/>
      <c r="K561" s="25"/>
      <c r="M561" s="25"/>
      <c r="O561" s="25"/>
      <c r="Q561" s="25"/>
      <c r="S561" s="25"/>
    </row>
    <row r="562">
      <c r="B562" s="25"/>
      <c r="G562" s="25"/>
      <c r="K562" s="25"/>
      <c r="M562" s="25"/>
      <c r="O562" s="25"/>
      <c r="Q562" s="25"/>
      <c r="S562" s="25"/>
    </row>
    <row r="563">
      <c r="B563" s="25"/>
      <c r="G563" s="25"/>
      <c r="K563" s="25"/>
      <c r="M563" s="25"/>
      <c r="O563" s="25"/>
      <c r="Q563" s="25"/>
      <c r="S563" s="25"/>
    </row>
    <row r="564">
      <c r="B564" s="25"/>
      <c r="G564" s="25"/>
      <c r="K564" s="25"/>
      <c r="M564" s="25"/>
      <c r="O564" s="25"/>
      <c r="Q564" s="25"/>
      <c r="S564" s="25"/>
    </row>
    <row r="565">
      <c r="B565" s="25"/>
      <c r="G565" s="25"/>
      <c r="K565" s="25"/>
      <c r="M565" s="25"/>
      <c r="O565" s="25"/>
      <c r="Q565" s="25"/>
      <c r="S565" s="25"/>
    </row>
    <row r="566">
      <c r="B566" s="25"/>
      <c r="G566" s="25"/>
      <c r="K566" s="25"/>
      <c r="M566" s="25"/>
      <c r="O566" s="25"/>
      <c r="Q566" s="25"/>
      <c r="S566" s="25"/>
    </row>
    <row r="567">
      <c r="B567" s="25"/>
      <c r="G567" s="25"/>
      <c r="K567" s="25"/>
      <c r="M567" s="25"/>
      <c r="O567" s="25"/>
      <c r="Q567" s="25"/>
      <c r="S567" s="25"/>
    </row>
    <row r="568">
      <c r="B568" s="25"/>
      <c r="G568" s="25"/>
      <c r="K568" s="25"/>
      <c r="M568" s="25"/>
      <c r="O568" s="25"/>
      <c r="Q568" s="25"/>
      <c r="S568" s="25"/>
    </row>
    <row r="569">
      <c r="B569" s="25"/>
      <c r="G569" s="25"/>
      <c r="K569" s="25"/>
      <c r="M569" s="25"/>
      <c r="O569" s="25"/>
      <c r="Q569" s="25"/>
      <c r="S569" s="25"/>
    </row>
    <row r="570">
      <c r="B570" s="25"/>
      <c r="G570" s="25"/>
      <c r="K570" s="25"/>
      <c r="M570" s="25"/>
      <c r="O570" s="25"/>
      <c r="Q570" s="25"/>
      <c r="S570" s="25"/>
    </row>
    <row r="571">
      <c r="B571" s="25"/>
      <c r="G571" s="25"/>
      <c r="K571" s="25"/>
      <c r="M571" s="25"/>
      <c r="O571" s="25"/>
      <c r="Q571" s="25"/>
      <c r="S571" s="25"/>
    </row>
    <row r="572">
      <c r="B572" s="25"/>
      <c r="G572" s="25"/>
      <c r="K572" s="25"/>
      <c r="M572" s="25"/>
      <c r="O572" s="25"/>
      <c r="Q572" s="25"/>
      <c r="S572" s="25"/>
    </row>
    <row r="573">
      <c r="B573" s="25"/>
      <c r="G573" s="25"/>
      <c r="K573" s="25"/>
      <c r="M573" s="25"/>
      <c r="O573" s="25"/>
      <c r="Q573" s="25"/>
      <c r="S573" s="25"/>
    </row>
    <row r="574">
      <c r="B574" s="25"/>
      <c r="G574" s="25"/>
      <c r="K574" s="25"/>
      <c r="M574" s="25"/>
      <c r="O574" s="25"/>
      <c r="Q574" s="25"/>
      <c r="S574" s="25"/>
    </row>
    <row r="575">
      <c r="B575" s="25"/>
      <c r="G575" s="25"/>
      <c r="K575" s="25"/>
      <c r="M575" s="25"/>
      <c r="O575" s="25"/>
      <c r="Q575" s="25"/>
      <c r="S575" s="25"/>
    </row>
    <row r="576">
      <c r="B576" s="25"/>
      <c r="G576" s="25"/>
      <c r="K576" s="25"/>
      <c r="M576" s="25"/>
      <c r="O576" s="25"/>
      <c r="Q576" s="25"/>
      <c r="S576" s="25"/>
    </row>
    <row r="577">
      <c r="B577" s="25"/>
      <c r="G577" s="25"/>
      <c r="K577" s="25"/>
      <c r="M577" s="25"/>
      <c r="O577" s="25"/>
      <c r="Q577" s="25"/>
      <c r="S577" s="25"/>
    </row>
    <row r="578">
      <c r="B578" s="25"/>
      <c r="G578" s="25"/>
      <c r="K578" s="25"/>
      <c r="M578" s="25"/>
      <c r="O578" s="25"/>
      <c r="Q578" s="25"/>
      <c r="S578" s="25"/>
    </row>
    <row r="579">
      <c r="B579" s="25"/>
      <c r="G579" s="25"/>
      <c r="K579" s="25"/>
      <c r="M579" s="25"/>
      <c r="O579" s="25"/>
      <c r="Q579" s="25"/>
      <c r="S579" s="25"/>
    </row>
    <row r="580">
      <c r="B580" s="25"/>
      <c r="G580" s="25"/>
      <c r="K580" s="25"/>
      <c r="M580" s="25"/>
      <c r="O580" s="25"/>
      <c r="Q580" s="25"/>
      <c r="S580" s="25"/>
    </row>
    <row r="581">
      <c r="B581" s="25"/>
      <c r="G581" s="25"/>
      <c r="K581" s="25"/>
      <c r="M581" s="25"/>
      <c r="O581" s="25"/>
      <c r="Q581" s="25"/>
      <c r="S581" s="25"/>
    </row>
    <row r="582">
      <c r="B582" s="25"/>
      <c r="G582" s="25"/>
      <c r="K582" s="25"/>
      <c r="M582" s="25"/>
      <c r="O582" s="25"/>
      <c r="Q582" s="25"/>
      <c r="S582" s="25"/>
    </row>
    <row r="583">
      <c r="B583" s="25"/>
      <c r="G583" s="25"/>
      <c r="K583" s="25"/>
      <c r="M583" s="25"/>
      <c r="O583" s="25"/>
      <c r="Q583" s="25"/>
      <c r="S583" s="25"/>
    </row>
    <row r="584">
      <c r="B584" s="25"/>
      <c r="G584" s="25"/>
      <c r="K584" s="25"/>
      <c r="M584" s="25"/>
      <c r="O584" s="25"/>
      <c r="Q584" s="25"/>
      <c r="S584" s="25"/>
    </row>
    <row r="585">
      <c r="B585" s="25"/>
      <c r="G585" s="25"/>
      <c r="K585" s="25"/>
      <c r="M585" s="25"/>
      <c r="O585" s="25"/>
      <c r="Q585" s="25"/>
      <c r="S585" s="25"/>
    </row>
    <row r="586">
      <c r="B586" s="25"/>
      <c r="G586" s="25"/>
      <c r="K586" s="25"/>
      <c r="M586" s="25"/>
      <c r="O586" s="25"/>
      <c r="Q586" s="25"/>
      <c r="S586" s="25"/>
    </row>
    <row r="587">
      <c r="B587" s="25"/>
      <c r="G587" s="25"/>
      <c r="K587" s="25"/>
      <c r="M587" s="25"/>
      <c r="O587" s="25"/>
      <c r="Q587" s="25"/>
      <c r="S587" s="25"/>
    </row>
    <row r="588">
      <c r="B588" s="25"/>
      <c r="G588" s="25"/>
      <c r="K588" s="25"/>
      <c r="M588" s="25"/>
      <c r="O588" s="25"/>
      <c r="Q588" s="25"/>
      <c r="S588" s="25"/>
    </row>
    <row r="589">
      <c r="B589" s="25"/>
      <c r="G589" s="25"/>
      <c r="K589" s="25"/>
      <c r="M589" s="25"/>
      <c r="O589" s="25"/>
      <c r="Q589" s="25"/>
      <c r="S589" s="25"/>
    </row>
    <row r="590">
      <c r="B590" s="25"/>
      <c r="G590" s="25"/>
      <c r="K590" s="25"/>
      <c r="M590" s="25"/>
      <c r="O590" s="25"/>
      <c r="Q590" s="25"/>
      <c r="S590" s="25"/>
    </row>
    <row r="591">
      <c r="B591" s="25"/>
      <c r="G591" s="25"/>
      <c r="K591" s="25"/>
      <c r="M591" s="25"/>
      <c r="O591" s="25"/>
      <c r="Q591" s="25"/>
      <c r="S591" s="25"/>
    </row>
    <row r="592">
      <c r="B592" s="25"/>
      <c r="G592" s="25"/>
      <c r="K592" s="25"/>
      <c r="M592" s="25"/>
      <c r="O592" s="25"/>
      <c r="Q592" s="25"/>
      <c r="S592" s="25"/>
    </row>
    <row r="593">
      <c r="B593" s="25"/>
      <c r="G593" s="25"/>
      <c r="K593" s="25"/>
      <c r="M593" s="25"/>
      <c r="O593" s="25"/>
      <c r="Q593" s="25"/>
      <c r="S593" s="25"/>
    </row>
    <row r="594">
      <c r="B594" s="25"/>
      <c r="G594" s="25"/>
      <c r="K594" s="25"/>
      <c r="M594" s="25"/>
      <c r="O594" s="25"/>
      <c r="Q594" s="25"/>
      <c r="S594" s="25"/>
    </row>
    <row r="595">
      <c r="B595" s="25"/>
      <c r="G595" s="25"/>
      <c r="K595" s="25"/>
      <c r="M595" s="25"/>
      <c r="O595" s="25"/>
      <c r="Q595" s="25"/>
      <c r="S595" s="25"/>
    </row>
    <row r="596">
      <c r="B596" s="25"/>
      <c r="G596" s="25"/>
      <c r="K596" s="25"/>
      <c r="M596" s="25"/>
      <c r="O596" s="25"/>
      <c r="Q596" s="25"/>
      <c r="S596" s="25"/>
    </row>
    <row r="597">
      <c r="B597" s="25"/>
      <c r="G597" s="25"/>
      <c r="K597" s="25"/>
      <c r="M597" s="25"/>
      <c r="O597" s="25"/>
      <c r="Q597" s="25"/>
      <c r="S597" s="25"/>
    </row>
    <row r="598">
      <c r="B598" s="25"/>
      <c r="G598" s="25"/>
      <c r="K598" s="25"/>
      <c r="M598" s="25"/>
      <c r="O598" s="25"/>
      <c r="Q598" s="25"/>
      <c r="S598" s="25"/>
    </row>
    <row r="599">
      <c r="B599" s="25"/>
      <c r="G599" s="25"/>
      <c r="K599" s="25"/>
      <c r="M599" s="25"/>
      <c r="O599" s="25"/>
      <c r="Q599" s="25"/>
      <c r="S599" s="25"/>
    </row>
    <row r="600">
      <c r="B600" s="25"/>
      <c r="G600" s="25"/>
      <c r="K600" s="25"/>
      <c r="M600" s="25"/>
      <c r="O600" s="25"/>
      <c r="Q600" s="25"/>
      <c r="S600" s="25"/>
    </row>
    <row r="601">
      <c r="B601" s="25"/>
      <c r="G601" s="25"/>
      <c r="K601" s="25"/>
      <c r="M601" s="25"/>
      <c r="O601" s="25"/>
      <c r="Q601" s="25"/>
      <c r="S601" s="25"/>
    </row>
    <row r="602">
      <c r="B602" s="25"/>
      <c r="G602" s="25"/>
      <c r="K602" s="25"/>
      <c r="M602" s="25"/>
      <c r="O602" s="25"/>
      <c r="Q602" s="25"/>
      <c r="S602" s="25"/>
    </row>
    <row r="603">
      <c r="B603" s="25"/>
      <c r="G603" s="25"/>
      <c r="K603" s="25"/>
      <c r="M603" s="25"/>
      <c r="O603" s="25"/>
      <c r="Q603" s="25"/>
      <c r="S603" s="25"/>
    </row>
    <row r="604">
      <c r="B604" s="25"/>
      <c r="G604" s="25"/>
      <c r="K604" s="25"/>
      <c r="M604" s="25"/>
      <c r="O604" s="25"/>
      <c r="Q604" s="25"/>
      <c r="S604" s="25"/>
    </row>
    <row r="605">
      <c r="B605" s="25"/>
      <c r="G605" s="25"/>
      <c r="K605" s="25"/>
      <c r="M605" s="25"/>
      <c r="O605" s="25"/>
      <c r="Q605" s="25"/>
      <c r="S605" s="25"/>
    </row>
    <row r="606">
      <c r="B606" s="25"/>
      <c r="G606" s="25"/>
      <c r="K606" s="25"/>
      <c r="M606" s="25"/>
      <c r="O606" s="25"/>
      <c r="Q606" s="25"/>
      <c r="S606" s="25"/>
    </row>
    <row r="607">
      <c r="B607" s="25"/>
      <c r="G607" s="25"/>
      <c r="K607" s="25"/>
      <c r="M607" s="25"/>
      <c r="O607" s="25"/>
      <c r="Q607" s="25"/>
      <c r="S607" s="25"/>
    </row>
    <row r="608">
      <c r="B608" s="25"/>
      <c r="G608" s="25"/>
      <c r="K608" s="25"/>
      <c r="M608" s="25"/>
      <c r="O608" s="25"/>
      <c r="Q608" s="25"/>
      <c r="S608" s="25"/>
    </row>
    <row r="609">
      <c r="B609" s="25"/>
      <c r="G609" s="25"/>
      <c r="K609" s="25"/>
      <c r="M609" s="25"/>
      <c r="O609" s="25"/>
      <c r="Q609" s="25"/>
      <c r="S609" s="25"/>
    </row>
    <row r="610">
      <c r="B610" s="25"/>
      <c r="G610" s="25"/>
      <c r="K610" s="25"/>
      <c r="M610" s="25"/>
      <c r="O610" s="25"/>
      <c r="Q610" s="25"/>
      <c r="S610" s="25"/>
    </row>
    <row r="611">
      <c r="B611" s="25"/>
      <c r="G611" s="25"/>
      <c r="K611" s="25"/>
      <c r="M611" s="25"/>
      <c r="O611" s="25"/>
      <c r="Q611" s="25"/>
      <c r="S611" s="25"/>
    </row>
    <row r="612">
      <c r="B612" s="25"/>
      <c r="G612" s="25"/>
      <c r="K612" s="25"/>
      <c r="M612" s="25"/>
      <c r="O612" s="25"/>
      <c r="Q612" s="25"/>
      <c r="S612" s="25"/>
    </row>
    <row r="613">
      <c r="B613" s="25"/>
      <c r="G613" s="25"/>
      <c r="K613" s="25"/>
      <c r="M613" s="25"/>
      <c r="O613" s="25"/>
      <c r="Q613" s="25"/>
      <c r="S613" s="25"/>
    </row>
    <row r="614">
      <c r="B614" s="25"/>
      <c r="G614" s="25"/>
      <c r="K614" s="25"/>
      <c r="M614" s="25"/>
      <c r="O614" s="25"/>
      <c r="Q614" s="25"/>
      <c r="S614" s="25"/>
    </row>
    <row r="615">
      <c r="B615" s="25"/>
      <c r="G615" s="25"/>
      <c r="K615" s="25"/>
      <c r="M615" s="25"/>
      <c r="O615" s="25"/>
      <c r="Q615" s="25"/>
      <c r="S615" s="25"/>
    </row>
    <row r="616">
      <c r="B616" s="25"/>
      <c r="G616" s="25"/>
      <c r="K616" s="25"/>
      <c r="M616" s="25"/>
      <c r="O616" s="25"/>
      <c r="Q616" s="25"/>
      <c r="S616" s="25"/>
    </row>
    <row r="617">
      <c r="B617" s="25"/>
      <c r="G617" s="25"/>
      <c r="K617" s="25"/>
      <c r="M617" s="25"/>
      <c r="O617" s="25"/>
      <c r="Q617" s="25"/>
      <c r="S617" s="25"/>
    </row>
    <row r="618">
      <c r="B618" s="25"/>
      <c r="G618" s="25"/>
      <c r="K618" s="25"/>
      <c r="M618" s="25"/>
      <c r="O618" s="25"/>
      <c r="Q618" s="25"/>
      <c r="S618" s="25"/>
    </row>
    <row r="619">
      <c r="B619" s="25"/>
      <c r="G619" s="25"/>
      <c r="K619" s="25"/>
      <c r="M619" s="25"/>
      <c r="O619" s="25"/>
      <c r="Q619" s="25"/>
      <c r="S619" s="25"/>
    </row>
    <row r="620">
      <c r="B620" s="25"/>
      <c r="G620" s="25"/>
      <c r="K620" s="25"/>
      <c r="M620" s="25"/>
      <c r="O620" s="25"/>
      <c r="Q620" s="25"/>
      <c r="S620" s="25"/>
    </row>
    <row r="621">
      <c r="B621" s="25"/>
      <c r="G621" s="25"/>
      <c r="K621" s="25"/>
      <c r="M621" s="25"/>
      <c r="O621" s="25"/>
      <c r="Q621" s="25"/>
      <c r="S621" s="25"/>
    </row>
    <row r="622">
      <c r="B622" s="25"/>
      <c r="G622" s="25"/>
      <c r="K622" s="25"/>
      <c r="M622" s="25"/>
      <c r="O622" s="25"/>
      <c r="Q622" s="25"/>
      <c r="S622" s="25"/>
    </row>
    <row r="623">
      <c r="B623" s="25"/>
      <c r="G623" s="25"/>
      <c r="K623" s="25"/>
      <c r="M623" s="25"/>
      <c r="O623" s="25"/>
      <c r="Q623" s="25"/>
      <c r="S623" s="25"/>
    </row>
    <row r="624">
      <c r="B624" s="25"/>
      <c r="G624" s="25"/>
      <c r="K624" s="25"/>
      <c r="M624" s="25"/>
      <c r="O624" s="25"/>
      <c r="Q624" s="25"/>
      <c r="S624" s="25"/>
    </row>
    <row r="625">
      <c r="B625" s="25"/>
      <c r="G625" s="25"/>
      <c r="K625" s="25"/>
      <c r="M625" s="25"/>
      <c r="O625" s="25"/>
      <c r="Q625" s="25"/>
      <c r="S625" s="25"/>
    </row>
    <row r="626">
      <c r="B626" s="25"/>
      <c r="G626" s="25"/>
      <c r="K626" s="25"/>
      <c r="M626" s="25"/>
      <c r="O626" s="25"/>
      <c r="Q626" s="25"/>
      <c r="S626" s="25"/>
    </row>
    <row r="627">
      <c r="B627" s="25"/>
      <c r="G627" s="25"/>
      <c r="K627" s="25"/>
      <c r="M627" s="25"/>
      <c r="O627" s="25"/>
      <c r="Q627" s="25"/>
      <c r="S627" s="25"/>
    </row>
    <row r="628">
      <c r="B628" s="25"/>
      <c r="G628" s="25"/>
      <c r="K628" s="25"/>
      <c r="M628" s="25"/>
      <c r="O628" s="25"/>
      <c r="Q628" s="25"/>
      <c r="S628" s="25"/>
    </row>
    <row r="629">
      <c r="B629" s="25"/>
      <c r="G629" s="25"/>
      <c r="K629" s="25"/>
      <c r="M629" s="25"/>
      <c r="O629" s="25"/>
      <c r="Q629" s="25"/>
      <c r="S629" s="25"/>
    </row>
    <row r="630">
      <c r="B630" s="25"/>
      <c r="G630" s="25"/>
      <c r="K630" s="25"/>
      <c r="M630" s="25"/>
      <c r="O630" s="25"/>
      <c r="Q630" s="25"/>
      <c r="S630" s="25"/>
    </row>
    <row r="631">
      <c r="B631" s="25"/>
      <c r="G631" s="25"/>
      <c r="K631" s="25"/>
      <c r="M631" s="25"/>
      <c r="O631" s="25"/>
      <c r="Q631" s="25"/>
      <c r="S631" s="25"/>
    </row>
    <row r="632">
      <c r="B632" s="25"/>
      <c r="G632" s="25"/>
      <c r="K632" s="25"/>
      <c r="M632" s="25"/>
      <c r="O632" s="25"/>
      <c r="Q632" s="25"/>
      <c r="S632" s="25"/>
    </row>
    <row r="633">
      <c r="B633" s="25"/>
      <c r="G633" s="25"/>
      <c r="K633" s="25"/>
      <c r="M633" s="25"/>
      <c r="O633" s="25"/>
      <c r="Q633" s="25"/>
      <c r="S633" s="25"/>
    </row>
    <row r="634">
      <c r="B634" s="25"/>
      <c r="G634" s="25"/>
      <c r="K634" s="25"/>
      <c r="M634" s="25"/>
      <c r="O634" s="25"/>
      <c r="Q634" s="25"/>
      <c r="S634" s="25"/>
    </row>
    <row r="635">
      <c r="B635" s="25"/>
      <c r="G635" s="25"/>
      <c r="K635" s="25"/>
      <c r="M635" s="25"/>
      <c r="O635" s="25"/>
      <c r="Q635" s="25"/>
      <c r="S635" s="25"/>
    </row>
    <row r="636">
      <c r="B636" s="25"/>
      <c r="G636" s="25"/>
      <c r="K636" s="25"/>
      <c r="M636" s="25"/>
      <c r="O636" s="25"/>
      <c r="Q636" s="25"/>
      <c r="S636" s="25"/>
    </row>
    <row r="637">
      <c r="B637" s="25"/>
      <c r="G637" s="25"/>
      <c r="K637" s="25"/>
      <c r="M637" s="25"/>
      <c r="O637" s="25"/>
      <c r="Q637" s="25"/>
      <c r="S637" s="25"/>
    </row>
    <row r="638">
      <c r="B638" s="25"/>
      <c r="G638" s="25"/>
      <c r="K638" s="25"/>
      <c r="M638" s="25"/>
      <c r="O638" s="25"/>
      <c r="Q638" s="25"/>
      <c r="S638" s="25"/>
    </row>
    <row r="639">
      <c r="B639" s="25"/>
      <c r="G639" s="25"/>
      <c r="K639" s="25"/>
      <c r="M639" s="25"/>
      <c r="O639" s="25"/>
      <c r="Q639" s="25"/>
      <c r="S639" s="25"/>
    </row>
    <row r="640">
      <c r="B640" s="25"/>
      <c r="G640" s="25"/>
      <c r="K640" s="25"/>
      <c r="M640" s="25"/>
      <c r="O640" s="25"/>
      <c r="Q640" s="25"/>
      <c r="S640" s="25"/>
    </row>
    <row r="641">
      <c r="B641" s="25"/>
      <c r="G641" s="25"/>
      <c r="K641" s="25"/>
      <c r="M641" s="25"/>
      <c r="O641" s="25"/>
      <c r="Q641" s="25"/>
      <c r="S641" s="25"/>
    </row>
    <row r="642">
      <c r="B642" s="25"/>
      <c r="G642" s="25"/>
      <c r="K642" s="25"/>
      <c r="M642" s="25"/>
      <c r="O642" s="25"/>
      <c r="Q642" s="25"/>
      <c r="S642" s="25"/>
    </row>
    <row r="643">
      <c r="B643" s="25"/>
      <c r="G643" s="25"/>
      <c r="K643" s="25"/>
      <c r="M643" s="25"/>
      <c r="O643" s="25"/>
      <c r="Q643" s="25"/>
      <c r="S643" s="25"/>
    </row>
    <row r="644">
      <c r="B644" s="25"/>
      <c r="G644" s="25"/>
      <c r="K644" s="25"/>
      <c r="M644" s="25"/>
      <c r="O644" s="25"/>
      <c r="Q644" s="25"/>
      <c r="S644" s="25"/>
    </row>
    <row r="645">
      <c r="B645" s="25"/>
      <c r="G645" s="25"/>
      <c r="K645" s="25"/>
      <c r="M645" s="25"/>
      <c r="O645" s="25"/>
      <c r="Q645" s="25"/>
      <c r="S645" s="25"/>
    </row>
    <row r="646">
      <c r="B646" s="25"/>
      <c r="G646" s="25"/>
      <c r="K646" s="25"/>
      <c r="M646" s="25"/>
      <c r="O646" s="25"/>
      <c r="Q646" s="25"/>
      <c r="S646" s="25"/>
    </row>
    <row r="647">
      <c r="B647" s="25"/>
      <c r="G647" s="25"/>
      <c r="K647" s="25"/>
      <c r="M647" s="25"/>
      <c r="O647" s="25"/>
      <c r="Q647" s="25"/>
      <c r="S647" s="25"/>
    </row>
    <row r="648">
      <c r="B648" s="25"/>
      <c r="G648" s="25"/>
      <c r="K648" s="25"/>
      <c r="M648" s="25"/>
      <c r="O648" s="25"/>
      <c r="Q648" s="25"/>
      <c r="S648" s="25"/>
    </row>
    <row r="649">
      <c r="B649" s="25"/>
      <c r="G649" s="25"/>
      <c r="K649" s="25"/>
      <c r="M649" s="25"/>
      <c r="O649" s="25"/>
      <c r="Q649" s="25"/>
      <c r="S649" s="25"/>
    </row>
    <row r="650">
      <c r="B650" s="25"/>
      <c r="G650" s="25"/>
      <c r="K650" s="25"/>
      <c r="M650" s="25"/>
      <c r="O650" s="25"/>
      <c r="Q650" s="25"/>
      <c r="S650" s="25"/>
    </row>
    <row r="651">
      <c r="B651" s="25"/>
      <c r="G651" s="25"/>
      <c r="K651" s="25"/>
      <c r="M651" s="25"/>
      <c r="O651" s="25"/>
      <c r="Q651" s="25"/>
      <c r="S651" s="25"/>
    </row>
    <row r="652">
      <c r="B652" s="25"/>
      <c r="G652" s="25"/>
      <c r="K652" s="25"/>
      <c r="M652" s="25"/>
      <c r="O652" s="25"/>
      <c r="Q652" s="25"/>
      <c r="S652" s="25"/>
    </row>
    <row r="653">
      <c r="B653" s="25"/>
      <c r="G653" s="25"/>
      <c r="K653" s="25"/>
      <c r="M653" s="25"/>
      <c r="O653" s="25"/>
      <c r="Q653" s="25"/>
      <c r="S653" s="25"/>
    </row>
    <row r="654">
      <c r="B654" s="25"/>
      <c r="G654" s="25"/>
      <c r="K654" s="25"/>
      <c r="M654" s="25"/>
      <c r="O654" s="25"/>
      <c r="Q654" s="25"/>
      <c r="S654" s="25"/>
    </row>
    <row r="655">
      <c r="B655" s="25"/>
      <c r="G655" s="25"/>
      <c r="K655" s="25"/>
      <c r="M655" s="25"/>
      <c r="O655" s="25"/>
      <c r="Q655" s="25"/>
      <c r="S655" s="25"/>
    </row>
    <row r="656">
      <c r="B656" s="25"/>
      <c r="G656" s="25"/>
      <c r="K656" s="25"/>
      <c r="M656" s="25"/>
      <c r="O656" s="25"/>
      <c r="Q656" s="25"/>
      <c r="S656" s="25"/>
    </row>
    <row r="657">
      <c r="B657" s="25"/>
      <c r="G657" s="25"/>
      <c r="K657" s="25"/>
      <c r="M657" s="25"/>
      <c r="O657" s="25"/>
      <c r="Q657" s="25"/>
      <c r="S657" s="25"/>
    </row>
    <row r="658">
      <c r="B658" s="25"/>
      <c r="G658" s="25"/>
      <c r="K658" s="25"/>
      <c r="M658" s="25"/>
      <c r="O658" s="25"/>
      <c r="Q658" s="25"/>
      <c r="S658" s="25"/>
    </row>
    <row r="659">
      <c r="B659" s="25"/>
      <c r="G659" s="25"/>
      <c r="K659" s="25"/>
      <c r="M659" s="25"/>
      <c r="O659" s="25"/>
      <c r="Q659" s="25"/>
      <c r="S659" s="25"/>
    </row>
    <row r="660">
      <c r="B660" s="25"/>
      <c r="G660" s="25"/>
      <c r="K660" s="25"/>
      <c r="M660" s="25"/>
      <c r="O660" s="25"/>
      <c r="Q660" s="25"/>
      <c r="S660" s="25"/>
    </row>
    <row r="661">
      <c r="B661" s="25"/>
      <c r="G661" s="25"/>
      <c r="K661" s="25"/>
      <c r="M661" s="25"/>
      <c r="O661" s="25"/>
      <c r="Q661" s="25"/>
      <c r="S661" s="25"/>
    </row>
    <row r="662">
      <c r="B662" s="25"/>
      <c r="G662" s="25"/>
      <c r="K662" s="25"/>
      <c r="M662" s="25"/>
      <c r="O662" s="25"/>
      <c r="Q662" s="25"/>
      <c r="S662" s="25"/>
    </row>
    <row r="663">
      <c r="B663" s="25"/>
      <c r="G663" s="25"/>
      <c r="K663" s="25"/>
      <c r="M663" s="25"/>
      <c r="O663" s="25"/>
      <c r="Q663" s="25"/>
      <c r="S663" s="25"/>
    </row>
    <row r="664">
      <c r="B664" s="25"/>
      <c r="G664" s="25"/>
      <c r="K664" s="25"/>
      <c r="M664" s="25"/>
      <c r="O664" s="25"/>
      <c r="Q664" s="25"/>
      <c r="S664" s="25"/>
    </row>
    <row r="665">
      <c r="B665" s="25"/>
      <c r="G665" s="25"/>
      <c r="K665" s="25"/>
      <c r="M665" s="25"/>
      <c r="O665" s="25"/>
      <c r="Q665" s="25"/>
      <c r="S665" s="25"/>
    </row>
    <row r="666">
      <c r="B666" s="25"/>
      <c r="G666" s="25"/>
      <c r="K666" s="25"/>
      <c r="M666" s="25"/>
      <c r="O666" s="25"/>
      <c r="Q666" s="25"/>
      <c r="S666" s="25"/>
    </row>
    <row r="667">
      <c r="B667" s="25"/>
      <c r="G667" s="25"/>
      <c r="K667" s="25"/>
      <c r="M667" s="25"/>
      <c r="O667" s="25"/>
      <c r="Q667" s="25"/>
      <c r="S667" s="25"/>
    </row>
    <row r="668">
      <c r="B668" s="25"/>
      <c r="G668" s="25"/>
      <c r="K668" s="25"/>
      <c r="M668" s="25"/>
      <c r="O668" s="25"/>
      <c r="Q668" s="25"/>
      <c r="S668" s="25"/>
    </row>
    <row r="669">
      <c r="B669" s="25"/>
      <c r="G669" s="25"/>
      <c r="K669" s="25"/>
      <c r="M669" s="25"/>
      <c r="O669" s="25"/>
      <c r="Q669" s="25"/>
      <c r="S669" s="25"/>
    </row>
    <row r="670">
      <c r="B670" s="25"/>
      <c r="G670" s="25"/>
      <c r="K670" s="25"/>
      <c r="M670" s="25"/>
      <c r="O670" s="25"/>
      <c r="Q670" s="25"/>
      <c r="S670" s="25"/>
    </row>
    <row r="671">
      <c r="B671" s="25"/>
      <c r="G671" s="25"/>
      <c r="K671" s="25"/>
      <c r="M671" s="25"/>
      <c r="O671" s="25"/>
      <c r="Q671" s="25"/>
      <c r="S671" s="25"/>
    </row>
    <row r="672">
      <c r="B672" s="25"/>
      <c r="G672" s="25"/>
      <c r="K672" s="25"/>
      <c r="M672" s="25"/>
      <c r="O672" s="25"/>
      <c r="Q672" s="25"/>
      <c r="S672" s="25"/>
    </row>
    <row r="673">
      <c r="B673" s="25"/>
      <c r="G673" s="25"/>
      <c r="K673" s="25"/>
      <c r="M673" s="25"/>
      <c r="O673" s="25"/>
      <c r="Q673" s="25"/>
      <c r="S673" s="25"/>
    </row>
    <row r="674">
      <c r="B674" s="25"/>
      <c r="G674" s="25"/>
      <c r="K674" s="25"/>
      <c r="M674" s="25"/>
      <c r="O674" s="25"/>
      <c r="Q674" s="25"/>
      <c r="S674" s="25"/>
    </row>
    <row r="675">
      <c r="B675" s="25"/>
      <c r="G675" s="25"/>
      <c r="K675" s="25"/>
      <c r="M675" s="25"/>
      <c r="O675" s="25"/>
      <c r="Q675" s="25"/>
      <c r="S675" s="25"/>
    </row>
    <row r="676">
      <c r="B676" s="25"/>
      <c r="G676" s="25"/>
      <c r="K676" s="25"/>
      <c r="M676" s="25"/>
      <c r="O676" s="25"/>
      <c r="Q676" s="25"/>
      <c r="S676" s="25"/>
    </row>
    <row r="677">
      <c r="B677" s="25"/>
      <c r="G677" s="25"/>
      <c r="K677" s="25"/>
      <c r="M677" s="25"/>
      <c r="O677" s="25"/>
      <c r="Q677" s="25"/>
      <c r="S677" s="25"/>
    </row>
    <row r="678">
      <c r="B678" s="25"/>
      <c r="G678" s="25"/>
      <c r="K678" s="25"/>
      <c r="M678" s="25"/>
      <c r="O678" s="25"/>
      <c r="Q678" s="25"/>
      <c r="S678" s="25"/>
    </row>
    <row r="679">
      <c r="B679" s="25"/>
      <c r="G679" s="25"/>
      <c r="K679" s="25"/>
      <c r="M679" s="25"/>
      <c r="O679" s="25"/>
      <c r="Q679" s="25"/>
      <c r="S679" s="25"/>
    </row>
    <row r="680">
      <c r="B680" s="25"/>
      <c r="G680" s="25"/>
      <c r="K680" s="25"/>
      <c r="M680" s="25"/>
      <c r="O680" s="25"/>
      <c r="Q680" s="25"/>
      <c r="S680" s="25"/>
    </row>
    <row r="681">
      <c r="B681" s="25"/>
      <c r="G681" s="25"/>
      <c r="K681" s="25"/>
      <c r="M681" s="25"/>
      <c r="O681" s="25"/>
      <c r="Q681" s="25"/>
      <c r="S681" s="25"/>
    </row>
    <row r="682">
      <c r="B682" s="25"/>
      <c r="G682" s="25"/>
      <c r="K682" s="25"/>
      <c r="M682" s="25"/>
      <c r="O682" s="25"/>
      <c r="Q682" s="25"/>
      <c r="S682" s="25"/>
    </row>
    <row r="683">
      <c r="B683" s="25"/>
      <c r="G683" s="25"/>
      <c r="K683" s="25"/>
      <c r="M683" s="25"/>
      <c r="O683" s="25"/>
      <c r="Q683" s="25"/>
      <c r="S683" s="25"/>
    </row>
    <row r="684">
      <c r="B684" s="25"/>
      <c r="G684" s="25"/>
      <c r="K684" s="25"/>
      <c r="M684" s="25"/>
      <c r="O684" s="25"/>
      <c r="Q684" s="25"/>
      <c r="S684" s="25"/>
    </row>
    <row r="685">
      <c r="B685" s="25"/>
      <c r="G685" s="25"/>
      <c r="K685" s="25"/>
      <c r="M685" s="25"/>
      <c r="O685" s="25"/>
      <c r="Q685" s="25"/>
      <c r="S685" s="25"/>
    </row>
    <row r="686">
      <c r="B686" s="25"/>
      <c r="G686" s="25"/>
      <c r="K686" s="25"/>
      <c r="M686" s="25"/>
      <c r="O686" s="25"/>
      <c r="Q686" s="25"/>
      <c r="S686" s="25"/>
    </row>
    <row r="687">
      <c r="B687" s="25"/>
      <c r="G687" s="25"/>
      <c r="K687" s="25"/>
      <c r="M687" s="25"/>
      <c r="O687" s="25"/>
      <c r="Q687" s="25"/>
      <c r="S687" s="25"/>
    </row>
    <row r="688">
      <c r="B688" s="25"/>
      <c r="G688" s="25"/>
      <c r="K688" s="25"/>
      <c r="M688" s="25"/>
      <c r="O688" s="25"/>
      <c r="Q688" s="25"/>
      <c r="S688" s="25"/>
    </row>
    <row r="689">
      <c r="B689" s="25"/>
      <c r="G689" s="25"/>
      <c r="K689" s="25"/>
      <c r="M689" s="25"/>
      <c r="O689" s="25"/>
      <c r="Q689" s="25"/>
      <c r="S689" s="25"/>
    </row>
    <row r="690">
      <c r="B690" s="25"/>
      <c r="G690" s="25"/>
      <c r="K690" s="25"/>
      <c r="M690" s="25"/>
      <c r="O690" s="25"/>
      <c r="Q690" s="25"/>
      <c r="S690" s="25"/>
    </row>
    <row r="691">
      <c r="B691" s="25"/>
      <c r="G691" s="25"/>
      <c r="K691" s="25"/>
      <c r="M691" s="25"/>
      <c r="O691" s="25"/>
      <c r="Q691" s="25"/>
      <c r="S691" s="25"/>
    </row>
    <row r="692">
      <c r="B692" s="25"/>
      <c r="G692" s="25"/>
      <c r="K692" s="25"/>
      <c r="M692" s="25"/>
      <c r="O692" s="25"/>
      <c r="Q692" s="25"/>
      <c r="S692" s="25"/>
    </row>
    <row r="693">
      <c r="B693" s="25"/>
      <c r="G693" s="25"/>
      <c r="K693" s="25"/>
      <c r="M693" s="25"/>
      <c r="O693" s="25"/>
      <c r="Q693" s="25"/>
      <c r="S693" s="25"/>
    </row>
    <row r="694">
      <c r="B694" s="25"/>
      <c r="G694" s="25"/>
      <c r="K694" s="25"/>
      <c r="M694" s="25"/>
      <c r="O694" s="25"/>
      <c r="Q694" s="25"/>
      <c r="S694" s="25"/>
    </row>
    <row r="695">
      <c r="B695" s="25"/>
      <c r="G695" s="25"/>
      <c r="K695" s="25"/>
      <c r="M695" s="25"/>
      <c r="O695" s="25"/>
      <c r="Q695" s="25"/>
      <c r="S695" s="25"/>
    </row>
    <row r="696">
      <c r="B696" s="25"/>
      <c r="G696" s="25"/>
      <c r="K696" s="25"/>
      <c r="M696" s="25"/>
      <c r="O696" s="25"/>
      <c r="Q696" s="25"/>
      <c r="S696" s="25"/>
    </row>
    <row r="697">
      <c r="B697" s="25"/>
      <c r="G697" s="25"/>
      <c r="K697" s="25"/>
      <c r="M697" s="25"/>
      <c r="O697" s="25"/>
      <c r="Q697" s="25"/>
      <c r="S697" s="25"/>
    </row>
    <row r="698">
      <c r="B698" s="25"/>
      <c r="G698" s="25"/>
      <c r="K698" s="25"/>
      <c r="M698" s="25"/>
      <c r="O698" s="25"/>
      <c r="Q698" s="25"/>
      <c r="S698" s="25"/>
    </row>
    <row r="699">
      <c r="B699" s="25"/>
      <c r="G699" s="25"/>
      <c r="K699" s="25"/>
      <c r="M699" s="25"/>
      <c r="O699" s="25"/>
      <c r="Q699" s="25"/>
      <c r="S699" s="25"/>
    </row>
    <row r="700">
      <c r="B700" s="25"/>
      <c r="G700" s="25"/>
      <c r="K700" s="25"/>
      <c r="M700" s="25"/>
      <c r="O700" s="25"/>
      <c r="Q700" s="25"/>
      <c r="S700" s="25"/>
    </row>
    <row r="701">
      <c r="B701" s="25"/>
      <c r="G701" s="25"/>
      <c r="K701" s="25"/>
      <c r="M701" s="25"/>
      <c r="O701" s="25"/>
      <c r="Q701" s="25"/>
      <c r="S701" s="25"/>
    </row>
    <row r="702">
      <c r="B702" s="25"/>
      <c r="G702" s="25"/>
      <c r="K702" s="25"/>
      <c r="M702" s="25"/>
      <c r="O702" s="25"/>
      <c r="Q702" s="25"/>
      <c r="S702" s="25"/>
    </row>
    <row r="703">
      <c r="B703" s="25"/>
      <c r="G703" s="25"/>
      <c r="K703" s="25"/>
      <c r="M703" s="25"/>
      <c r="O703" s="25"/>
      <c r="Q703" s="25"/>
      <c r="S703" s="25"/>
    </row>
    <row r="704">
      <c r="B704" s="25"/>
      <c r="G704" s="25"/>
      <c r="K704" s="25"/>
      <c r="M704" s="25"/>
      <c r="O704" s="25"/>
      <c r="Q704" s="25"/>
      <c r="S704" s="25"/>
    </row>
    <row r="705">
      <c r="B705" s="25"/>
      <c r="G705" s="25"/>
      <c r="K705" s="25"/>
      <c r="M705" s="25"/>
      <c r="O705" s="25"/>
      <c r="Q705" s="25"/>
      <c r="S705" s="25"/>
    </row>
    <row r="706">
      <c r="B706" s="25"/>
      <c r="G706" s="25"/>
      <c r="K706" s="25"/>
      <c r="M706" s="25"/>
      <c r="O706" s="25"/>
      <c r="Q706" s="25"/>
      <c r="S706" s="25"/>
    </row>
    <row r="707">
      <c r="B707" s="25"/>
      <c r="G707" s="25"/>
      <c r="K707" s="25"/>
      <c r="M707" s="25"/>
      <c r="O707" s="25"/>
      <c r="Q707" s="25"/>
      <c r="S707" s="25"/>
    </row>
    <row r="708">
      <c r="B708" s="25"/>
      <c r="G708" s="25"/>
      <c r="K708" s="25"/>
      <c r="M708" s="25"/>
      <c r="O708" s="25"/>
      <c r="Q708" s="25"/>
      <c r="S708" s="25"/>
    </row>
    <row r="709">
      <c r="B709" s="25"/>
      <c r="G709" s="25"/>
      <c r="K709" s="25"/>
      <c r="M709" s="25"/>
      <c r="O709" s="25"/>
      <c r="Q709" s="25"/>
      <c r="S709" s="25"/>
    </row>
    <row r="710">
      <c r="B710" s="25"/>
      <c r="G710" s="25"/>
      <c r="K710" s="25"/>
      <c r="M710" s="25"/>
      <c r="O710" s="25"/>
      <c r="Q710" s="25"/>
      <c r="S710" s="25"/>
    </row>
    <row r="711">
      <c r="B711" s="25"/>
      <c r="G711" s="25"/>
      <c r="K711" s="25"/>
      <c r="M711" s="25"/>
      <c r="O711" s="25"/>
      <c r="Q711" s="25"/>
      <c r="S711" s="25"/>
    </row>
    <row r="712">
      <c r="B712" s="25"/>
      <c r="G712" s="25"/>
      <c r="K712" s="25"/>
      <c r="M712" s="25"/>
      <c r="O712" s="25"/>
      <c r="Q712" s="25"/>
      <c r="S712" s="25"/>
    </row>
    <row r="713">
      <c r="B713" s="25"/>
      <c r="G713" s="25"/>
      <c r="K713" s="25"/>
      <c r="M713" s="25"/>
      <c r="O713" s="25"/>
      <c r="Q713" s="25"/>
      <c r="S713" s="25"/>
    </row>
    <row r="714">
      <c r="B714" s="25"/>
      <c r="G714" s="25"/>
      <c r="K714" s="25"/>
      <c r="M714" s="25"/>
      <c r="O714" s="25"/>
      <c r="Q714" s="25"/>
      <c r="S714" s="25"/>
    </row>
    <row r="715">
      <c r="B715" s="25"/>
      <c r="G715" s="25"/>
      <c r="K715" s="25"/>
      <c r="M715" s="25"/>
      <c r="O715" s="25"/>
      <c r="Q715" s="25"/>
      <c r="S715" s="25"/>
    </row>
    <row r="716">
      <c r="B716" s="25"/>
      <c r="G716" s="25"/>
      <c r="K716" s="25"/>
      <c r="M716" s="25"/>
      <c r="O716" s="25"/>
      <c r="Q716" s="25"/>
      <c r="S716" s="25"/>
    </row>
    <row r="717">
      <c r="B717" s="25"/>
      <c r="G717" s="25"/>
      <c r="K717" s="25"/>
      <c r="M717" s="25"/>
      <c r="O717" s="25"/>
      <c r="Q717" s="25"/>
      <c r="S717" s="25"/>
    </row>
    <row r="718">
      <c r="B718" s="25"/>
      <c r="G718" s="25"/>
      <c r="K718" s="25"/>
      <c r="M718" s="25"/>
      <c r="O718" s="25"/>
      <c r="Q718" s="25"/>
      <c r="S718" s="25"/>
    </row>
    <row r="719">
      <c r="B719" s="25"/>
      <c r="G719" s="25"/>
      <c r="K719" s="25"/>
      <c r="M719" s="25"/>
      <c r="O719" s="25"/>
      <c r="Q719" s="25"/>
      <c r="S719" s="25"/>
    </row>
    <row r="720">
      <c r="B720" s="25"/>
      <c r="G720" s="25"/>
      <c r="K720" s="25"/>
      <c r="M720" s="25"/>
      <c r="O720" s="25"/>
      <c r="Q720" s="25"/>
      <c r="S720" s="25"/>
    </row>
    <row r="721">
      <c r="B721" s="25"/>
      <c r="G721" s="25"/>
      <c r="K721" s="25"/>
      <c r="M721" s="25"/>
      <c r="O721" s="25"/>
      <c r="Q721" s="25"/>
      <c r="S721" s="25"/>
    </row>
    <row r="722">
      <c r="B722" s="25"/>
      <c r="G722" s="25"/>
      <c r="K722" s="25"/>
      <c r="M722" s="25"/>
      <c r="O722" s="25"/>
      <c r="Q722" s="25"/>
      <c r="S722" s="25"/>
    </row>
    <row r="723">
      <c r="B723" s="25"/>
      <c r="G723" s="25"/>
      <c r="K723" s="25"/>
      <c r="M723" s="25"/>
      <c r="O723" s="25"/>
      <c r="Q723" s="25"/>
      <c r="S723" s="25"/>
    </row>
    <row r="724">
      <c r="B724" s="25"/>
      <c r="G724" s="25"/>
      <c r="K724" s="25"/>
      <c r="M724" s="25"/>
      <c r="O724" s="25"/>
      <c r="Q724" s="25"/>
      <c r="S724" s="25"/>
    </row>
    <row r="725">
      <c r="B725" s="25"/>
      <c r="G725" s="25"/>
      <c r="K725" s="25"/>
      <c r="M725" s="25"/>
      <c r="O725" s="25"/>
      <c r="Q725" s="25"/>
      <c r="S725" s="25"/>
    </row>
    <row r="726">
      <c r="B726" s="25"/>
      <c r="G726" s="25"/>
      <c r="K726" s="25"/>
      <c r="M726" s="25"/>
      <c r="O726" s="25"/>
      <c r="Q726" s="25"/>
      <c r="S726" s="25"/>
    </row>
    <row r="727">
      <c r="B727" s="25"/>
      <c r="G727" s="25"/>
      <c r="K727" s="25"/>
      <c r="M727" s="25"/>
      <c r="O727" s="25"/>
      <c r="Q727" s="25"/>
      <c r="S727" s="25"/>
    </row>
    <row r="728">
      <c r="B728" s="25"/>
      <c r="G728" s="25"/>
      <c r="K728" s="25"/>
      <c r="M728" s="25"/>
      <c r="O728" s="25"/>
      <c r="Q728" s="25"/>
      <c r="S728" s="25"/>
    </row>
    <row r="729">
      <c r="B729" s="25"/>
      <c r="G729" s="25"/>
      <c r="K729" s="25"/>
      <c r="M729" s="25"/>
      <c r="O729" s="25"/>
      <c r="Q729" s="25"/>
      <c r="S729" s="25"/>
    </row>
    <row r="730">
      <c r="B730" s="25"/>
      <c r="G730" s="25"/>
      <c r="K730" s="25"/>
      <c r="M730" s="25"/>
      <c r="O730" s="25"/>
      <c r="Q730" s="25"/>
      <c r="S730" s="25"/>
    </row>
    <row r="731">
      <c r="B731" s="25"/>
      <c r="G731" s="25"/>
      <c r="K731" s="25"/>
      <c r="M731" s="25"/>
      <c r="O731" s="25"/>
      <c r="Q731" s="25"/>
      <c r="S731" s="25"/>
    </row>
    <row r="732">
      <c r="B732" s="25"/>
      <c r="G732" s="25"/>
      <c r="K732" s="25"/>
      <c r="M732" s="25"/>
      <c r="O732" s="25"/>
      <c r="Q732" s="25"/>
      <c r="S732" s="25"/>
    </row>
    <row r="733">
      <c r="B733" s="25"/>
      <c r="G733" s="25"/>
      <c r="K733" s="25"/>
      <c r="M733" s="25"/>
      <c r="O733" s="25"/>
      <c r="Q733" s="25"/>
      <c r="S733" s="25"/>
    </row>
    <row r="734">
      <c r="B734" s="25"/>
      <c r="G734" s="25"/>
      <c r="K734" s="25"/>
      <c r="M734" s="25"/>
      <c r="O734" s="25"/>
      <c r="Q734" s="25"/>
      <c r="S734" s="25"/>
    </row>
    <row r="735">
      <c r="B735" s="25"/>
      <c r="G735" s="25"/>
      <c r="K735" s="25"/>
      <c r="M735" s="25"/>
      <c r="O735" s="25"/>
      <c r="Q735" s="25"/>
      <c r="S735" s="25"/>
    </row>
    <row r="736">
      <c r="B736" s="25"/>
      <c r="G736" s="25"/>
      <c r="K736" s="25"/>
      <c r="M736" s="25"/>
      <c r="O736" s="25"/>
      <c r="Q736" s="25"/>
      <c r="S736" s="25"/>
    </row>
    <row r="737">
      <c r="B737" s="25"/>
      <c r="G737" s="25"/>
      <c r="K737" s="25"/>
      <c r="M737" s="25"/>
      <c r="O737" s="25"/>
      <c r="Q737" s="25"/>
      <c r="S737" s="25"/>
    </row>
    <row r="738">
      <c r="B738" s="25"/>
      <c r="G738" s="25"/>
      <c r="K738" s="25"/>
      <c r="M738" s="25"/>
      <c r="O738" s="25"/>
      <c r="Q738" s="25"/>
      <c r="S738" s="25"/>
    </row>
    <row r="739">
      <c r="B739" s="25"/>
      <c r="G739" s="25"/>
      <c r="K739" s="25"/>
      <c r="M739" s="25"/>
      <c r="O739" s="25"/>
      <c r="Q739" s="25"/>
      <c r="S739" s="25"/>
    </row>
    <row r="740">
      <c r="B740" s="25"/>
      <c r="G740" s="25"/>
      <c r="K740" s="25"/>
      <c r="M740" s="25"/>
      <c r="O740" s="25"/>
      <c r="Q740" s="25"/>
      <c r="S740" s="25"/>
    </row>
    <row r="741">
      <c r="B741" s="25"/>
      <c r="G741" s="25"/>
      <c r="K741" s="25"/>
      <c r="M741" s="25"/>
      <c r="O741" s="25"/>
      <c r="Q741" s="25"/>
      <c r="S741" s="25"/>
    </row>
    <row r="742">
      <c r="B742" s="25"/>
      <c r="G742" s="25"/>
      <c r="K742" s="25"/>
      <c r="M742" s="25"/>
      <c r="O742" s="25"/>
      <c r="Q742" s="25"/>
      <c r="S742" s="25"/>
    </row>
    <row r="743">
      <c r="B743" s="25"/>
      <c r="G743" s="25"/>
      <c r="K743" s="25"/>
      <c r="M743" s="25"/>
      <c r="O743" s="25"/>
      <c r="Q743" s="25"/>
      <c r="S743" s="25"/>
    </row>
    <row r="744">
      <c r="B744" s="25"/>
      <c r="G744" s="25"/>
      <c r="K744" s="25"/>
      <c r="M744" s="25"/>
      <c r="O744" s="25"/>
      <c r="Q744" s="25"/>
      <c r="S744" s="25"/>
    </row>
    <row r="745">
      <c r="B745" s="25"/>
      <c r="G745" s="25"/>
      <c r="K745" s="25"/>
      <c r="M745" s="25"/>
      <c r="O745" s="25"/>
      <c r="Q745" s="25"/>
      <c r="S745" s="25"/>
    </row>
    <row r="746">
      <c r="B746" s="25"/>
      <c r="G746" s="25"/>
      <c r="K746" s="25"/>
      <c r="M746" s="25"/>
      <c r="O746" s="25"/>
      <c r="Q746" s="25"/>
      <c r="S746" s="25"/>
    </row>
    <row r="747">
      <c r="B747" s="25"/>
      <c r="G747" s="25"/>
      <c r="K747" s="25"/>
      <c r="M747" s="25"/>
      <c r="O747" s="25"/>
      <c r="Q747" s="25"/>
      <c r="S747" s="25"/>
    </row>
    <row r="748">
      <c r="B748" s="25"/>
      <c r="G748" s="25"/>
      <c r="K748" s="25"/>
      <c r="M748" s="25"/>
      <c r="O748" s="25"/>
      <c r="Q748" s="25"/>
      <c r="S748" s="25"/>
    </row>
    <row r="749">
      <c r="B749" s="25"/>
      <c r="G749" s="25"/>
      <c r="K749" s="25"/>
      <c r="M749" s="25"/>
      <c r="O749" s="25"/>
      <c r="Q749" s="25"/>
      <c r="S749" s="25"/>
    </row>
    <row r="750">
      <c r="B750" s="25"/>
      <c r="G750" s="25"/>
      <c r="K750" s="25"/>
      <c r="M750" s="25"/>
      <c r="O750" s="25"/>
      <c r="Q750" s="25"/>
      <c r="S750" s="25"/>
    </row>
    <row r="751">
      <c r="B751" s="25"/>
      <c r="G751" s="25"/>
      <c r="K751" s="25"/>
      <c r="M751" s="25"/>
      <c r="O751" s="25"/>
      <c r="Q751" s="25"/>
      <c r="S751" s="25"/>
    </row>
    <row r="752">
      <c r="B752" s="25"/>
      <c r="G752" s="25"/>
      <c r="K752" s="25"/>
      <c r="M752" s="25"/>
      <c r="O752" s="25"/>
      <c r="Q752" s="25"/>
      <c r="S752" s="25"/>
    </row>
    <row r="753">
      <c r="B753" s="25"/>
      <c r="G753" s="25"/>
      <c r="K753" s="25"/>
      <c r="M753" s="25"/>
      <c r="O753" s="25"/>
      <c r="Q753" s="25"/>
      <c r="S753" s="25"/>
    </row>
    <row r="754">
      <c r="B754" s="25"/>
      <c r="G754" s="25"/>
      <c r="K754" s="25"/>
      <c r="M754" s="25"/>
      <c r="O754" s="25"/>
      <c r="Q754" s="25"/>
      <c r="S754" s="25"/>
    </row>
    <row r="755">
      <c r="B755" s="25"/>
      <c r="G755" s="25"/>
      <c r="K755" s="25"/>
      <c r="M755" s="25"/>
      <c r="O755" s="25"/>
      <c r="Q755" s="25"/>
      <c r="S755" s="25"/>
    </row>
    <row r="756">
      <c r="B756" s="25"/>
      <c r="G756" s="25"/>
      <c r="K756" s="25"/>
      <c r="M756" s="25"/>
      <c r="O756" s="25"/>
      <c r="Q756" s="25"/>
      <c r="S756" s="25"/>
    </row>
    <row r="757">
      <c r="B757" s="25"/>
      <c r="G757" s="25"/>
      <c r="K757" s="25"/>
      <c r="M757" s="25"/>
      <c r="O757" s="25"/>
      <c r="Q757" s="25"/>
      <c r="S757" s="25"/>
    </row>
    <row r="758">
      <c r="B758" s="25"/>
      <c r="G758" s="25"/>
      <c r="K758" s="25"/>
      <c r="M758" s="25"/>
      <c r="O758" s="25"/>
      <c r="Q758" s="25"/>
      <c r="S758" s="25"/>
    </row>
    <row r="759">
      <c r="B759" s="25"/>
      <c r="G759" s="25"/>
      <c r="K759" s="25"/>
      <c r="M759" s="25"/>
      <c r="O759" s="25"/>
      <c r="Q759" s="25"/>
      <c r="S759" s="25"/>
    </row>
    <row r="760">
      <c r="B760" s="25"/>
      <c r="G760" s="25"/>
      <c r="K760" s="25"/>
      <c r="M760" s="25"/>
      <c r="O760" s="25"/>
      <c r="Q760" s="25"/>
      <c r="S760" s="25"/>
    </row>
    <row r="761">
      <c r="B761" s="25"/>
      <c r="G761" s="25"/>
      <c r="K761" s="25"/>
      <c r="M761" s="25"/>
      <c r="O761" s="25"/>
      <c r="Q761" s="25"/>
      <c r="S761" s="25"/>
    </row>
    <row r="762">
      <c r="B762" s="25"/>
      <c r="G762" s="25"/>
      <c r="K762" s="25"/>
      <c r="M762" s="25"/>
      <c r="O762" s="25"/>
      <c r="Q762" s="25"/>
      <c r="S762" s="25"/>
    </row>
    <row r="763">
      <c r="B763" s="25"/>
      <c r="G763" s="25"/>
      <c r="K763" s="25"/>
      <c r="M763" s="25"/>
      <c r="O763" s="25"/>
      <c r="Q763" s="25"/>
      <c r="S763" s="25"/>
    </row>
    <row r="764">
      <c r="B764" s="25"/>
      <c r="G764" s="25"/>
      <c r="K764" s="25"/>
      <c r="M764" s="25"/>
      <c r="O764" s="25"/>
      <c r="Q764" s="25"/>
      <c r="S764" s="25"/>
    </row>
    <row r="765">
      <c r="B765" s="25"/>
      <c r="G765" s="25"/>
      <c r="K765" s="25"/>
      <c r="M765" s="25"/>
      <c r="O765" s="25"/>
      <c r="Q765" s="25"/>
      <c r="S765" s="25"/>
    </row>
    <row r="766">
      <c r="B766" s="25"/>
      <c r="G766" s="25"/>
      <c r="K766" s="25"/>
      <c r="M766" s="25"/>
      <c r="O766" s="25"/>
      <c r="Q766" s="25"/>
      <c r="S766" s="25"/>
    </row>
    <row r="767">
      <c r="B767" s="25"/>
      <c r="G767" s="25"/>
      <c r="K767" s="25"/>
      <c r="M767" s="25"/>
      <c r="O767" s="25"/>
      <c r="Q767" s="25"/>
      <c r="S767" s="25"/>
    </row>
    <row r="768">
      <c r="B768" s="25"/>
      <c r="G768" s="25"/>
      <c r="K768" s="25"/>
      <c r="M768" s="25"/>
      <c r="O768" s="25"/>
      <c r="Q768" s="25"/>
      <c r="S768" s="25"/>
    </row>
    <row r="769">
      <c r="B769" s="25"/>
      <c r="G769" s="25"/>
      <c r="K769" s="25"/>
      <c r="M769" s="25"/>
      <c r="O769" s="25"/>
      <c r="Q769" s="25"/>
      <c r="S769" s="25"/>
    </row>
    <row r="770">
      <c r="B770" s="25"/>
      <c r="G770" s="25"/>
      <c r="K770" s="25"/>
      <c r="M770" s="25"/>
      <c r="O770" s="25"/>
      <c r="Q770" s="25"/>
      <c r="S770" s="25"/>
    </row>
    <row r="771">
      <c r="B771" s="25"/>
      <c r="G771" s="25"/>
      <c r="K771" s="25"/>
      <c r="M771" s="25"/>
      <c r="O771" s="25"/>
      <c r="Q771" s="25"/>
      <c r="S771" s="25"/>
    </row>
    <row r="772">
      <c r="B772" s="25"/>
      <c r="G772" s="25"/>
      <c r="K772" s="25"/>
      <c r="M772" s="25"/>
      <c r="O772" s="25"/>
      <c r="Q772" s="25"/>
      <c r="S772" s="25"/>
    </row>
    <row r="773">
      <c r="B773" s="25"/>
      <c r="G773" s="25"/>
      <c r="K773" s="25"/>
      <c r="M773" s="25"/>
      <c r="O773" s="25"/>
      <c r="Q773" s="25"/>
      <c r="S773" s="25"/>
    </row>
    <row r="774">
      <c r="B774" s="25"/>
      <c r="G774" s="25"/>
      <c r="K774" s="25"/>
      <c r="M774" s="25"/>
      <c r="O774" s="25"/>
      <c r="Q774" s="25"/>
      <c r="S774" s="25"/>
    </row>
    <row r="775">
      <c r="B775" s="25"/>
      <c r="G775" s="25"/>
      <c r="K775" s="25"/>
      <c r="M775" s="25"/>
      <c r="O775" s="25"/>
      <c r="Q775" s="25"/>
      <c r="S775" s="25"/>
    </row>
    <row r="776">
      <c r="B776" s="25"/>
      <c r="G776" s="25"/>
      <c r="K776" s="25"/>
      <c r="M776" s="25"/>
      <c r="O776" s="25"/>
      <c r="Q776" s="25"/>
      <c r="S776" s="25"/>
    </row>
    <row r="777">
      <c r="B777" s="25"/>
      <c r="G777" s="25"/>
      <c r="K777" s="25"/>
      <c r="M777" s="25"/>
      <c r="O777" s="25"/>
      <c r="Q777" s="25"/>
      <c r="S777" s="25"/>
    </row>
    <row r="778">
      <c r="B778" s="25"/>
      <c r="G778" s="25"/>
      <c r="K778" s="25"/>
      <c r="M778" s="25"/>
      <c r="O778" s="25"/>
      <c r="Q778" s="25"/>
      <c r="S778" s="25"/>
    </row>
    <row r="779">
      <c r="B779" s="25"/>
      <c r="G779" s="25"/>
      <c r="K779" s="25"/>
      <c r="M779" s="25"/>
      <c r="O779" s="25"/>
      <c r="Q779" s="25"/>
      <c r="S779" s="25"/>
    </row>
    <row r="780">
      <c r="B780" s="25"/>
      <c r="G780" s="25"/>
      <c r="K780" s="25"/>
      <c r="M780" s="25"/>
      <c r="O780" s="25"/>
      <c r="Q780" s="25"/>
      <c r="S780" s="25"/>
    </row>
    <row r="781">
      <c r="B781" s="25"/>
      <c r="G781" s="25"/>
      <c r="K781" s="25"/>
      <c r="M781" s="25"/>
      <c r="O781" s="25"/>
      <c r="Q781" s="25"/>
      <c r="S781" s="25"/>
    </row>
    <row r="782">
      <c r="B782" s="25"/>
      <c r="G782" s="25"/>
      <c r="K782" s="25"/>
      <c r="M782" s="25"/>
      <c r="O782" s="25"/>
      <c r="Q782" s="25"/>
      <c r="S782" s="25"/>
    </row>
    <row r="783">
      <c r="B783" s="25"/>
      <c r="G783" s="25"/>
      <c r="K783" s="25"/>
      <c r="M783" s="25"/>
      <c r="O783" s="25"/>
      <c r="Q783" s="25"/>
      <c r="S783" s="25"/>
    </row>
    <row r="784">
      <c r="B784" s="25"/>
      <c r="G784" s="25"/>
      <c r="K784" s="25"/>
      <c r="M784" s="25"/>
      <c r="O784" s="25"/>
      <c r="Q784" s="25"/>
      <c r="S784" s="25"/>
    </row>
    <row r="785">
      <c r="B785" s="25"/>
      <c r="G785" s="25"/>
      <c r="K785" s="25"/>
      <c r="M785" s="25"/>
      <c r="O785" s="25"/>
      <c r="Q785" s="25"/>
      <c r="S785" s="25"/>
    </row>
    <row r="786">
      <c r="B786" s="25"/>
      <c r="G786" s="25"/>
      <c r="K786" s="25"/>
      <c r="M786" s="25"/>
      <c r="O786" s="25"/>
      <c r="Q786" s="25"/>
      <c r="S786" s="25"/>
    </row>
    <row r="787">
      <c r="B787" s="25"/>
      <c r="G787" s="25"/>
      <c r="K787" s="25"/>
      <c r="M787" s="25"/>
      <c r="O787" s="25"/>
      <c r="Q787" s="25"/>
      <c r="S787" s="25"/>
    </row>
    <row r="788">
      <c r="B788" s="25"/>
      <c r="G788" s="25"/>
      <c r="K788" s="25"/>
      <c r="M788" s="25"/>
      <c r="O788" s="25"/>
      <c r="Q788" s="25"/>
      <c r="S788" s="25"/>
    </row>
    <row r="789">
      <c r="B789" s="25"/>
      <c r="G789" s="25"/>
      <c r="K789" s="25"/>
      <c r="M789" s="25"/>
      <c r="O789" s="25"/>
      <c r="Q789" s="25"/>
      <c r="S789" s="25"/>
    </row>
    <row r="790">
      <c r="B790" s="25"/>
      <c r="G790" s="25"/>
      <c r="K790" s="25"/>
      <c r="M790" s="25"/>
      <c r="O790" s="25"/>
      <c r="Q790" s="25"/>
      <c r="S790" s="25"/>
    </row>
    <row r="791">
      <c r="B791" s="25"/>
      <c r="G791" s="25"/>
      <c r="K791" s="25"/>
      <c r="M791" s="25"/>
      <c r="O791" s="25"/>
      <c r="Q791" s="25"/>
      <c r="S791" s="25"/>
    </row>
    <row r="792">
      <c r="B792" s="25"/>
      <c r="G792" s="25"/>
      <c r="K792" s="25"/>
      <c r="M792" s="25"/>
      <c r="O792" s="25"/>
      <c r="Q792" s="25"/>
      <c r="S792" s="25"/>
    </row>
    <row r="793">
      <c r="B793" s="25"/>
      <c r="G793" s="25"/>
      <c r="K793" s="25"/>
      <c r="M793" s="25"/>
      <c r="O793" s="25"/>
      <c r="Q793" s="25"/>
      <c r="S793" s="25"/>
    </row>
    <row r="794">
      <c r="B794" s="25"/>
      <c r="G794" s="25"/>
      <c r="K794" s="25"/>
      <c r="M794" s="25"/>
      <c r="O794" s="25"/>
      <c r="Q794" s="25"/>
      <c r="S794" s="25"/>
    </row>
    <row r="795">
      <c r="B795" s="25"/>
      <c r="G795" s="25"/>
      <c r="K795" s="25"/>
      <c r="M795" s="25"/>
      <c r="O795" s="25"/>
      <c r="Q795" s="25"/>
      <c r="S795" s="25"/>
    </row>
    <row r="796">
      <c r="B796" s="25"/>
      <c r="G796" s="25"/>
      <c r="K796" s="25"/>
      <c r="M796" s="25"/>
      <c r="O796" s="25"/>
      <c r="Q796" s="25"/>
      <c r="S796" s="25"/>
    </row>
    <row r="797">
      <c r="B797" s="25"/>
      <c r="G797" s="25"/>
      <c r="K797" s="25"/>
      <c r="M797" s="25"/>
      <c r="O797" s="25"/>
      <c r="Q797" s="25"/>
      <c r="S797" s="25"/>
    </row>
    <row r="798">
      <c r="B798" s="25"/>
      <c r="G798" s="25"/>
      <c r="K798" s="25"/>
      <c r="M798" s="25"/>
      <c r="O798" s="25"/>
      <c r="Q798" s="25"/>
      <c r="S798" s="25"/>
    </row>
    <row r="799">
      <c r="B799" s="25"/>
      <c r="G799" s="25"/>
      <c r="K799" s="25"/>
      <c r="M799" s="25"/>
      <c r="O799" s="25"/>
      <c r="Q799" s="25"/>
      <c r="S799" s="25"/>
    </row>
    <row r="800">
      <c r="B800" s="25"/>
      <c r="G800" s="25"/>
      <c r="K800" s="25"/>
      <c r="M800" s="25"/>
      <c r="O800" s="25"/>
      <c r="Q800" s="25"/>
      <c r="S800" s="25"/>
    </row>
    <row r="801">
      <c r="B801" s="25"/>
      <c r="G801" s="25"/>
      <c r="K801" s="25"/>
      <c r="M801" s="25"/>
      <c r="O801" s="25"/>
      <c r="Q801" s="25"/>
      <c r="S801" s="25"/>
    </row>
    <row r="802">
      <c r="B802" s="25"/>
      <c r="G802" s="25"/>
      <c r="K802" s="25"/>
      <c r="M802" s="25"/>
      <c r="O802" s="25"/>
      <c r="Q802" s="25"/>
      <c r="S802" s="25"/>
    </row>
    <row r="803">
      <c r="B803" s="25"/>
      <c r="G803" s="25"/>
      <c r="K803" s="25"/>
      <c r="M803" s="25"/>
      <c r="O803" s="25"/>
      <c r="Q803" s="25"/>
      <c r="S803" s="25"/>
    </row>
    <row r="804">
      <c r="B804" s="25"/>
      <c r="G804" s="25"/>
      <c r="K804" s="25"/>
      <c r="M804" s="25"/>
      <c r="O804" s="25"/>
      <c r="Q804" s="25"/>
      <c r="S804" s="25"/>
    </row>
    <row r="805">
      <c r="B805" s="25"/>
      <c r="G805" s="25"/>
      <c r="K805" s="25"/>
      <c r="M805" s="25"/>
      <c r="O805" s="25"/>
      <c r="Q805" s="25"/>
      <c r="S805" s="25"/>
    </row>
    <row r="806">
      <c r="B806" s="25"/>
      <c r="G806" s="25"/>
      <c r="K806" s="25"/>
      <c r="M806" s="25"/>
      <c r="O806" s="25"/>
      <c r="Q806" s="25"/>
      <c r="S806" s="25"/>
    </row>
    <row r="807">
      <c r="B807" s="25"/>
      <c r="G807" s="25"/>
      <c r="K807" s="25"/>
      <c r="M807" s="25"/>
      <c r="O807" s="25"/>
      <c r="Q807" s="25"/>
      <c r="S807" s="25"/>
    </row>
    <row r="808">
      <c r="B808" s="25"/>
      <c r="G808" s="25"/>
      <c r="K808" s="25"/>
      <c r="M808" s="25"/>
      <c r="O808" s="25"/>
      <c r="Q808" s="25"/>
      <c r="S808" s="25"/>
    </row>
    <row r="809">
      <c r="B809" s="25"/>
      <c r="G809" s="25"/>
      <c r="K809" s="25"/>
      <c r="M809" s="25"/>
      <c r="O809" s="25"/>
      <c r="Q809" s="25"/>
      <c r="S809" s="25"/>
    </row>
    <row r="810">
      <c r="B810" s="25"/>
      <c r="G810" s="25"/>
      <c r="K810" s="25"/>
      <c r="M810" s="25"/>
      <c r="O810" s="25"/>
      <c r="Q810" s="25"/>
      <c r="S810" s="25"/>
    </row>
    <row r="811">
      <c r="B811" s="25"/>
      <c r="G811" s="25"/>
      <c r="K811" s="25"/>
      <c r="M811" s="25"/>
      <c r="O811" s="25"/>
      <c r="Q811" s="25"/>
      <c r="S811" s="25"/>
    </row>
    <row r="812">
      <c r="B812" s="25"/>
      <c r="G812" s="25"/>
      <c r="K812" s="25"/>
      <c r="M812" s="25"/>
      <c r="O812" s="25"/>
      <c r="Q812" s="25"/>
      <c r="S812" s="25"/>
    </row>
    <row r="813">
      <c r="B813" s="25"/>
      <c r="G813" s="25"/>
      <c r="K813" s="25"/>
      <c r="M813" s="25"/>
      <c r="O813" s="25"/>
      <c r="Q813" s="25"/>
      <c r="S813" s="25"/>
    </row>
    <row r="814">
      <c r="B814" s="25"/>
      <c r="G814" s="25"/>
      <c r="K814" s="25"/>
      <c r="M814" s="25"/>
      <c r="O814" s="25"/>
      <c r="Q814" s="25"/>
      <c r="S814" s="25"/>
    </row>
    <row r="815">
      <c r="B815" s="25"/>
      <c r="G815" s="25"/>
      <c r="K815" s="25"/>
      <c r="M815" s="25"/>
      <c r="O815" s="25"/>
      <c r="Q815" s="25"/>
      <c r="S815" s="25"/>
    </row>
    <row r="816">
      <c r="B816" s="25"/>
      <c r="G816" s="25"/>
      <c r="K816" s="25"/>
      <c r="M816" s="25"/>
      <c r="O816" s="25"/>
      <c r="Q816" s="25"/>
      <c r="S816" s="25"/>
    </row>
    <row r="817">
      <c r="B817" s="25"/>
      <c r="G817" s="25"/>
      <c r="K817" s="25"/>
      <c r="M817" s="25"/>
      <c r="O817" s="25"/>
      <c r="Q817" s="25"/>
      <c r="S817" s="25"/>
    </row>
    <row r="818">
      <c r="B818" s="25"/>
      <c r="G818" s="25"/>
      <c r="K818" s="25"/>
      <c r="M818" s="25"/>
      <c r="O818" s="25"/>
      <c r="Q818" s="25"/>
      <c r="S818" s="25"/>
    </row>
    <row r="819">
      <c r="B819" s="25"/>
      <c r="G819" s="25"/>
      <c r="K819" s="25"/>
      <c r="M819" s="25"/>
      <c r="O819" s="25"/>
      <c r="Q819" s="25"/>
      <c r="S819" s="25"/>
    </row>
    <row r="820">
      <c r="B820" s="25"/>
      <c r="G820" s="25"/>
      <c r="K820" s="25"/>
      <c r="M820" s="25"/>
      <c r="O820" s="25"/>
      <c r="Q820" s="25"/>
      <c r="S820" s="25"/>
    </row>
    <row r="821">
      <c r="B821" s="25"/>
      <c r="G821" s="25"/>
      <c r="K821" s="25"/>
      <c r="M821" s="25"/>
      <c r="O821" s="25"/>
      <c r="Q821" s="25"/>
      <c r="S821" s="25"/>
    </row>
    <row r="822">
      <c r="B822" s="25"/>
      <c r="G822" s="25"/>
      <c r="K822" s="25"/>
      <c r="M822" s="25"/>
      <c r="O822" s="25"/>
      <c r="Q822" s="25"/>
      <c r="S822" s="25"/>
    </row>
    <row r="823">
      <c r="B823" s="25"/>
      <c r="G823" s="25"/>
      <c r="K823" s="25"/>
      <c r="M823" s="25"/>
      <c r="O823" s="25"/>
      <c r="Q823" s="25"/>
      <c r="S823" s="25"/>
    </row>
    <row r="824">
      <c r="B824" s="25"/>
      <c r="G824" s="25"/>
      <c r="K824" s="25"/>
      <c r="M824" s="25"/>
      <c r="O824" s="25"/>
      <c r="Q824" s="25"/>
      <c r="S824" s="25"/>
    </row>
    <row r="825">
      <c r="B825" s="25"/>
      <c r="G825" s="25"/>
      <c r="K825" s="25"/>
      <c r="M825" s="25"/>
      <c r="O825" s="25"/>
      <c r="Q825" s="25"/>
      <c r="S825" s="25"/>
    </row>
    <row r="826">
      <c r="B826" s="25"/>
      <c r="G826" s="25"/>
      <c r="K826" s="25"/>
      <c r="M826" s="25"/>
      <c r="O826" s="25"/>
      <c r="Q826" s="25"/>
      <c r="S826" s="25"/>
    </row>
    <row r="827">
      <c r="B827" s="25"/>
      <c r="G827" s="25"/>
      <c r="K827" s="25"/>
      <c r="M827" s="25"/>
      <c r="O827" s="25"/>
      <c r="Q827" s="25"/>
      <c r="S827" s="25"/>
    </row>
    <row r="828">
      <c r="B828" s="25"/>
      <c r="G828" s="25"/>
      <c r="K828" s="25"/>
      <c r="M828" s="25"/>
      <c r="O828" s="25"/>
      <c r="Q828" s="25"/>
      <c r="S828" s="25"/>
    </row>
    <row r="829">
      <c r="B829" s="25"/>
      <c r="G829" s="25"/>
      <c r="K829" s="25"/>
      <c r="M829" s="25"/>
      <c r="O829" s="25"/>
      <c r="Q829" s="25"/>
      <c r="S829" s="25"/>
    </row>
    <row r="830">
      <c r="B830" s="25"/>
      <c r="G830" s="25"/>
      <c r="K830" s="25"/>
      <c r="M830" s="25"/>
      <c r="O830" s="25"/>
      <c r="Q830" s="25"/>
      <c r="S830" s="25"/>
    </row>
    <row r="831">
      <c r="B831" s="25"/>
      <c r="G831" s="25"/>
      <c r="K831" s="25"/>
      <c r="M831" s="25"/>
      <c r="O831" s="25"/>
      <c r="Q831" s="25"/>
      <c r="S831" s="25"/>
    </row>
    <row r="832">
      <c r="B832" s="25"/>
      <c r="G832" s="25"/>
      <c r="K832" s="25"/>
      <c r="M832" s="25"/>
      <c r="O832" s="25"/>
      <c r="Q832" s="25"/>
      <c r="S832" s="25"/>
    </row>
    <row r="833">
      <c r="B833" s="25"/>
      <c r="G833" s="25"/>
      <c r="K833" s="25"/>
      <c r="M833" s="25"/>
      <c r="O833" s="25"/>
      <c r="Q833" s="25"/>
      <c r="S833" s="25"/>
    </row>
    <row r="834">
      <c r="B834" s="25"/>
      <c r="G834" s="25"/>
      <c r="K834" s="25"/>
      <c r="M834" s="25"/>
      <c r="O834" s="25"/>
      <c r="Q834" s="25"/>
      <c r="S834" s="25"/>
    </row>
    <row r="835">
      <c r="B835" s="25"/>
      <c r="G835" s="25"/>
      <c r="K835" s="25"/>
      <c r="M835" s="25"/>
      <c r="O835" s="25"/>
      <c r="Q835" s="25"/>
      <c r="S835" s="25"/>
    </row>
    <row r="836">
      <c r="B836" s="25"/>
      <c r="G836" s="25"/>
      <c r="K836" s="25"/>
      <c r="M836" s="25"/>
      <c r="O836" s="25"/>
      <c r="Q836" s="25"/>
      <c r="S836" s="25"/>
    </row>
    <row r="837">
      <c r="B837" s="25"/>
      <c r="G837" s="25"/>
      <c r="K837" s="25"/>
      <c r="M837" s="25"/>
      <c r="O837" s="25"/>
      <c r="Q837" s="25"/>
      <c r="S837" s="25"/>
    </row>
    <row r="838">
      <c r="B838" s="25"/>
      <c r="G838" s="25"/>
      <c r="K838" s="25"/>
      <c r="M838" s="25"/>
      <c r="O838" s="25"/>
      <c r="Q838" s="25"/>
      <c r="S838" s="25"/>
    </row>
    <row r="839">
      <c r="B839" s="25"/>
      <c r="G839" s="25"/>
      <c r="K839" s="25"/>
      <c r="M839" s="25"/>
      <c r="O839" s="25"/>
      <c r="Q839" s="25"/>
      <c r="S839" s="25"/>
    </row>
    <row r="840">
      <c r="B840" s="25"/>
      <c r="G840" s="25"/>
      <c r="K840" s="25"/>
      <c r="M840" s="25"/>
      <c r="O840" s="25"/>
      <c r="Q840" s="25"/>
      <c r="S840" s="25"/>
    </row>
    <row r="841">
      <c r="B841" s="25"/>
      <c r="G841" s="25"/>
      <c r="K841" s="25"/>
      <c r="M841" s="25"/>
      <c r="O841" s="25"/>
      <c r="Q841" s="25"/>
      <c r="S841" s="25"/>
    </row>
    <row r="842">
      <c r="B842" s="25"/>
      <c r="G842" s="25"/>
      <c r="K842" s="25"/>
      <c r="M842" s="25"/>
      <c r="O842" s="25"/>
      <c r="Q842" s="25"/>
      <c r="S842" s="25"/>
    </row>
    <row r="843">
      <c r="B843" s="25"/>
      <c r="G843" s="25"/>
      <c r="K843" s="25"/>
      <c r="M843" s="25"/>
      <c r="O843" s="25"/>
      <c r="Q843" s="25"/>
      <c r="S843" s="25"/>
    </row>
    <row r="844">
      <c r="B844" s="25"/>
      <c r="G844" s="25"/>
      <c r="K844" s="25"/>
      <c r="M844" s="25"/>
      <c r="O844" s="25"/>
      <c r="Q844" s="25"/>
      <c r="S844" s="25"/>
    </row>
    <row r="845">
      <c r="B845" s="25"/>
      <c r="G845" s="25"/>
      <c r="K845" s="25"/>
      <c r="M845" s="25"/>
      <c r="O845" s="25"/>
      <c r="Q845" s="25"/>
      <c r="S845" s="25"/>
    </row>
    <row r="846">
      <c r="B846" s="25"/>
      <c r="G846" s="25"/>
      <c r="K846" s="25"/>
      <c r="M846" s="25"/>
      <c r="O846" s="25"/>
      <c r="Q846" s="25"/>
      <c r="S846" s="25"/>
    </row>
    <row r="847">
      <c r="B847" s="25"/>
      <c r="G847" s="25"/>
      <c r="K847" s="25"/>
      <c r="M847" s="25"/>
      <c r="O847" s="25"/>
      <c r="Q847" s="25"/>
      <c r="S847" s="25"/>
    </row>
    <row r="848">
      <c r="B848" s="25"/>
      <c r="G848" s="25"/>
      <c r="K848" s="25"/>
      <c r="M848" s="25"/>
      <c r="O848" s="25"/>
      <c r="Q848" s="25"/>
      <c r="S848" s="25"/>
    </row>
    <row r="849">
      <c r="B849" s="25"/>
      <c r="G849" s="25"/>
      <c r="K849" s="25"/>
      <c r="M849" s="25"/>
      <c r="O849" s="25"/>
      <c r="Q849" s="25"/>
      <c r="S849" s="25"/>
    </row>
    <row r="850">
      <c r="B850" s="25"/>
      <c r="G850" s="25"/>
      <c r="K850" s="25"/>
      <c r="M850" s="25"/>
      <c r="O850" s="25"/>
      <c r="Q850" s="25"/>
      <c r="S850" s="25"/>
    </row>
    <row r="851">
      <c r="B851" s="25"/>
      <c r="G851" s="25"/>
      <c r="K851" s="25"/>
      <c r="M851" s="25"/>
      <c r="O851" s="25"/>
      <c r="Q851" s="25"/>
      <c r="S851" s="25"/>
    </row>
    <row r="852">
      <c r="B852" s="25"/>
      <c r="G852" s="25"/>
      <c r="K852" s="25"/>
      <c r="M852" s="25"/>
      <c r="O852" s="25"/>
      <c r="Q852" s="25"/>
      <c r="S852" s="25"/>
    </row>
    <row r="853">
      <c r="B853" s="25"/>
      <c r="G853" s="25"/>
      <c r="K853" s="25"/>
      <c r="M853" s="25"/>
      <c r="O853" s="25"/>
      <c r="Q853" s="25"/>
      <c r="S853" s="25"/>
    </row>
    <row r="854">
      <c r="B854" s="25"/>
      <c r="G854" s="25"/>
      <c r="K854" s="25"/>
      <c r="M854" s="25"/>
      <c r="O854" s="25"/>
      <c r="Q854" s="25"/>
      <c r="S854" s="25"/>
    </row>
    <row r="855">
      <c r="B855" s="25"/>
      <c r="G855" s="25"/>
      <c r="K855" s="25"/>
      <c r="M855" s="25"/>
      <c r="O855" s="25"/>
      <c r="Q855" s="25"/>
      <c r="S855" s="25"/>
    </row>
    <row r="856">
      <c r="B856" s="25"/>
      <c r="G856" s="25"/>
      <c r="K856" s="25"/>
      <c r="M856" s="25"/>
      <c r="O856" s="25"/>
      <c r="Q856" s="25"/>
      <c r="S856" s="25"/>
    </row>
    <row r="857">
      <c r="B857" s="25"/>
      <c r="G857" s="25"/>
      <c r="K857" s="25"/>
      <c r="M857" s="25"/>
      <c r="O857" s="25"/>
      <c r="Q857" s="25"/>
      <c r="S857" s="25"/>
    </row>
    <row r="858">
      <c r="B858" s="25"/>
      <c r="G858" s="25"/>
      <c r="K858" s="25"/>
      <c r="M858" s="25"/>
      <c r="O858" s="25"/>
      <c r="Q858" s="25"/>
      <c r="S858" s="25"/>
    </row>
    <row r="859">
      <c r="B859" s="25"/>
      <c r="G859" s="25"/>
      <c r="K859" s="25"/>
      <c r="M859" s="25"/>
      <c r="O859" s="25"/>
      <c r="Q859" s="25"/>
      <c r="S859" s="25"/>
    </row>
    <row r="860">
      <c r="B860" s="25"/>
      <c r="G860" s="25"/>
      <c r="K860" s="25"/>
      <c r="M860" s="25"/>
      <c r="O860" s="25"/>
      <c r="Q860" s="25"/>
      <c r="S860" s="25"/>
    </row>
    <row r="861">
      <c r="B861" s="25"/>
      <c r="G861" s="25"/>
      <c r="K861" s="25"/>
      <c r="M861" s="25"/>
      <c r="O861" s="25"/>
      <c r="Q861" s="25"/>
      <c r="S861" s="25"/>
    </row>
    <row r="862">
      <c r="B862" s="25"/>
      <c r="G862" s="25"/>
      <c r="K862" s="25"/>
      <c r="M862" s="25"/>
      <c r="O862" s="25"/>
      <c r="Q862" s="25"/>
      <c r="S862" s="25"/>
    </row>
    <row r="863">
      <c r="B863" s="25"/>
      <c r="G863" s="25"/>
      <c r="K863" s="25"/>
      <c r="M863" s="25"/>
      <c r="O863" s="25"/>
      <c r="Q863" s="25"/>
      <c r="S863" s="25"/>
    </row>
    <row r="864">
      <c r="B864" s="25"/>
      <c r="G864" s="25"/>
      <c r="K864" s="25"/>
      <c r="M864" s="25"/>
      <c r="O864" s="25"/>
      <c r="Q864" s="25"/>
      <c r="S864" s="25"/>
    </row>
    <row r="865">
      <c r="B865" s="25"/>
      <c r="G865" s="25"/>
      <c r="K865" s="25"/>
      <c r="M865" s="25"/>
      <c r="O865" s="25"/>
      <c r="Q865" s="25"/>
      <c r="S865" s="25"/>
    </row>
    <row r="866">
      <c r="B866" s="25"/>
      <c r="G866" s="25"/>
      <c r="K866" s="25"/>
      <c r="M866" s="25"/>
      <c r="O866" s="25"/>
      <c r="Q866" s="25"/>
      <c r="S866" s="25"/>
    </row>
    <row r="867">
      <c r="B867" s="25"/>
      <c r="G867" s="25"/>
      <c r="K867" s="25"/>
      <c r="M867" s="25"/>
      <c r="O867" s="25"/>
      <c r="Q867" s="25"/>
      <c r="S867" s="25"/>
    </row>
    <row r="868">
      <c r="B868" s="25"/>
      <c r="G868" s="25"/>
      <c r="K868" s="25"/>
      <c r="M868" s="25"/>
      <c r="O868" s="25"/>
      <c r="Q868" s="25"/>
      <c r="S868" s="25"/>
    </row>
    <row r="869">
      <c r="B869" s="25"/>
      <c r="G869" s="25"/>
      <c r="K869" s="25"/>
      <c r="M869" s="25"/>
      <c r="O869" s="25"/>
      <c r="Q869" s="25"/>
      <c r="S869" s="25"/>
    </row>
    <row r="870">
      <c r="B870" s="25"/>
      <c r="G870" s="25"/>
      <c r="K870" s="25"/>
      <c r="M870" s="25"/>
      <c r="O870" s="25"/>
      <c r="Q870" s="25"/>
      <c r="S870" s="25"/>
    </row>
    <row r="871">
      <c r="B871" s="25"/>
      <c r="G871" s="25"/>
      <c r="K871" s="25"/>
      <c r="M871" s="25"/>
      <c r="O871" s="25"/>
      <c r="Q871" s="25"/>
      <c r="S871" s="25"/>
    </row>
    <row r="872">
      <c r="B872" s="25"/>
      <c r="G872" s="25"/>
      <c r="K872" s="25"/>
      <c r="M872" s="25"/>
      <c r="O872" s="25"/>
      <c r="Q872" s="25"/>
      <c r="S872" s="25"/>
    </row>
    <row r="873">
      <c r="B873" s="25"/>
      <c r="G873" s="25"/>
      <c r="K873" s="25"/>
      <c r="M873" s="25"/>
      <c r="O873" s="25"/>
      <c r="Q873" s="25"/>
      <c r="S873" s="25"/>
    </row>
    <row r="874">
      <c r="B874" s="25"/>
      <c r="G874" s="25"/>
      <c r="K874" s="25"/>
      <c r="M874" s="25"/>
      <c r="O874" s="25"/>
      <c r="Q874" s="25"/>
      <c r="S874" s="25"/>
    </row>
    <row r="875">
      <c r="B875" s="25"/>
      <c r="G875" s="25"/>
      <c r="K875" s="25"/>
      <c r="M875" s="25"/>
      <c r="O875" s="25"/>
      <c r="Q875" s="25"/>
      <c r="S875" s="25"/>
    </row>
    <row r="876">
      <c r="B876" s="25"/>
      <c r="G876" s="25"/>
      <c r="K876" s="25"/>
      <c r="M876" s="25"/>
      <c r="O876" s="25"/>
      <c r="Q876" s="25"/>
      <c r="S876" s="25"/>
    </row>
    <row r="877">
      <c r="B877" s="25"/>
      <c r="G877" s="25"/>
      <c r="K877" s="25"/>
      <c r="M877" s="25"/>
      <c r="O877" s="25"/>
      <c r="Q877" s="25"/>
      <c r="S877" s="25"/>
    </row>
    <row r="878">
      <c r="B878" s="25"/>
      <c r="G878" s="25"/>
      <c r="K878" s="25"/>
      <c r="M878" s="25"/>
      <c r="O878" s="25"/>
      <c r="Q878" s="25"/>
      <c r="S878" s="25"/>
    </row>
    <row r="879">
      <c r="B879" s="25"/>
      <c r="G879" s="25"/>
      <c r="K879" s="25"/>
      <c r="M879" s="25"/>
      <c r="O879" s="25"/>
      <c r="Q879" s="25"/>
      <c r="S879" s="25"/>
    </row>
    <row r="880">
      <c r="B880" s="25"/>
      <c r="G880" s="25"/>
      <c r="K880" s="25"/>
      <c r="M880" s="25"/>
      <c r="O880" s="25"/>
      <c r="Q880" s="25"/>
      <c r="S880" s="25"/>
    </row>
    <row r="881">
      <c r="B881" s="25"/>
      <c r="G881" s="25"/>
      <c r="K881" s="25"/>
      <c r="M881" s="25"/>
      <c r="O881" s="25"/>
      <c r="Q881" s="25"/>
      <c r="S881" s="25"/>
    </row>
    <row r="882">
      <c r="B882" s="25"/>
      <c r="G882" s="25"/>
      <c r="K882" s="25"/>
      <c r="M882" s="25"/>
      <c r="O882" s="25"/>
      <c r="Q882" s="25"/>
      <c r="S882" s="25"/>
    </row>
    <row r="883">
      <c r="B883" s="25"/>
      <c r="G883" s="25"/>
      <c r="K883" s="25"/>
      <c r="M883" s="25"/>
      <c r="O883" s="25"/>
      <c r="Q883" s="25"/>
      <c r="S883" s="25"/>
    </row>
    <row r="884">
      <c r="B884" s="25"/>
      <c r="G884" s="25"/>
      <c r="K884" s="25"/>
      <c r="M884" s="25"/>
      <c r="O884" s="25"/>
      <c r="Q884" s="25"/>
      <c r="S884" s="25"/>
    </row>
    <row r="885">
      <c r="B885" s="25"/>
      <c r="G885" s="25"/>
      <c r="K885" s="25"/>
      <c r="M885" s="25"/>
      <c r="O885" s="25"/>
      <c r="Q885" s="25"/>
      <c r="S885" s="25"/>
    </row>
    <row r="886">
      <c r="B886" s="25"/>
      <c r="G886" s="25"/>
      <c r="K886" s="25"/>
      <c r="M886" s="25"/>
      <c r="O886" s="25"/>
      <c r="Q886" s="25"/>
      <c r="S886" s="25"/>
    </row>
    <row r="887">
      <c r="B887" s="25"/>
      <c r="G887" s="25"/>
      <c r="K887" s="25"/>
      <c r="M887" s="25"/>
      <c r="O887" s="25"/>
      <c r="Q887" s="25"/>
      <c r="S887" s="25"/>
    </row>
    <row r="888">
      <c r="B888" s="25"/>
      <c r="G888" s="25"/>
      <c r="K888" s="25"/>
      <c r="M888" s="25"/>
      <c r="O888" s="25"/>
      <c r="Q888" s="25"/>
      <c r="S888" s="25"/>
    </row>
    <row r="889">
      <c r="B889" s="25"/>
      <c r="G889" s="25"/>
      <c r="K889" s="25"/>
      <c r="M889" s="25"/>
      <c r="O889" s="25"/>
      <c r="Q889" s="25"/>
      <c r="S889" s="25"/>
    </row>
    <row r="890">
      <c r="B890" s="25"/>
      <c r="G890" s="25"/>
      <c r="K890" s="25"/>
      <c r="M890" s="25"/>
      <c r="O890" s="25"/>
      <c r="Q890" s="25"/>
      <c r="S890" s="25"/>
    </row>
    <row r="891">
      <c r="B891" s="25"/>
      <c r="G891" s="25"/>
      <c r="K891" s="25"/>
      <c r="M891" s="25"/>
      <c r="O891" s="25"/>
      <c r="Q891" s="25"/>
      <c r="S891" s="25"/>
    </row>
    <row r="892">
      <c r="B892" s="25"/>
      <c r="G892" s="25"/>
      <c r="K892" s="25"/>
      <c r="M892" s="25"/>
      <c r="O892" s="25"/>
      <c r="Q892" s="25"/>
      <c r="S892" s="25"/>
    </row>
    <row r="893">
      <c r="B893" s="25"/>
      <c r="G893" s="25"/>
      <c r="K893" s="25"/>
      <c r="M893" s="25"/>
      <c r="O893" s="25"/>
      <c r="Q893" s="25"/>
      <c r="S893" s="25"/>
    </row>
    <row r="894">
      <c r="B894" s="25"/>
      <c r="G894" s="25"/>
      <c r="K894" s="25"/>
      <c r="M894" s="25"/>
      <c r="O894" s="25"/>
      <c r="Q894" s="25"/>
      <c r="S894" s="25"/>
    </row>
    <row r="895">
      <c r="B895" s="25"/>
      <c r="G895" s="25"/>
      <c r="K895" s="25"/>
      <c r="M895" s="25"/>
      <c r="O895" s="25"/>
      <c r="Q895" s="25"/>
      <c r="S895" s="25"/>
    </row>
    <row r="896">
      <c r="B896" s="25"/>
      <c r="G896" s="25"/>
      <c r="K896" s="25"/>
      <c r="M896" s="25"/>
      <c r="O896" s="25"/>
      <c r="Q896" s="25"/>
      <c r="S896" s="25"/>
    </row>
    <row r="897">
      <c r="B897" s="25"/>
      <c r="G897" s="25"/>
      <c r="K897" s="25"/>
      <c r="M897" s="25"/>
      <c r="O897" s="25"/>
      <c r="Q897" s="25"/>
      <c r="S897" s="25"/>
    </row>
    <row r="898">
      <c r="B898" s="25"/>
      <c r="G898" s="25"/>
      <c r="K898" s="25"/>
      <c r="M898" s="25"/>
      <c r="O898" s="25"/>
      <c r="Q898" s="25"/>
      <c r="S898" s="25"/>
    </row>
    <row r="899">
      <c r="B899" s="25"/>
      <c r="G899" s="25"/>
      <c r="K899" s="25"/>
      <c r="M899" s="25"/>
      <c r="O899" s="25"/>
      <c r="Q899" s="25"/>
      <c r="S899" s="25"/>
    </row>
    <row r="900">
      <c r="B900" s="25"/>
      <c r="G900" s="25"/>
      <c r="K900" s="25"/>
      <c r="M900" s="25"/>
      <c r="O900" s="25"/>
      <c r="Q900" s="25"/>
      <c r="S900" s="25"/>
    </row>
    <row r="901">
      <c r="B901" s="25"/>
      <c r="G901" s="25"/>
      <c r="K901" s="25"/>
      <c r="M901" s="25"/>
      <c r="O901" s="25"/>
      <c r="Q901" s="25"/>
      <c r="S901" s="25"/>
    </row>
    <row r="902">
      <c r="B902" s="25"/>
      <c r="G902" s="25"/>
      <c r="K902" s="25"/>
      <c r="M902" s="25"/>
      <c r="O902" s="25"/>
      <c r="Q902" s="25"/>
      <c r="S902" s="25"/>
    </row>
    <row r="903">
      <c r="B903" s="25"/>
      <c r="G903" s="25"/>
      <c r="K903" s="25"/>
      <c r="M903" s="25"/>
      <c r="O903" s="25"/>
      <c r="Q903" s="25"/>
      <c r="S903" s="25"/>
    </row>
    <row r="904">
      <c r="B904" s="25"/>
      <c r="G904" s="25"/>
      <c r="K904" s="25"/>
      <c r="M904" s="25"/>
      <c r="O904" s="25"/>
      <c r="Q904" s="25"/>
      <c r="S904" s="25"/>
    </row>
    <row r="905">
      <c r="B905" s="25"/>
      <c r="G905" s="25"/>
      <c r="K905" s="25"/>
      <c r="M905" s="25"/>
      <c r="O905" s="25"/>
      <c r="Q905" s="25"/>
      <c r="S905" s="25"/>
    </row>
    <row r="906">
      <c r="B906" s="25"/>
      <c r="G906" s="25"/>
      <c r="K906" s="25"/>
      <c r="M906" s="25"/>
      <c r="O906" s="25"/>
      <c r="Q906" s="25"/>
      <c r="S906" s="25"/>
    </row>
    <row r="907">
      <c r="B907" s="25"/>
      <c r="G907" s="25"/>
      <c r="K907" s="25"/>
      <c r="M907" s="25"/>
      <c r="O907" s="25"/>
      <c r="Q907" s="25"/>
      <c r="S907" s="25"/>
    </row>
    <row r="908">
      <c r="B908" s="25"/>
      <c r="G908" s="25"/>
      <c r="K908" s="25"/>
      <c r="M908" s="25"/>
      <c r="O908" s="25"/>
      <c r="Q908" s="25"/>
      <c r="S908" s="25"/>
    </row>
    <row r="909">
      <c r="B909" s="25"/>
      <c r="G909" s="25"/>
      <c r="K909" s="25"/>
      <c r="M909" s="25"/>
      <c r="O909" s="25"/>
      <c r="Q909" s="25"/>
      <c r="S909" s="25"/>
    </row>
    <row r="910">
      <c r="B910" s="25"/>
      <c r="G910" s="25"/>
      <c r="K910" s="25"/>
      <c r="M910" s="25"/>
      <c r="O910" s="25"/>
      <c r="Q910" s="25"/>
      <c r="S910" s="25"/>
    </row>
    <row r="911">
      <c r="B911" s="25"/>
      <c r="G911" s="25"/>
      <c r="K911" s="25"/>
      <c r="M911" s="25"/>
      <c r="O911" s="25"/>
      <c r="Q911" s="25"/>
      <c r="S911" s="25"/>
    </row>
    <row r="912">
      <c r="B912" s="25"/>
      <c r="G912" s="25"/>
      <c r="K912" s="25"/>
      <c r="M912" s="25"/>
      <c r="O912" s="25"/>
      <c r="Q912" s="25"/>
      <c r="S912" s="25"/>
    </row>
    <row r="913">
      <c r="B913" s="25"/>
      <c r="G913" s="25"/>
      <c r="K913" s="25"/>
      <c r="M913" s="25"/>
      <c r="O913" s="25"/>
      <c r="Q913" s="25"/>
      <c r="S913" s="25"/>
    </row>
    <row r="914">
      <c r="B914" s="25"/>
      <c r="G914" s="25"/>
      <c r="K914" s="25"/>
      <c r="M914" s="25"/>
      <c r="O914" s="25"/>
      <c r="Q914" s="25"/>
      <c r="S914" s="25"/>
    </row>
    <row r="915">
      <c r="B915" s="25"/>
      <c r="G915" s="25"/>
      <c r="K915" s="25"/>
      <c r="M915" s="25"/>
      <c r="O915" s="25"/>
      <c r="Q915" s="25"/>
      <c r="S915" s="25"/>
    </row>
    <row r="916">
      <c r="B916" s="25"/>
      <c r="G916" s="25"/>
      <c r="K916" s="25"/>
      <c r="M916" s="25"/>
      <c r="O916" s="25"/>
      <c r="Q916" s="25"/>
      <c r="S916" s="25"/>
    </row>
    <row r="917">
      <c r="B917" s="25"/>
      <c r="G917" s="25"/>
      <c r="K917" s="25"/>
      <c r="M917" s="25"/>
      <c r="O917" s="25"/>
      <c r="Q917" s="25"/>
      <c r="S917" s="25"/>
    </row>
    <row r="918">
      <c r="B918" s="25"/>
      <c r="G918" s="25"/>
      <c r="K918" s="25"/>
      <c r="M918" s="25"/>
      <c r="O918" s="25"/>
      <c r="Q918" s="25"/>
      <c r="S918" s="25"/>
    </row>
    <row r="919">
      <c r="B919" s="25"/>
      <c r="G919" s="25"/>
      <c r="K919" s="25"/>
      <c r="M919" s="25"/>
      <c r="O919" s="25"/>
      <c r="Q919" s="25"/>
      <c r="S919" s="25"/>
    </row>
    <row r="920">
      <c r="B920" s="25"/>
      <c r="G920" s="25"/>
      <c r="K920" s="25"/>
      <c r="M920" s="25"/>
      <c r="O920" s="25"/>
      <c r="Q920" s="25"/>
      <c r="S920" s="25"/>
    </row>
    <row r="921">
      <c r="B921" s="25"/>
      <c r="G921" s="25"/>
      <c r="K921" s="25"/>
      <c r="M921" s="25"/>
      <c r="O921" s="25"/>
      <c r="Q921" s="25"/>
      <c r="S921" s="25"/>
    </row>
    <row r="922">
      <c r="B922" s="25"/>
      <c r="G922" s="25"/>
      <c r="K922" s="25"/>
      <c r="M922" s="25"/>
      <c r="O922" s="25"/>
      <c r="Q922" s="25"/>
      <c r="S922" s="25"/>
    </row>
    <row r="923">
      <c r="B923" s="25"/>
      <c r="G923" s="25"/>
      <c r="K923" s="25"/>
      <c r="M923" s="25"/>
      <c r="O923" s="25"/>
      <c r="Q923" s="25"/>
      <c r="S923" s="25"/>
    </row>
    <row r="924">
      <c r="B924" s="25"/>
      <c r="G924" s="25"/>
      <c r="K924" s="25"/>
      <c r="M924" s="25"/>
      <c r="O924" s="25"/>
      <c r="Q924" s="25"/>
      <c r="S924" s="25"/>
    </row>
    <row r="925">
      <c r="B925" s="25"/>
      <c r="G925" s="25"/>
      <c r="K925" s="25"/>
      <c r="M925" s="25"/>
      <c r="O925" s="25"/>
      <c r="Q925" s="25"/>
      <c r="S925" s="25"/>
    </row>
    <row r="926">
      <c r="B926" s="25"/>
      <c r="G926" s="25"/>
      <c r="K926" s="25"/>
      <c r="M926" s="25"/>
      <c r="O926" s="25"/>
      <c r="Q926" s="25"/>
      <c r="S926" s="25"/>
    </row>
    <row r="927">
      <c r="B927" s="25"/>
      <c r="G927" s="25"/>
      <c r="K927" s="25"/>
      <c r="M927" s="25"/>
      <c r="O927" s="25"/>
      <c r="Q927" s="25"/>
      <c r="S927" s="25"/>
    </row>
    <row r="928">
      <c r="B928" s="25"/>
      <c r="G928" s="25"/>
      <c r="K928" s="25"/>
      <c r="M928" s="25"/>
      <c r="O928" s="25"/>
      <c r="Q928" s="25"/>
      <c r="S928" s="25"/>
    </row>
    <row r="929">
      <c r="B929" s="25"/>
      <c r="G929" s="25"/>
      <c r="K929" s="25"/>
      <c r="M929" s="25"/>
      <c r="O929" s="25"/>
      <c r="Q929" s="25"/>
      <c r="S929" s="25"/>
    </row>
    <row r="930">
      <c r="B930" s="25"/>
      <c r="G930" s="25"/>
      <c r="K930" s="25"/>
      <c r="M930" s="25"/>
      <c r="O930" s="25"/>
      <c r="Q930" s="25"/>
      <c r="S930" s="25"/>
    </row>
    <row r="931">
      <c r="B931" s="25"/>
      <c r="G931" s="25"/>
      <c r="K931" s="25"/>
      <c r="M931" s="25"/>
      <c r="O931" s="25"/>
      <c r="Q931" s="25"/>
      <c r="S931" s="25"/>
    </row>
    <row r="932">
      <c r="B932" s="25"/>
      <c r="G932" s="25"/>
      <c r="K932" s="25"/>
      <c r="M932" s="25"/>
      <c r="O932" s="25"/>
      <c r="Q932" s="25"/>
      <c r="S932" s="25"/>
    </row>
    <row r="933">
      <c r="B933" s="25"/>
      <c r="G933" s="25"/>
      <c r="K933" s="25"/>
      <c r="M933" s="25"/>
      <c r="O933" s="25"/>
      <c r="Q933" s="25"/>
      <c r="S933" s="25"/>
    </row>
    <row r="934">
      <c r="B934" s="25"/>
      <c r="G934" s="25"/>
      <c r="K934" s="25"/>
      <c r="M934" s="25"/>
      <c r="O934" s="25"/>
      <c r="Q934" s="25"/>
      <c r="S934" s="25"/>
    </row>
    <row r="935">
      <c r="B935" s="25"/>
      <c r="G935" s="25"/>
      <c r="K935" s="25"/>
      <c r="M935" s="25"/>
      <c r="O935" s="25"/>
      <c r="Q935" s="25"/>
      <c r="S935" s="25"/>
    </row>
    <row r="936">
      <c r="B936" s="25"/>
      <c r="G936" s="25"/>
      <c r="K936" s="25"/>
      <c r="M936" s="25"/>
      <c r="O936" s="25"/>
      <c r="Q936" s="25"/>
      <c r="S936" s="25"/>
    </row>
    <row r="937">
      <c r="B937" s="25"/>
      <c r="G937" s="25"/>
      <c r="K937" s="25"/>
      <c r="M937" s="25"/>
      <c r="O937" s="25"/>
      <c r="Q937" s="25"/>
      <c r="S937" s="25"/>
    </row>
    <row r="938">
      <c r="B938" s="25"/>
      <c r="G938" s="25"/>
      <c r="K938" s="25"/>
      <c r="M938" s="25"/>
      <c r="O938" s="25"/>
      <c r="Q938" s="25"/>
      <c r="S938" s="25"/>
    </row>
    <row r="939">
      <c r="B939" s="25"/>
      <c r="G939" s="25"/>
      <c r="K939" s="25"/>
      <c r="M939" s="25"/>
      <c r="O939" s="25"/>
      <c r="Q939" s="25"/>
      <c r="S939" s="25"/>
    </row>
    <row r="940">
      <c r="B940" s="25"/>
      <c r="G940" s="25"/>
      <c r="K940" s="25"/>
      <c r="M940" s="25"/>
      <c r="O940" s="25"/>
      <c r="Q940" s="25"/>
      <c r="S940" s="25"/>
    </row>
    <row r="941">
      <c r="B941" s="25"/>
      <c r="G941" s="25"/>
      <c r="K941" s="25"/>
      <c r="M941" s="25"/>
      <c r="O941" s="25"/>
      <c r="Q941" s="25"/>
      <c r="S941" s="25"/>
    </row>
    <row r="942">
      <c r="B942" s="25"/>
      <c r="G942" s="25"/>
      <c r="K942" s="25"/>
      <c r="M942" s="25"/>
      <c r="O942" s="25"/>
      <c r="Q942" s="25"/>
      <c r="S942" s="25"/>
    </row>
    <row r="943">
      <c r="B943" s="25"/>
      <c r="G943" s="25"/>
      <c r="K943" s="25"/>
      <c r="M943" s="25"/>
      <c r="O943" s="25"/>
      <c r="Q943" s="25"/>
      <c r="S943" s="25"/>
    </row>
    <row r="944">
      <c r="B944" s="25"/>
      <c r="G944" s="25"/>
      <c r="K944" s="25"/>
      <c r="M944" s="25"/>
      <c r="O944" s="25"/>
      <c r="Q944" s="25"/>
      <c r="S944" s="25"/>
    </row>
    <row r="945">
      <c r="B945" s="25"/>
      <c r="G945" s="25"/>
      <c r="K945" s="25"/>
      <c r="M945" s="25"/>
      <c r="O945" s="25"/>
      <c r="Q945" s="25"/>
      <c r="S945" s="25"/>
    </row>
    <row r="946">
      <c r="B946" s="25"/>
      <c r="G946" s="25"/>
      <c r="K946" s="25"/>
      <c r="M946" s="25"/>
      <c r="O946" s="25"/>
      <c r="Q946" s="25"/>
      <c r="S946" s="25"/>
    </row>
    <row r="947">
      <c r="B947" s="25"/>
      <c r="G947" s="25"/>
      <c r="K947" s="25"/>
      <c r="M947" s="25"/>
      <c r="O947" s="25"/>
      <c r="Q947" s="25"/>
      <c r="S947" s="25"/>
    </row>
    <row r="948">
      <c r="B948" s="25"/>
      <c r="G948" s="25"/>
      <c r="K948" s="25"/>
      <c r="M948" s="25"/>
      <c r="O948" s="25"/>
      <c r="Q948" s="25"/>
      <c r="S948" s="25"/>
    </row>
    <row r="949">
      <c r="B949" s="25"/>
      <c r="G949" s="25"/>
      <c r="K949" s="25"/>
      <c r="M949" s="25"/>
      <c r="O949" s="25"/>
      <c r="Q949" s="25"/>
      <c r="S949" s="25"/>
    </row>
    <row r="950">
      <c r="B950" s="25"/>
      <c r="G950" s="25"/>
      <c r="K950" s="25"/>
      <c r="M950" s="25"/>
      <c r="O950" s="25"/>
      <c r="Q950" s="25"/>
      <c r="S950" s="25"/>
    </row>
    <row r="951">
      <c r="B951" s="25"/>
      <c r="G951" s="25"/>
      <c r="K951" s="25"/>
      <c r="M951" s="25"/>
      <c r="O951" s="25"/>
      <c r="Q951" s="25"/>
      <c r="S951" s="25"/>
    </row>
    <row r="952">
      <c r="B952" s="25"/>
      <c r="G952" s="25"/>
      <c r="K952" s="25"/>
      <c r="M952" s="25"/>
      <c r="O952" s="25"/>
      <c r="Q952" s="25"/>
      <c r="S952" s="25"/>
    </row>
    <row r="953">
      <c r="B953" s="25"/>
      <c r="G953" s="25"/>
      <c r="K953" s="25"/>
      <c r="M953" s="25"/>
      <c r="O953" s="25"/>
      <c r="Q953" s="25"/>
      <c r="S953" s="25"/>
    </row>
    <row r="954">
      <c r="B954" s="25"/>
      <c r="G954" s="25"/>
      <c r="K954" s="25"/>
      <c r="M954" s="25"/>
      <c r="O954" s="25"/>
      <c r="Q954" s="25"/>
      <c r="S954" s="25"/>
    </row>
    <row r="955">
      <c r="B955" s="25"/>
      <c r="G955" s="25"/>
      <c r="K955" s="25"/>
      <c r="M955" s="25"/>
      <c r="O955" s="25"/>
      <c r="Q955" s="25"/>
      <c r="S955" s="25"/>
    </row>
    <row r="956">
      <c r="B956" s="25"/>
      <c r="G956" s="25"/>
      <c r="K956" s="25"/>
      <c r="M956" s="25"/>
      <c r="O956" s="25"/>
      <c r="Q956" s="25"/>
      <c r="S956" s="25"/>
    </row>
    <row r="957">
      <c r="B957" s="25"/>
      <c r="G957" s="25"/>
      <c r="K957" s="25"/>
      <c r="M957" s="25"/>
      <c r="O957" s="25"/>
      <c r="Q957" s="25"/>
      <c r="S957" s="25"/>
    </row>
    <row r="958">
      <c r="B958" s="25"/>
      <c r="G958" s="25"/>
      <c r="K958" s="25"/>
      <c r="M958" s="25"/>
      <c r="O958" s="25"/>
      <c r="Q958" s="25"/>
      <c r="S958" s="25"/>
    </row>
    <row r="959">
      <c r="B959" s="25"/>
      <c r="G959" s="25"/>
      <c r="K959" s="25"/>
      <c r="M959" s="25"/>
      <c r="O959" s="25"/>
      <c r="Q959" s="25"/>
      <c r="S959" s="25"/>
    </row>
    <row r="960">
      <c r="B960" s="25"/>
      <c r="G960" s="25"/>
      <c r="K960" s="25"/>
      <c r="M960" s="25"/>
      <c r="O960" s="25"/>
      <c r="Q960" s="25"/>
      <c r="S960" s="25"/>
    </row>
    <row r="961">
      <c r="B961" s="25"/>
      <c r="G961" s="25"/>
      <c r="K961" s="25"/>
      <c r="M961" s="25"/>
      <c r="O961" s="25"/>
      <c r="Q961" s="25"/>
      <c r="S961" s="25"/>
    </row>
    <row r="962">
      <c r="B962" s="25"/>
      <c r="G962" s="25"/>
      <c r="K962" s="25"/>
      <c r="M962" s="25"/>
      <c r="O962" s="25"/>
      <c r="Q962" s="25"/>
      <c r="S962" s="25"/>
    </row>
    <row r="963">
      <c r="B963" s="25"/>
      <c r="G963" s="25"/>
      <c r="K963" s="25"/>
      <c r="M963" s="25"/>
      <c r="O963" s="25"/>
      <c r="Q963" s="25"/>
      <c r="S963" s="25"/>
    </row>
    <row r="964">
      <c r="B964" s="25"/>
      <c r="G964" s="25"/>
      <c r="K964" s="25"/>
      <c r="M964" s="25"/>
      <c r="O964" s="25"/>
      <c r="Q964" s="25"/>
      <c r="S964" s="25"/>
    </row>
    <row r="965">
      <c r="B965" s="25"/>
      <c r="G965" s="25"/>
      <c r="K965" s="25"/>
      <c r="M965" s="25"/>
      <c r="O965" s="25"/>
      <c r="Q965" s="25"/>
      <c r="S965" s="25"/>
    </row>
    <row r="966">
      <c r="B966" s="25"/>
      <c r="G966" s="25"/>
      <c r="K966" s="25"/>
      <c r="M966" s="25"/>
      <c r="O966" s="25"/>
      <c r="Q966" s="25"/>
      <c r="S966" s="25"/>
    </row>
    <row r="967">
      <c r="B967" s="25"/>
      <c r="G967" s="25"/>
      <c r="K967" s="25"/>
      <c r="M967" s="25"/>
      <c r="O967" s="25"/>
      <c r="Q967" s="25"/>
      <c r="S967" s="25"/>
    </row>
    <row r="968">
      <c r="B968" s="25"/>
      <c r="G968" s="25"/>
      <c r="K968" s="25"/>
      <c r="M968" s="25"/>
      <c r="O968" s="25"/>
      <c r="Q968" s="25"/>
      <c r="S968" s="25"/>
    </row>
    <row r="969">
      <c r="B969" s="25"/>
      <c r="G969" s="25"/>
      <c r="K969" s="25"/>
      <c r="M969" s="25"/>
      <c r="O969" s="25"/>
      <c r="Q969" s="25"/>
      <c r="S969" s="25"/>
    </row>
    <row r="970">
      <c r="B970" s="25"/>
      <c r="G970" s="25"/>
      <c r="K970" s="25"/>
      <c r="M970" s="25"/>
      <c r="O970" s="25"/>
      <c r="Q970" s="25"/>
      <c r="S970" s="25"/>
    </row>
    <row r="971">
      <c r="B971" s="25"/>
      <c r="G971" s="25"/>
      <c r="K971" s="25"/>
      <c r="M971" s="25"/>
      <c r="O971" s="25"/>
      <c r="Q971" s="25"/>
      <c r="S971" s="25"/>
    </row>
    <row r="972">
      <c r="B972" s="25"/>
      <c r="G972" s="25"/>
      <c r="K972" s="25"/>
      <c r="M972" s="25"/>
      <c r="O972" s="25"/>
      <c r="Q972" s="25"/>
      <c r="S972" s="25"/>
    </row>
    <row r="973">
      <c r="B973" s="25"/>
      <c r="G973" s="25"/>
      <c r="K973" s="25"/>
      <c r="M973" s="25"/>
      <c r="O973" s="25"/>
      <c r="Q973" s="25"/>
      <c r="S973" s="25"/>
    </row>
    <row r="974">
      <c r="B974" s="25"/>
      <c r="G974" s="25"/>
      <c r="K974" s="25"/>
      <c r="M974" s="25"/>
      <c r="O974" s="25"/>
      <c r="Q974" s="25"/>
      <c r="S974" s="25"/>
    </row>
    <row r="975">
      <c r="B975" s="25"/>
      <c r="G975" s="25"/>
      <c r="K975" s="25"/>
      <c r="M975" s="25"/>
      <c r="O975" s="25"/>
      <c r="Q975" s="25"/>
      <c r="S975" s="25"/>
    </row>
    <row r="976">
      <c r="B976" s="25"/>
      <c r="G976" s="25"/>
      <c r="K976" s="25"/>
      <c r="M976" s="25"/>
      <c r="O976" s="25"/>
      <c r="Q976" s="25"/>
      <c r="S976" s="25"/>
    </row>
    <row r="977">
      <c r="B977" s="25"/>
      <c r="G977" s="25"/>
      <c r="K977" s="25"/>
      <c r="M977" s="25"/>
      <c r="O977" s="25"/>
      <c r="Q977" s="25"/>
      <c r="S977" s="25"/>
    </row>
    <row r="978">
      <c r="B978" s="25"/>
      <c r="G978" s="25"/>
      <c r="K978" s="25"/>
      <c r="M978" s="25"/>
      <c r="O978" s="25"/>
      <c r="Q978" s="25"/>
      <c r="S978" s="25"/>
    </row>
    <row r="979">
      <c r="B979" s="25"/>
      <c r="G979" s="25"/>
      <c r="K979" s="25"/>
      <c r="M979" s="25"/>
      <c r="O979" s="25"/>
      <c r="Q979" s="25"/>
      <c r="S979" s="25"/>
    </row>
    <row r="980">
      <c r="B980" s="25"/>
      <c r="G980" s="25"/>
      <c r="K980" s="25"/>
      <c r="M980" s="25"/>
      <c r="O980" s="25"/>
      <c r="Q980" s="25"/>
      <c r="S980" s="25"/>
    </row>
    <row r="981">
      <c r="B981" s="25"/>
      <c r="G981" s="25"/>
      <c r="K981" s="25"/>
      <c r="M981" s="25"/>
      <c r="O981" s="25"/>
      <c r="Q981" s="25"/>
      <c r="S981" s="25"/>
    </row>
    <row r="982">
      <c r="B982" s="25"/>
      <c r="G982" s="25"/>
      <c r="K982" s="25"/>
      <c r="M982" s="25"/>
      <c r="O982" s="25"/>
      <c r="Q982" s="25"/>
      <c r="S982" s="25"/>
    </row>
    <row r="983">
      <c r="B983" s="25"/>
      <c r="G983" s="25"/>
      <c r="K983" s="25"/>
      <c r="M983" s="25"/>
      <c r="O983" s="25"/>
      <c r="Q983" s="25"/>
      <c r="S983" s="25"/>
    </row>
    <row r="984">
      <c r="B984" s="25"/>
      <c r="G984" s="25"/>
      <c r="K984" s="25"/>
      <c r="M984" s="25"/>
      <c r="O984" s="25"/>
      <c r="Q984" s="25"/>
      <c r="S984" s="25"/>
    </row>
    <row r="985">
      <c r="B985" s="25"/>
      <c r="G985" s="25"/>
      <c r="K985" s="25"/>
      <c r="M985" s="25"/>
      <c r="O985" s="25"/>
      <c r="Q985" s="25"/>
      <c r="S985" s="25"/>
    </row>
    <row r="986">
      <c r="B986" s="25"/>
      <c r="G986" s="25"/>
      <c r="K986" s="25"/>
      <c r="M986" s="25"/>
      <c r="O986" s="25"/>
      <c r="Q986" s="25"/>
      <c r="S986" s="25"/>
    </row>
    <row r="987">
      <c r="B987" s="25"/>
      <c r="G987" s="25"/>
      <c r="K987" s="25"/>
      <c r="M987" s="25"/>
      <c r="O987" s="25"/>
      <c r="Q987" s="25"/>
      <c r="S987" s="25"/>
    </row>
    <row r="988">
      <c r="B988" s="25"/>
      <c r="G988" s="25"/>
      <c r="K988" s="25"/>
      <c r="M988" s="25"/>
      <c r="O988" s="25"/>
      <c r="Q988" s="25"/>
      <c r="S988" s="25"/>
    </row>
    <row r="989">
      <c r="B989" s="25"/>
      <c r="G989" s="25"/>
      <c r="K989" s="25"/>
      <c r="M989" s="25"/>
      <c r="O989" s="25"/>
      <c r="Q989" s="25"/>
      <c r="S989" s="25"/>
    </row>
    <row r="990">
      <c r="B990" s="25"/>
      <c r="G990" s="25"/>
      <c r="K990" s="25"/>
      <c r="M990" s="25"/>
      <c r="O990" s="25"/>
      <c r="Q990" s="25"/>
      <c r="S990" s="25"/>
    </row>
    <row r="991">
      <c r="B991" s="25"/>
      <c r="G991" s="25"/>
      <c r="K991" s="25"/>
      <c r="M991" s="25"/>
      <c r="O991" s="25"/>
      <c r="Q991" s="25"/>
      <c r="S991" s="25"/>
    </row>
    <row r="992">
      <c r="B992" s="25"/>
      <c r="G992" s="25"/>
      <c r="K992" s="25"/>
      <c r="M992" s="25"/>
      <c r="O992" s="25"/>
      <c r="Q992" s="25"/>
      <c r="S992" s="25"/>
    </row>
    <row r="993">
      <c r="B993" s="25"/>
      <c r="G993" s="25"/>
      <c r="K993" s="25"/>
      <c r="M993" s="25"/>
      <c r="O993" s="25"/>
      <c r="Q993" s="25"/>
      <c r="S993" s="25"/>
    </row>
    <row r="994">
      <c r="B994" s="25"/>
      <c r="G994" s="25"/>
      <c r="K994" s="25"/>
      <c r="M994" s="25"/>
      <c r="O994" s="25"/>
      <c r="Q994" s="25"/>
      <c r="S994" s="25"/>
    </row>
    <row r="995">
      <c r="B995" s="25"/>
      <c r="G995" s="25"/>
      <c r="K995" s="25"/>
      <c r="M995" s="25"/>
      <c r="O995" s="25"/>
      <c r="Q995" s="25"/>
      <c r="S995" s="25"/>
    </row>
    <row r="996">
      <c r="B996" s="25"/>
      <c r="G996" s="25"/>
      <c r="K996" s="25"/>
      <c r="M996" s="25"/>
      <c r="O996" s="25"/>
      <c r="Q996" s="25"/>
      <c r="S996" s="25"/>
    </row>
    <row r="997">
      <c r="B997" s="25"/>
      <c r="G997" s="25"/>
      <c r="K997" s="25"/>
      <c r="M997" s="25"/>
      <c r="O997" s="25"/>
      <c r="Q997" s="25"/>
      <c r="S997" s="25"/>
    </row>
    <row r="998">
      <c r="B998" s="25"/>
      <c r="G998" s="25"/>
      <c r="K998" s="25"/>
      <c r="M998" s="25"/>
      <c r="O998" s="25"/>
      <c r="Q998" s="25"/>
      <c r="S998" s="25"/>
    </row>
    <row r="999">
      <c r="B999" s="25"/>
      <c r="G999" s="25"/>
      <c r="K999" s="25"/>
      <c r="M999" s="25"/>
      <c r="O999" s="25"/>
      <c r="Q999" s="25"/>
      <c r="S999" s="25"/>
    </row>
    <row r="1000">
      <c r="B1000" s="25"/>
      <c r="G1000" s="25"/>
      <c r="K1000" s="25"/>
      <c r="M1000" s="25"/>
      <c r="O1000" s="25"/>
      <c r="Q1000" s="25"/>
      <c r="S1000" s="25"/>
    </row>
    <row r="1001">
      <c r="B1001" s="25"/>
      <c r="G1001" s="25"/>
      <c r="K1001" s="25"/>
      <c r="M1001" s="25"/>
      <c r="O1001" s="25"/>
      <c r="Q1001" s="25"/>
      <c r="S1001" s="25"/>
    </row>
    <row r="1002">
      <c r="B1002" s="25"/>
      <c r="G1002" s="25"/>
      <c r="K1002" s="25"/>
      <c r="M1002" s="25"/>
      <c r="O1002" s="25"/>
      <c r="Q1002" s="25"/>
      <c r="S1002" s="25"/>
    </row>
    <row r="1003">
      <c r="B1003" s="25"/>
      <c r="G1003" s="25"/>
      <c r="K1003" s="25"/>
      <c r="M1003" s="25"/>
      <c r="O1003" s="25"/>
      <c r="Q1003" s="25"/>
      <c r="S1003" s="25"/>
    </row>
    <row r="1004">
      <c r="B1004" s="25"/>
      <c r="G1004" s="25"/>
      <c r="K1004" s="25"/>
      <c r="M1004" s="25"/>
      <c r="O1004" s="25"/>
      <c r="Q1004" s="25"/>
      <c r="S1004" s="25"/>
    </row>
    <row r="1005">
      <c r="B1005" s="25"/>
      <c r="G1005" s="25"/>
      <c r="K1005" s="25"/>
      <c r="M1005" s="25"/>
      <c r="O1005" s="25"/>
      <c r="Q1005" s="25"/>
      <c r="S1005" s="25"/>
    </row>
    <row r="1006">
      <c r="B1006" s="25"/>
      <c r="G1006" s="25"/>
      <c r="K1006" s="25"/>
      <c r="M1006" s="25"/>
      <c r="O1006" s="25"/>
      <c r="Q1006" s="25"/>
      <c r="S1006" s="25"/>
    </row>
    <row r="1007">
      <c r="B1007" s="25"/>
      <c r="G1007" s="25"/>
      <c r="K1007" s="25"/>
      <c r="M1007" s="25"/>
      <c r="O1007" s="25"/>
      <c r="Q1007" s="25"/>
      <c r="S1007" s="25"/>
    </row>
    <row r="1008">
      <c r="B1008" s="25"/>
      <c r="G1008" s="25"/>
      <c r="K1008" s="25"/>
      <c r="M1008" s="25"/>
      <c r="O1008" s="25"/>
      <c r="Q1008" s="25"/>
      <c r="S1008" s="25"/>
    </row>
    <row r="1009">
      <c r="B1009" s="25"/>
      <c r="G1009" s="25"/>
      <c r="K1009" s="25"/>
      <c r="M1009" s="25"/>
      <c r="O1009" s="25"/>
      <c r="Q1009" s="25"/>
      <c r="S1009" s="25"/>
    </row>
    <row r="1010">
      <c r="B1010" s="25"/>
      <c r="G1010" s="25"/>
      <c r="K1010" s="25"/>
      <c r="M1010" s="25"/>
      <c r="O1010" s="25"/>
      <c r="Q1010" s="25"/>
      <c r="S1010" s="25"/>
    </row>
    <row r="1011">
      <c r="B1011" s="25"/>
      <c r="G1011" s="25"/>
      <c r="K1011" s="25"/>
      <c r="M1011" s="25"/>
      <c r="O1011" s="25"/>
      <c r="Q1011" s="25"/>
      <c r="S1011" s="25"/>
    </row>
    <row r="1012">
      <c r="B1012" s="25"/>
      <c r="G1012" s="25"/>
      <c r="K1012" s="25"/>
      <c r="M1012" s="25"/>
      <c r="O1012" s="25"/>
      <c r="Q1012" s="25"/>
      <c r="S1012" s="25"/>
    </row>
    <row r="1013">
      <c r="B1013" s="25"/>
      <c r="G1013" s="25"/>
      <c r="K1013" s="25"/>
      <c r="M1013" s="25"/>
      <c r="O1013" s="25"/>
      <c r="Q1013" s="25"/>
      <c r="S1013" s="25"/>
    </row>
    <row r="1014">
      <c r="B1014" s="25"/>
      <c r="G1014" s="25"/>
      <c r="K1014" s="25"/>
      <c r="M1014" s="25"/>
      <c r="O1014" s="25"/>
      <c r="Q1014" s="25"/>
      <c r="S1014" s="25"/>
    </row>
    <row r="1015">
      <c r="B1015" s="25"/>
      <c r="G1015" s="25"/>
      <c r="K1015" s="25"/>
      <c r="M1015" s="25"/>
      <c r="O1015" s="25"/>
      <c r="Q1015" s="25"/>
      <c r="S1015" s="25"/>
    </row>
    <row r="1016">
      <c r="B1016" s="25"/>
      <c r="G1016" s="25"/>
      <c r="K1016" s="25"/>
      <c r="M1016" s="25"/>
      <c r="O1016" s="25"/>
      <c r="Q1016" s="25"/>
      <c r="S1016" s="25"/>
    </row>
    <row r="1017">
      <c r="B1017" s="25"/>
      <c r="G1017" s="25"/>
      <c r="K1017" s="25"/>
      <c r="M1017" s="25"/>
      <c r="O1017" s="25"/>
      <c r="Q1017" s="25"/>
      <c r="S1017" s="25"/>
    </row>
    <row r="1018">
      <c r="B1018" s="25"/>
      <c r="G1018" s="25"/>
      <c r="K1018" s="25"/>
      <c r="M1018" s="25"/>
      <c r="O1018" s="25"/>
      <c r="Q1018" s="25"/>
      <c r="S1018" s="25"/>
    </row>
    <row r="1019">
      <c r="B1019" s="25"/>
      <c r="G1019" s="25"/>
      <c r="K1019" s="25"/>
      <c r="M1019" s="25"/>
      <c r="O1019" s="25"/>
      <c r="Q1019" s="25"/>
      <c r="S1019" s="25"/>
    </row>
    <row r="1020">
      <c r="B1020" s="25"/>
      <c r="G1020" s="25"/>
      <c r="K1020" s="25"/>
      <c r="M1020" s="25"/>
      <c r="O1020" s="25"/>
      <c r="Q1020" s="25"/>
      <c r="S1020" s="25"/>
    </row>
    <row r="1021">
      <c r="B1021" s="25"/>
      <c r="G1021" s="25"/>
      <c r="K1021" s="25"/>
      <c r="M1021" s="25"/>
      <c r="O1021" s="25"/>
      <c r="Q1021" s="25"/>
      <c r="S1021" s="25"/>
    </row>
    <row r="1022">
      <c r="B1022" s="25"/>
      <c r="G1022" s="25"/>
      <c r="K1022" s="25"/>
      <c r="M1022" s="25"/>
      <c r="O1022" s="25"/>
      <c r="Q1022" s="25"/>
      <c r="S1022" s="25"/>
    </row>
    <row r="1023">
      <c r="B1023" s="25"/>
      <c r="G1023" s="25"/>
      <c r="K1023" s="25"/>
      <c r="M1023" s="25"/>
      <c r="O1023" s="25"/>
      <c r="Q1023" s="25"/>
      <c r="S1023" s="25"/>
    </row>
    <row r="1024">
      <c r="B1024" s="25"/>
      <c r="G1024" s="25"/>
      <c r="K1024" s="25"/>
      <c r="M1024" s="25"/>
      <c r="O1024" s="25"/>
      <c r="Q1024" s="25"/>
      <c r="S1024" s="25"/>
    </row>
    <row r="1025">
      <c r="B1025" s="25"/>
      <c r="G1025" s="25"/>
      <c r="K1025" s="25"/>
      <c r="M1025" s="25"/>
      <c r="O1025" s="25"/>
      <c r="Q1025" s="25"/>
      <c r="S1025" s="25"/>
    </row>
    <row r="1026">
      <c r="B1026" s="25"/>
      <c r="G1026" s="25"/>
      <c r="K1026" s="25"/>
      <c r="M1026" s="25"/>
      <c r="O1026" s="25"/>
      <c r="Q1026" s="25"/>
      <c r="S1026" s="25"/>
    </row>
    <row r="1027">
      <c r="B1027" s="25"/>
      <c r="G1027" s="25"/>
      <c r="K1027" s="25"/>
      <c r="M1027" s="25"/>
      <c r="O1027" s="25"/>
      <c r="Q1027" s="25"/>
      <c r="S1027" s="25"/>
    </row>
    <row r="1028">
      <c r="B1028" s="25"/>
      <c r="G1028" s="25"/>
      <c r="K1028" s="25"/>
      <c r="M1028" s="25"/>
      <c r="O1028" s="25"/>
      <c r="Q1028" s="25"/>
      <c r="S1028" s="25"/>
    </row>
    <row r="1029">
      <c r="B1029" s="25"/>
      <c r="G1029" s="25"/>
      <c r="K1029" s="25"/>
      <c r="M1029" s="25"/>
      <c r="O1029" s="25"/>
      <c r="Q1029" s="25"/>
      <c r="S1029" s="25"/>
    </row>
    <row r="1030">
      <c r="B1030" s="25"/>
      <c r="G1030" s="25"/>
      <c r="K1030" s="25"/>
      <c r="M1030" s="25"/>
      <c r="O1030" s="25"/>
      <c r="Q1030" s="25"/>
      <c r="S1030" s="25"/>
    </row>
    <row r="1031">
      <c r="B1031" s="25"/>
      <c r="G1031" s="25"/>
      <c r="K1031" s="25"/>
      <c r="M1031" s="25"/>
      <c r="O1031" s="25"/>
      <c r="Q1031" s="25"/>
      <c r="S1031" s="25"/>
    </row>
    <row r="1032">
      <c r="B1032" s="25"/>
      <c r="G1032" s="25"/>
      <c r="K1032" s="25"/>
      <c r="M1032" s="25"/>
      <c r="O1032" s="25"/>
      <c r="Q1032" s="25"/>
      <c r="S1032" s="25"/>
    </row>
    <row r="1033">
      <c r="B1033" s="25"/>
      <c r="G1033" s="25"/>
      <c r="K1033" s="25"/>
      <c r="M1033" s="25"/>
      <c r="O1033" s="25"/>
      <c r="Q1033" s="25"/>
      <c r="S1033" s="25"/>
    </row>
    <row r="1034">
      <c r="B1034" s="25"/>
      <c r="G1034" s="25"/>
      <c r="K1034" s="25"/>
      <c r="M1034" s="25"/>
      <c r="O1034" s="25"/>
      <c r="Q1034" s="25"/>
      <c r="S1034" s="25"/>
    </row>
    <row r="1035">
      <c r="B1035" s="25"/>
      <c r="G1035" s="25"/>
      <c r="K1035" s="25"/>
      <c r="M1035" s="25"/>
      <c r="O1035" s="25"/>
      <c r="Q1035" s="25"/>
      <c r="S1035" s="25"/>
    </row>
    <row r="1036">
      <c r="B1036" s="25"/>
      <c r="G1036" s="25"/>
      <c r="K1036" s="25"/>
      <c r="M1036" s="25"/>
      <c r="O1036" s="25"/>
      <c r="Q1036" s="25"/>
      <c r="S1036" s="25"/>
    </row>
    <row r="1037">
      <c r="B1037" s="25"/>
      <c r="G1037" s="25"/>
      <c r="K1037" s="25"/>
      <c r="M1037" s="25"/>
      <c r="O1037" s="25"/>
      <c r="Q1037" s="25"/>
      <c r="S1037" s="25"/>
    </row>
    <row r="1038">
      <c r="B1038" s="25"/>
      <c r="G1038" s="25"/>
      <c r="K1038" s="25"/>
      <c r="M1038" s="25"/>
      <c r="O1038" s="25"/>
      <c r="Q1038" s="25"/>
      <c r="S1038" s="25"/>
    </row>
    <row r="1039">
      <c r="B1039" s="25"/>
      <c r="G1039" s="25"/>
      <c r="K1039" s="25"/>
      <c r="M1039" s="25"/>
      <c r="O1039" s="25"/>
      <c r="Q1039" s="25"/>
      <c r="S1039" s="25"/>
    </row>
    <row r="1040">
      <c r="B1040" s="25"/>
      <c r="G1040" s="25"/>
      <c r="K1040" s="25"/>
      <c r="M1040" s="25"/>
      <c r="O1040" s="25"/>
      <c r="Q1040" s="25"/>
      <c r="S1040" s="25"/>
    </row>
    <row r="1041">
      <c r="B1041" s="25"/>
      <c r="G1041" s="25"/>
      <c r="K1041" s="25"/>
      <c r="M1041" s="25"/>
      <c r="O1041" s="25"/>
      <c r="Q1041" s="25"/>
      <c r="S1041" s="25"/>
    </row>
    <row r="1042">
      <c r="B1042" s="25"/>
      <c r="G1042" s="25"/>
      <c r="K1042" s="25"/>
      <c r="M1042" s="25"/>
      <c r="O1042" s="25"/>
      <c r="Q1042" s="25"/>
      <c r="S1042" s="25"/>
    </row>
    <row r="1043">
      <c r="B1043" s="25"/>
      <c r="G1043" s="25"/>
      <c r="K1043" s="25"/>
      <c r="M1043" s="25"/>
      <c r="O1043" s="25"/>
      <c r="Q1043" s="25"/>
      <c r="S1043" s="25"/>
    </row>
    <row r="1044">
      <c r="B1044" s="25"/>
      <c r="G1044" s="25"/>
      <c r="K1044" s="25"/>
      <c r="M1044" s="25"/>
      <c r="O1044" s="25"/>
      <c r="Q1044" s="25"/>
      <c r="S1044" s="25"/>
    </row>
    <row r="1045">
      <c r="B1045" s="25"/>
      <c r="G1045" s="25"/>
      <c r="K1045" s="25"/>
      <c r="M1045" s="25"/>
      <c r="O1045" s="25"/>
      <c r="Q1045" s="25"/>
      <c r="S1045" s="25"/>
    </row>
    <row r="1046">
      <c r="B1046" s="25"/>
      <c r="G1046" s="25"/>
      <c r="K1046" s="25"/>
      <c r="M1046" s="25"/>
      <c r="O1046" s="25"/>
      <c r="Q1046" s="25"/>
      <c r="S1046" s="25"/>
    </row>
    <row r="1047">
      <c r="B1047" s="25"/>
      <c r="G1047" s="25"/>
      <c r="K1047" s="25"/>
      <c r="M1047" s="25"/>
      <c r="O1047" s="25"/>
      <c r="Q1047" s="25"/>
      <c r="S1047" s="25"/>
    </row>
    <row r="1048">
      <c r="B1048" s="25"/>
      <c r="G1048" s="25"/>
      <c r="K1048" s="25"/>
      <c r="M1048" s="25"/>
      <c r="O1048" s="25"/>
      <c r="Q1048" s="25"/>
      <c r="S1048" s="25"/>
    </row>
    <row r="1049">
      <c r="B1049" s="25"/>
      <c r="G1049" s="25"/>
      <c r="K1049" s="25"/>
      <c r="M1049" s="25"/>
      <c r="O1049" s="25"/>
      <c r="Q1049" s="25"/>
      <c r="S1049" s="25"/>
    </row>
  </sheetData>
  <conditionalFormatting sqref="C1:G1049">
    <cfRule type="cellIs" dxfId="6" priority="1" operator="equal">
      <formula>1</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71"/>
    <col customWidth="1" min="2" max="2" width="4.29"/>
    <col customWidth="1" min="3" max="3" width="45.14"/>
    <col customWidth="1" min="5" max="5" width="15.0"/>
    <col customWidth="1" min="6" max="6" width="49.14"/>
    <col customWidth="1" min="9" max="9" width="20.71"/>
  </cols>
  <sheetData>
    <row r="1">
      <c r="A1" s="1" t="s">
        <v>98</v>
      </c>
      <c r="B1" s="31" t="s">
        <v>99</v>
      </c>
      <c r="C1" s="31" t="s">
        <v>100</v>
      </c>
      <c r="D1" s="32"/>
      <c r="E1" s="33" t="s">
        <v>101</v>
      </c>
      <c r="F1" s="32"/>
    </row>
    <row r="2">
      <c r="B2" s="31">
        <v>1.0</v>
      </c>
      <c r="C2" s="31" t="s">
        <v>102</v>
      </c>
      <c r="D2" s="31" t="s">
        <v>103</v>
      </c>
      <c r="E2" s="33" t="s">
        <v>104</v>
      </c>
      <c r="F2" s="33"/>
      <c r="G2" s="1"/>
      <c r="H2" s="33" t="s">
        <v>105</v>
      </c>
      <c r="I2" s="33" t="s">
        <v>1</v>
      </c>
    </row>
    <row r="3">
      <c r="B3" s="31">
        <v>2.0</v>
      </c>
      <c r="C3" s="31" t="s">
        <v>106</v>
      </c>
      <c r="D3" s="31" t="s">
        <v>107</v>
      </c>
      <c r="E3" s="33" t="s">
        <v>104</v>
      </c>
      <c r="F3" s="33"/>
      <c r="G3" s="1"/>
      <c r="H3" s="33">
        <v>2.1</v>
      </c>
      <c r="I3" s="33" t="s">
        <v>11</v>
      </c>
    </row>
    <row r="4">
      <c r="B4" s="31">
        <v>3.0</v>
      </c>
      <c r="C4" s="31" t="s">
        <v>108</v>
      </c>
      <c r="D4" s="33" t="s">
        <v>34</v>
      </c>
      <c r="E4" s="33" t="s">
        <v>104</v>
      </c>
      <c r="F4" s="33"/>
      <c r="G4" s="1"/>
      <c r="H4" s="33">
        <v>2.2</v>
      </c>
      <c r="I4" s="33" t="s">
        <v>55</v>
      </c>
    </row>
    <row r="5">
      <c r="B5" s="32"/>
      <c r="C5" s="31" t="s">
        <v>108</v>
      </c>
      <c r="D5" s="33" t="s">
        <v>109</v>
      </c>
      <c r="E5" s="33" t="s">
        <v>104</v>
      </c>
      <c r="F5" s="33"/>
      <c r="G5" s="1"/>
      <c r="H5" s="33">
        <v>2.4</v>
      </c>
      <c r="I5" s="33" t="s">
        <v>57</v>
      </c>
    </row>
    <row r="6">
      <c r="B6" s="32"/>
      <c r="C6" s="31" t="s">
        <v>108</v>
      </c>
      <c r="D6" s="31" t="s">
        <v>110</v>
      </c>
      <c r="E6" s="33" t="s">
        <v>104</v>
      </c>
      <c r="F6" s="33"/>
      <c r="G6" s="1"/>
      <c r="H6" s="33">
        <v>3.1</v>
      </c>
      <c r="I6" s="33" t="s">
        <v>59</v>
      </c>
    </row>
    <row r="7">
      <c r="B7" s="32"/>
      <c r="C7" s="31" t="s">
        <v>108</v>
      </c>
      <c r="D7" s="33" t="s">
        <v>112</v>
      </c>
      <c r="E7" s="33" t="s">
        <v>104</v>
      </c>
      <c r="F7" s="33"/>
      <c r="G7" s="1"/>
      <c r="H7" s="33">
        <v>3.2</v>
      </c>
      <c r="I7" s="33" t="s">
        <v>61</v>
      </c>
    </row>
    <row r="8">
      <c r="B8" s="31">
        <v>5.0</v>
      </c>
      <c r="C8" s="31" t="s">
        <v>113</v>
      </c>
      <c r="D8" s="31" t="s">
        <v>114</v>
      </c>
      <c r="E8" s="33" t="s">
        <v>104</v>
      </c>
      <c r="F8" s="33"/>
      <c r="G8" s="1"/>
      <c r="H8" s="33">
        <v>3.3</v>
      </c>
      <c r="I8" s="33" t="s">
        <v>63</v>
      </c>
    </row>
    <row r="9">
      <c r="B9" s="31">
        <v>6.0</v>
      </c>
      <c r="C9" s="31" t="s">
        <v>115</v>
      </c>
      <c r="D9" s="31" t="s">
        <v>116</v>
      </c>
      <c r="E9" s="33" t="s">
        <v>104</v>
      </c>
      <c r="F9" s="33"/>
      <c r="G9" s="1"/>
      <c r="H9" s="33">
        <v>3.4</v>
      </c>
      <c r="I9" s="33" t="s">
        <v>66</v>
      </c>
    </row>
    <row r="10">
      <c r="B10" s="31">
        <v>7.0</v>
      </c>
      <c r="C10" s="31" t="s">
        <v>117</v>
      </c>
      <c r="D10" s="31" t="s">
        <v>118</v>
      </c>
      <c r="E10" s="33" t="s">
        <v>104</v>
      </c>
      <c r="F10" s="33"/>
      <c r="G10" s="1"/>
      <c r="H10" s="33">
        <v>3.5</v>
      </c>
      <c r="I10" s="33" t="s">
        <v>70</v>
      </c>
    </row>
    <row r="11">
      <c r="B11" s="31">
        <v>8.0</v>
      </c>
      <c r="C11" s="31" t="s">
        <v>119</v>
      </c>
      <c r="D11" s="31" t="s">
        <v>120</v>
      </c>
      <c r="E11" s="33" t="s">
        <v>104</v>
      </c>
      <c r="F11" s="33"/>
      <c r="G11" s="1"/>
    </row>
    <row r="12">
      <c r="B12" s="31">
        <v>9.0</v>
      </c>
      <c r="C12" s="31" t="s">
        <v>121</v>
      </c>
      <c r="D12" s="31" t="s">
        <v>122</v>
      </c>
      <c r="E12" s="33" t="s">
        <v>104</v>
      </c>
      <c r="F12" s="32"/>
    </row>
    <row r="13">
      <c r="B13" s="31">
        <v>10.0</v>
      </c>
      <c r="C13" s="31" t="s">
        <v>123</v>
      </c>
      <c r="D13" s="31" t="s">
        <v>124</v>
      </c>
      <c r="E13" s="33" t="s">
        <v>104</v>
      </c>
      <c r="F13" s="32"/>
    </row>
    <row r="14">
      <c r="B14" s="31">
        <v>11.0</v>
      </c>
      <c r="C14" s="31" t="s">
        <v>125</v>
      </c>
      <c r="D14" s="31" t="s">
        <v>126</v>
      </c>
      <c r="E14" s="33" t="s">
        <v>127</v>
      </c>
      <c r="F14" s="33" t="s">
        <v>128</v>
      </c>
    </row>
    <row r="15">
      <c r="B15" s="31"/>
      <c r="C15" s="33" t="s">
        <v>129</v>
      </c>
      <c r="D15" s="33" t="s">
        <v>130</v>
      </c>
      <c r="E15" s="33" t="s">
        <v>127</v>
      </c>
      <c r="F15" s="33" t="s">
        <v>128</v>
      </c>
    </row>
    <row r="16">
      <c r="B16" s="31">
        <v>12.0</v>
      </c>
      <c r="C16" s="31" t="s">
        <v>131</v>
      </c>
      <c r="D16" s="31" t="s">
        <v>132</v>
      </c>
      <c r="E16" s="33" t="s">
        <v>127</v>
      </c>
      <c r="F16" s="32"/>
    </row>
    <row r="17">
      <c r="B17" s="31">
        <v>13.0</v>
      </c>
      <c r="C17" s="31" t="s">
        <v>133</v>
      </c>
      <c r="D17" s="31" t="s">
        <v>134</v>
      </c>
      <c r="E17" s="33" t="s">
        <v>135</v>
      </c>
      <c r="F17" s="32"/>
    </row>
    <row r="18">
      <c r="B18" s="31">
        <v>14.0</v>
      </c>
      <c r="C18" s="31" t="s">
        <v>136</v>
      </c>
      <c r="D18" s="31" t="s">
        <v>137</v>
      </c>
      <c r="E18" s="33" t="s">
        <v>138</v>
      </c>
      <c r="F18" s="32"/>
    </row>
    <row r="19">
      <c r="B19" s="34">
        <v>141.0</v>
      </c>
      <c r="C19" s="35" t="s">
        <v>139</v>
      </c>
      <c r="D19" s="33" t="s">
        <v>141</v>
      </c>
      <c r="E19" s="33" t="s">
        <v>138</v>
      </c>
      <c r="F19" s="32"/>
    </row>
    <row r="20">
      <c r="B20" s="34">
        <v>142.0</v>
      </c>
      <c r="C20" s="35" t="s">
        <v>142</v>
      </c>
      <c r="D20" s="33" t="s">
        <v>143</v>
      </c>
      <c r="E20" s="33" t="s">
        <v>138</v>
      </c>
      <c r="F20" s="32"/>
    </row>
    <row r="21">
      <c r="B21" s="34">
        <v>143.0</v>
      </c>
      <c r="C21" s="35" t="s">
        <v>144</v>
      </c>
      <c r="D21" s="33" t="s">
        <v>145</v>
      </c>
      <c r="E21" s="33" t="s">
        <v>138</v>
      </c>
      <c r="F21" s="32"/>
    </row>
    <row r="22">
      <c r="B22" s="34">
        <v>144.0</v>
      </c>
      <c r="C22" s="35" t="s">
        <v>146</v>
      </c>
      <c r="D22" s="33" t="s">
        <v>147</v>
      </c>
      <c r="E22" s="33" t="s">
        <v>138</v>
      </c>
      <c r="F22" s="32"/>
    </row>
    <row r="23">
      <c r="B23" s="34">
        <v>145.0</v>
      </c>
      <c r="C23" s="35" t="s">
        <v>148</v>
      </c>
      <c r="D23" s="33" t="s">
        <v>149</v>
      </c>
      <c r="E23" s="33" t="s">
        <v>138</v>
      </c>
      <c r="F23" s="32"/>
    </row>
    <row r="24">
      <c r="B24" s="34">
        <v>149.0</v>
      </c>
      <c r="C24" s="35" t="s">
        <v>150</v>
      </c>
      <c r="D24" s="33" t="s">
        <v>28</v>
      </c>
      <c r="E24" s="32"/>
      <c r="F24" s="32"/>
    </row>
    <row r="25">
      <c r="B25" s="34">
        <v>15.0</v>
      </c>
      <c r="C25" s="35" t="s">
        <v>151</v>
      </c>
      <c r="D25" s="33" t="s">
        <v>26</v>
      </c>
      <c r="E25" s="33"/>
      <c r="F25" s="32"/>
    </row>
    <row r="26">
      <c r="B26" s="34">
        <v>151.0</v>
      </c>
      <c r="C26" s="35" t="s">
        <v>152</v>
      </c>
      <c r="D26" s="33" t="s">
        <v>153</v>
      </c>
      <c r="E26" s="33" t="s">
        <v>138</v>
      </c>
      <c r="F26" s="32"/>
    </row>
    <row r="27">
      <c r="B27" s="34">
        <v>152.0</v>
      </c>
      <c r="C27" s="35" t="s">
        <v>155</v>
      </c>
      <c r="D27" s="33" t="s">
        <v>157</v>
      </c>
      <c r="E27" s="33" t="s">
        <v>138</v>
      </c>
      <c r="F27" s="32"/>
    </row>
    <row r="28">
      <c r="B28" s="34">
        <v>159.0</v>
      </c>
      <c r="C28" s="35" t="s">
        <v>150</v>
      </c>
      <c r="D28" s="33" t="s">
        <v>28</v>
      </c>
      <c r="E28" s="32"/>
      <c r="F28" s="32"/>
    </row>
    <row r="29">
      <c r="B29" s="34">
        <v>16.0</v>
      </c>
      <c r="C29" s="35" t="s">
        <v>158</v>
      </c>
      <c r="D29" s="33" t="s">
        <v>33</v>
      </c>
      <c r="E29" s="32"/>
      <c r="F29" s="32"/>
    </row>
    <row r="30">
      <c r="B30" s="34">
        <v>97.0</v>
      </c>
      <c r="C30" s="35" t="s">
        <v>159</v>
      </c>
      <c r="D30" s="33"/>
      <c r="E30" s="32"/>
      <c r="F30" s="32"/>
    </row>
    <row r="31">
      <c r="B31" s="34">
        <v>98.0</v>
      </c>
      <c r="C31" s="35" t="s">
        <v>160</v>
      </c>
      <c r="D31" s="33" t="s">
        <v>161</v>
      </c>
      <c r="E31" s="32"/>
      <c r="F31" s="32"/>
    </row>
    <row r="32">
      <c r="B32" s="1">
        <v>99.0</v>
      </c>
      <c r="C32" s="1" t="s">
        <v>150</v>
      </c>
      <c r="D32" s="1" t="s">
        <v>28</v>
      </c>
      <c r="E32" s="32"/>
      <c r="F32" s="32"/>
    </row>
    <row r="34">
      <c r="A34" s="33" t="s">
        <v>162</v>
      </c>
      <c r="B34" s="32"/>
      <c r="C34" s="33"/>
      <c r="D34" s="33"/>
      <c r="E34" s="33"/>
      <c r="F34" s="33"/>
      <c r="G34" s="33"/>
    </row>
    <row r="35">
      <c r="A35" s="33" t="s">
        <v>163</v>
      </c>
      <c r="B35" s="32"/>
      <c r="C35" s="33" t="s">
        <v>150</v>
      </c>
      <c r="D35" s="33" t="s">
        <v>28</v>
      </c>
      <c r="E35" s="33" t="s">
        <v>164</v>
      </c>
      <c r="F35" s="33" t="s">
        <v>165</v>
      </c>
      <c r="G35" s="33" t="s">
        <v>166</v>
      </c>
    </row>
    <row r="36">
      <c r="A36" s="33" t="s">
        <v>163</v>
      </c>
      <c r="B36" s="32"/>
      <c r="C36" s="33" t="s">
        <v>167</v>
      </c>
      <c r="D36" s="33" t="s">
        <v>168</v>
      </c>
      <c r="E36" s="33" t="s">
        <v>127</v>
      </c>
      <c r="F36" s="33" t="s">
        <v>169</v>
      </c>
      <c r="G36" s="33" t="s">
        <v>170</v>
      </c>
      <c r="H36" s="1" t="s">
        <v>171</v>
      </c>
    </row>
    <row r="37">
      <c r="A37" s="33" t="s">
        <v>172</v>
      </c>
      <c r="B37" s="32"/>
      <c r="C37" s="33" t="s">
        <v>173</v>
      </c>
      <c r="D37" s="33" t="s">
        <v>30</v>
      </c>
      <c r="E37" s="33" t="s">
        <v>174</v>
      </c>
      <c r="F37" s="33" t="s">
        <v>169</v>
      </c>
      <c r="G37" s="33" t="s">
        <v>175</v>
      </c>
    </row>
    <row r="38">
      <c r="A38" s="33" t="s">
        <v>172</v>
      </c>
      <c r="B38" s="32"/>
      <c r="C38" s="33" t="s">
        <v>176</v>
      </c>
      <c r="D38" s="33" t="s">
        <v>32</v>
      </c>
      <c r="E38" s="33" t="s">
        <v>177</v>
      </c>
      <c r="F38" s="33" t="s">
        <v>169</v>
      </c>
      <c r="G38" s="33" t="s">
        <v>175</v>
      </c>
    </row>
    <row r="39">
      <c r="A39" s="33" t="s">
        <v>172</v>
      </c>
      <c r="B39" s="32"/>
      <c r="C39" s="33" t="s">
        <v>179</v>
      </c>
      <c r="D39" s="33" t="s">
        <v>31</v>
      </c>
      <c r="E39" s="33" t="s">
        <v>180</v>
      </c>
      <c r="F39" s="32"/>
      <c r="G39" s="33" t="s">
        <v>181</v>
      </c>
    </row>
    <row r="42">
      <c r="C42" s="36" t="s">
        <v>182</v>
      </c>
      <c r="D42" s="36" t="s">
        <v>183</v>
      </c>
      <c r="E42" s="36" t="s">
        <v>184</v>
      </c>
      <c r="F42" s="36" t="s">
        <v>185</v>
      </c>
    </row>
    <row r="43">
      <c r="C43" s="37" t="s">
        <v>186</v>
      </c>
      <c r="D43" s="38" t="s">
        <v>109</v>
      </c>
      <c r="E43" s="38">
        <v>20.0</v>
      </c>
      <c r="F43" s="37" t="s">
        <v>187</v>
      </c>
    </row>
    <row r="44">
      <c r="C44" s="37" t="s">
        <v>188</v>
      </c>
      <c r="D44" s="38" t="s">
        <v>110</v>
      </c>
      <c r="E44" s="38">
        <v>20.0</v>
      </c>
      <c r="F44" s="37" t="s">
        <v>189</v>
      </c>
    </row>
    <row r="45">
      <c r="C45" s="37" t="s">
        <v>190</v>
      </c>
      <c r="D45" s="38" t="s">
        <v>112</v>
      </c>
      <c r="E45" s="38">
        <v>20.0</v>
      </c>
      <c r="F45" s="37" t="s">
        <v>191</v>
      </c>
    </row>
    <row r="46">
      <c r="C46" s="37" t="s">
        <v>192</v>
      </c>
      <c r="D46" s="38" t="s">
        <v>35</v>
      </c>
      <c r="E46" s="38">
        <v>15.0</v>
      </c>
      <c r="F46" s="37" t="s">
        <v>193</v>
      </c>
    </row>
    <row r="47">
      <c r="C47" s="37" t="s">
        <v>194</v>
      </c>
      <c r="D47" s="38" t="s">
        <v>36</v>
      </c>
      <c r="E47" s="38">
        <v>20.0</v>
      </c>
      <c r="F47" s="37" t="s">
        <v>195</v>
      </c>
    </row>
    <row r="48">
      <c r="C48" s="37" t="s">
        <v>196</v>
      </c>
      <c r="D48" s="38" t="s">
        <v>37</v>
      </c>
      <c r="E48" s="38">
        <v>20.0</v>
      </c>
      <c r="F48" s="37" t="s">
        <v>198</v>
      </c>
    </row>
    <row r="49">
      <c r="C49" s="37" t="s">
        <v>199</v>
      </c>
      <c r="D49" s="38" t="s">
        <v>38</v>
      </c>
      <c r="E49" s="38">
        <v>15.0</v>
      </c>
      <c r="F49" s="37" t="s">
        <v>200</v>
      </c>
    </row>
    <row r="50">
      <c r="C50" s="37" t="s">
        <v>201</v>
      </c>
      <c r="D50" s="38" t="s">
        <v>39</v>
      </c>
      <c r="E50" s="38">
        <v>20.0</v>
      </c>
      <c r="F50" s="37" t="s">
        <v>202</v>
      </c>
    </row>
    <row r="51">
      <c r="C51" s="37" t="s">
        <v>106</v>
      </c>
      <c r="D51" s="38" t="s">
        <v>40</v>
      </c>
      <c r="E51" s="38">
        <v>20.0</v>
      </c>
      <c r="F51" s="37" t="s">
        <v>203</v>
      </c>
    </row>
    <row r="52">
      <c r="C52" s="37" t="s">
        <v>204</v>
      </c>
      <c r="D52" s="38" t="s">
        <v>41</v>
      </c>
      <c r="E52" s="38">
        <v>10.0</v>
      </c>
      <c r="F52" s="37" t="s">
        <v>205</v>
      </c>
    </row>
    <row r="53">
      <c r="C53" s="37" t="s">
        <v>206</v>
      </c>
      <c r="D53" s="38" t="s">
        <v>42</v>
      </c>
      <c r="E53" s="38">
        <v>10.0</v>
      </c>
      <c r="F53" s="37" t="s">
        <v>207</v>
      </c>
    </row>
  </sheetData>
  <drawing r:id="rId1"/>
  <tableParts count="3">
    <tablePart r:id="rId5"/>
    <tablePart r:id="rId6"/>
    <tablePart r:id="rId7"/>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5.43"/>
    <col customWidth="1" min="3" max="3" width="19.0"/>
    <col customWidth="1" min="4" max="4" width="30.29"/>
    <col customWidth="1" min="5" max="5" width="6.57"/>
  </cols>
  <sheetData>
    <row r="1">
      <c r="A1" s="11" t="s">
        <v>1</v>
      </c>
      <c r="B1" s="11" t="s">
        <v>211</v>
      </c>
      <c r="C1" s="11" t="s">
        <v>212</v>
      </c>
      <c r="D1" s="11" t="s">
        <v>213</v>
      </c>
      <c r="E1" s="47"/>
      <c r="F1" s="11" t="s">
        <v>214</v>
      </c>
      <c r="G1" s="47"/>
      <c r="H1" s="47"/>
      <c r="I1" s="47"/>
      <c r="J1" s="47"/>
      <c r="K1" s="47"/>
      <c r="L1" s="47"/>
      <c r="M1" s="47"/>
      <c r="N1" s="47"/>
      <c r="O1" s="47"/>
      <c r="P1" s="47"/>
      <c r="Q1" s="47"/>
      <c r="R1" s="47"/>
      <c r="S1" s="47"/>
      <c r="T1" s="47"/>
      <c r="U1" s="47"/>
      <c r="V1" s="47"/>
      <c r="W1" s="47"/>
      <c r="X1" s="47"/>
      <c r="Y1" s="47"/>
      <c r="Z1" s="47"/>
    </row>
    <row r="2">
      <c r="A2" s="1">
        <v>3.3</v>
      </c>
      <c r="B2" s="1" t="s">
        <v>215</v>
      </c>
      <c r="C2" s="1" t="s">
        <v>216</v>
      </c>
      <c r="D2" s="1" t="s">
        <v>217</v>
      </c>
      <c r="F2" s="1" t="s">
        <v>218</v>
      </c>
    </row>
    <row r="3">
      <c r="A3" s="1">
        <v>3.3</v>
      </c>
      <c r="B3" s="1" t="s">
        <v>219</v>
      </c>
      <c r="C3" s="1" t="s">
        <v>220</v>
      </c>
      <c r="D3" s="1" t="s">
        <v>217</v>
      </c>
      <c r="F3" s="1" t="s">
        <v>218</v>
      </c>
    </row>
    <row r="4">
      <c r="A4" s="1">
        <v>3.3</v>
      </c>
      <c r="B4" s="1" t="s">
        <v>221</v>
      </c>
      <c r="C4" s="1" t="s">
        <v>222</v>
      </c>
      <c r="D4" s="1" t="s">
        <v>217</v>
      </c>
      <c r="F4" s="1" t="s">
        <v>218</v>
      </c>
    </row>
    <row r="5">
      <c r="A5" s="1">
        <v>3.3</v>
      </c>
      <c r="B5" s="1" t="s">
        <v>223</v>
      </c>
      <c r="C5" s="1" t="s">
        <v>224</v>
      </c>
      <c r="D5" s="1" t="s">
        <v>217</v>
      </c>
      <c r="F5" s="1" t="s">
        <v>218</v>
      </c>
    </row>
    <row r="6">
      <c r="A6" s="1">
        <v>3.3</v>
      </c>
      <c r="B6" s="1" t="s">
        <v>225</v>
      </c>
      <c r="C6" s="1" t="s">
        <v>226</v>
      </c>
      <c r="D6" s="1" t="s">
        <v>217</v>
      </c>
      <c r="F6" s="1" t="s">
        <v>218</v>
      </c>
    </row>
    <row r="7">
      <c r="A7" s="1">
        <v>3.3</v>
      </c>
      <c r="B7" s="1" t="s">
        <v>227</v>
      </c>
      <c r="C7" s="1" t="s">
        <v>228</v>
      </c>
      <c r="D7" s="1" t="s">
        <v>217</v>
      </c>
      <c r="F7" s="1" t="s">
        <v>218</v>
      </c>
    </row>
    <row r="8">
      <c r="A8" s="1">
        <v>3.3</v>
      </c>
      <c r="B8" s="1" t="s">
        <v>229</v>
      </c>
      <c r="C8" s="1" t="s">
        <v>230</v>
      </c>
      <c r="D8" s="1" t="s">
        <v>217</v>
      </c>
      <c r="F8" s="1" t="s">
        <v>218</v>
      </c>
    </row>
    <row r="9">
      <c r="A9" s="1">
        <v>3.3</v>
      </c>
      <c r="B9" s="1" t="s">
        <v>231</v>
      </c>
      <c r="C9" s="1" t="s">
        <v>232</v>
      </c>
      <c r="D9" s="1" t="s">
        <v>217</v>
      </c>
      <c r="F9" s="1" t="s">
        <v>218</v>
      </c>
    </row>
    <row r="10">
      <c r="A10" s="1">
        <v>3.3</v>
      </c>
      <c r="B10" s="48" t="s">
        <v>233</v>
      </c>
      <c r="C10" s="48" t="s">
        <v>234</v>
      </c>
      <c r="D10" s="1" t="s">
        <v>235</v>
      </c>
      <c r="F10" s="1" t="s">
        <v>218</v>
      </c>
    </row>
    <row r="11">
      <c r="A11" s="1">
        <v>3.3</v>
      </c>
      <c r="B11" s="48" t="s">
        <v>236</v>
      </c>
      <c r="C11" s="39"/>
      <c r="F11" s="1" t="s">
        <v>218</v>
      </c>
    </row>
    <row r="12">
      <c r="A12" s="1">
        <v>3.3</v>
      </c>
      <c r="B12" s="48" t="s">
        <v>237</v>
      </c>
      <c r="C12" s="48" t="s">
        <v>238</v>
      </c>
      <c r="D12" s="1" t="s">
        <v>235</v>
      </c>
      <c r="F12" s="1" t="s">
        <v>218</v>
      </c>
    </row>
    <row r="13">
      <c r="A13" s="1">
        <v>3.3</v>
      </c>
      <c r="B13" s="48" t="s">
        <v>239</v>
      </c>
      <c r="C13" s="39"/>
      <c r="F13" s="1" t="s">
        <v>218</v>
      </c>
    </row>
    <row r="14">
      <c r="A14" s="1">
        <v>3.3</v>
      </c>
      <c r="B14" s="48" t="s">
        <v>240</v>
      </c>
      <c r="C14" s="48" t="s">
        <v>241</v>
      </c>
      <c r="D14" s="1" t="s">
        <v>235</v>
      </c>
      <c r="F14" s="1" t="s">
        <v>218</v>
      </c>
    </row>
    <row r="15">
      <c r="A15" s="1">
        <v>3.3</v>
      </c>
      <c r="B15" s="48" t="s">
        <v>242</v>
      </c>
      <c r="C15" s="39"/>
      <c r="F15" s="1" t="s">
        <v>218</v>
      </c>
    </row>
    <row r="16">
      <c r="A16" s="1">
        <v>3.3</v>
      </c>
      <c r="B16" s="48" t="s">
        <v>243</v>
      </c>
      <c r="C16" s="48" t="s">
        <v>245</v>
      </c>
      <c r="D16" s="1" t="s">
        <v>235</v>
      </c>
      <c r="F16" s="1" t="s">
        <v>218</v>
      </c>
    </row>
    <row r="17">
      <c r="A17" s="1">
        <v>3.3</v>
      </c>
      <c r="B17" s="48" t="s">
        <v>246</v>
      </c>
      <c r="C17" s="39"/>
      <c r="F17" s="1" t="s">
        <v>218</v>
      </c>
    </row>
    <row r="18">
      <c r="A18" s="1">
        <v>3.3</v>
      </c>
      <c r="B18" s="48" t="s">
        <v>247</v>
      </c>
      <c r="C18" s="48" t="s">
        <v>248</v>
      </c>
      <c r="D18" s="1" t="s">
        <v>235</v>
      </c>
      <c r="F18" s="1" t="s">
        <v>218</v>
      </c>
    </row>
    <row r="19">
      <c r="A19" s="1">
        <v>3.3</v>
      </c>
      <c r="B19" s="48" t="s">
        <v>249</v>
      </c>
      <c r="C19" s="39"/>
      <c r="F19" s="1" t="s">
        <v>218</v>
      </c>
    </row>
    <row r="20">
      <c r="A20" s="1">
        <v>3.3</v>
      </c>
      <c r="B20" s="48" t="s">
        <v>250</v>
      </c>
      <c r="C20" s="48" t="s">
        <v>251</v>
      </c>
      <c r="D20" s="1" t="s">
        <v>235</v>
      </c>
      <c r="F20" s="1" t="s">
        <v>218</v>
      </c>
    </row>
    <row r="21">
      <c r="A21" s="1">
        <v>3.3</v>
      </c>
      <c r="B21" s="48" t="s">
        <v>252</v>
      </c>
      <c r="C21" s="39"/>
      <c r="F21" s="1" t="s">
        <v>218</v>
      </c>
    </row>
    <row r="22">
      <c r="A22" s="1">
        <v>3.3</v>
      </c>
      <c r="B22" s="48" t="s">
        <v>253</v>
      </c>
      <c r="C22" s="48" t="s">
        <v>254</v>
      </c>
      <c r="D22" s="1" t="s">
        <v>235</v>
      </c>
      <c r="F22" s="1" t="s">
        <v>218</v>
      </c>
    </row>
    <row r="23">
      <c r="A23" s="1">
        <v>3.3</v>
      </c>
      <c r="B23" s="48" t="s">
        <v>255</v>
      </c>
      <c r="C23" s="39"/>
      <c r="F23" s="1" t="s">
        <v>218</v>
      </c>
    </row>
    <row r="24">
      <c r="A24" s="1">
        <v>3.3</v>
      </c>
      <c r="B24" s="48" t="s">
        <v>256</v>
      </c>
      <c r="C24" s="48" t="s">
        <v>257</v>
      </c>
      <c r="D24" s="1" t="s">
        <v>235</v>
      </c>
      <c r="F24" s="1" t="s">
        <v>218</v>
      </c>
    </row>
    <row r="25">
      <c r="A25" s="1">
        <v>3.3</v>
      </c>
      <c r="B25" s="48" t="s">
        <v>258</v>
      </c>
      <c r="C25" s="39"/>
      <c r="F25" s="1" t="s">
        <v>218</v>
      </c>
    </row>
    <row r="26">
      <c r="A26" s="1">
        <v>3.3</v>
      </c>
      <c r="B26" s="48" t="s">
        <v>259</v>
      </c>
      <c r="C26" s="48" t="s">
        <v>260</v>
      </c>
      <c r="D26" s="1" t="s">
        <v>235</v>
      </c>
      <c r="F26" s="1" t="s">
        <v>218</v>
      </c>
    </row>
    <row r="27">
      <c r="A27" s="1">
        <v>3.3</v>
      </c>
      <c r="B27" s="48" t="s">
        <v>261</v>
      </c>
      <c r="C27" s="39"/>
      <c r="F27" s="1" t="s">
        <v>218</v>
      </c>
    </row>
    <row r="28">
      <c r="A28" s="1">
        <v>3.3</v>
      </c>
      <c r="B28" s="48" t="s">
        <v>262</v>
      </c>
      <c r="C28" s="48" t="s">
        <v>263</v>
      </c>
      <c r="D28" s="1" t="s">
        <v>235</v>
      </c>
      <c r="F28" s="1" t="s">
        <v>218</v>
      </c>
    </row>
    <row r="29">
      <c r="A29" s="1">
        <v>3.3</v>
      </c>
      <c r="B29" s="48" t="s">
        <v>264</v>
      </c>
      <c r="C29" s="39"/>
      <c r="F29" s="1" t="s">
        <v>218</v>
      </c>
    </row>
    <row r="30">
      <c r="A30" s="1">
        <v>3.3</v>
      </c>
      <c r="B30" s="48" t="s">
        <v>265</v>
      </c>
      <c r="C30" s="48" t="s">
        <v>266</v>
      </c>
      <c r="D30" s="1" t="s">
        <v>235</v>
      </c>
      <c r="F30" s="1" t="s">
        <v>218</v>
      </c>
    </row>
    <row r="31">
      <c r="A31" s="1">
        <v>3.3</v>
      </c>
      <c r="B31" s="48" t="s">
        <v>267</v>
      </c>
      <c r="F31" s="1" t="s">
        <v>218</v>
      </c>
    </row>
    <row r="32">
      <c r="A32" s="1">
        <v>3.3</v>
      </c>
      <c r="B32" s="1" t="s">
        <v>268</v>
      </c>
      <c r="C32" s="1" t="s">
        <v>269</v>
      </c>
      <c r="D32" s="1" t="s">
        <v>217</v>
      </c>
      <c r="F32" s="1" t="s">
        <v>218</v>
      </c>
    </row>
    <row r="33">
      <c r="A33" s="1">
        <v>3.5</v>
      </c>
      <c r="B33" s="1" t="s">
        <v>270</v>
      </c>
      <c r="C33" s="1" t="s">
        <v>271</v>
      </c>
      <c r="D33" s="1" t="s">
        <v>217</v>
      </c>
      <c r="F33" s="1" t="s">
        <v>218</v>
      </c>
    </row>
    <row r="34">
      <c r="A34" s="1">
        <v>3.5</v>
      </c>
      <c r="B34" s="48" t="s">
        <v>272</v>
      </c>
      <c r="C34" s="48" t="s">
        <v>273</v>
      </c>
      <c r="F34" s="1" t="s">
        <v>218</v>
      </c>
    </row>
    <row r="35">
      <c r="A35" s="1">
        <v>3.5</v>
      </c>
      <c r="B35" s="1" t="s">
        <v>274</v>
      </c>
      <c r="C35" s="1" t="s">
        <v>275</v>
      </c>
      <c r="F35" s="1" t="s">
        <v>218</v>
      </c>
    </row>
    <row r="36">
      <c r="A36" s="1">
        <v>3.5</v>
      </c>
      <c r="B36" s="1" t="s">
        <v>276</v>
      </c>
      <c r="C36" s="1" t="s">
        <v>277</v>
      </c>
      <c r="F36" s="1" t="s">
        <v>218</v>
      </c>
    </row>
    <row r="37">
      <c r="A37" s="1">
        <v>3.5</v>
      </c>
      <c r="B37" s="1" t="s">
        <v>278</v>
      </c>
      <c r="C37" s="1" t="s">
        <v>279</v>
      </c>
      <c r="F37" s="1" t="s">
        <v>218</v>
      </c>
    </row>
    <row r="38">
      <c r="A38" s="1">
        <v>3.5</v>
      </c>
      <c r="B38" s="48" t="s">
        <v>281</v>
      </c>
      <c r="C38" s="48" t="s">
        <v>282</v>
      </c>
      <c r="F38" s="1" t="s">
        <v>218</v>
      </c>
    </row>
    <row r="39">
      <c r="A39" s="1">
        <v>3.5</v>
      </c>
      <c r="B39" s="1" t="s">
        <v>283</v>
      </c>
      <c r="C39" s="1" t="s">
        <v>284</v>
      </c>
      <c r="D39" s="1" t="s">
        <v>285</v>
      </c>
      <c r="F39" s="1" t="s">
        <v>218</v>
      </c>
    </row>
    <row r="40">
      <c r="A40" s="1">
        <v>3.5</v>
      </c>
      <c r="B40" s="48" t="s">
        <v>286</v>
      </c>
      <c r="C40" s="48" t="s">
        <v>287</v>
      </c>
      <c r="D40" s="1" t="s">
        <v>288</v>
      </c>
      <c r="F40" s="1" t="s">
        <v>218</v>
      </c>
    </row>
    <row r="41">
      <c r="A41" s="1">
        <v>3.5</v>
      </c>
      <c r="B41" s="48" t="s">
        <v>289</v>
      </c>
      <c r="C41" s="48" t="s">
        <v>290</v>
      </c>
      <c r="D41" s="1" t="s">
        <v>288</v>
      </c>
      <c r="F41" s="1" t="s">
        <v>218</v>
      </c>
    </row>
    <row r="42">
      <c r="A42" s="1">
        <v>3.5</v>
      </c>
      <c r="B42" s="48" t="s">
        <v>291</v>
      </c>
      <c r="C42" s="48" t="s">
        <v>292</v>
      </c>
      <c r="D42" s="1" t="s">
        <v>288</v>
      </c>
      <c r="F42" s="1" t="s">
        <v>218</v>
      </c>
    </row>
    <row r="43">
      <c r="A43" s="1">
        <v>3.5</v>
      </c>
      <c r="B43" s="48" t="s">
        <v>293</v>
      </c>
      <c r="C43" s="48" t="s">
        <v>294</v>
      </c>
      <c r="D43" s="1" t="s">
        <v>288</v>
      </c>
      <c r="F43" s="1" t="s">
        <v>218</v>
      </c>
    </row>
    <row r="44">
      <c r="A44" s="1">
        <v>3.5</v>
      </c>
      <c r="B44" s="48" t="s">
        <v>295</v>
      </c>
      <c r="C44" s="48" t="s">
        <v>296</v>
      </c>
      <c r="D44" s="1" t="s">
        <v>288</v>
      </c>
      <c r="F44" s="1" t="s">
        <v>218</v>
      </c>
    </row>
    <row r="45">
      <c r="A45" s="1">
        <v>3.5</v>
      </c>
      <c r="B45" s="48" t="s">
        <v>297</v>
      </c>
      <c r="C45" s="48" t="s">
        <v>298</v>
      </c>
      <c r="D45" s="1" t="s">
        <v>288</v>
      </c>
      <c r="F45" s="1" t="s">
        <v>218</v>
      </c>
    </row>
    <row r="46">
      <c r="A46" s="1">
        <v>3.5</v>
      </c>
      <c r="B46" s="48" t="s">
        <v>299</v>
      </c>
      <c r="C46" s="48" t="s">
        <v>300</v>
      </c>
      <c r="D46" s="1" t="s">
        <v>288</v>
      </c>
      <c r="F46" s="1" t="s">
        <v>218</v>
      </c>
    </row>
    <row r="47">
      <c r="A47" s="1">
        <v>3.5</v>
      </c>
      <c r="B47" s="48" t="s">
        <v>301</v>
      </c>
      <c r="C47" s="48" t="s">
        <v>302</v>
      </c>
      <c r="D47" s="1" t="s">
        <v>288</v>
      </c>
      <c r="F47" s="1" t="s">
        <v>218</v>
      </c>
    </row>
    <row r="48">
      <c r="A48" s="1">
        <v>3.5</v>
      </c>
      <c r="B48" s="48" t="s">
        <v>303</v>
      </c>
      <c r="C48" s="48" t="s">
        <v>304</v>
      </c>
      <c r="D48" s="1" t="s">
        <v>288</v>
      </c>
      <c r="F48" s="1" t="s">
        <v>218</v>
      </c>
    </row>
    <row r="49">
      <c r="A49" s="1">
        <v>3.5</v>
      </c>
      <c r="B49" s="48" t="s">
        <v>305</v>
      </c>
      <c r="C49" s="48" t="s">
        <v>306</v>
      </c>
      <c r="D49" s="1" t="s">
        <v>288</v>
      </c>
      <c r="F49" s="1" t="s">
        <v>218</v>
      </c>
    </row>
    <row r="50">
      <c r="A50" s="1">
        <v>3.5</v>
      </c>
      <c r="B50" s="48" t="s">
        <v>307</v>
      </c>
      <c r="C50" s="48" t="s">
        <v>308</v>
      </c>
      <c r="D50" s="1" t="s">
        <v>288</v>
      </c>
      <c r="F50" s="1" t="s">
        <v>218</v>
      </c>
    </row>
    <row r="51">
      <c r="A51" s="1">
        <v>3.5</v>
      </c>
      <c r="B51" s="48" t="s">
        <v>309</v>
      </c>
      <c r="C51" s="48" t="s">
        <v>310</v>
      </c>
      <c r="D51" s="1" t="s">
        <v>288</v>
      </c>
      <c r="F51" s="1" t="s">
        <v>218</v>
      </c>
    </row>
    <row r="52">
      <c r="A52" s="1">
        <v>3.5</v>
      </c>
      <c r="B52" s="48" t="s">
        <v>311</v>
      </c>
      <c r="C52" s="48" t="s">
        <v>312</v>
      </c>
      <c r="D52" s="1" t="s">
        <v>288</v>
      </c>
      <c r="F52" s="1" t="s">
        <v>218</v>
      </c>
    </row>
    <row r="53">
      <c r="A53" s="1">
        <v>3.5</v>
      </c>
      <c r="B53" s="48" t="s">
        <v>313</v>
      </c>
      <c r="C53" s="48" t="s">
        <v>314</v>
      </c>
      <c r="D53" s="1" t="s">
        <v>288</v>
      </c>
      <c r="F53" s="1" t="s">
        <v>218</v>
      </c>
    </row>
    <row r="54">
      <c r="A54" s="1">
        <v>3.5</v>
      </c>
      <c r="B54" s="48" t="s">
        <v>315</v>
      </c>
      <c r="C54" s="48" t="s">
        <v>316</v>
      </c>
      <c r="D54" s="1" t="s">
        <v>288</v>
      </c>
      <c r="F54" s="1" t="s">
        <v>218</v>
      </c>
    </row>
    <row r="55">
      <c r="A55" s="1">
        <v>3.5</v>
      </c>
      <c r="B55" s="48" t="s">
        <v>317</v>
      </c>
      <c r="C55" s="48" t="s">
        <v>318</v>
      </c>
      <c r="D55" s="1" t="s">
        <v>288</v>
      </c>
      <c r="F55" s="1" t="s">
        <v>218</v>
      </c>
    </row>
    <row r="56">
      <c r="A56" s="1">
        <v>3.5</v>
      </c>
      <c r="B56" s="48" t="s">
        <v>319</v>
      </c>
      <c r="C56" s="48" t="s">
        <v>320</v>
      </c>
      <c r="D56" s="1" t="s">
        <v>288</v>
      </c>
      <c r="F56" s="1" t="s">
        <v>218</v>
      </c>
    </row>
    <row r="57">
      <c r="A57" s="1">
        <v>3.3</v>
      </c>
      <c r="B57" s="49" t="s">
        <v>321</v>
      </c>
      <c r="C57" s="23" t="s">
        <v>323</v>
      </c>
      <c r="D57" s="1" t="s">
        <v>288</v>
      </c>
      <c r="F57" s="1" t="s">
        <v>218</v>
      </c>
    </row>
    <row r="58">
      <c r="A58" s="1">
        <v>3.3</v>
      </c>
      <c r="C58" s="1" t="s">
        <v>325</v>
      </c>
      <c r="D58" s="1" t="s">
        <v>326</v>
      </c>
      <c r="F58" s="1" t="s">
        <v>327</v>
      </c>
      <c r="G58" s="50" t="s">
        <v>328</v>
      </c>
    </row>
    <row r="59">
      <c r="A59" s="1" t="s">
        <v>329</v>
      </c>
      <c r="B59" s="1" t="s">
        <v>197</v>
      </c>
      <c r="C59" s="23" t="s">
        <v>330</v>
      </c>
      <c r="D59" s="1" t="s">
        <v>331</v>
      </c>
      <c r="F59" s="1" t="s">
        <v>332</v>
      </c>
    </row>
    <row r="60">
      <c r="A60" s="1" t="s">
        <v>329</v>
      </c>
      <c r="B60" s="51" t="s">
        <v>140</v>
      </c>
      <c r="C60" s="23" t="s">
        <v>333</v>
      </c>
      <c r="D60" s="1" t="s">
        <v>331</v>
      </c>
      <c r="F60" s="1" t="s">
        <v>332</v>
      </c>
    </row>
    <row r="61">
      <c r="A61" s="1">
        <v>3.5</v>
      </c>
      <c r="B61" s="1" t="s">
        <v>334</v>
      </c>
      <c r="C61" s="23" t="s">
        <v>335</v>
      </c>
      <c r="D61" s="1" t="s">
        <v>288</v>
      </c>
    </row>
    <row r="62">
      <c r="A62" s="1">
        <v>3.5</v>
      </c>
      <c r="B62" s="52" t="s">
        <v>336</v>
      </c>
      <c r="C62" s="23" t="s">
        <v>337</v>
      </c>
    </row>
    <row r="63">
      <c r="A63" s="1">
        <v>3.5</v>
      </c>
      <c r="B63" s="52" t="s">
        <v>338</v>
      </c>
      <c r="C63" s="23" t="s">
        <v>339</v>
      </c>
    </row>
    <row r="64">
      <c r="A64" s="1">
        <v>3.5</v>
      </c>
      <c r="B64" s="52" t="s">
        <v>340</v>
      </c>
      <c r="C64" s="23" t="s">
        <v>341</v>
      </c>
    </row>
    <row r="65">
      <c r="A65" s="1">
        <v>3.5</v>
      </c>
      <c r="B65" s="52" t="s">
        <v>342</v>
      </c>
      <c r="C65" s="23" t="s">
        <v>343</v>
      </c>
    </row>
    <row r="66">
      <c r="A66" s="1">
        <v>3.4</v>
      </c>
      <c r="B66" s="49" t="s">
        <v>344</v>
      </c>
      <c r="C66" s="23" t="s">
        <v>345</v>
      </c>
    </row>
    <row r="67">
      <c r="A67" s="1" t="s">
        <v>329</v>
      </c>
      <c r="B67" s="1" t="s">
        <v>346</v>
      </c>
      <c r="C67" s="1" t="s">
        <v>347</v>
      </c>
      <c r="D67" s="1" t="s">
        <v>348</v>
      </c>
      <c r="F67" s="1" t="s">
        <v>332</v>
      </c>
    </row>
    <row r="68">
      <c r="A68" s="1">
        <v>3.3</v>
      </c>
      <c r="B68" s="1" t="s">
        <v>349</v>
      </c>
      <c r="C68" s="1" t="s">
        <v>350</v>
      </c>
      <c r="D68" s="1" t="s">
        <v>351</v>
      </c>
      <c r="F68" s="1" t="s">
        <v>352</v>
      </c>
    </row>
    <row r="69">
      <c r="A69" s="1" t="s">
        <v>329</v>
      </c>
      <c r="B69" s="1" t="s">
        <v>353</v>
      </c>
      <c r="C69" s="1" t="s">
        <v>354</v>
      </c>
      <c r="D69" s="1" t="s">
        <v>331</v>
      </c>
      <c r="F69" s="1" t="s">
        <v>332</v>
      </c>
    </row>
    <row r="70">
      <c r="A70" s="1" t="s">
        <v>329</v>
      </c>
      <c r="B70" s="1" t="s">
        <v>355</v>
      </c>
      <c r="C70" s="1" t="s">
        <v>356</v>
      </c>
      <c r="D70" s="1" t="s">
        <v>331</v>
      </c>
      <c r="F70" s="1" t="s">
        <v>332</v>
      </c>
    </row>
    <row r="71">
      <c r="A71" s="1" t="s">
        <v>329</v>
      </c>
      <c r="B71" s="1" t="s">
        <v>357</v>
      </c>
      <c r="C71" s="1" t="s">
        <v>358</v>
      </c>
      <c r="D71" s="1" t="s">
        <v>331</v>
      </c>
      <c r="F71" s="1" t="s">
        <v>332</v>
      </c>
    </row>
    <row r="72">
      <c r="A72" s="1" t="s">
        <v>329</v>
      </c>
      <c r="B72" s="1" t="s">
        <v>359</v>
      </c>
      <c r="C72" s="1" t="s">
        <v>360</v>
      </c>
      <c r="D72" s="1" t="s">
        <v>361</v>
      </c>
      <c r="F72" s="1" t="s">
        <v>362</v>
      </c>
    </row>
    <row r="73">
      <c r="A73" s="1" t="s">
        <v>329</v>
      </c>
      <c r="B73" s="1" t="s">
        <v>363</v>
      </c>
      <c r="C73" s="1" t="s">
        <v>364</v>
      </c>
      <c r="D73" s="1" t="s">
        <v>361</v>
      </c>
      <c r="F73" s="1" t="s">
        <v>362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10.71"/>
    <col customWidth="1" min="4" max="4" width="15.29"/>
  </cols>
  <sheetData>
    <row r="1">
      <c r="A1" s="1" t="s">
        <v>367</v>
      </c>
      <c r="B1" s="1" t="s">
        <v>368</v>
      </c>
      <c r="C1" s="26" t="s">
        <v>96</v>
      </c>
      <c r="D1" s="50" t="s">
        <v>369</v>
      </c>
      <c r="E1" s="1" t="s">
        <v>370</v>
      </c>
      <c r="F1" s="1" t="s">
        <v>371</v>
      </c>
      <c r="G1" s="1" t="s">
        <v>372</v>
      </c>
    </row>
    <row r="2">
      <c r="A2" s="49" t="s">
        <v>68</v>
      </c>
      <c r="B2" s="23" t="str">
        <f>'2.1.raw'!I2</f>
        <v>LS1001</v>
      </c>
      <c r="C2" s="24">
        <f>datevalue(left('2.1.raw'!K2,10))</f>
        <v>43586</v>
      </c>
      <c r="D2" s="23">
        <f>'2.1.raw'!H:H</f>
        <v>7</v>
      </c>
      <c r="E2" s="1">
        <v>2.1</v>
      </c>
      <c r="G2" s="23" t="b">
        <f>if(countif(Status!C:C,A2)=1,TRUE, FALSE)</f>
        <v>1</v>
      </c>
    </row>
    <row r="3">
      <c r="A3" s="23" t="str">
        <f t="shared" ref="A3:A4" si="1">B3</f>
        <v>RP2001old</v>
      </c>
      <c r="B3" s="23" t="str">
        <f>'2.1.raw'!I3</f>
        <v>RP2001old</v>
      </c>
      <c r="C3" s="24">
        <f>datevalue(left('2.1.raw'!K3,10))</f>
        <v>43591</v>
      </c>
      <c r="D3" s="23">
        <f>'2.1.raw'!H:H</f>
        <v>2</v>
      </c>
      <c r="E3" s="1">
        <v>2.1</v>
      </c>
      <c r="G3" s="23" t="b">
        <f>if(countif(Status!C:C,A3)=1,TRUE, FALSE)</f>
        <v>1</v>
      </c>
    </row>
    <row r="4">
      <c r="A4" s="23" t="str">
        <f t="shared" si="1"/>
        <v>RP2002old</v>
      </c>
      <c r="B4" s="23" t="str">
        <f>'2.1.raw'!I4</f>
        <v>RP2002old</v>
      </c>
      <c r="C4" s="24">
        <f>datevalue(left('2.1.raw'!K4,10))</f>
        <v>43591</v>
      </c>
      <c r="D4" s="23">
        <f>'2.1.raw'!H:H</f>
        <v>2</v>
      </c>
      <c r="E4" s="1">
        <v>2.1</v>
      </c>
      <c r="G4" s="23" t="b">
        <f>if(countif(Status!C:C,A4)=1,TRUE, FALSE)</f>
        <v>1</v>
      </c>
    </row>
    <row r="5">
      <c r="A5" s="49" t="s">
        <v>346</v>
      </c>
      <c r="B5" s="23" t="str">
        <f>'2.1.raw'!I5</f>
        <v>RP2003old</v>
      </c>
      <c r="C5" s="24">
        <f>datevalue(left('2.1.raw'!K5,10))</f>
        <v>43598</v>
      </c>
      <c r="D5" s="23">
        <f>'2.1.raw'!H:H</f>
        <v>2</v>
      </c>
      <c r="E5" s="1">
        <v>2.1</v>
      </c>
      <c r="G5" s="23" t="b">
        <f>if(countif(Status!C:C,A5)=1,TRUE, FALSE)</f>
        <v>0</v>
      </c>
    </row>
    <row r="6">
      <c r="A6" s="23" t="str">
        <f t="shared" ref="A6:A7" si="2">SUBSTITUTE(B6, " ", "")</f>
        <v>SL2001old</v>
      </c>
      <c r="B6" s="23" t="str">
        <f>'2.1.raw'!I6</f>
        <v>SL2001old</v>
      </c>
      <c r="C6" s="24">
        <f>datevalue(left('2.1.raw'!K6,10))</f>
        <v>43591</v>
      </c>
      <c r="D6" s="23">
        <f>'2.1.raw'!H:H</f>
        <v>8</v>
      </c>
      <c r="E6" s="1">
        <v>2.1</v>
      </c>
      <c r="G6" s="23" t="b">
        <f>if(countif(Status!C:C,A6)=1,TRUE, FALSE)</f>
        <v>1</v>
      </c>
    </row>
    <row r="7">
      <c r="A7" s="23" t="str">
        <f t="shared" si="2"/>
        <v>SL2002old</v>
      </c>
      <c r="B7" s="23" t="str">
        <f>'2.1.raw'!I7</f>
        <v>SL2002old</v>
      </c>
      <c r="C7" s="24">
        <f>datevalue(left('2.1.raw'!K7,10))</f>
        <v>43591</v>
      </c>
      <c r="D7" s="23">
        <f>'2.1.raw'!H:H</f>
        <v>8</v>
      </c>
      <c r="E7" s="1">
        <v>2.1</v>
      </c>
      <c r="G7" s="23" t="b">
        <f>if(countif(Status!C:C,A7)=1,TRUE, FALSE)</f>
        <v>1</v>
      </c>
    </row>
    <row r="8">
      <c r="A8" s="49" t="s">
        <v>365</v>
      </c>
      <c r="B8" s="23" t="str">
        <f>'2.1.raw'!I8</f>
        <v>BW 2001</v>
      </c>
      <c r="C8" s="24">
        <f>datevalue(left('2.1.raw'!K8,10))</f>
        <v>43592</v>
      </c>
      <c r="D8" s="23">
        <f>'2.1.raw'!H:H</f>
        <v>9</v>
      </c>
      <c r="E8" s="1">
        <v>2.1</v>
      </c>
      <c r="G8" s="23" t="b">
        <f>if(countif(Status!C:C,A8)=1,TRUE, FALSE)</f>
        <v>1</v>
      </c>
    </row>
    <row r="9">
      <c r="A9" s="55" t="str">
        <f>SUBSTITUTE(B9, " ", "")</f>
        <v>DWa2002old</v>
      </c>
      <c r="B9" s="23" t="str">
        <f>'2.1.raw'!I9</f>
        <v>DWa2002old</v>
      </c>
      <c r="C9" s="24">
        <f>datevalue(left('2.1.raw'!K9,10))</f>
        <v>43592</v>
      </c>
      <c r="D9" s="23">
        <f>'2.1.raw'!H:H</f>
        <v>3</v>
      </c>
      <c r="E9" s="1">
        <v>2.1</v>
      </c>
      <c r="G9" s="23" t="b">
        <f>if(countif(Status!C:C,A9)=1,TRUE, FALSE)</f>
        <v>0</v>
      </c>
    </row>
    <row r="10">
      <c r="A10" s="49" t="s">
        <v>376</v>
      </c>
      <c r="B10" s="23" t="str">
        <f>'2.1.raw'!I10</f>
        <v>DWa2001</v>
      </c>
      <c r="C10" s="24">
        <f>datevalue(left('2.1.raw'!K10,10))</f>
        <v>43591</v>
      </c>
      <c r="D10" s="23">
        <f>'2.1.raw'!H:H</f>
        <v>3</v>
      </c>
      <c r="E10" s="1">
        <v>2.1</v>
      </c>
      <c r="G10" s="23" t="b">
        <f>if(countif(Status!C:C,A10)=1,TRUE, FALSE)</f>
        <v>0</v>
      </c>
    </row>
    <row r="11">
      <c r="A11" s="23" t="str">
        <f>SUBSTITUTE(B11, " ", "")</f>
        <v>SF2001old</v>
      </c>
      <c r="B11" s="23" t="str">
        <f>'2.1.raw'!I11</f>
        <v>SF2001old</v>
      </c>
      <c r="C11" s="24">
        <f>datevalue(left('2.1.raw'!K11,10))</f>
        <v>43592</v>
      </c>
      <c r="D11" s="23">
        <f>'2.1.raw'!H:H</f>
        <v>10</v>
      </c>
      <c r="E11" s="1">
        <v>2.1</v>
      </c>
      <c r="G11" s="23" t="b">
        <f>if(countif(Status!C:C,A11)=1,TRUE, FALSE)</f>
        <v>1</v>
      </c>
    </row>
    <row r="12">
      <c r="A12" s="49" t="s">
        <v>374</v>
      </c>
      <c r="B12" s="23" t="str">
        <f>'2.1.raw'!I12</f>
        <v>SW 2001</v>
      </c>
      <c r="C12" s="24">
        <f>datevalue(left('2.1.raw'!K12,10))</f>
        <v>43592</v>
      </c>
      <c r="D12" s="23">
        <f>'2.1.raw'!H:H</f>
        <v>5</v>
      </c>
      <c r="E12" s="1">
        <v>2.1</v>
      </c>
      <c r="G12" s="23" t="b">
        <f>if(countif(Status!C:C,A12)=1,TRUE, FALSE)</f>
        <v>1</v>
      </c>
    </row>
    <row r="13">
      <c r="A13" s="23" t="str">
        <f t="shared" ref="A13:A14" si="3">SUBSTITUTE(B13, " ", "")</f>
        <v>LS2001old</v>
      </c>
      <c r="B13" s="23" t="str">
        <f>'2.1.raw'!I13</f>
        <v>LS2001old</v>
      </c>
      <c r="C13" s="24">
        <f>datevalue(left('2.1.raw'!K13,10))</f>
        <v>43593</v>
      </c>
      <c r="D13" s="23">
        <f>'2.1.raw'!H:H</f>
        <v>7</v>
      </c>
      <c r="E13" s="1">
        <v>2.1</v>
      </c>
      <c r="G13" s="23" t="b">
        <f>if(countif(Status!C:C,A13)=1,TRUE, FALSE)</f>
        <v>1</v>
      </c>
    </row>
    <row r="14">
      <c r="A14" s="23" t="str">
        <f t="shared" si="3"/>
        <v>DW2002</v>
      </c>
      <c r="B14" s="23" t="str">
        <f>'2.1.raw'!I14</f>
        <v>DW2002</v>
      </c>
      <c r="C14" s="24">
        <f>datevalue(left('2.1.raw'!K14,10))</f>
        <v>43598</v>
      </c>
      <c r="D14" s="23">
        <f>'2.1.raw'!H:H</f>
        <v>3</v>
      </c>
      <c r="E14" s="1">
        <v>2.1</v>
      </c>
      <c r="G14" s="23" t="b">
        <f>if(countif(Status!C:C,A14)=1,TRUE, FALSE)</f>
        <v>0</v>
      </c>
    </row>
    <row r="15">
      <c r="A15" s="51" t="s">
        <v>357</v>
      </c>
      <c r="B15" s="23" t="str">
        <f>'2.1.raw'!I15</f>
        <v>RP2004old</v>
      </c>
      <c r="C15" s="24">
        <f>datevalue(left('2.1.raw'!K15,10))</f>
        <v>43598</v>
      </c>
      <c r="D15" s="23">
        <f>'2.1.raw'!H:H</f>
        <v>2</v>
      </c>
      <c r="E15" s="1">
        <v>2.1</v>
      </c>
      <c r="G15" s="23" t="b">
        <f>if(countif(Status!C:C,A15)=1,TRUE, FALSE)</f>
        <v>1</v>
      </c>
    </row>
    <row r="16">
      <c r="A16" s="49" t="s">
        <v>380</v>
      </c>
      <c r="B16" s="23" t="str">
        <f>'2.1.raw'!I16</f>
        <v>SL2003</v>
      </c>
      <c r="C16" s="24">
        <f>datevalue(left('2.1.raw'!K16,10))</f>
        <v>43598</v>
      </c>
      <c r="D16" s="23">
        <f>'2.1.raw'!H:H</f>
        <v>8</v>
      </c>
      <c r="E16" s="1">
        <v>2.1</v>
      </c>
      <c r="G16" s="23" t="b">
        <f>if(countif(Status!C:C,A16)=1,TRUE, FALSE)</f>
        <v>1</v>
      </c>
    </row>
    <row r="17">
      <c r="A17" s="49" t="s">
        <v>353</v>
      </c>
      <c r="B17" s="23" t="str">
        <f>'2.1.raw'!I17</f>
        <v>SL2004old</v>
      </c>
      <c r="C17" s="24">
        <f>datevalue(left('2.1.raw'!K17,10))</f>
        <v>43598</v>
      </c>
      <c r="D17" s="23">
        <f>'2.1.raw'!H:H</f>
        <v>8</v>
      </c>
      <c r="E17" s="1">
        <v>2.1</v>
      </c>
      <c r="G17" s="23" t="b">
        <f>if(countif(Status!C:C,A17)=1,TRUE, FALSE)</f>
        <v>1</v>
      </c>
    </row>
    <row r="18">
      <c r="A18" s="23" t="str">
        <f t="shared" ref="A18:A55" si="4">B18</f>
        <v>DWb1001</v>
      </c>
      <c r="B18" s="23" t="str">
        <f>'2.1.raw'!I18</f>
        <v>DWb1001</v>
      </c>
      <c r="C18" s="24">
        <f>datevalue(left('2.1.raw'!K18,10))</f>
        <v>43599</v>
      </c>
      <c r="D18" s="23">
        <f>'2.1.raw'!H:H</f>
        <v>3</v>
      </c>
      <c r="E18" s="1">
        <v>2.1</v>
      </c>
      <c r="G18" s="23" t="b">
        <f>if(countif(Status!C:C,A18)=1,TRUE, FALSE)</f>
        <v>1</v>
      </c>
    </row>
    <row r="19">
      <c r="A19" s="23" t="str">
        <f t="shared" si="4"/>
        <v>SF1001</v>
      </c>
      <c r="B19" s="23" t="str">
        <f>'2.1.raw'!I19</f>
        <v>SF1001</v>
      </c>
      <c r="C19" s="24">
        <f>datevalue(left('2.1.raw'!K19,10))</f>
        <v>43599</v>
      </c>
      <c r="D19" s="23">
        <f>'2.1.raw'!H:H</f>
        <v>10</v>
      </c>
      <c r="E19" s="1">
        <v>2.1</v>
      </c>
      <c r="G19" s="23" t="b">
        <f>if(countif(Status!C:C,A19)=1,TRUE, FALSE)</f>
        <v>1</v>
      </c>
    </row>
    <row r="20">
      <c r="A20" s="23" t="str">
        <f t="shared" si="4"/>
        <v>SF1002</v>
      </c>
      <c r="B20" s="23" t="str">
        <f>'2.1.raw'!I20</f>
        <v>SF1002</v>
      </c>
      <c r="C20" s="24">
        <f>datevalue(left('2.1.raw'!K20,10))</f>
        <v>43599</v>
      </c>
      <c r="D20" s="23">
        <f>'2.1.raw'!H:H</f>
        <v>10</v>
      </c>
      <c r="E20" s="1">
        <v>2.1</v>
      </c>
      <c r="G20" s="23" t="b">
        <f>if(countif(Status!C:C,A20)=1,TRUE, FALSE)</f>
        <v>1</v>
      </c>
    </row>
    <row r="21">
      <c r="A21" s="23" t="str">
        <f t="shared" si="4"/>
        <v>OD1001</v>
      </c>
      <c r="B21" s="23" t="str">
        <f>'2.1.raw'!I21</f>
        <v>OD1001</v>
      </c>
      <c r="C21" s="24">
        <f>datevalue(left('2.1.raw'!K21,10))</f>
        <v>43599</v>
      </c>
      <c r="D21" s="23">
        <f>'2.1.raw'!H:H</f>
        <v>1</v>
      </c>
      <c r="E21" s="1">
        <v>2.1</v>
      </c>
      <c r="G21" s="23" t="b">
        <f>if(countif(Status!C:C,A21)=1,TRUE, FALSE)</f>
        <v>1</v>
      </c>
    </row>
    <row r="22">
      <c r="A22" s="23" t="str">
        <f t="shared" si="4"/>
        <v>SW1001</v>
      </c>
      <c r="B22" s="23" t="str">
        <f>'2.1.raw'!I22</f>
        <v>SW1001</v>
      </c>
      <c r="C22" s="24">
        <f>datevalue(left('2.1.raw'!K22,10))</f>
        <v>43599</v>
      </c>
      <c r="D22" s="23">
        <f>'2.1.raw'!H:H</f>
        <v>5</v>
      </c>
      <c r="E22" s="1">
        <v>2.1</v>
      </c>
      <c r="G22" s="23" t="b">
        <f>if(countif(Status!C:C,A22)=1,TRUE, FALSE)</f>
        <v>1</v>
      </c>
    </row>
    <row r="23">
      <c r="A23" s="23" t="str">
        <f t="shared" si="4"/>
        <v>DWa2003</v>
      </c>
      <c r="B23" s="23" t="str">
        <f>'2.1.raw'!I23</f>
        <v>DWa2003</v>
      </c>
      <c r="C23" s="24">
        <f>datevalue(left('2.1.raw'!K23,10))</f>
        <v>43600</v>
      </c>
      <c r="D23" s="23">
        <f>'2.1.raw'!H:H</f>
        <v>3</v>
      </c>
      <c r="E23" s="1">
        <v>2.1</v>
      </c>
      <c r="G23" s="23" t="b">
        <f>if(countif(Status!C:C,A23)=1,TRUE, FALSE)</f>
        <v>1</v>
      </c>
    </row>
    <row r="24">
      <c r="A24" s="23" t="str">
        <f t="shared" si="4"/>
        <v>LS1002</v>
      </c>
      <c r="B24" s="23" t="str">
        <f>'2.1.raw'!I24</f>
        <v>LS1002</v>
      </c>
      <c r="C24" s="24">
        <f>datevalue(left('2.1.raw'!K24,10))</f>
        <v>43600</v>
      </c>
      <c r="D24" s="23">
        <f>'2.1.raw'!H:H</f>
        <v>7</v>
      </c>
      <c r="E24" s="1">
        <v>2.1</v>
      </c>
      <c r="G24" s="23" t="b">
        <f>if(countif(Status!C:C,A24)=1,TRUE, FALSE)</f>
        <v>1</v>
      </c>
    </row>
    <row r="25">
      <c r="A25" s="23" t="str">
        <f t="shared" si="4"/>
        <v>LS1003</v>
      </c>
      <c r="B25" s="23" t="str">
        <f>'2.1.raw'!I25</f>
        <v>LS1003</v>
      </c>
      <c r="C25" s="24">
        <f>datevalue(left('2.1.raw'!K25,10))</f>
        <v>43600</v>
      </c>
      <c r="D25" s="23">
        <f>'2.1.raw'!H:H</f>
        <v>7</v>
      </c>
      <c r="E25" s="1">
        <v>2.1</v>
      </c>
      <c r="G25" s="23" t="b">
        <f>if(countif(Status!C:C,A25)=1,TRUE, FALSE)</f>
        <v>1</v>
      </c>
    </row>
    <row r="26">
      <c r="A26" s="23" t="str">
        <f t="shared" si="4"/>
        <v>LS1004</v>
      </c>
      <c r="B26" s="23" t="str">
        <f>'2.1.raw'!I26</f>
        <v>LS1004</v>
      </c>
      <c r="C26" s="24">
        <f>datevalue(left('2.1.raw'!K26,10))</f>
        <v>43600</v>
      </c>
      <c r="D26" s="23">
        <f>'2.1.raw'!H:H</f>
        <v>7</v>
      </c>
      <c r="E26" s="1">
        <v>2.1</v>
      </c>
      <c r="G26" s="23" t="b">
        <f>if(countif(Status!C:C,A26)=1,TRUE, FALSE)</f>
        <v>1</v>
      </c>
    </row>
    <row r="27">
      <c r="A27" s="23" t="str">
        <f t="shared" si="4"/>
        <v>DWb1002</v>
      </c>
      <c r="B27" s="23" t="str">
        <f>'2.1.raw'!I27</f>
        <v>DWb1002</v>
      </c>
      <c r="C27" s="24">
        <f>datevalue(left('2.1.raw'!K27,10))</f>
        <v>43606</v>
      </c>
      <c r="D27" s="23">
        <f>'2.1.raw'!H:H</f>
        <v>3</v>
      </c>
      <c r="E27" s="1">
        <v>2.1</v>
      </c>
      <c r="G27" s="23" t="b">
        <f>if(countif(Status!C:C,A27)=1,TRUE, FALSE)</f>
        <v>1</v>
      </c>
    </row>
    <row r="28">
      <c r="A28" s="23" t="str">
        <f t="shared" si="4"/>
        <v>OD1002</v>
      </c>
      <c r="B28" s="23" t="str">
        <f>'2.1.raw'!I28</f>
        <v>OD1002</v>
      </c>
      <c r="C28" s="24">
        <f>datevalue(left('2.1.raw'!K28,10))</f>
        <v>43606</v>
      </c>
      <c r="D28" s="23">
        <f>'2.1.raw'!H:H</f>
        <v>1</v>
      </c>
      <c r="E28" s="1">
        <v>2.1</v>
      </c>
      <c r="G28" s="23" t="b">
        <f>if(countif(Status!C:C,A28)=1,TRUE, FALSE)</f>
        <v>1</v>
      </c>
    </row>
    <row r="29">
      <c r="A29" s="23" t="str">
        <f t="shared" si="4"/>
        <v>RP1001</v>
      </c>
      <c r="B29" s="23" t="str">
        <f>'2.1.raw'!I29</f>
        <v>RP1001</v>
      </c>
      <c r="C29" s="24">
        <f>datevalue(left('2.1.raw'!K29,10))</f>
        <v>43606</v>
      </c>
      <c r="D29" s="23">
        <f>'2.1.raw'!H:H</f>
        <v>2</v>
      </c>
      <c r="E29" s="1">
        <v>2.1</v>
      </c>
      <c r="G29" s="23" t="b">
        <f>if(countif(Status!C:C,A29)=1,TRUE, FALSE)</f>
        <v>1</v>
      </c>
    </row>
    <row r="30">
      <c r="A30" s="23" t="str">
        <f t="shared" si="4"/>
        <v>RP1002</v>
      </c>
      <c r="B30" s="23" t="str">
        <f>'2.1.raw'!I30</f>
        <v>RP1002</v>
      </c>
      <c r="C30" s="24">
        <f>datevalue(left('2.1.raw'!K30,10))</f>
        <v>43606</v>
      </c>
      <c r="D30" s="23">
        <f>'2.1.raw'!H:H</f>
        <v>2</v>
      </c>
      <c r="E30" s="1">
        <v>2.1</v>
      </c>
      <c r="G30" s="23" t="b">
        <f>if(countif(Status!C:C,A30)=1,TRUE, FALSE)</f>
        <v>1</v>
      </c>
    </row>
    <row r="31">
      <c r="A31" s="23" t="str">
        <f t="shared" si="4"/>
        <v>SF1003</v>
      </c>
      <c r="B31" s="23" t="str">
        <f>'2.1.raw'!I31</f>
        <v>SF1003</v>
      </c>
      <c r="C31" s="24">
        <f>datevalue(left('2.1.raw'!K31,10))</f>
        <v>43606</v>
      </c>
      <c r="D31" s="23">
        <f>'2.1.raw'!H:H</f>
        <v>10</v>
      </c>
      <c r="E31" s="1">
        <v>2.1</v>
      </c>
      <c r="G31" s="23" t="b">
        <f>if(countif(Status!C:C,A31)=1,TRUE, FALSE)</f>
        <v>1</v>
      </c>
    </row>
    <row r="32">
      <c r="A32" s="23" t="str">
        <f t="shared" si="4"/>
        <v>SF1004</v>
      </c>
      <c r="B32" s="23" t="str">
        <f>'2.1.raw'!I32</f>
        <v>SF1004</v>
      </c>
      <c r="C32" s="24">
        <f>datevalue(left('2.1.raw'!K32,10))</f>
        <v>43606</v>
      </c>
      <c r="D32" s="23">
        <f>'2.1.raw'!H:H</f>
        <v>10</v>
      </c>
      <c r="E32" s="1">
        <v>2.1</v>
      </c>
      <c r="G32" s="23" t="b">
        <f>if(countif(Status!C:C,A32)=1,TRUE, FALSE)</f>
        <v>1</v>
      </c>
    </row>
    <row r="33">
      <c r="A33" s="23" t="str">
        <f t="shared" si="4"/>
        <v>SW1002</v>
      </c>
      <c r="B33" s="23" t="str">
        <f>'2.1.raw'!I33</f>
        <v>SW1002</v>
      </c>
      <c r="C33" s="24">
        <f>datevalue(left('2.1.raw'!K33,10))</f>
        <v>43606</v>
      </c>
      <c r="D33" s="23">
        <f>'2.1.raw'!H:H</f>
        <v>5</v>
      </c>
      <c r="E33" s="1">
        <v>2.1</v>
      </c>
      <c r="G33" s="23" t="b">
        <f>if(countif(Status!C:C,A33)=1,TRUE, FALSE)</f>
        <v>1</v>
      </c>
    </row>
    <row r="34">
      <c r="A34" s="23" t="str">
        <f t="shared" si="4"/>
        <v>DWa1001(UF)</v>
      </c>
      <c r="B34" s="23" t="str">
        <f>'2.1.raw'!I34</f>
        <v>DWa1001(UF)</v>
      </c>
      <c r="C34" s="24">
        <f>datevalue(left('2.1.raw'!K34,10))</f>
        <v>43607</v>
      </c>
      <c r="D34" s="23">
        <f>'2.1.raw'!H:H</f>
        <v>3</v>
      </c>
      <c r="E34" s="1">
        <v>2.1</v>
      </c>
      <c r="G34" s="23" t="b">
        <f>if(countif(Status!C:C,A34)=1,TRUE, FALSE)</f>
        <v>1</v>
      </c>
    </row>
    <row r="35">
      <c r="A35" s="23" t="str">
        <f t="shared" si="4"/>
        <v>DWa1001</v>
      </c>
      <c r="B35" s="23" t="str">
        <f>'2.1.raw'!I35</f>
        <v>DWa1001</v>
      </c>
      <c r="C35" s="24">
        <f>datevalue(left('2.1.raw'!K35,10))</f>
        <v>43607</v>
      </c>
      <c r="D35" s="23">
        <f>'2.1.raw'!H:H</f>
        <v>3</v>
      </c>
      <c r="E35" s="1">
        <v>2.1</v>
      </c>
      <c r="G35" s="23" t="b">
        <f>if(countif(Status!C:C,A35)=1,TRUE, FALSE)</f>
        <v>1</v>
      </c>
    </row>
    <row r="36">
      <c r="A36" s="23" t="str">
        <f t="shared" si="4"/>
        <v>LS1005</v>
      </c>
      <c r="B36" s="23" t="str">
        <f>'2.1.raw'!I36</f>
        <v>LS1005</v>
      </c>
      <c r="C36" s="24">
        <f>datevalue(left('2.1.raw'!K36,10))</f>
        <v>43607</v>
      </c>
      <c r="D36" s="23">
        <f>'2.1.raw'!H:H</f>
        <v>7</v>
      </c>
      <c r="E36" s="1">
        <v>2.1</v>
      </c>
      <c r="G36" s="23" t="b">
        <f>if(countif(Status!C:C,A36)=1,TRUE, FALSE)</f>
        <v>1</v>
      </c>
    </row>
    <row r="37">
      <c r="A37" s="23" t="str">
        <f t="shared" si="4"/>
        <v>LS1006</v>
      </c>
      <c r="B37" s="23" t="str">
        <f>'2.1.raw'!I37</f>
        <v>LS1006</v>
      </c>
      <c r="C37" s="24">
        <f>datevalue(left('2.1.raw'!K37,10))</f>
        <v>43607</v>
      </c>
      <c r="D37" s="23">
        <f>'2.1.raw'!H:H</f>
        <v>7</v>
      </c>
      <c r="E37" s="1">
        <v>2.1</v>
      </c>
      <c r="G37" s="23" t="b">
        <f>if(countif(Status!C:C,A37)=1,TRUE, FALSE)</f>
        <v>1</v>
      </c>
    </row>
    <row r="38">
      <c r="A38" s="23" t="str">
        <f t="shared" si="4"/>
        <v>LS1007</v>
      </c>
      <c r="B38" s="23" t="str">
        <f>'2.1.raw'!I38</f>
        <v>LS1007</v>
      </c>
      <c r="C38" s="24">
        <f>datevalue(left('2.1.raw'!K38,10))</f>
        <v>43607</v>
      </c>
      <c r="D38" s="23">
        <f>'2.1.raw'!H:H</f>
        <v>7</v>
      </c>
      <c r="E38" s="1">
        <v>2.1</v>
      </c>
      <c r="G38" s="23" t="b">
        <f>if(countif(Status!C:C,A38)=1,TRUE, FALSE)</f>
        <v>1</v>
      </c>
    </row>
    <row r="39">
      <c r="A39" s="23" t="str">
        <f t="shared" si="4"/>
        <v>RP1003</v>
      </c>
      <c r="B39" s="23" t="str">
        <f>'2.1.raw'!I39</f>
        <v>RP1003</v>
      </c>
      <c r="C39" s="24">
        <f>datevalue(left('2.1.raw'!K39,10))</f>
        <v>43612</v>
      </c>
      <c r="D39" s="23">
        <f>'2.1.raw'!H:H</f>
        <v>2</v>
      </c>
      <c r="E39" s="1">
        <v>2.1</v>
      </c>
      <c r="G39" s="23" t="b">
        <f>if(countif(Status!C:C,A39)=1,TRUE, FALSE)</f>
        <v>1</v>
      </c>
    </row>
    <row r="40">
      <c r="A40" s="23" t="str">
        <f t="shared" si="4"/>
        <v>RP1004</v>
      </c>
      <c r="B40" s="23" t="str">
        <f>'2.1.raw'!I40</f>
        <v>RP1004</v>
      </c>
      <c r="C40" s="24">
        <f>datevalue(left('2.1.raw'!K40,10))</f>
        <v>43612</v>
      </c>
      <c r="D40" s="23">
        <f>'2.1.raw'!H:H</f>
        <v>2</v>
      </c>
      <c r="E40" s="1">
        <v>2.1</v>
      </c>
      <c r="G40" s="23" t="b">
        <f>if(countif(Status!C:C,A40)=1,TRUE, FALSE)</f>
        <v>1</v>
      </c>
    </row>
    <row r="41">
      <c r="A41" s="23" t="str">
        <f t="shared" si="4"/>
        <v>SL1001</v>
      </c>
      <c r="B41" s="23" t="str">
        <f>'2.1.raw'!I41</f>
        <v>SL1001</v>
      </c>
      <c r="C41" s="24">
        <f>datevalue(left('2.1.raw'!K41,10))</f>
        <v>43612</v>
      </c>
      <c r="D41" s="23">
        <f>'2.1.raw'!H:H</f>
        <v>8</v>
      </c>
      <c r="E41" s="1">
        <v>2.1</v>
      </c>
      <c r="G41" s="23" t="b">
        <f>if(countif(Status!C:C,A41)=1,TRUE, FALSE)</f>
        <v>1</v>
      </c>
    </row>
    <row r="42">
      <c r="A42" s="23" t="str">
        <f t="shared" si="4"/>
        <v>SL1002</v>
      </c>
      <c r="B42" s="23" t="str">
        <f>'2.1.raw'!I42</f>
        <v>SL1002</v>
      </c>
      <c r="C42" s="24">
        <f>datevalue(left('2.1.raw'!K42,10))</f>
        <v>43612</v>
      </c>
      <c r="D42" s="23">
        <f>'2.1.raw'!H:H</f>
        <v>8</v>
      </c>
      <c r="E42" s="1">
        <v>2.1</v>
      </c>
      <c r="G42" s="23" t="b">
        <f>if(countif(Status!C:C,A42)=1,TRUE, FALSE)</f>
        <v>1</v>
      </c>
    </row>
    <row r="43">
      <c r="A43" s="23" t="str">
        <f t="shared" si="4"/>
        <v>SW1003</v>
      </c>
      <c r="B43" s="23" t="str">
        <f>'2.1.raw'!I43</f>
        <v>SW1003</v>
      </c>
      <c r="C43" s="24">
        <f>datevalue(left('2.1.raw'!K43,10))</f>
        <v>43613</v>
      </c>
      <c r="D43" s="23">
        <f>'2.1.raw'!H:H</f>
        <v>5</v>
      </c>
      <c r="E43" s="1">
        <v>2.1</v>
      </c>
      <c r="G43" s="23" t="b">
        <f>if(countif(Status!C:C,A43)=1,TRUE, FALSE)</f>
        <v>1</v>
      </c>
    </row>
    <row r="44">
      <c r="A44" s="23" t="str">
        <f t="shared" si="4"/>
        <v>BW1001</v>
      </c>
      <c r="B44" s="23" t="str">
        <f>'2.1.raw'!I44</f>
        <v>BW1001</v>
      </c>
      <c r="C44" s="24">
        <f>datevalue(left('2.1.raw'!K44,10))</f>
        <v>43613</v>
      </c>
      <c r="D44" s="23">
        <f>'2.1.raw'!H:H</f>
        <v>9</v>
      </c>
      <c r="E44" s="1">
        <v>2.1</v>
      </c>
      <c r="G44" s="23" t="b">
        <f>if(countif(Status!C:C,A44)=1,TRUE, FALSE)</f>
        <v>1</v>
      </c>
    </row>
    <row r="45">
      <c r="A45" s="23" t="str">
        <f t="shared" si="4"/>
        <v>DWb1003</v>
      </c>
      <c r="B45" s="23" t="str">
        <f>'2.1.raw'!I45</f>
        <v>DWb1003</v>
      </c>
      <c r="C45" s="24">
        <f>datevalue(left('2.1.raw'!K45,10))</f>
        <v>43613</v>
      </c>
      <c r="D45" s="23">
        <f>'2.1.raw'!H:H</f>
        <v>3</v>
      </c>
      <c r="E45" s="1">
        <v>2.1</v>
      </c>
      <c r="G45" s="23" t="b">
        <f>if(countif(Status!C:C,A45)=1,TRUE, FALSE)</f>
        <v>1</v>
      </c>
    </row>
    <row r="46">
      <c r="A46" s="23" t="str">
        <f t="shared" si="4"/>
        <v>SF1005</v>
      </c>
      <c r="B46" s="23" t="str">
        <f>'2.1.raw'!I46</f>
        <v>SF1005</v>
      </c>
      <c r="C46" s="24">
        <f>datevalue(left('2.1.raw'!K46,10))</f>
        <v>43613</v>
      </c>
      <c r="D46" s="23">
        <f>'2.1.raw'!H:H</f>
        <v>10</v>
      </c>
      <c r="E46" s="1">
        <v>2.1</v>
      </c>
      <c r="G46" s="23" t="b">
        <f>if(countif(Status!C:C,A46)=1,TRUE, FALSE)</f>
        <v>1</v>
      </c>
    </row>
    <row r="47">
      <c r="A47" s="23" t="str">
        <f t="shared" si="4"/>
        <v>SF1006</v>
      </c>
      <c r="B47" s="23" t="str">
        <f>'2.1.raw'!I47</f>
        <v>SF1006</v>
      </c>
      <c r="C47" s="24">
        <f>datevalue(left('2.1.raw'!K47,10))</f>
        <v>43613</v>
      </c>
      <c r="D47" s="23">
        <f>'2.1.raw'!H:H</f>
        <v>10</v>
      </c>
      <c r="E47" s="1">
        <v>2.1</v>
      </c>
      <c r="G47" s="23" t="b">
        <f>if(countif(Status!C:C,A47)=1,TRUE, FALSE)</f>
        <v>1</v>
      </c>
    </row>
    <row r="48">
      <c r="A48" s="23" t="str">
        <f t="shared" si="4"/>
        <v>DWa1002</v>
      </c>
      <c r="B48" s="23" t="str">
        <f>'2.1.raw'!I48</f>
        <v>DWa1002</v>
      </c>
      <c r="C48" s="24">
        <f>datevalue(left('2.1.raw'!K48,10))</f>
        <v>43614</v>
      </c>
      <c r="D48" s="23">
        <f>'2.1.raw'!H:H</f>
        <v>3</v>
      </c>
      <c r="E48" s="1">
        <v>2.1</v>
      </c>
      <c r="G48" s="23" t="b">
        <f>if(countif(Status!C:C,A48)=1,TRUE, FALSE)</f>
        <v>1</v>
      </c>
    </row>
    <row r="49">
      <c r="A49" s="23" t="str">
        <f t="shared" si="4"/>
        <v>DWa1002(UF)</v>
      </c>
      <c r="B49" s="23" t="str">
        <f>'2.1.raw'!I49</f>
        <v>DWa1002(UF)</v>
      </c>
      <c r="C49" s="24">
        <f>datevalue(left('2.1.raw'!K49,10))</f>
        <v>43614</v>
      </c>
      <c r="D49" s="23">
        <f>'2.1.raw'!H:H</f>
        <v>3</v>
      </c>
      <c r="E49" s="1">
        <v>2.1</v>
      </c>
      <c r="G49" s="23" t="b">
        <f>if(countif(Status!C:C,A49)=1,TRUE, FALSE)</f>
        <v>1</v>
      </c>
    </row>
    <row r="50">
      <c r="A50" s="23" t="str">
        <f t="shared" si="4"/>
        <v>LS1008</v>
      </c>
      <c r="B50" s="23" t="str">
        <f>'2.1.raw'!I50</f>
        <v>LS1008</v>
      </c>
      <c r="C50" s="24">
        <f>datevalue(left('2.1.raw'!K50,10))</f>
        <v>43614</v>
      </c>
      <c r="D50" s="23">
        <f>'2.1.raw'!H:H</f>
        <v>7</v>
      </c>
      <c r="E50" s="1">
        <v>2.1</v>
      </c>
      <c r="G50" s="23" t="b">
        <f>if(countif(Status!C:C,A50)=1,TRUE, FALSE)</f>
        <v>1</v>
      </c>
    </row>
    <row r="51">
      <c r="A51" s="23" t="str">
        <f t="shared" si="4"/>
        <v>LS1009</v>
      </c>
      <c r="B51" s="23" t="str">
        <f>'2.1.raw'!I51</f>
        <v>LS1009</v>
      </c>
      <c r="C51" s="24">
        <f>datevalue(left('2.1.raw'!K51,10))</f>
        <v>43614</v>
      </c>
      <c r="D51" s="23">
        <f>'2.1.raw'!H:H</f>
        <v>7</v>
      </c>
      <c r="E51" s="1">
        <v>2.1</v>
      </c>
      <c r="G51" s="23" t="b">
        <f>if(countif(Status!C:C,A51)=1,TRUE, FALSE)</f>
        <v>1</v>
      </c>
    </row>
    <row r="52">
      <c r="A52" s="23" t="str">
        <f t="shared" si="4"/>
        <v>RP1005</v>
      </c>
      <c r="B52" s="23" t="str">
        <f>'2.1.raw'!I52</f>
        <v>RP1005</v>
      </c>
      <c r="C52" s="24">
        <f>datevalue(left('2.1.raw'!K52,10))</f>
        <v>43619</v>
      </c>
      <c r="D52" s="23">
        <f>'2.1.raw'!H:H</f>
        <v>2</v>
      </c>
      <c r="E52" s="1">
        <v>2.1</v>
      </c>
      <c r="G52" s="23" t="b">
        <f>if(countif(Status!C:C,A52)=1,TRUE, FALSE)</f>
        <v>1</v>
      </c>
    </row>
    <row r="53">
      <c r="A53" s="23" t="str">
        <f t="shared" si="4"/>
        <v>RP1006</v>
      </c>
      <c r="B53" s="23" t="str">
        <f>'2.1.raw'!I53</f>
        <v>RP1006</v>
      </c>
      <c r="C53" s="24">
        <f>datevalue(left('2.1.raw'!K53,10))</f>
        <v>43619</v>
      </c>
      <c r="D53" s="23">
        <f>'2.1.raw'!H:H</f>
        <v>2</v>
      </c>
      <c r="E53" s="1">
        <v>2.1</v>
      </c>
      <c r="G53" s="23" t="b">
        <f>if(countif(Status!C:C,A53)=1,TRUE, FALSE)</f>
        <v>1</v>
      </c>
    </row>
    <row r="54">
      <c r="A54" s="23" t="str">
        <f t="shared" si="4"/>
        <v>SL1003</v>
      </c>
      <c r="B54" s="23" t="str">
        <f>'2.1.raw'!I54</f>
        <v>SL1003</v>
      </c>
      <c r="C54" s="24">
        <f>datevalue(left('2.1.raw'!K54,10))</f>
        <v>43619</v>
      </c>
      <c r="D54" s="23">
        <f>'2.1.raw'!H:H</f>
        <v>8</v>
      </c>
      <c r="E54" s="1">
        <v>2.1</v>
      </c>
      <c r="G54" s="23" t="b">
        <f>if(countif(Status!C:C,A54)=1,TRUE, FALSE)</f>
        <v>1</v>
      </c>
    </row>
    <row r="55">
      <c r="A55" s="23" t="str">
        <f t="shared" si="4"/>
        <v>SL1004</v>
      </c>
      <c r="B55" s="23" t="str">
        <f>'2.1.raw'!I55</f>
        <v>SL1004</v>
      </c>
      <c r="C55" s="24">
        <f>datevalue(left('2.1.raw'!K55,10))</f>
        <v>43619</v>
      </c>
      <c r="D55" s="23">
        <f>'2.1.raw'!H:H</f>
        <v>8</v>
      </c>
      <c r="E55" s="1">
        <v>2.1</v>
      </c>
      <c r="G55" s="23" t="b">
        <f>if(countif(Status!C:C,A55)=1,TRUE, FALSE)</f>
        <v>1</v>
      </c>
    </row>
    <row r="56">
      <c r="A56" s="49" t="s">
        <v>395</v>
      </c>
      <c r="B56" s="23" t="str">
        <f>'2.1.raw'!I56</f>
        <v>FB1002</v>
      </c>
      <c r="C56" s="24">
        <v>43615.0</v>
      </c>
      <c r="D56" s="23">
        <f>'2.1.raw'!H:H</f>
        <v>99</v>
      </c>
      <c r="E56" s="1">
        <v>2.1</v>
      </c>
      <c r="F56" s="1" t="s">
        <v>397</v>
      </c>
      <c r="G56" s="23" t="b">
        <f>if(countif(Status!C:C,A56)=1,TRUE, FALSE)</f>
        <v>1</v>
      </c>
    </row>
    <row r="57">
      <c r="A57" s="23" t="str">
        <f t="shared" ref="A57:A242" si="5">B57</f>
        <v>DWb1004</v>
      </c>
      <c r="B57" s="23" t="str">
        <f>'2.1.raw'!I57</f>
        <v>DWb1004</v>
      </c>
      <c r="C57" s="24">
        <f>datevalue(left('2.1.raw'!K57,10))</f>
        <v>43620</v>
      </c>
      <c r="D57" s="23">
        <f>'2.1.raw'!H:H</f>
        <v>3</v>
      </c>
      <c r="E57" s="1">
        <v>2.1</v>
      </c>
      <c r="G57" s="23" t="b">
        <f>if(countif(Status!C:C,A57)=1,TRUE, FALSE)</f>
        <v>1</v>
      </c>
    </row>
    <row r="58">
      <c r="A58" s="23" t="str">
        <f t="shared" si="5"/>
        <v>OD1003</v>
      </c>
      <c r="B58" s="23" t="str">
        <f>'2.1.raw'!I58</f>
        <v>OD1003</v>
      </c>
      <c r="C58" s="24">
        <f>datevalue(left('2.1.raw'!K58,10))</f>
        <v>43620</v>
      </c>
      <c r="D58" s="23">
        <f>'2.1.raw'!H:H</f>
        <v>1</v>
      </c>
      <c r="E58" s="1">
        <v>2.1</v>
      </c>
      <c r="G58" s="23" t="b">
        <f>if(countif(Status!C:C,A58)=1,TRUE, FALSE)</f>
        <v>1</v>
      </c>
    </row>
    <row r="59">
      <c r="A59" s="23" t="str">
        <f t="shared" si="5"/>
        <v>SW1004</v>
      </c>
      <c r="B59" s="23" t="str">
        <f>'2.1.raw'!I59</f>
        <v>SW1004</v>
      </c>
      <c r="C59" s="24">
        <f>datevalue(left('2.1.raw'!K59,10))</f>
        <v>43620</v>
      </c>
      <c r="D59" s="23">
        <f>'2.1.raw'!H:H</f>
        <v>5</v>
      </c>
      <c r="E59" s="1">
        <v>2.1</v>
      </c>
      <c r="G59" s="23" t="b">
        <f>if(countif(Status!C:C,A59)=1,TRUE, FALSE)</f>
        <v>1</v>
      </c>
    </row>
    <row r="60">
      <c r="A60" s="23" t="str">
        <f t="shared" si="5"/>
        <v>SF1007</v>
      </c>
      <c r="B60" s="23" t="str">
        <f>'2.1.raw'!I60</f>
        <v>SF1007</v>
      </c>
      <c r="C60" s="24">
        <f>datevalue(left('2.1.raw'!K60,10))</f>
        <v>43620</v>
      </c>
      <c r="D60" s="23">
        <f>'2.1.raw'!H:H</f>
        <v>10</v>
      </c>
      <c r="E60" s="1">
        <v>2.1</v>
      </c>
      <c r="G60" s="23" t="b">
        <f>if(countif(Status!C:C,A60)=1,TRUE, FALSE)</f>
        <v>1</v>
      </c>
    </row>
    <row r="61">
      <c r="A61" s="23" t="str">
        <f t="shared" si="5"/>
        <v>SF1008</v>
      </c>
      <c r="B61" s="23" t="str">
        <f>'2.1.raw'!I61</f>
        <v>SF1008</v>
      </c>
      <c r="C61" s="24">
        <f>datevalue(left('2.1.raw'!K61,10))</f>
        <v>43620</v>
      </c>
      <c r="D61" s="23">
        <f>'2.1.raw'!H:H</f>
        <v>10</v>
      </c>
      <c r="E61" s="1">
        <v>2.1</v>
      </c>
      <c r="G61" s="23" t="b">
        <f>if(countif(Status!C:C,A61)=1,TRUE, FALSE)</f>
        <v>1</v>
      </c>
    </row>
    <row r="62">
      <c r="A62" s="23" t="str">
        <f t="shared" si="5"/>
        <v>FB1002</v>
      </c>
      <c r="B62" s="23" t="str">
        <f>'2.1.raw'!I62</f>
        <v>FB1002</v>
      </c>
      <c r="C62" s="24">
        <v>43619.0</v>
      </c>
      <c r="D62" s="23">
        <f>'2.1.raw'!H:H</f>
        <v>99</v>
      </c>
      <c r="E62" s="1">
        <v>2.1</v>
      </c>
      <c r="F62" s="1" t="s">
        <v>397</v>
      </c>
      <c r="G62" s="23" t="b">
        <f>if(countif(Status!C:C,A62)=1,TRUE, FALSE)</f>
        <v>1</v>
      </c>
    </row>
    <row r="63">
      <c r="A63" s="23" t="str">
        <f t="shared" si="5"/>
        <v>FB1003</v>
      </c>
      <c r="B63" s="23" t="str">
        <f>'2.1.raw'!I63</f>
        <v>FB1003</v>
      </c>
      <c r="C63" s="26">
        <v>43643.0</v>
      </c>
      <c r="D63" s="23">
        <f>'2.1.raw'!H:H</f>
        <v>99</v>
      </c>
      <c r="E63" s="1">
        <v>2.1</v>
      </c>
      <c r="F63" s="1" t="s">
        <v>96</v>
      </c>
      <c r="G63" s="23" t="b">
        <f>if(countif(Status!C:C,A63)=1,TRUE, FALSE)</f>
        <v>1</v>
      </c>
    </row>
    <row r="64">
      <c r="A64" s="23" t="str">
        <f t="shared" si="5"/>
        <v>FB1004</v>
      </c>
      <c r="B64" s="23" t="str">
        <f>'2.1.raw'!I64</f>
        <v>FB1004</v>
      </c>
      <c r="C64" s="26">
        <v>43648.0</v>
      </c>
      <c r="D64" s="23">
        <f>'2.1.raw'!H:H</f>
        <v>99</v>
      </c>
      <c r="E64" s="1">
        <v>2.1</v>
      </c>
      <c r="F64" s="1" t="s">
        <v>96</v>
      </c>
      <c r="G64" s="23" t="b">
        <f>if(countif(Status!C:C,A64)=1,TRUE, FALSE)</f>
        <v>1</v>
      </c>
    </row>
    <row r="65">
      <c r="A65" s="23" t="str">
        <f t="shared" si="5"/>
        <v>FB1005</v>
      </c>
      <c r="B65" s="23" t="str">
        <f>'2.1.raw'!I65</f>
        <v>FB1005</v>
      </c>
      <c r="C65" s="26">
        <v>43650.0</v>
      </c>
      <c r="D65" s="23">
        <f>'2.1.raw'!H:H</f>
        <v>99</v>
      </c>
      <c r="E65" s="1">
        <v>2.1</v>
      </c>
      <c r="G65" s="23" t="b">
        <f>if(countif(Status!C:C,A65)=1,TRUE, FALSE)</f>
        <v>1</v>
      </c>
    </row>
    <row r="66">
      <c r="A66" s="23" t="str">
        <f t="shared" si="5"/>
        <v>SL1005</v>
      </c>
      <c r="B66" s="23" t="str">
        <f>'2.1.raw'!I66</f>
        <v>SL1005</v>
      </c>
      <c r="C66" s="24">
        <f>datevalue(left('2.1.raw'!K66,10))</f>
        <v>43669</v>
      </c>
      <c r="D66" s="23">
        <f>'2.1.raw'!H:H</f>
        <v>8</v>
      </c>
      <c r="E66" s="1">
        <v>2.1</v>
      </c>
      <c r="G66" s="23" t="b">
        <f>if(countif(Status!C:C,A66)=1,TRUE, FALSE)</f>
        <v>1</v>
      </c>
    </row>
    <row r="67">
      <c r="A67" s="23" t="str">
        <f t="shared" si="5"/>
        <v>SL1006</v>
      </c>
      <c r="B67" s="23" t="str">
        <f>'2.1.raw'!I67</f>
        <v>SL1006</v>
      </c>
      <c r="C67" s="24">
        <f>datevalue(left('2.1.raw'!K67,10))</f>
        <v>43669</v>
      </c>
      <c r="D67" s="23">
        <f>'2.1.raw'!H:H</f>
        <v>8</v>
      </c>
      <c r="E67" s="1">
        <v>2.1</v>
      </c>
      <c r="G67" s="23" t="b">
        <f>if(countif(Status!C:C,A67)=1,TRUE, FALSE)</f>
        <v>1</v>
      </c>
    </row>
    <row r="68">
      <c r="A68" s="23" t="str">
        <f t="shared" si="5"/>
        <v>SF1009</v>
      </c>
      <c r="B68" s="23" t="str">
        <f>'2.1.raw'!I68</f>
        <v>SF1009</v>
      </c>
      <c r="C68" s="24">
        <f>datevalue(left('2.1.raw'!K68,10))</f>
        <v>43670</v>
      </c>
      <c r="D68" s="23">
        <f>'2.1.raw'!H:H</f>
        <v>10</v>
      </c>
      <c r="E68" s="1">
        <v>2.1</v>
      </c>
      <c r="G68" s="23" t="b">
        <f>if(countif(Status!C:C,A68)=1,TRUE, FALSE)</f>
        <v>1</v>
      </c>
    </row>
    <row r="69">
      <c r="A69" s="23" t="str">
        <f t="shared" si="5"/>
        <v>SF1010</v>
      </c>
      <c r="B69" s="23" t="str">
        <f>'2.1.raw'!I69</f>
        <v>SF1010</v>
      </c>
      <c r="C69" s="24">
        <f>datevalue(left('2.1.raw'!K69,10))</f>
        <v>43670</v>
      </c>
      <c r="D69" s="23">
        <f>'2.1.raw'!H:H</f>
        <v>10</v>
      </c>
      <c r="E69" s="1">
        <v>2.1</v>
      </c>
      <c r="G69" s="23" t="b">
        <f>if(countif(Status!C:C,A69)=1,TRUE, FALSE)</f>
        <v>1</v>
      </c>
    </row>
    <row r="70">
      <c r="A70" s="23" t="str">
        <f t="shared" si="5"/>
        <v>RP1007</v>
      </c>
      <c r="B70" s="23" t="str">
        <f>'2.1.raw'!I70</f>
        <v>RP1007</v>
      </c>
      <c r="C70" s="24">
        <f>datevalue(left('2.1.raw'!K70,10))</f>
        <v>43675</v>
      </c>
      <c r="D70" s="23">
        <f>'2.1.raw'!H:H</f>
        <v>2</v>
      </c>
      <c r="E70" s="1">
        <v>2.1</v>
      </c>
      <c r="G70" s="23" t="b">
        <f>if(countif(Status!C:C,A70)=1,TRUE, FALSE)</f>
        <v>1</v>
      </c>
    </row>
    <row r="71">
      <c r="A71" s="23" t="str">
        <f t="shared" si="5"/>
        <v>RP1008</v>
      </c>
      <c r="B71" s="23" t="str">
        <f>'2.1.raw'!I71</f>
        <v>RP1008</v>
      </c>
      <c r="C71" s="24">
        <f>datevalue(left('2.1.raw'!K71,10))</f>
        <v>43675</v>
      </c>
      <c r="D71" s="23">
        <f>'2.1.raw'!H:H</f>
        <v>2</v>
      </c>
      <c r="E71" s="1">
        <v>2.1</v>
      </c>
      <c r="G71" s="23" t="b">
        <f>if(countif(Status!C:C,A71)=1,TRUE, FALSE)</f>
        <v>1</v>
      </c>
    </row>
    <row r="72">
      <c r="A72" s="23" t="str">
        <f t="shared" si="5"/>
        <v>RP1009</v>
      </c>
      <c r="B72" s="23" t="str">
        <f>'2.1.raw'!I72</f>
        <v>RP1009</v>
      </c>
      <c r="C72" s="24">
        <f>datevalue(left('2.1.raw'!K72,10))</f>
        <v>43675</v>
      </c>
      <c r="D72" s="23">
        <f>'2.1.raw'!H:H</f>
        <v>2</v>
      </c>
      <c r="E72" s="1">
        <v>2.1</v>
      </c>
      <c r="G72" s="23" t="b">
        <f>if(countif(Status!C:C,A72)=1,TRUE, FALSE)</f>
        <v>1</v>
      </c>
    </row>
    <row r="73">
      <c r="A73" s="23" t="str">
        <f t="shared" si="5"/>
        <v>SW1005</v>
      </c>
      <c r="B73" s="23" t="str">
        <f>'2.1.raw'!I73</f>
        <v>SW1005</v>
      </c>
      <c r="C73" s="24">
        <f>datevalue(left('2.1.raw'!K73,10))</f>
        <v>43676</v>
      </c>
      <c r="D73" s="23">
        <f>'2.1.raw'!H:H</f>
        <v>5</v>
      </c>
      <c r="E73" s="1">
        <v>2.1</v>
      </c>
      <c r="G73" s="23" t="b">
        <f>if(countif(Status!C:C,A73)=1,TRUE, FALSE)</f>
        <v>1</v>
      </c>
    </row>
    <row r="74">
      <c r="A74" s="23" t="str">
        <f t="shared" si="5"/>
        <v>SW1006</v>
      </c>
      <c r="B74" s="23" t="str">
        <f>'2.1.raw'!I74</f>
        <v>SW1006</v>
      </c>
      <c r="C74" s="24">
        <f>datevalue(left('2.1.raw'!K74,10))</f>
        <v>43676</v>
      </c>
      <c r="D74" s="23">
        <f>'2.1.raw'!H:H</f>
        <v>5</v>
      </c>
      <c r="E74" s="1">
        <v>2.1</v>
      </c>
      <c r="G74" s="23" t="b">
        <f>if(countif(Status!C:C,A74)=1,TRUE, FALSE)</f>
        <v>1</v>
      </c>
    </row>
    <row r="75">
      <c r="A75" s="23" t="str">
        <f t="shared" si="5"/>
        <v>FB1014</v>
      </c>
      <c r="B75" s="23" t="str">
        <f>'2.1.raw'!I75</f>
        <v>FB1014</v>
      </c>
      <c r="C75" s="24">
        <v>43676.0</v>
      </c>
      <c r="D75" s="23">
        <f>'2.1.raw'!H:H</f>
        <v>99</v>
      </c>
      <c r="E75" s="1">
        <v>2.1</v>
      </c>
      <c r="G75" s="23" t="b">
        <f>if(countif(Status!C:C,A75)=1,TRUE, FALSE)</f>
        <v>1</v>
      </c>
    </row>
    <row r="76">
      <c r="A76" s="23" t="str">
        <f t="shared" si="5"/>
        <v>SL1007</v>
      </c>
      <c r="B76" s="23" t="str">
        <f>'2.1.raw'!I76</f>
        <v>SL1007</v>
      </c>
      <c r="C76" s="24">
        <f>datevalue(left('2.1.raw'!K76,10))</f>
        <v>43677</v>
      </c>
      <c r="D76" s="23">
        <f>'2.1.raw'!H:H</f>
        <v>8</v>
      </c>
      <c r="E76" s="1">
        <v>2.1</v>
      </c>
      <c r="G76" s="23" t="b">
        <f>if(countif(Status!C:C,A76)=1,TRUE, FALSE)</f>
        <v>1</v>
      </c>
    </row>
    <row r="77">
      <c r="A77" s="23" t="str">
        <f t="shared" si="5"/>
        <v>SL1008</v>
      </c>
      <c r="B77" s="23" t="str">
        <f>'2.1.raw'!I77</f>
        <v>SL1008</v>
      </c>
      <c r="C77" s="24">
        <f>datevalue(left('2.1.raw'!K77,10))</f>
        <v>43677</v>
      </c>
      <c r="D77" s="23">
        <f>'2.1.raw'!H:H</f>
        <v>8</v>
      </c>
      <c r="E77" s="1">
        <v>2.1</v>
      </c>
      <c r="G77" s="23" t="b">
        <f>if(countif(Status!C:C,A77)=1,TRUE, FALSE)</f>
        <v>1</v>
      </c>
    </row>
    <row r="78">
      <c r="A78" s="23" t="str">
        <f t="shared" si="5"/>
        <v>SL1009</v>
      </c>
      <c r="B78" s="23" t="str">
        <f>'2.1.raw'!I78</f>
        <v>SL1009</v>
      </c>
      <c r="C78" s="24">
        <f>datevalue(left('2.1.raw'!K78,10))</f>
        <v>43682</v>
      </c>
      <c r="D78" s="23">
        <f>'2.1.raw'!H:H</f>
        <v>8</v>
      </c>
      <c r="E78" s="1">
        <v>2.1</v>
      </c>
      <c r="G78" s="23" t="b">
        <f>if(countif(Status!C:C,A78)=1,TRUE, FALSE)</f>
        <v>1</v>
      </c>
    </row>
    <row r="79">
      <c r="A79" s="23" t="str">
        <f t="shared" si="5"/>
        <v>FB1018</v>
      </c>
      <c r="B79" s="23" t="str">
        <f>'2.1.raw'!I79</f>
        <v>FB1018</v>
      </c>
      <c r="C79" s="57">
        <v>43682.0</v>
      </c>
      <c r="D79" s="23">
        <f>'2.1.raw'!H:H</f>
        <v>99</v>
      </c>
      <c r="E79" s="1">
        <v>2.1</v>
      </c>
      <c r="F79" s="1" t="s">
        <v>405</v>
      </c>
      <c r="G79" s="23" t="b">
        <f>if(countif(Status!C:C,A79)=1,TRUE, FALSE)</f>
        <v>1</v>
      </c>
    </row>
    <row r="80">
      <c r="A80" s="23" t="str">
        <f t="shared" si="5"/>
        <v>SW1007</v>
      </c>
      <c r="B80" s="23" t="str">
        <f>'2.1.raw'!I80</f>
        <v>SW1007</v>
      </c>
      <c r="C80" s="24">
        <f>datevalue(left('2.1.raw'!K80,10))</f>
        <v>43682</v>
      </c>
      <c r="D80" s="23">
        <f>'2.1.raw'!H:H</f>
        <v>5</v>
      </c>
      <c r="E80" s="1">
        <v>2.1</v>
      </c>
      <c r="G80" s="23" t="b">
        <f>if(countif(Status!C:C,A80)=1,TRUE, FALSE)</f>
        <v>1</v>
      </c>
    </row>
    <row r="81">
      <c r="A81" s="23" t="str">
        <f t="shared" si="5"/>
        <v>OD1004</v>
      </c>
      <c r="B81" s="23" t="str">
        <f>'2.1.raw'!I81</f>
        <v>OD1004</v>
      </c>
      <c r="C81" s="24">
        <f>datevalue(left('2.1.raw'!K81,10))</f>
        <v>43683</v>
      </c>
      <c r="D81" s="23">
        <f>'2.1.raw'!H:H</f>
        <v>1</v>
      </c>
      <c r="E81" s="1">
        <v>2.1</v>
      </c>
      <c r="G81" s="23" t="b">
        <f>if(countif(Status!C:C,A81)=1,TRUE, FALSE)</f>
        <v>1</v>
      </c>
    </row>
    <row r="82">
      <c r="A82" s="23" t="str">
        <f t="shared" si="5"/>
        <v>FW1001</v>
      </c>
      <c r="B82" s="23" t="str">
        <f>'2.1.raw'!I82</f>
        <v>FW1001</v>
      </c>
      <c r="C82" s="24">
        <f>datevalue(left('2.1.raw'!K82,10))</f>
        <v>43683</v>
      </c>
      <c r="D82" s="23">
        <f>'2.1.raw'!H:H</f>
        <v>6</v>
      </c>
      <c r="E82" s="1">
        <v>2.1</v>
      </c>
      <c r="G82" s="23" t="b">
        <f>if(countif(Status!C:C,A82)=1,TRUE, FALSE)</f>
        <v>1</v>
      </c>
    </row>
    <row r="83">
      <c r="A83" s="23" t="str">
        <f t="shared" si="5"/>
        <v>OD1005</v>
      </c>
      <c r="B83" s="23" t="str">
        <f>'2.1.raw'!I83</f>
        <v>OD1005</v>
      </c>
      <c r="C83" s="24">
        <f>datevalue(left('2.1.raw'!K83,10))</f>
        <v>43683</v>
      </c>
      <c r="D83" s="23">
        <f>'2.1.raw'!H:H</f>
        <v>1</v>
      </c>
      <c r="E83" s="1">
        <v>2.1</v>
      </c>
      <c r="G83" s="23" t="b">
        <f>if(countif(Status!C:C,A83)=1,TRUE, FALSE)</f>
        <v>1</v>
      </c>
    </row>
    <row r="84">
      <c r="A84" s="23" t="str">
        <f t="shared" si="5"/>
        <v>FW1003</v>
      </c>
      <c r="B84" s="23" t="str">
        <f>'2.1.raw'!I84</f>
        <v>FW1003</v>
      </c>
      <c r="C84" s="24">
        <f>datevalue(left('2.1.raw'!K84,10))</f>
        <v>43685</v>
      </c>
      <c r="D84" s="23">
        <f>'2.1.raw'!H:H</f>
        <v>6</v>
      </c>
      <c r="E84" s="1">
        <v>2.1</v>
      </c>
      <c r="G84" s="23" t="b">
        <f>if(countif(Status!C:C,A84)=1,TRUE, FALSE)</f>
        <v>1</v>
      </c>
    </row>
    <row r="85">
      <c r="A85" s="23" t="str">
        <f t="shared" si="5"/>
        <v>FW1002</v>
      </c>
      <c r="B85" s="23" t="str">
        <f>'2.1.raw'!I85</f>
        <v>FW1002</v>
      </c>
      <c r="C85" s="24">
        <f>datevalue(left('2.1.raw'!K85,10))</f>
        <v>43684</v>
      </c>
      <c r="D85" s="23">
        <f>'2.1.raw'!H:H</f>
        <v>6</v>
      </c>
      <c r="E85" s="1">
        <v>2.1</v>
      </c>
      <c r="G85" s="23" t="b">
        <f>if(countif(Status!C:C,A85)=1,TRUE, FALSE)</f>
        <v>1</v>
      </c>
    </row>
    <row r="86">
      <c r="A86" s="23" t="str">
        <f t="shared" si="5"/>
        <v>FB1022</v>
      </c>
      <c r="B86" s="23" t="str">
        <f>'2.1.raw'!I86</f>
        <v>FB1022</v>
      </c>
      <c r="C86" s="26">
        <v>43684.0</v>
      </c>
      <c r="D86" s="23">
        <f>'2.1.raw'!H:H</f>
        <v>99</v>
      </c>
      <c r="E86" s="1">
        <v>2.1</v>
      </c>
      <c r="F86" s="1" t="s">
        <v>96</v>
      </c>
      <c r="G86" s="23" t="b">
        <f>if(countif(Status!C:C,A86)=1,TRUE, FALSE)</f>
        <v>1</v>
      </c>
    </row>
    <row r="87">
      <c r="A87" s="23" t="str">
        <f t="shared" si="5"/>
        <v>SW1008</v>
      </c>
      <c r="B87" s="23" t="str">
        <f>'2.1.raw'!I87</f>
        <v>SW1008</v>
      </c>
      <c r="C87" s="24">
        <f>datevalue(left('2.1.raw'!K87,10))</f>
        <v>43697</v>
      </c>
      <c r="D87" s="23">
        <f>'2.1.raw'!H:H</f>
        <v>5</v>
      </c>
      <c r="E87" s="1">
        <v>2.1</v>
      </c>
      <c r="G87" s="23" t="b">
        <f>if(countif(Status!C:C,A87)=1,TRUE, FALSE)</f>
        <v>1</v>
      </c>
    </row>
    <row r="88">
      <c r="A88" s="23" t="str">
        <f t="shared" si="5"/>
        <v>FB1026</v>
      </c>
      <c r="B88" s="23" t="str">
        <f>'2.1.raw'!I88</f>
        <v>FB1026</v>
      </c>
      <c r="C88" s="24">
        <f>datevalue(left('2.1.raw'!K88,10))</f>
        <v>43697</v>
      </c>
      <c r="D88" s="23">
        <f>'2.1.raw'!H:H</f>
        <v>99</v>
      </c>
      <c r="E88" s="1">
        <v>2.1</v>
      </c>
      <c r="G88" s="23" t="b">
        <f>if(countif(Status!C:C,A88)=1,TRUE, FALSE)</f>
        <v>1</v>
      </c>
    </row>
    <row r="89">
      <c r="A89" s="23" t="str">
        <f t="shared" si="5"/>
        <v>SL1010</v>
      </c>
      <c r="B89" s="23" t="str">
        <f>'2.1.raw'!I89</f>
        <v>SL1010</v>
      </c>
      <c r="C89" s="24">
        <f>datevalue(left('2.1.raw'!K89,10))</f>
        <v>43697</v>
      </c>
      <c r="D89" s="23">
        <f>'2.1.raw'!H:H</f>
        <v>8</v>
      </c>
      <c r="E89" s="1">
        <v>2.1</v>
      </c>
      <c r="G89" s="23" t="b">
        <f>if(countif(Status!C:C,A89)=1,TRUE, FALSE)</f>
        <v>1</v>
      </c>
    </row>
    <row r="90">
      <c r="A90" s="23" t="str">
        <f t="shared" si="5"/>
        <v>FB1027</v>
      </c>
      <c r="B90" s="23" t="str">
        <f>'2.1.raw'!I90</f>
        <v>FB1027</v>
      </c>
      <c r="C90" s="24">
        <f>datevalue(left('2.1.raw'!K90,10))</f>
        <v>43698</v>
      </c>
      <c r="D90" s="23">
        <f>'2.1.raw'!H:H</f>
        <v>99</v>
      </c>
      <c r="E90" s="1">
        <v>2.1</v>
      </c>
      <c r="G90" s="23" t="b">
        <f>if(countif(Status!C:C,A90)=1,TRUE, FALSE)</f>
        <v>1</v>
      </c>
    </row>
    <row r="91">
      <c r="A91" s="23" t="str">
        <f t="shared" si="5"/>
        <v>FB1028</v>
      </c>
      <c r="B91" s="23" t="str">
        <f>'2.1.raw'!I91</f>
        <v>FB1028</v>
      </c>
      <c r="C91" s="24">
        <f>datevalue(left('2.1.raw'!K91,10))</f>
        <v>43698</v>
      </c>
      <c r="D91" s="23">
        <f>'2.1.raw'!H:H</f>
        <v>99</v>
      </c>
      <c r="E91" s="1">
        <v>2.1</v>
      </c>
      <c r="G91" s="23" t="b">
        <f>if(countif(Status!C:C,A91)=1,TRUE, FALSE)</f>
        <v>1</v>
      </c>
    </row>
    <row r="92">
      <c r="A92" s="23" t="str">
        <f t="shared" si="5"/>
        <v>FB1024</v>
      </c>
      <c r="B92" s="23" t="str">
        <f>'2.1.raw'!I92</f>
        <v>FB1024</v>
      </c>
      <c r="C92" s="24">
        <f>datevalue(left('2.1.raw'!K92,10))</f>
        <v>43686</v>
      </c>
      <c r="D92" s="23">
        <f>'2.1.raw'!H:H</f>
        <v>99</v>
      </c>
      <c r="E92" s="1">
        <v>2.1</v>
      </c>
      <c r="G92" s="23" t="b">
        <f>if(countif(Status!C:C,A92)=1,TRUE, FALSE)</f>
        <v>1</v>
      </c>
    </row>
    <row r="93">
      <c r="A93" s="23" t="str">
        <f t="shared" si="5"/>
        <v>FB1029</v>
      </c>
      <c r="B93" s="23" t="str">
        <f>'2.1.raw'!I93</f>
        <v>FB1029</v>
      </c>
      <c r="C93" s="24">
        <f>datevalue(left('2.1.raw'!K93,10))</f>
        <v>43699</v>
      </c>
      <c r="D93" s="23">
        <f>'2.1.raw'!H:H</f>
        <v>99</v>
      </c>
      <c r="E93" s="1">
        <v>2.1</v>
      </c>
      <c r="G93" s="23" t="b">
        <f>if(countif(Status!C:C,A93)=1,TRUE, FALSE)</f>
        <v>1</v>
      </c>
    </row>
    <row r="94">
      <c r="A94" s="23" t="str">
        <f t="shared" si="5"/>
        <v>FB1030</v>
      </c>
      <c r="B94" s="23" t="str">
        <f>'2.1.raw'!I94</f>
        <v>FB1030</v>
      </c>
      <c r="C94" s="24">
        <f>datevalue(left('2.1.raw'!K94,10))</f>
        <v>43699</v>
      </c>
      <c r="D94" s="23">
        <f>'2.1.raw'!H:H</f>
        <v>99</v>
      </c>
      <c r="E94" s="1">
        <v>2.1</v>
      </c>
      <c r="G94" s="23" t="b">
        <f>if(countif(Status!C:C,A94)=1,TRUE, FALSE)</f>
        <v>1</v>
      </c>
    </row>
    <row r="95">
      <c r="A95" s="23" t="str">
        <f t="shared" si="5"/>
        <v>RP1010</v>
      </c>
      <c r="B95" s="23" t="str">
        <f>'2.1.raw'!I95</f>
        <v>RP1010</v>
      </c>
      <c r="C95" s="24">
        <f>datevalue(left('2.1.raw'!K95,10))</f>
        <v>43703</v>
      </c>
      <c r="D95" s="23">
        <f>'2.1.raw'!H:H</f>
        <v>2</v>
      </c>
      <c r="E95" s="1">
        <v>2.1</v>
      </c>
      <c r="G95" s="23" t="b">
        <f>if(countif(Status!C:C,A95)=1,TRUE, FALSE)</f>
        <v>1</v>
      </c>
    </row>
    <row r="96">
      <c r="A96" s="23" t="str">
        <f t="shared" si="5"/>
        <v>FB1031</v>
      </c>
      <c r="B96" s="23" t="str">
        <f>'2.1.raw'!I96</f>
        <v>FB1031</v>
      </c>
      <c r="C96" s="24">
        <f>datevalue(left('2.1.raw'!K96,10))</f>
        <v>43703</v>
      </c>
      <c r="D96" s="23">
        <f>'2.1.raw'!H:H</f>
        <v>99</v>
      </c>
      <c r="E96" s="1">
        <v>2.1</v>
      </c>
      <c r="G96" s="23" t="b">
        <f>if(countif(Status!C:C,A96)=1,TRUE, FALSE)</f>
        <v>1</v>
      </c>
    </row>
    <row r="97">
      <c r="A97" s="23" t="str">
        <f t="shared" si="5"/>
        <v>OD1006</v>
      </c>
      <c r="B97" s="23" t="str">
        <f>'2.1.raw'!I97</f>
        <v>OD1006</v>
      </c>
      <c r="C97" s="24">
        <f>datevalue(left('2.1.raw'!K97,10))</f>
        <v>43703</v>
      </c>
      <c r="D97" s="23">
        <f>'2.1.raw'!H:H</f>
        <v>1</v>
      </c>
      <c r="E97" s="1">
        <v>2.1</v>
      </c>
      <c r="G97" s="23" t="b">
        <f>if(countif(Status!C:C,A97)=1,TRUE, FALSE)</f>
        <v>1</v>
      </c>
    </row>
    <row r="98">
      <c r="A98" s="23" t="str">
        <f t="shared" si="5"/>
        <v>FB1032</v>
      </c>
      <c r="B98" s="23" t="str">
        <f>'2.1.raw'!I98</f>
        <v>FB1032</v>
      </c>
      <c r="C98" s="24">
        <f>datevalue(left('2.1.raw'!K98,10))</f>
        <v>43703</v>
      </c>
      <c r="D98" s="23">
        <f>'2.1.raw'!H:H</f>
        <v>99</v>
      </c>
      <c r="E98" s="1">
        <v>2.1</v>
      </c>
      <c r="G98" s="23" t="b">
        <f>if(countif(Status!C:C,A98)=1,TRUE, FALSE)</f>
        <v>1</v>
      </c>
    </row>
    <row r="99">
      <c r="A99" s="23" t="str">
        <f t="shared" si="5"/>
        <v>DWa1003</v>
      </c>
      <c r="B99" s="23" t="str">
        <f>'2.1.raw'!I99</f>
        <v>DWa1003</v>
      </c>
      <c r="C99" s="24">
        <f>datevalue(left('2.1.raw'!K99,10))</f>
        <v>43703</v>
      </c>
      <c r="D99" s="23">
        <f>'2.1.raw'!H:H</f>
        <v>3</v>
      </c>
      <c r="E99" s="1">
        <v>2.1</v>
      </c>
      <c r="G99" s="23" t="b">
        <f>if(countif(Status!C:C,A99)=1,TRUE, FALSE)</f>
        <v>1</v>
      </c>
    </row>
    <row r="100">
      <c r="A100" s="23" t="str">
        <f t="shared" si="5"/>
        <v>FB1033</v>
      </c>
      <c r="B100" s="23" t="str">
        <f>'2.1.raw'!I100</f>
        <v>FB1033</v>
      </c>
      <c r="C100" s="24">
        <f>datevalue(left('2.1.raw'!K100,10))</f>
        <v>43703</v>
      </c>
      <c r="D100" s="23">
        <f>'2.1.raw'!H:H</f>
        <v>99</v>
      </c>
      <c r="E100" s="1">
        <v>2.1</v>
      </c>
      <c r="G100" s="23" t="b">
        <f>if(countif(Status!C:C,A100)=1,TRUE, FALSE)</f>
        <v>1</v>
      </c>
    </row>
    <row r="101">
      <c r="A101" s="23" t="str">
        <f t="shared" si="5"/>
        <v>SL1011</v>
      </c>
      <c r="B101" s="23" t="str">
        <f>'2.1.raw'!I101</f>
        <v>SL1011</v>
      </c>
      <c r="C101" s="24">
        <f>datevalue(left('2.1.raw'!K101,10))</f>
        <v>43706</v>
      </c>
      <c r="D101" s="23">
        <f>'2.1.raw'!H:H</f>
        <v>8</v>
      </c>
      <c r="E101" s="1">
        <v>2.1</v>
      </c>
      <c r="G101" s="23" t="b">
        <f>if(countif(Status!C:C,A101)=1,TRUE, FALSE)</f>
        <v>1</v>
      </c>
    </row>
    <row r="102">
      <c r="A102" s="23" t="str">
        <f t="shared" si="5"/>
        <v>FB1036</v>
      </c>
      <c r="B102" s="23" t="str">
        <f>'2.1.raw'!I102</f>
        <v>FB1036</v>
      </c>
      <c r="C102" s="24">
        <f>datevalue(left('2.1.raw'!K102,10))</f>
        <v>43706</v>
      </c>
      <c r="D102" s="23">
        <f>'2.1.raw'!H:H</f>
        <v>99</v>
      </c>
      <c r="E102" s="1">
        <v>2.1</v>
      </c>
      <c r="G102" s="23" t="b">
        <f>if(countif(Status!C:C,A102)=1,TRUE, FALSE)</f>
        <v>1</v>
      </c>
    </row>
    <row r="103">
      <c r="A103" s="23" t="str">
        <f t="shared" si="5"/>
        <v>SF1011</v>
      </c>
      <c r="B103" s="23" t="str">
        <f>'2.1.raw'!I103</f>
        <v>SF1011</v>
      </c>
      <c r="C103" s="24">
        <f>datevalue(left('2.1.raw'!K103,10))</f>
        <v>43706</v>
      </c>
      <c r="D103" s="23">
        <f>'2.1.raw'!H:H</f>
        <v>10</v>
      </c>
      <c r="E103" s="1">
        <v>2.1</v>
      </c>
      <c r="G103" s="23" t="b">
        <f>if(countif(Status!C:C,A103)=1,TRUE, FALSE)</f>
        <v>1</v>
      </c>
    </row>
    <row r="104">
      <c r="A104" s="23" t="str">
        <f t="shared" si="5"/>
        <v>FB1037</v>
      </c>
      <c r="B104" s="23" t="str">
        <f>'2.1.raw'!I104</f>
        <v>FB1037</v>
      </c>
      <c r="C104" s="24">
        <f>datevalue(left('2.1.raw'!K104,10))</f>
        <v>43706</v>
      </c>
      <c r="D104" s="23">
        <f>'2.1.raw'!H:H</f>
        <v>99</v>
      </c>
      <c r="E104" s="1">
        <v>2.1</v>
      </c>
      <c r="G104" s="23" t="b">
        <f>if(countif(Status!C:C,A104)=1,TRUE, FALSE)</f>
        <v>1</v>
      </c>
    </row>
    <row r="105">
      <c r="A105" s="23" t="str">
        <f t="shared" si="5"/>
        <v>SF1012</v>
      </c>
      <c r="B105" s="23" t="str">
        <f>'2.1.raw'!I105</f>
        <v>SF1012</v>
      </c>
      <c r="C105" s="24">
        <f>datevalue(left('2.1.raw'!K105,10))</f>
        <v>43706</v>
      </c>
      <c r="D105" s="23">
        <f>'2.1.raw'!H:H</f>
        <v>10</v>
      </c>
      <c r="E105" s="1">
        <v>2.1</v>
      </c>
      <c r="G105" s="23" t="b">
        <f>if(countif(Status!C:C,A105)=1,TRUE, FALSE)</f>
        <v>1</v>
      </c>
    </row>
    <row r="106">
      <c r="A106" s="23" t="str">
        <f t="shared" si="5"/>
        <v>DWa1004</v>
      </c>
      <c r="B106" s="23" t="str">
        <f>'2.1.raw'!I106</f>
        <v>DWa1004</v>
      </c>
      <c r="C106" s="24">
        <f>datevalue(left('2.1.raw'!K106,10))</f>
        <v>43710</v>
      </c>
      <c r="D106" s="23">
        <f>'2.1.raw'!H:H</f>
        <v>3</v>
      </c>
      <c r="E106" s="1">
        <v>2.1</v>
      </c>
      <c r="G106" s="23" t="b">
        <f>if(countif(Status!C:C,A106)=1,TRUE, FALSE)</f>
        <v>1</v>
      </c>
    </row>
    <row r="107">
      <c r="A107" s="23" t="str">
        <f t="shared" si="5"/>
        <v>FB1038</v>
      </c>
      <c r="B107" s="23" t="str">
        <f>'2.1.raw'!I107</f>
        <v>FB1038</v>
      </c>
      <c r="C107" s="24">
        <f>datevalue(left('2.1.raw'!K107,10))</f>
        <v>43710</v>
      </c>
      <c r="D107" s="23">
        <f>'2.1.raw'!H:H</f>
        <v>99</v>
      </c>
      <c r="E107" s="1">
        <v>2.1</v>
      </c>
      <c r="G107" s="23" t="b">
        <f>if(countif(Status!C:C,A107)=1,TRUE, FALSE)</f>
        <v>1</v>
      </c>
    </row>
    <row r="108">
      <c r="A108" s="23" t="str">
        <f t="shared" si="5"/>
        <v>SL1012</v>
      </c>
      <c r="B108" s="23" t="str">
        <f>'2.1.raw'!I108</f>
        <v>SL1012</v>
      </c>
      <c r="C108" s="24">
        <f>datevalue(left('2.1.raw'!K108,10))</f>
        <v>43710</v>
      </c>
      <c r="D108" s="23">
        <f>'2.1.raw'!H:H</f>
        <v>8</v>
      </c>
      <c r="E108" s="1">
        <v>2.1</v>
      </c>
      <c r="G108" s="23" t="b">
        <f>if(countif(Status!C:C,A108)=1,TRUE, FALSE)</f>
        <v>1</v>
      </c>
    </row>
    <row r="109">
      <c r="A109" s="23" t="str">
        <f t="shared" si="5"/>
        <v>FB1039</v>
      </c>
      <c r="B109" s="23" t="str">
        <f>'2.1.raw'!I109</f>
        <v>FB1039</v>
      </c>
      <c r="C109" s="24">
        <f>datevalue(left('2.1.raw'!K109,10))</f>
        <v>43710</v>
      </c>
      <c r="D109" s="23">
        <f>'2.1.raw'!H:H</f>
        <v>99</v>
      </c>
      <c r="E109" s="1">
        <v>2.1</v>
      </c>
      <c r="G109" s="23" t="b">
        <f>if(countif(Status!C:C,A109)=1,TRUE, FALSE)</f>
        <v>1</v>
      </c>
    </row>
    <row r="110">
      <c r="A110" s="23" t="str">
        <f t="shared" si="5"/>
        <v>SW1009</v>
      </c>
      <c r="B110" s="23" t="str">
        <f>'2.1.raw'!I110</f>
        <v>SW1009</v>
      </c>
      <c r="C110" s="24">
        <f>datevalue(left('2.1.raw'!K110,10))</f>
        <v>43710</v>
      </c>
      <c r="D110" s="23">
        <f>'2.1.raw'!H:H</f>
        <v>5</v>
      </c>
      <c r="E110" s="1">
        <v>2.1</v>
      </c>
      <c r="G110" s="23" t="b">
        <f>if(countif(Status!C:C,A110)=1,TRUE, FALSE)</f>
        <v>1</v>
      </c>
    </row>
    <row r="111">
      <c r="A111" s="23" t="str">
        <f t="shared" si="5"/>
        <v>FB1040</v>
      </c>
      <c r="B111" s="23" t="str">
        <f>'2.1.raw'!I111</f>
        <v>FB1040</v>
      </c>
      <c r="C111" s="24">
        <f>datevalue(left('2.1.raw'!K111,10))</f>
        <v>43710</v>
      </c>
      <c r="D111" s="23">
        <f>'2.1.raw'!H:H</f>
        <v>99</v>
      </c>
      <c r="E111" s="1">
        <v>2.1</v>
      </c>
      <c r="G111" s="23" t="b">
        <f>if(countif(Status!C:C,A111)=1,TRUE, FALSE)</f>
        <v>1</v>
      </c>
    </row>
    <row r="112">
      <c r="A112" s="23" t="str">
        <f t="shared" si="5"/>
        <v>LS1010</v>
      </c>
      <c r="B112" s="23" t="str">
        <f>'2.1.raw'!I112</f>
        <v>LS1010</v>
      </c>
      <c r="C112" s="24">
        <f>datevalue(left('2.1.raw'!K112,10))</f>
        <v>43710</v>
      </c>
      <c r="D112" s="23">
        <f>'2.1.raw'!H:H</f>
        <v>7</v>
      </c>
      <c r="E112" s="1">
        <v>2.1</v>
      </c>
      <c r="G112" s="23" t="b">
        <f>if(countif(Status!C:C,A112)=1,TRUE, FALSE)</f>
        <v>1</v>
      </c>
    </row>
    <row r="113">
      <c r="A113" s="23" t="str">
        <f t="shared" si="5"/>
        <v>FB1041</v>
      </c>
      <c r="B113" s="23" t="str">
        <f>'2.1.raw'!I113</f>
        <v>FB1041</v>
      </c>
      <c r="C113" s="24">
        <f>datevalue(left('2.1.raw'!K113,10))</f>
        <v>43710</v>
      </c>
      <c r="D113" s="23">
        <f>'2.1.raw'!H:H</f>
        <v>99</v>
      </c>
      <c r="E113" s="1">
        <v>2.1</v>
      </c>
      <c r="G113" s="23" t="b">
        <f>if(countif(Status!C:C,A113)=1,TRUE, FALSE)</f>
        <v>1</v>
      </c>
    </row>
    <row r="114">
      <c r="A114" s="23" t="str">
        <f t="shared" si="5"/>
        <v>LS1011</v>
      </c>
      <c r="B114" s="23" t="str">
        <f>'2.1.raw'!I114</f>
        <v>LS1011</v>
      </c>
      <c r="C114" s="24">
        <f>datevalue(left('2.1.raw'!K114,10))</f>
        <v>43710</v>
      </c>
      <c r="D114" s="23">
        <f>'2.1.raw'!H:H</f>
        <v>7</v>
      </c>
      <c r="E114" s="1">
        <v>2.1</v>
      </c>
      <c r="G114" s="23" t="b">
        <f>if(countif(Status!C:C,A114)=1,TRUE, FALSE)</f>
        <v>1</v>
      </c>
    </row>
    <row r="115">
      <c r="A115" s="23" t="str">
        <f t="shared" si="5"/>
        <v>LS1012</v>
      </c>
      <c r="B115" s="23" t="str">
        <f>'2.1.raw'!I115</f>
        <v>LS1012</v>
      </c>
      <c r="C115" s="24">
        <f>datevalue(left('2.1.raw'!K115,10))</f>
        <v>43710</v>
      </c>
      <c r="D115" s="23">
        <f>'2.1.raw'!H:H</f>
        <v>7</v>
      </c>
      <c r="E115" s="1">
        <v>2.1</v>
      </c>
      <c r="G115" s="23" t="b">
        <f>if(countif(Status!C:C,A115)=1,TRUE, FALSE)</f>
        <v>1</v>
      </c>
    </row>
    <row r="116">
      <c r="A116" s="23" t="str">
        <f t="shared" si="5"/>
        <v>SF1013</v>
      </c>
      <c r="B116" s="23" t="str">
        <f>'2.1.raw'!I116</f>
        <v>SF1013</v>
      </c>
      <c r="C116" s="24">
        <f>datevalue(left('2.1.raw'!K116,10))</f>
        <v>43712</v>
      </c>
      <c r="D116" s="23">
        <f>'2.1.raw'!H:H</f>
        <v>10</v>
      </c>
      <c r="E116" s="1">
        <v>2.1</v>
      </c>
      <c r="G116" s="23" t="b">
        <f>if(countif(Status!C:C,A116)=1,TRUE, FALSE)</f>
        <v>1</v>
      </c>
    </row>
    <row r="117">
      <c r="A117" s="23" t="str">
        <f t="shared" si="5"/>
        <v>FB1045</v>
      </c>
      <c r="B117" s="23" t="str">
        <f>'2.1.raw'!I117</f>
        <v>FB1045</v>
      </c>
      <c r="C117" s="24">
        <f>datevalue(left('2.1.raw'!K117,10))</f>
        <v>43712</v>
      </c>
      <c r="D117" s="23">
        <f>'2.1.raw'!H:H</f>
        <v>99</v>
      </c>
      <c r="E117" s="1">
        <v>2.1</v>
      </c>
      <c r="G117" s="23" t="b">
        <f>if(countif(Status!C:C,A117)=1,TRUE, FALSE)</f>
        <v>1</v>
      </c>
    </row>
    <row r="118">
      <c r="A118" s="23" t="str">
        <f t="shared" si="5"/>
        <v>RP1011</v>
      </c>
      <c r="B118" s="23" t="str">
        <f>'2.1.raw'!I118</f>
        <v>RP1011</v>
      </c>
      <c r="C118" s="24">
        <f>datevalue(left('2.1.raw'!K118,10))</f>
        <v>43712</v>
      </c>
      <c r="D118" s="23">
        <f>'2.1.raw'!H:H</f>
        <v>2</v>
      </c>
      <c r="E118" s="1">
        <v>2.1</v>
      </c>
      <c r="G118" s="23" t="b">
        <f>if(countif(Status!C:C,A118)=1,TRUE, FALSE)</f>
        <v>1</v>
      </c>
    </row>
    <row r="119">
      <c r="A119" s="23" t="str">
        <f t="shared" si="5"/>
        <v>RP1012</v>
      </c>
      <c r="B119" s="23" t="str">
        <f>'2.1.raw'!I119</f>
        <v>RP1012</v>
      </c>
      <c r="C119" s="24">
        <f>datevalue(left('2.1.raw'!K119,10))</f>
        <v>43712</v>
      </c>
      <c r="D119" s="23">
        <f>'2.1.raw'!H:H</f>
        <v>2</v>
      </c>
      <c r="E119" s="1">
        <v>2.1</v>
      </c>
      <c r="G119" s="23" t="b">
        <f>if(countif(Status!C:C,A119)=1,TRUE, FALSE)</f>
        <v>1</v>
      </c>
    </row>
    <row r="120">
      <c r="A120" s="23" t="str">
        <f t="shared" si="5"/>
        <v>FB1046</v>
      </c>
      <c r="B120" s="23" t="str">
        <f>'2.1.raw'!I120</f>
        <v>FB1046</v>
      </c>
      <c r="C120" s="24">
        <f>datevalue(left('2.1.raw'!K120,10))</f>
        <v>43712</v>
      </c>
      <c r="D120" s="23">
        <f>'2.1.raw'!H:H</f>
        <v>99</v>
      </c>
      <c r="E120" s="1">
        <v>2.1</v>
      </c>
      <c r="G120" s="23" t="b">
        <f>if(countif(Status!C:C,A120)=1,TRUE, FALSE)</f>
        <v>1</v>
      </c>
    </row>
    <row r="121">
      <c r="A121" s="23" t="str">
        <f t="shared" si="5"/>
        <v>SF1014</v>
      </c>
      <c r="B121" s="23" t="str">
        <f>'2.1.raw'!I121</f>
        <v>SF1014</v>
      </c>
      <c r="C121" s="24">
        <f>datevalue(left('2.1.raw'!K121,10))</f>
        <v>43712</v>
      </c>
      <c r="D121" s="23">
        <v>10.0</v>
      </c>
      <c r="E121" s="18">
        <v>2.1</v>
      </c>
      <c r="G121" s="23" t="b">
        <f>if(countif(Status!C:C,A121)=1,TRUE, FALSE)</f>
        <v>1</v>
      </c>
      <c r="H121" s="1" t="s">
        <v>422</v>
      </c>
      <c r="I121" s="1" t="s">
        <v>423</v>
      </c>
    </row>
    <row r="122">
      <c r="A122" s="23" t="str">
        <f t="shared" si="5"/>
        <v>SW1010</v>
      </c>
      <c r="B122" s="23" t="str">
        <f>'2.1.raw'!I122</f>
        <v>SW1010</v>
      </c>
      <c r="C122" s="24">
        <f>datevalue(left('2.1.raw'!K122,10))</f>
        <v>43719</v>
      </c>
      <c r="D122" s="23">
        <v>10.0</v>
      </c>
      <c r="E122" s="18">
        <v>2.1</v>
      </c>
      <c r="G122" s="23" t="b">
        <f>if(countif(Status!C:C,A122)=1,TRUE, FALSE)</f>
        <v>1</v>
      </c>
      <c r="H122" s="1" t="s">
        <v>422</v>
      </c>
      <c r="I122" s="1" t="s">
        <v>423</v>
      </c>
    </row>
    <row r="123">
      <c r="A123" s="23" t="str">
        <f t="shared" si="5"/>
        <v>FB1048</v>
      </c>
      <c r="B123" s="23" t="str">
        <f>'2.1.raw'!I123</f>
        <v>FB1048</v>
      </c>
      <c r="C123" s="24">
        <f>datevalue(left('2.1.raw'!K123,10))</f>
        <v>43719</v>
      </c>
      <c r="D123" s="23">
        <f>'2.1.raw'!H:H</f>
        <v>99</v>
      </c>
      <c r="E123" s="1">
        <v>2.1</v>
      </c>
      <c r="G123" s="23" t="b">
        <f>if(countif(Status!C:C,A123)=1,TRUE, FALSE)</f>
        <v>1</v>
      </c>
    </row>
    <row r="124">
      <c r="A124" s="23" t="str">
        <f t="shared" si="5"/>
        <v>SL1013</v>
      </c>
      <c r="B124" s="23" t="str">
        <f>'2.1.raw'!I124</f>
        <v>SL1013</v>
      </c>
      <c r="C124" s="24">
        <f>datevalue(left('2.1.raw'!K124,10))</f>
        <v>43719</v>
      </c>
      <c r="D124" s="23">
        <f>'2.1.raw'!H:H</f>
        <v>8</v>
      </c>
      <c r="E124" s="1">
        <v>2.1</v>
      </c>
      <c r="G124" s="23" t="b">
        <f>if(countif(Status!C:C,A124)=1,TRUE, FALSE)</f>
        <v>1</v>
      </c>
    </row>
    <row r="125">
      <c r="A125" s="23" t="str">
        <f t="shared" si="5"/>
        <v>FB1049</v>
      </c>
      <c r="B125" s="23" t="str">
        <f>'2.1.raw'!I125</f>
        <v>FB1049</v>
      </c>
      <c r="C125" s="24">
        <f>datevalue(left('2.1.raw'!K125,10))</f>
        <v>43719</v>
      </c>
      <c r="D125" s="23">
        <f>'2.1.raw'!H:H</f>
        <v>99</v>
      </c>
      <c r="E125" s="1">
        <v>2.1</v>
      </c>
      <c r="G125" s="23" t="b">
        <f>if(countif(Status!C:C,A125)=1,TRUE, FALSE)</f>
        <v>1</v>
      </c>
    </row>
    <row r="126">
      <c r="A126" s="23" t="str">
        <f t="shared" si="5"/>
        <v>FB1050</v>
      </c>
      <c r="B126" s="23" t="str">
        <f>'2.1.raw'!I126</f>
        <v>FB1050</v>
      </c>
      <c r="C126" s="24">
        <f>datevalue(left('2.1.raw'!K126,10))</f>
        <v>43720</v>
      </c>
      <c r="D126" s="23">
        <f>'2.1.raw'!H:H</f>
        <v>99</v>
      </c>
      <c r="E126" s="1">
        <v>2.1</v>
      </c>
      <c r="G126" s="23" t="b">
        <f>if(countif(Status!C:C,A126)=1,TRUE, FALSE)</f>
        <v>1</v>
      </c>
    </row>
    <row r="127">
      <c r="A127" s="23" t="str">
        <f t="shared" si="5"/>
        <v>FB1052</v>
      </c>
      <c r="B127" s="23" t="str">
        <f>'2.1.raw'!I127</f>
        <v>FB1052</v>
      </c>
      <c r="C127" s="24">
        <f>datevalue(left('2.1.raw'!K127,10))</f>
        <v>43725</v>
      </c>
      <c r="D127" s="23">
        <f>'2.1.raw'!H:H</f>
        <v>99</v>
      </c>
      <c r="E127" s="1">
        <v>2.1</v>
      </c>
      <c r="G127" s="23" t="b">
        <f>if(countif(Status!C:C,A127)=1,TRUE, FALSE)</f>
        <v>1</v>
      </c>
    </row>
    <row r="128">
      <c r="A128" s="23" t="str">
        <f t="shared" si="5"/>
        <v>FB1053</v>
      </c>
      <c r="B128" s="23" t="str">
        <f>'2.1.raw'!I128</f>
        <v>FB1053</v>
      </c>
      <c r="C128" s="24">
        <f>datevalue(left('2.1.raw'!K128,10))</f>
        <v>43725</v>
      </c>
      <c r="D128" s="23">
        <f>'2.1.raw'!H:H</f>
        <v>99</v>
      </c>
      <c r="E128" s="1">
        <v>2.1</v>
      </c>
      <c r="G128" s="23" t="b">
        <f>if(countif(Status!C:C,A128)=1,TRUE, FALSE)</f>
        <v>1</v>
      </c>
    </row>
    <row r="129">
      <c r="A129" s="23" t="str">
        <f t="shared" si="5"/>
        <v>DWa1003uf</v>
      </c>
      <c r="B129" s="23" t="str">
        <f>'2.1.raw'!I129</f>
        <v>DWa1003uf</v>
      </c>
      <c r="C129" s="24">
        <f>datevalue(left('2.1.raw'!K129,10))</f>
        <v>43831</v>
      </c>
      <c r="D129" s="23">
        <f>'2.1.raw'!H:H</f>
        <v>3</v>
      </c>
      <c r="E129" s="1">
        <v>2.1</v>
      </c>
      <c r="G129" s="23" t="b">
        <f>if(countif(Status!C:C,A129)=1,TRUE, FALSE)</f>
        <v>1</v>
      </c>
    </row>
    <row r="130">
      <c r="A130" s="23" t="str">
        <f t="shared" si="5"/>
        <v>FB1248</v>
      </c>
      <c r="B130" s="23" t="str">
        <f>'2.1.raw'!I130</f>
        <v>FB1248</v>
      </c>
      <c r="C130" s="24">
        <f>datevalue(left('2.1.raw'!K130,10))</f>
        <v>43831</v>
      </c>
      <c r="D130" s="23">
        <f>'2.1.raw'!H:H</f>
        <v>99</v>
      </c>
      <c r="E130" s="1">
        <v>2.1</v>
      </c>
      <c r="G130" s="23" t="b">
        <f>if(countif(Status!C:C,A130)=1,TRUE, FALSE)</f>
        <v>1</v>
      </c>
    </row>
    <row r="131">
      <c r="A131" s="23" t="str">
        <f t="shared" si="5"/>
        <v>DWa1004uf</v>
      </c>
      <c r="B131" s="23" t="str">
        <f>'2.1.raw'!I131</f>
        <v>DWa1004uf</v>
      </c>
      <c r="C131" s="24">
        <f>datevalue(left('2.1.raw'!K131,10))</f>
        <v>43838</v>
      </c>
      <c r="D131" s="23">
        <f>'2.1.raw'!H:H</f>
        <v>3</v>
      </c>
      <c r="E131" s="1">
        <v>2.1</v>
      </c>
      <c r="G131" s="23" t="b">
        <f>if(countif(Status!C:C,A131)=1,TRUE, FALSE)</f>
        <v>1</v>
      </c>
    </row>
    <row r="132">
      <c r="A132" s="23" t="str">
        <f t="shared" si="5"/>
        <v>FB1264</v>
      </c>
      <c r="B132" s="23" t="str">
        <f>'2.1.raw'!I132</f>
        <v>FB1264</v>
      </c>
      <c r="C132" s="24">
        <f>datevalue(left('2.1.raw'!K132,10))</f>
        <v>43838</v>
      </c>
      <c r="D132" s="23">
        <f>'2.1.raw'!H:H</f>
        <v>99</v>
      </c>
      <c r="E132" s="1">
        <v>2.1</v>
      </c>
      <c r="G132" s="23" t="b">
        <f>if(countif(Status!C:C,A132)=1,TRUE, FALSE)</f>
        <v>1</v>
      </c>
    </row>
    <row r="133">
      <c r="A133" s="23" t="str">
        <f t="shared" si="5"/>
        <v>RP2001</v>
      </c>
      <c r="B133" s="23" t="str">
        <f>'2.1.raw'!I133</f>
        <v>RP2001</v>
      </c>
      <c r="C133" s="24">
        <f>datevalue(left('2.1.raw'!K133,10))</f>
        <v>43845</v>
      </c>
      <c r="D133" s="23">
        <f>'2.1.raw'!H:H</f>
        <v>2</v>
      </c>
      <c r="E133" s="1">
        <v>2.1</v>
      </c>
      <c r="G133" s="23" t="b">
        <f>if(countif(Status!C:C,A133)=1,TRUE, FALSE)</f>
        <v>1</v>
      </c>
    </row>
    <row r="134">
      <c r="A134" s="23" t="str">
        <f t="shared" si="5"/>
        <v>FB1277</v>
      </c>
      <c r="B134" s="23" t="str">
        <f>'2.1.raw'!I134</f>
        <v>FB1277</v>
      </c>
      <c r="C134" s="24">
        <f>datevalue(left('2.1.raw'!K134,10))</f>
        <v>43845</v>
      </c>
      <c r="D134" s="23">
        <f>'2.1.raw'!H:H</f>
        <v>99</v>
      </c>
      <c r="E134" s="1">
        <v>2.1</v>
      </c>
      <c r="G134" s="23" t="b">
        <f>if(countif(Status!C:C,A134)=1,TRUE, FALSE)</f>
        <v>1</v>
      </c>
    </row>
    <row r="135">
      <c r="A135" s="23" t="str">
        <f t="shared" si="5"/>
        <v>SL2001</v>
      </c>
      <c r="B135" s="23" t="str">
        <f>'2.1.raw'!I135</f>
        <v>SL2001</v>
      </c>
      <c r="C135" s="24">
        <f>datevalue(left('2.1.raw'!K135,10))</f>
        <v>43845</v>
      </c>
      <c r="D135" s="23">
        <f>'2.1.raw'!H:H</f>
        <v>8</v>
      </c>
      <c r="E135" s="1">
        <v>2.1</v>
      </c>
      <c r="G135" s="23" t="b">
        <f>if(countif(Status!C:C,A135)=1,TRUE, FALSE)</f>
        <v>1</v>
      </c>
    </row>
    <row r="136">
      <c r="A136" s="23" t="str">
        <f t="shared" si="5"/>
        <v>FB1278</v>
      </c>
      <c r="B136" s="23" t="str">
        <f>'2.1.raw'!I136</f>
        <v>FB1278</v>
      </c>
      <c r="C136" s="24">
        <f>datevalue(left('2.1.raw'!K136,10))</f>
        <v>43845</v>
      </c>
      <c r="D136" s="23">
        <f>'2.1.raw'!H:H</f>
        <v>99</v>
      </c>
      <c r="E136" s="1">
        <v>2.1</v>
      </c>
      <c r="G136" s="23" t="b">
        <f>if(countif(Status!C:C,A136)=1,TRUE, FALSE)</f>
        <v>1</v>
      </c>
    </row>
    <row r="137">
      <c r="A137" s="23" t="str">
        <f t="shared" si="5"/>
        <v>DWa1005uf</v>
      </c>
      <c r="B137" s="23" t="str">
        <f>'2.1.raw'!I137</f>
        <v>DWa1005uf</v>
      </c>
      <c r="C137" s="24">
        <f>datevalue(left('2.1.raw'!K137,10))</f>
        <v>43846</v>
      </c>
      <c r="D137" s="23">
        <f>'2.1.raw'!H:H</f>
        <v>3</v>
      </c>
      <c r="E137" s="1">
        <v>2.1</v>
      </c>
      <c r="G137" s="23" t="b">
        <f>if(countif(Status!C:C,A137)=1,TRUE, FALSE)</f>
        <v>1</v>
      </c>
    </row>
    <row r="138">
      <c r="A138" s="23" t="str">
        <f t="shared" si="5"/>
        <v>FB1279</v>
      </c>
      <c r="B138" s="23" t="str">
        <f>'2.1.raw'!I138</f>
        <v>FB1279</v>
      </c>
      <c r="C138" s="24">
        <f>datevalue(left('2.1.raw'!K138,10))</f>
        <v>43846</v>
      </c>
      <c r="D138" s="23">
        <f>'2.1.raw'!H:H</f>
        <v>99</v>
      </c>
      <c r="E138" s="1">
        <v>2.1</v>
      </c>
      <c r="G138" s="23" t="b">
        <f>if(countif(Status!C:C,A138)=1,TRUE, FALSE)</f>
        <v>1</v>
      </c>
    </row>
    <row r="139">
      <c r="A139" s="23" t="str">
        <f t="shared" si="5"/>
        <v>SW2001</v>
      </c>
      <c r="B139" s="23" t="str">
        <f>'2.1.raw'!I139</f>
        <v>SW2001</v>
      </c>
      <c r="C139" s="24">
        <f>datevalue(left('2.1.raw'!K139,10))</f>
        <v>43852</v>
      </c>
      <c r="D139" s="23">
        <f>'2.1.raw'!H:H</f>
        <v>5</v>
      </c>
      <c r="E139" s="1">
        <v>2.1</v>
      </c>
      <c r="G139" s="23" t="b">
        <f>if(countif(Status!C:C,A139)=1,TRUE, FALSE)</f>
        <v>1</v>
      </c>
    </row>
    <row r="140">
      <c r="A140" s="23" t="str">
        <f t="shared" si="5"/>
        <v>FB1291</v>
      </c>
      <c r="B140" s="23" t="str">
        <f>'2.1.raw'!I140</f>
        <v>FB1291</v>
      </c>
      <c r="C140" s="24">
        <f>datevalue(left('2.1.raw'!K140,10))</f>
        <v>43852</v>
      </c>
      <c r="D140" s="23">
        <f>'2.1.raw'!H:H</f>
        <v>99</v>
      </c>
      <c r="E140" s="1">
        <v>2.1</v>
      </c>
      <c r="G140" s="23" t="b">
        <f>if(countif(Status!C:C,A140)=1,TRUE, FALSE)</f>
        <v>1</v>
      </c>
    </row>
    <row r="141">
      <c r="A141" s="23" t="str">
        <f t="shared" si="5"/>
        <v>SF2001</v>
      </c>
      <c r="B141" s="23" t="str">
        <f>'2.1.raw'!I141</f>
        <v>SF2001</v>
      </c>
      <c r="C141" s="24">
        <f>datevalue(left('2.1.raw'!K141,10))</f>
        <v>43852</v>
      </c>
      <c r="D141" s="23">
        <f>'2.1.raw'!H:H</f>
        <v>10</v>
      </c>
      <c r="E141" s="1">
        <v>2.1</v>
      </c>
      <c r="G141" s="23" t="b">
        <f>if(countif(Status!C:C,A141)=1,TRUE, FALSE)</f>
        <v>1</v>
      </c>
    </row>
    <row r="142">
      <c r="A142" s="23" t="str">
        <f t="shared" si="5"/>
        <v>FB1292</v>
      </c>
      <c r="B142" s="23" t="str">
        <f>'2.1.raw'!I142</f>
        <v>FB1292</v>
      </c>
      <c r="C142" s="24">
        <f>datevalue(left('2.1.raw'!K142,10))</f>
        <v>43852</v>
      </c>
      <c r="D142" s="23">
        <f>'2.1.raw'!H:H</f>
        <v>99</v>
      </c>
      <c r="E142" s="1">
        <v>2.1</v>
      </c>
      <c r="G142" s="23" t="b">
        <f>if(countif(Status!C:C,A142)=1,TRUE, FALSE)</f>
        <v>1</v>
      </c>
    </row>
    <row r="143">
      <c r="A143" s="23" t="str">
        <f t="shared" si="5"/>
        <v>BW2001</v>
      </c>
      <c r="B143" s="23" t="str">
        <f>'2.1.raw'!I143</f>
        <v>BW2001</v>
      </c>
      <c r="C143" s="24">
        <f>datevalue(left('2.1.raw'!K143,10))</f>
        <v>43857</v>
      </c>
      <c r="D143" s="23">
        <f>'2.1.raw'!H:H</f>
        <v>9</v>
      </c>
      <c r="E143" s="1">
        <v>2.1</v>
      </c>
      <c r="G143" s="23" t="b">
        <f>if(countif(Status!C:C,A143)=1,TRUE, FALSE)</f>
        <v>1</v>
      </c>
    </row>
    <row r="144">
      <c r="A144" s="23" t="str">
        <f t="shared" si="5"/>
        <v>FB1296</v>
      </c>
      <c r="B144" s="23" t="str">
        <f>'2.1.raw'!I144</f>
        <v>FB1296</v>
      </c>
      <c r="C144" s="24">
        <f>datevalue(left('2.1.raw'!K144,10))</f>
        <v>43857</v>
      </c>
      <c r="D144" s="23">
        <f>'2.1.raw'!H:H</f>
        <v>99</v>
      </c>
      <c r="E144" s="1">
        <v>2.1</v>
      </c>
      <c r="G144" s="23" t="b">
        <f>if(countif(Status!C:C,A144)=1,TRUE, FALSE)</f>
        <v>1</v>
      </c>
    </row>
    <row r="145">
      <c r="A145" s="23" t="str">
        <f t="shared" si="5"/>
        <v>SL2002</v>
      </c>
      <c r="B145" s="23" t="str">
        <f>'2.1.raw'!I145</f>
        <v>SL2002</v>
      </c>
      <c r="C145" s="24">
        <f>datevalue(left('2.1.raw'!K145,10))</f>
        <v>43857</v>
      </c>
      <c r="D145" s="23">
        <f>'2.1.raw'!H:H</f>
        <v>8</v>
      </c>
      <c r="E145" s="1">
        <v>2.1</v>
      </c>
      <c r="G145" s="23" t="b">
        <f>if(countif(Status!C:C,A145)=1,TRUE, FALSE)</f>
        <v>1</v>
      </c>
    </row>
    <row r="146">
      <c r="A146" s="23" t="str">
        <f t="shared" si="5"/>
        <v>FB1297</v>
      </c>
      <c r="B146" s="23" t="str">
        <f>'2.1.raw'!I146</f>
        <v>FB1297</v>
      </c>
      <c r="C146" s="24">
        <f>datevalue(left('2.1.raw'!K146,10))</f>
        <v>43857</v>
      </c>
      <c r="D146" s="23">
        <f>'2.1.raw'!H:H</f>
        <v>99</v>
      </c>
      <c r="E146" s="1">
        <v>2.1</v>
      </c>
      <c r="G146" s="23" t="b">
        <f>if(countif(Status!C:C,A146)=1,TRUE, FALSE)</f>
        <v>1</v>
      </c>
    </row>
    <row r="147">
      <c r="A147" s="23" t="str">
        <f t="shared" si="5"/>
        <v>LS2001</v>
      </c>
      <c r="B147" s="23" t="str">
        <f>'2.1.raw'!I147</f>
        <v>LS2001</v>
      </c>
      <c r="C147" s="24">
        <f>datevalue(left('2.1.raw'!K147,10))</f>
        <v>43865</v>
      </c>
      <c r="D147" s="23">
        <f>'2.1.raw'!H:H</f>
        <v>7</v>
      </c>
      <c r="E147" s="1">
        <v>2.1</v>
      </c>
      <c r="G147" s="23" t="b">
        <f>if(countif(Status!C:C,A147)=1,TRUE, FALSE)</f>
        <v>1</v>
      </c>
    </row>
    <row r="148">
      <c r="A148" s="23" t="str">
        <f t="shared" si="5"/>
        <v>FB1305</v>
      </c>
      <c r="B148" s="23" t="str">
        <f>'2.1.raw'!I148</f>
        <v>FB1305</v>
      </c>
      <c r="C148" s="24">
        <f>datevalue(left('2.1.raw'!K148,10))</f>
        <v>43865</v>
      </c>
      <c r="D148" s="23">
        <f>'2.1.raw'!H:H</f>
        <v>99</v>
      </c>
      <c r="E148" s="1">
        <v>2.1</v>
      </c>
      <c r="G148" s="23" t="b">
        <f>if(countif(Status!C:C,A148)=1,TRUE, FALSE)</f>
        <v>1</v>
      </c>
    </row>
    <row r="149">
      <c r="A149" s="23" t="str">
        <f t="shared" si="5"/>
        <v>RP2002</v>
      </c>
      <c r="B149" s="23" t="str">
        <f>'2.1.raw'!I149</f>
        <v>RP2002</v>
      </c>
      <c r="C149" s="24">
        <f>datevalue(left('2.1.raw'!K149,10))</f>
        <v>43872</v>
      </c>
      <c r="D149" s="23">
        <f>'2.1.raw'!H:H</f>
        <v>2</v>
      </c>
      <c r="E149" s="1">
        <v>2.1</v>
      </c>
      <c r="G149" s="23" t="b">
        <f>if(countif(Status!C:C,A149)=1,TRUE, FALSE)</f>
        <v>1</v>
      </c>
    </row>
    <row r="150">
      <c r="A150" s="23" t="str">
        <f t="shared" si="5"/>
        <v>FB1329</v>
      </c>
      <c r="B150" s="23" t="str">
        <f>'2.1.raw'!I150</f>
        <v>FB1329</v>
      </c>
      <c r="C150" s="24">
        <f>datevalue(left('2.1.raw'!K150,10))</f>
        <v>43872</v>
      </c>
      <c r="D150" s="23">
        <f>'2.1.raw'!H:H</f>
        <v>99</v>
      </c>
      <c r="E150" s="1">
        <v>2.1</v>
      </c>
      <c r="G150" s="23" t="b">
        <f>if(countif(Status!C:C,A150)=1,TRUE, FALSE)</f>
        <v>1</v>
      </c>
    </row>
    <row r="151">
      <c r="A151" s="23" t="str">
        <f t="shared" si="5"/>
        <v>SF2002</v>
      </c>
      <c r="B151" s="23" t="str">
        <f>'2.1.raw'!I151</f>
        <v>SF2002</v>
      </c>
      <c r="C151" s="24">
        <f>datevalue(left('2.1.raw'!K151,10))</f>
        <v>43872</v>
      </c>
      <c r="D151" s="23">
        <f>'2.1.raw'!H:H</f>
        <v>10</v>
      </c>
      <c r="E151" s="1">
        <v>2.1</v>
      </c>
      <c r="G151" s="23" t="b">
        <f>if(countif(Status!C:C,A151)=1,TRUE, FALSE)</f>
        <v>1</v>
      </c>
    </row>
    <row r="152">
      <c r="A152" s="23" t="str">
        <f t="shared" si="5"/>
        <v>FB1330</v>
      </c>
      <c r="B152" s="23" t="str">
        <f>'2.1.raw'!I152</f>
        <v>FB1330</v>
      </c>
      <c r="C152" s="24">
        <f>datevalue(left('2.1.raw'!K152,10))</f>
        <v>43872</v>
      </c>
      <c r="D152" s="23">
        <f>'2.1.raw'!H:H</f>
        <v>99</v>
      </c>
      <c r="E152" s="1">
        <v>2.1</v>
      </c>
      <c r="G152" s="23" t="b">
        <f>if(countif(Status!C:C,A152)=1,TRUE, FALSE)</f>
        <v>1</v>
      </c>
    </row>
    <row r="153">
      <c r="A153" s="23" t="str">
        <f t="shared" si="5"/>
        <v>SW2002</v>
      </c>
      <c r="B153" s="23" t="str">
        <f>'2.1.raw'!I153</f>
        <v>SW2002</v>
      </c>
      <c r="C153" s="24">
        <f>datevalue(left('2.1.raw'!K153,10))</f>
        <v>43879</v>
      </c>
      <c r="D153" s="23">
        <f>'2.1.raw'!H:H</f>
        <v>5</v>
      </c>
      <c r="E153" s="1">
        <v>2.1</v>
      </c>
      <c r="G153" s="23" t="b">
        <f>if(countif(Status!C:C,A153)=1,TRUE, FALSE)</f>
        <v>1</v>
      </c>
    </row>
    <row r="154">
      <c r="A154" s="23" t="str">
        <f t="shared" si="5"/>
        <v>FB1349</v>
      </c>
      <c r="B154" s="23" t="str">
        <f>'2.1.raw'!I154</f>
        <v>FB1349</v>
      </c>
      <c r="C154" s="24">
        <f>datevalue(left('2.1.raw'!K154,10))</f>
        <v>43879</v>
      </c>
      <c r="D154" s="23">
        <f>'2.1.raw'!H:H</f>
        <v>99</v>
      </c>
      <c r="E154" s="1">
        <v>2.1</v>
      </c>
      <c r="G154" s="23" t="b">
        <f>if(countif(Status!C:C,A154)=1,TRUE, FALSE)</f>
        <v>1</v>
      </c>
    </row>
    <row r="155">
      <c r="A155" s="23" t="str">
        <f t="shared" si="5"/>
        <v>SL2003</v>
      </c>
      <c r="B155" s="23" t="str">
        <f>'2.1.raw'!I155</f>
        <v>SL2003</v>
      </c>
      <c r="C155" s="24">
        <f>datevalue(left('2.1.raw'!K155,10))</f>
        <v>43879</v>
      </c>
      <c r="D155" s="23">
        <f>'2.1.raw'!H:H</f>
        <v>8</v>
      </c>
      <c r="E155" s="1">
        <v>2.1</v>
      </c>
      <c r="G155" s="23" t="b">
        <f>if(countif(Status!C:C,A155)=1,TRUE, FALSE)</f>
        <v>1</v>
      </c>
    </row>
    <row r="156">
      <c r="A156" s="23" t="str">
        <f t="shared" si="5"/>
        <v>FB1350</v>
      </c>
      <c r="B156" s="23" t="str">
        <f>'2.1.raw'!I156</f>
        <v>FB1350</v>
      </c>
      <c r="C156" s="24">
        <f>datevalue(left('2.1.raw'!K156,10))</f>
        <v>43879</v>
      </c>
      <c r="D156" s="23">
        <f>'2.1.raw'!H:H</f>
        <v>99</v>
      </c>
      <c r="E156" s="1">
        <v>2.1</v>
      </c>
      <c r="G156" s="23" t="b">
        <f>if(countif(Status!C:C,A156)=1,TRUE, FALSE)</f>
        <v>1</v>
      </c>
    </row>
    <row r="157">
      <c r="A157" s="23" t="str">
        <f t="shared" si="5"/>
        <v>DWa2001</v>
      </c>
      <c r="B157" s="23" t="str">
        <f>'2.1.raw'!I157</f>
        <v>DWa2001</v>
      </c>
      <c r="C157" s="24">
        <f>datevalue(left('2.1.raw'!K157,10))</f>
        <v>43886</v>
      </c>
      <c r="D157" s="23">
        <f>'2.1.raw'!H:H</f>
        <v>3</v>
      </c>
      <c r="E157" s="1">
        <v>2.1</v>
      </c>
      <c r="G157" s="23" t="b">
        <f>if(countif(Status!C:C,A157)=1,TRUE, FALSE)</f>
        <v>1</v>
      </c>
    </row>
    <row r="158">
      <c r="A158" s="23" t="str">
        <f t="shared" si="5"/>
        <v>FB1378</v>
      </c>
      <c r="B158" s="23" t="str">
        <f>'2.1.raw'!I158</f>
        <v>FB1378</v>
      </c>
      <c r="C158" s="24">
        <f>datevalue(left('2.1.raw'!K158,10))</f>
        <v>43886</v>
      </c>
      <c r="D158" s="23">
        <f>'2.1.raw'!H:H</f>
        <v>99</v>
      </c>
      <c r="E158" s="1">
        <v>2.1</v>
      </c>
      <c r="G158" s="23" t="b">
        <f>if(countif(Status!C:C,A158)=1,TRUE, FALSE)</f>
        <v>1</v>
      </c>
    </row>
    <row r="159">
      <c r="A159" s="23" t="str">
        <f t="shared" si="5"/>
        <v>SF2003</v>
      </c>
      <c r="B159" s="23" t="str">
        <f>'2.1.raw'!I159</f>
        <v>SF2003</v>
      </c>
      <c r="C159" s="24">
        <f>datevalue(left('2.1.raw'!K159,10))</f>
        <v>43886</v>
      </c>
      <c r="D159" s="23">
        <f>'2.1.raw'!H:H</f>
        <v>10</v>
      </c>
      <c r="E159" s="1">
        <v>2.1</v>
      </c>
      <c r="G159" s="23" t="b">
        <f>if(countif(Status!C:C,A159)=1,TRUE, FALSE)</f>
        <v>1</v>
      </c>
    </row>
    <row r="160">
      <c r="A160" s="23" t="str">
        <f t="shared" si="5"/>
        <v>FB1379</v>
      </c>
      <c r="B160" s="23" t="str">
        <f>'2.1.raw'!I160</f>
        <v>FB1379</v>
      </c>
      <c r="C160" s="24">
        <f>datevalue(left('2.1.raw'!K160,10))</f>
        <v>43886</v>
      </c>
      <c r="D160" s="23">
        <f>'2.1.raw'!H:H</f>
        <v>99</v>
      </c>
      <c r="E160" s="1">
        <v>2.1</v>
      </c>
      <c r="G160" s="23" t="b">
        <f>if(countif(Status!C:C,A160)=1,TRUE, FALSE)</f>
        <v>1</v>
      </c>
    </row>
    <row r="161">
      <c r="A161" s="23" t="str">
        <f t="shared" si="5"/>
        <v>BW2002</v>
      </c>
      <c r="B161" s="23" t="str">
        <f>'2.1.raw'!I161</f>
        <v>BW2002</v>
      </c>
      <c r="C161" s="24">
        <f>datevalue(left('2.1.raw'!K161,10))</f>
        <v>43893</v>
      </c>
      <c r="D161" s="23">
        <f>'2.1.raw'!H:H</f>
        <v>9</v>
      </c>
      <c r="E161" s="1">
        <v>2.1</v>
      </c>
      <c r="G161" s="23" t="b">
        <f>if(countif(Status!C:C,A161)=1,TRUE, FALSE)</f>
        <v>1</v>
      </c>
    </row>
    <row r="162">
      <c r="A162" s="23" t="str">
        <f t="shared" si="5"/>
        <v>FB1397</v>
      </c>
      <c r="B162" s="23" t="str">
        <f>'2.1.raw'!I162</f>
        <v>FB1397</v>
      </c>
      <c r="C162" s="24">
        <f>datevalue(left('2.1.raw'!K162,10))</f>
        <v>43893</v>
      </c>
      <c r="D162" s="23">
        <f>'2.1.raw'!H:H</f>
        <v>99</v>
      </c>
      <c r="E162" s="1">
        <v>2.1</v>
      </c>
      <c r="G162" s="23" t="b">
        <f>if(countif(Status!C:C,A162)=1,TRUE, FALSE)</f>
        <v>1</v>
      </c>
    </row>
    <row r="163">
      <c r="A163" s="23" t="str">
        <f t="shared" si="5"/>
        <v>RP2003</v>
      </c>
      <c r="B163" s="23" t="str">
        <f>'2.1.raw'!I163</f>
        <v>RP2003</v>
      </c>
      <c r="C163" s="24">
        <f>datevalue(left('2.1.raw'!K163,10))</f>
        <v>43893</v>
      </c>
      <c r="D163" s="23">
        <f>'2.1.raw'!H:H</f>
        <v>2</v>
      </c>
      <c r="E163" s="1">
        <v>2.1</v>
      </c>
      <c r="G163" s="23" t="b">
        <f>if(countif(Status!C:C,A163)=1,TRUE, FALSE)</f>
        <v>1</v>
      </c>
    </row>
    <row r="164">
      <c r="A164" s="23" t="str">
        <f t="shared" si="5"/>
        <v>FB1398</v>
      </c>
      <c r="B164" s="23" t="str">
        <f>'2.1.raw'!I164</f>
        <v>FB1398</v>
      </c>
      <c r="C164" s="24">
        <f>datevalue(left('2.1.raw'!K164,10))</f>
        <v>43893</v>
      </c>
      <c r="D164" s="23">
        <f>'2.1.raw'!H:H</f>
        <v>99</v>
      </c>
      <c r="E164" s="1">
        <v>2.1</v>
      </c>
      <c r="G164" s="23" t="b">
        <f>if(countif(Status!C:C,A164)=1,TRUE, FALSE)</f>
        <v>1</v>
      </c>
    </row>
    <row r="165">
      <c r="A165" s="23" t="str">
        <f t="shared" si="5"/>
        <v>BW2003</v>
      </c>
      <c r="B165" s="23" t="str">
        <f>'2.1.raw'!I165</f>
        <v>BW2003</v>
      </c>
      <c r="C165" s="24">
        <f>datevalue(left('2.1.raw'!K165,10))</f>
        <v>43901</v>
      </c>
      <c r="D165" s="23">
        <f>'2.1.raw'!H:H</f>
        <v>9</v>
      </c>
      <c r="E165" s="1">
        <v>2.1</v>
      </c>
      <c r="G165" s="23" t="b">
        <f>if(countif(Status!C:C,A165)=1,TRUE, FALSE)</f>
        <v>1</v>
      </c>
    </row>
    <row r="166">
      <c r="A166" s="23" t="str">
        <f t="shared" si="5"/>
        <v>SW2003</v>
      </c>
      <c r="B166" s="23" t="str">
        <f>'2.1.raw'!I166</f>
        <v>SW2003</v>
      </c>
      <c r="C166" s="24">
        <f>datevalue(left('2.1.raw'!K166,10))</f>
        <v>43901</v>
      </c>
      <c r="D166" s="23">
        <f>'2.1.raw'!H:H</f>
        <v>5</v>
      </c>
      <c r="E166" s="1">
        <v>2.1</v>
      </c>
      <c r="G166" s="23" t="b">
        <f>if(countif(Status!C:C,A166)=1,TRUE, FALSE)</f>
        <v>1</v>
      </c>
    </row>
    <row r="167">
      <c r="A167" s="23" t="str">
        <f t="shared" si="5"/>
        <v>SL2004</v>
      </c>
      <c r="B167" s="23" t="str">
        <f>'2.1.raw'!I167</f>
        <v>SL2004</v>
      </c>
      <c r="C167" s="24">
        <f>datevalue(left('2.1.raw'!K167,10))</f>
        <v>43901</v>
      </c>
      <c r="D167" s="23">
        <f>'2.1.raw'!H:H</f>
        <v>8</v>
      </c>
      <c r="E167" s="1">
        <v>2.1</v>
      </c>
      <c r="G167" s="23" t="b">
        <f>if(countif(Status!C:C,A167)=1,TRUE, FALSE)</f>
        <v>1</v>
      </c>
    </row>
    <row r="168">
      <c r="A168" s="23" t="str">
        <f t="shared" si="5"/>
        <v>RP2004</v>
      </c>
      <c r="B168" s="23" t="str">
        <f>'2.1.raw'!I168</f>
        <v>RP2004</v>
      </c>
      <c r="C168" s="24">
        <f>datevalue(left('2.1.raw'!K168,10))</f>
        <v>43901</v>
      </c>
      <c r="D168" s="23">
        <f>'2.1.raw'!H:H</f>
        <v>2</v>
      </c>
      <c r="E168" s="1">
        <v>2.1</v>
      </c>
      <c r="G168" s="23" t="b">
        <f>if(countif(Status!C:C,A168)=1,TRUE, FALSE)</f>
        <v>1</v>
      </c>
    </row>
    <row r="169">
      <c r="A169" s="23" t="str">
        <f t="shared" si="5"/>
        <v>FB1415</v>
      </c>
      <c r="B169" s="23" t="str">
        <f>'2.1.raw'!I169</f>
        <v>FB1415</v>
      </c>
      <c r="C169" s="24">
        <f>datevalue(left('2.1.raw'!K169,10))</f>
        <v>43901</v>
      </c>
      <c r="D169" s="23">
        <f>'2.1.raw'!H:H</f>
        <v>99</v>
      </c>
      <c r="E169" s="1">
        <v>2.1</v>
      </c>
      <c r="G169" s="23" t="b">
        <f>if(countif(Status!C:C,A169)=1,TRUE, FALSE)</f>
        <v>1</v>
      </c>
    </row>
    <row r="170">
      <c r="A170" s="23" t="str">
        <f t="shared" si="5"/>
        <v>SF2004</v>
      </c>
      <c r="B170" s="23" t="str">
        <f>'2.1.raw'!I170</f>
        <v>SF2004</v>
      </c>
      <c r="C170" s="24">
        <f>datevalue(left('2.1.raw'!K170,10))</f>
        <v>43906</v>
      </c>
      <c r="D170" s="23">
        <f>'2.1.raw'!H:H</f>
        <v>10</v>
      </c>
      <c r="E170" s="1">
        <v>2.1</v>
      </c>
      <c r="G170" s="23" t="b">
        <f>if(countif(Status!C:C,A170)=1,TRUE, FALSE)</f>
        <v>1</v>
      </c>
    </row>
    <row r="171">
      <c r="A171" s="23" t="str">
        <f t="shared" si="5"/>
        <v>RP2005</v>
      </c>
      <c r="B171" s="23" t="str">
        <f>'2.1.raw'!I171</f>
        <v>RP2005</v>
      </c>
      <c r="C171" s="24">
        <f>datevalue(left('2.1.raw'!K171,10))</f>
        <v>43906</v>
      </c>
      <c r="D171" s="23">
        <f>'2.1.raw'!H:H</f>
        <v>2</v>
      </c>
      <c r="E171" s="1">
        <v>2.1</v>
      </c>
      <c r="G171" s="23" t="b">
        <f>if(countif(Status!C:C,A171)=1,TRUE, FALSE)</f>
        <v>1</v>
      </c>
    </row>
    <row r="172">
      <c r="A172" s="23" t="str">
        <f t="shared" si="5"/>
        <v>RP2006</v>
      </c>
      <c r="B172" s="23" t="str">
        <f>'2.1.raw'!I172</f>
        <v>RP2006</v>
      </c>
      <c r="C172" s="24">
        <f>datevalue(left('2.1.raw'!K172,10))</f>
        <v>43906</v>
      </c>
      <c r="D172" s="23">
        <f>'2.1.raw'!H:H</f>
        <v>2</v>
      </c>
      <c r="E172" s="1">
        <v>2.1</v>
      </c>
      <c r="G172" s="23" t="b">
        <f>if(countif(Status!C:C,A172)=1,TRUE, FALSE)</f>
        <v>1</v>
      </c>
    </row>
    <row r="173">
      <c r="A173" s="23" t="str">
        <f t="shared" si="5"/>
        <v>SL2005</v>
      </c>
      <c r="B173" s="23" t="str">
        <f>'2.1.raw'!I173</f>
        <v>SL2005</v>
      </c>
      <c r="C173" s="24">
        <f>datevalue(left('2.1.raw'!K173,10))</f>
        <v>43906</v>
      </c>
      <c r="D173" s="23">
        <f>'2.1.raw'!H:H</f>
        <v>8</v>
      </c>
      <c r="E173" s="1">
        <v>2.1</v>
      </c>
      <c r="G173" s="23" t="b">
        <f>if(countif(Status!C:C,A173)=1,TRUE, FALSE)</f>
        <v>1</v>
      </c>
    </row>
    <row r="174">
      <c r="A174" s="23" t="str">
        <f t="shared" si="5"/>
        <v>FB1419</v>
      </c>
      <c r="B174" s="23" t="str">
        <f>'2.1.raw'!I174</f>
        <v>FB1419</v>
      </c>
      <c r="C174" s="24">
        <f>datevalue(left('2.1.raw'!K174,10))</f>
        <v>43906</v>
      </c>
      <c r="D174" s="23">
        <f>'2.1.raw'!H:H</f>
        <v>99</v>
      </c>
      <c r="E174" s="1">
        <v>2.1</v>
      </c>
      <c r="G174" s="23" t="b">
        <f>if(countif(Status!C:C,A174)=1,TRUE, FALSE)</f>
        <v>1</v>
      </c>
    </row>
    <row r="175">
      <c r="A175" s="23" t="str">
        <f t="shared" si="5"/>
        <v>LS2002</v>
      </c>
      <c r="B175" s="23" t="str">
        <f>'2.1.raw'!I175</f>
        <v>LS2002</v>
      </c>
      <c r="C175" s="24">
        <f>datevalue(left('2.1.raw'!K175,10))</f>
        <v>43906</v>
      </c>
      <c r="D175" s="23">
        <f>'2.1.raw'!H:H</f>
        <v>7</v>
      </c>
      <c r="E175" s="1">
        <v>2.1</v>
      </c>
      <c r="G175" s="23" t="b">
        <f>if(countif(Status!C:C,A175)=1,TRUE, FALSE)</f>
        <v>1</v>
      </c>
    </row>
    <row r="176">
      <c r="A176" s="23" t="str">
        <f t="shared" si="5"/>
        <v>LS2003</v>
      </c>
      <c r="B176" s="23" t="str">
        <f>'2.1.raw'!I176</f>
        <v>LS2003</v>
      </c>
      <c r="C176" s="24">
        <f>datevalue(left('2.1.raw'!K176,10))</f>
        <v>43906</v>
      </c>
      <c r="D176" s="23">
        <f>'2.1.raw'!H:H</f>
        <v>7</v>
      </c>
      <c r="E176" s="1">
        <v>2.1</v>
      </c>
      <c r="G176" s="23" t="b">
        <f>if(countif(Status!C:C,A176)=1,TRUE, FALSE)</f>
        <v>1</v>
      </c>
    </row>
    <row r="177">
      <c r="A177" s="23" t="str">
        <f t="shared" si="5"/>
        <v>FB1421</v>
      </c>
      <c r="B177" s="23" t="str">
        <f>'2.1.raw'!I177</f>
        <v>FB1421</v>
      </c>
      <c r="C177" s="24">
        <f>datevalue(left('2.1.raw'!K177,10))</f>
        <v>43906</v>
      </c>
      <c r="D177" s="23">
        <f>'2.1.raw'!H:H</f>
        <v>99</v>
      </c>
      <c r="E177" s="1">
        <v>2.1</v>
      </c>
      <c r="G177" s="23" t="b">
        <f>if(countif(Status!C:C,A177)=1,TRUE, FALSE)</f>
        <v>1</v>
      </c>
    </row>
    <row r="178">
      <c r="A178" s="23" t="str">
        <f t="shared" si="5"/>
        <v>DWa2002</v>
      </c>
      <c r="B178" s="23" t="str">
        <f>'2.1.raw'!I178</f>
        <v>DWa2002</v>
      </c>
      <c r="C178" s="24">
        <f>datevalue(left('2.1.raw'!K178,10))</f>
        <v>43909</v>
      </c>
      <c r="D178" s="23">
        <f>'2.1.raw'!H:H</f>
        <v>3</v>
      </c>
      <c r="E178" s="1">
        <v>2.1</v>
      </c>
      <c r="G178" s="23" t="b">
        <f>if(countif(Status!C:C,A178)=1,TRUE, FALSE)</f>
        <v>1</v>
      </c>
    </row>
    <row r="179">
      <c r="A179" s="23" t="str">
        <f t="shared" si="5"/>
        <v>DWb2001</v>
      </c>
      <c r="B179" s="23" t="str">
        <f>'2.1.raw'!I179</f>
        <v>DWb2001</v>
      </c>
      <c r="C179" s="24">
        <f>datevalue(left('2.1.raw'!K179,10))</f>
        <v>43909</v>
      </c>
      <c r="D179" s="23">
        <f>'2.1.raw'!H:H</f>
        <v>3</v>
      </c>
      <c r="E179" s="1">
        <v>2.1</v>
      </c>
      <c r="G179" s="23" t="b">
        <f>if(countif(Status!C:C,A179)=1,TRUE, FALSE)</f>
        <v>1</v>
      </c>
    </row>
    <row r="180">
      <c r="A180" s="23" t="str">
        <f t="shared" si="5"/>
        <v>SW2004</v>
      </c>
      <c r="B180" s="23" t="str">
        <f>'2.1.raw'!I180</f>
        <v>SW2004</v>
      </c>
      <c r="C180" s="24">
        <f>datevalue(left('2.1.raw'!K180,10))</f>
        <v>43909</v>
      </c>
      <c r="D180" s="23">
        <f>'2.1.raw'!H:H</f>
        <v>5</v>
      </c>
      <c r="E180" s="1">
        <v>2.1</v>
      </c>
      <c r="G180" s="23" t="b">
        <f>if(countif(Status!C:C,A180)=1,TRUE, FALSE)</f>
        <v>1</v>
      </c>
    </row>
    <row r="181">
      <c r="A181" s="23" t="str">
        <f t="shared" si="5"/>
        <v>BW2004</v>
      </c>
      <c r="B181" s="23" t="str">
        <f>'2.1.raw'!I181</f>
        <v>BW2004</v>
      </c>
      <c r="C181" s="24">
        <f>datevalue(left('2.1.raw'!K181,10))</f>
        <v>43909</v>
      </c>
      <c r="D181" s="23">
        <f>'2.1.raw'!H:H</f>
        <v>9</v>
      </c>
      <c r="E181" s="1">
        <v>2.1</v>
      </c>
      <c r="G181" s="23" t="b">
        <f>if(countif(Status!C:C,A181)=1,TRUE, FALSE)</f>
        <v>1</v>
      </c>
    </row>
    <row r="182">
      <c r="A182" s="23" t="str">
        <f t="shared" si="5"/>
        <v>FB1425</v>
      </c>
      <c r="B182" s="23" t="str">
        <f>'2.1.raw'!I182</f>
        <v>FB1425</v>
      </c>
      <c r="C182" s="24">
        <f>datevalue(left('2.1.raw'!K182,10))</f>
        <v>43909</v>
      </c>
      <c r="D182" s="23">
        <f>'2.1.raw'!H:H</f>
        <v>99</v>
      </c>
      <c r="E182" s="1">
        <v>2.1</v>
      </c>
      <c r="G182" s="23" t="b">
        <f>if(countif(Status!C:C,A182)=1,TRUE, FALSE)</f>
        <v>1</v>
      </c>
    </row>
    <row r="183">
      <c r="A183" s="23" t="str">
        <f t="shared" si="5"/>
        <v/>
      </c>
      <c r="B183" s="23" t="str">
        <f>'2.1.raw'!I183</f>
        <v/>
      </c>
      <c r="C183" s="24" t="str">
        <f>datevalue(left('2.1.raw'!K183,10))</f>
        <v>#VALUE!</v>
      </c>
      <c r="D183" s="23" t="str">
        <f>'2.1.raw'!H:H</f>
        <v/>
      </c>
      <c r="E183" s="1">
        <v>2.1</v>
      </c>
      <c r="G183" s="23" t="b">
        <f>if(countif(Status!C:C,A183)=1,TRUE, FALSE)</f>
        <v>0</v>
      </c>
    </row>
    <row r="184">
      <c r="A184" s="23" t="str">
        <f t="shared" si="5"/>
        <v/>
      </c>
      <c r="B184" s="23" t="str">
        <f>'2.1.raw'!I184</f>
        <v/>
      </c>
      <c r="C184" s="24" t="str">
        <f>datevalue(left('2.1.raw'!K184,10))</f>
        <v>#VALUE!</v>
      </c>
      <c r="D184" s="23" t="str">
        <f>'2.1.raw'!H:H</f>
        <v/>
      </c>
      <c r="E184" s="1">
        <v>2.1</v>
      </c>
      <c r="G184" s="23" t="b">
        <f>if(countif(Status!C:C,A184)=1,TRUE, FALSE)</f>
        <v>0</v>
      </c>
    </row>
    <row r="185">
      <c r="A185" s="23" t="str">
        <f t="shared" si="5"/>
        <v/>
      </c>
      <c r="B185" s="23" t="str">
        <f>'2.1.raw'!I185</f>
        <v/>
      </c>
      <c r="C185" s="24" t="str">
        <f>datevalue(left('2.1.raw'!K185,10))</f>
        <v>#VALUE!</v>
      </c>
      <c r="D185" s="23" t="str">
        <f>'2.1.raw'!H:H</f>
        <v/>
      </c>
      <c r="E185" s="1">
        <v>2.1</v>
      </c>
      <c r="G185" s="23" t="b">
        <f>if(countif(Status!C:C,A185)=1,TRUE, FALSE)</f>
        <v>0</v>
      </c>
    </row>
    <row r="186">
      <c r="A186" s="23" t="str">
        <f t="shared" si="5"/>
        <v/>
      </c>
      <c r="B186" s="23" t="str">
        <f>'2.1.raw'!I186</f>
        <v/>
      </c>
      <c r="C186" s="24" t="str">
        <f>datevalue(left('2.1.raw'!K186,10))</f>
        <v>#VALUE!</v>
      </c>
      <c r="D186" s="23" t="str">
        <f>'2.1.raw'!H:H</f>
        <v/>
      </c>
      <c r="E186" s="1">
        <v>2.1</v>
      </c>
      <c r="G186" s="23" t="b">
        <f>if(countif(Status!C:C,A186)=1,TRUE, FALSE)</f>
        <v>0</v>
      </c>
    </row>
    <row r="187">
      <c r="A187" s="23" t="str">
        <f t="shared" si="5"/>
        <v/>
      </c>
      <c r="B187" s="23" t="str">
        <f>'2.1.raw'!I187</f>
        <v/>
      </c>
      <c r="C187" s="24" t="str">
        <f>datevalue(left('2.1.raw'!K187,10))</f>
        <v>#VALUE!</v>
      </c>
      <c r="D187" s="23" t="str">
        <f>'2.1.raw'!H:H</f>
        <v/>
      </c>
      <c r="E187" s="1">
        <v>2.1</v>
      </c>
      <c r="G187" s="23" t="b">
        <f>if(countif(Status!C:C,A187)=1,TRUE, FALSE)</f>
        <v>0</v>
      </c>
    </row>
    <row r="188">
      <c r="A188" s="23" t="str">
        <f t="shared" si="5"/>
        <v/>
      </c>
      <c r="B188" s="23" t="str">
        <f>'2.1.raw'!I188</f>
        <v/>
      </c>
      <c r="C188" s="24" t="str">
        <f>datevalue(left('2.1.raw'!K188,10))</f>
        <v>#VALUE!</v>
      </c>
      <c r="D188" s="23" t="str">
        <f>'2.1.raw'!H:H</f>
        <v/>
      </c>
      <c r="E188" s="1">
        <v>2.1</v>
      </c>
      <c r="G188" s="23" t="b">
        <f>if(countif(Status!C:C,A188)=1,TRUE, FALSE)</f>
        <v>0</v>
      </c>
    </row>
    <row r="189">
      <c r="A189" s="23" t="str">
        <f t="shared" si="5"/>
        <v/>
      </c>
      <c r="B189" s="23" t="str">
        <f>'2.1.raw'!I189</f>
        <v/>
      </c>
      <c r="C189" s="24" t="str">
        <f>datevalue(left('2.1.raw'!K189,10))</f>
        <v>#VALUE!</v>
      </c>
      <c r="D189" s="23" t="str">
        <f>'2.1.raw'!H:H</f>
        <v/>
      </c>
      <c r="E189" s="1">
        <v>2.1</v>
      </c>
      <c r="G189" s="23" t="b">
        <f>if(countif(Status!C:C,A189)=1,TRUE, FALSE)</f>
        <v>0</v>
      </c>
    </row>
    <row r="190">
      <c r="A190" s="23" t="str">
        <f t="shared" si="5"/>
        <v/>
      </c>
      <c r="B190" s="23" t="str">
        <f>'2.1.raw'!I190</f>
        <v/>
      </c>
      <c r="C190" s="24" t="str">
        <f>datevalue(left('2.1.raw'!K190,10))</f>
        <v>#VALUE!</v>
      </c>
      <c r="D190" s="23" t="str">
        <f>'2.1.raw'!H:H</f>
        <v/>
      </c>
      <c r="E190" s="1">
        <v>2.1</v>
      </c>
      <c r="G190" s="23" t="b">
        <f>if(countif(Status!C:C,A190)=1,TRUE, FALSE)</f>
        <v>0</v>
      </c>
    </row>
    <row r="191">
      <c r="A191" s="23" t="str">
        <f t="shared" si="5"/>
        <v/>
      </c>
      <c r="B191" s="23" t="str">
        <f>'2.1.raw'!I191</f>
        <v/>
      </c>
      <c r="C191" s="24" t="str">
        <f>datevalue(left('2.1.raw'!K191,10))</f>
        <v>#VALUE!</v>
      </c>
      <c r="D191" s="23" t="str">
        <f>'2.1.raw'!H:H</f>
        <v/>
      </c>
      <c r="E191" s="1">
        <v>2.1</v>
      </c>
      <c r="G191" s="23" t="b">
        <f>if(countif(Status!C:C,A191)=1,TRUE, FALSE)</f>
        <v>0</v>
      </c>
    </row>
    <row r="192">
      <c r="A192" s="23" t="str">
        <f t="shared" si="5"/>
        <v/>
      </c>
      <c r="B192" s="23" t="str">
        <f>'2.1.raw'!I192</f>
        <v/>
      </c>
      <c r="C192" s="24" t="str">
        <f>datevalue(left('2.1.raw'!K192,10))</f>
        <v>#VALUE!</v>
      </c>
      <c r="D192" s="23" t="str">
        <f>'2.1.raw'!H:H</f>
        <v/>
      </c>
      <c r="E192" s="1">
        <v>2.1</v>
      </c>
      <c r="G192" s="23" t="b">
        <f>if(countif(Status!C:C,A192)=1,TRUE, FALSE)</f>
        <v>0</v>
      </c>
    </row>
    <row r="193">
      <c r="A193" s="23" t="str">
        <f t="shared" si="5"/>
        <v/>
      </c>
      <c r="B193" s="23" t="str">
        <f>'2.1.raw'!I193</f>
        <v/>
      </c>
      <c r="C193" s="24" t="str">
        <f>datevalue(left('2.1.raw'!K193,10))</f>
        <v>#VALUE!</v>
      </c>
      <c r="D193" s="23" t="str">
        <f>'2.1.raw'!H:H</f>
        <v/>
      </c>
      <c r="E193" s="1">
        <v>2.1</v>
      </c>
      <c r="G193" s="23" t="b">
        <f>if(countif(Status!C:C,A193)=1,TRUE, FALSE)</f>
        <v>0</v>
      </c>
    </row>
    <row r="194">
      <c r="A194" s="23" t="str">
        <f t="shared" si="5"/>
        <v/>
      </c>
      <c r="B194" s="23" t="str">
        <f>'2.1.raw'!I194</f>
        <v/>
      </c>
      <c r="C194" s="24" t="str">
        <f>datevalue(left('2.1.raw'!K194,10))</f>
        <v>#VALUE!</v>
      </c>
      <c r="D194" s="23" t="str">
        <f>'2.1.raw'!H:H</f>
        <v/>
      </c>
      <c r="E194" s="1">
        <v>2.1</v>
      </c>
      <c r="G194" s="23" t="b">
        <f>if(countif(Status!C:C,A194)=1,TRUE, FALSE)</f>
        <v>0</v>
      </c>
    </row>
    <row r="195">
      <c r="A195" s="23" t="str">
        <f t="shared" si="5"/>
        <v/>
      </c>
      <c r="B195" s="23" t="str">
        <f>'2.1.raw'!I195</f>
        <v/>
      </c>
      <c r="C195" s="24" t="str">
        <f>datevalue(left('2.1.raw'!K195,10))</f>
        <v>#VALUE!</v>
      </c>
      <c r="D195" s="23" t="str">
        <f>'2.1.raw'!H:H</f>
        <v/>
      </c>
      <c r="E195" s="1">
        <v>2.1</v>
      </c>
      <c r="G195" s="23" t="b">
        <f>if(countif(Status!C:C,A195)=1,TRUE, FALSE)</f>
        <v>0</v>
      </c>
    </row>
    <row r="196">
      <c r="A196" s="23" t="str">
        <f t="shared" si="5"/>
        <v/>
      </c>
      <c r="B196" s="23" t="str">
        <f>'2.1.raw'!I196</f>
        <v/>
      </c>
      <c r="C196" s="24" t="str">
        <f>datevalue(left('2.1.raw'!K196,10))</f>
        <v>#VALUE!</v>
      </c>
      <c r="D196" s="23" t="str">
        <f>'2.1.raw'!H:H</f>
        <v/>
      </c>
      <c r="E196" s="1">
        <v>2.1</v>
      </c>
      <c r="G196" s="23" t="b">
        <f>if(countif(Status!C:C,A196)=1,TRUE, FALSE)</f>
        <v>0</v>
      </c>
    </row>
    <row r="197">
      <c r="A197" s="23" t="str">
        <f t="shared" si="5"/>
        <v/>
      </c>
      <c r="B197" s="23" t="str">
        <f>'2.1.raw'!I197</f>
        <v/>
      </c>
      <c r="C197" s="24" t="str">
        <f>datevalue(left('2.1.raw'!K197,10))</f>
        <v>#VALUE!</v>
      </c>
      <c r="D197" s="23" t="str">
        <f>'2.1.raw'!H:H</f>
        <v/>
      </c>
      <c r="E197" s="1">
        <v>2.1</v>
      </c>
      <c r="G197" s="23" t="b">
        <f>if(countif(Status!C:C,A197)=1,TRUE, FALSE)</f>
        <v>0</v>
      </c>
    </row>
    <row r="198">
      <c r="A198" s="23" t="str">
        <f t="shared" si="5"/>
        <v/>
      </c>
      <c r="B198" s="23" t="str">
        <f>'2.1.raw'!I198</f>
        <v/>
      </c>
      <c r="C198" s="24" t="str">
        <f>datevalue(left('2.1.raw'!K198,10))</f>
        <v>#VALUE!</v>
      </c>
      <c r="D198" s="23" t="str">
        <f>'2.1.raw'!H:H</f>
        <v/>
      </c>
      <c r="E198" s="1">
        <v>2.1</v>
      </c>
      <c r="G198" s="23" t="b">
        <f>if(countif(Status!C:C,A198)=1,TRUE, FALSE)</f>
        <v>0</v>
      </c>
    </row>
    <row r="199">
      <c r="A199" s="23" t="str">
        <f t="shared" si="5"/>
        <v/>
      </c>
      <c r="B199" s="23" t="str">
        <f>'2.1.raw'!I199</f>
        <v/>
      </c>
      <c r="C199" s="24" t="str">
        <f>datevalue(left('2.1.raw'!K199,10))</f>
        <v>#VALUE!</v>
      </c>
      <c r="D199" s="23" t="str">
        <f>'2.1.raw'!H:H</f>
        <v/>
      </c>
      <c r="E199" s="1">
        <v>2.1</v>
      </c>
      <c r="G199" s="23" t="b">
        <f>if(countif(Status!C:C,A199)=1,TRUE, FALSE)</f>
        <v>0</v>
      </c>
    </row>
    <row r="200">
      <c r="A200" s="23" t="str">
        <f t="shared" si="5"/>
        <v/>
      </c>
      <c r="B200" s="23" t="str">
        <f>'2.1.raw'!I200</f>
        <v/>
      </c>
      <c r="C200" s="24" t="str">
        <f>datevalue(left('2.1.raw'!K200,10))</f>
        <v>#VALUE!</v>
      </c>
      <c r="D200" s="23" t="str">
        <f>'2.1.raw'!H:H</f>
        <v/>
      </c>
      <c r="E200" s="1">
        <v>2.1</v>
      </c>
      <c r="G200" s="23" t="b">
        <f>if(countif(Status!C:C,A200)=1,TRUE, FALSE)</f>
        <v>0</v>
      </c>
    </row>
    <row r="201">
      <c r="A201" s="23" t="str">
        <f t="shared" si="5"/>
        <v/>
      </c>
      <c r="B201" s="23" t="str">
        <f>'2.1.raw'!I201</f>
        <v/>
      </c>
      <c r="C201" s="24" t="str">
        <f>datevalue(left('2.1.raw'!K201,10))</f>
        <v>#VALUE!</v>
      </c>
      <c r="D201" s="23" t="str">
        <f>'2.1.raw'!H:H</f>
        <v/>
      </c>
      <c r="E201" s="1">
        <v>2.1</v>
      </c>
      <c r="G201" s="23" t="b">
        <f>if(countif(Status!C:C,A201)=1,TRUE, FALSE)</f>
        <v>0</v>
      </c>
    </row>
    <row r="202">
      <c r="A202" s="23" t="str">
        <f t="shared" si="5"/>
        <v/>
      </c>
      <c r="B202" s="23" t="str">
        <f>'2.1.raw'!I202</f>
        <v/>
      </c>
      <c r="C202" s="24" t="str">
        <f>datevalue(left('2.1.raw'!K202,10))</f>
        <v>#VALUE!</v>
      </c>
      <c r="D202" s="23" t="str">
        <f>'2.1.raw'!H:H</f>
        <v/>
      </c>
      <c r="E202" s="1">
        <v>2.1</v>
      </c>
      <c r="G202" s="23" t="b">
        <f>if(countif(Status!C:C,A202)=1,TRUE, FALSE)</f>
        <v>0</v>
      </c>
    </row>
    <row r="203">
      <c r="A203" s="23" t="str">
        <f t="shared" si="5"/>
        <v/>
      </c>
      <c r="B203" s="23" t="str">
        <f>'2.1.raw'!I203</f>
        <v/>
      </c>
      <c r="C203" s="24" t="str">
        <f>datevalue(left('2.1.raw'!K203,10))</f>
        <v>#VALUE!</v>
      </c>
      <c r="D203" s="23" t="str">
        <f>'2.1.raw'!H:H</f>
        <v/>
      </c>
      <c r="E203" s="1">
        <v>2.1</v>
      </c>
      <c r="G203" s="23" t="b">
        <f>if(countif(Status!C:C,A203)=1,TRUE, FALSE)</f>
        <v>0</v>
      </c>
    </row>
    <row r="204">
      <c r="A204" s="23" t="str">
        <f t="shared" si="5"/>
        <v/>
      </c>
      <c r="B204" s="23" t="str">
        <f>'2.1.raw'!I204</f>
        <v/>
      </c>
      <c r="C204" s="24" t="str">
        <f>datevalue(left('2.1.raw'!K204,10))</f>
        <v>#VALUE!</v>
      </c>
      <c r="D204" s="23" t="str">
        <f>'2.1.raw'!H:H</f>
        <v/>
      </c>
      <c r="E204" s="1">
        <v>2.1</v>
      </c>
      <c r="G204" s="23" t="b">
        <f>if(countif(Status!C:C,A204)=1,TRUE, FALSE)</f>
        <v>0</v>
      </c>
    </row>
    <row r="205">
      <c r="A205" s="23" t="str">
        <f t="shared" si="5"/>
        <v/>
      </c>
      <c r="B205" s="23" t="str">
        <f>'2.1.raw'!I205</f>
        <v/>
      </c>
      <c r="C205" s="24" t="str">
        <f>datevalue(left('2.1.raw'!K205,10))</f>
        <v>#VALUE!</v>
      </c>
      <c r="D205" s="23" t="str">
        <f>'2.1.raw'!H:H</f>
        <v/>
      </c>
      <c r="E205" s="1">
        <v>2.1</v>
      </c>
      <c r="G205" s="23" t="b">
        <f>if(countif(Status!C:C,A205)=1,TRUE, FALSE)</f>
        <v>0</v>
      </c>
    </row>
    <row r="206">
      <c r="A206" s="23" t="str">
        <f t="shared" si="5"/>
        <v/>
      </c>
      <c r="B206" s="23" t="str">
        <f>'2.1.raw'!I206</f>
        <v/>
      </c>
      <c r="C206" s="24" t="str">
        <f>datevalue(left('2.1.raw'!K206,10))</f>
        <v>#VALUE!</v>
      </c>
      <c r="D206" s="23" t="str">
        <f>'2.1.raw'!H:H</f>
        <v/>
      </c>
      <c r="E206" s="1">
        <v>2.1</v>
      </c>
      <c r="G206" s="23" t="b">
        <f>if(countif(Status!C:C,A206)=1,TRUE, FALSE)</f>
        <v>0</v>
      </c>
    </row>
    <row r="207">
      <c r="A207" s="23" t="str">
        <f t="shared" si="5"/>
        <v/>
      </c>
      <c r="B207" s="23" t="str">
        <f>'2.1.raw'!I207</f>
        <v/>
      </c>
      <c r="C207" s="24" t="str">
        <f>datevalue(left('2.1.raw'!K207,10))</f>
        <v>#VALUE!</v>
      </c>
      <c r="D207" s="23" t="str">
        <f>'2.1.raw'!H:H</f>
        <v/>
      </c>
      <c r="E207" s="1">
        <v>2.1</v>
      </c>
      <c r="G207" s="23" t="b">
        <f>if(countif(Status!C:C,A207)=1,TRUE, FALSE)</f>
        <v>0</v>
      </c>
    </row>
    <row r="208">
      <c r="A208" s="23" t="str">
        <f t="shared" si="5"/>
        <v/>
      </c>
      <c r="B208" s="23" t="str">
        <f>'2.1.raw'!I208</f>
        <v/>
      </c>
      <c r="C208" s="24" t="str">
        <f>datevalue(left('2.1.raw'!K208,10))</f>
        <v>#VALUE!</v>
      </c>
      <c r="D208" s="23" t="str">
        <f>'2.1.raw'!H:H</f>
        <v/>
      </c>
      <c r="E208" s="1">
        <v>2.1</v>
      </c>
      <c r="G208" s="23" t="b">
        <f>if(countif(Status!C:C,A208)=1,TRUE, FALSE)</f>
        <v>0</v>
      </c>
    </row>
    <row r="209">
      <c r="A209" s="23" t="str">
        <f t="shared" si="5"/>
        <v/>
      </c>
      <c r="B209" s="23" t="str">
        <f>'2.1.raw'!I209</f>
        <v/>
      </c>
      <c r="C209" s="24" t="str">
        <f>datevalue(left('2.1.raw'!K209,10))</f>
        <v>#VALUE!</v>
      </c>
      <c r="D209" s="23" t="str">
        <f>'2.1.raw'!H:H</f>
        <v/>
      </c>
      <c r="E209" s="1">
        <v>2.1</v>
      </c>
      <c r="G209" s="23" t="b">
        <f>if(countif(Status!C:C,A209)=1,TRUE, FALSE)</f>
        <v>0</v>
      </c>
    </row>
    <row r="210">
      <c r="A210" s="23" t="str">
        <f t="shared" si="5"/>
        <v/>
      </c>
      <c r="B210" s="23" t="str">
        <f>'2.1.raw'!I210</f>
        <v/>
      </c>
      <c r="C210" s="24" t="str">
        <f>datevalue(left('2.1.raw'!K210,10))</f>
        <v>#VALUE!</v>
      </c>
      <c r="D210" s="23" t="str">
        <f>'2.1.raw'!H:H</f>
        <v/>
      </c>
      <c r="E210" s="1">
        <v>2.1</v>
      </c>
      <c r="G210" s="23" t="b">
        <f>if(countif(Status!C:C,A210)=1,TRUE, FALSE)</f>
        <v>0</v>
      </c>
    </row>
    <row r="211">
      <c r="A211" s="23" t="str">
        <f t="shared" si="5"/>
        <v/>
      </c>
      <c r="B211" s="23" t="str">
        <f>'2.1.raw'!I211</f>
        <v/>
      </c>
      <c r="C211" s="24" t="str">
        <f>datevalue(left('2.1.raw'!K211,10))</f>
        <v>#VALUE!</v>
      </c>
      <c r="D211" s="23" t="str">
        <f>'2.1.raw'!H:H</f>
        <v/>
      </c>
      <c r="E211" s="1">
        <v>2.1</v>
      </c>
      <c r="G211" s="23" t="b">
        <f>if(countif(Status!C:C,A211)=1,TRUE, FALSE)</f>
        <v>0</v>
      </c>
    </row>
    <row r="212">
      <c r="A212" s="23" t="str">
        <f t="shared" si="5"/>
        <v/>
      </c>
      <c r="B212" s="23" t="str">
        <f>'2.1.raw'!I212</f>
        <v/>
      </c>
      <c r="C212" s="24" t="str">
        <f>datevalue(left('2.1.raw'!K212,10))</f>
        <v>#VALUE!</v>
      </c>
      <c r="D212" s="23" t="str">
        <f>'2.1.raw'!H:H</f>
        <v/>
      </c>
      <c r="E212" s="1">
        <v>2.1</v>
      </c>
      <c r="G212" s="23" t="b">
        <f>if(countif(Status!C:C,A212)=1,TRUE, FALSE)</f>
        <v>0</v>
      </c>
    </row>
    <row r="213">
      <c r="A213" s="23" t="str">
        <f t="shared" si="5"/>
        <v/>
      </c>
      <c r="B213" s="23" t="str">
        <f>'2.1.raw'!I213</f>
        <v/>
      </c>
      <c r="C213" s="24" t="str">
        <f>datevalue(left('2.1.raw'!K213,10))</f>
        <v>#VALUE!</v>
      </c>
      <c r="D213" s="23" t="str">
        <f>'2.1.raw'!H:H</f>
        <v/>
      </c>
      <c r="E213" s="1">
        <v>2.1</v>
      </c>
      <c r="G213" s="23" t="b">
        <f>if(countif(Status!C:C,A213)=1,TRUE, FALSE)</f>
        <v>0</v>
      </c>
    </row>
    <row r="214">
      <c r="A214" s="23" t="str">
        <f t="shared" si="5"/>
        <v/>
      </c>
      <c r="B214" s="23" t="str">
        <f>'2.1.raw'!I214</f>
        <v/>
      </c>
      <c r="C214" s="24" t="str">
        <f>datevalue(left('2.1.raw'!K214,10))</f>
        <v>#VALUE!</v>
      </c>
      <c r="D214" s="23" t="str">
        <f>'2.1.raw'!H:H</f>
        <v/>
      </c>
      <c r="E214" s="1">
        <v>2.1</v>
      </c>
      <c r="G214" s="23" t="b">
        <f>if(countif(Status!C:C,A214)=1,TRUE, FALSE)</f>
        <v>0</v>
      </c>
    </row>
    <row r="215">
      <c r="A215" s="23" t="str">
        <f t="shared" si="5"/>
        <v/>
      </c>
      <c r="B215" s="23" t="str">
        <f>'2.1.raw'!I215</f>
        <v/>
      </c>
      <c r="C215" s="24" t="str">
        <f>datevalue(left('2.1.raw'!K215,10))</f>
        <v>#VALUE!</v>
      </c>
      <c r="D215" s="23" t="str">
        <f>'2.1.raw'!H:H</f>
        <v/>
      </c>
      <c r="E215" s="1">
        <v>2.1</v>
      </c>
      <c r="G215" s="23" t="b">
        <f>if(countif(Status!C:C,A215)=1,TRUE, FALSE)</f>
        <v>0</v>
      </c>
    </row>
    <row r="216">
      <c r="A216" s="23" t="str">
        <f t="shared" si="5"/>
        <v/>
      </c>
      <c r="B216" s="23" t="str">
        <f>'2.1.raw'!I216</f>
        <v/>
      </c>
      <c r="C216" s="24" t="str">
        <f>datevalue(left('2.1.raw'!K216,10))</f>
        <v>#VALUE!</v>
      </c>
      <c r="D216" s="23" t="str">
        <f>'2.1.raw'!H:H</f>
        <v/>
      </c>
      <c r="E216" s="1">
        <v>2.1</v>
      </c>
      <c r="G216" s="23" t="b">
        <f>if(countif(Status!C:C,A216)=1,TRUE, FALSE)</f>
        <v>0</v>
      </c>
    </row>
    <row r="217">
      <c r="A217" s="23" t="str">
        <f t="shared" si="5"/>
        <v/>
      </c>
      <c r="B217" s="23" t="str">
        <f>'2.1.raw'!I217</f>
        <v/>
      </c>
      <c r="C217" s="24" t="str">
        <f>datevalue(left('2.1.raw'!K217,10))</f>
        <v>#VALUE!</v>
      </c>
      <c r="D217" s="23" t="str">
        <f>'2.1.raw'!H:H</f>
        <v/>
      </c>
      <c r="E217" s="1">
        <v>2.1</v>
      </c>
      <c r="G217" s="23" t="b">
        <f>if(countif(Status!C:C,A217)=1,TRUE, FALSE)</f>
        <v>0</v>
      </c>
    </row>
    <row r="218">
      <c r="A218" s="23" t="str">
        <f t="shared" si="5"/>
        <v/>
      </c>
      <c r="B218" s="23" t="str">
        <f>'2.1.raw'!I218</f>
        <v/>
      </c>
      <c r="C218" s="24" t="str">
        <f>datevalue(left('2.1.raw'!K218,10))</f>
        <v>#VALUE!</v>
      </c>
      <c r="D218" s="23" t="str">
        <f>'2.1.raw'!H:H</f>
        <v/>
      </c>
      <c r="E218" s="1">
        <v>2.1</v>
      </c>
      <c r="G218" s="23" t="b">
        <f>if(countif(Status!C:C,A218)=1,TRUE, FALSE)</f>
        <v>0</v>
      </c>
    </row>
    <row r="219">
      <c r="A219" s="23" t="str">
        <f t="shared" si="5"/>
        <v/>
      </c>
      <c r="B219" s="23" t="str">
        <f>'2.1.raw'!I219</f>
        <v/>
      </c>
      <c r="C219" s="24" t="str">
        <f>datevalue(left('2.1.raw'!K219,10))</f>
        <v>#VALUE!</v>
      </c>
      <c r="D219" s="23" t="str">
        <f>'2.1.raw'!H:H</f>
        <v/>
      </c>
      <c r="E219" s="1">
        <v>2.1</v>
      </c>
      <c r="G219" s="23" t="b">
        <f>if(countif(Status!C:C,A219)=1,TRUE, FALSE)</f>
        <v>0</v>
      </c>
    </row>
    <row r="220">
      <c r="A220" s="23" t="str">
        <f t="shared" si="5"/>
        <v/>
      </c>
      <c r="B220" s="23" t="str">
        <f>'2.1.raw'!I220</f>
        <v/>
      </c>
      <c r="C220" s="24" t="str">
        <f>datevalue(left('2.1.raw'!K220,10))</f>
        <v>#VALUE!</v>
      </c>
      <c r="D220" s="23" t="str">
        <f>'2.1.raw'!H:H</f>
        <v/>
      </c>
      <c r="E220" s="1">
        <v>2.1</v>
      </c>
      <c r="G220" s="23" t="b">
        <f>if(countif(Status!C:C,A220)=1,TRUE, FALSE)</f>
        <v>0</v>
      </c>
    </row>
    <row r="221">
      <c r="A221" s="23" t="str">
        <f t="shared" si="5"/>
        <v/>
      </c>
      <c r="B221" s="23" t="str">
        <f>'2.1.raw'!I221</f>
        <v/>
      </c>
      <c r="C221" s="24" t="str">
        <f>datevalue(left('2.1.raw'!K221,10))</f>
        <v>#VALUE!</v>
      </c>
      <c r="D221" s="23" t="str">
        <f>'2.1.raw'!H:H</f>
        <v/>
      </c>
      <c r="E221" s="1">
        <v>2.1</v>
      </c>
      <c r="G221" s="23" t="b">
        <f>if(countif(Status!C:C,A221)=1,TRUE, FALSE)</f>
        <v>0</v>
      </c>
    </row>
    <row r="222">
      <c r="A222" s="23" t="str">
        <f t="shared" si="5"/>
        <v/>
      </c>
      <c r="B222" s="23" t="str">
        <f>'2.1.raw'!I222</f>
        <v/>
      </c>
      <c r="C222" s="24" t="str">
        <f>datevalue(left('2.1.raw'!K222,10))</f>
        <v>#VALUE!</v>
      </c>
      <c r="D222" s="23" t="str">
        <f>'2.1.raw'!H:H</f>
        <v/>
      </c>
      <c r="E222" s="1">
        <v>2.1</v>
      </c>
      <c r="G222" s="23" t="b">
        <f>if(countif(Status!C:C,A222)=1,TRUE, FALSE)</f>
        <v>0</v>
      </c>
    </row>
    <row r="223">
      <c r="A223" s="23" t="str">
        <f t="shared" si="5"/>
        <v/>
      </c>
      <c r="B223" s="23" t="str">
        <f>'2.1.raw'!I223</f>
        <v/>
      </c>
      <c r="C223" s="24" t="str">
        <f>datevalue(left('2.1.raw'!K223,10))</f>
        <v>#VALUE!</v>
      </c>
      <c r="D223" s="23" t="str">
        <f>'2.1.raw'!H:H</f>
        <v/>
      </c>
      <c r="E223" s="1">
        <v>2.1</v>
      </c>
      <c r="G223" s="23" t="b">
        <f>if(countif(Status!C:C,A223)=1,TRUE, FALSE)</f>
        <v>0</v>
      </c>
    </row>
    <row r="224">
      <c r="A224" s="23" t="str">
        <f t="shared" si="5"/>
        <v/>
      </c>
      <c r="B224" s="23" t="str">
        <f>'2.1.raw'!I224</f>
        <v/>
      </c>
      <c r="C224" s="24" t="str">
        <f>datevalue(left('2.1.raw'!K224,10))</f>
        <v>#VALUE!</v>
      </c>
      <c r="D224" s="23" t="str">
        <f>'2.1.raw'!H:H</f>
        <v/>
      </c>
      <c r="E224" s="1">
        <v>2.1</v>
      </c>
      <c r="G224" s="23" t="b">
        <f>if(countif(Status!C:C,A224)=1,TRUE, FALSE)</f>
        <v>0</v>
      </c>
    </row>
    <row r="225">
      <c r="A225" s="23" t="str">
        <f t="shared" si="5"/>
        <v/>
      </c>
      <c r="B225" s="23" t="str">
        <f>'2.1.raw'!I225</f>
        <v/>
      </c>
      <c r="C225" s="24" t="str">
        <f>datevalue(left('2.1.raw'!K224,10))</f>
        <v>#VALUE!</v>
      </c>
      <c r="D225" s="23" t="str">
        <f>'2.1.raw'!H:H</f>
        <v/>
      </c>
      <c r="E225" s="1">
        <v>2.1</v>
      </c>
      <c r="G225" s="23" t="b">
        <f>if(countif(Status!C:C,A225)=1,TRUE, FALSE)</f>
        <v>0</v>
      </c>
    </row>
    <row r="226">
      <c r="A226" s="23" t="str">
        <f t="shared" si="5"/>
        <v/>
      </c>
      <c r="B226" s="23" t="str">
        <f>'2.1.raw'!I226</f>
        <v/>
      </c>
      <c r="C226" s="24" t="str">
        <f>datevalue(left('2.1.raw'!K225,10))</f>
        <v>#VALUE!</v>
      </c>
      <c r="D226" s="23" t="str">
        <f>'2.1.raw'!H:H</f>
        <v/>
      </c>
      <c r="E226" s="1">
        <v>2.1</v>
      </c>
      <c r="G226" s="23" t="b">
        <f>if(countif(Status!C:C,A226)=1,TRUE, FALSE)</f>
        <v>0</v>
      </c>
    </row>
    <row r="227">
      <c r="A227" s="23" t="str">
        <f t="shared" si="5"/>
        <v/>
      </c>
      <c r="B227" s="23" t="str">
        <f>'2.1.raw'!I227</f>
        <v/>
      </c>
      <c r="C227" s="24" t="str">
        <f>datevalue(left('2.1.raw'!K226,10))</f>
        <v>#VALUE!</v>
      </c>
      <c r="D227" s="23" t="str">
        <f>'2.1.raw'!H:H</f>
        <v/>
      </c>
      <c r="E227" s="1">
        <v>2.1</v>
      </c>
      <c r="G227" s="23" t="b">
        <f>if(countif(Status!C:C,A227)=1,TRUE, FALSE)</f>
        <v>0</v>
      </c>
    </row>
    <row r="228">
      <c r="A228" s="23" t="str">
        <f t="shared" si="5"/>
        <v/>
      </c>
      <c r="B228" s="23" t="str">
        <f>'2.1.raw'!I228</f>
        <v/>
      </c>
      <c r="C228" s="24" t="str">
        <f>datevalue(left('2.1.raw'!K227,10))</f>
        <v>#VALUE!</v>
      </c>
      <c r="D228" s="23" t="str">
        <f>'2.1.raw'!H:H</f>
        <v/>
      </c>
      <c r="E228" s="1">
        <v>2.1</v>
      </c>
      <c r="G228" s="23" t="b">
        <f>if(countif(Status!C:C,A228)=1,TRUE, FALSE)</f>
        <v>0</v>
      </c>
    </row>
    <row r="229">
      <c r="A229" s="23" t="str">
        <f t="shared" si="5"/>
        <v/>
      </c>
      <c r="B229" s="23" t="str">
        <f>'2.1.raw'!I229</f>
        <v/>
      </c>
      <c r="C229" s="24" t="str">
        <f>datevalue(left('2.1.raw'!K228,10))</f>
        <v>#VALUE!</v>
      </c>
      <c r="D229" s="23" t="str">
        <f>'2.1.raw'!H:H</f>
        <v/>
      </c>
      <c r="E229" s="1">
        <v>2.1</v>
      </c>
      <c r="G229" s="23" t="b">
        <f>if(countif(Status!C:C,A229)=1,TRUE, FALSE)</f>
        <v>0</v>
      </c>
    </row>
    <row r="230">
      <c r="A230" s="23" t="str">
        <f t="shared" si="5"/>
        <v/>
      </c>
      <c r="B230" s="23" t="str">
        <f>'2.1.raw'!I230</f>
        <v/>
      </c>
      <c r="C230" s="24" t="str">
        <f>datevalue(left('2.1.raw'!K229,10))</f>
        <v>#VALUE!</v>
      </c>
      <c r="D230" s="23" t="str">
        <f>'2.1.raw'!H:H</f>
        <v/>
      </c>
      <c r="E230" s="1">
        <v>2.1</v>
      </c>
      <c r="G230" s="23" t="b">
        <f>if(countif(Status!C:C,A230)=1,TRUE, FALSE)</f>
        <v>0</v>
      </c>
    </row>
    <row r="231">
      <c r="A231" s="23" t="str">
        <f t="shared" si="5"/>
        <v/>
      </c>
      <c r="B231" s="23" t="str">
        <f>'2.1.raw'!I231</f>
        <v/>
      </c>
      <c r="C231" s="24" t="str">
        <f>datevalue(left('2.1.raw'!K230,10))</f>
        <v>#VALUE!</v>
      </c>
      <c r="D231" s="23" t="str">
        <f>'2.1.raw'!H:H</f>
        <v/>
      </c>
      <c r="E231" s="1">
        <v>2.1</v>
      </c>
      <c r="G231" s="23" t="b">
        <f>if(countif(Status!C:C,A231)=1,TRUE, FALSE)</f>
        <v>0</v>
      </c>
    </row>
    <row r="232">
      <c r="A232" s="23" t="str">
        <f t="shared" si="5"/>
        <v/>
      </c>
      <c r="B232" s="23" t="str">
        <f>'2.1.raw'!I232</f>
        <v/>
      </c>
      <c r="C232" s="24" t="str">
        <f>datevalue(left('2.1.raw'!K231,10))</f>
        <v>#VALUE!</v>
      </c>
      <c r="D232" s="23" t="str">
        <f>'2.1.raw'!H:H</f>
        <v/>
      </c>
      <c r="E232" s="1">
        <v>2.1</v>
      </c>
      <c r="G232" s="23" t="b">
        <f>if(countif(Status!C:C,A232)=1,TRUE, FALSE)</f>
        <v>0</v>
      </c>
    </row>
    <row r="233">
      <c r="A233" s="23" t="str">
        <f t="shared" si="5"/>
        <v/>
      </c>
      <c r="B233" s="23" t="str">
        <f>'2.1.raw'!I233</f>
        <v/>
      </c>
      <c r="C233" s="24" t="str">
        <f>datevalue(left('2.1.raw'!K232,10))</f>
        <v>#VALUE!</v>
      </c>
      <c r="D233" s="23" t="str">
        <f>'2.1.raw'!H:H</f>
        <v/>
      </c>
      <c r="E233" s="1">
        <v>2.1</v>
      </c>
      <c r="G233" s="23" t="b">
        <f>if(countif(Status!C:C,A233)=1,TRUE, FALSE)</f>
        <v>0</v>
      </c>
    </row>
    <row r="234">
      <c r="A234" s="23" t="str">
        <f t="shared" si="5"/>
        <v/>
      </c>
      <c r="B234" s="23" t="str">
        <f>'2.1.raw'!I234</f>
        <v/>
      </c>
      <c r="C234" s="24" t="str">
        <f>datevalue(left('2.1.raw'!K233,10))</f>
        <v>#VALUE!</v>
      </c>
      <c r="D234" s="23" t="str">
        <f>'2.1.raw'!H:H</f>
        <v/>
      </c>
      <c r="E234" s="1">
        <v>2.1</v>
      </c>
      <c r="G234" s="23" t="b">
        <f>if(countif(Status!C:C,A234)=1,TRUE, FALSE)</f>
        <v>0</v>
      </c>
    </row>
    <row r="235">
      <c r="A235" s="23" t="str">
        <f t="shared" si="5"/>
        <v/>
      </c>
      <c r="B235" s="23" t="str">
        <f>'2.1.raw'!I235</f>
        <v/>
      </c>
      <c r="C235" s="24" t="str">
        <f>datevalue(left('2.1.raw'!K234,10))</f>
        <v>#VALUE!</v>
      </c>
      <c r="D235" s="23" t="str">
        <f>'2.1.raw'!H:H</f>
        <v/>
      </c>
      <c r="E235" s="1">
        <v>2.1</v>
      </c>
      <c r="G235" s="23" t="b">
        <f>if(countif(Status!C:C,A235)=1,TRUE, FALSE)</f>
        <v>0</v>
      </c>
    </row>
    <row r="236">
      <c r="A236" s="23" t="str">
        <f t="shared" si="5"/>
        <v/>
      </c>
      <c r="B236" s="23" t="str">
        <f>'2.1.raw'!I236</f>
        <v/>
      </c>
      <c r="C236" s="24" t="str">
        <f>datevalue(left('2.1.raw'!K235,10))</f>
        <v>#VALUE!</v>
      </c>
      <c r="D236" s="23" t="str">
        <f>'2.1.raw'!H:H</f>
        <v/>
      </c>
      <c r="E236" s="1">
        <v>2.1</v>
      </c>
      <c r="G236" s="23" t="b">
        <f>if(countif(Status!C:C,A236)=1,TRUE, FALSE)</f>
        <v>0</v>
      </c>
    </row>
    <row r="237">
      <c r="A237" s="23" t="str">
        <f t="shared" si="5"/>
        <v/>
      </c>
      <c r="B237" s="23" t="str">
        <f>'2.1.raw'!I237</f>
        <v/>
      </c>
      <c r="C237" s="24" t="str">
        <f>datevalue(left('2.1.raw'!K236,10))</f>
        <v>#VALUE!</v>
      </c>
      <c r="D237" s="23" t="str">
        <f>'2.1.raw'!H:H</f>
        <v/>
      </c>
      <c r="E237" s="1">
        <v>2.1</v>
      </c>
      <c r="G237" s="23" t="b">
        <f>if(countif(Status!C:C,A237)=1,TRUE, FALSE)</f>
        <v>0</v>
      </c>
    </row>
    <row r="238">
      <c r="A238" s="23" t="str">
        <f t="shared" si="5"/>
        <v/>
      </c>
      <c r="B238" s="23" t="str">
        <f>'2.1.raw'!I238</f>
        <v/>
      </c>
      <c r="C238" s="24" t="str">
        <f>datevalue(left('2.1.raw'!K237,10))</f>
        <v>#VALUE!</v>
      </c>
      <c r="D238" s="23" t="str">
        <f>'2.1.raw'!H:H</f>
        <v/>
      </c>
      <c r="E238" s="1">
        <v>2.1</v>
      </c>
      <c r="G238" s="23" t="b">
        <f>if(countif(Status!C:C,A238)=1,TRUE, FALSE)</f>
        <v>0</v>
      </c>
    </row>
    <row r="239">
      <c r="A239" s="23" t="str">
        <f t="shared" si="5"/>
        <v/>
      </c>
      <c r="B239" s="23" t="str">
        <f>'2.1.raw'!I239</f>
        <v/>
      </c>
      <c r="C239" s="24" t="str">
        <f>datevalue(left('2.1.raw'!K238,10))</f>
        <v>#VALUE!</v>
      </c>
      <c r="D239" s="23" t="str">
        <f>'2.1.raw'!H:H</f>
        <v/>
      </c>
      <c r="E239" s="1">
        <v>2.1</v>
      </c>
      <c r="G239" s="23" t="b">
        <f>if(countif(Status!C:C,A239)=1,TRUE, FALSE)</f>
        <v>0</v>
      </c>
    </row>
    <row r="240">
      <c r="A240" s="23" t="str">
        <f t="shared" si="5"/>
        <v/>
      </c>
      <c r="B240" s="23" t="str">
        <f>'2.1.raw'!I240</f>
        <v/>
      </c>
      <c r="C240" s="24" t="str">
        <f>datevalue(left('2.1.raw'!K239,10))</f>
        <v>#VALUE!</v>
      </c>
      <c r="D240" s="23" t="str">
        <f>'2.1.raw'!H:H</f>
        <v/>
      </c>
      <c r="E240" s="1">
        <v>2.1</v>
      </c>
      <c r="G240" s="23" t="b">
        <f>if(countif(Status!C:C,A240)=1,TRUE, FALSE)</f>
        <v>0</v>
      </c>
    </row>
    <row r="241">
      <c r="A241" s="23" t="str">
        <f t="shared" si="5"/>
        <v/>
      </c>
      <c r="B241" s="23" t="str">
        <f>'2.1.raw'!I241</f>
        <v/>
      </c>
      <c r="C241" s="24" t="str">
        <f>datevalue(left('2.1.raw'!K240,10))</f>
        <v>#VALUE!</v>
      </c>
      <c r="D241" s="23" t="str">
        <f>'2.1.raw'!H:H</f>
        <v/>
      </c>
      <c r="E241" s="1">
        <v>2.1</v>
      </c>
      <c r="G241" s="23" t="b">
        <f>if(countif(Status!C:C,A241)=1,TRUE, FALSE)</f>
        <v>0</v>
      </c>
    </row>
    <row r="242">
      <c r="A242" s="23" t="str">
        <f t="shared" si="5"/>
        <v/>
      </c>
      <c r="B242" s="23" t="str">
        <f>'2.1.raw'!I242</f>
        <v/>
      </c>
      <c r="C242" s="24" t="str">
        <f>datevalue(left('2.1.raw'!K241,10))</f>
        <v>#VALUE!</v>
      </c>
      <c r="D242" s="23" t="str">
        <f>'2.1.raw'!H:H</f>
        <v/>
      </c>
      <c r="E242" s="1">
        <v>2.1</v>
      </c>
      <c r="G242" s="23" t="b">
        <f>if(countif(Status!C:C,A242)=1,TRUE, FALSE)</f>
        <v>0</v>
      </c>
    </row>
    <row r="243">
      <c r="A243" s="23" t="str">
        <f>'2.1.raw'!I243</f>
        <v/>
      </c>
      <c r="B243" s="23" t="str">
        <f>'2.1.raw'!I243</f>
        <v/>
      </c>
      <c r="C243" s="24" t="str">
        <f>datevalue(left('2.1.raw'!K242,10))</f>
        <v>#VALUE!</v>
      </c>
      <c r="D243" s="23" t="str">
        <f>'2.1.raw'!H:H</f>
        <v/>
      </c>
      <c r="E243" s="1">
        <v>2.1</v>
      </c>
      <c r="G243" s="23" t="b">
        <f>if(countif(Status!C:C,A243)=1,TRUE, FALSE)</f>
        <v>0</v>
      </c>
    </row>
    <row r="244">
      <c r="A244" s="23" t="str">
        <f>'2.1.raw'!I244</f>
        <v/>
      </c>
      <c r="B244" s="23" t="str">
        <f>'2.1.raw'!I244</f>
        <v/>
      </c>
      <c r="C244" s="24" t="str">
        <f>datevalue(left('2.1.raw'!K243,10))</f>
        <v>#VALUE!</v>
      </c>
      <c r="D244" s="23" t="str">
        <f>'2.1.raw'!H:H</f>
        <v/>
      </c>
      <c r="E244" s="1">
        <v>2.1</v>
      </c>
      <c r="G244" s="23" t="b">
        <f>if(countif(Status!C:C,A244)=1,TRUE, FALSE)</f>
        <v>0</v>
      </c>
    </row>
    <row r="245">
      <c r="A245" s="23" t="str">
        <f>'2.1.raw'!I245</f>
        <v/>
      </c>
      <c r="B245" s="23" t="str">
        <f>'2.1.raw'!I245</f>
        <v/>
      </c>
      <c r="C245" s="24" t="str">
        <f>datevalue(left('2.1.raw'!K244,10))</f>
        <v>#VALUE!</v>
      </c>
      <c r="D245" s="23" t="str">
        <f>'2.1.raw'!H:H</f>
        <v/>
      </c>
      <c r="E245" s="1">
        <v>2.1</v>
      </c>
      <c r="G245" s="23" t="b">
        <f>if(countif(Status!C:C,A245)=1,TRUE, FALSE)</f>
        <v>0</v>
      </c>
    </row>
    <row r="246">
      <c r="A246" s="23" t="str">
        <f>'2.1.raw'!I246</f>
        <v/>
      </c>
      <c r="B246" s="23" t="str">
        <f>'2.1.raw'!I246</f>
        <v/>
      </c>
      <c r="C246" s="24" t="str">
        <f>datevalue(left('2.1.raw'!K245,10))</f>
        <v>#VALUE!</v>
      </c>
      <c r="D246" s="23" t="str">
        <f>'2.1.raw'!H:H</f>
        <v/>
      </c>
      <c r="E246" s="1">
        <v>2.1</v>
      </c>
      <c r="G246" s="23" t="b">
        <f>if(countif(Status!C:C,A246)=1,TRUE, FALSE)</f>
        <v>0</v>
      </c>
    </row>
    <row r="247">
      <c r="A247" s="23" t="str">
        <f>'2.1.raw'!I247</f>
        <v/>
      </c>
      <c r="B247" s="23" t="str">
        <f>'2.1.raw'!I247</f>
        <v/>
      </c>
      <c r="C247" s="24" t="str">
        <f>datevalue(left('2.1.raw'!K246,10))</f>
        <v>#VALUE!</v>
      </c>
      <c r="D247" s="23" t="str">
        <f>'2.1.raw'!H:H</f>
        <v/>
      </c>
      <c r="E247" s="1">
        <v>2.1</v>
      </c>
      <c r="G247" s="23" t="b">
        <f>if(countif(Status!C:C,A247)=1,TRUE, FALSE)</f>
        <v>0</v>
      </c>
    </row>
    <row r="248">
      <c r="A248" s="23" t="str">
        <f>'2.1.raw'!I248</f>
        <v/>
      </c>
      <c r="B248" s="23" t="str">
        <f>'2.1.raw'!I248</f>
        <v/>
      </c>
      <c r="C248" s="24" t="str">
        <f>datevalue(left('2.1.raw'!K247,10))</f>
        <v>#VALUE!</v>
      </c>
      <c r="D248" s="23" t="str">
        <f>'2.1.raw'!H:H</f>
        <v/>
      </c>
      <c r="E248" s="1">
        <v>2.1</v>
      </c>
      <c r="G248" s="23" t="b">
        <f>if(countif(Status!C:C,A248)=1,TRUE, FALSE)</f>
        <v>0</v>
      </c>
    </row>
    <row r="249">
      <c r="A249" s="23" t="str">
        <f>'2.1.raw'!I249</f>
        <v/>
      </c>
      <c r="B249" s="23" t="str">
        <f>'2.1.raw'!I249</f>
        <v/>
      </c>
      <c r="C249" s="24" t="str">
        <f>datevalue(left('2.1.raw'!K248,10))</f>
        <v>#VALUE!</v>
      </c>
      <c r="D249" s="23" t="str">
        <f>'2.1.raw'!H:H</f>
        <v/>
      </c>
      <c r="E249" s="1">
        <v>2.1</v>
      </c>
      <c r="G249" s="23" t="b">
        <f>if(countif(Status!C:C,A249)=1,TRUE, FALSE)</f>
        <v>0</v>
      </c>
    </row>
    <row r="250">
      <c r="A250" s="23" t="str">
        <f>'2.1.raw'!I250</f>
        <v/>
      </c>
      <c r="B250" s="23" t="str">
        <f>'2.1.raw'!I250</f>
        <v/>
      </c>
      <c r="C250" s="24" t="str">
        <f>datevalue(left('2.1.raw'!K249,10))</f>
        <v>#VALUE!</v>
      </c>
      <c r="D250" s="23" t="str">
        <f>'2.1.raw'!H:H</f>
        <v/>
      </c>
      <c r="E250" s="1">
        <v>2.1</v>
      </c>
      <c r="G250" s="23" t="b">
        <f>if(countif(Status!C:C,A250)=1,TRUE, FALSE)</f>
        <v>0</v>
      </c>
    </row>
    <row r="251">
      <c r="A251" s="23" t="str">
        <f>'2.1.raw'!I251</f>
        <v/>
      </c>
      <c r="B251" s="23" t="str">
        <f>'2.1.raw'!I251</f>
        <v/>
      </c>
      <c r="C251" s="24" t="str">
        <f>datevalue(left('2.1.raw'!K250,10))</f>
        <v>#VALUE!</v>
      </c>
      <c r="D251" s="23" t="str">
        <f>'2.1.raw'!H:H</f>
        <v/>
      </c>
      <c r="E251" s="1">
        <v>2.1</v>
      </c>
      <c r="G251" s="23" t="b">
        <f>if(countif(Status!C:C,A251)=1,TRUE, FALSE)</f>
        <v>0</v>
      </c>
    </row>
    <row r="252">
      <c r="A252" s="23" t="str">
        <f>'2.1.raw'!I252</f>
        <v/>
      </c>
      <c r="B252" s="23" t="str">
        <f>'2.1.raw'!I252</f>
        <v/>
      </c>
      <c r="C252" s="24" t="str">
        <f>datevalue(left('2.1.raw'!K251,10))</f>
        <v>#VALUE!</v>
      </c>
      <c r="D252" s="23" t="str">
        <f>'2.1.raw'!H:H</f>
        <v/>
      </c>
      <c r="E252" s="1">
        <v>2.1</v>
      </c>
      <c r="G252" s="23" t="b">
        <f>if(countif(Status!C:C,A252)=1,TRUE, FALSE)</f>
        <v>0</v>
      </c>
    </row>
    <row r="253">
      <c r="A253" s="23" t="str">
        <f>'2.1.raw'!I253</f>
        <v/>
      </c>
      <c r="B253" s="23" t="str">
        <f>'2.1.raw'!I253</f>
        <v/>
      </c>
      <c r="C253" s="24" t="str">
        <f>datevalue(left('2.1.raw'!K252,10))</f>
        <v>#VALUE!</v>
      </c>
      <c r="D253" s="23" t="str">
        <f>'2.1.raw'!H:H</f>
        <v/>
      </c>
      <c r="E253" s="1">
        <v>2.1</v>
      </c>
      <c r="G253" s="23" t="b">
        <f>if(countif(Status!C:C,A253)=1,TRUE, FALSE)</f>
        <v>0</v>
      </c>
    </row>
    <row r="254">
      <c r="A254" s="23" t="str">
        <f>'2.1.raw'!I254</f>
        <v/>
      </c>
      <c r="B254" s="23" t="str">
        <f>'2.1.raw'!I254</f>
        <v/>
      </c>
      <c r="C254" s="24" t="str">
        <f>datevalue(left('2.1.raw'!K253,10))</f>
        <v>#VALUE!</v>
      </c>
      <c r="D254" s="23" t="str">
        <f>'2.1.raw'!H:H</f>
        <v/>
      </c>
      <c r="E254" s="1">
        <v>2.1</v>
      </c>
      <c r="G254" s="23" t="b">
        <f>if(countif(Status!C:C,A254)=1,TRUE, FALSE)</f>
        <v>0</v>
      </c>
    </row>
    <row r="255">
      <c r="A255" s="23" t="str">
        <f>'2.1.raw'!I255</f>
        <v/>
      </c>
      <c r="B255" s="23" t="str">
        <f>'2.1.raw'!I255</f>
        <v/>
      </c>
      <c r="C255" s="24" t="str">
        <f>datevalue(left('2.1.raw'!K254,10))</f>
        <v>#VALUE!</v>
      </c>
      <c r="D255" s="23" t="str">
        <f>'2.1.raw'!H:H</f>
        <v/>
      </c>
      <c r="E255" s="1">
        <v>2.1</v>
      </c>
      <c r="G255" s="23" t="b">
        <f>if(countif(Status!C:C,A255)=1,TRUE, FALSE)</f>
        <v>0</v>
      </c>
    </row>
    <row r="256">
      <c r="A256" s="23" t="str">
        <f>'2.1.raw'!I256</f>
        <v/>
      </c>
      <c r="B256" s="23" t="str">
        <f>'2.1.raw'!I256</f>
        <v/>
      </c>
      <c r="C256" s="24" t="str">
        <f>datevalue(left('2.1.raw'!K255,10))</f>
        <v>#VALUE!</v>
      </c>
      <c r="D256" s="23" t="str">
        <f>'2.1.raw'!H:H</f>
        <v/>
      </c>
      <c r="E256" s="1">
        <v>2.1</v>
      </c>
      <c r="G256" s="23" t="b">
        <f>if(countif(Status!C:C,A256)=1,TRUE, FALSE)</f>
        <v>0</v>
      </c>
    </row>
    <row r="257">
      <c r="A257" s="23" t="str">
        <f>'2.1.raw'!I257</f>
        <v/>
      </c>
      <c r="B257" s="23" t="str">
        <f>'2.1.raw'!I257</f>
        <v/>
      </c>
      <c r="C257" s="24" t="str">
        <f>datevalue(left('2.1.raw'!K256,10))</f>
        <v>#VALUE!</v>
      </c>
      <c r="D257" s="23" t="str">
        <f>'2.1.raw'!H:H</f>
        <v/>
      </c>
      <c r="E257" s="1">
        <v>2.1</v>
      </c>
      <c r="G257" s="23" t="b">
        <f>if(countif(Status!C:C,A257)=1,TRUE, FALSE)</f>
        <v>0</v>
      </c>
    </row>
    <row r="258">
      <c r="A258" s="23" t="str">
        <f>'2.1.raw'!I257</f>
        <v/>
      </c>
      <c r="B258" s="23" t="str">
        <f>'2.1.raw'!I258</f>
        <v/>
      </c>
      <c r="C258" s="24" t="str">
        <f>datevalue(left('2.1.raw'!K257,10))</f>
        <v>#VALUE!</v>
      </c>
      <c r="D258" s="23" t="str">
        <f>'2.1.raw'!H:H</f>
        <v/>
      </c>
      <c r="E258" s="1">
        <v>2.1</v>
      </c>
      <c r="G258" s="23" t="b">
        <f>if(countif(Status!C:C,A258)=1,TRUE, FALSE)</f>
        <v>0</v>
      </c>
    </row>
    <row r="259">
      <c r="A259" s="23" t="str">
        <f>'2.1.raw'!I258</f>
        <v/>
      </c>
      <c r="B259" s="23" t="str">
        <f>'2.1.raw'!I259</f>
        <v/>
      </c>
      <c r="C259" s="24" t="str">
        <f>datevalue(left('2.1.raw'!K258,10))</f>
        <v>#VALUE!</v>
      </c>
      <c r="D259" s="23" t="str">
        <f>'2.1.raw'!H:H</f>
        <v/>
      </c>
      <c r="E259" s="1">
        <v>2.1</v>
      </c>
      <c r="G259" s="23" t="b">
        <f>if(countif(Status!C:C,A259)=1,TRUE, FALSE)</f>
        <v>0</v>
      </c>
    </row>
    <row r="260">
      <c r="A260" s="23" t="str">
        <f>'2.1.raw'!I259</f>
        <v/>
      </c>
      <c r="B260" s="23" t="str">
        <f>'2.1.raw'!I260</f>
        <v/>
      </c>
      <c r="C260" s="24" t="str">
        <f>datevalue(left('2.1.raw'!K259,10))</f>
        <v>#VALUE!</v>
      </c>
      <c r="D260" s="23" t="str">
        <f>'2.1.raw'!H:H</f>
        <v/>
      </c>
      <c r="E260" s="1">
        <v>2.1</v>
      </c>
      <c r="G260" s="23" t="b">
        <f>if(countif(Status!C:C,A260)=1,TRUE, FALSE)</f>
        <v>0</v>
      </c>
    </row>
    <row r="261">
      <c r="A261" s="23" t="str">
        <f>'2.1.raw'!I260</f>
        <v/>
      </c>
      <c r="B261" s="23" t="str">
        <f>'2.1.raw'!I261</f>
        <v/>
      </c>
      <c r="C261" s="24" t="str">
        <f>datevalue(left('2.1.raw'!K260,10))</f>
        <v>#VALUE!</v>
      </c>
      <c r="D261" s="23" t="str">
        <f>'2.1.raw'!H:H</f>
        <v/>
      </c>
      <c r="E261" s="1">
        <v>2.1</v>
      </c>
      <c r="G261" s="23" t="b">
        <f>if(countif(Status!C:C,A261)=1,TRUE, FALSE)</f>
        <v>0</v>
      </c>
    </row>
    <row r="262">
      <c r="A262" s="23" t="str">
        <f>'2.1.raw'!I261</f>
        <v/>
      </c>
      <c r="B262" s="23" t="str">
        <f>'2.1.raw'!I262</f>
        <v/>
      </c>
      <c r="C262" s="24" t="str">
        <f>datevalue(left('2.1.raw'!K261,10))</f>
        <v>#VALUE!</v>
      </c>
      <c r="D262" s="23" t="str">
        <f>'2.1.raw'!H:H</f>
        <v/>
      </c>
      <c r="E262" s="1">
        <v>2.1</v>
      </c>
      <c r="G262" s="23" t="b">
        <f>if(countif(Status!C:C,A262)=1,TRUE, FALSE)</f>
        <v>0</v>
      </c>
    </row>
    <row r="263">
      <c r="A263" s="23" t="str">
        <f>'2.1.raw'!I262</f>
        <v/>
      </c>
      <c r="B263" s="23" t="str">
        <f>'2.1.raw'!I263</f>
        <v/>
      </c>
      <c r="C263" s="24" t="str">
        <f>datevalue(left('2.1.raw'!K262,10))</f>
        <v>#VALUE!</v>
      </c>
      <c r="D263" s="23" t="str">
        <f>'2.1.raw'!H:H</f>
        <v/>
      </c>
      <c r="E263" s="1">
        <v>2.1</v>
      </c>
      <c r="G263" s="23" t="b">
        <f>if(countif(Status!C:C,A263)=1,TRUE, FALSE)</f>
        <v>0</v>
      </c>
    </row>
    <row r="264">
      <c r="A264" s="23" t="str">
        <f>'2.1.raw'!I263</f>
        <v/>
      </c>
      <c r="B264" s="23" t="str">
        <f>'2.1.raw'!I264</f>
        <v/>
      </c>
      <c r="C264" s="24" t="str">
        <f>datevalue(left('2.1.raw'!K263,10))</f>
        <v>#VALUE!</v>
      </c>
      <c r="D264" s="23" t="str">
        <f>'2.1.raw'!H:H</f>
        <v/>
      </c>
      <c r="E264" s="1">
        <v>2.1</v>
      </c>
      <c r="G264" s="23" t="b">
        <f>if(countif(Status!C:C,A264)=1,TRUE, FALSE)</f>
        <v>0</v>
      </c>
    </row>
    <row r="265">
      <c r="A265" s="23" t="str">
        <f>'2.1.raw'!I264</f>
        <v/>
      </c>
      <c r="B265" s="23" t="str">
        <f>'2.1.raw'!I265</f>
        <v/>
      </c>
      <c r="C265" s="24" t="str">
        <f>datevalue(left('2.1.raw'!K264,10))</f>
        <v>#VALUE!</v>
      </c>
      <c r="D265" s="23" t="str">
        <f>'2.1.raw'!H:H</f>
        <v/>
      </c>
      <c r="E265" s="1">
        <v>2.1</v>
      </c>
      <c r="G265" s="23" t="b">
        <f>if(countif(Status!C:C,A265)=1,TRUE, FALSE)</f>
        <v>0</v>
      </c>
    </row>
    <row r="266">
      <c r="A266" s="23" t="str">
        <f>'2.1.raw'!I265</f>
        <v/>
      </c>
      <c r="B266" s="23" t="str">
        <f>'2.1.raw'!I266</f>
        <v/>
      </c>
      <c r="C266" s="24" t="str">
        <f>datevalue(left('2.1.raw'!K265,10))</f>
        <v>#VALUE!</v>
      </c>
      <c r="D266" s="23" t="str">
        <f>'2.1.raw'!H:H</f>
        <v/>
      </c>
      <c r="E266" s="1">
        <v>2.1</v>
      </c>
      <c r="G266" s="23" t="b">
        <f>if(countif(Status!C:C,A266)=1,TRUE, FALSE)</f>
        <v>0</v>
      </c>
    </row>
    <row r="267">
      <c r="A267" s="23" t="str">
        <f>'2.1.raw'!I266</f>
        <v/>
      </c>
      <c r="B267" s="23" t="str">
        <f>'2.1.raw'!I267</f>
        <v/>
      </c>
      <c r="C267" s="24" t="str">
        <f>datevalue(left('2.1.raw'!K266,10))</f>
        <v>#VALUE!</v>
      </c>
      <c r="D267" s="23" t="str">
        <f>'2.1.raw'!H:H</f>
        <v/>
      </c>
      <c r="E267" s="1">
        <v>2.1</v>
      </c>
      <c r="G267" s="23" t="b">
        <f>if(countif(Status!C:C,A267)=1,TRUE, FALSE)</f>
        <v>0</v>
      </c>
    </row>
    <row r="268">
      <c r="A268" s="23" t="str">
        <f>'2.1.raw'!I267</f>
        <v/>
      </c>
      <c r="B268" s="23" t="str">
        <f>'2.1.raw'!I268</f>
        <v/>
      </c>
      <c r="C268" s="24" t="str">
        <f>datevalue(left('2.1.raw'!K267,10))</f>
        <v>#VALUE!</v>
      </c>
      <c r="D268" s="23" t="str">
        <f>'2.1.raw'!H:H</f>
        <v/>
      </c>
      <c r="E268" s="1">
        <v>2.1</v>
      </c>
      <c r="G268" s="23" t="b">
        <f>if(countif(Status!C:C,A268)=1,TRUE, FALSE)</f>
        <v>0</v>
      </c>
    </row>
    <row r="269">
      <c r="A269" s="23" t="str">
        <f>'2.1.raw'!I268</f>
        <v/>
      </c>
      <c r="B269" s="23" t="str">
        <f>'2.1.raw'!I269</f>
        <v/>
      </c>
      <c r="C269" s="24" t="str">
        <f>datevalue(left('2.1.raw'!K268,10))</f>
        <v>#VALUE!</v>
      </c>
      <c r="D269" s="23" t="str">
        <f>'2.1.raw'!H:H</f>
        <v/>
      </c>
      <c r="E269" s="1">
        <v>2.1</v>
      </c>
      <c r="G269" s="23" t="b">
        <f>if(countif(Status!C:C,A269)=1,TRUE, FALSE)</f>
        <v>0</v>
      </c>
    </row>
    <row r="270">
      <c r="A270" s="23" t="str">
        <f>'2.1.raw'!I269</f>
        <v/>
      </c>
      <c r="B270" s="23" t="str">
        <f>'2.1.raw'!I270</f>
        <v/>
      </c>
      <c r="C270" s="24" t="str">
        <f>datevalue(left('2.1.raw'!K269,10))</f>
        <v>#VALUE!</v>
      </c>
      <c r="D270" s="23" t="str">
        <f>'2.1.raw'!H:H</f>
        <v/>
      </c>
      <c r="E270" s="1">
        <v>2.1</v>
      </c>
      <c r="G270" s="23" t="b">
        <f>if(countif(Status!C:C,A270)=1,TRUE, FALSE)</f>
        <v>0</v>
      </c>
    </row>
    <row r="271">
      <c r="A271" s="23" t="str">
        <f>'2.1.raw'!I270</f>
        <v/>
      </c>
      <c r="B271" s="23" t="str">
        <f>'2.1.raw'!I271</f>
        <v/>
      </c>
      <c r="C271" s="24" t="str">
        <f>datevalue(left('2.1.raw'!K270,10))</f>
        <v>#VALUE!</v>
      </c>
      <c r="D271" s="23" t="str">
        <f>'2.1.raw'!H:H</f>
        <v/>
      </c>
      <c r="E271" s="1">
        <v>2.1</v>
      </c>
      <c r="G271" s="23" t="b">
        <f>if(countif(Status!C:C,A271)=1,TRUE, FALSE)</f>
        <v>0</v>
      </c>
    </row>
    <row r="272">
      <c r="A272" s="23" t="str">
        <f>'2.1.raw'!I271</f>
        <v/>
      </c>
      <c r="B272" s="23" t="str">
        <f>'2.1.raw'!I272</f>
        <v/>
      </c>
      <c r="C272" s="24" t="str">
        <f>datevalue(left('2.1.raw'!K271,10))</f>
        <v>#VALUE!</v>
      </c>
      <c r="D272" s="23" t="str">
        <f>'2.1.raw'!H:H</f>
        <v/>
      </c>
      <c r="E272" s="1">
        <v>2.1</v>
      </c>
      <c r="G272" s="23" t="b">
        <f>if(countif(Status!C:C,A272)=1,TRUE, FALSE)</f>
        <v>0</v>
      </c>
    </row>
    <row r="273">
      <c r="A273" s="23" t="str">
        <f>'2.1.raw'!I272</f>
        <v/>
      </c>
      <c r="B273" s="23" t="str">
        <f>'2.1.raw'!I273</f>
        <v/>
      </c>
      <c r="C273" s="24" t="str">
        <f>datevalue(left('2.1.raw'!K272,10))</f>
        <v>#VALUE!</v>
      </c>
      <c r="D273" s="23" t="str">
        <f>'2.1.raw'!H:H</f>
        <v/>
      </c>
      <c r="E273" s="1">
        <v>2.1</v>
      </c>
      <c r="G273" s="23" t="b">
        <f>if(countif(Status!C:C,A273)=1,TRUE, FALSE)</f>
        <v>0</v>
      </c>
    </row>
    <row r="274">
      <c r="A274" s="23" t="str">
        <f>'2.1.raw'!I273</f>
        <v/>
      </c>
      <c r="B274" s="23" t="str">
        <f>'2.1.raw'!I274</f>
        <v/>
      </c>
      <c r="C274" s="24" t="str">
        <f>datevalue(left('2.1.raw'!K273,10))</f>
        <v>#VALUE!</v>
      </c>
      <c r="D274" s="23" t="str">
        <f>'2.1.raw'!H:H</f>
        <v/>
      </c>
      <c r="E274" s="1">
        <v>2.1</v>
      </c>
      <c r="G274" s="23" t="b">
        <f>if(countif(Status!C:C,A274)=1,TRUE, FALSE)</f>
        <v>0</v>
      </c>
    </row>
    <row r="275">
      <c r="A275" s="23" t="str">
        <f>'2.1.raw'!I274</f>
        <v/>
      </c>
      <c r="B275" s="23" t="str">
        <f>'2.1.raw'!I275</f>
        <v/>
      </c>
      <c r="C275" s="24" t="str">
        <f>datevalue(left('2.1.raw'!K274,10))</f>
        <v>#VALUE!</v>
      </c>
      <c r="D275" s="23" t="str">
        <f>'2.1.raw'!H:H</f>
        <v/>
      </c>
      <c r="E275" s="1">
        <v>2.1</v>
      </c>
      <c r="G275" s="23" t="b">
        <f>if(countif(Status!C:C,A275)=1,TRUE, FALSE)</f>
        <v>0</v>
      </c>
    </row>
    <row r="276">
      <c r="A276" s="23" t="str">
        <f>'2.1.raw'!I275</f>
        <v/>
      </c>
      <c r="B276" s="23" t="str">
        <f>'2.1.raw'!I276</f>
        <v/>
      </c>
      <c r="C276" s="24" t="str">
        <f>datevalue(left('2.1.raw'!K275,10))</f>
        <v>#VALUE!</v>
      </c>
      <c r="D276" s="23" t="str">
        <f>'2.1.raw'!H:H</f>
        <v/>
      </c>
      <c r="E276" s="1">
        <v>2.1</v>
      </c>
      <c r="G276" s="23" t="b">
        <f>if(countif(Status!C:C,A276)=1,TRUE, FALSE)</f>
        <v>0</v>
      </c>
    </row>
    <row r="277">
      <c r="A277" s="23" t="str">
        <f>'2.1.raw'!I276</f>
        <v/>
      </c>
      <c r="B277" s="23" t="str">
        <f>'2.1.raw'!I277</f>
        <v/>
      </c>
      <c r="C277" s="24" t="str">
        <f>datevalue(left('2.1.raw'!K276,10))</f>
        <v>#VALUE!</v>
      </c>
      <c r="D277" s="23" t="str">
        <f>'2.1.raw'!H:H</f>
        <v/>
      </c>
      <c r="E277" s="1">
        <v>2.1</v>
      </c>
      <c r="G277" s="23" t="b">
        <f>if(countif(Status!C:C,A277)=1,TRUE, FALSE)</f>
        <v>0</v>
      </c>
    </row>
    <row r="278">
      <c r="A278" s="23" t="str">
        <f>'2.1.raw'!I277</f>
        <v/>
      </c>
      <c r="B278" s="23" t="str">
        <f>'2.1.raw'!I278</f>
        <v/>
      </c>
      <c r="C278" s="24" t="str">
        <f>datevalue(left('2.1.raw'!K277,10))</f>
        <v>#VALUE!</v>
      </c>
      <c r="D278" s="23" t="str">
        <f>'2.1.raw'!H:H</f>
        <v/>
      </c>
      <c r="E278" s="1">
        <v>2.1</v>
      </c>
      <c r="G278" s="23" t="b">
        <f>if(countif(Status!C:C,A278)=1,TRUE, FALSE)</f>
        <v>0</v>
      </c>
    </row>
    <row r="279">
      <c r="A279" s="23" t="str">
        <f>'2.1.raw'!I278</f>
        <v/>
      </c>
      <c r="B279" s="23" t="str">
        <f>'2.1.raw'!I279</f>
        <v/>
      </c>
      <c r="C279" s="24" t="str">
        <f>datevalue(left('2.1.raw'!K278,10))</f>
        <v>#VALUE!</v>
      </c>
      <c r="D279" s="23" t="str">
        <f>'2.1.raw'!H:H</f>
        <v/>
      </c>
      <c r="E279" s="1">
        <v>2.1</v>
      </c>
      <c r="G279" s="23" t="b">
        <f>if(countif(Status!C:C,A279)=1,TRUE, FALSE)</f>
        <v>0</v>
      </c>
    </row>
    <row r="280">
      <c r="A280" s="23" t="str">
        <f>'2.1.raw'!I279</f>
        <v/>
      </c>
      <c r="B280" s="23" t="str">
        <f>'2.1.raw'!I280</f>
        <v/>
      </c>
      <c r="C280" s="24" t="str">
        <f>datevalue(left('2.1.raw'!K279,10))</f>
        <v>#VALUE!</v>
      </c>
      <c r="D280" s="23" t="str">
        <f>'2.1.raw'!H:H</f>
        <v/>
      </c>
      <c r="E280" s="1">
        <v>2.1</v>
      </c>
      <c r="G280" s="23" t="b">
        <f>if(countif(Status!C:C,A280)=1,TRUE, FALSE)</f>
        <v>0</v>
      </c>
    </row>
    <row r="281">
      <c r="A281" s="23" t="str">
        <f>'2.1.raw'!I280</f>
        <v/>
      </c>
      <c r="B281" s="23" t="str">
        <f>'2.1.raw'!I281</f>
        <v/>
      </c>
      <c r="C281" s="24" t="str">
        <f>datevalue(left('2.1.raw'!K280,10))</f>
        <v>#VALUE!</v>
      </c>
      <c r="D281" s="23" t="str">
        <f>'2.1.raw'!H:H</f>
        <v/>
      </c>
      <c r="E281" s="1">
        <v>2.1</v>
      </c>
      <c r="G281" s="23" t="b">
        <f>if(countif(Status!C:C,A281)=1,TRUE, FALSE)</f>
        <v>0</v>
      </c>
    </row>
    <row r="282">
      <c r="A282" s="23" t="str">
        <f>'2.1.raw'!I281</f>
        <v/>
      </c>
      <c r="B282" s="23" t="str">
        <f>'2.1.raw'!I282</f>
        <v/>
      </c>
      <c r="C282" s="24" t="str">
        <f>datevalue(left('2.1.raw'!K281,10))</f>
        <v>#VALUE!</v>
      </c>
      <c r="D282" s="23" t="str">
        <f>'2.1.raw'!H:H</f>
        <v/>
      </c>
      <c r="E282" s="1">
        <v>2.1</v>
      </c>
      <c r="G282" s="23" t="b">
        <f>if(countif(Status!C:C,A282)=1,TRUE, FALSE)</f>
        <v>0</v>
      </c>
    </row>
    <row r="283">
      <c r="B283" s="23" t="str">
        <f>'2.1.raw'!I283</f>
        <v/>
      </c>
      <c r="C283" s="24"/>
    </row>
    <row r="284">
      <c r="C284" s="24"/>
    </row>
    <row r="285">
      <c r="C285" s="24"/>
    </row>
    <row r="286">
      <c r="C286" s="24"/>
    </row>
    <row r="287">
      <c r="C287" s="24"/>
    </row>
    <row r="288">
      <c r="C288" s="24"/>
    </row>
    <row r="289">
      <c r="C289" s="24"/>
    </row>
    <row r="290">
      <c r="C290" s="24"/>
    </row>
    <row r="291">
      <c r="C291" s="24"/>
    </row>
    <row r="292">
      <c r="C292" s="24"/>
    </row>
    <row r="293">
      <c r="C293" s="24"/>
    </row>
    <row r="294">
      <c r="C294" s="24"/>
    </row>
    <row r="295">
      <c r="C295" s="24"/>
    </row>
    <row r="296">
      <c r="C296" s="24"/>
    </row>
    <row r="297">
      <c r="C297" s="24"/>
    </row>
    <row r="298">
      <c r="C298" s="24"/>
    </row>
    <row r="299">
      <c r="C299" s="24"/>
    </row>
    <row r="300">
      <c r="C300" s="24"/>
    </row>
    <row r="301">
      <c r="C301" s="24"/>
    </row>
    <row r="302">
      <c r="C302" s="24"/>
    </row>
    <row r="303">
      <c r="C303" s="24"/>
    </row>
    <row r="304">
      <c r="C304" s="24"/>
    </row>
    <row r="305">
      <c r="C305" s="24"/>
    </row>
    <row r="306">
      <c r="C306" s="24"/>
    </row>
    <row r="307">
      <c r="C307" s="24"/>
    </row>
    <row r="308">
      <c r="C308" s="24"/>
    </row>
    <row r="309">
      <c r="C309" s="24"/>
    </row>
    <row r="310">
      <c r="C310" s="24"/>
    </row>
    <row r="311">
      <c r="C311" s="24"/>
    </row>
    <row r="312">
      <c r="C312" s="24"/>
    </row>
    <row r="313">
      <c r="C313" s="24"/>
    </row>
    <row r="314">
      <c r="C314" s="24"/>
    </row>
    <row r="315">
      <c r="C315" s="24"/>
    </row>
    <row r="316">
      <c r="C316" s="24"/>
    </row>
    <row r="317">
      <c r="C317" s="24"/>
    </row>
    <row r="318">
      <c r="C318" s="24"/>
    </row>
    <row r="319">
      <c r="C319" s="24"/>
    </row>
    <row r="320">
      <c r="C320" s="24"/>
    </row>
    <row r="321">
      <c r="C321" s="24"/>
    </row>
    <row r="322">
      <c r="C322" s="24"/>
    </row>
    <row r="323">
      <c r="C323" s="24"/>
    </row>
    <row r="324">
      <c r="C324" s="24"/>
    </row>
    <row r="325">
      <c r="C325" s="24"/>
    </row>
    <row r="326">
      <c r="C326" s="24"/>
    </row>
    <row r="327">
      <c r="C327" s="24"/>
    </row>
    <row r="328">
      <c r="C328" s="24"/>
    </row>
    <row r="329">
      <c r="C329" s="24"/>
    </row>
    <row r="330">
      <c r="C330" s="24"/>
    </row>
    <row r="331">
      <c r="C331" s="24"/>
    </row>
    <row r="332">
      <c r="C332" s="24"/>
    </row>
    <row r="333">
      <c r="C333" s="24"/>
    </row>
    <row r="334">
      <c r="C334" s="24"/>
    </row>
    <row r="335">
      <c r="C335" s="24"/>
    </row>
    <row r="336">
      <c r="C336" s="24"/>
    </row>
    <row r="337">
      <c r="C337" s="24"/>
    </row>
    <row r="338">
      <c r="C338" s="24"/>
    </row>
    <row r="339">
      <c r="C339" s="24"/>
    </row>
    <row r="340">
      <c r="C340" s="24"/>
    </row>
    <row r="341">
      <c r="C341" s="24"/>
    </row>
    <row r="342">
      <c r="C342" s="24"/>
    </row>
    <row r="343">
      <c r="C343" s="24"/>
    </row>
    <row r="344">
      <c r="C344" s="24"/>
    </row>
    <row r="345">
      <c r="C345" s="24"/>
    </row>
    <row r="346">
      <c r="C346" s="24"/>
    </row>
    <row r="347">
      <c r="C347" s="24"/>
    </row>
    <row r="348">
      <c r="C348" s="24"/>
    </row>
    <row r="349">
      <c r="C349" s="24"/>
    </row>
    <row r="350">
      <c r="C350" s="24"/>
    </row>
    <row r="351">
      <c r="C351" s="24"/>
    </row>
    <row r="352">
      <c r="C352" s="24"/>
    </row>
    <row r="353">
      <c r="C353" s="24"/>
    </row>
    <row r="354">
      <c r="C354" s="24"/>
    </row>
    <row r="355">
      <c r="C355" s="24"/>
    </row>
    <row r="356">
      <c r="C356" s="24"/>
    </row>
    <row r="357">
      <c r="C357" s="24"/>
    </row>
    <row r="358">
      <c r="C358" s="24"/>
    </row>
    <row r="359">
      <c r="C359" s="24"/>
    </row>
    <row r="360">
      <c r="C360" s="24"/>
    </row>
    <row r="361">
      <c r="C361" s="24"/>
    </row>
    <row r="362">
      <c r="C362" s="24"/>
    </row>
    <row r="363">
      <c r="C363" s="24"/>
    </row>
    <row r="364">
      <c r="C364" s="24"/>
    </row>
    <row r="365">
      <c r="C365" s="24"/>
    </row>
    <row r="366">
      <c r="C366" s="24"/>
    </row>
    <row r="367">
      <c r="C367" s="24"/>
    </row>
    <row r="368">
      <c r="C368" s="24"/>
    </row>
    <row r="369">
      <c r="C369" s="24"/>
    </row>
    <row r="370">
      <c r="C370" s="24"/>
    </row>
    <row r="371">
      <c r="C371" s="24"/>
    </row>
    <row r="372">
      <c r="C372" s="24"/>
    </row>
    <row r="373">
      <c r="C373" s="24"/>
    </row>
    <row r="374">
      <c r="C374" s="24"/>
    </row>
    <row r="375">
      <c r="C375" s="24"/>
    </row>
    <row r="376">
      <c r="C376" s="24"/>
    </row>
    <row r="377">
      <c r="C377" s="24"/>
    </row>
    <row r="378">
      <c r="C378" s="24"/>
    </row>
    <row r="379">
      <c r="C379" s="24"/>
    </row>
    <row r="380">
      <c r="C380" s="24"/>
    </row>
    <row r="381">
      <c r="C381" s="24"/>
    </row>
    <row r="382">
      <c r="C382" s="24"/>
    </row>
    <row r="383">
      <c r="C383" s="24"/>
    </row>
    <row r="384">
      <c r="C384" s="24"/>
    </row>
    <row r="385">
      <c r="C385" s="24"/>
    </row>
    <row r="386">
      <c r="C386" s="24"/>
    </row>
    <row r="387">
      <c r="C387" s="24"/>
    </row>
    <row r="388">
      <c r="C388" s="24"/>
    </row>
    <row r="389">
      <c r="C389" s="24"/>
    </row>
    <row r="390">
      <c r="C390" s="24"/>
    </row>
    <row r="391">
      <c r="C391" s="24"/>
    </row>
    <row r="392">
      <c r="C392" s="24"/>
    </row>
    <row r="393">
      <c r="C393" s="24"/>
    </row>
    <row r="394">
      <c r="C394" s="24"/>
    </row>
    <row r="395">
      <c r="C395" s="24"/>
    </row>
    <row r="396">
      <c r="C396" s="24"/>
    </row>
    <row r="397">
      <c r="C397" s="24"/>
    </row>
    <row r="398">
      <c r="C398" s="24"/>
    </row>
    <row r="399">
      <c r="C399" s="24"/>
    </row>
    <row r="400">
      <c r="C400" s="24"/>
    </row>
    <row r="401">
      <c r="C401" s="24"/>
    </row>
    <row r="402">
      <c r="C402" s="24"/>
    </row>
    <row r="403">
      <c r="C403" s="24"/>
    </row>
    <row r="404">
      <c r="C404" s="24"/>
    </row>
    <row r="405">
      <c r="C405" s="24"/>
    </row>
    <row r="406">
      <c r="C406" s="24"/>
    </row>
    <row r="407">
      <c r="C407" s="24"/>
    </row>
    <row r="408">
      <c r="C408" s="24"/>
    </row>
    <row r="409">
      <c r="C409" s="24"/>
    </row>
    <row r="410">
      <c r="C410" s="24"/>
    </row>
    <row r="411">
      <c r="C411" s="24"/>
    </row>
    <row r="412">
      <c r="C412" s="24"/>
    </row>
    <row r="413">
      <c r="C413" s="24"/>
    </row>
    <row r="414">
      <c r="C414" s="24"/>
    </row>
    <row r="415">
      <c r="C415" s="24"/>
    </row>
    <row r="416">
      <c r="C416" s="24"/>
    </row>
    <row r="417">
      <c r="C417" s="24"/>
    </row>
    <row r="418">
      <c r="C418" s="24"/>
    </row>
    <row r="419">
      <c r="C419" s="24"/>
    </row>
    <row r="420">
      <c r="C420" s="24"/>
    </row>
    <row r="421">
      <c r="C421" s="24"/>
    </row>
    <row r="422">
      <c r="C422" s="24"/>
    </row>
    <row r="423">
      <c r="C423" s="24"/>
    </row>
    <row r="424">
      <c r="C424" s="24"/>
    </row>
    <row r="425">
      <c r="C425" s="24"/>
    </row>
    <row r="426">
      <c r="C426" s="24"/>
    </row>
    <row r="427">
      <c r="C427" s="24"/>
    </row>
    <row r="428">
      <c r="C428" s="24"/>
    </row>
    <row r="429">
      <c r="C429" s="24"/>
    </row>
    <row r="430">
      <c r="C430" s="24"/>
    </row>
    <row r="431">
      <c r="C431" s="24"/>
    </row>
    <row r="432">
      <c r="C432" s="24"/>
    </row>
    <row r="433">
      <c r="C433" s="24"/>
    </row>
    <row r="434">
      <c r="C434" s="24"/>
    </row>
    <row r="435">
      <c r="C435" s="24"/>
    </row>
    <row r="436">
      <c r="C436" s="24"/>
    </row>
    <row r="437">
      <c r="C437" s="24"/>
    </row>
    <row r="438">
      <c r="C438" s="24"/>
    </row>
    <row r="439">
      <c r="C439" s="24"/>
    </row>
    <row r="440">
      <c r="C440" s="24"/>
    </row>
    <row r="441">
      <c r="C441" s="24"/>
    </row>
    <row r="442">
      <c r="C442" s="24"/>
    </row>
    <row r="443">
      <c r="C443" s="24"/>
    </row>
    <row r="444">
      <c r="C444" s="24"/>
    </row>
    <row r="445">
      <c r="C445" s="24"/>
    </row>
    <row r="446">
      <c r="C446" s="24"/>
    </row>
    <row r="447">
      <c r="C447" s="24"/>
    </row>
    <row r="448">
      <c r="C448" s="24"/>
    </row>
    <row r="449">
      <c r="C449" s="24"/>
    </row>
    <row r="450">
      <c r="C450" s="24"/>
    </row>
    <row r="451">
      <c r="C451" s="24"/>
    </row>
    <row r="452">
      <c r="C452" s="24"/>
    </row>
    <row r="453">
      <c r="C453" s="24"/>
    </row>
    <row r="454">
      <c r="C454" s="24"/>
    </row>
    <row r="455">
      <c r="C455" s="24"/>
    </row>
    <row r="456">
      <c r="C456" s="24"/>
    </row>
    <row r="457">
      <c r="C457" s="24"/>
    </row>
    <row r="458">
      <c r="C458" s="24"/>
    </row>
    <row r="459">
      <c r="C459" s="24"/>
    </row>
    <row r="460">
      <c r="C460" s="24"/>
    </row>
    <row r="461">
      <c r="C461" s="24"/>
    </row>
    <row r="462">
      <c r="C462" s="24"/>
    </row>
    <row r="463">
      <c r="C463" s="24"/>
    </row>
    <row r="464">
      <c r="C464" s="24"/>
    </row>
    <row r="465">
      <c r="C465" s="24"/>
    </row>
    <row r="466">
      <c r="C466" s="24"/>
    </row>
    <row r="467">
      <c r="C467" s="24"/>
    </row>
    <row r="468">
      <c r="C468" s="24"/>
    </row>
    <row r="469">
      <c r="C469" s="24"/>
    </row>
    <row r="470">
      <c r="C470" s="24"/>
    </row>
    <row r="471">
      <c r="C471" s="24"/>
    </row>
    <row r="472">
      <c r="C472" s="24"/>
    </row>
    <row r="473">
      <c r="C473" s="24"/>
    </row>
    <row r="474">
      <c r="C474" s="24"/>
    </row>
    <row r="475">
      <c r="C475" s="24"/>
    </row>
    <row r="476">
      <c r="C476" s="24"/>
    </row>
    <row r="477">
      <c r="C477" s="24"/>
    </row>
    <row r="478">
      <c r="C478" s="24"/>
    </row>
    <row r="479">
      <c r="C479" s="24"/>
    </row>
    <row r="480">
      <c r="C480" s="24"/>
    </row>
    <row r="481">
      <c r="C481" s="24"/>
    </row>
    <row r="482">
      <c r="C482" s="24"/>
    </row>
    <row r="483">
      <c r="C483" s="24"/>
    </row>
    <row r="484">
      <c r="C484" s="24"/>
    </row>
    <row r="485">
      <c r="C485" s="24"/>
    </row>
    <row r="486">
      <c r="C486" s="24"/>
    </row>
    <row r="487">
      <c r="C487" s="24"/>
    </row>
    <row r="488">
      <c r="C488" s="24"/>
    </row>
    <row r="489">
      <c r="C489" s="24"/>
    </row>
    <row r="490">
      <c r="C490" s="24"/>
    </row>
    <row r="491">
      <c r="C491" s="24"/>
    </row>
    <row r="492">
      <c r="C492" s="24"/>
    </row>
    <row r="493">
      <c r="C493" s="24"/>
    </row>
    <row r="494">
      <c r="C494" s="24"/>
    </row>
    <row r="495">
      <c r="C495" s="24"/>
    </row>
    <row r="496">
      <c r="C496" s="24"/>
    </row>
    <row r="497">
      <c r="C497" s="24"/>
    </row>
    <row r="498">
      <c r="C498" s="24"/>
    </row>
    <row r="499">
      <c r="C499" s="24"/>
    </row>
    <row r="500">
      <c r="C500" s="24"/>
    </row>
    <row r="501">
      <c r="C501" s="24"/>
    </row>
    <row r="502">
      <c r="C502" s="24"/>
    </row>
    <row r="503">
      <c r="C503" s="24"/>
    </row>
    <row r="504">
      <c r="C504" s="24"/>
    </row>
    <row r="505">
      <c r="C505" s="24"/>
    </row>
    <row r="506">
      <c r="C506" s="24"/>
    </row>
    <row r="507">
      <c r="C507" s="24"/>
    </row>
    <row r="508">
      <c r="C508" s="24"/>
    </row>
    <row r="509">
      <c r="C509" s="24"/>
    </row>
    <row r="510">
      <c r="C510" s="24"/>
    </row>
    <row r="511">
      <c r="C511" s="24"/>
    </row>
    <row r="512">
      <c r="C512" s="24"/>
    </row>
    <row r="513">
      <c r="C513" s="24"/>
    </row>
    <row r="514">
      <c r="C514" s="24"/>
    </row>
    <row r="515">
      <c r="C515" s="24"/>
    </row>
    <row r="516">
      <c r="C516" s="24"/>
    </row>
    <row r="517">
      <c r="C517" s="24"/>
    </row>
    <row r="518">
      <c r="C518" s="24"/>
    </row>
    <row r="519">
      <c r="C519" s="24"/>
    </row>
    <row r="520">
      <c r="C520" s="24"/>
    </row>
    <row r="521">
      <c r="C521" s="24"/>
    </row>
    <row r="522">
      <c r="C522" s="24"/>
    </row>
    <row r="523">
      <c r="C523" s="24"/>
    </row>
    <row r="524">
      <c r="C524" s="24"/>
    </row>
    <row r="525">
      <c r="C525" s="24"/>
    </row>
    <row r="526">
      <c r="C526" s="24"/>
    </row>
    <row r="527">
      <c r="C527" s="24"/>
    </row>
    <row r="528">
      <c r="C528" s="24"/>
    </row>
    <row r="529">
      <c r="C529" s="24"/>
    </row>
    <row r="530">
      <c r="C530" s="24"/>
    </row>
    <row r="531">
      <c r="C531" s="24"/>
    </row>
    <row r="532">
      <c r="C532" s="24"/>
    </row>
    <row r="533">
      <c r="C533" s="24"/>
    </row>
    <row r="534">
      <c r="C534" s="24"/>
    </row>
    <row r="535">
      <c r="C535" s="24"/>
    </row>
    <row r="536">
      <c r="C536" s="24"/>
    </row>
    <row r="537">
      <c r="C537" s="24"/>
    </row>
    <row r="538">
      <c r="C538" s="24"/>
    </row>
    <row r="539">
      <c r="C539" s="24"/>
    </row>
    <row r="540">
      <c r="C540" s="24"/>
    </row>
    <row r="541">
      <c r="C541" s="24"/>
    </row>
    <row r="542">
      <c r="C542" s="24"/>
    </row>
    <row r="543">
      <c r="C543" s="24"/>
    </row>
    <row r="544">
      <c r="C544" s="24"/>
    </row>
    <row r="545">
      <c r="C545" s="24"/>
    </row>
    <row r="546">
      <c r="C546" s="24"/>
    </row>
    <row r="547">
      <c r="C547" s="24"/>
    </row>
    <row r="548">
      <c r="C548" s="24"/>
    </row>
    <row r="549">
      <c r="C549" s="24"/>
    </row>
    <row r="550">
      <c r="C550" s="24"/>
    </row>
    <row r="551">
      <c r="C551" s="24"/>
    </row>
    <row r="552">
      <c r="C552" s="24"/>
    </row>
    <row r="553">
      <c r="C553" s="24"/>
    </row>
    <row r="554">
      <c r="C554" s="24"/>
    </row>
    <row r="555">
      <c r="C555" s="24"/>
    </row>
    <row r="556">
      <c r="C556" s="24"/>
    </row>
    <row r="557">
      <c r="C557" s="24"/>
    </row>
    <row r="558">
      <c r="C558" s="24"/>
    </row>
    <row r="559">
      <c r="C559" s="24"/>
    </row>
    <row r="560">
      <c r="C560" s="24"/>
    </row>
    <row r="561">
      <c r="C561" s="24"/>
    </row>
    <row r="562">
      <c r="C562" s="24"/>
    </row>
    <row r="563">
      <c r="C563" s="24"/>
    </row>
    <row r="564">
      <c r="C564" s="24"/>
    </row>
    <row r="565">
      <c r="C565" s="24"/>
    </row>
    <row r="566">
      <c r="C566" s="24"/>
    </row>
    <row r="567">
      <c r="C567" s="24"/>
    </row>
    <row r="568">
      <c r="C568" s="24"/>
    </row>
    <row r="569">
      <c r="C569" s="24"/>
    </row>
    <row r="570">
      <c r="C570" s="24"/>
    </row>
    <row r="571">
      <c r="C571" s="24"/>
    </row>
    <row r="572">
      <c r="C572" s="24"/>
    </row>
    <row r="573">
      <c r="C573" s="24"/>
    </row>
    <row r="574">
      <c r="C574" s="24"/>
    </row>
    <row r="575">
      <c r="C575" s="24"/>
    </row>
    <row r="576">
      <c r="C576" s="24"/>
    </row>
    <row r="577">
      <c r="C577" s="24"/>
    </row>
    <row r="578">
      <c r="C578" s="24"/>
    </row>
    <row r="579">
      <c r="C579" s="24"/>
    </row>
    <row r="580">
      <c r="C580" s="24"/>
    </row>
    <row r="581">
      <c r="C581" s="24"/>
    </row>
    <row r="582">
      <c r="C582" s="24"/>
    </row>
    <row r="583">
      <c r="C583" s="24"/>
    </row>
    <row r="584">
      <c r="C584" s="24"/>
    </row>
    <row r="585">
      <c r="C585" s="24"/>
    </row>
    <row r="586">
      <c r="C586" s="24"/>
    </row>
    <row r="587">
      <c r="C587" s="24"/>
    </row>
    <row r="588">
      <c r="C588" s="24"/>
    </row>
    <row r="589">
      <c r="C589" s="24"/>
    </row>
    <row r="590">
      <c r="C590" s="24"/>
    </row>
    <row r="591">
      <c r="C591" s="24"/>
    </row>
    <row r="592">
      <c r="C592" s="24"/>
    </row>
    <row r="593">
      <c r="C593" s="24"/>
    </row>
    <row r="594">
      <c r="C594" s="24"/>
    </row>
    <row r="595">
      <c r="C595" s="24"/>
    </row>
    <row r="596">
      <c r="C596" s="24"/>
    </row>
    <row r="597">
      <c r="C597" s="24"/>
    </row>
    <row r="598">
      <c r="C598" s="24"/>
    </row>
    <row r="599">
      <c r="C599" s="24"/>
    </row>
    <row r="600">
      <c r="C600" s="24"/>
    </row>
    <row r="601">
      <c r="C601" s="24"/>
    </row>
    <row r="602">
      <c r="C602" s="24"/>
    </row>
    <row r="603">
      <c r="C603" s="24"/>
    </row>
    <row r="604">
      <c r="C604" s="24"/>
    </row>
    <row r="605">
      <c r="C605" s="24"/>
    </row>
    <row r="606">
      <c r="C606" s="24"/>
    </row>
    <row r="607">
      <c r="C607" s="24"/>
    </row>
    <row r="608">
      <c r="C608" s="24"/>
    </row>
    <row r="609">
      <c r="C609" s="24"/>
    </row>
    <row r="610">
      <c r="C610" s="24"/>
    </row>
    <row r="611">
      <c r="C611" s="24"/>
    </row>
    <row r="612">
      <c r="C612" s="24"/>
    </row>
    <row r="613">
      <c r="C613" s="24"/>
    </row>
    <row r="614">
      <c r="C614" s="24"/>
    </row>
    <row r="615">
      <c r="C615" s="24"/>
    </row>
    <row r="616">
      <c r="C616" s="24"/>
    </row>
    <row r="617">
      <c r="C617" s="24"/>
    </row>
    <row r="618">
      <c r="C618" s="24"/>
    </row>
    <row r="619">
      <c r="C619" s="24"/>
    </row>
    <row r="620">
      <c r="C620" s="24"/>
    </row>
    <row r="621">
      <c r="C621" s="24"/>
    </row>
    <row r="622">
      <c r="C622" s="24"/>
    </row>
    <row r="623">
      <c r="C623" s="24"/>
    </row>
    <row r="624">
      <c r="C624" s="24"/>
    </row>
    <row r="625">
      <c r="C625" s="24"/>
    </row>
    <row r="626">
      <c r="C626" s="24"/>
    </row>
    <row r="627">
      <c r="C627" s="24"/>
    </row>
    <row r="628">
      <c r="C628" s="24"/>
    </row>
    <row r="629">
      <c r="C629" s="24"/>
    </row>
    <row r="630">
      <c r="C630" s="24"/>
    </row>
    <row r="631">
      <c r="C631" s="24"/>
    </row>
    <row r="632">
      <c r="C632" s="24"/>
    </row>
    <row r="633">
      <c r="C633" s="24"/>
    </row>
    <row r="634">
      <c r="C634" s="24"/>
    </row>
    <row r="635">
      <c r="C635" s="24"/>
    </row>
    <row r="636">
      <c r="C636" s="24"/>
    </row>
    <row r="637">
      <c r="C637" s="24"/>
    </row>
    <row r="638">
      <c r="C638" s="24"/>
    </row>
    <row r="639">
      <c r="C639" s="24"/>
    </row>
    <row r="640">
      <c r="C640" s="24"/>
    </row>
    <row r="641">
      <c r="C641" s="24"/>
    </row>
    <row r="642">
      <c r="C642" s="24"/>
    </row>
    <row r="643">
      <c r="C643" s="24"/>
    </row>
    <row r="644">
      <c r="C644" s="24"/>
    </row>
    <row r="645">
      <c r="C645" s="24"/>
    </row>
    <row r="646">
      <c r="C646" s="24"/>
    </row>
    <row r="647">
      <c r="C647" s="24"/>
    </row>
    <row r="648">
      <c r="C648" s="24"/>
    </row>
    <row r="649">
      <c r="C649" s="24"/>
    </row>
    <row r="650">
      <c r="C650" s="24"/>
    </row>
    <row r="651">
      <c r="C651" s="24"/>
    </row>
    <row r="652">
      <c r="C652" s="24"/>
    </row>
    <row r="653">
      <c r="C653" s="24"/>
    </row>
    <row r="654">
      <c r="C654" s="24"/>
    </row>
    <row r="655">
      <c r="C655" s="24"/>
    </row>
    <row r="656">
      <c r="C656" s="24"/>
    </row>
    <row r="657">
      <c r="C657" s="24"/>
    </row>
    <row r="658">
      <c r="C658" s="24"/>
    </row>
    <row r="659">
      <c r="C659" s="24"/>
    </row>
    <row r="660">
      <c r="C660" s="24"/>
    </row>
    <row r="661">
      <c r="C661" s="24"/>
    </row>
    <row r="662">
      <c r="C662" s="24"/>
    </row>
    <row r="663">
      <c r="C663" s="24"/>
    </row>
    <row r="664">
      <c r="C664" s="24"/>
    </row>
    <row r="665">
      <c r="C665" s="24"/>
    </row>
    <row r="666">
      <c r="C666" s="24"/>
    </row>
    <row r="667">
      <c r="C667" s="24"/>
    </row>
    <row r="668">
      <c r="C668" s="24"/>
    </row>
    <row r="669">
      <c r="C669" s="24"/>
    </row>
    <row r="670">
      <c r="C670" s="24"/>
    </row>
    <row r="671">
      <c r="C671" s="24"/>
    </row>
    <row r="672">
      <c r="C672" s="24"/>
    </row>
    <row r="673">
      <c r="C673" s="24"/>
    </row>
    <row r="674">
      <c r="C674" s="24"/>
    </row>
    <row r="675">
      <c r="C675" s="24"/>
    </row>
    <row r="676">
      <c r="C676" s="24"/>
    </row>
    <row r="677">
      <c r="C677" s="24"/>
    </row>
    <row r="678">
      <c r="C678" s="24"/>
    </row>
    <row r="679">
      <c r="C679" s="24"/>
    </row>
    <row r="680">
      <c r="C680" s="24"/>
    </row>
    <row r="681">
      <c r="C681" s="24"/>
    </row>
    <row r="682">
      <c r="C682" s="24"/>
    </row>
    <row r="683">
      <c r="C683" s="24"/>
    </row>
    <row r="684">
      <c r="C684" s="24"/>
    </row>
    <row r="685">
      <c r="C685" s="24"/>
    </row>
    <row r="686">
      <c r="C686" s="24"/>
    </row>
    <row r="687">
      <c r="C687" s="24"/>
    </row>
    <row r="688">
      <c r="C688" s="24"/>
    </row>
    <row r="689">
      <c r="C689" s="24"/>
    </row>
    <row r="690">
      <c r="C690" s="24"/>
    </row>
    <row r="691">
      <c r="C691" s="24"/>
    </row>
    <row r="692">
      <c r="C692" s="24"/>
    </row>
    <row r="693">
      <c r="C693" s="24"/>
    </row>
    <row r="694">
      <c r="C694" s="24"/>
    </row>
    <row r="695">
      <c r="C695" s="24"/>
    </row>
    <row r="696">
      <c r="C696" s="24"/>
    </row>
    <row r="697">
      <c r="C697" s="24"/>
    </row>
    <row r="698">
      <c r="C698" s="24"/>
    </row>
    <row r="699">
      <c r="C699" s="24"/>
    </row>
    <row r="700">
      <c r="C700" s="24"/>
    </row>
    <row r="701">
      <c r="C701" s="24"/>
    </row>
    <row r="702">
      <c r="C702" s="24"/>
    </row>
    <row r="703">
      <c r="C703" s="24"/>
    </row>
    <row r="704">
      <c r="C704" s="24"/>
    </row>
    <row r="705">
      <c r="C705" s="24"/>
    </row>
    <row r="706">
      <c r="C706" s="24"/>
    </row>
    <row r="707">
      <c r="C707" s="24"/>
    </row>
    <row r="708">
      <c r="C708" s="24"/>
    </row>
    <row r="709">
      <c r="C709" s="24"/>
    </row>
    <row r="710">
      <c r="C710" s="24"/>
    </row>
    <row r="711">
      <c r="C711" s="24"/>
    </row>
    <row r="712">
      <c r="C712" s="24"/>
    </row>
    <row r="713">
      <c r="C713" s="24"/>
    </row>
    <row r="714">
      <c r="C714" s="24"/>
    </row>
    <row r="715">
      <c r="C715" s="24"/>
    </row>
    <row r="716">
      <c r="C716" s="24"/>
    </row>
    <row r="717">
      <c r="C717" s="24"/>
    </row>
    <row r="718">
      <c r="C718" s="24"/>
    </row>
    <row r="719">
      <c r="C719" s="24"/>
    </row>
    <row r="720">
      <c r="C720" s="24"/>
    </row>
    <row r="721">
      <c r="C721" s="24"/>
    </row>
    <row r="722">
      <c r="C722" s="24"/>
    </row>
    <row r="723">
      <c r="C723" s="24"/>
    </row>
    <row r="724">
      <c r="C724" s="24"/>
    </row>
    <row r="725">
      <c r="C725" s="24"/>
    </row>
    <row r="726">
      <c r="C726" s="24"/>
    </row>
    <row r="727">
      <c r="C727" s="24"/>
    </row>
    <row r="728">
      <c r="C728" s="24"/>
    </row>
    <row r="729">
      <c r="C729" s="24"/>
    </row>
    <row r="730">
      <c r="C730" s="24"/>
    </row>
    <row r="731">
      <c r="C731" s="24"/>
    </row>
    <row r="732">
      <c r="C732" s="24"/>
    </row>
    <row r="733">
      <c r="C733" s="24"/>
    </row>
    <row r="734">
      <c r="C734" s="24"/>
    </row>
    <row r="735">
      <c r="C735" s="24"/>
    </row>
    <row r="736">
      <c r="C736" s="24"/>
    </row>
    <row r="737">
      <c r="C737" s="24"/>
    </row>
    <row r="738">
      <c r="C738" s="24"/>
    </row>
    <row r="739">
      <c r="C739" s="24"/>
    </row>
    <row r="740">
      <c r="C740" s="24"/>
    </row>
    <row r="741">
      <c r="C741" s="24"/>
    </row>
    <row r="742">
      <c r="C742" s="24"/>
    </row>
    <row r="743">
      <c r="C743" s="24"/>
    </row>
    <row r="744">
      <c r="C744" s="24"/>
    </row>
    <row r="745">
      <c r="C745" s="24"/>
    </row>
    <row r="746">
      <c r="C746" s="24"/>
    </row>
    <row r="747">
      <c r="C747" s="24"/>
    </row>
    <row r="748">
      <c r="C748" s="24"/>
    </row>
    <row r="749">
      <c r="C749" s="24"/>
    </row>
    <row r="750">
      <c r="C750" s="24"/>
    </row>
    <row r="751">
      <c r="C751" s="24"/>
    </row>
    <row r="752">
      <c r="C752" s="24"/>
    </row>
    <row r="753">
      <c r="C753" s="24"/>
    </row>
    <row r="754">
      <c r="C754" s="24"/>
    </row>
    <row r="755">
      <c r="C755" s="24"/>
    </row>
    <row r="756">
      <c r="C756" s="24"/>
    </row>
    <row r="757">
      <c r="C757" s="24"/>
    </row>
    <row r="758">
      <c r="C758" s="24"/>
    </row>
    <row r="759">
      <c r="C759" s="24"/>
    </row>
    <row r="760">
      <c r="C760" s="24"/>
    </row>
    <row r="761">
      <c r="C761" s="24"/>
    </row>
    <row r="762">
      <c r="C762" s="24"/>
    </row>
    <row r="763">
      <c r="C763" s="24"/>
    </row>
    <row r="764">
      <c r="C764" s="24"/>
    </row>
    <row r="765">
      <c r="C765" s="24"/>
    </row>
    <row r="766">
      <c r="C766" s="24"/>
    </row>
    <row r="767">
      <c r="C767" s="24"/>
    </row>
    <row r="768">
      <c r="C768" s="24"/>
    </row>
    <row r="769">
      <c r="C769" s="24"/>
    </row>
    <row r="770">
      <c r="C770" s="24"/>
    </row>
    <row r="771">
      <c r="C771" s="24"/>
    </row>
    <row r="772">
      <c r="C772" s="24"/>
    </row>
    <row r="773">
      <c r="C773" s="24"/>
    </row>
    <row r="774">
      <c r="C774" s="24"/>
    </row>
    <row r="775">
      <c r="C775" s="24"/>
    </row>
    <row r="776">
      <c r="C776" s="24"/>
    </row>
    <row r="777">
      <c r="C777" s="24"/>
    </row>
    <row r="778">
      <c r="C778" s="24"/>
    </row>
    <row r="779">
      <c r="C779" s="24"/>
    </row>
    <row r="780">
      <c r="C780" s="24"/>
    </row>
    <row r="781">
      <c r="C781" s="24"/>
    </row>
    <row r="782">
      <c r="C782" s="24"/>
    </row>
    <row r="783">
      <c r="C783" s="24"/>
    </row>
    <row r="784">
      <c r="C784" s="24"/>
    </row>
    <row r="785">
      <c r="C785" s="24"/>
    </row>
    <row r="786">
      <c r="C786" s="24"/>
    </row>
    <row r="787">
      <c r="C787" s="24"/>
    </row>
    <row r="788">
      <c r="C788" s="24"/>
    </row>
    <row r="789">
      <c r="C789" s="24"/>
    </row>
    <row r="790">
      <c r="C790" s="24"/>
    </row>
    <row r="791">
      <c r="C791" s="24"/>
    </row>
    <row r="792">
      <c r="C792" s="24"/>
    </row>
    <row r="793">
      <c r="C793" s="24"/>
    </row>
    <row r="794">
      <c r="C794" s="24"/>
    </row>
    <row r="795">
      <c r="C795" s="24"/>
    </row>
    <row r="796">
      <c r="C796" s="24"/>
    </row>
    <row r="797">
      <c r="C797" s="24"/>
    </row>
    <row r="798">
      <c r="C798" s="24"/>
    </row>
    <row r="799">
      <c r="C799" s="24"/>
    </row>
    <row r="800">
      <c r="C800" s="24"/>
    </row>
    <row r="801">
      <c r="C801" s="24"/>
    </row>
    <row r="802">
      <c r="C802" s="24"/>
    </row>
    <row r="803">
      <c r="C803" s="24"/>
    </row>
    <row r="804">
      <c r="C804" s="24"/>
    </row>
    <row r="805">
      <c r="C805" s="24"/>
    </row>
    <row r="806">
      <c r="C806" s="24"/>
    </row>
    <row r="807">
      <c r="C807" s="24"/>
    </row>
    <row r="808">
      <c r="C808" s="24"/>
    </row>
    <row r="809">
      <c r="C809" s="24"/>
    </row>
    <row r="810">
      <c r="C810" s="24"/>
    </row>
    <row r="811">
      <c r="C811" s="24"/>
    </row>
    <row r="812">
      <c r="C812" s="24"/>
    </row>
    <row r="813">
      <c r="C813" s="24"/>
    </row>
    <row r="814">
      <c r="C814" s="24"/>
    </row>
    <row r="815">
      <c r="C815" s="24"/>
    </row>
    <row r="816">
      <c r="C816" s="24"/>
    </row>
    <row r="817">
      <c r="C817" s="24"/>
    </row>
    <row r="818">
      <c r="C818" s="24"/>
    </row>
    <row r="819">
      <c r="C819" s="24"/>
    </row>
    <row r="820">
      <c r="C820" s="24"/>
    </row>
    <row r="821">
      <c r="C821" s="24"/>
    </row>
    <row r="822">
      <c r="C822" s="24"/>
    </row>
    <row r="823">
      <c r="C823" s="24"/>
    </row>
    <row r="824">
      <c r="C824" s="24"/>
    </row>
    <row r="825">
      <c r="C825" s="24"/>
    </row>
    <row r="826">
      <c r="C826" s="24"/>
    </row>
    <row r="827">
      <c r="C827" s="24"/>
    </row>
    <row r="828">
      <c r="C828" s="24"/>
    </row>
    <row r="829">
      <c r="C829" s="24"/>
    </row>
    <row r="830">
      <c r="C830" s="24"/>
    </row>
    <row r="831">
      <c r="C831" s="24"/>
    </row>
    <row r="832">
      <c r="C832" s="24"/>
    </row>
    <row r="833">
      <c r="C833" s="24"/>
    </row>
    <row r="834">
      <c r="C834" s="24"/>
    </row>
    <row r="835">
      <c r="C835" s="24"/>
    </row>
    <row r="836">
      <c r="C836" s="24"/>
    </row>
    <row r="837">
      <c r="C837" s="24"/>
    </row>
    <row r="838">
      <c r="C838" s="24"/>
    </row>
    <row r="839">
      <c r="C839" s="24"/>
    </row>
    <row r="840">
      <c r="C840" s="24"/>
    </row>
    <row r="841">
      <c r="C841" s="24"/>
    </row>
    <row r="842">
      <c r="C842" s="24"/>
    </row>
    <row r="843">
      <c r="C843" s="24"/>
    </row>
    <row r="844">
      <c r="C844" s="24"/>
    </row>
    <row r="845">
      <c r="C845" s="24"/>
    </row>
    <row r="846">
      <c r="C846" s="24"/>
    </row>
    <row r="847">
      <c r="C847" s="24"/>
    </row>
    <row r="848">
      <c r="C848" s="24"/>
    </row>
    <row r="849">
      <c r="C849" s="24"/>
    </row>
    <row r="850">
      <c r="C850" s="24"/>
    </row>
    <row r="851">
      <c r="C851" s="24"/>
    </row>
    <row r="852">
      <c r="C852" s="24"/>
    </row>
    <row r="853">
      <c r="C853" s="24"/>
    </row>
    <row r="854">
      <c r="C854" s="24"/>
    </row>
    <row r="855">
      <c r="C855" s="24"/>
    </row>
    <row r="856">
      <c r="C856" s="24"/>
    </row>
    <row r="857">
      <c r="C857" s="24"/>
    </row>
    <row r="858">
      <c r="C858" s="24"/>
    </row>
    <row r="859">
      <c r="C859" s="24"/>
    </row>
    <row r="860">
      <c r="C860" s="24"/>
    </row>
    <row r="861">
      <c r="C861" s="24"/>
    </row>
    <row r="862">
      <c r="C862" s="24"/>
    </row>
    <row r="863">
      <c r="C863" s="24"/>
    </row>
    <row r="864">
      <c r="C864" s="24"/>
    </row>
    <row r="865">
      <c r="C865" s="24"/>
    </row>
    <row r="866">
      <c r="C866" s="24"/>
    </row>
    <row r="867">
      <c r="C867" s="24"/>
    </row>
    <row r="868">
      <c r="C868" s="24"/>
    </row>
    <row r="869">
      <c r="C869" s="24"/>
    </row>
    <row r="870">
      <c r="C870" s="24"/>
    </row>
    <row r="871">
      <c r="C871" s="24"/>
    </row>
    <row r="872">
      <c r="C872" s="24"/>
    </row>
    <row r="873">
      <c r="C873" s="24"/>
    </row>
    <row r="874">
      <c r="C874" s="24"/>
    </row>
    <row r="875">
      <c r="C875" s="24"/>
    </row>
    <row r="876">
      <c r="C876" s="24"/>
    </row>
    <row r="877">
      <c r="C877" s="24"/>
    </row>
    <row r="878">
      <c r="C878" s="24"/>
    </row>
    <row r="879">
      <c r="C879" s="24"/>
    </row>
    <row r="880">
      <c r="C880" s="24"/>
    </row>
    <row r="881">
      <c r="C881" s="24"/>
    </row>
    <row r="882">
      <c r="C882" s="24"/>
    </row>
    <row r="883">
      <c r="C883" s="24"/>
    </row>
    <row r="884">
      <c r="C884" s="24"/>
    </row>
    <row r="885">
      <c r="C885" s="24"/>
    </row>
    <row r="886">
      <c r="C886" s="24"/>
    </row>
    <row r="887">
      <c r="C887" s="24"/>
    </row>
    <row r="888">
      <c r="C888" s="24"/>
    </row>
    <row r="889">
      <c r="C889" s="24"/>
    </row>
    <row r="890">
      <c r="C890" s="24"/>
    </row>
    <row r="891">
      <c r="C891" s="24"/>
    </row>
    <row r="892">
      <c r="C892" s="24"/>
    </row>
    <row r="893">
      <c r="C893" s="24"/>
    </row>
    <row r="894">
      <c r="C894" s="24"/>
    </row>
    <row r="895">
      <c r="C895" s="24"/>
    </row>
    <row r="896">
      <c r="C896" s="24"/>
    </row>
    <row r="897">
      <c r="C897" s="24"/>
    </row>
    <row r="898">
      <c r="C898" s="24"/>
    </row>
    <row r="899">
      <c r="C899" s="24"/>
    </row>
    <row r="900">
      <c r="C900" s="24"/>
    </row>
    <row r="901">
      <c r="C901" s="24"/>
    </row>
    <row r="902">
      <c r="C902" s="24"/>
    </row>
    <row r="903">
      <c r="C903" s="24"/>
    </row>
    <row r="904">
      <c r="C904" s="24"/>
    </row>
    <row r="905">
      <c r="C905" s="24"/>
    </row>
    <row r="906">
      <c r="C906" s="24"/>
    </row>
    <row r="907">
      <c r="C907" s="24"/>
    </row>
    <row r="908">
      <c r="C908" s="24"/>
    </row>
    <row r="909">
      <c r="C909" s="24"/>
    </row>
    <row r="910">
      <c r="C910" s="24"/>
    </row>
    <row r="911">
      <c r="C911" s="24"/>
    </row>
    <row r="912">
      <c r="C912" s="24"/>
    </row>
    <row r="913">
      <c r="C913" s="24"/>
    </row>
    <row r="914">
      <c r="C914" s="24"/>
    </row>
    <row r="915">
      <c r="C915" s="24"/>
    </row>
    <row r="916">
      <c r="C916" s="24"/>
    </row>
    <row r="917">
      <c r="C917" s="24"/>
    </row>
    <row r="918">
      <c r="C918" s="24"/>
    </row>
    <row r="919">
      <c r="C919" s="24"/>
    </row>
    <row r="920">
      <c r="C920" s="24"/>
    </row>
    <row r="921">
      <c r="C921" s="24"/>
    </row>
    <row r="922">
      <c r="C922" s="24"/>
    </row>
    <row r="923">
      <c r="C923" s="24"/>
    </row>
    <row r="924">
      <c r="C924" s="24"/>
    </row>
    <row r="925">
      <c r="C925" s="24"/>
    </row>
    <row r="926">
      <c r="C926" s="24"/>
    </row>
    <row r="927">
      <c r="C927" s="24"/>
    </row>
    <row r="928">
      <c r="C928" s="24"/>
    </row>
    <row r="929">
      <c r="C929" s="24"/>
    </row>
    <row r="930">
      <c r="C930" s="24"/>
    </row>
    <row r="931">
      <c r="C931" s="24"/>
    </row>
    <row r="932">
      <c r="C932" s="24"/>
    </row>
    <row r="933">
      <c r="C933" s="24"/>
    </row>
    <row r="934">
      <c r="C934" s="24"/>
    </row>
    <row r="935">
      <c r="C935" s="24"/>
    </row>
    <row r="936">
      <c r="C936" s="24"/>
    </row>
    <row r="937">
      <c r="C937" s="24"/>
    </row>
    <row r="938">
      <c r="C938" s="24"/>
    </row>
    <row r="939">
      <c r="C939" s="24"/>
    </row>
    <row r="940">
      <c r="C940" s="24"/>
    </row>
    <row r="941">
      <c r="C941" s="24"/>
    </row>
    <row r="942">
      <c r="C942" s="24"/>
    </row>
    <row r="943">
      <c r="C943" s="24"/>
    </row>
    <row r="944">
      <c r="C944" s="24"/>
    </row>
    <row r="945">
      <c r="C945" s="24"/>
    </row>
    <row r="946">
      <c r="C946" s="24"/>
    </row>
    <row r="947">
      <c r="C947" s="24"/>
    </row>
    <row r="948">
      <c r="C948" s="24"/>
    </row>
    <row r="949">
      <c r="C949" s="24"/>
    </row>
    <row r="950">
      <c r="C950" s="24"/>
    </row>
    <row r="951">
      <c r="C951" s="24"/>
    </row>
    <row r="952">
      <c r="C952" s="24"/>
    </row>
    <row r="953">
      <c r="C953" s="24"/>
    </row>
    <row r="954">
      <c r="C954" s="24"/>
    </row>
    <row r="955">
      <c r="C955" s="24"/>
    </row>
    <row r="956">
      <c r="C956" s="24"/>
    </row>
    <row r="957">
      <c r="C957" s="24"/>
    </row>
    <row r="958">
      <c r="C958" s="24"/>
    </row>
    <row r="959">
      <c r="C959" s="24"/>
    </row>
    <row r="960">
      <c r="C960" s="24"/>
    </row>
    <row r="961">
      <c r="C961" s="24"/>
    </row>
    <row r="962">
      <c r="C962" s="24"/>
    </row>
    <row r="963">
      <c r="C963" s="24"/>
    </row>
    <row r="964">
      <c r="C964" s="24"/>
    </row>
    <row r="965">
      <c r="C965" s="24"/>
    </row>
    <row r="966">
      <c r="C966" s="24"/>
    </row>
    <row r="967">
      <c r="C967" s="24"/>
    </row>
    <row r="968">
      <c r="C968" s="24"/>
    </row>
    <row r="969">
      <c r="C969" s="24"/>
    </row>
    <row r="970">
      <c r="C970" s="24"/>
    </row>
    <row r="971">
      <c r="C971" s="24"/>
    </row>
    <row r="972">
      <c r="C972" s="24"/>
    </row>
    <row r="973">
      <c r="C973" s="24"/>
    </row>
    <row r="974">
      <c r="C974" s="24"/>
    </row>
    <row r="975">
      <c r="C975" s="24"/>
    </row>
    <row r="976">
      <c r="C976" s="24"/>
    </row>
    <row r="977">
      <c r="C977" s="24"/>
    </row>
    <row r="978">
      <c r="C978" s="24"/>
    </row>
    <row r="979">
      <c r="C979" s="24"/>
    </row>
    <row r="980">
      <c r="C980" s="24"/>
    </row>
    <row r="981">
      <c r="C981" s="24"/>
    </row>
    <row r="982">
      <c r="C982" s="24"/>
    </row>
    <row r="983">
      <c r="C983" s="24"/>
    </row>
    <row r="984">
      <c r="C984" s="24"/>
    </row>
    <row r="985">
      <c r="C985" s="24"/>
    </row>
    <row r="986">
      <c r="C986" s="24"/>
    </row>
    <row r="987">
      <c r="C987" s="24"/>
    </row>
    <row r="988">
      <c r="C988" s="24"/>
    </row>
    <row r="989">
      <c r="C989" s="24"/>
    </row>
    <row r="990">
      <c r="C990" s="24"/>
    </row>
    <row r="991">
      <c r="C991" s="24"/>
    </row>
    <row r="992">
      <c r="C992" s="24"/>
    </row>
    <row r="993">
      <c r="C993" s="24"/>
    </row>
    <row r="994">
      <c r="C994" s="24"/>
    </row>
    <row r="995">
      <c r="C995" s="24"/>
    </row>
    <row r="996">
      <c r="C996" s="24"/>
    </row>
    <row r="997">
      <c r="C997" s="24"/>
    </row>
    <row r="998">
      <c r="C998" s="24"/>
    </row>
    <row r="999">
      <c r="C999" s="24"/>
    </row>
    <row r="1000">
      <c r="C1000" s="24"/>
    </row>
    <row r="1001">
      <c r="C1001" s="2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4.43" defaultRowHeight="15.75"/>
  <cols>
    <col customWidth="1" min="1" max="1" width="28.29"/>
    <col customWidth="1" min="8" max="8" width="17.57"/>
  </cols>
  <sheetData>
    <row r="1">
      <c r="A1" s="1" t="s">
        <v>523</v>
      </c>
      <c r="B1" s="1" t="s">
        <v>524</v>
      </c>
      <c r="C1" s="1" t="s">
        <v>525</v>
      </c>
      <c r="D1" s="1" t="s">
        <v>368</v>
      </c>
      <c r="E1" s="1" t="s">
        <v>96</v>
      </c>
      <c r="F1" s="1" t="s">
        <v>526</v>
      </c>
      <c r="G1" s="1" t="s">
        <v>370</v>
      </c>
      <c r="H1" s="1" t="s">
        <v>372</v>
      </c>
    </row>
    <row r="2">
      <c r="A2" s="50" t="s">
        <v>527</v>
      </c>
      <c r="B2" s="52">
        <v>1052.0</v>
      </c>
      <c r="C2" s="50" t="str">
        <f t="shared" ref="C2:C33" si="1">left(D2,3)</f>
        <v>FPd</v>
      </c>
      <c r="D2" s="52" t="s">
        <v>528</v>
      </c>
      <c r="E2" s="24">
        <f t="shared" ref="E2:E69" si="2">datevalue(left(A2,10))</f>
        <v>43796</v>
      </c>
      <c r="F2" s="1">
        <f>IFERROR(__xludf.DUMMYFUNCTION("filter(Legend!$B$19:$B$31,C2=Legend!$D$19:$D$31)"),144.0)</f>
        <v>144</v>
      </c>
      <c r="G2" s="1">
        <v>2.2</v>
      </c>
      <c r="H2" s="23" t="b">
        <f>if(countif(Status!C:C,D2)=1,TRUE, FALSE)</f>
        <v>1</v>
      </c>
    </row>
    <row r="3">
      <c r="A3" s="50" t="s">
        <v>527</v>
      </c>
      <c r="B3" s="52">
        <v>1052.0</v>
      </c>
      <c r="C3" s="50" t="str">
        <f t="shared" si="1"/>
        <v>FPb</v>
      </c>
      <c r="D3" s="52" t="s">
        <v>530</v>
      </c>
      <c r="E3" s="24">
        <f t="shared" si="2"/>
        <v>43796</v>
      </c>
      <c r="F3" s="1">
        <f>IFERROR(__xludf.DUMMYFUNCTION("filter(Legend!$B$19:$B$31,C3=Legend!$D$19:$D$31)"),142.0)</f>
        <v>142</v>
      </c>
      <c r="G3" s="1">
        <v>2.2</v>
      </c>
      <c r="H3" s="23" t="b">
        <f>if(countif(Status!C:C,D3)=1,TRUE, FALSE)</f>
        <v>1</v>
      </c>
    </row>
    <row r="4">
      <c r="A4" s="50" t="s">
        <v>527</v>
      </c>
      <c r="B4" s="52">
        <v>1052.0</v>
      </c>
      <c r="C4" s="50" t="str">
        <f t="shared" si="1"/>
        <v>FPa</v>
      </c>
      <c r="D4" s="52" t="s">
        <v>532</v>
      </c>
      <c r="E4" s="24">
        <f t="shared" si="2"/>
        <v>43796</v>
      </c>
      <c r="F4" s="1">
        <f>IFERROR(__xludf.DUMMYFUNCTION("filter(Legend!$B$19:$B$31,C4=Legend!$D$19:$D$31)"),141.0)</f>
        <v>141</v>
      </c>
      <c r="G4" s="1">
        <v>2.2</v>
      </c>
      <c r="H4" s="23" t="b">
        <f>if(countif(Status!C:C,D4)=1,TRUE, FALSE)</f>
        <v>1</v>
      </c>
    </row>
    <row r="5">
      <c r="A5" s="50" t="s">
        <v>527</v>
      </c>
      <c r="B5" s="52">
        <v>1052.0</v>
      </c>
      <c r="C5" s="50" t="str">
        <f t="shared" si="1"/>
        <v>FPc</v>
      </c>
      <c r="D5" s="52" t="s">
        <v>533</v>
      </c>
      <c r="E5" s="24">
        <f t="shared" si="2"/>
        <v>43796</v>
      </c>
      <c r="F5" s="1">
        <f>IFERROR(__xludf.DUMMYFUNCTION("filter(Legend!$B$19:$B$31,C5=Legend!$D$19:$D$31)"),143.0)</f>
        <v>143</v>
      </c>
      <c r="G5" s="1">
        <v>2.2</v>
      </c>
      <c r="H5" s="23" t="b">
        <f>if(countif(Status!C:C,D5)=1,TRUE, FALSE)</f>
        <v>1</v>
      </c>
    </row>
    <row r="6">
      <c r="A6" s="50" t="s">
        <v>527</v>
      </c>
      <c r="B6" s="52">
        <v>1052.0</v>
      </c>
      <c r="C6" s="50" t="str">
        <f t="shared" si="1"/>
        <v>FPe</v>
      </c>
      <c r="D6" s="52" t="s">
        <v>535</v>
      </c>
      <c r="E6" s="24">
        <f t="shared" si="2"/>
        <v>43796</v>
      </c>
      <c r="F6" s="1">
        <f>IFERROR(__xludf.DUMMYFUNCTION("filter(Legend!$B$19:$B$31,C6=Legend!$D$19:$D$31)"),145.0)</f>
        <v>145</v>
      </c>
      <c r="G6" s="1">
        <v>2.2</v>
      </c>
      <c r="H6" s="23" t="b">
        <f>if(countif(Status!C:C,D6)=1,TRUE, FALSE)</f>
        <v>1</v>
      </c>
    </row>
    <row r="7">
      <c r="A7" s="50" t="s">
        <v>536</v>
      </c>
      <c r="B7" s="50">
        <v>1058.0</v>
      </c>
      <c r="C7" s="50" t="str">
        <f t="shared" si="1"/>
        <v>FPa</v>
      </c>
      <c r="D7" s="50" t="s">
        <v>537</v>
      </c>
      <c r="E7" s="24">
        <f t="shared" si="2"/>
        <v>43698</v>
      </c>
      <c r="F7" s="1">
        <f>IFERROR(__xludf.DUMMYFUNCTION("filter(Legend!$B$19:$B$31,C7=Legend!$D$19:$D$31)"),141.0)</f>
        <v>141</v>
      </c>
      <c r="G7" s="1">
        <v>2.2</v>
      </c>
      <c r="H7" s="23" t="b">
        <f>if(countif(Status!C:C,D7)=1,TRUE, FALSE)</f>
        <v>1</v>
      </c>
    </row>
    <row r="8">
      <c r="A8" s="50" t="s">
        <v>538</v>
      </c>
      <c r="B8" s="50">
        <v>1058.0</v>
      </c>
      <c r="C8" s="50" t="str">
        <f t="shared" si="1"/>
        <v>FPb</v>
      </c>
      <c r="D8" s="50" t="s">
        <v>539</v>
      </c>
      <c r="E8" s="24">
        <f t="shared" si="2"/>
        <v>43698</v>
      </c>
      <c r="F8" s="1">
        <f>IFERROR(__xludf.DUMMYFUNCTION("filter(Legend!$B$19:$B$31,C8=Legend!$D$19:$D$31)"),142.0)</f>
        <v>142</v>
      </c>
      <c r="G8" s="1">
        <v>2.2</v>
      </c>
      <c r="H8" s="23" t="b">
        <f>if(countif(Status!C:C,D8)=1,TRUE, FALSE)</f>
        <v>1</v>
      </c>
      <c r="I8" s="50"/>
      <c r="J8" s="50"/>
      <c r="K8" s="50"/>
    </row>
    <row r="9">
      <c r="A9" s="50" t="s">
        <v>541</v>
      </c>
      <c r="B9" s="50">
        <v>1058.0</v>
      </c>
      <c r="C9" s="50" t="str">
        <f t="shared" si="1"/>
        <v>FPc</v>
      </c>
      <c r="D9" s="50" t="s">
        <v>543</v>
      </c>
      <c r="E9" s="24">
        <f t="shared" si="2"/>
        <v>43698</v>
      </c>
      <c r="F9" s="1">
        <f>IFERROR(__xludf.DUMMYFUNCTION("filter(Legend!$B$19:$B$31,C9=Legend!$D$19:$D$31)"),143.0)</f>
        <v>143</v>
      </c>
      <c r="G9" s="1">
        <v>2.2</v>
      </c>
      <c r="H9" s="23" t="b">
        <f>if(countif(Status!C:C,D9)=1,TRUE, FALSE)</f>
        <v>1</v>
      </c>
    </row>
    <row r="10">
      <c r="A10" s="50" t="s">
        <v>544</v>
      </c>
      <c r="B10" s="50">
        <v>1058.0</v>
      </c>
      <c r="C10" s="50" t="str">
        <f t="shared" si="1"/>
        <v>FPd</v>
      </c>
      <c r="D10" s="50" t="s">
        <v>545</v>
      </c>
      <c r="E10" s="24">
        <f t="shared" si="2"/>
        <v>43698</v>
      </c>
      <c r="F10" s="1">
        <f>IFERROR(__xludf.DUMMYFUNCTION("filter(Legend!$B$19:$B$31,C10=Legend!$D$19:$D$31)"),144.0)</f>
        <v>144</v>
      </c>
      <c r="G10" s="1">
        <v>2.2</v>
      </c>
      <c r="H10" s="23" t="b">
        <f>if(countif(Status!C:C,D10)=1,TRUE, FALSE)</f>
        <v>1</v>
      </c>
    </row>
    <row r="11">
      <c r="A11" s="50" t="s">
        <v>547</v>
      </c>
      <c r="B11" s="50">
        <v>1058.0</v>
      </c>
      <c r="C11" s="50" t="str">
        <f t="shared" si="1"/>
        <v>FPe</v>
      </c>
      <c r="D11" s="50" t="s">
        <v>548</v>
      </c>
      <c r="E11" s="24">
        <f t="shared" si="2"/>
        <v>43698</v>
      </c>
      <c r="F11" s="1">
        <f>IFERROR(__xludf.DUMMYFUNCTION("filter(Legend!$B$19:$B$31,C11=Legend!$D$19:$D$31)"),145.0)</f>
        <v>145</v>
      </c>
      <c r="G11" s="1">
        <v>2.2</v>
      </c>
      <c r="H11" s="23" t="b">
        <f>if(countif(Status!C:C,D11)=1,TRUE, FALSE)</f>
        <v>1</v>
      </c>
    </row>
    <row r="12">
      <c r="A12" s="70" t="s">
        <v>549</v>
      </c>
      <c r="B12" s="71">
        <v>1035.0</v>
      </c>
      <c r="C12" s="50" t="str">
        <f t="shared" si="1"/>
        <v>COa</v>
      </c>
      <c r="D12" s="70" t="s">
        <v>551</v>
      </c>
      <c r="E12" s="24">
        <f t="shared" si="2"/>
        <v>43699</v>
      </c>
      <c r="F12" s="1">
        <f>IFERROR(__xludf.DUMMYFUNCTION("filter(Legend!$B$19:$B$31,C12=Legend!$D$19:$D$31)"),151.0)</f>
        <v>151</v>
      </c>
      <c r="G12" s="1">
        <v>2.2</v>
      </c>
      <c r="H12" s="23" t="b">
        <f>if(countif(Status!C:C,D12)=1,TRUE, FALSE)</f>
        <v>1</v>
      </c>
    </row>
    <row r="13">
      <c r="A13" s="70" t="s">
        <v>552</v>
      </c>
      <c r="B13" s="71">
        <v>1067.0</v>
      </c>
      <c r="C13" s="50" t="str">
        <f t="shared" si="1"/>
        <v>COa</v>
      </c>
      <c r="D13" s="70" t="s">
        <v>553</v>
      </c>
      <c r="E13" s="24">
        <f t="shared" si="2"/>
        <v>43699</v>
      </c>
      <c r="F13" s="1">
        <f>IFERROR(__xludf.DUMMYFUNCTION("filter(Legend!$B$19:$B$31,C13=Legend!$D$19:$D$31)"),151.0)</f>
        <v>151</v>
      </c>
      <c r="G13" s="1">
        <v>2.2</v>
      </c>
      <c r="H13" s="23" t="b">
        <f>if(countif(Status!C:C,D13)=1,TRUE, FALSE)</f>
        <v>1</v>
      </c>
    </row>
    <row r="14">
      <c r="A14" s="50" t="s">
        <v>555</v>
      </c>
      <c r="B14" s="50">
        <v>1035.0</v>
      </c>
      <c r="C14" s="50" t="str">
        <f t="shared" si="1"/>
        <v>COb</v>
      </c>
      <c r="D14" s="50" t="s">
        <v>556</v>
      </c>
      <c r="E14" s="24">
        <f t="shared" si="2"/>
        <v>43699</v>
      </c>
      <c r="F14" s="1">
        <f>IFERROR(__xludf.DUMMYFUNCTION("filter(Legend!$B$19:$B$31,C14=Legend!$D$19:$D$31)"),152.0)</f>
        <v>152</v>
      </c>
      <c r="G14" s="1">
        <v>2.2</v>
      </c>
      <c r="H14" s="23" t="b">
        <f>if(countif(Status!C:C,D14)=1,TRUE, FALSE)</f>
        <v>1</v>
      </c>
    </row>
    <row r="15">
      <c r="A15" s="50" t="s">
        <v>557</v>
      </c>
      <c r="B15" s="50">
        <v>1035.0</v>
      </c>
      <c r="C15" s="50" t="str">
        <f t="shared" si="1"/>
        <v>COb</v>
      </c>
      <c r="D15" s="50" t="s">
        <v>558</v>
      </c>
      <c r="E15" s="24">
        <f t="shared" si="2"/>
        <v>43699</v>
      </c>
      <c r="F15" s="1">
        <f>IFERROR(__xludf.DUMMYFUNCTION("filter(Legend!$B$19:$B$31,C15=Legend!$D$19:$D$31)"),152.0)</f>
        <v>152</v>
      </c>
      <c r="G15" s="1">
        <v>2.2</v>
      </c>
      <c r="H15" s="23" t="b">
        <f>if(countif(Status!C:C,D15)=1,TRUE, FALSE)</f>
        <v>1</v>
      </c>
    </row>
    <row r="16">
      <c r="A16" s="50" t="s">
        <v>560</v>
      </c>
      <c r="B16" s="50">
        <v>1035.0</v>
      </c>
      <c r="C16" s="50" t="str">
        <f t="shared" si="1"/>
        <v>COb</v>
      </c>
      <c r="D16" s="50" t="s">
        <v>215</v>
      </c>
      <c r="E16" s="24">
        <f t="shared" si="2"/>
        <v>43699</v>
      </c>
      <c r="F16" s="1">
        <f>IFERROR(__xludf.DUMMYFUNCTION("filter(Legend!$B$19:$B$31,C16=Legend!$D$19:$D$31)"),152.0)</f>
        <v>152</v>
      </c>
      <c r="G16" s="1">
        <v>2.2</v>
      </c>
      <c r="H16" s="23" t="b">
        <f>if(countif(Status!C:C,D16)=1,TRUE, FALSE)</f>
        <v>1</v>
      </c>
    </row>
    <row r="17">
      <c r="A17" s="50" t="s">
        <v>561</v>
      </c>
      <c r="B17" s="50">
        <v>1067.0</v>
      </c>
      <c r="C17" s="50" t="str">
        <f t="shared" si="1"/>
        <v>COb</v>
      </c>
      <c r="D17" s="50" t="s">
        <v>562</v>
      </c>
      <c r="E17" s="24">
        <f t="shared" si="2"/>
        <v>43699</v>
      </c>
      <c r="F17" s="1">
        <f>IFERROR(__xludf.DUMMYFUNCTION("filter(Legend!$B$19:$B$31,C17=Legend!$D$19:$D$31)"),152.0)</f>
        <v>152</v>
      </c>
      <c r="G17" s="1">
        <v>2.2</v>
      </c>
      <c r="H17" s="23" t="b">
        <f>if(countif(Status!C:C,D17)=1,TRUE, FALSE)</f>
        <v>1</v>
      </c>
    </row>
    <row r="18">
      <c r="A18" s="50" t="s">
        <v>563</v>
      </c>
      <c r="B18" s="50">
        <v>1067.0</v>
      </c>
      <c r="C18" s="50" t="str">
        <f t="shared" si="1"/>
        <v>COb</v>
      </c>
      <c r="D18" s="50" t="s">
        <v>565</v>
      </c>
      <c r="E18" s="24">
        <f t="shared" si="2"/>
        <v>43699</v>
      </c>
      <c r="F18" s="1">
        <f>IFERROR(__xludf.DUMMYFUNCTION("filter(Legend!$B$19:$B$31,C18=Legend!$D$19:$D$31)"),152.0)</f>
        <v>152</v>
      </c>
      <c r="G18" s="1">
        <v>2.2</v>
      </c>
      <c r="H18" s="23" t="b">
        <f>if(countif(Status!C:C,D18)=1,TRUE, FALSE)</f>
        <v>1</v>
      </c>
    </row>
    <row r="19">
      <c r="A19" s="50" t="s">
        <v>566</v>
      </c>
      <c r="B19" s="50">
        <v>1067.0</v>
      </c>
      <c r="C19" s="50" t="str">
        <f t="shared" si="1"/>
        <v>COb</v>
      </c>
      <c r="D19" s="50" t="s">
        <v>567</v>
      </c>
      <c r="E19" s="24">
        <f t="shared" si="2"/>
        <v>43699</v>
      </c>
      <c r="F19" s="1">
        <f>IFERROR(__xludf.DUMMYFUNCTION("filter(Legend!$B$19:$B$31,C19=Legend!$D$19:$D$31)"),152.0)</f>
        <v>152</v>
      </c>
      <c r="G19" s="1">
        <v>2.2</v>
      </c>
      <c r="H19" s="23" t="b">
        <f>if(countif(Status!C:C,D19)=1,TRUE, FALSE)</f>
        <v>1</v>
      </c>
    </row>
    <row r="20">
      <c r="A20" s="70" t="s">
        <v>568</v>
      </c>
      <c r="B20" s="71">
        <v>1007.0</v>
      </c>
      <c r="C20" s="50" t="str">
        <f t="shared" si="1"/>
        <v>COa</v>
      </c>
      <c r="D20" s="70" t="s">
        <v>216</v>
      </c>
      <c r="E20" s="24">
        <f t="shared" si="2"/>
        <v>43725</v>
      </c>
      <c r="F20" s="1">
        <f>IFERROR(__xludf.DUMMYFUNCTION("filter(Legend!$B$19:$B$31,C20=Legend!$D$19:$D$31)"),151.0)</f>
        <v>151</v>
      </c>
      <c r="G20" s="1">
        <v>2.2</v>
      </c>
      <c r="H20" s="23" t="b">
        <f>if(countif(Status!C:C,D20)=1,TRUE, FALSE)</f>
        <v>1</v>
      </c>
    </row>
    <row r="21">
      <c r="A21" s="50" t="s">
        <v>569</v>
      </c>
      <c r="B21" s="50">
        <v>1007.0</v>
      </c>
      <c r="C21" s="50" t="str">
        <f t="shared" si="1"/>
        <v>COb</v>
      </c>
      <c r="D21" s="70" t="s">
        <v>572</v>
      </c>
      <c r="E21" s="24">
        <f t="shared" si="2"/>
        <v>43725</v>
      </c>
      <c r="F21" s="1">
        <f>IFERROR(__xludf.DUMMYFUNCTION("filter(Legend!$B$19:$B$31,C21=Legend!$D$19:$D$31)"),152.0)</f>
        <v>152</v>
      </c>
      <c r="G21" s="1">
        <v>2.2</v>
      </c>
      <c r="H21" s="23" t="b">
        <f>if(countif(Status!C:C,D21)=1,TRUE, FALSE)</f>
        <v>1</v>
      </c>
    </row>
    <row r="22">
      <c r="A22" s="50" t="s">
        <v>569</v>
      </c>
      <c r="B22" s="50">
        <v>1007.0</v>
      </c>
      <c r="C22" s="50" t="str">
        <f t="shared" si="1"/>
        <v>COb</v>
      </c>
      <c r="D22" s="70" t="s">
        <v>573</v>
      </c>
      <c r="E22" s="24">
        <f t="shared" si="2"/>
        <v>43725</v>
      </c>
      <c r="F22" s="1">
        <f>IFERROR(__xludf.DUMMYFUNCTION("filter(Legend!$B$19:$B$31,C22=Legend!$D$19:$D$31)"),152.0)</f>
        <v>152</v>
      </c>
      <c r="G22" s="1">
        <v>2.2</v>
      </c>
      <c r="H22" s="23" t="b">
        <f>if(countif(Status!C:C,D22)=1,TRUE, FALSE)</f>
        <v>1</v>
      </c>
    </row>
    <row r="23">
      <c r="A23" s="50" t="s">
        <v>569</v>
      </c>
      <c r="B23" s="50">
        <v>1007.0</v>
      </c>
      <c r="C23" s="50" t="str">
        <f t="shared" si="1"/>
        <v>COb</v>
      </c>
      <c r="D23" s="70" t="s">
        <v>575</v>
      </c>
      <c r="E23" s="24">
        <f t="shared" si="2"/>
        <v>43725</v>
      </c>
      <c r="F23" s="1">
        <f>IFERROR(__xludf.DUMMYFUNCTION("filter(Legend!$B$19:$B$31,C23=Legend!$D$19:$D$31)"),152.0)</f>
        <v>152</v>
      </c>
      <c r="G23" s="1">
        <v>2.2</v>
      </c>
      <c r="H23" s="23" t="b">
        <f>if(countif(Status!C:C,D23)=1,TRUE, FALSE)</f>
        <v>1</v>
      </c>
    </row>
    <row r="24">
      <c r="A24" s="70" t="s">
        <v>577</v>
      </c>
      <c r="B24" s="71">
        <v>1039.0</v>
      </c>
      <c r="C24" s="50" t="str">
        <f t="shared" si="1"/>
        <v>COa</v>
      </c>
      <c r="D24" s="70" t="s">
        <v>578</v>
      </c>
      <c r="E24" s="24">
        <f t="shared" si="2"/>
        <v>43725</v>
      </c>
      <c r="F24" s="1">
        <f>IFERROR(__xludf.DUMMYFUNCTION("filter(Legend!$B$19:$B$31,C24=Legend!$D$19:$D$31)"),151.0)</f>
        <v>151</v>
      </c>
      <c r="G24" s="1">
        <v>2.2</v>
      </c>
      <c r="H24" s="23" t="b">
        <f>if(countif(Status!C:C,D24)=1,TRUE, FALSE)</f>
        <v>1</v>
      </c>
    </row>
    <row r="25">
      <c r="A25" s="50" t="s">
        <v>579</v>
      </c>
      <c r="B25" s="50">
        <v>1039.0</v>
      </c>
      <c r="C25" s="50" t="str">
        <f t="shared" si="1"/>
        <v>COb</v>
      </c>
      <c r="D25" s="50" t="s">
        <v>580</v>
      </c>
      <c r="E25" s="24">
        <f t="shared" si="2"/>
        <v>43725</v>
      </c>
      <c r="F25" s="1">
        <f>IFERROR(__xludf.DUMMYFUNCTION("filter(Legend!$B$19:$B$31,C25=Legend!$D$19:$D$31)"),152.0)</f>
        <v>152</v>
      </c>
      <c r="G25" s="1">
        <v>2.2</v>
      </c>
      <c r="H25" s="23" t="b">
        <f>if(countif(Status!C:C,D25)=1,TRUE, FALSE)</f>
        <v>1</v>
      </c>
    </row>
    <row r="26">
      <c r="A26" s="50" t="s">
        <v>579</v>
      </c>
      <c r="B26" s="50">
        <v>1039.0</v>
      </c>
      <c r="C26" s="50" t="str">
        <f t="shared" si="1"/>
        <v>COb</v>
      </c>
      <c r="D26" s="50" t="s">
        <v>582</v>
      </c>
      <c r="E26" s="24">
        <f t="shared" si="2"/>
        <v>43725</v>
      </c>
      <c r="F26" s="1">
        <f>IFERROR(__xludf.DUMMYFUNCTION("filter(Legend!$B$19:$B$31,C26=Legend!$D$19:$D$31)"),152.0)</f>
        <v>152</v>
      </c>
      <c r="G26" s="1">
        <v>2.2</v>
      </c>
      <c r="H26" s="23" t="b">
        <f>if(countif(Status!C:C,D26)=1,TRUE, FALSE)</f>
        <v>1</v>
      </c>
    </row>
    <row r="27">
      <c r="A27" s="50" t="s">
        <v>579</v>
      </c>
      <c r="B27" s="50">
        <v>1039.0</v>
      </c>
      <c r="C27" s="50" t="str">
        <f t="shared" si="1"/>
        <v>COb</v>
      </c>
      <c r="D27" s="50" t="s">
        <v>584</v>
      </c>
      <c r="E27" s="24">
        <f t="shared" si="2"/>
        <v>43725</v>
      </c>
      <c r="F27" s="1">
        <f>IFERROR(__xludf.DUMMYFUNCTION("filter(Legend!$B$19:$B$31,C27=Legend!$D$19:$D$31)"),152.0)</f>
        <v>152</v>
      </c>
      <c r="G27" s="1">
        <v>2.2</v>
      </c>
      <c r="H27" s="23" t="b">
        <f>if(countif(Status!C:C,D27)=1,TRUE, FALSE)</f>
        <v>1</v>
      </c>
    </row>
    <row r="28">
      <c r="A28" s="50" t="s">
        <v>585</v>
      </c>
      <c r="B28" s="50">
        <v>1039.0</v>
      </c>
      <c r="C28" s="50" t="str">
        <f t="shared" si="1"/>
        <v>COb</v>
      </c>
      <c r="D28" s="50" t="s">
        <v>587</v>
      </c>
      <c r="E28" s="24">
        <f t="shared" si="2"/>
        <v>43725</v>
      </c>
      <c r="F28" s="1">
        <f>IFERROR(__xludf.DUMMYFUNCTION("filter(Legend!$B$19:$B$31,C28=Legend!$D$19:$D$31)"),152.0)</f>
        <v>152</v>
      </c>
      <c r="G28" s="1">
        <v>2.2</v>
      </c>
      <c r="H28" s="23" t="b">
        <f>if(countif(Status!C:C,D28)=1,TRUE, FALSE)</f>
        <v>1</v>
      </c>
    </row>
    <row r="29">
      <c r="A29" s="50" t="s">
        <v>588</v>
      </c>
      <c r="B29" s="52">
        <v>1064.0</v>
      </c>
      <c r="C29" s="50" t="str">
        <f t="shared" si="1"/>
        <v>FPa</v>
      </c>
      <c r="D29" s="50" t="s">
        <v>589</v>
      </c>
      <c r="E29" s="24">
        <f t="shared" si="2"/>
        <v>43775</v>
      </c>
      <c r="F29" s="1">
        <f>IFERROR(__xludf.DUMMYFUNCTION("filter(Legend!$B$19:$B$31,C29=Legend!$D$19:$D$31)"),141.0)</f>
        <v>141</v>
      </c>
      <c r="G29" s="1">
        <v>2.2</v>
      </c>
      <c r="H29" s="23" t="b">
        <f>if(countif(Status!C:C,D29)=1,TRUE, FALSE)</f>
        <v>1</v>
      </c>
    </row>
    <row r="30">
      <c r="A30" s="50" t="s">
        <v>590</v>
      </c>
      <c r="B30" s="52">
        <v>1064.0</v>
      </c>
      <c r="C30" s="50" t="str">
        <f t="shared" si="1"/>
        <v>FPb</v>
      </c>
      <c r="D30" s="50" t="s">
        <v>591</v>
      </c>
      <c r="E30" s="24">
        <f t="shared" si="2"/>
        <v>43775</v>
      </c>
      <c r="F30" s="1">
        <f>IFERROR(__xludf.DUMMYFUNCTION("filter(Legend!$B$19:$B$31,C30=Legend!$D$19:$D$31)"),142.0)</f>
        <v>142</v>
      </c>
      <c r="G30" s="1">
        <v>2.2</v>
      </c>
      <c r="H30" s="23" t="b">
        <f>if(countif(Status!C:C,D30)=1,TRUE, FALSE)</f>
        <v>1</v>
      </c>
    </row>
    <row r="31">
      <c r="A31" s="50" t="s">
        <v>592</v>
      </c>
      <c r="B31" s="52">
        <v>1064.0</v>
      </c>
      <c r="C31" s="50" t="str">
        <f t="shared" si="1"/>
        <v>FPc</v>
      </c>
      <c r="D31" s="50" t="s">
        <v>594</v>
      </c>
      <c r="E31" s="24">
        <f t="shared" si="2"/>
        <v>43775</v>
      </c>
      <c r="F31" s="1">
        <f>IFERROR(__xludf.DUMMYFUNCTION("filter(Legend!$B$19:$B$31,C31=Legend!$D$19:$D$31)"),143.0)</f>
        <v>143</v>
      </c>
      <c r="G31" s="1">
        <v>2.2</v>
      </c>
      <c r="H31" s="23" t="b">
        <f>if(countif(Status!C:C,D31)=1,TRUE, FALSE)</f>
        <v>1</v>
      </c>
    </row>
    <row r="32">
      <c r="A32" s="50" t="s">
        <v>597</v>
      </c>
      <c r="B32" s="52">
        <v>1064.0</v>
      </c>
      <c r="C32" s="50" t="str">
        <f t="shared" si="1"/>
        <v>FPd</v>
      </c>
      <c r="D32" s="50" t="s">
        <v>598</v>
      </c>
      <c r="E32" s="24">
        <f t="shared" si="2"/>
        <v>43775</v>
      </c>
      <c r="F32" s="1">
        <f>IFERROR(__xludf.DUMMYFUNCTION("filter(Legend!$B$19:$B$31,C32=Legend!$D$19:$D$31)"),144.0)</f>
        <v>144</v>
      </c>
      <c r="G32" s="1">
        <v>2.2</v>
      </c>
      <c r="H32" s="23" t="b">
        <f>if(countif(Status!C:C,D32)=1,TRUE, FALSE)</f>
        <v>1</v>
      </c>
    </row>
    <row r="33">
      <c r="A33" s="50" t="s">
        <v>600</v>
      </c>
      <c r="B33" s="52">
        <v>1064.0</v>
      </c>
      <c r="C33" s="50" t="str">
        <f t="shared" si="1"/>
        <v>FPe</v>
      </c>
      <c r="D33" s="50" t="s">
        <v>601</v>
      </c>
      <c r="E33" s="24">
        <f t="shared" si="2"/>
        <v>43775</v>
      </c>
      <c r="F33" s="1">
        <f>IFERROR(__xludf.DUMMYFUNCTION("filter(Legend!$B$19:$B$31,C33=Legend!$D$19:$D$31)"),145.0)</f>
        <v>145</v>
      </c>
      <c r="G33" s="1">
        <v>2.2</v>
      </c>
      <c r="H33" s="23" t="b">
        <f>if(countif(Status!C:C,D33)=1,TRUE, FALSE)</f>
        <v>1</v>
      </c>
    </row>
    <row r="34">
      <c r="A34" s="50" t="s">
        <v>602</v>
      </c>
      <c r="B34" s="1">
        <v>1079.0</v>
      </c>
      <c r="C34" s="50"/>
      <c r="D34" s="49" t="s">
        <v>603</v>
      </c>
      <c r="E34" s="24">
        <f t="shared" si="2"/>
        <v>43761</v>
      </c>
      <c r="F34" s="1">
        <v>149.0</v>
      </c>
      <c r="G34" s="1">
        <v>2.2</v>
      </c>
      <c r="H34" s="23" t="b">
        <f>if(countif(Status!C:C,D34)=1,TRUE, FALSE)</f>
        <v>1</v>
      </c>
    </row>
    <row r="35">
      <c r="A35" s="50" t="s">
        <v>605</v>
      </c>
      <c r="B35" s="50">
        <v>1025.0</v>
      </c>
      <c r="C35" s="50" t="str">
        <f t="shared" ref="C35:C38" si="3">left(D35,3)</f>
        <v>COb</v>
      </c>
      <c r="D35" s="70" t="s">
        <v>606</v>
      </c>
      <c r="E35" s="24">
        <f t="shared" si="2"/>
        <v>43770</v>
      </c>
      <c r="F35" s="1">
        <f>IFERROR(__xludf.DUMMYFUNCTION("filter(Legend!$B$19:$B$31,C35=Legend!$D$19:$D$31)"),152.0)</f>
        <v>152</v>
      </c>
      <c r="G35" s="1">
        <v>2.2</v>
      </c>
      <c r="H35" s="23" t="b">
        <f>if(countif(Status!C:C,D35)=1,TRUE, FALSE)</f>
        <v>1</v>
      </c>
    </row>
    <row r="36">
      <c r="A36" s="50" t="s">
        <v>608</v>
      </c>
      <c r="B36" s="50">
        <v>1025.0</v>
      </c>
      <c r="C36" s="50" t="str">
        <f t="shared" si="3"/>
        <v>COa</v>
      </c>
      <c r="D36" s="50" t="s">
        <v>609</v>
      </c>
      <c r="E36" s="24">
        <f t="shared" si="2"/>
        <v>43770</v>
      </c>
      <c r="F36" s="1">
        <f>IFERROR(__xludf.DUMMYFUNCTION("filter(Legend!$B$19:$B$31,C36=Legend!$D$19:$D$31)"),151.0)</f>
        <v>151</v>
      </c>
      <c r="G36" s="1">
        <v>2.2</v>
      </c>
      <c r="H36" s="23" t="b">
        <f>if(countif(Status!C:C,D36)=1,TRUE, FALSE)</f>
        <v>1</v>
      </c>
    </row>
    <row r="37">
      <c r="A37" s="50" t="s">
        <v>608</v>
      </c>
      <c r="B37" s="50">
        <v>1025.0</v>
      </c>
      <c r="C37" s="50" t="str">
        <f t="shared" si="3"/>
        <v>COb</v>
      </c>
      <c r="D37" s="70" t="s">
        <v>610</v>
      </c>
      <c r="E37" s="24">
        <f t="shared" si="2"/>
        <v>43770</v>
      </c>
      <c r="F37" s="1">
        <f>IFERROR(__xludf.DUMMYFUNCTION("filter(Legend!$B$19:$B$31,C37=Legend!$D$19:$D$31)"),152.0)</f>
        <v>152</v>
      </c>
      <c r="G37" s="1">
        <v>2.2</v>
      </c>
      <c r="H37" s="23" t="b">
        <f>if(countif(Status!C:C,D37)=1,TRUE, FALSE)</f>
        <v>1</v>
      </c>
    </row>
    <row r="38">
      <c r="A38" s="50" t="s">
        <v>608</v>
      </c>
      <c r="B38" s="50">
        <v>1025.0</v>
      </c>
      <c r="C38" s="50" t="str">
        <f t="shared" si="3"/>
        <v>COb</v>
      </c>
      <c r="D38" s="52" t="s">
        <v>612</v>
      </c>
      <c r="E38" s="24">
        <f t="shared" si="2"/>
        <v>43770</v>
      </c>
      <c r="F38" s="1">
        <f>IFERROR(__xludf.DUMMYFUNCTION("filter(Legend!$B$19:$B$31,C38=Legend!$D$19:$D$31)"),152.0)</f>
        <v>152</v>
      </c>
      <c r="G38" s="1">
        <v>2.2</v>
      </c>
      <c r="H38" s="23" t="b">
        <f>if(countif(Status!C:C,D38)=1,TRUE, FALSE)</f>
        <v>1</v>
      </c>
    </row>
    <row r="39">
      <c r="A39" s="50" t="s">
        <v>613</v>
      </c>
      <c r="B39" s="50">
        <v>1025.0</v>
      </c>
      <c r="C39" s="50"/>
      <c r="D39" s="51" t="s">
        <v>614</v>
      </c>
      <c r="E39" s="24">
        <f t="shared" si="2"/>
        <v>43770</v>
      </c>
      <c r="F39" s="49">
        <v>159.0</v>
      </c>
      <c r="G39" s="1">
        <v>2.2</v>
      </c>
      <c r="H39" s="23" t="b">
        <f>if(countif(Status!C:C,D39)=1,TRUE, FALSE)</f>
        <v>1</v>
      </c>
      <c r="I39" s="1">
        <v>159.0</v>
      </c>
    </row>
    <row r="40">
      <c r="A40" s="50" t="s">
        <v>616</v>
      </c>
      <c r="B40" s="52">
        <v>1064.0</v>
      </c>
      <c r="C40" s="50" t="str">
        <f t="shared" ref="C40:C49" si="4">left(D40,3)</f>
        <v>FB1</v>
      </c>
      <c r="D40" s="55" t="s">
        <v>617</v>
      </c>
      <c r="E40" s="24">
        <f t="shared" si="2"/>
        <v>43775</v>
      </c>
      <c r="F40" s="49">
        <v>149.0</v>
      </c>
      <c r="G40" s="1">
        <v>2.2</v>
      </c>
      <c r="H40" s="23" t="b">
        <f>if(countif(Status!C:C,D40)=1,TRUE, FALSE)</f>
        <v>1</v>
      </c>
      <c r="I40" s="1">
        <v>149.0</v>
      </c>
    </row>
    <row r="41">
      <c r="A41" s="50" t="s">
        <v>620</v>
      </c>
      <c r="B41" s="1">
        <v>1079.0</v>
      </c>
      <c r="C41" s="50" t="str">
        <f t="shared" si="4"/>
        <v>FPa</v>
      </c>
      <c r="D41" s="1" t="s">
        <v>223</v>
      </c>
      <c r="E41" s="24">
        <f t="shared" si="2"/>
        <v>43761</v>
      </c>
      <c r="F41" s="1">
        <f>IFERROR(__xludf.DUMMYFUNCTION("filter(Legend!$B$19:$B$31,C41=Legend!$D$19:$D$31)"),141.0)</f>
        <v>141</v>
      </c>
      <c r="G41" s="1">
        <v>2.2</v>
      </c>
      <c r="H41" s="23" t="b">
        <f>if(countif(Status!C:C,D41)=1,TRUE, FALSE)</f>
        <v>1</v>
      </c>
    </row>
    <row r="42">
      <c r="A42" s="50" t="s">
        <v>621</v>
      </c>
      <c r="B42" s="1">
        <v>1079.0</v>
      </c>
      <c r="C42" s="50" t="str">
        <f t="shared" si="4"/>
        <v>FPc</v>
      </c>
      <c r="D42" s="1" t="s">
        <v>227</v>
      </c>
      <c r="E42" s="24">
        <f t="shared" si="2"/>
        <v>43761</v>
      </c>
      <c r="F42" s="1">
        <f>IFERROR(__xludf.DUMMYFUNCTION("filter(Legend!$B$19:$B$31,C42=Legend!$D$19:$D$31)"),143.0)</f>
        <v>143</v>
      </c>
      <c r="G42" s="1">
        <v>2.2</v>
      </c>
      <c r="H42" s="23" t="b">
        <f>if(countif(Status!C:C,D42)=1,TRUE, FALSE)</f>
        <v>1</v>
      </c>
    </row>
    <row r="43">
      <c r="A43" s="50" t="s">
        <v>623</v>
      </c>
      <c r="B43" s="1">
        <v>1079.0</v>
      </c>
      <c r="C43" s="50" t="str">
        <f t="shared" si="4"/>
        <v>FPd</v>
      </c>
      <c r="D43" s="1" t="s">
        <v>229</v>
      </c>
      <c r="E43" s="24">
        <f t="shared" si="2"/>
        <v>43761</v>
      </c>
      <c r="F43" s="1">
        <f>IFERROR(__xludf.DUMMYFUNCTION("filter(Legend!$B$19:$B$31,C43=Legend!$D$19:$D$31)"),144.0)</f>
        <v>144</v>
      </c>
      <c r="G43" s="1">
        <v>2.2</v>
      </c>
      <c r="H43" s="23" t="b">
        <f>if(countif(Status!C:C,D43)=1,TRUE, FALSE)</f>
        <v>1</v>
      </c>
    </row>
    <row r="44">
      <c r="A44" s="50" t="s">
        <v>624</v>
      </c>
      <c r="B44" s="1">
        <v>1079.0</v>
      </c>
      <c r="C44" s="50" t="str">
        <f t="shared" si="4"/>
        <v>FPb</v>
      </c>
      <c r="D44" s="1" t="s">
        <v>225</v>
      </c>
      <c r="E44" s="24">
        <f t="shared" si="2"/>
        <v>43761</v>
      </c>
      <c r="F44" s="1">
        <f>IFERROR(__xludf.DUMMYFUNCTION("filter(Legend!$B$19:$B$31,C44=Legend!$D$19:$D$31)"),142.0)</f>
        <v>142</v>
      </c>
      <c r="G44" s="1">
        <v>2.2</v>
      </c>
      <c r="H44" s="23" t="b">
        <f>if(countif(Status!C:C,D44)=1,TRUE, FALSE)</f>
        <v>1</v>
      </c>
    </row>
    <row r="45">
      <c r="A45" s="50" t="s">
        <v>625</v>
      </c>
      <c r="B45" s="1">
        <v>1079.0</v>
      </c>
      <c r="C45" s="50" t="str">
        <f t="shared" si="4"/>
        <v>FPe</v>
      </c>
      <c r="D45" s="1" t="s">
        <v>231</v>
      </c>
      <c r="E45" s="24">
        <f t="shared" si="2"/>
        <v>43761</v>
      </c>
      <c r="F45" s="1">
        <f>IFERROR(__xludf.DUMMYFUNCTION("filter(Legend!$B$19:$B$31,C45=Legend!$D$19:$D$31)"),145.0)</f>
        <v>145</v>
      </c>
      <c r="G45" s="1">
        <v>2.2</v>
      </c>
      <c r="H45" s="23" t="b">
        <f>if(countif(Status!C:C,D45)=1,TRUE, FALSE)</f>
        <v>1</v>
      </c>
    </row>
    <row r="46">
      <c r="A46" s="50" t="s">
        <v>627</v>
      </c>
      <c r="B46" s="52">
        <v>1046.0</v>
      </c>
      <c r="C46" s="50" t="str">
        <f t="shared" si="4"/>
        <v>COa</v>
      </c>
      <c r="D46" s="50" t="s">
        <v>628</v>
      </c>
      <c r="E46" s="24">
        <f t="shared" si="2"/>
        <v>43777</v>
      </c>
      <c r="F46" s="1">
        <v>159.0</v>
      </c>
      <c r="G46" s="1">
        <v>2.2</v>
      </c>
      <c r="H46" s="23" t="b">
        <f>if(countif(Status!C:C,D46)=1,TRUE, FALSE)</f>
        <v>1</v>
      </c>
    </row>
    <row r="47">
      <c r="A47" s="50" t="s">
        <v>630</v>
      </c>
      <c r="B47" s="52">
        <v>1046.0</v>
      </c>
      <c r="C47" s="50" t="str">
        <f t="shared" si="4"/>
        <v>COb</v>
      </c>
      <c r="D47" s="70" t="s">
        <v>631</v>
      </c>
      <c r="E47" s="24">
        <f t="shared" si="2"/>
        <v>43777</v>
      </c>
      <c r="F47" s="1">
        <v>159.0</v>
      </c>
      <c r="G47" s="1">
        <v>2.2</v>
      </c>
      <c r="H47" s="23" t="b">
        <f>if(countif(Status!C:C,D47)=1,TRUE, FALSE)</f>
        <v>1</v>
      </c>
    </row>
    <row r="48">
      <c r="A48" s="50" t="s">
        <v>630</v>
      </c>
      <c r="B48" s="52">
        <v>1046.0</v>
      </c>
      <c r="C48" s="50" t="str">
        <f t="shared" si="4"/>
        <v>COb</v>
      </c>
      <c r="D48" s="70" t="s">
        <v>633</v>
      </c>
      <c r="E48" s="24">
        <f t="shared" si="2"/>
        <v>43777</v>
      </c>
      <c r="F48" s="1">
        <v>159.0</v>
      </c>
      <c r="G48" s="1">
        <v>2.2</v>
      </c>
      <c r="H48" s="23" t="b">
        <f>if(countif(Status!C:C,D48)=1,TRUE, FALSE)</f>
        <v>1</v>
      </c>
    </row>
    <row r="49">
      <c r="A49" s="50" t="s">
        <v>630</v>
      </c>
      <c r="B49" s="52">
        <v>1046.0</v>
      </c>
      <c r="C49" s="50" t="str">
        <f t="shared" si="4"/>
        <v>COb</v>
      </c>
      <c r="D49" s="52" t="s">
        <v>634</v>
      </c>
      <c r="E49" s="24">
        <f t="shared" si="2"/>
        <v>43777</v>
      </c>
      <c r="F49" s="1">
        <v>159.0</v>
      </c>
      <c r="G49" s="1">
        <v>2.2</v>
      </c>
      <c r="H49" s="23" t="b">
        <f>if(countif(Status!C:C,D49)=1,TRUE, FALSE)</f>
        <v>1</v>
      </c>
    </row>
    <row r="50">
      <c r="A50" s="50" t="s">
        <v>635</v>
      </c>
      <c r="B50" s="52">
        <v>1046.0</v>
      </c>
      <c r="C50" s="50"/>
      <c r="D50" s="55" t="s">
        <v>277</v>
      </c>
      <c r="E50" s="24">
        <f t="shared" si="2"/>
        <v>43777</v>
      </c>
      <c r="F50" s="1">
        <v>159.0</v>
      </c>
      <c r="G50" s="1">
        <v>2.2</v>
      </c>
      <c r="H50" s="23" t="b">
        <f>if(countif(Status!C:C,D50)=1,TRUE, FALSE)</f>
        <v>1</v>
      </c>
      <c r="I50" s="1">
        <v>159.0</v>
      </c>
    </row>
    <row r="51">
      <c r="A51" s="50" t="s">
        <v>636</v>
      </c>
      <c r="B51" s="50">
        <v>1080.0</v>
      </c>
      <c r="C51" s="50" t="str">
        <f t="shared" ref="C51:C55" si="5">left(D51,3)</f>
        <v>FPa</v>
      </c>
      <c r="D51" s="50" t="s">
        <v>638</v>
      </c>
      <c r="E51" s="24">
        <f t="shared" si="2"/>
        <v>43720</v>
      </c>
      <c r="F51" s="1">
        <f>IFERROR(__xludf.DUMMYFUNCTION("filter(Legend!$B$19:$B$31,C51=Legend!$D$19:$D$31)"),141.0)</f>
        <v>141</v>
      </c>
      <c r="G51" s="1">
        <v>2.2</v>
      </c>
      <c r="H51" s="23" t="b">
        <f>if(countif(Status!C:C,D51)=1,TRUE, FALSE)</f>
        <v>1</v>
      </c>
      <c r="I51" s="50"/>
      <c r="J51" s="50"/>
      <c r="K51" s="50"/>
    </row>
    <row r="52">
      <c r="A52" s="50" t="s">
        <v>640</v>
      </c>
      <c r="B52" s="50">
        <v>1080.0</v>
      </c>
      <c r="C52" s="50" t="str">
        <f t="shared" si="5"/>
        <v>FPb</v>
      </c>
      <c r="D52" s="50" t="s">
        <v>641</v>
      </c>
      <c r="E52" s="24">
        <f t="shared" si="2"/>
        <v>43720</v>
      </c>
      <c r="F52" s="1">
        <f>IFERROR(__xludf.DUMMYFUNCTION("filter(Legend!$B$19:$B$31,C52=Legend!$D$19:$D$31)"),142.0)</f>
        <v>142</v>
      </c>
      <c r="G52" s="1">
        <v>2.2</v>
      </c>
      <c r="H52" s="23" t="b">
        <f>if(countif(Status!C:C,D52)=1,TRUE, FALSE)</f>
        <v>1</v>
      </c>
      <c r="I52" s="50"/>
      <c r="J52" s="50"/>
      <c r="K52" s="50"/>
    </row>
    <row r="53">
      <c r="A53" s="50" t="s">
        <v>643</v>
      </c>
      <c r="B53" s="50">
        <v>1080.0</v>
      </c>
      <c r="C53" s="50" t="str">
        <f t="shared" si="5"/>
        <v>FPc</v>
      </c>
      <c r="D53" s="50" t="s">
        <v>644</v>
      </c>
      <c r="E53" s="24">
        <f t="shared" si="2"/>
        <v>43720</v>
      </c>
      <c r="F53" s="1">
        <f>IFERROR(__xludf.DUMMYFUNCTION("filter(Legend!$B$19:$B$31,C53=Legend!$D$19:$D$31)"),143.0)</f>
        <v>143</v>
      </c>
      <c r="G53" s="1">
        <v>2.2</v>
      </c>
      <c r="H53" s="23" t="b">
        <f>if(countif(Status!C:C,D53)=1,TRUE, FALSE)</f>
        <v>1</v>
      </c>
    </row>
    <row r="54">
      <c r="A54" s="50" t="s">
        <v>645</v>
      </c>
      <c r="B54" s="50">
        <v>1080.0</v>
      </c>
      <c r="C54" s="50" t="str">
        <f t="shared" si="5"/>
        <v>FPd</v>
      </c>
      <c r="D54" s="50" t="s">
        <v>646</v>
      </c>
      <c r="E54" s="24">
        <f t="shared" si="2"/>
        <v>43720</v>
      </c>
      <c r="F54" s="1">
        <f>IFERROR(__xludf.DUMMYFUNCTION("filter(Legend!$B$19:$B$31,C54=Legend!$D$19:$D$31)"),144.0)</f>
        <v>144</v>
      </c>
      <c r="G54" s="1">
        <v>2.2</v>
      </c>
      <c r="H54" s="23" t="b">
        <f>if(countif(Status!C:C,D54)=1,TRUE, FALSE)</f>
        <v>1</v>
      </c>
    </row>
    <row r="55">
      <c r="A55" s="50" t="s">
        <v>648</v>
      </c>
      <c r="B55" s="50">
        <v>1080.0</v>
      </c>
      <c r="C55" s="50" t="str">
        <f t="shared" si="5"/>
        <v>FPe</v>
      </c>
      <c r="D55" s="50" t="s">
        <v>649</v>
      </c>
      <c r="E55" s="24">
        <f t="shared" si="2"/>
        <v>43720</v>
      </c>
      <c r="F55" s="1">
        <f>IFERROR(__xludf.DUMMYFUNCTION("filter(Legend!$B$19:$B$31,C55=Legend!$D$19:$D$31)"),145.0)</f>
        <v>145</v>
      </c>
      <c r="G55" s="1">
        <v>2.2</v>
      </c>
      <c r="H55" s="23" t="b">
        <f>if(countif(Status!C:C,D55)=1,TRUE, FALSE)</f>
        <v>1</v>
      </c>
    </row>
    <row r="56">
      <c r="A56" s="52" t="s">
        <v>650</v>
      </c>
      <c r="B56" s="1">
        <v>1081.0</v>
      </c>
      <c r="C56" s="50"/>
      <c r="D56" s="55" t="s">
        <v>651</v>
      </c>
      <c r="E56" s="24">
        <f t="shared" si="2"/>
        <v>43784</v>
      </c>
      <c r="F56" s="1">
        <v>149.0</v>
      </c>
      <c r="G56" s="1">
        <v>2.2</v>
      </c>
      <c r="H56" s="23" t="b">
        <f>if(countif(Status!C:C,D56)=1,TRUE, FALSE)</f>
        <v>1</v>
      </c>
      <c r="I56" s="1">
        <v>149.0</v>
      </c>
    </row>
    <row r="57">
      <c r="A57" s="50" t="s">
        <v>653</v>
      </c>
      <c r="B57" s="50">
        <v>1098.0</v>
      </c>
      <c r="C57" s="50" t="str">
        <f t="shared" ref="C57:C60" si="6">left(D57,3)</f>
        <v>COa</v>
      </c>
      <c r="D57" s="50" t="s">
        <v>654</v>
      </c>
      <c r="E57" s="24">
        <f t="shared" si="2"/>
        <v>43789</v>
      </c>
      <c r="F57" s="1">
        <f>IFERROR(__xludf.DUMMYFUNCTION("filter(Legend!$B$19:$B$31,C57=Legend!$D$19:$D$31)"),151.0)</f>
        <v>151</v>
      </c>
      <c r="G57" s="1">
        <v>2.2</v>
      </c>
      <c r="H57" s="23" t="b">
        <f>if(countif(Status!C:C,D57)=1,TRUE, FALSE)</f>
        <v>1</v>
      </c>
    </row>
    <row r="58">
      <c r="A58" s="50" t="s">
        <v>656</v>
      </c>
      <c r="B58" s="50">
        <v>1098.0</v>
      </c>
      <c r="C58" s="50" t="str">
        <f t="shared" si="6"/>
        <v>COb</v>
      </c>
      <c r="D58" s="50" t="s">
        <v>657</v>
      </c>
      <c r="E58" s="24">
        <f t="shared" si="2"/>
        <v>43789</v>
      </c>
      <c r="F58" s="1">
        <f>IFERROR(__xludf.DUMMYFUNCTION("filter(Legend!$B$19:$B$31,C58=Legend!$D$19:$D$31)"),152.0)</f>
        <v>152</v>
      </c>
      <c r="G58" s="1">
        <v>2.2</v>
      </c>
      <c r="H58" s="23" t="b">
        <f>if(countif(Status!C:C,D58)=1,TRUE, FALSE)</f>
        <v>1</v>
      </c>
    </row>
    <row r="59">
      <c r="A59" s="50" t="s">
        <v>656</v>
      </c>
      <c r="B59" s="50">
        <v>1098.0</v>
      </c>
      <c r="C59" s="50" t="str">
        <f t="shared" si="6"/>
        <v>COb</v>
      </c>
      <c r="D59" s="50" t="s">
        <v>659</v>
      </c>
      <c r="E59" s="24">
        <f t="shared" si="2"/>
        <v>43789</v>
      </c>
      <c r="F59" s="1">
        <f>IFERROR(__xludf.DUMMYFUNCTION("filter(Legend!$B$19:$B$31,C59=Legend!$D$19:$D$31)"),152.0)</f>
        <v>152</v>
      </c>
      <c r="G59" s="1">
        <v>2.2</v>
      </c>
      <c r="H59" s="23" t="b">
        <f>if(countif(Status!C:C,D59)=1,TRUE, FALSE)</f>
        <v>1</v>
      </c>
    </row>
    <row r="60">
      <c r="A60" s="50" t="s">
        <v>656</v>
      </c>
      <c r="B60" s="50">
        <v>1098.0</v>
      </c>
      <c r="C60" s="50" t="str">
        <f t="shared" si="6"/>
        <v>COb</v>
      </c>
      <c r="D60" s="50" t="s">
        <v>661</v>
      </c>
      <c r="E60" s="24">
        <f t="shared" si="2"/>
        <v>43789</v>
      </c>
      <c r="F60" s="1">
        <f>IFERROR(__xludf.DUMMYFUNCTION("filter(Legend!$B$19:$B$31,C60=Legend!$D$19:$D$31)"),152.0)</f>
        <v>152</v>
      </c>
      <c r="G60" s="1">
        <v>2.2</v>
      </c>
      <c r="H60" s="23" t="b">
        <f>if(countif(Status!C:C,D60)=1,TRUE, FALSE)</f>
        <v>1</v>
      </c>
    </row>
    <row r="61">
      <c r="A61" s="50" t="s">
        <v>663</v>
      </c>
      <c r="B61" s="50">
        <v>1098.0</v>
      </c>
      <c r="C61" s="50"/>
      <c r="D61" s="73" t="s">
        <v>664</v>
      </c>
      <c r="E61" s="24">
        <f t="shared" si="2"/>
        <v>43789</v>
      </c>
      <c r="F61" s="1">
        <v>159.0</v>
      </c>
      <c r="G61" s="1">
        <v>2.2</v>
      </c>
      <c r="H61" s="23" t="b">
        <f>if(countif(Status!C:C,D61)=1,TRUE, FALSE)</f>
        <v>1</v>
      </c>
      <c r="I61" s="1">
        <v>159.0</v>
      </c>
    </row>
    <row r="62">
      <c r="A62" s="52" t="s">
        <v>650</v>
      </c>
      <c r="B62" s="50">
        <v>1081.0</v>
      </c>
      <c r="C62" s="50" t="str">
        <f t="shared" ref="C62:C66" si="7">left(D62,3)</f>
        <v>FPa</v>
      </c>
      <c r="D62" s="50" t="s">
        <v>666</v>
      </c>
      <c r="E62" s="24">
        <f t="shared" si="2"/>
        <v>43784</v>
      </c>
      <c r="F62" s="1">
        <f>IFERROR(__xludf.DUMMYFUNCTION("filter(Legend!$B$19:$B$31,C62=Legend!$D$19:$D$31)"),141.0)</f>
        <v>141</v>
      </c>
      <c r="G62" s="1">
        <v>2.2</v>
      </c>
      <c r="H62" s="23" t="b">
        <f>if(countif(Status!C:C,D62)=1,TRUE, FALSE)</f>
        <v>1</v>
      </c>
    </row>
    <row r="63">
      <c r="A63" s="52" t="s">
        <v>650</v>
      </c>
      <c r="B63" s="50">
        <v>1081.0</v>
      </c>
      <c r="C63" s="50" t="str">
        <f t="shared" si="7"/>
        <v>FPb</v>
      </c>
      <c r="D63" s="50" t="s">
        <v>667</v>
      </c>
      <c r="E63" s="24">
        <f t="shared" si="2"/>
        <v>43784</v>
      </c>
      <c r="F63" s="1">
        <f>IFERROR(__xludf.DUMMYFUNCTION("filter(Legend!$B$19:$B$31,C63=Legend!$D$19:$D$31)"),142.0)</f>
        <v>142</v>
      </c>
      <c r="G63" s="1">
        <v>2.2</v>
      </c>
      <c r="H63" s="23" t="b">
        <f>if(countif(Status!C:C,D63)=1,TRUE, FALSE)</f>
        <v>1</v>
      </c>
    </row>
    <row r="64">
      <c r="A64" s="52" t="s">
        <v>650</v>
      </c>
      <c r="B64" s="50">
        <v>1081.0</v>
      </c>
      <c r="C64" s="50" t="str">
        <f t="shared" si="7"/>
        <v>FPc</v>
      </c>
      <c r="D64" s="50" t="s">
        <v>669</v>
      </c>
      <c r="E64" s="24">
        <f t="shared" si="2"/>
        <v>43784</v>
      </c>
      <c r="F64" s="1">
        <f>IFERROR(__xludf.DUMMYFUNCTION("filter(Legend!$B$19:$B$31,C64=Legend!$D$19:$D$31)"),143.0)</f>
        <v>143</v>
      </c>
      <c r="G64" s="1">
        <v>2.2</v>
      </c>
      <c r="H64" s="23" t="b">
        <f>if(countif(Status!C:C,D64)=1,TRUE, FALSE)</f>
        <v>1</v>
      </c>
    </row>
    <row r="65">
      <c r="A65" s="52" t="s">
        <v>650</v>
      </c>
      <c r="B65" s="50">
        <v>1081.0</v>
      </c>
      <c r="C65" s="50" t="str">
        <f t="shared" si="7"/>
        <v>FPd</v>
      </c>
      <c r="D65" s="50" t="s">
        <v>671</v>
      </c>
      <c r="E65" s="24">
        <f t="shared" si="2"/>
        <v>43784</v>
      </c>
      <c r="F65" s="1">
        <f>IFERROR(__xludf.DUMMYFUNCTION("filter(Legend!$B$19:$B$31,C65=Legend!$D$19:$D$31)"),144.0)</f>
        <v>144</v>
      </c>
      <c r="G65" s="1">
        <v>2.2</v>
      </c>
      <c r="H65" s="23" t="b">
        <f>if(countif(Status!C:C,D65)=1,TRUE, FALSE)</f>
        <v>1</v>
      </c>
    </row>
    <row r="66">
      <c r="A66" s="52" t="s">
        <v>650</v>
      </c>
      <c r="B66" s="50">
        <v>1081.0</v>
      </c>
      <c r="C66" s="50" t="str">
        <f t="shared" si="7"/>
        <v>FPe</v>
      </c>
      <c r="D66" s="50" t="s">
        <v>673</v>
      </c>
      <c r="E66" s="24">
        <f t="shared" si="2"/>
        <v>43784</v>
      </c>
      <c r="F66" s="1">
        <f>IFERROR(__xludf.DUMMYFUNCTION("filter(Legend!$B$19:$B$31,C66=Legend!$D$19:$D$31)"),145.0)</f>
        <v>145</v>
      </c>
      <c r="G66" s="1">
        <v>2.2</v>
      </c>
      <c r="H66" s="23" t="b">
        <f>if(countif(Status!C:C,D66)=1,TRUE, FALSE)</f>
        <v>1</v>
      </c>
    </row>
    <row r="67">
      <c r="A67" s="50" t="s">
        <v>527</v>
      </c>
      <c r="B67" s="52">
        <v>1052.0</v>
      </c>
      <c r="C67" s="50"/>
      <c r="D67" s="73" t="s">
        <v>674</v>
      </c>
      <c r="E67" s="24">
        <f t="shared" si="2"/>
        <v>43796</v>
      </c>
      <c r="F67" s="1">
        <v>149.0</v>
      </c>
      <c r="G67" s="1">
        <v>2.2</v>
      </c>
      <c r="H67" s="23" t="b">
        <f>if(countif(Status!C:C,D67)=1,TRUE, FALSE)</f>
        <v>1</v>
      </c>
      <c r="I67" s="1">
        <v>149.0</v>
      </c>
    </row>
    <row r="68">
      <c r="A68" s="52" t="s">
        <v>675</v>
      </c>
      <c r="B68" s="52">
        <v>2011.0</v>
      </c>
      <c r="C68" s="50" t="str">
        <f t="shared" ref="C68:C343" si="8">left(D68,3)</f>
        <v>COa</v>
      </c>
      <c r="D68" s="52" t="s">
        <v>676</v>
      </c>
      <c r="E68" s="24">
        <f t="shared" si="2"/>
        <v>43845</v>
      </c>
      <c r="F68" s="52">
        <v>151.0</v>
      </c>
      <c r="G68" s="1">
        <v>2.2</v>
      </c>
      <c r="H68" s="23" t="b">
        <f>if(countif(Status!C:C,D68)=1,TRUE, FALSE)</f>
        <v>1</v>
      </c>
    </row>
    <row r="69">
      <c r="A69" s="52" t="s">
        <v>677</v>
      </c>
      <c r="B69" s="52">
        <v>2011.0</v>
      </c>
      <c r="C69" s="50" t="str">
        <f t="shared" si="8"/>
        <v>COb</v>
      </c>
      <c r="D69" s="52" t="s">
        <v>678</v>
      </c>
      <c r="E69" s="24">
        <f t="shared" si="2"/>
        <v>43845</v>
      </c>
      <c r="F69" s="52">
        <v>152.0</v>
      </c>
      <c r="G69" s="1">
        <v>2.2</v>
      </c>
      <c r="H69" s="23" t="b">
        <f>if(countif(Status!C:C,D69)=1,TRUE, FALSE)</f>
        <v>1</v>
      </c>
    </row>
    <row r="70">
      <c r="A70" s="52" t="s">
        <v>677</v>
      </c>
      <c r="B70" s="52">
        <v>2011.0</v>
      </c>
      <c r="C70" s="50" t="str">
        <f t="shared" si="8"/>
        <v>COb</v>
      </c>
      <c r="D70" s="1" t="s">
        <v>679</v>
      </c>
      <c r="E70" s="24">
        <f>datevalue(left(A72,10))</f>
        <v>43845</v>
      </c>
      <c r="F70" s="52">
        <v>152.0</v>
      </c>
      <c r="G70" s="1">
        <v>2.2</v>
      </c>
      <c r="H70" s="23" t="b">
        <f>if(countif(Status!C:C,D70)=1,TRUE, FALSE)</f>
        <v>1</v>
      </c>
    </row>
    <row r="71">
      <c r="A71" s="52" t="s">
        <v>677</v>
      </c>
      <c r="B71" s="52">
        <v>2011.0</v>
      </c>
      <c r="C71" s="50" t="str">
        <f t="shared" si="8"/>
        <v>COb</v>
      </c>
      <c r="D71" s="52" t="s">
        <v>681</v>
      </c>
      <c r="E71" s="24">
        <f t="shared" ref="E71:E74" si="9">datevalue(left(A71,10))</f>
        <v>43845</v>
      </c>
      <c r="F71" s="52">
        <v>152.0</v>
      </c>
      <c r="G71" s="1">
        <v>2.2</v>
      </c>
      <c r="H71" s="23" t="b">
        <f>if(countif(Status!C:C,D71)=1,TRUE, FALSE)</f>
        <v>1</v>
      </c>
    </row>
    <row r="72">
      <c r="A72" s="52" t="s">
        <v>683</v>
      </c>
      <c r="B72" s="52">
        <v>2011.0</v>
      </c>
      <c r="C72" s="50" t="str">
        <f t="shared" si="8"/>
        <v>FB1</v>
      </c>
      <c r="D72" s="49" t="s">
        <v>684</v>
      </c>
      <c r="E72" s="24">
        <f t="shared" si="9"/>
        <v>43845</v>
      </c>
      <c r="F72" s="52">
        <v>159.0</v>
      </c>
      <c r="G72" s="1">
        <v>2.2</v>
      </c>
      <c r="H72" s="23" t="b">
        <f>if(countif(Status!C:C,D72)=1,TRUE, FALSE)</f>
        <v>1</v>
      </c>
      <c r="I72" s="1" t="s">
        <v>28</v>
      </c>
    </row>
    <row r="73">
      <c r="A73" s="52" t="s">
        <v>685</v>
      </c>
      <c r="B73" s="1">
        <v>2099.0</v>
      </c>
      <c r="C73" s="50" t="str">
        <f t="shared" si="8"/>
        <v>COa</v>
      </c>
      <c r="D73" s="1" t="s">
        <v>686</v>
      </c>
      <c r="E73" s="24">
        <f t="shared" si="9"/>
        <v>43845</v>
      </c>
      <c r="F73" s="52">
        <v>151.0</v>
      </c>
      <c r="G73" s="1">
        <v>2.2</v>
      </c>
      <c r="H73" s="23" t="b">
        <f>if(countif(Status!C:C,D73)=1,TRUE, FALSE)</f>
        <v>1</v>
      </c>
    </row>
    <row r="74">
      <c r="A74" s="52" t="s">
        <v>687</v>
      </c>
      <c r="B74" s="1">
        <v>2099.0</v>
      </c>
      <c r="C74" s="50" t="str">
        <f t="shared" si="8"/>
        <v>COb</v>
      </c>
      <c r="D74" s="1" t="s">
        <v>688</v>
      </c>
      <c r="E74" s="24">
        <f t="shared" si="9"/>
        <v>43845</v>
      </c>
      <c r="F74" s="52">
        <v>152.0</v>
      </c>
      <c r="G74" s="1">
        <v>2.2</v>
      </c>
      <c r="H74" s="23" t="b">
        <f>if(countif(Status!C:C,D74)=1,TRUE, FALSE)</f>
        <v>1</v>
      </c>
    </row>
    <row r="75">
      <c r="A75" s="52" t="s">
        <v>687</v>
      </c>
      <c r="B75" s="1">
        <v>2099.0</v>
      </c>
      <c r="C75" s="50" t="str">
        <f t="shared" si="8"/>
        <v>COb</v>
      </c>
      <c r="D75" s="1" t="s">
        <v>690</v>
      </c>
      <c r="E75" s="24">
        <f>datevalue(left(A77,10))</f>
        <v>43845</v>
      </c>
      <c r="F75" s="52">
        <v>152.0</v>
      </c>
      <c r="G75" s="1">
        <v>2.2</v>
      </c>
      <c r="H75" s="23" t="b">
        <f>if(countif(Status!C:C,D75)=1,TRUE, FALSE)</f>
        <v>1</v>
      </c>
    </row>
    <row r="76">
      <c r="A76" s="52" t="s">
        <v>687</v>
      </c>
      <c r="B76" s="1">
        <v>2099.0</v>
      </c>
      <c r="C76" s="50" t="str">
        <f t="shared" si="8"/>
        <v>COb</v>
      </c>
      <c r="D76" s="1" t="s">
        <v>691</v>
      </c>
      <c r="E76" s="24">
        <f t="shared" ref="E76:E343" si="10">datevalue(left(A76,10))</f>
        <v>43845</v>
      </c>
      <c r="F76" s="52">
        <v>152.0</v>
      </c>
      <c r="G76" s="1">
        <v>2.2</v>
      </c>
      <c r="H76" s="23" t="b">
        <f>if(countif(Status!C:C,D76)=1,TRUE, FALSE)</f>
        <v>1</v>
      </c>
      <c r="K76" s="74"/>
    </row>
    <row r="77">
      <c r="A77" s="52" t="s">
        <v>693</v>
      </c>
      <c r="B77" s="1">
        <v>2099.0</v>
      </c>
      <c r="C77" s="50" t="str">
        <f t="shared" si="8"/>
        <v>FB1</v>
      </c>
      <c r="D77" s="49" t="s">
        <v>694</v>
      </c>
      <c r="E77" s="24">
        <f t="shared" si="10"/>
        <v>43845</v>
      </c>
      <c r="F77" s="52">
        <v>159.0</v>
      </c>
      <c r="G77" s="1">
        <v>2.2</v>
      </c>
      <c r="H77" s="23" t="b">
        <f>if(countif(Status!C:C,D77)=1,TRUE, FALSE)</f>
        <v>1</v>
      </c>
      <c r="K77" s="74"/>
    </row>
    <row r="78">
      <c r="A78" s="74" t="s">
        <v>695</v>
      </c>
      <c r="B78" s="52">
        <v>2018.0</v>
      </c>
      <c r="C78" s="50" t="str">
        <f t="shared" si="8"/>
        <v>FPd</v>
      </c>
      <c r="D78" s="52" t="s">
        <v>696</v>
      </c>
      <c r="E78" s="24">
        <f t="shared" si="10"/>
        <v>43852</v>
      </c>
      <c r="F78" s="52">
        <v>144.0</v>
      </c>
      <c r="G78" s="1">
        <v>2.2</v>
      </c>
      <c r="H78" s="23" t="b">
        <f>if(countif(Status!C:C,D78)=1,TRUE, FALSE)</f>
        <v>1</v>
      </c>
      <c r="K78" s="74"/>
    </row>
    <row r="79">
      <c r="A79" s="52" t="s">
        <v>698</v>
      </c>
      <c r="B79" s="52">
        <v>2018.0</v>
      </c>
      <c r="C79" s="50" t="str">
        <f t="shared" si="8"/>
        <v>FPb</v>
      </c>
      <c r="D79" s="52" t="s">
        <v>699</v>
      </c>
      <c r="E79" s="24">
        <f t="shared" si="10"/>
        <v>43852</v>
      </c>
      <c r="F79" s="52">
        <v>142.0</v>
      </c>
      <c r="G79" s="1">
        <v>2.2</v>
      </c>
      <c r="H79" s="23" t="b">
        <f>if(countif(Status!C:C,D79)=1,TRUE, FALSE)</f>
        <v>1</v>
      </c>
      <c r="K79" s="74"/>
    </row>
    <row r="80">
      <c r="A80" s="52" t="s">
        <v>700</v>
      </c>
      <c r="B80" s="52">
        <v>2018.0</v>
      </c>
      <c r="C80" s="50" t="str">
        <f t="shared" si="8"/>
        <v>FPe</v>
      </c>
      <c r="D80" s="52" t="s">
        <v>701</v>
      </c>
      <c r="E80" s="24">
        <f t="shared" si="10"/>
        <v>43852</v>
      </c>
      <c r="F80" s="52">
        <v>145.0</v>
      </c>
      <c r="G80" s="1">
        <v>2.2</v>
      </c>
      <c r="H80" s="23" t="b">
        <f>if(countif(Status!C:C,D80)=1,TRUE, FALSE)</f>
        <v>1</v>
      </c>
    </row>
    <row r="81">
      <c r="A81" s="52" t="s">
        <v>703</v>
      </c>
      <c r="B81" s="52">
        <v>2018.0</v>
      </c>
      <c r="C81" s="50" t="str">
        <f t="shared" si="8"/>
        <v>FPa</v>
      </c>
      <c r="D81" s="52" t="s">
        <v>704</v>
      </c>
      <c r="E81" s="24">
        <f t="shared" si="10"/>
        <v>43852</v>
      </c>
      <c r="F81" s="52">
        <v>141.0</v>
      </c>
      <c r="G81" s="1">
        <v>2.2</v>
      </c>
      <c r="H81" s="23" t="b">
        <f>if(countif(Status!C:C,D81)=1,TRUE, FALSE)</f>
        <v>1</v>
      </c>
    </row>
    <row r="82">
      <c r="A82" s="52" t="s">
        <v>705</v>
      </c>
      <c r="B82" s="52">
        <v>2018.0</v>
      </c>
      <c r="C82" s="50" t="str">
        <f t="shared" si="8"/>
        <v>FPc</v>
      </c>
      <c r="D82" s="52" t="s">
        <v>706</v>
      </c>
      <c r="E82" s="24">
        <f t="shared" si="10"/>
        <v>43852</v>
      </c>
      <c r="F82" s="52">
        <v>143.0</v>
      </c>
      <c r="G82" s="1">
        <v>2.2</v>
      </c>
      <c r="H82" s="23" t="b">
        <f>if(countif(Status!C:C,D82)=1,TRUE, FALSE)</f>
        <v>1</v>
      </c>
    </row>
    <row r="83">
      <c r="A83" s="52" t="s">
        <v>707</v>
      </c>
      <c r="B83" s="52">
        <v>2018.0</v>
      </c>
      <c r="C83" s="50" t="str">
        <f t="shared" si="8"/>
        <v>FB1</v>
      </c>
      <c r="D83" s="23" t="s">
        <v>708</v>
      </c>
      <c r="E83" s="24">
        <f t="shared" si="10"/>
        <v>43852</v>
      </c>
      <c r="F83" s="52">
        <v>149.0</v>
      </c>
      <c r="G83" s="1">
        <v>2.2</v>
      </c>
      <c r="H83" s="23" t="b">
        <f>if(countif(Status!C:C,D83)=1,TRUE, FALSE)</f>
        <v>1</v>
      </c>
      <c r="I83" s="1" t="s">
        <v>28</v>
      </c>
    </row>
    <row r="84">
      <c r="A84" s="74" t="s">
        <v>709</v>
      </c>
      <c r="B84" s="74">
        <v>2059.0</v>
      </c>
      <c r="C84" s="50" t="str">
        <f t="shared" si="8"/>
        <v>COa</v>
      </c>
      <c r="D84" s="52" t="s">
        <v>710</v>
      </c>
      <c r="E84" s="24">
        <f t="shared" si="10"/>
        <v>43866</v>
      </c>
      <c r="F84" s="74">
        <v>151.0</v>
      </c>
      <c r="G84" s="1">
        <v>2.2</v>
      </c>
      <c r="H84" s="23" t="b">
        <f>if(countif(Status!C:C,D84)=1,TRUE, FALSE)</f>
        <v>1</v>
      </c>
      <c r="J84" s="74"/>
    </row>
    <row r="85">
      <c r="A85" s="74" t="s">
        <v>712</v>
      </c>
      <c r="B85" s="74">
        <v>2059.0</v>
      </c>
      <c r="C85" s="50" t="str">
        <f t="shared" si="8"/>
        <v>COb</v>
      </c>
      <c r="D85" s="52" t="s">
        <v>713</v>
      </c>
      <c r="E85" s="24">
        <f t="shared" si="10"/>
        <v>43866</v>
      </c>
      <c r="F85" s="74">
        <v>152.0</v>
      </c>
      <c r="G85" s="1">
        <v>2.2</v>
      </c>
      <c r="H85" s="23" t="b">
        <f>if(countif(Status!C:C,D85)=1,TRUE, FALSE)</f>
        <v>1</v>
      </c>
      <c r="J85" s="74"/>
    </row>
    <row r="86">
      <c r="A86" s="74" t="s">
        <v>712</v>
      </c>
      <c r="B86" s="74">
        <v>2059.0</v>
      </c>
      <c r="C86" s="50" t="str">
        <f t="shared" si="8"/>
        <v>COb</v>
      </c>
      <c r="D86" s="52" t="s">
        <v>715</v>
      </c>
      <c r="E86" s="24">
        <f t="shared" si="10"/>
        <v>43866</v>
      </c>
      <c r="F86" s="74">
        <v>152.0</v>
      </c>
      <c r="G86" s="1">
        <v>2.2</v>
      </c>
      <c r="H86" s="23" t="b">
        <f>if(countif(Status!C:C,D86)=1,TRUE, FALSE)</f>
        <v>1</v>
      </c>
      <c r="J86" s="74"/>
    </row>
    <row r="87">
      <c r="A87" s="74" t="s">
        <v>712</v>
      </c>
      <c r="B87" s="74">
        <v>2059.0</v>
      </c>
      <c r="C87" s="50" t="str">
        <f t="shared" si="8"/>
        <v>COb</v>
      </c>
      <c r="D87" s="52" t="s">
        <v>717</v>
      </c>
      <c r="E87" s="24">
        <f t="shared" si="10"/>
        <v>43866</v>
      </c>
      <c r="F87" s="74">
        <v>152.0</v>
      </c>
      <c r="G87" s="1">
        <v>2.2</v>
      </c>
      <c r="H87" s="23" t="b">
        <f>if(countif(Status!C:C,D87)=1,TRUE, FALSE)</f>
        <v>1</v>
      </c>
      <c r="J87" s="74"/>
    </row>
    <row r="88">
      <c r="A88" s="74" t="s">
        <v>718</v>
      </c>
      <c r="B88" s="74">
        <v>2059.0</v>
      </c>
      <c r="C88" s="50" t="str">
        <f t="shared" si="8"/>
        <v>FB1</v>
      </c>
      <c r="D88" s="23" t="s">
        <v>719</v>
      </c>
      <c r="E88" s="24">
        <f t="shared" si="10"/>
        <v>43866</v>
      </c>
      <c r="F88" s="74">
        <v>159.0</v>
      </c>
      <c r="G88" s="1">
        <v>2.2</v>
      </c>
      <c r="H88" s="23" t="b">
        <f>if(countif(Status!C:C,D88)=1,TRUE, FALSE)</f>
        <v>1</v>
      </c>
      <c r="I88" s="1" t="s">
        <v>28</v>
      </c>
      <c r="J88" s="74"/>
    </row>
    <row r="89">
      <c r="A89" s="74" t="s">
        <v>720</v>
      </c>
      <c r="B89" s="74">
        <v>2071.0</v>
      </c>
      <c r="C89" s="50" t="str">
        <f t="shared" si="8"/>
        <v>COa</v>
      </c>
      <c r="D89" s="52" t="s">
        <v>721</v>
      </c>
      <c r="E89" s="24">
        <f t="shared" si="10"/>
        <v>43866</v>
      </c>
      <c r="F89" s="74">
        <v>151.0</v>
      </c>
      <c r="G89" s="1">
        <v>2.2</v>
      </c>
      <c r="H89" s="23" t="b">
        <f>if(countif(Status!C:C,D89)=1,TRUE, FALSE)</f>
        <v>1</v>
      </c>
      <c r="J89" s="74"/>
    </row>
    <row r="90">
      <c r="A90" s="74" t="s">
        <v>723</v>
      </c>
      <c r="B90" s="74">
        <v>2071.0</v>
      </c>
      <c r="C90" s="50" t="str">
        <f t="shared" si="8"/>
        <v>COb</v>
      </c>
      <c r="D90" s="52" t="s">
        <v>724</v>
      </c>
      <c r="E90" s="24">
        <f t="shared" si="10"/>
        <v>43866</v>
      </c>
      <c r="F90" s="74">
        <v>152.0</v>
      </c>
      <c r="G90" s="1">
        <v>2.2</v>
      </c>
      <c r="H90" s="23" t="b">
        <f>if(countif(Status!C:C,D90)=1,TRUE, FALSE)</f>
        <v>1</v>
      </c>
      <c r="J90" s="74"/>
    </row>
    <row r="91">
      <c r="A91" s="74" t="s">
        <v>723</v>
      </c>
      <c r="B91" s="74">
        <v>2071.0</v>
      </c>
      <c r="C91" s="50" t="str">
        <f t="shared" si="8"/>
        <v>COb</v>
      </c>
      <c r="D91" s="52" t="s">
        <v>725</v>
      </c>
      <c r="E91" s="24">
        <f t="shared" si="10"/>
        <v>43866</v>
      </c>
      <c r="F91" s="74">
        <v>152.0</v>
      </c>
      <c r="G91" s="1">
        <v>2.2</v>
      </c>
      <c r="H91" s="23" t="b">
        <f>if(countif(Status!C:C,D91)=1,TRUE, FALSE)</f>
        <v>1</v>
      </c>
      <c r="J91" s="74"/>
    </row>
    <row r="92">
      <c r="A92" s="74" t="s">
        <v>723</v>
      </c>
      <c r="B92" s="74">
        <v>2071.0</v>
      </c>
      <c r="C92" s="50" t="str">
        <f t="shared" si="8"/>
        <v>COb</v>
      </c>
      <c r="D92" s="52" t="s">
        <v>726</v>
      </c>
      <c r="E92" s="24">
        <f t="shared" si="10"/>
        <v>43866</v>
      </c>
      <c r="F92" s="74">
        <v>152.0</v>
      </c>
      <c r="G92" s="1">
        <v>2.2</v>
      </c>
      <c r="H92" s="23" t="b">
        <f>if(countif(Status!C:C,D92)=1,TRUE, FALSE)</f>
        <v>1</v>
      </c>
      <c r="J92" s="74"/>
    </row>
    <row r="93">
      <c r="A93" s="74" t="s">
        <v>727</v>
      </c>
      <c r="B93" s="74">
        <v>2071.0</v>
      </c>
      <c r="C93" s="50" t="str">
        <f t="shared" si="8"/>
        <v>FB1</v>
      </c>
      <c r="D93" s="23" t="s">
        <v>728</v>
      </c>
      <c r="E93" s="24">
        <f t="shared" si="10"/>
        <v>43866</v>
      </c>
      <c r="F93" s="74">
        <v>159.0</v>
      </c>
      <c r="G93" s="1">
        <v>2.2</v>
      </c>
      <c r="H93" s="23" t="b">
        <f>if(countif(Status!C:C,D93)=1,TRUE, FALSE)</f>
        <v>1</v>
      </c>
      <c r="I93" s="1" t="s">
        <v>28</v>
      </c>
      <c r="J93" s="74"/>
    </row>
    <row r="94">
      <c r="A94" s="52" t="s">
        <v>730</v>
      </c>
      <c r="B94" s="52">
        <v>2006.0</v>
      </c>
      <c r="C94" s="50" t="str">
        <f t="shared" si="8"/>
        <v>COa</v>
      </c>
      <c r="D94" s="52" t="s">
        <v>731</v>
      </c>
      <c r="E94" s="24">
        <f t="shared" si="10"/>
        <v>43867</v>
      </c>
      <c r="F94" s="74">
        <v>151.0</v>
      </c>
      <c r="G94" s="1">
        <v>2.2</v>
      </c>
      <c r="H94" s="23" t="b">
        <f>if(countif(Status!C:C,D94)=1,TRUE, FALSE)</f>
        <v>1</v>
      </c>
    </row>
    <row r="95">
      <c r="A95" s="52" t="s">
        <v>732</v>
      </c>
      <c r="B95" s="52">
        <v>2006.0</v>
      </c>
      <c r="C95" s="50" t="str">
        <f t="shared" si="8"/>
        <v>COb</v>
      </c>
      <c r="D95" s="52" t="s">
        <v>733</v>
      </c>
      <c r="E95" s="24">
        <f t="shared" si="10"/>
        <v>43867</v>
      </c>
      <c r="F95" s="74">
        <v>152.0</v>
      </c>
      <c r="G95" s="1">
        <v>2.2</v>
      </c>
      <c r="H95" s="23" t="b">
        <f>if(countif(Status!C:C,D95)=1,TRUE, FALSE)</f>
        <v>1</v>
      </c>
    </row>
    <row r="96">
      <c r="A96" s="52" t="s">
        <v>732</v>
      </c>
      <c r="B96" s="52">
        <v>2006.0</v>
      </c>
      <c r="C96" s="50" t="str">
        <f t="shared" si="8"/>
        <v>COb</v>
      </c>
      <c r="D96" s="52" t="s">
        <v>734</v>
      </c>
      <c r="E96" s="24">
        <f t="shared" si="10"/>
        <v>43867</v>
      </c>
      <c r="F96" s="74">
        <v>152.0</v>
      </c>
      <c r="G96" s="1">
        <v>2.2</v>
      </c>
      <c r="H96" s="23" t="b">
        <f>if(countif(Status!C:C,D96)=1,TRUE, FALSE)</f>
        <v>1</v>
      </c>
    </row>
    <row r="97">
      <c r="A97" s="52" t="s">
        <v>732</v>
      </c>
      <c r="B97" s="52">
        <v>2006.0</v>
      </c>
      <c r="C97" s="50" t="str">
        <f t="shared" si="8"/>
        <v>COb</v>
      </c>
      <c r="D97" s="52" t="s">
        <v>735</v>
      </c>
      <c r="E97" s="24">
        <f t="shared" si="10"/>
        <v>43867</v>
      </c>
      <c r="F97" s="74">
        <v>152.0</v>
      </c>
      <c r="G97" s="1">
        <v>2.2</v>
      </c>
      <c r="H97" s="23" t="b">
        <f>if(countif(Status!C:C,D97)=1,TRUE, FALSE)</f>
        <v>1</v>
      </c>
    </row>
    <row r="98">
      <c r="A98" s="52" t="s">
        <v>736</v>
      </c>
      <c r="B98" s="52">
        <v>2006.0</v>
      </c>
      <c r="C98" s="50" t="str">
        <f t="shared" si="8"/>
        <v>FB1</v>
      </c>
      <c r="D98" s="23" t="s">
        <v>738</v>
      </c>
      <c r="E98" s="24">
        <f t="shared" si="10"/>
        <v>43867</v>
      </c>
      <c r="F98" s="74">
        <v>159.0</v>
      </c>
      <c r="G98" s="1">
        <v>2.2</v>
      </c>
      <c r="H98" s="23" t="b">
        <f>if(countif(Status!C:C,D98)=1,TRUE, FALSE)</f>
        <v>1</v>
      </c>
      <c r="I98" s="1" t="s">
        <v>28</v>
      </c>
    </row>
    <row r="99">
      <c r="A99" s="52" t="s">
        <v>739</v>
      </c>
      <c r="B99" s="1">
        <v>2010.0</v>
      </c>
      <c r="C99" s="50" t="str">
        <f t="shared" si="8"/>
        <v>COa</v>
      </c>
      <c r="D99" s="52" t="s">
        <v>740</v>
      </c>
      <c r="E99" s="24">
        <f t="shared" si="10"/>
        <v>43867</v>
      </c>
      <c r="F99" s="74">
        <v>151.0</v>
      </c>
      <c r="G99" s="1">
        <v>2.2</v>
      </c>
      <c r="H99" s="23" t="b">
        <f>if(countif(Status!C:C,D99)=1,TRUE, FALSE)</f>
        <v>1</v>
      </c>
    </row>
    <row r="100">
      <c r="A100" s="52" t="s">
        <v>742</v>
      </c>
      <c r="B100" s="1">
        <v>2010.0</v>
      </c>
      <c r="C100" s="50" t="str">
        <f t="shared" si="8"/>
        <v>COb</v>
      </c>
      <c r="D100" s="52" t="s">
        <v>743</v>
      </c>
      <c r="E100" s="24">
        <f t="shared" si="10"/>
        <v>43867</v>
      </c>
      <c r="F100" s="74">
        <v>152.0</v>
      </c>
      <c r="G100" s="1">
        <v>2.2</v>
      </c>
      <c r="H100" s="23" t="b">
        <f>if(countif(Status!C:C,D100)=1,TRUE, FALSE)</f>
        <v>1</v>
      </c>
    </row>
    <row r="101">
      <c r="A101" s="52" t="s">
        <v>742</v>
      </c>
      <c r="B101" s="1">
        <v>2010.0</v>
      </c>
      <c r="C101" s="50" t="str">
        <f t="shared" si="8"/>
        <v>COb</v>
      </c>
      <c r="D101" s="52" t="s">
        <v>745</v>
      </c>
      <c r="E101" s="24">
        <f t="shared" si="10"/>
        <v>43867</v>
      </c>
      <c r="F101" s="74">
        <v>152.0</v>
      </c>
      <c r="G101" s="1">
        <v>2.2</v>
      </c>
      <c r="H101" s="23" t="b">
        <f>if(countif(Status!C:C,D101)=1,TRUE, FALSE)</f>
        <v>1</v>
      </c>
    </row>
    <row r="102">
      <c r="A102" s="52" t="s">
        <v>742</v>
      </c>
      <c r="B102" s="1">
        <v>2010.0</v>
      </c>
      <c r="C102" s="50" t="str">
        <f t="shared" si="8"/>
        <v>COb</v>
      </c>
      <c r="D102" s="52" t="s">
        <v>746</v>
      </c>
      <c r="E102" s="24">
        <f t="shared" si="10"/>
        <v>43867</v>
      </c>
      <c r="F102" s="74">
        <v>152.0</v>
      </c>
      <c r="G102" s="1">
        <v>2.2</v>
      </c>
      <c r="H102" s="23" t="b">
        <f>if(countif(Status!C:C,D102)=1,TRUE, FALSE)</f>
        <v>1</v>
      </c>
    </row>
    <row r="103">
      <c r="A103" s="52" t="s">
        <v>747</v>
      </c>
      <c r="B103" s="1">
        <v>2010.0</v>
      </c>
      <c r="C103" s="50" t="str">
        <f t="shared" si="8"/>
        <v>FB1</v>
      </c>
      <c r="D103" s="23" t="s">
        <v>748</v>
      </c>
      <c r="E103" s="24">
        <f t="shared" si="10"/>
        <v>43867</v>
      </c>
      <c r="F103" s="74">
        <v>159.0</v>
      </c>
      <c r="G103" s="1">
        <v>2.2</v>
      </c>
      <c r="H103" s="23" t="b">
        <f>if(countif(Status!C:C,D103)=1,TRUE, FALSE)</f>
        <v>1</v>
      </c>
      <c r="I103" s="1" t="s">
        <v>28</v>
      </c>
    </row>
    <row r="104">
      <c r="A104" s="52" t="s">
        <v>749</v>
      </c>
      <c r="B104" s="52">
        <v>2074.0</v>
      </c>
      <c r="C104" s="50" t="str">
        <f t="shared" si="8"/>
        <v>COb</v>
      </c>
      <c r="D104" s="52" t="s">
        <v>750</v>
      </c>
      <c r="E104" s="24">
        <f t="shared" si="10"/>
        <v>43874</v>
      </c>
      <c r="F104" s="52">
        <v>152.0</v>
      </c>
      <c r="G104" s="1">
        <v>2.2</v>
      </c>
      <c r="H104" s="23" t="b">
        <f>if(countif(Status!C:C,D104)=1,TRUE, FALSE)</f>
        <v>1</v>
      </c>
    </row>
    <row r="105">
      <c r="A105" s="52" t="s">
        <v>752</v>
      </c>
      <c r="B105" s="52">
        <v>2074.0</v>
      </c>
      <c r="C105" s="50" t="str">
        <f t="shared" si="8"/>
        <v>FB1</v>
      </c>
      <c r="D105" s="23" t="s">
        <v>753</v>
      </c>
      <c r="E105" s="24">
        <f t="shared" si="10"/>
        <v>43874</v>
      </c>
      <c r="F105" s="52">
        <v>159.0</v>
      </c>
      <c r="G105" s="1">
        <v>2.2</v>
      </c>
      <c r="H105" s="23" t="b">
        <f>if(countif(Status!C:C,D105)=1,TRUE, FALSE)</f>
        <v>1</v>
      </c>
    </row>
    <row r="106">
      <c r="A106" s="52" t="s">
        <v>754</v>
      </c>
      <c r="B106" s="52">
        <v>2088.0</v>
      </c>
      <c r="C106" s="50" t="str">
        <f t="shared" si="8"/>
        <v>FPa</v>
      </c>
      <c r="D106" s="52" t="s">
        <v>755</v>
      </c>
      <c r="E106" s="24">
        <f t="shared" si="10"/>
        <v>43874</v>
      </c>
      <c r="F106" s="52">
        <v>141.0</v>
      </c>
      <c r="G106" s="1">
        <v>2.2</v>
      </c>
      <c r="H106" s="23" t="b">
        <f>if(countif(Status!C:C,D106)=1,TRUE, FALSE)</f>
        <v>1</v>
      </c>
    </row>
    <row r="107">
      <c r="A107" s="52" t="s">
        <v>756</v>
      </c>
      <c r="B107" s="52">
        <v>2088.0</v>
      </c>
      <c r="C107" s="50" t="str">
        <f t="shared" si="8"/>
        <v>FPc</v>
      </c>
      <c r="D107" s="1" t="s">
        <v>757</v>
      </c>
      <c r="E107" s="24">
        <f t="shared" si="10"/>
        <v>43874</v>
      </c>
      <c r="F107" s="52">
        <v>143.0</v>
      </c>
      <c r="G107" s="1">
        <v>2.2</v>
      </c>
      <c r="H107" s="23" t="b">
        <f>if(countif(Status!C:C,D107)=1,TRUE, FALSE)</f>
        <v>1</v>
      </c>
    </row>
    <row r="108">
      <c r="A108" s="52" t="s">
        <v>758</v>
      </c>
      <c r="B108" s="52">
        <v>2088.0</v>
      </c>
      <c r="C108" s="50" t="str">
        <f t="shared" si="8"/>
        <v>FPb</v>
      </c>
      <c r="D108" s="1" t="s">
        <v>759</v>
      </c>
      <c r="E108" s="24">
        <f t="shared" si="10"/>
        <v>43874</v>
      </c>
      <c r="F108" s="52">
        <v>142.0</v>
      </c>
      <c r="G108" s="1">
        <v>2.2</v>
      </c>
      <c r="H108" s="23" t="b">
        <f>if(countif(Status!C:C,D108)=1,TRUE, FALSE)</f>
        <v>1</v>
      </c>
    </row>
    <row r="109">
      <c r="A109" s="52" t="s">
        <v>761</v>
      </c>
      <c r="B109" s="52">
        <v>2088.0</v>
      </c>
      <c r="C109" s="50" t="str">
        <f t="shared" si="8"/>
        <v>FPd</v>
      </c>
      <c r="D109" s="52" t="s">
        <v>762</v>
      </c>
      <c r="E109" s="24">
        <f t="shared" si="10"/>
        <v>43874</v>
      </c>
      <c r="F109" s="52">
        <v>144.0</v>
      </c>
      <c r="G109" s="1">
        <v>2.2</v>
      </c>
      <c r="H109" s="23" t="b">
        <f>if(countif(Status!C:C,D109)=1,TRUE, FALSE)</f>
        <v>1</v>
      </c>
    </row>
    <row r="110">
      <c r="A110" s="52" t="s">
        <v>763</v>
      </c>
      <c r="B110" s="52">
        <v>2088.0</v>
      </c>
      <c r="C110" s="50" t="str">
        <f t="shared" si="8"/>
        <v>FPe</v>
      </c>
      <c r="D110" s="52" t="s">
        <v>764</v>
      </c>
      <c r="E110" s="24">
        <f t="shared" si="10"/>
        <v>43874</v>
      </c>
      <c r="F110" s="52">
        <v>145.0</v>
      </c>
      <c r="G110" s="1">
        <v>2.2</v>
      </c>
      <c r="H110" s="23" t="b">
        <f>if(countif(Status!C:C,D110)=1,TRUE, FALSE)</f>
        <v>1</v>
      </c>
    </row>
    <row r="111">
      <c r="A111" s="52" t="s">
        <v>765</v>
      </c>
      <c r="B111" s="52">
        <v>2088.0</v>
      </c>
      <c r="C111" s="50" t="str">
        <f t="shared" si="8"/>
        <v>FB1</v>
      </c>
      <c r="D111" s="23" t="s">
        <v>767</v>
      </c>
      <c r="E111" s="24">
        <f t="shared" si="10"/>
        <v>43874</v>
      </c>
      <c r="F111" s="52">
        <v>149.0</v>
      </c>
      <c r="G111" s="1">
        <v>2.2</v>
      </c>
      <c r="H111" s="23" t="b">
        <f>if(countif(Status!C:C,D111)=1,TRUE, FALSE)</f>
        <v>1</v>
      </c>
      <c r="I111" s="1" t="s">
        <v>28</v>
      </c>
    </row>
    <row r="112">
      <c r="A112" s="52" t="s">
        <v>768</v>
      </c>
      <c r="B112" s="52">
        <v>2072.0</v>
      </c>
      <c r="C112" s="50" t="str">
        <f t="shared" si="8"/>
        <v>FPa</v>
      </c>
      <c r="D112" s="52" t="s">
        <v>769</v>
      </c>
      <c r="E112" s="24">
        <f t="shared" si="10"/>
        <v>43874</v>
      </c>
      <c r="F112" s="52">
        <v>141.0</v>
      </c>
      <c r="G112" s="1">
        <v>2.2</v>
      </c>
      <c r="H112" s="23" t="b">
        <f>if(countif(Status!C:C,D112)=1,TRUE, FALSE)</f>
        <v>1</v>
      </c>
    </row>
    <row r="113">
      <c r="A113" s="52" t="s">
        <v>771</v>
      </c>
      <c r="B113" s="52">
        <v>2072.0</v>
      </c>
      <c r="C113" s="50" t="str">
        <f t="shared" si="8"/>
        <v>FPc</v>
      </c>
      <c r="D113" s="52" t="s">
        <v>772</v>
      </c>
      <c r="E113" s="24">
        <f t="shared" si="10"/>
        <v>43874</v>
      </c>
      <c r="F113" s="52">
        <v>143.0</v>
      </c>
      <c r="G113" s="1">
        <v>2.2</v>
      </c>
      <c r="H113" s="23" t="b">
        <f>if(countif(Status!C:C,D113)=1,TRUE, FALSE)</f>
        <v>1</v>
      </c>
    </row>
    <row r="114">
      <c r="A114" s="52" t="s">
        <v>775</v>
      </c>
      <c r="B114" s="52">
        <v>2072.0</v>
      </c>
      <c r="C114" s="50" t="str">
        <f t="shared" si="8"/>
        <v>FPd</v>
      </c>
      <c r="D114" s="52" t="s">
        <v>776</v>
      </c>
      <c r="E114" s="24">
        <f t="shared" si="10"/>
        <v>43874</v>
      </c>
      <c r="F114" s="52">
        <v>144.0</v>
      </c>
      <c r="G114" s="1">
        <v>2.2</v>
      </c>
      <c r="H114" s="23" t="b">
        <f>if(countif(Status!C:C,D114)=1,TRUE, FALSE)</f>
        <v>1</v>
      </c>
    </row>
    <row r="115">
      <c r="A115" s="52" t="s">
        <v>777</v>
      </c>
      <c r="B115" s="52">
        <v>2072.0</v>
      </c>
      <c r="C115" s="50" t="str">
        <f t="shared" si="8"/>
        <v>FPb</v>
      </c>
      <c r="D115" s="52" t="s">
        <v>778</v>
      </c>
      <c r="E115" s="24">
        <f t="shared" si="10"/>
        <v>43874</v>
      </c>
      <c r="F115" s="52">
        <v>142.0</v>
      </c>
      <c r="G115" s="1">
        <v>2.2</v>
      </c>
      <c r="H115" s="23" t="b">
        <f>if(countif(Status!C:C,D115)=1,TRUE, FALSE)</f>
        <v>1</v>
      </c>
    </row>
    <row r="116">
      <c r="A116" s="52" t="s">
        <v>779</v>
      </c>
      <c r="B116" s="52">
        <v>2072.0</v>
      </c>
      <c r="C116" s="50" t="str">
        <f t="shared" si="8"/>
        <v>FPe</v>
      </c>
      <c r="D116" s="52" t="s">
        <v>780</v>
      </c>
      <c r="E116" s="24">
        <f t="shared" si="10"/>
        <v>43874</v>
      </c>
      <c r="F116" s="52">
        <v>145.0</v>
      </c>
      <c r="G116" s="1">
        <v>2.2</v>
      </c>
      <c r="H116" s="23" t="b">
        <f>if(countif(Status!C:C,D116)=1,TRUE, FALSE)</f>
        <v>1</v>
      </c>
    </row>
    <row r="117">
      <c r="A117" s="52" t="s">
        <v>782</v>
      </c>
      <c r="B117" s="52">
        <v>2072.0</v>
      </c>
      <c r="C117" s="50" t="str">
        <f t="shared" si="8"/>
        <v>FB1</v>
      </c>
      <c r="D117" s="23" t="s">
        <v>783</v>
      </c>
      <c r="E117" s="24">
        <f t="shared" si="10"/>
        <v>43874</v>
      </c>
      <c r="F117" s="52">
        <v>149.0</v>
      </c>
      <c r="G117" s="1">
        <v>2.2</v>
      </c>
      <c r="H117" s="23" t="b">
        <f>if(countif(Status!C:C,D117)=1,TRUE, FALSE)</f>
        <v>1</v>
      </c>
      <c r="I117" s="1" t="s">
        <v>28</v>
      </c>
    </row>
    <row r="118">
      <c r="A118" s="52" t="s">
        <v>784</v>
      </c>
      <c r="B118" s="1">
        <v>2074.0</v>
      </c>
      <c r="C118" s="50" t="str">
        <f t="shared" si="8"/>
        <v>COa</v>
      </c>
      <c r="D118" s="52" t="s">
        <v>785</v>
      </c>
      <c r="E118" s="24">
        <f t="shared" si="10"/>
        <v>43874</v>
      </c>
      <c r="F118" s="52">
        <v>151.0</v>
      </c>
      <c r="G118" s="1">
        <v>2.2</v>
      </c>
      <c r="H118" s="23" t="b">
        <f>if(countif(Status!C:C,D118)=1,TRUE, FALSE)</f>
        <v>1</v>
      </c>
    </row>
    <row r="119">
      <c r="A119" s="52" t="s">
        <v>786</v>
      </c>
      <c r="B119" s="1">
        <v>2005.0</v>
      </c>
      <c r="C119" s="50" t="str">
        <f t="shared" si="8"/>
        <v>FPa</v>
      </c>
      <c r="D119" s="52" t="s">
        <v>788</v>
      </c>
      <c r="E119" s="24">
        <f t="shared" si="10"/>
        <v>43881</v>
      </c>
      <c r="G119" s="1">
        <v>2.2</v>
      </c>
      <c r="H119" s="23" t="b">
        <f>if(countif(Status!C:C,D119)=1,TRUE, FALSE)</f>
        <v>1</v>
      </c>
    </row>
    <row r="120">
      <c r="A120" s="52" t="s">
        <v>786</v>
      </c>
      <c r="B120" s="1">
        <v>2005.0</v>
      </c>
      <c r="C120" s="50" t="str">
        <f t="shared" si="8"/>
        <v>FPc</v>
      </c>
      <c r="D120" s="52" t="s">
        <v>789</v>
      </c>
      <c r="E120" s="24">
        <f t="shared" si="10"/>
        <v>43881</v>
      </c>
      <c r="G120" s="1">
        <v>2.2</v>
      </c>
      <c r="H120" s="23" t="b">
        <f>if(countif(Status!C:C,D120)=1,TRUE, FALSE)</f>
        <v>1</v>
      </c>
    </row>
    <row r="121">
      <c r="A121" s="52" t="s">
        <v>786</v>
      </c>
      <c r="B121" s="1">
        <v>2005.0</v>
      </c>
      <c r="C121" s="50" t="str">
        <f t="shared" si="8"/>
        <v>FPd</v>
      </c>
      <c r="D121" s="52" t="s">
        <v>790</v>
      </c>
      <c r="E121" s="24">
        <f t="shared" si="10"/>
        <v>43881</v>
      </c>
      <c r="G121" s="1">
        <v>2.2</v>
      </c>
      <c r="H121" s="23" t="b">
        <f>if(countif(Status!C:C,D121)=1,TRUE, FALSE)</f>
        <v>1</v>
      </c>
    </row>
    <row r="122">
      <c r="A122" s="52" t="s">
        <v>786</v>
      </c>
      <c r="B122" s="1">
        <v>2005.0</v>
      </c>
      <c r="C122" s="50" t="str">
        <f t="shared" si="8"/>
        <v>FPb</v>
      </c>
      <c r="D122" s="52" t="s">
        <v>792</v>
      </c>
      <c r="E122" s="24">
        <f t="shared" si="10"/>
        <v>43881</v>
      </c>
      <c r="G122" s="1">
        <v>2.2</v>
      </c>
      <c r="H122" s="23" t="b">
        <f>if(countif(Status!C:C,D122)=1,TRUE, FALSE)</f>
        <v>1</v>
      </c>
    </row>
    <row r="123">
      <c r="A123" s="52" t="s">
        <v>786</v>
      </c>
      <c r="B123" s="1">
        <v>2005.0</v>
      </c>
      <c r="C123" s="50" t="str">
        <f t="shared" si="8"/>
        <v>FPe</v>
      </c>
      <c r="D123" s="52" t="s">
        <v>793</v>
      </c>
      <c r="E123" s="24">
        <f t="shared" si="10"/>
        <v>43881</v>
      </c>
      <c r="G123" s="1">
        <v>2.2</v>
      </c>
      <c r="H123" s="23" t="b">
        <f>if(countif(Status!C:C,D123)=1,TRUE, FALSE)</f>
        <v>1</v>
      </c>
    </row>
    <row r="124">
      <c r="A124" s="52" t="s">
        <v>786</v>
      </c>
      <c r="B124" s="1">
        <v>2005.0</v>
      </c>
      <c r="C124" s="50" t="str">
        <f t="shared" si="8"/>
        <v>FB?</v>
      </c>
      <c r="D124" s="49" t="s">
        <v>794</v>
      </c>
      <c r="E124" s="24">
        <f t="shared" si="10"/>
        <v>43881</v>
      </c>
      <c r="G124" s="1">
        <v>2.2</v>
      </c>
      <c r="H124" s="23" t="b">
        <f>if(countif(Status!C:C,D124)=1,TRUE, FALSE)</f>
        <v>0</v>
      </c>
      <c r="I124" s="1" t="s">
        <v>28</v>
      </c>
    </row>
    <row r="125">
      <c r="A125" s="50" t="s">
        <v>796</v>
      </c>
      <c r="B125" s="1">
        <v>2038.0</v>
      </c>
      <c r="C125" s="50" t="str">
        <f t="shared" si="8"/>
        <v>FPa</v>
      </c>
      <c r="D125" s="1" t="s">
        <v>797</v>
      </c>
      <c r="E125" s="24">
        <f t="shared" si="10"/>
        <v>43888</v>
      </c>
      <c r="G125" s="1">
        <v>2.2</v>
      </c>
      <c r="H125" s="23" t="b">
        <f>if(countif(Status!C:C,D125)=1,TRUE, FALSE)</f>
        <v>1</v>
      </c>
    </row>
    <row r="126">
      <c r="A126" s="50" t="s">
        <v>799</v>
      </c>
      <c r="B126" s="1">
        <v>2038.0</v>
      </c>
      <c r="C126" s="50" t="str">
        <f t="shared" si="8"/>
        <v>FPc</v>
      </c>
      <c r="D126" s="1" t="s">
        <v>800</v>
      </c>
      <c r="E126" s="24">
        <f t="shared" si="10"/>
        <v>43888</v>
      </c>
      <c r="G126" s="1">
        <v>2.2</v>
      </c>
      <c r="H126" s="23" t="b">
        <f>if(countif(Status!C:C,D126)=1,TRUE, FALSE)</f>
        <v>1</v>
      </c>
    </row>
    <row r="127">
      <c r="A127" s="50" t="s">
        <v>802</v>
      </c>
      <c r="B127" s="1">
        <v>2038.0</v>
      </c>
      <c r="C127" s="50" t="str">
        <f t="shared" si="8"/>
        <v>FPb</v>
      </c>
      <c r="D127" s="1" t="s">
        <v>803</v>
      </c>
      <c r="E127" s="24">
        <f t="shared" si="10"/>
        <v>43888</v>
      </c>
      <c r="G127" s="1">
        <v>2.2</v>
      </c>
      <c r="H127" s="23" t="b">
        <f>if(countif(Status!C:C,D127)=1,TRUE, FALSE)</f>
        <v>1</v>
      </c>
    </row>
    <row r="128">
      <c r="A128" s="50" t="s">
        <v>804</v>
      </c>
      <c r="B128" s="1">
        <v>2038.0</v>
      </c>
      <c r="C128" s="50" t="str">
        <f t="shared" si="8"/>
        <v>FPd</v>
      </c>
      <c r="D128" s="1" t="s">
        <v>805</v>
      </c>
      <c r="E128" s="24">
        <f t="shared" si="10"/>
        <v>43888</v>
      </c>
      <c r="G128" s="1">
        <v>2.2</v>
      </c>
      <c r="H128" s="23" t="b">
        <f>if(countif(Status!C:C,D128)=1,TRUE, FALSE)</f>
        <v>1</v>
      </c>
    </row>
    <row r="129">
      <c r="A129" s="50" t="s">
        <v>806</v>
      </c>
      <c r="B129" s="1">
        <v>2038.0</v>
      </c>
      <c r="C129" s="50" t="str">
        <f t="shared" si="8"/>
        <v>FPe</v>
      </c>
      <c r="D129" s="1" t="s">
        <v>807</v>
      </c>
      <c r="E129" s="24">
        <f t="shared" si="10"/>
        <v>43888</v>
      </c>
      <c r="G129" s="1">
        <v>2.2</v>
      </c>
      <c r="H129" s="23" t="b">
        <f>if(countif(Status!C:C,D129)=1,TRUE, FALSE)</f>
        <v>1</v>
      </c>
    </row>
    <row r="130">
      <c r="A130" s="50" t="s">
        <v>808</v>
      </c>
      <c r="B130" s="1">
        <v>2038.0</v>
      </c>
      <c r="C130" s="50" t="str">
        <f t="shared" si="8"/>
        <v>FB?</v>
      </c>
      <c r="D130" s="49" t="s">
        <v>794</v>
      </c>
      <c r="E130" s="24">
        <f t="shared" si="10"/>
        <v>43888</v>
      </c>
      <c r="G130" s="1">
        <v>2.2</v>
      </c>
      <c r="H130" s="23" t="b">
        <f>if(countif(Status!C:C,D130)=1,TRUE, FALSE)</f>
        <v>0</v>
      </c>
    </row>
    <row r="131">
      <c r="C131" s="50" t="str">
        <f t="shared" si="8"/>
        <v/>
      </c>
      <c r="E131" s="24" t="str">
        <f t="shared" si="10"/>
        <v>#VALUE!</v>
      </c>
      <c r="G131" s="1">
        <v>2.2</v>
      </c>
      <c r="H131" s="23" t="b">
        <f>if(countif(Status!C:C,D131)=1,TRUE, FALSE)</f>
        <v>0</v>
      </c>
    </row>
    <row r="132">
      <c r="C132" s="50" t="str">
        <f t="shared" si="8"/>
        <v/>
      </c>
      <c r="E132" s="24" t="str">
        <f t="shared" si="10"/>
        <v>#VALUE!</v>
      </c>
      <c r="G132" s="1">
        <v>2.2</v>
      </c>
      <c r="H132" s="23" t="b">
        <f>if(countif(Status!C:C,D132)=1,TRUE, FALSE)</f>
        <v>0</v>
      </c>
    </row>
    <row r="133">
      <c r="C133" s="50" t="str">
        <f t="shared" si="8"/>
        <v/>
      </c>
      <c r="E133" s="24" t="str">
        <f t="shared" si="10"/>
        <v>#VALUE!</v>
      </c>
      <c r="G133" s="1">
        <v>2.2</v>
      </c>
      <c r="H133" s="23" t="b">
        <f>if(countif(Status!C:C,D133)=1,TRUE, FALSE)</f>
        <v>0</v>
      </c>
    </row>
    <row r="134">
      <c r="C134" s="50" t="str">
        <f t="shared" si="8"/>
        <v/>
      </c>
      <c r="E134" s="24" t="str">
        <f t="shared" si="10"/>
        <v>#VALUE!</v>
      </c>
      <c r="G134" s="1">
        <v>2.2</v>
      </c>
      <c r="H134" s="23" t="b">
        <f>if(countif(Status!C:C,D134)=1,TRUE, FALSE)</f>
        <v>0</v>
      </c>
    </row>
    <row r="135">
      <c r="C135" s="50" t="str">
        <f t="shared" si="8"/>
        <v/>
      </c>
      <c r="E135" s="24" t="str">
        <f t="shared" si="10"/>
        <v>#VALUE!</v>
      </c>
      <c r="G135" s="1">
        <v>2.2</v>
      </c>
      <c r="H135" s="23" t="b">
        <f>if(countif(Status!C:C,D135)=1,TRUE, FALSE)</f>
        <v>0</v>
      </c>
    </row>
    <row r="136">
      <c r="C136" s="50" t="str">
        <f t="shared" si="8"/>
        <v/>
      </c>
      <c r="E136" s="24" t="str">
        <f t="shared" si="10"/>
        <v>#VALUE!</v>
      </c>
      <c r="G136" s="1">
        <v>2.2</v>
      </c>
      <c r="H136" s="23" t="b">
        <f>if(countif(Status!C:C,D136)=1,TRUE, FALSE)</f>
        <v>0</v>
      </c>
    </row>
    <row r="137">
      <c r="C137" s="50" t="str">
        <f t="shared" si="8"/>
        <v/>
      </c>
      <c r="E137" s="24" t="str">
        <f t="shared" si="10"/>
        <v>#VALUE!</v>
      </c>
      <c r="G137" s="1">
        <v>2.2</v>
      </c>
      <c r="H137" s="23" t="b">
        <f>if(countif(Status!C:C,D137)=1,TRUE, FALSE)</f>
        <v>0</v>
      </c>
    </row>
    <row r="138">
      <c r="C138" s="50" t="str">
        <f t="shared" si="8"/>
        <v/>
      </c>
      <c r="E138" s="24" t="str">
        <f t="shared" si="10"/>
        <v>#VALUE!</v>
      </c>
      <c r="G138" s="1">
        <v>2.2</v>
      </c>
      <c r="H138" s="23" t="b">
        <f>if(countif(Status!C:C,D138)=1,TRUE, FALSE)</f>
        <v>0</v>
      </c>
    </row>
    <row r="139">
      <c r="C139" s="50" t="str">
        <f t="shared" si="8"/>
        <v/>
      </c>
      <c r="E139" s="24" t="str">
        <f t="shared" si="10"/>
        <v>#VALUE!</v>
      </c>
      <c r="G139" s="1">
        <v>2.2</v>
      </c>
      <c r="H139" s="23" t="b">
        <f>if(countif(Status!C:C,D139)=1,TRUE, FALSE)</f>
        <v>0</v>
      </c>
    </row>
    <row r="140">
      <c r="C140" s="50" t="str">
        <f t="shared" si="8"/>
        <v/>
      </c>
      <c r="E140" s="24" t="str">
        <f t="shared" si="10"/>
        <v>#VALUE!</v>
      </c>
      <c r="G140" s="1">
        <v>2.2</v>
      </c>
      <c r="H140" s="23" t="b">
        <f>if(countif(Status!C:C,D140)=1,TRUE, FALSE)</f>
        <v>0</v>
      </c>
    </row>
    <row r="141">
      <c r="C141" s="50" t="str">
        <f t="shared" si="8"/>
        <v/>
      </c>
      <c r="E141" s="24" t="str">
        <f t="shared" si="10"/>
        <v>#VALUE!</v>
      </c>
      <c r="G141" s="1">
        <v>2.2</v>
      </c>
      <c r="H141" s="23" t="b">
        <f>if(countif(Status!C:C,D141)=1,TRUE, FALSE)</f>
        <v>0</v>
      </c>
    </row>
    <row r="142">
      <c r="C142" s="50" t="str">
        <f t="shared" si="8"/>
        <v/>
      </c>
      <c r="E142" s="24" t="str">
        <f t="shared" si="10"/>
        <v>#VALUE!</v>
      </c>
      <c r="G142" s="1">
        <v>2.2</v>
      </c>
      <c r="H142" s="23" t="b">
        <f>if(countif(Status!C:C,D142)=1,TRUE, FALSE)</f>
        <v>0</v>
      </c>
    </row>
    <row r="143">
      <c r="C143" s="50" t="str">
        <f t="shared" si="8"/>
        <v/>
      </c>
      <c r="E143" s="24" t="str">
        <f t="shared" si="10"/>
        <v>#VALUE!</v>
      </c>
      <c r="G143" s="1">
        <v>2.2</v>
      </c>
      <c r="H143" s="23" t="b">
        <f>if(countif(Status!C:C,D143)=1,TRUE, FALSE)</f>
        <v>0</v>
      </c>
    </row>
    <row r="144">
      <c r="C144" s="50" t="str">
        <f t="shared" si="8"/>
        <v/>
      </c>
      <c r="E144" s="24" t="str">
        <f t="shared" si="10"/>
        <v>#VALUE!</v>
      </c>
      <c r="G144" s="1">
        <v>2.2</v>
      </c>
      <c r="H144" s="23" t="b">
        <f>if(countif(Status!C:C,D144)=1,TRUE, FALSE)</f>
        <v>0</v>
      </c>
    </row>
    <row r="145">
      <c r="C145" s="50" t="str">
        <f t="shared" si="8"/>
        <v/>
      </c>
      <c r="E145" s="24" t="str">
        <f t="shared" si="10"/>
        <v>#VALUE!</v>
      </c>
      <c r="G145" s="1">
        <v>2.2</v>
      </c>
      <c r="H145" s="23" t="b">
        <f>if(countif(Status!C:C,D145)=1,TRUE, FALSE)</f>
        <v>0</v>
      </c>
    </row>
    <row r="146">
      <c r="C146" s="50" t="str">
        <f t="shared" si="8"/>
        <v/>
      </c>
      <c r="E146" s="24" t="str">
        <f t="shared" si="10"/>
        <v>#VALUE!</v>
      </c>
      <c r="G146" s="1">
        <v>2.2</v>
      </c>
      <c r="H146" s="23" t="b">
        <f>if(countif(Status!C:C,D146)=1,TRUE, FALSE)</f>
        <v>0</v>
      </c>
    </row>
    <row r="147">
      <c r="C147" s="50" t="str">
        <f t="shared" si="8"/>
        <v/>
      </c>
      <c r="E147" s="24" t="str">
        <f t="shared" si="10"/>
        <v>#VALUE!</v>
      </c>
      <c r="G147" s="1">
        <v>2.2</v>
      </c>
      <c r="H147" s="23" t="b">
        <f>if(countif(Status!C:C,D147)=1,TRUE, FALSE)</f>
        <v>0</v>
      </c>
    </row>
    <row r="148">
      <c r="C148" s="50" t="str">
        <f t="shared" si="8"/>
        <v/>
      </c>
      <c r="E148" s="24" t="str">
        <f t="shared" si="10"/>
        <v>#VALUE!</v>
      </c>
      <c r="G148" s="1">
        <v>2.2</v>
      </c>
      <c r="H148" s="23" t="b">
        <f>if(countif(Status!C:C,D148)=1,TRUE, FALSE)</f>
        <v>0</v>
      </c>
    </row>
    <row r="149">
      <c r="C149" s="50" t="str">
        <f t="shared" si="8"/>
        <v/>
      </c>
      <c r="E149" s="24" t="str">
        <f t="shared" si="10"/>
        <v>#VALUE!</v>
      </c>
      <c r="G149" s="1">
        <v>2.2</v>
      </c>
      <c r="H149" s="23" t="b">
        <f>if(countif(Status!C:C,D149)=1,TRUE, FALSE)</f>
        <v>0</v>
      </c>
    </row>
    <row r="150">
      <c r="C150" s="50" t="str">
        <f t="shared" si="8"/>
        <v/>
      </c>
      <c r="E150" s="24" t="str">
        <f t="shared" si="10"/>
        <v>#VALUE!</v>
      </c>
      <c r="G150" s="1">
        <v>2.2</v>
      </c>
      <c r="H150" s="23" t="b">
        <f>if(countif(Status!C:C,D150)=1,TRUE, FALSE)</f>
        <v>0</v>
      </c>
    </row>
    <row r="151">
      <c r="C151" s="50" t="str">
        <f t="shared" si="8"/>
        <v/>
      </c>
      <c r="E151" s="24" t="str">
        <f t="shared" si="10"/>
        <v>#VALUE!</v>
      </c>
      <c r="G151" s="1">
        <v>2.2</v>
      </c>
      <c r="H151" s="23" t="b">
        <f>if(countif(Status!C:C,D151)=1,TRUE, FALSE)</f>
        <v>0</v>
      </c>
    </row>
    <row r="152">
      <c r="C152" s="50" t="str">
        <f t="shared" si="8"/>
        <v/>
      </c>
      <c r="E152" s="24" t="str">
        <f t="shared" si="10"/>
        <v>#VALUE!</v>
      </c>
      <c r="G152" s="1">
        <v>2.2</v>
      </c>
      <c r="H152" s="23" t="b">
        <f>if(countif(Status!C:C,D152)=1,TRUE, FALSE)</f>
        <v>0</v>
      </c>
    </row>
    <row r="153">
      <c r="C153" s="50" t="str">
        <f t="shared" si="8"/>
        <v/>
      </c>
      <c r="E153" s="24" t="str">
        <f t="shared" si="10"/>
        <v>#VALUE!</v>
      </c>
      <c r="G153" s="1">
        <v>2.2</v>
      </c>
      <c r="H153" s="23" t="b">
        <f>if(countif(Status!C:C,D153)=1,TRUE, FALSE)</f>
        <v>0</v>
      </c>
    </row>
    <row r="154">
      <c r="C154" s="50" t="str">
        <f t="shared" si="8"/>
        <v/>
      </c>
      <c r="E154" s="24" t="str">
        <f t="shared" si="10"/>
        <v>#VALUE!</v>
      </c>
      <c r="G154" s="1">
        <v>2.2</v>
      </c>
      <c r="H154" s="23" t="b">
        <f>if(countif(Status!C:C,D154)=1,TRUE, FALSE)</f>
        <v>0</v>
      </c>
    </row>
    <row r="155">
      <c r="C155" s="50" t="str">
        <f t="shared" si="8"/>
        <v/>
      </c>
      <c r="E155" s="24" t="str">
        <f t="shared" si="10"/>
        <v>#VALUE!</v>
      </c>
      <c r="G155" s="1">
        <v>2.2</v>
      </c>
      <c r="H155" s="23" t="b">
        <f>if(countif(Status!C:C,D155)=1,TRUE, FALSE)</f>
        <v>0</v>
      </c>
    </row>
    <row r="156">
      <c r="C156" s="50" t="str">
        <f t="shared" si="8"/>
        <v/>
      </c>
      <c r="E156" s="24" t="str">
        <f t="shared" si="10"/>
        <v>#VALUE!</v>
      </c>
      <c r="G156" s="1">
        <v>2.2</v>
      </c>
      <c r="H156" s="23" t="b">
        <f>if(countif(Status!C:C,D156)=1,TRUE, FALSE)</f>
        <v>0</v>
      </c>
    </row>
    <row r="157">
      <c r="C157" s="50" t="str">
        <f t="shared" si="8"/>
        <v/>
      </c>
      <c r="E157" s="24" t="str">
        <f t="shared" si="10"/>
        <v>#VALUE!</v>
      </c>
      <c r="G157" s="1">
        <v>2.2</v>
      </c>
      <c r="H157" s="23" t="b">
        <f>if(countif(Status!C:C,D157)=1,TRUE, FALSE)</f>
        <v>0</v>
      </c>
    </row>
    <row r="158">
      <c r="C158" s="50" t="str">
        <f t="shared" si="8"/>
        <v/>
      </c>
      <c r="E158" s="24" t="str">
        <f t="shared" si="10"/>
        <v>#VALUE!</v>
      </c>
      <c r="G158" s="1">
        <v>2.2</v>
      </c>
      <c r="H158" s="23" t="b">
        <f>if(countif(Status!C:C,D158)=1,TRUE, FALSE)</f>
        <v>0</v>
      </c>
    </row>
    <row r="159">
      <c r="C159" s="50" t="str">
        <f t="shared" si="8"/>
        <v/>
      </c>
      <c r="E159" s="24" t="str">
        <f t="shared" si="10"/>
        <v>#VALUE!</v>
      </c>
      <c r="G159" s="1">
        <v>2.2</v>
      </c>
      <c r="H159" s="23" t="b">
        <f>if(countif(Status!C:C,D159)=1,TRUE, FALSE)</f>
        <v>0</v>
      </c>
    </row>
    <row r="160">
      <c r="C160" s="50" t="str">
        <f t="shared" si="8"/>
        <v/>
      </c>
      <c r="E160" s="24" t="str">
        <f t="shared" si="10"/>
        <v>#VALUE!</v>
      </c>
      <c r="G160" s="1">
        <v>2.2</v>
      </c>
      <c r="H160" s="23" t="b">
        <f>if(countif(Status!C:C,D160)=1,TRUE, FALSE)</f>
        <v>0</v>
      </c>
    </row>
    <row r="161">
      <c r="C161" s="50" t="str">
        <f t="shared" si="8"/>
        <v/>
      </c>
      <c r="E161" s="24" t="str">
        <f t="shared" si="10"/>
        <v>#VALUE!</v>
      </c>
      <c r="G161" s="1">
        <v>2.2</v>
      </c>
      <c r="H161" s="23" t="b">
        <f>if(countif(Status!C:C,D161)=1,TRUE, FALSE)</f>
        <v>0</v>
      </c>
    </row>
    <row r="162">
      <c r="C162" s="50" t="str">
        <f t="shared" si="8"/>
        <v/>
      </c>
      <c r="E162" s="24" t="str">
        <f t="shared" si="10"/>
        <v>#VALUE!</v>
      </c>
      <c r="G162" s="1">
        <v>2.2</v>
      </c>
      <c r="H162" s="23" t="b">
        <f>if(countif(Status!C:C,D162)=1,TRUE, FALSE)</f>
        <v>0</v>
      </c>
    </row>
    <row r="163">
      <c r="C163" s="50" t="str">
        <f t="shared" si="8"/>
        <v/>
      </c>
      <c r="E163" s="24" t="str">
        <f t="shared" si="10"/>
        <v>#VALUE!</v>
      </c>
      <c r="G163" s="1">
        <v>2.2</v>
      </c>
      <c r="H163" s="23" t="b">
        <f>if(countif(Status!C:C,D163)=1,TRUE, FALSE)</f>
        <v>0</v>
      </c>
    </row>
    <row r="164">
      <c r="C164" s="50" t="str">
        <f t="shared" si="8"/>
        <v/>
      </c>
      <c r="E164" s="24" t="str">
        <f t="shared" si="10"/>
        <v>#VALUE!</v>
      </c>
      <c r="G164" s="1">
        <v>2.2</v>
      </c>
      <c r="H164" s="23" t="b">
        <f>if(countif(Status!C:C,D164)=1,TRUE, FALSE)</f>
        <v>0</v>
      </c>
    </row>
    <row r="165">
      <c r="C165" s="50" t="str">
        <f t="shared" si="8"/>
        <v/>
      </c>
      <c r="E165" s="24" t="str">
        <f t="shared" si="10"/>
        <v>#VALUE!</v>
      </c>
      <c r="G165" s="1">
        <v>2.2</v>
      </c>
      <c r="H165" s="23" t="b">
        <f>if(countif(Status!C:C,D165)=1,TRUE, FALSE)</f>
        <v>0</v>
      </c>
    </row>
    <row r="166">
      <c r="C166" s="50" t="str">
        <f t="shared" si="8"/>
        <v/>
      </c>
      <c r="E166" s="24" t="str">
        <f t="shared" si="10"/>
        <v>#VALUE!</v>
      </c>
      <c r="G166" s="1">
        <v>2.2</v>
      </c>
      <c r="H166" s="23" t="b">
        <f>if(countif(Status!C:C,D166)=1,TRUE, FALSE)</f>
        <v>0</v>
      </c>
    </row>
    <row r="167">
      <c r="C167" s="50" t="str">
        <f t="shared" si="8"/>
        <v/>
      </c>
      <c r="E167" s="24" t="str">
        <f t="shared" si="10"/>
        <v>#VALUE!</v>
      </c>
      <c r="G167" s="1">
        <v>2.2</v>
      </c>
      <c r="H167" s="23" t="b">
        <f>if(countif(Status!C:C,D167)=1,TRUE, FALSE)</f>
        <v>0</v>
      </c>
    </row>
    <row r="168">
      <c r="C168" s="50" t="str">
        <f t="shared" si="8"/>
        <v/>
      </c>
      <c r="E168" s="24" t="str">
        <f t="shared" si="10"/>
        <v>#VALUE!</v>
      </c>
      <c r="G168" s="1">
        <v>2.2</v>
      </c>
      <c r="H168" s="23" t="b">
        <f>if(countif(Status!C:C,D168)=1,TRUE, FALSE)</f>
        <v>0</v>
      </c>
    </row>
    <row r="169">
      <c r="C169" s="50" t="str">
        <f t="shared" si="8"/>
        <v/>
      </c>
      <c r="E169" s="24" t="str">
        <f t="shared" si="10"/>
        <v>#VALUE!</v>
      </c>
      <c r="G169" s="1">
        <v>2.2</v>
      </c>
      <c r="H169" s="23" t="b">
        <f>if(countif(Status!C:C,D169)=1,TRUE, FALSE)</f>
        <v>0</v>
      </c>
    </row>
    <row r="170">
      <c r="C170" s="50" t="str">
        <f t="shared" si="8"/>
        <v/>
      </c>
      <c r="E170" s="24" t="str">
        <f t="shared" si="10"/>
        <v>#VALUE!</v>
      </c>
      <c r="G170" s="1">
        <v>2.2</v>
      </c>
      <c r="H170" s="23" t="b">
        <f>if(countif(Status!C:C,D170)=1,TRUE, FALSE)</f>
        <v>0</v>
      </c>
    </row>
    <row r="171">
      <c r="C171" s="50" t="str">
        <f t="shared" si="8"/>
        <v/>
      </c>
      <c r="E171" s="24" t="str">
        <f t="shared" si="10"/>
        <v>#VALUE!</v>
      </c>
      <c r="G171" s="1">
        <v>2.2</v>
      </c>
      <c r="H171" s="23" t="b">
        <f>if(countif(Status!C:C,D171)=1,TRUE, FALSE)</f>
        <v>0</v>
      </c>
    </row>
    <row r="172">
      <c r="C172" s="50" t="str">
        <f t="shared" si="8"/>
        <v/>
      </c>
      <c r="E172" s="24" t="str">
        <f t="shared" si="10"/>
        <v>#VALUE!</v>
      </c>
      <c r="G172" s="1">
        <v>2.2</v>
      </c>
      <c r="H172" s="23" t="b">
        <f>if(countif(Status!C:C,D172)=1,TRUE, FALSE)</f>
        <v>0</v>
      </c>
    </row>
    <row r="173">
      <c r="C173" s="50" t="str">
        <f t="shared" si="8"/>
        <v/>
      </c>
      <c r="E173" s="24" t="str">
        <f t="shared" si="10"/>
        <v>#VALUE!</v>
      </c>
      <c r="G173" s="1">
        <v>2.2</v>
      </c>
      <c r="H173" s="23" t="b">
        <f>if(countif(Status!C:C,D173)=1,TRUE, FALSE)</f>
        <v>0</v>
      </c>
    </row>
    <row r="174">
      <c r="C174" s="50" t="str">
        <f t="shared" si="8"/>
        <v/>
      </c>
      <c r="E174" s="24" t="str">
        <f t="shared" si="10"/>
        <v>#VALUE!</v>
      </c>
      <c r="G174" s="1">
        <v>2.2</v>
      </c>
      <c r="H174" s="23" t="b">
        <f>if(countif(Status!C:C,D174)=1,TRUE, FALSE)</f>
        <v>0</v>
      </c>
    </row>
    <row r="175">
      <c r="C175" s="50" t="str">
        <f t="shared" si="8"/>
        <v/>
      </c>
      <c r="E175" s="24" t="str">
        <f t="shared" si="10"/>
        <v>#VALUE!</v>
      </c>
      <c r="G175" s="1">
        <v>2.2</v>
      </c>
      <c r="H175" s="23" t="b">
        <f>if(countif(Status!C:C,D175)=1,TRUE, FALSE)</f>
        <v>0</v>
      </c>
    </row>
    <row r="176">
      <c r="C176" s="50" t="str">
        <f t="shared" si="8"/>
        <v/>
      </c>
      <c r="E176" s="24" t="str">
        <f t="shared" si="10"/>
        <v>#VALUE!</v>
      </c>
      <c r="G176" s="1">
        <v>2.2</v>
      </c>
      <c r="H176" s="23" t="b">
        <f>if(countif(Status!C:C,D176)=1,TRUE, FALSE)</f>
        <v>0</v>
      </c>
    </row>
    <row r="177">
      <c r="C177" s="50" t="str">
        <f t="shared" si="8"/>
        <v/>
      </c>
      <c r="E177" s="24" t="str">
        <f t="shared" si="10"/>
        <v>#VALUE!</v>
      </c>
      <c r="G177" s="1">
        <v>2.2</v>
      </c>
      <c r="H177" s="23" t="b">
        <f>if(countif(Status!C:C,D177)=1,TRUE, FALSE)</f>
        <v>0</v>
      </c>
    </row>
    <row r="178">
      <c r="C178" s="50" t="str">
        <f t="shared" si="8"/>
        <v/>
      </c>
      <c r="E178" s="24" t="str">
        <f t="shared" si="10"/>
        <v>#VALUE!</v>
      </c>
      <c r="G178" s="1">
        <v>2.2</v>
      </c>
      <c r="H178" s="23" t="b">
        <f>if(countif(Status!C:C,D178)=1,TRUE, FALSE)</f>
        <v>0</v>
      </c>
    </row>
    <row r="179">
      <c r="C179" s="50" t="str">
        <f t="shared" si="8"/>
        <v/>
      </c>
      <c r="E179" s="24" t="str">
        <f t="shared" si="10"/>
        <v>#VALUE!</v>
      </c>
      <c r="G179" s="1">
        <v>2.2</v>
      </c>
      <c r="H179" s="23" t="b">
        <f>if(countif(Status!C:C,D179)=1,TRUE, FALSE)</f>
        <v>0</v>
      </c>
    </row>
    <row r="180">
      <c r="C180" s="50" t="str">
        <f t="shared" si="8"/>
        <v/>
      </c>
      <c r="E180" s="24" t="str">
        <f t="shared" si="10"/>
        <v>#VALUE!</v>
      </c>
      <c r="G180" s="1">
        <v>2.2</v>
      </c>
      <c r="H180" s="23" t="b">
        <f>if(countif(Status!C:C,D180)=1,TRUE, FALSE)</f>
        <v>0</v>
      </c>
    </row>
    <row r="181">
      <c r="C181" s="50" t="str">
        <f t="shared" si="8"/>
        <v/>
      </c>
      <c r="E181" s="24" t="str">
        <f t="shared" si="10"/>
        <v>#VALUE!</v>
      </c>
      <c r="G181" s="1">
        <v>2.2</v>
      </c>
      <c r="H181" s="23" t="b">
        <f>if(countif(Status!C:C,D181)=1,TRUE, FALSE)</f>
        <v>0</v>
      </c>
    </row>
    <row r="182">
      <c r="C182" s="50" t="str">
        <f t="shared" si="8"/>
        <v/>
      </c>
      <c r="E182" s="24" t="str">
        <f t="shared" si="10"/>
        <v>#VALUE!</v>
      </c>
      <c r="G182" s="1">
        <v>2.2</v>
      </c>
      <c r="H182" s="23" t="b">
        <f>if(countif(Status!C:C,D182)=1,TRUE, FALSE)</f>
        <v>0</v>
      </c>
    </row>
    <row r="183">
      <c r="C183" s="50" t="str">
        <f t="shared" si="8"/>
        <v/>
      </c>
      <c r="E183" s="24" t="str">
        <f t="shared" si="10"/>
        <v>#VALUE!</v>
      </c>
      <c r="G183" s="1">
        <v>2.2</v>
      </c>
      <c r="H183" s="23" t="b">
        <f>if(countif(Status!C:C,D183)=1,TRUE, FALSE)</f>
        <v>0</v>
      </c>
    </row>
    <row r="184">
      <c r="C184" s="50" t="str">
        <f t="shared" si="8"/>
        <v/>
      </c>
      <c r="E184" s="24" t="str">
        <f t="shared" si="10"/>
        <v>#VALUE!</v>
      </c>
      <c r="G184" s="1">
        <v>2.2</v>
      </c>
      <c r="H184" s="23" t="b">
        <f>if(countif(Status!C:C,D184)=1,TRUE, FALSE)</f>
        <v>0</v>
      </c>
    </row>
    <row r="185">
      <c r="C185" s="50" t="str">
        <f t="shared" si="8"/>
        <v/>
      </c>
      <c r="E185" s="24" t="str">
        <f t="shared" si="10"/>
        <v>#VALUE!</v>
      </c>
      <c r="G185" s="1">
        <v>2.2</v>
      </c>
      <c r="H185" s="23" t="b">
        <f>if(countif(Status!C:C,D185)=1,TRUE, FALSE)</f>
        <v>0</v>
      </c>
    </row>
    <row r="186">
      <c r="C186" s="50" t="str">
        <f t="shared" si="8"/>
        <v/>
      </c>
      <c r="E186" s="24" t="str">
        <f t="shared" si="10"/>
        <v>#VALUE!</v>
      </c>
      <c r="G186" s="1">
        <v>2.2</v>
      </c>
      <c r="H186" s="23" t="b">
        <f>if(countif(Status!C:C,D186)=1,TRUE, FALSE)</f>
        <v>0</v>
      </c>
    </row>
    <row r="187">
      <c r="C187" s="50" t="str">
        <f t="shared" si="8"/>
        <v/>
      </c>
      <c r="E187" s="24" t="str">
        <f t="shared" si="10"/>
        <v>#VALUE!</v>
      </c>
      <c r="G187" s="1">
        <v>2.2</v>
      </c>
      <c r="H187" s="23" t="b">
        <f>if(countif(Status!C:C,D187)=1,TRUE, FALSE)</f>
        <v>0</v>
      </c>
    </row>
    <row r="188">
      <c r="C188" s="50" t="str">
        <f t="shared" si="8"/>
        <v/>
      </c>
      <c r="E188" s="24" t="str">
        <f t="shared" si="10"/>
        <v>#VALUE!</v>
      </c>
      <c r="G188" s="1">
        <v>2.2</v>
      </c>
      <c r="H188" s="23" t="b">
        <f>if(countif(Status!C:C,D188)=1,TRUE, FALSE)</f>
        <v>0</v>
      </c>
    </row>
    <row r="189">
      <c r="C189" s="50" t="str">
        <f t="shared" si="8"/>
        <v/>
      </c>
      <c r="E189" s="24" t="str">
        <f t="shared" si="10"/>
        <v>#VALUE!</v>
      </c>
      <c r="G189" s="1">
        <v>2.2</v>
      </c>
      <c r="H189" s="23" t="b">
        <f>if(countif(Status!C:C,D189)=1,TRUE, FALSE)</f>
        <v>0</v>
      </c>
    </row>
    <row r="190">
      <c r="C190" s="50" t="str">
        <f t="shared" si="8"/>
        <v/>
      </c>
      <c r="E190" s="24" t="str">
        <f t="shared" si="10"/>
        <v>#VALUE!</v>
      </c>
      <c r="G190" s="1">
        <v>2.2</v>
      </c>
      <c r="H190" s="23" t="b">
        <f>if(countif(Status!C:C,D190)=1,TRUE, FALSE)</f>
        <v>0</v>
      </c>
    </row>
    <row r="191">
      <c r="C191" s="50" t="str">
        <f t="shared" si="8"/>
        <v/>
      </c>
      <c r="E191" s="24" t="str">
        <f t="shared" si="10"/>
        <v>#VALUE!</v>
      </c>
      <c r="G191" s="1">
        <v>2.2</v>
      </c>
      <c r="H191" s="23" t="b">
        <f>if(countif(Status!C:C,D191)=1,TRUE, FALSE)</f>
        <v>0</v>
      </c>
    </row>
    <row r="192">
      <c r="C192" s="50" t="str">
        <f t="shared" si="8"/>
        <v/>
      </c>
      <c r="E192" s="24" t="str">
        <f t="shared" si="10"/>
        <v>#VALUE!</v>
      </c>
      <c r="G192" s="1">
        <v>2.2</v>
      </c>
      <c r="H192" s="23" t="b">
        <f>if(countif(Status!C:C,D192)=1,TRUE, FALSE)</f>
        <v>0</v>
      </c>
    </row>
    <row r="193">
      <c r="C193" s="50" t="str">
        <f t="shared" si="8"/>
        <v/>
      </c>
      <c r="E193" s="24" t="str">
        <f t="shared" si="10"/>
        <v>#VALUE!</v>
      </c>
      <c r="G193" s="1">
        <v>2.2</v>
      </c>
      <c r="H193" s="23" t="b">
        <f>if(countif(Status!C:C,D193)=1,TRUE, FALSE)</f>
        <v>0</v>
      </c>
    </row>
    <row r="194">
      <c r="C194" s="50" t="str">
        <f t="shared" si="8"/>
        <v/>
      </c>
      <c r="E194" s="24" t="str">
        <f t="shared" si="10"/>
        <v>#VALUE!</v>
      </c>
      <c r="G194" s="1">
        <v>2.2</v>
      </c>
      <c r="H194" s="23" t="b">
        <f>if(countif(Status!C:C,D194)=1,TRUE, FALSE)</f>
        <v>0</v>
      </c>
    </row>
    <row r="195">
      <c r="C195" s="50" t="str">
        <f t="shared" si="8"/>
        <v/>
      </c>
      <c r="E195" s="24" t="str">
        <f t="shared" si="10"/>
        <v>#VALUE!</v>
      </c>
      <c r="G195" s="1">
        <v>2.2</v>
      </c>
      <c r="H195" s="23" t="b">
        <f>if(countif(Status!C:C,D195)=1,TRUE, FALSE)</f>
        <v>0</v>
      </c>
    </row>
    <row r="196">
      <c r="C196" s="50" t="str">
        <f t="shared" si="8"/>
        <v/>
      </c>
      <c r="E196" s="24" t="str">
        <f t="shared" si="10"/>
        <v>#VALUE!</v>
      </c>
      <c r="G196" s="1">
        <v>2.2</v>
      </c>
      <c r="H196" s="23" t="b">
        <f>if(countif(Status!C:C,D196)=1,TRUE, FALSE)</f>
        <v>0</v>
      </c>
    </row>
    <row r="197">
      <c r="C197" s="50" t="str">
        <f t="shared" si="8"/>
        <v/>
      </c>
      <c r="E197" s="24" t="str">
        <f t="shared" si="10"/>
        <v>#VALUE!</v>
      </c>
      <c r="G197" s="1">
        <v>2.2</v>
      </c>
      <c r="H197" s="23" t="b">
        <f>if(countif(Status!C:C,D197)=1,TRUE, FALSE)</f>
        <v>0</v>
      </c>
    </row>
    <row r="198">
      <c r="C198" s="50" t="str">
        <f t="shared" si="8"/>
        <v/>
      </c>
      <c r="E198" s="24" t="str">
        <f t="shared" si="10"/>
        <v>#VALUE!</v>
      </c>
      <c r="G198" s="1">
        <v>2.2</v>
      </c>
      <c r="H198" s="23" t="b">
        <f>if(countif(Status!C:C,D198)=1,TRUE, FALSE)</f>
        <v>0</v>
      </c>
    </row>
    <row r="199">
      <c r="C199" s="50" t="str">
        <f t="shared" si="8"/>
        <v/>
      </c>
      <c r="E199" s="24" t="str">
        <f t="shared" si="10"/>
        <v>#VALUE!</v>
      </c>
      <c r="G199" s="1">
        <v>2.2</v>
      </c>
      <c r="H199" s="23" t="b">
        <f>if(countif(Status!C:C,D199)=1,TRUE, FALSE)</f>
        <v>0</v>
      </c>
    </row>
    <row r="200">
      <c r="C200" s="50" t="str">
        <f t="shared" si="8"/>
        <v/>
      </c>
      <c r="E200" s="24" t="str">
        <f t="shared" si="10"/>
        <v>#VALUE!</v>
      </c>
      <c r="G200" s="1">
        <v>2.2</v>
      </c>
      <c r="H200" s="23" t="b">
        <f>if(countif(Status!C:C,D200)=1,TRUE, FALSE)</f>
        <v>0</v>
      </c>
    </row>
    <row r="201">
      <c r="C201" s="50" t="str">
        <f t="shared" si="8"/>
        <v/>
      </c>
      <c r="E201" s="24" t="str">
        <f t="shared" si="10"/>
        <v>#VALUE!</v>
      </c>
      <c r="G201" s="1">
        <v>2.2</v>
      </c>
      <c r="H201" s="23" t="b">
        <f>if(countif(Status!C:C,D201)=1,TRUE, FALSE)</f>
        <v>0</v>
      </c>
    </row>
    <row r="202">
      <c r="C202" s="50" t="str">
        <f t="shared" si="8"/>
        <v/>
      </c>
      <c r="E202" s="24" t="str">
        <f t="shared" si="10"/>
        <v>#VALUE!</v>
      </c>
      <c r="G202" s="1">
        <v>2.2</v>
      </c>
      <c r="H202" s="23" t="b">
        <f>if(countif(Status!C:C,D202)=1,TRUE, FALSE)</f>
        <v>0</v>
      </c>
    </row>
    <row r="203">
      <c r="C203" s="50" t="str">
        <f t="shared" si="8"/>
        <v/>
      </c>
      <c r="E203" s="24" t="str">
        <f t="shared" si="10"/>
        <v>#VALUE!</v>
      </c>
      <c r="G203" s="1">
        <v>2.2</v>
      </c>
      <c r="H203" s="23" t="b">
        <f>if(countif(Status!C:C,D203)=1,TRUE, FALSE)</f>
        <v>0</v>
      </c>
    </row>
    <row r="204">
      <c r="C204" s="50" t="str">
        <f t="shared" si="8"/>
        <v/>
      </c>
      <c r="E204" s="24" t="str">
        <f t="shared" si="10"/>
        <v>#VALUE!</v>
      </c>
      <c r="G204" s="1">
        <v>2.2</v>
      </c>
      <c r="H204" s="23" t="b">
        <f>if(countif(Status!C:C,D204)=1,TRUE, FALSE)</f>
        <v>0</v>
      </c>
    </row>
    <row r="205">
      <c r="C205" s="50" t="str">
        <f t="shared" si="8"/>
        <v/>
      </c>
      <c r="E205" s="24" t="str">
        <f t="shared" si="10"/>
        <v>#VALUE!</v>
      </c>
      <c r="G205" s="1">
        <v>2.2</v>
      </c>
      <c r="H205" s="23" t="b">
        <f>if(countif(Status!C:C,D205)=1,TRUE, FALSE)</f>
        <v>0</v>
      </c>
    </row>
    <row r="206">
      <c r="C206" s="50" t="str">
        <f t="shared" si="8"/>
        <v/>
      </c>
      <c r="E206" s="24" t="str">
        <f t="shared" si="10"/>
        <v>#VALUE!</v>
      </c>
      <c r="G206" s="1">
        <v>2.2</v>
      </c>
      <c r="H206" s="23" t="b">
        <f>if(countif(Status!C:C,D206)=1,TRUE, FALSE)</f>
        <v>0</v>
      </c>
    </row>
    <row r="207">
      <c r="C207" s="50" t="str">
        <f t="shared" si="8"/>
        <v/>
      </c>
      <c r="E207" s="24" t="str">
        <f t="shared" si="10"/>
        <v>#VALUE!</v>
      </c>
      <c r="G207" s="1">
        <v>2.2</v>
      </c>
      <c r="H207" s="23" t="b">
        <f>if(countif(Status!C:C,D207)=1,TRUE, FALSE)</f>
        <v>0</v>
      </c>
    </row>
    <row r="208">
      <c r="C208" s="50" t="str">
        <f t="shared" si="8"/>
        <v/>
      </c>
      <c r="E208" s="24" t="str">
        <f t="shared" si="10"/>
        <v>#VALUE!</v>
      </c>
      <c r="G208" s="1">
        <v>2.2</v>
      </c>
      <c r="H208" s="23" t="b">
        <f>if(countif(Status!C:C,D208)=1,TRUE, FALSE)</f>
        <v>0</v>
      </c>
    </row>
    <row r="209">
      <c r="C209" s="50" t="str">
        <f t="shared" si="8"/>
        <v/>
      </c>
      <c r="E209" s="24" t="str">
        <f t="shared" si="10"/>
        <v>#VALUE!</v>
      </c>
      <c r="G209" s="1">
        <v>2.2</v>
      </c>
      <c r="H209" s="23" t="b">
        <f>if(countif(Status!C:C,D209)=1,TRUE, FALSE)</f>
        <v>0</v>
      </c>
    </row>
    <row r="210">
      <c r="C210" s="50" t="str">
        <f t="shared" si="8"/>
        <v/>
      </c>
      <c r="E210" s="24" t="str">
        <f t="shared" si="10"/>
        <v>#VALUE!</v>
      </c>
      <c r="G210" s="1">
        <v>2.2</v>
      </c>
      <c r="H210" s="23" t="b">
        <f>if(countif(Status!C:C,D210)=1,TRUE, FALSE)</f>
        <v>0</v>
      </c>
    </row>
    <row r="211">
      <c r="C211" s="50" t="str">
        <f t="shared" si="8"/>
        <v/>
      </c>
      <c r="E211" s="24" t="str">
        <f t="shared" si="10"/>
        <v>#VALUE!</v>
      </c>
      <c r="G211" s="1">
        <v>2.2</v>
      </c>
      <c r="H211" s="23" t="b">
        <f>if(countif(Status!C:C,D211)=1,TRUE, FALSE)</f>
        <v>0</v>
      </c>
    </row>
    <row r="212">
      <c r="C212" s="50" t="str">
        <f t="shared" si="8"/>
        <v/>
      </c>
      <c r="E212" s="24" t="str">
        <f t="shared" si="10"/>
        <v>#VALUE!</v>
      </c>
      <c r="G212" s="1">
        <v>2.2</v>
      </c>
      <c r="H212" s="23" t="b">
        <f>if(countif(Status!C:C,D212)=1,TRUE, FALSE)</f>
        <v>0</v>
      </c>
    </row>
    <row r="213">
      <c r="C213" s="50" t="str">
        <f t="shared" si="8"/>
        <v/>
      </c>
      <c r="E213" s="24" t="str">
        <f t="shared" si="10"/>
        <v>#VALUE!</v>
      </c>
      <c r="G213" s="1">
        <v>2.2</v>
      </c>
      <c r="H213" s="23" t="b">
        <f>if(countif(Status!C:C,D213)=1,TRUE, FALSE)</f>
        <v>0</v>
      </c>
    </row>
    <row r="214">
      <c r="C214" s="50" t="str">
        <f t="shared" si="8"/>
        <v/>
      </c>
      <c r="E214" s="24" t="str">
        <f t="shared" si="10"/>
        <v>#VALUE!</v>
      </c>
      <c r="G214" s="1">
        <v>2.2</v>
      </c>
      <c r="H214" s="23" t="b">
        <f>if(countif(Status!C:C,D214)=1,TRUE, FALSE)</f>
        <v>0</v>
      </c>
    </row>
    <row r="215">
      <c r="C215" s="50" t="str">
        <f t="shared" si="8"/>
        <v/>
      </c>
      <c r="E215" s="24" t="str">
        <f t="shared" si="10"/>
        <v>#VALUE!</v>
      </c>
      <c r="G215" s="1">
        <v>2.2</v>
      </c>
      <c r="H215" s="23" t="b">
        <f>if(countif(Status!C:C,D215)=1,TRUE, FALSE)</f>
        <v>0</v>
      </c>
    </row>
    <row r="216">
      <c r="C216" s="50" t="str">
        <f t="shared" si="8"/>
        <v/>
      </c>
      <c r="E216" s="24" t="str">
        <f t="shared" si="10"/>
        <v>#VALUE!</v>
      </c>
      <c r="G216" s="1">
        <v>2.2</v>
      </c>
      <c r="H216" s="23" t="b">
        <f>if(countif(Status!C:C,D216)=1,TRUE, FALSE)</f>
        <v>0</v>
      </c>
    </row>
    <row r="217">
      <c r="C217" s="50" t="str">
        <f t="shared" si="8"/>
        <v/>
      </c>
      <c r="E217" s="24" t="str">
        <f t="shared" si="10"/>
        <v>#VALUE!</v>
      </c>
      <c r="G217" s="1">
        <v>2.2</v>
      </c>
      <c r="H217" s="23" t="b">
        <f>if(countif(Status!C:C,D217)=1,TRUE, FALSE)</f>
        <v>0</v>
      </c>
    </row>
    <row r="218">
      <c r="C218" s="50" t="str">
        <f t="shared" si="8"/>
        <v/>
      </c>
      <c r="E218" s="24" t="str">
        <f t="shared" si="10"/>
        <v>#VALUE!</v>
      </c>
      <c r="G218" s="1">
        <v>2.2</v>
      </c>
      <c r="H218" s="23" t="b">
        <f>if(countif(Status!C:C,D218)=1,TRUE, FALSE)</f>
        <v>0</v>
      </c>
    </row>
    <row r="219">
      <c r="C219" s="50" t="str">
        <f t="shared" si="8"/>
        <v/>
      </c>
      <c r="E219" s="24" t="str">
        <f t="shared" si="10"/>
        <v>#VALUE!</v>
      </c>
      <c r="G219" s="1">
        <v>2.2</v>
      </c>
      <c r="H219" s="23" t="b">
        <f>if(countif(Status!C:C,D219)=1,TRUE, FALSE)</f>
        <v>0</v>
      </c>
    </row>
    <row r="220">
      <c r="C220" s="50" t="str">
        <f t="shared" si="8"/>
        <v/>
      </c>
      <c r="E220" s="24" t="str">
        <f t="shared" si="10"/>
        <v>#VALUE!</v>
      </c>
      <c r="G220" s="1">
        <v>2.2</v>
      </c>
      <c r="H220" s="23" t="b">
        <f>if(countif(Status!C:C,D220)=1,TRUE, FALSE)</f>
        <v>0</v>
      </c>
    </row>
    <row r="221">
      <c r="C221" s="50" t="str">
        <f t="shared" si="8"/>
        <v/>
      </c>
      <c r="E221" s="24" t="str">
        <f t="shared" si="10"/>
        <v>#VALUE!</v>
      </c>
      <c r="G221" s="1">
        <v>2.2</v>
      </c>
      <c r="H221" s="23" t="b">
        <f>if(countif(Status!C:C,D221)=1,TRUE, FALSE)</f>
        <v>0</v>
      </c>
    </row>
    <row r="222">
      <c r="C222" s="50" t="str">
        <f t="shared" si="8"/>
        <v/>
      </c>
      <c r="E222" s="24" t="str">
        <f t="shared" si="10"/>
        <v>#VALUE!</v>
      </c>
      <c r="G222" s="1">
        <v>2.2</v>
      </c>
      <c r="H222" s="23" t="b">
        <f>if(countif(Status!C:C,D222)=1,TRUE, FALSE)</f>
        <v>0</v>
      </c>
    </row>
    <row r="223">
      <c r="C223" s="50" t="str">
        <f t="shared" si="8"/>
        <v/>
      </c>
      <c r="E223" s="24" t="str">
        <f t="shared" si="10"/>
        <v>#VALUE!</v>
      </c>
      <c r="G223" s="1">
        <v>2.2</v>
      </c>
      <c r="H223" s="23" t="b">
        <f>if(countif(Status!C:C,D223)=1,TRUE, FALSE)</f>
        <v>0</v>
      </c>
    </row>
    <row r="224">
      <c r="C224" s="50" t="str">
        <f t="shared" si="8"/>
        <v/>
      </c>
      <c r="E224" s="24" t="str">
        <f t="shared" si="10"/>
        <v>#VALUE!</v>
      </c>
      <c r="G224" s="1">
        <v>2.2</v>
      </c>
      <c r="H224" s="23" t="b">
        <f>if(countif(Status!C:C,D224)=1,TRUE, FALSE)</f>
        <v>0</v>
      </c>
    </row>
    <row r="225">
      <c r="C225" s="50" t="str">
        <f t="shared" si="8"/>
        <v/>
      </c>
      <c r="E225" s="24" t="str">
        <f t="shared" si="10"/>
        <v>#VALUE!</v>
      </c>
      <c r="G225" s="1">
        <v>2.2</v>
      </c>
      <c r="H225" s="23" t="b">
        <f>if(countif(Status!C:C,D225)=1,TRUE, FALSE)</f>
        <v>0</v>
      </c>
    </row>
    <row r="226">
      <c r="C226" s="50" t="str">
        <f t="shared" si="8"/>
        <v/>
      </c>
      <c r="E226" s="24" t="str">
        <f t="shared" si="10"/>
        <v>#VALUE!</v>
      </c>
      <c r="G226" s="1">
        <v>2.2</v>
      </c>
      <c r="H226" s="23" t="b">
        <f>if(countif(Status!C:C,D226)=1,TRUE, FALSE)</f>
        <v>0</v>
      </c>
    </row>
    <row r="227">
      <c r="C227" s="50" t="str">
        <f t="shared" si="8"/>
        <v/>
      </c>
      <c r="E227" s="24" t="str">
        <f t="shared" si="10"/>
        <v>#VALUE!</v>
      </c>
      <c r="G227" s="1">
        <v>2.2</v>
      </c>
      <c r="H227" s="23" t="b">
        <f>if(countif(Status!C:C,D227)=1,TRUE, FALSE)</f>
        <v>0</v>
      </c>
    </row>
    <row r="228">
      <c r="C228" s="50" t="str">
        <f t="shared" si="8"/>
        <v/>
      </c>
      <c r="E228" s="24" t="str">
        <f t="shared" si="10"/>
        <v>#VALUE!</v>
      </c>
      <c r="G228" s="1">
        <v>2.2</v>
      </c>
      <c r="H228" s="23" t="b">
        <f>if(countif(Status!C:C,D228)=1,TRUE, FALSE)</f>
        <v>0</v>
      </c>
    </row>
    <row r="229">
      <c r="C229" s="50" t="str">
        <f t="shared" si="8"/>
        <v/>
      </c>
      <c r="E229" s="24" t="str">
        <f t="shared" si="10"/>
        <v>#VALUE!</v>
      </c>
      <c r="G229" s="1">
        <v>2.2</v>
      </c>
      <c r="H229" s="23" t="b">
        <f>if(countif(Status!C:C,D229)=1,TRUE, FALSE)</f>
        <v>0</v>
      </c>
    </row>
    <row r="230">
      <c r="C230" s="50" t="str">
        <f t="shared" si="8"/>
        <v/>
      </c>
      <c r="E230" s="24" t="str">
        <f t="shared" si="10"/>
        <v>#VALUE!</v>
      </c>
      <c r="G230" s="1">
        <v>2.2</v>
      </c>
      <c r="H230" s="23" t="b">
        <f>if(countif(Status!C:C,D230)=1,TRUE, FALSE)</f>
        <v>0</v>
      </c>
    </row>
    <row r="231">
      <c r="C231" s="50" t="str">
        <f t="shared" si="8"/>
        <v/>
      </c>
      <c r="E231" s="24" t="str">
        <f t="shared" si="10"/>
        <v>#VALUE!</v>
      </c>
      <c r="G231" s="1">
        <v>2.2</v>
      </c>
      <c r="H231" s="23" t="b">
        <f>if(countif(Status!C:C,D231)=1,TRUE, FALSE)</f>
        <v>0</v>
      </c>
    </row>
    <row r="232">
      <c r="C232" s="50" t="str">
        <f t="shared" si="8"/>
        <v/>
      </c>
      <c r="E232" s="24" t="str">
        <f t="shared" si="10"/>
        <v>#VALUE!</v>
      </c>
      <c r="G232" s="1">
        <v>2.2</v>
      </c>
      <c r="H232" s="23" t="b">
        <f>if(countif(Status!C:C,D232)=1,TRUE, FALSE)</f>
        <v>0</v>
      </c>
    </row>
    <row r="233">
      <c r="C233" s="50" t="str">
        <f t="shared" si="8"/>
        <v/>
      </c>
      <c r="E233" s="24" t="str">
        <f t="shared" si="10"/>
        <v>#VALUE!</v>
      </c>
      <c r="G233" s="1">
        <v>2.2</v>
      </c>
      <c r="H233" s="23" t="b">
        <f>if(countif(Status!C:C,D233)=1,TRUE, FALSE)</f>
        <v>0</v>
      </c>
    </row>
    <row r="234">
      <c r="C234" s="50" t="str">
        <f t="shared" si="8"/>
        <v/>
      </c>
      <c r="E234" s="24" t="str">
        <f t="shared" si="10"/>
        <v>#VALUE!</v>
      </c>
      <c r="G234" s="1">
        <v>2.2</v>
      </c>
      <c r="H234" s="23" t="b">
        <f>if(countif(Status!C:C,D234)=1,TRUE, FALSE)</f>
        <v>0</v>
      </c>
    </row>
    <row r="235">
      <c r="C235" s="50" t="str">
        <f t="shared" si="8"/>
        <v/>
      </c>
      <c r="E235" s="24" t="str">
        <f t="shared" si="10"/>
        <v>#VALUE!</v>
      </c>
      <c r="G235" s="1">
        <v>2.2</v>
      </c>
      <c r="H235" s="23" t="b">
        <f>if(countif(Status!C:C,D235)=1,TRUE, FALSE)</f>
        <v>0</v>
      </c>
    </row>
    <row r="236">
      <c r="C236" s="50" t="str">
        <f t="shared" si="8"/>
        <v/>
      </c>
      <c r="E236" s="24" t="str">
        <f t="shared" si="10"/>
        <v>#VALUE!</v>
      </c>
      <c r="G236" s="1">
        <v>2.2</v>
      </c>
      <c r="H236" s="23" t="b">
        <f>if(countif(Status!C:C,D236)=1,TRUE, FALSE)</f>
        <v>0</v>
      </c>
    </row>
    <row r="237">
      <c r="C237" s="50" t="str">
        <f t="shared" si="8"/>
        <v/>
      </c>
      <c r="E237" s="24" t="str">
        <f t="shared" si="10"/>
        <v>#VALUE!</v>
      </c>
      <c r="G237" s="1">
        <v>2.2</v>
      </c>
      <c r="H237" s="23" t="b">
        <f>if(countif(Status!C:C,D237)=1,TRUE, FALSE)</f>
        <v>0</v>
      </c>
    </row>
    <row r="238">
      <c r="C238" s="50" t="str">
        <f t="shared" si="8"/>
        <v/>
      </c>
      <c r="E238" s="24" t="str">
        <f t="shared" si="10"/>
        <v>#VALUE!</v>
      </c>
      <c r="G238" s="1">
        <v>2.2</v>
      </c>
      <c r="H238" s="23" t="b">
        <f>if(countif(Status!C:C,D238)=1,TRUE, FALSE)</f>
        <v>0</v>
      </c>
    </row>
    <row r="239">
      <c r="C239" s="50" t="str">
        <f t="shared" si="8"/>
        <v/>
      </c>
      <c r="E239" s="24" t="str">
        <f t="shared" si="10"/>
        <v>#VALUE!</v>
      </c>
      <c r="G239" s="1">
        <v>2.2</v>
      </c>
      <c r="H239" s="23" t="b">
        <f>if(countif(Status!C:C,D239)=1,TRUE, FALSE)</f>
        <v>0</v>
      </c>
    </row>
    <row r="240">
      <c r="C240" s="50" t="str">
        <f t="shared" si="8"/>
        <v/>
      </c>
      <c r="E240" s="24" t="str">
        <f t="shared" si="10"/>
        <v>#VALUE!</v>
      </c>
      <c r="G240" s="1">
        <v>2.2</v>
      </c>
      <c r="H240" s="23" t="b">
        <f>if(countif(Status!C:C,D240)=1,TRUE, FALSE)</f>
        <v>0</v>
      </c>
    </row>
    <row r="241">
      <c r="C241" s="50" t="str">
        <f t="shared" si="8"/>
        <v/>
      </c>
      <c r="E241" s="24" t="str">
        <f t="shared" si="10"/>
        <v>#VALUE!</v>
      </c>
      <c r="G241" s="1">
        <v>2.2</v>
      </c>
      <c r="H241" s="23" t="b">
        <f>if(countif(Status!C:C,D241)=1,TRUE, FALSE)</f>
        <v>0</v>
      </c>
    </row>
    <row r="242">
      <c r="C242" s="50" t="str">
        <f t="shared" si="8"/>
        <v/>
      </c>
      <c r="E242" s="24" t="str">
        <f t="shared" si="10"/>
        <v>#VALUE!</v>
      </c>
      <c r="G242" s="1">
        <v>2.2</v>
      </c>
      <c r="H242" s="23" t="b">
        <f>if(countif(Status!C:C,D242)=1,TRUE, FALSE)</f>
        <v>0</v>
      </c>
    </row>
    <row r="243">
      <c r="C243" s="50" t="str">
        <f t="shared" si="8"/>
        <v/>
      </c>
      <c r="E243" s="24" t="str">
        <f t="shared" si="10"/>
        <v>#VALUE!</v>
      </c>
      <c r="G243" s="1">
        <v>2.2</v>
      </c>
      <c r="H243" s="23" t="b">
        <f>if(countif(Status!C:C,D243)=1,TRUE, FALSE)</f>
        <v>0</v>
      </c>
    </row>
    <row r="244">
      <c r="C244" s="50" t="str">
        <f t="shared" si="8"/>
        <v/>
      </c>
      <c r="E244" s="24" t="str">
        <f t="shared" si="10"/>
        <v>#VALUE!</v>
      </c>
      <c r="G244" s="1">
        <v>2.2</v>
      </c>
      <c r="H244" s="23" t="b">
        <f>if(countif(Status!C:C,D244)=1,TRUE, FALSE)</f>
        <v>0</v>
      </c>
    </row>
    <row r="245">
      <c r="C245" s="50" t="str">
        <f t="shared" si="8"/>
        <v/>
      </c>
      <c r="E245" s="24" t="str">
        <f t="shared" si="10"/>
        <v>#VALUE!</v>
      </c>
      <c r="G245" s="1">
        <v>2.2</v>
      </c>
      <c r="H245" s="23" t="b">
        <f>if(countif(Status!C:C,D245)=1,TRUE, FALSE)</f>
        <v>0</v>
      </c>
    </row>
    <row r="246">
      <c r="C246" s="50" t="str">
        <f t="shared" si="8"/>
        <v/>
      </c>
      <c r="E246" s="24" t="str">
        <f t="shared" si="10"/>
        <v>#VALUE!</v>
      </c>
      <c r="G246" s="1">
        <v>2.2</v>
      </c>
      <c r="H246" s="23" t="b">
        <f>if(countif(Status!C:C,D246)=1,TRUE, FALSE)</f>
        <v>0</v>
      </c>
    </row>
    <row r="247">
      <c r="C247" s="50" t="str">
        <f t="shared" si="8"/>
        <v/>
      </c>
      <c r="E247" s="24" t="str">
        <f t="shared" si="10"/>
        <v>#VALUE!</v>
      </c>
      <c r="G247" s="1">
        <v>2.2</v>
      </c>
      <c r="H247" s="23" t="b">
        <f>if(countif(Status!C:C,D247)=1,TRUE, FALSE)</f>
        <v>0</v>
      </c>
    </row>
    <row r="248">
      <c r="C248" s="50" t="str">
        <f t="shared" si="8"/>
        <v/>
      </c>
      <c r="E248" s="24" t="str">
        <f t="shared" si="10"/>
        <v>#VALUE!</v>
      </c>
      <c r="G248" s="1">
        <v>2.2</v>
      </c>
      <c r="H248" s="23" t="b">
        <f>if(countif(Status!C:C,D248)=1,TRUE, FALSE)</f>
        <v>0</v>
      </c>
    </row>
    <row r="249">
      <c r="C249" s="50" t="str">
        <f t="shared" si="8"/>
        <v/>
      </c>
      <c r="E249" s="24" t="str">
        <f t="shared" si="10"/>
        <v>#VALUE!</v>
      </c>
      <c r="G249" s="1">
        <v>2.2</v>
      </c>
      <c r="H249" s="23" t="b">
        <f>if(countif(Status!C:C,D249)=1,TRUE, FALSE)</f>
        <v>0</v>
      </c>
    </row>
    <row r="250">
      <c r="C250" s="50" t="str">
        <f t="shared" si="8"/>
        <v/>
      </c>
      <c r="E250" s="24" t="str">
        <f t="shared" si="10"/>
        <v>#VALUE!</v>
      </c>
      <c r="G250" s="1">
        <v>2.2</v>
      </c>
      <c r="H250" s="23" t="b">
        <f>if(countif(Status!C:C,D250)=1,TRUE, FALSE)</f>
        <v>0</v>
      </c>
    </row>
    <row r="251">
      <c r="C251" s="50" t="str">
        <f t="shared" si="8"/>
        <v/>
      </c>
      <c r="E251" s="24" t="str">
        <f t="shared" si="10"/>
        <v>#VALUE!</v>
      </c>
      <c r="G251" s="1">
        <v>2.2</v>
      </c>
      <c r="H251" s="23" t="b">
        <f>if(countif(Status!C:C,D251)=1,TRUE, FALSE)</f>
        <v>0</v>
      </c>
    </row>
    <row r="252">
      <c r="C252" s="50" t="str">
        <f t="shared" si="8"/>
        <v/>
      </c>
      <c r="E252" s="24" t="str">
        <f t="shared" si="10"/>
        <v>#VALUE!</v>
      </c>
      <c r="G252" s="1">
        <v>2.2</v>
      </c>
      <c r="H252" s="23" t="b">
        <f>if(countif(Status!C:C,D252)=1,TRUE, FALSE)</f>
        <v>0</v>
      </c>
    </row>
    <row r="253">
      <c r="C253" s="50" t="str">
        <f t="shared" si="8"/>
        <v/>
      </c>
      <c r="E253" s="24" t="str">
        <f t="shared" si="10"/>
        <v>#VALUE!</v>
      </c>
      <c r="G253" s="1">
        <v>2.2</v>
      </c>
      <c r="H253" s="23" t="b">
        <f>if(countif(Status!C:C,D253)=1,TRUE, FALSE)</f>
        <v>0</v>
      </c>
    </row>
    <row r="254">
      <c r="C254" s="50" t="str">
        <f t="shared" si="8"/>
        <v/>
      </c>
      <c r="E254" s="24" t="str">
        <f t="shared" si="10"/>
        <v>#VALUE!</v>
      </c>
      <c r="G254" s="1">
        <v>2.2</v>
      </c>
      <c r="H254" s="23" t="b">
        <f>if(countif(Status!C:C,D254)=1,TRUE, FALSE)</f>
        <v>0</v>
      </c>
    </row>
    <row r="255">
      <c r="C255" s="50" t="str">
        <f t="shared" si="8"/>
        <v/>
      </c>
      <c r="E255" s="24" t="str">
        <f t="shared" si="10"/>
        <v>#VALUE!</v>
      </c>
      <c r="G255" s="1">
        <v>2.2</v>
      </c>
      <c r="H255" s="23" t="b">
        <f>if(countif(Status!C:C,D255)=1,TRUE, FALSE)</f>
        <v>0</v>
      </c>
    </row>
    <row r="256">
      <c r="C256" s="50" t="str">
        <f t="shared" si="8"/>
        <v/>
      </c>
      <c r="E256" s="24" t="str">
        <f t="shared" si="10"/>
        <v>#VALUE!</v>
      </c>
      <c r="G256" s="1">
        <v>2.2</v>
      </c>
      <c r="H256" s="23" t="b">
        <f>if(countif(Status!C:C,D256)=1,TRUE, FALSE)</f>
        <v>0</v>
      </c>
    </row>
    <row r="257">
      <c r="C257" s="50" t="str">
        <f t="shared" si="8"/>
        <v/>
      </c>
      <c r="E257" s="24" t="str">
        <f t="shared" si="10"/>
        <v>#VALUE!</v>
      </c>
      <c r="G257" s="1">
        <v>2.2</v>
      </c>
      <c r="H257" s="23" t="b">
        <f>if(countif(Status!C:C,D257)=1,TRUE, FALSE)</f>
        <v>0</v>
      </c>
    </row>
    <row r="258">
      <c r="C258" s="50" t="str">
        <f t="shared" si="8"/>
        <v/>
      </c>
      <c r="E258" s="24" t="str">
        <f t="shared" si="10"/>
        <v>#VALUE!</v>
      </c>
      <c r="G258" s="1">
        <v>2.2</v>
      </c>
      <c r="H258" s="23" t="b">
        <f>if(countif(Status!C:C,D258)=1,TRUE, FALSE)</f>
        <v>0</v>
      </c>
    </row>
    <row r="259">
      <c r="C259" s="50" t="str">
        <f t="shared" si="8"/>
        <v/>
      </c>
      <c r="E259" s="24" t="str">
        <f t="shared" si="10"/>
        <v>#VALUE!</v>
      </c>
      <c r="G259" s="1">
        <v>2.2</v>
      </c>
      <c r="H259" s="23" t="b">
        <f>if(countif(Status!C:C,D259)=1,TRUE, FALSE)</f>
        <v>0</v>
      </c>
    </row>
    <row r="260">
      <c r="C260" s="50" t="str">
        <f t="shared" si="8"/>
        <v/>
      </c>
      <c r="E260" s="24" t="str">
        <f t="shared" si="10"/>
        <v>#VALUE!</v>
      </c>
      <c r="G260" s="1">
        <v>2.2</v>
      </c>
      <c r="H260" s="23" t="b">
        <f>if(countif(Status!C:C,D260)=1,TRUE, FALSE)</f>
        <v>0</v>
      </c>
    </row>
    <row r="261">
      <c r="C261" s="50" t="str">
        <f t="shared" si="8"/>
        <v/>
      </c>
      <c r="E261" s="24" t="str">
        <f t="shared" si="10"/>
        <v>#VALUE!</v>
      </c>
      <c r="G261" s="1">
        <v>2.2</v>
      </c>
      <c r="H261" s="23" t="b">
        <f>if(countif(Status!C:C,D261)=1,TRUE, FALSE)</f>
        <v>0</v>
      </c>
    </row>
    <row r="262">
      <c r="C262" s="50" t="str">
        <f t="shared" si="8"/>
        <v/>
      </c>
      <c r="E262" s="24" t="str">
        <f t="shared" si="10"/>
        <v>#VALUE!</v>
      </c>
      <c r="G262" s="1">
        <v>2.2</v>
      </c>
      <c r="H262" s="23" t="b">
        <f>if(countif(Status!C:C,D262)=1,TRUE, FALSE)</f>
        <v>0</v>
      </c>
    </row>
    <row r="263">
      <c r="C263" s="50" t="str">
        <f t="shared" si="8"/>
        <v/>
      </c>
      <c r="E263" s="24" t="str">
        <f t="shared" si="10"/>
        <v>#VALUE!</v>
      </c>
      <c r="G263" s="1">
        <v>2.2</v>
      </c>
      <c r="H263" s="23" t="b">
        <f>if(countif(Status!C:C,D263)=1,TRUE, FALSE)</f>
        <v>0</v>
      </c>
    </row>
    <row r="264">
      <c r="C264" s="50" t="str">
        <f t="shared" si="8"/>
        <v/>
      </c>
      <c r="E264" s="24" t="str">
        <f t="shared" si="10"/>
        <v>#VALUE!</v>
      </c>
      <c r="G264" s="1">
        <v>2.2</v>
      </c>
      <c r="H264" s="23" t="b">
        <f>if(countif(Status!C:C,D264)=1,TRUE, FALSE)</f>
        <v>0</v>
      </c>
    </row>
    <row r="265">
      <c r="C265" s="50" t="str">
        <f t="shared" si="8"/>
        <v/>
      </c>
      <c r="E265" s="24" t="str">
        <f t="shared" si="10"/>
        <v>#VALUE!</v>
      </c>
      <c r="G265" s="1">
        <v>2.2</v>
      </c>
      <c r="H265" s="23" t="b">
        <f>if(countif(Status!C:C,D265)=1,TRUE, FALSE)</f>
        <v>0</v>
      </c>
    </row>
    <row r="266">
      <c r="C266" s="50" t="str">
        <f t="shared" si="8"/>
        <v/>
      </c>
      <c r="E266" s="24" t="str">
        <f t="shared" si="10"/>
        <v>#VALUE!</v>
      </c>
      <c r="G266" s="1">
        <v>2.2</v>
      </c>
      <c r="H266" s="23" t="b">
        <f>if(countif(Status!C:C,D266)=1,TRUE, FALSE)</f>
        <v>0</v>
      </c>
    </row>
    <row r="267">
      <c r="C267" s="50" t="str">
        <f t="shared" si="8"/>
        <v/>
      </c>
      <c r="E267" s="24" t="str">
        <f t="shared" si="10"/>
        <v>#VALUE!</v>
      </c>
      <c r="G267" s="1">
        <v>2.2</v>
      </c>
      <c r="H267" s="23" t="b">
        <f>if(countif(Status!C:C,D267)=1,TRUE, FALSE)</f>
        <v>0</v>
      </c>
    </row>
    <row r="268">
      <c r="C268" s="50" t="str">
        <f t="shared" si="8"/>
        <v/>
      </c>
      <c r="E268" s="24" t="str">
        <f t="shared" si="10"/>
        <v>#VALUE!</v>
      </c>
      <c r="G268" s="1">
        <v>2.2</v>
      </c>
      <c r="H268" s="23" t="b">
        <f>if(countif(Status!C:C,D268)=1,TRUE, FALSE)</f>
        <v>0</v>
      </c>
    </row>
    <row r="269">
      <c r="C269" s="50" t="str">
        <f t="shared" si="8"/>
        <v/>
      </c>
      <c r="E269" s="24" t="str">
        <f t="shared" si="10"/>
        <v>#VALUE!</v>
      </c>
      <c r="G269" s="1">
        <v>2.2</v>
      </c>
      <c r="H269" s="23" t="b">
        <f>if(countif(Status!C:C,D269)=1,TRUE, FALSE)</f>
        <v>0</v>
      </c>
    </row>
    <row r="270">
      <c r="C270" s="50" t="str">
        <f t="shared" si="8"/>
        <v/>
      </c>
      <c r="E270" s="24" t="str">
        <f t="shared" si="10"/>
        <v>#VALUE!</v>
      </c>
      <c r="G270" s="1">
        <v>2.2</v>
      </c>
      <c r="H270" s="23" t="b">
        <f>if(countif(Status!C:C,D270)=1,TRUE, FALSE)</f>
        <v>0</v>
      </c>
    </row>
    <row r="271">
      <c r="C271" s="50" t="str">
        <f t="shared" si="8"/>
        <v/>
      </c>
      <c r="E271" s="24" t="str">
        <f t="shared" si="10"/>
        <v>#VALUE!</v>
      </c>
      <c r="G271" s="1">
        <v>2.2</v>
      </c>
      <c r="H271" s="23" t="b">
        <f>if(countif(Status!C:C,D271)=1,TRUE, FALSE)</f>
        <v>0</v>
      </c>
    </row>
    <row r="272">
      <c r="C272" s="50" t="str">
        <f t="shared" si="8"/>
        <v/>
      </c>
      <c r="E272" s="24" t="str">
        <f t="shared" si="10"/>
        <v>#VALUE!</v>
      </c>
      <c r="G272" s="1">
        <v>2.2</v>
      </c>
      <c r="H272" s="23" t="b">
        <f>if(countif(Status!C:C,D272)=1,TRUE, FALSE)</f>
        <v>0</v>
      </c>
    </row>
    <row r="273">
      <c r="C273" s="50" t="str">
        <f t="shared" si="8"/>
        <v/>
      </c>
      <c r="E273" s="24" t="str">
        <f t="shared" si="10"/>
        <v>#VALUE!</v>
      </c>
      <c r="G273" s="1">
        <v>2.2</v>
      </c>
      <c r="H273" s="23" t="b">
        <f>if(countif(Status!C:C,D273)=1,TRUE, FALSE)</f>
        <v>0</v>
      </c>
    </row>
    <row r="274">
      <c r="C274" s="50" t="str">
        <f t="shared" si="8"/>
        <v/>
      </c>
      <c r="E274" s="24" t="str">
        <f t="shared" si="10"/>
        <v>#VALUE!</v>
      </c>
      <c r="G274" s="1">
        <v>2.2</v>
      </c>
      <c r="H274" s="23" t="b">
        <f>if(countif(Status!C:C,D274)=1,TRUE, FALSE)</f>
        <v>0</v>
      </c>
    </row>
    <row r="275">
      <c r="C275" s="50" t="str">
        <f t="shared" si="8"/>
        <v/>
      </c>
      <c r="E275" s="24" t="str">
        <f t="shared" si="10"/>
        <v>#VALUE!</v>
      </c>
      <c r="G275" s="1">
        <v>2.2</v>
      </c>
      <c r="H275" s="23" t="b">
        <f>if(countif(Status!C:C,D275)=1,TRUE, FALSE)</f>
        <v>0</v>
      </c>
    </row>
    <row r="276">
      <c r="C276" s="50" t="str">
        <f t="shared" si="8"/>
        <v/>
      </c>
      <c r="E276" s="24" t="str">
        <f t="shared" si="10"/>
        <v>#VALUE!</v>
      </c>
      <c r="G276" s="1">
        <v>2.2</v>
      </c>
      <c r="H276" s="23" t="b">
        <f>if(countif(Status!C:C,D276)=1,TRUE, FALSE)</f>
        <v>0</v>
      </c>
    </row>
    <row r="277">
      <c r="C277" s="50" t="str">
        <f t="shared" si="8"/>
        <v/>
      </c>
      <c r="E277" s="24" t="str">
        <f t="shared" si="10"/>
        <v>#VALUE!</v>
      </c>
      <c r="G277" s="1">
        <v>2.2</v>
      </c>
      <c r="H277" s="23" t="b">
        <f>if(countif(Status!C:C,D277)=1,TRUE, FALSE)</f>
        <v>0</v>
      </c>
    </row>
    <row r="278">
      <c r="C278" s="50" t="str">
        <f t="shared" si="8"/>
        <v/>
      </c>
      <c r="E278" s="24" t="str">
        <f t="shared" si="10"/>
        <v>#VALUE!</v>
      </c>
      <c r="G278" s="1">
        <v>2.2</v>
      </c>
      <c r="H278" s="23" t="b">
        <f>if(countif(Status!C:C,D278)=1,TRUE, FALSE)</f>
        <v>0</v>
      </c>
    </row>
    <row r="279">
      <c r="C279" s="50" t="str">
        <f t="shared" si="8"/>
        <v/>
      </c>
      <c r="E279" s="24" t="str">
        <f t="shared" si="10"/>
        <v>#VALUE!</v>
      </c>
      <c r="G279" s="1">
        <v>2.2</v>
      </c>
      <c r="H279" s="23" t="b">
        <f>if(countif(Status!C:C,D279)=1,TRUE, FALSE)</f>
        <v>0</v>
      </c>
    </row>
    <row r="280">
      <c r="C280" s="50" t="str">
        <f t="shared" si="8"/>
        <v/>
      </c>
      <c r="E280" s="24" t="str">
        <f t="shared" si="10"/>
        <v>#VALUE!</v>
      </c>
      <c r="G280" s="1">
        <v>2.2</v>
      </c>
      <c r="H280" s="23" t="b">
        <f>if(countif(Status!C:C,D280)=1,TRUE, FALSE)</f>
        <v>0</v>
      </c>
    </row>
    <row r="281">
      <c r="C281" s="50" t="str">
        <f t="shared" si="8"/>
        <v/>
      </c>
      <c r="E281" s="24" t="str">
        <f t="shared" si="10"/>
        <v>#VALUE!</v>
      </c>
      <c r="G281" s="1">
        <v>2.2</v>
      </c>
      <c r="H281" s="23" t="b">
        <f>if(countif(Status!C:C,D281)=1,TRUE, FALSE)</f>
        <v>0</v>
      </c>
    </row>
    <row r="282">
      <c r="C282" s="50" t="str">
        <f t="shared" si="8"/>
        <v/>
      </c>
      <c r="E282" s="24" t="str">
        <f t="shared" si="10"/>
        <v>#VALUE!</v>
      </c>
      <c r="G282" s="1">
        <v>2.2</v>
      </c>
      <c r="H282" s="23" t="b">
        <f>if(countif(Status!C:C,D282)=1,TRUE, FALSE)</f>
        <v>0</v>
      </c>
    </row>
    <row r="283">
      <c r="C283" s="50" t="str">
        <f t="shared" si="8"/>
        <v/>
      </c>
      <c r="E283" s="24" t="str">
        <f t="shared" si="10"/>
        <v>#VALUE!</v>
      </c>
      <c r="G283" s="1">
        <v>2.2</v>
      </c>
      <c r="H283" s="23" t="b">
        <f>if(countif(Status!C:C,D283)=1,TRUE, FALSE)</f>
        <v>0</v>
      </c>
    </row>
    <row r="284">
      <c r="C284" s="50" t="str">
        <f t="shared" si="8"/>
        <v/>
      </c>
      <c r="E284" s="24" t="str">
        <f t="shared" si="10"/>
        <v>#VALUE!</v>
      </c>
      <c r="G284" s="1">
        <v>2.2</v>
      </c>
      <c r="H284" s="23" t="b">
        <f>if(countif(Status!C:C,D284)=1,TRUE, FALSE)</f>
        <v>0</v>
      </c>
    </row>
    <row r="285">
      <c r="C285" s="50" t="str">
        <f t="shared" si="8"/>
        <v/>
      </c>
      <c r="E285" s="24" t="str">
        <f t="shared" si="10"/>
        <v>#VALUE!</v>
      </c>
      <c r="G285" s="1">
        <v>2.2</v>
      </c>
      <c r="H285" s="23" t="b">
        <f>if(countif(Status!C:C,D285)=1,TRUE, FALSE)</f>
        <v>0</v>
      </c>
    </row>
    <row r="286">
      <c r="C286" s="50" t="str">
        <f t="shared" si="8"/>
        <v/>
      </c>
      <c r="E286" s="24" t="str">
        <f t="shared" si="10"/>
        <v>#VALUE!</v>
      </c>
      <c r="G286" s="1">
        <v>2.2</v>
      </c>
      <c r="H286" s="23" t="b">
        <f>if(countif(Status!C:C,D286)=1,TRUE, FALSE)</f>
        <v>0</v>
      </c>
    </row>
    <row r="287">
      <c r="C287" s="50" t="str">
        <f t="shared" si="8"/>
        <v/>
      </c>
      <c r="E287" s="24" t="str">
        <f t="shared" si="10"/>
        <v>#VALUE!</v>
      </c>
      <c r="G287" s="1">
        <v>2.2</v>
      </c>
      <c r="H287" s="23" t="b">
        <f>if(countif(Status!C:C,D287)=1,TRUE, FALSE)</f>
        <v>0</v>
      </c>
    </row>
    <row r="288">
      <c r="C288" s="50" t="str">
        <f t="shared" si="8"/>
        <v/>
      </c>
      <c r="E288" s="24" t="str">
        <f t="shared" si="10"/>
        <v>#VALUE!</v>
      </c>
      <c r="G288" s="1">
        <v>2.2</v>
      </c>
      <c r="H288" s="23" t="b">
        <f>if(countif(Status!C:C,D288)=1,TRUE, FALSE)</f>
        <v>0</v>
      </c>
    </row>
    <row r="289">
      <c r="C289" s="50" t="str">
        <f t="shared" si="8"/>
        <v/>
      </c>
      <c r="E289" s="24" t="str">
        <f t="shared" si="10"/>
        <v>#VALUE!</v>
      </c>
      <c r="G289" s="1">
        <v>2.2</v>
      </c>
      <c r="H289" s="23" t="b">
        <f>if(countif(Status!C:C,D289)=1,TRUE, FALSE)</f>
        <v>0</v>
      </c>
    </row>
    <row r="290">
      <c r="C290" s="50" t="str">
        <f t="shared" si="8"/>
        <v/>
      </c>
      <c r="E290" s="24" t="str">
        <f t="shared" si="10"/>
        <v>#VALUE!</v>
      </c>
      <c r="G290" s="1">
        <v>2.2</v>
      </c>
      <c r="H290" s="23" t="b">
        <f>if(countif(Status!C:C,D290)=1,TRUE, FALSE)</f>
        <v>0</v>
      </c>
    </row>
    <row r="291">
      <c r="C291" s="50" t="str">
        <f t="shared" si="8"/>
        <v/>
      </c>
      <c r="E291" s="24" t="str">
        <f t="shared" si="10"/>
        <v>#VALUE!</v>
      </c>
      <c r="G291" s="1">
        <v>2.2</v>
      </c>
      <c r="H291" s="23" t="b">
        <f>if(countif(Status!C:C,D291)=1,TRUE, FALSE)</f>
        <v>0</v>
      </c>
    </row>
    <row r="292">
      <c r="C292" s="50" t="str">
        <f t="shared" si="8"/>
        <v/>
      </c>
      <c r="E292" s="24" t="str">
        <f t="shared" si="10"/>
        <v>#VALUE!</v>
      </c>
      <c r="G292" s="1">
        <v>2.2</v>
      </c>
      <c r="H292" s="23" t="b">
        <f>if(countif(Status!C:C,D292)=1,TRUE, FALSE)</f>
        <v>0</v>
      </c>
    </row>
    <row r="293">
      <c r="C293" s="50" t="str">
        <f t="shared" si="8"/>
        <v/>
      </c>
      <c r="E293" s="24" t="str">
        <f t="shared" si="10"/>
        <v>#VALUE!</v>
      </c>
      <c r="G293" s="1">
        <v>2.2</v>
      </c>
      <c r="H293" s="23" t="b">
        <f>if(countif(Status!C:C,D293)=1,TRUE, FALSE)</f>
        <v>0</v>
      </c>
    </row>
    <row r="294">
      <c r="C294" s="50" t="str">
        <f t="shared" si="8"/>
        <v/>
      </c>
      <c r="E294" s="24" t="str">
        <f t="shared" si="10"/>
        <v>#VALUE!</v>
      </c>
      <c r="G294" s="1">
        <v>2.2</v>
      </c>
      <c r="H294" s="23" t="b">
        <f>if(countif(Status!C:C,D294)=1,TRUE, FALSE)</f>
        <v>0</v>
      </c>
    </row>
    <row r="295">
      <c r="C295" s="50" t="str">
        <f t="shared" si="8"/>
        <v/>
      </c>
      <c r="E295" s="24" t="str">
        <f t="shared" si="10"/>
        <v>#VALUE!</v>
      </c>
      <c r="G295" s="1">
        <v>2.2</v>
      </c>
      <c r="H295" s="23" t="b">
        <f>if(countif(Status!C:C,D295)=1,TRUE, FALSE)</f>
        <v>0</v>
      </c>
    </row>
    <row r="296">
      <c r="C296" s="50" t="str">
        <f t="shared" si="8"/>
        <v/>
      </c>
      <c r="E296" s="24" t="str">
        <f t="shared" si="10"/>
        <v>#VALUE!</v>
      </c>
      <c r="G296" s="1">
        <v>2.2</v>
      </c>
      <c r="H296" s="23" t="b">
        <f>if(countif(Status!C:C,D296)=1,TRUE, FALSE)</f>
        <v>0</v>
      </c>
    </row>
    <row r="297">
      <c r="C297" s="50" t="str">
        <f t="shared" si="8"/>
        <v/>
      </c>
      <c r="E297" s="24" t="str">
        <f t="shared" si="10"/>
        <v>#VALUE!</v>
      </c>
      <c r="G297" s="1">
        <v>2.2</v>
      </c>
      <c r="H297" s="23" t="b">
        <f>if(countif(Status!C:C,D297)=1,TRUE, FALSE)</f>
        <v>0</v>
      </c>
    </row>
    <row r="298">
      <c r="C298" s="50" t="str">
        <f t="shared" si="8"/>
        <v/>
      </c>
      <c r="E298" s="24" t="str">
        <f t="shared" si="10"/>
        <v>#VALUE!</v>
      </c>
      <c r="G298" s="1">
        <v>2.2</v>
      </c>
      <c r="H298" s="23" t="b">
        <f>if(countif(Status!C:C,D298)=1,TRUE, FALSE)</f>
        <v>0</v>
      </c>
    </row>
    <row r="299">
      <c r="C299" s="50" t="str">
        <f t="shared" si="8"/>
        <v/>
      </c>
      <c r="E299" s="24" t="str">
        <f t="shared" si="10"/>
        <v>#VALUE!</v>
      </c>
      <c r="G299" s="1">
        <v>2.2</v>
      </c>
      <c r="H299" s="23" t="b">
        <f>if(countif(Status!C:C,D299)=1,TRUE, FALSE)</f>
        <v>0</v>
      </c>
    </row>
    <row r="300">
      <c r="C300" s="50" t="str">
        <f t="shared" si="8"/>
        <v/>
      </c>
      <c r="E300" s="24" t="str">
        <f t="shared" si="10"/>
        <v>#VALUE!</v>
      </c>
      <c r="G300" s="1">
        <v>2.2</v>
      </c>
      <c r="H300" s="23" t="b">
        <f>if(countif(Status!C:C,D300)=1,TRUE, FALSE)</f>
        <v>0</v>
      </c>
    </row>
    <row r="301">
      <c r="C301" s="50" t="str">
        <f t="shared" si="8"/>
        <v/>
      </c>
      <c r="E301" s="24" t="str">
        <f t="shared" si="10"/>
        <v>#VALUE!</v>
      </c>
      <c r="G301" s="1">
        <v>2.2</v>
      </c>
      <c r="H301" s="23" t="b">
        <f>if(countif(Status!C:C,D301)=1,TRUE, FALSE)</f>
        <v>0</v>
      </c>
    </row>
    <row r="302">
      <c r="C302" s="50" t="str">
        <f t="shared" si="8"/>
        <v/>
      </c>
      <c r="E302" s="24" t="str">
        <f t="shared" si="10"/>
        <v>#VALUE!</v>
      </c>
      <c r="G302" s="1">
        <v>2.2</v>
      </c>
      <c r="H302" s="23" t="b">
        <f>if(countif(Status!C:C,D302)=1,TRUE, FALSE)</f>
        <v>0</v>
      </c>
    </row>
    <row r="303">
      <c r="C303" s="50" t="str">
        <f t="shared" si="8"/>
        <v/>
      </c>
      <c r="E303" s="24" t="str">
        <f t="shared" si="10"/>
        <v>#VALUE!</v>
      </c>
      <c r="G303" s="1">
        <v>2.2</v>
      </c>
      <c r="H303" s="23" t="b">
        <f>if(countif(Status!C:C,D303)=1,TRUE, FALSE)</f>
        <v>0</v>
      </c>
    </row>
    <row r="304">
      <c r="C304" s="50" t="str">
        <f t="shared" si="8"/>
        <v/>
      </c>
      <c r="E304" s="24" t="str">
        <f t="shared" si="10"/>
        <v>#VALUE!</v>
      </c>
      <c r="G304" s="1">
        <v>2.2</v>
      </c>
      <c r="H304" s="23" t="b">
        <f>if(countif(Status!C:C,D304)=1,TRUE, FALSE)</f>
        <v>0</v>
      </c>
    </row>
    <row r="305">
      <c r="C305" s="50" t="str">
        <f t="shared" si="8"/>
        <v/>
      </c>
      <c r="E305" s="24" t="str">
        <f t="shared" si="10"/>
        <v>#VALUE!</v>
      </c>
      <c r="G305" s="1">
        <v>2.2</v>
      </c>
      <c r="H305" s="23" t="b">
        <f>if(countif(Status!C:C,D305)=1,TRUE, FALSE)</f>
        <v>0</v>
      </c>
    </row>
    <row r="306">
      <c r="C306" s="50" t="str">
        <f t="shared" si="8"/>
        <v/>
      </c>
      <c r="E306" s="24" t="str">
        <f t="shared" si="10"/>
        <v>#VALUE!</v>
      </c>
      <c r="G306" s="1">
        <v>2.2</v>
      </c>
      <c r="H306" s="23" t="b">
        <f>if(countif(Status!C:C,D306)=1,TRUE, FALSE)</f>
        <v>0</v>
      </c>
    </row>
    <row r="307">
      <c r="C307" s="50" t="str">
        <f t="shared" si="8"/>
        <v/>
      </c>
      <c r="E307" s="24" t="str">
        <f t="shared" si="10"/>
        <v>#VALUE!</v>
      </c>
      <c r="G307" s="1">
        <v>2.2</v>
      </c>
      <c r="H307" s="23" t="b">
        <f>if(countif(Status!C:C,D307)=1,TRUE, FALSE)</f>
        <v>0</v>
      </c>
    </row>
    <row r="308">
      <c r="C308" s="50" t="str">
        <f t="shared" si="8"/>
        <v/>
      </c>
      <c r="E308" s="24" t="str">
        <f t="shared" si="10"/>
        <v>#VALUE!</v>
      </c>
      <c r="G308" s="1">
        <v>2.2</v>
      </c>
      <c r="H308" s="23" t="b">
        <f>if(countif(Status!C:C,D308)=1,TRUE, FALSE)</f>
        <v>0</v>
      </c>
    </row>
    <row r="309">
      <c r="C309" s="50" t="str">
        <f t="shared" si="8"/>
        <v/>
      </c>
      <c r="E309" s="24" t="str">
        <f t="shared" si="10"/>
        <v>#VALUE!</v>
      </c>
      <c r="G309" s="1">
        <v>2.2</v>
      </c>
      <c r="H309" s="23" t="b">
        <f>if(countif(Status!C:C,D309)=1,TRUE, FALSE)</f>
        <v>0</v>
      </c>
    </row>
    <row r="310">
      <c r="C310" s="50" t="str">
        <f t="shared" si="8"/>
        <v/>
      </c>
      <c r="E310" s="24" t="str">
        <f t="shared" si="10"/>
        <v>#VALUE!</v>
      </c>
      <c r="G310" s="1">
        <v>2.2</v>
      </c>
      <c r="H310" s="23" t="b">
        <f>if(countif(Status!C:C,D310)=1,TRUE, FALSE)</f>
        <v>0</v>
      </c>
    </row>
    <row r="311">
      <c r="C311" s="50" t="str">
        <f t="shared" si="8"/>
        <v/>
      </c>
      <c r="E311" s="24" t="str">
        <f t="shared" si="10"/>
        <v>#VALUE!</v>
      </c>
      <c r="G311" s="1">
        <v>2.2</v>
      </c>
      <c r="H311" s="23" t="b">
        <f>if(countif(Status!C:C,D311)=1,TRUE, FALSE)</f>
        <v>0</v>
      </c>
    </row>
    <row r="312">
      <c r="C312" s="50" t="str">
        <f t="shared" si="8"/>
        <v/>
      </c>
      <c r="E312" s="24" t="str">
        <f t="shared" si="10"/>
        <v>#VALUE!</v>
      </c>
      <c r="G312" s="1">
        <v>2.2</v>
      </c>
      <c r="H312" s="23" t="b">
        <f>if(countif(Status!C:C,D312)=1,TRUE, FALSE)</f>
        <v>0</v>
      </c>
    </row>
    <row r="313">
      <c r="C313" s="50" t="str">
        <f t="shared" si="8"/>
        <v/>
      </c>
      <c r="E313" s="24" t="str">
        <f t="shared" si="10"/>
        <v>#VALUE!</v>
      </c>
      <c r="G313" s="1">
        <v>2.2</v>
      </c>
      <c r="H313" s="23" t="b">
        <f>if(countif(Status!C:C,D313)=1,TRUE, FALSE)</f>
        <v>0</v>
      </c>
    </row>
    <row r="314">
      <c r="C314" s="50" t="str">
        <f t="shared" si="8"/>
        <v/>
      </c>
      <c r="E314" s="24" t="str">
        <f t="shared" si="10"/>
        <v>#VALUE!</v>
      </c>
      <c r="G314" s="1">
        <v>2.2</v>
      </c>
      <c r="H314" s="23" t="b">
        <f>if(countif(Status!C:C,D314)=1,TRUE, FALSE)</f>
        <v>0</v>
      </c>
    </row>
    <row r="315">
      <c r="C315" s="50" t="str">
        <f t="shared" si="8"/>
        <v/>
      </c>
      <c r="E315" s="24" t="str">
        <f t="shared" si="10"/>
        <v>#VALUE!</v>
      </c>
      <c r="G315" s="1">
        <v>2.2</v>
      </c>
      <c r="H315" s="23" t="b">
        <f>if(countif(Status!C:C,D315)=1,TRUE, FALSE)</f>
        <v>0</v>
      </c>
    </row>
    <row r="316">
      <c r="C316" s="50" t="str">
        <f t="shared" si="8"/>
        <v/>
      </c>
      <c r="E316" s="24" t="str">
        <f t="shared" si="10"/>
        <v>#VALUE!</v>
      </c>
      <c r="G316" s="1">
        <v>2.2</v>
      </c>
      <c r="H316" s="23" t="b">
        <f>if(countif(Status!C:C,D316)=1,TRUE, FALSE)</f>
        <v>0</v>
      </c>
    </row>
    <row r="317">
      <c r="C317" s="50" t="str">
        <f t="shared" si="8"/>
        <v/>
      </c>
      <c r="E317" s="24" t="str">
        <f t="shared" si="10"/>
        <v>#VALUE!</v>
      </c>
      <c r="G317" s="1">
        <v>2.2</v>
      </c>
      <c r="H317" s="23" t="b">
        <f>if(countif(Status!C:C,D317)=1,TRUE, FALSE)</f>
        <v>0</v>
      </c>
    </row>
    <row r="318">
      <c r="C318" s="50" t="str">
        <f t="shared" si="8"/>
        <v/>
      </c>
      <c r="E318" s="24" t="str">
        <f t="shared" si="10"/>
        <v>#VALUE!</v>
      </c>
      <c r="G318" s="1">
        <v>2.2</v>
      </c>
      <c r="H318" s="23" t="b">
        <f>if(countif(Status!C:C,D318)=1,TRUE, FALSE)</f>
        <v>0</v>
      </c>
    </row>
    <row r="319">
      <c r="C319" s="50" t="str">
        <f t="shared" si="8"/>
        <v/>
      </c>
      <c r="E319" s="24" t="str">
        <f t="shared" si="10"/>
        <v>#VALUE!</v>
      </c>
      <c r="G319" s="1">
        <v>2.2</v>
      </c>
      <c r="H319" s="23" t="b">
        <f>if(countif(Status!C:C,D319)=1,TRUE, FALSE)</f>
        <v>0</v>
      </c>
    </row>
    <row r="320">
      <c r="C320" s="50" t="str">
        <f t="shared" si="8"/>
        <v/>
      </c>
      <c r="E320" s="24" t="str">
        <f t="shared" si="10"/>
        <v>#VALUE!</v>
      </c>
      <c r="G320" s="1">
        <v>2.2</v>
      </c>
      <c r="H320" s="23" t="b">
        <f>if(countif(Status!C:C,D320)=1,TRUE, FALSE)</f>
        <v>0</v>
      </c>
    </row>
    <row r="321">
      <c r="C321" s="50" t="str">
        <f t="shared" si="8"/>
        <v/>
      </c>
      <c r="E321" s="24" t="str">
        <f t="shared" si="10"/>
        <v>#VALUE!</v>
      </c>
      <c r="G321" s="1">
        <v>2.2</v>
      </c>
      <c r="H321" s="23" t="b">
        <f>if(countif(Status!C:C,D321)=1,TRUE, FALSE)</f>
        <v>0</v>
      </c>
    </row>
    <row r="322">
      <c r="C322" s="50" t="str">
        <f t="shared" si="8"/>
        <v/>
      </c>
      <c r="E322" s="24" t="str">
        <f t="shared" si="10"/>
        <v>#VALUE!</v>
      </c>
      <c r="G322" s="1">
        <v>2.2</v>
      </c>
      <c r="H322" s="23" t="b">
        <f>if(countif(Status!C:C,D322)=1,TRUE, FALSE)</f>
        <v>0</v>
      </c>
    </row>
    <row r="323">
      <c r="C323" s="50" t="str">
        <f t="shared" si="8"/>
        <v/>
      </c>
      <c r="E323" s="24" t="str">
        <f t="shared" si="10"/>
        <v>#VALUE!</v>
      </c>
      <c r="G323" s="1">
        <v>2.2</v>
      </c>
      <c r="H323" s="23" t="b">
        <f>if(countif(Status!C:C,D323)=1,TRUE, FALSE)</f>
        <v>0</v>
      </c>
    </row>
    <row r="324">
      <c r="C324" s="50" t="str">
        <f t="shared" si="8"/>
        <v/>
      </c>
      <c r="E324" s="24" t="str">
        <f t="shared" si="10"/>
        <v>#VALUE!</v>
      </c>
      <c r="G324" s="1">
        <v>2.2</v>
      </c>
      <c r="H324" s="23" t="b">
        <f>if(countif(Status!C:C,D324)=1,TRUE, FALSE)</f>
        <v>0</v>
      </c>
    </row>
    <row r="325">
      <c r="C325" s="50" t="str">
        <f t="shared" si="8"/>
        <v/>
      </c>
      <c r="E325" s="24" t="str">
        <f t="shared" si="10"/>
        <v>#VALUE!</v>
      </c>
      <c r="G325" s="1">
        <v>2.2</v>
      </c>
      <c r="H325" s="23" t="b">
        <f>if(countif(Status!C:C,D325)=1,TRUE, FALSE)</f>
        <v>0</v>
      </c>
    </row>
    <row r="326">
      <c r="C326" s="50" t="str">
        <f t="shared" si="8"/>
        <v/>
      </c>
      <c r="E326" s="24" t="str">
        <f t="shared" si="10"/>
        <v>#VALUE!</v>
      </c>
      <c r="G326" s="1">
        <v>2.2</v>
      </c>
      <c r="H326" s="23" t="b">
        <f>if(countif(Status!C:C,D326)=1,TRUE, FALSE)</f>
        <v>0</v>
      </c>
    </row>
    <row r="327">
      <c r="C327" s="50" t="str">
        <f t="shared" si="8"/>
        <v/>
      </c>
      <c r="E327" s="24" t="str">
        <f t="shared" si="10"/>
        <v>#VALUE!</v>
      </c>
      <c r="G327" s="1">
        <v>2.2</v>
      </c>
      <c r="H327" s="23" t="b">
        <f>if(countif(Status!C:C,D327)=1,TRUE, FALSE)</f>
        <v>0</v>
      </c>
    </row>
    <row r="328">
      <c r="C328" s="50" t="str">
        <f t="shared" si="8"/>
        <v/>
      </c>
      <c r="E328" s="24" t="str">
        <f t="shared" si="10"/>
        <v>#VALUE!</v>
      </c>
      <c r="G328" s="1">
        <v>2.2</v>
      </c>
      <c r="H328" s="23" t="b">
        <f>if(countif(Status!C:C,D328)=1,TRUE, FALSE)</f>
        <v>0</v>
      </c>
    </row>
    <row r="329">
      <c r="C329" s="50" t="str">
        <f t="shared" si="8"/>
        <v/>
      </c>
      <c r="E329" s="24" t="str">
        <f t="shared" si="10"/>
        <v>#VALUE!</v>
      </c>
      <c r="G329" s="1">
        <v>2.2</v>
      </c>
      <c r="H329" s="23" t="b">
        <f>if(countif(Status!C:C,D329)=1,TRUE, FALSE)</f>
        <v>0</v>
      </c>
    </row>
    <row r="330">
      <c r="C330" s="50" t="str">
        <f t="shared" si="8"/>
        <v/>
      </c>
      <c r="E330" s="24" t="str">
        <f t="shared" si="10"/>
        <v>#VALUE!</v>
      </c>
      <c r="G330" s="1">
        <v>2.2</v>
      </c>
      <c r="H330" s="23" t="b">
        <f>if(countif(Status!C:C,D330)=1,TRUE, FALSE)</f>
        <v>0</v>
      </c>
    </row>
    <row r="331">
      <c r="C331" s="50" t="str">
        <f t="shared" si="8"/>
        <v/>
      </c>
      <c r="E331" s="24" t="str">
        <f t="shared" si="10"/>
        <v>#VALUE!</v>
      </c>
      <c r="G331" s="1">
        <v>2.2</v>
      </c>
      <c r="H331" s="23" t="b">
        <f>if(countif(Status!C:C,D331)=1,TRUE, FALSE)</f>
        <v>0</v>
      </c>
    </row>
    <row r="332">
      <c r="C332" s="50" t="str">
        <f t="shared" si="8"/>
        <v/>
      </c>
      <c r="E332" s="24" t="str">
        <f t="shared" si="10"/>
        <v>#VALUE!</v>
      </c>
      <c r="G332" s="1">
        <v>2.2</v>
      </c>
      <c r="H332" s="23" t="b">
        <f>if(countif(Status!C:C,D332)=1,TRUE, FALSE)</f>
        <v>0</v>
      </c>
    </row>
    <row r="333">
      <c r="C333" s="50" t="str">
        <f t="shared" si="8"/>
        <v/>
      </c>
      <c r="E333" s="24" t="str">
        <f t="shared" si="10"/>
        <v>#VALUE!</v>
      </c>
      <c r="G333" s="1">
        <v>2.2</v>
      </c>
      <c r="H333" s="23" t="b">
        <f>if(countif(Status!C:C,D333)=1,TRUE, FALSE)</f>
        <v>0</v>
      </c>
    </row>
    <row r="334">
      <c r="C334" s="50" t="str">
        <f t="shared" si="8"/>
        <v/>
      </c>
      <c r="E334" s="24" t="str">
        <f t="shared" si="10"/>
        <v>#VALUE!</v>
      </c>
      <c r="G334" s="1">
        <v>2.2</v>
      </c>
      <c r="H334" s="23" t="b">
        <f>if(countif(Status!C:C,D334)=1,TRUE, FALSE)</f>
        <v>0</v>
      </c>
    </row>
    <row r="335">
      <c r="C335" s="50" t="str">
        <f t="shared" si="8"/>
        <v/>
      </c>
      <c r="E335" s="24" t="str">
        <f t="shared" si="10"/>
        <v>#VALUE!</v>
      </c>
      <c r="G335" s="1">
        <v>2.2</v>
      </c>
      <c r="H335" s="23" t="b">
        <f>if(countif(Status!C:C,D335)=1,TRUE, FALSE)</f>
        <v>0</v>
      </c>
    </row>
    <row r="336">
      <c r="C336" s="50" t="str">
        <f t="shared" si="8"/>
        <v/>
      </c>
      <c r="E336" s="24" t="str">
        <f t="shared" si="10"/>
        <v>#VALUE!</v>
      </c>
      <c r="G336" s="1">
        <v>2.2</v>
      </c>
      <c r="H336" s="23" t="b">
        <f>if(countif(Status!C:C,D336)=1,TRUE, FALSE)</f>
        <v>0</v>
      </c>
    </row>
    <row r="337">
      <c r="C337" s="50" t="str">
        <f t="shared" si="8"/>
        <v/>
      </c>
      <c r="E337" s="24" t="str">
        <f t="shared" si="10"/>
        <v>#VALUE!</v>
      </c>
      <c r="G337" s="1">
        <v>2.2</v>
      </c>
      <c r="H337" s="23" t="b">
        <f>if(countif(Status!C:C,D337)=1,TRUE, FALSE)</f>
        <v>0</v>
      </c>
    </row>
    <row r="338">
      <c r="C338" s="50" t="str">
        <f t="shared" si="8"/>
        <v/>
      </c>
      <c r="E338" s="24" t="str">
        <f t="shared" si="10"/>
        <v>#VALUE!</v>
      </c>
      <c r="G338" s="1">
        <v>2.2</v>
      </c>
      <c r="H338" s="23" t="b">
        <f>if(countif(Status!C:C,D338)=1,TRUE, FALSE)</f>
        <v>0</v>
      </c>
    </row>
    <row r="339">
      <c r="C339" s="50" t="str">
        <f t="shared" si="8"/>
        <v/>
      </c>
      <c r="E339" s="24" t="str">
        <f t="shared" si="10"/>
        <v>#VALUE!</v>
      </c>
      <c r="G339" s="1">
        <v>2.2</v>
      </c>
      <c r="H339" s="23" t="b">
        <f>if(countif(Status!C:C,D339)=1,TRUE, FALSE)</f>
        <v>0</v>
      </c>
    </row>
    <row r="340">
      <c r="C340" s="50" t="str">
        <f t="shared" si="8"/>
        <v/>
      </c>
      <c r="E340" s="24" t="str">
        <f t="shared" si="10"/>
        <v>#VALUE!</v>
      </c>
      <c r="G340" s="1">
        <v>2.2</v>
      </c>
      <c r="H340" s="23" t="b">
        <f>if(countif(Status!C:C,D340)=1,TRUE, FALSE)</f>
        <v>0</v>
      </c>
    </row>
    <row r="341">
      <c r="C341" s="50" t="str">
        <f t="shared" si="8"/>
        <v/>
      </c>
      <c r="E341" s="24" t="str">
        <f t="shared" si="10"/>
        <v>#VALUE!</v>
      </c>
      <c r="G341" s="1">
        <v>2.2</v>
      </c>
      <c r="H341" s="23" t="b">
        <f>if(countif(Status!C:C,D341)=1,TRUE, FALSE)</f>
        <v>0</v>
      </c>
    </row>
    <row r="342">
      <c r="C342" s="50" t="str">
        <f t="shared" si="8"/>
        <v/>
      </c>
      <c r="E342" s="24" t="str">
        <f t="shared" si="10"/>
        <v>#VALUE!</v>
      </c>
      <c r="G342" s="1">
        <v>2.2</v>
      </c>
      <c r="H342" s="23" t="b">
        <f>if(countif(Status!C:C,D342)=1,TRUE, FALSE)</f>
        <v>0</v>
      </c>
    </row>
    <row r="343">
      <c r="C343" s="50" t="str">
        <f t="shared" si="8"/>
        <v/>
      </c>
      <c r="E343" s="24" t="str">
        <f t="shared" si="10"/>
        <v>#VALUE!</v>
      </c>
      <c r="G343" s="1">
        <v>2.2</v>
      </c>
      <c r="H343" s="23" t="b">
        <f>if(countif(Status!C:C,D343)=1,TRUE, FALSE)</f>
        <v>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367</v>
      </c>
      <c r="B1" s="1" t="s">
        <v>368</v>
      </c>
      <c r="C1" s="26" t="s">
        <v>96</v>
      </c>
      <c r="D1" s="50" t="s">
        <v>369</v>
      </c>
      <c r="E1" s="1" t="s">
        <v>370</v>
      </c>
      <c r="F1" s="1" t="s">
        <v>372</v>
      </c>
      <c r="G1" s="1" t="s">
        <v>185</v>
      </c>
    </row>
    <row r="2">
      <c r="A2" s="49" t="s">
        <v>53</v>
      </c>
      <c r="B2" s="23" t="str">
        <f>'2.4.raw'!L2</f>
        <v>PL1001</v>
      </c>
      <c r="C2" s="24">
        <f>datevalue(left('2.4.raw'!A2,10))</f>
        <v>43586</v>
      </c>
      <c r="D2" s="23">
        <f>'2.4.raw'!G2</f>
        <v>11</v>
      </c>
      <c r="E2" s="1">
        <v>2.4</v>
      </c>
      <c r="F2" s="23" t="b">
        <f>if(countif(Status!C:C,A2)=1,TRUE, FALSE)</f>
        <v>0</v>
      </c>
      <c r="G2" s="23" t="str">
        <f>'2.4.raw'!AQ2</f>
        <v/>
      </c>
    </row>
    <row r="3">
      <c r="A3" s="49" t="s">
        <v>97</v>
      </c>
      <c r="B3" s="23" t="str">
        <f>'2.4.raw'!L3</f>
        <v>MO1001</v>
      </c>
      <c r="C3" s="24">
        <f>datevalue(left('2.4.raw'!A3,10))</f>
        <v>43587</v>
      </c>
      <c r="D3" s="23">
        <f>'2.4.raw'!G3</f>
        <v>12</v>
      </c>
      <c r="E3" s="1">
        <v>2.4</v>
      </c>
      <c r="F3" s="23" t="b">
        <f>if(countif(Status!C:C,A3)=1,TRUE, FALSE)</f>
        <v>1</v>
      </c>
      <c r="G3" s="23" t="str">
        <f>'2.4.raw'!AQ3</f>
        <v/>
      </c>
    </row>
    <row r="4">
      <c r="A4" s="49" t="s">
        <v>111</v>
      </c>
      <c r="B4" s="23" t="str">
        <f>'2.4.raw'!L4</f>
        <v>MO1002</v>
      </c>
      <c r="C4" s="24">
        <f>datevalue(left('2.4.raw'!A4,10))</f>
        <v>43587</v>
      </c>
      <c r="D4" s="23">
        <f>'2.4.raw'!G4</f>
        <v>12</v>
      </c>
      <c r="E4" s="1">
        <v>2.4</v>
      </c>
      <c r="F4" s="23" t="b">
        <f>if(countif(Status!C:C,A4)=1,TRUE, FALSE)</f>
        <v>1</v>
      </c>
      <c r="G4" s="23" t="str">
        <f>'2.4.raw'!AQ4</f>
        <v>Latrine and a dog beside the place</v>
      </c>
    </row>
    <row r="5">
      <c r="A5" s="23" t="str">
        <f t="shared" ref="A5:A247" si="1">SUBSTITUTE(B5, " ", "")</f>
        <v>MO1003</v>
      </c>
      <c r="B5" s="23" t="str">
        <f>'2.4.raw'!L5</f>
        <v>MO 1003</v>
      </c>
      <c r="C5" s="24">
        <f>datevalue(left('2.4.raw'!A5,10))</f>
        <v>43592</v>
      </c>
      <c r="D5" s="23">
        <f>'2.4.raw'!G5</f>
        <v>12</v>
      </c>
      <c r="E5" s="1">
        <v>2.4</v>
      </c>
      <c r="F5" s="23" t="b">
        <f>if(countif(Status!C:C,A5)=1,TRUE, FALSE)</f>
        <v>1</v>
      </c>
      <c r="G5" s="23" t="str">
        <f>'2.4.raw'!AQ5</f>
        <v/>
      </c>
    </row>
    <row r="6">
      <c r="A6" s="23" t="str">
        <f t="shared" si="1"/>
        <v>MO1004</v>
      </c>
      <c r="B6" s="23" t="str">
        <f>'2.4.raw'!L6</f>
        <v>MO1004</v>
      </c>
      <c r="C6" s="24">
        <f>datevalue(left('2.4.raw'!A6,10))</f>
        <v>43592</v>
      </c>
      <c r="D6" s="23">
        <f>'2.4.raw'!G6</f>
        <v>12</v>
      </c>
      <c r="E6" s="1">
        <v>2.4</v>
      </c>
      <c r="F6" s="23" t="b">
        <f>if(countif(Status!C:C,A6)=1,TRUE, FALSE)</f>
        <v>1</v>
      </c>
      <c r="G6" s="23" t="str">
        <f>'2.4.raw'!AQ6</f>
        <v/>
      </c>
    </row>
    <row r="7">
      <c r="A7" s="23" t="str">
        <f t="shared" si="1"/>
        <v>MO1005</v>
      </c>
      <c r="B7" s="23" t="str">
        <f>'2.4.raw'!L7</f>
        <v>MO1005</v>
      </c>
      <c r="C7" s="24">
        <f>datevalue(left('2.4.raw'!A7,10))</f>
        <v>43594</v>
      </c>
      <c r="D7" s="23">
        <f>'2.4.raw'!G7</f>
        <v>12</v>
      </c>
      <c r="E7" s="1">
        <v>2.4</v>
      </c>
      <c r="F7" s="23" t="b">
        <f>if(countif(Status!C:C,A7)=1,TRUE, FALSE)</f>
        <v>1</v>
      </c>
      <c r="G7" s="23" t="str">
        <f>'2.4.raw'!AQ7</f>
        <v>Dog</v>
      </c>
    </row>
    <row r="8">
      <c r="A8" s="23" t="str">
        <f t="shared" si="1"/>
        <v>MO1006</v>
      </c>
      <c r="B8" s="23" t="str">
        <f>'2.4.raw'!L8</f>
        <v>MO1006</v>
      </c>
      <c r="C8" s="24">
        <f>datevalue(left('2.4.raw'!A8,10))</f>
        <v>43594</v>
      </c>
      <c r="D8" s="23">
        <f>'2.4.raw'!G8</f>
        <v>12</v>
      </c>
      <c r="E8" s="1">
        <v>2.4</v>
      </c>
      <c r="F8" s="23" t="b">
        <f>if(countif(Status!C:C,A8)=1,TRUE, FALSE)</f>
        <v>1</v>
      </c>
      <c r="G8" s="23" t="str">
        <f>'2.4.raw'!AQ8</f>
        <v>latrine and Toilet</v>
      </c>
    </row>
    <row r="9">
      <c r="A9" s="23" t="str">
        <f t="shared" si="1"/>
        <v>PL2001</v>
      </c>
      <c r="B9" s="23" t="str">
        <f>'2.4.raw'!L9</f>
        <v>PL2001</v>
      </c>
      <c r="C9" s="24">
        <f>datevalue(left('2.4.raw'!A9,10))</f>
        <v>43591</v>
      </c>
      <c r="D9" s="23">
        <f>'2.4.raw'!G9</f>
        <v>11</v>
      </c>
      <c r="E9" s="1">
        <v>2.4</v>
      </c>
      <c r="F9" s="23" t="b">
        <f>if(countif(Status!C:C,A9)=1,TRUE, FALSE)</f>
        <v>0</v>
      </c>
      <c r="G9" s="23" t="str">
        <f>'2.4.raw'!AQ9</f>
        <v/>
      </c>
    </row>
    <row r="10">
      <c r="A10" s="23" t="str">
        <f t="shared" si="1"/>
        <v>PL2002</v>
      </c>
      <c r="B10" s="23" t="str">
        <f>'2.4.raw'!L10</f>
        <v>PL2002</v>
      </c>
      <c r="C10" s="24">
        <f>datevalue(left('2.4.raw'!A10,10))</f>
        <v>43593</v>
      </c>
      <c r="D10" s="23">
        <f>'2.4.raw'!G10</f>
        <v>11</v>
      </c>
      <c r="E10" s="1">
        <v>2.4</v>
      </c>
      <c r="F10" s="23" t="b">
        <f>if(countif(Status!C:C,A10)=1,TRUE, FALSE)</f>
        <v>0</v>
      </c>
      <c r="G10" s="23" t="str">
        <f>'2.4.raw'!AQ10</f>
        <v/>
      </c>
    </row>
    <row r="11">
      <c r="A11" s="23" t="str">
        <f t="shared" si="1"/>
        <v>PLc1001</v>
      </c>
      <c r="B11" s="23" t="str">
        <f>'2.4.raw'!L11</f>
        <v>PLc1001</v>
      </c>
      <c r="C11" s="24">
        <f>datevalue(left('2.4.raw'!A11,10))</f>
        <v>43598</v>
      </c>
      <c r="D11" s="23">
        <f>'2.4.raw'!G11</f>
        <v>11</v>
      </c>
      <c r="E11" s="1">
        <v>2.4</v>
      </c>
      <c r="F11" s="23" t="b">
        <f>if(countif(Status!C:C,A11)=1,TRUE, FALSE)</f>
        <v>1</v>
      </c>
      <c r="G11" s="23" t="str">
        <f>'2.4.raw'!AQ11</f>
        <v/>
      </c>
    </row>
    <row r="12">
      <c r="A12" s="23" t="str">
        <f t="shared" si="1"/>
        <v>PL2003</v>
      </c>
      <c r="B12" s="23" t="str">
        <f>'2.4.raw'!L12</f>
        <v>PL2003</v>
      </c>
      <c r="C12" s="24">
        <f>datevalue(left('2.4.raw'!A12,10))</f>
        <v>43598</v>
      </c>
      <c r="D12" s="23">
        <f>'2.4.raw'!G12</f>
        <v>11</v>
      </c>
      <c r="E12" s="1">
        <v>2.4</v>
      </c>
      <c r="F12" s="23" t="b">
        <f>if(countif(Status!C:C,A12)=1,TRUE, FALSE)</f>
        <v>0</v>
      </c>
      <c r="G12" s="23" t="str">
        <f>'2.4.raw'!AQ12</f>
        <v/>
      </c>
    </row>
    <row r="13">
      <c r="A13" s="23" t="str">
        <f t="shared" si="1"/>
        <v>MO1008</v>
      </c>
      <c r="B13" s="23" t="str">
        <f>'2.4.raw'!L13</f>
        <v>MO1008</v>
      </c>
      <c r="C13" s="24">
        <f>datevalue(left('2.4.raw'!A13,10))</f>
        <v>43599</v>
      </c>
      <c r="D13" s="23">
        <f>'2.4.raw'!G13</f>
        <v>12</v>
      </c>
      <c r="E13" s="1">
        <v>2.4</v>
      </c>
      <c r="F13" s="23" t="b">
        <f>if(countif(Status!C:C,A13)=1,TRUE, FALSE)</f>
        <v>1</v>
      </c>
      <c r="G13" s="23" t="str">
        <f>'2.4.raw'!AQ13</f>
        <v/>
      </c>
    </row>
    <row r="14">
      <c r="A14" s="23" t="str">
        <f t="shared" si="1"/>
        <v>MO1007</v>
      </c>
      <c r="B14" s="23" t="str">
        <f>'2.4.raw'!L14</f>
        <v>MO1007</v>
      </c>
      <c r="C14" s="24">
        <f>datevalue(left('2.4.raw'!A14,10))</f>
        <v>43599</v>
      </c>
      <c r="D14" s="23">
        <f>'2.4.raw'!G14</f>
        <v>12</v>
      </c>
      <c r="E14" s="1">
        <v>2.4</v>
      </c>
      <c r="F14" s="23" t="b">
        <f>if(countif(Status!C:C,A14)=1,TRUE, FALSE)</f>
        <v>1</v>
      </c>
      <c r="G14" s="23" t="str">
        <f>'2.4.raw'!AQ14</f>
        <v>Moore Swabs not collected due to washed away.</v>
      </c>
    </row>
    <row r="15">
      <c r="A15" s="23" t="str">
        <f t="shared" si="1"/>
        <v>PL1002</v>
      </c>
      <c r="B15" s="23" t="str">
        <f>'2.4.raw'!L15</f>
        <v>PL1002</v>
      </c>
      <c r="C15" s="24">
        <f>datevalue(left('2.4.raw'!A15,10))</f>
        <v>43600</v>
      </c>
      <c r="D15" s="23">
        <f>'2.4.raw'!G15</f>
        <v>11</v>
      </c>
      <c r="E15" s="1">
        <v>2.4</v>
      </c>
      <c r="F15" s="23" t="b">
        <f>if(countif(Status!C:C,A15)=1,TRUE, FALSE)</f>
        <v>1</v>
      </c>
      <c r="G15" s="23" t="str">
        <f>'2.4.raw'!AQ15</f>
        <v/>
      </c>
    </row>
    <row r="16">
      <c r="A16" s="23" t="str">
        <f t="shared" si="1"/>
        <v>MO1009</v>
      </c>
      <c r="B16" s="23" t="str">
        <f>'2.4.raw'!L16</f>
        <v>MO1009</v>
      </c>
      <c r="C16" s="24">
        <f>datevalue(left('2.4.raw'!A16,10))</f>
        <v>43601</v>
      </c>
      <c r="D16" s="23">
        <f>'2.4.raw'!G16</f>
        <v>12</v>
      </c>
      <c r="E16" s="1">
        <v>2.4</v>
      </c>
      <c r="F16" s="23" t="b">
        <f>if(countif(Status!C:C,A16)=1,TRUE, FALSE)</f>
        <v>1</v>
      </c>
      <c r="G16" s="23" t="str">
        <f>'2.4.raw'!AQ16</f>
        <v>Dog</v>
      </c>
    </row>
    <row r="17">
      <c r="A17" s="23" t="str">
        <f t="shared" si="1"/>
        <v>MO1010</v>
      </c>
      <c r="B17" s="23" t="str">
        <f>'2.4.raw'!L17</f>
        <v>MO1010</v>
      </c>
      <c r="C17" s="24">
        <f>datevalue(left('2.4.raw'!A17,10))</f>
        <v>43601</v>
      </c>
      <c r="D17" s="23">
        <f>'2.4.raw'!G17</f>
        <v>12</v>
      </c>
      <c r="E17" s="1">
        <v>2.4</v>
      </c>
      <c r="F17" s="23" t="b">
        <f>if(countif(Status!C:C,A17)=1,TRUE, FALSE)</f>
        <v>1</v>
      </c>
      <c r="G17" s="23" t="str">
        <f>'2.4.raw'!AQ17</f>
        <v>Bathroom and Toilet</v>
      </c>
    </row>
    <row r="18">
      <c r="A18" s="23" t="str">
        <f t="shared" si="1"/>
        <v>PLc1002</v>
      </c>
      <c r="B18" s="23" t="str">
        <f>'2.4.raw'!L18</f>
        <v>PLc1002</v>
      </c>
      <c r="C18" s="24">
        <f>datevalue(left('2.4.raw'!A18,10))</f>
        <v>43601</v>
      </c>
      <c r="D18" s="23">
        <f>'2.4.raw'!G18</f>
        <v>11</v>
      </c>
      <c r="E18" s="1">
        <v>2.4</v>
      </c>
      <c r="F18" s="23" t="b">
        <f>if(countif(Status!C:C,A18)=1,TRUE, FALSE)</f>
        <v>1</v>
      </c>
      <c r="G18" s="23" t="str">
        <f>'2.4.raw'!AQ18</f>
        <v/>
      </c>
    </row>
    <row r="19">
      <c r="A19" s="23" t="str">
        <f t="shared" si="1"/>
        <v>PLc1003</v>
      </c>
      <c r="B19" s="23" t="str">
        <f>'2.4.raw'!L19</f>
        <v>PLc1003</v>
      </c>
      <c r="C19" s="24">
        <f>datevalue(left('2.4.raw'!A19,10))</f>
        <v>43605</v>
      </c>
      <c r="D19" s="23">
        <f>'2.4.raw'!G19</f>
        <v>11</v>
      </c>
      <c r="E19" s="1">
        <v>2.4</v>
      </c>
      <c r="F19" s="23" t="b">
        <f>if(countif(Status!C:C,A19)=1,TRUE, FALSE)</f>
        <v>1</v>
      </c>
      <c r="G19" s="23" t="str">
        <f>'2.4.raw'!AQ19</f>
        <v/>
      </c>
    </row>
    <row r="20">
      <c r="A20" s="23" t="str">
        <f t="shared" si="1"/>
        <v>PL1003</v>
      </c>
      <c r="B20" s="23" t="str">
        <f>'2.4.raw'!L20</f>
        <v>PL1003</v>
      </c>
      <c r="C20" s="24">
        <f>datevalue(left('2.4.raw'!A20,10))</f>
        <v>43607</v>
      </c>
      <c r="D20" s="23">
        <f>'2.4.raw'!G20</f>
        <v>11</v>
      </c>
      <c r="E20" s="1">
        <v>2.4</v>
      </c>
      <c r="F20" s="23" t="b">
        <f>if(countif(Status!C:C,A20)=1,TRUE, FALSE)</f>
        <v>1</v>
      </c>
      <c r="G20" s="23" t="str">
        <f>'2.4.raw'!AQ20</f>
        <v>Beside Canel</v>
      </c>
    </row>
    <row r="21">
      <c r="A21" s="23" t="str">
        <f t="shared" si="1"/>
        <v>PLc1004</v>
      </c>
      <c r="B21" s="23" t="str">
        <f>'2.4.raw'!L21</f>
        <v>PLc1004</v>
      </c>
      <c r="C21" s="24">
        <f>datevalue(left('2.4.raw'!A21,10))</f>
        <v>43608</v>
      </c>
      <c r="D21" s="23">
        <f>'2.4.raw'!G21</f>
        <v>11</v>
      </c>
      <c r="E21" s="1">
        <v>2.4</v>
      </c>
      <c r="F21" s="23" t="b">
        <f>if(countif(Status!C:C,A21)=1,TRUE, FALSE)</f>
        <v>1</v>
      </c>
      <c r="G21" s="23" t="str">
        <f>'2.4.raw'!AQ21</f>
        <v/>
      </c>
    </row>
    <row r="22">
      <c r="A22" s="23" t="str">
        <f t="shared" si="1"/>
        <v>PL1004</v>
      </c>
      <c r="B22" s="23" t="str">
        <f>'2.4.raw'!L22</f>
        <v>PL1004</v>
      </c>
      <c r="C22" s="24">
        <f>datevalue(left('2.4.raw'!A22,10))</f>
        <v>43612</v>
      </c>
      <c r="D22" s="23">
        <f>'2.4.raw'!G22</f>
        <v>11</v>
      </c>
      <c r="E22" s="1">
        <v>2.4</v>
      </c>
      <c r="F22" s="23" t="b">
        <f>if(countif(Status!C:C,A22)=1,TRUE, FALSE)</f>
        <v>1</v>
      </c>
      <c r="G22" s="23" t="str">
        <f>'2.4.raw'!AQ22</f>
        <v/>
      </c>
    </row>
    <row r="23">
      <c r="A23" s="23" t="str">
        <f t="shared" si="1"/>
        <v>PLc1005</v>
      </c>
      <c r="B23" s="23" t="str">
        <f>'2.4.raw'!L23</f>
        <v>PLc1005</v>
      </c>
      <c r="C23" s="24">
        <f>datevalue(left('2.4.raw'!A23,10))</f>
        <v>43612</v>
      </c>
      <c r="D23" s="23">
        <f>'2.4.raw'!G23</f>
        <v>11</v>
      </c>
      <c r="E23" s="1">
        <v>2.4</v>
      </c>
      <c r="F23" s="23" t="b">
        <f>if(countif(Status!C:C,A23)=1,TRUE, FALSE)</f>
        <v>1</v>
      </c>
      <c r="G23" s="23" t="str">
        <f>'2.4.raw'!AQ23</f>
        <v/>
      </c>
    </row>
    <row r="24">
      <c r="A24" s="23" t="str">
        <f t="shared" si="1"/>
        <v>MO1011</v>
      </c>
      <c r="B24" s="23" t="str">
        <f>'2.4.raw'!L24</f>
        <v>MO1011</v>
      </c>
      <c r="C24" s="24">
        <f>datevalue(left('2.4.raw'!A24,10))</f>
        <v>43613</v>
      </c>
      <c r="D24" s="23">
        <f>'2.4.raw'!G24</f>
        <v>12</v>
      </c>
      <c r="E24" s="1">
        <v>2.4</v>
      </c>
      <c r="F24" s="23" t="b">
        <f>if(countif(Status!C:C,A24)=1,TRUE, FALSE)</f>
        <v>1</v>
      </c>
      <c r="G24" s="23" t="str">
        <f>'2.4.raw'!AQ24</f>
        <v/>
      </c>
    </row>
    <row r="25">
      <c r="A25" s="23" t="str">
        <f t="shared" si="1"/>
        <v>MO1012</v>
      </c>
      <c r="B25" s="23" t="str">
        <f>'2.4.raw'!L25</f>
        <v>MO1012</v>
      </c>
      <c r="C25" s="24">
        <f>datevalue(left('2.4.raw'!A25,10))</f>
        <v>43613</v>
      </c>
      <c r="D25" s="23">
        <f>'2.4.raw'!G25</f>
        <v>12</v>
      </c>
      <c r="E25" s="1">
        <v>2.4</v>
      </c>
      <c r="F25" s="23" t="b">
        <f>if(countif(Status!C:C,A25)=1,TRUE, FALSE)</f>
        <v>1</v>
      </c>
      <c r="G25" s="23" t="str">
        <f>'2.4.raw'!AQ25</f>
        <v/>
      </c>
    </row>
    <row r="26">
      <c r="A26" s="23" t="str">
        <f t="shared" si="1"/>
        <v>PL1005</v>
      </c>
      <c r="B26" s="23" t="str">
        <f>'2.4.raw'!L26</f>
        <v>PL1005</v>
      </c>
      <c r="C26" s="24">
        <f>datevalue(left('2.4.raw'!A26,10))</f>
        <v>43614</v>
      </c>
      <c r="D26" s="23">
        <f>'2.4.raw'!G26</f>
        <v>11</v>
      </c>
      <c r="E26" s="1">
        <v>2.4</v>
      </c>
      <c r="F26" s="23" t="b">
        <f>if(countif(Status!C:C,A26)=1,TRUE, FALSE)</f>
        <v>1</v>
      </c>
      <c r="G26" s="23" t="str">
        <f>'2.4.raw'!AQ26</f>
        <v/>
      </c>
    </row>
    <row r="27">
      <c r="A27" s="23" t="str">
        <f t="shared" si="1"/>
        <v>FB1001</v>
      </c>
      <c r="B27" s="23" t="str">
        <f>'2.4.raw'!L27</f>
        <v>FB1001</v>
      </c>
      <c r="C27" s="24">
        <f>datevalue(left('2.4.raw'!A27,10))</f>
        <v>43615</v>
      </c>
      <c r="D27" s="23">
        <f>'2.4.raw'!G27</f>
        <v>99</v>
      </c>
      <c r="E27" s="1">
        <v>2.4</v>
      </c>
      <c r="F27" s="23" t="b">
        <f>if(countif(Status!C:C,A27)=1,TRUE, FALSE)</f>
        <v>1</v>
      </c>
      <c r="G27" s="23" t="str">
        <f>'2.4.raw'!AQ27</f>
        <v/>
      </c>
    </row>
    <row r="28">
      <c r="A28" s="23" t="str">
        <f t="shared" si="1"/>
        <v>MO1013</v>
      </c>
      <c r="B28" s="23" t="str">
        <f>'2.4.raw'!L28</f>
        <v>MO1013</v>
      </c>
      <c r="C28" s="24">
        <f>datevalue(left('2.4.raw'!A28,10))</f>
        <v>43615</v>
      </c>
      <c r="D28" s="23">
        <f>'2.4.raw'!G28</f>
        <v>12</v>
      </c>
      <c r="E28" s="1">
        <v>2.4</v>
      </c>
      <c r="F28" s="23" t="b">
        <f>if(countif(Status!C:C,A28)=1,TRUE, FALSE)</f>
        <v>1</v>
      </c>
      <c r="G28" s="23" t="str">
        <f>'2.4.raw'!AQ28</f>
        <v/>
      </c>
    </row>
    <row r="29">
      <c r="A29" s="23" t="str">
        <f t="shared" si="1"/>
        <v>MO1014</v>
      </c>
      <c r="B29" s="23" t="str">
        <f>'2.4.raw'!L29</f>
        <v>MO1014</v>
      </c>
      <c r="C29" s="24">
        <f>datevalue(left('2.4.raw'!A29,10))</f>
        <v>43615</v>
      </c>
      <c r="D29" s="23">
        <f>'2.4.raw'!G29</f>
        <v>12</v>
      </c>
      <c r="E29" s="1">
        <v>2.4</v>
      </c>
      <c r="F29" s="23" t="b">
        <f>if(countif(Status!C:C,A29)=1,TRUE, FALSE)</f>
        <v>1</v>
      </c>
      <c r="G29" s="23" t="str">
        <f>'2.4.raw'!AQ29</f>
        <v/>
      </c>
    </row>
    <row r="30">
      <c r="A30" s="23" t="str">
        <f t="shared" si="1"/>
        <v>PLc1006</v>
      </c>
      <c r="B30" s="23" t="str">
        <f>'2.4.raw'!L30</f>
        <v>PLc1006</v>
      </c>
      <c r="C30" s="24">
        <f>datevalue(left('2.4.raw'!A30,10))</f>
        <v>43615</v>
      </c>
      <c r="D30" s="23">
        <f>'2.4.raw'!G30</f>
        <v>11</v>
      </c>
      <c r="E30" s="1">
        <v>2.4</v>
      </c>
      <c r="F30" s="23" t="b">
        <f>if(countif(Status!C:C,A30)=1,TRUE, FALSE)</f>
        <v>1</v>
      </c>
      <c r="G30" s="23" t="str">
        <f>'2.4.raw'!AQ30</f>
        <v/>
      </c>
    </row>
    <row r="31">
      <c r="A31" s="23" t="str">
        <f t="shared" si="1"/>
        <v>PL1006</v>
      </c>
      <c r="B31" s="23" t="str">
        <f>'2.4.raw'!L31</f>
        <v>PL1006</v>
      </c>
      <c r="C31" s="24">
        <f>datevalue(left('2.4.raw'!A31,10))</f>
        <v>43619</v>
      </c>
      <c r="D31" s="23">
        <f>'2.4.raw'!G31</f>
        <v>11</v>
      </c>
      <c r="E31" s="1">
        <v>2.4</v>
      </c>
      <c r="F31" s="23" t="b">
        <f>if(countif(Status!C:C,A31)=1,TRUE, FALSE)</f>
        <v>1</v>
      </c>
      <c r="G31" s="23" t="str">
        <f>'2.4.raw'!AQ31</f>
        <v>Latrine beside open drain</v>
      </c>
    </row>
    <row r="32">
      <c r="A32" s="23" t="str">
        <f t="shared" si="1"/>
        <v>MO1016</v>
      </c>
      <c r="B32" s="23" t="str">
        <f>'2.4.raw'!L32</f>
        <v>MO1016</v>
      </c>
      <c r="C32" s="24">
        <f>datevalue(left('2.4.raw'!A32,10))</f>
        <v>43620</v>
      </c>
      <c r="D32" s="23">
        <f>'2.4.raw'!G32</f>
        <v>12</v>
      </c>
      <c r="E32" s="1">
        <v>2.4</v>
      </c>
      <c r="F32" s="23" t="b">
        <f>if(countif(Status!C:C,A32)=1,TRUE, FALSE)</f>
        <v>1</v>
      </c>
      <c r="G32" s="23" t="str">
        <f>'2.4.raw'!AQ32</f>
        <v/>
      </c>
    </row>
    <row r="33">
      <c r="A33" s="23" t="str">
        <f t="shared" si="1"/>
        <v>MO1015</v>
      </c>
      <c r="B33" s="23" t="str">
        <f>'2.4.raw'!L33</f>
        <v>MO1015</v>
      </c>
      <c r="C33" s="24">
        <f>datevalue(left('2.4.raw'!A33,10))</f>
        <v>43620</v>
      </c>
      <c r="D33" s="23">
        <f>'2.4.raw'!G33</f>
        <v>12</v>
      </c>
      <c r="E33" s="1">
        <v>2.4</v>
      </c>
      <c r="F33" s="23" t="b">
        <f>if(countif(Status!C:C,A33)=1,TRUE, FALSE)</f>
        <v>1</v>
      </c>
      <c r="G33" s="23" t="str">
        <f>'2.4.raw'!AQ33</f>
        <v/>
      </c>
    </row>
    <row r="34">
      <c r="A34" s="23" t="str">
        <f t="shared" si="1"/>
        <v>MO1017</v>
      </c>
      <c r="B34" s="23" t="str">
        <f>'2.4.raw'!L34</f>
        <v>MO1017</v>
      </c>
      <c r="C34" s="24">
        <f>datevalue(left('2.4.raw'!A34,10))</f>
        <v>43622</v>
      </c>
      <c r="D34" s="23">
        <f>'2.4.raw'!G34</f>
        <v>12</v>
      </c>
      <c r="E34" s="1">
        <v>2.4</v>
      </c>
      <c r="F34" s="23" t="b">
        <f>if(countif(Status!C:C,A34)=1,TRUE, FALSE)</f>
        <v>1</v>
      </c>
      <c r="G34" s="23" t="str">
        <f>'2.4.raw'!AQ34</f>
        <v/>
      </c>
    </row>
    <row r="35">
      <c r="A35" s="23" t="str">
        <f t="shared" si="1"/>
        <v>MO1018</v>
      </c>
      <c r="B35" s="23" t="str">
        <f>'2.4.raw'!L35</f>
        <v>MO1018</v>
      </c>
      <c r="C35" s="24">
        <f>datevalue(left('2.4.raw'!A35,10))</f>
        <v>43622</v>
      </c>
      <c r="D35" s="23">
        <f>'2.4.raw'!G35</f>
        <v>12</v>
      </c>
      <c r="E35" s="1">
        <v>2.4</v>
      </c>
      <c r="F35" s="23" t="b">
        <f>if(countif(Status!C:C,A35)=1,TRUE, FALSE)</f>
        <v>1</v>
      </c>
      <c r="G35" s="23" t="str">
        <f>'2.4.raw'!AQ35</f>
        <v/>
      </c>
    </row>
    <row r="36">
      <c r="A36" s="23" t="str">
        <f t="shared" si="1"/>
        <v>PLc1007</v>
      </c>
      <c r="B36" s="23" t="str">
        <f>'2.4.raw'!L36</f>
        <v>PLc1007</v>
      </c>
      <c r="C36" s="24">
        <f>datevalue(left('2.4.raw'!A36,10))</f>
        <v>43626</v>
      </c>
      <c r="D36" s="23">
        <f>'2.4.raw'!G36</f>
        <v>11</v>
      </c>
      <c r="E36" s="1">
        <v>2.4</v>
      </c>
      <c r="F36" s="23" t="b">
        <f>if(countif(Status!C:C,A36)=1,TRUE, FALSE)</f>
        <v>1</v>
      </c>
      <c r="G36" s="23" t="str">
        <f>'2.4.raw'!AQ36</f>
        <v>Pt. Nousin Farhen</v>
      </c>
    </row>
    <row r="37">
      <c r="A37" s="23" t="str">
        <f t="shared" si="1"/>
        <v>PL1007</v>
      </c>
      <c r="B37" s="23" t="str">
        <f>'2.4.raw'!L37</f>
        <v>PL1007</v>
      </c>
      <c r="C37" s="24">
        <f>datevalue(left('2.4.raw'!A37,10))</f>
        <v>43626</v>
      </c>
      <c r="D37" s="23">
        <f>'2.4.raw'!G37</f>
        <v>11</v>
      </c>
      <c r="E37" s="1">
        <v>2.4</v>
      </c>
      <c r="F37" s="23" t="b">
        <f>if(countif(Status!C:C,A37)=1,TRUE, FALSE)</f>
        <v>1</v>
      </c>
      <c r="G37" s="23" t="str">
        <f>'2.4.raw'!AQ37</f>
        <v/>
      </c>
    </row>
    <row r="38">
      <c r="A38" s="23" t="str">
        <f t="shared" si="1"/>
        <v>MO1019</v>
      </c>
      <c r="B38" s="23" t="str">
        <f>'2.4.raw'!L38</f>
        <v>MO1019</v>
      </c>
      <c r="C38" s="24">
        <f>datevalue(left('2.4.raw'!A38,10))</f>
        <v>43627</v>
      </c>
      <c r="D38" s="23">
        <f>'2.4.raw'!G38</f>
        <v>12</v>
      </c>
      <c r="E38" s="1">
        <v>2.4</v>
      </c>
      <c r="F38" s="23" t="b">
        <f>if(countif(Status!C:C,A38)=1,TRUE, FALSE)</f>
        <v>1</v>
      </c>
      <c r="G38" s="23" t="str">
        <f>'2.4.raw'!AQ38</f>
        <v>Moore could not be collected as both the Swabs were torn off and drowned in water</v>
      </c>
    </row>
    <row r="39">
      <c r="A39" s="23" t="str">
        <f t="shared" si="1"/>
        <v>MO1020</v>
      </c>
      <c r="B39" s="23" t="str">
        <f>'2.4.raw'!L39</f>
        <v>MO1020</v>
      </c>
      <c r="C39" s="24">
        <f>datevalue(left('2.4.raw'!A39,10))</f>
        <v>43627</v>
      </c>
      <c r="D39" s="23">
        <f>'2.4.raw'!G39</f>
        <v>12</v>
      </c>
      <c r="E39" s="1">
        <v>2.4</v>
      </c>
      <c r="F39" s="23" t="b">
        <f>if(countif(Status!C:C,A39)=1,TRUE, FALSE)</f>
        <v>1</v>
      </c>
      <c r="G39" s="23" t="str">
        <f>'2.4.raw'!AQ39</f>
        <v/>
      </c>
    </row>
    <row r="40">
      <c r="A40" s="23" t="str">
        <f t="shared" si="1"/>
        <v>MO1021</v>
      </c>
      <c r="B40" s="23" t="str">
        <f>'2.4.raw'!L40</f>
        <v>MO1021</v>
      </c>
      <c r="C40" s="24">
        <f>datevalue(left('2.4.raw'!A40,10))</f>
        <v>43627</v>
      </c>
      <c r="D40" s="23">
        <f>'2.4.raw'!G40</f>
        <v>12</v>
      </c>
      <c r="E40" s="1">
        <v>2.4</v>
      </c>
      <c r="F40" s="23" t="b">
        <f>if(countif(Status!C:C,A40)=1,TRUE, FALSE)</f>
        <v>1</v>
      </c>
      <c r="G40" s="23" t="str">
        <f>'2.4.raw'!AQ40</f>
        <v/>
      </c>
    </row>
    <row r="41">
      <c r="A41" s="23" t="str">
        <f t="shared" si="1"/>
        <v>MO1022</v>
      </c>
      <c r="B41" s="23" t="str">
        <f>'2.4.raw'!L41</f>
        <v>MO1022</v>
      </c>
      <c r="C41" s="24">
        <f>datevalue(left('2.4.raw'!A41,10))</f>
        <v>43627</v>
      </c>
      <c r="D41" s="23">
        <f>'2.4.raw'!G41</f>
        <v>12</v>
      </c>
      <c r="E41" s="1">
        <v>2.4</v>
      </c>
      <c r="F41" s="23" t="b">
        <f>if(countif(Status!C:C,A41)=1,TRUE, FALSE)</f>
        <v>1</v>
      </c>
      <c r="G41" s="23" t="str">
        <f>'2.4.raw'!AQ41</f>
        <v/>
      </c>
    </row>
    <row r="42">
      <c r="A42" s="23" t="str">
        <f t="shared" si="1"/>
        <v>PL1008</v>
      </c>
      <c r="B42" s="23" t="str">
        <f>'2.4.raw'!L42</f>
        <v>PL1008</v>
      </c>
      <c r="C42" s="24">
        <f>datevalue(left('2.4.raw'!A42,10))</f>
        <v>43628</v>
      </c>
      <c r="D42" s="23">
        <f>'2.4.raw'!G42</f>
        <v>11</v>
      </c>
      <c r="E42" s="1">
        <v>2.4</v>
      </c>
      <c r="F42" s="23" t="b">
        <f>if(countif(Status!C:C,A42)=1,TRUE, FALSE)</f>
        <v>1</v>
      </c>
      <c r="G42" s="23" t="str">
        <f>'2.4.raw'!AQ42</f>
        <v/>
      </c>
    </row>
    <row r="43">
      <c r="A43" s="23" t="str">
        <f t="shared" si="1"/>
        <v>MO1023</v>
      </c>
      <c r="B43" s="23" t="str">
        <f>'2.4.raw'!L43</f>
        <v>MO1023</v>
      </c>
      <c r="C43" s="24">
        <f>datevalue(left('2.4.raw'!A43,10))</f>
        <v>43629</v>
      </c>
      <c r="D43" s="23">
        <f>'2.4.raw'!G43</f>
        <v>12</v>
      </c>
      <c r="E43" s="1">
        <v>2.4</v>
      </c>
      <c r="F43" s="23" t="b">
        <f>if(countif(Status!C:C,A43)=1,TRUE, FALSE)</f>
        <v>1</v>
      </c>
      <c r="G43" s="23" t="str">
        <f>'2.4.raw'!AQ43</f>
        <v/>
      </c>
    </row>
    <row r="44">
      <c r="A44" s="23" t="str">
        <f t="shared" si="1"/>
        <v>MO1024</v>
      </c>
      <c r="B44" s="23" t="str">
        <f>'2.4.raw'!L44</f>
        <v>MO1024</v>
      </c>
      <c r="C44" s="24">
        <f>datevalue(left('2.4.raw'!A44,10))</f>
        <v>43629</v>
      </c>
      <c r="D44" s="23">
        <f>'2.4.raw'!G44</f>
        <v>12</v>
      </c>
      <c r="E44" s="1">
        <v>2.4</v>
      </c>
      <c r="F44" s="23" t="b">
        <f>if(countif(Status!C:C,A44)=1,TRUE, FALSE)</f>
        <v>1</v>
      </c>
      <c r="G44" s="23" t="str">
        <f>'2.4.raw'!AQ44</f>
        <v/>
      </c>
    </row>
    <row r="45">
      <c r="A45" s="23" t="str">
        <f t="shared" si="1"/>
        <v>PLc1008</v>
      </c>
      <c r="B45" s="23" t="str">
        <f>'2.4.raw'!L45</f>
        <v>PLc1008</v>
      </c>
      <c r="C45" s="24">
        <f>datevalue(left('2.4.raw'!A45,10))</f>
        <v>43629</v>
      </c>
      <c r="D45" s="23">
        <f>'2.4.raw'!G45</f>
        <v>11</v>
      </c>
      <c r="E45" s="1">
        <v>2.4</v>
      </c>
      <c r="F45" s="23" t="b">
        <f>if(countif(Status!C:C,A45)=1,TRUE, FALSE)</f>
        <v>1</v>
      </c>
      <c r="G45" s="23" t="str">
        <f>'2.4.raw'!AQ45</f>
        <v/>
      </c>
    </row>
    <row r="46">
      <c r="A46" s="23" t="str">
        <f t="shared" si="1"/>
        <v>PLc1009</v>
      </c>
      <c r="B46" s="23" t="str">
        <f>'2.4.raw'!L46</f>
        <v>PLc1009</v>
      </c>
      <c r="C46" s="24">
        <f>datevalue(left('2.4.raw'!A46,10))</f>
        <v>43629</v>
      </c>
      <c r="D46" s="23">
        <f>'2.4.raw'!G46</f>
        <v>11</v>
      </c>
      <c r="E46" s="1">
        <v>2.4</v>
      </c>
      <c r="F46" s="23" t="b">
        <f>if(countif(Status!C:C,A46)=1,TRUE, FALSE)</f>
        <v>1</v>
      </c>
      <c r="G46" s="23" t="str">
        <f>'2.4.raw'!AQ46</f>
        <v/>
      </c>
    </row>
    <row r="47">
      <c r="A47" s="23" t="str">
        <f t="shared" si="1"/>
        <v>MO1026</v>
      </c>
      <c r="B47" s="23" t="str">
        <f>'2.4.raw'!L47</f>
        <v>MO1026</v>
      </c>
      <c r="C47" s="24">
        <f>datevalue(left('2.4.raw'!A47,10))</f>
        <v>43629</v>
      </c>
      <c r="D47" s="23">
        <f>'2.4.raw'!G47</f>
        <v>12</v>
      </c>
      <c r="E47" s="1">
        <v>2.4</v>
      </c>
      <c r="F47" s="23" t="b">
        <f>if(countif(Status!C:C,A47)=1,TRUE, FALSE)</f>
        <v>1</v>
      </c>
      <c r="G47" s="23" t="str">
        <f>'2.4.raw'!AQ47</f>
        <v>Dogs are moving, only one Swab can be collected</v>
      </c>
    </row>
    <row r="48">
      <c r="A48" s="23" t="str">
        <f t="shared" si="1"/>
        <v>MO1025</v>
      </c>
      <c r="B48" s="23" t="str">
        <f>'2.4.raw'!L48</f>
        <v>MO1025</v>
      </c>
      <c r="C48" s="24">
        <f>datevalue(left('2.4.raw'!A48,10))</f>
        <v>43629</v>
      </c>
      <c r="D48" s="23">
        <f>'2.4.raw'!G48</f>
        <v>12</v>
      </c>
      <c r="E48" s="1">
        <v>2.4</v>
      </c>
      <c r="F48" s="23" t="b">
        <f>if(countif(Status!C:C,A48)=1,TRUE, FALSE)</f>
        <v>1</v>
      </c>
      <c r="G48" s="23" t="str">
        <f>'2.4.raw'!AQ48</f>
        <v/>
      </c>
    </row>
    <row r="49">
      <c r="A49" s="23" t="str">
        <f t="shared" si="1"/>
        <v>PLc1010</v>
      </c>
      <c r="B49" s="23" t="str">
        <f>'2.4.raw'!L49</f>
        <v>PLc1010</v>
      </c>
      <c r="C49" s="24">
        <f>datevalue(left('2.4.raw'!A49,10))</f>
        <v>43629</v>
      </c>
      <c r="D49" s="23">
        <f>'2.4.raw'!G49</f>
        <v>11</v>
      </c>
      <c r="E49" s="1">
        <v>2.4</v>
      </c>
      <c r="F49" s="23" t="b">
        <f>if(countif(Status!C:C,A49)=1,TRUE, FALSE)</f>
        <v>1</v>
      </c>
      <c r="G49" s="23" t="str">
        <f>'2.4.raw'!AQ49</f>
        <v/>
      </c>
    </row>
    <row r="50">
      <c r="A50" s="23" t="str">
        <f t="shared" si="1"/>
        <v>PLc1011</v>
      </c>
      <c r="B50" s="23" t="str">
        <f>'2.4.raw'!L50</f>
        <v>PLc1011</v>
      </c>
      <c r="C50" s="24">
        <f>datevalue(left('2.4.raw'!A50,10))</f>
        <v>43633</v>
      </c>
      <c r="D50" s="23">
        <f>'2.4.raw'!G50</f>
        <v>11</v>
      </c>
      <c r="E50" s="1">
        <v>2.4</v>
      </c>
      <c r="F50" s="23" t="b">
        <f>if(countif(Status!C:C,A50)=1,TRUE, FALSE)</f>
        <v>1</v>
      </c>
      <c r="G50" s="23" t="str">
        <f>'2.4.raw'!AQ50</f>
        <v>Nousin Farhen</v>
      </c>
    </row>
    <row r="51">
      <c r="A51" s="23" t="str">
        <f t="shared" si="1"/>
        <v>PLc1012</v>
      </c>
      <c r="B51" s="23" t="str">
        <f>'2.4.raw'!L51</f>
        <v>PLc1012</v>
      </c>
      <c r="C51" s="24">
        <f>datevalue(left('2.4.raw'!A51,10))</f>
        <v>43633</v>
      </c>
      <c r="D51" s="23">
        <f>'2.4.raw'!G51</f>
        <v>11</v>
      </c>
      <c r="E51" s="1">
        <v>2.4</v>
      </c>
      <c r="F51" s="23" t="b">
        <f>if(countif(Status!C:C,A51)=1,TRUE, FALSE)</f>
        <v>1</v>
      </c>
      <c r="G51" s="23" t="str">
        <f>'2.4.raw'!AQ51</f>
        <v/>
      </c>
    </row>
    <row r="52">
      <c r="A52" s="23" t="str">
        <f t="shared" si="1"/>
        <v>PLc1013</v>
      </c>
      <c r="B52" s="23" t="str">
        <f>'2.4.raw'!L52</f>
        <v>PLc1013</v>
      </c>
      <c r="C52" s="24">
        <f>datevalue(left('2.4.raw'!A52,10))</f>
        <v>43633</v>
      </c>
      <c r="D52" s="23">
        <f>'2.4.raw'!G52</f>
        <v>11</v>
      </c>
      <c r="E52" s="1">
        <v>2.4</v>
      </c>
      <c r="F52" s="23" t="b">
        <f>if(countif(Status!C:C,A52)=1,TRUE, FALSE)</f>
        <v>1</v>
      </c>
      <c r="G52" s="23" t="str">
        <f>'2.4.raw'!AQ52</f>
        <v/>
      </c>
    </row>
    <row r="53">
      <c r="A53" s="23" t="str">
        <f t="shared" si="1"/>
        <v>MO1027</v>
      </c>
      <c r="B53" s="23" t="str">
        <f>'2.4.raw'!L53</f>
        <v>MO1027</v>
      </c>
      <c r="C53" s="24">
        <f>datevalue(left('2.4.raw'!A53,10))</f>
        <v>43634</v>
      </c>
      <c r="D53" s="23">
        <f>'2.4.raw'!G53</f>
        <v>12</v>
      </c>
      <c r="E53" s="1">
        <v>2.4</v>
      </c>
      <c r="F53" s="23" t="b">
        <f>if(countif(Status!C:C,A53)=1,TRUE, FALSE)</f>
        <v>1</v>
      </c>
      <c r="G53" s="23" t="str">
        <f>'2.4.raw'!AQ53</f>
        <v/>
      </c>
    </row>
    <row r="54">
      <c r="A54" s="23" t="str">
        <f t="shared" si="1"/>
        <v>MO1028</v>
      </c>
      <c r="B54" s="23" t="str">
        <f>'2.4.raw'!L54</f>
        <v>MO1028</v>
      </c>
      <c r="C54" s="24">
        <f>datevalue(left('2.4.raw'!A54,10))</f>
        <v>43634</v>
      </c>
      <c r="D54" s="23">
        <f>'2.4.raw'!G54</f>
        <v>12</v>
      </c>
      <c r="E54" s="1">
        <v>2.4</v>
      </c>
      <c r="F54" s="23" t="b">
        <f>if(countif(Status!C:C,A54)=1,TRUE, FALSE)</f>
        <v>1</v>
      </c>
      <c r="G54" s="23" t="str">
        <f>'2.4.raw'!AQ54</f>
        <v/>
      </c>
    </row>
    <row r="55">
      <c r="A55" s="23" t="str">
        <f t="shared" si="1"/>
        <v>MO1029</v>
      </c>
      <c r="B55" s="23" t="str">
        <f>'2.4.raw'!L55</f>
        <v>MO1029</v>
      </c>
      <c r="C55" s="24">
        <f>datevalue(left('2.4.raw'!A55,10))</f>
        <v>43634</v>
      </c>
      <c r="D55" s="23">
        <f>'2.4.raw'!G55</f>
        <v>12</v>
      </c>
      <c r="E55" s="1">
        <v>2.4</v>
      </c>
      <c r="F55" s="23" t="b">
        <f>if(countif(Status!C:C,A55)=1,TRUE, FALSE)</f>
        <v>1</v>
      </c>
      <c r="G55" s="23" t="str">
        <f>'2.4.raw'!AQ55</f>
        <v/>
      </c>
    </row>
    <row r="56">
      <c r="A56" s="23" t="str">
        <f t="shared" si="1"/>
        <v>MO1030</v>
      </c>
      <c r="B56" s="23" t="str">
        <f>'2.4.raw'!L56</f>
        <v>MO1030</v>
      </c>
      <c r="C56" s="24">
        <f>datevalue(left('2.4.raw'!A56,10))</f>
        <v>43634</v>
      </c>
      <c r="D56" s="23">
        <f>'2.4.raw'!G56</f>
        <v>12</v>
      </c>
      <c r="E56" s="1">
        <v>2.4</v>
      </c>
      <c r="F56" s="23" t="b">
        <f>if(countif(Status!C:C,A56)=1,TRUE, FALSE)</f>
        <v>1</v>
      </c>
      <c r="G56" s="23" t="str">
        <f>'2.4.raw'!AQ56</f>
        <v/>
      </c>
    </row>
    <row r="57">
      <c r="A57" s="23" t="str">
        <f t="shared" si="1"/>
        <v>PLc1014</v>
      </c>
      <c r="B57" s="23" t="str">
        <f>'2.4.raw'!L57</f>
        <v>PLc1014</v>
      </c>
      <c r="C57" s="24">
        <f>datevalue(left('2.4.raw'!A57,10))</f>
        <v>43636</v>
      </c>
      <c r="D57" s="23">
        <f>'2.4.raw'!G57</f>
        <v>11</v>
      </c>
      <c r="E57" s="1">
        <v>2.4</v>
      </c>
      <c r="F57" s="23" t="b">
        <f>if(countif(Status!C:C,A57)=1,TRUE, FALSE)</f>
        <v>1</v>
      </c>
      <c r="G57" s="23" t="str">
        <f>'2.4.raw'!AQ57</f>
        <v>Subject Name - Deb Bauri</v>
      </c>
    </row>
    <row r="58">
      <c r="A58" s="23" t="str">
        <f t="shared" si="1"/>
        <v>MO1031</v>
      </c>
      <c r="B58" s="23" t="str">
        <f>'2.4.raw'!L58</f>
        <v>MO1031</v>
      </c>
      <c r="C58" s="24">
        <f>datevalue(left('2.4.raw'!A58,10))</f>
        <v>43636</v>
      </c>
      <c r="D58" s="23">
        <f>'2.4.raw'!G58</f>
        <v>12</v>
      </c>
      <c r="E58" s="1">
        <v>2.4</v>
      </c>
      <c r="F58" s="23" t="b">
        <f>if(countif(Status!C:C,A58)=1,TRUE, FALSE)</f>
        <v>1</v>
      </c>
      <c r="G58" s="23" t="str">
        <f>'2.4.raw'!AQ58</f>
        <v/>
      </c>
    </row>
    <row r="59">
      <c r="A59" s="23" t="str">
        <f t="shared" si="1"/>
        <v>MO1032</v>
      </c>
      <c r="B59" s="23" t="str">
        <f>'2.4.raw'!L59</f>
        <v>MO1032</v>
      </c>
      <c r="C59" s="24">
        <f>datevalue(left('2.4.raw'!A59,10))</f>
        <v>43636</v>
      </c>
      <c r="D59" s="23">
        <f>'2.4.raw'!G59</f>
        <v>12</v>
      </c>
      <c r="E59" s="1">
        <v>2.4</v>
      </c>
      <c r="F59" s="23" t="b">
        <f>if(countif(Status!C:C,A59)=1,TRUE, FALSE)</f>
        <v>1</v>
      </c>
      <c r="G59" s="23" t="str">
        <f>'2.4.raw'!AQ59</f>
        <v/>
      </c>
    </row>
    <row r="60">
      <c r="A60" s="23" t="str">
        <f t="shared" si="1"/>
        <v>MO1033</v>
      </c>
      <c r="B60" s="23" t="str">
        <f>'2.4.raw'!L60</f>
        <v>MO1033</v>
      </c>
      <c r="C60" s="24">
        <f>datevalue(left('2.4.raw'!A60,10))</f>
        <v>43636</v>
      </c>
      <c r="D60" s="23">
        <f>'2.4.raw'!G60</f>
        <v>12</v>
      </c>
      <c r="E60" s="1">
        <v>2.4</v>
      </c>
      <c r="F60" s="23" t="b">
        <f>if(countif(Status!C:C,A60)=1,TRUE, FALSE)</f>
        <v>1</v>
      </c>
      <c r="G60" s="23" t="str">
        <f>'2.4.raw'!AQ60</f>
        <v/>
      </c>
    </row>
    <row r="61">
      <c r="A61" s="23" t="str">
        <f t="shared" si="1"/>
        <v>PLc1015</v>
      </c>
      <c r="B61" s="23" t="str">
        <f>'2.4.raw'!L61</f>
        <v>PLc1015</v>
      </c>
      <c r="C61" s="24">
        <f>datevalue(left('2.4.raw'!A61,10))</f>
        <v>43636</v>
      </c>
      <c r="D61" s="23">
        <f>'2.4.raw'!G61</f>
        <v>11</v>
      </c>
      <c r="E61" s="1">
        <v>2.4</v>
      </c>
      <c r="F61" s="23" t="b">
        <f>if(countif(Status!C:C,A61)=1,TRUE, FALSE)</f>
        <v>1</v>
      </c>
      <c r="G61" s="23" t="str">
        <f>'2.4.raw'!AQ61</f>
        <v>Subject Name - Nousin Farhen</v>
      </c>
    </row>
    <row r="62">
      <c r="A62" s="23" t="str">
        <f t="shared" si="1"/>
        <v>PLc1016</v>
      </c>
      <c r="B62" s="23" t="str">
        <f>'2.4.raw'!L62</f>
        <v>PLc1016</v>
      </c>
      <c r="C62" s="24">
        <f>datevalue(left('2.4.raw'!A62,10))</f>
        <v>43636</v>
      </c>
      <c r="D62" s="23">
        <f>'2.4.raw'!G62</f>
        <v>11</v>
      </c>
      <c r="E62" s="1">
        <v>2.4</v>
      </c>
      <c r="F62" s="23" t="b">
        <f>if(countif(Status!C:C,A62)=1,TRUE, FALSE)</f>
        <v>1</v>
      </c>
      <c r="G62" s="23" t="str">
        <f>'2.4.raw'!AQ62</f>
        <v>Subject Name - ReyaKhatun</v>
      </c>
    </row>
    <row r="63">
      <c r="A63" s="23" t="str">
        <f t="shared" si="1"/>
        <v>MO1034</v>
      </c>
      <c r="B63" s="23" t="str">
        <f>'2.4.raw'!L63</f>
        <v>MO1034</v>
      </c>
      <c r="C63" s="24">
        <f>datevalue(left('2.4.raw'!A63,10))</f>
        <v>43636</v>
      </c>
      <c r="D63" s="23">
        <f>'2.4.raw'!G63</f>
        <v>12</v>
      </c>
      <c r="E63" s="1">
        <v>2.4</v>
      </c>
      <c r="F63" s="23" t="b">
        <f>if(countif(Status!C:C,A63)=1,TRUE, FALSE)</f>
        <v>1</v>
      </c>
      <c r="G63" s="23" t="str">
        <f>'2.4.raw'!AQ63</f>
        <v>Moore was not collected as both the swabs were torn off and drowned in water</v>
      </c>
    </row>
    <row r="64">
      <c r="A64" s="23" t="str">
        <f t="shared" si="1"/>
        <v>PLc1017</v>
      </c>
      <c r="B64" s="23" t="str">
        <f>'2.4.raw'!L64</f>
        <v>PLc1017</v>
      </c>
      <c r="C64" s="24">
        <f>datevalue(left('2.4.raw'!A64,10))</f>
        <v>43640</v>
      </c>
      <c r="D64" s="23">
        <f>'2.4.raw'!G64</f>
        <v>11</v>
      </c>
      <c r="E64" s="1">
        <v>2.4</v>
      </c>
      <c r="F64" s="23" t="b">
        <f>if(countif(Status!C:C,A64)=1,TRUE, FALSE)</f>
        <v>1</v>
      </c>
      <c r="G64" s="23" t="str">
        <f>'2.4.raw'!AQ64</f>
        <v/>
      </c>
    </row>
    <row r="65">
      <c r="A65" s="23" t="str">
        <f t="shared" si="1"/>
        <v>PLc1018</v>
      </c>
      <c r="B65" s="23" t="str">
        <f>'2.4.raw'!L65</f>
        <v>PLc1018</v>
      </c>
      <c r="C65" s="24">
        <f>datevalue(left('2.4.raw'!A65,10))</f>
        <v>43640</v>
      </c>
      <c r="D65" s="23">
        <f>'2.4.raw'!G65</f>
        <v>11</v>
      </c>
      <c r="E65" s="1">
        <v>2.4</v>
      </c>
      <c r="F65" s="23" t="b">
        <f>if(countif(Status!C:C,A65)=1,TRUE, FALSE)</f>
        <v>1</v>
      </c>
      <c r="G65" s="23" t="str">
        <f>'2.4.raw'!AQ65</f>
        <v>House of Reya Khatun</v>
      </c>
    </row>
    <row r="66">
      <c r="A66" s="23" t="str">
        <f t="shared" si="1"/>
        <v>PLc1019</v>
      </c>
      <c r="B66" s="23" t="str">
        <f>'2.4.raw'!L66</f>
        <v>PLc1019</v>
      </c>
      <c r="C66" s="24">
        <f>datevalue(left('2.4.raw'!A66,10))</f>
        <v>43640</v>
      </c>
      <c r="D66" s="23">
        <f>'2.4.raw'!G66</f>
        <v>11</v>
      </c>
      <c r="E66" s="1">
        <v>2.4</v>
      </c>
      <c r="F66" s="23" t="b">
        <f>if(countif(Status!C:C,A66)=1,TRUE, FALSE)</f>
        <v>1</v>
      </c>
      <c r="G66" s="23" t="str">
        <f>'2.4.raw'!AQ66</f>
        <v>House of Deb Bauri</v>
      </c>
    </row>
    <row r="67">
      <c r="A67" s="23" t="str">
        <f t="shared" si="1"/>
        <v>MO1035</v>
      </c>
      <c r="B67" s="23" t="str">
        <f>'2.4.raw'!L67</f>
        <v>MO1035</v>
      </c>
      <c r="C67" s="24">
        <f>datevalue(left('2.4.raw'!A67,10))</f>
        <v>43641</v>
      </c>
      <c r="D67" s="23">
        <f>'2.4.raw'!G67</f>
        <v>12</v>
      </c>
      <c r="E67" s="1">
        <v>2.4</v>
      </c>
      <c r="F67" s="23" t="b">
        <f>if(countif(Status!C:C,A67)=1,TRUE, FALSE)</f>
        <v>1</v>
      </c>
      <c r="G67" s="23" t="str">
        <f>'2.4.raw'!AQ67</f>
        <v/>
      </c>
    </row>
    <row r="68">
      <c r="A68" s="23" t="str">
        <f t="shared" si="1"/>
        <v>MO1036</v>
      </c>
      <c r="B68" s="23" t="str">
        <f>'2.4.raw'!L68</f>
        <v>MO1036</v>
      </c>
      <c r="C68" s="24">
        <f>datevalue(left('2.4.raw'!A68,10))</f>
        <v>43641</v>
      </c>
      <c r="D68" s="23">
        <f>'2.4.raw'!G68</f>
        <v>12</v>
      </c>
      <c r="E68" s="1">
        <v>2.4</v>
      </c>
      <c r="F68" s="23" t="b">
        <f>if(countif(Status!C:C,A68)=1,TRUE, FALSE)</f>
        <v>1</v>
      </c>
      <c r="G68" s="23" t="str">
        <f>'2.4.raw'!AQ68</f>
        <v/>
      </c>
    </row>
    <row r="69">
      <c r="A69" s="23" t="str">
        <f t="shared" si="1"/>
        <v>MO1037</v>
      </c>
      <c r="B69" s="23" t="str">
        <f>'2.4.raw'!L69</f>
        <v>MO1037</v>
      </c>
      <c r="C69" s="24">
        <f>datevalue(left('2.4.raw'!A69,10))</f>
        <v>43641</v>
      </c>
      <c r="D69" s="23">
        <f>'2.4.raw'!G69</f>
        <v>12</v>
      </c>
      <c r="E69" s="1">
        <v>2.4</v>
      </c>
      <c r="F69" s="23" t="b">
        <f>if(countif(Status!C:C,A69)=1,TRUE, FALSE)</f>
        <v>1</v>
      </c>
      <c r="G69" s="23" t="str">
        <f>'2.4.raw'!AQ69</f>
        <v/>
      </c>
    </row>
    <row r="70">
      <c r="A70" s="23" t="str">
        <f t="shared" si="1"/>
        <v>MO1038</v>
      </c>
      <c r="B70" s="23" t="str">
        <f>'2.4.raw'!L70</f>
        <v>MO1038</v>
      </c>
      <c r="C70" s="24">
        <f>datevalue(left('2.4.raw'!A70,10))</f>
        <v>43641</v>
      </c>
      <c r="D70" s="23">
        <f>'2.4.raw'!G70</f>
        <v>12</v>
      </c>
      <c r="E70" s="1">
        <v>2.4</v>
      </c>
      <c r="F70" s="23" t="b">
        <f>if(countif(Status!C:C,A70)=1,TRUE, FALSE)</f>
        <v>1</v>
      </c>
      <c r="G70" s="23" t="str">
        <f>'2.4.raw'!AQ70</f>
        <v>Dog</v>
      </c>
    </row>
    <row r="71">
      <c r="A71" s="23" t="str">
        <f t="shared" si="1"/>
        <v>PLc1020</v>
      </c>
      <c r="B71" s="23" t="str">
        <f>'2.4.raw'!L71</f>
        <v>PLc1020</v>
      </c>
      <c r="C71" s="24">
        <f>datevalue(left('2.4.raw'!A71,10))</f>
        <v>43643</v>
      </c>
      <c r="D71" s="23">
        <f>'2.4.raw'!G71</f>
        <v>11</v>
      </c>
      <c r="E71" s="1">
        <v>2.4</v>
      </c>
      <c r="F71" s="23" t="b">
        <f>if(countif(Status!C:C,A71)=1,TRUE, FALSE)</f>
        <v>1</v>
      </c>
      <c r="G71" s="23" t="str">
        <f>'2.4.raw'!AQ71</f>
        <v>Subject Name Deb Bauri</v>
      </c>
    </row>
    <row r="72">
      <c r="A72" s="23" t="str">
        <f t="shared" si="1"/>
        <v>PLc1021</v>
      </c>
      <c r="B72" s="23" t="str">
        <f>'2.4.raw'!L72</f>
        <v>PLc1021</v>
      </c>
      <c r="C72" s="24">
        <f>datevalue(left('2.4.raw'!A72,10))</f>
        <v>43643</v>
      </c>
      <c r="D72" s="23">
        <f>'2.4.raw'!G72</f>
        <v>11</v>
      </c>
      <c r="E72" s="1">
        <v>2.4</v>
      </c>
      <c r="F72" s="23" t="b">
        <f>if(countif(Status!C:C,A72)=1,TRUE, FALSE)</f>
        <v>1</v>
      </c>
      <c r="G72" s="23" t="str">
        <f>'2.4.raw'!AQ72</f>
        <v>Subject Name Nousin Farhen</v>
      </c>
    </row>
    <row r="73">
      <c r="A73" s="23" t="str">
        <f t="shared" si="1"/>
        <v>PLc1022</v>
      </c>
      <c r="B73" s="23" t="str">
        <f>'2.4.raw'!L73</f>
        <v>PLc1022</v>
      </c>
      <c r="C73" s="24">
        <f>datevalue(left('2.4.raw'!A73,10))</f>
        <v>43643</v>
      </c>
      <c r="D73" s="23">
        <f>'2.4.raw'!G73</f>
        <v>11</v>
      </c>
      <c r="E73" s="1">
        <v>2.4</v>
      </c>
      <c r="F73" s="23" t="b">
        <f>if(countif(Status!C:C,A73)=1,TRUE, FALSE)</f>
        <v>1</v>
      </c>
      <c r="G73" s="23" t="str">
        <f>'2.4.raw'!AQ73</f>
        <v>Subject Name Ria Khatun</v>
      </c>
    </row>
    <row r="74">
      <c r="A74" s="23" t="str">
        <f t="shared" si="1"/>
        <v>MO1039</v>
      </c>
      <c r="B74" s="23" t="str">
        <f>'2.4.raw'!L74</f>
        <v>MO1039</v>
      </c>
      <c r="C74" s="24">
        <f>datevalue(left('2.4.raw'!A74,10))</f>
        <v>43643</v>
      </c>
      <c r="D74" s="23">
        <f>'2.4.raw'!G74</f>
        <v>12</v>
      </c>
      <c r="E74" s="1">
        <v>2.4</v>
      </c>
      <c r="F74" s="23" t="b">
        <f>if(countif(Status!C:C,A74)=1,TRUE, FALSE)</f>
        <v>1</v>
      </c>
      <c r="G74" s="23" t="str">
        <f>'2.4.raw'!AQ74</f>
        <v/>
      </c>
    </row>
    <row r="75">
      <c r="A75" s="23" t="str">
        <f t="shared" si="1"/>
        <v>MO1040</v>
      </c>
      <c r="B75" s="23" t="str">
        <f>'2.4.raw'!L75</f>
        <v>MO1040</v>
      </c>
      <c r="C75" s="24">
        <f>datevalue(left('2.4.raw'!A75,10))</f>
        <v>43643</v>
      </c>
      <c r="D75" s="23">
        <f>'2.4.raw'!G75</f>
        <v>12</v>
      </c>
      <c r="E75" s="1">
        <v>2.4</v>
      </c>
      <c r="F75" s="23" t="b">
        <f>if(countif(Status!C:C,A75)=1,TRUE, FALSE)</f>
        <v>1</v>
      </c>
      <c r="G75" s="23" t="str">
        <f>'2.4.raw'!AQ75</f>
        <v/>
      </c>
    </row>
    <row r="76">
      <c r="A76" s="23" t="str">
        <f t="shared" si="1"/>
        <v>MO1041</v>
      </c>
      <c r="B76" s="23" t="str">
        <f>'2.4.raw'!L76</f>
        <v>MO1041</v>
      </c>
      <c r="C76" s="24">
        <f>datevalue(left('2.4.raw'!A76,10))</f>
        <v>43643</v>
      </c>
      <c r="D76" s="23">
        <f>'2.4.raw'!G76</f>
        <v>12</v>
      </c>
      <c r="E76" s="1">
        <v>2.4</v>
      </c>
      <c r="F76" s="23" t="b">
        <f>if(countif(Status!C:C,A76)=1,TRUE, FALSE)</f>
        <v>1</v>
      </c>
      <c r="G76" s="23" t="str">
        <f>'2.4.raw'!AQ76</f>
        <v/>
      </c>
    </row>
    <row r="77">
      <c r="A77" s="23" t="str">
        <f t="shared" si="1"/>
        <v>MO1042</v>
      </c>
      <c r="B77" s="23" t="str">
        <f>'2.4.raw'!L77</f>
        <v>MO1042</v>
      </c>
      <c r="C77" s="24">
        <f>datevalue(left('2.4.raw'!A77,10))</f>
        <v>43643</v>
      </c>
      <c r="D77" s="23">
        <f>'2.4.raw'!G77</f>
        <v>12</v>
      </c>
      <c r="E77" s="1">
        <v>2.4</v>
      </c>
      <c r="F77" s="23" t="b">
        <f>if(countif(Status!C:C,A77)=1,TRUE, FALSE)</f>
        <v>1</v>
      </c>
      <c r="G77" s="23" t="str">
        <f>'2.4.raw'!AQ77</f>
        <v/>
      </c>
    </row>
    <row r="78">
      <c r="A78" s="23" t="str">
        <f t="shared" si="1"/>
        <v>PLc1023</v>
      </c>
      <c r="B78" s="23" t="str">
        <f>'2.4.raw'!L78</f>
        <v>PLc1023</v>
      </c>
      <c r="C78" s="24">
        <f>datevalue(left('2.4.raw'!A78,10))</f>
        <v>43647</v>
      </c>
      <c r="D78" s="23">
        <f>'2.4.raw'!G78</f>
        <v>11</v>
      </c>
      <c r="E78" s="1">
        <v>2.4</v>
      </c>
      <c r="F78" s="23" t="b">
        <f>if(countif(Status!C:C,A78)=1,TRUE, FALSE)</f>
        <v>1</v>
      </c>
      <c r="G78" s="23" t="str">
        <f>'2.4.raw'!AQ78</f>
        <v>House Of Reya Khatun</v>
      </c>
    </row>
    <row r="79">
      <c r="A79" s="23" t="str">
        <f t="shared" si="1"/>
        <v>PLc1024</v>
      </c>
      <c r="B79" s="23" t="str">
        <f>'2.4.raw'!L79</f>
        <v>PLc1024</v>
      </c>
      <c r="C79" s="24">
        <f>datevalue(left('2.4.raw'!A79,10))</f>
        <v>43647</v>
      </c>
      <c r="D79" s="23">
        <f>'2.4.raw'!G79</f>
        <v>11</v>
      </c>
      <c r="E79" s="1">
        <v>2.4</v>
      </c>
      <c r="F79" s="23" t="b">
        <f>if(countif(Status!C:C,A79)=1,TRUE, FALSE)</f>
        <v>1</v>
      </c>
      <c r="G79" s="23" t="str">
        <f>'2.4.raw'!AQ79</f>
        <v>House Of Deb Bauri</v>
      </c>
    </row>
    <row r="80">
      <c r="A80" s="23" t="str">
        <f t="shared" si="1"/>
        <v>MO1043</v>
      </c>
      <c r="B80" s="23" t="str">
        <f>'2.4.raw'!L80</f>
        <v>MO1043</v>
      </c>
      <c r="C80" s="24">
        <f>datevalue(left('2.4.raw'!A80,10))</f>
        <v>43648</v>
      </c>
      <c r="D80" s="23">
        <f>'2.4.raw'!G80</f>
        <v>12</v>
      </c>
      <c r="E80" s="1">
        <v>2.4</v>
      </c>
      <c r="F80" s="23" t="b">
        <f>if(countif(Status!C:C,A80)=1,TRUE, FALSE)</f>
        <v>1</v>
      </c>
      <c r="G80" s="23" t="str">
        <f>'2.4.raw'!AQ80</f>
        <v/>
      </c>
    </row>
    <row r="81">
      <c r="A81" s="23" t="str">
        <f t="shared" si="1"/>
        <v>MO1044</v>
      </c>
      <c r="B81" s="23" t="str">
        <f>'2.4.raw'!L81</f>
        <v>MO1044</v>
      </c>
      <c r="C81" s="24">
        <f>datevalue(left('2.4.raw'!A81,10))</f>
        <v>43648</v>
      </c>
      <c r="D81" s="23">
        <f>'2.4.raw'!G81</f>
        <v>12</v>
      </c>
      <c r="E81" s="1">
        <v>2.4</v>
      </c>
      <c r="F81" s="23" t="b">
        <f>if(countif(Status!C:C,A81)=1,TRUE, FALSE)</f>
        <v>1</v>
      </c>
      <c r="G81" s="23" t="str">
        <f>'2.4.raw'!AQ81</f>
        <v/>
      </c>
    </row>
    <row r="82">
      <c r="A82" s="23" t="str">
        <f t="shared" si="1"/>
        <v>MO1045</v>
      </c>
      <c r="B82" s="23" t="str">
        <f>'2.4.raw'!L82</f>
        <v>MO1045</v>
      </c>
      <c r="C82" s="24">
        <f>datevalue(left('2.4.raw'!A82,10))</f>
        <v>43648</v>
      </c>
      <c r="D82" s="23">
        <f>'2.4.raw'!G82</f>
        <v>12</v>
      </c>
      <c r="E82" s="1">
        <v>2.4</v>
      </c>
      <c r="F82" s="23" t="b">
        <f>if(countif(Status!C:C,A82)=1,TRUE, FALSE)</f>
        <v>1</v>
      </c>
      <c r="G82" s="23" t="str">
        <f>'2.4.raw'!AQ82</f>
        <v>Dogs are moving</v>
      </c>
    </row>
    <row r="83">
      <c r="A83" s="23" t="str">
        <f t="shared" si="1"/>
        <v>MO1046</v>
      </c>
      <c r="B83" s="23" t="str">
        <f>'2.4.raw'!L83</f>
        <v>MO1046</v>
      </c>
      <c r="C83" s="24">
        <f>datevalue(left('2.4.raw'!A83,10))</f>
        <v>43648</v>
      </c>
      <c r="D83" s="23">
        <f>'2.4.raw'!G83</f>
        <v>12</v>
      </c>
      <c r="E83" s="1">
        <v>2.4</v>
      </c>
      <c r="F83" s="23" t="b">
        <f>if(countif(Status!C:C,A83)=1,TRUE, FALSE)</f>
        <v>1</v>
      </c>
      <c r="G83" s="23" t="str">
        <f>'2.4.raw'!AQ83</f>
        <v/>
      </c>
    </row>
    <row r="84">
      <c r="A84" s="23" t="str">
        <f t="shared" si="1"/>
        <v>MO1047</v>
      </c>
      <c r="B84" s="23" t="str">
        <f>'2.4.raw'!L84</f>
        <v>MO1047</v>
      </c>
      <c r="C84" s="24">
        <f>datevalue(left('2.4.raw'!A84,10))</f>
        <v>43650</v>
      </c>
      <c r="D84" s="23">
        <f>'2.4.raw'!G84</f>
        <v>12</v>
      </c>
      <c r="E84" s="1">
        <v>2.4</v>
      </c>
      <c r="F84" s="23" t="b">
        <f>if(countif(Status!C:C,A84)=1,TRUE, FALSE)</f>
        <v>1</v>
      </c>
      <c r="G84" s="23" t="str">
        <f>'2.4.raw'!AQ84</f>
        <v>Dogs and Hens</v>
      </c>
    </row>
    <row r="85">
      <c r="A85" s="23" t="str">
        <f t="shared" si="1"/>
        <v>MO1048</v>
      </c>
      <c r="B85" s="23" t="str">
        <f>'2.4.raw'!L85</f>
        <v>MO1048</v>
      </c>
      <c r="C85" s="24">
        <f>datevalue(left('2.4.raw'!A85,10))</f>
        <v>43650</v>
      </c>
      <c r="D85" s="23">
        <f>'2.4.raw'!G85</f>
        <v>12</v>
      </c>
      <c r="E85" s="1">
        <v>2.4</v>
      </c>
      <c r="F85" s="23" t="b">
        <f>if(countif(Status!C:C,A85)=1,TRUE, FALSE)</f>
        <v>1</v>
      </c>
      <c r="G85" s="23" t="str">
        <f>'2.4.raw'!AQ85</f>
        <v/>
      </c>
    </row>
    <row r="86">
      <c r="A86" s="23" t="str">
        <f t="shared" si="1"/>
        <v>MO1049</v>
      </c>
      <c r="B86" s="23" t="str">
        <f>'2.4.raw'!L86</f>
        <v>MO1049</v>
      </c>
      <c r="C86" s="24">
        <f>datevalue(left('2.4.raw'!A86,10))</f>
        <v>43650</v>
      </c>
      <c r="D86" s="23">
        <f>'2.4.raw'!G86</f>
        <v>12</v>
      </c>
      <c r="E86" s="1">
        <v>2.4</v>
      </c>
      <c r="F86" s="23" t="b">
        <f>if(countif(Status!C:C,A86)=1,TRUE, FALSE)</f>
        <v>1</v>
      </c>
      <c r="G86" s="23" t="str">
        <f>'2.4.raw'!AQ86</f>
        <v/>
      </c>
    </row>
    <row r="87">
      <c r="A87" s="23" t="str">
        <f t="shared" si="1"/>
        <v>MO1050</v>
      </c>
      <c r="B87" s="23" t="str">
        <f>'2.4.raw'!L87</f>
        <v>MO1050</v>
      </c>
      <c r="C87" s="24">
        <f>datevalue(left('2.4.raw'!A87,10))</f>
        <v>43650</v>
      </c>
      <c r="D87" s="23">
        <f>'2.4.raw'!G87</f>
        <v>12</v>
      </c>
      <c r="E87" s="1">
        <v>2.4</v>
      </c>
      <c r="F87" s="23" t="b">
        <f>if(countif(Status!C:C,A87)=1,TRUE, FALSE)</f>
        <v>1</v>
      </c>
      <c r="G87" s="23" t="str">
        <f>'2.4.raw'!AQ87</f>
        <v>Dogs</v>
      </c>
    </row>
    <row r="88">
      <c r="A88" s="23" t="str">
        <f t="shared" si="1"/>
        <v>PL1009</v>
      </c>
      <c r="B88" s="23" t="str">
        <f>'2.4.raw'!L88</f>
        <v>PL1009</v>
      </c>
      <c r="C88" s="24">
        <f>datevalue(left('2.4.raw'!A88,10))</f>
        <v>43654</v>
      </c>
      <c r="D88" s="23">
        <f>'2.4.raw'!G88</f>
        <v>11</v>
      </c>
      <c r="E88" s="1">
        <v>2.4</v>
      </c>
      <c r="F88" s="23" t="b">
        <f>if(countif(Status!C:C,A88)=1,TRUE, FALSE)</f>
        <v>1</v>
      </c>
      <c r="G88" s="23" t="str">
        <f>'2.4.raw'!AQ88</f>
        <v/>
      </c>
    </row>
    <row r="89">
      <c r="A89" s="23" t="str">
        <f t="shared" si="1"/>
        <v>MO1052</v>
      </c>
      <c r="B89" s="23" t="str">
        <f>'2.4.raw'!L89</f>
        <v>MO1052</v>
      </c>
      <c r="C89" s="24">
        <f>datevalue(left('2.4.raw'!A89,10))</f>
        <v>43655</v>
      </c>
      <c r="D89" s="23">
        <f>'2.4.raw'!G89</f>
        <v>12</v>
      </c>
      <c r="E89" s="1">
        <v>2.4</v>
      </c>
      <c r="F89" s="23" t="b">
        <f>if(countif(Status!C:C,A89)=1,TRUE, FALSE)</f>
        <v>1</v>
      </c>
      <c r="G89" s="23" t="str">
        <f>'2.4.raw'!AQ89</f>
        <v/>
      </c>
    </row>
    <row r="90">
      <c r="A90" s="23" t="str">
        <f t="shared" si="1"/>
        <v>MO1053</v>
      </c>
      <c r="B90" s="23" t="str">
        <f>'2.4.raw'!L90</f>
        <v>MO1053</v>
      </c>
      <c r="C90" s="24">
        <f>datevalue(left('2.4.raw'!A90,10))</f>
        <v>43655</v>
      </c>
      <c r="D90" s="23">
        <f>'2.4.raw'!G90</f>
        <v>12</v>
      </c>
      <c r="E90" s="1">
        <v>2.4</v>
      </c>
      <c r="F90" s="23" t="b">
        <f>if(countif(Status!C:C,A90)=1,TRUE, FALSE)</f>
        <v>1</v>
      </c>
      <c r="G90" s="23" t="str">
        <f>'2.4.raw'!AQ90</f>
        <v/>
      </c>
    </row>
    <row r="91">
      <c r="A91" s="23" t="str">
        <f t="shared" si="1"/>
        <v>MO1054</v>
      </c>
      <c r="B91" s="23" t="str">
        <f>'2.4.raw'!L91</f>
        <v>MO1054</v>
      </c>
      <c r="C91" s="24">
        <f>datevalue(left('2.4.raw'!A91,10))</f>
        <v>43655</v>
      </c>
      <c r="D91" s="23">
        <f>'2.4.raw'!G91</f>
        <v>12</v>
      </c>
      <c r="E91" s="1">
        <v>2.4</v>
      </c>
      <c r="F91" s="23" t="b">
        <f>if(countif(Status!C:C,A91)=1,TRUE, FALSE)</f>
        <v>1</v>
      </c>
      <c r="G91" s="23" t="str">
        <f>'2.4.raw'!AQ91</f>
        <v/>
      </c>
    </row>
    <row r="92">
      <c r="A92" s="23" t="str">
        <f t="shared" si="1"/>
        <v>MO1051</v>
      </c>
      <c r="B92" s="23" t="str">
        <f>'2.4.raw'!L92</f>
        <v>MO1051</v>
      </c>
      <c r="C92" s="24">
        <f>datevalue(left('2.4.raw'!A92,10))</f>
        <v>43655</v>
      </c>
      <c r="D92" s="23">
        <f>'2.4.raw'!G92</f>
        <v>12</v>
      </c>
      <c r="E92" s="1">
        <v>2.4</v>
      </c>
      <c r="F92" s="23" t="b">
        <f>if(countif(Status!C:C,A92)=1,TRUE, FALSE)</f>
        <v>1</v>
      </c>
      <c r="G92" s="23" t="str">
        <f>'2.4.raw'!AQ92</f>
        <v/>
      </c>
    </row>
    <row r="93">
      <c r="A93" s="23" t="str">
        <f t="shared" si="1"/>
        <v>FB1006</v>
      </c>
      <c r="B93" s="23" t="str">
        <f>'2.4.raw'!L93</f>
        <v>FB1006</v>
      </c>
      <c r="C93" s="24">
        <f>datevalue(left('2.4.raw'!A93,10))</f>
        <v>43655</v>
      </c>
      <c r="D93" s="23">
        <f>'2.4.raw'!G93</f>
        <v>99</v>
      </c>
      <c r="E93" s="1">
        <v>2.4</v>
      </c>
      <c r="F93" s="23" t="b">
        <f>if(countif(Status!C:C,A93)=1,TRUE, FALSE)</f>
        <v>1</v>
      </c>
      <c r="G93" s="23" t="str">
        <f>'2.4.raw'!AQ93</f>
        <v/>
      </c>
    </row>
    <row r="94">
      <c r="A94" s="23" t="str">
        <f t="shared" si="1"/>
        <v>PL1010</v>
      </c>
      <c r="B94" s="23" t="str">
        <f>'2.4.raw'!L94</f>
        <v>PL1010</v>
      </c>
      <c r="C94" s="24">
        <f>datevalue(left('2.4.raw'!A94,10))</f>
        <v>43656</v>
      </c>
      <c r="D94" s="23">
        <f>'2.4.raw'!G94</f>
        <v>11</v>
      </c>
      <c r="E94" s="1">
        <v>2.4</v>
      </c>
      <c r="F94" s="23" t="b">
        <f>if(countif(Status!C:C,A94)=1,TRUE, FALSE)</f>
        <v>1</v>
      </c>
      <c r="G94" s="23" t="str">
        <f>'2.4.raw'!AQ94</f>
        <v/>
      </c>
    </row>
    <row r="95">
      <c r="A95" s="23" t="str">
        <f t="shared" si="1"/>
        <v>FB1007</v>
      </c>
      <c r="B95" s="23" t="str">
        <f>'2.4.raw'!L95</f>
        <v>FB1007</v>
      </c>
      <c r="C95" s="24">
        <f>datevalue(left('2.4.raw'!A95,10))</f>
        <v>43656</v>
      </c>
      <c r="D95" s="23">
        <f>'2.4.raw'!G95</f>
        <v>99</v>
      </c>
      <c r="E95" s="1">
        <v>2.4</v>
      </c>
      <c r="F95" s="23" t="b">
        <f>if(countif(Status!C:C,A95)=1,TRUE, FALSE)</f>
        <v>1</v>
      </c>
      <c r="G95" s="23" t="str">
        <f>'2.4.raw'!AQ95</f>
        <v/>
      </c>
    </row>
    <row r="96">
      <c r="A96" s="23" t="str">
        <f t="shared" si="1"/>
        <v>MO1055</v>
      </c>
      <c r="B96" s="23" t="str">
        <f>'2.4.raw'!L96</f>
        <v>MO1055</v>
      </c>
      <c r="C96" s="24">
        <f>datevalue(left('2.4.raw'!A96,10))</f>
        <v>43657</v>
      </c>
      <c r="D96" s="23">
        <f>'2.4.raw'!G96</f>
        <v>12</v>
      </c>
      <c r="E96" s="1">
        <v>2.4</v>
      </c>
      <c r="F96" s="23" t="b">
        <f>if(countif(Status!C:C,A96)=1,TRUE, FALSE)</f>
        <v>1</v>
      </c>
      <c r="G96" s="23" t="str">
        <f>'2.4.raw'!AQ96</f>
        <v>Dogs</v>
      </c>
    </row>
    <row r="97">
      <c r="A97" s="23" t="str">
        <f t="shared" si="1"/>
        <v>MO1056</v>
      </c>
      <c r="B97" s="23" t="str">
        <f>'2.4.raw'!L97</f>
        <v>MO1056</v>
      </c>
      <c r="C97" s="24">
        <f>datevalue(left('2.4.raw'!A97,10))</f>
        <v>43657</v>
      </c>
      <c r="D97" s="23">
        <f>'2.4.raw'!G97</f>
        <v>12</v>
      </c>
      <c r="E97" s="1">
        <v>2.4</v>
      </c>
      <c r="F97" s="23" t="b">
        <f>if(countif(Status!C:C,A97)=1,TRUE, FALSE)</f>
        <v>1</v>
      </c>
      <c r="G97" s="23" t="str">
        <f>'2.4.raw'!AQ97</f>
        <v/>
      </c>
    </row>
    <row r="98">
      <c r="A98" s="23" t="str">
        <f t="shared" si="1"/>
        <v>MO1057</v>
      </c>
      <c r="B98" s="23" t="str">
        <f>'2.4.raw'!L98</f>
        <v>MO1057</v>
      </c>
      <c r="C98" s="24">
        <f>datevalue(left('2.4.raw'!A98,10))</f>
        <v>43657</v>
      </c>
      <c r="D98" s="23">
        <f>'2.4.raw'!G98</f>
        <v>12</v>
      </c>
      <c r="E98" s="1">
        <v>2.4</v>
      </c>
      <c r="F98" s="23" t="b">
        <f>if(countif(Status!C:C,A98)=1,TRUE, FALSE)</f>
        <v>1</v>
      </c>
      <c r="G98" s="23" t="str">
        <f>'2.4.raw'!AQ98</f>
        <v>Dogs</v>
      </c>
    </row>
    <row r="99">
      <c r="A99" s="23" t="str">
        <f t="shared" si="1"/>
        <v>MO1058</v>
      </c>
      <c r="B99" s="23" t="str">
        <f>'2.4.raw'!L99</f>
        <v>MO1058</v>
      </c>
      <c r="C99" s="24">
        <f>datevalue(left('2.4.raw'!A99,10))</f>
        <v>43657</v>
      </c>
      <c r="D99" s="23">
        <f>'2.4.raw'!G99</f>
        <v>12</v>
      </c>
      <c r="E99" s="1">
        <v>2.4</v>
      </c>
      <c r="F99" s="23" t="b">
        <f>if(countif(Status!C:C,A99)=1,TRUE, FALSE)</f>
        <v>1</v>
      </c>
      <c r="G99" s="23" t="str">
        <f>'2.4.raw'!AQ99</f>
        <v/>
      </c>
    </row>
    <row r="100">
      <c r="A100" s="23" t="str">
        <f t="shared" si="1"/>
        <v>PL1011</v>
      </c>
      <c r="B100" s="23" t="str">
        <f>'2.4.raw'!L100</f>
        <v>PL1011</v>
      </c>
      <c r="C100" s="24">
        <f>datevalue(left('2.4.raw'!A100,10))</f>
        <v>43661</v>
      </c>
      <c r="D100" s="23">
        <f>'2.4.raw'!G100</f>
        <v>11</v>
      </c>
      <c r="E100" s="1">
        <v>2.4</v>
      </c>
      <c r="F100" s="23" t="b">
        <f>if(countif(Status!C:C,A100)=1,TRUE, FALSE)</f>
        <v>1</v>
      </c>
      <c r="G100" s="23" t="str">
        <f>'2.4.raw'!AQ100</f>
        <v>House of Swastika Orao</v>
      </c>
    </row>
    <row r="101">
      <c r="A101" s="23" t="str">
        <f t="shared" si="1"/>
        <v>MO1059</v>
      </c>
      <c r="B101" s="23" t="str">
        <f>'2.4.raw'!L101</f>
        <v>MO1059</v>
      </c>
      <c r="C101" s="24">
        <f>datevalue(left('2.4.raw'!A101,10))</f>
        <v>43662</v>
      </c>
      <c r="D101" s="23">
        <f>'2.4.raw'!G101</f>
        <v>12</v>
      </c>
      <c r="E101" s="1">
        <v>2.4</v>
      </c>
      <c r="F101" s="23" t="b">
        <f>if(countif(Status!C:C,A101)=1,TRUE, FALSE)</f>
        <v>1</v>
      </c>
      <c r="G101" s="23" t="str">
        <f>'2.4.raw'!AQ101</f>
        <v/>
      </c>
    </row>
    <row r="102">
      <c r="A102" s="23" t="str">
        <f t="shared" si="1"/>
        <v>MO1060</v>
      </c>
      <c r="B102" s="23" t="str">
        <f>'2.4.raw'!L102</f>
        <v>MO1060</v>
      </c>
      <c r="C102" s="24">
        <f>datevalue(left('2.4.raw'!A102,10))</f>
        <v>43662</v>
      </c>
      <c r="D102" s="23">
        <f>'2.4.raw'!G102</f>
        <v>12</v>
      </c>
      <c r="E102" s="1">
        <v>2.4</v>
      </c>
      <c r="F102" s="23" t="b">
        <f>if(countif(Status!C:C,A102)=1,TRUE, FALSE)</f>
        <v>1</v>
      </c>
      <c r="G102" s="23" t="str">
        <f>'2.4.raw'!AQ102</f>
        <v/>
      </c>
    </row>
    <row r="103">
      <c r="A103" s="23" t="str">
        <f t="shared" si="1"/>
        <v>FB1008</v>
      </c>
      <c r="B103" s="23" t="str">
        <f>'2.4.raw'!L103</f>
        <v>FB1008</v>
      </c>
      <c r="C103" s="24">
        <f>datevalue(left('2.4.raw'!A103,10))</f>
        <v>43662</v>
      </c>
      <c r="D103" s="23">
        <f>'2.4.raw'!G103</f>
        <v>99</v>
      </c>
      <c r="E103" s="1">
        <v>2.4</v>
      </c>
      <c r="F103" s="23" t="b">
        <f>if(countif(Status!C:C,A103)=1,TRUE, FALSE)</f>
        <v>1</v>
      </c>
      <c r="G103" s="23" t="str">
        <f>'2.4.raw'!AQ103</f>
        <v/>
      </c>
    </row>
    <row r="104">
      <c r="A104" s="23" t="str">
        <f t="shared" si="1"/>
        <v>MO1061</v>
      </c>
      <c r="B104" s="23" t="str">
        <f>'2.4.raw'!L104</f>
        <v>MO1061</v>
      </c>
      <c r="C104" s="24">
        <f>datevalue(left('2.4.raw'!A104,10))</f>
        <v>43662</v>
      </c>
      <c r="D104" s="23">
        <f>'2.4.raw'!G104</f>
        <v>12</v>
      </c>
      <c r="E104" s="1">
        <v>2.4</v>
      </c>
      <c r="F104" s="23" t="b">
        <f>if(countif(Status!C:C,A104)=1,TRUE, FALSE)</f>
        <v>1</v>
      </c>
      <c r="G104" s="23" t="str">
        <f>'2.4.raw'!AQ104</f>
        <v/>
      </c>
    </row>
    <row r="105">
      <c r="A105" s="23" t="str">
        <f t="shared" si="1"/>
        <v>MO1062</v>
      </c>
      <c r="B105" s="23" t="str">
        <f>'2.4.raw'!L105</f>
        <v>MO1062</v>
      </c>
      <c r="C105" s="24">
        <f>datevalue(left('2.4.raw'!A105,10))</f>
        <v>43662</v>
      </c>
      <c r="D105" s="23">
        <f>'2.4.raw'!G105</f>
        <v>12</v>
      </c>
      <c r="E105" s="1">
        <v>2.4</v>
      </c>
      <c r="F105" s="23" t="b">
        <f>if(countif(Status!C:C,A105)=1,TRUE, FALSE)</f>
        <v>1</v>
      </c>
      <c r="G105" s="23" t="str">
        <f>'2.4.raw'!AQ105</f>
        <v/>
      </c>
    </row>
    <row r="106">
      <c r="A106" s="23" t="str">
        <f t="shared" si="1"/>
        <v>PL1012</v>
      </c>
      <c r="B106" s="23" t="str">
        <f>'2.4.raw'!L106</f>
        <v>PL1012</v>
      </c>
      <c r="C106" s="24">
        <f>datevalue(left('2.4.raw'!A106,10))</f>
        <v>43663</v>
      </c>
      <c r="D106" s="23">
        <f>'2.4.raw'!G106</f>
        <v>11</v>
      </c>
      <c r="E106" s="1">
        <v>2.4</v>
      </c>
      <c r="F106" s="23" t="b">
        <f>if(countif(Status!C:C,A106)=1,TRUE, FALSE)</f>
        <v>1</v>
      </c>
      <c r="G106" s="23" t="str">
        <f>'2.4.raw'!AQ106</f>
        <v>Diameter 39.5 cm</v>
      </c>
    </row>
    <row r="107">
      <c r="A107" s="23" t="str">
        <f t="shared" si="1"/>
        <v>FB1009</v>
      </c>
      <c r="B107" s="23" t="str">
        <f>'2.4.raw'!L107</f>
        <v>FB1009</v>
      </c>
      <c r="C107" s="24">
        <f>datevalue(left('2.4.raw'!A107,10))</f>
        <v>43663</v>
      </c>
      <c r="D107" s="23">
        <f>'2.4.raw'!G107</f>
        <v>99</v>
      </c>
      <c r="E107" s="1">
        <v>2.4</v>
      </c>
      <c r="F107" s="23" t="b">
        <f>if(countif(Status!C:C,A107)=1,TRUE, FALSE)</f>
        <v>1</v>
      </c>
      <c r="G107" s="23" t="str">
        <f>'2.4.raw'!AQ107</f>
        <v/>
      </c>
    </row>
    <row r="108">
      <c r="A108" s="23" t="str">
        <f t="shared" si="1"/>
        <v>MO1063</v>
      </c>
      <c r="B108" s="23" t="str">
        <f>'2.4.raw'!L108</f>
        <v>MO1063</v>
      </c>
      <c r="C108" s="24">
        <f>datevalue(left('2.4.raw'!A108,10))</f>
        <v>43664</v>
      </c>
      <c r="D108" s="23">
        <f>'2.4.raw'!G108</f>
        <v>12</v>
      </c>
      <c r="E108" s="1">
        <v>2.4</v>
      </c>
      <c r="F108" s="23" t="b">
        <f>if(countif(Status!C:C,A108)=1,TRUE, FALSE)</f>
        <v>1</v>
      </c>
      <c r="G108" s="23" t="str">
        <f>'2.4.raw'!AQ108</f>
        <v>Dogs</v>
      </c>
    </row>
    <row r="109">
      <c r="A109" s="23" t="str">
        <f t="shared" si="1"/>
        <v>MO1064</v>
      </c>
      <c r="B109" s="23" t="str">
        <f>'2.4.raw'!L109</f>
        <v>MO1064</v>
      </c>
      <c r="C109" s="24">
        <f>datevalue(left('2.4.raw'!A109,10))</f>
        <v>43664</v>
      </c>
      <c r="D109" s="23">
        <f>'2.4.raw'!G109</f>
        <v>12</v>
      </c>
      <c r="E109" s="1">
        <v>2.4</v>
      </c>
      <c r="F109" s="23" t="b">
        <f>if(countif(Status!C:C,A109)=1,TRUE, FALSE)</f>
        <v>1</v>
      </c>
      <c r="G109" s="23" t="str">
        <f>'2.4.raw'!AQ109</f>
        <v/>
      </c>
    </row>
    <row r="110">
      <c r="A110" s="23" t="str">
        <f t="shared" si="1"/>
        <v>MO1065</v>
      </c>
      <c r="B110" s="23" t="str">
        <f>'2.4.raw'!L110</f>
        <v>MO1065</v>
      </c>
      <c r="C110" s="24">
        <f>datevalue(left('2.4.raw'!A110,10))</f>
        <v>43664</v>
      </c>
      <c r="D110" s="23">
        <f>'2.4.raw'!G110</f>
        <v>12</v>
      </c>
      <c r="E110" s="1">
        <v>2.4</v>
      </c>
      <c r="F110" s="23" t="b">
        <f>if(countif(Status!C:C,A110)=1,TRUE, FALSE)</f>
        <v>1</v>
      </c>
      <c r="G110" s="23" t="str">
        <f>'2.4.raw'!AQ110</f>
        <v>Dogs</v>
      </c>
    </row>
    <row r="111">
      <c r="A111" s="23" t="str">
        <f t="shared" si="1"/>
        <v>MO1066</v>
      </c>
      <c r="B111" s="23" t="str">
        <f>'2.4.raw'!L111</f>
        <v>MO1066</v>
      </c>
      <c r="C111" s="24">
        <f>datevalue(left('2.4.raw'!A111,10))</f>
        <v>43664</v>
      </c>
      <c r="D111" s="23">
        <f>'2.4.raw'!G111</f>
        <v>12</v>
      </c>
      <c r="E111" s="1">
        <v>2.4</v>
      </c>
      <c r="F111" s="23" t="b">
        <f>if(countif(Status!C:C,A111)=1,TRUE, FALSE)</f>
        <v>1</v>
      </c>
      <c r="G111" s="23" t="str">
        <f>'2.4.raw'!AQ111</f>
        <v/>
      </c>
    </row>
    <row r="112">
      <c r="A112" s="23" t="str">
        <f t="shared" si="1"/>
        <v>PL1013</v>
      </c>
      <c r="B112" s="23" t="str">
        <f>'2.4.raw'!L112</f>
        <v>PL1013</v>
      </c>
      <c r="C112" s="24">
        <f>datevalue(left('2.4.raw'!A112,10))</f>
        <v>43668</v>
      </c>
      <c r="D112" s="23">
        <f>'2.4.raw'!G112</f>
        <v>11</v>
      </c>
      <c r="E112" s="1">
        <v>2.4</v>
      </c>
      <c r="F112" s="23" t="b">
        <f>if(countif(Status!C:C,A112)=1,TRUE, FALSE)</f>
        <v>1</v>
      </c>
      <c r="G112" s="23" t="str">
        <f>'2.4.raw'!AQ112</f>
        <v>Diameter 40 cm</v>
      </c>
    </row>
    <row r="113">
      <c r="A113" s="23" t="str">
        <f t="shared" si="1"/>
        <v>MO1067</v>
      </c>
      <c r="B113" s="23" t="str">
        <f>'2.4.raw'!L113</f>
        <v>MO1067</v>
      </c>
      <c r="C113" s="24">
        <f>datevalue(left('2.4.raw'!A113,10))</f>
        <v>43669</v>
      </c>
      <c r="D113" s="23">
        <f>'2.4.raw'!G113</f>
        <v>12</v>
      </c>
      <c r="E113" s="1">
        <v>2.4</v>
      </c>
      <c r="F113" s="23" t="b">
        <f>if(countif(Status!C:C,A113)=1,TRUE, FALSE)</f>
        <v>1</v>
      </c>
      <c r="G113" s="23" t="str">
        <f>'2.4.raw'!AQ113</f>
        <v/>
      </c>
    </row>
    <row r="114">
      <c r="A114" s="23" t="str">
        <f t="shared" si="1"/>
        <v>MO1068</v>
      </c>
      <c r="B114" s="23" t="str">
        <f>'2.4.raw'!L114</f>
        <v>MO1068</v>
      </c>
      <c r="C114" s="24">
        <f>datevalue(left('2.4.raw'!A114,10))</f>
        <v>43669</v>
      </c>
      <c r="D114" s="23">
        <f>'2.4.raw'!G114</f>
        <v>12</v>
      </c>
      <c r="E114" s="1">
        <v>2.4</v>
      </c>
      <c r="F114" s="23" t="b">
        <f>if(countif(Status!C:C,A114)=1,TRUE, FALSE)</f>
        <v>1</v>
      </c>
      <c r="G114" s="23" t="str">
        <f>'2.4.raw'!AQ114</f>
        <v/>
      </c>
    </row>
    <row r="115">
      <c r="A115" s="23" t="str">
        <f t="shared" si="1"/>
        <v>MO1069</v>
      </c>
      <c r="B115" s="23" t="str">
        <f>'2.4.raw'!L115</f>
        <v>MO1069</v>
      </c>
      <c r="C115" s="24">
        <f>datevalue(left('2.4.raw'!A115,10))</f>
        <v>43669</v>
      </c>
      <c r="D115" s="23">
        <f>'2.4.raw'!G115</f>
        <v>12</v>
      </c>
      <c r="E115" s="1">
        <v>2.4</v>
      </c>
      <c r="F115" s="23" t="b">
        <f>if(countif(Status!C:C,A115)=1,TRUE, FALSE)</f>
        <v>1</v>
      </c>
      <c r="G115" s="23" t="str">
        <f>'2.4.raw'!AQ115</f>
        <v>Dogs were moving</v>
      </c>
    </row>
    <row r="116">
      <c r="A116" s="23" t="str">
        <f t="shared" si="1"/>
        <v>FB1010</v>
      </c>
      <c r="B116" s="23" t="str">
        <f>'2.4.raw'!L116</f>
        <v>FB1010</v>
      </c>
      <c r="C116" s="24">
        <f>datevalue(left('2.4.raw'!A116,10))</f>
        <v>43669</v>
      </c>
      <c r="D116" s="23">
        <f>'2.4.raw'!G116</f>
        <v>99</v>
      </c>
      <c r="E116" s="1">
        <v>2.4</v>
      </c>
      <c r="F116" s="23" t="b">
        <f>if(countif(Status!C:C,A116)=1,TRUE, FALSE)</f>
        <v>1</v>
      </c>
      <c r="G116" s="23" t="str">
        <f>'2.4.raw'!AQ116</f>
        <v/>
      </c>
    </row>
    <row r="117">
      <c r="A117" s="23" t="str">
        <f t="shared" si="1"/>
        <v>MO1070</v>
      </c>
      <c r="B117" s="23" t="str">
        <f>'2.4.raw'!L117</f>
        <v>MO1070</v>
      </c>
      <c r="C117" s="24">
        <f>datevalue(left('2.4.raw'!A117,10))</f>
        <v>43669</v>
      </c>
      <c r="D117" s="23">
        <f>'2.4.raw'!G117</f>
        <v>12</v>
      </c>
      <c r="E117" s="1">
        <v>2.4</v>
      </c>
      <c r="F117" s="23" t="b">
        <f>if(countif(Status!C:C,A117)=1,TRUE, FALSE)</f>
        <v>1</v>
      </c>
      <c r="G117" s="23" t="str">
        <f>'2.4.raw'!AQ117</f>
        <v/>
      </c>
    </row>
    <row r="118">
      <c r="A118" s="23" t="str">
        <f t="shared" si="1"/>
        <v>PL1014</v>
      </c>
      <c r="B118" s="23" t="str">
        <f>'2.4.raw'!L118</f>
        <v>PL1014</v>
      </c>
      <c r="C118" s="24">
        <f>datevalue(left('2.4.raw'!A118,10))</f>
        <v>43670</v>
      </c>
      <c r="D118" s="23">
        <f>'2.4.raw'!G118</f>
        <v>11</v>
      </c>
      <c r="E118" s="1">
        <v>2.4</v>
      </c>
      <c r="F118" s="23" t="b">
        <f>if(countif(Status!C:C,A118)=1,TRUE, FALSE)</f>
        <v>1</v>
      </c>
      <c r="G118" s="23" t="str">
        <f>'2.4.raw'!AQ118</f>
        <v>Diameter 41 cm</v>
      </c>
    </row>
    <row r="119">
      <c r="A119" s="23" t="str">
        <f t="shared" si="1"/>
        <v>FB1011</v>
      </c>
      <c r="B119" s="23" t="str">
        <f>'2.4.raw'!L119</f>
        <v>FB1011</v>
      </c>
      <c r="C119" s="24">
        <f>datevalue(left('2.4.raw'!A119,10))</f>
        <v>43670</v>
      </c>
      <c r="D119" s="23">
        <f>'2.4.raw'!G119</f>
        <v>99</v>
      </c>
      <c r="E119" s="1">
        <v>2.4</v>
      </c>
      <c r="F119" s="23" t="b">
        <f>if(countif(Status!C:C,A119)=1,TRUE, FALSE)</f>
        <v>1</v>
      </c>
      <c r="G119" s="23" t="str">
        <f>'2.4.raw'!AQ119</f>
        <v/>
      </c>
    </row>
    <row r="120">
      <c r="A120" s="23" t="str">
        <f t="shared" si="1"/>
        <v>MO1071</v>
      </c>
      <c r="B120" s="23" t="str">
        <f>'2.4.raw'!L120</f>
        <v>MO1071</v>
      </c>
      <c r="C120" s="24">
        <f>datevalue(left('2.4.raw'!A120,10))</f>
        <v>43671</v>
      </c>
      <c r="D120" s="23">
        <f>'2.4.raw'!G120</f>
        <v>12</v>
      </c>
      <c r="E120" s="1">
        <v>2.4</v>
      </c>
      <c r="F120" s="23" t="b">
        <f>if(countif(Status!C:C,A120)=1,TRUE, FALSE)</f>
        <v>1</v>
      </c>
      <c r="G120" s="23" t="str">
        <f>'2.4.raw'!AQ120</f>
        <v/>
      </c>
    </row>
    <row r="121">
      <c r="A121" s="23" t="str">
        <f t="shared" si="1"/>
        <v>MO1072</v>
      </c>
      <c r="B121" s="23" t="str">
        <f>'2.4.raw'!L121</f>
        <v>MO1072</v>
      </c>
      <c r="C121" s="24">
        <f>datevalue(left('2.4.raw'!A121,10))</f>
        <v>43671</v>
      </c>
      <c r="D121" s="23">
        <f>'2.4.raw'!G121</f>
        <v>12</v>
      </c>
      <c r="E121" s="1">
        <v>2.4</v>
      </c>
      <c r="F121" s="23" t="b">
        <f>if(countif(Status!C:C,A121)=1,TRUE, FALSE)</f>
        <v>1</v>
      </c>
      <c r="G121" s="23" t="str">
        <f>'2.4.raw'!AQ121</f>
        <v/>
      </c>
    </row>
    <row r="122">
      <c r="A122" s="23" t="str">
        <f t="shared" si="1"/>
        <v>MO1073</v>
      </c>
      <c r="B122" s="23" t="str">
        <f>'2.4.raw'!L122</f>
        <v>MO1073</v>
      </c>
      <c r="C122" s="24">
        <f>datevalue(left('2.4.raw'!A122,10))</f>
        <v>43671</v>
      </c>
      <c r="D122" s="23">
        <f>'2.4.raw'!G122</f>
        <v>12</v>
      </c>
      <c r="E122" s="1">
        <v>2.4</v>
      </c>
      <c r="F122" s="23" t="b">
        <f>if(countif(Status!C:C,A122)=1,TRUE, FALSE)</f>
        <v>1</v>
      </c>
      <c r="G122" s="23" t="str">
        <f>'2.4.raw'!AQ122</f>
        <v/>
      </c>
    </row>
    <row r="123">
      <c r="A123" s="23" t="str">
        <f t="shared" si="1"/>
        <v>MO1074</v>
      </c>
      <c r="B123" s="23" t="str">
        <f>'2.4.raw'!L123</f>
        <v>MO1074</v>
      </c>
      <c r="C123" s="24">
        <f>datevalue(left('2.4.raw'!A123,10))</f>
        <v>43671</v>
      </c>
      <c r="D123" s="23">
        <f>'2.4.raw'!G123</f>
        <v>12</v>
      </c>
      <c r="E123" s="1">
        <v>2.4</v>
      </c>
      <c r="F123" s="23" t="b">
        <f>if(countif(Status!C:C,A123)=1,TRUE, FALSE)</f>
        <v>1</v>
      </c>
      <c r="G123" s="23" t="str">
        <f>'2.4.raw'!AQ123</f>
        <v/>
      </c>
    </row>
    <row r="124">
      <c r="A124" s="23" t="str">
        <f t="shared" si="1"/>
        <v>PL1015</v>
      </c>
      <c r="B124" s="23" t="str">
        <f>'2.4.raw'!L124</f>
        <v>PL1015</v>
      </c>
      <c r="C124" s="24">
        <f>datevalue(left('2.4.raw'!A124,10))</f>
        <v>43675</v>
      </c>
      <c r="D124" s="23">
        <f>'2.4.raw'!G124</f>
        <v>11</v>
      </c>
      <c r="E124" s="1">
        <v>2.4</v>
      </c>
      <c r="F124" s="23" t="b">
        <f>if(countif(Status!C:C,A124)=1,TRUE, FALSE)</f>
        <v>1</v>
      </c>
      <c r="G124" s="23" t="str">
        <f>'2.4.raw'!AQ124</f>
        <v>Diameter 44 cm</v>
      </c>
    </row>
    <row r="125">
      <c r="A125" s="23" t="str">
        <f t="shared" si="1"/>
        <v>FB1012</v>
      </c>
      <c r="B125" s="23" t="str">
        <f>'2.4.raw'!L125</f>
        <v>FB1012</v>
      </c>
      <c r="C125" s="24">
        <f>datevalue(left('2.4.raw'!A125,10))</f>
        <v>43675</v>
      </c>
      <c r="D125" s="23">
        <f>'2.4.raw'!G125</f>
        <v>99</v>
      </c>
      <c r="E125" s="1">
        <v>2.4</v>
      </c>
      <c r="F125" s="23" t="b">
        <f>if(countif(Status!C:C,A125)=1,TRUE, FALSE)</f>
        <v>1</v>
      </c>
      <c r="G125" s="23" t="str">
        <f>'2.4.raw'!AQ125</f>
        <v/>
      </c>
    </row>
    <row r="126">
      <c r="A126" s="23" t="str">
        <f t="shared" si="1"/>
        <v>MO1075</v>
      </c>
      <c r="B126" s="23" t="str">
        <f>'2.4.raw'!L126</f>
        <v>MO1075</v>
      </c>
      <c r="C126" s="24">
        <f>datevalue(left('2.4.raw'!A126,10))</f>
        <v>43676</v>
      </c>
      <c r="D126" s="23">
        <f>'2.4.raw'!G126</f>
        <v>12</v>
      </c>
      <c r="E126" s="1">
        <v>2.4</v>
      </c>
      <c r="F126" s="23" t="b">
        <f>if(countif(Status!C:C,A126)=1,TRUE, FALSE)</f>
        <v>1</v>
      </c>
      <c r="G126" s="23" t="str">
        <f>'2.4.raw'!AQ126</f>
        <v/>
      </c>
    </row>
    <row r="127">
      <c r="A127" s="23" t="str">
        <f t="shared" si="1"/>
        <v>MO1076</v>
      </c>
      <c r="B127" s="23" t="str">
        <f>'2.4.raw'!L127</f>
        <v>MO1076</v>
      </c>
      <c r="C127" s="24">
        <f>datevalue(left('2.4.raw'!A127,10))</f>
        <v>43676</v>
      </c>
      <c r="D127" s="23">
        <f>'2.4.raw'!G127</f>
        <v>12</v>
      </c>
      <c r="E127" s="1">
        <v>2.4</v>
      </c>
      <c r="F127" s="23" t="b">
        <f>if(countif(Status!C:C,A127)=1,TRUE, FALSE)</f>
        <v>1</v>
      </c>
      <c r="G127" s="23" t="str">
        <f>'2.4.raw'!AQ127</f>
        <v/>
      </c>
    </row>
    <row r="128">
      <c r="A128" s="23" t="str">
        <f t="shared" si="1"/>
        <v>FB1013</v>
      </c>
      <c r="B128" s="23" t="str">
        <f>'2.4.raw'!L128</f>
        <v>FB1013</v>
      </c>
      <c r="C128" s="24">
        <f>datevalue(left('2.4.raw'!A128,10))</f>
        <v>43676</v>
      </c>
      <c r="D128" s="23">
        <f>'2.4.raw'!G128</f>
        <v>99</v>
      </c>
      <c r="E128" s="1">
        <v>2.4</v>
      </c>
      <c r="F128" s="23" t="b">
        <f>if(countif(Status!C:C,A128)=1,TRUE, FALSE)</f>
        <v>1</v>
      </c>
      <c r="G128" s="23" t="str">
        <f>'2.4.raw'!AQ128</f>
        <v>Fild blank on Moore Swab site</v>
      </c>
    </row>
    <row r="129">
      <c r="A129" s="23" t="str">
        <f t="shared" si="1"/>
        <v>MO1078</v>
      </c>
      <c r="B129" s="23" t="str">
        <f>'2.4.raw'!L129</f>
        <v>MO1078</v>
      </c>
      <c r="C129" s="24">
        <f>datevalue(left('2.4.raw'!A129,10))</f>
        <v>43676</v>
      </c>
      <c r="D129" s="23">
        <f>'2.4.raw'!G129</f>
        <v>12</v>
      </c>
      <c r="E129" s="1">
        <v>2.4</v>
      </c>
      <c r="F129" s="23" t="b">
        <f>if(countif(Status!C:C,A129)=1,TRUE, FALSE)</f>
        <v>1</v>
      </c>
      <c r="G129" s="23" t="str">
        <f>'2.4.raw'!AQ129</f>
        <v/>
      </c>
    </row>
    <row r="130">
      <c r="A130" s="23" t="str">
        <f t="shared" si="1"/>
        <v>MO1077</v>
      </c>
      <c r="B130" s="23" t="str">
        <f>'2.4.raw'!L130</f>
        <v>MO1077</v>
      </c>
      <c r="C130" s="24">
        <f>datevalue(left('2.4.raw'!A130,10))</f>
        <v>43676</v>
      </c>
      <c r="D130" s="23">
        <f>'2.4.raw'!G130</f>
        <v>12</v>
      </c>
      <c r="E130" s="1">
        <v>2.4</v>
      </c>
      <c r="F130" s="23" t="b">
        <f>if(countif(Status!C:C,A130)=1,TRUE, FALSE)</f>
        <v>1</v>
      </c>
      <c r="G130" s="23" t="str">
        <f>'2.4.raw'!AQ130</f>
        <v/>
      </c>
    </row>
    <row r="131">
      <c r="A131" s="23" t="str">
        <f t="shared" si="1"/>
        <v>PL1016</v>
      </c>
      <c r="B131" s="23" t="str">
        <f>'2.4.raw'!L131</f>
        <v>PL1016</v>
      </c>
      <c r="C131" s="24">
        <f>datevalue(left('2.4.raw'!A131,10))</f>
        <v>43677</v>
      </c>
      <c r="D131" s="23">
        <f>'2.4.raw'!G131</f>
        <v>11</v>
      </c>
      <c r="E131" s="1">
        <v>2.4</v>
      </c>
      <c r="F131" s="23" t="b">
        <f>if(countif(Status!C:C,A131)=1,TRUE, FALSE)</f>
        <v>1</v>
      </c>
      <c r="G131" s="23" t="str">
        <f>'2.4.raw'!AQ131</f>
        <v>Diameter 40 cm</v>
      </c>
    </row>
    <row r="132">
      <c r="A132" s="23" t="str">
        <f t="shared" si="1"/>
        <v>FB1015</v>
      </c>
      <c r="B132" s="23" t="str">
        <f>'2.4.raw'!L132</f>
        <v>FB1015</v>
      </c>
      <c r="C132" s="24">
        <f>datevalue(left('2.4.raw'!A132,10))</f>
        <v>43677</v>
      </c>
      <c r="D132" s="23">
        <f>'2.4.raw'!G132</f>
        <v>99</v>
      </c>
      <c r="E132" s="1">
        <v>2.4</v>
      </c>
      <c r="F132" s="23" t="b">
        <f>if(countif(Status!C:C,A132)=1,TRUE, FALSE)</f>
        <v>1</v>
      </c>
      <c r="G132" s="23" t="str">
        <f>'2.4.raw'!AQ132</f>
        <v/>
      </c>
    </row>
    <row r="133">
      <c r="A133" s="23" t="str">
        <f t="shared" si="1"/>
        <v>MO1080</v>
      </c>
      <c r="B133" s="23" t="str">
        <f>'2.4.raw'!L133</f>
        <v>MO1080</v>
      </c>
      <c r="C133" s="24">
        <f>datevalue(left('2.4.raw'!A133,10))</f>
        <v>43678</v>
      </c>
      <c r="D133" s="23">
        <f>'2.4.raw'!G133</f>
        <v>12</v>
      </c>
      <c r="E133" s="1">
        <v>2.4</v>
      </c>
      <c r="F133" s="23" t="b">
        <f>if(countif(Status!C:C,A133)=1,TRUE, FALSE)</f>
        <v>1</v>
      </c>
      <c r="G133" s="23" t="str">
        <f>'2.4.raw'!AQ133</f>
        <v/>
      </c>
    </row>
    <row r="134">
      <c r="A134" s="23" t="str">
        <f t="shared" si="1"/>
        <v>MO1081</v>
      </c>
      <c r="B134" s="23" t="str">
        <f>'2.4.raw'!L134</f>
        <v>MO1081</v>
      </c>
      <c r="C134" s="24">
        <f>datevalue(left('2.4.raw'!A134,10))</f>
        <v>43678</v>
      </c>
      <c r="D134" s="23">
        <f>'2.4.raw'!G134</f>
        <v>12</v>
      </c>
      <c r="E134" s="1">
        <v>2.4</v>
      </c>
      <c r="F134" s="23" t="b">
        <f>if(countif(Status!C:C,A134)=1,TRUE, FALSE)</f>
        <v>1</v>
      </c>
      <c r="G134" s="23" t="str">
        <f>'2.4.raw'!AQ134</f>
        <v/>
      </c>
    </row>
    <row r="135">
      <c r="A135" s="23" t="str">
        <f t="shared" si="1"/>
        <v>MO1082</v>
      </c>
      <c r="B135" s="23" t="str">
        <f>'2.4.raw'!L135</f>
        <v>MO1082</v>
      </c>
      <c r="C135" s="24">
        <f>datevalue(left('2.4.raw'!A135,10))</f>
        <v>43678</v>
      </c>
      <c r="D135" s="23">
        <f>'2.4.raw'!G135</f>
        <v>12</v>
      </c>
      <c r="E135" s="1">
        <v>2.4</v>
      </c>
      <c r="F135" s="23" t="b">
        <f>if(countif(Status!C:C,A135)=1,TRUE, FALSE)</f>
        <v>1</v>
      </c>
      <c r="G135" s="23" t="str">
        <f>'2.4.raw'!AQ135</f>
        <v/>
      </c>
    </row>
    <row r="136">
      <c r="A136" s="23" t="str">
        <f t="shared" si="1"/>
        <v>FB1016</v>
      </c>
      <c r="B136" s="23" t="str">
        <f>'2.4.raw'!L136</f>
        <v>FB1016</v>
      </c>
      <c r="C136" s="24">
        <f>datevalue(left('2.4.raw'!A136,10))</f>
        <v>43678</v>
      </c>
      <c r="D136" s="23">
        <f>'2.4.raw'!G136</f>
        <v>99</v>
      </c>
      <c r="E136" s="1">
        <v>2.4</v>
      </c>
      <c r="F136" s="23" t="b">
        <f>if(countif(Status!C:C,A136)=1,TRUE, FALSE)</f>
        <v>1</v>
      </c>
      <c r="G136" s="23" t="str">
        <f>'2.4.raw'!AQ136</f>
        <v>At Pumping Station Site #3</v>
      </c>
    </row>
    <row r="137">
      <c r="A137" s="23" t="str">
        <f t="shared" si="1"/>
        <v>MO1079</v>
      </c>
      <c r="B137" s="23" t="str">
        <f>'2.4.raw'!L137</f>
        <v>MO1079</v>
      </c>
      <c r="C137" s="24">
        <f>datevalue(left('2.4.raw'!A137,10))</f>
        <v>43678</v>
      </c>
      <c r="D137" s="23">
        <f>'2.4.raw'!G137</f>
        <v>12</v>
      </c>
      <c r="E137" s="1">
        <v>2.4</v>
      </c>
      <c r="F137" s="23" t="b">
        <f>if(countif(Status!C:C,A137)=1,TRUE, FALSE)</f>
        <v>1</v>
      </c>
      <c r="G137" s="23" t="str">
        <f>'2.4.raw'!AQ137</f>
        <v/>
      </c>
    </row>
    <row r="138">
      <c r="A138" s="23" t="str">
        <f t="shared" si="1"/>
        <v>FB1020</v>
      </c>
      <c r="B138" s="23" t="str">
        <f>'2.4.raw'!L138</f>
        <v>FB1020</v>
      </c>
      <c r="C138" s="24">
        <f>datevalue(left('2.4.raw'!A138,10))</f>
        <v>43683</v>
      </c>
      <c r="D138" s="23">
        <f>'2.4.raw'!G138</f>
        <v>99</v>
      </c>
      <c r="E138" s="1">
        <v>2.4</v>
      </c>
      <c r="F138" s="23" t="b">
        <f>if(countif(Status!C:C,A138)=1,TRUE, FALSE)</f>
        <v>1</v>
      </c>
      <c r="G138" s="23" t="str">
        <f>'2.4.raw'!AQ138</f>
        <v>Open Drain Site</v>
      </c>
    </row>
    <row r="139">
      <c r="A139" s="23" t="str">
        <f t="shared" si="1"/>
        <v>MO1083</v>
      </c>
      <c r="B139" s="23" t="str">
        <f>'2.4.raw'!L139</f>
        <v>MO1083</v>
      </c>
      <c r="C139" s="24">
        <f>datevalue(left('2.4.raw'!A139,10))</f>
        <v>43683</v>
      </c>
      <c r="D139" s="23">
        <f>'2.4.raw'!G139</f>
        <v>12</v>
      </c>
      <c r="E139" s="1">
        <v>2.4</v>
      </c>
      <c r="F139" s="23" t="b">
        <f>if(countif(Status!C:C,A139)=1,TRUE, FALSE)</f>
        <v>1</v>
      </c>
      <c r="G139" s="23" t="str">
        <f>'2.4.raw'!AQ139</f>
        <v/>
      </c>
    </row>
    <row r="140">
      <c r="A140" s="23" t="str">
        <f t="shared" si="1"/>
        <v>MO1084</v>
      </c>
      <c r="B140" s="23" t="str">
        <f>'2.4.raw'!L140</f>
        <v>MO1084</v>
      </c>
      <c r="C140" s="24">
        <f>datevalue(left('2.4.raw'!A140,10))</f>
        <v>43683</v>
      </c>
      <c r="D140" s="23">
        <f>'2.4.raw'!G140</f>
        <v>12</v>
      </c>
      <c r="E140" s="1">
        <v>2.4</v>
      </c>
      <c r="F140" s="23" t="b">
        <f>if(countif(Status!C:C,A140)=1,TRUE, FALSE)</f>
        <v>1</v>
      </c>
      <c r="G140" s="23" t="str">
        <f>'2.4.raw'!AQ140</f>
        <v/>
      </c>
    </row>
    <row r="141">
      <c r="A141" s="23" t="str">
        <f t="shared" si="1"/>
        <v>FB1019</v>
      </c>
      <c r="B141" s="23" t="str">
        <f>'2.4.raw'!L141</f>
        <v>FB1019</v>
      </c>
      <c r="C141" s="24">
        <f>datevalue(left('2.4.raw'!A141,10))</f>
        <v>43683</v>
      </c>
      <c r="D141" s="23">
        <f>'2.4.raw'!G141</f>
        <v>99</v>
      </c>
      <c r="E141" s="1">
        <v>2.4</v>
      </c>
      <c r="F141" s="23" t="b">
        <f>if(countif(Status!C:C,A141)=1,TRUE, FALSE)</f>
        <v>1</v>
      </c>
      <c r="G141" s="23" t="str">
        <f>'2.4.raw'!AQ141</f>
        <v/>
      </c>
    </row>
    <row r="142">
      <c r="A142" s="23" t="str">
        <f t="shared" si="1"/>
        <v>MO1085</v>
      </c>
      <c r="B142" s="23" t="str">
        <f>'2.4.raw'!L142</f>
        <v>MO1085</v>
      </c>
      <c r="C142" s="24">
        <f>datevalue(left('2.4.raw'!A142,10))</f>
        <v>43683</v>
      </c>
      <c r="D142" s="23">
        <f>'2.4.raw'!G142</f>
        <v>12</v>
      </c>
      <c r="E142" s="1">
        <v>2.4</v>
      </c>
      <c r="F142" s="23" t="b">
        <f>if(countif(Status!C:C,A142)=1,TRUE, FALSE)</f>
        <v>1</v>
      </c>
      <c r="G142" s="23" t="str">
        <f>'2.4.raw'!AQ142</f>
        <v/>
      </c>
    </row>
    <row r="143">
      <c r="A143" s="23" t="str">
        <f t="shared" si="1"/>
        <v>MO1086</v>
      </c>
      <c r="B143" s="23" t="str">
        <f>'2.4.raw'!L143</f>
        <v>MO1086</v>
      </c>
      <c r="C143" s="24">
        <f>datevalue(left('2.4.raw'!A143,10))</f>
        <v>43683</v>
      </c>
      <c r="D143" s="23">
        <f>'2.4.raw'!G143</f>
        <v>12</v>
      </c>
      <c r="E143" s="1">
        <v>2.4</v>
      </c>
      <c r="F143" s="23" t="b">
        <f>if(countif(Status!C:C,A143)=1,TRUE, FALSE)</f>
        <v>1</v>
      </c>
      <c r="G143" s="23" t="str">
        <f>'2.4.raw'!AQ143</f>
        <v/>
      </c>
    </row>
    <row r="144">
      <c r="A144" s="23" t="str">
        <f t="shared" si="1"/>
        <v>PL1017</v>
      </c>
      <c r="B144" s="23" t="str">
        <f>'2.4.raw'!L144</f>
        <v>PL1017</v>
      </c>
      <c r="C144" s="24">
        <f>datevalue(left('2.4.raw'!A144,10))</f>
        <v>43682</v>
      </c>
      <c r="D144" s="23">
        <f>'2.4.raw'!G144</f>
        <v>11</v>
      </c>
      <c r="E144" s="1">
        <v>2.4</v>
      </c>
      <c r="F144" s="23" t="b">
        <f>if(countif(Status!C:C,A144)=1,TRUE, FALSE)</f>
        <v>1</v>
      </c>
      <c r="G144" s="23" t="str">
        <f>'2.4.raw'!AQ144</f>
        <v>Size of Square Pit 62cm×62cm</v>
      </c>
    </row>
    <row r="145">
      <c r="A145" s="23" t="str">
        <f t="shared" si="1"/>
        <v>FB1017</v>
      </c>
      <c r="B145" s="23" t="str">
        <f>'2.4.raw'!L145</f>
        <v>FB1017</v>
      </c>
      <c r="C145" s="24">
        <f>datevalue(left('2.4.raw'!A145,10))</f>
        <v>43682</v>
      </c>
      <c r="D145" s="23">
        <f>'2.4.raw'!G145</f>
        <v>99</v>
      </c>
      <c r="E145" s="1">
        <v>2.4</v>
      </c>
      <c r="F145" s="23" t="b">
        <f>if(countif(Status!C:C,A145)=1,TRUE, FALSE)</f>
        <v>1</v>
      </c>
      <c r="G145" s="23" t="str">
        <f>'2.4.raw'!AQ145</f>
        <v>Field blank on poold Latrine site</v>
      </c>
    </row>
    <row r="146">
      <c r="A146" s="23" t="str">
        <f t="shared" si="1"/>
        <v>PL1018</v>
      </c>
      <c r="B146" s="23" t="str">
        <f>'2.4.raw'!L146</f>
        <v>PL1018</v>
      </c>
      <c r="C146" s="24">
        <f>datevalue(left('2.4.raw'!A146,10))</f>
        <v>43684</v>
      </c>
      <c r="D146" s="23">
        <f>'2.4.raw'!G146</f>
        <v>11</v>
      </c>
      <c r="E146" s="1">
        <v>2.4</v>
      </c>
      <c r="F146" s="23" t="b">
        <f>if(countif(Status!C:C,A146)=1,TRUE, FALSE)</f>
        <v>1</v>
      </c>
      <c r="G146" s="23" t="str">
        <f>'2.4.raw'!AQ146</f>
        <v>Diameter 44 cm</v>
      </c>
    </row>
    <row r="147">
      <c r="A147" s="23" t="str">
        <f t="shared" si="1"/>
        <v>FB1021</v>
      </c>
      <c r="B147" s="23" t="str">
        <f>'2.4.raw'!L147</f>
        <v>FB1021</v>
      </c>
      <c r="C147" s="24">
        <f>datevalue(left('2.4.raw'!A147,10))</f>
        <v>43684</v>
      </c>
      <c r="D147" s="23">
        <f>'2.4.raw'!G147</f>
        <v>99</v>
      </c>
      <c r="E147" s="1">
        <v>2.4</v>
      </c>
      <c r="F147" s="23" t="b">
        <f>if(countif(Status!C:C,A147)=1,TRUE, FALSE)</f>
        <v>1</v>
      </c>
      <c r="G147" s="23" t="str">
        <f>'2.4.raw'!AQ147</f>
        <v>Field blank on poold latrine site</v>
      </c>
    </row>
    <row r="148">
      <c r="A148" s="23" t="str">
        <f t="shared" si="1"/>
        <v>MO1087</v>
      </c>
      <c r="B148" s="23" t="str">
        <f>'2.4.raw'!L148</f>
        <v>MO1087</v>
      </c>
      <c r="C148" s="24">
        <f>datevalue(left('2.4.raw'!A148,10))</f>
        <v>43685</v>
      </c>
      <c r="D148" s="23">
        <f>'2.4.raw'!G148</f>
        <v>12</v>
      </c>
      <c r="E148" s="1">
        <v>2.4</v>
      </c>
      <c r="F148" s="23" t="b">
        <f>if(countif(Status!C:C,A148)=1,TRUE, FALSE)</f>
        <v>1</v>
      </c>
      <c r="G148" s="23" t="str">
        <f>'2.4.raw'!AQ148</f>
        <v/>
      </c>
    </row>
    <row r="149">
      <c r="A149" s="23" t="str">
        <f t="shared" si="1"/>
        <v>MO1088</v>
      </c>
      <c r="B149" s="23" t="str">
        <f>'2.4.raw'!L149</f>
        <v>MO1088</v>
      </c>
      <c r="C149" s="24">
        <f>datevalue(left('2.4.raw'!A149,10))</f>
        <v>43685</v>
      </c>
      <c r="D149" s="23">
        <f>'2.4.raw'!G149</f>
        <v>12</v>
      </c>
      <c r="E149" s="1">
        <v>2.4</v>
      </c>
      <c r="F149" s="23" t="b">
        <f>if(countif(Status!C:C,A149)=1,TRUE, FALSE)</f>
        <v>1</v>
      </c>
      <c r="G149" s="23" t="str">
        <f>'2.4.raw'!AQ149</f>
        <v/>
      </c>
    </row>
    <row r="150">
      <c r="A150" s="23" t="str">
        <f t="shared" si="1"/>
        <v>MO1089</v>
      </c>
      <c r="B150" s="23" t="str">
        <f>'2.4.raw'!L150</f>
        <v>MO1089</v>
      </c>
      <c r="C150" s="24">
        <f>datevalue(left('2.4.raw'!A150,10))</f>
        <v>43685</v>
      </c>
      <c r="D150" s="23">
        <f>'2.4.raw'!G150</f>
        <v>12</v>
      </c>
      <c r="E150" s="1">
        <v>2.4</v>
      </c>
      <c r="F150" s="23" t="b">
        <f>if(countif(Status!C:C,A150)=1,TRUE, FALSE)</f>
        <v>1</v>
      </c>
      <c r="G150" s="23" t="str">
        <f>'2.4.raw'!AQ150</f>
        <v>Dog inside the Pumping Station</v>
      </c>
    </row>
    <row r="151">
      <c r="A151" s="23" t="str">
        <f t="shared" si="1"/>
        <v>MO1090</v>
      </c>
      <c r="B151" s="23" t="str">
        <f>'2.4.raw'!L151</f>
        <v>MO1090</v>
      </c>
      <c r="C151" s="24">
        <f>datevalue(left('2.4.raw'!A151,10))</f>
        <v>43685</v>
      </c>
      <c r="D151" s="23">
        <f>'2.4.raw'!G151</f>
        <v>12</v>
      </c>
      <c r="E151" s="1">
        <v>2.4</v>
      </c>
      <c r="F151" s="23" t="b">
        <f>if(countif(Status!C:C,A151)=1,TRUE, FALSE)</f>
        <v>1</v>
      </c>
      <c r="G151" s="23" t="str">
        <f>'2.4.raw'!AQ151</f>
        <v/>
      </c>
    </row>
    <row r="152">
      <c r="A152" s="23" t="str">
        <f t="shared" si="1"/>
        <v>FB1023</v>
      </c>
      <c r="B152" s="23" t="str">
        <f>'2.4.raw'!L152</f>
        <v>FB1023</v>
      </c>
      <c r="C152" s="24">
        <f>datevalue(left('2.4.raw'!A152,10))</f>
        <v>43685</v>
      </c>
      <c r="D152" s="23">
        <f>'2.4.raw'!G152</f>
        <v>99</v>
      </c>
      <c r="E152" s="1">
        <v>2.4</v>
      </c>
      <c r="F152" s="23" t="b">
        <f>if(countif(Status!C:C,A152)=1,TRUE, FALSE)</f>
        <v>1</v>
      </c>
      <c r="G152" s="23" t="str">
        <f>'2.4.raw'!AQ152</f>
        <v/>
      </c>
    </row>
    <row r="153">
      <c r="A153" s="23" t="str">
        <f t="shared" si="1"/>
        <v>UF1001</v>
      </c>
      <c r="B153" s="49" t="s">
        <v>954</v>
      </c>
      <c r="C153" s="24">
        <f>datevalue(left('2.4.raw'!A153,10))</f>
        <v>43696</v>
      </c>
      <c r="D153" s="23">
        <f>'2.4.raw'!G153</f>
        <v>11</v>
      </c>
      <c r="E153" s="1">
        <v>2.4</v>
      </c>
      <c r="F153" s="23" t="b">
        <f>if(countif(Status!C:C,A153)=1,TRUE, FALSE)</f>
        <v>1</v>
      </c>
      <c r="G153" s="23" t="str">
        <f>'2.4.raw'!AQ153</f>
        <v>Sample collected by suvankar Mandal</v>
      </c>
    </row>
    <row r="154">
      <c r="A154" s="23" t="str">
        <f t="shared" si="1"/>
        <v>PL1019</v>
      </c>
      <c r="B154" s="23" t="str">
        <f>'2.4.raw'!L154</f>
        <v>PL1019</v>
      </c>
      <c r="C154" s="24">
        <f>datevalue(left('2.4.raw'!A154,10))</f>
        <v>43697</v>
      </c>
      <c r="D154" s="23">
        <f>'2.4.raw'!G154</f>
        <v>11</v>
      </c>
      <c r="E154" s="1">
        <v>2.4</v>
      </c>
      <c r="F154" s="23" t="b">
        <f>if(countif(Status!C:C,A154)=1,TRUE, FALSE)</f>
        <v>1</v>
      </c>
      <c r="G154" s="23" t="str">
        <f>'2.4.raw'!AQ154</f>
        <v>HH Id 1057, Sample collected by Asish</v>
      </c>
    </row>
    <row r="155">
      <c r="A155" s="23" t="str">
        <f t="shared" si="1"/>
        <v>FB1025</v>
      </c>
      <c r="B155" s="23" t="str">
        <f>'2.4.raw'!L155</f>
        <v>FB1025</v>
      </c>
      <c r="C155" s="24">
        <f>datevalue(left('2.4.raw'!A155,10))</f>
        <v>43697</v>
      </c>
      <c r="D155" s="23">
        <f>'2.4.raw'!G155</f>
        <v>99</v>
      </c>
      <c r="E155" s="1">
        <v>2.4</v>
      </c>
      <c r="F155" s="23" t="b">
        <f>if(countif(Status!C:C,A155)=1,TRUE, FALSE)</f>
        <v>1</v>
      </c>
      <c r="G155" s="23" t="str">
        <f>'2.4.raw'!AQ155</f>
        <v>PL Site, Sample Collected by Asish</v>
      </c>
    </row>
    <row r="156">
      <c r="A156" s="23" t="str">
        <f t="shared" si="1"/>
        <v>UF1002</v>
      </c>
      <c r="B156" s="23" t="str">
        <f>'2.4.raw'!L156</f>
        <v>UF1002</v>
      </c>
      <c r="C156" s="24">
        <f>datevalue(left('2.4.raw'!A156,10))</f>
        <v>43698</v>
      </c>
      <c r="D156" s="23">
        <f>'2.4.raw'!G156</f>
        <v>11</v>
      </c>
      <c r="E156" s="1">
        <v>2.4</v>
      </c>
      <c r="F156" s="23" t="b">
        <f>if(countif(Status!C:C,A156)=1,TRUE, FALSE)</f>
        <v>1</v>
      </c>
      <c r="G156" s="23" t="str">
        <f>'2.4.raw'!AQ156</f>
        <v>Sample collected by somnath sarkar</v>
      </c>
    </row>
    <row r="157">
      <c r="A157" s="23" t="str">
        <f t="shared" si="1"/>
        <v>UF1003</v>
      </c>
      <c r="B157" s="23" t="str">
        <f>'2.4.raw'!L157</f>
        <v>UF1003</v>
      </c>
      <c r="C157" s="24">
        <f>datevalue(left('2.4.raw'!A157,10))</f>
        <v>43703</v>
      </c>
      <c r="D157" s="23">
        <f>'2.4.raw'!G157</f>
        <v>11</v>
      </c>
      <c r="E157" s="1">
        <v>2.4</v>
      </c>
      <c r="F157" s="23" t="b">
        <f>if(countif(Status!C:C,A157)=1,TRUE, FALSE)</f>
        <v>1</v>
      </c>
      <c r="G157" s="23" t="str">
        <f>'2.4.raw'!AQ157</f>
        <v>Sample Collected by somnath sarkar</v>
      </c>
    </row>
    <row r="158">
      <c r="A158" s="23" t="str">
        <f t="shared" si="1"/>
        <v>PL1020</v>
      </c>
      <c r="B158" s="23" t="str">
        <f>'2.4.raw'!L158</f>
        <v>PL1020</v>
      </c>
      <c r="C158" s="24">
        <f>datevalue(left('2.4.raw'!A158,10))</f>
        <v>43704</v>
      </c>
      <c r="D158" s="23">
        <f>'2.4.raw'!G158</f>
        <v>11</v>
      </c>
      <c r="E158" s="1">
        <v>2.4</v>
      </c>
      <c r="F158" s="23" t="b">
        <f>if(countif(Status!C:C,A158)=1,TRUE, FALSE)</f>
        <v>1</v>
      </c>
      <c r="G158" s="23" t="str">
        <f>'2.4.raw'!AQ158</f>
        <v>Diameter 39 cm. Sample collected by somnath sarkar</v>
      </c>
    </row>
    <row r="159">
      <c r="A159" s="23" t="str">
        <f t="shared" si="1"/>
        <v>FB1034</v>
      </c>
      <c r="B159" s="23" t="str">
        <f>'2.4.raw'!L159</f>
        <v>FB1034</v>
      </c>
      <c r="C159" s="24">
        <f>datevalue(left('2.4.raw'!A159,10))</f>
        <v>43704</v>
      </c>
      <c r="D159" s="23">
        <f>'2.4.raw'!G159</f>
        <v>99</v>
      </c>
      <c r="E159" s="1">
        <v>2.4</v>
      </c>
      <c r="F159" s="23" t="b">
        <f>if(countif(Status!C:C,A159)=1,TRUE, FALSE)</f>
        <v>1</v>
      </c>
      <c r="G159" s="23" t="str">
        <f>'2.4.raw'!AQ159</f>
        <v>FB at poold latrine site.Sample collected by debabrata Maity</v>
      </c>
    </row>
    <row r="160">
      <c r="A160" s="23" t="str">
        <f t="shared" si="1"/>
        <v>MO1091</v>
      </c>
      <c r="B160" s="23" t="str">
        <f>'2.4.raw'!L160</f>
        <v>MO1091</v>
      </c>
      <c r="C160" s="24">
        <f>datevalue(left('2.4.raw'!A160,10))</f>
        <v>43704</v>
      </c>
      <c r="D160" s="23">
        <f>'2.4.raw'!G160</f>
        <v>12</v>
      </c>
      <c r="E160" s="1">
        <v>2.4</v>
      </c>
      <c r="F160" s="23" t="b">
        <f>if(countif(Status!C:C,A160)=1,TRUE, FALSE)</f>
        <v>1</v>
      </c>
      <c r="G160" s="23" t="str">
        <f>'2.4.raw'!AQ160</f>
        <v>Sample collected by biplab Jash</v>
      </c>
    </row>
    <row r="161">
      <c r="A161" s="23" t="str">
        <f t="shared" si="1"/>
        <v>FB1035</v>
      </c>
      <c r="B161" s="23" t="str">
        <f>'2.4.raw'!L161</f>
        <v>FB1035</v>
      </c>
      <c r="C161" s="24">
        <f>datevalue(left('2.4.raw'!A161,10))</f>
        <v>43704</v>
      </c>
      <c r="D161" s="23">
        <f>'2.4.raw'!G161</f>
        <v>99</v>
      </c>
      <c r="E161" s="1">
        <v>2.4</v>
      </c>
      <c r="F161" s="23" t="b">
        <f>if(countif(Status!C:C,A161)=1,TRUE, FALSE)</f>
        <v>1</v>
      </c>
      <c r="G161" s="23" t="str">
        <f>'2.4.raw'!AQ161</f>
        <v>FB at mo site . Sample collected by buddhadeb Samaddar</v>
      </c>
    </row>
    <row r="162">
      <c r="A162" s="23" t="str">
        <f t="shared" si="1"/>
        <v>UF1004</v>
      </c>
      <c r="B162" s="23" t="str">
        <f>'2.4.raw'!L162</f>
        <v>UF1004</v>
      </c>
      <c r="C162" s="24">
        <f>datevalue(left('2.4.raw'!A162,10))</f>
        <v>43704</v>
      </c>
      <c r="D162" s="23">
        <f>'2.4.raw'!G162</f>
        <v>11</v>
      </c>
      <c r="E162" s="1">
        <v>2.4</v>
      </c>
      <c r="F162" s="23" t="b">
        <f>if(countif(Status!C:C,A162)=1,TRUE, FALSE)</f>
        <v>1</v>
      </c>
      <c r="G162" s="23" t="str">
        <f>'2.4.raw'!AQ162</f>
        <v/>
      </c>
    </row>
    <row r="163">
      <c r="A163" s="23" t="str">
        <f t="shared" si="1"/>
        <v>UF1005</v>
      </c>
      <c r="B163" s="23" t="str">
        <f>'2.4.raw'!L163</f>
        <v>UF1005</v>
      </c>
      <c r="C163" s="24">
        <f>datevalue(left('2.4.raw'!A163,10))</f>
        <v>43710</v>
      </c>
      <c r="D163" s="23">
        <f>'2.4.raw'!G163</f>
        <v>11</v>
      </c>
      <c r="E163" s="1">
        <v>2.4</v>
      </c>
      <c r="F163" s="23" t="b">
        <f>if(countif(Status!C:C,A163)=1,TRUE, FALSE)</f>
        <v>1</v>
      </c>
      <c r="G163" s="23" t="str">
        <f>'2.4.raw'!AQ163</f>
        <v>Practice Sample. sample collected by Buddhadeb Samaddar</v>
      </c>
    </row>
    <row r="164">
      <c r="A164" s="23" t="str">
        <f t="shared" si="1"/>
        <v>PL1021</v>
      </c>
      <c r="B164" s="23" t="str">
        <f>'2.4.raw'!L164</f>
        <v>PL1021</v>
      </c>
      <c r="C164" s="24">
        <f>datevalue(left('2.4.raw'!A164,10))</f>
        <v>43711</v>
      </c>
      <c r="D164" s="23">
        <f>'2.4.raw'!G164</f>
        <v>11</v>
      </c>
      <c r="E164" s="1">
        <v>2.4</v>
      </c>
      <c r="F164" s="23" t="b">
        <f>if(countif(Status!C:C,A164)=1,TRUE, FALSE)</f>
        <v>1</v>
      </c>
      <c r="G164" s="23" t="str">
        <f>'2.4.raw'!AQ164</f>
        <v>Practice Sample, Collected by Biplab Jash</v>
      </c>
    </row>
    <row r="165">
      <c r="A165" s="23" t="str">
        <f t="shared" si="1"/>
        <v>FB1042</v>
      </c>
      <c r="B165" s="23" t="str">
        <f>'2.4.raw'!L165</f>
        <v>FB1042</v>
      </c>
      <c r="C165" s="24">
        <f>datevalue(left('2.4.raw'!A165,10))</f>
        <v>43711</v>
      </c>
      <c r="D165" s="23">
        <f>'2.4.raw'!G165</f>
        <v>99</v>
      </c>
      <c r="E165" s="1">
        <v>2.4</v>
      </c>
      <c r="F165" s="23" t="b">
        <f>if(countif(Status!C:C,A165)=1,TRUE, FALSE)</f>
        <v>1</v>
      </c>
      <c r="G165" s="23" t="str">
        <f>'2.4.raw'!AQ165</f>
        <v>Practice Sample, Collected by Somnath Sarkar</v>
      </c>
    </row>
    <row r="166">
      <c r="A166" s="23" t="str">
        <f t="shared" si="1"/>
        <v>PL1022</v>
      </c>
      <c r="B166" s="23" t="str">
        <f>'2.4.raw'!L166</f>
        <v>PL1022</v>
      </c>
      <c r="C166" s="24">
        <f>datevalue(left('2.4.raw'!A166,10))</f>
        <v>43711</v>
      </c>
      <c r="D166" s="23">
        <f>'2.4.raw'!G166</f>
        <v>11</v>
      </c>
      <c r="E166" s="1">
        <v>2.4</v>
      </c>
      <c r="F166" s="23" t="b">
        <f>if(countif(Status!C:C,A166)=1,TRUE, FALSE)</f>
        <v>1</v>
      </c>
      <c r="G166" s="23" t="str">
        <f>'2.4.raw'!AQ166</f>
        <v>Practice Sample, Sample Collected by Debabrata Maity</v>
      </c>
    </row>
    <row r="167">
      <c r="A167" s="23" t="str">
        <f t="shared" si="1"/>
        <v>MO1092</v>
      </c>
      <c r="B167" s="23" t="str">
        <f>'2.4.raw'!L167</f>
        <v>MO1092</v>
      </c>
      <c r="C167" s="24">
        <f>datevalue(left('2.4.raw'!A167,10))</f>
        <v>43711</v>
      </c>
      <c r="D167" s="23">
        <f>'2.4.raw'!G167</f>
        <v>12</v>
      </c>
      <c r="E167" s="1">
        <v>2.4</v>
      </c>
      <c r="F167" s="23" t="b">
        <f>if(countif(Status!C:C,A167)=1,TRUE, FALSE)</f>
        <v>1</v>
      </c>
      <c r="G167" s="23" t="str">
        <f>'2.4.raw'!AQ167</f>
        <v>Practice Sample, Collected by Buddhadeb Samaddar</v>
      </c>
    </row>
    <row r="168">
      <c r="A168" s="23" t="str">
        <f t="shared" si="1"/>
        <v>UF1006</v>
      </c>
      <c r="B168" s="23" t="str">
        <f>'2.4.raw'!L168</f>
        <v>UF1006</v>
      </c>
      <c r="C168" s="24">
        <f>datevalue(left('2.4.raw'!A168,10))</f>
        <v>43711</v>
      </c>
      <c r="D168" s="23">
        <f>'2.4.raw'!G168</f>
        <v>11</v>
      </c>
      <c r="E168" s="1">
        <v>2.4</v>
      </c>
      <c r="F168" s="23" t="b">
        <f>if(countif(Status!C:C,A168)=1,TRUE, FALSE)</f>
        <v>1</v>
      </c>
      <c r="G168" s="23" t="str">
        <f>'2.4.raw'!AQ168</f>
        <v>Practice Sample, Collected by Suvankar Mandal</v>
      </c>
    </row>
    <row r="169">
      <c r="A169" s="23" t="str">
        <f t="shared" si="1"/>
        <v>FB1043</v>
      </c>
      <c r="B169" s="23" t="str">
        <f>'2.4.raw'!L169</f>
        <v>FB1043</v>
      </c>
      <c r="C169" s="24">
        <f>datevalue(left('2.4.raw'!A169,10))</f>
        <v>43711</v>
      </c>
      <c r="D169" s="23">
        <f>'2.4.raw'!G169</f>
        <v>99</v>
      </c>
      <c r="E169" s="1">
        <v>2.4</v>
      </c>
      <c r="F169" s="23" t="b">
        <f>if(countif(Status!C:C,A169)=1,TRUE, FALSE)</f>
        <v>1</v>
      </c>
      <c r="G169" s="23" t="str">
        <f>'2.4.raw'!AQ169</f>
        <v>Practice Sample, Collected by Buddhadeb Samaddar</v>
      </c>
    </row>
    <row r="170">
      <c r="A170" s="23" t="str">
        <f t="shared" si="1"/>
        <v>PL1023</v>
      </c>
      <c r="B170" s="23" t="str">
        <f>'2.4.raw'!L170</f>
        <v>PL1023</v>
      </c>
      <c r="C170" s="24">
        <f>datevalue(left('2.4.raw'!A170,10))</f>
        <v>43712</v>
      </c>
      <c r="D170" s="23">
        <f>'2.4.raw'!G170</f>
        <v>11</v>
      </c>
      <c r="E170" s="1">
        <v>2.4</v>
      </c>
      <c r="F170" s="23" t="b">
        <f>if(countif(Status!C:C,A170)=1,TRUE, FALSE)</f>
        <v>1</v>
      </c>
      <c r="G170" s="23" t="str">
        <f>'2.4.raw'!AQ170</f>
        <v>Practice Sample, Collected by Biplab Jash</v>
      </c>
    </row>
    <row r="171">
      <c r="A171" s="23" t="str">
        <f t="shared" si="1"/>
        <v>FB1044</v>
      </c>
      <c r="B171" s="23" t="str">
        <f>'2.4.raw'!L171</f>
        <v>FB1044</v>
      </c>
      <c r="C171" s="24">
        <f>datevalue(left('2.4.raw'!A171,10))</f>
        <v>43712</v>
      </c>
      <c r="D171" s="23">
        <f>'2.4.raw'!G171</f>
        <v>99</v>
      </c>
      <c r="E171" s="1">
        <v>2.4</v>
      </c>
      <c r="F171" s="23" t="b">
        <f>if(countif(Status!C:C,A171)=1,TRUE, FALSE)</f>
        <v>1</v>
      </c>
      <c r="G171" s="23" t="str">
        <f>'2.4.raw'!AQ171</f>
        <v>Practice Sample collected by Somnath Sarkar</v>
      </c>
    </row>
    <row r="172">
      <c r="A172" s="23" t="str">
        <f t="shared" si="1"/>
        <v>UF1007</v>
      </c>
      <c r="B172" s="23" t="str">
        <f>'2.4.raw'!L172</f>
        <v>UF1007</v>
      </c>
      <c r="C172" s="24">
        <f>datevalue(left('2.4.raw'!A172,10))</f>
        <v>43712</v>
      </c>
      <c r="D172" s="23">
        <f>'2.4.raw'!G172</f>
        <v>11</v>
      </c>
      <c r="E172" s="1">
        <v>2.4</v>
      </c>
      <c r="F172" s="23" t="b">
        <f>if(countif(Status!C:C,A172)=1,TRUE, FALSE)</f>
        <v>1</v>
      </c>
      <c r="G172" s="23" t="str">
        <f>'2.4.raw'!AQ172</f>
        <v>40 Ltr,Collected by Suvankar, Buddhadeb</v>
      </c>
    </row>
    <row r="173">
      <c r="A173" s="23" t="str">
        <f t="shared" si="1"/>
        <v>MO1093</v>
      </c>
      <c r="B173" s="23" t="str">
        <f>'2.4.raw'!L173</f>
        <v>MO1093</v>
      </c>
      <c r="C173" s="24">
        <f>datevalue(left('2.4.raw'!A173,10))</f>
        <v>43712</v>
      </c>
      <c r="D173" s="23">
        <f>'2.4.raw'!G173</f>
        <v>12</v>
      </c>
      <c r="E173" s="1">
        <v>2.4</v>
      </c>
      <c r="F173" s="23" t="b">
        <f>if(countif(Status!C:C,A173)=1,TRUE, FALSE)</f>
        <v>1</v>
      </c>
      <c r="G173" s="23" t="str">
        <f>'2.4.raw'!AQ173</f>
        <v>Practice Sample, Collected by Buddhadeb Samaddar</v>
      </c>
    </row>
    <row r="174">
      <c r="A174" s="23" t="str">
        <f t="shared" si="1"/>
        <v>FB1047</v>
      </c>
      <c r="B174" s="23" t="str">
        <f>'2.4.raw'!L174</f>
        <v>FB1047</v>
      </c>
      <c r="C174" s="24">
        <f>datevalue(left('2.4.raw'!A174,10))</f>
        <v>43712</v>
      </c>
      <c r="D174" s="23">
        <f>'2.4.raw'!G174</f>
        <v>99</v>
      </c>
      <c r="E174" s="1">
        <v>2.4</v>
      </c>
      <c r="F174" s="23" t="b">
        <f>if(countif(Status!C:C,A174)=1,TRUE, FALSE)</f>
        <v>1</v>
      </c>
      <c r="G174" s="23" t="str">
        <f>'2.4.raw'!AQ174</f>
        <v/>
      </c>
    </row>
    <row r="175">
      <c r="A175" s="23" t="str">
        <f t="shared" si="1"/>
        <v>PLc1025</v>
      </c>
      <c r="B175" s="23" t="str">
        <f>'2.4.raw'!L175</f>
        <v>PLc1025</v>
      </c>
      <c r="C175" s="24">
        <f>datevalue(left('2.4.raw'!A175,10))</f>
        <v>43724</v>
      </c>
      <c r="D175" s="23">
        <f>'2.4.raw'!G175</f>
        <v>11</v>
      </c>
      <c r="E175" s="1">
        <v>2.4</v>
      </c>
      <c r="F175" s="23" t="b">
        <f>if(countif(Status!C:C,A175)=1,TRUE, FALSE)</f>
        <v>1</v>
      </c>
      <c r="G175" s="23" t="str">
        <f>'2.4.raw'!AQ175</f>
        <v/>
      </c>
    </row>
    <row r="176">
      <c r="A176" s="23" t="str">
        <f t="shared" si="1"/>
        <v>FB1051</v>
      </c>
      <c r="B176" s="23" t="str">
        <f>'2.4.raw'!L176</f>
        <v>FB1051</v>
      </c>
      <c r="C176" s="24">
        <f>datevalue(left('2.4.raw'!A176,10))</f>
        <v>43724</v>
      </c>
      <c r="D176" s="23">
        <f>'2.4.raw'!G176</f>
        <v>99</v>
      </c>
      <c r="E176" s="1">
        <v>2.4</v>
      </c>
      <c r="F176" s="23" t="b">
        <f>if(countif(Status!C:C,A176)=1,TRUE, FALSE)</f>
        <v>1</v>
      </c>
      <c r="G176" s="23" t="str">
        <f>'2.4.raw'!AQ176</f>
        <v>FB at PLc Site</v>
      </c>
    </row>
    <row r="177">
      <c r="A177" s="23" t="str">
        <f t="shared" si="1"/>
        <v>MO1094</v>
      </c>
      <c r="B177" s="23" t="str">
        <f>'2.4.raw'!L177</f>
        <v>MO1094</v>
      </c>
      <c r="C177" s="24">
        <f>datevalue(left('2.4.raw'!A177,10))</f>
        <v>43725</v>
      </c>
      <c r="D177" s="23">
        <f>'2.4.raw'!G177</f>
        <v>12</v>
      </c>
      <c r="E177" s="1">
        <v>2.4</v>
      </c>
      <c r="F177" s="23" t="b">
        <f>if(countif(Status!C:C,A177)=1,TRUE, FALSE)</f>
        <v>1</v>
      </c>
      <c r="G177" s="23" t="str">
        <f>'2.4.raw'!AQ177</f>
        <v>Sample collected by Suvankar Mandal</v>
      </c>
    </row>
    <row r="178">
      <c r="A178" s="23" t="str">
        <f t="shared" si="1"/>
        <v>FB1054</v>
      </c>
      <c r="B178" s="23" t="str">
        <f>'2.4.raw'!L178</f>
        <v>FB1054</v>
      </c>
      <c r="C178" s="24">
        <f>datevalue(left('2.4.raw'!A178,10))</f>
        <v>43725</v>
      </c>
      <c r="D178" s="23">
        <f>'2.4.raw'!G178</f>
        <v>99</v>
      </c>
      <c r="E178" s="1">
        <v>2.4</v>
      </c>
      <c r="F178" s="23" t="b">
        <f>if(countif(Status!C:C,A178)=1,TRUE, FALSE)</f>
        <v>1</v>
      </c>
      <c r="G178" s="23" t="str">
        <f>'2.4.raw'!AQ178</f>
        <v>FB at MO site, Sample collected by Biplab Jash</v>
      </c>
    </row>
    <row r="179">
      <c r="A179" s="23" t="str">
        <f t="shared" si="1"/>
        <v>PLc1026</v>
      </c>
      <c r="B179" s="23" t="str">
        <f>'2.4.raw'!L179</f>
        <v>PLc1026</v>
      </c>
      <c r="C179" s="24">
        <f>datevalue(left('2.4.raw'!A179,10))</f>
        <v>43727</v>
      </c>
      <c r="D179" s="23">
        <f>'2.4.raw'!G179</f>
        <v>11</v>
      </c>
      <c r="E179" s="1">
        <v>2.4</v>
      </c>
      <c r="F179" s="23" t="b">
        <f>if(countif(Status!C:C,A179)=1,TRUE, FALSE)</f>
        <v>1</v>
      </c>
      <c r="G179" s="23" t="str">
        <f>'2.4.raw'!AQ179</f>
        <v>Sample collected by Buddhadeb Samaddar</v>
      </c>
    </row>
    <row r="180">
      <c r="A180" s="23" t="str">
        <f t="shared" si="1"/>
        <v>FB1055</v>
      </c>
      <c r="B180" s="23" t="str">
        <f>'2.4.raw'!L180</f>
        <v>FB1055</v>
      </c>
      <c r="C180" s="24">
        <f>datevalue(left('2.4.raw'!A180,10))</f>
        <v>43727</v>
      </c>
      <c r="D180" s="23">
        <f>'2.4.raw'!G180</f>
        <v>99</v>
      </c>
      <c r="E180" s="1">
        <v>2.4</v>
      </c>
      <c r="F180" s="23" t="b">
        <f>if(countif(Status!C:C,A180)=1,TRUE, FALSE)</f>
        <v>1</v>
      </c>
      <c r="G180" s="23" t="str">
        <f>'2.4.raw'!AQ180</f>
        <v>Sample collected by Suvankar Mandal, at FB at PLC site</v>
      </c>
    </row>
    <row r="181">
      <c r="A181" s="23" t="str">
        <f t="shared" si="1"/>
        <v>MO1095</v>
      </c>
      <c r="B181" s="23" t="str">
        <f>'2.4.raw'!L181</f>
        <v>MO1095</v>
      </c>
      <c r="C181" s="24">
        <f>datevalue(left('2.4.raw'!A181,10))</f>
        <v>43727</v>
      </c>
      <c r="D181" s="23">
        <f>'2.4.raw'!G181</f>
        <v>12</v>
      </c>
      <c r="E181" s="1">
        <v>2.4</v>
      </c>
      <c r="F181" s="23" t="b">
        <f>if(countif(Status!C:C,A181)=1,TRUE, FALSE)</f>
        <v>1</v>
      </c>
      <c r="G181" s="23" t="str">
        <f>'2.4.raw'!AQ181</f>
        <v>Sample collected by Debabrata Maity</v>
      </c>
    </row>
    <row r="182">
      <c r="A182" s="23" t="str">
        <f t="shared" si="1"/>
        <v>FB1056</v>
      </c>
      <c r="B182" s="23" t="str">
        <f>'2.4.raw'!L182</f>
        <v>FB1056</v>
      </c>
      <c r="C182" s="24">
        <f>datevalue(left('2.4.raw'!A182,10))</f>
        <v>43727</v>
      </c>
      <c r="D182" s="23">
        <f>'2.4.raw'!G182</f>
        <v>99</v>
      </c>
      <c r="E182" s="1">
        <v>2.4</v>
      </c>
      <c r="F182" s="23" t="b">
        <f>if(countif(Status!C:C,A182)=1,TRUE, FALSE)</f>
        <v>1</v>
      </c>
      <c r="G182" s="23" t="str">
        <f>'2.4.raw'!AQ182</f>
        <v>Sample collected by Biplab Jash, FB at MO Site.</v>
      </c>
    </row>
    <row r="183">
      <c r="A183" s="23" t="str">
        <f t="shared" si="1"/>
        <v>PLc1027</v>
      </c>
      <c r="B183" s="23" t="str">
        <f>'2.4.raw'!L183</f>
        <v>PLc1027</v>
      </c>
      <c r="C183" s="24">
        <f>datevalue(left('2.4.raw'!A183,10))</f>
        <v>43731</v>
      </c>
      <c r="D183" s="23">
        <f>'2.4.raw'!G183</f>
        <v>11</v>
      </c>
      <c r="E183" s="1">
        <v>2.4</v>
      </c>
      <c r="F183" s="23" t="b">
        <f>if(countif(Status!C:C,A183)=1,TRUE, FALSE)</f>
        <v>1</v>
      </c>
      <c r="G183" s="23" t="str">
        <f>'2.4.raw'!AQ183</f>
        <v>Semple collected by Buddhadeb Samaddar</v>
      </c>
    </row>
    <row r="184">
      <c r="A184" s="23" t="str">
        <f t="shared" si="1"/>
        <v>FB1057</v>
      </c>
      <c r="B184" s="23" t="str">
        <f>'2.4.raw'!L184</f>
        <v>FB1057</v>
      </c>
      <c r="C184" s="24">
        <f>datevalue(left('2.4.raw'!A184,10))</f>
        <v>43731</v>
      </c>
      <c r="D184" s="23">
        <f>'2.4.raw'!G184</f>
        <v>99</v>
      </c>
      <c r="E184" s="1">
        <v>2.4</v>
      </c>
      <c r="F184" s="23" t="b">
        <f>if(countif(Status!C:C,A184)=1,TRUE, FALSE)</f>
        <v>1</v>
      </c>
      <c r="G184" s="23" t="str">
        <f>'2.4.raw'!AQ184</f>
        <v>Semple collected by Suvankar Mandal</v>
      </c>
    </row>
    <row r="185">
      <c r="A185" s="23" t="str">
        <f t="shared" si="1"/>
        <v>MO1096</v>
      </c>
      <c r="B185" s="23" t="str">
        <f>'2.4.raw'!L185</f>
        <v>MO1096</v>
      </c>
      <c r="C185" s="24">
        <f>datevalue(left('2.4.raw'!A185,10))</f>
        <v>43732</v>
      </c>
      <c r="D185" s="23">
        <f>'2.4.raw'!G185</f>
        <v>12</v>
      </c>
      <c r="E185" s="1">
        <v>2.4</v>
      </c>
      <c r="F185" s="23" t="b">
        <f>if(countif(Status!C:C,A185)=1,TRUE, FALSE)</f>
        <v>1</v>
      </c>
      <c r="G185" s="23" t="str">
        <f>'2.4.raw'!AQ185</f>
        <v>Semple collected by Buddhadeb Samaddar</v>
      </c>
    </row>
    <row r="186">
      <c r="A186" s="23" t="str">
        <f t="shared" si="1"/>
        <v>FB1058</v>
      </c>
      <c r="B186" s="23" t="str">
        <f>'2.4.raw'!L186</f>
        <v>FB1058</v>
      </c>
      <c r="C186" s="24">
        <f>datevalue(left('2.4.raw'!A186,10))</f>
        <v>43732</v>
      </c>
      <c r="D186" s="23">
        <f>'2.4.raw'!G186</f>
        <v>99</v>
      </c>
      <c r="E186" s="1">
        <v>2.4</v>
      </c>
      <c r="F186" s="23" t="b">
        <f>if(countif(Status!C:C,A186)=1,TRUE, FALSE)</f>
        <v>1</v>
      </c>
      <c r="G186" s="23" t="str">
        <f>'2.4.raw'!AQ186</f>
        <v>Semple collected by Debabrata Maity</v>
      </c>
    </row>
    <row r="187">
      <c r="A187" s="23" t="str">
        <f t="shared" si="1"/>
        <v>MO1097</v>
      </c>
      <c r="B187" s="23" t="str">
        <f>'2.4.raw'!L187</f>
        <v>MO1097</v>
      </c>
      <c r="C187" s="24">
        <f>datevalue(left('2.4.raw'!A187,10))</f>
        <v>43732</v>
      </c>
      <c r="D187" s="23">
        <f>'2.4.raw'!G187</f>
        <v>12</v>
      </c>
      <c r="E187" s="1">
        <v>2.4</v>
      </c>
      <c r="F187" s="23" t="b">
        <f>if(countif(Status!C:C,A187)=1,TRUE, FALSE)</f>
        <v>1</v>
      </c>
      <c r="G187" s="23" t="str">
        <f>'2.4.raw'!AQ187</f>
        <v>Sample collected by Somnath sarkar</v>
      </c>
    </row>
    <row r="188">
      <c r="A188" s="23" t="str">
        <f t="shared" si="1"/>
        <v>FB1059</v>
      </c>
      <c r="B188" s="23" t="str">
        <f>'2.4.raw'!L188</f>
        <v>FB1059</v>
      </c>
      <c r="C188" s="24">
        <f>datevalue(left('2.4.raw'!A188,10))</f>
        <v>43732</v>
      </c>
      <c r="D188" s="23">
        <f>'2.4.raw'!G188</f>
        <v>99</v>
      </c>
      <c r="E188" s="1">
        <v>2.4</v>
      </c>
      <c r="F188" s="23" t="b">
        <f>if(countif(Status!C:C,A188)=1,TRUE, FALSE)</f>
        <v>1</v>
      </c>
      <c r="G188" s="23" t="str">
        <f>'2.4.raw'!AQ188</f>
        <v>Sample collected by Biplab Jash</v>
      </c>
    </row>
    <row r="189">
      <c r="A189" s="23" t="str">
        <f t="shared" si="1"/>
        <v>PLc1028</v>
      </c>
      <c r="B189" s="23" t="str">
        <f>'2.4.raw'!L189</f>
        <v>PLc1028</v>
      </c>
      <c r="C189" s="24">
        <f>datevalue(left('2.4.raw'!A189,10))</f>
        <v>43734</v>
      </c>
      <c r="D189" s="23">
        <f>'2.4.raw'!G189</f>
        <v>11</v>
      </c>
      <c r="E189" s="1">
        <v>2.4</v>
      </c>
      <c r="F189" s="23" t="b">
        <f>if(countif(Status!C:C,A189)=1,TRUE, FALSE)</f>
        <v>1</v>
      </c>
      <c r="G189" s="23" t="str">
        <f>'2.4.raw'!AQ189</f>
        <v>Sample collected by Somnath Sarkar</v>
      </c>
    </row>
    <row r="190">
      <c r="A190" s="23" t="str">
        <f t="shared" si="1"/>
        <v>FB1060</v>
      </c>
      <c r="B190" s="23" t="str">
        <f>'2.4.raw'!L190</f>
        <v>FB1060</v>
      </c>
      <c r="C190" s="24">
        <f>datevalue(left('2.4.raw'!A190,10))</f>
        <v>43734</v>
      </c>
      <c r="D190" s="23">
        <f>'2.4.raw'!G190</f>
        <v>99</v>
      </c>
      <c r="E190" s="1">
        <v>2.4</v>
      </c>
      <c r="F190" s="23" t="b">
        <f>if(countif(Status!C:C,A190)=1,TRUE, FALSE)</f>
        <v>1</v>
      </c>
      <c r="G190" s="23" t="str">
        <f>'2.4.raw'!AQ190</f>
        <v>FB at PLc site, Sample collected by Suvankar Mandal</v>
      </c>
    </row>
    <row r="191">
      <c r="A191" s="23" t="str">
        <f t="shared" si="1"/>
        <v>MO1098</v>
      </c>
      <c r="B191" s="23" t="str">
        <f>'2.4.raw'!L191</f>
        <v>MO1098</v>
      </c>
      <c r="C191" s="24">
        <f>datevalue(left('2.4.raw'!A191,10))</f>
        <v>43734</v>
      </c>
      <c r="D191" s="23">
        <f>'2.4.raw'!G191</f>
        <v>12</v>
      </c>
      <c r="E191" s="1">
        <v>2.4</v>
      </c>
      <c r="F191" s="23" t="b">
        <f>if(countif(Status!C:C,A191)=1,TRUE, FALSE)</f>
        <v>1</v>
      </c>
      <c r="G191" s="23" t="str">
        <f>'2.4.raw'!AQ191</f>
        <v>Sample collected by Biplab Jash</v>
      </c>
    </row>
    <row r="192">
      <c r="A192" s="23" t="str">
        <f t="shared" si="1"/>
        <v>FB1061</v>
      </c>
      <c r="B192" s="23" t="str">
        <f>'2.4.raw'!L192</f>
        <v>FB1061</v>
      </c>
      <c r="C192" s="24">
        <f>datevalue(left('2.4.raw'!A192,10))</f>
        <v>43734</v>
      </c>
      <c r="D192" s="23">
        <f>'2.4.raw'!G192</f>
        <v>99</v>
      </c>
      <c r="E192" s="1">
        <v>2.4</v>
      </c>
      <c r="F192" s="23" t="b">
        <f>if(countif(Status!C:C,A192)=1,TRUE, FALSE)</f>
        <v>1</v>
      </c>
      <c r="G192" s="23" t="str">
        <f>'2.4.raw'!AQ192</f>
        <v>Sample collected by Debabrata Maity</v>
      </c>
    </row>
    <row r="193">
      <c r="A193" s="23" t="str">
        <f t="shared" si="1"/>
        <v>MO1099</v>
      </c>
      <c r="B193" s="23" t="str">
        <f>'2.4.raw'!L193</f>
        <v>MO1099</v>
      </c>
      <c r="C193" s="24">
        <f>datevalue(left('2.4.raw'!A193,10))</f>
        <v>43734</v>
      </c>
      <c r="D193" s="23">
        <f>'2.4.raw'!G193</f>
        <v>12</v>
      </c>
      <c r="E193" s="1">
        <v>2.4</v>
      </c>
      <c r="F193" s="23" t="b">
        <f>if(countif(Status!C:C,A193)=1,TRUE, FALSE)</f>
        <v>1</v>
      </c>
      <c r="G193" s="23" t="str">
        <f>'2.4.raw'!AQ193</f>
        <v>Sample collected by Debabrata Maity</v>
      </c>
    </row>
    <row r="194">
      <c r="A194" s="23" t="str">
        <f t="shared" si="1"/>
        <v>FB1062</v>
      </c>
      <c r="B194" s="23" t="str">
        <f>'2.4.raw'!L194</f>
        <v>FB1062</v>
      </c>
      <c r="C194" s="24">
        <f>datevalue(left('2.4.raw'!A194,10))</f>
        <v>43734</v>
      </c>
      <c r="D194" s="23">
        <f>'2.4.raw'!G194</f>
        <v>99</v>
      </c>
      <c r="E194" s="1">
        <v>2.4</v>
      </c>
      <c r="F194" s="23" t="b">
        <f>if(countif(Status!C:C,A194)=1,TRUE, FALSE)</f>
        <v>1</v>
      </c>
      <c r="G194" s="23" t="str">
        <f>'2.4.raw'!AQ194</f>
        <v>Sample collected by Biplab Jash</v>
      </c>
    </row>
    <row r="195">
      <c r="A195" s="23" t="str">
        <f t="shared" si="1"/>
        <v>PLc1029</v>
      </c>
      <c r="B195" s="23" t="str">
        <f>'2.4.raw'!L195</f>
        <v>PLc1029</v>
      </c>
      <c r="C195" s="24">
        <f>datevalue(left('2.4.raw'!A195,10))</f>
        <v>43738</v>
      </c>
      <c r="D195" s="23">
        <f>'2.4.raw'!G195</f>
        <v>11</v>
      </c>
      <c r="E195" s="1">
        <v>2.4</v>
      </c>
      <c r="F195" s="23" t="b">
        <f>if(countif(Status!C:C,A195)=1,TRUE, FALSE)</f>
        <v>1</v>
      </c>
      <c r="G195" s="23" t="str">
        <f>'2.4.raw'!AQ195</f>
        <v>Sample collected by Buddhadeb,</v>
      </c>
    </row>
    <row r="196">
      <c r="A196" s="23" t="str">
        <f t="shared" si="1"/>
        <v>FB1063</v>
      </c>
      <c r="B196" s="23" t="str">
        <f>'2.4.raw'!L196</f>
        <v>FB1063</v>
      </c>
      <c r="C196" s="24">
        <f>datevalue(left('2.4.raw'!A196,10))</f>
        <v>43738</v>
      </c>
      <c r="D196" s="23">
        <f>'2.4.raw'!G196</f>
        <v>99</v>
      </c>
      <c r="E196" s="1">
        <v>2.4</v>
      </c>
      <c r="F196" s="23" t="b">
        <f>if(countif(Status!C:C,A196)=1,TRUE, FALSE)</f>
        <v>1</v>
      </c>
      <c r="G196" s="23" t="str">
        <f>'2.4.raw'!AQ196</f>
        <v>Sample collected by Buddhadeb at PLC102 site</v>
      </c>
    </row>
    <row r="197">
      <c r="A197" s="23" t="str">
        <f t="shared" si="1"/>
        <v>PLc1030</v>
      </c>
      <c r="B197" s="23" t="str">
        <f>'2.4.raw'!L197</f>
        <v>PLc1030</v>
      </c>
      <c r="C197" s="24">
        <f>datevalue(left('2.4.raw'!A197,10))</f>
        <v>43738</v>
      </c>
      <c r="D197" s="23">
        <f>'2.4.raw'!G197</f>
        <v>11</v>
      </c>
      <c r="E197" s="1">
        <v>2.4</v>
      </c>
      <c r="F197" s="23" t="b">
        <f>if(countif(Status!C:C,A197)=1,TRUE, FALSE)</f>
        <v>1</v>
      </c>
      <c r="G197" s="23" t="str">
        <f>'2.4.raw'!AQ197</f>
        <v>Sample collected by Suvankar (#2 Family)</v>
      </c>
    </row>
    <row r="198">
      <c r="A198" s="23" t="str">
        <f t="shared" si="1"/>
        <v>FB1064</v>
      </c>
      <c r="B198" s="23" t="str">
        <f>'2.4.raw'!L198</f>
        <v>FB1064</v>
      </c>
      <c r="C198" s="24">
        <f>datevalue(left('2.4.raw'!A198,10))</f>
        <v>43738</v>
      </c>
      <c r="D198" s="23">
        <f>'2.4.raw'!G198</f>
        <v>99</v>
      </c>
      <c r="E198" s="1">
        <v>2.4</v>
      </c>
      <c r="F198" s="23" t="b">
        <f>if(countif(Status!C:C,A198)=1,TRUE, FALSE)</f>
        <v>1</v>
      </c>
      <c r="G198" s="23" t="str">
        <f>'2.4.raw'!AQ198</f>
        <v>Sample collected by Suvankar</v>
      </c>
    </row>
    <row r="199">
      <c r="A199" s="23" t="str">
        <f t="shared" si="1"/>
        <v>PLc1031</v>
      </c>
      <c r="B199" s="23" t="str">
        <f>'2.4.raw'!L199</f>
        <v>PLc1031</v>
      </c>
      <c r="C199" s="24">
        <f>datevalue(left('2.4.raw'!A199,10))</f>
        <v>43738</v>
      </c>
      <c r="D199" s="23">
        <f>'2.4.raw'!G199</f>
        <v>11</v>
      </c>
      <c r="E199" s="1">
        <v>2.4</v>
      </c>
      <c r="F199" s="23" t="b">
        <f>if(countif(Status!C:C,A199)=1,TRUE, FALSE)</f>
        <v>1</v>
      </c>
      <c r="G199" s="23" t="str">
        <f>'2.4.raw'!AQ199</f>
        <v>Sample collected by Suvankar, Diameter 40 cm</v>
      </c>
    </row>
    <row r="200">
      <c r="A200" s="23" t="str">
        <f t="shared" si="1"/>
        <v>FB1065</v>
      </c>
      <c r="B200" s="23" t="str">
        <f>'2.4.raw'!L200</f>
        <v>FB1065</v>
      </c>
      <c r="C200" s="24">
        <f>datevalue(left('2.4.raw'!A200,10))</f>
        <v>43738</v>
      </c>
      <c r="D200" s="23">
        <f>'2.4.raw'!G200</f>
        <v>99</v>
      </c>
      <c r="E200" s="1">
        <v>2.4</v>
      </c>
      <c r="F200" s="23" t="b">
        <f>if(countif(Status!C:C,A200)=1,TRUE, FALSE)</f>
        <v>1</v>
      </c>
      <c r="G200" s="23" t="str">
        <f>'2.4.raw'!AQ200</f>
        <v>Sample collected by Suvankar</v>
      </c>
    </row>
    <row r="201">
      <c r="A201" s="23" t="str">
        <f t="shared" si="1"/>
        <v>PLc1032</v>
      </c>
      <c r="B201" s="23" t="str">
        <f>'2.4.raw'!L201</f>
        <v>PLc1032</v>
      </c>
      <c r="C201" s="24">
        <f>datevalue(left('2.4.raw'!A201,10))</f>
        <v>43741</v>
      </c>
      <c r="D201" s="23">
        <f>'2.4.raw'!G201</f>
        <v>11</v>
      </c>
      <c r="E201" s="1">
        <v>2.4</v>
      </c>
      <c r="F201" s="23" t="b">
        <f>if(countif(Status!C:C,A201)=1,TRUE, FALSE)</f>
        <v>1</v>
      </c>
      <c r="G201" s="23" t="str">
        <f>'2.4.raw'!AQ201</f>
        <v>Sample collected by Suvankar Mandal</v>
      </c>
    </row>
    <row r="202">
      <c r="A202" s="23" t="str">
        <f t="shared" si="1"/>
        <v>FB1066</v>
      </c>
      <c r="B202" s="23" t="str">
        <f>'2.4.raw'!L202</f>
        <v>FB1066</v>
      </c>
      <c r="C202" s="24">
        <f>datevalue(left('2.4.raw'!A202,10))</f>
        <v>43741</v>
      </c>
      <c r="D202" s="23">
        <f>'2.4.raw'!G202</f>
        <v>99</v>
      </c>
      <c r="E202" s="1">
        <v>2.4</v>
      </c>
      <c r="F202" s="23" t="b">
        <f>if(countif(Status!C:C,A202)=1,TRUE, FALSE)</f>
        <v>1</v>
      </c>
      <c r="G202" s="23" t="str">
        <f>'2.4.raw'!AQ202</f>
        <v>Sample collected by Debabrata Maity</v>
      </c>
    </row>
    <row r="203">
      <c r="A203" s="23" t="str">
        <f t="shared" si="1"/>
        <v>PLc1033</v>
      </c>
      <c r="B203" s="23" t="str">
        <f>'2.4.raw'!L203</f>
        <v>PLc1033</v>
      </c>
      <c r="C203" s="24">
        <f>datevalue(left('2.4.raw'!A203,10))</f>
        <v>43741</v>
      </c>
      <c r="D203" s="23">
        <f>'2.4.raw'!G203</f>
        <v>11</v>
      </c>
      <c r="E203" s="1">
        <v>2.4</v>
      </c>
      <c r="F203" s="23" t="b">
        <f>if(countif(Status!C:C,A203)=1,TRUE, FALSE)</f>
        <v>1</v>
      </c>
      <c r="G203" s="23" t="str">
        <f>'2.4.raw'!AQ203</f>
        <v>Sample collected by Buddhadeb Samaddar</v>
      </c>
    </row>
    <row r="204">
      <c r="A204" s="23" t="str">
        <f t="shared" si="1"/>
        <v>FB1067</v>
      </c>
      <c r="B204" s="23" t="str">
        <f>'2.4.raw'!L204</f>
        <v>FB1067</v>
      </c>
      <c r="C204" s="24">
        <f>datevalue(left('2.4.raw'!A204,10))</f>
        <v>43741</v>
      </c>
      <c r="D204" s="23">
        <f>'2.4.raw'!G204</f>
        <v>99</v>
      </c>
      <c r="E204" s="1">
        <v>2.4</v>
      </c>
      <c r="F204" s="23" t="b">
        <f>if(countif(Status!C:C,A204)=1,TRUE, FALSE)</f>
        <v>1</v>
      </c>
      <c r="G204" s="23" t="str">
        <f>'2.4.raw'!AQ204</f>
        <v>Sample collected by Biplab Jash</v>
      </c>
    </row>
    <row r="205">
      <c r="A205" s="23" t="str">
        <f t="shared" si="1"/>
        <v>PLc1034</v>
      </c>
      <c r="B205" s="23" t="str">
        <f>'2.4.raw'!L205</f>
        <v>PLc1034</v>
      </c>
      <c r="C205" s="24">
        <f>datevalue(left('2.4.raw'!A205,10))</f>
        <v>43741</v>
      </c>
      <c r="D205" s="23">
        <f>'2.4.raw'!G205</f>
        <v>11</v>
      </c>
      <c r="E205" s="1">
        <v>2.4</v>
      </c>
      <c r="F205" s="23" t="b">
        <f>if(countif(Status!C:C,A205)=1,TRUE, FALSE)</f>
        <v>1</v>
      </c>
      <c r="G205" s="23" t="str">
        <f>'2.4.raw'!AQ205</f>
        <v>Sample collected by Biplab Jash</v>
      </c>
    </row>
    <row r="206">
      <c r="A206" s="23" t="str">
        <f t="shared" si="1"/>
        <v>FB1068</v>
      </c>
      <c r="B206" s="23" t="str">
        <f>'2.4.raw'!L206</f>
        <v>FB1068</v>
      </c>
      <c r="C206" s="24">
        <f>datevalue(left('2.4.raw'!A206,10))</f>
        <v>43741</v>
      </c>
      <c r="D206" s="23">
        <f>'2.4.raw'!G206</f>
        <v>99</v>
      </c>
      <c r="E206" s="1">
        <v>2.4</v>
      </c>
      <c r="F206" s="23" t="b">
        <f>if(countif(Status!C:C,A206)=1,TRUE, FALSE)</f>
        <v>1</v>
      </c>
      <c r="G206" s="23" t="str">
        <f>'2.4.raw'!AQ206</f>
        <v>Sample collected by Suvankar Mandal</v>
      </c>
    </row>
    <row r="207">
      <c r="A207" s="23" t="str">
        <f t="shared" si="1"/>
        <v>PLc1035</v>
      </c>
      <c r="B207" s="23" t="str">
        <f>'2.4.raw'!L207</f>
        <v>PLc1035</v>
      </c>
      <c r="C207" s="24">
        <f>datevalue(left('2.4.raw'!A207,10))</f>
        <v>43752</v>
      </c>
      <c r="D207" s="23">
        <f>'2.4.raw'!G207</f>
        <v>11</v>
      </c>
      <c r="E207" s="1">
        <v>2.4</v>
      </c>
      <c r="F207" s="23" t="b">
        <f>if(countif(Status!C:C,A207)=1,TRUE, FALSE)</f>
        <v>1</v>
      </c>
      <c r="G207" s="23" t="str">
        <f>'2.4.raw'!AQ207</f>
        <v>Sample collected by Biplab Jash</v>
      </c>
    </row>
    <row r="208">
      <c r="A208" s="23" t="str">
        <f t="shared" si="1"/>
        <v>FB1069</v>
      </c>
      <c r="B208" s="23" t="str">
        <f>'2.4.raw'!L208</f>
        <v>FB1069</v>
      </c>
      <c r="C208" s="24">
        <f>datevalue(left('2.4.raw'!A208,10))</f>
        <v>43752</v>
      </c>
      <c r="D208" s="23">
        <f>'2.4.raw'!G208</f>
        <v>99</v>
      </c>
      <c r="E208" s="1">
        <v>2.4</v>
      </c>
      <c r="F208" s="23" t="b">
        <f>if(countif(Status!C:C,A208)=1,TRUE, FALSE)</f>
        <v>1</v>
      </c>
      <c r="G208" s="23" t="str">
        <f>'2.4.raw'!AQ208</f>
        <v>Sample collected by Somnath Sarkar</v>
      </c>
    </row>
    <row r="209">
      <c r="A209" s="23" t="str">
        <f t="shared" si="1"/>
        <v>PLc1036</v>
      </c>
      <c r="B209" s="23" t="str">
        <f>'2.4.raw'!L209</f>
        <v>PLc1036</v>
      </c>
      <c r="C209" s="24">
        <f>datevalue(left('2.4.raw'!A209,10))</f>
        <v>43752</v>
      </c>
      <c r="D209" s="23">
        <f>'2.4.raw'!G209</f>
        <v>11</v>
      </c>
      <c r="E209" s="1">
        <v>2.4</v>
      </c>
      <c r="F209" s="23" t="b">
        <f>if(countif(Status!C:C,A209)=1,TRUE, FALSE)</f>
        <v>1</v>
      </c>
      <c r="G209" s="23" t="str">
        <f>'2.4.raw'!AQ209</f>
        <v>Sample collected by Somnath Sarkar</v>
      </c>
    </row>
    <row r="210">
      <c r="A210" s="23" t="str">
        <f t="shared" si="1"/>
        <v>FB1070</v>
      </c>
      <c r="B210" s="23" t="str">
        <f>'2.4.raw'!L210</f>
        <v>FB1070</v>
      </c>
      <c r="C210" s="24">
        <f>datevalue(left('2.4.raw'!A210,10))</f>
        <v>43752</v>
      </c>
      <c r="D210" s="23">
        <f>'2.4.raw'!G210</f>
        <v>99</v>
      </c>
      <c r="E210" s="1">
        <v>2.4</v>
      </c>
      <c r="F210" s="23" t="b">
        <f>if(countif(Status!C:C,A210)=1,TRUE, FALSE)</f>
        <v>1</v>
      </c>
      <c r="G210" s="23" t="str">
        <f>'2.4.raw'!AQ210</f>
        <v>Sample collected by Biplab Jash</v>
      </c>
    </row>
    <row r="211">
      <c r="A211" s="23" t="str">
        <f t="shared" si="1"/>
        <v>MO1100</v>
      </c>
      <c r="B211" s="23" t="str">
        <f>'2.4.raw'!L211</f>
        <v>MO1100</v>
      </c>
      <c r="C211" s="24">
        <f>datevalue(left('2.4.raw'!A211,10))</f>
        <v>43753</v>
      </c>
      <c r="D211" s="23">
        <f>'2.4.raw'!G211</f>
        <v>12</v>
      </c>
      <c r="E211" s="1">
        <v>2.4</v>
      </c>
      <c r="F211" s="23" t="b">
        <f>if(countif(Status!C:C,A211)=1,TRUE, FALSE)</f>
        <v>1</v>
      </c>
      <c r="G211" s="23" t="str">
        <f>'2.4.raw'!AQ211</f>
        <v>Sample collected by Suvankar Mandal</v>
      </c>
    </row>
    <row r="212">
      <c r="A212" s="23" t="str">
        <f t="shared" si="1"/>
        <v>MO1101</v>
      </c>
      <c r="B212" s="23" t="str">
        <f>'2.4.raw'!L212</f>
        <v>MO1101</v>
      </c>
      <c r="C212" s="24">
        <f>datevalue(left('2.4.raw'!A212,10))</f>
        <v>43753</v>
      </c>
      <c r="D212" s="23">
        <f>'2.4.raw'!G212</f>
        <v>12</v>
      </c>
      <c r="E212" s="1">
        <v>2.4</v>
      </c>
      <c r="F212" s="23" t="b">
        <f>if(countif(Status!C:C,A212)=1,TRUE, FALSE)</f>
        <v>1</v>
      </c>
      <c r="G212" s="23" t="str">
        <f>'2.4.raw'!AQ212</f>
        <v>Sample collected by Somnath Sarkar</v>
      </c>
    </row>
    <row r="213">
      <c r="A213" s="23" t="str">
        <f t="shared" si="1"/>
        <v>FB1071</v>
      </c>
      <c r="B213" s="23" t="str">
        <f>'2.4.raw'!L213</f>
        <v>FB1071</v>
      </c>
      <c r="C213" s="24">
        <f>datevalue(left('2.4.raw'!A213,10))</f>
        <v>43753</v>
      </c>
      <c r="D213" s="23">
        <f>'2.4.raw'!G213</f>
        <v>99</v>
      </c>
      <c r="E213" s="1">
        <v>2.4</v>
      </c>
      <c r="F213" s="23" t="b">
        <f>if(countif(Status!C:C,A213)=1,TRUE, FALSE)</f>
        <v>1</v>
      </c>
      <c r="G213" s="23" t="str">
        <f>'2.4.raw'!AQ213</f>
        <v>FB at MO site, Sample collected by Buddhadeb Samaddar</v>
      </c>
    </row>
    <row r="214">
      <c r="A214" s="23" t="str">
        <f t="shared" si="1"/>
        <v>FB1072</v>
      </c>
      <c r="B214" s="23" t="str">
        <f>'2.4.raw'!L214</f>
        <v>FB1072</v>
      </c>
      <c r="C214" s="24">
        <f>datevalue(left('2.4.raw'!A214,10))</f>
        <v>43753</v>
      </c>
      <c r="D214" s="23">
        <f>'2.4.raw'!G214</f>
        <v>99</v>
      </c>
      <c r="E214" s="1">
        <v>2.4</v>
      </c>
      <c r="F214" s="23" t="b">
        <f>if(countif(Status!C:C,A214)=1,TRUE, FALSE)</f>
        <v>1</v>
      </c>
      <c r="G214" s="23" t="str">
        <f>'2.4.raw'!AQ214</f>
        <v>Sample collected by Debabrata Maity</v>
      </c>
    </row>
    <row r="215">
      <c r="A215" s="23" t="str">
        <f t="shared" si="1"/>
        <v>PLc1037</v>
      </c>
      <c r="B215" s="23" t="str">
        <f>'2.4.raw'!L215</f>
        <v>PLc1037</v>
      </c>
      <c r="C215" s="24">
        <f>datevalue(left('2.4.raw'!A215,10))</f>
        <v>43755</v>
      </c>
      <c r="D215" s="23">
        <f>'2.4.raw'!G215</f>
        <v>11</v>
      </c>
      <c r="E215" s="1">
        <v>2.4</v>
      </c>
      <c r="F215" s="23" t="b">
        <f>if(countif(Status!C:C,A215)=1,TRUE, FALSE)</f>
        <v>1</v>
      </c>
      <c r="G215" s="23" t="str">
        <f>'2.4.raw'!AQ215</f>
        <v>Sample collected by Asish Saha</v>
      </c>
    </row>
    <row r="216">
      <c r="A216" s="23" t="str">
        <f t="shared" si="1"/>
        <v>FB1073</v>
      </c>
      <c r="B216" s="23" t="str">
        <f>'2.4.raw'!L216</f>
        <v>FB1073</v>
      </c>
      <c r="C216" s="24">
        <f>datevalue(left('2.4.raw'!A216,10))</f>
        <v>43755</v>
      </c>
      <c r="D216" s="23">
        <f>'2.4.raw'!G216</f>
        <v>99</v>
      </c>
      <c r="E216" s="1">
        <v>2.4</v>
      </c>
      <c r="F216" s="23" t="b">
        <f>if(countif(Status!C:C,A216)=1,TRUE, FALSE)</f>
        <v>1</v>
      </c>
      <c r="G216" s="23" t="str">
        <f>'2.4.raw'!AQ216</f>
        <v>Sample collected by Suvankar Mandal</v>
      </c>
    </row>
    <row r="217">
      <c r="A217" s="23" t="str">
        <f t="shared" si="1"/>
        <v>PLc1038</v>
      </c>
      <c r="B217" s="23" t="str">
        <f>'2.4.raw'!L217</f>
        <v>PLc1038</v>
      </c>
      <c r="C217" s="24">
        <f>datevalue(left('2.4.raw'!A217,10))</f>
        <v>43755</v>
      </c>
      <c r="D217" s="23">
        <f>'2.4.raw'!G217</f>
        <v>11</v>
      </c>
      <c r="E217" s="1">
        <v>2.4</v>
      </c>
      <c r="F217" s="23" t="b">
        <f>if(countif(Status!C:C,A217)=1,TRUE, FALSE)</f>
        <v>1</v>
      </c>
      <c r="G217" s="23" t="str">
        <f>'2.4.raw'!AQ217</f>
        <v>Sample collected by Biplab Jash</v>
      </c>
    </row>
    <row r="218">
      <c r="A218" s="23" t="str">
        <f t="shared" si="1"/>
        <v>FB1074</v>
      </c>
      <c r="B218" s="23" t="str">
        <f>'2.4.raw'!L218</f>
        <v>FB1074</v>
      </c>
      <c r="C218" s="24">
        <f>datevalue(left('2.4.raw'!A218,10))</f>
        <v>43755</v>
      </c>
      <c r="D218" s="23">
        <f>'2.4.raw'!G218</f>
        <v>99</v>
      </c>
      <c r="E218" s="1">
        <v>2.4</v>
      </c>
      <c r="F218" s="23" t="b">
        <f>if(countif(Status!C:C,A218)=1,TRUE, FALSE)</f>
        <v>1</v>
      </c>
      <c r="G218" s="23" t="str">
        <f>'2.4.raw'!AQ218</f>
        <v>Sample collected by Buddhadeb Samaddar</v>
      </c>
    </row>
    <row r="219">
      <c r="A219" s="23" t="str">
        <f t="shared" si="1"/>
        <v>MO1103</v>
      </c>
      <c r="B219" s="23" t="str">
        <f>'2.4.raw'!L219</f>
        <v>MO1103</v>
      </c>
      <c r="C219" s="24">
        <f>datevalue(left('2.4.raw'!A219,10))</f>
        <v>43755</v>
      </c>
      <c r="D219" s="23">
        <f>'2.4.raw'!G219</f>
        <v>12</v>
      </c>
      <c r="E219" s="1">
        <v>2.4</v>
      </c>
      <c r="F219" s="23" t="b">
        <f>if(countif(Status!C:C,A219)=1,TRUE, FALSE)</f>
        <v>1</v>
      </c>
      <c r="G219" s="23" t="str">
        <f>'2.4.raw'!AQ219</f>
        <v>Sample collected by Buddhadeb Samaddar</v>
      </c>
    </row>
    <row r="220">
      <c r="A220" s="23" t="str">
        <f t="shared" si="1"/>
        <v>FB1075</v>
      </c>
      <c r="B220" s="23" t="str">
        <f>'2.4.raw'!L220</f>
        <v>FB1075</v>
      </c>
      <c r="C220" s="24">
        <f>datevalue(left('2.4.raw'!A220,10))</f>
        <v>43755</v>
      </c>
      <c r="D220" s="23">
        <f>'2.4.raw'!G220</f>
        <v>99</v>
      </c>
      <c r="E220" s="1">
        <v>2.4</v>
      </c>
      <c r="F220" s="23" t="b">
        <f>if(countif(Status!C:C,A220)=1,TRUE, FALSE)</f>
        <v>1</v>
      </c>
      <c r="G220" s="23" t="str">
        <f>'2.4.raw'!AQ220</f>
        <v>Sample collected by Biplab Jash</v>
      </c>
    </row>
    <row r="221">
      <c r="A221" s="23" t="str">
        <f t="shared" si="1"/>
        <v>MO1102</v>
      </c>
      <c r="B221" s="23" t="str">
        <f>'2.4.raw'!L221</f>
        <v>MO1102</v>
      </c>
      <c r="C221" s="24">
        <f>datevalue(left('2.4.raw'!A221,10))</f>
        <v>43755</v>
      </c>
      <c r="D221" s="23">
        <f>'2.4.raw'!G221</f>
        <v>12</v>
      </c>
      <c r="E221" s="1">
        <v>2.4</v>
      </c>
      <c r="F221" s="23" t="b">
        <f>if(countif(Status!C:C,A221)=1,TRUE, FALSE)</f>
        <v>1</v>
      </c>
      <c r="G221" s="23" t="str">
        <f>'2.4.raw'!AQ221</f>
        <v>Sample collected by Suvankar Mandal</v>
      </c>
    </row>
    <row r="222">
      <c r="A222" s="23" t="str">
        <f t="shared" si="1"/>
        <v>FB1076</v>
      </c>
      <c r="B222" s="23" t="str">
        <f>'2.4.raw'!L222</f>
        <v>FB1076</v>
      </c>
      <c r="C222" s="24">
        <f>datevalue(left('2.4.raw'!A222,10))</f>
        <v>43755</v>
      </c>
      <c r="D222" s="23">
        <f>'2.4.raw'!G222</f>
        <v>99</v>
      </c>
      <c r="E222" s="1">
        <v>2.4</v>
      </c>
      <c r="F222" s="23" t="b">
        <f>if(countif(Status!C:C,A222)=1,TRUE, FALSE)</f>
        <v>1</v>
      </c>
      <c r="G222" s="23" t="str">
        <f>'2.4.raw'!AQ222</f>
        <v>Sample collected by Biplab Jash</v>
      </c>
    </row>
    <row r="223">
      <c r="A223" s="23" t="str">
        <f t="shared" si="1"/>
        <v>PLc1040</v>
      </c>
      <c r="B223" s="23" t="str">
        <f>'2.4.raw'!L223</f>
        <v>PLc1040</v>
      </c>
      <c r="C223" s="24">
        <f>datevalue(left('2.4.raw'!A223,10))</f>
        <v>43759</v>
      </c>
      <c r="D223" s="23">
        <f>'2.4.raw'!G223</f>
        <v>11</v>
      </c>
      <c r="E223" s="1">
        <v>2.4</v>
      </c>
      <c r="F223" s="23" t="b">
        <f>if(countif(Status!C:C,A223)=1,TRUE, FALSE)</f>
        <v>1</v>
      </c>
      <c r="G223" s="23" t="str">
        <f>'2.4.raw'!AQ223</f>
        <v>Sample collected by Biplab Jash</v>
      </c>
    </row>
    <row r="224">
      <c r="A224" s="23" t="str">
        <f t="shared" si="1"/>
        <v>FB1078</v>
      </c>
      <c r="B224" s="23" t="str">
        <f>'2.4.raw'!L224</f>
        <v>FB1078</v>
      </c>
      <c r="C224" s="24">
        <f>datevalue(left('2.4.raw'!A224,10))</f>
        <v>43759</v>
      </c>
      <c r="D224" s="23">
        <f>'2.4.raw'!G224</f>
        <v>99</v>
      </c>
      <c r="E224" s="1">
        <v>2.4</v>
      </c>
      <c r="F224" s="23" t="b">
        <f>if(countif(Status!C:C,A224)=1,TRUE, FALSE)</f>
        <v>1</v>
      </c>
      <c r="G224" s="23" t="str">
        <f>'2.4.raw'!AQ224</f>
        <v>FB at PLc site, Sample collected by Biplab Jash</v>
      </c>
    </row>
    <row r="225">
      <c r="A225" s="23" t="str">
        <f t="shared" si="1"/>
        <v>PLc1039</v>
      </c>
      <c r="B225" s="23" t="str">
        <f>'2.4.raw'!L225</f>
        <v>PLc1039</v>
      </c>
      <c r="C225" s="24">
        <f>datevalue(left('2.4.raw'!A225,10))</f>
        <v>43759</v>
      </c>
      <c r="D225" s="23">
        <f>'2.4.raw'!G225</f>
        <v>11</v>
      </c>
      <c r="E225" s="1">
        <v>2.4</v>
      </c>
      <c r="F225" s="23" t="b">
        <f>if(countif(Status!C:C,A225)=1,TRUE, FALSE)</f>
        <v>1</v>
      </c>
      <c r="G225" s="23" t="str">
        <f>'2.4.raw'!AQ225</f>
        <v>Sample collected by Buddhadeb Samaddar</v>
      </c>
    </row>
    <row r="226">
      <c r="A226" s="23" t="str">
        <f t="shared" si="1"/>
        <v>FB1077</v>
      </c>
      <c r="B226" s="23" t="str">
        <f>'2.4.raw'!L226</f>
        <v>FB1077</v>
      </c>
      <c r="C226" s="24">
        <f>datevalue(left('2.4.raw'!A226,10))</f>
        <v>43759</v>
      </c>
      <c r="D226" s="23">
        <f>'2.4.raw'!G226</f>
        <v>99</v>
      </c>
      <c r="E226" s="1">
        <v>2.4</v>
      </c>
      <c r="F226" s="23" t="b">
        <f>if(countif(Status!C:C,A226)=1,TRUE, FALSE)</f>
        <v>1</v>
      </c>
      <c r="G226" s="23" t="str">
        <f>'2.4.raw'!AQ226</f>
        <v>FB at PLc site, Sample collected by Buddhadeb Samaddar</v>
      </c>
    </row>
    <row r="227">
      <c r="A227" s="23" t="str">
        <f t="shared" si="1"/>
        <v>PLc1041</v>
      </c>
      <c r="B227" s="23" t="str">
        <f>'2.4.raw'!L227</f>
        <v>PLc1041</v>
      </c>
      <c r="C227" s="24">
        <f>datevalue(left('2.4.raw'!A227,10))</f>
        <v>43759</v>
      </c>
      <c r="D227" s="23">
        <f>'2.4.raw'!G227</f>
        <v>11</v>
      </c>
      <c r="E227" s="1">
        <v>2.4</v>
      </c>
      <c r="F227" s="23" t="b">
        <f>if(countif(Status!C:C,A227)=1,TRUE, FALSE)</f>
        <v>1</v>
      </c>
      <c r="G227" s="23" t="str">
        <f>'2.4.raw'!AQ227</f>
        <v>Sample collected by Debabrata Maity</v>
      </c>
    </row>
    <row r="228">
      <c r="A228" s="23" t="str">
        <f t="shared" si="1"/>
        <v>FB1079</v>
      </c>
      <c r="B228" s="23" t="str">
        <f>'2.4.raw'!L228</f>
        <v>FB1079</v>
      </c>
      <c r="C228" s="24">
        <f>datevalue(left('2.4.raw'!A228,10))</f>
        <v>43759</v>
      </c>
      <c r="D228" s="23">
        <f>'2.4.raw'!G228</f>
        <v>99</v>
      </c>
      <c r="E228" s="1">
        <v>2.4</v>
      </c>
      <c r="F228" s="23" t="b">
        <f>if(countif(Status!C:C,A228)=1,TRUE, FALSE)</f>
        <v>1</v>
      </c>
      <c r="G228" s="23" t="str">
        <f>'2.4.raw'!AQ228</f>
        <v>Sample collected by Debabrata Maity</v>
      </c>
    </row>
    <row r="229">
      <c r="A229" s="23" t="str">
        <f t="shared" si="1"/>
        <v>PLc1042</v>
      </c>
      <c r="B229" s="23" t="str">
        <f>'2.4.raw'!L229</f>
        <v>PLc1042</v>
      </c>
      <c r="C229" s="24">
        <f>datevalue(left('2.4.raw'!A229,10))</f>
        <v>43759</v>
      </c>
      <c r="D229" s="23">
        <f>'2.4.raw'!G229</f>
        <v>11</v>
      </c>
      <c r="E229" s="1">
        <v>2.4</v>
      </c>
      <c r="F229" s="23" t="b">
        <f>if(countif(Status!C:C,A229)=1,TRUE, FALSE)</f>
        <v>1</v>
      </c>
      <c r="G229" s="23" t="str">
        <f>'2.4.raw'!AQ229</f>
        <v>Sample collected by Suvankar Mandal</v>
      </c>
    </row>
    <row r="230">
      <c r="A230" s="23" t="str">
        <f t="shared" si="1"/>
        <v>FB1080</v>
      </c>
      <c r="B230" s="23" t="str">
        <f>'2.4.raw'!L230</f>
        <v>FB1080</v>
      </c>
      <c r="C230" s="24">
        <f>datevalue(left('2.4.raw'!A230,10))</f>
        <v>43759</v>
      </c>
      <c r="D230" s="23">
        <f>'2.4.raw'!G230</f>
        <v>99</v>
      </c>
      <c r="E230" s="1">
        <v>2.4</v>
      </c>
      <c r="F230" s="23" t="b">
        <f>if(countif(Status!C:C,A230)=1,TRUE, FALSE)</f>
        <v>1</v>
      </c>
      <c r="G230" s="23" t="str">
        <f>'2.4.raw'!AQ230</f>
        <v>Sample collected by Suvankar Mandal</v>
      </c>
    </row>
    <row r="231">
      <c r="A231" s="23" t="str">
        <f t="shared" si="1"/>
        <v>PLc1043</v>
      </c>
      <c r="B231" s="23" t="str">
        <f>'2.4.raw'!L231</f>
        <v>PLc1043</v>
      </c>
      <c r="C231" s="24">
        <f>datevalue(left('2.4.raw'!A231,10))</f>
        <v>43759</v>
      </c>
      <c r="D231" s="23">
        <f>'2.4.raw'!G231</f>
        <v>11</v>
      </c>
      <c r="E231" s="1">
        <v>2.4</v>
      </c>
      <c r="F231" s="23" t="b">
        <f>if(countif(Status!C:C,A231)=1,TRUE, FALSE)</f>
        <v>1</v>
      </c>
      <c r="G231" s="23" t="str">
        <f>'2.4.raw'!AQ231</f>
        <v>Sample collected by Biplab Jash</v>
      </c>
    </row>
    <row r="232">
      <c r="A232" s="23" t="str">
        <f t="shared" si="1"/>
        <v>FB1081</v>
      </c>
      <c r="B232" s="23" t="str">
        <f>'2.4.raw'!L232</f>
        <v>FB1081</v>
      </c>
      <c r="C232" s="24">
        <f>datevalue(left('2.4.raw'!A232,10))</f>
        <v>43759</v>
      </c>
      <c r="D232" s="23">
        <f>'2.4.raw'!G232</f>
        <v>99</v>
      </c>
      <c r="E232" s="1">
        <v>2.4</v>
      </c>
      <c r="F232" s="23" t="b">
        <f>if(countif(Status!C:C,A232)=1,TRUE, FALSE)</f>
        <v>1</v>
      </c>
      <c r="G232" s="23" t="str">
        <f>'2.4.raw'!AQ232</f>
        <v>Sample collected by Biplab Jash</v>
      </c>
    </row>
    <row r="233">
      <c r="A233" s="23" t="str">
        <f t="shared" si="1"/>
        <v>MO1104</v>
      </c>
      <c r="B233" s="23" t="str">
        <f>'2.4.raw'!L233</f>
        <v>MO1104</v>
      </c>
      <c r="C233" s="24">
        <f>datevalue(left('2.4.raw'!A233,10))</f>
        <v>43760</v>
      </c>
      <c r="D233" s="23">
        <f>'2.4.raw'!G233</f>
        <v>12</v>
      </c>
      <c r="E233" s="1">
        <v>2.4</v>
      </c>
      <c r="F233" s="23" t="b">
        <f>if(countif(Status!C:C,A233)=1,TRUE, FALSE)</f>
        <v>1</v>
      </c>
      <c r="G233" s="23" t="str">
        <f>'2.4.raw'!AQ233</f>
        <v>Sample collected by Suvankar Mandal</v>
      </c>
    </row>
    <row r="234">
      <c r="A234" s="23" t="str">
        <f t="shared" si="1"/>
        <v>FB1082</v>
      </c>
      <c r="B234" s="23" t="str">
        <f>'2.4.raw'!L234</f>
        <v>FB1082</v>
      </c>
      <c r="C234" s="24">
        <f>datevalue(left('2.4.raw'!A234,10))</f>
        <v>43760</v>
      </c>
      <c r="D234" s="23">
        <f>'2.4.raw'!G234</f>
        <v>99</v>
      </c>
      <c r="E234" s="1">
        <v>2.4</v>
      </c>
      <c r="F234" s="23" t="b">
        <f>if(countif(Status!C:C,A234)=1,TRUE, FALSE)</f>
        <v>1</v>
      </c>
      <c r="G234" s="23" t="str">
        <f>'2.4.raw'!AQ234</f>
        <v>Sample Collected by Suvankar Mandal, FB at MO Site MO1104</v>
      </c>
    </row>
    <row r="235">
      <c r="A235" s="23" t="str">
        <f t="shared" si="1"/>
        <v>MO1105</v>
      </c>
      <c r="B235" s="23" t="str">
        <f>'2.4.raw'!L235</f>
        <v>MO1105</v>
      </c>
      <c r="C235" s="24">
        <f>datevalue(left('2.4.raw'!A235,10))</f>
        <v>43760</v>
      </c>
      <c r="D235" s="23">
        <f>'2.4.raw'!G235</f>
        <v>12</v>
      </c>
      <c r="E235" s="1">
        <v>2.4</v>
      </c>
      <c r="F235" s="23" t="b">
        <f>if(countif(Status!C:C,A235)=1,TRUE, FALSE)</f>
        <v>1</v>
      </c>
      <c r="G235" s="23" t="str">
        <f>'2.4.raw'!AQ235</f>
        <v>Sample collected by Buddhadeb Samaddar</v>
      </c>
    </row>
    <row r="236">
      <c r="A236" s="23" t="str">
        <f t="shared" si="1"/>
        <v>FB1083</v>
      </c>
      <c r="B236" s="23" t="str">
        <f>'2.4.raw'!L236</f>
        <v>FB1083</v>
      </c>
      <c r="C236" s="24">
        <f>datevalue(left('2.4.raw'!A236,10))</f>
        <v>43760</v>
      </c>
      <c r="D236" s="23">
        <f>'2.4.raw'!G236</f>
        <v>99</v>
      </c>
      <c r="E236" s="1">
        <v>2.4</v>
      </c>
      <c r="F236" s="23" t="b">
        <f>if(countif(Status!C:C,A236)=1,TRUE, FALSE)</f>
        <v>1</v>
      </c>
      <c r="G236" s="23" t="str">
        <f>'2.4.raw'!AQ236</f>
        <v>Sample collected by Buddhadeb Samaddar, FB at MO site MO1105</v>
      </c>
    </row>
    <row r="237">
      <c r="A237" s="23" t="str">
        <f t="shared" si="1"/>
        <v>PLc1044</v>
      </c>
      <c r="B237" s="23" t="str">
        <f>'2.4.raw'!L237</f>
        <v>PLc1044</v>
      </c>
      <c r="C237" s="24">
        <f>datevalue(left('2.4.raw'!A237,10))</f>
        <v>43762</v>
      </c>
      <c r="D237" s="23">
        <f>'2.4.raw'!G237</f>
        <v>11</v>
      </c>
      <c r="E237" s="1">
        <v>2.4</v>
      </c>
      <c r="F237" s="23" t="b">
        <f>if(countif(Status!C:C,A237)=1,TRUE, FALSE)</f>
        <v>1</v>
      </c>
      <c r="G237" s="23" t="str">
        <f>'2.4.raw'!AQ237</f>
        <v>Sample collected by Debabrata</v>
      </c>
    </row>
    <row r="238">
      <c r="A238" s="23" t="str">
        <f t="shared" si="1"/>
        <v>FB1087</v>
      </c>
      <c r="B238" s="23" t="str">
        <f>'2.4.raw'!L238</f>
        <v>FB1087</v>
      </c>
      <c r="C238" s="24">
        <f>datevalue(left('2.4.raw'!A238,10))</f>
        <v>43762</v>
      </c>
      <c r="D238" s="23">
        <f>'2.4.raw'!G238</f>
        <v>99</v>
      </c>
      <c r="E238" s="1">
        <v>2.4</v>
      </c>
      <c r="F238" s="23" t="b">
        <f>if(countif(Status!C:C,A238)=1,TRUE, FALSE)</f>
        <v>1</v>
      </c>
      <c r="G238" s="23" t="str">
        <f>'2.4.raw'!AQ238</f>
        <v>Sample collected by Somnath</v>
      </c>
    </row>
    <row r="239">
      <c r="A239" s="23" t="str">
        <f t="shared" si="1"/>
        <v>PLc1045</v>
      </c>
      <c r="B239" s="23" t="str">
        <f>'2.4.raw'!L239</f>
        <v>PLc1045</v>
      </c>
      <c r="C239" s="24">
        <f>datevalue(left('2.4.raw'!A239,10))</f>
        <v>43762</v>
      </c>
      <c r="D239" s="23">
        <f>'2.4.raw'!G239</f>
        <v>11</v>
      </c>
      <c r="E239" s="1">
        <v>2.4</v>
      </c>
      <c r="F239" s="23" t="b">
        <f>if(countif(Status!C:C,A239)=1,TRUE, FALSE)</f>
        <v>1</v>
      </c>
      <c r="G239" s="23" t="str">
        <f>'2.4.raw'!AQ239</f>
        <v>Sample collected by Debabrata</v>
      </c>
    </row>
    <row r="240">
      <c r="A240" s="23" t="str">
        <f t="shared" si="1"/>
        <v>FB1088</v>
      </c>
      <c r="B240" s="23" t="str">
        <f>'2.4.raw'!L240</f>
        <v>FB1088</v>
      </c>
      <c r="C240" s="24">
        <f>datevalue(left('2.4.raw'!A240,10))</f>
        <v>43762</v>
      </c>
      <c r="D240" s="23">
        <f>'2.4.raw'!G240</f>
        <v>99</v>
      </c>
      <c r="E240" s="1">
        <v>2.4</v>
      </c>
      <c r="F240" s="23" t="b">
        <f>if(countif(Status!C:C,A240)=1,TRUE, FALSE)</f>
        <v>1</v>
      </c>
      <c r="G240" s="23" t="str">
        <f>'2.4.raw'!AQ240</f>
        <v>Sample collected by Debabrata</v>
      </c>
    </row>
    <row r="241">
      <c r="A241" s="23" t="str">
        <f t="shared" si="1"/>
        <v>PLc1046</v>
      </c>
      <c r="B241" s="23" t="str">
        <f>'2.4.raw'!L241</f>
        <v>PLc1046</v>
      </c>
      <c r="C241" s="24">
        <f>datevalue(left('2.4.raw'!A241,10))</f>
        <v>43762</v>
      </c>
      <c r="D241" s="23">
        <f>'2.4.raw'!G241</f>
        <v>11</v>
      </c>
      <c r="E241" s="1">
        <v>2.4</v>
      </c>
      <c r="F241" s="23" t="b">
        <f>if(countif(Status!C:C,A241)=1,TRUE, FALSE)</f>
        <v>1</v>
      </c>
      <c r="G241" s="23" t="str">
        <f>'2.4.raw'!AQ241</f>
        <v>Sample collected by Debabrata</v>
      </c>
    </row>
    <row r="242">
      <c r="A242" s="23" t="str">
        <f t="shared" si="1"/>
        <v>FB1089</v>
      </c>
      <c r="B242" s="23" t="str">
        <f>'2.4.raw'!L242</f>
        <v>FB1089</v>
      </c>
      <c r="C242" s="24">
        <f>datevalue(left('2.4.raw'!A242,10))</f>
        <v>43762</v>
      </c>
      <c r="D242" s="23">
        <f>'2.4.raw'!G242</f>
        <v>99</v>
      </c>
      <c r="E242" s="1">
        <v>2.4</v>
      </c>
      <c r="F242" s="23" t="b">
        <f>if(countif(Status!C:C,A242)=1,TRUE, FALSE)</f>
        <v>1</v>
      </c>
      <c r="G242" s="23" t="str">
        <f>'2.4.raw'!AQ242</f>
        <v>Sample collected by Somnath</v>
      </c>
    </row>
    <row r="243">
      <c r="A243" s="23" t="str">
        <f t="shared" si="1"/>
        <v>PLc1047</v>
      </c>
      <c r="B243" s="23" t="str">
        <f>'2.4.raw'!L243</f>
        <v>PLc1047</v>
      </c>
      <c r="C243" s="24">
        <f>datevalue(left('2.4.raw'!A243,10))</f>
        <v>43762</v>
      </c>
      <c r="D243" s="23">
        <f>'2.4.raw'!G243</f>
        <v>11</v>
      </c>
      <c r="E243" s="1">
        <v>2.4</v>
      </c>
      <c r="F243" s="23" t="b">
        <f>if(countif(Status!C:C,A243)=1,TRUE, FALSE)</f>
        <v>1</v>
      </c>
      <c r="G243" s="23" t="str">
        <f>'2.4.raw'!AQ243</f>
        <v>Sample collected by Debabrata</v>
      </c>
    </row>
    <row r="244">
      <c r="A244" s="23" t="str">
        <f t="shared" si="1"/>
        <v>PLc1048</v>
      </c>
      <c r="B244" s="23" t="str">
        <f>'2.4.raw'!L244</f>
        <v>PLc1048</v>
      </c>
      <c r="C244" s="24">
        <f>datevalue(left('2.4.raw'!A244,10))</f>
        <v>43762</v>
      </c>
      <c r="D244" s="23">
        <f>'2.4.raw'!G244</f>
        <v>11</v>
      </c>
      <c r="E244" s="1">
        <v>2.4</v>
      </c>
      <c r="F244" s="23" t="b">
        <f>if(countif(Status!C:C,A244)=1,TRUE, FALSE)</f>
        <v>1</v>
      </c>
      <c r="G244" s="23" t="str">
        <f>'2.4.raw'!AQ244</f>
        <v>Sample collected by Somnath</v>
      </c>
    </row>
    <row r="245">
      <c r="A245" s="23" t="str">
        <f t="shared" si="1"/>
        <v>FB1090</v>
      </c>
      <c r="B245" s="23" t="str">
        <f>'2.4.raw'!L245</f>
        <v>FB1090</v>
      </c>
      <c r="C245" s="24">
        <f>datevalue(left('2.4.raw'!A245,10))</f>
        <v>43762</v>
      </c>
      <c r="D245" s="23">
        <f>'2.4.raw'!G245</f>
        <v>99</v>
      </c>
      <c r="E245" s="1">
        <v>2.4</v>
      </c>
      <c r="F245" s="23" t="b">
        <f>if(countif(Status!C:C,A245)=1,TRUE, FALSE)</f>
        <v>1</v>
      </c>
      <c r="G245" s="23" t="str">
        <f>'2.4.raw'!AQ245</f>
        <v>Sample collected by Debabrata</v>
      </c>
    </row>
    <row r="246">
      <c r="A246" s="23" t="str">
        <f t="shared" si="1"/>
        <v>FB1091</v>
      </c>
      <c r="B246" s="23" t="str">
        <f>'2.4.raw'!L246</f>
        <v>FB1091</v>
      </c>
      <c r="C246" s="24">
        <f>datevalue(left('2.4.raw'!A246,10))</f>
        <v>43762</v>
      </c>
      <c r="D246" s="23">
        <f>'2.4.raw'!G246</f>
        <v>99</v>
      </c>
      <c r="E246" s="1">
        <v>2.4</v>
      </c>
      <c r="F246" s="23" t="b">
        <f>if(countif(Status!C:C,A246)=1,TRUE, FALSE)</f>
        <v>1</v>
      </c>
      <c r="G246" s="23" t="str">
        <f>'2.4.raw'!AQ246</f>
        <v>Sample collected by Somnath</v>
      </c>
    </row>
    <row r="247">
      <c r="A247" s="23" t="str">
        <f t="shared" si="1"/>
        <v>MO1106</v>
      </c>
      <c r="B247" s="23" t="str">
        <f>'2.4.raw'!L247</f>
        <v>MO1106</v>
      </c>
      <c r="C247" s="24">
        <f>datevalue(left('2.4.raw'!A247,10))</f>
        <v>43762</v>
      </c>
      <c r="D247" s="23">
        <f>'2.4.raw'!G247</f>
        <v>12</v>
      </c>
      <c r="E247" s="1">
        <v>2.4</v>
      </c>
      <c r="F247" s="23" t="b">
        <f>if(countif(Status!C:C,A247)=1,TRUE, FALSE)</f>
        <v>1</v>
      </c>
      <c r="G247" s="23" t="str">
        <f>'2.4.raw'!AQ247</f>
        <v>Sample collected by Ashis saha</v>
      </c>
    </row>
    <row r="248">
      <c r="A248" s="49" t="s">
        <v>994</v>
      </c>
      <c r="B248" s="23" t="str">
        <f>'2.4.raw'!L248</f>
        <v>FB1058</v>
      </c>
      <c r="C248" s="24">
        <f>datevalue(left('2.4.raw'!A248,10))</f>
        <v>43762</v>
      </c>
      <c r="D248" s="23">
        <f>'2.4.raw'!G248</f>
        <v>99</v>
      </c>
      <c r="E248" s="1">
        <v>2.4</v>
      </c>
      <c r="F248" s="23" t="b">
        <f>if(countif(Status!C:C,A248)=1,TRUE, FALSE)</f>
        <v>1</v>
      </c>
      <c r="G248" s="23" t="str">
        <f>'2.4.raw'!AQ248</f>
        <v>Sample collected by Ashis saha at PS Site No 5</v>
      </c>
    </row>
    <row r="249">
      <c r="A249" s="23" t="str">
        <f t="shared" ref="A249:A965" si="2">SUBSTITUTE(B249, " ", "")</f>
        <v>MO1107</v>
      </c>
      <c r="B249" s="23" t="str">
        <f>'2.4.raw'!L249</f>
        <v>MO1107</v>
      </c>
      <c r="C249" s="24">
        <f>datevalue(left('2.4.raw'!A249,10))</f>
        <v>43762</v>
      </c>
      <c r="D249" s="23">
        <f>'2.4.raw'!G249</f>
        <v>12</v>
      </c>
      <c r="E249" s="1">
        <v>2.4</v>
      </c>
      <c r="F249" s="23" t="b">
        <f>if(countif(Status!C:C,A249)=1,TRUE, FALSE)</f>
        <v>1</v>
      </c>
      <c r="G249" s="23" t="str">
        <f>'2.4.raw'!AQ249</f>
        <v>Sample collected by Buddhadeb Samaddar</v>
      </c>
    </row>
    <row r="250">
      <c r="A250" s="23" t="str">
        <f t="shared" si="2"/>
        <v>FB1086</v>
      </c>
      <c r="B250" s="23" t="str">
        <f>'2.4.raw'!L250</f>
        <v>FB1086</v>
      </c>
      <c r="C250" s="24">
        <f>datevalue(left('2.4.raw'!A250,10))</f>
        <v>43762</v>
      </c>
      <c r="D250" s="23">
        <f>'2.4.raw'!G250</f>
        <v>99</v>
      </c>
      <c r="E250" s="1">
        <v>2.4</v>
      </c>
      <c r="F250" s="23" t="b">
        <f>if(countif(Status!C:C,A250)=1,TRUE, FALSE)</f>
        <v>1</v>
      </c>
      <c r="G250" s="23" t="str">
        <f>'2.4.raw'!AQ250</f>
        <v>Sample collected by Buddhadeb Samaddar at PS site No 6</v>
      </c>
    </row>
    <row r="251">
      <c r="A251" s="23" t="str">
        <f t="shared" si="2"/>
        <v>PLc1049</v>
      </c>
      <c r="B251" s="23" t="str">
        <f>'2.4.raw'!L251</f>
        <v>PLc1049</v>
      </c>
      <c r="C251" s="24">
        <f>datevalue(left('2.4.raw'!A251,10))</f>
        <v>43766</v>
      </c>
      <c r="D251" s="23">
        <f>'2.4.raw'!G251</f>
        <v>11</v>
      </c>
      <c r="E251" s="1">
        <v>2.4</v>
      </c>
      <c r="F251" s="23" t="b">
        <f>if(countif(Status!C:C,A251)=1,TRUE, FALSE)</f>
        <v>1</v>
      </c>
      <c r="G251" s="23" t="str">
        <f>'2.4.raw'!AQ251</f>
        <v>Sample collected by Biplab</v>
      </c>
    </row>
    <row r="252">
      <c r="A252" s="23" t="str">
        <f t="shared" si="2"/>
        <v>PLc1050</v>
      </c>
      <c r="B252" s="23" t="str">
        <f>'2.4.raw'!L252</f>
        <v>PLc1050</v>
      </c>
      <c r="C252" s="24">
        <f>datevalue(left('2.4.raw'!A252,10))</f>
        <v>43766</v>
      </c>
      <c r="D252" s="23">
        <f>'2.4.raw'!G252</f>
        <v>11</v>
      </c>
      <c r="E252" s="1">
        <v>2.4</v>
      </c>
      <c r="F252" s="23" t="b">
        <f>if(countif(Status!C:C,A252)=1,TRUE, FALSE)</f>
        <v>1</v>
      </c>
      <c r="G252" s="23" t="str">
        <f>'2.4.raw'!AQ252</f>
        <v>Sample collected by Biplab</v>
      </c>
    </row>
    <row r="253">
      <c r="A253" s="23" t="str">
        <f t="shared" si="2"/>
        <v>FB1092</v>
      </c>
      <c r="B253" s="23" t="str">
        <f>'2.4.raw'!L253</f>
        <v>FB1092</v>
      </c>
      <c r="C253" s="24">
        <f>datevalue(left('2.4.raw'!A253,10))</f>
        <v>43766</v>
      </c>
      <c r="D253" s="23">
        <f>'2.4.raw'!G253</f>
        <v>99</v>
      </c>
      <c r="E253" s="1">
        <v>2.4</v>
      </c>
      <c r="F253" s="23" t="b">
        <f>if(countif(Status!C:C,A253)=1,TRUE, FALSE)</f>
        <v>1</v>
      </c>
      <c r="G253" s="23" t="str">
        <f>'2.4.raw'!AQ253</f>
        <v>Sample collected by Somnath</v>
      </c>
    </row>
    <row r="254">
      <c r="A254" s="23" t="str">
        <f t="shared" si="2"/>
        <v>FB1093</v>
      </c>
      <c r="B254" s="23" t="str">
        <f>'2.4.raw'!L254</f>
        <v>FB1093</v>
      </c>
      <c r="C254" s="24">
        <f>datevalue(left('2.4.raw'!A254,10))</f>
        <v>43766</v>
      </c>
      <c r="D254" s="23">
        <f>'2.4.raw'!G254</f>
        <v>99</v>
      </c>
      <c r="E254" s="1">
        <v>2.4</v>
      </c>
      <c r="F254" s="23" t="b">
        <f>if(countif(Status!C:C,A254)=1,TRUE, FALSE)</f>
        <v>1</v>
      </c>
      <c r="G254" s="23" t="str">
        <f>'2.4.raw'!AQ254</f>
        <v>Sample collected by Biplab</v>
      </c>
    </row>
    <row r="255">
      <c r="A255" s="23" t="str">
        <f t="shared" si="2"/>
        <v>PLc1051</v>
      </c>
      <c r="B255" s="23" t="str">
        <f>'2.4.raw'!L255</f>
        <v>PLc1051</v>
      </c>
      <c r="C255" s="24">
        <f>datevalue(left('2.4.raw'!A255,10))</f>
        <v>43766</v>
      </c>
      <c r="D255" s="23">
        <f>'2.4.raw'!G255</f>
        <v>11</v>
      </c>
      <c r="E255" s="1">
        <v>2.4</v>
      </c>
      <c r="F255" s="23" t="b">
        <f>if(countif(Status!C:C,A255)=1,TRUE, FALSE)</f>
        <v>1</v>
      </c>
      <c r="G255" s="23" t="str">
        <f>'2.4.raw'!AQ255</f>
        <v>Sample collected by Buddhadeb</v>
      </c>
    </row>
    <row r="256">
      <c r="A256" s="23" t="str">
        <f t="shared" si="2"/>
        <v>FB1094</v>
      </c>
      <c r="B256" s="23" t="str">
        <f>'2.4.raw'!L256</f>
        <v>FB1094</v>
      </c>
      <c r="C256" s="24">
        <f>datevalue(left('2.4.raw'!A256,10))</f>
        <v>43766</v>
      </c>
      <c r="D256" s="23">
        <f>'2.4.raw'!G256</f>
        <v>99</v>
      </c>
      <c r="E256" s="1">
        <v>2.4</v>
      </c>
      <c r="F256" s="23" t="b">
        <f>if(countif(Status!C:C,A256)=1,TRUE, FALSE)</f>
        <v>1</v>
      </c>
      <c r="G256" s="23" t="str">
        <f>'2.4.raw'!AQ256</f>
        <v>Sample collected by Buddhadeb</v>
      </c>
    </row>
    <row r="257">
      <c r="A257" s="23" t="str">
        <f t="shared" si="2"/>
        <v>PLc1052</v>
      </c>
      <c r="B257" s="23" t="str">
        <f>'2.4.raw'!L257</f>
        <v>PLc1052</v>
      </c>
      <c r="C257" s="24">
        <f>datevalue(left('2.4.raw'!A257,10))</f>
        <v>43766</v>
      </c>
      <c r="D257" s="23">
        <f>'2.4.raw'!G257</f>
        <v>11</v>
      </c>
      <c r="E257" s="1">
        <v>2.4</v>
      </c>
      <c r="F257" s="23" t="b">
        <f>if(countif(Status!C:C,A257)=1,TRUE, FALSE)</f>
        <v>1</v>
      </c>
      <c r="G257" s="23" t="str">
        <f>'2.4.raw'!AQ257</f>
        <v>Sample collected by Biplab</v>
      </c>
    </row>
    <row r="258">
      <c r="A258" s="23" t="str">
        <f t="shared" si="2"/>
        <v>FB1095</v>
      </c>
      <c r="B258" s="23" t="str">
        <f>'2.4.raw'!L258</f>
        <v>FB1095</v>
      </c>
      <c r="C258" s="24">
        <f>datevalue(left('2.4.raw'!A258,10))</f>
        <v>43766</v>
      </c>
      <c r="D258" s="23">
        <f>'2.4.raw'!G258</f>
        <v>99</v>
      </c>
      <c r="E258" s="1">
        <v>2.4</v>
      </c>
      <c r="F258" s="23" t="b">
        <f>if(countif(Status!C:C,A258)=1,TRUE, FALSE)</f>
        <v>1</v>
      </c>
      <c r="G258" s="23" t="str">
        <f>'2.4.raw'!AQ258</f>
        <v>Sample collected by Buddhadeb at PLc1052 site</v>
      </c>
    </row>
    <row r="259">
      <c r="A259" s="23" t="str">
        <f t="shared" si="2"/>
        <v>PLc1053</v>
      </c>
      <c r="B259" s="23" t="str">
        <f>'2.4.raw'!L259</f>
        <v>PLc1053</v>
      </c>
      <c r="C259" s="24">
        <f>datevalue(left('2.4.raw'!A259,10))</f>
        <v>43766</v>
      </c>
      <c r="D259" s="23">
        <f>'2.4.raw'!G259</f>
        <v>11</v>
      </c>
      <c r="E259" s="1">
        <v>2.4</v>
      </c>
      <c r="F259" s="23" t="b">
        <f>if(countif(Status!C:C,A259)=1,TRUE, FALSE)</f>
        <v>1</v>
      </c>
      <c r="G259" s="23" t="str">
        <f>'2.4.raw'!AQ259</f>
        <v>Sample collected by Somnath Sarkar</v>
      </c>
    </row>
    <row r="260">
      <c r="A260" s="23" t="str">
        <f t="shared" si="2"/>
        <v>FB1096</v>
      </c>
      <c r="B260" s="23" t="str">
        <f>'2.4.raw'!L260</f>
        <v>FB1096</v>
      </c>
      <c r="C260" s="24">
        <f>datevalue(left('2.4.raw'!A260,10))</f>
        <v>43766</v>
      </c>
      <c r="D260" s="23">
        <f>'2.4.raw'!G260</f>
        <v>99</v>
      </c>
      <c r="E260" s="1">
        <v>2.4</v>
      </c>
      <c r="F260" s="23" t="b">
        <f>if(countif(Status!C:C,A260)=1,TRUE, FALSE)</f>
        <v>1</v>
      </c>
      <c r="G260" s="23" t="str">
        <f>'2.4.raw'!AQ260</f>
        <v>Sample collected by Somnath Sarkar</v>
      </c>
    </row>
    <row r="261">
      <c r="A261" s="23" t="str">
        <f t="shared" si="2"/>
        <v>MO1108</v>
      </c>
      <c r="B261" s="23" t="str">
        <f>'2.4.raw'!L261</f>
        <v>MO1108</v>
      </c>
      <c r="C261" s="24">
        <f>datevalue(left('2.4.raw'!A261,10))</f>
        <v>43767</v>
      </c>
      <c r="D261" s="23">
        <f>'2.4.raw'!G261</f>
        <v>12</v>
      </c>
      <c r="E261" s="1">
        <v>2.4</v>
      </c>
      <c r="F261" s="23" t="b">
        <f>if(countif(Status!C:C,A261)=1,TRUE, FALSE)</f>
        <v>1</v>
      </c>
      <c r="G261" s="23" t="str">
        <f>'2.4.raw'!AQ261</f>
        <v>Sample collected by Suvankar Mandal</v>
      </c>
    </row>
    <row r="262">
      <c r="A262" s="23" t="str">
        <f t="shared" si="2"/>
        <v>FB1097</v>
      </c>
      <c r="B262" s="23" t="str">
        <f>'2.4.raw'!L262</f>
        <v>FB1097</v>
      </c>
      <c r="C262" s="24">
        <f>datevalue(left('2.4.raw'!A262,10))</f>
        <v>43767</v>
      </c>
      <c r="D262" s="23">
        <f>'2.4.raw'!G262</f>
        <v>99</v>
      </c>
      <c r="E262" s="1">
        <v>2.4</v>
      </c>
      <c r="F262" s="23" t="b">
        <f>if(countif(Status!C:C,A262)=1,TRUE, FALSE)</f>
        <v>1</v>
      </c>
      <c r="G262" s="23" t="str">
        <f>'2.4.raw'!AQ262</f>
        <v>Sample collected by Suvankar Mandal . FB at MO site MO1108.</v>
      </c>
    </row>
    <row r="263">
      <c r="A263" s="23" t="str">
        <f t="shared" si="2"/>
        <v>MO1109</v>
      </c>
      <c r="B263" s="23" t="str">
        <f>'2.4.raw'!L263</f>
        <v>MO1109</v>
      </c>
      <c r="C263" s="24">
        <f>datevalue(left('2.4.raw'!A263,10))</f>
        <v>43767</v>
      </c>
      <c r="D263" s="23">
        <f>'2.4.raw'!G263</f>
        <v>12</v>
      </c>
      <c r="E263" s="1">
        <v>2.4</v>
      </c>
      <c r="F263" s="23" t="b">
        <f>if(countif(Status!C:C,A263)=1,TRUE, FALSE)</f>
        <v>1</v>
      </c>
      <c r="G263" s="23" t="str">
        <f>'2.4.raw'!AQ263</f>
        <v>Sample collected by Debabrata Maity</v>
      </c>
    </row>
    <row r="264">
      <c r="A264" s="23" t="str">
        <f t="shared" si="2"/>
        <v>FB1098</v>
      </c>
      <c r="B264" s="23" t="str">
        <f>'2.4.raw'!L264</f>
        <v>FB1098</v>
      </c>
      <c r="C264" s="24">
        <f>datevalue(left('2.4.raw'!A264,10))</f>
        <v>43767</v>
      </c>
      <c r="D264" s="23">
        <f>'2.4.raw'!G264</f>
        <v>99</v>
      </c>
      <c r="E264" s="1">
        <v>2.4</v>
      </c>
      <c r="F264" s="23" t="b">
        <f>if(countif(Status!C:C,A264)=1,TRUE, FALSE)</f>
        <v>1</v>
      </c>
      <c r="G264" s="23" t="str">
        <f>'2.4.raw'!AQ264</f>
        <v>Sample collected by Debabrata Maity. FB at MO site MO1109</v>
      </c>
    </row>
    <row r="265">
      <c r="A265" s="23" t="str">
        <f t="shared" si="2"/>
        <v>PLc1054</v>
      </c>
      <c r="B265" s="23" t="str">
        <f>'2.4.raw'!L265</f>
        <v>PLc1054</v>
      </c>
      <c r="C265" s="24">
        <f>datevalue(left('2.4.raw'!A265,10))</f>
        <v>43769</v>
      </c>
      <c r="D265" s="23">
        <f>'2.4.raw'!G265</f>
        <v>11</v>
      </c>
      <c r="E265" s="1">
        <v>2.4</v>
      </c>
      <c r="F265" s="23" t="b">
        <f>if(countif(Status!C:C,A265)=1,TRUE, FALSE)</f>
        <v>1</v>
      </c>
      <c r="G265" s="23" t="str">
        <f>'2.4.raw'!AQ265</f>
        <v>Sample collected by Suvankar Mandal</v>
      </c>
    </row>
    <row r="266">
      <c r="A266" s="23" t="str">
        <f t="shared" si="2"/>
        <v>FB1099</v>
      </c>
      <c r="B266" s="23" t="str">
        <f>'2.4.raw'!L266</f>
        <v>FB1099</v>
      </c>
      <c r="C266" s="24">
        <f>datevalue(left('2.4.raw'!A266,10))</f>
        <v>43769</v>
      </c>
      <c r="D266" s="23">
        <f>'2.4.raw'!G266</f>
        <v>99</v>
      </c>
      <c r="E266" s="1">
        <v>2.4</v>
      </c>
      <c r="F266" s="23" t="b">
        <f>if(countif(Status!C:C,A266)=1,TRUE, FALSE)</f>
        <v>1</v>
      </c>
      <c r="G266" s="23" t="str">
        <f>'2.4.raw'!AQ266</f>
        <v>Sample collected by Suvankar Mandal, FB at PLc1054 site</v>
      </c>
    </row>
    <row r="267">
      <c r="A267" s="23" t="str">
        <f t="shared" si="2"/>
        <v>PLc1055</v>
      </c>
      <c r="B267" s="23" t="str">
        <f>'2.4.raw'!L267</f>
        <v>PLc1055</v>
      </c>
      <c r="C267" s="24">
        <f>datevalue(left('2.4.raw'!A267,10))</f>
        <v>43769</v>
      </c>
      <c r="D267" s="23">
        <f>'2.4.raw'!G267</f>
        <v>11</v>
      </c>
      <c r="E267" s="1">
        <v>2.4</v>
      </c>
      <c r="F267" s="23" t="b">
        <f>if(countif(Status!C:C,A267)=1,TRUE, FALSE)</f>
        <v>1</v>
      </c>
      <c r="G267" s="23" t="str">
        <f>'2.4.raw'!AQ267</f>
        <v>Sample collected by Buddhadeb Samaddar</v>
      </c>
    </row>
    <row r="268">
      <c r="A268" s="23" t="str">
        <f t="shared" si="2"/>
        <v>FB1100</v>
      </c>
      <c r="B268" s="23" t="str">
        <f>'2.4.raw'!L268</f>
        <v>FB1100</v>
      </c>
      <c r="C268" s="24">
        <f>datevalue(left('2.4.raw'!A268,10))</f>
        <v>43769</v>
      </c>
      <c r="D268" s="23">
        <f>'2.4.raw'!G268</f>
        <v>99</v>
      </c>
      <c r="E268" s="1">
        <v>2.4</v>
      </c>
      <c r="F268" s="23" t="b">
        <f>if(countif(Status!C:C,A268)=1,TRUE, FALSE)</f>
        <v>1</v>
      </c>
      <c r="G268" s="23" t="str">
        <f>'2.4.raw'!AQ268</f>
        <v>Sample collected by Buddhadeb Samaddar, FB at PLc1055 site</v>
      </c>
    </row>
    <row r="269">
      <c r="A269" s="23" t="str">
        <f t="shared" si="2"/>
        <v>PLc1056</v>
      </c>
      <c r="B269" s="23" t="str">
        <f>'2.4.raw'!L269</f>
        <v>PLc1056</v>
      </c>
      <c r="C269" s="24">
        <f>datevalue(left('2.4.raw'!A269,10))</f>
        <v>43769</v>
      </c>
      <c r="D269" s="23">
        <f>'2.4.raw'!G269</f>
        <v>11</v>
      </c>
      <c r="E269" s="1">
        <v>2.4</v>
      </c>
      <c r="F269" s="23" t="b">
        <f>if(countif(Status!C:C,A269)=1,TRUE, FALSE)</f>
        <v>1</v>
      </c>
      <c r="G269" s="23" t="str">
        <f>'2.4.raw'!AQ269</f>
        <v>Sample collected by Somnath Sarkar</v>
      </c>
    </row>
    <row r="270">
      <c r="A270" s="23" t="str">
        <f t="shared" si="2"/>
        <v>FB1101</v>
      </c>
      <c r="B270" s="23" t="str">
        <f>'2.4.raw'!L270</f>
        <v>FB1101</v>
      </c>
      <c r="C270" s="24">
        <f>datevalue(left('2.4.raw'!A270,10))</f>
        <v>43769</v>
      </c>
      <c r="D270" s="23">
        <f>'2.4.raw'!G270</f>
        <v>99</v>
      </c>
      <c r="E270" s="1">
        <v>2.4</v>
      </c>
      <c r="F270" s="23" t="b">
        <f>if(countif(Status!C:C,A270)=1,TRUE, FALSE)</f>
        <v>1</v>
      </c>
      <c r="G270" s="23" t="str">
        <f>'2.4.raw'!AQ270</f>
        <v>Sample collected by Somnath Sarkar, FB at PLc1056 site</v>
      </c>
    </row>
    <row r="271">
      <c r="A271" s="23" t="str">
        <f t="shared" si="2"/>
        <v>PLc1057</v>
      </c>
      <c r="B271" s="23" t="str">
        <f>'2.4.raw'!L271</f>
        <v>PLc1057</v>
      </c>
      <c r="C271" s="24">
        <f>datevalue(left('2.4.raw'!A271,10))</f>
        <v>43769</v>
      </c>
      <c r="D271" s="23">
        <f>'2.4.raw'!G271</f>
        <v>11</v>
      </c>
      <c r="E271" s="1">
        <v>2.4</v>
      </c>
      <c r="F271" s="23" t="b">
        <f>if(countif(Status!C:C,A271)=1,TRUE, FALSE)</f>
        <v>1</v>
      </c>
      <c r="G271" s="23" t="str">
        <f>'2.4.raw'!AQ271</f>
        <v>Sample collected by Somnath Sarkar</v>
      </c>
    </row>
    <row r="272">
      <c r="A272" s="23" t="str">
        <f t="shared" si="2"/>
        <v>FB1102</v>
      </c>
      <c r="B272" s="23" t="str">
        <f>'2.4.raw'!L272</f>
        <v>FB1102</v>
      </c>
      <c r="C272" s="24">
        <f>datevalue(left('2.4.raw'!A272,10))</f>
        <v>43769</v>
      </c>
      <c r="D272" s="23">
        <f>'2.4.raw'!G272</f>
        <v>99</v>
      </c>
      <c r="E272" s="1">
        <v>2.4</v>
      </c>
      <c r="F272" s="23" t="b">
        <f>if(countif(Status!C:C,A272)=1,TRUE, FALSE)</f>
        <v>1</v>
      </c>
      <c r="G272" s="23" t="str">
        <f>'2.4.raw'!AQ272</f>
        <v>Sample collected by Somnath Sarkar, FB at PLc1057 site</v>
      </c>
    </row>
    <row r="273">
      <c r="A273" s="23" t="str">
        <f t="shared" si="2"/>
        <v>PLc1058</v>
      </c>
      <c r="B273" s="23" t="str">
        <f>'2.4.raw'!L273</f>
        <v>PLc1058</v>
      </c>
      <c r="C273" s="24">
        <f>datevalue(left('2.4.raw'!A273,10))</f>
        <v>43769</v>
      </c>
      <c r="D273" s="23">
        <f>'2.4.raw'!G273</f>
        <v>11</v>
      </c>
      <c r="E273" s="1">
        <v>2.4</v>
      </c>
      <c r="F273" s="23" t="b">
        <f>if(countif(Status!C:C,A273)=1,TRUE, FALSE)</f>
        <v>1</v>
      </c>
      <c r="G273" s="23" t="str">
        <f>'2.4.raw'!AQ273</f>
        <v>Sample collected by Suvankar Mandal</v>
      </c>
    </row>
    <row r="274">
      <c r="A274" s="23" t="str">
        <f t="shared" si="2"/>
        <v>FB1103</v>
      </c>
      <c r="B274" s="23" t="str">
        <f>'2.4.raw'!L274</f>
        <v>FB1103</v>
      </c>
      <c r="C274" s="24">
        <f>datevalue(left('2.4.raw'!A274,10))</f>
        <v>43769</v>
      </c>
      <c r="D274" s="23">
        <f>'2.4.raw'!G274</f>
        <v>99</v>
      </c>
      <c r="E274" s="1">
        <v>2.4</v>
      </c>
      <c r="F274" s="23" t="b">
        <f>if(countif(Status!C:C,A274)=1,TRUE, FALSE)</f>
        <v>1</v>
      </c>
      <c r="G274" s="23" t="str">
        <f>'2.4.raw'!AQ274</f>
        <v>Sample collected by Suvankar Mandal, FB at PLc1058 site</v>
      </c>
    </row>
    <row r="275">
      <c r="A275" s="23" t="str">
        <f t="shared" si="2"/>
        <v>MO1111</v>
      </c>
      <c r="B275" s="23" t="str">
        <f>'2.4.raw'!L275</f>
        <v>MO1111</v>
      </c>
      <c r="C275" s="24">
        <f>datevalue(left('2.4.raw'!A275,10))</f>
        <v>43769</v>
      </c>
      <c r="D275" s="23">
        <f>'2.4.raw'!G275</f>
        <v>12</v>
      </c>
      <c r="E275" s="1">
        <v>2.4</v>
      </c>
      <c r="F275" s="23" t="b">
        <f>if(countif(Status!C:C,A275)=1,TRUE, FALSE)</f>
        <v>1</v>
      </c>
      <c r="G275" s="23" t="str">
        <f>'2.4.raw'!AQ275</f>
        <v>Sample collected by Suvankar Mandal</v>
      </c>
    </row>
    <row r="276">
      <c r="A276" s="23" t="str">
        <f t="shared" si="2"/>
        <v>FB1104</v>
      </c>
      <c r="B276" s="23" t="str">
        <f>'2.4.raw'!L276</f>
        <v>FB1104</v>
      </c>
      <c r="C276" s="24">
        <f>datevalue(left('2.4.raw'!A276,10))</f>
        <v>43769</v>
      </c>
      <c r="D276" s="23">
        <f>'2.4.raw'!G276</f>
        <v>99</v>
      </c>
      <c r="E276" s="1">
        <v>2.4</v>
      </c>
      <c r="F276" s="23" t="b">
        <f>if(countif(Status!C:C,A276)=1,TRUE, FALSE)</f>
        <v>1</v>
      </c>
      <c r="G276" s="23" t="str">
        <f>'2.4.raw'!AQ276</f>
        <v>Sample collected by Suvankar Mandal, FB at MO1111 site</v>
      </c>
    </row>
    <row r="277">
      <c r="A277" s="23" t="str">
        <f t="shared" si="2"/>
        <v>MO1110</v>
      </c>
      <c r="B277" s="23" t="str">
        <f>'2.4.raw'!L277</f>
        <v>MO1110</v>
      </c>
      <c r="C277" s="24">
        <f>datevalue(left('2.4.raw'!A277,10))</f>
        <v>43769</v>
      </c>
      <c r="D277" s="23">
        <f>'2.4.raw'!G277</f>
        <v>12</v>
      </c>
      <c r="E277" s="1">
        <v>2.4</v>
      </c>
      <c r="F277" s="23" t="b">
        <f>if(countif(Status!C:C,A277)=1,TRUE, FALSE)</f>
        <v>1</v>
      </c>
      <c r="G277" s="23" t="str">
        <f>'2.4.raw'!AQ277</f>
        <v>Sample collected by Buddhadeb Samaddar</v>
      </c>
    </row>
    <row r="278">
      <c r="A278" s="23" t="str">
        <f t="shared" si="2"/>
        <v>FB1105</v>
      </c>
      <c r="B278" s="23" t="str">
        <f>'2.4.raw'!L278</f>
        <v>FB1105</v>
      </c>
      <c r="C278" s="24">
        <f>datevalue(left('2.4.raw'!A278,10))</f>
        <v>43769</v>
      </c>
      <c r="D278" s="23">
        <f>'2.4.raw'!G278</f>
        <v>99</v>
      </c>
      <c r="E278" s="1">
        <v>2.4</v>
      </c>
      <c r="F278" s="23" t="b">
        <f>if(countif(Status!C:C,A278)=1,TRUE, FALSE)</f>
        <v>1</v>
      </c>
      <c r="G278" s="23" t="str">
        <f>'2.4.raw'!AQ278</f>
        <v>Sample collected by Buddhadeb Samaddar, FB at MO1110 site</v>
      </c>
    </row>
    <row r="279">
      <c r="A279" s="23" t="str">
        <f t="shared" si="2"/>
        <v>PLc1059</v>
      </c>
      <c r="B279" s="23" t="str">
        <f>'2.4.raw'!L279</f>
        <v>PLc1059</v>
      </c>
      <c r="C279" s="24">
        <f>datevalue(left('2.4.raw'!A279,10))</f>
        <v>43770</v>
      </c>
      <c r="D279" s="23">
        <f>'2.4.raw'!G279</f>
        <v>11</v>
      </c>
      <c r="E279" s="1">
        <v>2.4</v>
      </c>
      <c r="F279" s="23" t="b">
        <f>if(countif(Status!C:C,A279)=1,TRUE, FALSE)</f>
        <v>1</v>
      </c>
      <c r="G279" s="23" t="str">
        <f>'2.4.raw'!AQ279</f>
        <v>Sample collected by Somnath Sarkar</v>
      </c>
    </row>
    <row r="280">
      <c r="A280" s="23" t="str">
        <f t="shared" si="2"/>
        <v>FB1106</v>
      </c>
      <c r="B280" s="23" t="str">
        <f>'2.4.raw'!L280</f>
        <v>FB1106</v>
      </c>
      <c r="C280" s="24">
        <f>datevalue(left('2.4.raw'!A280,10))</f>
        <v>43770</v>
      </c>
      <c r="D280" s="23">
        <f>'2.4.raw'!G280</f>
        <v>99</v>
      </c>
      <c r="E280" s="1">
        <v>2.4</v>
      </c>
      <c r="F280" s="23" t="b">
        <f>if(countif(Status!C:C,A280)=1,TRUE, FALSE)</f>
        <v>1</v>
      </c>
      <c r="G280" s="23" t="str">
        <f>'2.4.raw'!AQ280</f>
        <v>Sample collected by Somnath Sarkar, FB at PLc1059 site</v>
      </c>
    </row>
    <row r="281">
      <c r="A281" s="23" t="str">
        <f t="shared" si="2"/>
        <v>PLc1060</v>
      </c>
      <c r="B281" s="23" t="str">
        <f>'2.4.raw'!L281</f>
        <v>PLc1060</v>
      </c>
      <c r="C281" s="24">
        <f>datevalue(left('2.4.raw'!A281,10))</f>
        <v>43770</v>
      </c>
      <c r="D281" s="23">
        <f>'2.4.raw'!G281</f>
        <v>11</v>
      </c>
      <c r="E281" s="1">
        <v>2.4</v>
      </c>
      <c r="F281" s="23" t="b">
        <f>if(countif(Status!C:C,A281)=1,TRUE, FALSE)</f>
        <v>1</v>
      </c>
      <c r="G281" s="23" t="str">
        <f>'2.4.raw'!AQ281</f>
        <v>Sample collected by Suvankar Mandal</v>
      </c>
    </row>
    <row r="282">
      <c r="A282" s="23" t="str">
        <f t="shared" si="2"/>
        <v>FB1107</v>
      </c>
      <c r="B282" s="23" t="str">
        <f>'2.4.raw'!L282</f>
        <v>FB1107</v>
      </c>
      <c r="C282" s="24">
        <f>datevalue(left('2.4.raw'!A282,10))</f>
        <v>43770</v>
      </c>
      <c r="D282" s="23">
        <f>'2.4.raw'!G282</f>
        <v>99</v>
      </c>
      <c r="E282" s="1">
        <v>2.4</v>
      </c>
      <c r="F282" s="23" t="b">
        <f>if(countif(Status!C:C,A282)=1,TRUE, FALSE)</f>
        <v>1</v>
      </c>
      <c r="G282" s="23" t="str">
        <f>'2.4.raw'!AQ282</f>
        <v>Sample collected by Suvankar Mandal, FB at PLc1060 site</v>
      </c>
    </row>
    <row r="283">
      <c r="A283" s="23" t="str">
        <f t="shared" si="2"/>
        <v>PLc1061</v>
      </c>
      <c r="B283" s="23" t="str">
        <f>'2.4.raw'!L283</f>
        <v>PLc1061</v>
      </c>
      <c r="C283" s="24">
        <f>datevalue(left('2.4.raw'!A283,10))</f>
        <v>43773</v>
      </c>
      <c r="D283" s="23">
        <f>'2.4.raw'!G283</f>
        <v>11</v>
      </c>
      <c r="E283" s="1">
        <v>2.4</v>
      </c>
      <c r="F283" s="23" t="b">
        <f>if(countif(Status!C:C,A283)=1,TRUE, FALSE)</f>
        <v>1</v>
      </c>
      <c r="G283" s="23" t="str">
        <f>'2.4.raw'!AQ283</f>
        <v>Sample collected by Somnath Sarkar</v>
      </c>
    </row>
    <row r="284">
      <c r="A284" s="23" t="str">
        <f t="shared" si="2"/>
        <v>FB1109</v>
      </c>
      <c r="B284" s="23" t="str">
        <f>'2.4.raw'!L284</f>
        <v>FB1109</v>
      </c>
      <c r="C284" s="24">
        <f>datevalue(left('2.4.raw'!A284,10))</f>
        <v>43773</v>
      </c>
      <c r="D284" s="23">
        <f>'2.4.raw'!G284</f>
        <v>99</v>
      </c>
      <c r="E284" s="1">
        <v>2.4</v>
      </c>
      <c r="F284" s="23" t="b">
        <f>if(countif(Status!C:C,A284)=1,TRUE, FALSE)</f>
        <v>1</v>
      </c>
      <c r="G284" s="23" t="str">
        <f>'2.4.raw'!AQ284</f>
        <v>Sample collected by Somnath Sarkar, FB at PLc1061 site</v>
      </c>
    </row>
    <row r="285">
      <c r="A285" s="23" t="str">
        <f t="shared" si="2"/>
        <v>PLc1062</v>
      </c>
      <c r="B285" s="23" t="str">
        <f>'2.4.raw'!L285</f>
        <v>PLc1062</v>
      </c>
      <c r="C285" s="24">
        <f>datevalue(left('2.4.raw'!A285,10))</f>
        <v>43773</v>
      </c>
      <c r="D285" s="23">
        <f>'2.4.raw'!G285</f>
        <v>11</v>
      </c>
      <c r="E285" s="1">
        <v>2.4</v>
      </c>
      <c r="F285" s="23" t="b">
        <f>if(countif(Status!C:C,A285)=1,TRUE, FALSE)</f>
        <v>1</v>
      </c>
      <c r="G285" s="23" t="str">
        <f>'2.4.raw'!AQ285</f>
        <v>Sample collected by Suvankar Mandal</v>
      </c>
    </row>
    <row r="286">
      <c r="A286" s="23" t="str">
        <f t="shared" si="2"/>
        <v>FB1110</v>
      </c>
      <c r="B286" s="23" t="str">
        <f>'2.4.raw'!L286</f>
        <v>FB1110</v>
      </c>
      <c r="C286" s="24">
        <f>datevalue(left('2.4.raw'!A286,10))</f>
        <v>43773</v>
      </c>
      <c r="D286" s="23">
        <f>'2.4.raw'!G286</f>
        <v>99</v>
      </c>
      <c r="E286" s="1">
        <v>2.4</v>
      </c>
      <c r="F286" s="23" t="b">
        <f>if(countif(Status!C:C,A286)=1,TRUE, FALSE)</f>
        <v>1</v>
      </c>
      <c r="G286" s="23" t="str">
        <f>'2.4.raw'!AQ286</f>
        <v>Sample collected by Suvankar Mandal, FB at PLc1062 site</v>
      </c>
    </row>
    <row r="287">
      <c r="A287" s="23" t="str">
        <f t="shared" si="2"/>
        <v>PLc1063</v>
      </c>
      <c r="B287" s="23" t="str">
        <f>'2.4.raw'!L287</f>
        <v>PLc1063</v>
      </c>
      <c r="C287" s="24">
        <f>datevalue(left('2.4.raw'!A287,10))</f>
        <v>43773</v>
      </c>
      <c r="D287" s="23">
        <f>'2.4.raw'!G287</f>
        <v>11</v>
      </c>
      <c r="E287" s="1">
        <v>2.4</v>
      </c>
      <c r="F287" s="23" t="b">
        <f>if(countif(Status!C:C,A287)=1,TRUE, FALSE)</f>
        <v>1</v>
      </c>
      <c r="G287" s="23" t="str">
        <f>'2.4.raw'!AQ287</f>
        <v>Sample collected by Suvankar Mandal</v>
      </c>
    </row>
    <row r="288">
      <c r="A288" s="23" t="str">
        <f t="shared" si="2"/>
        <v>FB1111</v>
      </c>
      <c r="B288" s="23" t="str">
        <f>'2.4.raw'!L288</f>
        <v>FB1111</v>
      </c>
      <c r="C288" s="24">
        <f>datevalue(left('2.4.raw'!A288,10))</f>
        <v>43773</v>
      </c>
      <c r="D288" s="23">
        <f>'2.4.raw'!G288</f>
        <v>99</v>
      </c>
      <c r="E288" s="1">
        <v>2.4</v>
      </c>
      <c r="F288" s="23" t="b">
        <f>if(countif(Status!C:C,A288)=1,TRUE, FALSE)</f>
        <v>1</v>
      </c>
      <c r="G288" s="23" t="str">
        <f>'2.4.raw'!AQ288</f>
        <v>Sample collected by Suvankar Mandal, FB at PLc1063 site</v>
      </c>
    </row>
    <row r="289">
      <c r="A289" s="23" t="str">
        <f t="shared" si="2"/>
        <v>PLc1064</v>
      </c>
      <c r="B289" s="23" t="str">
        <f>'2.4.raw'!L289</f>
        <v>PLc1064</v>
      </c>
      <c r="C289" s="24">
        <f>datevalue(left('2.4.raw'!A289,10))</f>
        <v>43773</v>
      </c>
      <c r="D289" s="23">
        <f>'2.4.raw'!G289</f>
        <v>11</v>
      </c>
      <c r="E289" s="1">
        <v>2.4</v>
      </c>
      <c r="F289" s="23" t="b">
        <f>if(countif(Status!C:C,A289)=1,TRUE, FALSE)</f>
        <v>1</v>
      </c>
      <c r="G289" s="23" t="str">
        <f>'2.4.raw'!AQ289</f>
        <v>Sample collected by Biplab Jash</v>
      </c>
    </row>
    <row r="290">
      <c r="A290" s="23" t="str">
        <f t="shared" si="2"/>
        <v>FB1112</v>
      </c>
      <c r="B290" s="23" t="str">
        <f>'2.4.raw'!L290</f>
        <v>FB1112</v>
      </c>
      <c r="C290" s="24">
        <f>datevalue(left('2.4.raw'!A290,10))</f>
        <v>43773</v>
      </c>
      <c r="D290" s="23">
        <f>'2.4.raw'!G290</f>
        <v>99</v>
      </c>
      <c r="E290" s="1">
        <v>2.4</v>
      </c>
      <c r="F290" s="23" t="b">
        <f>if(countif(Status!C:C,A290)=1,TRUE, FALSE)</f>
        <v>1</v>
      </c>
      <c r="G290" s="23" t="str">
        <f>'2.4.raw'!AQ290</f>
        <v>Sample collected byBiplab Jash, FB at PLc1064 site</v>
      </c>
    </row>
    <row r="291">
      <c r="A291" s="23" t="str">
        <f t="shared" si="2"/>
        <v>PLc1065</v>
      </c>
      <c r="B291" s="23" t="str">
        <f>'2.4.raw'!L291</f>
        <v>PLc1065</v>
      </c>
      <c r="C291" s="24">
        <f>datevalue(left('2.4.raw'!A291,10))</f>
        <v>43773</v>
      </c>
      <c r="D291" s="23">
        <f>'2.4.raw'!G291</f>
        <v>11</v>
      </c>
      <c r="E291" s="1">
        <v>2.4</v>
      </c>
      <c r="F291" s="23" t="b">
        <f>if(countif(Status!C:C,A291)=1,TRUE, FALSE)</f>
        <v>1</v>
      </c>
      <c r="G291" s="23" t="str">
        <f>'2.4.raw'!AQ291</f>
        <v>Sample collected by Debabrata Maity</v>
      </c>
    </row>
    <row r="292">
      <c r="A292" s="23" t="str">
        <f t="shared" si="2"/>
        <v>FB1113</v>
      </c>
      <c r="B292" s="23" t="str">
        <f>'2.4.raw'!L292</f>
        <v>FB1113</v>
      </c>
      <c r="C292" s="24">
        <f>datevalue(left('2.4.raw'!A292,10))</f>
        <v>43773</v>
      </c>
      <c r="D292" s="23">
        <f>'2.4.raw'!G292</f>
        <v>99</v>
      </c>
      <c r="E292" s="1">
        <v>2.4</v>
      </c>
      <c r="F292" s="23" t="b">
        <f>if(countif(Status!C:C,A292)=1,TRUE, FALSE)</f>
        <v>1</v>
      </c>
      <c r="G292" s="23" t="str">
        <f>'2.4.raw'!AQ292</f>
        <v>Sample collected by Debabrata Maity, FB at PLc1065 site</v>
      </c>
    </row>
    <row r="293">
      <c r="A293" s="23" t="str">
        <f t="shared" si="2"/>
        <v>PLc1066</v>
      </c>
      <c r="B293" s="23" t="str">
        <f>'2.4.raw'!L293</f>
        <v>PLc1066</v>
      </c>
      <c r="C293" s="24">
        <f>datevalue(left('2.4.raw'!A293,10))</f>
        <v>43774</v>
      </c>
      <c r="D293" s="23">
        <f>'2.4.raw'!G293</f>
        <v>11</v>
      </c>
      <c r="E293" s="1">
        <v>2.4</v>
      </c>
      <c r="F293" s="23" t="b">
        <f>if(countif(Status!C:C,A293)=1,TRUE, FALSE)</f>
        <v>1</v>
      </c>
      <c r="G293" s="23" t="str">
        <f>'2.4.raw'!AQ293</f>
        <v>Sample collected by Suvankar Mandal</v>
      </c>
    </row>
    <row r="294">
      <c r="A294" s="23" t="str">
        <f t="shared" si="2"/>
        <v>FB1114</v>
      </c>
      <c r="B294" s="23" t="str">
        <f>'2.4.raw'!L294</f>
        <v>FB1114</v>
      </c>
      <c r="C294" s="24">
        <f>datevalue(left('2.4.raw'!A294,10))</f>
        <v>43774</v>
      </c>
      <c r="D294" s="23">
        <f>'2.4.raw'!G294</f>
        <v>99</v>
      </c>
      <c r="E294" s="1">
        <v>2.4</v>
      </c>
      <c r="F294" s="23" t="b">
        <f>if(countif(Status!C:C,A294)=1,TRUE, FALSE)</f>
        <v>1</v>
      </c>
      <c r="G294" s="23" t="str">
        <f>'2.4.raw'!AQ294</f>
        <v>Sample collected by Suvankar Mandal!,FB at PLc1066</v>
      </c>
    </row>
    <row r="295">
      <c r="A295" s="23" t="str">
        <f t="shared" si="2"/>
        <v>PLc1067</v>
      </c>
      <c r="B295" s="23" t="str">
        <f>'2.4.raw'!L295</f>
        <v>PLc1067</v>
      </c>
      <c r="C295" s="24">
        <f>datevalue(left('2.4.raw'!A295,10))</f>
        <v>43774</v>
      </c>
      <c r="D295" s="23">
        <f>'2.4.raw'!G295</f>
        <v>11</v>
      </c>
      <c r="E295" s="1">
        <v>2.4</v>
      </c>
      <c r="F295" s="23" t="b">
        <f>if(countif(Status!C:C,A295)=1,TRUE, FALSE)</f>
        <v>1</v>
      </c>
      <c r="G295" s="23" t="str">
        <f>'2.4.raw'!AQ295</f>
        <v>Sample collected by Somnath Sarkar</v>
      </c>
    </row>
    <row r="296">
      <c r="A296" s="23" t="str">
        <f t="shared" si="2"/>
        <v>FB1115</v>
      </c>
      <c r="B296" s="23" t="str">
        <f>'2.4.raw'!L296</f>
        <v>FB1115</v>
      </c>
      <c r="C296" s="24">
        <f>datevalue(left('2.4.raw'!A296,10))</f>
        <v>43774</v>
      </c>
      <c r="D296" s="23">
        <f>'2.4.raw'!G296</f>
        <v>99</v>
      </c>
      <c r="E296" s="1">
        <v>2.4</v>
      </c>
      <c r="F296" s="23" t="b">
        <f>if(countif(Status!C:C,A296)=1,TRUE, FALSE)</f>
        <v>1</v>
      </c>
      <c r="G296" s="23" t="str">
        <f>'2.4.raw'!AQ296</f>
        <v>Sample collected by Somnath Sarkar .FB at PLc 1067</v>
      </c>
    </row>
    <row r="297">
      <c r="A297" s="23" t="str">
        <f t="shared" si="2"/>
        <v>MO1113</v>
      </c>
      <c r="B297" s="23" t="str">
        <f>'2.4.raw'!L297</f>
        <v>MO1113</v>
      </c>
      <c r="C297" s="24">
        <f>datevalue(left('2.4.raw'!A297,10))</f>
        <v>43774</v>
      </c>
      <c r="D297" s="23">
        <f>'2.4.raw'!G297</f>
        <v>12</v>
      </c>
      <c r="E297" s="1">
        <v>2.4</v>
      </c>
      <c r="F297" s="23" t="b">
        <f>if(countif(Status!C:C,A297)=1,TRUE, FALSE)</f>
        <v>1</v>
      </c>
      <c r="G297" s="23" t="str">
        <f>'2.4.raw'!AQ297</f>
        <v>Sample collected by Somnath Sarkar</v>
      </c>
    </row>
    <row r="298">
      <c r="A298" s="23" t="str">
        <f t="shared" si="2"/>
        <v>FB1116</v>
      </c>
      <c r="B298" s="23" t="str">
        <f>'2.4.raw'!L298</f>
        <v>FB1116</v>
      </c>
      <c r="C298" s="24">
        <f>datevalue(left('2.4.raw'!A298,10))</f>
        <v>43774</v>
      </c>
      <c r="D298" s="23">
        <f>'2.4.raw'!G298</f>
        <v>99</v>
      </c>
      <c r="E298" s="1">
        <v>2.4</v>
      </c>
      <c r="F298" s="23" t="b">
        <f>if(countif(Status!C:C,A298)=1,TRUE, FALSE)</f>
        <v>1</v>
      </c>
      <c r="G298" s="23" t="str">
        <f>'2.4.raw'!AQ298</f>
        <v>Sample collected by Somnath Sarkar , FB at MO1113</v>
      </c>
    </row>
    <row r="299">
      <c r="A299" s="23" t="str">
        <f t="shared" si="2"/>
        <v>MO1112</v>
      </c>
      <c r="B299" s="23" t="str">
        <f>'2.4.raw'!L299</f>
        <v>MO1112</v>
      </c>
      <c r="C299" s="24">
        <f>datevalue(left('2.4.raw'!A299,10))</f>
        <v>43774</v>
      </c>
      <c r="D299" s="23">
        <f>'2.4.raw'!G299</f>
        <v>12</v>
      </c>
      <c r="E299" s="1">
        <v>2.4</v>
      </c>
      <c r="F299" s="23" t="b">
        <f>if(countif(Status!C:C,A299)=1,TRUE, FALSE)</f>
        <v>1</v>
      </c>
      <c r="G299" s="23" t="str">
        <f>'2.4.raw'!AQ299</f>
        <v>Sample collected by Buddhadeb Samaddar</v>
      </c>
    </row>
    <row r="300">
      <c r="A300" s="23" t="str">
        <f t="shared" si="2"/>
        <v>FB1117</v>
      </c>
      <c r="B300" s="23" t="str">
        <f>'2.4.raw'!L300</f>
        <v>FB1117</v>
      </c>
      <c r="C300" s="24">
        <f>datevalue(left('2.4.raw'!A300,10))</f>
        <v>43774</v>
      </c>
      <c r="D300" s="23">
        <f>'2.4.raw'!G300</f>
        <v>99</v>
      </c>
      <c r="E300" s="1">
        <v>2.4</v>
      </c>
      <c r="F300" s="23" t="b">
        <f>if(countif(Status!C:C,A300)=1,TRUE, FALSE)</f>
        <v>1</v>
      </c>
      <c r="G300" s="23" t="str">
        <f>'2.4.raw'!AQ300</f>
        <v>Sample collected by Buddhadeb Samaddar, FB at MO1112</v>
      </c>
    </row>
    <row r="301">
      <c r="A301" s="23" t="str">
        <f t="shared" si="2"/>
        <v>PLc1068</v>
      </c>
      <c r="B301" s="23" t="str">
        <f>'2.4.raw'!L301</f>
        <v>PLc1068</v>
      </c>
      <c r="C301" s="24">
        <f>datevalue(left('2.4.raw'!A301,10))</f>
        <v>43776</v>
      </c>
      <c r="D301" s="23">
        <f>'2.4.raw'!G301</f>
        <v>11</v>
      </c>
      <c r="E301" s="1">
        <v>2.4</v>
      </c>
      <c r="F301" s="23" t="b">
        <f>if(countif(Status!C:C,A301)=1,TRUE, FALSE)</f>
        <v>1</v>
      </c>
      <c r="G301" s="23" t="str">
        <f>'2.4.raw'!AQ301</f>
        <v>Sample collected by Suvankar Mandal</v>
      </c>
    </row>
    <row r="302">
      <c r="A302" s="23" t="str">
        <f t="shared" si="2"/>
        <v>FB1119</v>
      </c>
      <c r="B302" s="23" t="str">
        <f>'2.4.raw'!L302</f>
        <v>FB1119</v>
      </c>
      <c r="C302" s="24">
        <f>datevalue(left('2.4.raw'!A302,10))</f>
        <v>43776</v>
      </c>
      <c r="D302" s="23">
        <f>'2.4.raw'!G302</f>
        <v>99</v>
      </c>
      <c r="E302" s="1">
        <v>2.4</v>
      </c>
      <c r="F302" s="23" t="b">
        <f>if(countif(Status!C:C,A302)=1,TRUE, FALSE)</f>
        <v>1</v>
      </c>
      <c r="G302" s="23" t="str">
        <f>'2.4.raw'!AQ302</f>
        <v>Sample collected by Suvankar Mandal, FB at PLc1068 site</v>
      </c>
    </row>
    <row r="303">
      <c r="A303" s="23" t="str">
        <f t="shared" si="2"/>
        <v>PLc1069</v>
      </c>
      <c r="B303" s="23" t="str">
        <f>'2.4.raw'!L303</f>
        <v>PLc1069</v>
      </c>
      <c r="C303" s="24">
        <f>datevalue(left('2.4.raw'!A303,10))</f>
        <v>43776</v>
      </c>
      <c r="D303" s="23">
        <f>'2.4.raw'!G303</f>
        <v>11</v>
      </c>
      <c r="E303" s="1">
        <v>2.4</v>
      </c>
      <c r="F303" s="23" t="b">
        <f>if(countif(Status!C:C,A303)=1,TRUE, FALSE)</f>
        <v>1</v>
      </c>
      <c r="G303" s="23" t="str">
        <f>'2.4.raw'!AQ303</f>
        <v>Sample collected by Somnath Sarkar</v>
      </c>
    </row>
    <row r="304">
      <c r="A304" s="23" t="str">
        <f t="shared" si="2"/>
        <v>FB1120</v>
      </c>
      <c r="B304" s="23" t="str">
        <f>'2.4.raw'!L304</f>
        <v>FB1120</v>
      </c>
      <c r="C304" s="24">
        <f>datevalue(left('2.4.raw'!A304,10))</f>
        <v>43776</v>
      </c>
      <c r="D304" s="23">
        <f>'2.4.raw'!G304</f>
        <v>99</v>
      </c>
      <c r="E304" s="1">
        <v>2.4</v>
      </c>
      <c r="F304" s="23" t="b">
        <f>if(countif(Status!C:C,A304)=1,TRUE, FALSE)</f>
        <v>1</v>
      </c>
      <c r="G304" s="23" t="str">
        <f>'2.4.raw'!AQ304</f>
        <v>Sample collected by Somnath Sarkar, FB at PLc1069 site</v>
      </c>
    </row>
    <row r="305">
      <c r="A305" s="23" t="str">
        <f t="shared" si="2"/>
        <v>PLc1070</v>
      </c>
      <c r="B305" s="23" t="str">
        <f>'2.4.raw'!L305</f>
        <v>PLc1070</v>
      </c>
      <c r="C305" s="24">
        <f>datevalue(left('2.4.raw'!A305,10))</f>
        <v>43776</v>
      </c>
      <c r="D305" s="23">
        <f>'2.4.raw'!G305</f>
        <v>11</v>
      </c>
      <c r="E305" s="1">
        <v>2.4</v>
      </c>
      <c r="F305" s="23" t="b">
        <f>if(countif(Status!C:C,A305)=1,TRUE, FALSE)</f>
        <v>1</v>
      </c>
      <c r="G305" s="23" t="str">
        <f>'2.4.raw'!AQ305</f>
        <v>Sample collected by Buddhadeb Samaddar</v>
      </c>
    </row>
    <row r="306">
      <c r="A306" s="23" t="str">
        <f t="shared" si="2"/>
        <v>FB1121</v>
      </c>
      <c r="B306" s="23" t="str">
        <f>'2.4.raw'!L306</f>
        <v>FB1121</v>
      </c>
      <c r="C306" s="24">
        <f>datevalue(left('2.4.raw'!A306,10))</f>
        <v>43776</v>
      </c>
      <c r="D306" s="23">
        <f>'2.4.raw'!G306</f>
        <v>99</v>
      </c>
      <c r="E306" s="1">
        <v>2.4</v>
      </c>
      <c r="F306" s="23" t="b">
        <f>if(countif(Status!C:C,A306)=1,TRUE, FALSE)</f>
        <v>1</v>
      </c>
      <c r="G306" s="23" t="str">
        <f>'2.4.raw'!AQ306</f>
        <v>Sample collected by Buddhadeb Samaddar, FB at PLc1070 site</v>
      </c>
    </row>
    <row r="307">
      <c r="A307" s="23" t="str">
        <f t="shared" si="2"/>
        <v>PLc1071</v>
      </c>
      <c r="B307" s="23" t="str">
        <f>'2.4.raw'!L307</f>
        <v>PLc1071</v>
      </c>
      <c r="C307" s="24">
        <f>datevalue(left('2.4.raw'!A307,10))</f>
        <v>43776</v>
      </c>
      <c r="D307" s="23">
        <f>'2.4.raw'!G307</f>
        <v>11</v>
      </c>
      <c r="E307" s="1">
        <v>2.4</v>
      </c>
      <c r="F307" s="23" t="b">
        <f>if(countif(Status!C:C,A307)=1,TRUE, FALSE)</f>
        <v>1</v>
      </c>
      <c r="G307" s="23" t="str">
        <f>'2.4.raw'!AQ307</f>
        <v>Sample collected by Biplab Jash</v>
      </c>
    </row>
    <row r="308">
      <c r="A308" s="23" t="str">
        <f t="shared" si="2"/>
        <v>FB1122</v>
      </c>
      <c r="B308" s="23" t="str">
        <f>'2.4.raw'!L308</f>
        <v>FB1122</v>
      </c>
      <c r="C308" s="24">
        <f>datevalue(left('2.4.raw'!A308,10))</f>
        <v>43776</v>
      </c>
      <c r="D308" s="23">
        <f>'2.4.raw'!G308</f>
        <v>99</v>
      </c>
      <c r="E308" s="1">
        <v>2.4</v>
      </c>
      <c r="F308" s="23" t="b">
        <f>if(countif(Status!C:C,A308)=1,TRUE, FALSE)</f>
        <v>1</v>
      </c>
      <c r="G308" s="23" t="str">
        <f>'2.4.raw'!AQ308</f>
        <v>Sample collected by Biplab Jash, FB at PLc1071 site</v>
      </c>
    </row>
    <row r="309">
      <c r="A309" s="23" t="str">
        <f t="shared" si="2"/>
        <v>PLc1072</v>
      </c>
      <c r="B309" s="23" t="str">
        <f>'2.4.raw'!L309</f>
        <v>PLc1072</v>
      </c>
      <c r="C309" s="24">
        <f>datevalue(left('2.4.raw'!A309,10))</f>
        <v>43776</v>
      </c>
      <c r="D309" s="23">
        <f>'2.4.raw'!G309</f>
        <v>11</v>
      </c>
      <c r="E309" s="1">
        <v>2.4</v>
      </c>
      <c r="F309" s="23" t="b">
        <f>if(countif(Status!C:C,A309)=1,TRUE, FALSE)</f>
        <v>1</v>
      </c>
      <c r="G309" s="23" t="str">
        <f>'2.4.raw'!AQ309</f>
        <v>Sample collected by Somnath Sarkar</v>
      </c>
    </row>
    <row r="310">
      <c r="A310" s="23" t="str">
        <f t="shared" si="2"/>
        <v>FB1123</v>
      </c>
      <c r="B310" s="23" t="str">
        <f>'2.4.raw'!L310</f>
        <v>FB1123</v>
      </c>
      <c r="C310" s="24">
        <f>datevalue(left('2.4.raw'!A310,10))</f>
        <v>43776</v>
      </c>
      <c r="D310" s="23">
        <f>'2.4.raw'!G310</f>
        <v>99</v>
      </c>
      <c r="E310" s="1">
        <v>2.4</v>
      </c>
      <c r="F310" s="23" t="b">
        <f>if(countif(Status!C:C,A310)=1,TRUE, FALSE)</f>
        <v>1</v>
      </c>
      <c r="G310" s="23" t="str">
        <f>'2.4.raw'!AQ310</f>
        <v>Sample collected by Somnath Sarkar, FB at PLc1072 site</v>
      </c>
    </row>
    <row r="311">
      <c r="A311" s="23" t="str">
        <f t="shared" si="2"/>
        <v>MO1115</v>
      </c>
      <c r="B311" s="23" t="str">
        <f>'2.4.raw'!L311</f>
        <v>MO1115</v>
      </c>
      <c r="C311" s="24">
        <f>datevalue(left('2.4.raw'!A311,10))</f>
        <v>43776</v>
      </c>
      <c r="D311" s="23">
        <f>'2.4.raw'!G311</f>
        <v>12</v>
      </c>
      <c r="E311" s="1">
        <v>2.4</v>
      </c>
      <c r="F311" s="23" t="b">
        <f>if(countif(Status!C:C,A311)=1,TRUE, FALSE)</f>
        <v>1</v>
      </c>
      <c r="G311" s="23" t="str">
        <f>'2.4.raw'!AQ311</f>
        <v>Sample collected by Debabrata Maity</v>
      </c>
    </row>
    <row r="312">
      <c r="A312" s="23" t="str">
        <f t="shared" si="2"/>
        <v>FB1124</v>
      </c>
      <c r="B312" s="23" t="str">
        <f>'2.4.raw'!L312</f>
        <v>FB1124</v>
      </c>
      <c r="C312" s="24">
        <f>datevalue(left('2.4.raw'!A312,10))</f>
        <v>43776</v>
      </c>
      <c r="D312" s="23">
        <f>'2.4.raw'!G312</f>
        <v>99</v>
      </c>
      <c r="E312" s="1">
        <v>2.4</v>
      </c>
      <c r="F312" s="23" t="b">
        <f>if(countif(Status!C:C,A312)=1,TRUE, FALSE)</f>
        <v>1</v>
      </c>
      <c r="G312" s="23" t="str">
        <f>'2.4.raw'!AQ312</f>
        <v>Sample collected by Debabrata Maity, FB at MO1115 site</v>
      </c>
    </row>
    <row r="313">
      <c r="A313" s="23" t="str">
        <f t="shared" si="2"/>
        <v>MO1114</v>
      </c>
      <c r="B313" s="23" t="str">
        <f>'2.4.raw'!L313</f>
        <v>MO1114</v>
      </c>
      <c r="C313" s="24">
        <f>datevalue(left('2.4.raw'!A313,10))</f>
        <v>43776</v>
      </c>
      <c r="D313" s="23">
        <f>'2.4.raw'!G313</f>
        <v>12</v>
      </c>
      <c r="E313" s="1">
        <v>2.4</v>
      </c>
      <c r="F313" s="23" t="b">
        <f>if(countif(Status!C:C,A313)=1,TRUE, FALSE)</f>
        <v>1</v>
      </c>
      <c r="G313" s="23" t="str">
        <f>'2.4.raw'!AQ313</f>
        <v>Sample collected by Biplab Jash</v>
      </c>
    </row>
    <row r="314">
      <c r="A314" s="23" t="str">
        <f t="shared" si="2"/>
        <v>FB1125</v>
      </c>
      <c r="B314" s="23" t="str">
        <f>'2.4.raw'!L314</f>
        <v>FB1125</v>
      </c>
      <c r="C314" s="24">
        <f>datevalue(left('2.4.raw'!A314,10))</f>
        <v>43776</v>
      </c>
      <c r="D314" s="23">
        <f>'2.4.raw'!G314</f>
        <v>99</v>
      </c>
      <c r="E314" s="1">
        <v>2.4</v>
      </c>
      <c r="F314" s="23" t="b">
        <f>if(countif(Status!C:C,A314)=1,TRUE, FALSE)</f>
        <v>1</v>
      </c>
      <c r="G314" s="23" t="str">
        <f>'2.4.raw'!AQ314</f>
        <v>Sample collected by Biplab Jash, FB at MO1114 site</v>
      </c>
    </row>
    <row r="315">
      <c r="A315" s="23" t="str">
        <f t="shared" si="2"/>
        <v>PLc1073</v>
      </c>
      <c r="B315" s="23" t="str">
        <f>'2.4.raw'!L315</f>
        <v>PLc1073</v>
      </c>
      <c r="C315" s="24">
        <f>datevalue(left('2.4.raw'!A315,10))</f>
        <v>43777</v>
      </c>
      <c r="D315" s="23">
        <f>'2.4.raw'!G315</f>
        <v>11</v>
      </c>
      <c r="E315" s="1">
        <v>2.4</v>
      </c>
      <c r="F315" s="23" t="b">
        <f>if(countif(Status!C:C,A315)=1,TRUE, FALSE)</f>
        <v>1</v>
      </c>
      <c r="G315" s="23" t="str">
        <f>'2.4.raw'!AQ315</f>
        <v>Sample collected by Suvankar Mandal</v>
      </c>
    </row>
    <row r="316">
      <c r="A316" s="23" t="str">
        <f t="shared" si="2"/>
        <v>FB1127</v>
      </c>
      <c r="B316" s="23" t="str">
        <f>'2.4.raw'!L316</f>
        <v>FB1127</v>
      </c>
      <c r="C316" s="24">
        <f>datevalue(left('2.4.raw'!A316,10))</f>
        <v>43777</v>
      </c>
      <c r="D316" s="23">
        <f>'2.4.raw'!G316</f>
        <v>99</v>
      </c>
      <c r="E316" s="1">
        <v>2.4</v>
      </c>
      <c r="F316" s="23" t="b">
        <f>if(countif(Status!C:C,A316)=1,TRUE, FALSE)</f>
        <v>1</v>
      </c>
      <c r="G316" s="23" t="str">
        <f>'2.4.raw'!AQ316</f>
        <v>Sample collected by Suvankar Mandal, FB at PLc1073 site</v>
      </c>
    </row>
    <row r="317">
      <c r="A317" s="23" t="str">
        <f t="shared" si="2"/>
        <v>PLc1074</v>
      </c>
      <c r="B317" s="23" t="str">
        <f>'2.4.raw'!L317</f>
        <v>PLc1074</v>
      </c>
      <c r="C317" s="24">
        <f>datevalue(left('2.4.raw'!A317,10))</f>
        <v>43777</v>
      </c>
      <c r="D317" s="23">
        <f>'2.4.raw'!G317</f>
        <v>11</v>
      </c>
      <c r="E317" s="1">
        <v>2.4</v>
      </c>
      <c r="F317" s="23" t="b">
        <f>if(countif(Status!C:C,A317)=1,TRUE, FALSE)</f>
        <v>1</v>
      </c>
      <c r="G317" s="23" t="str">
        <f>'2.4.raw'!AQ317</f>
        <v>Sample collected by Somnath Sarkar</v>
      </c>
    </row>
    <row r="318">
      <c r="A318" s="23" t="str">
        <f t="shared" si="2"/>
        <v>FB1128</v>
      </c>
      <c r="B318" s="23" t="str">
        <f>'2.4.raw'!L318</f>
        <v>FB1128</v>
      </c>
      <c r="C318" s="24">
        <f>datevalue(left('2.4.raw'!A318,10))</f>
        <v>43777</v>
      </c>
      <c r="D318" s="23">
        <f>'2.4.raw'!G318</f>
        <v>99</v>
      </c>
      <c r="E318" s="1">
        <v>2.4</v>
      </c>
      <c r="F318" s="23" t="b">
        <f>if(countif(Status!C:C,A318)=1,TRUE, FALSE)</f>
        <v>1</v>
      </c>
      <c r="G318" s="23" t="str">
        <f>'2.4.raw'!AQ318</f>
        <v>Sample collected by Somnath Sarkar, FB at PLc1074 site</v>
      </c>
    </row>
    <row r="319">
      <c r="A319" s="23" t="str">
        <f t="shared" si="2"/>
        <v>PLc1075</v>
      </c>
      <c r="B319" s="23" t="str">
        <f>'2.4.raw'!L319</f>
        <v>PLc1075</v>
      </c>
      <c r="C319" s="24">
        <f>datevalue(left('2.4.raw'!A319,10))</f>
        <v>43777</v>
      </c>
      <c r="D319" s="23">
        <f>'2.4.raw'!G319</f>
        <v>11</v>
      </c>
      <c r="E319" s="1">
        <v>2.4</v>
      </c>
      <c r="F319" s="23" t="b">
        <f>if(countif(Status!C:C,A319)=1,TRUE, FALSE)</f>
        <v>1</v>
      </c>
      <c r="G319" s="23" t="str">
        <f>'2.4.raw'!AQ319</f>
        <v>Sample collected by Suvankar Mandal</v>
      </c>
    </row>
    <row r="320">
      <c r="A320" s="23" t="str">
        <f t="shared" si="2"/>
        <v>FB1129</v>
      </c>
      <c r="B320" s="23" t="str">
        <f>'2.4.raw'!L320</f>
        <v>FB1129</v>
      </c>
      <c r="C320" s="24">
        <f>datevalue(left('2.4.raw'!A320,10))</f>
        <v>43777</v>
      </c>
      <c r="D320" s="23">
        <f>'2.4.raw'!G320</f>
        <v>99</v>
      </c>
      <c r="E320" s="1">
        <v>2.4</v>
      </c>
      <c r="F320" s="23" t="b">
        <f>if(countif(Status!C:C,A320)=1,TRUE, FALSE)</f>
        <v>1</v>
      </c>
      <c r="G320" s="23" t="str">
        <f>'2.4.raw'!AQ320</f>
        <v>Sample collected by Suvankar Mandal, FB at PLc1075 site</v>
      </c>
    </row>
    <row r="321">
      <c r="A321" s="23" t="str">
        <f t="shared" si="2"/>
        <v>MO1116</v>
      </c>
      <c r="B321" s="23" t="str">
        <f>'2.4.raw'!L321</f>
        <v>MO1116</v>
      </c>
      <c r="C321" s="24">
        <f>datevalue(left('2.4.raw'!A321,10))</f>
        <v>43783</v>
      </c>
      <c r="D321" s="23">
        <f>'2.4.raw'!G321</f>
        <v>12</v>
      </c>
      <c r="E321" s="1">
        <v>2.4</v>
      </c>
      <c r="F321" s="23" t="b">
        <f>if(countif(Status!C:C,A321)=1,TRUE, FALSE)</f>
        <v>1</v>
      </c>
      <c r="G321" s="23" t="str">
        <f>'2.4.raw'!AQ321</f>
        <v>Sample collected by Buddhadeb Samaddar</v>
      </c>
    </row>
    <row r="322">
      <c r="A322" s="23" t="str">
        <f t="shared" si="2"/>
        <v>FB1130</v>
      </c>
      <c r="B322" s="23" t="str">
        <f>'2.4.raw'!L322</f>
        <v>FB1130</v>
      </c>
      <c r="C322" s="24">
        <f>datevalue(left('2.4.raw'!A322,10))</f>
        <v>43783</v>
      </c>
      <c r="D322" s="23">
        <f>'2.4.raw'!G322</f>
        <v>99</v>
      </c>
      <c r="E322" s="1">
        <v>2.4</v>
      </c>
      <c r="F322" s="23" t="b">
        <f>if(countif(Status!C:C,A322)=1,TRUE, FALSE)</f>
        <v>1</v>
      </c>
      <c r="G322" s="23" t="str">
        <f>'2.4.raw'!AQ322</f>
        <v>Sample collected by Somnath Sarkar</v>
      </c>
    </row>
    <row r="323">
      <c r="A323" s="23" t="str">
        <f t="shared" si="2"/>
        <v>MO1117</v>
      </c>
      <c r="B323" s="23" t="str">
        <f>'2.4.raw'!L323</f>
        <v>MO1117</v>
      </c>
      <c r="C323" s="24">
        <f>datevalue(left('2.4.raw'!A323,10))</f>
        <v>43783</v>
      </c>
      <c r="D323" s="23">
        <f>'2.4.raw'!G323</f>
        <v>12</v>
      </c>
      <c r="E323" s="1">
        <v>2.4</v>
      </c>
      <c r="F323" s="23" t="b">
        <f>if(countif(Status!C:C,A323)=1,TRUE, FALSE)</f>
        <v>1</v>
      </c>
      <c r="G323" s="23" t="str">
        <f>'2.4.raw'!AQ323</f>
        <v>Sample collected by Biplab Jash</v>
      </c>
    </row>
    <row r="324">
      <c r="A324" s="23" t="str">
        <f t="shared" si="2"/>
        <v>FB1131</v>
      </c>
      <c r="B324" s="23" t="str">
        <f>'2.4.raw'!L324</f>
        <v>FB1131</v>
      </c>
      <c r="C324" s="24">
        <f>datevalue(left('2.4.raw'!A324,10))</f>
        <v>43783</v>
      </c>
      <c r="D324" s="23">
        <f>'2.4.raw'!G324</f>
        <v>99</v>
      </c>
      <c r="E324" s="1">
        <v>2.4</v>
      </c>
      <c r="F324" s="23" t="b">
        <f>if(countif(Status!C:C,A324)=1,TRUE, FALSE)</f>
        <v>1</v>
      </c>
      <c r="G324" s="23" t="str">
        <f>'2.4.raw'!AQ324</f>
        <v>Sample collected by Asish Saha</v>
      </c>
    </row>
    <row r="325">
      <c r="A325" s="23" t="str">
        <f t="shared" si="2"/>
        <v>PLc1076</v>
      </c>
      <c r="B325" s="23" t="str">
        <f>'2.4.raw'!L325</f>
        <v>PLc1076</v>
      </c>
      <c r="C325" s="24">
        <f>datevalue(left('2.4.raw'!A325,10))</f>
        <v>43784</v>
      </c>
      <c r="D325" s="23">
        <f>'2.4.raw'!G325</f>
        <v>11</v>
      </c>
      <c r="E325" s="1">
        <v>2.4</v>
      </c>
      <c r="F325" s="23" t="b">
        <f>if(countif(Status!C:C,A325)=1,TRUE, FALSE)</f>
        <v>1</v>
      </c>
      <c r="G325" s="23" t="str">
        <f>'2.4.raw'!AQ325</f>
        <v>Sample collected by Buddhadeb Samaddar</v>
      </c>
    </row>
    <row r="326">
      <c r="A326" s="23" t="str">
        <f t="shared" si="2"/>
        <v>FB1132</v>
      </c>
      <c r="B326" s="23" t="str">
        <f>'2.4.raw'!L326</f>
        <v>FB1132</v>
      </c>
      <c r="C326" s="24">
        <f>datevalue(left('2.4.raw'!A326,10))</f>
        <v>43784</v>
      </c>
      <c r="D326" s="23">
        <f>'2.4.raw'!G326</f>
        <v>99</v>
      </c>
      <c r="E326" s="1">
        <v>2.4</v>
      </c>
      <c r="F326" s="23" t="b">
        <f>if(countif(Status!C:C,A326)=1,TRUE, FALSE)</f>
        <v>1</v>
      </c>
      <c r="G326" s="23" t="str">
        <f>'2.4.raw'!AQ326</f>
        <v>Sample collected by Buddhadeb Samaddar</v>
      </c>
    </row>
    <row r="327">
      <c r="A327" s="23" t="str">
        <f t="shared" si="2"/>
        <v>PLc1077</v>
      </c>
      <c r="B327" s="23" t="str">
        <f>'2.4.raw'!L327</f>
        <v>PLc1077</v>
      </c>
      <c r="C327" s="24">
        <f>datevalue(left('2.4.raw'!A327,10))</f>
        <v>43784</v>
      </c>
      <c r="D327" s="23">
        <f>'2.4.raw'!G327</f>
        <v>11</v>
      </c>
      <c r="E327" s="1">
        <v>2.4</v>
      </c>
      <c r="F327" s="23" t="b">
        <f>if(countif(Status!C:C,A327)=1,TRUE, FALSE)</f>
        <v>1</v>
      </c>
      <c r="G327" s="23" t="str">
        <f>'2.4.raw'!AQ327</f>
        <v>Sample collected by Suvankar Mandal</v>
      </c>
    </row>
    <row r="328">
      <c r="A328" s="23" t="str">
        <f t="shared" si="2"/>
        <v>FB1133</v>
      </c>
      <c r="B328" s="23" t="str">
        <f>'2.4.raw'!L328</f>
        <v>FB1133</v>
      </c>
      <c r="C328" s="24">
        <f>datevalue(left('2.4.raw'!A328,10))</f>
        <v>43784</v>
      </c>
      <c r="D328" s="23">
        <f>'2.4.raw'!G328</f>
        <v>99</v>
      </c>
      <c r="E328" s="1">
        <v>2.4</v>
      </c>
      <c r="F328" s="23" t="b">
        <f>if(countif(Status!C:C,A328)=1,TRUE, FALSE)</f>
        <v>1</v>
      </c>
      <c r="G328" s="23" t="str">
        <f>'2.4.raw'!AQ328</f>
        <v>Sample collected by Suvankar Mandal</v>
      </c>
    </row>
    <row r="329">
      <c r="A329" s="23" t="str">
        <f t="shared" si="2"/>
        <v>PLc1078</v>
      </c>
      <c r="B329" s="23" t="str">
        <f>'2.4.raw'!L329</f>
        <v>PLc1078</v>
      </c>
      <c r="C329" s="24">
        <f>datevalue(left('2.4.raw'!A329,10))</f>
        <v>43784</v>
      </c>
      <c r="D329" s="23">
        <f>'2.4.raw'!G329</f>
        <v>11</v>
      </c>
      <c r="E329" s="1">
        <v>2.4</v>
      </c>
      <c r="F329" s="23" t="b">
        <f>if(countif(Status!C:C,A329)=1,TRUE, FALSE)</f>
        <v>1</v>
      </c>
      <c r="G329" s="23" t="str">
        <f>'2.4.raw'!AQ329</f>
        <v>Sample collected by Biplab Jash</v>
      </c>
    </row>
    <row r="330">
      <c r="A330" s="23" t="str">
        <f t="shared" si="2"/>
        <v>FB1134</v>
      </c>
      <c r="B330" s="23" t="str">
        <f>'2.4.raw'!L330</f>
        <v>FB1134</v>
      </c>
      <c r="C330" s="24">
        <f>datevalue(left('2.4.raw'!A330,10))</f>
        <v>43784</v>
      </c>
      <c r="D330" s="23">
        <f>'2.4.raw'!G330</f>
        <v>99</v>
      </c>
      <c r="E330" s="1">
        <v>2.4</v>
      </c>
      <c r="F330" s="23" t="b">
        <f>if(countif(Status!C:C,A330)=1,TRUE, FALSE)</f>
        <v>1</v>
      </c>
      <c r="G330" s="23" t="str">
        <f>'2.4.raw'!AQ330</f>
        <v>Sample collected by Biplab Jash, FB at PLc1078 site</v>
      </c>
    </row>
    <row r="331">
      <c r="A331" s="23" t="str">
        <f t="shared" si="2"/>
        <v>PLc1079</v>
      </c>
      <c r="B331" s="23" t="str">
        <f>'2.4.raw'!L331</f>
        <v>PLc1079</v>
      </c>
      <c r="C331" s="24">
        <f>datevalue(left('2.4.raw'!A331,10))</f>
        <v>43784</v>
      </c>
      <c r="D331" s="23">
        <f>'2.4.raw'!G331</f>
        <v>11</v>
      </c>
      <c r="E331" s="1">
        <v>2.4</v>
      </c>
      <c r="F331" s="23" t="b">
        <f>if(countif(Status!C:C,A331)=1,TRUE, FALSE)</f>
        <v>1</v>
      </c>
      <c r="G331" s="23" t="str">
        <f>'2.4.raw'!AQ331</f>
        <v>Sample collected by Suvankar Mandal</v>
      </c>
    </row>
    <row r="332">
      <c r="A332" s="23" t="str">
        <f t="shared" si="2"/>
        <v>FB1135</v>
      </c>
      <c r="B332" s="23" t="str">
        <f>'2.4.raw'!L332</f>
        <v>FB1135</v>
      </c>
      <c r="C332" s="24">
        <f>datevalue(left('2.4.raw'!A332,10))</f>
        <v>43784</v>
      </c>
      <c r="D332" s="23">
        <f>'2.4.raw'!G332</f>
        <v>99</v>
      </c>
      <c r="E332" s="1">
        <v>2.4</v>
      </c>
      <c r="F332" s="23" t="b">
        <f>if(countif(Status!C:C,A332)=1,TRUE, FALSE)</f>
        <v>1</v>
      </c>
      <c r="G332" s="23" t="str">
        <f>'2.4.raw'!AQ332</f>
        <v>Sample collected by Suvankar Mandal, FB at PLc1079 site</v>
      </c>
    </row>
    <row r="333">
      <c r="A333" s="23" t="str">
        <f t="shared" si="2"/>
        <v>PLc1080</v>
      </c>
      <c r="B333" s="23" t="str">
        <f>'2.4.raw'!L333</f>
        <v>PLc1080</v>
      </c>
      <c r="C333" s="24">
        <f>datevalue(left('2.4.raw'!A333,10))</f>
        <v>43784</v>
      </c>
      <c r="D333" s="23">
        <f>'2.4.raw'!G333</f>
        <v>11</v>
      </c>
      <c r="E333" s="1">
        <v>2.4</v>
      </c>
      <c r="F333" s="23" t="b">
        <f>if(countif(Status!C:C,A333)=1,TRUE, FALSE)</f>
        <v>1</v>
      </c>
      <c r="G333" s="23" t="str">
        <f>'2.4.raw'!AQ333</f>
        <v>Sample collected by Suvankar Mandal</v>
      </c>
    </row>
    <row r="334">
      <c r="A334" s="23" t="str">
        <f t="shared" si="2"/>
        <v>FB1136</v>
      </c>
      <c r="B334" s="23" t="str">
        <f>'2.4.raw'!L334</f>
        <v>FB1136</v>
      </c>
      <c r="C334" s="24">
        <f>datevalue(left('2.4.raw'!A334,10))</f>
        <v>43784</v>
      </c>
      <c r="D334" s="23">
        <f>'2.4.raw'!G334</f>
        <v>99</v>
      </c>
      <c r="E334" s="1">
        <v>2.4</v>
      </c>
      <c r="F334" s="23" t="b">
        <f>if(countif(Status!C:C,A334)=1,TRUE, FALSE)</f>
        <v>1</v>
      </c>
      <c r="G334" s="23" t="str">
        <f>'2.4.raw'!AQ334</f>
        <v>Sample collected by Suvankar Mandal, FB at PLc1080 site</v>
      </c>
    </row>
    <row r="335">
      <c r="A335" s="23" t="str">
        <f t="shared" si="2"/>
        <v>PLc1081</v>
      </c>
      <c r="B335" s="23" t="str">
        <f>'2.4.raw'!L335</f>
        <v>PLc1081</v>
      </c>
      <c r="C335" s="24">
        <f>datevalue(left('2.4.raw'!A335,10))</f>
        <v>43787</v>
      </c>
      <c r="D335" s="23">
        <f>'2.4.raw'!G335</f>
        <v>11</v>
      </c>
      <c r="E335" s="1">
        <v>2.4</v>
      </c>
      <c r="F335" s="23" t="b">
        <f>if(countif(Status!C:C,A335)=1,TRUE, FALSE)</f>
        <v>1</v>
      </c>
      <c r="G335" s="23" t="str">
        <f>'2.4.raw'!AQ335</f>
        <v>Sample collected by Asish Saha</v>
      </c>
    </row>
    <row r="336">
      <c r="A336" s="23" t="str">
        <f t="shared" si="2"/>
        <v>FB1138</v>
      </c>
      <c r="B336" s="23" t="str">
        <f>'2.4.raw'!L336</f>
        <v>FB1138</v>
      </c>
      <c r="C336" s="24">
        <f>datevalue(left('2.4.raw'!A336,10))</f>
        <v>43787</v>
      </c>
      <c r="D336" s="23">
        <f>'2.4.raw'!G336</f>
        <v>99</v>
      </c>
      <c r="E336" s="1">
        <v>2.4</v>
      </c>
      <c r="F336" s="23" t="b">
        <f>if(countif(Status!C:C,A336)=1,TRUE, FALSE)</f>
        <v>1</v>
      </c>
      <c r="G336" s="23" t="str">
        <f>'2.4.raw'!AQ336</f>
        <v>Sample collected by Asish Saha, FB at PLc1081 site</v>
      </c>
    </row>
    <row r="337">
      <c r="A337" s="23" t="str">
        <f t="shared" si="2"/>
        <v>PLc1082</v>
      </c>
      <c r="B337" s="23" t="str">
        <f>'2.4.raw'!L337</f>
        <v>PLc1082</v>
      </c>
      <c r="C337" s="24">
        <f>datevalue(left('2.4.raw'!A337,10))</f>
        <v>43787</v>
      </c>
      <c r="D337" s="23">
        <f>'2.4.raw'!G337</f>
        <v>11</v>
      </c>
      <c r="E337" s="1">
        <v>2.4</v>
      </c>
      <c r="F337" s="23" t="b">
        <f>if(countif(Status!C:C,A337)=1,TRUE, FALSE)</f>
        <v>1</v>
      </c>
      <c r="G337" s="23" t="str">
        <f>'2.4.raw'!AQ337</f>
        <v>Sample collected by Suvankar Mandal</v>
      </c>
    </row>
    <row r="338">
      <c r="A338" s="23" t="str">
        <f t="shared" si="2"/>
        <v>FB1139</v>
      </c>
      <c r="B338" s="23" t="str">
        <f>'2.4.raw'!L338</f>
        <v>FB1139</v>
      </c>
      <c r="C338" s="24">
        <f>datevalue(left('2.4.raw'!A338,10))</f>
        <v>43787</v>
      </c>
      <c r="D338" s="23">
        <f>'2.4.raw'!G338</f>
        <v>99</v>
      </c>
      <c r="E338" s="1">
        <v>2.4</v>
      </c>
      <c r="F338" s="23" t="b">
        <f>if(countif(Status!C:C,A338)=1,TRUE, FALSE)</f>
        <v>1</v>
      </c>
      <c r="G338" s="23" t="str">
        <f>'2.4.raw'!AQ338</f>
        <v>Sample collected by Suvankar Mandal, FB at PLc1082 site</v>
      </c>
    </row>
    <row r="339">
      <c r="A339" s="23" t="str">
        <f t="shared" si="2"/>
        <v>PLc1083</v>
      </c>
      <c r="B339" s="23" t="str">
        <f>'2.4.raw'!L339</f>
        <v>PLc1083</v>
      </c>
      <c r="C339" s="24">
        <f>datevalue(left('2.4.raw'!A339,10))</f>
        <v>43787</v>
      </c>
      <c r="D339" s="23">
        <f>'2.4.raw'!G339</f>
        <v>11</v>
      </c>
      <c r="E339" s="1">
        <v>2.4</v>
      </c>
      <c r="F339" s="23" t="b">
        <f>if(countif(Status!C:C,A339)=1,TRUE, FALSE)</f>
        <v>1</v>
      </c>
      <c r="G339" s="23" t="str">
        <f>'2.4.raw'!AQ339</f>
        <v>Sample collected by Buddhadeb Samaddar</v>
      </c>
    </row>
    <row r="340">
      <c r="A340" s="23" t="str">
        <f t="shared" si="2"/>
        <v>FB1140</v>
      </c>
      <c r="B340" s="23" t="str">
        <f>'2.4.raw'!L340</f>
        <v>FB1140</v>
      </c>
      <c r="C340" s="24">
        <f>datevalue(left('2.4.raw'!A340,10))</f>
        <v>43787</v>
      </c>
      <c r="D340" s="23">
        <f>'2.4.raw'!G340</f>
        <v>99</v>
      </c>
      <c r="E340" s="1">
        <v>2.4</v>
      </c>
      <c r="F340" s="23" t="b">
        <f>if(countif(Status!C:C,A340)=1,TRUE, FALSE)</f>
        <v>1</v>
      </c>
      <c r="G340" s="23" t="str">
        <f>'2.4.raw'!AQ340</f>
        <v>Sample collected by Buddhadeb Samaddar, FB at PLc1083 site</v>
      </c>
    </row>
    <row r="341">
      <c r="A341" s="23" t="str">
        <f t="shared" si="2"/>
        <v>PLc1084</v>
      </c>
      <c r="B341" s="23" t="str">
        <f>'2.4.raw'!L341</f>
        <v>PLc1084</v>
      </c>
      <c r="C341" s="24">
        <f>datevalue(left('2.4.raw'!A341,10))</f>
        <v>43787</v>
      </c>
      <c r="D341" s="23">
        <f>'2.4.raw'!G341</f>
        <v>11</v>
      </c>
      <c r="E341" s="1">
        <v>2.4</v>
      </c>
      <c r="F341" s="23" t="b">
        <f>if(countif(Status!C:C,A341)=1,TRUE, FALSE)</f>
        <v>1</v>
      </c>
      <c r="G341" s="23" t="str">
        <f>'2.4.raw'!AQ341</f>
        <v>Sample collected by Suvankar Mandal</v>
      </c>
    </row>
    <row r="342">
      <c r="A342" s="23" t="str">
        <f t="shared" si="2"/>
        <v>FB1141</v>
      </c>
      <c r="B342" s="23" t="str">
        <f>'2.4.raw'!L342</f>
        <v>FB1141</v>
      </c>
      <c r="C342" s="24">
        <f>datevalue(left('2.4.raw'!A342,10))</f>
        <v>43787</v>
      </c>
      <c r="D342" s="23">
        <f>'2.4.raw'!G342</f>
        <v>99</v>
      </c>
      <c r="E342" s="1">
        <v>2.4</v>
      </c>
      <c r="F342" s="23" t="b">
        <f>if(countif(Status!C:C,A342)=1,TRUE, FALSE)</f>
        <v>1</v>
      </c>
      <c r="G342" s="23" t="str">
        <f>'2.4.raw'!AQ342</f>
        <v>Sample collected by Suvankar Mandal, FB at PLc1084 site</v>
      </c>
    </row>
    <row r="343">
      <c r="A343" s="23" t="str">
        <f t="shared" si="2"/>
        <v>PLc1085</v>
      </c>
      <c r="B343" s="23" t="str">
        <f>'2.4.raw'!L343</f>
        <v>PLc1085</v>
      </c>
      <c r="C343" s="24">
        <f>datevalue(left('2.4.raw'!A343,10))</f>
        <v>43788</v>
      </c>
      <c r="D343" s="23">
        <f>'2.4.raw'!G343</f>
        <v>11</v>
      </c>
      <c r="E343" s="1">
        <v>2.4</v>
      </c>
      <c r="F343" s="23" t="b">
        <f>if(countif(Status!C:C,A343)=1,TRUE, FALSE)</f>
        <v>1</v>
      </c>
      <c r="G343" s="23" t="str">
        <f>'2.4.raw'!AQ343</f>
        <v>Sample collected by Suvankar Mandal</v>
      </c>
    </row>
    <row r="344">
      <c r="A344" s="23" t="str">
        <f t="shared" si="2"/>
        <v>FB1142</v>
      </c>
      <c r="B344" s="23" t="str">
        <f>'2.4.raw'!L344</f>
        <v>FB1142</v>
      </c>
      <c r="C344" s="24">
        <f>datevalue(left('2.4.raw'!A344,10))</f>
        <v>43788</v>
      </c>
      <c r="D344" s="23">
        <f>'2.4.raw'!G344</f>
        <v>99</v>
      </c>
      <c r="E344" s="1">
        <v>2.4</v>
      </c>
      <c r="F344" s="23" t="b">
        <f>if(countif(Status!C:C,A344)=1,TRUE, FALSE)</f>
        <v>1</v>
      </c>
      <c r="G344" s="23" t="str">
        <f>'2.4.raw'!AQ344</f>
        <v>Sample collected by Suvankar Mandal, FB at PLc1085 site</v>
      </c>
    </row>
    <row r="345">
      <c r="A345" s="23" t="str">
        <f t="shared" si="2"/>
        <v>PLc1086</v>
      </c>
      <c r="B345" s="23" t="str">
        <f>'2.4.raw'!L345</f>
        <v>PLc1086</v>
      </c>
      <c r="C345" s="24">
        <f>datevalue(left('2.4.raw'!A345,10))</f>
        <v>43788</v>
      </c>
      <c r="D345" s="23">
        <f>'2.4.raw'!G345</f>
        <v>11</v>
      </c>
      <c r="E345" s="1">
        <v>2.4</v>
      </c>
      <c r="F345" s="23" t="b">
        <f>if(countif(Status!C:C,A345)=1,TRUE, FALSE)</f>
        <v>1</v>
      </c>
      <c r="G345" s="23" t="str">
        <f>'2.4.raw'!AQ345</f>
        <v>Sample collected by Somnath Sarkar</v>
      </c>
    </row>
    <row r="346">
      <c r="A346" s="23" t="str">
        <f t="shared" si="2"/>
        <v>FB1143</v>
      </c>
      <c r="B346" s="23" t="str">
        <f>'2.4.raw'!L346</f>
        <v>FB1143</v>
      </c>
      <c r="C346" s="24">
        <f>datevalue(left('2.4.raw'!A346,10))</f>
        <v>43788</v>
      </c>
      <c r="D346" s="23">
        <f>'2.4.raw'!G346</f>
        <v>99</v>
      </c>
      <c r="E346" s="1">
        <v>2.4</v>
      </c>
      <c r="F346" s="23" t="b">
        <f>if(countif(Status!C:C,A346)=1,TRUE, FALSE)</f>
        <v>1</v>
      </c>
      <c r="G346" s="23" t="str">
        <f>'2.4.raw'!AQ346</f>
        <v>Sample collected by Somnath Sarkar, FB at PLc1086 site</v>
      </c>
    </row>
    <row r="347">
      <c r="A347" s="23" t="str">
        <f t="shared" si="2"/>
        <v>PLc1087</v>
      </c>
      <c r="B347" s="23" t="str">
        <f>'2.4.raw'!L347</f>
        <v>PLc1087</v>
      </c>
      <c r="C347" s="24">
        <f>datevalue(left('2.4.raw'!A347,10))</f>
        <v>43788</v>
      </c>
      <c r="D347" s="23">
        <f>'2.4.raw'!G347</f>
        <v>11</v>
      </c>
      <c r="E347" s="1">
        <v>2.4</v>
      </c>
      <c r="F347" s="23" t="b">
        <f>if(countif(Status!C:C,A347)=1,TRUE, FALSE)</f>
        <v>1</v>
      </c>
      <c r="G347" s="23" t="str">
        <f>'2.4.raw'!AQ347</f>
        <v>Sample collected by Suvankar Mandal</v>
      </c>
    </row>
    <row r="348">
      <c r="A348" s="23" t="str">
        <f t="shared" si="2"/>
        <v>FB1144</v>
      </c>
      <c r="B348" s="23" t="str">
        <f>'2.4.raw'!L348</f>
        <v>FB1144</v>
      </c>
      <c r="C348" s="24">
        <f>datevalue(left('2.4.raw'!A348,10))</f>
        <v>43788</v>
      </c>
      <c r="D348" s="23">
        <f>'2.4.raw'!G348</f>
        <v>99</v>
      </c>
      <c r="E348" s="1">
        <v>2.4</v>
      </c>
      <c r="F348" s="23" t="b">
        <f>if(countif(Status!C:C,A348)=1,TRUE, FALSE)</f>
        <v>1</v>
      </c>
      <c r="G348" s="23" t="str">
        <f>'2.4.raw'!AQ348</f>
        <v>Sample collected by Suvankar Mandal, FB at PLc1087 site</v>
      </c>
    </row>
    <row r="349">
      <c r="A349" s="23" t="str">
        <f t="shared" si="2"/>
        <v>MO1118</v>
      </c>
      <c r="B349" s="23" t="str">
        <f>'2.4.raw'!L349</f>
        <v>MO1118</v>
      </c>
      <c r="C349" s="24">
        <f>datevalue(left('2.4.raw'!A349,10))</f>
        <v>43788</v>
      </c>
      <c r="D349" s="23">
        <f>'2.4.raw'!G349</f>
        <v>12</v>
      </c>
      <c r="E349" s="1">
        <v>2.4</v>
      </c>
      <c r="F349" s="23" t="b">
        <f>if(countif(Status!C:C,A349)=1,TRUE, FALSE)</f>
        <v>1</v>
      </c>
      <c r="G349" s="23" t="str">
        <f>'2.4.raw'!AQ349</f>
        <v>Sample collected by Biplab Jash</v>
      </c>
    </row>
    <row r="350">
      <c r="A350" s="23" t="str">
        <f t="shared" si="2"/>
        <v>FB1145</v>
      </c>
      <c r="B350" s="23" t="str">
        <f>'2.4.raw'!L350</f>
        <v>FB1145</v>
      </c>
      <c r="C350" s="24">
        <f>datevalue(left('2.4.raw'!A350,10))</f>
        <v>43788</v>
      </c>
      <c r="D350" s="23">
        <f>'2.4.raw'!G350</f>
        <v>99</v>
      </c>
      <c r="E350" s="1">
        <v>2.4</v>
      </c>
      <c r="F350" s="23" t="b">
        <f>if(countif(Status!C:C,A350)=1,TRUE, FALSE)</f>
        <v>1</v>
      </c>
      <c r="G350" s="23" t="str">
        <f>'2.4.raw'!AQ350</f>
        <v>Sample collected by Biplab Jash, FB at MO1118 site</v>
      </c>
    </row>
    <row r="351">
      <c r="A351" s="23" t="str">
        <f t="shared" si="2"/>
        <v>MO1119</v>
      </c>
      <c r="B351" s="23" t="str">
        <f>'2.4.raw'!L351</f>
        <v>MO1119</v>
      </c>
      <c r="C351" s="24">
        <f>datevalue(left('2.4.raw'!A351,10))</f>
        <v>43788</v>
      </c>
      <c r="D351" s="23">
        <f>'2.4.raw'!G351</f>
        <v>12</v>
      </c>
      <c r="E351" s="1">
        <v>2.4</v>
      </c>
      <c r="F351" s="23" t="b">
        <f>if(countif(Status!C:C,A351)=1,TRUE, FALSE)</f>
        <v>1</v>
      </c>
      <c r="G351" s="23" t="str">
        <f>'2.4.raw'!AQ351</f>
        <v>Sample collected by Buddhadeb Samaddar</v>
      </c>
    </row>
    <row r="352">
      <c r="A352" s="23" t="str">
        <f t="shared" si="2"/>
        <v>FB1146</v>
      </c>
      <c r="B352" s="23" t="str">
        <f>'2.4.raw'!L352</f>
        <v>FB1146</v>
      </c>
      <c r="C352" s="24">
        <f>datevalue(left('2.4.raw'!A352,10))</f>
        <v>43788</v>
      </c>
      <c r="D352" s="23">
        <f>'2.4.raw'!G352</f>
        <v>99</v>
      </c>
      <c r="E352" s="1">
        <v>2.4</v>
      </c>
      <c r="F352" s="23" t="b">
        <f>if(countif(Status!C:C,A352)=1,TRUE, FALSE)</f>
        <v>1</v>
      </c>
      <c r="G352" s="23" t="str">
        <f>'2.4.raw'!AQ352</f>
        <v>Sample collected by Buddhadeb Samaddar, FB at MO1119 site</v>
      </c>
    </row>
    <row r="353">
      <c r="A353" s="23" t="str">
        <f t="shared" si="2"/>
        <v>UF1008</v>
      </c>
      <c r="B353" s="23" t="str">
        <f>'2.4.raw'!L353</f>
        <v>UF1008</v>
      </c>
      <c r="C353" s="24">
        <f>datevalue(left('2.4.raw'!A353,10))</f>
        <v>43789</v>
      </c>
      <c r="D353" s="23">
        <f>'2.4.raw'!G353</f>
        <v>11</v>
      </c>
      <c r="E353" s="1">
        <v>2.4</v>
      </c>
      <c r="F353" s="23" t="b">
        <f>if(countif(Status!C:C,A353)=1,TRUE, FALSE)</f>
        <v>1</v>
      </c>
      <c r="G353" s="23" t="str">
        <f>'2.4.raw'!AQ353</f>
        <v>Sample collected by Suvankar Mandal</v>
      </c>
    </row>
    <row r="354">
      <c r="A354" s="23" t="str">
        <f t="shared" si="2"/>
        <v>MO1120</v>
      </c>
      <c r="B354" s="23" t="str">
        <f>'2.4.raw'!L354</f>
        <v>MO1120</v>
      </c>
      <c r="C354" s="24">
        <f>datevalue(left('2.4.raw'!A354,10))</f>
        <v>43790</v>
      </c>
      <c r="D354" s="23">
        <f>'2.4.raw'!G354</f>
        <v>12</v>
      </c>
      <c r="E354" s="1">
        <v>2.4</v>
      </c>
      <c r="F354" s="23" t="b">
        <f>if(countif(Status!C:C,A354)=1,TRUE, FALSE)</f>
        <v>1</v>
      </c>
      <c r="G354" s="23" t="str">
        <f>'2.4.raw'!AQ354</f>
        <v>Sample collected by Suvankar Mandal</v>
      </c>
    </row>
    <row r="355">
      <c r="A355" s="23" t="str">
        <f t="shared" si="2"/>
        <v>FB1148</v>
      </c>
      <c r="B355" s="23" t="str">
        <f>'2.4.raw'!L355</f>
        <v>FB1148</v>
      </c>
      <c r="C355" s="24">
        <f>datevalue(left('2.4.raw'!A355,10))</f>
        <v>43790</v>
      </c>
      <c r="D355" s="23">
        <f>'2.4.raw'!G355</f>
        <v>99</v>
      </c>
      <c r="E355" s="1">
        <v>2.4</v>
      </c>
      <c r="F355" s="23" t="b">
        <f>if(countif(Status!C:C,A355)=1,TRUE, FALSE)</f>
        <v>1</v>
      </c>
      <c r="G355" s="23" t="str">
        <f>'2.4.raw'!AQ355</f>
        <v>Sample collected by Suvankar Mandal,FB at MO1120 site</v>
      </c>
    </row>
    <row r="356">
      <c r="A356" s="23" t="str">
        <f t="shared" si="2"/>
        <v>MO1121</v>
      </c>
      <c r="B356" s="23" t="str">
        <f>'2.4.raw'!L356</f>
        <v>MO1121</v>
      </c>
      <c r="C356" s="24">
        <f>datevalue(left('2.4.raw'!A356,10))</f>
        <v>43790</v>
      </c>
      <c r="D356" s="23">
        <f>'2.4.raw'!G356</f>
        <v>12</v>
      </c>
      <c r="E356" s="1">
        <v>2.4</v>
      </c>
      <c r="F356" s="23" t="b">
        <f>if(countif(Status!C:C,A356)=1,TRUE, FALSE)</f>
        <v>1</v>
      </c>
      <c r="G356" s="23" t="str">
        <f>'2.4.raw'!AQ356</f>
        <v>Sample collected by Somnath Sarkar</v>
      </c>
    </row>
    <row r="357">
      <c r="A357" s="23" t="str">
        <f t="shared" si="2"/>
        <v>FB1149</v>
      </c>
      <c r="B357" s="23" t="str">
        <f>'2.4.raw'!L357</f>
        <v>FB1149</v>
      </c>
      <c r="C357" s="24">
        <f>datevalue(left('2.4.raw'!A357,10))</f>
        <v>43790</v>
      </c>
      <c r="D357" s="23">
        <f>'2.4.raw'!G357</f>
        <v>99</v>
      </c>
      <c r="E357" s="1">
        <v>2.4</v>
      </c>
      <c r="F357" s="23" t="b">
        <f>if(countif(Status!C:C,A357)=1,TRUE, FALSE)</f>
        <v>1</v>
      </c>
      <c r="G357" s="23" t="str">
        <f>'2.4.raw'!AQ357</f>
        <v>Sample collected by Somnath Sarkar, FB at MO1121 site</v>
      </c>
    </row>
    <row r="358">
      <c r="A358" s="23" t="str">
        <f t="shared" si="2"/>
        <v>PLc1088</v>
      </c>
      <c r="B358" s="23" t="str">
        <f>'2.4.raw'!L358</f>
        <v>PLc1088</v>
      </c>
      <c r="C358" s="24">
        <f>datevalue(left('2.4.raw'!A358,10))</f>
        <v>43790</v>
      </c>
      <c r="D358" s="23">
        <f>'2.4.raw'!G358</f>
        <v>11</v>
      </c>
      <c r="E358" s="1">
        <v>2.4</v>
      </c>
      <c r="F358" s="23" t="b">
        <f>if(countif(Status!C:C,A358)=1,TRUE, FALSE)</f>
        <v>1</v>
      </c>
      <c r="G358" s="23" t="str">
        <f>'2.4.raw'!AQ358</f>
        <v>Sample collected by Suvankar Mandal</v>
      </c>
    </row>
    <row r="359">
      <c r="A359" s="23" t="str">
        <f t="shared" si="2"/>
        <v>FB1150</v>
      </c>
      <c r="B359" s="23" t="str">
        <f>'2.4.raw'!L359</f>
        <v>FB1150</v>
      </c>
      <c r="C359" s="24">
        <f>datevalue(left('2.4.raw'!A359,10))</f>
        <v>43790</v>
      </c>
      <c r="D359" s="23">
        <f>'2.4.raw'!G359</f>
        <v>99</v>
      </c>
      <c r="E359" s="1">
        <v>2.4</v>
      </c>
      <c r="F359" s="23" t="b">
        <f>if(countif(Status!C:C,A359)=1,TRUE, FALSE)</f>
        <v>1</v>
      </c>
      <c r="G359" s="23" t="str">
        <f>'2.4.raw'!AQ359</f>
        <v>Sample collected by Suvankar Mandal, FB at PLc1088 site</v>
      </c>
    </row>
    <row r="360">
      <c r="A360" s="23" t="str">
        <f t="shared" si="2"/>
        <v>PLc1089</v>
      </c>
      <c r="B360" s="23" t="str">
        <f>'2.4.raw'!L360</f>
        <v>PLc1089</v>
      </c>
      <c r="C360" s="24">
        <f>datevalue(left('2.4.raw'!A360,10))</f>
        <v>43790</v>
      </c>
      <c r="D360" s="23">
        <f>'2.4.raw'!G360</f>
        <v>11</v>
      </c>
      <c r="E360" s="1">
        <v>2.4</v>
      </c>
      <c r="F360" s="23" t="b">
        <f>if(countif(Status!C:C,A360)=1,TRUE, FALSE)</f>
        <v>1</v>
      </c>
      <c r="G360" s="23" t="str">
        <f>'2.4.raw'!AQ360</f>
        <v>Sample collected by Somnath Sarkar</v>
      </c>
    </row>
    <row r="361">
      <c r="A361" s="23" t="str">
        <f t="shared" si="2"/>
        <v>FB1151</v>
      </c>
      <c r="B361" s="23" t="str">
        <f>'2.4.raw'!L361</f>
        <v>FB1151</v>
      </c>
      <c r="C361" s="24">
        <f>datevalue(left('2.4.raw'!A361,10))</f>
        <v>43790</v>
      </c>
      <c r="D361" s="23">
        <f>'2.4.raw'!G361</f>
        <v>99</v>
      </c>
      <c r="E361" s="1">
        <v>2.4</v>
      </c>
      <c r="F361" s="23" t="b">
        <f>if(countif(Status!C:C,A361)=1,TRUE, FALSE)</f>
        <v>1</v>
      </c>
      <c r="G361" s="23" t="str">
        <f>'2.4.raw'!AQ361</f>
        <v>Sample collected by Somnath Sarkar, FB at PLc1089 site</v>
      </c>
    </row>
    <row r="362">
      <c r="A362" s="23" t="str">
        <f t="shared" si="2"/>
        <v>PLc1090</v>
      </c>
      <c r="B362" s="23" t="str">
        <f>'2.4.raw'!L362</f>
        <v>PLc1090</v>
      </c>
      <c r="C362" s="24">
        <f>datevalue(left('2.4.raw'!A362,10))</f>
        <v>43790</v>
      </c>
      <c r="D362" s="23">
        <f>'2.4.raw'!G362</f>
        <v>11</v>
      </c>
      <c r="E362" s="1">
        <v>2.4</v>
      </c>
      <c r="F362" s="23" t="b">
        <f>if(countif(Status!C:C,A362)=1,TRUE, FALSE)</f>
        <v>1</v>
      </c>
      <c r="G362" s="23" t="str">
        <f>'2.4.raw'!AQ362</f>
        <v>Sample collected by Biplab Jash</v>
      </c>
    </row>
    <row r="363">
      <c r="A363" s="23" t="str">
        <f t="shared" si="2"/>
        <v>FB1152</v>
      </c>
      <c r="B363" s="23" t="str">
        <f>'2.4.raw'!L363</f>
        <v>FB1152</v>
      </c>
      <c r="C363" s="24">
        <f>datevalue(left('2.4.raw'!A363,10))</f>
        <v>43790</v>
      </c>
      <c r="D363" s="23">
        <f>'2.4.raw'!G363</f>
        <v>99</v>
      </c>
      <c r="E363" s="1">
        <v>2.4</v>
      </c>
      <c r="F363" s="23" t="b">
        <f>if(countif(Status!C:C,A363)=1,TRUE, FALSE)</f>
        <v>1</v>
      </c>
      <c r="G363" s="23" t="str">
        <f>'2.4.raw'!AQ363</f>
        <v>Sample collected by Biplab Jash, FB at PLc1090 site</v>
      </c>
    </row>
    <row r="364">
      <c r="A364" s="23" t="str">
        <f t="shared" si="2"/>
        <v>PLc1091</v>
      </c>
      <c r="B364" s="23" t="str">
        <f>'2.4.raw'!L364</f>
        <v>PLc1091</v>
      </c>
      <c r="C364" s="24">
        <f>datevalue(left('2.4.raw'!A364,10))</f>
        <v>43790</v>
      </c>
      <c r="D364" s="23">
        <f>'2.4.raw'!G364</f>
        <v>11</v>
      </c>
      <c r="E364" s="1">
        <v>2.4</v>
      </c>
      <c r="F364" s="23" t="b">
        <f>if(countif(Status!C:C,A364)=1,TRUE, FALSE)</f>
        <v>1</v>
      </c>
      <c r="G364" s="23" t="str">
        <f>'2.4.raw'!AQ364</f>
        <v>Sample collected by Debabrata Maity</v>
      </c>
    </row>
    <row r="365">
      <c r="A365" s="23" t="str">
        <f t="shared" si="2"/>
        <v>FB1153</v>
      </c>
      <c r="B365" s="23" t="str">
        <f>'2.4.raw'!L365</f>
        <v>FB1153</v>
      </c>
      <c r="C365" s="24">
        <f>datevalue(left('2.4.raw'!A365,10))</f>
        <v>43790</v>
      </c>
      <c r="D365" s="23">
        <f>'2.4.raw'!G365</f>
        <v>99</v>
      </c>
      <c r="E365" s="1">
        <v>2.4</v>
      </c>
      <c r="F365" s="23" t="b">
        <f>if(countif(Status!C:C,A365)=1,TRUE, FALSE)</f>
        <v>1</v>
      </c>
      <c r="G365" s="23" t="str">
        <f>'2.4.raw'!AQ365</f>
        <v>Sample collected by Debabrata Maity, FB at PLc1091 site</v>
      </c>
    </row>
    <row r="366">
      <c r="A366" s="23" t="str">
        <f t="shared" si="2"/>
        <v>PLc1092</v>
      </c>
      <c r="B366" s="23" t="str">
        <f>'2.4.raw'!L366</f>
        <v>PLc1092</v>
      </c>
      <c r="C366" s="24">
        <f>datevalue(left('2.4.raw'!A366,10))</f>
        <v>43791</v>
      </c>
      <c r="D366" s="23">
        <f>'2.4.raw'!G366</f>
        <v>11</v>
      </c>
      <c r="E366" s="1">
        <v>2.4</v>
      </c>
      <c r="F366" s="23" t="b">
        <f>if(countif(Status!C:C,A366)=1,TRUE, FALSE)</f>
        <v>1</v>
      </c>
      <c r="G366" s="23" t="str">
        <f>'2.4.raw'!AQ366</f>
        <v>Sample collected by Suvankar Mandal</v>
      </c>
    </row>
    <row r="367">
      <c r="A367" s="23" t="str">
        <f t="shared" si="2"/>
        <v>FB1154</v>
      </c>
      <c r="B367" s="23" t="str">
        <f>'2.4.raw'!L367</f>
        <v>FB1154</v>
      </c>
      <c r="C367" s="24">
        <f>datevalue(left('2.4.raw'!A367,10))</f>
        <v>43791</v>
      </c>
      <c r="D367" s="23">
        <f>'2.4.raw'!G367</f>
        <v>99</v>
      </c>
      <c r="E367" s="1">
        <v>2.4</v>
      </c>
      <c r="F367" s="23" t="b">
        <f>if(countif(Status!C:C,A367)=1,TRUE, FALSE)</f>
        <v>1</v>
      </c>
      <c r="G367" s="23" t="str">
        <f>'2.4.raw'!AQ367</f>
        <v>Sample collected by Suvankar Mandal</v>
      </c>
    </row>
    <row r="368">
      <c r="A368" s="23" t="str">
        <f t="shared" si="2"/>
        <v>PLc1093</v>
      </c>
      <c r="B368" s="23" t="str">
        <f>'2.4.raw'!L368</f>
        <v>PLc1093</v>
      </c>
      <c r="C368" s="24">
        <f>datevalue(left('2.4.raw'!A368,10))</f>
        <v>43791</v>
      </c>
      <c r="D368" s="23">
        <f>'2.4.raw'!G368</f>
        <v>11</v>
      </c>
      <c r="E368" s="1">
        <v>2.4</v>
      </c>
      <c r="F368" s="23" t="b">
        <f>if(countif(Status!C:C,A368)=1,TRUE, FALSE)</f>
        <v>1</v>
      </c>
      <c r="G368" s="23" t="str">
        <f>'2.4.raw'!AQ368</f>
        <v>Sample collected by Biplab Jash</v>
      </c>
    </row>
    <row r="369">
      <c r="A369" s="23" t="str">
        <f t="shared" si="2"/>
        <v>FB1155</v>
      </c>
      <c r="B369" s="23" t="str">
        <f>'2.4.raw'!L369</f>
        <v>FB1155</v>
      </c>
      <c r="C369" s="24">
        <f>datevalue(left('2.4.raw'!A369,10))</f>
        <v>43791</v>
      </c>
      <c r="D369" s="23">
        <f>'2.4.raw'!G369</f>
        <v>99</v>
      </c>
      <c r="E369" s="1">
        <v>2.4</v>
      </c>
      <c r="F369" s="23" t="b">
        <f>if(countif(Status!C:C,A369)=1,TRUE, FALSE)</f>
        <v>1</v>
      </c>
      <c r="G369" s="23" t="str">
        <f>'2.4.raw'!AQ369</f>
        <v>Sample collected by Biplab Jash</v>
      </c>
    </row>
    <row r="370">
      <c r="A370" s="23" t="str">
        <f t="shared" si="2"/>
        <v>PLc1094</v>
      </c>
      <c r="B370" s="23" t="str">
        <f>'2.4.raw'!L370</f>
        <v>PLc1094</v>
      </c>
      <c r="C370" s="24">
        <f>datevalue(left('2.4.raw'!A370,10))</f>
        <v>43791</v>
      </c>
      <c r="D370" s="23">
        <f>'2.4.raw'!G370</f>
        <v>11</v>
      </c>
      <c r="E370" s="1">
        <v>2.4</v>
      </c>
      <c r="F370" s="23" t="b">
        <f>if(countif(Status!C:C,A370)=1,TRUE, FALSE)</f>
        <v>1</v>
      </c>
      <c r="G370" s="23" t="str">
        <f>'2.4.raw'!AQ370</f>
        <v>Semple collected by Somnath Sarkar</v>
      </c>
    </row>
    <row r="371">
      <c r="A371" s="23" t="str">
        <f t="shared" si="2"/>
        <v>FB1156</v>
      </c>
      <c r="B371" s="23" t="str">
        <f>'2.4.raw'!L371</f>
        <v>FB1156</v>
      </c>
      <c r="C371" s="24">
        <f>datevalue(left('2.4.raw'!A371,10))</f>
        <v>43791</v>
      </c>
      <c r="D371" s="23">
        <f>'2.4.raw'!G371</f>
        <v>99</v>
      </c>
      <c r="E371" s="1">
        <v>2.4</v>
      </c>
      <c r="F371" s="23" t="b">
        <f>if(countif(Status!C:C,A371)=1,TRUE, FALSE)</f>
        <v>1</v>
      </c>
      <c r="G371" s="23" t="str">
        <f>'2.4.raw'!AQ371</f>
        <v>Sample collected by Suvankar Mandal</v>
      </c>
    </row>
    <row r="372">
      <c r="A372" s="23" t="str">
        <f t="shared" si="2"/>
        <v>PLc1095</v>
      </c>
      <c r="B372" s="23" t="str">
        <f>'2.4.raw'!L372</f>
        <v>PLc1095</v>
      </c>
      <c r="C372" s="24">
        <f>datevalue(left('2.4.raw'!A372,10))</f>
        <v>43794</v>
      </c>
      <c r="D372" s="23">
        <f>'2.4.raw'!G372</f>
        <v>11</v>
      </c>
      <c r="E372" s="1">
        <v>2.4</v>
      </c>
      <c r="F372" s="23" t="b">
        <f>if(countif(Status!C:C,A372)=1,TRUE, FALSE)</f>
        <v>1</v>
      </c>
      <c r="G372" s="23" t="str">
        <f>'2.4.raw'!AQ372</f>
        <v>Sample collected by Suvankar Mandal</v>
      </c>
    </row>
    <row r="373">
      <c r="A373" s="23" t="str">
        <f t="shared" si="2"/>
        <v>FB1157</v>
      </c>
      <c r="B373" s="23" t="str">
        <f>'2.4.raw'!L373</f>
        <v>FB1157</v>
      </c>
      <c r="C373" s="24">
        <f>datevalue(left('2.4.raw'!A373,10))</f>
        <v>43794</v>
      </c>
      <c r="D373" s="23">
        <f>'2.4.raw'!G373</f>
        <v>99</v>
      </c>
      <c r="E373" s="1">
        <v>2.4</v>
      </c>
      <c r="F373" s="23" t="b">
        <f>if(countif(Status!C:C,A373)=1,TRUE, FALSE)</f>
        <v>1</v>
      </c>
      <c r="G373" s="23" t="str">
        <f>'2.4.raw'!AQ373</f>
        <v>Sample collected by Suvankar Mandal, FB at PLc1095 site</v>
      </c>
    </row>
    <row r="374">
      <c r="A374" s="23" t="str">
        <f t="shared" si="2"/>
        <v>PLc1096</v>
      </c>
      <c r="B374" s="23" t="str">
        <f>'2.4.raw'!L374</f>
        <v>PLc1096</v>
      </c>
      <c r="C374" s="24">
        <f>datevalue(left('2.4.raw'!A374,10))</f>
        <v>43794</v>
      </c>
      <c r="D374" s="23">
        <f>'2.4.raw'!G374</f>
        <v>11</v>
      </c>
      <c r="E374" s="1">
        <v>2.4</v>
      </c>
      <c r="F374" s="23" t="b">
        <f>if(countif(Status!C:C,A374)=1,TRUE, FALSE)</f>
        <v>1</v>
      </c>
      <c r="G374" s="23" t="str">
        <f>'2.4.raw'!AQ374</f>
        <v>Sample collected by Somnath Sarkar</v>
      </c>
    </row>
    <row r="375">
      <c r="A375" s="23" t="str">
        <f t="shared" si="2"/>
        <v>FB1158</v>
      </c>
      <c r="B375" s="23" t="str">
        <f>'2.4.raw'!L375</f>
        <v>FB1158</v>
      </c>
      <c r="C375" s="24">
        <f>datevalue(left('2.4.raw'!A375,10))</f>
        <v>43794</v>
      </c>
      <c r="D375" s="23">
        <f>'2.4.raw'!G375</f>
        <v>99</v>
      </c>
      <c r="E375" s="1">
        <v>2.4</v>
      </c>
      <c r="F375" s="23" t="b">
        <f>if(countif(Status!C:C,A375)=1,TRUE, FALSE)</f>
        <v>1</v>
      </c>
      <c r="G375" s="23" t="str">
        <f>'2.4.raw'!AQ375</f>
        <v>Sample collected by Somnath Sarkar, FB at PLc1096 site</v>
      </c>
    </row>
    <row r="376">
      <c r="A376" s="23" t="str">
        <f t="shared" si="2"/>
        <v>PLc1097</v>
      </c>
      <c r="B376" s="23" t="str">
        <f>'2.4.raw'!L376</f>
        <v>PLc1097</v>
      </c>
      <c r="C376" s="24">
        <f>datevalue(left('2.4.raw'!A376,10))</f>
        <v>43795</v>
      </c>
      <c r="D376" s="23">
        <f>'2.4.raw'!G376</f>
        <v>11</v>
      </c>
      <c r="E376" s="1">
        <v>2.4</v>
      </c>
      <c r="F376" s="23" t="b">
        <f>if(countif(Status!C:C,A376)=1,TRUE, FALSE)</f>
        <v>1</v>
      </c>
      <c r="G376" s="23" t="str">
        <f>'2.4.raw'!AQ376</f>
        <v>Sample collected by Somnath Sarkar</v>
      </c>
    </row>
    <row r="377">
      <c r="A377" s="23" t="str">
        <f t="shared" si="2"/>
        <v>FB1159</v>
      </c>
      <c r="B377" s="23" t="str">
        <f>'2.4.raw'!L377</f>
        <v>FB1159</v>
      </c>
      <c r="C377" s="24">
        <f>datevalue(left('2.4.raw'!A377,10))</f>
        <v>43795</v>
      </c>
      <c r="D377" s="23">
        <f>'2.4.raw'!G377</f>
        <v>99</v>
      </c>
      <c r="E377" s="1">
        <v>2.4</v>
      </c>
      <c r="F377" s="23" t="b">
        <f>if(countif(Status!C:C,A377)=1,TRUE, FALSE)</f>
        <v>1</v>
      </c>
      <c r="G377" s="23" t="str">
        <f>'2.4.raw'!AQ377</f>
        <v>Sample collected by Somnath Sarkar ,FB at PLc1097</v>
      </c>
    </row>
    <row r="378">
      <c r="A378" s="23" t="str">
        <f t="shared" si="2"/>
        <v>PLc1098</v>
      </c>
      <c r="B378" s="23" t="str">
        <f>'2.4.raw'!L378</f>
        <v>PLc1098</v>
      </c>
      <c r="C378" s="24">
        <f>datevalue(left('2.4.raw'!A378,10))</f>
        <v>43795</v>
      </c>
      <c r="D378" s="23">
        <f>'2.4.raw'!G378</f>
        <v>11</v>
      </c>
      <c r="E378" s="1">
        <v>2.4</v>
      </c>
      <c r="F378" s="23" t="b">
        <f>if(countif(Status!C:C,A378)=1,TRUE, FALSE)</f>
        <v>1</v>
      </c>
      <c r="G378" s="23" t="str">
        <f>'2.4.raw'!AQ378</f>
        <v>Sample collected by Suvankar Mandal</v>
      </c>
    </row>
    <row r="379">
      <c r="A379" s="23" t="str">
        <f t="shared" si="2"/>
        <v>FB1160</v>
      </c>
      <c r="B379" s="23" t="str">
        <f>'2.4.raw'!L379</f>
        <v>FB1160</v>
      </c>
      <c r="C379" s="24">
        <f>datevalue(left('2.4.raw'!A379,10))</f>
        <v>43795</v>
      </c>
      <c r="D379" s="23">
        <f>'2.4.raw'!G379</f>
        <v>99</v>
      </c>
      <c r="E379" s="1">
        <v>2.4</v>
      </c>
      <c r="F379" s="23" t="b">
        <f>if(countif(Status!C:C,A379)=1,TRUE, FALSE)</f>
        <v>1</v>
      </c>
      <c r="G379" s="23" t="str">
        <f>'2.4.raw'!AQ379</f>
        <v>Sample collected by Suvankar Mandal, FB at PLc1098</v>
      </c>
    </row>
    <row r="380">
      <c r="A380" s="23" t="str">
        <f t="shared" si="2"/>
        <v>PLc1099</v>
      </c>
      <c r="B380" s="23" t="str">
        <f>'2.4.raw'!L380</f>
        <v>PLc1099</v>
      </c>
      <c r="C380" s="24">
        <f>datevalue(left('2.4.raw'!A380,10))</f>
        <v>43795</v>
      </c>
      <c r="D380" s="23">
        <f>'2.4.raw'!G380</f>
        <v>11</v>
      </c>
      <c r="E380" s="1">
        <v>2.4</v>
      </c>
      <c r="F380" s="23" t="b">
        <f>if(countif(Status!C:C,A380)=1,TRUE, FALSE)</f>
        <v>1</v>
      </c>
      <c r="G380" s="23" t="str">
        <f>'2.4.raw'!AQ380</f>
        <v>Sample collected by Somnath Sarkar</v>
      </c>
    </row>
    <row r="381">
      <c r="A381" s="23" t="str">
        <f t="shared" si="2"/>
        <v>FB1161</v>
      </c>
      <c r="B381" s="23" t="str">
        <f>'2.4.raw'!L381</f>
        <v>FB1161</v>
      </c>
      <c r="C381" s="24">
        <f>datevalue(left('2.4.raw'!A381,10))</f>
        <v>43795</v>
      </c>
      <c r="D381" s="23">
        <f>'2.4.raw'!G381</f>
        <v>99</v>
      </c>
      <c r="E381" s="1">
        <v>2.4</v>
      </c>
      <c r="F381" s="23" t="b">
        <f>if(countif(Status!C:C,A381)=1,TRUE, FALSE)</f>
        <v>1</v>
      </c>
      <c r="G381" s="23" t="str">
        <f>'2.4.raw'!AQ381</f>
        <v>Sample collected by Somnath Sarkar, FB at PLc1099</v>
      </c>
    </row>
    <row r="382">
      <c r="A382" s="23" t="str">
        <f t="shared" si="2"/>
        <v>MO1123</v>
      </c>
      <c r="B382" s="23" t="str">
        <f>'2.4.raw'!L382</f>
        <v>MO1123</v>
      </c>
      <c r="C382" s="24">
        <f>datevalue(left('2.4.raw'!A382,10))</f>
        <v>43795</v>
      </c>
      <c r="D382" s="23">
        <f>'2.4.raw'!G382</f>
        <v>12</v>
      </c>
      <c r="E382" s="1">
        <v>2.4</v>
      </c>
      <c r="F382" s="23" t="b">
        <f>if(countif(Status!C:C,A382)=1,TRUE, FALSE)</f>
        <v>1</v>
      </c>
      <c r="G382" s="23" t="str">
        <f>'2.4.raw'!AQ382</f>
        <v/>
      </c>
    </row>
    <row r="383">
      <c r="A383" s="23" t="str">
        <f t="shared" si="2"/>
        <v>FB1162</v>
      </c>
      <c r="B383" s="23" t="str">
        <f>'2.4.raw'!L383</f>
        <v>FB1162</v>
      </c>
      <c r="C383" s="24">
        <f>datevalue(left('2.4.raw'!A383,10))</f>
        <v>43795</v>
      </c>
      <c r="D383" s="23">
        <f>'2.4.raw'!G383</f>
        <v>99</v>
      </c>
      <c r="E383" s="1">
        <v>2.4</v>
      </c>
      <c r="F383" s="23" t="b">
        <f>if(countif(Status!C:C,A383)=1,TRUE, FALSE)</f>
        <v>1</v>
      </c>
      <c r="G383" s="23" t="str">
        <f>'2.4.raw'!AQ383</f>
        <v>Sample collected by Abhijit</v>
      </c>
    </row>
    <row r="384">
      <c r="A384" s="23" t="str">
        <f t="shared" si="2"/>
        <v>MO1122</v>
      </c>
      <c r="B384" s="23" t="str">
        <f>'2.4.raw'!L384</f>
        <v>MO1122</v>
      </c>
      <c r="C384" s="24">
        <f>datevalue(left('2.4.raw'!A384,10))</f>
        <v>43795</v>
      </c>
      <c r="D384" s="23">
        <f>'2.4.raw'!G384</f>
        <v>12</v>
      </c>
      <c r="E384" s="1">
        <v>2.4</v>
      </c>
      <c r="F384" s="23" t="b">
        <f>if(countif(Status!C:C,A384)=1,TRUE, FALSE)</f>
        <v>1</v>
      </c>
      <c r="G384" s="23" t="str">
        <f>'2.4.raw'!AQ384</f>
        <v/>
      </c>
    </row>
    <row r="385">
      <c r="A385" s="23" t="str">
        <f t="shared" si="2"/>
        <v>FB1163</v>
      </c>
      <c r="B385" s="23" t="str">
        <f>'2.4.raw'!L385</f>
        <v>FB1163</v>
      </c>
      <c r="C385" s="24">
        <f>datevalue(left('2.4.raw'!A385,10))</f>
        <v>43795</v>
      </c>
      <c r="D385" s="23">
        <f>'2.4.raw'!G385</f>
        <v>99</v>
      </c>
      <c r="E385" s="1">
        <v>2.4</v>
      </c>
      <c r="F385" s="23" t="b">
        <f>if(countif(Status!C:C,A385)=1,TRUE, FALSE)</f>
        <v>1</v>
      </c>
      <c r="G385" s="23" t="str">
        <f>'2.4.raw'!AQ385</f>
        <v>Sample collected by Abhijit</v>
      </c>
    </row>
    <row r="386">
      <c r="A386" s="23" t="str">
        <f t="shared" si="2"/>
        <v>UF1009</v>
      </c>
      <c r="B386" s="23" t="str">
        <f>'2.4.raw'!L386</f>
        <v>UF1009</v>
      </c>
      <c r="C386" s="24">
        <f>datevalue(left('2.4.raw'!A386,10))</f>
        <v>43796</v>
      </c>
      <c r="D386" s="23">
        <f>'2.4.raw'!G386</f>
        <v>11</v>
      </c>
      <c r="E386" s="1">
        <v>2.4</v>
      </c>
      <c r="F386" s="23" t="b">
        <f>if(countif(Status!C:C,A386)=1,TRUE, FALSE)</f>
        <v>1</v>
      </c>
      <c r="G386" s="23" t="str">
        <f>'2.4.raw'!AQ386</f>
        <v>Sample collected by Biplab Jash</v>
      </c>
    </row>
    <row r="387">
      <c r="A387" s="23" t="str">
        <f t="shared" si="2"/>
        <v>PLc1100</v>
      </c>
      <c r="B387" s="23" t="str">
        <f>'2.4.raw'!L387</f>
        <v>PLc1100</v>
      </c>
      <c r="C387" s="24">
        <f>datevalue(left('2.4.raw'!A387,10))</f>
        <v>43797</v>
      </c>
      <c r="D387" s="23">
        <f>'2.4.raw'!G387</f>
        <v>11</v>
      </c>
      <c r="E387" s="1">
        <v>2.4</v>
      </c>
      <c r="F387" s="23" t="b">
        <f>if(countif(Status!C:C,A387)=1,TRUE, FALSE)</f>
        <v>1</v>
      </c>
      <c r="G387" s="23" t="str">
        <f>'2.4.raw'!AQ387</f>
        <v>Sample collected by Suvankar Mandal</v>
      </c>
    </row>
    <row r="388">
      <c r="A388" s="23" t="str">
        <f t="shared" si="2"/>
        <v>FB1165</v>
      </c>
      <c r="B388" s="23" t="str">
        <f>'2.4.raw'!L388</f>
        <v>FB1165</v>
      </c>
      <c r="C388" s="24">
        <f>datevalue(left('2.4.raw'!A388,10))</f>
        <v>43797</v>
      </c>
      <c r="D388" s="23">
        <f>'2.4.raw'!G388</f>
        <v>99</v>
      </c>
      <c r="E388" s="1">
        <v>2.4</v>
      </c>
      <c r="F388" s="23" t="b">
        <f>if(countif(Status!C:C,A388)=1,TRUE, FALSE)</f>
        <v>1</v>
      </c>
      <c r="G388" s="23" t="str">
        <f>'2.4.raw'!AQ388</f>
        <v>Sample collected by Suvankar Mandal, FB at PLc1100 site</v>
      </c>
    </row>
    <row r="389">
      <c r="A389" s="23" t="str">
        <f t="shared" si="2"/>
        <v>PLc1101</v>
      </c>
      <c r="B389" s="23" t="str">
        <f>'2.4.raw'!L389</f>
        <v>PLc1101</v>
      </c>
      <c r="C389" s="24">
        <f>datevalue(left('2.4.raw'!A389,10))</f>
        <v>43797</v>
      </c>
      <c r="D389" s="23">
        <f>'2.4.raw'!G389</f>
        <v>11</v>
      </c>
      <c r="E389" s="1">
        <v>2.4</v>
      </c>
      <c r="F389" s="23" t="b">
        <f>if(countif(Status!C:C,A389)=1,TRUE, FALSE)</f>
        <v>1</v>
      </c>
      <c r="G389" s="23" t="str">
        <f>'2.4.raw'!AQ389</f>
        <v>Sample collected by Somnath Sarkar</v>
      </c>
    </row>
    <row r="390">
      <c r="A390" s="23" t="str">
        <f t="shared" si="2"/>
        <v>FB1166</v>
      </c>
      <c r="B390" s="23" t="str">
        <f>'2.4.raw'!L390</f>
        <v>FB1166</v>
      </c>
      <c r="C390" s="24">
        <f>datevalue(left('2.4.raw'!A390,10))</f>
        <v>43797</v>
      </c>
      <c r="D390" s="23">
        <f>'2.4.raw'!G390</f>
        <v>99</v>
      </c>
      <c r="E390" s="1">
        <v>2.4</v>
      </c>
      <c r="F390" s="23" t="b">
        <f>if(countif(Status!C:C,A390)=1,TRUE, FALSE)</f>
        <v>1</v>
      </c>
      <c r="G390" s="23" t="str">
        <f>'2.4.raw'!AQ390</f>
        <v>Sample collected by Somnath Sarkar, FB at PLc1101 site</v>
      </c>
    </row>
    <row r="391">
      <c r="A391" s="23" t="str">
        <f t="shared" si="2"/>
        <v>MO1124</v>
      </c>
      <c r="B391" s="23" t="str">
        <f>'2.4.raw'!L391</f>
        <v>MO1124</v>
      </c>
      <c r="C391" s="24">
        <f>datevalue(left('2.4.raw'!A391,10))</f>
        <v>43797</v>
      </c>
      <c r="D391" s="23">
        <f>'2.4.raw'!G391</f>
        <v>12</v>
      </c>
      <c r="E391" s="1">
        <v>2.4</v>
      </c>
      <c r="F391" s="23" t="b">
        <f>if(countif(Status!C:C,A391)=1,TRUE, FALSE)</f>
        <v>1</v>
      </c>
      <c r="G391" s="23" t="str">
        <f>'2.4.raw'!AQ391</f>
        <v>Sample collected by Biplab Jash</v>
      </c>
    </row>
    <row r="392">
      <c r="A392" s="23" t="str">
        <f t="shared" si="2"/>
        <v>FB1167</v>
      </c>
      <c r="B392" s="23" t="str">
        <f>'2.4.raw'!L392</f>
        <v>FB1167</v>
      </c>
      <c r="C392" s="24">
        <f>datevalue(left('2.4.raw'!A392,10))</f>
        <v>43797</v>
      </c>
      <c r="D392" s="23">
        <f>'2.4.raw'!G392</f>
        <v>99</v>
      </c>
      <c r="E392" s="1">
        <v>2.4</v>
      </c>
      <c r="F392" s="23" t="b">
        <f>if(countif(Status!C:C,A392)=1,TRUE, FALSE)</f>
        <v>1</v>
      </c>
      <c r="G392" s="23" t="str">
        <f>'2.4.raw'!AQ392</f>
        <v>Sample collected by Biplab Jash</v>
      </c>
    </row>
    <row r="393">
      <c r="A393" s="23" t="str">
        <f t="shared" si="2"/>
        <v>MO1125</v>
      </c>
      <c r="B393" s="23" t="str">
        <f>'2.4.raw'!L393</f>
        <v>MO1125</v>
      </c>
      <c r="C393" s="24">
        <f>datevalue(left('2.4.raw'!A393,10))</f>
        <v>43797</v>
      </c>
      <c r="D393" s="23">
        <f>'2.4.raw'!G393</f>
        <v>12</v>
      </c>
      <c r="E393" s="1">
        <v>2.4</v>
      </c>
      <c r="F393" s="23" t="b">
        <f>if(countif(Status!C:C,A393)=1,TRUE, FALSE)</f>
        <v>1</v>
      </c>
      <c r="G393" s="23" t="str">
        <f>'2.4.raw'!AQ393</f>
        <v>Sample collected by Suvankar Mandal</v>
      </c>
    </row>
    <row r="394">
      <c r="A394" s="23" t="str">
        <f t="shared" si="2"/>
        <v>FB1168</v>
      </c>
      <c r="B394" s="23" t="str">
        <f>'2.4.raw'!L394</f>
        <v>FB1168</v>
      </c>
      <c r="C394" s="24">
        <f>datevalue(left('2.4.raw'!A394,10))</f>
        <v>43797</v>
      </c>
      <c r="D394" s="23">
        <f>'2.4.raw'!G394</f>
        <v>99</v>
      </c>
      <c r="E394" s="1">
        <v>2.4</v>
      </c>
      <c r="F394" s="23" t="b">
        <f>if(countif(Status!C:C,A394)=1,TRUE, FALSE)</f>
        <v>1</v>
      </c>
      <c r="G394" s="23" t="str">
        <f>'2.4.raw'!AQ394</f>
        <v>Sample collected by Suvankar Mandal</v>
      </c>
    </row>
    <row r="395">
      <c r="A395" s="23" t="str">
        <f t="shared" si="2"/>
        <v>PLc1102</v>
      </c>
      <c r="B395" s="23" t="str">
        <f>'2.4.raw'!L395</f>
        <v>PLc1102</v>
      </c>
      <c r="C395" s="24">
        <f>datevalue(left('2.4.raw'!A395,10))</f>
        <v>43798</v>
      </c>
      <c r="D395" s="23">
        <f>'2.4.raw'!G395</f>
        <v>11</v>
      </c>
      <c r="E395" s="1">
        <v>2.4</v>
      </c>
      <c r="F395" s="23" t="b">
        <f>if(countif(Status!C:C,A395)=1,TRUE, FALSE)</f>
        <v>1</v>
      </c>
      <c r="G395" s="23" t="str">
        <f>'2.4.raw'!AQ395</f>
        <v>Sample collected by Buddhadeb Samaddar</v>
      </c>
    </row>
    <row r="396">
      <c r="A396" s="23" t="str">
        <f t="shared" si="2"/>
        <v>FB1169</v>
      </c>
      <c r="B396" s="23" t="str">
        <f>'2.4.raw'!L396</f>
        <v>FB1169</v>
      </c>
      <c r="C396" s="24">
        <f>datevalue(left('2.4.raw'!A396,10))</f>
        <v>43798</v>
      </c>
      <c r="D396" s="23">
        <f>'2.4.raw'!G396</f>
        <v>99</v>
      </c>
      <c r="E396" s="1">
        <v>2.4</v>
      </c>
      <c r="F396" s="23" t="b">
        <f>if(countif(Status!C:C,A396)=1,TRUE, FALSE)</f>
        <v>1</v>
      </c>
      <c r="G396" s="23" t="str">
        <f>'2.4.raw'!AQ396</f>
        <v>Sample collected by Buddhadeb Samaddar, FB at PLc1102 site</v>
      </c>
    </row>
    <row r="397">
      <c r="A397" s="23" t="str">
        <f t="shared" si="2"/>
        <v>PLc1103</v>
      </c>
      <c r="B397" s="23" t="str">
        <f>'2.4.raw'!L397</f>
        <v>PLc1103</v>
      </c>
      <c r="C397" s="24">
        <f>datevalue(left('2.4.raw'!A397,10))</f>
        <v>43798</v>
      </c>
      <c r="D397" s="23">
        <f>'2.4.raw'!G397</f>
        <v>11</v>
      </c>
      <c r="E397" s="1">
        <v>2.4</v>
      </c>
      <c r="F397" s="23" t="b">
        <f>if(countif(Status!C:C,A397)=1,TRUE, FALSE)</f>
        <v>1</v>
      </c>
      <c r="G397" s="23" t="str">
        <f>'2.4.raw'!AQ397</f>
        <v>Sample collected by Somnath Sarkar</v>
      </c>
    </row>
    <row r="398">
      <c r="A398" s="23" t="str">
        <f t="shared" si="2"/>
        <v>FB1170</v>
      </c>
      <c r="B398" s="23" t="str">
        <f>'2.4.raw'!L398</f>
        <v>FB1170</v>
      </c>
      <c r="C398" s="24">
        <f>datevalue(left('2.4.raw'!A398,10))</f>
        <v>43798</v>
      </c>
      <c r="D398" s="23">
        <f>'2.4.raw'!G398</f>
        <v>99</v>
      </c>
      <c r="E398" s="1">
        <v>2.4</v>
      </c>
      <c r="F398" s="23" t="b">
        <f>if(countif(Status!C:C,A398)=1,TRUE, FALSE)</f>
        <v>1</v>
      </c>
      <c r="G398" s="23" t="str">
        <f>'2.4.raw'!AQ398</f>
        <v>Sample collected by Somnath Sarkar, FB at PLc1103 site</v>
      </c>
    </row>
    <row r="399">
      <c r="A399" s="23" t="str">
        <f t="shared" si="2"/>
        <v>PLc1104</v>
      </c>
      <c r="B399" s="23" t="str">
        <f>'2.4.raw'!L399</f>
        <v>PLc1104</v>
      </c>
      <c r="C399" s="24">
        <f>datevalue(left('2.4.raw'!A399,10))</f>
        <v>43798</v>
      </c>
      <c r="D399" s="23">
        <f>'2.4.raw'!G399</f>
        <v>11</v>
      </c>
      <c r="E399" s="1">
        <v>2.4</v>
      </c>
      <c r="F399" s="23" t="b">
        <f>if(countif(Status!C:C,A399)=1,TRUE, FALSE)</f>
        <v>1</v>
      </c>
      <c r="G399" s="23" t="str">
        <f>'2.4.raw'!AQ399</f>
        <v>Sample collected by Somnath Sarkar</v>
      </c>
    </row>
    <row r="400">
      <c r="A400" s="23" t="str">
        <f t="shared" si="2"/>
        <v>FB1171</v>
      </c>
      <c r="B400" s="23" t="str">
        <f>'2.4.raw'!L400</f>
        <v>FB1171</v>
      </c>
      <c r="C400" s="24">
        <f>datevalue(left('2.4.raw'!A400,10))</f>
        <v>43798</v>
      </c>
      <c r="D400" s="23">
        <f>'2.4.raw'!G400</f>
        <v>99</v>
      </c>
      <c r="E400" s="1">
        <v>2.4</v>
      </c>
      <c r="F400" s="23" t="b">
        <f>if(countif(Status!C:C,A400)=1,TRUE, FALSE)</f>
        <v>1</v>
      </c>
      <c r="G400" s="23" t="str">
        <f>'2.4.raw'!AQ400</f>
        <v>Sample collected by Somnath Sarkar, FB at PLc1104 site</v>
      </c>
    </row>
    <row r="401">
      <c r="A401" s="23" t="str">
        <f t="shared" si="2"/>
        <v>PLc1105</v>
      </c>
      <c r="B401" s="23" t="str">
        <f>'2.4.raw'!L401</f>
        <v>PLc1105</v>
      </c>
      <c r="C401" s="24">
        <f>datevalue(left('2.4.raw'!A401,10))</f>
        <v>43801</v>
      </c>
      <c r="D401" s="23">
        <f>'2.4.raw'!G401</f>
        <v>11</v>
      </c>
      <c r="E401" s="1">
        <v>2.4</v>
      </c>
      <c r="F401" s="23" t="b">
        <f>if(countif(Status!C:C,A401)=1,TRUE, FALSE)</f>
        <v>1</v>
      </c>
      <c r="G401" s="23" t="str">
        <f>'2.4.raw'!AQ401</f>
        <v>Sample collected by Buddhadeb Samaddar</v>
      </c>
    </row>
    <row r="402">
      <c r="A402" s="23" t="str">
        <f t="shared" si="2"/>
        <v>FB1172</v>
      </c>
      <c r="B402" s="23" t="str">
        <f>'2.4.raw'!L402</f>
        <v>FB1172</v>
      </c>
      <c r="C402" s="24">
        <f>datevalue(left('2.4.raw'!A402,10))</f>
        <v>43801</v>
      </c>
      <c r="D402" s="23">
        <f>'2.4.raw'!G402</f>
        <v>99</v>
      </c>
      <c r="E402" s="1">
        <v>2.4</v>
      </c>
      <c r="F402" s="23" t="b">
        <f>if(countif(Status!C:C,A402)=1,TRUE, FALSE)</f>
        <v>1</v>
      </c>
      <c r="G402" s="23" t="str">
        <f>'2.4.raw'!AQ402</f>
        <v>Sample collected by Buddhadeb Samaddar</v>
      </c>
    </row>
    <row r="403">
      <c r="A403" s="23" t="str">
        <f t="shared" si="2"/>
        <v>PLc1106</v>
      </c>
      <c r="B403" s="23" t="str">
        <f>'2.4.raw'!L403</f>
        <v>PLc1106</v>
      </c>
      <c r="C403" s="24">
        <f>datevalue(left('2.4.raw'!A403,10))</f>
        <v>43801</v>
      </c>
      <c r="D403" s="23">
        <f>'2.4.raw'!G403</f>
        <v>11</v>
      </c>
      <c r="E403" s="1">
        <v>2.4</v>
      </c>
      <c r="F403" s="23" t="b">
        <f>if(countif(Status!C:C,A403)=1,TRUE, FALSE)</f>
        <v>1</v>
      </c>
      <c r="G403" s="23" t="str">
        <f>'2.4.raw'!AQ403</f>
        <v>Sample collected by Biplab Jash</v>
      </c>
    </row>
    <row r="404">
      <c r="A404" s="23" t="str">
        <f t="shared" si="2"/>
        <v>FB1173</v>
      </c>
      <c r="B404" s="23" t="str">
        <f>'2.4.raw'!L404</f>
        <v>FB1173</v>
      </c>
      <c r="C404" s="24">
        <f>datevalue(left('2.4.raw'!A404,10))</f>
        <v>43801</v>
      </c>
      <c r="D404" s="23">
        <f>'2.4.raw'!G404</f>
        <v>99</v>
      </c>
      <c r="E404" s="1">
        <v>2.4</v>
      </c>
      <c r="F404" s="23" t="b">
        <f>if(countif(Status!C:C,A404)=1,TRUE, FALSE)</f>
        <v>1</v>
      </c>
      <c r="G404" s="23" t="str">
        <f>'2.4.raw'!AQ404</f>
        <v>Sample collected collected by Biplab Jash</v>
      </c>
    </row>
    <row r="405">
      <c r="A405" s="23" t="str">
        <f t="shared" si="2"/>
        <v>PLc1107</v>
      </c>
      <c r="B405" s="23" t="str">
        <f>'2.4.raw'!L405</f>
        <v>PLc1107</v>
      </c>
      <c r="C405" s="24">
        <f>datevalue(left('2.4.raw'!A405,10))</f>
        <v>43802</v>
      </c>
      <c r="D405" s="23">
        <f>'2.4.raw'!G405</f>
        <v>11</v>
      </c>
      <c r="E405" s="1">
        <v>2.4</v>
      </c>
      <c r="F405" s="23" t="b">
        <f>if(countif(Status!C:C,A405)=1,TRUE, FALSE)</f>
        <v>1</v>
      </c>
      <c r="G405" s="23" t="str">
        <f>'2.4.raw'!AQ405</f>
        <v>Sample collected by Suvankar Mandal</v>
      </c>
    </row>
    <row r="406">
      <c r="A406" s="23" t="str">
        <f t="shared" si="2"/>
        <v>FB1176</v>
      </c>
      <c r="B406" s="23" t="str">
        <f>'2.4.raw'!L406</f>
        <v>FB1176</v>
      </c>
      <c r="C406" s="24">
        <f>datevalue(left('2.4.raw'!A406,10))</f>
        <v>43802</v>
      </c>
      <c r="D406" s="23">
        <f>'2.4.raw'!G406</f>
        <v>99</v>
      </c>
      <c r="E406" s="1">
        <v>2.4</v>
      </c>
      <c r="F406" s="23" t="b">
        <f>if(countif(Status!C:C,A406)=1,TRUE, FALSE)</f>
        <v>1</v>
      </c>
      <c r="G406" s="23" t="str">
        <f>'2.4.raw'!AQ406</f>
        <v>Sample collected by Suvankar Mandal, FB at PLc1107 site</v>
      </c>
    </row>
    <row r="407">
      <c r="A407" s="23" t="str">
        <f t="shared" si="2"/>
        <v>PLc1108</v>
      </c>
      <c r="B407" s="23" t="str">
        <f>'2.4.raw'!L407</f>
        <v>PLc1108</v>
      </c>
      <c r="C407" s="24">
        <f>datevalue(left('2.4.raw'!A407,10))</f>
        <v>43802</v>
      </c>
      <c r="D407" s="23">
        <f>'2.4.raw'!G407</f>
        <v>11</v>
      </c>
      <c r="E407" s="1">
        <v>2.4</v>
      </c>
      <c r="F407" s="23" t="b">
        <f>if(countif(Status!C:C,A407)=1,TRUE, FALSE)</f>
        <v>1</v>
      </c>
      <c r="G407" s="23" t="str">
        <f>'2.4.raw'!AQ407</f>
        <v>Sample collected by Buddhadeb Samaddar</v>
      </c>
    </row>
    <row r="408">
      <c r="A408" s="23" t="str">
        <f t="shared" si="2"/>
        <v>FB1177</v>
      </c>
      <c r="B408" s="23" t="str">
        <f>'2.4.raw'!L408</f>
        <v>FB1177</v>
      </c>
      <c r="C408" s="24">
        <f>datevalue(left('2.4.raw'!A408,10))</f>
        <v>43802</v>
      </c>
      <c r="D408" s="23">
        <f>'2.4.raw'!G408</f>
        <v>99</v>
      </c>
      <c r="E408" s="1">
        <v>2.4</v>
      </c>
      <c r="F408" s="23" t="b">
        <f>if(countif(Status!C:C,A408)=1,TRUE, FALSE)</f>
        <v>1</v>
      </c>
      <c r="G408" s="23" t="str">
        <f>'2.4.raw'!AQ408</f>
        <v>Sample collected by Buddhadeb Samaddar, FB at PLc1108 site</v>
      </c>
    </row>
    <row r="409">
      <c r="A409" s="23" t="str">
        <f t="shared" si="2"/>
        <v>PLc1109</v>
      </c>
      <c r="B409" s="23" t="str">
        <f>'2.4.raw'!L409</f>
        <v>PLc1109</v>
      </c>
      <c r="C409" s="24">
        <f>datevalue(left('2.4.raw'!A409,10))</f>
        <v>43802</v>
      </c>
      <c r="D409" s="23">
        <f>'2.4.raw'!G409</f>
        <v>11</v>
      </c>
      <c r="E409" s="1">
        <v>2.4</v>
      </c>
      <c r="F409" s="23" t="b">
        <f>if(countif(Status!C:C,A409)=1,TRUE, FALSE)</f>
        <v>1</v>
      </c>
      <c r="G409" s="23" t="str">
        <f>'2.4.raw'!AQ409</f>
        <v>Sample collected by Somnath Sarkar</v>
      </c>
    </row>
    <row r="410">
      <c r="A410" s="23" t="str">
        <f t="shared" si="2"/>
        <v>FB1178</v>
      </c>
      <c r="B410" s="23" t="str">
        <f>'2.4.raw'!L410</f>
        <v>FB1178</v>
      </c>
      <c r="C410" s="24">
        <f>datevalue(left('2.4.raw'!A410,10))</f>
        <v>43802</v>
      </c>
      <c r="D410" s="23">
        <f>'2.4.raw'!G410</f>
        <v>99</v>
      </c>
      <c r="E410" s="1">
        <v>2.4</v>
      </c>
      <c r="F410" s="23" t="b">
        <f>if(countif(Status!C:C,A410)=1,TRUE, FALSE)</f>
        <v>1</v>
      </c>
      <c r="G410" s="23" t="str">
        <f>'2.4.raw'!AQ410</f>
        <v>Sample collected by Somnath Sarkar, FB at PLc1109 site</v>
      </c>
    </row>
    <row r="411">
      <c r="A411" s="23" t="str">
        <f t="shared" si="2"/>
        <v>UF1010</v>
      </c>
      <c r="B411" s="23" t="str">
        <f>'2.4.raw'!L411</f>
        <v>UF1010</v>
      </c>
      <c r="C411" s="24">
        <f>datevalue(left('2.4.raw'!A411,10))</f>
        <v>43803</v>
      </c>
      <c r="D411" s="23">
        <f>'2.4.raw'!G411</f>
        <v>11</v>
      </c>
      <c r="E411" s="1">
        <v>2.4</v>
      </c>
      <c r="F411" s="23" t="b">
        <f>if(countif(Status!C:C,A411)=1,TRUE, FALSE)</f>
        <v>1</v>
      </c>
      <c r="G411" s="23" t="str">
        <f>'2.4.raw'!AQ411</f>
        <v>Sample collected by Biplab Jash</v>
      </c>
    </row>
    <row r="412">
      <c r="A412" s="23" t="str">
        <f t="shared" si="2"/>
        <v>MO1126</v>
      </c>
      <c r="B412" s="23" t="str">
        <f>'2.4.raw'!L412</f>
        <v>MO1126</v>
      </c>
      <c r="C412" s="24">
        <f>datevalue(left('2.4.raw'!A412,10))</f>
        <v>43802</v>
      </c>
      <c r="D412" s="23">
        <f>'2.4.raw'!G412</f>
        <v>12</v>
      </c>
      <c r="E412" s="1">
        <v>2.4</v>
      </c>
      <c r="F412" s="23" t="b">
        <f>if(countif(Status!C:C,A412)=1,TRUE, FALSE)</f>
        <v>1</v>
      </c>
      <c r="G412" s="23" t="str">
        <f>'2.4.raw'!AQ412</f>
        <v>Sample collected by Biplab Jash</v>
      </c>
    </row>
    <row r="413">
      <c r="A413" s="23" t="str">
        <f t="shared" si="2"/>
        <v>FB1174</v>
      </c>
      <c r="B413" s="23" t="str">
        <f>'2.4.raw'!L413</f>
        <v>FB1174</v>
      </c>
      <c r="C413" s="24">
        <f>datevalue(left('2.4.raw'!A413,10))</f>
        <v>43802</v>
      </c>
      <c r="D413" s="23">
        <f>'2.4.raw'!G413</f>
        <v>99</v>
      </c>
      <c r="E413" s="1">
        <v>2.4</v>
      </c>
      <c r="F413" s="23" t="b">
        <f>if(countif(Status!C:C,A413)=1,TRUE, FALSE)</f>
        <v>1</v>
      </c>
      <c r="G413" s="23" t="str">
        <f>'2.4.raw'!AQ413</f>
        <v>Sample collected by Biplab Jash</v>
      </c>
    </row>
    <row r="414">
      <c r="A414" s="23" t="str">
        <f t="shared" si="2"/>
        <v>MO1127</v>
      </c>
      <c r="B414" s="23" t="str">
        <f>'2.4.raw'!L414</f>
        <v>MO1127</v>
      </c>
      <c r="C414" s="24">
        <f>datevalue(left('2.4.raw'!A414,10))</f>
        <v>43802</v>
      </c>
      <c r="D414" s="23">
        <f>'2.4.raw'!G414</f>
        <v>12</v>
      </c>
      <c r="E414" s="1">
        <v>2.4</v>
      </c>
      <c r="F414" s="23" t="b">
        <f>if(countif(Status!C:C,A414)=1,TRUE, FALSE)</f>
        <v>1</v>
      </c>
      <c r="G414" s="23" t="str">
        <f>'2.4.raw'!AQ414</f>
        <v>Sample collected by Ashis saha</v>
      </c>
    </row>
    <row r="415">
      <c r="A415" s="23" t="str">
        <f t="shared" si="2"/>
        <v>FB1175</v>
      </c>
      <c r="B415" s="23" t="str">
        <f>'2.4.raw'!L415</f>
        <v>FB1175</v>
      </c>
      <c r="C415" s="24">
        <f>datevalue(left('2.4.raw'!A415,10))</f>
        <v>43802</v>
      </c>
      <c r="D415" s="23">
        <f>'2.4.raw'!G415</f>
        <v>99</v>
      </c>
      <c r="E415" s="1">
        <v>2.4</v>
      </c>
      <c r="F415" s="23" t="b">
        <f>if(countif(Status!C:C,A415)=1,TRUE, FALSE)</f>
        <v>1</v>
      </c>
      <c r="G415" s="23" t="str">
        <f>'2.4.raw'!AQ415</f>
        <v>Sample collected by Ashis saha</v>
      </c>
    </row>
    <row r="416">
      <c r="A416" s="23" t="str">
        <f t="shared" si="2"/>
        <v>MO1128</v>
      </c>
      <c r="B416" s="23" t="str">
        <f>'2.4.raw'!L416</f>
        <v>MO1128</v>
      </c>
      <c r="C416" s="24">
        <f>datevalue(left('2.4.raw'!A416,10))</f>
        <v>43804</v>
      </c>
      <c r="D416" s="23">
        <f>'2.4.raw'!G416</f>
        <v>12</v>
      </c>
      <c r="E416" s="1">
        <v>2.4</v>
      </c>
      <c r="F416" s="23" t="b">
        <f>if(countif(Status!C:C,A416)=1,TRUE, FALSE)</f>
        <v>1</v>
      </c>
      <c r="G416" s="23" t="str">
        <f>'2.4.raw'!AQ416</f>
        <v>Sample collected by Ashis saha</v>
      </c>
    </row>
    <row r="417">
      <c r="A417" s="23" t="str">
        <f t="shared" si="2"/>
        <v>FB1179</v>
      </c>
      <c r="B417" s="23" t="str">
        <f>'2.4.raw'!L417</f>
        <v>FB1179</v>
      </c>
      <c r="C417" s="24">
        <f>datevalue(left('2.4.raw'!A417,10))</f>
        <v>43804</v>
      </c>
      <c r="D417" s="23">
        <f>'2.4.raw'!G417</f>
        <v>99</v>
      </c>
      <c r="E417" s="1">
        <v>2.4</v>
      </c>
      <c r="F417" s="23" t="b">
        <f>if(countif(Status!C:C,A417)=1,TRUE, FALSE)</f>
        <v>1</v>
      </c>
      <c r="G417" s="23" t="str">
        <f>'2.4.raw'!AQ417</f>
        <v>Sample collected by Ashis saha</v>
      </c>
    </row>
    <row r="418">
      <c r="A418" s="23" t="str">
        <f t="shared" si="2"/>
        <v>MO1129</v>
      </c>
      <c r="B418" s="23" t="str">
        <f>'2.4.raw'!L418</f>
        <v>MO1129</v>
      </c>
      <c r="C418" s="24">
        <f>datevalue(left('2.4.raw'!A418,10))</f>
        <v>43804</v>
      </c>
      <c r="D418" s="23">
        <f>'2.4.raw'!G418</f>
        <v>12</v>
      </c>
      <c r="E418" s="1">
        <v>2.4</v>
      </c>
      <c r="F418" s="23" t="b">
        <f>if(countif(Status!C:C,A418)=1,TRUE, FALSE)</f>
        <v>1</v>
      </c>
      <c r="G418" s="23" t="str">
        <f>'2.4.raw'!AQ418</f>
        <v>Sample collected by Biplab Jash</v>
      </c>
    </row>
    <row r="419">
      <c r="A419" s="23" t="str">
        <f t="shared" si="2"/>
        <v>FB1180</v>
      </c>
      <c r="B419" s="23" t="str">
        <f>'2.4.raw'!L419</f>
        <v>FB1180</v>
      </c>
      <c r="C419" s="24">
        <f>datevalue(left('2.4.raw'!A419,10))</f>
        <v>43804</v>
      </c>
      <c r="D419" s="23">
        <f>'2.4.raw'!G419</f>
        <v>99</v>
      </c>
      <c r="E419" s="1">
        <v>2.4</v>
      </c>
      <c r="F419" s="23" t="b">
        <f>if(countif(Status!C:C,A419)=1,TRUE, FALSE)</f>
        <v>1</v>
      </c>
      <c r="G419" s="23" t="str">
        <f>'2.4.raw'!AQ419</f>
        <v>Sample collected by Biplab Jash</v>
      </c>
    </row>
    <row r="420">
      <c r="A420" s="23" t="str">
        <f t="shared" si="2"/>
        <v>PLc1110</v>
      </c>
      <c r="B420" s="23" t="str">
        <f>'2.4.raw'!L420</f>
        <v>PLc1110</v>
      </c>
      <c r="C420" s="24">
        <f>datevalue(left('2.4.raw'!A420,10))</f>
        <v>43804</v>
      </c>
      <c r="D420" s="23">
        <f>'2.4.raw'!G420</f>
        <v>11</v>
      </c>
      <c r="E420" s="1">
        <v>2.4</v>
      </c>
      <c r="F420" s="23" t="b">
        <f>if(countif(Status!C:C,A420)=1,TRUE, FALSE)</f>
        <v>1</v>
      </c>
      <c r="G420" s="23" t="str">
        <f>'2.4.raw'!AQ420</f>
        <v>Sample collected by Suvankar Mandal</v>
      </c>
    </row>
    <row r="421">
      <c r="A421" s="23" t="str">
        <f t="shared" si="2"/>
        <v>FB1181</v>
      </c>
      <c r="B421" s="23" t="str">
        <f>'2.4.raw'!L421</f>
        <v>FB1181</v>
      </c>
      <c r="C421" s="24">
        <f>datevalue(left('2.4.raw'!A421,10))</f>
        <v>43804</v>
      </c>
      <c r="D421" s="23">
        <f>'2.4.raw'!G421</f>
        <v>99</v>
      </c>
      <c r="E421" s="1">
        <v>2.4</v>
      </c>
      <c r="F421" s="23" t="b">
        <f>if(countif(Status!C:C,A421)=1,TRUE, FALSE)</f>
        <v>1</v>
      </c>
      <c r="G421" s="23" t="str">
        <f>'2.4.raw'!AQ421</f>
        <v>Sample collected by Suvankar Mandal, FB at PLc1110 site</v>
      </c>
    </row>
    <row r="422">
      <c r="A422" s="23" t="str">
        <f t="shared" si="2"/>
        <v>PLc1111</v>
      </c>
      <c r="B422" s="23" t="str">
        <f>'2.4.raw'!L422</f>
        <v>PLc1111</v>
      </c>
      <c r="C422" s="24">
        <f>datevalue(left('2.4.raw'!A422,10))</f>
        <v>43804</v>
      </c>
      <c r="D422" s="23">
        <f>'2.4.raw'!G422</f>
        <v>11</v>
      </c>
      <c r="E422" s="1">
        <v>2.4</v>
      </c>
      <c r="F422" s="23" t="b">
        <f>if(countif(Status!C:C,A422)=1,TRUE, FALSE)</f>
        <v>1</v>
      </c>
      <c r="G422" s="23" t="str">
        <f>'2.4.raw'!AQ422</f>
        <v>Sample collected by Somnath Sarkar</v>
      </c>
    </row>
    <row r="423">
      <c r="A423" s="23" t="str">
        <f t="shared" si="2"/>
        <v>FB1182</v>
      </c>
      <c r="B423" s="23" t="str">
        <f>'2.4.raw'!L423</f>
        <v>FB1182</v>
      </c>
      <c r="C423" s="24">
        <f>datevalue(left('2.4.raw'!A423,10))</f>
        <v>43804</v>
      </c>
      <c r="D423" s="23">
        <f>'2.4.raw'!G423</f>
        <v>99</v>
      </c>
      <c r="E423" s="1">
        <v>2.4</v>
      </c>
      <c r="F423" s="23" t="b">
        <f>if(countif(Status!C:C,A423)=1,TRUE, FALSE)</f>
        <v>1</v>
      </c>
      <c r="G423" s="23" t="str">
        <f>'2.4.raw'!AQ423</f>
        <v>Sample collected by Somnath Sarkar, FB at PLc1111 site</v>
      </c>
    </row>
    <row r="424">
      <c r="A424" s="23" t="str">
        <f t="shared" si="2"/>
        <v>PLc1112</v>
      </c>
      <c r="B424" s="23" t="str">
        <f>'2.4.raw'!L424</f>
        <v>PLc1112</v>
      </c>
      <c r="C424" s="24">
        <f>datevalue(left('2.4.raw'!A424,10))</f>
        <v>43804</v>
      </c>
      <c r="D424" s="23">
        <f>'2.4.raw'!G424</f>
        <v>11</v>
      </c>
      <c r="E424" s="1">
        <v>2.4</v>
      </c>
      <c r="F424" s="23" t="b">
        <f>if(countif(Status!C:C,A424)=1,TRUE, FALSE)</f>
        <v>1</v>
      </c>
      <c r="G424" s="23" t="str">
        <f>'2.4.raw'!AQ424</f>
        <v>Sample collected by Suvankar Mandal</v>
      </c>
    </row>
    <row r="425">
      <c r="A425" s="23" t="str">
        <f t="shared" si="2"/>
        <v>FB1183</v>
      </c>
      <c r="B425" s="23" t="str">
        <f>'2.4.raw'!L425</f>
        <v>FB1183</v>
      </c>
      <c r="C425" s="24">
        <f>datevalue(left('2.4.raw'!A425,10))</f>
        <v>43804</v>
      </c>
      <c r="D425" s="23">
        <f>'2.4.raw'!G425</f>
        <v>99</v>
      </c>
      <c r="E425" s="1">
        <v>2.4</v>
      </c>
      <c r="F425" s="23" t="b">
        <f>if(countif(Status!C:C,A425)=1,TRUE, FALSE)</f>
        <v>1</v>
      </c>
      <c r="G425" s="23" t="str">
        <f>'2.4.raw'!AQ425</f>
        <v>Sample collected by Suvankar Mandal, FB at PLc1112 site</v>
      </c>
    </row>
    <row r="426">
      <c r="A426" s="23" t="str">
        <f t="shared" si="2"/>
        <v>PLc1113</v>
      </c>
      <c r="B426" s="23" t="str">
        <f>'2.4.raw'!L426</f>
        <v>PLc1113</v>
      </c>
      <c r="C426" s="24">
        <f>datevalue(left('2.4.raw'!A426,10))</f>
        <v>43804</v>
      </c>
      <c r="D426" s="23">
        <f>'2.4.raw'!G426</f>
        <v>11</v>
      </c>
      <c r="E426" s="1">
        <v>2.4</v>
      </c>
      <c r="F426" s="23" t="b">
        <f>if(countif(Status!C:C,A426)=1,TRUE, FALSE)</f>
        <v>1</v>
      </c>
      <c r="G426" s="23" t="str">
        <f>'2.4.raw'!AQ426</f>
        <v>Sample collected by Somnath Sarkar</v>
      </c>
    </row>
    <row r="427">
      <c r="A427" s="23" t="str">
        <f t="shared" si="2"/>
        <v>FB1184</v>
      </c>
      <c r="B427" s="23" t="str">
        <f>'2.4.raw'!L427</f>
        <v>FB1184</v>
      </c>
      <c r="C427" s="24">
        <f>datevalue(left('2.4.raw'!A427,10))</f>
        <v>43804</v>
      </c>
      <c r="D427" s="23">
        <f>'2.4.raw'!G427</f>
        <v>99</v>
      </c>
      <c r="E427" s="1">
        <v>2.4</v>
      </c>
      <c r="F427" s="23" t="b">
        <f>if(countif(Status!C:C,A427)=1,TRUE, FALSE)</f>
        <v>1</v>
      </c>
      <c r="G427" s="23" t="str">
        <f>'2.4.raw'!AQ427</f>
        <v>Sample collected by Somnath Sarkar, FB at PLc1113 site</v>
      </c>
    </row>
    <row r="428">
      <c r="A428" s="23" t="str">
        <f t="shared" si="2"/>
        <v>PLc1114</v>
      </c>
      <c r="B428" s="23" t="str">
        <f>'2.4.raw'!L428</f>
        <v>PLc1114</v>
      </c>
      <c r="C428" s="24">
        <f>datevalue(left('2.4.raw'!A428,10))</f>
        <v>43805</v>
      </c>
      <c r="D428" s="23">
        <f>'2.4.raw'!G428</f>
        <v>11</v>
      </c>
      <c r="E428" s="1">
        <v>2.4</v>
      </c>
      <c r="F428" s="23" t="b">
        <f>if(countif(Status!C:C,A428)=1,TRUE, FALSE)</f>
        <v>1</v>
      </c>
      <c r="G428" s="23" t="str">
        <f>'2.4.raw'!AQ428</f>
        <v>Sample collected by Buddhadeb Samaddar</v>
      </c>
    </row>
    <row r="429">
      <c r="A429" s="23" t="str">
        <f t="shared" si="2"/>
        <v>FB1185</v>
      </c>
      <c r="B429" s="23" t="str">
        <f>'2.4.raw'!L429</f>
        <v>FB1185</v>
      </c>
      <c r="C429" s="24">
        <f>datevalue(left('2.4.raw'!A429,10))</f>
        <v>43805</v>
      </c>
      <c r="D429" s="23">
        <f>'2.4.raw'!G429</f>
        <v>99</v>
      </c>
      <c r="E429" s="1">
        <v>2.4</v>
      </c>
      <c r="F429" s="23" t="b">
        <f>if(countif(Status!C:C,A429)=1,TRUE, FALSE)</f>
        <v>1</v>
      </c>
      <c r="G429" s="23" t="str">
        <f>'2.4.raw'!AQ429</f>
        <v>Sample collected by Buddhadeb, FB at PLc1114 site</v>
      </c>
    </row>
    <row r="430">
      <c r="A430" s="23" t="str">
        <f t="shared" si="2"/>
        <v>PLc1115</v>
      </c>
      <c r="B430" s="23" t="str">
        <f>'2.4.raw'!L430</f>
        <v>PLc1115</v>
      </c>
      <c r="C430" s="24">
        <f>datevalue(left('2.4.raw'!A430,10))</f>
        <v>43805</v>
      </c>
      <c r="D430" s="23">
        <f>'2.4.raw'!G430</f>
        <v>11</v>
      </c>
      <c r="E430" s="1">
        <v>2.4</v>
      </c>
      <c r="F430" s="23" t="b">
        <f>if(countif(Status!C:C,A430)=1,TRUE, FALSE)</f>
        <v>1</v>
      </c>
      <c r="G430" s="23" t="str">
        <f>'2.4.raw'!AQ430</f>
        <v>Sample collected by Somnath Sarkar</v>
      </c>
    </row>
    <row r="431">
      <c r="A431" s="23" t="str">
        <f t="shared" si="2"/>
        <v>FB1186</v>
      </c>
      <c r="B431" s="23" t="str">
        <f>'2.4.raw'!L431</f>
        <v>FB1186</v>
      </c>
      <c r="C431" s="24">
        <f>datevalue(left('2.4.raw'!A431,10))</f>
        <v>43805</v>
      </c>
      <c r="D431" s="23">
        <f>'2.4.raw'!G431</f>
        <v>99</v>
      </c>
      <c r="E431" s="1">
        <v>2.4</v>
      </c>
      <c r="F431" s="23" t="b">
        <f>if(countif(Status!C:C,A431)=1,TRUE, FALSE)</f>
        <v>1</v>
      </c>
      <c r="G431" s="23" t="str">
        <f>'2.4.raw'!AQ431</f>
        <v>Sample collected by Somnath Sarkar, FB at PLc1115 site</v>
      </c>
    </row>
    <row r="432">
      <c r="A432" s="23" t="str">
        <f t="shared" si="2"/>
        <v>PLc1116</v>
      </c>
      <c r="B432" s="23" t="str">
        <f>'2.4.raw'!L432</f>
        <v>PLc1116</v>
      </c>
      <c r="C432" s="24">
        <f>datevalue(left('2.4.raw'!A432,10))</f>
        <v>43805</v>
      </c>
      <c r="D432" s="23">
        <f>'2.4.raw'!G432</f>
        <v>11</v>
      </c>
      <c r="E432" s="1">
        <v>2.4</v>
      </c>
      <c r="F432" s="23" t="b">
        <f>if(countif(Status!C:C,A432)=1,TRUE, FALSE)</f>
        <v>1</v>
      </c>
      <c r="G432" s="23" t="str">
        <f>'2.4.raw'!AQ432</f>
        <v>Sample collected by Biplab Jash</v>
      </c>
    </row>
    <row r="433">
      <c r="A433" s="23" t="str">
        <f t="shared" si="2"/>
        <v>FB1187</v>
      </c>
      <c r="B433" s="23" t="str">
        <f>'2.4.raw'!L433</f>
        <v>FB1187</v>
      </c>
      <c r="C433" s="24">
        <f>datevalue(left('2.4.raw'!A433,10))</f>
        <v>43805</v>
      </c>
      <c r="D433" s="23">
        <f>'2.4.raw'!G433</f>
        <v>99</v>
      </c>
      <c r="E433" s="1">
        <v>2.4</v>
      </c>
      <c r="F433" s="23" t="b">
        <f>if(countif(Status!C:C,A433)=1,TRUE, FALSE)</f>
        <v>1</v>
      </c>
      <c r="G433" s="23" t="str">
        <f>'2.4.raw'!AQ433</f>
        <v>Sample collected by Biplab Jash, FB at PLc1116 site</v>
      </c>
    </row>
    <row r="434">
      <c r="A434" s="23" t="str">
        <f t="shared" si="2"/>
        <v>PLc1117</v>
      </c>
      <c r="B434" s="23" t="str">
        <f>'2.4.raw'!L434</f>
        <v>PLc1117</v>
      </c>
      <c r="C434" s="24">
        <f>datevalue(left('2.4.raw'!A434,10))</f>
        <v>43805</v>
      </c>
      <c r="D434" s="23">
        <f>'2.4.raw'!G434</f>
        <v>11</v>
      </c>
      <c r="E434" s="1">
        <v>2.4</v>
      </c>
      <c r="F434" s="23" t="b">
        <f>if(countif(Status!C:C,A434)=1,TRUE, FALSE)</f>
        <v>1</v>
      </c>
      <c r="G434" s="23" t="str">
        <f>'2.4.raw'!AQ434</f>
        <v>Sample collected by Somnath Sarkar</v>
      </c>
    </row>
    <row r="435">
      <c r="A435" s="23" t="str">
        <f t="shared" si="2"/>
        <v>FB1188</v>
      </c>
      <c r="B435" s="23" t="str">
        <f>'2.4.raw'!L435</f>
        <v>FB1188</v>
      </c>
      <c r="C435" s="24">
        <f>datevalue(left('2.4.raw'!A435,10))</f>
        <v>43805</v>
      </c>
      <c r="D435" s="23">
        <f>'2.4.raw'!G435</f>
        <v>99</v>
      </c>
      <c r="E435" s="1">
        <v>2.4</v>
      </c>
      <c r="F435" s="23" t="b">
        <f>if(countif(Status!C:C,A435)=1,TRUE, FALSE)</f>
        <v>1</v>
      </c>
      <c r="G435" s="23" t="str">
        <f>'2.4.raw'!AQ435</f>
        <v>Sample collected by Somnath Sarkar, FB at PLc1117 site</v>
      </c>
    </row>
    <row r="436">
      <c r="A436" s="23" t="str">
        <f t="shared" si="2"/>
        <v>PLc1118</v>
      </c>
      <c r="B436" s="23" t="str">
        <f>'2.4.raw'!L436</f>
        <v>PLc1118</v>
      </c>
      <c r="C436" s="24">
        <f>datevalue(left('2.4.raw'!A436,10))</f>
        <v>43808</v>
      </c>
      <c r="D436" s="23">
        <f>'2.4.raw'!G436</f>
        <v>11</v>
      </c>
      <c r="E436" s="1">
        <v>2.4</v>
      </c>
      <c r="F436" s="23" t="b">
        <f>if(countif(Status!C:C,A436)=1,TRUE, FALSE)</f>
        <v>1</v>
      </c>
      <c r="G436" s="23" t="str">
        <f>'2.4.raw'!AQ436</f>
        <v>Sample collected by Biplab Jash</v>
      </c>
    </row>
    <row r="437">
      <c r="A437" s="23" t="str">
        <f t="shared" si="2"/>
        <v>FB1189</v>
      </c>
      <c r="B437" s="23" t="str">
        <f>'2.4.raw'!L437</f>
        <v>FB1189</v>
      </c>
      <c r="C437" s="24">
        <f>datevalue(left('2.4.raw'!A437,10))</f>
        <v>43808</v>
      </c>
      <c r="D437" s="23">
        <f>'2.4.raw'!G437</f>
        <v>99</v>
      </c>
      <c r="E437" s="1">
        <v>2.4</v>
      </c>
      <c r="F437" s="23" t="b">
        <f>if(countif(Status!C:C,A437)=1,TRUE, FALSE)</f>
        <v>1</v>
      </c>
      <c r="G437" s="23" t="str">
        <f>'2.4.raw'!AQ437</f>
        <v>Sample collected by Biplab Jash, FB at PLc1118 site</v>
      </c>
    </row>
    <row r="438">
      <c r="A438" s="23" t="str">
        <f t="shared" si="2"/>
        <v>PLc1119</v>
      </c>
      <c r="B438" s="23" t="str">
        <f>'2.4.raw'!L438</f>
        <v>PLc1119</v>
      </c>
      <c r="C438" s="24">
        <f>datevalue(left('2.4.raw'!A438,10))</f>
        <v>43808</v>
      </c>
      <c r="D438" s="23">
        <f>'2.4.raw'!G438</f>
        <v>11</v>
      </c>
      <c r="E438" s="1">
        <v>2.4</v>
      </c>
      <c r="F438" s="23" t="b">
        <f>if(countif(Status!C:C,A438)=1,TRUE, FALSE)</f>
        <v>1</v>
      </c>
      <c r="G438" s="23" t="str">
        <f>'2.4.raw'!AQ438</f>
        <v>Sample collected by Debabrata Maity</v>
      </c>
    </row>
    <row r="439">
      <c r="A439" s="23" t="str">
        <f t="shared" si="2"/>
        <v>FB1190</v>
      </c>
      <c r="B439" s="23" t="str">
        <f>'2.4.raw'!L439</f>
        <v>FB1190</v>
      </c>
      <c r="C439" s="24">
        <f>datevalue(left('2.4.raw'!A439,10))</f>
        <v>43808</v>
      </c>
      <c r="D439" s="23">
        <f>'2.4.raw'!G439</f>
        <v>99</v>
      </c>
      <c r="E439" s="1">
        <v>2.4</v>
      </c>
      <c r="F439" s="23" t="b">
        <f>if(countif(Status!C:C,A439)=1,TRUE, FALSE)</f>
        <v>1</v>
      </c>
      <c r="G439" s="23" t="str">
        <f>'2.4.raw'!AQ439</f>
        <v>Sample collected by Debabrata Maity</v>
      </c>
    </row>
    <row r="440">
      <c r="A440" s="23" t="str">
        <f t="shared" si="2"/>
        <v>PLc1120</v>
      </c>
      <c r="B440" s="23" t="str">
        <f>'2.4.raw'!L440</f>
        <v>PLc1120</v>
      </c>
      <c r="C440" s="24">
        <f>datevalue(left('2.4.raw'!A440,10))</f>
        <v>43808</v>
      </c>
      <c r="D440" s="23">
        <f>'2.4.raw'!G440</f>
        <v>11</v>
      </c>
      <c r="E440" s="1">
        <v>2.4</v>
      </c>
      <c r="F440" s="23" t="b">
        <f>if(countif(Status!C:C,A440)=1,TRUE, FALSE)</f>
        <v>1</v>
      </c>
      <c r="G440" s="23" t="str">
        <f>'2.4.raw'!AQ440</f>
        <v>Sample collected by Biplab Jash</v>
      </c>
    </row>
    <row r="441">
      <c r="A441" s="23" t="str">
        <f t="shared" si="2"/>
        <v>FB1191</v>
      </c>
      <c r="B441" s="23" t="str">
        <f>'2.4.raw'!L441</f>
        <v>FB1191</v>
      </c>
      <c r="C441" s="24">
        <f>datevalue(left('2.4.raw'!A441,10))</f>
        <v>43808</v>
      </c>
      <c r="D441" s="23">
        <f>'2.4.raw'!G441</f>
        <v>99</v>
      </c>
      <c r="E441" s="1">
        <v>2.4</v>
      </c>
      <c r="F441" s="23" t="b">
        <f>if(countif(Status!C:C,A441)=1,TRUE, FALSE)</f>
        <v>1</v>
      </c>
      <c r="G441" s="23" t="str">
        <f>'2.4.raw'!AQ441</f>
        <v>Sample collected by Biplab Jash</v>
      </c>
    </row>
    <row r="442">
      <c r="A442" s="23" t="str">
        <f t="shared" si="2"/>
        <v>PLc1121</v>
      </c>
      <c r="B442" s="23" t="str">
        <f>'2.4.raw'!L442</f>
        <v>PLc1121</v>
      </c>
      <c r="C442" s="24">
        <f>datevalue(left('2.4.raw'!A442,10))</f>
        <v>43808</v>
      </c>
      <c r="D442" s="23">
        <f>'2.4.raw'!G442</f>
        <v>11</v>
      </c>
      <c r="E442" s="1">
        <v>2.4</v>
      </c>
      <c r="F442" s="23" t="b">
        <f>if(countif(Status!C:C,A442)=1,TRUE, FALSE)</f>
        <v>1</v>
      </c>
      <c r="G442" s="23" t="str">
        <f>'2.4.raw'!AQ442</f>
        <v>Sample collected by Debabrata Maity</v>
      </c>
    </row>
    <row r="443">
      <c r="A443" s="23" t="str">
        <f t="shared" si="2"/>
        <v>FB1192</v>
      </c>
      <c r="B443" s="23" t="str">
        <f>'2.4.raw'!L443</f>
        <v>FB1192</v>
      </c>
      <c r="C443" s="24">
        <f>datevalue(left('2.4.raw'!A443,10))</f>
        <v>43808</v>
      </c>
      <c r="D443" s="23">
        <f>'2.4.raw'!G443</f>
        <v>99</v>
      </c>
      <c r="E443" s="1">
        <v>2.4</v>
      </c>
      <c r="F443" s="23" t="b">
        <f>if(countif(Status!C:C,A443)=1,TRUE, FALSE)</f>
        <v>1</v>
      </c>
      <c r="G443" s="23" t="str">
        <f>'2.4.raw'!AQ443</f>
        <v>Sample collected by Debabrata Maity, FB At PLc1121 site</v>
      </c>
    </row>
    <row r="444">
      <c r="A444" s="23" t="str">
        <f t="shared" si="2"/>
        <v>MO1130</v>
      </c>
      <c r="B444" s="23" t="str">
        <f>'2.4.raw'!L444</f>
        <v>MO1130</v>
      </c>
      <c r="C444" s="24">
        <f>datevalue(left('2.4.raw'!A444,10))</f>
        <v>43809</v>
      </c>
      <c r="D444" s="23">
        <f>'2.4.raw'!G444</f>
        <v>12</v>
      </c>
      <c r="E444" s="1">
        <v>2.4</v>
      </c>
      <c r="F444" s="23" t="b">
        <f>if(countif(Status!C:C,A444)=1,TRUE, FALSE)</f>
        <v>1</v>
      </c>
      <c r="G444" s="23" t="str">
        <f>'2.4.raw'!AQ444</f>
        <v>Sample collected by Biplab Jash</v>
      </c>
    </row>
    <row r="445">
      <c r="A445" s="23" t="str">
        <f t="shared" si="2"/>
        <v>FB1197</v>
      </c>
      <c r="B445" s="23" t="str">
        <f>'2.4.raw'!L445</f>
        <v>FB1197</v>
      </c>
      <c r="C445" s="24">
        <f>datevalue(left('2.4.raw'!A445,10))</f>
        <v>43809</v>
      </c>
      <c r="D445" s="23">
        <f>'2.4.raw'!G445</f>
        <v>99</v>
      </c>
      <c r="E445" s="1">
        <v>2.4</v>
      </c>
      <c r="F445" s="23" t="b">
        <f>if(countif(Status!C:C,A445)=1,TRUE, FALSE)</f>
        <v>1</v>
      </c>
      <c r="G445" s="23" t="str">
        <f>'2.4.raw'!AQ445</f>
        <v>Sample collected by Biplab Jash</v>
      </c>
    </row>
    <row r="446">
      <c r="A446" s="23" t="str">
        <f t="shared" si="2"/>
        <v>MO1131</v>
      </c>
      <c r="B446" s="23" t="str">
        <f>'2.4.raw'!L446</f>
        <v>MO1131</v>
      </c>
      <c r="C446" s="24">
        <f>datevalue(left('2.4.raw'!A446,10))</f>
        <v>43809</v>
      </c>
      <c r="D446" s="23">
        <f>'2.4.raw'!G446</f>
        <v>12</v>
      </c>
      <c r="E446" s="1">
        <v>2.4</v>
      </c>
      <c r="F446" s="23" t="b">
        <f>if(countif(Status!C:C,A446)=1,TRUE, FALSE)</f>
        <v>1</v>
      </c>
      <c r="G446" s="23" t="str">
        <f>'2.4.raw'!AQ446</f>
        <v>Sample collected by Buddhadeb Samaddar</v>
      </c>
    </row>
    <row r="447">
      <c r="A447" s="23" t="str">
        <f t="shared" si="2"/>
        <v>FB1198</v>
      </c>
      <c r="B447" s="23" t="str">
        <f>'2.4.raw'!L447</f>
        <v>FB1198</v>
      </c>
      <c r="C447" s="24">
        <f>datevalue(left('2.4.raw'!A447,10))</f>
        <v>43809</v>
      </c>
      <c r="D447" s="23">
        <f>'2.4.raw'!G447</f>
        <v>99</v>
      </c>
      <c r="E447" s="1">
        <v>2.4</v>
      </c>
      <c r="F447" s="23" t="b">
        <f>if(countif(Status!C:C,A447)=1,TRUE, FALSE)</f>
        <v>1</v>
      </c>
      <c r="G447" s="23" t="str">
        <f>'2.4.raw'!AQ447</f>
        <v>Sample collected by Buddhadeb Samaddar</v>
      </c>
    </row>
    <row r="448">
      <c r="A448" s="55" t="str">
        <f t="shared" si="2"/>
        <v>PLc8122</v>
      </c>
      <c r="B448" s="23" t="str">
        <f>'2.4.raw'!L448</f>
        <v>PLc8122</v>
      </c>
      <c r="C448" s="24">
        <f>datevalue(left('2.4.raw'!A448,10))</f>
        <v>43809</v>
      </c>
      <c r="D448" s="23">
        <f>'2.4.raw'!G448</f>
        <v>11</v>
      </c>
      <c r="E448" s="1">
        <v>2.4</v>
      </c>
      <c r="F448" s="23" t="b">
        <f>if(countif(Status!C:C,A448)=1,TRUE, FALSE)</f>
        <v>1</v>
      </c>
      <c r="G448" s="23" t="str">
        <f>'2.4.raw'!AQ448</f>
        <v>Sample collected by Suvankar Mandal</v>
      </c>
    </row>
    <row r="449">
      <c r="A449" s="23" t="str">
        <f t="shared" si="2"/>
        <v>FB1193</v>
      </c>
      <c r="B449" s="23" t="str">
        <f>'2.4.raw'!L449</f>
        <v>FB1193</v>
      </c>
      <c r="C449" s="24">
        <f>datevalue(left('2.4.raw'!A449,10))</f>
        <v>43809</v>
      </c>
      <c r="D449" s="23">
        <f>'2.4.raw'!G449</f>
        <v>99</v>
      </c>
      <c r="E449" s="1">
        <v>2.4</v>
      </c>
      <c r="F449" s="23" t="b">
        <f>if(countif(Status!C:C,A449)=1,TRUE, FALSE)</f>
        <v>1</v>
      </c>
      <c r="G449" s="23" t="str">
        <f>'2.4.raw'!AQ449</f>
        <v>Sample collected by Suvankar Mandal, FB at PLc1122 site</v>
      </c>
    </row>
    <row r="450">
      <c r="A450" s="23" t="str">
        <f t="shared" si="2"/>
        <v>PLc8123</v>
      </c>
      <c r="B450" s="23" t="str">
        <f>'2.4.raw'!L450</f>
        <v>PLc8123</v>
      </c>
      <c r="C450" s="24">
        <f>datevalue(left('2.4.raw'!A450,10))</f>
        <v>43809</v>
      </c>
      <c r="D450" s="23">
        <f>'2.4.raw'!G450</f>
        <v>11</v>
      </c>
      <c r="E450" s="1">
        <v>2.4</v>
      </c>
      <c r="F450" s="23" t="b">
        <f>if(countif(Status!C:C,A450)=1,TRUE, FALSE)</f>
        <v>1</v>
      </c>
      <c r="G450" s="23" t="str">
        <f>'2.4.raw'!AQ450</f>
        <v>Sample collected by Asish Saha</v>
      </c>
    </row>
    <row r="451">
      <c r="A451" s="23" t="str">
        <f t="shared" si="2"/>
        <v>FB1194</v>
      </c>
      <c r="B451" s="23" t="str">
        <f>'2.4.raw'!L451</f>
        <v>FB1194</v>
      </c>
      <c r="C451" s="24">
        <f>datevalue(left('2.4.raw'!A451,10))</f>
        <v>43809</v>
      </c>
      <c r="D451" s="23">
        <f>'2.4.raw'!G451</f>
        <v>99</v>
      </c>
      <c r="E451" s="1">
        <v>2.4</v>
      </c>
      <c r="F451" s="23" t="b">
        <f>if(countif(Status!C:C,A451)=1,TRUE, FALSE)</f>
        <v>1</v>
      </c>
      <c r="G451" s="23" t="str">
        <f>'2.4.raw'!AQ451</f>
        <v>Sample collected by Asish Saha, FB at PLc1123 site</v>
      </c>
    </row>
    <row r="452">
      <c r="A452" s="23" t="str">
        <f t="shared" si="2"/>
        <v>PLc1124</v>
      </c>
      <c r="B452" s="23" t="str">
        <f>'2.4.raw'!L452</f>
        <v>PLc1124</v>
      </c>
      <c r="C452" s="24">
        <f>datevalue(left('2.4.raw'!A452,10))</f>
        <v>43809</v>
      </c>
      <c r="D452" s="23">
        <f>'2.4.raw'!G452</f>
        <v>11</v>
      </c>
      <c r="E452" s="1">
        <v>2.4</v>
      </c>
      <c r="F452" s="23" t="b">
        <f>if(countif(Status!C:C,A452)=1,TRUE, FALSE)</f>
        <v>1</v>
      </c>
      <c r="G452" s="23" t="str">
        <f>'2.4.raw'!AQ452</f>
        <v>Sample collected by Somnath Sarkar</v>
      </c>
    </row>
    <row r="453">
      <c r="A453" s="23" t="str">
        <f t="shared" si="2"/>
        <v>FB1195</v>
      </c>
      <c r="B453" s="23" t="str">
        <f>'2.4.raw'!L453</f>
        <v>FB1195</v>
      </c>
      <c r="C453" s="24">
        <f>datevalue(left('2.4.raw'!A453,10))</f>
        <v>43809</v>
      </c>
      <c r="D453" s="23">
        <f>'2.4.raw'!G453</f>
        <v>99</v>
      </c>
      <c r="E453" s="1">
        <v>2.4</v>
      </c>
      <c r="F453" s="23" t="b">
        <f>if(countif(Status!C:C,A453)=1,TRUE, FALSE)</f>
        <v>1</v>
      </c>
      <c r="G453" s="23" t="str">
        <f>'2.4.raw'!AQ453</f>
        <v>Sample collected by Somnath Sarkar, FB at PLc1124 site</v>
      </c>
    </row>
    <row r="454">
      <c r="A454" s="23" t="str">
        <f t="shared" si="2"/>
        <v>PLc1125</v>
      </c>
      <c r="B454" s="23" t="str">
        <f>'2.4.raw'!L454</f>
        <v>PLc1125</v>
      </c>
      <c r="C454" s="24">
        <f>datevalue(left('2.4.raw'!A454,10))</f>
        <v>43809</v>
      </c>
      <c r="D454" s="23">
        <f>'2.4.raw'!G454</f>
        <v>11</v>
      </c>
      <c r="E454" s="1">
        <v>2.4</v>
      </c>
      <c r="F454" s="23" t="b">
        <f>if(countif(Status!C:C,A454)=1,TRUE, FALSE)</f>
        <v>1</v>
      </c>
      <c r="G454" s="23" t="str">
        <f>'2.4.raw'!AQ454</f>
        <v>Sample collected by Asish Saha</v>
      </c>
    </row>
    <row r="455">
      <c r="A455" s="23" t="str">
        <f t="shared" si="2"/>
        <v>FB1196</v>
      </c>
      <c r="B455" s="23" t="str">
        <f>'2.4.raw'!L455</f>
        <v>FB1196</v>
      </c>
      <c r="C455" s="24">
        <f>datevalue(left('2.4.raw'!A455,10))</f>
        <v>43809</v>
      </c>
      <c r="D455" s="23">
        <f>'2.4.raw'!G455</f>
        <v>99</v>
      </c>
      <c r="E455" s="1">
        <v>2.4</v>
      </c>
      <c r="F455" s="23" t="b">
        <f>if(countif(Status!C:C,A455)=1,TRUE, FALSE)</f>
        <v>1</v>
      </c>
      <c r="G455" s="23" t="str">
        <f>'2.4.raw'!AQ455</f>
        <v>Sample collected by Asish Saha, FB at PLc1125 site</v>
      </c>
    </row>
    <row r="456">
      <c r="A456" s="23" t="str">
        <f t="shared" si="2"/>
        <v>PLc1126</v>
      </c>
      <c r="B456" s="23" t="str">
        <f>'2.4.raw'!L456</f>
        <v>PLc1126</v>
      </c>
      <c r="C456" s="24">
        <f>datevalue(left('2.4.raw'!A456,10))</f>
        <v>43811</v>
      </c>
      <c r="D456" s="23">
        <f>'2.4.raw'!G456</f>
        <v>11</v>
      </c>
      <c r="E456" s="1">
        <v>2.4</v>
      </c>
      <c r="F456" s="23" t="b">
        <f>if(countif(Status!C:C,A456)=1,TRUE, FALSE)</f>
        <v>1</v>
      </c>
      <c r="G456" s="23" t="str">
        <f>'2.4.raw'!AQ456</f>
        <v>Sample collected by Suvankar Mandal</v>
      </c>
    </row>
    <row r="457">
      <c r="A457" s="23" t="str">
        <f t="shared" si="2"/>
        <v>FB1201</v>
      </c>
      <c r="B457" s="23" t="str">
        <f>'2.4.raw'!L457</f>
        <v>FB1201</v>
      </c>
      <c r="C457" s="24">
        <f>datevalue(left('2.4.raw'!A457,10))</f>
        <v>43811</v>
      </c>
      <c r="D457" s="23">
        <f>'2.4.raw'!G457</f>
        <v>99</v>
      </c>
      <c r="E457" s="1">
        <v>2.4</v>
      </c>
      <c r="F457" s="23" t="b">
        <f>if(countif(Status!C:C,A457)=1,TRUE, FALSE)</f>
        <v>1</v>
      </c>
      <c r="G457" s="23" t="str">
        <f>'2.4.raw'!AQ457</f>
        <v>Sample collected by Suvankar Mandal, FB at PLc1126</v>
      </c>
    </row>
    <row r="458">
      <c r="A458" s="23" t="str">
        <f t="shared" si="2"/>
        <v>PLc1127</v>
      </c>
      <c r="B458" s="23" t="str">
        <f>'2.4.raw'!L458</f>
        <v>PLc1127</v>
      </c>
      <c r="C458" s="24">
        <f>datevalue(left('2.4.raw'!A458,10))</f>
        <v>43811</v>
      </c>
      <c r="D458" s="23">
        <f>'2.4.raw'!G458</f>
        <v>11</v>
      </c>
      <c r="E458" s="1">
        <v>2.4</v>
      </c>
      <c r="F458" s="23" t="b">
        <f>if(countif(Status!C:C,A458)=1,TRUE, FALSE)</f>
        <v>1</v>
      </c>
      <c r="G458" s="23" t="str">
        <f>'2.4.raw'!AQ458</f>
        <v>Sample collected by Somnath Sarkar</v>
      </c>
    </row>
    <row r="459">
      <c r="A459" s="23" t="str">
        <f t="shared" si="2"/>
        <v>FB1202</v>
      </c>
      <c r="B459" s="23" t="str">
        <f>'2.4.raw'!L459</f>
        <v>FB1202</v>
      </c>
      <c r="C459" s="24">
        <f>datevalue(left('2.4.raw'!A459,10))</f>
        <v>43811</v>
      </c>
      <c r="D459" s="23">
        <f>'2.4.raw'!G459</f>
        <v>99</v>
      </c>
      <c r="E459" s="1">
        <v>2.4</v>
      </c>
      <c r="F459" s="23" t="b">
        <f>if(countif(Status!C:C,A459)=1,TRUE, FALSE)</f>
        <v>1</v>
      </c>
      <c r="G459" s="23" t="str">
        <f>'2.4.raw'!AQ459</f>
        <v>Sample collected by Somnath Sarkar, FB at PLc1127</v>
      </c>
    </row>
    <row r="460">
      <c r="A460" s="23" t="str">
        <f t="shared" si="2"/>
        <v>PLc1128</v>
      </c>
      <c r="B460" s="23" t="str">
        <f>'2.4.raw'!L460</f>
        <v>PLc1128</v>
      </c>
      <c r="C460" s="24">
        <f>datevalue(left('2.4.raw'!A460,10))</f>
        <v>43811</v>
      </c>
      <c r="D460" s="23">
        <f>'2.4.raw'!G460</f>
        <v>11</v>
      </c>
      <c r="E460" s="1">
        <v>2.4</v>
      </c>
      <c r="F460" s="23" t="b">
        <f>if(countif(Status!C:C,A460)=1,TRUE, FALSE)</f>
        <v>1</v>
      </c>
      <c r="G460" s="23" t="str">
        <f>'2.4.raw'!AQ460</f>
        <v>Sample collected by Somnath Sarkar</v>
      </c>
    </row>
    <row r="461">
      <c r="A461" s="23" t="str">
        <f t="shared" si="2"/>
        <v>FB1203</v>
      </c>
      <c r="B461" s="23" t="str">
        <f>'2.4.raw'!L461</f>
        <v>FB1203</v>
      </c>
      <c r="C461" s="24">
        <f>datevalue(left('2.4.raw'!A461,10))</f>
        <v>43811</v>
      </c>
      <c r="D461" s="23">
        <f>'2.4.raw'!G461</f>
        <v>99</v>
      </c>
      <c r="E461" s="1">
        <v>2.4</v>
      </c>
      <c r="F461" s="23" t="b">
        <f>if(countif(Status!C:C,A461)=1,TRUE, FALSE)</f>
        <v>1</v>
      </c>
      <c r="G461" s="23" t="str">
        <f>'2.4.raw'!AQ461</f>
        <v>Sample collected by Somnath Sarkar ,FB at PLc1128</v>
      </c>
    </row>
    <row r="462">
      <c r="A462" s="23" t="str">
        <f t="shared" si="2"/>
        <v>PLc1129</v>
      </c>
      <c r="B462" s="23" t="str">
        <f>'2.4.raw'!L462</f>
        <v>PLc1129</v>
      </c>
      <c r="C462" s="24">
        <f>datevalue(left('2.4.raw'!A462,10))</f>
        <v>43811</v>
      </c>
      <c r="D462" s="23">
        <f>'2.4.raw'!G462</f>
        <v>11</v>
      </c>
      <c r="E462" s="1">
        <v>2.4</v>
      </c>
      <c r="F462" s="23" t="b">
        <f>if(countif(Status!C:C,A462)=1,TRUE, FALSE)</f>
        <v>1</v>
      </c>
      <c r="G462" s="23" t="str">
        <f>'2.4.raw'!AQ462</f>
        <v>Sample collected by Debabrata Maity</v>
      </c>
    </row>
    <row r="463">
      <c r="A463" s="23" t="str">
        <f t="shared" si="2"/>
        <v>FB1204</v>
      </c>
      <c r="B463" s="23" t="str">
        <f>'2.4.raw'!L463</f>
        <v>FB1204</v>
      </c>
      <c r="C463" s="24">
        <f>datevalue(left('2.4.raw'!A463,10))</f>
        <v>43811</v>
      </c>
      <c r="D463" s="23">
        <f>'2.4.raw'!G463</f>
        <v>99</v>
      </c>
      <c r="E463" s="1">
        <v>2.4</v>
      </c>
      <c r="F463" s="23" t="b">
        <f>if(countif(Status!C:C,A463)=1,TRUE, FALSE)</f>
        <v>1</v>
      </c>
      <c r="G463" s="23" t="str">
        <f>'2.4.raw'!AQ463</f>
        <v>Sample collected by Debabrata Maity, FB at PLc1129</v>
      </c>
    </row>
    <row r="464">
      <c r="A464" s="23" t="str">
        <f t="shared" si="2"/>
        <v>PLc1130</v>
      </c>
      <c r="B464" s="23" t="str">
        <f>'2.4.raw'!L464</f>
        <v>PLc1130</v>
      </c>
      <c r="C464" s="24">
        <f>datevalue(left('2.4.raw'!A464,10))</f>
        <v>43811</v>
      </c>
      <c r="D464" s="23">
        <f>'2.4.raw'!G464</f>
        <v>11</v>
      </c>
      <c r="E464" s="1">
        <v>2.4</v>
      </c>
      <c r="F464" s="23" t="b">
        <f>if(countif(Status!C:C,A464)=1,TRUE, FALSE)</f>
        <v>1</v>
      </c>
      <c r="G464" s="23" t="str">
        <f>'2.4.raw'!AQ464</f>
        <v>Sample collected by Suvankar Mandal</v>
      </c>
    </row>
    <row r="465">
      <c r="A465" s="23" t="str">
        <f t="shared" si="2"/>
        <v>FB1205</v>
      </c>
      <c r="B465" s="23" t="str">
        <f>'2.4.raw'!L465</f>
        <v>FB1205</v>
      </c>
      <c r="C465" s="24">
        <f>datevalue(left('2.4.raw'!A465,10))</f>
        <v>43811</v>
      </c>
      <c r="D465" s="23">
        <f>'2.4.raw'!G465</f>
        <v>99</v>
      </c>
      <c r="E465" s="1">
        <v>2.4</v>
      </c>
      <c r="F465" s="23" t="b">
        <f>if(countif(Status!C:C,A465)=1,TRUE, FALSE)</f>
        <v>1</v>
      </c>
      <c r="G465" s="23" t="str">
        <f>'2.4.raw'!AQ465</f>
        <v>Sample collected by Suvankar Mandal, FB at PLc1130</v>
      </c>
    </row>
    <row r="466">
      <c r="A466" s="23" t="str">
        <f t="shared" si="2"/>
        <v>UF1011</v>
      </c>
      <c r="B466" s="23" t="str">
        <f>'2.4.raw'!L466</f>
        <v>UF1011</v>
      </c>
      <c r="C466" s="24">
        <f>datevalue(left('2.4.raw'!A466,10))</f>
        <v>43810</v>
      </c>
      <c r="D466" s="23">
        <f>'2.4.raw'!G466</f>
        <v>11</v>
      </c>
      <c r="E466" s="1">
        <v>2.4</v>
      </c>
      <c r="F466" s="23" t="b">
        <f>if(countif(Status!C:C,A466)=1,TRUE, FALSE)</f>
        <v>1</v>
      </c>
      <c r="G466" s="23" t="str">
        <f>'2.4.raw'!AQ466</f>
        <v>Sample collected by Biplab Jash</v>
      </c>
    </row>
    <row r="467">
      <c r="A467" s="23" t="str">
        <f t="shared" si="2"/>
        <v>MO1132</v>
      </c>
      <c r="B467" s="23" t="str">
        <f>'2.4.raw'!L467</f>
        <v>MO1132</v>
      </c>
      <c r="C467" s="24">
        <f>datevalue(left('2.4.raw'!A467,10))</f>
        <v>43811</v>
      </c>
      <c r="D467" s="23">
        <f>'2.4.raw'!G467</f>
        <v>12</v>
      </c>
      <c r="E467" s="1">
        <v>2.4</v>
      </c>
      <c r="F467" s="23" t="b">
        <f>if(countif(Status!C:C,A467)=1,TRUE, FALSE)</f>
        <v>1</v>
      </c>
      <c r="G467" s="23" t="str">
        <f>'2.4.raw'!AQ467</f>
        <v>Sample collected by Ashis saha</v>
      </c>
    </row>
    <row r="468">
      <c r="A468" s="23" t="str">
        <f t="shared" si="2"/>
        <v>FB1199</v>
      </c>
      <c r="B468" s="23" t="str">
        <f>'2.4.raw'!L468</f>
        <v>FB1199</v>
      </c>
      <c r="C468" s="24">
        <f>datevalue(left('2.4.raw'!A468,10))</f>
        <v>43811</v>
      </c>
      <c r="D468" s="23">
        <f>'2.4.raw'!G468</f>
        <v>99</v>
      </c>
      <c r="E468" s="1">
        <v>2.4</v>
      </c>
      <c r="F468" s="23" t="b">
        <f>if(countif(Status!C:C,A468)=1,TRUE, FALSE)</f>
        <v>1</v>
      </c>
      <c r="G468" s="23" t="str">
        <f>'2.4.raw'!AQ468</f>
        <v>Sample collected by Ashis saha, FB at MO1132</v>
      </c>
    </row>
    <row r="469">
      <c r="A469" s="23" t="str">
        <f t="shared" si="2"/>
        <v>MO1133</v>
      </c>
      <c r="B469" s="23" t="str">
        <f>'2.4.raw'!L469</f>
        <v>MO1133</v>
      </c>
      <c r="C469" s="24">
        <f>datevalue(left('2.4.raw'!A469,10))</f>
        <v>43811</v>
      </c>
      <c r="D469" s="23">
        <f>'2.4.raw'!G469</f>
        <v>12</v>
      </c>
      <c r="E469" s="1">
        <v>2.4</v>
      </c>
      <c r="F469" s="23" t="b">
        <f>if(countif(Status!C:C,A469)=1,TRUE, FALSE)</f>
        <v>1</v>
      </c>
      <c r="G469" s="23" t="str">
        <f>'2.4.raw'!AQ469</f>
        <v>Sample collected by Buddhadeb Samaddar, 1 large &amp; 1 extra large</v>
      </c>
    </row>
    <row r="470">
      <c r="A470" s="23" t="str">
        <f t="shared" si="2"/>
        <v>FB1200</v>
      </c>
      <c r="B470" s="23" t="str">
        <f>'2.4.raw'!L470</f>
        <v>FB1200</v>
      </c>
      <c r="C470" s="24">
        <f>datevalue(left('2.4.raw'!A470,10))</f>
        <v>43811</v>
      </c>
      <c r="D470" s="23">
        <f>'2.4.raw'!G470</f>
        <v>99</v>
      </c>
      <c r="E470" s="1">
        <v>2.4</v>
      </c>
      <c r="F470" s="23" t="b">
        <f>if(countif(Status!C:C,A470)=1,TRUE, FALSE)</f>
        <v>1</v>
      </c>
      <c r="G470" s="23" t="str">
        <f>'2.4.raw'!AQ470</f>
        <v>Sample collected by Buddhadeb Samaddar, FB at MO1133</v>
      </c>
    </row>
    <row r="471">
      <c r="A471" s="23" t="str">
        <f t="shared" si="2"/>
        <v>PLc1131</v>
      </c>
      <c r="B471" s="23" t="str">
        <f>'2.4.raw'!L471</f>
        <v>PLc1131</v>
      </c>
      <c r="C471" s="24">
        <f>datevalue(left('2.4.raw'!A471,10))</f>
        <v>43812</v>
      </c>
      <c r="D471" s="23">
        <f>'2.4.raw'!G471</f>
        <v>11</v>
      </c>
      <c r="E471" s="1">
        <v>2.39999999999999</v>
      </c>
      <c r="F471" s="23" t="b">
        <f>if(countif(Status!C:C,A471)=1,TRUE, FALSE)</f>
        <v>1</v>
      </c>
      <c r="G471" s="23" t="str">
        <f>'2.4.raw'!AQ471</f>
        <v>Sample collected by Somnath Sarkar</v>
      </c>
    </row>
    <row r="472">
      <c r="A472" s="23" t="str">
        <f t="shared" si="2"/>
        <v>FB1206</v>
      </c>
      <c r="B472" s="23" t="str">
        <f>'2.4.raw'!L472</f>
        <v>FB1206</v>
      </c>
      <c r="C472" s="24">
        <f>datevalue(left('2.4.raw'!A472,10))</f>
        <v>43812</v>
      </c>
      <c r="D472" s="23">
        <f>'2.4.raw'!G472</f>
        <v>99</v>
      </c>
      <c r="E472" s="1">
        <v>2.39999999999999</v>
      </c>
      <c r="F472" s="23" t="b">
        <f>if(countif(Status!C:C,A472)=1,TRUE, FALSE)</f>
        <v>1</v>
      </c>
      <c r="G472" s="23" t="str">
        <f>'2.4.raw'!AQ472</f>
        <v>Sample collected by Somnath Sarkar, FB at PLc1131</v>
      </c>
    </row>
    <row r="473">
      <c r="A473" s="23" t="str">
        <f t="shared" si="2"/>
        <v>PLc1132</v>
      </c>
      <c r="B473" s="23" t="str">
        <f>'2.4.raw'!L473</f>
        <v>PLc1132</v>
      </c>
      <c r="C473" s="24">
        <f>datevalue(left('2.4.raw'!A473,10))</f>
        <v>43812</v>
      </c>
      <c r="D473" s="23">
        <f>'2.4.raw'!G473</f>
        <v>11</v>
      </c>
      <c r="E473" s="1">
        <v>2.39999999999999</v>
      </c>
      <c r="F473" s="23" t="b">
        <f>if(countif(Status!C:C,A473)=1,TRUE, FALSE)</f>
        <v>1</v>
      </c>
      <c r="G473" s="23" t="str">
        <f>'2.4.raw'!AQ473</f>
        <v>Sample collected by Biplab Jash</v>
      </c>
    </row>
    <row r="474">
      <c r="A474" s="23" t="str">
        <f t="shared" si="2"/>
        <v>FB1207</v>
      </c>
      <c r="B474" s="23" t="str">
        <f>'2.4.raw'!L474</f>
        <v>FB1207</v>
      </c>
      <c r="C474" s="24">
        <f>datevalue(left('2.4.raw'!A474,10))</f>
        <v>43812</v>
      </c>
      <c r="D474" s="23">
        <f>'2.4.raw'!G474</f>
        <v>99</v>
      </c>
      <c r="E474" s="1">
        <v>2.39999999999999</v>
      </c>
      <c r="F474" s="23" t="b">
        <f>if(countif(Status!C:C,A474)=1,TRUE, FALSE)</f>
        <v>1</v>
      </c>
      <c r="G474" s="23" t="str">
        <f>'2.4.raw'!AQ474</f>
        <v>Sample collected by Biplab Jash ,FB at PLc1132</v>
      </c>
    </row>
    <row r="475">
      <c r="A475" s="23" t="str">
        <f t="shared" si="2"/>
        <v>PLc1133</v>
      </c>
      <c r="B475" s="23" t="str">
        <f>'2.4.raw'!L475</f>
        <v>PLc1133</v>
      </c>
      <c r="C475" s="24">
        <f>datevalue(left('2.4.raw'!A475,10))</f>
        <v>43812</v>
      </c>
      <c r="D475" s="23">
        <f>'2.4.raw'!G475</f>
        <v>11</v>
      </c>
      <c r="E475" s="1">
        <v>2.39999999999999</v>
      </c>
      <c r="F475" s="23" t="b">
        <f>if(countif(Status!C:C,A475)=1,TRUE, FALSE)</f>
        <v>1</v>
      </c>
      <c r="G475" s="23" t="str">
        <f>'2.4.raw'!AQ475</f>
        <v>Sample collected by Biplab Jash</v>
      </c>
    </row>
    <row r="476">
      <c r="A476" s="23" t="str">
        <f t="shared" si="2"/>
        <v>FB1208</v>
      </c>
      <c r="B476" s="23" t="str">
        <f>'2.4.raw'!L476</f>
        <v>FB1208</v>
      </c>
      <c r="C476" s="24">
        <f>datevalue(left('2.4.raw'!A476,10))</f>
        <v>43812</v>
      </c>
      <c r="D476" s="23">
        <f>'2.4.raw'!G476</f>
        <v>99</v>
      </c>
      <c r="E476" s="1">
        <v>2.39999999999999</v>
      </c>
      <c r="F476" s="23" t="b">
        <f>if(countif(Status!C:C,A476)=1,TRUE, FALSE)</f>
        <v>1</v>
      </c>
      <c r="G476" s="23" t="str">
        <f>'2.4.raw'!AQ476</f>
        <v>Sample collected by Biplab Jash, FB at PLc1133</v>
      </c>
    </row>
    <row r="477">
      <c r="A477" s="23" t="str">
        <f t="shared" si="2"/>
        <v>PLc1134</v>
      </c>
      <c r="B477" s="23" t="str">
        <f>'2.4.raw'!L477</f>
        <v>PLc1134</v>
      </c>
      <c r="C477" s="24">
        <f>datevalue(left('2.4.raw'!A477,10))</f>
        <v>43812</v>
      </c>
      <c r="D477" s="23">
        <f>'2.4.raw'!G477</f>
        <v>11</v>
      </c>
      <c r="E477" s="1">
        <v>2.39999999999999</v>
      </c>
      <c r="F477" s="23" t="b">
        <f>if(countif(Status!C:C,A477)=1,TRUE, FALSE)</f>
        <v>1</v>
      </c>
      <c r="G477" s="23" t="str">
        <f>'2.4.raw'!AQ477</f>
        <v>Sample collected by Debabrata Maity</v>
      </c>
    </row>
    <row r="478">
      <c r="A478" s="23" t="str">
        <f t="shared" si="2"/>
        <v>FB1209</v>
      </c>
      <c r="B478" s="23" t="str">
        <f>'2.4.raw'!L478</f>
        <v>FB1209</v>
      </c>
      <c r="C478" s="24">
        <f>datevalue(left('2.4.raw'!A478,10))</f>
        <v>43812</v>
      </c>
      <c r="D478" s="23">
        <f>'2.4.raw'!G478</f>
        <v>99</v>
      </c>
      <c r="E478" s="1">
        <v>2.39999999999999</v>
      </c>
      <c r="F478" s="23" t="b">
        <f>if(countif(Status!C:C,A478)=1,TRUE, FALSE)</f>
        <v>1</v>
      </c>
      <c r="G478" s="23" t="str">
        <f>'2.4.raw'!AQ478</f>
        <v>Sample collected by Debabrata Maity, FB at PLc1134</v>
      </c>
    </row>
    <row r="479">
      <c r="A479" s="23" t="str">
        <f t="shared" si="2"/>
        <v>PLc1135</v>
      </c>
      <c r="B479" s="23" t="str">
        <f>'2.4.raw'!L479</f>
        <v>PLc1135</v>
      </c>
      <c r="C479" s="24">
        <f>datevalue(left('2.4.raw'!A479,10))</f>
        <v>43815</v>
      </c>
      <c r="D479" s="23">
        <f>'2.4.raw'!G479</f>
        <v>11</v>
      </c>
      <c r="E479" s="1">
        <v>2.39999999999999</v>
      </c>
      <c r="F479" s="23" t="b">
        <f>if(countif(Status!C:C,A479)=1,TRUE, FALSE)</f>
        <v>1</v>
      </c>
      <c r="G479" s="23" t="str">
        <f>'2.4.raw'!AQ479</f>
        <v>Sample collected by Suvankar Mandal</v>
      </c>
    </row>
    <row r="480">
      <c r="A480" s="23" t="str">
        <f t="shared" si="2"/>
        <v>FB1210</v>
      </c>
      <c r="B480" s="23" t="str">
        <f>'2.4.raw'!L480</f>
        <v>FB1210</v>
      </c>
      <c r="C480" s="24">
        <f>datevalue(left('2.4.raw'!A480,10))</f>
        <v>43815</v>
      </c>
      <c r="D480" s="23">
        <f>'2.4.raw'!G480</f>
        <v>99</v>
      </c>
      <c r="E480" s="1">
        <v>2.39999999999999</v>
      </c>
      <c r="F480" s="23" t="b">
        <f>if(countif(Status!C:C,A480)=1,TRUE, FALSE)</f>
        <v>1</v>
      </c>
      <c r="G480" s="23" t="str">
        <f>'2.4.raw'!AQ480</f>
        <v>Sample collected by Suvankar Mandal, FB at PLc1135 site</v>
      </c>
    </row>
    <row r="481">
      <c r="A481" s="23" t="str">
        <f t="shared" si="2"/>
        <v>PLc1136</v>
      </c>
      <c r="B481" s="23" t="str">
        <f>'2.4.raw'!L481</f>
        <v>PLc1136</v>
      </c>
      <c r="C481" s="24">
        <f>datevalue(left('2.4.raw'!A481,10))</f>
        <v>43815</v>
      </c>
      <c r="D481" s="23">
        <f>'2.4.raw'!G481</f>
        <v>11</v>
      </c>
      <c r="E481" s="1">
        <v>2.39999999999999</v>
      </c>
      <c r="F481" s="23" t="b">
        <f>if(countif(Status!C:C,A481)=1,TRUE, FALSE)</f>
        <v>1</v>
      </c>
      <c r="G481" s="23" t="str">
        <f>'2.4.raw'!AQ481</f>
        <v>Sample collected by Somnath Sarkar</v>
      </c>
    </row>
    <row r="482">
      <c r="A482" s="23" t="str">
        <f t="shared" si="2"/>
        <v>FB1211</v>
      </c>
      <c r="B482" s="23" t="str">
        <f>'2.4.raw'!L482</f>
        <v>FB1211</v>
      </c>
      <c r="C482" s="24">
        <f>datevalue(left('2.4.raw'!A482,10))</f>
        <v>43815</v>
      </c>
      <c r="D482" s="23">
        <f>'2.4.raw'!G482</f>
        <v>99</v>
      </c>
      <c r="E482" s="1">
        <v>2.39999999999999</v>
      </c>
      <c r="F482" s="23" t="b">
        <f>if(countif(Status!C:C,A482)=1,TRUE, FALSE)</f>
        <v>1</v>
      </c>
      <c r="G482" s="23" t="str">
        <f>'2.4.raw'!AQ482</f>
        <v>Sample collected by Somnath Sarkar, FB at PLc1136 site</v>
      </c>
    </row>
    <row r="483">
      <c r="A483" s="23" t="str">
        <f t="shared" si="2"/>
        <v>PLc1137</v>
      </c>
      <c r="B483" s="23" t="str">
        <f>'2.4.raw'!L483</f>
        <v>PLc1137</v>
      </c>
      <c r="C483" s="24">
        <f>datevalue(left('2.4.raw'!A483,10))</f>
        <v>43815</v>
      </c>
      <c r="D483" s="23">
        <f>'2.4.raw'!G483</f>
        <v>11</v>
      </c>
      <c r="E483" s="1">
        <v>2.39999999999999</v>
      </c>
      <c r="F483" s="23" t="b">
        <f>if(countif(Status!C:C,A483)=1,TRUE, FALSE)</f>
        <v>1</v>
      </c>
      <c r="G483" s="23" t="str">
        <f>'2.4.raw'!AQ483</f>
        <v>Sample collected by Buddhadeb Samaddar</v>
      </c>
    </row>
    <row r="484">
      <c r="A484" s="23" t="str">
        <f t="shared" si="2"/>
        <v>FB1212</v>
      </c>
      <c r="B484" s="23" t="str">
        <f>'2.4.raw'!L484</f>
        <v>FB1212</v>
      </c>
      <c r="C484" s="24">
        <f>datevalue(left('2.4.raw'!A484,10))</f>
        <v>43815</v>
      </c>
      <c r="D484" s="23">
        <f>'2.4.raw'!G484</f>
        <v>99</v>
      </c>
      <c r="E484" s="1">
        <v>2.39999999999999</v>
      </c>
      <c r="F484" s="23" t="b">
        <f>if(countif(Status!C:C,A484)=1,TRUE, FALSE)</f>
        <v>1</v>
      </c>
      <c r="G484" s="23" t="str">
        <f>'2.4.raw'!AQ484</f>
        <v>Sample collected by Buddhadeb Samaddar, FB at PLc1137 site</v>
      </c>
    </row>
    <row r="485">
      <c r="A485" s="23" t="str">
        <f t="shared" si="2"/>
        <v>PLc1138</v>
      </c>
      <c r="B485" s="23" t="str">
        <f>'2.4.raw'!L485</f>
        <v>PLc1138</v>
      </c>
      <c r="C485" s="24">
        <f>datevalue(left('2.4.raw'!A485,10))</f>
        <v>43815</v>
      </c>
      <c r="D485" s="23">
        <f>'2.4.raw'!G485</f>
        <v>11</v>
      </c>
      <c r="E485" s="1">
        <v>2.39999999999999</v>
      </c>
      <c r="F485" s="23" t="b">
        <f>if(countif(Status!C:C,A485)=1,TRUE, FALSE)</f>
        <v>1</v>
      </c>
      <c r="G485" s="23" t="str">
        <f>'2.4.raw'!AQ485</f>
        <v>Sample collected by Debabrata Maity</v>
      </c>
    </row>
    <row r="486">
      <c r="A486" s="23" t="str">
        <f t="shared" si="2"/>
        <v>FB1213</v>
      </c>
      <c r="B486" s="23" t="str">
        <f>'2.4.raw'!L486</f>
        <v>FB1213</v>
      </c>
      <c r="C486" s="24">
        <f>datevalue(left('2.4.raw'!A486,10))</f>
        <v>43815</v>
      </c>
      <c r="D486" s="23">
        <f>'2.4.raw'!G486</f>
        <v>99</v>
      </c>
      <c r="E486" s="1">
        <v>2.39999999999999</v>
      </c>
      <c r="F486" s="23" t="b">
        <f>if(countif(Status!C:C,A486)=1,TRUE, FALSE)</f>
        <v>1</v>
      </c>
      <c r="G486" s="23" t="str">
        <f>'2.4.raw'!AQ486</f>
        <v>Sample collected by Debabrata Maity, FB at PLc1138 site</v>
      </c>
    </row>
    <row r="487">
      <c r="A487" s="23" t="str">
        <f t="shared" si="2"/>
        <v>PLc1139</v>
      </c>
      <c r="B487" s="23" t="str">
        <f>'2.4.raw'!L487</f>
        <v>PLc1139</v>
      </c>
      <c r="C487" s="24">
        <f>datevalue(left('2.4.raw'!A487,10))</f>
        <v>43815</v>
      </c>
      <c r="D487" s="23">
        <f>'2.4.raw'!G487</f>
        <v>11</v>
      </c>
      <c r="E487" s="1">
        <v>2.39999999999999</v>
      </c>
      <c r="F487" s="23" t="b">
        <f>if(countif(Status!C:C,A487)=1,TRUE, FALSE)</f>
        <v>1</v>
      </c>
      <c r="G487" s="23" t="str">
        <f>'2.4.raw'!AQ487</f>
        <v>Semple collected by Debabrata Maity</v>
      </c>
    </row>
    <row r="488">
      <c r="A488" s="23" t="str">
        <f t="shared" si="2"/>
        <v>FB1214</v>
      </c>
      <c r="B488" s="23" t="str">
        <f>'2.4.raw'!L488</f>
        <v>FB1214</v>
      </c>
      <c r="C488" s="24">
        <f>datevalue(left('2.4.raw'!A488,10))</f>
        <v>43815</v>
      </c>
      <c r="D488" s="23">
        <f>'2.4.raw'!G488</f>
        <v>99</v>
      </c>
      <c r="E488" s="1">
        <v>2.39999999999999</v>
      </c>
      <c r="F488" s="23" t="b">
        <f>if(countif(Status!C:C,A488)=1,TRUE, FALSE)</f>
        <v>1</v>
      </c>
      <c r="G488" s="23" t="str">
        <f>'2.4.raw'!AQ488</f>
        <v>Sample collected by Debabrata, FB at PLc1139 site</v>
      </c>
    </row>
    <row r="489">
      <c r="A489" s="23" t="str">
        <f t="shared" si="2"/>
        <v>PLc1140</v>
      </c>
      <c r="B489" s="23" t="str">
        <f>'2.4.raw'!L489</f>
        <v>PLc1140</v>
      </c>
      <c r="C489" s="24">
        <f>datevalue(left('2.4.raw'!A489,10))</f>
        <v>43816</v>
      </c>
      <c r="D489" s="23">
        <f>'2.4.raw'!G489</f>
        <v>11</v>
      </c>
      <c r="E489" s="1">
        <v>2.39999999999999</v>
      </c>
      <c r="F489" s="23" t="b">
        <f>if(countif(Status!C:C,A489)=1,TRUE, FALSE)</f>
        <v>1</v>
      </c>
      <c r="G489" s="23" t="str">
        <f>'2.4.raw'!AQ489</f>
        <v>Sample collected by Suvankar Mandal</v>
      </c>
    </row>
    <row r="490">
      <c r="A490" s="23" t="str">
        <f t="shared" si="2"/>
        <v>FB1217</v>
      </c>
      <c r="B490" s="23" t="str">
        <f>'2.4.raw'!L490</f>
        <v>FB1217</v>
      </c>
      <c r="C490" s="24">
        <f>datevalue(left('2.4.raw'!A490,10))</f>
        <v>43816</v>
      </c>
      <c r="D490" s="23">
        <f>'2.4.raw'!G490</f>
        <v>99</v>
      </c>
      <c r="E490" s="1">
        <v>2.39999999999999</v>
      </c>
      <c r="F490" s="23" t="b">
        <f>if(countif(Status!C:C,A490)=1,TRUE, FALSE)</f>
        <v>1</v>
      </c>
      <c r="G490" s="23" t="str">
        <f>'2.4.raw'!AQ490</f>
        <v>Sample collected by Suvankar Mandal, at PLc1140 site</v>
      </c>
    </row>
    <row r="491">
      <c r="A491" s="23" t="str">
        <f t="shared" si="2"/>
        <v>PLc1141</v>
      </c>
      <c r="B491" s="23" t="str">
        <f>'2.4.raw'!L491</f>
        <v>PLc1141</v>
      </c>
      <c r="C491" s="24">
        <f>datevalue(left('2.4.raw'!A491,10))</f>
        <v>43816</v>
      </c>
      <c r="D491" s="23">
        <f>'2.4.raw'!G491</f>
        <v>11</v>
      </c>
      <c r="E491" s="1">
        <v>2.39999999999999</v>
      </c>
      <c r="F491" s="23" t="b">
        <f>if(countif(Status!C:C,A491)=1,TRUE, FALSE)</f>
        <v>1</v>
      </c>
      <c r="G491" s="23" t="str">
        <f>'2.4.raw'!AQ491</f>
        <v>Sample collected by Buddhadeb Samaddar</v>
      </c>
    </row>
    <row r="492">
      <c r="A492" s="23" t="str">
        <f t="shared" si="2"/>
        <v>FB1218</v>
      </c>
      <c r="B492" s="23" t="str">
        <f>'2.4.raw'!L492</f>
        <v>FB1218</v>
      </c>
      <c r="C492" s="24">
        <f>datevalue(left('2.4.raw'!A492,10))</f>
        <v>43816</v>
      </c>
      <c r="D492" s="23">
        <f>'2.4.raw'!G492</f>
        <v>99</v>
      </c>
      <c r="E492" s="1">
        <v>2.39999999999999</v>
      </c>
      <c r="F492" s="23" t="b">
        <f>if(countif(Status!C:C,A492)=1,TRUE, FALSE)</f>
        <v>1</v>
      </c>
      <c r="G492" s="23" t="str">
        <f>'2.4.raw'!AQ492</f>
        <v>Semple collected by Buddhadeb Samaddar, FB at PLc1141 site</v>
      </c>
    </row>
    <row r="493">
      <c r="A493" s="23" t="str">
        <f t="shared" si="2"/>
        <v>PLc1142</v>
      </c>
      <c r="B493" s="23" t="str">
        <f>'2.4.raw'!L493</f>
        <v>PLc1142</v>
      </c>
      <c r="C493" s="24">
        <f>datevalue(left('2.4.raw'!A493,10))</f>
        <v>43816</v>
      </c>
      <c r="D493" s="23">
        <f>'2.4.raw'!G493</f>
        <v>11</v>
      </c>
      <c r="E493" s="1">
        <v>2.39999999999999</v>
      </c>
      <c r="F493" s="23" t="b">
        <f>if(countif(Status!C:C,A493)=1,TRUE, FALSE)</f>
        <v>1</v>
      </c>
      <c r="G493" s="23" t="str">
        <f>'2.4.raw'!AQ493</f>
        <v>Sample collected by Somnath Sarkar</v>
      </c>
    </row>
    <row r="494">
      <c r="A494" s="23" t="str">
        <f t="shared" si="2"/>
        <v>FB1219</v>
      </c>
      <c r="B494" s="23" t="str">
        <f>'2.4.raw'!L494</f>
        <v>FB1219</v>
      </c>
      <c r="C494" s="24">
        <f>datevalue(left('2.4.raw'!A494,10))</f>
        <v>43816</v>
      </c>
      <c r="D494" s="23">
        <f>'2.4.raw'!G494</f>
        <v>99</v>
      </c>
      <c r="E494" s="1">
        <v>2.39999999999999</v>
      </c>
      <c r="F494" s="23" t="b">
        <f>if(countif(Status!C:C,A494)=1,TRUE, FALSE)</f>
        <v>1</v>
      </c>
      <c r="G494" s="23" t="str">
        <f>'2.4.raw'!AQ494</f>
        <v>Sample collected by Buddhadeb Samaddar, FB at PLc1142 site</v>
      </c>
    </row>
    <row r="495">
      <c r="A495" s="23" t="str">
        <f t="shared" si="2"/>
        <v>PLc1143</v>
      </c>
      <c r="B495" s="23" t="str">
        <f>'2.4.raw'!L495</f>
        <v>PLc1143</v>
      </c>
      <c r="C495" s="24">
        <f>datevalue(left('2.4.raw'!A495,10))</f>
        <v>43816</v>
      </c>
      <c r="D495" s="23">
        <f>'2.4.raw'!G495</f>
        <v>11</v>
      </c>
      <c r="E495" s="1">
        <v>2.39999999999999</v>
      </c>
      <c r="F495" s="23" t="b">
        <f>if(countif(Status!C:C,A495)=1,TRUE, FALSE)</f>
        <v>1</v>
      </c>
      <c r="G495" s="23" t="str">
        <f>'2.4.raw'!AQ495</f>
        <v>Sample collected by Suvankar Mandal</v>
      </c>
    </row>
    <row r="496">
      <c r="A496" s="23" t="str">
        <f t="shared" si="2"/>
        <v>FB1220</v>
      </c>
      <c r="B496" s="23" t="str">
        <f>'2.4.raw'!L496</f>
        <v>FB1220</v>
      </c>
      <c r="C496" s="24">
        <f>datevalue(left('2.4.raw'!A496,10))</f>
        <v>43816</v>
      </c>
      <c r="D496" s="23">
        <f>'2.4.raw'!G496</f>
        <v>99</v>
      </c>
      <c r="E496" s="1">
        <v>2.39999999999999</v>
      </c>
      <c r="F496" s="23" t="b">
        <f>if(countif(Status!C:C,A496)=1,TRUE, FALSE)</f>
        <v>1</v>
      </c>
      <c r="G496" s="23" t="str">
        <f>'2.4.raw'!AQ496</f>
        <v>Sample collected by Somnath Sarkar, FB at PLc1143 site</v>
      </c>
    </row>
    <row r="497">
      <c r="A497" s="23" t="str">
        <f t="shared" si="2"/>
        <v>MO1134</v>
      </c>
      <c r="B497" s="23" t="str">
        <f>'2.4.raw'!L497</f>
        <v>MO1134</v>
      </c>
      <c r="C497" s="24">
        <f>datevalue(left('2.4.raw'!A497,10))</f>
        <v>43816</v>
      </c>
      <c r="D497" s="23">
        <f>'2.4.raw'!G497</f>
        <v>12</v>
      </c>
      <c r="E497" s="1">
        <v>2.39999999999999</v>
      </c>
      <c r="F497" s="23" t="b">
        <f>if(countif(Status!C:C,A497)=1,TRUE, FALSE)</f>
        <v>1</v>
      </c>
      <c r="G497" s="23" t="str">
        <f>'2.4.raw'!AQ497</f>
        <v/>
      </c>
    </row>
    <row r="498">
      <c r="A498" s="23" t="str">
        <f t="shared" si="2"/>
        <v>FB1215</v>
      </c>
      <c r="B498" s="23" t="str">
        <f>'2.4.raw'!L498</f>
        <v>FB1215</v>
      </c>
      <c r="C498" s="24">
        <f>datevalue(left('2.4.raw'!A498,10))</f>
        <v>43816</v>
      </c>
      <c r="D498" s="23">
        <f>'2.4.raw'!G498</f>
        <v>99</v>
      </c>
      <c r="E498" s="1">
        <v>2.39999999999999</v>
      </c>
      <c r="F498" s="23" t="b">
        <f>if(countif(Status!C:C,A498)=1,TRUE, FALSE)</f>
        <v>1</v>
      </c>
      <c r="G498" s="23" t="str">
        <f>'2.4.raw'!AQ498</f>
        <v/>
      </c>
    </row>
    <row r="499">
      <c r="A499" s="23" t="str">
        <f t="shared" si="2"/>
        <v>MO1135</v>
      </c>
      <c r="B499" s="23" t="str">
        <f>'2.4.raw'!L499</f>
        <v>MO1135</v>
      </c>
      <c r="C499" s="24">
        <f>datevalue(left('2.4.raw'!A499,10))</f>
        <v>43816</v>
      </c>
      <c r="D499" s="23">
        <f>'2.4.raw'!G499</f>
        <v>12</v>
      </c>
      <c r="E499" s="1">
        <v>2.39999999999999</v>
      </c>
      <c r="F499" s="23" t="b">
        <f>if(countif(Status!C:C,A499)=1,TRUE, FALSE)</f>
        <v>1</v>
      </c>
      <c r="G499" s="23" t="str">
        <f>'2.4.raw'!AQ499</f>
        <v/>
      </c>
    </row>
    <row r="500">
      <c r="A500" s="23" t="str">
        <f t="shared" si="2"/>
        <v>FB1216</v>
      </c>
      <c r="B500" s="23" t="str">
        <f>'2.4.raw'!L500</f>
        <v>FB1216</v>
      </c>
      <c r="C500" s="24">
        <f>datevalue(left('2.4.raw'!A500,10))</f>
        <v>43816</v>
      </c>
      <c r="D500" s="23">
        <f>'2.4.raw'!G500</f>
        <v>99</v>
      </c>
      <c r="E500" s="1">
        <v>2.39999999999999</v>
      </c>
      <c r="F500" s="23" t="b">
        <f>if(countif(Status!C:C,A500)=1,TRUE, FALSE)</f>
        <v>1</v>
      </c>
      <c r="G500" s="23" t="str">
        <f>'2.4.raw'!AQ500</f>
        <v/>
      </c>
    </row>
    <row r="501">
      <c r="A501" s="23" t="str">
        <f t="shared" si="2"/>
        <v>UF1012</v>
      </c>
      <c r="B501" s="23" t="str">
        <f>'2.4.raw'!L501</f>
        <v>UF1012</v>
      </c>
      <c r="C501" s="24">
        <f>datevalue(left('2.4.raw'!A501,10))</f>
        <v>43817</v>
      </c>
      <c r="D501" s="23">
        <f>'2.4.raw'!G501</f>
        <v>11</v>
      </c>
      <c r="E501" s="1">
        <v>2.39999999999999</v>
      </c>
      <c r="F501" s="23" t="b">
        <f>if(countif(Status!C:C,A501)=1,TRUE, FALSE)</f>
        <v>1</v>
      </c>
      <c r="G501" s="23" t="str">
        <f>'2.4.raw'!AQ501</f>
        <v>Sample collected by Biplab Jash</v>
      </c>
    </row>
    <row r="502">
      <c r="A502" s="23" t="str">
        <f t="shared" si="2"/>
        <v>MO1136</v>
      </c>
      <c r="B502" s="23" t="str">
        <f>'2.4.raw'!L502</f>
        <v>MO1136</v>
      </c>
      <c r="C502" s="24">
        <f>datevalue(left('2.4.raw'!A502,10))</f>
        <v>43818</v>
      </c>
      <c r="D502" s="23">
        <f>'2.4.raw'!G502</f>
        <v>12</v>
      </c>
      <c r="E502" s="1">
        <v>2.39999999999999</v>
      </c>
      <c r="F502" s="23" t="b">
        <f>if(countif(Status!C:C,A502)=1,TRUE, FALSE)</f>
        <v>1</v>
      </c>
      <c r="G502" s="23" t="str">
        <f>'2.4.raw'!AQ502</f>
        <v>Sample collected by Asish Saha</v>
      </c>
    </row>
    <row r="503">
      <c r="A503" s="23" t="str">
        <f t="shared" si="2"/>
        <v>FB1221</v>
      </c>
      <c r="B503" s="23" t="str">
        <f>'2.4.raw'!L503</f>
        <v>FB1221</v>
      </c>
      <c r="C503" s="24">
        <f>datevalue(left('2.4.raw'!A503,10))</f>
        <v>43818</v>
      </c>
      <c r="D503" s="23">
        <f>'2.4.raw'!G503</f>
        <v>99</v>
      </c>
      <c r="E503" s="1">
        <v>2.39999999999999</v>
      </c>
      <c r="F503" s="23" t="b">
        <f>if(countif(Status!C:C,A503)=1,TRUE, FALSE)</f>
        <v>1</v>
      </c>
      <c r="G503" s="23" t="str">
        <f>'2.4.raw'!AQ503</f>
        <v>Sample collected by Asish Saha</v>
      </c>
    </row>
    <row r="504">
      <c r="A504" s="23" t="str">
        <f t="shared" si="2"/>
        <v>MO1137</v>
      </c>
      <c r="B504" s="23" t="str">
        <f>'2.4.raw'!L504</f>
        <v>MO1137</v>
      </c>
      <c r="C504" s="24">
        <f>datevalue(left('2.4.raw'!A504,10))</f>
        <v>43818</v>
      </c>
      <c r="D504" s="23">
        <f>'2.4.raw'!G504</f>
        <v>12</v>
      </c>
      <c r="E504" s="1">
        <v>2.39999999999999</v>
      </c>
      <c r="F504" s="23" t="b">
        <f>if(countif(Status!C:C,A504)=1,TRUE, FALSE)</f>
        <v>1</v>
      </c>
      <c r="G504" s="23" t="str">
        <f>'2.4.raw'!AQ504</f>
        <v>Sample collected by Biplab Jash</v>
      </c>
    </row>
    <row r="505">
      <c r="A505" s="23" t="str">
        <f t="shared" si="2"/>
        <v>FB1222</v>
      </c>
      <c r="B505" s="23" t="str">
        <f>'2.4.raw'!L505</f>
        <v>FB1222</v>
      </c>
      <c r="C505" s="24">
        <f>datevalue(left('2.4.raw'!A505,10))</f>
        <v>43818</v>
      </c>
      <c r="D505" s="23">
        <f>'2.4.raw'!G505</f>
        <v>99</v>
      </c>
      <c r="E505" s="1">
        <v>2.39999999999999</v>
      </c>
      <c r="F505" s="23" t="b">
        <f>if(countif(Status!C:C,A505)=1,TRUE, FALSE)</f>
        <v>1</v>
      </c>
      <c r="G505" s="23" t="str">
        <f>'2.4.raw'!AQ505</f>
        <v>Sample collected by Biplab Jash</v>
      </c>
    </row>
    <row r="506">
      <c r="A506" s="23" t="str">
        <f t="shared" si="2"/>
        <v>PLc1144</v>
      </c>
      <c r="B506" s="23" t="str">
        <f>'2.4.raw'!L506</f>
        <v>PLc1144</v>
      </c>
      <c r="C506" s="24">
        <f>datevalue(left('2.4.raw'!A506,10))</f>
        <v>43818</v>
      </c>
      <c r="D506" s="23">
        <f>'2.4.raw'!G506</f>
        <v>11</v>
      </c>
      <c r="E506" s="1">
        <v>2.39999999999999</v>
      </c>
      <c r="F506" s="23" t="b">
        <f>if(countif(Status!C:C,A506)=1,TRUE, FALSE)</f>
        <v>1</v>
      </c>
      <c r="G506" s="23" t="str">
        <f>'2.4.raw'!AQ506</f>
        <v>Sample collected by Suvankar Mondal</v>
      </c>
    </row>
    <row r="507">
      <c r="A507" s="23" t="str">
        <f t="shared" si="2"/>
        <v>FB1223</v>
      </c>
      <c r="B507" s="23" t="str">
        <f>'2.4.raw'!L507</f>
        <v>FB1223</v>
      </c>
      <c r="C507" s="24">
        <f>datevalue(left('2.4.raw'!A507,10))</f>
        <v>43818</v>
      </c>
      <c r="D507" s="23">
        <f>'2.4.raw'!G507</f>
        <v>99</v>
      </c>
      <c r="E507" s="1">
        <v>2.39999999999999</v>
      </c>
      <c r="F507" s="23" t="b">
        <f>if(countif(Status!C:C,A507)=1,TRUE, FALSE)</f>
        <v>1</v>
      </c>
      <c r="G507" s="23" t="str">
        <f>'2.4.raw'!AQ507</f>
        <v>Sample collected by Suvankar Mondal , FB at PLc1144</v>
      </c>
    </row>
    <row r="508">
      <c r="A508" s="23" t="str">
        <f t="shared" si="2"/>
        <v>PLc1145</v>
      </c>
      <c r="B508" s="23" t="str">
        <f>'2.4.raw'!L508</f>
        <v>PLc1145</v>
      </c>
      <c r="C508" s="24">
        <f>datevalue(left('2.4.raw'!A508,10))</f>
        <v>43818</v>
      </c>
      <c r="D508" s="23">
        <f>'2.4.raw'!G508</f>
        <v>11</v>
      </c>
      <c r="E508" s="1">
        <v>2.39999999999999</v>
      </c>
      <c r="F508" s="23" t="b">
        <f>if(countif(Status!C:C,A508)=1,TRUE, FALSE)</f>
        <v>1</v>
      </c>
      <c r="G508" s="23" t="str">
        <f>'2.4.raw'!AQ508</f>
        <v>Sample collected by Somnath Sarkar</v>
      </c>
    </row>
    <row r="509">
      <c r="A509" s="23" t="str">
        <f t="shared" si="2"/>
        <v>FB1224</v>
      </c>
      <c r="B509" s="23" t="str">
        <f>'2.4.raw'!L509</f>
        <v>FB1224</v>
      </c>
      <c r="C509" s="24">
        <f>datevalue(left('2.4.raw'!A509,10))</f>
        <v>43818</v>
      </c>
      <c r="D509" s="23">
        <f>'2.4.raw'!G509</f>
        <v>99</v>
      </c>
      <c r="E509" s="1">
        <v>2.39999999999999</v>
      </c>
      <c r="F509" s="23" t="b">
        <f>if(countif(Status!C:C,A509)=1,TRUE, FALSE)</f>
        <v>1</v>
      </c>
      <c r="G509" s="23" t="str">
        <f>'2.4.raw'!AQ509</f>
        <v>Sample collected by Somnath Sarkar, FB at PLc1145</v>
      </c>
    </row>
    <row r="510">
      <c r="A510" s="23" t="str">
        <f t="shared" si="2"/>
        <v>PLc1146</v>
      </c>
      <c r="B510" s="23" t="str">
        <f>'2.4.raw'!L510</f>
        <v>PLc1146</v>
      </c>
      <c r="C510" s="24">
        <f>datevalue(left('2.4.raw'!A510,10))</f>
        <v>43818</v>
      </c>
      <c r="D510" s="23">
        <f>'2.4.raw'!G510</f>
        <v>11</v>
      </c>
      <c r="E510" s="1">
        <v>2.39999999999999</v>
      </c>
      <c r="F510" s="23" t="b">
        <f>if(countif(Status!C:C,A510)=1,TRUE, FALSE)</f>
        <v>1</v>
      </c>
      <c r="G510" s="23" t="str">
        <f>'2.4.raw'!AQ510</f>
        <v>Sample collected by Buddhadeb Samaddar</v>
      </c>
    </row>
    <row r="511">
      <c r="A511" s="23" t="str">
        <f t="shared" si="2"/>
        <v>FB1225</v>
      </c>
      <c r="B511" s="23" t="str">
        <f>'2.4.raw'!L511</f>
        <v>FB1225</v>
      </c>
      <c r="C511" s="24">
        <f>datevalue(left('2.4.raw'!A511,10))</f>
        <v>43818</v>
      </c>
      <c r="D511" s="23">
        <f>'2.4.raw'!G511</f>
        <v>99</v>
      </c>
      <c r="E511" s="1">
        <v>2.39999999999999</v>
      </c>
      <c r="F511" s="23" t="b">
        <f>if(countif(Status!C:C,A511)=1,TRUE, FALSE)</f>
        <v>1</v>
      </c>
      <c r="G511" s="23" t="str">
        <f>'2.4.raw'!AQ511</f>
        <v>Sample collected by Buddhadeb Samaddar, FB at PLc1146</v>
      </c>
    </row>
    <row r="512">
      <c r="A512" s="23" t="str">
        <f t="shared" si="2"/>
        <v>PLc1147</v>
      </c>
      <c r="B512" s="23" t="str">
        <f>'2.4.raw'!L512</f>
        <v>PLc1147</v>
      </c>
      <c r="C512" s="24">
        <f>datevalue(left('2.4.raw'!A512,10))</f>
        <v>43818</v>
      </c>
      <c r="D512" s="23">
        <f>'2.4.raw'!G512</f>
        <v>11</v>
      </c>
      <c r="E512" s="1">
        <v>2.39999999999999</v>
      </c>
      <c r="F512" s="23" t="b">
        <f>if(countif(Status!C:C,A512)=1,TRUE, FALSE)</f>
        <v>1</v>
      </c>
      <c r="G512" s="23" t="str">
        <f>'2.4.raw'!AQ512</f>
        <v>Sample collected by Debabrata Maity</v>
      </c>
    </row>
    <row r="513">
      <c r="A513" s="23" t="str">
        <f t="shared" si="2"/>
        <v>FB1226</v>
      </c>
      <c r="B513" s="23" t="str">
        <f>'2.4.raw'!L513</f>
        <v>FB1226</v>
      </c>
      <c r="C513" s="24">
        <f>datevalue(left('2.4.raw'!A513,10))</f>
        <v>43818</v>
      </c>
      <c r="D513" s="23">
        <f>'2.4.raw'!G513</f>
        <v>99</v>
      </c>
      <c r="E513" s="1">
        <v>2.39999999999999</v>
      </c>
      <c r="F513" s="23" t="b">
        <f>if(countif(Status!C:C,A513)=1,TRUE, FALSE)</f>
        <v>1</v>
      </c>
      <c r="G513" s="23" t="str">
        <f>'2.4.raw'!AQ513</f>
        <v>Sample collected by Debabrata Maity ,FB at PLc1147</v>
      </c>
    </row>
    <row r="514">
      <c r="A514" s="23" t="str">
        <f t="shared" si="2"/>
        <v>PLc1148</v>
      </c>
      <c r="B514" s="23" t="str">
        <f>'2.4.raw'!L514</f>
        <v>PLc1148</v>
      </c>
      <c r="C514" s="24">
        <f>datevalue(left('2.4.raw'!A514,10))</f>
        <v>43818</v>
      </c>
      <c r="D514" s="23">
        <f>'2.4.raw'!G514</f>
        <v>11</v>
      </c>
      <c r="E514" s="1">
        <v>2.39999999999999</v>
      </c>
      <c r="F514" s="23" t="b">
        <f>if(countif(Status!C:C,A514)=1,TRUE, FALSE)</f>
        <v>1</v>
      </c>
      <c r="G514" s="23" t="str">
        <f>'2.4.raw'!AQ514</f>
        <v>Sample collected by Suvankar Mondal</v>
      </c>
    </row>
    <row r="515">
      <c r="A515" s="23" t="str">
        <f t="shared" si="2"/>
        <v>FB1227</v>
      </c>
      <c r="B515" s="23" t="str">
        <f>'2.4.raw'!L515</f>
        <v>FB1227</v>
      </c>
      <c r="C515" s="24">
        <f>datevalue(left('2.4.raw'!A515,10))</f>
        <v>43818</v>
      </c>
      <c r="D515" s="23">
        <f>'2.4.raw'!G515</f>
        <v>99</v>
      </c>
      <c r="E515" s="1">
        <v>2.39999999999999</v>
      </c>
      <c r="F515" s="23" t="b">
        <f>if(countif(Status!C:C,A515)=1,TRUE, FALSE)</f>
        <v>1</v>
      </c>
      <c r="G515" s="23" t="str">
        <f>'2.4.raw'!AQ515</f>
        <v>Sample collected by Suvankar Mondal ,FB at PLc1148</v>
      </c>
    </row>
    <row r="516">
      <c r="A516" s="23" t="str">
        <f t="shared" si="2"/>
        <v>PLc1149</v>
      </c>
      <c r="B516" s="23" t="str">
        <f>'2.4.raw'!L516</f>
        <v>PLc1149</v>
      </c>
      <c r="C516" s="24">
        <f>datevalue(left('2.4.raw'!A516,10))</f>
        <v>43818</v>
      </c>
      <c r="D516" s="23">
        <f>'2.4.raw'!G516</f>
        <v>11</v>
      </c>
      <c r="E516" s="1">
        <v>2.39999999999999</v>
      </c>
      <c r="F516" s="23" t="b">
        <f>if(countif(Status!C:C,A516)=1,TRUE, FALSE)</f>
        <v>1</v>
      </c>
      <c r="G516" s="23" t="str">
        <f>'2.4.raw'!AQ516</f>
        <v>Sample collected by Debabrata Maity</v>
      </c>
    </row>
    <row r="517">
      <c r="A517" s="23" t="str">
        <f t="shared" si="2"/>
        <v>FB1228</v>
      </c>
      <c r="B517" s="23" t="str">
        <f>'2.4.raw'!L517</f>
        <v>FB1228</v>
      </c>
      <c r="C517" s="24">
        <f>datevalue(left('2.4.raw'!A517,10))</f>
        <v>43818</v>
      </c>
      <c r="D517" s="23">
        <f>'2.4.raw'!G517</f>
        <v>99</v>
      </c>
      <c r="E517" s="1">
        <v>2.39999999999999</v>
      </c>
      <c r="F517" s="23" t="b">
        <f>if(countif(Status!C:C,A517)=1,TRUE, FALSE)</f>
        <v>1</v>
      </c>
      <c r="G517" s="23" t="str">
        <f>'2.4.raw'!AQ517</f>
        <v>Sample collected by Buddhadeb Samaddar, FB at PLc 1149</v>
      </c>
    </row>
    <row r="518">
      <c r="A518" s="23" t="str">
        <f t="shared" si="2"/>
        <v>PLc1150</v>
      </c>
      <c r="B518" s="23" t="str">
        <f>'2.4.raw'!L518</f>
        <v>PLc1150</v>
      </c>
      <c r="C518" s="24">
        <f>datevalue(left('2.4.raw'!A518,10))</f>
        <v>43822</v>
      </c>
      <c r="D518" s="23">
        <f>'2.4.raw'!G518</f>
        <v>11</v>
      </c>
      <c r="E518" s="1">
        <v>2.39999999999999</v>
      </c>
      <c r="F518" s="23" t="b">
        <f>if(countif(Status!C:C,A518)=1,TRUE, FALSE)</f>
        <v>1</v>
      </c>
      <c r="G518" s="23" t="str">
        <f>'2.4.raw'!AQ518</f>
        <v>Sample collected by Suvankar Mandal</v>
      </c>
    </row>
    <row r="519">
      <c r="A519" s="23" t="str">
        <f t="shared" si="2"/>
        <v>FB1229</v>
      </c>
      <c r="B519" s="23" t="str">
        <f>'2.4.raw'!L519</f>
        <v>FB1229</v>
      </c>
      <c r="C519" s="24">
        <f>datevalue(left('2.4.raw'!A519,10))</f>
        <v>43822</v>
      </c>
      <c r="D519" s="23">
        <f>'2.4.raw'!G519</f>
        <v>99</v>
      </c>
      <c r="E519" s="1">
        <v>2.39999999999999</v>
      </c>
      <c r="F519" s="23" t="b">
        <f>if(countif(Status!C:C,A519)=1,TRUE, FALSE)</f>
        <v>1</v>
      </c>
      <c r="G519" s="23" t="str">
        <f>'2.4.raw'!AQ519</f>
        <v>Sample collected by Suvankar Mandal, FB at PLc1150 site</v>
      </c>
    </row>
    <row r="520">
      <c r="A520" s="23" t="str">
        <f t="shared" si="2"/>
        <v>PLc1151</v>
      </c>
      <c r="B520" s="23" t="str">
        <f>'2.4.raw'!L520</f>
        <v>PLc1151</v>
      </c>
      <c r="C520" s="24">
        <f>datevalue(left('2.4.raw'!A520,10))</f>
        <v>43822</v>
      </c>
      <c r="D520" s="23">
        <f>'2.4.raw'!G520</f>
        <v>11</v>
      </c>
      <c r="E520" s="1">
        <v>2.39999999999999</v>
      </c>
      <c r="F520" s="23" t="b">
        <f>if(countif(Status!C:C,A520)=1,TRUE, FALSE)</f>
        <v>1</v>
      </c>
      <c r="G520" s="23" t="str">
        <f>'2.4.raw'!AQ520</f>
        <v>Sample collected by Somnath Sarkar</v>
      </c>
    </row>
    <row r="521">
      <c r="A521" s="23" t="str">
        <f t="shared" si="2"/>
        <v>FB1230</v>
      </c>
      <c r="B521" s="23" t="str">
        <f>'2.4.raw'!L521</f>
        <v>FB1230</v>
      </c>
      <c r="C521" s="24">
        <f>datevalue(left('2.4.raw'!A521,10))</f>
        <v>43822</v>
      </c>
      <c r="D521" s="23">
        <f>'2.4.raw'!G521</f>
        <v>99</v>
      </c>
      <c r="E521" s="1">
        <v>2.39999999999999</v>
      </c>
      <c r="F521" s="23" t="b">
        <f>if(countif(Status!C:C,A521)=1,TRUE, FALSE)</f>
        <v>1</v>
      </c>
      <c r="G521" s="23" t="str">
        <f>'2.4.raw'!AQ521</f>
        <v>Sample collected by Somnath Sarkar, FB at PLc1151 site</v>
      </c>
    </row>
    <row r="522">
      <c r="A522" s="23" t="str">
        <f t="shared" si="2"/>
        <v>PLc1152</v>
      </c>
      <c r="B522" s="23" t="str">
        <f>'2.4.raw'!L522</f>
        <v>PLc1152</v>
      </c>
      <c r="C522" s="24">
        <f>datevalue(left('2.4.raw'!A522,10))</f>
        <v>43822</v>
      </c>
      <c r="D522" s="23">
        <f>'2.4.raw'!G522</f>
        <v>11</v>
      </c>
      <c r="E522" s="1">
        <v>2.39999999999999</v>
      </c>
      <c r="F522" s="23" t="b">
        <f>if(countif(Status!C:C,A522)=1,TRUE, FALSE)</f>
        <v>1</v>
      </c>
      <c r="G522" s="23" t="str">
        <f>'2.4.raw'!AQ522</f>
        <v>Sample collected by Buddhadeb Samaddar</v>
      </c>
    </row>
    <row r="523">
      <c r="A523" s="23" t="str">
        <f t="shared" si="2"/>
        <v>FB1231</v>
      </c>
      <c r="B523" s="23" t="str">
        <f>'2.4.raw'!L523</f>
        <v>FB1231</v>
      </c>
      <c r="C523" s="24">
        <f>datevalue(left('2.4.raw'!A523,10))</f>
        <v>43822</v>
      </c>
      <c r="D523" s="23">
        <f>'2.4.raw'!G523</f>
        <v>99</v>
      </c>
      <c r="E523" s="1">
        <v>2.39999999999999</v>
      </c>
      <c r="F523" s="23" t="b">
        <f>if(countif(Status!C:C,A523)=1,TRUE, FALSE)</f>
        <v>1</v>
      </c>
      <c r="G523" s="23" t="str">
        <f>'2.4.raw'!AQ523</f>
        <v>Sample collected by Buddhadeb Samaddar, FB at PLc1152 site</v>
      </c>
    </row>
    <row r="524">
      <c r="A524" s="23" t="str">
        <f t="shared" si="2"/>
        <v>PLc1153</v>
      </c>
      <c r="B524" s="23" t="str">
        <f>'2.4.raw'!L524</f>
        <v>PLc1153</v>
      </c>
      <c r="C524" s="24">
        <f>datevalue(left('2.4.raw'!A524,10))</f>
        <v>43822</v>
      </c>
      <c r="D524" s="23">
        <f>'2.4.raw'!G524</f>
        <v>11</v>
      </c>
      <c r="E524" s="1">
        <v>2.39999999999999</v>
      </c>
      <c r="F524" s="23" t="b">
        <f>if(countif(Status!C:C,A524)=1,TRUE, FALSE)</f>
        <v>1</v>
      </c>
      <c r="G524" s="23" t="str">
        <f>'2.4.raw'!AQ524</f>
        <v>Sample collected by Debabrata Maity</v>
      </c>
    </row>
    <row r="525">
      <c r="A525" s="23" t="str">
        <f t="shared" si="2"/>
        <v>FB1232</v>
      </c>
      <c r="B525" s="23" t="str">
        <f>'2.4.raw'!L525</f>
        <v>FB1232</v>
      </c>
      <c r="C525" s="24">
        <f>datevalue(left('2.4.raw'!A525,10))</f>
        <v>43822</v>
      </c>
      <c r="D525" s="23">
        <f>'2.4.raw'!G525</f>
        <v>99</v>
      </c>
      <c r="E525" s="1">
        <v>2.39999999999999</v>
      </c>
      <c r="F525" s="23" t="b">
        <f>if(countif(Status!C:C,A525)=1,TRUE, FALSE)</f>
        <v>1</v>
      </c>
      <c r="G525" s="23" t="str">
        <f>'2.4.raw'!AQ525</f>
        <v>Sample collected by Debabrata Maity, FB at PLc1153 site</v>
      </c>
    </row>
    <row r="526">
      <c r="A526" s="23" t="str">
        <f t="shared" si="2"/>
        <v>MO1138</v>
      </c>
      <c r="B526" s="23" t="str">
        <f>'2.4.raw'!L526</f>
        <v>MO1138</v>
      </c>
      <c r="C526" s="24">
        <f>datevalue(left('2.4.raw'!A526,10))</f>
        <v>43826</v>
      </c>
      <c r="D526" s="23">
        <f>'2.4.raw'!G526</f>
        <v>12</v>
      </c>
      <c r="E526" s="1">
        <v>2.39999999999999</v>
      </c>
      <c r="F526" s="23" t="b">
        <f>if(countif(Status!C:C,A526)=1,TRUE, FALSE)</f>
        <v>1</v>
      </c>
      <c r="G526" s="23" t="str">
        <f>'2.4.raw'!AQ526</f>
        <v>Sample collected by Biplab Jash</v>
      </c>
    </row>
    <row r="527">
      <c r="A527" s="23" t="str">
        <f t="shared" si="2"/>
        <v>FB1237</v>
      </c>
      <c r="B527" s="23" t="str">
        <f>'2.4.raw'!L527</f>
        <v>FB1237</v>
      </c>
      <c r="C527" s="24">
        <f>datevalue(left('2.4.raw'!A527,10))</f>
        <v>43826</v>
      </c>
      <c r="D527" s="23">
        <f>'2.4.raw'!G527</f>
        <v>99</v>
      </c>
      <c r="E527" s="1">
        <v>2.39999999999999</v>
      </c>
      <c r="F527" s="23" t="b">
        <f>if(countif(Status!C:C,A527)=1,TRUE, FALSE)</f>
        <v>1</v>
      </c>
      <c r="G527" s="23" t="str">
        <f>'2.4.raw'!AQ527</f>
        <v>Sample collected by Biplab Jash</v>
      </c>
    </row>
    <row r="528">
      <c r="A528" s="23" t="str">
        <f t="shared" si="2"/>
        <v>MO1139</v>
      </c>
      <c r="B528" s="23" t="str">
        <f>'2.4.raw'!L528</f>
        <v>MO1139</v>
      </c>
      <c r="C528" s="24">
        <f>datevalue(left('2.4.raw'!A528,10))</f>
        <v>43826</v>
      </c>
      <c r="D528" s="23">
        <f>'2.4.raw'!G528</f>
        <v>12</v>
      </c>
      <c r="E528" s="1">
        <v>2.39999999999999</v>
      </c>
      <c r="F528" s="23" t="b">
        <f>if(countif(Status!C:C,A528)=1,TRUE, FALSE)</f>
        <v>1</v>
      </c>
      <c r="G528" s="23" t="str">
        <f>'2.4.raw'!AQ528</f>
        <v>Sample collected by Somnath Sarkar</v>
      </c>
    </row>
    <row r="529">
      <c r="A529" s="23" t="str">
        <f t="shared" si="2"/>
        <v>FB1238</v>
      </c>
      <c r="B529" s="23" t="str">
        <f>'2.4.raw'!L529</f>
        <v>FB1238</v>
      </c>
      <c r="C529" s="24">
        <f>datevalue(left('2.4.raw'!A529,10))</f>
        <v>43826</v>
      </c>
      <c r="D529" s="23">
        <f>'2.4.raw'!G529</f>
        <v>99</v>
      </c>
      <c r="E529" s="1">
        <v>2.39999999999999</v>
      </c>
      <c r="F529" s="23" t="b">
        <f>if(countif(Status!C:C,A529)=1,TRUE, FALSE)</f>
        <v>1</v>
      </c>
      <c r="G529" s="23" t="str">
        <f>'2.4.raw'!AQ529</f>
        <v>Sample collected by Somnath Sarkar</v>
      </c>
    </row>
    <row r="530">
      <c r="A530" s="23" t="str">
        <f t="shared" si="2"/>
        <v>PLc1154</v>
      </c>
      <c r="B530" s="23" t="str">
        <f>'2.4.raw'!L530</f>
        <v>PLc1154</v>
      </c>
      <c r="C530" s="24">
        <f>datevalue(left('2.4.raw'!A530,10))</f>
        <v>43825</v>
      </c>
      <c r="D530" s="23">
        <f>'2.4.raw'!G530</f>
        <v>11</v>
      </c>
      <c r="E530" s="1">
        <v>2.39999999999999</v>
      </c>
      <c r="F530" s="23" t="b">
        <f>if(countif(Status!C:C,A530)=1,TRUE, FALSE)</f>
        <v>1</v>
      </c>
      <c r="G530" s="23" t="str">
        <f>'2.4.raw'!AQ530</f>
        <v>Sample collected by Buddhadeb Samaddar</v>
      </c>
    </row>
    <row r="531">
      <c r="A531" s="23" t="str">
        <f t="shared" si="2"/>
        <v>FB1233</v>
      </c>
      <c r="B531" s="23" t="str">
        <f>'2.4.raw'!L531</f>
        <v>FB1233</v>
      </c>
      <c r="C531" s="24">
        <f>datevalue(left('2.4.raw'!A531,10))</f>
        <v>43825</v>
      </c>
      <c r="D531" s="23">
        <f>'2.4.raw'!G531</f>
        <v>99</v>
      </c>
      <c r="E531" s="1">
        <v>2.39999999999999</v>
      </c>
      <c r="F531" s="23" t="b">
        <f>if(countif(Status!C:C,A531)=1,TRUE, FALSE)</f>
        <v>1</v>
      </c>
      <c r="G531" s="23" t="str">
        <f>'2.4.raw'!AQ531</f>
        <v>Sample collected by Buddhadeb Samaddar, FB at PLc1154 site</v>
      </c>
    </row>
    <row r="532">
      <c r="A532" s="23" t="str">
        <f t="shared" si="2"/>
        <v>PLc1155</v>
      </c>
      <c r="B532" s="23" t="str">
        <f>'2.4.raw'!L532</f>
        <v>PLc1155</v>
      </c>
      <c r="C532" s="24">
        <f>datevalue(left('2.4.raw'!A532,10))</f>
        <v>43825</v>
      </c>
      <c r="D532" s="23">
        <f>'2.4.raw'!G532</f>
        <v>11</v>
      </c>
      <c r="E532" s="1">
        <v>2.39999999999999</v>
      </c>
      <c r="F532" s="23" t="b">
        <f>if(countif(Status!C:C,A532)=1,TRUE, FALSE)</f>
        <v>1</v>
      </c>
      <c r="G532" s="23" t="str">
        <f>'2.4.raw'!AQ532</f>
        <v>Sample collected by Somnath Sarkar</v>
      </c>
    </row>
    <row r="533">
      <c r="A533" s="23" t="str">
        <f t="shared" si="2"/>
        <v>FB1234</v>
      </c>
      <c r="B533" s="23" t="str">
        <f>'2.4.raw'!L533</f>
        <v>FB1234</v>
      </c>
      <c r="C533" s="24">
        <f>datevalue(left('2.4.raw'!A533,10))</f>
        <v>43825</v>
      </c>
      <c r="D533" s="23">
        <f>'2.4.raw'!G533</f>
        <v>99</v>
      </c>
      <c r="E533" s="1">
        <v>2.39999999999999</v>
      </c>
      <c r="F533" s="23" t="b">
        <f>if(countif(Status!C:C,A533)=1,TRUE, FALSE)</f>
        <v>1</v>
      </c>
      <c r="G533" s="23" t="str">
        <f>'2.4.raw'!AQ533</f>
        <v>Sample collected by Somnath Sarkar, FB at PLc1155 site</v>
      </c>
    </row>
    <row r="534">
      <c r="A534" s="23" t="str">
        <f t="shared" si="2"/>
        <v>PLc1156</v>
      </c>
      <c r="B534" s="23" t="str">
        <f>'2.4.raw'!L534</f>
        <v>PLc1156</v>
      </c>
      <c r="C534" s="24">
        <f>datevalue(left('2.4.raw'!A534,10))</f>
        <v>43825</v>
      </c>
      <c r="D534" s="23">
        <f>'2.4.raw'!G534</f>
        <v>11</v>
      </c>
      <c r="E534" s="1">
        <v>2.39999999999999</v>
      </c>
      <c r="F534" s="23" t="b">
        <f>if(countif(Status!C:C,A534)=1,TRUE, FALSE)</f>
        <v>1</v>
      </c>
      <c r="G534" s="23" t="str">
        <f>'2.4.raw'!AQ534</f>
        <v>Sample collected by Biplab Jash</v>
      </c>
    </row>
    <row r="535">
      <c r="A535" s="23" t="str">
        <f t="shared" si="2"/>
        <v>FB1235</v>
      </c>
      <c r="B535" s="23" t="str">
        <f>'2.4.raw'!L535</f>
        <v>FB1235</v>
      </c>
      <c r="C535" s="24">
        <f>datevalue(left('2.4.raw'!A535,10))</f>
        <v>43825</v>
      </c>
      <c r="D535" s="23">
        <f>'2.4.raw'!G535</f>
        <v>99</v>
      </c>
      <c r="E535" s="1">
        <v>2.39999999999999</v>
      </c>
      <c r="F535" s="23" t="b">
        <f>if(countif(Status!C:C,A535)=1,TRUE, FALSE)</f>
        <v>1</v>
      </c>
      <c r="G535" s="23" t="str">
        <f>'2.4.raw'!AQ535</f>
        <v>Sample collected by Biplab Jash, FB at PLc1156 site</v>
      </c>
    </row>
    <row r="536">
      <c r="A536" s="23" t="str">
        <f t="shared" si="2"/>
        <v>PLc1157</v>
      </c>
      <c r="B536" s="23" t="str">
        <f>'2.4.raw'!L536</f>
        <v>PLc1157</v>
      </c>
      <c r="C536" s="24">
        <f>datevalue(left('2.4.raw'!A536,10))</f>
        <v>43825</v>
      </c>
      <c r="D536" s="23">
        <f>'2.4.raw'!G536</f>
        <v>11</v>
      </c>
      <c r="E536" s="1">
        <v>2.39999999999999</v>
      </c>
      <c r="F536" s="23" t="b">
        <f>if(countif(Status!C:C,A536)=1,TRUE, FALSE)</f>
        <v>1</v>
      </c>
      <c r="G536" s="23" t="str">
        <f>'2.4.raw'!AQ536</f>
        <v>Sample collected by Debabrata Maity</v>
      </c>
    </row>
    <row r="537">
      <c r="A537" s="23" t="str">
        <f t="shared" si="2"/>
        <v>FB1236</v>
      </c>
      <c r="B537" s="23" t="str">
        <f>'2.4.raw'!L537</f>
        <v>FB1236</v>
      </c>
      <c r="C537" s="24">
        <f>datevalue(left('2.4.raw'!A537,10))</f>
        <v>43825</v>
      </c>
      <c r="D537" s="23">
        <f>'2.4.raw'!G537</f>
        <v>99</v>
      </c>
      <c r="E537" s="1">
        <v>2.39999999999999</v>
      </c>
      <c r="F537" s="23" t="b">
        <f>if(countif(Status!C:C,A537)=1,TRUE, FALSE)</f>
        <v>1</v>
      </c>
      <c r="G537" s="23" t="str">
        <f>'2.4.raw'!AQ537</f>
        <v>Sample collected by Debabrata Maity, FB at PLc1157 site</v>
      </c>
    </row>
    <row r="538">
      <c r="A538" s="23" t="str">
        <f t="shared" si="2"/>
        <v>PLc1158</v>
      </c>
      <c r="B538" s="23" t="str">
        <f>'2.4.raw'!L538</f>
        <v>PLc1158</v>
      </c>
      <c r="C538" s="24">
        <f>datevalue(left('2.4.raw'!A538,10))</f>
        <v>43826</v>
      </c>
      <c r="D538" s="23">
        <f>'2.4.raw'!G538</f>
        <v>11</v>
      </c>
      <c r="E538" s="1">
        <v>2.39999999999999</v>
      </c>
      <c r="F538" s="23" t="b">
        <f>if(countif(Status!C:C,A538)=1,TRUE, FALSE)</f>
        <v>1</v>
      </c>
      <c r="G538" s="23" t="str">
        <f>'2.4.raw'!AQ538</f>
        <v>Sample collected by Buddhadeb Samaddar</v>
      </c>
    </row>
    <row r="539">
      <c r="A539" s="23" t="str">
        <f t="shared" si="2"/>
        <v>FB1239</v>
      </c>
      <c r="B539" s="23" t="str">
        <f>'2.4.raw'!L539</f>
        <v>FB1239</v>
      </c>
      <c r="C539" s="24">
        <f>datevalue(left('2.4.raw'!A539,10))</f>
        <v>43826</v>
      </c>
      <c r="D539" s="23">
        <f>'2.4.raw'!G539</f>
        <v>99</v>
      </c>
      <c r="E539" s="1">
        <v>2.39999999999999</v>
      </c>
      <c r="F539" s="23" t="b">
        <f>if(countif(Status!C:C,A539)=1,TRUE, FALSE)</f>
        <v>1</v>
      </c>
      <c r="G539" s="23" t="str">
        <f>'2.4.raw'!AQ539</f>
        <v>Sample collected by Buddhadeb Samaddar, FB at PLc1158 site</v>
      </c>
    </row>
    <row r="540">
      <c r="A540" s="23" t="str">
        <f t="shared" si="2"/>
        <v>PLc1159</v>
      </c>
      <c r="B540" s="23" t="str">
        <f>'2.4.raw'!L540</f>
        <v>PLc1159</v>
      </c>
      <c r="C540" s="24">
        <f>datevalue(left('2.4.raw'!A540,10))</f>
        <v>43826</v>
      </c>
      <c r="D540" s="23">
        <f>'2.4.raw'!G540</f>
        <v>11</v>
      </c>
      <c r="E540" s="1">
        <v>2.39999999999999</v>
      </c>
      <c r="F540" s="23" t="b">
        <f>if(countif(Status!C:C,A540)=1,TRUE, FALSE)</f>
        <v>1</v>
      </c>
      <c r="G540" s="23" t="str">
        <f>'2.4.raw'!AQ540</f>
        <v>Sample collected by Somnath Sarkar</v>
      </c>
    </row>
    <row r="541">
      <c r="A541" s="23" t="str">
        <f t="shared" si="2"/>
        <v>FB1240</v>
      </c>
      <c r="B541" s="23" t="str">
        <f>'2.4.raw'!L541</f>
        <v>FB1240</v>
      </c>
      <c r="C541" s="24">
        <f>datevalue(left('2.4.raw'!A541,10))</f>
        <v>43826</v>
      </c>
      <c r="D541" s="23">
        <f>'2.4.raw'!G541</f>
        <v>99</v>
      </c>
      <c r="E541" s="1">
        <v>2.39999999999999</v>
      </c>
      <c r="F541" s="23" t="b">
        <f>if(countif(Status!C:C,A541)=1,TRUE, FALSE)</f>
        <v>1</v>
      </c>
      <c r="G541" s="23" t="str">
        <f>'2.4.raw'!AQ541</f>
        <v>Sample collected by Somnath Sarkar, FB at PLc1159 site</v>
      </c>
    </row>
    <row r="542">
      <c r="A542" s="23" t="str">
        <f t="shared" si="2"/>
        <v>PLc1160</v>
      </c>
      <c r="B542" s="23" t="str">
        <f>'2.4.raw'!L542</f>
        <v>PLc1160</v>
      </c>
      <c r="C542" s="24">
        <f>datevalue(left('2.4.raw'!A542,10))</f>
        <v>43829</v>
      </c>
      <c r="D542" s="23">
        <f>'2.4.raw'!G542</f>
        <v>11</v>
      </c>
      <c r="E542" s="1">
        <v>2.39999999999999</v>
      </c>
      <c r="F542" s="23" t="b">
        <f>if(countif(Status!C:C,A542)=1,TRUE, FALSE)</f>
        <v>1</v>
      </c>
      <c r="G542" s="23" t="str">
        <f>'2.4.raw'!AQ542</f>
        <v>Sample collected by Buddhadeb</v>
      </c>
    </row>
    <row r="543">
      <c r="A543" s="23" t="str">
        <f t="shared" si="2"/>
        <v>FB1241</v>
      </c>
      <c r="B543" s="23" t="str">
        <f>'2.4.raw'!L543</f>
        <v>FB1241</v>
      </c>
      <c r="C543" s="24">
        <f>datevalue(left('2.4.raw'!A543,10))</f>
        <v>43829</v>
      </c>
      <c r="D543" s="23">
        <f>'2.4.raw'!G543</f>
        <v>99</v>
      </c>
      <c r="E543" s="1">
        <v>2.39999999999999</v>
      </c>
      <c r="F543" s="23" t="b">
        <f>if(countif(Status!C:C,A543)=1,TRUE, FALSE)</f>
        <v>1</v>
      </c>
      <c r="G543" s="23" t="str">
        <f>'2.4.raw'!AQ543</f>
        <v>Sample collected by Suvankar</v>
      </c>
    </row>
    <row r="544">
      <c r="A544" s="23" t="str">
        <f t="shared" si="2"/>
        <v>PLc1161</v>
      </c>
      <c r="B544" s="23" t="str">
        <f>'2.4.raw'!L544</f>
        <v>PLc1161</v>
      </c>
      <c r="C544" s="24">
        <f>datevalue(left('2.4.raw'!A544,10))</f>
        <v>43829</v>
      </c>
      <c r="D544" s="23">
        <f>'2.4.raw'!G544</f>
        <v>11</v>
      </c>
      <c r="E544" s="1">
        <v>2.39999999999999</v>
      </c>
      <c r="F544" s="23" t="b">
        <f>if(countif(Status!C:C,A544)=1,TRUE, FALSE)</f>
        <v>1</v>
      </c>
      <c r="G544" s="23" t="str">
        <f>'2.4.raw'!AQ544</f>
        <v>Sample collected by Somnath</v>
      </c>
    </row>
    <row r="545">
      <c r="A545" s="23" t="str">
        <f t="shared" si="2"/>
        <v>FB1242</v>
      </c>
      <c r="B545" s="23" t="str">
        <f>'2.4.raw'!L545</f>
        <v>FB1242</v>
      </c>
      <c r="C545" s="24">
        <f>datevalue(left('2.4.raw'!A545,10))</f>
        <v>43829</v>
      </c>
      <c r="D545" s="23">
        <f>'2.4.raw'!G545</f>
        <v>99</v>
      </c>
      <c r="E545" s="1">
        <v>2.39999999999999</v>
      </c>
      <c r="F545" s="23" t="b">
        <f>if(countif(Status!C:C,A545)=1,TRUE, FALSE)</f>
        <v>1</v>
      </c>
      <c r="G545" s="23" t="str">
        <f>'2.4.raw'!AQ545</f>
        <v>Sample collected by Suvankar</v>
      </c>
    </row>
    <row r="546">
      <c r="A546" s="23" t="str">
        <f t="shared" si="2"/>
        <v>PLc1162</v>
      </c>
      <c r="B546" s="23" t="str">
        <f>'2.4.raw'!L546</f>
        <v>PLc1162</v>
      </c>
      <c r="C546" s="24">
        <f>datevalue(left('2.4.raw'!A546,10))</f>
        <v>43829</v>
      </c>
      <c r="D546" s="23">
        <f>'2.4.raw'!G546</f>
        <v>11</v>
      </c>
      <c r="E546" s="1">
        <v>2.39999999999999</v>
      </c>
      <c r="F546" s="23" t="b">
        <f>if(countif(Status!C:C,A546)=1,TRUE, FALSE)</f>
        <v>1</v>
      </c>
      <c r="G546" s="23" t="str">
        <f>'2.4.raw'!AQ546</f>
        <v>Sample collected by Somnath</v>
      </c>
    </row>
    <row r="547">
      <c r="A547" s="23" t="str">
        <f t="shared" si="2"/>
        <v>FB1243</v>
      </c>
      <c r="B547" s="23" t="str">
        <f>'2.4.raw'!L547</f>
        <v>FB1243</v>
      </c>
      <c r="C547" s="24">
        <f>datevalue(left('2.4.raw'!A547,10))</f>
        <v>43829</v>
      </c>
      <c r="D547" s="23">
        <f>'2.4.raw'!G547</f>
        <v>99</v>
      </c>
      <c r="E547" s="1">
        <v>2.39999999999999</v>
      </c>
      <c r="F547" s="23" t="b">
        <f>if(countif(Status!C:C,A547)=1,TRUE, FALSE)</f>
        <v>1</v>
      </c>
      <c r="G547" s="23" t="str">
        <f>'2.4.raw'!AQ547</f>
        <v>Sample collected by Somnath</v>
      </c>
    </row>
    <row r="548">
      <c r="A548" s="23" t="str">
        <f t="shared" si="2"/>
        <v>PLc1163</v>
      </c>
      <c r="B548" s="23" t="str">
        <f>'2.4.raw'!L548</f>
        <v>PLc1163</v>
      </c>
      <c r="C548" s="24">
        <f>datevalue(left('2.4.raw'!A548,10))</f>
        <v>43829</v>
      </c>
      <c r="D548" s="23">
        <f>'2.4.raw'!G548</f>
        <v>11</v>
      </c>
      <c r="E548" s="1">
        <v>2.39999999999999</v>
      </c>
      <c r="F548" s="23" t="b">
        <f>if(countif(Status!C:C,A548)=1,TRUE, FALSE)</f>
        <v>1</v>
      </c>
      <c r="G548" s="23" t="str">
        <f>'2.4.raw'!AQ548</f>
        <v>Sample collected by Buddhadeb</v>
      </c>
    </row>
    <row r="549">
      <c r="A549" s="23" t="str">
        <f t="shared" si="2"/>
        <v>FB1244</v>
      </c>
      <c r="B549" s="23" t="str">
        <f>'2.4.raw'!L549</f>
        <v>FB1244</v>
      </c>
      <c r="C549" s="24">
        <f>datevalue(left('2.4.raw'!A549,10))</f>
        <v>43829</v>
      </c>
      <c r="D549" s="23">
        <f>'2.4.raw'!G549</f>
        <v>99</v>
      </c>
      <c r="E549" s="1">
        <v>2.39999999999999</v>
      </c>
      <c r="F549" s="23" t="b">
        <f>if(countif(Status!C:C,A549)=1,TRUE, FALSE)</f>
        <v>1</v>
      </c>
      <c r="G549" s="23" t="str">
        <f>'2.4.raw'!AQ549</f>
        <v>Sample collected by Suvankar</v>
      </c>
    </row>
    <row r="550">
      <c r="A550" s="23" t="str">
        <f t="shared" si="2"/>
        <v>MO1140</v>
      </c>
      <c r="B550" s="23" t="str">
        <f>'2.4.raw'!L550</f>
        <v>MO1140</v>
      </c>
      <c r="C550" s="24">
        <f>datevalue(left('2.4.raw'!A550,10))</f>
        <v>43830</v>
      </c>
      <c r="D550" s="23">
        <f>'2.4.raw'!G550</f>
        <v>12</v>
      </c>
      <c r="E550" s="1">
        <v>2.39999999999999</v>
      </c>
      <c r="F550" s="23" t="b">
        <f>if(countif(Status!C:C,A550)=1,TRUE, FALSE)</f>
        <v>1</v>
      </c>
      <c r="G550" s="23" t="str">
        <f>'2.4.raw'!AQ550</f>
        <v>Sample collected by Biplab Jash</v>
      </c>
    </row>
    <row r="551">
      <c r="A551" s="23" t="str">
        <f t="shared" si="2"/>
        <v>FB1245</v>
      </c>
      <c r="B551" s="23" t="str">
        <f>'2.4.raw'!L551</f>
        <v>FB1245</v>
      </c>
      <c r="C551" s="24">
        <f>datevalue(left('2.4.raw'!A551,10))</f>
        <v>43830</v>
      </c>
      <c r="D551" s="23">
        <f>'2.4.raw'!G551</f>
        <v>99</v>
      </c>
      <c r="E551" s="1">
        <v>2.39999999999999</v>
      </c>
      <c r="F551" s="23" t="b">
        <f>if(countif(Status!C:C,A551)=1,TRUE, FALSE)</f>
        <v>1</v>
      </c>
      <c r="G551" s="23" t="str">
        <f>'2.4.raw'!AQ551</f>
        <v>Sample collected by Biplab Jash</v>
      </c>
    </row>
    <row r="552">
      <c r="A552" s="23" t="str">
        <f t="shared" si="2"/>
        <v>MO1141</v>
      </c>
      <c r="B552" s="23" t="str">
        <f>'2.4.raw'!L552</f>
        <v>MO1141</v>
      </c>
      <c r="C552" s="24">
        <f>datevalue(left('2.4.raw'!A552,10))</f>
        <v>43830</v>
      </c>
      <c r="D552" s="23">
        <f>'2.4.raw'!G552</f>
        <v>12</v>
      </c>
      <c r="E552" s="1">
        <v>2.39999999999999</v>
      </c>
      <c r="F552" s="23" t="b">
        <f>if(countif(Status!C:C,A552)=1,TRUE, FALSE)</f>
        <v>1</v>
      </c>
      <c r="G552" s="23" t="str">
        <f>'2.4.raw'!AQ552</f>
        <v>Sample collected by Debabrata Maity</v>
      </c>
    </row>
    <row r="553">
      <c r="A553" s="23" t="str">
        <f t="shared" si="2"/>
        <v>FB1246</v>
      </c>
      <c r="B553" s="23" t="str">
        <f>'2.4.raw'!L553</f>
        <v>FB1246</v>
      </c>
      <c r="C553" s="24">
        <f>datevalue(left('2.4.raw'!A553,10))</f>
        <v>43830</v>
      </c>
      <c r="D553" s="23">
        <f>'2.4.raw'!G553</f>
        <v>99</v>
      </c>
      <c r="E553" s="1">
        <v>2.39999999999999</v>
      </c>
      <c r="F553" s="23" t="b">
        <f>if(countif(Status!C:C,A553)=1,TRUE, FALSE)</f>
        <v>1</v>
      </c>
      <c r="G553" s="23" t="str">
        <f>'2.4.raw'!AQ553</f>
        <v>Sample collected by Debabrata Maity</v>
      </c>
    </row>
    <row r="554">
      <c r="A554" s="23" t="str">
        <f t="shared" si="2"/>
        <v>UF1013</v>
      </c>
      <c r="B554" s="23" t="str">
        <f>'2.4.raw'!L554</f>
        <v>UF1013</v>
      </c>
      <c r="C554" s="24">
        <f>datevalue(left('2.4.raw'!A554,10))</f>
        <v>43830</v>
      </c>
      <c r="D554" s="23">
        <f>'2.4.raw'!G554</f>
        <v>11</v>
      </c>
      <c r="E554" s="1">
        <v>2.39999999999999</v>
      </c>
      <c r="F554" s="23" t="b">
        <f>if(countif(Status!C:C,A554)=1,TRUE, FALSE)</f>
        <v>1</v>
      </c>
      <c r="G554" s="23" t="str">
        <f>'2.4.raw'!AQ554</f>
        <v>Sample collected by Asish Saha</v>
      </c>
    </row>
    <row r="555">
      <c r="A555" s="23" t="str">
        <f t="shared" si="2"/>
        <v>MO1142</v>
      </c>
      <c r="B555" s="23" t="str">
        <f>'2.4.raw'!L555</f>
        <v>MO1142</v>
      </c>
      <c r="C555" s="24">
        <f>datevalue(left('2.4.raw'!A555,10))</f>
        <v>43830</v>
      </c>
      <c r="D555" s="23">
        <f>'2.4.raw'!G555</f>
        <v>12</v>
      </c>
      <c r="E555" s="1">
        <v>2.39999999999999</v>
      </c>
      <c r="F555" s="23" t="b">
        <f>if(countif(Status!C:C,A555)=1,TRUE, FALSE)</f>
        <v>1</v>
      </c>
      <c r="G555" s="23" t="str">
        <f>'2.4.raw'!AQ555</f>
        <v>Sample collected by Biplab Jash</v>
      </c>
    </row>
    <row r="556">
      <c r="A556" s="23" t="str">
        <f t="shared" si="2"/>
        <v>FB1247</v>
      </c>
      <c r="B556" s="23" t="str">
        <f>'2.4.raw'!L556</f>
        <v>FB1247</v>
      </c>
      <c r="C556" s="24">
        <f>datevalue(left('2.4.raw'!A556,10))</f>
        <v>43830</v>
      </c>
      <c r="D556" s="23">
        <f>'2.4.raw'!G556</f>
        <v>99</v>
      </c>
      <c r="E556" s="1">
        <v>2.39999999999999</v>
      </c>
      <c r="F556" s="23" t="b">
        <f>if(countif(Status!C:C,A556)=1,TRUE, FALSE)</f>
        <v>1</v>
      </c>
      <c r="G556" s="23" t="str">
        <f>'2.4.raw'!AQ556</f>
        <v>Sample collected by Biplab Jash</v>
      </c>
    </row>
    <row r="557">
      <c r="A557" s="23" t="str">
        <f t="shared" si="2"/>
        <v>PLc1164</v>
      </c>
      <c r="B557" s="23" t="str">
        <f>'2.4.raw'!L557</f>
        <v>PLc1164</v>
      </c>
      <c r="C557" s="24">
        <f>datevalue(left('2.4.raw'!A557,10))</f>
        <v>43832</v>
      </c>
      <c r="D557" s="23">
        <f>'2.4.raw'!G557</f>
        <v>11</v>
      </c>
      <c r="E557" s="1">
        <v>2.39999999999999</v>
      </c>
      <c r="F557" s="23" t="b">
        <f>if(countif(Status!C:C,A557)=1,TRUE, FALSE)</f>
        <v>1</v>
      </c>
      <c r="G557" s="23" t="str">
        <f>'2.4.raw'!AQ557</f>
        <v>Sample collected by Suvankar Mandal</v>
      </c>
    </row>
    <row r="558">
      <c r="A558" s="23" t="str">
        <f t="shared" si="2"/>
        <v>FB1252</v>
      </c>
      <c r="B558" s="23" t="str">
        <f>'2.4.raw'!L558</f>
        <v>FB1252</v>
      </c>
      <c r="C558" s="24">
        <f>datevalue(left('2.4.raw'!A558,10))</f>
        <v>43832</v>
      </c>
      <c r="D558" s="23">
        <f>'2.4.raw'!G558</f>
        <v>99</v>
      </c>
      <c r="E558" s="1">
        <v>2.39999999999999</v>
      </c>
      <c r="F558" s="23" t="b">
        <f>if(countif(Status!C:C,A558)=1,TRUE, FALSE)</f>
        <v>1</v>
      </c>
      <c r="G558" s="23" t="str">
        <f>'2.4.raw'!AQ558</f>
        <v>Sample collected by Suvankar Mandal, FB at PLc1164</v>
      </c>
    </row>
    <row r="559">
      <c r="A559" s="23" t="str">
        <f t="shared" si="2"/>
        <v>PLc1165</v>
      </c>
      <c r="B559" s="23" t="str">
        <f>'2.4.raw'!L559</f>
        <v>PLc1165</v>
      </c>
      <c r="C559" s="24">
        <f>datevalue(left('2.4.raw'!A559,10))</f>
        <v>43832</v>
      </c>
      <c r="D559" s="23">
        <f>'2.4.raw'!G559</f>
        <v>11</v>
      </c>
      <c r="E559" s="1">
        <v>2.39999999999999</v>
      </c>
      <c r="F559" s="23" t="b">
        <f>if(countif(Status!C:C,A559)=1,TRUE, FALSE)</f>
        <v>1</v>
      </c>
      <c r="G559" s="23" t="str">
        <f>'2.4.raw'!AQ559</f>
        <v>Sample collected by Buddhadeb Samaddar</v>
      </c>
    </row>
    <row r="560">
      <c r="A560" s="23" t="str">
        <f t="shared" si="2"/>
        <v>FB1253</v>
      </c>
      <c r="B560" s="23" t="str">
        <f>'2.4.raw'!L560</f>
        <v>FB1253</v>
      </c>
      <c r="C560" s="24">
        <f>datevalue(left('2.4.raw'!A560,10))</f>
        <v>43832</v>
      </c>
      <c r="D560" s="23">
        <f>'2.4.raw'!G560</f>
        <v>99</v>
      </c>
      <c r="E560" s="1">
        <v>2.39999999999999</v>
      </c>
      <c r="F560" s="23" t="b">
        <f>if(countif(Status!C:C,A560)=1,TRUE, FALSE)</f>
        <v>1</v>
      </c>
      <c r="G560" s="23" t="str">
        <f>'2.4.raw'!AQ560</f>
        <v>Sample collected by Buddhadeb Samaddar, FB at PLc1165</v>
      </c>
    </row>
    <row r="561">
      <c r="A561" s="23" t="str">
        <f t="shared" si="2"/>
        <v>PLc1166</v>
      </c>
      <c r="B561" s="23" t="str">
        <f>'2.4.raw'!L561</f>
        <v>PLc1166</v>
      </c>
      <c r="C561" s="24">
        <f>datevalue(left('2.4.raw'!A561,10))</f>
        <v>43832</v>
      </c>
      <c r="D561" s="23">
        <f>'2.4.raw'!G561</f>
        <v>11</v>
      </c>
      <c r="E561" s="1">
        <v>2.39999999999999</v>
      </c>
      <c r="F561" s="23" t="b">
        <f>if(countif(Status!C:C,A561)=1,TRUE, FALSE)</f>
        <v>1</v>
      </c>
      <c r="G561" s="23" t="str">
        <f>'2.4.raw'!AQ561</f>
        <v>Sample collected by Asish Saha</v>
      </c>
    </row>
    <row r="562">
      <c r="A562" s="23" t="str">
        <f t="shared" si="2"/>
        <v>FB1254</v>
      </c>
      <c r="B562" s="23" t="str">
        <f>'2.4.raw'!L562</f>
        <v>FB1254</v>
      </c>
      <c r="C562" s="24">
        <f>datevalue(left('2.4.raw'!A562,10))</f>
        <v>43832</v>
      </c>
      <c r="D562" s="23">
        <f>'2.4.raw'!G562</f>
        <v>99</v>
      </c>
      <c r="E562" s="1">
        <v>2.39999999999999</v>
      </c>
      <c r="F562" s="23" t="b">
        <f>if(countif(Status!C:C,A562)=1,TRUE, FALSE)</f>
        <v>1</v>
      </c>
      <c r="G562" s="23" t="str">
        <f>'2.4.raw'!AQ562</f>
        <v>Sample collected by Asish Saha, FB at PLc1166</v>
      </c>
    </row>
    <row r="563">
      <c r="A563" s="23" t="str">
        <f t="shared" si="2"/>
        <v>PLc1167</v>
      </c>
      <c r="B563" s="23" t="str">
        <f>'2.4.raw'!L563</f>
        <v>PLc1167</v>
      </c>
      <c r="C563" s="24">
        <f>datevalue(left('2.4.raw'!A563,10))</f>
        <v>43832</v>
      </c>
      <c r="D563" s="23">
        <f>'2.4.raw'!G563</f>
        <v>11</v>
      </c>
      <c r="E563" s="1">
        <v>2.39999999999999</v>
      </c>
      <c r="F563" s="23" t="b">
        <f>if(countif(Status!C:C,A563)=1,TRUE, FALSE)</f>
        <v>1</v>
      </c>
      <c r="G563" s="23" t="str">
        <f>'2.4.raw'!AQ563</f>
        <v>Sample collected by Debabrata Maity</v>
      </c>
    </row>
    <row r="564">
      <c r="A564" s="23" t="str">
        <f t="shared" si="2"/>
        <v>FB1255</v>
      </c>
      <c r="B564" s="23" t="str">
        <f>'2.4.raw'!L564</f>
        <v>FB1255</v>
      </c>
      <c r="C564" s="24">
        <f>datevalue(left('2.4.raw'!A564,10))</f>
        <v>43832</v>
      </c>
      <c r="D564" s="23">
        <f>'2.4.raw'!G564</f>
        <v>99</v>
      </c>
      <c r="E564" s="1">
        <v>2.39999999999999</v>
      </c>
      <c r="F564" s="23" t="b">
        <f>if(countif(Status!C:C,A564)=1,TRUE, FALSE)</f>
        <v>1</v>
      </c>
      <c r="G564" s="23" t="str">
        <f>'2.4.raw'!AQ564</f>
        <v>Sample collected Debabrata Maity, FB at PLc1167</v>
      </c>
    </row>
    <row r="565">
      <c r="A565" s="23" t="str">
        <f t="shared" si="2"/>
        <v>PLc1168</v>
      </c>
      <c r="B565" s="23" t="str">
        <f>'2.4.raw'!L565</f>
        <v>PLc1168</v>
      </c>
      <c r="C565" s="24">
        <f>datevalue(left('2.4.raw'!A565,10))</f>
        <v>43832</v>
      </c>
      <c r="D565" s="23">
        <f>'2.4.raw'!G565</f>
        <v>11</v>
      </c>
      <c r="E565" s="1">
        <v>2.39999999999999</v>
      </c>
      <c r="F565" s="23" t="b">
        <f>if(countif(Status!C:C,A565)=1,TRUE, FALSE)</f>
        <v>1</v>
      </c>
      <c r="G565" s="23" t="str">
        <f>'2.4.raw'!AQ565</f>
        <v>Sample collected by Suvankar Mandal</v>
      </c>
    </row>
    <row r="566">
      <c r="A566" s="23" t="str">
        <f t="shared" si="2"/>
        <v>FB1256</v>
      </c>
      <c r="B566" s="23" t="str">
        <f>'2.4.raw'!L566</f>
        <v>FB1256</v>
      </c>
      <c r="C566" s="24">
        <f>datevalue(left('2.4.raw'!A566,10))</f>
        <v>43832</v>
      </c>
      <c r="D566" s="23">
        <f>'2.4.raw'!G566</f>
        <v>99</v>
      </c>
      <c r="E566" s="1">
        <v>2.39999999999999</v>
      </c>
      <c r="F566" s="23" t="b">
        <f>if(countif(Status!C:C,A566)=1,TRUE, FALSE)</f>
        <v>1</v>
      </c>
      <c r="G566" s="23" t="str">
        <f>'2.4.raw'!AQ566</f>
        <v>Sample collected by Suvankar Mandal, FB at PLc1168</v>
      </c>
    </row>
    <row r="567">
      <c r="A567" s="23" t="str">
        <f t="shared" si="2"/>
        <v>MO1143</v>
      </c>
      <c r="B567" s="23" t="str">
        <f>'2.4.raw'!L567</f>
        <v>MO1143</v>
      </c>
      <c r="C567" s="24">
        <f>datevalue(left('2.4.raw'!A567,10))</f>
        <v>43832</v>
      </c>
      <c r="D567" s="23">
        <f>'2.4.raw'!G567</f>
        <v>12</v>
      </c>
      <c r="E567" s="1">
        <v>2.39999999999999</v>
      </c>
      <c r="F567" s="23" t="b">
        <f>if(countif(Status!C:C,A567)=1,TRUE, FALSE)</f>
        <v>1</v>
      </c>
      <c r="G567" s="23" t="str">
        <f>'2.4.raw'!AQ567</f>
        <v>Sample collected by Somnath Sarkar</v>
      </c>
    </row>
    <row r="568">
      <c r="A568" s="23" t="str">
        <f t="shared" si="2"/>
        <v>FB1249</v>
      </c>
      <c r="B568" s="23" t="str">
        <f>'2.4.raw'!L568</f>
        <v>FB1249</v>
      </c>
      <c r="C568" s="24">
        <f>datevalue(left('2.4.raw'!A568,10))</f>
        <v>43832</v>
      </c>
      <c r="D568" s="23">
        <f>'2.4.raw'!G568</f>
        <v>99</v>
      </c>
      <c r="E568" s="1">
        <v>2.39999999999999</v>
      </c>
      <c r="F568" s="23" t="b">
        <f>if(countif(Status!C:C,A568)=1,TRUE, FALSE)</f>
        <v>1</v>
      </c>
      <c r="G568" s="23" t="str">
        <f>'2.4.raw'!AQ568</f>
        <v>Sample collected by Somnath Sarkar</v>
      </c>
    </row>
    <row r="569">
      <c r="A569" s="23" t="str">
        <f t="shared" si="2"/>
        <v>MO1144</v>
      </c>
      <c r="B569" s="23" t="str">
        <f>'2.4.raw'!L569</f>
        <v>MO1144</v>
      </c>
      <c r="C569" s="24">
        <f>datevalue(left('2.4.raw'!A569,10))</f>
        <v>43832</v>
      </c>
      <c r="D569" s="23">
        <f>'2.4.raw'!G569</f>
        <v>12</v>
      </c>
      <c r="E569" s="1">
        <v>2.39999999999999</v>
      </c>
      <c r="F569" s="23" t="b">
        <f>if(countif(Status!C:C,A569)=1,TRUE, FALSE)</f>
        <v>1</v>
      </c>
      <c r="G569" s="23" t="str">
        <f>'2.4.raw'!AQ569</f>
        <v>Sample collected by Biplab Jash</v>
      </c>
    </row>
    <row r="570">
      <c r="A570" s="23" t="str">
        <f t="shared" si="2"/>
        <v>FB1250</v>
      </c>
      <c r="B570" s="23" t="str">
        <f>'2.4.raw'!L570</f>
        <v>FB1250</v>
      </c>
      <c r="C570" s="24">
        <f>datevalue(left('2.4.raw'!A570,10))</f>
        <v>43832</v>
      </c>
      <c r="D570" s="23">
        <f>'2.4.raw'!G570</f>
        <v>99</v>
      </c>
      <c r="E570" s="1">
        <v>2.39999999999999</v>
      </c>
      <c r="F570" s="23" t="b">
        <f>if(countif(Status!C:C,A570)=1,TRUE, FALSE)</f>
        <v>1</v>
      </c>
      <c r="G570" s="23" t="str">
        <f>'2.4.raw'!AQ570</f>
        <v>Sample collected by Biplab Jash</v>
      </c>
    </row>
    <row r="571">
      <c r="A571" s="23" t="str">
        <f t="shared" si="2"/>
        <v>MO1145</v>
      </c>
      <c r="B571" s="23" t="str">
        <f>'2.4.raw'!L571</f>
        <v>MO1145</v>
      </c>
      <c r="C571" s="24">
        <f>datevalue(left('2.4.raw'!A571,10))</f>
        <v>43832</v>
      </c>
      <c r="D571" s="23">
        <f>'2.4.raw'!G571</f>
        <v>12</v>
      </c>
      <c r="E571" s="1">
        <v>2.39999999999999</v>
      </c>
      <c r="F571" s="23" t="b">
        <f>if(countif(Status!C:C,A571)=1,TRUE, FALSE)</f>
        <v>1</v>
      </c>
      <c r="G571" s="23" t="str">
        <f>'2.4.raw'!AQ571</f>
        <v>Sample collected by Somnath Sarkar</v>
      </c>
    </row>
    <row r="572">
      <c r="A572" s="23" t="str">
        <f t="shared" si="2"/>
        <v>FB1251</v>
      </c>
      <c r="B572" s="23" t="str">
        <f>'2.4.raw'!L572</f>
        <v>FB1251</v>
      </c>
      <c r="C572" s="24">
        <f>datevalue(left('2.4.raw'!A572,10))</f>
        <v>43832</v>
      </c>
      <c r="D572" s="23">
        <f>'2.4.raw'!G572</f>
        <v>99</v>
      </c>
      <c r="E572" s="1">
        <v>2.39999999999999</v>
      </c>
      <c r="F572" s="23" t="b">
        <f>if(countif(Status!C:C,A572)=1,TRUE, FALSE)</f>
        <v>1</v>
      </c>
      <c r="G572" s="23" t="str">
        <f>'2.4.raw'!AQ572</f>
        <v>Sample collected by Somnath Sarkar</v>
      </c>
    </row>
    <row r="573">
      <c r="A573" s="23" t="str">
        <f t="shared" si="2"/>
        <v>PLc1169</v>
      </c>
      <c r="B573" s="23" t="str">
        <f>'2.4.raw'!L573</f>
        <v>PLc1169</v>
      </c>
      <c r="C573" s="24">
        <f>datevalue(left('2.4.raw'!A573,10))</f>
        <v>43836</v>
      </c>
      <c r="D573" s="23">
        <f>'2.4.raw'!G573</f>
        <v>11</v>
      </c>
      <c r="E573" s="1">
        <v>2.39999999999999</v>
      </c>
      <c r="F573" s="23" t="b">
        <f>if(countif(Status!C:C,A573)=1,TRUE, FALSE)</f>
        <v>1</v>
      </c>
      <c r="G573" s="23" t="str">
        <f>'2.4.raw'!AQ573</f>
        <v>Sample collected by Buddhadeb Samaddar</v>
      </c>
    </row>
    <row r="574">
      <c r="A574" s="23" t="str">
        <f t="shared" si="2"/>
        <v>FB1257</v>
      </c>
      <c r="B574" s="23" t="str">
        <f>'2.4.raw'!L574</f>
        <v>FB1257</v>
      </c>
      <c r="C574" s="24">
        <f>datevalue(left('2.4.raw'!A574,10))</f>
        <v>43836</v>
      </c>
      <c r="D574" s="23">
        <f>'2.4.raw'!G574</f>
        <v>99</v>
      </c>
      <c r="E574" s="1">
        <v>2.39999999999999</v>
      </c>
      <c r="F574" s="23" t="b">
        <f>if(countif(Status!C:C,A574)=1,TRUE, FALSE)</f>
        <v>1</v>
      </c>
      <c r="G574" s="23" t="str">
        <f>'2.4.raw'!AQ574</f>
        <v>Sample collected by Buddhadeb Samaddar, FB at PLc1169 site</v>
      </c>
    </row>
    <row r="575">
      <c r="A575" s="23" t="str">
        <f t="shared" si="2"/>
        <v>PLc1170</v>
      </c>
      <c r="B575" s="23" t="str">
        <f>'2.4.raw'!L575</f>
        <v>PLc1170</v>
      </c>
      <c r="C575" s="24">
        <f>datevalue(left('2.4.raw'!A575,10))</f>
        <v>43836</v>
      </c>
      <c r="D575" s="23">
        <f>'2.4.raw'!G575</f>
        <v>11</v>
      </c>
      <c r="E575" s="1">
        <v>2.39999999999999</v>
      </c>
      <c r="F575" s="23" t="b">
        <f>if(countif(Status!C:C,A575)=1,TRUE, FALSE)</f>
        <v>1</v>
      </c>
      <c r="G575" s="23" t="str">
        <f>'2.4.raw'!AQ575</f>
        <v>Sample collected by Somnath Sarkar</v>
      </c>
    </row>
    <row r="576">
      <c r="A576" s="23" t="str">
        <f t="shared" si="2"/>
        <v>FB1258</v>
      </c>
      <c r="B576" s="23" t="str">
        <f>'2.4.raw'!L576</f>
        <v>FB1258</v>
      </c>
      <c r="C576" s="24">
        <f>datevalue(left('2.4.raw'!A576,10))</f>
        <v>43836</v>
      </c>
      <c r="D576" s="23">
        <f>'2.4.raw'!G576</f>
        <v>99</v>
      </c>
      <c r="E576" s="1">
        <v>2.39999999999999</v>
      </c>
      <c r="F576" s="23" t="b">
        <f>if(countif(Status!C:C,A576)=1,TRUE, FALSE)</f>
        <v>1</v>
      </c>
      <c r="G576" s="23" t="str">
        <f>'2.4.raw'!AQ576</f>
        <v>Sample collected by Somnath Sarkar, FB at PLc1170 site</v>
      </c>
    </row>
    <row r="577">
      <c r="A577" s="23" t="str">
        <f t="shared" si="2"/>
        <v>PLc1171</v>
      </c>
      <c r="B577" s="23" t="str">
        <f>'2.4.raw'!L577</f>
        <v>PLc1171</v>
      </c>
      <c r="C577" s="24">
        <f>datevalue(left('2.4.raw'!A577,10))</f>
        <v>43836</v>
      </c>
      <c r="D577" s="23">
        <f>'2.4.raw'!G577</f>
        <v>11</v>
      </c>
      <c r="E577" s="1">
        <v>2.39999999999999</v>
      </c>
      <c r="F577" s="23" t="b">
        <f>if(countif(Status!C:C,A577)=1,TRUE, FALSE)</f>
        <v>1</v>
      </c>
      <c r="G577" s="23" t="str">
        <f>'2.4.raw'!AQ577</f>
        <v>Sample collected by Suvankar Mandal</v>
      </c>
    </row>
    <row r="578">
      <c r="A578" s="23" t="str">
        <f t="shared" si="2"/>
        <v>FB1259</v>
      </c>
      <c r="B578" s="23" t="str">
        <f>'2.4.raw'!L578</f>
        <v>FB1259</v>
      </c>
      <c r="C578" s="24">
        <f>datevalue(left('2.4.raw'!A578,10))</f>
        <v>43836</v>
      </c>
      <c r="D578" s="23">
        <f>'2.4.raw'!G578</f>
        <v>99</v>
      </c>
      <c r="E578" s="1">
        <v>2.39999999999999</v>
      </c>
      <c r="F578" s="23" t="b">
        <f>if(countif(Status!C:C,A578)=1,TRUE, FALSE)</f>
        <v>1</v>
      </c>
      <c r="G578" s="23" t="str">
        <f>'2.4.raw'!AQ578</f>
        <v>Sample collected by Suvankar Mandal, FB at PLc1171 site</v>
      </c>
    </row>
    <row r="579">
      <c r="A579" s="23" t="str">
        <f t="shared" si="2"/>
        <v>PLc1172</v>
      </c>
      <c r="B579" s="23" t="str">
        <f>'2.4.raw'!L579</f>
        <v>PLc1172</v>
      </c>
      <c r="C579" s="24">
        <f>datevalue(left('2.4.raw'!A579,10))</f>
        <v>43836</v>
      </c>
      <c r="D579" s="23">
        <f>'2.4.raw'!G579</f>
        <v>11</v>
      </c>
      <c r="E579" s="1">
        <v>2.39999999999999</v>
      </c>
      <c r="F579" s="23" t="b">
        <f>if(countif(Status!C:C,A579)=1,TRUE, FALSE)</f>
        <v>1</v>
      </c>
      <c r="G579" s="23" t="str">
        <f>'2.4.raw'!AQ579</f>
        <v>Sample collected Debabrata Maity</v>
      </c>
    </row>
    <row r="580">
      <c r="A580" s="23" t="str">
        <f t="shared" si="2"/>
        <v>FB1260</v>
      </c>
      <c r="B580" s="23" t="str">
        <f>'2.4.raw'!L580</f>
        <v>FB1260</v>
      </c>
      <c r="C580" s="24">
        <f>datevalue(left('2.4.raw'!A580,10))</f>
        <v>43836</v>
      </c>
      <c r="D580" s="23">
        <f>'2.4.raw'!G580</f>
        <v>99</v>
      </c>
      <c r="E580" s="1">
        <v>2.39999999999999</v>
      </c>
      <c r="F580" s="23" t="b">
        <f>if(countif(Status!C:C,A580)=1,TRUE, FALSE)</f>
        <v>1</v>
      </c>
      <c r="G580" s="23" t="str">
        <f>'2.4.raw'!AQ580</f>
        <v>Sample collected by Debabrata Maity, FB at PLc1172 site</v>
      </c>
    </row>
    <row r="581">
      <c r="A581" s="23" t="str">
        <f t="shared" si="2"/>
        <v>MO1146</v>
      </c>
      <c r="B581" s="23" t="str">
        <f>'2.4.raw'!L581</f>
        <v>MO1146</v>
      </c>
      <c r="C581" s="24">
        <f>datevalue(left('2.4.raw'!A581,10))</f>
        <v>43837</v>
      </c>
      <c r="D581" s="23">
        <f>'2.4.raw'!G581</f>
        <v>12</v>
      </c>
      <c r="E581" s="1">
        <v>2.39999999999999</v>
      </c>
      <c r="F581" s="23" t="b">
        <f>if(countif(Status!C:C,A581)=1,TRUE, FALSE)</f>
        <v>1</v>
      </c>
      <c r="G581" s="23" t="str">
        <f>'2.4.raw'!AQ581</f>
        <v>Sample collected by Buddhadeb Samaddar</v>
      </c>
    </row>
    <row r="582">
      <c r="A582" s="23" t="str">
        <f t="shared" si="2"/>
        <v>FB1261</v>
      </c>
      <c r="B582" s="23" t="str">
        <f>'2.4.raw'!L582</f>
        <v>FB1261</v>
      </c>
      <c r="C582" s="24">
        <f>datevalue(left('2.4.raw'!A582,10))</f>
        <v>43837</v>
      </c>
      <c r="D582" s="23">
        <f>'2.4.raw'!G582</f>
        <v>99</v>
      </c>
      <c r="E582" s="1">
        <v>2.39999999999999</v>
      </c>
      <c r="F582" s="23" t="b">
        <f>if(countif(Status!C:C,A582)=1,TRUE, FALSE)</f>
        <v>1</v>
      </c>
      <c r="G582" s="23" t="str">
        <f>'2.4.raw'!AQ582</f>
        <v>Sample collected by Buddhadeb Samaddar</v>
      </c>
    </row>
    <row r="583">
      <c r="A583" s="23" t="str">
        <f t="shared" si="2"/>
        <v>MO1147</v>
      </c>
      <c r="B583" s="23" t="str">
        <f>'2.4.raw'!L583</f>
        <v>MO1147</v>
      </c>
      <c r="C583" s="24">
        <f>datevalue(left('2.4.raw'!A583,10))</f>
        <v>43837</v>
      </c>
      <c r="D583" s="23">
        <f>'2.4.raw'!G583</f>
        <v>12</v>
      </c>
      <c r="E583" s="1">
        <v>2.39999999999999</v>
      </c>
      <c r="F583" s="23" t="b">
        <f>if(countif(Status!C:C,A583)=1,TRUE, FALSE)</f>
        <v>1</v>
      </c>
      <c r="G583" s="23" t="str">
        <f>'2.4.raw'!AQ583</f>
        <v>Sample collected by Biplab Jash</v>
      </c>
    </row>
    <row r="584">
      <c r="A584" s="23" t="str">
        <f t="shared" si="2"/>
        <v>FB1262</v>
      </c>
      <c r="B584" s="23" t="str">
        <f>'2.4.raw'!L584</f>
        <v>FB1262</v>
      </c>
      <c r="C584" s="24">
        <f>datevalue(left('2.4.raw'!A584,10))</f>
        <v>43837</v>
      </c>
      <c r="D584" s="23">
        <f>'2.4.raw'!G584</f>
        <v>99</v>
      </c>
      <c r="E584" s="1">
        <v>2.39999999999999</v>
      </c>
      <c r="F584" s="23" t="b">
        <f>if(countif(Status!C:C,A584)=1,TRUE, FALSE)</f>
        <v>1</v>
      </c>
      <c r="G584" s="23" t="str">
        <f>'2.4.raw'!AQ584</f>
        <v>Sample collected by Biplab Jash</v>
      </c>
    </row>
    <row r="585">
      <c r="A585" s="23" t="str">
        <f t="shared" si="2"/>
        <v>UF1014</v>
      </c>
      <c r="B585" s="23" t="str">
        <f>'2.4.raw'!L585</f>
        <v>UF1014</v>
      </c>
      <c r="C585" s="24">
        <f>datevalue(left('2.4.raw'!A585,10))</f>
        <v>43837</v>
      </c>
      <c r="D585" s="23">
        <f>'2.4.raw'!G585</f>
        <v>11</v>
      </c>
      <c r="E585" s="1">
        <v>2.39999999999999</v>
      </c>
      <c r="F585" s="23" t="b">
        <f>if(countif(Status!C:C,A585)=1,TRUE, FALSE)</f>
        <v>1</v>
      </c>
      <c r="G585" s="23" t="str">
        <f>'2.4.raw'!AQ585</f>
        <v>Sample collected by Biplab Jash</v>
      </c>
    </row>
    <row r="586">
      <c r="A586" s="23" t="str">
        <f t="shared" si="2"/>
        <v>MO1148</v>
      </c>
      <c r="B586" s="23" t="str">
        <f>'2.4.raw'!L586</f>
        <v>MO1148</v>
      </c>
      <c r="C586" s="24">
        <f>datevalue(left('2.4.raw'!A586,10))</f>
        <v>43837</v>
      </c>
      <c r="D586" s="23">
        <f>'2.4.raw'!G586</f>
        <v>12</v>
      </c>
      <c r="E586" s="1">
        <v>2.39999999999999</v>
      </c>
      <c r="F586" s="23" t="b">
        <f>if(countif(Status!C:C,A586)=1,TRUE, FALSE)</f>
        <v>1</v>
      </c>
      <c r="G586" s="23" t="str">
        <f>'2.4.raw'!AQ586</f>
        <v>Sample collected by Buddhadeb Samaddar</v>
      </c>
    </row>
    <row r="587">
      <c r="A587" s="23" t="str">
        <f t="shared" si="2"/>
        <v>FB1263</v>
      </c>
      <c r="B587" s="23" t="str">
        <f>'2.4.raw'!L587</f>
        <v>FB1263</v>
      </c>
      <c r="C587" s="24">
        <f>datevalue(left('2.4.raw'!A587,10))</f>
        <v>43837</v>
      </c>
      <c r="D587" s="23">
        <f>'2.4.raw'!G587</f>
        <v>99</v>
      </c>
      <c r="E587" s="1">
        <v>2.39999999999999</v>
      </c>
      <c r="F587" s="23" t="b">
        <f>if(countif(Status!C:C,A587)=1,TRUE, FALSE)</f>
        <v>1</v>
      </c>
      <c r="G587" s="23" t="str">
        <f>'2.4.raw'!AQ587</f>
        <v>Sample collected by Buddhadeb Samaddar</v>
      </c>
    </row>
    <row r="588">
      <c r="A588" s="23" t="str">
        <f t="shared" si="2"/>
        <v>PLc1173</v>
      </c>
      <c r="B588" s="23" t="str">
        <f>'2.4.raw'!L588</f>
        <v>PLc1173</v>
      </c>
      <c r="C588" s="24">
        <f>datevalue(left('2.4.raw'!A588,10))</f>
        <v>43839</v>
      </c>
      <c r="D588" s="23">
        <f>'2.4.raw'!G588</f>
        <v>11</v>
      </c>
      <c r="E588" s="1">
        <v>2.39999999999999</v>
      </c>
      <c r="F588" s="23" t="b">
        <f>if(countif(Status!C:C,A588)=1,TRUE, FALSE)</f>
        <v>1</v>
      </c>
      <c r="G588" s="23" t="str">
        <f>'2.4.raw'!AQ588</f>
        <v>Sample collected by Suvankar Mandal</v>
      </c>
    </row>
    <row r="589">
      <c r="A589" s="23" t="str">
        <f t="shared" si="2"/>
        <v>FB1267</v>
      </c>
      <c r="B589" s="23" t="str">
        <f>'2.4.raw'!L589</f>
        <v>FB1267</v>
      </c>
      <c r="C589" s="24">
        <f>datevalue(left('2.4.raw'!A589,10))</f>
        <v>43839</v>
      </c>
      <c r="D589" s="23">
        <f>'2.4.raw'!G589</f>
        <v>99</v>
      </c>
      <c r="E589" s="1">
        <v>2.39999999999999</v>
      </c>
      <c r="F589" s="23" t="b">
        <f>if(countif(Status!C:C,A589)=1,TRUE, FALSE)</f>
        <v>1</v>
      </c>
      <c r="G589" s="23" t="str">
        <f>'2.4.raw'!AQ589</f>
        <v>Sample collected by Suvankar Mandal, FB at PLc1173 site</v>
      </c>
    </row>
    <row r="590">
      <c r="A590" s="23" t="str">
        <f t="shared" si="2"/>
        <v>MO1150</v>
      </c>
      <c r="B590" s="23" t="str">
        <f>'2.4.raw'!L590</f>
        <v>MO1150</v>
      </c>
      <c r="C590" s="24">
        <f>datevalue(left('2.4.raw'!A590,10))</f>
        <v>43839</v>
      </c>
      <c r="D590" s="23">
        <f>'2.4.raw'!G590</f>
        <v>12</v>
      </c>
      <c r="E590" s="1">
        <v>2.39999999999999</v>
      </c>
      <c r="F590" s="23" t="b">
        <f>if(countif(Status!C:C,A590)=1,TRUE, FALSE)</f>
        <v>1</v>
      </c>
      <c r="G590" s="23" t="str">
        <f>'2.4.raw'!AQ590</f>
        <v>Sample collected by Biplab Jash</v>
      </c>
    </row>
    <row r="591">
      <c r="A591" s="23" t="str">
        <f t="shared" si="2"/>
        <v>FB1265</v>
      </c>
      <c r="B591" s="23" t="str">
        <f>'2.4.raw'!L591</f>
        <v>FB1265</v>
      </c>
      <c r="C591" s="24">
        <f>datevalue(left('2.4.raw'!A591,10))</f>
        <v>43839</v>
      </c>
      <c r="D591" s="23">
        <f>'2.4.raw'!G591</f>
        <v>99</v>
      </c>
      <c r="E591" s="1">
        <v>2.39999999999999</v>
      </c>
      <c r="F591" s="23" t="b">
        <f>if(countif(Status!C:C,A591)=1,TRUE, FALSE)</f>
        <v>1</v>
      </c>
      <c r="G591" s="23" t="str">
        <f>'2.4.raw'!AQ591</f>
        <v>Sample collected by Biplab Jash</v>
      </c>
    </row>
    <row r="592">
      <c r="A592" s="23" t="str">
        <f t="shared" si="2"/>
        <v>MO1149</v>
      </c>
      <c r="B592" s="23" t="str">
        <f>'2.4.raw'!L592</f>
        <v>MO1149</v>
      </c>
      <c r="C592" s="24">
        <f>datevalue(left('2.4.raw'!A592,10))</f>
        <v>43839</v>
      </c>
      <c r="D592" s="23">
        <f>'2.4.raw'!G592</f>
        <v>12</v>
      </c>
      <c r="E592" s="1">
        <v>2.39999999999999</v>
      </c>
      <c r="F592" s="23" t="b">
        <f>if(countif(Status!C:C,A592)=1,TRUE, FALSE)</f>
        <v>1</v>
      </c>
      <c r="G592" s="23" t="str">
        <f>'2.4.raw'!AQ592</f>
        <v>Sample collected by Debabrata Maity</v>
      </c>
    </row>
    <row r="593">
      <c r="A593" s="23" t="str">
        <f t="shared" si="2"/>
        <v>FB1266</v>
      </c>
      <c r="B593" s="23" t="str">
        <f>'2.4.raw'!L593</f>
        <v>FB1266</v>
      </c>
      <c r="C593" s="24">
        <f>datevalue(left('2.4.raw'!A593,10))</f>
        <v>43839</v>
      </c>
      <c r="D593" s="23">
        <f>'2.4.raw'!G593</f>
        <v>99</v>
      </c>
      <c r="E593" s="1">
        <v>2.39999999999999</v>
      </c>
      <c r="F593" s="23" t="b">
        <f>if(countif(Status!C:C,A593)=1,TRUE, FALSE)</f>
        <v>1</v>
      </c>
      <c r="G593" s="23" t="str">
        <f>'2.4.raw'!AQ593</f>
        <v>Sample collected by Debabrata Maity</v>
      </c>
    </row>
    <row r="594">
      <c r="A594" s="23" t="str">
        <f t="shared" si="2"/>
        <v>PLc1174</v>
      </c>
      <c r="B594" s="23" t="str">
        <f>'2.4.raw'!L594</f>
        <v>PLc1174</v>
      </c>
      <c r="C594" s="24">
        <f>datevalue(left('2.4.raw'!A594,10))</f>
        <v>43843</v>
      </c>
      <c r="D594" s="23">
        <f>'2.4.raw'!G594</f>
        <v>11</v>
      </c>
      <c r="E594" s="1">
        <v>2.39999999999999</v>
      </c>
      <c r="F594" s="23" t="b">
        <f>if(countif(Status!C:C,A594)=1,TRUE, FALSE)</f>
        <v>1</v>
      </c>
      <c r="G594" s="23" t="str">
        <f>'2.4.raw'!AQ594</f>
        <v>Sample collected by Buddhadeb Samaddar</v>
      </c>
    </row>
    <row r="595">
      <c r="A595" s="23" t="str">
        <f t="shared" si="2"/>
        <v>FB1268</v>
      </c>
      <c r="B595" s="23" t="str">
        <f>'2.4.raw'!L595</f>
        <v>FB1268</v>
      </c>
      <c r="C595" s="24">
        <f>datevalue(left('2.4.raw'!A595,10))</f>
        <v>43843</v>
      </c>
      <c r="D595" s="23">
        <f>'2.4.raw'!G595</f>
        <v>99</v>
      </c>
      <c r="E595" s="1">
        <v>2.39999999999999</v>
      </c>
      <c r="F595" s="23" t="b">
        <f>if(countif(Status!C:C,A595)=1,TRUE, FALSE)</f>
        <v>1</v>
      </c>
      <c r="G595" s="23" t="str">
        <f>'2.4.raw'!AQ595</f>
        <v>Sample collected by Buddhadeb Samaddar, FB at PLc1174 site</v>
      </c>
    </row>
    <row r="596">
      <c r="A596" s="23" t="str">
        <f t="shared" si="2"/>
        <v>PLc1175</v>
      </c>
      <c r="B596" s="23" t="str">
        <f>'2.4.raw'!L596</f>
        <v>PLc1175</v>
      </c>
      <c r="C596" s="24">
        <f>datevalue(left('2.4.raw'!A596,10))</f>
        <v>43843</v>
      </c>
      <c r="D596" s="23">
        <f>'2.4.raw'!G596</f>
        <v>11</v>
      </c>
      <c r="E596" s="1">
        <v>2.39999999999999</v>
      </c>
      <c r="F596" s="23" t="b">
        <f>if(countif(Status!C:C,A596)=1,TRUE, FALSE)</f>
        <v>1</v>
      </c>
      <c r="G596" s="23" t="str">
        <f>'2.4.raw'!AQ596</f>
        <v>Sample collected by Somnath Sarkar</v>
      </c>
    </row>
    <row r="597">
      <c r="A597" s="23" t="str">
        <f t="shared" si="2"/>
        <v>FB1269</v>
      </c>
      <c r="B597" s="23" t="str">
        <f>'2.4.raw'!L597</f>
        <v>FB1269</v>
      </c>
      <c r="C597" s="24">
        <f>datevalue(left('2.4.raw'!A597,10))</f>
        <v>43843</v>
      </c>
      <c r="D597" s="23">
        <f>'2.4.raw'!G597</f>
        <v>99</v>
      </c>
      <c r="E597" s="1">
        <v>2.39999999999999</v>
      </c>
      <c r="F597" s="23" t="b">
        <f>if(countif(Status!C:C,A597)=1,TRUE, FALSE)</f>
        <v>1</v>
      </c>
      <c r="G597" s="23" t="str">
        <f>'2.4.raw'!AQ597</f>
        <v>Sample collected by Somnath Sarkar, FB at PLc1175 site</v>
      </c>
    </row>
    <row r="598">
      <c r="A598" s="23" t="str">
        <f t="shared" si="2"/>
        <v>PLc1176</v>
      </c>
      <c r="B598" s="23" t="str">
        <f>'2.4.raw'!L598</f>
        <v>PLc1176</v>
      </c>
      <c r="C598" s="24">
        <f>datevalue(left('2.4.raw'!A598,10))</f>
        <v>43843</v>
      </c>
      <c r="D598" s="23">
        <f>'2.4.raw'!G598</f>
        <v>11</v>
      </c>
      <c r="E598" s="1">
        <v>2.39999999999999</v>
      </c>
      <c r="F598" s="23" t="b">
        <f>if(countif(Status!C:C,A598)=1,TRUE, FALSE)</f>
        <v>1</v>
      </c>
      <c r="G598" s="23" t="str">
        <f>'2.4.raw'!AQ598</f>
        <v>Sample collected by Suvankar Mandal</v>
      </c>
    </row>
    <row r="599">
      <c r="A599" s="23" t="str">
        <f t="shared" si="2"/>
        <v>FB1270</v>
      </c>
      <c r="B599" s="23" t="str">
        <f>'2.4.raw'!L599</f>
        <v>FB1270</v>
      </c>
      <c r="C599" s="24">
        <f>datevalue(left('2.4.raw'!A599,10))</f>
        <v>43843</v>
      </c>
      <c r="D599" s="23">
        <f>'2.4.raw'!G599</f>
        <v>99</v>
      </c>
      <c r="E599" s="1">
        <v>2.39999999999999</v>
      </c>
      <c r="F599" s="23" t="b">
        <f>if(countif(Status!C:C,A599)=1,TRUE, FALSE)</f>
        <v>1</v>
      </c>
      <c r="G599" s="23" t="str">
        <f>'2.4.raw'!AQ599</f>
        <v>Sample collected by Suvankar Mandal, FB at PLc1176 site</v>
      </c>
    </row>
    <row r="600">
      <c r="A600" s="23" t="str">
        <f t="shared" si="2"/>
        <v>PLc1177</v>
      </c>
      <c r="B600" s="23" t="str">
        <f>'2.4.raw'!L600</f>
        <v>PLc1177</v>
      </c>
      <c r="C600" s="24">
        <f>datevalue(left('2.4.raw'!A600,10))</f>
        <v>43843</v>
      </c>
      <c r="D600" s="23">
        <f>'2.4.raw'!G600</f>
        <v>11</v>
      </c>
      <c r="E600" s="1">
        <v>2.39999999999999</v>
      </c>
      <c r="F600" s="23" t="b">
        <f>if(countif(Status!C:C,A600)=1,TRUE, FALSE)</f>
        <v>1</v>
      </c>
      <c r="G600" s="23" t="str">
        <f>'2.4.raw'!AQ600</f>
        <v>Sample collected by Debabrata Maity</v>
      </c>
    </row>
    <row r="601">
      <c r="A601" s="23" t="str">
        <f t="shared" si="2"/>
        <v>FB1271</v>
      </c>
      <c r="B601" s="23" t="str">
        <f>'2.4.raw'!L601</f>
        <v>FB1271</v>
      </c>
      <c r="C601" s="24">
        <f>datevalue(left('2.4.raw'!A601,10))</f>
        <v>43843</v>
      </c>
      <c r="D601" s="23">
        <f>'2.4.raw'!G601</f>
        <v>99</v>
      </c>
      <c r="E601" s="1">
        <v>2.39999999999999</v>
      </c>
      <c r="F601" s="23" t="b">
        <f>if(countif(Status!C:C,A601)=1,TRUE, FALSE)</f>
        <v>1</v>
      </c>
      <c r="G601" s="23" t="str">
        <f>'2.4.raw'!AQ601</f>
        <v>Sample collected by Debabrata Maity, FB at PLc1177 site</v>
      </c>
    </row>
    <row r="602">
      <c r="A602" s="23" t="str">
        <f t="shared" si="2"/>
        <v>MO1154</v>
      </c>
      <c r="B602" s="23" t="str">
        <f>'2.4.raw'!L602</f>
        <v>MO1154</v>
      </c>
      <c r="C602" s="24">
        <f>datevalue(left('2.4.raw'!A602,10))</f>
        <v>43844</v>
      </c>
      <c r="D602" s="23">
        <f>'2.4.raw'!G602</f>
        <v>12</v>
      </c>
      <c r="E602" s="1">
        <v>2.39999999999999</v>
      </c>
      <c r="F602" s="23" t="b">
        <f>if(countif(Status!C:C,A602)=1,TRUE, FALSE)</f>
        <v>1</v>
      </c>
      <c r="G602" s="23" t="str">
        <f>'2.4.raw'!AQ602</f>
        <v>Sample collected by Suvankar Mandal</v>
      </c>
    </row>
    <row r="603">
      <c r="A603" s="23" t="str">
        <f t="shared" si="2"/>
        <v>FB1272</v>
      </c>
      <c r="B603" s="23" t="str">
        <f>'2.4.raw'!L603</f>
        <v>FB1272</v>
      </c>
      <c r="C603" s="24">
        <f>datevalue(left('2.4.raw'!A603,10))</f>
        <v>43844</v>
      </c>
      <c r="D603" s="23">
        <f>'2.4.raw'!G603</f>
        <v>99</v>
      </c>
      <c r="E603" s="1">
        <v>2.39999999999999</v>
      </c>
      <c r="F603" s="23" t="b">
        <f>if(countif(Status!C:C,A603)=1,TRUE, FALSE)</f>
        <v>1</v>
      </c>
      <c r="G603" s="23" t="str">
        <f>'2.4.raw'!AQ603</f>
        <v>Sample collected by Suvankar Mandal, FB at MO1154</v>
      </c>
    </row>
    <row r="604">
      <c r="A604" s="23" t="str">
        <f t="shared" si="2"/>
        <v>MO1152</v>
      </c>
      <c r="B604" s="23" t="str">
        <f>'2.4.raw'!L604</f>
        <v>MO1152</v>
      </c>
      <c r="C604" s="24">
        <f>datevalue(left('2.4.raw'!A604,10))</f>
        <v>43844</v>
      </c>
      <c r="D604" s="23">
        <f>'2.4.raw'!G604</f>
        <v>12</v>
      </c>
      <c r="E604" s="1">
        <v>2.39999999999999</v>
      </c>
      <c r="F604" s="23" t="b">
        <f>if(countif(Status!C:C,A604)=1,TRUE, FALSE)</f>
        <v>1</v>
      </c>
      <c r="G604" s="23" t="str">
        <f>'2.4.raw'!AQ604</f>
        <v>Sample collected by Somnath Sarkar</v>
      </c>
    </row>
    <row r="605">
      <c r="A605" s="23" t="str">
        <f t="shared" si="2"/>
        <v>FB1273</v>
      </c>
      <c r="B605" s="23" t="str">
        <f>'2.4.raw'!L605</f>
        <v>FB1273</v>
      </c>
      <c r="C605" s="24">
        <f>datevalue(left('2.4.raw'!A605,10))</f>
        <v>43844</v>
      </c>
      <c r="D605" s="23">
        <f>'2.4.raw'!G605</f>
        <v>99</v>
      </c>
      <c r="E605" s="1">
        <v>2.39999999999999</v>
      </c>
      <c r="F605" s="23" t="b">
        <f>if(countif(Status!C:C,A605)=1,TRUE, FALSE)</f>
        <v>1</v>
      </c>
      <c r="G605" s="23" t="str">
        <f>'2.4.raw'!AQ605</f>
        <v>Sample collected by Somnath Sarkar, FB at MO1152</v>
      </c>
    </row>
    <row r="606">
      <c r="A606" s="23" t="str">
        <f t="shared" si="2"/>
        <v>MO1153</v>
      </c>
      <c r="B606" s="23" t="str">
        <f>'2.4.raw'!L606</f>
        <v>MO1153</v>
      </c>
      <c r="C606" s="24">
        <f>datevalue(left('2.4.raw'!A606,10))</f>
        <v>43844</v>
      </c>
      <c r="D606" s="23">
        <f>'2.4.raw'!G606</f>
        <v>12</v>
      </c>
      <c r="E606" s="1">
        <v>2.39999999999999</v>
      </c>
      <c r="F606" s="23" t="b">
        <f>if(countif(Status!C:C,A606)=1,TRUE, FALSE)</f>
        <v>1</v>
      </c>
      <c r="G606" s="23" t="str">
        <f>'2.4.raw'!AQ606</f>
        <v>Sample collected by Suvankar Mandal</v>
      </c>
    </row>
    <row r="607">
      <c r="A607" s="23" t="str">
        <f t="shared" si="2"/>
        <v>FB1274</v>
      </c>
      <c r="B607" s="23" t="str">
        <f>'2.4.raw'!L607</f>
        <v>FB1274</v>
      </c>
      <c r="C607" s="24">
        <f>datevalue(left('2.4.raw'!A607,10))</f>
        <v>43844</v>
      </c>
      <c r="D607" s="23">
        <f>'2.4.raw'!G607</f>
        <v>99</v>
      </c>
      <c r="E607" s="1">
        <v>2.39999999999999</v>
      </c>
      <c r="F607" s="23" t="b">
        <f>if(countif(Status!C:C,A607)=1,TRUE, FALSE)</f>
        <v>1</v>
      </c>
      <c r="G607" s="23" t="str">
        <f>'2.4.raw'!AQ607</f>
        <v>Sample collected by Suvankar Mandal, FB at MO1153</v>
      </c>
    </row>
    <row r="608">
      <c r="A608" s="23" t="str">
        <f t="shared" si="2"/>
        <v>UF1015</v>
      </c>
      <c r="B608" s="23" t="str">
        <f>'2.4.raw'!L608</f>
        <v>UF1015</v>
      </c>
      <c r="C608" s="24">
        <f>datevalue(left('2.4.raw'!A608,10))</f>
        <v>43844</v>
      </c>
      <c r="D608" s="23">
        <f>'2.4.raw'!G608</f>
        <v>11</v>
      </c>
      <c r="E608" s="1">
        <v>2.39999999999999</v>
      </c>
      <c r="F608" s="23" t="b">
        <f>if(countif(Status!C:C,A608)=1,TRUE, FALSE)</f>
        <v>1</v>
      </c>
      <c r="G608" s="23" t="str">
        <f>'2.4.raw'!AQ608</f>
        <v>Sample collected by Somnath Sarkar</v>
      </c>
    </row>
    <row r="609">
      <c r="A609" s="23" t="str">
        <f t="shared" si="2"/>
        <v>PLc1178</v>
      </c>
      <c r="B609" s="23" t="str">
        <f>'2.4.raw'!L609</f>
        <v>PLc1178</v>
      </c>
      <c r="C609" s="24">
        <f>datevalue(left('2.4.raw'!A609,10))</f>
        <v>43846</v>
      </c>
      <c r="D609" s="23">
        <f>'2.4.raw'!G609</f>
        <v>11</v>
      </c>
      <c r="E609" s="1">
        <v>2.39999999999999</v>
      </c>
      <c r="F609" s="23" t="b">
        <f>if(countif(Status!C:C,A609)=1,TRUE, FALSE)</f>
        <v>1</v>
      </c>
      <c r="G609" s="23" t="str">
        <f>'2.4.raw'!AQ609</f>
        <v>Sample collected by Suvankar Mandal</v>
      </c>
    </row>
    <row r="610">
      <c r="A610" s="23" t="str">
        <f t="shared" si="2"/>
        <v>FB1280</v>
      </c>
      <c r="B610" s="23" t="str">
        <f>'2.4.raw'!L610</f>
        <v>FB1280</v>
      </c>
      <c r="C610" s="24">
        <f>datevalue(left('2.4.raw'!A610,10))</f>
        <v>43846</v>
      </c>
      <c r="D610" s="23">
        <f>'2.4.raw'!G610</f>
        <v>99</v>
      </c>
      <c r="E610" s="1">
        <v>2.39999999999999</v>
      </c>
      <c r="F610" s="23" t="b">
        <f>if(countif(Status!C:C,A610)=1,TRUE, FALSE)</f>
        <v>1</v>
      </c>
      <c r="G610" s="23" t="str">
        <f>'2.4.raw'!AQ610</f>
        <v>Sample collected by Suvankar Mandal, FB at PLc1178</v>
      </c>
    </row>
    <row r="611">
      <c r="A611" s="23" t="str">
        <f t="shared" si="2"/>
        <v>PLc1179</v>
      </c>
      <c r="B611" s="23" t="str">
        <f>'2.4.raw'!L611</f>
        <v>PLc1179</v>
      </c>
      <c r="C611" s="24">
        <f>datevalue(left('2.4.raw'!A611,10))</f>
        <v>43846</v>
      </c>
      <c r="D611" s="23">
        <f>'2.4.raw'!G611</f>
        <v>11</v>
      </c>
      <c r="E611" s="1">
        <v>2.39999999999999</v>
      </c>
      <c r="F611" s="23" t="b">
        <f>if(countif(Status!C:C,A611)=1,TRUE, FALSE)</f>
        <v>1</v>
      </c>
      <c r="G611" s="23" t="str">
        <f>'2.4.raw'!AQ611</f>
        <v>Sample collected by Biplab Jash</v>
      </c>
    </row>
    <row r="612">
      <c r="A612" s="23" t="str">
        <f t="shared" si="2"/>
        <v>FB1281</v>
      </c>
      <c r="B612" s="23" t="str">
        <f>'2.4.raw'!L612</f>
        <v>FB1281</v>
      </c>
      <c r="C612" s="24">
        <f>datevalue(left('2.4.raw'!A612,10))</f>
        <v>43846</v>
      </c>
      <c r="D612" s="23">
        <f>'2.4.raw'!G612</f>
        <v>99</v>
      </c>
      <c r="E612" s="1">
        <v>2.39999999999999</v>
      </c>
      <c r="F612" s="23" t="b">
        <f>if(countif(Status!C:C,A612)=1,TRUE, FALSE)</f>
        <v>1</v>
      </c>
      <c r="G612" s="23" t="str">
        <f>'2.4.raw'!AQ612</f>
        <v>Sample collected by Suvankar Mandal, FB at PLc1179</v>
      </c>
    </row>
    <row r="613">
      <c r="A613" s="23" t="str">
        <f t="shared" si="2"/>
        <v>MO1155</v>
      </c>
      <c r="B613" s="23" t="str">
        <f>'2.4.raw'!L613</f>
        <v>MO1155</v>
      </c>
      <c r="C613" s="24">
        <f>datevalue(left('2.4.raw'!A613,10))</f>
        <v>43846</v>
      </c>
      <c r="D613" s="23">
        <f>'2.4.raw'!G613</f>
        <v>12</v>
      </c>
      <c r="E613" s="1">
        <v>2.39999999999999</v>
      </c>
      <c r="F613" s="23" t="b">
        <f>if(countif(Status!C:C,A613)=1,TRUE, FALSE)</f>
        <v>1</v>
      </c>
      <c r="G613" s="23" t="str">
        <f>'2.4.raw'!AQ613</f>
        <v>Sample collected by Somnath Sarkar</v>
      </c>
    </row>
    <row r="614">
      <c r="A614" s="23" t="str">
        <f t="shared" si="2"/>
        <v>FB1282</v>
      </c>
      <c r="B614" s="23" t="str">
        <f>'2.4.raw'!L614</f>
        <v>FB1282</v>
      </c>
      <c r="C614" s="24">
        <f>datevalue(left('2.4.raw'!A614,10))</f>
        <v>43846</v>
      </c>
      <c r="D614" s="23">
        <f>'2.4.raw'!G614</f>
        <v>99</v>
      </c>
      <c r="E614" s="1">
        <v>2.39999999999999</v>
      </c>
      <c r="F614" s="23" t="b">
        <f>if(countif(Status!C:C,A614)=1,TRUE, FALSE)</f>
        <v>1</v>
      </c>
      <c r="G614" s="23" t="str">
        <f>'2.4.raw'!AQ614</f>
        <v>Sample collected by Somnath Sarkar</v>
      </c>
    </row>
    <row r="615">
      <c r="A615" s="23" t="str">
        <f t="shared" si="2"/>
        <v>MO1156</v>
      </c>
      <c r="B615" s="23" t="str">
        <f>'2.4.raw'!L615</f>
        <v>MO1156</v>
      </c>
      <c r="C615" s="24">
        <f>datevalue(left('2.4.raw'!A615,10))</f>
        <v>43846</v>
      </c>
      <c r="D615" s="23">
        <f>'2.4.raw'!G615</f>
        <v>12</v>
      </c>
      <c r="E615" s="1">
        <v>2.39999999999999</v>
      </c>
      <c r="F615" s="23" t="b">
        <f>if(countif(Status!C:C,A615)=1,TRUE, FALSE)</f>
        <v>1</v>
      </c>
      <c r="G615" s="23" t="str">
        <f>'2.4.raw'!AQ615</f>
        <v>Sample collected by Buddhadeb Samaddar</v>
      </c>
    </row>
    <row r="616">
      <c r="A616" s="23" t="str">
        <f t="shared" si="2"/>
        <v>FB1283</v>
      </c>
      <c r="B616" s="23" t="str">
        <f>'2.4.raw'!L616</f>
        <v>FB1283</v>
      </c>
      <c r="C616" s="24">
        <f>datevalue(left('2.4.raw'!A616,10))</f>
        <v>43846</v>
      </c>
      <c r="D616" s="23">
        <f>'2.4.raw'!G616</f>
        <v>99</v>
      </c>
      <c r="E616" s="1">
        <v>2.39999999999999</v>
      </c>
      <c r="F616" s="23" t="b">
        <f>if(countif(Status!C:C,A616)=1,TRUE, FALSE)</f>
        <v>1</v>
      </c>
      <c r="G616" s="23" t="str">
        <f>'2.4.raw'!AQ616</f>
        <v>Sample collected by Buddhadeb Samaddar</v>
      </c>
    </row>
    <row r="617">
      <c r="A617" s="23" t="str">
        <f t="shared" si="2"/>
        <v>PLc1180</v>
      </c>
      <c r="B617" s="23" t="str">
        <f>'2.4.raw'!L617</f>
        <v>PLc1180</v>
      </c>
      <c r="C617" s="24">
        <f>datevalue(left('2.4.raw'!A617,10))</f>
        <v>43850</v>
      </c>
      <c r="D617" s="23">
        <f>'2.4.raw'!G617</f>
        <v>11</v>
      </c>
      <c r="E617" s="1">
        <v>2.39999999999999</v>
      </c>
      <c r="F617" s="23" t="b">
        <f>if(countif(Status!C:C,A617)=1,TRUE, FALSE)</f>
        <v>1</v>
      </c>
      <c r="G617" s="23" t="str">
        <f>'2.4.raw'!AQ617</f>
        <v>Sample collected by Somnath Sarkar</v>
      </c>
    </row>
    <row r="618">
      <c r="A618" s="23" t="str">
        <f t="shared" si="2"/>
        <v>FB1284</v>
      </c>
      <c r="B618" s="23" t="str">
        <f>'2.4.raw'!L618</f>
        <v>FB1284</v>
      </c>
      <c r="C618" s="24">
        <f>datevalue(left('2.4.raw'!A618,10))</f>
        <v>43850</v>
      </c>
      <c r="D618" s="23">
        <f>'2.4.raw'!G618</f>
        <v>99</v>
      </c>
      <c r="E618" s="1">
        <v>2.39999999999999</v>
      </c>
      <c r="F618" s="23" t="b">
        <f>if(countif(Status!C:C,A618)=1,TRUE, FALSE)</f>
        <v>1</v>
      </c>
      <c r="G618" s="23" t="str">
        <f>'2.4.raw'!AQ618</f>
        <v>Sample collected by Somnath Sarkar, FB at PLc1180 site</v>
      </c>
    </row>
    <row r="619">
      <c r="A619" s="23" t="str">
        <f t="shared" si="2"/>
        <v>PLc1181</v>
      </c>
      <c r="B619" s="23" t="str">
        <f>'2.4.raw'!L619</f>
        <v>PLc1181</v>
      </c>
      <c r="C619" s="24">
        <f>datevalue(left('2.4.raw'!A619,10))</f>
        <v>43850</v>
      </c>
      <c r="D619" s="23">
        <f>'2.4.raw'!G619</f>
        <v>11</v>
      </c>
      <c r="E619" s="1">
        <v>2.39999999999999</v>
      </c>
      <c r="F619" s="23" t="b">
        <f>if(countif(Status!C:C,A619)=1,TRUE, FALSE)</f>
        <v>1</v>
      </c>
      <c r="G619" s="23" t="str">
        <f>'2.4.raw'!AQ619</f>
        <v>Sample collected by Buddhadeb Samaddar</v>
      </c>
    </row>
    <row r="620">
      <c r="A620" s="23" t="str">
        <f t="shared" si="2"/>
        <v>FB1285</v>
      </c>
      <c r="B620" s="23" t="str">
        <f>'2.4.raw'!L620</f>
        <v>FB1285</v>
      </c>
      <c r="C620" s="24">
        <f>datevalue(left('2.4.raw'!A620,10))</f>
        <v>43850</v>
      </c>
      <c r="D620" s="23">
        <f>'2.4.raw'!G620</f>
        <v>99</v>
      </c>
      <c r="E620" s="1">
        <v>2.39999999999999</v>
      </c>
      <c r="F620" s="23" t="b">
        <f>if(countif(Status!C:C,A620)=1,TRUE, FALSE)</f>
        <v>1</v>
      </c>
      <c r="G620" s="23" t="str">
        <f>'2.4.raw'!AQ620</f>
        <v>Sample collected by Buddhadeb Samaddar, FB at PLc1181 site</v>
      </c>
    </row>
    <row r="621">
      <c r="A621" s="23" t="str">
        <f t="shared" si="2"/>
        <v>PLc1182</v>
      </c>
      <c r="B621" s="23" t="str">
        <f>'2.4.raw'!L621</f>
        <v>PLc1182</v>
      </c>
      <c r="C621" s="24">
        <f>datevalue(left('2.4.raw'!A621,10))</f>
        <v>43850</v>
      </c>
      <c r="D621" s="23">
        <f>'2.4.raw'!G621</f>
        <v>11</v>
      </c>
      <c r="E621" s="1">
        <v>2.39999999999999</v>
      </c>
      <c r="F621" s="23" t="b">
        <f>if(countif(Status!C:C,A621)=1,TRUE, FALSE)</f>
        <v>1</v>
      </c>
      <c r="G621" s="23" t="str">
        <f>'2.4.raw'!AQ621</f>
        <v>Sample collected by Ashis Saha</v>
      </c>
    </row>
    <row r="622">
      <c r="A622" s="23" t="str">
        <f t="shared" si="2"/>
        <v>FB1286</v>
      </c>
      <c r="B622" s="23" t="str">
        <f>'2.4.raw'!L622</f>
        <v>FB1286</v>
      </c>
      <c r="C622" s="24">
        <f>datevalue(left('2.4.raw'!A622,10))</f>
        <v>43850</v>
      </c>
      <c r="D622" s="23">
        <f>'2.4.raw'!G622</f>
        <v>99</v>
      </c>
      <c r="E622" s="1">
        <v>2.39999999999999</v>
      </c>
      <c r="F622" s="23" t="b">
        <f>if(countif(Status!C:C,A622)=1,TRUE, FALSE)</f>
        <v>1</v>
      </c>
      <c r="G622" s="23" t="str">
        <f>'2.4.raw'!AQ622</f>
        <v>Sample collected by Ashis Saha, FB at PLc1182 site</v>
      </c>
    </row>
    <row r="623">
      <c r="A623" s="23" t="str">
        <f t="shared" si="2"/>
        <v>MO1159</v>
      </c>
      <c r="B623" s="23" t="str">
        <f>'2.4.raw'!L623</f>
        <v>MO1159</v>
      </c>
      <c r="C623" s="24">
        <f>datevalue(left('2.4.raw'!A623,10))</f>
        <v>43851</v>
      </c>
      <c r="D623" s="23">
        <f>'2.4.raw'!G623</f>
        <v>12</v>
      </c>
      <c r="E623" s="1">
        <v>2.39999999999999</v>
      </c>
      <c r="F623" s="23" t="b">
        <f>if(countif(Status!C:C,A623)=1,TRUE, FALSE)</f>
        <v>1</v>
      </c>
      <c r="G623" s="23" t="str">
        <f>'2.4.raw'!AQ623</f>
        <v>Sample collected by Suvankar Mandal</v>
      </c>
    </row>
    <row r="624">
      <c r="A624" s="23" t="str">
        <f t="shared" si="2"/>
        <v>FB1287</v>
      </c>
      <c r="B624" s="23" t="str">
        <f>'2.4.raw'!L624</f>
        <v>FB1287</v>
      </c>
      <c r="C624" s="24">
        <f>datevalue(left('2.4.raw'!A624,10))</f>
        <v>43851</v>
      </c>
      <c r="D624" s="23">
        <f>'2.4.raw'!G624</f>
        <v>99</v>
      </c>
      <c r="E624" s="1">
        <v>2.39999999999999</v>
      </c>
      <c r="F624" s="23" t="b">
        <f>if(countif(Status!C:C,A624)=1,TRUE, FALSE)</f>
        <v>1</v>
      </c>
      <c r="G624" s="23" t="str">
        <f>'2.4.raw'!AQ624</f>
        <v>Sample collected by Suvankar Mandal, FB at MO1159 site</v>
      </c>
    </row>
    <row r="625">
      <c r="A625" s="23" t="str">
        <f t="shared" si="2"/>
        <v>MO1158</v>
      </c>
      <c r="B625" s="23" t="str">
        <f>'2.4.raw'!L625</f>
        <v>MO1158</v>
      </c>
      <c r="C625" s="24">
        <f>datevalue(left('2.4.raw'!A625,10))</f>
        <v>43851</v>
      </c>
      <c r="D625" s="23">
        <f>'2.4.raw'!G625</f>
        <v>12</v>
      </c>
      <c r="E625" s="1">
        <v>2.39999999999999</v>
      </c>
      <c r="F625" s="23" t="b">
        <f>if(countif(Status!C:C,A625)=1,TRUE, FALSE)</f>
        <v>1</v>
      </c>
      <c r="G625" s="23" t="str">
        <f>'2.4.raw'!AQ625</f>
        <v>Sample collected by Buddhadeb Samaddar</v>
      </c>
    </row>
    <row r="626">
      <c r="A626" s="23" t="str">
        <f t="shared" si="2"/>
        <v>FB1288</v>
      </c>
      <c r="B626" s="23" t="str">
        <f>'2.4.raw'!L626</f>
        <v>FB1288</v>
      </c>
      <c r="C626" s="24">
        <f>datevalue(left('2.4.raw'!A626,10))</f>
        <v>43851</v>
      </c>
      <c r="D626" s="23">
        <f>'2.4.raw'!G626</f>
        <v>99</v>
      </c>
      <c r="E626" s="1">
        <v>2.39999999999999</v>
      </c>
      <c r="F626" s="23" t="b">
        <f>if(countif(Status!C:C,A626)=1,TRUE, FALSE)</f>
        <v>1</v>
      </c>
      <c r="G626" s="23" t="str">
        <f>'2.4.raw'!AQ626</f>
        <v>Sample collected by Buddhadeb Samaddar, FB at MO1158 site</v>
      </c>
    </row>
    <row r="627">
      <c r="A627" s="23" t="str">
        <f t="shared" si="2"/>
        <v>UF1016</v>
      </c>
      <c r="B627" s="23" t="str">
        <f>'2.4.raw'!L627</f>
        <v>UF1016</v>
      </c>
      <c r="C627" s="24">
        <f>datevalue(left('2.4.raw'!A627,10))</f>
        <v>43851</v>
      </c>
      <c r="D627" s="23">
        <f>'2.4.raw'!G627</f>
        <v>11</v>
      </c>
      <c r="E627" s="1">
        <v>2.39999999999999</v>
      </c>
      <c r="F627" s="23" t="b">
        <f>if(countif(Status!C:C,A627)=1,TRUE, FALSE)</f>
        <v>1</v>
      </c>
      <c r="G627" s="23" t="str">
        <f>'2.4.raw'!AQ627</f>
        <v>Sample collected by Somnath Sarkar</v>
      </c>
    </row>
    <row r="628">
      <c r="A628" s="23" t="str">
        <f t="shared" si="2"/>
        <v>MO1157</v>
      </c>
      <c r="B628" s="23" t="str">
        <f>'2.4.raw'!L628</f>
        <v>MO1157</v>
      </c>
      <c r="C628" s="24">
        <f>datevalue(left('2.4.raw'!A628,10))</f>
        <v>43851</v>
      </c>
      <c r="D628" s="23">
        <f>'2.4.raw'!G628</f>
        <v>12</v>
      </c>
      <c r="E628" s="1">
        <v>2.39999999999999</v>
      </c>
      <c r="F628" s="23" t="b">
        <f>if(countif(Status!C:C,A628)=1,TRUE, FALSE)</f>
        <v>1</v>
      </c>
      <c r="G628" s="23" t="str">
        <f>'2.4.raw'!AQ628</f>
        <v>Sample collected by Buddhadeb Samaddar</v>
      </c>
    </row>
    <row r="629">
      <c r="A629" s="23" t="str">
        <f t="shared" si="2"/>
        <v>FB1289</v>
      </c>
      <c r="B629" s="23" t="str">
        <f>'2.4.raw'!L629</f>
        <v>FB1289</v>
      </c>
      <c r="C629" s="24">
        <f>datevalue(left('2.4.raw'!A629,10))</f>
        <v>43851</v>
      </c>
      <c r="D629" s="23">
        <f>'2.4.raw'!G629</f>
        <v>99</v>
      </c>
      <c r="E629" s="1">
        <v>2.39999999999999</v>
      </c>
      <c r="F629" s="23" t="b">
        <f>if(countif(Status!C:C,A629)=1,TRUE, FALSE)</f>
        <v>1</v>
      </c>
      <c r="G629" s="23" t="str">
        <f>'2.4.raw'!AQ629</f>
        <v>Sample collected by Buddhadeb Samaddar, FB at MO1157 site</v>
      </c>
    </row>
    <row r="630">
      <c r="A630" s="23" t="str">
        <f t="shared" si="2"/>
        <v>MO1160</v>
      </c>
      <c r="B630" s="23" t="str">
        <f>'2.4.raw'!L630</f>
        <v>MO1160</v>
      </c>
      <c r="C630" s="24">
        <f>datevalue(left('2.4.raw'!A630,10))</f>
        <v>43852</v>
      </c>
      <c r="D630" s="23">
        <f>'2.4.raw'!G630</f>
        <v>12</v>
      </c>
      <c r="E630" s="1">
        <v>2.39999999999999</v>
      </c>
      <c r="F630" s="23" t="b">
        <f>if(countif(Status!C:C,A630)=1,TRUE, FALSE)</f>
        <v>1</v>
      </c>
      <c r="G630" s="23" t="str">
        <f>'2.4.raw'!AQ630</f>
        <v>Sample collected by Somnath Sarkar</v>
      </c>
    </row>
    <row r="631">
      <c r="A631" s="23" t="str">
        <f t="shared" si="2"/>
        <v>FB1293</v>
      </c>
      <c r="B631" s="23" t="str">
        <f>'2.4.raw'!L631</f>
        <v>FB1293</v>
      </c>
      <c r="C631" s="24">
        <f>datevalue(left('2.4.raw'!A631,10))</f>
        <v>43852</v>
      </c>
      <c r="D631" s="23">
        <f>'2.4.raw'!G631</f>
        <v>99</v>
      </c>
      <c r="E631" s="1">
        <v>2.39999999999999</v>
      </c>
      <c r="F631" s="23" t="b">
        <f>if(countif(Status!C:C,A631)=1,TRUE, FALSE)</f>
        <v>1</v>
      </c>
      <c r="G631" s="23" t="str">
        <f>'2.4.raw'!AQ631</f>
        <v>Sample collected by Somnath Sarkar</v>
      </c>
    </row>
    <row r="632">
      <c r="A632" s="23" t="str">
        <f t="shared" si="2"/>
        <v>MO1161</v>
      </c>
      <c r="B632" s="23" t="str">
        <f>'2.4.raw'!L632</f>
        <v>MO1161</v>
      </c>
      <c r="C632" s="24">
        <f>datevalue(left('2.4.raw'!A632,10))</f>
        <v>43852</v>
      </c>
      <c r="D632" s="23">
        <f>'2.4.raw'!G632</f>
        <v>12</v>
      </c>
      <c r="E632" s="1">
        <v>2.39999999999999</v>
      </c>
      <c r="F632" s="23" t="b">
        <f>if(countif(Status!C:C,A632)=1,TRUE, FALSE)</f>
        <v>1</v>
      </c>
      <c r="G632" s="23" t="str">
        <f>'2.4.raw'!AQ632</f>
        <v>Sample collected by Biplab Jash</v>
      </c>
    </row>
    <row r="633">
      <c r="A633" s="23" t="str">
        <f t="shared" si="2"/>
        <v>FB1294</v>
      </c>
      <c r="B633" s="23" t="str">
        <f>'2.4.raw'!L633</f>
        <v>FB1294</v>
      </c>
      <c r="C633" s="24">
        <f>datevalue(left('2.4.raw'!A633,10))</f>
        <v>43852</v>
      </c>
      <c r="D633" s="23">
        <f>'2.4.raw'!G633</f>
        <v>99</v>
      </c>
      <c r="E633" s="1">
        <v>2.39999999999999</v>
      </c>
      <c r="F633" s="23" t="b">
        <f>if(countif(Status!C:C,A633)=1,TRUE, FALSE)</f>
        <v>1</v>
      </c>
      <c r="G633" s="23" t="str">
        <f>'2.4.raw'!AQ633</f>
        <v>Sample collected by Biplab Jash</v>
      </c>
    </row>
    <row r="634">
      <c r="A634" s="23" t="str">
        <f t="shared" si="2"/>
        <v>MO1162</v>
      </c>
      <c r="B634" s="23" t="str">
        <f>'2.4.raw'!L634</f>
        <v>MO1162</v>
      </c>
      <c r="C634" s="24">
        <f>datevalue(left('2.4.raw'!A634,10))</f>
        <v>43852</v>
      </c>
      <c r="D634" s="23">
        <f>'2.4.raw'!G634</f>
        <v>12</v>
      </c>
      <c r="E634" s="1">
        <v>2.39999999999999</v>
      </c>
      <c r="F634" s="23" t="b">
        <f>if(countif(Status!C:C,A634)=1,TRUE, FALSE)</f>
        <v>1</v>
      </c>
      <c r="G634" s="23" t="str">
        <f>'2.4.raw'!AQ634</f>
        <v>Sample collected by Biplab Jash</v>
      </c>
    </row>
    <row r="635">
      <c r="A635" s="23" t="str">
        <f t="shared" si="2"/>
        <v>UF1017</v>
      </c>
      <c r="B635" s="23" t="str">
        <f>'2.4.raw'!L635</f>
        <v>UF1017</v>
      </c>
      <c r="C635" s="24">
        <f>datevalue(left('2.4.raw'!A635,10))</f>
        <v>43852</v>
      </c>
      <c r="D635" s="23">
        <f>'2.4.raw'!G635</f>
        <v>11</v>
      </c>
      <c r="E635" s="1">
        <v>2.39999999999999</v>
      </c>
      <c r="F635" s="23" t="b">
        <f>if(countif(Status!C:C,A635)=1,TRUE, FALSE)</f>
        <v>1</v>
      </c>
      <c r="G635" s="23" t="str">
        <f>'2.4.raw'!AQ635</f>
        <v>Sample collected by Biplab Jash</v>
      </c>
    </row>
    <row r="636">
      <c r="A636" s="23" t="str">
        <f t="shared" si="2"/>
        <v>FB1295</v>
      </c>
      <c r="B636" s="23" t="str">
        <f>'2.4.raw'!L636</f>
        <v>FB1295</v>
      </c>
      <c r="C636" s="24">
        <f>datevalue(left('2.4.raw'!A636,10))</f>
        <v>43852</v>
      </c>
      <c r="D636" s="23">
        <f>'2.4.raw'!G636</f>
        <v>99</v>
      </c>
      <c r="E636" s="1">
        <v>2.39999999999999</v>
      </c>
      <c r="F636" s="23" t="b">
        <f>if(countif(Status!C:C,A636)=1,TRUE, FALSE)</f>
        <v>1</v>
      </c>
      <c r="G636" s="23" t="str">
        <f>'2.4.raw'!AQ636</f>
        <v>Sample collected by Biplab Jash</v>
      </c>
    </row>
    <row r="637">
      <c r="A637" s="23" t="str">
        <f t="shared" si="2"/>
        <v>PLc1183</v>
      </c>
      <c r="B637" s="23" t="str">
        <f>'2.4.raw'!L637</f>
        <v>PLc1183</v>
      </c>
      <c r="C637" s="24">
        <f>datevalue(left('2.4.raw'!A637,10))</f>
        <v>43857</v>
      </c>
      <c r="D637" s="23">
        <f>'2.4.raw'!G637</f>
        <v>11</v>
      </c>
      <c r="E637" s="1">
        <v>2.39999999999999</v>
      </c>
      <c r="F637" s="23" t="b">
        <f>if(countif(Status!C:C,A637)=1,TRUE, FALSE)</f>
        <v>1</v>
      </c>
      <c r="G637" s="23" t="str">
        <f>'2.4.raw'!AQ637</f>
        <v>Sample collected by Biplab Jash</v>
      </c>
    </row>
    <row r="638">
      <c r="A638" s="23" t="str">
        <f t="shared" si="2"/>
        <v>FB1298</v>
      </c>
      <c r="B638" s="23" t="str">
        <f>'2.4.raw'!L638</f>
        <v>FB1298</v>
      </c>
      <c r="C638" s="24">
        <f>datevalue(left('2.4.raw'!A638,10))</f>
        <v>43857</v>
      </c>
      <c r="D638" s="23">
        <f>'2.4.raw'!G638</f>
        <v>99</v>
      </c>
      <c r="E638" s="1">
        <v>2.39999999999999</v>
      </c>
      <c r="F638" s="23" t="b">
        <f>if(countif(Status!C:C,A638)=1,TRUE, FALSE)</f>
        <v>1</v>
      </c>
      <c r="G638" s="23" t="str">
        <f>'2.4.raw'!AQ638</f>
        <v>Sample collected by Biplab Jash, FB at PLc1183 site</v>
      </c>
    </row>
    <row r="639">
      <c r="A639" s="23" t="str">
        <f t="shared" si="2"/>
        <v>MO1163</v>
      </c>
      <c r="B639" s="23" t="str">
        <f>'2.4.raw'!L639</f>
        <v>MO1163</v>
      </c>
      <c r="C639" s="24">
        <f>datevalue(left('2.4.raw'!A639,10))</f>
        <v>43858</v>
      </c>
      <c r="D639" s="23">
        <f>'2.4.raw'!G639</f>
        <v>12</v>
      </c>
      <c r="E639" s="1">
        <v>2.39999999999999</v>
      </c>
      <c r="F639" s="23" t="b">
        <f>if(countif(Status!C:C,A639)=1,TRUE, FALSE)</f>
        <v>1</v>
      </c>
      <c r="G639" s="23" t="str">
        <f>'2.4.raw'!AQ639</f>
        <v>Sample collected by Buddhadeb Samaddar</v>
      </c>
    </row>
    <row r="640">
      <c r="A640" s="23" t="str">
        <f t="shared" si="2"/>
        <v>FB1299</v>
      </c>
      <c r="B640" s="23" t="str">
        <f>'2.4.raw'!L640</f>
        <v>FB1299</v>
      </c>
      <c r="C640" s="24">
        <f>datevalue(left('2.4.raw'!A640,10))</f>
        <v>43858</v>
      </c>
      <c r="D640" s="23">
        <f>'2.4.raw'!G640</f>
        <v>99</v>
      </c>
      <c r="E640" s="1">
        <v>2.39999999999999</v>
      </c>
      <c r="F640" s="23" t="b">
        <f>if(countif(Status!C:C,A640)=1,TRUE, FALSE)</f>
        <v>1</v>
      </c>
      <c r="G640" s="23" t="str">
        <f>'2.4.raw'!AQ640</f>
        <v>Sample collected by Buddhadeb Samaddar, FB at MO1163 site</v>
      </c>
    </row>
    <row r="641">
      <c r="A641" s="23" t="str">
        <f t="shared" si="2"/>
        <v>MO1164</v>
      </c>
      <c r="B641" s="23" t="str">
        <f>'2.4.raw'!L641</f>
        <v>MO1164</v>
      </c>
      <c r="C641" s="24">
        <f>datevalue(left('2.4.raw'!A641,10))</f>
        <v>43858</v>
      </c>
      <c r="D641" s="23">
        <f>'2.4.raw'!G641</f>
        <v>12</v>
      </c>
      <c r="E641" s="1">
        <v>2.39999999999999</v>
      </c>
      <c r="F641" s="23" t="b">
        <f>if(countif(Status!C:C,A641)=1,TRUE, FALSE)</f>
        <v>1</v>
      </c>
      <c r="G641" s="23" t="str">
        <f>'2.4.raw'!AQ641</f>
        <v>Sample collected by Suvankar Mandal</v>
      </c>
    </row>
    <row r="642">
      <c r="A642" s="23" t="str">
        <f t="shared" si="2"/>
        <v>FB1300</v>
      </c>
      <c r="B642" s="23" t="str">
        <f>'2.4.raw'!L642</f>
        <v>FB1300</v>
      </c>
      <c r="C642" s="24">
        <f>datevalue(left('2.4.raw'!A642,10))</f>
        <v>43858</v>
      </c>
      <c r="D642" s="23">
        <f>'2.4.raw'!G642</f>
        <v>99</v>
      </c>
      <c r="E642" s="1">
        <v>2.39999999999999</v>
      </c>
      <c r="F642" s="23" t="b">
        <f>if(countif(Status!C:C,A642)=1,TRUE, FALSE)</f>
        <v>1</v>
      </c>
      <c r="G642" s="23" t="str">
        <f>'2.4.raw'!AQ642</f>
        <v>Sample collected by Suvankar Mandal, FB at MO1164 site</v>
      </c>
    </row>
    <row r="643">
      <c r="A643" s="23" t="str">
        <f t="shared" si="2"/>
        <v>UF1018</v>
      </c>
      <c r="B643" s="23" t="str">
        <f>'2.4.raw'!L643</f>
        <v>UF1018</v>
      </c>
      <c r="C643" s="24">
        <f>datevalue(left('2.4.raw'!A643,10))</f>
        <v>43858</v>
      </c>
      <c r="D643" s="23">
        <f>'2.4.raw'!G643</f>
        <v>11</v>
      </c>
      <c r="E643" s="1">
        <v>2.39999999999999</v>
      </c>
      <c r="F643" s="23" t="b">
        <f>if(countif(Status!C:C,A643)=1,TRUE, FALSE)</f>
        <v>1</v>
      </c>
      <c r="G643" s="23" t="str">
        <f>'2.4.raw'!AQ643</f>
        <v>Sample collected by Asish Saha</v>
      </c>
    </row>
    <row r="644">
      <c r="A644" s="23" t="str">
        <f t="shared" si="2"/>
        <v>MO1165</v>
      </c>
      <c r="B644" s="23" t="str">
        <f>'2.4.raw'!L644</f>
        <v>MO1165</v>
      </c>
      <c r="C644" s="24">
        <f>datevalue(left('2.4.raw'!A644,10))</f>
        <v>43858</v>
      </c>
      <c r="D644" s="23">
        <f>'2.4.raw'!G644</f>
        <v>12</v>
      </c>
      <c r="E644" s="1">
        <v>2.39999999999999</v>
      </c>
      <c r="F644" s="23" t="b">
        <f>if(countif(Status!C:C,A644)=1,TRUE, FALSE)</f>
        <v>1</v>
      </c>
      <c r="G644" s="23" t="str">
        <f>'2.4.raw'!AQ644</f>
        <v>Sample collected by Suvankar Mandal</v>
      </c>
    </row>
    <row r="645">
      <c r="A645" s="23" t="str">
        <f t="shared" si="2"/>
        <v>FB1301</v>
      </c>
      <c r="B645" s="23" t="str">
        <f>'2.4.raw'!L645</f>
        <v>FB1301</v>
      </c>
      <c r="C645" s="24">
        <f>datevalue(left('2.4.raw'!A645,10))</f>
        <v>43858</v>
      </c>
      <c r="D645" s="23">
        <f>'2.4.raw'!G645</f>
        <v>99</v>
      </c>
      <c r="E645" s="1">
        <v>2.39999999999999</v>
      </c>
      <c r="F645" s="23" t="b">
        <f>if(countif(Status!C:C,A645)=1,TRUE, FALSE)</f>
        <v>1</v>
      </c>
      <c r="G645" s="23" t="str">
        <f>'2.4.raw'!AQ645</f>
        <v>Sample collected by Suvankar Mandal, FB at MO1165 site</v>
      </c>
    </row>
    <row r="646">
      <c r="A646" s="23" t="str">
        <f t="shared" si="2"/>
        <v>PLc1184</v>
      </c>
      <c r="B646" s="23" t="str">
        <f>'2.4.raw'!L646</f>
        <v>PLc1184</v>
      </c>
      <c r="C646" s="24">
        <f>datevalue(left('2.4.raw'!A646,10))</f>
        <v>43864</v>
      </c>
      <c r="D646" s="23">
        <f>'2.4.raw'!G646</f>
        <v>11</v>
      </c>
      <c r="E646" s="1">
        <v>2.39999999999999</v>
      </c>
      <c r="F646" s="23" t="b">
        <f>if(countif(Status!C:C,A646)=1,TRUE, FALSE)</f>
        <v>1</v>
      </c>
      <c r="G646" s="23" t="str">
        <f>'2.4.raw'!AQ646</f>
        <v>Sample collected by Somnath Sarkar</v>
      </c>
    </row>
    <row r="647">
      <c r="A647" s="23" t="str">
        <f t="shared" si="2"/>
        <v>FB1302</v>
      </c>
      <c r="B647" s="23" t="str">
        <f>'2.4.raw'!L647</f>
        <v>FB1302</v>
      </c>
      <c r="C647" s="24">
        <f>datevalue(left('2.4.raw'!A647,10))</f>
        <v>43864</v>
      </c>
      <c r="D647" s="23">
        <f>'2.4.raw'!G647</f>
        <v>99</v>
      </c>
      <c r="E647" s="1">
        <v>2.39999999999999</v>
      </c>
      <c r="F647" s="23" t="b">
        <f>if(countif(Status!C:C,A647)=1,TRUE, FALSE)</f>
        <v>1</v>
      </c>
      <c r="G647" s="23" t="str">
        <f>'2.4.raw'!AQ647</f>
        <v>Sample collected by Somnath Sarkar, FB at PLc1184 site</v>
      </c>
    </row>
    <row r="648">
      <c r="A648" s="23" t="str">
        <f t="shared" si="2"/>
        <v>PLc1185</v>
      </c>
      <c r="B648" s="23" t="str">
        <f>'2.4.raw'!L648</f>
        <v>PLc1185</v>
      </c>
      <c r="C648" s="24">
        <f>datevalue(left('2.4.raw'!A648,10))</f>
        <v>43864</v>
      </c>
      <c r="D648" s="23">
        <f>'2.4.raw'!G648</f>
        <v>11</v>
      </c>
      <c r="E648" s="1">
        <v>2.39999999999999</v>
      </c>
      <c r="F648" s="23" t="b">
        <f>if(countif(Status!C:C,A648)=1,TRUE, FALSE)</f>
        <v>1</v>
      </c>
      <c r="G648" s="23" t="str">
        <f>'2.4.raw'!AQ648</f>
        <v>Sample collected by Suvankar Mandal</v>
      </c>
    </row>
    <row r="649">
      <c r="A649" s="23" t="str">
        <f t="shared" si="2"/>
        <v>FB1303</v>
      </c>
      <c r="B649" s="23" t="str">
        <f>'2.4.raw'!L649</f>
        <v>FB1303</v>
      </c>
      <c r="C649" s="24">
        <f>datevalue(left('2.4.raw'!A649,10))</f>
        <v>43864</v>
      </c>
      <c r="D649" s="23">
        <f>'2.4.raw'!G649</f>
        <v>99</v>
      </c>
      <c r="E649" s="1">
        <v>2.39999999999999</v>
      </c>
      <c r="F649" s="23" t="b">
        <f>if(countif(Status!C:C,A649)=1,TRUE, FALSE)</f>
        <v>1</v>
      </c>
      <c r="G649" s="23" t="str">
        <f>'2.4.raw'!AQ649</f>
        <v>Sample collected by Suvankar Mandal, FB at PLc1185 site</v>
      </c>
    </row>
    <row r="650">
      <c r="A650" s="23" t="str">
        <f t="shared" si="2"/>
        <v>PLc1186</v>
      </c>
      <c r="B650" s="23" t="str">
        <f>'2.4.raw'!L650</f>
        <v>PLc1186</v>
      </c>
      <c r="C650" s="24">
        <f>datevalue(left('2.4.raw'!A650,10))</f>
        <v>43864</v>
      </c>
      <c r="D650" s="23">
        <f>'2.4.raw'!G650</f>
        <v>11</v>
      </c>
      <c r="E650" s="1">
        <v>2.39999999999999</v>
      </c>
      <c r="F650" s="23" t="b">
        <f>if(countif(Status!C:C,A650)=1,TRUE, FALSE)</f>
        <v>1</v>
      </c>
      <c r="G650" s="23" t="str">
        <f>'2.4.raw'!AQ650</f>
        <v>Sample collected by Buddhadeb Samaddar</v>
      </c>
    </row>
    <row r="651">
      <c r="A651" s="23" t="str">
        <f t="shared" si="2"/>
        <v>FB1304</v>
      </c>
      <c r="B651" s="23" t="str">
        <f>'2.4.raw'!L651</f>
        <v>FB1304</v>
      </c>
      <c r="C651" s="24">
        <f>datevalue(left('2.4.raw'!A651,10))</f>
        <v>43864</v>
      </c>
      <c r="D651" s="23">
        <f>'2.4.raw'!G651</f>
        <v>99</v>
      </c>
      <c r="E651" s="1">
        <v>2.39999999999999</v>
      </c>
      <c r="F651" s="23" t="b">
        <f>if(countif(Status!C:C,A651)=1,TRUE, FALSE)</f>
        <v>1</v>
      </c>
      <c r="G651" s="23" t="str">
        <f>'2.4.raw'!AQ651</f>
        <v>Sample collected by Buddhadeb, FB at PLc1186 site</v>
      </c>
    </row>
    <row r="652">
      <c r="A652" s="23" t="str">
        <f t="shared" si="2"/>
        <v>PLc1187</v>
      </c>
      <c r="B652" s="23" t="str">
        <f>'2.4.raw'!L652</f>
        <v>PLc1187</v>
      </c>
      <c r="C652" s="24">
        <f>datevalue(left('2.4.raw'!A652,10))</f>
        <v>43865</v>
      </c>
      <c r="D652" s="23">
        <f>'2.4.raw'!G652</f>
        <v>11</v>
      </c>
      <c r="E652" s="1">
        <v>2.39999999999999</v>
      </c>
      <c r="F652" s="23" t="b">
        <f>if(countif(Status!C:C,A652)=1,TRUE, FALSE)</f>
        <v>1</v>
      </c>
      <c r="G652" s="23" t="str">
        <f>'2.4.raw'!AQ652</f>
        <v>Sample collected by Suvankar Mondal</v>
      </c>
    </row>
    <row r="653">
      <c r="A653" s="23" t="str">
        <f t="shared" si="2"/>
        <v>FB1310</v>
      </c>
      <c r="B653" s="23" t="str">
        <f>'2.4.raw'!L653</f>
        <v>FB1310</v>
      </c>
      <c r="C653" s="24">
        <f>datevalue(left('2.4.raw'!A653,10))</f>
        <v>43865</v>
      </c>
      <c r="D653" s="23">
        <f>'2.4.raw'!G653</f>
        <v>99</v>
      </c>
      <c r="E653" s="1">
        <v>2.39999999999999</v>
      </c>
      <c r="F653" s="23" t="b">
        <f>if(countif(Status!C:C,A653)=1,TRUE, FALSE)</f>
        <v>1</v>
      </c>
      <c r="G653" s="23" t="str">
        <f>'2.4.raw'!AQ653</f>
        <v>Sample collected by Suvankar Mondal, FB at PLc1187 site</v>
      </c>
    </row>
    <row r="654">
      <c r="A654" s="23" t="str">
        <f t="shared" si="2"/>
        <v>MO1166</v>
      </c>
      <c r="B654" s="23" t="str">
        <f>'2.4.raw'!L654</f>
        <v>MO1166</v>
      </c>
      <c r="C654" s="24">
        <f>datevalue(left('2.4.raw'!A654,10))</f>
        <v>43865</v>
      </c>
      <c r="D654" s="23">
        <f>'2.4.raw'!G654</f>
        <v>12</v>
      </c>
      <c r="E654" s="1">
        <v>2.39999999999999</v>
      </c>
      <c r="F654" s="23" t="b">
        <f>if(countif(Status!C:C,A654)=1,TRUE, FALSE)</f>
        <v>1</v>
      </c>
      <c r="G654" s="23" t="str">
        <f>'2.4.raw'!AQ654</f>
        <v>Sample collected by Buddhadeb Samaddar</v>
      </c>
    </row>
    <row r="655">
      <c r="A655" s="23" t="str">
        <f t="shared" si="2"/>
        <v>FB1306</v>
      </c>
      <c r="B655" s="23" t="str">
        <f>'2.4.raw'!L655</f>
        <v>FB1306</v>
      </c>
      <c r="C655" s="24">
        <f>datevalue(left('2.4.raw'!A655,10))</f>
        <v>43865</v>
      </c>
      <c r="D655" s="23">
        <f>'2.4.raw'!G655</f>
        <v>99</v>
      </c>
      <c r="E655" s="1">
        <v>2.39999999999999</v>
      </c>
      <c r="F655" s="23" t="b">
        <f>if(countif(Status!C:C,A655)=1,TRUE, FALSE)</f>
        <v>1</v>
      </c>
      <c r="G655" s="23" t="str">
        <f>'2.4.raw'!AQ655</f>
        <v>Sample collected by Buddhadeb Samaddar</v>
      </c>
    </row>
    <row r="656">
      <c r="A656" s="23" t="str">
        <f t="shared" si="2"/>
        <v>MO1167</v>
      </c>
      <c r="B656" s="23" t="str">
        <f>'2.4.raw'!L656</f>
        <v>MO1167</v>
      </c>
      <c r="C656" s="24">
        <f>datevalue(left('2.4.raw'!A656,10))</f>
        <v>43865</v>
      </c>
      <c r="D656" s="23">
        <f>'2.4.raw'!G656</f>
        <v>12</v>
      </c>
      <c r="E656" s="1">
        <v>2.39999999999999</v>
      </c>
      <c r="F656" s="23" t="b">
        <f>if(countif(Status!C:C,A656)=1,TRUE, FALSE)</f>
        <v>1</v>
      </c>
      <c r="G656" s="23" t="str">
        <f>'2.4.raw'!AQ656</f>
        <v>Sample collected by Biplab Jash</v>
      </c>
    </row>
    <row r="657">
      <c r="A657" s="23" t="str">
        <f t="shared" si="2"/>
        <v>FB1307</v>
      </c>
      <c r="B657" s="23" t="str">
        <f>'2.4.raw'!L657</f>
        <v>FB1307</v>
      </c>
      <c r="C657" s="24">
        <f>datevalue(left('2.4.raw'!A657,10))</f>
        <v>43865</v>
      </c>
      <c r="D657" s="23">
        <f>'2.4.raw'!G657</f>
        <v>99</v>
      </c>
      <c r="E657" s="1">
        <v>2.39999999999999</v>
      </c>
      <c r="F657" s="23" t="b">
        <f>if(countif(Status!C:C,A657)=1,TRUE, FALSE)</f>
        <v>1</v>
      </c>
      <c r="G657" s="23" t="str">
        <f>'2.4.raw'!AQ657</f>
        <v>Sample collected by Biplab Jash</v>
      </c>
    </row>
    <row r="658">
      <c r="A658" s="23" t="str">
        <f t="shared" si="2"/>
        <v>UF1019</v>
      </c>
      <c r="B658" s="23" t="str">
        <f>'2.4.raw'!L658</f>
        <v>UF1019</v>
      </c>
      <c r="C658" s="24">
        <f>datevalue(left('2.4.raw'!A658,10))</f>
        <v>43865</v>
      </c>
      <c r="D658" s="23">
        <f>'2.4.raw'!G658</f>
        <v>11</v>
      </c>
      <c r="E658" s="1">
        <v>2.39999999999999</v>
      </c>
      <c r="F658" s="23" t="b">
        <f>if(countif(Status!C:C,A658)=1,TRUE, FALSE)</f>
        <v>1</v>
      </c>
      <c r="G658" s="23" t="str">
        <f>'2.4.raw'!AQ658</f>
        <v>Sample collected by Biplab Jash</v>
      </c>
    </row>
    <row r="659">
      <c r="A659" s="23" t="str">
        <f t="shared" si="2"/>
        <v>MO1168</v>
      </c>
      <c r="B659" s="23" t="str">
        <f>'2.4.raw'!L659</f>
        <v>MO1168</v>
      </c>
      <c r="C659" s="24">
        <f>datevalue(left('2.4.raw'!A659,10))</f>
        <v>43865</v>
      </c>
      <c r="D659" s="23">
        <f>'2.4.raw'!G659</f>
        <v>12</v>
      </c>
      <c r="E659" s="1">
        <v>2.39999999999999</v>
      </c>
      <c r="F659" s="23" t="b">
        <f>if(countif(Status!C:C,A659)=1,TRUE, FALSE)</f>
        <v>1</v>
      </c>
      <c r="G659" s="23" t="str">
        <f>'2.4.raw'!AQ659</f>
        <v>Sample collected by Debabrata Maity</v>
      </c>
    </row>
    <row r="660">
      <c r="A660" s="23" t="str">
        <f t="shared" si="2"/>
        <v>FB1308</v>
      </c>
      <c r="B660" s="23" t="str">
        <f>'2.4.raw'!L660</f>
        <v>FB1308</v>
      </c>
      <c r="C660" s="24">
        <f>datevalue(left('2.4.raw'!A660,10))</f>
        <v>43865</v>
      </c>
      <c r="D660" s="23">
        <f>'2.4.raw'!G660</f>
        <v>99</v>
      </c>
      <c r="E660" s="1">
        <v>2.39999999999999</v>
      </c>
      <c r="F660" s="23" t="b">
        <f>if(countif(Status!C:C,A660)=1,TRUE, FALSE)</f>
        <v>1</v>
      </c>
      <c r="G660" s="23" t="str">
        <f>'2.4.raw'!AQ660</f>
        <v>Sample collected by Debabrata Maity</v>
      </c>
    </row>
    <row r="661">
      <c r="A661" s="23" t="str">
        <f t="shared" si="2"/>
        <v>UF1020</v>
      </c>
      <c r="B661" s="23" t="str">
        <f>'2.4.raw'!L661</f>
        <v>UF1020</v>
      </c>
      <c r="C661" s="24">
        <f>datevalue(left('2.4.raw'!A661,10))</f>
        <v>43866</v>
      </c>
      <c r="D661" s="23">
        <f>'2.4.raw'!G661</f>
        <v>11</v>
      </c>
      <c r="E661" s="1">
        <v>2.39999999999999</v>
      </c>
      <c r="F661" s="23" t="b">
        <f>if(countif(Status!C:C,A661)=1,TRUE, FALSE)</f>
        <v>1</v>
      </c>
      <c r="G661" s="23" t="str">
        <f>'2.4.raw'!AQ661</f>
        <v>Sample collected by Abhijit</v>
      </c>
    </row>
    <row r="662">
      <c r="A662" s="23" t="str">
        <f t="shared" si="2"/>
        <v>MO1169</v>
      </c>
      <c r="B662" s="23" t="str">
        <f>'2.4.raw'!L662</f>
        <v>MO1169</v>
      </c>
      <c r="C662" s="24">
        <f>datevalue(left('2.4.raw'!A662,10))</f>
        <v>43867</v>
      </c>
      <c r="D662" s="23">
        <f>'2.4.raw'!G662</f>
        <v>12</v>
      </c>
      <c r="E662" s="1">
        <v>2.39999999999999</v>
      </c>
      <c r="F662" s="23" t="b">
        <f>if(countif(Status!C:C,A662)=1,TRUE, FALSE)</f>
        <v>1</v>
      </c>
      <c r="G662" s="23" t="str">
        <f>'2.4.raw'!AQ662</f>
        <v/>
      </c>
    </row>
    <row r="663">
      <c r="A663" s="23" t="str">
        <f t="shared" si="2"/>
        <v>FB1312</v>
      </c>
      <c r="B663" s="23" t="str">
        <f>'2.4.raw'!L663</f>
        <v>FB1312</v>
      </c>
      <c r="C663" s="24">
        <f>datevalue(left('2.4.raw'!A663,10))</f>
        <v>43867</v>
      </c>
      <c r="D663" s="23">
        <f>'2.4.raw'!G663</f>
        <v>99</v>
      </c>
      <c r="E663" s="1">
        <v>2.39999999999999</v>
      </c>
      <c r="F663" s="23" t="b">
        <f>if(countif(Status!C:C,A663)=1,TRUE, FALSE)</f>
        <v>1</v>
      </c>
      <c r="G663" s="23" t="str">
        <f>'2.4.raw'!AQ663</f>
        <v>Sample collected by Abhijit</v>
      </c>
    </row>
    <row r="664">
      <c r="A664" s="23" t="str">
        <f t="shared" si="2"/>
        <v>MO1170</v>
      </c>
      <c r="B664" s="23" t="str">
        <f>'2.4.raw'!L664</f>
        <v>MO1170</v>
      </c>
      <c r="C664" s="24">
        <f>datevalue(left('2.4.raw'!A664,10))</f>
        <v>43867</v>
      </c>
      <c r="D664" s="23">
        <f>'2.4.raw'!G664</f>
        <v>12</v>
      </c>
      <c r="E664" s="1">
        <v>2.39999999999999</v>
      </c>
      <c r="F664" s="23" t="b">
        <f>if(countif(Status!C:C,A664)=1,TRUE, FALSE)</f>
        <v>1</v>
      </c>
      <c r="G664" s="23" t="str">
        <f>'2.4.raw'!AQ664</f>
        <v/>
      </c>
    </row>
    <row r="665">
      <c r="A665" s="23" t="str">
        <f t="shared" si="2"/>
        <v>FB1313</v>
      </c>
      <c r="B665" s="23" t="str">
        <f>'2.4.raw'!L665</f>
        <v>FB1313</v>
      </c>
      <c r="C665" s="24">
        <f>datevalue(left('2.4.raw'!A665,10))</f>
        <v>43867</v>
      </c>
      <c r="D665" s="23">
        <f>'2.4.raw'!G665</f>
        <v>99</v>
      </c>
      <c r="E665" s="1">
        <v>2.39999999999999</v>
      </c>
      <c r="F665" s="23" t="b">
        <f>if(countif(Status!C:C,A665)=1,TRUE, FALSE)</f>
        <v>1</v>
      </c>
      <c r="G665" s="23" t="str">
        <f>'2.4.raw'!AQ665</f>
        <v>Sample collected by Abhijit</v>
      </c>
    </row>
    <row r="666">
      <c r="A666" s="23" t="str">
        <f t="shared" si="2"/>
        <v>MO1171</v>
      </c>
      <c r="B666" s="23" t="str">
        <f>'2.4.raw'!L666</f>
        <v>MO1171</v>
      </c>
      <c r="C666" s="24">
        <f>datevalue(left('2.4.raw'!A666,10))</f>
        <v>43867</v>
      </c>
      <c r="D666" s="23">
        <f>'2.4.raw'!G666</f>
        <v>12</v>
      </c>
      <c r="E666" s="1">
        <v>2.39999999999999</v>
      </c>
      <c r="F666" s="23" t="b">
        <f>if(countif(Status!C:C,A666)=1,TRUE, FALSE)</f>
        <v>1</v>
      </c>
      <c r="G666" s="23" t="str">
        <f>'2.4.raw'!AQ666</f>
        <v/>
      </c>
    </row>
    <row r="667">
      <c r="A667" s="23" t="str">
        <f t="shared" si="2"/>
        <v>FB1316</v>
      </c>
      <c r="B667" s="23" t="str">
        <f>'2.4.raw'!L667</f>
        <v>FB1316</v>
      </c>
      <c r="C667" s="24">
        <f>datevalue(left('2.4.raw'!A667,10))</f>
        <v>43867</v>
      </c>
      <c r="D667" s="23">
        <f>'2.4.raw'!G667</f>
        <v>99</v>
      </c>
      <c r="E667" s="1">
        <v>2.39999999999999</v>
      </c>
      <c r="F667" s="23" t="b">
        <f>if(countif(Status!C:C,A667)=1,TRUE, FALSE)</f>
        <v>1</v>
      </c>
      <c r="G667" s="23" t="str">
        <f>'2.4.raw'!AQ667</f>
        <v>Sample collected by Abhijit</v>
      </c>
    </row>
    <row r="668">
      <c r="A668" s="23" t="str">
        <f t="shared" si="2"/>
        <v>PLc1188</v>
      </c>
      <c r="B668" s="23" t="str">
        <f>'2.4.raw'!L668</f>
        <v>PLc1188</v>
      </c>
      <c r="C668" s="24">
        <f>datevalue(left('2.4.raw'!A668,10))</f>
        <v>43867</v>
      </c>
      <c r="D668" s="23">
        <f>'2.4.raw'!G668</f>
        <v>11</v>
      </c>
      <c r="E668" s="1">
        <v>2.39999999999999</v>
      </c>
      <c r="F668" s="23" t="b">
        <f>if(countif(Status!C:C,A668)=1,TRUE, FALSE)</f>
        <v>1</v>
      </c>
      <c r="G668" s="23" t="str">
        <f>'2.4.raw'!AQ668</f>
        <v>Sample collected by Buddhadeb Samaddar</v>
      </c>
    </row>
    <row r="669">
      <c r="A669" s="23" t="str">
        <f t="shared" si="2"/>
        <v>FB1317</v>
      </c>
      <c r="B669" s="23" t="str">
        <f>'2.4.raw'!L669</f>
        <v>FB1317</v>
      </c>
      <c r="C669" s="24">
        <f>datevalue(left('2.4.raw'!A669,10))</f>
        <v>43867</v>
      </c>
      <c r="D669" s="23">
        <f>'2.4.raw'!G669</f>
        <v>99</v>
      </c>
      <c r="E669" s="1">
        <v>2.39999999999999</v>
      </c>
      <c r="F669" s="23" t="b">
        <f>if(countif(Status!C:C,A669)=1,TRUE, FALSE)</f>
        <v>1</v>
      </c>
      <c r="G669" s="23" t="str">
        <f>'2.4.raw'!AQ669</f>
        <v>Sample collected by Buddhadeb, FB at PLc1188 site</v>
      </c>
    </row>
    <row r="670">
      <c r="A670" s="23" t="str">
        <f t="shared" si="2"/>
        <v>PLc1189</v>
      </c>
      <c r="B670" s="23" t="str">
        <f>'2.4.raw'!L670</f>
        <v>PLc1189</v>
      </c>
      <c r="C670" s="24">
        <f>datevalue(left('2.4.raw'!A670,10))</f>
        <v>43868</v>
      </c>
      <c r="D670" s="23">
        <f>'2.4.raw'!G670</f>
        <v>11</v>
      </c>
      <c r="E670" s="1">
        <v>2.39999999999999</v>
      </c>
      <c r="F670" s="23" t="b">
        <f>if(countif(Status!C:C,A670)=1,TRUE, FALSE)</f>
        <v>1</v>
      </c>
      <c r="G670" s="23" t="str">
        <f>'2.4.raw'!AQ670</f>
        <v>Sample collected by Somnath Sarkar</v>
      </c>
    </row>
    <row r="671">
      <c r="A671" s="23" t="str">
        <f t="shared" si="2"/>
        <v>FB1318</v>
      </c>
      <c r="B671" s="23" t="str">
        <f>'2.4.raw'!L671</f>
        <v>FB1318</v>
      </c>
      <c r="C671" s="24">
        <f>datevalue(left('2.4.raw'!A671,10))</f>
        <v>43868</v>
      </c>
      <c r="D671" s="23">
        <f>'2.4.raw'!G671</f>
        <v>99</v>
      </c>
      <c r="E671" s="1">
        <v>2.39999999999999</v>
      </c>
      <c r="F671" s="23" t="b">
        <f>if(countif(Status!C:C,A671)=1,TRUE, FALSE)</f>
        <v>1</v>
      </c>
      <c r="G671" s="23" t="str">
        <f>'2.4.raw'!AQ671</f>
        <v>Sample collected by Somnath, FB at PLc1189 site</v>
      </c>
    </row>
    <row r="672">
      <c r="A672" s="23" t="str">
        <f t="shared" si="2"/>
        <v>PLc1190</v>
      </c>
      <c r="B672" s="23" t="str">
        <f>'2.4.raw'!L672</f>
        <v>PLc1190</v>
      </c>
      <c r="C672" s="24">
        <f>datevalue(left('2.4.raw'!A672,10))</f>
        <v>43868</v>
      </c>
      <c r="D672" s="23">
        <f>'2.4.raw'!G672</f>
        <v>11</v>
      </c>
      <c r="E672" s="1">
        <v>2.39999999999999</v>
      </c>
      <c r="F672" s="23" t="b">
        <f>if(countif(Status!C:C,A672)=1,TRUE, FALSE)</f>
        <v>1</v>
      </c>
      <c r="G672" s="23" t="str">
        <f>'2.4.raw'!AQ672</f>
        <v>Sample collected by Biplab Jash</v>
      </c>
    </row>
    <row r="673">
      <c r="A673" s="23" t="str">
        <f t="shared" si="2"/>
        <v>FB1319</v>
      </c>
      <c r="B673" s="23" t="str">
        <f>'2.4.raw'!L673</f>
        <v>FB1319</v>
      </c>
      <c r="C673" s="24">
        <f>datevalue(left('2.4.raw'!A673,10))</f>
        <v>43868</v>
      </c>
      <c r="D673" s="23">
        <f>'2.4.raw'!G673</f>
        <v>99</v>
      </c>
      <c r="E673" s="1">
        <v>2.39999999999999</v>
      </c>
      <c r="F673" s="23" t="b">
        <f>if(countif(Status!C:C,A673)=1,TRUE, FALSE)</f>
        <v>1</v>
      </c>
      <c r="G673" s="23" t="str">
        <f>'2.4.raw'!AQ673</f>
        <v>Sample collected by Biplab Jash, FB at PLc1190 site</v>
      </c>
    </row>
    <row r="674">
      <c r="A674" s="23" t="str">
        <f t="shared" si="2"/>
        <v>PLc1191</v>
      </c>
      <c r="B674" s="23" t="str">
        <f>'2.4.raw'!L674</f>
        <v>PLc1191</v>
      </c>
      <c r="C674" s="24">
        <f>datevalue(left('2.4.raw'!A674,10))</f>
        <v>43871</v>
      </c>
      <c r="D674" s="23">
        <f>'2.4.raw'!G674</f>
        <v>11</v>
      </c>
      <c r="E674" s="1">
        <v>2.39999999999999</v>
      </c>
      <c r="F674" s="23" t="b">
        <f>if(countif(Status!C:C,A674)=1,TRUE, FALSE)</f>
        <v>1</v>
      </c>
      <c r="G674" s="23" t="str">
        <f>'2.4.raw'!AQ674</f>
        <v>Sample collected by Somnath Sarkar</v>
      </c>
    </row>
    <row r="675">
      <c r="A675" s="23" t="str">
        <f t="shared" si="2"/>
        <v>FB1320</v>
      </c>
      <c r="B675" s="23" t="str">
        <f>'2.4.raw'!L675</f>
        <v>FB1320</v>
      </c>
      <c r="C675" s="24">
        <f>datevalue(left('2.4.raw'!A675,10))</f>
        <v>43871</v>
      </c>
      <c r="D675" s="23">
        <f>'2.4.raw'!G675</f>
        <v>99</v>
      </c>
      <c r="E675" s="1">
        <v>2.39999999999999</v>
      </c>
      <c r="F675" s="23" t="b">
        <f>if(countif(Status!C:C,A675)=1,TRUE, FALSE)</f>
        <v>1</v>
      </c>
      <c r="G675" s="23" t="str">
        <f>'2.4.raw'!AQ675</f>
        <v>Sample collected by Somnath Sarkar, FB at PLc1191 site</v>
      </c>
    </row>
    <row r="676">
      <c r="A676" s="23" t="str">
        <f t="shared" si="2"/>
        <v>PLc1192</v>
      </c>
      <c r="B676" s="23" t="str">
        <f>'2.4.raw'!L676</f>
        <v>PLc1192</v>
      </c>
      <c r="C676" s="24">
        <f>datevalue(left('2.4.raw'!A676,10))</f>
        <v>43871</v>
      </c>
      <c r="D676" s="23">
        <f>'2.4.raw'!G676</f>
        <v>11</v>
      </c>
      <c r="E676" s="1">
        <v>2.39999999999999</v>
      </c>
      <c r="F676" s="23" t="b">
        <f>if(countif(Status!C:C,A676)=1,TRUE, FALSE)</f>
        <v>1</v>
      </c>
      <c r="G676" s="23" t="str">
        <f>'2.4.raw'!AQ676</f>
        <v>Sample collected by Buddhadeb Samaddar</v>
      </c>
    </row>
    <row r="677">
      <c r="A677" s="23" t="str">
        <f t="shared" si="2"/>
        <v>FB1321</v>
      </c>
      <c r="B677" s="23" t="str">
        <f>'2.4.raw'!L677</f>
        <v>FB1321</v>
      </c>
      <c r="C677" s="24">
        <f>datevalue(left('2.4.raw'!A677,10))</f>
        <v>43871</v>
      </c>
      <c r="D677" s="23">
        <f>'2.4.raw'!G677</f>
        <v>99</v>
      </c>
      <c r="E677" s="1">
        <v>2.39999999999999</v>
      </c>
      <c r="F677" s="23" t="b">
        <f>if(countif(Status!C:C,A677)=1,TRUE, FALSE)</f>
        <v>1</v>
      </c>
      <c r="G677" s="23" t="str">
        <f>'2.4.raw'!AQ677</f>
        <v>Sample collected by Buddhadeb, FB at PLc1192 site</v>
      </c>
    </row>
    <row r="678">
      <c r="A678" s="23" t="str">
        <f t="shared" si="2"/>
        <v>PLc1193</v>
      </c>
      <c r="B678" s="23" t="str">
        <f>'2.4.raw'!L678</f>
        <v>PLc1193</v>
      </c>
      <c r="C678" s="24">
        <f>datevalue(left('2.4.raw'!A678,10))</f>
        <v>43871</v>
      </c>
      <c r="D678" s="23">
        <f>'2.4.raw'!G678</f>
        <v>11</v>
      </c>
      <c r="E678" s="1">
        <v>2.39999999999999</v>
      </c>
      <c r="F678" s="23" t="b">
        <f>if(countif(Status!C:C,A678)=1,TRUE, FALSE)</f>
        <v>1</v>
      </c>
      <c r="G678" s="23" t="str">
        <f>'2.4.raw'!AQ678</f>
        <v>Sample collected by Somnath Sarkar</v>
      </c>
    </row>
    <row r="679">
      <c r="A679" s="23" t="str">
        <f t="shared" si="2"/>
        <v>FB1322</v>
      </c>
      <c r="B679" s="23" t="str">
        <f>'2.4.raw'!L679</f>
        <v>FB1322</v>
      </c>
      <c r="C679" s="24">
        <f>datevalue(left('2.4.raw'!A679,10))</f>
        <v>43871</v>
      </c>
      <c r="D679" s="23">
        <f>'2.4.raw'!G679</f>
        <v>99</v>
      </c>
      <c r="E679" s="1">
        <v>2.39999999999999</v>
      </c>
      <c r="F679" s="23" t="b">
        <f>if(countif(Status!C:C,A679)=1,TRUE, FALSE)</f>
        <v>1</v>
      </c>
      <c r="G679" s="23" t="str">
        <f>'2.4.raw'!AQ679</f>
        <v>Sample collected by Somnath Sarkar, FB at PLc1193 site</v>
      </c>
    </row>
    <row r="680">
      <c r="A680" s="23" t="str">
        <f t="shared" si="2"/>
        <v>PLc1194</v>
      </c>
      <c r="B680" s="23" t="str">
        <f>'2.4.raw'!L680</f>
        <v>PLc1194</v>
      </c>
      <c r="C680" s="24">
        <f>datevalue(left('2.4.raw'!A680,10))</f>
        <v>43871</v>
      </c>
      <c r="D680" s="23">
        <f>'2.4.raw'!G680</f>
        <v>11</v>
      </c>
      <c r="E680" s="1">
        <v>2.39999999999999</v>
      </c>
      <c r="F680" s="23" t="b">
        <f>if(countif(Status!C:C,A680)=1,TRUE, FALSE)</f>
        <v>1</v>
      </c>
      <c r="G680" s="23" t="str">
        <f>'2.4.raw'!AQ680</f>
        <v>Sample collected by Buddhadeb Samaddar</v>
      </c>
    </row>
    <row r="681">
      <c r="A681" s="23" t="str">
        <f t="shared" si="2"/>
        <v>FB1323</v>
      </c>
      <c r="B681" s="23" t="str">
        <f>'2.4.raw'!L681</f>
        <v>FB1323</v>
      </c>
      <c r="C681" s="24">
        <f>datevalue(left('2.4.raw'!A681,10))</f>
        <v>43871</v>
      </c>
      <c r="D681" s="23">
        <f>'2.4.raw'!G681</f>
        <v>99</v>
      </c>
      <c r="E681" s="1">
        <v>2.39999999999999</v>
      </c>
      <c r="F681" s="23" t="b">
        <f>if(countif(Status!C:C,A681)=1,TRUE, FALSE)</f>
        <v>1</v>
      </c>
      <c r="G681" s="23" t="str">
        <f>'2.4.raw'!AQ681</f>
        <v>Sample collected by Buddhadeb, FB at PLc1194 site</v>
      </c>
    </row>
    <row r="682">
      <c r="A682" s="23" t="str">
        <f t="shared" si="2"/>
        <v>PLc1195</v>
      </c>
      <c r="B682" s="23" t="str">
        <f>'2.4.raw'!L682</f>
        <v>PLc1195</v>
      </c>
      <c r="C682" s="24">
        <f>datevalue(left('2.4.raw'!A682,10))</f>
        <v>43871</v>
      </c>
      <c r="D682" s="23">
        <f>'2.4.raw'!G682</f>
        <v>11</v>
      </c>
      <c r="E682" s="1">
        <v>2.39999999999999</v>
      </c>
      <c r="F682" s="23" t="b">
        <f>if(countif(Status!C:C,A682)=1,TRUE, FALSE)</f>
        <v>1</v>
      </c>
      <c r="G682" s="23" t="str">
        <f>'2.4.raw'!AQ682</f>
        <v>Sample collected by Debabrata Maity</v>
      </c>
    </row>
    <row r="683">
      <c r="A683" s="23" t="str">
        <f t="shared" si="2"/>
        <v>FB1324</v>
      </c>
      <c r="B683" s="23" t="str">
        <f>'2.4.raw'!L683</f>
        <v>FB1324</v>
      </c>
      <c r="C683" s="24">
        <f>datevalue(left('2.4.raw'!A683,10))</f>
        <v>43871</v>
      </c>
      <c r="D683" s="23">
        <f>'2.4.raw'!G683</f>
        <v>99</v>
      </c>
      <c r="E683" s="1">
        <v>2.39999999999999</v>
      </c>
      <c r="F683" s="23" t="b">
        <f>if(countif(Status!C:C,A683)=1,TRUE, FALSE)</f>
        <v>1</v>
      </c>
      <c r="G683" s="23" t="str">
        <f>'2.4.raw'!AQ683</f>
        <v>Sample collected by Debabrata Maity, FB at PLc1195 site</v>
      </c>
    </row>
    <row r="684">
      <c r="A684" s="23" t="str">
        <f t="shared" si="2"/>
        <v>MO1175</v>
      </c>
      <c r="B684" s="23" t="str">
        <f>'2.4.raw'!L684</f>
        <v>MO1175</v>
      </c>
      <c r="C684" s="24">
        <f>datevalue(left('2.4.raw'!A684,10))</f>
        <v>43872</v>
      </c>
      <c r="D684" s="23">
        <f>'2.4.raw'!G684</f>
        <v>12</v>
      </c>
      <c r="E684" s="1">
        <v>2.39999999999999</v>
      </c>
      <c r="F684" s="23" t="b">
        <f>if(countif(Status!C:C,A684)=1,TRUE, FALSE)</f>
        <v>1</v>
      </c>
      <c r="G684" s="23" t="str">
        <f>'2.4.raw'!AQ684</f>
        <v/>
      </c>
    </row>
    <row r="685">
      <c r="A685" s="23" t="str">
        <f t="shared" si="2"/>
        <v>FB1325</v>
      </c>
      <c r="B685" s="23" t="str">
        <f>'2.4.raw'!L685</f>
        <v>FB1325</v>
      </c>
      <c r="C685" s="24">
        <f>datevalue(left('2.4.raw'!A685,10))</f>
        <v>43872</v>
      </c>
      <c r="D685" s="23">
        <f>'2.4.raw'!G685</f>
        <v>99</v>
      </c>
      <c r="E685" s="1">
        <v>2.39999999999999</v>
      </c>
      <c r="F685" s="23" t="b">
        <f>if(countif(Status!C:C,A685)=1,TRUE, FALSE)</f>
        <v>1</v>
      </c>
      <c r="G685" s="23" t="str">
        <f>'2.4.raw'!AQ685</f>
        <v>Sample collected by Suvankar, FB at MO1175 site</v>
      </c>
    </row>
    <row r="686">
      <c r="A686" s="23" t="str">
        <f t="shared" si="2"/>
        <v>MO1174</v>
      </c>
      <c r="B686" s="23" t="str">
        <f>'2.4.raw'!L686</f>
        <v>MO1174</v>
      </c>
      <c r="C686" s="24">
        <f>datevalue(left('2.4.raw'!A686,10))</f>
        <v>43872</v>
      </c>
      <c r="D686" s="23">
        <f>'2.4.raw'!G686</f>
        <v>12</v>
      </c>
      <c r="E686" s="1">
        <v>2.39999999999999</v>
      </c>
      <c r="F686" s="23" t="b">
        <f>if(countif(Status!C:C,A686)=1,TRUE, FALSE)</f>
        <v>1</v>
      </c>
      <c r="G686" s="23" t="str">
        <f>'2.4.raw'!AQ686</f>
        <v>Sample collected by Asish</v>
      </c>
    </row>
    <row r="687">
      <c r="A687" s="23" t="str">
        <f t="shared" si="2"/>
        <v>FB1326</v>
      </c>
      <c r="B687" s="23" t="str">
        <f>'2.4.raw'!L687</f>
        <v>FB1326</v>
      </c>
      <c r="C687" s="24">
        <f>datevalue(left('2.4.raw'!A687,10))</f>
        <v>43872</v>
      </c>
      <c r="D687" s="23">
        <f>'2.4.raw'!G687</f>
        <v>99</v>
      </c>
      <c r="E687" s="1">
        <v>2.39999999999999</v>
      </c>
      <c r="F687" s="23" t="b">
        <f>if(countif(Status!C:C,A687)=1,TRUE, FALSE)</f>
        <v>1</v>
      </c>
      <c r="G687" s="23" t="str">
        <f>'2.4.raw'!AQ687</f>
        <v>Sample collected by Asish FB at MO1174 site</v>
      </c>
    </row>
    <row r="688">
      <c r="A688" s="23" t="str">
        <f t="shared" si="2"/>
        <v>UF1021</v>
      </c>
      <c r="B688" s="23" t="str">
        <f>'2.4.raw'!L688</f>
        <v>UF1021</v>
      </c>
      <c r="C688" s="24">
        <f>datevalue(left('2.4.raw'!A688,10))</f>
        <v>43872</v>
      </c>
      <c r="D688" s="23">
        <f>'2.4.raw'!G688</f>
        <v>11</v>
      </c>
      <c r="E688" s="1">
        <v>2.39999999999999</v>
      </c>
      <c r="F688" s="23" t="b">
        <f>if(countif(Status!C:C,A688)=1,TRUE, FALSE)</f>
        <v>1</v>
      </c>
      <c r="G688" s="23" t="str">
        <f>'2.4.raw'!AQ688</f>
        <v>Sample collected by Abhijit</v>
      </c>
    </row>
    <row r="689">
      <c r="A689" s="23" t="str">
        <f t="shared" si="2"/>
        <v>MO1173</v>
      </c>
      <c r="B689" s="23" t="str">
        <f>'2.4.raw'!L689</f>
        <v>MO1173</v>
      </c>
      <c r="C689" s="24">
        <f>datevalue(left('2.4.raw'!A689,10))</f>
        <v>43872</v>
      </c>
      <c r="D689" s="23">
        <f>'2.4.raw'!G689</f>
        <v>12</v>
      </c>
      <c r="E689" s="1">
        <v>2.39999999999999</v>
      </c>
      <c r="F689" s="23" t="b">
        <f>if(countif(Status!C:C,A689)=1,TRUE, FALSE)</f>
        <v>1</v>
      </c>
      <c r="G689" s="23" t="str">
        <f>'2.4.raw'!AQ689</f>
        <v>Sample collected by Biplab</v>
      </c>
    </row>
    <row r="690">
      <c r="A690" s="23" t="str">
        <f t="shared" si="2"/>
        <v>FB1327</v>
      </c>
      <c r="B690" s="23" t="str">
        <f>'2.4.raw'!L690</f>
        <v>FB1327</v>
      </c>
      <c r="C690" s="24">
        <f>datevalue(left('2.4.raw'!A690,10))</f>
        <v>43872</v>
      </c>
      <c r="D690" s="23">
        <f>'2.4.raw'!G690</f>
        <v>99</v>
      </c>
      <c r="E690" s="1">
        <v>2.39999999999999</v>
      </c>
      <c r="F690" s="23" t="b">
        <f>if(countif(Status!C:C,A690)=1,TRUE, FALSE)</f>
        <v>1</v>
      </c>
      <c r="G690" s="23" t="str">
        <f>'2.4.raw'!AQ690</f>
        <v>Sample collected by Abhijit, FB at MO1173 site</v>
      </c>
    </row>
    <row r="691">
      <c r="A691" s="23" t="str">
        <f t="shared" si="2"/>
        <v>MO1172</v>
      </c>
      <c r="B691" s="23" t="str">
        <f>'2.4.raw'!L691</f>
        <v>MO1172</v>
      </c>
      <c r="C691" s="24">
        <f>datevalue(left('2.4.raw'!A691,10))</f>
        <v>43872</v>
      </c>
      <c r="D691" s="23">
        <f>'2.4.raw'!G691</f>
        <v>12</v>
      </c>
      <c r="E691" s="1">
        <v>2.39999999999999</v>
      </c>
      <c r="F691" s="23" t="b">
        <f>if(countif(Status!C:C,A691)=1,TRUE, FALSE)</f>
        <v>1</v>
      </c>
      <c r="G691" s="23" t="str">
        <f>'2.4.raw'!AQ691</f>
        <v>Sample collected by Biplab, only one Moore was collected</v>
      </c>
    </row>
    <row r="692">
      <c r="A692" s="23" t="str">
        <f t="shared" si="2"/>
        <v>FB1328</v>
      </c>
      <c r="B692" s="23" t="str">
        <f>'2.4.raw'!L692</f>
        <v>FB1328</v>
      </c>
      <c r="C692" s="24">
        <f>datevalue(left('2.4.raw'!A692,10))</f>
        <v>43872</v>
      </c>
      <c r="D692" s="23">
        <f>'2.4.raw'!G692</f>
        <v>99</v>
      </c>
      <c r="E692" s="1">
        <v>2.39999999999999</v>
      </c>
      <c r="F692" s="23" t="b">
        <f>if(countif(Status!C:C,A692)=1,TRUE, FALSE)</f>
        <v>1</v>
      </c>
      <c r="G692" s="23" t="str">
        <f>'2.4.raw'!AQ692</f>
        <v>Sample collected by Biplab, FB at MO1172 site</v>
      </c>
    </row>
    <row r="693">
      <c r="A693" s="23" t="str">
        <f t="shared" si="2"/>
        <v>PL1024</v>
      </c>
      <c r="B693" s="23" t="str">
        <f>'2.4.raw'!L693</f>
        <v>PL1024</v>
      </c>
      <c r="C693" s="24">
        <f>datevalue(left('2.4.raw'!A693,10))</f>
        <v>43873</v>
      </c>
      <c r="D693" s="23">
        <f>'2.4.raw'!G693</f>
        <v>11</v>
      </c>
      <c r="E693" s="1">
        <v>2.39999999999999</v>
      </c>
      <c r="F693" s="23" t="b">
        <f>if(countif(Status!C:C,A693)=1,TRUE, FALSE)</f>
        <v>1</v>
      </c>
      <c r="G693" s="23" t="str">
        <f>'2.4.raw'!AQ693</f>
        <v>Sample collected by Somnath Sarkar</v>
      </c>
    </row>
    <row r="694">
      <c r="A694" s="23" t="str">
        <f t="shared" si="2"/>
        <v>FB1333</v>
      </c>
      <c r="B694" s="23" t="str">
        <f>'2.4.raw'!L694</f>
        <v>FB1333</v>
      </c>
      <c r="C694" s="24">
        <f>datevalue(left('2.4.raw'!A694,10))</f>
        <v>43873</v>
      </c>
      <c r="D694" s="23">
        <f>'2.4.raw'!G694</f>
        <v>99</v>
      </c>
      <c r="E694" s="1">
        <v>2.39999999999999</v>
      </c>
      <c r="F694" s="23" t="b">
        <f>if(countif(Status!C:C,A694)=1,TRUE, FALSE)</f>
        <v>1</v>
      </c>
      <c r="G694" s="23" t="str">
        <f>'2.4.raw'!AQ694</f>
        <v>Sample collected by Somnath Sarkar, FB at PL1024</v>
      </c>
    </row>
    <row r="695">
      <c r="A695" s="23" t="str">
        <f t="shared" si="2"/>
        <v>PL1025</v>
      </c>
      <c r="B695" s="23" t="str">
        <f>'2.4.raw'!L695</f>
        <v>PL1025</v>
      </c>
      <c r="C695" s="24">
        <f>datevalue(left('2.4.raw'!A695,10))</f>
        <v>43873</v>
      </c>
      <c r="D695" s="23">
        <f>'2.4.raw'!G695</f>
        <v>11</v>
      </c>
      <c r="E695" s="1">
        <v>2.39999999999999</v>
      </c>
      <c r="F695" s="23" t="b">
        <f>if(countif(Status!C:C,A695)=1,TRUE, FALSE)</f>
        <v>1</v>
      </c>
      <c r="G695" s="23" t="str">
        <f>'2.4.raw'!AQ695</f>
        <v>Sample collected by Buddhadeb Samaddar</v>
      </c>
    </row>
    <row r="696">
      <c r="A696" s="23" t="str">
        <f t="shared" si="2"/>
        <v>FB1334</v>
      </c>
      <c r="B696" s="23" t="str">
        <f>'2.4.raw'!L696</f>
        <v>FB1334</v>
      </c>
      <c r="C696" s="24">
        <f>datevalue(left('2.4.raw'!A696,10))</f>
        <v>43873</v>
      </c>
      <c r="D696" s="23">
        <f>'2.4.raw'!G696</f>
        <v>99</v>
      </c>
      <c r="E696" s="1">
        <v>2.39999999999999</v>
      </c>
      <c r="F696" s="23" t="b">
        <f>if(countif(Status!C:C,A696)=1,TRUE, FALSE)</f>
        <v>1</v>
      </c>
      <c r="G696" s="23" t="str">
        <f>'2.4.raw'!AQ696</f>
        <v>Sample collected by Buddhadeb Samaddar, FB at PL1025</v>
      </c>
    </row>
    <row r="697">
      <c r="A697" s="23" t="str">
        <f t="shared" si="2"/>
        <v>UF1022</v>
      </c>
      <c r="B697" s="23" t="str">
        <f>'2.4.raw'!L697</f>
        <v>UF1022</v>
      </c>
      <c r="C697" s="24">
        <f>datevalue(left('2.4.raw'!A697,10))</f>
        <v>43873</v>
      </c>
      <c r="D697" s="23">
        <f>'2.4.raw'!G697</f>
        <v>11</v>
      </c>
      <c r="E697" s="1">
        <v>2.39999999999999</v>
      </c>
      <c r="F697" s="23" t="b">
        <f>if(countif(Status!C:C,A697)=1,TRUE, FALSE)</f>
        <v>1</v>
      </c>
      <c r="G697" s="23" t="str">
        <f>'2.4.raw'!AQ697</f>
        <v>Sample collected by Suvankar</v>
      </c>
    </row>
    <row r="698">
      <c r="A698" s="23" t="str">
        <f t="shared" si="2"/>
        <v>MO1176</v>
      </c>
      <c r="B698" s="23" t="str">
        <f>'2.4.raw'!L698</f>
        <v>MO1176</v>
      </c>
      <c r="C698" s="24">
        <f>datevalue(left('2.4.raw'!A698,10))</f>
        <v>43873</v>
      </c>
      <c r="D698" s="23">
        <f>'2.4.raw'!G698</f>
        <v>12</v>
      </c>
      <c r="E698" s="1">
        <v>2.39999999999999</v>
      </c>
      <c r="F698" s="23" t="b">
        <f>if(countif(Status!C:C,A698)=1,TRUE, FALSE)</f>
        <v>1</v>
      </c>
      <c r="G698" s="23" t="str">
        <f>'2.4.raw'!AQ698</f>
        <v>Sample collected by Suvankar, Ward 29 SDDM</v>
      </c>
    </row>
    <row r="699">
      <c r="A699" s="23" t="str">
        <f t="shared" si="2"/>
        <v>FB1331</v>
      </c>
      <c r="B699" s="23" t="str">
        <f>'2.4.raw'!L699</f>
        <v>FB1331</v>
      </c>
      <c r="C699" s="24">
        <f>datevalue(left('2.4.raw'!A699,10))</f>
        <v>43873</v>
      </c>
      <c r="D699" s="23">
        <f>'2.4.raw'!G699</f>
        <v>99</v>
      </c>
      <c r="E699" s="1">
        <v>2.39999999999999</v>
      </c>
      <c r="F699" s="23" t="b">
        <f>if(countif(Status!C:C,A699)=1,TRUE, FALSE)</f>
        <v>1</v>
      </c>
      <c r="G699" s="23" t="str">
        <f>'2.4.raw'!AQ699</f>
        <v>Sample collected by Suvankar</v>
      </c>
    </row>
    <row r="700">
      <c r="A700" s="23" t="str">
        <f t="shared" si="2"/>
        <v>MO1177</v>
      </c>
      <c r="B700" s="23" t="str">
        <f>'2.4.raw'!L700</f>
        <v>MO1177</v>
      </c>
      <c r="C700" s="24">
        <f>datevalue(left('2.4.raw'!A700,10))</f>
        <v>43873</v>
      </c>
      <c r="D700" s="23">
        <f>'2.4.raw'!G700</f>
        <v>12</v>
      </c>
      <c r="E700" s="1">
        <v>2.39999999999999</v>
      </c>
      <c r="F700" s="23" t="b">
        <f>if(countif(Status!C:C,A700)=1,TRUE, FALSE)</f>
        <v>1</v>
      </c>
      <c r="G700" s="23" t="str">
        <f>'2.4.raw'!AQ700</f>
        <v>Sample collected by Biplab</v>
      </c>
    </row>
    <row r="701">
      <c r="A701" s="23" t="str">
        <f t="shared" si="2"/>
        <v>FB1332</v>
      </c>
      <c r="B701" s="23" t="str">
        <f>'2.4.raw'!L701</f>
        <v>FB1332</v>
      </c>
      <c r="C701" s="24">
        <f>datevalue(left('2.4.raw'!A701,10))</f>
        <v>43873</v>
      </c>
      <c r="D701" s="23">
        <f>'2.4.raw'!G701</f>
        <v>99</v>
      </c>
      <c r="E701" s="1">
        <v>2.39999999999999</v>
      </c>
      <c r="F701" s="23" t="b">
        <f>if(countif(Status!C:C,A701)=1,TRUE, FALSE)</f>
        <v>1</v>
      </c>
      <c r="G701" s="23" t="str">
        <f>'2.4.raw'!AQ701</f>
        <v>Sample collected by Suvankar, FB at MO1177 site</v>
      </c>
    </row>
    <row r="702">
      <c r="A702" s="23" t="str">
        <f t="shared" si="2"/>
        <v>MO1178</v>
      </c>
      <c r="B702" s="23" t="str">
        <f>'2.4.raw'!L702</f>
        <v>MO1178</v>
      </c>
      <c r="C702" s="24">
        <f>datevalue(left('2.4.raw'!A702,10))</f>
        <v>43874</v>
      </c>
      <c r="D702" s="23">
        <f>'2.4.raw'!G702</f>
        <v>12</v>
      </c>
      <c r="E702" s="1">
        <v>2.39999999999999</v>
      </c>
      <c r="F702" s="23" t="b">
        <f>if(countif(Status!C:C,A702)=1,TRUE, FALSE)</f>
        <v>1</v>
      </c>
      <c r="G702" s="23" t="str">
        <f>'2.4.raw'!AQ702</f>
        <v>Sample collected by Suvankar, One Moore was collected</v>
      </c>
    </row>
    <row r="703">
      <c r="A703" s="23" t="str">
        <f t="shared" si="2"/>
        <v>FB1338</v>
      </c>
      <c r="B703" s="23" t="str">
        <f>'2.4.raw'!L703</f>
        <v>FB1338</v>
      </c>
      <c r="C703" s="24">
        <f>datevalue(left('2.4.raw'!A703,10))</f>
        <v>43874</v>
      </c>
      <c r="D703" s="23">
        <f>'2.4.raw'!G703</f>
        <v>99</v>
      </c>
      <c r="E703" s="1">
        <v>2.39999999999999</v>
      </c>
      <c r="F703" s="23" t="b">
        <f>if(countif(Status!C:C,A703)=1,TRUE, FALSE)</f>
        <v>1</v>
      </c>
      <c r="G703" s="23" t="str">
        <f>'2.4.raw'!AQ703</f>
        <v>Sample collected by Suvankar, FB at MO1178 site</v>
      </c>
    </row>
    <row r="704">
      <c r="A704" s="23" t="str">
        <f t="shared" si="2"/>
        <v>MO1179</v>
      </c>
      <c r="B704" s="23" t="str">
        <f>'2.4.raw'!L704</f>
        <v>MO1179</v>
      </c>
      <c r="C704" s="24">
        <f>datevalue(left('2.4.raw'!A704,10))</f>
        <v>43874</v>
      </c>
      <c r="D704" s="23">
        <f>'2.4.raw'!G704</f>
        <v>12</v>
      </c>
      <c r="E704" s="1">
        <v>2.39999999999999</v>
      </c>
      <c r="F704" s="23" t="b">
        <f>if(countif(Status!C:C,A704)=1,TRUE, FALSE)</f>
        <v>1</v>
      </c>
      <c r="G704" s="23" t="str">
        <f>'2.4.raw'!AQ704</f>
        <v>Sample collected by Asish</v>
      </c>
    </row>
    <row r="705">
      <c r="A705" s="23" t="str">
        <f t="shared" si="2"/>
        <v>FB1339</v>
      </c>
      <c r="B705" s="23" t="str">
        <f>'2.4.raw'!L705</f>
        <v>FB1339</v>
      </c>
      <c r="C705" s="24">
        <f>datevalue(left('2.4.raw'!A705,10))</f>
        <v>43874</v>
      </c>
      <c r="D705" s="23">
        <f>'2.4.raw'!G705</f>
        <v>99</v>
      </c>
      <c r="E705" s="1">
        <v>2.39999999999999</v>
      </c>
      <c r="F705" s="23" t="b">
        <f>if(countif(Status!C:C,A705)=1,TRUE, FALSE)</f>
        <v>1</v>
      </c>
      <c r="G705" s="23" t="str">
        <f>'2.4.raw'!AQ705</f>
        <v>Sample collected by Asish, FB at MO1179 site</v>
      </c>
    </row>
    <row r="706">
      <c r="A706" s="23" t="str">
        <f t="shared" si="2"/>
        <v>MO1180</v>
      </c>
      <c r="B706" s="23" t="str">
        <f>'2.4.raw'!L706</f>
        <v>MO1180</v>
      </c>
      <c r="C706" s="24">
        <f>datevalue(left('2.4.raw'!A706,10))</f>
        <v>43874</v>
      </c>
      <c r="D706" s="23">
        <f>'2.4.raw'!G706</f>
        <v>12</v>
      </c>
      <c r="E706" s="1">
        <v>2.39999999999999</v>
      </c>
      <c r="F706" s="23" t="b">
        <f>if(countif(Status!C:C,A706)=1,TRUE, FALSE)</f>
        <v>1</v>
      </c>
      <c r="G706" s="23" t="str">
        <f>'2.4.raw'!AQ706</f>
        <v>Sample collected by Biplab</v>
      </c>
    </row>
    <row r="707">
      <c r="A707" s="23" t="str">
        <f t="shared" si="2"/>
        <v>FB1340</v>
      </c>
      <c r="B707" s="23" t="str">
        <f>'2.4.raw'!L707</f>
        <v>FB1340</v>
      </c>
      <c r="C707" s="24">
        <f>datevalue(left('2.4.raw'!A707,10))</f>
        <v>43874</v>
      </c>
      <c r="D707" s="23">
        <f>'2.4.raw'!G707</f>
        <v>99</v>
      </c>
      <c r="E707" s="1">
        <v>2.39999999999999</v>
      </c>
      <c r="F707" s="23" t="b">
        <f>if(countif(Status!C:C,A707)=1,TRUE, FALSE)</f>
        <v>1</v>
      </c>
      <c r="G707" s="23" t="str">
        <f>'2.4.raw'!AQ707</f>
        <v>Sample collected by Biplab, FB at MO1180 site</v>
      </c>
    </row>
    <row r="708">
      <c r="A708" s="23" t="str">
        <f t="shared" si="2"/>
        <v>PLc1196</v>
      </c>
      <c r="B708" s="23" t="str">
        <f>'2.4.raw'!L708</f>
        <v>PLc1196</v>
      </c>
      <c r="C708" s="24">
        <f>datevalue(left('2.4.raw'!A708,10))</f>
        <v>43874</v>
      </c>
      <c r="D708" s="23">
        <f>'2.4.raw'!G708</f>
        <v>11</v>
      </c>
      <c r="E708" s="1">
        <v>2.39999999999999</v>
      </c>
      <c r="F708" s="23" t="b">
        <f>if(countif(Status!C:C,A708)=1,TRUE, FALSE)</f>
        <v>1</v>
      </c>
      <c r="G708" s="23" t="str">
        <f>'2.4.raw'!AQ708</f>
        <v>Sample collected by Asish</v>
      </c>
    </row>
    <row r="709">
      <c r="A709" s="23" t="str">
        <f t="shared" si="2"/>
        <v>FB1341</v>
      </c>
      <c r="B709" s="23" t="str">
        <f>'2.4.raw'!L709</f>
        <v>FB1341</v>
      </c>
      <c r="C709" s="24">
        <f>datevalue(left('2.4.raw'!A709,10))</f>
        <v>43874</v>
      </c>
      <c r="D709" s="23">
        <f>'2.4.raw'!G709</f>
        <v>99</v>
      </c>
      <c r="E709" s="1">
        <v>2.39999999999999</v>
      </c>
      <c r="F709" s="23" t="b">
        <f>if(countif(Status!C:C,A709)=1,TRUE, FALSE)</f>
        <v>1</v>
      </c>
      <c r="G709" s="23" t="str">
        <f>'2.4.raw'!AQ709</f>
        <v>Sample collected by Asish, FB at PLc1196 site</v>
      </c>
    </row>
    <row r="710">
      <c r="A710" s="23" t="str">
        <f t="shared" si="2"/>
        <v>PLc1197</v>
      </c>
      <c r="B710" s="23" t="str">
        <f>'2.4.raw'!L710</f>
        <v>PLc1197</v>
      </c>
      <c r="C710" s="24">
        <f>datevalue(left('2.4.raw'!A710,10))</f>
        <v>43874</v>
      </c>
      <c r="D710" s="23">
        <f>'2.4.raw'!G710</f>
        <v>11</v>
      </c>
      <c r="E710" s="1">
        <v>2.39999999999999</v>
      </c>
      <c r="F710" s="23" t="b">
        <f>if(countif(Status!C:C,A710)=1,TRUE, FALSE)</f>
        <v>1</v>
      </c>
      <c r="G710" s="23" t="str">
        <f>'2.4.raw'!AQ710</f>
        <v>Sample collected by Suvankar</v>
      </c>
    </row>
    <row r="711">
      <c r="A711" s="23" t="str">
        <f t="shared" si="2"/>
        <v>FB1342</v>
      </c>
      <c r="B711" s="23" t="str">
        <f>'2.4.raw'!L711</f>
        <v>FB1342</v>
      </c>
      <c r="C711" s="24">
        <f>datevalue(left('2.4.raw'!A711,10))</f>
        <v>43874</v>
      </c>
      <c r="D711" s="23">
        <f>'2.4.raw'!G711</f>
        <v>99</v>
      </c>
      <c r="E711" s="1">
        <v>2.39999999999999</v>
      </c>
      <c r="F711" s="23" t="b">
        <f>if(countif(Status!C:C,A711)=1,TRUE, FALSE)</f>
        <v>1</v>
      </c>
      <c r="G711" s="23" t="str">
        <f>'2.4.raw'!AQ711</f>
        <v>Sample collected by Suvankar</v>
      </c>
    </row>
    <row r="712">
      <c r="A712" s="23" t="str">
        <f t="shared" si="2"/>
        <v>PLc1198</v>
      </c>
      <c r="B712" s="23" t="str">
        <f>'2.4.raw'!L712</f>
        <v>PLc1198</v>
      </c>
      <c r="C712" s="24">
        <f>datevalue(left('2.4.raw'!A712,10))</f>
        <v>43874</v>
      </c>
      <c r="D712" s="23">
        <f>'2.4.raw'!G712</f>
        <v>11</v>
      </c>
      <c r="E712" s="1">
        <v>2.39999999999999</v>
      </c>
      <c r="F712" s="23" t="b">
        <f>if(countif(Status!C:C,A712)=1,TRUE, FALSE)</f>
        <v>1</v>
      </c>
      <c r="G712" s="23" t="str">
        <f>'2.4.raw'!AQ712</f>
        <v>Sample collected by Biplab</v>
      </c>
    </row>
    <row r="713">
      <c r="A713" s="23" t="str">
        <f t="shared" si="2"/>
        <v>FB1343</v>
      </c>
      <c r="B713" s="23" t="str">
        <f>'2.4.raw'!L713</f>
        <v>FB1343</v>
      </c>
      <c r="C713" s="24">
        <f>datevalue(left('2.4.raw'!A713,10))</f>
        <v>43874</v>
      </c>
      <c r="D713" s="23">
        <f>'2.4.raw'!G713</f>
        <v>99</v>
      </c>
      <c r="E713" s="1">
        <v>2.39999999999999</v>
      </c>
      <c r="F713" s="23" t="b">
        <f>if(countif(Status!C:C,A713)=1,TRUE, FALSE)</f>
        <v>1</v>
      </c>
      <c r="G713" s="23" t="str">
        <f>'2.4.raw'!AQ713</f>
        <v>Sample collected by Biplab, FB at PLc1198 site</v>
      </c>
    </row>
    <row r="714">
      <c r="A714" s="23" t="str">
        <f t="shared" si="2"/>
        <v>PLc1199</v>
      </c>
      <c r="B714" s="23" t="str">
        <f>'2.4.raw'!L714</f>
        <v>PLc1199</v>
      </c>
      <c r="C714" s="24">
        <f>datevalue(left('2.4.raw'!A714,10))</f>
        <v>43878</v>
      </c>
      <c r="D714" s="23">
        <f>'2.4.raw'!G714</f>
        <v>11</v>
      </c>
      <c r="E714" s="1">
        <v>2.39999999999999</v>
      </c>
      <c r="F714" s="23" t="b">
        <f>if(countif(Status!C:C,A714)=1,TRUE, FALSE)</f>
        <v>1</v>
      </c>
      <c r="G714" s="23" t="str">
        <f>'2.4.raw'!AQ714</f>
        <v>Sample collected by Somnath Sarkar</v>
      </c>
    </row>
    <row r="715">
      <c r="A715" s="23" t="str">
        <f t="shared" si="2"/>
        <v>FB1344</v>
      </c>
      <c r="B715" s="23" t="str">
        <f>'2.4.raw'!L715</f>
        <v>FB1344</v>
      </c>
      <c r="C715" s="24">
        <f>datevalue(left('2.4.raw'!A715,10))</f>
        <v>43878</v>
      </c>
      <c r="D715" s="23">
        <f>'2.4.raw'!G715</f>
        <v>99</v>
      </c>
      <c r="E715" s="1">
        <v>2.39999999999999</v>
      </c>
      <c r="F715" s="23" t="b">
        <f>if(countif(Status!C:C,A715)=1,TRUE, FALSE)</f>
        <v>1</v>
      </c>
      <c r="G715" s="23" t="str">
        <f>'2.4.raw'!AQ715</f>
        <v>Sample collected by Somnath Sarkar, FB at PLc1199 site</v>
      </c>
    </row>
    <row r="716">
      <c r="A716" s="23" t="str">
        <f t="shared" si="2"/>
        <v>PLc1200</v>
      </c>
      <c r="B716" s="23" t="str">
        <f>'2.4.raw'!L716</f>
        <v>PLc1200</v>
      </c>
      <c r="C716" s="24">
        <f>datevalue(left('2.4.raw'!A716,10))</f>
        <v>43878</v>
      </c>
      <c r="D716" s="23">
        <f>'2.4.raw'!G716</f>
        <v>11</v>
      </c>
      <c r="E716" s="1">
        <v>2.39999999999999</v>
      </c>
      <c r="F716" s="23" t="b">
        <f>if(countif(Status!C:C,A716)=1,TRUE, FALSE)</f>
        <v>1</v>
      </c>
      <c r="G716" s="23" t="str">
        <f>'2.4.raw'!AQ716</f>
        <v>Sample collected by Buddhadeb Samaddar</v>
      </c>
    </row>
    <row r="717">
      <c r="A717" s="23" t="str">
        <f t="shared" si="2"/>
        <v>FB1345</v>
      </c>
      <c r="B717" s="23" t="str">
        <f>'2.4.raw'!L717</f>
        <v>FB1345</v>
      </c>
      <c r="C717" s="24">
        <f>datevalue(left('2.4.raw'!A717,10))</f>
        <v>43878</v>
      </c>
      <c r="D717" s="23">
        <f>'2.4.raw'!G717</f>
        <v>99</v>
      </c>
      <c r="E717" s="1">
        <v>2.39999999999999</v>
      </c>
      <c r="F717" s="23" t="b">
        <f>if(countif(Status!C:C,A717)=1,TRUE, FALSE)</f>
        <v>1</v>
      </c>
      <c r="G717" s="23" t="str">
        <f>'2.4.raw'!AQ717</f>
        <v>Sample collected by Buddhadeb Samaddar, FB at PLc1200 site</v>
      </c>
    </row>
    <row r="718">
      <c r="A718" s="23" t="str">
        <f t="shared" si="2"/>
        <v>PLc1201</v>
      </c>
      <c r="B718" s="23" t="str">
        <f>'2.4.raw'!L718</f>
        <v>PLc1201</v>
      </c>
      <c r="C718" s="24">
        <f>datevalue(left('2.4.raw'!A718,10))</f>
        <v>43878</v>
      </c>
      <c r="D718" s="23">
        <f>'2.4.raw'!G718</f>
        <v>11</v>
      </c>
      <c r="E718" s="1">
        <v>2.39999999999999</v>
      </c>
      <c r="F718" s="23" t="b">
        <f>if(countif(Status!C:C,A718)=1,TRUE, FALSE)</f>
        <v>1</v>
      </c>
      <c r="G718" s="23" t="str">
        <f>'2.4.raw'!AQ718</f>
        <v>Sample collected by Somnath Sarkar</v>
      </c>
    </row>
    <row r="719">
      <c r="A719" s="23" t="str">
        <f t="shared" si="2"/>
        <v>FB1346</v>
      </c>
      <c r="B719" s="23" t="str">
        <f>'2.4.raw'!L719</f>
        <v>FB1346</v>
      </c>
      <c r="C719" s="24">
        <f>datevalue(left('2.4.raw'!A719,10))</f>
        <v>43878</v>
      </c>
      <c r="D719" s="23">
        <f>'2.4.raw'!G719</f>
        <v>99</v>
      </c>
      <c r="E719" s="1">
        <v>2.39999999999999</v>
      </c>
      <c r="F719" s="23" t="b">
        <f>if(countif(Status!C:C,A719)=1,TRUE, FALSE)</f>
        <v>1</v>
      </c>
      <c r="G719" s="23" t="str">
        <f>'2.4.raw'!AQ719</f>
        <v>Sample collected by Somnath Sarkar, FB at PLc1201 site</v>
      </c>
    </row>
    <row r="720">
      <c r="A720" s="23" t="str">
        <f t="shared" si="2"/>
        <v>PLc1202</v>
      </c>
      <c r="B720" s="23" t="str">
        <f>'2.4.raw'!L720</f>
        <v>PLc1202</v>
      </c>
      <c r="C720" s="24">
        <f>datevalue(left('2.4.raw'!A720,10))</f>
        <v>43878</v>
      </c>
      <c r="D720" s="23">
        <f>'2.4.raw'!G720</f>
        <v>11</v>
      </c>
      <c r="E720" s="1">
        <v>2.39999999999999</v>
      </c>
      <c r="F720" s="23" t="b">
        <f>if(countif(Status!C:C,A720)=1,TRUE, FALSE)</f>
        <v>1</v>
      </c>
      <c r="G720" s="23" t="str">
        <f>'2.4.raw'!AQ720</f>
        <v>Sample collected by Biplab Jash</v>
      </c>
    </row>
    <row r="721">
      <c r="A721" s="23" t="str">
        <f t="shared" si="2"/>
        <v>FB1347</v>
      </c>
      <c r="B721" s="23" t="str">
        <f>'2.4.raw'!L721</f>
        <v>FB1347</v>
      </c>
      <c r="C721" s="24">
        <f>datevalue(left('2.4.raw'!A721,10))</f>
        <v>43878</v>
      </c>
      <c r="D721" s="23">
        <f>'2.4.raw'!G721</f>
        <v>99</v>
      </c>
      <c r="E721" s="1">
        <v>2.39999999999999</v>
      </c>
      <c r="F721" s="23" t="b">
        <f>if(countif(Status!C:C,A721)=1,TRUE, FALSE)</f>
        <v>1</v>
      </c>
      <c r="G721" s="23" t="str">
        <f>'2.4.raw'!AQ721</f>
        <v>Sample collected by Biplab Jash, FB at PLc1202 site</v>
      </c>
    </row>
    <row r="722">
      <c r="A722" s="23" t="str">
        <f t="shared" si="2"/>
        <v>PLc1203</v>
      </c>
      <c r="B722" s="23" t="str">
        <f>'2.4.raw'!L722</f>
        <v>PLc1203</v>
      </c>
      <c r="C722" s="24">
        <f>datevalue(left('2.4.raw'!A722,10))</f>
        <v>43878</v>
      </c>
      <c r="D722" s="23">
        <f>'2.4.raw'!G722</f>
        <v>11</v>
      </c>
      <c r="E722" s="1">
        <v>2.39999999999999</v>
      </c>
      <c r="F722" s="23" t="b">
        <f>if(countif(Status!C:C,A722)=1,TRUE, FALSE)</f>
        <v>1</v>
      </c>
      <c r="G722" s="23" t="str">
        <f>'2.4.raw'!AQ722</f>
        <v>Sample collected by Debabrata Maity</v>
      </c>
    </row>
    <row r="723">
      <c r="A723" s="23" t="str">
        <f t="shared" si="2"/>
        <v>FB1348</v>
      </c>
      <c r="B723" s="23" t="str">
        <f>'2.4.raw'!L723</f>
        <v>FB1348</v>
      </c>
      <c r="C723" s="24">
        <f>datevalue(left('2.4.raw'!A723,10))</f>
        <v>43878</v>
      </c>
      <c r="D723" s="23">
        <f>'2.4.raw'!G723</f>
        <v>99</v>
      </c>
      <c r="E723" s="1">
        <v>2.39999999999999</v>
      </c>
      <c r="F723" s="23" t="b">
        <f>if(countif(Status!C:C,A723)=1,TRUE, FALSE)</f>
        <v>1</v>
      </c>
      <c r="G723" s="23" t="str">
        <f>'2.4.raw'!AQ723</f>
        <v>Sample collected by Debabrata Maity, FB at PLc1203 site</v>
      </c>
    </row>
    <row r="724">
      <c r="A724" s="23" t="str">
        <f t="shared" si="2"/>
        <v>MO1181</v>
      </c>
      <c r="B724" s="23" t="str">
        <f>'2.4.raw'!L724</f>
        <v>MO1181</v>
      </c>
      <c r="C724" s="24">
        <f>datevalue(left('2.4.raw'!A724,10))</f>
        <v>43879</v>
      </c>
      <c r="D724" s="23">
        <f>'2.4.raw'!G724</f>
        <v>12</v>
      </c>
      <c r="E724" s="1">
        <v>2.39999999999999</v>
      </c>
      <c r="F724" s="23" t="b">
        <f>if(countif(Status!C:C,A724)=1,TRUE, FALSE)</f>
        <v>1</v>
      </c>
      <c r="G724" s="23" t="str">
        <f>'2.4.raw'!AQ724</f>
        <v>Sample collected by Somnath Sarkar</v>
      </c>
    </row>
    <row r="725">
      <c r="A725" s="23" t="str">
        <f t="shared" si="2"/>
        <v>FB1351</v>
      </c>
      <c r="B725" s="23" t="str">
        <f>'2.4.raw'!L725</f>
        <v>FB1351</v>
      </c>
      <c r="C725" s="24">
        <f>datevalue(left('2.4.raw'!A725,10))</f>
        <v>43879</v>
      </c>
      <c r="D725" s="23">
        <f>'2.4.raw'!G725</f>
        <v>99</v>
      </c>
      <c r="E725" s="1">
        <v>2.39999999999999</v>
      </c>
      <c r="F725" s="23" t="b">
        <f>if(countif(Status!C:C,A725)=1,TRUE, FALSE)</f>
        <v>1</v>
      </c>
      <c r="G725" s="23" t="str">
        <f>'2.4.raw'!AQ725</f>
        <v>Sample collected by Somnath Sarkar, FB at MO1181 site</v>
      </c>
    </row>
    <row r="726">
      <c r="A726" s="23" t="str">
        <f t="shared" si="2"/>
        <v>MO1182</v>
      </c>
      <c r="B726" s="23" t="str">
        <f>'2.4.raw'!L726</f>
        <v>MO1182</v>
      </c>
      <c r="C726" s="24">
        <f>datevalue(left('2.4.raw'!A726,10))</f>
        <v>43879</v>
      </c>
      <c r="D726" s="23">
        <f>'2.4.raw'!G726</f>
        <v>12</v>
      </c>
      <c r="E726" s="1">
        <v>2.39999999999999</v>
      </c>
      <c r="F726" s="23" t="b">
        <f>if(countif(Status!C:C,A726)=1,TRUE, FALSE)</f>
        <v>1</v>
      </c>
      <c r="G726" s="23" t="str">
        <f>'2.4.raw'!AQ726</f>
        <v>Sample collected by Buddhadeb Samaddar</v>
      </c>
    </row>
    <row r="727">
      <c r="A727" s="23" t="str">
        <f t="shared" si="2"/>
        <v>FB1352</v>
      </c>
      <c r="B727" s="23" t="str">
        <f>'2.4.raw'!L727</f>
        <v>FB1352</v>
      </c>
      <c r="C727" s="24">
        <f>datevalue(left('2.4.raw'!A727,10))</f>
        <v>43879</v>
      </c>
      <c r="D727" s="23">
        <f>'2.4.raw'!G727</f>
        <v>99</v>
      </c>
      <c r="E727" s="1">
        <v>2.39999999999999</v>
      </c>
      <c r="F727" s="23" t="b">
        <f>if(countif(Status!C:C,A727)=1,TRUE, FALSE)</f>
        <v>1</v>
      </c>
      <c r="G727" s="23" t="str">
        <f>'2.4.raw'!AQ727</f>
        <v>Sample collected by Buddhadeb Samaddar, FB at MO1182 site</v>
      </c>
    </row>
    <row r="728">
      <c r="A728" s="23" t="str">
        <f t="shared" si="2"/>
        <v>UF1023</v>
      </c>
      <c r="B728" s="23" t="str">
        <f>'2.4.raw'!L728</f>
        <v>UF1023</v>
      </c>
      <c r="C728" s="24">
        <f>datevalue(left('2.4.raw'!A728,10))</f>
        <v>43879</v>
      </c>
      <c r="D728" s="23">
        <f>'2.4.raw'!G728</f>
        <v>11</v>
      </c>
      <c r="E728" s="1">
        <v>2.39999999999999</v>
      </c>
      <c r="F728" s="23" t="b">
        <f>if(countif(Status!C:C,A728)=1,TRUE, FALSE)</f>
        <v>1</v>
      </c>
      <c r="G728" s="23" t="str">
        <f>'2.4.raw'!AQ728</f>
        <v>Sample collected by Somnath Sarkar</v>
      </c>
    </row>
    <row r="729">
      <c r="A729" s="23" t="str">
        <f t="shared" si="2"/>
        <v>MO1183</v>
      </c>
      <c r="B729" s="23" t="str">
        <f>'2.4.raw'!L729</f>
        <v>MO1183</v>
      </c>
      <c r="C729" s="24">
        <f>datevalue(left('2.4.raw'!A729,10))</f>
        <v>43879</v>
      </c>
      <c r="D729" s="23">
        <f>'2.4.raw'!G729</f>
        <v>12</v>
      </c>
      <c r="E729" s="1">
        <v>2.39999999999999</v>
      </c>
      <c r="F729" s="23" t="b">
        <f>if(countif(Status!C:C,A729)=1,TRUE, FALSE)</f>
        <v>1</v>
      </c>
      <c r="G729" s="23" t="str">
        <f>'2.4.raw'!AQ729</f>
        <v>Sample collected by Debabrata Maity</v>
      </c>
    </row>
    <row r="730">
      <c r="A730" s="23" t="str">
        <f t="shared" si="2"/>
        <v>FB1353</v>
      </c>
      <c r="B730" s="23" t="str">
        <f>'2.4.raw'!L730</f>
        <v>FB1353</v>
      </c>
      <c r="C730" s="24">
        <f>datevalue(left('2.4.raw'!A730,10))</f>
        <v>43879</v>
      </c>
      <c r="D730" s="23">
        <f>'2.4.raw'!G730</f>
        <v>99</v>
      </c>
      <c r="E730" s="1">
        <v>2.39999999999999</v>
      </c>
      <c r="F730" s="23" t="b">
        <f>if(countif(Status!C:C,A730)=1,TRUE, FALSE)</f>
        <v>1</v>
      </c>
      <c r="G730" s="23" t="str">
        <f>'2.4.raw'!AQ730</f>
        <v>Sample collected by Debabrata Maity, FB at MO1183 site</v>
      </c>
    </row>
    <row r="731">
      <c r="A731" s="23" t="str">
        <f t="shared" si="2"/>
        <v>MO1184</v>
      </c>
      <c r="B731" s="23" t="str">
        <f>'2.4.raw'!L731</f>
        <v>MO1184</v>
      </c>
      <c r="C731" s="24">
        <f>datevalue(left('2.4.raw'!A731,10))</f>
        <v>43879</v>
      </c>
      <c r="D731" s="23">
        <f>'2.4.raw'!G731</f>
        <v>12</v>
      </c>
      <c r="E731" s="1">
        <v>2.39999999999999</v>
      </c>
      <c r="F731" s="23" t="b">
        <f>if(countif(Status!C:C,A731)=1,TRUE, FALSE)</f>
        <v>1</v>
      </c>
      <c r="G731" s="23" t="str">
        <f>'2.4.raw'!AQ731</f>
        <v>Sample collected by Buddhadeb Samaddar</v>
      </c>
    </row>
    <row r="732">
      <c r="A732" s="23" t="str">
        <f t="shared" si="2"/>
        <v>FB1354</v>
      </c>
      <c r="B732" s="23" t="str">
        <f>'2.4.raw'!L732</f>
        <v>FB1354</v>
      </c>
      <c r="C732" s="24">
        <f>datevalue(left('2.4.raw'!A732,10))</f>
        <v>43879</v>
      </c>
      <c r="D732" s="23">
        <f>'2.4.raw'!G732</f>
        <v>99</v>
      </c>
      <c r="E732" s="1">
        <v>2.39999999999999</v>
      </c>
      <c r="F732" s="23" t="b">
        <f>if(countif(Status!C:C,A732)=1,TRUE, FALSE)</f>
        <v>1</v>
      </c>
      <c r="G732" s="23" t="str">
        <f>'2.4.raw'!AQ732</f>
        <v>Sample collected by Buddhadeb Samaddar, FB at MO1184 site</v>
      </c>
    </row>
    <row r="733">
      <c r="A733" s="23" t="str">
        <f t="shared" si="2"/>
        <v>MO1185</v>
      </c>
      <c r="B733" s="23" t="str">
        <f>'2.4.raw'!L733</f>
        <v>MO1185</v>
      </c>
      <c r="C733" s="24">
        <f>datevalue(left('2.4.raw'!A733,10))</f>
        <v>43880</v>
      </c>
      <c r="D733" s="23">
        <f>'2.4.raw'!G733</f>
        <v>12</v>
      </c>
      <c r="E733" s="1">
        <v>2.39999999999999</v>
      </c>
      <c r="F733" s="23" t="b">
        <f>if(countif(Status!C:C,A733)=1,TRUE, FALSE)</f>
        <v>1</v>
      </c>
      <c r="G733" s="23" t="str">
        <f>'2.4.raw'!AQ733</f>
        <v>Sample collected by Biplab Jash</v>
      </c>
    </row>
    <row r="734">
      <c r="A734" s="23" t="str">
        <f t="shared" si="2"/>
        <v>FB1357</v>
      </c>
      <c r="B734" s="23" t="str">
        <f>'2.4.raw'!L734</f>
        <v>FB1357</v>
      </c>
      <c r="C734" s="24">
        <f>datevalue(left('2.4.raw'!A734,10))</f>
        <v>43880</v>
      </c>
      <c r="D734" s="23">
        <f>'2.4.raw'!G734</f>
        <v>99</v>
      </c>
      <c r="E734" s="1">
        <v>2.39999999999999</v>
      </c>
      <c r="F734" s="23" t="b">
        <f>if(countif(Status!C:C,A734)=1,TRUE, FALSE)</f>
        <v>1</v>
      </c>
      <c r="G734" s="23" t="str">
        <f>'2.4.raw'!AQ734</f>
        <v>Sample collected by Biplab Jash, FB at MO1185 site</v>
      </c>
    </row>
    <row r="735">
      <c r="A735" s="23" t="str">
        <f t="shared" si="2"/>
        <v>MO1186</v>
      </c>
      <c r="B735" s="23" t="str">
        <f>'2.4.raw'!L735</f>
        <v>MO1186</v>
      </c>
      <c r="C735" s="24">
        <f>datevalue(left('2.4.raw'!A735,10))</f>
        <v>43880</v>
      </c>
      <c r="D735" s="23">
        <f>'2.4.raw'!G735</f>
        <v>12</v>
      </c>
      <c r="E735" s="1">
        <v>2.39999999999999</v>
      </c>
      <c r="F735" s="23" t="b">
        <f>if(countif(Status!C:C,A735)=1,TRUE, FALSE)</f>
        <v>1</v>
      </c>
      <c r="G735" s="23" t="str">
        <f>'2.4.raw'!AQ735</f>
        <v>Sample collected by Somnath Sarkar</v>
      </c>
    </row>
    <row r="736">
      <c r="A736" s="23" t="str">
        <f t="shared" si="2"/>
        <v>FB1358</v>
      </c>
      <c r="B736" s="23" t="str">
        <f>'2.4.raw'!L736</f>
        <v>FB1358</v>
      </c>
      <c r="C736" s="24">
        <f>datevalue(left('2.4.raw'!A736,10))</f>
        <v>43880</v>
      </c>
      <c r="D736" s="23">
        <f>'2.4.raw'!G736</f>
        <v>99</v>
      </c>
      <c r="E736" s="1">
        <v>2.39999999999999</v>
      </c>
      <c r="F736" s="23" t="b">
        <f>if(countif(Status!C:C,A736)=1,TRUE, FALSE)</f>
        <v>1</v>
      </c>
      <c r="G736" s="23" t="str">
        <f>'2.4.raw'!AQ736</f>
        <v>Sample collected by Somnath Sarkar, FB at MO1186 site</v>
      </c>
    </row>
    <row r="737">
      <c r="A737" s="23" t="str">
        <f t="shared" si="2"/>
        <v>MO1187</v>
      </c>
      <c r="B737" s="23" t="str">
        <f>'2.4.raw'!L737</f>
        <v>MO1187</v>
      </c>
      <c r="C737" s="24">
        <f>datevalue(left('2.4.raw'!A737,10))</f>
        <v>43880</v>
      </c>
      <c r="D737" s="23">
        <f>'2.4.raw'!G737</f>
        <v>12</v>
      </c>
      <c r="E737" s="1">
        <v>2.39999999999999</v>
      </c>
      <c r="F737" s="23" t="b">
        <f>if(countif(Status!C:C,A737)=1,TRUE, FALSE)</f>
        <v>1</v>
      </c>
      <c r="G737" s="23" t="str">
        <f>'2.4.raw'!AQ737</f>
        <v>Sample collected by Biplab Jash, PS at SDDM</v>
      </c>
    </row>
    <row r="738">
      <c r="A738" s="23" t="str">
        <f t="shared" si="2"/>
        <v>FB1359</v>
      </c>
      <c r="B738" s="23" t="str">
        <f>'2.4.raw'!L738</f>
        <v>FB1359</v>
      </c>
      <c r="C738" s="24">
        <f>datevalue(left('2.4.raw'!A738,10))</f>
        <v>43880</v>
      </c>
      <c r="D738" s="23">
        <f>'2.4.raw'!G738</f>
        <v>99</v>
      </c>
      <c r="E738" s="1">
        <v>2.39999999999999</v>
      </c>
      <c r="F738" s="23" t="b">
        <f>if(countif(Status!C:C,A738)=1,TRUE, FALSE)</f>
        <v>1</v>
      </c>
      <c r="G738" s="23" t="str">
        <f>'2.4.raw'!AQ738</f>
        <v>Sample collected by Biplab Jash, FB at MO1187 site at ward no SDDM 29</v>
      </c>
    </row>
    <row r="739">
      <c r="A739" s="23" t="str">
        <f t="shared" si="2"/>
        <v>PL1026</v>
      </c>
      <c r="B739" s="23" t="str">
        <f>'2.4.raw'!L739</f>
        <v>PL1026</v>
      </c>
      <c r="C739" s="24">
        <f>datevalue(left('2.4.raw'!A739,10))</f>
        <v>43880</v>
      </c>
      <c r="D739" s="23">
        <f>'2.4.raw'!G739</f>
        <v>11</v>
      </c>
      <c r="E739" s="1">
        <v>2.39999999999999</v>
      </c>
      <c r="F739" s="23" t="b">
        <f>if(countif(Status!C:C,A739)=1,TRUE, FALSE)</f>
        <v>1</v>
      </c>
      <c r="G739" s="23" t="str">
        <f>'2.4.raw'!AQ739</f>
        <v>Sample collected by Somnath Sarkar</v>
      </c>
    </row>
    <row r="740">
      <c r="A740" s="23" t="str">
        <f t="shared" si="2"/>
        <v>FB1355</v>
      </c>
      <c r="B740" s="23" t="str">
        <f>'2.4.raw'!L740</f>
        <v>FB1355</v>
      </c>
      <c r="C740" s="24">
        <f>datevalue(left('2.4.raw'!A740,10))</f>
        <v>43880</v>
      </c>
      <c r="D740" s="23">
        <f>'2.4.raw'!G740</f>
        <v>99</v>
      </c>
      <c r="E740" s="1">
        <v>2.39999999999999</v>
      </c>
      <c r="F740" s="23" t="b">
        <f>if(countif(Status!C:C,A740)=1,TRUE, FALSE)</f>
        <v>1</v>
      </c>
      <c r="G740" s="23" t="str">
        <f>'2.4.raw'!AQ740</f>
        <v>Sample collected by Somnath Sarkar, FB at PL1026 site</v>
      </c>
    </row>
    <row r="741">
      <c r="A741" s="23" t="str">
        <f t="shared" si="2"/>
        <v>PL1027</v>
      </c>
      <c r="B741" s="23" t="str">
        <f>'2.4.raw'!L741</f>
        <v>PL1027</v>
      </c>
      <c r="C741" s="24">
        <f>datevalue(left('2.4.raw'!A741,10))</f>
        <v>43880</v>
      </c>
      <c r="D741" s="23">
        <f>'2.4.raw'!G741</f>
        <v>11</v>
      </c>
      <c r="E741" s="1">
        <v>2.39999999999999</v>
      </c>
      <c r="F741" s="23" t="b">
        <f>if(countif(Status!C:C,A741)=1,TRUE, FALSE)</f>
        <v>1</v>
      </c>
      <c r="G741" s="23" t="str">
        <f>'2.4.raw'!AQ741</f>
        <v>Sample collected by Biplab Jash</v>
      </c>
    </row>
    <row r="742">
      <c r="A742" s="23" t="str">
        <f t="shared" si="2"/>
        <v>FB1356</v>
      </c>
      <c r="B742" s="23" t="str">
        <f>'2.4.raw'!L742</f>
        <v>FB1356</v>
      </c>
      <c r="C742" s="24">
        <f>datevalue(left('2.4.raw'!A742,10))</f>
        <v>43880</v>
      </c>
      <c r="D742" s="23">
        <f>'2.4.raw'!G742</f>
        <v>99</v>
      </c>
      <c r="E742" s="1">
        <v>2.39999999999999</v>
      </c>
      <c r="F742" s="23" t="b">
        <f>if(countif(Status!C:C,A742)=1,TRUE, FALSE)</f>
        <v>1</v>
      </c>
      <c r="G742" s="23" t="str">
        <f>'2.4.raw'!AQ742</f>
        <v>Sample collected by Biplab Jash, FB at PL1027 site</v>
      </c>
    </row>
    <row r="743">
      <c r="A743" s="23" t="str">
        <f t="shared" si="2"/>
        <v>UF1024</v>
      </c>
      <c r="B743" s="23" t="str">
        <f>'2.4.raw'!L743</f>
        <v>UF1024</v>
      </c>
      <c r="C743" s="24">
        <f>datevalue(left('2.4.raw'!A743,10))</f>
        <v>43880</v>
      </c>
      <c r="D743" s="23">
        <f>'2.4.raw'!G743</f>
        <v>11</v>
      </c>
      <c r="E743" s="1">
        <v>2.39999999999999</v>
      </c>
      <c r="F743" s="23" t="b">
        <f>if(countif(Status!C:C,A743)=1,TRUE, FALSE)</f>
        <v>1</v>
      </c>
      <c r="G743" s="23" t="str">
        <f>'2.4.raw'!AQ743</f>
        <v>Sample collected by Suvankar Mandal</v>
      </c>
    </row>
    <row r="744">
      <c r="A744" s="23" t="str">
        <f t="shared" si="2"/>
        <v>MO1189</v>
      </c>
      <c r="B744" s="23" t="str">
        <f>'2.4.raw'!L744</f>
        <v>MO1189</v>
      </c>
      <c r="C744" s="24">
        <f>datevalue(left('2.4.raw'!A744,10))</f>
        <v>43881</v>
      </c>
      <c r="D744" s="23">
        <f>'2.4.raw'!G744</f>
        <v>12</v>
      </c>
      <c r="E744" s="1">
        <v>2.39999999999999</v>
      </c>
      <c r="F744" s="23" t="b">
        <f>if(countif(Status!C:C,A744)=1,TRUE, FALSE)</f>
        <v>1</v>
      </c>
      <c r="G744" s="23" t="str">
        <f>'2.4.raw'!AQ744</f>
        <v>Sample collected by Subhankar Mondal, KMC Ward No 110</v>
      </c>
    </row>
    <row r="745">
      <c r="A745" s="23" t="str">
        <f t="shared" si="2"/>
        <v>FB1360</v>
      </c>
      <c r="B745" s="23" t="str">
        <f>'2.4.raw'!L745</f>
        <v>FB1360</v>
      </c>
      <c r="C745" s="24">
        <f>datevalue(left('2.4.raw'!A745,10))</f>
        <v>43881</v>
      </c>
      <c r="D745" s="23">
        <f>'2.4.raw'!G745</f>
        <v>99</v>
      </c>
      <c r="E745" s="1">
        <v>2.39999999999999</v>
      </c>
      <c r="F745" s="23" t="b">
        <f>if(countif(Status!C:C,A745)=1,TRUE, FALSE)</f>
        <v>1</v>
      </c>
      <c r="G745" s="23" t="str">
        <f>'2.4.raw'!AQ745</f>
        <v>Sample collected by Suvankar Mandal, FB at MO1189 site</v>
      </c>
    </row>
    <row r="746">
      <c r="A746" s="23" t="str">
        <f t="shared" si="2"/>
        <v>MO1188</v>
      </c>
      <c r="B746" s="23" t="str">
        <f>'2.4.raw'!L746</f>
        <v>MO1188</v>
      </c>
      <c r="C746" s="24">
        <f>datevalue(left('2.4.raw'!A746,10))</f>
        <v>43881</v>
      </c>
      <c r="D746" s="23">
        <f>'2.4.raw'!G746</f>
        <v>12</v>
      </c>
      <c r="E746" s="1">
        <v>2.39999999999999</v>
      </c>
      <c r="F746" s="23" t="b">
        <f>if(countif(Status!C:C,A746)=1,TRUE, FALSE)</f>
        <v>1</v>
      </c>
      <c r="G746" s="23" t="str">
        <f>'2.4.raw'!AQ746</f>
        <v>Sample collected by Buddhadeb Samaddar, KMC Ward No 104</v>
      </c>
    </row>
    <row r="747">
      <c r="A747" s="23" t="str">
        <f t="shared" si="2"/>
        <v>FB1361</v>
      </c>
      <c r="B747" s="23" t="str">
        <f>'2.4.raw'!L747</f>
        <v>FB1361</v>
      </c>
      <c r="C747" s="24">
        <f>datevalue(left('2.4.raw'!A747,10))</f>
        <v>43881</v>
      </c>
      <c r="D747" s="23">
        <f>'2.4.raw'!G747</f>
        <v>99</v>
      </c>
      <c r="E747" s="1">
        <v>2.39999999999999</v>
      </c>
      <c r="F747" s="23" t="b">
        <f>if(countif(Status!C:C,A747)=1,TRUE, FALSE)</f>
        <v>1</v>
      </c>
      <c r="G747" s="23" t="str">
        <f>'2.4.raw'!AQ747</f>
        <v>Sample collected by Buddhadeb Samaddar, FB at MO1188 site</v>
      </c>
    </row>
    <row r="748">
      <c r="A748" s="23" t="str">
        <f t="shared" si="2"/>
        <v>MO1190</v>
      </c>
      <c r="B748" s="23" t="str">
        <f>'2.4.raw'!L748</f>
        <v>MO1190</v>
      </c>
      <c r="C748" s="24">
        <f>datevalue(left('2.4.raw'!A748,10))</f>
        <v>43881</v>
      </c>
      <c r="D748" s="23">
        <f>'2.4.raw'!G748</f>
        <v>12</v>
      </c>
      <c r="E748" s="1">
        <v>2.39999999999999</v>
      </c>
      <c r="F748" s="23" t="b">
        <f>if(countif(Status!C:C,A748)=1,TRUE, FALSE)</f>
        <v>1</v>
      </c>
      <c r="G748" s="23" t="str">
        <f>'2.4.raw'!AQ748</f>
        <v>Sample collected by Suvankar Mandal</v>
      </c>
    </row>
    <row r="749">
      <c r="A749" s="23" t="str">
        <f t="shared" si="2"/>
        <v>FB1362</v>
      </c>
      <c r="B749" s="23" t="str">
        <f>'2.4.raw'!L749</f>
        <v>FB1362</v>
      </c>
      <c r="C749" s="24">
        <f>datevalue(left('2.4.raw'!A749,10))</f>
        <v>43881</v>
      </c>
      <c r="D749" s="23">
        <f>'2.4.raw'!G749</f>
        <v>99</v>
      </c>
      <c r="E749" s="1">
        <v>2.39999999999999</v>
      </c>
      <c r="F749" s="23" t="b">
        <f>if(countif(Status!C:C,A749)=1,TRUE, FALSE)</f>
        <v>1</v>
      </c>
      <c r="G749" s="23" t="str">
        <f>'2.4.raw'!AQ749</f>
        <v>Sample collected by Suvankar Mandal, FB at MO1190 site</v>
      </c>
    </row>
    <row r="750">
      <c r="A750" s="23" t="str">
        <f t="shared" si="2"/>
        <v>MO1191</v>
      </c>
      <c r="B750" s="23" t="str">
        <f>'2.4.raw'!L750</f>
        <v>MO1191</v>
      </c>
      <c r="C750" s="24">
        <f>datevalue(left('2.4.raw'!A750,10))</f>
        <v>43881</v>
      </c>
      <c r="D750" s="23">
        <f>'2.4.raw'!G750</f>
        <v>12</v>
      </c>
      <c r="E750" s="1">
        <v>2.39999999999999</v>
      </c>
      <c r="F750" s="23" t="b">
        <f>if(countif(Status!C:C,A750)=1,TRUE, FALSE)</f>
        <v>1</v>
      </c>
      <c r="G750" s="23" t="str">
        <f>'2.4.raw'!AQ750</f>
        <v>Sample collected by Buddhadeb Samaddar</v>
      </c>
    </row>
    <row r="751">
      <c r="A751" s="23" t="str">
        <f t="shared" si="2"/>
        <v>FB1363</v>
      </c>
      <c r="B751" s="23" t="str">
        <f>'2.4.raw'!L751</f>
        <v>FB1363</v>
      </c>
      <c r="C751" s="24">
        <f>datevalue(left('2.4.raw'!A751,10))</f>
        <v>43881</v>
      </c>
      <c r="D751" s="23">
        <f>'2.4.raw'!G751</f>
        <v>99</v>
      </c>
      <c r="E751" s="1">
        <v>2.39999999999999</v>
      </c>
      <c r="F751" s="23" t="b">
        <f>if(countif(Status!C:C,A751)=1,TRUE, FALSE)</f>
        <v>1</v>
      </c>
      <c r="G751" s="23" t="str">
        <f>'2.4.raw'!AQ751</f>
        <v>Sample collected by Suvankar Mandal, FB at MO1191 site</v>
      </c>
    </row>
    <row r="752">
      <c r="A752" s="23" t="str">
        <f t="shared" si="2"/>
        <v>FB1364</v>
      </c>
      <c r="B752" s="23" t="str">
        <f>'2.4.raw'!L752</f>
        <v>FB1364</v>
      </c>
      <c r="C752" s="24">
        <f>datevalue(left('2.4.raw'!A752,10))</f>
        <v>43881</v>
      </c>
      <c r="D752" s="23">
        <f>'2.4.raw'!G752</f>
        <v>99</v>
      </c>
      <c r="E752" s="1">
        <v>2.39999999999999</v>
      </c>
      <c r="F752" s="23" t="b">
        <f>if(countif(Status!C:C,A752)=1,TRUE, FALSE)</f>
        <v>1</v>
      </c>
      <c r="G752" s="23" t="str">
        <f>'2.4.raw'!AQ752</f>
        <v>Sample collected by Buddhadeb Samaddar, FB at MO1192 site</v>
      </c>
    </row>
    <row r="753">
      <c r="A753" s="23" t="str">
        <f t="shared" si="2"/>
        <v>MO1192</v>
      </c>
      <c r="B753" s="23" t="str">
        <f>'2.4.raw'!L753</f>
        <v>MO1192</v>
      </c>
      <c r="C753" s="24">
        <f>datevalue(left('2.4.raw'!A753,10))</f>
        <v>43881</v>
      </c>
      <c r="D753" s="23">
        <f>'2.4.raw'!G753</f>
        <v>12</v>
      </c>
      <c r="E753" s="1">
        <v>2.39999999999999</v>
      </c>
      <c r="F753" s="23" t="b">
        <f>if(countif(Status!C:C,A753)=1,TRUE, FALSE)</f>
        <v>1</v>
      </c>
      <c r="G753" s="23" t="str">
        <f>'2.4.raw'!AQ753</f>
        <v>Buddhadeb Samaddar</v>
      </c>
    </row>
    <row r="754">
      <c r="A754" s="23" t="str">
        <f t="shared" si="2"/>
        <v>PLc1204</v>
      </c>
      <c r="B754" s="23" t="str">
        <f>'2.4.raw'!L754</f>
        <v>PLc1204</v>
      </c>
      <c r="C754" s="24">
        <f>datevalue(left('2.4.raw'!A754,10))</f>
        <v>43881</v>
      </c>
      <c r="D754" s="23">
        <f>'2.4.raw'!G754</f>
        <v>11</v>
      </c>
      <c r="E754" s="1">
        <v>2.39999999999999</v>
      </c>
      <c r="F754" s="23" t="b">
        <f>if(countif(Status!C:C,A754)=1,TRUE, FALSE)</f>
        <v>1</v>
      </c>
      <c r="G754" s="23" t="str">
        <f>'2.4.raw'!AQ754</f>
        <v>Sample collected by Somnath Sarkar</v>
      </c>
    </row>
    <row r="755">
      <c r="A755" s="23" t="str">
        <f t="shared" si="2"/>
        <v>FB1366</v>
      </c>
      <c r="B755" s="23" t="str">
        <f>'2.4.raw'!L755</f>
        <v>FB1366</v>
      </c>
      <c r="C755" s="24">
        <f>datevalue(left('2.4.raw'!A755,10))</f>
        <v>43881</v>
      </c>
      <c r="D755" s="23">
        <f>'2.4.raw'!G755</f>
        <v>99</v>
      </c>
      <c r="E755" s="1">
        <v>2.39999999999999</v>
      </c>
      <c r="F755" s="23" t="b">
        <f>if(countif(Status!C:C,A755)=1,TRUE, FALSE)</f>
        <v>1</v>
      </c>
      <c r="G755" s="23" t="str">
        <f>'2.4.raw'!AQ755</f>
        <v>Sample collected by Somnath Sarkar, FB at PLc1204 site</v>
      </c>
    </row>
    <row r="756">
      <c r="A756" s="23" t="str">
        <f t="shared" si="2"/>
        <v>PLc1205</v>
      </c>
      <c r="B756" s="23" t="str">
        <f>'2.4.raw'!L756</f>
        <v>PLc1205</v>
      </c>
      <c r="C756" s="24">
        <f>datevalue(left('2.4.raw'!A756,10))</f>
        <v>43881</v>
      </c>
      <c r="D756" s="23">
        <f>'2.4.raw'!G756</f>
        <v>11</v>
      </c>
      <c r="E756" s="1">
        <v>2.39999999999999</v>
      </c>
      <c r="F756" s="23" t="b">
        <f>if(countif(Status!C:C,A756)=1,TRUE, FALSE)</f>
        <v>1</v>
      </c>
      <c r="G756" s="23" t="str">
        <f>'2.4.raw'!AQ756</f>
        <v>Sample collected by Biplab Jash</v>
      </c>
    </row>
    <row r="757">
      <c r="A757" s="23" t="str">
        <f t="shared" si="2"/>
        <v>FB1367</v>
      </c>
      <c r="B757" s="23" t="str">
        <f>'2.4.raw'!L757</f>
        <v>FB1367</v>
      </c>
      <c r="C757" s="24">
        <f>datevalue(left('2.4.raw'!A757,10))</f>
        <v>43881</v>
      </c>
      <c r="D757" s="23">
        <f>'2.4.raw'!G757</f>
        <v>99</v>
      </c>
      <c r="E757" s="1">
        <v>2.39999999999999</v>
      </c>
      <c r="F757" s="23" t="b">
        <f>if(countif(Status!C:C,A757)=1,TRUE, FALSE)</f>
        <v>1</v>
      </c>
      <c r="G757" s="23" t="str">
        <f>'2.4.raw'!AQ757</f>
        <v>Sample collected by Biplab Jash, FB at PLc1205 site</v>
      </c>
    </row>
    <row r="758">
      <c r="A758" s="23" t="str">
        <f t="shared" si="2"/>
        <v>PLc1206</v>
      </c>
      <c r="B758" s="23" t="str">
        <f>'2.4.raw'!L758</f>
        <v>PLc1206</v>
      </c>
      <c r="C758" s="24">
        <f>datevalue(left('2.4.raw'!A758,10))</f>
        <v>43881</v>
      </c>
      <c r="D758" s="23">
        <f>'2.4.raw'!G758</f>
        <v>11</v>
      </c>
      <c r="E758" s="1">
        <v>2.39999999999999</v>
      </c>
      <c r="F758" s="23" t="b">
        <f>if(countif(Status!C:C,A758)=1,TRUE, FALSE)</f>
        <v>1</v>
      </c>
      <c r="G758" s="23" t="str">
        <f>'2.4.raw'!AQ758</f>
        <v>Sample collected by Somnath Sarkar</v>
      </c>
    </row>
    <row r="759">
      <c r="A759" s="23" t="str">
        <f t="shared" si="2"/>
        <v>FB1368</v>
      </c>
      <c r="B759" s="23" t="str">
        <f>'2.4.raw'!L759</f>
        <v>FB1368</v>
      </c>
      <c r="C759" s="24">
        <f>datevalue(left('2.4.raw'!A759,10))</f>
        <v>43881</v>
      </c>
      <c r="D759" s="23">
        <f>'2.4.raw'!G759</f>
        <v>99</v>
      </c>
      <c r="E759" s="1">
        <v>2.39999999999999</v>
      </c>
      <c r="F759" s="23" t="b">
        <f>if(countif(Status!C:C,A759)=1,TRUE, FALSE)</f>
        <v>1</v>
      </c>
      <c r="G759" s="23" t="str">
        <f>'2.4.raw'!AQ759</f>
        <v>Sample collected by Somnath Sarkar, FB at PLc1206 site</v>
      </c>
    </row>
    <row r="760">
      <c r="A760" s="23" t="str">
        <f t="shared" si="2"/>
        <v>PLc1207</v>
      </c>
      <c r="B760" s="23" t="str">
        <f>'2.4.raw'!L760</f>
        <v>PLc1207</v>
      </c>
      <c r="C760" s="24">
        <f>datevalue(left('2.4.raw'!A760,10))</f>
        <v>43885</v>
      </c>
      <c r="D760" s="23">
        <f>'2.4.raw'!G760</f>
        <v>11</v>
      </c>
      <c r="E760" s="1">
        <v>2.39999999999999</v>
      </c>
      <c r="F760" s="23" t="b">
        <f>if(countif(Status!C:C,A760)=1,TRUE, FALSE)</f>
        <v>1</v>
      </c>
      <c r="G760" s="23" t="str">
        <f>'2.4.raw'!AQ760</f>
        <v>Sample collected by Somnath Sarkar</v>
      </c>
    </row>
    <row r="761">
      <c r="A761" s="23" t="str">
        <f t="shared" si="2"/>
        <v>FB1369</v>
      </c>
      <c r="B761" s="23" t="str">
        <f>'2.4.raw'!L761</f>
        <v>FB1369</v>
      </c>
      <c r="C761" s="24">
        <f>datevalue(left('2.4.raw'!A761,10))</f>
        <v>43885</v>
      </c>
      <c r="D761" s="23">
        <f>'2.4.raw'!G761</f>
        <v>99</v>
      </c>
      <c r="E761" s="1">
        <v>2.39999999999999</v>
      </c>
      <c r="F761" s="23" t="b">
        <f>if(countif(Status!C:C,A761)=1,TRUE, FALSE)</f>
        <v>1</v>
      </c>
      <c r="G761" s="23" t="str">
        <f>'2.4.raw'!AQ761</f>
        <v>Sample collected by Somnath Sarkar, FB at PLc1207 site</v>
      </c>
    </row>
    <row r="762">
      <c r="A762" s="23" t="str">
        <f t="shared" si="2"/>
        <v>PLc1208</v>
      </c>
      <c r="B762" s="23" t="str">
        <f>'2.4.raw'!L762</f>
        <v>PLc1208</v>
      </c>
      <c r="C762" s="24">
        <f>datevalue(left('2.4.raw'!A762,10))</f>
        <v>43885</v>
      </c>
      <c r="D762" s="23">
        <f>'2.4.raw'!G762</f>
        <v>11</v>
      </c>
      <c r="E762" s="1">
        <v>2.39999999999999</v>
      </c>
      <c r="F762" s="23" t="b">
        <f>if(countif(Status!C:C,A762)=1,TRUE, FALSE)</f>
        <v>1</v>
      </c>
      <c r="G762" s="23" t="str">
        <f>'2.4.raw'!AQ762</f>
        <v>Sample collected by Buddhadeb Samaddar</v>
      </c>
    </row>
    <row r="763">
      <c r="A763" s="23" t="str">
        <f t="shared" si="2"/>
        <v>FB1370</v>
      </c>
      <c r="B763" s="23" t="str">
        <f>'2.4.raw'!L763</f>
        <v>FB1370</v>
      </c>
      <c r="C763" s="24">
        <f>datevalue(left('2.4.raw'!A763,10))</f>
        <v>43885</v>
      </c>
      <c r="D763" s="23">
        <f>'2.4.raw'!G763</f>
        <v>99</v>
      </c>
      <c r="E763" s="1">
        <v>2.39999999999999</v>
      </c>
      <c r="F763" s="23" t="b">
        <f>if(countif(Status!C:C,A763)=1,TRUE, FALSE)</f>
        <v>1</v>
      </c>
      <c r="G763" s="23" t="str">
        <f>'2.4.raw'!AQ763</f>
        <v>Sample collected by Buddhadeb Samaddar, FB at PLc1208 site</v>
      </c>
    </row>
    <row r="764">
      <c r="A764" s="23" t="str">
        <f t="shared" si="2"/>
        <v>PLc1209</v>
      </c>
      <c r="B764" s="23" t="str">
        <f>'2.4.raw'!L764</f>
        <v>PLc1209</v>
      </c>
      <c r="C764" s="24">
        <f>datevalue(left('2.4.raw'!A764,10))</f>
        <v>43885</v>
      </c>
      <c r="D764" s="23">
        <f>'2.4.raw'!G764</f>
        <v>11</v>
      </c>
      <c r="E764" s="1">
        <v>2.39999999999999</v>
      </c>
      <c r="F764" s="23" t="b">
        <f>if(countif(Status!C:C,A764)=1,TRUE, FALSE)</f>
        <v>1</v>
      </c>
      <c r="G764" s="23" t="str">
        <f>'2.4.raw'!AQ764</f>
        <v>Sample collected by Suvankar Mandal</v>
      </c>
    </row>
    <row r="765">
      <c r="A765" s="23" t="str">
        <f t="shared" si="2"/>
        <v>FB1371</v>
      </c>
      <c r="B765" s="23" t="str">
        <f>'2.4.raw'!L765</f>
        <v>FB1371</v>
      </c>
      <c r="C765" s="24">
        <f>datevalue(left('2.4.raw'!A765,10))</f>
        <v>43885</v>
      </c>
      <c r="D765" s="23">
        <f>'2.4.raw'!G765</f>
        <v>99</v>
      </c>
      <c r="E765" s="1">
        <v>2.39999999999999</v>
      </c>
      <c r="F765" s="23" t="b">
        <f>if(countif(Status!C:C,A765)=1,TRUE, FALSE)</f>
        <v>1</v>
      </c>
      <c r="G765" s="23" t="str">
        <f>'2.4.raw'!AQ765</f>
        <v>Sample collected by Buddhadeb Samaddar, FB at PLc1209 site</v>
      </c>
    </row>
    <row r="766">
      <c r="A766" s="23" t="str">
        <f t="shared" si="2"/>
        <v>PLc1210</v>
      </c>
      <c r="B766" s="23" t="str">
        <f>'2.4.raw'!L766</f>
        <v>PLc1210</v>
      </c>
      <c r="C766" s="24">
        <f>datevalue(left('2.4.raw'!A766,10))</f>
        <v>43885</v>
      </c>
      <c r="D766" s="23">
        <f>'2.4.raw'!G766</f>
        <v>11</v>
      </c>
      <c r="E766" s="1">
        <v>2.39999999999999</v>
      </c>
      <c r="F766" s="23" t="b">
        <f>if(countif(Status!C:C,A766)=1,TRUE, FALSE)</f>
        <v>1</v>
      </c>
      <c r="G766" s="23" t="str">
        <f>'2.4.raw'!AQ766</f>
        <v>Sample collected by Debabrata Maity</v>
      </c>
    </row>
    <row r="767">
      <c r="A767" s="23" t="str">
        <f t="shared" si="2"/>
        <v>FB1372</v>
      </c>
      <c r="B767" s="23" t="str">
        <f>'2.4.raw'!L767</f>
        <v>FB1372</v>
      </c>
      <c r="C767" s="24">
        <f>datevalue(left('2.4.raw'!A767,10))</f>
        <v>43885</v>
      </c>
      <c r="D767" s="23">
        <f>'2.4.raw'!G767</f>
        <v>99</v>
      </c>
      <c r="E767" s="1">
        <v>2.39999999999999</v>
      </c>
      <c r="F767" s="23" t="b">
        <f>if(countif(Status!C:C,A767)=1,TRUE, FALSE)</f>
        <v>1</v>
      </c>
      <c r="G767" s="23" t="str">
        <f>'2.4.raw'!AQ767</f>
        <v>Sample collected by Debabrata Maity, FB at PLc1210 site</v>
      </c>
    </row>
    <row r="768">
      <c r="A768" s="23" t="str">
        <f t="shared" si="2"/>
        <v>PLc1211</v>
      </c>
      <c r="B768" s="23" t="str">
        <f>'2.4.raw'!L768</f>
        <v>PLc1211</v>
      </c>
      <c r="C768" s="24">
        <f>datevalue(left('2.4.raw'!A768,10))</f>
        <v>43885</v>
      </c>
      <c r="D768" s="23">
        <f>'2.4.raw'!G768</f>
        <v>11</v>
      </c>
      <c r="E768" s="1">
        <v>2.39999999999999</v>
      </c>
      <c r="F768" s="23" t="b">
        <f>if(countif(Status!C:C,A768)=1,TRUE, FALSE)</f>
        <v>1</v>
      </c>
      <c r="G768" s="23" t="str">
        <f>'2.4.raw'!AQ768</f>
        <v>Sample collected by Suvankar Mandal</v>
      </c>
    </row>
    <row r="769">
      <c r="A769" s="23" t="str">
        <f t="shared" si="2"/>
        <v>FB1373</v>
      </c>
      <c r="B769" s="23" t="str">
        <f>'2.4.raw'!L769</f>
        <v>FB1373</v>
      </c>
      <c r="C769" s="24">
        <f>datevalue(left('2.4.raw'!A769,10))</f>
        <v>43885</v>
      </c>
      <c r="D769" s="23">
        <f>'2.4.raw'!G769</f>
        <v>99</v>
      </c>
      <c r="E769" s="1">
        <v>2.39999999999999</v>
      </c>
      <c r="F769" s="23" t="b">
        <f>if(countif(Status!C:C,A769)=1,TRUE, FALSE)</f>
        <v>1</v>
      </c>
      <c r="G769" s="23" t="str">
        <f>'2.4.raw'!AQ769</f>
        <v>Sample collected by Suvankar Mandal, FB at PLc1211 site</v>
      </c>
    </row>
    <row r="770">
      <c r="A770" s="23" t="str">
        <f t="shared" si="2"/>
        <v>FB1376</v>
      </c>
      <c r="B770" s="23" t="str">
        <f>'2.4.raw'!L770</f>
        <v>FB1376</v>
      </c>
      <c r="C770" s="24">
        <f>datevalue(left('2.4.raw'!A770,10))</f>
        <v>43886</v>
      </c>
      <c r="D770" s="23">
        <f>'2.4.raw'!G770</f>
        <v>99</v>
      </c>
      <c r="E770" s="1">
        <v>2.39999999999999</v>
      </c>
      <c r="F770" s="23" t="b">
        <f>if(countif(Status!C:C,A770)=1,TRUE, FALSE)</f>
        <v>1</v>
      </c>
      <c r="G770" s="23" t="str">
        <f>'2.4.raw'!AQ770</f>
        <v>Sample collected by Suvankar Mandal, FB at MO1195 site</v>
      </c>
    </row>
    <row r="771">
      <c r="A771" s="23" t="str">
        <f t="shared" si="2"/>
        <v>MO1196</v>
      </c>
      <c r="B771" s="23" t="str">
        <f>'2.4.raw'!L771</f>
        <v>MO1196</v>
      </c>
      <c r="C771" s="24">
        <f>datevalue(left('2.4.raw'!A771,10))</f>
        <v>43886</v>
      </c>
      <c r="D771" s="23">
        <f>'2.4.raw'!G771</f>
        <v>12</v>
      </c>
      <c r="E771" s="1">
        <v>2.39999999999999</v>
      </c>
      <c r="F771" s="23" t="b">
        <f>if(countif(Status!C:C,A771)=1,TRUE, FALSE)</f>
        <v>1</v>
      </c>
      <c r="G771" s="23" t="str">
        <f>'2.4.raw'!AQ771</f>
        <v>Sample collected by Asish Saha</v>
      </c>
    </row>
    <row r="772">
      <c r="A772" s="23" t="str">
        <f t="shared" si="2"/>
        <v>FB1377</v>
      </c>
      <c r="B772" s="23" t="str">
        <f>'2.4.raw'!L772</f>
        <v>FB1377</v>
      </c>
      <c r="C772" s="24">
        <f>datevalue(left('2.4.raw'!A772,10))</f>
        <v>43886</v>
      </c>
      <c r="D772" s="23">
        <f>'2.4.raw'!G772</f>
        <v>99</v>
      </c>
      <c r="E772" s="1">
        <v>2.39999999999999</v>
      </c>
      <c r="F772" s="23" t="b">
        <f>if(countif(Status!C:C,A772)=1,TRUE, FALSE)</f>
        <v>1</v>
      </c>
      <c r="G772" s="23" t="str">
        <f>'2.4.raw'!AQ772</f>
        <v>Sample collected by Suvankar Mandal, FB at MO1196 site</v>
      </c>
    </row>
    <row r="773">
      <c r="A773" s="23" t="str">
        <f t="shared" si="2"/>
        <v>MO1193</v>
      </c>
      <c r="B773" s="23" t="str">
        <f>'2.4.raw'!L773</f>
        <v>MO1193</v>
      </c>
      <c r="C773" s="24">
        <f>datevalue(left('2.4.raw'!A773,10))</f>
        <v>43886</v>
      </c>
      <c r="D773" s="23">
        <f>'2.4.raw'!G773</f>
        <v>12</v>
      </c>
      <c r="E773" s="1">
        <v>2.39999999999999</v>
      </c>
      <c r="F773" s="23" t="b">
        <f>if(countif(Status!C:C,A773)=1,TRUE, FALSE)</f>
        <v>1</v>
      </c>
      <c r="G773" s="23" t="str">
        <f>'2.4.raw'!AQ773</f>
        <v>Sample collected by Suvankar Mandal</v>
      </c>
    </row>
    <row r="774">
      <c r="A774" s="23" t="str">
        <f t="shared" si="2"/>
        <v>FB1374</v>
      </c>
      <c r="B774" s="23" t="str">
        <f>'2.4.raw'!L774</f>
        <v>FB1374</v>
      </c>
      <c r="C774" s="24">
        <f>datevalue(left('2.4.raw'!A774,10))</f>
        <v>43886</v>
      </c>
      <c r="D774" s="23">
        <f>'2.4.raw'!G774</f>
        <v>99</v>
      </c>
      <c r="E774" s="1">
        <v>2.39999999999999</v>
      </c>
      <c r="F774" s="23" t="b">
        <f>if(countif(Status!C:C,A774)=1,TRUE, FALSE)</f>
        <v>1</v>
      </c>
      <c r="G774" s="23" t="str">
        <f>'2.4.raw'!AQ774</f>
        <v>Sample collected by Suvankar Mandal, FB at MO1193 site</v>
      </c>
    </row>
    <row r="775">
      <c r="A775" s="23" t="str">
        <f t="shared" si="2"/>
        <v>MO1194</v>
      </c>
      <c r="B775" s="23" t="str">
        <f>'2.4.raw'!L775</f>
        <v>MO1194</v>
      </c>
      <c r="C775" s="24">
        <f>datevalue(left('2.4.raw'!A775,10))</f>
        <v>43886</v>
      </c>
      <c r="D775" s="23">
        <f>'2.4.raw'!G775</f>
        <v>12</v>
      </c>
      <c r="E775" s="1">
        <v>2.39999999999999</v>
      </c>
      <c r="F775" s="23" t="b">
        <f>if(countif(Status!C:C,A775)=1,TRUE, FALSE)</f>
        <v>1</v>
      </c>
      <c r="G775" s="23" t="str">
        <f>'2.4.raw'!AQ775</f>
        <v>Sample collected by Asish Saha</v>
      </c>
    </row>
    <row r="776">
      <c r="A776" s="23" t="str">
        <f t="shared" si="2"/>
        <v>FB1375</v>
      </c>
      <c r="B776" s="23" t="str">
        <f>'2.4.raw'!L776</f>
        <v>FB1375</v>
      </c>
      <c r="C776" s="24">
        <f>datevalue(left('2.4.raw'!A776,10))</f>
        <v>43886</v>
      </c>
      <c r="D776" s="23">
        <f>'2.4.raw'!G776</f>
        <v>99</v>
      </c>
      <c r="E776" s="1">
        <v>2.39999999999999</v>
      </c>
      <c r="F776" s="23" t="b">
        <f>if(countif(Status!C:C,A776)=1,TRUE, FALSE)</f>
        <v>1</v>
      </c>
      <c r="G776" s="23" t="str">
        <f>'2.4.raw'!AQ776</f>
        <v>Sample collected by Asish Saha, FB at MO1194 site</v>
      </c>
    </row>
    <row r="777">
      <c r="A777" s="23" t="str">
        <f t="shared" si="2"/>
        <v>MO1195</v>
      </c>
      <c r="B777" s="23" t="str">
        <f>'2.4.raw'!L777</f>
        <v>MO1195</v>
      </c>
      <c r="C777" s="24">
        <f>datevalue(left('2.4.raw'!A777,10))</f>
        <v>43886</v>
      </c>
      <c r="D777" s="23">
        <f>'2.4.raw'!G777</f>
        <v>12</v>
      </c>
      <c r="E777" s="1">
        <v>2.39999999999999</v>
      </c>
      <c r="F777" s="23" t="b">
        <f>if(countif(Status!C:C,A777)=1,TRUE, FALSE)</f>
        <v>1</v>
      </c>
      <c r="G777" s="23" t="str">
        <f>'2.4.raw'!AQ777</f>
        <v>Sample collected by Suvankar Mandal</v>
      </c>
    </row>
    <row r="778">
      <c r="A778" s="23" t="str">
        <f t="shared" si="2"/>
        <v>UF1025</v>
      </c>
      <c r="B778" s="23" t="str">
        <f>'2.4.raw'!L778</f>
        <v>UF1025</v>
      </c>
      <c r="C778" s="24">
        <f>datevalue(left('2.4.raw'!A778,10))</f>
        <v>43886</v>
      </c>
      <c r="D778" s="23">
        <f>'2.4.raw'!G778</f>
        <v>11</v>
      </c>
      <c r="E778" s="1">
        <v>2.39999999999999</v>
      </c>
      <c r="F778" s="23" t="b">
        <f>if(countif(Status!C:C,A778)=1,TRUE, FALSE)</f>
        <v>1</v>
      </c>
      <c r="G778" s="23" t="str">
        <f>'2.4.raw'!AQ778</f>
        <v>Sample collected by Asish Saha</v>
      </c>
    </row>
    <row r="779">
      <c r="A779" s="23" t="str">
        <f t="shared" si="2"/>
        <v>UF1026</v>
      </c>
      <c r="B779" s="23" t="str">
        <f>'2.4.raw'!L779</f>
        <v>UF1026</v>
      </c>
      <c r="C779" s="24">
        <f>datevalue(left('2.4.raw'!A779,10))</f>
        <v>43887</v>
      </c>
      <c r="D779" s="23">
        <f>'2.4.raw'!G779</f>
        <v>11</v>
      </c>
      <c r="E779" s="1">
        <v>2.39999999999999</v>
      </c>
      <c r="F779" s="23" t="b">
        <f>if(countif(Status!C:C,A779)=1,TRUE, FALSE)</f>
        <v>1</v>
      </c>
      <c r="G779" s="23" t="str">
        <f>'2.4.raw'!AQ779</f>
        <v>Sample collected by Biplab Jash</v>
      </c>
    </row>
    <row r="780">
      <c r="A780" s="23" t="str">
        <f t="shared" si="2"/>
        <v>MO1197</v>
      </c>
      <c r="B780" s="23" t="str">
        <f>'2.4.raw'!L780</f>
        <v>MO1197</v>
      </c>
      <c r="C780" s="24">
        <f>datevalue(left('2.4.raw'!A780,10))</f>
        <v>43887</v>
      </c>
      <c r="D780" s="23">
        <f>'2.4.raw'!G780</f>
        <v>12</v>
      </c>
      <c r="E780" s="1">
        <v>2.39999999999999</v>
      </c>
      <c r="F780" s="23" t="b">
        <f>if(countif(Status!C:C,A780)=1,TRUE, FALSE)</f>
        <v>1</v>
      </c>
      <c r="G780" s="23" t="str">
        <f>'2.4.raw'!AQ780</f>
        <v>Sample collected by Suvankar Mandal</v>
      </c>
    </row>
    <row r="781">
      <c r="A781" s="23" t="str">
        <f t="shared" si="2"/>
        <v>FB1382</v>
      </c>
      <c r="B781" s="23" t="str">
        <f>'2.4.raw'!L781</f>
        <v>FB1382</v>
      </c>
      <c r="C781" s="24">
        <f>datevalue(left('2.4.raw'!A781,10))</f>
        <v>43887</v>
      </c>
      <c r="D781" s="23">
        <f>'2.4.raw'!G781</f>
        <v>99</v>
      </c>
      <c r="E781" s="1">
        <v>2.39999999999999</v>
      </c>
      <c r="F781" s="23" t="b">
        <f>if(countif(Status!C:C,A781)=1,TRUE, FALSE)</f>
        <v>1</v>
      </c>
      <c r="G781" s="23" t="str">
        <f>'2.4.raw'!AQ781</f>
        <v>Sample collected by Suvankar Mandal, FB at MO1197 site</v>
      </c>
    </row>
    <row r="782">
      <c r="A782" s="23" t="str">
        <f t="shared" si="2"/>
        <v>MO1198</v>
      </c>
      <c r="B782" s="23" t="str">
        <f>'2.4.raw'!L782</f>
        <v>MO1198</v>
      </c>
      <c r="C782" s="24">
        <f>datevalue(left('2.4.raw'!A782,10))</f>
        <v>43887</v>
      </c>
      <c r="D782" s="23">
        <f>'2.4.raw'!G782</f>
        <v>12</v>
      </c>
      <c r="E782" s="1">
        <v>2.39999999999999</v>
      </c>
      <c r="F782" s="23" t="b">
        <f>if(countif(Status!C:C,A782)=1,TRUE, FALSE)</f>
        <v>1</v>
      </c>
      <c r="G782" s="23" t="str">
        <f>'2.4.raw'!AQ782</f>
        <v>Sample collected by Asish Saha</v>
      </c>
    </row>
    <row r="783">
      <c r="A783" s="23" t="str">
        <f t="shared" si="2"/>
        <v>FB1383</v>
      </c>
      <c r="B783" s="23" t="str">
        <f>'2.4.raw'!L783</f>
        <v>FB1383</v>
      </c>
      <c r="C783" s="24">
        <f>datevalue(left('2.4.raw'!A783,10))</f>
        <v>43887</v>
      </c>
      <c r="D783" s="23">
        <f>'2.4.raw'!G783</f>
        <v>99</v>
      </c>
      <c r="E783" s="1">
        <v>2.39999999999999</v>
      </c>
      <c r="F783" s="23" t="b">
        <f>if(countif(Status!C:C,A783)=1,TRUE, FALSE)</f>
        <v>1</v>
      </c>
      <c r="G783" s="23" t="str">
        <f>'2.4.raw'!AQ783</f>
        <v>Sample collected by Asish Saha, FB at MO1198 site</v>
      </c>
    </row>
    <row r="784">
      <c r="A784" s="23" t="str">
        <f t="shared" si="2"/>
        <v>MO1199</v>
      </c>
      <c r="B784" s="23" t="str">
        <f>'2.4.raw'!L784</f>
        <v>MO1199</v>
      </c>
      <c r="C784" s="24">
        <f>datevalue(left('2.4.raw'!A784,10))</f>
        <v>43887</v>
      </c>
      <c r="D784" s="23">
        <f>'2.4.raw'!G784</f>
        <v>12</v>
      </c>
      <c r="E784" s="1">
        <v>2.39999999999999</v>
      </c>
      <c r="F784" s="23" t="b">
        <f>if(countif(Status!C:C,A784)=1,TRUE, FALSE)</f>
        <v>1</v>
      </c>
      <c r="G784" s="23" t="str">
        <f>'2.4.raw'!AQ784</f>
        <v>Sample collected by Suvankar Mandal, Ward no 29 under SDDM</v>
      </c>
    </row>
    <row r="785">
      <c r="A785" s="23" t="str">
        <f t="shared" si="2"/>
        <v>FB1384</v>
      </c>
      <c r="B785" s="23" t="str">
        <f>'2.4.raw'!L785</f>
        <v>FB1384</v>
      </c>
      <c r="C785" s="24">
        <f>datevalue(left('2.4.raw'!A785,10))</f>
        <v>43887</v>
      </c>
      <c r="D785" s="23">
        <f>'2.4.raw'!G785</f>
        <v>99</v>
      </c>
      <c r="E785" s="1">
        <v>2.39999999999999</v>
      </c>
      <c r="F785" s="23" t="b">
        <f>if(countif(Status!C:C,A785)=1,TRUE, FALSE)</f>
        <v>1</v>
      </c>
      <c r="G785" s="23" t="str">
        <f>'2.4.raw'!AQ785</f>
        <v>Sample collected by Suvankar Mandal, FB at MO1199 site</v>
      </c>
    </row>
    <row r="786">
      <c r="A786" s="23" t="str">
        <f t="shared" si="2"/>
        <v>PL1028</v>
      </c>
      <c r="B786" s="23" t="str">
        <f>'2.4.raw'!L786</f>
        <v>PL1028</v>
      </c>
      <c r="C786" s="24">
        <f>datevalue(left('2.4.raw'!A786,10))</f>
        <v>43887</v>
      </c>
      <c r="D786" s="23">
        <f>'2.4.raw'!G786</f>
        <v>11</v>
      </c>
      <c r="E786" s="1">
        <v>2.39999999999999</v>
      </c>
      <c r="F786" s="23" t="b">
        <f>if(countif(Status!C:C,A786)=1,TRUE, FALSE)</f>
        <v>1</v>
      </c>
      <c r="G786" s="23" t="str">
        <f>'2.4.raw'!AQ786</f>
        <v>Sample collected by Asish</v>
      </c>
    </row>
    <row r="787">
      <c r="A787" s="23" t="str">
        <f t="shared" si="2"/>
        <v>FB1380</v>
      </c>
      <c r="B787" s="23" t="str">
        <f>'2.4.raw'!L787</f>
        <v>FB1380</v>
      </c>
      <c r="C787" s="24">
        <f>datevalue(left('2.4.raw'!A787,10))</f>
        <v>43887</v>
      </c>
      <c r="D787" s="23">
        <f>'2.4.raw'!G787</f>
        <v>99</v>
      </c>
      <c r="E787" s="1">
        <v>2.39999999999999</v>
      </c>
      <c r="F787" s="23" t="b">
        <f>if(countif(Status!C:C,A787)=1,TRUE, FALSE)</f>
        <v>1</v>
      </c>
      <c r="G787" s="23" t="str">
        <f>'2.4.raw'!AQ787</f>
        <v>Sample collected by Abhijit</v>
      </c>
    </row>
    <row r="788">
      <c r="A788" s="23" t="str">
        <f t="shared" si="2"/>
        <v>PL1029</v>
      </c>
      <c r="B788" s="23" t="str">
        <f>'2.4.raw'!L788</f>
        <v>PL1029</v>
      </c>
      <c r="C788" s="24">
        <f>datevalue(left('2.4.raw'!A788,10))</f>
        <v>43887</v>
      </c>
      <c r="D788" s="23">
        <f>'2.4.raw'!G788</f>
        <v>11</v>
      </c>
      <c r="E788" s="1">
        <v>2.39999999999999</v>
      </c>
      <c r="F788" s="23" t="b">
        <f>if(countif(Status!C:C,A788)=1,TRUE, FALSE)</f>
        <v>1</v>
      </c>
      <c r="G788" s="23" t="str">
        <f>'2.4.raw'!AQ788</f>
        <v>Sample collected by Somnath</v>
      </c>
    </row>
    <row r="789">
      <c r="A789" s="23" t="str">
        <f t="shared" si="2"/>
        <v>FB1381</v>
      </c>
      <c r="B789" s="23" t="str">
        <f>'2.4.raw'!L789</f>
        <v>FB1381</v>
      </c>
      <c r="C789" s="24">
        <f>datevalue(left('2.4.raw'!A789,10))</f>
        <v>43887</v>
      </c>
      <c r="D789" s="23">
        <f>'2.4.raw'!G789</f>
        <v>99</v>
      </c>
      <c r="E789" s="1">
        <v>2.39999999999999</v>
      </c>
      <c r="F789" s="23" t="b">
        <f>if(countif(Status!C:C,A789)=1,TRUE, FALSE)</f>
        <v>1</v>
      </c>
      <c r="G789" s="23" t="str">
        <f>'2.4.raw'!AQ789</f>
        <v>Sample collected by Suvankar</v>
      </c>
    </row>
    <row r="790">
      <c r="A790" s="23" t="str">
        <f t="shared" si="2"/>
        <v>MO1200</v>
      </c>
      <c r="B790" s="23" t="str">
        <f>'2.4.raw'!L790</f>
        <v>MO1200</v>
      </c>
      <c r="C790" s="24">
        <f>datevalue(left('2.4.raw'!A790,10))</f>
        <v>43888</v>
      </c>
      <c r="D790" s="23">
        <f>'2.4.raw'!G790</f>
        <v>12</v>
      </c>
      <c r="E790" s="1">
        <v>2.39999999999999</v>
      </c>
      <c r="F790" s="23" t="b">
        <f>if(countif(Status!C:C,A790)=1,TRUE, FALSE)</f>
        <v>1</v>
      </c>
      <c r="G790" s="23" t="str">
        <f>'2.4.raw'!AQ790</f>
        <v>Sample collected by Biplab Jash, KMC Ward No 110</v>
      </c>
    </row>
    <row r="791">
      <c r="A791" s="23" t="str">
        <f t="shared" si="2"/>
        <v>FB1389</v>
      </c>
      <c r="B791" s="23" t="str">
        <f>'2.4.raw'!L791</f>
        <v>FB1389</v>
      </c>
      <c r="C791" s="24">
        <f>datevalue(left('2.4.raw'!A791,10))</f>
        <v>43888</v>
      </c>
      <c r="D791" s="23">
        <f>'2.4.raw'!G791</f>
        <v>99</v>
      </c>
      <c r="E791" s="1">
        <v>2.39999999999999</v>
      </c>
      <c r="F791" s="23" t="b">
        <f>if(countif(Status!C:C,A791)=1,TRUE, FALSE)</f>
        <v>1</v>
      </c>
      <c r="G791" s="23" t="str">
        <f>'2.4.raw'!AQ791</f>
        <v>Sample collected by Biplab Jash, KMC Ward No 110</v>
      </c>
    </row>
    <row r="792">
      <c r="A792" s="23" t="str">
        <f t="shared" si="2"/>
        <v>MO1201</v>
      </c>
      <c r="B792" s="23" t="str">
        <f>'2.4.raw'!L792</f>
        <v>MO1201</v>
      </c>
      <c r="C792" s="24">
        <f>datevalue(left('2.4.raw'!A792,10))</f>
        <v>43888</v>
      </c>
      <c r="D792" s="23">
        <f>'2.4.raw'!G792</f>
        <v>12</v>
      </c>
      <c r="E792" s="1">
        <v>2.39999999999999</v>
      </c>
      <c r="F792" s="23" t="b">
        <f>if(countif(Status!C:C,A792)=1,TRUE, FALSE)</f>
        <v>1</v>
      </c>
      <c r="G792" s="23" t="str">
        <f>'2.4.raw'!AQ792</f>
        <v>Sample collected by Buddhadeb Samaddar, KMC Ward No 104</v>
      </c>
    </row>
    <row r="793">
      <c r="A793" s="23" t="str">
        <f t="shared" si="2"/>
        <v>FB1390</v>
      </c>
      <c r="B793" s="23" t="str">
        <f>'2.4.raw'!L793</f>
        <v>FB1390</v>
      </c>
      <c r="C793" s="24">
        <f>datevalue(left('2.4.raw'!A793,10))</f>
        <v>43888</v>
      </c>
      <c r="D793" s="23">
        <f>'2.4.raw'!G793</f>
        <v>99</v>
      </c>
      <c r="E793" s="1">
        <v>2.39999999999999</v>
      </c>
      <c r="F793" s="23" t="b">
        <f>if(countif(Status!C:C,A793)=1,TRUE, FALSE)</f>
        <v>1</v>
      </c>
      <c r="G793" s="23" t="str">
        <f>'2.4.raw'!AQ793</f>
        <v>Sample collected by Buddhadeb Samaddar</v>
      </c>
    </row>
    <row r="794">
      <c r="A794" s="23" t="str">
        <f t="shared" si="2"/>
        <v>MO1202</v>
      </c>
      <c r="B794" s="23" t="str">
        <f>'2.4.raw'!L794</f>
        <v>MO1202</v>
      </c>
      <c r="C794" s="24">
        <f>datevalue(left('2.4.raw'!A794,10))</f>
        <v>43888</v>
      </c>
      <c r="D794" s="23">
        <f>'2.4.raw'!G794</f>
        <v>12</v>
      </c>
      <c r="E794" s="1">
        <v>2.39999999999999</v>
      </c>
      <c r="F794" s="23" t="b">
        <f>if(countif(Status!C:C,A794)=1,TRUE, FALSE)</f>
        <v>1</v>
      </c>
      <c r="G794" s="23" t="str">
        <f>'2.4.raw'!AQ794</f>
        <v>Sample collected by Biplab Jash</v>
      </c>
    </row>
    <row r="795">
      <c r="A795" s="23" t="str">
        <f t="shared" si="2"/>
        <v>FB1391</v>
      </c>
      <c r="B795" s="23" t="str">
        <f>'2.4.raw'!L795</f>
        <v>FB1391</v>
      </c>
      <c r="C795" s="24">
        <f>datevalue(left('2.4.raw'!A795,10))</f>
        <v>43888</v>
      </c>
      <c r="D795" s="23">
        <f>'2.4.raw'!G795</f>
        <v>99</v>
      </c>
      <c r="E795" s="1">
        <v>2.39999999999999</v>
      </c>
      <c r="F795" s="23" t="b">
        <f>if(countif(Status!C:C,A795)=1,TRUE, FALSE)</f>
        <v>1</v>
      </c>
      <c r="G795" s="23" t="str">
        <f>'2.4.raw'!AQ795</f>
        <v>Sample collected by Biplab Jash</v>
      </c>
    </row>
    <row r="796">
      <c r="A796" s="23" t="str">
        <f t="shared" si="2"/>
        <v>MO1203</v>
      </c>
      <c r="B796" s="23" t="str">
        <f>'2.4.raw'!L796</f>
        <v>MO1203</v>
      </c>
      <c r="C796" s="24">
        <f>datevalue(left('2.4.raw'!A796,10))</f>
        <v>43888</v>
      </c>
      <c r="D796" s="23">
        <f>'2.4.raw'!G796</f>
        <v>12</v>
      </c>
      <c r="E796" s="1">
        <v>2.39999999999999</v>
      </c>
      <c r="F796" s="23" t="b">
        <f>if(countif(Status!C:C,A796)=1,TRUE, FALSE)</f>
        <v>1</v>
      </c>
      <c r="G796" s="23" t="str">
        <f>'2.4.raw'!AQ796</f>
        <v>Sample collected by Biplab Jash</v>
      </c>
    </row>
    <row r="797">
      <c r="A797" s="23" t="str">
        <f t="shared" si="2"/>
        <v>FB1392</v>
      </c>
      <c r="B797" s="23" t="str">
        <f>'2.4.raw'!L797</f>
        <v>FB1392</v>
      </c>
      <c r="C797" s="24">
        <f>datevalue(left('2.4.raw'!A797,10))</f>
        <v>43888</v>
      </c>
      <c r="D797" s="23">
        <f>'2.4.raw'!G797</f>
        <v>99</v>
      </c>
      <c r="E797" s="1">
        <v>2.39999999999999</v>
      </c>
      <c r="F797" s="23" t="b">
        <f>if(countif(Status!C:C,A797)=1,TRUE, FALSE)</f>
        <v>1</v>
      </c>
      <c r="G797" s="23" t="str">
        <f>'2.4.raw'!AQ797</f>
        <v>Sample collected by Biplab Jash</v>
      </c>
    </row>
    <row r="798">
      <c r="A798" s="23" t="str">
        <f t="shared" si="2"/>
        <v>MO1204</v>
      </c>
      <c r="B798" s="23" t="str">
        <f>'2.4.raw'!L798</f>
        <v>MO1204</v>
      </c>
      <c r="C798" s="24">
        <f>datevalue(left('2.4.raw'!A798,10))</f>
        <v>43888</v>
      </c>
      <c r="D798" s="23">
        <f>'2.4.raw'!G798</f>
        <v>12</v>
      </c>
      <c r="E798" s="1">
        <v>2.39999999999999</v>
      </c>
      <c r="F798" s="23" t="b">
        <f>if(countif(Status!C:C,A798)=1,TRUE, FALSE)</f>
        <v>1</v>
      </c>
      <c r="G798" s="23" t="str">
        <f>'2.4.raw'!AQ798</f>
        <v>Sample collected by Buddhadeb Samaddar</v>
      </c>
    </row>
    <row r="799">
      <c r="A799" s="23" t="str">
        <f t="shared" si="2"/>
        <v>FB1393</v>
      </c>
      <c r="B799" s="23" t="str">
        <f>'2.4.raw'!L799</f>
        <v>FB1393</v>
      </c>
      <c r="C799" s="24">
        <f>datevalue(left('2.4.raw'!A799,10))</f>
        <v>43888</v>
      </c>
      <c r="D799" s="23">
        <f>'2.4.raw'!G799</f>
        <v>99</v>
      </c>
      <c r="E799" s="1">
        <v>2.39999999999999</v>
      </c>
      <c r="F799" s="23" t="b">
        <f>if(countif(Status!C:C,A799)=1,TRUE, FALSE)</f>
        <v>1</v>
      </c>
      <c r="G799" s="23" t="str">
        <f>'2.4.raw'!AQ799</f>
        <v>Sample collected by Buddhadeb Samaddar</v>
      </c>
    </row>
    <row r="800">
      <c r="A800" s="23" t="str">
        <f t="shared" si="2"/>
        <v>PLc1212</v>
      </c>
      <c r="B800" s="23" t="str">
        <f>'2.4.raw'!L800</f>
        <v>PLc1212</v>
      </c>
      <c r="C800" s="24">
        <f>datevalue(left('2.4.raw'!A800,10))</f>
        <v>43888</v>
      </c>
      <c r="D800" s="23">
        <f>'2.4.raw'!G800</f>
        <v>11</v>
      </c>
      <c r="E800" s="1">
        <v>2.39999999999999</v>
      </c>
      <c r="F800" s="23" t="b">
        <f>if(countif(Status!C:C,A800)=1,TRUE, FALSE)</f>
        <v>1</v>
      </c>
      <c r="G800" s="23" t="str">
        <f>'2.4.raw'!AQ800</f>
        <v>Sample collected by Suvankar Mandal</v>
      </c>
    </row>
    <row r="801">
      <c r="A801" s="23" t="str">
        <f t="shared" si="2"/>
        <v>FB1386</v>
      </c>
      <c r="B801" s="23" t="str">
        <f>'2.4.raw'!L801</f>
        <v>FB1386</v>
      </c>
      <c r="C801" s="24">
        <f>datevalue(left('2.4.raw'!A801,10))</f>
        <v>43888</v>
      </c>
      <c r="D801" s="23">
        <f>'2.4.raw'!G801</f>
        <v>99</v>
      </c>
      <c r="E801" s="1">
        <v>2.39999999999999</v>
      </c>
      <c r="F801" s="23" t="b">
        <f>if(countif(Status!C:C,A801)=1,TRUE, FALSE)</f>
        <v>1</v>
      </c>
      <c r="G801" s="23" t="str">
        <f>'2.4.raw'!AQ801</f>
        <v>Sample collected by Suvankar Mandal, FB at PLc1212 site</v>
      </c>
    </row>
    <row r="802">
      <c r="A802" s="23" t="str">
        <f t="shared" si="2"/>
        <v>PLc1213</v>
      </c>
      <c r="B802" s="23" t="str">
        <f>'2.4.raw'!L802</f>
        <v>PLc1213</v>
      </c>
      <c r="C802" s="24">
        <f>datevalue(left('2.4.raw'!A802,10))</f>
        <v>43888</v>
      </c>
      <c r="D802" s="23">
        <f>'2.4.raw'!G802</f>
        <v>11</v>
      </c>
      <c r="E802" s="1">
        <v>2.39999999999999</v>
      </c>
      <c r="F802" s="23" t="b">
        <f>if(countif(Status!C:C,A802)=1,TRUE, FALSE)</f>
        <v>1</v>
      </c>
      <c r="G802" s="23" t="str">
        <f>'2.4.raw'!AQ802</f>
        <v>Sample collected by Somnath Sarkar</v>
      </c>
    </row>
    <row r="803">
      <c r="A803" s="23" t="str">
        <f t="shared" si="2"/>
        <v>FB1387</v>
      </c>
      <c r="B803" s="23" t="str">
        <f>'2.4.raw'!L803</f>
        <v>FB1387</v>
      </c>
      <c r="C803" s="24">
        <f>datevalue(left('2.4.raw'!A803,10))</f>
        <v>43888</v>
      </c>
      <c r="D803" s="23">
        <f>'2.4.raw'!G803</f>
        <v>99</v>
      </c>
      <c r="E803" s="1">
        <v>2.39999999999999</v>
      </c>
      <c r="F803" s="23" t="b">
        <f>if(countif(Status!C:C,A803)=1,TRUE, FALSE)</f>
        <v>1</v>
      </c>
      <c r="G803" s="23" t="str">
        <f>'2.4.raw'!AQ803</f>
        <v>Sample collected by Somnath Sarkar, FB at PLc1213 site</v>
      </c>
    </row>
    <row r="804">
      <c r="A804" s="23" t="str">
        <f t="shared" si="2"/>
        <v>PLc1214</v>
      </c>
      <c r="B804" s="23" t="str">
        <f>'2.4.raw'!L804</f>
        <v>PLc1214</v>
      </c>
      <c r="C804" s="24">
        <f>datevalue(left('2.4.raw'!A804,10))</f>
        <v>43888</v>
      </c>
      <c r="D804" s="23">
        <f>'2.4.raw'!G804</f>
        <v>11</v>
      </c>
      <c r="E804" s="1">
        <v>2.39999999999999</v>
      </c>
      <c r="F804" s="23" t="b">
        <f>if(countif(Status!C:C,A804)=1,TRUE, FALSE)</f>
        <v>1</v>
      </c>
      <c r="G804" s="23" t="str">
        <f>'2.4.raw'!AQ804</f>
        <v>Sample collected by Suvankar Mandal</v>
      </c>
    </row>
    <row r="805">
      <c r="A805" s="23" t="str">
        <f t="shared" si="2"/>
        <v>FB1388</v>
      </c>
      <c r="B805" s="23" t="str">
        <f>'2.4.raw'!L805</f>
        <v>FB1388</v>
      </c>
      <c r="C805" s="24">
        <f>datevalue(left('2.4.raw'!A805,10))</f>
        <v>43888</v>
      </c>
      <c r="D805" s="23">
        <f>'2.4.raw'!G805</f>
        <v>99</v>
      </c>
      <c r="E805" s="1">
        <v>2.39999999999999</v>
      </c>
      <c r="F805" s="23" t="b">
        <f>if(countif(Status!C:C,A805)=1,TRUE, FALSE)</f>
        <v>1</v>
      </c>
      <c r="G805" s="23" t="str">
        <f>'2.4.raw'!AQ805</f>
        <v>Sample collected by Suvankar Mandal, FB at PLc1214 site</v>
      </c>
    </row>
    <row r="806">
      <c r="A806" s="23" t="str">
        <f t="shared" si="2"/>
        <v>PLc1215</v>
      </c>
      <c r="B806" s="23" t="str">
        <f>'2.4.raw'!L806</f>
        <v>PLc1215</v>
      </c>
      <c r="C806" s="24">
        <f>datevalue(left('2.4.raw'!A806,10))</f>
        <v>43892</v>
      </c>
      <c r="D806" s="23">
        <f>'2.4.raw'!G806</f>
        <v>11</v>
      </c>
      <c r="E806" s="1">
        <v>2.39999999999999</v>
      </c>
      <c r="F806" s="23" t="b">
        <f>if(countif(Status!C:C,A806)=1,TRUE, FALSE)</f>
        <v>1</v>
      </c>
      <c r="G806" s="23" t="str">
        <f>'2.4.raw'!AQ806</f>
        <v>Sample collected by Somnath Sarkar</v>
      </c>
    </row>
    <row r="807">
      <c r="A807" s="23" t="str">
        <f t="shared" si="2"/>
        <v>FB1394</v>
      </c>
      <c r="B807" s="23" t="str">
        <f>'2.4.raw'!L807</f>
        <v>FB1394</v>
      </c>
      <c r="C807" s="24">
        <f>datevalue(left('2.4.raw'!A807,10))</f>
        <v>43892</v>
      </c>
      <c r="D807" s="23">
        <f>'2.4.raw'!G807</f>
        <v>99</v>
      </c>
      <c r="E807" s="1">
        <v>2.39999999999999</v>
      </c>
      <c r="F807" s="23" t="b">
        <f>if(countif(Status!C:C,A807)=1,TRUE, FALSE)</f>
        <v>1</v>
      </c>
      <c r="G807" s="23" t="str">
        <f>'2.4.raw'!AQ807</f>
        <v>Sample collected by Somnath Sarkar, FB at PLc1215 site</v>
      </c>
    </row>
    <row r="808">
      <c r="A808" s="23" t="str">
        <f t="shared" si="2"/>
        <v>PLc1216</v>
      </c>
      <c r="B808" s="23" t="str">
        <f>'2.4.raw'!L808</f>
        <v>PLc1216</v>
      </c>
      <c r="C808" s="24">
        <f>datevalue(left('2.4.raw'!A808,10))</f>
        <v>43892</v>
      </c>
      <c r="D808" s="23">
        <f>'2.4.raw'!G808</f>
        <v>11</v>
      </c>
      <c r="E808" s="1">
        <v>2.39999999999999</v>
      </c>
      <c r="F808" s="23" t="b">
        <f>if(countif(Status!C:C,A808)=1,TRUE, FALSE)</f>
        <v>1</v>
      </c>
      <c r="G808" s="23" t="str">
        <f>'2.4.raw'!AQ808</f>
        <v>Sample collected by Buddhadeb Samaddar</v>
      </c>
    </row>
    <row r="809">
      <c r="A809" s="23" t="str">
        <f t="shared" si="2"/>
        <v>FB1395</v>
      </c>
      <c r="B809" s="23" t="str">
        <f>'2.4.raw'!L809</f>
        <v>FB1395</v>
      </c>
      <c r="C809" s="24">
        <f>datevalue(left('2.4.raw'!A809,10))</f>
        <v>43892</v>
      </c>
      <c r="D809" s="23">
        <f>'2.4.raw'!G809</f>
        <v>99</v>
      </c>
      <c r="E809" s="1">
        <v>2.39999999999999</v>
      </c>
      <c r="F809" s="23" t="b">
        <f>if(countif(Status!C:C,A809)=1,TRUE, FALSE)</f>
        <v>1</v>
      </c>
      <c r="G809" s="23" t="str">
        <f>'2.4.raw'!AQ809</f>
        <v>Sample collected by Buddhadeb Samaddar, FB at PLc1216 site</v>
      </c>
    </row>
    <row r="810">
      <c r="A810" s="23" t="str">
        <f t="shared" si="2"/>
        <v>PLc1217</v>
      </c>
      <c r="B810" s="23" t="str">
        <f>'2.4.raw'!L810</f>
        <v>PLc1217</v>
      </c>
      <c r="C810" s="24">
        <f>datevalue(left('2.4.raw'!A810,10))</f>
        <v>43892</v>
      </c>
      <c r="D810" s="23">
        <f>'2.4.raw'!G810</f>
        <v>11</v>
      </c>
      <c r="E810" s="1">
        <v>2.39999999999999</v>
      </c>
      <c r="F810" s="23" t="b">
        <f>if(countif(Status!C:C,A810)=1,TRUE, FALSE)</f>
        <v>1</v>
      </c>
      <c r="G810" s="23" t="str">
        <f>'2.4.raw'!AQ810</f>
        <v>Sample collected by Debabrata Maity</v>
      </c>
    </row>
    <row r="811">
      <c r="A811" s="23" t="str">
        <f t="shared" si="2"/>
        <v>FB1396</v>
      </c>
      <c r="B811" s="23" t="str">
        <f>'2.4.raw'!L811</f>
        <v>FB1396</v>
      </c>
      <c r="C811" s="24">
        <f>datevalue(left('2.4.raw'!A811,10))</f>
        <v>43892</v>
      </c>
      <c r="D811" s="23">
        <f>'2.4.raw'!G811</f>
        <v>99</v>
      </c>
      <c r="E811" s="1">
        <v>2.39999999999999</v>
      </c>
      <c r="F811" s="23" t="b">
        <f>if(countif(Status!C:C,A811)=1,TRUE, FALSE)</f>
        <v>1</v>
      </c>
      <c r="G811" s="23" t="str">
        <f>'2.4.raw'!AQ811</f>
        <v>Sample collected by Debabrata Maity, FB at PLc1217 site</v>
      </c>
    </row>
    <row r="812">
      <c r="A812" s="23" t="str">
        <f t="shared" si="2"/>
        <v>MO1205</v>
      </c>
      <c r="B812" s="23" t="str">
        <f>'2.4.raw'!L812</f>
        <v>MO1205</v>
      </c>
      <c r="C812" s="24">
        <f>datevalue(left('2.4.raw'!A812,10))</f>
        <v>43893</v>
      </c>
      <c r="D812" s="23">
        <f>'2.4.raw'!G812</f>
        <v>12</v>
      </c>
      <c r="E812" s="1">
        <v>2.39999999999999</v>
      </c>
      <c r="F812" s="23" t="b">
        <f>if(countif(Status!C:C,A812)=1,TRUE, FALSE)</f>
        <v>1</v>
      </c>
      <c r="G812" s="23" t="str">
        <f>'2.4.raw'!AQ812</f>
        <v>Sample collected by Debabrata Maity</v>
      </c>
    </row>
    <row r="813">
      <c r="A813" s="23" t="str">
        <f t="shared" si="2"/>
        <v>FB1399</v>
      </c>
      <c r="B813" s="23" t="str">
        <f>'2.4.raw'!L813</f>
        <v>FB1399</v>
      </c>
      <c r="C813" s="24">
        <f>datevalue(left('2.4.raw'!A813,10))</f>
        <v>43893</v>
      </c>
      <c r="D813" s="23">
        <f>'2.4.raw'!G813</f>
        <v>99</v>
      </c>
      <c r="E813" s="1">
        <v>2.39999999999999</v>
      </c>
      <c r="F813" s="23" t="b">
        <f>if(countif(Status!C:C,A813)=1,TRUE, FALSE)</f>
        <v>1</v>
      </c>
      <c r="G813" s="23" t="str">
        <f>'2.4.raw'!AQ813</f>
        <v>Sample collected by Debabrata Maity, FB at MO1205 site</v>
      </c>
    </row>
    <row r="814">
      <c r="A814" s="23" t="str">
        <f t="shared" si="2"/>
        <v>MO1206</v>
      </c>
      <c r="B814" s="23" t="str">
        <f>'2.4.raw'!L814</f>
        <v>MO1206</v>
      </c>
      <c r="C814" s="24">
        <f>datevalue(left('2.4.raw'!A814,10))</f>
        <v>43893</v>
      </c>
      <c r="D814" s="23">
        <f>'2.4.raw'!G814</f>
        <v>12</v>
      </c>
      <c r="E814" s="1">
        <v>2.39999999999999</v>
      </c>
      <c r="F814" s="23" t="b">
        <f>if(countif(Status!C:C,A814)=1,TRUE, FALSE)</f>
        <v>1</v>
      </c>
      <c r="G814" s="23" t="str">
        <f>'2.4.raw'!AQ814</f>
        <v>Sample collected by Suvankar Mandal</v>
      </c>
    </row>
    <row r="815">
      <c r="A815" s="23" t="str">
        <f t="shared" si="2"/>
        <v>FB1400</v>
      </c>
      <c r="B815" s="23" t="str">
        <f>'2.4.raw'!L815</f>
        <v>FB1400</v>
      </c>
      <c r="C815" s="24">
        <f>datevalue(left('2.4.raw'!A815,10))</f>
        <v>43893</v>
      </c>
      <c r="D815" s="23">
        <f>'2.4.raw'!G815</f>
        <v>99</v>
      </c>
      <c r="E815" s="1">
        <v>2.39999999999999</v>
      </c>
      <c r="F815" s="23" t="b">
        <f>if(countif(Status!C:C,A815)=1,TRUE, FALSE)</f>
        <v>1</v>
      </c>
      <c r="G815" s="23" t="str">
        <f>'2.4.raw'!AQ815</f>
        <v>Sample collected by Suvankar Mandal, FB at MO1206 site</v>
      </c>
    </row>
    <row r="816">
      <c r="A816" s="23" t="str">
        <f t="shared" si="2"/>
        <v>MO1207</v>
      </c>
      <c r="B816" s="23" t="str">
        <f>'2.4.raw'!L816</f>
        <v>MO1207</v>
      </c>
      <c r="C816" s="24">
        <f>datevalue(left('2.4.raw'!A816,10))</f>
        <v>43893</v>
      </c>
      <c r="D816" s="23">
        <f>'2.4.raw'!G816</f>
        <v>12</v>
      </c>
      <c r="E816" s="1">
        <v>2.39999999999999</v>
      </c>
      <c r="F816" s="23" t="b">
        <f>if(countif(Status!C:C,A816)=1,TRUE, FALSE)</f>
        <v>1</v>
      </c>
      <c r="G816" s="23" t="str">
        <f>'2.4.raw'!AQ816</f>
        <v>Sample collected by Somnath Sarkar</v>
      </c>
    </row>
    <row r="817">
      <c r="A817" s="23" t="str">
        <f t="shared" si="2"/>
        <v>FB1401</v>
      </c>
      <c r="B817" s="23" t="str">
        <f>'2.4.raw'!L817</f>
        <v>FB1401</v>
      </c>
      <c r="C817" s="24">
        <f>datevalue(left('2.4.raw'!A817,10))</f>
        <v>43893</v>
      </c>
      <c r="D817" s="23">
        <f>'2.4.raw'!G817</f>
        <v>99</v>
      </c>
      <c r="E817" s="1">
        <v>2.39999999999999</v>
      </c>
      <c r="F817" s="23" t="b">
        <f>if(countif(Status!C:C,A817)=1,TRUE, FALSE)</f>
        <v>1</v>
      </c>
      <c r="G817" s="23" t="str">
        <f>'2.4.raw'!AQ817</f>
        <v>Sample collected by Somnath Sarkar, FB at MO1207 site</v>
      </c>
    </row>
    <row r="818">
      <c r="A818" s="23" t="str">
        <f t="shared" si="2"/>
        <v>UF1027</v>
      </c>
      <c r="B818" s="23" t="str">
        <f>'2.4.raw'!L818</f>
        <v>UF1027</v>
      </c>
      <c r="C818" s="24">
        <f>datevalue(left('2.4.raw'!A818,10))</f>
        <v>43893</v>
      </c>
      <c r="D818" s="23">
        <f>'2.4.raw'!G818</f>
        <v>11</v>
      </c>
      <c r="E818" s="1">
        <v>2.39999999999999</v>
      </c>
      <c r="F818" s="23" t="b">
        <f>if(countif(Status!C:C,A818)=1,TRUE, FALSE)</f>
        <v>1</v>
      </c>
      <c r="G818" s="23" t="str">
        <f>'2.4.raw'!AQ818</f>
        <v>Sample collected by Suvankar Mandal</v>
      </c>
    </row>
    <row r="819">
      <c r="A819" s="23" t="str">
        <f t="shared" si="2"/>
        <v>MO1208</v>
      </c>
      <c r="B819" s="23" t="str">
        <f>'2.4.raw'!L819</f>
        <v>MO1208</v>
      </c>
      <c r="C819" s="24">
        <f>datevalue(left('2.4.raw'!A819,10))</f>
        <v>43893</v>
      </c>
      <c r="D819" s="23">
        <f>'2.4.raw'!G819</f>
        <v>12</v>
      </c>
      <c r="E819" s="1">
        <v>2.39999999999999</v>
      </c>
      <c r="F819" s="23" t="b">
        <f>if(countif(Status!C:C,A819)=1,TRUE, FALSE)</f>
        <v>1</v>
      </c>
      <c r="G819" s="23" t="str">
        <f>'2.4.raw'!AQ819</f>
        <v>Sample collected by Somnath Sarkar</v>
      </c>
    </row>
    <row r="820">
      <c r="A820" s="23" t="str">
        <f t="shared" si="2"/>
        <v>FB1402</v>
      </c>
      <c r="B820" s="23" t="str">
        <f>'2.4.raw'!L820</f>
        <v>FB1402</v>
      </c>
      <c r="C820" s="24">
        <f>datevalue(left('2.4.raw'!A820,10))</f>
        <v>43893</v>
      </c>
      <c r="D820" s="23">
        <f>'2.4.raw'!G820</f>
        <v>99</v>
      </c>
      <c r="E820" s="1">
        <v>2.39999999999999</v>
      </c>
      <c r="F820" s="23" t="b">
        <f>if(countif(Status!C:C,A820)=1,TRUE, FALSE)</f>
        <v>1</v>
      </c>
      <c r="G820" s="23" t="str">
        <f>'2.4.raw'!AQ820</f>
        <v>Sample collected by Somnath Sarkar, FB at MO1208 site</v>
      </c>
    </row>
    <row r="821">
      <c r="A821" s="23" t="str">
        <f t="shared" si="2"/>
        <v>MO1209</v>
      </c>
      <c r="B821" s="23" t="str">
        <f>'2.4.raw'!L821</f>
        <v>MO1209</v>
      </c>
      <c r="C821" s="24">
        <f>datevalue(left('2.4.raw'!A821,10))</f>
        <v>43894</v>
      </c>
      <c r="D821" s="23">
        <f>'2.4.raw'!G821</f>
        <v>12</v>
      </c>
      <c r="E821" s="1">
        <v>2.39999999999999</v>
      </c>
      <c r="F821" s="23" t="b">
        <f>if(countif(Status!C:C,A821)=1,TRUE, FALSE)</f>
        <v>1</v>
      </c>
      <c r="G821" s="23" t="str">
        <f>'2.4.raw'!AQ821</f>
        <v>Sample collected by Biplab Jash</v>
      </c>
    </row>
    <row r="822">
      <c r="A822" s="23" t="str">
        <f t="shared" si="2"/>
        <v>FB1403</v>
      </c>
      <c r="B822" s="23" t="str">
        <f>'2.4.raw'!L822</f>
        <v>FB1403</v>
      </c>
      <c r="C822" s="24">
        <f>datevalue(left('2.4.raw'!A822,10))</f>
        <v>43894</v>
      </c>
      <c r="D822" s="23">
        <f>'2.4.raw'!G822</f>
        <v>99</v>
      </c>
      <c r="E822" s="1">
        <v>2.39999999999999</v>
      </c>
      <c r="F822" s="23" t="b">
        <f>if(countif(Status!C:C,A822)=1,TRUE, FALSE)</f>
        <v>1</v>
      </c>
      <c r="G822" s="23" t="str">
        <f>'2.4.raw'!AQ822</f>
        <v>Sample collected by Biplab Jash</v>
      </c>
    </row>
    <row r="823">
      <c r="A823" s="23" t="str">
        <f t="shared" si="2"/>
        <v>MO1210</v>
      </c>
      <c r="B823" s="23" t="str">
        <f>'2.4.raw'!L823</f>
        <v>MO1210</v>
      </c>
      <c r="C823" s="24">
        <f>datevalue(left('2.4.raw'!A823,10))</f>
        <v>43894</v>
      </c>
      <c r="D823" s="23">
        <f>'2.4.raw'!G823</f>
        <v>12</v>
      </c>
      <c r="E823" s="1">
        <v>2.39999999999999</v>
      </c>
      <c r="F823" s="23" t="b">
        <f>if(countif(Status!C:C,A823)=1,TRUE, FALSE)</f>
        <v>1</v>
      </c>
      <c r="G823" s="23" t="str">
        <f>'2.4.raw'!AQ823</f>
        <v>Sample collected by Ashis saha</v>
      </c>
    </row>
    <row r="824">
      <c r="A824" s="23" t="str">
        <f t="shared" si="2"/>
        <v>FB1404</v>
      </c>
      <c r="B824" s="23" t="str">
        <f>'2.4.raw'!L824</f>
        <v>FB1404</v>
      </c>
      <c r="C824" s="24">
        <f>datevalue(left('2.4.raw'!A824,10))</f>
        <v>43894</v>
      </c>
      <c r="D824" s="23">
        <f>'2.4.raw'!G824</f>
        <v>99</v>
      </c>
      <c r="E824" s="1">
        <v>2.39999999999999</v>
      </c>
      <c r="F824" s="23" t="b">
        <f>if(countif(Status!C:C,A824)=1,TRUE, FALSE)</f>
        <v>1</v>
      </c>
      <c r="G824" s="23" t="str">
        <f>'2.4.raw'!AQ824</f>
        <v>Sample collected by Ashis saha</v>
      </c>
    </row>
    <row r="825">
      <c r="A825" s="23" t="str">
        <f t="shared" si="2"/>
        <v>MO1211</v>
      </c>
      <c r="B825" s="23" t="str">
        <f>'2.4.raw'!L825</f>
        <v>MO1211</v>
      </c>
      <c r="C825" s="24">
        <f>datevalue(left('2.4.raw'!A825,10))</f>
        <v>43894</v>
      </c>
      <c r="D825" s="23">
        <f>'2.4.raw'!G825</f>
        <v>12</v>
      </c>
      <c r="E825" s="1">
        <v>2.39999999999999</v>
      </c>
      <c r="F825" s="23" t="b">
        <f>if(countif(Status!C:C,A825)=1,TRUE, FALSE)</f>
        <v>1</v>
      </c>
      <c r="G825" s="23" t="str">
        <f>'2.4.raw'!AQ825</f>
        <v>Sample collected by Biplab Jash, at Ward No 29 under SDDM</v>
      </c>
    </row>
    <row r="826">
      <c r="A826" s="23" t="str">
        <f t="shared" si="2"/>
        <v>FB1405</v>
      </c>
      <c r="B826" s="23" t="str">
        <f>'2.4.raw'!L826</f>
        <v>FB1405</v>
      </c>
      <c r="C826" s="24">
        <f>datevalue(left('2.4.raw'!A826,10))</f>
        <v>43894</v>
      </c>
      <c r="D826" s="23">
        <f>'2.4.raw'!G826</f>
        <v>99</v>
      </c>
      <c r="E826" s="1">
        <v>2.39999999999999</v>
      </c>
      <c r="F826" s="23" t="b">
        <f>if(countif(Status!C:C,A826)=1,TRUE, FALSE)</f>
        <v>1</v>
      </c>
      <c r="G826" s="23" t="str">
        <f>'2.4.raw'!AQ826</f>
        <v>Sample collected by Biplab Jash</v>
      </c>
    </row>
    <row r="827">
      <c r="A827" s="23" t="str">
        <f t="shared" si="2"/>
        <v>UF1028</v>
      </c>
      <c r="B827" s="23" t="str">
        <f>'2.4.raw'!L827</f>
        <v>UF1028</v>
      </c>
      <c r="C827" s="24">
        <f>datevalue(left('2.4.raw'!A827,10))</f>
        <v>43894</v>
      </c>
      <c r="D827" s="23">
        <f>'2.4.raw'!G827</f>
        <v>11</v>
      </c>
      <c r="E827" s="1">
        <v>2.39999999999999</v>
      </c>
      <c r="F827" s="23" t="b">
        <f>if(countif(Status!C:C,A827)=1,TRUE, FALSE)</f>
        <v>1</v>
      </c>
      <c r="G827" s="23" t="str">
        <f>'2.4.raw'!AQ827</f>
        <v>Sample collected by Somnath Sarkar</v>
      </c>
    </row>
    <row r="828">
      <c r="A828" s="23" t="str">
        <f t="shared" si="2"/>
        <v>PL1030</v>
      </c>
      <c r="B828" s="23" t="str">
        <f>'2.4.raw'!L828</f>
        <v>PL1030</v>
      </c>
      <c r="C828" s="24">
        <f>datevalue(left('2.4.raw'!A828,10))</f>
        <v>43894</v>
      </c>
      <c r="D828" s="23">
        <f>'2.4.raw'!G828</f>
        <v>11</v>
      </c>
      <c r="E828" s="1">
        <v>2.39999999999999</v>
      </c>
      <c r="F828" s="23" t="b">
        <f>if(countif(Status!C:C,A828)=1,TRUE, FALSE)</f>
        <v>1</v>
      </c>
      <c r="G828" s="23" t="str">
        <f>'2.4.raw'!AQ828</f>
        <v>Sample collected by Suvankar Mandal</v>
      </c>
    </row>
    <row r="829">
      <c r="A829" s="23" t="str">
        <f t="shared" si="2"/>
        <v>FB1406</v>
      </c>
      <c r="B829" s="23" t="str">
        <f>'2.4.raw'!L829</f>
        <v>FB1406</v>
      </c>
      <c r="C829" s="24">
        <f>datevalue(left('2.4.raw'!A829,10))</f>
        <v>43894</v>
      </c>
      <c r="D829" s="23">
        <f>'2.4.raw'!G829</f>
        <v>99</v>
      </c>
      <c r="E829" s="1">
        <v>2.39999999999999</v>
      </c>
      <c r="F829" s="23" t="b">
        <f>if(countif(Status!C:C,A829)=1,TRUE, FALSE)</f>
        <v>1</v>
      </c>
      <c r="G829" s="23" t="str">
        <f>'2.4.raw'!AQ829</f>
        <v>Sample collected by Suvankar Mandal, FB at PL1030 site</v>
      </c>
    </row>
    <row r="830">
      <c r="A830" s="23" t="str">
        <f t="shared" si="2"/>
        <v>PL1031</v>
      </c>
      <c r="B830" s="23" t="str">
        <f>'2.4.raw'!L830</f>
        <v>PL1031</v>
      </c>
      <c r="C830" s="24">
        <f>datevalue(left('2.4.raw'!A830,10))</f>
        <v>43894</v>
      </c>
      <c r="D830" s="23">
        <f>'2.4.raw'!G830</f>
        <v>11</v>
      </c>
      <c r="E830" s="1">
        <v>2.39999999999999</v>
      </c>
      <c r="F830" s="23" t="b">
        <f>if(countif(Status!C:C,A830)=1,TRUE, FALSE)</f>
        <v>1</v>
      </c>
      <c r="G830" s="23" t="str">
        <f>'2.4.raw'!AQ830</f>
        <v>Sample collected by Somnath Sarkar</v>
      </c>
    </row>
    <row r="831">
      <c r="A831" s="23" t="str">
        <f t="shared" si="2"/>
        <v>FB1407</v>
      </c>
      <c r="B831" s="23" t="str">
        <f>'2.4.raw'!L831</f>
        <v>FB1407</v>
      </c>
      <c r="C831" s="24">
        <f>datevalue(left('2.4.raw'!A831,10))</f>
        <v>43894</v>
      </c>
      <c r="D831" s="23">
        <f>'2.4.raw'!G831</f>
        <v>99</v>
      </c>
      <c r="E831" s="1">
        <v>2.39999999999999</v>
      </c>
      <c r="F831" s="23" t="b">
        <f>if(countif(Status!C:C,A831)=1,TRUE, FALSE)</f>
        <v>1</v>
      </c>
      <c r="G831" s="23" t="str">
        <f>'2.4.raw'!AQ831</f>
        <v>Sample collected by Somnath Sarkar, FB at PL1031 site</v>
      </c>
    </row>
    <row r="832">
      <c r="A832" s="23" t="str">
        <f t="shared" si="2"/>
        <v>PLc1218</v>
      </c>
      <c r="B832" s="23" t="str">
        <f>'2.4.raw'!L832</f>
        <v>PLc1218</v>
      </c>
      <c r="C832" s="24">
        <f>datevalue(left('2.4.raw'!A832,10))</f>
        <v>43895</v>
      </c>
      <c r="D832" s="23">
        <f>'2.4.raw'!G832</f>
        <v>11</v>
      </c>
      <c r="E832" s="1">
        <v>2.39999999999999</v>
      </c>
      <c r="F832" s="23" t="b">
        <f>if(countif(Status!C:C,A832)=1,TRUE, FALSE)</f>
        <v>1</v>
      </c>
      <c r="G832" s="23" t="str">
        <f>'2.4.raw'!AQ832</f>
        <v>Sample collected by Somnath Sarkar</v>
      </c>
    </row>
    <row r="833">
      <c r="A833" s="23" t="str">
        <f t="shared" si="2"/>
        <v>FB1413</v>
      </c>
      <c r="B833" s="23" t="str">
        <f>'2.4.raw'!L833</f>
        <v>FB1413</v>
      </c>
      <c r="C833" s="24">
        <f>datevalue(left('2.4.raw'!A833,10))</f>
        <v>43895</v>
      </c>
      <c r="D833" s="23">
        <f>'2.4.raw'!G833</f>
        <v>99</v>
      </c>
      <c r="E833" s="1">
        <v>2.39999999999999</v>
      </c>
      <c r="F833" s="23" t="b">
        <f>if(countif(Status!C:C,A833)=1,TRUE, FALSE)</f>
        <v>1</v>
      </c>
      <c r="G833" s="23" t="str">
        <f>'2.4.raw'!AQ833</f>
        <v>Sample collected by Somnath Sarkar, FB at PLc1218 site</v>
      </c>
    </row>
    <row r="834">
      <c r="A834" s="23" t="str">
        <f t="shared" si="2"/>
        <v>PLc1219</v>
      </c>
      <c r="B834" s="23" t="str">
        <f>'2.4.raw'!L834</f>
        <v>PLc1219</v>
      </c>
      <c r="C834" s="24">
        <f>datevalue(left('2.4.raw'!A834,10))</f>
        <v>43895</v>
      </c>
      <c r="D834" s="23">
        <f>'2.4.raw'!G834</f>
        <v>11</v>
      </c>
      <c r="E834" s="1">
        <v>2.39999999999999</v>
      </c>
      <c r="F834" s="23" t="b">
        <f>if(countif(Status!C:C,A834)=1,TRUE, FALSE)</f>
        <v>1</v>
      </c>
      <c r="G834" s="23" t="str">
        <f>'2.4.raw'!AQ834</f>
        <v>Sample collected by Suvankar Mandal</v>
      </c>
    </row>
    <row r="835">
      <c r="A835" s="23" t="str">
        <f t="shared" si="2"/>
        <v>FB1414</v>
      </c>
      <c r="B835" s="23" t="str">
        <f>'2.4.raw'!L835</f>
        <v>FB1414</v>
      </c>
      <c r="C835" s="24">
        <f>datevalue(left('2.4.raw'!A835,10))</f>
        <v>43895</v>
      </c>
      <c r="D835" s="23">
        <f>'2.4.raw'!G835</f>
        <v>99</v>
      </c>
      <c r="E835" s="1">
        <v>2.39999999999999</v>
      </c>
      <c r="F835" s="23" t="b">
        <f>if(countif(Status!C:C,A835)=1,TRUE, FALSE)</f>
        <v>1</v>
      </c>
      <c r="G835" s="23" t="str">
        <f>'2.4.raw'!AQ835</f>
        <v>Sample collected by Suvankar Mandal, FB at PLc1219 site</v>
      </c>
    </row>
    <row r="836">
      <c r="A836" s="23" t="str">
        <f t="shared" si="2"/>
        <v>MO1218</v>
      </c>
      <c r="B836" s="23" t="str">
        <f>'2.4.raw'!L836</f>
        <v>MO1218</v>
      </c>
      <c r="C836" s="24">
        <f>datevalue(left('2.4.raw'!A836,10))</f>
        <v>43902</v>
      </c>
      <c r="D836" s="23">
        <f>'2.4.raw'!G836</f>
        <v>12</v>
      </c>
      <c r="E836" s="1">
        <v>2.39999999999999</v>
      </c>
      <c r="F836" s="23" t="b">
        <f>if(countif(Status!C:C,A836)=1,TRUE, FALSE)</f>
        <v>1</v>
      </c>
      <c r="G836" s="23" t="str">
        <f>'2.4.raw'!AQ836</f>
        <v>Sample collected by Biplab Jash, KMC Ward No 104</v>
      </c>
    </row>
    <row r="837">
      <c r="A837" s="23" t="str">
        <f t="shared" si="2"/>
        <v>MO1219</v>
      </c>
      <c r="B837" s="23" t="str">
        <f>'2.4.raw'!L837</f>
        <v>MO1219</v>
      </c>
      <c r="C837" s="24">
        <f>datevalue(left('2.4.raw'!A837,10))</f>
        <v>43902</v>
      </c>
      <c r="D837" s="23">
        <f>'2.4.raw'!G837</f>
        <v>12</v>
      </c>
      <c r="E837" s="1">
        <v>2.39999999999999</v>
      </c>
      <c r="F837" s="23" t="b">
        <f>if(countif(Status!C:C,A837)=1,TRUE, FALSE)</f>
        <v>1</v>
      </c>
      <c r="G837" s="23" t="str">
        <f>'2.4.raw'!AQ837</f>
        <v>Sample collected by Ashis saha</v>
      </c>
    </row>
    <row r="838">
      <c r="A838" s="23" t="str">
        <f t="shared" si="2"/>
        <v>MO1220</v>
      </c>
      <c r="B838" s="23" t="str">
        <f>'2.4.raw'!L838</f>
        <v>MO1220</v>
      </c>
      <c r="C838" s="24">
        <f>datevalue(left('2.4.raw'!A838,10))</f>
        <v>43902</v>
      </c>
      <c r="D838" s="23">
        <f>'2.4.raw'!G838</f>
        <v>12</v>
      </c>
      <c r="E838" s="1">
        <v>2.39999999999999</v>
      </c>
      <c r="F838" s="23" t="b">
        <f>if(countif(Status!C:C,A838)=1,TRUE, FALSE)</f>
        <v>1</v>
      </c>
      <c r="G838" s="23" t="str">
        <f>'2.4.raw'!AQ838</f>
        <v>Sample collected by Biplab Jash</v>
      </c>
    </row>
    <row r="839">
      <c r="A839" s="23" t="str">
        <f t="shared" si="2"/>
        <v>MO1221</v>
      </c>
      <c r="B839" s="23" t="str">
        <f>'2.4.raw'!L839</f>
        <v>MO1221</v>
      </c>
      <c r="C839" s="24">
        <f>datevalue(left('2.4.raw'!A839,10))</f>
        <v>43902</v>
      </c>
      <c r="D839" s="23">
        <f>'2.4.raw'!G839</f>
        <v>12</v>
      </c>
      <c r="E839" s="1">
        <v>2.39999999999999</v>
      </c>
      <c r="F839" s="23" t="b">
        <f>if(countif(Status!C:C,A839)=1,TRUE, FALSE)</f>
        <v>1</v>
      </c>
      <c r="G839" s="23" t="str">
        <f>'2.4.raw'!AQ839</f>
        <v>Sample collected by Biplab Jash</v>
      </c>
    </row>
    <row r="840">
      <c r="A840" s="23" t="str">
        <f t="shared" si="2"/>
        <v>FB1417</v>
      </c>
      <c r="B840" s="23" t="str">
        <f>'2.4.raw'!L840</f>
        <v>FB1417</v>
      </c>
      <c r="C840" s="24">
        <f>datevalue(left('2.4.raw'!A840,10))</f>
        <v>43902</v>
      </c>
      <c r="D840" s="23">
        <f>'2.4.raw'!G840</f>
        <v>99</v>
      </c>
      <c r="E840" s="1">
        <v>2.39999999999999</v>
      </c>
      <c r="F840" s="23" t="b">
        <f>if(countif(Status!C:C,A840)=1,TRUE, FALSE)</f>
        <v>1</v>
      </c>
      <c r="G840" s="23" t="str">
        <f>'2.4.raw'!AQ840</f>
        <v>Sample collected by Biplab Jash, FB at MO1221 site</v>
      </c>
    </row>
    <row r="841">
      <c r="A841" s="23" t="str">
        <f t="shared" si="2"/>
        <v>MO1217</v>
      </c>
      <c r="B841" s="23" t="str">
        <f>'2.4.raw'!L841</f>
        <v>MO1217</v>
      </c>
      <c r="C841" s="24">
        <f>datevalue(left('2.4.raw'!A841,10))</f>
        <v>43902</v>
      </c>
      <c r="D841" s="23">
        <f>'2.4.raw'!G841</f>
        <v>12</v>
      </c>
      <c r="E841" s="1">
        <v>2.39999999999999</v>
      </c>
      <c r="F841" s="23" t="b">
        <f>if(countif(Status!C:C,A841)=1,TRUE, FALSE)</f>
        <v>1</v>
      </c>
      <c r="G841" s="23" t="str">
        <f>'2.4.raw'!AQ841</f>
        <v>Sample collected by Biplab Jash, KMC Ward No 110</v>
      </c>
    </row>
    <row r="842">
      <c r="A842" s="23" t="str">
        <f t="shared" si="2"/>
        <v>MO1212</v>
      </c>
      <c r="B842" s="23" t="str">
        <f>'2.4.raw'!L842</f>
        <v>MO1212</v>
      </c>
      <c r="C842" s="24">
        <f>datevalue(left('2.4.raw'!A842,10))</f>
        <v>43895</v>
      </c>
      <c r="D842" s="23">
        <f>'2.4.raw'!G842</f>
        <v>12</v>
      </c>
      <c r="E842" s="1">
        <v>2.39999999999999</v>
      </c>
      <c r="F842" s="23" t="b">
        <f>if(countif(Status!C:C,A842)=1,TRUE, FALSE)</f>
        <v>1</v>
      </c>
      <c r="G842" s="23" t="str">
        <f>'2.4.raw'!AQ842</f>
        <v>Sample collected by Biplab Jash, KMC Ward No 110</v>
      </c>
    </row>
    <row r="843">
      <c r="A843" s="23" t="str">
        <f t="shared" si="2"/>
        <v>FB1408</v>
      </c>
      <c r="B843" s="23" t="str">
        <f>'2.4.raw'!L843</f>
        <v>FB1408</v>
      </c>
      <c r="C843" s="24">
        <f>datevalue(left('2.4.raw'!A843,10))</f>
        <v>43895</v>
      </c>
      <c r="D843" s="23">
        <f>'2.4.raw'!G843</f>
        <v>99</v>
      </c>
      <c r="E843" s="1">
        <v>2.39999999999999</v>
      </c>
      <c r="F843" s="23" t="b">
        <f>if(countif(Status!C:C,A843)=1,TRUE, FALSE)</f>
        <v>1</v>
      </c>
      <c r="G843" s="23" t="str">
        <f>'2.4.raw'!AQ843</f>
        <v>Sample collected by Biplab Jash, FB at MO1212 site, KMC Ward No 110</v>
      </c>
    </row>
    <row r="844">
      <c r="A844" s="23" t="str">
        <f t="shared" si="2"/>
        <v>MO1213</v>
      </c>
      <c r="B844" s="23" t="str">
        <f>'2.4.raw'!L844</f>
        <v>MO1213</v>
      </c>
      <c r="C844" s="24">
        <f>datevalue(left('2.4.raw'!A844,10))</f>
        <v>43895</v>
      </c>
      <c r="D844" s="23">
        <f>'2.4.raw'!G844</f>
        <v>12</v>
      </c>
      <c r="E844" s="1">
        <v>2.39999999999999</v>
      </c>
      <c r="F844" s="23" t="b">
        <f>if(countif(Status!C:C,A844)=1,TRUE, FALSE)</f>
        <v>1</v>
      </c>
      <c r="G844" s="23" t="str">
        <f>'2.4.raw'!AQ844</f>
        <v>Sample collected by Debabrata Maity, KMC Ward No 104</v>
      </c>
    </row>
    <row r="845">
      <c r="A845" s="23" t="str">
        <f t="shared" si="2"/>
        <v>FB1409</v>
      </c>
      <c r="B845" s="23" t="str">
        <f>'2.4.raw'!L845</f>
        <v>FB1409</v>
      </c>
      <c r="C845" s="24">
        <f>datevalue(left('2.4.raw'!A845,10))</f>
        <v>43895</v>
      </c>
      <c r="D845" s="23">
        <f>'2.4.raw'!G845</f>
        <v>99</v>
      </c>
      <c r="E845" s="1">
        <v>2.39999999999999</v>
      </c>
      <c r="F845" s="23" t="b">
        <f>if(countif(Status!C:C,A845)=1,TRUE, FALSE)</f>
        <v>1</v>
      </c>
      <c r="G845" s="23" t="str">
        <f>'2.4.raw'!AQ845</f>
        <v>Sample collected by Debabrata Maity, FB at MO1213 site, KMC Ward No104</v>
      </c>
    </row>
    <row r="846">
      <c r="A846" s="23" t="str">
        <f t="shared" si="2"/>
        <v>MO1214</v>
      </c>
      <c r="B846" s="23" t="str">
        <f>'2.4.raw'!L846</f>
        <v>MO1214</v>
      </c>
      <c r="C846" s="24">
        <f>datevalue(left('2.4.raw'!A846,10))</f>
        <v>43895</v>
      </c>
      <c r="D846" s="23">
        <f>'2.4.raw'!G846</f>
        <v>12</v>
      </c>
      <c r="E846" s="1">
        <v>2.39999999999999</v>
      </c>
      <c r="F846" s="23" t="b">
        <f>if(countif(Status!C:C,A846)=1,TRUE, FALSE)</f>
        <v>1</v>
      </c>
      <c r="G846" s="23" t="str">
        <f>'2.4.raw'!AQ846</f>
        <v>Sample collected by Biplab Jash</v>
      </c>
    </row>
    <row r="847">
      <c r="A847" s="23" t="str">
        <f t="shared" si="2"/>
        <v>FB1410</v>
      </c>
      <c r="B847" s="23" t="str">
        <f>'2.4.raw'!L847</f>
        <v>FB1410</v>
      </c>
      <c r="C847" s="24">
        <f>datevalue(left('2.4.raw'!A847,10))</f>
        <v>43895</v>
      </c>
      <c r="D847" s="23">
        <f>'2.4.raw'!G847</f>
        <v>99</v>
      </c>
      <c r="E847" s="1">
        <v>2.39999999999999</v>
      </c>
      <c r="F847" s="23" t="b">
        <f>if(countif(Status!C:C,A847)=1,TRUE, FALSE)</f>
        <v>1</v>
      </c>
      <c r="G847" s="23" t="str">
        <f>'2.4.raw'!AQ847</f>
        <v>Sample collected by Biplab Jash, FB at MO1214 site</v>
      </c>
    </row>
    <row r="848">
      <c r="A848" s="23" t="str">
        <f t="shared" si="2"/>
        <v>MO1215</v>
      </c>
      <c r="B848" s="23" t="str">
        <f>'2.4.raw'!L848</f>
        <v>MO1215</v>
      </c>
      <c r="C848" s="24">
        <f>datevalue(left('2.4.raw'!A848,10))</f>
        <v>43895</v>
      </c>
      <c r="D848" s="23">
        <f>'2.4.raw'!G848</f>
        <v>12</v>
      </c>
      <c r="E848" s="1">
        <v>2.39999999999999</v>
      </c>
      <c r="F848" s="23" t="b">
        <f>if(countif(Status!C:C,A848)=1,TRUE, FALSE)</f>
        <v>1</v>
      </c>
      <c r="G848" s="23" t="str">
        <f>'2.4.raw'!AQ848</f>
        <v>Sample collected by Debabrata Maity</v>
      </c>
    </row>
    <row r="849">
      <c r="A849" s="23" t="str">
        <f t="shared" si="2"/>
        <v>FB1411</v>
      </c>
      <c r="B849" s="23" t="str">
        <f>'2.4.raw'!L849</f>
        <v>FB1411</v>
      </c>
      <c r="C849" s="24">
        <f>datevalue(left('2.4.raw'!A849,10))</f>
        <v>43895</v>
      </c>
      <c r="D849" s="23">
        <f>'2.4.raw'!G849</f>
        <v>99</v>
      </c>
      <c r="E849" s="1">
        <v>2.39999999999999</v>
      </c>
      <c r="F849" s="23" t="b">
        <f>if(countif(Status!C:C,A849)=1,TRUE, FALSE)</f>
        <v>1</v>
      </c>
      <c r="G849" s="23" t="str">
        <f>'2.4.raw'!AQ849</f>
        <v>Sample collected by Debabrata Maity, FB at MO1215 site</v>
      </c>
    </row>
    <row r="850">
      <c r="A850" s="23" t="str">
        <f t="shared" si="2"/>
        <v>MO1216</v>
      </c>
      <c r="B850" s="23" t="str">
        <f>'2.4.raw'!L850</f>
        <v>MO1216</v>
      </c>
      <c r="C850" s="24">
        <f>datevalue(left('2.4.raw'!A850,10))</f>
        <v>43895</v>
      </c>
      <c r="D850" s="23">
        <f>'2.4.raw'!G850</f>
        <v>12</v>
      </c>
      <c r="E850" s="1">
        <v>2.39999999999999</v>
      </c>
      <c r="F850" s="23" t="b">
        <f>if(countif(Status!C:C,A850)=1,TRUE, FALSE)</f>
        <v>1</v>
      </c>
      <c r="G850" s="23" t="str">
        <f>'2.4.raw'!AQ850</f>
        <v>Sample collected by Biplab Jash</v>
      </c>
    </row>
    <row r="851">
      <c r="A851" s="23" t="str">
        <f t="shared" si="2"/>
        <v>FB1412</v>
      </c>
      <c r="B851" s="23" t="str">
        <f>'2.4.raw'!L851</f>
        <v>FB1412</v>
      </c>
      <c r="C851" s="24">
        <f>datevalue(left('2.4.raw'!A851,10))</f>
        <v>43895</v>
      </c>
      <c r="D851" s="23">
        <f>'2.4.raw'!G851</f>
        <v>99</v>
      </c>
      <c r="E851" s="1">
        <v>2.39999999999999</v>
      </c>
      <c r="F851" s="23" t="b">
        <f>if(countif(Status!C:C,A851)=1,TRUE, FALSE)</f>
        <v>1</v>
      </c>
      <c r="G851" s="23" t="str">
        <f>'2.4.raw'!AQ851</f>
        <v>Sample collected by Biplab Jash, FB at MO1216 site</v>
      </c>
    </row>
    <row r="852">
      <c r="A852" s="23" t="str">
        <f t="shared" si="2"/>
        <v>PL1032</v>
      </c>
      <c r="B852" s="23" t="str">
        <f>'2.4.raw'!L852</f>
        <v>PL1032</v>
      </c>
      <c r="C852" s="24">
        <f>datevalue(left('2.4.raw'!A852,10))</f>
        <v>43901</v>
      </c>
      <c r="D852" s="23">
        <f>'2.4.raw'!G852</f>
        <v>11</v>
      </c>
      <c r="E852" s="1">
        <v>2.39999999999999</v>
      </c>
      <c r="F852" s="23" t="b">
        <f>if(countif(Status!C:C,A852)=1,TRUE, FALSE)</f>
        <v>1</v>
      </c>
      <c r="G852" s="23" t="str">
        <f>'2.4.raw'!AQ852</f>
        <v>Sample collected by Somnath Sarkar</v>
      </c>
    </row>
    <row r="853">
      <c r="A853" s="23" t="str">
        <f t="shared" si="2"/>
        <v>PL1033</v>
      </c>
      <c r="B853" s="23" t="str">
        <f>'2.4.raw'!L853</f>
        <v>PL1033</v>
      </c>
      <c r="C853" s="24">
        <f>datevalue(left('2.4.raw'!A853,10))</f>
        <v>43901</v>
      </c>
      <c r="D853" s="23">
        <f>'2.4.raw'!G853</f>
        <v>11</v>
      </c>
      <c r="E853" s="1">
        <v>2.39999999999999</v>
      </c>
      <c r="F853" s="23" t="b">
        <f>if(countif(Status!C:C,A853)=1,TRUE, FALSE)</f>
        <v>1</v>
      </c>
      <c r="G853" s="23" t="str">
        <f>'2.4.raw'!AQ853</f>
        <v>Sample collected by Buddhadeb Samaddar</v>
      </c>
    </row>
    <row r="854">
      <c r="A854" s="23" t="str">
        <f t="shared" si="2"/>
        <v>FB1416</v>
      </c>
      <c r="B854" s="23" t="str">
        <f>'2.4.raw'!L854</f>
        <v>FB1416</v>
      </c>
      <c r="C854" s="24">
        <f>datevalue(left('2.4.raw'!A854,10))</f>
        <v>43901</v>
      </c>
      <c r="D854" s="23">
        <f>'2.4.raw'!G854</f>
        <v>99</v>
      </c>
      <c r="E854" s="1">
        <v>2.39999999999999</v>
      </c>
      <c r="F854" s="23" t="b">
        <f>if(countif(Status!C:C,A854)=1,TRUE, FALSE)</f>
        <v>1</v>
      </c>
      <c r="G854" s="23" t="str">
        <f>'2.4.raw'!AQ854</f>
        <v>Sample collected by Buddhadeb Samaddar</v>
      </c>
    </row>
    <row r="855">
      <c r="A855" s="23" t="str">
        <f t="shared" si="2"/>
        <v>PLc1220</v>
      </c>
      <c r="B855" s="23" t="str">
        <f>'2.4.raw'!L855</f>
        <v>PLc1220</v>
      </c>
      <c r="C855" s="24">
        <f>datevalue(left('2.4.raw'!A855,10))</f>
        <v>43902</v>
      </c>
      <c r="D855" s="23">
        <f>'2.4.raw'!G855</f>
        <v>11</v>
      </c>
      <c r="E855" s="1">
        <v>2.39999999999999</v>
      </c>
      <c r="F855" s="23" t="b">
        <f>if(countif(Status!C:C,A855)=1,TRUE, FALSE)</f>
        <v>1</v>
      </c>
      <c r="G855" s="23" t="str">
        <f>'2.4.raw'!AQ855</f>
        <v>Sample collected by Somnath Sarkar</v>
      </c>
    </row>
    <row r="856">
      <c r="A856" s="23" t="str">
        <f t="shared" si="2"/>
        <v>PLc1221</v>
      </c>
      <c r="B856" s="23" t="str">
        <f>'2.4.raw'!L856</f>
        <v>PLc1221</v>
      </c>
      <c r="C856" s="24">
        <f>datevalue(left('2.4.raw'!A856,10))</f>
        <v>43902</v>
      </c>
      <c r="D856" s="23">
        <f>'2.4.raw'!G856</f>
        <v>11</v>
      </c>
      <c r="E856" s="1">
        <v>2.39999999999999</v>
      </c>
      <c r="F856" s="23" t="b">
        <f>if(countif(Status!C:C,A856)=1,TRUE, FALSE)</f>
        <v>1</v>
      </c>
      <c r="G856" s="23" t="str">
        <f>'2.4.raw'!AQ856</f>
        <v>Sample collected by Buddhadeb Samaddar</v>
      </c>
    </row>
    <row r="857">
      <c r="A857" s="23" t="str">
        <f t="shared" si="2"/>
        <v>FB1418</v>
      </c>
      <c r="B857" s="23" t="str">
        <f>'2.4.raw'!L857</f>
        <v>FB1418</v>
      </c>
      <c r="C857" s="24">
        <f>datevalue(left('2.4.raw'!A857,10))</f>
        <v>43902</v>
      </c>
      <c r="D857" s="23">
        <f>'2.4.raw'!G857</f>
        <v>99</v>
      </c>
      <c r="E857" s="1">
        <v>2.39999999999999</v>
      </c>
      <c r="F857" s="23" t="b">
        <f>if(countif(Status!C:C,A857)=1,TRUE, FALSE)</f>
        <v>1</v>
      </c>
      <c r="G857" s="23" t="str">
        <f>'2.4.raw'!AQ857</f>
        <v>Sample collected by Buddhadeb Samaddar</v>
      </c>
    </row>
    <row r="858">
      <c r="A858" s="23" t="str">
        <f t="shared" si="2"/>
        <v>UF1029</v>
      </c>
      <c r="B858" s="23" t="str">
        <f>'2.4.raw'!L858</f>
        <v>UF1029</v>
      </c>
      <c r="C858" s="24">
        <f>datevalue(left('2.4.raw'!A858,10))</f>
        <v>43902</v>
      </c>
      <c r="D858" s="23">
        <f>'2.4.raw'!G858</f>
        <v>11</v>
      </c>
      <c r="E858" s="1">
        <v>2.39999999999999</v>
      </c>
      <c r="F858" s="23" t="b">
        <f>if(countif(Status!C:C,A858)=1,TRUE, FALSE)</f>
        <v>1</v>
      </c>
      <c r="G858" s="23" t="str">
        <f>'2.4.raw'!AQ858</f>
        <v>Sample collected by Debabrata Maity</v>
      </c>
    </row>
    <row r="859">
      <c r="A859" s="23" t="str">
        <f t="shared" si="2"/>
        <v>PLc1222</v>
      </c>
      <c r="B859" s="23" t="str">
        <f>'2.4.raw'!L859</f>
        <v>PLc1222</v>
      </c>
      <c r="C859" s="24">
        <f>datevalue(left('2.4.raw'!A859,10))</f>
        <v>43906</v>
      </c>
      <c r="D859" s="23">
        <f>'2.4.raw'!G859</f>
        <v>11</v>
      </c>
      <c r="E859" s="1">
        <v>2.39999999999999</v>
      </c>
      <c r="F859" s="23" t="b">
        <f>if(countif(Status!C:C,A859)=1,TRUE, FALSE)</f>
        <v>1</v>
      </c>
      <c r="G859" s="23" t="str">
        <f>'2.4.raw'!AQ859</f>
        <v>Sample collected by Somnath Sarkar</v>
      </c>
    </row>
    <row r="860">
      <c r="A860" s="23" t="str">
        <f t="shared" si="2"/>
        <v>PLc1223</v>
      </c>
      <c r="B860" s="23" t="str">
        <f>'2.4.raw'!L860</f>
        <v>PLc1223</v>
      </c>
      <c r="C860" s="24">
        <f>datevalue(left('2.4.raw'!A860,10))</f>
        <v>43906</v>
      </c>
      <c r="D860" s="23">
        <f>'2.4.raw'!G860</f>
        <v>11</v>
      </c>
      <c r="E860" s="1">
        <v>2.39999999999999</v>
      </c>
      <c r="F860" s="23" t="b">
        <f>if(countif(Status!C:C,A860)=1,TRUE, FALSE)</f>
        <v>1</v>
      </c>
      <c r="G860" s="23" t="str">
        <f>'2.4.raw'!AQ860</f>
        <v>Sample collected by Asish Saha</v>
      </c>
    </row>
    <row r="861">
      <c r="A861" s="23" t="str">
        <f t="shared" si="2"/>
        <v>FB1420</v>
      </c>
      <c r="B861" s="23" t="str">
        <f>'2.4.raw'!L861</f>
        <v>FB1420</v>
      </c>
      <c r="C861" s="24">
        <f>datevalue(left('2.4.raw'!A861,10))</f>
        <v>43906</v>
      </c>
      <c r="D861" s="23">
        <f>'2.4.raw'!G861</f>
        <v>99</v>
      </c>
      <c r="E861" s="1">
        <v>2.39999999999999</v>
      </c>
      <c r="F861" s="23" t="b">
        <f>if(countif(Status!C:C,A861)=1,TRUE, FALSE)</f>
        <v>1</v>
      </c>
      <c r="G861" s="23" t="str">
        <f>'2.4.raw'!AQ861</f>
        <v>Sample collected by Asish Saha</v>
      </c>
    </row>
    <row r="862">
      <c r="A862" s="23" t="str">
        <f t="shared" si="2"/>
        <v>MO1222</v>
      </c>
      <c r="B862" s="23" t="str">
        <f>'2.4.raw'!L862</f>
        <v>MO1222</v>
      </c>
      <c r="C862" s="24">
        <f>datevalue(left('2.4.raw'!A862,10))</f>
        <v>43907</v>
      </c>
      <c r="D862" s="23">
        <f>'2.4.raw'!G862</f>
        <v>12</v>
      </c>
      <c r="E862" s="1">
        <v>2.39999999999999</v>
      </c>
      <c r="F862" s="23" t="b">
        <f>if(countif(Status!C:C,A862)=1,TRUE, FALSE)</f>
        <v>1</v>
      </c>
      <c r="G862" s="23" t="str">
        <f>'2.4.raw'!AQ862</f>
        <v>Sample collected by Somnath Sarkar</v>
      </c>
    </row>
    <row r="863">
      <c r="A863" s="23" t="str">
        <f t="shared" si="2"/>
        <v>MO1223</v>
      </c>
      <c r="B863" s="23" t="str">
        <f>'2.4.raw'!L863</f>
        <v>MO1223</v>
      </c>
      <c r="C863" s="24">
        <f>datevalue(left('2.4.raw'!A863,10))</f>
        <v>43907</v>
      </c>
      <c r="D863" s="23">
        <f>'2.4.raw'!G863</f>
        <v>12</v>
      </c>
      <c r="E863" s="1">
        <v>2.39999999999999</v>
      </c>
      <c r="F863" s="23" t="b">
        <f>if(countif(Status!C:C,A863)=1,TRUE, FALSE)</f>
        <v>1</v>
      </c>
      <c r="G863" s="23" t="str">
        <f>'2.4.raw'!AQ863</f>
        <v>Sample collected by Debabrata Maity</v>
      </c>
    </row>
    <row r="864">
      <c r="A864" s="23" t="str">
        <f t="shared" si="2"/>
        <v>UF1030</v>
      </c>
      <c r="B864" s="23" t="str">
        <f>'2.4.raw'!L864</f>
        <v>UF1030</v>
      </c>
      <c r="C864" s="24">
        <f>datevalue(left('2.4.raw'!A864,10))</f>
        <v>43907</v>
      </c>
      <c r="D864" s="23">
        <f>'2.4.raw'!G864</f>
        <v>11</v>
      </c>
      <c r="E864" s="1">
        <v>2.39999999999999</v>
      </c>
      <c r="F864" s="23" t="b">
        <f>if(countif(Status!C:C,A864)=1,TRUE, FALSE)</f>
        <v>1</v>
      </c>
      <c r="G864" s="23" t="str">
        <f>'2.4.raw'!AQ864</f>
        <v>Sample collected by Somnath Sarkar</v>
      </c>
    </row>
    <row r="865">
      <c r="A865" s="23" t="str">
        <f t="shared" si="2"/>
        <v>MO1224</v>
      </c>
      <c r="B865" s="23" t="str">
        <f>'2.4.raw'!L865</f>
        <v>MO1224</v>
      </c>
      <c r="C865" s="24">
        <f>datevalue(left('2.4.raw'!A865,10))</f>
        <v>43907</v>
      </c>
      <c r="D865" s="23">
        <f>'2.4.raw'!G865</f>
        <v>12</v>
      </c>
      <c r="E865" s="1">
        <v>2.39999999999999</v>
      </c>
      <c r="F865" s="23" t="b">
        <f>if(countif(Status!C:C,A865)=1,TRUE, FALSE)</f>
        <v>1</v>
      </c>
      <c r="G865" s="23" t="str">
        <f>'2.4.raw'!AQ865</f>
        <v>Sample collected by Somnath Sarkar</v>
      </c>
    </row>
    <row r="866">
      <c r="A866" s="23" t="str">
        <f t="shared" si="2"/>
        <v>MO1225</v>
      </c>
      <c r="B866" s="23" t="str">
        <f>'2.4.raw'!L866</f>
        <v>MO1225</v>
      </c>
      <c r="C866" s="24">
        <f>datevalue(left('2.4.raw'!A866,10))</f>
        <v>43907</v>
      </c>
      <c r="D866" s="23">
        <f>'2.4.raw'!G866</f>
        <v>12</v>
      </c>
      <c r="E866" s="1">
        <v>2.39999999999999</v>
      </c>
      <c r="F866" s="23" t="b">
        <f>if(countif(Status!C:C,A866)=1,TRUE, FALSE)</f>
        <v>1</v>
      </c>
      <c r="G866" s="23" t="str">
        <f>'2.4.raw'!AQ866</f>
        <v>Sample collected by Debabrata Maity</v>
      </c>
    </row>
    <row r="867">
      <c r="A867" s="23" t="str">
        <f t="shared" si="2"/>
        <v>FB1422</v>
      </c>
      <c r="B867" s="23" t="str">
        <f>'2.4.raw'!L867</f>
        <v>FB1422</v>
      </c>
      <c r="C867" s="24">
        <f>datevalue(left('2.4.raw'!A867,10))</f>
        <v>43907</v>
      </c>
      <c r="D867" s="23">
        <f>'2.4.raw'!G867</f>
        <v>99</v>
      </c>
      <c r="E867" s="1">
        <v>2.39999999999999</v>
      </c>
      <c r="F867" s="23" t="b">
        <f>if(countif(Status!C:C,A867)=1,TRUE, FALSE)</f>
        <v>1</v>
      </c>
      <c r="G867" s="23" t="str">
        <f>'2.4.raw'!AQ867</f>
        <v>Sample collected by Debabrata Maity</v>
      </c>
    </row>
    <row r="868">
      <c r="A868" s="23" t="str">
        <f t="shared" si="2"/>
        <v>UF1031</v>
      </c>
      <c r="B868" s="23" t="str">
        <f>'2.4.raw'!L868</f>
        <v>UF1031</v>
      </c>
      <c r="C868" s="24">
        <f>datevalue(left('2.4.raw'!A868,10))</f>
        <v>43908</v>
      </c>
      <c r="D868" s="23">
        <f>'2.4.raw'!G868</f>
        <v>11</v>
      </c>
      <c r="E868" s="1">
        <v>2.39999999999999</v>
      </c>
      <c r="F868" s="23" t="b">
        <f>if(countif(Status!C:C,A868)=1,TRUE, FALSE)</f>
        <v>1</v>
      </c>
      <c r="G868" s="23" t="str">
        <f>'2.4.raw'!AQ868</f>
        <v>Sample collected by Debabrata Maity</v>
      </c>
    </row>
    <row r="869">
      <c r="A869" s="23" t="str">
        <f t="shared" si="2"/>
        <v>PLc1224</v>
      </c>
      <c r="B869" s="23" t="str">
        <f>'2.4.raw'!L869</f>
        <v>PLc1224</v>
      </c>
      <c r="C869" s="24">
        <f>datevalue(left('2.4.raw'!A869,10))</f>
        <v>43909</v>
      </c>
      <c r="D869" s="23">
        <f>'2.4.raw'!G869</f>
        <v>11</v>
      </c>
      <c r="E869" s="1">
        <v>2.39999999999999</v>
      </c>
      <c r="F869" s="23" t="b">
        <f>if(countif(Status!C:C,A869)=1,TRUE, FALSE)</f>
        <v>1</v>
      </c>
      <c r="G869" s="23" t="str">
        <f>'2.4.raw'!AQ869</f>
        <v>Sample collected by Somnath Sarkar</v>
      </c>
    </row>
    <row r="870">
      <c r="A870" s="23" t="str">
        <f t="shared" si="2"/>
        <v>PLc1225</v>
      </c>
      <c r="B870" s="23" t="str">
        <f>'2.4.raw'!L870</f>
        <v>PLc1225</v>
      </c>
      <c r="C870" s="24">
        <f>datevalue(left('2.4.raw'!A870,10))</f>
        <v>43909</v>
      </c>
      <c r="D870" s="23">
        <f>'2.4.raw'!G870</f>
        <v>11</v>
      </c>
      <c r="E870" s="1">
        <v>2.39999999999999</v>
      </c>
      <c r="F870" s="23" t="b">
        <f>if(countif(Status!C:C,A870)=1,TRUE, FALSE)</f>
        <v>1</v>
      </c>
      <c r="G870" s="23" t="str">
        <f>'2.4.raw'!AQ870</f>
        <v>Sample collected by Buddhadeb Samaddar</v>
      </c>
    </row>
    <row r="871">
      <c r="A871" s="23" t="str">
        <f t="shared" si="2"/>
        <v>FB1426</v>
      </c>
      <c r="B871" s="23" t="str">
        <f>'2.4.raw'!L871</f>
        <v>FB1426</v>
      </c>
      <c r="C871" s="24">
        <f>datevalue(left('2.4.raw'!A871,10))</f>
        <v>43909</v>
      </c>
      <c r="D871" s="23">
        <f>'2.4.raw'!G871</f>
        <v>99</v>
      </c>
      <c r="E871" s="1">
        <v>2.39999999999999</v>
      </c>
      <c r="F871" s="23" t="b">
        <f>if(countif(Status!C:C,A871)=1,TRUE, FALSE)</f>
        <v>1</v>
      </c>
      <c r="G871" s="23" t="str">
        <f>'2.4.raw'!AQ871</f>
        <v>Sample collected by Buddhadeb Samaddar</v>
      </c>
    </row>
    <row r="872">
      <c r="A872" s="23" t="str">
        <f t="shared" si="2"/>
        <v>MO1226</v>
      </c>
      <c r="B872" s="23" t="str">
        <f>'2.4.raw'!L872</f>
        <v>MO1226</v>
      </c>
      <c r="C872" s="24">
        <f>datevalue(left('2.4.raw'!A872,10))</f>
        <v>43908</v>
      </c>
      <c r="D872" s="23">
        <f>'2.4.raw'!G872</f>
        <v>12</v>
      </c>
      <c r="E872" s="1">
        <v>2.39999999999999</v>
      </c>
      <c r="F872" s="23" t="b">
        <f>if(countif(Status!C:C,A872)=1,TRUE, FALSE)</f>
        <v>1</v>
      </c>
      <c r="G872" s="23" t="str">
        <f>'2.4.raw'!AQ872</f>
        <v>Sample collected by Biplab Jash</v>
      </c>
    </row>
    <row r="873">
      <c r="A873" s="23" t="str">
        <f t="shared" si="2"/>
        <v>MO1227</v>
      </c>
      <c r="B873" s="23" t="str">
        <f>'2.4.raw'!L873</f>
        <v>MO1227</v>
      </c>
      <c r="C873" s="24">
        <f>datevalue(left('2.4.raw'!A873,10))</f>
        <v>43908</v>
      </c>
      <c r="D873" s="23">
        <f>'2.4.raw'!G873</f>
        <v>12</v>
      </c>
      <c r="E873" s="1">
        <v>2.39999999999999</v>
      </c>
      <c r="F873" s="23" t="b">
        <f>if(countif(Status!C:C,A873)=1,TRUE, FALSE)</f>
        <v>1</v>
      </c>
      <c r="G873" s="23" t="str">
        <f>'2.4.raw'!AQ873</f>
        <v>Sample collected by Somnath Sarkar</v>
      </c>
    </row>
    <row r="874">
      <c r="A874" s="23" t="str">
        <f t="shared" si="2"/>
        <v>MO1228</v>
      </c>
      <c r="B874" s="23" t="str">
        <f>'2.4.raw'!L874</f>
        <v>MO1228</v>
      </c>
      <c r="C874" s="24">
        <f>datevalue(left('2.4.raw'!A874,10))</f>
        <v>43908</v>
      </c>
      <c r="D874" s="23">
        <f>'2.4.raw'!G874</f>
        <v>12</v>
      </c>
      <c r="E874" s="1">
        <v>2.39999999999999</v>
      </c>
      <c r="F874" s="23" t="b">
        <f>if(countif(Status!C:C,A874)=1,TRUE, FALSE)</f>
        <v>1</v>
      </c>
      <c r="G874" s="23" t="str">
        <f>'2.4.raw'!AQ874</f>
        <v>Sample collected by Biplab Jash, at SDDM ward no 29</v>
      </c>
    </row>
    <row r="875">
      <c r="A875" s="23" t="str">
        <f t="shared" si="2"/>
        <v>FB1423</v>
      </c>
      <c r="B875" s="23" t="str">
        <f>'2.4.raw'!L875</f>
        <v>FB1423</v>
      </c>
      <c r="C875" s="24">
        <f>datevalue(left('2.4.raw'!A875,10))</f>
        <v>43908</v>
      </c>
      <c r="D875" s="23">
        <f>'2.4.raw'!G875</f>
        <v>99</v>
      </c>
      <c r="E875" s="1">
        <v>2.39999999999999</v>
      </c>
      <c r="F875" s="23" t="b">
        <f>if(countif(Status!C:C,A875)=1,TRUE, FALSE)</f>
        <v>1</v>
      </c>
      <c r="G875" s="23" t="str">
        <f>'2.4.raw'!AQ875</f>
        <v>Sample collected by Biplab Jash at MO1228 site</v>
      </c>
    </row>
    <row r="876">
      <c r="A876" s="23" t="str">
        <f t="shared" si="2"/>
        <v>PL1034</v>
      </c>
      <c r="B876" s="23" t="str">
        <f>'2.4.raw'!L876</f>
        <v>PL1034</v>
      </c>
      <c r="C876" s="24">
        <f>datevalue(left('2.4.raw'!A876,10))</f>
        <v>43908</v>
      </c>
      <c r="D876" s="23">
        <f>'2.4.raw'!G876</f>
        <v>11</v>
      </c>
      <c r="E876" s="1">
        <v>2.39999999999999</v>
      </c>
      <c r="F876" s="23" t="b">
        <f>if(countif(Status!C:C,A876)=1,TRUE, FALSE)</f>
        <v>1</v>
      </c>
      <c r="G876" s="23" t="str">
        <f>'2.4.raw'!AQ876</f>
        <v>Sample collected by Somnath Sarkar</v>
      </c>
    </row>
    <row r="877">
      <c r="A877" s="23" t="str">
        <f t="shared" si="2"/>
        <v>PL1035</v>
      </c>
      <c r="B877" s="23" t="str">
        <f>'2.4.raw'!L877</f>
        <v>PL1035</v>
      </c>
      <c r="C877" s="24">
        <f>datevalue(left('2.4.raw'!A877,10))</f>
        <v>43908</v>
      </c>
      <c r="D877" s="23">
        <f>'2.4.raw'!G877</f>
        <v>11</v>
      </c>
      <c r="E877" s="1">
        <v>2.39999999999999</v>
      </c>
      <c r="F877" s="23" t="b">
        <f>if(countif(Status!C:C,A877)=1,TRUE, FALSE)</f>
        <v>1</v>
      </c>
      <c r="G877" s="23" t="str">
        <f>'2.4.raw'!AQ877</f>
        <v>Sample collected by Buddhadeb Samaddar</v>
      </c>
    </row>
    <row r="878">
      <c r="A878" s="23" t="str">
        <f t="shared" si="2"/>
        <v>FB1424</v>
      </c>
      <c r="B878" s="23" t="str">
        <f>'2.4.raw'!L878</f>
        <v>FB1424</v>
      </c>
      <c r="C878" s="24">
        <f>datevalue(left('2.4.raw'!A878,10))</f>
        <v>43908</v>
      </c>
      <c r="D878" s="23">
        <f>'2.4.raw'!G878</f>
        <v>99</v>
      </c>
      <c r="E878" s="1">
        <v>2.39999999999999</v>
      </c>
      <c r="F878" s="23" t="b">
        <f>if(countif(Status!C:C,A878)=1,TRUE, FALSE)</f>
        <v>1</v>
      </c>
      <c r="G878" s="23" t="str">
        <f>'2.4.raw'!AQ878</f>
        <v>Sample collected by Buddhadeb Samaddar</v>
      </c>
    </row>
    <row r="879">
      <c r="A879" s="23" t="str">
        <f t="shared" si="2"/>
        <v>MO1229</v>
      </c>
      <c r="B879" s="23" t="str">
        <f>'2.4.raw'!L879</f>
        <v>MO1229</v>
      </c>
      <c r="C879" s="24">
        <f>datevalue(left('2.4.raw'!A879,10))</f>
        <v>43909</v>
      </c>
      <c r="D879" s="23">
        <f>'2.4.raw'!G879</f>
        <v>12</v>
      </c>
      <c r="E879" s="1">
        <v>2.39999999999999</v>
      </c>
      <c r="F879" s="23" t="b">
        <f>if(countif(Status!C:C,A879)=1,TRUE, FALSE)</f>
        <v>1</v>
      </c>
      <c r="G879" s="23" t="str">
        <f>'2.4.raw'!AQ879</f>
        <v>Sample collected by Biplab Jash at KMC Ward No 110</v>
      </c>
    </row>
    <row r="880">
      <c r="A880" s="23" t="str">
        <f t="shared" si="2"/>
        <v>MO1230</v>
      </c>
      <c r="B880" s="23" t="str">
        <f>'2.4.raw'!L880</f>
        <v>MO1230</v>
      </c>
      <c r="C880" s="24">
        <f>datevalue(left('2.4.raw'!A880,10))</f>
        <v>43909</v>
      </c>
      <c r="D880" s="23">
        <f>'2.4.raw'!G880</f>
        <v>12</v>
      </c>
      <c r="E880" s="1">
        <v>2.39999999999999</v>
      </c>
      <c r="F880" s="23" t="b">
        <f>if(countif(Status!C:C,A880)=1,TRUE, FALSE)</f>
        <v>1</v>
      </c>
      <c r="G880" s="23" t="str">
        <f>'2.4.raw'!AQ880</f>
        <v>Sample collected by Asish Saha at KMC Ward no 104</v>
      </c>
    </row>
    <row r="881">
      <c r="A881" s="23" t="str">
        <f t="shared" si="2"/>
        <v>MO1231</v>
      </c>
      <c r="B881" s="23" t="str">
        <f>'2.4.raw'!L881</f>
        <v>MO1231</v>
      </c>
      <c r="C881" s="24">
        <f>datevalue(left('2.4.raw'!A881,10))</f>
        <v>43909</v>
      </c>
      <c r="D881" s="23">
        <f>'2.4.raw'!G881</f>
        <v>12</v>
      </c>
      <c r="E881" s="1">
        <v>2.39999999999999</v>
      </c>
      <c r="F881" s="23" t="b">
        <f>if(countif(Status!C:C,A881)=1,TRUE, FALSE)</f>
        <v>1</v>
      </c>
      <c r="G881" s="23" t="str">
        <f>'2.4.raw'!AQ881</f>
        <v>Sample collected by Biplab Jash</v>
      </c>
    </row>
    <row r="882">
      <c r="A882" s="23" t="str">
        <f t="shared" si="2"/>
        <v>MO1232</v>
      </c>
      <c r="B882" s="23" t="str">
        <f>'2.4.raw'!L882</f>
        <v>MO1232</v>
      </c>
      <c r="C882" s="24">
        <f>datevalue(left('2.4.raw'!A882,10))</f>
        <v>43909</v>
      </c>
      <c r="D882" s="23">
        <f>'2.4.raw'!G882</f>
        <v>12</v>
      </c>
      <c r="E882" s="1">
        <v>2.39999999999999</v>
      </c>
      <c r="F882" s="23" t="b">
        <f>if(countif(Status!C:C,A882)=1,TRUE, FALSE)</f>
        <v>1</v>
      </c>
      <c r="G882" s="23" t="str">
        <f>'2.4.raw'!AQ882</f>
        <v>Sample collected by Biplab Jash</v>
      </c>
    </row>
    <row r="883">
      <c r="A883" s="23" t="str">
        <f t="shared" si="2"/>
        <v>MO1233</v>
      </c>
      <c r="B883" s="23" t="str">
        <f>'2.4.raw'!L883</f>
        <v>MO1233</v>
      </c>
      <c r="C883" s="24">
        <f>datevalue(left('2.4.raw'!A883,10))</f>
        <v>43909</v>
      </c>
      <c r="D883" s="23">
        <f>'2.4.raw'!G883</f>
        <v>12</v>
      </c>
      <c r="E883" s="1">
        <v>2.39999999999999</v>
      </c>
      <c r="F883" s="23" t="b">
        <f>if(countif(Status!C:C,A883)=1,TRUE, FALSE)</f>
        <v>1</v>
      </c>
      <c r="G883" s="23" t="str">
        <f>'2.4.raw'!AQ883</f>
        <v>Sample collected by Biplab Jash</v>
      </c>
    </row>
    <row r="884">
      <c r="A884" s="23" t="str">
        <f t="shared" si="2"/>
        <v>FB1427</v>
      </c>
      <c r="B884" s="23" t="str">
        <f>'2.4.raw'!L884</f>
        <v>FB1427</v>
      </c>
      <c r="C884" s="24">
        <f>datevalue(left('2.4.raw'!A884,10))</f>
        <v>43909</v>
      </c>
      <c r="D884" s="23">
        <f>'2.4.raw'!G884</f>
        <v>99</v>
      </c>
      <c r="E884" s="1">
        <v>2.39999999999999</v>
      </c>
      <c r="F884" s="23" t="b">
        <f>if(countif(Status!C:C,A884)=1,TRUE, FALSE)</f>
        <v>1</v>
      </c>
      <c r="G884" s="23" t="str">
        <f>'2.4.raw'!AQ884</f>
        <v>Sample collected by Biplab Jash at MO1233 Site</v>
      </c>
    </row>
    <row r="885">
      <c r="A885" s="23" t="str">
        <f t="shared" si="2"/>
        <v/>
      </c>
      <c r="B885" s="23" t="str">
        <f>'2.4.raw'!L885</f>
        <v/>
      </c>
      <c r="C885" s="24" t="str">
        <f>datevalue(left('2.4.raw'!A885,10))</f>
        <v>#VALUE!</v>
      </c>
      <c r="D885" s="23" t="str">
        <f>'2.4.raw'!G885</f>
        <v/>
      </c>
      <c r="E885" s="1">
        <v>2.39999999999999</v>
      </c>
      <c r="F885" s="23" t="b">
        <f>if(countif(Status!C:C,A885)=1,TRUE, FALSE)</f>
        <v>0</v>
      </c>
      <c r="G885" s="23" t="str">
        <f>'2.4.raw'!AQ885</f>
        <v/>
      </c>
    </row>
    <row r="886">
      <c r="A886" s="23" t="str">
        <f t="shared" si="2"/>
        <v/>
      </c>
      <c r="B886" s="23" t="str">
        <f>'2.4.raw'!L886</f>
        <v/>
      </c>
      <c r="C886" s="24" t="str">
        <f>datevalue(left('2.4.raw'!A886,10))</f>
        <v>#VALUE!</v>
      </c>
      <c r="D886" s="23" t="str">
        <f>'2.4.raw'!G886</f>
        <v/>
      </c>
      <c r="E886" s="1">
        <v>2.39999999999999</v>
      </c>
      <c r="F886" s="23" t="b">
        <f>if(countif(Status!C:C,A886)=1,TRUE, FALSE)</f>
        <v>0</v>
      </c>
      <c r="G886" s="23" t="str">
        <f>'2.4.raw'!AQ886</f>
        <v/>
      </c>
    </row>
    <row r="887">
      <c r="A887" s="23" t="str">
        <f t="shared" si="2"/>
        <v/>
      </c>
      <c r="B887" s="23" t="str">
        <f>'2.4.raw'!L887</f>
        <v/>
      </c>
      <c r="C887" s="24" t="str">
        <f>datevalue(left('2.4.raw'!A887,10))</f>
        <v>#VALUE!</v>
      </c>
      <c r="D887" s="23" t="str">
        <f>'2.4.raw'!G887</f>
        <v/>
      </c>
      <c r="E887" s="1">
        <v>2.39999999999999</v>
      </c>
      <c r="F887" s="23" t="b">
        <f>if(countif(Status!C:C,A887)=1,TRUE, FALSE)</f>
        <v>0</v>
      </c>
      <c r="G887" s="23" t="str">
        <f>'2.4.raw'!AQ887</f>
        <v/>
      </c>
    </row>
    <row r="888">
      <c r="A888" s="23" t="str">
        <f t="shared" si="2"/>
        <v/>
      </c>
      <c r="B888" s="23" t="str">
        <f>'2.4.raw'!L888</f>
        <v/>
      </c>
      <c r="C888" s="24" t="str">
        <f>datevalue(left('2.4.raw'!A888,10))</f>
        <v>#VALUE!</v>
      </c>
      <c r="D888" s="23" t="str">
        <f>'2.4.raw'!G888</f>
        <v/>
      </c>
      <c r="E888" s="1">
        <v>2.39999999999999</v>
      </c>
      <c r="F888" s="23" t="b">
        <f>if(countif(Status!C:C,A888)=1,TRUE, FALSE)</f>
        <v>0</v>
      </c>
      <c r="G888" s="23" t="str">
        <f>'2.4.raw'!AQ888</f>
        <v/>
      </c>
    </row>
    <row r="889">
      <c r="A889" s="23" t="str">
        <f t="shared" si="2"/>
        <v/>
      </c>
      <c r="B889" s="23" t="str">
        <f>'2.4.raw'!L889</f>
        <v/>
      </c>
      <c r="C889" s="24" t="str">
        <f>datevalue(left('2.4.raw'!A889,10))</f>
        <v>#VALUE!</v>
      </c>
      <c r="D889" s="23" t="str">
        <f>'2.4.raw'!G889</f>
        <v/>
      </c>
      <c r="E889" s="1">
        <v>2.39999999999999</v>
      </c>
      <c r="F889" s="23" t="b">
        <f>if(countif(Status!C:C,A889)=1,TRUE, FALSE)</f>
        <v>0</v>
      </c>
      <c r="G889" s="23" t="str">
        <f>'2.4.raw'!AQ889</f>
        <v/>
      </c>
    </row>
    <row r="890">
      <c r="A890" s="23" t="str">
        <f t="shared" si="2"/>
        <v/>
      </c>
      <c r="B890" s="23" t="str">
        <f>'2.4.raw'!L890</f>
        <v/>
      </c>
      <c r="C890" s="24" t="str">
        <f>datevalue(left('2.4.raw'!A890,10))</f>
        <v>#VALUE!</v>
      </c>
      <c r="D890" s="23" t="str">
        <f>'2.4.raw'!G890</f>
        <v/>
      </c>
      <c r="E890" s="1">
        <v>2.39999999999999</v>
      </c>
      <c r="F890" s="23" t="b">
        <f>if(countif(Status!C:C,A890)=1,TRUE, FALSE)</f>
        <v>0</v>
      </c>
      <c r="G890" s="23" t="str">
        <f>'2.4.raw'!AQ890</f>
        <v/>
      </c>
    </row>
    <row r="891">
      <c r="A891" s="23" t="str">
        <f t="shared" si="2"/>
        <v/>
      </c>
      <c r="B891" s="23" t="str">
        <f>'2.4.raw'!L891</f>
        <v/>
      </c>
      <c r="C891" s="24" t="str">
        <f>datevalue(left('2.4.raw'!A891,10))</f>
        <v>#VALUE!</v>
      </c>
      <c r="D891" s="23" t="str">
        <f>'2.4.raw'!G891</f>
        <v/>
      </c>
      <c r="E891" s="1">
        <v>2.39999999999999</v>
      </c>
      <c r="F891" s="23" t="b">
        <f>if(countif(Status!C:C,A891)=1,TRUE, FALSE)</f>
        <v>0</v>
      </c>
      <c r="G891" s="23" t="str">
        <f>'2.4.raw'!AQ891</f>
        <v/>
      </c>
    </row>
    <row r="892">
      <c r="A892" s="23" t="str">
        <f t="shared" si="2"/>
        <v/>
      </c>
      <c r="B892" s="23" t="str">
        <f>'2.4.raw'!L892</f>
        <v/>
      </c>
      <c r="C892" s="24" t="str">
        <f>datevalue(left('2.4.raw'!A892,10))</f>
        <v>#VALUE!</v>
      </c>
      <c r="D892" s="23" t="str">
        <f>'2.4.raw'!G892</f>
        <v/>
      </c>
      <c r="E892" s="1">
        <v>2.39999999999999</v>
      </c>
      <c r="F892" s="23" t="b">
        <f>if(countif(Status!C:C,A892)=1,TRUE, FALSE)</f>
        <v>0</v>
      </c>
      <c r="G892" s="23" t="str">
        <f>'2.4.raw'!AQ892</f>
        <v/>
      </c>
    </row>
    <row r="893">
      <c r="A893" s="23" t="str">
        <f t="shared" si="2"/>
        <v/>
      </c>
      <c r="B893" s="23" t="str">
        <f>'2.4.raw'!L893</f>
        <v/>
      </c>
      <c r="C893" s="24" t="str">
        <f>datevalue(left('2.4.raw'!A893,10))</f>
        <v>#VALUE!</v>
      </c>
      <c r="D893" s="23" t="str">
        <f>'2.4.raw'!G893</f>
        <v/>
      </c>
      <c r="E893" s="1">
        <v>2.39999999999999</v>
      </c>
      <c r="F893" s="23" t="b">
        <f>if(countif(Status!C:C,A893)=1,TRUE, FALSE)</f>
        <v>0</v>
      </c>
      <c r="G893" s="23" t="str">
        <f>'2.4.raw'!AQ893</f>
        <v/>
      </c>
    </row>
    <row r="894">
      <c r="A894" s="23" t="str">
        <f t="shared" si="2"/>
        <v/>
      </c>
      <c r="B894" s="23" t="str">
        <f>'2.4.raw'!L894</f>
        <v/>
      </c>
      <c r="C894" s="24" t="str">
        <f>datevalue(left('2.4.raw'!A894,10))</f>
        <v>#VALUE!</v>
      </c>
      <c r="D894" s="23" t="str">
        <f>'2.4.raw'!G894</f>
        <v/>
      </c>
      <c r="E894" s="1">
        <v>2.39999999999999</v>
      </c>
      <c r="F894" s="23" t="b">
        <f>if(countif(Status!C:C,A894)=1,TRUE, FALSE)</f>
        <v>0</v>
      </c>
      <c r="G894" s="23" t="str">
        <f>'2.4.raw'!AQ894</f>
        <v/>
      </c>
    </row>
    <row r="895">
      <c r="A895" s="23" t="str">
        <f t="shared" si="2"/>
        <v/>
      </c>
      <c r="B895" s="23" t="str">
        <f>'2.4.raw'!L895</f>
        <v/>
      </c>
      <c r="C895" s="24" t="str">
        <f>datevalue(left('2.4.raw'!A895,10))</f>
        <v>#VALUE!</v>
      </c>
      <c r="D895" s="23" t="str">
        <f>'2.4.raw'!G895</f>
        <v/>
      </c>
      <c r="E895" s="1">
        <v>2.39999999999999</v>
      </c>
      <c r="F895" s="23" t="b">
        <f>if(countif(Status!C:C,A895)=1,TRUE, FALSE)</f>
        <v>0</v>
      </c>
      <c r="G895" s="23" t="str">
        <f>'2.4.raw'!AQ895</f>
        <v/>
      </c>
    </row>
    <row r="896">
      <c r="A896" s="23" t="str">
        <f t="shared" si="2"/>
        <v/>
      </c>
      <c r="B896" s="23" t="str">
        <f>'2.4.raw'!L896</f>
        <v/>
      </c>
      <c r="C896" s="24" t="str">
        <f>datevalue(left('2.4.raw'!A896,10))</f>
        <v>#VALUE!</v>
      </c>
      <c r="D896" s="23" t="str">
        <f>'2.4.raw'!G896</f>
        <v/>
      </c>
      <c r="E896" s="1">
        <v>2.39999999999999</v>
      </c>
      <c r="F896" s="23" t="b">
        <f>if(countif(Status!C:C,A896)=1,TRUE, FALSE)</f>
        <v>0</v>
      </c>
      <c r="G896" s="23" t="str">
        <f>'2.4.raw'!AQ896</f>
        <v/>
      </c>
    </row>
    <row r="897">
      <c r="A897" s="23" t="str">
        <f t="shared" si="2"/>
        <v/>
      </c>
      <c r="B897" s="23" t="str">
        <f>'2.4.raw'!L897</f>
        <v/>
      </c>
      <c r="C897" s="24" t="str">
        <f>datevalue(left('2.4.raw'!A897,10))</f>
        <v>#VALUE!</v>
      </c>
      <c r="D897" s="23" t="str">
        <f>'2.4.raw'!G897</f>
        <v/>
      </c>
      <c r="E897" s="1">
        <v>2.39999999999999</v>
      </c>
      <c r="F897" s="23" t="b">
        <f>if(countif(Status!C:C,A897)=1,TRUE, FALSE)</f>
        <v>0</v>
      </c>
      <c r="G897" s="23" t="str">
        <f>'2.4.raw'!AQ897</f>
        <v/>
      </c>
    </row>
    <row r="898">
      <c r="A898" s="23" t="str">
        <f t="shared" si="2"/>
        <v/>
      </c>
      <c r="B898" s="23" t="str">
        <f>'2.4.raw'!L898</f>
        <v/>
      </c>
      <c r="C898" s="24" t="str">
        <f>datevalue(left('2.4.raw'!A898,10))</f>
        <v>#VALUE!</v>
      </c>
      <c r="D898" s="23" t="str">
        <f>'2.4.raw'!G898</f>
        <v/>
      </c>
      <c r="E898" s="1">
        <v>2.39999999999999</v>
      </c>
      <c r="F898" s="23" t="b">
        <f>if(countif(Status!C:C,A898)=1,TRUE, FALSE)</f>
        <v>0</v>
      </c>
      <c r="G898" s="23" t="str">
        <f>'2.4.raw'!AQ898</f>
        <v/>
      </c>
    </row>
    <row r="899">
      <c r="A899" s="23" t="str">
        <f t="shared" si="2"/>
        <v/>
      </c>
      <c r="B899" s="23" t="str">
        <f>'2.4.raw'!L899</f>
        <v/>
      </c>
      <c r="C899" s="24" t="str">
        <f>datevalue(left('2.4.raw'!A899,10))</f>
        <v>#VALUE!</v>
      </c>
      <c r="D899" s="23" t="str">
        <f>'2.4.raw'!G899</f>
        <v/>
      </c>
      <c r="E899" s="1">
        <v>2.39999999999999</v>
      </c>
      <c r="F899" s="23" t="b">
        <f>if(countif(Status!C:C,A899)=1,TRUE, FALSE)</f>
        <v>0</v>
      </c>
      <c r="G899" s="23" t="str">
        <f>'2.4.raw'!AQ899</f>
        <v/>
      </c>
    </row>
    <row r="900">
      <c r="A900" s="23" t="str">
        <f t="shared" si="2"/>
        <v/>
      </c>
      <c r="B900" s="23" t="str">
        <f>'2.4.raw'!L900</f>
        <v/>
      </c>
      <c r="C900" s="24" t="str">
        <f>datevalue(left('2.4.raw'!A900,10))</f>
        <v>#VALUE!</v>
      </c>
      <c r="D900" s="23" t="str">
        <f>'2.4.raw'!G900</f>
        <v/>
      </c>
      <c r="E900" s="1">
        <v>2.39999999999999</v>
      </c>
      <c r="F900" s="23" t="b">
        <f>if(countif(Status!C:C,A900)=1,TRUE, FALSE)</f>
        <v>0</v>
      </c>
      <c r="G900" s="23" t="str">
        <f>'2.4.raw'!AQ900</f>
        <v/>
      </c>
    </row>
    <row r="901">
      <c r="A901" s="23" t="str">
        <f t="shared" si="2"/>
        <v/>
      </c>
      <c r="B901" s="23" t="str">
        <f>'2.4.raw'!L901</f>
        <v/>
      </c>
      <c r="C901" s="24" t="str">
        <f>datevalue(left('2.4.raw'!A901,10))</f>
        <v>#VALUE!</v>
      </c>
      <c r="D901" s="23" t="str">
        <f>'2.4.raw'!G901</f>
        <v/>
      </c>
      <c r="E901" s="1">
        <v>2.39999999999999</v>
      </c>
      <c r="F901" s="23" t="b">
        <f>if(countif(Status!C:C,A901)=1,TRUE, FALSE)</f>
        <v>0</v>
      </c>
      <c r="G901" s="23" t="str">
        <f>'2.4.raw'!AQ901</f>
        <v/>
      </c>
    </row>
    <row r="902">
      <c r="A902" s="23" t="str">
        <f t="shared" si="2"/>
        <v/>
      </c>
      <c r="B902" s="23" t="str">
        <f>'2.4.raw'!L902</f>
        <v/>
      </c>
      <c r="C902" s="24" t="str">
        <f>datevalue(left('2.4.raw'!A902,10))</f>
        <v>#VALUE!</v>
      </c>
      <c r="D902" s="23" t="str">
        <f>'2.4.raw'!G902</f>
        <v/>
      </c>
      <c r="E902" s="1">
        <v>2.39999999999999</v>
      </c>
      <c r="F902" s="23" t="b">
        <f>if(countif(Status!C:C,A902)=1,TRUE, FALSE)</f>
        <v>0</v>
      </c>
      <c r="G902" s="23" t="str">
        <f>'2.4.raw'!AQ902</f>
        <v/>
      </c>
    </row>
    <row r="903">
      <c r="A903" s="23" t="str">
        <f t="shared" si="2"/>
        <v/>
      </c>
      <c r="B903" s="23" t="str">
        <f>'2.4.raw'!L903</f>
        <v/>
      </c>
      <c r="C903" s="24" t="str">
        <f>datevalue(left('2.4.raw'!A903,10))</f>
        <v>#VALUE!</v>
      </c>
      <c r="D903" s="23" t="str">
        <f>'2.4.raw'!G903</f>
        <v/>
      </c>
      <c r="E903" s="1">
        <v>2.39999999999999</v>
      </c>
      <c r="F903" s="23" t="b">
        <f>if(countif(Status!C:C,A903)=1,TRUE, FALSE)</f>
        <v>0</v>
      </c>
      <c r="G903" s="23" t="str">
        <f>'2.4.raw'!AQ903</f>
        <v/>
      </c>
    </row>
    <row r="904">
      <c r="A904" s="23" t="str">
        <f t="shared" si="2"/>
        <v/>
      </c>
      <c r="B904" s="23" t="str">
        <f>'2.4.raw'!L904</f>
        <v/>
      </c>
      <c r="C904" s="24" t="str">
        <f>datevalue(left('2.4.raw'!A904,10))</f>
        <v>#VALUE!</v>
      </c>
      <c r="D904" s="23" t="str">
        <f>'2.4.raw'!G904</f>
        <v/>
      </c>
      <c r="E904" s="1">
        <v>2.39999999999999</v>
      </c>
      <c r="F904" s="23" t="b">
        <f>if(countif(Status!C:C,A904)=1,TRUE, FALSE)</f>
        <v>0</v>
      </c>
      <c r="G904" s="23" t="str">
        <f>'2.4.raw'!AQ904</f>
        <v/>
      </c>
    </row>
    <row r="905">
      <c r="A905" s="23" t="str">
        <f t="shared" si="2"/>
        <v/>
      </c>
      <c r="B905" s="23" t="str">
        <f>'2.4.raw'!L905</f>
        <v/>
      </c>
      <c r="C905" s="24" t="str">
        <f>datevalue(left('2.4.raw'!A905,10))</f>
        <v>#VALUE!</v>
      </c>
      <c r="D905" s="23" t="str">
        <f>'2.4.raw'!G905</f>
        <v/>
      </c>
      <c r="E905" s="1">
        <v>2.39999999999999</v>
      </c>
      <c r="F905" s="23" t="b">
        <f>if(countif(Status!C:C,A905)=1,TRUE, FALSE)</f>
        <v>0</v>
      </c>
      <c r="G905" s="23" t="str">
        <f>'2.4.raw'!AQ905</f>
        <v/>
      </c>
    </row>
    <row r="906">
      <c r="A906" s="23" t="str">
        <f t="shared" si="2"/>
        <v/>
      </c>
      <c r="B906" s="23" t="str">
        <f>'2.4.raw'!L906</f>
        <v/>
      </c>
      <c r="C906" s="24" t="str">
        <f>datevalue(left('2.4.raw'!A906,10))</f>
        <v>#VALUE!</v>
      </c>
      <c r="D906" s="23" t="str">
        <f>'2.4.raw'!G906</f>
        <v/>
      </c>
      <c r="E906" s="1">
        <v>2.39999999999999</v>
      </c>
      <c r="F906" s="23" t="b">
        <f>if(countif(Status!C:C,A906)=1,TRUE, FALSE)</f>
        <v>0</v>
      </c>
      <c r="G906" s="23" t="str">
        <f>'2.4.raw'!AQ906</f>
        <v/>
      </c>
    </row>
    <row r="907">
      <c r="A907" s="23" t="str">
        <f t="shared" si="2"/>
        <v/>
      </c>
      <c r="B907" s="23" t="str">
        <f>'2.4.raw'!L907</f>
        <v/>
      </c>
      <c r="C907" s="24" t="str">
        <f>datevalue(left('2.4.raw'!A907,10))</f>
        <v>#VALUE!</v>
      </c>
      <c r="D907" s="23" t="str">
        <f>'2.4.raw'!G907</f>
        <v/>
      </c>
      <c r="E907" s="1">
        <v>2.39999999999999</v>
      </c>
      <c r="F907" s="23" t="b">
        <f>if(countif(Status!C:C,A907)=1,TRUE, FALSE)</f>
        <v>0</v>
      </c>
      <c r="G907" s="23" t="str">
        <f>'2.4.raw'!AQ907</f>
        <v/>
      </c>
    </row>
    <row r="908">
      <c r="A908" s="23" t="str">
        <f t="shared" si="2"/>
        <v/>
      </c>
      <c r="B908" s="23" t="str">
        <f>'2.4.raw'!L908</f>
        <v/>
      </c>
      <c r="C908" s="24" t="str">
        <f>datevalue(left('2.4.raw'!A908,10))</f>
        <v>#VALUE!</v>
      </c>
      <c r="D908" s="23" t="str">
        <f>'2.4.raw'!G908</f>
        <v/>
      </c>
      <c r="E908" s="1">
        <v>2.39999999999999</v>
      </c>
      <c r="F908" s="23" t="b">
        <f>if(countif(Status!C:C,A908)=1,TRUE, FALSE)</f>
        <v>0</v>
      </c>
      <c r="G908" s="23" t="str">
        <f>'2.4.raw'!AQ908</f>
        <v/>
      </c>
    </row>
    <row r="909">
      <c r="A909" s="23" t="str">
        <f t="shared" si="2"/>
        <v/>
      </c>
      <c r="B909" s="23" t="str">
        <f>'2.4.raw'!L909</f>
        <v/>
      </c>
      <c r="C909" s="24" t="str">
        <f>datevalue(left('2.4.raw'!A909,10))</f>
        <v>#VALUE!</v>
      </c>
      <c r="D909" s="23" t="str">
        <f>'2.4.raw'!G909</f>
        <v/>
      </c>
      <c r="E909" s="1">
        <v>2.39999999999999</v>
      </c>
      <c r="F909" s="23" t="b">
        <f>if(countif(Status!C:C,A909)=1,TRUE, FALSE)</f>
        <v>0</v>
      </c>
      <c r="G909" s="23" t="str">
        <f>'2.4.raw'!AQ909</f>
        <v/>
      </c>
    </row>
    <row r="910">
      <c r="A910" s="23" t="str">
        <f t="shared" si="2"/>
        <v/>
      </c>
      <c r="B910" s="23" t="str">
        <f>'2.4.raw'!L910</f>
        <v/>
      </c>
      <c r="C910" s="24" t="str">
        <f>datevalue(left('2.4.raw'!A910,10))</f>
        <v>#VALUE!</v>
      </c>
      <c r="D910" s="23" t="str">
        <f>'2.4.raw'!G910</f>
        <v/>
      </c>
      <c r="E910" s="1">
        <v>2.39999999999999</v>
      </c>
      <c r="F910" s="23" t="b">
        <f>if(countif(Status!C:C,A910)=1,TRUE, FALSE)</f>
        <v>0</v>
      </c>
      <c r="G910" s="23" t="str">
        <f>'2.4.raw'!AQ910</f>
        <v/>
      </c>
    </row>
    <row r="911">
      <c r="A911" s="23" t="str">
        <f t="shared" si="2"/>
        <v/>
      </c>
      <c r="B911" s="23" t="str">
        <f>'2.4.raw'!L911</f>
        <v/>
      </c>
      <c r="C911" s="24" t="str">
        <f>datevalue(left('2.4.raw'!A911,10))</f>
        <v>#VALUE!</v>
      </c>
      <c r="D911" s="23" t="str">
        <f>'2.4.raw'!G911</f>
        <v/>
      </c>
      <c r="E911" s="1">
        <v>2.39999999999999</v>
      </c>
      <c r="F911" s="23" t="b">
        <f>if(countif(Status!C:C,A911)=1,TRUE, FALSE)</f>
        <v>0</v>
      </c>
      <c r="G911" s="23" t="str">
        <f>'2.4.raw'!AQ911</f>
        <v/>
      </c>
    </row>
    <row r="912">
      <c r="A912" s="23" t="str">
        <f t="shared" si="2"/>
        <v/>
      </c>
      <c r="B912" s="23" t="str">
        <f>'2.4.raw'!L912</f>
        <v/>
      </c>
      <c r="C912" s="24" t="str">
        <f>datevalue(left('2.4.raw'!A912,10))</f>
        <v>#VALUE!</v>
      </c>
      <c r="D912" s="23" t="str">
        <f>'2.4.raw'!G912</f>
        <v/>
      </c>
      <c r="E912" s="1">
        <v>2.39999999999999</v>
      </c>
      <c r="F912" s="23" t="b">
        <f>if(countif(Status!C:C,A912)=1,TRUE, FALSE)</f>
        <v>0</v>
      </c>
      <c r="G912" s="23" t="str">
        <f>'2.4.raw'!AQ912</f>
        <v/>
      </c>
    </row>
    <row r="913">
      <c r="A913" s="23" t="str">
        <f t="shared" si="2"/>
        <v/>
      </c>
      <c r="B913" s="23" t="str">
        <f>'2.4.raw'!L913</f>
        <v/>
      </c>
      <c r="C913" s="24" t="str">
        <f>datevalue(left('2.4.raw'!A913,10))</f>
        <v>#VALUE!</v>
      </c>
      <c r="D913" s="23" t="str">
        <f>'2.4.raw'!G913</f>
        <v/>
      </c>
      <c r="E913" s="1">
        <v>2.39999999999999</v>
      </c>
      <c r="F913" s="23" t="b">
        <f>if(countif(Status!C:C,A913)=1,TRUE, FALSE)</f>
        <v>0</v>
      </c>
      <c r="G913" s="23" t="str">
        <f>'2.4.raw'!AQ913</f>
        <v/>
      </c>
    </row>
    <row r="914">
      <c r="A914" s="23" t="str">
        <f t="shared" si="2"/>
        <v/>
      </c>
      <c r="B914" s="23" t="str">
        <f>'2.4.raw'!L914</f>
        <v/>
      </c>
      <c r="C914" s="24" t="str">
        <f>datevalue(left('2.4.raw'!A914,10))</f>
        <v>#VALUE!</v>
      </c>
      <c r="D914" s="23" t="str">
        <f>'2.4.raw'!G914</f>
        <v/>
      </c>
      <c r="E914" s="1">
        <v>2.39999999999999</v>
      </c>
      <c r="F914" s="23" t="b">
        <f>if(countif(Status!C:C,A914)=1,TRUE, FALSE)</f>
        <v>0</v>
      </c>
      <c r="G914" s="23" t="str">
        <f>'2.4.raw'!AQ914</f>
        <v/>
      </c>
    </row>
    <row r="915">
      <c r="A915" s="23" t="str">
        <f t="shared" si="2"/>
        <v/>
      </c>
      <c r="B915" s="23" t="str">
        <f>'2.4.raw'!L915</f>
        <v/>
      </c>
      <c r="C915" s="24" t="str">
        <f>datevalue(left('2.4.raw'!A915,10))</f>
        <v>#VALUE!</v>
      </c>
      <c r="D915" s="23" t="str">
        <f>'2.4.raw'!G915</f>
        <v/>
      </c>
      <c r="E915" s="1">
        <v>2.39999999999999</v>
      </c>
      <c r="F915" s="23" t="b">
        <f>if(countif(Status!C:C,A915)=1,TRUE, FALSE)</f>
        <v>0</v>
      </c>
      <c r="G915" s="23" t="str">
        <f>'2.4.raw'!AQ915</f>
        <v/>
      </c>
    </row>
    <row r="916">
      <c r="A916" s="23" t="str">
        <f t="shared" si="2"/>
        <v/>
      </c>
      <c r="B916" s="23" t="str">
        <f>'2.4.raw'!L916</f>
        <v/>
      </c>
      <c r="C916" s="24" t="str">
        <f>datevalue(left('2.4.raw'!A916,10))</f>
        <v>#VALUE!</v>
      </c>
      <c r="D916" s="23" t="str">
        <f>'2.4.raw'!G916</f>
        <v/>
      </c>
      <c r="E916" s="1">
        <v>2.39999999999999</v>
      </c>
      <c r="F916" s="23" t="b">
        <f>if(countif(Status!C:C,A916)=1,TRUE, FALSE)</f>
        <v>0</v>
      </c>
      <c r="G916" s="23" t="str">
        <f>'2.4.raw'!AQ916</f>
        <v/>
      </c>
    </row>
    <row r="917">
      <c r="A917" s="23" t="str">
        <f t="shared" si="2"/>
        <v/>
      </c>
      <c r="B917" s="23" t="str">
        <f>'2.4.raw'!L917</f>
        <v/>
      </c>
      <c r="C917" s="24" t="str">
        <f>datevalue(left('2.4.raw'!A917,10))</f>
        <v>#VALUE!</v>
      </c>
      <c r="D917" s="23" t="str">
        <f>'2.4.raw'!G917</f>
        <v/>
      </c>
      <c r="E917" s="1">
        <v>2.39999999999999</v>
      </c>
      <c r="F917" s="23" t="b">
        <f>if(countif(Status!C:C,A917)=1,TRUE, FALSE)</f>
        <v>0</v>
      </c>
      <c r="G917" s="23" t="str">
        <f>'2.4.raw'!AQ917</f>
        <v/>
      </c>
    </row>
    <row r="918">
      <c r="A918" s="23" t="str">
        <f t="shared" si="2"/>
        <v/>
      </c>
      <c r="B918" s="23" t="str">
        <f>'2.4.raw'!L918</f>
        <v/>
      </c>
      <c r="C918" s="24" t="str">
        <f>datevalue(left('2.4.raw'!A918,10))</f>
        <v>#VALUE!</v>
      </c>
      <c r="D918" s="23" t="str">
        <f>'2.4.raw'!G918</f>
        <v/>
      </c>
      <c r="E918" s="1">
        <v>2.39999999999999</v>
      </c>
      <c r="F918" s="23" t="b">
        <f>if(countif(Status!C:C,A918)=1,TRUE, FALSE)</f>
        <v>0</v>
      </c>
      <c r="G918" s="23" t="str">
        <f>'2.4.raw'!AQ918</f>
        <v/>
      </c>
    </row>
    <row r="919">
      <c r="A919" s="23" t="str">
        <f t="shared" si="2"/>
        <v/>
      </c>
      <c r="B919" s="23" t="str">
        <f>'2.4.raw'!L919</f>
        <v/>
      </c>
      <c r="C919" s="24" t="str">
        <f>datevalue(left('2.4.raw'!A919,10))</f>
        <v>#VALUE!</v>
      </c>
      <c r="D919" s="23" t="str">
        <f>'2.4.raw'!G919</f>
        <v/>
      </c>
      <c r="E919" s="1">
        <v>2.39999999999999</v>
      </c>
      <c r="F919" s="23" t="b">
        <f>if(countif(Status!C:C,A919)=1,TRUE, FALSE)</f>
        <v>0</v>
      </c>
      <c r="G919" s="23" t="str">
        <f>'2.4.raw'!AQ919</f>
        <v/>
      </c>
    </row>
    <row r="920">
      <c r="A920" s="23" t="str">
        <f t="shared" si="2"/>
        <v/>
      </c>
      <c r="B920" s="23" t="str">
        <f>'2.4.raw'!L920</f>
        <v/>
      </c>
      <c r="C920" s="24" t="str">
        <f>datevalue(left('2.4.raw'!A920,10))</f>
        <v>#VALUE!</v>
      </c>
      <c r="D920" s="23" t="str">
        <f>'2.4.raw'!G920</f>
        <v/>
      </c>
      <c r="E920" s="1">
        <v>2.39999999999999</v>
      </c>
      <c r="F920" s="23" t="b">
        <f>if(countif(Status!C:C,A920)=1,TRUE, FALSE)</f>
        <v>0</v>
      </c>
      <c r="G920" s="23" t="str">
        <f>'2.4.raw'!AQ920</f>
        <v/>
      </c>
    </row>
    <row r="921">
      <c r="A921" s="23" t="str">
        <f t="shared" si="2"/>
        <v/>
      </c>
      <c r="B921" s="23" t="str">
        <f>'2.4.raw'!L921</f>
        <v/>
      </c>
      <c r="C921" s="24" t="str">
        <f>datevalue(left('2.4.raw'!A921,10))</f>
        <v>#VALUE!</v>
      </c>
      <c r="D921" s="23" t="str">
        <f>'2.4.raw'!G921</f>
        <v/>
      </c>
      <c r="E921" s="1">
        <v>2.39999999999999</v>
      </c>
      <c r="F921" s="23" t="b">
        <f>if(countif(Status!C:C,A921)=1,TRUE, FALSE)</f>
        <v>0</v>
      </c>
      <c r="G921" s="23" t="str">
        <f>'2.4.raw'!AQ921</f>
        <v/>
      </c>
    </row>
    <row r="922">
      <c r="A922" s="23" t="str">
        <f t="shared" si="2"/>
        <v/>
      </c>
      <c r="B922" s="23" t="str">
        <f>'2.4.raw'!L922</f>
        <v/>
      </c>
      <c r="C922" s="24" t="str">
        <f>datevalue(left('2.4.raw'!A922,10))</f>
        <v>#VALUE!</v>
      </c>
      <c r="D922" s="23" t="str">
        <f>'2.4.raw'!G922</f>
        <v/>
      </c>
      <c r="E922" s="1">
        <v>2.39999999999999</v>
      </c>
      <c r="F922" s="23" t="b">
        <f>if(countif(Status!C:C,A922)=1,TRUE, FALSE)</f>
        <v>0</v>
      </c>
      <c r="G922" s="23" t="str">
        <f>'2.4.raw'!AQ922</f>
        <v/>
      </c>
    </row>
    <row r="923">
      <c r="A923" s="23" t="str">
        <f t="shared" si="2"/>
        <v/>
      </c>
      <c r="B923" s="23" t="str">
        <f>'2.4.raw'!L923</f>
        <v/>
      </c>
      <c r="C923" s="24" t="str">
        <f>datevalue(left('2.4.raw'!A923,10))</f>
        <v>#VALUE!</v>
      </c>
      <c r="D923" s="23" t="str">
        <f>'2.4.raw'!G923</f>
        <v/>
      </c>
      <c r="E923" s="1">
        <v>2.39999999999999</v>
      </c>
      <c r="F923" s="23" t="b">
        <f>if(countif(Status!C:C,A923)=1,TRUE, FALSE)</f>
        <v>0</v>
      </c>
      <c r="G923" s="23" t="str">
        <f>'2.4.raw'!AQ923</f>
        <v/>
      </c>
    </row>
    <row r="924">
      <c r="A924" s="23" t="str">
        <f t="shared" si="2"/>
        <v/>
      </c>
      <c r="B924" s="23" t="str">
        <f>'2.4.raw'!L924</f>
        <v/>
      </c>
      <c r="C924" s="24" t="str">
        <f>datevalue(left('2.4.raw'!A924,10))</f>
        <v>#VALUE!</v>
      </c>
      <c r="D924" s="23" t="str">
        <f>'2.4.raw'!G924</f>
        <v/>
      </c>
      <c r="E924" s="1">
        <v>2.39999999999999</v>
      </c>
      <c r="F924" s="23" t="b">
        <f>if(countif(Status!C:C,A924)=1,TRUE, FALSE)</f>
        <v>0</v>
      </c>
      <c r="G924" s="23" t="str">
        <f>'2.4.raw'!AQ924</f>
        <v/>
      </c>
    </row>
    <row r="925">
      <c r="A925" s="23" t="str">
        <f t="shared" si="2"/>
        <v/>
      </c>
      <c r="B925" s="23" t="str">
        <f>'2.4.raw'!L925</f>
        <v/>
      </c>
      <c r="C925" s="24" t="str">
        <f>datevalue(left('2.4.raw'!A925,10))</f>
        <v>#VALUE!</v>
      </c>
      <c r="D925" s="23" t="str">
        <f>'2.4.raw'!G925</f>
        <v/>
      </c>
      <c r="E925" s="1">
        <v>2.39999999999999</v>
      </c>
      <c r="F925" s="23" t="b">
        <f>if(countif(Status!C:C,A925)=1,TRUE, FALSE)</f>
        <v>0</v>
      </c>
      <c r="G925" s="23" t="str">
        <f>'2.4.raw'!AQ925</f>
        <v/>
      </c>
    </row>
    <row r="926">
      <c r="A926" s="23" t="str">
        <f t="shared" si="2"/>
        <v/>
      </c>
      <c r="B926" s="23" t="str">
        <f>'2.4.raw'!L926</f>
        <v/>
      </c>
      <c r="C926" s="24" t="str">
        <f>datevalue(left('2.4.raw'!A926,10))</f>
        <v>#VALUE!</v>
      </c>
      <c r="D926" s="23" t="str">
        <f>'2.4.raw'!G926</f>
        <v/>
      </c>
      <c r="E926" s="1">
        <v>2.39999999999999</v>
      </c>
      <c r="F926" s="23" t="b">
        <f>if(countif(Status!C:C,A926)=1,TRUE, FALSE)</f>
        <v>0</v>
      </c>
      <c r="G926" s="23" t="str">
        <f>'2.4.raw'!AQ926</f>
        <v/>
      </c>
    </row>
    <row r="927">
      <c r="A927" s="23" t="str">
        <f t="shared" si="2"/>
        <v/>
      </c>
      <c r="B927" s="23" t="str">
        <f>'2.4.raw'!L927</f>
        <v/>
      </c>
      <c r="C927" s="24" t="str">
        <f>datevalue(left('2.4.raw'!A927,10))</f>
        <v>#VALUE!</v>
      </c>
      <c r="D927" s="23" t="str">
        <f>'2.4.raw'!G927</f>
        <v/>
      </c>
      <c r="E927" s="1">
        <v>2.39999999999999</v>
      </c>
      <c r="F927" s="23" t="b">
        <f>if(countif(Status!C:C,A927)=1,TRUE, FALSE)</f>
        <v>0</v>
      </c>
      <c r="G927" s="23" t="str">
        <f>'2.4.raw'!AQ927</f>
        <v/>
      </c>
    </row>
    <row r="928">
      <c r="A928" s="23" t="str">
        <f t="shared" si="2"/>
        <v/>
      </c>
      <c r="B928" s="23" t="str">
        <f>'2.4.raw'!L928</f>
        <v/>
      </c>
      <c r="C928" s="24" t="str">
        <f>datevalue(left('2.4.raw'!A928,10))</f>
        <v>#VALUE!</v>
      </c>
      <c r="D928" s="23" t="str">
        <f>'2.4.raw'!G928</f>
        <v/>
      </c>
      <c r="E928" s="1">
        <v>2.39999999999999</v>
      </c>
      <c r="F928" s="23" t="b">
        <f>if(countif(Status!C:C,A928)=1,TRUE, FALSE)</f>
        <v>0</v>
      </c>
      <c r="G928" s="23" t="str">
        <f>'2.4.raw'!AQ928</f>
        <v/>
      </c>
    </row>
    <row r="929">
      <c r="A929" s="23" t="str">
        <f t="shared" si="2"/>
        <v/>
      </c>
      <c r="B929" s="23" t="str">
        <f>'2.4.raw'!L929</f>
        <v/>
      </c>
      <c r="C929" s="24" t="str">
        <f>datevalue(left('2.4.raw'!A929,10))</f>
        <v>#VALUE!</v>
      </c>
      <c r="D929" s="23" t="str">
        <f>'2.4.raw'!G929</f>
        <v/>
      </c>
      <c r="E929" s="1">
        <v>2.39999999999999</v>
      </c>
      <c r="F929" s="23" t="b">
        <f>if(countif(Status!C:C,A929)=1,TRUE, FALSE)</f>
        <v>0</v>
      </c>
      <c r="G929" s="23" t="str">
        <f>'2.4.raw'!AQ929</f>
        <v/>
      </c>
    </row>
    <row r="930">
      <c r="A930" s="23" t="str">
        <f t="shared" si="2"/>
        <v/>
      </c>
      <c r="B930" s="23" t="str">
        <f>'2.4.raw'!L930</f>
        <v/>
      </c>
      <c r="C930" s="24" t="str">
        <f>datevalue(left('2.4.raw'!A930,10))</f>
        <v>#VALUE!</v>
      </c>
      <c r="D930" s="23" t="str">
        <f>'2.4.raw'!G930</f>
        <v/>
      </c>
      <c r="E930" s="1">
        <v>2.39999999999999</v>
      </c>
      <c r="F930" s="23" t="b">
        <f>if(countif(Status!C:C,A930)=1,TRUE, FALSE)</f>
        <v>0</v>
      </c>
      <c r="G930" s="23" t="str">
        <f>'2.4.raw'!AQ930</f>
        <v/>
      </c>
    </row>
    <row r="931">
      <c r="A931" s="23" t="str">
        <f t="shared" si="2"/>
        <v/>
      </c>
      <c r="B931" s="23" t="str">
        <f>'2.4.raw'!L931</f>
        <v/>
      </c>
      <c r="C931" s="24" t="str">
        <f>datevalue(left('2.4.raw'!A931,10))</f>
        <v>#VALUE!</v>
      </c>
      <c r="D931" s="23" t="str">
        <f>'2.4.raw'!G931</f>
        <v/>
      </c>
      <c r="E931" s="1">
        <v>2.39999999999999</v>
      </c>
      <c r="F931" s="23" t="b">
        <f>if(countif(Status!C:C,A931)=1,TRUE, FALSE)</f>
        <v>0</v>
      </c>
      <c r="G931" s="23" t="str">
        <f>'2.4.raw'!AQ931</f>
        <v/>
      </c>
    </row>
    <row r="932">
      <c r="A932" s="23" t="str">
        <f t="shared" si="2"/>
        <v/>
      </c>
      <c r="B932" s="23" t="str">
        <f>'2.4.raw'!L932</f>
        <v/>
      </c>
      <c r="C932" s="24" t="str">
        <f>datevalue(left('2.4.raw'!A932,10))</f>
        <v>#VALUE!</v>
      </c>
      <c r="D932" s="23" t="str">
        <f>'2.4.raw'!G932</f>
        <v/>
      </c>
      <c r="E932" s="1">
        <v>2.39999999999999</v>
      </c>
      <c r="F932" s="23" t="b">
        <f>if(countif(Status!C:C,A932)=1,TRUE, FALSE)</f>
        <v>0</v>
      </c>
      <c r="G932" s="23" t="str">
        <f>'2.4.raw'!AQ932</f>
        <v/>
      </c>
    </row>
    <row r="933">
      <c r="A933" s="23" t="str">
        <f t="shared" si="2"/>
        <v/>
      </c>
      <c r="B933" s="23" t="str">
        <f>'2.4.raw'!L933</f>
        <v/>
      </c>
      <c r="C933" s="24" t="str">
        <f>datevalue(left('2.4.raw'!A933,10))</f>
        <v>#VALUE!</v>
      </c>
      <c r="D933" s="23" t="str">
        <f>'2.4.raw'!G933</f>
        <v/>
      </c>
      <c r="E933" s="1">
        <v>2.39999999999999</v>
      </c>
      <c r="F933" s="23" t="b">
        <f>if(countif(Status!C:C,A933)=1,TRUE, FALSE)</f>
        <v>0</v>
      </c>
      <c r="G933" s="23" t="str">
        <f>'2.4.raw'!AQ933</f>
        <v/>
      </c>
    </row>
    <row r="934">
      <c r="A934" s="23" t="str">
        <f t="shared" si="2"/>
        <v/>
      </c>
      <c r="B934" s="23" t="str">
        <f>'2.4.raw'!L934</f>
        <v/>
      </c>
      <c r="C934" s="24" t="str">
        <f>datevalue(left('2.4.raw'!A934,10))</f>
        <v>#VALUE!</v>
      </c>
      <c r="D934" s="23" t="str">
        <f>'2.4.raw'!G934</f>
        <v/>
      </c>
      <c r="E934" s="1">
        <v>2.39999999999999</v>
      </c>
      <c r="F934" s="23" t="b">
        <f>if(countif(Status!C:C,A934)=1,TRUE, FALSE)</f>
        <v>0</v>
      </c>
      <c r="G934" s="23" t="str">
        <f>'2.4.raw'!AQ934</f>
        <v/>
      </c>
    </row>
    <row r="935">
      <c r="A935" s="23" t="str">
        <f t="shared" si="2"/>
        <v/>
      </c>
      <c r="B935" s="23" t="str">
        <f>'2.4.raw'!L935</f>
        <v/>
      </c>
      <c r="C935" s="24" t="str">
        <f>datevalue(left('2.4.raw'!A935,10))</f>
        <v>#VALUE!</v>
      </c>
      <c r="D935" s="23" t="str">
        <f>'2.4.raw'!G935</f>
        <v/>
      </c>
      <c r="E935" s="1">
        <v>2.39999999999999</v>
      </c>
      <c r="F935" s="23" t="b">
        <f>if(countif(Status!C:C,A935)=1,TRUE, FALSE)</f>
        <v>0</v>
      </c>
      <c r="G935" s="23" t="str">
        <f>'2.4.raw'!AQ935</f>
        <v/>
      </c>
    </row>
    <row r="936">
      <c r="A936" s="23" t="str">
        <f t="shared" si="2"/>
        <v/>
      </c>
      <c r="B936" s="23" t="str">
        <f>'2.4.raw'!L936</f>
        <v/>
      </c>
      <c r="C936" s="24" t="str">
        <f>datevalue(left('2.4.raw'!A936,10))</f>
        <v>#VALUE!</v>
      </c>
      <c r="D936" s="23" t="str">
        <f>'2.4.raw'!G936</f>
        <v/>
      </c>
      <c r="E936" s="1">
        <v>2.39999999999999</v>
      </c>
      <c r="F936" s="23" t="b">
        <f>if(countif(Status!C:C,A936)=1,TRUE, FALSE)</f>
        <v>0</v>
      </c>
      <c r="G936" s="23" t="str">
        <f>'2.4.raw'!AQ936</f>
        <v/>
      </c>
    </row>
    <row r="937">
      <c r="A937" s="23" t="str">
        <f t="shared" si="2"/>
        <v/>
      </c>
      <c r="B937" s="23" t="str">
        <f>'2.4.raw'!L937</f>
        <v/>
      </c>
      <c r="C937" s="24" t="str">
        <f>datevalue(left('2.4.raw'!A937,10))</f>
        <v>#VALUE!</v>
      </c>
      <c r="D937" s="23" t="str">
        <f>'2.4.raw'!G937</f>
        <v/>
      </c>
      <c r="E937" s="1">
        <v>2.39999999999999</v>
      </c>
      <c r="F937" s="23" t="b">
        <f>if(countif(Status!C:C,A937)=1,TRUE, FALSE)</f>
        <v>0</v>
      </c>
      <c r="G937" s="23" t="str">
        <f>'2.4.raw'!AQ937</f>
        <v/>
      </c>
    </row>
    <row r="938">
      <c r="A938" s="23" t="str">
        <f t="shared" si="2"/>
        <v/>
      </c>
      <c r="B938" s="23" t="str">
        <f>'2.4.raw'!L938</f>
        <v/>
      </c>
      <c r="C938" s="24" t="str">
        <f>datevalue(left('2.4.raw'!A938,10))</f>
        <v>#VALUE!</v>
      </c>
      <c r="D938" s="23" t="str">
        <f>'2.4.raw'!G938</f>
        <v/>
      </c>
      <c r="E938" s="1">
        <v>2.39999999999999</v>
      </c>
      <c r="F938" s="23" t="b">
        <f>if(countif(Status!C:C,A938)=1,TRUE, FALSE)</f>
        <v>0</v>
      </c>
      <c r="G938" s="23" t="str">
        <f>'2.4.raw'!AQ938</f>
        <v/>
      </c>
    </row>
    <row r="939">
      <c r="A939" s="23" t="str">
        <f t="shared" si="2"/>
        <v/>
      </c>
      <c r="B939" s="23" t="str">
        <f>'2.4.raw'!L939</f>
        <v/>
      </c>
      <c r="C939" s="24" t="str">
        <f>datevalue(left('2.4.raw'!A939,10))</f>
        <v>#VALUE!</v>
      </c>
      <c r="D939" s="23" t="str">
        <f>'2.4.raw'!G939</f>
        <v/>
      </c>
      <c r="E939" s="1">
        <v>2.39999999999999</v>
      </c>
      <c r="F939" s="23" t="b">
        <f>if(countif(Status!C:C,A939)=1,TRUE, FALSE)</f>
        <v>0</v>
      </c>
      <c r="G939" s="23" t="str">
        <f>'2.4.raw'!AQ939</f>
        <v/>
      </c>
    </row>
    <row r="940">
      <c r="A940" s="23" t="str">
        <f t="shared" si="2"/>
        <v/>
      </c>
      <c r="B940" s="23" t="str">
        <f>'2.4.raw'!L940</f>
        <v/>
      </c>
      <c r="C940" s="24" t="str">
        <f>datevalue(left('2.4.raw'!A940,10))</f>
        <v>#VALUE!</v>
      </c>
      <c r="D940" s="23" t="str">
        <f>'2.4.raw'!G940</f>
        <v/>
      </c>
      <c r="E940" s="1">
        <v>2.39999999999999</v>
      </c>
      <c r="F940" s="23" t="b">
        <f>if(countif(Status!C:C,A940)=1,TRUE, FALSE)</f>
        <v>0</v>
      </c>
      <c r="G940" s="23" t="str">
        <f>'2.4.raw'!AQ940</f>
        <v/>
      </c>
    </row>
    <row r="941">
      <c r="A941" s="23" t="str">
        <f t="shared" si="2"/>
        <v/>
      </c>
      <c r="B941" s="23" t="str">
        <f>'2.4.raw'!L941</f>
        <v/>
      </c>
      <c r="C941" s="24" t="str">
        <f>datevalue(left('2.4.raw'!A941,10))</f>
        <v>#VALUE!</v>
      </c>
      <c r="D941" s="23" t="str">
        <f>'2.4.raw'!G941</f>
        <v/>
      </c>
      <c r="E941" s="1">
        <v>2.39999999999999</v>
      </c>
      <c r="F941" s="23" t="b">
        <f>if(countif(Status!C:C,A941)=1,TRUE, FALSE)</f>
        <v>0</v>
      </c>
      <c r="G941" s="23" t="str">
        <f>'2.4.raw'!AQ941</f>
        <v/>
      </c>
    </row>
    <row r="942">
      <c r="A942" s="23" t="str">
        <f t="shared" si="2"/>
        <v/>
      </c>
      <c r="B942" s="23" t="str">
        <f>'2.4.raw'!L942</f>
        <v/>
      </c>
      <c r="C942" s="24" t="str">
        <f>datevalue(left('2.4.raw'!A942,10))</f>
        <v>#VALUE!</v>
      </c>
      <c r="D942" s="23" t="str">
        <f>'2.4.raw'!G942</f>
        <v/>
      </c>
      <c r="E942" s="1">
        <v>2.39999999999999</v>
      </c>
      <c r="F942" s="23" t="b">
        <f>if(countif(Status!C:C,A942)=1,TRUE, FALSE)</f>
        <v>0</v>
      </c>
      <c r="G942" s="23" t="str">
        <f>'2.4.raw'!AQ942</f>
        <v/>
      </c>
    </row>
    <row r="943">
      <c r="A943" s="23" t="str">
        <f t="shared" si="2"/>
        <v/>
      </c>
      <c r="B943" s="23" t="str">
        <f>'2.4.raw'!L943</f>
        <v/>
      </c>
      <c r="C943" s="24" t="str">
        <f>datevalue(left('2.4.raw'!A943,10))</f>
        <v>#VALUE!</v>
      </c>
      <c r="D943" s="23" t="str">
        <f>'2.4.raw'!G943</f>
        <v/>
      </c>
      <c r="E943" s="1">
        <v>2.39999999999999</v>
      </c>
      <c r="F943" s="23" t="b">
        <f>if(countif(Status!C:C,A943)=1,TRUE, FALSE)</f>
        <v>0</v>
      </c>
      <c r="G943" s="23" t="str">
        <f>'2.4.raw'!AQ943</f>
        <v/>
      </c>
    </row>
    <row r="944">
      <c r="A944" s="23" t="str">
        <f t="shared" si="2"/>
        <v/>
      </c>
      <c r="B944" s="23" t="str">
        <f>'2.4.raw'!L944</f>
        <v/>
      </c>
      <c r="C944" s="24" t="str">
        <f>datevalue(left('2.4.raw'!A944,10))</f>
        <v>#VALUE!</v>
      </c>
      <c r="D944" s="23" t="str">
        <f>'2.4.raw'!G944</f>
        <v/>
      </c>
      <c r="E944" s="1">
        <v>2.39999999999999</v>
      </c>
      <c r="F944" s="23" t="b">
        <f>if(countif(Status!C:C,A944)=1,TRUE, FALSE)</f>
        <v>0</v>
      </c>
      <c r="G944" s="23" t="str">
        <f>'2.4.raw'!AQ944</f>
        <v/>
      </c>
    </row>
    <row r="945">
      <c r="A945" s="23" t="str">
        <f t="shared" si="2"/>
        <v/>
      </c>
      <c r="B945" s="23" t="str">
        <f>'2.4.raw'!L945</f>
        <v/>
      </c>
      <c r="C945" s="24" t="str">
        <f>datevalue(left('2.4.raw'!A945,10))</f>
        <v>#VALUE!</v>
      </c>
      <c r="D945" s="23" t="str">
        <f>'2.4.raw'!G945</f>
        <v/>
      </c>
      <c r="E945" s="1">
        <v>2.39999999999999</v>
      </c>
      <c r="F945" s="23" t="b">
        <f>if(countif(Status!C:C,A945)=1,TRUE, FALSE)</f>
        <v>0</v>
      </c>
      <c r="G945" s="23" t="str">
        <f>'2.4.raw'!AQ945</f>
        <v/>
      </c>
    </row>
    <row r="946">
      <c r="A946" s="23" t="str">
        <f t="shared" si="2"/>
        <v/>
      </c>
      <c r="B946" s="23" t="str">
        <f>'2.4.raw'!L946</f>
        <v/>
      </c>
      <c r="C946" s="24" t="str">
        <f>datevalue(left('2.4.raw'!A946,10))</f>
        <v>#VALUE!</v>
      </c>
      <c r="D946" s="23" t="str">
        <f>'2.4.raw'!G946</f>
        <v/>
      </c>
      <c r="E946" s="1">
        <v>2.39999999999999</v>
      </c>
      <c r="F946" s="23" t="b">
        <f>if(countif(Status!C:C,A946)=1,TRUE, FALSE)</f>
        <v>0</v>
      </c>
      <c r="G946" s="23" t="str">
        <f>'2.4.raw'!AQ946</f>
        <v/>
      </c>
    </row>
    <row r="947">
      <c r="A947" s="23" t="str">
        <f t="shared" si="2"/>
        <v/>
      </c>
      <c r="B947" s="23" t="str">
        <f>'2.4.raw'!L947</f>
        <v/>
      </c>
      <c r="C947" s="24" t="str">
        <f>datevalue(left('2.4.raw'!A947,10))</f>
        <v>#VALUE!</v>
      </c>
      <c r="D947" s="23" t="str">
        <f>'2.4.raw'!G947</f>
        <v/>
      </c>
      <c r="E947" s="1">
        <v>2.39999999999999</v>
      </c>
      <c r="F947" s="23" t="b">
        <f>if(countif(Status!C:C,A947)=1,TRUE, FALSE)</f>
        <v>0</v>
      </c>
      <c r="G947" s="23" t="str">
        <f>'2.4.raw'!AQ947</f>
        <v/>
      </c>
    </row>
    <row r="948">
      <c r="A948" s="23" t="str">
        <f t="shared" si="2"/>
        <v/>
      </c>
      <c r="B948" s="23" t="str">
        <f>'2.4.raw'!L948</f>
        <v/>
      </c>
      <c r="C948" s="24" t="str">
        <f>datevalue(left('2.4.raw'!A948,10))</f>
        <v>#VALUE!</v>
      </c>
      <c r="D948" s="23" t="str">
        <f>'2.4.raw'!G948</f>
        <v/>
      </c>
      <c r="E948" s="1">
        <v>2.39999999999999</v>
      </c>
      <c r="F948" s="23" t="b">
        <f>if(countif(Status!C:C,A948)=1,TRUE, FALSE)</f>
        <v>0</v>
      </c>
      <c r="G948" s="23" t="str">
        <f>'2.4.raw'!AQ948</f>
        <v/>
      </c>
    </row>
    <row r="949">
      <c r="A949" s="23" t="str">
        <f t="shared" si="2"/>
        <v/>
      </c>
      <c r="B949" s="23" t="str">
        <f>'2.4.raw'!L949</f>
        <v/>
      </c>
      <c r="C949" s="24" t="str">
        <f>datevalue(left('2.4.raw'!A949,10))</f>
        <v>#VALUE!</v>
      </c>
      <c r="D949" s="23" t="str">
        <f>'2.4.raw'!G949</f>
        <v/>
      </c>
      <c r="E949" s="1">
        <v>2.39999999999999</v>
      </c>
      <c r="F949" s="23" t="b">
        <f>if(countif(Status!C:C,A949)=1,TRUE, FALSE)</f>
        <v>0</v>
      </c>
      <c r="G949" s="23" t="str">
        <f>'2.4.raw'!AQ949</f>
        <v/>
      </c>
    </row>
    <row r="950">
      <c r="A950" s="23" t="str">
        <f t="shared" si="2"/>
        <v/>
      </c>
      <c r="B950" s="23" t="str">
        <f>'2.4.raw'!L950</f>
        <v/>
      </c>
      <c r="C950" s="24" t="str">
        <f>datevalue(left('2.4.raw'!A950,10))</f>
        <v>#VALUE!</v>
      </c>
      <c r="D950" s="23" t="str">
        <f>'2.4.raw'!G950</f>
        <v/>
      </c>
      <c r="E950" s="1">
        <v>2.39999999999999</v>
      </c>
      <c r="F950" s="23" t="b">
        <f>if(countif(Status!C:C,A950)=1,TRUE, FALSE)</f>
        <v>0</v>
      </c>
      <c r="G950" s="23" t="str">
        <f>'2.4.raw'!AQ950</f>
        <v/>
      </c>
    </row>
    <row r="951">
      <c r="A951" s="23" t="str">
        <f t="shared" si="2"/>
        <v/>
      </c>
      <c r="B951" s="23" t="str">
        <f>'2.4.raw'!L951</f>
        <v/>
      </c>
      <c r="C951" s="24" t="str">
        <f>datevalue(left('2.4.raw'!A951,10))</f>
        <v>#VALUE!</v>
      </c>
      <c r="D951" s="23" t="str">
        <f>'2.4.raw'!G951</f>
        <v/>
      </c>
      <c r="E951" s="1">
        <v>2.39999999999999</v>
      </c>
      <c r="F951" s="23" t="b">
        <f>if(countif(Status!C:C,A951)=1,TRUE, FALSE)</f>
        <v>0</v>
      </c>
      <c r="G951" s="23" t="str">
        <f>'2.4.raw'!AQ951</f>
        <v/>
      </c>
    </row>
    <row r="952">
      <c r="A952" s="23" t="str">
        <f t="shared" si="2"/>
        <v/>
      </c>
      <c r="B952" s="23" t="str">
        <f>'2.4.raw'!L952</f>
        <v/>
      </c>
      <c r="C952" s="24" t="str">
        <f>datevalue(left('2.4.raw'!A952,10))</f>
        <v>#VALUE!</v>
      </c>
      <c r="D952" s="23" t="str">
        <f>'2.4.raw'!G952</f>
        <v/>
      </c>
      <c r="E952" s="1">
        <v>2.39999999999999</v>
      </c>
      <c r="F952" s="23" t="b">
        <f>if(countif(Status!C:C,A952)=1,TRUE, FALSE)</f>
        <v>0</v>
      </c>
      <c r="G952" s="23" t="str">
        <f>'2.4.raw'!AQ952</f>
        <v/>
      </c>
    </row>
    <row r="953">
      <c r="A953" s="23" t="str">
        <f t="shared" si="2"/>
        <v/>
      </c>
      <c r="B953" s="23" t="str">
        <f>'2.4.raw'!L953</f>
        <v/>
      </c>
      <c r="C953" s="24" t="str">
        <f>datevalue(left('2.4.raw'!A953,10))</f>
        <v>#VALUE!</v>
      </c>
      <c r="D953" s="23" t="str">
        <f>'2.4.raw'!G953</f>
        <v/>
      </c>
      <c r="E953" s="1">
        <v>2.39999999999999</v>
      </c>
      <c r="F953" s="23" t="b">
        <f>if(countif(Status!C:C,A953)=1,TRUE, FALSE)</f>
        <v>0</v>
      </c>
      <c r="G953" s="23" t="str">
        <f>'2.4.raw'!AQ953</f>
        <v/>
      </c>
    </row>
    <row r="954">
      <c r="A954" s="23" t="str">
        <f t="shared" si="2"/>
        <v/>
      </c>
      <c r="B954" s="23" t="str">
        <f>'2.4.raw'!L954</f>
        <v/>
      </c>
      <c r="C954" s="24" t="str">
        <f>datevalue(left('2.4.raw'!A954,10))</f>
        <v>#VALUE!</v>
      </c>
      <c r="D954" s="23" t="str">
        <f>'2.4.raw'!G954</f>
        <v/>
      </c>
      <c r="E954" s="1">
        <v>2.39999999999999</v>
      </c>
      <c r="F954" s="23" t="b">
        <f>if(countif(Status!C:C,A954)=1,TRUE, FALSE)</f>
        <v>0</v>
      </c>
      <c r="G954" s="23" t="str">
        <f>'2.4.raw'!AQ954</f>
        <v/>
      </c>
    </row>
    <row r="955">
      <c r="A955" s="23" t="str">
        <f t="shared" si="2"/>
        <v/>
      </c>
      <c r="B955" s="23" t="str">
        <f>'2.4.raw'!L955</f>
        <v/>
      </c>
      <c r="C955" s="24" t="str">
        <f>datevalue(left('2.4.raw'!A955,10))</f>
        <v>#VALUE!</v>
      </c>
      <c r="D955" s="23" t="str">
        <f>'2.4.raw'!G955</f>
        <v/>
      </c>
      <c r="E955" s="1">
        <v>2.39999999999999</v>
      </c>
      <c r="F955" s="23" t="b">
        <f>if(countif(Status!C:C,A955)=1,TRUE, FALSE)</f>
        <v>0</v>
      </c>
      <c r="G955" s="23" t="str">
        <f>'2.4.raw'!AQ955</f>
        <v/>
      </c>
    </row>
    <row r="956">
      <c r="A956" s="23" t="str">
        <f t="shared" si="2"/>
        <v/>
      </c>
      <c r="B956" s="23" t="str">
        <f>'2.4.raw'!L956</f>
        <v/>
      </c>
      <c r="C956" s="24" t="str">
        <f>datevalue(left('2.4.raw'!A956,10))</f>
        <v>#VALUE!</v>
      </c>
      <c r="D956" s="23" t="str">
        <f>'2.4.raw'!G956</f>
        <v/>
      </c>
      <c r="E956" s="1">
        <v>2.39999999999999</v>
      </c>
      <c r="F956" s="23" t="b">
        <f>if(countif(Status!C:C,A956)=1,TRUE, FALSE)</f>
        <v>0</v>
      </c>
      <c r="G956" s="23" t="str">
        <f>'2.4.raw'!AQ956</f>
        <v/>
      </c>
    </row>
    <row r="957">
      <c r="A957" s="23" t="str">
        <f t="shared" si="2"/>
        <v/>
      </c>
      <c r="B957" s="23" t="str">
        <f>'2.4.raw'!L957</f>
        <v/>
      </c>
      <c r="C957" s="24" t="str">
        <f>datevalue(left('2.4.raw'!A957,10))</f>
        <v>#VALUE!</v>
      </c>
      <c r="D957" s="23" t="str">
        <f>'2.4.raw'!G957</f>
        <v/>
      </c>
      <c r="E957" s="1">
        <v>2.39999999999999</v>
      </c>
      <c r="F957" s="23" t="b">
        <f>if(countif(Status!C:C,A957)=1,TRUE, FALSE)</f>
        <v>0</v>
      </c>
      <c r="G957" s="23" t="str">
        <f>'2.4.raw'!AQ957</f>
        <v/>
      </c>
    </row>
    <row r="958">
      <c r="A958" s="23" t="str">
        <f t="shared" si="2"/>
        <v/>
      </c>
      <c r="B958" s="23" t="str">
        <f>'2.4.raw'!L958</f>
        <v/>
      </c>
      <c r="C958" s="24" t="str">
        <f>datevalue(left('2.4.raw'!A958,10))</f>
        <v>#VALUE!</v>
      </c>
      <c r="D958" s="23" t="str">
        <f>'2.4.raw'!G958</f>
        <v/>
      </c>
      <c r="E958" s="1">
        <v>2.39999999999999</v>
      </c>
      <c r="F958" s="23" t="b">
        <f>if(countif(Status!C:C,A958)=1,TRUE, FALSE)</f>
        <v>0</v>
      </c>
      <c r="G958" s="23" t="str">
        <f>'2.4.raw'!AQ958</f>
        <v/>
      </c>
    </row>
    <row r="959">
      <c r="A959" s="23" t="str">
        <f t="shared" si="2"/>
        <v/>
      </c>
      <c r="B959" s="23" t="str">
        <f>'2.4.raw'!L959</f>
        <v/>
      </c>
      <c r="C959" s="24" t="str">
        <f>datevalue(left('2.4.raw'!A959,10))</f>
        <v>#VALUE!</v>
      </c>
      <c r="D959" s="23" t="str">
        <f>'2.4.raw'!G959</f>
        <v/>
      </c>
      <c r="E959" s="1">
        <v>2.39999999999999</v>
      </c>
      <c r="F959" s="23" t="b">
        <f>if(countif(Status!C:C,A959)=1,TRUE, FALSE)</f>
        <v>0</v>
      </c>
      <c r="G959" s="23" t="str">
        <f>'2.4.raw'!AQ959</f>
        <v/>
      </c>
    </row>
    <row r="960">
      <c r="A960" s="23" t="str">
        <f t="shared" si="2"/>
        <v/>
      </c>
      <c r="B960" s="23" t="str">
        <f>'2.4.raw'!L960</f>
        <v/>
      </c>
      <c r="C960" s="24" t="str">
        <f>datevalue(left('2.4.raw'!A960,10))</f>
        <v>#VALUE!</v>
      </c>
      <c r="D960" s="23" t="str">
        <f>'2.4.raw'!G960</f>
        <v/>
      </c>
      <c r="E960" s="1">
        <v>2.39999999999999</v>
      </c>
      <c r="F960" s="23" t="b">
        <f>if(countif(Status!C:C,A960)=1,TRUE, FALSE)</f>
        <v>0</v>
      </c>
      <c r="G960" s="23" t="str">
        <f>'2.4.raw'!AQ960</f>
        <v/>
      </c>
    </row>
    <row r="961">
      <c r="A961" s="23" t="str">
        <f t="shared" si="2"/>
        <v/>
      </c>
      <c r="B961" s="23" t="str">
        <f>'2.4.raw'!L961</f>
        <v/>
      </c>
      <c r="C961" s="24" t="str">
        <f>datevalue(left('2.4.raw'!A961,10))</f>
        <v>#VALUE!</v>
      </c>
      <c r="D961" s="23" t="str">
        <f>'2.4.raw'!G961</f>
        <v/>
      </c>
      <c r="E961" s="1">
        <v>2.39999999999999</v>
      </c>
      <c r="F961" s="23" t="b">
        <f>if(countif(Status!C:C,A961)=1,TRUE, FALSE)</f>
        <v>0</v>
      </c>
      <c r="G961" s="23" t="str">
        <f>'2.4.raw'!AQ961</f>
        <v/>
      </c>
    </row>
    <row r="962">
      <c r="A962" s="23" t="str">
        <f t="shared" si="2"/>
        <v/>
      </c>
      <c r="B962" s="23" t="str">
        <f>'2.4.raw'!L962</f>
        <v/>
      </c>
      <c r="C962" s="24" t="str">
        <f>datevalue(left('2.4.raw'!A962,10))</f>
        <v>#VALUE!</v>
      </c>
      <c r="D962" s="23" t="str">
        <f>'2.4.raw'!G962</f>
        <v/>
      </c>
      <c r="E962" s="1">
        <v>2.39999999999999</v>
      </c>
      <c r="F962" s="23" t="b">
        <f>if(countif(Status!C:C,A962)=1,TRUE, FALSE)</f>
        <v>0</v>
      </c>
      <c r="G962" s="23" t="str">
        <f>'2.4.raw'!AQ962</f>
        <v/>
      </c>
    </row>
    <row r="963">
      <c r="A963" s="23" t="str">
        <f t="shared" si="2"/>
        <v/>
      </c>
      <c r="B963" s="23" t="str">
        <f>'2.4.raw'!L963</f>
        <v/>
      </c>
      <c r="C963" s="24" t="str">
        <f>datevalue(left('2.4.raw'!A963,10))</f>
        <v>#VALUE!</v>
      </c>
      <c r="D963" s="23" t="str">
        <f>'2.4.raw'!G963</f>
        <v/>
      </c>
      <c r="E963" s="1">
        <v>2.39999999999999</v>
      </c>
      <c r="F963" s="23" t="b">
        <f>if(countif(Status!C:C,A963)=1,TRUE, FALSE)</f>
        <v>0</v>
      </c>
      <c r="G963" s="23" t="str">
        <f>'2.4.raw'!AQ963</f>
        <v/>
      </c>
    </row>
    <row r="964">
      <c r="A964" s="23" t="str">
        <f t="shared" si="2"/>
        <v/>
      </c>
      <c r="B964" s="23" t="str">
        <f>'2.4.raw'!L964</f>
        <v/>
      </c>
      <c r="C964" s="24" t="str">
        <f>datevalue(left('2.4.raw'!A964,10))</f>
        <v>#VALUE!</v>
      </c>
      <c r="D964" s="23" t="str">
        <f>'2.4.raw'!G964</f>
        <v/>
      </c>
      <c r="E964" s="1">
        <v>2.39999999999999</v>
      </c>
      <c r="F964" s="23" t="b">
        <f>if(countif(Status!C:C,A964)=1,TRUE, FALSE)</f>
        <v>0</v>
      </c>
      <c r="G964" s="23" t="str">
        <f>'2.4.raw'!AQ964</f>
        <v/>
      </c>
    </row>
    <row r="965">
      <c r="A965" s="23" t="str">
        <f t="shared" si="2"/>
        <v/>
      </c>
      <c r="B965" s="23" t="str">
        <f>'2.4.raw'!L965</f>
        <v/>
      </c>
      <c r="C965" s="24" t="str">
        <f>datevalue(left('2.4.raw'!A965,10))</f>
        <v>#VALUE!</v>
      </c>
      <c r="D965" s="23" t="str">
        <f>'2.4.raw'!G965</f>
        <v/>
      </c>
      <c r="E965" s="1">
        <v>2.39999999999999</v>
      </c>
      <c r="F965" s="23" t="b">
        <f>if(countif(Status!C:C,A965)=1,TRUE, FALSE)</f>
        <v>0</v>
      </c>
      <c r="G965" s="23" t="str">
        <f>'2.4.raw'!AQ965</f>
        <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7" max="7" width="16.14"/>
    <col customWidth="1" min="8" max="8" width="8.29"/>
    <col customWidth="1" min="10" max="10" width="41.29"/>
  </cols>
  <sheetData>
    <row r="1">
      <c r="A1" s="1" t="s">
        <v>1273</v>
      </c>
      <c r="B1" s="1" t="s">
        <v>1274</v>
      </c>
      <c r="C1" s="1" t="s">
        <v>96</v>
      </c>
      <c r="D1" s="50" t="s">
        <v>1275</v>
      </c>
      <c r="E1" s="1" t="s">
        <v>370</v>
      </c>
      <c r="F1" s="1" t="s">
        <v>372</v>
      </c>
      <c r="G1" s="1" t="s">
        <v>1276</v>
      </c>
      <c r="H1" s="1" t="s">
        <v>13</v>
      </c>
      <c r="I1" s="1" t="s">
        <v>1277</v>
      </c>
      <c r="J1" s="1" t="s">
        <v>1278</v>
      </c>
    </row>
    <row r="2">
      <c r="A2" s="23" t="str">
        <f t="shared" ref="A2:A21" si="1">SUBSTITUTE(B2, " ", "")</f>
        <v>UF1015</v>
      </c>
      <c r="B2" s="23" t="str">
        <f>'3.1.raw'!L632</f>
        <v>UF1015</v>
      </c>
      <c r="C2" s="24">
        <f>datevalue(left('3.1.raw'!O632,10))</f>
        <v>43844</v>
      </c>
      <c r="D2" s="23">
        <f>'3.1.raw'!I632</f>
        <v>16</v>
      </c>
      <c r="E2" s="1">
        <v>3.09999999999999</v>
      </c>
      <c r="F2" s="23" t="b">
        <f>if(countif(Status!C:C,A2)=1,TRUE, FALSE)</f>
        <v>1</v>
      </c>
      <c r="G2" s="1">
        <f t="shared" ref="G2:G948" si="2">ifs(isblank(H2),,H2&gt;0,1, H2=0,0)</f>
        <v>0</v>
      </c>
      <c r="H2" s="1">
        <f>'3.1.raw'!Z632</f>
        <v>0</v>
      </c>
      <c r="J2" s="1" t="str">
        <f>'3.1.raw'!AK632</f>
        <v>Red colony count: 1:10^4 -57; 1:10^5 - 0; 1:10^6 - 00, Each sample vol tested 1ml</v>
      </c>
    </row>
    <row r="3">
      <c r="A3" s="23" t="str">
        <f t="shared" si="1"/>
        <v>UF1012</v>
      </c>
      <c r="B3" s="23" t="str">
        <f>'3.1.raw'!L606</f>
        <v>UF1012</v>
      </c>
      <c r="C3" s="24">
        <f>datevalue(left('3.1.raw'!O606,10))</f>
        <v>43817</v>
      </c>
      <c r="D3" s="23">
        <f>'3.1.raw'!I606</f>
        <v>16</v>
      </c>
      <c r="E3" s="1">
        <v>3.09999999999999</v>
      </c>
      <c r="F3" s="23" t="b">
        <f>if(countif(Status!C:C,A3)=1,TRUE, FALSE)</f>
        <v>1</v>
      </c>
      <c r="G3" s="1">
        <f t="shared" si="2"/>
        <v>1</v>
      </c>
      <c r="H3" s="1">
        <f>'3.1.raw'!Z606</f>
        <v>80</v>
      </c>
      <c r="J3" s="1" t="str">
        <f>'3.1.raw'!AK606</f>
        <v>Blue Colony Count: 1:10^6 - 0, Red colony count: 1:10^3 - 260; 1:10^4 - 52; 1:10^5 - 13; 1:10^6 - 00, Each sample vol tested 1ml</v>
      </c>
    </row>
    <row r="4">
      <c r="A4" s="23" t="str">
        <f t="shared" si="1"/>
        <v>UF1011</v>
      </c>
      <c r="B4" s="23" t="str">
        <f>'3.1.raw'!L564</f>
        <v>UF1011</v>
      </c>
      <c r="C4" s="24">
        <f>datevalue(left('3.1.raw'!O564,10))</f>
        <v>43810</v>
      </c>
      <c r="D4" s="23">
        <f>'3.1.raw'!I564</f>
        <v>16</v>
      </c>
      <c r="E4" s="1">
        <v>3.09999999999999</v>
      </c>
      <c r="F4" s="23" t="b">
        <f>if(countif(Status!C:C,A4)=1,TRUE, FALSE)</f>
        <v>1</v>
      </c>
      <c r="G4" s="1">
        <f t="shared" si="2"/>
        <v>1</v>
      </c>
      <c r="H4" s="1">
        <f>'3.1.raw'!Z564</f>
        <v>52</v>
      </c>
      <c r="J4" s="1" t="str">
        <f>'3.1.raw'!AK564</f>
        <v>Blue Colony Count: 1:10^6 - 00 vol tested 1ml, Red colony count: 1:10^3 - TNTC 1:10^4 -102; 1:10^5 - 11; 1:10^6 - 01, Each sample vol tested 1ml</v>
      </c>
    </row>
    <row r="5">
      <c r="A5" s="23" t="str">
        <f t="shared" si="1"/>
        <v>UF1010</v>
      </c>
      <c r="B5" s="23" t="str">
        <f>'3.1.raw'!L522</f>
        <v>UF1010</v>
      </c>
      <c r="C5" s="24">
        <f>datevalue(left('3.1.raw'!O522,10))</f>
        <v>43803</v>
      </c>
      <c r="D5" s="23">
        <f>'3.1.raw'!I522</f>
        <v>16</v>
      </c>
      <c r="E5" s="1">
        <v>3.09999999999999</v>
      </c>
      <c r="F5" s="23" t="b">
        <f>if(countif(Status!C:C,A5)=1,TRUE, FALSE)</f>
        <v>1</v>
      </c>
      <c r="G5" s="1">
        <f t="shared" si="2"/>
        <v>1</v>
      </c>
      <c r="H5" s="1">
        <f>'3.1.raw'!Z522</f>
        <v>44</v>
      </c>
      <c r="J5" s="1" t="str">
        <f>'3.1.raw'!AK522</f>
        <v>Blue Colony Count: 1:10^6 - 00, volume tested 1ml, Red colony count: 1:10^3 - TNTC 1:10^4 -58; 1:10^5 - 9; 1:10^6 - 00, Each sample vol tested 1ml</v>
      </c>
    </row>
    <row r="6">
      <c r="A6" s="23" t="str">
        <f t="shared" si="1"/>
        <v>UF1009</v>
      </c>
      <c r="B6" s="23" t="str">
        <f>'3.1.raw'!L492</f>
        <v>UF1009</v>
      </c>
      <c r="C6" s="24">
        <f>datevalue(left('3.1.raw'!O492,10))</f>
        <v>43796</v>
      </c>
      <c r="D6" s="23">
        <f>'3.1.raw'!I492</f>
        <v>16</v>
      </c>
      <c r="E6" s="1">
        <v>3.09999999999999</v>
      </c>
      <c r="F6" s="23" t="b">
        <f>if(countif(Status!C:C,A6)=1,TRUE, FALSE)</f>
        <v>1</v>
      </c>
      <c r="G6" s="1">
        <f t="shared" si="2"/>
        <v>1</v>
      </c>
      <c r="H6" s="1">
        <f>'3.1.raw'!Z492</f>
        <v>18</v>
      </c>
      <c r="J6" s="1" t="str">
        <f>'3.1.raw'!AK492</f>
        <v>Blue Colony: 1:10^6 - 00 volume tested 1ml, Red colony count: 1:10^3 - 28, 1:10^4 -13; 1:10^5 - 00; 1:10^6 - 00, Each sample vol tested 1ml</v>
      </c>
    </row>
    <row r="7">
      <c r="A7" s="23" t="str">
        <f t="shared" si="1"/>
        <v>UF1008</v>
      </c>
      <c r="B7" s="23" t="str">
        <f>'3.1.raw'!L448</f>
        <v>UF1008</v>
      </c>
      <c r="C7" s="24">
        <f>datevalue(left('3.1.raw'!O448,10))</f>
        <v>43789</v>
      </c>
      <c r="D7" s="23">
        <f>'3.1.raw'!I448</f>
        <v>16</v>
      </c>
      <c r="E7" s="1">
        <v>3.09999999999999</v>
      </c>
      <c r="F7" s="23" t="b">
        <f>if(countif(Status!C:C,A7)=1,TRUE, FALSE)</f>
        <v>1</v>
      </c>
      <c r="G7" s="1">
        <f t="shared" si="2"/>
        <v>1</v>
      </c>
      <c r="H7" s="1">
        <f>'3.1.raw'!Z448</f>
        <v>180</v>
      </c>
      <c r="J7" s="1" t="str">
        <f>'3.1.raw'!AK448</f>
        <v>Blue Colony Count: 1:10^6 - 00 vol tested 1ml, Red colony count: 1:10^3 - 196, 1:10^4 -58; 1:10^5 - 03; 1:10^6 - 00, Each sample vol tested 1ml</v>
      </c>
    </row>
    <row r="8">
      <c r="A8" s="23" t="str">
        <f t="shared" si="1"/>
        <v>UF1007</v>
      </c>
      <c r="B8" s="23" t="str">
        <f>'3.1.raw'!L216</f>
        <v>UF1007</v>
      </c>
      <c r="C8" s="24">
        <f>datevalue(left('3.1.raw'!O216,10))</f>
        <v>43712</v>
      </c>
      <c r="D8" s="23">
        <f>'3.1.raw'!I216</f>
        <v>16</v>
      </c>
      <c r="E8" s="1">
        <v>3.1</v>
      </c>
      <c r="F8" s="23" t="b">
        <f>if(countif(Status!C:C,A8)=1,TRUE, FALSE)</f>
        <v>1</v>
      </c>
      <c r="G8" s="1" t="str">
        <f t="shared" si="2"/>
        <v/>
      </c>
      <c r="H8" s="1" t="str">
        <f>'3.1.raw'!Z216</f>
        <v/>
      </c>
      <c r="J8" s="1" t="str">
        <f>'3.1.raw'!AK216</f>
        <v>RED COLONY (10^3=TDTC,10^4=120,10^5=17)</v>
      </c>
    </row>
    <row r="9">
      <c r="A9" s="23" t="str">
        <f t="shared" si="1"/>
        <v>UF1006</v>
      </c>
      <c r="B9" s="23" t="str">
        <f>'3.1.raw'!L199</f>
        <v>UF1006</v>
      </c>
      <c r="C9" s="24">
        <f>datevalue(left('3.1.raw'!O199,10))</f>
        <v>43711</v>
      </c>
      <c r="D9" s="23">
        <f>'3.1.raw'!I199</f>
        <v>16</v>
      </c>
      <c r="E9" s="1">
        <v>3.1</v>
      </c>
      <c r="F9" s="23" t="b">
        <f>if(countif(Status!C:C,A9)=1,TRUE, FALSE)</f>
        <v>1</v>
      </c>
      <c r="G9" s="1" t="str">
        <f t="shared" si="2"/>
        <v/>
      </c>
      <c r="H9" s="1" t="str">
        <f>'3.1.raw'!Z199</f>
        <v/>
      </c>
      <c r="J9" s="1" t="str">
        <f>'3.1.raw'!AK199</f>
        <v>RED COLONY(10^2=TDTC,10^3=TDTC,10^4=45)</v>
      </c>
    </row>
    <row r="10">
      <c r="A10" s="23" t="str">
        <f t="shared" si="1"/>
        <v>UF1005</v>
      </c>
      <c r="B10" s="23" t="str">
        <f>'3.1.raw'!L190</f>
        <v>UF1005</v>
      </c>
      <c r="C10" s="24">
        <f>datevalue(left('3.1.raw'!O190,10))</f>
        <v>43710</v>
      </c>
      <c r="D10" s="23">
        <f>'3.1.raw'!I190</f>
        <v>16</v>
      </c>
      <c r="E10" s="1">
        <v>3.1</v>
      </c>
      <c r="F10" s="23" t="b">
        <f>if(countif(Status!C:C,A10)=1,TRUE, FALSE)</f>
        <v>1</v>
      </c>
      <c r="G10" s="1">
        <f t="shared" si="2"/>
        <v>1</v>
      </c>
      <c r="H10" s="1">
        <f>'3.1.raw'!Z190</f>
        <v>7</v>
      </c>
      <c r="J10" s="1" t="str">
        <f>'3.1.raw'!AK190</f>
        <v>RED COLONY (10^3=8,10^4=2)</v>
      </c>
    </row>
    <row r="11">
      <c r="A11" s="23" t="str">
        <f t="shared" si="1"/>
        <v>SW2001old</v>
      </c>
      <c r="B11" s="23" t="str">
        <f>'3.1.raw'!L9</f>
        <v>SW2001old</v>
      </c>
      <c r="C11" s="24">
        <f>datevalue(left('3.1.raw'!O9,10))</f>
        <v>43592</v>
      </c>
      <c r="D11" s="23">
        <f>'3.1.raw'!I9</f>
        <v>5</v>
      </c>
      <c r="E11" s="1">
        <v>3.1</v>
      </c>
      <c r="F11" s="23" t="b">
        <f>if(countif(Status!C:C,A11)=1,TRUE, FALSE)</f>
        <v>1</v>
      </c>
      <c r="G11" s="1">
        <f t="shared" si="2"/>
        <v>1</v>
      </c>
      <c r="H11" s="1">
        <f>'3.1.raw'!Z9</f>
        <v>2</v>
      </c>
      <c r="J11" s="1" t="str">
        <f>'3.1.raw'!AK9</f>
        <v/>
      </c>
    </row>
    <row r="12">
      <c r="A12" s="23" t="str">
        <f t="shared" si="1"/>
        <v>SW1010</v>
      </c>
      <c r="B12" s="23" t="str">
        <f>'3.1.raw'!L203</f>
        <v>SW1010</v>
      </c>
      <c r="C12" s="24">
        <f>datevalue(left('3.1.raw'!O203,10))</f>
        <v>43719</v>
      </c>
      <c r="D12" s="23">
        <f>'3.1.raw'!I203</f>
        <v>5</v>
      </c>
      <c r="E12" s="1">
        <v>3.1</v>
      </c>
      <c r="F12" s="23" t="b">
        <f>if(countif(Status!C:C,A12)=1,TRUE, FALSE)</f>
        <v>1</v>
      </c>
      <c r="G12" s="1" t="str">
        <f t="shared" si="2"/>
        <v/>
      </c>
      <c r="H12" s="1" t="str">
        <f>'3.1.raw'!Z203</f>
        <v/>
      </c>
      <c r="J12" s="1" t="str">
        <f>'3.1.raw'!AK203</f>
        <v>RED COLONY(10^2=TDTC,10^3=TDTC)</v>
      </c>
    </row>
    <row r="13">
      <c r="A13" s="23" t="str">
        <f t="shared" si="1"/>
        <v>SW1009</v>
      </c>
      <c r="B13" s="23" t="str">
        <f>'3.1.raw'!L191</f>
        <v>SW1009</v>
      </c>
      <c r="C13" s="24">
        <f>datevalue(left('3.1.raw'!O191,10))</f>
        <v>43710</v>
      </c>
      <c r="D13" s="23">
        <f>'3.1.raw'!I191</f>
        <v>5</v>
      </c>
      <c r="E13" s="1">
        <v>3.1</v>
      </c>
      <c r="F13" s="23" t="b">
        <f>if(countif(Status!C:C,A13)=1,TRUE, FALSE)</f>
        <v>1</v>
      </c>
      <c r="G13" s="1" t="str">
        <f t="shared" si="2"/>
        <v/>
      </c>
      <c r="H13" s="1" t="str">
        <f>'3.1.raw'!Z191</f>
        <v/>
      </c>
      <c r="J13" s="1" t="str">
        <f>'3.1.raw'!AK191</f>
        <v>RED COLONY(10^2=TDTC,10^3=190)</v>
      </c>
    </row>
    <row r="14">
      <c r="A14" s="23" t="str">
        <f t="shared" si="1"/>
        <v>SW1008</v>
      </c>
      <c r="B14" s="23" t="str">
        <f>'3.1.raw'!L147</f>
        <v>SW1008</v>
      </c>
      <c r="C14" s="24">
        <f>datevalue(left('3.1.raw'!O147,10))</f>
        <v>43697</v>
      </c>
      <c r="D14" s="23">
        <f>'3.1.raw'!I147</f>
        <v>5</v>
      </c>
      <c r="E14" s="1">
        <v>3.1</v>
      </c>
      <c r="F14" s="23" t="b">
        <f>if(countif(Status!C:C,A14)=1,TRUE, FALSE)</f>
        <v>1</v>
      </c>
      <c r="G14" s="1" t="str">
        <f t="shared" si="2"/>
        <v/>
      </c>
      <c r="H14" s="1" t="str">
        <f>'3.1.raw'!Z147</f>
        <v/>
      </c>
      <c r="J14" s="1" t="str">
        <f>'3.1.raw'!AK147</f>
        <v>RED COLONY(10ml=TDTC,1ml=TDTC)</v>
      </c>
    </row>
    <row r="15">
      <c r="A15" s="23" t="str">
        <f t="shared" si="1"/>
        <v>SW1007</v>
      </c>
      <c r="B15" s="23" t="str">
        <f>'3.1.raw'!L120</f>
        <v>SW1007</v>
      </c>
      <c r="C15" s="24">
        <f>datevalue(left('3.1.raw'!O120,10))</f>
        <v>43682</v>
      </c>
      <c r="D15" s="23">
        <f>'3.1.raw'!I120</f>
        <v>5</v>
      </c>
      <c r="E15" s="1">
        <v>3.1</v>
      </c>
      <c r="F15" s="23" t="b">
        <f>if(countif(Status!C:C,A15)=1,TRUE, FALSE)</f>
        <v>1</v>
      </c>
      <c r="G15" s="1" t="str">
        <f t="shared" si="2"/>
        <v/>
      </c>
      <c r="H15" s="1" t="str">
        <f>'3.1.raw'!Z120</f>
        <v/>
      </c>
      <c r="J15" s="1" t="str">
        <f>'3.1.raw'!AK120</f>
        <v>RED COLONY(10ml=TDTC,1mL=TDTC )</v>
      </c>
    </row>
    <row r="16">
      <c r="A16" s="23" t="str">
        <f t="shared" si="1"/>
        <v>SW1006</v>
      </c>
      <c r="B16" s="23" t="str">
        <f>'3.1.raw'!L108</f>
        <v>SW1006</v>
      </c>
      <c r="C16" s="24">
        <f>datevalue(left('3.1.raw'!O108,10))</f>
        <v>43676</v>
      </c>
      <c r="D16" s="23">
        <f>'3.1.raw'!I108</f>
        <v>5</v>
      </c>
      <c r="E16" s="1">
        <v>3.1</v>
      </c>
      <c r="F16" s="23" t="b">
        <f>if(countif(Status!C:C,A16)=1,TRUE, FALSE)</f>
        <v>1</v>
      </c>
      <c r="G16" s="1" t="str">
        <f t="shared" si="2"/>
        <v/>
      </c>
      <c r="H16" s="1" t="str">
        <f>'3.1.raw'!Z108</f>
        <v/>
      </c>
      <c r="J16" s="1" t="str">
        <f>'3.1.raw'!AK108</f>
        <v/>
      </c>
    </row>
    <row r="17">
      <c r="A17" s="23" t="str">
        <f t="shared" si="1"/>
        <v>SW1005</v>
      </c>
      <c r="B17" s="23" t="str">
        <f>'3.1.raw'!L107</f>
        <v>SW1005</v>
      </c>
      <c r="C17" s="24">
        <f>datevalue(left('3.1.raw'!O107,10))</f>
        <v>43676</v>
      </c>
      <c r="D17" s="23">
        <f>'3.1.raw'!I107</f>
        <v>5</v>
      </c>
      <c r="E17" s="1">
        <v>3.1</v>
      </c>
      <c r="F17" s="23" t="b">
        <f>if(countif(Status!C:C,A17)=1,TRUE, FALSE)</f>
        <v>1</v>
      </c>
      <c r="G17" s="1" t="str">
        <f t="shared" si="2"/>
        <v/>
      </c>
      <c r="H17" s="1" t="str">
        <f>'3.1.raw'!Z107</f>
        <v/>
      </c>
      <c r="J17" s="1" t="str">
        <f>'3.1.raw'!AK107</f>
        <v/>
      </c>
    </row>
    <row r="18">
      <c r="A18" s="23" t="str">
        <f t="shared" si="1"/>
        <v>SW1004</v>
      </c>
      <c r="B18" s="23" t="str">
        <f>'3.1.raw'!L71</f>
        <v>SW1004</v>
      </c>
      <c r="C18" s="24">
        <f>datevalue(left('3.1.raw'!O71,10))</f>
        <v>43620</v>
      </c>
      <c r="D18" s="23">
        <f>'3.1.raw'!I71</f>
        <v>5</v>
      </c>
      <c r="E18" s="1">
        <v>3.1</v>
      </c>
      <c r="F18" s="23" t="b">
        <f>if(countif(Status!C:C,A18)=1,TRUE, FALSE)</f>
        <v>1</v>
      </c>
      <c r="G18" s="1" t="str">
        <f t="shared" si="2"/>
        <v/>
      </c>
      <c r="H18" s="1" t="str">
        <f>'3.1.raw'!Z71</f>
        <v/>
      </c>
      <c r="J18" s="1" t="str">
        <f>'3.1.raw'!AK71</f>
        <v>FOR 10 ML 5 DISTINCT BLUE COLONIES FOUND WITH SMUDGED BLUE COLONIES. FOR RED COLONIES, APPEARANCE WASTDTC IN BOTH CASES.</v>
      </c>
    </row>
    <row r="19">
      <c r="A19" s="23" t="str">
        <f t="shared" si="1"/>
        <v>SW1003</v>
      </c>
      <c r="B19" s="23" t="str">
        <f>'3.1.raw'!L51</f>
        <v>SW1003</v>
      </c>
      <c r="C19" s="24">
        <f>datevalue(left('3.1.raw'!O51,10))</f>
        <v>43613</v>
      </c>
      <c r="D19" s="23">
        <f>'3.1.raw'!I51</f>
        <v>5</v>
      </c>
      <c r="E19" s="1">
        <v>3.1</v>
      </c>
      <c r="F19" s="23" t="b">
        <f>if(countif(Status!C:C,A19)=1,TRUE, FALSE)</f>
        <v>1</v>
      </c>
      <c r="G19" s="1" t="str">
        <f t="shared" si="2"/>
        <v/>
      </c>
      <c r="H19" s="1" t="str">
        <f>'3.1.raw'!Z51</f>
        <v/>
      </c>
      <c r="J19" s="1" t="str">
        <f>'3.1.raw'!AK51</f>
        <v>RED COLONIES: TDTC AND TNTC, RESPECTIVELY.</v>
      </c>
    </row>
    <row r="20">
      <c r="A20" s="23" t="str">
        <f t="shared" si="1"/>
        <v>SW1002</v>
      </c>
      <c r="B20" s="23" t="str">
        <f>'3.1.raw'!L36</f>
        <v>SW1002</v>
      </c>
      <c r="C20" s="24">
        <f>datevalue(left('3.1.raw'!O36,10))</f>
        <v>43606</v>
      </c>
      <c r="D20" s="23">
        <f>'3.1.raw'!I36</f>
        <v>5</v>
      </c>
      <c r="E20" s="1">
        <v>3.1</v>
      </c>
      <c r="F20" s="23" t="b">
        <f>if(countif(Status!C:C,A20)=1,TRUE, FALSE)</f>
        <v>1</v>
      </c>
      <c r="G20" s="1" t="str">
        <f t="shared" si="2"/>
        <v/>
      </c>
      <c r="H20" s="1" t="str">
        <f>'3.1.raw'!Z36</f>
        <v/>
      </c>
      <c r="J20" s="1" t="str">
        <f>'3.1.raw'!AK36</f>
        <v>THE RED COLONIES WERE TNTC AND 71 FOR 10 ML AND 1 ML OF UNDILUTED SAMPLE, RESPECTIVELY</v>
      </c>
    </row>
    <row r="21">
      <c r="A21" s="23" t="str">
        <f t="shared" si="1"/>
        <v>SW1001</v>
      </c>
      <c r="B21" s="23" t="str">
        <f>'3.1.raw'!L24</f>
        <v>SW1001</v>
      </c>
      <c r="C21" s="24">
        <f>datevalue(left('3.1.raw'!O24,10))</f>
        <v>43599</v>
      </c>
      <c r="D21" s="23">
        <f>'3.1.raw'!I24</f>
        <v>5</v>
      </c>
      <c r="E21" s="1">
        <v>3.1</v>
      </c>
      <c r="F21" s="23" t="b">
        <f>if(countif(Status!C:C,A21)=1,TRUE, FALSE)</f>
        <v>1</v>
      </c>
      <c r="G21" s="1" t="str">
        <f t="shared" si="2"/>
        <v/>
      </c>
      <c r="H21" s="1" t="str">
        <f>'3.1.raw'!Z24</f>
        <v/>
      </c>
      <c r="J21" s="1" t="str">
        <f>'3.1.raw'!AK24</f>
        <v>APPEARANCE OF RED COLONIES WERE TDTC FOR ALL OF THE CASES.</v>
      </c>
    </row>
    <row r="22">
      <c r="A22" s="49" t="s">
        <v>353</v>
      </c>
      <c r="B22" s="23" t="str">
        <f>'3.1.raw'!L17</f>
        <v>SL2004old</v>
      </c>
      <c r="C22" s="24">
        <f>datevalue(left('3.1.raw'!O17,10))</f>
        <v>43598</v>
      </c>
      <c r="D22" s="23">
        <f>'3.1.raw'!I17</f>
        <v>8</v>
      </c>
      <c r="E22" s="1">
        <v>3.1</v>
      </c>
      <c r="F22" s="23" t="b">
        <f>if(countif(Status!C:C,A22)=1,TRUE, FALSE)</f>
        <v>1</v>
      </c>
      <c r="G22" s="1">
        <f t="shared" si="2"/>
        <v>0</v>
      </c>
      <c r="H22" s="1">
        <f>'3.1.raw'!Z17</f>
        <v>0</v>
      </c>
      <c r="J22" s="1" t="str">
        <f>'3.1.raw'!AK17</f>
        <v>SHORTAGE IN SAMPLE AMOUNT. 3 G SOIL WAS MIXED WITH 30 ML OF BEEF EXTRACT FOR MST ASSAY. 28 (WITH SMUDGED COLONIES), 24 AND A SINGLE RED COLONIES WERE NOTED FOR UNDILUTED, 1:10 AND 1:100 DILUTION, RESPECTIVELY</v>
      </c>
    </row>
    <row r="23">
      <c r="A23" s="49" t="s">
        <v>380</v>
      </c>
      <c r="B23" s="23" t="str">
        <f>'3.1.raw'!L16</f>
        <v>SL2003</v>
      </c>
      <c r="C23" s="24">
        <f>datevalue(left('3.1.raw'!O16,10))</f>
        <v>43598</v>
      </c>
      <c r="D23" s="23">
        <f>'3.1.raw'!I16</f>
        <v>8</v>
      </c>
      <c r="E23" s="1">
        <v>3.1</v>
      </c>
      <c r="F23" s="23" t="b">
        <f>if(countif(Status!C:C,A23)=1,TRUE, FALSE)</f>
        <v>1</v>
      </c>
      <c r="G23" s="1" t="str">
        <f t="shared" si="2"/>
        <v/>
      </c>
      <c r="H23" s="1" t="str">
        <f>'3.1.raw'!Z16</f>
        <v/>
      </c>
      <c r="J23" s="1" t="str">
        <f>'3.1.raw'!AK16</f>
        <v>RED COLONIES: 1 ML (UNDILUTED)- 58 , 1ML (1:10 DILUTION)-18 COLONIES, 1 ML (1:100 DILUTION)- 10 COLONIES. IN EVERY CASES SMUDGED RED COLONIES FOUND.</v>
      </c>
    </row>
    <row r="24">
      <c r="A24" s="55" t="s">
        <v>210</v>
      </c>
      <c r="B24" s="23" t="str">
        <f>'3.1.raw'!L6</f>
        <v>SL2002old</v>
      </c>
      <c r="C24" s="24">
        <f>datevalue(left('3.1.raw'!O6,10))</f>
        <v>43591</v>
      </c>
      <c r="D24" s="23">
        <f>'3.1.raw'!I6</f>
        <v>8</v>
      </c>
      <c r="E24" s="1">
        <v>3.1</v>
      </c>
      <c r="F24" s="23" t="b">
        <f>if(countif(Status!C:C,A24)=1,TRUE, FALSE)</f>
        <v>1</v>
      </c>
      <c r="G24" s="1">
        <f t="shared" si="2"/>
        <v>0</v>
      </c>
      <c r="H24" s="1">
        <f>'3.1.raw'!Z6</f>
        <v>0</v>
      </c>
      <c r="J24" s="1" t="str">
        <f>'3.1.raw'!AK6</f>
        <v>SOIL WT WAS APPROXIMATELY 40 G. RED COLONIES FOR1 ML AND 10^1 DILUTION WERE TDTC, AND FOR 10^2 IS 112.</v>
      </c>
    </row>
    <row r="25">
      <c r="A25" s="55" t="s">
        <v>197</v>
      </c>
      <c r="B25" s="23" t="str">
        <f>'3.1.raw'!L5</f>
        <v>SL2001old</v>
      </c>
      <c r="C25" s="24">
        <f>datevalue(left('3.1.raw'!O5,10))</f>
        <v>43591</v>
      </c>
      <c r="D25" s="23">
        <f>'3.1.raw'!I5</f>
        <v>8</v>
      </c>
      <c r="E25" s="1">
        <v>3.1</v>
      </c>
      <c r="F25" s="23" t="b">
        <f>if(countif(Status!C:C,A25)=1,TRUE, FALSE)</f>
        <v>1</v>
      </c>
      <c r="G25" s="1" t="str">
        <f t="shared" si="2"/>
        <v/>
      </c>
      <c r="H25" s="1" t="str">
        <f>'3.1.raw'!Z5</f>
        <v/>
      </c>
      <c r="J25" s="1" t="str">
        <f>'3.1.raw'!AK5</f>
        <v>FOR 10^2 DILUTION 100 RED COLONIES DETECTED</v>
      </c>
    </row>
    <row r="26">
      <c r="A26" s="23" t="str">
        <f t="shared" ref="A26:A111" si="3">SUBSTITUTE(B26, " ", "")</f>
        <v>SL2001</v>
      </c>
      <c r="B26" s="23" t="str">
        <f>'3.1.raw'!L645</f>
        <v>SL2001</v>
      </c>
      <c r="C26" s="24">
        <f>datevalue(left('3.1.raw'!O645,10))</f>
        <v>43845</v>
      </c>
      <c r="D26" s="23">
        <f>'3.1.raw'!I645</f>
        <v>8</v>
      </c>
      <c r="E26" s="1">
        <v>3.09999999999999</v>
      </c>
      <c r="F26" s="23" t="b">
        <f>if(countif(Status!C:C,A26)=1,TRUE, FALSE)</f>
        <v>1</v>
      </c>
      <c r="G26" s="1">
        <f t="shared" si="2"/>
        <v>1</v>
      </c>
      <c r="H26" s="1">
        <f>'3.1.raw'!Z645</f>
        <v>2</v>
      </c>
      <c r="J26" s="1" t="str">
        <f>'3.1.raw'!AK645</f>
        <v>Red colony count: 1:10^2 -106; 1:10^3 - 10; 1:10^4 - 00, Each sample vol tested 1ml</v>
      </c>
    </row>
    <row r="27">
      <c r="A27" s="23" t="str">
        <f t="shared" si="3"/>
        <v>SL1013</v>
      </c>
      <c r="B27" s="23" t="str">
        <f>'3.1.raw'!L201</f>
        <v>SL1013</v>
      </c>
      <c r="C27" s="24">
        <f>datevalue(left('3.1.raw'!O201,10))</f>
        <v>43719</v>
      </c>
      <c r="D27" s="23">
        <f>'3.1.raw'!I201</f>
        <v>8</v>
      </c>
      <c r="E27" s="1">
        <v>3.1</v>
      </c>
      <c r="F27" s="23" t="b">
        <f>if(countif(Status!C:C,A27)=1,TRUE, FALSE)</f>
        <v>1</v>
      </c>
      <c r="G27" s="1">
        <f t="shared" si="2"/>
        <v>1</v>
      </c>
      <c r="H27" s="1">
        <f>'3.1.raw'!Z201</f>
        <v>6</v>
      </c>
      <c r="J27" s="1" t="str">
        <f>'3.1.raw'!AK201</f>
        <v>RED COLONY(10^2=TNTC,10^3=TNTC)</v>
      </c>
    </row>
    <row r="28">
      <c r="A28" s="23" t="str">
        <f t="shared" si="3"/>
        <v>SL1012</v>
      </c>
      <c r="B28" s="23" t="str">
        <f>'3.1.raw'!L188</f>
        <v>SL1012</v>
      </c>
      <c r="C28" s="24">
        <f>datevalue(left('3.1.raw'!O188,10))</f>
        <v>43710</v>
      </c>
      <c r="D28" s="23">
        <f>'3.1.raw'!I188</f>
        <v>8</v>
      </c>
      <c r="E28" s="1">
        <v>3.1</v>
      </c>
      <c r="F28" s="23" t="b">
        <f>if(countif(Status!C:C,A28)=1,TRUE, FALSE)</f>
        <v>1</v>
      </c>
      <c r="G28" s="1">
        <f t="shared" si="2"/>
        <v>0</v>
      </c>
      <c r="H28" s="1">
        <f>'3.1.raw'!Z188</f>
        <v>0</v>
      </c>
      <c r="J28" s="1" t="str">
        <f>'3.1.raw'!AK188</f>
        <v>(SISTI LAB OPERATOR NO -7)RED COLONY(10^2=55,10^3=9)</v>
      </c>
    </row>
    <row r="29">
      <c r="A29" s="23" t="str">
        <f t="shared" si="3"/>
        <v>SL1011</v>
      </c>
      <c r="B29" s="23" t="str">
        <f>'3.1.raw'!L182</f>
        <v>SL1011</v>
      </c>
      <c r="C29" s="24">
        <f>datevalue(left('3.1.raw'!O182,10))</f>
        <v>43706</v>
      </c>
      <c r="D29" s="23">
        <f>'3.1.raw'!I182</f>
        <v>8</v>
      </c>
      <c r="E29" s="1">
        <v>3.1</v>
      </c>
      <c r="F29" s="23" t="b">
        <f>if(countif(Status!C:C,A29)=1,TRUE, FALSE)</f>
        <v>1</v>
      </c>
      <c r="G29" s="1">
        <f t="shared" si="2"/>
        <v>0</v>
      </c>
      <c r="H29" s="1">
        <f>'3.1.raw'!Z182</f>
        <v>0</v>
      </c>
      <c r="J29" s="1" t="str">
        <f>'3.1.raw'!AK182</f>
        <v>RED COLONY(10^=7,10^3=0)</v>
      </c>
    </row>
    <row r="30">
      <c r="A30" s="23" t="str">
        <f t="shared" si="3"/>
        <v>SL1010</v>
      </c>
      <c r="B30" s="23" t="str">
        <f>'3.1.raw'!L148</f>
        <v>SL1010</v>
      </c>
      <c r="C30" s="24">
        <f>datevalue(left('3.1.raw'!O148,10))</f>
        <v>43697</v>
      </c>
      <c r="D30" s="23">
        <f>'3.1.raw'!I148</f>
        <v>8</v>
      </c>
      <c r="E30" s="1">
        <v>3.1</v>
      </c>
      <c r="F30" s="23" t="b">
        <f>if(countif(Status!C:C,A30)=1,TRUE, FALSE)</f>
        <v>1</v>
      </c>
      <c r="G30" s="1" t="str">
        <f t="shared" si="2"/>
        <v/>
      </c>
      <c r="H30" s="1" t="str">
        <f>'3.1.raw'!Z148</f>
        <v/>
      </c>
      <c r="J30" s="1" t="str">
        <f>'3.1.raw'!AK148</f>
        <v>RED COLONY(1ml=TDTC,10^1=TDTC,10^2=TNTC)</v>
      </c>
    </row>
    <row r="31">
      <c r="A31" s="23" t="str">
        <f t="shared" si="3"/>
        <v>SL1009</v>
      </c>
      <c r="B31" s="23" t="str">
        <f>'3.1.raw'!L117</f>
        <v>SL1009</v>
      </c>
      <c r="C31" s="24">
        <f>datevalue(left('3.1.raw'!O117,10))</f>
        <v>43682</v>
      </c>
      <c r="D31" s="23">
        <f>'3.1.raw'!I117</f>
        <v>8</v>
      </c>
      <c r="E31" s="1">
        <v>3.1</v>
      </c>
      <c r="F31" s="23" t="b">
        <f>if(countif(Status!C:C,A31)=1,TRUE, FALSE)</f>
        <v>1</v>
      </c>
      <c r="G31" s="1" t="str">
        <f t="shared" si="2"/>
        <v/>
      </c>
      <c r="H31" s="1" t="str">
        <f>'3.1.raw'!Z117</f>
        <v/>
      </c>
      <c r="J31" s="1" t="str">
        <f>'3.1.raw'!AK117</f>
        <v>RED COLONY (1ml=TDTC,10^1=TDTC,10^2=TDTC)</v>
      </c>
    </row>
    <row r="32">
      <c r="A32" s="23" t="str">
        <f t="shared" si="3"/>
        <v>SL1008</v>
      </c>
      <c r="B32" s="23" t="str">
        <f>'3.1.raw'!L111</f>
        <v>SL1008</v>
      </c>
      <c r="C32" s="24">
        <f>datevalue(left('3.1.raw'!O111,10))</f>
        <v>43677</v>
      </c>
      <c r="D32" s="23">
        <f>'3.1.raw'!I111</f>
        <v>8</v>
      </c>
      <c r="E32" s="1">
        <v>3.1</v>
      </c>
      <c r="F32" s="23" t="b">
        <f>if(countif(Status!C:C,A32)=1,TRUE, FALSE)</f>
        <v>1</v>
      </c>
      <c r="G32" s="1">
        <f t="shared" si="2"/>
        <v>0</v>
      </c>
      <c r="H32" s="1">
        <f>'3.1.raw'!Z111</f>
        <v>0</v>
      </c>
      <c r="I32" s="1">
        <v>1.0</v>
      </c>
      <c r="J32" s="1" t="str">
        <f>'3.1.raw'!AK111</f>
        <v>RED COLONY (1ml=TNTC,10^1=210,10^2=38)</v>
      </c>
    </row>
    <row r="33">
      <c r="A33" s="23" t="str">
        <f t="shared" si="3"/>
        <v>SL1007</v>
      </c>
      <c r="B33" s="23" t="str">
        <f>'3.1.raw'!L110</f>
        <v>SL1007</v>
      </c>
      <c r="C33" s="24">
        <f>datevalue(left('3.1.raw'!O110,10))</f>
        <v>43677</v>
      </c>
      <c r="D33" s="23">
        <f>'3.1.raw'!I110</f>
        <v>8</v>
      </c>
      <c r="E33" s="1">
        <v>3.1</v>
      </c>
      <c r="F33" s="23" t="b">
        <f>if(countif(Status!C:C,A33)=1,TRUE, FALSE)</f>
        <v>1</v>
      </c>
      <c r="G33" s="1" t="str">
        <f t="shared" si="2"/>
        <v/>
      </c>
      <c r="H33" s="1" t="str">
        <f>'3.1.raw'!Z110</f>
        <v/>
      </c>
      <c r="I33" s="1">
        <v>1.0</v>
      </c>
      <c r="J33" s="1" t="str">
        <f>'3.1.raw'!AK110</f>
        <v>RED COLONY(1ml=TDTC,10^1=TDTC,10^2=132)</v>
      </c>
    </row>
    <row r="34">
      <c r="A34" s="23" t="str">
        <f t="shared" si="3"/>
        <v>SL1006</v>
      </c>
      <c r="B34" s="23" t="str">
        <f>'3.1.raw'!L91</f>
        <v>SL1006</v>
      </c>
      <c r="C34" s="24">
        <f>datevalue(left('3.1.raw'!O91,10))</f>
        <v>43669</v>
      </c>
      <c r="D34" s="23">
        <f>'3.1.raw'!I91</f>
        <v>8</v>
      </c>
      <c r="E34" s="1">
        <v>3.1</v>
      </c>
      <c r="F34" s="23" t="b">
        <f>if(countif(Status!C:C,A34)=1,TRUE, FALSE)</f>
        <v>1</v>
      </c>
      <c r="G34" s="1">
        <f t="shared" si="2"/>
        <v>0</v>
      </c>
      <c r="H34" s="1">
        <f>'3.1.raw'!Z91</f>
        <v>0</v>
      </c>
      <c r="J34" s="1" t="str">
        <f>'3.1.raw'!AK91</f>
        <v>RED COLONY (1ml=TNTC,10^1=44,10^2=6)</v>
      </c>
    </row>
    <row r="35">
      <c r="A35" s="23" t="str">
        <f t="shared" si="3"/>
        <v>SL1005</v>
      </c>
      <c r="B35" s="23" t="str">
        <f>'3.1.raw'!L90</f>
        <v>SL1005</v>
      </c>
      <c r="C35" s="24">
        <f>datevalue(left('3.1.raw'!O90,10))</f>
        <v>43669</v>
      </c>
      <c r="D35" s="23">
        <f>'3.1.raw'!I90</f>
        <v>8</v>
      </c>
      <c r="E35" s="1">
        <v>3.1</v>
      </c>
      <c r="F35" s="23" t="b">
        <f>if(countif(Status!C:C,A35)=1,TRUE, FALSE)</f>
        <v>1</v>
      </c>
      <c r="G35" s="1" t="str">
        <f t="shared" si="2"/>
        <v/>
      </c>
      <c r="H35" s="1" t="str">
        <f>'3.1.raw'!Z90</f>
        <v/>
      </c>
      <c r="J35" s="1" t="str">
        <f>'3.1.raw'!AK90</f>
        <v>RED COLONY (1ml=3,10^1=1,10^2=6)</v>
      </c>
    </row>
    <row r="36">
      <c r="A36" s="23" t="str">
        <f t="shared" si="3"/>
        <v>SL1004</v>
      </c>
      <c r="B36" s="23" t="str">
        <f>'3.1.raw'!L66</f>
        <v>SL1004</v>
      </c>
      <c r="C36" s="24">
        <f>datevalue(left('3.1.raw'!O66,10))</f>
        <v>43619</v>
      </c>
      <c r="D36" s="23">
        <f>'3.1.raw'!I66</f>
        <v>8</v>
      </c>
      <c r="E36" s="1">
        <v>3.1</v>
      </c>
      <c r="F36" s="23" t="b">
        <f>if(countif(Status!C:C,A36)=1,TRUE, FALSE)</f>
        <v>1</v>
      </c>
      <c r="G36" s="1" t="str">
        <f t="shared" si="2"/>
        <v/>
      </c>
      <c r="H36" s="1" t="str">
        <f>'3.1.raw'!Z66</f>
        <v/>
      </c>
      <c r="J36" s="1" t="str">
        <f>'3.1.raw'!AK66</f>
        <v>OBSERVATION FOR RED COLONIES WERE TDTC, TDTC AND TNTC, RESPECTIVELY.</v>
      </c>
    </row>
    <row r="37">
      <c r="A37" s="23" t="str">
        <f t="shared" si="3"/>
        <v>SL1003</v>
      </c>
      <c r="B37" s="23" t="str">
        <f>'3.1.raw'!L65</f>
        <v>SL1003</v>
      </c>
      <c r="C37" s="24">
        <f>datevalue(left('3.1.raw'!O65,10))</f>
        <v>43619</v>
      </c>
      <c r="D37" s="23">
        <f>'3.1.raw'!I65</f>
        <v>8</v>
      </c>
      <c r="E37" s="1">
        <v>3.1</v>
      </c>
      <c r="F37" s="23" t="b">
        <f>if(countif(Status!C:C,A37)=1,TRUE, FALSE)</f>
        <v>1</v>
      </c>
      <c r="G37" s="1">
        <f t="shared" si="2"/>
        <v>1</v>
      </c>
      <c r="H37" s="1">
        <f>'3.1.raw'!Z65</f>
        <v>27</v>
      </c>
      <c r="J37" s="1" t="str">
        <f>'3.1.raw'!AK65</f>
        <v>OBSERVATION FOR RED COLONIES WERE TDTC, TNTC AND 71, RESPECTIVELY</v>
      </c>
    </row>
    <row r="38">
      <c r="A38" s="23" t="str">
        <f t="shared" si="3"/>
        <v>SL1002</v>
      </c>
      <c r="B38" s="23" t="str">
        <f>'3.1.raw'!L49</f>
        <v>SL1002</v>
      </c>
      <c r="C38" s="24">
        <f>datevalue(left('3.1.raw'!O49,10))</f>
        <v>43612</v>
      </c>
      <c r="D38" s="23">
        <f>'3.1.raw'!I49</f>
        <v>8</v>
      </c>
      <c r="E38" s="1">
        <v>3.1</v>
      </c>
      <c r="F38" s="23" t="b">
        <f>if(countif(Status!C:C,A38)=1,TRUE, FALSE)</f>
        <v>1</v>
      </c>
      <c r="G38" s="1">
        <f t="shared" si="2"/>
        <v>1</v>
      </c>
      <c r="H38" s="1">
        <f>'3.1.raw'!Z49</f>
        <v>49</v>
      </c>
      <c r="J38" s="1" t="str">
        <f>'3.1.raw'!AK49</f>
        <v>FOR RED COLONIES THE OBSERVATION WERE TNTC, 34 AND 09. RESPECTIVELY.</v>
      </c>
    </row>
    <row r="39">
      <c r="A39" s="23" t="str">
        <f t="shared" si="3"/>
        <v>SL1001</v>
      </c>
      <c r="B39" s="23" t="str">
        <f>'3.1.raw'!L47</f>
        <v>SL1001</v>
      </c>
      <c r="C39" s="24">
        <f>datevalue(left('3.1.raw'!O47,10))</f>
        <v>43612</v>
      </c>
      <c r="D39" s="23">
        <f>'3.1.raw'!I47</f>
        <v>8</v>
      </c>
      <c r="E39" s="1">
        <v>3.1</v>
      </c>
      <c r="F39" s="23" t="b">
        <f>if(countif(Status!C:C,A39)=1,TRUE, FALSE)</f>
        <v>1</v>
      </c>
      <c r="G39" s="1" t="str">
        <f t="shared" si="2"/>
        <v/>
      </c>
      <c r="H39" s="1" t="str">
        <f>'3.1.raw'!Z47</f>
        <v/>
      </c>
      <c r="J39" s="1" t="str">
        <f>'3.1.raw'!AK47</f>
        <v>For red colonies, the observations were TDTC, TDTC, TNTC, respectively</v>
      </c>
    </row>
    <row r="40">
      <c r="A40" s="23" t="str">
        <f t="shared" si="3"/>
        <v>SF2001old</v>
      </c>
      <c r="B40" s="23" t="str">
        <f>'3.1.raw'!L10</f>
        <v>SF2001old</v>
      </c>
      <c r="C40" s="24">
        <f>datevalue(left('3.1.raw'!O10,10))</f>
        <v>43592</v>
      </c>
      <c r="D40" s="23">
        <f>'3.1.raw'!I10</f>
        <v>10</v>
      </c>
      <c r="E40" s="1">
        <v>3.1</v>
      </c>
      <c r="F40" s="23" t="b">
        <f>if(countif(Status!C:C,A40)=1,TRUE, FALSE)</f>
        <v>1</v>
      </c>
      <c r="G40" s="1">
        <f t="shared" si="2"/>
        <v>0</v>
      </c>
      <c r="H40" s="1">
        <f>'3.1.raw'!Z10</f>
        <v>0</v>
      </c>
      <c r="J40" s="1" t="str">
        <f>'3.1.raw'!AK10</f>
        <v>SAMPLE WT WAS APPROXIMATELY 120 G. THE RED COLONIES COUNT WAS 'TNTC' FOR EACH CASE.</v>
      </c>
    </row>
    <row r="41">
      <c r="A41" s="23" t="str">
        <f t="shared" si="3"/>
        <v>SF1014B</v>
      </c>
      <c r="B41" s="23" t="str">
        <f>'3.1.raw'!L219</f>
        <v>SF1014B</v>
      </c>
      <c r="C41" s="24">
        <f>datevalue(left('3.1.raw'!O219,10))</f>
        <v>43713</v>
      </c>
      <c r="D41" s="23">
        <f>'3.1.raw'!I219</f>
        <v>10</v>
      </c>
      <c r="E41" s="1">
        <v>3.1</v>
      </c>
      <c r="F41" s="23" t="b">
        <f>if(countif(Status!C:C,A41)=1,TRUE, FALSE)</f>
        <v>1</v>
      </c>
      <c r="G41" s="1">
        <f t="shared" si="2"/>
        <v>0</v>
      </c>
      <c r="H41" s="1">
        <f>'3.1.raw'!Z219</f>
        <v>0</v>
      </c>
      <c r="J41" s="1" t="str">
        <f>'3.1.raw'!AK219</f>
        <v>SAMPLE TYPE- PANI OF PANI PURI, RED COLONY(1ml=0,10^1=9,10^2=0)</v>
      </c>
    </row>
    <row r="42">
      <c r="A42" s="23" t="str">
        <f t="shared" si="3"/>
        <v>SF1014A</v>
      </c>
      <c r="B42" s="23" t="str">
        <f>'3.1.raw'!L218</f>
        <v>SF1014A</v>
      </c>
      <c r="C42" s="24">
        <f>datevalue(left('3.1.raw'!O218,10))</f>
        <v>43713</v>
      </c>
      <c r="D42" s="23">
        <f>'3.1.raw'!I218</f>
        <v>10</v>
      </c>
      <c r="E42" s="1">
        <v>3.1</v>
      </c>
      <c r="F42" s="23" t="b">
        <f>if(countif(Status!C:C,A42)=1,TRUE, FALSE)</f>
        <v>1</v>
      </c>
      <c r="G42" s="1" t="str">
        <f t="shared" si="2"/>
        <v/>
      </c>
      <c r="H42" s="1" t="str">
        <f>'3.1.raw'!Z218</f>
        <v/>
      </c>
      <c r="J42" s="1" t="str">
        <f>'3.1.raw'!AK218</f>
        <v>SAMPLE TYPE -ALU+ PURI OF PANI PURI RED COLONY(1ml=TNTC,10^1=70,10^2=27)</v>
      </c>
    </row>
    <row r="43">
      <c r="A43" s="23" t="str">
        <f t="shared" si="3"/>
        <v>SF1013</v>
      </c>
      <c r="B43" s="23" t="str">
        <f>'3.1.raw'!L212</f>
        <v>SF1013</v>
      </c>
      <c r="C43" s="24">
        <f>datevalue(left('3.1.raw'!O212,10))</f>
        <v>43712</v>
      </c>
      <c r="D43" s="23">
        <f>'3.1.raw'!I212</f>
        <v>10</v>
      </c>
      <c r="E43" s="1">
        <v>3.1</v>
      </c>
      <c r="F43" s="23" t="b">
        <f>if(countif(Status!C:C,A43)=1,TRUE, FALSE)</f>
        <v>1</v>
      </c>
      <c r="G43" s="1" t="str">
        <f t="shared" si="2"/>
        <v/>
      </c>
      <c r="H43" s="1" t="str">
        <f>'3.1.raw'!Z212</f>
        <v/>
      </c>
      <c r="J43" s="1" t="str">
        <f>'3.1.raw'!AK212</f>
        <v>SAPLE TYPE -(GAUVA+PINE APPLE) CUT FRUIT,RED COLONY(1ml=TDTC,10^1=TNTC,10^2=200)</v>
      </c>
    </row>
    <row r="44">
      <c r="A44" s="23" t="str">
        <f t="shared" si="3"/>
        <v>SF1012(B)</v>
      </c>
      <c r="B44" s="23" t="str">
        <f>'3.1.raw'!L181</f>
        <v>SF1012(B)</v>
      </c>
      <c r="C44" s="24">
        <f>datevalue(left('3.1.raw'!O181,10))</f>
        <v>43706</v>
      </c>
      <c r="D44" s="23">
        <f>'3.1.raw'!I181</f>
        <v>10</v>
      </c>
      <c r="E44" s="1">
        <v>3.1</v>
      </c>
      <c r="F44" s="23" t="b">
        <f>if(countif(Status!C:C,A44)=1,TRUE, FALSE)</f>
        <v>0</v>
      </c>
      <c r="G44" s="1" t="str">
        <f t="shared" si="2"/>
        <v/>
      </c>
      <c r="H44" s="1" t="str">
        <f>'3.1.raw'!Z181</f>
        <v/>
      </c>
      <c r="J44" s="1" t="str">
        <f>'3.1.raw'!AK181</f>
        <v>SAMPLE TYPE- PANI OF PANI PURI, BLUE COLONY(10^2=0), RED COLONY(10ml=TDTC,1ml=0,10^1=4,10^2=0)</v>
      </c>
    </row>
    <row r="45">
      <c r="A45" s="23" t="str">
        <f t="shared" si="3"/>
        <v>SF1012(A)</v>
      </c>
      <c r="B45" s="23" t="str">
        <f>'3.1.raw'!L180</f>
        <v>SF1012(A)</v>
      </c>
      <c r="C45" s="24">
        <f>datevalue(left('3.1.raw'!O180,10))</f>
        <v>43706</v>
      </c>
      <c r="D45" s="23">
        <f>'3.1.raw'!I180</f>
        <v>10</v>
      </c>
      <c r="E45" s="1">
        <v>3.1</v>
      </c>
      <c r="F45" s="23" t="b">
        <f>if(countif(Status!C:C,A45)=1,TRUE, FALSE)</f>
        <v>0</v>
      </c>
      <c r="G45" s="1" t="str">
        <f t="shared" si="2"/>
        <v/>
      </c>
      <c r="H45" s="1" t="str">
        <f>'3.1.raw'!Z180</f>
        <v/>
      </c>
      <c r="J45" s="1" t="str">
        <f>'3.1.raw'!AK180</f>
        <v>SAMPLE TYPE-POTATO MIX OF PANIPURI, BLUE COLONY(10^2=0),RED COLONY(10ml=TDTC,1ml=TDTC,10^1=84,10^2=35)</v>
      </c>
    </row>
    <row r="46">
      <c r="A46" s="23" t="str">
        <f t="shared" si="3"/>
        <v>SF1011</v>
      </c>
      <c r="B46" s="23" t="str">
        <f>'3.1.raw'!L179</f>
        <v>SF1011</v>
      </c>
      <c r="C46" s="24">
        <f>datevalue(left('3.1.raw'!O179,10))</f>
        <v>43706</v>
      </c>
      <c r="D46" s="23">
        <f>'3.1.raw'!I179</f>
        <v>10</v>
      </c>
      <c r="E46" s="1">
        <v>3.1</v>
      </c>
      <c r="F46" s="23" t="b">
        <f>if(countif(Status!C:C,A46)=1,TRUE, FALSE)</f>
        <v>1</v>
      </c>
      <c r="G46" s="1" t="str">
        <f t="shared" si="2"/>
        <v/>
      </c>
      <c r="H46" s="1" t="str">
        <f>'3.1.raw'!Z179</f>
        <v/>
      </c>
      <c r="J46" s="1" t="str">
        <f>'3.1.raw'!AK179</f>
        <v>SAMPLE TYPE-GUAVA CUT FRUIT, BLUE COLONY(10^2=0),RED COLONY(10ml=TNTC,1ml=88,10^1=26,10^2=0)</v>
      </c>
    </row>
    <row r="47">
      <c r="A47" s="23" t="str">
        <f t="shared" si="3"/>
        <v>SF1010</v>
      </c>
      <c r="B47" s="23" t="str">
        <f>'3.1.raw'!L95</f>
        <v>SF1010</v>
      </c>
      <c r="C47" s="24">
        <f>datevalue(left('3.1.raw'!O95,10))</f>
        <v>43670</v>
      </c>
      <c r="D47" s="23">
        <f>'3.1.raw'!I95</f>
        <v>10</v>
      </c>
      <c r="E47" s="1">
        <v>3.1</v>
      </c>
      <c r="F47" s="23" t="b">
        <f>if(countif(Status!C:C,A47)=1,TRUE, FALSE)</f>
        <v>1</v>
      </c>
      <c r="G47" s="1" t="str">
        <f t="shared" si="2"/>
        <v/>
      </c>
      <c r="H47" s="1" t="str">
        <f>'3.1.raw'!Z95</f>
        <v/>
      </c>
      <c r="J47" s="1" t="str">
        <f>'3.1.raw'!AK95</f>
        <v>SAMPLE TYPE- PANIPURI,BLUE COLONY (1ml=SMASHED,10^2=1),RED COLONY(10ml=TNTC,1ml=52,10^1=38,10^2=3)</v>
      </c>
    </row>
    <row r="48">
      <c r="A48" s="23" t="str">
        <f t="shared" si="3"/>
        <v>SF1009</v>
      </c>
      <c r="B48" s="23" t="str">
        <f>'3.1.raw'!L94</f>
        <v>SF1009</v>
      </c>
      <c r="C48" s="24">
        <f>datevalue(left('3.1.raw'!O94,10))</f>
        <v>43670</v>
      </c>
      <c r="D48" s="23">
        <f>'3.1.raw'!I94</f>
        <v>10</v>
      </c>
      <c r="E48" s="1">
        <v>3.1</v>
      </c>
      <c r="F48" s="23" t="b">
        <f>if(countif(Status!C:C,A48)=1,TRUE, FALSE)</f>
        <v>1</v>
      </c>
      <c r="G48" s="1">
        <f t="shared" si="2"/>
        <v>1</v>
      </c>
      <c r="H48" s="1">
        <f>'3.1.raw'!Z94</f>
        <v>2</v>
      </c>
      <c r="J48" s="1" t="str">
        <f>'3.1.raw'!AK94</f>
        <v>SAMPLE TYPE -PINEAPPLE,BLUE COLONY(10^2=0), RED COLONY(10ml=73,1mL=5,10^1=4,10^2=0)</v>
      </c>
    </row>
    <row r="49">
      <c r="A49" s="23" t="str">
        <f t="shared" si="3"/>
        <v>SF1007</v>
      </c>
      <c r="B49" s="23" t="str">
        <f>'3.1.raw'!L72</f>
        <v>SF1007</v>
      </c>
      <c r="C49" s="24">
        <f>datevalue(left('3.1.raw'!O72,10))</f>
        <v>43620</v>
      </c>
      <c r="D49" s="23">
        <f>'3.1.raw'!I72</f>
        <v>10</v>
      </c>
      <c r="E49" s="1">
        <v>3.1</v>
      </c>
      <c r="F49" s="23" t="b">
        <f>if(countif(Status!C:C,A49)=1,TRUE, FALSE)</f>
        <v>1</v>
      </c>
      <c r="G49" s="1">
        <f t="shared" si="2"/>
        <v>1</v>
      </c>
      <c r="H49" s="1">
        <f>'3.1.raw'!Z72</f>
        <v>2</v>
      </c>
      <c r="J49" s="1" t="str">
        <f>'3.1.raw'!AK72</f>
        <v>CUT PIECES OF WATERMELON, WEIGHT WAS 150 GM. FOR 1:100 DIL (1 ML) NO BLUE COLONY FOUND. THE OBSERVATION FOR RED COLONIES WERE TDTC, 47, 13 AND 1, RESPECTIVELY.</v>
      </c>
    </row>
    <row r="50">
      <c r="A50" s="23" t="str">
        <f t="shared" si="3"/>
        <v>SF1006</v>
      </c>
      <c r="B50" s="23" t="str">
        <f>'3.1.raw'!L56</f>
        <v>SF1006</v>
      </c>
      <c r="C50" s="24">
        <f>datevalue(left('3.1.raw'!O56,10))</f>
        <v>43614</v>
      </c>
      <c r="D50" s="23">
        <f>'3.1.raw'!I56</f>
        <v>10</v>
      </c>
      <c r="E50" s="1">
        <v>3.1</v>
      </c>
      <c r="F50" s="23" t="b">
        <f>if(countif(Status!C:C,A50)=1,TRUE, FALSE)</f>
        <v>1</v>
      </c>
      <c r="G50" s="1" t="str">
        <f t="shared" si="2"/>
        <v/>
      </c>
      <c r="H50" s="1" t="str">
        <f>'3.1.raw'!Z56</f>
        <v/>
      </c>
      <c r="J50" s="1" t="str">
        <f>'3.1.raw'!AK56</f>
        <v>PANI PURI SAMPLE. BLUE COLONY AT 1:100 DIL (1ML)-2, NO RED COLONIES FOUND AT ANY DILUTIONS.</v>
      </c>
    </row>
    <row r="51">
      <c r="A51" s="23" t="str">
        <f t="shared" si="3"/>
        <v>SF1005</v>
      </c>
      <c r="B51" s="23" t="str">
        <f>'3.1.raw'!L54</f>
        <v>SF1005</v>
      </c>
      <c r="C51" s="24">
        <f>datevalue(left('3.1.raw'!O54,10))</f>
        <v>43613</v>
      </c>
      <c r="D51" s="23">
        <f>'3.1.raw'!I54</f>
        <v>10</v>
      </c>
      <c r="E51" s="1">
        <v>3.1</v>
      </c>
      <c r="F51" s="23" t="b">
        <f>if(countif(Status!C:C,A51)=1,TRUE, FALSE)</f>
        <v>1</v>
      </c>
      <c r="G51" s="1" t="str">
        <f t="shared" si="2"/>
        <v/>
      </c>
      <c r="H51" s="1" t="str">
        <f>'3.1.raw'!Z54</f>
        <v/>
      </c>
      <c r="J51" s="1" t="str">
        <f>'3.1.raw'!AK54</f>
        <v>RED COLONIES FOUND 85, 55 AND 0, RESPECTIVELY.</v>
      </c>
    </row>
    <row r="52">
      <c r="A52" s="23" t="str">
        <f t="shared" si="3"/>
        <v>SF1004</v>
      </c>
      <c r="B52" s="23" t="str">
        <f>'3.1.raw'!L37</f>
        <v>SF1004</v>
      </c>
      <c r="C52" s="24">
        <f>datevalue(left('3.1.raw'!O37,10))</f>
        <v>43606</v>
      </c>
      <c r="D52" s="23">
        <f>'3.1.raw'!I37</f>
        <v>10</v>
      </c>
      <c r="E52" s="1">
        <v>3.1</v>
      </c>
      <c r="F52" s="23" t="b">
        <f>if(countif(Status!C:C,A52)=1,TRUE, FALSE)</f>
        <v>1</v>
      </c>
      <c r="G52" s="1">
        <f t="shared" si="2"/>
        <v>1</v>
      </c>
      <c r="H52" s="1">
        <f>'3.1.raw'!Z37</f>
        <v>1</v>
      </c>
      <c r="J52" s="1" t="str">
        <f>'3.1.raw'!AK37</f>
        <v>10 ML UNDILUTED SAMPLE WILL BE CONSIDERED TO BE 6 ML. APART FROM THE MENTIONED DILUTION, THERE WAS NO RED OR BLUE COLONIES FOUND FOR 1 ML AT 1:100 DILUTION. 21 AND 10 RED COLONIES FOUND AT 6 ML AND 1 ML UNDILUTED SAMPLE.</v>
      </c>
    </row>
    <row r="53">
      <c r="A53" s="23" t="str">
        <f t="shared" si="3"/>
        <v>SF1003</v>
      </c>
      <c r="B53" s="23" t="str">
        <f>'3.1.raw'!L35</f>
        <v>SF1003</v>
      </c>
      <c r="C53" s="24">
        <f>datevalue(left('3.1.raw'!O35,10))</f>
        <v>43606</v>
      </c>
      <c r="D53" s="23">
        <f>'3.1.raw'!I35</f>
        <v>10</v>
      </c>
      <c r="E53" s="1">
        <v>3.1</v>
      </c>
      <c r="F53" s="23" t="b">
        <f>if(countif(Status!C:C,A53)=1,TRUE, FALSE)</f>
        <v>1</v>
      </c>
      <c r="G53" s="1">
        <f t="shared" si="2"/>
        <v>1</v>
      </c>
      <c r="H53" s="1">
        <f>'3.1.raw'!Z35</f>
        <v>23</v>
      </c>
      <c r="J53" s="1" t="str">
        <f>'3.1.raw'!AK35</f>
        <v>OBSERVED RED COLONIES NUMBERS ARE- (10 ML UNDILUTED -TDTC), (1ML UNDILUTED-85), (1 ML 1:10 DILUTION-25), AND (1ML 1:100 DILUTION-2)</v>
      </c>
    </row>
    <row r="54">
      <c r="A54" s="23" t="str">
        <f t="shared" si="3"/>
        <v>SF1002</v>
      </c>
      <c r="B54" s="23" t="str">
        <f>'3.1.raw'!L23</f>
        <v>SF1002</v>
      </c>
      <c r="C54" s="24">
        <f>datevalue(left('3.1.raw'!O23,10))</f>
        <v>43599</v>
      </c>
      <c r="D54" s="23">
        <f>'3.1.raw'!I23</f>
        <v>10</v>
      </c>
      <c r="E54" s="1">
        <v>3.1</v>
      </c>
      <c r="F54" s="23" t="b">
        <f>if(countif(Status!C:C,A54)=1,TRUE, FALSE)</f>
        <v>1</v>
      </c>
      <c r="G54" s="1">
        <f t="shared" si="2"/>
        <v>1</v>
      </c>
      <c r="H54" s="1">
        <f>'3.1.raw'!Z23</f>
        <v>3</v>
      </c>
      <c r="J54" s="1" t="str">
        <f>'3.1.raw'!AK23</f>
        <v>6 ml of sample used instead of 10 ml for undiluted sample WHERE SOME SMUDGED BLUE COLONIES FOUND ALONG WITH 3 DISTINCT BLUE COLONIES. FOR RED COLONIES: 9, 1 AND 0, NUMBER OF COLONIES WERE NOTED FOR 6 ML-UNDILUTED, 1 ML-UNDILUTED AND 1ML-1:10 DILUTION, RESPECTIVELY.</v>
      </c>
    </row>
    <row r="55">
      <c r="A55" s="23" t="str">
        <f t="shared" si="3"/>
        <v>SF1001</v>
      </c>
      <c r="B55" s="23" t="str">
        <f>'3.1.raw'!L22</f>
        <v>SF1001</v>
      </c>
      <c r="C55" s="24">
        <f>datevalue(left('3.1.raw'!O22,10))</f>
        <v>43599</v>
      </c>
      <c r="D55" s="23">
        <f>'3.1.raw'!I22</f>
        <v>10</v>
      </c>
      <c r="E55" s="1">
        <v>3.1</v>
      </c>
      <c r="F55" s="23" t="b">
        <f>if(countif(Status!C:C,A55)=1,TRUE, FALSE)</f>
        <v>1</v>
      </c>
      <c r="G55" s="1" t="str">
        <f t="shared" si="2"/>
        <v/>
      </c>
      <c r="H55" s="1" t="str">
        <f>'3.1.raw'!Z22</f>
        <v/>
      </c>
      <c r="J55" s="1" t="str">
        <f>'3.1.raw'!AK22</f>
        <v>70 BLUE COLONIES WERE DETECTED FOR 1ML SAMPLE OF 1:100 DILUTION. ALL OF THE CASES ABUNDANCE OF RED COLONIES WERE TNTC.</v>
      </c>
    </row>
    <row r="56">
      <c r="A56" s="23" t="str">
        <f t="shared" si="3"/>
        <v>RP2004old</v>
      </c>
      <c r="B56" s="23" t="str">
        <f>'3.1.raw'!L15</f>
        <v>RP2004old</v>
      </c>
      <c r="C56" s="24">
        <f>datevalue(left('3.1.raw'!O15,10))</f>
        <v>43598</v>
      </c>
      <c r="D56" s="23">
        <f>'3.1.raw'!I15</f>
        <v>2</v>
      </c>
      <c r="E56" s="1">
        <v>3.1</v>
      </c>
      <c r="F56" s="23" t="b">
        <f>if(countif(Status!C:C,A56)=1,TRUE, FALSE)</f>
        <v>1</v>
      </c>
      <c r="G56" s="1" t="str">
        <f t="shared" si="2"/>
        <v/>
      </c>
      <c r="H56" s="1" t="str">
        <f>'3.1.raw'!Z15</f>
        <v/>
      </c>
      <c r="J56" s="1" t="str">
        <f>'3.1.raw'!AK15</f>
        <v>FOR RED COLONIES , ALL ARE NOTED "TDTC"</v>
      </c>
    </row>
    <row r="57">
      <c r="A57" s="23" t="str">
        <f t="shared" si="3"/>
        <v>RP2003old</v>
      </c>
      <c r="B57" s="23" t="str">
        <f>'3.1.raw'!L14</f>
        <v>RP2003old</v>
      </c>
      <c r="C57" s="24">
        <f>datevalue(left('3.1.raw'!O14,10))</f>
        <v>43598</v>
      </c>
      <c r="D57" s="23">
        <f>'3.1.raw'!I14</f>
        <v>2</v>
      </c>
      <c r="E57" s="1">
        <v>3.1</v>
      </c>
      <c r="F57" s="23" t="b">
        <f>if(countif(Status!C:C,A57)=1,TRUE, FALSE)</f>
        <v>0</v>
      </c>
      <c r="G57" s="1">
        <f t="shared" si="2"/>
        <v>0</v>
      </c>
      <c r="H57" s="1">
        <f>'3.1.raw'!Z14</f>
        <v>0</v>
      </c>
      <c r="J57" s="1" t="str">
        <f>'3.1.raw'!AK14</f>
        <v>OBSERVATION FOR RED COLONIES: 10 ML (UNDILUTED)-TNTC, 1 ML (UNDILUTED)-59, AND 1:10 (1 ML)- 11</v>
      </c>
    </row>
    <row r="58">
      <c r="A58" s="23" t="str">
        <f t="shared" si="3"/>
        <v>RP2002old</v>
      </c>
      <c r="B58" s="23" t="str">
        <f>'3.1.raw'!L4</f>
        <v>RP2002old</v>
      </c>
      <c r="C58" s="24">
        <f>datevalue(left('3.1.raw'!O4,10))</f>
        <v>43591</v>
      </c>
      <c r="D58" s="23">
        <f>'3.1.raw'!I4</f>
        <v>2</v>
      </c>
      <c r="E58" s="1">
        <v>3.1</v>
      </c>
      <c r="F58" s="23" t="b">
        <f>if(countif(Status!C:C,A58)=1,TRUE, FALSE)</f>
        <v>1</v>
      </c>
      <c r="G58" s="1">
        <f t="shared" si="2"/>
        <v>1</v>
      </c>
      <c r="H58" s="1">
        <f>'3.1.raw'!Z4</f>
        <v>1</v>
      </c>
      <c r="I58" s="1">
        <v>1.0</v>
      </c>
      <c r="J58" s="1" t="str">
        <f>'3.1.raw'!AK4</f>
        <v>78 RED COLONIES WERE DETECTED FOR 10^1 DILUTION, WHERE 'TNTC' FOR OTHER DILUTIONS.</v>
      </c>
    </row>
    <row r="59">
      <c r="A59" s="23" t="str">
        <f t="shared" si="3"/>
        <v>RP2001old</v>
      </c>
      <c r="B59" s="23" t="str">
        <f>'3.1.raw'!L3</f>
        <v>RP2001old</v>
      </c>
      <c r="C59" s="24">
        <f>datevalue(left('3.1.raw'!O3,10))</f>
        <v>43591</v>
      </c>
      <c r="D59" s="23">
        <f>'3.1.raw'!I3</f>
        <v>2</v>
      </c>
      <c r="E59" s="1">
        <v>3.1</v>
      </c>
      <c r="F59" s="23" t="b">
        <f>if(countif(Status!C:C,A59)=1,TRUE, FALSE)</f>
        <v>1</v>
      </c>
      <c r="G59" s="1">
        <f t="shared" si="2"/>
        <v>0</v>
      </c>
      <c r="H59" s="1">
        <f>'3.1.raw'!Z3</f>
        <v>0</v>
      </c>
      <c r="J59" s="1" t="str">
        <f>'3.1.raw'!AK3</f>
        <v>Red colonied were TDTC for the dilution of 10 ml and 1 ml, and TNTC for 10^1 dilution</v>
      </c>
    </row>
    <row r="60">
      <c r="A60" s="23" t="str">
        <f t="shared" si="3"/>
        <v>RP2001</v>
      </c>
      <c r="B60" s="23" t="str">
        <f>'3.1.raw'!L643</f>
        <v>RP2001</v>
      </c>
      <c r="C60" s="24">
        <f>datevalue(left('3.1.raw'!O643,10))</f>
        <v>43845</v>
      </c>
      <c r="D60" s="23">
        <f>'3.1.raw'!I643</f>
        <v>2</v>
      </c>
      <c r="E60" s="1">
        <v>3.09999999999999</v>
      </c>
      <c r="F60" s="23" t="b">
        <f>if(countif(Status!C:C,A60)=1,TRUE, FALSE)</f>
        <v>1</v>
      </c>
      <c r="G60" s="1">
        <f t="shared" si="2"/>
        <v>0</v>
      </c>
      <c r="H60" s="1">
        <f>'3.1.raw'!Z643</f>
        <v>0</v>
      </c>
      <c r="J60" s="1" t="str">
        <f>'3.1.raw'!AK643</f>
        <v>Red colony count: Undiluted 10ml - 30; 1:10^1 - 3; 1:10^2 - 00, sample vol tested 1ml</v>
      </c>
    </row>
    <row r="61">
      <c r="A61" s="23" t="str">
        <f t="shared" si="3"/>
        <v>RP1012</v>
      </c>
      <c r="B61" s="23" t="str">
        <f>'3.1.raw'!L210</f>
        <v>RP1012</v>
      </c>
      <c r="C61" s="24">
        <f>datevalue(left('3.1.raw'!O210,10))</f>
        <v>43712</v>
      </c>
      <c r="D61" s="23">
        <f>'3.1.raw'!I210</f>
        <v>2</v>
      </c>
      <c r="E61" s="1">
        <v>3.1</v>
      </c>
      <c r="F61" s="23" t="b">
        <f>if(countif(Status!C:C,A61)=1,TRUE, FALSE)</f>
        <v>1</v>
      </c>
      <c r="G61" s="1" t="str">
        <f t="shared" si="2"/>
        <v/>
      </c>
      <c r="H61" s="1" t="str">
        <f>'3.1.raw'!Z210</f>
        <v/>
      </c>
      <c r="J61" s="1" t="str">
        <f>'3.1.raw'!AK210</f>
        <v>sample type-coriander, red colony(10^1=TDTC,10^2=TNTC)</v>
      </c>
    </row>
    <row r="62">
      <c r="A62" s="23" t="str">
        <f t="shared" si="3"/>
        <v>RP1011</v>
      </c>
      <c r="B62" s="23" t="str">
        <f>'3.1.raw'!L209</f>
        <v>RP1011</v>
      </c>
      <c r="C62" s="24">
        <f>datevalue(left('3.1.raw'!O209,10))</f>
        <v>43712</v>
      </c>
      <c r="D62" s="23">
        <f>'3.1.raw'!I209</f>
        <v>2</v>
      </c>
      <c r="E62" s="1">
        <v>3.1</v>
      </c>
      <c r="F62" s="23" t="b">
        <f>if(countif(Status!C:C,A62)=1,TRUE, FALSE)</f>
        <v>1</v>
      </c>
      <c r="G62" s="1">
        <f t="shared" si="2"/>
        <v>0</v>
      </c>
      <c r="H62" s="1">
        <f>'3.1.raw'!Z209</f>
        <v>0</v>
      </c>
      <c r="J62" s="1" t="str">
        <f>'3.1.raw'!AK209</f>
        <v>SAMPLE TYPE -TOMATO, RED COLONY(10^1=20,10^2=9)</v>
      </c>
    </row>
    <row r="63">
      <c r="A63" s="23" t="str">
        <f t="shared" si="3"/>
        <v>RP1009</v>
      </c>
      <c r="B63" s="23" t="str">
        <f>'3.1.raw'!L101</f>
        <v>RP1009</v>
      </c>
      <c r="C63" s="24">
        <f>datevalue(left('3.1.raw'!O101,10))</f>
        <v>43675</v>
      </c>
      <c r="D63" s="23">
        <f>'3.1.raw'!I101</f>
        <v>2</v>
      </c>
      <c r="E63" s="1">
        <v>3.1</v>
      </c>
      <c r="F63" s="23" t="b">
        <f>if(countif(Status!C:C,A63)=1,TRUE, FALSE)</f>
        <v>1</v>
      </c>
      <c r="G63" s="1" t="str">
        <f t="shared" si="2"/>
        <v/>
      </c>
      <c r="H63" s="1" t="str">
        <f>'3.1.raw'!Z101</f>
        <v/>
      </c>
      <c r="J63" s="1" t="str">
        <f>'3.1.raw'!AK101</f>
        <v>sample type-1 pec cucumber, blue colony(10^1=4 with smashed) red colony(10ml=TDTC,1ml=TNTC,10^1=232)</v>
      </c>
    </row>
    <row r="64">
      <c r="A64" s="23" t="str">
        <f t="shared" si="3"/>
        <v>RP1008</v>
      </c>
      <c r="B64" s="23" t="str">
        <f>'3.1.raw'!L100</f>
        <v>RP1008</v>
      </c>
      <c r="C64" s="24">
        <f>datevalue(left('3.1.raw'!O100,10))</f>
        <v>43675</v>
      </c>
      <c r="D64" s="23">
        <f>'3.1.raw'!I100</f>
        <v>2</v>
      </c>
      <c r="E64" s="1">
        <v>3.1</v>
      </c>
      <c r="F64" s="23" t="b">
        <f>if(countif(Status!C:C,A64)=1,TRUE, FALSE)</f>
        <v>1</v>
      </c>
      <c r="G64" s="1" t="str">
        <f t="shared" si="2"/>
        <v/>
      </c>
      <c r="H64" s="1" t="str">
        <f>'3.1.raw'!Z100</f>
        <v/>
      </c>
      <c r="J64" s="1" t="str">
        <f>'3.1.raw'!AK100</f>
        <v>sample type-coriender leaves, blue colony(10^1=8 with smashed),red colony(10ml=TDTC,1ml=TDTC,10^1=TNTC)</v>
      </c>
    </row>
    <row r="65">
      <c r="A65" s="23" t="str">
        <f t="shared" si="3"/>
        <v>RP1007</v>
      </c>
      <c r="B65" s="23" t="str">
        <f>'3.1.raw'!L99</f>
        <v>RP1007</v>
      </c>
      <c r="C65" s="24">
        <f>datevalue(left('3.1.raw'!O99,10))</f>
        <v>43675</v>
      </c>
      <c r="D65" s="23">
        <f>'3.1.raw'!I99</f>
        <v>2</v>
      </c>
      <c r="E65" s="1">
        <v>3.1</v>
      </c>
      <c r="F65" s="23" t="b">
        <f>if(countif(Status!C:C,A65)=1,TRUE, FALSE)</f>
        <v>1</v>
      </c>
      <c r="G65" s="1" t="str">
        <f t="shared" si="2"/>
        <v/>
      </c>
      <c r="H65" s="1" t="str">
        <f>'3.1.raw'!Z99</f>
        <v/>
      </c>
      <c r="J65" s="1" t="str">
        <f>'3.1.raw'!AK99</f>
        <v>sample type- tometo, blue colony(1ml=4 with smashed,10^1=3 with smashed), red colony(10ml=TDTC, 1ml=TNTC,10^1=104)</v>
      </c>
    </row>
    <row r="66">
      <c r="A66" s="23" t="str">
        <f t="shared" si="3"/>
        <v>RP1006</v>
      </c>
      <c r="B66" s="23" t="str">
        <f>'3.1.raw'!L68</f>
        <v>RP1006</v>
      </c>
      <c r="C66" s="24">
        <f>datevalue(left('3.1.raw'!O68,10))</f>
        <v>43619</v>
      </c>
      <c r="D66" s="23">
        <f>'3.1.raw'!I68</f>
        <v>2</v>
      </c>
      <c r="E66" s="1">
        <v>3.1</v>
      </c>
      <c r="F66" s="23" t="b">
        <f>if(countif(Status!C:C,A66)=1,TRUE, FALSE)</f>
        <v>1</v>
      </c>
      <c r="G66" s="1" t="str">
        <f t="shared" si="2"/>
        <v/>
      </c>
      <c r="H66" s="1" t="str">
        <f>'3.1.raw'!Z68</f>
        <v/>
      </c>
      <c r="J66" s="1" t="str">
        <f>'3.1.raw'!AK68</f>
        <v>SAMPLE WAS CUCUMBER (1 PC).</v>
      </c>
    </row>
    <row r="67">
      <c r="A67" s="23" t="str">
        <f t="shared" si="3"/>
        <v>RP1005</v>
      </c>
      <c r="B67" s="23" t="str">
        <f>'3.1.raw'!L67</f>
        <v>RP1005</v>
      </c>
      <c r="C67" s="24">
        <f>datevalue(left('3.1.raw'!O67,10))</f>
        <v>43619</v>
      </c>
      <c r="D67" s="23">
        <f>'3.1.raw'!I67</f>
        <v>2</v>
      </c>
      <c r="E67" s="1">
        <v>3.1</v>
      </c>
      <c r="F67" s="23" t="b">
        <f>if(countif(Status!C:C,A67)=1,TRUE, FALSE)</f>
        <v>1</v>
      </c>
      <c r="G67" s="1" t="str">
        <f t="shared" si="2"/>
        <v/>
      </c>
      <c r="H67" s="1" t="str">
        <f>'3.1.raw'!Z67</f>
        <v/>
      </c>
      <c r="J67" s="1" t="str">
        <f>'3.1.raw'!AK67</f>
        <v>RAW PRODUCE WAS 1 PC TOMATO; THE OBSERVATION FOR RED COLONIES WAS TDTC, TDTC AND TNTC, RESPECTIVELY.</v>
      </c>
    </row>
    <row r="68">
      <c r="A68" s="23" t="str">
        <f t="shared" si="3"/>
        <v>RP1004</v>
      </c>
      <c r="B68" s="23" t="str">
        <f>'3.1.raw'!L46</f>
        <v>RP1004</v>
      </c>
      <c r="C68" s="24">
        <f>datevalue(left('3.1.raw'!O46,10))</f>
        <v>43612</v>
      </c>
      <c r="D68" s="23">
        <f>'3.1.raw'!I46</f>
        <v>2</v>
      </c>
      <c r="E68" s="1">
        <v>3.1</v>
      </c>
      <c r="F68" s="23" t="b">
        <f>if(countif(Status!C:C,A68)=1,TRUE, FALSE)</f>
        <v>1</v>
      </c>
      <c r="G68" s="1">
        <f t="shared" si="2"/>
        <v>0</v>
      </c>
      <c r="H68" s="1">
        <f>'3.1.raw'!Z46</f>
        <v>0</v>
      </c>
      <c r="J68" s="1" t="str">
        <f>'3.1.raw'!AK46</f>
        <v>TDTC, TNTC AND 49 NUMBER OF RED COLONIES FOUND, RESPECTIVELY.</v>
      </c>
    </row>
    <row r="69">
      <c r="A69" s="23" t="str">
        <f t="shared" si="3"/>
        <v>RP1003</v>
      </c>
      <c r="B69" s="23" t="str">
        <f>'3.1.raw'!L48</f>
        <v>RP1003</v>
      </c>
      <c r="C69" s="24">
        <f>datevalue(left('3.1.raw'!O48,10))</f>
        <v>43612</v>
      </c>
      <c r="D69" s="23">
        <f>'3.1.raw'!I48</f>
        <v>2</v>
      </c>
      <c r="E69" s="1">
        <v>3.1</v>
      </c>
      <c r="F69" s="23" t="b">
        <f>if(countif(Status!C:C,A69)=1,TRUE, FALSE)</f>
        <v>1</v>
      </c>
      <c r="G69" s="1" t="str">
        <f t="shared" si="2"/>
        <v/>
      </c>
      <c r="H69" s="1" t="str">
        <f>'3.1.raw'!Z48</f>
        <v/>
      </c>
      <c r="J69" s="1" t="str">
        <f>'3.1.raw'!AK48</f>
        <v>OBSERVATION FOR RED COLONIES: TDTC FOR ALL OF THE CASES</v>
      </c>
    </row>
    <row r="70">
      <c r="A70" s="23" t="str">
        <f t="shared" si="3"/>
        <v>RP1002</v>
      </c>
      <c r="B70" s="23" t="str">
        <f>'3.1.raw'!L33</f>
        <v>RP1002</v>
      </c>
      <c r="C70" s="24">
        <f>datevalue(left('3.1.raw'!O33,10))</f>
        <v>43606</v>
      </c>
      <c r="D70" s="23">
        <f>'3.1.raw'!I33</f>
        <v>2</v>
      </c>
      <c r="E70" s="1">
        <v>3.1</v>
      </c>
      <c r="F70" s="23" t="b">
        <f>if(countif(Status!C:C,A70)=1,TRUE, FALSE)</f>
        <v>1</v>
      </c>
      <c r="G70" s="1">
        <f t="shared" si="2"/>
        <v>1</v>
      </c>
      <c r="H70" s="1">
        <f>'3.1.raw'!Z33</f>
        <v>6</v>
      </c>
      <c r="J70" s="1" t="str">
        <f>'3.1.raw'!AK33</f>
        <v>72, 60 AND 35 RED COLONIES DETECTED FOR 10 ML (UNDILUTED), 1 ML (UNDILUTED) AND 1ML OF 1:10 DILUTION, RESPECTIVELY</v>
      </c>
    </row>
    <row r="71">
      <c r="A71" s="23" t="str">
        <f t="shared" si="3"/>
        <v>RP1001</v>
      </c>
      <c r="B71" s="23" t="str">
        <f>'3.1.raw'!L32</f>
        <v>RP1001</v>
      </c>
      <c r="C71" s="24">
        <f>datevalue(left('3.1.raw'!O32,10))</f>
        <v>43606</v>
      </c>
      <c r="D71" s="23">
        <f>'3.1.raw'!I32</f>
        <v>2</v>
      </c>
      <c r="E71" s="1">
        <v>3.1</v>
      </c>
      <c r="F71" s="23" t="b">
        <f>if(countif(Status!C:C,A71)=1,TRUE, FALSE)</f>
        <v>1</v>
      </c>
      <c r="G71" s="1">
        <f t="shared" si="2"/>
        <v>0</v>
      </c>
      <c r="H71" s="1">
        <f>'3.1.raw'!Z32</f>
        <v>0</v>
      </c>
      <c r="J71" s="1" t="str">
        <f>'3.1.raw'!AK32</f>
        <v>FOR RED COLONIES: TDTC FOR 10 ML UNDILUTED, TNTC FOR 1 ML UNDILUTED AND TNTC FOR 1 ML 1:10 DILUTION</v>
      </c>
    </row>
    <row r="72">
      <c r="A72" s="23" t="str">
        <f t="shared" si="3"/>
        <v>PLc1179</v>
      </c>
      <c r="B72" s="23" t="str">
        <f>'3.1.raw'!L650</f>
        <v>PLc1179</v>
      </c>
      <c r="C72" s="24">
        <f>datevalue(left('3.1.raw'!O650,10))</f>
        <v>43846</v>
      </c>
      <c r="D72" s="23">
        <f>'3.1.raw'!I650</f>
        <v>11</v>
      </c>
      <c r="E72" s="1">
        <v>3.09999999999999</v>
      </c>
      <c r="F72" s="23" t="b">
        <f>if(countif(Status!C:C,A72)=1,TRUE, FALSE)</f>
        <v>1</v>
      </c>
      <c r="G72" s="1">
        <f t="shared" si="2"/>
        <v>1</v>
      </c>
      <c r="H72" s="1">
        <f>'3.1.raw'!Z650</f>
        <v>3</v>
      </c>
      <c r="J72" s="1" t="str">
        <f>'3.1.raw'!AK650</f>
        <v>Red colony count: 1:10^4 - 54; 1:10^5 - 5; 1:10^6 - 3, Each sample vol tested 1ml</v>
      </c>
    </row>
    <row r="73">
      <c r="A73" s="23" t="str">
        <f t="shared" si="3"/>
        <v>PLc1178</v>
      </c>
      <c r="B73" s="23" t="str">
        <f>'3.1.raw'!L648</f>
        <v>PLc1178</v>
      </c>
      <c r="C73" s="24">
        <f>datevalue(left('3.1.raw'!O648,10))</f>
        <v>43846</v>
      </c>
      <c r="D73" s="23">
        <f>'3.1.raw'!I648</f>
        <v>11</v>
      </c>
      <c r="E73" s="1">
        <v>3.09999999999999</v>
      </c>
      <c r="F73" s="23" t="b">
        <f>if(countif(Status!C:C,A73)=1,TRUE, FALSE)</f>
        <v>1</v>
      </c>
      <c r="G73" s="1">
        <f t="shared" si="2"/>
        <v>1</v>
      </c>
      <c r="H73" s="1">
        <f>'3.1.raw'!Z648</f>
        <v>4</v>
      </c>
      <c r="J73" s="1" t="str">
        <f>'3.1.raw'!AK648</f>
        <v>Red colony count: 1:10^4 -7; 1:10^5 - 0; 1:10^6 - 00, Each sample vol tested 1ml</v>
      </c>
    </row>
    <row r="74">
      <c r="A74" s="23" t="str">
        <f t="shared" si="3"/>
        <v>PLc1177</v>
      </c>
      <c r="B74" s="23" t="str">
        <f>'3.1.raw'!L626</f>
        <v>PLc1177</v>
      </c>
      <c r="C74" s="24">
        <f>datevalue(left('3.1.raw'!O626,10))</f>
        <v>43843</v>
      </c>
      <c r="D74" s="23">
        <f>'3.1.raw'!I626</f>
        <v>11</v>
      </c>
      <c r="E74" s="1">
        <v>3.09999999999999</v>
      </c>
      <c r="F74" s="23" t="b">
        <f>if(countif(Status!C:C,A74)=1,TRUE, FALSE)</f>
        <v>1</v>
      </c>
      <c r="G74" s="1">
        <f t="shared" si="2"/>
        <v>1</v>
      </c>
      <c r="H74" s="1">
        <f>'3.1.raw'!Z626</f>
        <v>30</v>
      </c>
      <c r="J74" s="1" t="str">
        <f>'3.1.raw'!AK626</f>
        <v>Red colony count: 1:10^4 -10; 1:10^5 - 0; 1:10^6 - 00, Each sample vol tested 1ml</v>
      </c>
    </row>
    <row r="75">
      <c r="A75" s="23" t="str">
        <f t="shared" si="3"/>
        <v>PLc1176</v>
      </c>
      <c r="B75" s="23" t="str">
        <f>'3.1.raw'!L624</f>
        <v>PLc1176</v>
      </c>
      <c r="C75" s="24">
        <f>datevalue(left('3.1.raw'!O624,10))</f>
        <v>43843</v>
      </c>
      <c r="D75" s="23">
        <f>'3.1.raw'!I624</f>
        <v>11</v>
      </c>
      <c r="E75" s="1">
        <v>3.09999999999999</v>
      </c>
      <c r="F75" s="23" t="b">
        <f>if(countif(Status!C:C,A75)=1,TRUE, FALSE)</f>
        <v>1</v>
      </c>
      <c r="G75" s="1" t="str">
        <f t="shared" si="2"/>
        <v/>
      </c>
      <c r="H75" s="1" t="str">
        <f>'3.1.raw'!Z624</f>
        <v/>
      </c>
      <c r="J75" s="1" t="str">
        <f>'3.1.raw'!AK624</f>
        <v>Red colony count: 1:10^4 -TNTC; 1:10^5 - 11; 1:10^6 - 2, Each sample vol tested 1ml</v>
      </c>
    </row>
    <row r="76">
      <c r="A76" s="23" t="str">
        <f t="shared" si="3"/>
        <v>PLc1175</v>
      </c>
      <c r="B76" s="23" t="str">
        <f>'3.1.raw'!L622</f>
        <v>PLc1175</v>
      </c>
      <c r="C76" s="24">
        <f>datevalue(left('3.1.raw'!O622,10))</f>
        <v>43843</v>
      </c>
      <c r="D76" s="23">
        <f>'3.1.raw'!I622</f>
        <v>11</v>
      </c>
      <c r="E76" s="1">
        <v>3.09999999999999</v>
      </c>
      <c r="F76" s="23" t="b">
        <f>if(countif(Status!C:C,A76)=1,TRUE, FALSE)</f>
        <v>1</v>
      </c>
      <c r="G76" s="1">
        <f t="shared" si="2"/>
        <v>1</v>
      </c>
      <c r="H76" s="1">
        <f>'3.1.raw'!Z622</f>
        <v>3</v>
      </c>
      <c r="J76" s="1" t="str">
        <f>'3.1.raw'!AK622</f>
        <v>Red colony count: 1:10^4 -16; 1:10^5 - 1; 1:10^6 - 00, Each sample vol tested 1ml</v>
      </c>
    </row>
    <row r="77">
      <c r="A77" s="23" t="str">
        <f t="shared" si="3"/>
        <v>PLc1174</v>
      </c>
      <c r="B77" s="23" t="str">
        <f>'3.1.raw'!L620</f>
        <v>PLc1174</v>
      </c>
      <c r="C77" s="24">
        <f>datevalue(left('3.1.raw'!O620,10))</f>
        <v>43843</v>
      </c>
      <c r="D77" s="23">
        <f>'3.1.raw'!I620</f>
        <v>11</v>
      </c>
      <c r="E77" s="1">
        <v>3.09999999999999</v>
      </c>
      <c r="F77" s="23" t="b">
        <f>if(countif(Status!C:C,A77)=1,TRUE, FALSE)</f>
        <v>1</v>
      </c>
      <c r="G77" s="1">
        <f t="shared" si="2"/>
        <v>1</v>
      </c>
      <c r="H77" s="1">
        <f>'3.1.raw'!Z620</f>
        <v>31</v>
      </c>
      <c r="J77" s="1" t="str">
        <f>'3.1.raw'!AK620</f>
        <v>Red colony count: 1:10^4 -22; 1:10^5 - 2; 1:10^6 - 00, Each sample vol tested 1ml</v>
      </c>
    </row>
    <row r="78">
      <c r="A78" s="23" t="str">
        <f t="shared" si="3"/>
        <v>PLc1173</v>
      </c>
      <c r="B78" s="23" t="str">
        <f>'3.1.raw'!L617</f>
        <v>PLc1173</v>
      </c>
      <c r="C78" s="24">
        <f>datevalue(left('3.1.raw'!O617,10))</f>
        <v>43839</v>
      </c>
      <c r="D78" s="23">
        <f>'3.1.raw'!I617</f>
        <v>11</v>
      </c>
      <c r="E78" s="1">
        <v>3.09999999999999</v>
      </c>
      <c r="F78" s="23" t="b">
        <f>if(countif(Status!C:C,A78)=1,TRUE, FALSE)</f>
        <v>1</v>
      </c>
      <c r="G78" s="1">
        <f t="shared" si="2"/>
        <v>1</v>
      </c>
      <c r="H78" s="1">
        <f>'3.1.raw'!Z617</f>
        <v>101</v>
      </c>
      <c r="J78" s="1" t="str">
        <f>'3.1.raw'!AK617</f>
        <v>Red colony count: 1:10^4 - 82; 1:10^5 - 8; 1:10^6 - 00, Each sample vol tested 1ml</v>
      </c>
    </row>
    <row r="79">
      <c r="A79" s="23" t="str">
        <f t="shared" si="3"/>
        <v>PLc1145</v>
      </c>
      <c r="B79" s="23" t="str">
        <f>'3.1.raw'!L610</f>
        <v>PLc1145</v>
      </c>
      <c r="C79" s="24">
        <f>datevalue(left('3.1.raw'!O610,10))</f>
        <v>43818</v>
      </c>
      <c r="D79" s="23">
        <f>'3.1.raw'!I610</f>
        <v>11</v>
      </c>
      <c r="E79" s="1">
        <v>3.09999999999999</v>
      </c>
      <c r="F79" s="23" t="b">
        <f>if(countif(Status!C:C,A79)=1,TRUE, FALSE)</f>
        <v>1</v>
      </c>
      <c r="G79" s="1">
        <f t="shared" si="2"/>
        <v>1</v>
      </c>
      <c r="H79" s="1">
        <f>'3.1.raw'!Z610</f>
        <v>8</v>
      </c>
      <c r="J79" s="1" t="str">
        <f>'3.1.raw'!AK610</f>
        <v>Red colony count: 1:10^4 -6; 1:10^5 - 2; 1:10^6 - 00, Each sample vol tested 1ml</v>
      </c>
    </row>
    <row r="80">
      <c r="A80" s="23" t="str">
        <f t="shared" si="3"/>
        <v>PLc1144</v>
      </c>
      <c r="B80" s="23" t="str">
        <f>'3.1.raw'!L608</f>
        <v>PLc1144</v>
      </c>
      <c r="C80" s="24">
        <f>datevalue(left('3.1.raw'!O608,10))</f>
        <v>43818</v>
      </c>
      <c r="D80" s="23">
        <f>'3.1.raw'!I608</f>
        <v>11</v>
      </c>
      <c r="E80" s="1">
        <v>3.09999999999999</v>
      </c>
      <c r="F80" s="23" t="b">
        <f>if(countif(Status!C:C,A80)=1,TRUE, FALSE)</f>
        <v>1</v>
      </c>
      <c r="G80" s="1" t="str">
        <f t="shared" si="2"/>
        <v/>
      </c>
      <c r="H80" s="1" t="str">
        <f>'3.1.raw'!Z608</f>
        <v/>
      </c>
      <c r="J80" s="1" t="str">
        <f>'3.1.raw'!AK608</f>
        <v>Red colony count: 1:10^4 - 7; 1:10^5 - 2; 1:10^6 - 00, Each sample vol tested 1ml</v>
      </c>
    </row>
    <row r="81">
      <c r="A81" s="23" t="str">
        <f t="shared" si="3"/>
        <v>PLc1143</v>
      </c>
      <c r="B81" s="23" t="str">
        <f>'3.1.raw'!L603</f>
        <v>PLc1143</v>
      </c>
      <c r="C81" s="24">
        <f>datevalue(left('3.1.raw'!O603,10))</f>
        <v>43816</v>
      </c>
      <c r="D81" s="23">
        <f>'3.1.raw'!I603</f>
        <v>11</v>
      </c>
      <c r="E81" s="1">
        <v>3.09999999999999</v>
      </c>
      <c r="F81" s="23" t="b">
        <f>if(countif(Status!C:C,A81)=1,TRUE, FALSE)</f>
        <v>1</v>
      </c>
      <c r="G81" s="1">
        <f t="shared" si="2"/>
        <v>0</v>
      </c>
      <c r="H81" s="1">
        <f>'3.1.raw'!Z603</f>
        <v>0</v>
      </c>
      <c r="J81" s="1" t="str">
        <f>'3.1.raw'!AK603</f>
        <v>Red colony count: 1:10^4 -5; 1:10^5 - 00; 1:10^6 - 00, Each sample vol tested 1ml</v>
      </c>
    </row>
    <row r="82">
      <c r="A82" s="23" t="str">
        <f t="shared" si="3"/>
        <v>PLc1142</v>
      </c>
      <c r="B82" s="23" t="str">
        <f>'3.1.raw'!L601</f>
        <v>PLc1142</v>
      </c>
      <c r="C82" s="24">
        <f>datevalue(left('3.1.raw'!O601,10))</f>
        <v>43816</v>
      </c>
      <c r="D82" s="23">
        <f>'3.1.raw'!I601</f>
        <v>11</v>
      </c>
      <c r="E82" s="1">
        <v>3.09999999999999</v>
      </c>
      <c r="F82" s="23" t="b">
        <f>if(countif(Status!C:C,A82)=1,TRUE, FALSE)</f>
        <v>1</v>
      </c>
      <c r="G82" s="1" t="str">
        <f t="shared" si="2"/>
        <v/>
      </c>
      <c r="H82" s="1" t="str">
        <f>'3.1.raw'!Z601</f>
        <v/>
      </c>
      <c r="J82" s="1" t="str">
        <f>'3.1.raw'!AK601</f>
        <v>Red colony count: 1:10^4 -TNTC; 1:10^5 - 55; 1:10^6 - 30, Each sample vol tested 1ml</v>
      </c>
    </row>
    <row r="83">
      <c r="A83" s="23" t="str">
        <f t="shared" si="3"/>
        <v>PLc1139</v>
      </c>
      <c r="B83" s="23" t="str">
        <f>'3.1.raw'!L596</f>
        <v>PLc1139</v>
      </c>
      <c r="C83" s="24">
        <f>datevalue(left('3.1.raw'!O596,10))</f>
        <v>43815</v>
      </c>
      <c r="D83" s="23">
        <f>'3.1.raw'!I596</f>
        <v>11</v>
      </c>
      <c r="E83" s="1">
        <v>3.09999999999999</v>
      </c>
      <c r="F83" s="23" t="b">
        <f>if(countif(Status!C:C,A83)=1,TRUE, FALSE)</f>
        <v>1</v>
      </c>
      <c r="G83" s="1">
        <f t="shared" si="2"/>
        <v>1</v>
      </c>
      <c r="H83" s="1">
        <f>'3.1.raw'!Z596</f>
        <v>9</v>
      </c>
      <c r="J83" s="1" t="str">
        <f>'3.1.raw'!AK596</f>
        <v>Red colony count: 1:10^4 -4; 1:10^5 - 2; 1:10^6 - 01, Each sample vol tested 1ml</v>
      </c>
    </row>
    <row r="84">
      <c r="A84" s="23" t="str">
        <f t="shared" si="3"/>
        <v>PLc1138</v>
      </c>
      <c r="B84" s="23" t="str">
        <f>'3.1.raw'!L594</f>
        <v>PLc1138</v>
      </c>
      <c r="C84" s="24">
        <f>datevalue(left('3.1.raw'!O594,10))</f>
        <v>43815</v>
      </c>
      <c r="D84" s="23">
        <f>'3.1.raw'!I594</f>
        <v>11</v>
      </c>
      <c r="E84" s="1">
        <v>3.09999999999999</v>
      </c>
      <c r="F84" s="23" t="b">
        <f>if(countif(Status!C:C,A84)=1,TRUE, FALSE)</f>
        <v>1</v>
      </c>
      <c r="G84" s="1">
        <f t="shared" si="2"/>
        <v>1</v>
      </c>
      <c r="H84" s="1">
        <f>'3.1.raw'!Z594</f>
        <v>120</v>
      </c>
      <c r="J84" s="1" t="str">
        <f>'3.1.raw'!AK594</f>
        <v>Red colony count: 1:10^4 -80; 1:10^5 - 13; 1:10^6 - 01, Each sample vol tested 1ml</v>
      </c>
    </row>
    <row r="85">
      <c r="A85" s="23" t="str">
        <f t="shared" si="3"/>
        <v>PLc1137</v>
      </c>
      <c r="B85" s="23" t="str">
        <f>'3.1.raw'!L592</f>
        <v>PLc1137</v>
      </c>
      <c r="C85" s="24">
        <f>datevalue(left('3.1.raw'!O592,10))</f>
        <v>43815</v>
      </c>
      <c r="D85" s="23">
        <f>'3.1.raw'!I592</f>
        <v>11</v>
      </c>
      <c r="E85" s="1">
        <v>3.09999999999999</v>
      </c>
      <c r="F85" s="23" t="b">
        <f>if(countif(Status!C:C,A85)=1,TRUE, FALSE)</f>
        <v>1</v>
      </c>
      <c r="G85" s="1">
        <f t="shared" si="2"/>
        <v>1</v>
      </c>
      <c r="H85" s="1">
        <f>'3.1.raw'!Z592</f>
        <v>75</v>
      </c>
      <c r="J85" s="1" t="str">
        <f>'3.1.raw'!AK592</f>
        <v>Red colony count: 1:10^4 -60; 1:10^5 - 17; 1:10^6 - 01, Each sample vol tested 1ml</v>
      </c>
    </row>
    <row r="86">
      <c r="A86" s="23" t="str">
        <f t="shared" si="3"/>
        <v>PLc1136</v>
      </c>
      <c r="B86" s="23" t="str">
        <f>'3.1.raw'!L590</f>
        <v>PLc1136</v>
      </c>
      <c r="C86" s="24">
        <f>datevalue(left('3.1.raw'!O590,10))</f>
        <v>43815</v>
      </c>
      <c r="D86" s="23">
        <f>'3.1.raw'!I590</f>
        <v>11</v>
      </c>
      <c r="E86" s="1">
        <v>3.09999999999999</v>
      </c>
      <c r="F86" s="23" t="b">
        <f>if(countif(Status!C:C,A86)=1,TRUE, FALSE)</f>
        <v>1</v>
      </c>
      <c r="G86" s="1" t="str">
        <f t="shared" si="2"/>
        <v/>
      </c>
      <c r="H86" s="1" t="str">
        <f>'3.1.raw'!Z590</f>
        <v/>
      </c>
      <c r="J86" s="1" t="str">
        <f>'3.1.raw'!AK590</f>
        <v>Red colony count: 1:10^4 -TNTC; 1:10^5 - 37; 1:10^6 - 04, Each sample vol tested 1ml</v>
      </c>
    </row>
    <row r="87">
      <c r="A87" s="23" t="str">
        <f t="shared" si="3"/>
        <v>PLc1135</v>
      </c>
      <c r="B87" s="23" t="str">
        <f>'3.1.raw'!L588</f>
        <v>PLc1135</v>
      </c>
      <c r="C87" s="24">
        <f>datevalue(left('3.1.raw'!O588,10))</f>
        <v>43815</v>
      </c>
      <c r="D87" s="23">
        <f>'3.1.raw'!I588</f>
        <v>11</v>
      </c>
      <c r="E87" s="1">
        <v>3.09999999999999</v>
      </c>
      <c r="F87" s="23" t="b">
        <f>if(countif(Status!C:C,A87)=1,TRUE, FALSE)</f>
        <v>1</v>
      </c>
      <c r="G87" s="1">
        <f t="shared" si="2"/>
        <v>1</v>
      </c>
      <c r="H87" s="1">
        <f>'3.1.raw'!Z588</f>
        <v>53</v>
      </c>
      <c r="J87" s="1" t="str">
        <f>'3.1.raw'!AK588</f>
        <v>Red colony count: 1:10^4 -60; 1:10^5 - 5; 1:10^6 - 02, Each sample vol tested 1ml</v>
      </c>
    </row>
    <row r="88">
      <c r="A88" s="23" t="str">
        <f t="shared" si="3"/>
        <v>PLc1134</v>
      </c>
      <c r="B88" s="23" t="str">
        <f>'3.1.raw'!L585</f>
        <v>PLc1134</v>
      </c>
      <c r="C88" s="24">
        <f>datevalue(left('3.1.raw'!O585,10))</f>
        <v>43812</v>
      </c>
      <c r="D88" s="23">
        <f>'3.1.raw'!I585</f>
        <v>11</v>
      </c>
      <c r="E88" s="1">
        <v>3.09999999999999</v>
      </c>
      <c r="F88" s="23" t="b">
        <f>if(countif(Status!C:C,A88)=1,TRUE, FALSE)</f>
        <v>1</v>
      </c>
      <c r="G88" s="1">
        <f t="shared" si="2"/>
        <v>1</v>
      </c>
      <c r="H88" s="1">
        <f>'3.1.raw'!Z585</f>
        <v>42</v>
      </c>
      <c r="J88" s="1" t="str">
        <f>'3.1.raw'!AK585</f>
        <v>Red colony count: 1:10^4 -101; 1:10^5 - 10; 1:10^6 - 02, Each sample vol tested 1ml</v>
      </c>
    </row>
    <row r="89">
      <c r="A89" s="23" t="str">
        <f t="shared" si="3"/>
        <v>PLc1133</v>
      </c>
      <c r="B89" s="23" t="str">
        <f>'3.1.raw'!L583</f>
        <v>PLc1133</v>
      </c>
      <c r="C89" s="24">
        <f>datevalue(left('3.1.raw'!O583,10))</f>
        <v>43812</v>
      </c>
      <c r="D89" s="23">
        <f>'3.1.raw'!I583</f>
        <v>11</v>
      </c>
      <c r="E89" s="1">
        <v>3.09999999999999</v>
      </c>
      <c r="F89" s="23" t="b">
        <f>if(countif(Status!C:C,A89)=1,TRUE, FALSE)</f>
        <v>1</v>
      </c>
      <c r="G89" s="1">
        <f t="shared" si="2"/>
        <v>1</v>
      </c>
      <c r="H89" s="1">
        <f>'3.1.raw'!Z583</f>
        <v>64</v>
      </c>
      <c r="J89" s="1" t="str">
        <f>'3.1.raw'!AK583</f>
        <v>Red colony count: 1:10^4 -TNTC; 1:10^5 - TNTC; 1:10^6 - 92, Each sample vol tested 1ml</v>
      </c>
    </row>
    <row r="90">
      <c r="A90" s="23" t="str">
        <f t="shared" si="3"/>
        <v>PLc1132</v>
      </c>
      <c r="B90" s="23" t="str">
        <f>'3.1.raw'!L581</f>
        <v>PLc1132</v>
      </c>
      <c r="C90" s="24">
        <f>datevalue(left('3.1.raw'!O581,10))</f>
        <v>43812</v>
      </c>
      <c r="D90" s="23">
        <f>'3.1.raw'!I581</f>
        <v>11</v>
      </c>
      <c r="E90" s="1">
        <v>3.09999999999999</v>
      </c>
      <c r="F90" s="23" t="b">
        <f>if(countif(Status!C:C,A90)=1,TRUE, FALSE)</f>
        <v>1</v>
      </c>
      <c r="G90" s="1">
        <f t="shared" si="2"/>
        <v>1</v>
      </c>
      <c r="H90" s="1">
        <f>'3.1.raw'!Z581</f>
        <v>3</v>
      </c>
      <c r="J90" s="1" t="str">
        <f>'3.1.raw'!AK581</f>
        <v>Red colony count: 1:10^4 -10; 1:10^5 - 4; 1:10^6 - 2, Each sample vol tested 1ml</v>
      </c>
    </row>
    <row r="91">
      <c r="A91" s="23" t="str">
        <f t="shared" si="3"/>
        <v>PLc1131</v>
      </c>
      <c r="B91" s="23" t="str">
        <f>'3.1.raw'!L579</f>
        <v>PLc1131</v>
      </c>
      <c r="C91" s="24">
        <f>datevalue(left('3.1.raw'!O579,10))</f>
        <v>43812</v>
      </c>
      <c r="D91" s="23">
        <f>'3.1.raw'!I579</f>
        <v>11</v>
      </c>
      <c r="E91" s="1">
        <v>3.09999999999999</v>
      </c>
      <c r="F91" s="23" t="b">
        <f>if(countif(Status!C:C,A91)=1,TRUE, FALSE)</f>
        <v>1</v>
      </c>
      <c r="G91" s="1" t="str">
        <f t="shared" si="2"/>
        <v/>
      </c>
      <c r="H91" s="1" t="str">
        <f>'3.1.raw'!Z579</f>
        <v/>
      </c>
      <c r="J91" s="1" t="str">
        <f>'3.1.raw'!AK579</f>
        <v>Red colony count: 1:10^4 -122; 1:10^5 - 14; 1:10^6 - 00, Each sample vol tested 1ml</v>
      </c>
    </row>
    <row r="92">
      <c r="A92" s="23" t="str">
        <f t="shared" si="3"/>
        <v>PLC1130</v>
      </c>
      <c r="B92" s="23" t="str">
        <f>'3.1.raw'!L574</f>
        <v>PLC1130</v>
      </c>
      <c r="C92" s="24">
        <f>datevalue(left('3.1.raw'!O574,10))</f>
        <v>43811</v>
      </c>
      <c r="D92" s="23">
        <f>'3.1.raw'!I574</f>
        <v>11</v>
      </c>
      <c r="E92" s="1">
        <v>3.09999999999999</v>
      </c>
      <c r="F92" s="23" t="b">
        <f>if(countif(Status!C:C,A92)=1,TRUE, FALSE)</f>
        <v>1</v>
      </c>
      <c r="G92" s="1" t="str">
        <f t="shared" si="2"/>
        <v/>
      </c>
      <c r="H92" s="1" t="str">
        <f>'3.1.raw'!Z574</f>
        <v/>
      </c>
      <c r="J92" s="1" t="str">
        <f>'3.1.raw'!AK574</f>
        <v>Red colony count: 1:10^4 - 68; 1:10^5 - 6; 1:10^6 - 00, Each sample vol tested 1ml</v>
      </c>
    </row>
    <row r="93">
      <c r="A93" s="23" t="str">
        <f t="shared" si="3"/>
        <v>PLc1129</v>
      </c>
      <c r="B93" s="23" t="str">
        <f>'3.1.raw'!L572</f>
        <v>PLc1129</v>
      </c>
      <c r="C93" s="24">
        <f>datevalue(left('3.1.raw'!O572,10))</f>
        <v>43811</v>
      </c>
      <c r="D93" s="23">
        <f>'3.1.raw'!I572</f>
        <v>11</v>
      </c>
      <c r="E93" s="1">
        <v>3.09999999999999</v>
      </c>
      <c r="F93" s="23" t="b">
        <f>if(countif(Status!C:C,A93)=1,TRUE, FALSE)</f>
        <v>1</v>
      </c>
      <c r="G93" s="1" t="str">
        <f t="shared" si="2"/>
        <v/>
      </c>
      <c r="H93" s="1" t="str">
        <f>'3.1.raw'!Z572</f>
        <v/>
      </c>
      <c r="J93" s="1" t="str">
        <f>'3.1.raw'!AK572</f>
        <v>Red colony count: 1:10^4 -TNTC; 1:10^5 - 52; 1:10^6 - 06, Each sample vol tested 1ml</v>
      </c>
    </row>
    <row r="94">
      <c r="A94" s="23" t="str">
        <f t="shared" si="3"/>
        <v>PLc1128</v>
      </c>
      <c r="B94" s="23" t="str">
        <f>'3.1.raw'!L570</f>
        <v>PLc1128</v>
      </c>
      <c r="C94" s="24">
        <f>datevalue(left('3.1.raw'!O570,10))</f>
        <v>43811</v>
      </c>
      <c r="D94" s="23">
        <f>'3.1.raw'!I570</f>
        <v>11</v>
      </c>
      <c r="E94" s="1">
        <v>3.09999999999999</v>
      </c>
      <c r="F94" s="23" t="b">
        <f>if(countif(Status!C:C,A94)=1,TRUE, FALSE)</f>
        <v>1</v>
      </c>
      <c r="G94" s="1" t="str">
        <f t="shared" si="2"/>
        <v/>
      </c>
      <c r="H94" s="1" t="str">
        <f>'3.1.raw'!Z570</f>
        <v/>
      </c>
      <c r="J94" s="1" t="str">
        <f>'3.1.raw'!AK570</f>
        <v>Red colony count: 1:10^4 - TNTC; 1:10^5 - 42; 1:10^6 - 11, Each sample vol tested 1ml</v>
      </c>
    </row>
    <row r="95">
      <c r="A95" s="23" t="str">
        <f t="shared" si="3"/>
        <v>PLc1127</v>
      </c>
      <c r="B95" s="23" t="str">
        <f>'3.1.raw'!L568</f>
        <v>PLc1127</v>
      </c>
      <c r="C95" s="24">
        <f>datevalue(left('3.1.raw'!O568,10))</f>
        <v>43811</v>
      </c>
      <c r="D95" s="23">
        <f>'3.1.raw'!I568</f>
        <v>11</v>
      </c>
      <c r="E95" s="1">
        <v>3.09999999999999</v>
      </c>
      <c r="F95" s="23" t="b">
        <f>if(countif(Status!C:C,A95)=1,TRUE, FALSE)</f>
        <v>1</v>
      </c>
      <c r="G95" s="1">
        <f t="shared" si="2"/>
        <v>1</v>
      </c>
      <c r="H95" s="1">
        <f>'3.1.raw'!Z568</f>
        <v>89</v>
      </c>
      <c r="J95" s="1" t="str">
        <f>'3.1.raw'!AK568</f>
        <v>Red colony count: 1:10^4 -TNTC; 1:10^5 - 50; 1:10^6 - 05, Each sample vol tested 1ml</v>
      </c>
    </row>
    <row r="96">
      <c r="A96" s="23" t="str">
        <f t="shared" si="3"/>
        <v>PLc1126</v>
      </c>
      <c r="B96" s="23" t="str">
        <f>'3.1.raw'!L566</f>
        <v>PLc1126</v>
      </c>
      <c r="C96" s="24">
        <f>datevalue(left('3.1.raw'!O566,10))</f>
        <v>43811</v>
      </c>
      <c r="D96" s="23">
        <f>'3.1.raw'!I566</f>
        <v>11</v>
      </c>
      <c r="E96" s="1">
        <v>3.09999999999999</v>
      </c>
      <c r="F96" s="23" t="b">
        <f>if(countif(Status!C:C,A96)=1,TRUE, FALSE)</f>
        <v>1</v>
      </c>
      <c r="G96" s="1">
        <f t="shared" si="2"/>
        <v>1</v>
      </c>
      <c r="H96" s="1">
        <f>'3.1.raw'!Z566</f>
        <v>2</v>
      </c>
      <c r="J96" s="1" t="str">
        <f>'3.1.raw'!AK566</f>
        <v>Red colony count: 1:10^4 -04; 1:10^5 - 01; 1:10^6 - 00, Each sample vol tested 1ml</v>
      </c>
    </row>
    <row r="97">
      <c r="A97" s="23" t="str">
        <f t="shared" si="3"/>
        <v>PLc1125</v>
      </c>
      <c r="B97" s="23" t="str">
        <f>'3.1.raw'!L561</f>
        <v>PLc1125</v>
      </c>
      <c r="C97" s="24">
        <f>datevalue(left('3.1.raw'!O561,10))</f>
        <v>43809</v>
      </c>
      <c r="D97" s="23">
        <f>'3.1.raw'!I561</f>
        <v>11</v>
      </c>
      <c r="E97" s="1">
        <v>3.09999999999999</v>
      </c>
      <c r="F97" s="23" t="b">
        <f>if(countif(Status!C:C,A97)=1,TRUE, FALSE)</f>
        <v>1</v>
      </c>
      <c r="G97" s="1">
        <f t="shared" si="2"/>
        <v>1</v>
      </c>
      <c r="H97" s="1">
        <f>'3.1.raw'!Z561</f>
        <v>78</v>
      </c>
      <c r="J97" s="1" t="str">
        <f>'3.1.raw'!AK561</f>
        <v>Red colony count: 1:10^4 -110; 1:10^5 - 15; 1:10^6 - 2, Each sample vol tested 1ml</v>
      </c>
    </row>
    <row r="98">
      <c r="A98" s="23" t="str">
        <f t="shared" si="3"/>
        <v>PLc1124</v>
      </c>
      <c r="B98" s="23" t="str">
        <f>'3.1.raw'!L559</f>
        <v>PLc1124</v>
      </c>
      <c r="C98" s="24">
        <f>datevalue(left('3.1.raw'!O559,10))</f>
        <v>43809</v>
      </c>
      <c r="D98" s="23">
        <f>'3.1.raw'!I559</f>
        <v>11</v>
      </c>
      <c r="E98" s="1">
        <v>3.09999999999999</v>
      </c>
      <c r="F98" s="23" t="b">
        <f>if(countif(Status!C:C,A98)=1,TRUE, FALSE)</f>
        <v>1</v>
      </c>
      <c r="G98" s="1" t="str">
        <f t="shared" si="2"/>
        <v/>
      </c>
      <c r="H98" s="1" t="str">
        <f>'3.1.raw'!Z559</f>
        <v/>
      </c>
      <c r="J98" s="1" t="str">
        <f>'3.1.raw'!AK559</f>
        <v>Red colony count: 1:10^4 - TNTC; 1:10^5 - 52; 1:10^6 - 5, Each sample vol tested 1ml</v>
      </c>
    </row>
    <row r="99">
      <c r="A99" s="23" t="str">
        <f t="shared" si="3"/>
        <v>PLc8123</v>
      </c>
      <c r="B99" s="23" t="str">
        <f>'3.1.raw'!L557</f>
        <v>PLc8123</v>
      </c>
      <c r="C99" s="24">
        <f>datevalue(left('3.1.raw'!O557,10))</f>
        <v>43809</v>
      </c>
      <c r="D99" s="23">
        <f>'3.1.raw'!I557</f>
        <v>11</v>
      </c>
      <c r="E99" s="1">
        <v>3.09999999999999</v>
      </c>
      <c r="F99" s="23" t="b">
        <f>if(countif(Status!C:C,A99)=1,TRUE, FALSE)</f>
        <v>1</v>
      </c>
      <c r="G99" s="1" t="str">
        <f t="shared" si="2"/>
        <v/>
      </c>
      <c r="H99" s="1" t="str">
        <f>'3.1.raw'!Z557</f>
        <v/>
      </c>
      <c r="J99" s="1" t="str">
        <f>'3.1.raw'!AK557</f>
        <v>Red colony count: 1:10^4 - TNTC; 1:10^5 - TNTC; 1:10^6 - 75, Each sample vol tested 1ml</v>
      </c>
    </row>
    <row r="100">
      <c r="A100" s="23" t="str">
        <f t="shared" si="3"/>
        <v>PLc8122</v>
      </c>
      <c r="B100" s="23" t="str">
        <f>'3.1.raw'!L555</f>
        <v>PLc8122</v>
      </c>
      <c r="C100" s="24">
        <f>datevalue(left('3.1.raw'!O555,10))</f>
        <v>43809</v>
      </c>
      <c r="D100" s="23">
        <f>'3.1.raw'!I555</f>
        <v>11</v>
      </c>
      <c r="E100" s="1">
        <v>3.09999999999999</v>
      </c>
      <c r="F100" s="23" t="b">
        <f>if(countif(Status!C:C,A100)=1,TRUE, FALSE)</f>
        <v>1</v>
      </c>
      <c r="G100" s="1">
        <f t="shared" si="2"/>
        <v>1</v>
      </c>
      <c r="H100" s="1">
        <f>'3.1.raw'!Z555</f>
        <v>69</v>
      </c>
      <c r="J100" s="1" t="str">
        <f>'3.1.raw'!AK555</f>
        <v>Red colony count: 1:10^4 - TNTC; 1:10^5 - 68; 1:10^6 - 46, Each sample vol tested 1ml</v>
      </c>
    </row>
    <row r="101">
      <c r="A101" s="23" t="str">
        <f t="shared" si="3"/>
        <v>PLc1121</v>
      </c>
      <c r="B101" s="23" t="str">
        <f>'3.1.raw'!L550</f>
        <v>PLc1121</v>
      </c>
      <c r="C101" s="24">
        <f>datevalue(left('3.1.raw'!O550,10))</f>
        <v>43808</v>
      </c>
      <c r="D101" s="23">
        <f>'3.1.raw'!I550</f>
        <v>11</v>
      </c>
      <c r="E101" s="1">
        <v>3.09999999999999</v>
      </c>
      <c r="F101" s="23" t="b">
        <f>if(countif(Status!C:C,A101)=1,TRUE, FALSE)</f>
        <v>1</v>
      </c>
      <c r="G101" s="1" t="str">
        <f t="shared" si="2"/>
        <v/>
      </c>
      <c r="H101" s="1" t="str">
        <f>'3.1.raw'!Z550</f>
        <v/>
      </c>
      <c r="J101" s="1" t="str">
        <f>'3.1.raw'!AK550</f>
        <v>Red colony count: 1:10^4 - TNTC; 1:10^5 - 129; 1:10^6 - 85, Each sample vol tested 1ml</v>
      </c>
    </row>
    <row r="102">
      <c r="A102" s="23" t="str">
        <f t="shared" si="3"/>
        <v>PLc1120</v>
      </c>
      <c r="B102" s="23" t="str">
        <f>'3.1.raw'!L548</f>
        <v>PLc1120</v>
      </c>
      <c r="C102" s="24">
        <f>datevalue(left('3.1.raw'!O548,10))</f>
        <v>43808</v>
      </c>
      <c r="D102" s="23">
        <f>'3.1.raw'!I548</f>
        <v>11</v>
      </c>
      <c r="E102" s="1">
        <v>3.09999999999999</v>
      </c>
      <c r="F102" s="23" t="b">
        <f>if(countif(Status!C:C,A102)=1,TRUE, FALSE)</f>
        <v>1</v>
      </c>
      <c r="G102" s="1">
        <f t="shared" si="2"/>
        <v>1</v>
      </c>
      <c r="H102" s="1">
        <f>'3.1.raw'!Z548</f>
        <v>1</v>
      </c>
      <c r="J102" s="1" t="str">
        <f>'3.1.raw'!AK548</f>
        <v>Red colony count: 1:10^4 - 0; 1:10^5 - 0; 1:10^6 - 00, Each sample vol tested 1ml</v>
      </c>
    </row>
    <row r="103">
      <c r="A103" s="23" t="str">
        <f t="shared" si="3"/>
        <v>PLc1119</v>
      </c>
      <c r="B103" s="23" t="str">
        <f>'3.1.raw'!L546</f>
        <v>PLc1119</v>
      </c>
      <c r="C103" s="24">
        <f>datevalue(left('3.1.raw'!O546,10))</f>
        <v>43808</v>
      </c>
      <c r="D103" s="23">
        <f>'3.1.raw'!I546</f>
        <v>11</v>
      </c>
      <c r="E103" s="1">
        <v>3.09999999999999</v>
      </c>
      <c r="F103" s="23" t="b">
        <f>if(countif(Status!C:C,A103)=1,TRUE, FALSE)</f>
        <v>1</v>
      </c>
      <c r="G103" s="1" t="str">
        <f t="shared" si="2"/>
        <v/>
      </c>
      <c r="H103" s="1" t="str">
        <f>'3.1.raw'!Z546</f>
        <v/>
      </c>
      <c r="J103" s="1" t="str">
        <f>'3.1.raw'!AK546</f>
        <v>Red colony count: 1:10^4 - TNTC; 1:10^5 - 123; 1:10^6 - 30, Each sample vol tested 1ml</v>
      </c>
    </row>
    <row r="104">
      <c r="A104" s="23" t="str">
        <f t="shared" si="3"/>
        <v>PLc1118</v>
      </c>
      <c r="B104" s="23" t="str">
        <f>'3.1.raw'!L544</f>
        <v>PLc1118</v>
      </c>
      <c r="C104" s="24">
        <f>datevalue(left('3.1.raw'!O544,10))</f>
        <v>43808</v>
      </c>
      <c r="D104" s="23">
        <f>'3.1.raw'!I544</f>
        <v>11</v>
      </c>
      <c r="E104" s="1">
        <v>3.09999999999999</v>
      </c>
      <c r="F104" s="23" t="b">
        <f>if(countif(Status!C:C,A104)=1,TRUE, FALSE)</f>
        <v>1</v>
      </c>
      <c r="G104" s="1">
        <f t="shared" si="2"/>
        <v>1</v>
      </c>
      <c r="H104" s="1">
        <f>'3.1.raw'!Z544</f>
        <v>1</v>
      </c>
      <c r="J104" s="1" t="str">
        <f>'3.1.raw'!AK544</f>
        <v>Red colony count: 1:10^4 - 4; 1:10^5 - 0; 1:10^6 - 00, Each sample vol tested 1ml</v>
      </c>
    </row>
    <row r="105">
      <c r="A105" s="23" t="str">
        <f t="shared" si="3"/>
        <v>PLc1117</v>
      </c>
      <c r="B105" s="23" t="str">
        <f>'3.1.raw'!L541</f>
        <v>PLc1117</v>
      </c>
      <c r="C105" s="24">
        <f>datevalue(left('3.1.raw'!O541,10))</f>
        <v>43805</v>
      </c>
      <c r="D105" s="23">
        <f>'3.1.raw'!I541</f>
        <v>11</v>
      </c>
      <c r="E105" s="1">
        <v>3.09999999999999</v>
      </c>
      <c r="F105" s="23" t="b">
        <f>if(countif(Status!C:C,A105)=1,TRUE, FALSE)</f>
        <v>1</v>
      </c>
      <c r="G105" s="1">
        <f t="shared" si="2"/>
        <v>1</v>
      </c>
      <c r="H105" s="1">
        <f>'3.1.raw'!Z541</f>
        <v>34</v>
      </c>
      <c r="J105" s="1" t="str">
        <f>'3.1.raw'!AK541</f>
        <v>Red colony count: 1:10^4 - 27; 1:10^5 - 4; 1:10^6 - 1, Each sample vol tested 1ml</v>
      </c>
    </row>
    <row r="106">
      <c r="A106" s="23" t="str">
        <f t="shared" si="3"/>
        <v>PLc1116</v>
      </c>
      <c r="B106" s="23" t="str">
        <f>'3.1.raw'!L537</f>
        <v>PLc1116</v>
      </c>
      <c r="C106" s="24">
        <f>datevalue(left('3.1.raw'!O537,10))</f>
        <v>43805</v>
      </c>
      <c r="D106" s="23">
        <f>'3.1.raw'!I537</f>
        <v>11</v>
      </c>
      <c r="E106" s="1">
        <v>3.09999999999999</v>
      </c>
      <c r="F106" s="23" t="b">
        <f>if(countif(Status!C:C,A106)=1,TRUE, FALSE)</f>
        <v>1</v>
      </c>
      <c r="G106" s="1" t="str">
        <f t="shared" si="2"/>
        <v/>
      </c>
      <c r="H106" s="1" t="str">
        <f>'3.1.raw'!Z537</f>
        <v/>
      </c>
      <c r="J106" s="1" t="str">
        <f>'3.1.raw'!AK537</f>
        <v>Red colony count: 1:10^4 -TDTC; 1:10^5 - TDTC; 1:10^6 - 65, Each sample vol tested 1ml</v>
      </c>
    </row>
    <row r="107">
      <c r="A107" s="23" t="str">
        <f t="shared" si="3"/>
        <v>PLc1115</v>
      </c>
      <c r="B107" s="23" t="str">
        <f>'3.1.raw'!L535</f>
        <v>PLc1115</v>
      </c>
      <c r="C107" s="24">
        <f>datevalue(left('3.1.raw'!O535,10))</f>
        <v>43805</v>
      </c>
      <c r="D107" s="23">
        <f>'3.1.raw'!I535</f>
        <v>11</v>
      </c>
      <c r="E107" s="1">
        <v>3.09999999999999</v>
      </c>
      <c r="F107" s="23" t="b">
        <f>if(countif(Status!C:C,A107)=1,TRUE, FALSE)</f>
        <v>1</v>
      </c>
      <c r="G107" s="1">
        <f t="shared" si="2"/>
        <v>1</v>
      </c>
      <c r="H107" s="1">
        <f>'3.1.raw'!Z535</f>
        <v>2</v>
      </c>
      <c r="J107" s="1" t="str">
        <f>'3.1.raw'!AK535</f>
        <v>Red colony count: 1:10^4 - 2; 1:10^5 - 1; 1:10^6 - 00, Each sample vol tested 1ml</v>
      </c>
    </row>
    <row r="108">
      <c r="A108" s="23" t="str">
        <f t="shared" si="3"/>
        <v>PLc1114</v>
      </c>
      <c r="B108" s="23" t="str">
        <f>'3.1.raw'!L539</f>
        <v>PLc1114</v>
      </c>
      <c r="C108" s="24">
        <f>datevalue(left('3.1.raw'!O539,10))</f>
        <v>43805</v>
      </c>
      <c r="D108" s="23">
        <f>'3.1.raw'!I539</f>
        <v>11</v>
      </c>
      <c r="E108" s="1">
        <v>3.09999999999999</v>
      </c>
      <c r="F108" s="23" t="b">
        <f>if(countif(Status!C:C,A108)=1,TRUE, FALSE)</f>
        <v>1</v>
      </c>
      <c r="G108" s="1">
        <f t="shared" si="2"/>
        <v>1</v>
      </c>
      <c r="H108" s="1">
        <f>'3.1.raw'!Z539</f>
        <v>85</v>
      </c>
      <c r="J108" s="1" t="str">
        <f>'3.1.raw'!AK539</f>
        <v>Red colony count: 1:10^4 -28; 1:10^5 - 7; 1:10^6 - 1, Each sample vol tested 1ml</v>
      </c>
    </row>
    <row r="109">
      <c r="A109" s="23" t="str">
        <f t="shared" si="3"/>
        <v>PLc1113</v>
      </c>
      <c r="B109" s="23" t="str">
        <f>'3.1.raw'!L532</f>
        <v>PLc1113</v>
      </c>
      <c r="C109" s="24">
        <f>datevalue(left('3.1.raw'!O532,10))</f>
        <v>43804</v>
      </c>
      <c r="D109" s="23">
        <f>'3.1.raw'!I532</f>
        <v>11</v>
      </c>
      <c r="E109" s="1">
        <v>3.09999999999999</v>
      </c>
      <c r="F109" s="23" t="b">
        <f>if(countif(Status!C:C,A109)=1,TRUE, FALSE)</f>
        <v>1</v>
      </c>
      <c r="G109" s="1">
        <f t="shared" si="2"/>
        <v>1</v>
      </c>
      <c r="H109" s="1">
        <f>'3.1.raw'!Z532</f>
        <v>67</v>
      </c>
      <c r="J109" s="1" t="str">
        <f>'3.1.raw'!AK532</f>
        <v>Red colony count: 1:10^4 - 65; 1:10^5 - 4; 1:10^6 - 00, Each sample vol tested 1ml</v>
      </c>
    </row>
    <row r="110">
      <c r="A110" s="23" t="str">
        <f t="shared" si="3"/>
        <v>PLc1112</v>
      </c>
      <c r="B110" s="23" t="str">
        <f>'3.1.raw'!L530</f>
        <v>PLc1112</v>
      </c>
      <c r="C110" s="24">
        <f>datevalue(left('3.1.raw'!O530,10))</f>
        <v>43804</v>
      </c>
      <c r="D110" s="23">
        <f>'3.1.raw'!I530</f>
        <v>11</v>
      </c>
      <c r="E110" s="1">
        <v>3.09999999999999</v>
      </c>
      <c r="F110" s="23" t="b">
        <f>if(countif(Status!C:C,A110)=1,TRUE, FALSE)</f>
        <v>1</v>
      </c>
      <c r="G110" s="1">
        <f t="shared" si="2"/>
        <v>1</v>
      </c>
      <c r="H110" s="1">
        <f>'3.1.raw'!Z530</f>
        <v>5</v>
      </c>
      <c r="J110" s="1" t="str">
        <f>'3.1.raw'!AK530</f>
        <v>Red colony count: 1:10^4 - 12; 1:10^5 - 1; 1:10^6 - 00, Each sample vol tested 1ml</v>
      </c>
    </row>
    <row r="111">
      <c r="A111" s="23" t="str">
        <f t="shared" si="3"/>
        <v>PLc1110</v>
      </c>
      <c r="B111" s="23" t="str">
        <f>'3.1.raw'!L526</f>
        <v>PLc1110</v>
      </c>
      <c r="C111" s="24">
        <f>datevalue(left('3.1.raw'!O526,10))</f>
        <v>43804</v>
      </c>
      <c r="D111" s="23">
        <f>'3.1.raw'!I526</f>
        <v>11</v>
      </c>
      <c r="E111" s="1">
        <v>3.09999999999999</v>
      </c>
      <c r="F111" s="23" t="b">
        <f>if(countif(Status!C:C,A111)=1,TRUE, FALSE)</f>
        <v>1</v>
      </c>
      <c r="G111" s="1">
        <f t="shared" si="2"/>
        <v>0</v>
      </c>
      <c r="H111" s="1">
        <f>'3.1.raw'!Z526</f>
        <v>0</v>
      </c>
      <c r="J111" s="1" t="str">
        <f>'3.1.raw'!AK526</f>
        <v>Red colony count: 1:10^4 -15; 1:10^5 - 2; 1:10^6 - 00, Each sample vol tested 1ml</v>
      </c>
    </row>
    <row r="112">
      <c r="A112" s="49" t="s">
        <v>321</v>
      </c>
      <c r="B112" s="23" t="str">
        <f>'3.1.raw'!L528</f>
        <v>PLc111</v>
      </c>
      <c r="C112" s="24">
        <f>datevalue(left('3.1.raw'!O528,10))</f>
        <v>43804</v>
      </c>
      <c r="D112" s="23">
        <f>'3.1.raw'!I528</f>
        <v>11</v>
      </c>
      <c r="E112" s="1">
        <v>3.09999999999999</v>
      </c>
      <c r="F112" s="23" t="b">
        <f>if(countif(Status!C:C,A112)=1,TRUE, FALSE)</f>
        <v>1</v>
      </c>
      <c r="G112" s="1">
        <f t="shared" si="2"/>
        <v>0</v>
      </c>
      <c r="H112" s="1">
        <f>'3.1.raw'!Z528</f>
        <v>0</v>
      </c>
      <c r="J112" s="1" t="str">
        <f>'3.1.raw'!AK528</f>
        <v>Red colony count: 1:10^4 -00; 1:10^5 - 00; 1:10^6 - 00, Each sample vol tested 1ml</v>
      </c>
    </row>
    <row r="113">
      <c r="A113" s="23" t="str">
        <f t="shared" ref="A113:A227" si="4">SUBSTITUTE(B113, " ", "")</f>
        <v>PLc1109</v>
      </c>
      <c r="B113" s="23" t="str">
        <f>'3.1.raw'!L519</f>
        <v>PLc1109</v>
      </c>
      <c r="C113" s="24">
        <f>datevalue(left('3.1.raw'!O519,10))</f>
        <v>43802</v>
      </c>
      <c r="D113" s="23">
        <f>'3.1.raw'!I519</f>
        <v>11</v>
      </c>
      <c r="E113" s="1">
        <v>3.09999999999999</v>
      </c>
      <c r="F113" s="23" t="b">
        <f>if(countif(Status!C:C,A113)=1,TRUE, FALSE)</f>
        <v>1</v>
      </c>
      <c r="G113" s="1">
        <f t="shared" si="2"/>
        <v>1</v>
      </c>
      <c r="H113" s="1">
        <f>'3.1.raw'!Z519</f>
        <v>18</v>
      </c>
      <c r="J113" s="1" t="str">
        <f>'3.1.raw'!AK519</f>
        <v>Red colony count: 1:10^4 -88; 1:10^5 - 8; 1:10^6 - 00, Each sample vol tested 1ml</v>
      </c>
    </row>
    <row r="114">
      <c r="A114" s="23" t="str">
        <f t="shared" si="4"/>
        <v>PLc1108</v>
      </c>
      <c r="B114" s="23" t="str">
        <f>'3.1.raw'!L517</f>
        <v>PLc1108</v>
      </c>
      <c r="C114" s="24">
        <f>datevalue(left('3.1.raw'!O517,10))</f>
        <v>43802</v>
      </c>
      <c r="D114" s="23">
        <f>'3.1.raw'!I517</f>
        <v>11</v>
      </c>
      <c r="E114" s="1">
        <v>3.09999999999999</v>
      </c>
      <c r="F114" s="23" t="b">
        <f>if(countif(Status!C:C,A114)=1,TRUE, FALSE)</f>
        <v>1</v>
      </c>
      <c r="G114" s="1">
        <f t="shared" si="2"/>
        <v>1</v>
      </c>
      <c r="H114" s="1">
        <f>'3.1.raw'!Z517</f>
        <v>7</v>
      </c>
      <c r="J114" s="1" t="str">
        <f>'3.1.raw'!AK517</f>
        <v>Red colony count: 1:10^4 -10; 1:10^5 - 1; 1:10^6 - 00, Each sample vol tested 1ml</v>
      </c>
    </row>
    <row r="115">
      <c r="A115" s="23" t="str">
        <f t="shared" si="4"/>
        <v>PLc1107</v>
      </c>
      <c r="B115" s="23" t="str">
        <f>'3.1.raw'!L515</f>
        <v>PLc1107</v>
      </c>
      <c r="C115" s="24">
        <f>datevalue(left('3.1.raw'!O515,10))</f>
        <v>43802</v>
      </c>
      <c r="D115" s="23">
        <f>'3.1.raw'!I515</f>
        <v>11</v>
      </c>
      <c r="E115" s="1">
        <v>3.09999999999999</v>
      </c>
      <c r="F115" s="23" t="b">
        <f>if(countif(Status!C:C,A115)=1,TRUE, FALSE)</f>
        <v>1</v>
      </c>
      <c r="G115" s="1">
        <f t="shared" si="2"/>
        <v>1</v>
      </c>
      <c r="H115" s="1">
        <f>'3.1.raw'!Z515</f>
        <v>9</v>
      </c>
      <c r="J115" s="1" t="str">
        <f>'3.1.raw'!AK515</f>
        <v>Red colony count: 1:10^4 - 7; 1:10^5 - 00; 1:10^6 - 00, Each sample vol tested 1ml</v>
      </c>
    </row>
    <row r="116">
      <c r="A116" s="23" t="str">
        <f t="shared" si="4"/>
        <v>PLc1106</v>
      </c>
      <c r="B116" s="23" t="str">
        <f>'3.1.raw'!L510</f>
        <v>PLc1106</v>
      </c>
      <c r="C116" s="24">
        <f>datevalue(left('3.1.raw'!O510,10))</f>
        <v>43801</v>
      </c>
      <c r="D116" s="23">
        <f>'3.1.raw'!I510</f>
        <v>11</v>
      </c>
      <c r="E116" s="1">
        <v>3.09999999999999</v>
      </c>
      <c r="F116" s="23" t="b">
        <f>if(countif(Status!C:C,A116)=1,TRUE, FALSE)</f>
        <v>1</v>
      </c>
      <c r="G116" s="1" t="str">
        <f t="shared" si="2"/>
        <v/>
      </c>
      <c r="H116" s="1" t="str">
        <f>'3.1.raw'!Z510</f>
        <v/>
      </c>
      <c r="J116" s="1" t="str">
        <f>'3.1.raw'!AK510</f>
        <v>Red colony count: 1:10^4 - TDTC; 1:10^5 - TNTC; 1:10^6 - 35, Each sample vol tested 1ml</v>
      </c>
    </row>
    <row r="117">
      <c r="A117" s="23" t="str">
        <f t="shared" si="4"/>
        <v>PLc1105</v>
      </c>
      <c r="B117" s="23" t="str">
        <f>'3.1.raw'!L508</f>
        <v>PLc1105</v>
      </c>
      <c r="C117" s="24">
        <f>datevalue(left('3.1.raw'!O508,10))</f>
        <v>43801</v>
      </c>
      <c r="D117" s="23">
        <f>'3.1.raw'!I508</f>
        <v>11</v>
      </c>
      <c r="E117" s="1">
        <v>3.09999999999999</v>
      </c>
      <c r="F117" s="23" t="b">
        <f>if(countif(Status!C:C,A117)=1,TRUE, FALSE)</f>
        <v>1</v>
      </c>
      <c r="G117" s="1">
        <f t="shared" si="2"/>
        <v>1</v>
      </c>
      <c r="H117" s="1">
        <f>'3.1.raw'!Z508</f>
        <v>14</v>
      </c>
      <c r="J117" s="1" t="str">
        <f>'3.1.raw'!AK508</f>
        <v>Red colony count: 1:10^4 -13; 1:10^5 - 1; 1:10^6 - 1, Each sample vol tested 1ml</v>
      </c>
    </row>
    <row r="118">
      <c r="A118" s="23" t="str">
        <f t="shared" si="4"/>
        <v>PLc1104</v>
      </c>
      <c r="B118" s="23" t="str">
        <f>'3.1.raw'!L505</f>
        <v>PLc1104</v>
      </c>
      <c r="C118" s="24">
        <f>datevalue(left('3.1.raw'!O505,10))</f>
        <v>43798</v>
      </c>
      <c r="D118" s="23">
        <f>'3.1.raw'!I505</f>
        <v>11</v>
      </c>
      <c r="E118" s="1">
        <v>3.09999999999999</v>
      </c>
      <c r="F118" s="23" t="b">
        <f>if(countif(Status!C:C,A118)=1,TRUE, FALSE)</f>
        <v>1</v>
      </c>
      <c r="G118" s="1">
        <f t="shared" si="2"/>
        <v>1</v>
      </c>
      <c r="H118" s="1">
        <f>'3.1.raw'!Z505</f>
        <v>1</v>
      </c>
      <c r="J118" s="1" t="str">
        <f>'3.1.raw'!AK505</f>
        <v>Red colony count: 1:10^4 -7; 1:10^5 - 3; 1:10^6 - 00, Each sample vol tested 1ml</v>
      </c>
    </row>
    <row r="119">
      <c r="A119" s="23" t="str">
        <f t="shared" si="4"/>
        <v>PLc1103</v>
      </c>
      <c r="B119" s="23" t="str">
        <f>'3.1.raw'!L503</f>
        <v>PLc1103</v>
      </c>
      <c r="C119" s="24">
        <f>datevalue(left('3.1.raw'!O503,10))</f>
        <v>43798</v>
      </c>
      <c r="D119" s="23">
        <f>'3.1.raw'!I503</f>
        <v>11</v>
      </c>
      <c r="E119" s="1">
        <v>3.09999999999999</v>
      </c>
      <c r="F119" s="23" t="b">
        <f>if(countif(Status!C:C,A119)=1,TRUE, FALSE)</f>
        <v>1</v>
      </c>
      <c r="G119" s="1">
        <f t="shared" si="2"/>
        <v>1</v>
      </c>
      <c r="H119" s="1">
        <f>'3.1.raw'!Z503</f>
        <v>1</v>
      </c>
      <c r="J119" s="1" t="str">
        <f>'3.1.raw'!AK503</f>
        <v>Red colony count: 1:10^4 - 00; 1:10^5 - 00; 1:10^6 - 00, Each sample vol tested 1ml</v>
      </c>
    </row>
    <row r="120">
      <c r="A120" s="23" t="str">
        <f t="shared" si="4"/>
        <v>PLc1102</v>
      </c>
      <c r="B120" s="23" t="str">
        <f>'3.1.raw'!L501</f>
        <v>PLc1102</v>
      </c>
      <c r="C120" s="24">
        <f>datevalue(left('3.1.raw'!O501,10))</f>
        <v>43798</v>
      </c>
      <c r="D120" s="23">
        <f>'3.1.raw'!I501</f>
        <v>11</v>
      </c>
      <c r="E120" s="1">
        <v>3.09999999999999</v>
      </c>
      <c r="F120" s="23" t="b">
        <f>if(countif(Status!C:C,A120)=1,TRUE, FALSE)</f>
        <v>1</v>
      </c>
      <c r="G120" s="1">
        <f t="shared" si="2"/>
        <v>0</v>
      </c>
      <c r="H120" s="1">
        <f>'3.1.raw'!Z501</f>
        <v>0</v>
      </c>
      <c r="J120" s="1" t="str">
        <f>'3.1.raw'!AK501</f>
        <v>Red colony count: 1:10^4 - 00; 1:10^5 - 00; 1:10^6 - 00, Each sample vol tested 1ml</v>
      </c>
    </row>
    <row r="121">
      <c r="A121" s="23" t="str">
        <f t="shared" si="4"/>
        <v>PLc1101</v>
      </c>
      <c r="B121" s="23" t="str">
        <f>'3.1.raw'!L496</f>
        <v>PLc1101</v>
      </c>
      <c r="C121" s="24">
        <f>datevalue(left('3.1.raw'!O496,10))</f>
        <v>43797</v>
      </c>
      <c r="D121" s="23">
        <f>'3.1.raw'!I496</f>
        <v>11</v>
      </c>
      <c r="E121" s="1">
        <v>3.09999999999999</v>
      </c>
      <c r="F121" s="23" t="b">
        <f>if(countif(Status!C:C,A121)=1,TRUE, FALSE)</f>
        <v>1</v>
      </c>
      <c r="G121" s="1">
        <f t="shared" si="2"/>
        <v>1</v>
      </c>
      <c r="H121" s="1">
        <f>'3.1.raw'!Z496</f>
        <v>24</v>
      </c>
      <c r="J121" s="1" t="str">
        <f>'3.1.raw'!AK496</f>
        <v>Red colony count: 1:10^4 -68; 1:10^5 - 10; 1:10^6 - 02, Each sample vol tested 1ml</v>
      </c>
    </row>
    <row r="122">
      <c r="A122" s="23" t="str">
        <f t="shared" si="4"/>
        <v>PLc1100</v>
      </c>
      <c r="B122" s="23" t="str">
        <f>'3.1.raw'!L494</f>
        <v>PLc1100</v>
      </c>
      <c r="C122" s="24">
        <f>datevalue(left('3.1.raw'!O494,10))</f>
        <v>43797</v>
      </c>
      <c r="D122" s="23">
        <f>'3.1.raw'!I494</f>
        <v>11</v>
      </c>
      <c r="E122" s="1">
        <v>3.09999999999999</v>
      </c>
      <c r="F122" s="23" t="b">
        <f>if(countif(Status!C:C,A122)=1,TRUE, FALSE)</f>
        <v>1</v>
      </c>
      <c r="G122" s="1">
        <f t="shared" si="2"/>
        <v>0</v>
      </c>
      <c r="H122" s="1">
        <f>'3.1.raw'!Z494</f>
        <v>0</v>
      </c>
      <c r="J122" s="1" t="str">
        <f>'3.1.raw'!AK494</f>
        <v>Red colony count: 1:10^4 - 18; 1:10^5 - 2; 1:10^6 - 01, Each sample vol tested 1ml</v>
      </c>
    </row>
    <row r="123">
      <c r="A123" s="23" t="str">
        <f t="shared" si="4"/>
        <v>PLc1099</v>
      </c>
      <c r="B123" s="23" t="str">
        <f>'3.1.raw'!L483</f>
        <v>PLc1099</v>
      </c>
      <c r="C123" s="24">
        <f>datevalue(left('3.1.raw'!O483,10))</f>
        <v>43795</v>
      </c>
      <c r="D123" s="23">
        <f>'3.1.raw'!I483</f>
        <v>11</v>
      </c>
      <c r="E123" s="1">
        <v>3.09999999999999</v>
      </c>
      <c r="F123" s="23" t="b">
        <f>if(countif(Status!C:C,A123)=1,TRUE, FALSE)</f>
        <v>1</v>
      </c>
      <c r="G123" s="1">
        <f t="shared" si="2"/>
        <v>1</v>
      </c>
      <c r="H123" s="1">
        <f>'3.1.raw'!Z483</f>
        <v>13</v>
      </c>
      <c r="J123" s="1" t="str">
        <f>'3.1.raw'!AK483</f>
        <v>Red colony count: 1:10^4 -12; 1:10^5 - 00; 1:10^6 - 00, Each sample vol tested 1ml</v>
      </c>
    </row>
    <row r="124">
      <c r="A124" s="23" t="str">
        <f t="shared" si="4"/>
        <v>PLc1098</v>
      </c>
      <c r="B124" s="23" t="str">
        <f>'3.1.raw'!L481</f>
        <v>PLc1098</v>
      </c>
      <c r="C124" s="24">
        <f>datevalue(left('3.1.raw'!O481,10))</f>
        <v>43795</v>
      </c>
      <c r="D124" s="23">
        <f>'3.1.raw'!I481</f>
        <v>11</v>
      </c>
      <c r="E124" s="1">
        <v>3.09999999999999</v>
      </c>
      <c r="F124" s="23" t="b">
        <f>if(countif(Status!C:C,A124)=1,TRUE, FALSE)</f>
        <v>1</v>
      </c>
      <c r="G124" s="1">
        <f t="shared" si="2"/>
        <v>1</v>
      </c>
      <c r="H124" s="1">
        <f>'3.1.raw'!Z481</f>
        <v>98</v>
      </c>
      <c r="J124" s="1" t="str">
        <f>'3.1.raw'!AK481</f>
        <v>Red colony count: 1:10^4 - 110; 1:10^5 - 20; 1:10^6 - 1, Each sample vol tested 1ml</v>
      </c>
    </row>
    <row r="125">
      <c r="A125" s="23" t="str">
        <f t="shared" si="4"/>
        <v>PLc1097</v>
      </c>
      <c r="B125" s="23" t="str">
        <f>'3.1.raw'!L479</f>
        <v>PLc1097</v>
      </c>
      <c r="C125" s="24">
        <f>datevalue(left('3.1.raw'!O479,10))</f>
        <v>43795</v>
      </c>
      <c r="D125" s="23">
        <f>'3.1.raw'!I479</f>
        <v>11</v>
      </c>
      <c r="E125" s="1">
        <v>3.09999999999999</v>
      </c>
      <c r="F125" s="23" t="b">
        <f>if(countif(Status!C:C,A125)=1,TRUE, FALSE)</f>
        <v>1</v>
      </c>
      <c r="G125" s="1" t="str">
        <f t="shared" si="2"/>
        <v/>
      </c>
      <c r="H125" s="1" t="str">
        <f>'3.1.raw'!Z479</f>
        <v/>
      </c>
      <c r="J125" s="1" t="str">
        <f>'3.1.raw'!AK479</f>
        <v>Red colony count: 1:10^4 - TNTC; 1:10^5 - TNTC; 1:10^6 - 45, Each sample vol tested 1ml</v>
      </c>
    </row>
    <row r="126">
      <c r="A126" s="23" t="str">
        <f t="shared" si="4"/>
        <v>PLc1096</v>
      </c>
      <c r="B126" s="23" t="str">
        <f>'3.1.raw'!L474</f>
        <v>PLc1096</v>
      </c>
      <c r="C126" s="24">
        <f>datevalue(left('3.1.raw'!O474,10))</f>
        <v>43794</v>
      </c>
      <c r="D126" s="23">
        <f>'3.1.raw'!I474</f>
        <v>11</v>
      </c>
      <c r="E126" s="1">
        <v>3.09999999999999</v>
      </c>
      <c r="F126" s="23" t="b">
        <f>if(countif(Status!C:C,A126)=1,TRUE, FALSE)</f>
        <v>1</v>
      </c>
      <c r="G126" s="1">
        <f t="shared" si="2"/>
        <v>1</v>
      </c>
      <c r="H126" s="1">
        <f>'3.1.raw'!Z474</f>
        <v>12</v>
      </c>
      <c r="J126" s="1" t="str">
        <f>'3.1.raw'!AK474</f>
        <v>Red colony count: 1:10^4 - TNTC; 1:10^5 - 88; 1:10^6 - 06, Each sample vol tested 1ml</v>
      </c>
    </row>
    <row r="127">
      <c r="A127" s="23" t="str">
        <f t="shared" si="4"/>
        <v>PLc1095</v>
      </c>
      <c r="B127" s="23" t="str">
        <f>'3.1.raw'!L472</f>
        <v>PLc1095</v>
      </c>
      <c r="C127" s="24">
        <f>datevalue(left('3.1.raw'!O472,10))</f>
        <v>43794</v>
      </c>
      <c r="D127" s="23">
        <f>'3.1.raw'!I472</f>
        <v>11</v>
      </c>
      <c r="E127" s="1">
        <v>3.09999999999999</v>
      </c>
      <c r="F127" s="23" t="b">
        <f>if(countif(Status!C:C,A127)=1,TRUE, FALSE)</f>
        <v>1</v>
      </c>
      <c r="G127" s="1">
        <f t="shared" si="2"/>
        <v>0</v>
      </c>
      <c r="H127" s="1">
        <f>'3.1.raw'!Z472</f>
        <v>0</v>
      </c>
      <c r="J127" s="1" t="str">
        <f>'3.1.raw'!AK472</f>
        <v>Red colony count: 1:10^4 -00; 1:10^5 - 00; 1:10^6 - 00, Each sample vol tested 1ml</v>
      </c>
    </row>
    <row r="128">
      <c r="A128" s="23" t="str">
        <f t="shared" si="4"/>
        <v>PLc1094</v>
      </c>
      <c r="B128" s="23" t="str">
        <f>'3.1.raw'!L469</f>
        <v>PLc1094</v>
      </c>
      <c r="C128" s="24">
        <f>datevalue(left('3.1.raw'!O469,10))</f>
        <v>43791</v>
      </c>
      <c r="D128" s="23">
        <f>'3.1.raw'!I469</f>
        <v>11</v>
      </c>
      <c r="E128" s="1">
        <v>3.09999999999999</v>
      </c>
      <c r="F128" s="23" t="b">
        <f>if(countif(Status!C:C,A128)=1,TRUE, FALSE)</f>
        <v>1</v>
      </c>
      <c r="G128" s="1">
        <f t="shared" si="2"/>
        <v>1</v>
      </c>
      <c r="H128" s="1">
        <f>'3.1.raw'!Z469</f>
        <v>6</v>
      </c>
      <c r="J128" s="1" t="str">
        <f>'3.1.raw'!AK469</f>
        <v>Red colony count: 1:10^4 - 00; 1:10^5 - 03; 1:10^6 - 00, Each sample vol tested 1ml</v>
      </c>
    </row>
    <row r="129">
      <c r="A129" s="23" t="str">
        <f t="shared" si="4"/>
        <v>PLc1093</v>
      </c>
      <c r="B129" s="23" t="str">
        <f>'3.1.raw'!L467</f>
        <v>PLc1093</v>
      </c>
      <c r="C129" s="24">
        <f>datevalue(left('3.1.raw'!O467,10))</f>
        <v>43791</v>
      </c>
      <c r="D129" s="23">
        <f>'3.1.raw'!I467</f>
        <v>11</v>
      </c>
      <c r="E129" s="1">
        <v>3.09999999999999</v>
      </c>
      <c r="F129" s="23" t="b">
        <f>if(countif(Status!C:C,A129)=1,TRUE, FALSE)</f>
        <v>1</v>
      </c>
      <c r="G129" s="1">
        <f t="shared" si="2"/>
        <v>1</v>
      </c>
      <c r="H129" s="1">
        <f>'3.1.raw'!Z467</f>
        <v>200</v>
      </c>
      <c r="J129" s="1" t="str">
        <f>'3.1.raw'!AK467</f>
        <v>Red colony count: 1:10^4 -16; 1:10^5 - 3; 1:10^6 - 01, Each sample vol tested 1ml</v>
      </c>
    </row>
    <row r="130">
      <c r="A130" s="23" t="str">
        <f t="shared" si="4"/>
        <v>PLc1092</v>
      </c>
      <c r="B130" s="23" t="str">
        <f>'3.1.raw'!L465</f>
        <v>PLc1092</v>
      </c>
      <c r="C130" s="24">
        <f>datevalue(left('3.1.raw'!O465,10))</f>
        <v>43791</v>
      </c>
      <c r="D130" s="23">
        <f>'3.1.raw'!I465</f>
        <v>11</v>
      </c>
      <c r="E130" s="1">
        <v>3.09999999999999</v>
      </c>
      <c r="F130" s="23" t="b">
        <f>if(countif(Status!C:C,A130)=1,TRUE, FALSE)</f>
        <v>1</v>
      </c>
      <c r="G130" s="1" t="str">
        <f t="shared" si="2"/>
        <v/>
      </c>
      <c r="H130" s="1" t="str">
        <f>'3.1.raw'!Z465</f>
        <v/>
      </c>
      <c r="J130" s="1" t="str">
        <f>'3.1.raw'!AK465</f>
        <v>Red colony count: 1:10^4 - 00; 1:10^5 - 00; 1:10^6 - 05, Each sample vol tested 1ml</v>
      </c>
    </row>
    <row r="131">
      <c r="A131" s="23" t="str">
        <f t="shared" si="4"/>
        <v>PLc1091</v>
      </c>
      <c r="B131" s="23" t="str">
        <f>'3.1.raw'!L461</f>
        <v>PLc1091</v>
      </c>
      <c r="C131" s="24">
        <f>datevalue(left('3.1.raw'!O461,10))</f>
        <v>43790</v>
      </c>
      <c r="D131" s="23">
        <f>'3.1.raw'!I461</f>
        <v>11</v>
      </c>
      <c r="E131" s="1">
        <v>3.09999999999999</v>
      </c>
      <c r="F131" s="23" t="b">
        <f>if(countif(Status!C:C,A131)=1,TRUE, FALSE)</f>
        <v>1</v>
      </c>
      <c r="G131" s="1">
        <f t="shared" si="2"/>
        <v>1</v>
      </c>
      <c r="H131" s="1">
        <f>'3.1.raw'!Z461</f>
        <v>1</v>
      </c>
      <c r="J131" s="1" t="str">
        <f>'3.1.raw'!AK461</f>
        <v>Red colony count: 1:10^4 - 06; 1:10^5 - 00; 1:10^6 - 00, Each sample vol tested 1ml</v>
      </c>
    </row>
    <row r="132">
      <c r="A132" s="23" t="str">
        <f t="shared" si="4"/>
        <v>PLc1090</v>
      </c>
      <c r="B132" s="23" t="str">
        <f>'3.1.raw'!L459</f>
        <v>PLc1090</v>
      </c>
      <c r="C132" s="24">
        <f>datevalue(left('3.1.raw'!O459,10))</f>
        <v>43790</v>
      </c>
      <c r="D132" s="23">
        <f>'3.1.raw'!I459</f>
        <v>11</v>
      </c>
      <c r="E132" s="1">
        <v>3.09999999999999</v>
      </c>
      <c r="F132" s="23" t="b">
        <f>if(countif(Status!C:C,A132)=1,TRUE, FALSE)</f>
        <v>1</v>
      </c>
      <c r="G132" s="1">
        <f t="shared" si="2"/>
        <v>1</v>
      </c>
      <c r="H132" s="1">
        <f>'3.1.raw'!Z459</f>
        <v>4</v>
      </c>
      <c r="J132" s="1" t="str">
        <f>'3.1.raw'!AK459</f>
        <v>Red colony count: 1:10^4 - 30; 1:10^5 - 03; 1:10^6 - 00, Each sample vol tested 1ml</v>
      </c>
    </row>
    <row r="133">
      <c r="A133" s="23" t="str">
        <f t="shared" si="4"/>
        <v>PLc1089</v>
      </c>
      <c r="B133" s="23" t="str">
        <f>'3.1.raw'!L457</f>
        <v>PLc1089</v>
      </c>
      <c r="C133" s="24">
        <f>datevalue(left('3.1.raw'!O457,10))</f>
        <v>43790</v>
      </c>
      <c r="D133" s="23">
        <f>'3.1.raw'!I457</f>
        <v>11</v>
      </c>
      <c r="E133" s="1">
        <v>3.09999999999999</v>
      </c>
      <c r="F133" s="23" t="b">
        <f>if(countif(Status!C:C,A133)=1,TRUE, FALSE)</f>
        <v>1</v>
      </c>
      <c r="G133" s="1">
        <f t="shared" si="2"/>
        <v>1</v>
      </c>
      <c r="H133" s="1">
        <f>'3.1.raw'!Z457</f>
        <v>29</v>
      </c>
      <c r="J133" s="1" t="str">
        <f>'3.1.raw'!AK457</f>
        <v>Red colony count: 1:10^4 - 33; 1:10^5 - 02; 1:10^6 - 00, Each sample vol tested 1ml</v>
      </c>
    </row>
    <row r="134">
      <c r="A134" s="23" t="str">
        <f t="shared" si="4"/>
        <v>PLc1088</v>
      </c>
      <c r="B134" s="23" t="str">
        <f>'3.1.raw'!L455</f>
        <v>PLc1088</v>
      </c>
      <c r="C134" s="24">
        <f>datevalue(left('3.1.raw'!O455,10))</f>
        <v>43790</v>
      </c>
      <c r="D134" s="23">
        <f>'3.1.raw'!I455</f>
        <v>11</v>
      </c>
      <c r="E134" s="1">
        <v>3.09999999999999</v>
      </c>
      <c r="F134" s="23" t="b">
        <f>if(countif(Status!C:C,A134)=1,TRUE, FALSE)</f>
        <v>1</v>
      </c>
      <c r="G134" s="1">
        <f t="shared" si="2"/>
        <v>1</v>
      </c>
      <c r="H134" s="1">
        <f>'3.1.raw'!Z455</f>
        <v>101</v>
      </c>
      <c r="J134" s="1" t="str">
        <f>'3.1.raw'!AK455</f>
        <v>Red colony count: 1:10^4 - 110; 1:10^5 - 19; 1:10^6 - 03, Each sample vol tested 1ml</v>
      </c>
    </row>
    <row r="135">
      <c r="A135" s="23" t="str">
        <f t="shared" si="4"/>
        <v>PLc1087</v>
      </c>
      <c r="B135" s="23" t="str">
        <f>'3.1.raw'!L443</f>
        <v>PLc1087</v>
      </c>
      <c r="C135" s="24">
        <f>datevalue(left('3.1.raw'!O443,10))</f>
        <v>43788</v>
      </c>
      <c r="D135" s="23">
        <f>'3.1.raw'!I443</f>
        <v>11</v>
      </c>
      <c r="E135" s="1">
        <v>3.09999999999999</v>
      </c>
      <c r="F135" s="23" t="b">
        <f>if(countif(Status!C:C,A135)=1,TRUE, FALSE)</f>
        <v>1</v>
      </c>
      <c r="G135" s="1">
        <f t="shared" si="2"/>
        <v>1</v>
      </c>
      <c r="H135" s="1">
        <f>'3.1.raw'!Z443</f>
        <v>1</v>
      </c>
      <c r="J135" s="1" t="str">
        <f>'3.1.raw'!AK443</f>
        <v>Red colony count: 1:10^4 - 01; 1:10^5 - 00; 1:10^6 - 00, Each sample vol tested 1ml</v>
      </c>
    </row>
    <row r="136">
      <c r="A136" s="23" t="str">
        <f t="shared" si="4"/>
        <v>PLc1086</v>
      </c>
      <c r="B136" s="23" t="str">
        <f>'3.1.raw'!L441</f>
        <v>PLc1086</v>
      </c>
      <c r="C136" s="24">
        <f>datevalue(left('3.1.raw'!O441,10))</f>
        <v>43788</v>
      </c>
      <c r="D136" s="23">
        <f>'3.1.raw'!I441</f>
        <v>11</v>
      </c>
      <c r="E136" s="1">
        <v>3.09999999999999</v>
      </c>
      <c r="F136" s="23" t="b">
        <f>if(countif(Status!C:C,A136)=1,TRUE, FALSE)</f>
        <v>1</v>
      </c>
      <c r="G136" s="1" t="str">
        <f t="shared" si="2"/>
        <v/>
      </c>
      <c r="H136" s="1" t="str">
        <f>'3.1.raw'!Z441</f>
        <v/>
      </c>
      <c r="J136" s="1" t="str">
        <f>'3.1.raw'!AK441</f>
        <v>Red colony count: 1:10^4 - TNTC; 1:10^5 - 210; 1:10^6 - 46, Each sample vol tested 1ml</v>
      </c>
    </row>
    <row r="137">
      <c r="A137" s="23" t="str">
        <f t="shared" si="4"/>
        <v>PLc1085</v>
      </c>
      <c r="B137" s="23" t="str">
        <f>'3.1.raw'!L439</f>
        <v>PLc1085</v>
      </c>
      <c r="C137" s="24">
        <f>datevalue(left('3.1.raw'!O439,10))</f>
        <v>43788</v>
      </c>
      <c r="D137" s="23">
        <f>'3.1.raw'!I439</f>
        <v>11</v>
      </c>
      <c r="E137" s="1">
        <v>3.09999999999999</v>
      </c>
      <c r="F137" s="23" t="b">
        <f>if(countif(Status!C:C,A137)=1,TRUE, FALSE)</f>
        <v>1</v>
      </c>
      <c r="G137" s="1">
        <f t="shared" si="2"/>
        <v>1</v>
      </c>
      <c r="H137" s="1">
        <f>'3.1.raw'!Z439</f>
        <v>39</v>
      </c>
      <c r="J137" s="1" t="str">
        <f>'3.1.raw'!AK439</f>
        <v>Red colony count: 1:10^4 -50; 1:10^5 - 5; 1:10^6 - 04, Each sample vol tested 1ml</v>
      </c>
    </row>
    <row r="138">
      <c r="A138" s="23" t="str">
        <f t="shared" si="4"/>
        <v>PLc1084</v>
      </c>
      <c r="B138" s="23" t="str">
        <f>'3.1.raw'!L436</f>
        <v>PLc1084</v>
      </c>
      <c r="C138" s="24">
        <f>datevalue(left('3.1.raw'!O436,10))</f>
        <v>43787</v>
      </c>
      <c r="D138" s="23">
        <f>'3.1.raw'!I436</f>
        <v>11</v>
      </c>
      <c r="E138" s="1">
        <v>3.09999999999999</v>
      </c>
      <c r="F138" s="23" t="b">
        <f>if(countif(Status!C:C,A138)=1,TRUE, FALSE)</f>
        <v>1</v>
      </c>
      <c r="G138" s="1">
        <f t="shared" si="2"/>
        <v>1</v>
      </c>
      <c r="H138" s="1">
        <f>'3.1.raw'!Z436</f>
        <v>78</v>
      </c>
      <c r="J138" s="1" t="str">
        <f>'3.1.raw'!AK436</f>
        <v>Red colony count: 1:10^4 -168; 1:10^5 - 21; 1:10^6 - 07, Each sample vol tested 1ml</v>
      </c>
    </row>
    <row r="139">
      <c r="A139" s="23" t="str">
        <f t="shared" si="4"/>
        <v>PLc1083</v>
      </c>
      <c r="B139" s="23" t="str">
        <f>'3.1.raw'!L434</f>
        <v>PLc1083</v>
      </c>
      <c r="C139" s="24">
        <f>datevalue(left('3.1.raw'!O434,10))</f>
        <v>43787</v>
      </c>
      <c r="D139" s="23">
        <f>'3.1.raw'!I434</f>
        <v>11</v>
      </c>
      <c r="E139" s="1">
        <v>3.09999999999999</v>
      </c>
      <c r="F139" s="23" t="b">
        <f>if(countif(Status!C:C,A139)=1,TRUE, FALSE)</f>
        <v>1</v>
      </c>
      <c r="G139" s="1">
        <f t="shared" si="2"/>
        <v>1</v>
      </c>
      <c r="H139" s="1">
        <f>'3.1.raw'!Z434</f>
        <v>161</v>
      </c>
      <c r="J139" s="1" t="str">
        <f>'3.1.raw'!AK434</f>
        <v>Red colony count: 1:10^4 - 156; 1:10^5 - 14; 1:10^6 - 04, Each sample vol tested 1ml</v>
      </c>
    </row>
    <row r="140">
      <c r="A140" s="23" t="str">
        <f t="shared" si="4"/>
        <v>PLc1082</v>
      </c>
      <c r="B140" s="23" t="str">
        <f>'3.1.raw'!L432</f>
        <v>PLc1082</v>
      </c>
      <c r="C140" s="24">
        <f>datevalue(left('3.1.raw'!O432,10))</f>
        <v>43787</v>
      </c>
      <c r="D140" s="23">
        <f>'3.1.raw'!I432</f>
        <v>11</v>
      </c>
      <c r="E140" s="1">
        <v>3.09999999999999</v>
      </c>
      <c r="F140" s="23" t="b">
        <f>if(countif(Status!C:C,A140)=1,TRUE, FALSE)</f>
        <v>1</v>
      </c>
      <c r="G140" s="1">
        <f t="shared" si="2"/>
        <v>1</v>
      </c>
      <c r="H140" s="1">
        <f>'3.1.raw'!Z432</f>
        <v>101</v>
      </c>
      <c r="J140" s="1" t="str">
        <f>'3.1.raw'!AK432</f>
        <v>Red colony count: 1:10^4 -190; 1:10^5 - 38; 1:10^6 - 04, Each sample vol tested 1ml</v>
      </c>
    </row>
    <row r="141">
      <c r="A141" s="23" t="str">
        <f t="shared" si="4"/>
        <v>PLc1081</v>
      </c>
      <c r="B141" s="23" t="str">
        <f>'3.1.raw'!L430</f>
        <v>PLc1081</v>
      </c>
      <c r="C141" s="24">
        <f>datevalue(left('3.1.raw'!O430,10))</f>
        <v>43787</v>
      </c>
      <c r="D141" s="23">
        <f>'3.1.raw'!I430</f>
        <v>11</v>
      </c>
      <c r="E141" s="1">
        <v>3.09999999999999</v>
      </c>
      <c r="F141" s="23" t="b">
        <f>if(countif(Status!C:C,A141)=1,TRUE, FALSE)</f>
        <v>1</v>
      </c>
      <c r="G141" s="1" t="str">
        <f t="shared" si="2"/>
        <v/>
      </c>
      <c r="H141" s="1" t="str">
        <f>'3.1.raw'!Z430</f>
        <v/>
      </c>
      <c r="J141" s="1" t="str">
        <f>'3.1.raw'!AK430</f>
        <v>Red colony count: 1:10^4 - TNTC; 1:10^5 - 61; 1:10^6 - 06, Each sample vol tested 1ml</v>
      </c>
    </row>
    <row r="142">
      <c r="A142" s="23" t="str">
        <f t="shared" si="4"/>
        <v>PLc1080</v>
      </c>
      <c r="B142" s="23" t="str">
        <f>'3.1.raw'!L422</f>
        <v>PLc1080</v>
      </c>
      <c r="C142" s="24">
        <f>datevalue(left('3.1.raw'!O422,10))</f>
        <v>43784</v>
      </c>
      <c r="D142" s="23">
        <f>'3.1.raw'!I422</f>
        <v>11</v>
      </c>
      <c r="E142" s="1">
        <v>3.09999999999999</v>
      </c>
      <c r="F142" s="23" t="b">
        <f>if(countif(Status!C:C,A142)=1,TRUE, FALSE)</f>
        <v>1</v>
      </c>
      <c r="G142" s="1">
        <f t="shared" si="2"/>
        <v>1</v>
      </c>
      <c r="H142" s="1">
        <f>'3.1.raw'!Z422</f>
        <v>101</v>
      </c>
      <c r="J142" s="1" t="str">
        <f>'3.1.raw'!AK422</f>
        <v>Red colony count: 1:10^4 - 91; 1:10^5 - 9; 1:10^6 -01, Each sample vol tested 1ml</v>
      </c>
    </row>
    <row r="143">
      <c r="A143" s="23" t="str">
        <f t="shared" si="4"/>
        <v>PLc1079</v>
      </c>
      <c r="B143" s="23" t="str">
        <f>'3.1.raw'!L421</f>
        <v>PLc1079</v>
      </c>
      <c r="C143" s="24">
        <f>datevalue(left('3.1.raw'!O421,10))</f>
        <v>43784</v>
      </c>
      <c r="D143" s="23">
        <f>'3.1.raw'!I421</f>
        <v>11</v>
      </c>
      <c r="E143" s="1">
        <v>3.09999999999999</v>
      </c>
      <c r="F143" s="23" t="b">
        <f>if(countif(Status!C:C,A143)=1,TRUE, FALSE)</f>
        <v>1</v>
      </c>
      <c r="G143" s="1">
        <f t="shared" si="2"/>
        <v>0</v>
      </c>
      <c r="H143" s="1">
        <f>'3.1.raw'!Z421</f>
        <v>0</v>
      </c>
      <c r="J143" s="1" t="str">
        <f>'3.1.raw'!AK421</f>
        <v>Red colony count: 1:10^4 - 00; 1:10^5 - 00; 1:10^6 -00, Each sample vol tested 1ml</v>
      </c>
    </row>
    <row r="144">
      <c r="A144" s="23" t="str">
        <f t="shared" si="4"/>
        <v>PLc1078</v>
      </c>
      <c r="B144" s="23" t="str">
        <f>'3.1.raw'!L420</f>
        <v>PLc1078</v>
      </c>
      <c r="C144" s="24">
        <f>datevalue(left('3.1.raw'!O420,10))</f>
        <v>43784</v>
      </c>
      <c r="D144" s="23">
        <f>'3.1.raw'!I420</f>
        <v>11</v>
      </c>
      <c r="E144" s="1">
        <v>3.09999999999999</v>
      </c>
      <c r="F144" s="23" t="b">
        <f>if(countif(Status!C:C,A144)=1,TRUE, FALSE)</f>
        <v>1</v>
      </c>
      <c r="G144" s="1" t="str">
        <f t="shared" si="2"/>
        <v/>
      </c>
      <c r="H144" s="1" t="str">
        <f>'3.1.raw'!Z420</f>
        <v/>
      </c>
      <c r="J144" s="1" t="str">
        <f>'3.1.raw'!AK420</f>
        <v>Red colony count: 1:10^4 -TDTC; 1:10^5 - 68; 1:10^6 -15, Each sample vol tested 1ml</v>
      </c>
    </row>
    <row r="145">
      <c r="A145" s="23" t="str">
        <f t="shared" si="4"/>
        <v>PLc1077</v>
      </c>
      <c r="B145" s="23" t="str">
        <f>'3.1.raw'!L419</f>
        <v>PLc1077</v>
      </c>
      <c r="C145" s="24">
        <f>datevalue(left('3.1.raw'!O419,10))</f>
        <v>43784</v>
      </c>
      <c r="D145" s="23">
        <f>'3.1.raw'!I419</f>
        <v>11</v>
      </c>
      <c r="E145" s="1">
        <v>3.09999999999999</v>
      </c>
      <c r="F145" s="23" t="b">
        <f>if(countif(Status!C:C,A145)=1,TRUE, FALSE)</f>
        <v>1</v>
      </c>
      <c r="G145" s="1">
        <f t="shared" si="2"/>
        <v>1</v>
      </c>
      <c r="H145" s="1">
        <f>'3.1.raw'!Z419</f>
        <v>45</v>
      </c>
      <c r="J145" s="1" t="str">
        <f>'3.1.raw'!AK419</f>
        <v>Red colony count: 1:10^4 - 89; 1:10^5 - 18; 1:10^6 -02, Each sample vol tested 1ml</v>
      </c>
    </row>
    <row r="146">
      <c r="A146" s="23" t="str">
        <f t="shared" si="4"/>
        <v>PLc1076</v>
      </c>
      <c r="B146" s="23" t="str">
        <f>'3.1.raw'!L418</f>
        <v>PLc1076</v>
      </c>
      <c r="C146" s="24">
        <f>datevalue(left('3.1.raw'!O418,10))</f>
        <v>43784</v>
      </c>
      <c r="D146" s="23">
        <f>'3.1.raw'!I418</f>
        <v>11</v>
      </c>
      <c r="E146" s="1">
        <v>3.09999999999999</v>
      </c>
      <c r="F146" s="23" t="b">
        <f>if(countif(Status!C:C,A146)=1,TRUE, FALSE)</f>
        <v>1</v>
      </c>
      <c r="G146" s="1">
        <f t="shared" si="2"/>
        <v>1</v>
      </c>
      <c r="H146" s="1">
        <f>'3.1.raw'!Z418</f>
        <v>24</v>
      </c>
      <c r="J146" s="1" t="str">
        <f>'3.1.raw'!AK418</f>
        <v>Red colony count: 1:10^4 - 82; 1:10^5 - 8; 1:10^6 -00, Each sample vol tested 1ml</v>
      </c>
    </row>
    <row r="147">
      <c r="A147" s="23" t="str">
        <f t="shared" si="4"/>
        <v>PLc1075</v>
      </c>
      <c r="B147" s="23" t="str">
        <f>'3.1.raw'!L407</f>
        <v>PLc1075</v>
      </c>
      <c r="C147" s="24">
        <f>datevalue(left('3.1.raw'!O407,10))</f>
        <v>43777</v>
      </c>
      <c r="D147" s="23">
        <f>'3.1.raw'!I407</f>
        <v>11</v>
      </c>
      <c r="E147" s="1">
        <v>3.09999999999999</v>
      </c>
      <c r="F147" s="23" t="b">
        <f>if(countif(Status!C:C,A147)=1,TRUE, FALSE)</f>
        <v>1</v>
      </c>
      <c r="G147" s="1" t="str">
        <f t="shared" si="2"/>
        <v/>
      </c>
      <c r="H147" s="1" t="str">
        <f>'3.1.raw'!Z407</f>
        <v/>
      </c>
      <c r="J147" s="1" t="str">
        <f>'3.1.raw'!AK407</f>
        <v>Red colony count: 1:10^4 - 22; 1:10^5 - 4; 1:10^6 -1, Each sample vol tested 1ml</v>
      </c>
    </row>
    <row r="148">
      <c r="A148" s="23" t="str">
        <f t="shared" si="4"/>
        <v>PLc1074</v>
      </c>
      <c r="B148" s="23" t="str">
        <f>'3.1.raw'!L405</f>
        <v>PLc1074</v>
      </c>
      <c r="C148" s="24">
        <f>datevalue(left('3.1.raw'!O405,10))</f>
        <v>43777</v>
      </c>
      <c r="D148" s="23">
        <f>'3.1.raw'!I405</f>
        <v>11</v>
      </c>
      <c r="E148" s="1">
        <v>3.09999999999999</v>
      </c>
      <c r="F148" s="23" t="b">
        <f>if(countif(Status!C:C,A148)=1,TRUE, FALSE)</f>
        <v>1</v>
      </c>
      <c r="G148" s="1">
        <f t="shared" si="2"/>
        <v>1</v>
      </c>
      <c r="H148" s="1">
        <f>'3.1.raw'!Z405</f>
        <v>40</v>
      </c>
      <c r="J148" s="1" t="str">
        <f>'3.1.raw'!AK405</f>
        <v>Red colony count: 1:10^4 - 43; 1:10^5 - 5; 1:10^6 -1, Each sample vol tested 1ml</v>
      </c>
    </row>
    <row r="149">
      <c r="A149" s="23" t="str">
        <f t="shared" si="4"/>
        <v>PLc1073</v>
      </c>
      <c r="B149" s="23" t="str">
        <f>'3.1.raw'!L403</f>
        <v>PLc1073</v>
      </c>
      <c r="C149" s="24">
        <f>datevalue(left('3.1.raw'!O403,10))</f>
        <v>43777</v>
      </c>
      <c r="D149" s="23">
        <f>'3.1.raw'!I403</f>
        <v>11</v>
      </c>
      <c r="E149" s="1">
        <v>3.09999999999999</v>
      </c>
      <c r="F149" s="23" t="b">
        <f>if(countif(Status!C:C,A149)=1,TRUE, FALSE)</f>
        <v>1</v>
      </c>
      <c r="G149" s="1">
        <f t="shared" si="2"/>
        <v>1</v>
      </c>
      <c r="H149" s="1">
        <f>'3.1.raw'!Z403</f>
        <v>80</v>
      </c>
      <c r="J149" s="1" t="str">
        <f>'3.1.raw'!AK403</f>
        <v>Red colony count: 1:10^4 - 90; 1:10^5 - 30; 1:10^6 -5, Each sample vol tested 1ml</v>
      </c>
    </row>
    <row r="150">
      <c r="A150" s="23" t="str">
        <f t="shared" si="4"/>
        <v>PLc1072</v>
      </c>
      <c r="B150" s="23" t="str">
        <f>'3.1.raw'!L395</f>
        <v>PLc1072</v>
      </c>
      <c r="C150" s="24">
        <f>datevalue(left('3.1.raw'!O395,10))</f>
        <v>43776</v>
      </c>
      <c r="D150" s="23">
        <f>'3.1.raw'!I395</f>
        <v>11</v>
      </c>
      <c r="E150" s="1">
        <v>3.1</v>
      </c>
      <c r="F150" s="23" t="b">
        <f>if(countif(Status!C:C,A150)=1,TRUE, FALSE)</f>
        <v>1</v>
      </c>
      <c r="G150" s="1">
        <f t="shared" si="2"/>
        <v>1</v>
      </c>
      <c r="H150" s="1">
        <f>'3.1.raw'!Z395</f>
        <v>2</v>
      </c>
      <c r="J150" s="1" t="str">
        <f>'3.1.raw'!AK395</f>
        <v>Red colony count: 1:10^4 - 00; 1:10^5 - 00; 1:10^6 -00, Each sample vol tested 1ml</v>
      </c>
    </row>
    <row r="151">
      <c r="A151" s="23" t="str">
        <f t="shared" si="4"/>
        <v>PLc1071</v>
      </c>
      <c r="B151" s="23" t="str">
        <f>'3.1.raw'!L393</f>
        <v>PLc1071</v>
      </c>
      <c r="C151" s="24">
        <f>datevalue(left('3.1.raw'!O393,10))</f>
        <v>43776</v>
      </c>
      <c r="D151" s="23">
        <f>'3.1.raw'!I393</f>
        <v>11</v>
      </c>
      <c r="E151" s="1">
        <v>3.1</v>
      </c>
      <c r="F151" s="23" t="b">
        <f>if(countif(Status!C:C,A151)=1,TRUE, FALSE)</f>
        <v>1</v>
      </c>
      <c r="G151" s="1">
        <f t="shared" si="2"/>
        <v>1</v>
      </c>
      <c r="H151" s="1">
        <f>'3.1.raw'!Z393</f>
        <v>1</v>
      </c>
      <c r="J151" s="1" t="str">
        <f>'3.1.raw'!AK393</f>
        <v>Red colony count: 1:10^4 - 2; 1:10^5 - 00; 1:10^6 -00, Each sample vol tested 1ml</v>
      </c>
    </row>
    <row r="152">
      <c r="A152" s="23" t="str">
        <f t="shared" si="4"/>
        <v>PLc1070</v>
      </c>
      <c r="B152" s="23" t="str">
        <f>'3.1.raw'!L391</f>
        <v>PLc1070</v>
      </c>
      <c r="C152" s="24">
        <f>datevalue(left('3.1.raw'!O391,10))</f>
        <v>43776</v>
      </c>
      <c r="D152" s="23">
        <f>'3.1.raw'!I391</f>
        <v>11</v>
      </c>
      <c r="E152" s="1">
        <v>3.1</v>
      </c>
      <c r="F152" s="23" t="b">
        <f>if(countif(Status!C:C,A152)=1,TRUE, FALSE)</f>
        <v>1</v>
      </c>
      <c r="G152" s="1">
        <f t="shared" si="2"/>
        <v>1</v>
      </c>
      <c r="H152" s="1">
        <f>'3.1.raw'!Z391</f>
        <v>10</v>
      </c>
      <c r="J152" s="1" t="str">
        <f>'3.1.raw'!AK391</f>
        <v>Red colony count: 1:10^4 - 28; 1:10^5 - 2; 1:10^6 -00, Each sample vol tested 1ml</v>
      </c>
    </row>
    <row r="153">
      <c r="A153" s="23" t="str">
        <f t="shared" si="4"/>
        <v>PLc1069</v>
      </c>
      <c r="B153" s="23" t="str">
        <f>'3.1.raw'!L389</f>
        <v>PLc1069</v>
      </c>
      <c r="C153" s="24">
        <f>datevalue(left('3.1.raw'!O389,10))</f>
        <v>43776</v>
      </c>
      <c r="D153" s="23">
        <f>'3.1.raw'!I389</f>
        <v>11</v>
      </c>
      <c r="E153" s="1">
        <v>3.1</v>
      </c>
      <c r="F153" s="23" t="b">
        <f>if(countif(Status!C:C,A153)=1,TRUE, FALSE)</f>
        <v>1</v>
      </c>
      <c r="G153" s="1">
        <f t="shared" si="2"/>
        <v>1</v>
      </c>
      <c r="H153" s="1">
        <f>'3.1.raw'!Z389</f>
        <v>48</v>
      </c>
      <c r="J153" s="1" t="str">
        <f>'3.1.raw'!AK389</f>
        <v>Red colony count: 1:10^4 - 8; 1:10^5 - 3; 1:10^6 -00, Each sample vol tested 1ml</v>
      </c>
    </row>
    <row r="154">
      <c r="A154" s="23" t="str">
        <f t="shared" si="4"/>
        <v>PLc1068</v>
      </c>
      <c r="B154" s="23" t="str">
        <f>'3.1.raw'!L387</f>
        <v>PLc1068</v>
      </c>
      <c r="C154" s="24">
        <f>datevalue(left('3.1.raw'!O387,10))</f>
        <v>43776</v>
      </c>
      <c r="D154" s="23">
        <f>'3.1.raw'!I387</f>
        <v>11</v>
      </c>
      <c r="E154" s="1">
        <v>3.1</v>
      </c>
      <c r="F154" s="23" t="b">
        <f>if(countif(Status!C:C,A154)=1,TRUE, FALSE)</f>
        <v>1</v>
      </c>
      <c r="G154" s="1">
        <f t="shared" si="2"/>
        <v>1</v>
      </c>
      <c r="H154" s="1">
        <f>'3.1.raw'!Z387</f>
        <v>22</v>
      </c>
      <c r="J154" s="1" t="str">
        <f>'3.1.raw'!AK387</f>
        <v>Red colony count: 1:10^4 - 42; 1:10^5 - 8; 1:10^6 -00, Each sample vol tested 1ml</v>
      </c>
    </row>
    <row r="155">
      <c r="A155" s="23" t="str">
        <f t="shared" si="4"/>
        <v>PLc1067</v>
      </c>
      <c r="B155" s="23" t="str">
        <f>'3.1.raw'!L373</f>
        <v>PLc1067</v>
      </c>
      <c r="C155" s="24">
        <f>datevalue(left('3.1.raw'!O373,10))</f>
        <v>43774</v>
      </c>
      <c r="D155" s="23">
        <f>'3.1.raw'!I373</f>
        <v>11</v>
      </c>
      <c r="E155" s="1">
        <v>3.1</v>
      </c>
      <c r="F155" s="23" t="b">
        <f>if(countif(Status!C:C,A155)=1,TRUE, FALSE)</f>
        <v>1</v>
      </c>
      <c r="G155" s="1">
        <f t="shared" si="2"/>
        <v>1</v>
      </c>
      <c r="H155" s="1">
        <f>'3.1.raw'!Z373</f>
        <v>196</v>
      </c>
      <c r="J155" s="1" t="str">
        <f>'3.1.raw'!AK373</f>
        <v>Red colony count: 1:10^4 -54; 1:10^5 - 05; 1:10^6 -00, Each sample vol tested 1ml</v>
      </c>
    </row>
    <row r="156">
      <c r="A156" s="23" t="str">
        <f t="shared" si="4"/>
        <v>PLc1066</v>
      </c>
      <c r="B156" s="23" t="str">
        <f>'3.1.raw'!L371</f>
        <v>PLc1066</v>
      </c>
      <c r="C156" s="24">
        <f>datevalue(left('3.1.raw'!O371,10))</f>
        <v>43774</v>
      </c>
      <c r="D156" s="23">
        <f>'3.1.raw'!I371</f>
        <v>11</v>
      </c>
      <c r="E156" s="1">
        <v>3.1</v>
      </c>
      <c r="F156" s="23" t="b">
        <f>if(countif(Status!C:C,A156)=1,TRUE, FALSE)</f>
        <v>1</v>
      </c>
      <c r="G156" s="1">
        <f t="shared" si="2"/>
        <v>1</v>
      </c>
      <c r="H156" s="1">
        <f>'3.1.raw'!Z371</f>
        <v>52</v>
      </c>
      <c r="J156" s="1" t="str">
        <f>'3.1.raw'!AK371</f>
        <v>Red colony count: 1:10^4 -110; 1:10^5 - 16; 1:10^6 -01, Each sample vol tested 1ml</v>
      </c>
    </row>
    <row r="157">
      <c r="A157" s="23" t="str">
        <f t="shared" si="4"/>
        <v>PLc1065</v>
      </c>
      <c r="B157" s="23" t="str">
        <f>'3.1.raw'!L368</f>
        <v>PLc1065</v>
      </c>
      <c r="C157" s="24">
        <f>datevalue(left('3.1.raw'!O368,10))</f>
        <v>43773</v>
      </c>
      <c r="D157" s="23">
        <f>'3.1.raw'!I368</f>
        <v>11</v>
      </c>
      <c r="E157" s="1">
        <v>3.1</v>
      </c>
      <c r="F157" s="23" t="b">
        <f>if(countif(Status!C:C,A157)=1,TRUE, FALSE)</f>
        <v>1</v>
      </c>
      <c r="G157" s="1" t="str">
        <f t="shared" si="2"/>
        <v/>
      </c>
      <c r="H157" s="1" t="str">
        <f>'3.1.raw'!Z368</f>
        <v/>
      </c>
      <c r="J157" s="1" t="str">
        <f>'3.1.raw'!AK368</f>
        <v>Red colony count: 1:10^4 -TNTC; 1:10^5 - 89; 1:10^6 -11, each dilution vol tested 1 ml</v>
      </c>
    </row>
    <row r="158">
      <c r="A158" s="23" t="str">
        <f t="shared" si="4"/>
        <v>PLc1064</v>
      </c>
      <c r="B158" s="23" t="str">
        <f>'3.1.raw'!L366</f>
        <v>PLc1064</v>
      </c>
      <c r="C158" s="24">
        <f>datevalue(left('3.1.raw'!O366,10))</f>
        <v>43773</v>
      </c>
      <c r="D158" s="23">
        <f>'3.1.raw'!I366</f>
        <v>11</v>
      </c>
      <c r="E158" s="1">
        <v>3.1</v>
      </c>
      <c r="F158" s="23" t="b">
        <f>if(countif(Status!C:C,A158)=1,TRUE, FALSE)</f>
        <v>1</v>
      </c>
      <c r="G158" s="1">
        <f t="shared" si="2"/>
        <v>1</v>
      </c>
      <c r="H158" s="1">
        <f>'3.1.raw'!Z366</f>
        <v>4</v>
      </c>
      <c r="J158" s="1" t="str">
        <f>'3.1.raw'!AK366</f>
        <v>Red colony count: 1:10^4 -1; 1:10^5 - 00; 1:10^6 -00, each dilution vol tested 1 ml</v>
      </c>
    </row>
    <row r="159">
      <c r="A159" s="23" t="str">
        <f t="shared" si="4"/>
        <v>PLc1063</v>
      </c>
      <c r="B159" s="23" t="str">
        <f>'3.1.raw'!L364</f>
        <v>PLc1063</v>
      </c>
      <c r="C159" s="24">
        <f>datevalue(left('3.1.raw'!O364,10))</f>
        <v>43773</v>
      </c>
      <c r="D159" s="23">
        <f>'3.1.raw'!I364</f>
        <v>11</v>
      </c>
      <c r="E159" s="1">
        <v>3.1</v>
      </c>
      <c r="F159" s="23" t="b">
        <f>if(countif(Status!C:C,A159)=1,TRUE, FALSE)</f>
        <v>1</v>
      </c>
      <c r="G159" s="1">
        <f t="shared" si="2"/>
        <v>1</v>
      </c>
      <c r="H159" s="1">
        <f>'3.1.raw'!Z364</f>
        <v>88</v>
      </c>
      <c r="J159" s="1" t="str">
        <f>'3.1.raw'!AK364</f>
        <v>Red colony count: 1:10^4 -76; 1:10^5 - 8; 1:10^6 -02, each dilution vol tested 1ml</v>
      </c>
    </row>
    <row r="160">
      <c r="A160" s="23" t="str">
        <f t="shared" si="4"/>
        <v>PLc1062</v>
      </c>
      <c r="B160" s="23" t="str">
        <f>'3.1.raw'!L362</f>
        <v>PLc1062</v>
      </c>
      <c r="C160" s="24">
        <f>datevalue(left('3.1.raw'!O362,10))</f>
        <v>43773</v>
      </c>
      <c r="D160" s="23">
        <f>'3.1.raw'!I362</f>
        <v>11</v>
      </c>
      <c r="E160" s="1">
        <v>3.1</v>
      </c>
      <c r="F160" s="23" t="b">
        <f>if(countif(Status!C:C,A160)=1,TRUE, FALSE)</f>
        <v>1</v>
      </c>
      <c r="G160" s="1">
        <f t="shared" si="2"/>
        <v>1</v>
      </c>
      <c r="H160" s="1">
        <f>'3.1.raw'!Z362</f>
        <v>15</v>
      </c>
      <c r="J160" s="1" t="str">
        <f>'3.1.raw'!AK362</f>
        <v>Red colony count: 1:10^4 -35; 1:10^5 - 5; 1:10^6 -00, each dilution vol tested 1ml</v>
      </c>
    </row>
    <row r="161">
      <c r="A161" s="23" t="str">
        <f t="shared" si="4"/>
        <v>PLc1061</v>
      </c>
      <c r="B161" s="23" t="str">
        <f>'3.1.raw'!L360</f>
        <v>PLc1061</v>
      </c>
      <c r="C161" s="24">
        <f>datevalue(left('3.1.raw'!O360,10))</f>
        <v>43773</v>
      </c>
      <c r="D161" s="23">
        <f>'3.1.raw'!I360</f>
        <v>11</v>
      </c>
      <c r="E161" s="1">
        <v>3.1</v>
      </c>
      <c r="F161" s="23" t="b">
        <f>if(countif(Status!C:C,A161)=1,TRUE, FALSE)</f>
        <v>1</v>
      </c>
      <c r="G161" s="1">
        <f t="shared" si="2"/>
        <v>1</v>
      </c>
      <c r="H161" s="1">
        <f>'3.1.raw'!Z360</f>
        <v>182</v>
      </c>
      <c r="J161" s="1" t="str">
        <f>'3.1.raw'!AK360</f>
        <v>Red colony count: 1:10^4 -105; 1:10^5 - 13; 1:10^6 -01, each dilution vol tested 1ml</v>
      </c>
    </row>
    <row r="162">
      <c r="A162" s="23" t="str">
        <f t="shared" si="4"/>
        <v>PLc1060</v>
      </c>
      <c r="B162" s="23" t="str">
        <f>'3.1.raw'!L357</f>
        <v>PLc1060</v>
      </c>
      <c r="C162" s="24">
        <f>datevalue(left('3.1.raw'!O357,10))</f>
        <v>43770</v>
      </c>
      <c r="D162" s="23">
        <f>'3.1.raw'!I357</f>
        <v>11</v>
      </c>
      <c r="E162" s="1">
        <v>3.1</v>
      </c>
      <c r="F162" s="23" t="b">
        <f>if(countif(Status!C:C,A162)=1,TRUE, FALSE)</f>
        <v>1</v>
      </c>
      <c r="G162" s="1">
        <f t="shared" si="2"/>
        <v>1</v>
      </c>
      <c r="H162" s="1">
        <f>'3.1.raw'!Z357</f>
        <v>30</v>
      </c>
      <c r="J162" s="1" t="str">
        <f>'3.1.raw'!AK357</f>
        <v>Red colony count: 1:10^4 -94; 1:10^5 - 16; 1:10^6 -02</v>
      </c>
    </row>
    <row r="163">
      <c r="A163" s="23" t="str">
        <f t="shared" si="4"/>
        <v>PLc1059</v>
      </c>
      <c r="B163" s="23" t="str">
        <f>'3.1.raw'!L355</f>
        <v>PLc1059</v>
      </c>
      <c r="C163" s="24">
        <f>datevalue(left('3.1.raw'!O355,10))</f>
        <v>43770</v>
      </c>
      <c r="D163" s="23">
        <f>'3.1.raw'!I355</f>
        <v>11</v>
      </c>
      <c r="E163" s="1">
        <v>3.1</v>
      </c>
      <c r="F163" s="23" t="b">
        <f>if(countif(Status!C:C,A163)=1,TRUE, FALSE)</f>
        <v>1</v>
      </c>
      <c r="G163" s="1">
        <f t="shared" si="2"/>
        <v>1</v>
      </c>
      <c r="H163" s="1">
        <f>'3.1.raw'!Z355</f>
        <v>34</v>
      </c>
      <c r="J163" s="1" t="str">
        <f>'3.1.raw'!AK355</f>
        <v>Red colony count: 1:10^4 -21; 1:10^5 - 11; 1:10^6 -01</v>
      </c>
    </row>
    <row r="164">
      <c r="A164" s="23" t="str">
        <f t="shared" si="4"/>
        <v>PLc1058</v>
      </c>
      <c r="B164" s="23" t="str">
        <f>'3.1.raw'!L345</f>
        <v>PLc1058</v>
      </c>
      <c r="C164" s="24">
        <f>datevalue(left('3.1.raw'!O345,10))</f>
        <v>43769</v>
      </c>
      <c r="D164" s="23">
        <f>'3.1.raw'!I345</f>
        <v>11</v>
      </c>
      <c r="E164" s="1">
        <v>3.1</v>
      </c>
      <c r="F164" s="23" t="b">
        <f>if(countif(Status!C:C,A164)=1,TRUE, FALSE)</f>
        <v>1</v>
      </c>
      <c r="G164" s="1">
        <f t="shared" si="2"/>
        <v>1</v>
      </c>
      <c r="H164" s="1">
        <f>'3.1.raw'!Z345</f>
        <v>38</v>
      </c>
      <c r="J164" s="1" t="str">
        <f>'3.1.raw'!AK345</f>
        <v>Red colony count: 1:10^4 -05; 1:10^5 - 01; 1:10^6 -00</v>
      </c>
    </row>
    <row r="165">
      <c r="A165" s="23" t="str">
        <f t="shared" si="4"/>
        <v>PLc1057</v>
      </c>
      <c r="B165" s="23" t="str">
        <f>'3.1.raw'!L343</f>
        <v>PLc1057</v>
      </c>
      <c r="C165" s="24">
        <f>datevalue(left('3.1.raw'!O343,10))</f>
        <v>43769</v>
      </c>
      <c r="D165" s="23">
        <f>'3.1.raw'!I343</f>
        <v>11</v>
      </c>
      <c r="E165" s="1">
        <v>3.1</v>
      </c>
      <c r="F165" s="23" t="b">
        <f>if(countif(Status!C:C,A165)=1,TRUE, FALSE)</f>
        <v>1</v>
      </c>
      <c r="G165" s="1">
        <f t="shared" si="2"/>
        <v>1</v>
      </c>
      <c r="H165" s="1">
        <f>'3.1.raw'!Z343</f>
        <v>21</v>
      </c>
      <c r="J165" s="1" t="str">
        <f>'3.1.raw'!AK343</f>
        <v>Red colony count: 1:10^4 -12; 1:10^5 - 5; 1:10^6 -00</v>
      </c>
    </row>
    <row r="166">
      <c r="A166" s="23" t="str">
        <f t="shared" si="4"/>
        <v>PLc1056</v>
      </c>
      <c r="B166" s="23" t="str">
        <f>'3.1.raw'!L341</f>
        <v>PLc1056</v>
      </c>
      <c r="C166" s="24">
        <f>datevalue(left('3.1.raw'!O341,10))</f>
        <v>43769</v>
      </c>
      <c r="D166" s="23">
        <f>'3.1.raw'!I341</f>
        <v>11</v>
      </c>
      <c r="E166" s="1">
        <v>3.1</v>
      </c>
      <c r="F166" s="23" t="b">
        <f>if(countif(Status!C:C,A166)=1,TRUE, FALSE)</f>
        <v>1</v>
      </c>
      <c r="G166" s="1">
        <f t="shared" si="2"/>
        <v>0</v>
      </c>
      <c r="H166" s="1">
        <f>'3.1.raw'!Z341</f>
        <v>0</v>
      </c>
      <c r="J166" s="1" t="str">
        <f>'3.1.raw'!AK341</f>
        <v>Red colony count: 1:10^4 -00; 1:10^5 - 00; 1:10^6 -00</v>
      </c>
    </row>
    <row r="167">
      <c r="A167" s="23" t="str">
        <f t="shared" si="4"/>
        <v>PLc1055</v>
      </c>
      <c r="B167" s="23" t="str">
        <f>'3.1.raw'!L340</f>
        <v>PLc1055</v>
      </c>
      <c r="C167" s="24">
        <f>datevalue(left('3.1.raw'!O340,10))</f>
        <v>43769</v>
      </c>
      <c r="D167" s="23">
        <f>'3.1.raw'!I340</f>
        <v>11</v>
      </c>
      <c r="E167" s="1">
        <v>3.1</v>
      </c>
      <c r="F167" s="23" t="b">
        <f>if(countif(Status!C:C,A167)=1,TRUE, FALSE)</f>
        <v>1</v>
      </c>
      <c r="G167" s="1">
        <f t="shared" si="2"/>
        <v>1</v>
      </c>
      <c r="H167" s="1">
        <f>'3.1.raw'!Z340</f>
        <v>1</v>
      </c>
      <c r="J167" s="1" t="str">
        <f>'3.1.raw'!AK340</f>
        <v>Red colony count: 1:10^4 -1; 1:10^5 - 6; 1:10^6 -00</v>
      </c>
    </row>
    <row r="168">
      <c r="A168" s="23" t="str">
        <f t="shared" si="4"/>
        <v>PLc1054</v>
      </c>
      <c r="B168" s="23" t="str">
        <f>'3.1.raw'!L338</f>
        <v>PLc1054</v>
      </c>
      <c r="C168" s="24">
        <f>datevalue(left('3.1.raw'!O338,10))</f>
        <v>43769</v>
      </c>
      <c r="D168" s="23">
        <f>'3.1.raw'!I338</f>
        <v>11</v>
      </c>
      <c r="E168" s="1">
        <v>3.1</v>
      </c>
      <c r="F168" s="23" t="b">
        <f>if(countif(Status!C:C,A168)=1,TRUE, FALSE)</f>
        <v>1</v>
      </c>
      <c r="G168" s="1">
        <f t="shared" si="2"/>
        <v>1</v>
      </c>
      <c r="H168" s="1">
        <f>'3.1.raw'!Z338</f>
        <v>98</v>
      </c>
      <c r="J168" s="1" t="str">
        <f>'3.1.raw'!AK338</f>
        <v>Red Colony Count: 1:10^4 - 60; 1:10^5 - 06; 1:10^6 - 00 Each dilution volume tested 1ml</v>
      </c>
    </row>
    <row r="169">
      <c r="A169" s="23" t="str">
        <f t="shared" si="4"/>
        <v>PLc1053</v>
      </c>
      <c r="B169" s="23" t="str">
        <f>'3.1.raw'!L332</f>
        <v>PLc1053</v>
      </c>
      <c r="C169" s="24">
        <f>datevalue(left('3.1.raw'!O332,10))</f>
        <v>43766</v>
      </c>
      <c r="D169" s="23">
        <f>'3.1.raw'!I332</f>
        <v>11</v>
      </c>
      <c r="E169" s="1">
        <v>3.1</v>
      </c>
      <c r="F169" s="23" t="b">
        <f>if(countif(Status!C:C,A169)=1,TRUE, FALSE)</f>
        <v>1</v>
      </c>
      <c r="G169" s="1">
        <f t="shared" si="2"/>
        <v>0</v>
      </c>
      <c r="H169" s="1">
        <f>'3.1.raw'!Z332</f>
        <v>0</v>
      </c>
      <c r="J169" s="1" t="str">
        <f>'3.1.raw'!AK332</f>
        <v>RED COLONY COUNT :- 1:10^4- 00; 1:10^5-00;1:10^6-00</v>
      </c>
    </row>
    <row r="170">
      <c r="A170" s="23" t="str">
        <f t="shared" si="4"/>
        <v>PLc1052</v>
      </c>
      <c r="B170" s="23" t="str">
        <f>'3.1.raw'!L330</f>
        <v>PLc1052</v>
      </c>
      <c r="C170" s="24">
        <f>datevalue(left('3.1.raw'!O330,10))</f>
        <v>43766</v>
      </c>
      <c r="D170" s="23">
        <f>'3.1.raw'!I330</f>
        <v>11</v>
      </c>
      <c r="E170" s="1">
        <v>3.1</v>
      </c>
      <c r="F170" s="23" t="b">
        <f>if(countif(Status!C:C,A170)=1,TRUE, FALSE)</f>
        <v>1</v>
      </c>
      <c r="G170" s="1">
        <f t="shared" si="2"/>
        <v>1</v>
      </c>
      <c r="H170" s="1">
        <f>'3.1.raw'!Z330</f>
        <v>4</v>
      </c>
      <c r="J170" s="1" t="str">
        <f>'3.1.raw'!AK330</f>
        <v>RED COLONY COUNT:- 1:10^4- 04; 1:10^5- 00; 1:10^6- 00</v>
      </c>
    </row>
    <row r="171">
      <c r="A171" s="23" t="str">
        <f t="shared" si="4"/>
        <v>PLc1051</v>
      </c>
      <c r="B171" s="23" t="str">
        <f>'3.1.raw'!L328</f>
        <v>PLc1051</v>
      </c>
      <c r="C171" s="24">
        <f>datevalue(left('3.1.raw'!O328,10))</f>
        <v>43766</v>
      </c>
      <c r="D171" s="23">
        <f>'3.1.raw'!I328</f>
        <v>11</v>
      </c>
      <c r="E171" s="1">
        <v>3.1</v>
      </c>
      <c r="F171" s="23" t="b">
        <f>if(countif(Status!C:C,A171)=1,TRUE, FALSE)</f>
        <v>1</v>
      </c>
      <c r="G171" s="1" t="str">
        <f t="shared" si="2"/>
        <v/>
      </c>
      <c r="H171" s="1" t="str">
        <f>'3.1.raw'!Z328</f>
        <v/>
      </c>
      <c r="J171" s="1" t="str">
        <f>'3.1.raw'!AK328</f>
        <v>RED COLONY COUNT :- 1:10^4- TNTC; 1:10^5-36; 1:10^6- 06</v>
      </c>
    </row>
    <row r="172">
      <c r="A172" s="23" t="str">
        <f t="shared" si="4"/>
        <v>PLc1050</v>
      </c>
      <c r="B172" s="23" t="str">
        <f>'3.1.raw'!L326</f>
        <v>PLc1050</v>
      </c>
      <c r="C172" s="24">
        <f>datevalue(left('3.1.raw'!O326,10))</f>
        <v>43766</v>
      </c>
      <c r="D172" s="23">
        <f>'3.1.raw'!I326</f>
        <v>11</v>
      </c>
      <c r="E172" s="1">
        <v>3.1</v>
      </c>
      <c r="F172" s="23" t="b">
        <f>if(countif(Status!C:C,A172)=1,TRUE, FALSE)</f>
        <v>1</v>
      </c>
      <c r="G172" s="1">
        <f t="shared" si="2"/>
        <v>1</v>
      </c>
      <c r="H172" s="1">
        <f>'3.1.raw'!Z326</f>
        <v>71</v>
      </c>
      <c r="J172" s="1" t="str">
        <f>'3.1.raw'!AK326</f>
        <v>RED COLONY COUNT:- 1:10^4- TDTC; 1:10^5- 44; 1:10^6- 01</v>
      </c>
    </row>
    <row r="173">
      <c r="A173" s="23" t="str">
        <f t="shared" si="4"/>
        <v>PLc1049</v>
      </c>
      <c r="B173" s="23" t="str">
        <f>'3.1.raw'!L324</f>
        <v>PLc1049</v>
      </c>
      <c r="C173" s="24">
        <f>datevalue(left('3.1.raw'!O324,10))</f>
        <v>43766</v>
      </c>
      <c r="D173" s="23">
        <f>'3.1.raw'!I324</f>
        <v>11</v>
      </c>
      <c r="E173" s="1">
        <v>3.1</v>
      </c>
      <c r="F173" s="23" t="b">
        <f>if(countif(Status!C:C,A173)=1,TRUE, FALSE)</f>
        <v>1</v>
      </c>
      <c r="G173" s="1">
        <f t="shared" si="2"/>
        <v>1</v>
      </c>
      <c r="H173" s="1">
        <f>'3.1.raw'!Z324</f>
        <v>28</v>
      </c>
      <c r="J173" s="1" t="str">
        <f>'3.1.raw'!AK324</f>
        <v>SAMPLE WITH FB1092,RED COLONY(10^4=7,10^5=0,10^6=0)</v>
      </c>
    </row>
    <row r="174">
      <c r="A174" s="23" t="str">
        <f t="shared" si="4"/>
        <v>PLc1048</v>
      </c>
      <c r="B174" s="23" t="str">
        <f>'3.1.raw'!L321</f>
        <v>PLc1048</v>
      </c>
      <c r="C174" s="24">
        <f>datevalue(left('3.1.raw'!O321,10))</f>
        <v>43762</v>
      </c>
      <c r="D174" s="23">
        <f>'3.1.raw'!I321</f>
        <v>11</v>
      </c>
      <c r="E174" s="1">
        <v>3.1</v>
      </c>
      <c r="F174" s="23" t="b">
        <f>if(countif(Status!C:C,A174)=1,TRUE, FALSE)</f>
        <v>1</v>
      </c>
      <c r="G174" s="1">
        <f t="shared" si="2"/>
        <v>1</v>
      </c>
      <c r="H174" s="1">
        <f>'3.1.raw'!Z321</f>
        <v>140</v>
      </c>
      <c r="J174" s="1" t="str">
        <f>'3.1.raw'!AK321</f>
        <v>SAMPLE WITH FB1091, RED COLONY(10^4=110,10^5=12,10^6=0)</v>
      </c>
    </row>
    <row r="175">
      <c r="A175" s="23" t="str">
        <f t="shared" si="4"/>
        <v>PLc1047</v>
      </c>
      <c r="B175" s="23" t="str">
        <f>'3.1.raw'!L319</f>
        <v>PLc1047</v>
      </c>
      <c r="C175" s="24">
        <f>datevalue(left('3.1.raw'!O319,10))</f>
        <v>43762</v>
      </c>
      <c r="D175" s="23">
        <f>'3.1.raw'!I319</f>
        <v>11</v>
      </c>
      <c r="E175" s="1">
        <v>3.1</v>
      </c>
      <c r="F175" s="23" t="b">
        <f>if(countif(Status!C:C,A175)=1,TRUE, FALSE)</f>
        <v>1</v>
      </c>
      <c r="G175" s="1">
        <f t="shared" si="2"/>
        <v>1</v>
      </c>
      <c r="H175" s="1">
        <f>'3.1.raw'!Z319</f>
        <v>44</v>
      </c>
      <c r="J175" s="1" t="str">
        <f>'3.1.raw'!AK319</f>
        <v>SAMPLEWITH FB1090, RED COLONY(10^4=TNTC,10^5=86,10^6=6)</v>
      </c>
    </row>
    <row r="176">
      <c r="A176" s="23" t="str">
        <f t="shared" si="4"/>
        <v>PLc1046</v>
      </c>
      <c r="B176" s="23" t="str">
        <f>'3.1.raw'!L317</f>
        <v>PLc1046</v>
      </c>
      <c r="C176" s="24">
        <f>datevalue(left('3.1.raw'!O317,10))</f>
        <v>43762</v>
      </c>
      <c r="D176" s="23">
        <f>'3.1.raw'!I317</f>
        <v>11</v>
      </c>
      <c r="E176" s="1">
        <v>3.1</v>
      </c>
      <c r="F176" s="23" t="b">
        <f>if(countif(Status!C:C,A176)=1,TRUE, FALSE)</f>
        <v>1</v>
      </c>
      <c r="G176" s="1">
        <f t="shared" si="2"/>
        <v>1</v>
      </c>
      <c r="H176" s="1">
        <f>'3.1.raw'!Z317</f>
        <v>3</v>
      </c>
      <c r="J176" s="1" t="str">
        <f>'3.1.raw'!AK317</f>
        <v>SAMPLE WITH FB1089, RED COLONY(10^4=7,10^5=0,10^6=0)</v>
      </c>
    </row>
    <row r="177">
      <c r="A177" s="23" t="str">
        <f t="shared" si="4"/>
        <v>PLc1045</v>
      </c>
      <c r="B177" s="23" t="str">
        <f>'3.1.raw'!L315</f>
        <v>PLc1045</v>
      </c>
      <c r="C177" s="24">
        <f>datevalue(left('3.1.raw'!O315,10))</f>
        <v>43762</v>
      </c>
      <c r="D177" s="23">
        <f>'3.1.raw'!I315</f>
        <v>11</v>
      </c>
      <c r="E177" s="1">
        <v>3.1</v>
      </c>
      <c r="F177" s="23" t="b">
        <f>if(countif(Status!C:C,A177)=1,TRUE, FALSE)</f>
        <v>1</v>
      </c>
      <c r="G177" s="1">
        <f t="shared" si="2"/>
        <v>1</v>
      </c>
      <c r="H177" s="1">
        <f>'3.1.raw'!Z315</f>
        <v>5</v>
      </c>
      <c r="J177" s="1" t="str">
        <f>'3.1.raw'!AK315</f>
        <v>SAMPLE WITH FB1088, RED COLONY(10^4=5,10^5=0,10^6=0)</v>
      </c>
    </row>
    <row r="178">
      <c r="A178" s="23" t="str">
        <f t="shared" si="4"/>
        <v>PLc1044</v>
      </c>
      <c r="B178" s="23" t="str">
        <f>'3.1.raw'!L313</f>
        <v>PLc1044</v>
      </c>
      <c r="C178" s="24">
        <f>datevalue(left('3.1.raw'!O313,10))</f>
        <v>43762</v>
      </c>
      <c r="D178" s="23">
        <f>'3.1.raw'!I313</f>
        <v>11</v>
      </c>
      <c r="E178" s="1">
        <v>3.1</v>
      </c>
      <c r="F178" s="23" t="b">
        <f>if(countif(Status!C:C,A178)=1,TRUE, FALSE)</f>
        <v>1</v>
      </c>
      <c r="G178" s="1">
        <f t="shared" si="2"/>
        <v>1</v>
      </c>
      <c r="H178" s="1">
        <f>'3.1.raw'!Z313</f>
        <v>12</v>
      </c>
      <c r="J178" s="1" t="str">
        <f>'3.1.raw'!AK313</f>
        <v>SAMPLE WITH FB1087, RED COLONY (10^4=23,10^5=2,10^6=0)</v>
      </c>
    </row>
    <row r="179">
      <c r="A179" s="23" t="str">
        <f t="shared" si="4"/>
        <v>PLc1043</v>
      </c>
      <c r="B179" s="23" t="str">
        <f>'3.1.raw'!L298</f>
        <v>PLc1043</v>
      </c>
      <c r="C179" s="24">
        <f>datevalue(left('3.1.raw'!O298,10))</f>
        <v>43759</v>
      </c>
      <c r="D179" s="23">
        <f>'3.1.raw'!I298</f>
        <v>11</v>
      </c>
      <c r="E179" s="1">
        <v>3.1</v>
      </c>
      <c r="F179" s="23" t="b">
        <f>if(countif(Status!C:C,A179)=1,TRUE, FALSE)</f>
        <v>1</v>
      </c>
      <c r="G179" s="1">
        <f t="shared" si="2"/>
        <v>1</v>
      </c>
      <c r="H179" s="1">
        <f>'3.1.raw'!Z298</f>
        <v>140</v>
      </c>
      <c r="J179" s="1" t="str">
        <f>'3.1.raw'!AK298</f>
        <v>RED COLONY(10^4=50,10^5=16,10^6=1)</v>
      </c>
    </row>
    <row r="180">
      <c r="A180" s="23" t="str">
        <f t="shared" si="4"/>
        <v>PLc1042</v>
      </c>
      <c r="B180" s="23" t="str">
        <f>'3.1.raw'!L296</f>
        <v>PLc1042</v>
      </c>
      <c r="C180" s="24">
        <f>datevalue(left('3.1.raw'!O296,10))</f>
        <v>43759</v>
      </c>
      <c r="D180" s="23">
        <f>'3.1.raw'!I296</f>
        <v>11</v>
      </c>
      <c r="E180" s="1">
        <v>3.1</v>
      </c>
      <c r="F180" s="23" t="b">
        <f>if(countif(Status!C:C,A180)=1,TRUE, FALSE)</f>
        <v>1</v>
      </c>
      <c r="G180" s="1">
        <f t="shared" si="2"/>
        <v>1</v>
      </c>
      <c r="H180" s="1">
        <f>'3.1.raw'!Z296</f>
        <v>4</v>
      </c>
      <c r="J180" s="1" t="str">
        <f>'3.1.raw'!AK296</f>
        <v>RED COLONY(10^4=21,10^5=0,10^6=0)</v>
      </c>
    </row>
    <row r="181">
      <c r="A181" s="23" t="str">
        <f t="shared" si="4"/>
        <v>PLc1041</v>
      </c>
      <c r="B181" s="23" t="str">
        <f>'3.1.raw'!L294</f>
        <v>PLc1041</v>
      </c>
      <c r="C181" s="24">
        <f>datevalue(left('3.1.raw'!O294,10))</f>
        <v>43759</v>
      </c>
      <c r="D181" s="23">
        <f>'3.1.raw'!I294</f>
        <v>11</v>
      </c>
      <c r="E181" s="1">
        <v>3.1</v>
      </c>
      <c r="F181" s="23" t="b">
        <f>if(countif(Status!C:C,A181)=1,TRUE, FALSE)</f>
        <v>1</v>
      </c>
      <c r="G181" s="1">
        <f t="shared" si="2"/>
        <v>1</v>
      </c>
      <c r="H181" s="1">
        <f>'3.1.raw'!Z294</f>
        <v>53</v>
      </c>
      <c r="J181" s="1" t="str">
        <f>'3.1.raw'!AK294</f>
        <v>RED COLONY(10^4=19,10^5=3,10^6=1)</v>
      </c>
    </row>
    <row r="182">
      <c r="A182" s="23" t="str">
        <f t="shared" si="4"/>
        <v>PLc1040</v>
      </c>
      <c r="B182" s="23" t="str">
        <f>'3.1.raw'!L292</f>
        <v>PLc1040</v>
      </c>
      <c r="C182" s="24">
        <f>datevalue(left('3.1.raw'!O292,10))</f>
        <v>43759</v>
      </c>
      <c r="D182" s="23">
        <f>'3.1.raw'!I292</f>
        <v>11</v>
      </c>
      <c r="E182" s="1">
        <v>3.1</v>
      </c>
      <c r="F182" s="23" t="b">
        <f>if(countif(Status!C:C,A182)=1,TRUE, FALSE)</f>
        <v>1</v>
      </c>
      <c r="G182" s="1">
        <f t="shared" si="2"/>
        <v>1</v>
      </c>
      <c r="H182" s="1">
        <f>'3.1.raw'!Z292</f>
        <v>80</v>
      </c>
      <c r="J182" s="1" t="str">
        <f>'3.1.raw'!AK292</f>
        <v>RED COLONY(10^4=40,10^5=2,10^6=0)</v>
      </c>
    </row>
    <row r="183">
      <c r="A183" s="23" t="str">
        <f t="shared" si="4"/>
        <v>PLc1039</v>
      </c>
      <c r="B183" s="23" t="str">
        <f>'3.1.raw'!L290</f>
        <v>PLc1039</v>
      </c>
      <c r="C183" s="24">
        <f>datevalue(left('3.1.raw'!O290,10))</f>
        <v>43759</v>
      </c>
      <c r="D183" s="23">
        <f>'3.1.raw'!I290</f>
        <v>11</v>
      </c>
      <c r="E183" s="1">
        <v>3.1</v>
      </c>
      <c r="F183" s="23" t="b">
        <f>if(countif(Status!C:C,A183)=1,TRUE, FALSE)</f>
        <v>1</v>
      </c>
      <c r="G183" s="1">
        <f t="shared" si="2"/>
        <v>1</v>
      </c>
      <c r="H183" s="1">
        <f>'3.1.raw'!Z290</f>
        <v>13</v>
      </c>
      <c r="J183" s="1" t="str">
        <f>'3.1.raw'!AK290</f>
        <v>RED COLONY(10^4=44,10^5=7,10^6=1)</v>
      </c>
    </row>
    <row r="184">
      <c r="A184" s="23" t="str">
        <f t="shared" si="4"/>
        <v>PLc1038</v>
      </c>
      <c r="B184" s="23" t="str">
        <f>'3.1.raw'!L285</f>
        <v>PLc1038</v>
      </c>
      <c r="C184" s="24">
        <f>datevalue(left('3.1.raw'!O285,10))</f>
        <v>43755</v>
      </c>
      <c r="D184" s="23">
        <f>'3.1.raw'!I285</f>
        <v>11</v>
      </c>
      <c r="E184" s="1">
        <v>3.1</v>
      </c>
      <c r="F184" s="23" t="b">
        <f>if(countif(Status!C:C,A184)=1,TRUE, FALSE)</f>
        <v>1</v>
      </c>
      <c r="G184" s="1">
        <f t="shared" si="2"/>
        <v>1</v>
      </c>
      <c r="H184" s="1">
        <f>'3.1.raw'!Z285</f>
        <v>68</v>
      </c>
      <c r="J184" s="1" t="str">
        <f>'3.1.raw'!AK285</f>
        <v>RED COLONY(10^4=108,10^5=8,10^6=1)</v>
      </c>
    </row>
    <row r="185">
      <c r="A185" s="23" t="str">
        <f t="shared" si="4"/>
        <v>PLc1037</v>
      </c>
      <c r="B185" s="23" t="str">
        <f>'3.1.raw'!L283</f>
        <v>PLc1037</v>
      </c>
      <c r="C185" s="24">
        <f>datevalue(left('3.1.raw'!O283,10))</f>
        <v>43755</v>
      </c>
      <c r="D185" s="23">
        <f>'3.1.raw'!I283</f>
        <v>11</v>
      </c>
      <c r="E185" s="1">
        <v>3.1</v>
      </c>
      <c r="F185" s="23" t="b">
        <f>if(countif(Status!C:C,A185)=1,TRUE, FALSE)</f>
        <v>1</v>
      </c>
      <c r="G185" s="1">
        <f t="shared" si="2"/>
        <v>1</v>
      </c>
      <c r="H185" s="1">
        <f>'3.1.raw'!Z283</f>
        <v>13</v>
      </c>
      <c r="J185" s="1" t="str">
        <f>'3.1.raw'!AK283</f>
        <v>RED COLONY (10^4=10,10^5=1,10^6=0)</v>
      </c>
    </row>
    <row r="186">
      <c r="A186" s="23" t="str">
        <f t="shared" si="4"/>
        <v>PLC1036</v>
      </c>
      <c r="B186" s="23" t="str">
        <f>'3.1.raw'!L277</f>
        <v>PLC1036</v>
      </c>
      <c r="C186" s="24">
        <f>datevalue(left('3.1.raw'!O277,10))</f>
        <v>43752</v>
      </c>
      <c r="D186" s="23">
        <f>'3.1.raw'!I277</f>
        <v>11</v>
      </c>
      <c r="E186" s="1">
        <v>3.1</v>
      </c>
      <c r="F186" s="23" t="b">
        <f>if(countif(Status!C:C,A186)=1,TRUE, FALSE)</f>
        <v>1</v>
      </c>
      <c r="G186" s="1">
        <f t="shared" si="2"/>
        <v>0</v>
      </c>
      <c r="H186" s="1">
        <f>'3.1.raw'!Z277</f>
        <v>0</v>
      </c>
      <c r="J186" s="1" t="str">
        <f>'3.1.raw'!AK277</f>
        <v>RED COLONY(10^4=3,10^5=1,10^6=0)</v>
      </c>
    </row>
    <row r="187">
      <c r="A187" s="23" t="str">
        <f t="shared" si="4"/>
        <v>PLc1035</v>
      </c>
      <c r="B187" s="23" t="str">
        <f>'3.1.raw'!L275</f>
        <v>PLc1035</v>
      </c>
      <c r="C187" s="24">
        <f>datevalue(left('3.1.raw'!O275,10))</f>
        <v>43752</v>
      </c>
      <c r="D187" s="23">
        <f>'3.1.raw'!I275</f>
        <v>11</v>
      </c>
      <c r="E187" s="1">
        <v>3.1</v>
      </c>
      <c r="F187" s="23" t="b">
        <f>if(countif(Status!C:C,A187)=1,TRUE, FALSE)</f>
        <v>1</v>
      </c>
      <c r="G187" s="1" t="str">
        <f t="shared" si="2"/>
        <v/>
      </c>
      <c r="H187" s="1" t="str">
        <f>'3.1.raw'!Z275</f>
        <v/>
      </c>
      <c r="J187" s="1" t="str">
        <f>'3.1.raw'!AK275</f>
        <v>BLUE COLONY (10^4=270), RED COLONY(10^4=52,10^5=8,10^6=1)</v>
      </c>
    </row>
    <row r="188">
      <c r="A188" s="23" t="str">
        <f t="shared" si="4"/>
        <v>PLc1034</v>
      </c>
      <c r="B188" s="23" t="str">
        <f>'3.1.raw'!L272</f>
        <v>PLc1034</v>
      </c>
      <c r="C188" s="24">
        <f>datevalue(left('3.1.raw'!O272,10))</f>
        <v>43741</v>
      </c>
      <c r="D188" s="23">
        <f>'3.1.raw'!I272</f>
        <v>11</v>
      </c>
      <c r="E188" s="1">
        <v>3.1</v>
      </c>
      <c r="F188" s="23" t="b">
        <f>if(countif(Status!C:C,A188)=1,TRUE, FALSE)</f>
        <v>1</v>
      </c>
      <c r="G188" s="1">
        <f t="shared" si="2"/>
        <v>1</v>
      </c>
      <c r="H188" s="1">
        <f>'3.1.raw'!Z272</f>
        <v>8</v>
      </c>
      <c r="J188" s="1" t="str">
        <f>'3.1.raw'!AK272</f>
        <v>REDCOLONY(10^4=28,10^5=10,10^6=4)</v>
      </c>
    </row>
    <row r="189">
      <c r="A189" s="23" t="str">
        <f t="shared" si="4"/>
        <v>PLc1033</v>
      </c>
      <c r="B189" s="23" t="str">
        <f>'3.1.raw'!L270</f>
        <v>PLc1033</v>
      </c>
      <c r="C189" s="24">
        <f>datevalue(left('3.1.raw'!O270,10))</f>
        <v>43741</v>
      </c>
      <c r="D189" s="23">
        <f>'3.1.raw'!I270</f>
        <v>11</v>
      </c>
      <c r="E189" s="1">
        <v>3.1</v>
      </c>
      <c r="F189" s="23" t="b">
        <f>if(countif(Status!C:C,A189)=1,TRUE, FALSE)</f>
        <v>1</v>
      </c>
      <c r="G189" s="1">
        <f t="shared" si="2"/>
        <v>1</v>
      </c>
      <c r="H189" s="1">
        <f>'3.1.raw'!Z270</f>
        <v>192</v>
      </c>
      <c r="J189" s="1" t="str">
        <f>'3.1.raw'!AK270</f>
        <v>RED COLONY(10^4=36,10^5=18,10^6=0)</v>
      </c>
    </row>
    <row r="190">
      <c r="A190" s="23" t="str">
        <f t="shared" si="4"/>
        <v>PLc1032</v>
      </c>
      <c r="B190" s="23" t="str">
        <f>'3.1.raw'!L268</f>
        <v>PLc1032</v>
      </c>
      <c r="C190" s="24">
        <f>datevalue(left('3.1.raw'!O268,10))</f>
        <v>43741</v>
      </c>
      <c r="D190" s="23">
        <f>'3.1.raw'!I268</f>
        <v>11</v>
      </c>
      <c r="E190" s="1">
        <v>3.1</v>
      </c>
      <c r="F190" s="23" t="b">
        <f>if(countif(Status!C:C,A190)=1,TRUE, FALSE)</f>
        <v>1</v>
      </c>
      <c r="G190" s="1">
        <f t="shared" si="2"/>
        <v>1</v>
      </c>
      <c r="H190" s="1">
        <f>'3.1.raw'!Z268</f>
        <v>40</v>
      </c>
      <c r="J190" s="1" t="str">
        <f>'3.1.raw'!AK268</f>
        <v>RED COLONY(10^4=180,10^5=98,10^6=17)</v>
      </c>
    </row>
    <row r="191">
      <c r="A191" s="23" t="str">
        <f t="shared" si="4"/>
        <v>PLc1031</v>
      </c>
      <c r="B191" s="23" t="str">
        <f>'3.1.raw'!L265</f>
        <v>PLc1031</v>
      </c>
      <c r="C191" s="24">
        <f>datevalue(left('3.1.raw'!O265,10))</f>
        <v>43738</v>
      </c>
      <c r="D191" s="23">
        <f>'3.1.raw'!I265</f>
        <v>11</v>
      </c>
      <c r="E191" s="1">
        <v>3.1</v>
      </c>
      <c r="F191" s="23" t="b">
        <f>if(countif(Status!C:C,A191)=1,TRUE, FALSE)</f>
        <v>1</v>
      </c>
      <c r="G191" s="1">
        <f t="shared" si="2"/>
        <v>0</v>
      </c>
      <c r="H191" s="1">
        <f>'3.1.raw'!Z265</f>
        <v>0</v>
      </c>
      <c r="J191" s="1" t="str">
        <f>'3.1.raw'!AK265</f>
        <v>RED COLONY(10^4=13,10^5=0,10^6=0)</v>
      </c>
    </row>
    <row r="192">
      <c r="A192" s="23" t="str">
        <f t="shared" si="4"/>
        <v>PLc1030</v>
      </c>
      <c r="B192" s="23" t="str">
        <f>'3.1.raw'!L263</f>
        <v>PLc1030</v>
      </c>
      <c r="C192" s="24">
        <f>datevalue(left('3.1.raw'!O263,10))</f>
        <v>43738</v>
      </c>
      <c r="D192" s="23">
        <f>'3.1.raw'!I263</f>
        <v>11</v>
      </c>
      <c r="E192" s="1">
        <v>3.1</v>
      </c>
      <c r="F192" s="23" t="b">
        <f>if(countif(Status!C:C,A192)=1,TRUE, FALSE)</f>
        <v>1</v>
      </c>
      <c r="G192" s="1">
        <f t="shared" si="2"/>
        <v>1</v>
      </c>
      <c r="H192" s="1">
        <f>'3.1.raw'!Z263</f>
        <v>14</v>
      </c>
      <c r="J192" s="1" t="str">
        <f>'3.1.raw'!AK263</f>
        <v>sample with PLc1030, 13/2 mahendra roy lane, red colony(10^4=12,10^5=1,10^6=1))</v>
      </c>
    </row>
    <row r="193">
      <c r="A193" s="23" t="str">
        <f t="shared" si="4"/>
        <v>PLc1029</v>
      </c>
      <c r="B193" s="23" t="str">
        <f>'3.1.raw'!L261</f>
        <v>PLc1029</v>
      </c>
      <c r="C193" s="24">
        <f>datevalue(left('3.1.raw'!O261,10))</f>
        <v>43738</v>
      </c>
      <c r="D193" s="23">
        <f>'3.1.raw'!I261</f>
        <v>11</v>
      </c>
      <c r="E193" s="1">
        <v>3.1</v>
      </c>
      <c r="F193" s="23" t="b">
        <f>if(countif(Status!C:C,A193)=1,TRUE, FALSE)</f>
        <v>1</v>
      </c>
      <c r="G193" s="1">
        <f t="shared" si="2"/>
        <v>1</v>
      </c>
      <c r="H193" s="1">
        <f>'3.1.raw'!Z261</f>
        <v>13</v>
      </c>
      <c r="I193" s="1">
        <v>1.0</v>
      </c>
      <c r="J193" s="1" t="str">
        <f>'3.1.raw'!AK261</f>
        <v>RED COLONY(10^4=TNTC,10^5=57,10^6=3)</v>
      </c>
    </row>
    <row r="194">
      <c r="A194" s="23" t="str">
        <f t="shared" si="4"/>
        <v>PLc1028</v>
      </c>
      <c r="B194" s="23" t="str">
        <f>'3.1.raw'!L256</f>
        <v>PLc1028</v>
      </c>
      <c r="C194" s="24">
        <f>datevalue(left('3.1.raw'!O256,10))</f>
        <v>43734</v>
      </c>
      <c r="D194" s="23">
        <f>'3.1.raw'!I256</f>
        <v>11</v>
      </c>
      <c r="E194" s="1">
        <v>3.1</v>
      </c>
      <c r="F194" s="23" t="b">
        <f>if(countif(Status!C:C,A194)=1,TRUE, FALSE)</f>
        <v>1</v>
      </c>
      <c r="G194" s="1">
        <f t="shared" si="2"/>
        <v>1</v>
      </c>
      <c r="H194" s="1">
        <f>'3.1.raw'!Z256</f>
        <v>185</v>
      </c>
      <c r="J194" s="1" t="str">
        <f>'3.1.raw'!AK256</f>
        <v>RED COLONY(10^4=TNTC,10^5=28,10^6=4)</v>
      </c>
    </row>
    <row r="195">
      <c r="A195" s="23" t="str">
        <f t="shared" si="4"/>
        <v>PLc1027</v>
      </c>
      <c r="B195" s="23" t="str">
        <f>'3.1.raw'!L251</f>
        <v>PLc1027</v>
      </c>
      <c r="C195" s="24">
        <f>datevalue(left('3.1.raw'!O251,10))</f>
        <v>43731</v>
      </c>
      <c r="D195" s="23">
        <f>'3.1.raw'!I251</f>
        <v>11</v>
      </c>
      <c r="E195" s="1">
        <v>3.1</v>
      </c>
      <c r="F195" s="23" t="b">
        <f>if(countif(Status!C:C,A195)=1,TRUE, FALSE)</f>
        <v>1</v>
      </c>
      <c r="G195" s="1">
        <f t="shared" si="2"/>
        <v>1</v>
      </c>
      <c r="H195" s="1">
        <f>'3.1.raw'!Z251</f>
        <v>168</v>
      </c>
      <c r="J195" s="1" t="str">
        <f>'3.1.raw'!AK251</f>
        <v>RED COLONY (10^4=184,10^5=31,10^6=2)</v>
      </c>
    </row>
    <row r="196">
      <c r="A196" s="23" t="str">
        <f t="shared" si="4"/>
        <v>PLc1026</v>
      </c>
      <c r="B196" s="23" t="str">
        <f>'3.1.raw'!L246</f>
        <v>PLc1026</v>
      </c>
      <c r="C196" s="24">
        <f>datevalue(left('3.1.raw'!O246,10))</f>
        <v>43727</v>
      </c>
      <c r="D196" s="23">
        <f>'3.1.raw'!I246</f>
        <v>11</v>
      </c>
      <c r="E196" s="1">
        <v>3.1</v>
      </c>
      <c r="F196" s="23" t="b">
        <f>if(countif(Status!C:C,A196)=1,TRUE, FALSE)</f>
        <v>1</v>
      </c>
      <c r="G196" s="1">
        <f t="shared" si="2"/>
        <v>1</v>
      </c>
      <c r="H196" s="1">
        <f>'3.1.raw'!Z246</f>
        <v>22</v>
      </c>
      <c r="J196" s="1" t="str">
        <f>'3.1.raw'!AK246</f>
        <v>REC COLONY(10^4=98,10^5=5,10^6=1)</v>
      </c>
    </row>
    <row r="197">
      <c r="A197" s="23" t="str">
        <f t="shared" si="4"/>
        <v>PLc1025</v>
      </c>
      <c r="B197" s="23" t="str">
        <f>'3.1.raw'!L230</f>
        <v>PLc1025</v>
      </c>
      <c r="C197" s="24">
        <f>datevalue(left('3.1.raw'!O230,10))</f>
        <v>43724</v>
      </c>
      <c r="D197" s="23">
        <f>'3.1.raw'!I230</f>
        <v>11</v>
      </c>
      <c r="E197" s="1">
        <v>3.1</v>
      </c>
      <c r="F197" s="23" t="b">
        <f>if(countif(Status!C:C,A197)=1,TRUE, FALSE)</f>
        <v>1</v>
      </c>
      <c r="G197" s="1">
        <f t="shared" si="2"/>
        <v>1</v>
      </c>
      <c r="H197" s="1">
        <f>'3.1.raw'!Z230</f>
        <v>82</v>
      </c>
      <c r="I197" s="1">
        <v>1.0</v>
      </c>
      <c r="J197" s="1" t="str">
        <f>'3.1.raw'!AK230</f>
        <v>RED COLONY(10^4=61,10^5=12,10^6=0)</v>
      </c>
    </row>
    <row r="198">
      <c r="A198" s="23" t="str">
        <f t="shared" si="4"/>
        <v>PLc1023</v>
      </c>
      <c r="B198" s="23" t="str">
        <f>'3.1.raw'!L73</f>
        <v>PLc1023</v>
      </c>
      <c r="C198" s="24">
        <f>datevalue(left('3.1.raw'!O73,10))</f>
        <v>43647</v>
      </c>
      <c r="D198" s="23">
        <f>'3.1.raw'!I73</f>
        <v>11</v>
      </c>
      <c r="E198" s="1">
        <v>3.1</v>
      </c>
      <c r="F198" s="23" t="b">
        <f>if(countif(Status!C:C,A198)=1,TRUE, FALSE)</f>
        <v>1</v>
      </c>
      <c r="G198" s="1" t="str">
        <f t="shared" si="2"/>
        <v/>
      </c>
      <c r="H198" s="1" t="str">
        <f>'3.1.raw'!Z73</f>
        <v/>
      </c>
      <c r="J198" s="1" t="str">
        <f>'3.1.raw'!AK73</f>
        <v>BLUE COLONY COUNT : 1:10^6- NIL; &amp; RED COLONY COUNT - 1:10^3-TNTC; 1:10^4 - 47; 1:10^5- 2 ;1:10^6 - 01.VOLUME TESTED - 1 ML.</v>
      </c>
    </row>
    <row r="199">
      <c r="A199" s="23" t="str">
        <f t="shared" si="4"/>
        <v>PLc1006</v>
      </c>
      <c r="B199" s="23" t="str">
        <f>'3.1.raw'!L61</f>
        <v>PLc1006</v>
      </c>
      <c r="C199" s="24">
        <f>datevalue(left('3.1.raw'!O61,10))</f>
        <v>43615</v>
      </c>
      <c r="D199" s="23">
        <f>'3.1.raw'!I61</f>
        <v>11</v>
      </c>
      <c r="E199" s="1">
        <v>3.1</v>
      </c>
      <c r="F199" s="23" t="b">
        <f>if(countif(Status!C:C,A199)=1,TRUE, FALSE)</f>
        <v>1</v>
      </c>
      <c r="G199" s="1">
        <f t="shared" si="2"/>
        <v>1</v>
      </c>
      <c r="H199" s="1">
        <f>'3.1.raw'!Z61</f>
        <v>75</v>
      </c>
      <c r="J199" s="1" t="str">
        <f>'3.1.raw'!AK61</f>
        <v>FOR 10^6 DIL (1 ML)-8 BLUE COLONIES FOUND. THERE WERE 63, 39, 18 AND 3 RED COLONIES FOUND, RESPECTIVELY.</v>
      </c>
    </row>
    <row r="200">
      <c r="A200" s="23" t="str">
        <f t="shared" si="4"/>
        <v>PLc1005</v>
      </c>
      <c r="B200" s="23" t="str">
        <f>'3.1.raw'!L45</f>
        <v>PLc1005</v>
      </c>
      <c r="C200" s="24">
        <f>datevalue(left('3.1.raw'!O45,10))</f>
        <v>43612</v>
      </c>
      <c r="D200" s="23">
        <f>'3.1.raw'!I45</f>
        <v>11</v>
      </c>
      <c r="E200" s="1">
        <v>3.1</v>
      </c>
      <c r="F200" s="23" t="b">
        <f>if(countif(Status!C:C,A200)=1,TRUE, FALSE)</f>
        <v>1</v>
      </c>
      <c r="G200" s="1" t="str">
        <f t="shared" si="2"/>
        <v/>
      </c>
      <c r="H200" s="1" t="str">
        <f>'3.1.raw'!Z45</f>
        <v/>
      </c>
      <c r="J200" s="1" t="str">
        <f>'3.1.raw'!AK45</f>
        <v>Red colonies 1:1000-TDTC, 1:10000-34, 1:100000-3 AND 1:1000000-0 COLONIES FOUND. NO BLUE COLONIES FOUND AT1:1000000 DILUTION</v>
      </c>
    </row>
    <row r="201">
      <c r="A201" s="23" t="str">
        <f t="shared" si="4"/>
        <v>PLc1004</v>
      </c>
      <c r="B201" s="23" t="str">
        <f>'3.1.raw'!L44</f>
        <v>PLc1004</v>
      </c>
      <c r="C201" s="24">
        <f>datevalue(left('3.1.raw'!O44,10))</f>
        <v>43608</v>
      </c>
      <c r="D201" s="23">
        <f>'3.1.raw'!I44</f>
        <v>11</v>
      </c>
      <c r="E201" s="1">
        <v>3.1</v>
      </c>
      <c r="F201" s="23" t="b">
        <f>if(countif(Status!C:C,A201)=1,TRUE, FALSE)</f>
        <v>1</v>
      </c>
      <c r="G201" s="1">
        <f t="shared" si="2"/>
        <v>1</v>
      </c>
      <c r="H201" s="1">
        <f>'3.1.raw'!Z44</f>
        <v>42</v>
      </c>
      <c r="J201" s="1" t="str">
        <f>'3.1.raw'!AK44</f>
        <v>RED COLONIES FOUND FOR: 1:10^4 (1 ML)-56, 1:10^5 (1 ML)-14, AND 1:10^6 (1 ML)-3</v>
      </c>
    </row>
    <row r="202">
      <c r="A202" s="23" t="str">
        <f t="shared" si="4"/>
        <v>PLc1003</v>
      </c>
      <c r="B202" s="23" t="str">
        <f>'3.1.raw'!L30</f>
        <v>PLc1003</v>
      </c>
      <c r="C202" s="24">
        <f>datevalue(left('3.1.raw'!O30,10))</f>
        <v>43605</v>
      </c>
      <c r="D202" s="23">
        <f>'3.1.raw'!I30</f>
        <v>11</v>
      </c>
      <c r="E202" s="1">
        <v>3.1</v>
      </c>
      <c r="F202" s="23" t="b">
        <f>if(countif(Status!C:C,A202)=1,TRUE, FALSE)</f>
        <v>1</v>
      </c>
      <c r="G202" s="1">
        <f t="shared" si="2"/>
        <v>1</v>
      </c>
      <c r="H202" s="1">
        <f>'3.1.raw'!Z30</f>
        <v>97</v>
      </c>
      <c r="J202" s="1" t="str">
        <f>'3.1.raw'!AK30</f>
        <v>83 AND 2 RED COLONIES, FOR 1:1000 AND 1:10000 DILUTION, RESPECTIVELY</v>
      </c>
    </row>
    <row r="203">
      <c r="A203" s="23" t="str">
        <f t="shared" si="4"/>
        <v>PLc1002</v>
      </c>
      <c r="B203" s="23" t="str">
        <f>'3.1.raw'!L29</f>
        <v>PLc1002</v>
      </c>
      <c r="C203" s="24">
        <f>datevalue(left('3.1.raw'!O29,10))</f>
        <v>43601</v>
      </c>
      <c r="D203" s="23">
        <f>'3.1.raw'!I29</f>
        <v>11</v>
      </c>
      <c r="E203" s="1">
        <v>3.1</v>
      </c>
      <c r="F203" s="23" t="b">
        <f>if(countif(Status!C:C,A203)=1,TRUE, FALSE)</f>
        <v>1</v>
      </c>
      <c r="G203" s="1">
        <f t="shared" si="2"/>
        <v>1</v>
      </c>
      <c r="H203" s="1">
        <f>'3.1.raw'!Z29</f>
        <v>13</v>
      </c>
      <c r="J203" s="1" t="str">
        <f>'3.1.raw'!AK29</f>
        <v>32 AND 16 RED COLONIES, FOR 1:1000 AND 1:10000 DILUTION, RESPECTIVELY</v>
      </c>
    </row>
    <row r="204">
      <c r="A204" s="23" t="str">
        <f t="shared" si="4"/>
        <v>PLc1001</v>
      </c>
      <c r="B204" s="23" t="str">
        <f>'3.1.raw'!L18</f>
        <v>PLc1001</v>
      </c>
      <c r="C204" s="24">
        <f>datevalue(left('3.1.raw'!O18,10))</f>
        <v>43598</v>
      </c>
      <c r="D204" s="23">
        <f>'3.1.raw'!I18</f>
        <v>11</v>
      </c>
      <c r="E204" s="1">
        <v>3.1</v>
      </c>
      <c r="F204" s="23" t="b">
        <f>if(countif(Status!C:C,A204)=1,TRUE, FALSE)</f>
        <v>1</v>
      </c>
      <c r="G204" s="1">
        <f t="shared" si="2"/>
        <v>1</v>
      </c>
      <c r="H204" s="1">
        <f>'3.1.raw'!Z18</f>
        <v>146</v>
      </c>
      <c r="J204" s="1" t="str">
        <f>'3.1.raw'!AK18</f>
        <v>114 AND 14 RED COLONIES WERE DETECTED FOR 1:1000 AND 1:10000 DILUTION, RESPECTIVELY.</v>
      </c>
    </row>
    <row r="205">
      <c r="A205" s="23" t="str">
        <f t="shared" si="4"/>
        <v>PLc1024</v>
      </c>
      <c r="B205" s="23" t="str">
        <f>'3.1.raw'!L74</f>
        <v>PLc 1024</v>
      </c>
      <c r="C205" s="24">
        <f>datevalue(left('3.1.raw'!O74,10))</f>
        <v>43647</v>
      </c>
      <c r="D205" s="23">
        <f>'3.1.raw'!I74</f>
        <v>11</v>
      </c>
      <c r="E205" s="1">
        <v>3.1</v>
      </c>
      <c r="F205" s="23" t="b">
        <f>if(countif(Status!C:C,A205)=1,TRUE, FALSE)</f>
        <v>1</v>
      </c>
      <c r="G205" s="1">
        <f t="shared" si="2"/>
        <v>1</v>
      </c>
      <c r="H205" s="1">
        <f>'3.1.raw'!Z74</f>
        <v>65</v>
      </c>
      <c r="J205" s="1" t="str">
        <f>'3.1.raw'!AK74</f>
        <v>BLUE COLONY COUNT -1:10^6- 0 ; &amp; RED COLONY COUNT : 1:10^3- 43; 1:10^4 - 05; 1:10^5- 0; 1:10^6- 0 ;VOLUME TESTED 1ML.</v>
      </c>
    </row>
    <row r="206">
      <c r="A206" s="23" t="str">
        <f t="shared" si="4"/>
        <v>PL2003</v>
      </c>
      <c r="B206" s="23" t="str">
        <f>'3.1.raw'!L19</f>
        <v>PL2003</v>
      </c>
      <c r="C206" s="24">
        <f>datevalue(left('3.1.raw'!O19,10))</f>
        <v>43598</v>
      </c>
      <c r="D206" s="23">
        <f>'3.1.raw'!I19</f>
        <v>11</v>
      </c>
      <c r="E206" s="1">
        <v>3.1</v>
      </c>
      <c r="F206" s="23" t="b">
        <f>if(countif(Status!C:C,A206)=1,TRUE, FALSE)</f>
        <v>0</v>
      </c>
      <c r="G206" s="1">
        <f t="shared" si="2"/>
        <v>1</v>
      </c>
      <c r="H206" s="1">
        <f>'3.1.raw'!Z19</f>
        <v>11</v>
      </c>
      <c r="J206" s="1" t="str">
        <f>'3.1.raw'!AK19</f>
        <v>2 AND NONE RED COLONIES WERE DETECTED FOR 1:1000 AND 1: 10000 DILUTIONS, RESPECTIVELY.</v>
      </c>
    </row>
    <row r="207">
      <c r="A207" s="23" t="str">
        <f t="shared" si="4"/>
        <v>PL2002</v>
      </c>
      <c r="B207" s="23" t="str">
        <f>'3.1.raw'!L11</f>
        <v>PL2002</v>
      </c>
      <c r="C207" s="24">
        <f>datevalue(left('3.1.raw'!O11,10))</f>
        <v>43593</v>
      </c>
      <c r="D207" s="23">
        <f>'3.1.raw'!I11</f>
        <v>11</v>
      </c>
      <c r="E207" s="1">
        <v>3.1</v>
      </c>
      <c r="F207" s="23" t="b">
        <f>if(countif(Status!C:C,A207)=1,TRUE, FALSE)</f>
        <v>0</v>
      </c>
      <c r="G207" s="1" t="str">
        <f t="shared" si="2"/>
        <v/>
      </c>
      <c r="H207" s="1" t="str">
        <f>'3.1.raw'!Z11</f>
        <v/>
      </c>
      <c r="J207" s="1" t="str">
        <f>'3.1.raw'!AK11</f>
        <v/>
      </c>
    </row>
    <row r="208">
      <c r="A208" s="23" t="str">
        <f t="shared" si="4"/>
        <v>PL1023</v>
      </c>
      <c r="B208" s="23" t="str">
        <f>'3.1.raw'!L214</f>
        <v>PL1023</v>
      </c>
      <c r="C208" s="24">
        <f>datevalue(left('3.1.raw'!O214,10))</f>
        <v>43712</v>
      </c>
      <c r="D208" s="23">
        <f>'3.1.raw'!I214</f>
        <v>11</v>
      </c>
      <c r="E208" s="1">
        <v>3.1</v>
      </c>
      <c r="F208" s="23" t="b">
        <f>if(countif(Status!C:C,A208)=1,TRUE, FALSE)</f>
        <v>1</v>
      </c>
      <c r="G208" s="1">
        <f t="shared" si="2"/>
        <v>1</v>
      </c>
      <c r="H208" s="1">
        <f>'3.1.raw'!Z214</f>
        <v>3</v>
      </c>
      <c r="J208" s="1" t="str">
        <f>'3.1.raw'!AK214</f>
        <v>RED COLONY(10^4=18,10^5=40,10^6=0)</v>
      </c>
    </row>
    <row r="209">
      <c r="A209" s="23" t="str">
        <f t="shared" si="4"/>
        <v>PL1022</v>
      </c>
      <c r="B209" s="23" t="str">
        <f>'3.1.raw'!L206</f>
        <v>PL1022</v>
      </c>
      <c r="C209" s="24">
        <f>datevalue(left('3.1.raw'!O206,10))</f>
        <v>43711</v>
      </c>
      <c r="D209" s="23">
        <f>'3.1.raw'!I206</f>
        <v>11</v>
      </c>
      <c r="E209" s="1">
        <v>3.1</v>
      </c>
      <c r="F209" s="23" t="b">
        <f>if(countif(Status!C:C,A209)=1,TRUE, FALSE)</f>
        <v>1</v>
      </c>
      <c r="G209" s="1">
        <f t="shared" si="2"/>
        <v>1</v>
      </c>
      <c r="H209" s="1">
        <f>'3.1.raw'!Z206</f>
        <v>4</v>
      </c>
      <c r="I209" s="1">
        <v>1.0</v>
      </c>
      <c r="J209" s="1" t="str">
        <f>'3.1.raw'!AK206</f>
        <v>RED COLONY(10^4=5,10^5=2,10^6=0)</v>
      </c>
    </row>
    <row r="210">
      <c r="A210" s="23" t="str">
        <f t="shared" si="4"/>
        <v>PL1021</v>
      </c>
      <c r="B210" s="23" t="str">
        <f>'3.1.raw'!L200</f>
        <v>PL1021</v>
      </c>
      <c r="C210" s="24">
        <f>datevalue(left('3.1.raw'!O200,10))</f>
        <v>43711</v>
      </c>
      <c r="D210" s="23">
        <f>'3.1.raw'!I200</f>
        <v>11</v>
      </c>
      <c r="E210" s="1">
        <v>3.1</v>
      </c>
      <c r="F210" s="23" t="b">
        <f>if(countif(Status!C:C,A210)=1,TRUE, FALSE)</f>
        <v>1</v>
      </c>
      <c r="G210" s="1">
        <f t="shared" si="2"/>
        <v>1</v>
      </c>
      <c r="H210" s="1">
        <f>'3.1.raw'!Z200</f>
        <v>10</v>
      </c>
      <c r="J210" s="1" t="str">
        <f>'3.1.raw'!AK200</f>
        <v>RED COLONY(10^4=11,10^5=7,10^6=4)</v>
      </c>
    </row>
    <row r="211">
      <c r="A211" s="23" t="str">
        <f t="shared" si="4"/>
        <v>PL1020</v>
      </c>
      <c r="B211" s="23" t="str">
        <f>'3.1.raw'!L175</f>
        <v>PL1020</v>
      </c>
      <c r="C211" s="24">
        <f>datevalue(left('3.1.raw'!O175,10))</f>
        <v>43704</v>
      </c>
      <c r="D211" s="23">
        <f>'3.1.raw'!I175</f>
        <v>11</v>
      </c>
      <c r="E211" s="1">
        <v>3.1</v>
      </c>
      <c r="F211" s="23" t="b">
        <f>if(countif(Status!C:C,A211)=1,TRUE, FALSE)</f>
        <v>1</v>
      </c>
      <c r="G211" s="1" t="str">
        <f t="shared" si="2"/>
        <v/>
      </c>
      <c r="H211" s="1" t="str">
        <f>'3.1.raw'!Z175</f>
        <v/>
      </c>
      <c r="J211" s="1" t="str">
        <f>'3.1.raw'!AK175</f>
        <v>BLUE COLONY(10^6=1),RED COLONY(10^3=TDTC,10^4=TNTC,10^5=30,10^6=8)</v>
      </c>
    </row>
    <row r="212">
      <c r="A212" s="23" t="str">
        <f t="shared" si="4"/>
        <v>PL1019</v>
      </c>
      <c r="B212" s="23" t="str">
        <f>'3.1.raw'!L150</f>
        <v>PL1019</v>
      </c>
      <c r="C212" s="24">
        <f>datevalue(left('3.1.raw'!O150,10))</f>
        <v>43697</v>
      </c>
      <c r="D212" s="23">
        <f>'3.1.raw'!I150</f>
        <v>11</v>
      </c>
      <c r="E212" s="1">
        <v>3.1</v>
      </c>
      <c r="F212" s="23" t="b">
        <f>if(countif(Status!C:C,A212)=1,TRUE, FALSE)</f>
        <v>1</v>
      </c>
      <c r="G212" s="1" t="str">
        <f t="shared" si="2"/>
        <v/>
      </c>
      <c r="H212" s="1" t="str">
        <f>'3.1.raw'!Z150</f>
        <v/>
      </c>
      <c r="J212" s="1" t="str">
        <f>'3.1.raw'!AK150</f>
        <v>BLUE COLONY(10^6=5),RED COLONY(10^3=TNTC,10^4=TNTC,10^5=29,10^6=7)</v>
      </c>
    </row>
    <row r="213">
      <c r="A213" s="23" t="str">
        <f t="shared" si="4"/>
        <v>PL1018</v>
      </c>
      <c r="B213" s="23" t="str">
        <f>'3.1.raw'!L129</f>
        <v>PL1018</v>
      </c>
      <c r="C213" s="24">
        <f>datevalue(left('3.1.raw'!O129,10))</f>
        <v>43684</v>
      </c>
      <c r="D213" s="23">
        <f>'3.1.raw'!I129</f>
        <v>11</v>
      </c>
      <c r="E213" s="1">
        <v>3.1</v>
      </c>
      <c r="F213" s="23" t="b">
        <f>if(countif(Status!C:C,A213)=1,TRUE, FALSE)</f>
        <v>1</v>
      </c>
      <c r="G213" s="1">
        <f t="shared" si="2"/>
        <v>1</v>
      </c>
      <c r="H213" s="1">
        <f>'3.1.raw'!Z129</f>
        <v>4</v>
      </c>
      <c r="J213" s="1" t="str">
        <f>'3.1.raw'!AK129</f>
        <v>BLUE COLONY(10^6=0),RED COLONY(10^3=3,10^4=0,10^5=1,10^6=0)</v>
      </c>
    </row>
    <row r="214">
      <c r="A214" s="23" t="str">
        <f t="shared" si="4"/>
        <v>PL1017</v>
      </c>
      <c r="B214" s="23" t="str">
        <f>'3.1.raw'!L118</f>
        <v>PL1017</v>
      </c>
      <c r="C214" s="24">
        <f>datevalue(left('3.1.raw'!O118,10))</f>
        <v>43682</v>
      </c>
      <c r="D214" s="23">
        <f>'3.1.raw'!I118</f>
        <v>11</v>
      </c>
      <c r="E214" s="1">
        <v>3.1</v>
      </c>
      <c r="F214" s="23" t="b">
        <f>if(countif(Status!C:C,A214)=1,TRUE, FALSE)</f>
        <v>1</v>
      </c>
      <c r="G214" s="1">
        <f t="shared" si="2"/>
        <v>1</v>
      </c>
      <c r="H214" s="1">
        <f>'3.1.raw'!Z118</f>
        <v>112</v>
      </c>
      <c r="J214" s="1" t="str">
        <f>'3.1.raw'!AK118</f>
        <v>BLUE COLONY(10^6=0) RED COLONY(10^3=58,10^4=3,10^5=0,10^6=0)</v>
      </c>
    </row>
    <row r="215">
      <c r="A215" s="23" t="str">
        <f t="shared" si="4"/>
        <v>PL1016</v>
      </c>
      <c r="B215" s="23" t="str">
        <f>'3.1.raw'!L113</f>
        <v>PL1016</v>
      </c>
      <c r="C215" s="24">
        <f>datevalue(left('3.1.raw'!O113,10))</f>
        <v>43677</v>
      </c>
      <c r="D215" s="23">
        <f>'3.1.raw'!I113</f>
        <v>11</v>
      </c>
      <c r="E215" s="1">
        <v>3.1</v>
      </c>
      <c r="F215" s="23" t="b">
        <f>if(countif(Status!C:C,A215)=1,TRUE, FALSE)</f>
        <v>1</v>
      </c>
      <c r="G215" s="1">
        <f t="shared" si="2"/>
        <v>1</v>
      </c>
      <c r="H215" s="1">
        <f>'3.1.raw'!Z113</f>
        <v>2</v>
      </c>
      <c r="J215" s="1" t="str">
        <f>'3.1.raw'!AK113</f>
        <v>BLUE COLONY(10^6=0) RED COLONY(10^3=12,10^4=1,10^5=2,10^6=0)</v>
      </c>
    </row>
    <row r="216">
      <c r="A216" s="23" t="str">
        <f t="shared" si="4"/>
        <v>PL1015</v>
      </c>
      <c r="B216" s="23" t="str">
        <f>'3.1.raw'!L102</f>
        <v>PL1015</v>
      </c>
      <c r="C216" s="24">
        <f>datevalue(left('3.1.raw'!O102,10))</f>
        <v>43675</v>
      </c>
      <c r="D216" s="23">
        <f>'3.1.raw'!I102</f>
        <v>11</v>
      </c>
      <c r="E216" s="1">
        <v>3.1</v>
      </c>
      <c r="F216" s="23" t="b">
        <f>if(countif(Status!C:C,A216)=1,TRUE, FALSE)</f>
        <v>1</v>
      </c>
      <c r="G216" s="1">
        <f t="shared" si="2"/>
        <v>1</v>
      </c>
      <c r="H216" s="1">
        <f>'3.1.raw'!Z102</f>
        <v>21</v>
      </c>
      <c r="I216" s="1">
        <v>1.0</v>
      </c>
      <c r="J216" s="1" t="str">
        <f>'3.1.raw'!AK102</f>
        <v>BLUE COLONY(10^6=0),RED COLONY(10^3=64,10^4=8,10^5=1,10^6=0)</v>
      </c>
    </row>
    <row r="217">
      <c r="A217" s="23" t="str">
        <f t="shared" si="4"/>
        <v>PL1014</v>
      </c>
      <c r="B217" s="23" t="str">
        <f>'3.1.raw'!L96</f>
        <v>PL1014</v>
      </c>
      <c r="C217" s="24">
        <f>datevalue(left('3.1.raw'!O96,10))</f>
        <v>43670</v>
      </c>
      <c r="D217" s="23">
        <f>'3.1.raw'!I96</f>
        <v>11</v>
      </c>
      <c r="E217" s="1">
        <v>3.1</v>
      </c>
      <c r="F217" s="23" t="b">
        <f>if(countif(Status!C:C,A217)=1,TRUE, FALSE)</f>
        <v>1</v>
      </c>
      <c r="G217" s="1">
        <f t="shared" si="2"/>
        <v>1</v>
      </c>
      <c r="H217" s="1">
        <f>'3.1.raw'!Z96</f>
        <v>132</v>
      </c>
      <c r="J217" s="1" t="str">
        <f>'3.1.raw'!AK96</f>
        <v>BLUE COLONY(10^6=0) RED COLONY(10^3=84,10^4=9,10^5=1,10^6=1)</v>
      </c>
    </row>
    <row r="218">
      <c r="A218" s="23" t="str">
        <f t="shared" si="4"/>
        <v>PL1013</v>
      </c>
      <c r="B218" s="23" t="str">
        <f>'3.1.raw'!L88</f>
        <v>PL1013</v>
      </c>
      <c r="C218" s="24">
        <f>datevalue(left('3.1.raw'!O88,10))</f>
        <v>43668</v>
      </c>
      <c r="D218" s="23">
        <f>'3.1.raw'!I88</f>
        <v>11</v>
      </c>
      <c r="E218" s="1">
        <v>3.1</v>
      </c>
      <c r="F218" s="23" t="b">
        <f>if(countif(Status!C:C,A218)=1,TRUE, FALSE)</f>
        <v>1</v>
      </c>
      <c r="G218" s="1">
        <f t="shared" si="2"/>
        <v>1</v>
      </c>
      <c r="H218" s="1">
        <f>'3.1.raw'!Z88</f>
        <v>15</v>
      </c>
      <c r="J218" s="1" t="str">
        <f>'3.1.raw'!AK88</f>
        <v>NO BLUE COLONOLY WAS OBSERVED AT 10^6 DILUTION AND RED COLONY WAS FOUND TO BE 45 AT 10^3, 3 RED COLONIES AT 10^4 AND NO RED COLONIES WERE OBSERVED AT 10^5 AND 10^6 DILUTIONS</v>
      </c>
    </row>
    <row r="219">
      <c r="A219" s="23" t="str">
        <f t="shared" si="4"/>
        <v>PL1012</v>
      </c>
      <c r="B219" s="23" t="str">
        <f>'3.1.raw'!L81</f>
        <v>PL1012</v>
      </c>
      <c r="C219" s="24">
        <f>datevalue(left('3.1.raw'!O81,10))</f>
        <v>43663</v>
      </c>
      <c r="D219" s="23">
        <f>'3.1.raw'!I81</f>
        <v>11</v>
      </c>
      <c r="E219" s="1">
        <v>3.1</v>
      </c>
      <c r="F219" s="23" t="b">
        <f>if(countif(Status!C:C,A219)=1,TRUE, FALSE)</f>
        <v>1</v>
      </c>
      <c r="G219" s="1">
        <f t="shared" si="2"/>
        <v>1</v>
      </c>
      <c r="H219" s="1">
        <f>'3.1.raw'!Z81</f>
        <v>32</v>
      </c>
      <c r="J219" s="1" t="str">
        <f>'3.1.raw'!AK81</f>
        <v>BLUE COLONIES (10^6=0), RED COLONIES(10^3=30,10^4=4,10^5=1,10^6=0)</v>
      </c>
    </row>
    <row r="220">
      <c r="A220" s="23" t="str">
        <f t="shared" si="4"/>
        <v>PL1011</v>
      </c>
      <c r="B220" s="23" t="str">
        <f>'3.1.raw'!L79</f>
        <v>PL1011</v>
      </c>
      <c r="C220" s="24">
        <f>datevalue(left('3.1.raw'!O79,10))</f>
        <v>43661</v>
      </c>
      <c r="D220" s="23">
        <f>'3.1.raw'!I79</f>
        <v>11</v>
      </c>
      <c r="E220" s="1">
        <v>3.1</v>
      </c>
      <c r="F220" s="23" t="b">
        <f>if(countif(Status!C:C,A220)=1,TRUE, FALSE)</f>
        <v>1</v>
      </c>
      <c r="G220" s="1">
        <f t="shared" si="2"/>
        <v>1</v>
      </c>
      <c r="H220" s="1">
        <f>'3.1.raw'!Z79</f>
        <v>12</v>
      </c>
      <c r="J220" s="1" t="str">
        <f>'3.1.raw'!AK79</f>
        <v>Blue(10^-6=0) ,Red(10^-3=16, 10^-4=4, 10^-5=0, 10^-6=0)</v>
      </c>
    </row>
    <row r="221">
      <c r="A221" s="23" t="str">
        <f t="shared" si="4"/>
        <v>PL1010</v>
      </c>
      <c r="B221" s="23" t="str">
        <f>'3.1.raw'!L76</f>
        <v>PL1010</v>
      </c>
      <c r="C221" s="24">
        <f>datevalue(left('3.1.raw'!O76,10))</f>
        <v>43656</v>
      </c>
      <c r="D221" s="23">
        <f>'3.1.raw'!I76</f>
        <v>11</v>
      </c>
      <c r="E221" s="1">
        <v>3.1</v>
      </c>
      <c r="F221" s="23" t="b">
        <f>if(countif(Status!C:C,A221)=1,TRUE, FALSE)</f>
        <v>1</v>
      </c>
      <c r="G221" s="1" t="str">
        <f t="shared" si="2"/>
        <v/>
      </c>
      <c r="H221" s="1" t="str">
        <f>'3.1.raw'!Z76</f>
        <v/>
      </c>
      <c r="J221" s="1" t="str">
        <f>'3.1.raw'!AK76</f>
        <v>BLUE COLONY COUNT FOR DILUTION 1:10^6-NIL; &amp; RED COLONYCOUNT-1:10^3-148; 1:10^4-20; 1:10^5-3 ; 1:10^6 - NIL; VOLUME TESTED BY 1ML.</v>
      </c>
    </row>
    <row r="222">
      <c r="A222" s="23" t="str">
        <f t="shared" si="4"/>
        <v>PL1009</v>
      </c>
      <c r="B222" s="23" t="str">
        <f>'3.1.raw'!L75</f>
        <v>PL1009</v>
      </c>
      <c r="C222" s="24">
        <f>datevalue(left('3.1.raw'!O75,10))</f>
        <v>43654</v>
      </c>
      <c r="D222" s="23">
        <f>'3.1.raw'!I75</f>
        <v>11</v>
      </c>
      <c r="E222" s="1">
        <v>3.1</v>
      </c>
      <c r="F222" s="23" t="b">
        <f>if(countif(Status!C:C,A222)=1,TRUE, FALSE)</f>
        <v>1</v>
      </c>
      <c r="G222" s="1">
        <f t="shared" si="2"/>
        <v>1</v>
      </c>
      <c r="H222" s="1">
        <f>'3.1.raw'!Z75</f>
        <v>60</v>
      </c>
      <c r="J222" s="1" t="str">
        <f>'3.1.raw'!AK75</f>
        <v>BLUE COLONY COUNT IN 1:10^6- NIL;&amp; RED COLONY COUNT : 1:10^3- 25; 1:10^4- 02; 1:10^5- NIL; 1:10^6- NIL.</v>
      </c>
    </row>
    <row r="223">
      <c r="A223" s="23" t="str">
        <f t="shared" si="4"/>
        <v>PL1006</v>
      </c>
      <c r="B223" s="23" t="str">
        <f>'3.1.raw'!L63</f>
        <v>PL1006</v>
      </c>
      <c r="C223" s="24">
        <f>datevalue(left('3.1.raw'!O63,10))</f>
        <v>43619</v>
      </c>
      <c r="D223" s="23">
        <f>'3.1.raw'!I63</f>
        <v>11</v>
      </c>
      <c r="E223" s="1">
        <v>3.1</v>
      </c>
      <c r="F223" s="23" t="b">
        <f>if(countif(Status!C:C,A223)=1,TRUE, FALSE)</f>
        <v>1</v>
      </c>
      <c r="G223" s="1">
        <f t="shared" si="2"/>
        <v>1</v>
      </c>
      <c r="H223" s="1">
        <f>'3.1.raw'!Z63</f>
        <v>48</v>
      </c>
      <c r="J223" s="1" t="str">
        <f>'3.1.raw'!AK63</f>
        <v>NO BLUE COLONIES FOUND AT 10^6 DILUTION. OBSERVATION FOR RED COLONIES AT VARIOUS DILUTIONWAS 51, SMUDGE, NIL, NIL FOR 10^3, 10^4, 10^5 AND 10^6 DILUTION, RESPECTIVELY.</v>
      </c>
    </row>
    <row r="224">
      <c r="A224" s="23" t="str">
        <f t="shared" si="4"/>
        <v>PL1005</v>
      </c>
      <c r="B224" s="23" t="str">
        <f>'3.1.raw'!L60</f>
        <v>PL1005</v>
      </c>
      <c r="C224" s="24">
        <f>datevalue(left('3.1.raw'!O60,10))</f>
        <v>43614</v>
      </c>
      <c r="D224" s="23">
        <f>'3.1.raw'!I60</f>
        <v>11</v>
      </c>
      <c r="E224" s="1">
        <v>3.1</v>
      </c>
      <c r="F224" s="23" t="b">
        <f>if(countif(Status!C:C,A224)=1,TRUE, FALSE)</f>
        <v>1</v>
      </c>
      <c r="G224" s="1" t="str">
        <f t="shared" si="2"/>
        <v/>
      </c>
      <c r="H224" s="1" t="str">
        <f>'3.1.raw'!Z60</f>
        <v/>
      </c>
      <c r="J224" s="1" t="str">
        <f>'3.1.raw'!AK60</f>
        <v>AT 1:10^6 DIL (1ML): NO BLUE COLONY FOUND.THE OBSERVATION FOR RED COLONIES WERE TNTC, 39, 6 AND NIL, RESPECTIVELY.</v>
      </c>
    </row>
    <row r="225">
      <c r="A225" s="23" t="str">
        <f t="shared" si="4"/>
        <v>PL1004</v>
      </c>
      <c r="B225" s="23" t="str">
        <f>'3.1.raw'!L50</f>
        <v>PL1004</v>
      </c>
      <c r="C225" s="24">
        <f>datevalue(left('3.1.raw'!O50,10))</f>
        <v>43612</v>
      </c>
      <c r="D225" s="23">
        <f>'3.1.raw'!I50</f>
        <v>11</v>
      </c>
      <c r="E225" s="1">
        <v>3.1</v>
      </c>
      <c r="F225" s="23" t="b">
        <f>if(countif(Status!C:C,A225)=1,TRUE, FALSE)</f>
        <v>1</v>
      </c>
      <c r="G225" s="1" t="str">
        <f t="shared" si="2"/>
        <v/>
      </c>
      <c r="H225" s="1" t="str">
        <f>'3.1.raw'!Z50</f>
        <v/>
      </c>
      <c r="J225" s="1" t="str">
        <f>'3.1.raw'!AK50</f>
        <v>1:10^6- 1 BLUE COLONY; OBSERVATION FOR RED COLONIES: TNTC, 68, 13, 02, RESPECTIVELY.</v>
      </c>
    </row>
    <row r="226">
      <c r="A226" s="23" t="str">
        <f t="shared" si="4"/>
        <v>PL1003</v>
      </c>
      <c r="B226" s="23" t="str">
        <f>'3.1.raw'!L42</f>
        <v>PL1003</v>
      </c>
      <c r="C226" s="24">
        <f>datevalue(left('3.1.raw'!O42,10))</f>
        <v>43607</v>
      </c>
      <c r="D226" s="23">
        <f>'3.1.raw'!I42</f>
        <v>11</v>
      </c>
      <c r="E226" s="1">
        <v>3.1</v>
      </c>
      <c r="F226" s="23" t="b">
        <f>if(countif(Status!C:C,A226)=1,TRUE, FALSE)</f>
        <v>1</v>
      </c>
      <c r="G226" s="1">
        <f t="shared" si="2"/>
        <v>1</v>
      </c>
      <c r="H226" s="1">
        <f>'3.1.raw'!Z42</f>
        <v>2</v>
      </c>
      <c r="J226" s="1" t="str">
        <f>'3.1.raw'!AK42</f>
        <v>OBSERVATION FOR RED COLONIES: 1:10000 (1 ML)-13 COLONIES, 1:100000 (1 ML)-SINGLE COLONY, 1:1000000 (1 ML)-SINGLE COLONY</v>
      </c>
    </row>
    <row r="227">
      <c r="A227" s="23" t="str">
        <f t="shared" si="4"/>
        <v>PL1002</v>
      </c>
      <c r="B227" s="23" t="str">
        <f>'3.1.raw'!L25</f>
        <v>PL1002</v>
      </c>
      <c r="C227" s="24">
        <f>datevalue(left('3.1.raw'!O25,10))</f>
        <v>43600</v>
      </c>
      <c r="D227" s="23">
        <f>'3.1.raw'!I25</f>
        <v>11</v>
      </c>
      <c r="E227" s="1">
        <v>3.1</v>
      </c>
      <c r="F227" s="23" t="b">
        <f>if(countif(Status!C:C,A227)=1,TRUE, FALSE)</f>
        <v>1</v>
      </c>
      <c r="G227" s="1">
        <f t="shared" si="2"/>
        <v>1</v>
      </c>
      <c r="H227" s="1">
        <f>'3.1.raw'!Z25</f>
        <v>3</v>
      </c>
      <c r="J227" s="1" t="str">
        <f>'3.1.raw'!AK25</f>
        <v>7 AND 2 RED COLONIES, FOR 1:1000 AND 1:10000 DILUTION, RESPECTIVELY</v>
      </c>
    </row>
    <row r="228">
      <c r="A228" s="49" t="s">
        <v>53</v>
      </c>
      <c r="B228" s="23" t="str">
        <f>'3.1.raw'!L2</f>
        <v>PL 1001</v>
      </c>
      <c r="C228" s="24">
        <f>datevalue(left('3.1.raw'!O2,10))</f>
        <v>43586</v>
      </c>
      <c r="D228" s="23">
        <f>'3.1.raw'!I2</f>
        <v>7</v>
      </c>
      <c r="E228" s="1">
        <v>3.1</v>
      </c>
      <c r="F228" s="23" t="b">
        <f>if(countif(Status!C:C,A228)=1,TRUE, FALSE)</f>
        <v>0</v>
      </c>
      <c r="G228" s="1" t="str">
        <f t="shared" si="2"/>
        <v/>
      </c>
      <c r="H228" s="1" t="str">
        <f>'3.1.raw'!Z2</f>
        <v/>
      </c>
      <c r="I228" s="23" t="str">
        <f>'3.1.raw'!AJ2</f>
        <v/>
      </c>
      <c r="J228" s="1" t="str">
        <f>'3.1.raw'!AK2</f>
        <v>30 and 3 red colonies found for 10^3 and 10^4 dilution, respectively.</v>
      </c>
    </row>
    <row r="229">
      <c r="A229" s="23" t="str">
        <f t="shared" ref="A229:A253" si="5">SUBSTITUTE(B229, " ", "")</f>
        <v>OD1005</v>
      </c>
      <c r="B229" s="23" t="str">
        <f>'3.1.raw'!L126</f>
        <v>OD1005</v>
      </c>
      <c r="C229" s="24">
        <f>datevalue(left('3.1.raw'!O126,10))</f>
        <v>43683</v>
      </c>
      <c r="D229" s="23">
        <f>'3.1.raw'!I126</f>
        <v>1</v>
      </c>
      <c r="E229" s="1">
        <v>3.1</v>
      </c>
      <c r="F229" s="23" t="b">
        <f>if(countif(Status!C:C,A229)=1,TRUE, FALSE)</f>
        <v>1</v>
      </c>
      <c r="G229" s="1" t="str">
        <f t="shared" si="2"/>
        <v/>
      </c>
      <c r="H229" s="1" t="str">
        <f>'3.1.raw'!Z126</f>
        <v/>
      </c>
      <c r="J229" s="1" t="str">
        <f>'3.1.raw'!AK126</f>
        <v>RED COLONY(10^3=TDTC,10^4=84</v>
      </c>
    </row>
    <row r="230">
      <c r="A230" s="23" t="str">
        <f t="shared" si="5"/>
        <v>OD1004</v>
      </c>
      <c r="B230" s="23" t="str">
        <f>'3.1.raw'!L125</f>
        <v>OD1004</v>
      </c>
      <c r="C230" s="24">
        <f>datevalue(left('3.1.raw'!O125,10))</f>
        <v>43683</v>
      </c>
      <c r="D230" s="23">
        <f>'3.1.raw'!I125</f>
        <v>1</v>
      </c>
      <c r="E230" s="1">
        <v>3.1</v>
      </c>
      <c r="F230" s="23" t="b">
        <f>if(countif(Status!C:C,A230)=1,TRUE, FALSE)</f>
        <v>1</v>
      </c>
      <c r="G230" s="1" t="str">
        <f t="shared" si="2"/>
        <v/>
      </c>
      <c r="H230" s="1" t="str">
        <f>'3.1.raw'!Z125</f>
        <v/>
      </c>
      <c r="J230" s="1" t="str">
        <f>'3.1.raw'!AK125</f>
        <v>RED COLONY(10^3=TDTC,10^4=162</v>
      </c>
    </row>
    <row r="231">
      <c r="A231" s="23" t="str">
        <f t="shared" si="5"/>
        <v>OD1003</v>
      </c>
      <c r="B231" s="23" t="str">
        <f>'3.1.raw'!L70</f>
        <v>OD1003</v>
      </c>
      <c r="C231" s="24">
        <f>datevalue(left('3.1.raw'!O70,10))</f>
        <v>43620</v>
      </c>
      <c r="D231" s="23">
        <f>'3.1.raw'!I70</f>
        <v>1</v>
      </c>
      <c r="E231" s="1">
        <v>3.1</v>
      </c>
      <c r="F231" s="23" t="b">
        <f>if(countif(Status!C:C,A231)=1,TRUE, FALSE)</f>
        <v>1</v>
      </c>
      <c r="G231" s="1">
        <f t="shared" si="2"/>
        <v>1</v>
      </c>
      <c r="H231" s="1">
        <f>'3.1.raw'!Z70</f>
        <v>42</v>
      </c>
      <c r="J231" s="1" t="str">
        <f>'3.1.raw'!AK70</f>
        <v>FOR RED COLONIES THE OBSERVATION WAS TNTC AND 116, RESPECTIVELY.</v>
      </c>
    </row>
    <row r="232">
      <c r="A232" s="89" t="str">
        <f t="shared" si="5"/>
        <v>OD1002</v>
      </c>
      <c r="B232" s="89" t="str">
        <f>'3.1.raw'!L34</f>
        <v>OD1002</v>
      </c>
      <c r="C232" s="90">
        <f>datevalue(left('3.1.raw'!O34,10))</f>
        <v>43606</v>
      </c>
      <c r="D232" s="89">
        <f>'3.1.raw'!I34</f>
        <v>1</v>
      </c>
      <c r="E232" s="91">
        <v>3.1</v>
      </c>
      <c r="F232" s="89" t="b">
        <f>if(countif(Status!C:C,A232)=1,TRUE, FALSE)</f>
        <v>1</v>
      </c>
      <c r="G232" s="1">
        <f t="shared" si="2"/>
        <v>1</v>
      </c>
      <c r="H232" s="1">
        <f>'3.1.raw'!Z34</f>
        <v>45</v>
      </c>
      <c r="I232" s="89"/>
      <c r="J232" s="1" t="str">
        <f>'3.1.raw'!AK34</f>
        <v>98 AND 46 RED COLONIES FOUND WITH 1:1000 AND 1:10000 DILUTION, RESPECTIVELY.</v>
      </c>
      <c r="K232" s="89"/>
      <c r="L232" s="89"/>
      <c r="M232" s="89"/>
      <c r="N232" s="89"/>
      <c r="O232" s="89"/>
      <c r="P232" s="89"/>
    </row>
    <row r="233">
      <c r="A233" s="23" t="str">
        <f t="shared" si="5"/>
        <v>OD1001</v>
      </c>
      <c r="B233" s="23" t="str">
        <f>'3.1.raw'!L21</f>
        <v>OD1001</v>
      </c>
      <c r="C233" s="24">
        <f>datevalue(left('3.1.raw'!O21,10))</f>
        <v>43599</v>
      </c>
      <c r="D233" s="23">
        <f>'3.1.raw'!I21</f>
        <v>1</v>
      </c>
      <c r="E233" s="1">
        <v>3.1</v>
      </c>
      <c r="F233" s="23" t="b">
        <f>if(countif(Status!C:C,A233)=1,TRUE, FALSE)</f>
        <v>1</v>
      </c>
      <c r="G233" s="1">
        <f t="shared" si="2"/>
        <v>1</v>
      </c>
      <c r="H233" s="1">
        <f>'3.1.raw'!Z21</f>
        <v>3</v>
      </c>
      <c r="J233" s="1" t="str">
        <f>'3.1.raw'!AK21</f>
        <v>62+ AND 25 RED COLONIES WERE DETECTED FOR 1:1000 AND 1:10000 DILUTION, RESPECTIVELY.</v>
      </c>
    </row>
    <row r="234">
      <c r="A234" s="23" t="str">
        <f t="shared" si="5"/>
        <v>NEGATIVECONTROL</v>
      </c>
      <c r="B234" s="23" t="str">
        <f>'3.1.raw'!L43</f>
        <v>NEGATIVE CONTROL</v>
      </c>
      <c r="C234" s="24">
        <f>datevalue(left('3.1.raw'!O43,10))</f>
        <v>43607</v>
      </c>
      <c r="D234" s="23">
        <f>'3.1.raw'!I43</f>
        <v>98</v>
      </c>
      <c r="E234" s="1">
        <v>3.1</v>
      </c>
      <c r="F234" s="23" t="b">
        <f>if(countif(Status!C:C,A234)=1,TRUE, FALSE)</f>
        <v>0</v>
      </c>
      <c r="G234" s="1">
        <f t="shared" si="2"/>
        <v>0</v>
      </c>
      <c r="H234" s="1">
        <f>'3.1.raw'!Z43</f>
        <v>0</v>
      </c>
      <c r="J234" s="1" t="str">
        <f>'3.1.raw'!AK43</f>
        <v>STERILE WATER USED AS NEGATIVE CONTROL</v>
      </c>
    </row>
    <row r="235">
      <c r="A235" s="23" t="str">
        <f t="shared" si="5"/>
        <v>NEGATIVECONTROL</v>
      </c>
      <c r="B235" s="23" t="str">
        <f>'3.1.raw'!L55</f>
        <v>NEGATIVE CONTROL</v>
      </c>
      <c r="C235" s="24">
        <f>datevalue(left('3.1.raw'!O55,10))</f>
        <v>43613</v>
      </c>
      <c r="D235" s="23">
        <f>'3.1.raw'!I55</f>
        <v>98</v>
      </c>
      <c r="E235" s="1">
        <v>3.1</v>
      </c>
      <c r="F235" s="23" t="b">
        <f>if(countif(Status!C:C,A235)=1,TRUE, FALSE)</f>
        <v>0</v>
      </c>
      <c r="G235" s="1">
        <f t="shared" si="2"/>
        <v>0</v>
      </c>
      <c r="H235" s="1">
        <f>'3.1.raw'!Z55</f>
        <v>0</v>
      </c>
      <c r="J235" s="1" t="str">
        <f>'3.1.raw'!AK55</f>
        <v>NO REDC COLONIES FOUND</v>
      </c>
    </row>
    <row r="236">
      <c r="A236" s="23" t="str">
        <f t="shared" si="5"/>
        <v>NCEC9</v>
      </c>
      <c r="B236" s="23" t="str">
        <f>'3.1.raw'!L104</f>
        <v>NCEC9</v>
      </c>
      <c r="C236" s="24">
        <f>datevalue(left('3.1.raw'!O104,10))</f>
        <v>43675</v>
      </c>
      <c r="D236" s="23">
        <f>'3.1.raw'!I104</f>
        <v>98</v>
      </c>
      <c r="E236" s="1">
        <v>3.1</v>
      </c>
      <c r="F236" s="23" t="b">
        <f>if(countif(Status!C:C,A236)=1,TRUE, FALSE)</f>
        <v>1</v>
      </c>
      <c r="G236" s="1">
        <f t="shared" si="2"/>
        <v>0</v>
      </c>
      <c r="H236" s="1">
        <f>'3.1.raw'!Z104</f>
        <v>0</v>
      </c>
      <c r="I236" s="1">
        <v>0.0</v>
      </c>
      <c r="J236" s="1" t="str">
        <f>'3.1.raw'!AK104</f>
        <v>RED COLONY(100ml=0)</v>
      </c>
    </row>
    <row r="237">
      <c r="A237" s="23" t="str">
        <f t="shared" si="5"/>
        <v>NCEC82</v>
      </c>
      <c r="B237" s="23" t="str">
        <f>'3.1.raw'!L656</f>
        <v>NCEC82</v>
      </c>
      <c r="C237" s="24">
        <f>datevalue(left('3.1.raw'!O656,10))</f>
        <v>43846</v>
      </c>
      <c r="D237" s="23">
        <f>'3.1.raw'!I656</f>
        <v>98</v>
      </c>
      <c r="E237" s="1">
        <v>3.09999999999999</v>
      </c>
      <c r="F237" s="23" t="b">
        <f>if(countif(Status!C:C,A237)=1,TRUE, FALSE)</f>
        <v>1</v>
      </c>
      <c r="G237" s="1">
        <f t="shared" si="2"/>
        <v>0</v>
      </c>
      <c r="H237" s="1">
        <f>'3.1.raw'!Z656</f>
        <v>0</v>
      </c>
      <c r="J237" s="1" t="str">
        <f>'3.1.raw'!AK656</f>
        <v>Red Colony Count: Undiluted volume tested 100 ml - 00</v>
      </c>
    </row>
    <row r="238">
      <c r="A238" s="23" t="str">
        <f t="shared" si="5"/>
        <v>NCEC81</v>
      </c>
      <c r="B238" s="23" t="str">
        <f>'3.1.raw'!L647</f>
        <v>NCEC81</v>
      </c>
      <c r="C238" s="24">
        <f>datevalue(left('3.1.raw'!O647,10))</f>
        <v>43845</v>
      </c>
      <c r="D238" s="23">
        <f>'3.1.raw'!I647</f>
        <v>98</v>
      </c>
      <c r="E238" s="1">
        <v>3.09999999999999</v>
      </c>
      <c r="F238" s="23" t="b">
        <f>if(countif(Status!C:C,A238)=1,TRUE, FALSE)</f>
        <v>1</v>
      </c>
      <c r="G238" s="1">
        <f t="shared" si="2"/>
        <v>0</v>
      </c>
      <c r="H238" s="1">
        <f>'3.1.raw'!Z647</f>
        <v>0</v>
      </c>
      <c r="J238" s="1" t="str">
        <f>'3.1.raw'!AK647</f>
        <v>Red Colony Count: Undiluted volume tested 100 ml - 00</v>
      </c>
    </row>
    <row r="239">
      <c r="A239" s="23" t="str">
        <f t="shared" si="5"/>
        <v>NCEC80</v>
      </c>
      <c r="B239" s="23" t="str">
        <f>'3.1.raw'!L628</f>
        <v>NCEC80</v>
      </c>
      <c r="C239" s="24">
        <f>datevalue(left('3.1.raw'!O628,10))</f>
        <v>43843</v>
      </c>
      <c r="D239" s="23">
        <f>'3.1.raw'!I628</f>
        <v>98</v>
      </c>
      <c r="E239" s="1">
        <v>3.09999999999999</v>
      </c>
      <c r="F239" s="23" t="b">
        <f>if(countif(Status!C:C,A239)=1,TRUE, FALSE)</f>
        <v>1</v>
      </c>
      <c r="G239" s="1">
        <f t="shared" si="2"/>
        <v>0</v>
      </c>
      <c r="H239" s="1">
        <f>'3.1.raw'!Z628</f>
        <v>0</v>
      </c>
      <c r="J239" s="1" t="str">
        <f>'3.1.raw'!AK628</f>
        <v>Red Colony Count: Undiluted volume tested 100 ml - 00</v>
      </c>
    </row>
    <row r="240">
      <c r="A240" s="23" t="str">
        <f t="shared" si="5"/>
        <v>NCEC8</v>
      </c>
      <c r="B240" s="23" t="str">
        <f>'3.1.raw'!L98</f>
        <v>NCEC8</v>
      </c>
      <c r="C240" s="24">
        <f>datevalue(left('3.1.raw'!O98,10))</f>
        <v>43670</v>
      </c>
      <c r="D240" s="23">
        <f>'3.1.raw'!I98</f>
        <v>98</v>
      </c>
      <c r="E240" s="1">
        <v>3.1</v>
      </c>
      <c r="F240" s="23" t="b">
        <f>if(countif(Status!C:C,A240)=1,TRUE, FALSE)</f>
        <v>1</v>
      </c>
      <c r="G240" s="1">
        <f t="shared" si="2"/>
        <v>0</v>
      </c>
      <c r="H240" s="1">
        <f>'3.1.raw'!Z98</f>
        <v>0</v>
      </c>
      <c r="I240" s="1">
        <v>0.0</v>
      </c>
      <c r="J240" s="1" t="str">
        <f>'3.1.raw'!AK98</f>
        <v>RED COLONY-(100mL=0)</v>
      </c>
    </row>
    <row r="241">
      <c r="A241" s="23" t="str">
        <f t="shared" si="5"/>
        <v>NCEC79</v>
      </c>
      <c r="B241" s="23" t="str">
        <f>'3.1.raw'!L619</f>
        <v>NCEC79</v>
      </c>
      <c r="C241" s="24">
        <f>datevalue(left('3.1.raw'!O619,10))</f>
        <v>43839</v>
      </c>
      <c r="D241" s="23">
        <f>'3.1.raw'!I619</f>
        <v>98</v>
      </c>
      <c r="E241" s="1">
        <v>3.09999999999999</v>
      </c>
      <c r="F241" s="23" t="b">
        <f>if(countif(Status!C:C,A241)=1,TRUE, FALSE)</f>
        <v>1</v>
      </c>
      <c r="G241" s="1">
        <f t="shared" si="2"/>
        <v>0</v>
      </c>
      <c r="H241" s="1">
        <f>'3.1.raw'!Z619</f>
        <v>0</v>
      </c>
      <c r="J241" s="1" t="str">
        <f>'3.1.raw'!AK619</f>
        <v>Red Colony Count - 0, Undiluted volume tested 100ml</v>
      </c>
    </row>
    <row r="242">
      <c r="A242" s="23" t="str">
        <f t="shared" si="5"/>
        <v>NCEC78</v>
      </c>
      <c r="B242" s="23" t="str">
        <f>'3.1.raw'!L614</f>
        <v>NCEC78</v>
      </c>
      <c r="C242" s="24">
        <f>datevalue(left('3.1.raw'!O614,10))</f>
        <v>43838</v>
      </c>
      <c r="D242" s="23">
        <f>'3.1.raw'!I614</f>
        <v>98</v>
      </c>
      <c r="E242" s="1">
        <v>3.09999999999999</v>
      </c>
      <c r="F242" s="23" t="b">
        <f>if(countif(Status!C:C,A242)=1,TRUE, FALSE)</f>
        <v>0</v>
      </c>
      <c r="G242" s="1">
        <f t="shared" si="2"/>
        <v>0</v>
      </c>
      <c r="H242" s="1">
        <f>'3.1.raw'!Z614</f>
        <v>0</v>
      </c>
      <c r="J242" s="1" t="str">
        <f>'3.1.raw'!AK614</f>
        <v>Red Colony Count - 00, Undiluted volume tested 100ml</v>
      </c>
    </row>
    <row r="243">
      <c r="A243" s="23" t="str">
        <f t="shared" si="5"/>
        <v>NCEC77</v>
      </c>
      <c r="B243" s="23" t="str">
        <f>'3.1.raw'!L607</f>
        <v>NCEC77</v>
      </c>
      <c r="C243" s="24">
        <f>datevalue(left('3.1.raw'!O607,10))</f>
        <v>43817</v>
      </c>
      <c r="D243" s="23">
        <f>'3.1.raw'!I607</f>
        <v>98</v>
      </c>
      <c r="E243" s="1">
        <v>3.09999999999999</v>
      </c>
      <c r="F243" s="23" t="b">
        <f>if(countif(Status!C:C,A243)=1,TRUE, FALSE)</f>
        <v>0</v>
      </c>
      <c r="G243" s="1">
        <f t="shared" si="2"/>
        <v>0</v>
      </c>
      <c r="H243" s="1">
        <f>'3.1.raw'!Z607</f>
        <v>0</v>
      </c>
      <c r="J243" s="1" t="str">
        <f>'3.1.raw'!AK607</f>
        <v>Red Colony Count - 0 volume tested 100ml</v>
      </c>
    </row>
    <row r="244">
      <c r="A244" s="23" t="str">
        <f t="shared" si="5"/>
        <v>NCEC76</v>
      </c>
      <c r="B244" s="23" t="str">
        <f>'3.1.raw'!L605</f>
        <v>NCEC76</v>
      </c>
      <c r="C244" s="24">
        <f>datevalue(left('3.1.raw'!O605,10))</f>
        <v>43816</v>
      </c>
      <c r="D244" s="23">
        <f>'3.1.raw'!I605</f>
        <v>98</v>
      </c>
      <c r="E244" s="1">
        <v>3.09999999999999</v>
      </c>
      <c r="F244" s="23" t="b">
        <f>if(countif(Status!C:C,A244)=1,TRUE, FALSE)</f>
        <v>1</v>
      </c>
      <c r="G244" s="1">
        <f t="shared" si="2"/>
        <v>0</v>
      </c>
      <c r="H244" s="1">
        <f>'3.1.raw'!Z605</f>
        <v>0</v>
      </c>
      <c r="J244" s="1" t="str">
        <f>'3.1.raw'!AK605</f>
        <v>Red Colony Count: Undiluted volume tested 100 ml - 00</v>
      </c>
    </row>
    <row r="245">
      <c r="A245" s="23" t="str">
        <f t="shared" si="5"/>
        <v>NCEC75</v>
      </c>
      <c r="B245" s="23" t="str">
        <f>'3.1.raw'!L598</f>
        <v>NCEC75</v>
      </c>
      <c r="C245" s="24">
        <f>datevalue(left('3.1.raw'!O598,10))</f>
        <v>43815</v>
      </c>
      <c r="D245" s="23">
        <f>'3.1.raw'!I598</f>
        <v>98</v>
      </c>
      <c r="E245" s="1">
        <v>3.09999999999999</v>
      </c>
      <c r="F245" s="23" t="b">
        <f>if(countif(Status!C:C,A245)=1,TRUE, FALSE)</f>
        <v>1</v>
      </c>
      <c r="G245" s="1">
        <f t="shared" si="2"/>
        <v>0</v>
      </c>
      <c r="H245" s="1">
        <f>'3.1.raw'!Z598</f>
        <v>0</v>
      </c>
      <c r="J245" s="1" t="str">
        <f>'3.1.raw'!AK598</f>
        <v>Red Colony count: Undiluted Vol tested 100ml - 00</v>
      </c>
    </row>
    <row r="246">
      <c r="A246" s="23" t="str">
        <f t="shared" si="5"/>
        <v>NCEC74</v>
      </c>
      <c r="B246" s="23" t="str">
        <f>'3.1.raw'!L587</f>
        <v>NCEC74</v>
      </c>
      <c r="C246" s="24">
        <f>datevalue(left('3.1.raw'!O587,10))</f>
        <v>43812</v>
      </c>
      <c r="D246" s="23">
        <f>'3.1.raw'!I587</f>
        <v>98</v>
      </c>
      <c r="E246" s="1">
        <v>3.09999999999999</v>
      </c>
      <c r="F246" s="23" t="b">
        <f>if(countif(Status!C:C,A246)=1,TRUE, FALSE)</f>
        <v>1</v>
      </c>
      <c r="G246" s="1">
        <f t="shared" si="2"/>
        <v>0</v>
      </c>
      <c r="H246" s="1">
        <f>'3.1.raw'!Z587</f>
        <v>0</v>
      </c>
      <c r="J246" s="1" t="str">
        <f>'3.1.raw'!AK587</f>
        <v>Red Colony Count: Undiluted volume tested 100 ml - 00</v>
      </c>
    </row>
    <row r="247">
      <c r="A247" s="23" t="str">
        <f t="shared" si="5"/>
        <v>NCEC73</v>
      </c>
      <c r="B247" s="23" t="str">
        <f>'3.1.raw'!L578</f>
        <v>NCEC73</v>
      </c>
      <c r="C247" s="24">
        <f>datevalue(left('3.1.raw'!O578,10))</f>
        <v>43811</v>
      </c>
      <c r="D247" s="23">
        <f>'3.1.raw'!I578</f>
        <v>98</v>
      </c>
      <c r="E247" s="1">
        <v>3.09999999999999</v>
      </c>
      <c r="F247" s="23" t="b">
        <f>if(countif(Status!C:C,A247)=1,TRUE, FALSE)</f>
        <v>1</v>
      </c>
      <c r="G247" s="1">
        <f t="shared" si="2"/>
        <v>0</v>
      </c>
      <c r="H247" s="1">
        <f>'3.1.raw'!Z578</f>
        <v>0</v>
      </c>
      <c r="J247" s="1" t="str">
        <f>'3.1.raw'!AK578</f>
        <v>Red Colony Count: Undiluted volume tested 100 ml - 00</v>
      </c>
    </row>
    <row r="248">
      <c r="A248" s="23" t="str">
        <f t="shared" si="5"/>
        <v>NCEC72</v>
      </c>
      <c r="B248" s="23" t="str">
        <f>'3.1.raw'!L565</f>
        <v>NCEC72</v>
      </c>
      <c r="C248" s="24">
        <f>datevalue(left('3.1.raw'!O565,10))</f>
        <v>43810</v>
      </c>
      <c r="D248" s="23">
        <f>'3.1.raw'!I565</f>
        <v>98</v>
      </c>
      <c r="E248" s="1">
        <v>3.09999999999999</v>
      </c>
      <c r="F248" s="23" t="b">
        <f>if(countif(Status!C:C,A248)=1,TRUE, FALSE)</f>
        <v>1</v>
      </c>
      <c r="G248" s="1">
        <f t="shared" si="2"/>
        <v>0</v>
      </c>
      <c r="H248" s="1">
        <f>'3.1.raw'!Z565</f>
        <v>0</v>
      </c>
      <c r="J248" s="1" t="str">
        <f>'3.1.raw'!AK565</f>
        <v>Red Colony Count: Undiluted volume tested 100 ml - 00</v>
      </c>
    </row>
    <row r="249">
      <c r="A249" s="23" t="str">
        <f t="shared" si="5"/>
        <v>NCEC71</v>
      </c>
      <c r="B249" s="23" t="str">
        <f>'3.1.raw'!L563</f>
        <v>NCEC71</v>
      </c>
      <c r="C249" s="24">
        <f>datevalue(left('3.1.raw'!O563,10))</f>
        <v>43809</v>
      </c>
      <c r="D249" s="23">
        <f>'3.1.raw'!I563</f>
        <v>98</v>
      </c>
      <c r="E249" s="1">
        <v>3.09999999999999</v>
      </c>
      <c r="F249" s="23" t="b">
        <f>if(countif(Status!C:C,A249)=1,TRUE, FALSE)</f>
        <v>1</v>
      </c>
      <c r="G249" s="1">
        <f t="shared" si="2"/>
        <v>0</v>
      </c>
      <c r="H249" s="1">
        <f>'3.1.raw'!Z563</f>
        <v>0</v>
      </c>
      <c r="J249" s="1" t="str">
        <f>'3.1.raw'!AK563</f>
        <v>Red Colony Count: Undiluted volume tested 100 ml - 00</v>
      </c>
    </row>
    <row r="250">
      <c r="A250" s="23" t="str">
        <f t="shared" si="5"/>
        <v>NCEC70</v>
      </c>
      <c r="B250" s="23" t="str">
        <f>'3.1.raw'!L552</f>
        <v>NCEC70</v>
      </c>
      <c r="C250" s="24">
        <f>datevalue(left('3.1.raw'!O552,10))</f>
        <v>43808</v>
      </c>
      <c r="D250" s="23">
        <f>'3.1.raw'!I552</f>
        <v>98</v>
      </c>
      <c r="E250" s="1">
        <v>3.09999999999999</v>
      </c>
      <c r="F250" s="23" t="b">
        <f>if(countif(Status!C:C,A250)=1,TRUE, FALSE)</f>
        <v>1</v>
      </c>
      <c r="G250" s="1">
        <f t="shared" si="2"/>
        <v>0</v>
      </c>
      <c r="H250" s="1">
        <f>'3.1.raw'!Z552</f>
        <v>0</v>
      </c>
      <c r="J250" s="1" t="str">
        <f>'3.1.raw'!AK552</f>
        <v>Red Colony Count: Undiluted volume tested 100 ml - 00</v>
      </c>
    </row>
    <row r="251">
      <c r="A251" s="23" t="str">
        <f t="shared" si="5"/>
        <v>NCEC7</v>
      </c>
      <c r="B251" s="23" t="str">
        <f>'3.1.raw'!L93</f>
        <v>NCEC7</v>
      </c>
      <c r="C251" s="24">
        <f>datevalue(left('3.1.raw'!O93,10))</f>
        <v>43669</v>
      </c>
      <c r="D251" s="23">
        <f>'3.1.raw'!I93</f>
        <v>98</v>
      </c>
      <c r="E251" s="1">
        <v>3.1</v>
      </c>
      <c r="F251" s="23" t="b">
        <f>if(countif(Status!C:C,A251)=1,TRUE, FALSE)</f>
        <v>1</v>
      </c>
      <c r="G251" s="1">
        <f t="shared" si="2"/>
        <v>0</v>
      </c>
      <c r="H251" s="1">
        <f>'3.1.raw'!Z93</f>
        <v>0</v>
      </c>
      <c r="I251" s="1">
        <v>0.0</v>
      </c>
      <c r="J251" s="1" t="str">
        <f>'3.1.raw'!AK93</f>
        <v>RED COLONY(100mL=0)</v>
      </c>
    </row>
    <row r="252">
      <c r="A252" s="23" t="str">
        <f t="shared" si="5"/>
        <v>NCEC69</v>
      </c>
      <c r="B252" s="23" t="str">
        <f>'3.1.raw'!L543</f>
        <v>NCEC69</v>
      </c>
      <c r="C252" s="24">
        <f>datevalue(left('3.1.raw'!O543,10))</f>
        <v>43805</v>
      </c>
      <c r="D252" s="23">
        <f>'3.1.raw'!I543</f>
        <v>98</v>
      </c>
      <c r="E252" s="1">
        <v>3.09999999999999</v>
      </c>
      <c r="F252" s="23" t="b">
        <f>if(countif(Status!C:C,A252)=1,TRUE, FALSE)</f>
        <v>1</v>
      </c>
      <c r="G252" s="1">
        <f t="shared" si="2"/>
        <v>0</v>
      </c>
      <c r="H252" s="1">
        <f>'3.1.raw'!Z543</f>
        <v>0</v>
      </c>
      <c r="J252" s="1" t="str">
        <f>'3.1.raw'!AK543</f>
        <v>Red Colony Count: Undiluted volume tested 100 ml - 00</v>
      </c>
    </row>
    <row r="253">
      <c r="A253" s="23" t="str">
        <f t="shared" si="5"/>
        <v>NCEC68</v>
      </c>
      <c r="B253" s="23" t="str">
        <f>'3.1.raw'!L523</f>
        <v>NCEC68</v>
      </c>
      <c r="C253" s="24">
        <f>datevalue(left('3.1.raw'!O523,10))</f>
        <v>43803</v>
      </c>
      <c r="D253" s="23">
        <f>'3.1.raw'!I523</f>
        <v>98</v>
      </c>
      <c r="E253" s="1">
        <v>3.09999999999999</v>
      </c>
      <c r="F253" s="23" t="b">
        <f>if(countif(Status!C:C,A253)=1,TRUE, FALSE)</f>
        <v>1</v>
      </c>
      <c r="G253" s="1">
        <f t="shared" si="2"/>
        <v>0</v>
      </c>
      <c r="H253" s="1">
        <f>'3.1.raw'!Z523</f>
        <v>0</v>
      </c>
      <c r="J253" s="1" t="str">
        <f>'3.1.raw'!AK523</f>
        <v>Red Colony Count: Undiluted volume tested 100 ml - 00</v>
      </c>
    </row>
    <row r="254">
      <c r="A254" s="49" t="s">
        <v>1452</v>
      </c>
      <c r="B254" s="23" t="str">
        <f>'3.1.raw'!L534</f>
        <v>NCEC68</v>
      </c>
      <c r="C254" s="24">
        <f>datevalue(left('3.1.raw'!O534,10))</f>
        <v>43804</v>
      </c>
      <c r="D254" s="23">
        <f>'3.1.raw'!I534</f>
        <v>98</v>
      </c>
      <c r="E254" s="1">
        <v>3.09999999999999</v>
      </c>
      <c r="F254" s="23" t="b">
        <f>if(countif(Status!C:C,A254)=1,TRUE, FALSE)</f>
        <v>1</v>
      </c>
      <c r="G254" s="1">
        <f t="shared" si="2"/>
        <v>0</v>
      </c>
      <c r="H254" s="1">
        <f>'3.1.raw'!Z534</f>
        <v>0</v>
      </c>
      <c r="J254" s="1" t="str">
        <f>'3.1.raw'!AK534</f>
        <v>Red Colony count: Undiluted Vol tested 100ml - 00</v>
      </c>
    </row>
    <row r="255">
      <c r="A255" s="23" t="str">
        <f t="shared" ref="A255:A330" si="6">SUBSTITUTE(B255, " ", "")</f>
        <v>NCEC67</v>
      </c>
      <c r="B255" s="23" t="str">
        <f>'3.1.raw'!L521</f>
        <v>NCEC67</v>
      </c>
      <c r="C255" s="24">
        <f>datevalue(left('3.1.raw'!O521,10))</f>
        <v>43802</v>
      </c>
      <c r="D255" s="23">
        <f>'3.1.raw'!I521</f>
        <v>98</v>
      </c>
      <c r="E255" s="1">
        <v>3.09999999999999</v>
      </c>
      <c r="F255" s="23" t="b">
        <f>if(countif(Status!C:C,A255)=1,TRUE, FALSE)</f>
        <v>1</v>
      </c>
      <c r="G255" s="1">
        <f t="shared" si="2"/>
        <v>0</v>
      </c>
      <c r="H255" s="1">
        <f>'3.1.raw'!Z521</f>
        <v>0</v>
      </c>
      <c r="J255" s="1" t="str">
        <f>'3.1.raw'!AK521</f>
        <v>Red Colony Count: Undiluted volume tested 100 ml - 00</v>
      </c>
    </row>
    <row r="256">
      <c r="A256" s="23" t="str">
        <f t="shared" si="6"/>
        <v>NCEC66</v>
      </c>
      <c r="B256" s="23" t="str">
        <f>'3.1.raw'!L512</f>
        <v>NCEC66</v>
      </c>
      <c r="C256" s="24">
        <f>datevalue(left('3.1.raw'!O512,10))</f>
        <v>43801</v>
      </c>
      <c r="D256" s="23">
        <f>'3.1.raw'!I512</f>
        <v>98</v>
      </c>
      <c r="E256" s="1">
        <v>3.09999999999999</v>
      </c>
      <c r="F256" s="23" t="b">
        <f>if(countif(Status!C:C,A256)=1,TRUE, FALSE)</f>
        <v>1</v>
      </c>
      <c r="G256" s="1">
        <f t="shared" si="2"/>
        <v>0</v>
      </c>
      <c r="H256" s="1">
        <f>'3.1.raw'!Z512</f>
        <v>0</v>
      </c>
      <c r="J256" s="1" t="str">
        <f>'3.1.raw'!AK512</f>
        <v>Red Colony Count: Undiluted volume tested 100 ml - 00</v>
      </c>
    </row>
    <row r="257">
      <c r="A257" s="23" t="str">
        <f t="shared" si="6"/>
        <v>NCEC65</v>
      </c>
      <c r="B257" s="23" t="str">
        <f>'3.1.raw'!L507</f>
        <v>NCEC65</v>
      </c>
      <c r="C257" s="24">
        <f>datevalue(left('3.1.raw'!O507,10))</f>
        <v>43798</v>
      </c>
      <c r="D257" s="23">
        <f>'3.1.raw'!I507</f>
        <v>98</v>
      </c>
      <c r="E257" s="1">
        <v>3.09999999999999</v>
      </c>
      <c r="F257" s="23" t="b">
        <f>if(countif(Status!C:C,A257)=1,TRUE, FALSE)</f>
        <v>1</v>
      </c>
      <c r="G257" s="1">
        <f t="shared" si="2"/>
        <v>0</v>
      </c>
      <c r="H257" s="1">
        <f>'3.1.raw'!Z507</f>
        <v>0</v>
      </c>
      <c r="J257" s="1" t="str">
        <f>'3.1.raw'!AK507</f>
        <v>Red Colony Count: Undiluted volume tested 100 ml - 00</v>
      </c>
    </row>
    <row r="258">
      <c r="A258" s="23" t="str">
        <f t="shared" si="6"/>
        <v>NCEC64</v>
      </c>
      <c r="B258" s="23" t="str">
        <f>'3.1.raw'!L500</f>
        <v>NCEC64</v>
      </c>
      <c r="C258" s="24">
        <f>datevalue(left('3.1.raw'!O500,10))</f>
        <v>43797</v>
      </c>
      <c r="D258" s="23">
        <f>'3.1.raw'!I500</f>
        <v>98</v>
      </c>
      <c r="E258" s="1">
        <v>3.09999999999999</v>
      </c>
      <c r="F258" s="23" t="b">
        <f>if(countif(Status!C:C,A258)=1,TRUE, FALSE)</f>
        <v>1</v>
      </c>
      <c r="G258" s="1">
        <f t="shared" si="2"/>
        <v>0</v>
      </c>
      <c r="H258" s="1">
        <f>'3.1.raw'!Z500</f>
        <v>0</v>
      </c>
      <c r="J258" s="1" t="str">
        <f>'3.1.raw'!AK500</f>
        <v>Red Colony Count: Undiluted volume tested 100 ml - 00</v>
      </c>
    </row>
    <row r="259">
      <c r="A259" s="23" t="str">
        <f t="shared" si="6"/>
        <v>NCEC63</v>
      </c>
      <c r="B259" s="23" t="str">
        <f>'3.1.raw'!L493</f>
        <v>NCEC63</v>
      </c>
      <c r="C259" s="24">
        <f>datevalue(left('3.1.raw'!O493,10))</f>
        <v>43796</v>
      </c>
      <c r="D259" s="23">
        <f>'3.1.raw'!I493</f>
        <v>98</v>
      </c>
      <c r="E259" s="1">
        <v>3.09999999999999</v>
      </c>
      <c r="F259" s="23" t="b">
        <f>if(countif(Status!C:C,A259)=1,TRUE, FALSE)</f>
        <v>1</v>
      </c>
      <c r="G259" s="1">
        <f t="shared" si="2"/>
        <v>0</v>
      </c>
      <c r="H259" s="1">
        <f>'3.1.raw'!Z493</f>
        <v>0</v>
      </c>
      <c r="J259" s="1" t="str">
        <f>'3.1.raw'!AK493</f>
        <v>Red Colony Count: Undiluted volume tested 100 ml - 00</v>
      </c>
    </row>
    <row r="260">
      <c r="A260" s="23" t="str">
        <f t="shared" si="6"/>
        <v>NCEC62</v>
      </c>
      <c r="B260" s="23" t="str">
        <f>'3.1.raw'!L485</f>
        <v>NCEC62</v>
      </c>
      <c r="C260" s="24">
        <f>datevalue(left('3.1.raw'!O485,10))</f>
        <v>43795</v>
      </c>
      <c r="D260" s="23">
        <f>'3.1.raw'!I485</f>
        <v>98</v>
      </c>
      <c r="E260" s="1">
        <v>3.09999999999999</v>
      </c>
      <c r="F260" s="23" t="b">
        <f>if(countif(Status!C:C,A260)=1,TRUE, FALSE)</f>
        <v>1</v>
      </c>
      <c r="G260" s="1">
        <f t="shared" si="2"/>
        <v>0</v>
      </c>
      <c r="H260" s="1">
        <f>'3.1.raw'!Z485</f>
        <v>0</v>
      </c>
      <c r="J260" s="1" t="str">
        <f>'3.1.raw'!AK485</f>
        <v>Red Colony Count: Undiluted volume tested 100 ml - 00</v>
      </c>
    </row>
    <row r="261">
      <c r="A261" s="23" t="str">
        <f t="shared" si="6"/>
        <v>NCEC61</v>
      </c>
      <c r="B261" s="23" t="str">
        <f>'3.1.raw'!L476</f>
        <v>NCEC61</v>
      </c>
      <c r="C261" s="24">
        <f>datevalue(left('3.1.raw'!O476,10))</f>
        <v>43794</v>
      </c>
      <c r="D261" s="23">
        <f>'3.1.raw'!I476</f>
        <v>98</v>
      </c>
      <c r="E261" s="1">
        <v>3.09999999999999</v>
      </c>
      <c r="F261" s="23" t="b">
        <f>if(countif(Status!C:C,A261)=1,TRUE, FALSE)</f>
        <v>1</v>
      </c>
      <c r="G261" s="1">
        <f t="shared" si="2"/>
        <v>0</v>
      </c>
      <c r="H261" s="1">
        <f>'3.1.raw'!Z476</f>
        <v>0</v>
      </c>
      <c r="J261" s="1" t="str">
        <f>'3.1.raw'!AK476</f>
        <v>Red Colony Count: Undiluted volume tested 100 ml - 00</v>
      </c>
    </row>
    <row r="262">
      <c r="A262" s="23" t="str">
        <f t="shared" si="6"/>
        <v>NCEC60</v>
      </c>
      <c r="B262" s="23" t="str">
        <f>'3.1.raw'!L471</f>
        <v>NCEC60</v>
      </c>
      <c r="C262" s="24">
        <f>datevalue(left('3.1.raw'!O471,10))</f>
        <v>43791</v>
      </c>
      <c r="D262" s="23">
        <f>'3.1.raw'!I471</f>
        <v>98</v>
      </c>
      <c r="E262" s="1">
        <v>3.09999999999999</v>
      </c>
      <c r="F262" s="23" t="b">
        <f>if(countif(Status!C:C,A262)=1,TRUE, FALSE)</f>
        <v>1</v>
      </c>
      <c r="G262" s="1">
        <f t="shared" si="2"/>
        <v>0</v>
      </c>
      <c r="H262" s="1">
        <f>'3.1.raw'!Z471</f>
        <v>0</v>
      </c>
      <c r="J262" s="1" t="str">
        <f>'3.1.raw'!AK471</f>
        <v>Red Colony Count: Undiluted volume tested 100 ml - 00</v>
      </c>
    </row>
    <row r="263">
      <c r="A263" s="23" t="str">
        <f t="shared" si="6"/>
        <v>NCEC6</v>
      </c>
      <c r="B263" s="23" t="str">
        <f>'3.1.raw'!L89</f>
        <v>NCEC6</v>
      </c>
      <c r="C263" s="24">
        <f>datevalue(left('3.1.raw'!O89,10))</f>
        <v>43668</v>
      </c>
      <c r="D263" s="23">
        <f>'3.1.raw'!I89</f>
        <v>98</v>
      </c>
      <c r="E263" s="1">
        <v>3.1</v>
      </c>
      <c r="F263" s="23" t="b">
        <f>if(countif(Status!C:C,A263)=1,TRUE, FALSE)</f>
        <v>1</v>
      </c>
      <c r="G263" s="1">
        <f t="shared" si="2"/>
        <v>0</v>
      </c>
      <c r="H263" s="1">
        <f>'3.1.raw'!Z89</f>
        <v>0</v>
      </c>
      <c r="J263" s="1" t="str">
        <f>'3.1.raw'!AK89</f>
        <v/>
      </c>
    </row>
    <row r="264">
      <c r="A264" s="23" t="str">
        <f t="shared" si="6"/>
        <v>NCEC59</v>
      </c>
      <c r="B264" s="23" t="str">
        <f>'3.1.raw'!L464</f>
        <v>NCEC59</v>
      </c>
      <c r="C264" s="24">
        <f>datevalue(left('3.1.raw'!O464,10))</f>
        <v>43790</v>
      </c>
      <c r="D264" s="23">
        <f>'3.1.raw'!I464</f>
        <v>98</v>
      </c>
      <c r="E264" s="1">
        <v>3.09999999999999</v>
      </c>
      <c r="F264" s="23" t="b">
        <f>if(countif(Status!C:C,A264)=1,TRUE, FALSE)</f>
        <v>1</v>
      </c>
      <c r="G264" s="1">
        <f t="shared" si="2"/>
        <v>0</v>
      </c>
      <c r="H264" s="1">
        <f>'3.1.raw'!Z464</f>
        <v>0</v>
      </c>
      <c r="J264" s="1" t="str">
        <f>'3.1.raw'!AK464</f>
        <v>Red Colony Count: Undiluted volume tested 100 ml - 00</v>
      </c>
    </row>
    <row r="265">
      <c r="A265" s="23" t="str">
        <f t="shared" si="6"/>
        <v>NCEC58</v>
      </c>
      <c r="B265" s="23" t="str">
        <f>'3.1.raw'!L454</f>
        <v>NCEC58</v>
      </c>
      <c r="C265" s="24">
        <f>datevalue(left('3.1.raw'!O454,10))</f>
        <v>43789</v>
      </c>
      <c r="D265" s="23">
        <f>'3.1.raw'!I454</f>
        <v>98</v>
      </c>
      <c r="E265" s="1">
        <v>3.09999999999999</v>
      </c>
      <c r="F265" s="23" t="b">
        <f>if(countif(Status!C:C,A265)=1,TRUE, FALSE)</f>
        <v>1</v>
      </c>
      <c r="G265" s="1">
        <f t="shared" si="2"/>
        <v>0</v>
      </c>
      <c r="H265" s="1">
        <f>'3.1.raw'!Z454</f>
        <v>0</v>
      </c>
      <c r="J265" s="1" t="str">
        <f>'3.1.raw'!AK454</f>
        <v>Red Colony Count: Undiluted volume tested 100 ml - 00</v>
      </c>
    </row>
    <row r="266">
      <c r="A266" s="23" t="str">
        <f t="shared" si="6"/>
        <v>NCEC57</v>
      </c>
      <c r="B266" s="23" t="str">
        <f>'3.1.raw'!L447</f>
        <v>NCEC57</v>
      </c>
      <c r="C266" s="24">
        <f>datevalue(left('3.1.raw'!O447,10))</f>
        <v>43788</v>
      </c>
      <c r="D266" s="23">
        <f>'3.1.raw'!I447</f>
        <v>98</v>
      </c>
      <c r="E266" s="1">
        <v>3.09999999999999</v>
      </c>
      <c r="F266" s="23" t="b">
        <f>if(countif(Status!C:C,A266)=1,TRUE, FALSE)</f>
        <v>1</v>
      </c>
      <c r="G266" s="1">
        <f t="shared" si="2"/>
        <v>0</v>
      </c>
      <c r="H266" s="1">
        <f>'3.1.raw'!Z447</f>
        <v>0</v>
      </c>
      <c r="J266" s="1" t="str">
        <f>'3.1.raw'!AK447</f>
        <v>Red Colony Count: Undiluted volume tested 100 ml - 00</v>
      </c>
    </row>
    <row r="267">
      <c r="A267" s="23" t="str">
        <f t="shared" si="6"/>
        <v>NCEC56</v>
      </c>
      <c r="B267" s="23" t="str">
        <f>'3.1.raw'!L438</f>
        <v>NCEC56</v>
      </c>
      <c r="C267" s="24">
        <f>datevalue(left('3.1.raw'!O438,10))</f>
        <v>43787</v>
      </c>
      <c r="D267" s="23">
        <f>'3.1.raw'!I438</f>
        <v>98</v>
      </c>
      <c r="E267" s="1">
        <v>3.09999999999999</v>
      </c>
      <c r="F267" s="23" t="b">
        <f>if(countif(Status!C:C,A267)=1,TRUE, FALSE)</f>
        <v>1</v>
      </c>
      <c r="G267" s="1">
        <f t="shared" si="2"/>
        <v>0</v>
      </c>
      <c r="H267" s="1">
        <f>'3.1.raw'!Z438</f>
        <v>0</v>
      </c>
      <c r="J267" s="1" t="str">
        <f>'3.1.raw'!AK438</f>
        <v>Red Colony Count: Undiluted volume tested 100 ml - 00</v>
      </c>
    </row>
    <row r="268">
      <c r="A268" s="23" t="str">
        <f t="shared" si="6"/>
        <v>NCEC55</v>
      </c>
      <c r="B268" s="23" t="str">
        <f>'3.1.raw'!L428</f>
        <v>NCEC55</v>
      </c>
      <c r="C268" s="24">
        <f>datevalue(left('3.1.raw'!O428,10))</f>
        <v>43784</v>
      </c>
      <c r="D268" s="23">
        <f>'3.1.raw'!I428</f>
        <v>98</v>
      </c>
      <c r="E268" s="1">
        <v>3.09999999999999</v>
      </c>
      <c r="F268" s="23" t="b">
        <f>if(countif(Status!C:C,A268)=1,TRUE, FALSE)</f>
        <v>1</v>
      </c>
      <c r="G268" s="1">
        <f t="shared" si="2"/>
        <v>0</v>
      </c>
      <c r="H268" s="1">
        <f>'3.1.raw'!Z428</f>
        <v>0</v>
      </c>
      <c r="J268" s="1" t="str">
        <f>'3.1.raw'!AK428</f>
        <v>Red Colony Count: Undiluted volume tested 100 ml - 00</v>
      </c>
    </row>
    <row r="269">
      <c r="A269" s="23" t="str">
        <f t="shared" si="6"/>
        <v>NCEC54</v>
      </c>
      <c r="B269" s="23" t="str">
        <f>'3.1.raw'!L412</f>
        <v>NCEC54</v>
      </c>
      <c r="C269" s="24">
        <f>datevalue(left('3.1.raw'!O412,10))</f>
        <v>43783</v>
      </c>
      <c r="D269" s="23">
        <f>'3.1.raw'!I412</f>
        <v>98</v>
      </c>
      <c r="E269" s="1">
        <v>3.09999999999999</v>
      </c>
      <c r="F269" s="23" t="b">
        <f>if(countif(Status!C:C,A269)=1,TRUE, FALSE)</f>
        <v>1</v>
      </c>
      <c r="G269" s="1">
        <f t="shared" si="2"/>
        <v>0</v>
      </c>
      <c r="H269" s="1">
        <f>'3.1.raw'!Z412</f>
        <v>0</v>
      </c>
      <c r="J269" s="1" t="str">
        <f>'3.1.raw'!AK412</f>
        <v>Red Colony Count: Undiluted volume tested 100 ml - 00</v>
      </c>
    </row>
    <row r="270">
      <c r="A270" s="23" t="str">
        <f t="shared" si="6"/>
        <v>NCEC53</v>
      </c>
      <c r="B270" s="23" t="str">
        <f>'3.1.raw'!L409</f>
        <v>NCEC53</v>
      </c>
      <c r="C270" s="24">
        <f>datevalue(left('3.1.raw'!O409,10))</f>
        <v>43777</v>
      </c>
      <c r="D270" s="23">
        <f>'3.1.raw'!I409</f>
        <v>98</v>
      </c>
      <c r="E270" s="1">
        <v>3.09999999999999</v>
      </c>
      <c r="F270" s="23" t="b">
        <f>if(countif(Status!C:C,A270)=1,TRUE, FALSE)</f>
        <v>1</v>
      </c>
      <c r="G270" s="1">
        <f t="shared" si="2"/>
        <v>0</v>
      </c>
      <c r="H270" s="1">
        <f>'3.1.raw'!Z409</f>
        <v>0</v>
      </c>
      <c r="J270" s="1" t="str">
        <f>'3.1.raw'!AK409</f>
        <v>Red Colony Count: Undiluted volume tested 100 ml - 00</v>
      </c>
    </row>
    <row r="271">
      <c r="A271" s="23" t="str">
        <f t="shared" si="6"/>
        <v>NCEC52</v>
      </c>
      <c r="B271" s="23" t="str">
        <f>'3.1.raw'!L397</f>
        <v>NCEC52</v>
      </c>
      <c r="C271" s="24">
        <f>datevalue(left('3.1.raw'!O397,10))</f>
        <v>43776</v>
      </c>
      <c r="D271" s="23">
        <f>'3.1.raw'!I397</f>
        <v>98</v>
      </c>
      <c r="E271" s="1">
        <v>3.1</v>
      </c>
      <c r="F271" s="23" t="b">
        <f>if(countif(Status!C:C,A271)=1,TRUE, FALSE)</f>
        <v>1</v>
      </c>
      <c r="G271" s="1">
        <f t="shared" si="2"/>
        <v>0</v>
      </c>
      <c r="H271" s="1">
        <f>'3.1.raw'!Z397</f>
        <v>0</v>
      </c>
      <c r="J271" s="1" t="str">
        <f>'3.1.raw'!AK397</f>
        <v>Red Colony count: Undiluted Vol tested 100ml - 00</v>
      </c>
    </row>
    <row r="272">
      <c r="A272" s="23" t="str">
        <f t="shared" si="6"/>
        <v>NCEC51</v>
      </c>
      <c r="B272" s="23" t="str">
        <f>'3.1.raw'!L384</f>
        <v>NCEC51</v>
      </c>
      <c r="C272" s="24">
        <f>datevalue(left('3.1.raw'!O384,10))</f>
        <v>43775</v>
      </c>
      <c r="D272" s="23">
        <f>'3.1.raw'!I384</f>
        <v>98</v>
      </c>
      <c r="E272" s="1">
        <v>3.1</v>
      </c>
      <c r="F272" s="23" t="b">
        <f>if(countif(Status!C:C,A272)=1,TRUE, FALSE)</f>
        <v>1</v>
      </c>
      <c r="G272" s="1">
        <f t="shared" si="2"/>
        <v>0</v>
      </c>
      <c r="H272" s="1">
        <f>'3.1.raw'!Z384</f>
        <v>0</v>
      </c>
      <c r="J272" s="1" t="str">
        <f>'3.1.raw'!AK384</f>
        <v>Red Colony Count: Undiluted volume tested 100 ml - 00</v>
      </c>
    </row>
    <row r="273">
      <c r="A273" s="23" t="str">
        <f t="shared" si="6"/>
        <v>NCEC50</v>
      </c>
      <c r="B273" s="23" t="str">
        <f>'3.1.raw'!L377</f>
        <v>NCEC50</v>
      </c>
      <c r="C273" s="24">
        <f>datevalue(left('3.1.raw'!O377,10))</f>
        <v>43774</v>
      </c>
      <c r="D273" s="23">
        <f>'3.1.raw'!I377</f>
        <v>98</v>
      </c>
      <c r="E273" s="1">
        <v>3.1</v>
      </c>
      <c r="F273" s="23" t="b">
        <f>if(countif(Status!C:C,A273)=1,TRUE, FALSE)</f>
        <v>1</v>
      </c>
      <c r="G273" s="1">
        <f t="shared" si="2"/>
        <v>0</v>
      </c>
      <c r="H273" s="1">
        <f>'3.1.raw'!Z377</f>
        <v>0</v>
      </c>
      <c r="J273" s="1" t="str">
        <f>'3.1.raw'!AK377</f>
        <v>Red Colony count: Undiluted Vol tested 100ml - 00</v>
      </c>
    </row>
    <row r="274">
      <c r="A274" s="23" t="str">
        <f t="shared" si="6"/>
        <v>NCEC5</v>
      </c>
      <c r="B274" s="23" t="str">
        <f>'3.1.raw'!L87</f>
        <v>NCEC5</v>
      </c>
      <c r="C274" s="24">
        <f>datevalue(left('3.1.raw'!O87,10))</f>
        <v>43663</v>
      </c>
      <c r="D274" s="23">
        <f>'3.1.raw'!I87</f>
        <v>98</v>
      </c>
      <c r="E274" s="1">
        <v>3.1</v>
      </c>
      <c r="F274" s="23" t="b">
        <f>if(countif(Status!C:C,A274)=1,TRUE, FALSE)</f>
        <v>1</v>
      </c>
      <c r="G274" s="1">
        <f t="shared" si="2"/>
        <v>0</v>
      </c>
      <c r="H274" s="1">
        <f>'3.1.raw'!Z87</f>
        <v>0</v>
      </c>
      <c r="J274" s="1" t="str">
        <f>'3.1.raw'!AK87</f>
        <v>THERE IS NO RECEIVING TIME SO, I HAVE GIVEN THE PROCESSING TIME IN THE PLACE OF THE RECEIVING TME ,</v>
      </c>
    </row>
    <row r="275">
      <c r="A275" s="23" t="str">
        <f t="shared" si="6"/>
        <v>NCEC49</v>
      </c>
      <c r="B275" s="23" t="str">
        <f>'3.1.raw'!L370</f>
        <v>NCEC49</v>
      </c>
      <c r="C275" s="24">
        <f>datevalue(left('3.1.raw'!O370,10))</f>
        <v>43773</v>
      </c>
      <c r="D275" s="23">
        <f>'3.1.raw'!I370</f>
        <v>98</v>
      </c>
      <c r="E275" s="1">
        <v>3.1</v>
      </c>
      <c r="F275" s="23" t="b">
        <f>if(countif(Status!C:C,A275)=1,TRUE, FALSE)</f>
        <v>1</v>
      </c>
      <c r="G275" s="1">
        <f t="shared" si="2"/>
        <v>0</v>
      </c>
      <c r="H275" s="1">
        <f>'3.1.raw'!Z370</f>
        <v>0</v>
      </c>
      <c r="J275" s="1" t="str">
        <f>'3.1.raw'!AK370</f>
        <v>Red Colony count: Undiluted Vol tested 100ml - 00</v>
      </c>
    </row>
    <row r="276">
      <c r="A276" s="23" t="str">
        <f t="shared" si="6"/>
        <v>NCEC48</v>
      </c>
      <c r="B276" s="23" t="str">
        <f>'3.1.raw'!L359</f>
        <v>NCEC48</v>
      </c>
      <c r="C276" s="24">
        <f>datevalue(left('3.1.raw'!O359,10))</f>
        <v>43770</v>
      </c>
      <c r="D276" s="23">
        <f>'3.1.raw'!I359</f>
        <v>98</v>
      </c>
      <c r="E276" s="1">
        <v>3.1</v>
      </c>
      <c r="F276" s="23" t="b">
        <f>if(countif(Status!C:C,A276)=1,TRUE, FALSE)</f>
        <v>1</v>
      </c>
      <c r="G276" s="1">
        <f t="shared" si="2"/>
        <v>0</v>
      </c>
      <c r="H276" s="1">
        <f>'3.1.raw'!Z359</f>
        <v>0</v>
      </c>
      <c r="I276" s="1">
        <v>0.0</v>
      </c>
      <c r="J276" s="1" t="str">
        <f>'3.1.raw'!AK359</f>
        <v>Red Colony Count: Undiluted volume tested 100 ml - 00</v>
      </c>
    </row>
    <row r="277">
      <c r="A277" s="23" t="str">
        <f t="shared" si="6"/>
        <v>NCEC47</v>
      </c>
      <c r="B277" s="23" t="str">
        <f>'3.1.raw'!L349</f>
        <v>NCEC47</v>
      </c>
      <c r="C277" s="24">
        <f>datevalue(left('3.1.raw'!O349,10))</f>
        <v>43769</v>
      </c>
      <c r="D277" s="23">
        <f>'3.1.raw'!I349</f>
        <v>98</v>
      </c>
      <c r="E277" s="1">
        <v>3.1</v>
      </c>
      <c r="F277" s="23" t="b">
        <f>if(countif(Status!C:C,A277)=1,TRUE, FALSE)</f>
        <v>1</v>
      </c>
      <c r="G277" s="1">
        <f t="shared" si="2"/>
        <v>0</v>
      </c>
      <c r="H277" s="1">
        <f>'3.1.raw'!Z349</f>
        <v>0</v>
      </c>
      <c r="I277" s="1">
        <v>0.0</v>
      </c>
      <c r="J277" s="1" t="str">
        <f>'3.1.raw'!AK349</f>
        <v>Red Colony Count: Undiluted Volume Tested 100ml - 00</v>
      </c>
    </row>
    <row r="278">
      <c r="A278" s="23" t="str">
        <f t="shared" si="6"/>
        <v>NCEC46</v>
      </c>
      <c r="B278" s="23" t="str">
        <f>'3.1.raw'!L337</f>
        <v>NCEC46</v>
      </c>
      <c r="C278" s="24">
        <f>datevalue(left('3.1.raw'!O337,10))</f>
        <v>43767</v>
      </c>
      <c r="D278" s="23">
        <f>'3.1.raw'!I337</f>
        <v>98</v>
      </c>
      <c r="E278" s="1">
        <v>3.1</v>
      </c>
      <c r="F278" s="23" t="b">
        <f>if(countif(Status!C:C,A278)=1,TRUE, FALSE)</f>
        <v>1</v>
      </c>
      <c r="G278" s="1">
        <f t="shared" si="2"/>
        <v>0</v>
      </c>
      <c r="H278" s="1">
        <f>'3.1.raw'!Z337</f>
        <v>0</v>
      </c>
      <c r="I278" s="1">
        <v>0.0</v>
      </c>
      <c r="J278" s="1" t="str">
        <f>'3.1.raw'!AK337</f>
        <v>RED COLONY COUNT : -UNDILUTED -100ml -00</v>
      </c>
    </row>
    <row r="279">
      <c r="A279" s="23" t="str">
        <f t="shared" si="6"/>
        <v>NCEC45</v>
      </c>
      <c r="B279" s="23" t="str">
        <f>'3.1.raw'!L336</f>
        <v>NCEC45</v>
      </c>
      <c r="C279" s="24">
        <f>datevalue(left('3.1.raw'!O336,10))</f>
        <v>43766</v>
      </c>
      <c r="D279" s="23">
        <f>'3.1.raw'!I336</f>
        <v>98</v>
      </c>
      <c r="E279" s="1">
        <v>3.1</v>
      </c>
      <c r="F279" s="23" t="b">
        <f>if(countif(Status!C:C,A279)=1,TRUE, FALSE)</f>
        <v>1</v>
      </c>
      <c r="G279" s="1">
        <f t="shared" si="2"/>
        <v>0</v>
      </c>
      <c r="H279" s="1">
        <f>'3.1.raw'!Z336</f>
        <v>0</v>
      </c>
      <c r="I279" s="1">
        <v>0.0</v>
      </c>
      <c r="J279" s="1" t="str">
        <f>'3.1.raw'!AK336</f>
        <v>RED COLONY COUNT - UNDILUTED : 100ml-00</v>
      </c>
    </row>
    <row r="280">
      <c r="A280" s="23" t="str">
        <f t="shared" si="6"/>
        <v>NCEC44</v>
      </c>
      <c r="B280" s="23" t="str">
        <f>'3.1.raw'!L323</f>
        <v>NCEC44</v>
      </c>
      <c r="C280" s="24">
        <f>datevalue(left('3.1.raw'!O323,10))</f>
        <v>43762</v>
      </c>
      <c r="D280" s="23">
        <f>'3.1.raw'!I323</f>
        <v>98</v>
      </c>
      <c r="E280" s="1">
        <v>3.1</v>
      </c>
      <c r="F280" s="23" t="b">
        <f>if(countif(Status!C:C,A280)=1,TRUE, FALSE)</f>
        <v>1</v>
      </c>
      <c r="G280" s="1">
        <f t="shared" si="2"/>
        <v>0</v>
      </c>
      <c r="H280" s="1">
        <f>'3.1.raw'!Z323</f>
        <v>0</v>
      </c>
      <c r="I280" s="1">
        <v>0.0</v>
      </c>
      <c r="J280" s="1" t="str">
        <f>'3.1.raw'!AK323</f>
        <v>RED COLONY(100ml=0)</v>
      </c>
    </row>
    <row r="281">
      <c r="A281" s="23" t="str">
        <f t="shared" si="6"/>
        <v>NCEC43</v>
      </c>
      <c r="B281" s="23" t="str">
        <f>'3.1.raw'!L310</f>
        <v>NCEC43</v>
      </c>
      <c r="C281" s="24">
        <f>datevalue(left('3.1.raw'!O310,10))</f>
        <v>43761</v>
      </c>
      <c r="D281" s="23">
        <f>'3.1.raw'!I310</f>
        <v>98</v>
      </c>
      <c r="E281" s="1">
        <v>3.1</v>
      </c>
      <c r="F281" s="23" t="b">
        <f>if(countif(Status!C:C,A281)=1,TRUE, FALSE)</f>
        <v>1</v>
      </c>
      <c r="G281" s="1">
        <f t="shared" si="2"/>
        <v>0</v>
      </c>
      <c r="H281" s="1">
        <f>'3.1.raw'!Z310</f>
        <v>0</v>
      </c>
      <c r="I281" s="1">
        <v>0.0</v>
      </c>
      <c r="J281" s="1" t="str">
        <f>'3.1.raw'!AK310</f>
        <v>RED COLONY(100ml=0)</v>
      </c>
    </row>
    <row r="282">
      <c r="A282" s="23" t="str">
        <f t="shared" si="6"/>
        <v>NCEC42</v>
      </c>
      <c r="B282" s="23" t="str">
        <f>'3.1.raw'!L303</f>
        <v>NCEC42</v>
      </c>
      <c r="C282" s="24">
        <f>datevalue(left('3.1.raw'!O303,10))</f>
        <v>43760</v>
      </c>
      <c r="D282" s="23">
        <f>'3.1.raw'!I303</f>
        <v>98</v>
      </c>
      <c r="E282" s="1">
        <v>3.1</v>
      </c>
      <c r="F282" s="23" t="b">
        <f>if(countif(Status!C:C,A282)=1,TRUE, FALSE)</f>
        <v>1</v>
      </c>
      <c r="G282" s="1">
        <f t="shared" si="2"/>
        <v>0</v>
      </c>
      <c r="H282" s="1">
        <f>'3.1.raw'!Z303</f>
        <v>0</v>
      </c>
      <c r="I282" s="1">
        <v>0.0</v>
      </c>
      <c r="J282" s="1" t="str">
        <f>'3.1.raw'!AK303</f>
        <v>RED COLONY(100ml=0)</v>
      </c>
    </row>
    <row r="283">
      <c r="A283" s="23" t="str">
        <f t="shared" si="6"/>
        <v>NCEC41</v>
      </c>
      <c r="B283" s="23" t="str">
        <f>'3.1.raw'!L300</f>
        <v>NCEC41</v>
      </c>
      <c r="C283" s="24">
        <f>datevalue(left('3.1.raw'!O300,10))</f>
        <v>43759</v>
      </c>
      <c r="D283" s="23">
        <f>'3.1.raw'!I300</f>
        <v>98</v>
      </c>
      <c r="E283" s="1">
        <v>3.1</v>
      </c>
      <c r="F283" s="23" t="b">
        <f>if(countif(Status!C:C,A283)=1,TRUE, FALSE)</f>
        <v>1</v>
      </c>
      <c r="G283" s="1">
        <f t="shared" si="2"/>
        <v>0</v>
      </c>
      <c r="H283" s="1">
        <f>'3.1.raw'!Z300</f>
        <v>0</v>
      </c>
      <c r="I283" s="1">
        <v>0.0</v>
      </c>
      <c r="J283" s="1" t="str">
        <f>'3.1.raw'!AK300</f>
        <v>RED COLONY(100ml=0)</v>
      </c>
    </row>
    <row r="284">
      <c r="A284" s="23" t="str">
        <f t="shared" si="6"/>
        <v>NCEC40</v>
      </c>
      <c r="B284" s="23" t="str">
        <f>'3.1.raw'!L289</f>
        <v>NCEC40</v>
      </c>
      <c r="C284" s="24">
        <f>datevalue(left('3.1.raw'!O289,10))</f>
        <v>43755</v>
      </c>
      <c r="D284" s="23">
        <f>'3.1.raw'!I289</f>
        <v>98</v>
      </c>
      <c r="E284" s="1">
        <v>3.1</v>
      </c>
      <c r="F284" s="23" t="b">
        <f>if(countif(Status!C:C,A284)=1,TRUE, FALSE)</f>
        <v>1</v>
      </c>
      <c r="G284" s="1">
        <f t="shared" si="2"/>
        <v>0</v>
      </c>
      <c r="H284" s="1">
        <f>'3.1.raw'!Z289</f>
        <v>0</v>
      </c>
      <c r="I284" s="1">
        <v>0.0</v>
      </c>
      <c r="J284" s="1" t="str">
        <f>'3.1.raw'!AK289</f>
        <v>RED COLONY(100ml=0)</v>
      </c>
    </row>
    <row r="285">
      <c r="A285" s="23" t="str">
        <f t="shared" si="6"/>
        <v>NCEC4</v>
      </c>
      <c r="B285" s="23" t="str">
        <f>'3.1.raw'!L86</f>
        <v>NCEC4</v>
      </c>
      <c r="C285" s="24">
        <f>datevalue(left('3.1.raw'!O86,10))</f>
        <v>43661</v>
      </c>
      <c r="D285" s="23">
        <f>'3.1.raw'!I86</f>
        <v>98</v>
      </c>
      <c r="E285" s="1">
        <v>3.1</v>
      </c>
      <c r="F285" s="23" t="b">
        <f>if(countif(Status!C:C,A285)=1,TRUE, FALSE)</f>
        <v>1</v>
      </c>
      <c r="G285" s="1">
        <f t="shared" si="2"/>
        <v>0</v>
      </c>
      <c r="H285" s="1">
        <f>'3.1.raw'!Z86</f>
        <v>0</v>
      </c>
      <c r="J285" s="1" t="str">
        <f>'3.1.raw'!AK86</f>
        <v>THERE IS NO RECEIVING TIME SO, I HAVE GIVEN THE PROCESSING TIME IN THE PLACE OF THE RECEIVING TME ,</v>
      </c>
    </row>
    <row r="286">
      <c r="A286" s="23" t="str">
        <f t="shared" si="6"/>
        <v>NCEC39</v>
      </c>
      <c r="B286" s="23" t="str">
        <f>'3.1.raw'!L282</f>
        <v>NCEC39</v>
      </c>
      <c r="C286" s="24">
        <f>datevalue(left('3.1.raw'!O282,10))</f>
        <v>43753</v>
      </c>
      <c r="D286" s="23">
        <f>'3.1.raw'!I282</f>
        <v>98</v>
      </c>
      <c r="E286" s="1">
        <v>3.1</v>
      </c>
      <c r="F286" s="23" t="b">
        <f>if(countif(Status!C:C,A286)=1,TRUE, FALSE)</f>
        <v>1</v>
      </c>
      <c r="G286" s="1">
        <f t="shared" si="2"/>
        <v>0</v>
      </c>
      <c r="H286" s="1">
        <f>'3.1.raw'!Z282</f>
        <v>0</v>
      </c>
      <c r="I286" s="1">
        <v>0.0</v>
      </c>
      <c r="J286" s="1" t="str">
        <f>'3.1.raw'!AK282</f>
        <v>RED COLONY(100=0)</v>
      </c>
    </row>
    <row r="287">
      <c r="A287" s="23" t="str">
        <f t="shared" si="6"/>
        <v>NCEC38</v>
      </c>
      <c r="B287" s="23" t="str">
        <f>'3.1.raw'!L279</f>
        <v>NCEC38</v>
      </c>
      <c r="C287" s="24">
        <f>datevalue(left('3.1.raw'!O279,10))</f>
        <v>43752</v>
      </c>
      <c r="D287" s="23">
        <f>'3.1.raw'!I279</f>
        <v>98</v>
      </c>
      <c r="E287" s="1">
        <v>3.1</v>
      </c>
      <c r="F287" s="23" t="b">
        <f>if(countif(Status!C:C,A287)=1,TRUE, FALSE)</f>
        <v>1</v>
      </c>
      <c r="G287" s="1">
        <f t="shared" si="2"/>
        <v>0</v>
      </c>
      <c r="H287" s="1">
        <f>'3.1.raw'!Z279</f>
        <v>0</v>
      </c>
      <c r="J287" s="1" t="str">
        <f>'3.1.raw'!AK279</f>
        <v>RED COLONY(100ml=0)</v>
      </c>
    </row>
    <row r="288">
      <c r="A288" s="23" t="str">
        <f t="shared" si="6"/>
        <v>NCEC37</v>
      </c>
      <c r="B288" s="23" t="str">
        <f>'3.1.raw'!L274</f>
        <v>NCEC37</v>
      </c>
      <c r="C288" s="24">
        <f>datevalue(left('3.1.raw'!O274,10))</f>
        <v>43741</v>
      </c>
      <c r="D288" s="23">
        <f>'3.1.raw'!I274</f>
        <v>98</v>
      </c>
      <c r="E288" s="1">
        <v>3.1</v>
      </c>
      <c r="F288" s="23" t="b">
        <f>if(countif(Status!C:C,A288)=1,TRUE, FALSE)</f>
        <v>1</v>
      </c>
      <c r="G288" s="1">
        <f t="shared" si="2"/>
        <v>0</v>
      </c>
      <c r="H288" s="1">
        <f>'3.1.raw'!Z274</f>
        <v>0</v>
      </c>
      <c r="J288" s="1" t="str">
        <f>'3.1.raw'!AK274</f>
        <v>RED COLONY(100ml=0)</v>
      </c>
    </row>
    <row r="289">
      <c r="A289" s="23" t="str">
        <f t="shared" si="6"/>
        <v>NCEC36</v>
      </c>
      <c r="B289" s="23" t="str">
        <f>'3.1.raw'!L267</f>
        <v>NCEC36</v>
      </c>
      <c r="C289" s="24">
        <f>datevalue(left('3.1.raw'!O267,10))</f>
        <v>43738</v>
      </c>
      <c r="D289" s="23">
        <f>'3.1.raw'!I267</f>
        <v>98</v>
      </c>
      <c r="E289" s="1">
        <v>3.1</v>
      </c>
      <c r="F289" s="23" t="b">
        <f>if(countif(Status!C:C,A289)=1,TRUE, FALSE)</f>
        <v>1</v>
      </c>
      <c r="G289" s="1">
        <f t="shared" si="2"/>
        <v>0</v>
      </c>
      <c r="H289" s="1">
        <f>'3.1.raw'!Z267</f>
        <v>0</v>
      </c>
      <c r="I289" s="1">
        <v>0.0</v>
      </c>
      <c r="J289" s="1" t="str">
        <f>'3.1.raw'!AK267</f>
        <v>RED COLONY(100ml=0)</v>
      </c>
    </row>
    <row r="290">
      <c r="A290" s="23" t="str">
        <f t="shared" si="6"/>
        <v>NCEC35</v>
      </c>
      <c r="B290" s="23" t="str">
        <f>'3.1.raw'!L260</f>
        <v>NCEC35</v>
      </c>
      <c r="C290" s="24">
        <f>datevalue(left('3.1.raw'!O260,10))</f>
        <v>43734</v>
      </c>
      <c r="D290" s="23">
        <f>'3.1.raw'!I260</f>
        <v>98</v>
      </c>
      <c r="E290" s="1">
        <v>3.1</v>
      </c>
      <c r="F290" s="23" t="b">
        <f>if(countif(Status!C:C,A290)=1,TRUE, FALSE)</f>
        <v>1</v>
      </c>
      <c r="G290" s="1">
        <f t="shared" si="2"/>
        <v>0</v>
      </c>
      <c r="H290" s="1">
        <f>'3.1.raw'!Z260</f>
        <v>0</v>
      </c>
      <c r="I290" s="1">
        <v>0.0</v>
      </c>
      <c r="J290" s="1" t="str">
        <f>'3.1.raw'!AK260</f>
        <v>RED COLONY(100ml=0)</v>
      </c>
    </row>
    <row r="291">
      <c r="A291" s="23" t="str">
        <f t="shared" si="6"/>
        <v>NCEC34</v>
      </c>
      <c r="B291" s="23" t="str">
        <f>'3.1.raw'!L255</f>
        <v>NCEC34</v>
      </c>
      <c r="C291" s="24">
        <f>datevalue(left('3.1.raw'!O255,10))</f>
        <v>43732</v>
      </c>
      <c r="D291" s="23">
        <f>'3.1.raw'!I255</f>
        <v>98</v>
      </c>
      <c r="E291" s="1">
        <v>3.1</v>
      </c>
      <c r="F291" s="23" t="b">
        <f>if(countif(Status!C:C,A291)=1,TRUE, FALSE)</f>
        <v>1</v>
      </c>
      <c r="G291" s="1">
        <f t="shared" si="2"/>
        <v>0</v>
      </c>
      <c r="H291" s="1">
        <f>'3.1.raw'!Z255</f>
        <v>0</v>
      </c>
      <c r="I291" s="1">
        <v>0.0</v>
      </c>
      <c r="J291" s="1" t="str">
        <f>'3.1.raw'!AK255</f>
        <v>RED COLONY (100ml=0)</v>
      </c>
    </row>
    <row r="292">
      <c r="A292" s="23" t="str">
        <f t="shared" si="6"/>
        <v>NCEC33</v>
      </c>
      <c r="B292" s="23" t="str">
        <f>'3.1.raw'!L252</f>
        <v>NCEC33</v>
      </c>
      <c r="C292" s="24">
        <f>datevalue(left('3.1.raw'!O252,10))</f>
        <v>43731</v>
      </c>
      <c r="D292" s="23">
        <f>'3.1.raw'!I252</f>
        <v>98</v>
      </c>
      <c r="E292" s="1">
        <v>3.1</v>
      </c>
      <c r="F292" s="23" t="b">
        <f>if(countif(Status!C:C,A292)=1,TRUE, FALSE)</f>
        <v>1</v>
      </c>
      <c r="G292" s="1">
        <f t="shared" si="2"/>
        <v>0</v>
      </c>
      <c r="H292" s="1">
        <f>'3.1.raw'!Z252</f>
        <v>0</v>
      </c>
      <c r="I292" s="1">
        <v>0.0</v>
      </c>
      <c r="J292" s="1" t="str">
        <f>'3.1.raw'!AK252</f>
        <v>RED COLONY(100ml=0)</v>
      </c>
    </row>
    <row r="293">
      <c r="A293" s="23" t="str">
        <f t="shared" si="6"/>
        <v>NCEC32</v>
      </c>
      <c r="B293" s="23" t="str">
        <f>'3.1.raw'!L249</f>
        <v>NCEC32</v>
      </c>
      <c r="C293" s="24">
        <f>datevalue(left('3.1.raw'!O249,10))</f>
        <v>43727</v>
      </c>
      <c r="D293" s="23">
        <f>'3.1.raw'!I249</f>
        <v>98</v>
      </c>
      <c r="E293" s="1">
        <v>3.1</v>
      </c>
      <c r="F293" s="23" t="b">
        <f>if(countif(Status!C:C,A293)=1,TRUE, FALSE)</f>
        <v>1</v>
      </c>
      <c r="G293" s="1">
        <f t="shared" si="2"/>
        <v>0</v>
      </c>
      <c r="H293" s="1">
        <f>'3.1.raw'!Z249</f>
        <v>0</v>
      </c>
      <c r="I293" s="1">
        <v>0.0</v>
      </c>
      <c r="J293" s="1" t="str">
        <f>'3.1.raw'!AK249</f>
        <v>RED COLONY(100=0)</v>
      </c>
    </row>
    <row r="294">
      <c r="A294" s="23" t="str">
        <f t="shared" si="6"/>
        <v>NCEC31</v>
      </c>
      <c r="B294" s="23" t="str">
        <f>'3.1.raw'!L245</f>
        <v>NCEC31</v>
      </c>
      <c r="C294" s="24">
        <f>datevalue(left('3.1.raw'!O245,10))</f>
        <v>43725</v>
      </c>
      <c r="D294" s="23">
        <f>'3.1.raw'!I245</f>
        <v>98</v>
      </c>
      <c r="E294" s="1">
        <v>3.1</v>
      </c>
      <c r="F294" s="23" t="b">
        <f>if(countif(Status!C:C,A294)=1,TRUE, FALSE)</f>
        <v>1</v>
      </c>
      <c r="G294" s="1">
        <f t="shared" si="2"/>
        <v>0</v>
      </c>
      <c r="H294" s="1">
        <f>'3.1.raw'!Z245</f>
        <v>0</v>
      </c>
      <c r="I294" s="1">
        <v>0.0</v>
      </c>
      <c r="J294" s="1" t="str">
        <f>'3.1.raw'!AK245</f>
        <v>RED COLONY(100ml=0)</v>
      </c>
    </row>
    <row r="295">
      <c r="A295" s="23" t="str">
        <f t="shared" si="6"/>
        <v>NCEC30</v>
      </c>
      <c r="B295" s="23" t="str">
        <f>'3.1.raw'!L232</f>
        <v>NCEC30</v>
      </c>
      <c r="C295" s="24">
        <f>datevalue(left('3.1.raw'!O232,10))</f>
        <v>43724</v>
      </c>
      <c r="D295" s="23">
        <f>'3.1.raw'!I232</f>
        <v>98</v>
      </c>
      <c r="E295" s="1">
        <v>3.1</v>
      </c>
      <c r="F295" s="23" t="b">
        <f>if(countif(Status!C:C,A295)=1,TRUE, FALSE)</f>
        <v>1</v>
      </c>
      <c r="G295" s="1">
        <f t="shared" si="2"/>
        <v>0</v>
      </c>
      <c r="H295" s="1">
        <f>'3.1.raw'!Z232</f>
        <v>0</v>
      </c>
      <c r="I295" s="1">
        <v>0.0</v>
      </c>
      <c r="J295" s="1" t="str">
        <f>'3.1.raw'!AK232</f>
        <v>RED COLONY(100ml=0)</v>
      </c>
    </row>
    <row r="296">
      <c r="A296" s="23" t="str">
        <f t="shared" si="6"/>
        <v>NCEC3</v>
      </c>
      <c r="B296" s="23" t="str">
        <f>'3.1.raw'!L85</f>
        <v>NCEC3</v>
      </c>
      <c r="C296" s="24">
        <f>datevalue(left('3.1.raw'!O85,10))</f>
        <v>43656</v>
      </c>
      <c r="D296" s="23">
        <f>'3.1.raw'!I85</f>
        <v>98</v>
      </c>
      <c r="E296" s="1">
        <v>3.1</v>
      </c>
      <c r="F296" s="23" t="b">
        <f>if(countif(Status!C:C,A296)=1,TRUE, FALSE)</f>
        <v>1</v>
      </c>
      <c r="G296" s="1">
        <f t="shared" si="2"/>
        <v>0</v>
      </c>
      <c r="H296" s="1">
        <f>'3.1.raw'!Z85</f>
        <v>0</v>
      </c>
      <c r="J296" s="1" t="str">
        <f>'3.1.raw'!AK85</f>
        <v>THERE IS NO RECEIVING TIME SO, I HAVE GIVEN THE PROCESSING TIME IN THE PLACE OF THE RECEIVING TME ,</v>
      </c>
    </row>
    <row r="297">
      <c r="A297" s="23" t="str">
        <f t="shared" si="6"/>
        <v>NCEC29</v>
      </c>
      <c r="B297" s="23" t="str">
        <f>'3.1.raw'!L229</f>
        <v>NCEC29</v>
      </c>
      <c r="C297" s="24">
        <f>datevalue(left('3.1.raw'!O229,10))</f>
        <v>43720</v>
      </c>
      <c r="D297" s="23">
        <f>'3.1.raw'!I229</f>
        <v>98</v>
      </c>
      <c r="E297" s="1">
        <v>3.1</v>
      </c>
      <c r="F297" s="23" t="b">
        <f>if(countif(Status!C:C,A297)=1,TRUE, FALSE)</f>
        <v>1</v>
      </c>
      <c r="G297" s="1">
        <f t="shared" si="2"/>
        <v>0</v>
      </c>
      <c r="H297" s="1">
        <f>'3.1.raw'!Z229</f>
        <v>0</v>
      </c>
      <c r="I297" s="1">
        <v>0.0</v>
      </c>
      <c r="J297" s="1" t="str">
        <f>'3.1.raw'!AK229</f>
        <v>RED COLONY(100ml=0)</v>
      </c>
    </row>
    <row r="298">
      <c r="A298" s="23" t="str">
        <f t="shared" si="6"/>
        <v>NCEC28</v>
      </c>
      <c r="B298" s="23" t="str">
        <f>'3.1.raw'!L205</f>
        <v>NCEC28</v>
      </c>
      <c r="C298" s="24">
        <f>datevalue(left('3.1.raw'!O205,10))</f>
        <v>43719</v>
      </c>
      <c r="D298" s="23">
        <f>'3.1.raw'!I205</f>
        <v>98</v>
      </c>
      <c r="E298" s="1">
        <v>3.1</v>
      </c>
      <c r="F298" s="23" t="b">
        <f>if(countif(Status!C:C,A298)=1,TRUE, FALSE)</f>
        <v>1</v>
      </c>
      <c r="G298" s="1">
        <f t="shared" si="2"/>
        <v>0</v>
      </c>
      <c r="H298" s="1">
        <f>'3.1.raw'!Z205</f>
        <v>0</v>
      </c>
      <c r="I298" s="1">
        <v>0.0</v>
      </c>
      <c r="J298" s="1" t="str">
        <f>'3.1.raw'!AK205</f>
        <v>RED COLONY(100ml=0)</v>
      </c>
    </row>
    <row r="299">
      <c r="A299" s="23" t="str">
        <f t="shared" si="6"/>
        <v>NCEC27</v>
      </c>
      <c r="B299" s="23" t="str">
        <f>'3.1.raw'!L217</f>
        <v>NCEC27</v>
      </c>
      <c r="C299" s="24">
        <f>datevalue(left('3.1.raw'!O217,10))</f>
        <v>43712</v>
      </c>
      <c r="D299" s="23">
        <f>'3.1.raw'!I217</f>
        <v>98</v>
      </c>
      <c r="E299" s="1">
        <v>3.1</v>
      </c>
      <c r="F299" s="23" t="b">
        <f>if(countif(Status!C:C,A299)=1,TRUE, FALSE)</f>
        <v>1</v>
      </c>
      <c r="G299" s="1">
        <f t="shared" si="2"/>
        <v>0</v>
      </c>
      <c r="H299" s="1">
        <f>'3.1.raw'!Z217</f>
        <v>0</v>
      </c>
      <c r="I299" s="1">
        <v>0.0</v>
      </c>
      <c r="J299" s="1" t="str">
        <f>'3.1.raw'!AK217</f>
        <v>RED COLONY(100ml=0)</v>
      </c>
    </row>
    <row r="300">
      <c r="A300" s="23" t="str">
        <f t="shared" si="6"/>
        <v>NCEC26</v>
      </c>
      <c r="B300" s="23" t="str">
        <f>'3.1.raw'!L208</f>
        <v>NCEC26</v>
      </c>
      <c r="C300" s="24">
        <f>datevalue(left('3.1.raw'!O208,10))</f>
        <v>43711</v>
      </c>
      <c r="D300" s="23">
        <f>'3.1.raw'!I208</f>
        <v>98</v>
      </c>
      <c r="E300" s="1">
        <v>3.1</v>
      </c>
      <c r="F300" s="23" t="b">
        <f>if(countif(Status!C:C,A300)=1,TRUE, FALSE)</f>
        <v>1</v>
      </c>
      <c r="G300" s="1">
        <f t="shared" si="2"/>
        <v>0</v>
      </c>
      <c r="H300" s="1">
        <f>'3.1.raw'!Z208</f>
        <v>0</v>
      </c>
      <c r="I300" s="1">
        <v>0.0</v>
      </c>
      <c r="J300" s="1" t="str">
        <f>'3.1.raw'!AK208</f>
        <v>RED COLONY(100ml=0)</v>
      </c>
    </row>
    <row r="301">
      <c r="A301" s="23" t="str">
        <f t="shared" si="6"/>
        <v>NCEC25</v>
      </c>
      <c r="B301" s="23" t="str">
        <f>'3.1.raw'!L197</f>
        <v>NCEC25</v>
      </c>
      <c r="C301" s="24">
        <f>datevalue(left('3.1.raw'!O197,10))</f>
        <v>43710</v>
      </c>
      <c r="D301" s="23">
        <f>'3.1.raw'!I197</f>
        <v>98</v>
      </c>
      <c r="E301" s="1">
        <v>3.1</v>
      </c>
      <c r="F301" s="23" t="b">
        <f>if(countif(Status!C:C,A301)=1,TRUE, FALSE)</f>
        <v>1</v>
      </c>
      <c r="G301" s="1">
        <f t="shared" si="2"/>
        <v>0</v>
      </c>
      <c r="H301" s="1">
        <f>'3.1.raw'!Z197</f>
        <v>0</v>
      </c>
      <c r="I301" s="1">
        <v>0.0</v>
      </c>
      <c r="J301" s="1" t="str">
        <f>'3.1.raw'!AK197</f>
        <v>RED COLONY(100ml=0)</v>
      </c>
    </row>
    <row r="302">
      <c r="A302" s="23" t="str">
        <f t="shared" si="6"/>
        <v>NCEC24</v>
      </c>
      <c r="B302" s="23" t="str">
        <f>'3.1.raw'!L185</f>
        <v>NCEC24</v>
      </c>
      <c r="C302" s="24">
        <f>datevalue(left('3.1.raw'!O185,10))</f>
        <v>43706</v>
      </c>
      <c r="D302" s="23">
        <f>'3.1.raw'!I185</f>
        <v>98</v>
      </c>
      <c r="E302" s="1">
        <v>3.1</v>
      </c>
      <c r="F302" s="23" t="b">
        <f>if(countif(Status!C:C,A302)=1,TRUE, FALSE)</f>
        <v>1</v>
      </c>
      <c r="G302" s="1">
        <f t="shared" si="2"/>
        <v>0</v>
      </c>
      <c r="H302" s="1">
        <f>'3.1.raw'!Z185</f>
        <v>0</v>
      </c>
      <c r="I302" s="1">
        <v>0.0</v>
      </c>
      <c r="J302" s="1" t="str">
        <f>'3.1.raw'!AK185</f>
        <v>RED COLONY(100ml=0)</v>
      </c>
    </row>
    <row r="303">
      <c r="A303" s="23" t="str">
        <f t="shared" si="6"/>
        <v>NCEC23</v>
      </c>
      <c r="B303" s="23" t="str">
        <f>'3.1.raw'!L178</f>
        <v>NCEC23</v>
      </c>
      <c r="C303" s="24">
        <f>datevalue(left('3.1.raw'!O178,10))</f>
        <v>43704</v>
      </c>
      <c r="D303" s="23">
        <f>'3.1.raw'!I178</f>
        <v>98</v>
      </c>
      <c r="E303" s="1">
        <v>3.1</v>
      </c>
      <c r="F303" s="23" t="b">
        <f>if(countif(Status!C:C,A303)=1,TRUE, FALSE)</f>
        <v>1</v>
      </c>
      <c r="G303" s="1">
        <f t="shared" si="2"/>
        <v>0</v>
      </c>
      <c r="H303" s="1">
        <f>'3.1.raw'!Z178</f>
        <v>0</v>
      </c>
      <c r="I303" s="1">
        <v>0.0</v>
      </c>
      <c r="J303" s="1" t="str">
        <f>'3.1.raw'!AK178</f>
        <v>RD COLONY (100mL=0)</v>
      </c>
    </row>
    <row r="304">
      <c r="A304" s="23" t="str">
        <f t="shared" si="6"/>
        <v>NCEC22</v>
      </c>
      <c r="B304" s="23" t="str">
        <f>'3.1.raw'!L174</f>
        <v>NCEC22</v>
      </c>
      <c r="C304" s="24">
        <f>datevalue(left('3.1.raw'!O174,10))</f>
        <v>43703</v>
      </c>
      <c r="D304" s="23">
        <f>'3.1.raw'!I174</f>
        <v>98</v>
      </c>
      <c r="E304" s="1">
        <v>3.1</v>
      </c>
      <c r="F304" s="23" t="b">
        <f>if(countif(Status!C:C,A304)=1,TRUE, FALSE)</f>
        <v>1</v>
      </c>
      <c r="G304" s="1">
        <f t="shared" si="2"/>
        <v>0</v>
      </c>
      <c r="H304" s="1">
        <f>'3.1.raw'!Z174</f>
        <v>0</v>
      </c>
      <c r="I304" s="1">
        <v>0.0</v>
      </c>
      <c r="J304" s="1" t="str">
        <f>'3.1.raw'!AK174</f>
        <v>red colony(100ml=0)</v>
      </c>
    </row>
    <row r="305">
      <c r="A305" s="23" t="str">
        <f t="shared" si="6"/>
        <v>NCEC21</v>
      </c>
      <c r="B305" s="23" t="str">
        <f>'3.1.raw'!L171</f>
        <v>NCEC21</v>
      </c>
      <c r="C305" s="24">
        <f>datevalue(left('3.1.raw'!O171,10))</f>
        <v>43699</v>
      </c>
      <c r="D305" s="23">
        <f>'3.1.raw'!I171</f>
        <v>98</v>
      </c>
      <c r="E305" s="1">
        <v>3.1</v>
      </c>
      <c r="F305" s="23" t="b">
        <f>if(countif(Status!C:C,A305)=1,TRUE, FALSE)</f>
        <v>1</v>
      </c>
      <c r="G305" s="1">
        <f t="shared" si="2"/>
        <v>0</v>
      </c>
      <c r="H305" s="1">
        <f>'3.1.raw'!Z171</f>
        <v>0</v>
      </c>
      <c r="I305" s="1">
        <v>0.0</v>
      </c>
      <c r="J305" s="1" t="str">
        <f>'3.1.raw'!AK171</f>
        <v>RED COLONY(100ml=0)</v>
      </c>
    </row>
    <row r="306">
      <c r="A306" s="23" t="str">
        <f t="shared" si="6"/>
        <v>NCEC20</v>
      </c>
      <c r="B306" s="23" t="str">
        <f>'3.1.raw'!L160</f>
        <v>NCEC20</v>
      </c>
      <c r="C306" s="24">
        <f>datevalue(left('3.1.raw'!O160,10))</f>
        <v>43698</v>
      </c>
      <c r="D306" s="23">
        <f>'3.1.raw'!I160</f>
        <v>98</v>
      </c>
      <c r="E306" s="1">
        <v>3.1</v>
      </c>
      <c r="F306" s="23" t="b">
        <f>if(countif(Status!C:C,A306)=1,TRUE, FALSE)</f>
        <v>1</v>
      </c>
      <c r="G306" s="1">
        <f t="shared" si="2"/>
        <v>0</v>
      </c>
      <c r="H306" s="1">
        <f>'3.1.raw'!Z160</f>
        <v>0</v>
      </c>
      <c r="I306" s="1">
        <v>0.0</v>
      </c>
      <c r="J306" s="1" t="str">
        <f>'3.1.raw'!AK160</f>
        <v>RED COLONY(100ml=0)</v>
      </c>
    </row>
    <row r="307">
      <c r="A307" s="23" t="str">
        <f t="shared" si="6"/>
        <v>NCEC2</v>
      </c>
      <c r="B307" s="23" t="str">
        <f>'3.1.raw'!L84</f>
        <v>NCEC2</v>
      </c>
      <c r="C307" s="24">
        <f>datevalue(left('3.1.raw'!O84,10))</f>
        <v>43654</v>
      </c>
      <c r="D307" s="23">
        <f>'3.1.raw'!I84</f>
        <v>98</v>
      </c>
      <c r="E307" s="1">
        <v>3.1</v>
      </c>
      <c r="F307" s="23" t="b">
        <f>if(countif(Status!C:C,A307)=1,TRUE, FALSE)</f>
        <v>1</v>
      </c>
      <c r="G307" s="1">
        <f t="shared" si="2"/>
        <v>0</v>
      </c>
      <c r="H307" s="1">
        <f>'3.1.raw'!Z84</f>
        <v>0</v>
      </c>
      <c r="J307" s="1" t="str">
        <f>'3.1.raw'!AK84</f>
        <v>THERE IS NO RECEIVING TIME SO, I HAVE GIVEN THE PROCESSING TIME IN THE PLACE OF THE RECEIVING TME ,</v>
      </c>
    </row>
    <row r="308">
      <c r="A308" s="23" t="str">
        <f t="shared" si="6"/>
        <v>NCEC19</v>
      </c>
      <c r="B308" s="23" t="str">
        <f>'3.1.raw'!L152</f>
        <v>NCEC19</v>
      </c>
      <c r="C308" s="24">
        <f>datevalue(left('3.1.raw'!O152,10))</f>
        <v>43697</v>
      </c>
      <c r="D308" s="23">
        <f>'3.1.raw'!I152</f>
        <v>98</v>
      </c>
      <c r="E308" s="1">
        <v>3.1</v>
      </c>
      <c r="F308" s="23" t="b">
        <f>if(countif(Status!C:C,A308)=1,TRUE, FALSE)</f>
        <v>1</v>
      </c>
      <c r="G308" s="1">
        <f t="shared" si="2"/>
        <v>0</v>
      </c>
      <c r="H308" s="1">
        <f>'3.1.raw'!Z152</f>
        <v>0</v>
      </c>
      <c r="I308" s="1">
        <v>0.0</v>
      </c>
      <c r="J308" s="1" t="str">
        <f>'3.1.raw'!AK152</f>
        <v>RED COLONY(100ml=0)</v>
      </c>
    </row>
    <row r="309">
      <c r="A309" s="23" t="str">
        <f t="shared" si="6"/>
        <v>NCEC18</v>
      </c>
      <c r="B309" s="23" t="str">
        <f>'3.1.raw'!L146</f>
        <v>NCEC18</v>
      </c>
      <c r="C309" s="24">
        <f>datevalue(left('3.1.raw'!O146,10))</f>
        <v>43696</v>
      </c>
      <c r="D309" s="23">
        <f>'3.1.raw'!I146</f>
        <v>98</v>
      </c>
      <c r="E309" s="1">
        <v>3.1</v>
      </c>
      <c r="F309" s="23" t="b">
        <f>if(countif(Status!C:C,A309)=1,TRUE, FALSE)</f>
        <v>1</v>
      </c>
      <c r="G309" s="1">
        <f t="shared" si="2"/>
        <v>0</v>
      </c>
      <c r="H309" s="1">
        <f>'3.1.raw'!Z146</f>
        <v>0</v>
      </c>
      <c r="I309" s="1">
        <v>0.0</v>
      </c>
      <c r="J309" s="1" t="str">
        <f>'3.1.raw'!AK146</f>
        <v>RED COLONY(100ml=0)</v>
      </c>
    </row>
    <row r="310">
      <c r="A310" s="23" t="str">
        <f t="shared" si="6"/>
        <v>NCEC17</v>
      </c>
      <c r="B310" s="23" t="str">
        <f>'3.1.raw'!L145</f>
        <v>NCEC17</v>
      </c>
      <c r="C310" s="24">
        <f>datevalue(left('3.1.raw'!O145,10))</f>
        <v>43686</v>
      </c>
      <c r="D310" s="23">
        <f>'3.1.raw'!I145</f>
        <v>98</v>
      </c>
      <c r="E310" s="1">
        <v>3.1</v>
      </c>
      <c r="F310" s="23" t="b">
        <f>if(countif(Status!C:C,A310)=1,TRUE, FALSE)</f>
        <v>1</v>
      </c>
      <c r="G310" s="1">
        <f t="shared" si="2"/>
        <v>0</v>
      </c>
      <c r="H310" s="1">
        <f>'3.1.raw'!Z145</f>
        <v>0</v>
      </c>
      <c r="I310" s="1">
        <v>0.0</v>
      </c>
      <c r="J310" s="1" t="str">
        <f>'3.1.raw'!AK145</f>
        <v>RED COLONY(100ml=0)</v>
      </c>
    </row>
    <row r="311">
      <c r="A311" s="23" t="str">
        <f t="shared" si="6"/>
        <v>NCEC16</v>
      </c>
      <c r="B311" s="23" t="str">
        <f>'3.1.raw'!L140</f>
        <v>NCEC16</v>
      </c>
      <c r="C311" s="24">
        <f>datevalue(left('3.1.raw'!O140,10))</f>
        <v>43685</v>
      </c>
      <c r="D311" s="23">
        <f>'3.1.raw'!I140</f>
        <v>98</v>
      </c>
      <c r="E311" s="1">
        <v>3.1</v>
      </c>
      <c r="F311" s="23" t="b">
        <f>if(countif(Status!C:C,A311)=1,TRUE, FALSE)</f>
        <v>1</v>
      </c>
      <c r="G311" s="1">
        <f t="shared" si="2"/>
        <v>0</v>
      </c>
      <c r="H311" s="1">
        <f>'3.1.raw'!Z140</f>
        <v>0</v>
      </c>
      <c r="I311" s="1">
        <v>0.0</v>
      </c>
      <c r="J311" s="1" t="str">
        <f>'3.1.raw'!AK140</f>
        <v>RED COLONY(100ml=0)</v>
      </c>
    </row>
    <row r="312">
      <c r="A312" s="23" t="str">
        <f t="shared" si="6"/>
        <v>NCEC15</v>
      </c>
      <c r="B312" s="23" t="str">
        <f>'3.1.raw'!L137</f>
        <v>NCEC15</v>
      </c>
      <c r="C312" s="24">
        <f>datevalue(left('3.1.raw'!O137,10))</f>
        <v>43684</v>
      </c>
      <c r="D312" s="23">
        <f>'3.1.raw'!I137</f>
        <v>98</v>
      </c>
      <c r="E312" s="1">
        <v>3.1</v>
      </c>
      <c r="F312" s="23" t="b">
        <f>if(countif(Status!C:C,A312)=1,TRUE, FALSE)</f>
        <v>1</v>
      </c>
      <c r="G312" s="1">
        <f t="shared" si="2"/>
        <v>0</v>
      </c>
      <c r="H312" s="1">
        <f>'3.1.raw'!Z137</f>
        <v>0</v>
      </c>
      <c r="I312" s="1">
        <v>0.0</v>
      </c>
      <c r="J312" s="1" t="str">
        <f>'3.1.raw'!AK137</f>
        <v>RED COLONY(100ml=0)</v>
      </c>
    </row>
    <row r="313">
      <c r="A313" s="23" t="str">
        <f t="shared" si="6"/>
        <v>NCEC14</v>
      </c>
      <c r="B313" s="23" t="str">
        <f>'3.1.raw'!L128</f>
        <v>NCEC14</v>
      </c>
      <c r="C313" s="24">
        <f>datevalue(left('3.1.raw'!O128,10))</f>
        <v>43683</v>
      </c>
      <c r="D313" s="23">
        <f>'3.1.raw'!I128</f>
        <v>98</v>
      </c>
      <c r="E313" s="1">
        <v>3.1</v>
      </c>
      <c r="F313" s="23" t="b">
        <f>if(countif(Status!C:C,A313)=1,TRUE, FALSE)</f>
        <v>1</v>
      </c>
      <c r="G313" s="1">
        <f t="shared" si="2"/>
        <v>0</v>
      </c>
      <c r="H313" s="1">
        <f>'3.1.raw'!Z128</f>
        <v>0</v>
      </c>
      <c r="I313" s="1">
        <v>0.0</v>
      </c>
      <c r="J313" s="1" t="str">
        <f>'3.1.raw'!AK128</f>
        <v>RED COLONY (100ml=0)</v>
      </c>
    </row>
    <row r="314">
      <c r="A314" s="23" t="str">
        <f t="shared" si="6"/>
        <v>NCEC13</v>
      </c>
      <c r="B314" s="23" t="str">
        <f>'3.1.raw'!L122</f>
        <v>NCEC13</v>
      </c>
      <c r="C314" s="24">
        <f>datevalue(left('3.1.raw'!O122,10))</f>
        <v>43682</v>
      </c>
      <c r="D314" s="23">
        <f>'3.1.raw'!I122</f>
        <v>98</v>
      </c>
      <c r="E314" s="1">
        <v>3.1</v>
      </c>
      <c r="F314" s="23" t="b">
        <f>if(countif(Status!C:C,A314)=1,TRUE, FALSE)</f>
        <v>1</v>
      </c>
      <c r="G314" s="1">
        <f t="shared" si="2"/>
        <v>0</v>
      </c>
      <c r="H314" s="1">
        <f>'3.1.raw'!Z122</f>
        <v>0</v>
      </c>
      <c r="I314" s="1">
        <v>0.0</v>
      </c>
      <c r="J314" s="1" t="str">
        <f>'3.1.raw'!AK122</f>
        <v>RED COLONY (100ml=0)</v>
      </c>
    </row>
    <row r="315">
      <c r="A315" s="23" t="str">
        <f t="shared" si="6"/>
        <v>NCEC12</v>
      </c>
      <c r="B315" s="23" t="str">
        <f>'3.1.raw'!L116</f>
        <v>NCEC12</v>
      </c>
      <c r="C315" s="24">
        <f>datevalue(left('3.1.raw'!O116,10))</f>
        <v>43678</v>
      </c>
      <c r="D315" s="23">
        <f>'3.1.raw'!I116</f>
        <v>98</v>
      </c>
      <c r="E315" s="1">
        <v>3.1</v>
      </c>
      <c r="F315" s="23" t="b">
        <f>if(countif(Status!C:C,A315)=1,TRUE, FALSE)</f>
        <v>1</v>
      </c>
      <c r="G315" s="1">
        <f t="shared" si="2"/>
        <v>0</v>
      </c>
      <c r="H315" s="1">
        <f>'3.1.raw'!Z116</f>
        <v>0</v>
      </c>
      <c r="I315" s="1">
        <v>0.0</v>
      </c>
      <c r="J315" s="1" t="str">
        <f>'3.1.raw'!AK116</f>
        <v>RED COLONY(100ml=0)</v>
      </c>
    </row>
    <row r="316">
      <c r="A316" s="23" t="str">
        <f t="shared" si="6"/>
        <v>NCEC11</v>
      </c>
      <c r="B316" s="23" t="str">
        <f>'3.1.raw'!L114</f>
        <v>NCEC11</v>
      </c>
      <c r="C316" s="24">
        <f>datevalue(left('3.1.raw'!O114,10))</f>
        <v>43677</v>
      </c>
      <c r="D316" s="23">
        <f>'3.1.raw'!I114</f>
        <v>98</v>
      </c>
      <c r="E316" s="1">
        <v>3.1</v>
      </c>
      <c r="F316" s="23" t="b">
        <f>if(countif(Status!C:C,A316)=1,TRUE, FALSE)</f>
        <v>1</v>
      </c>
      <c r="G316" s="1">
        <f t="shared" si="2"/>
        <v>0</v>
      </c>
      <c r="H316" s="1">
        <f>'3.1.raw'!Z114</f>
        <v>0</v>
      </c>
      <c r="I316" s="1">
        <v>0.0</v>
      </c>
      <c r="J316" s="1" t="str">
        <f>'3.1.raw'!AK114</f>
        <v>RED COLONY(100ml=0)</v>
      </c>
    </row>
    <row r="317">
      <c r="A317" s="23" t="str">
        <f t="shared" si="6"/>
        <v>NCEC10</v>
      </c>
      <c r="B317" s="23" t="str">
        <f>'3.1.raw'!L109</f>
        <v>NCEC10</v>
      </c>
      <c r="C317" s="24">
        <f>datevalue(left('3.1.raw'!O109,10))</f>
        <v>43676</v>
      </c>
      <c r="D317" s="23">
        <f>'3.1.raw'!I109</f>
        <v>98</v>
      </c>
      <c r="E317" s="1">
        <v>3.1</v>
      </c>
      <c r="F317" s="23" t="b">
        <f>if(countif(Status!C:C,A317)=1,TRUE, FALSE)</f>
        <v>1</v>
      </c>
      <c r="G317" s="1">
        <f t="shared" si="2"/>
        <v>0</v>
      </c>
      <c r="H317" s="1">
        <f>'3.1.raw'!Z109</f>
        <v>0</v>
      </c>
      <c r="I317" s="1">
        <v>0.0</v>
      </c>
      <c r="J317" s="1" t="str">
        <f>'3.1.raw'!AK109</f>
        <v>RED COLONY (100ml=0)</v>
      </c>
    </row>
    <row r="318">
      <c r="A318" s="23" t="str">
        <f t="shared" si="6"/>
        <v>NCEC1</v>
      </c>
      <c r="B318" s="23" t="str">
        <f>'3.1.raw'!L83</f>
        <v>NCEC1</v>
      </c>
      <c r="C318" s="24">
        <f>datevalue(left('3.1.raw'!O83,10))</f>
        <v>43647</v>
      </c>
      <c r="D318" s="23">
        <f>'3.1.raw'!I83</f>
        <v>98</v>
      </c>
      <c r="E318" s="1">
        <v>3.1</v>
      </c>
      <c r="F318" s="23" t="b">
        <f>if(countif(Status!C:C,A318)=1,TRUE, FALSE)</f>
        <v>1</v>
      </c>
      <c r="G318" s="1">
        <f t="shared" si="2"/>
        <v>0</v>
      </c>
      <c r="H318" s="1">
        <f>'3.1.raw'!Z83</f>
        <v>0</v>
      </c>
      <c r="J318" s="1" t="str">
        <f>'3.1.raw'!AK83</f>
        <v>THERE ARE NO RECEIVED TIME ,SO I HAVE GIVEN THE PROCESSING TINE IN THE PLACE OF THE RECEIVED TIME.</v>
      </c>
    </row>
    <row r="319">
      <c r="A319" s="23" t="str">
        <f t="shared" si="6"/>
        <v>LS2001old</v>
      </c>
      <c r="B319" s="23" t="str">
        <f>'3.1.raw'!L12</f>
        <v>LS2001old</v>
      </c>
      <c r="C319" s="24">
        <f>datevalue(left('3.1.raw'!O12,10))</f>
        <v>43593</v>
      </c>
      <c r="D319" s="23">
        <f>'3.1.raw'!I12</f>
        <v>7</v>
      </c>
      <c r="E319" s="1">
        <v>3.1</v>
      </c>
      <c r="F319" s="23" t="b">
        <f>if(countif(Status!C:C,A319)=1,TRUE, FALSE)</f>
        <v>1</v>
      </c>
      <c r="G319" s="1" t="str">
        <f t="shared" si="2"/>
        <v/>
      </c>
      <c r="H319" s="1" t="str">
        <f>'3.1.raw'!Z12</f>
        <v/>
      </c>
      <c r="J319" s="1" t="str">
        <f>'3.1.raw'!AK12</f>
        <v>RED COLONIES: TDTC FOR NO DIL 10 ML SAMPLE, AND TNTC FOR 10^1 DIL 1ML</v>
      </c>
    </row>
    <row r="320">
      <c r="A320" s="23" t="str">
        <f t="shared" si="6"/>
        <v>LS1012</v>
      </c>
      <c r="B320" s="23" t="str">
        <f>'3.1.raw'!L196</f>
        <v>LS1012</v>
      </c>
      <c r="C320" s="24">
        <f>datevalue(left('3.1.raw'!O196,10))</f>
        <v>43710</v>
      </c>
      <c r="D320" s="23">
        <f>'3.1.raw'!I196</f>
        <v>7</v>
      </c>
      <c r="E320" s="1">
        <v>3.1</v>
      </c>
      <c r="F320" s="23" t="b">
        <f>if(countif(Status!C:C,A320)=1,TRUE, FALSE)</f>
        <v>1</v>
      </c>
      <c r="G320" s="1">
        <f t="shared" si="2"/>
        <v>1</v>
      </c>
      <c r="H320" s="1">
        <f>'3.1.raw'!Z196</f>
        <v>31</v>
      </c>
      <c r="J320" s="1" t="str">
        <f>'3.1.raw'!AK196</f>
        <v>RED COLONY(10ml=TNTC,10^1=TNTC)</v>
      </c>
    </row>
    <row r="321">
      <c r="A321" s="23" t="str">
        <f t="shared" si="6"/>
        <v>LS1011</v>
      </c>
      <c r="B321" s="23" t="str">
        <f>'3.1.raw'!L195</f>
        <v>LS1011</v>
      </c>
      <c r="C321" s="24">
        <f>datevalue(left('3.1.raw'!O195,10))</f>
        <v>43710</v>
      </c>
      <c r="D321" s="23">
        <f>'3.1.raw'!I195</f>
        <v>7</v>
      </c>
      <c r="E321" s="1">
        <v>3.1</v>
      </c>
      <c r="F321" s="23" t="b">
        <f>if(countif(Status!C:C,A321)=1,TRUE, FALSE)</f>
        <v>1</v>
      </c>
      <c r="G321" s="1" t="str">
        <f t="shared" si="2"/>
        <v/>
      </c>
      <c r="H321" s="1" t="str">
        <f>'3.1.raw'!Z195</f>
        <v/>
      </c>
      <c r="J321" s="1" t="str">
        <f>'3.1.raw'!AK195</f>
        <v>RED COLONY(10ml=TDTC,10^1=53)</v>
      </c>
    </row>
    <row r="322">
      <c r="A322" s="23" t="str">
        <f t="shared" si="6"/>
        <v>LS1010</v>
      </c>
      <c r="B322" s="23" t="str">
        <f>'3.1.raw'!L193</f>
        <v>LS1010</v>
      </c>
      <c r="C322" s="24">
        <f>datevalue(left('3.1.raw'!O193,10))</f>
        <v>43710</v>
      </c>
      <c r="D322" s="23">
        <f>'3.1.raw'!I193</f>
        <v>7</v>
      </c>
      <c r="E322" s="1">
        <v>3.1</v>
      </c>
      <c r="F322" s="23" t="b">
        <f>if(countif(Status!C:C,A322)=1,TRUE, FALSE)</f>
        <v>1</v>
      </c>
      <c r="G322" s="1" t="str">
        <f t="shared" si="2"/>
        <v/>
      </c>
      <c r="H322" s="1" t="str">
        <f>'3.1.raw'!Z193</f>
        <v/>
      </c>
      <c r="J322" s="1" t="str">
        <f>'3.1.raw'!AK193</f>
        <v>RED COLONY(10ml=TDTC,10^1=45)</v>
      </c>
    </row>
    <row r="323">
      <c r="A323" s="23" t="str">
        <f t="shared" si="6"/>
        <v>LS1009</v>
      </c>
      <c r="B323" s="23" t="str">
        <f>'3.1.raw'!L59</f>
        <v>LS1009</v>
      </c>
      <c r="C323" s="24">
        <f>datevalue(left('3.1.raw'!O59,10))</f>
        <v>43614</v>
      </c>
      <c r="D323" s="23">
        <f>'3.1.raw'!I59</f>
        <v>7</v>
      </c>
      <c r="E323" s="1">
        <v>3.1</v>
      </c>
      <c r="F323" s="23" t="b">
        <f>if(countif(Status!C:C,A323)=1,TRUE, FALSE)</f>
        <v>1</v>
      </c>
      <c r="G323" s="1" t="str">
        <f t="shared" si="2"/>
        <v/>
      </c>
      <c r="H323" s="1" t="str">
        <f>'3.1.raw'!Z59</f>
        <v/>
      </c>
      <c r="J323" s="1" t="str">
        <f>'3.1.raw'!AK59</f>
        <v>TNTC AND 4 RED COLONIES FOUND, RESPECTIVELY.</v>
      </c>
    </row>
    <row r="324">
      <c r="A324" s="23" t="str">
        <f t="shared" si="6"/>
        <v>LS1008</v>
      </c>
      <c r="B324" s="23" t="str">
        <f>'3.1.raw'!L58</f>
        <v>LS1008</v>
      </c>
      <c r="C324" s="24">
        <f>datevalue(left('3.1.raw'!O58,10))</f>
        <v>43614</v>
      </c>
      <c r="D324" s="23">
        <f>'3.1.raw'!I58</f>
        <v>7</v>
      </c>
      <c r="E324" s="1">
        <v>3.1</v>
      </c>
      <c r="F324" s="23" t="b">
        <f>if(countif(Status!C:C,A324)=1,TRUE, FALSE)</f>
        <v>1</v>
      </c>
      <c r="G324" s="1">
        <f t="shared" si="2"/>
        <v>1</v>
      </c>
      <c r="H324" s="1">
        <f>'3.1.raw'!Z58</f>
        <v>2</v>
      </c>
      <c r="J324" s="1" t="str">
        <f>'3.1.raw'!AK58</f>
        <v>22 AND 4 RED COLONIES FOUND, RESPECTIVELY.</v>
      </c>
    </row>
    <row r="325">
      <c r="A325" s="23" t="str">
        <f t="shared" si="6"/>
        <v>LS1007</v>
      </c>
      <c r="B325" s="23" t="str">
        <f>'3.1.raw'!L41</f>
        <v>LS1007</v>
      </c>
      <c r="C325" s="24">
        <f>datevalue(left('3.1.raw'!O41,10))</f>
        <v>43607</v>
      </c>
      <c r="D325" s="23">
        <f>'3.1.raw'!I41</f>
        <v>7</v>
      </c>
      <c r="E325" s="1">
        <v>3.1</v>
      </c>
      <c r="F325" s="23" t="b">
        <f>if(countif(Status!C:C,A325)=1,TRUE, FALSE)</f>
        <v>1</v>
      </c>
      <c r="G325" s="1">
        <f t="shared" si="2"/>
        <v>1</v>
      </c>
      <c r="H325" s="1">
        <f>'3.1.raw'!Z41</f>
        <v>20</v>
      </c>
      <c r="J325" s="1" t="str">
        <f>'3.1.raw'!AK41</f>
        <v>AT 10 ML UNDILUTED AND 1 ML 1:10 DILUTION THE APPEARANCE/NUMBER OF RED COLONIES WERE TDTC AND TNTC, RESPECTIVELY.</v>
      </c>
    </row>
    <row r="326">
      <c r="A326" s="23" t="str">
        <f t="shared" si="6"/>
        <v>LS1006</v>
      </c>
      <c r="B326" s="23" t="str">
        <f>'3.1.raw'!L40</f>
        <v>LS1006</v>
      </c>
      <c r="C326" s="24">
        <f>datevalue(left('3.1.raw'!O40,10))</f>
        <v>43607</v>
      </c>
      <c r="D326" s="23">
        <f>'3.1.raw'!I40</f>
        <v>7</v>
      </c>
      <c r="E326" s="1">
        <v>3.1</v>
      </c>
      <c r="F326" s="23" t="b">
        <f>if(countif(Status!C:C,A326)=1,TRUE, FALSE)</f>
        <v>1</v>
      </c>
      <c r="G326" s="1">
        <f t="shared" si="2"/>
        <v>1</v>
      </c>
      <c r="H326" s="1">
        <f>'3.1.raw'!Z40</f>
        <v>2</v>
      </c>
      <c r="J326" s="1" t="str">
        <f>'3.1.raw'!AK40</f>
        <v>AT 10 MLUNDILUTED SAMPLE AND 1 ML SAMPLE OF 1:10 DILUTION, THE APPEARANCE/NUMBER OF RED COLONIES WERE TNTC AND 92, RESPECTIVELY.</v>
      </c>
    </row>
    <row r="327">
      <c r="A327" s="23" t="str">
        <f t="shared" si="6"/>
        <v>LS1005</v>
      </c>
      <c r="B327" s="23" t="str">
        <f>'3.1.raw'!L39</f>
        <v>LS1005</v>
      </c>
      <c r="C327" s="24">
        <f>datevalue(left('3.1.raw'!O39,10))</f>
        <v>43607</v>
      </c>
      <c r="D327" s="23">
        <f>'3.1.raw'!I39</f>
        <v>7</v>
      </c>
      <c r="E327" s="1">
        <v>3.1</v>
      </c>
      <c r="F327" s="23" t="b">
        <f>if(countif(Status!C:C,A327)=1,TRUE, FALSE)</f>
        <v>1</v>
      </c>
      <c r="G327" s="1">
        <f t="shared" si="2"/>
        <v>1</v>
      </c>
      <c r="H327" s="1">
        <f>'3.1.raw'!Z39</f>
        <v>34</v>
      </c>
      <c r="J327" s="1" t="str">
        <f>'3.1.raw'!AK39</f>
        <v>AT 10 ML (UNDILUTED) AND 1 ML (1:10 DILUTION) OF SAMPLE, THENUMBER/APPEARANCE OF RED COLONIES WERE TDTC AND TNTC, RESPECTIVELY.</v>
      </c>
    </row>
    <row r="328">
      <c r="A328" s="23" t="str">
        <f t="shared" si="6"/>
        <v>LS1004</v>
      </c>
      <c r="B328" s="23" t="str">
        <f>'3.1.raw'!L28</f>
        <v>LS1004</v>
      </c>
      <c r="C328" s="24">
        <f>datevalue(left('3.1.raw'!O28,10))</f>
        <v>43600</v>
      </c>
      <c r="D328" s="23">
        <f>'3.1.raw'!I28</f>
        <v>7</v>
      </c>
      <c r="E328" s="1">
        <v>3.1</v>
      </c>
      <c r="F328" s="23" t="b">
        <f>if(countif(Status!C:C,A328)=1,TRUE, FALSE)</f>
        <v>1</v>
      </c>
      <c r="G328" s="1">
        <f t="shared" si="2"/>
        <v>1</v>
      </c>
      <c r="H328" s="1">
        <f>'3.1.raw'!Z28</f>
        <v>2</v>
      </c>
      <c r="J328" s="1" t="str">
        <f>'3.1.raw'!AK28</f>
        <v>10+ WITH LARGE COLONIES AND 23 RED SMALL COLONIES FOUND, FOR 10 ML UNDILUTED AND 1 ML OF 1:10 DILUTION, RESPECTIVELY.</v>
      </c>
    </row>
    <row r="329">
      <c r="A329" s="23" t="str">
        <f t="shared" si="6"/>
        <v>LS1003</v>
      </c>
      <c r="B329" s="23" t="str">
        <f>'3.1.raw'!L27</f>
        <v>LS1003</v>
      </c>
      <c r="C329" s="24">
        <f>datevalue(left('3.1.raw'!O27,10))</f>
        <v>43600</v>
      </c>
      <c r="D329" s="23">
        <f>'3.1.raw'!I27</f>
        <v>7</v>
      </c>
      <c r="E329" s="1">
        <v>3.1</v>
      </c>
      <c r="F329" s="23" t="b">
        <f>if(countif(Status!C:C,A329)=1,TRUE, FALSE)</f>
        <v>1</v>
      </c>
      <c r="G329" s="1">
        <f t="shared" si="2"/>
        <v>1</v>
      </c>
      <c r="H329" s="1">
        <f>'3.1.raw'!Z27</f>
        <v>2</v>
      </c>
      <c r="J329" s="1" t="str">
        <f>'3.1.raw'!AK27</f>
        <v>38+ AND 14 RED COLONIES, FOR 10 ML UNDILUTED AND 1 ML OF 1:10 DILUTION, RESPECTIVELY</v>
      </c>
    </row>
    <row r="330">
      <c r="A330" s="23" t="str">
        <f t="shared" si="6"/>
        <v>LS1002</v>
      </c>
      <c r="B330" s="23" t="str">
        <f>'3.1.raw'!L26</f>
        <v>LS1002</v>
      </c>
      <c r="C330" s="24">
        <f>datevalue(left('3.1.raw'!O26,10))</f>
        <v>43600</v>
      </c>
      <c r="D330" s="23">
        <f>'3.1.raw'!I26</f>
        <v>7</v>
      </c>
      <c r="E330" s="1">
        <v>3.1</v>
      </c>
      <c r="F330" s="23" t="b">
        <f>if(countif(Status!C:C,A330)=1,TRUE, FALSE)</f>
        <v>1</v>
      </c>
      <c r="G330" s="1">
        <f t="shared" si="2"/>
        <v>1</v>
      </c>
      <c r="H330" s="1">
        <f>'3.1.raw'!Z26</f>
        <v>1</v>
      </c>
      <c r="J330" s="1" t="str">
        <f>'3.1.raw'!AK26</f>
        <v>12 AND 1 RED COLONIES, FOR UNDILUTED (10ML) AND 1 ML OF 1:10 DILUTION, RESPECTIVELY</v>
      </c>
    </row>
    <row r="331">
      <c r="A331" s="49" t="s">
        <v>68</v>
      </c>
      <c r="B331" s="23" t="str">
        <f>'3.1.raw'!L13</f>
        <v>LS1001</v>
      </c>
      <c r="C331" s="24">
        <f>datevalue(left('3.1.raw'!O13,10))</f>
        <v>43586</v>
      </c>
      <c r="D331" s="23">
        <f>'3.1.raw'!I13</f>
        <v>97</v>
      </c>
      <c r="E331" s="1">
        <v>3.1</v>
      </c>
      <c r="F331" s="23" t="b">
        <f>if(countif(Status!C:C,A331)=1,TRUE, FALSE)</f>
        <v>1</v>
      </c>
      <c r="G331" s="1">
        <f t="shared" si="2"/>
        <v>1</v>
      </c>
      <c r="H331" s="1">
        <f>'3.1.raw'!Z13</f>
        <v>3</v>
      </c>
      <c r="J331" s="1" t="str">
        <f>'3.1.raw'!AK13</f>
        <v>10 ML UNDILUTED SAMPLE SHOWS 3 RED AND TDTC FOR BLUE AND RED COLONIES, RESPECTIVELY. WHEREAS,1 ML OF 1:10 DILUTION SHOWS NO BLUE COLONIES AND 10 RED COLONIES, RESPECTIVELY.</v>
      </c>
    </row>
    <row r="332">
      <c r="A332" s="23" t="str">
        <f t="shared" ref="A332:A473" si="7">SUBSTITUTE(B332, " ", "")</f>
        <v>FW1003</v>
      </c>
      <c r="B332" s="23" t="str">
        <f>'3.1.raw'!L139</f>
        <v>FW1003</v>
      </c>
      <c r="C332" s="24">
        <f>datevalue(left('3.1.raw'!O139,10))</f>
        <v>43685</v>
      </c>
      <c r="D332" s="23">
        <f>'3.1.raw'!I139</f>
        <v>6</v>
      </c>
      <c r="E332" s="1">
        <v>3.1</v>
      </c>
      <c r="F332" s="23" t="b">
        <f>if(countif(Status!C:C,A332)=1,TRUE, FALSE)</f>
        <v>1</v>
      </c>
      <c r="G332" s="1" t="str">
        <f t="shared" si="2"/>
        <v/>
      </c>
      <c r="H332" s="1" t="str">
        <f>'3.1.raw'!Z139</f>
        <v/>
      </c>
      <c r="J332" s="1" t="str">
        <f>'3.1.raw'!AK139</f>
        <v>RED COLONY (1ml=TDTC,10^1=TDTC,10^2=120)</v>
      </c>
    </row>
    <row r="333">
      <c r="A333" s="23" t="str">
        <f t="shared" si="7"/>
        <v>FW1002</v>
      </c>
      <c r="B333" s="23" t="str">
        <f>'3.1.raw'!L131</f>
        <v>FW1002</v>
      </c>
      <c r="C333" s="24">
        <f>datevalue(left('3.1.raw'!O131,10))</f>
        <v>43684</v>
      </c>
      <c r="D333" s="23">
        <f>'3.1.raw'!I131</f>
        <v>6</v>
      </c>
      <c r="E333" s="1">
        <v>3.1</v>
      </c>
      <c r="F333" s="23" t="b">
        <f>if(countif(Status!C:C,A333)=1,TRUE, FALSE)</f>
        <v>1</v>
      </c>
      <c r="G333" s="1" t="str">
        <f t="shared" si="2"/>
        <v/>
      </c>
      <c r="H333" s="1" t="str">
        <f>'3.1.raw'!Z131</f>
        <v/>
      </c>
      <c r="J333" s="1" t="str">
        <f>'3.1.raw'!AK131</f>
        <v>RED COLONY(1ml=TDTC,10^1=TDTC,10^2=TNTC)</v>
      </c>
    </row>
    <row r="334">
      <c r="A334" s="23" t="str">
        <f t="shared" si="7"/>
        <v>FW1001</v>
      </c>
      <c r="B334" s="23" t="str">
        <f>'3.1.raw'!L124</f>
        <v>FW1001</v>
      </c>
      <c r="C334" s="24">
        <f>datevalue(left('3.1.raw'!O124,10))</f>
        <v>43683</v>
      </c>
      <c r="D334" s="23">
        <f>'3.1.raw'!I124</f>
        <v>6</v>
      </c>
      <c r="E334" s="1">
        <v>3.1</v>
      </c>
      <c r="F334" s="23" t="b">
        <f>if(countif(Status!C:C,A334)=1,TRUE, FALSE)</f>
        <v>1</v>
      </c>
      <c r="G334" s="1" t="str">
        <f t="shared" si="2"/>
        <v/>
      </c>
      <c r="H334" s="1" t="str">
        <f>'3.1.raw'!Z124</f>
        <v/>
      </c>
      <c r="J334" s="1" t="str">
        <f>'3.1.raw'!AK124</f>
        <v>RED COLONY(1ml=TDTC,10^1=TDTC,10^2=TDTC )</v>
      </c>
    </row>
    <row r="335">
      <c r="A335" s="23" t="str">
        <f t="shared" si="7"/>
        <v>FPe1006</v>
      </c>
      <c r="B335" s="23" t="str">
        <f>'3.1.raw'!L490</f>
        <v>FPe1006</v>
      </c>
      <c r="C335" s="24">
        <f>datevalue(left('3.1.raw'!O490,10))</f>
        <v>43796</v>
      </c>
      <c r="D335" s="23">
        <f>'3.1.raw'!I490</f>
        <v>14</v>
      </c>
      <c r="E335" s="1">
        <v>3.09999999999999</v>
      </c>
      <c r="F335" s="23" t="b">
        <f>if(countif(Status!C:C,A335)=1,TRUE, FALSE)</f>
        <v>1</v>
      </c>
      <c r="G335" s="1">
        <f t="shared" si="2"/>
        <v>1</v>
      </c>
      <c r="H335" s="1">
        <f>'3.1.raw'!Z490</f>
        <v>1</v>
      </c>
      <c r="J335" s="1" t="str">
        <f>'3.1.raw'!AK490</f>
        <v>Red colony count: Undiluted 100ml - 00, Undiluted 10ml - 00, 1:10^1 - 00 sample vol tested 1ml,</v>
      </c>
    </row>
    <row r="336">
      <c r="A336" s="23" t="str">
        <f t="shared" si="7"/>
        <v>FPe1005</v>
      </c>
      <c r="B336" s="23" t="str">
        <f>'3.1.raw'!L417</f>
        <v>FPe1005</v>
      </c>
      <c r="C336" s="24">
        <f>datevalue(left('3.1.raw'!O417,10))</f>
        <v>43784</v>
      </c>
      <c r="D336" s="23">
        <f>'3.1.raw'!I417</f>
        <v>14</v>
      </c>
      <c r="E336" s="1">
        <v>3.09999999999999</v>
      </c>
      <c r="F336" s="23" t="b">
        <f>if(countif(Status!C:C,A336)=1,TRUE, FALSE)</f>
        <v>1</v>
      </c>
      <c r="G336" s="1">
        <f t="shared" si="2"/>
        <v>0</v>
      </c>
      <c r="H336" s="1">
        <f>'3.1.raw'!Z417</f>
        <v>0</v>
      </c>
      <c r="J336" s="1" t="str">
        <f>'3.1.raw'!AK417</f>
        <v>Red colony count: Undiluted 100ml - 15, Undiluted 10ml - 01, 1:10^1 - 00 sample vol tested 1ml</v>
      </c>
    </row>
    <row r="337">
      <c r="A337" s="23" t="str">
        <f t="shared" si="7"/>
        <v>FPe1004</v>
      </c>
      <c r="B337" s="23" t="str">
        <f>'3.1.raw'!L380</f>
        <v>FPe1004</v>
      </c>
      <c r="C337" s="24">
        <f>datevalue(left('3.1.raw'!O380,10))</f>
        <v>43775</v>
      </c>
      <c r="D337" s="23">
        <f>'3.1.raw'!I380</f>
        <v>14</v>
      </c>
      <c r="E337" s="1">
        <v>3.1</v>
      </c>
      <c r="F337" s="23" t="b">
        <f>if(countif(Status!C:C,A337)=1,TRUE, FALSE)</f>
        <v>1</v>
      </c>
      <c r="G337" s="1">
        <f t="shared" si="2"/>
        <v>0</v>
      </c>
      <c r="H337" s="1">
        <f>'3.1.raw'!Z380</f>
        <v>0</v>
      </c>
      <c r="J337" s="1" t="str">
        <f>'3.1.raw'!AK380</f>
        <v>Red colony count: Undiluted 100ml - TNTC, Undiluted 10ml - 12, 1:10^1 - 1 sample vol tested 1ml</v>
      </c>
    </row>
    <row r="338">
      <c r="A338" s="23" t="str">
        <f t="shared" si="7"/>
        <v>FPe1003</v>
      </c>
      <c r="B338" s="23" t="str">
        <f>'3.1.raw'!L308</f>
        <v>FPe1003</v>
      </c>
      <c r="C338" s="24">
        <f>datevalue(left('3.1.raw'!O308,10))</f>
        <v>43761</v>
      </c>
      <c r="D338" s="23">
        <f>'3.1.raw'!I308</f>
        <v>14</v>
      </c>
      <c r="E338" s="1">
        <v>3.1</v>
      </c>
      <c r="F338" s="23" t="b">
        <f>if(countif(Status!C:C,A338)=1,TRUE, FALSE)</f>
        <v>1</v>
      </c>
      <c r="G338" s="1">
        <f t="shared" si="2"/>
        <v>0</v>
      </c>
      <c r="H338" s="1">
        <f>'3.1.raw'!Z308</f>
        <v>0</v>
      </c>
      <c r="J338" s="1" t="str">
        <f>'3.1.raw'!AK308</f>
        <v>RED COLONY(100ml=87,10ml=10,10^1=2)</v>
      </c>
    </row>
    <row r="339">
      <c r="A339" s="23" t="str">
        <f t="shared" si="7"/>
        <v>FPe1002</v>
      </c>
      <c r="B339" s="23" t="str">
        <f>'3.1.raw'!L228</f>
        <v>FPe1002</v>
      </c>
      <c r="C339" s="24">
        <f>datevalue(left('3.1.raw'!O228,10))</f>
        <v>43720</v>
      </c>
      <c r="D339" s="23">
        <f>'3.1.raw'!I228</f>
        <v>14</v>
      </c>
      <c r="E339" s="1">
        <v>3.1</v>
      </c>
      <c r="F339" s="23" t="b">
        <f>if(countif(Status!C:C,A339)=1,TRUE, FALSE)</f>
        <v>1</v>
      </c>
      <c r="G339" s="1" t="str">
        <f t="shared" si="2"/>
        <v/>
      </c>
      <c r="H339" s="1" t="str">
        <f>'3.1.raw'!Z228</f>
        <v/>
      </c>
      <c r="I339" s="1">
        <v>1.0</v>
      </c>
      <c r="J339" s="1" t="str">
        <f>'3.1.raw'!AK228</f>
        <v>RED COLONY(10ml=TDTC,10^1=33)</v>
      </c>
    </row>
    <row r="340">
      <c r="A340" s="23" t="str">
        <f t="shared" si="7"/>
        <v>FPe1001</v>
      </c>
      <c r="B340" s="23" t="str">
        <f>'3.1.raw'!L156</f>
        <v>FPe1001</v>
      </c>
      <c r="C340" s="24">
        <f>datevalue(left('3.1.raw'!O156,10))</f>
        <v>43698</v>
      </c>
      <c r="D340" s="23">
        <f>'3.1.raw'!I156</f>
        <v>14</v>
      </c>
      <c r="E340" s="1">
        <v>3.1</v>
      </c>
      <c r="F340" s="23" t="b">
        <f>if(countif(Status!C:C,A340)=1,TRUE, FALSE)</f>
        <v>1</v>
      </c>
      <c r="G340" s="1">
        <f t="shared" si="2"/>
        <v>1</v>
      </c>
      <c r="H340" s="1">
        <f>'3.1.raw'!Z156</f>
        <v>6</v>
      </c>
      <c r="J340" s="1" t="str">
        <f>'3.1.raw'!AK156</f>
        <v>WITH 3 BLUE COLONY ARE SMUDGED, RED COLONY (10ml=TDTC,10^1=TNTC)</v>
      </c>
    </row>
    <row r="341">
      <c r="A341" s="23" t="str">
        <f t="shared" si="7"/>
        <v>FPd1006</v>
      </c>
      <c r="B341" s="23" t="str">
        <f>'3.1.raw'!L489</f>
        <v>FPd1006</v>
      </c>
      <c r="C341" s="24">
        <f>datevalue(left('3.1.raw'!O489,10))</f>
        <v>43796</v>
      </c>
      <c r="D341" s="23">
        <f>'3.1.raw'!I489</f>
        <v>14</v>
      </c>
      <c r="E341" s="1">
        <v>3.09999999999999</v>
      </c>
      <c r="F341" s="23" t="b">
        <f>if(countif(Status!C:C,A341)=1,TRUE, FALSE)</f>
        <v>1</v>
      </c>
      <c r="G341" s="1">
        <f t="shared" si="2"/>
        <v>0</v>
      </c>
      <c r="H341" s="1">
        <f>'3.1.raw'!Z489</f>
        <v>0</v>
      </c>
      <c r="J341" s="1" t="str">
        <f>'3.1.raw'!AK489</f>
        <v>Red colony count: Undiluted 100ml - 00, Undiluted 10ml - 00, 1:10^1 - 00 sample vol tested 1ml,</v>
      </c>
    </row>
    <row r="342">
      <c r="A342" s="23" t="str">
        <f t="shared" si="7"/>
        <v>FPd1005</v>
      </c>
      <c r="B342" s="23" t="str">
        <f>'3.1.raw'!L416</f>
        <v>FPd1005</v>
      </c>
      <c r="C342" s="24">
        <f>datevalue(left('3.1.raw'!O416,10))</f>
        <v>43784</v>
      </c>
      <c r="D342" s="23">
        <f>'3.1.raw'!I416</f>
        <v>14</v>
      </c>
      <c r="E342" s="1">
        <v>3.09999999999999</v>
      </c>
      <c r="F342" s="23" t="b">
        <f>if(countif(Status!C:C,A342)=1,TRUE, FALSE)</f>
        <v>1</v>
      </c>
      <c r="G342" s="1">
        <f t="shared" si="2"/>
        <v>0</v>
      </c>
      <c r="H342" s="1">
        <f>'3.1.raw'!Z416</f>
        <v>0</v>
      </c>
      <c r="J342" s="1" t="str">
        <f>'3.1.raw'!AK416</f>
        <v>Red colony count: Undiluted 100ml - TNTC, Undiluted 10ml - 68, 1:10^1 - 12 sample vol tested 1ml</v>
      </c>
    </row>
    <row r="343">
      <c r="A343" s="23" t="str">
        <f t="shared" si="7"/>
        <v>FPd1004</v>
      </c>
      <c r="B343" s="23" t="str">
        <f>'3.1.raw'!L378</f>
        <v>FPd1004</v>
      </c>
      <c r="C343" s="24">
        <f>datevalue(left('3.1.raw'!O378,10))</f>
        <v>43775</v>
      </c>
      <c r="D343" s="23">
        <f>'3.1.raw'!I378</f>
        <v>14</v>
      </c>
      <c r="E343" s="1">
        <v>3.1</v>
      </c>
      <c r="F343" s="23" t="b">
        <f>if(countif(Status!C:C,A343)=1,TRUE, FALSE)</f>
        <v>1</v>
      </c>
      <c r="G343" s="1">
        <f t="shared" si="2"/>
        <v>0</v>
      </c>
      <c r="H343" s="1">
        <f>'3.1.raw'!Z378</f>
        <v>0</v>
      </c>
      <c r="J343" s="1" t="str">
        <f>'3.1.raw'!AK378</f>
        <v>Red colony count: Undiluted 100ml - TNTC, Undiluted 10ml - 360, 1:10^1 - 50 sample vol tested 1ml</v>
      </c>
    </row>
    <row r="344">
      <c r="A344" s="23" t="str">
        <f t="shared" si="7"/>
        <v>FPd1003</v>
      </c>
      <c r="B344" s="23" t="str">
        <f>'3.1.raw'!L307</f>
        <v>FPd1003</v>
      </c>
      <c r="C344" s="24">
        <f>datevalue(left('3.1.raw'!O307,10))</f>
        <v>43761</v>
      </c>
      <c r="D344" s="23">
        <f>'3.1.raw'!I307</f>
        <v>14</v>
      </c>
      <c r="E344" s="1">
        <v>3.1</v>
      </c>
      <c r="F344" s="23" t="b">
        <f>if(countif(Status!C:C,A344)=1,TRUE, FALSE)</f>
        <v>1</v>
      </c>
      <c r="G344" s="1">
        <f t="shared" si="2"/>
        <v>1</v>
      </c>
      <c r="H344" s="1">
        <f>'3.1.raw'!Z307</f>
        <v>4</v>
      </c>
      <c r="J344" s="1" t="str">
        <f>'3.1.raw'!AK307</f>
        <v>RED COLONY(100ml=86,10ml=21,10^1=1)</v>
      </c>
    </row>
    <row r="345">
      <c r="A345" s="23" t="str">
        <f t="shared" si="7"/>
        <v>FPd1002</v>
      </c>
      <c r="B345" s="23" t="str">
        <f>'3.1.raw'!L227</f>
        <v>FPd1002</v>
      </c>
      <c r="C345" s="24">
        <f>datevalue(left('3.1.raw'!O227,10))</f>
        <v>43720</v>
      </c>
      <c r="D345" s="23">
        <f>'3.1.raw'!I227</f>
        <v>14</v>
      </c>
      <c r="E345" s="1">
        <v>3.1</v>
      </c>
      <c r="F345" s="23" t="b">
        <f>if(countif(Status!C:C,A345)=1,TRUE, FALSE)</f>
        <v>1</v>
      </c>
      <c r="G345" s="1">
        <f t="shared" si="2"/>
        <v>1</v>
      </c>
      <c r="H345" s="1">
        <f>'3.1.raw'!Z227</f>
        <v>14</v>
      </c>
      <c r="I345" s="1">
        <v>1.0</v>
      </c>
      <c r="J345" s="1" t="str">
        <f>'3.1.raw'!AK227</f>
        <v>RED COLONY(10ml=TNTC,10^1=18)</v>
      </c>
    </row>
    <row r="346">
      <c r="A346" s="23" t="str">
        <f t="shared" si="7"/>
        <v>FPd1001</v>
      </c>
      <c r="B346" s="23" t="str">
        <f>'3.1.raw'!L157</f>
        <v>FPd1001</v>
      </c>
      <c r="C346" s="24">
        <f>datevalue(left('3.1.raw'!O157,10))</f>
        <v>43698</v>
      </c>
      <c r="D346" s="23">
        <f>'3.1.raw'!I157</f>
        <v>14</v>
      </c>
      <c r="E346" s="1">
        <v>3.1</v>
      </c>
      <c r="F346" s="23" t="b">
        <f>if(countif(Status!C:C,A346)=1,TRUE, FALSE)</f>
        <v>1</v>
      </c>
      <c r="G346" s="1">
        <f t="shared" si="2"/>
        <v>0</v>
      </c>
      <c r="H346" s="1">
        <f>'3.1.raw'!Z157</f>
        <v>0</v>
      </c>
      <c r="J346" s="1" t="str">
        <f>'3.1.raw'!AK157</f>
        <v>RED COLONY (10ml=64,10^1=9)</v>
      </c>
    </row>
    <row r="347">
      <c r="A347" s="23" t="str">
        <f t="shared" si="7"/>
        <v>FPc9902</v>
      </c>
      <c r="B347" s="23" t="str">
        <f>'3.1.raw'!L143</f>
        <v>FPc9902</v>
      </c>
      <c r="C347" s="24">
        <f>datevalue(left('3.1.raw'!O143,10))</f>
        <v>43686</v>
      </c>
      <c r="D347" s="23">
        <f>'3.1.raw'!I143</f>
        <v>14</v>
      </c>
      <c r="E347" s="1">
        <v>3.1</v>
      </c>
      <c r="F347" s="23" t="b">
        <f>if(countif(Status!C:C,A347)=1,TRUE, FALSE)</f>
        <v>0</v>
      </c>
      <c r="G347" s="1" t="str">
        <f t="shared" si="2"/>
        <v/>
      </c>
      <c r="H347" s="1" t="str">
        <f>'3.1.raw'!Z143</f>
        <v/>
      </c>
      <c r="J347" s="1" t="str">
        <f>'3.1.raw'!AK143</f>
        <v>2 SWAB SAMPLE, RED COLONY(10ml=TDTC,10^1=120)</v>
      </c>
    </row>
    <row r="348">
      <c r="A348" s="23" t="str">
        <f t="shared" si="7"/>
        <v>FPc9901</v>
      </c>
      <c r="B348" s="23" t="str">
        <f>'3.1.raw'!L142</f>
        <v>FPc9901</v>
      </c>
      <c r="C348" s="24">
        <f>datevalue(left('3.1.raw'!O142,10))</f>
        <v>43686</v>
      </c>
      <c r="D348" s="23">
        <f>'3.1.raw'!I142</f>
        <v>14</v>
      </c>
      <c r="E348" s="1">
        <v>3.1</v>
      </c>
      <c r="F348" s="23" t="b">
        <f>if(countif(Status!C:C,A348)=1,TRUE, FALSE)</f>
        <v>0</v>
      </c>
      <c r="G348" s="1" t="str">
        <f t="shared" si="2"/>
        <v/>
      </c>
      <c r="H348" s="1" t="str">
        <f>'3.1.raw'!Z142</f>
        <v/>
      </c>
      <c r="J348" s="1" t="str">
        <f>'3.1.raw'!AK142</f>
        <v>2 SWAB SAMPLE, RED COLONY(10ml=TDTC 10^1=115)</v>
      </c>
    </row>
    <row r="349">
      <c r="A349" s="23" t="str">
        <f t="shared" si="7"/>
        <v>FPc1006</v>
      </c>
      <c r="B349" s="23" t="str">
        <f>'3.1.raw'!L488</f>
        <v>FPc1006</v>
      </c>
      <c r="C349" s="24">
        <f>datevalue(left('3.1.raw'!O488,10))</f>
        <v>43796</v>
      </c>
      <c r="D349" s="23">
        <f>'3.1.raw'!I488</f>
        <v>14</v>
      </c>
      <c r="E349" s="1">
        <v>3.09999999999999</v>
      </c>
      <c r="F349" s="23" t="b">
        <f>if(countif(Status!C:C,A349)=1,TRUE, FALSE)</f>
        <v>1</v>
      </c>
      <c r="G349" s="1">
        <f t="shared" si="2"/>
        <v>0</v>
      </c>
      <c r="H349" s="1">
        <f>'3.1.raw'!Z488</f>
        <v>0</v>
      </c>
      <c r="J349" s="1" t="str">
        <f>'3.1.raw'!AK488</f>
        <v>Red colony count: 1:10^1 -02; 1:10^2 - 00; 1:10^3 - 00, Each sample vol tested 1ml</v>
      </c>
    </row>
    <row r="350">
      <c r="A350" s="23" t="str">
        <f t="shared" si="7"/>
        <v>FPc1005</v>
      </c>
      <c r="B350" s="23" t="str">
        <f>'3.1.raw'!L415</f>
        <v>FPc1005</v>
      </c>
      <c r="C350" s="24">
        <f>datevalue(left('3.1.raw'!O415,10))</f>
        <v>43784</v>
      </c>
      <c r="D350" s="23">
        <f>'3.1.raw'!I415</f>
        <v>14</v>
      </c>
      <c r="E350" s="1">
        <v>3.09999999999999</v>
      </c>
      <c r="F350" s="23" t="b">
        <f>if(countif(Status!C:C,A350)=1,TRUE, FALSE)</f>
        <v>1</v>
      </c>
      <c r="G350" s="1">
        <f t="shared" si="2"/>
        <v>1</v>
      </c>
      <c r="H350" s="1">
        <f>'3.1.raw'!Z415</f>
        <v>1</v>
      </c>
      <c r="J350" s="1" t="str">
        <f>'3.1.raw'!AK415</f>
        <v>Red colony count: 1:10^1 -65; 1:10^2 - 40; 1:10^3 -08, Each sample vol tested 1ml</v>
      </c>
    </row>
    <row r="351">
      <c r="A351" s="23" t="str">
        <f t="shared" si="7"/>
        <v>FPc1004</v>
      </c>
      <c r="B351" s="23" t="str">
        <f>'3.1.raw'!L382</f>
        <v>FPc1004</v>
      </c>
      <c r="C351" s="24">
        <f>datevalue(left('3.1.raw'!O382,10))</f>
        <v>43775</v>
      </c>
      <c r="D351" s="23">
        <f>'3.1.raw'!I382</f>
        <v>14</v>
      </c>
      <c r="E351" s="1">
        <v>3.1</v>
      </c>
      <c r="F351" s="23" t="b">
        <f>if(countif(Status!C:C,A351)=1,TRUE, FALSE)</f>
        <v>1</v>
      </c>
      <c r="G351" s="1">
        <f t="shared" si="2"/>
        <v>0</v>
      </c>
      <c r="H351" s="1">
        <f>'3.1.raw'!Z382</f>
        <v>0</v>
      </c>
      <c r="J351" s="1" t="str">
        <f>'3.1.raw'!AK382</f>
        <v>Red colony count: 1:10^1 - 31; 1:10^2 - 3; 1:10^3 -00, Each sample vol tested 1ml</v>
      </c>
    </row>
    <row r="352">
      <c r="A352" s="23" t="str">
        <f t="shared" si="7"/>
        <v>FPc1003</v>
      </c>
      <c r="B352" s="23" t="str">
        <f>'3.1.raw'!L306</f>
        <v>FPc1003</v>
      </c>
      <c r="C352" s="24">
        <f>datevalue(left('3.1.raw'!O306,10))</f>
        <v>43761</v>
      </c>
      <c r="D352" s="23">
        <f>'3.1.raw'!I306</f>
        <v>14</v>
      </c>
      <c r="E352" s="1">
        <v>3.1</v>
      </c>
      <c r="F352" s="23" t="b">
        <f>if(countif(Status!C:C,A352)=1,TRUE, FALSE)</f>
        <v>1</v>
      </c>
      <c r="G352" s="1" t="str">
        <f t="shared" si="2"/>
        <v/>
      </c>
      <c r="H352" s="1" t="str">
        <f>'3.1.raw'!Z306</f>
        <v/>
      </c>
      <c r="J352" s="1" t="str">
        <f>'3.1.raw'!AK306</f>
        <v>RED COLONY(10^1=TDTC,10^2=184,10^3=44)</v>
      </c>
    </row>
    <row r="353">
      <c r="A353" s="23" t="str">
        <f t="shared" si="7"/>
        <v>FPc1002</v>
      </c>
      <c r="B353" s="23" t="str">
        <f>'3.1.raw'!L226</f>
        <v>FPc1002</v>
      </c>
      <c r="C353" s="24">
        <f>datevalue(left('3.1.raw'!O226,10))</f>
        <v>43720</v>
      </c>
      <c r="D353" s="23">
        <f>'3.1.raw'!I226</f>
        <v>14</v>
      </c>
      <c r="E353" s="1">
        <v>3.1</v>
      </c>
      <c r="F353" s="23" t="b">
        <f>if(countif(Status!C:C,A353)=1,TRUE, FALSE)</f>
        <v>1</v>
      </c>
      <c r="G353" s="1" t="str">
        <f t="shared" si="2"/>
        <v/>
      </c>
      <c r="H353" s="1" t="str">
        <f>'3.1.raw'!Z226</f>
        <v/>
      </c>
      <c r="I353" s="1">
        <v>1.0</v>
      </c>
      <c r="J353" s="1" t="str">
        <f>'3.1.raw'!AK226</f>
        <v>RED COLONY(10ml=TDTC,10^1=TNTC)</v>
      </c>
    </row>
    <row r="354">
      <c r="A354" s="23" t="str">
        <f t="shared" si="7"/>
        <v>FPc1001</v>
      </c>
      <c r="B354" s="23" t="str">
        <f>'3.1.raw'!L154</f>
        <v>FPc1001</v>
      </c>
      <c r="C354" s="24">
        <f>datevalue(left('3.1.raw'!O154,10))</f>
        <v>43698</v>
      </c>
      <c r="D354" s="23">
        <f>'3.1.raw'!I154</f>
        <v>14</v>
      </c>
      <c r="E354" s="1">
        <v>3.1</v>
      </c>
      <c r="F354" s="23" t="b">
        <f>if(countif(Status!C:C,A354)=1,TRUE, FALSE)</f>
        <v>1</v>
      </c>
      <c r="G354" s="1" t="str">
        <f t="shared" si="2"/>
        <v/>
      </c>
      <c r="H354" s="1" t="str">
        <f>'3.1.raw'!Z154</f>
        <v/>
      </c>
      <c r="J354" s="1" t="str">
        <f>'3.1.raw'!AK154</f>
        <v>RED COLONY(10ml=TDTC,10^1=TNTC)</v>
      </c>
    </row>
    <row r="355">
      <c r="A355" s="23" t="str">
        <f t="shared" si="7"/>
        <v>FPb1006</v>
      </c>
      <c r="B355" s="23" t="str">
        <f>'3.1.raw'!L487</f>
        <v>FPb1006</v>
      </c>
      <c r="C355" s="24">
        <f>datevalue(left('3.1.raw'!O487,10))</f>
        <v>43796</v>
      </c>
      <c r="D355" s="23">
        <f>'3.1.raw'!I487</f>
        <v>14</v>
      </c>
      <c r="E355" s="1">
        <v>3.09999999999999</v>
      </c>
      <c r="F355" s="23" t="b">
        <f>if(countif(Status!C:C,A355)=1,TRUE, FALSE)</f>
        <v>1</v>
      </c>
      <c r="G355" s="1">
        <f t="shared" si="2"/>
        <v>0</v>
      </c>
      <c r="H355" s="1">
        <f>'3.1.raw'!Z487</f>
        <v>0</v>
      </c>
      <c r="J355" s="1" t="str">
        <f>'3.1.raw'!AK487</f>
        <v>Red colony count: Undiluted 100ml - 00, Undiluted 10ml - 00, 1:10^1 - 00 sample vol tested 1ml,</v>
      </c>
    </row>
    <row r="356">
      <c r="A356" s="23" t="str">
        <f t="shared" si="7"/>
        <v>FPb1005</v>
      </c>
      <c r="B356" s="23" t="str">
        <f>'3.1.raw'!L414</f>
        <v>FPb1005</v>
      </c>
      <c r="C356" s="24">
        <f>datevalue(left('3.1.raw'!O414,10))</f>
        <v>43784</v>
      </c>
      <c r="D356" s="23">
        <f>'3.1.raw'!I414</f>
        <v>14</v>
      </c>
      <c r="E356" s="1">
        <v>3.09999999999999</v>
      </c>
      <c r="F356" s="23" t="b">
        <f>if(countif(Status!C:C,A356)=1,TRUE, FALSE)</f>
        <v>1</v>
      </c>
      <c r="G356" s="1" t="str">
        <f t="shared" si="2"/>
        <v/>
      </c>
      <c r="H356" s="1" t="str">
        <f>'3.1.raw'!Z414</f>
        <v/>
      </c>
      <c r="J356" s="1" t="str">
        <f>'3.1.raw'!AK414</f>
        <v>Red colony count: Undiluted 100ml - TDTC, Undiluted 10ml - 22, 1:10^1 - 02 sample vol tested 1ml</v>
      </c>
    </row>
    <row r="357">
      <c r="A357" s="23" t="str">
        <f t="shared" si="7"/>
        <v>FPb1004</v>
      </c>
      <c r="B357" s="23" t="str">
        <f>'3.1.raw'!L379</f>
        <v>FPb1004</v>
      </c>
      <c r="C357" s="24">
        <f>datevalue(left('3.1.raw'!O379,10))</f>
        <v>43775</v>
      </c>
      <c r="D357" s="23">
        <f>'3.1.raw'!I379</f>
        <v>14</v>
      </c>
      <c r="E357" s="1">
        <v>3.1</v>
      </c>
      <c r="F357" s="23" t="b">
        <f>if(countif(Status!C:C,A357)=1,TRUE, FALSE)</f>
        <v>1</v>
      </c>
      <c r="G357" s="1">
        <f t="shared" si="2"/>
        <v>0</v>
      </c>
      <c r="H357" s="1">
        <f>'3.1.raw'!Z379</f>
        <v>0</v>
      </c>
      <c r="J357" s="1" t="str">
        <f>'3.1.raw'!AK379</f>
        <v>Red colony count: Undiluted 100ml - 4, Undiluted 10ml - 0, 1:10^1 - 0 sample vol tested 1ml</v>
      </c>
    </row>
    <row r="358">
      <c r="A358" s="23" t="str">
        <f t="shared" si="7"/>
        <v>FPb1003</v>
      </c>
      <c r="B358" s="23" t="str">
        <f>'3.1.raw'!L305</f>
        <v>FPb1003</v>
      </c>
      <c r="C358" s="24">
        <f>datevalue(left('3.1.raw'!O305,10))</f>
        <v>43761</v>
      </c>
      <c r="D358" s="23">
        <f>'3.1.raw'!I305</f>
        <v>14</v>
      </c>
      <c r="E358" s="1">
        <v>3.1</v>
      </c>
      <c r="F358" s="23" t="b">
        <f>if(countif(Status!C:C,A358)=1,TRUE, FALSE)</f>
        <v>1</v>
      </c>
      <c r="G358" s="1" t="str">
        <f t="shared" si="2"/>
        <v/>
      </c>
      <c r="H358" s="1" t="str">
        <f>'3.1.raw'!Z305</f>
        <v/>
      </c>
      <c r="J358" s="1" t="str">
        <f>'3.1.raw'!AK305</f>
        <v>RED COLONY(100ml=TDTC,10ml=23,10^1=6)</v>
      </c>
    </row>
    <row r="359">
      <c r="A359" s="23" t="str">
        <f t="shared" si="7"/>
        <v>FPb1002</v>
      </c>
      <c r="B359" s="23" t="str">
        <f>'3.1.raw'!L225</f>
        <v>FPb1002</v>
      </c>
      <c r="C359" s="24">
        <f>datevalue(left('3.1.raw'!O225,10))</f>
        <v>43720</v>
      </c>
      <c r="D359" s="23">
        <f>'3.1.raw'!I225</f>
        <v>14</v>
      </c>
      <c r="E359" s="1">
        <v>3.1</v>
      </c>
      <c r="F359" s="23" t="b">
        <f>if(countif(Status!C:C,A359)=1,TRUE, FALSE)</f>
        <v>1</v>
      </c>
      <c r="G359" s="1">
        <f t="shared" si="2"/>
        <v>0</v>
      </c>
      <c r="H359" s="1">
        <f>'3.1.raw'!Z225</f>
        <v>0</v>
      </c>
      <c r="I359" s="1">
        <v>1.0</v>
      </c>
      <c r="J359" s="1" t="str">
        <f>'3.1.raw'!AK225</f>
        <v>RED COLONY(10ml=TNTC,10^1=45)</v>
      </c>
    </row>
    <row r="360">
      <c r="A360" s="23" t="str">
        <f t="shared" si="7"/>
        <v>FPb1001</v>
      </c>
      <c r="B360" s="23" t="str">
        <f>'3.1.raw'!L155</f>
        <v>FPb1001</v>
      </c>
      <c r="C360" s="24">
        <f>datevalue(left('3.1.raw'!O155,10))</f>
        <v>43698</v>
      </c>
      <c r="D360" s="23">
        <f>'3.1.raw'!I155</f>
        <v>14</v>
      </c>
      <c r="E360" s="1">
        <v>3.1</v>
      </c>
      <c r="F360" s="23" t="b">
        <f>if(countif(Status!C:C,A360)=1,TRUE, FALSE)</f>
        <v>1</v>
      </c>
      <c r="G360" s="1">
        <f t="shared" si="2"/>
        <v>0</v>
      </c>
      <c r="H360" s="1">
        <f>'3.1.raw'!Z155</f>
        <v>0</v>
      </c>
      <c r="J360" s="1" t="str">
        <f>'3.1.raw'!AK155</f>
        <v>RED COLONY(10ml=51,10^1=12)</v>
      </c>
    </row>
    <row r="361">
      <c r="A361" s="23" t="str">
        <f t="shared" si="7"/>
        <v>FPa9901</v>
      </c>
      <c r="B361" s="23" t="str">
        <f>'3.1.raw'!L141</f>
        <v>FPa9901</v>
      </c>
      <c r="C361" s="24">
        <f>datevalue(left('3.1.raw'!O141,10))</f>
        <v>43686</v>
      </c>
      <c r="D361" s="23">
        <f>'3.1.raw'!I141</f>
        <v>14</v>
      </c>
      <c r="E361" s="1">
        <v>3.1</v>
      </c>
      <c r="F361" s="23" t="b">
        <f>if(countif(Status!C:C,A361)=1,TRUE, FALSE)</f>
        <v>0</v>
      </c>
      <c r="G361" s="1" t="str">
        <f t="shared" si="2"/>
        <v/>
      </c>
      <c r="H361" s="1" t="str">
        <f>'3.1.raw'!Z141</f>
        <v/>
      </c>
      <c r="J361" s="1" t="str">
        <f>'3.1.raw'!AK141</f>
        <v>2SWAB SAMPLE. RED COLONY(10ml=TDTC,10^1=TNTC)</v>
      </c>
    </row>
    <row r="362">
      <c r="A362" s="23" t="str">
        <f t="shared" si="7"/>
        <v>FPa1006</v>
      </c>
      <c r="B362" s="23" t="str">
        <f>'3.1.raw'!L486</f>
        <v>FPa1006</v>
      </c>
      <c r="C362" s="24">
        <f>datevalue(left('3.1.raw'!O486,10))</f>
        <v>43796</v>
      </c>
      <c r="D362" s="23">
        <f>'3.1.raw'!I486</f>
        <v>14</v>
      </c>
      <c r="E362" s="1">
        <v>3.09999999999999</v>
      </c>
      <c r="F362" s="23" t="b">
        <f>if(countif(Status!C:C,A362)=1,TRUE, FALSE)</f>
        <v>1</v>
      </c>
      <c r="G362" s="1">
        <f t="shared" si="2"/>
        <v>0</v>
      </c>
      <c r="H362" s="1">
        <f>'3.1.raw'!Z486</f>
        <v>0</v>
      </c>
      <c r="J362" s="1" t="str">
        <f>'3.1.raw'!AK486</f>
        <v>Red colony count: 1:10^1 -00; 1:10^2 - 00; 1:10^3 - 00, Each sample vol tested 1ml</v>
      </c>
    </row>
    <row r="363">
      <c r="A363" s="23" t="str">
        <f t="shared" si="7"/>
        <v>FPa1005</v>
      </c>
      <c r="B363" s="23" t="str">
        <f>'3.1.raw'!L413</f>
        <v>FPa1005</v>
      </c>
      <c r="C363" s="24">
        <f>datevalue(left('3.1.raw'!O413,10))</f>
        <v>43784</v>
      </c>
      <c r="D363" s="23">
        <f>'3.1.raw'!I413</f>
        <v>14</v>
      </c>
      <c r="E363" s="1">
        <v>3.09999999999999</v>
      </c>
      <c r="F363" s="23" t="b">
        <f>if(countif(Status!C:C,A363)=1,TRUE, FALSE)</f>
        <v>1</v>
      </c>
      <c r="G363" s="1">
        <f t="shared" si="2"/>
        <v>1</v>
      </c>
      <c r="H363" s="1">
        <f>'3.1.raw'!Z413</f>
        <v>1</v>
      </c>
      <c r="J363" s="1" t="str">
        <f>'3.1.raw'!AK413</f>
        <v>Red colony count: 1:10^1 -15; 1:10^2 - 8; 1:10^3 -00, Each sample vol tested 1ml</v>
      </c>
    </row>
    <row r="364">
      <c r="A364" s="23" t="str">
        <f t="shared" si="7"/>
        <v>FPa1004</v>
      </c>
      <c r="B364" s="23" t="str">
        <f>'3.1.raw'!L381</f>
        <v>FPa1004</v>
      </c>
      <c r="C364" s="24">
        <f>datevalue(left('3.1.raw'!O381,10))</f>
        <v>43775</v>
      </c>
      <c r="D364" s="23">
        <f>'3.1.raw'!I381</f>
        <v>14</v>
      </c>
      <c r="E364" s="1">
        <v>3.1</v>
      </c>
      <c r="F364" s="23" t="b">
        <f>if(countif(Status!C:C,A364)=1,TRUE, FALSE)</f>
        <v>1</v>
      </c>
      <c r="G364" s="1">
        <f t="shared" si="2"/>
        <v>0</v>
      </c>
      <c r="H364" s="1">
        <f>'3.1.raw'!Z381</f>
        <v>0</v>
      </c>
      <c r="J364" s="1" t="str">
        <f>'3.1.raw'!AK381</f>
        <v>Red colony count: 1:10^1 - 17; 1:10^2 - 6; 1:10^3 -2, Each sample vol tested 1ml</v>
      </c>
    </row>
    <row r="365">
      <c r="A365" s="23" t="str">
        <f t="shared" si="7"/>
        <v>FPa1003</v>
      </c>
      <c r="B365" s="23" t="str">
        <f>'3.1.raw'!L304</f>
        <v>FPa1003</v>
      </c>
      <c r="C365" s="24">
        <f>datevalue(left('3.1.raw'!O304,10))</f>
        <v>43761</v>
      </c>
      <c r="D365" s="23">
        <f>'3.1.raw'!I304</f>
        <v>14</v>
      </c>
      <c r="E365" s="1">
        <v>3.1</v>
      </c>
      <c r="F365" s="23" t="b">
        <f>if(countif(Status!C:C,A365)=1,TRUE, FALSE)</f>
        <v>1</v>
      </c>
      <c r="G365" s="1">
        <f t="shared" si="2"/>
        <v>0</v>
      </c>
      <c r="H365" s="1">
        <f>'3.1.raw'!Z304</f>
        <v>0</v>
      </c>
      <c r="J365" s="1" t="str">
        <f>'3.1.raw'!AK304</f>
        <v>RED COLONY(10^1=125,10^2=13,10^3=1)</v>
      </c>
    </row>
    <row r="366">
      <c r="A366" s="23" t="str">
        <f t="shared" si="7"/>
        <v>FPa1002</v>
      </c>
      <c r="B366" s="23" t="str">
        <f>'3.1.raw'!L224</f>
        <v>FPa1002</v>
      </c>
      <c r="C366" s="24">
        <f>datevalue(left('3.1.raw'!O224,10))</f>
        <v>43720</v>
      </c>
      <c r="D366" s="23">
        <f>'3.1.raw'!I224</f>
        <v>14</v>
      </c>
      <c r="E366" s="1">
        <v>3.1</v>
      </c>
      <c r="F366" s="23" t="b">
        <f>if(countif(Status!C:C,A366)=1,TRUE, FALSE)</f>
        <v>1</v>
      </c>
      <c r="G366" s="1" t="str">
        <f t="shared" si="2"/>
        <v/>
      </c>
      <c r="H366" s="1" t="str">
        <f>'3.1.raw'!Z224</f>
        <v/>
      </c>
      <c r="I366" s="1">
        <v>1.0</v>
      </c>
      <c r="J366" s="1" t="str">
        <f>'3.1.raw'!AK224</f>
        <v>RED COLONY(10ml=TDTC,10^1=80)</v>
      </c>
    </row>
    <row r="367">
      <c r="A367" s="23" t="str">
        <f t="shared" si="7"/>
        <v>FPa1001</v>
      </c>
      <c r="B367" s="23" t="str">
        <f>'3.1.raw'!L153</f>
        <v>FPa1001</v>
      </c>
      <c r="C367" s="24">
        <f>datevalue(left('3.1.raw'!O153,10))</f>
        <v>43698</v>
      </c>
      <c r="D367" s="23">
        <f>'3.1.raw'!I153</f>
        <v>14</v>
      </c>
      <c r="E367" s="1">
        <v>3.1</v>
      </c>
      <c r="F367" s="23" t="b">
        <f>if(countif(Status!C:C,A367)=1,TRUE, FALSE)</f>
        <v>1</v>
      </c>
      <c r="G367" s="1" t="str">
        <f t="shared" si="2"/>
        <v/>
      </c>
      <c r="H367" s="1" t="str">
        <f>'3.1.raw'!Z153</f>
        <v/>
      </c>
      <c r="J367" s="1" t="str">
        <f>'3.1.raw'!AK153</f>
        <v>RED COLONY(10ml=TDTC,10^1=TDTC)</v>
      </c>
    </row>
    <row r="368">
      <c r="A368" s="23" t="str">
        <f t="shared" si="7"/>
        <v>FB1283</v>
      </c>
      <c r="B368" s="23" t="str">
        <f>'3.1.raw'!L655</f>
        <v>FB1283</v>
      </c>
      <c r="C368" s="24">
        <f>datevalue(left('3.1.raw'!O655,10))</f>
        <v>43846</v>
      </c>
      <c r="D368" s="23">
        <f>'3.1.raw'!I655</f>
        <v>99</v>
      </c>
      <c r="E368" s="1">
        <v>3.09999999999999</v>
      </c>
      <c r="F368" s="23" t="b">
        <f>if(countif(Status!C:C,A368)=1,TRUE, FALSE)</f>
        <v>1</v>
      </c>
      <c r="G368" s="1">
        <f t="shared" si="2"/>
        <v>0</v>
      </c>
      <c r="H368" s="1">
        <f>'3.1.raw'!Z655</f>
        <v>0</v>
      </c>
      <c r="J368" s="1" t="str">
        <f>'3.1.raw'!AK655</f>
        <v>Sample with MO1156, Red Colony Count: Undiluted volume tested 100 ml - 00</v>
      </c>
    </row>
    <row r="369">
      <c r="A369" s="23" t="str">
        <f t="shared" si="7"/>
        <v>FB1282</v>
      </c>
      <c r="B369" s="23" t="str">
        <f>'3.1.raw'!L654</f>
        <v>FB1282</v>
      </c>
      <c r="C369" s="24">
        <f>datevalue(left('3.1.raw'!O654,10))</f>
        <v>43846</v>
      </c>
      <c r="D369" s="23">
        <f>'3.1.raw'!I654</f>
        <v>99</v>
      </c>
      <c r="E369" s="1">
        <v>3.09999999999999</v>
      </c>
      <c r="F369" s="23" t="b">
        <f>if(countif(Status!C:C,A369)=1,TRUE, FALSE)</f>
        <v>1</v>
      </c>
      <c r="G369" s="1">
        <f t="shared" si="2"/>
        <v>0</v>
      </c>
      <c r="H369" s="1">
        <f>'3.1.raw'!Z654</f>
        <v>0</v>
      </c>
      <c r="J369" s="1" t="str">
        <f>'3.1.raw'!AK654</f>
        <v>Sample with MO1155, Red Colony Count: Undiluted volume tested 100 ml - 00</v>
      </c>
    </row>
    <row r="370">
      <c r="A370" s="23" t="str">
        <f t="shared" si="7"/>
        <v>FB1281</v>
      </c>
      <c r="B370" s="23" t="str">
        <f>'3.1.raw'!L651</f>
        <v>FB1281</v>
      </c>
      <c r="C370" s="24">
        <f>datevalue(left('3.1.raw'!O651,10))</f>
        <v>43846</v>
      </c>
      <c r="D370" s="23">
        <f>'3.1.raw'!I651</f>
        <v>99</v>
      </c>
      <c r="E370" s="1">
        <v>3.09999999999999</v>
      </c>
      <c r="F370" s="23" t="b">
        <f>if(countif(Status!C:C,A370)=1,TRUE, FALSE)</f>
        <v>1</v>
      </c>
      <c r="G370" s="1">
        <f t="shared" si="2"/>
        <v>0</v>
      </c>
      <c r="H370" s="1">
        <f>'3.1.raw'!Z651</f>
        <v>0</v>
      </c>
      <c r="J370" s="1" t="str">
        <f>'3.1.raw'!AK651</f>
        <v>Sample with PLc1179, Red Colony Count: Undiluted volume tested 100 ml - 00</v>
      </c>
    </row>
    <row r="371">
      <c r="A371" s="23" t="str">
        <f t="shared" si="7"/>
        <v>FB1280</v>
      </c>
      <c r="B371" s="23" t="str">
        <f>'3.1.raw'!L649</f>
        <v>FB1280</v>
      </c>
      <c r="C371" s="24">
        <f>datevalue(left('3.1.raw'!O649,10))</f>
        <v>43846</v>
      </c>
      <c r="D371" s="23">
        <f>'3.1.raw'!I649</f>
        <v>99</v>
      </c>
      <c r="E371" s="1">
        <v>3.09999999999999</v>
      </c>
      <c r="F371" s="23" t="b">
        <f>if(countif(Status!C:C,A371)=1,TRUE, FALSE)</f>
        <v>1</v>
      </c>
      <c r="G371" s="1">
        <f t="shared" si="2"/>
        <v>0</v>
      </c>
      <c r="H371" s="1">
        <f>'3.1.raw'!Z649</f>
        <v>0</v>
      </c>
      <c r="J371" s="1" t="str">
        <f>'3.1.raw'!AK649</f>
        <v>Sample with PLc1178, Red Colony Count: Undiluted volume tested 100 ml - 00</v>
      </c>
    </row>
    <row r="372">
      <c r="A372" s="23" t="str">
        <f t="shared" si="7"/>
        <v>FB1279</v>
      </c>
      <c r="B372" s="23" t="str">
        <f>'3.1.raw'!L653</f>
        <v>FB1279</v>
      </c>
      <c r="C372" s="24">
        <f>datevalue(left('3.1.raw'!O653,10))</f>
        <v>43846</v>
      </c>
      <c r="D372" s="23">
        <f>'3.1.raw'!I653</f>
        <v>99</v>
      </c>
      <c r="E372" s="1">
        <v>3.09999999999999</v>
      </c>
      <c r="F372" s="23" t="b">
        <f>if(countif(Status!C:C,A372)=1,TRUE, FALSE)</f>
        <v>1</v>
      </c>
      <c r="G372" s="1">
        <f t="shared" si="2"/>
        <v>0</v>
      </c>
      <c r="H372" s="1">
        <f>'3.1.raw'!Z653</f>
        <v>0</v>
      </c>
      <c r="J372" s="1" t="str">
        <f>'3.1.raw'!AK653</f>
        <v>Sample with DWa1005uf, Red Colony Count: Undiluted volume tested 100 ml - 00</v>
      </c>
    </row>
    <row r="373">
      <c r="A373" s="23" t="str">
        <f t="shared" si="7"/>
        <v>FB1278</v>
      </c>
      <c r="B373" s="23" t="str">
        <f>'3.1.raw'!L646</f>
        <v>FB1278</v>
      </c>
      <c r="C373" s="24">
        <f>datevalue(left('3.1.raw'!O646,10))</f>
        <v>43845</v>
      </c>
      <c r="D373" s="23">
        <f>'3.1.raw'!I646</f>
        <v>99</v>
      </c>
      <c r="E373" s="1">
        <v>3.09999999999999</v>
      </c>
      <c r="F373" s="23" t="b">
        <f>if(countif(Status!C:C,A373)=1,TRUE, FALSE)</f>
        <v>1</v>
      </c>
      <c r="G373" s="1">
        <f t="shared" si="2"/>
        <v>0</v>
      </c>
      <c r="H373" s="1">
        <f>'3.1.raw'!Z646</f>
        <v>0</v>
      </c>
      <c r="J373" s="1" t="str">
        <f>'3.1.raw'!AK646</f>
        <v>Sample with SL2001, Red Colony Count: Undiluted volume tested 100 ml - 00</v>
      </c>
    </row>
    <row r="374">
      <c r="A374" s="23" t="str">
        <f t="shared" si="7"/>
        <v>FB1277</v>
      </c>
      <c r="B374" s="23" t="str">
        <f>'3.1.raw'!L644</f>
        <v>FB1277</v>
      </c>
      <c r="C374" s="24">
        <f>datevalue(left('3.1.raw'!O644,10))</f>
        <v>43845</v>
      </c>
      <c r="D374" s="23">
        <f>'3.1.raw'!I644</f>
        <v>99</v>
      </c>
      <c r="E374" s="1">
        <v>3.09999999999999</v>
      </c>
      <c r="F374" s="23" t="b">
        <f>if(countif(Status!C:C,A374)=1,TRUE, FALSE)</f>
        <v>1</v>
      </c>
      <c r="G374" s="1">
        <f t="shared" si="2"/>
        <v>0</v>
      </c>
      <c r="H374" s="1">
        <f>'3.1.raw'!Z644</f>
        <v>0</v>
      </c>
      <c r="J374" s="1" t="str">
        <f>'3.1.raw'!AK644</f>
        <v>Sample with RP2001, Red Colony Count: Undiluted volume tested 100 ml - 00</v>
      </c>
    </row>
    <row r="375">
      <c r="A375" s="23" t="str">
        <f t="shared" si="7"/>
        <v>FB1276</v>
      </c>
      <c r="B375" s="23" t="str">
        <f>'3.1.raw'!L642</f>
        <v>FB1276</v>
      </c>
      <c r="C375" s="24">
        <f>datevalue(left('3.1.raw'!O642,10))</f>
        <v>43845</v>
      </c>
      <c r="D375" s="23">
        <f>'3.1.raw'!I642</f>
        <v>99</v>
      </c>
      <c r="E375" s="1">
        <v>3.09999999999999</v>
      </c>
      <c r="F375" s="23" t="b">
        <f>if(countif(Status!C:C,A375)=1,TRUE, FALSE)</f>
        <v>1</v>
      </c>
      <c r="G375" s="1">
        <f t="shared" si="2"/>
        <v>0</v>
      </c>
      <c r="H375" s="1">
        <f>'3.1.raw'!Z642</f>
        <v>0</v>
      </c>
      <c r="J375" s="1" t="str">
        <f>'3.1.raw'!AK642</f>
        <v>Sample with COa2002, COb2004, COb2005, COb2006, Red Colony Count: Undiluted volume tested 100 ml - 00</v>
      </c>
    </row>
    <row r="376">
      <c r="A376" s="23" t="str">
        <f t="shared" si="7"/>
        <v>FB1275</v>
      </c>
      <c r="B376" s="23" t="str">
        <f>'3.1.raw'!L637</f>
        <v>FB1275</v>
      </c>
      <c r="C376" s="24">
        <f>datevalue(left('3.1.raw'!O637,10))</f>
        <v>43845</v>
      </c>
      <c r="D376" s="23">
        <f>'3.1.raw'!I637</f>
        <v>99</v>
      </c>
      <c r="E376" s="1">
        <v>3.09999999999999</v>
      </c>
      <c r="F376" s="23" t="b">
        <f>if(countif(Status!C:C,A376)=1,TRUE, FALSE)</f>
        <v>1</v>
      </c>
      <c r="G376" s="1">
        <f t="shared" si="2"/>
        <v>0</v>
      </c>
      <c r="H376" s="1">
        <f>'3.1.raw'!Z637</f>
        <v>0</v>
      </c>
      <c r="J376" s="1" t="str">
        <f>'3.1.raw'!AK637</f>
        <v>Sample with COa2001, COb2001, COb2002, COb2003, Red Colony Count: Undiluted volume tested 100 ml - 00</v>
      </c>
    </row>
    <row r="377">
      <c r="A377" s="23" t="str">
        <f t="shared" si="7"/>
        <v>FB1274</v>
      </c>
      <c r="B377" s="23" t="str">
        <f>'3.1.raw'!L630</f>
        <v>FB1274</v>
      </c>
      <c r="C377" s="24">
        <f>datevalue(left('3.1.raw'!O630,10))</f>
        <v>43844</v>
      </c>
      <c r="D377" s="23">
        <f>'3.1.raw'!I630</f>
        <v>99</v>
      </c>
      <c r="E377" s="1">
        <v>3.09999999999999</v>
      </c>
      <c r="F377" s="23" t="b">
        <f>if(countif(Status!C:C,A377)=1,TRUE, FALSE)</f>
        <v>1</v>
      </c>
      <c r="G377" s="1">
        <f t="shared" si="2"/>
        <v>0</v>
      </c>
      <c r="H377" s="1">
        <f>'3.1.raw'!Z630</f>
        <v>0</v>
      </c>
      <c r="J377" s="1" t="str">
        <f>'3.1.raw'!AK630</f>
        <v>Sample with MO1153, Red Colony Count: Undiluted volume tested 100 ml - 00</v>
      </c>
    </row>
    <row r="378">
      <c r="A378" s="23" t="str">
        <f t="shared" si="7"/>
        <v>FB1273</v>
      </c>
      <c r="B378" s="23" t="str">
        <f>'3.1.raw'!L629</f>
        <v>FB1273</v>
      </c>
      <c r="C378" s="24">
        <f>datevalue(left('3.1.raw'!O629,10))</f>
        <v>43844</v>
      </c>
      <c r="D378" s="23">
        <f>'3.1.raw'!I629</f>
        <v>99</v>
      </c>
      <c r="E378" s="1">
        <v>3.09999999999999</v>
      </c>
      <c r="F378" s="23" t="b">
        <f>if(countif(Status!C:C,A378)=1,TRUE, FALSE)</f>
        <v>1</v>
      </c>
      <c r="G378" s="1">
        <f t="shared" si="2"/>
        <v>0</v>
      </c>
      <c r="H378" s="1">
        <f>'3.1.raw'!Z629</f>
        <v>0</v>
      </c>
      <c r="J378" s="1" t="str">
        <f>'3.1.raw'!AK629</f>
        <v>Sample with MO1152, Red Colony Count: Undiluted volume tested 100 ml - 00</v>
      </c>
    </row>
    <row r="379">
      <c r="A379" s="23" t="str">
        <f t="shared" si="7"/>
        <v>FB1272</v>
      </c>
      <c r="B379" s="23" t="str">
        <f>'3.1.raw'!L631</f>
        <v>FB1272</v>
      </c>
      <c r="C379" s="24">
        <f>datevalue(left('3.1.raw'!O631,10))</f>
        <v>43844</v>
      </c>
      <c r="D379" s="23">
        <f>'3.1.raw'!I631</f>
        <v>99</v>
      </c>
      <c r="E379" s="1">
        <v>3.09999999999999</v>
      </c>
      <c r="F379" s="23" t="b">
        <f>if(countif(Status!C:C,A379)=1,TRUE, FALSE)</f>
        <v>1</v>
      </c>
      <c r="G379" s="1">
        <f t="shared" si="2"/>
        <v>0</v>
      </c>
      <c r="H379" s="1">
        <f>'3.1.raw'!Z631</f>
        <v>0</v>
      </c>
      <c r="J379" s="1" t="str">
        <f>'3.1.raw'!AK631</f>
        <v>Sample with MO1154, Red Colony Count: Undiluted volume tested 100 ml - 00</v>
      </c>
    </row>
    <row r="380">
      <c r="A380" s="23" t="str">
        <f t="shared" si="7"/>
        <v>FB1271</v>
      </c>
      <c r="B380" s="23" t="str">
        <f>'3.1.raw'!L627</f>
        <v>FB1271</v>
      </c>
      <c r="C380" s="24">
        <f>datevalue(left('3.1.raw'!O627,10))</f>
        <v>43843</v>
      </c>
      <c r="D380" s="23">
        <f>'3.1.raw'!I627</f>
        <v>99</v>
      </c>
      <c r="E380" s="1">
        <v>3.09999999999999</v>
      </c>
      <c r="F380" s="23" t="b">
        <f>if(countif(Status!C:C,A380)=1,TRUE, FALSE)</f>
        <v>1</v>
      </c>
      <c r="G380" s="1">
        <f t="shared" si="2"/>
        <v>0</v>
      </c>
      <c r="H380" s="1">
        <f>'3.1.raw'!Z627</f>
        <v>0</v>
      </c>
      <c r="J380" s="1" t="str">
        <f>'3.1.raw'!AK627</f>
        <v>Sample with PLc1177, Red Colony Count: Undiluted volume tested 100 ml - 00</v>
      </c>
    </row>
    <row r="381">
      <c r="A381" s="23" t="str">
        <f t="shared" si="7"/>
        <v>FB1270</v>
      </c>
      <c r="B381" s="23" t="str">
        <f>'3.1.raw'!L625</f>
        <v>FB1270</v>
      </c>
      <c r="C381" s="24">
        <f>datevalue(left('3.1.raw'!O625,10))</f>
        <v>43843</v>
      </c>
      <c r="D381" s="23">
        <f>'3.1.raw'!I625</f>
        <v>99</v>
      </c>
      <c r="E381" s="1">
        <v>3.09999999999999</v>
      </c>
      <c r="F381" s="23" t="b">
        <f>if(countif(Status!C:C,A381)=1,TRUE, FALSE)</f>
        <v>1</v>
      </c>
      <c r="G381" s="1">
        <f t="shared" si="2"/>
        <v>0</v>
      </c>
      <c r="H381" s="1">
        <f>'3.1.raw'!Z625</f>
        <v>0</v>
      </c>
      <c r="J381" s="1" t="str">
        <f>'3.1.raw'!AK625</f>
        <v>Sample with PLc1176, Red Colony Count: Undiluted volume tested 100 ml - 00</v>
      </c>
    </row>
    <row r="382">
      <c r="A382" s="23" t="str">
        <f t="shared" si="7"/>
        <v>FB1269</v>
      </c>
      <c r="B382" s="23" t="str">
        <f>'3.1.raw'!L623</f>
        <v>FB1269</v>
      </c>
      <c r="C382" s="24">
        <f>datevalue(left('3.1.raw'!O623,10))</f>
        <v>43843</v>
      </c>
      <c r="D382" s="23">
        <f>'3.1.raw'!I623</f>
        <v>99</v>
      </c>
      <c r="E382" s="1">
        <v>3.09999999999999</v>
      </c>
      <c r="F382" s="23" t="b">
        <f>if(countif(Status!C:C,A382)=1,TRUE, FALSE)</f>
        <v>1</v>
      </c>
      <c r="G382" s="1">
        <f t="shared" si="2"/>
        <v>0</v>
      </c>
      <c r="H382" s="1">
        <f>'3.1.raw'!Z623</f>
        <v>0</v>
      </c>
      <c r="J382" s="1" t="str">
        <f>'3.1.raw'!AK623</f>
        <v>Sample with PLc1175, Red Colony Count: Undiluted volume tested 100 ml - 00</v>
      </c>
    </row>
    <row r="383">
      <c r="A383" s="23" t="str">
        <f t="shared" si="7"/>
        <v>FB1268</v>
      </c>
      <c r="B383" s="23" t="str">
        <f>'3.1.raw'!L621</f>
        <v>FB1268</v>
      </c>
      <c r="C383" s="24">
        <f>datevalue(left('3.1.raw'!O621,10))</f>
        <v>43843</v>
      </c>
      <c r="D383" s="23">
        <f>'3.1.raw'!I621</f>
        <v>99</v>
      </c>
      <c r="E383" s="1">
        <v>3.09999999999999</v>
      </c>
      <c r="F383" s="23" t="b">
        <f>if(countif(Status!C:C,A383)=1,TRUE, FALSE)</f>
        <v>1</v>
      </c>
      <c r="G383" s="1">
        <f t="shared" si="2"/>
        <v>0</v>
      </c>
      <c r="H383" s="1">
        <f>'3.1.raw'!Z621</f>
        <v>0</v>
      </c>
      <c r="J383" s="1" t="str">
        <f>'3.1.raw'!AK621</f>
        <v>Sample with PLc1174, Red Colony Count: Undiluted volume tested 100 ml - 00</v>
      </c>
    </row>
    <row r="384">
      <c r="A384" s="23" t="str">
        <f t="shared" si="7"/>
        <v>FB1267</v>
      </c>
      <c r="B384" s="23" t="str">
        <f>'3.1.raw'!L618</f>
        <v>FB1267</v>
      </c>
      <c r="C384" s="24">
        <f>datevalue(left('3.1.raw'!O618,10))</f>
        <v>43839</v>
      </c>
      <c r="D384" s="23">
        <f>'3.1.raw'!I618</f>
        <v>99</v>
      </c>
      <c r="E384" s="1">
        <v>3.09999999999999</v>
      </c>
      <c r="F384" s="23" t="b">
        <f>if(countif(Status!C:C,A384)=1,TRUE, FALSE)</f>
        <v>1</v>
      </c>
      <c r="G384" s="1">
        <f t="shared" si="2"/>
        <v>0</v>
      </c>
      <c r="H384" s="1">
        <f>'3.1.raw'!Z618</f>
        <v>0</v>
      </c>
      <c r="J384" s="1" t="str">
        <f>'3.1.raw'!AK618</f>
        <v>Sample with PLc1173, Red Colony Count: Undiluted volume tested 100 ml - 00</v>
      </c>
    </row>
    <row r="385">
      <c r="A385" s="23" t="str">
        <f t="shared" si="7"/>
        <v>FB1266</v>
      </c>
      <c r="B385" s="23" t="str">
        <f>'3.1.raw'!L616</f>
        <v>FB1266</v>
      </c>
      <c r="C385" s="24">
        <f>datevalue(left('3.1.raw'!O616,10))</f>
        <v>43839</v>
      </c>
      <c r="D385" s="23">
        <f>'3.1.raw'!I616</f>
        <v>99</v>
      </c>
      <c r="E385" s="1">
        <v>3.09999999999999</v>
      </c>
      <c r="F385" s="23" t="b">
        <f>if(countif(Status!C:C,A385)=1,TRUE, FALSE)</f>
        <v>1</v>
      </c>
      <c r="G385" s="1">
        <f t="shared" si="2"/>
        <v>0</v>
      </c>
      <c r="H385" s="1">
        <f>'3.1.raw'!Z616</f>
        <v>0</v>
      </c>
      <c r="J385" s="1" t="str">
        <f>'3.1.raw'!AK616</f>
        <v>Sample with MO1150, Red Colony Count: Undiluted volume tested 100 ml - 00</v>
      </c>
    </row>
    <row r="386">
      <c r="A386" s="23" t="str">
        <f t="shared" si="7"/>
        <v>FB1265</v>
      </c>
      <c r="B386" s="23" t="str">
        <f>'3.1.raw'!L615</f>
        <v>FB1265</v>
      </c>
      <c r="C386" s="24">
        <f>datevalue(left('3.1.raw'!O615,10))</f>
        <v>43839</v>
      </c>
      <c r="D386" s="23">
        <f>'3.1.raw'!I615</f>
        <v>99</v>
      </c>
      <c r="E386" s="1">
        <v>3.09999999999999</v>
      </c>
      <c r="F386" s="23" t="b">
        <f>if(countif(Status!C:C,A386)=1,TRUE, FALSE)</f>
        <v>1</v>
      </c>
      <c r="G386" s="1">
        <f t="shared" si="2"/>
        <v>0</v>
      </c>
      <c r="H386" s="1">
        <f>'3.1.raw'!Z615</f>
        <v>0</v>
      </c>
      <c r="J386" s="1" t="str">
        <f>'3.1.raw'!AK615</f>
        <v>Sample with MO1149, Red Colony Count: Undiluted volume tested 100 ml - 00</v>
      </c>
    </row>
    <row r="387">
      <c r="A387" s="23" t="str">
        <f t="shared" si="7"/>
        <v>FB1264</v>
      </c>
      <c r="B387" s="23" t="str">
        <f>'3.1.raw'!L613</f>
        <v>FB1264</v>
      </c>
      <c r="C387" s="24">
        <f>datevalue(left('3.1.raw'!O613,10))</f>
        <v>43838</v>
      </c>
      <c r="D387" s="23">
        <f>'3.1.raw'!I613</f>
        <v>99</v>
      </c>
      <c r="E387" s="1">
        <v>3.09999999999999</v>
      </c>
      <c r="F387" s="23" t="b">
        <f>if(countif(Status!C:C,A387)=1,TRUE, FALSE)</f>
        <v>1</v>
      </c>
      <c r="G387" s="1">
        <f t="shared" si="2"/>
        <v>0</v>
      </c>
      <c r="H387" s="1">
        <f>'3.1.raw'!Z613</f>
        <v>0</v>
      </c>
      <c r="J387" s="1" t="str">
        <f>'3.1.raw'!AK613</f>
        <v>Sample with DWa1004uf, Red Colony Count: Undiluted volume tested 100 ml - 00</v>
      </c>
    </row>
    <row r="388">
      <c r="A388" s="23" t="str">
        <f t="shared" si="7"/>
        <v>FB1224</v>
      </c>
      <c r="B388" s="23" t="str">
        <f>'3.1.raw'!L611</f>
        <v>FB1224</v>
      </c>
      <c r="C388" s="24">
        <f>datevalue(left('3.1.raw'!O611,10))</f>
        <v>43818</v>
      </c>
      <c r="D388" s="23">
        <f>'3.1.raw'!I611</f>
        <v>99</v>
      </c>
      <c r="E388" s="1">
        <v>3.09999999999999</v>
      </c>
      <c r="F388" s="23" t="b">
        <f>if(countif(Status!C:C,A388)=1,TRUE, FALSE)</f>
        <v>1</v>
      </c>
      <c r="G388" s="1">
        <f t="shared" si="2"/>
        <v>0</v>
      </c>
      <c r="H388" s="1">
        <f>'3.1.raw'!Z611</f>
        <v>0</v>
      </c>
      <c r="J388" s="1" t="str">
        <f>'3.1.raw'!AK611</f>
        <v>Sample with PLc1145, Red Colony Count: Undiluted volume tested 100 ml - 00</v>
      </c>
    </row>
    <row r="389">
      <c r="A389" s="23" t="str">
        <f t="shared" si="7"/>
        <v>FB1223</v>
      </c>
      <c r="B389" s="23" t="str">
        <f>'3.1.raw'!L609</f>
        <v>FB1223</v>
      </c>
      <c r="C389" s="24">
        <f>datevalue(left('3.1.raw'!O609,10))</f>
        <v>43818</v>
      </c>
      <c r="D389" s="23">
        <f>'3.1.raw'!I609</f>
        <v>99</v>
      </c>
      <c r="E389" s="1">
        <v>3.09999999999999</v>
      </c>
      <c r="F389" s="23" t="b">
        <f>if(countif(Status!C:C,A389)=1,TRUE, FALSE)</f>
        <v>1</v>
      </c>
      <c r="G389" s="1">
        <f t="shared" si="2"/>
        <v>0</v>
      </c>
      <c r="H389" s="1">
        <f>'3.1.raw'!Z609</f>
        <v>0</v>
      </c>
      <c r="J389" s="1" t="str">
        <f>'3.1.raw'!AK609</f>
        <v>Sample with PLc1144, Red Colony Count: Undiluted volume tested 100 ml - 00</v>
      </c>
    </row>
    <row r="390">
      <c r="A390" s="23" t="str">
        <f t="shared" si="7"/>
        <v>FB1220</v>
      </c>
      <c r="B390" s="23" t="str">
        <f>'3.1.raw'!L604</f>
        <v>FB1220</v>
      </c>
      <c r="C390" s="24">
        <f>datevalue(left('3.1.raw'!O604,10))</f>
        <v>43816</v>
      </c>
      <c r="D390" s="23">
        <f>'3.1.raw'!I604</f>
        <v>99</v>
      </c>
      <c r="E390" s="1">
        <v>3.09999999999999</v>
      </c>
      <c r="F390" s="23" t="b">
        <f>if(countif(Status!C:C,A390)=1,TRUE, FALSE)</f>
        <v>1</v>
      </c>
      <c r="G390" s="1">
        <f t="shared" si="2"/>
        <v>0</v>
      </c>
      <c r="H390" s="1">
        <f>'3.1.raw'!Z604</f>
        <v>0</v>
      </c>
      <c r="J390" s="1" t="str">
        <f>'3.1.raw'!AK604</f>
        <v>Sample with PLc1143, Red Colony Count: Undiluted volume tested 100 ml - 00</v>
      </c>
    </row>
    <row r="391">
      <c r="A391" s="23" t="str">
        <f t="shared" si="7"/>
        <v>FB1219</v>
      </c>
      <c r="B391" s="23" t="str">
        <f>'3.1.raw'!L602</f>
        <v>FB1219</v>
      </c>
      <c r="C391" s="24">
        <f>datevalue(left('3.1.raw'!O602,10))</f>
        <v>43816</v>
      </c>
      <c r="D391" s="23">
        <f>'3.1.raw'!I602</f>
        <v>99</v>
      </c>
      <c r="E391" s="1">
        <v>3.09999999999999</v>
      </c>
      <c r="F391" s="23" t="b">
        <f>if(countif(Status!C:C,A391)=1,TRUE, FALSE)</f>
        <v>1</v>
      </c>
      <c r="G391" s="1">
        <f t="shared" si="2"/>
        <v>0</v>
      </c>
      <c r="H391" s="1">
        <f>'3.1.raw'!Z602</f>
        <v>0</v>
      </c>
      <c r="J391" s="1" t="str">
        <f>'3.1.raw'!AK602</f>
        <v>Sample with PLc1142, Red Colony Count: Undiluted volume tested 100 ml - 00</v>
      </c>
    </row>
    <row r="392">
      <c r="A392" s="23" t="str">
        <f t="shared" si="7"/>
        <v>FB1216</v>
      </c>
      <c r="B392" s="23" t="str">
        <f>'3.1.raw'!L600</f>
        <v>FB1216</v>
      </c>
      <c r="C392" s="24">
        <f>datevalue(left('3.1.raw'!O600,10))</f>
        <v>43816</v>
      </c>
      <c r="D392" s="23">
        <f>'3.1.raw'!I600</f>
        <v>99</v>
      </c>
      <c r="E392" s="1">
        <v>3.09999999999999</v>
      </c>
      <c r="F392" s="23" t="b">
        <f>if(countif(Status!C:C,A392)=1,TRUE, FALSE)</f>
        <v>1</v>
      </c>
      <c r="G392" s="1">
        <f t="shared" si="2"/>
        <v>0</v>
      </c>
      <c r="H392" s="1">
        <f>'3.1.raw'!Z600</f>
        <v>0</v>
      </c>
      <c r="J392" s="1" t="str">
        <f>'3.1.raw'!AK600</f>
        <v>Sample with MO1135, Red Colony Count: Undiluted volume tested 100 ml - 00</v>
      </c>
    </row>
    <row r="393">
      <c r="A393" s="23" t="str">
        <f t="shared" si="7"/>
        <v>FB1215</v>
      </c>
      <c r="B393" s="23" t="str">
        <f>'3.1.raw'!L599</f>
        <v>FB1215</v>
      </c>
      <c r="C393" s="24">
        <f>datevalue(left('3.1.raw'!O599,10))</f>
        <v>43816</v>
      </c>
      <c r="D393" s="23">
        <f>'3.1.raw'!I599</f>
        <v>99</v>
      </c>
      <c r="E393" s="1">
        <v>3.09999999999999</v>
      </c>
      <c r="F393" s="23" t="b">
        <f>if(countif(Status!C:C,A393)=1,TRUE, FALSE)</f>
        <v>1</v>
      </c>
      <c r="G393" s="1">
        <f t="shared" si="2"/>
        <v>1</v>
      </c>
      <c r="H393" s="1">
        <f>'3.1.raw'!Z599</f>
        <v>3</v>
      </c>
      <c r="J393" s="1" t="str">
        <f>'3.1.raw'!AK599</f>
        <v>Sample with MO1134, Red Colony Count: Undiluted volume tested 100 ml - 1</v>
      </c>
    </row>
    <row r="394">
      <c r="A394" s="23" t="str">
        <f t="shared" si="7"/>
        <v>FB1214</v>
      </c>
      <c r="B394" s="23" t="str">
        <f>'3.1.raw'!L597</f>
        <v>FB1214</v>
      </c>
      <c r="C394" s="24">
        <f>datevalue(left('3.1.raw'!O597,10))</f>
        <v>43815</v>
      </c>
      <c r="D394" s="23">
        <f>'3.1.raw'!I597</f>
        <v>99</v>
      </c>
      <c r="E394" s="1">
        <v>3.09999999999999</v>
      </c>
      <c r="F394" s="23" t="b">
        <f>if(countif(Status!C:C,A394)=1,TRUE, FALSE)</f>
        <v>1</v>
      </c>
      <c r="G394" s="1">
        <f t="shared" si="2"/>
        <v>0</v>
      </c>
      <c r="H394" s="1">
        <f>'3.1.raw'!Z597</f>
        <v>0</v>
      </c>
      <c r="J394" s="1" t="str">
        <f>'3.1.raw'!AK597</f>
        <v>Sample with PLc1139, Red Colony Count: Undiluted volume tested 100 ml - 00</v>
      </c>
    </row>
    <row r="395">
      <c r="A395" s="23" t="str">
        <f t="shared" si="7"/>
        <v>FB1213</v>
      </c>
      <c r="B395" s="23" t="str">
        <f>'3.1.raw'!L595</f>
        <v>FB1213</v>
      </c>
      <c r="C395" s="24">
        <f>datevalue(left('3.1.raw'!O595,10))</f>
        <v>43815</v>
      </c>
      <c r="D395" s="23">
        <f>'3.1.raw'!I595</f>
        <v>99</v>
      </c>
      <c r="E395" s="1">
        <v>3.09999999999999</v>
      </c>
      <c r="F395" s="23" t="b">
        <f>if(countif(Status!C:C,A395)=1,TRUE, FALSE)</f>
        <v>1</v>
      </c>
      <c r="G395" s="1">
        <f t="shared" si="2"/>
        <v>0</v>
      </c>
      <c r="H395" s="1">
        <f>'3.1.raw'!Z595</f>
        <v>0</v>
      </c>
      <c r="J395" s="1" t="str">
        <f>'3.1.raw'!AK595</f>
        <v>Sample with PLc1138, Red Colony Count: Undiluted volume tested 100 ml - 00</v>
      </c>
    </row>
    <row r="396">
      <c r="A396" s="23" t="str">
        <f t="shared" si="7"/>
        <v>FB1212</v>
      </c>
      <c r="B396" s="23" t="str">
        <f>'3.1.raw'!L593</f>
        <v>FB1212</v>
      </c>
      <c r="C396" s="24">
        <f>datevalue(left('3.1.raw'!O593,10))</f>
        <v>43815</v>
      </c>
      <c r="D396" s="23">
        <f>'3.1.raw'!I593</f>
        <v>99</v>
      </c>
      <c r="E396" s="1">
        <v>3.09999999999999</v>
      </c>
      <c r="F396" s="23" t="b">
        <f>if(countif(Status!C:C,A396)=1,TRUE, FALSE)</f>
        <v>1</v>
      </c>
      <c r="G396" s="1">
        <f t="shared" si="2"/>
        <v>0</v>
      </c>
      <c r="H396" s="1">
        <f>'3.1.raw'!Z593</f>
        <v>0</v>
      </c>
      <c r="J396" s="1" t="str">
        <f>'3.1.raw'!AK593</f>
        <v>Sample with PLc1137, Red Colony Count: Undiluted volume tested 100 ml - 00</v>
      </c>
    </row>
    <row r="397">
      <c r="A397" s="23" t="str">
        <f t="shared" si="7"/>
        <v>FB1211</v>
      </c>
      <c r="B397" s="23" t="str">
        <f>'3.1.raw'!L591</f>
        <v>FB1211</v>
      </c>
      <c r="C397" s="24">
        <f>datevalue(left('3.1.raw'!O591,10))</f>
        <v>43815</v>
      </c>
      <c r="D397" s="23">
        <f>'3.1.raw'!I591</f>
        <v>99</v>
      </c>
      <c r="E397" s="1">
        <v>3.09999999999999</v>
      </c>
      <c r="F397" s="23" t="b">
        <f>if(countif(Status!C:C,A397)=1,TRUE, FALSE)</f>
        <v>1</v>
      </c>
      <c r="G397" s="1">
        <f t="shared" si="2"/>
        <v>0</v>
      </c>
      <c r="H397" s="1">
        <f>'3.1.raw'!Z591</f>
        <v>0</v>
      </c>
      <c r="J397" s="1" t="str">
        <f>'3.1.raw'!AK591</f>
        <v>Sample with PLc1136, Red Colony Count: Undiluted volume tested 100 ml - 00</v>
      </c>
    </row>
    <row r="398">
      <c r="A398" s="23" t="str">
        <f t="shared" si="7"/>
        <v>FB1210</v>
      </c>
      <c r="B398" s="23" t="str">
        <f>'3.1.raw'!L589</f>
        <v>FB1210</v>
      </c>
      <c r="C398" s="24">
        <f>datevalue(left('3.1.raw'!O589,10))</f>
        <v>43815</v>
      </c>
      <c r="D398" s="23">
        <f>'3.1.raw'!I589</f>
        <v>99</v>
      </c>
      <c r="E398" s="1">
        <v>3.09999999999999</v>
      </c>
      <c r="F398" s="23" t="b">
        <f>if(countif(Status!C:C,A398)=1,TRUE, FALSE)</f>
        <v>1</v>
      </c>
      <c r="G398" s="1">
        <f t="shared" si="2"/>
        <v>0</v>
      </c>
      <c r="H398" s="1">
        <f>'3.1.raw'!Z589</f>
        <v>0</v>
      </c>
      <c r="J398" s="1" t="str">
        <f>'3.1.raw'!AK589</f>
        <v>Sample with PLc1135, Red Colony Count: Undiluted volume tested 100 ml - 00</v>
      </c>
    </row>
    <row r="399">
      <c r="A399" s="23" t="str">
        <f t="shared" si="7"/>
        <v>FB1209</v>
      </c>
      <c r="B399" s="23" t="str">
        <f>'3.1.raw'!L586</f>
        <v>FB1209</v>
      </c>
      <c r="C399" s="24">
        <f>datevalue(left('3.1.raw'!O586,10))</f>
        <v>43812</v>
      </c>
      <c r="D399" s="23">
        <f>'3.1.raw'!I586</f>
        <v>99</v>
      </c>
      <c r="E399" s="1">
        <v>3.09999999999999</v>
      </c>
      <c r="F399" s="23" t="b">
        <f>if(countif(Status!C:C,A399)=1,TRUE, FALSE)</f>
        <v>1</v>
      </c>
      <c r="G399" s="1">
        <f t="shared" si="2"/>
        <v>0</v>
      </c>
      <c r="H399" s="1">
        <f>'3.1.raw'!Z586</f>
        <v>0</v>
      </c>
      <c r="J399" s="1" t="str">
        <f>'3.1.raw'!AK586</f>
        <v>Sample with PLc1134, Red Colony Count: Undiluted volume tested 100 ml - 00</v>
      </c>
    </row>
    <row r="400">
      <c r="A400" s="23" t="str">
        <f t="shared" si="7"/>
        <v>FB1208</v>
      </c>
      <c r="B400" s="23" t="str">
        <f>'3.1.raw'!L584</f>
        <v>FB1208</v>
      </c>
      <c r="C400" s="24">
        <f>datevalue(left('3.1.raw'!O584,10))</f>
        <v>43812</v>
      </c>
      <c r="D400" s="23">
        <f>'3.1.raw'!I584</f>
        <v>99</v>
      </c>
      <c r="E400" s="1">
        <v>3.09999999999999</v>
      </c>
      <c r="F400" s="23" t="b">
        <f>if(countif(Status!C:C,A400)=1,TRUE, FALSE)</f>
        <v>1</v>
      </c>
      <c r="G400" s="1">
        <f t="shared" si="2"/>
        <v>0</v>
      </c>
      <c r="H400" s="1">
        <f>'3.1.raw'!Z584</f>
        <v>0</v>
      </c>
      <c r="J400" s="1" t="str">
        <f>'3.1.raw'!AK584</f>
        <v>Sample with PLc1133, Red Colony Count: Undiluted volume tested 100 ml - 00</v>
      </c>
    </row>
    <row r="401">
      <c r="A401" s="23" t="str">
        <f t="shared" si="7"/>
        <v>FB1207</v>
      </c>
      <c r="B401" s="23" t="str">
        <f>'3.1.raw'!L582</f>
        <v>FB1207</v>
      </c>
      <c r="C401" s="24">
        <f>datevalue(left('3.1.raw'!O582,10))</f>
        <v>43812</v>
      </c>
      <c r="D401" s="23">
        <f>'3.1.raw'!I582</f>
        <v>99</v>
      </c>
      <c r="E401" s="1">
        <v>3.09999999999999</v>
      </c>
      <c r="F401" s="23" t="b">
        <f>if(countif(Status!C:C,A401)=1,TRUE, FALSE)</f>
        <v>1</v>
      </c>
      <c r="G401" s="1">
        <f t="shared" si="2"/>
        <v>0</v>
      </c>
      <c r="H401" s="1">
        <f>'3.1.raw'!Z582</f>
        <v>0</v>
      </c>
      <c r="J401" s="1" t="str">
        <f>'3.1.raw'!AK582</f>
        <v>Sample with PLc1132, Red Colony Count: Undiluted volume tested 100 ml - 00</v>
      </c>
    </row>
    <row r="402">
      <c r="A402" s="23" t="str">
        <f t="shared" si="7"/>
        <v>FB1206</v>
      </c>
      <c r="B402" s="23" t="str">
        <f>'3.1.raw'!L580</f>
        <v>FB1206</v>
      </c>
      <c r="C402" s="24">
        <f>datevalue(left('3.1.raw'!O580,10))</f>
        <v>43812</v>
      </c>
      <c r="D402" s="23">
        <f>'3.1.raw'!I580</f>
        <v>99</v>
      </c>
      <c r="E402" s="1">
        <v>3.09999999999999</v>
      </c>
      <c r="F402" s="23" t="b">
        <f>if(countif(Status!C:C,A402)=1,TRUE, FALSE)</f>
        <v>1</v>
      </c>
      <c r="G402" s="1">
        <f t="shared" si="2"/>
        <v>0</v>
      </c>
      <c r="H402" s="1">
        <f>'3.1.raw'!Z580</f>
        <v>0</v>
      </c>
      <c r="J402" s="1" t="str">
        <f>'3.1.raw'!AK580</f>
        <v>Sample with PLc1131, Red Colony Count: Undiluted volume tested 100 ml - 00</v>
      </c>
    </row>
    <row r="403">
      <c r="A403" s="23" t="str">
        <f t="shared" si="7"/>
        <v>FB1205</v>
      </c>
      <c r="B403" s="23" t="str">
        <f>'3.1.raw'!L575</f>
        <v>FB1205</v>
      </c>
      <c r="C403" s="24">
        <f>datevalue(left('3.1.raw'!O575,10))</f>
        <v>43811</v>
      </c>
      <c r="D403" s="23">
        <f>'3.1.raw'!I575</f>
        <v>99</v>
      </c>
      <c r="E403" s="1">
        <v>3.09999999999999</v>
      </c>
      <c r="F403" s="23" t="b">
        <f>if(countif(Status!C:C,A403)=1,TRUE, FALSE)</f>
        <v>1</v>
      </c>
      <c r="G403" s="1">
        <f t="shared" si="2"/>
        <v>0</v>
      </c>
      <c r="H403" s="1">
        <f>'3.1.raw'!Z575</f>
        <v>0</v>
      </c>
      <c r="J403" s="1" t="str">
        <f>'3.1.raw'!AK575</f>
        <v>Sample with PLc1130, Red Colony Count: Undiluted volume tested 100 ml - 00</v>
      </c>
    </row>
    <row r="404">
      <c r="A404" s="23" t="str">
        <f t="shared" si="7"/>
        <v>FB1204</v>
      </c>
      <c r="B404" s="23" t="str">
        <f>'3.1.raw'!L573</f>
        <v>FB1204</v>
      </c>
      <c r="C404" s="24">
        <f>datevalue(left('3.1.raw'!O573,10))</f>
        <v>43811</v>
      </c>
      <c r="D404" s="23">
        <f>'3.1.raw'!I573</f>
        <v>99</v>
      </c>
      <c r="E404" s="1">
        <v>3.09999999999999</v>
      </c>
      <c r="F404" s="23" t="b">
        <f>if(countif(Status!C:C,A404)=1,TRUE, FALSE)</f>
        <v>1</v>
      </c>
      <c r="G404" s="1">
        <f t="shared" si="2"/>
        <v>0</v>
      </c>
      <c r="H404" s="1">
        <f>'3.1.raw'!Z573</f>
        <v>0</v>
      </c>
      <c r="J404" s="1" t="str">
        <f>'3.1.raw'!AK573</f>
        <v>Sample with PLc1129, Red Colony Count: Undiluted volume tested 100 ml - 00</v>
      </c>
    </row>
    <row r="405">
      <c r="A405" s="23" t="str">
        <f t="shared" si="7"/>
        <v>FB1203</v>
      </c>
      <c r="B405" s="23" t="str">
        <f>'3.1.raw'!L571</f>
        <v>FB1203</v>
      </c>
      <c r="C405" s="24">
        <f>datevalue(left('3.1.raw'!O571,10))</f>
        <v>43811</v>
      </c>
      <c r="D405" s="23">
        <f>'3.1.raw'!I571</f>
        <v>99</v>
      </c>
      <c r="E405" s="1">
        <v>3.09999999999999</v>
      </c>
      <c r="F405" s="23" t="b">
        <f>if(countif(Status!C:C,A405)=1,TRUE, FALSE)</f>
        <v>1</v>
      </c>
      <c r="G405" s="1">
        <f t="shared" si="2"/>
        <v>0</v>
      </c>
      <c r="H405" s="1">
        <f>'3.1.raw'!Z571</f>
        <v>0</v>
      </c>
      <c r="J405" s="1" t="str">
        <f>'3.1.raw'!AK571</f>
        <v>Sample with PLc1128, Red Colony Count: Undiluted volume tested 100 ml - 00</v>
      </c>
    </row>
    <row r="406">
      <c r="A406" s="23" t="str">
        <f t="shared" si="7"/>
        <v>FB1202</v>
      </c>
      <c r="B406" s="23" t="str">
        <f>'3.1.raw'!L569</f>
        <v>FB1202</v>
      </c>
      <c r="C406" s="24">
        <f>datevalue(left('3.1.raw'!O569,10))</f>
        <v>43811</v>
      </c>
      <c r="D406" s="23">
        <f>'3.1.raw'!I569</f>
        <v>99</v>
      </c>
      <c r="E406" s="1">
        <v>3.09999999999999</v>
      </c>
      <c r="F406" s="23" t="b">
        <f>if(countif(Status!C:C,A406)=1,TRUE, FALSE)</f>
        <v>1</v>
      </c>
      <c r="G406" s="1">
        <f t="shared" si="2"/>
        <v>0</v>
      </c>
      <c r="H406" s="1">
        <f>'3.1.raw'!Z569</f>
        <v>0</v>
      </c>
      <c r="J406" s="1" t="str">
        <f>'3.1.raw'!AK569</f>
        <v>Sample with PLc1202, Red Colony Count: Undiluted volume tested 100 ml - 00</v>
      </c>
    </row>
    <row r="407">
      <c r="A407" s="23" t="str">
        <f t="shared" si="7"/>
        <v>FB1201</v>
      </c>
      <c r="B407" s="23" t="str">
        <f>'3.1.raw'!L567</f>
        <v>FB1201</v>
      </c>
      <c r="C407" s="24">
        <f>datevalue(left('3.1.raw'!O567,10))</f>
        <v>43811</v>
      </c>
      <c r="D407" s="23">
        <f>'3.1.raw'!I567</f>
        <v>99</v>
      </c>
      <c r="E407" s="1">
        <v>3.09999999999999</v>
      </c>
      <c r="F407" s="23" t="b">
        <f>if(countif(Status!C:C,A407)=1,TRUE, FALSE)</f>
        <v>1</v>
      </c>
      <c r="G407" s="1">
        <f t="shared" si="2"/>
        <v>0</v>
      </c>
      <c r="H407" s="1">
        <f>'3.1.raw'!Z567</f>
        <v>0</v>
      </c>
      <c r="J407" s="1" t="str">
        <f>'3.1.raw'!AK567</f>
        <v>Sample with PLc1126, Red Colony Count: Undiluted volume tested 100 ml - 00</v>
      </c>
    </row>
    <row r="408">
      <c r="A408" s="23" t="str">
        <f t="shared" si="7"/>
        <v>FB1200</v>
      </c>
      <c r="B408" s="23" t="str">
        <f>'3.1.raw'!L577</f>
        <v>FB1200</v>
      </c>
      <c r="C408" s="24">
        <f>datevalue(left('3.1.raw'!O577,10))</f>
        <v>43811</v>
      </c>
      <c r="D408" s="23">
        <f>'3.1.raw'!I577</f>
        <v>99</v>
      </c>
      <c r="E408" s="1">
        <v>3.09999999999999</v>
      </c>
      <c r="F408" s="23" t="b">
        <f>if(countif(Status!C:C,A408)=1,TRUE, FALSE)</f>
        <v>1</v>
      </c>
      <c r="G408" s="1">
        <f t="shared" si="2"/>
        <v>0</v>
      </c>
      <c r="H408" s="1">
        <f>'3.1.raw'!Z577</f>
        <v>0</v>
      </c>
      <c r="J408" s="1" t="str">
        <f>'3.1.raw'!AK577</f>
        <v>Sample with MO1133, Red Colony Count: Undiluted volume tested 100 ml - 00</v>
      </c>
    </row>
    <row r="409">
      <c r="A409" s="23" t="str">
        <f t="shared" si="7"/>
        <v>FB1199</v>
      </c>
      <c r="B409" s="23" t="str">
        <f>'3.1.raw'!L576</f>
        <v>FB1199</v>
      </c>
      <c r="C409" s="24">
        <f>datevalue(left('3.1.raw'!O576,10))</f>
        <v>43811</v>
      </c>
      <c r="D409" s="23">
        <f>'3.1.raw'!I576</f>
        <v>99</v>
      </c>
      <c r="E409" s="1">
        <v>3.09999999999999</v>
      </c>
      <c r="F409" s="23" t="b">
        <f>if(countif(Status!C:C,A409)=1,TRUE, FALSE)</f>
        <v>1</v>
      </c>
      <c r="G409" s="1">
        <f t="shared" si="2"/>
        <v>0</v>
      </c>
      <c r="H409" s="1">
        <f>'3.1.raw'!Z576</f>
        <v>0</v>
      </c>
      <c r="J409" s="1" t="str">
        <f>'3.1.raw'!AK576</f>
        <v>Sample with MO1132, Red Colony Count: Undiluted volume tested 100 ml - 00</v>
      </c>
    </row>
    <row r="410">
      <c r="A410" s="23" t="str">
        <f t="shared" si="7"/>
        <v>FB1198</v>
      </c>
      <c r="B410" s="23" t="str">
        <f>'3.1.raw'!L554</f>
        <v>FB1198</v>
      </c>
      <c r="C410" s="24">
        <f>datevalue(left('3.1.raw'!O554,10))</f>
        <v>43809</v>
      </c>
      <c r="D410" s="23">
        <f>'3.1.raw'!I554</f>
        <v>99</v>
      </c>
      <c r="E410" s="1">
        <v>3.09999999999999</v>
      </c>
      <c r="F410" s="23" t="b">
        <f>if(countif(Status!C:C,A410)=1,TRUE, FALSE)</f>
        <v>1</v>
      </c>
      <c r="G410" s="1">
        <f t="shared" si="2"/>
        <v>0</v>
      </c>
      <c r="H410" s="1">
        <f>'3.1.raw'!Z554</f>
        <v>0</v>
      </c>
      <c r="J410" s="1" t="str">
        <f>'3.1.raw'!AK554</f>
        <v>Sample with MO1131, Red Colony Count: Undiluted volume tested 100 ml - 00</v>
      </c>
    </row>
    <row r="411">
      <c r="A411" s="23" t="str">
        <f t="shared" si="7"/>
        <v>FB1197</v>
      </c>
      <c r="B411" s="23" t="str">
        <f>'3.1.raw'!L553</f>
        <v>FB1197</v>
      </c>
      <c r="C411" s="24">
        <f>datevalue(left('3.1.raw'!O553,10))</f>
        <v>43809</v>
      </c>
      <c r="D411" s="23">
        <f>'3.1.raw'!I553</f>
        <v>99</v>
      </c>
      <c r="E411" s="1">
        <v>3.09999999999999</v>
      </c>
      <c r="F411" s="23" t="b">
        <f>if(countif(Status!C:C,A411)=1,TRUE, FALSE)</f>
        <v>1</v>
      </c>
      <c r="G411" s="1">
        <f t="shared" si="2"/>
        <v>0</v>
      </c>
      <c r="H411" s="1">
        <f>'3.1.raw'!Z553</f>
        <v>0</v>
      </c>
      <c r="J411" s="1" t="str">
        <f>'3.1.raw'!AK553</f>
        <v>Sample with MO1130, Red Colony Count: Undiluted volume tested 100 ml - 00</v>
      </c>
    </row>
    <row r="412">
      <c r="A412" s="23" t="str">
        <f t="shared" si="7"/>
        <v>FB1196</v>
      </c>
      <c r="B412" s="23" t="str">
        <f>'3.1.raw'!L562</f>
        <v>FB1196</v>
      </c>
      <c r="C412" s="24">
        <f>datevalue(left('3.1.raw'!O562,10))</f>
        <v>43809</v>
      </c>
      <c r="D412" s="23">
        <f>'3.1.raw'!I562</f>
        <v>99</v>
      </c>
      <c r="E412" s="1">
        <v>3.09999999999999</v>
      </c>
      <c r="F412" s="23" t="b">
        <f>if(countif(Status!C:C,A412)=1,TRUE, FALSE)</f>
        <v>1</v>
      </c>
      <c r="G412" s="1">
        <f t="shared" si="2"/>
        <v>0</v>
      </c>
      <c r="H412" s="1">
        <f>'3.1.raw'!Z562</f>
        <v>0</v>
      </c>
      <c r="J412" s="1" t="str">
        <f>'3.1.raw'!AK562</f>
        <v>Sample with PLc1125, Red Colony Count: Undiluted volume tested 100 ml - 00</v>
      </c>
    </row>
    <row r="413">
      <c r="A413" s="23" t="str">
        <f t="shared" si="7"/>
        <v>FB1195</v>
      </c>
      <c r="B413" s="23" t="str">
        <f>'3.1.raw'!L560</f>
        <v>FB1195</v>
      </c>
      <c r="C413" s="24">
        <f>datevalue(left('3.1.raw'!O560,10))</f>
        <v>43809</v>
      </c>
      <c r="D413" s="23">
        <f>'3.1.raw'!I560</f>
        <v>99</v>
      </c>
      <c r="E413" s="1">
        <v>3.09999999999999</v>
      </c>
      <c r="F413" s="23" t="b">
        <f>if(countif(Status!C:C,A413)=1,TRUE, FALSE)</f>
        <v>1</v>
      </c>
      <c r="G413" s="1">
        <f t="shared" si="2"/>
        <v>0</v>
      </c>
      <c r="H413" s="1">
        <f>'3.1.raw'!Z560</f>
        <v>0</v>
      </c>
      <c r="J413" s="1" t="str">
        <f>'3.1.raw'!AK560</f>
        <v>Sample with PLc1124, Red Colony Count: Undiluted volume tested 100 ml - 00</v>
      </c>
    </row>
    <row r="414">
      <c r="A414" s="23" t="str">
        <f t="shared" si="7"/>
        <v>FB1194</v>
      </c>
      <c r="B414" s="23" t="str">
        <f>'3.1.raw'!L558</f>
        <v>FB1194</v>
      </c>
      <c r="C414" s="24">
        <f>datevalue(left('3.1.raw'!O558,10))</f>
        <v>43809</v>
      </c>
      <c r="D414" s="23">
        <f>'3.1.raw'!I558</f>
        <v>99</v>
      </c>
      <c r="E414" s="1">
        <v>3.09999999999999</v>
      </c>
      <c r="F414" s="23" t="b">
        <f>if(countif(Status!C:C,A414)=1,TRUE, FALSE)</f>
        <v>1</v>
      </c>
      <c r="G414" s="1">
        <f t="shared" si="2"/>
        <v>0</v>
      </c>
      <c r="H414" s="1">
        <f>'3.1.raw'!Z558</f>
        <v>0</v>
      </c>
      <c r="J414" s="1" t="str">
        <f>'3.1.raw'!AK558</f>
        <v>Sample with PLc1123, Red Colony Count: Undiluted volume tested 100 ml - 00</v>
      </c>
    </row>
    <row r="415">
      <c r="A415" s="23" t="str">
        <f t="shared" si="7"/>
        <v>FB1193</v>
      </c>
      <c r="B415" s="23" t="str">
        <f>'3.1.raw'!L556</f>
        <v>FB1193</v>
      </c>
      <c r="C415" s="24">
        <f>datevalue(left('3.1.raw'!O556,10))</f>
        <v>43809</v>
      </c>
      <c r="D415" s="23">
        <f>'3.1.raw'!I556</f>
        <v>99</v>
      </c>
      <c r="E415" s="1">
        <v>3.09999999999999</v>
      </c>
      <c r="F415" s="23" t="b">
        <f>if(countif(Status!C:C,A415)=1,TRUE, FALSE)</f>
        <v>1</v>
      </c>
      <c r="G415" s="1">
        <f t="shared" si="2"/>
        <v>0</v>
      </c>
      <c r="H415" s="1">
        <f>'3.1.raw'!Z556</f>
        <v>0</v>
      </c>
      <c r="J415" s="1" t="str">
        <f>'3.1.raw'!AK556</f>
        <v>Sample with PLc1122, Red Colony Count: Undiluted volume tested 100 ml - 00</v>
      </c>
    </row>
    <row r="416">
      <c r="A416" s="23" t="str">
        <f t="shared" si="7"/>
        <v>FB1192</v>
      </c>
      <c r="B416" s="23" t="str">
        <f>'3.1.raw'!L551</f>
        <v>FB1192</v>
      </c>
      <c r="C416" s="24">
        <f>datevalue(left('3.1.raw'!O551,10))</f>
        <v>43808</v>
      </c>
      <c r="D416" s="23">
        <f>'3.1.raw'!I551</f>
        <v>99</v>
      </c>
      <c r="E416" s="1">
        <v>3.09999999999999</v>
      </c>
      <c r="F416" s="23" t="b">
        <f>if(countif(Status!C:C,A416)=1,TRUE, FALSE)</f>
        <v>1</v>
      </c>
      <c r="G416" s="1">
        <f t="shared" si="2"/>
        <v>0</v>
      </c>
      <c r="H416" s="1">
        <f>'3.1.raw'!Z551</f>
        <v>0</v>
      </c>
      <c r="J416" s="1" t="str">
        <f>'3.1.raw'!AK551</f>
        <v>Sample with PLc1121, Red Colony Count: Undiluted volume tested 100 ml - 00</v>
      </c>
    </row>
    <row r="417">
      <c r="A417" s="23" t="str">
        <f t="shared" si="7"/>
        <v>FB1191</v>
      </c>
      <c r="B417" s="23" t="str">
        <f>'3.1.raw'!L549</f>
        <v>FB1191</v>
      </c>
      <c r="C417" s="24">
        <f>datevalue(left('3.1.raw'!O549,10))</f>
        <v>43808</v>
      </c>
      <c r="D417" s="23">
        <f>'3.1.raw'!I549</f>
        <v>99</v>
      </c>
      <c r="E417" s="1">
        <v>3.09999999999999</v>
      </c>
      <c r="F417" s="23" t="b">
        <f>if(countif(Status!C:C,A417)=1,TRUE, FALSE)</f>
        <v>1</v>
      </c>
      <c r="G417" s="1">
        <f t="shared" si="2"/>
        <v>0</v>
      </c>
      <c r="H417" s="1">
        <f>'3.1.raw'!Z549</f>
        <v>0</v>
      </c>
      <c r="J417" s="1" t="str">
        <f>'3.1.raw'!AK549</f>
        <v>Sample with PLc1120, Red Colony Count: Undiluted volume tested 100 ml - 00</v>
      </c>
    </row>
    <row r="418">
      <c r="A418" s="23" t="str">
        <f t="shared" si="7"/>
        <v>FB1190</v>
      </c>
      <c r="B418" s="23" t="str">
        <f>'3.1.raw'!L547</f>
        <v>FB1190</v>
      </c>
      <c r="C418" s="24">
        <f>datevalue(left('3.1.raw'!O547,10))</f>
        <v>43808</v>
      </c>
      <c r="D418" s="23">
        <f>'3.1.raw'!I547</f>
        <v>99</v>
      </c>
      <c r="E418" s="1">
        <v>3.09999999999999</v>
      </c>
      <c r="F418" s="23" t="b">
        <f>if(countif(Status!C:C,A418)=1,TRUE, FALSE)</f>
        <v>1</v>
      </c>
      <c r="G418" s="1">
        <f t="shared" si="2"/>
        <v>0</v>
      </c>
      <c r="H418" s="1">
        <f>'3.1.raw'!Z547</f>
        <v>0</v>
      </c>
      <c r="J418" s="1" t="str">
        <f>'3.1.raw'!AK547</f>
        <v>Sample with PLc1119, Red Colony Count: Undiluted volume tested 100 ml - 00</v>
      </c>
    </row>
    <row r="419">
      <c r="A419" s="23" t="str">
        <f t="shared" si="7"/>
        <v>FB1189</v>
      </c>
      <c r="B419" s="23" t="str">
        <f>'3.1.raw'!L545</f>
        <v>FB1189</v>
      </c>
      <c r="C419" s="24">
        <f>datevalue(left('3.1.raw'!O545,10))</f>
        <v>43808</v>
      </c>
      <c r="D419" s="23">
        <f>'3.1.raw'!I545</f>
        <v>99</v>
      </c>
      <c r="E419" s="1">
        <v>3.09999999999999</v>
      </c>
      <c r="F419" s="23" t="b">
        <f>if(countif(Status!C:C,A419)=1,TRUE, FALSE)</f>
        <v>1</v>
      </c>
      <c r="G419" s="1">
        <f t="shared" si="2"/>
        <v>0</v>
      </c>
      <c r="H419" s="1">
        <f>'3.1.raw'!Z545</f>
        <v>0</v>
      </c>
      <c r="J419" s="1" t="str">
        <f>'3.1.raw'!AK545</f>
        <v>Sample with PLc1118, Red Colony Count: Undiluted volume tested 100 ml - 00</v>
      </c>
    </row>
    <row r="420">
      <c r="A420" s="23" t="str">
        <f t="shared" si="7"/>
        <v>FB1188</v>
      </c>
      <c r="B420" s="23" t="str">
        <f>'3.1.raw'!L542</f>
        <v>FB1188</v>
      </c>
      <c r="C420" s="24">
        <f>datevalue(left('3.1.raw'!O542,10))</f>
        <v>43805</v>
      </c>
      <c r="D420" s="23">
        <f>'3.1.raw'!I542</f>
        <v>99</v>
      </c>
      <c r="E420" s="1">
        <v>3.09999999999999</v>
      </c>
      <c r="F420" s="23" t="b">
        <f>if(countif(Status!C:C,A420)=1,TRUE, FALSE)</f>
        <v>1</v>
      </c>
      <c r="G420" s="1">
        <f t="shared" si="2"/>
        <v>0</v>
      </c>
      <c r="H420" s="1">
        <f>'3.1.raw'!Z542</f>
        <v>0</v>
      </c>
      <c r="J420" s="1" t="str">
        <f>'3.1.raw'!AK542</f>
        <v>Sample with PLc1117, Red Colony Count: Undiluted volume tested 100 ml - 00</v>
      </c>
    </row>
    <row r="421">
      <c r="A421" s="23" t="str">
        <f t="shared" si="7"/>
        <v>FB1187</v>
      </c>
      <c r="B421" s="23" t="str">
        <f>'3.1.raw'!L538</f>
        <v>FB1187</v>
      </c>
      <c r="C421" s="24">
        <f>datevalue(left('3.1.raw'!O538,10))</f>
        <v>43805</v>
      </c>
      <c r="D421" s="23">
        <f>'3.1.raw'!I538</f>
        <v>99</v>
      </c>
      <c r="E421" s="1">
        <v>3.09999999999999</v>
      </c>
      <c r="F421" s="23" t="b">
        <f>if(countif(Status!C:C,A421)=1,TRUE, FALSE)</f>
        <v>1</v>
      </c>
      <c r="G421" s="1">
        <f t="shared" si="2"/>
        <v>0</v>
      </c>
      <c r="H421" s="1">
        <f>'3.1.raw'!Z538</f>
        <v>0</v>
      </c>
      <c r="J421" s="1" t="str">
        <f>'3.1.raw'!AK538</f>
        <v>Sample with PLc1116, Red Colony Count: Undiluted volume tested 100 ml - 00</v>
      </c>
    </row>
    <row r="422">
      <c r="A422" s="23" t="str">
        <f t="shared" si="7"/>
        <v>FB1186</v>
      </c>
      <c r="B422" s="23" t="str">
        <f>'3.1.raw'!L536</f>
        <v>FB1186</v>
      </c>
      <c r="C422" s="24">
        <f>datevalue(left('3.1.raw'!O536,10))</f>
        <v>43805</v>
      </c>
      <c r="D422" s="23">
        <f>'3.1.raw'!I536</f>
        <v>99</v>
      </c>
      <c r="E422" s="1">
        <v>3.09999999999999</v>
      </c>
      <c r="F422" s="23" t="b">
        <f>if(countif(Status!C:C,A422)=1,TRUE, FALSE)</f>
        <v>1</v>
      </c>
      <c r="G422" s="1">
        <f t="shared" si="2"/>
        <v>0</v>
      </c>
      <c r="H422" s="1">
        <f>'3.1.raw'!Z536</f>
        <v>0</v>
      </c>
      <c r="J422" s="1" t="str">
        <f>'3.1.raw'!AK536</f>
        <v>Sample with PLc1115, Red Colony Count: Undiluted volume tested 100 ml - 00</v>
      </c>
    </row>
    <row r="423">
      <c r="A423" s="23" t="str">
        <f t="shared" si="7"/>
        <v>FB1185</v>
      </c>
      <c r="B423" s="23" t="str">
        <f>'3.1.raw'!L540</f>
        <v>FB1185</v>
      </c>
      <c r="C423" s="24">
        <f>datevalue(left('3.1.raw'!O540,10))</f>
        <v>43805</v>
      </c>
      <c r="D423" s="23">
        <f>'3.1.raw'!I540</f>
        <v>99</v>
      </c>
      <c r="E423" s="1">
        <v>3.09999999999999</v>
      </c>
      <c r="F423" s="23" t="b">
        <f>if(countif(Status!C:C,A423)=1,TRUE, FALSE)</f>
        <v>1</v>
      </c>
      <c r="G423" s="1">
        <f t="shared" si="2"/>
        <v>0</v>
      </c>
      <c r="H423" s="1">
        <f>'3.1.raw'!Z540</f>
        <v>0</v>
      </c>
      <c r="J423" s="1" t="str">
        <f>'3.1.raw'!AK540</f>
        <v>Sample with PLc1114, Red Colony Count: Undiluted volume tested 100 ml - 00</v>
      </c>
    </row>
    <row r="424">
      <c r="A424" s="23" t="str">
        <f t="shared" si="7"/>
        <v>FB1184</v>
      </c>
      <c r="B424" s="23" t="str">
        <f>'3.1.raw'!L533</f>
        <v>FB1184</v>
      </c>
      <c r="C424" s="24">
        <f>datevalue(left('3.1.raw'!O533,10))</f>
        <v>43804</v>
      </c>
      <c r="D424" s="23">
        <f>'3.1.raw'!I533</f>
        <v>99</v>
      </c>
      <c r="E424" s="1">
        <v>3.09999999999999</v>
      </c>
      <c r="F424" s="23" t="b">
        <f>if(countif(Status!C:C,A424)=1,TRUE, FALSE)</f>
        <v>1</v>
      </c>
      <c r="G424" s="1">
        <f t="shared" si="2"/>
        <v>0</v>
      </c>
      <c r="H424" s="1">
        <f>'3.1.raw'!Z533</f>
        <v>0</v>
      </c>
      <c r="J424" s="1" t="str">
        <f>'3.1.raw'!AK533</f>
        <v>Sample with PLc1113, Red Colony Count: Undiluted volume tested 100 ml - 00</v>
      </c>
    </row>
    <row r="425">
      <c r="A425" s="23" t="str">
        <f t="shared" si="7"/>
        <v>FB1183</v>
      </c>
      <c r="B425" s="23" t="str">
        <f>'3.1.raw'!L531</f>
        <v>FB1183</v>
      </c>
      <c r="C425" s="24">
        <f>datevalue(left('3.1.raw'!O531,10))</f>
        <v>43804</v>
      </c>
      <c r="D425" s="23">
        <f>'3.1.raw'!I531</f>
        <v>99</v>
      </c>
      <c r="E425" s="1">
        <v>3.09999999999999</v>
      </c>
      <c r="F425" s="23" t="b">
        <f>if(countif(Status!C:C,A425)=1,TRUE, FALSE)</f>
        <v>1</v>
      </c>
      <c r="G425" s="1">
        <f t="shared" si="2"/>
        <v>0</v>
      </c>
      <c r="H425" s="1">
        <f>'3.1.raw'!Z531</f>
        <v>0</v>
      </c>
      <c r="J425" s="1" t="str">
        <f>'3.1.raw'!AK531</f>
        <v>Sample with PLc1112, Red Colony Count: Undiluted volume tested 100 ml - 00</v>
      </c>
    </row>
    <row r="426">
      <c r="A426" s="23" t="str">
        <f t="shared" si="7"/>
        <v>FB1182</v>
      </c>
      <c r="B426" s="23" t="str">
        <f>'3.1.raw'!L529</f>
        <v>FB1182</v>
      </c>
      <c r="C426" s="24">
        <f>datevalue(left('3.1.raw'!O529,10))</f>
        <v>43804</v>
      </c>
      <c r="D426" s="23">
        <f>'3.1.raw'!I529</f>
        <v>99</v>
      </c>
      <c r="E426" s="1">
        <v>3.09999999999999</v>
      </c>
      <c r="F426" s="23" t="b">
        <f>if(countif(Status!C:C,A426)=1,TRUE, FALSE)</f>
        <v>1</v>
      </c>
      <c r="G426" s="1">
        <f t="shared" si="2"/>
        <v>0</v>
      </c>
      <c r="H426" s="1">
        <f>'3.1.raw'!Z529</f>
        <v>0</v>
      </c>
      <c r="J426" s="1" t="str">
        <f>'3.1.raw'!AK529</f>
        <v>Sample with PLc1111, Red Colony Count: Undiluted volume tested 100 ml - 00</v>
      </c>
    </row>
    <row r="427">
      <c r="A427" s="23" t="str">
        <f t="shared" si="7"/>
        <v>FB1181</v>
      </c>
      <c r="B427" s="23" t="str">
        <f>'3.1.raw'!L527</f>
        <v>FB1181</v>
      </c>
      <c r="C427" s="24">
        <f>datevalue(left('3.1.raw'!O527,10))</f>
        <v>43804</v>
      </c>
      <c r="D427" s="23">
        <f>'3.1.raw'!I527</f>
        <v>99</v>
      </c>
      <c r="E427" s="1">
        <v>3.09999999999999</v>
      </c>
      <c r="F427" s="23" t="b">
        <f>if(countif(Status!C:C,A427)=1,TRUE, FALSE)</f>
        <v>1</v>
      </c>
      <c r="G427" s="1">
        <f t="shared" si="2"/>
        <v>0</v>
      </c>
      <c r="H427" s="1">
        <f>'3.1.raw'!Z527</f>
        <v>0</v>
      </c>
      <c r="J427" s="1" t="str">
        <f>'3.1.raw'!AK527</f>
        <v>Sample with PLc1110, Red Colony Count: Undiluted volume tested 100 ml - 00</v>
      </c>
    </row>
    <row r="428">
      <c r="A428" s="23" t="str">
        <f t="shared" si="7"/>
        <v>FB1180</v>
      </c>
      <c r="B428" s="23" t="str">
        <f>'3.1.raw'!L525</f>
        <v>FB1180</v>
      </c>
      <c r="C428" s="24">
        <f>datevalue(left('3.1.raw'!O525,10))</f>
        <v>43804</v>
      </c>
      <c r="D428" s="23">
        <f>'3.1.raw'!I525</f>
        <v>99</v>
      </c>
      <c r="E428" s="1">
        <v>3.09999999999999</v>
      </c>
      <c r="F428" s="23" t="b">
        <f>if(countif(Status!C:C,A428)=1,TRUE, FALSE)</f>
        <v>1</v>
      </c>
      <c r="G428" s="1">
        <f t="shared" si="2"/>
        <v>0</v>
      </c>
      <c r="H428" s="1">
        <f>'3.1.raw'!Z525</f>
        <v>0</v>
      </c>
      <c r="J428" s="1" t="str">
        <f>'3.1.raw'!AK525</f>
        <v>Sample with MO1129, Red Colony Count: Undiluted volume tested 100 ml - 00</v>
      </c>
    </row>
    <row r="429">
      <c r="A429" s="23" t="str">
        <f t="shared" si="7"/>
        <v>FB1179</v>
      </c>
      <c r="B429" s="23" t="str">
        <f>'3.1.raw'!L524</f>
        <v>FB1179</v>
      </c>
      <c r="C429" s="24">
        <f>datevalue(left('3.1.raw'!O524,10))</f>
        <v>43804</v>
      </c>
      <c r="D429" s="23">
        <f>'3.1.raw'!I524</f>
        <v>99</v>
      </c>
      <c r="E429" s="1">
        <v>3.09999999999999</v>
      </c>
      <c r="F429" s="23" t="b">
        <f>if(countif(Status!C:C,A429)=1,TRUE, FALSE)</f>
        <v>1</v>
      </c>
      <c r="G429" s="1">
        <f t="shared" si="2"/>
        <v>0</v>
      </c>
      <c r="H429" s="1">
        <f>'3.1.raw'!Z524</f>
        <v>0</v>
      </c>
      <c r="J429" s="1" t="str">
        <f>'3.1.raw'!AK524</f>
        <v>Sample with MO1128, Red Colony Count: Undiluted volume tested 100 ml - 00</v>
      </c>
    </row>
    <row r="430">
      <c r="A430" s="23" t="str">
        <f t="shared" si="7"/>
        <v>FB1178</v>
      </c>
      <c r="B430" s="23" t="str">
        <f>'3.1.raw'!L520</f>
        <v>FB1178</v>
      </c>
      <c r="C430" s="24">
        <f>datevalue(left('3.1.raw'!O520,10))</f>
        <v>43802</v>
      </c>
      <c r="D430" s="23">
        <f>'3.1.raw'!I520</f>
        <v>99</v>
      </c>
      <c r="E430" s="1">
        <v>3.09999999999999</v>
      </c>
      <c r="F430" s="23" t="b">
        <f>if(countif(Status!C:C,A430)=1,TRUE, FALSE)</f>
        <v>1</v>
      </c>
      <c r="G430" s="1">
        <f t="shared" si="2"/>
        <v>0</v>
      </c>
      <c r="H430" s="1">
        <f>'3.1.raw'!Z520</f>
        <v>0</v>
      </c>
      <c r="J430" s="1" t="str">
        <f>'3.1.raw'!AK520</f>
        <v>Sample with PLc1109, Red Colony Count: Undiluted volume tested 100 ml - 00</v>
      </c>
    </row>
    <row r="431">
      <c r="A431" s="23" t="str">
        <f t="shared" si="7"/>
        <v>FB1177</v>
      </c>
      <c r="B431" s="23" t="str">
        <f>'3.1.raw'!L518</f>
        <v>FB1177</v>
      </c>
      <c r="C431" s="24">
        <f>datevalue(left('3.1.raw'!O518,10))</f>
        <v>43802</v>
      </c>
      <c r="D431" s="23">
        <f>'3.1.raw'!I518</f>
        <v>99</v>
      </c>
      <c r="E431" s="1">
        <v>3.09999999999999</v>
      </c>
      <c r="F431" s="23" t="b">
        <f>if(countif(Status!C:C,A431)=1,TRUE, FALSE)</f>
        <v>1</v>
      </c>
      <c r="G431" s="1">
        <f t="shared" si="2"/>
        <v>0</v>
      </c>
      <c r="H431" s="1">
        <f>'3.1.raw'!Z518</f>
        <v>0</v>
      </c>
      <c r="J431" s="1" t="str">
        <f>'3.1.raw'!AK518</f>
        <v>Sample with PLc1108, Red Colony Count: Undiluted volume tested 100 ml - 00</v>
      </c>
    </row>
    <row r="432">
      <c r="A432" s="23" t="str">
        <f t="shared" si="7"/>
        <v>FB1176</v>
      </c>
      <c r="B432" s="23" t="str">
        <f>'3.1.raw'!L516</f>
        <v>FB1176</v>
      </c>
      <c r="C432" s="24">
        <f>datevalue(left('3.1.raw'!O516,10))</f>
        <v>43802</v>
      </c>
      <c r="D432" s="23">
        <f>'3.1.raw'!I516</f>
        <v>99</v>
      </c>
      <c r="E432" s="1">
        <v>3.09999999999999</v>
      </c>
      <c r="F432" s="23" t="b">
        <f>if(countif(Status!C:C,A432)=1,TRUE, FALSE)</f>
        <v>1</v>
      </c>
      <c r="G432" s="1">
        <f t="shared" si="2"/>
        <v>0</v>
      </c>
      <c r="H432" s="1">
        <f>'3.1.raw'!Z516</f>
        <v>0</v>
      </c>
      <c r="J432" s="1" t="str">
        <f>'3.1.raw'!AK516</f>
        <v>Sample with PLc1107, Red Colony Count: Undiluted volume tested 100 ml - 00</v>
      </c>
    </row>
    <row r="433">
      <c r="A433" s="23" t="str">
        <f t="shared" si="7"/>
        <v>FB1175</v>
      </c>
      <c r="B433" s="23" t="str">
        <f>'3.1.raw'!L514</f>
        <v>FB1175</v>
      </c>
      <c r="C433" s="24">
        <f>datevalue(left('3.1.raw'!O514,10))</f>
        <v>43802</v>
      </c>
      <c r="D433" s="23">
        <f>'3.1.raw'!I514</f>
        <v>99</v>
      </c>
      <c r="E433" s="1">
        <v>3.09999999999999</v>
      </c>
      <c r="F433" s="23" t="b">
        <f>if(countif(Status!C:C,A433)=1,TRUE, FALSE)</f>
        <v>1</v>
      </c>
      <c r="G433" s="1">
        <f t="shared" si="2"/>
        <v>0</v>
      </c>
      <c r="H433" s="1">
        <f>'3.1.raw'!Z514</f>
        <v>0</v>
      </c>
      <c r="J433" s="1" t="str">
        <f>'3.1.raw'!AK514</f>
        <v>Sample with MO1127, Red Colony Count: Undiluted volume tested 100 ml - 00</v>
      </c>
    </row>
    <row r="434">
      <c r="A434" s="23" t="str">
        <f t="shared" si="7"/>
        <v>FB1174</v>
      </c>
      <c r="B434" s="23" t="str">
        <f>'3.1.raw'!L513</f>
        <v>FB1174</v>
      </c>
      <c r="C434" s="24">
        <f>datevalue(left('3.1.raw'!O513,10))</f>
        <v>43802</v>
      </c>
      <c r="D434" s="23">
        <f>'3.1.raw'!I513</f>
        <v>99</v>
      </c>
      <c r="E434" s="1">
        <v>3.09999999999999</v>
      </c>
      <c r="F434" s="23" t="b">
        <f>if(countif(Status!C:C,A434)=1,TRUE, FALSE)</f>
        <v>1</v>
      </c>
      <c r="G434" s="1">
        <f t="shared" si="2"/>
        <v>0</v>
      </c>
      <c r="H434" s="1">
        <f>'3.1.raw'!Z513</f>
        <v>0</v>
      </c>
      <c r="J434" s="1" t="str">
        <f>'3.1.raw'!AK513</f>
        <v>Sample with MO1126, Red Colony Count: Undiluted volume tested 100 ml - 00</v>
      </c>
    </row>
    <row r="435">
      <c r="A435" s="23" t="str">
        <f t="shared" si="7"/>
        <v>FB1173</v>
      </c>
      <c r="B435" s="23" t="str">
        <f>'3.1.raw'!L511</f>
        <v>FB1173</v>
      </c>
      <c r="C435" s="24">
        <f>datevalue(left('3.1.raw'!O511,10))</f>
        <v>43801</v>
      </c>
      <c r="D435" s="23">
        <f>'3.1.raw'!I511</f>
        <v>99</v>
      </c>
      <c r="E435" s="1">
        <v>3.09999999999999</v>
      </c>
      <c r="F435" s="23" t="b">
        <f>if(countif(Status!C:C,A435)=1,TRUE, FALSE)</f>
        <v>1</v>
      </c>
      <c r="G435" s="1">
        <f t="shared" si="2"/>
        <v>0</v>
      </c>
      <c r="H435" s="1">
        <f>'3.1.raw'!Z511</f>
        <v>0</v>
      </c>
      <c r="J435" s="1" t="str">
        <f>'3.1.raw'!AK511</f>
        <v>Sample with PLc1106, Red Colony Count: Undiluted volume tested 100 ml - 00</v>
      </c>
    </row>
    <row r="436">
      <c r="A436" s="23" t="str">
        <f t="shared" si="7"/>
        <v>FB1172</v>
      </c>
      <c r="B436" s="23" t="str">
        <f>'3.1.raw'!L509</f>
        <v>FB1172</v>
      </c>
      <c r="C436" s="24">
        <f>datevalue(left('3.1.raw'!O509,10))</f>
        <v>43801</v>
      </c>
      <c r="D436" s="23">
        <f>'3.1.raw'!I509</f>
        <v>99</v>
      </c>
      <c r="E436" s="1">
        <v>3.09999999999999</v>
      </c>
      <c r="F436" s="23" t="b">
        <f>if(countif(Status!C:C,A436)=1,TRUE, FALSE)</f>
        <v>1</v>
      </c>
      <c r="G436" s="1">
        <f t="shared" si="2"/>
        <v>0</v>
      </c>
      <c r="H436" s="1">
        <f>'3.1.raw'!Z509</f>
        <v>0</v>
      </c>
      <c r="J436" s="1" t="str">
        <f>'3.1.raw'!AK509</f>
        <v>Sample with PLc1105, Red Colony Count: Undiluted volume tested 100 ml - 00</v>
      </c>
    </row>
    <row r="437">
      <c r="A437" s="23" t="str">
        <f t="shared" si="7"/>
        <v>FB1171</v>
      </c>
      <c r="B437" s="23" t="str">
        <f>'3.1.raw'!L506</f>
        <v>FB1171</v>
      </c>
      <c r="C437" s="24">
        <f>datevalue(left('3.1.raw'!O506,10))</f>
        <v>43798</v>
      </c>
      <c r="D437" s="23">
        <f>'3.1.raw'!I506</f>
        <v>99</v>
      </c>
      <c r="E437" s="1">
        <v>3.09999999999999</v>
      </c>
      <c r="F437" s="23" t="b">
        <f>if(countif(Status!C:C,A437)=1,TRUE, FALSE)</f>
        <v>1</v>
      </c>
      <c r="G437" s="1">
        <f t="shared" si="2"/>
        <v>0</v>
      </c>
      <c r="H437" s="1">
        <f>'3.1.raw'!Z506</f>
        <v>0</v>
      </c>
      <c r="J437" s="1" t="str">
        <f>'3.1.raw'!AK506</f>
        <v>Sample with PLc1104, Red Colony Count: Undiluted volume tested 100 ml - 00</v>
      </c>
    </row>
    <row r="438">
      <c r="A438" s="23" t="str">
        <f t="shared" si="7"/>
        <v>FB1170</v>
      </c>
      <c r="B438" s="23" t="str">
        <f>'3.1.raw'!L504</f>
        <v>FB1170</v>
      </c>
      <c r="C438" s="24">
        <f>datevalue(left('3.1.raw'!O504,10))</f>
        <v>43798</v>
      </c>
      <c r="D438" s="23">
        <f>'3.1.raw'!I504</f>
        <v>99</v>
      </c>
      <c r="E438" s="1">
        <v>3.09999999999999</v>
      </c>
      <c r="F438" s="23" t="b">
        <f>if(countif(Status!C:C,A438)=1,TRUE, FALSE)</f>
        <v>1</v>
      </c>
      <c r="G438" s="1">
        <f t="shared" si="2"/>
        <v>0</v>
      </c>
      <c r="H438" s="1">
        <f>'3.1.raw'!Z504</f>
        <v>0</v>
      </c>
      <c r="J438" s="1" t="str">
        <f>'3.1.raw'!AK504</f>
        <v>Sample with PLc1103, Red Colony Count: Undiluted volume tested 100 ml - 00</v>
      </c>
    </row>
    <row r="439">
      <c r="A439" s="23" t="str">
        <f t="shared" si="7"/>
        <v>FB1169</v>
      </c>
      <c r="B439" s="23" t="str">
        <f>'3.1.raw'!L502</f>
        <v>FB1169</v>
      </c>
      <c r="C439" s="24">
        <f>datevalue(left('3.1.raw'!O502,10))</f>
        <v>43798</v>
      </c>
      <c r="D439" s="23">
        <f>'3.1.raw'!I502</f>
        <v>99</v>
      </c>
      <c r="E439" s="1">
        <v>3.09999999999999</v>
      </c>
      <c r="F439" s="23" t="b">
        <f>if(countif(Status!C:C,A439)=1,TRUE, FALSE)</f>
        <v>1</v>
      </c>
      <c r="G439" s="1">
        <f t="shared" si="2"/>
        <v>0</v>
      </c>
      <c r="H439" s="1">
        <f>'3.1.raw'!Z502</f>
        <v>0</v>
      </c>
      <c r="J439" s="1" t="str">
        <f>'3.1.raw'!AK502</f>
        <v>Sample with PLc1102, Red Colony Count: Undiluted volume tested 100 ml - 00</v>
      </c>
    </row>
    <row r="440">
      <c r="A440" s="23" t="str">
        <f t="shared" si="7"/>
        <v>FB1168</v>
      </c>
      <c r="B440" s="23" t="str">
        <f>'3.1.raw'!L499</f>
        <v>FB1168</v>
      </c>
      <c r="C440" s="24">
        <f>datevalue(left('3.1.raw'!O499,10))</f>
        <v>43797</v>
      </c>
      <c r="D440" s="23">
        <f>'3.1.raw'!I499</f>
        <v>99</v>
      </c>
      <c r="E440" s="1">
        <v>3.09999999999999</v>
      </c>
      <c r="F440" s="23" t="b">
        <f>if(countif(Status!C:C,A440)=1,TRUE, FALSE)</f>
        <v>1</v>
      </c>
      <c r="G440" s="1">
        <f t="shared" si="2"/>
        <v>0</v>
      </c>
      <c r="H440" s="1">
        <f>'3.1.raw'!Z499</f>
        <v>0</v>
      </c>
      <c r="J440" s="1" t="str">
        <f>'3.1.raw'!AK499</f>
        <v>Sample with MO1125, Red Colony Count: Undiluted volume tested 100 ml - 00</v>
      </c>
    </row>
    <row r="441">
      <c r="A441" s="23" t="str">
        <f t="shared" si="7"/>
        <v>FB1167</v>
      </c>
      <c r="B441" s="23" t="str">
        <f>'3.1.raw'!L498</f>
        <v>FB1167</v>
      </c>
      <c r="C441" s="24">
        <f>datevalue(left('3.1.raw'!O498,10))</f>
        <v>43797</v>
      </c>
      <c r="D441" s="23">
        <f>'3.1.raw'!I498</f>
        <v>99</v>
      </c>
      <c r="E441" s="1">
        <v>3.09999999999999</v>
      </c>
      <c r="F441" s="23" t="b">
        <f>if(countif(Status!C:C,A441)=1,TRUE, FALSE)</f>
        <v>1</v>
      </c>
      <c r="G441" s="1">
        <f t="shared" si="2"/>
        <v>0</v>
      </c>
      <c r="H441" s="1">
        <f>'3.1.raw'!Z498</f>
        <v>0</v>
      </c>
      <c r="J441" s="1" t="str">
        <f>'3.1.raw'!AK498</f>
        <v>Sample with MO1124, Red Colony Count: Undiluted volume tested 100 ml - 00</v>
      </c>
    </row>
    <row r="442">
      <c r="A442" s="23" t="str">
        <f t="shared" si="7"/>
        <v>FB1166</v>
      </c>
      <c r="B442" s="23" t="str">
        <f>'3.1.raw'!L497</f>
        <v>FB1166</v>
      </c>
      <c r="C442" s="24">
        <f>datevalue(left('3.1.raw'!O497,10))</f>
        <v>43797</v>
      </c>
      <c r="D442" s="23">
        <f>'3.1.raw'!I497</f>
        <v>99</v>
      </c>
      <c r="E442" s="1">
        <v>3.09999999999999</v>
      </c>
      <c r="F442" s="23" t="b">
        <f>if(countif(Status!C:C,A442)=1,TRUE, FALSE)</f>
        <v>1</v>
      </c>
      <c r="G442" s="1">
        <f t="shared" si="2"/>
        <v>0</v>
      </c>
      <c r="H442" s="1">
        <f>'3.1.raw'!Z497</f>
        <v>0</v>
      </c>
      <c r="J442" s="1" t="str">
        <f>'3.1.raw'!AK497</f>
        <v>Sample with PLc1101, Red Colony Count: Undiluted volume tested 100 ml - 00</v>
      </c>
    </row>
    <row r="443">
      <c r="A443" s="23" t="str">
        <f t="shared" si="7"/>
        <v>FB1165</v>
      </c>
      <c r="B443" s="23" t="str">
        <f>'3.1.raw'!L495</f>
        <v>FB1165</v>
      </c>
      <c r="C443" s="24">
        <f>datevalue(left('3.1.raw'!O495,10))</f>
        <v>43797</v>
      </c>
      <c r="D443" s="23">
        <f>'3.1.raw'!I495</f>
        <v>99</v>
      </c>
      <c r="E443" s="1">
        <v>3.09999999999999</v>
      </c>
      <c r="F443" s="23" t="b">
        <f>if(countif(Status!C:C,A443)=1,TRUE, FALSE)</f>
        <v>1</v>
      </c>
      <c r="G443" s="1">
        <f t="shared" si="2"/>
        <v>0</v>
      </c>
      <c r="H443" s="1">
        <f>'3.1.raw'!Z495</f>
        <v>0</v>
      </c>
      <c r="J443" s="1" t="str">
        <f>'3.1.raw'!AK495</f>
        <v>Sample with PLc1100, Red Colony Count: Undiluted volume tested 100 ml - 00</v>
      </c>
    </row>
    <row r="444">
      <c r="A444" s="23" t="str">
        <f t="shared" si="7"/>
        <v>FB1164</v>
      </c>
      <c r="B444" s="23" t="str">
        <f>'3.1.raw'!L491</f>
        <v>FB1164</v>
      </c>
      <c r="C444" s="24">
        <f>datevalue(left('3.1.raw'!O491,10))</f>
        <v>43796</v>
      </c>
      <c r="D444" s="23">
        <f>'3.1.raw'!I491</f>
        <v>99</v>
      </c>
      <c r="E444" s="1">
        <v>3.09999999999999</v>
      </c>
      <c r="F444" s="23" t="b">
        <f>if(countif(Status!C:C,A444)=1,TRUE, FALSE)</f>
        <v>1</v>
      </c>
      <c r="G444" s="1">
        <f t="shared" si="2"/>
        <v>0</v>
      </c>
      <c r="H444" s="1">
        <f>'3.1.raw'!Z491</f>
        <v>0</v>
      </c>
      <c r="J444" s="1" t="str">
        <f>'3.1.raw'!AK491</f>
        <v>Sample with FPa1006, FPb1006, FPc1006, FPd1006, FPe1006, Red Colony Count: Undiluted volume tested 100 ml - 00</v>
      </c>
    </row>
    <row r="445">
      <c r="A445" s="23" t="str">
        <f t="shared" si="7"/>
        <v>FB1163</v>
      </c>
      <c r="B445" s="23" t="str">
        <f>'3.1.raw'!L478</f>
        <v>FB1163</v>
      </c>
      <c r="C445" s="24">
        <f>datevalue(left('3.1.raw'!O478,10))</f>
        <v>43795</v>
      </c>
      <c r="D445" s="23">
        <f>'3.1.raw'!I478</f>
        <v>99</v>
      </c>
      <c r="E445" s="1">
        <v>3.09999999999999</v>
      </c>
      <c r="F445" s="23" t="b">
        <f>if(countif(Status!C:C,A445)=1,TRUE, FALSE)</f>
        <v>1</v>
      </c>
      <c r="G445" s="1">
        <f t="shared" si="2"/>
        <v>0</v>
      </c>
      <c r="H445" s="1">
        <f>'3.1.raw'!Z478</f>
        <v>0</v>
      </c>
      <c r="J445" s="1" t="str">
        <f>'3.1.raw'!AK478</f>
        <v>Sample with MO1123, Red Colony Count: Undiluted volume tested 100 ml - 00</v>
      </c>
    </row>
    <row r="446">
      <c r="A446" s="23" t="str">
        <f t="shared" si="7"/>
        <v>FB1162</v>
      </c>
      <c r="B446" s="23" t="str">
        <f>'3.1.raw'!L477</f>
        <v>FB1162</v>
      </c>
      <c r="C446" s="24">
        <f>datevalue(left('3.1.raw'!O477,10))</f>
        <v>43795</v>
      </c>
      <c r="D446" s="23">
        <f>'3.1.raw'!I477</f>
        <v>99</v>
      </c>
      <c r="E446" s="1">
        <v>3.09999999999999</v>
      </c>
      <c r="F446" s="23" t="b">
        <f>if(countif(Status!C:C,A446)=1,TRUE, FALSE)</f>
        <v>1</v>
      </c>
      <c r="G446" s="1">
        <f t="shared" si="2"/>
        <v>0</v>
      </c>
      <c r="H446" s="1">
        <f>'3.1.raw'!Z477</f>
        <v>0</v>
      </c>
      <c r="J446" s="1" t="str">
        <f>'3.1.raw'!AK477</f>
        <v>Sample with MO1122, Red Colony Count: Undiluted volume tested 100 ml - 00</v>
      </c>
    </row>
    <row r="447">
      <c r="A447" s="23" t="str">
        <f t="shared" si="7"/>
        <v>FB1161</v>
      </c>
      <c r="B447" s="23" t="str">
        <f>'3.1.raw'!L484</f>
        <v>FB1161</v>
      </c>
      <c r="C447" s="24">
        <f>datevalue(left('3.1.raw'!O484,10))</f>
        <v>43795</v>
      </c>
      <c r="D447" s="23">
        <f>'3.1.raw'!I484</f>
        <v>99</v>
      </c>
      <c r="E447" s="1">
        <v>3.09999999999999</v>
      </c>
      <c r="F447" s="23" t="b">
        <f>if(countif(Status!C:C,A447)=1,TRUE, FALSE)</f>
        <v>1</v>
      </c>
      <c r="G447" s="1">
        <f t="shared" si="2"/>
        <v>0</v>
      </c>
      <c r="H447" s="1">
        <f>'3.1.raw'!Z484</f>
        <v>0</v>
      </c>
      <c r="J447" s="1" t="str">
        <f>'3.1.raw'!AK484</f>
        <v>Sample with PLc1056, Red Colony Count: Undiluted volume tested 100 ml - 00</v>
      </c>
    </row>
    <row r="448">
      <c r="A448" s="23" t="str">
        <f t="shared" si="7"/>
        <v>FB1160</v>
      </c>
      <c r="B448" s="23" t="str">
        <f>'3.1.raw'!L482</f>
        <v>FB1160</v>
      </c>
      <c r="C448" s="24">
        <f>datevalue(left('3.1.raw'!O482,10))</f>
        <v>43795</v>
      </c>
      <c r="D448" s="23">
        <f>'3.1.raw'!I482</f>
        <v>99</v>
      </c>
      <c r="E448" s="1">
        <v>3.09999999999999</v>
      </c>
      <c r="F448" s="23" t="b">
        <f>if(countif(Status!C:C,A448)=1,TRUE, FALSE)</f>
        <v>1</v>
      </c>
      <c r="G448" s="1">
        <f t="shared" si="2"/>
        <v>0</v>
      </c>
      <c r="H448" s="1">
        <f>'3.1.raw'!Z482</f>
        <v>0</v>
      </c>
      <c r="J448" s="1" t="str">
        <f>'3.1.raw'!AK482</f>
        <v>Sample with PLc1098, Red Colony Count: Undiluted volume tested 100 ml - 00</v>
      </c>
    </row>
    <row r="449">
      <c r="A449" s="23" t="str">
        <f t="shared" si="7"/>
        <v>FB1159</v>
      </c>
      <c r="B449" s="23" t="str">
        <f>'3.1.raw'!L480</f>
        <v>FB1159</v>
      </c>
      <c r="C449" s="24">
        <f>datevalue(left('3.1.raw'!O480,10))</f>
        <v>43795</v>
      </c>
      <c r="D449" s="23">
        <f>'3.1.raw'!I480</f>
        <v>99</v>
      </c>
      <c r="E449" s="1">
        <v>3.09999999999999</v>
      </c>
      <c r="F449" s="23" t="b">
        <f>if(countif(Status!C:C,A449)=1,TRUE, FALSE)</f>
        <v>1</v>
      </c>
      <c r="G449" s="1">
        <f t="shared" si="2"/>
        <v>0</v>
      </c>
      <c r="H449" s="1">
        <f>'3.1.raw'!Z480</f>
        <v>0</v>
      </c>
      <c r="J449" s="1" t="str">
        <f>'3.1.raw'!AK480</f>
        <v>Sample with PLc1097, Red Colony Count: Undiluted volume tested 100 ml - 00</v>
      </c>
    </row>
    <row r="450">
      <c r="A450" s="23" t="str">
        <f t="shared" si="7"/>
        <v>FB1158</v>
      </c>
      <c r="B450" s="23" t="str">
        <f>'3.1.raw'!L475</f>
        <v>FB1158</v>
      </c>
      <c r="C450" s="24">
        <f>datevalue(left('3.1.raw'!O475,10))</f>
        <v>43794</v>
      </c>
      <c r="D450" s="23">
        <f>'3.1.raw'!I475</f>
        <v>99</v>
      </c>
      <c r="E450" s="1">
        <v>3.09999999999999</v>
      </c>
      <c r="F450" s="23" t="b">
        <f>if(countif(Status!C:C,A450)=1,TRUE, FALSE)</f>
        <v>1</v>
      </c>
      <c r="G450" s="1">
        <f t="shared" si="2"/>
        <v>0</v>
      </c>
      <c r="H450" s="1">
        <f>'3.1.raw'!Z475</f>
        <v>0</v>
      </c>
      <c r="J450" s="1" t="str">
        <f>'3.1.raw'!AK475</f>
        <v>Sample with PLc1056, Red Colony Count: Undiluted volume tested 100 ml - 00</v>
      </c>
    </row>
    <row r="451">
      <c r="A451" s="23" t="str">
        <f t="shared" si="7"/>
        <v>FB1157</v>
      </c>
      <c r="B451" s="23" t="str">
        <f>'3.1.raw'!L473</f>
        <v>FB1157</v>
      </c>
      <c r="C451" s="24">
        <f>datevalue(left('3.1.raw'!O473,10))</f>
        <v>43794</v>
      </c>
      <c r="D451" s="23">
        <f>'3.1.raw'!I473</f>
        <v>99</v>
      </c>
      <c r="E451" s="1">
        <v>3.09999999999999</v>
      </c>
      <c r="F451" s="23" t="b">
        <f>if(countif(Status!C:C,A451)=1,TRUE, FALSE)</f>
        <v>1</v>
      </c>
      <c r="G451" s="1">
        <f t="shared" si="2"/>
        <v>0</v>
      </c>
      <c r="H451" s="1">
        <f>'3.1.raw'!Z473</f>
        <v>0</v>
      </c>
      <c r="J451" s="1" t="str">
        <f>'3.1.raw'!AK473</f>
        <v>Sample with PLc1095, Red Colony Count: Undiluted volume tested 100 ml - 00</v>
      </c>
    </row>
    <row r="452">
      <c r="A452" s="23" t="str">
        <f t="shared" si="7"/>
        <v>FB1156</v>
      </c>
      <c r="B452" s="23" t="str">
        <f>'3.1.raw'!L470</f>
        <v>FB1156</v>
      </c>
      <c r="C452" s="24">
        <f>datevalue(left('3.1.raw'!O470,10))</f>
        <v>43791</v>
      </c>
      <c r="D452" s="23">
        <f>'3.1.raw'!I470</f>
        <v>99</v>
      </c>
      <c r="E452" s="1">
        <v>3.09999999999999</v>
      </c>
      <c r="F452" s="23" t="b">
        <f>if(countif(Status!C:C,A452)=1,TRUE, FALSE)</f>
        <v>1</v>
      </c>
      <c r="G452" s="1">
        <f t="shared" si="2"/>
        <v>0</v>
      </c>
      <c r="H452" s="1">
        <f>'3.1.raw'!Z470</f>
        <v>0</v>
      </c>
      <c r="J452" s="1" t="str">
        <f>'3.1.raw'!AK470</f>
        <v>Red Colony Count: Undiluted volume tested 100 ml - 00</v>
      </c>
    </row>
    <row r="453">
      <c r="A453" s="23" t="str">
        <f t="shared" si="7"/>
        <v>FB1155</v>
      </c>
      <c r="B453" s="23" t="str">
        <f>'3.1.raw'!L468</f>
        <v>FB1155</v>
      </c>
      <c r="C453" s="24">
        <f>datevalue(left('3.1.raw'!O468,10))</f>
        <v>43791</v>
      </c>
      <c r="D453" s="23">
        <f>'3.1.raw'!I468</f>
        <v>99</v>
      </c>
      <c r="E453" s="1">
        <v>3.09999999999999</v>
      </c>
      <c r="F453" s="23" t="b">
        <f>if(countif(Status!C:C,A453)=1,TRUE, FALSE)</f>
        <v>1</v>
      </c>
      <c r="G453" s="1">
        <f t="shared" si="2"/>
        <v>0</v>
      </c>
      <c r="H453" s="1">
        <f>'3.1.raw'!Z468</f>
        <v>0</v>
      </c>
      <c r="J453" s="1" t="str">
        <f>'3.1.raw'!AK468</f>
        <v>Sample with PLc1093, Red Colony Count: Undiluted volume tested 100 ml - 00</v>
      </c>
    </row>
    <row r="454">
      <c r="A454" s="23" t="str">
        <f t="shared" si="7"/>
        <v>FB1154</v>
      </c>
      <c r="B454" s="23" t="str">
        <f>'3.1.raw'!L466</f>
        <v>FB1154</v>
      </c>
      <c r="C454" s="24">
        <f>datevalue(left('3.1.raw'!O466,10))</f>
        <v>43791</v>
      </c>
      <c r="D454" s="23">
        <f>'3.1.raw'!I466</f>
        <v>99</v>
      </c>
      <c r="E454" s="1">
        <v>3.09999999999999</v>
      </c>
      <c r="F454" s="23" t="b">
        <f>if(countif(Status!C:C,A454)=1,TRUE, FALSE)</f>
        <v>1</v>
      </c>
      <c r="G454" s="1">
        <f t="shared" si="2"/>
        <v>0</v>
      </c>
      <c r="H454" s="1">
        <f>'3.1.raw'!Z466</f>
        <v>0</v>
      </c>
      <c r="J454" s="1" t="str">
        <f>'3.1.raw'!AK466</f>
        <v>Sample with PLc1092, Red Colony Count: Undiluted volume tested 100 ml - 00</v>
      </c>
    </row>
    <row r="455">
      <c r="A455" s="23" t="str">
        <f t="shared" si="7"/>
        <v>FB1153</v>
      </c>
      <c r="B455" s="23" t="str">
        <f>'3.1.raw'!L462</f>
        <v>FB1153</v>
      </c>
      <c r="C455" s="24">
        <f>datevalue(left('3.1.raw'!O462,10))</f>
        <v>43790</v>
      </c>
      <c r="D455" s="23">
        <f>'3.1.raw'!I462</f>
        <v>99</v>
      </c>
      <c r="E455" s="1">
        <v>3.09999999999999</v>
      </c>
      <c r="F455" s="23" t="b">
        <f>if(countif(Status!C:C,A455)=1,TRUE, FALSE)</f>
        <v>1</v>
      </c>
      <c r="G455" s="1">
        <f t="shared" si="2"/>
        <v>0</v>
      </c>
      <c r="H455" s="1">
        <f>'3.1.raw'!Z462</f>
        <v>0</v>
      </c>
      <c r="J455" s="1" t="str">
        <f>'3.1.raw'!AK462</f>
        <v>Sample with PLc1091, Red Colony Count: Undiluted volume tested 100 ml - 00</v>
      </c>
    </row>
    <row r="456">
      <c r="A456" s="23" t="str">
        <f t="shared" si="7"/>
        <v>FB1152</v>
      </c>
      <c r="B456" s="23" t="str">
        <f>'3.1.raw'!L460</f>
        <v>FB1152</v>
      </c>
      <c r="C456" s="24">
        <f>datevalue(left('3.1.raw'!O460,10))</f>
        <v>43790</v>
      </c>
      <c r="D456" s="23">
        <f>'3.1.raw'!I460</f>
        <v>99</v>
      </c>
      <c r="E456" s="1">
        <v>3.09999999999999</v>
      </c>
      <c r="F456" s="23" t="b">
        <f>if(countif(Status!C:C,A456)=1,TRUE, FALSE)</f>
        <v>1</v>
      </c>
      <c r="G456" s="1">
        <f t="shared" si="2"/>
        <v>0</v>
      </c>
      <c r="H456" s="1">
        <f>'3.1.raw'!Z460</f>
        <v>0</v>
      </c>
      <c r="J456" s="1" t="str">
        <f>'3.1.raw'!AK460</f>
        <v>Sample with PLc1090, Red Colony Count: Undiluted volume tested 100 ml - 00</v>
      </c>
    </row>
    <row r="457">
      <c r="A457" s="23" t="str">
        <f t="shared" si="7"/>
        <v>FB1151</v>
      </c>
      <c r="B457" s="23" t="str">
        <f>'3.1.raw'!L458</f>
        <v>FB1151</v>
      </c>
      <c r="C457" s="24">
        <f>datevalue(left('3.1.raw'!O458,10))</f>
        <v>43790</v>
      </c>
      <c r="D457" s="23">
        <f>'3.1.raw'!I458</f>
        <v>99</v>
      </c>
      <c r="E457" s="1">
        <v>3.09999999999999</v>
      </c>
      <c r="F457" s="23" t="b">
        <f>if(countif(Status!C:C,A457)=1,TRUE, FALSE)</f>
        <v>1</v>
      </c>
      <c r="G457" s="1">
        <f t="shared" si="2"/>
        <v>0</v>
      </c>
      <c r="H457" s="1">
        <f>'3.1.raw'!Z458</f>
        <v>0</v>
      </c>
      <c r="J457" s="1" t="str">
        <f>'3.1.raw'!AK458</f>
        <v>Sample with PLc1089, Red Colony Count: Undiluted volume tested 100 ml - 00</v>
      </c>
    </row>
    <row r="458">
      <c r="A458" s="23" t="str">
        <f t="shared" si="7"/>
        <v>FB1150</v>
      </c>
      <c r="B458" s="23" t="str">
        <f>'3.1.raw'!L456</f>
        <v>FB1150</v>
      </c>
      <c r="C458" s="24">
        <f>datevalue(left('3.1.raw'!O456,10))</f>
        <v>43790</v>
      </c>
      <c r="D458" s="23">
        <f>'3.1.raw'!I456</f>
        <v>99</v>
      </c>
      <c r="E458" s="1">
        <v>3.09999999999999</v>
      </c>
      <c r="F458" s="23" t="b">
        <f>if(countif(Status!C:C,A458)=1,TRUE, FALSE)</f>
        <v>1</v>
      </c>
      <c r="G458" s="1">
        <f t="shared" si="2"/>
        <v>0</v>
      </c>
      <c r="H458" s="1">
        <f>'3.1.raw'!Z456</f>
        <v>0</v>
      </c>
      <c r="J458" s="1" t="str">
        <f>'3.1.raw'!AK456</f>
        <v>Sample with PLc1088, Red Colony Count: Undiluted volume tested 100 ml - 00</v>
      </c>
    </row>
    <row r="459">
      <c r="A459" s="23" t="str">
        <f t="shared" si="7"/>
        <v>FB1148</v>
      </c>
      <c r="B459" s="23" t="str">
        <f>'3.1.raw'!L463</f>
        <v>FB1148</v>
      </c>
      <c r="C459" s="24">
        <f>datevalue(left('3.1.raw'!O463,10))</f>
        <v>43790</v>
      </c>
      <c r="D459" s="23">
        <f>'3.1.raw'!I463</f>
        <v>99</v>
      </c>
      <c r="E459" s="1">
        <v>3.09999999999999</v>
      </c>
      <c r="F459" s="23" t="b">
        <f>if(countif(Status!C:C,A459)=1,TRUE, FALSE)</f>
        <v>1</v>
      </c>
      <c r="G459" s="1">
        <f t="shared" si="2"/>
        <v>0</v>
      </c>
      <c r="H459" s="1">
        <f>'3.1.raw'!Z463</f>
        <v>0</v>
      </c>
      <c r="J459" s="1" t="str">
        <f>'3.1.raw'!AK463</f>
        <v>Sample with MO1120, Red Colony Count: Undiluted volume tested 100 ml - 00</v>
      </c>
    </row>
    <row r="460">
      <c r="A460" s="23" t="str">
        <f t="shared" si="7"/>
        <v>FB1147</v>
      </c>
      <c r="B460" s="23" t="str">
        <f>'3.1.raw'!L453</f>
        <v>FB1147</v>
      </c>
      <c r="C460" s="24">
        <f>datevalue(left('3.1.raw'!O453,10))</f>
        <v>43789</v>
      </c>
      <c r="D460" s="23">
        <f>'3.1.raw'!I453</f>
        <v>99</v>
      </c>
      <c r="E460" s="1">
        <v>3.09999999999999</v>
      </c>
      <c r="F460" s="23" t="b">
        <f>if(countif(Status!C:C,A460)=1,TRUE, FALSE)</f>
        <v>1</v>
      </c>
      <c r="G460" s="1">
        <f t="shared" si="2"/>
        <v>0</v>
      </c>
      <c r="H460" s="1">
        <f>'3.1.raw'!Z453</f>
        <v>0</v>
      </c>
      <c r="J460" s="1" t="str">
        <f>'3.1.raw'!AK453</f>
        <v>Sample with COa1007, COb1020, COb1021, COb1022, Red Colony Count: Undiluted volume tested 100 ml - 00</v>
      </c>
    </row>
    <row r="461">
      <c r="A461" s="23" t="str">
        <f t="shared" si="7"/>
        <v>FB1146</v>
      </c>
      <c r="B461" s="23" t="str">
        <f>'3.1.raw'!L446</f>
        <v>FB1146</v>
      </c>
      <c r="C461" s="24">
        <f>datevalue(left('3.1.raw'!O446,10))</f>
        <v>43788</v>
      </c>
      <c r="D461" s="23">
        <f>'3.1.raw'!I446</f>
        <v>99</v>
      </c>
      <c r="E461" s="1">
        <v>3.09999999999999</v>
      </c>
      <c r="F461" s="23" t="b">
        <f>if(countif(Status!C:C,A461)=1,TRUE, FALSE)</f>
        <v>1</v>
      </c>
      <c r="G461" s="1">
        <f t="shared" si="2"/>
        <v>0</v>
      </c>
      <c r="H461" s="1">
        <f>'3.1.raw'!Z446</f>
        <v>0</v>
      </c>
      <c r="J461" s="1" t="str">
        <f>'3.1.raw'!AK446</f>
        <v>Sample with MO1119, Red Colony Count: Undiluted volume tested 100 ml - 00</v>
      </c>
    </row>
    <row r="462">
      <c r="A462" s="23" t="str">
        <f t="shared" si="7"/>
        <v>FB1145</v>
      </c>
      <c r="B462" s="23" t="str">
        <f>'3.1.raw'!L445</f>
        <v>FB1145</v>
      </c>
      <c r="C462" s="24">
        <f>datevalue(left('3.1.raw'!O445,10))</f>
        <v>43788</v>
      </c>
      <c r="D462" s="23">
        <f>'3.1.raw'!I445</f>
        <v>99</v>
      </c>
      <c r="E462" s="1">
        <v>3.09999999999999</v>
      </c>
      <c r="F462" s="23" t="b">
        <f>if(countif(Status!C:C,A462)=1,TRUE, FALSE)</f>
        <v>1</v>
      </c>
      <c r="G462" s="1">
        <f t="shared" si="2"/>
        <v>0</v>
      </c>
      <c r="H462" s="1">
        <f>'3.1.raw'!Z445</f>
        <v>0</v>
      </c>
      <c r="J462" s="1" t="str">
        <f>'3.1.raw'!AK445</f>
        <v>Sample with MO1118, Red Colony Count: Undiluted volume tested 100 ml - 00</v>
      </c>
    </row>
    <row r="463">
      <c r="A463" s="23" t="str">
        <f t="shared" si="7"/>
        <v>FB1144</v>
      </c>
      <c r="B463" s="23" t="str">
        <f>'3.1.raw'!L444</f>
        <v>FB1144</v>
      </c>
      <c r="C463" s="24">
        <f>datevalue(left('3.1.raw'!O444,10))</f>
        <v>43788</v>
      </c>
      <c r="D463" s="23">
        <f>'3.1.raw'!I444</f>
        <v>99</v>
      </c>
      <c r="E463" s="1">
        <v>3.09999999999999</v>
      </c>
      <c r="F463" s="23" t="b">
        <f>if(countif(Status!C:C,A463)=1,TRUE, FALSE)</f>
        <v>1</v>
      </c>
      <c r="G463" s="1">
        <f t="shared" si="2"/>
        <v>0</v>
      </c>
      <c r="H463" s="1">
        <f>'3.1.raw'!Z444</f>
        <v>0</v>
      </c>
      <c r="J463" s="1" t="str">
        <f>'3.1.raw'!AK444</f>
        <v>Sample with PLc1087, Red Colony Count: Undiluted volume tested 100 ml - 00</v>
      </c>
    </row>
    <row r="464">
      <c r="A464" s="23" t="str">
        <f t="shared" si="7"/>
        <v>FB1143</v>
      </c>
      <c r="B464" s="23" t="str">
        <f>'3.1.raw'!L442</f>
        <v>FB1143</v>
      </c>
      <c r="C464" s="24">
        <f>datevalue(left('3.1.raw'!O442,10))</f>
        <v>43788</v>
      </c>
      <c r="D464" s="23">
        <f>'3.1.raw'!I442</f>
        <v>99</v>
      </c>
      <c r="E464" s="1">
        <v>3.09999999999999</v>
      </c>
      <c r="F464" s="23" t="b">
        <f>if(countif(Status!C:C,A464)=1,TRUE, FALSE)</f>
        <v>1</v>
      </c>
      <c r="G464" s="1">
        <f t="shared" si="2"/>
        <v>0</v>
      </c>
      <c r="H464" s="1">
        <f>'3.1.raw'!Z442</f>
        <v>0</v>
      </c>
      <c r="J464" s="1" t="str">
        <f>'3.1.raw'!AK442</f>
        <v>Sample with PLc1086, Red Colony Count: Undiluted volume tested 100 ml - 00</v>
      </c>
    </row>
    <row r="465">
      <c r="A465" s="23" t="str">
        <f t="shared" si="7"/>
        <v>FB1142</v>
      </c>
      <c r="B465" s="23" t="str">
        <f>'3.1.raw'!L440</f>
        <v>FB1142</v>
      </c>
      <c r="C465" s="24">
        <f>datevalue(left('3.1.raw'!O440,10))</f>
        <v>43788</v>
      </c>
      <c r="D465" s="23">
        <f>'3.1.raw'!I440</f>
        <v>99</v>
      </c>
      <c r="E465" s="1">
        <v>3.09999999999999</v>
      </c>
      <c r="F465" s="23" t="b">
        <f>if(countif(Status!C:C,A465)=1,TRUE, FALSE)</f>
        <v>1</v>
      </c>
      <c r="G465" s="1">
        <f t="shared" si="2"/>
        <v>0</v>
      </c>
      <c r="H465" s="1">
        <f>'3.1.raw'!Z440</f>
        <v>0</v>
      </c>
      <c r="J465" s="1" t="str">
        <f>'3.1.raw'!AK440</f>
        <v>Sample with PLc1085, Red Colony Count: Undiluted volume tested 100 ml - 00</v>
      </c>
    </row>
    <row r="466">
      <c r="A466" s="23" t="str">
        <f t="shared" si="7"/>
        <v>FB1141</v>
      </c>
      <c r="B466" s="23" t="str">
        <f>'3.1.raw'!L437</f>
        <v>FB1141</v>
      </c>
      <c r="C466" s="24">
        <f>datevalue(left('3.1.raw'!O437,10))</f>
        <v>43787</v>
      </c>
      <c r="D466" s="23">
        <f>'3.1.raw'!I437</f>
        <v>99</v>
      </c>
      <c r="E466" s="1">
        <v>3.09999999999999</v>
      </c>
      <c r="F466" s="23" t="b">
        <f>if(countif(Status!C:C,A466)=1,TRUE, FALSE)</f>
        <v>1</v>
      </c>
      <c r="G466" s="1">
        <f t="shared" si="2"/>
        <v>0</v>
      </c>
      <c r="H466" s="1">
        <f>'3.1.raw'!Z437</f>
        <v>0</v>
      </c>
      <c r="J466" s="1" t="str">
        <f>'3.1.raw'!AK437</f>
        <v>Sample with PLc1084, Red Colony Count: Undiluted volume tested 100 ml - 00</v>
      </c>
    </row>
    <row r="467">
      <c r="A467" s="23" t="str">
        <f t="shared" si="7"/>
        <v>FB1140</v>
      </c>
      <c r="B467" s="23" t="str">
        <f>'3.1.raw'!L435</f>
        <v>FB1140</v>
      </c>
      <c r="C467" s="24">
        <f>datevalue(left('3.1.raw'!O435,10))</f>
        <v>43787</v>
      </c>
      <c r="D467" s="23">
        <f>'3.1.raw'!I435</f>
        <v>99</v>
      </c>
      <c r="E467" s="1">
        <v>3.09999999999999</v>
      </c>
      <c r="F467" s="23" t="b">
        <f>if(countif(Status!C:C,A467)=1,TRUE, FALSE)</f>
        <v>1</v>
      </c>
      <c r="G467" s="1">
        <f t="shared" si="2"/>
        <v>0</v>
      </c>
      <c r="H467" s="1">
        <f>'3.1.raw'!Z435</f>
        <v>0</v>
      </c>
      <c r="J467" s="1" t="str">
        <f>'3.1.raw'!AK435</f>
        <v>Sample with PLc1083, Red Colony Count: Undiluted volume tested 100 ml - 00</v>
      </c>
    </row>
    <row r="468">
      <c r="A468" s="23" t="str">
        <f t="shared" si="7"/>
        <v>FB1139</v>
      </c>
      <c r="B468" s="23" t="str">
        <f>'3.1.raw'!L433</f>
        <v>FB1139</v>
      </c>
      <c r="C468" s="24">
        <f>datevalue(left('3.1.raw'!O433,10))</f>
        <v>43787</v>
      </c>
      <c r="D468" s="23">
        <f>'3.1.raw'!I433</f>
        <v>99</v>
      </c>
      <c r="E468" s="1">
        <v>3.09999999999999</v>
      </c>
      <c r="F468" s="23" t="b">
        <f>if(countif(Status!C:C,A468)=1,TRUE, FALSE)</f>
        <v>1</v>
      </c>
      <c r="G468" s="1">
        <f t="shared" si="2"/>
        <v>0</v>
      </c>
      <c r="H468" s="1">
        <f>'3.1.raw'!Z433</f>
        <v>0</v>
      </c>
      <c r="J468" s="1" t="str">
        <f>'3.1.raw'!AK433</f>
        <v>Sample with PLc1082, Red Colony Count: Undiluted volume tested 100 ml - 00</v>
      </c>
    </row>
    <row r="469">
      <c r="A469" s="23" t="str">
        <f t="shared" si="7"/>
        <v>FB1138</v>
      </c>
      <c r="B469" s="23" t="str">
        <f>'3.1.raw'!L431</f>
        <v>FB1138</v>
      </c>
      <c r="C469" s="24">
        <f>datevalue(left('3.1.raw'!O431,10))</f>
        <v>43787</v>
      </c>
      <c r="D469" s="23">
        <f>'3.1.raw'!I431</f>
        <v>99</v>
      </c>
      <c r="E469" s="1">
        <v>3.09999999999999</v>
      </c>
      <c r="F469" s="23" t="b">
        <f>if(countif(Status!C:C,A469)=1,TRUE, FALSE)</f>
        <v>1</v>
      </c>
      <c r="G469" s="1">
        <f t="shared" si="2"/>
        <v>0</v>
      </c>
      <c r="H469" s="1">
        <f>'3.1.raw'!Z431</f>
        <v>0</v>
      </c>
      <c r="J469" s="1" t="str">
        <f>'3.1.raw'!AK431</f>
        <v>Sample with PLc1081, Red Colony Count: Undiluted volume tested 100 ml - 00</v>
      </c>
    </row>
    <row r="470">
      <c r="A470" s="23" t="str">
        <f t="shared" si="7"/>
        <v>FB1137</v>
      </c>
      <c r="B470" s="23" t="str">
        <f>'3.1.raw'!L429</f>
        <v>FB1137</v>
      </c>
      <c r="C470" s="24">
        <f>datevalue(left('3.1.raw'!O429,10))</f>
        <v>43784</v>
      </c>
      <c r="D470" s="23">
        <f>'3.1.raw'!I429</f>
        <v>99</v>
      </c>
      <c r="E470" s="1">
        <v>3.09999999999999</v>
      </c>
      <c r="F470" s="23" t="b">
        <f>if(countif(Status!C:C,A470)=1,TRUE, FALSE)</f>
        <v>1</v>
      </c>
      <c r="G470" s="1">
        <f t="shared" si="2"/>
        <v>0</v>
      </c>
      <c r="H470" s="1">
        <f>'3.1.raw'!Z429</f>
        <v>0</v>
      </c>
      <c r="J470" s="1" t="str">
        <f>'3.1.raw'!AK429</f>
        <v>Sample with FPd1005, FPb1005, FPe1005, FPa1005, FPc1005, Red Colony Count: Undiluted volume tested 100 ml - 00</v>
      </c>
    </row>
    <row r="471">
      <c r="A471" s="23" t="str">
        <f t="shared" si="7"/>
        <v>FB1136</v>
      </c>
      <c r="B471" s="23" t="str">
        <f>'3.1.raw'!L427</f>
        <v>FB1136</v>
      </c>
      <c r="C471" s="24">
        <f>datevalue(left('3.1.raw'!O427,10))</f>
        <v>43784</v>
      </c>
      <c r="D471" s="23">
        <f>'3.1.raw'!I427</f>
        <v>99</v>
      </c>
      <c r="E471" s="1">
        <v>3.09999999999999</v>
      </c>
      <c r="F471" s="23" t="b">
        <f>if(countif(Status!C:C,A471)=1,TRUE, FALSE)</f>
        <v>1</v>
      </c>
      <c r="G471" s="1">
        <f t="shared" si="2"/>
        <v>0</v>
      </c>
      <c r="H471" s="1">
        <f>'3.1.raw'!Z427</f>
        <v>0</v>
      </c>
      <c r="J471" s="1" t="str">
        <f>'3.1.raw'!AK427</f>
        <v>Sample with PLc1080, Red Colony Count: Undiluted volume tested 100 ml - 00</v>
      </c>
    </row>
    <row r="472">
      <c r="A472" s="23" t="str">
        <f t="shared" si="7"/>
        <v>FB1135</v>
      </c>
      <c r="B472" s="23" t="str">
        <f>'3.1.raw'!L426</f>
        <v>FB1135</v>
      </c>
      <c r="C472" s="24">
        <f>datevalue(left('3.1.raw'!O426,10))</f>
        <v>43784</v>
      </c>
      <c r="D472" s="23">
        <f>'3.1.raw'!I426</f>
        <v>99</v>
      </c>
      <c r="E472" s="1">
        <v>3.09999999999999</v>
      </c>
      <c r="F472" s="23" t="b">
        <f>if(countif(Status!C:C,A472)=1,TRUE, FALSE)</f>
        <v>1</v>
      </c>
      <c r="G472" s="1">
        <f t="shared" si="2"/>
        <v>0</v>
      </c>
      <c r="H472" s="1">
        <f>'3.1.raw'!Z426</f>
        <v>0</v>
      </c>
      <c r="J472" s="1" t="str">
        <f>'3.1.raw'!AK426</f>
        <v>Sample with PLc1079, Red Colony Count: Undiluted volume tested 100 ml - 00</v>
      </c>
    </row>
    <row r="473">
      <c r="A473" s="23" t="str">
        <f t="shared" si="7"/>
        <v>FB1134</v>
      </c>
      <c r="B473" s="23" t="str">
        <f>'3.1.raw'!L425</f>
        <v>FB1134</v>
      </c>
      <c r="C473" s="24">
        <f>datevalue(left('3.1.raw'!O425,10))</f>
        <v>43784</v>
      </c>
      <c r="D473" s="23">
        <f>'3.1.raw'!I425</f>
        <v>99</v>
      </c>
      <c r="E473" s="1">
        <v>3.09999999999999</v>
      </c>
      <c r="F473" s="23" t="b">
        <f>if(countif(Status!C:C,A473)=1,TRUE, FALSE)</f>
        <v>1</v>
      </c>
      <c r="G473" s="1">
        <f t="shared" si="2"/>
        <v>0</v>
      </c>
      <c r="H473" s="1">
        <f>'3.1.raw'!Z425</f>
        <v>0</v>
      </c>
      <c r="J473" s="1" t="str">
        <f>'3.1.raw'!AK425</f>
        <v>Sample with PLc1078, Red Colony Count: Undiluted volume tested 100 ml - 00</v>
      </c>
    </row>
    <row r="474">
      <c r="A474" s="49" t="s">
        <v>1552</v>
      </c>
      <c r="B474" s="23" t="str">
        <f>'3.1.raw'!L423</f>
        <v>FB11332</v>
      </c>
      <c r="C474" s="24">
        <f>datevalue(left('3.1.raw'!O423,10))</f>
        <v>43784</v>
      </c>
      <c r="D474" s="23">
        <f>'3.1.raw'!I423</f>
        <v>99</v>
      </c>
      <c r="E474" s="1">
        <v>3.09999999999999</v>
      </c>
      <c r="F474" s="23" t="b">
        <f>if(countif(Status!C:C,A474)=1,TRUE, FALSE)</f>
        <v>1</v>
      </c>
      <c r="G474" s="1">
        <f t="shared" si="2"/>
        <v>0</v>
      </c>
      <c r="H474" s="1">
        <f>'3.1.raw'!Z423</f>
        <v>0</v>
      </c>
      <c r="J474" s="1" t="str">
        <f>'3.1.raw'!AK423</f>
        <v>Sample with PLc1076, Red Colony Count: Undiluted volume tested 100 ml - 00</v>
      </c>
    </row>
    <row r="475">
      <c r="A475" s="23" t="str">
        <f t="shared" ref="A475:A525" si="8">SUBSTITUTE(B475, " ", "")</f>
        <v>FB1133</v>
      </c>
      <c r="B475" s="23" t="str">
        <f>'3.1.raw'!L424</f>
        <v>FB1133</v>
      </c>
      <c r="C475" s="24">
        <f>datevalue(left('3.1.raw'!O424,10))</f>
        <v>43784</v>
      </c>
      <c r="D475" s="23">
        <f>'3.1.raw'!I424</f>
        <v>99</v>
      </c>
      <c r="E475" s="1">
        <v>3.09999999999999</v>
      </c>
      <c r="F475" s="23" t="b">
        <f>if(countif(Status!C:C,A475)=1,TRUE, FALSE)</f>
        <v>1</v>
      </c>
      <c r="G475" s="1">
        <f t="shared" si="2"/>
        <v>0</v>
      </c>
      <c r="H475" s="1">
        <f>'3.1.raw'!Z424</f>
        <v>0</v>
      </c>
      <c r="J475" s="1" t="str">
        <f>'3.1.raw'!AK424</f>
        <v>Sample with PLc1077, Red Colony Count: Undiluted volume tested 100 ml - 00</v>
      </c>
    </row>
    <row r="476">
      <c r="A476" s="23" t="str">
        <f t="shared" si="8"/>
        <v>FB1131</v>
      </c>
      <c r="B476" s="23" t="str">
        <f>'3.1.raw'!L411</f>
        <v>FB1131</v>
      </c>
      <c r="C476" s="24">
        <f>datevalue(left('3.1.raw'!O411,10))</f>
        <v>43783</v>
      </c>
      <c r="D476" s="23">
        <f>'3.1.raw'!I411</f>
        <v>99</v>
      </c>
      <c r="E476" s="1">
        <v>3.09999999999999</v>
      </c>
      <c r="F476" s="23" t="b">
        <f>if(countif(Status!C:C,A476)=1,TRUE, FALSE)</f>
        <v>1</v>
      </c>
      <c r="G476" s="1">
        <f t="shared" si="2"/>
        <v>0</v>
      </c>
      <c r="H476" s="1">
        <f>'3.1.raw'!Z411</f>
        <v>0</v>
      </c>
      <c r="J476" s="1" t="str">
        <f>'3.1.raw'!AK411</f>
        <v>Sample with MO1117, Red Colony Count: Undiluted volume tested 100 ml - 00</v>
      </c>
    </row>
    <row r="477">
      <c r="A477" s="23" t="str">
        <f t="shared" si="8"/>
        <v>FB1130</v>
      </c>
      <c r="B477" s="23" t="str">
        <f>'3.1.raw'!L410</f>
        <v>FB1130</v>
      </c>
      <c r="C477" s="24">
        <f>datevalue(left('3.1.raw'!O410,10))</f>
        <v>43783</v>
      </c>
      <c r="D477" s="23">
        <f>'3.1.raw'!I410</f>
        <v>99</v>
      </c>
      <c r="E477" s="1">
        <v>3.09999999999999</v>
      </c>
      <c r="F477" s="23" t="b">
        <f>if(countif(Status!C:C,A477)=1,TRUE, FALSE)</f>
        <v>1</v>
      </c>
      <c r="G477" s="1">
        <f t="shared" si="2"/>
        <v>0</v>
      </c>
      <c r="H477" s="1">
        <f>'3.1.raw'!Z410</f>
        <v>0</v>
      </c>
      <c r="J477" s="1" t="str">
        <f>'3.1.raw'!AK410</f>
        <v>Sample with MO1116, Red Colony Count: Undiluted volume tested 100 ml - 00</v>
      </c>
    </row>
    <row r="478">
      <c r="A478" s="23" t="str">
        <f t="shared" si="8"/>
        <v>FB1129</v>
      </c>
      <c r="B478" s="23" t="str">
        <f>'3.1.raw'!L408</f>
        <v>FB1129</v>
      </c>
      <c r="C478" s="24">
        <f>datevalue(left('3.1.raw'!O408,10))</f>
        <v>43777</v>
      </c>
      <c r="D478" s="23">
        <f>'3.1.raw'!I408</f>
        <v>99</v>
      </c>
      <c r="E478" s="1">
        <v>3.09999999999999</v>
      </c>
      <c r="F478" s="23" t="b">
        <f>if(countif(Status!C:C,A478)=1,TRUE, FALSE)</f>
        <v>1</v>
      </c>
      <c r="G478" s="1">
        <f t="shared" si="2"/>
        <v>0</v>
      </c>
      <c r="H478" s="1">
        <f>'3.1.raw'!Z408</f>
        <v>0</v>
      </c>
      <c r="J478" s="1" t="str">
        <f>'3.1.raw'!AK408</f>
        <v>Sample with PLc1075, Red Colony Count: Undiluted volume tested 100 ml - 00</v>
      </c>
    </row>
    <row r="479">
      <c r="A479" s="23" t="str">
        <f t="shared" si="8"/>
        <v>FB1128</v>
      </c>
      <c r="B479" s="23" t="str">
        <f>'3.1.raw'!L406</f>
        <v>FB1128</v>
      </c>
      <c r="C479" s="24">
        <f>datevalue(left('3.1.raw'!O406,10))</f>
        <v>43777</v>
      </c>
      <c r="D479" s="23">
        <f>'3.1.raw'!I406</f>
        <v>99</v>
      </c>
      <c r="E479" s="1">
        <v>3.09999999999999</v>
      </c>
      <c r="F479" s="23" t="b">
        <f>if(countif(Status!C:C,A479)=1,TRUE, FALSE)</f>
        <v>1</v>
      </c>
      <c r="G479" s="1">
        <f t="shared" si="2"/>
        <v>0</v>
      </c>
      <c r="H479" s="1">
        <f>'3.1.raw'!Z406</f>
        <v>0</v>
      </c>
      <c r="J479" s="1" t="str">
        <f>'3.1.raw'!AK406</f>
        <v>Sample with PLc1074, Red Colony Count: Undiluted volume tested 100 ml - 00</v>
      </c>
    </row>
    <row r="480">
      <c r="A480" s="23" t="str">
        <f t="shared" si="8"/>
        <v>FB1127</v>
      </c>
      <c r="B480" s="23" t="str">
        <f>'3.1.raw'!L404</f>
        <v>FB1127</v>
      </c>
      <c r="C480" s="24">
        <f>datevalue(left('3.1.raw'!O404,10))</f>
        <v>43777</v>
      </c>
      <c r="D480" s="23">
        <f>'3.1.raw'!I404</f>
        <v>99</v>
      </c>
      <c r="E480" s="1">
        <v>3.09999999999999</v>
      </c>
      <c r="F480" s="23" t="b">
        <f>if(countif(Status!C:C,A480)=1,TRUE, FALSE)</f>
        <v>1</v>
      </c>
      <c r="G480" s="1">
        <f t="shared" si="2"/>
        <v>0</v>
      </c>
      <c r="H480" s="1">
        <f>'3.1.raw'!Z404</f>
        <v>0</v>
      </c>
      <c r="J480" s="1" t="str">
        <f>'3.1.raw'!AK404</f>
        <v>Sample with PLc1073, Red Colony Count: Undiluted volume tested 100 ml - 00</v>
      </c>
    </row>
    <row r="481">
      <c r="A481" s="23" t="str">
        <f t="shared" si="8"/>
        <v>FB1126</v>
      </c>
      <c r="B481" s="23" t="str">
        <f>'3.1.raw'!L402</f>
        <v>FB1126</v>
      </c>
      <c r="C481" s="24">
        <f>datevalue(left('3.1.raw'!O402,10))</f>
        <v>43777</v>
      </c>
      <c r="D481" s="23">
        <f>'3.1.raw'!I402</f>
        <v>99</v>
      </c>
      <c r="E481" s="1">
        <v>3.09999999999999</v>
      </c>
      <c r="F481" s="23" t="b">
        <f>if(countif(Status!C:C,A481)=1,TRUE, FALSE)</f>
        <v>1</v>
      </c>
      <c r="G481" s="1">
        <f t="shared" si="2"/>
        <v>0</v>
      </c>
      <c r="H481" s="1">
        <f>'3.1.raw'!Z402</f>
        <v>0</v>
      </c>
      <c r="J481" s="1" t="str">
        <f>'3.1.raw'!AK402</f>
        <v>Sample with COa1006, COb1017, COb1018, COb1019, Red Colony Count: Undiluted volume tested 100 ml - 00</v>
      </c>
    </row>
    <row r="482">
      <c r="A482" s="23" t="str">
        <f t="shared" si="8"/>
        <v>FB1125</v>
      </c>
      <c r="B482" s="23" t="str">
        <f>'3.1.raw'!L385</f>
        <v>FB1125</v>
      </c>
      <c r="C482" s="24">
        <f>datevalue(left('3.1.raw'!O385,10))</f>
        <v>43776</v>
      </c>
      <c r="D482" s="23">
        <f>'3.1.raw'!I385</f>
        <v>99</v>
      </c>
      <c r="E482" s="1">
        <v>3.1</v>
      </c>
      <c r="F482" s="23" t="b">
        <f>if(countif(Status!C:C,A482)=1,TRUE, FALSE)</f>
        <v>1</v>
      </c>
      <c r="G482" s="1">
        <f t="shared" si="2"/>
        <v>0</v>
      </c>
      <c r="H482" s="1">
        <f>'3.1.raw'!Z385</f>
        <v>0</v>
      </c>
      <c r="J482" s="1" t="str">
        <f>'3.1.raw'!AK385</f>
        <v>Samplewith MO1114, Red Colony Count: Undiluted volume tested 100 ml - 00</v>
      </c>
    </row>
    <row r="483">
      <c r="A483" s="23" t="str">
        <f t="shared" si="8"/>
        <v>FB1124</v>
      </c>
      <c r="B483" s="23" t="str">
        <f>'3.1.raw'!L386</f>
        <v>FB1124</v>
      </c>
      <c r="C483" s="24">
        <f>datevalue(left('3.1.raw'!O386,10))</f>
        <v>43776</v>
      </c>
      <c r="D483" s="23">
        <f>'3.1.raw'!I386</f>
        <v>99</v>
      </c>
      <c r="E483" s="1">
        <v>3.1</v>
      </c>
      <c r="F483" s="23" t="b">
        <f>if(countif(Status!C:C,A483)=1,TRUE, FALSE)</f>
        <v>1</v>
      </c>
      <c r="G483" s="1">
        <f t="shared" si="2"/>
        <v>0</v>
      </c>
      <c r="H483" s="1">
        <f>'3.1.raw'!Z386</f>
        <v>0</v>
      </c>
      <c r="J483" s="1" t="str">
        <f>'3.1.raw'!AK386</f>
        <v>Samplewith MO1115, Red Colony Count: Undiluted volume tested 100 ml - 00</v>
      </c>
    </row>
    <row r="484">
      <c r="A484" s="23" t="str">
        <f t="shared" si="8"/>
        <v>FB1123</v>
      </c>
      <c r="B484" s="23" t="str">
        <f>'3.1.raw'!L396</f>
        <v>FB1123</v>
      </c>
      <c r="C484" s="24">
        <f>datevalue(left('3.1.raw'!O396,10))</f>
        <v>43776</v>
      </c>
      <c r="D484" s="23">
        <f>'3.1.raw'!I396</f>
        <v>99</v>
      </c>
      <c r="E484" s="1">
        <v>3.1</v>
      </c>
      <c r="F484" s="23" t="b">
        <f>if(countif(Status!C:C,A484)=1,TRUE, FALSE)</f>
        <v>1</v>
      </c>
      <c r="G484" s="1">
        <f t="shared" si="2"/>
        <v>0</v>
      </c>
      <c r="H484" s="1">
        <f>'3.1.raw'!Z396</f>
        <v>0</v>
      </c>
      <c r="J484" s="1" t="str">
        <f>'3.1.raw'!AK396</f>
        <v>Samplewith PLc1072, Red Colony Count: Undiluted volume tested 100 ml - 00</v>
      </c>
    </row>
    <row r="485">
      <c r="A485" s="23" t="str">
        <f t="shared" si="8"/>
        <v>FB1122</v>
      </c>
      <c r="B485" s="23" t="str">
        <f>'3.1.raw'!L394</f>
        <v>FB1122</v>
      </c>
      <c r="C485" s="24">
        <f>datevalue(left('3.1.raw'!O394,10))</f>
        <v>43776</v>
      </c>
      <c r="D485" s="23">
        <f>'3.1.raw'!I394</f>
        <v>99</v>
      </c>
      <c r="E485" s="1">
        <v>3.1</v>
      </c>
      <c r="F485" s="23" t="b">
        <f>if(countif(Status!C:C,A485)=1,TRUE, FALSE)</f>
        <v>1</v>
      </c>
      <c r="G485" s="1">
        <f t="shared" si="2"/>
        <v>0</v>
      </c>
      <c r="H485" s="1">
        <f>'3.1.raw'!Z394</f>
        <v>0</v>
      </c>
      <c r="J485" s="1" t="str">
        <f>'3.1.raw'!AK394</f>
        <v>Samplewith PLc1071, Red Colony Count: Undiluted volume tested 100 ml - 00</v>
      </c>
    </row>
    <row r="486">
      <c r="A486" s="23" t="str">
        <f t="shared" si="8"/>
        <v>FB1121</v>
      </c>
      <c r="B486" s="23" t="str">
        <f>'3.1.raw'!L392</f>
        <v>FB1121</v>
      </c>
      <c r="C486" s="24">
        <f>datevalue(left('3.1.raw'!O392,10))</f>
        <v>43776</v>
      </c>
      <c r="D486" s="23">
        <f>'3.1.raw'!I392</f>
        <v>99</v>
      </c>
      <c r="E486" s="1">
        <v>3.1</v>
      </c>
      <c r="F486" s="23" t="b">
        <f>if(countif(Status!C:C,A486)=1,TRUE, FALSE)</f>
        <v>1</v>
      </c>
      <c r="G486" s="1">
        <f t="shared" si="2"/>
        <v>0</v>
      </c>
      <c r="H486" s="1">
        <f>'3.1.raw'!Z392</f>
        <v>0</v>
      </c>
      <c r="J486" s="1" t="str">
        <f>'3.1.raw'!AK392</f>
        <v>Samplewith PLc1070, Red Colony Count: Undiluted volume tested 100 ml - 00</v>
      </c>
    </row>
    <row r="487">
      <c r="A487" s="23" t="str">
        <f t="shared" si="8"/>
        <v>FB1120</v>
      </c>
      <c r="B487" s="23" t="str">
        <f>'3.1.raw'!L390</f>
        <v>FB1120</v>
      </c>
      <c r="C487" s="24">
        <f>datevalue(left('3.1.raw'!O390,10))</f>
        <v>43776</v>
      </c>
      <c r="D487" s="23">
        <f>'3.1.raw'!I390</f>
        <v>99</v>
      </c>
      <c r="E487" s="1">
        <v>3.1</v>
      </c>
      <c r="F487" s="23" t="b">
        <f>if(countif(Status!C:C,A487)=1,TRUE, FALSE)</f>
        <v>1</v>
      </c>
      <c r="G487" s="1">
        <f t="shared" si="2"/>
        <v>1</v>
      </c>
      <c r="H487" s="1">
        <f>'3.1.raw'!Z390</f>
        <v>1</v>
      </c>
      <c r="J487" s="1" t="str">
        <f>'3.1.raw'!AK390</f>
        <v>Samplewith PLc1069, Red Colony Count: Undiluted volume tested 100 ml - 01</v>
      </c>
    </row>
    <row r="488">
      <c r="A488" s="23" t="str">
        <f t="shared" si="8"/>
        <v>FB1119</v>
      </c>
      <c r="B488" s="23" t="str">
        <f>'3.1.raw'!L388</f>
        <v>FB1119</v>
      </c>
      <c r="C488" s="24">
        <f>datevalue(left('3.1.raw'!O388,10))</f>
        <v>43776</v>
      </c>
      <c r="D488" s="23">
        <f>'3.1.raw'!I388</f>
        <v>99</v>
      </c>
      <c r="E488" s="1">
        <v>3.1</v>
      </c>
      <c r="F488" s="23" t="b">
        <f>if(countif(Status!C:C,A488)=1,TRUE, FALSE)</f>
        <v>1</v>
      </c>
      <c r="G488" s="1">
        <f t="shared" si="2"/>
        <v>0</v>
      </c>
      <c r="H488" s="1">
        <f>'3.1.raw'!Z388</f>
        <v>0</v>
      </c>
      <c r="J488" s="1" t="str">
        <f>'3.1.raw'!AK388</f>
        <v>Samplewith PLc1068, Red Colony Count: Undiluted volume tested 100 ml - 00</v>
      </c>
    </row>
    <row r="489">
      <c r="A489" s="23" t="str">
        <f t="shared" si="8"/>
        <v>FB1118</v>
      </c>
      <c r="B489" s="23" t="str">
        <f>'3.1.raw'!L383</f>
        <v>FB1118</v>
      </c>
      <c r="C489" s="24">
        <f>datevalue(left('3.1.raw'!O383,10))</f>
        <v>43775</v>
      </c>
      <c r="D489" s="23">
        <f>'3.1.raw'!I383</f>
        <v>99</v>
      </c>
      <c r="E489" s="1">
        <v>3.1</v>
      </c>
      <c r="F489" s="23" t="b">
        <f>if(countif(Status!C:C,A489)=1,TRUE, FALSE)</f>
        <v>1</v>
      </c>
      <c r="G489" s="1">
        <f t="shared" si="2"/>
        <v>0</v>
      </c>
      <c r="H489" s="1">
        <f>'3.1.raw'!Z383</f>
        <v>0</v>
      </c>
      <c r="J489" s="1" t="str">
        <f>'3.1.raw'!AK383</f>
        <v>Samplewith FPa1004, FPb1004, FPc1004, FPd1004, FPe1004, Red Colony Count: Undiluted volume tested 100 ml - 00</v>
      </c>
    </row>
    <row r="490">
      <c r="A490" s="23" t="str">
        <f t="shared" si="8"/>
        <v>FB1117</v>
      </c>
      <c r="B490" s="23" t="str">
        <f>'3.1.raw'!L376</f>
        <v>FB1117</v>
      </c>
      <c r="C490" s="24">
        <f>datevalue(left('3.1.raw'!O376,10))</f>
        <v>43774</v>
      </c>
      <c r="D490" s="23">
        <f>'3.1.raw'!I376</f>
        <v>99</v>
      </c>
      <c r="E490" s="1">
        <v>3.1</v>
      </c>
      <c r="F490" s="23" t="b">
        <f>if(countif(Status!C:C,A490)=1,TRUE, FALSE)</f>
        <v>1</v>
      </c>
      <c r="G490" s="1">
        <f t="shared" si="2"/>
        <v>0</v>
      </c>
      <c r="H490" s="1">
        <f>'3.1.raw'!Z376</f>
        <v>0</v>
      </c>
      <c r="J490" s="1" t="str">
        <f>'3.1.raw'!AK376</f>
        <v>Samplewith MO1113, Red Colony Count: Undiluted volume tested 100 ml - 00</v>
      </c>
    </row>
    <row r="491">
      <c r="A491" s="23" t="str">
        <f t="shared" si="8"/>
        <v>FB1116</v>
      </c>
      <c r="B491" s="23" t="str">
        <f>'3.1.raw'!L375</f>
        <v>FB1116</v>
      </c>
      <c r="C491" s="24">
        <f>datevalue(left('3.1.raw'!O375,10))</f>
        <v>43774</v>
      </c>
      <c r="D491" s="23">
        <f>'3.1.raw'!I375</f>
        <v>99</v>
      </c>
      <c r="E491" s="1">
        <v>3.1</v>
      </c>
      <c r="F491" s="23" t="b">
        <f>if(countif(Status!C:C,A491)=1,TRUE, FALSE)</f>
        <v>1</v>
      </c>
      <c r="G491" s="1">
        <f t="shared" si="2"/>
        <v>0</v>
      </c>
      <c r="H491" s="1">
        <f>'3.1.raw'!Z375</f>
        <v>0</v>
      </c>
      <c r="J491" s="1" t="str">
        <f>'3.1.raw'!AK375</f>
        <v>Samplewith MO1112, Red Colony Count: Undiluted volume tested 100 ml - 00</v>
      </c>
    </row>
    <row r="492">
      <c r="A492" s="23" t="str">
        <f t="shared" si="8"/>
        <v>FB1115</v>
      </c>
      <c r="B492" s="23" t="str">
        <f>'3.1.raw'!L374</f>
        <v>FB1115</v>
      </c>
      <c r="C492" s="24">
        <f>datevalue(left('3.1.raw'!O374,10))</f>
        <v>43774</v>
      </c>
      <c r="D492" s="23">
        <f>'3.1.raw'!I374</f>
        <v>99</v>
      </c>
      <c r="E492" s="1">
        <v>3.1</v>
      </c>
      <c r="F492" s="23" t="b">
        <f>if(countif(Status!C:C,A492)=1,TRUE, FALSE)</f>
        <v>1</v>
      </c>
      <c r="G492" s="1">
        <f t="shared" si="2"/>
        <v>0</v>
      </c>
      <c r="H492" s="1">
        <f>'3.1.raw'!Z374</f>
        <v>0</v>
      </c>
      <c r="J492" s="1" t="str">
        <f>'3.1.raw'!AK374</f>
        <v>Samplewith PLc1067, Red Colony Count: Undiluted volume tested 100 ml - 00</v>
      </c>
    </row>
    <row r="493">
      <c r="A493" s="23" t="str">
        <f t="shared" si="8"/>
        <v>FB1114</v>
      </c>
      <c r="B493" s="23" t="str">
        <f>'3.1.raw'!L372</f>
        <v>FB1114</v>
      </c>
      <c r="C493" s="24">
        <f>datevalue(left('3.1.raw'!O372,10))</f>
        <v>43774</v>
      </c>
      <c r="D493" s="23">
        <f>'3.1.raw'!I372</f>
        <v>99</v>
      </c>
      <c r="E493" s="1">
        <v>3.1</v>
      </c>
      <c r="F493" s="23" t="b">
        <f>if(countif(Status!C:C,A493)=1,TRUE, FALSE)</f>
        <v>1</v>
      </c>
      <c r="G493" s="1">
        <f t="shared" si="2"/>
        <v>0</v>
      </c>
      <c r="H493" s="1">
        <f>'3.1.raw'!Z372</f>
        <v>0</v>
      </c>
      <c r="J493" s="1" t="str">
        <f>'3.1.raw'!AK372</f>
        <v>Samplewith PLc1066, Red Colony Count: Undiluted volume tested 100 ml - 00</v>
      </c>
    </row>
    <row r="494">
      <c r="A494" s="23" t="str">
        <f t="shared" si="8"/>
        <v>FB1113</v>
      </c>
      <c r="B494" s="23" t="str">
        <f>'3.1.raw'!L369</f>
        <v>FB1113</v>
      </c>
      <c r="C494" s="24">
        <f>datevalue(left('3.1.raw'!O369,10))</f>
        <v>43773</v>
      </c>
      <c r="D494" s="23">
        <f>'3.1.raw'!I369</f>
        <v>99</v>
      </c>
      <c r="E494" s="1">
        <v>3.1</v>
      </c>
      <c r="F494" s="23" t="b">
        <f>if(countif(Status!C:C,A494)=1,TRUE, FALSE)</f>
        <v>1</v>
      </c>
      <c r="G494" s="1">
        <f t="shared" si="2"/>
        <v>0</v>
      </c>
      <c r="H494" s="1">
        <f>'3.1.raw'!Z369</f>
        <v>0</v>
      </c>
      <c r="J494" s="1" t="str">
        <f>'3.1.raw'!AK369</f>
        <v>Samplewith PLc1065, Red Colony Count: Undiluted volume tested 100 ml - 00</v>
      </c>
    </row>
    <row r="495">
      <c r="A495" s="23" t="str">
        <f t="shared" si="8"/>
        <v>FB1112</v>
      </c>
      <c r="B495" s="23" t="str">
        <f>'3.1.raw'!L367</f>
        <v>FB1112</v>
      </c>
      <c r="C495" s="24">
        <f>datevalue(left('3.1.raw'!O367,10))</f>
        <v>43773</v>
      </c>
      <c r="D495" s="23">
        <f>'3.1.raw'!I367</f>
        <v>99</v>
      </c>
      <c r="E495" s="1">
        <v>3.1</v>
      </c>
      <c r="F495" s="23" t="b">
        <f>if(countif(Status!C:C,A495)=1,TRUE, FALSE)</f>
        <v>1</v>
      </c>
      <c r="G495" s="1">
        <f t="shared" si="2"/>
        <v>0</v>
      </c>
      <c r="H495" s="1">
        <f>'3.1.raw'!Z367</f>
        <v>0</v>
      </c>
      <c r="J495" s="1" t="str">
        <f>'3.1.raw'!AK367</f>
        <v>Samplewith PLc1064, Red Colony Count: Undiluted volume tested 100 ml - 00</v>
      </c>
    </row>
    <row r="496">
      <c r="A496" s="23" t="str">
        <f t="shared" si="8"/>
        <v>FB1111</v>
      </c>
      <c r="B496" s="23" t="str">
        <f>'3.1.raw'!L365</f>
        <v>FB1111</v>
      </c>
      <c r="C496" s="24">
        <f>datevalue(left('3.1.raw'!O365,10))</f>
        <v>43773</v>
      </c>
      <c r="D496" s="23">
        <f>'3.1.raw'!I365</f>
        <v>99</v>
      </c>
      <c r="E496" s="1">
        <v>3.1</v>
      </c>
      <c r="F496" s="23" t="b">
        <f>if(countif(Status!C:C,A496)=1,TRUE, FALSE)</f>
        <v>1</v>
      </c>
      <c r="G496" s="1">
        <f t="shared" si="2"/>
        <v>0</v>
      </c>
      <c r="H496" s="1">
        <f>'3.1.raw'!Z365</f>
        <v>0</v>
      </c>
      <c r="J496" s="1" t="str">
        <f>'3.1.raw'!AK365</f>
        <v>Samplewith PLc1063, Red Colony Count: Undiluted volume tested 100 ml - 00</v>
      </c>
    </row>
    <row r="497">
      <c r="A497" s="23" t="str">
        <f t="shared" si="8"/>
        <v>FB1110</v>
      </c>
      <c r="B497" s="23" t="str">
        <f>'3.1.raw'!L363</f>
        <v>FB1110</v>
      </c>
      <c r="C497" s="24">
        <f>datevalue(left('3.1.raw'!O363,10))</f>
        <v>43773</v>
      </c>
      <c r="D497" s="23">
        <f>'3.1.raw'!I363</f>
        <v>99</v>
      </c>
      <c r="E497" s="1">
        <v>3.1</v>
      </c>
      <c r="F497" s="23" t="b">
        <f>if(countif(Status!C:C,A497)=1,TRUE, FALSE)</f>
        <v>1</v>
      </c>
      <c r="G497" s="1">
        <f t="shared" si="2"/>
        <v>0</v>
      </c>
      <c r="H497" s="1">
        <f>'3.1.raw'!Z363</f>
        <v>0</v>
      </c>
      <c r="J497" s="1" t="str">
        <f>'3.1.raw'!AK363</f>
        <v>Samplewith PLc1062, Red Colony Count: Undiluted volume tested 100 ml - 00</v>
      </c>
    </row>
    <row r="498">
      <c r="A498" s="23" t="str">
        <f t="shared" si="8"/>
        <v>FB1109</v>
      </c>
      <c r="B498" s="23" t="str">
        <f>'3.1.raw'!L361</f>
        <v>FB1109</v>
      </c>
      <c r="C498" s="24">
        <f>datevalue(left('3.1.raw'!O361,10))</f>
        <v>43773</v>
      </c>
      <c r="D498" s="23">
        <f>'3.1.raw'!I361</f>
        <v>99</v>
      </c>
      <c r="E498" s="1">
        <v>3.1</v>
      </c>
      <c r="F498" s="23" t="b">
        <f>if(countif(Status!C:C,A498)=1,TRUE, FALSE)</f>
        <v>1</v>
      </c>
      <c r="G498" s="1">
        <f t="shared" si="2"/>
        <v>0</v>
      </c>
      <c r="H498" s="1">
        <f>'3.1.raw'!Z361</f>
        <v>0</v>
      </c>
      <c r="J498" s="1" t="str">
        <f>'3.1.raw'!AK361</f>
        <v>Samplewith PLc1061, Red Colony Count: Undiluted volume tested 100 ml - 00</v>
      </c>
    </row>
    <row r="499">
      <c r="A499" s="23" t="str">
        <f t="shared" si="8"/>
        <v>FB1108</v>
      </c>
      <c r="B499" s="23" t="str">
        <f>'3.1.raw'!L354</f>
        <v>FB1108</v>
      </c>
      <c r="C499" s="24">
        <f>datevalue(left('3.1.raw'!O354,10))</f>
        <v>43770</v>
      </c>
      <c r="D499" s="23">
        <f>'3.1.raw'!I354</f>
        <v>99</v>
      </c>
      <c r="E499" s="1">
        <v>3.1</v>
      </c>
      <c r="F499" s="23" t="b">
        <f>if(countif(Status!C:C,A499)=1,TRUE, FALSE)</f>
        <v>1</v>
      </c>
      <c r="G499" s="1">
        <f t="shared" si="2"/>
        <v>0</v>
      </c>
      <c r="H499" s="1">
        <f>'3.1.raw'!Z354</f>
        <v>0</v>
      </c>
      <c r="I499" s="1">
        <v>0.0</v>
      </c>
      <c r="J499" s="1" t="str">
        <f>'3.1.raw'!AK354</f>
        <v>Samplewith COa1005, COb1014, COb1015, COb1016, Red Colony Count: Undiluted volume tested 100 ml - 00</v>
      </c>
    </row>
    <row r="500">
      <c r="A500" s="23" t="str">
        <f t="shared" si="8"/>
        <v>FB1107</v>
      </c>
      <c r="B500" s="23" t="str">
        <f>'3.1.raw'!L358</f>
        <v>FB1107</v>
      </c>
      <c r="C500" s="24">
        <f>datevalue(left('3.1.raw'!O358,10))</f>
        <v>43770</v>
      </c>
      <c r="D500" s="23">
        <f>'3.1.raw'!I358</f>
        <v>99</v>
      </c>
      <c r="E500" s="1">
        <v>3.1</v>
      </c>
      <c r="F500" s="23" t="b">
        <f>if(countif(Status!C:C,A500)=1,TRUE, FALSE)</f>
        <v>1</v>
      </c>
      <c r="G500" s="1">
        <f t="shared" si="2"/>
        <v>0</v>
      </c>
      <c r="H500" s="1">
        <f>'3.1.raw'!Z358</f>
        <v>0</v>
      </c>
      <c r="I500" s="1">
        <v>0.0</v>
      </c>
      <c r="J500" s="1" t="str">
        <f>'3.1.raw'!AK358</f>
        <v>Samplewith PLc1060, Red Colony Count: Undiluted volume tested 100 ml - 00</v>
      </c>
    </row>
    <row r="501">
      <c r="A501" s="23" t="str">
        <f t="shared" si="8"/>
        <v>FB1106</v>
      </c>
      <c r="B501" s="23" t="str">
        <f>'3.1.raw'!L356</f>
        <v>FB1106</v>
      </c>
      <c r="C501" s="24">
        <f>datevalue(left('3.1.raw'!O356,10))</f>
        <v>43770</v>
      </c>
      <c r="D501" s="23">
        <f>'3.1.raw'!I356</f>
        <v>99</v>
      </c>
      <c r="E501" s="1">
        <v>3.1</v>
      </c>
      <c r="F501" s="23" t="b">
        <f>if(countif(Status!C:C,A501)=1,TRUE, FALSE)</f>
        <v>1</v>
      </c>
      <c r="G501" s="1">
        <f t="shared" si="2"/>
        <v>0</v>
      </c>
      <c r="H501" s="1">
        <f>'3.1.raw'!Z356</f>
        <v>0</v>
      </c>
      <c r="I501" s="1">
        <v>0.0</v>
      </c>
      <c r="J501" s="1" t="str">
        <f>'3.1.raw'!AK356</f>
        <v>Samplewith PLc1059, Red Colony Count: Undiluted volume tested 100 ml - 00</v>
      </c>
    </row>
    <row r="502">
      <c r="A502" s="23" t="str">
        <f t="shared" si="8"/>
        <v>FB1105</v>
      </c>
      <c r="B502" s="23" t="str">
        <f>'3.1.raw'!L347</f>
        <v>FB1105</v>
      </c>
      <c r="C502" s="24">
        <f>datevalue(left('3.1.raw'!O347,10))</f>
        <v>43769</v>
      </c>
      <c r="D502" s="23">
        <f>'3.1.raw'!I347</f>
        <v>99</v>
      </c>
      <c r="E502" s="1">
        <v>3.1</v>
      </c>
      <c r="F502" s="23" t="b">
        <f>if(countif(Status!C:C,A502)=1,TRUE, FALSE)</f>
        <v>1</v>
      </c>
      <c r="G502" s="1">
        <f t="shared" si="2"/>
        <v>0</v>
      </c>
      <c r="H502" s="1">
        <f>'3.1.raw'!Z347</f>
        <v>0</v>
      </c>
      <c r="I502" s="1">
        <v>0.0</v>
      </c>
      <c r="J502" s="1" t="str">
        <f>'3.1.raw'!AK347</f>
        <v>Samplewith MO1110, Red Colony Count: Undiluted volume tested 100 ml - 00</v>
      </c>
    </row>
    <row r="503">
      <c r="A503" s="23" t="str">
        <f t="shared" si="8"/>
        <v>FB1104</v>
      </c>
      <c r="B503" s="23" t="str">
        <f>'3.1.raw'!L348</f>
        <v>FB1104</v>
      </c>
      <c r="C503" s="24">
        <f>datevalue(left('3.1.raw'!O348,10))</f>
        <v>43769</v>
      </c>
      <c r="D503" s="23">
        <f>'3.1.raw'!I348</f>
        <v>99</v>
      </c>
      <c r="E503" s="1">
        <v>3.1</v>
      </c>
      <c r="F503" s="23" t="b">
        <f>if(countif(Status!C:C,A503)=1,TRUE, FALSE)</f>
        <v>1</v>
      </c>
      <c r="G503" s="1">
        <f t="shared" si="2"/>
        <v>0</v>
      </c>
      <c r="H503" s="1">
        <f>'3.1.raw'!Z348</f>
        <v>0</v>
      </c>
      <c r="I503" s="1">
        <v>0.0</v>
      </c>
      <c r="J503" s="1" t="str">
        <f>'3.1.raw'!AK348</f>
        <v>Samplewith MO1111, Red Colony Count: Undiluted volume tested 100 ml - 00</v>
      </c>
    </row>
    <row r="504">
      <c r="A504" s="23" t="str">
        <f t="shared" si="8"/>
        <v>FB1103</v>
      </c>
      <c r="B504" s="23" t="str">
        <f>'3.1.raw'!L346</f>
        <v>FB1103</v>
      </c>
      <c r="C504" s="24">
        <f>datevalue(left('3.1.raw'!O346,10))</f>
        <v>43769</v>
      </c>
      <c r="D504" s="23">
        <f>'3.1.raw'!I346</f>
        <v>99</v>
      </c>
      <c r="E504" s="1">
        <v>3.1</v>
      </c>
      <c r="F504" s="23" t="b">
        <f>if(countif(Status!C:C,A504)=1,TRUE, FALSE)</f>
        <v>1</v>
      </c>
      <c r="G504" s="1">
        <f t="shared" si="2"/>
        <v>0</v>
      </c>
      <c r="H504" s="1">
        <f>'3.1.raw'!Z346</f>
        <v>0</v>
      </c>
      <c r="I504" s="1">
        <v>0.0</v>
      </c>
      <c r="J504" s="1" t="str">
        <f>'3.1.raw'!AK346</f>
        <v>Samplewith PLc1058, Red Colony Count: Undiluted volume tested 100 ml - 00</v>
      </c>
    </row>
    <row r="505">
      <c r="A505" s="23" t="str">
        <f t="shared" si="8"/>
        <v>FB1102</v>
      </c>
      <c r="B505" s="23" t="str">
        <f>'3.1.raw'!L344</f>
        <v>FB1102</v>
      </c>
      <c r="C505" s="24">
        <f>datevalue(left('3.1.raw'!O344,10))</f>
        <v>43769</v>
      </c>
      <c r="D505" s="23">
        <f>'3.1.raw'!I344</f>
        <v>99</v>
      </c>
      <c r="E505" s="1">
        <v>3.1</v>
      </c>
      <c r="F505" s="23" t="b">
        <f>if(countif(Status!C:C,A505)=1,TRUE, FALSE)</f>
        <v>1</v>
      </c>
      <c r="G505" s="1">
        <f t="shared" si="2"/>
        <v>0</v>
      </c>
      <c r="H505" s="1">
        <f>'3.1.raw'!Z344</f>
        <v>0</v>
      </c>
      <c r="J505" s="1" t="str">
        <f>'3.1.raw'!AK344</f>
        <v>Samplewith PLc1057, Red Colony Count: Undiluted volume tested 100 ml - 00</v>
      </c>
    </row>
    <row r="506">
      <c r="A506" s="23" t="str">
        <f t="shared" si="8"/>
        <v>FB1101</v>
      </c>
      <c r="B506" s="23" t="str">
        <f>'3.1.raw'!L342</f>
        <v>FB1101</v>
      </c>
      <c r="C506" s="24">
        <f>datevalue(left('3.1.raw'!O342,10))</f>
        <v>43769</v>
      </c>
      <c r="D506" s="23">
        <f>'3.1.raw'!I342</f>
        <v>99</v>
      </c>
      <c r="E506" s="1">
        <v>3.1</v>
      </c>
      <c r="F506" s="23" t="b">
        <f>if(countif(Status!C:C,A506)=1,TRUE, FALSE)</f>
        <v>1</v>
      </c>
      <c r="G506" s="1">
        <f t="shared" si="2"/>
        <v>0</v>
      </c>
      <c r="H506" s="1">
        <f>'3.1.raw'!Z342</f>
        <v>0</v>
      </c>
      <c r="I506" s="1">
        <v>0.0</v>
      </c>
      <c r="J506" s="1" t="str">
        <f>'3.1.raw'!AK342</f>
        <v>Samplewith PLc1056, Red Colony Count: Undiluted volume tested 100 ml - 00</v>
      </c>
    </row>
    <row r="507">
      <c r="A507" s="23" t="str">
        <f t="shared" si="8"/>
        <v>FB1099</v>
      </c>
      <c r="B507" s="23" t="str">
        <f>'3.1.raw'!L339</f>
        <v>FB1099</v>
      </c>
      <c r="C507" s="24">
        <f>datevalue(left('3.1.raw'!O339,10))</f>
        <v>43769</v>
      </c>
      <c r="D507" s="23">
        <f>'3.1.raw'!I339</f>
        <v>99</v>
      </c>
      <c r="E507" s="1">
        <v>3.1</v>
      </c>
      <c r="F507" s="23" t="b">
        <f>if(countif(Status!C:C,A507)=1,TRUE, FALSE)</f>
        <v>1</v>
      </c>
      <c r="G507" s="1">
        <f t="shared" si="2"/>
        <v>0</v>
      </c>
      <c r="H507" s="1">
        <f>'3.1.raw'!Z339</f>
        <v>0</v>
      </c>
      <c r="I507" s="1">
        <v>0.0</v>
      </c>
      <c r="J507" s="1" t="str">
        <f>'3.1.raw'!AK339</f>
        <v>Red colony count: Undiluted volume tested 100ml - 00</v>
      </c>
    </row>
    <row r="508">
      <c r="A508" s="23" t="str">
        <f t="shared" si="8"/>
        <v>FB1098</v>
      </c>
      <c r="B508" s="23" t="str">
        <f>'3.1.raw'!L335</f>
        <v>FB1098</v>
      </c>
      <c r="C508" s="24">
        <f>datevalue(left('3.1.raw'!O335,10))</f>
        <v>43767</v>
      </c>
      <c r="D508" s="23">
        <f>'3.1.raw'!I335</f>
        <v>99</v>
      </c>
      <c r="E508" s="1">
        <v>3.1</v>
      </c>
      <c r="F508" s="23" t="b">
        <f>if(countif(Status!C:C,A508)=1,TRUE, FALSE)</f>
        <v>1</v>
      </c>
      <c r="G508" s="1">
        <f t="shared" si="2"/>
        <v>0</v>
      </c>
      <c r="H508" s="1">
        <f>'3.1.raw'!Z335</f>
        <v>0</v>
      </c>
      <c r="I508" s="1">
        <v>0.0</v>
      </c>
      <c r="J508" s="1" t="str">
        <f>'3.1.raw'!AK335</f>
        <v>SAMPLE WITH MO1109&amp; RED COLONY COUNT:- UNDILUTRD ; 100ml-00</v>
      </c>
    </row>
    <row r="509">
      <c r="A509" s="23" t="str">
        <f t="shared" si="8"/>
        <v>FB1097</v>
      </c>
      <c r="B509" s="23" t="str">
        <f>'3.1.raw'!L334</f>
        <v>FB1097</v>
      </c>
      <c r="C509" s="24">
        <f>datevalue(left('3.1.raw'!O334,10))</f>
        <v>43767</v>
      </c>
      <c r="D509" s="23">
        <f>'3.1.raw'!I334</f>
        <v>99</v>
      </c>
      <c r="E509" s="1">
        <v>3.1</v>
      </c>
      <c r="F509" s="23" t="b">
        <f>if(countif(Status!C:C,A509)=1,TRUE, FALSE)</f>
        <v>1</v>
      </c>
      <c r="G509" s="1">
        <f t="shared" si="2"/>
        <v>0</v>
      </c>
      <c r="H509" s="1">
        <f>'3.1.raw'!Z334</f>
        <v>0</v>
      </c>
      <c r="I509" s="1">
        <v>0.0</v>
      </c>
      <c r="J509" s="1" t="str">
        <f>'3.1.raw'!AK334</f>
        <v>SAMPLE WITH MO1108; &amp; RED COLONY COUNT:- UNDILUTED - 100ml :00</v>
      </c>
    </row>
    <row r="510">
      <c r="A510" s="23" t="str">
        <f t="shared" si="8"/>
        <v>FB1096</v>
      </c>
      <c r="B510" s="23" t="str">
        <f>'3.1.raw'!L333</f>
        <v>FB1096</v>
      </c>
      <c r="C510" s="24">
        <f>datevalue(left('3.1.raw'!O333,10))</f>
        <v>43766</v>
      </c>
      <c r="D510" s="23">
        <f>'3.1.raw'!I333</f>
        <v>99</v>
      </c>
      <c r="E510" s="1">
        <v>3.1</v>
      </c>
      <c r="F510" s="23" t="b">
        <f>if(countif(Status!C:C,A510)=1,TRUE, FALSE)</f>
        <v>1</v>
      </c>
      <c r="G510" s="1">
        <f t="shared" si="2"/>
        <v>0</v>
      </c>
      <c r="H510" s="1">
        <f>'3.1.raw'!Z333</f>
        <v>0</v>
      </c>
      <c r="I510" s="1">
        <v>0.0</v>
      </c>
      <c r="J510" s="1" t="str">
        <f>'3.1.raw'!AK333</f>
        <v>SAMPLE WITH PLc1053 &amp; RED COLONY COUNT -UNDILUTED -100 ml- 00</v>
      </c>
    </row>
    <row r="511">
      <c r="A511" s="23" t="str">
        <f t="shared" si="8"/>
        <v>FB1095</v>
      </c>
      <c r="B511" s="23" t="str">
        <f>'3.1.raw'!L331</f>
        <v>FB1095</v>
      </c>
      <c r="C511" s="24">
        <f>datevalue(left('3.1.raw'!O331,10))</f>
        <v>43766</v>
      </c>
      <c r="D511" s="23">
        <f>'3.1.raw'!I331</f>
        <v>99</v>
      </c>
      <c r="E511" s="1">
        <v>3.1</v>
      </c>
      <c r="F511" s="23" t="b">
        <f>if(countif(Status!C:C,A511)=1,TRUE, FALSE)</f>
        <v>1</v>
      </c>
      <c r="G511" s="1">
        <f t="shared" si="2"/>
        <v>0</v>
      </c>
      <c r="H511" s="1">
        <f>'3.1.raw'!Z331</f>
        <v>0</v>
      </c>
      <c r="I511" s="1">
        <v>0.0</v>
      </c>
      <c r="J511" s="1" t="str">
        <f>'3.1.raw'!AK331</f>
        <v>SAMPLE WITH PLc 1052; &amp;RED COLONY COUNT :- UNDILUTED-100ml -00</v>
      </c>
    </row>
    <row r="512">
      <c r="A512" s="23" t="str">
        <f t="shared" si="8"/>
        <v>FB1094</v>
      </c>
      <c r="B512" s="23" t="str">
        <f>'3.1.raw'!L329</f>
        <v>FB1094</v>
      </c>
      <c r="C512" s="24">
        <f>datevalue(left('3.1.raw'!O329,10))</f>
        <v>43766</v>
      </c>
      <c r="D512" s="23">
        <f>'3.1.raw'!I329</f>
        <v>99</v>
      </c>
      <c r="E512" s="1">
        <v>3.1</v>
      </c>
      <c r="F512" s="23" t="b">
        <f>if(countif(Status!C:C,A512)=1,TRUE, FALSE)</f>
        <v>1</v>
      </c>
      <c r="G512" s="1">
        <f t="shared" si="2"/>
        <v>0</v>
      </c>
      <c r="H512" s="1">
        <f>'3.1.raw'!Z329</f>
        <v>0</v>
      </c>
      <c r="I512" s="1">
        <v>0.0</v>
      </c>
      <c r="J512" s="1" t="str">
        <f>'3.1.raw'!AK329</f>
        <v>SAMPLE WITH PLc 1051&amp; RED COLONY COUNT:-UNDILUTED -100ml-00</v>
      </c>
    </row>
    <row r="513">
      <c r="A513" s="23" t="str">
        <f t="shared" si="8"/>
        <v>FB1093</v>
      </c>
      <c r="B513" s="23" t="str">
        <f>'3.1.raw'!L327</f>
        <v>FB1093</v>
      </c>
      <c r="C513" s="24">
        <f>datevalue(left('3.1.raw'!O327,10))</f>
        <v>43766</v>
      </c>
      <c r="D513" s="23">
        <f>'3.1.raw'!I327</f>
        <v>99</v>
      </c>
      <c r="E513" s="1">
        <v>3.1</v>
      </c>
      <c r="F513" s="23" t="b">
        <f>if(countif(Status!C:C,A513)=1,TRUE, FALSE)</f>
        <v>1</v>
      </c>
      <c r="G513" s="1">
        <f t="shared" si="2"/>
        <v>0</v>
      </c>
      <c r="H513" s="1">
        <f>'3.1.raw'!Z327</f>
        <v>0</v>
      </c>
      <c r="I513" s="1">
        <v>0.0</v>
      </c>
      <c r="J513" s="1" t="str">
        <f>'3.1.raw'!AK327</f>
        <v>RED COLONY COUNT :-UNDILUTED - 100ml -00</v>
      </c>
    </row>
    <row r="514">
      <c r="A514" s="23" t="str">
        <f t="shared" si="8"/>
        <v>FB1092</v>
      </c>
      <c r="B514" s="23" t="str">
        <f>'3.1.raw'!L325</f>
        <v>FB1092</v>
      </c>
      <c r="C514" s="24">
        <f>datevalue(left('3.1.raw'!O325,10))</f>
        <v>43766</v>
      </c>
      <c r="D514" s="23">
        <f>'3.1.raw'!I325</f>
        <v>99</v>
      </c>
      <c r="E514" s="1">
        <v>3.1</v>
      </c>
      <c r="F514" s="23" t="b">
        <f>if(countif(Status!C:C,A514)=1,TRUE, FALSE)</f>
        <v>1</v>
      </c>
      <c r="G514" s="1">
        <f t="shared" si="2"/>
        <v>0</v>
      </c>
      <c r="H514" s="1">
        <f>'3.1.raw'!Z325</f>
        <v>0</v>
      </c>
      <c r="I514" s="1">
        <v>0.0</v>
      </c>
      <c r="J514" s="1" t="str">
        <f>'3.1.raw'!AK325</f>
        <v>RED COLONY COUNT:- 100ml-00</v>
      </c>
    </row>
    <row r="515">
      <c r="A515" s="23" t="str">
        <f t="shared" si="8"/>
        <v>FB1091</v>
      </c>
      <c r="B515" s="23" t="str">
        <f>'3.1.raw'!L322</f>
        <v>FB1091</v>
      </c>
      <c r="C515" s="24">
        <f>datevalue(left('3.1.raw'!O322,10))</f>
        <v>43762</v>
      </c>
      <c r="D515" s="23">
        <f>'3.1.raw'!I322</f>
        <v>99</v>
      </c>
      <c r="E515" s="1">
        <v>3.1</v>
      </c>
      <c r="F515" s="23" t="b">
        <f>if(countif(Status!C:C,A515)=1,TRUE, FALSE)</f>
        <v>1</v>
      </c>
      <c r="G515" s="1">
        <f t="shared" si="2"/>
        <v>0</v>
      </c>
      <c r="H515" s="1">
        <f>'3.1.raw'!Z322</f>
        <v>0</v>
      </c>
      <c r="I515" s="1">
        <v>0.0</v>
      </c>
      <c r="J515" s="1" t="str">
        <f>'3.1.raw'!AK322</f>
        <v>SAMPLE WITH PLc1049,RED COLONY(100ml=0)</v>
      </c>
    </row>
    <row r="516">
      <c r="A516" s="23" t="str">
        <f t="shared" si="8"/>
        <v>FB1090</v>
      </c>
      <c r="B516" s="23" t="str">
        <f>'3.1.raw'!L320</f>
        <v>FB1090</v>
      </c>
      <c r="C516" s="24">
        <f>datevalue(left('3.1.raw'!O320,10))</f>
        <v>43762</v>
      </c>
      <c r="D516" s="23">
        <f>'3.1.raw'!I320</f>
        <v>99</v>
      </c>
      <c r="E516" s="1">
        <v>3.1</v>
      </c>
      <c r="F516" s="23" t="b">
        <f>if(countif(Status!C:C,A516)=1,TRUE, FALSE)</f>
        <v>1</v>
      </c>
      <c r="G516" s="1">
        <f t="shared" si="2"/>
        <v>0</v>
      </c>
      <c r="H516" s="1">
        <f>'3.1.raw'!Z320</f>
        <v>0</v>
      </c>
      <c r="I516" s="1">
        <v>0.0</v>
      </c>
      <c r="J516" s="1" t="str">
        <f>'3.1.raw'!AK320</f>
        <v>SAMPLE WITH PLc1047, RED COLONY(100ml=0)</v>
      </c>
    </row>
    <row r="517">
      <c r="A517" s="23" t="str">
        <f t="shared" si="8"/>
        <v>FB1089</v>
      </c>
      <c r="B517" s="23" t="str">
        <f>'3.1.raw'!L318</f>
        <v>FB1089</v>
      </c>
      <c r="C517" s="24">
        <f>datevalue(left('3.1.raw'!O318,10))</f>
        <v>43762</v>
      </c>
      <c r="D517" s="23">
        <f>'3.1.raw'!I318</f>
        <v>99</v>
      </c>
      <c r="E517" s="1">
        <v>3.1</v>
      </c>
      <c r="F517" s="23" t="b">
        <f>if(countif(Status!C:C,A517)=1,TRUE, FALSE)</f>
        <v>1</v>
      </c>
      <c r="G517" s="1">
        <f t="shared" si="2"/>
        <v>0</v>
      </c>
      <c r="H517" s="1">
        <f>'3.1.raw'!Z318</f>
        <v>0</v>
      </c>
      <c r="I517" s="1">
        <v>0.0</v>
      </c>
      <c r="J517" s="1" t="str">
        <f>'3.1.raw'!AK318</f>
        <v>SAMPLE WITH PLc1046, RED COLONY( 100ml=0)</v>
      </c>
    </row>
    <row r="518">
      <c r="A518" s="23" t="str">
        <f t="shared" si="8"/>
        <v>FB1088</v>
      </c>
      <c r="B518" s="23" t="str">
        <f>'3.1.raw'!L316</f>
        <v>FB1088</v>
      </c>
      <c r="C518" s="24">
        <f>datevalue(left('3.1.raw'!O316,10))</f>
        <v>43762</v>
      </c>
      <c r="D518" s="23">
        <f>'3.1.raw'!I316</f>
        <v>99</v>
      </c>
      <c r="E518" s="1">
        <v>3.1</v>
      </c>
      <c r="F518" s="23" t="b">
        <f>if(countif(Status!C:C,A518)=1,TRUE, FALSE)</f>
        <v>1</v>
      </c>
      <c r="G518" s="1">
        <f t="shared" si="2"/>
        <v>0</v>
      </c>
      <c r="H518" s="1">
        <f>'3.1.raw'!Z316</f>
        <v>0</v>
      </c>
      <c r="I518" s="1">
        <v>0.0</v>
      </c>
      <c r="J518" s="1" t="str">
        <f>'3.1.raw'!AK316</f>
        <v>SAMPLE WITH PLc1045, RED COLONY(100ml=0)</v>
      </c>
    </row>
    <row r="519">
      <c r="A519" s="23" t="str">
        <f t="shared" si="8"/>
        <v>FB1087</v>
      </c>
      <c r="B519" s="23" t="str">
        <f>'3.1.raw'!L314</f>
        <v>FB1087</v>
      </c>
      <c r="C519" s="24">
        <f>datevalue(left('3.1.raw'!O314,10))</f>
        <v>43762</v>
      </c>
      <c r="D519" s="23">
        <f>'3.1.raw'!I314</f>
        <v>99</v>
      </c>
      <c r="E519" s="1">
        <v>3.1</v>
      </c>
      <c r="F519" s="23" t="b">
        <f>if(countif(Status!C:C,A519)=1,TRUE, FALSE)</f>
        <v>1</v>
      </c>
      <c r="G519" s="1">
        <f t="shared" si="2"/>
        <v>0</v>
      </c>
      <c r="H519" s="1">
        <f>'3.1.raw'!Z314</f>
        <v>0</v>
      </c>
      <c r="I519" s="1">
        <v>0.0</v>
      </c>
      <c r="J519" s="1" t="str">
        <f>'3.1.raw'!AK314</f>
        <v>SAMPLE WITH PLc1044,RED COLONY(100ml=0)</v>
      </c>
    </row>
    <row r="520">
      <c r="A520" s="23" t="str">
        <f t="shared" si="8"/>
        <v>FB1086</v>
      </c>
      <c r="B520" s="23" t="str">
        <f>'3.1.raw'!L312</f>
        <v>FB1086</v>
      </c>
      <c r="C520" s="24">
        <f>datevalue(left('3.1.raw'!O312,10))</f>
        <v>43762</v>
      </c>
      <c r="D520" s="23">
        <f>'3.1.raw'!I312</f>
        <v>99</v>
      </c>
      <c r="E520" s="1">
        <v>3.1</v>
      </c>
      <c r="F520" s="23" t="b">
        <f>if(countif(Status!C:C,A520)=1,TRUE, FALSE)</f>
        <v>1</v>
      </c>
      <c r="G520" s="1">
        <f t="shared" si="2"/>
        <v>0</v>
      </c>
      <c r="H520" s="1">
        <f>'3.1.raw'!Z312</f>
        <v>0</v>
      </c>
      <c r="I520" s="1">
        <v>0.0</v>
      </c>
      <c r="J520" s="1" t="str">
        <f>'3.1.raw'!AK312</f>
        <v>SAMPLE WITH MO1107, RED COLONY(100ml=0)</v>
      </c>
    </row>
    <row r="521">
      <c r="A521" s="23" t="str">
        <f t="shared" si="8"/>
        <v>FB1085</v>
      </c>
      <c r="B521" s="23" t="str">
        <f>'3.1.raw'!L311</f>
        <v>FB1085</v>
      </c>
      <c r="C521" s="24">
        <f>datevalue(left('3.1.raw'!O311,10))</f>
        <v>43762</v>
      </c>
      <c r="D521" s="23">
        <f>'3.1.raw'!I311</f>
        <v>99</v>
      </c>
      <c r="E521" s="1">
        <v>3.1</v>
      </c>
      <c r="F521" s="23" t="b">
        <f>if(countif(Status!C:C,A521)=1,TRUE, FALSE)</f>
        <v>1</v>
      </c>
      <c r="G521" s="1">
        <f t="shared" si="2"/>
        <v>0</v>
      </c>
      <c r="H521" s="1">
        <f>'3.1.raw'!Z311</f>
        <v>0</v>
      </c>
      <c r="I521" s="1">
        <v>0.0</v>
      </c>
      <c r="J521" s="1" t="str">
        <f>'3.1.raw'!AK311</f>
        <v>SAMPLE WITH MO1106, RED COLONY(100ml=0)</v>
      </c>
    </row>
    <row r="522">
      <c r="A522" s="23" t="str">
        <f t="shared" si="8"/>
        <v>FB1084</v>
      </c>
      <c r="B522" s="23" t="str">
        <f>'3.1.raw'!L309</f>
        <v>FB1084</v>
      </c>
      <c r="C522" s="24">
        <f>datevalue(left('3.1.raw'!O309,10))</f>
        <v>43761</v>
      </c>
      <c r="D522" s="23">
        <f>'3.1.raw'!I309</f>
        <v>99</v>
      </c>
      <c r="E522" s="1">
        <v>3.1</v>
      </c>
      <c r="F522" s="23" t="b">
        <f>if(countif(Status!C:C,A522)=1,TRUE, FALSE)</f>
        <v>1</v>
      </c>
      <c r="G522" s="1">
        <f t="shared" si="2"/>
        <v>0</v>
      </c>
      <c r="H522" s="1">
        <f>'3.1.raw'!Z309</f>
        <v>0</v>
      </c>
      <c r="I522" s="1">
        <v>0.0</v>
      </c>
      <c r="J522" s="1" t="str">
        <f>'3.1.raw'!AK309</f>
        <v>SAMPLE WITH FPa1003,FPb1003,FPc1003,FPd1003,FPe1003, RED COLONY(100ml=0)</v>
      </c>
    </row>
    <row r="523">
      <c r="A523" s="23" t="str">
        <f t="shared" si="8"/>
        <v>FB1083</v>
      </c>
      <c r="B523" s="23" t="str">
        <f>'3.1.raw'!L302</f>
        <v>FB1083</v>
      </c>
      <c r="C523" s="24">
        <f>datevalue(left('3.1.raw'!O302,10))</f>
        <v>43760</v>
      </c>
      <c r="D523" s="23">
        <f>'3.1.raw'!I302</f>
        <v>99</v>
      </c>
      <c r="E523" s="1">
        <v>3.1</v>
      </c>
      <c r="F523" s="23" t="b">
        <f>if(countif(Status!C:C,A523)=1,TRUE, FALSE)</f>
        <v>1</v>
      </c>
      <c r="G523" s="1">
        <f t="shared" si="2"/>
        <v>0</v>
      </c>
      <c r="H523" s="1">
        <f>'3.1.raw'!Z302</f>
        <v>0</v>
      </c>
      <c r="I523" s="1">
        <v>0.0</v>
      </c>
      <c r="J523" s="1" t="str">
        <f>'3.1.raw'!AK302</f>
        <v>SAMPLE WITH MO1105, PALMAR BAZAR, DPS, RED COLONY(100ml=0)</v>
      </c>
    </row>
    <row r="524">
      <c r="A524" s="23" t="str">
        <f t="shared" si="8"/>
        <v>FB1082</v>
      </c>
      <c r="B524" s="23" t="str">
        <f>'3.1.raw'!L301</f>
        <v>FB1082</v>
      </c>
      <c r="C524" s="24">
        <f>datevalue(left('3.1.raw'!O301,10))</f>
        <v>43760</v>
      </c>
      <c r="D524" s="23">
        <f>'3.1.raw'!I301</f>
        <v>99</v>
      </c>
      <c r="E524" s="1">
        <v>3.1</v>
      </c>
      <c r="F524" s="23" t="b">
        <f>if(countif(Status!C:C,A524)=1,TRUE, FALSE)</f>
        <v>1</v>
      </c>
      <c r="G524" s="1">
        <f t="shared" si="2"/>
        <v>0</v>
      </c>
      <c r="H524" s="1">
        <f>'3.1.raw'!Z301</f>
        <v>0</v>
      </c>
      <c r="I524" s="1">
        <v>0.0</v>
      </c>
      <c r="J524" s="1" t="str">
        <f>'3.1.raw'!AK301</f>
        <v>SAMPLE WITH MO1104, KMC, PAGLADANGA ROOD, RED COLONY(100ml=0)</v>
      </c>
    </row>
    <row r="525">
      <c r="A525" s="23" t="str">
        <f t="shared" si="8"/>
        <v>FB1080</v>
      </c>
      <c r="B525" s="23" t="str">
        <f>'3.1.raw'!L297</f>
        <v>FB1080</v>
      </c>
      <c r="C525" s="24">
        <f>datevalue(left('3.1.raw'!O297,10))</f>
        <v>43759</v>
      </c>
      <c r="D525" s="23">
        <f>'3.1.raw'!I297</f>
        <v>99</v>
      </c>
      <c r="E525" s="1">
        <v>3.1</v>
      </c>
      <c r="F525" s="23" t="b">
        <f>if(countif(Status!C:C,A525)=1,TRUE, FALSE)</f>
        <v>1</v>
      </c>
      <c r="G525" s="1">
        <f t="shared" si="2"/>
        <v>0</v>
      </c>
      <c r="H525" s="1">
        <f>'3.1.raw'!Z297</f>
        <v>0</v>
      </c>
      <c r="I525" s="1">
        <v>0.0</v>
      </c>
      <c r="J525" s="1" t="str">
        <f>'3.1.raw'!AK297</f>
        <v>SAMPLE WITH PLc1042, ARADHYA DAS,11B RAICHARAM PAL LANE, RED COLONY(100ml=0)</v>
      </c>
    </row>
    <row r="526">
      <c r="A526" s="1" t="s">
        <v>1439</v>
      </c>
      <c r="B526" s="23" t="str">
        <f>'3.1.raw'!L299</f>
        <v>FB1080</v>
      </c>
      <c r="C526" s="24">
        <f>datevalue(left('3.1.raw'!O299,10))</f>
        <v>43759</v>
      </c>
      <c r="D526" s="23">
        <f>'3.1.raw'!I299</f>
        <v>99</v>
      </c>
      <c r="E526" s="1">
        <v>3.1</v>
      </c>
      <c r="F526" s="23" t="b">
        <f>if(countif(Status!C:C,A526)=1,TRUE, FALSE)</f>
        <v>1</v>
      </c>
      <c r="G526" s="1">
        <f t="shared" si="2"/>
        <v>0</v>
      </c>
      <c r="H526" s="1">
        <f>'3.1.raw'!Z299</f>
        <v>0</v>
      </c>
      <c r="I526" s="1">
        <v>0.0</v>
      </c>
      <c r="J526" s="1" t="str">
        <f>'3.1.raw'!AK299</f>
        <v>SAMPLE WITH PLc1043, REHAN SK,45, TILJALA ROOD, RED COLONY(100ml=0)</v>
      </c>
    </row>
    <row r="527">
      <c r="A527" s="23" t="str">
        <f t="shared" ref="A527:A530" si="9">SUBSTITUTE(B527, " ", "")</f>
        <v>FB1079</v>
      </c>
      <c r="B527" s="23" t="str">
        <f>'3.1.raw'!L295</f>
        <v>FB1079</v>
      </c>
      <c r="C527" s="24">
        <f>datevalue(left('3.1.raw'!O295,10))</f>
        <v>43759</v>
      </c>
      <c r="D527" s="23">
        <f>'3.1.raw'!I295</f>
        <v>99</v>
      </c>
      <c r="E527" s="1">
        <v>3.1</v>
      </c>
      <c r="F527" s="23" t="b">
        <f>if(countif(Status!C:C,A527)=1,TRUE, FALSE)</f>
        <v>1</v>
      </c>
      <c r="G527" s="1">
        <f t="shared" si="2"/>
        <v>0</v>
      </c>
      <c r="H527" s="1">
        <f>'3.1.raw'!Z295</f>
        <v>0</v>
      </c>
      <c r="I527" s="1">
        <v>0.0</v>
      </c>
      <c r="J527" s="1" t="str">
        <f>'3.1.raw'!AK295</f>
        <v>SAMPLE WITH PLc1041, SARMISTHA DHALI, 10D MAHENDRA ROY LANE, RED COLONY(100ml=0)</v>
      </c>
    </row>
    <row r="528">
      <c r="A528" s="23" t="str">
        <f t="shared" si="9"/>
        <v>FB1078</v>
      </c>
      <c r="B528" s="23" t="str">
        <f>'3.1.raw'!L293</f>
        <v>FB1078</v>
      </c>
      <c r="C528" s="24">
        <f>datevalue(left('3.1.raw'!O293,10))</f>
        <v>43759</v>
      </c>
      <c r="D528" s="23">
        <f>'3.1.raw'!I293</f>
        <v>99</v>
      </c>
      <c r="E528" s="1">
        <v>3.1</v>
      </c>
      <c r="F528" s="23" t="b">
        <f>if(countif(Status!C:C,A528)=1,TRUE, FALSE)</f>
        <v>1</v>
      </c>
      <c r="G528" s="1">
        <f t="shared" si="2"/>
        <v>0</v>
      </c>
      <c r="H528" s="1">
        <f>'3.1.raw'!Z293</f>
        <v>0</v>
      </c>
      <c r="I528" s="1">
        <v>0.0</v>
      </c>
      <c r="J528" s="1" t="str">
        <f>'3.1.raw'!AK293</f>
        <v>SAMPLE WITH PLc1040, ADITYA DAS, 14A/MAHENDRA ROY LANE, RED COLONY(100ml=0)</v>
      </c>
    </row>
    <row r="529">
      <c r="A529" s="23" t="str">
        <f t="shared" si="9"/>
        <v>FB1077</v>
      </c>
      <c r="B529" s="23" t="str">
        <f>'3.1.raw'!L291</f>
        <v>FB1077</v>
      </c>
      <c r="C529" s="24">
        <f>datevalue(left('3.1.raw'!O291,10))</f>
        <v>43759</v>
      </c>
      <c r="D529" s="23">
        <f>'3.1.raw'!I291</f>
        <v>99</v>
      </c>
      <c r="E529" s="1">
        <v>3.1</v>
      </c>
      <c r="F529" s="23" t="b">
        <f>if(countif(Status!C:C,A529)=1,TRUE, FALSE)</f>
        <v>1</v>
      </c>
      <c r="G529" s="1">
        <f t="shared" si="2"/>
        <v>0</v>
      </c>
      <c r="H529" s="1">
        <f>'3.1.raw'!Z291</f>
        <v>0</v>
      </c>
      <c r="I529" s="1">
        <v>0.0</v>
      </c>
      <c r="J529" s="1" t="str">
        <f>'3.1.raw'!AK291</f>
        <v>SAMPLE WITH PLc1039, SAGARTA,14A MAHENDRA RAY LANE,RED COLONY(100ml=0) DASGUP</v>
      </c>
    </row>
    <row r="530">
      <c r="A530" s="23" t="str">
        <f t="shared" si="9"/>
        <v>FB1075</v>
      </c>
      <c r="B530" s="23" t="str">
        <f>'3.1.raw'!L287</f>
        <v>FB1075</v>
      </c>
      <c r="C530" s="24">
        <f>datevalue(left('3.1.raw'!O287,10))</f>
        <v>43755</v>
      </c>
      <c r="D530" s="23">
        <f>'3.1.raw'!I287</f>
        <v>99</v>
      </c>
      <c r="E530" s="1">
        <v>3.1</v>
      </c>
      <c r="F530" s="23" t="b">
        <f>if(countif(Status!C:C,A530)=1,TRUE, FALSE)</f>
        <v>1</v>
      </c>
      <c r="G530" s="1">
        <f t="shared" si="2"/>
        <v>0</v>
      </c>
      <c r="H530" s="1">
        <f>'3.1.raw'!Z287</f>
        <v>0</v>
      </c>
      <c r="I530" s="1">
        <v>0.0</v>
      </c>
      <c r="J530" s="1" t="str">
        <f>'3.1.raw'!AK287</f>
        <v>SAMPLE WITH MO1103, TOPSIA OLD DPS, RED COLONY(100ml=0)</v>
      </c>
    </row>
    <row r="531">
      <c r="A531" s="97" t="s">
        <v>1399</v>
      </c>
      <c r="B531" s="23" t="str">
        <f>'3.1.raw'!L288</f>
        <v>FB1075</v>
      </c>
      <c r="C531" s="24">
        <f>datevalue(left('3.1.raw'!O288,10))</f>
        <v>43755</v>
      </c>
      <c r="D531" s="23">
        <f>'3.1.raw'!I288</f>
        <v>99</v>
      </c>
      <c r="E531" s="1">
        <v>3.1</v>
      </c>
      <c r="F531" s="23" t="b">
        <f>if(countif(Status!C:C,A531)=1,TRUE, FALSE)</f>
        <v>1</v>
      </c>
      <c r="G531" s="1">
        <f t="shared" si="2"/>
        <v>0</v>
      </c>
      <c r="H531" s="1">
        <f>'3.1.raw'!Z288</f>
        <v>0</v>
      </c>
      <c r="I531" s="1">
        <v>0.0</v>
      </c>
      <c r="J531" s="1" t="str">
        <f>'3.1.raw'!AK288</f>
        <v>SAMPLE WITH MO1102, AMBEDKAR BRIDGE,DPS, RED COLONY(100ml=0)</v>
      </c>
    </row>
    <row r="532">
      <c r="A532" s="23" t="str">
        <f t="shared" ref="A532:A948" si="10">SUBSTITUTE(B532, " ", "")</f>
        <v>FB1074</v>
      </c>
      <c r="B532" s="23" t="str">
        <f>'3.1.raw'!L286</f>
        <v>FB1074</v>
      </c>
      <c r="C532" s="24">
        <f>datevalue(left('3.1.raw'!O286,10))</f>
        <v>43755</v>
      </c>
      <c r="D532" s="23">
        <f>'3.1.raw'!I286</f>
        <v>99</v>
      </c>
      <c r="E532" s="1">
        <v>3.1</v>
      </c>
      <c r="F532" s="23" t="b">
        <f>if(countif(Status!C:C,A532)=1,TRUE, FALSE)</f>
        <v>1</v>
      </c>
      <c r="G532" s="1">
        <f t="shared" si="2"/>
        <v>0</v>
      </c>
      <c r="H532" s="1">
        <f>'3.1.raw'!Z286</f>
        <v>0</v>
      </c>
      <c r="I532" s="1">
        <v>0.0</v>
      </c>
      <c r="J532" s="1" t="str">
        <f>'3.1.raw'!AK286</f>
        <v>SAMPE WITH PLc1038,SHRUTI HAZRA,13/2 MAHENDRA ROY LANE, RED COLONY(100ml=0)</v>
      </c>
    </row>
    <row r="533">
      <c r="A533" s="23" t="str">
        <f t="shared" si="10"/>
        <v>FB1073</v>
      </c>
      <c r="B533" s="23" t="str">
        <f>'3.1.raw'!L284</f>
        <v>FB1073</v>
      </c>
      <c r="C533" s="24">
        <f>datevalue(left('3.1.raw'!O284,10))</f>
        <v>43755</v>
      </c>
      <c r="D533" s="23">
        <f>'3.1.raw'!I284</f>
        <v>99</v>
      </c>
      <c r="E533" s="1">
        <v>3.1</v>
      </c>
      <c r="F533" s="23" t="b">
        <f>if(countif(Status!C:C,A533)=1,TRUE, FALSE)</f>
        <v>1</v>
      </c>
      <c r="G533" s="1">
        <f t="shared" si="2"/>
        <v>0</v>
      </c>
      <c r="H533" s="1">
        <f>'3.1.raw'!Z284</f>
        <v>0</v>
      </c>
      <c r="I533" s="1">
        <v>0.0</v>
      </c>
      <c r="J533" s="1" t="str">
        <f>'3.1.raw'!AK284</f>
        <v>SAMPLE WITH PLc1037, SUMIT Kr. PRASAD,13/2 MAHENDRA ROY LANE, RED COLONY(100ml=0)</v>
      </c>
    </row>
    <row r="534">
      <c r="A534" s="23" t="str">
        <f t="shared" si="10"/>
        <v>FB1072</v>
      </c>
      <c r="B534" s="23" t="str">
        <f>'3.1.raw'!L281</f>
        <v>FB1072</v>
      </c>
      <c r="C534" s="24">
        <f>datevalue(left('3.1.raw'!O281,10))</f>
        <v>43753</v>
      </c>
      <c r="D534" s="23">
        <f>'3.1.raw'!I281</f>
        <v>99</v>
      </c>
      <c r="E534" s="1">
        <v>3.1</v>
      </c>
      <c r="F534" s="23" t="b">
        <f>if(countif(Status!C:C,A534)=1,TRUE, FALSE)</f>
        <v>1</v>
      </c>
      <c r="G534" s="1">
        <f t="shared" si="2"/>
        <v>0</v>
      </c>
      <c r="H534" s="1">
        <f>'3.1.raw'!Z281</f>
        <v>0</v>
      </c>
      <c r="I534" s="1">
        <v>0.0</v>
      </c>
      <c r="J534" s="1" t="str">
        <f>'3.1.raw'!AK281</f>
        <v>SAMPLE WITH MO1101, PALMAR BAZAR,DPS,0/1 PALMAR BAZAR ROOD, RED COLONY(100=0)</v>
      </c>
    </row>
    <row r="535">
      <c r="A535" s="23" t="str">
        <f t="shared" si="10"/>
        <v>FB1071</v>
      </c>
      <c r="B535" s="23" t="str">
        <f>'3.1.raw'!L280</f>
        <v>FB1071</v>
      </c>
      <c r="C535" s="24">
        <f>datevalue(left('3.1.raw'!O280,10))</f>
        <v>43753</v>
      </c>
      <c r="D535" s="23">
        <f>'3.1.raw'!I280</f>
        <v>99</v>
      </c>
      <c r="E535" s="1">
        <v>3.1</v>
      </c>
      <c r="F535" s="23" t="b">
        <f>if(countif(Status!C:C,A535)=1,TRUE, FALSE)</f>
        <v>1</v>
      </c>
      <c r="G535" s="1">
        <f t="shared" si="2"/>
        <v>0</v>
      </c>
      <c r="H535" s="1">
        <f>'3.1.raw'!Z280</f>
        <v>0</v>
      </c>
      <c r="I535" s="1">
        <v>0.0</v>
      </c>
      <c r="J535" s="1" t="str">
        <f>'3.1.raw'!AK280</f>
        <v>SAMPLE WITH MO1100, PAGLADANGA, DPS, 1 NO PAGLADANGA ROOD, RED COLONY(100ml=0)</v>
      </c>
    </row>
    <row r="536">
      <c r="A536" s="23" t="str">
        <f t="shared" si="10"/>
        <v>FB1070</v>
      </c>
      <c r="B536" s="23" t="str">
        <f>'3.1.raw'!L278</f>
        <v>FB1070</v>
      </c>
      <c r="C536" s="24">
        <f>datevalue(left('3.1.raw'!O278,10))</f>
        <v>43752</v>
      </c>
      <c r="D536" s="23">
        <f>'3.1.raw'!I278</f>
        <v>99</v>
      </c>
      <c r="E536" s="1">
        <v>3.1</v>
      </c>
      <c r="F536" s="23" t="b">
        <f>if(countif(Status!C:C,A536)=1,TRUE, FALSE)</f>
        <v>1</v>
      </c>
      <c r="G536" s="1">
        <f t="shared" si="2"/>
        <v>0</v>
      </c>
      <c r="H536" s="1">
        <f>'3.1.raw'!Z278</f>
        <v>0</v>
      </c>
      <c r="I536" s="1">
        <v>0.0</v>
      </c>
      <c r="J536" s="1" t="str">
        <f>'3.1.raw'!AK278</f>
        <v>SAMPLE WITH PLC1036,SRUTI HAZRA,13/2 MAHENDRA ROY LANE, RED COLONY(100ml=0)</v>
      </c>
    </row>
    <row r="537">
      <c r="A537" s="23" t="str">
        <f t="shared" si="10"/>
        <v>FB1069</v>
      </c>
      <c r="B537" s="23" t="str">
        <f>'3.1.raw'!L276</f>
        <v>FB1069</v>
      </c>
      <c r="C537" s="24">
        <f>datevalue(left('3.1.raw'!O276,10))</f>
        <v>43752</v>
      </c>
      <c r="D537" s="23">
        <f>'3.1.raw'!I276</f>
        <v>99</v>
      </c>
      <c r="E537" s="1">
        <v>3.1</v>
      </c>
      <c r="F537" s="23" t="b">
        <f>if(countif(Status!C:C,A537)=1,TRUE, FALSE)</f>
        <v>1</v>
      </c>
      <c r="G537" s="1">
        <f t="shared" si="2"/>
        <v>0</v>
      </c>
      <c r="H537" s="1">
        <f>'3.1.raw'!Z276</f>
        <v>0</v>
      </c>
      <c r="I537" s="1">
        <v>0.0</v>
      </c>
      <c r="J537" s="1" t="str">
        <f>'3.1.raw'!AK276</f>
        <v>SAMPLE WITH PLc1035, SUMIT Kr. PRASAD, 3/2 MAHENDRA RAY LANE,RED COLONY(100ml=0)</v>
      </c>
    </row>
    <row r="538">
      <c r="A538" s="23" t="str">
        <f t="shared" si="10"/>
        <v>FB1068</v>
      </c>
      <c r="B538" s="23" t="str">
        <f>'3.1.raw'!L273</f>
        <v>FB1068</v>
      </c>
      <c r="C538" s="24">
        <f>datevalue(left('3.1.raw'!O273,10))</f>
        <v>43741</v>
      </c>
      <c r="D538" s="23">
        <f>'3.1.raw'!I273</f>
        <v>99</v>
      </c>
      <c r="E538" s="1">
        <v>3.1</v>
      </c>
      <c r="F538" s="23" t="b">
        <f>if(countif(Status!C:C,A538)=1,TRUE, FALSE)</f>
        <v>1</v>
      </c>
      <c r="G538" s="1">
        <f t="shared" si="2"/>
        <v>0</v>
      </c>
      <c r="H538" s="1">
        <f>'3.1.raw'!Z273</f>
        <v>0</v>
      </c>
      <c r="I538" s="1">
        <v>0.0</v>
      </c>
      <c r="J538" s="1" t="str">
        <f>'3.1.raw'!AK273</f>
        <v>SAMPLE WITH PLc1034, SHRUTI HAZRA, MAHENDRA ROY LANE, RED COLONY(100ml=0)</v>
      </c>
    </row>
    <row r="539">
      <c r="A539" s="23" t="str">
        <f t="shared" si="10"/>
        <v>FB1067</v>
      </c>
      <c r="B539" s="23" t="str">
        <f>'3.1.raw'!L271</f>
        <v>FB1067</v>
      </c>
      <c r="C539" s="24">
        <f>datevalue(left('3.1.raw'!O271,10))</f>
        <v>43741</v>
      </c>
      <c r="D539" s="23">
        <f>'3.1.raw'!I271</f>
        <v>99</v>
      </c>
      <c r="E539" s="1">
        <v>3.1</v>
      </c>
      <c r="F539" s="23" t="b">
        <f>if(countif(Status!C:C,A539)=1,TRUE, FALSE)</f>
        <v>1</v>
      </c>
      <c r="G539" s="1">
        <f t="shared" si="2"/>
        <v>0</v>
      </c>
      <c r="H539" s="1">
        <f>'3.1.raw'!Z271</f>
        <v>0</v>
      </c>
      <c r="I539" s="1">
        <v>0.0</v>
      </c>
      <c r="J539" s="1" t="str">
        <f>'3.1.raw'!AK271</f>
        <v>SAMPLE WITH PLc1033, SUMIT KUMAR PRASAD,13/2 MAHENDRA ROY LANE, RED COLONY(100ml=0)</v>
      </c>
    </row>
    <row r="540">
      <c r="A540" s="23" t="str">
        <f t="shared" si="10"/>
        <v>FB1066</v>
      </c>
      <c r="B540" s="23" t="str">
        <f>'3.1.raw'!L269</f>
        <v>FB1066</v>
      </c>
      <c r="C540" s="24">
        <f>datevalue(left('3.1.raw'!O269,10))</f>
        <v>43741</v>
      </c>
      <c r="D540" s="23">
        <f>'3.1.raw'!I269</f>
        <v>99</v>
      </c>
      <c r="E540" s="1">
        <v>3.1</v>
      </c>
      <c r="F540" s="23" t="b">
        <f>if(countif(Status!C:C,A540)=1,TRUE, FALSE)</f>
        <v>1</v>
      </c>
      <c r="G540" s="1">
        <f t="shared" si="2"/>
        <v>0</v>
      </c>
      <c r="H540" s="1">
        <f>'3.1.raw'!Z269</f>
        <v>0</v>
      </c>
      <c r="I540" s="1">
        <v>0.0</v>
      </c>
      <c r="J540" s="1" t="str">
        <f>'3.1.raw'!AK269</f>
        <v>SAMPLE WITH PLc1032, TALAT PARVEEN,53/8A TILJALA ROOD, RED COLONY(100ml=0)</v>
      </c>
    </row>
    <row r="541">
      <c r="A541" s="23" t="str">
        <f t="shared" si="10"/>
        <v>FB1065</v>
      </c>
      <c r="B541" s="23" t="str">
        <f>'3.1.raw'!L266</f>
        <v>FB1065</v>
      </c>
      <c r="C541" s="24">
        <f>datevalue(left('3.1.raw'!O266,10))</f>
        <v>43738</v>
      </c>
      <c r="D541" s="23">
        <f>'3.1.raw'!I266</f>
        <v>99</v>
      </c>
      <c r="E541" s="1">
        <v>3.1</v>
      </c>
      <c r="F541" s="23" t="b">
        <f>if(countif(Status!C:C,A541)=1,TRUE, FALSE)</f>
        <v>1</v>
      </c>
      <c r="G541" s="1">
        <f t="shared" si="2"/>
        <v>0</v>
      </c>
      <c r="H541" s="1">
        <f>'3.1.raw'!Z266</f>
        <v>0</v>
      </c>
      <c r="I541" s="1">
        <v>0.0</v>
      </c>
      <c r="J541" s="1" t="str">
        <f>'3.1.raw'!AK266</f>
        <v>sample with PLc1031, 13/2 mahendra roy lane, red colony(100ml=0)</v>
      </c>
    </row>
    <row r="542">
      <c r="A542" s="23" t="str">
        <f t="shared" si="10"/>
        <v>FB1064</v>
      </c>
      <c r="B542" s="23" t="str">
        <f>'3.1.raw'!L264</f>
        <v>FB1064</v>
      </c>
      <c r="C542" s="24">
        <f>datevalue(left('3.1.raw'!O264,10))</f>
        <v>43738</v>
      </c>
      <c r="D542" s="23">
        <f>'3.1.raw'!I264</f>
        <v>99</v>
      </c>
      <c r="E542" s="1">
        <v>3.1</v>
      </c>
      <c r="F542" s="23" t="b">
        <f>if(countif(Status!C:C,A542)=1,TRUE, FALSE)</f>
        <v>1</v>
      </c>
      <c r="G542" s="1">
        <f t="shared" si="2"/>
        <v>0</v>
      </c>
      <c r="H542" s="1">
        <f>'3.1.raw'!Z264</f>
        <v>0</v>
      </c>
      <c r="I542" s="1">
        <v>0.0</v>
      </c>
      <c r="J542" s="1" t="str">
        <f>'3.1.raw'!AK264</f>
        <v>sample with PLc1030, 13/2 mahendra roy lane, red colony(100ml=0)</v>
      </c>
    </row>
    <row r="543">
      <c r="A543" s="23" t="str">
        <f t="shared" si="10"/>
        <v>FB1063</v>
      </c>
      <c r="B543" s="23" t="str">
        <f>'3.1.raw'!L262</f>
        <v>FB1063</v>
      </c>
      <c r="C543" s="24">
        <f>datevalue(left('3.1.raw'!O262,10))</f>
        <v>43738</v>
      </c>
      <c r="D543" s="23">
        <f>'3.1.raw'!I262</f>
        <v>99</v>
      </c>
      <c r="E543" s="1">
        <v>3.1</v>
      </c>
      <c r="F543" s="23" t="b">
        <f>if(countif(Status!C:C,A543)=1,TRUE, FALSE)</f>
        <v>1</v>
      </c>
      <c r="G543" s="1">
        <f t="shared" si="2"/>
        <v>0</v>
      </c>
      <c r="H543" s="1">
        <f>'3.1.raw'!Z262</f>
        <v>0</v>
      </c>
      <c r="I543" s="1">
        <v>0.0</v>
      </c>
      <c r="J543" s="1" t="str">
        <f>'3.1.raw'!AK262</f>
        <v>sample with PLc1029, talat parveen,53/8A, tiljala rood, red colony(100ml=0)</v>
      </c>
    </row>
    <row r="544">
      <c r="A544" s="23" t="str">
        <f t="shared" si="10"/>
        <v>FB1062</v>
      </c>
      <c r="B544" s="23" t="str">
        <f>'3.1.raw'!L259</f>
        <v>FB1062</v>
      </c>
      <c r="C544" s="24">
        <f>datevalue(left('3.1.raw'!O259,10))</f>
        <v>43734</v>
      </c>
      <c r="D544" s="23">
        <f>'3.1.raw'!I259</f>
        <v>99</v>
      </c>
      <c r="E544" s="1">
        <v>3.1</v>
      </c>
      <c r="F544" s="23" t="b">
        <f>if(countif(Status!C:C,A544)=1,TRUE, FALSE)</f>
        <v>1</v>
      </c>
      <c r="G544" s="1">
        <f t="shared" si="2"/>
        <v>0</v>
      </c>
      <c r="H544" s="1">
        <f>'3.1.raw'!Z259</f>
        <v>0</v>
      </c>
      <c r="I544" s="1">
        <v>0.0</v>
      </c>
      <c r="J544" s="1" t="str">
        <f>'3.1.raw'!AK259</f>
        <v>SAMPLE WITH MO1099, TOPSIA, OLD DPS, RED COLONY(100ml=0)</v>
      </c>
    </row>
    <row r="545">
      <c r="A545" s="23" t="str">
        <f t="shared" si="10"/>
        <v>FB1061</v>
      </c>
      <c r="B545" s="23" t="str">
        <f>'3.1.raw'!L258</f>
        <v>FB1061</v>
      </c>
      <c r="C545" s="24">
        <f>datevalue(left('3.1.raw'!O258,10))</f>
        <v>43734</v>
      </c>
      <c r="D545" s="23">
        <f>'3.1.raw'!I258</f>
        <v>99</v>
      </c>
      <c r="E545" s="1">
        <v>3.1</v>
      </c>
      <c r="F545" s="23" t="b">
        <f>if(countif(Status!C:C,A545)=1,TRUE, FALSE)</f>
        <v>1</v>
      </c>
      <c r="G545" s="1">
        <f t="shared" si="2"/>
        <v>0</v>
      </c>
      <c r="H545" s="1">
        <f>'3.1.raw'!Z258</f>
        <v>0</v>
      </c>
      <c r="I545" s="1">
        <v>0.0</v>
      </c>
      <c r="J545" s="1" t="str">
        <f>'3.1.raw'!AK258</f>
        <v>SAMPLE WITH MO1098,AMBEDKAR BRIGDE,DPS, RED COLONY(100ml=0)</v>
      </c>
    </row>
    <row r="546">
      <c r="A546" s="23" t="str">
        <f t="shared" si="10"/>
        <v>FB1060</v>
      </c>
      <c r="B546" s="23" t="str">
        <f>'3.1.raw'!L257</f>
        <v>FB1060</v>
      </c>
      <c r="C546" s="24">
        <f>datevalue(left('3.1.raw'!O257,10))</f>
        <v>43734</v>
      </c>
      <c r="D546" s="23">
        <f>'3.1.raw'!I257</f>
        <v>99</v>
      </c>
      <c r="E546" s="1">
        <v>3.1</v>
      </c>
      <c r="F546" s="23" t="b">
        <f>if(countif(Status!C:C,A546)=1,TRUE, FALSE)</f>
        <v>1</v>
      </c>
      <c r="G546" s="1">
        <f t="shared" si="2"/>
        <v>0</v>
      </c>
      <c r="H546" s="1">
        <f>'3.1.raw'!Z257</f>
        <v>0</v>
      </c>
      <c r="I546" s="1">
        <v>0.0</v>
      </c>
      <c r="J546" s="1" t="str">
        <f>'3.1.raw'!AK257</f>
        <v>SAMPLE WITH PLc1028,TALAT PARVEEN53/8A TILJALA ROOD, RED COLONY(100=0)</v>
      </c>
    </row>
    <row r="547">
      <c r="A547" s="23" t="str">
        <f t="shared" si="10"/>
        <v>FB1059</v>
      </c>
      <c r="B547" s="23" t="str">
        <f>'3.1.raw'!L254</f>
        <v>FB1059</v>
      </c>
      <c r="C547" s="24">
        <f>datevalue(left('3.1.raw'!O254,10))</f>
        <v>43732</v>
      </c>
      <c r="D547" s="23">
        <f>'3.1.raw'!I254</f>
        <v>99</v>
      </c>
      <c r="E547" s="1">
        <v>3.1</v>
      </c>
      <c r="F547" s="23" t="b">
        <f>if(countif(Status!C:C,A547)=1,TRUE, FALSE)</f>
        <v>1</v>
      </c>
      <c r="G547" s="1">
        <f t="shared" si="2"/>
        <v>0</v>
      </c>
      <c r="H547" s="1">
        <f>'3.1.raw'!Z254</f>
        <v>0</v>
      </c>
      <c r="J547" s="1" t="str">
        <f>'3.1.raw'!AK254</f>
        <v>SAMPLE WITH MO1059, PALMAR BAZAR,DPS, RED COLONY(100ml=0)</v>
      </c>
    </row>
    <row r="548">
      <c r="A548" s="23" t="str">
        <f t="shared" si="10"/>
        <v>FB1058</v>
      </c>
      <c r="B548" s="23" t="str">
        <f>'3.1.raw'!L253</f>
        <v>FB1058</v>
      </c>
      <c r="C548" s="24">
        <f>datevalue(left('3.1.raw'!O253,10))</f>
        <v>43732</v>
      </c>
      <c r="D548" s="23">
        <f>'3.1.raw'!I253</f>
        <v>99</v>
      </c>
      <c r="E548" s="1">
        <v>3.1</v>
      </c>
      <c r="F548" s="23" t="b">
        <f>if(countif(Status!C:C,A548)=1,TRUE, FALSE)</f>
        <v>1</v>
      </c>
      <c r="G548" s="1">
        <f t="shared" si="2"/>
        <v>0</v>
      </c>
      <c r="H548" s="1">
        <f>'3.1.raw'!Z253</f>
        <v>0</v>
      </c>
      <c r="J548" s="1" t="str">
        <f>'3.1.raw'!AK253</f>
        <v>SAMPLE WITH MO1096, PAGLADANGA,DPS, RED COLONY (100ml=0)</v>
      </c>
    </row>
    <row r="549">
      <c r="A549" s="23" t="str">
        <f t="shared" si="10"/>
        <v>FB1057</v>
      </c>
      <c r="B549" s="23" t="str">
        <f>'3.1.raw'!L250</f>
        <v>FB1057</v>
      </c>
      <c r="C549" s="24">
        <f>datevalue(left('3.1.raw'!O250,10))</f>
        <v>43731</v>
      </c>
      <c r="D549" s="23">
        <f>'3.1.raw'!I250</f>
        <v>99</v>
      </c>
      <c r="E549" s="1">
        <v>3.1</v>
      </c>
      <c r="F549" s="23" t="b">
        <f>if(countif(Status!C:C,A549)=1,TRUE, FALSE)</f>
        <v>1</v>
      </c>
      <c r="G549" s="1">
        <f t="shared" si="2"/>
        <v>0</v>
      </c>
      <c r="H549" s="1">
        <f>'3.1.raw'!Z250</f>
        <v>0</v>
      </c>
      <c r="J549" s="1" t="str">
        <f>'3.1.raw'!AK250</f>
        <v>SAMPLE WITH PLc1027, PAGLADANGA,DPS, RED COLONY(100ml=0)</v>
      </c>
    </row>
    <row r="550">
      <c r="A550" s="23" t="str">
        <f t="shared" si="10"/>
        <v>FB1056</v>
      </c>
      <c r="B550" s="23" t="str">
        <f>'3.1.raw'!L248</f>
        <v>FB1056</v>
      </c>
      <c r="C550" s="24">
        <f>datevalue(left('3.1.raw'!O248,10))</f>
        <v>43727</v>
      </c>
      <c r="D550" s="23">
        <f>'3.1.raw'!I248</f>
        <v>99</v>
      </c>
      <c r="E550" s="1">
        <v>3.1</v>
      </c>
      <c r="F550" s="23" t="b">
        <f>if(countif(Status!C:C,A550)=1,TRUE, FALSE)</f>
        <v>1</v>
      </c>
      <c r="G550" s="1">
        <f t="shared" si="2"/>
        <v>0</v>
      </c>
      <c r="H550" s="1">
        <f>'3.1.raw'!Z248</f>
        <v>0</v>
      </c>
      <c r="I550" s="1">
        <v>0.0</v>
      </c>
      <c r="J550" s="1" t="str">
        <f>'3.1.raw'!AK248</f>
        <v>(SAMPLE WITH MO1095), CHINGRIGHATA, DPS, RANI RASHMANI GARDEN, RED COLONY(100ml=0)</v>
      </c>
    </row>
    <row r="551">
      <c r="A551" s="23" t="str">
        <f t="shared" si="10"/>
        <v>FB1055</v>
      </c>
      <c r="B551" s="23" t="str">
        <f>'3.1.raw'!L247</f>
        <v>FB1055</v>
      </c>
      <c r="C551" s="24">
        <f>datevalue(left('3.1.raw'!O247,10))</f>
        <v>43727</v>
      </c>
      <c r="D551" s="23">
        <f>'3.1.raw'!I247</f>
        <v>99</v>
      </c>
      <c r="E551" s="1">
        <v>3.1</v>
      </c>
      <c r="F551" s="23" t="b">
        <f>if(countif(Status!C:C,A551)=1,TRUE, FALSE)</f>
        <v>1</v>
      </c>
      <c r="G551" s="1">
        <f t="shared" si="2"/>
        <v>0</v>
      </c>
      <c r="H551" s="1">
        <f>'3.1.raw'!Z247</f>
        <v>0</v>
      </c>
      <c r="I551" s="1">
        <v>1.0</v>
      </c>
      <c r="J551" s="1" t="str">
        <f>'3.1.raw'!AK247</f>
        <v>(SAMPLE WITH PLc1026), TALAT PARVEEN,52/84 TILJALA ROOD,RED COLONY(100ml=1)</v>
      </c>
    </row>
    <row r="552">
      <c r="A552" s="23" t="str">
        <f t="shared" si="10"/>
        <v>FB1054</v>
      </c>
      <c r="B552" s="23" t="str">
        <f>'3.1.raw'!L244</f>
        <v>FB1054</v>
      </c>
      <c r="C552" s="24">
        <f>datevalue(left('3.1.raw'!O244,10))</f>
        <v>43725</v>
      </c>
      <c r="D552" s="23">
        <f>'3.1.raw'!I244</f>
        <v>99</v>
      </c>
      <c r="E552" s="1">
        <v>3.1</v>
      </c>
      <c r="F552" s="23" t="b">
        <f>if(countif(Status!C:C,A552)=1,TRUE, FALSE)</f>
        <v>1</v>
      </c>
      <c r="G552" s="1">
        <f t="shared" si="2"/>
        <v>0</v>
      </c>
      <c r="H552" s="1">
        <f>'3.1.raw'!Z244</f>
        <v>0</v>
      </c>
      <c r="I552" s="1">
        <v>0.0</v>
      </c>
      <c r="J552" s="1" t="str">
        <f>'3.1.raw'!AK244</f>
        <v>(SAMPLE WITH MO1094), PAGLADANGA ,DPS, RED COLONY(100ml=0)</v>
      </c>
    </row>
    <row r="553">
      <c r="A553" s="23" t="str">
        <f t="shared" si="10"/>
        <v>FB1053</v>
      </c>
      <c r="B553" s="23" t="str">
        <f>'3.1.raw'!L243</f>
        <v>FB1053</v>
      </c>
      <c r="C553" s="24">
        <f>datevalue(left('3.1.raw'!O243,10))</f>
        <v>43725</v>
      </c>
      <c r="D553" s="23">
        <f>'3.1.raw'!I243</f>
        <v>99</v>
      </c>
      <c r="E553" s="1">
        <v>3.1</v>
      </c>
      <c r="F553" s="23" t="b">
        <f>if(countif(Status!C:C,A553)=1,TRUE, FALSE)</f>
        <v>1</v>
      </c>
      <c r="G553" s="1">
        <f t="shared" si="2"/>
        <v>1</v>
      </c>
      <c r="H553" s="1">
        <f>'3.1.raw'!Z243</f>
        <v>1</v>
      </c>
      <c r="I553" s="1">
        <v>1.0</v>
      </c>
      <c r="J553" s="1" t="str">
        <f>'3.1.raw'!AK243</f>
        <v>SAMPLE WITH (COa1004,COb1010,COb1011,COb1012,COb1013), RAJAR GHAT, NATUN PARA,DHAPA DHIPI,RED COLONY(100ml=2)</v>
      </c>
    </row>
    <row r="554">
      <c r="A554" s="23" t="str">
        <f t="shared" si="10"/>
        <v>FB1052</v>
      </c>
      <c r="B554" s="23" t="str">
        <f>'3.1.raw'!L237</f>
        <v>FB1052</v>
      </c>
      <c r="C554" s="24">
        <f>datevalue(left('3.1.raw'!O237,10))</f>
        <v>43725</v>
      </c>
      <c r="D554" s="23">
        <f>'3.1.raw'!I237</f>
        <v>99</v>
      </c>
      <c r="E554" s="1">
        <v>3.1</v>
      </c>
      <c r="F554" s="23" t="b">
        <f>if(countif(Status!C:C,A554)=1,TRUE, FALSE)</f>
        <v>1</v>
      </c>
      <c r="G554" s="1">
        <f t="shared" si="2"/>
        <v>0</v>
      </c>
      <c r="H554" s="1">
        <f>'3.1.raw'!Z237</f>
        <v>0</v>
      </c>
      <c r="I554" s="1">
        <v>0.0</v>
      </c>
      <c r="J554" s="1" t="str">
        <f>'3.1.raw'!AK237</f>
        <v>SAMPLE WITH (COa1003,COb1007,COb1008,COb1009), DHAPA DHIPI, RAJARGHAT, NATUN PARA, RED COLONY(100ml=0)</v>
      </c>
    </row>
    <row r="555">
      <c r="A555" s="23" t="str">
        <f t="shared" si="10"/>
        <v>FB1051</v>
      </c>
      <c r="B555" s="23" t="str">
        <f>'3.1.raw'!L231</f>
        <v>FB1051</v>
      </c>
      <c r="C555" s="24">
        <f>datevalue(left('3.1.raw'!O231,10))</f>
        <v>43724</v>
      </c>
      <c r="D555" s="23">
        <f>'3.1.raw'!I231</f>
        <v>99</v>
      </c>
      <c r="E555" s="1">
        <v>3.1</v>
      </c>
      <c r="F555" s="23" t="b">
        <f>if(countif(Status!C:C,A555)=1,TRUE, FALSE)</f>
        <v>1</v>
      </c>
      <c r="G555" s="1">
        <f t="shared" si="2"/>
        <v>0</v>
      </c>
      <c r="H555" s="1">
        <f>'3.1.raw'!Z231</f>
        <v>0</v>
      </c>
      <c r="I555" s="1">
        <v>1.0</v>
      </c>
      <c r="J555" s="1" t="str">
        <f>'3.1.raw'!AK231</f>
        <v>(SAMPLE WITH PLc1025), TALAT PARVEEN,53/8A TILJALA ROOD, RED COLONY (100ml=1)</v>
      </c>
    </row>
    <row r="556">
      <c r="A556" s="23" t="str">
        <f t="shared" si="10"/>
        <v>FB1050</v>
      </c>
      <c r="B556" s="23" t="str">
        <f>'3.1.raw'!L223</f>
        <v>FB1050</v>
      </c>
      <c r="C556" s="24">
        <f>datevalue(left('3.1.raw'!O223,10))</f>
        <v>43720</v>
      </c>
      <c r="D556" s="23">
        <f>'3.1.raw'!I223</f>
        <v>99</v>
      </c>
      <c r="E556" s="1">
        <v>3.1</v>
      </c>
      <c r="F556" s="23" t="b">
        <f>if(countif(Status!C:C,A556)=1,TRUE, FALSE)</f>
        <v>1</v>
      </c>
      <c r="G556" s="1">
        <f t="shared" si="2"/>
        <v>1</v>
      </c>
      <c r="H556" s="1">
        <f>'3.1.raw'!Z223</f>
        <v>10</v>
      </c>
      <c r="I556" s="1">
        <v>0.0</v>
      </c>
      <c r="J556" s="1" t="str">
        <f>'3.1.raw'!AK223</f>
        <v>HOUSE OF MS KALI RAM/BIKASH SARDAR, RED COLONY (100ml=100)</v>
      </c>
    </row>
    <row r="557">
      <c r="A557" s="23" t="str">
        <f t="shared" si="10"/>
        <v>FB1049</v>
      </c>
      <c r="B557" s="23" t="str">
        <f>'3.1.raw'!L202</f>
        <v>FB1049</v>
      </c>
      <c r="C557" s="24">
        <f>datevalue(left('3.1.raw'!O202,10))</f>
        <v>43719</v>
      </c>
      <c r="D557" s="23">
        <f>'3.1.raw'!I202</f>
        <v>99</v>
      </c>
      <c r="E557" s="1">
        <v>3.1</v>
      </c>
      <c r="F557" s="23" t="b">
        <f>if(countif(Status!C:C,A557)=1,TRUE, FALSE)</f>
        <v>1</v>
      </c>
      <c r="G557" s="1">
        <f t="shared" si="2"/>
        <v>1</v>
      </c>
      <c r="H557" s="1">
        <f>'3.1.raw'!Z202</f>
        <v>2</v>
      </c>
      <c r="I557" s="1">
        <v>1.0</v>
      </c>
      <c r="J557" s="1" t="str">
        <f>'3.1.raw'!AK202</f>
        <v>SAMPLE WITH SL1013,DHAPA DHIPI RAGARGHT NATUNPARA,RED COLONY(100ml=1)</v>
      </c>
    </row>
    <row r="558">
      <c r="A558" s="23" t="str">
        <f t="shared" si="10"/>
        <v>FB1048</v>
      </c>
      <c r="B558" s="23" t="str">
        <f>'3.1.raw'!L204</f>
        <v>FB1048</v>
      </c>
      <c r="C558" s="24">
        <f>datevalue(left('3.1.raw'!O204,10))</f>
        <v>43719</v>
      </c>
      <c r="D558" s="23">
        <f>'3.1.raw'!I204</f>
        <v>99</v>
      </c>
      <c r="E558" s="1">
        <v>3.1</v>
      </c>
      <c r="F558" s="23" t="b">
        <f>if(countif(Status!C:C,A558)=1,TRUE, FALSE)</f>
        <v>1</v>
      </c>
      <c r="G558" s="1">
        <f t="shared" si="2"/>
        <v>0</v>
      </c>
      <c r="H558" s="1">
        <f>'3.1.raw'!Z204</f>
        <v>0</v>
      </c>
      <c r="J558" s="1" t="str">
        <f>'3.1.raw'!AK204</f>
        <v>(SAMPLE WITH SW1010),DHAPA DHIPI RAJAR GHAT NATUN PARA,</v>
      </c>
    </row>
    <row r="559">
      <c r="A559" s="23" t="str">
        <f t="shared" si="10"/>
        <v>FB1047</v>
      </c>
      <c r="B559" s="23" t="str">
        <f>'3.1.raw'!L220</f>
        <v>FB1047</v>
      </c>
      <c r="C559" s="24">
        <f>datevalue(left('3.1.raw'!O220,10))</f>
        <v>43713</v>
      </c>
      <c r="D559" s="23">
        <f>'3.1.raw'!I220</f>
        <v>99</v>
      </c>
      <c r="E559" s="1">
        <v>3.1</v>
      </c>
      <c r="F559" s="23" t="b">
        <f>if(countif(Status!C:C,A559)=1,TRUE, FALSE)</f>
        <v>1</v>
      </c>
      <c r="G559" s="1">
        <f t="shared" si="2"/>
        <v>0</v>
      </c>
      <c r="H559" s="1">
        <f>'3.1.raw'!Z220</f>
        <v>0</v>
      </c>
      <c r="I559" s="1">
        <v>0.0</v>
      </c>
      <c r="J559" s="1" t="str">
        <f>'3.1.raw'!AK220</f>
        <v>SAMPLE WITH MO1093, CHINGRIGHATA,DPS, RED COLONY(100ml=0)</v>
      </c>
    </row>
    <row r="560">
      <c r="A560" s="23" t="str">
        <f t="shared" si="10"/>
        <v>FB1046</v>
      </c>
      <c r="B560" s="23" t="str">
        <f>'3.1.raw'!L211</f>
        <v>FB1046</v>
      </c>
      <c r="C560" s="24">
        <f>datevalue(left('3.1.raw'!O211,10))</f>
        <v>43712</v>
      </c>
      <c r="D560" s="23">
        <f>'3.1.raw'!I211</f>
        <v>99</v>
      </c>
      <c r="E560" s="1">
        <v>3.1</v>
      </c>
      <c r="F560" s="23" t="b">
        <f>if(countif(Status!C:C,A560)=1,TRUE, FALSE)</f>
        <v>1</v>
      </c>
      <c r="G560" s="1">
        <f t="shared" si="2"/>
        <v>0</v>
      </c>
      <c r="H560" s="1">
        <f>'3.1.raw'!Z211</f>
        <v>0</v>
      </c>
      <c r="I560" s="1">
        <v>0.0</v>
      </c>
      <c r="J560" s="1" t="str">
        <f>'3.1.raw'!AK211</f>
        <v>SAMPLE WITH RP1011&amp;RP1012, DHAPA DHIPI RAJARGHAT NATUN PARA RED COLONY(100ml=0)</v>
      </c>
    </row>
    <row r="561">
      <c r="A561" s="23" t="str">
        <f t="shared" si="10"/>
        <v>FB1045</v>
      </c>
      <c r="B561" s="23" t="str">
        <f>'3.1.raw'!L213</f>
        <v>FB1045</v>
      </c>
      <c r="C561" s="24">
        <f>datevalue(left('3.1.raw'!O213,10))</f>
        <v>43712</v>
      </c>
      <c r="D561" s="23">
        <f>'3.1.raw'!I213</f>
        <v>99</v>
      </c>
      <c r="E561" s="1">
        <v>3.1</v>
      </c>
      <c r="F561" s="23" t="b">
        <f>if(countif(Status!C:C,A561)=1,TRUE, FALSE)</f>
        <v>1</v>
      </c>
      <c r="G561" s="1">
        <f t="shared" si="2"/>
        <v>0</v>
      </c>
      <c r="H561" s="1">
        <f>'3.1.raw'!Z213</f>
        <v>0</v>
      </c>
      <c r="I561" s="1">
        <v>0.0</v>
      </c>
      <c r="J561" s="1" t="str">
        <f>'3.1.raw'!AK213</f>
        <v>SAMPLE WITH SF1013, DHAPA DHIPI RAJAR GHAT NAATUN PARA ,RED COLONY (100ml=0)</v>
      </c>
    </row>
    <row r="562">
      <c r="A562" s="23" t="str">
        <f t="shared" si="10"/>
        <v>FB1044</v>
      </c>
      <c r="B562" s="23" t="str">
        <f>'3.1.raw'!L215</f>
        <v>FB1044</v>
      </c>
      <c r="C562" s="24">
        <f>datevalue(left('3.1.raw'!O215,10))</f>
        <v>43712</v>
      </c>
      <c r="D562" s="23">
        <f>'3.1.raw'!I215</f>
        <v>99</v>
      </c>
      <c r="E562" s="1">
        <v>3.1</v>
      </c>
      <c r="F562" s="23" t="b">
        <f>if(countif(Status!C:C,A562)=1,TRUE, FALSE)</f>
        <v>1</v>
      </c>
      <c r="G562" s="1">
        <f t="shared" si="2"/>
        <v>1</v>
      </c>
      <c r="H562" s="1">
        <f>'3.1.raw'!Z215</f>
        <v>16</v>
      </c>
      <c r="I562" s="1">
        <v>1.0</v>
      </c>
      <c r="J562" s="1" t="str">
        <f>'3.1.raw'!AK215</f>
        <v>sample with PL1023, GOBINDO KHATIK ROOD, RED COLONY (100ml=TNTC)</v>
      </c>
    </row>
    <row r="563">
      <c r="A563" s="23" t="str">
        <f t="shared" si="10"/>
        <v>FB1043</v>
      </c>
      <c r="B563" s="23" t="str">
        <f>'3.1.raw'!L198</f>
        <v>FB1043</v>
      </c>
      <c r="C563" s="24">
        <f>datevalue(left('3.1.raw'!O198,10))</f>
        <v>43711</v>
      </c>
      <c r="D563" s="23">
        <f>'3.1.raw'!I198</f>
        <v>99</v>
      </c>
      <c r="E563" s="1">
        <v>3.1</v>
      </c>
      <c r="F563" s="23" t="b">
        <f>if(countif(Status!C:C,A563)=1,TRUE, FALSE)</f>
        <v>1</v>
      </c>
      <c r="G563" s="1">
        <f t="shared" si="2"/>
        <v>0</v>
      </c>
      <c r="H563" s="1">
        <f>'3.1.raw'!Z198</f>
        <v>0</v>
      </c>
      <c r="I563" s="1">
        <v>0.0</v>
      </c>
      <c r="J563" s="1" t="str">
        <f>'3.1.raw'!AK198</f>
        <v>SAMPLE WITH MO1092, CHINGRIGHATA DPS RANI RASMONI GARDEN,REDCOLONY(100ml=0)</v>
      </c>
    </row>
    <row r="564">
      <c r="A564" s="23" t="str">
        <f t="shared" si="10"/>
        <v>FB1042</v>
      </c>
      <c r="B564" s="23" t="str">
        <f>'3.1.raw'!L207</f>
        <v>FB1042</v>
      </c>
      <c r="C564" s="24">
        <f>datevalue(left('3.1.raw'!O207,10))</f>
        <v>43711</v>
      </c>
      <c r="D564" s="23">
        <f>'3.1.raw'!I207</f>
        <v>99</v>
      </c>
      <c r="E564" s="1">
        <v>3.1</v>
      </c>
      <c r="F564" s="23" t="b">
        <f>if(countif(Status!C:C,A564)=1,TRUE, FALSE)</f>
        <v>1</v>
      </c>
      <c r="G564" s="1">
        <f t="shared" si="2"/>
        <v>0</v>
      </c>
      <c r="H564" s="1">
        <f>'3.1.raw'!Z207</f>
        <v>0</v>
      </c>
      <c r="J564" s="1" t="str">
        <f>'3.1.raw'!AK207</f>
        <v>SAMPLE WITH PL1022,42B TILJALA ROOD , RED COLONY(100ml=0)</v>
      </c>
    </row>
    <row r="565">
      <c r="A565" s="23" t="str">
        <f t="shared" si="10"/>
        <v>FB1041</v>
      </c>
      <c r="B565" s="23" t="str">
        <f>'3.1.raw'!L194</f>
        <v>FB1041</v>
      </c>
      <c r="C565" s="24">
        <f>datevalue(left('3.1.raw'!O194,10))</f>
        <v>43710</v>
      </c>
      <c r="D565" s="23">
        <f>'3.1.raw'!I194</f>
        <v>99</v>
      </c>
      <c r="E565" s="1">
        <v>3.1</v>
      </c>
      <c r="F565" s="23" t="b">
        <f>if(countif(Status!C:C,A565)=1,TRUE, FALSE)</f>
        <v>1</v>
      </c>
      <c r="G565" s="1">
        <f t="shared" si="2"/>
        <v>0</v>
      </c>
      <c r="H565" s="1">
        <f>'3.1.raw'!Z194</f>
        <v>0</v>
      </c>
      <c r="I565" s="1">
        <v>0.0</v>
      </c>
      <c r="J565" s="1" t="str">
        <f>'3.1.raw'!AK194</f>
        <v>SAMPLE PROCESSED WITH LS1010,LS1011,LS1012 RED COLONY(100mL=0)</v>
      </c>
    </row>
    <row r="566">
      <c r="A566" s="23" t="str">
        <f t="shared" si="10"/>
        <v>FB1040</v>
      </c>
      <c r="B566" s="23" t="str">
        <f>'3.1.raw'!L192</f>
        <v>FB1040</v>
      </c>
      <c r="C566" s="24">
        <f>datevalue(left('3.1.raw'!O192,10))</f>
        <v>43710</v>
      </c>
      <c r="D566" s="23">
        <f>'3.1.raw'!I192</f>
        <v>99</v>
      </c>
      <c r="E566" s="1">
        <v>3.1</v>
      </c>
      <c r="F566" s="23" t="b">
        <f>if(countif(Status!C:C,A566)=1,TRUE, FALSE)</f>
        <v>1</v>
      </c>
      <c r="G566" s="1">
        <f t="shared" si="2"/>
        <v>0</v>
      </c>
      <c r="H566" s="1">
        <f>'3.1.raw'!Z192</f>
        <v>0</v>
      </c>
      <c r="I566" s="1">
        <v>0.0</v>
      </c>
      <c r="J566" s="1" t="str">
        <f>'3.1.raw'!AK192</f>
        <v>(SAMPLE WITH SW1009) , DHAPA DHIPI RAJARGHAT NATUN PARA ,RED COLONY(100ml=0)</v>
      </c>
    </row>
    <row r="567">
      <c r="A567" s="23" t="str">
        <f t="shared" si="10"/>
        <v>FB1039</v>
      </c>
      <c r="B567" s="23" t="str">
        <f>'3.1.raw'!L189</f>
        <v>FB1039</v>
      </c>
      <c r="C567" s="24">
        <f>datevalue(left('3.1.raw'!O189,10))</f>
        <v>43710</v>
      </c>
      <c r="D567" s="23">
        <f>'3.1.raw'!I189</f>
        <v>99</v>
      </c>
      <c r="E567" s="1">
        <v>3.1</v>
      </c>
      <c r="F567" s="23" t="b">
        <f>if(countif(Status!C:C,A567)=1,TRUE, FALSE)</f>
        <v>1</v>
      </c>
      <c r="G567" s="1">
        <f t="shared" si="2"/>
        <v>0</v>
      </c>
      <c r="H567" s="1">
        <f>'3.1.raw'!Z189</f>
        <v>0</v>
      </c>
      <c r="I567" s="1">
        <v>0.0</v>
      </c>
      <c r="J567" s="1" t="str">
        <f>'3.1.raw'!AK189</f>
        <v>SAMPLE WITH SL1012, DHAPA DHIPI RAJAR GHAT NATUN PARA, RED COLONY(100ml=0)</v>
      </c>
    </row>
    <row r="568">
      <c r="A568" s="23" t="str">
        <f t="shared" si="10"/>
        <v>FB1038</v>
      </c>
      <c r="B568" s="23" t="str">
        <f>'3.1.raw'!L187</f>
        <v>FB1038</v>
      </c>
      <c r="C568" s="24">
        <f>datevalue(left('3.1.raw'!O187,10))</f>
        <v>43710</v>
      </c>
      <c r="D568" s="23">
        <f>'3.1.raw'!I187</f>
        <v>99</v>
      </c>
      <c r="E568" s="1">
        <v>3.1</v>
      </c>
      <c r="F568" s="23" t="b">
        <f>if(countif(Status!C:C,A568)=1,TRUE, FALSE)</f>
        <v>1</v>
      </c>
      <c r="G568" s="1">
        <f t="shared" si="2"/>
        <v>0</v>
      </c>
      <c r="H568" s="1">
        <f>'3.1.raw'!Z187</f>
        <v>0</v>
      </c>
      <c r="I568" s="1">
        <v>0.0</v>
      </c>
      <c r="J568" s="1" t="str">
        <f>'3.1.raw'!AK187</f>
        <v>SAMPLE WITH DWa1004,DHAPA DHIPI RAJAR GHAT NATUN PAARA , RED COLONY (100ml=0)</v>
      </c>
    </row>
    <row r="569">
      <c r="A569" s="23" t="str">
        <f t="shared" si="10"/>
        <v>FB1037</v>
      </c>
      <c r="B569" s="23" t="str">
        <f>'3.1.raw'!L184</f>
        <v>FB1037</v>
      </c>
      <c r="C569" s="24">
        <f>datevalue(left('3.1.raw'!O184,10))</f>
        <v>43706</v>
      </c>
      <c r="D569" s="23">
        <f>'3.1.raw'!I184</f>
        <v>99</v>
      </c>
      <c r="E569" s="1">
        <v>3.1</v>
      </c>
      <c r="F569" s="23" t="b">
        <f>if(countif(Status!C:C,A569)=1,TRUE, FALSE)</f>
        <v>1</v>
      </c>
      <c r="G569" s="1">
        <f t="shared" si="2"/>
        <v>0</v>
      </c>
      <c r="H569" s="1">
        <f>'3.1.raw'!Z184</f>
        <v>0</v>
      </c>
      <c r="I569" s="1">
        <v>0.0</v>
      </c>
      <c r="J569" s="1" t="str">
        <f>'3.1.raw'!AK184</f>
        <v>WITH SF1011&amp;SF1012, DHAPA DHIPI RAJARGHAT NATUN PARA , RED COLONY(100ml=0)</v>
      </c>
    </row>
    <row r="570">
      <c r="A570" s="23" t="str">
        <f t="shared" si="10"/>
        <v>FB1036</v>
      </c>
      <c r="B570" s="23" t="str">
        <f>'3.1.raw'!L183</f>
        <v>FB1036</v>
      </c>
      <c r="C570" s="24">
        <f>datevalue(left('3.1.raw'!O183,10))</f>
        <v>43706</v>
      </c>
      <c r="D570" s="23">
        <f>'3.1.raw'!I183</f>
        <v>99</v>
      </c>
      <c r="E570" s="1">
        <v>3.1</v>
      </c>
      <c r="F570" s="23" t="b">
        <f>if(countif(Status!C:C,A570)=1,TRUE, FALSE)</f>
        <v>1</v>
      </c>
      <c r="G570" s="1">
        <f t="shared" si="2"/>
        <v>0</v>
      </c>
      <c r="H570" s="1">
        <f>'3.1.raw'!Z183</f>
        <v>0</v>
      </c>
      <c r="I570" s="1">
        <v>0.0</v>
      </c>
      <c r="J570" s="1" t="str">
        <f>'3.1.raw'!AK183</f>
        <v>WITH SL1011,DHAPA DHIPI ,RAJARGHAT,NATUNPARA,NEAR AGRICULTURE GROUND. RED COLONY(100ml=0)</v>
      </c>
    </row>
    <row r="571">
      <c r="A571" s="23" t="str">
        <f t="shared" si="10"/>
        <v>FB1035</v>
      </c>
      <c r="B571" s="23" t="str">
        <f>'3.1.raw'!L177</f>
        <v>FB1035</v>
      </c>
      <c r="C571" s="24">
        <f>datevalue(left('3.1.raw'!O177,10))</f>
        <v>43704</v>
      </c>
      <c r="D571" s="23">
        <f>'3.1.raw'!I177</f>
        <v>99</v>
      </c>
      <c r="E571" s="1">
        <v>3.1</v>
      </c>
      <c r="F571" s="23" t="b">
        <f>if(countif(Status!C:C,A571)=1,TRUE, FALSE)</f>
        <v>1</v>
      </c>
      <c r="G571" s="1">
        <f t="shared" si="2"/>
        <v>0</v>
      </c>
      <c r="H571" s="1">
        <f>'3.1.raw'!Z177</f>
        <v>0</v>
      </c>
      <c r="I571" s="1">
        <v>0.0</v>
      </c>
      <c r="J571" s="1" t="str">
        <f>'3.1.raw'!AK177</f>
        <v>WITH MO1091. RED COLONY(100ml=0)</v>
      </c>
    </row>
    <row r="572">
      <c r="A572" s="23" t="str">
        <f t="shared" si="10"/>
        <v>FB1034</v>
      </c>
      <c r="B572" s="23" t="str">
        <f>'3.1.raw'!L176</f>
        <v>FB1034</v>
      </c>
      <c r="C572" s="24">
        <f>datevalue(left('3.1.raw'!O176,10))</f>
        <v>43704</v>
      </c>
      <c r="D572" s="23">
        <f>'3.1.raw'!I176</f>
        <v>99</v>
      </c>
      <c r="E572" s="1">
        <v>3.1</v>
      </c>
      <c r="F572" s="23" t="b">
        <f>if(countif(Status!C:C,A572)=1,TRUE, FALSE)</f>
        <v>1</v>
      </c>
      <c r="G572" s="1">
        <f t="shared" si="2"/>
        <v>0</v>
      </c>
      <c r="H572" s="1">
        <f>'3.1.raw'!Z176</f>
        <v>0</v>
      </c>
      <c r="I572" s="1">
        <v>0.0</v>
      </c>
      <c r="J572" s="1" t="str">
        <f>'3.1.raw'!AK176</f>
        <v>RED COLONY(100ml=0)</v>
      </c>
    </row>
    <row r="573">
      <c r="A573" s="23" t="str">
        <f t="shared" si="10"/>
        <v>FB1033</v>
      </c>
      <c r="B573" s="23" t="str">
        <f>'3.1.raw'!L173</f>
        <v>FB1033</v>
      </c>
      <c r="C573" s="24">
        <f>datevalue(left('3.1.raw'!O173,10))</f>
        <v>43703</v>
      </c>
      <c r="D573" s="23">
        <f>'3.1.raw'!I173</f>
        <v>99</v>
      </c>
      <c r="E573" s="1">
        <v>3.1</v>
      </c>
      <c r="F573" s="23" t="b">
        <f>if(countif(Status!C:C,A573)=1,TRUE, FALSE)</f>
        <v>1</v>
      </c>
      <c r="G573" s="1">
        <f t="shared" si="2"/>
        <v>0</v>
      </c>
      <c r="H573" s="1">
        <f>'3.1.raw'!Z173</f>
        <v>0</v>
      </c>
      <c r="I573" s="1">
        <v>0.0</v>
      </c>
      <c r="J573" s="1" t="str">
        <f>'3.1.raw'!AK173</f>
        <v>RED COLONY(100ml=0)</v>
      </c>
    </row>
    <row r="574">
      <c r="A574" s="23" t="str">
        <f t="shared" si="10"/>
        <v>FB1032</v>
      </c>
      <c r="B574" s="23" t="str">
        <f>'3.1.raw'!L221</f>
        <v>FB1032</v>
      </c>
      <c r="C574" s="24">
        <f>datevalue(left('3.1.raw'!O221,10))</f>
        <v>43703</v>
      </c>
      <c r="D574" s="23">
        <f>'3.1.raw'!I221</f>
        <v>99</v>
      </c>
      <c r="E574" s="1">
        <v>3.1</v>
      </c>
      <c r="F574" s="23" t="b">
        <f>if(countif(Status!C:C,A574)=1,TRUE, FALSE)</f>
        <v>1</v>
      </c>
      <c r="G574" s="1">
        <f t="shared" si="2"/>
        <v>0</v>
      </c>
      <c r="H574" s="1">
        <f>'3.1.raw'!Z221</f>
        <v>0</v>
      </c>
      <c r="I574" s="1">
        <v>0.0</v>
      </c>
      <c r="J574" s="1" t="str">
        <f>'3.1.raw'!AK221</f>
        <v>SAMPLE WITH RP1010, DHAPA DHIPI RAJAR GHAT NATUN PARA, RED COLONY(100ml=0)</v>
      </c>
    </row>
    <row r="575">
      <c r="A575" s="23" t="str">
        <f t="shared" si="10"/>
        <v>FB1031</v>
      </c>
      <c r="B575" s="23" t="str">
        <f>'3.1.raw'!L222</f>
        <v>FB1031</v>
      </c>
      <c r="C575" s="24">
        <f>datevalue(left('3.1.raw'!O222,10))</f>
        <v>43703</v>
      </c>
      <c r="D575" s="23">
        <f>'3.1.raw'!I222</f>
        <v>99</v>
      </c>
      <c r="E575" s="1">
        <v>3.1</v>
      </c>
      <c r="F575" s="23" t="b">
        <f>if(countif(Status!C:C,A575)=1,TRUE, FALSE)</f>
        <v>1</v>
      </c>
      <c r="G575" s="1">
        <f t="shared" si="2"/>
        <v>0</v>
      </c>
      <c r="H575" s="1">
        <f>'3.1.raw'!Z222</f>
        <v>0</v>
      </c>
      <c r="I575" s="1">
        <v>0.0</v>
      </c>
      <c r="J575" s="1" t="str">
        <f>'3.1.raw'!AK222</f>
        <v>ARA , REDCOLONY(100mL=0)SAMPLE WITH OD1006, DHAPA DHIPI RAJAR GHAT NATUN P</v>
      </c>
    </row>
    <row r="576">
      <c r="A576" s="23" t="str">
        <f t="shared" si="10"/>
        <v>FB1030</v>
      </c>
      <c r="B576" s="23" t="str">
        <f>'3.1.raw'!L170</f>
        <v>FB1030</v>
      </c>
      <c r="C576" s="24">
        <f>datevalue(left('3.1.raw'!O170,10))</f>
        <v>43699</v>
      </c>
      <c r="D576" s="23">
        <f>'3.1.raw'!I170</f>
        <v>99</v>
      </c>
      <c r="E576" s="1">
        <v>3.1</v>
      </c>
      <c r="F576" s="23" t="b">
        <f>if(countif(Status!C:C,A576)=1,TRUE, FALSE)</f>
        <v>1</v>
      </c>
      <c r="G576" s="1">
        <f t="shared" si="2"/>
        <v>0</v>
      </c>
      <c r="H576" s="1">
        <f>'3.1.raw'!Z170</f>
        <v>0</v>
      </c>
      <c r="I576" s="1">
        <v>0.0</v>
      </c>
      <c r="J576" s="1" t="str">
        <f>'3.1.raw'!AK170</f>
        <v>RED COLONY(100ml=0)</v>
      </c>
    </row>
    <row r="577">
      <c r="A577" s="23" t="str">
        <f t="shared" si="10"/>
        <v>FB1029</v>
      </c>
      <c r="B577" s="23" t="str">
        <f>'3.1.raw'!L165</f>
        <v>FB1029</v>
      </c>
      <c r="C577" s="24">
        <f>datevalue(left('3.1.raw'!O165,10))</f>
        <v>43699</v>
      </c>
      <c r="D577" s="23">
        <f>'3.1.raw'!I165</f>
        <v>99</v>
      </c>
      <c r="E577" s="1">
        <v>3.1</v>
      </c>
      <c r="F577" s="23" t="b">
        <f>if(countif(Status!C:C,A577)=1,TRUE, FALSE)</f>
        <v>1</v>
      </c>
      <c r="G577" s="1">
        <f t="shared" si="2"/>
        <v>0</v>
      </c>
      <c r="H577" s="1">
        <f>'3.1.raw'!Z165</f>
        <v>0</v>
      </c>
      <c r="I577" s="1">
        <v>0.0</v>
      </c>
      <c r="J577" s="1" t="str">
        <f>'3.1.raw'!AK165</f>
        <v>RED COLONY(100ml=0)</v>
      </c>
    </row>
    <row r="578">
      <c r="A578" s="23" t="str">
        <f t="shared" si="10"/>
        <v>FB1028</v>
      </c>
      <c r="B578" s="23" t="str">
        <f>'3.1.raw'!L159</f>
        <v>FB1028</v>
      </c>
      <c r="C578" s="24">
        <f>datevalue(left('3.1.raw'!O159,10))</f>
        <v>43698</v>
      </c>
      <c r="D578" s="23">
        <f>'3.1.raw'!I159</f>
        <v>99</v>
      </c>
      <c r="E578" s="1">
        <v>3.1</v>
      </c>
      <c r="F578" s="23" t="b">
        <f>if(countif(Status!C:C,A578)=1,TRUE, FALSE)</f>
        <v>1</v>
      </c>
      <c r="G578" s="1">
        <f t="shared" si="2"/>
        <v>0</v>
      </c>
      <c r="H578" s="1">
        <f>'3.1.raw'!Z159</f>
        <v>0</v>
      </c>
      <c r="I578" s="1">
        <v>0.0</v>
      </c>
      <c r="J578" s="1" t="str">
        <f>'3.1.raw'!AK159</f>
        <v>RED COLONY(100ml=0)</v>
      </c>
    </row>
    <row r="579">
      <c r="A579" s="23" t="str">
        <f t="shared" si="10"/>
        <v>FB1027</v>
      </c>
      <c r="B579" s="23" t="str">
        <f>'3.1.raw'!L158</f>
        <v>FB1027</v>
      </c>
      <c r="C579" s="24">
        <f>datevalue(left('3.1.raw'!O158,10))</f>
        <v>43698</v>
      </c>
      <c r="D579" s="23">
        <f>'3.1.raw'!I158</f>
        <v>99</v>
      </c>
      <c r="E579" s="1">
        <v>3.1</v>
      </c>
      <c r="F579" s="23" t="b">
        <f>if(countif(Status!C:C,A579)=1,TRUE, FALSE)</f>
        <v>1</v>
      </c>
      <c r="G579" s="1">
        <f t="shared" si="2"/>
        <v>0</v>
      </c>
      <c r="H579" s="1">
        <f>'3.1.raw'!Z158</f>
        <v>0</v>
      </c>
      <c r="I579" s="1">
        <v>0.0</v>
      </c>
      <c r="J579" s="1" t="str">
        <f>'3.1.raw'!AK158</f>
        <v>RED COLONY(100ml=0)</v>
      </c>
    </row>
    <row r="580">
      <c r="A580" s="23" t="str">
        <f t="shared" si="10"/>
        <v>FB1026</v>
      </c>
      <c r="B580" s="23" t="str">
        <f>'3.1.raw'!L149</f>
        <v>FB1026</v>
      </c>
      <c r="C580" s="24">
        <f>datevalue(left('3.1.raw'!O149,10))</f>
        <v>43697</v>
      </c>
      <c r="D580" s="23">
        <f>'3.1.raw'!I149</f>
        <v>99</v>
      </c>
      <c r="E580" s="1">
        <v>3.1</v>
      </c>
      <c r="F580" s="23" t="b">
        <f>if(countif(Status!C:C,A580)=1,TRUE, FALSE)</f>
        <v>1</v>
      </c>
      <c r="G580" s="1">
        <f t="shared" si="2"/>
        <v>0</v>
      </c>
      <c r="H580" s="1">
        <f>'3.1.raw'!Z149</f>
        <v>0</v>
      </c>
      <c r="I580" s="1">
        <v>0.0</v>
      </c>
      <c r="J580" s="1" t="str">
        <f>'3.1.raw'!AK149</f>
        <v>RED COLONY(100ml=0)</v>
      </c>
    </row>
    <row r="581">
      <c r="A581" s="23" t="str">
        <f t="shared" si="10"/>
        <v>FB1025</v>
      </c>
      <c r="B581" s="23" t="str">
        <f>'3.1.raw'!L151</f>
        <v>FB1025</v>
      </c>
      <c r="C581" s="24">
        <f>datevalue(left('3.1.raw'!O151,10))</f>
        <v>43697</v>
      </c>
      <c r="D581" s="23">
        <f>'3.1.raw'!I151</f>
        <v>99</v>
      </c>
      <c r="E581" s="1">
        <v>3.1</v>
      </c>
      <c r="F581" s="23" t="b">
        <f>if(countif(Status!C:C,A581)=1,TRUE, FALSE)</f>
        <v>1</v>
      </c>
      <c r="G581" s="1">
        <f t="shared" si="2"/>
        <v>0</v>
      </c>
      <c r="H581" s="1">
        <f>'3.1.raw'!Z151</f>
        <v>0</v>
      </c>
      <c r="I581" s="1">
        <v>0.0</v>
      </c>
      <c r="J581" s="1" t="str">
        <f>'3.1.raw'!AK151</f>
        <v>DHAPADHIPI,RAJARGHAT NATUNPARA,(PL1019). RED COLCONY(100ml=0)</v>
      </c>
    </row>
    <row r="582">
      <c r="A582" s="23" t="str">
        <f t="shared" si="10"/>
        <v>FB1024</v>
      </c>
      <c r="B582" s="23" t="str">
        <f>'3.1.raw'!L144</f>
        <v>FB1024</v>
      </c>
      <c r="C582" s="24">
        <f>datevalue(left('3.1.raw'!O144,10))</f>
        <v>43686</v>
      </c>
      <c r="D582" s="23">
        <f>'3.1.raw'!I144</f>
        <v>99</v>
      </c>
      <c r="E582" s="1">
        <v>3.1</v>
      </c>
      <c r="F582" s="23" t="b">
        <f>if(countif(Status!C:C,A582)=1,TRUE, FALSE)</f>
        <v>1</v>
      </c>
      <c r="G582" s="1">
        <f t="shared" si="2"/>
        <v>0</v>
      </c>
      <c r="H582" s="1">
        <f>'3.1.raw'!Z144</f>
        <v>0</v>
      </c>
      <c r="I582" s="1">
        <v>0.0</v>
      </c>
      <c r="J582" s="1" t="str">
        <f>'3.1.raw'!AK144</f>
        <v>DHAPA DHIPI, RAJAR GHAT, NATUNPARA. RED COLONY(100ml=0)</v>
      </c>
    </row>
    <row r="583">
      <c r="A583" s="23" t="str">
        <f t="shared" si="10"/>
        <v>FB1023</v>
      </c>
      <c r="B583" s="23" t="str">
        <f>'3.1.raw'!L138</f>
        <v>FB1023</v>
      </c>
      <c r="C583" s="24">
        <f>datevalue(left('3.1.raw'!O138,10))</f>
        <v>43685</v>
      </c>
      <c r="D583" s="23">
        <f>'3.1.raw'!I138</f>
        <v>99</v>
      </c>
      <c r="E583" s="1">
        <v>3.1</v>
      </c>
      <c r="F583" s="23" t="b">
        <f>if(countif(Status!C:C,A583)=1,TRUE, FALSE)</f>
        <v>1</v>
      </c>
      <c r="G583" s="1">
        <f t="shared" si="2"/>
        <v>0</v>
      </c>
      <c r="H583" s="1">
        <f>'3.1.raw'!Z138</f>
        <v>0</v>
      </c>
      <c r="I583" s="1">
        <v>0.0</v>
      </c>
      <c r="J583" s="1" t="str">
        <f>'3.1.raw'!AK138</f>
        <v>KULIA TANGRA DRAINAGE PUMPING STATION , RED COLONY(100ml=0)</v>
      </c>
    </row>
    <row r="584">
      <c r="A584" s="23" t="str">
        <f t="shared" si="10"/>
        <v>FB1022</v>
      </c>
      <c r="B584" s="23" t="str">
        <f>'3.1.raw'!L132</f>
        <v>FB1022</v>
      </c>
      <c r="C584" s="24">
        <f>datevalue(left('3.1.raw'!O132,10))</f>
        <v>43684</v>
      </c>
      <c r="D584" s="23">
        <f>'3.1.raw'!I132</f>
        <v>99</v>
      </c>
      <c r="E584" s="1">
        <v>3.1</v>
      </c>
      <c r="F584" s="23" t="b">
        <f>if(countif(Status!C:C,A584)=1,TRUE, FALSE)</f>
        <v>1</v>
      </c>
      <c r="G584" s="1">
        <f t="shared" si="2"/>
        <v>0</v>
      </c>
      <c r="H584" s="1">
        <f>'3.1.raw'!Z132</f>
        <v>0</v>
      </c>
      <c r="I584" s="1">
        <v>1.0</v>
      </c>
      <c r="J584" s="1" t="str">
        <f>'3.1.raw'!AK132</f>
        <v>DHAPA DHIPI RAJARGHAT, RED COLONY(100ml=TNTC)</v>
      </c>
    </row>
    <row r="585">
      <c r="A585" s="23" t="str">
        <f t="shared" si="10"/>
        <v>FB1021</v>
      </c>
      <c r="B585" s="23" t="str">
        <f>'3.1.raw'!L130</f>
        <v>FB1021</v>
      </c>
      <c r="C585" s="24">
        <f>datevalue(left('3.1.raw'!O130,10))</f>
        <v>43684</v>
      </c>
      <c r="D585" s="23">
        <f>'3.1.raw'!I130</f>
        <v>99</v>
      </c>
      <c r="E585" s="1">
        <v>3.1</v>
      </c>
      <c r="F585" s="23" t="b">
        <f>if(countif(Status!C:C,A585)=1,TRUE, FALSE)</f>
        <v>1</v>
      </c>
      <c r="G585" s="1">
        <f t="shared" si="2"/>
        <v>0</v>
      </c>
      <c r="H585" s="1">
        <f>'3.1.raw'!Z130</f>
        <v>0</v>
      </c>
      <c r="I585" s="1">
        <v>1.0</v>
      </c>
      <c r="J585" s="1" t="str">
        <f>'3.1.raw'!AK130</f>
        <v>RED COLONY(100ml=2)</v>
      </c>
    </row>
    <row r="586">
      <c r="A586" s="23" t="str">
        <f t="shared" si="10"/>
        <v>FB1020</v>
      </c>
      <c r="B586" s="23" t="str">
        <f>'3.1.raw'!L127</f>
        <v>FB1020</v>
      </c>
      <c r="C586" s="24">
        <f>datevalue(left('3.1.raw'!O127,10))</f>
        <v>43683</v>
      </c>
      <c r="D586" s="23">
        <f>'3.1.raw'!I127</f>
        <v>99</v>
      </c>
      <c r="E586" s="1">
        <v>3.1</v>
      </c>
      <c r="F586" s="23" t="b">
        <f>if(countif(Status!C:C,A586)=1,TRUE, FALSE)</f>
        <v>1</v>
      </c>
      <c r="G586" s="1">
        <f t="shared" si="2"/>
        <v>0</v>
      </c>
      <c r="H586" s="1">
        <f>'3.1.raw'!Z127</f>
        <v>0</v>
      </c>
      <c r="I586" s="1">
        <v>0.0</v>
      </c>
      <c r="J586" s="1" t="str">
        <f>'3.1.raw'!AK127</f>
        <v>DHAPA DHIPI RAJARGHAT NATUNPARA, RED COLONY(100ml=0)</v>
      </c>
    </row>
    <row r="587">
      <c r="A587" s="23" t="str">
        <f t="shared" si="10"/>
        <v>FB1019</v>
      </c>
      <c r="B587" s="23" t="str">
        <f>'3.1.raw'!L123</f>
        <v>FB1019</v>
      </c>
      <c r="C587" s="24">
        <f>datevalue(left('3.1.raw'!O123,10))</f>
        <v>43683</v>
      </c>
      <c r="D587" s="23">
        <f>'3.1.raw'!I123</f>
        <v>99</v>
      </c>
      <c r="E587" s="1">
        <v>3.1</v>
      </c>
      <c r="F587" s="23" t="b">
        <f>if(countif(Status!C:C,A587)=1,TRUE, FALSE)</f>
        <v>1</v>
      </c>
      <c r="G587" s="1">
        <f t="shared" si="2"/>
        <v>0</v>
      </c>
      <c r="H587" s="1">
        <f>'3.1.raw'!Z123</f>
        <v>0</v>
      </c>
      <c r="I587" s="1">
        <v>0.0</v>
      </c>
      <c r="J587" s="1" t="str">
        <f>'3.1.raw'!AK123</f>
        <v>AMBEDKAR DRAINAGE PUMPING STATION, RED COLONY(100ml=0)</v>
      </c>
    </row>
    <row r="588">
      <c r="A588" s="23" t="str">
        <f t="shared" si="10"/>
        <v>FB1018</v>
      </c>
      <c r="B588" s="23" t="str">
        <f>'3.1.raw'!L121</f>
        <v>FB1018</v>
      </c>
      <c r="C588" s="24">
        <f>datevalue(left('3.1.raw'!O121,10))</f>
        <v>43682</v>
      </c>
      <c r="D588" s="23">
        <f>'3.1.raw'!I121</f>
        <v>99</v>
      </c>
      <c r="E588" s="1">
        <v>3.1</v>
      </c>
      <c r="F588" s="23" t="b">
        <f>if(countif(Status!C:C,A588)=1,TRUE, FALSE)</f>
        <v>1</v>
      </c>
      <c r="G588" s="1">
        <f t="shared" si="2"/>
        <v>0</v>
      </c>
      <c r="H588" s="1">
        <f>'3.1.raw'!Z121</f>
        <v>0</v>
      </c>
      <c r="I588" s="1">
        <v>1.0</v>
      </c>
      <c r="J588" s="1" t="str">
        <f>'3.1.raw'!AK121</f>
        <v>DHAPA DHIPI (MARKET) RAJARGHAT,(WITH SW1007),RED COLONY(100ml=1)</v>
      </c>
    </row>
    <row r="589">
      <c r="A589" s="23" t="str">
        <f t="shared" si="10"/>
        <v>FB1017</v>
      </c>
      <c r="B589" s="23" t="str">
        <f>'3.1.raw'!L119</f>
        <v>FB1017</v>
      </c>
      <c r="C589" s="24">
        <f>datevalue(left('3.1.raw'!O119,10))</f>
        <v>43682</v>
      </c>
      <c r="D589" s="23">
        <f>'3.1.raw'!I119</f>
        <v>99</v>
      </c>
      <c r="E589" s="1">
        <v>3.1</v>
      </c>
      <c r="F589" s="23" t="b">
        <f>if(countif(Status!C:C,A589)=1,TRUE, FALSE)</f>
        <v>1</v>
      </c>
      <c r="G589" s="1">
        <f t="shared" si="2"/>
        <v>0</v>
      </c>
      <c r="H589" s="1">
        <f>'3.1.raw'!Z119</f>
        <v>0</v>
      </c>
      <c r="I589" s="1">
        <v>0.0</v>
      </c>
      <c r="J589" s="1" t="str">
        <f>'3.1.raw'!AK119</f>
        <v>DHAPA DHIPI ,RAJARGHAT, ( WITH PL1017) REDCOLONY(100ml=0)</v>
      </c>
    </row>
    <row r="590">
      <c r="A590" s="23" t="str">
        <f t="shared" si="10"/>
        <v>FB1016</v>
      </c>
      <c r="B590" s="23" t="str">
        <f>'3.1.raw'!L115</f>
        <v>FB1016</v>
      </c>
      <c r="C590" s="24">
        <f>datevalue(left('3.1.raw'!O115,10))</f>
        <v>43678</v>
      </c>
      <c r="D590" s="23">
        <f>'3.1.raw'!I115</f>
        <v>99</v>
      </c>
      <c r="E590" s="1">
        <v>3.1</v>
      </c>
      <c r="F590" s="23" t="b">
        <f>if(countif(Status!C:C,A590)=1,TRUE, FALSE)</f>
        <v>1</v>
      </c>
      <c r="G590" s="1">
        <f t="shared" si="2"/>
        <v>0</v>
      </c>
      <c r="H590" s="1">
        <f>'3.1.raw'!Z115</f>
        <v>0</v>
      </c>
      <c r="I590" s="1">
        <v>0.0</v>
      </c>
      <c r="J590" s="1" t="str">
        <f>'3.1.raw'!AK115</f>
        <v>RED COLONY (100ml=0)</v>
      </c>
    </row>
    <row r="591">
      <c r="A591" s="23" t="str">
        <f t="shared" si="10"/>
        <v>FB1015</v>
      </c>
      <c r="B591" s="23" t="str">
        <f>'3.1.raw'!L112</f>
        <v>FB1015</v>
      </c>
      <c r="C591" s="24">
        <f>datevalue(left('3.1.raw'!O112,10))</f>
        <v>43677</v>
      </c>
      <c r="D591" s="23">
        <f>'3.1.raw'!I112</f>
        <v>99</v>
      </c>
      <c r="E591" s="1">
        <v>3.1</v>
      </c>
      <c r="F591" s="23" t="b">
        <f>if(countif(Status!C:C,A591)=1,TRUE, FALSE)</f>
        <v>1</v>
      </c>
      <c r="G591" s="1" t="str">
        <f t="shared" si="2"/>
        <v/>
      </c>
      <c r="H591" s="1" t="str">
        <f>'3.1.raw'!Z112</f>
        <v/>
      </c>
      <c r="J591" s="1" t="str">
        <f>'3.1.raw'!AK112</f>
        <v>RED COLONY (100ml=TDTC)</v>
      </c>
    </row>
    <row r="592">
      <c r="A592" s="23" t="str">
        <f t="shared" si="10"/>
        <v>FB1014</v>
      </c>
      <c r="B592" s="23" t="str">
        <f>'3.1.raw'!L106</f>
        <v>FB1014</v>
      </c>
      <c r="C592" s="24">
        <f>datevalue(left('3.1.raw'!O106,10))</f>
        <v>43676</v>
      </c>
      <c r="D592" s="23">
        <f>'3.1.raw'!I106</f>
        <v>99</v>
      </c>
      <c r="E592" s="1">
        <v>3.1</v>
      </c>
      <c r="F592" s="23" t="b">
        <f>if(countif(Status!C:C,A592)=1,TRUE, FALSE)</f>
        <v>1</v>
      </c>
      <c r="G592" s="1">
        <f t="shared" si="2"/>
        <v>1</v>
      </c>
      <c r="H592" s="1">
        <f>'3.1.raw'!Z106</f>
        <v>1</v>
      </c>
      <c r="I592" s="1">
        <v>1.0</v>
      </c>
      <c r="J592" s="1" t="str">
        <f>'3.1.raw'!AK106</f>
        <v>SITE-(DHAPA DHIPI RAJARGHAT ,NATUNPARA),RED COLONY(100ml=7)</v>
      </c>
    </row>
    <row r="593">
      <c r="A593" s="23" t="str">
        <f t="shared" si="10"/>
        <v>FB1013</v>
      </c>
      <c r="B593" s="23" t="str">
        <f>'3.1.raw'!L105</f>
        <v>FB1013</v>
      </c>
      <c r="C593" s="24">
        <f>datevalue(left('3.1.raw'!O105,10))</f>
        <v>43676</v>
      </c>
      <c r="D593" s="23">
        <f>'3.1.raw'!I105</f>
        <v>99</v>
      </c>
      <c r="E593" s="1">
        <v>3.1</v>
      </c>
      <c r="F593" s="23" t="b">
        <f>if(countif(Status!C:C,A593)=1,TRUE, FALSE)</f>
        <v>1</v>
      </c>
      <c r="G593" s="1">
        <f t="shared" si="2"/>
        <v>1</v>
      </c>
      <c r="H593" s="1">
        <f>'3.1.raw'!Z105</f>
        <v>41</v>
      </c>
      <c r="I593" s="1">
        <v>1.0</v>
      </c>
      <c r="J593" s="1" t="str">
        <f>'3.1.raw'!AK105</f>
        <v>RED COLONY(100ml=61)</v>
      </c>
    </row>
    <row r="594">
      <c r="A594" s="23" t="str">
        <f t="shared" si="10"/>
        <v>FB1012</v>
      </c>
      <c r="B594" s="23" t="str">
        <f>'3.1.raw'!L103</f>
        <v>FB1012</v>
      </c>
      <c r="C594" s="24">
        <f>datevalue(left('3.1.raw'!O103,10))</f>
        <v>43675</v>
      </c>
      <c r="D594" s="23">
        <f>'3.1.raw'!I103</f>
        <v>99</v>
      </c>
      <c r="E594" s="1">
        <v>3.1</v>
      </c>
      <c r="F594" s="23" t="b">
        <f>if(countif(Status!C:C,A594)=1,TRUE, FALSE)</f>
        <v>1</v>
      </c>
      <c r="G594" s="1">
        <f t="shared" si="2"/>
        <v>1</v>
      </c>
      <c r="H594" s="1">
        <f>'3.1.raw'!Z103</f>
        <v>28</v>
      </c>
      <c r="I594" s="1">
        <v>1.0</v>
      </c>
      <c r="J594" s="1" t="str">
        <f>'3.1.raw'!AK103</f>
        <v>RED COLONY (100ml=TNTC)</v>
      </c>
    </row>
    <row r="595">
      <c r="A595" s="23" t="str">
        <f t="shared" si="10"/>
        <v>FB1011</v>
      </c>
      <c r="B595" s="23" t="str">
        <f>'3.1.raw'!L97</f>
        <v>FB1011</v>
      </c>
      <c r="C595" s="24">
        <f>datevalue(left('3.1.raw'!O97,10))</f>
        <v>43670</v>
      </c>
      <c r="D595" s="23">
        <f>'3.1.raw'!I97</f>
        <v>99</v>
      </c>
      <c r="E595" s="1">
        <v>3.1</v>
      </c>
      <c r="F595" s="23" t="b">
        <f>if(countif(Status!C:C,A595)=1,TRUE, FALSE)</f>
        <v>1</v>
      </c>
      <c r="G595" s="1">
        <f t="shared" si="2"/>
        <v>0</v>
      </c>
      <c r="H595" s="1">
        <f>'3.1.raw'!Z97</f>
        <v>0</v>
      </c>
      <c r="I595" s="1">
        <v>0.0</v>
      </c>
      <c r="J595" s="1" t="str">
        <f>'3.1.raw'!AK97</f>
        <v>RED COLONY(100mL=0)</v>
      </c>
    </row>
    <row r="596">
      <c r="A596" s="23" t="str">
        <f t="shared" si="10"/>
        <v>FB1010</v>
      </c>
      <c r="B596" s="23" t="str">
        <f>'3.1.raw'!L92</f>
        <v>FB1010</v>
      </c>
      <c r="C596" s="24">
        <f>datevalue(left('3.1.raw'!O92,10))</f>
        <v>43669</v>
      </c>
      <c r="D596" s="23">
        <f>'3.1.raw'!I92</f>
        <v>99</v>
      </c>
      <c r="E596" s="1">
        <v>3.1</v>
      </c>
      <c r="F596" s="23" t="b">
        <f>if(countif(Status!C:C,A596)=1,TRUE, FALSE)</f>
        <v>1</v>
      </c>
      <c r="G596" s="1">
        <f t="shared" si="2"/>
        <v>0</v>
      </c>
      <c r="H596" s="1">
        <f>'3.1.raw'!Z92</f>
        <v>0</v>
      </c>
      <c r="I596" s="1">
        <v>1.0</v>
      </c>
      <c r="J596" s="1" t="str">
        <f>'3.1.raw'!AK92</f>
        <v>RED COLONY (100ml=1)</v>
      </c>
    </row>
    <row r="597">
      <c r="A597" s="23" t="str">
        <f t="shared" si="10"/>
        <v>FB1009</v>
      </c>
      <c r="B597" s="23" t="str">
        <f>'3.1.raw'!L82</f>
        <v>FB1009</v>
      </c>
      <c r="C597" s="24">
        <f>datevalue(left('3.1.raw'!O82,10))</f>
        <v>43663</v>
      </c>
      <c r="D597" s="23">
        <f>'3.1.raw'!I82</f>
        <v>99</v>
      </c>
      <c r="E597" s="1">
        <v>3.1</v>
      </c>
      <c r="F597" s="23" t="b">
        <f>if(countif(Status!C:C,A597)=1,TRUE, FALSE)</f>
        <v>1</v>
      </c>
      <c r="G597" s="1">
        <f t="shared" si="2"/>
        <v>0</v>
      </c>
      <c r="H597" s="1">
        <f>'3.1.raw'!Z82</f>
        <v>0</v>
      </c>
      <c r="I597" s="1">
        <v>1.0</v>
      </c>
      <c r="J597" s="1" t="str">
        <f>'3.1.raw'!AK82</f>
        <v>RED COLONY (100ml=3)</v>
      </c>
    </row>
    <row r="598">
      <c r="A598" s="23" t="str">
        <f t="shared" si="10"/>
        <v>FB1008</v>
      </c>
      <c r="B598" s="23" t="str">
        <f>'3.1.raw'!L80</f>
        <v>FB1008</v>
      </c>
      <c r="C598" s="24">
        <f>datevalue(left('3.1.raw'!O80,10))</f>
        <v>43662</v>
      </c>
      <c r="D598" s="23">
        <f>'3.1.raw'!I80</f>
        <v>99</v>
      </c>
      <c r="E598" s="1">
        <v>3.1</v>
      </c>
      <c r="F598" s="23" t="b">
        <f>if(countif(Status!C:C,A598)=1,TRUE, FALSE)</f>
        <v>1</v>
      </c>
      <c r="G598" s="1">
        <f t="shared" si="2"/>
        <v>0</v>
      </c>
      <c r="H598" s="1">
        <f>'3.1.raw'!Z80</f>
        <v>0</v>
      </c>
      <c r="I598" s="1">
        <v>0.0</v>
      </c>
      <c r="J598" s="1" t="str">
        <f>'3.1.raw'!AK80</f>
        <v>COLLECTED FROM DRAINAGE PUMPING SITE , RED COLONY(100ml-0)</v>
      </c>
    </row>
    <row r="599">
      <c r="A599" s="23" t="str">
        <f t="shared" si="10"/>
        <v>FB1007</v>
      </c>
      <c r="B599" s="23" t="str">
        <f>'3.1.raw'!L77</f>
        <v>FB1007</v>
      </c>
      <c r="C599" s="24">
        <f>datevalue(left('3.1.raw'!O77,10))</f>
        <v>43656</v>
      </c>
      <c r="D599" s="23">
        <f>'3.1.raw'!I77</f>
        <v>99</v>
      </c>
      <c r="E599" s="1">
        <v>3.1</v>
      </c>
      <c r="F599" s="23" t="b">
        <f>if(countif(Status!C:C,A599)=1,TRUE, FALSE)</f>
        <v>1</v>
      </c>
      <c r="G599" s="1">
        <f t="shared" si="2"/>
        <v>0</v>
      </c>
      <c r="H599" s="1">
        <f>'3.1.raw'!Z77</f>
        <v>0</v>
      </c>
      <c r="J599" s="1" t="str">
        <f>'3.1.raw'!AK77</f>
        <v>THIS SAMPLE(FB1007) IS COLLECTED FROM POOLED LATRINE SITE.</v>
      </c>
    </row>
    <row r="600">
      <c r="A600" s="23" t="str">
        <f t="shared" si="10"/>
        <v>FB1006</v>
      </c>
      <c r="B600" s="23" t="str">
        <f>'3.1.raw'!L78</f>
        <v>FB1006</v>
      </c>
      <c r="C600" s="24">
        <f>datevalue(left('3.1.raw'!O78,10))</f>
        <v>43655</v>
      </c>
      <c r="D600" s="23">
        <f>'3.1.raw'!I78</f>
        <v>99</v>
      </c>
      <c r="E600" s="1">
        <v>3.1</v>
      </c>
      <c r="F600" s="23" t="b">
        <f>if(countif(Status!C:C,A600)=1,TRUE, FALSE)</f>
        <v>1</v>
      </c>
      <c r="G600" s="1">
        <f t="shared" si="2"/>
        <v>0</v>
      </c>
      <c r="H600" s="1">
        <f>'3.1.raw'!Z78</f>
        <v>0</v>
      </c>
      <c r="J600" s="1" t="str">
        <f>'3.1.raw'!AK78</f>
        <v>THIS SAMPLE(FB1006) IS COLLECTED FROM DRAINAGE PUMPINGSTATION SITE.</v>
      </c>
    </row>
    <row r="601">
      <c r="A601" s="23" t="str">
        <f t="shared" si="10"/>
        <v>FB1002</v>
      </c>
      <c r="B601" s="23" t="str">
        <f>'3.1.raw'!L64</f>
        <v>FB1002</v>
      </c>
      <c r="C601" s="24">
        <f>datevalue(left('3.1.raw'!O64,10))</f>
        <v>43619</v>
      </c>
      <c r="D601" s="23">
        <f>'3.1.raw'!I64</f>
        <v>99</v>
      </c>
      <c r="E601" s="1">
        <v>3.1</v>
      </c>
      <c r="F601" s="23" t="b">
        <f>if(countif(Status!C:C,A601)=1,TRUE, FALSE)</f>
        <v>1</v>
      </c>
      <c r="G601" s="1">
        <f t="shared" si="2"/>
        <v>0</v>
      </c>
      <c r="H601" s="1">
        <f>'3.1.raw'!Z64</f>
        <v>0</v>
      </c>
      <c r="I601" s="1">
        <v>0.0</v>
      </c>
      <c r="J601" s="1" t="str">
        <f>'3.1.raw'!AK64</f>
        <v>NO LUE OR RED COLONIES FOUND FOR 10 ml AND 100 ml APPLICATION OF SAMPLES.</v>
      </c>
    </row>
    <row r="602">
      <c r="A602" s="23" t="str">
        <f t="shared" si="10"/>
        <v>FB1001</v>
      </c>
      <c r="B602" s="23" t="str">
        <f>'3.1.raw'!L62</f>
        <v>FB1001</v>
      </c>
      <c r="C602" s="24">
        <f>datevalue(left('3.1.raw'!O62,10))</f>
        <v>43615</v>
      </c>
      <c r="D602" s="23">
        <f>'3.1.raw'!I62</f>
        <v>99</v>
      </c>
      <c r="E602" s="1">
        <v>3.1</v>
      </c>
      <c r="F602" s="23" t="b">
        <f>if(countif(Status!C:C,A602)=1,TRUE, FALSE)</f>
        <v>1</v>
      </c>
      <c r="G602" s="1">
        <f t="shared" si="2"/>
        <v>0</v>
      </c>
      <c r="H602" s="1">
        <f>'3.1.raw'!Z62</f>
        <v>0</v>
      </c>
      <c r="I602" s="1">
        <v>0.0</v>
      </c>
      <c r="J602" s="1" t="str">
        <f>'3.1.raw'!AK62</f>
        <v>NO BLUE OR RED COLONIES ARE FOUND AT 10 ML AND 100 ML APPLICATION OF UNDILUTED FIELD BLANK SAMPLE.</v>
      </c>
    </row>
    <row r="603">
      <c r="A603" s="23" t="str">
        <f t="shared" si="10"/>
        <v>DWb1004</v>
      </c>
      <c r="B603" s="23" t="str">
        <f>'3.1.raw'!L69</f>
        <v>DWb1004</v>
      </c>
      <c r="C603" s="24">
        <f>datevalue(left('3.1.raw'!O69,10))</f>
        <v>43620</v>
      </c>
      <c r="D603" s="23">
        <f>'3.1.raw'!I69</f>
        <v>3</v>
      </c>
      <c r="E603" s="1">
        <v>3.1</v>
      </c>
      <c r="F603" s="23" t="b">
        <f>if(countif(Status!C:C,A603)=1,TRUE, FALSE)</f>
        <v>1</v>
      </c>
      <c r="G603" s="1">
        <f t="shared" si="2"/>
        <v>0</v>
      </c>
      <c r="H603" s="1">
        <f>'3.1.raw'!Z69</f>
        <v>0</v>
      </c>
      <c r="J603" s="1" t="str">
        <f>'3.1.raw'!AK69</f>
        <v>THE OBSERVATION FOR RED COLONIES WERE 8 AND 4, RESPECTIVELY.</v>
      </c>
    </row>
    <row r="604">
      <c r="A604" s="23" t="str">
        <f t="shared" si="10"/>
        <v>DWb1003</v>
      </c>
      <c r="B604" s="23" t="str">
        <f>'3.1.raw'!L53</f>
        <v>DWb1003</v>
      </c>
      <c r="C604" s="24">
        <f>datevalue(left('3.1.raw'!O53,10))</f>
        <v>43613</v>
      </c>
      <c r="D604" s="23">
        <f>'3.1.raw'!I53</f>
        <v>3</v>
      </c>
      <c r="E604" s="1">
        <v>3.1</v>
      </c>
      <c r="F604" s="23" t="b">
        <f>if(countif(Status!C:C,A604)=1,TRUE, FALSE)</f>
        <v>1</v>
      </c>
      <c r="G604" s="1">
        <f t="shared" si="2"/>
        <v>1</v>
      </c>
      <c r="H604" s="1">
        <f>'3.1.raw'!Z53</f>
        <v>2</v>
      </c>
      <c r="J604" s="1" t="str">
        <f>'3.1.raw'!AK53</f>
        <v>19 AND 2, RESPECTIVELY FOR RED COLONIES</v>
      </c>
    </row>
    <row r="605">
      <c r="A605" s="23" t="str">
        <f t="shared" si="10"/>
        <v>DWb1002</v>
      </c>
      <c r="B605" s="23" t="str">
        <f>'3.1.raw'!L31</f>
        <v>DWb1002</v>
      </c>
      <c r="C605" s="24">
        <f>datevalue(left('3.1.raw'!O31,10))</f>
        <v>43606</v>
      </c>
      <c r="D605" s="23">
        <f>'3.1.raw'!I31</f>
        <v>3</v>
      </c>
      <c r="E605" s="1">
        <v>3.1</v>
      </c>
      <c r="F605" s="23" t="b">
        <f>if(countif(Status!C:C,A605)=1,TRUE, FALSE)</f>
        <v>1</v>
      </c>
      <c r="G605" s="1">
        <f t="shared" si="2"/>
        <v>1</v>
      </c>
      <c r="H605" s="1">
        <f>'3.1.raw'!Z31</f>
        <v>1</v>
      </c>
      <c r="J605" s="1" t="str">
        <f>'3.1.raw'!AK31</f>
        <v>13 AND 3 RED COLONIES FOUND, FOR 100 ML AND 10 ML, RESPECTIVELY</v>
      </c>
    </row>
    <row r="606">
      <c r="A606" s="23" t="str">
        <f t="shared" si="10"/>
        <v>DWb1001</v>
      </c>
      <c r="B606" s="23" t="str">
        <f>'3.1.raw'!L20</f>
        <v>DWb1001</v>
      </c>
      <c r="C606" s="24">
        <f>datevalue(left('3.1.raw'!O20,10))</f>
        <v>43599</v>
      </c>
      <c r="D606" s="23">
        <f>'3.1.raw'!I20</f>
        <v>3</v>
      </c>
      <c r="E606" s="1">
        <v>3.1</v>
      </c>
      <c r="F606" s="23" t="b">
        <f>if(countif(Status!C:C,A606)=1,TRUE, FALSE)</f>
        <v>1</v>
      </c>
      <c r="G606" s="1">
        <f t="shared" si="2"/>
        <v>0</v>
      </c>
      <c r="H606" s="1">
        <f>'3.1.raw'!Z20</f>
        <v>0</v>
      </c>
      <c r="J606" s="1" t="str">
        <f>'3.1.raw'!AK20</f>
        <v>17 AND 5 NUMBER OF RED COLONIES WERE DETECTED FOR 100 ML AND 10 ML OF SAMPLE, RESPECTIVELY.</v>
      </c>
    </row>
    <row r="607">
      <c r="A607" s="23" t="str">
        <f t="shared" si="10"/>
        <v>DWa1005uf</v>
      </c>
      <c r="B607" s="23" t="str">
        <f>'3.1.raw'!L652</f>
        <v>DWa1005uf</v>
      </c>
      <c r="C607" s="24">
        <f>datevalue(left('3.1.raw'!O652,10))</f>
        <v>43846</v>
      </c>
      <c r="D607" s="23">
        <f>'3.1.raw'!I652</f>
        <v>3</v>
      </c>
      <c r="E607" s="1">
        <v>3.09999999999999</v>
      </c>
      <c r="F607" s="23" t="b">
        <f>if(countif(Status!C:C,A607)=1,TRUE, FALSE)</f>
        <v>1</v>
      </c>
      <c r="G607" s="1">
        <f t="shared" si="2"/>
        <v>0</v>
      </c>
      <c r="H607" s="1">
        <f>'3.1.raw'!Z652</f>
        <v>0</v>
      </c>
      <c r="J607" s="1" t="str">
        <f>'3.1.raw'!AK652</f>
        <v>Red colony count: Undiluted 100ml - 01 and 10ml - 00; 1:10^1 - 00 sample vol tested 1ml</v>
      </c>
    </row>
    <row r="608">
      <c r="A608" s="23" t="str">
        <f t="shared" si="10"/>
        <v>DWa1004uf</v>
      </c>
      <c r="B608" s="23" t="str">
        <f>'3.1.raw'!L612</f>
        <v>DWa1004uf</v>
      </c>
      <c r="C608" s="24">
        <f>datevalue(left('3.1.raw'!O612,10))</f>
        <v>43838</v>
      </c>
      <c r="D608" s="23">
        <f>'3.1.raw'!I612</f>
        <v>3</v>
      </c>
      <c r="E608" s="1">
        <v>3.09999999999999</v>
      </c>
      <c r="F608" s="23" t="b">
        <f>if(countif(Status!C:C,A608)=1,TRUE, FALSE)</f>
        <v>1</v>
      </c>
      <c r="G608" s="1">
        <f t="shared" si="2"/>
        <v>0</v>
      </c>
      <c r="H608" s="1">
        <f>'3.1.raw'!Z612</f>
        <v>0</v>
      </c>
      <c r="J608" s="1" t="str">
        <f>'3.1.raw'!AK612</f>
        <v>Red colony count: 1:10^3 -1; 1:10^4 - 0; 1:10^5 - 0, Each sample vol tested 1ml</v>
      </c>
    </row>
    <row r="609">
      <c r="A609" s="23" t="str">
        <f t="shared" si="10"/>
        <v>DWa1004</v>
      </c>
      <c r="B609" s="23" t="str">
        <f>'3.1.raw'!L186</f>
        <v>DWa1004</v>
      </c>
      <c r="C609" s="24">
        <f>datevalue(left('3.1.raw'!O186,10))</f>
        <v>43710</v>
      </c>
      <c r="D609" s="23">
        <f>'3.1.raw'!I186</f>
        <v>3</v>
      </c>
      <c r="E609" s="1">
        <v>3.1</v>
      </c>
      <c r="F609" s="23" t="b">
        <f>if(countif(Status!C:C,A609)=1,TRUE, FALSE)</f>
        <v>1</v>
      </c>
      <c r="G609" s="1">
        <f t="shared" si="2"/>
        <v>1</v>
      </c>
      <c r="H609" s="1">
        <f>'3.1.raw'!Z186</f>
        <v>1</v>
      </c>
      <c r="J609" s="1" t="str">
        <f>'3.1.raw'!AK186</f>
        <v>(RAJARSHI LAB OPERATOR NO-6) RED COLONY(100ml=1,10ml=0)</v>
      </c>
    </row>
    <row r="610">
      <c r="A610" s="23" t="str">
        <f t="shared" si="10"/>
        <v>DWa1003</v>
      </c>
      <c r="B610" s="23" t="str">
        <f>'3.1.raw'!L172</f>
        <v>DWa1003</v>
      </c>
      <c r="C610" s="24">
        <f>datevalue(left('3.1.raw'!O172,10))</f>
        <v>43703</v>
      </c>
      <c r="D610" s="23">
        <f>'3.1.raw'!I172</f>
        <v>3</v>
      </c>
      <c r="E610" s="1">
        <v>3.1</v>
      </c>
      <c r="F610" s="23" t="b">
        <f>if(countif(Status!C:C,A610)=1,TRUE, FALSE)</f>
        <v>1</v>
      </c>
      <c r="G610" s="1">
        <f t="shared" si="2"/>
        <v>0</v>
      </c>
      <c r="H610" s="1">
        <f>'3.1.raw'!Z172</f>
        <v>0</v>
      </c>
      <c r="I610" s="1">
        <v>0.0</v>
      </c>
      <c r="J610" s="1" t="str">
        <f>'3.1.raw'!AK172</f>
        <v>RED COLONY(100ml=0,10ml=0)</v>
      </c>
    </row>
    <row r="611">
      <c r="A611" s="23" t="str">
        <f t="shared" si="10"/>
        <v>DWa1002</v>
      </c>
      <c r="B611" s="23" t="str">
        <f>'3.1.raw'!L57</f>
        <v>DWa1002</v>
      </c>
      <c r="C611" s="24">
        <f>datevalue(left('3.1.raw'!O57,10))</f>
        <v>43614</v>
      </c>
      <c r="D611" s="23">
        <f>'3.1.raw'!I57</f>
        <v>3</v>
      </c>
      <c r="E611" s="1">
        <v>3.1</v>
      </c>
      <c r="F611" s="23" t="b">
        <f>if(countif(Status!C:C,A611)=1,TRUE, FALSE)</f>
        <v>1</v>
      </c>
      <c r="G611" s="1">
        <f t="shared" si="2"/>
        <v>1</v>
      </c>
      <c r="H611" s="1">
        <f>'3.1.raw'!Z57</f>
        <v>4</v>
      </c>
      <c r="J611" s="1" t="str">
        <f>'3.1.raw'!AK57</f>
        <v>NO RED COLONIES FOUND AT ANY CASES.</v>
      </c>
    </row>
    <row r="612">
      <c r="A612" s="23" t="str">
        <f t="shared" si="10"/>
        <v>DWa1001</v>
      </c>
      <c r="B612" s="23" t="str">
        <f>'3.1.raw'!L38</f>
        <v>DWa1001</v>
      </c>
      <c r="C612" s="24">
        <f>datevalue(left('3.1.raw'!O38,10))</f>
        <v>43607</v>
      </c>
      <c r="D612" s="23">
        <f>'3.1.raw'!I38</f>
        <v>3</v>
      </c>
      <c r="E612" s="1">
        <v>3.1</v>
      </c>
      <c r="F612" s="23" t="b">
        <f>if(countif(Status!C:C,A612)=1,TRUE, FALSE)</f>
        <v>1</v>
      </c>
      <c r="G612" s="1">
        <f t="shared" si="2"/>
        <v>0</v>
      </c>
      <c r="H612" s="1">
        <f>'3.1.raw'!Z38</f>
        <v>0</v>
      </c>
      <c r="J612" s="1" t="str">
        <f>'3.1.raw'!AK38</f>
        <v>39 AND 2 RED COLONIES FOUND FOR 100 ML AND 10 ML OF UNDILUTED SAMPLE, RESPECTIVELY.</v>
      </c>
    </row>
    <row r="613">
      <c r="A613" s="23" t="str">
        <f t="shared" si="10"/>
        <v>DW2002</v>
      </c>
      <c r="B613" s="23" t="str">
        <f>'3.1.raw'!L7</f>
        <v>DW2002</v>
      </c>
      <c r="C613" s="24">
        <f>datevalue(left('3.1.raw'!O7,10))</f>
        <v>43592</v>
      </c>
      <c r="D613" s="23">
        <f>'3.1.raw'!I7</f>
        <v>3</v>
      </c>
      <c r="E613" s="1">
        <v>3.1</v>
      </c>
      <c r="F613" s="23" t="b">
        <f>if(countif(Status!C:C,A613)=1,TRUE, FALSE)</f>
        <v>0</v>
      </c>
      <c r="G613" s="1">
        <f t="shared" si="2"/>
        <v>0</v>
      </c>
      <c r="H613" s="1">
        <f>'3.1.raw'!Z7</f>
        <v>0</v>
      </c>
      <c r="J613" s="1" t="str">
        <f>'3.1.raw'!AK7</f>
        <v>3 RED COLONIES FOUND FOR 100 ML UNDILUTED DW SAMPLE</v>
      </c>
    </row>
    <row r="614">
      <c r="A614" s="23" t="str">
        <f t="shared" si="10"/>
        <v>COb9902</v>
      </c>
      <c r="B614" s="23" t="str">
        <f>'3.1.raw'!L136</f>
        <v>COb9902</v>
      </c>
      <c r="C614" s="24">
        <f>datevalue(left('3.1.raw'!O136,10))</f>
        <v>43684</v>
      </c>
      <c r="D614" s="23">
        <f>'3.1.raw'!I136</f>
        <v>15</v>
      </c>
      <c r="E614" s="1">
        <v>3.1</v>
      </c>
      <c r="F614" s="23" t="b">
        <f>if(countif(Status!C:C,A614)=1,TRUE, FALSE)</f>
        <v>0</v>
      </c>
      <c r="G614" s="1">
        <f t="shared" si="2"/>
        <v>0</v>
      </c>
      <c r="H614" s="1">
        <f>'3.1.raw'!Z136</f>
        <v>0</v>
      </c>
      <c r="J614" s="1" t="str">
        <f>'3.1.raw'!AK136</f>
        <v>RED COLONY(10ml=TNTC,10^1=2)</v>
      </c>
    </row>
    <row r="615">
      <c r="A615" s="23" t="str">
        <f t="shared" si="10"/>
        <v>COb9901</v>
      </c>
      <c r="B615" s="23" t="str">
        <f>'3.1.raw'!L134</f>
        <v>COb9901</v>
      </c>
      <c r="C615" s="24">
        <f>datevalue(left('3.1.raw'!O134,10))</f>
        <v>43684</v>
      </c>
      <c r="D615" s="23">
        <f>'3.1.raw'!I134</f>
        <v>15</v>
      </c>
      <c r="E615" s="1">
        <v>3.1</v>
      </c>
      <c r="F615" s="23" t="b">
        <f>if(countif(Status!C:C,A615)=1,TRUE, FALSE)</f>
        <v>0</v>
      </c>
      <c r="G615" s="1" t="str">
        <f t="shared" si="2"/>
        <v/>
      </c>
      <c r="H615" s="1" t="str">
        <f>'3.1.raw'!Z134</f>
        <v/>
      </c>
      <c r="J615" s="1" t="str">
        <f>'3.1.raw'!AK134</f>
        <v>RED COLONY(10ml=TDTC,10^1ml=TNTC)</v>
      </c>
    </row>
    <row r="616">
      <c r="A616" s="23" t="str">
        <f t="shared" si="10"/>
        <v>COb2006</v>
      </c>
      <c r="B616" s="23" t="str">
        <f>'3.1.raw'!L641</f>
        <v>COb2006</v>
      </c>
      <c r="C616" s="24">
        <f>datevalue(left('3.1.raw'!O641,10))</f>
        <v>43845</v>
      </c>
      <c r="D616" s="23">
        <f>'3.1.raw'!I641</f>
        <v>15</v>
      </c>
      <c r="E616" s="1">
        <v>3.09999999999999</v>
      </c>
      <c r="F616" s="23" t="b">
        <f>if(countif(Status!C:C,A616)=1,TRUE, FALSE)</f>
        <v>1</v>
      </c>
      <c r="G616" s="1">
        <f t="shared" si="2"/>
        <v>1</v>
      </c>
      <c r="H616" s="1">
        <f>'3.1.raw'!Z641</f>
        <v>48</v>
      </c>
      <c r="J616" s="1" t="str">
        <f>'3.1.raw'!AK641</f>
        <v>Red colony count: 1:10^1 - 50; 1:10^2 - 5; 1:10^3 - 2, Each sample vol tested 1ml</v>
      </c>
    </row>
    <row r="617">
      <c r="A617" s="23" t="str">
        <f t="shared" si="10"/>
        <v>COb2005</v>
      </c>
      <c r="B617" s="23" t="str">
        <f>'3.1.raw'!L640</f>
        <v>COb2005</v>
      </c>
      <c r="C617" s="24">
        <f>datevalue(left('3.1.raw'!O640,10))</f>
        <v>43845</v>
      </c>
      <c r="D617" s="23">
        <f>'3.1.raw'!I640</f>
        <v>15</v>
      </c>
      <c r="E617" s="1">
        <v>3.09999999999999</v>
      </c>
      <c r="F617" s="23" t="b">
        <f>if(countif(Status!C:C,A617)=1,TRUE, FALSE)</f>
        <v>1</v>
      </c>
      <c r="G617" s="1">
        <f t="shared" si="2"/>
        <v>1</v>
      </c>
      <c r="H617" s="1">
        <f>'3.1.raw'!Z640</f>
        <v>39</v>
      </c>
      <c r="J617" s="1" t="str">
        <f>'3.1.raw'!AK640</f>
        <v>Red colony count: 1:10^1 - 21; 1:10^2 - 2; 1:10^3 - 00, Each sample vol tested 1ml</v>
      </c>
    </row>
    <row r="618">
      <c r="A618" s="23" t="str">
        <f t="shared" si="10"/>
        <v>COb2004</v>
      </c>
      <c r="B618" s="23" t="str">
        <f>'3.1.raw'!L639</f>
        <v>COb2004</v>
      </c>
      <c r="C618" s="24">
        <f>datevalue(left('3.1.raw'!O639,10))</f>
        <v>43845</v>
      </c>
      <c r="D618" s="23">
        <f>'3.1.raw'!I639</f>
        <v>15</v>
      </c>
      <c r="E618" s="1">
        <v>3.09999999999999</v>
      </c>
      <c r="F618" s="23" t="b">
        <f>if(countif(Status!C:C,A618)=1,TRUE, FALSE)</f>
        <v>1</v>
      </c>
      <c r="G618" s="1">
        <f t="shared" si="2"/>
        <v>1</v>
      </c>
      <c r="H618" s="1">
        <f>'3.1.raw'!Z639</f>
        <v>16</v>
      </c>
      <c r="J618" s="1" t="str">
        <f>'3.1.raw'!AK639</f>
        <v>Red colony count: 1:10^1 - 30; 1:10^2 - 3; 1:10^3 - 00, Each sample vol tested 1ml</v>
      </c>
    </row>
    <row r="619">
      <c r="A619" s="23" t="str">
        <f t="shared" si="10"/>
        <v>COb2003</v>
      </c>
      <c r="B619" s="23" t="str">
        <f>'3.1.raw'!L636</f>
        <v>COb2003</v>
      </c>
      <c r="C619" s="24">
        <f>datevalue(left('3.1.raw'!O636,10))</f>
        <v>43845</v>
      </c>
      <c r="D619" s="23">
        <f>'3.1.raw'!I636</f>
        <v>15</v>
      </c>
      <c r="E619" s="1">
        <v>3.09999999999999</v>
      </c>
      <c r="F619" s="23" t="b">
        <f>if(countif(Status!C:C,A619)=1,TRUE, FALSE)</f>
        <v>1</v>
      </c>
      <c r="G619" s="1">
        <f t="shared" si="2"/>
        <v>0</v>
      </c>
      <c r="H619" s="1">
        <f>'3.1.raw'!Z636</f>
        <v>0</v>
      </c>
      <c r="J619" s="1" t="str">
        <f>'3.1.raw'!AK636</f>
        <v>Red colony count: 1:10^1 - 80; 1:10^2 - 10; 1:10^3 - 01, Each sample vol tested 1ml</v>
      </c>
    </row>
    <row r="620">
      <c r="A620" s="23" t="str">
        <f t="shared" si="10"/>
        <v>COb2002</v>
      </c>
      <c r="B620" s="23" t="str">
        <f>'3.1.raw'!L635</f>
        <v>COb2002</v>
      </c>
      <c r="C620" s="24">
        <f>datevalue(left('3.1.raw'!O635,10))</f>
        <v>43845</v>
      </c>
      <c r="D620" s="23">
        <f>'3.1.raw'!I635</f>
        <v>15</v>
      </c>
      <c r="E620" s="1">
        <v>3.09999999999999</v>
      </c>
      <c r="F620" s="23" t="b">
        <f>if(countif(Status!C:C,A620)=1,TRUE, FALSE)</f>
        <v>1</v>
      </c>
      <c r="G620" s="1">
        <f t="shared" si="2"/>
        <v>0</v>
      </c>
      <c r="H620" s="1">
        <f>'3.1.raw'!Z635</f>
        <v>0</v>
      </c>
      <c r="J620" s="1" t="str">
        <f>'3.1.raw'!AK635</f>
        <v>Red colony count: 1:10^1 -22; 1:10^2 - 2; 1:10^3 - 00, Each sample vol tested 1ml</v>
      </c>
    </row>
    <row r="621">
      <c r="A621" s="23" t="str">
        <f t="shared" si="10"/>
        <v>COb2001</v>
      </c>
      <c r="B621" s="23" t="str">
        <f>'3.1.raw'!L634</f>
        <v>COb2001</v>
      </c>
      <c r="C621" s="24">
        <f>datevalue(left('3.1.raw'!O634,10))</f>
        <v>43845</v>
      </c>
      <c r="D621" s="23">
        <f>'3.1.raw'!I634</f>
        <v>15</v>
      </c>
      <c r="E621" s="1">
        <v>3.09999999999999</v>
      </c>
      <c r="F621" s="23" t="b">
        <f>if(countif(Status!C:C,A621)=1,TRUE, FALSE)</f>
        <v>1</v>
      </c>
      <c r="G621" s="1">
        <f t="shared" si="2"/>
        <v>0</v>
      </c>
      <c r="H621" s="1">
        <f>'3.1.raw'!Z634</f>
        <v>0</v>
      </c>
      <c r="J621" s="1" t="str">
        <f>'3.1.raw'!AK634</f>
        <v>Red colony count: 1:10^1 -6; 1:10^2 - 0; 1:10^3 - 00, Each sample vol tested 1ml</v>
      </c>
    </row>
    <row r="622">
      <c r="A622" s="23" t="str">
        <f t="shared" si="10"/>
        <v>COb1022</v>
      </c>
      <c r="B622" s="23" t="str">
        <f>'3.1.raw'!L452</f>
        <v>COb1022</v>
      </c>
      <c r="C622" s="24">
        <f>datevalue(left('3.1.raw'!O452,10))</f>
        <v>43789</v>
      </c>
      <c r="D622" s="23">
        <f>'3.1.raw'!I452</f>
        <v>15</v>
      </c>
      <c r="E622" s="1">
        <v>3.09999999999999</v>
      </c>
      <c r="F622" s="23" t="b">
        <f>if(countif(Status!C:C,A622)=1,TRUE, FALSE)</f>
        <v>1</v>
      </c>
      <c r="G622" s="1">
        <f t="shared" si="2"/>
        <v>1</v>
      </c>
      <c r="H622" s="1">
        <f>'3.1.raw'!Z452</f>
        <v>10</v>
      </c>
      <c r="J622" s="1" t="str">
        <f>'3.1.raw'!AK452</f>
        <v>Red colony count: 1:10^1 - 30; 1:10^2 - 03; 1:10^3 - 00, Each sample vol tested 1ml</v>
      </c>
    </row>
    <row r="623">
      <c r="A623" s="23" t="str">
        <f t="shared" si="10"/>
        <v>COb1021</v>
      </c>
      <c r="B623" s="23" t="str">
        <f>'3.1.raw'!L451</f>
        <v>COb1021</v>
      </c>
      <c r="C623" s="24">
        <f>datevalue(left('3.1.raw'!O451,10))</f>
        <v>43789</v>
      </c>
      <c r="D623" s="23">
        <f>'3.1.raw'!I451</f>
        <v>15</v>
      </c>
      <c r="E623" s="1">
        <v>3.09999999999999</v>
      </c>
      <c r="F623" s="23" t="b">
        <f>if(countif(Status!C:C,A623)=1,TRUE, FALSE)</f>
        <v>1</v>
      </c>
      <c r="G623" s="1">
        <f t="shared" si="2"/>
        <v>1</v>
      </c>
      <c r="H623" s="1">
        <f>'3.1.raw'!Z451</f>
        <v>3</v>
      </c>
      <c r="J623" s="1" t="str">
        <f>'3.1.raw'!AK451</f>
        <v>Red colony count: 1:10^1 - 26; 1:10^2 - 02; 1:10^3 - 00, Each sample vol tested 1ml</v>
      </c>
    </row>
    <row r="624">
      <c r="A624" s="23" t="str">
        <f t="shared" si="10"/>
        <v>COb1020</v>
      </c>
      <c r="B624" s="23" t="str">
        <f>'3.1.raw'!L450</f>
        <v>COb1020</v>
      </c>
      <c r="C624" s="24">
        <f>datevalue(left('3.1.raw'!O450,10))</f>
        <v>43789</v>
      </c>
      <c r="D624" s="23">
        <f>'3.1.raw'!I450</f>
        <v>15</v>
      </c>
      <c r="E624" s="1">
        <v>3.09999999999999</v>
      </c>
      <c r="F624" s="23" t="b">
        <f>if(countif(Status!C:C,A624)=1,TRUE, FALSE)</f>
        <v>1</v>
      </c>
      <c r="G624" s="1">
        <f t="shared" si="2"/>
        <v>1</v>
      </c>
      <c r="H624" s="1">
        <f>'3.1.raw'!Z450</f>
        <v>2</v>
      </c>
      <c r="J624" s="1" t="str">
        <f>'3.1.raw'!AK450</f>
        <v>Red colony count: 1:10^1 - 78; 1:10^2 - 12; 1:10^2 - 01, Each sample vol tested 1ml</v>
      </c>
    </row>
    <row r="625">
      <c r="A625" s="23" t="str">
        <f t="shared" si="10"/>
        <v>COb1019</v>
      </c>
      <c r="B625" s="23" t="str">
        <f>'3.1.raw'!L401</f>
        <v>COb1019</v>
      </c>
      <c r="C625" s="24">
        <f>datevalue(left('3.1.raw'!O401,10))</f>
        <v>43777</v>
      </c>
      <c r="D625" s="23">
        <f>'3.1.raw'!I401</f>
        <v>15</v>
      </c>
      <c r="E625" s="1">
        <v>3.09999999999999</v>
      </c>
      <c r="F625" s="23" t="b">
        <f>if(countif(Status!C:C,A625)=1,TRUE, FALSE)</f>
        <v>1</v>
      </c>
      <c r="G625" s="1">
        <f t="shared" si="2"/>
        <v>1</v>
      </c>
      <c r="H625" s="1">
        <f>'3.1.raw'!Z401</f>
        <v>1</v>
      </c>
      <c r="J625" s="1" t="str">
        <f>'3.1.raw'!AK401</f>
        <v>Red colony count: 1:10^1 - 80; 1:10^2 - 18; 1:10^3 -01, Each sample vol tested 1ml</v>
      </c>
    </row>
    <row r="626">
      <c r="A626" s="23" t="str">
        <f t="shared" si="10"/>
        <v>COb1018</v>
      </c>
      <c r="B626" s="23" t="str">
        <f>'3.1.raw'!L400</f>
        <v>COb1018</v>
      </c>
      <c r="C626" s="24">
        <f>datevalue(left('3.1.raw'!O400,10))</f>
        <v>43777</v>
      </c>
      <c r="D626" s="23">
        <f>'3.1.raw'!I400</f>
        <v>15</v>
      </c>
      <c r="E626" s="1">
        <v>3.09999999999999</v>
      </c>
      <c r="F626" s="23" t="b">
        <f>if(countif(Status!C:C,A626)=1,TRUE, FALSE)</f>
        <v>1</v>
      </c>
      <c r="G626" s="1">
        <f t="shared" si="2"/>
        <v>1</v>
      </c>
      <c r="H626" s="1">
        <f>'3.1.raw'!Z400</f>
        <v>1</v>
      </c>
      <c r="J626" s="1" t="str">
        <f>'3.1.raw'!AK400</f>
        <v>Red colony count: 1:10^1 -20; 1:10^2 - 2; 1:10^3 -00, Each sample vol tested 1ml</v>
      </c>
    </row>
    <row r="627">
      <c r="A627" s="23" t="str">
        <f t="shared" si="10"/>
        <v>COb1017</v>
      </c>
      <c r="B627" s="23" t="str">
        <f>'3.1.raw'!L399</f>
        <v>COb1017</v>
      </c>
      <c r="C627" s="24">
        <f>datevalue(left('3.1.raw'!O399,10))</f>
        <v>43777</v>
      </c>
      <c r="D627" s="23">
        <f>'3.1.raw'!I399</f>
        <v>15</v>
      </c>
      <c r="E627" s="1">
        <v>3.09999999999999</v>
      </c>
      <c r="F627" s="23" t="b">
        <f>if(countif(Status!C:C,A627)=1,TRUE, FALSE)</f>
        <v>1</v>
      </c>
      <c r="G627" s="1">
        <f t="shared" si="2"/>
        <v>0</v>
      </c>
      <c r="H627" s="1">
        <f>'3.1.raw'!Z399</f>
        <v>0</v>
      </c>
      <c r="J627" s="1" t="str">
        <f>'3.1.raw'!AK399</f>
        <v>Red colony count: 1:10^1 - 5; 1:10^2 - 3; 1:10^3 -00, Each sample vol tested 1ml</v>
      </c>
    </row>
    <row r="628">
      <c r="A628" s="23" t="str">
        <f t="shared" si="10"/>
        <v>COb1016</v>
      </c>
      <c r="B628" s="23" t="str">
        <f>'3.1.raw'!L353</f>
        <v>COb1016</v>
      </c>
      <c r="C628" s="24">
        <f>datevalue(left('3.1.raw'!O353,10))</f>
        <v>43770</v>
      </c>
      <c r="D628" s="23">
        <f>'3.1.raw'!I353</f>
        <v>15</v>
      </c>
      <c r="E628" s="1">
        <v>3.1</v>
      </c>
      <c r="F628" s="23" t="b">
        <f>if(countif(Status!C:C,A628)=1,TRUE, FALSE)</f>
        <v>1</v>
      </c>
      <c r="G628" s="1" t="str">
        <f t="shared" si="2"/>
        <v/>
      </c>
      <c r="H628" s="1" t="str">
        <f>'3.1.raw'!Z353</f>
        <v/>
      </c>
      <c r="J628" s="1" t="str">
        <f>'3.1.raw'!AK353</f>
        <v>Red colony count: 1:10^1 -17; 1:10^2 - 4; 1:10^3 -00</v>
      </c>
    </row>
    <row r="629">
      <c r="A629" s="23" t="str">
        <f t="shared" si="10"/>
        <v>COb1015</v>
      </c>
      <c r="B629" s="23" t="str">
        <f>'3.1.raw'!L352</f>
        <v>COb1015</v>
      </c>
      <c r="C629" s="24">
        <f>datevalue(left('3.1.raw'!O352,10))</f>
        <v>43770</v>
      </c>
      <c r="D629" s="23">
        <f>'3.1.raw'!I352</f>
        <v>15</v>
      </c>
      <c r="E629" s="1">
        <v>3.1</v>
      </c>
      <c r="F629" s="23" t="b">
        <f>if(countif(Status!C:C,A629)=1,TRUE, FALSE)</f>
        <v>1</v>
      </c>
      <c r="G629" s="1">
        <f t="shared" si="2"/>
        <v>0</v>
      </c>
      <c r="H629" s="1">
        <f>'3.1.raw'!Z352</f>
        <v>0</v>
      </c>
      <c r="J629" s="1" t="str">
        <f>'3.1.raw'!AK352</f>
        <v>Red colony count: 1:10^1 -6; 1:10^2 - 2; 1:10^3 -1</v>
      </c>
    </row>
    <row r="630">
      <c r="A630" s="23" t="str">
        <f t="shared" si="10"/>
        <v>COb1014</v>
      </c>
      <c r="B630" s="23" t="str">
        <f>'3.1.raw'!L351</f>
        <v>COb1014</v>
      </c>
      <c r="C630" s="24">
        <f>datevalue(left('3.1.raw'!O351,10))</f>
        <v>43770</v>
      </c>
      <c r="D630" s="23">
        <f>'3.1.raw'!I351</f>
        <v>15</v>
      </c>
      <c r="E630" s="1">
        <v>3.1</v>
      </c>
      <c r="F630" s="23" t="b">
        <f>if(countif(Status!C:C,A630)=1,TRUE, FALSE)</f>
        <v>1</v>
      </c>
      <c r="G630" s="1">
        <f t="shared" si="2"/>
        <v>0</v>
      </c>
      <c r="H630" s="1">
        <f>'3.1.raw'!Z351</f>
        <v>0</v>
      </c>
      <c r="J630" s="1" t="str">
        <f>'3.1.raw'!AK351</f>
        <v>Red colony count: 1:10^1 -176; 1:10^2 - 72; 1:10^3 -2</v>
      </c>
    </row>
    <row r="631">
      <c r="A631" s="23" t="str">
        <f t="shared" si="10"/>
        <v>COb1013</v>
      </c>
      <c r="B631" s="23" t="str">
        <f>'3.1.raw'!L242</f>
        <v>COb1013</v>
      </c>
      <c r="C631" s="24">
        <f>datevalue(left('3.1.raw'!O242,10))</f>
        <v>43725</v>
      </c>
      <c r="D631" s="23">
        <f>'3.1.raw'!I242</f>
        <v>15</v>
      </c>
      <c r="E631" s="1">
        <v>3.1</v>
      </c>
      <c r="F631" s="23" t="b">
        <f>if(countif(Status!C:C,A631)=1,TRUE, FALSE)</f>
        <v>1</v>
      </c>
      <c r="G631" s="1">
        <f t="shared" si="2"/>
        <v>0</v>
      </c>
      <c r="H631" s="1">
        <f>'3.1.raw'!Z242</f>
        <v>0</v>
      </c>
      <c r="J631" s="1" t="str">
        <f>'3.1.raw'!AK242</f>
        <v>RED COLONY(10^1=TNTC,10^2=20,10^3=19)</v>
      </c>
    </row>
    <row r="632">
      <c r="A632" s="23" t="str">
        <f t="shared" si="10"/>
        <v>COb1012</v>
      </c>
      <c r="B632" s="23" t="str">
        <f>'3.1.raw'!L241</f>
        <v>COb1012</v>
      </c>
      <c r="C632" s="24">
        <f>datevalue(left('3.1.raw'!O241,10))</f>
        <v>43725</v>
      </c>
      <c r="D632" s="23">
        <f>'3.1.raw'!I241</f>
        <v>15</v>
      </c>
      <c r="E632" s="1">
        <v>3.1</v>
      </c>
      <c r="F632" s="23" t="b">
        <f>if(countif(Status!C:C,A632)=1,TRUE, FALSE)</f>
        <v>1</v>
      </c>
      <c r="G632" s="1">
        <f t="shared" si="2"/>
        <v>1</v>
      </c>
      <c r="H632" s="1">
        <f>'3.1.raw'!Z241</f>
        <v>7</v>
      </c>
      <c r="J632" s="1" t="str">
        <f>'3.1.raw'!AK241</f>
        <v>RED COLONY(10^1=6,10^2=3,10^3=0), BLUE COLONY(10^1=7 WITH SOME SMUDGE COLONY)</v>
      </c>
    </row>
    <row r="633">
      <c r="A633" s="23" t="str">
        <f t="shared" si="10"/>
        <v>COb1011</v>
      </c>
      <c r="B633" s="23" t="str">
        <f>'3.1.raw'!L240</f>
        <v>COb1011</v>
      </c>
      <c r="C633" s="24">
        <f>datevalue(left('3.1.raw'!O240,10))</f>
        <v>43725</v>
      </c>
      <c r="D633" s="23">
        <f>'3.1.raw'!I240</f>
        <v>15</v>
      </c>
      <c r="E633" s="1">
        <v>3.1</v>
      </c>
      <c r="F633" s="23" t="b">
        <f>if(countif(Status!C:C,A633)=1,TRUE, FALSE)</f>
        <v>1</v>
      </c>
      <c r="G633" s="1">
        <f t="shared" si="2"/>
        <v>1</v>
      </c>
      <c r="H633" s="1">
        <f>'3.1.raw'!Z240</f>
        <v>1</v>
      </c>
      <c r="J633" s="1" t="str">
        <f>'3.1.raw'!AK240</f>
        <v>RED COLONY(10^1=TNTC,10^2=64,10^3=2)</v>
      </c>
    </row>
    <row r="634">
      <c r="A634" s="23" t="str">
        <f t="shared" si="10"/>
        <v>COb1010</v>
      </c>
      <c r="B634" s="23" t="str">
        <f>'3.1.raw'!L239</f>
        <v>COb1010</v>
      </c>
      <c r="C634" s="24">
        <f>datevalue(left('3.1.raw'!O239,10))</f>
        <v>43725</v>
      </c>
      <c r="D634" s="23">
        <f>'3.1.raw'!I239</f>
        <v>15</v>
      </c>
      <c r="E634" s="1">
        <v>3.1</v>
      </c>
      <c r="F634" s="23" t="b">
        <f>if(countif(Status!C:C,A634)=1,TRUE, FALSE)</f>
        <v>1</v>
      </c>
      <c r="G634" s="1">
        <f t="shared" si="2"/>
        <v>0</v>
      </c>
      <c r="H634" s="1">
        <f>'3.1.raw'!Z239</f>
        <v>0</v>
      </c>
      <c r="J634" s="1" t="str">
        <f>'3.1.raw'!AK239</f>
        <v>RED COLONY(10^1=31,10^2=10,10^3=1)</v>
      </c>
    </row>
    <row r="635">
      <c r="A635" s="23" t="str">
        <f t="shared" si="10"/>
        <v>COb1009</v>
      </c>
      <c r="B635" s="23" t="str">
        <f>'3.1.raw'!L236</f>
        <v>COb1009</v>
      </c>
      <c r="C635" s="24">
        <f>datevalue(left('3.1.raw'!O236,10))</f>
        <v>43725</v>
      </c>
      <c r="D635" s="23">
        <f>'3.1.raw'!I236</f>
        <v>15</v>
      </c>
      <c r="E635" s="1">
        <v>3.1</v>
      </c>
      <c r="F635" s="23" t="b">
        <f>if(countif(Status!C:C,A635)=1,TRUE, FALSE)</f>
        <v>1</v>
      </c>
      <c r="G635" s="1">
        <f t="shared" si="2"/>
        <v>0</v>
      </c>
      <c r="H635" s="1">
        <f>'3.1.raw'!Z236</f>
        <v>0</v>
      </c>
      <c r="J635" s="1" t="str">
        <f>'3.1.raw'!AK236</f>
        <v>RED COLONY(10^1=10,10^2=1,10^3=0)</v>
      </c>
    </row>
    <row r="636">
      <c r="A636" s="23" t="str">
        <f t="shared" si="10"/>
        <v>COb1008</v>
      </c>
      <c r="B636" s="23" t="str">
        <f>'3.1.raw'!L235</f>
        <v>COb1008</v>
      </c>
      <c r="C636" s="24">
        <f>datevalue(left('3.1.raw'!O235,10))</f>
        <v>43725</v>
      </c>
      <c r="D636" s="23">
        <f>'3.1.raw'!I235</f>
        <v>15</v>
      </c>
      <c r="E636" s="1">
        <v>3.1</v>
      </c>
      <c r="F636" s="23" t="b">
        <f>if(countif(Status!C:C,A636)=1,TRUE, FALSE)</f>
        <v>1</v>
      </c>
      <c r="G636" s="1">
        <f t="shared" si="2"/>
        <v>0</v>
      </c>
      <c r="H636" s="1">
        <f>'3.1.raw'!Z235</f>
        <v>0</v>
      </c>
      <c r="J636" s="1" t="str">
        <f>'3.1.raw'!AK235</f>
        <v>RED COLONY(10^1=32,10^2=17,10^3=30)</v>
      </c>
    </row>
    <row r="637">
      <c r="A637" s="23" t="str">
        <f t="shared" si="10"/>
        <v>COb1007</v>
      </c>
      <c r="B637" s="23" t="str">
        <f>'3.1.raw'!L234</f>
        <v>COb1007</v>
      </c>
      <c r="C637" s="24">
        <f>datevalue(left('3.1.raw'!O234,10))</f>
        <v>43725</v>
      </c>
      <c r="D637" s="23">
        <f>'3.1.raw'!I234</f>
        <v>15</v>
      </c>
      <c r="E637" s="1">
        <v>3.1</v>
      </c>
      <c r="F637" s="23" t="b">
        <f>if(countif(Status!C:C,A637)=1,TRUE, FALSE)</f>
        <v>1</v>
      </c>
      <c r="G637" s="1">
        <f t="shared" si="2"/>
        <v>0</v>
      </c>
      <c r="H637" s="1">
        <f>'3.1.raw'!Z234</f>
        <v>0</v>
      </c>
      <c r="J637" s="1" t="str">
        <f>'3.1.raw'!AK234</f>
        <v>RED COLONY(10^1=5,10^2=0,10^3=0)</v>
      </c>
    </row>
    <row r="638">
      <c r="A638" s="23" t="str">
        <f t="shared" si="10"/>
        <v>COb1006</v>
      </c>
      <c r="B638" s="23" t="str">
        <f>'3.1.raw'!L169</f>
        <v>COb1006</v>
      </c>
      <c r="C638" s="24">
        <f>datevalue(left('3.1.raw'!O169,10))</f>
        <v>43699</v>
      </c>
      <c r="D638" s="23">
        <f>'3.1.raw'!I169</f>
        <v>15</v>
      </c>
      <c r="E638" s="1">
        <v>3.1</v>
      </c>
      <c r="F638" s="23" t="b">
        <f>if(countif(Status!C:C,A638)=1,TRUE, FALSE)</f>
        <v>1</v>
      </c>
      <c r="G638" s="1" t="str">
        <f t="shared" si="2"/>
        <v/>
      </c>
      <c r="H638" s="1" t="str">
        <f>'3.1.raw'!Z169</f>
        <v/>
      </c>
      <c r="I638" s="1">
        <v>1.0</v>
      </c>
      <c r="J638" s="1" t="str">
        <f>'3.1.raw'!AK169</f>
        <v>RED COLONY(10ml=TDTC,10^1=39)</v>
      </c>
    </row>
    <row r="639">
      <c r="A639" s="23" t="str">
        <f t="shared" si="10"/>
        <v>COb1005</v>
      </c>
      <c r="B639" s="23" t="str">
        <f>'3.1.raw'!L168</f>
        <v>COb1005</v>
      </c>
      <c r="C639" s="24">
        <f>datevalue(left('3.1.raw'!O168,10))</f>
        <v>43699</v>
      </c>
      <c r="D639" s="23">
        <f>'3.1.raw'!I168</f>
        <v>15</v>
      </c>
      <c r="E639" s="1">
        <v>3.1</v>
      </c>
      <c r="F639" s="23" t="b">
        <f>if(countif(Status!C:C,A639)=1,TRUE, FALSE)</f>
        <v>1</v>
      </c>
      <c r="G639" s="1" t="str">
        <f t="shared" si="2"/>
        <v/>
      </c>
      <c r="H639" s="1" t="str">
        <f>'3.1.raw'!Z168</f>
        <v/>
      </c>
      <c r="I639" s="1">
        <v>1.0</v>
      </c>
      <c r="J639" s="1" t="str">
        <f>'3.1.raw'!AK168</f>
        <v>RED COLONY (10ml=TDTC,10^1=TNTC)</v>
      </c>
    </row>
    <row r="640">
      <c r="A640" s="23" t="str">
        <f t="shared" si="10"/>
        <v>COb1004</v>
      </c>
      <c r="B640" s="23" t="str">
        <f>'3.1.raw'!L167</f>
        <v>COb1004</v>
      </c>
      <c r="C640" s="24">
        <f>datevalue(left('3.1.raw'!O167,10))</f>
        <v>43699</v>
      </c>
      <c r="D640" s="23">
        <f>'3.1.raw'!I167</f>
        <v>15</v>
      </c>
      <c r="E640" s="1">
        <v>3.1</v>
      </c>
      <c r="F640" s="23" t="b">
        <f>if(countif(Status!C:C,A640)=1,TRUE, FALSE)</f>
        <v>1</v>
      </c>
      <c r="G640" s="1" t="str">
        <f t="shared" si="2"/>
        <v/>
      </c>
      <c r="H640" s="1" t="str">
        <f>'3.1.raw'!Z167</f>
        <v/>
      </c>
      <c r="I640" s="1">
        <v>1.0</v>
      </c>
      <c r="J640" s="1" t="str">
        <f>'3.1.raw'!AK167</f>
        <v>RED COLONY(10ml=TDTC,10^1=TNTC)</v>
      </c>
    </row>
    <row r="641">
      <c r="A641" s="23" t="str">
        <f t="shared" si="10"/>
        <v>COb1003</v>
      </c>
      <c r="B641" s="23" t="str">
        <f>'3.1.raw'!L164</f>
        <v>COb1003</v>
      </c>
      <c r="C641" s="24">
        <f>datevalue(left('3.1.raw'!O164,10))</f>
        <v>43699</v>
      </c>
      <c r="D641" s="23">
        <f>'3.1.raw'!I164</f>
        <v>15</v>
      </c>
      <c r="E641" s="1">
        <v>3.1</v>
      </c>
      <c r="F641" s="23" t="b">
        <f>if(countif(Status!C:C,A641)=1,TRUE, FALSE)</f>
        <v>1</v>
      </c>
      <c r="G641" s="1" t="str">
        <f t="shared" si="2"/>
        <v/>
      </c>
      <c r="H641" s="1" t="str">
        <f>'3.1.raw'!Z164</f>
        <v/>
      </c>
      <c r="I641" s="1">
        <v>1.0</v>
      </c>
      <c r="J641" s="1" t="str">
        <f>'3.1.raw'!AK164</f>
        <v>RED COLONY(10ml=TDTC,10^1=TNTC)</v>
      </c>
    </row>
    <row r="642">
      <c r="A642" s="23" t="str">
        <f t="shared" si="10"/>
        <v>COb1002</v>
      </c>
      <c r="B642" s="23" t="str">
        <f>'3.1.raw'!L163</f>
        <v>COb1002</v>
      </c>
      <c r="C642" s="24">
        <f>datevalue(left('3.1.raw'!O163,10))</f>
        <v>43699</v>
      </c>
      <c r="D642" s="23">
        <f>'3.1.raw'!I163</f>
        <v>15</v>
      </c>
      <c r="E642" s="1">
        <v>3.1</v>
      </c>
      <c r="F642" s="23" t="b">
        <f>if(countif(Status!C:C,A642)=1,TRUE, FALSE)</f>
        <v>1</v>
      </c>
      <c r="G642" s="1" t="str">
        <f t="shared" si="2"/>
        <v/>
      </c>
      <c r="H642" s="1" t="str">
        <f>'3.1.raw'!Z163</f>
        <v/>
      </c>
      <c r="I642" s="1">
        <v>1.0</v>
      </c>
      <c r="J642" s="1" t="str">
        <f>'3.1.raw'!AK163</f>
        <v>RED COLONY(10ml=TDTC,10^1=37)</v>
      </c>
    </row>
    <row r="643">
      <c r="A643" s="23" t="str">
        <f t="shared" si="10"/>
        <v>COb1001</v>
      </c>
      <c r="B643" s="23" t="str">
        <f>'3.1.raw'!L162</f>
        <v>COb1001</v>
      </c>
      <c r="C643" s="24">
        <f>datevalue(left('3.1.raw'!O162,10))</f>
        <v>43699</v>
      </c>
      <c r="D643" s="23">
        <f>'3.1.raw'!I162</f>
        <v>15</v>
      </c>
      <c r="E643" s="1">
        <v>3.1</v>
      </c>
      <c r="F643" s="23" t="b">
        <f>if(countif(Status!C:C,A643)=1,TRUE, FALSE)</f>
        <v>1</v>
      </c>
      <c r="G643" s="1" t="str">
        <f t="shared" si="2"/>
        <v/>
      </c>
      <c r="H643" s="1" t="str">
        <f>'3.1.raw'!Z162</f>
        <v/>
      </c>
      <c r="I643" s="1">
        <v>1.0</v>
      </c>
      <c r="J643" s="1" t="str">
        <f>'3.1.raw'!AK162</f>
        <v>RED COLONY(10ml=TDTC,10^1=TNTC)</v>
      </c>
    </row>
    <row r="644">
      <c r="A644" s="23" t="str">
        <f t="shared" si="10"/>
        <v>COa9902</v>
      </c>
      <c r="B644" s="23" t="str">
        <f>'3.1.raw'!L135</f>
        <v>COa9902</v>
      </c>
      <c r="C644" s="24">
        <f>datevalue(left('3.1.raw'!O135,10))</f>
        <v>43684</v>
      </c>
      <c r="D644" s="23">
        <f>'3.1.raw'!I135</f>
        <v>15</v>
      </c>
      <c r="E644" s="1">
        <v>3.1</v>
      </c>
      <c r="F644" s="23" t="b">
        <f>if(countif(Status!C:C,A644)=1,TRUE, FALSE)</f>
        <v>0</v>
      </c>
      <c r="G644" s="1">
        <f t="shared" si="2"/>
        <v>1</v>
      </c>
      <c r="H644" s="1">
        <f>'3.1.raw'!Z135</f>
        <v>3</v>
      </c>
      <c r="J644" s="1" t="str">
        <f>'3.1.raw'!AK135</f>
        <v>RED COLONY(10ml=26,10^1=14)</v>
      </c>
    </row>
    <row r="645">
      <c r="A645" s="23" t="str">
        <f t="shared" si="10"/>
        <v>COa9901</v>
      </c>
      <c r="B645" s="23" t="str">
        <f>'3.1.raw'!L133</f>
        <v>COa9901</v>
      </c>
      <c r="C645" s="24">
        <f>datevalue(left('3.1.raw'!O133,10))</f>
        <v>43684</v>
      </c>
      <c r="D645" s="23">
        <f>'3.1.raw'!I133</f>
        <v>15</v>
      </c>
      <c r="E645" s="1">
        <v>3.1</v>
      </c>
      <c r="F645" s="23" t="b">
        <f>if(countif(Status!C:C,A645)=1,TRUE, FALSE)</f>
        <v>0</v>
      </c>
      <c r="G645" s="1" t="str">
        <f t="shared" si="2"/>
        <v/>
      </c>
      <c r="H645" s="1" t="str">
        <f>'3.1.raw'!Z133</f>
        <v/>
      </c>
      <c r="J645" s="1" t="str">
        <f>'3.1.raw'!AK133</f>
        <v/>
      </c>
    </row>
    <row r="646">
      <c r="A646" s="23" t="str">
        <f t="shared" si="10"/>
        <v>COa2002</v>
      </c>
      <c r="B646" s="23" t="str">
        <f>'3.1.raw'!L638</f>
        <v>COa2002</v>
      </c>
      <c r="C646" s="24">
        <f>datevalue(left('3.1.raw'!O638,10))</f>
        <v>43845</v>
      </c>
      <c r="D646" s="23">
        <f>'3.1.raw'!I638</f>
        <v>15</v>
      </c>
      <c r="E646" s="1">
        <v>3.09999999999999</v>
      </c>
      <c r="F646" s="23" t="b">
        <f>if(countif(Status!C:C,A646)=1,TRUE, FALSE)</f>
        <v>1</v>
      </c>
      <c r="G646" s="1">
        <f t="shared" si="2"/>
        <v>1</v>
      </c>
      <c r="H646" s="1">
        <f>'3.1.raw'!Z638</f>
        <v>56</v>
      </c>
      <c r="J646" s="1" t="str">
        <f>'3.1.raw'!AK638</f>
        <v>Red colony count: 1:10^1 - 44; 1:10^2 - 4; 1:10^3 - 00, Each sample vol tested 1ml</v>
      </c>
    </row>
    <row r="647">
      <c r="A647" s="23" t="str">
        <f t="shared" si="10"/>
        <v>COa2001</v>
      </c>
      <c r="B647" s="23" t="str">
        <f>'3.1.raw'!L633</f>
        <v>COa2001</v>
      </c>
      <c r="C647" s="24">
        <f>datevalue(left('3.1.raw'!O633,10))</f>
        <v>43845</v>
      </c>
      <c r="D647" s="23">
        <f>'3.1.raw'!I633</f>
        <v>15</v>
      </c>
      <c r="E647" s="1">
        <v>3.09999999999999</v>
      </c>
      <c r="F647" s="23" t="b">
        <f>if(countif(Status!C:C,A647)=1,TRUE, FALSE)</f>
        <v>1</v>
      </c>
      <c r="G647" s="1">
        <f t="shared" si="2"/>
        <v>1</v>
      </c>
      <c r="H647" s="1">
        <f>'3.1.raw'!Z633</f>
        <v>2</v>
      </c>
      <c r="J647" s="1" t="str">
        <f>'3.1.raw'!AK633</f>
        <v>Red colony count: 1:10^1 -92; 1:10^2 - 34; 1:10^3 - 11, Each sample vol tested 1ml</v>
      </c>
    </row>
    <row r="648">
      <c r="A648" s="23" t="str">
        <f t="shared" si="10"/>
        <v>COa1007</v>
      </c>
      <c r="B648" s="23" t="str">
        <f>'3.1.raw'!L449</f>
        <v>COa1007</v>
      </c>
      <c r="C648" s="24">
        <f>datevalue(left('3.1.raw'!O449,10))</f>
        <v>43789</v>
      </c>
      <c r="D648" s="23">
        <f>'3.1.raw'!I449</f>
        <v>15</v>
      </c>
      <c r="E648" s="1">
        <v>3.09999999999999</v>
      </c>
      <c r="F648" s="23" t="b">
        <f>if(countif(Status!C:C,A648)=1,TRUE, FALSE)</f>
        <v>1</v>
      </c>
      <c r="G648" s="1">
        <f t="shared" si="2"/>
        <v>1</v>
      </c>
      <c r="H648" s="1">
        <f>'3.1.raw'!Z449</f>
        <v>1</v>
      </c>
      <c r="J648" s="1" t="str">
        <f>'3.1.raw'!AK449</f>
        <v>Red colony count: 1:10^1 - TNTC; 1:10^2 - 69; 1:10^3 - 06, Each sample vol tested 1ml</v>
      </c>
    </row>
    <row r="649">
      <c r="A649" s="23" t="str">
        <f t="shared" si="10"/>
        <v>COa1006</v>
      </c>
      <c r="B649" s="23" t="str">
        <f>'3.1.raw'!L398</f>
        <v>COa1006</v>
      </c>
      <c r="C649" s="24">
        <f>datevalue(left('3.1.raw'!O398,10))</f>
        <v>43777</v>
      </c>
      <c r="D649" s="23">
        <f>'3.1.raw'!I398</f>
        <v>15</v>
      </c>
      <c r="E649" s="1">
        <v>3.09999999999999</v>
      </c>
      <c r="F649" s="23" t="b">
        <f>if(countif(Status!C:C,A649)=1,TRUE, FALSE)</f>
        <v>1</v>
      </c>
      <c r="G649" s="1">
        <f t="shared" si="2"/>
        <v>1</v>
      </c>
      <c r="H649" s="1">
        <f>'3.1.raw'!Z398</f>
        <v>3</v>
      </c>
      <c r="J649" s="1" t="str">
        <f>'3.1.raw'!AK398</f>
        <v>For 3.1: Red colony count: 1:10^1 - TDTC; 1:10^2 - 30; 1:10^3-6, Each sample vol tested 1ml</v>
      </c>
    </row>
    <row r="650">
      <c r="A650" s="23" t="str">
        <f t="shared" si="10"/>
        <v>COa1005</v>
      </c>
      <c r="B650" s="23" t="str">
        <f>'3.1.raw'!L350</f>
        <v>COa1005</v>
      </c>
      <c r="C650" s="24">
        <f>datevalue(left('3.1.raw'!O350,10))</f>
        <v>43770</v>
      </c>
      <c r="D650" s="23">
        <f>'3.1.raw'!I350</f>
        <v>15</v>
      </c>
      <c r="E650" s="1">
        <v>3.1</v>
      </c>
      <c r="F650" s="23" t="b">
        <f>if(countif(Status!C:C,A650)=1,TRUE, FALSE)</f>
        <v>1</v>
      </c>
      <c r="G650" s="1">
        <f t="shared" si="2"/>
        <v>1</v>
      </c>
      <c r="H650" s="1">
        <f>'3.1.raw'!Z350</f>
        <v>3</v>
      </c>
      <c r="J650" s="1" t="str">
        <f>'3.1.raw'!AK350</f>
        <v>Red colony count: 1:10^1 -8; 1:10^2 - 2; 1:10^3 -1</v>
      </c>
    </row>
    <row r="651">
      <c r="A651" s="23" t="str">
        <f t="shared" si="10"/>
        <v>COa1004</v>
      </c>
      <c r="B651" s="23" t="str">
        <f>'3.1.raw'!L238</f>
        <v>COa1004</v>
      </c>
      <c r="C651" s="24">
        <f>datevalue(left('3.1.raw'!O238,10))</f>
        <v>43725</v>
      </c>
      <c r="D651" s="23">
        <f>'3.1.raw'!I238</f>
        <v>15</v>
      </c>
      <c r="E651" s="1">
        <v>3.1</v>
      </c>
      <c r="F651" s="23" t="b">
        <f>if(countif(Status!C:C,A651)=1,TRUE, FALSE)</f>
        <v>1</v>
      </c>
      <c r="G651" s="1" t="str">
        <f t="shared" si="2"/>
        <v/>
      </c>
      <c r="H651" s="1" t="str">
        <f>'3.1.raw'!Z238</f>
        <v/>
      </c>
      <c r="J651" s="1" t="str">
        <f>'3.1.raw'!AK238</f>
        <v>RED COLONY(10^1=TNTC,10^2=TNTC,10^3=48)</v>
      </c>
    </row>
    <row r="652">
      <c r="A652" s="23" t="str">
        <f t="shared" si="10"/>
        <v>COa1003</v>
      </c>
      <c r="B652" s="23" t="str">
        <f>'3.1.raw'!L233</f>
        <v>COa1003</v>
      </c>
      <c r="C652" s="24">
        <f>datevalue(left('3.1.raw'!O233,10))</f>
        <v>43725</v>
      </c>
      <c r="D652" s="23">
        <f>'3.1.raw'!I233</f>
        <v>15</v>
      </c>
      <c r="E652" s="1">
        <v>3.1</v>
      </c>
      <c r="F652" s="23" t="b">
        <f>if(countif(Status!C:C,A652)=1,TRUE, FALSE)</f>
        <v>1</v>
      </c>
      <c r="G652" s="1" t="str">
        <f t="shared" si="2"/>
        <v/>
      </c>
      <c r="H652" s="1" t="str">
        <f>'3.1.raw'!Z233</f>
        <v/>
      </c>
      <c r="J652" s="1" t="str">
        <f>'3.1.raw'!AK233</f>
        <v>RED COLONY(10^1=TDTC,10^2=80,10^3=30)</v>
      </c>
    </row>
    <row r="653">
      <c r="A653" s="23" t="str">
        <f t="shared" si="10"/>
        <v>COa1002</v>
      </c>
      <c r="B653" s="23" t="str">
        <f>'3.1.raw'!L166</f>
        <v>COa1002</v>
      </c>
      <c r="C653" s="24">
        <f>datevalue(left('3.1.raw'!O166,10))</f>
        <v>43699</v>
      </c>
      <c r="D653" s="23">
        <f>'3.1.raw'!I166</f>
        <v>15</v>
      </c>
      <c r="E653" s="1">
        <v>3.1</v>
      </c>
      <c r="F653" s="23" t="b">
        <f>if(countif(Status!C:C,A653)=1,TRUE, FALSE)</f>
        <v>1</v>
      </c>
      <c r="G653" s="1" t="str">
        <f t="shared" si="2"/>
        <v/>
      </c>
      <c r="H653" s="1" t="str">
        <f>'3.1.raw'!Z166</f>
        <v/>
      </c>
      <c r="I653" s="1">
        <v>1.0</v>
      </c>
      <c r="J653" s="1" t="str">
        <f>'3.1.raw'!AK166</f>
        <v>RED COLONY(10ml=TDTC,10^1=TNTC)</v>
      </c>
    </row>
    <row r="654">
      <c r="A654" s="23" t="str">
        <f t="shared" si="10"/>
        <v>COa1001</v>
      </c>
      <c r="B654" s="23" t="str">
        <f>'3.1.raw'!L161</f>
        <v>COa1001</v>
      </c>
      <c r="C654" s="24">
        <f>datevalue(left('3.1.raw'!O161,10))</f>
        <v>43699</v>
      </c>
      <c r="D654" s="23">
        <f>'3.1.raw'!I161</f>
        <v>15</v>
      </c>
      <c r="E654" s="1">
        <v>3.1</v>
      </c>
      <c r="F654" s="23" t="b">
        <f>if(countif(Status!C:C,A654)=1,TRUE, FALSE)</f>
        <v>1</v>
      </c>
      <c r="G654" s="1" t="str">
        <f t="shared" si="2"/>
        <v/>
      </c>
      <c r="H654" s="1" t="str">
        <f>'3.1.raw'!Z161</f>
        <v/>
      </c>
      <c r="I654" s="1">
        <v>1.0</v>
      </c>
      <c r="J654" s="1" t="str">
        <f>'3.1.raw'!AK161</f>
        <v>RED COLONY(10ml=TDTC,10^1=TNTC)</v>
      </c>
    </row>
    <row r="655">
      <c r="A655" s="23" t="str">
        <f t="shared" si="10"/>
        <v>BW2001old</v>
      </c>
      <c r="B655" s="23" t="str">
        <f>'3.1.raw'!L8</f>
        <v>BW2001old</v>
      </c>
      <c r="C655" s="24">
        <f>datevalue(left('3.1.raw'!O8,10))</f>
        <v>43592</v>
      </c>
      <c r="D655" s="23">
        <f>'3.1.raw'!I8</f>
        <v>9</v>
      </c>
      <c r="E655" s="1">
        <v>3.1</v>
      </c>
      <c r="F655" s="23" t="b">
        <f>if(countif(Status!C:C,A655)=1,TRUE, FALSE)</f>
        <v>1</v>
      </c>
      <c r="G655" s="1">
        <f t="shared" si="2"/>
        <v>0</v>
      </c>
      <c r="H655" s="1">
        <f>'3.1.raw'!Z8</f>
        <v>0</v>
      </c>
      <c r="J655" s="1" t="str">
        <f>'3.1.raw'!AK8</f>
        <v>30 RED COLONIES DETECTED FOR 10 ML UNDILUTED SAMPLE, AND TNTC FOR 100 ML</v>
      </c>
    </row>
    <row r="656">
      <c r="A656" s="23" t="str">
        <f t="shared" si="10"/>
        <v>BW1001</v>
      </c>
      <c r="B656" s="23" t="str">
        <f>'3.1.raw'!L52</f>
        <v>BW1001</v>
      </c>
      <c r="C656" s="24">
        <f>datevalue(left('3.1.raw'!O52,10))</f>
        <v>43613</v>
      </c>
      <c r="D656" s="23">
        <f>'3.1.raw'!I52</f>
        <v>9</v>
      </c>
      <c r="E656" s="1">
        <v>3.1</v>
      </c>
      <c r="F656" s="23" t="b">
        <f>if(countif(Status!C:C,A656)=1,TRUE, FALSE)</f>
        <v>1</v>
      </c>
      <c r="G656" s="1">
        <f t="shared" si="2"/>
        <v>0</v>
      </c>
      <c r="H656" s="1">
        <f>'3.1.raw'!Z52</f>
        <v>0</v>
      </c>
      <c r="J656" s="1" t="str">
        <f>'3.1.raw'!AK52</f>
        <v>RED COLONIES: 3 AND NIL, RESPECTIVELY.</v>
      </c>
    </row>
    <row r="657">
      <c r="A657" s="23" t="str">
        <f t="shared" si="10"/>
        <v>PLc1180</v>
      </c>
      <c r="B657" s="23" t="str">
        <f>'3.1.raw'!L657</f>
        <v>PLc1180</v>
      </c>
      <c r="C657" s="24">
        <f>datevalue(left('3.1.raw'!O657,10))</f>
        <v>43850</v>
      </c>
      <c r="D657" s="23">
        <f>'3.1.raw'!I657</f>
        <v>11</v>
      </c>
      <c r="E657" s="1">
        <v>3.09999999999999</v>
      </c>
      <c r="F657" s="23" t="b">
        <f>if(countif(Status!C:C,A657)=1,TRUE, FALSE)</f>
        <v>1</v>
      </c>
      <c r="G657" s="1">
        <f t="shared" si="2"/>
        <v>1</v>
      </c>
      <c r="H657" s="1">
        <f>'3.1.raw'!Z657</f>
        <v>64</v>
      </c>
      <c r="J657" s="1" t="str">
        <f>'3.1.raw'!AK657</f>
        <v>Red colony count: 1:10^4 -100; 1:10^5 - 5; 1:10^6 - 2, Each sample vol tested 1ml</v>
      </c>
    </row>
    <row r="658">
      <c r="A658" s="23" t="str">
        <f t="shared" si="10"/>
        <v>FB1284</v>
      </c>
      <c r="B658" s="23" t="str">
        <f>'3.1.raw'!L658</f>
        <v>FB1284</v>
      </c>
      <c r="C658" s="24">
        <f>datevalue(left('3.1.raw'!O658,10))</f>
        <v>43850</v>
      </c>
      <c r="D658" s="23">
        <f>'3.1.raw'!I658</f>
        <v>99</v>
      </c>
      <c r="E658" s="1">
        <v>3.09999999999999</v>
      </c>
      <c r="F658" s="23" t="b">
        <f>if(countif(Status!C:C,A658)=1,TRUE, FALSE)</f>
        <v>1</v>
      </c>
      <c r="G658" s="1">
        <f t="shared" si="2"/>
        <v>0</v>
      </c>
      <c r="H658" s="1">
        <f>'3.1.raw'!Z658</f>
        <v>0</v>
      </c>
      <c r="J658" s="1" t="str">
        <f>'3.1.raw'!AK658</f>
        <v>Sample with PLc1180, Red Colony Count: Undiluted volume tested 100 ml - 00</v>
      </c>
    </row>
    <row r="659">
      <c r="A659" s="23" t="str">
        <f t="shared" si="10"/>
        <v>PLc1181</v>
      </c>
      <c r="B659" s="23" t="str">
        <f>'3.1.raw'!L659</f>
        <v>PLc1181</v>
      </c>
      <c r="C659" s="24">
        <f>datevalue(left('3.1.raw'!O659,10))</f>
        <v>43850</v>
      </c>
      <c r="D659" s="23">
        <f>'3.1.raw'!I659</f>
        <v>11</v>
      </c>
      <c r="E659" s="1">
        <v>3.09999999999999</v>
      </c>
      <c r="F659" s="23" t="b">
        <f>if(countif(Status!C:C,A659)=1,TRUE, FALSE)</f>
        <v>1</v>
      </c>
      <c r="G659" s="1">
        <f t="shared" si="2"/>
        <v>1</v>
      </c>
      <c r="H659" s="1">
        <f>'3.1.raw'!Z659</f>
        <v>2</v>
      </c>
      <c r="J659" s="1" t="str">
        <f>'3.1.raw'!AK659</f>
        <v>Red colony count: 1:10^4 -45; 1:10^5 - 3; 1:10^6 - 00, Each sample vol tested 1ml</v>
      </c>
    </row>
    <row r="660">
      <c r="A660" s="23" t="str">
        <f t="shared" si="10"/>
        <v>FB1285</v>
      </c>
      <c r="B660" s="23" t="str">
        <f>'3.1.raw'!L660</f>
        <v>FB1285</v>
      </c>
      <c r="C660" s="24">
        <f>datevalue(left('3.1.raw'!O660,10))</f>
        <v>43850</v>
      </c>
      <c r="D660" s="23">
        <f>'3.1.raw'!I660</f>
        <v>99</v>
      </c>
      <c r="E660" s="1">
        <v>3.09999999999999</v>
      </c>
      <c r="F660" s="23" t="b">
        <f>if(countif(Status!C:C,A660)=1,TRUE, FALSE)</f>
        <v>1</v>
      </c>
      <c r="G660" s="1">
        <f t="shared" si="2"/>
        <v>0</v>
      </c>
      <c r="H660" s="1">
        <f>'3.1.raw'!Z660</f>
        <v>0</v>
      </c>
      <c r="J660" s="1" t="str">
        <f>'3.1.raw'!AK660</f>
        <v>Sample with PLc1181, Red Colony Count: Undiluted volume tested 100 ml - 00</v>
      </c>
    </row>
    <row r="661">
      <c r="A661" s="23" t="str">
        <f t="shared" si="10"/>
        <v>PLc1182</v>
      </c>
      <c r="B661" s="23" t="str">
        <f>'3.1.raw'!L661</f>
        <v>PLc1182</v>
      </c>
      <c r="C661" s="24">
        <f>datevalue(left('3.1.raw'!O661,10))</f>
        <v>43850</v>
      </c>
      <c r="D661" s="23">
        <f>'3.1.raw'!I661</f>
        <v>11</v>
      </c>
      <c r="E661" s="1">
        <v>3.09999999999999</v>
      </c>
      <c r="F661" s="23" t="b">
        <f>if(countif(Status!C:C,A661)=1,TRUE, FALSE)</f>
        <v>1</v>
      </c>
      <c r="G661" s="1">
        <f t="shared" si="2"/>
        <v>1</v>
      </c>
      <c r="H661" s="1">
        <f>'3.1.raw'!Z661</f>
        <v>1</v>
      </c>
      <c r="J661" s="1" t="str">
        <f>'3.1.raw'!AK661</f>
        <v>Red colony count: 1:10^4 -33; 1:10^5 - 1; 1:10^6 - 00, Each sample vol tested 1ml</v>
      </c>
    </row>
    <row r="662">
      <c r="A662" s="23" t="str">
        <f t="shared" si="10"/>
        <v>FB1286</v>
      </c>
      <c r="B662" s="23" t="str">
        <f>'3.1.raw'!L662</f>
        <v>FB1286</v>
      </c>
      <c r="C662" s="24">
        <f>datevalue(left('3.1.raw'!O662,10))</f>
        <v>43850</v>
      </c>
      <c r="D662" s="23">
        <f>'3.1.raw'!I662</f>
        <v>99</v>
      </c>
      <c r="E662" s="1">
        <v>3.09999999999999</v>
      </c>
      <c r="F662" s="23" t="b">
        <f>if(countif(Status!C:C,A662)=1,TRUE, FALSE)</f>
        <v>1</v>
      </c>
      <c r="G662" s="1">
        <f t="shared" si="2"/>
        <v>0</v>
      </c>
      <c r="H662" s="1">
        <f>'3.1.raw'!Z662</f>
        <v>0</v>
      </c>
      <c r="J662" s="1" t="str">
        <f>'3.1.raw'!AK662</f>
        <v>Sample with PLc1182, Red Colony Count: Undiluted volume tested 100 ml - 00</v>
      </c>
    </row>
    <row r="663">
      <c r="A663" s="23" t="str">
        <f t="shared" si="10"/>
        <v>NCEC83</v>
      </c>
      <c r="B663" s="23" t="str">
        <f>'3.1.raw'!L663</f>
        <v>NCEC83</v>
      </c>
      <c r="C663" s="24">
        <f>datevalue(left('3.1.raw'!O663,10))</f>
        <v>43850</v>
      </c>
      <c r="D663" s="23">
        <f>'3.1.raw'!I663</f>
        <v>98</v>
      </c>
      <c r="E663" s="1">
        <v>3.09999999999999</v>
      </c>
      <c r="F663" s="23" t="b">
        <f>if(countif(Status!C:C,A663)=1,TRUE, FALSE)</f>
        <v>1</v>
      </c>
      <c r="G663" s="1">
        <f t="shared" si="2"/>
        <v>0</v>
      </c>
      <c r="H663" s="1">
        <f>'3.1.raw'!Z663</f>
        <v>0</v>
      </c>
      <c r="J663" s="1" t="str">
        <f>'3.1.raw'!AK663</f>
        <v>Red Colony Count: Undiluted volume tested 100 ml - 00</v>
      </c>
    </row>
    <row r="664">
      <c r="A664" s="23" t="str">
        <f t="shared" si="10"/>
        <v>FB1289</v>
      </c>
      <c r="B664" s="23" t="str">
        <f>'3.1.raw'!L664</f>
        <v>FB1289</v>
      </c>
      <c r="C664" s="24">
        <f>datevalue(left('3.1.raw'!O664,10))</f>
        <v>43851</v>
      </c>
      <c r="D664" s="23">
        <f>'3.1.raw'!I664</f>
        <v>99</v>
      </c>
      <c r="E664" s="1">
        <v>3.09999999999999</v>
      </c>
      <c r="F664" s="23" t="b">
        <f>if(countif(Status!C:C,A664)=1,TRUE, FALSE)</f>
        <v>1</v>
      </c>
      <c r="G664" s="1">
        <f t="shared" si="2"/>
        <v>0</v>
      </c>
      <c r="H664" s="1">
        <f>'3.1.raw'!Z664</f>
        <v>0</v>
      </c>
      <c r="J664" s="1" t="str">
        <f>'3.1.raw'!AK664</f>
        <v>Sample with MO1157, Red Colony Count: Undiluted volume tested 100 ml - 00</v>
      </c>
    </row>
    <row r="665">
      <c r="A665" s="23" t="str">
        <f t="shared" si="10"/>
        <v>FB1288</v>
      </c>
      <c r="B665" s="23" t="str">
        <f>'3.1.raw'!L665</f>
        <v>FB1288</v>
      </c>
      <c r="C665" s="24">
        <f>datevalue(left('3.1.raw'!O665,10))</f>
        <v>43851</v>
      </c>
      <c r="D665" s="23">
        <f>'3.1.raw'!I665</f>
        <v>99</v>
      </c>
      <c r="E665" s="1">
        <v>3.09999999999999</v>
      </c>
      <c r="F665" s="23" t="b">
        <f>if(countif(Status!C:C,A665)=1,TRUE, FALSE)</f>
        <v>1</v>
      </c>
      <c r="G665" s="1">
        <f t="shared" si="2"/>
        <v>0</v>
      </c>
      <c r="H665" s="1">
        <f>'3.1.raw'!Z665</f>
        <v>0</v>
      </c>
      <c r="J665" s="1" t="str">
        <f>'3.1.raw'!AK665</f>
        <v>Sample with MO1158, Red Colony Count: Undiluted volume tested 100 ml - 00</v>
      </c>
    </row>
    <row r="666">
      <c r="A666" s="23" t="str">
        <f t="shared" si="10"/>
        <v>FB1287</v>
      </c>
      <c r="B666" s="23" t="str">
        <f>'3.1.raw'!L666</f>
        <v>FB1287</v>
      </c>
      <c r="C666" s="24">
        <f>datevalue(left('3.1.raw'!O666,10))</f>
        <v>43851</v>
      </c>
      <c r="D666" s="23">
        <f>'3.1.raw'!I666</f>
        <v>99</v>
      </c>
      <c r="E666" s="1">
        <v>3.09999999999999</v>
      </c>
      <c r="F666" s="23" t="b">
        <f>if(countif(Status!C:C,A666)=1,TRUE, FALSE)</f>
        <v>1</v>
      </c>
      <c r="G666" s="1">
        <f t="shared" si="2"/>
        <v>0</v>
      </c>
      <c r="H666" s="1">
        <f>'3.1.raw'!Z666</f>
        <v>0</v>
      </c>
      <c r="J666" s="1" t="str">
        <f>'3.1.raw'!AK666</f>
        <v>Sample with MO1159, Red Colony Count: Undiluted volume tested 100 ml - 00</v>
      </c>
    </row>
    <row r="667">
      <c r="A667" s="23" t="str">
        <f t="shared" si="10"/>
        <v>UF1016</v>
      </c>
      <c r="B667" s="23" t="str">
        <f>'3.1.raw'!L667</f>
        <v>UF1016</v>
      </c>
      <c r="C667" s="24">
        <f>datevalue(left('3.1.raw'!O667,10))</f>
        <v>43851</v>
      </c>
      <c r="D667" s="23">
        <f>'3.1.raw'!I667</f>
        <v>16</v>
      </c>
      <c r="E667" s="1">
        <v>3.09999999999999</v>
      </c>
      <c r="F667" s="23" t="b">
        <f>if(countif(Status!C:C,A667)=1,TRUE, FALSE)</f>
        <v>1</v>
      </c>
      <c r="G667" s="1">
        <f t="shared" si="2"/>
        <v>1</v>
      </c>
      <c r="H667" s="1">
        <f>'3.1.raw'!Z667</f>
        <v>2</v>
      </c>
      <c r="J667" s="1" t="str">
        <f>'3.1.raw'!AK667</f>
        <v>Red colony count: 1:10^4 -68; 1:10^5 - 6; 1:10^6 - 00, Each sample vol tested 1ml</v>
      </c>
    </row>
    <row r="668">
      <c r="A668" s="23" t="str">
        <f t="shared" si="10"/>
        <v>NCEC84</v>
      </c>
      <c r="B668" s="23" t="str">
        <f>'3.1.raw'!L668</f>
        <v>NCEC84</v>
      </c>
      <c r="C668" s="24">
        <f>datevalue(left('3.1.raw'!O668,10))</f>
        <v>43851</v>
      </c>
      <c r="D668" s="23">
        <f>'3.1.raw'!I668</f>
        <v>98</v>
      </c>
      <c r="E668" s="1">
        <v>3.09999999999999</v>
      </c>
      <c r="F668" s="23" t="b">
        <f>if(countif(Status!C:C,A668)=1,TRUE, FALSE)</f>
        <v>1</v>
      </c>
      <c r="G668" s="1">
        <f t="shared" si="2"/>
        <v>0</v>
      </c>
      <c r="H668" s="1">
        <f>'3.1.raw'!Z668</f>
        <v>0</v>
      </c>
      <c r="J668" s="1" t="str">
        <f>'3.1.raw'!AK668</f>
        <v>Red Colony Count: Undiluted volume tested 100 ml - 00</v>
      </c>
    </row>
    <row r="669">
      <c r="A669" s="23" t="str">
        <f t="shared" si="10"/>
        <v>FB1293</v>
      </c>
      <c r="B669" s="23" t="str">
        <f>'3.1.raw'!L669</f>
        <v>FB1293</v>
      </c>
      <c r="C669" s="24">
        <f>datevalue(left('3.1.raw'!O669,10))</f>
        <v>43852</v>
      </c>
      <c r="D669" s="23">
        <f>'3.1.raw'!I669</f>
        <v>99</v>
      </c>
      <c r="E669" s="1">
        <v>3.09999999999999</v>
      </c>
      <c r="F669" s="23" t="b">
        <f>if(countif(Status!C:C,A669)=1,TRUE, FALSE)</f>
        <v>1</v>
      </c>
      <c r="G669" s="1">
        <f t="shared" si="2"/>
        <v>0</v>
      </c>
      <c r="H669" s="1">
        <f>'3.1.raw'!Z669</f>
        <v>0</v>
      </c>
      <c r="J669" s="1" t="str">
        <f>'3.1.raw'!AK669</f>
        <v>Sample with MO1160, Red Colony Count: Undiluted volume tested 100 ml - 00</v>
      </c>
    </row>
    <row r="670">
      <c r="A670" s="23" t="str">
        <f t="shared" si="10"/>
        <v>FB1294</v>
      </c>
      <c r="B670" s="23" t="str">
        <f>'3.1.raw'!L670</f>
        <v>FB1294</v>
      </c>
      <c r="C670" s="24">
        <f>datevalue(left('3.1.raw'!O670,10))</f>
        <v>43852</v>
      </c>
      <c r="D670" s="23">
        <f>'3.1.raw'!I670</f>
        <v>99</v>
      </c>
      <c r="E670" s="1">
        <v>3.09999999999999</v>
      </c>
      <c r="F670" s="23" t="b">
        <f>if(countif(Status!C:C,A670)=1,TRUE, FALSE)</f>
        <v>1</v>
      </c>
      <c r="G670" s="1">
        <f t="shared" si="2"/>
        <v>0</v>
      </c>
      <c r="H670" s="1">
        <f>'3.1.raw'!Z670</f>
        <v>0</v>
      </c>
      <c r="J670" s="1" t="str">
        <f>'3.1.raw'!AK670</f>
        <v>Sample with MO1161, Red Colony Count: Undiluted volume tested 100 ml - 00</v>
      </c>
    </row>
    <row r="671">
      <c r="A671" s="23" t="str">
        <f t="shared" si="10"/>
        <v>FB1295</v>
      </c>
      <c r="B671" s="23" t="str">
        <f>'3.1.raw'!L671</f>
        <v>FB1295</v>
      </c>
      <c r="C671" s="24">
        <f>datevalue(left('3.1.raw'!O671,10))</f>
        <v>43852</v>
      </c>
      <c r="D671" s="23">
        <f>'3.1.raw'!I671</f>
        <v>99</v>
      </c>
      <c r="E671" s="1">
        <v>3.09999999999999</v>
      </c>
      <c r="F671" s="23" t="b">
        <f>if(countif(Status!C:C,A671)=1,TRUE, FALSE)</f>
        <v>1</v>
      </c>
      <c r="G671" s="1">
        <f t="shared" si="2"/>
        <v>0</v>
      </c>
      <c r="H671" s="1">
        <f>'3.1.raw'!Z671</f>
        <v>0</v>
      </c>
      <c r="J671" s="1" t="str">
        <f>'3.1.raw'!AK671</f>
        <v>Sample with MO1162, Red Colony Count: Undiluted volume tested 100 ml - 00</v>
      </c>
    </row>
    <row r="672">
      <c r="A672" s="23" t="str">
        <f t="shared" si="10"/>
        <v>UF1017</v>
      </c>
      <c r="B672" s="23" t="str">
        <f>'3.1.raw'!L672</f>
        <v>UF1017</v>
      </c>
      <c r="C672" s="24">
        <f>datevalue(left('3.1.raw'!O672,10))</f>
        <v>43852</v>
      </c>
      <c r="D672" s="23">
        <f>'3.1.raw'!I672</f>
        <v>16</v>
      </c>
      <c r="E672" s="1">
        <v>3.09999999999999</v>
      </c>
      <c r="F672" s="23" t="b">
        <f>if(countif(Status!C:C,A672)=1,TRUE, FALSE)</f>
        <v>1</v>
      </c>
      <c r="G672" s="1">
        <f t="shared" si="2"/>
        <v>1</v>
      </c>
      <c r="H672" s="1">
        <f>'3.1.raw'!Z672</f>
        <v>14</v>
      </c>
      <c r="J672" s="1" t="str">
        <f>'3.1.raw'!AK672</f>
        <v>Red colony count: 1:10^4 -46; 1:10^5 - 12; 1:10^6 - 00, Each sample vol tested 1ml</v>
      </c>
    </row>
    <row r="673">
      <c r="A673" s="23" t="str">
        <f t="shared" si="10"/>
        <v>FPd2001</v>
      </c>
      <c r="B673" s="23" t="str">
        <f>'3.1.raw'!L673</f>
        <v>FPd2001</v>
      </c>
      <c r="C673" s="24">
        <f>datevalue(left('3.1.raw'!O673,10))</f>
        <v>43852</v>
      </c>
      <c r="D673" s="23">
        <f>'3.1.raw'!I673</f>
        <v>14</v>
      </c>
      <c r="E673" s="1">
        <v>3.09999999999999</v>
      </c>
      <c r="F673" s="23" t="b">
        <f>if(countif(Status!C:C,A673)=1,TRUE, FALSE)</f>
        <v>1</v>
      </c>
      <c r="G673" s="1">
        <f t="shared" si="2"/>
        <v>0</v>
      </c>
      <c r="H673" s="1">
        <f>'3.1.raw'!Z673</f>
        <v>0</v>
      </c>
      <c r="J673" s="1" t="str">
        <f>'3.1.raw'!AK673</f>
        <v>Red colony count: Undiluted 100ml - 2; Undiluted 10 ml - 1; 1:10^1 - 0 Volume tested 1ml</v>
      </c>
    </row>
    <row r="674">
      <c r="A674" s="23" t="str">
        <f t="shared" si="10"/>
        <v>FPb2001</v>
      </c>
      <c r="B674" s="23" t="str">
        <f>'3.1.raw'!L674</f>
        <v>FPb2001</v>
      </c>
      <c r="C674" s="24">
        <f>datevalue(left('3.1.raw'!O674,10))</f>
        <v>43852</v>
      </c>
      <c r="D674" s="23">
        <f>'3.1.raw'!I674</f>
        <v>14</v>
      </c>
      <c r="E674" s="1">
        <v>3.09999999999999</v>
      </c>
      <c r="F674" s="23" t="b">
        <f>if(countif(Status!C:C,A674)=1,TRUE, FALSE)</f>
        <v>1</v>
      </c>
      <c r="G674" s="1" t="str">
        <f t="shared" si="2"/>
        <v/>
      </c>
      <c r="H674" s="1" t="str">
        <f>'3.1.raw'!Z674</f>
        <v/>
      </c>
      <c r="J674" s="1" t="str">
        <f>'3.1.raw'!AK674</f>
        <v>Red colony count: Undiluted 100ml - TDTC; Undiluted 10 ml - 46; 1:10^1 - 0 Volume tested 1ml</v>
      </c>
    </row>
    <row r="675">
      <c r="A675" s="23" t="str">
        <f t="shared" si="10"/>
        <v>FPe2001</v>
      </c>
      <c r="B675" s="23" t="str">
        <f>'3.1.raw'!L675</f>
        <v>FPe2001</v>
      </c>
      <c r="C675" s="24">
        <f>datevalue(left('3.1.raw'!O675,10))</f>
        <v>43852</v>
      </c>
      <c r="D675" s="23">
        <f>'3.1.raw'!I675</f>
        <v>14</v>
      </c>
      <c r="E675" s="1">
        <v>3.09999999999999</v>
      </c>
      <c r="F675" s="23" t="b">
        <f>if(countif(Status!C:C,A675)=1,TRUE, FALSE)</f>
        <v>1</v>
      </c>
      <c r="G675" s="1">
        <f t="shared" si="2"/>
        <v>0</v>
      </c>
      <c r="H675" s="1">
        <f>'3.1.raw'!Z675</f>
        <v>0</v>
      </c>
      <c r="J675" s="1" t="str">
        <f>'3.1.raw'!AK675</f>
        <v>Red colony count: Undiluted 100ml - TDTC; Undiluted 10 ml - 6; 1:10^1 - 1 Volume tested 1ml</v>
      </c>
    </row>
    <row r="676">
      <c r="A676" s="23" t="str">
        <f t="shared" si="10"/>
        <v>FPa2001</v>
      </c>
      <c r="B676" s="23" t="str">
        <f>'3.1.raw'!L676</f>
        <v>FPa2001</v>
      </c>
      <c r="C676" s="24">
        <f>datevalue(left('3.1.raw'!O676,10))</f>
        <v>43852</v>
      </c>
      <c r="D676" s="23">
        <f>'3.1.raw'!I676</f>
        <v>14</v>
      </c>
      <c r="E676" s="1">
        <v>3.09999999999999</v>
      </c>
      <c r="F676" s="23" t="b">
        <f>if(countif(Status!C:C,A676)=1,TRUE, FALSE)</f>
        <v>1</v>
      </c>
      <c r="G676" s="1">
        <f t="shared" si="2"/>
        <v>1</v>
      </c>
      <c r="H676" s="1">
        <f>'3.1.raw'!Z676</f>
        <v>4</v>
      </c>
      <c r="J676" s="1" t="str">
        <f>'3.1.raw'!AK676</f>
        <v>Red colony count: 1:10^1 -11; 1:10^2 - 2; 1:10^3 - 00, Each sample vol tested 1ml</v>
      </c>
    </row>
    <row r="677">
      <c r="A677" s="23" t="str">
        <f t="shared" si="10"/>
        <v>FPc2001</v>
      </c>
      <c r="B677" s="23" t="str">
        <f>'3.1.raw'!L677</f>
        <v>FPc2001</v>
      </c>
      <c r="C677" s="24">
        <f>datevalue(left('3.1.raw'!O677,10))</f>
        <v>43852</v>
      </c>
      <c r="D677" s="23">
        <f>'3.1.raw'!I677</f>
        <v>14</v>
      </c>
      <c r="E677" s="1">
        <v>3.09999999999999</v>
      </c>
      <c r="F677" s="23" t="b">
        <f>if(countif(Status!C:C,A677)=1,TRUE, FALSE)</f>
        <v>1</v>
      </c>
      <c r="G677" s="1">
        <f t="shared" si="2"/>
        <v>1</v>
      </c>
      <c r="H677" s="1">
        <f>'3.1.raw'!Z677</f>
        <v>1</v>
      </c>
      <c r="J677" s="1" t="str">
        <f>'3.1.raw'!AK677</f>
        <v>Red colony count: 1:10^1 -19; 1:10^2 - 4; 1:10^3 - 2, Each sample vol tested 1ml</v>
      </c>
    </row>
    <row r="678">
      <c r="A678" s="23" t="str">
        <f t="shared" si="10"/>
        <v>FB1290</v>
      </c>
      <c r="B678" s="23" t="str">
        <f>'3.1.raw'!L678</f>
        <v>FB1290</v>
      </c>
      <c r="C678" s="24">
        <f>datevalue(left('3.1.raw'!O678,10))</f>
        <v>43852</v>
      </c>
      <c r="D678" s="23">
        <f>'3.1.raw'!I678</f>
        <v>99</v>
      </c>
      <c r="E678" s="1">
        <v>3.09999999999999</v>
      </c>
      <c r="F678" s="23" t="b">
        <f>if(countif(Status!C:C,A678)=1,TRUE, FALSE)</f>
        <v>1</v>
      </c>
      <c r="G678" s="1">
        <f t="shared" si="2"/>
        <v>0</v>
      </c>
      <c r="H678" s="1">
        <f>'3.1.raw'!Z678</f>
        <v>0</v>
      </c>
      <c r="J678" s="1" t="str">
        <f>'3.1.raw'!AK678</f>
        <v>Sample with FPd2001, FPe2001, FPb2001, FPa2001, FPc2001, Red Colony Count: Undiluted volume tested 100 ml - 00</v>
      </c>
    </row>
    <row r="679">
      <c r="A679" s="23" t="str">
        <f t="shared" si="10"/>
        <v>SW2001</v>
      </c>
      <c r="B679" s="23" t="str">
        <f>'3.1.raw'!L679</f>
        <v>SW2001</v>
      </c>
      <c r="C679" s="24">
        <f>datevalue(left('3.1.raw'!O679,10))</f>
        <v>43852</v>
      </c>
      <c r="D679" s="23">
        <f>'3.1.raw'!I679</f>
        <v>5</v>
      </c>
      <c r="E679" s="1">
        <v>3.09999999999999</v>
      </c>
      <c r="F679" s="23" t="b">
        <f>if(countif(Status!C:C,A679)=1,TRUE, FALSE)</f>
        <v>1</v>
      </c>
      <c r="G679" s="1">
        <f t="shared" si="2"/>
        <v>0</v>
      </c>
      <c r="H679" s="1">
        <f>'3.1.raw'!Z679</f>
        <v>0</v>
      </c>
      <c r="J679" s="1" t="str">
        <f>'3.1.raw'!AK679</f>
        <v>Red colony count: 1:10^2 -22; 1:10^3 - 00; 1:10^4 - 00, Each sample vol tested 1ml</v>
      </c>
    </row>
    <row r="680">
      <c r="A680" s="23" t="str">
        <f t="shared" si="10"/>
        <v>FB1291</v>
      </c>
      <c r="B680" s="23" t="str">
        <f>'3.1.raw'!L680</f>
        <v>FB1291</v>
      </c>
      <c r="C680" s="24">
        <f>datevalue(left('3.1.raw'!O680,10))</f>
        <v>43852</v>
      </c>
      <c r="D680" s="23">
        <f>'3.1.raw'!I680</f>
        <v>99</v>
      </c>
      <c r="E680" s="1">
        <v>3.09999999999999</v>
      </c>
      <c r="F680" s="23" t="b">
        <f>if(countif(Status!C:C,A680)=1,TRUE, FALSE)</f>
        <v>1</v>
      </c>
      <c r="G680" s="1">
        <f t="shared" si="2"/>
        <v>0</v>
      </c>
      <c r="H680" s="1">
        <f>'3.1.raw'!Z680</f>
        <v>0</v>
      </c>
      <c r="J680" s="1" t="str">
        <f>'3.1.raw'!AK680</f>
        <v>Sample with SW2001, Red Colony Count: Undiluted volume tested 100 ml - 00</v>
      </c>
    </row>
    <row r="681">
      <c r="A681" s="23" t="str">
        <f t="shared" si="10"/>
        <v>SF2001</v>
      </c>
      <c r="B681" s="23" t="str">
        <f>'3.1.raw'!L681</f>
        <v>SF2001</v>
      </c>
      <c r="C681" s="24">
        <f>datevalue(left('3.1.raw'!O681,10))</f>
        <v>43852</v>
      </c>
      <c r="D681" s="23">
        <f>'3.1.raw'!I681</f>
        <v>10</v>
      </c>
      <c r="E681" s="1">
        <v>3.09999999999999</v>
      </c>
      <c r="F681" s="23" t="b">
        <f>if(countif(Status!C:C,A681)=1,TRUE, FALSE)</f>
        <v>1</v>
      </c>
      <c r="G681" s="1">
        <f t="shared" si="2"/>
        <v>0</v>
      </c>
      <c r="H681" s="1">
        <f>'3.1.raw'!Z681</f>
        <v>0</v>
      </c>
      <c r="J681" s="1" t="str">
        <f>'3.1.raw'!AK681</f>
        <v>Red colony count: 1:10^1 -0; 1:10^2 - 0; 1:10^3 - 0, Each sample vol tested 1ml</v>
      </c>
    </row>
    <row r="682">
      <c r="A682" s="23" t="str">
        <f t="shared" si="10"/>
        <v>FB1292</v>
      </c>
      <c r="B682" s="23" t="str">
        <f>'3.1.raw'!L682</f>
        <v>FB1292</v>
      </c>
      <c r="C682" s="24">
        <f>datevalue(left('3.1.raw'!O682,10))</f>
        <v>43852</v>
      </c>
      <c r="D682" s="23">
        <f>'3.1.raw'!I682</f>
        <v>99</v>
      </c>
      <c r="E682" s="1">
        <v>3.09999999999999</v>
      </c>
      <c r="F682" s="23" t="b">
        <f>if(countif(Status!C:C,A682)=1,TRUE, FALSE)</f>
        <v>1</v>
      </c>
      <c r="G682" s="1">
        <f t="shared" si="2"/>
        <v>0</v>
      </c>
      <c r="H682" s="1">
        <f>'3.1.raw'!Z682</f>
        <v>0</v>
      </c>
      <c r="J682" s="1" t="str">
        <f>'3.1.raw'!AK682</f>
        <v>Sample with SF2001, Red Colony Count: Undiluted volume tested 100 ml - 00</v>
      </c>
    </row>
    <row r="683">
      <c r="A683" s="23" t="str">
        <f t="shared" si="10"/>
        <v>NCEC85</v>
      </c>
      <c r="B683" s="23" t="str">
        <f>'3.1.raw'!L683</f>
        <v>NCEC85</v>
      </c>
      <c r="C683" s="24">
        <f>datevalue(left('3.1.raw'!O683,10))</f>
        <v>43852</v>
      </c>
      <c r="D683" s="23">
        <f>'3.1.raw'!I683</f>
        <v>98</v>
      </c>
      <c r="E683" s="1">
        <v>3.09999999999999</v>
      </c>
      <c r="F683" s="23" t="b">
        <f>if(countif(Status!C:C,A683)=1,TRUE, FALSE)</f>
        <v>1</v>
      </c>
      <c r="G683" s="1">
        <f t="shared" si="2"/>
        <v>0</v>
      </c>
      <c r="H683" s="1">
        <f>'3.1.raw'!Z683</f>
        <v>0</v>
      </c>
      <c r="J683" s="1" t="str">
        <f>'3.1.raw'!AK683</f>
        <v>Red Colony Count: Undiluted volume tested 100 ml - 00</v>
      </c>
    </row>
    <row r="684">
      <c r="A684" s="23" t="str">
        <f t="shared" si="10"/>
        <v>PLc1183</v>
      </c>
      <c r="B684" s="23" t="str">
        <f>'3.1.raw'!L684</f>
        <v>PLc1183</v>
      </c>
      <c r="C684" s="24">
        <f>datevalue(left('3.1.raw'!O684,10))</f>
        <v>43857</v>
      </c>
      <c r="D684" s="23">
        <f>'3.1.raw'!I684</f>
        <v>11</v>
      </c>
      <c r="E684" s="1">
        <v>3.09999999999999</v>
      </c>
      <c r="F684" s="23" t="b">
        <f>if(countif(Status!C:C,A684)=1,TRUE, FALSE)</f>
        <v>1</v>
      </c>
      <c r="G684" s="1">
        <f t="shared" si="2"/>
        <v>1</v>
      </c>
      <c r="H684" s="1">
        <f>'3.1.raw'!Z684</f>
        <v>2</v>
      </c>
      <c r="J684" s="1" t="str">
        <f>'3.1.raw'!AK684</f>
        <v>Red colony count: 1:10^4 - 2; 1:10^5 - 1; 1:10^6 - 00, Each sample vol tested 1ml</v>
      </c>
    </row>
    <row r="685">
      <c r="A685" s="23" t="str">
        <f t="shared" si="10"/>
        <v>FB1298</v>
      </c>
      <c r="B685" s="23" t="str">
        <f>'3.1.raw'!L685</f>
        <v>FB1298</v>
      </c>
      <c r="C685" s="24">
        <f>datevalue(left('3.1.raw'!O685,10))</f>
        <v>43857</v>
      </c>
      <c r="D685" s="23">
        <f>'3.1.raw'!I685</f>
        <v>99</v>
      </c>
      <c r="E685" s="1">
        <v>3.09999999999999</v>
      </c>
      <c r="F685" s="23" t="b">
        <f>if(countif(Status!C:C,A685)=1,TRUE, FALSE)</f>
        <v>1</v>
      </c>
      <c r="G685" s="1">
        <f t="shared" si="2"/>
        <v>0</v>
      </c>
      <c r="H685" s="1">
        <f>'3.1.raw'!Z685</f>
        <v>0</v>
      </c>
      <c r="J685" s="1" t="str">
        <f>'3.1.raw'!AK685</f>
        <v>Sample with PLc1183, Red Colony Count: Undiluted volume tested 100 ml - 00</v>
      </c>
    </row>
    <row r="686">
      <c r="A686" s="23" t="str">
        <f t="shared" si="10"/>
        <v>BW2001</v>
      </c>
      <c r="B686" s="23" t="str">
        <f>'3.1.raw'!L686</f>
        <v>BW2001</v>
      </c>
      <c r="C686" s="24">
        <f>datevalue(left('3.1.raw'!O686,10))</f>
        <v>43857</v>
      </c>
      <c r="D686" s="23">
        <f>'3.1.raw'!I686</f>
        <v>9</v>
      </c>
      <c r="E686" s="1">
        <v>3.09999999999999</v>
      </c>
      <c r="F686" s="23" t="b">
        <f>if(countif(Status!C:C,A686)=1,TRUE, FALSE)</f>
        <v>1</v>
      </c>
      <c r="G686" s="1">
        <f t="shared" si="2"/>
        <v>0</v>
      </c>
      <c r="H686" s="1">
        <f>'3.1.raw'!Z686</f>
        <v>0</v>
      </c>
      <c r="J686" s="1" t="str">
        <f>'3.1.raw'!AK686</f>
        <v>Red colony count: Undiluted 100ml - 11, Undiluted 10ml - 1</v>
      </c>
    </row>
    <row r="687">
      <c r="A687" s="23" t="str">
        <f t="shared" si="10"/>
        <v>FB1296</v>
      </c>
      <c r="B687" s="23" t="str">
        <f>'3.1.raw'!L687</f>
        <v>FB1296</v>
      </c>
      <c r="C687" s="24">
        <f>datevalue(left('3.1.raw'!O687,10))</f>
        <v>43857</v>
      </c>
      <c r="D687" s="23">
        <f>'3.1.raw'!I687</f>
        <v>99</v>
      </c>
      <c r="E687" s="1">
        <v>3.09999999999999</v>
      </c>
      <c r="F687" s="23" t="b">
        <f>if(countif(Status!C:C,A687)=1,TRUE, FALSE)</f>
        <v>1</v>
      </c>
      <c r="G687" s="1">
        <f t="shared" si="2"/>
        <v>0</v>
      </c>
      <c r="H687" s="1">
        <f>'3.1.raw'!Z687</f>
        <v>0</v>
      </c>
      <c r="J687" s="1" t="str">
        <f>'3.1.raw'!AK687</f>
        <v>Sample with BW2001, Red Colony Count: Undiluted volume tested 100 ml - 00</v>
      </c>
    </row>
    <row r="688">
      <c r="A688" s="23" t="str">
        <f t="shared" si="10"/>
        <v>SL2002</v>
      </c>
      <c r="B688" s="23" t="str">
        <f>'3.1.raw'!L688</f>
        <v>SL2002</v>
      </c>
      <c r="C688" s="24">
        <f>datevalue(left('3.1.raw'!O688,10))</f>
        <v>43857</v>
      </c>
      <c r="D688" s="23">
        <f>'3.1.raw'!I688</f>
        <v>8</v>
      </c>
      <c r="E688" s="1">
        <v>3.09999999999999</v>
      </c>
      <c r="F688" s="23" t="b">
        <f>if(countif(Status!C:C,A688)=1,TRUE, FALSE)</f>
        <v>1</v>
      </c>
      <c r="G688" s="1">
        <f t="shared" si="2"/>
        <v>1</v>
      </c>
      <c r="H688" s="1">
        <f>'3.1.raw'!Z688</f>
        <v>8</v>
      </c>
      <c r="J688" s="1" t="str">
        <f>'3.1.raw'!AK688</f>
        <v>Red colony count: 1:10^2 - 50; 1:10^3 - 2; 1:10^4 - 1, Each sample vol tested 1ml</v>
      </c>
    </row>
    <row r="689">
      <c r="A689" s="23" t="str">
        <f t="shared" si="10"/>
        <v>FB1297</v>
      </c>
      <c r="B689" s="23" t="str">
        <f>'3.1.raw'!L689</f>
        <v>FB1297</v>
      </c>
      <c r="C689" s="24">
        <f>datevalue(left('3.1.raw'!O689,10))</f>
        <v>43857</v>
      </c>
      <c r="D689" s="23">
        <f>'3.1.raw'!I689</f>
        <v>99</v>
      </c>
      <c r="E689" s="1">
        <v>3.09999999999999</v>
      </c>
      <c r="F689" s="23" t="b">
        <f>if(countif(Status!C:C,A689)=1,TRUE, FALSE)</f>
        <v>1</v>
      </c>
      <c r="G689" s="1">
        <f t="shared" si="2"/>
        <v>0</v>
      </c>
      <c r="H689" s="1">
        <f>'3.1.raw'!Z689</f>
        <v>0</v>
      </c>
      <c r="J689" s="1" t="str">
        <f>'3.1.raw'!AK689</f>
        <v>Sample with SL2002, Red Colony Count: Undiluted volume tested 100 ml - 00</v>
      </c>
    </row>
    <row r="690">
      <c r="A690" s="23" t="str">
        <f t="shared" si="10"/>
        <v>NCEC86</v>
      </c>
      <c r="B690" s="23" t="str">
        <f>'3.1.raw'!L690</f>
        <v>NCEC86</v>
      </c>
      <c r="C690" s="24">
        <f>datevalue(left('3.1.raw'!O690,10))</f>
        <v>43857</v>
      </c>
      <c r="D690" s="23">
        <f>'3.1.raw'!I690</f>
        <v>98</v>
      </c>
      <c r="E690" s="1">
        <v>3.09999999999999</v>
      </c>
      <c r="F690" s="23" t="b">
        <f>if(countif(Status!C:C,A690)=1,TRUE, FALSE)</f>
        <v>1</v>
      </c>
      <c r="G690" s="1">
        <f t="shared" si="2"/>
        <v>0</v>
      </c>
      <c r="H690" s="1">
        <f>'3.1.raw'!Z690</f>
        <v>0</v>
      </c>
      <c r="J690" s="1" t="str">
        <f>'3.1.raw'!AK690</f>
        <v>Red Colony Count: Undiluted volume tested 100 ml - 00</v>
      </c>
    </row>
    <row r="691">
      <c r="A691" s="23" t="str">
        <f t="shared" si="10"/>
        <v>FB1299</v>
      </c>
      <c r="B691" s="23" t="str">
        <f>'3.1.raw'!L691</f>
        <v>FB1299</v>
      </c>
      <c r="C691" s="24">
        <f>datevalue(left('3.1.raw'!O691,10))</f>
        <v>43858</v>
      </c>
      <c r="D691" s="23">
        <f>'3.1.raw'!I691</f>
        <v>99</v>
      </c>
      <c r="E691" s="1">
        <v>3.09999999999999</v>
      </c>
      <c r="F691" s="23" t="b">
        <f>if(countif(Status!C:C,A691)=1,TRUE, FALSE)</f>
        <v>1</v>
      </c>
      <c r="G691" s="1">
        <f t="shared" si="2"/>
        <v>0</v>
      </c>
      <c r="H691" s="1">
        <f>'3.1.raw'!Z691</f>
        <v>0</v>
      </c>
      <c r="J691" s="1" t="str">
        <f>'3.1.raw'!AK691</f>
        <v>Sample with MO1163, Red Colony Count: Undiluted volume tested 100 ml - 00</v>
      </c>
    </row>
    <row r="692">
      <c r="A692" s="23" t="str">
        <f t="shared" si="10"/>
        <v>FB1300</v>
      </c>
      <c r="B692" s="23" t="str">
        <f>'3.1.raw'!L692</f>
        <v>FB1300</v>
      </c>
      <c r="C692" s="24">
        <f>datevalue(left('3.1.raw'!O692,10))</f>
        <v>43858</v>
      </c>
      <c r="D692" s="23">
        <f>'3.1.raw'!I692</f>
        <v>99</v>
      </c>
      <c r="E692" s="1">
        <v>3.09999999999999</v>
      </c>
      <c r="F692" s="23" t="b">
        <f>if(countif(Status!C:C,A692)=1,TRUE, FALSE)</f>
        <v>1</v>
      </c>
      <c r="G692" s="1">
        <f t="shared" si="2"/>
        <v>0</v>
      </c>
      <c r="H692" s="1">
        <f>'3.1.raw'!Z692</f>
        <v>0</v>
      </c>
      <c r="J692" s="1" t="str">
        <f>'3.1.raw'!AK692</f>
        <v>Sample with MO1164, Red Colony Count: Undiluted volume tested 100 ml - 00</v>
      </c>
    </row>
    <row r="693">
      <c r="A693" s="23" t="str">
        <f t="shared" si="10"/>
        <v>FB1301</v>
      </c>
      <c r="B693" s="23" t="str">
        <f>'3.1.raw'!L693</f>
        <v>FB1301</v>
      </c>
      <c r="C693" s="24">
        <f>datevalue(left('3.1.raw'!O693,10))</f>
        <v>43858</v>
      </c>
      <c r="D693" s="23">
        <f>'3.1.raw'!I693</f>
        <v>99</v>
      </c>
      <c r="E693" s="1">
        <v>3.09999999999999</v>
      </c>
      <c r="F693" s="23" t="b">
        <f>if(countif(Status!C:C,A693)=1,TRUE, FALSE)</f>
        <v>1</v>
      </c>
      <c r="G693" s="1">
        <f t="shared" si="2"/>
        <v>0</v>
      </c>
      <c r="H693" s="1">
        <f>'3.1.raw'!Z693</f>
        <v>0</v>
      </c>
      <c r="J693" s="1" t="str">
        <f>'3.1.raw'!AK693</f>
        <v>Sample with MO1165, Red Colony Count: Undiluted volume tested 100 ml - 00</v>
      </c>
    </row>
    <row r="694">
      <c r="A694" s="23" t="str">
        <f t="shared" si="10"/>
        <v>UF1018</v>
      </c>
      <c r="B694" s="23" t="str">
        <f>'3.1.raw'!L694</f>
        <v>UF1018</v>
      </c>
      <c r="C694" s="24">
        <f>datevalue(left('3.1.raw'!O694,10))</f>
        <v>43858</v>
      </c>
      <c r="D694" s="23">
        <f>'3.1.raw'!I694</f>
        <v>16</v>
      </c>
      <c r="E694" s="1">
        <v>3.09999999999999</v>
      </c>
      <c r="F694" s="23" t="b">
        <f>if(countif(Status!C:C,A694)=1,TRUE, FALSE)</f>
        <v>1</v>
      </c>
      <c r="G694" s="1">
        <f t="shared" si="2"/>
        <v>1</v>
      </c>
      <c r="H694" s="1">
        <f>'3.1.raw'!Z694</f>
        <v>38</v>
      </c>
      <c r="J694" s="1" t="str">
        <f>'3.1.raw'!AK694</f>
        <v>Red colony count: 1:10^4 - 90; 1:10^5 - 16; 1:10^6 - 2, Each sample vol tested 1ml</v>
      </c>
    </row>
    <row r="695">
      <c r="A695" s="23" t="str">
        <f t="shared" si="10"/>
        <v>NCEC87</v>
      </c>
      <c r="B695" s="23" t="str">
        <f>'3.1.raw'!L695</f>
        <v>NCEC87</v>
      </c>
      <c r="C695" s="24">
        <f>datevalue(left('3.1.raw'!O695,10))</f>
        <v>43858</v>
      </c>
      <c r="D695" s="23">
        <f>'3.1.raw'!I695</f>
        <v>98</v>
      </c>
      <c r="E695" s="1">
        <v>3.09999999999999</v>
      </c>
      <c r="F695" s="23" t="b">
        <f>if(countif(Status!C:C,A695)=1,TRUE, FALSE)</f>
        <v>1</v>
      </c>
      <c r="G695" s="1">
        <f t="shared" si="2"/>
        <v>0</v>
      </c>
      <c r="H695" s="1">
        <f>'3.1.raw'!Z695</f>
        <v>0</v>
      </c>
      <c r="J695" s="1" t="str">
        <f>'3.1.raw'!AK695</f>
        <v>Red Colony Count: Undiluted volume tested 100 ml - 00</v>
      </c>
    </row>
    <row r="696">
      <c r="A696" s="23" t="str">
        <f t="shared" si="10"/>
        <v>PLc1184</v>
      </c>
      <c r="B696" s="23" t="str">
        <f>'3.1.raw'!L696</f>
        <v>PLc1184</v>
      </c>
      <c r="C696" s="24">
        <f>datevalue(left('3.1.raw'!O696,10))</f>
        <v>43864</v>
      </c>
      <c r="D696" s="23">
        <f>'3.1.raw'!I696</f>
        <v>11</v>
      </c>
      <c r="E696" s="1">
        <v>3.09999999999999</v>
      </c>
      <c r="F696" s="23" t="b">
        <f>if(countif(Status!C:C,A696)=1,TRUE, FALSE)</f>
        <v>1</v>
      </c>
      <c r="G696" s="1">
        <f t="shared" si="2"/>
        <v>1</v>
      </c>
      <c r="H696" s="1">
        <f>'3.1.raw'!Z696</f>
        <v>9</v>
      </c>
      <c r="J696" s="1" t="str">
        <f>'3.1.raw'!AK696</f>
        <v>Red colony count: 1:10^4 -53; 1:10^5 - 23; 1:10^6 - 2, Each sample vol tested 10 ml</v>
      </c>
    </row>
    <row r="697">
      <c r="A697" s="23" t="str">
        <f t="shared" si="10"/>
        <v>FB1302</v>
      </c>
      <c r="B697" s="23" t="str">
        <f>'3.1.raw'!L697</f>
        <v>FB1302</v>
      </c>
      <c r="C697" s="24">
        <f>datevalue(left('3.1.raw'!O697,10))</f>
        <v>43864</v>
      </c>
      <c r="D697" s="23">
        <f>'3.1.raw'!I697</f>
        <v>99</v>
      </c>
      <c r="E697" s="1">
        <v>3.09999999999999</v>
      </c>
      <c r="F697" s="23" t="b">
        <f>if(countif(Status!C:C,A697)=1,TRUE, FALSE)</f>
        <v>1</v>
      </c>
      <c r="G697" s="1">
        <f t="shared" si="2"/>
        <v>0</v>
      </c>
      <c r="H697" s="1">
        <f>'3.1.raw'!Z697</f>
        <v>0</v>
      </c>
      <c r="J697" s="1" t="str">
        <f>'3.1.raw'!AK697</f>
        <v>Sample with PLc1184, Red Colony Count: Undiluted volume tested 100 ml - 00</v>
      </c>
    </row>
    <row r="698">
      <c r="A698" s="23" t="str">
        <f t="shared" si="10"/>
        <v>PLc1185</v>
      </c>
      <c r="B698" s="23" t="str">
        <f>'3.1.raw'!L698</f>
        <v>PLc1185</v>
      </c>
      <c r="C698" s="24">
        <f>datevalue(left('3.1.raw'!O698,10))</f>
        <v>43864</v>
      </c>
      <c r="D698" s="23">
        <f>'3.1.raw'!I698</f>
        <v>11</v>
      </c>
      <c r="E698" s="1">
        <v>3.09999999999999</v>
      </c>
      <c r="F698" s="23" t="b">
        <f>if(countif(Status!C:C,A698)=1,TRUE, FALSE)</f>
        <v>1</v>
      </c>
      <c r="G698" s="1">
        <f t="shared" si="2"/>
        <v>1</v>
      </c>
      <c r="H698" s="1">
        <f>'3.1.raw'!Z698</f>
        <v>17</v>
      </c>
      <c r="J698" s="1" t="str">
        <f>'3.1.raw'!AK698</f>
        <v>Red colony count: 1:10^4 -73; 1:10^5 - 16; 1:10^6 - 00, Each sample vol tested 10 ml</v>
      </c>
    </row>
    <row r="699">
      <c r="A699" s="23" t="str">
        <f t="shared" si="10"/>
        <v>FB1303</v>
      </c>
      <c r="B699" s="23" t="str">
        <f>'3.1.raw'!L699</f>
        <v>FB1303</v>
      </c>
      <c r="C699" s="24">
        <f>datevalue(left('3.1.raw'!O699,10))</f>
        <v>43864</v>
      </c>
      <c r="D699" s="23">
        <f>'3.1.raw'!I699</f>
        <v>99</v>
      </c>
      <c r="E699" s="1">
        <v>3.09999999999999</v>
      </c>
      <c r="F699" s="23" t="b">
        <f>if(countif(Status!C:C,A699)=1,TRUE, FALSE)</f>
        <v>1</v>
      </c>
      <c r="G699" s="1">
        <f t="shared" si="2"/>
        <v>0</v>
      </c>
      <c r="H699" s="1">
        <f>'3.1.raw'!Z699</f>
        <v>0</v>
      </c>
      <c r="J699" s="1" t="str">
        <f>'3.1.raw'!AK699</f>
        <v>Sample with PLc1185, Red Colony Count: Undiluted volume tested 100 ml - 00</v>
      </c>
    </row>
    <row r="700">
      <c r="A700" s="23" t="str">
        <f t="shared" si="10"/>
        <v>PLc1186</v>
      </c>
      <c r="B700" s="23" t="str">
        <f>'3.1.raw'!L700</f>
        <v>PLc1186</v>
      </c>
      <c r="C700" s="24">
        <f>datevalue(left('3.1.raw'!O700,10))</f>
        <v>43864</v>
      </c>
      <c r="D700" s="23">
        <f>'3.1.raw'!I700</f>
        <v>11</v>
      </c>
      <c r="E700" s="1">
        <v>3.09999999999999</v>
      </c>
      <c r="F700" s="23" t="b">
        <f>if(countif(Status!C:C,A700)=1,TRUE, FALSE)</f>
        <v>1</v>
      </c>
      <c r="G700" s="1" t="str">
        <f t="shared" si="2"/>
        <v/>
      </c>
      <c r="H700" s="1" t="str">
        <f>'3.1.raw'!Z700</f>
        <v/>
      </c>
      <c r="J700" s="1" t="str">
        <f>'3.1.raw'!AK700</f>
        <v>Red colony count: 1:10^4 -TNTC; 1:10^5 - 67; 1:10^6 - 28, Each sample vol tested 10 ml</v>
      </c>
    </row>
    <row r="701">
      <c r="A701" s="23" t="str">
        <f t="shared" si="10"/>
        <v>FB1304</v>
      </c>
      <c r="B701" s="23" t="str">
        <f>'3.1.raw'!L701</f>
        <v>FB1304</v>
      </c>
      <c r="C701" s="24">
        <f>datevalue(left('3.1.raw'!O701,10))</f>
        <v>43864</v>
      </c>
      <c r="D701" s="23">
        <f>'3.1.raw'!I701</f>
        <v>99</v>
      </c>
      <c r="E701" s="1">
        <v>3.09999999999999</v>
      </c>
      <c r="F701" s="23" t="b">
        <f>if(countif(Status!C:C,A701)=1,TRUE, FALSE)</f>
        <v>1</v>
      </c>
      <c r="G701" s="1">
        <f t="shared" si="2"/>
        <v>0</v>
      </c>
      <c r="H701" s="1">
        <f>'3.1.raw'!Z701</f>
        <v>0</v>
      </c>
      <c r="J701" s="1" t="str">
        <f>'3.1.raw'!AK701</f>
        <v>Sample with PLc1186, Red Colony Count: Undiluted volume tested 100 ml - 00</v>
      </c>
    </row>
    <row r="702">
      <c r="A702" s="23" t="str">
        <f t="shared" si="10"/>
        <v>NCEC88</v>
      </c>
      <c r="B702" s="23" t="str">
        <f>'3.1.raw'!L702</f>
        <v>NCEC88</v>
      </c>
      <c r="C702" s="24">
        <f>datevalue(left('3.1.raw'!O702,10))</f>
        <v>43864</v>
      </c>
      <c r="D702" s="23">
        <f>'3.1.raw'!I702</f>
        <v>98</v>
      </c>
      <c r="E702" s="1">
        <v>3.09999999999999</v>
      </c>
      <c r="F702" s="23" t="b">
        <f>if(countif(Status!C:C,A702)=1,TRUE, FALSE)</f>
        <v>1</v>
      </c>
      <c r="G702" s="1">
        <f t="shared" si="2"/>
        <v>0</v>
      </c>
      <c r="H702" s="1">
        <f>'3.1.raw'!Z702</f>
        <v>0</v>
      </c>
      <c r="J702" s="1" t="str">
        <f>'3.1.raw'!AK702</f>
        <v>Red Colony Count: Undiluted volume tested 100 ml - 00</v>
      </c>
    </row>
    <row r="703">
      <c r="A703" s="23" t="str">
        <f t="shared" si="10"/>
        <v>FB1306</v>
      </c>
      <c r="B703" s="23" t="str">
        <f>'3.1.raw'!L703</f>
        <v>FB1306</v>
      </c>
      <c r="C703" s="24">
        <f>datevalue(left('3.1.raw'!O703,10))</f>
        <v>43865</v>
      </c>
      <c r="D703" s="23">
        <f>'3.1.raw'!I703</f>
        <v>99</v>
      </c>
      <c r="E703" s="1">
        <v>3.09999999999999</v>
      </c>
      <c r="F703" s="23" t="b">
        <f>if(countif(Status!C:C,A703)=1,TRUE, FALSE)</f>
        <v>1</v>
      </c>
      <c r="G703" s="1">
        <f t="shared" si="2"/>
        <v>0</v>
      </c>
      <c r="H703" s="1">
        <f>'3.1.raw'!Z703</f>
        <v>0</v>
      </c>
      <c r="J703" s="1" t="str">
        <f>'3.1.raw'!AK703</f>
        <v>Sample with MO1166, Red Colony Count: Undiluted volume tested 100 ml - 00</v>
      </c>
    </row>
    <row r="704">
      <c r="A704" s="23" t="str">
        <f t="shared" si="10"/>
        <v>FB1307</v>
      </c>
      <c r="B704" s="23" t="str">
        <f>'3.1.raw'!L704</f>
        <v>FB1307</v>
      </c>
      <c r="C704" s="24">
        <f>datevalue(left('3.1.raw'!O704,10))</f>
        <v>43865</v>
      </c>
      <c r="D704" s="23">
        <f>'3.1.raw'!I704</f>
        <v>99</v>
      </c>
      <c r="E704" s="1">
        <v>3.09999999999999</v>
      </c>
      <c r="F704" s="23" t="b">
        <f>if(countif(Status!C:C,A704)=1,TRUE, FALSE)</f>
        <v>1</v>
      </c>
      <c r="G704" s="1">
        <f t="shared" si="2"/>
        <v>0</v>
      </c>
      <c r="H704" s="1">
        <f>'3.1.raw'!Z704</f>
        <v>0</v>
      </c>
      <c r="J704" s="1" t="str">
        <f>'3.1.raw'!AK704</f>
        <v>Sample with MO1167, Red Colony Count: Undiluted volume tested 100 ml - 00</v>
      </c>
    </row>
    <row r="705">
      <c r="A705" s="23" t="str">
        <f t="shared" si="10"/>
        <v>FB1308</v>
      </c>
      <c r="B705" s="23" t="str">
        <f>'3.1.raw'!L705</f>
        <v>FB1308</v>
      </c>
      <c r="C705" s="24">
        <f>datevalue(left('3.1.raw'!O705,10))</f>
        <v>43865</v>
      </c>
      <c r="D705" s="23">
        <f>'3.1.raw'!I705</f>
        <v>99</v>
      </c>
      <c r="E705" s="1">
        <v>3.09999999999999</v>
      </c>
      <c r="F705" s="23" t="b">
        <f>if(countif(Status!C:C,A705)=1,TRUE, FALSE)</f>
        <v>1</v>
      </c>
      <c r="G705" s="1">
        <f t="shared" si="2"/>
        <v>0</v>
      </c>
      <c r="H705" s="1">
        <f>'3.1.raw'!Z705</f>
        <v>0</v>
      </c>
      <c r="J705" s="1" t="str">
        <f>'3.1.raw'!AK705</f>
        <v>Sample with MO1168, Red Colony Count: Undiluted volume tested 100 ml - 00</v>
      </c>
    </row>
    <row r="706">
      <c r="A706" s="23" t="str">
        <f t="shared" si="10"/>
        <v>UF1019</v>
      </c>
      <c r="B706" s="23" t="str">
        <f>'3.1.raw'!L706</f>
        <v>UF1019</v>
      </c>
      <c r="C706" s="24">
        <f>datevalue(left('3.1.raw'!O706,10))</f>
        <v>43865</v>
      </c>
      <c r="D706" s="23">
        <f>'3.1.raw'!I706</f>
        <v>16</v>
      </c>
      <c r="E706" s="1">
        <v>3.09999999999999</v>
      </c>
      <c r="F706" s="23" t="b">
        <f>if(countif(Status!C:C,A706)=1,TRUE, FALSE)</f>
        <v>1</v>
      </c>
      <c r="G706" s="1">
        <f t="shared" si="2"/>
        <v>1</v>
      </c>
      <c r="H706" s="1">
        <f>'3.1.raw'!Z706</f>
        <v>2</v>
      </c>
      <c r="J706" s="1" t="str">
        <f>'3.1.raw'!AK706</f>
        <v>Red colony count: 1:10^4 - 5; 1:10^5 - 3; 1:10^6 - 00, Each sample vol tested 1ml</v>
      </c>
    </row>
    <row r="707">
      <c r="A707" s="23" t="str">
        <f t="shared" si="10"/>
        <v>LS2001</v>
      </c>
      <c r="B707" s="23" t="str">
        <f>'3.1.raw'!L707</f>
        <v>LS2001</v>
      </c>
      <c r="C707" s="24">
        <f>datevalue(left('3.1.raw'!O707,10))</f>
        <v>43865</v>
      </c>
      <c r="D707" s="23">
        <f>'3.1.raw'!I707</f>
        <v>7</v>
      </c>
      <c r="E707" s="1">
        <v>3.09999999999999</v>
      </c>
      <c r="F707" s="23" t="b">
        <f>if(countif(Status!C:C,A707)=1,TRUE, FALSE)</f>
        <v>1</v>
      </c>
      <c r="G707" s="1">
        <f t="shared" si="2"/>
        <v>0</v>
      </c>
      <c r="H707" s="1">
        <f>'3.1.raw'!Z707</f>
        <v>0</v>
      </c>
      <c r="J707" s="1" t="str">
        <f>'3.1.raw'!AK707</f>
        <v>Red Colony Count: Undiluted 10 ml - 26; 1:10^1 - 0 Volume tested 1ml</v>
      </c>
    </row>
    <row r="708">
      <c r="A708" s="23" t="str">
        <f t="shared" si="10"/>
        <v>FB1305</v>
      </c>
      <c r="B708" s="23" t="str">
        <f>'3.1.raw'!L708</f>
        <v>FB1305</v>
      </c>
      <c r="C708" s="24">
        <f>datevalue(left('3.1.raw'!O708,10))</f>
        <v>43865</v>
      </c>
      <c r="D708" s="23">
        <f>'3.1.raw'!I708</f>
        <v>99</v>
      </c>
      <c r="E708" s="1">
        <v>3.09999999999999</v>
      </c>
      <c r="F708" s="23" t="b">
        <f>if(countif(Status!C:C,A708)=1,TRUE, FALSE)</f>
        <v>1</v>
      </c>
      <c r="G708" s="1">
        <f t="shared" si="2"/>
        <v>0</v>
      </c>
      <c r="H708" s="1">
        <f>'3.1.raw'!Z708</f>
        <v>0</v>
      </c>
      <c r="J708" s="1" t="str">
        <f>'3.1.raw'!AK708</f>
        <v>Sample with LS2001, Red Colony Count: Undiluted volume tested 100 ml - 00</v>
      </c>
    </row>
    <row r="709">
      <c r="A709" s="23" t="str">
        <f t="shared" si="10"/>
        <v>PLc1187</v>
      </c>
      <c r="B709" s="23" t="str">
        <f>'3.1.raw'!L709</f>
        <v>PLc1187</v>
      </c>
      <c r="C709" s="24">
        <f>datevalue(left('3.1.raw'!O709,10))</f>
        <v>43865</v>
      </c>
      <c r="D709" s="23">
        <f>'3.1.raw'!I709</f>
        <v>11</v>
      </c>
      <c r="E709" s="1">
        <v>3.09999999999999</v>
      </c>
      <c r="F709" s="23" t="b">
        <f>if(countif(Status!C:C,A709)=1,TRUE, FALSE)</f>
        <v>1</v>
      </c>
      <c r="G709" s="1">
        <f t="shared" si="2"/>
        <v>0</v>
      </c>
      <c r="H709" s="1">
        <f>'3.1.raw'!Z709</f>
        <v>0</v>
      </c>
      <c r="J709" s="1" t="str">
        <f>'3.1.raw'!AK709</f>
        <v>Red colony count: 1:10^4 -35; 1:10^5 - 5; 1:10^6 - 2, Each sample vol tested 1ml</v>
      </c>
    </row>
    <row r="710">
      <c r="A710" s="23" t="str">
        <f t="shared" si="10"/>
        <v>FB1310</v>
      </c>
      <c r="B710" s="23" t="str">
        <f>'3.1.raw'!L710</f>
        <v>FB1310</v>
      </c>
      <c r="C710" s="24">
        <f>datevalue(left('3.1.raw'!O710,10))</f>
        <v>43865</v>
      </c>
      <c r="D710" s="23">
        <f>'3.1.raw'!I710</f>
        <v>99</v>
      </c>
      <c r="E710" s="1">
        <v>3.09999999999999</v>
      </c>
      <c r="F710" s="23" t="b">
        <f>if(countif(Status!C:C,A710)=1,TRUE, FALSE)</f>
        <v>1</v>
      </c>
      <c r="G710" s="1">
        <f t="shared" si="2"/>
        <v>0</v>
      </c>
      <c r="H710" s="1">
        <f>'3.1.raw'!Z710</f>
        <v>0</v>
      </c>
      <c r="J710" s="1" t="str">
        <f>'3.1.raw'!AK710</f>
        <v>Sample with PLc1187, Red Colony Count: Undiluted volume tested 100 ml - 00</v>
      </c>
    </row>
    <row r="711">
      <c r="A711" s="23" t="str">
        <f t="shared" si="10"/>
        <v>NCEC89</v>
      </c>
      <c r="B711" s="23" t="str">
        <f>'3.1.raw'!L711</f>
        <v>NCEC89</v>
      </c>
      <c r="C711" s="24">
        <f>datevalue(left('3.1.raw'!O711,10))</f>
        <v>43865</v>
      </c>
      <c r="D711" s="23">
        <f>'3.1.raw'!I711</f>
        <v>98</v>
      </c>
      <c r="E711" s="1">
        <v>3.09999999999999</v>
      </c>
      <c r="F711" s="23" t="b">
        <f>if(countif(Status!C:C,A711)=1,TRUE, FALSE)</f>
        <v>1</v>
      </c>
      <c r="G711" s="1">
        <f t="shared" si="2"/>
        <v>0</v>
      </c>
      <c r="H711" s="1">
        <f>'3.1.raw'!Z711</f>
        <v>0</v>
      </c>
      <c r="J711" s="1" t="str">
        <f>'3.1.raw'!AK711</f>
        <v>Red Colony Count: Undiluted volume tested 100 ml - 00</v>
      </c>
    </row>
    <row r="712">
      <c r="A712" s="23" t="str">
        <f t="shared" si="10"/>
        <v>UF1020</v>
      </c>
      <c r="B712" s="23" t="str">
        <f>'3.1.raw'!L712</f>
        <v>UF1020</v>
      </c>
      <c r="C712" s="24">
        <f>datevalue(left('3.1.raw'!O712,10))</f>
        <v>43866</v>
      </c>
      <c r="D712" s="23">
        <f>'3.1.raw'!I712</f>
        <v>16</v>
      </c>
      <c r="E712" s="1">
        <v>3.09999999999999</v>
      </c>
      <c r="F712" s="23" t="b">
        <f>if(countif(Status!C:C,A712)=1,TRUE, FALSE)</f>
        <v>1</v>
      </c>
      <c r="G712" s="1">
        <f t="shared" si="2"/>
        <v>1</v>
      </c>
      <c r="H712" s="1">
        <f>'3.1.raw'!Z712</f>
        <v>1</v>
      </c>
      <c r="J712" s="1" t="str">
        <f>'3.1.raw'!AK712</f>
        <v>Red colony count: 1:10^4 -162; 1:10^5 - 14; 1:10^6 - 1, Each sample vol tested 1ml</v>
      </c>
    </row>
    <row r="713">
      <c r="A713" s="23" t="str">
        <f t="shared" si="10"/>
        <v>COa2003</v>
      </c>
      <c r="B713" s="23" t="str">
        <f>'3.1.raw'!L713</f>
        <v>COa2003</v>
      </c>
      <c r="C713" s="24">
        <f>datevalue(left('3.1.raw'!O713,10))</f>
        <v>43866</v>
      </c>
      <c r="D713" s="23">
        <f>'3.1.raw'!I713</f>
        <v>15</v>
      </c>
      <c r="E713" s="1">
        <v>3.09999999999999</v>
      </c>
      <c r="F713" s="23" t="b">
        <f>if(countif(Status!C:C,A713)=1,TRUE, FALSE)</f>
        <v>1</v>
      </c>
      <c r="G713" s="1">
        <f t="shared" si="2"/>
        <v>1</v>
      </c>
      <c r="H713" s="1">
        <f>'3.1.raw'!Z713</f>
        <v>9</v>
      </c>
      <c r="J713" s="1" t="str">
        <f>'3.1.raw'!AK713</f>
        <v>Red colony count: 1:10^1 - TNTC; 1:10^2 - 144; 1:10^3 - 12, Each sample vol tested 1ml</v>
      </c>
    </row>
    <row r="714">
      <c r="A714" s="23" t="str">
        <f t="shared" si="10"/>
        <v>COb2007</v>
      </c>
      <c r="B714" s="23" t="str">
        <f>'3.1.raw'!L714</f>
        <v>COb2007</v>
      </c>
      <c r="C714" s="24">
        <f>datevalue(left('3.1.raw'!O714,10))</f>
        <v>43866</v>
      </c>
      <c r="D714" s="23">
        <f>'3.1.raw'!I714</f>
        <v>15</v>
      </c>
      <c r="E714" s="1">
        <v>3.09999999999999</v>
      </c>
      <c r="F714" s="23" t="b">
        <f>if(countif(Status!C:C,A714)=1,TRUE, FALSE)</f>
        <v>1</v>
      </c>
      <c r="G714" s="1">
        <f t="shared" si="2"/>
        <v>0</v>
      </c>
      <c r="H714" s="1">
        <f>'3.1.raw'!Z714</f>
        <v>0</v>
      </c>
      <c r="J714" s="1" t="str">
        <f>'3.1.raw'!AK714</f>
        <v>Red colony count: 1:10^1 - 70; 1:10^2 - 8; 1:10^3 - 6, Each sample vol tested 1ml</v>
      </c>
    </row>
    <row r="715">
      <c r="A715" s="23" t="str">
        <f t="shared" si="10"/>
        <v>COb2008</v>
      </c>
      <c r="B715" s="23" t="str">
        <f>'3.1.raw'!L715</f>
        <v>COb2008</v>
      </c>
      <c r="C715" s="24">
        <f>datevalue(left('3.1.raw'!O715,10))</f>
        <v>43866</v>
      </c>
      <c r="D715" s="23">
        <f>'3.1.raw'!I715</f>
        <v>15</v>
      </c>
      <c r="E715" s="1">
        <v>3.09999999999999</v>
      </c>
      <c r="F715" s="23" t="b">
        <f>if(countif(Status!C:C,A715)=1,TRUE, FALSE)</f>
        <v>1</v>
      </c>
      <c r="G715" s="1">
        <f t="shared" si="2"/>
        <v>0</v>
      </c>
      <c r="H715" s="1">
        <f>'3.1.raw'!Z715</f>
        <v>0</v>
      </c>
      <c r="J715" s="1" t="str">
        <f>'3.1.raw'!AK715</f>
        <v>Red colony count: 1:10^1 -TNTC; 1:10^2 - 36; 1:10^3 - 5, Each sample vol tested 1ml</v>
      </c>
    </row>
    <row r="716">
      <c r="A716" s="23" t="str">
        <f t="shared" si="10"/>
        <v>COb2009</v>
      </c>
      <c r="B716" s="23" t="str">
        <f>'3.1.raw'!L716</f>
        <v>COb2009</v>
      </c>
      <c r="C716" s="24">
        <f>datevalue(left('3.1.raw'!O716,10))</f>
        <v>43866</v>
      </c>
      <c r="D716" s="23">
        <f>'3.1.raw'!I716</f>
        <v>15</v>
      </c>
      <c r="E716" s="1">
        <v>3.09999999999999</v>
      </c>
      <c r="F716" s="23" t="b">
        <f>if(countif(Status!C:C,A716)=1,TRUE, FALSE)</f>
        <v>1</v>
      </c>
      <c r="G716" s="1">
        <f t="shared" si="2"/>
        <v>1</v>
      </c>
      <c r="H716" s="1">
        <f>'3.1.raw'!Z716</f>
        <v>1</v>
      </c>
      <c r="J716" s="1" t="str">
        <f>'3.1.raw'!AK716</f>
        <v>Red colony count: 1:10^1 -0; 1:10^2 - 0; 1:10^3 - 0, Each sample vol tested 1ml</v>
      </c>
    </row>
    <row r="717">
      <c r="A717" s="23" t="str">
        <f t="shared" si="10"/>
        <v>FB1309</v>
      </c>
      <c r="B717" s="23" t="str">
        <f>'3.1.raw'!L717</f>
        <v>FB1309</v>
      </c>
      <c r="C717" s="24">
        <f>datevalue(left('3.1.raw'!O717,10))</f>
        <v>43866</v>
      </c>
      <c r="D717" s="23">
        <f>'3.1.raw'!I717</f>
        <v>99</v>
      </c>
      <c r="E717" s="1">
        <v>3.09999999999999</v>
      </c>
      <c r="F717" s="23" t="b">
        <f>if(countif(Status!C:C,A717)=1,TRUE, FALSE)</f>
        <v>1</v>
      </c>
      <c r="G717" s="1">
        <f t="shared" si="2"/>
        <v>0</v>
      </c>
      <c r="H717" s="1">
        <f>'3.1.raw'!Z717</f>
        <v>0</v>
      </c>
      <c r="J717" s="1" t="str">
        <f>'3.1.raw'!AK717</f>
        <v>Sample with COa2003, COb2007, COb2008, COb2009, Red Colony Count: Undiluted volume tested 100 ml - 00</v>
      </c>
    </row>
    <row r="718">
      <c r="A718" s="23" t="str">
        <f t="shared" si="10"/>
        <v>COa2004</v>
      </c>
      <c r="B718" s="23" t="str">
        <f>'3.1.raw'!L718</f>
        <v>COa2004</v>
      </c>
      <c r="C718" s="24">
        <f>datevalue(left('3.1.raw'!O718,10))</f>
        <v>43866</v>
      </c>
      <c r="D718" s="23">
        <f>'3.1.raw'!I718</f>
        <v>15</v>
      </c>
      <c r="E718" s="1">
        <v>3.09999999999999</v>
      </c>
      <c r="F718" s="23" t="b">
        <f>if(countif(Status!C:C,A718)=1,TRUE, FALSE)</f>
        <v>1</v>
      </c>
      <c r="G718" s="1">
        <f t="shared" si="2"/>
        <v>1</v>
      </c>
      <c r="H718" s="1">
        <f>'3.1.raw'!Z718</f>
        <v>28</v>
      </c>
      <c r="J718" s="1" t="str">
        <f>'3.1.raw'!AK718</f>
        <v>Red colony count: 1:10^1 -TDTC; 1:10^2 - 106; 1:10^3 - 1, Each sample vol tested 1ml</v>
      </c>
    </row>
    <row r="719">
      <c r="A719" s="23" t="str">
        <f t="shared" si="10"/>
        <v>COb2010</v>
      </c>
      <c r="B719" s="23" t="str">
        <f>'3.1.raw'!L719</f>
        <v>COb2010</v>
      </c>
      <c r="C719" s="24">
        <f>datevalue(left('3.1.raw'!O719,10))</f>
        <v>43866</v>
      </c>
      <c r="D719" s="23">
        <f>'3.1.raw'!I719</f>
        <v>15</v>
      </c>
      <c r="E719" s="1">
        <v>3.09999999999999</v>
      </c>
      <c r="F719" s="23" t="b">
        <f>if(countif(Status!C:C,A719)=1,TRUE, FALSE)</f>
        <v>1</v>
      </c>
      <c r="G719" s="1">
        <f t="shared" si="2"/>
        <v>1</v>
      </c>
      <c r="H719" s="1">
        <f>'3.1.raw'!Z719</f>
        <v>6</v>
      </c>
      <c r="J719" s="1" t="str">
        <f>'3.1.raw'!AK719</f>
        <v>Red colony count: 1:10^1 -92; 1:10^2 - 14; 1:10^3 - 2, Each sample vol tested 1ml</v>
      </c>
    </row>
    <row r="720">
      <c r="A720" s="23" t="str">
        <f t="shared" si="10"/>
        <v>COb2011</v>
      </c>
      <c r="B720" s="23" t="str">
        <f>'3.1.raw'!L720</f>
        <v>COb2011</v>
      </c>
      <c r="C720" s="24">
        <f>datevalue(left('3.1.raw'!O720,10))</f>
        <v>43866</v>
      </c>
      <c r="D720" s="23">
        <f>'3.1.raw'!I720</f>
        <v>15</v>
      </c>
      <c r="E720" s="1">
        <v>3.09999999999999</v>
      </c>
      <c r="F720" s="23" t="b">
        <f>if(countif(Status!C:C,A720)=1,TRUE, FALSE)</f>
        <v>1</v>
      </c>
      <c r="G720" s="1">
        <f t="shared" si="2"/>
        <v>1</v>
      </c>
      <c r="H720" s="1">
        <f>'3.1.raw'!Z720</f>
        <v>5</v>
      </c>
      <c r="J720" s="1" t="str">
        <f>'3.1.raw'!AK720</f>
        <v>Red colony count: 1:10^1 - 48; 1:10^2 - 0; 1:10^3 - 0, Each sample vol tested 1ml</v>
      </c>
    </row>
    <row r="721">
      <c r="A721" s="23" t="str">
        <f t="shared" si="10"/>
        <v>COb2012</v>
      </c>
      <c r="B721" s="23" t="str">
        <f>'3.1.raw'!L721</f>
        <v>COb2012</v>
      </c>
      <c r="C721" s="24">
        <f>datevalue(left('3.1.raw'!O721,10))</f>
        <v>43866</v>
      </c>
      <c r="D721" s="23">
        <f>'3.1.raw'!I721</f>
        <v>15</v>
      </c>
      <c r="E721" s="1">
        <v>3.09999999999999</v>
      </c>
      <c r="F721" s="23" t="b">
        <f>if(countif(Status!C:C,A721)=1,TRUE, FALSE)</f>
        <v>1</v>
      </c>
      <c r="G721" s="1">
        <f t="shared" si="2"/>
        <v>0</v>
      </c>
      <c r="H721" s="1">
        <f>'3.1.raw'!Z721</f>
        <v>0</v>
      </c>
      <c r="J721" s="1" t="str">
        <f>'3.1.raw'!AK721</f>
        <v>Red colony count: 1:10^1 -TNTC; 1:10^2 - 78; 1:10^3 - 0, Each sample vol tested 1ml</v>
      </c>
    </row>
    <row r="722">
      <c r="A722" s="23" t="str">
        <f t="shared" si="10"/>
        <v>FB1311</v>
      </c>
      <c r="B722" s="23" t="str">
        <f>'3.1.raw'!L722</f>
        <v>FB1311</v>
      </c>
      <c r="C722" s="24">
        <f>datevalue(left('3.1.raw'!O722,10))</f>
        <v>43866</v>
      </c>
      <c r="D722" s="23">
        <f>'3.1.raw'!I722</f>
        <v>99</v>
      </c>
      <c r="E722" s="1">
        <v>3.09999999999999</v>
      </c>
      <c r="F722" s="23" t="b">
        <f>if(countif(Status!C:C,A722)=1,TRUE, FALSE)</f>
        <v>1</v>
      </c>
      <c r="G722" s="1">
        <f t="shared" si="2"/>
        <v>0</v>
      </c>
      <c r="H722" s="1">
        <f>'3.1.raw'!Z722</f>
        <v>0</v>
      </c>
      <c r="J722" s="1" t="str">
        <f>'3.1.raw'!AK722</f>
        <v>Sample with COa2004, COb2010, COb2011, COb2012, Red Colony Count: Undiluted volume tested 100 ml - 00</v>
      </c>
    </row>
    <row r="723">
      <c r="A723" s="23" t="str">
        <f t="shared" si="10"/>
        <v>NCEC90</v>
      </c>
      <c r="B723" s="23" t="str">
        <f>'3.1.raw'!L723</f>
        <v>NCEC90</v>
      </c>
      <c r="C723" s="24">
        <f>datevalue(left('3.1.raw'!O723,10))</f>
        <v>43866</v>
      </c>
      <c r="D723" s="23">
        <f>'3.1.raw'!I723</f>
        <v>98</v>
      </c>
      <c r="E723" s="1">
        <v>3.09999999999999</v>
      </c>
      <c r="F723" s="23" t="b">
        <f>if(countif(Status!C:C,A723)=1,TRUE, FALSE)</f>
        <v>1</v>
      </c>
      <c r="G723" s="1">
        <f t="shared" si="2"/>
        <v>0</v>
      </c>
      <c r="H723" s="1">
        <f>'3.1.raw'!Z723</f>
        <v>0</v>
      </c>
      <c r="J723" s="1" t="str">
        <f>'3.1.raw'!AK723</f>
        <v>Red Colony Count: Undiluted volume tested 100 ml - 00</v>
      </c>
    </row>
    <row r="724">
      <c r="A724" s="23" t="str">
        <f t="shared" si="10"/>
        <v>FB1312</v>
      </c>
      <c r="B724" s="23" t="str">
        <f>'3.1.raw'!L724</f>
        <v>FB1312</v>
      </c>
      <c r="C724" s="24">
        <f>datevalue(left('3.1.raw'!O724,10))</f>
        <v>43867</v>
      </c>
      <c r="D724" s="23">
        <f>'3.1.raw'!I724</f>
        <v>99</v>
      </c>
      <c r="E724" s="1">
        <v>3.09999999999999</v>
      </c>
      <c r="F724" s="23" t="b">
        <f>if(countif(Status!C:C,A724)=1,TRUE, FALSE)</f>
        <v>1</v>
      </c>
      <c r="G724" s="1">
        <f t="shared" si="2"/>
        <v>0</v>
      </c>
      <c r="H724" s="1">
        <f>'3.1.raw'!Z724</f>
        <v>0</v>
      </c>
      <c r="J724" s="1" t="str">
        <f>'3.1.raw'!AK724</f>
        <v>Sample with MO1169, Red Colony Count: Undiluted volume tested 100 ml - 00</v>
      </c>
    </row>
    <row r="725">
      <c r="A725" s="23" t="str">
        <f t="shared" si="10"/>
        <v>FB1313</v>
      </c>
      <c r="B725" s="23" t="str">
        <f>'3.1.raw'!L725</f>
        <v>FB1313</v>
      </c>
      <c r="C725" s="24">
        <f>datevalue(left('3.1.raw'!O725,10))</f>
        <v>43867</v>
      </c>
      <c r="D725" s="23">
        <f>'3.1.raw'!I725</f>
        <v>99</v>
      </c>
      <c r="E725" s="1">
        <v>3.09999999999999</v>
      </c>
      <c r="F725" s="23" t="b">
        <f>if(countif(Status!C:C,A725)=1,TRUE, FALSE)</f>
        <v>1</v>
      </c>
      <c r="G725" s="1">
        <f t="shared" si="2"/>
        <v>0</v>
      </c>
      <c r="H725" s="1">
        <f>'3.1.raw'!Z725</f>
        <v>0</v>
      </c>
      <c r="J725" s="1" t="str">
        <f>'3.1.raw'!AK725</f>
        <v>Sample with MO1170, Red Colony Count: Undiluted volume tested 100 ml - 00</v>
      </c>
    </row>
    <row r="726">
      <c r="A726" s="23" t="str">
        <f t="shared" si="10"/>
        <v>FB1316</v>
      </c>
      <c r="B726" s="23" t="str">
        <f>'3.1.raw'!L726</f>
        <v>FB1316</v>
      </c>
      <c r="C726" s="24">
        <f>datevalue(left('3.1.raw'!O726,10))</f>
        <v>43867</v>
      </c>
      <c r="D726" s="23">
        <f>'3.1.raw'!I726</f>
        <v>99</v>
      </c>
      <c r="E726" s="1">
        <v>3.09999999999999</v>
      </c>
      <c r="F726" s="23" t="b">
        <f>if(countif(Status!C:C,A726)=1,TRUE, FALSE)</f>
        <v>1</v>
      </c>
      <c r="G726" s="1">
        <f t="shared" si="2"/>
        <v>0</v>
      </c>
      <c r="H726" s="1">
        <f>'3.1.raw'!Z726</f>
        <v>0</v>
      </c>
      <c r="J726" s="1" t="str">
        <f>'3.1.raw'!AK726</f>
        <v>Sample with MO1171, Red Colony Count: Undiluted volume tested 100 ml - 00</v>
      </c>
    </row>
    <row r="727">
      <c r="A727" s="23" t="str">
        <f t="shared" si="10"/>
        <v>PLc1188</v>
      </c>
      <c r="B727" s="23" t="str">
        <f>'3.1.raw'!L727</f>
        <v>PLc1188</v>
      </c>
      <c r="C727" s="24">
        <f>datevalue(left('3.1.raw'!O727,10))</f>
        <v>43867</v>
      </c>
      <c r="D727" s="23">
        <f>'3.1.raw'!I727</f>
        <v>11</v>
      </c>
      <c r="E727" s="1">
        <v>3.09999999999999</v>
      </c>
      <c r="F727" s="23" t="b">
        <f>if(countif(Status!C:C,A727)=1,TRUE, FALSE)</f>
        <v>1</v>
      </c>
      <c r="G727" s="1">
        <f t="shared" si="2"/>
        <v>0</v>
      </c>
      <c r="H727" s="1">
        <f>'3.1.raw'!Z727</f>
        <v>0</v>
      </c>
      <c r="J727" s="1" t="str">
        <f>'3.1.raw'!AK727</f>
        <v>Red colony count: 1:10^4 -0; 1:10^5 - 3; 1:10^6 - 00, Each sample vol tested 1ml; Greenish circular zones.; Zone radius decreases from 1:10^4 --&gt; 1:10^6</v>
      </c>
    </row>
    <row r="728">
      <c r="A728" s="23" t="str">
        <f t="shared" si="10"/>
        <v>FB1317</v>
      </c>
      <c r="B728" s="23" t="str">
        <f>'3.1.raw'!L728</f>
        <v>FB1317</v>
      </c>
      <c r="C728" s="24">
        <f>datevalue(left('3.1.raw'!O728,10))</f>
        <v>43867</v>
      </c>
      <c r="D728" s="23">
        <f>'3.1.raw'!I728</f>
        <v>99</v>
      </c>
      <c r="E728" s="1">
        <v>3.09999999999999</v>
      </c>
      <c r="F728" s="23" t="b">
        <f>if(countif(Status!C:C,A728)=1,TRUE, FALSE)</f>
        <v>1</v>
      </c>
      <c r="G728" s="1">
        <f t="shared" si="2"/>
        <v>0</v>
      </c>
      <c r="H728" s="1">
        <f>'3.1.raw'!Z728</f>
        <v>0</v>
      </c>
      <c r="J728" s="1" t="str">
        <f>'3.1.raw'!AK728</f>
        <v>Sample with PLc1188, Red Colony Count: Undiluted volume tested 100 ml - 1</v>
      </c>
    </row>
    <row r="729">
      <c r="A729" s="23" t="str">
        <f t="shared" si="10"/>
        <v>COa2005</v>
      </c>
      <c r="B729" s="23" t="str">
        <f>'3.1.raw'!L729</f>
        <v>COa2005</v>
      </c>
      <c r="C729" s="24">
        <f>datevalue(left('3.1.raw'!O729,10))</f>
        <v>43867</v>
      </c>
      <c r="D729" s="23">
        <f>'3.1.raw'!I729</f>
        <v>15</v>
      </c>
      <c r="E729" s="1">
        <v>3.09999999999999</v>
      </c>
      <c r="F729" s="23" t="b">
        <f>if(countif(Status!C:C,A729)=1,TRUE, FALSE)</f>
        <v>1</v>
      </c>
      <c r="G729" s="1">
        <f t="shared" si="2"/>
        <v>1</v>
      </c>
      <c r="H729" s="1">
        <f>'3.1.raw'!Z729</f>
        <v>10</v>
      </c>
      <c r="J729" s="1" t="str">
        <f>'3.1.raw'!AK729</f>
        <v>Red colony count: 1:10^1 - 22; 1:10^2 - 2; 1:10^3 - 1, Each sample vol tested 1ml</v>
      </c>
    </row>
    <row r="730">
      <c r="A730" s="23" t="str">
        <f t="shared" si="10"/>
        <v>COb2013</v>
      </c>
      <c r="B730" s="23" t="str">
        <f>'3.1.raw'!L730</f>
        <v>COb2013</v>
      </c>
      <c r="C730" s="24">
        <f>datevalue(left('3.1.raw'!O730,10))</f>
        <v>43867</v>
      </c>
      <c r="D730" s="23">
        <f>'3.1.raw'!I730</f>
        <v>15</v>
      </c>
      <c r="E730" s="1">
        <v>3.09999999999999</v>
      </c>
      <c r="F730" s="23" t="b">
        <f>if(countif(Status!C:C,A730)=1,TRUE, FALSE)</f>
        <v>1</v>
      </c>
      <c r="G730" s="1">
        <f t="shared" si="2"/>
        <v>1</v>
      </c>
      <c r="H730" s="1">
        <f>'3.1.raw'!Z730</f>
        <v>2</v>
      </c>
      <c r="J730" s="1" t="str">
        <f>'3.1.raw'!AK730</f>
        <v>Red colony count: 1:10^1 - 145; 1:10^2 - 25; 1:10^3 - 5, Each sample vol tested 1ml</v>
      </c>
    </row>
    <row r="731">
      <c r="A731" s="23" t="str">
        <f t="shared" si="10"/>
        <v>COb2014</v>
      </c>
      <c r="B731" s="23" t="str">
        <f>'3.1.raw'!L731</f>
        <v>COb2014</v>
      </c>
      <c r="C731" s="24">
        <f>datevalue(left('3.1.raw'!O731,10))</f>
        <v>43867</v>
      </c>
      <c r="D731" s="23">
        <f>'3.1.raw'!I731</f>
        <v>15</v>
      </c>
      <c r="E731" s="1">
        <v>3.09999999999999</v>
      </c>
      <c r="F731" s="23" t="b">
        <f>if(countif(Status!C:C,A731)=1,TRUE, FALSE)</f>
        <v>1</v>
      </c>
      <c r="G731" s="1">
        <f t="shared" si="2"/>
        <v>1</v>
      </c>
      <c r="H731" s="1">
        <f>'3.1.raw'!Z731</f>
        <v>1</v>
      </c>
      <c r="J731" s="1" t="str">
        <f>'3.1.raw'!AK731</f>
        <v>Red colony count: 1:10^1 - 9; 1:10^2 - 0; 1:10^3 - 0, Each sample vol tested 1ml</v>
      </c>
    </row>
    <row r="732">
      <c r="A732" s="23" t="str">
        <f t="shared" si="10"/>
        <v>COb2015</v>
      </c>
      <c r="B732" s="23" t="str">
        <f>'3.1.raw'!L732</f>
        <v>COb2015</v>
      </c>
      <c r="C732" s="24">
        <f>datevalue(left('3.1.raw'!O732,10))</f>
        <v>43867</v>
      </c>
      <c r="D732" s="23">
        <f>'3.1.raw'!I732</f>
        <v>15</v>
      </c>
      <c r="E732" s="1">
        <v>3.09999999999999</v>
      </c>
      <c r="F732" s="23" t="b">
        <f>if(countif(Status!C:C,A732)=1,TRUE, FALSE)</f>
        <v>1</v>
      </c>
      <c r="G732" s="1">
        <f t="shared" si="2"/>
        <v>0</v>
      </c>
      <c r="H732" s="1">
        <f>'3.1.raw'!Z732</f>
        <v>0</v>
      </c>
      <c r="J732" s="1" t="str">
        <f>'3.1.raw'!AK732</f>
        <v>Red colony count: 1:10^1 - TNTC; 1:10^2 - 67; 1:10^3 - 4, Each sample vol tested 1ml</v>
      </c>
    </row>
    <row r="733">
      <c r="A733" s="23" t="str">
        <f t="shared" si="10"/>
        <v>FB1314</v>
      </c>
      <c r="B733" s="23" t="str">
        <f>'3.1.raw'!L733</f>
        <v>FB1314</v>
      </c>
      <c r="C733" s="24">
        <f>datevalue(left('3.1.raw'!O733,10))</f>
        <v>43867</v>
      </c>
      <c r="D733" s="23">
        <f>'3.1.raw'!I733</f>
        <v>99</v>
      </c>
      <c r="E733" s="1">
        <v>3.09999999999999</v>
      </c>
      <c r="F733" s="23" t="b">
        <f>if(countif(Status!C:C,A733)=1,TRUE, FALSE)</f>
        <v>1</v>
      </c>
      <c r="G733" s="1">
        <f t="shared" si="2"/>
        <v>0</v>
      </c>
      <c r="H733" s="1">
        <f>'3.1.raw'!Z733</f>
        <v>0</v>
      </c>
      <c r="J733" s="1" t="str">
        <f>'3.1.raw'!AK733</f>
        <v>Sample with COa2005, COb2013, COb2014, COb2015, Red Colony Count: Undiluted volume tested 100 ml - 00</v>
      </c>
    </row>
    <row r="734">
      <c r="A734" s="23" t="str">
        <f t="shared" si="10"/>
        <v>COa2006</v>
      </c>
      <c r="B734" s="23" t="str">
        <f>'3.1.raw'!L734</f>
        <v>COa2006</v>
      </c>
      <c r="C734" s="24">
        <f>datevalue(left('3.1.raw'!O734,10))</f>
        <v>43867</v>
      </c>
      <c r="D734" s="23">
        <f>'3.1.raw'!I734</f>
        <v>15</v>
      </c>
      <c r="E734" s="1">
        <v>3.09999999999999</v>
      </c>
      <c r="F734" s="23" t="b">
        <f>if(countif(Status!C:C,A734)=1,TRUE, FALSE)</f>
        <v>1</v>
      </c>
      <c r="G734" s="1">
        <f t="shared" si="2"/>
        <v>0</v>
      </c>
      <c r="H734" s="1">
        <f>'3.1.raw'!Z734</f>
        <v>0</v>
      </c>
      <c r="J734" s="1" t="str">
        <f>'3.1.raw'!AK734</f>
        <v>Red colony count: 1:10^1 - 49; 1:10^2 - 5; 1:10^3 - 1, Each sample vol tested 1ml</v>
      </c>
    </row>
    <row r="735">
      <c r="A735" s="23" t="str">
        <f t="shared" si="10"/>
        <v>COb2016</v>
      </c>
      <c r="B735" s="23" t="str">
        <f>'3.1.raw'!L735</f>
        <v>COb2016</v>
      </c>
      <c r="C735" s="24">
        <f>datevalue(left('3.1.raw'!O735,10))</f>
        <v>43867</v>
      </c>
      <c r="D735" s="23">
        <f>'3.1.raw'!I735</f>
        <v>15</v>
      </c>
      <c r="E735" s="1">
        <v>3.09999999999999</v>
      </c>
      <c r="F735" s="23" t="b">
        <f>if(countif(Status!C:C,A735)=1,TRUE, FALSE)</f>
        <v>1</v>
      </c>
      <c r="G735" s="1">
        <f t="shared" si="2"/>
        <v>1</v>
      </c>
      <c r="H735" s="1">
        <f>'3.1.raw'!Z735</f>
        <v>1</v>
      </c>
      <c r="J735" s="1" t="str">
        <f>'3.1.raw'!AK735</f>
        <v>Red colony count: 1:10^1 - 20; 1:10^2 - 2; 1:10^3 - 1, Each sample vol tested 1ml</v>
      </c>
    </row>
    <row r="736">
      <c r="A736" s="23" t="str">
        <f t="shared" si="10"/>
        <v>COb2017</v>
      </c>
      <c r="B736" s="23" t="str">
        <f>'3.1.raw'!L736</f>
        <v>COb2017</v>
      </c>
      <c r="C736" s="24">
        <f>datevalue(left('3.1.raw'!O736,10))</f>
        <v>43867</v>
      </c>
      <c r="D736" s="23">
        <f>'3.1.raw'!I736</f>
        <v>15</v>
      </c>
      <c r="E736" s="1">
        <v>3.09999999999999</v>
      </c>
      <c r="F736" s="23" t="b">
        <f>if(countif(Status!C:C,A736)=1,TRUE, FALSE)</f>
        <v>1</v>
      </c>
      <c r="G736" s="1">
        <f t="shared" si="2"/>
        <v>0</v>
      </c>
      <c r="H736" s="1">
        <f>'3.1.raw'!Z736</f>
        <v>0</v>
      </c>
      <c r="J736" s="1" t="str">
        <f>'3.1.raw'!AK736</f>
        <v>Red colony count: 1:10^1 - 85; 1:10^2 - 18; 1:10^3 - 0, Each sample vol tested 1ml</v>
      </c>
    </row>
    <row r="737">
      <c r="A737" s="23" t="str">
        <f t="shared" si="10"/>
        <v>COb2018</v>
      </c>
      <c r="B737" s="23" t="str">
        <f>'3.1.raw'!L737</f>
        <v>COb2018</v>
      </c>
      <c r="C737" s="24">
        <f>datevalue(left('3.1.raw'!O737,10))</f>
        <v>43867</v>
      </c>
      <c r="D737" s="23">
        <f>'3.1.raw'!I737</f>
        <v>15</v>
      </c>
      <c r="E737" s="1">
        <v>3.09999999999999</v>
      </c>
      <c r="F737" s="23" t="b">
        <f>if(countif(Status!C:C,A737)=1,TRUE, FALSE)</f>
        <v>1</v>
      </c>
      <c r="G737" s="1">
        <f t="shared" si="2"/>
        <v>0</v>
      </c>
      <c r="H737" s="1">
        <f>'3.1.raw'!Z737</f>
        <v>0</v>
      </c>
      <c r="J737" s="1" t="str">
        <f>'3.1.raw'!AK737</f>
        <v>Red colony count: 1:10^1 - 26; 1:10^2 - 5; 1:10^3 - 5, Each sample vol tested 1ml</v>
      </c>
    </row>
    <row r="738">
      <c r="A738" s="23" t="str">
        <f t="shared" si="10"/>
        <v>FB1315</v>
      </c>
      <c r="B738" s="23" t="str">
        <f>'3.1.raw'!L738</f>
        <v>FB1315</v>
      </c>
      <c r="C738" s="24">
        <f>datevalue(left('3.1.raw'!O738,10))</f>
        <v>43867</v>
      </c>
      <c r="D738" s="23">
        <f>'3.1.raw'!I738</f>
        <v>99</v>
      </c>
      <c r="E738" s="1">
        <v>3.09999999999999</v>
      </c>
      <c r="F738" s="23" t="b">
        <f>if(countif(Status!C:C,A738)=1,TRUE, FALSE)</f>
        <v>1</v>
      </c>
      <c r="G738" s="1">
        <f t="shared" si="2"/>
        <v>0</v>
      </c>
      <c r="H738" s="1">
        <f>'3.1.raw'!Z738</f>
        <v>0</v>
      </c>
      <c r="J738" s="1" t="str">
        <f>'3.1.raw'!AK738</f>
        <v>Sample with COa2006, COb2016, COb2017, COb2018, Red Colony Count: Undiluted volume tested 100 ml - 00</v>
      </c>
    </row>
    <row r="739">
      <c r="A739" s="23" t="str">
        <f t="shared" si="10"/>
        <v>NCEC91</v>
      </c>
      <c r="B739" s="23" t="str">
        <f>'3.1.raw'!L739</f>
        <v>NCEC91</v>
      </c>
      <c r="C739" s="24">
        <f>datevalue(left('3.1.raw'!O739,10))</f>
        <v>43867</v>
      </c>
      <c r="D739" s="23">
        <f>'3.1.raw'!I739</f>
        <v>98</v>
      </c>
      <c r="E739" s="1">
        <v>3.09999999999999</v>
      </c>
      <c r="F739" s="23" t="b">
        <f>if(countif(Status!C:C,A739)=1,TRUE, FALSE)</f>
        <v>1</v>
      </c>
      <c r="G739" s="1">
        <f t="shared" si="2"/>
        <v>0</v>
      </c>
      <c r="H739" s="1">
        <f>'3.1.raw'!Z739</f>
        <v>0</v>
      </c>
      <c r="J739" s="1" t="str">
        <f>'3.1.raw'!AK739</f>
        <v>Red Colony Count: Undiluted volume tested 100 ml - 00</v>
      </c>
    </row>
    <row r="740">
      <c r="A740" s="23" t="str">
        <f t="shared" si="10"/>
        <v>PLc1189</v>
      </c>
      <c r="B740" s="23" t="str">
        <f>'3.1.raw'!L740</f>
        <v>PLc1189</v>
      </c>
      <c r="C740" s="24">
        <f>datevalue(left('3.1.raw'!O740,10))</f>
        <v>43868</v>
      </c>
      <c r="D740" s="23">
        <f>'3.1.raw'!I740</f>
        <v>11</v>
      </c>
      <c r="E740" s="1">
        <v>3.09999999999999</v>
      </c>
      <c r="F740" s="23" t="b">
        <f>if(countif(Status!C:C,A740)=1,TRUE, FALSE)</f>
        <v>1</v>
      </c>
      <c r="G740" s="1">
        <f t="shared" si="2"/>
        <v>0</v>
      </c>
      <c r="H740" s="1">
        <f>'3.1.raw'!Z740</f>
        <v>0</v>
      </c>
      <c r="J740" s="1" t="str">
        <f>'3.1.raw'!AK740</f>
        <v>Red colony count: 1:10^4 -6; 1:10^5 - 0; 1:10^6 - 0, Each sample vol tested 1ml</v>
      </c>
    </row>
    <row r="741">
      <c r="A741" s="23" t="str">
        <f t="shared" si="10"/>
        <v>FB1318</v>
      </c>
      <c r="B741" s="23" t="str">
        <f>'3.1.raw'!L741</f>
        <v>FB1318</v>
      </c>
      <c r="C741" s="24">
        <f>datevalue(left('3.1.raw'!O741,10))</f>
        <v>43868</v>
      </c>
      <c r="D741" s="23">
        <f>'3.1.raw'!I741</f>
        <v>99</v>
      </c>
      <c r="E741" s="1">
        <v>3.09999999999999</v>
      </c>
      <c r="F741" s="23" t="b">
        <f>if(countif(Status!C:C,A741)=1,TRUE, FALSE)</f>
        <v>1</v>
      </c>
      <c r="G741" s="1">
        <f t="shared" si="2"/>
        <v>0</v>
      </c>
      <c r="H741" s="1">
        <f>'3.1.raw'!Z741</f>
        <v>0</v>
      </c>
      <c r="J741" s="1" t="str">
        <f>'3.1.raw'!AK741</f>
        <v>Sample with PLc1189, Red Colony Count: Undiluted volume tested 100 ml - 00</v>
      </c>
    </row>
    <row r="742">
      <c r="A742" s="23" t="str">
        <f t="shared" si="10"/>
        <v>PLc1190</v>
      </c>
      <c r="B742" s="23" t="str">
        <f>'3.1.raw'!L742</f>
        <v>PLc1190</v>
      </c>
      <c r="C742" s="24">
        <f>datevalue(left('3.1.raw'!O742,10))</f>
        <v>43868</v>
      </c>
      <c r="D742" s="23">
        <f>'3.1.raw'!I742</f>
        <v>11</v>
      </c>
      <c r="E742" s="1">
        <v>3.09999999999999</v>
      </c>
      <c r="F742" s="23" t="b">
        <f>if(countif(Status!C:C,A742)=1,TRUE, FALSE)</f>
        <v>1</v>
      </c>
      <c r="G742" s="1">
        <f t="shared" si="2"/>
        <v>1</v>
      </c>
      <c r="H742" s="1">
        <f>'3.1.raw'!Z742</f>
        <v>1</v>
      </c>
      <c r="J742" s="1" t="str">
        <f>'3.1.raw'!AK742</f>
        <v>Red colony count: 1:10^4 -5; 1:10^5 - 1; 1:10^6 - 00, Each sample vol tested 1ml</v>
      </c>
    </row>
    <row r="743">
      <c r="A743" s="23" t="str">
        <f t="shared" si="10"/>
        <v>FB1319</v>
      </c>
      <c r="B743" s="23" t="str">
        <f>'3.1.raw'!L743</f>
        <v>FB1319</v>
      </c>
      <c r="C743" s="24">
        <f>datevalue(left('3.1.raw'!O743,10))</f>
        <v>43868</v>
      </c>
      <c r="D743" s="23">
        <f>'3.1.raw'!I743</f>
        <v>99</v>
      </c>
      <c r="E743" s="1">
        <v>3.09999999999999</v>
      </c>
      <c r="F743" s="23" t="b">
        <f>if(countif(Status!C:C,A743)=1,TRUE, FALSE)</f>
        <v>1</v>
      </c>
      <c r="G743" s="1">
        <f t="shared" si="2"/>
        <v>0</v>
      </c>
      <c r="H743" s="1">
        <f>'3.1.raw'!Z743</f>
        <v>0</v>
      </c>
      <c r="J743" s="1" t="str">
        <f>'3.1.raw'!AK743</f>
        <v>Sample with PLc1190, Red Colony Count: Undiluted volume tested 100 ml - 1</v>
      </c>
    </row>
    <row r="744">
      <c r="A744" s="23" t="str">
        <f t="shared" si="10"/>
        <v>NCEC92</v>
      </c>
      <c r="B744" s="23" t="str">
        <f>'3.1.raw'!L744</f>
        <v>NCEC92</v>
      </c>
      <c r="C744" s="24">
        <f>datevalue(left('3.1.raw'!O744,10))</f>
        <v>43868</v>
      </c>
      <c r="D744" s="23">
        <f>'3.1.raw'!I744</f>
        <v>98</v>
      </c>
      <c r="E744" s="1">
        <v>3.09999999999999</v>
      </c>
      <c r="F744" s="23" t="b">
        <f>if(countif(Status!C:C,A744)=1,TRUE, FALSE)</f>
        <v>1</v>
      </c>
      <c r="G744" s="1">
        <f t="shared" si="2"/>
        <v>0</v>
      </c>
      <c r="H744" s="1">
        <f>'3.1.raw'!Z744</f>
        <v>0</v>
      </c>
      <c r="J744" s="1" t="str">
        <f>'3.1.raw'!AK744</f>
        <v>Red Colony Count: Undiluted volume tested 100 ml - 00</v>
      </c>
    </row>
    <row r="745">
      <c r="A745" s="23" t="str">
        <f t="shared" si="10"/>
        <v>PLc1191</v>
      </c>
      <c r="B745" s="23" t="str">
        <f>'3.1.raw'!L745</f>
        <v>PLc1191</v>
      </c>
      <c r="C745" s="24">
        <f>datevalue(left('3.1.raw'!O745,10))</f>
        <v>43871</v>
      </c>
      <c r="D745" s="23">
        <f>'3.1.raw'!I745</f>
        <v>11</v>
      </c>
      <c r="E745" s="1">
        <v>3.09999999999999</v>
      </c>
      <c r="F745" s="23" t="b">
        <f>if(countif(Status!C:C,A745)=1,TRUE, FALSE)</f>
        <v>1</v>
      </c>
      <c r="G745" s="1">
        <f t="shared" si="2"/>
        <v>1</v>
      </c>
      <c r="H745" s="1">
        <f>'3.1.raw'!Z745</f>
        <v>32</v>
      </c>
      <c r="J745" s="1" t="str">
        <f>'3.1.raw'!AK745</f>
        <v>Red colony count: 1:10^4 - 39; 1:10^5 - 3; 1:10^6 - 2, Each sample vol tested 1ml</v>
      </c>
    </row>
    <row r="746">
      <c r="A746" s="23" t="str">
        <f t="shared" si="10"/>
        <v>FB1320</v>
      </c>
      <c r="B746" s="23" t="str">
        <f>'3.1.raw'!L746</f>
        <v>FB1320</v>
      </c>
      <c r="C746" s="24">
        <f>datevalue(left('3.1.raw'!O746,10))</f>
        <v>43871</v>
      </c>
      <c r="D746" s="23">
        <f>'3.1.raw'!I746</f>
        <v>99</v>
      </c>
      <c r="E746" s="1">
        <v>3.09999999999999</v>
      </c>
      <c r="F746" s="23" t="b">
        <f>if(countif(Status!C:C,A746)=1,TRUE, FALSE)</f>
        <v>1</v>
      </c>
      <c r="G746" s="1">
        <f t="shared" si="2"/>
        <v>0</v>
      </c>
      <c r="H746" s="1">
        <f>'3.1.raw'!Z746</f>
        <v>0</v>
      </c>
      <c r="J746" s="1" t="str">
        <f>'3.1.raw'!AK746</f>
        <v>Sample with PLc1191, Red Colony Count: Undiluted volume tested 100 ml - 00</v>
      </c>
    </row>
    <row r="747">
      <c r="A747" s="23" t="str">
        <f t="shared" si="10"/>
        <v>PLc1192</v>
      </c>
      <c r="B747" s="23" t="str">
        <f>'3.1.raw'!L747</f>
        <v>PLc1192</v>
      </c>
      <c r="C747" s="24">
        <f>datevalue(left('3.1.raw'!O747,10))</f>
        <v>43871</v>
      </c>
      <c r="D747" s="23">
        <f>'3.1.raw'!I747</f>
        <v>11</v>
      </c>
      <c r="E747" s="1">
        <v>3.09999999999999</v>
      </c>
      <c r="F747" s="23" t="b">
        <f>if(countif(Status!C:C,A747)=1,TRUE, FALSE)</f>
        <v>1</v>
      </c>
      <c r="G747" s="1">
        <f t="shared" si="2"/>
        <v>1</v>
      </c>
      <c r="H747" s="1">
        <f>'3.1.raw'!Z747</f>
        <v>5</v>
      </c>
      <c r="J747" s="1" t="str">
        <f>'3.1.raw'!AK747</f>
        <v>Red colony count: 1:10^4 - 67; 1:10^5 - 6; 1:10^6 - 1, Each sample vol tested 1ml</v>
      </c>
    </row>
    <row r="748">
      <c r="A748" s="23" t="str">
        <f t="shared" si="10"/>
        <v>FB1321</v>
      </c>
      <c r="B748" s="23" t="str">
        <f>'3.1.raw'!L748</f>
        <v>FB1321</v>
      </c>
      <c r="C748" s="24">
        <f>datevalue(left('3.1.raw'!O748,10))</f>
        <v>43871</v>
      </c>
      <c r="D748" s="23">
        <f>'3.1.raw'!I748</f>
        <v>99</v>
      </c>
      <c r="E748" s="1">
        <v>3.09999999999999</v>
      </c>
      <c r="F748" s="23" t="b">
        <f>if(countif(Status!C:C,A748)=1,TRUE, FALSE)</f>
        <v>1</v>
      </c>
      <c r="G748" s="1">
        <f t="shared" si="2"/>
        <v>0</v>
      </c>
      <c r="H748" s="1">
        <f>'3.1.raw'!Z748</f>
        <v>0</v>
      </c>
      <c r="J748" s="1" t="str">
        <f>'3.1.raw'!AK748</f>
        <v>Sample with PLc1192, Red Colony Count: Undiluted volume tested 100 ml - 00</v>
      </c>
    </row>
    <row r="749">
      <c r="A749" s="23" t="str">
        <f t="shared" si="10"/>
        <v>PLc1193</v>
      </c>
      <c r="B749" s="23" t="str">
        <f>'3.1.raw'!L749</f>
        <v>PLc1193</v>
      </c>
      <c r="C749" s="24">
        <f>datevalue(left('3.1.raw'!O749,10))</f>
        <v>43871</v>
      </c>
      <c r="D749" s="23">
        <f>'3.1.raw'!I749</f>
        <v>11</v>
      </c>
      <c r="E749" s="1">
        <v>3.09999999999999</v>
      </c>
      <c r="F749" s="23" t="b">
        <f>if(countif(Status!C:C,A749)=1,TRUE, FALSE)</f>
        <v>1</v>
      </c>
      <c r="G749" s="1">
        <f t="shared" si="2"/>
        <v>1</v>
      </c>
      <c r="H749" s="1">
        <f>'3.1.raw'!Z749</f>
        <v>2</v>
      </c>
      <c r="J749" s="1" t="str">
        <f>'3.1.raw'!AK749</f>
        <v>Red colony count: 1:10^4 - 17; 1:10^5 - 3; 1:10^6 - 1, Each sample vol tested 1ml</v>
      </c>
    </row>
    <row r="750">
      <c r="A750" s="23" t="str">
        <f t="shared" si="10"/>
        <v>FB1322</v>
      </c>
      <c r="B750" s="23" t="str">
        <f>'3.1.raw'!L750</f>
        <v>FB1322</v>
      </c>
      <c r="C750" s="24">
        <f>datevalue(left('3.1.raw'!O750,10))</f>
        <v>43871</v>
      </c>
      <c r="D750" s="23">
        <f>'3.1.raw'!I750</f>
        <v>99</v>
      </c>
      <c r="E750" s="1">
        <v>3.09999999999999</v>
      </c>
      <c r="F750" s="23" t="b">
        <f>if(countif(Status!C:C,A750)=1,TRUE, FALSE)</f>
        <v>1</v>
      </c>
      <c r="G750" s="1">
        <f t="shared" si="2"/>
        <v>0</v>
      </c>
      <c r="H750" s="1">
        <f>'3.1.raw'!Z750</f>
        <v>0</v>
      </c>
      <c r="J750" s="1" t="str">
        <f>'3.1.raw'!AK750</f>
        <v>Sample with PLc1193, Red Colony Count: Undiluted volume tested 100 ml - 00</v>
      </c>
    </row>
    <row r="751">
      <c r="A751" s="23" t="str">
        <f t="shared" si="10"/>
        <v>PLc1194</v>
      </c>
      <c r="B751" s="23" t="str">
        <f>'3.1.raw'!L751</f>
        <v>PLc1194</v>
      </c>
      <c r="C751" s="24">
        <f>datevalue(left('3.1.raw'!O751,10))</f>
        <v>43871</v>
      </c>
      <c r="D751" s="23">
        <f>'3.1.raw'!I751</f>
        <v>11</v>
      </c>
      <c r="E751" s="1">
        <v>3.09999999999999</v>
      </c>
      <c r="F751" s="23" t="b">
        <f>if(countif(Status!C:C,A751)=1,TRUE, FALSE)</f>
        <v>1</v>
      </c>
      <c r="G751" s="1">
        <f t="shared" si="2"/>
        <v>1</v>
      </c>
      <c r="H751" s="1">
        <f>'3.1.raw'!Z751</f>
        <v>19</v>
      </c>
      <c r="J751" s="1" t="str">
        <f>'3.1.raw'!AK751</f>
        <v>Red colony count: 1:10^4 - 14; 1:10^5 - 10; 1:10^6 - 00, Each sample vol tested 1ml</v>
      </c>
    </row>
    <row r="752">
      <c r="A752" s="23" t="str">
        <f t="shared" si="10"/>
        <v>FB1323</v>
      </c>
      <c r="B752" s="23" t="str">
        <f>'3.1.raw'!L752</f>
        <v>FB1323</v>
      </c>
      <c r="C752" s="24">
        <f>datevalue(left('3.1.raw'!O752,10))</f>
        <v>43871</v>
      </c>
      <c r="D752" s="23">
        <f>'3.1.raw'!I752</f>
        <v>99</v>
      </c>
      <c r="E752" s="1">
        <v>3.09999999999999</v>
      </c>
      <c r="F752" s="23" t="b">
        <f>if(countif(Status!C:C,A752)=1,TRUE, FALSE)</f>
        <v>1</v>
      </c>
      <c r="G752" s="1">
        <f t="shared" si="2"/>
        <v>0</v>
      </c>
      <c r="H752" s="1">
        <f>'3.1.raw'!Z752</f>
        <v>0</v>
      </c>
      <c r="J752" s="1" t="str">
        <f>'3.1.raw'!AK752</f>
        <v>Sample with PLc1194, Red Colony Count: Undiluted volume tested 100 ml - 00</v>
      </c>
    </row>
    <row r="753">
      <c r="A753" s="23" t="str">
        <f t="shared" si="10"/>
        <v>PLc1195</v>
      </c>
      <c r="B753" s="23" t="str">
        <f>'3.1.raw'!L753</f>
        <v>PLc1195</v>
      </c>
      <c r="C753" s="24">
        <f>datevalue(left('3.1.raw'!O753,10))</f>
        <v>43871</v>
      </c>
      <c r="D753" s="23">
        <f>'3.1.raw'!I753</f>
        <v>11</v>
      </c>
      <c r="E753" s="1">
        <v>3.09999999999999</v>
      </c>
      <c r="F753" s="23" t="b">
        <f>if(countif(Status!C:C,A753)=1,TRUE, FALSE)</f>
        <v>1</v>
      </c>
      <c r="G753" s="1">
        <f t="shared" si="2"/>
        <v>1</v>
      </c>
      <c r="H753" s="1">
        <f>'3.1.raw'!Z753</f>
        <v>3</v>
      </c>
      <c r="J753" s="1" t="str">
        <f>'3.1.raw'!AK753</f>
        <v>Red colony count: 1:10^4 - 22; 1:10^5 - 1; 1:10^6 - 00, Each sample vol tested 1ml</v>
      </c>
    </row>
    <row r="754">
      <c r="A754" s="23" t="str">
        <f t="shared" si="10"/>
        <v>FB1324</v>
      </c>
      <c r="B754" s="23" t="str">
        <f>'3.1.raw'!L754</f>
        <v>FB1324</v>
      </c>
      <c r="C754" s="24">
        <f>datevalue(left('3.1.raw'!O754,10))</f>
        <v>43871</v>
      </c>
      <c r="D754" s="23">
        <f>'3.1.raw'!I754</f>
        <v>99</v>
      </c>
      <c r="E754" s="1">
        <v>3.09999999999999</v>
      </c>
      <c r="F754" s="23" t="b">
        <f>if(countif(Status!C:C,A754)=1,TRUE, FALSE)</f>
        <v>1</v>
      </c>
      <c r="G754" s="1">
        <f t="shared" si="2"/>
        <v>0</v>
      </c>
      <c r="H754" s="1">
        <f>'3.1.raw'!Z754</f>
        <v>0</v>
      </c>
      <c r="J754" s="1" t="str">
        <f>'3.1.raw'!AK754</f>
        <v>Sample with PLc1195, Red Colony Count: Undiluted volume tested 100 ml - 00</v>
      </c>
    </row>
    <row r="755">
      <c r="A755" s="23" t="str">
        <f t="shared" si="10"/>
        <v>NCEC93</v>
      </c>
      <c r="B755" s="23" t="str">
        <f>'3.1.raw'!L755</f>
        <v>NCEC93</v>
      </c>
      <c r="C755" s="24">
        <f>datevalue(left('3.1.raw'!O755,10))</f>
        <v>43871</v>
      </c>
      <c r="D755" s="23">
        <f>'3.1.raw'!I755</f>
        <v>98</v>
      </c>
      <c r="E755" s="1">
        <v>3.09999999999999</v>
      </c>
      <c r="F755" s="23" t="b">
        <f>if(countif(Status!C:C,A755)=1,TRUE, FALSE)</f>
        <v>1</v>
      </c>
      <c r="G755" s="1">
        <f t="shared" si="2"/>
        <v>0</v>
      </c>
      <c r="H755" s="1">
        <f>'3.1.raw'!Z755</f>
        <v>0</v>
      </c>
      <c r="J755" s="1" t="str">
        <f>'3.1.raw'!AK755</f>
        <v>Red Colony Count: Undiluted volume tested 100 ml - 00</v>
      </c>
    </row>
    <row r="756">
      <c r="A756" s="23" t="str">
        <f t="shared" si="10"/>
        <v>FB1328</v>
      </c>
      <c r="B756" s="23" t="str">
        <f>'3.1.raw'!L756</f>
        <v>FB1328</v>
      </c>
      <c r="C756" s="24">
        <f>datevalue(left('3.1.raw'!O756,10))</f>
        <v>43872</v>
      </c>
      <c r="D756" s="23">
        <f>'3.1.raw'!I756</f>
        <v>99</v>
      </c>
      <c r="E756" s="1">
        <v>3.09999999999999</v>
      </c>
      <c r="F756" s="23" t="b">
        <f>if(countif(Status!C:C,A756)=1,TRUE, FALSE)</f>
        <v>1</v>
      </c>
      <c r="G756" s="1">
        <f t="shared" si="2"/>
        <v>0</v>
      </c>
      <c r="H756" s="1">
        <f>'3.1.raw'!Z756</f>
        <v>0</v>
      </c>
      <c r="J756" s="1" t="str">
        <f>'3.1.raw'!AK756</f>
        <v>Sample with MO1172, Red Colony Count: Undiluted volume tested 100 ml - 00</v>
      </c>
    </row>
    <row r="757">
      <c r="A757" s="23" t="str">
        <f t="shared" si="10"/>
        <v>FB1327</v>
      </c>
      <c r="B757" s="23" t="str">
        <f>'3.1.raw'!L757</f>
        <v>FB1327</v>
      </c>
      <c r="C757" s="24">
        <f>datevalue(left('3.1.raw'!O757,10))</f>
        <v>43872</v>
      </c>
      <c r="D757" s="23">
        <f>'3.1.raw'!I757</f>
        <v>99</v>
      </c>
      <c r="E757" s="1">
        <v>3.09999999999999</v>
      </c>
      <c r="F757" s="23" t="b">
        <f>if(countif(Status!C:C,A757)=1,TRUE, FALSE)</f>
        <v>1</v>
      </c>
      <c r="G757" s="1">
        <f t="shared" si="2"/>
        <v>0</v>
      </c>
      <c r="H757" s="1">
        <f>'3.1.raw'!Z757</f>
        <v>0</v>
      </c>
      <c r="J757" s="1" t="str">
        <f>'3.1.raw'!AK757</f>
        <v>Sample with MO1173, Red Colony Count: Undiluted volume tested 100 ml - 00</v>
      </c>
    </row>
    <row r="758">
      <c r="A758" s="23" t="str">
        <f t="shared" si="10"/>
        <v>FB1326</v>
      </c>
      <c r="B758" s="23" t="str">
        <f>'3.1.raw'!L758</f>
        <v>FB1326</v>
      </c>
      <c r="C758" s="24">
        <f>datevalue(left('3.1.raw'!O758,10))</f>
        <v>43872</v>
      </c>
      <c r="D758" s="23">
        <f>'3.1.raw'!I758</f>
        <v>99</v>
      </c>
      <c r="E758" s="1">
        <v>3.09999999999999</v>
      </c>
      <c r="F758" s="23" t="b">
        <f>if(countif(Status!C:C,A758)=1,TRUE, FALSE)</f>
        <v>1</v>
      </c>
      <c r="G758" s="1">
        <f t="shared" si="2"/>
        <v>0</v>
      </c>
      <c r="H758" s="1">
        <f>'3.1.raw'!Z758</f>
        <v>0</v>
      </c>
      <c r="J758" s="1" t="str">
        <f>'3.1.raw'!AK758</f>
        <v>Sample with MO1174, Red Colony Count: Undiluted volume tested 100 ml - 00</v>
      </c>
    </row>
    <row r="759">
      <c r="A759" s="23" t="str">
        <f t="shared" si="10"/>
        <v>FB1325</v>
      </c>
      <c r="B759" s="23" t="str">
        <f>'3.1.raw'!L759</f>
        <v>FB1325</v>
      </c>
      <c r="C759" s="24">
        <f>datevalue(left('3.1.raw'!O759,10))</f>
        <v>43872</v>
      </c>
      <c r="D759" s="23">
        <f>'3.1.raw'!I759</f>
        <v>99</v>
      </c>
      <c r="E759" s="1">
        <v>3.09999999999999</v>
      </c>
      <c r="F759" s="23" t="b">
        <f>if(countif(Status!C:C,A759)=1,TRUE, FALSE)</f>
        <v>1</v>
      </c>
      <c r="G759" s="1">
        <f t="shared" si="2"/>
        <v>0</v>
      </c>
      <c r="H759" s="1">
        <f>'3.1.raw'!Z759</f>
        <v>0</v>
      </c>
      <c r="J759" s="1" t="str">
        <f>'3.1.raw'!AK759</f>
        <v>Sample with MO1175, Red Colony Count: Undiluted volume tested 100 ml - 00</v>
      </c>
    </row>
    <row r="760">
      <c r="A760" s="23" t="str">
        <f t="shared" si="10"/>
        <v>UF1021</v>
      </c>
      <c r="B760" s="23" t="str">
        <f>'3.1.raw'!L760</f>
        <v>UF1021</v>
      </c>
      <c r="C760" s="24">
        <f>datevalue(left('3.1.raw'!O760,10))</f>
        <v>43872</v>
      </c>
      <c r="D760" s="23">
        <f>'3.1.raw'!I760</f>
        <v>16</v>
      </c>
      <c r="E760" s="1">
        <v>3.09999999999999</v>
      </c>
      <c r="F760" s="23" t="b">
        <f>if(countif(Status!C:C,A760)=1,TRUE, FALSE)</f>
        <v>1</v>
      </c>
      <c r="G760" s="1">
        <f t="shared" si="2"/>
        <v>1</v>
      </c>
      <c r="H760" s="1">
        <f>'3.1.raw'!Z760</f>
        <v>2</v>
      </c>
      <c r="J760" s="1" t="str">
        <f>'3.1.raw'!AK760</f>
        <v>Red colony count: 1:10^4 -40; 1:10^5 - 8; 1:10^6 - 00, Each sample vol tested 1ml</v>
      </c>
    </row>
    <row r="761">
      <c r="A761" s="23" t="str">
        <f t="shared" si="10"/>
        <v>RP2002A</v>
      </c>
      <c r="B761" s="23" t="str">
        <f>'3.1.raw'!L761</f>
        <v>RP2002A</v>
      </c>
      <c r="C761" s="24">
        <f>datevalue(left('3.1.raw'!O761,10))</f>
        <v>43872</v>
      </c>
      <c r="D761" s="23">
        <f>'3.1.raw'!I761</f>
        <v>2</v>
      </c>
      <c r="E761" s="1">
        <v>3.09999999999999</v>
      </c>
      <c r="F761" s="23" t="b">
        <f>if(countif(Status!C:C,A761)=1,TRUE, FALSE)</f>
        <v>0</v>
      </c>
      <c r="G761" s="1" t="str">
        <f t="shared" si="2"/>
        <v/>
      </c>
      <c r="H761" s="1" t="str">
        <f>'3.1.raw'!Z761</f>
        <v/>
      </c>
      <c r="J761" s="1" t="str">
        <f>'3.1.raw'!AK761</f>
        <v>Red colony count: Undiluted 10ml - TNTC, 1:10^1 - 16, 1:10^2 - 4 sample vol tested 1ml,</v>
      </c>
    </row>
    <row r="762">
      <c r="A762" s="23" t="str">
        <f t="shared" si="10"/>
        <v>RP2002B</v>
      </c>
      <c r="B762" s="23" t="str">
        <f>'3.1.raw'!L762</f>
        <v>RP2002B</v>
      </c>
      <c r="C762" s="24">
        <f>datevalue(left('3.1.raw'!O762,10))</f>
        <v>43872</v>
      </c>
      <c r="D762" s="23">
        <f>'3.1.raw'!I762</f>
        <v>2</v>
      </c>
      <c r="E762" s="1">
        <v>3.09999999999999</v>
      </c>
      <c r="F762" s="23" t="b">
        <f>if(countif(Status!C:C,A762)=1,TRUE, FALSE)</f>
        <v>0</v>
      </c>
      <c r="G762" s="1" t="str">
        <f t="shared" si="2"/>
        <v/>
      </c>
      <c r="H762" s="1" t="str">
        <f>'3.1.raw'!Z762</f>
        <v/>
      </c>
      <c r="J762" s="1" t="str">
        <f>'3.1.raw'!AK762</f>
        <v>Red colony count: Undiluted 10ml - TDTC, 1:10^1 - TDTC, 1:10^2 - TNTC sample vol tested 1ml</v>
      </c>
    </row>
    <row r="763">
      <c r="A763" s="23" t="str">
        <f t="shared" si="10"/>
        <v>FB1329</v>
      </c>
      <c r="B763" s="23" t="str">
        <f>'3.1.raw'!L763</f>
        <v>FB1329</v>
      </c>
      <c r="C763" s="24">
        <f>datevalue(left('3.1.raw'!O763,10))</f>
        <v>43872</v>
      </c>
      <c r="D763" s="23">
        <f>'3.1.raw'!I763</f>
        <v>99</v>
      </c>
      <c r="E763" s="1">
        <v>3.09999999999999</v>
      </c>
      <c r="F763" s="23" t="b">
        <f>if(countif(Status!C:C,A763)=1,TRUE, FALSE)</f>
        <v>1</v>
      </c>
      <c r="G763" s="1">
        <f t="shared" si="2"/>
        <v>0</v>
      </c>
      <c r="H763" s="1">
        <f>'3.1.raw'!Z763</f>
        <v>0</v>
      </c>
      <c r="J763" s="1" t="str">
        <f>'3.1.raw'!AK763</f>
        <v>Sample with RP2002, Red Colony Count: Undiluted volume tested 100 ml - 00</v>
      </c>
    </row>
    <row r="764">
      <c r="A764" s="23" t="str">
        <f t="shared" si="10"/>
        <v>SF2002</v>
      </c>
      <c r="B764" s="23" t="str">
        <f>'3.1.raw'!L764</f>
        <v>SF2002</v>
      </c>
      <c r="C764" s="24">
        <f>datevalue(left('3.1.raw'!O764,10))</f>
        <v>43872</v>
      </c>
      <c r="D764" s="23">
        <f>'3.1.raw'!I764</f>
        <v>10</v>
      </c>
      <c r="E764" s="1">
        <v>3.09999999999999</v>
      </c>
      <c r="F764" s="23" t="b">
        <f>if(countif(Status!C:C,A764)=1,TRUE, FALSE)</f>
        <v>1</v>
      </c>
      <c r="G764" s="1">
        <f t="shared" si="2"/>
        <v>0</v>
      </c>
      <c r="H764" s="1">
        <f>'3.1.raw'!Z764</f>
        <v>0</v>
      </c>
      <c r="J764" s="1" t="str">
        <f>'3.1.raw'!AK764</f>
        <v>Red colony count: 1:10^1 - 0; 1:10^2 - 0; 1:10^3 - 0, Each sample vol tested 1ml</v>
      </c>
    </row>
    <row r="765">
      <c r="A765" s="23" t="str">
        <f t="shared" si="10"/>
        <v>FB1330</v>
      </c>
      <c r="B765" s="23" t="str">
        <f>'3.1.raw'!L765</f>
        <v>FB1330</v>
      </c>
      <c r="C765" s="24">
        <f>datevalue(left('3.1.raw'!O765,10))</f>
        <v>43872</v>
      </c>
      <c r="D765" s="23">
        <f>'3.1.raw'!I765</f>
        <v>99</v>
      </c>
      <c r="E765" s="1">
        <v>3.09999999999999</v>
      </c>
      <c r="F765" s="23" t="b">
        <f>if(countif(Status!C:C,A765)=1,TRUE, FALSE)</f>
        <v>1</v>
      </c>
      <c r="G765" s="1">
        <f t="shared" si="2"/>
        <v>0</v>
      </c>
      <c r="H765" s="1">
        <f>'3.1.raw'!Z765</f>
        <v>0</v>
      </c>
      <c r="J765" s="1" t="str">
        <f>'3.1.raw'!AK765</f>
        <v>Sample with SF2002, Red Colony Count: Undiluted volume tested 100 ml - 00</v>
      </c>
    </row>
    <row r="766">
      <c r="A766" s="23" t="str">
        <f t="shared" si="10"/>
        <v>NCEC94</v>
      </c>
      <c r="B766" s="23" t="str">
        <f>'3.1.raw'!L766</f>
        <v>NCEC94</v>
      </c>
      <c r="C766" s="24">
        <f>datevalue(left('3.1.raw'!O766,10))</f>
        <v>43872</v>
      </c>
      <c r="D766" s="23">
        <f>'3.1.raw'!I766</f>
        <v>98</v>
      </c>
      <c r="E766" s="1">
        <v>3.09999999999999</v>
      </c>
      <c r="F766" s="23" t="b">
        <f>if(countif(Status!C:C,A766)=1,TRUE, FALSE)</f>
        <v>1</v>
      </c>
      <c r="G766" s="1">
        <f t="shared" si="2"/>
        <v>0</v>
      </c>
      <c r="H766" s="1">
        <f>'3.1.raw'!Z766</f>
        <v>0</v>
      </c>
      <c r="J766" s="1" t="str">
        <f>'3.1.raw'!AK766</f>
        <v>Red Colony Count: Undiluted volume tested 100 ml - 00</v>
      </c>
    </row>
    <row r="767">
      <c r="A767" s="23" t="str">
        <f t="shared" si="10"/>
        <v>FB1331</v>
      </c>
      <c r="B767" s="23" t="str">
        <f>'3.1.raw'!L767</f>
        <v>FB1331</v>
      </c>
      <c r="C767" s="24">
        <f>datevalue(left('3.1.raw'!O767,10))</f>
        <v>43873</v>
      </c>
      <c r="D767" s="23">
        <f>'3.1.raw'!I767</f>
        <v>99</v>
      </c>
      <c r="E767" s="1">
        <v>3.09999999999999</v>
      </c>
      <c r="F767" s="23" t="b">
        <f>if(countif(Status!C:C,A767)=1,TRUE, FALSE)</f>
        <v>1</v>
      </c>
      <c r="G767" s="1">
        <f t="shared" si="2"/>
        <v>0</v>
      </c>
      <c r="H767" s="1">
        <f>'3.1.raw'!Z767</f>
        <v>0</v>
      </c>
      <c r="J767" s="1" t="str">
        <f>'3.1.raw'!AK767</f>
        <v>Sample with MO1176, Red Colony Count: Undiluted volume tested 100 ml - 00</v>
      </c>
    </row>
    <row r="768">
      <c r="A768" s="23" t="str">
        <f t="shared" si="10"/>
        <v>FB1332</v>
      </c>
      <c r="B768" s="23" t="str">
        <f>'3.1.raw'!L768</f>
        <v>FB1332</v>
      </c>
      <c r="C768" s="24">
        <f>datevalue(left('3.1.raw'!O768,10))</f>
        <v>43873</v>
      </c>
      <c r="D768" s="23">
        <f>'3.1.raw'!I768</f>
        <v>99</v>
      </c>
      <c r="E768" s="1">
        <v>3.09999999999999</v>
      </c>
      <c r="F768" s="23" t="b">
        <f>if(countif(Status!C:C,A768)=1,TRUE, FALSE)</f>
        <v>1</v>
      </c>
      <c r="G768" s="1">
        <f t="shared" si="2"/>
        <v>0</v>
      </c>
      <c r="H768" s="1">
        <f>'3.1.raw'!Z768</f>
        <v>0</v>
      </c>
      <c r="J768" s="1" t="str">
        <f>'3.1.raw'!AK768</f>
        <v>Sample with MO1177, Red Colony Count: Undiluted volume tested 100 ml - 00</v>
      </c>
    </row>
    <row r="769">
      <c r="A769" s="23" t="str">
        <f t="shared" si="10"/>
        <v>UF1022</v>
      </c>
      <c r="B769" s="23" t="str">
        <f>'3.1.raw'!L769</f>
        <v>UF1022</v>
      </c>
      <c r="C769" s="24">
        <f>datevalue(left('3.1.raw'!O769,10))</f>
        <v>43873</v>
      </c>
      <c r="D769" s="23">
        <f>'3.1.raw'!I769</f>
        <v>16</v>
      </c>
      <c r="E769" s="1">
        <v>3.09999999999999</v>
      </c>
      <c r="F769" s="23" t="b">
        <f>if(countif(Status!C:C,A769)=1,TRUE, FALSE)</f>
        <v>1</v>
      </c>
      <c r="G769" s="1">
        <f t="shared" si="2"/>
        <v>1</v>
      </c>
      <c r="H769" s="1">
        <f>'3.1.raw'!Z769</f>
        <v>4</v>
      </c>
      <c r="J769" s="1" t="str">
        <f>'3.1.raw'!AK769</f>
        <v>Red colony count: 1:10^4 -82; 1:10^5 - 11; Each sample vol tested 1ml</v>
      </c>
    </row>
    <row r="770">
      <c r="A770" s="23" t="str">
        <f t="shared" si="10"/>
        <v>PL1024</v>
      </c>
      <c r="B770" s="23" t="str">
        <f>'3.1.raw'!L770</f>
        <v>PL1024</v>
      </c>
      <c r="C770" s="24">
        <f>datevalue(left('3.1.raw'!O770,10))</f>
        <v>43873</v>
      </c>
      <c r="D770" s="23">
        <f>'3.1.raw'!I770</f>
        <v>7</v>
      </c>
      <c r="E770" s="1">
        <v>3.09999999999999</v>
      </c>
      <c r="F770" s="23" t="b">
        <f>if(countif(Status!C:C,A770)=1,TRUE, FALSE)</f>
        <v>1</v>
      </c>
      <c r="G770" s="1">
        <f t="shared" si="2"/>
        <v>1</v>
      </c>
      <c r="H770" s="1">
        <f>'3.1.raw'!Z770</f>
        <v>1</v>
      </c>
      <c r="J770" s="1" t="str">
        <f>'3.1.raw'!AK770</f>
        <v>Red colony count: 1:10^4 -1; 1:10^5 - 0; Each sample vol tested 1ml</v>
      </c>
    </row>
    <row r="771">
      <c r="A771" s="23" t="str">
        <f t="shared" si="10"/>
        <v>FB1333</v>
      </c>
      <c r="B771" s="23" t="str">
        <f>'3.1.raw'!L771</f>
        <v>FB1333</v>
      </c>
      <c r="C771" s="24">
        <f>datevalue(left('3.1.raw'!O771,10))</f>
        <v>43873</v>
      </c>
      <c r="D771" s="23">
        <f>'3.1.raw'!I771</f>
        <v>99</v>
      </c>
      <c r="E771" s="1">
        <v>3.09999999999999</v>
      </c>
      <c r="F771" s="23" t="b">
        <f>if(countif(Status!C:C,A771)=1,TRUE, FALSE)</f>
        <v>1</v>
      </c>
      <c r="G771" s="1">
        <f t="shared" si="2"/>
        <v>0</v>
      </c>
      <c r="H771" s="1">
        <f>'3.1.raw'!Z771</f>
        <v>0</v>
      </c>
      <c r="J771" s="1" t="str">
        <f>'3.1.raw'!AK771</f>
        <v>Sample with PL1024, Red Colony Count: Undiluted volume tested 100 ml - 00</v>
      </c>
    </row>
    <row r="772">
      <c r="A772" s="23" t="str">
        <f t="shared" si="10"/>
        <v>PL1025</v>
      </c>
      <c r="B772" s="23" t="str">
        <f>'3.1.raw'!L772</f>
        <v>PL1025</v>
      </c>
      <c r="C772" s="24">
        <f>datevalue(left('3.1.raw'!O772,10))</f>
        <v>43873</v>
      </c>
      <c r="D772" s="23">
        <f>'3.1.raw'!I772</f>
        <v>7</v>
      </c>
      <c r="E772" s="1">
        <v>3.09999999999999</v>
      </c>
      <c r="F772" s="23" t="b">
        <f>if(countif(Status!C:C,A772)=1,TRUE, FALSE)</f>
        <v>1</v>
      </c>
      <c r="G772" s="1">
        <f t="shared" si="2"/>
        <v>0</v>
      </c>
      <c r="H772" s="1">
        <f>'3.1.raw'!Z772</f>
        <v>0</v>
      </c>
      <c r="J772" s="1" t="str">
        <f>'3.1.raw'!AK772</f>
        <v>Red colony count: 1:10^4 -0; 1:10^5 - 0; Each sample vol tested 1ml</v>
      </c>
    </row>
    <row r="773">
      <c r="A773" s="23" t="str">
        <f t="shared" si="10"/>
        <v>FB1334</v>
      </c>
      <c r="B773" s="23" t="str">
        <f>'3.1.raw'!L773</f>
        <v>FB1334</v>
      </c>
      <c r="C773" s="24">
        <f>datevalue(left('3.1.raw'!O773,10))</f>
        <v>43873</v>
      </c>
      <c r="D773" s="23">
        <f>'3.1.raw'!I773</f>
        <v>99</v>
      </c>
      <c r="E773" s="1">
        <v>3.09999999999999</v>
      </c>
      <c r="F773" s="23" t="b">
        <f>if(countif(Status!C:C,A773)=1,TRUE, FALSE)</f>
        <v>1</v>
      </c>
      <c r="G773" s="1">
        <f t="shared" si="2"/>
        <v>0</v>
      </c>
      <c r="H773" s="1">
        <f>'3.1.raw'!Z773</f>
        <v>0</v>
      </c>
      <c r="J773" s="1" t="str">
        <f>'3.1.raw'!AK773</f>
        <v>Sample with PL1025, Red Colony Count: Undiluted volume tested 100 ml - 00</v>
      </c>
    </row>
    <row r="774">
      <c r="A774" s="23" t="str">
        <f t="shared" si="10"/>
        <v>NCEC95</v>
      </c>
      <c r="B774" s="23" t="str">
        <f>'3.1.raw'!L774</f>
        <v>NCEC95</v>
      </c>
      <c r="C774" s="24">
        <f>datevalue(left('3.1.raw'!O774,10))</f>
        <v>43873</v>
      </c>
      <c r="D774" s="23">
        <f>'3.1.raw'!I774</f>
        <v>98</v>
      </c>
      <c r="E774" s="1">
        <v>3.09999999999999</v>
      </c>
      <c r="F774" s="23" t="b">
        <f>if(countif(Status!C:C,A774)=1,TRUE, FALSE)</f>
        <v>1</v>
      </c>
      <c r="G774" s="1">
        <f t="shared" si="2"/>
        <v>0</v>
      </c>
      <c r="H774" s="1">
        <f>'3.1.raw'!Z774</f>
        <v>0</v>
      </c>
      <c r="J774" s="1" t="str">
        <f>'3.1.raw'!AK774</f>
        <v>Red Colony Count: Undiluted volume tested 100 ml - 00</v>
      </c>
    </row>
    <row r="775">
      <c r="A775" s="23" t="str">
        <f t="shared" si="10"/>
        <v>PLc1196</v>
      </c>
      <c r="B775" s="23" t="str">
        <f>'3.1.raw'!L775</f>
        <v>PLc1196</v>
      </c>
      <c r="C775" s="24">
        <f>datevalue(left('3.1.raw'!O775,10))</f>
        <v>43874</v>
      </c>
      <c r="D775" s="23">
        <f>'3.1.raw'!I775</f>
        <v>11</v>
      </c>
      <c r="E775" s="1">
        <v>3.09999999999999</v>
      </c>
      <c r="F775" s="23" t="b">
        <f>if(countif(Status!C:C,A775)=1,TRUE, FALSE)</f>
        <v>1</v>
      </c>
      <c r="G775" s="1">
        <f t="shared" si="2"/>
        <v>1</v>
      </c>
      <c r="H775" s="1">
        <f>'3.1.raw'!Z775</f>
        <v>2</v>
      </c>
      <c r="J775" s="1" t="str">
        <f>'3.1.raw'!AK775</f>
        <v>Red colony count: 1:10^4 -7; 1:10^5 - 0; Each sample vol tested 1ml</v>
      </c>
    </row>
    <row r="776">
      <c r="A776" s="23" t="str">
        <f t="shared" si="10"/>
        <v>FB1341</v>
      </c>
      <c r="B776" s="23" t="str">
        <f>'3.1.raw'!L776</f>
        <v>FB1341</v>
      </c>
      <c r="C776" s="24">
        <f>datevalue(left('3.1.raw'!O776,10))</f>
        <v>43874</v>
      </c>
      <c r="D776" s="23">
        <f>'3.1.raw'!I776</f>
        <v>99</v>
      </c>
      <c r="E776" s="1">
        <v>3.09999999999999</v>
      </c>
      <c r="F776" s="23" t="b">
        <f>if(countif(Status!C:C,A776)=1,TRUE, FALSE)</f>
        <v>1</v>
      </c>
      <c r="G776" s="1">
        <f t="shared" si="2"/>
        <v>0</v>
      </c>
      <c r="H776" s="1">
        <f>'3.1.raw'!Z776</f>
        <v>0</v>
      </c>
      <c r="J776" s="1" t="str">
        <f>'3.1.raw'!AK776</f>
        <v>Sample with PLc1196, Red Colony Count: Undiluted volume tested 100 ml - 00</v>
      </c>
    </row>
    <row r="777">
      <c r="A777" s="23" t="str">
        <f t="shared" si="10"/>
        <v>PLc1197</v>
      </c>
      <c r="B777" s="23" t="str">
        <f>'3.1.raw'!L777</f>
        <v>PLc1197</v>
      </c>
      <c r="C777" s="24">
        <f>datevalue(left('3.1.raw'!O777,10))</f>
        <v>43874</v>
      </c>
      <c r="D777" s="23">
        <f>'3.1.raw'!I777</f>
        <v>11</v>
      </c>
      <c r="E777" s="1">
        <v>3.09999999999999</v>
      </c>
      <c r="F777" s="23" t="b">
        <f>if(countif(Status!C:C,A777)=1,TRUE, FALSE)</f>
        <v>1</v>
      </c>
      <c r="G777" s="1">
        <f t="shared" si="2"/>
        <v>0</v>
      </c>
      <c r="H777" s="1">
        <f>'3.1.raw'!Z777</f>
        <v>0</v>
      </c>
      <c r="J777" s="1" t="str">
        <f>'3.1.raw'!AK777</f>
        <v>Red colony count: 1:10^4 -1; 1:10^5 - 0; Each sample vol tested 1ml</v>
      </c>
    </row>
    <row r="778">
      <c r="A778" s="23" t="str">
        <f t="shared" si="10"/>
        <v>FB1342</v>
      </c>
      <c r="B778" s="23" t="str">
        <f>'3.1.raw'!L778</f>
        <v>FB1342</v>
      </c>
      <c r="C778" s="24">
        <f>datevalue(left('3.1.raw'!O778,10))</f>
        <v>43874</v>
      </c>
      <c r="D778" s="23">
        <f>'3.1.raw'!I778</f>
        <v>99</v>
      </c>
      <c r="E778" s="1">
        <v>3.09999999999999</v>
      </c>
      <c r="F778" s="23" t="b">
        <f>if(countif(Status!C:C,A778)=1,TRUE, FALSE)</f>
        <v>1</v>
      </c>
      <c r="G778" s="1">
        <f t="shared" si="2"/>
        <v>0</v>
      </c>
      <c r="H778" s="1">
        <f>'3.1.raw'!Z778</f>
        <v>0</v>
      </c>
      <c r="J778" s="1" t="str">
        <f>'3.1.raw'!AK778</f>
        <v>Sample with PLc1197, Red Colony Count: Undiluted volume tested 100 ml - 00</v>
      </c>
    </row>
    <row r="779">
      <c r="A779" s="23" t="str">
        <f t="shared" si="10"/>
        <v>PLc1198</v>
      </c>
      <c r="B779" s="23" t="str">
        <f>'3.1.raw'!L779</f>
        <v>PLc1198</v>
      </c>
      <c r="C779" s="24">
        <f>datevalue(left('3.1.raw'!O779,10))</f>
        <v>43874</v>
      </c>
      <c r="D779" s="23">
        <f>'3.1.raw'!I779</f>
        <v>11</v>
      </c>
      <c r="E779" s="1">
        <v>3.09999999999999</v>
      </c>
      <c r="F779" s="23" t="b">
        <f>if(countif(Status!C:C,A779)=1,TRUE, FALSE)</f>
        <v>1</v>
      </c>
      <c r="G779" s="1">
        <f t="shared" si="2"/>
        <v>1</v>
      </c>
      <c r="H779" s="1">
        <f>'3.1.raw'!Z779</f>
        <v>2</v>
      </c>
      <c r="J779" s="1" t="str">
        <f>'3.1.raw'!AK779</f>
        <v>Red colony count: 1:10^4 -8; 1:10^5 - 2; Each sample vol tested 1ml</v>
      </c>
    </row>
    <row r="780">
      <c r="A780" s="23" t="str">
        <f t="shared" si="10"/>
        <v>FB1343</v>
      </c>
      <c r="B780" s="23" t="str">
        <f>'3.1.raw'!L780</f>
        <v>FB1343</v>
      </c>
      <c r="C780" s="24">
        <f>datevalue(left('3.1.raw'!O780,10))</f>
        <v>43874</v>
      </c>
      <c r="D780" s="23">
        <f>'3.1.raw'!I780</f>
        <v>99</v>
      </c>
      <c r="E780" s="1">
        <v>3.09999999999999</v>
      </c>
      <c r="F780" s="23" t="b">
        <f>if(countif(Status!C:C,A780)=1,TRUE, FALSE)</f>
        <v>1</v>
      </c>
      <c r="G780" s="1">
        <f t="shared" si="2"/>
        <v>0</v>
      </c>
      <c r="H780" s="1">
        <f>'3.1.raw'!Z780</f>
        <v>0</v>
      </c>
      <c r="J780" s="1" t="str">
        <f>'3.1.raw'!AK780</f>
        <v>Sample with PLc1198, Red Colony Count: Undiluted volume tested 100 ml - 00</v>
      </c>
    </row>
    <row r="781">
      <c r="A781" s="23" t="str">
        <f t="shared" si="10"/>
        <v>FB1338</v>
      </c>
      <c r="B781" s="23" t="str">
        <f>'3.1.raw'!L781</f>
        <v>FB1338</v>
      </c>
      <c r="C781" s="24">
        <f>datevalue(left('3.1.raw'!O781,10))</f>
        <v>43874</v>
      </c>
      <c r="D781" s="23">
        <f>'3.1.raw'!I781</f>
        <v>99</v>
      </c>
      <c r="E781" s="1">
        <v>3.09999999999999</v>
      </c>
      <c r="F781" s="23" t="b">
        <f>if(countif(Status!C:C,A781)=1,TRUE, FALSE)</f>
        <v>1</v>
      </c>
      <c r="G781" s="1">
        <f t="shared" si="2"/>
        <v>0</v>
      </c>
      <c r="H781" s="1">
        <f>'3.1.raw'!Z781</f>
        <v>0</v>
      </c>
      <c r="J781" s="1" t="str">
        <f>'3.1.raw'!AK781</f>
        <v>Sample with MO1178, Red Colony Count: Undiluted volume tested 100 ml - 00</v>
      </c>
    </row>
    <row r="782">
      <c r="A782" s="23" t="str">
        <f t="shared" si="10"/>
        <v>FB1339</v>
      </c>
      <c r="B782" s="23" t="str">
        <f>'3.1.raw'!L782</f>
        <v>FB1339</v>
      </c>
      <c r="C782" s="24">
        <f>datevalue(left('3.1.raw'!O782,10))</f>
        <v>43874</v>
      </c>
      <c r="D782" s="23">
        <f>'3.1.raw'!I782</f>
        <v>99</v>
      </c>
      <c r="E782" s="1">
        <v>3.09999999999999</v>
      </c>
      <c r="F782" s="23" t="b">
        <f>if(countif(Status!C:C,A782)=1,TRUE, FALSE)</f>
        <v>1</v>
      </c>
      <c r="G782" s="1">
        <f t="shared" si="2"/>
        <v>0</v>
      </c>
      <c r="H782" s="1">
        <f>'3.1.raw'!Z782</f>
        <v>0</v>
      </c>
      <c r="J782" s="1" t="str">
        <f>'3.1.raw'!AK782</f>
        <v>Sample with MO1179, Red Colony Count: Undiluted volume tested 100 ml - 00</v>
      </c>
    </row>
    <row r="783">
      <c r="A783" s="23" t="str">
        <f t="shared" si="10"/>
        <v>FB1340</v>
      </c>
      <c r="B783" s="23" t="str">
        <f>'3.1.raw'!L783</f>
        <v>FB1340</v>
      </c>
      <c r="C783" s="24">
        <f>datevalue(left('3.1.raw'!O783,10))</f>
        <v>43874</v>
      </c>
      <c r="D783" s="23">
        <f>'3.1.raw'!I783</f>
        <v>99</v>
      </c>
      <c r="E783" s="1">
        <v>3.09999999999999</v>
      </c>
      <c r="F783" s="23" t="b">
        <f>if(countif(Status!C:C,A783)=1,TRUE, FALSE)</f>
        <v>1</v>
      </c>
      <c r="G783" s="1">
        <f t="shared" si="2"/>
        <v>0</v>
      </c>
      <c r="H783" s="1">
        <f>'3.1.raw'!Z783</f>
        <v>0</v>
      </c>
      <c r="J783" s="1" t="str">
        <f>'3.1.raw'!AK783</f>
        <v>Sample with MO1180, Red Colony Count: Undiluted volume tested 100 ml - 00</v>
      </c>
    </row>
    <row r="784">
      <c r="A784" s="23" t="str">
        <f t="shared" si="10"/>
        <v>FPd2002</v>
      </c>
      <c r="B784" s="23" t="str">
        <f>'3.1.raw'!L784</f>
        <v>FPd2002</v>
      </c>
      <c r="C784" s="24">
        <f>datevalue(left('3.1.raw'!O784,10))</f>
        <v>43874</v>
      </c>
      <c r="D784" s="23">
        <f>'3.1.raw'!I784</f>
        <v>14</v>
      </c>
      <c r="E784" s="1">
        <v>3.09999999999999</v>
      </c>
      <c r="F784" s="23" t="b">
        <f>if(countif(Status!C:C,A784)=1,TRUE, FALSE)</f>
        <v>1</v>
      </c>
      <c r="G784" s="1">
        <f t="shared" si="2"/>
        <v>0</v>
      </c>
      <c r="H784" s="1">
        <f>'3.1.raw'!Z784</f>
        <v>0</v>
      </c>
      <c r="J784" s="1" t="str">
        <f>'3.1.raw'!AK784</f>
        <v>Red colony count: Undiluted 100ml - TNTC, Undiluted 10ml - 128, 1:10^1 - 5 sample vol tested 1ml</v>
      </c>
    </row>
    <row r="785">
      <c r="A785" s="23" t="str">
        <f t="shared" si="10"/>
        <v>FPb2002</v>
      </c>
      <c r="B785" s="23" t="str">
        <f>'3.1.raw'!L785</f>
        <v>FPb2002</v>
      </c>
      <c r="C785" s="24">
        <f>datevalue(left('3.1.raw'!O785,10))</f>
        <v>43874</v>
      </c>
      <c r="D785" s="23">
        <f>'3.1.raw'!I785</f>
        <v>14</v>
      </c>
      <c r="E785" s="1">
        <v>3.09999999999999</v>
      </c>
      <c r="F785" s="23" t="b">
        <f>if(countif(Status!C:C,A785)=1,TRUE, FALSE)</f>
        <v>1</v>
      </c>
      <c r="G785" s="1">
        <f t="shared" si="2"/>
        <v>1</v>
      </c>
      <c r="H785" s="1">
        <f>'3.1.raw'!Z785</f>
        <v>2</v>
      </c>
      <c r="J785" s="1" t="str">
        <f>'3.1.raw'!AK785</f>
        <v>Red colony count: Undiluted 100ml - 44, Undiluted 10ml - 22, 1:10^1 - 02 sample vol tested 1ml,</v>
      </c>
    </row>
    <row r="786">
      <c r="A786" s="23" t="str">
        <f t="shared" si="10"/>
        <v>FPe2002</v>
      </c>
      <c r="B786" s="23" t="str">
        <f>'3.1.raw'!L786</f>
        <v>FPe2002</v>
      </c>
      <c r="C786" s="24">
        <f>datevalue(left('3.1.raw'!O786,10))</f>
        <v>43874</v>
      </c>
      <c r="D786" s="23">
        <f>'3.1.raw'!I786</f>
        <v>14</v>
      </c>
      <c r="E786" s="1">
        <v>3.09999999999999</v>
      </c>
      <c r="F786" s="23" t="b">
        <f>if(countif(Status!C:C,A786)=1,TRUE, FALSE)</f>
        <v>1</v>
      </c>
      <c r="G786" s="1">
        <f t="shared" si="2"/>
        <v>1</v>
      </c>
      <c r="H786" s="1">
        <f>'3.1.raw'!Z786</f>
        <v>17</v>
      </c>
      <c r="J786" s="1" t="str">
        <f>'3.1.raw'!AK786</f>
        <v>Red colony count: Undiluted 100ml - TNTC, Undiluted 10ml - 22, 1:10^1 - 01 sample vol tested 1ml,</v>
      </c>
    </row>
    <row r="787">
      <c r="A787" s="23" t="str">
        <f t="shared" si="10"/>
        <v>FPa2002</v>
      </c>
      <c r="B787" s="23" t="str">
        <f>'3.1.raw'!L787</f>
        <v>FPa2002</v>
      </c>
      <c r="C787" s="24">
        <f>datevalue(left('3.1.raw'!O787,10))</f>
        <v>43874</v>
      </c>
      <c r="D787" s="23">
        <f>'3.1.raw'!I787</f>
        <v>14</v>
      </c>
      <c r="E787" s="1">
        <v>3.09999999999999</v>
      </c>
      <c r="F787" s="23" t="b">
        <f>if(countif(Status!C:C,A787)=1,TRUE, FALSE)</f>
        <v>1</v>
      </c>
      <c r="G787" s="1">
        <f t="shared" si="2"/>
        <v>1</v>
      </c>
      <c r="H787" s="1">
        <f>'3.1.raw'!Z787</f>
        <v>10</v>
      </c>
      <c r="J787" s="1" t="str">
        <f>'3.1.raw'!AK787</f>
        <v>Red colony count: 1:10^1 - 11; 1:10^2 - 05; Each sample vol tested 1ml</v>
      </c>
    </row>
    <row r="788">
      <c r="A788" s="23" t="str">
        <f t="shared" si="10"/>
        <v>FPc2002</v>
      </c>
      <c r="B788" s="23" t="str">
        <f>'3.1.raw'!L788</f>
        <v>FPc2002</v>
      </c>
      <c r="C788" s="24">
        <f>datevalue(left('3.1.raw'!O788,10))</f>
        <v>43874</v>
      </c>
      <c r="D788" s="23">
        <f>'3.1.raw'!I788</f>
        <v>14</v>
      </c>
      <c r="E788" s="1">
        <v>3.09999999999999</v>
      </c>
      <c r="F788" s="23" t="b">
        <f>if(countif(Status!C:C,A788)=1,TRUE, FALSE)</f>
        <v>1</v>
      </c>
      <c r="G788" s="1">
        <f t="shared" si="2"/>
        <v>1</v>
      </c>
      <c r="H788" s="1">
        <f>'3.1.raw'!Z788</f>
        <v>5</v>
      </c>
      <c r="J788" s="1" t="str">
        <f>'3.1.raw'!AK788</f>
        <v>Red colony count: 1:10^1 - 58; 1:10^2 - 5; Each sample vol tested 1ml</v>
      </c>
    </row>
    <row r="789">
      <c r="A789" s="23" t="str">
        <f t="shared" si="10"/>
        <v>FB1336</v>
      </c>
      <c r="B789" s="23" t="str">
        <f>'3.1.raw'!L789</f>
        <v>FB1336</v>
      </c>
      <c r="C789" s="24">
        <f>datevalue(left('3.1.raw'!O789,10))</f>
        <v>43874</v>
      </c>
      <c r="D789" s="23">
        <f>'3.1.raw'!I789</f>
        <v>99</v>
      </c>
      <c r="E789" s="1">
        <v>3.09999999999999</v>
      </c>
      <c r="F789" s="23" t="b">
        <f>if(countif(Status!C:C,A789)=1,TRUE, FALSE)</f>
        <v>1</v>
      </c>
      <c r="G789" s="1">
        <f t="shared" si="2"/>
        <v>0</v>
      </c>
      <c r="H789" s="1">
        <f>'3.1.raw'!Z789</f>
        <v>0</v>
      </c>
      <c r="J789" s="1" t="str">
        <f>'3.1.raw'!AK789</f>
        <v>Sample with FPa2002, FPb2002, FPc2002, FPd2002, FPe2002, Red Colony Count: Undiluted volume tested 100 ml - 00</v>
      </c>
    </row>
    <row r="790">
      <c r="A790" s="23" t="str">
        <f t="shared" si="10"/>
        <v>FPd2003</v>
      </c>
      <c r="B790" s="23" t="str">
        <f>'3.1.raw'!L790</f>
        <v>FPd2003</v>
      </c>
      <c r="C790" s="24">
        <f>datevalue(left('3.1.raw'!O790,10))</f>
        <v>43874</v>
      </c>
      <c r="D790" s="23">
        <f>'3.1.raw'!I790</f>
        <v>14</v>
      </c>
      <c r="E790" s="1">
        <v>3.09999999999999</v>
      </c>
      <c r="F790" s="23" t="b">
        <f>if(countif(Status!C:C,A790)=1,TRUE, FALSE)</f>
        <v>1</v>
      </c>
      <c r="G790" s="1">
        <f t="shared" si="2"/>
        <v>1</v>
      </c>
      <c r="H790" s="1">
        <f>'3.1.raw'!Z790</f>
        <v>1</v>
      </c>
      <c r="J790" s="1" t="str">
        <f>'3.1.raw'!AK790</f>
        <v>Red colony count: Undiluted 100ml - 32, Undiluted 10ml - 4, 1:10^1 - 0 sample vol tested 1ml,</v>
      </c>
    </row>
    <row r="791">
      <c r="A791" s="23" t="str">
        <f t="shared" si="10"/>
        <v>FPb2003</v>
      </c>
      <c r="B791" s="23" t="str">
        <f>'3.1.raw'!L791</f>
        <v>FPb2003</v>
      </c>
      <c r="C791" s="24">
        <f>datevalue(left('3.1.raw'!O791,10))</f>
        <v>43874</v>
      </c>
      <c r="D791" s="23">
        <f>'3.1.raw'!I791</f>
        <v>14</v>
      </c>
      <c r="E791" s="1">
        <v>3.09999999999999</v>
      </c>
      <c r="F791" s="23" t="b">
        <f>if(countif(Status!C:C,A791)=1,TRUE, FALSE)</f>
        <v>1</v>
      </c>
      <c r="G791" s="1">
        <f t="shared" si="2"/>
        <v>0</v>
      </c>
      <c r="H791" s="1">
        <f>'3.1.raw'!Z791</f>
        <v>0</v>
      </c>
      <c r="J791" s="1" t="str">
        <f>'3.1.raw'!AK791</f>
        <v>Red colony count: Undiluted 100ml - 152, Undiluted 10ml - 22, 1:10^1 - 07 sample vol tested 1ml</v>
      </c>
    </row>
    <row r="792">
      <c r="A792" s="23" t="str">
        <f t="shared" si="10"/>
        <v>FPe2003</v>
      </c>
      <c r="B792" s="23" t="str">
        <f>'3.1.raw'!L792</f>
        <v>FPe2003</v>
      </c>
      <c r="C792" s="24">
        <f>datevalue(left('3.1.raw'!O792,10))</f>
        <v>43874</v>
      </c>
      <c r="D792" s="23">
        <f>'3.1.raw'!I792</f>
        <v>14</v>
      </c>
      <c r="E792" s="1">
        <v>3.09999999999999</v>
      </c>
      <c r="F792" s="23" t="b">
        <f>if(countif(Status!C:C,A792)=1,TRUE, FALSE)</f>
        <v>1</v>
      </c>
      <c r="G792" s="1">
        <f t="shared" si="2"/>
        <v>1</v>
      </c>
      <c r="H792" s="1">
        <f>'3.1.raw'!Z792</f>
        <v>1</v>
      </c>
      <c r="J792" s="1" t="str">
        <f>'3.1.raw'!AK792</f>
        <v>Red colony count: Undiluted 100ml - 138, Undiluted 10ml - 11, 1:10^1 - 5 sample vol tested 1ml,</v>
      </c>
    </row>
    <row r="793">
      <c r="A793" s="23" t="str">
        <f t="shared" si="10"/>
        <v>FPa2003</v>
      </c>
      <c r="B793" s="23" t="str">
        <f>'3.1.raw'!L793</f>
        <v>FPa2003</v>
      </c>
      <c r="C793" s="24">
        <f>datevalue(left('3.1.raw'!O793,10))</f>
        <v>43874</v>
      </c>
      <c r="D793" s="23">
        <f>'3.1.raw'!I793</f>
        <v>14</v>
      </c>
      <c r="E793" s="1">
        <v>3.09999999999999</v>
      </c>
      <c r="F793" s="23" t="b">
        <f>if(countif(Status!C:C,A793)=1,TRUE, FALSE)</f>
        <v>1</v>
      </c>
      <c r="G793" s="1">
        <f t="shared" si="2"/>
        <v>1</v>
      </c>
      <c r="H793" s="1">
        <f>'3.1.raw'!Z793</f>
        <v>1</v>
      </c>
      <c r="J793" s="1" t="str">
        <f>'3.1.raw'!AK793</f>
        <v>Red colony count: 1:10^1 - 4; 1:10^2 - 0; Each sample vol tested 1ml</v>
      </c>
    </row>
    <row r="794">
      <c r="A794" s="23" t="str">
        <f t="shared" si="10"/>
        <v>FPc2003</v>
      </c>
      <c r="B794" s="23" t="str">
        <f>'3.1.raw'!L794</f>
        <v>FPc2003</v>
      </c>
      <c r="C794" s="24">
        <f>datevalue(left('3.1.raw'!O794,10))</f>
        <v>43874</v>
      </c>
      <c r="D794" s="23">
        <f>'3.1.raw'!I794</f>
        <v>14</v>
      </c>
      <c r="E794" s="1">
        <v>3.09999999999999</v>
      </c>
      <c r="F794" s="23" t="b">
        <f>if(countif(Status!C:C,A794)=1,TRUE, FALSE)</f>
        <v>1</v>
      </c>
      <c r="G794" s="1">
        <f t="shared" si="2"/>
        <v>1</v>
      </c>
      <c r="H794" s="1">
        <f>'3.1.raw'!Z794</f>
        <v>5</v>
      </c>
      <c r="J794" s="1" t="str">
        <f>'3.1.raw'!AK794</f>
        <v>Red colony count: 1:10^1 - 101; 1:10^2 - 13; Each sample vol tested 1ml</v>
      </c>
    </row>
    <row r="795">
      <c r="A795" s="23" t="str">
        <f t="shared" si="10"/>
        <v>FB1337</v>
      </c>
      <c r="B795" s="23" t="str">
        <f>'3.1.raw'!L795</f>
        <v>FB1337</v>
      </c>
      <c r="C795" s="24">
        <f>datevalue(left('3.1.raw'!O795,10))</f>
        <v>43874</v>
      </c>
      <c r="D795" s="23">
        <f>'3.1.raw'!I795</f>
        <v>99</v>
      </c>
      <c r="E795" s="1">
        <v>3.09999999999999</v>
      </c>
      <c r="F795" s="23" t="b">
        <f>if(countif(Status!C:C,A795)=1,TRUE, FALSE)</f>
        <v>1</v>
      </c>
      <c r="G795" s="1">
        <f t="shared" si="2"/>
        <v>0</v>
      </c>
      <c r="H795" s="1">
        <f>'3.1.raw'!Z795</f>
        <v>0</v>
      </c>
      <c r="J795" s="1" t="str">
        <f>'3.1.raw'!AK795</f>
        <v>Sample with FPa2003, FPb2003, FPc2003, FPd2003, FPe2003, Red Colony Count: Undiluted volume tested 100 ml - 00</v>
      </c>
    </row>
    <row r="796">
      <c r="A796" s="23" t="str">
        <f t="shared" si="10"/>
        <v>COa2007</v>
      </c>
      <c r="B796" s="23" t="str">
        <f>'3.1.raw'!L796</f>
        <v>COa2007</v>
      </c>
      <c r="C796" s="24">
        <f>datevalue(left('3.1.raw'!O796,10))</f>
        <v>43874</v>
      </c>
      <c r="D796" s="23">
        <f>'3.1.raw'!I796</f>
        <v>15</v>
      </c>
      <c r="E796" s="1">
        <v>3.09999999999999</v>
      </c>
      <c r="F796" s="23" t="b">
        <f>if(countif(Status!C:C,A796)=1,TRUE, FALSE)</f>
        <v>1</v>
      </c>
      <c r="G796" s="1">
        <f t="shared" si="2"/>
        <v>1</v>
      </c>
      <c r="H796" s="1">
        <f>'3.1.raw'!Z796</f>
        <v>32</v>
      </c>
      <c r="J796" s="1" t="str">
        <f>'3.1.raw'!AK796</f>
        <v>Red colony count: 1:10^1 - TNTC; 1:10^2 - 46; Each sample vol tested 1ml</v>
      </c>
    </row>
    <row r="797">
      <c r="A797" s="23" t="str">
        <f t="shared" si="10"/>
        <v>COb2019</v>
      </c>
      <c r="B797" s="23" t="str">
        <f>'3.1.raw'!L797</f>
        <v>COb2019</v>
      </c>
      <c r="C797" s="24">
        <f>datevalue(left('3.1.raw'!O797,10))</f>
        <v>43874</v>
      </c>
      <c r="D797" s="23">
        <f>'3.1.raw'!I797</f>
        <v>15</v>
      </c>
      <c r="E797" s="1">
        <v>3.09999999999999</v>
      </c>
      <c r="F797" s="23" t="b">
        <f>if(countif(Status!C:C,A797)=1,TRUE, FALSE)</f>
        <v>1</v>
      </c>
      <c r="G797" s="1">
        <f t="shared" si="2"/>
        <v>0</v>
      </c>
      <c r="H797" s="1">
        <f>'3.1.raw'!Z797</f>
        <v>0</v>
      </c>
      <c r="J797" s="1" t="str">
        <f>'3.1.raw'!AK797</f>
        <v>Red colony count: 1:10^1 - 20; 1:10^2 - 2; Each sample vol tested 1ml</v>
      </c>
    </row>
    <row r="798">
      <c r="A798" s="23" t="str">
        <f t="shared" si="10"/>
        <v>FB1335</v>
      </c>
      <c r="B798" s="23" t="str">
        <f>'3.1.raw'!L798</f>
        <v>FB1335</v>
      </c>
      <c r="C798" s="24">
        <f>datevalue(left('3.1.raw'!O798,10))</f>
        <v>43874</v>
      </c>
      <c r="D798" s="23">
        <f>'3.1.raw'!I798</f>
        <v>99</v>
      </c>
      <c r="E798" s="1">
        <v>3.09999999999999</v>
      </c>
      <c r="F798" s="23" t="b">
        <f>if(countif(Status!C:C,A798)=1,TRUE, FALSE)</f>
        <v>1</v>
      </c>
      <c r="G798" s="1">
        <f t="shared" si="2"/>
        <v>0</v>
      </c>
      <c r="H798" s="1">
        <f>'3.1.raw'!Z798</f>
        <v>0</v>
      </c>
      <c r="J798" s="1" t="str">
        <f>'3.1.raw'!AK798</f>
        <v>Sample with COa2007, COb2019, Red Colony Count: Undiluted volume tested 100 ml - 00</v>
      </c>
    </row>
    <row r="799">
      <c r="A799" s="23" t="str">
        <f t="shared" si="10"/>
        <v>NCEC96</v>
      </c>
      <c r="B799" s="23" t="str">
        <f>'3.1.raw'!L799</f>
        <v>NCEC96</v>
      </c>
      <c r="C799" s="24">
        <f>datevalue(left('3.1.raw'!O799,10))</f>
        <v>43874</v>
      </c>
      <c r="D799" s="23">
        <f>'3.1.raw'!I799</f>
        <v>98</v>
      </c>
      <c r="E799" s="1">
        <v>3.09999999999999</v>
      </c>
      <c r="F799" s="23" t="b">
        <f>if(countif(Status!C:C,A799)=1,TRUE, FALSE)</f>
        <v>1</v>
      </c>
      <c r="G799" s="1">
        <f t="shared" si="2"/>
        <v>0</v>
      </c>
      <c r="H799" s="1">
        <f>'3.1.raw'!Z799</f>
        <v>0</v>
      </c>
      <c r="J799" s="1" t="str">
        <f>'3.1.raw'!AK799</f>
        <v>Red Colony Count: Undiluted volume tested 100 ml - 00</v>
      </c>
    </row>
    <row r="800">
      <c r="A800" s="23" t="str">
        <f t="shared" si="10"/>
        <v>PLc1199</v>
      </c>
      <c r="B800" s="23" t="str">
        <f>'3.1.raw'!L800</f>
        <v>PLc1199</v>
      </c>
      <c r="C800" s="24">
        <f>datevalue(left('3.1.raw'!O800,10))</f>
        <v>43878</v>
      </c>
      <c r="D800" s="23">
        <f>'3.1.raw'!I800</f>
        <v>11</v>
      </c>
      <c r="E800" s="1">
        <v>3.09999999999999</v>
      </c>
      <c r="F800" s="23" t="b">
        <f>if(countif(Status!C:C,A800)=1,TRUE, FALSE)</f>
        <v>1</v>
      </c>
      <c r="G800" s="1" t="str">
        <f t="shared" si="2"/>
        <v/>
      </c>
      <c r="H800" s="1" t="str">
        <f>'3.1.raw'!Z800</f>
        <v/>
      </c>
      <c r="J800" s="1" t="str">
        <f>'3.1.raw'!AK800</f>
        <v>Red colony count: 1:10^3 -82; 1:10^4 - 5; 1:10^5 - 1, Each sample vol tested 1ml</v>
      </c>
    </row>
    <row r="801">
      <c r="A801" s="23" t="str">
        <f t="shared" si="10"/>
        <v>FB1344</v>
      </c>
      <c r="B801" s="23" t="str">
        <f>'3.1.raw'!L801</f>
        <v>FB1344</v>
      </c>
      <c r="C801" s="24">
        <f>datevalue(left('3.1.raw'!O801,10))</f>
        <v>43878</v>
      </c>
      <c r="D801" s="23">
        <f>'3.1.raw'!I801</f>
        <v>99</v>
      </c>
      <c r="E801" s="1">
        <v>3.09999999999999</v>
      </c>
      <c r="F801" s="23" t="b">
        <f>if(countif(Status!C:C,A801)=1,TRUE, FALSE)</f>
        <v>1</v>
      </c>
      <c r="G801" s="1">
        <f t="shared" si="2"/>
        <v>0</v>
      </c>
      <c r="H801" s="1">
        <f>'3.1.raw'!Z801</f>
        <v>0</v>
      </c>
      <c r="J801" s="1" t="str">
        <f>'3.1.raw'!AK801</f>
        <v>Sample with PLc1199, Red Colony Count: Undiluted volume tested 100 ml - 00</v>
      </c>
    </row>
    <row r="802">
      <c r="A802" s="23" t="str">
        <f t="shared" si="10"/>
        <v>PLc1200</v>
      </c>
      <c r="B802" s="23" t="str">
        <f>'3.1.raw'!L802</f>
        <v>PLc1200</v>
      </c>
      <c r="C802" s="24">
        <f>datevalue(left('3.1.raw'!O802,10))</f>
        <v>43878</v>
      </c>
      <c r="D802" s="23">
        <f>'3.1.raw'!I802</f>
        <v>11</v>
      </c>
      <c r="E802" s="1">
        <v>3.09999999999999</v>
      </c>
      <c r="F802" s="23" t="b">
        <f>if(countif(Status!C:C,A802)=1,TRUE, FALSE)</f>
        <v>1</v>
      </c>
      <c r="G802" s="1">
        <f t="shared" si="2"/>
        <v>1</v>
      </c>
      <c r="H802" s="1">
        <f>'3.1.raw'!Z802</f>
        <v>45</v>
      </c>
      <c r="J802" s="1" t="str">
        <f>'3.1.raw'!AK802</f>
        <v>Red colony count: 1:10^3 -TNTC; 1:10^4 - TNTC; 1:10^5 - 150, Each sample vol tested 1ml</v>
      </c>
    </row>
    <row r="803">
      <c r="A803" s="23" t="str">
        <f t="shared" si="10"/>
        <v>FB1345</v>
      </c>
      <c r="B803" s="23" t="str">
        <f>'3.1.raw'!L803</f>
        <v>FB1345</v>
      </c>
      <c r="C803" s="24">
        <f>datevalue(left('3.1.raw'!O803,10))</f>
        <v>43878</v>
      </c>
      <c r="D803" s="23">
        <f>'3.1.raw'!I803</f>
        <v>99</v>
      </c>
      <c r="E803" s="1">
        <v>3.09999999999999</v>
      </c>
      <c r="F803" s="23" t="b">
        <f>if(countif(Status!C:C,A803)=1,TRUE, FALSE)</f>
        <v>1</v>
      </c>
      <c r="G803" s="1">
        <f t="shared" si="2"/>
        <v>0</v>
      </c>
      <c r="H803" s="1">
        <f>'3.1.raw'!Z803</f>
        <v>0</v>
      </c>
      <c r="J803" s="1" t="str">
        <f>'3.1.raw'!AK803</f>
        <v>Sample with PLc1200, Red Colony Count: Undiluted volume tested 100 ml - 00</v>
      </c>
    </row>
    <row r="804">
      <c r="A804" s="23" t="str">
        <f t="shared" si="10"/>
        <v>PLc1201</v>
      </c>
      <c r="B804" s="23" t="str">
        <f>'3.1.raw'!L804</f>
        <v>PLc1201</v>
      </c>
      <c r="C804" s="24">
        <f>datevalue(left('3.1.raw'!O804,10))</f>
        <v>43878</v>
      </c>
      <c r="D804" s="23">
        <f>'3.1.raw'!I804</f>
        <v>11</v>
      </c>
      <c r="E804" s="1">
        <v>3.09999999999999</v>
      </c>
      <c r="F804" s="23" t="b">
        <f>if(countif(Status!C:C,A804)=1,TRUE, FALSE)</f>
        <v>1</v>
      </c>
      <c r="G804" s="1">
        <f t="shared" si="2"/>
        <v>1</v>
      </c>
      <c r="H804" s="1">
        <f>'3.1.raw'!Z804</f>
        <v>2</v>
      </c>
      <c r="J804" s="1" t="str">
        <f>'3.1.raw'!AK804</f>
        <v>Red colony count: 1:10^3 -TNTC; 1:10^4 - 136; 1:10^5 - 14, Each sample vol tested 1ml</v>
      </c>
    </row>
    <row r="805">
      <c r="A805" s="23" t="str">
        <f t="shared" si="10"/>
        <v>FB1346</v>
      </c>
      <c r="B805" s="23" t="str">
        <f>'3.1.raw'!L805</f>
        <v>FB1346</v>
      </c>
      <c r="C805" s="24">
        <f>datevalue(left('3.1.raw'!O805,10))</f>
        <v>43878</v>
      </c>
      <c r="D805" s="23">
        <f>'3.1.raw'!I805</f>
        <v>99</v>
      </c>
      <c r="E805" s="1">
        <v>3.09999999999999</v>
      </c>
      <c r="F805" s="23" t="b">
        <f>if(countif(Status!C:C,A805)=1,TRUE, FALSE)</f>
        <v>1</v>
      </c>
      <c r="G805" s="1">
        <f t="shared" si="2"/>
        <v>0</v>
      </c>
      <c r="H805" s="1">
        <f>'3.1.raw'!Z805</f>
        <v>0</v>
      </c>
      <c r="J805" s="1" t="str">
        <f>'3.1.raw'!AK805</f>
        <v>Sample with PLc1201, Red Colony Count: Undiluted volume tested 100 ml - 00</v>
      </c>
    </row>
    <row r="806">
      <c r="A806" s="23" t="str">
        <f t="shared" si="10"/>
        <v>PLc1202</v>
      </c>
      <c r="B806" s="23" t="str">
        <f>'3.1.raw'!L806</f>
        <v>PLc1202</v>
      </c>
      <c r="C806" s="24">
        <f>datevalue(left('3.1.raw'!O806,10))</f>
        <v>43878</v>
      </c>
      <c r="D806" s="23">
        <f>'3.1.raw'!I806</f>
        <v>11</v>
      </c>
      <c r="E806" s="1">
        <v>3.09999999999999</v>
      </c>
      <c r="F806" s="23" t="b">
        <f>if(countif(Status!C:C,A806)=1,TRUE, FALSE)</f>
        <v>1</v>
      </c>
      <c r="G806" s="1">
        <f t="shared" si="2"/>
        <v>0</v>
      </c>
      <c r="H806" s="1">
        <f>'3.1.raw'!Z806</f>
        <v>0</v>
      </c>
      <c r="J806" s="1" t="str">
        <f>'3.1.raw'!AK806</f>
        <v>Red colony count: 1:10^3 -4; 1:10^4 - 0; 1:10^5 - 0, Each sample vol tested 1ml</v>
      </c>
    </row>
    <row r="807">
      <c r="A807" s="23" t="str">
        <f t="shared" si="10"/>
        <v>FB1347</v>
      </c>
      <c r="B807" s="23" t="str">
        <f>'3.1.raw'!L807</f>
        <v>FB1347</v>
      </c>
      <c r="C807" s="24">
        <f>datevalue(left('3.1.raw'!O807,10))</f>
        <v>43878</v>
      </c>
      <c r="D807" s="23">
        <f>'3.1.raw'!I807</f>
        <v>99</v>
      </c>
      <c r="E807" s="1">
        <v>3.09999999999999</v>
      </c>
      <c r="F807" s="23" t="b">
        <f>if(countif(Status!C:C,A807)=1,TRUE, FALSE)</f>
        <v>1</v>
      </c>
      <c r="G807" s="1">
        <f t="shared" si="2"/>
        <v>0</v>
      </c>
      <c r="H807" s="1">
        <f>'3.1.raw'!Z807</f>
        <v>0</v>
      </c>
      <c r="J807" s="1" t="str">
        <f>'3.1.raw'!AK807</f>
        <v>Sample with PLc1202, Red Colony Count: Undiluted volume tested 100 ml - 00</v>
      </c>
    </row>
    <row r="808">
      <c r="A808" s="23" t="str">
        <f t="shared" si="10"/>
        <v>PLc1203</v>
      </c>
      <c r="B808" s="23" t="str">
        <f>'3.1.raw'!L808</f>
        <v>PLc1203</v>
      </c>
      <c r="C808" s="24">
        <f>datevalue(left('3.1.raw'!O808,10))</f>
        <v>43878</v>
      </c>
      <c r="D808" s="23">
        <f>'3.1.raw'!I808</f>
        <v>11</v>
      </c>
      <c r="E808" s="1">
        <v>3.09999999999999</v>
      </c>
      <c r="F808" s="23" t="b">
        <f>if(countif(Status!C:C,A808)=1,TRUE, FALSE)</f>
        <v>1</v>
      </c>
      <c r="G808" s="1">
        <f t="shared" si="2"/>
        <v>1</v>
      </c>
      <c r="H808" s="1">
        <f>'3.1.raw'!Z808</f>
        <v>8</v>
      </c>
      <c r="J808" s="1" t="str">
        <f>'3.1.raw'!AK808</f>
        <v>Red colony count: 1:10^3 -120; 1:10^4 - 16; 1:10^5 - 1, Each sample vol tested 1ml</v>
      </c>
    </row>
    <row r="809">
      <c r="A809" s="23" t="str">
        <f t="shared" si="10"/>
        <v>FB1348</v>
      </c>
      <c r="B809" s="23" t="str">
        <f>'3.1.raw'!L809</f>
        <v>FB1348</v>
      </c>
      <c r="C809" s="24">
        <f>datevalue(left('3.1.raw'!O809,10))</f>
        <v>43878</v>
      </c>
      <c r="D809" s="23">
        <f>'3.1.raw'!I809</f>
        <v>99</v>
      </c>
      <c r="E809" s="1">
        <v>3.09999999999999</v>
      </c>
      <c r="F809" s="23" t="b">
        <f>if(countif(Status!C:C,A809)=1,TRUE, FALSE)</f>
        <v>1</v>
      </c>
      <c r="G809" s="1">
        <f t="shared" si="2"/>
        <v>0</v>
      </c>
      <c r="H809" s="1">
        <f>'3.1.raw'!Z809</f>
        <v>0</v>
      </c>
      <c r="J809" s="1" t="str">
        <f>'3.1.raw'!AK809</f>
        <v>Sample with PLc1203, Red Colony Count: Undiluted volume tested 100 ml - 00</v>
      </c>
    </row>
    <row r="810">
      <c r="A810" s="23" t="str">
        <f t="shared" si="10"/>
        <v>NCEC97</v>
      </c>
      <c r="B810" s="23" t="str">
        <f>'3.1.raw'!L810</f>
        <v>NCEC97</v>
      </c>
      <c r="C810" s="24">
        <f>datevalue(left('3.1.raw'!O810,10))</f>
        <v>43878</v>
      </c>
      <c r="D810" s="23">
        <f>'3.1.raw'!I810</f>
        <v>98</v>
      </c>
      <c r="E810" s="1">
        <v>3.09999999999999</v>
      </c>
      <c r="F810" s="23" t="b">
        <f>if(countif(Status!C:C,A810)=1,TRUE, FALSE)</f>
        <v>1</v>
      </c>
      <c r="G810" s="1">
        <f t="shared" si="2"/>
        <v>0</v>
      </c>
      <c r="H810" s="1">
        <f>'3.1.raw'!Z810</f>
        <v>0</v>
      </c>
      <c r="J810" s="1" t="str">
        <f>'3.1.raw'!AK810</f>
        <v>Red Colony Count: Undiluted volume tested 100 ml - 00</v>
      </c>
    </row>
    <row r="811">
      <c r="A811" s="23" t="str">
        <f t="shared" si="10"/>
        <v>SW2002</v>
      </c>
      <c r="B811" s="23" t="str">
        <f>'3.1.raw'!L811</f>
        <v>SW2002</v>
      </c>
      <c r="C811" s="24">
        <f>datevalue(left('3.1.raw'!O811,10))</f>
        <v>43879</v>
      </c>
      <c r="D811" s="23">
        <f>'3.1.raw'!I811</f>
        <v>5</v>
      </c>
      <c r="E811" s="1">
        <v>3.09999999999999</v>
      </c>
      <c r="F811" s="23" t="b">
        <f>if(countif(Status!C:C,A811)=1,TRUE, FALSE)</f>
        <v>1</v>
      </c>
      <c r="G811" s="1">
        <f t="shared" si="2"/>
        <v>1</v>
      </c>
      <c r="H811" s="1">
        <f>'3.1.raw'!Z811</f>
        <v>34</v>
      </c>
      <c r="J811" s="1" t="str">
        <f>'3.1.raw'!AK811</f>
        <v>Red colony count: Undiluted 1ml - TNTC, 1:10^1 - 57, 1:10^2 - 6; sample vol tested 1ml</v>
      </c>
    </row>
    <row r="812">
      <c r="A812" s="23" t="str">
        <f t="shared" si="10"/>
        <v>FB1349</v>
      </c>
      <c r="B812" s="23" t="str">
        <f>'3.1.raw'!L812</f>
        <v>FB1349</v>
      </c>
      <c r="C812" s="24">
        <f>datevalue(left('3.1.raw'!O812,10))</f>
        <v>43879</v>
      </c>
      <c r="D812" s="23">
        <f>'3.1.raw'!I812</f>
        <v>99</v>
      </c>
      <c r="E812" s="1">
        <v>3.09999999999999</v>
      </c>
      <c r="F812" s="23" t="b">
        <f>if(countif(Status!C:C,A812)=1,TRUE, FALSE)</f>
        <v>1</v>
      </c>
      <c r="G812" s="1">
        <f t="shared" si="2"/>
        <v>0</v>
      </c>
      <c r="H812" s="1">
        <f>'3.1.raw'!Z812</f>
        <v>0</v>
      </c>
      <c r="J812" s="1" t="str">
        <f>'3.1.raw'!AK812</f>
        <v>Sample with SW2002, Red Colony Count: Undiluted volume tested 100 ml - 00</v>
      </c>
    </row>
    <row r="813">
      <c r="A813" s="23" t="str">
        <f t="shared" si="10"/>
        <v>FB1350</v>
      </c>
      <c r="B813" s="23" t="str">
        <f>'3.1.raw'!L813</f>
        <v>FB1350</v>
      </c>
      <c r="C813" s="24">
        <f>datevalue(left('3.1.raw'!O813,10))</f>
        <v>43879</v>
      </c>
      <c r="D813" s="23">
        <f>'3.1.raw'!I813</f>
        <v>99</v>
      </c>
      <c r="E813" s="1">
        <v>3.09999999999999</v>
      </c>
      <c r="F813" s="23" t="b">
        <f>if(countif(Status!C:C,A813)=1,TRUE, FALSE)</f>
        <v>1</v>
      </c>
      <c r="G813" s="1">
        <f t="shared" si="2"/>
        <v>0</v>
      </c>
      <c r="H813" s="1">
        <f>'3.1.raw'!Z813</f>
        <v>0</v>
      </c>
      <c r="J813" s="1" t="str">
        <f>'3.1.raw'!AK813</f>
        <v>Sample with SL2003, Red Colony Count: Undiluted volume tested 100 ml - 00</v>
      </c>
    </row>
    <row r="814">
      <c r="A814" s="23" t="str">
        <f t="shared" si="10"/>
        <v>FB1351</v>
      </c>
      <c r="B814" s="23" t="str">
        <f>'3.1.raw'!L814</f>
        <v>FB1351</v>
      </c>
      <c r="C814" s="24">
        <f>datevalue(left('3.1.raw'!O814,10))</f>
        <v>43879</v>
      </c>
      <c r="D814" s="23">
        <f>'3.1.raw'!I814</f>
        <v>99</v>
      </c>
      <c r="E814" s="1">
        <v>3.09999999999999</v>
      </c>
      <c r="F814" s="23" t="b">
        <f>if(countif(Status!C:C,A814)=1,TRUE, FALSE)</f>
        <v>1</v>
      </c>
      <c r="G814" s="1">
        <f t="shared" si="2"/>
        <v>0</v>
      </c>
      <c r="H814" s="1">
        <f>'3.1.raw'!Z814</f>
        <v>0</v>
      </c>
      <c r="J814" s="1" t="str">
        <f>'3.1.raw'!AK814</f>
        <v>Sample with MO1181, Red Colony Count: Undiluted volume tested 100 ml - 00</v>
      </c>
    </row>
    <row r="815">
      <c r="A815" s="23" t="str">
        <f t="shared" si="10"/>
        <v>FB1352</v>
      </c>
      <c r="B815" s="23" t="str">
        <f>'3.1.raw'!L815</f>
        <v>FB1352</v>
      </c>
      <c r="C815" s="24">
        <f>datevalue(left('3.1.raw'!O815,10))</f>
        <v>43879</v>
      </c>
      <c r="D815" s="23">
        <f>'3.1.raw'!I815</f>
        <v>99</v>
      </c>
      <c r="E815" s="1">
        <v>3.09999999999999</v>
      </c>
      <c r="F815" s="23" t="b">
        <f>if(countif(Status!C:C,A815)=1,TRUE, FALSE)</f>
        <v>1</v>
      </c>
      <c r="G815" s="1">
        <f t="shared" si="2"/>
        <v>0</v>
      </c>
      <c r="H815" s="1">
        <f>'3.1.raw'!Z815</f>
        <v>0</v>
      </c>
      <c r="J815" s="1" t="str">
        <f>'3.1.raw'!AK815</f>
        <v>Sample with MO1182, Red Colony Count: Undiluted volume tested 100 ml - 00</v>
      </c>
    </row>
    <row r="816">
      <c r="A816" s="23" t="str">
        <f t="shared" si="10"/>
        <v>FB1353</v>
      </c>
      <c r="B816" s="23" t="str">
        <f>'3.1.raw'!L816</f>
        <v>FB1353</v>
      </c>
      <c r="C816" s="24">
        <f>datevalue(left('3.1.raw'!O816,10))</f>
        <v>43879</v>
      </c>
      <c r="D816" s="23">
        <f>'3.1.raw'!I816</f>
        <v>99</v>
      </c>
      <c r="E816" s="1">
        <v>3.09999999999999</v>
      </c>
      <c r="F816" s="23" t="b">
        <f>if(countif(Status!C:C,A816)=1,TRUE, FALSE)</f>
        <v>1</v>
      </c>
      <c r="G816" s="1">
        <f t="shared" si="2"/>
        <v>0</v>
      </c>
      <c r="H816" s="1">
        <f>'3.1.raw'!Z816</f>
        <v>0</v>
      </c>
      <c r="J816" s="1" t="str">
        <f>'3.1.raw'!AK816</f>
        <v>Sample with MO1183, Red Colony Count: Undiluted volume tested 100 ml - 00</v>
      </c>
    </row>
    <row r="817">
      <c r="A817" s="23" t="str">
        <f t="shared" si="10"/>
        <v>FB1354</v>
      </c>
      <c r="B817" s="23" t="str">
        <f>'3.1.raw'!L817</f>
        <v>FB1354</v>
      </c>
      <c r="C817" s="24">
        <f>datevalue(left('3.1.raw'!O817,10))</f>
        <v>43879</v>
      </c>
      <c r="D817" s="23">
        <f>'3.1.raw'!I817</f>
        <v>99</v>
      </c>
      <c r="E817" s="1">
        <v>3.09999999999999</v>
      </c>
      <c r="F817" s="23" t="b">
        <f>if(countif(Status!C:C,A817)=1,TRUE, FALSE)</f>
        <v>1</v>
      </c>
      <c r="G817" s="1">
        <f t="shared" si="2"/>
        <v>0</v>
      </c>
      <c r="H817" s="1">
        <f>'3.1.raw'!Z817</f>
        <v>0</v>
      </c>
      <c r="J817" s="1" t="str">
        <f>'3.1.raw'!AK817</f>
        <v>Sample with MO1184, Red Colony Count: Undiluted volume tested 100 ml - 00</v>
      </c>
    </row>
    <row r="818">
      <c r="A818" s="23" t="str">
        <f t="shared" si="10"/>
        <v>NCEC98</v>
      </c>
      <c r="B818" s="23" t="str">
        <f>'3.1.raw'!L818</f>
        <v>NCEC98</v>
      </c>
      <c r="C818" s="24">
        <f>datevalue(left('3.1.raw'!O818,10))</f>
        <v>43879</v>
      </c>
      <c r="D818" s="23">
        <f>'3.1.raw'!I818</f>
        <v>98</v>
      </c>
      <c r="E818" s="1">
        <v>3.09999999999999</v>
      </c>
      <c r="F818" s="23" t="b">
        <f>if(countif(Status!C:C,A818)=1,TRUE, FALSE)</f>
        <v>1</v>
      </c>
      <c r="G818" s="1">
        <f t="shared" si="2"/>
        <v>0</v>
      </c>
      <c r="H818" s="1">
        <f>'3.1.raw'!Z818</f>
        <v>0</v>
      </c>
      <c r="J818" s="1" t="str">
        <f>'3.1.raw'!AK818</f>
        <v>Red Colony Count: Undiluted volume tested 100 ml - 00</v>
      </c>
    </row>
    <row r="819">
      <c r="A819" s="23" t="str">
        <f t="shared" si="10"/>
        <v>SL2003</v>
      </c>
      <c r="B819" s="23" t="str">
        <f>'3.1.raw'!L819</f>
        <v>SL2003</v>
      </c>
      <c r="C819" s="24">
        <f>datevalue(left('3.1.raw'!O819,10))</f>
        <v>43879</v>
      </c>
      <c r="D819" s="23">
        <f>'3.1.raw'!I819</f>
        <v>8</v>
      </c>
      <c r="E819" s="1">
        <v>3.09999999999999</v>
      </c>
      <c r="F819" s="23" t="b">
        <f>if(countif(Status!C:C,A819)=1,TRUE, FALSE)</f>
        <v>1</v>
      </c>
      <c r="G819" s="1">
        <f t="shared" si="2"/>
        <v>1</v>
      </c>
      <c r="H819" s="1">
        <f>'3.1.raw'!Z819</f>
        <v>42</v>
      </c>
      <c r="J819" s="1" t="str">
        <f>'3.1.raw'!AK819</f>
        <v>Red colony count: 1:10^1 - TNTC; 1:10^2 - 86; 1:10^3 - 5, Each sample vol tested 1ml</v>
      </c>
    </row>
    <row r="820">
      <c r="A820" s="23" t="str">
        <f t="shared" si="10"/>
        <v>UF1023</v>
      </c>
      <c r="B820" s="23" t="str">
        <f>'3.1.raw'!L820</f>
        <v>UF1023</v>
      </c>
      <c r="C820" s="24">
        <f>datevalue(left('3.1.raw'!O820,10))</f>
        <v>43879</v>
      </c>
      <c r="D820" s="23">
        <f>'3.1.raw'!I820</f>
        <v>16</v>
      </c>
      <c r="E820" s="1">
        <v>3.09999999999999</v>
      </c>
      <c r="F820" s="23" t="b">
        <f>if(countif(Status!C:C,A820)=1,TRUE, FALSE)</f>
        <v>1</v>
      </c>
      <c r="G820" s="1">
        <f t="shared" si="2"/>
        <v>1</v>
      </c>
      <c r="H820" s="1">
        <f>'3.1.raw'!Z820</f>
        <v>3</v>
      </c>
      <c r="J820" s="1" t="str">
        <f>'3.1.raw'!AK820</f>
        <v>Red colony count: 1:10^3 -82; 1:10^4 - 10; 1:10^5 - 01, Each sample vol tested 1ml</v>
      </c>
    </row>
    <row r="821">
      <c r="A821" s="23" t="str">
        <f t="shared" si="10"/>
        <v>FB1357</v>
      </c>
      <c r="B821" s="23" t="str">
        <f>'3.1.raw'!L821</f>
        <v>FB1357</v>
      </c>
      <c r="C821" s="24">
        <f>datevalue(left('3.1.raw'!O821,10))</f>
        <v>43880</v>
      </c>
      <c r="D821" s="23">
        <f>'3.1.raw'!I821</f>
        <v>99</v>
      </c>
      <c r="E821" s="1">
        <v>3.09999999999999</v>
      </c>
      <c r="F821" s="23" t="b">
        <f>if(countif(Status!C:C,A821)=1,TRUE, FALSE)</f>
        <v>1</v>
      </c>
      <c r="G821" s="1">
        <f t="shared" si="2"/>
        <v>0</v>
      </c>
      <c r="H821" s="1">
        <f>'3.1.raw'!Z821</f>
        <v>0</v>
      </c>
      <c r="J821" s="1" t="str">
        <f>'3.1.raw'!AK821</f>
        <v>Sample with MO1185, Red Colony Count: Undiluted volume tested 100 ml - 00</v>
      </c>
    </row>
    <row r="822">
      <c r="A822" s="23" t="str">
        <f t="shared" si="10"/>
        <v>FB1358</v>
      </c>
      <c r="B822" s="23" t="str">
        <f>'3.1.raw'!L822</f>
        <v>FB1358</v>
      </c>
      <c r="C822" s="24">
        <f>datevalue(left('3.1.raw'!O822,10))</f>
        <v>43880</v>
      </c>
      <c r="D822" s="23">
        <f>'3.1.raw'!I822</f>
        <v>99</v>
      </c>
      <c r="E822" s="1">
        <v>3.09999999999999</v>
      </c>
      <c r="F822" s="23" t="b">
        <f>if(countif(Status!C:C,A822)=1,TRUE, FALSE)</f>
        <v>1</v>
      </c>
      <c r="G822" s="1">
        <f t="shared" si="2"/>
        <v>0</v>
      </c>
      <c r="H822" s="1">
        <f>'3.1.raw'!Z822</f>
        <v>0</v>
      </c>
      <c r="J822" s="1" t="str">
        <f>'3.1.raw'!AK822</f>
        <v>Sample with MO1186, Red Colony Count: Undiluted volume tested 100 ml - 00</v>
      </c>
    </row>
    <row r="823">
      <c r="A823" s="23" t="str">
        <f t="shared" si="10"/>
        <v>FB1359</v>
      </c>
      <c r="B823" s="23" t="str">
        <f>'3.1.raw'!L823</f>
        <v>FB1359</v>
      </c>
      <c r="C823" s="24">
        <f>datevalue(left('3.1.raw'!O823,10))</f>
        <v>43880</v>
      </c>
      <c r="D823" s="23">
        <f>'3.1.raw'!I823</f>
        <v>99</v>
      </c>
      <c r="E823" s="1">
        <v>3.09999999999999</v>
      </c>
      <c r="F823" s="23" t="b">
        <f>if(countif(Status!C:C,A823)=1,TRUE, FALSE)</f>
        <v>1</v>
      </c>
      <c r="G823" s="1">
        <f t="shared" si="2"/>
        <v>0</v>
      </c>
      <c r="H823" s="1">
        <f>'3.1.raw'!Z823</f>
        <v>0</v>
      </c>
      <c r="J823" s="1" t="str">
        <f>'3.1.raw'!AK823</f>
        <v>Sample with MO1187, Red Colony Count: Undiluted volume tested 100 ml - 00</v>
      </c>
    </row>
    <row r="824">
      <c r="A824" s="23" t="str">
        <f t="shared" si="10"/>
        <v>UF1024</v>
      </c>
      <c r="B824" s="23" t="str">
        <f>'3.1.raw'!L824</f>
        <v>UF1024</v>
      </c>
      <c r="C824" s="24">
        <f>datevalue(left('3.1.raw'!O824,10))</f>
        <v>43880</v>
      </c>
      <c r="D824" s="23">
        <f>'3.1.raw'!I824</f>
        <v>16</v>
      </c>
      <c r="E824" s="1">
        <v>3.09999999999999</v>
      </c>
      <c r="F824" s="23" t="b">
        <f>if(countif(Status!C:C,A824)=1,TRUE, FALSE)</f>
        <v>1</v>
      </c>
      <c r="G824" s="1">
        <f t="shared" si="2"/>
        <v>1</v>
      </c>
      <c r="H824" s="1">
        <f>'3.1.raw'!Z824</f>
        <v>12</v>
      </c>
      <c r="J824" s="1" t="str">
        <f>'3.1.raw'!AK824</f>
        <v>Red colony count: 1:10^3 - 80; 1:10^4 - 18; 1:10^5 - 1, Each sample vol tested 1ml</v>
      </c>
    </row>
    <row r="825">
      <c r="A825" s="23" t="str">
        <f t="shared" si="10"/>
        <v>PL1026</v>
      </c>
      <c r="B825" s="23" t="str">
        <f>'3.1.raw'!L825</f>
        <v>PL1026</v>
      </c>
      <c r="C825" s="24">
        <f>datevalue(left('3.1.raw'!O825,10))</f>
        <v>43880</v>
      </c>
      <c r="D825" s="23">
        <f>'3.1.raw'!I825</f>
        <v>7</v>
      </c>
      <c r="E825" s="1">
        <v>3.09999999999999</v>
      </c>
      <c r="F825" s="23" t="b">
        <f>if(countif(Status!C:C,A825)=1,TRUE, FALSE)</f>
        <v>1</v>
      </c>
      <c r="G825" s="1">
        <f t="shared" si="2"/>
        <v>0</v>
      </c>
      <c r="H825" s="1">
        <f>'3.1.raw'!Z825</f>
        <v>0</v>
      </c>
      <c r="J825" s="1" t="str">
        <f>'3.1.raw'!AK825</f>
        <v>Red colony count: 1:10^3 -15; 1:10^4 - 0; 1:10^5 - 00, Each sample vol tested 1ml</v>
      </c>
    </row>
    <row r="826">
      <c r="A826" s="23" t="str">
        <f t="shared" si="10"/>
        <v>FB1355</v>
      </c>
      <c r="B826" s="23" t="str">
        <f>'3.1.raw'!L826</f>
        <v>FB1355</v>
      </c>
      <c r="C826" s="24">
        <f>datevalue(left('3.1.raw'!O826,10))</f>
        <v>43880</v>
      </c>
      <c r="D826" s="23">
        <f>'3.1.raw'!I826</f>
        <v>99</v>
      </c>
      <c r="E826" s="1">
        <v>3.09999999999999</v>
      </c>
      <c r="F826" s="23" t="b">
        <f>if(countif(Status!C:C,A826)=1,TRUE, FALSE)</f>
        <v>1</v>
      </c>
      <c r="G826" s="1">
        <f t="shared" si="2"/>
        <v>0</v>
      </c>
      <c r="H826" s="1">
        <f>'3.1.raw'!Z826</f>
        <v>0</v>
      </c>
      <c r="J826" s="1" t="str">
        <f>'3.1.raw'!AK826</f>
        <v>Sample with PL1026, Red Colony Count: Undiluted volume tested 100 ml - 00</v>
      </c>
    </row>
    <row r="827">
      <c r="A827" s="23" t="str">
        <f t="shared" si="10"/>
        <v>PL1027</v>
      </c>
      <c r="B827" s="23" t="str">
        <f>'3.1.raw'!L827</f>
        <v>PL1027</v>
      </c>
      <c r="C827" s="24">
        <f>datevalue(left('3.1.raw'!O827,10))</f>
        <v>43880</v>
      </c>
      <c r="D827" s="23">
        <f>'3.1.raw'!I827</f>
        <v>7</v>
      </c>
      <c r="E827" s="1">
        <v>3.09999999999999</v>
      </c>
      <c r="F827" s="23" t="b">
        <f>if(countif(Status!C:C,A827)=1,TRUE, FALSE)</f>
        <v>1</v>
      </c>
      <c r="G827" s="1">
        <f t="shared" si="2"/>
        <v>0</v>
      </c>
      <c r="H827" s="1">
        <f>'3.1.raw'!Z827</f>
        <v>0</v>
      </c>
      <c r="J827" s="1" t="str">
        <f>'3.1.raw'!AK827</f>
        <v>Red colony count: 1:10^3 -16; 1:10^4 - 1; 1:10^5 - 00, Each sample vol tested 1ml</v>
      </c>
    </row>
    <row r="828">
      <c r="A828" s="23" t="str">
        <f t="shared" si="10"/>
        <v>FB1356</v>
      </c>
      <c r="B828" s="23" t="str">
        <f>'3.1.raw'!L828</f>
        <v>FB1356</v>
      </c>
      <c r="C828" s="24">
        <f>datevalue(left('3.1.raw'!O828,10))</f>
        <v>43880</v>
      </c>
      <c r="D828" s="23">
        <f>'3.1.raw'!I828</f>
        <v>99</v>
      </c>
      <c r="E828" s="1">
        <v>3.09999999999999</v>
      </c>
      <c r="F828" s="23" t="b">
        <f>if(countif(Status!C:C,A828)=1,TRUE, FALSE)</f>
        <v>1</v>
      </c>
      <c r="G828" s="1">
        <f t="shared" si="2"/>
        <v>0</v>
      </c>
      <c r="H828" s="1">
        <f>'3.1.raw'!Z828</f>
        <v>0</v>
      </c>
      <c r="J828" s="1" t="str">
        <f>'3.1.raw'!AK828</f>
        <v>Sample with PL1027, Red Colony Count: Undiluted volume tested 100 ml - 00</v>
      </c>
    </row>
    <row r="829">
      <c r="A829" s="23" t="str">
        <f t="shared" si="10"/>
        <v>NCEC99</v>
      </c>
      <c r="B829" s="23" t="str">
        <f>'3.1.raw'!L829</f>
        <v>NCEC99</v>
      </c>
      <c r="C829" s="24">
        <f>datevalue(left('3.1.raw'!O829,10))</f>
        <v>43880</v>
      </c>
      <c r="D829" s="23">
        <f>'3.1.raw'!I829</f>
        <v>98</v>
      </c>
      <c r="E829" s="1">
        <v>3.09999999999999</v>
      </c>
      <c r="F829" s="23" t="b">
        <f>if(countif(Status!C:C,A829)=1,TRUE, FALSE)</f>
        <v>1</v>
      </c>
      <c r="G829" s="1">
        <f t="shared" si="2"/>
        <v>0</v>
      </c>
      <c r="H829" s="1">
        <f>'3.1.raw'!Z829</f>
        <v>0</v>
      </c>
      <c r="J829" s="1" t="str">
        <f>'3.1.raw'!AK829</f>
        <v>Red Colony Count: Undiluted volume tested 100 ml - 00</v>
      </c>
    </row>
    <row r="830">
      <c r="A830" s="23" t="str">
        <f t="shared" si="10"/>
        <v>FPb2004</v>
      </c>
      <c r="B830" s="23" t="str">
        <f>'3.1.raw'!L830</f>
        <v>FPb2004</v>
      </c>
      <c r="C830" s="24">
        <f>datevalue(left('3.1.raw'!O830,10))</f>
        <v>43881</v>
      </c>
      <c r="D830" s="23">
        <f>'3.1.raw'!I830</f>
        <v>14</v>
      </c>
      <c r="E830" s="1">
        <v>3.09999999999999</v>
      </c>
      <c r="F830" s="23" t="b">
        <f>if(countif(Status!C:C,A830)=1,TRUE, FALSE)</f>
        <v>1</v>
      </c>
      <c r="G830" s="1" t="str">
        <f t="shared" si="2"/>
        <v/>
      </c>
      <c r="H830" s="1" t="str">
        <f>'3.1.raw'!Z830</f>
        <v/>
      </c>
      <c r="J830" s="1" t="str">
        <f>'3.1.raw'!AK830</f>
        <v>Red colony count: Undiluted 100ml - TDTC, Undiluted 10ml - TDTC, 1:10^1 - 8 sample vol tested 1ml</v>
      </c>
    </row>
    <row r="831">
      <c r="A831" s="23" t="str">
        <f t="shared" si="10"/>
        <v>FPd2004</v>
      </c>
      <c r="B831" s="23" t="str">
        <f>'3.1.raw'!L831</f>
        <v>FPd2004</v>
      </c>
      <c r="C831" s="24">
        <f>datevalue(left('3.1.raw'!O831,10))</f>
        <v>43881</v>
      </c>
      <c r="D831" s="23">
        <f>'3.1.raw'!I831</f>
        <v>14</v>
      </c>
      <c r="E831" s="1">
        <v>3.09999999999999</v>
      </c>
      <c r="F831" s="23" t="b">
        <f>if(countif(Status!C:C,A831)=1,TRUE, FALSE)</f>
        <v>1</v>
      </c>
      <c r="G831" s="1">
        <f t="shared" si="2"/>
        <v>0</v>
      </c>
      <c r="H831" s="1">
        <f>'3.1.raw'!Z831</f>
        <v>0</v>
      </c>
      <c r="J831" s="1" t="str">
        <f>'3.1.raw'!AK831</f>
        <v>Red colony count: Undiluted 100ml - 17, Undiluted 10ml - 1, 1:10^1 - 0 sample vol tested 1ml</v>
      </c>
    </row>
    <row r="832">
      <c r="A832" s="23" t="str">
        <f t="shared" si="10"/>
        <v>FPe2004</v>
      </c>
      <c r="B832" s="23" t="str">
        <f>'3.1.raw'!L832</f>
        <v>FPe2004</v>
      </c>
      <c r="C832" s="24">
        <f>datevalue(left('3.1.raw'!O832,10))</f>
        <v>43881</v>
      </c>
      <c r="D832" s="23">
        <f>'3.1.raw'!I832</f>
        <v>14</v>
      </c>
      <c r="E832" s="1">
        <v>3.09999999999999</v>
      </c>
      <c r="F832" s="23" t="b">
        <f>if(countif(Status!C:C,A832)=1,TRUE, FALSE)</f>
        <v>1</v>
      </c>
      <c r="G832" s="1">
        <f t="shared" si="2"/>
        <v>1</v>
      </c>
      <c r="H832" s="1">
        <f>'3.1.raw'!Z832</f>
        <v>4</v>
      </c>
      <c r="J832" s="1" t="str">
        <f>'3.1.raw'!AK832</f>
        <v>Red colony count: Undiluted 100ml - 82, Undiluted 10ml - 39, 1:10^1 - 0 sample vol tested 1ml</v>
      </c>
    </row>
    <row r="833">
      <c r="A833" s="23" t="str">
        <f t="shared" si="10"/>
        <v>FPa2004</v>
      </c>
      <c r="B833" s="23" t="str">
        <f>'3.1.raw'!L833</f>
        <v>FPa2004</v>
      </c>
      <c r="C833" s="24">
        <f>datevalue(left('3.1.raw'!O833,10))</f>
        <v>43881</v>
      </c>
      <c r="D833" s="23">
        <f>'3.1.raw'!I833</f>
        <v>14</v>
      </c>
      <c r="E833" s="1">
        <v>3.09999999999999</v>
      </c>
      <c r="F833" s="23" t="b">
        <f>if(countif(Status!C:C,A833)=1,TRUE, FALSE)</f>
        <v>1</v>
      </c>
      <c r="G833" s="1">
        <f t="shared" si="2"/>
        <v>1</v>
      </c>
      <c r="H833" s="1">
        <f>'3.1.raw'!Z833</f>
        <v>40</v>
      </c>
      <c r="J833" s="1" t="str">
        <f>'3.1.raw'!AK833</f>
        <v>Red colony count: 1:10^1 - TNTC; 1:10^2 - 55; 1:10^3 - 3, Each sample vol tested 1ml</v>
      </c>
    </row>
    <row r="834">
      <c r="A834" s="23" t="str">
        <f t="shared" si="10"/>
        <v>FPc2004</v>
      </c>
      <c r="B834" s="23" t="str">
        <f>'3.1.raw'!L834</f>
        <v>FPc2004</v>
      </c>
      <c r="C834" s="24">
        <f>datevalue(left('3.1.raw'!O834,10))</f>
        <v>43881</v>
      </c>
      <c r="D834" s="23">
        <f>'3.1.raw'!I834</f>
        <v>14</v>
      </c>
      <c r="E834" s="1">
        <v>3.09999999999999</v>
      </c>
      <c r="F834" s="23" t="b">
        <f>if(countif(Status!C:C,A834)=1,TRUE, FALSE)</f>
        <v>1</v>
      </c>
      <c r="G834" s="1">
        <f t="shared" si="2"/>
        <v>1</v>
      </c>
      <c r="H834" s="1">
        <f>'3.1.raw'!Z834</f>
        <v>4</v>
      </c>
      <c r="J834" s="1" t="str">
        <f>'3.1.raw'!AK834</f>
        <v>Red colony count: 1:10^1 - TNTC; 1:10^2 - 75; 1:10^3 - 0, Each sample vol tested 1ml</v>
      </c>
    </row>
    <row r="835">
      <c r="A835" s="23" t="str">
        <f t="shared" si="10"/>
        <v>FB1365</v>
      </c>
      <c r="B835" s="23" t="str">
        <f>'3.1.raw'!L835</f>
        <v>FB1365</v>
      </c>
      <c r="C835" s="24">
        <f>datevalue(left('3.1.raw'!O835,10))</f>
        <v>43881</v>
      </c>
      <c r="D835" s="23">
        <f>'3.1.raw'!I835</f>
        <v>99</v>
      </c>
      <c r="E835" s="1">
        <v>3.09999999999999</v>
      </c>
      <c r="F835" s="23" t="b">
        <f>if(countif(Status!C:C,A835)=1,TRUE, FALSE)</f>
        <v>1</v>
      </c>
      <c r="G835" s="1">
        <f t="shared" si="2"/>
        <v>0</v>
      </c>
      <c r="H835" s="1">
        <f>'3.1.raw'!Z835</f>
        <v>0</v>
      </c>
      <c r="J835" s="1" t="str">
        <f>'3.1.raw'!AK835</f>
        <v>Sample with FPa2004, FPb2004, FPc2004, FPd2004, FPe2004, Red Colony Count: Undiluted volume tested 100 ml - 00</v>
      </c>
    </row>
    <row r="836">
      <c r="A836" s="23" t="str">
        <f t="shared" si="10"/>
        <v>PLc1204</v>
      </c>
      <c r="B836" s="23" t="str">
        <f>'3.1.raw'!L836</f>
        <v>PLc1204</v>
      </c>
      <c r="C836" s="24">
        <f>datevalue(left('3.1.raw'!O836,10))</f>
        <v>43881</v>
      </c>
      <c r="D836" s="23">
        <f>'3.1.raw'!I836</f>
        <v>11</v>
      </c>
      <c r="E836" s="1">
        <v>3.09999999999999</v>
      </c>
      <c r="F836" s="23" t="b">
        <f>if(countif(Status!C:C,A836)=1,TRUE, FALSE)</f>
        <v>1</v>
      </c>
      <c r="G836" s="1">
        <f t="shared" si="2"/>
        <v>1</v>
      </c>
      <c r="H836" s="1">
        <f>'3.1.raw'!Z836</f>
        <v>4</v>
      </c>
      <c r="J836" s="1" t="str">
        <f>'3.1.raw'!AK836</f>
        <v>Red colony count: 1:10^3 -17; 1:10^4 - 8; 1:10^5 - 3, Each sample vol tested 1ml</v>
      </c>
    </row>
    <row r="837">
      <c r="A837" s="23" t="str">
        <f t="shared" si="10"/>
        <v>FB1366</v>
      </c>
      <c r="B837" s="23" t="str">
        <f>'3.1.raw'!L837</f>
        <v>FB1366</v>
      </c>
      <c r="C837" s="24">
        <f>datevalue(left('3.1.raw'!O837,10))</f>
        <v>43881</v>
      </c>
      <c r="D837" s="23">
        <f>'3.1.raw'!I837</f>
        <v>99</v>
      </c>
      <c r="E837" s="1">
        <v>3.09999999999999</v>
      </c>
      <c r="F837" s="23" t="b">
        <f>if(countif(Status!C:C,A837)=1,TRUE, FALSE)</f>
        <v>1</v>
      </c>
      <c r="G837" s="1">
        <f t="shared" si="2"/>
        <v>0</v>
      </c>
      <c r="H837" s="1">
        <f>'3.1.raw'!Z837</f>
        <v>0</v>
      </c>
      <c r="J837" s="1" t="str">
        <f>'3.1.raw'!AK837</f>
        <v>Sample with PLc1204, Red Colony Count: Undiluted volume tested 100 ml - 00</v>
      </c>
    </row>
    <row r="838">
      <c r="A838" s="23" t="str">
        <f t="shared" si="10"/>
        <v>PLc1205</v>
      </c>
      <c r="B838" s="23" t="str">
        <f>'3.1.raw'!L838</f>
        <v>PLc1205</v>
      </c>
      <c r="C838" s="24">
        <f>datevalue(left('3.1.raw'!O838,10))</f>
        <v>43881</v>
      </c>
      <c r="D838" s="23">
        <f>'3.1.raw'!I838</f>
        <v>11</v>
      </c>
      <c r="E838" s="1">
        <v>3.09999999999999</v>
      </c>
      <c r="F838" s="23" t="b">
        <f>if(countif(Status!C:C,A838)=1,TRUE, FALSE)</f>
        <v>1</v>
      </c>
      <c r="G838" s="1">
        <f t="shared" si="2"/>
        <v>1</v>
      </c>
      <c r="H838" s="1">
        <f>'3.1.raw'!Z838</f>
        <v>18</v>
      </c>
      <c r="J838" s="1" t="str">
        <f>'3.1.raw'!AK838</f>
        <v>Red colony count: 1:10^3 -140; 1:10^4 - 10; 1:10^5 - 00, Each sample vol tested 1ml</v>
      </c>
    </row>
    <row r="839">
      <c r="A839" s="23" t="str">
        <f t="shared" si="10"/>
        <v>FB1367</v>
      </c>
      <c r="B839" s="23" t="str">
        <f>'3.1.raw'!L839</f>
        <v>FB1367</v>
      </c>
      <c r="C839" s="24">
        <f>datevalue(left('3.1.raw'!O839,10))</f>
        <v>43881</v>
      </c>
      <c r="D839" s="23">
        <f>'3.1.raw'!I839</f>
        <v>99</v>
      </c>
      <c r="E839" s="1">
        <v>3.09999999999999</v>
      </c>
      <c r="F839" s="23" t="b">
        <f>if(countif(Status!C:C,A839)=1,TRUE, FALSE)</f>
        <v>1</v>
      </c>
      <c r="G839" s="1">
        <f t="shared" si="2"/>
        <v>0</v>
      </c>
      <c r="H839" s="1">
        <f>'3.1.raw'!Z839</f>
        <v>0</v>
      </c>
      <c r="J839" s="1" t="str">
        <f>'3.1.raw'!AK839</f>
        <v>Sample with PLc1205, Red Colony Count: Undiluted volume tested 100 ml - 00</v>
      </c>
    </row>
    <row r="840">
      <c r="A840" s="23" t="str">
        <f t="shared" si="10"/>
        <v>PLc1206</v>
      </c>
      <c r="B840" s="23" t="str">
        <f>'3.1.raw'!L840</f>
        <v>PLc1206</v>
      </c>
      <c r="C840" s="24">
        <f>datevalue(left('3.1.raw'!O840,10))</f>
        <v>43881</v>
      </c>
      <c r="D840" s="23">
        <f>'3.1.raw'!I840</f>
        <v>11</v>
      </c>
      <c r="E840" s="1">
        <v>3.09999999999999</v>
      </c>
      <c r="F840" s="23" t="b">
        <f>if(countif(Status!C:C,A840)=1,TRUE, FALSE)</f>
        <v>1</v>
      </c>
      <c r="G840" s="1">
        <f t="shared" si="2"/>
        <v>0</v>
      </c>
      <c r="H840" s="1">
        <f>'3.1.raw'!Z840</f>
        <v>0</v>
      </c>
      <c r="J840" s="1" t="str">
        <f>'3.1.raw'!AK840</f>
        <v>Red colony count: 1:10^3 -2; 1:10^4 - 1; 1:10^5 - 00, Each sample vol tested 1ml</v>
      </c>
    </row>
    <row r="841">
      <c r="A841" s="23" t="str">
        <f t="shared" si="10"/>
        <v>FB1368</v>
      </c>
      <c r="B841" s="23" t="str">
        <f>'3.1.raw'!L841</f>
        <v>FB1368</v>
      </c>
      <c r="C841" s="24">
        <f>datevalue(left('3.1.raw'!O841,10))</f>
        <v>43881</v>
      </c>
      <c r="D841" s="23">
        <f>'3.1.raw'!I841</f>
        <v>99</v>
      </c>
      <c r="E841" s="1">
        <v>3.09999999999999</v>
      </c>
      <c r="F841" s="23" t="b">
        <f>if(countif(Status!C:C,A841)=1,TRUE, FALSE)</f>
        <v>1</v>
      </c>
      <c r="G841" s="1">
        <f t="shared" si="2"/>
        <v>0</v>
      </c>
      <c r="H841" s="1">
        <f>'3.1.raw'!Z841</f>
        <v>0</v>
      </c>
      <c r="J841" s="1" t="str">
        <f>'3.1.raw'!AK841</f>
        <v>Sample with PLc1206, Red Colony Count: Undiluted volume tested 100 ml - 00</v>
      </c>
    </row>
    <row r="842">
      <c r="A842" s="23" t="str">
        <f t="shared" si="10"/>
        <v>FB1360</v>
      </c>
      <c r="B842" s="23" t="str">
        <f>'3.1.raw'!L842</f>
        <v>FB1360</v>
      </c>
      <c r="C842" s="24">
        <f>datevalue(left('3.1.raw'!O842,10))</f>
        <v>43881</v>
      </c>
      <c r="D842" s="23">
        <f>'3.1.raw'!I842</f>
        <v>99</v>
      </c>
      <c r="E842" s="1">
        <v>3.09999999999999</v>
      </c>
      <c r="F842" s="23" t="b">
        <f>if(countif(Status!C:C,A842)=1,TRUE, FALSE)</f>
        <v>1</v>
      </c>
      <c r="G842" s="1">
        <f t="shared" si="2"/>
        <v>0</v>
      </c>
      <c r="H842" s="1">
        <f>'3.1.raw'!Z842</f>
        <v>0</v>
      </c>
      <c r="J842" s="1" t="str">
        <f>'3.1.raw'!AK842</f>
        <v>Sample with MO1188, Red Colony Count: Undiluted volume tested 100 ml - 00</v>
      </c>
    </row>
    <row r="843">
      <c r="A843" s="23" t="str">
        <f t="shared" si="10"/>
        <v>FB1361</v>
      </c>
      <c r="B843" s="23" t="str">
        <f>'3.1.raw'!L843</f>
        <v>FB1361</v>
      </c>
      <c r="C843" s="24">
        <f>datevalue(left('3.1.raw'!O843,10))</f>
        <v>43881</v>
      </c>
      <c r="D843" s="23">
        <f>'3.1.raw'!I843</f>
        <v>99</v>
      </c>
      <c r="E843" s="1">
        <v>3.09999999999999</v>
      </c>
      <c r="F843" s="23" t="b">
        <f>if(countif(Status!C:C,A843)=1,TRUE, FALSE)</f>
        <v>1</v>
      </c>
      <c r="G843" s="1">
        <f t="shared" si="2"/>
        <v>0</v>
      </c>
      <c r="H843" s="1">
        <f>'3.1.raw'!Z843</f>
        <v>0</v>
      </c>
      <c r="J843" s="1" t="str">
        <f>'3.1.raw'!AK843</f>
        <v>Sample with MO1189, Red Colony Count: Undiluted volume tested 100 ml - 00</v>
      </c>
    </row>
    <row r="844">
      <c r="A844" s="23" t="str">
        <f t="shared" si="10"/>
        <v>FB1362</v>
      </c>
      <c r="B844" s="23" t="str">
        <f>'3.1.raw'!L844</f>
        <v>FB1362</v>
      </c>
      <c r="C844" s="24">
        <f>datevalue(left('3.1.raw'!O844,10))</f>
        <v>43881</v>
      </c>
      <c r="D844" s="23">
        <f>'3.1.raw'!I844</f>
        <v>99</v>
      </c>
      <c r="E844" s="1">
        <v>3.09999999999999</v>
      </c>
      <c r="F844" s="23" t="b">
        <f>if(countif(Status!C:C,A844)=1,TRUE, FALSE)</f>
        <v>1</v>
      </c>
      <c r="G844" s="1">
        <f t="shared" si="2"/>
        <v>0</v>
      </c>
      <c r="H844" s="1">
        <f>'3.1.raw'!Z844</f>
        <v>0</v>
      </c>
      <c r="J844" s="1" t="str">
        <f>'3.1.raw'!AK844</f>
        <v>Sample with MO1190, Red Colony Count: Undiluted volume tested 100 ml - 00</v>
      </c>
    </row>
    <row r="845">
      <c r="A845" s="23" t="str">
        <f t="shared" si="10"/>
        <v>FB1363</v>
      </c>
      <c r="B845" s="23" t="str">
        <f>'3.1.raw'!L845</f>
        <v>FB1363</v>
      </c>
      <c r="C845" s="24">
        <f>datevalue(left('3.1.raw'!O845,10))</f>
        <v>43881</v>
      </c>
      <c r="D845" s="23">
        <f>'3.1.raw'!I845</f>
        <v>99</v>
      </c>
      <c r="E845" s="1">
        <v>3.09999999999999</v>
      </c>
      <c r="F845" s="23" t="b">
        <f>if(countif(Status!C:C,A845)=1,TRUE, FALSE)</f>
        <v>1</v>
      </c>
      <c r="G845" s="1">
        <f t="shared" si="2"/>
        <v>0</v>
      </c>
      <c r="H845" s="1">
        <f>'3.1.raw'!Z845</f>
        <v>0</v>
      </c>
      <c r="J845" s="1" t="str">
        <f>'3.1.raw'!AK845</f>
        <v>Sample with MO1191, Red Colony Count: Undiluted volume tested 100 ml - 00</v>
      </c>
    </row>
    <row r="846">
      <c r="A846" s="23" t="str">
        <f t="shared" si="10"/>
        <v>FB1364</v>
      </c>
      <c r="B846" s="23" t="str">
        <f>'3.1.raw'!L846</f>
        <v>FB1364</v>
      </c>
      <c r="C846" s="24">
        <f>datevalue(left('3.1.raw'!O846,10))</f>
        <v>43881</v>
      </c>
      <c r="D846" s="23">
        <f>'3.1.raw'!I846</f>
        <v>99</v>
      </c>
      <c r="E846" s="1">
        <v>3.09999999999999</v>
      </c>
      <c r="F846" s="23" t="b">
        <f>if(countif(Status!C:C,A846)=1,TRUE, FALSE)</f>
        <v>1</v>
      </c>
      <c r="G846" s="1">
        <f t="shared" si="2"/>
        <v>0</v>
      </c>
      <c r="H846" s="1">
        <f>'3.1.raw'!Z846</f>
        <v>0</v>
      </c>
      <c r="J846" s="1" t="str">
        <f>'3.1.raw'!AK846</f>
        <v>Sample with MO1192, Red Colony Count: Undiluted volume tested 100 ml - 00</v>
      </c>
    </row>
    <row r="847">
      <c r="A847" s="23" t="str">
        <f t="shared" si="10"/>
        <v>NCEC100</v>
      </c>
      <c r="B847" s="23" t="str">
        <f>'3.1.raw'!L847</f>
        <v>NCEC100</v>
      </c>
      <c r="C847" s="24">
        <f>datevalue(left('3.1.raw'!O847,10))</f>
        <v>43881</v>
      </c>
      <c r="D847" s="23">
        <f>'3.1.raw'!I847</f>
        <v>98</v>
      </c>
      <c r="E847" s="1">
        <v>3.09999999999999</v>
      </c>
      <c r="F847" s="23" t="b">
        <f>if(countif(Status!C:C,A847)=1,TRUE, FALSE)</f>
        <v>1</v>
      </c>
      <c r="G847" s="1">
        <f t="shared" si="2"/>
        <v>0</v>
      </c>
      <c r="H847" s="1">
        <f>'3.1.raw'!Z847</f>
        <v>0</v>
      </c>
      <c r="J847" s="1" t="str">
        <f>'3.1.raw'!AK847</f>
        <v>Red Colony Count: Undiluted volume tested 100 ml - 00</v>
      </c>
    </row>
    <row r="848">
      <c r="A848" s="23" t="str">
        <f t="shared" si="10"/>
        <v>PLc1207</v>
      </c>
      <c r="B848" s="23" t="str">
        <f>'3.1.raw'!L848</f>
        <v>PLc1207</v>
      </c>
      <c r="C848" s="24">
        <f>datevalue(left('3.1.raw'!O848,10))</f>
        <v>43885</v>
      </c>
      <c r="D848" s="23">
        <f>'3.1.raw'!I848</f>
        <v>11</v>
      </c>
      <c r="E848" s="1">
        <v>3.09999999999999</v>
      </c>
      <c r="F848" s="23" t="b">
        <f>if(countif(Status!C:C,A848)=1,TRUE, FALSE)</f>
        <v>1</v>
      </c>
      <c r="G848" s="1">
        <f t="shared" si="2"/>
        <v>1</v>
      </c>
      <c r="H848" s="1">
        <f>'3.1.raw'!Z848</f>
        <v>24</v>
      </c>
      <c r="J848" s="1" t="str">
        <f>'3.1.raw'!AK848</f>
        <v>Red colony count: 1:10^3 - 71; 1:10^4 - 38; 1:10^5 - 00, Each sample vol tested 1ml</v>
      </c>
    </row>
    <row r="849">
      <c r="A849" s="23" t="str">
        <f t="shared" si="10"/>
        <v>FB1369</v>
      </c>
      <c r="B849" s="23" t="str">
        <f>'3.1.raw'!L849</f>
        <v>FB1369</v>
      </c>
      <c r="C849" s="24">
        <f>datevalue(left('3.1.raw'!O849,10))</f>
        <v>43885</v>
      </c>
      <c r="D849" s="23">
        <f>'3.1.raw'!I849</f>
        <v>99</v>
      </c>
      <c r="E849" s="1">
        <v>3.09999999999999</v>
      </c>
      <c r="F849" s="23" t="b">
        <f>if(countif(Status!C:C,A849)=1,TRUE, FALSE)</f>
        <v>1</v>
      </c>
      <c r="G849" s="1">
        <f t="shared" si="2"/>
        <v>0</v>
      </c>
      <c r="H849" s="1">
        <f>'3.1.raw'!Z849</f>
        <v>0</v>
      </c>
      <c r="J849" s="1" t="str">
        <f>'3.1.raw'!AK849</f>
        <v>Sample with PLc1207, Red Colony Count: Undiluted volume tested 100 ml - 00</v>
      </c>
    </row>
    <row r="850">
      <c r="A850" s="23" t="str">
        <f t="shared" si="10"/>
        <v>PLc1208</v>
      </c>
      <c r="B850" s="23" t="str">
        <f>'3.1.raw'!L850</f>
        <v>PLc1208</v>
      </c>
      <c r="C850" s="24">
        <f>datevalue(left('3.1.raw'!O850,10))</f>
        <v>43885</v>
      </c>
      <c r="D850" s="23">
        <f>'3.1.raw'!I850</f>
        <v>11</v>
      </c>
      <c r="E850" s="1">
        <v>3.09999999999999</v>
      </c>
      <c r="F850" s="23" t="b">
        <f>if(countif(Status!C:C,A850)=1,TRUE, FALSE)</f>
        <v>1</v>
      </c>
      <c r="G850" s="1">
        <f t="shared" si="2"/>
        <v>1</v>
      </c>
      <c r="H850" s="1">
        <f>'3.1.raw'!Z850</f>
        <v>30</v>
      </c>
      <c r="J850" s="1" t="str">
        <f>'3.1.raw'!AK850</f>
        <v>Red colony count: 1:10^3 -TNTC; 1:10^4 - 63; 1:10^5 - 09, Each sample vol tested 1ml</v>
      </c>
    </row>
    <row r="851">
      <c r="A851" s="23" t="str">
        <f t="shared" si="10"/>
        <v>FB1370</v>
      </c>
      <c r="B851" s="23" t="str">
        <f>'3.1.raw'!L851</f>
        <v>FB1370</v>
      </c>
      <c r="C851" s="24">
        <f>datevalue(left('3.1.raw'!O851,10))</f>
        <v>43885</v>
      </c>
      <c r="D851" s="23">
        <f>'3.1.raw'!I851</f>
        <v>99</v>
      </c>
      <c r="E851" s="1">
        <v>3.09999999999999</v>
      </c>
      <c r="F851" s="23" t="b">
        <f>if(countif(Status!C:C,A851)=1,TRUE, FALSE)</f>
        <v>1</v>
      </c>
      <c r="G851" s="1">
        <f t="shared" si="2"/>
        <v>0</v>
      </c>
      <c r="H851" s="1">
        <f>'3.1.raw'!Z851</f>
        <v>0</v>
      </c>
      <c r="J851" s="1" t="str">
        <f>'3.1.raw'!AK851</f>
        <v>Sample with PLc1208, Red Colony Count: Undiluted volume tested 100 ml - 00</v>
      </c>
    </row>
    <row r="852">
      <c r="A852" s="23" t="str">
        <f t="shared" si="10"/>
        <v>PLc1209</v>
      </c>
      <c r="B852" s="23" t="str">
        <f>'3.1.raw'!L852</f>
        <v>PLc1209</v>
      </c>
      <c r="C852" s="24">
        <f>datevalue(left('3.1.raw'!O852,10))</f>
        <v>43885</v>
      </c>
      <c r="D852" s="23">
        <f>'3.1.raw'!I852</f>
        <v>11</v>
      </c>
      <c r="E852" s="1">
        <v>3.09999999999999</v>
      </c>
      <c r="F852" s="23" t="b">
        <f>if(countif(Status!C:C,A852)=1,TRUE, FALSE)</f>
        <v>1</v>
      </c>
      <c r="G852" s="1">
        <f t="shared" si="2"/>
        <v>0</v>
      </c>
      <c r="H852" s="1">
        <f>'3.1.raw'!Z852</f>
        <v>0</v>
      </c>
      <c r="J852" s="1" t="str">
        <f>'3.1.raw'!AK852</f>
        <v>Red colony count: 1:10^3 -72; 1:10^4 - 02; 1:10^5 - 00, Each sample vol tested 1ml</v>
      </c>
    </row>
    <row r="853">
      <c r="A853" s="23" t="str">
        <f t="shared" si="10"/>
        <v>FB1371</v>
      </c>
      <c r="B853" s="23" t="str">
        <f>'3.1.raw'!L853</f>
        <v>FB1371</v>
      </c>
      <c r="C853" s="24">
        <f>datevalue(left('3.1.raw'!O853,10))</f>
        <v>43885</v>
      </c>
      <c r="D853" s="23">
        <f>'3.1.raw'!I853</f>
        <v>99</v>
      </c>
      <c r="E853" s="1">
        <v>3.09999999999999</v>
      </c>
      <c r="F853" s="23" t="b">
        <f>if(countif(Status!C:C,A853)=1,TRUE, FALSE)</f>
        <v>1</v>
      </c>
      <c r="G853" s="1">
        <f t="shared" si="2"/>
        <v>0</v>
      </c>
      <c r="H853" s="1">
        <f>'3.1.raw'!Z853</f>
        <v>0</v>
      </c>
      <c r="J853" s="1" t="str">
        <f>'3.1.raw'!AK853</f>
        <v>Sample with PLc1209, Red Colony Count: Undiluted volume tested 100 ml - 00</v>
      </c>
    </row>
    <row r="854">
      <c r="A854" s="23" t="str">
        <f t="shared" si="10"/>
        <v>PLc1210</v>
      </c>
      <c r="B854" s="23" t="str">
        <f>'3.1.raw'!L854</f>
        <v>PLc1210</v>
      </c>
      <c r="C854" s="24">
        <f>datevalue(left('3.1.raw'!O854,10))</f>
        <v>43885</v>
      </c>
      <c r="D854" s="23">
        <f>'3.1.raw'!I854</f>
        <v>11</v>
      </c>
      <c r="E854" s="1">
        <v>3.09999999999999</v>
      </c>
      <c r="F854" s="23" t="b">
        <f>if(countif(Status!C:C,A854)=1,TRUE, FALSE)</f>
        <v>1</v>
      </c>
      <c r="G854" s="1">
        <f t="shared" si="2"/>
        <v>1</v>
      </c>
      <c r="H854" s="1">
        <f>'3.1.raw'!Z854</f>
        <v>14</v>
      </c>
      <c r="J854" s="1" t="str">
        <f>'3.1.raw'!AK854</f>
        <v>Red colony count: 1:10^3 -TNTC; 1:10^4 - 20; 1:10^5 - 11, Each sample vol tested 1ml</v>
      </c>
    </row>
    <row r="855">
      <c r="A855" s="23" t="str">
        <f t="shared" si="10"/>
        <v>FB1372</v>
      </c>
      <c r="B855" s="23" t="str">
        <f>'3.1.raw'!L855</f>
        <v>FB1372</v>
      </c>
      <c r="C855" s="24">
        <f>datevalue(left('3.1.raw'!O855,10))</f>
        <v>43885</v>
      </c>
      <c r="D855" s="23">
        <f>'3.1.raw'!I855</f>
        <v>99</v>
      </c>
      <c r="E855" s="1">
        <v>3.09999999999999</v>
      </c>
      <c r="F855" s="23" t="b">
        <f>if(countif(Status!C:C,A855)=1,TRUE, FALSE)</f>
        <v>1</v>
      </c>
      <c r="G855" s="1">
        <f t="shared" si="2"/>
        <v>0</v>
      </c>
      <c r="H855" s="1">
        <f>'3.1.raw'!Z855</f>
        <v>0</v>
      </c>
      <c r="J855" s="1" t="str">
        <f>'3.1.raw'!AK855</f>
        <v>Sample with PLc1210, Red Colony Count: Undiluted volume tested 100 ml - 00</v>
      </c>
    </row>
    <row r="856">
      <c r="A856" s="23" t="str">
        <f t="shared" si="10"/>
        <v>PLc1211</v>
      </c>
      <c r="B856" s="23" t="str">
        <f>'3.1.raw'!L856</f>
        <v>PLc1211</v>
      </c>
      <c r="C856" s="24">
        <f>datevalue(left('3.1.raw'!O856,10))</f>
        <v>43885</v>
      </c>
      <c r="D856" s="23">
        <f>'3.1.raw'!I856</f>
        <v>11</v>
      </c>
      <c r="E856" s="1">
        <v>3.09999999999999</v>
      </c>
      <c r="F856" s="23" t="b">
        <f>if(countif(Status!C:C,A856)=1,TRUE, FALSE)</f>
        <v>1</v>
      </c>
      <c r="G856" s="1">
        <f t="shared" si="2"/>
        <v>1</v>
      </c>
      <c r="H856" s="1">
        <f>'3.1.raw'!Z856</f>
        <v>22</v>
      </c>
      <c r="J856" s="1" t="str">
        <f>'3.1.raw'!AK856</f>
        <v>Red colony count: 1:10^3 -TNTC; 1:10^4 - 35; 1:10^5 - 07, Each sample vol tested 1ml</v>
      </c>
    </row>
    <row r="857">
      <c r="A857" s="23" t="str">
        <f t="shared" si="10"/>
        <v>FB1373</v>
      </c>
      <c r="B857" s="23" t="str">
        <f>'3.1.raw'!L857</f>
        <v>FB1373</v>
      </c>
      <c r="C857" s="24">
        <f>datevalue(left('3.1.raw'!O857,10))</f>
        <v>43885</v>
      </c>
      <c r="D857" s="23">
        <f>'3.1.raw'!I857</f>
        <v>99</v>
      </c>
      <c r="E857" s="1">
        <v>3.09999999999999</v>
      </c>
      <c r="F857" s="23" t="b">
        <f>if(countif(Status!C:C,A857)=1,TRUE, FALSE)</f>
        <v>1</v>
      </c>
      <c r="G857" s="1">
        <f t="shared" si="2"/>
        <v>0</v>
      </c>
      <c r="H857" s="1">
        <f>'3.1.raw'!Z857</f>
        <v>0</v>
      </c>
      <c r="J857" s="1" t="str">
        <f>'3.1.raw'!AK857</f>
        <v>Sample with PLc1211, Red Colony Count: Undiluted volume tested 100 ml - 00</v>
      </c>
    </row>
    <row r="858">
      <c r="A858" s="23" t="str">
        <f t="shared" si="10"/>
        <v>NCEC101</v>
      </c>
      <c r="B858" s="23" t="str">
        <f>'3.1.raw'!L858</f>
        <v>NCEC101</v>
      </c>
      <c r="C858" s="24">
        <f>datevalue(left('3.1.raw'!O858,10))</f>
        <v>43885</v>
      </c>
      <c r="D858" s="23">
        <f>'3.1.raw'!I858</f>
        <v>98</v>
      </c>
      <c r="E858" s="1">
        <v>3.09999999999999</v>
      </c>
      <c r="F858" s="23" t="b">
        <f>if(countif(Status!C:C,A858)=1,TRUE, FALSE)</f>
        <v>1</v>
      </c>
      <c r="G858" s="1">
        <f t="shared" si="2"/>
        <v>0</v>
      </c>
      <c r="H858" s="1">
        <f>'3.1.raw'!Z858</f>
        <v>0</v>
      </c>
      <c r="J858" s="1" t="str">
        <f>'3.1.raw'!AK858</f>
        <v>Red Colony Count: Undiluted volume tested 100 ml - 00</v>
      </c>
    </row>
    <row r="859">
      <c r="A859" s="23" t="str">
        <f t="shared" si="10"/>
        <v>DWa2001</v>
      </c>
      <c r="B859" s="23" t="str">
        <f>'3.1.raw'!L859</f>
        <v>DWa2001</v>
      </c>
      <c r="C859" s="24">
        <f>datevalue(left('3.1.raw'!O859,10))</f>
        <v>43886</v>
      </c>
      <c r="D859" s="23">
        <f>'3.1.raw'!I859</f>
        <v>3</v>
      </c>
      <c r="E859" s="1">
        <v>3.09999999999999</v>
      </c>
      <c r="F859" s="23" t="b">
        <f>if(countif(Status!C:C,A859)=1,TRUE, FALSE)</f>
        <v>1</v>
      </c>
      <c r="G859" s="1">
        <f t="shared" si="2"/>
        <v>0</v>
      </c>
      <c r="H859" s="1">
        <f>'3.1.raw'!Z859</f>
        <v>0</v>
      </c>
      <c r="J859" s="1" t="str">
        <f>'3.1.raw'!AK859</f>
        <v>Red colony count: Undiluted 100ml - 0, Undiluted 10ml - 0</v>
      </c>
    </row>
    <row r="860">
      <c r="A860" s="23" t="str">
        <f t="shared" si="10"/>
        <v>FB1378</v>
      </c>
      <c r="B860" s="23" t="str">
        <f>'3.1.raw'!L860</f>
        <v>FB1378</v>
      </c>
      <c r="C860" s="24">
        <f>datevalue(left('3.1.raw'!O860,10))</f>
        <v>43886</v>
      </c>
      <c r="D860" s="23">
        <f>'3.1.raw'!I860</f>
        <v>99</v>
      </c>
      <c r="E860" s="1">
        <v>3.09999999999999</v>
      </c>
      <c r="F860" s="23" t="b">
        <f>if(countif(Status!C:C,A860)=1,TRUE, FALSE)</f>
        <v>1</v>
      </c>
      <c r="G860" s="1">
        <f t="shared" si="2"/>
        <v>0</v>
      </c>
      <c r="H860" s="1">
        <f>'3.1.raw'!Z860</f>
        <v>0</v>
      </c>
      <c r="J860" s="1" t="str">
        <f>'3.1.raw'!AK860</f>
        <v>Sample with DWa2001, Red Colony Count: Undiluted volume tested 100 ml - 00</v>
      </c>
    </row>
    <row r="861">
      <c r="A861" s="23" t="str">
        <f t="shared" si="10"/>
        <v>UF1025</v>
      </c>
      <c r="B861" s="23" t="str">
        <f>'3.1.raw'!L861</f>
        <v>UF1025</v>
      </c>
      <c r="C861" s="24">
        <f>datevalue(left('3.1.raw'!O861,10))</f>
        <v>43886</v>
      </c>
      <c r="D861" s="23">
        <f>'3.1.raw'!I861</f>
        <v>16</v>
      </c>
      <c r="E861" s="1">
        <v>3.09999999999999</v>
      </c>
      <c r="F861" s="23" t="b">
        <f>if(countif(Status!C:C,A861)=1,TRUE, FALSE)</f>
        <v>1</v>
      </c>
      <c r="G861" s="1">
        <f t="shared" si="2"/>
        <v>1</v>
      </c>
      <c r="H861" s="1">
        <f>'3.1.raw'!Z861</f>
        <v>1</v>
      </c>
      <c r="J861" s="1" t="str">
        <f>'3.1.raw'!AK861</f>
        <v>Red colony count: 1:10^3 -24; 1:10^4 - 3; 1:10^5 - 01, Each sample vol tested 1ml</v>
      </c>
    </row>
    <row r="862">
      <c r="A862" s="23" t="str">
        <f t="shared" si="10"/>
        <v>SF2003</v>
      </c>
      <c r="B862" s="23" t="str">
        <f>'3.1.raw'!L862</f>
        <v>SF2003</v>
      </c>
      <c r="C862" s="24">
        <f>datevalue(left('3.1.raw'!O862,10))</f>
        <v>43886</v>
      </c>
      <c r="D862" s="23">
        <f>'3.1.raw'!I862</f>
        <v>10</v>
      </c>
      <c r="E862" s="1">
        <v>3.09999999999999</v>
      </c>
      <c r="F862" s="23" t="b">
        <f>if(countif(Status!C:C,A862)=1,TRUE, FALSE)</f>
        <v>1</v>
      </c>
      <c r="G862" s="1">
        <f t="shared" si="2"/>
        <v>0</v>
      </c>
      <c r="H862" s="1">
        <f>'3.1.raw'!Z862</f>
        <v>0</v>
      </c>
      <c r="J862" s="1" t="str">
        <f>'3.1.raw'!AK862</f>
        <v>Red colony count: 1:10^1 - 6; 1:10^2 - 3; 1:10^3 - 0, Each sample vol tested 1ml</v>
      </c>
    </row>
    <row r="863">
      <c r="A863" s="23" t="str">
        <f t="shared" si="10"/>
        <v>FB1379</v>
      </c>
      <c r="B863" s="23" t="str">
        <f>'3.1.raw'!L863</f>
        <v>FB1379</v>
      </c>
      <c r="C863" s="24">
        <f>datevalue(left('3.1.raw'!O863,10))</f>
        <v>43886</v>
      </c>
      <c r="D863" s="23">
        <f>'3.1.raw'!I863</f>
        <v>99</v>
      </c>
      <c r="E863" s="1">
        <v>3.09999999999999</v>
      </c>
      <c r="F863" s="23" t="b">
        <f>if(countif(Status!C:C,A863)=1,TRUE, FALSE)</f>
        <v>1</v>
      </c>
      <c r="G863" s="1">
        <f t="shared" si="2"/>
        <v>0</v>
      </c>
      <c r="H863" s="1">
        <f>'3.1.raw'!Z863</f>
        <v>0</v>
      </c>
      <c r="J863" s="1" t="str">
        <f>'3.1.raw'!AK863</f>
        <v>Sample with SF2003, Red Colony Count: Undiluted volume tested 100 ml - 00</v>
      </c>
    </row>
    <row r="864">
      <c r="A864" s="23" t="str">
        <f t="shared" si="10"/>
        <v>NCEC102</v>
      </c>
      <c r="B864" s="23" t="str">
        <f>'3.1.raw'!L864</f>
        <v>NCEC102</v>
      </c>
      <c r="C864" s="24">
        <f>datevalue(left('3.1.raw'!O864,10))</f>
        <v>43886</v>
      </c>
      <c r="D864" s="23">
        <f>'3.1.raw'!I864</f>
        <v>98</v>
      </c>
      <c r="E864" s="1">
        <v>3.09999999999999</v>
      </c>
      <c r="F864" s="23" t="b">
        <f>if(countif(Status!C:C,A864)=1,TRUE, FALSE)</f>
        <v>1</v>
      </c>
      <c r="G864" s="1">
        <f t="shared" si="2"/>
        <v>0</v>
      </c>
      <c r="H864" s="1">
        <f>'3.1.raw'!Z864</f>
        <v>0</v>
      </c>
      <c r="J864" s="1" t="str">
        <f>'3.1.raw'!AK864</f>
        <v>Red Colony Count: Undiluted volume tested 100 ml - 00</v>
      </c>
    </row>
    <row r="865">
      <c r="A865" s="23" t="str">
        <f t="shared" si="10"/>
        <v>UF1026</v>
      </c>
      <c r="B865" s="23" t="str">
        <f>'3.1.raw'!L865</f>
        <v>UF1026</v>
      </c>
      <c r="C865" s="24">
        <f>datevalue(left('3.1.raw'!O865,10))</f>
        <v>43886</v>
      </c>
      <c r="D865" s="23">
        <f>'3.1.raw'!I865</f>
        <v>16</v>
      </c>
      <c r="E865" s="1">
        <v>3.09999999999999</v>
      </c>
      <c r="F865" s="23" t="b">
        <f>if(countif(Status!C:C,A865)=1,TRUE, FALSE)</f>
        <v>1</v>
      </c>
      <c r="G865" s="1">
        <f t="shared" si="2"/>
        <v>1</v>
      </c>
      <c r="H865" s="1">
        <f>'3.1.raw'!Z865</f>
        <v>7</v>
      </c>
      <c r="J865" s="1" t="str">
        <f>'3.1.raw'!AK865</f>
        <v>Red colony count: 1:10^3 -84; 1:10^4 - 19; 1:10^5 - 01, Each sample vol tested 1ml</v>
      </c>
    </row>
    <row r="866">
      <c r="A866" s="23" t="str">
        <f t="shared" si="10"/>
        <v>PL1028</v>
      </c>
      <c r="B866" s="23" t="str">
        <f>'3.1.raw'!L866</f>
        <v>PL1028</v>
      </c>
      <c r="C866" s="24">
        <f>datevalue(left('3.1.raw'!O866,10))</f>
        <v>43887</v>
      </c>
      <c r="D866" s="23">
        <f>'3.1.raw'!I866</f>
        <v>7</v>
      </c>
      <c r="E866" s="1">
        <v>3.09999999999999</v>
      </c>
      <c r="F866" s="23" t="b">
        <f>if(countif(Status!C:C,A866)=1,TRUE, FALSE)</f>
        <v>1</v>
      </c>
      <c r="G866" s="1">
        <f t="shared" si="2"/>
        <v>1</v>
      </c>
      <c r="H866" s="1">
        <f>'3.1.raw'!Z866</f>
        <v>1</v>
      </c>
      <c r="J866" s="1" t="str">
        <f>'3.1.raw'!AK866</f>
        <v>Red colony count: 1:10^3 -98; 1:10^4 - 13; 1:10^5 - 02, Each sample vol tested 1ml</v>
      </c>
    </row>
    <row r="867">
      <c r="A867" s="23" t="str">
        <f t="shared" si="10"/>
        <v>PL1029</v>
      </c>
      <c r="B867" s="23" t="str">
        <f>'3.1.raw'!L867</f>
        <v>PL1029</v>
      </c>
      <c r="C867" s="24">
        <f>datevalue(left('3.1.raw'!O867,10))</f>
        <v>43887</v>
      </c>
      <c r="D867" s="23">
        <f>'3.1.raw'!I867</f>
        <v>7</v>
      </c>
      <c r="E867" s="1">
        <v>3.09999999999999</v>
      </c>
      <c r="F867" s="23" t="b">
        <f>if(countif(Status!C:C,A867)=1,TRUE, FALSE)</f>
        <v>1</v>
      </c>
      <c r="G867" s="1">
        <f t="shared" si="2"/>
        <v>0</v>
      </c>
      <c r="H867" s="1">
        <f>'3.1.raw'!Z867</f>
        <v>0</v>
      </c>
      <c r="J867" s="1" t="str">
        <f>'3.1.raw'!AK867</f>
        <v>Red colony count: 1:10^3 -13; 1:10^4 - 1; 1:10^5 - 00, Each sample vol tested 1ml</v>
      </c>
    </row>
    <row r="868">
      <c r="A868" s="23" t="str">
        <f t="shared" si="10"/>
        <v>FB1380</v>
      </c>
      <c r="B868" s="23" t="str">
        <f>'3.1.raw'!L868</f>
        <v>FB1380</v>
      </c>
      <c r="C868" s="24">
        <f>datevalue(left('3.1.raw'!O868,10))</f>
        <v>43887</v>
      </c>
      <c r="D868" s="23">
        <f>'3.1.raw'!I868</f>
        <v>99</v>
      </c>
      <c r="E868" s="1">
        <v>3.09999999999999</v>
      </c>
      <c r="F868" s="23" t="b">
        <f>if(countif(Status!C:C,A868)=1,TRUE, FALSE)</f>
        <v>1</v>
      </c>
      <c r="G868" s="1">
        <f t="shared" si="2"/>
        <v>0</v>
      </c>
      <c r="H868" s="1">
        <f>'3.1.raw'!Z868</f>
        <v>0</v>
      </c>
      <c r="J868" s="1" t="str">
        <f>'3.1.raw'!AK868</f>
        <v>Sample with PL1028, Red Colony Count: Undiluted volume tested 100 ml - 00</v>
      </c>
    </row>
    <row r="869">
      <c r="A869" s="23" t="str">
        <f t="shared" si="10"/>
        <v>FB1381</v>
      </c>
      <c r="B869" s="23" t="str">
        <f>'3.1.raw'!L869</f>
        <v>FB1381</v>
      </c>
      <c r="C869" s="24">
        <f>datevalue(left('3.1.raw'!O869,10))</f>
        <v>43887</v>
      </c>
      <c r="D869" s="23">
        <f>'3.1.raw'!I869</f>
        <v>99</v>
      </c>
      <c r="E869" s="1">
        <v>3.09999999999999</v>
      </c>
      <c r="F869" s="23" t="b">
        <f>if(countif(Status!C:C,A869)=1,TRUE, FALSE)</f>
        <v>1</v>
      </c>
      <c r="G869" s="1">
        <f t="shared" si="2"/>
        <v>0</v>
      </c>
      <c r="H869" s="1">
        <f>'3.1.raw'!Z869</f>
        <v>0</v>
      </c>
      <c r="J869" s="1" t="str">
        <f>'3.1.raw'!AK869</f>
        <v>Sample with PL1029, Red Colony Count: Undiluted volume tested 100 ml - 00</v>
      </c>
    </row>
    <row r="870">
      <c r="A870" s="23" t="str">
        <f t="shared" si="10"/>
        <v>NCEC103</v>
      </c>
      <c r="B870" s="23" t="str">
        <f>'3.1.raw'!L870</f>
        <v>NCEC103</v>
      </c>
      <c r="C870" s="24">
        <f>datevalue(left('3.1.raw'!O870,10))</f>
        <v>43887</v>
      </c>
      <c r="D870" s="23">
        <f>'3.1.raw'!I870</f>
        <v>98</v>
      </c>
      <c r="E870" s="1">
        <v>3.09999999999999</v>
      </c>
      <c r="F870" s="23" t="b">
        <f>if(countif(Status!C:C,A870)=1,TRUE, FALSE)</f>
        <v>1</v>
      </c>
      <c r="G870" s="1">
        <f t="shared" si="2"/>
        <v>0</v>
      </c>
      <c r="H870" s="1">
        <f>'3.1.raw'!Z870</f>
        <v>0</v>
      </c>
      <c r="J870" s="1" t="str">
        <f>'3.1.raw'!AK870</f>
        <v>Red Colony Count: Undiluted volume tested 100 ml - 00</v>
      </c>
    </row>
    <row r="871">
      <c r="A871" s="23" t="str">
        <f t="shared" si="10"/>
        <v>PLc1212</v>
      </c>
      <c r="B871" s="23" t="str">
        <f>'3.1.raw'!L871</f>
        <v>PLc1212</v>
      </c>
      <c r="C871" s="24">
        <f>datevalue(left('3.1.raw'!O871,10))</f>
        <v>43888</v>
      </c>
      <c r="D871" s="23">
        <f>'3.1.raw'!I871</f>
        <v>11</v>
      </c>
      <c r="E871" s="1">
        <v>3.09999999999999</v>
      </c>
      <c r="F871" s="23" t="b">
        <f>if(countif(Status!C:C,A871)=1,TRUE, FALSE)</f>
        <v>1</v>
      </c>
      <c r="G871" s="1">
        <f t="shared" si="2"/>
        <v>1</v>
      </c>
      <c r="H871" s="1">
        <f>'3.1.raw'!Z871</f>
        <v>9</v>
      </c>
      <c r="J871" s="1" t="str">
        <f>'3.1.raw'!AK871</f>
        <v>Red colony count: 1:10^3 -TNTC; 1:10^4 - 6; 1:10^5 - 3, Each sample vol tested 1ml</v>
      </c>
    </row>
    <row r="872">
      <c r="A872" s="23" t="str">
        <f t="shared" si="10"/>
        <v>FB1386</v>
      </c>
      <c r="B872" s="23" t="str">
        <f>'3.1.raw'!L872</f>
        <v>FB1386</v>
      </c>
      <c r="C872" s="24">
        <f>datevalue(left('3.1.raw'!O872,10))</f>
        <v>43888</v>
      </c>
      <c r="D872" s="23">
        <f>'3.1.raw'!I872</f>
        <v>99</v>
      </c>
      <c r="E872" s="1">
        <v>3.09999999999999</v>
      </c>
      <c r="F872" s="23" t="b">
        <f>if(countif(Status!C:C,A872)=1,TRUE, FALSE)</f>
        <v>1</v>
      </c>
      <c r="G872" s="1">
        <f t="shared" si="2"/>
        <v>0</v>
      </c>
      <c r="H872" s="1">
        <f>'3.1.raw'!Z872</f>
        <v>0</v>
      </c>
      <c r="J872" s="1" t="str">
        <f>'3.1.raw'!AK872</f>
        <v>Sample with PLc1212, Red Colony Count: Undiluted volume tested 100 ml - 00</v>
      </c>
    </row>
    <row r="873">
      <c r="A873" s="23" t="str">
        <f t="shared" si="10"/>
        <v>PLc1213</v>
      </c>
      <c r="B873" s="23" t="str">
        <f>'3.1.raw'!L873</f>
        <v>PLc1213</v>
      </c>
      <c r="C873" s="24">
        <f>datevalue(left('3.1.raw'!O873,10))</f>
        <v>43888</v>
      </c>
      <c r="D873" s="23">
        <f>'3.1.raw'!I873</f>
        <v>11</v>
      </c>
      <c r="E873" s="1">
        <v>3.09999999999999</v>
      </c>
      <c r="F873" s="23" t="b">
        <f>if(countif(Status!C:C,A873)=1,TRUE, FALSE)</f>
        <v>1</v>
      </c>
      <c r="G873" s="1">
        <f t="shared" si="2"/>
        <v>1</v>
      </c>
      <c r="H873" s="1">
        <f>'3.1.raw'!Z873</f>
        <v>6</v>
      </c>
      <c r="J873" s="1" t="str">
        <f>'3.1.raw'!AK873</f>
        <v>Red colony count: 1:10^3 -106; 1:10^4 - 12; 1:10^5 - 01, Each sample vol tested 1ml</v>
      </c>
    </row>
    <row r="874">
      <c r="A874" s="23" t="str">
        <f t="shared" si="10"/>
        <v>FB1387</v>
      </c>
      <c r="B874" s="23" t="str">
        <f>'3.1.raw'!L874</f>
        <v>FB1387</v>
      </c>
      <c r="C874" s="24">
        <f>datevalue(left('3.1.raw'!O874,10))</f>
        <v>43888</v>
      </c>
      <c r="D874" s="23">
        <f>'3.1.raw'!I874</f>
        <v>99</v>
      </c>
      <c r="E874" s="1">
        <v>3.09999999999999</v>
      </c>
      <c r="F874" s="23" t="b">
        <f>if(countif(Status!C:C,A874)=1,TRUE, FALSE)</f>
        <v>1</v>
      </c>
      <c r="G874" s="1">
        <f t="shared" si="2"/>
        <v>0</v>
      </c>
      <c r="H874" s="1">
        <f>'3.1.raw'!Z874</f>
        <v>0</v>
      </c>
      <c r="J874" s="1" t="str">
        <f>'3.1.raw'!AK874</f>
        <v>Sample with PLc1213, Red Colony Count: Undiluted volume tested 100 ml - 00</v>
      </c>
    </row>
    <row r="875">
      <c r="A875" s="23" t="str">
        <f t="shared" si="10"/>
        <v>PLc1214</v>
      </c>
      <c r="B875" s="23" t="str">
        <f>'3.1.raw'!L875</f>
        <v>PLc1214</v>
      </c>
      <c r="C875" s="24">
        <f>datevalue(left('3.1.raw'!O875,10))</f>
        <v>43888</v>
      </c>
      <c r="D875" s="23">
        <f>'3.1.raw'!I875</f>
        <v>11</v>
      </c>
      <c r="E875" s="1">
        <v>3.09999999999999</v>
      </c>
      <c r="F875" s="23" t="b">
        <f>if(countif(Status!C:C,A875)=1,TRUE, FALSE)</f>
        <v>1</v>
      </c>
      <c r="G875" s="1">
        <f t="shared" si="2"/>
        <v>1</v>
      </c>
      <c r="H875" s="1">
        <f>'3.1.raw'!Z875</f>
        <v>1</v>
      </c>
      <c r="J875" s="1" t="str">
        <f>'3.1.raw'!AK875</f>
        <v>Red colony count: 1:10^3 -21; 1:10^4 - 00; 1:10^5 - 00, Each sample vol tested 1ml</v>
      </c>
    </row>
    <row r="876">
      <c r="A876" s="23" t="str">
        <f t="shared" si="10"/>
        <v>FB1388</v>
      </c>
      <c r="B876" s="23" t="str">
        <f>'3.1.raw'!L876</f>
        <v>FB1388</v>
      </c>
      <c r="C876" s="24">
        <f>datevalue(left('3.1.raw'!O876,10))</f>
        <v>43888</v>
      </c>
      <c r="D876" s="23">
        <f>'3.1.raw'!I876</f>
        <v>99</v>
      </c>
      <c r="E876" s="1">
        <v>3.09999999999999</v>
      </c>
      <c r="F876" s="23" t="b">
        <f>if(countif(Status!C:C,A876)=1,TRUE, FALSE)</f>
        <v>1</v>
      </c>
      <c r="G876" s="1">
        <f t="shared" si="2"/>
        <v>0</v>
      </c>
      <c r="H876" s="1">
        <f>'3.1.raw'!Z876</f>
        <v>0</v>
      </c>
      <c r="J876" s="1" t="str">
        <f>'3.1.raw'!AK876</f>
        <v>Sample with PLc1214, Red Colony Count: Undiluted volume tested 100 ml - 00</v>
      </c>
    </row>
    <row r="877">
      <c r="A877" s="23" t="str">
        <f t="shared" si="10"/>
        <v>FPa2005</v>
      </c>
      <c r="B877" s="23" t="str">
        <f>'3.1.raw'!L877</f>
        <v>FPa2005</v>
      </c>
      <c r="C877" s="24">
        <f>datevalue(left('3.1.raw'!O877,10))</f>
        <v>43888</v>
      </c>
      <c r="D877" s="23">
        <f>'3.1.raw'!I877</f>
        <v>14</v>
      </c>
      <c r="E877" s="1">
        <v>3.09999999999999</v>
      </c>
      <c r="F877" s="23" t="b">
        <f>if(countif(Status!C:C,A877)=1,TRUE, FALSE)</f>
        <v>1</v>
      </c>
      <c r="G877" s="1">
        <f t="shared" si="2"/>
        <v>1</v>
      </c>
      <c r="H877" s="1">
        <f>'3.1.raw'!Z877</f>
        <v>9</v>
      </c>
      <c r="J877" s="1" t="str">
        <f>'3.1.raw'!AK877</f>
        <v>Red colony count: 1:10^1 -651; 1:10^2 - 3; 1:10^3 - 0, Each sample vol tested 1ml</v>
      </c>
    </row>
    <row r="878">
      <c r="A878" s="23" t="str">
        <f t="shared" si="10"/>
        <v>FPb2005</v>
      </c>
      <c r="B878" s="23" t="str">
        <f>'3.1.raw'!L878</f>
        <v>FPb2005</v>
      </c>
      <c r="C878" s="24">
        <f>datevalue(left('3.1.raw'!O878,10))</f>
        <v>43888</v>
      </c>
      <c r="D878" s="23">
        <f>'3.1.raw'!I878</f>
        <v>14</v>
      </c>
      <c r="E878" s="1">
        <v>3.09999999999999</v>
      </c>
      <c r="F878" s="23" t="b">
        <f>if(countif(Status!C:C,A878)=1,TRUE, FALSE)</f>
        <v>1</v>
      </c>
      <c r="G878" s="1">
        <f t="shared" si="2"/>
        <v>0</v>
      </c>
      <c r="H878" s="1">
        <f>'3.1.raw'!Z878</f>
        <v>0</v>
      </c>
      <c r="J878" s="1" t="str">
        <f>'3.1.raw'!AK878</f>
        <v>Red colony count: Undiluted 100ml - 3, Undiluted 10ml - 0, 1:10^1 - 0, sample vol tested 1ml</v>
      </c>
    </row>
    <row r="879">
      <c r="A879" s="23" t="str">
        <f t="shared" si="10"/>
        <v>FPc2005</v>
      </c>
      <c r="B879" s="23" t="str">
        <f>'3.1.raw'!L879</f>
        <v>FPc2005</v>
      </c>
      <c r="C879" s="24">
        <f>datevalue(left('3.1.raw'!O879,10))</f>
        <v>43888</v>
      </c>
      <c r="D879" s="23">
        <f>'3.1.raw'!I879</f>
        <v>14</v>
      </c>
      <c r="E879" s="1">
        <v>3.09999999999999</v>
      </c>
      <c r="F879" s="23" t="b">
        <f>if(countif(Status!C:C,A879)=1,TRUE, FALSE)</f>
        <v>1</v>
      </c>
      <c r="G879" s="1">
        <f t="shared" si="2"/>
        <v>1</v>
      </c>
      <c r="H879" s="1">
        <f>'3.1.raw'!Z879</f>
        <v>70</v>
      </c>
      <c r="J879" s="1" t="str">
        <f>'3.1.raw'!AK879</f>
        <v>Red colony count: 1:10^1 - TNTC; 1:10^2 - 21; 1:10^3 - 00, Each sample vol tested 1ml</v>
      </c>
    </row>
    <row r="880">
      <c r="A880" s="23" t="str">
        <f t="shared" si="10"/>
        <v>FPd2005</v>
      </c>
      <c r="B880" s="23" t="str">
        <f>'3.1.raw'!L880</f>
        <v>FPd2005</v>
      </c>
      <c r="C880" s="24">
        <f>datevalue(left('3.1.raw'!O880,10))</f>
        <v>43888</v>
      </c>
      <c r="D880" s="23">
        <f>'3.1.raw'!I880</f>
        <v>14</v>
      </c>
      <c r="E880" s="1">
        <v>3.09999999999999</v>
      </c>
      <c r="F880" s="23" t="b">
        <f>if(countif(Status!C:C,A880)=1,TRUE, FALSE)</f>
        <v>1</v>
      </c>
      <c r="G880" s="1">
        <f t="shared" si="2"/>
        <v>0</v>
      </c>
      <c r="H880" s="1">
        <f>'3.1.raw'!Z880</f>
        <v>0</v>
      </c>
      <c r="J880" s="1" t="str">
        <f>'3.1.raw'!AK880</f>
        <v>Red colony count: Undiluted 100ml - 1, Undiluted 10ml - 0, 1:10^1 - 0, sample vol tested 1ml</v>
      </c>
    </row>
    <row r="881">
      <c r="A881" s="23" t="str">
        <f t="shared" si="10"/>
        <v>FPe2005</v>
      </c>
      <c r="B881" s="23" t="str">
        <f>'3.1.raw'!L881</f>
        <v>FPe2005</v>
      </c>
      <c r="C881" s="24">
        <f>datevalue(left('3.1.raw'!O881,10))</f>
        <v>43888</v>
      </c>
      <c r="D881" s="23">
        <f>'3.1.raw'!I881</f>
        <v>14</v>
      </c>
      <c r="E881" s="1">
        <v>3.09999999999999</v>
      </c>
      <c r="F881" s="23" t="b">
        <f>if(countif(Status!C:C,A881)=1,TRUE, FALSE)</f>
        <v>1</v>
      </c>
      <c r="G881" s="1">
        <f t="shared" si="2"/>
        <v>0</v>
      </c>
      <c r="H881" s="1">
        <f>'3.1.raw'!Z881</f>
        <v>0</v>
      </c>
      <c r="J881" s="1" t="str">
        <f>'3.1.raw'!AK881</f>
        <v>Red colony count: Undiluted 100ml - 2, Undiluted 10ml - 1, 1:10^1 - 0, sample vol tested 1ml</v>
      </c>
    </row>
    <row r="882">
      <c r="A882" s="23" t="str">
        <f t="shared" si="10"/>
        <v>FB1385</v>
      </c>
      <c r="B882" s="23" t="str">
        <f>'3.1.raw'!L882</f>
        <v>FB1385</v>
      </c>
      <c r="C882" s="24">
        <f>datevalue(left('3.1.raw'!O882,10))</f>
        <v>43888</v>
      </c>
      <c r="D882" s="23">
        <f>'3.1.raw'!I882</f>
        <v>99</v>
      </c>
      <c r="E882" s="1">
        <v>3.09999999999999</v>
      </c>
      <c r="F882" s="23" t="b">
        <f>if(countif(Status!C:C,A882)=1,TRUE, FALSE)</f>
        <v>1</v>
      </c>
      <c r="G882" s="1">
        <f t="shared" si="2"/>
        <v>0</v>
      </c>
      <c r="H882" s="1">
        <f>'3.1.raw'!Z882</f>
        <v>0</v>
      </c>
      <c r="J882" s="1" t="str">
        <f>'3.1.raw'!AK882</f>
        <v>Sample with FPa2005, FPb2005, FPc2005, FPd2005, FPe2005, Red Colony Count: Undiluted volume tested 100 ml - 00</v>
      </c>
    </row>
    <row r="883">
      <c r="A883" s="23" t="str">
        <f t="shared" si="10"/>
        <v>NCEC104</v>
      </c>
      <c r="B883" s="23" t="str">
        <f>'3.1.raw'!L883</f>
        <v>NCEC104</v>
      </c>
      <c r="C883" s="24">
        <f>datevalue(left('3.1.raw'!O883,10))</f>
        <v>43888</v>
      </c>
      <c r="D883" s="23">
        <f>'3.1.raw'!I883</f>
        <v>98</v>
      </c>
      <c r="E883" s="1">
        <v>3.09999999999999</v>
      </c>
      <c r="F883" s="23" t="b">
        <f>if(countif(Status!C:C,A883)=1,TRUE, FALSE)</f>
        <v>1</v>
      </c>
      <c r="G883" s="1">
        <f t="shared" si="2"/>
        <v>0</v>
      </c>
      <c r="H883" s="1">
        <f>'3.1.raw'!Z883</f>
        <v>0</v>
      </c>
      <c r="J883" s="1" t="str">
        <f>'3.1.raw'!AK883</f>
        <v>Red Colony Count: Undiluted volume tested 100 ml - 00</v>
      </c>
    </row>
    <row r="884">
      <c r="A884" s="23" t="str">
        <f t="shared" si="10"/>
        <v>NCEC105</v>
      </c>
      <c r="B884" s="23" t="str">
        <f>'3.1.raw'!L884</f>
        <v>NCEC105</v>
      </c>
      <c r="C884" s="24">
        <f>datevalue(left('3.1.raw'!O884,10))</f>
        <v>43892</v>
      </c>
      <c r="D884" s="23">
        <f>'3.1.raw'!I884</f>
        <v>98</v>
      </c>
      <c r="E884" s="1">
        <v>3.09999999999999</v>
      </c>
      <c r="F884" s="23" t="b">
        <f>if(countif(Status!C:C,A884)=1,TRUE, FALSE)</f>
        <v>1</v>
      </c>
      <c r="G884" s="1">
        <f t="shared" si="2"/>
        <v>0</v>
      </c>
      <c r="H884" s="1">
        <f>'3.1.raw'!Z884</f>
        <v>0</v>
      </c>
      <c r="J884" s="1" t="str">
        <f>'3.1.raw'!AK884</f>
        <v>Red Colony Count: Undiluted volume tested 100 ml - 00</v>
      </c>
    </row>
    <row r="885">
      <c r="A885" s="23" t="str">
        <f t="shared" si="10"/>
        <v>PLc1215</v>
      </c>
      <c r="B885" s="23" t="str">
        <f>'3.1.raw'!L885</f>
        <v>PLc1215</v>
      </c>
      <c r="C885" s="24">
        <f>datevalue(left('3.1.raw'!O885,10))</f>
        <v>43892</v>
      </c>
      <c r="D885" s="23">
        <f>'3.1.raw'!I885</f>
        <v>11</v>
      </c>
      <c r="E885" s="1">
        <v>3.09999999999999</v>
      </c>
      <c r="F885" s="23" t="b">
        <f>if(countif(Status!C:C,A885)=1,TRUE, FALSE)</f>
        <v>1</v>
      </c>
      <c r="G885" s="1">
        <f t="shared" si="2"/>
        <v>1</v>
      </c>
      <c r="H885" s="1">
        <f>'3.1.raw'!Z885</f>
        <v>62</v>
      </c>
      <c r="J885" s="1" t="str">
        <f>'3.1.raw'!AK885</f>
        <v>Red colony count: 1:10^3 -TNTC; 1:10^4 - 56; 1:10^5 - 06, Each sample vol tested 1ml</v>
      </c>
    </row>
    <row r="886">
      <c r="A886" s="23" t="str">
        <f t="shared" si="10"/>
        <v>FB1394</v>
      </c>
      <c r="B886" s="23" t="str">
        <f>'3.1.raw'!L886</f>
        <v>FB1394</v>
      </c>
      <c r="C886" s="24">
        <f>datevalue(left('3.1.raw'!O886,10))</f>
        <v>43892</v>
      </c>
      <c r="D886" s="23">
        <f>'3.1.raw'!I886</f>
        <v>99</v>
      </c>
      <c r="E886" s="1">
        <v>3.09999999999999</v>
      </c>
      <c r="F886" s="23" t="b">
        <f>if(countif(Status!C:C,A886)=1,TRUE, FALSE)</f>
        <v>1</v>
      </c>
      <c r="G886" s="1">
        <f t="shared" si="2"/>
        <v>0</v>
      </c>
      <c r="H886" s="1">
        <f>'3.1.raw'!Z886</f>
        <v>0</v>
      </c>
      <c r="J886" s="1" t="str">
        <f>'3.1.raw'!AK886</f>
        <v>Sample with PLc1215, Red Colony Count: Undiluted volume tested 100 ml - 00</v>
      </c>
    </row>
    <row r="887">
      <c r="A887" s="23" t="str">
        <f t="shared" si="10"/>
        <v>PLc1216</v>
      </c>
      <c r="B887" s="23" t="str">
        <f>'3.1.raw'!L887</f>
        <v>PLc1216</v>
      </c>
      <c r="C887" s="24">
        <f>datevalue(left('3.1.raw'!O887,10))</f>
        <v>43892</v>
      </c>
      <c r="D887" s="23">
        <f>'3.1.raw'!I887</f>
        <v>11</v>
      </c>
      <c r="E887" s="1">
        <v>3.09999999999999</v>
      </c>
      <c r="F887" s="23" t="b">
        <f>if(countif(Status!C:C,A887)=1,TRUE, FALSE)</f>
        <v>1</v>
      </c>
      <c r="G887" s="1">
        <f t="shared" si="2"/>
        <v>1</v>
      </c>
      <c r="H887" s="1">
        <f>'3.1.raw'!Z887</f>
        <v>142</v>
      </c>
      <c r="J887" s="1" t="str">
        <f>'3.1.raw'!AK887</f>
        <v>Red colony count: 1:10^3 -182; 1:10^4 - 55; 1:10^5 - 03, Each sample vol tested 1ml</v>
      </c>
    </row>
    <row r="888">
      <c r="A888" s="23" t="str">
        <f t="shared" si="10"/>
        <v>FB1395</v>
      </c>
      <c r="B888" s="23" t="str">
        <f>'3.1.raw'!L888</f>
        <v>FB1395</v>
      </c>
      <c r="C888" s="24">
        <f>datevalue(left('3.1.raw'!O888,10))</f>
        <v>43892</v>
      </c>
      <c r="D888" s="23">
        <f>'3.1.raw'!I888</f>
        <v>99</v>
      </c>
      <c r="E888" s="1">
        <v>3.09999999999999</v>
      </c>
      <c r="F888" s="23" t="b">
        <f>if(countif(Status!C:C,A888)=1,TRUE, FALSE)</f>
        <v>1</v>
      </c>
      <c r="G888" s="1">
        <f t="shared" si="2"/>
        <v>0</v>
      </c>
      <c r="H888" s="1">
        <f>'3.1.raw'!Z888</f>
        <v>0</v>
      </c>
      <c r="J888" s="1" t="str">
        <f>'3.1.raw'!AK888</f>
        <v>Sample with PLc1216, Red Colony Count: Undiluted volume tested 100 ml - 00</v>
      </c>
    </row>
    <row r="889">
      <c r="A889" s="23" t="str">
        <f t="shared" si="10"/>
        <v>PLc1217</v>
      </c>
      <c r="B889" s="23" t="str">
        <f>'3.1.raw'!L889</f>
        <v>PLc1217</v>
      </c>
      <c r="C889" s="24">
        <f>datevalue(left('3.1.raw'!O889,10))</f>
        <v>43892</v>
      </c>
      <c r="D889" s="23">
        <f>'3.1.raw'!I889</f>
        <v>11</v>
      </c>
      <c r="E889" s="1">
        <v>3.09999999999999</v>
      </c>
      <c r="F889" s="23" t="b">
        <f>if(countif(Status!C:C,A889)=1,TRUE, FALSE)</f>
        <v>1</v>
      </c>
      <c r="G889" s="1">
        <f t="shared" si="2"/>
        <v>1</v>
      </c>
      <c r="H889" s="1">
        <f>'3.1.raw'!Z889</f>
        <v>41</v>
      </c>
      <c r="J889" s="1" t="str">
        <f>'3.1.raw'!AK889</f>
        <v>Red colony count: 1:10^3 -72; 1:10^4 - 7; 1:10^5 - 4, Each sample vol tested 1ml</v>
      </c>
    </row>
    <row r="890">
      <c r="A890" s="23" t="str">
        <f t="shared" si="10"/>
        <v>FB1396</v>
      </c>
      <c r="B890" s="23" t="str">
        <f>'3.1.raw'!L890</f>
        <v>FB1396</v>
      </c>
      <c r="C890" s="24">
        <f>datevalue(left('3.1.raw'!O890,10))</f>
        <v>43892</v>
      </c>
      <c r="D890" s="23">
        <f>'3.1.raw'!I890</f>
        <v>99</v>
      </c>
      <c r="E890" s="1">
        <v>3.09999999999999</v>
      </c>
      <c r="F890" s="23" t="b">
        <f>if(countif(Status!C:C,A890)=1,TRUE, FALSE)</f>
        <v>1</v>
      </c>
      <c r="G890" s="1">
        <f t="shared" si="2"/>
        <v>0</v>
      </c>
      <c r="H890" s="1">
        <f>'3.1.raw'!Z890</f>
        <v>0</v>
      </c>
      <c r="J890" s="1" t="str">
        <f>'3.1.raw'!AK890</f>
        <v>Sample with PLc1217, Red Colony Count: Undiluted volume tested 100 ml - 00</v>
      </c>
    </row>
    <row r="891">
      <c r="A891" s="23" t="str">
        <f t="shared" si="10"/>
        <v>UF1027</v>
      </c>
      <c r="B891" s="23" t="str">
        <f>'3.1.raw'!L891</f>
        <v>UF1027</v>
      </c>
      <c r="C891" s="24">
        <f>datevalue(left('3.1.raw'!O891,10))</f>
        <v>43893</v>
      </c>
      <c r="D891" s="23">
        <f>'3.1.raw'!I891</f>
        <v>16</v>
      </c>
      <c r="E891" s="1">
        <v>3.09999999999999</v>
      </c>
      <c r="F891" s="23" t="b">
        <f>if(countif(Status!C:C,A891)=1,TRUE, FALSE)</f>
        <v>1</v>
      </c>
      <c r="G891" s="1">
        <f t="shared" si="2"/>
        <v>1</v>
      </c>
      <c r="H891" s="1">
        <f>'3.1.raw'!Z891</f>
        <v>25</v>
      </c>
      <c r="J891" s="1" t="str">
        <f>'3.1.raw'!AK891</f>
        <v>Red colony count: 1:10^3 -TNTC; 1:10^4 - 69; 1:10^5 - 10, Each sample vol tested 1ml</v>
      </c>
    </row>
    <row r="892">
      <c r="A892" s="23" t="str">
        <f t="shared" si="10"/>
        <v>BW2002</v>
      </c>
      <c r="B892" s="23" t="str">
        <f>'3.1.raw'!L892</f>
        <v>BW2002</v>
      </c>
      <c r="C892" s="24">
        <f>datevalue(left('3.1.raw'!O892,10))</f>
        <v>43893</v>
      </c>
      <c r="D892" s="23">
        <f>'3.1.raw'!I892</f>
        <v>9</v>
      </c>
      <c r="E892" s="1">
        <v>3.09999999999999</v>
      </c>
      <c r="F892" s="23" t="b">
        <f>if(countif(Status!C:C,A892)=1,TRUE, FALSE)</f>
        <v>1</v>
      </c>
      <c r="G892" s="1">
        <f t="shared" si="2"/>
        <v>0</v>
      </c>
      <c r="H892" s="1">
        <f>'3.1.raw'!Z892</f>
        <v>0</v>
      </c>
      <c r="J892" s="1" t="str">
        <f>'3.1.raw'!AK892</f>
        <v>Red colony count: Undiluted 100ml - 2, Undiluted 10ml - 3; No colonies/medium blue spots seen in 10ml and in 100ml, no growth.</v>
      </c>
    </row>
    <row r="893">
      <c r="A893" s="23" t="str">
        <f t="shared" si="10"/>
        <v>FB1397</v>
      </c>
      <c r="B893" s="23" t="str">
        <f>'3.1.raw'!L893</f>
        <v>FB1397</v>
      </c>
      <c r="C893" s="24">
        <f>datevalue(left('3.1.raw'!O893,10))</f>
        <v>43893</v>
      </c>
      <c r="D893" s="23">
        <f>'3.1.raw'!I893</f>
        <v>99</v>
      </c>
      <c r="E893" s="1">
        <v>3.09999999999999</v>
      </c>
      <c r="F893" s="23" t="b">
        <f>if(countif(Status!C:C,A893)=1,TRUE, FALSE)</f>
        <v>1</v>
      </c>
      <c r="G893" s="1">
        <f t="shared" si="2"/>
        <v>0</v>
      </c>
      <c r="H893" s="1">
        <f>'3.1.raw'!Z893</f>
        <v>0</v>
      </c>
      <c r="J893" s="1" t="str">
        <f>'3.1.raw'!AK893</f>
        <v>Sample with BW2002, Red Colony Count: Undiluted volume tested 100 ml - 00</v>
      </c>
    </row>
    <row r="894">
      <c r="A894" s="23" t="str">
        <f t="shared" si="10"/>
        <v>RP2003</v>
      </c>
      <c r="B894" s="23" t="str">
        <f>'3.1.raw'!L894</f>
        <v>RP2003</v>
      </c>
      <c r="C894" s="24">
        <f>datevalue(left('3.1.raw'!O894,10))</f>
        <v>43893</v>
      </c>
      <c r="D894" s="23">
        <f>'3.1.raw'!I894</f>
        <v>2</v>
      </c>
      <c r="E894" s="1">
        <v>3.09999999999999</v>
      </c>
      <c r="F894" s="23" t="b">
        <f>if(countif(Status!C:C,A894)=1,TRUE, FALSE)</f>
        <v>1</v>
      </c>
      <c r="G894" s="1" t="str">
        <f t="shared" si="2"/>
        <v/>
      </c>
      <c r="H894" s="1" t="str">
        <f>'3.1.raw'!Z894</f>
        <v/>
      </c>
      <c r="J894" s="1" t="str">
        <f>'3.1.raw'!AK894</f>
        <v>Red colony count: Undiluted 10ml - TDTC, 1:10^1 - TNTC, 1:10^2 -159, sample vol tested 1ml; Red colonies diffused/smudged.</v>
      </c>
    </row>
    <row r="895">
      <c r="A895" s="23" t="str">
        <f t="shared" si="10"/>
        <v>FB1398</v>
      </c>
      <c r="B895" s="23" t="str">
        <f>'3.1.raw'!L895</f>
        <v>FB1398</v>
      </c>
      <c r="C895" s="24">
        <f>datevalue(left('3.1.raw'!O895,10))</f>
        <v>43893</v>
      </c>
      <c r="D895" s="23">
        <f>'3.1.raw'!I895</f>
        <v>99</v>
      </c>
      <c r="E895" s="1">
        <v>3.09999999999999</v>
      </c>
      <c r="F895" s="23" t="b">
        <f>if(countif(Status!C:C,A895)=1,TRUE, FALSE)</f>
        <v>1</v>
      </c>
      <c r="G895" s="1">
        <f t="shared" si="2"/>
        <v>0</v>
      </c>
      <c r="H895" s="1">
        <f>'3.1.raw'!Z895</f>
        <v>0</v>
      </c>
      <c r="J895" s="1" t="str">
        <f>'3.1.raw'!AK895</f>
        <v>Sample with RP2003, Red Colony Count: Undiluted volume tested 100 ml - 00</v>
      </c>
    </row>
    <row r="896">
      <c r="A896" s="23" t="str">
        <f t="shared" si="10"/>
        <v>NCEC106</v>
      </c>
      <c r="B896" s="23" t="str">
        <f>'3.1.raw'!L896</f>
        <v>NCEC106</v>
      </c>
      <c r="C896" s="24">
        <f>datevalue(left('3.1.raw'!O896,10))</f>
        <v>43893</v>
      </c>
      <c r="D896" s="23">
        <f>'3.1.raw'!I896</f>
        <v>98</v>
      </c>
      <c r="E896" s="1">
        <v>3.09999999999999</v>
      </c>
      <c r="F896" s="23" t="b">
        <f>if(countif(Status!C:C,A896)=1,TRUE, FALSE)</f>
        <v>1</v>
      </c>
      <c r="G896" s="1">
        <f t="shared" si="2"/>
        <v>0</v>
      </c>
      <c r="H896" s="1">
        <f>'3.1.raw'!Z896</f>
        <v>0</v>
      </c>
      <c r="J896" s="1" t="str">
        <f>'3.1.raw'!AK896</f>
        <v>Red Colony Count: Undiluted volume tested 100 ml - 00</v>
      </c>
    </row>
    <row r="897">
      <c r="A897" s="23" t="str">
        <f t="shared" si="10"/>
        <v>UF1028</v>
      </c>
      <c r="B897" s="23" t="str">
        <f>'3.1.raw'!L897</f>
        <v>UF1028</v>
      </c>
      <c r="C897" s="24">
        <f>datevalue(left('3.1.raw'!O897,10))</f>
        <v>43894</v>
      </c>
      <c r="D897" s="23">
        <f>'3.1.raw'!I897</f>
        <v>16</v>
      </c>
      <c r="E897" s="1">
        <v>3.09999999999999</v>
      </c>
      <c r="F897" s="23" t="b">
        <f>if(countif(Status!C:C,A897)=1,TRUE, FALSE)</f>
        <v>1</v>
      </c>
      <c r="G897" s="1">
        <f t="shared" si="2"/>
        <v>1</v>
      </c>
      <c r="H897" s="1">
        <f>'3.1.raw'!Z897</f>
        <v>20</v>
      </c>
      <c r="J897" s="1" t="str">
        <f>'3.1.raw'!AK897</f>
        <v>Red colony count: 1:10^3 -TNTC; 1:10^4 - 55; 1:10^5 - 5, Each sample vol tested 1ml</v>
      </c>
    </row>
    <row r="898">
      <c r="A898" s="23" t="str">
        <f t="shared" si="10"/>
        <v>PL1030</v>
      </c>
      <c r="B898" s="23" t="str">
        <f>'3.1.raw'!L898</f>
        <v>PL1030</v>
      </c>
      <c r="C898" s="24">
        <f>datevalue(left('3.1.raw'!O898,10))</f>
        <v>43894</v>
      </c>
      <c r="D898" s="23">
        <f>'3.1.raw'!I898</f>
        <v>7</v>
      </c>
      <c r="E898" s="1">
        <v>3.09999999999999</v>
      </c>
      <c r="F898" s="23" t="b">
        <f>if(countif(Status!C:C,A898)=1,TRUE, FALSE)</f>
        <v>1</v>
      </c>
      <c r="G898" s="1">
        <f t="shared" si="2"/>
        <v>1</v>
      </c>
      <c r="H898" s="1">
        <f>'3.1.raw'!Z898</f>
        <v>1</v>
      </c>
      <c r="J898" s="1" t="str">
        <f>'3.1.raw'!AK898</f>
        <v>Red colony count: 1:10^3 -2; 1:10^4 - 1; 1:10^5 - 00, Each sample vol tested 1ml</v>
      </c>
    </row>
    <row r="899">
      <c r="A899" s="23" t="str">
        <f t="shared" si="10"/>
        <v>FB1406</v>
      </c>
      <c r="B899" s="23" t="str">
        <f>'3.1.raw'!L899</f>
        <v>FB1406</v>
      </c>
      <c r="C899" s="24">
        <f>datevalue(left('3.1.raw'!O899,10))</f>
        <v>43894</v>
      </c>
      <c r="D899" s="23">
        <f>'3.1.raw'!I899</f>
        <v>99</v>
      </c>
      <c r="E899" s="1">
        <v>3.09999999999999</v>
      </c>
      <c r="F899" s="23" t="b">
        <f>if(countif(Status!C:C,A899)=1,TRUE, FALSE)</f>
        <v>1</v>
      </c>
      <c r="G899" s="1">
        <f t="shared" si="2"/>
        <v>0</v>
      </c>
      <c r="H899" s="1">
        <f>'3.1.raw'!Z899</f>
        <v>0</v>
      </c>
      <c r="J899" s="1" t="str">
        <f>'3.1.raw'!AK899</f>
        <v>Sample with PL1030, Red Colony Count: Undiluted volume tested 100 ml - 00</v>
      </c>
    </row>
    <row r="900">
      <c r="A900" s="23" t="str">
        <f t="shared" si="10"/>
        <v>PL1031</v>
      </c>
      <c r="B900" s="23" t="str">
        <f>'3.1.raw'!L900</f>
        <v>PL1031</v>
      </c>
      <c r="C900" s="24">
        <f>datevalue(left('3.1.raw'!O900,10))</f>
        <v>43894</v>
      </c>
      <c r="D900" s="23">
        <f>'3.1.raw'!I900</f>
        <v>7</v>
      </c>
      <c r="E900" s="1">
        <v>3.09999999999999</v>
      </c>
      <c r="F900" s="23" t="b">
        <f>if(countif(Status!C:C,A900)=1,TRUE, FALSE)</f>
        <v>1</v>
      </c>
      <c r="G900" s="1">
        <f t="shared" si="2"/>
        <v>1</v>
      </c>
      <c r="H900" s="1">
        <f>'3.1.raw'!Z900</f>
        <v>11</v>
      </c>
      <c r="J900" s="1" t="str">
        <f>'3.1.raw'!AK900</f>
        <v>Red colony count: 1:10^3 -51; 1:10^4 - 23; 1:10^5 - 1, Each sample vol tested 1ml; 11 green colonies.</v>
      </c>
    </row>
    <row r="901">
      <c r="A901" s="23" t="str">
        <f t="shared" si="10"/>
        <v>FB1407</v>
      </c>
      <c r="B901" s="23" t="str">
        <f>'3.1.raw'!L901</f>
        <v>FB1407</v>
      </c>
      <c r="C901" s="24">
        <f>datevalue(left('3.1.raw'!O901,10))</f>
        <v>43894</v>
      </c>
      <c r="D901" s="23">
        <f>'3.1.raw'!I901</f>
        <v>99</v>
      </c>
      <c r="E901" s="1">
        <v>3.09999999999999</v>
      </c>
      <c r="F901" s="23" t="b">
        <f>if(countif(Status!C:C,A901)=1,TRUE, FALSE)</f>
        <v>1</v>
      </c>
      <c r="G901" s="1">
        <f t="shared" si="2"/>
        <v>0</v>
      </c>
      <c r="H901" s="1">
        <f>'3.1.raw'!Z901</f>
        <v>0</v>
      </c>
      <c r="J901" s="1" t="str">
        <f>'3.1.raw'!AK901</f>
        <v>Sample with PL1031, Red Colony Count: Undiluted volume tested 100 ml - 00</v>
      </c>
    </row>
    <row r="902">
      <c r="A902" s="23" t="str">
        <f t="shared" si="10"/>
        <v>NCEC107</v>
      </c>
      <c r="B902" s="23" t="str">
        <f>'3.1.raw'!L902</f>
        <v>NCEC107</v>
      </c>
      <c r="C902" s="24">
        <f>datevalue(left('3.1.raw'!O902,10))</f>
        <v>43894</v>
      </c>
      <c r="D902" s="23">
        <f>'3.1.raw'!I902</f>
        <v>98</v>
      </c>
      <c r="E902" s="1">
        <v>3.09999999999999</v>
      </c>
      <c r="F902" s="23" t="b">
        <f>if(countif(Status!C:C,A902)=1,TRUE, FALSE)</f>
        <v>1</v>
      </c>
      <c r="G902" s="1">
        <f t="shared" si="2"/>
        <v>0</v>
      </c>
      <c r="H902" s="1">
        <f>'3.1.raw'!Z902</f>
        <v>0</v>
      </c>
      <c r="J902" s="1" t="str">
        <f>'3.1.raw'!AK902</f>
        <v>Red Colony Count: Undiluted volume tested 100 ml - 00</v>
      </c>
    </row>
    <row r="903">
      <c r="A903" s="23" t="str">
        <f t="shared" si="10"/>
        <v>PLc1218</v>
      </c>
      <c r="B903" s="23" t="str">
        <f>'3.1.raw'!L903</f>
        <v>PLc1218</v>
      </c>
      <c r="C903" s="24">
        <f>datevalue(left('3.1.raw'!O903,10))</f>
        <v>43895</v>
      </c>
      <c r="D903" s="23">
        <f>'3.1.raw'!I903</f>
        <v>11</v>
      </c>
      <c r="E903" s="1">
        <v>3.09999999999999</v>
      </c>
      <c r="F903" s="23" t="b">
        <f>if(countif(Status!C:C,A903)=1,TRUE, FALSE)</f>
        <v>1</v>
      </c>
      <c r="G903" s="1">
        <f t="shared" si="2"/>
        <v>1</v>
      </c>
      <c r="H903" s="1">
        <f>'3.1.raw'!Z903</f>
        <v>6</v>
      </c>
      <c r="J903" s="1" t="str">
        <f>'3.1.raw'!AK903</f>
        <v>Red colony count: 1:10^3 - 55; 1:10^4 - 4; 1:10^5 - 00, Each sample vol tested 1ml</v>
      </c>
    </row>
    <row r="904">
      <c r="A904" s="23" t="str">
        <f t="shared" si="10"/>
        <v>FB1413</v>
      </c>
      <c r="B904" s="23" t="str">
        <f>'3.1.raw'!L904</f>
        <v>FB1413</v>
      </c>
      <c r="C904" s="24">
        <f>datevalue(left('3.1.raw'!O904,10))</f>
        <v>43895</v>
      </c>
      <c r="D904" s="23">
        <f>'3.1.raw'!I904</f>
        <v>99</v>
      </c>
      <c r="E904" s="1">
        <v>3.09999999999999</v>
      </c>
      <c r="F904" s="23" t="b">
        <f>if(countif(Status!C:C,A904)=1,TRUE, FALSE)</f>
        <v>1</v>
      </c>
      <c r="G904" s="1">
        <f t="shared" si="2"/>
        <v>0</v>
      </c>
      <c r="H904" s="1">
        <f>'3.1.raw'!Z904</f>
        <v>0</v>
      </c>
      <c r="J904" s="1" t="str">
        <f>'3.1.raw'!AK904</f>
        <v>Sample with PLc1218, Red Colony Count: Undiluted volume tested 100 ml - 00</v>
      </c>
    </row>
    <row r="905">
      <c r="A905" s="23" t="str">
        <f t="shared" si="10"/>
        <v>PLc1219</v>
      </c>
      <c r="B905" s="23" t="str">
        <f>'3.1.raw'!L905</f>
        <v>PLc1219</v>
      </c>
      <c r="C905" s="24">
        <f>datevalue(left('3.1.raw'!O905,10))</f>
        <v>43895</v>
      </c>
      <c r="D905" s="23">
        <f>'3.1.raw'!I905</f>
        <v>11</v>
      </c>
      <c r="E905" s="1">
        <v>3.09999999999999</v>
      </c>
      <c r="F905" s="23" t="b">
        <f>if(countif(Status!C:C,A905)=1,TRUE, FALSE)</f>
        <v>1</v>
      </c>
      <c r="G905" s="1">
        <f t="shared" si="2"/>
        <v>1</v>
      </c>
      <c r="H905" s="1">
        <f>'3.1.raw'!Z905</f>
        <v>3</v>
      </c>
      <c r="J905" s="1" t="str">
        <f>'3.1.raw'!AK905</f>
        <v>Red colony count: 1:10^3 -150; 1:10^4 - 16; 1:10^5 - 00, Each sample vol tested 1ml</v>
      </c>
    </row>
    <row r="906">
      <c r="A906" s="23" t="str">
        <f t="shared" si="10"/>
        <v>FB1414</v>
      </c>
      <c r="B906" s="23" t="str">
        <f>'3.1.raw'!L906</f>
        <v>FB1414</v>
      </c>
      <c r="C906" s="24">
        <f>datevalue(left('3.1.raw'!O906,10))</f>
        <v>43895</v>
      </c>
      <c r="D906" s="23">
        <f>'3.1.raw'!I906</f>
        <v>99</v>
      </c>
      <c r="E906" s="1">
        <v>3.09999999999999</v>
      </c>
      <c r="F906" s="23" t="b">
        <f>if(countif(Status!C:C,A906)=1,TRUE, FALSE)</f>
        <v>1</v>
      </c>
      <c r="G906" s="1">
        <f t="shared" si="2"/>
        <v>0</v>
      </c>
      <c r="H906" s="1">
        <f>'3.1.raw'!Z906</f>
        <v>0</v>
      </c>
      <c r="J906" s="1" t="str">
        <f>'3.1.raw'!AK906</f>
        <v>Sample with PLc1219, Red Colony Count: Undiluted volume tested 100 ml - 00</v>
      </c>
    </row>
    <row r="907">
      <c r="A907" s="23" t="str">
        <f t="shared" si="10"/>
        <v>NCEC108</v>
      </c>
      <c r="B907" s="23" t="str">
        <f>'3.1.raw'!L907</f>
        <v>NCEC108</v>
      </c>
      <c r="C907" s="24">
        <f>datevalue(left('3.1.raw'!O907,10))</f>
        <v>43895</v>
      </c>
      <c r="D907" s="23">
        <f>'3.1.raw'!I907</f>
        <v>98</v>
      </c>
      <c r="E907" s="1">
        <v>3.09999999999999</v>
      </c>
      <c r="F907" s="23" t="b">
        <f>if(countif(Status!C:C,A907)=1,TRUE, FALSE)</f>
        <v>1</v>
      </c>
      <c r="G907" s="1">
        <f t="shared" si="2"/>
        <v>0</v>
      </c>
      <c r="H907" s="1">
        <f>'3.1.raw'!Z907</f>
        <v>0</v>
      </c>
      <c r="J907" s="1" t="str">
        <f>'3.1.raw'!AK907</f>
        <v>Red Colony Count: Undiluted volume tested 100 ml - 00</v>
      </c>
    </row>
    <row r="908">
      <c r="A908" s="23" t="str">
        <f t="shared" si="10"/>
        <v>SW2003</v>
      </c>
      <c r="B908" s="23" t="str">
        <f>'3.1.raw'!L908</f>
        <v>SW2003</v>
      </c>
      <c r="C908" s="24">
        <f>datevalue(left('3.1.raw'!O908,10))</f>
        <v>43901</v>
      </c>
      <c r="D908" s="23">
        <f>'3.1.raw'!I908</f>
        <v>5</v>
      </c>
      <c r="E908" s="1">
        <v>3.09999999999999</v>
      </c>
      <c r="F908" s="23" t="b">
        <f>if(countif(Status!C:C,A908)=1,TRUE, FALSE)</f>
        <v>1</v>
      </c>
      <c r="G908" s="1">
        <f t="shared" si="2"/>
        <v>0</v>
      </c>
      <c r="H908" s="1">
        <f>'3.1.raw'!Z908</f>
        <v>0</v>
      </c>
      <c r="J908" s="1" t="str">
        <f>'3.1.raw'!AK908</f>
        <v>Red colony count: Undiluted 1ml - 110, 1:10^1 - 17, 1:10^2 - 02, sample vol tested 1ml</v>
      </c>
    </row>
    <row r="909">
      <c r="A909" s="23" t="str">
        <f t="shared" si="10"/>
        <v>SL2004</v>
      </c>
      <c r="B909" s="23" t="str">
        <f>'3.1.raw'!L909</f>
        <v>SL2004</v>
      </c>
      <c r="C909" s="24">
        <f>datevalue(left('3.1.raw'!O909,10))</f>
        <v>43901</v>
      </c>
      <c r="D909" s="23">
        <f>'3.1.raw'!I909</f>
        <v>8</v>
      </c>
      <c r="E909" s="1">
        <v>3.09999999999999</v>
      </c>
      <c r="F909" s="23" t="b">
        <f>if(countif(Status!C:C,A909)=1,TRUE, FALSE)</f>
        <v>1</v>
      </c>
      <c r="G909" s="1">
        <f t="shared" si="2"/>
        <v>0</v>
      </c>
      <c r="H909" s="1">
        <f>'3.1.raw'!Z909</f>
        <v>0</v>
      </c>
      <c r="J909" s="1" t="str">
        <f>'3.1.raw'!AK909</f>
        <v>Red colony count: 1:10^1 - 2; 1:10^2 - 01; 1:10^3 - 00, Each sample vol tested 1ml</v>
      </c>
    </row>
    <row r="910">
      <c r="A910" s="23" t="str">
        <f t="shared" si="10"/>
        <v>BW2003</v>
      </c>
      <c r="B910" s="23" t="str">
        <f>'3.1.raw'!L910</f>
        <v>BW2003</v>
      </c>
      <c r="C910" s="24">
        <f>datevalue(left('3.1.raw'!O910,10))</f>
        <v>43901</v>
      </c>
      <c r="D910" s="23">
        <f>'3.1.raw'!I910</f>
        <v>9</v>
      </c>
      <c r="E910" s="1">
        <v>3.09999999999999</v>
      </c>
      <c r="F910" s="23" t="b">
        <f>if(countif(Status!C:C,A910)=1,TRUE, FALSE)</f>
        <v>1</v>
      </c>
      <c r="G910" s="1" t="str">
        <f t="shared" si="2"/>
        <v/>
      </c>
      <c r="H910" s="1" t="str">
        <f>'3.1.raw'!Z910</f>
        <v/>
      </c>
      <c r="J910" s="1" t="str">
        <f>'3.1.raw'!AK910</f>
        <v>Red colony count: Undiluted 100ml - TNTC, Undiluted 10ml - TNTC</v>
      </c>
    </row>
    <row r="911">
      <c r="A911" s="23" t="str">
        <f t="shared" si="10"/>
        <v>RP2004</v>
      </c>
      <c r="B911" s="23" t="str">
        <f>'3.1.raw'!L911</f>
        <v>RP2004</v>
      </c>
      <c r="C911" s="24">
        <f>datevalue(left('3.1.raw'!O911,10))</f>
        <v>43901</v>
      </c>
      <c r="D911" s="23">
        <f>'3.1.raw'!I911</f>
        <v>2</v>
      </c>
      <c r="E911" s="1">
        <v>3.09999999999999</v>
      </c>
      <c r="F911" s="23" t="b">
        <f>if(countif(Status!C:C,A911)=1,TRUE, FALSE)</f>
        <v>1</v>
      </c>
      <c r="G911" s="1" t="str">
        <f t="shared" si="2"/>
        <v/>
      </c>
      <c r="H911" s="1" t="str">
        <f>'3.1.raw'!Z911</f>
        <v/>
      </c>
      <c r="J911" s="1" t="str">
        <f>'3.1.raw'!AK911</f>
        <v>Red colony count: Undiluted 10ml - TDTC, Undiluted 1ml - TNTC, 1:10^1 - 155 sample vol tested 1ml</v>
      </c>
    </row>
    <row r="912">
      <c r="A912" s="23" t="str">
        <f t="shared" si="10"/>
        <v>FB1415</v>
      </c>
      <c r="B912" s="23" t="str">
        <f>'3.1.raw'!L912</f>
        <v>FB1415</v>
      </c>
      <c r="C912" s="24">
        <f>datevalue(left('3.1.raw'!O912,10))</f>
        <v>43901</v>
      </c>
      <c r="D912" s="23">
        <f>'3.1.raw'!I912</f>
        <v>99</v>
      </c>
      <c r="E912" s="1">
        <v>3.09999999999999</v>
      </c>
      <c r="F912" s="23" t="b">
        <f>if(countif(Status!C:C,A912)=1,TRUE, FALSE)</f>
        <v>1</v>
      </c>
      <c r="G912" s="1">
        <f t="shared" si="2"/>
        <v>0</v>
      </c>
      <c r="H912" s="1">
        <f>'3.1.raw'!Z912</f>
        <v>0</v>
      </c>
      <c r="J912" s="1" t="str">
        <f>'3.1.raw'!AK912</f>
        <v>Sample with RP2004, Red Colony Count: Undiluted volume tested 100 ml - 00</v>
      </c>
    </row>
    <row r="913">
      <c r="A913" s="23" t="str">
        <f t="shared" si="10"/>
        <v>NCEC109</v>
      </c>
      <c r="B913" s="23" t="str">
        <f>'3.1.raw'!L913</f>
        <v>NCEC109</v>
      </c>
      <c r="C913" s="24">
        <f>datevalue(left('3.1.raw'!O913,10))</f>
        <v>43901</v>
      </c>
      <c r="D913" s="23">
        <f>'3.1.raw'!I913</f>
        <v>98</v>
      </c>
      <c r="E913" s="1">
        <v>3.09999999999999</v>
      </c>
      <c r="F913" s="23" t="b">
        <f>if(countif(Status!C:C,A913)=1,TRUE, FALSE)</f>
        <v>1</v>
      </c>
      <c r="G913" s="1">
        <f t="shared" si="2"/>
        <v>0</v>
      </c>
      <c r="H913" s="1">
        <f>'3.1.raw'!Z913</f>
        <v>0</v>
      </c>
      <c r="J913" s="1" t="str">
        <f>'3.1.raw'!AK913</f>
        <v>Red Colony Count: Undiluted volume tested 100 ml - 00</v>
      </c>
    </row>
    <row r="914">
      <c r="A914" s="23" t="str">
        <f t="shared" si="10"/>
        <v>PL1032</v>
      </c>
      <c r="B914" s="23" t="str">
        <f>'3.1.raw'!L914</f>
        <v>PL1032</v>
      </c>
      <c r="C914" s="24">
        <f>datevalue(left('3.1.raw'!O914,10))</f>
        <v>43901</v>
      </c>
      <c r="D914" s="23">
        <f>'3.1.raw'!I914</f>
        <v>7</v>
      </c>
      <c r="E914" s="1">
        <v>3.09999999999999</v>
      </c>
      <c r="F914" s="23" t="b">
        <f>if(countif(Status!C:C,A914)=1,TRUE, FALSE)</f>
        <v>1</v>
      </c>
      <c r="G914" s="1">
        <f t="shared" si="2"/>
        <v>1</v>
      </c>
      <c r="H914" s="1">
        <f>'3.1.raw'!Z914</f>
        <v>66</v>
      </c>
      <c r="J914" s="1" t="str">
        <f>'3.1.raw'!AK914</f>
        <v>Red colony count: 1:10^2 - 98; 1:10^3 - 4; 1:10^4 - 0, Each sample vol tested 1ml</v>
      </c>
    </row>
    <row r="915">
      <c r="A915" s="23" t="str">
        <f t="shared" si="10"/>
        <v>PL1033</v>
      </c>
      <c r="B915" s="23" t="str">
        <f>'3.1.raw'!L915</f>
        <v>PL1033</v>
      </c>
      <c r="C915" s="24">
        <f>datevalue(left('3.1.raw'!O915,10))</f>
        <v>43901</v>
      </c>
      <c r="D915" s="23">
        <f>'3.1.raw'!I915</f>
        <v>7</v>
      </c>
      <c r="E915" s="1">
        <v>3.09999999999999</v>
      </c>
      <c r="F915" s="23" t="b">
        <f>if(countif(Status!C:C,A915)=1,TRUE, FALSE)</f>
        <v>1</v>
      </c>
      <c r="G915" s="1" t="str">
        <f t="shared" si="2"/>
        <v/>
      </c>
      <c r="H915" s="1" t="str">
        <f>'3.1.raw'!Z915</f>
        <v/>
      </c>
      <c r="J915" s="1" t="str">
        <f>'3.1.raw'!AK915</f>
        <v>Red colony count: 1:10^2 - 90; 1:10^3 - 12; 1:10^4 - 2, Each sample vol tested 1ml</v>
      </c>
    </row>
    <row r="916">
      <c r="A916" s="23" t="str">
        <f t="shared" si="10"/>
        <v>FB1416</v>
      </c>
      <c r="B916" s="23" t="str">
        <f>'3.1.raw'!L916</f>
        <v>FB1416</v>
      </c>
      <c r="C916" s="24">
        <f>datevalue(left('3.1.raw'!O916,10))</f>
        <v>43901</v>
      </c>
      <c r="D916" s="23">
        <f>'3.1.raw'!I916</f>
        <v>99</v>
      </c>
      <c r="E916" s="1">
        <v>3.09999999999999</v>
      </c>
      <c r="F916" s="23" t="b">
        <f>if(countif(Status!C:C,A916)=1,TRUE, FALSE)</f>
        <v>1</v>
      </c>
      <c r="G916" s="1">
        <f t="shared" si="2"/>
        <v>0</v>
      </c>
      <c r="H916" s="1">
        <f>'3.1.raw'!Z916</f>
        <v>0</v>
      </c>
      <c r="J916" s="1" t="str">
        <f>'3.1.raw'!AK916</f>
        <v>Sample with PL1033, Red Colony Count: Undiluted volume tested 100 ml - 00</v>
      </c>
    </row>
    <row r="917">
      <c r="A917" s="23" t="str">
        <f t="shared" si="10"/>
        <v>PLc1220</v>
      </c>
      <c r="B917" s="23" t="str">
        <f>'3.1.raw'!L917</f>
        <v>PLc1220</v>
      </c>
      <c r="C917" s="24">
        <f>datevalue(left('3.1.raw'!O917,10))</f>
        <v>43902</v>
      </c>
      <c r="D917" s="23">
        <f>'3.1.raw'!I917</f>
        <v>11</v>
      </c>
      <c r="E917" s="1">
        <v>3.09999999999999</v>
      </c>
      <c r="F917" s="23" t="b">
        <f>if(countif(Status!C:C,A917)=1,TRUE, FALSE)</f>
        <v>1</v>
      </c>
      <c r="G917" s="1">
        <f t="shared" si="2"/>
        <v>1</v>
      </c>
      <c r="H917" s="1">
        <f>'3.1.raw'!Z917</f>
        <v>28</v>
      </c>
      <c r="J917" s="1" t="str">
        <f>'3.1.raw'!AK917</f>
        <v>Red colony count: 1:10^3 -110; 1:10^4 - 14; 1:10^5 - 00, Each sample vol tested 1ml</v>
      </c>
    </row>
    <row r="918">
      <c r="A918" s="23" t="str">
        <f t="shared" si="10"/>
        <v>PLc1221</v>
      </c>
      <c r="B918" s="23" t="str">
        <f>'3.1.raw'!L918</f>
        <v>PLc1221</v>
      </c>
      <c r="C918" s="24">
        <f>datevalue(left('3.1.raw'!O918,10))</f>
        <v>43902</v>
      </c>
      <c r="D918" s="23">
        <f>'3.1.raw'!I918</f>
        <v>11</v>
      </c>
      <c r="E918" s="1">
        <v>3.09999999999999</v>
      </c>
      <c r="F918" s="23" t="b">
        <f>if(countif(Status!C:C,A918)=1,TRUE, FALSE)</f>
        <v>1</v>
      </c>
      <c r="G918" s="1">
        <f t="shared" si="2"/>
        <v>1</v>
      </c>
      <c r="H918" s="1">
        <f>'3.1.raw'!Z918</f>
        <v>70</v>
      </c>
      <c r="J918" s="1" t="str">
        <f>'3.1.raw'!AK918</f>
        <v>Red colony count: 1:10^3 -147; 1:10^4 - 30; 1:10^5 - 03, Each sample vol tested 1ml</v>
      </c>
    </row>
    <row r="919">
      <c r="A919" s="23" t="str">
        <f t="shared" si="10"/>
        <v>FB1418</v>
      </c>
      <c r="B919" s="23" t="str">
        <f>'3.1.raw'!L919</f>
        <v>FB1418</v>
      </c>
      <c r="C919" s="24">
        <f>datevalue(left('3.1.raw'!O919,10))</f>
        <v>43902</v>
      </c>
      <c r="D919" s="23">
        <f>'3.1.raw'!I919</f>
        <v>99</v>
      </c>
      <c r="E919" s="1">
        <v>3.09999999999999</v>
      </c>
      <c r="F919" s="23" t="b">
        <f>if(countif(Status!C:C,A919)=1,TRUE, FALSE)</f>
        <v>1</v>
      </c>
      <c r="G919" s="1">
        <f t="shared" si="2"/>
        <v>0</v>
      </c>
      <c r="H919" s="1">
        <f>'3.1.raw'!Z919</f>
        <v>0</v>
      </c>
      <c r="J919" s="1" t="str">
        <f>'3.1.raw'!AK919</f>
        <v>Sample with PLc1221, Red Colony Count: Undiluted volume tested 100 ml - 00</v>
      </c>
    </row>
    <row r="920">
      <c r="A920" s="23" t="str">
        <f t="shared" si="10"/>
        <v>UF1029</v>
      </c>
      <c r="B920" s="23" t="str">
        <f>'3.1.raw'!L920</f>
        <v>UF1029</v>
      </c>
      <c r="C920" s="24">
        <f>datevalue(left('3.1.raw'!O920,10))</f>
        <v>43902</v>
      </c>
      <c r="D920" s="23">
        <f>'3.1.raw'!I920</f>
        <v>16</v>
      </c>
      <c r="E920" s="1">
        <v>3.09999999999999</v>
      </c>
      <c r="F920" s="23" t="b">
        <f>if(countif(Status!C:C,A920)=1,TRUE, FALSE)</f>
        <v>1</v>
      </c>
      <c r="G920" s="1" t="str">
        <f t="shared" si="2"/>
        <v/>
      </c>
      <c r="H920" s="1" t="str">
        <f>'3.1.raw'!Z920</f>
        <v/>
      </c>
      <c r="J920" s="1" t="str">
        <f>'3.1.raw'!AK920</f>
        <v>Red colony count: 1:10^3 -169; 1:10^4 - 21; 1:10^5 - 07, Each sample vol tested 1ml</v>
      </c>
    </row>
    <row r="921">
      <c r="A921" s="23" t="str">
        <f t="shared" si="10"/>
        <v>NCEC110</v>
      </c>
      <c r="B921" s="23" t="str">
        <f>'3.1.raw'!L921</f>
        <v>NCEC110</v>
      </c>
      <c r="C921" s="24">
        <f>datevalue(left('3.1.raw'!O921,10))</f>
        <v>43902</v>
      </c>
      <c r="D921" s="23">
        <f>'3.1.raw'!I921</f>
        <v>98</v>
      </c>
      <c r="E921" s="1">
        <v>3.09999999999999</v>
      </c>
      <c r="F921" s="23" t="b">
        <f>if(countif(Status!C:C,A921)=1,TRUE, FALSE)</f>
        <v>1</v>
      </c>
      <c r="G921" s="1">
        <f t="shared" si="2"/>
        <v>0</v>
      </c>
      <c r="H921" s="1">
        <f>'3.1.raw'!Z921</f>
        <v>0</v>
      </c>
      <c r="J921" s="1" t="str">
        <f>'3.1.raw'!AK921</f>
        <v>Red Colony Count: Undiluted volume tested 100 ml - 00</v>
      </c>
    </row>
    <row r="922">
      <c r="A922" s="23" t="str">
        <f t="shared" si="10"/>
        <v>FB1417</v>
      </c>
      <c r="B922" s="23" t="str">
        <f>'3.1.raw'!L922</f>
        <v>FB1417</v>
      </c>
      <c r="C922" s="24">
        <f>datevalue(left('3.1.raw'!O922,10))</f>
        <v>43902</v>
      </c>
      <c r="D922" s="23">
        <f>'3.1.raw'!I922</f>
        <v>99</v>
      </c>
      <c r="E922" s="1">
        <v>3.09999999999999</v>
      </c>
      <c r="F922" s="23" t="b">
        <f>if(countif(Status!C:C,A922)=1,TRUE, FALSE)</f>
        <v>1</v>
      </c>
      <c r="G922" s="1">
        <f t="shared" si="2"/>
        <v>0</v>
      </c>
      <c r="H922" s="1">
        <f>'3.1.raw'!Z922</f>
        <v>0</v>
      </c>
      <c r="J922" s="1" t="str">
        <f>'3.1.raw'!AK922</f>
        <v>Sample with MO1221, Red Colony Count: Undiluted volume tested 100 ml - 00</v>
      </c>
    </row>
    <row r="923">
      <c r="A923" s="23" t="str">
        <f t="shared" si="10"/>
        <v/>
      </c>
      <c r="B923" s="23" t="str">
        <f>'3.1.raw'!L923</f>
        <v/>
      </c>
      <c r="C923" s="24" t="str">
        <f>datevalue(left('3.1.raw'!O923,10))</f>
        <v>#VALUE!</v>
      </c>
      <c r="D923" s="23" t="str">
        <f>'3.1.raw'!I923</f>
        <v/>
      </c>
      <c r="E923" s="1">
        <v>3.09999999999999</v>
      </c>
      <c r="F923" s="23" t="b">
        <f>if(countif(Status!C:C,A923)=1,TRUE, FALSE)</f>
        <v>0</v>
      </c>
      <c r="G923" s="1" t="str">
        <f t="shared" si="2"/>
        <v/>
      </c>
      <c r="H923" s="1" t="str">
        <f>'3.1.raw'!Z923</f>
        <v/>
      </c>
      <c r="J923" s="1" t="str">
        <f>'3.1.raw'!AK923</f>
        <v/>
      </c>
    </row>
    <row r="924">
      <c r="A924" s="23" t="str">
        <f t="shared" si="10"/>
        <v/>
      </c>
      <c r="B924" s="23" t="str">
        <f>'3.1.raw'!L924</f>
        <v/>
      </c>
      <c r="C924" s="24" t="str">
        <f>datevalue(left('3.1.raw'!O924,10))</f>
        <v>#VALUE!</v>
      </c>
      <c r="D924" s="23" t="str">
        <f>'3.1.raw'!I924</f>
        <v/>
      </c>
      <c r="E924" s="1">
        <v>3.09999999999999</v>
      </c>
      <c r="F924" s="23" t="b">
        <f>if(countif(Status!C:C,A924)=1,TRUE, FALSE)</f>
        <v>0</v>
      </c>
      <c r="G924" s="1" t="str">
        <f t="shared" si="2"/>
        <v/>
      </c>
      <c r="H924" s="1" t="str">
        <f>'3.1.raw'!Z924</f>
        <v/>
      </c>
      <c r="J924" s="1" t="str">
        <f>'3.1.raw'!AK924</f>
        <v/>
      </c>
    </row>
    <row r="925">
      <c r="A925" s="23" t="str">
        <f t="shared" si="10"/>
        <v/>
      </c>
      <c r="B925" s="23" t="str">
        <f>'3.1.raw'!L925</f>
        <v/>
      </c>
      <c r="C925" s="24" t="str">
        <f>datevalue(left('3.1.raw'!O925,10))</f>
        <v>#VALUE!</v>
      </c>
      <c r="D925" s="23" t="str">
        <f>'3.1.raw'!I925</f>
        <v/>
      </c>
      <c r="E925" s="1">
        <v>3.09999999999999</v>
      </c>
      <c r="F925" s="23" t="b">
        <f>if(countif(Status!C:C,A925)=1,TRUE, FALSE)</f>
        <v>0</v>
      </c>
      <c r="G925" s="1" t="str">
        <f t="shared" si="2"/>
        <v/>
      </c>
      <c r="H925" s="1" t="str">
        <f>'3.1.raw'!Z925</f>
        <v/>
      </c>
      <c r="J925" s="1" t="str">
        <f>'3.1.raw'!AK925</f>
        <v/>
      </c>
    </row>
    <row r="926">
      <c r="A926" s="23" t="str">
        <f t="shared" si="10"/>
        <v/>
      </c>
      <c r="B926" s="23" t="str">
        <f>'3.1.raw'!L926</f>
        <v/>
      </c>
      <c r="C926" s="24" t="str">
        <f>datevalue(left('3.1.raw'!O926,10))</f>
        <v>#VALUE!</v>
      </c>
      <c r="D926" s="23" t="str">
        <f>'3.1.raw'!I926</f>
        <v/>
      </c>
      <c r="E926" s="1">
        <v>3.09999999999999</v>
      </c>
      <c r="F926" s="23" t="b">
        <f>if(countif(Status!C:C,A926)=1,TRUE, FALSE)</f>
        <v>0</v>
      </c>
      <c r="G926" s="1" t="str">
        <f t="shared" si="2"/>
        <v/>
      </c>
      <c r="H926" s="1" t="str">
        <f>'3.1.raw'!Z926</f>
        <v/>
      </c>
      <c r="J926" s="1" t="str">
        <f>'3.1.raw'!AK926</f>
        <v/>
      </c>
    </row>
    <row r="927">
      <c r="A927" s="23" t="str">
        <f t="shared" si="10"/>
        <v/>
      </c>
      <c r="B927" s="23" t="str">
        <f>'3.1.raw'!L927</f>
        <v/>
      </c>
      <c r="C927" s="24" t="str">
        <f>datevalue(left('3.1.raw'!O927,10))</f>
        <v>#VALUE!</v>
      </c>
      <c r="D927" s="23" t="str">
        <f>'3.1.raw'!I927</f>
        <v/>
      </c>
      <c r="E927" s="1">
        <v>3.09999999999999</v>
      </c>
      <c r="F927" s="23" t="b">
        <f>if(countif(Status!C:C,A927)=1,TRUE, FALSE)</f>
        <v>0</v>
      </c>
      <c r="G927" s="1" t="str">
        <f t="shared" si="2"/>
        <v/>
      </c>
      <c r="H927" s="1" t="str">
        <f>'3.1.raw'!Z927</f>
        <v/>
      </c>
      <c r="J927" s="1" t="str">
        <f>'3.1.raw'!AK927</f>
        <v/>
      </c>
    </row>
    <row r="928">
      <c r="A928" s="23" t="str">
        <f t="shared" si="10"/>
        <v/>
      </c>
      <c r="B928" s="23" t="str">
        <f>'3.1.raw'!L928</f>
        <v/>
      </c>
      <c r="C928" s="24" t="str">
        <f>datevalue(left('3.1.raw'!O928,10))</f>
        <v>#VALUE!</v>
      </c>
      <c r="D928" s="23" t="str">
        <f>'3.1.raw'!I928</f>
        <v/>
      </c>
      <c r="E928" s="1">
        <v>3.09999999999999</v>
      </c>
      <c r="F928" s="23" t="b">
        <f>if(countif(Status!C:C,A928)=1,TRUE, FALSE)</f>
        <v>0</v>
      </c>
      <c r="G928" s="1" t="str">
        <f t="shared" si="2"/>
        <v/>
      </c>
      <c r="H928" s="1" t="str">
        <f>'3.1.raw'!Z928</f>
        <v/>
      </c>
      <c r="J928" s="1" t="str">
        <f>'3.1.raw'!AK928</f>
        <v/>
      </c>
    </row>
    <row r="929">
      <c r="A929" s="23" t="str">
        <f t="shared" si="10"/>
        <v/>
      </c>
      <c r="B929" s="23" t="str">
        <f>'3.1.raw'!L929</f>
        <v/>
      </c>
      <c r="C929" s="24" t="str">
        <f>datevalue(left('3.1.raw'!O929,10))</f>
        <v>#VALUE!</v>
      </c>
      <c r="D929" s="23" t="str">
        <f>'3.1.raw'!I929</f>
        <v/>
      </c>
      <c r="E929" s="1">
        <v>3.09999999999999</v>
      </c>
      <c r="F929" s="23" t="b">
        <f>if(countif(Status!C:C,A929)=1,TRUE, FALSE)</f>
        <v>0</v>
      </c>
      <c r="G929" s="1" t="str">
        <f t="shared" si="2"/>
        <v/>
      </c>
      <c r="H929" s="1" t="str">
        <f>'3.1.raw'!Z929</f>
        <v/>
      </c>
      <c r="J929" s="1" t="str">
        <f>'3.1.raw'!AK929</f>
        <v/>
      </c>
    </row>
    <row r="930">
      <c r="A930" s="23" t="str">
        <f t="shared" si="10"/>
        <v/>
      </c>
      <c r="B930" s="23" t="str">
        <f>'3.1.raw'!L930</f>
        <v/>
      </c>
      <c r="C930" s="24" t="str">
        <f>datevalue(left('3.1.raw'!O930,10))</f>
        <v>#VALUE!</v>
      </c>
      <c r="D930" s="23" t="str">
        <f>'3.1.raw'!I930</f>
        <v/>
      </c>
      <c r="E930" s="1">
        <v>3.09999999999999</v>
      </c>
      <c r="F930" s="23" t="b">
        <f>if(countif(Status!C:C,A930)=1,TRUE, FALSE)</f>
        <v>0</v>
      </c>
      <c r="G930" s="1" t="str">
        <f t="shared" si="2"/>
        <v/>
      </c>
      <c r="H930" s="1" t="str">
        <f>'3.1.raw'!Z930</f>
        <v/>
      </c>
      <c r="J930" s="1" t="str">
        <f>'3.1.raw'!AK930</f>
        <v/>
      </c>
    </row>
    <row r="931">
      <c r="A931" s="23" t="str">
        <f t="shared" si="10"/>
        <v/>
      </c>
      <c r="B931" s="23" t="str">
        <f>'3.1.raw'!L931</f>
        <v/>
      </c>
      <c r="C931" s="24" t="str">
        <f>datevalue(left('3.1.raw'!O931,10))</f>
        <v>#VALUE!</v>
      </c>
      <c r="D931" s="23" t="str">
        <f>'3.1.raw'!I931</f>
        <v/>
      </c>
      <c r="E931" s="1">
        <v>3.09999999999999</v>
      </c>
      <c r="F931" s="23" t="b">
        <f>if(countif(Status!C:C,A931)=1,TRUE, FALSE)</f>
        <v>0</v>
      </c>
      <c r="G931" s="1" t="str">
        <f t="shared" si="2"/>
        <v/>
      </c>
      <c r="H931" s="1" t="str">
        <f>'3.1.raw'!Z931</f>
        <v/>
      </c>
      <c r="J931" s="1" t="str">
        <f>'3.1.raw'!AK931</f>
        <v/>
      </c>
    </row>
    <row r="932">
      <c r="A932" s="23" t="str">
        <f t="shared" si="10"/>
        <v/>
      </c>
      <c r="B932" s="23" t="str">
        <f>'3.1.raw'!L932</f>
        <v/>
      </c>
      <c r="C932" s="24" t="str">
        <f>datevalue(left('3.1.raw'!O932,10))</f>
        <v>#VALUE!</v>
      </c>
      <c r="D932" s="23" t="str">
        <f>'3.1.raw'!I932</f>
        <v/>
      </c>
      <c r="E932" s="1">
        <v>3.09999999999999</v>
      </c>
      <c r="F932" s="23" t="b">
        <f>if(countif(Status!C:C,A932)=1,TRUE, FALSE)</f>
        <v>0</v>
      </c>
      <c r="G932" s="1" t="str">
        <f t="shared" si="2"/>
        <v/>
      </c>
      <c r="H932" s="1" t="str">
        <f>'3.1.raw'!Z932</f>
        <v/>
      </c>
      <c r="J932" s="1" t="str">
        <f>'3.1.raw'!AK932</f>
        <v/>
      </c>
    </row>
    <row r="933">
      <c r="A933" s="23" t="str">
        <f t="shared" si="10"/>
        <v/>
      </c>
      <c r="B933" s="23" t="str">
        <f>'3.1.raw'!L933</f>
        <v/>
      </c>
      <c r="C933" s="24" t="str">
        <f>datevalue(left('3.1.raw'!O933,10))</f>
        <v>#VALUE!</v>
      </c>
      <c r="D933" s="23" t="str">
        <f>'3.1.raw'!I933</f>
        <v/>
      </c>
      <c r="E933" s="1">
        <v>3.09999999999999</v>
      </c>
      <c r="F933" s="23" t="b">
        <f>if(countif(Status!C:C,A933)=1,TRUE, FALSE)</f>
        <v>0</v>
      </c>
      <c r="G933" s="1" t="str">
        <f t="shared" si="2"/>
        <v/>
      </c>
      <c r="H933" s="1" t="str">
        <f>'3.1.raw'!Z933</f>
        <v/>
      </c>
      <c r="J933" s="1" t="str">
        <f>'3.1.raw'!AK933</f>
        <v/>
      </c>
    </row>
    <row r="934">
      <c r="A934" s="23" t="str">
        <f t="shared" si="10"/>
        <v/>
      </c>
      <c r="B934" s="23" t="str">
        <f>'3.1.raw'!L934</f>
        <v/>
      </c>
      <c r="C934" s="24" t="str">
        <f>datevalue(left('3.1.raw'!O934,10))</f>
        <v>#VALUE!</v>
      </c>
      <c r="D934" s="23" t="str">
        <f>'3.1.raw'!I934</f>
        <v/>
      </c>
      <c r="E934" s="1">
        <v>3.09999999999999</v>
      </c>
      <c r="F934" s="23" t="b">
        <f>if(countif(Status!C:C,A934)=1,TRUE, FALSE)</f>
        <v>0</v>
      </c>
      <c r="G934" s="1" t="str">
        <f t="shared" si="2"/>
        <v/>
      </c>
      <c r="H934" s="1" t="str">
        <f>'3.1.raw'!Z934</f>
        <v/>
      </c>
      <c r="J934" s="1" t="str">
        <f>'3.1.raw'!AK934</f>
        <v/>
      </c>
    </row>
    <row r="935">
      <c r="A935" s="23" t="str">
        <f t="shared" si="10"/>
        <v/>
      </c>
      <c r="B935" s="23" t="str">
        <f>'3.1.raw'!L935</f>
        <v/>
      </c>
      <c r="C935" s="24" t="str">
        <f>datevalue(left('3.1.raw'!O935,10))</f>
        <v>#VALUE!</v>
      </c>
      <c r="D935" s="23" t="str">
        <f>'3.1.raw'!I935</f>
        <v/>
      </c>
      <c r="E935" s="1">
        <v>3.09999999999999</v>
      </c>
      <c r="F935" s="23" t="b">
        <f>if(countif(Status!C:C,A935)=1,TRUE, FALSE)</f>
        <v>0</v>
      </c>
      <c r="G935" s="1" t="str">
        <f t="shared" si="2"/>
        <v/>
      </c>
      <c r="H935" s="1" t="str">
        <f>'3.1.raw'!Z935</f>
        <v/>
      </c>
      <c r="J935" s="1" t="str">
        <f>'3.1.raw'!AK935</f>
        <v/>
      </c>
    </row>
    <row r="936">
      <c r="A936" s="23" t="str">
        <f t="shared" si="10"/>
        <v/>
      </c>
      <c r="B936" s="23" t="str">
        <f>'3.1.raw'!L936</f>
        <v/>
      </c>
      <c r="C936" s="24" t="str">
        <f>datevalue(left('3.1.raw'!O936,10))</f>
        <v>#VALUE!</v>
      </c>
      <c r="D936" s="23" t="str">
        <f>'3.1.raw'!I936</f>
        <v/>
      </c>
      <c r="E936" s="1">
        <v>3.09999999999999</v>
      </c>
      <c r="F936" s="23" t="b">
        <f>if(countif(Status!C:C,A936)=1,TRUE, FALSE)</f>
        <v>0</v>
      </c>
      <c r="G936" s="1" t="str">
        <f t="shared" si="2"/>
        <v/>
      </c>
      <c r="H936" s="1" t="str">
        <f>'3.1.raw'!Z936</f>
        <v/>
      </c>
      <c r="J936" s="1" t="str">
        <f>'3.1.raw'!AK936</f>
        <v/>
      </c>
    </row>
    <row r="937">
      <c r="A937" s="23" t="str">
        <f t="shared" si="10"/>
        <v/>
      </c>
      <c r="B937" s="23" t="str">
        <f>'3.1.raw'!L937</f>
        <v/>
      </c>
      <c r="C937" s="24" t="str">
        <f>datevalue(left('3.1.raw'!O937,10))</f>
        <v>#VALUE!</v>
      </c>
      <c r="D937" s="23" t="str">
        <f>'3.1.raw'!I937</f>
        <v/>
      </c>
      <c r="E937" s="1">
        <v>3.09999999999999</v>
      </c>
      <c r="F937" s="23" t="b">
        <f>if(countif(Status!C:C,A937)=1,TRUE, FALSE)</f>
        <v>0</v>
      </c>
      <c r="G937" s="1" t="str">
        <f t="shared" si="2"/>
        <v/>
      </c>
      <c r="H937" s="1" t="str">
        <f>'3.1.raw'!Z937</f>
        <v/>
      </c>
      <c r="J937" s="1" t="str">
        <f>'3.1.raw'!AK937</f>
        <v/>
      </c>
    </row>
    <row r="938">
      <c r="A938" s="23" t="str">
        <f t="shared" si="10"/>
        <v/>
      </c>
      <c r="B938" s="23" t="str">
        <f>'3.1.raw'!L938</f>
        <v/>
      </c>
      <c r="C938" s="24" t="str">
        <f>datevalue(left('3.1.raw'!O938,10))</f>
        <v>#VALUE!</v>
      </c>
      <c r="D938" s="23" t="str">
        <f>'3.1.raw'!I938</f>
        <v/>
      </c>
      <c r="E938" s="1">
        <v>3.09999999999999</v>
      </c>
      <c r="F938" s="23" t="b">
        <f>if(countif(Status!C:C,A938)=1,TRUE, FALSE)</f>
        <v>0</v>
      </c>
      <c r="G938" s="1" t="str">
        <f t="shared" si="2"/>
        <v/>
      </c>
      <c r="H938" s="1" t="str">
        <f>'3.1.raw'!Z938</f>
        <v/>
      </c>
      <c r="J938" s="1" t="str">
        <f>'3.1.raw'!AK938</f>
        <v/>
      </c>
    </row>
    <row r="939">
      <c r="A939" s="23" t="str">
        <f t="shared" si="10"/>
        <v/>
      </c>
      <c r="B939" s="23" t="str">
        <f>'3.1.raw'!L939</f>
        <v/>
      </c>
      <c r="C939" s="24" t="str">
        <f>datevalue(left('3.1.raw'!O939,10))</f>
        <v>#VALUE!</v>
      </c>
      <c r="D939" s="23" t="str">
        <f>'3.1.raw'!I939</f>
        <v/>
      </c>
      <c r="E939" s="1">
        <v>3.09999999999999</v>
      </c>
      <c r="F939" s="23" t="b">
        <f>if(countif(Status!C:C,A939)=1,TRUE, FALSE)</f>
        <v>0</v>
      </c>
      <c r="G939" s="1" t="str">
        <f t="shared" si="2"/>
        <v/>
      </c>
      <c r="H939" s="1" t="str">
        <f>'3.1.raw'!Z939</f>
        <v/>
      </c>
      <c r="J939" s="1" t="str">
        <f>'3.1.raw'!AK939</f>
        <v/>
      </c>
    </row>
    <row r="940">
      <c r="A940" s="23" t="str">
        <f t="shared" si="10"/>
        <v/>
      </c>
      <c r="B940" s="23" t="str">
        <f>'3.1.raw'!L940</f>
        <v/>
      </c>
      <c r="C940" s="24" t="str">
        <f>datevalue(left('3.1.raw'!O940,10))</f>
        <v>#VALUE!</v>
      </c>
      <c r="D940" s="23" t="str">
        <f>'3.1.raw'!I940</f>
        <v/>
      </c>
      <c r="E940" s="1">
        <v>3.09999999999999</v>
      </c>
      <c r="F940" s="23" t="b">
        <f>if(countif(Status!C:C,A940)=1,TRUE, FALSE)</f>
        <v>0</v>
      </c>
      <c r="G940" s="1" t="str">
        <f t="shared" si="2"/>
        <v/>
      </c>
      <c r="H940" s="1" t="str">
        <f>'3.1.raw'!Z940</f>
        <v/>
      </c>
      <c r="J940" s="1" t="str">
        <f>'3.1.raw'!AK940</f>
        <v/>
      </c>
    </row>
    <row r="941">
      <c r="A941" s="23" t="str">
        <f t="shared" si="10"/>
        <v/>
      </c>
      <c r="B941" s="23" t="str">
        <f>'3.1.raw'!L941</f>
        <v/>
      </c>
      <c r="C941" s="24" t="str">
        <f>datevalue(left('3.1.raw'!O941,10))</f>
        <v>#VALUE!</v>
      </c>
      <c r="D941" s="23" t="str">
        <f>'3.1.raw'!I941</f>
        <v/>
      </c>
      <c r="E941" s="1">
        <v>3.09999999999999</v>
      </c>
      <c r="F941" s="23" t="b">
        <f>if(countif(Status!C:C,A941)=1,TRUE, FALSE)</f>
        <v>0</v>
      </c>
      <c r="G941" s="1" t="str">
        <f t="shared" si="2"/>
        <v/>
      </c>
      <c r="H941" s="1" t="str">
        <f>'3.1.raw'!Z941</f>
        <v/>
      </c>
      <c r="J941" s="1" t="str">
        <f>'3.1.raw'!AK941</f>
        <v/>
      </c>
    </row>
    <row r="942">
      <c r="A942" s="23" t="str">
        <f t="shared" si="10"/>
        <v/>
      </c>
      <c r="B942" s="23" t="str">
        <f>'3.1.raw'!L942</f>
        <v/>
      </c>
      <c r="C942" s="24" t="str">
        <f>datevalue(left('3.1.raw'!O942,10))</f>
        <v>#VALUE!</v>
      </c>
      <c r="D942" s="23" t="str">
        <f>'3.1.raw'!I942</f>
        <v/>
      </c>
      <c r="E942" s="1">
        <v>3.09999999999999</v>
      </c>
      <c r="F942" s="23" t="b">
        <f>if(countif(Status!C:C,A942)=1,TRUE, FALSE)</f>
        <v>0</v>
      </c>
      <c r="G942" s="1" t="str">
        <f t="shared" si="2"/>
        <v/>
      </c>
      <c r="H942" s="1" t="str">
        <f>'3.1.raw'!Z942</f>
        <v/>
      </c>
      <c r="J942" s="1" t="str">
        <f>'3.1.raw'!AK942</f>
        <v/>
      </c>
    </row>
    <row r="943">
      <c r="A943" s="23" t="str">
        <f t="shared" si="10"/>
        <v/>
      </c>
      <c r="B943" s="23" t="str">
        <f>'3.1.raw'!L943</f>
        <v/>
      </c>
      <c r="C943" s="24" t="str">
        <f>datevalue(left('3.1.raw'!O943,10))</f>
        <v>#VALUE!</v>
      </c>
      <c r="D943" s="23" t="str">
        <f>'3.1.raw'!I943</f>
        <v/>
      </c>
      <c r="E943" s="1">
        <v>3.09999999999999</v>
      </c>
      <c r="F943" s="23" t="b">
        <f>if(countif(Status!C:C,A943)=1,TRUE, FALSE)</f>
        <v>0</v>
      </c>
      <c r="G943" s="1" t="str">
        <f t="shared" si="2"/>
        <v/>
      </c>
      <c r="H943" s="1" t="str">
        <f>'3.1.raw'!Z943</f>
        <v/>
      </c>
      <c r="J943" s="1" t="str">
        <f>'3.1.raw'!AK943</f>
        <v/>
      </c>
    </row>
    <row r="944">
      <c r="A944" s="23" t="str">
        <f t="shared" si="10"/>
        <v/>
      </c>
      <c r="B944" s="23" t="str">
        <f>'3.1.raw'!L944</f>
        <v/>
      </c>
      <c r="C944" s="24" t="str">
        <f>datevalue(left('3.1.raw'!O944,10))</f>
        <v>#VALUE!</v>
      </c>
      <c r="D944" s="23" t="str">
        <f>'3.1.raw'!I944</f>
        <v/>
      </c>
      <c r="E944" s="1">
        <v>3.09999999999999</v>
      </c>
      <c r="F944" s="23" t="b">
        <f>if(countif(Status!C:C,A944)=1,TRUE, FALSE)</f>
        <v>0</v>
      </c>
      <c r="G944" s="1" t="str">
        <f t="shared" si="2"/>
        <v/>
      </c>
      <c r="H944" s="1" t="str">
        <f>'3.1.raw'!Z944</f>
        <v/>
      </c>
      <c r="J944" s="1" t="str">
        <f>'3.1.raw'!AK944</f>
        <v/>
      </c>
    </row>
    <row r="945">
      <c r="A945" s="23" t="str">
        <f t="shared" si="10"/>
        <v/>
      </c>
      <c r="B945" s="23" t="str">
        <f>'3.1.raw'!L945</f>
        <v/>
      </c>
      <c r="C945" s="24" t="str">
        <f>datevalue(left('3.1.raw'!O945,10))</f>
        <v>#VALUE!</v>
      </c>
      <c r="D945" s="23" t="str">
        <f>'3.1.raw'!I945</f>
        <v/>
      </c>
      <c r="E945" s="1">
        <v>3.09999999999999</v>
      </c>
      <c r="F945" s="23" t="b">
        <f>if(countif(Status!C:C,A945)=1,TRUE, FALSE)</f>
        <v>0</v>
      </c>
      <c r="G945" s="1" t="str">
        <f t="shared" si="2"/>
        <v/>
      </c>
      <c r="H945" s="1" t="str">
        <f>'3.1.raw'!Z945</f>
        <v/>
      </c>
      <c r="J945" s="1" t="str">
        <f>'3.1.raw'!AK945</f>
        <v/>
      </c>
    </row>
    <row r="946">
      <c r="A946" s="23" t="str">
        <f t="shared" si="10"/>
        <v/>
      </c>
      <c r="B946" s="23" t="str">
        <f>'3.1.raw'!L946</f>
        <v/>
      </c>
      <c r="C946" s="24" t="str">
        <f>datevalue(left('3.1.raw'!O946,10))</f>
        <v>#VALUE!</v>
      </c>
      <c r="D946" s="23" t="str">
        <f>'3.1.raw'!I946</f>
        <v/>
      </c>
      <c r="E946" s="1">
        <v>3.09999999999999</v>
      </c>
      <c r="F946" s="23" t="b">
        <f>if(countif(Status!C:C,A946)=1,TRUE, FALSE)</f>
        <v>0</v>
      </c>
      <c r="G946" s="1" t="str">
        <f t="shared" si="2"/>
        <v/>
      </c>
      <c r="H946" s="1" t="str">
        <f>'3.1.raw'!Z946</f>
        <v/>
      </c>
      <c r="J946" s="1" t="str">
        <f>'3.1.raw'!AK946</f>
        <v/>
      </c>
    </row>
    <row r="947">
      <c r="A947" s="23" t="str">
        <f t="shared" si="10"/>
        <v/>
      </c>
      <c r="B947" s="23" t="str">
        <f>'3.1.raw'!L947</f>
        <v/>
      </c>
      <c r="C947" s="24" t="str">
        <f>datevalue(left('3.1.raw'!O947,10))</f>
        <v>#VALUE!</v>
      </c>
      <c r="D947" s="23" t="str">
        <f>'3.1.raw'!I947</f>
        <v/>
      </c>
      <c r="E947" s="1">
        <v>3.09999999999999</v>
      </c>
      <c r="F947" s="23" t="b">
        <f>if(countif(Status!C:C,A947)=1,TRUE, FALSE)</f>
        <v>0</v>
      </c>
      <c r="G947" s="1" t="str">
        <f t="shared" si="2"/>
        <v/>
      </c>
      <c r="H947" s="1" t="str">
        <f>'3.1.raw'!Z947</f>
        <v/>
      </c>
      <c r="J947" s="1" t="str">
        <f>'3.1.raw'!AK947</f>
        <v/>
      </c>
    </row>
    <row r="948">
      <c r="A948" s="23" t="str">
        <f t="shared" si="10"/>
        <v/>
      </c>
      <c r="B948" s="23" t="str">
        <f>'3.1.raw'!L948</f>
        <v/>
      </c>
      <c r="C948" s="24" t="str">
        <f>datevalue(left('3.1.raw'!O948,10))</f>
        <v>#VALUE!</v>
      </c>
      <c r="D948" s="23" t="str">
        <f>'3.1.raw'!I948</f>
        <v/>
      </c>
      <c r="E948" s="1">
        <v>3.09999999999999</v>
      </c>
      <c r="F948" s="23" t="b">
        <f>if(countif(Status!C:C,A948)=1,TRUE, FALSE)</f>
        <v>0</v>
      </c>
      <c r="G948" s="1" t="str">
        <f t="shared" si="2"/>
        <v/>
      </c>
      <c r="H948" s="1" t="str">
        <f>'3.1.raw'!Z948</f>
        <v/>
      </c>
      <c r="J948" s="1" t="str">
        <f>'3.1.raw'!AK948</f>
        <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sheetViews>
  <sheetFormatPr customHeight="1" defaultColWidth="14.43" defaultRowHeight="15.75"/>
  <cols>
    <col customWidth="1" min="1" max="2" width="19.29"/>
  </cols>
  <sheetData>
    <row r="1">
      <c r="A1" s="1" t="s">
        <v>1273</v>
      </c>
      <c r="B1" s="1" t="s">
        <v>1274</v>
      </c>
      <c r="C1" s="1" t="s">
        <v>96</v>
      </c>
      <c r="D1" s="50" t="s">
        <v>1543</v>
      </c>
      <c r="E1" s="1" t="s">
        <v>370</v>
      </c>
      <c r="F1" s="1" t="s">
        <v>372</v>
      </c>
      <c r="G1" s="1" t="s">
        <v>1544</v>
      </c>
      <c r="H1" s="1" t="s">
        <v>1545</v>
      </c>
      <c r="I1" s="1" t="s">
        <v>1546</v>
      </c>
    </row>
    <row r="2">
      <c r="A2" s="23" t="str">
        <f t="shared" ref="A2:A9" si="1">B2</f>
        <v>RP2001old</v>
      </c>
      <c r="B2" s="23" t="str">
        <f>'3.2.raw'!K2</f>
        <v>RP2001old</v>
      </c>
      <c r="C2" s="24">
        <f>datevalue(left('3.2.raw'!M2,10))</f>
        <v>43592</v>
      </c>
      <c r="D2" s="23">
        <f>'3.2.raw'!H2</f>
        <v>2</v>
      </c>
      <c r="E2" s="1">
        <v>3.2</v>
      </c>
      <c r="F2" s="23" t="b">
        <f>if(countif(Status!C:C,A2)=1,TRUE, FALSE)</f>
        <v>1</v>
      </c>
      <c r="G2" s="23" t="str">
        <f t="shared" ref="G2:G11" si="2">left(A2,len(A2)-4)</f>
        <v>RP200</v>
      </c>
      <c r="H2" s="23" t="str">
        <f>IFERROR(__xludf.DUMMYFUNCTION("UPPER(filter(Legend!$D$2:$D$31,Legend!$B$2:$B$31=D2))"),"RP")</f>
        <v>RP</v>
      </c>
      <c r="I2" s="23" t="b">
        <f t="shared" ref="I2:I679" si="3">if(len(G2)=3,left(G2,2)=H2,G2=H2)</f>
        <v>0</v>
      </c>
    </row>
    <row r="3">
      <c r="A3" s="23" t="str">
        <f t="shared" si="1"/>
        <v>RP2002old</v>
      </c>
      <c r="B3" s="23" t="str">
        <f>'3.2.raw'!K3</f>
        <v>RP2002old</v>
      </c>
      <c r="C3" s="24">
        <f>datevalue(left('3.2.raw'!M3,10))</f>
        <v>43592</v>
      </c>
      <c r="D3" s="23">
        <f>'3.2.raw'!H3</f>
        <v>2</v>
      </c>
      <c r="E3" s="1">
        <v>3.2</v>
      </c>
      <c r="F3" s="23" t="b">
        <f>if(countif(Status!C:C,A3)=1,TRUE, FALSE)</f>
        <v>1</v>
      </c>
      <c r="G3" s="23" t="str">
        <f t="shared" si="2"/>
        <v>RP200</v>
      </c>
      <c r="H3" s="23" t="str">
        <f>IFERROR(__xludf.DUMMYFUNCTION("UPPER(filter(Legend!$D$2:$D$31,Legend!$B$2:$B$31=D3))"),"RP")</f>
        <v>RP</v>
      </c>
      <c r="I3" s="23" t="b">
        <f t="shared" si="3"/>
        <v>0</v>
      </c>
    </row>
    <row r="4">
      <c r="A4" s="23" t="str">
        <f t="shared" si="1"/>
        <v>SL2001old</v>
      </c>
      <c r="B4" s="23" t="str">
        <f>'3.2.raw'!K4</f>
        <v>SL2001old</v>
      </c>
      <c r="C4" s="24">
        <f>datevalue(left('3.2.raw'!M4,10))</f>
        <v>43592</v>
      </c>
      <c r="D4" s="23">
        <f>'3.2.raw'!H4</f>
        <v>8</v>
      </c>
      <c r="E4" s="1">
        <v>3.2</v>
      </c>
      <c r="F4" s="23" t="b">
        <f>if(countif(Status!C:C,A4)=1,TRUE, FALSE)</f>
        <v>1</v>
      </c>
      <c r="G4" s="23" t="str">
        <f t="shared" si="2"/>
        <v>SL200</v>
      </c>
      <c r="H4" s="23" t="str">
        <f>IFERROR(__xludf.DUMMYFUNCTION("UPPER(filter(Legend!$D$2:$D$31,Legend!$B$2:$B$31=D4))"),"SL")</f>
        <v>SL</v>
      </c>
      <c r="I4" s="23" t="b">
        <f t="shared" si="3"/>
        <v>0</v>
      </c>
    </row>
    <row r="5">
      <c r="A5" s="23" t="str">
        <f t="shared" si="1"/>
        <v>SL2002old</v>
      </c>
      <c r="B5" s="23" t="str">
        <f>'3.2.raw'!K5</f>
        <v>SL2002old</v>
      </c>
      <c r="C5" s="24">
        <f>datevalue(left('3.2.raw'!M5,10))</f>
        <v>43592</v>
      </c>
      <c r="D5" s="23">
        <f>'3.2.raw'!H5</f>
        <v>8</v>
      </c>
      <c r="E5" s="1">
        <v>3.2</v>
      </c>
      <c r="F5" s="23" t="b">
        <f>if(countif(Status!C:C,A5)=1,TRUE, FALSE)</f>
        <v>1</v>
      </c>
      <c r="G5" s="23" t="str">
        <f t="shared" si="2"/>
        <v>SL200</v>
      </c>
      <c r="H5" s="23" t="str">
        <f>IFERROR(__xludf.DUMMYFUNCTION("UPPER(filter(Legend!$D$2:$D$31,Legend!$B$2:$B$31=D5))"),"SL")</f>
        <v>SL</v>
      </c>
      <c r="I5" s="23" t="b">
        <f t="shared" si="3"/>
        <v>0</v>
      </c>
    </row>
    <row r="6">
      <c r="A6" s="23" t="str">
        <f t="shared" si="1"/>
        <v>DW2002</v>
      </c>
      <c r="B6" s="23" t="str">
        <f>'3.2.raw'!K6</f>
        <v>DW2002</v>
      </c>
      <c r="C6" s="24">
        <f>datevalue(left('3.2.raw'!M6,10))</f>
        <v>43593</v>
      </c>
      <c r="D6" s="23">
        <f>'3.2.raw'!H6</f>
        <v>3</v>
      </c>
      <c r="E6" s="1">
        <v>3.2</v>
      </c>
      <c r="F6" s="23" t="b">
        <f>if(countif(Status!C:C,A6)=1,TRUE, FALSE)</f>
        <v>0</v>
      </c>
      <c r="G6" s="23" t="str">
        <f t="shared" si="2"/>
        <v>DW</v>
      </c>
      <c r="H6" s="23" t="str">
        <f>IFERROR(__xludf.DUMMYFUNCTION("UPPER(filter(Legend!$D$2:$D$31,Legend!$B$2:$B$31=D6))"),"DW")</f>
        <v>DW</v>
      </c>
      <c r="I6" s="23" t="b">
        <f t="shared" si="3"/>
        <v>1</v>
      </c>
    </row>
    <row r="7">
      <c r="A7" s="23" t="str">
        <f t="shared" si="1"/>
        <v>BW2001old</v>
      </c>
      <c r="B7" s="23" t="str">
        <f>'3.2.raw'!K7</f>
        <v>BW2001old</v>
      </c>
      <c r="C7" s="24">
        <f>datevalue(left('3.2.raw'!M7,10))</f>
        <v>43593</v>
      </c>
      <c r="D7" s="23">
        <f>'3.2.raw'!H7</f>
        <v>9</v>
      </c>
      <c r="E7" s="1">
        <v>3.2</v>
      </c>
      <c r="F7" s="23" t="b">
        <f>if(countif(Status!C:C,A7)=1,TRUE, FALSE)</f>
        <v>1</v>
      </c>
      <c r="G7" s="23" t="str">
        <f t="shared" si="2"/>
        <v>BW200</v>
      </c>
      <c r="H7" s="23" t="str">
        <f>IFERROR(__xludf.DUMMYFUNCTION("UPPER(filter(Legend!$D$2:$D$31,Legend!$B$2:$B$31=D7))"),"BW")</f>
        <v>BW</v>
      </c>
      <c r="I7" s="23" t="b">
        <f t="shared" si="3"/>
        <v>0</v>
      </c>
    </row>
    <row r="8">
      <c r="A8" s="23" t="str">
        <f t="shared" si="1"/>
        <v>SW2001old</v>
      </c>
      <c r="B8" s="23" t="str">
        <f>'3.2.raw'!K8</f>
        <v>SW2001old</v>
      </c>
      <c r="C8" s="24">
        <f>datevalue(left('3.2.raw'!M8,10))</f>
        <v>43593</v>
      </c>
      <c r="D8" s="23">
        <f>'3.2.raw'!H8</f>
        <v>5</v>
      </c>
      <c r="E8" s="1">
        <v>3.2</v>
      </c>
      <c r="F8" s="23" t="b">
        <f>if(countif(Status!C:C,A8)=1,TRUE, FALSE)</f>
        <v>1</v>
      </c>
      <c r="G8" s="23" t="str">
        <f t="shared" si="2"/>
        <v>SW200</v>
      </c>
      <c r="H8" s="23" t="str">
        <f>IFERROR(__xludf.DUMMYFUNCTION("UPPER(filter(Legend!$D$2:$D$31,Legend!$B$2:$B$31=D8))"),"SW")</f>
        <v>SW</v>
      </c>
      <c r="I8" s="23" t="b">
        <f t="shared" si="3"/>
        <v>0</v>
      </c>
    </row>
    <row r="9">
      <c r="A9" s="23" t="str">
        <f t="shared" si="1"/>
        <v>SF2001old</v>
      </c>
      <c r="B9" s="23" t="str">
        <f>'3.2.raw'!K9</f>
        <v>SF2001old</v>
      </c>
      <c r="C9" s="24">
        <f>datevalue(left('3.2.raw'!M9,10))</f>
        <v>43593</v>
      </c>
      <c r="D9" s="23">
        <f>'3.2.raw'!H9</f>
        <v>10</v>
      </c>
      <c r="E9" s="1">
        <v>3.2</v>
      </c>
      <c r="F9" s="23" t="b">
        <f>if(countif(Status!C:C,A9)=1,TRUE, FALSE)</f>
        <v>1</v>
      </c>
      <c r="G9" s="23" t="str">
        <f t="shared" si="2"/>
        <v>SF200</v>
      </c>
      <c r="H9" s="23" t="str">
        <f>IFERROR(__xludf.DUMMYFUNCTION("UPPER(filter(Legend!$D$2:$D$31,Legend!$B$2:$B$31=D9))"),"SF")</f>
        <v>SF</v>
      </c>
      <c r="I9" s="23" t="b">
        <f t="shared" si="3"/>
        <v>0</v>
      </c>
    </row>
    <row r="10">
      <c r="A10" s="49" t="s">
        <v>375</v>
      </c>
      <c r="B10" s="23" t="str">
        <f>'3.2.raw'!K10</f>
        <v>LS2001</v>
      </c>
      <c r="C10" s="24">
        <f>datevalue(left('3.2.raw'!M10,10))</f>
        <v>43593</v>
      </c>
      <c r="D10" s="23">
        <f>'3.2.raw'!H10</f>
        <v>7</v>
      </c>
      <c r="E10" s="1">
        <v>3.2</v>
      </c>
      <c r="F10" s="23" t="b">
        <f>if(countif(Status!C:C,A10)=1,TRUE, FALSE)</f>
        <v>1</v>
      </c>
      <c r="G10" s="23" t="str">
        <f t="shared" si="2"/>
        <v>LS200</v>
      </c>
      <c r="H10" s="23" t="str">
        <f>IFERROR(__xludf.DUMMYFUNCTION("UPPER(filter(Legend!$D$2:$D$31,Legend!$B$2:$B$31=D10))"),"LS")</f>
        <v>LS</v>
      </c>
      <c r="I10" s="23" t="b">
        <f t="shared" si="3"/>
        <v>0</v>
      </c>
    </row>
    <row r="11">
      <c r="A11" s="49" t="s">
        <v>68</v>
      </c>
      <c r="B11" s="23" t="str">
        <f>'3.2.raw'!K11</f>
        <v>LS1001</v>
      </c>
      <c r="C11" s="24">
        <f>datevalue(left('3.2.raw'!M11,10))</f>
        <v>43587</v>
      </c>
      <c r="D11" s="23">
        <f>'3.2.raw'!H11</f>
        <v>7</v>
      </c>
      <c r="E11" s="1">
        <v>3.2</v>
      </c>
      <c r="F11" s="23" t="b">
        <f>if(countif(Status!C:C,A11)=1,TRUE, FALSE)</f>
        <v>1</v>
      </c>
      <c r="G11" s="23" t="str">
        <f t="shared" si="2"/>
        <v>LS100</v>
      </c>
      <c r="H11" s="23" t="str">
        <f>IFERROR(__xludf.DUMMYFUNCTION("UPPER(filter(Legend!$D$2:$D$31,Legend!$B$2:$B$31=D11))"),"LS")</f>
        <v>LS</v>
      </c>
      <c r="I11" s="23" t="b">
        <f t="shared" si="3"/>
        <v>0</v>
      </c>
    </row>
    <row r="12">
      <c r="A12" s="23" t="str">
        <f t="shared" ref="A12:A22" si="4">B12</f>
        <v>RP2002-R</v>
      </c>
      <c r="B12" s="23" t="str">
        <f>'3.2.raw'!K12</f>
        <v>RP2002-R</v>
      </c>
      <c r="C12" s="24">
        <f>datevalue(left('3.2.raw'!M12,10))</f>
        <v>43601</v>
      </c>
      <c r="D12" s="23">
        <f>'3.2.raw'!H12</f>
        <v>2</v>
      </c>
      <c r="E12" s="1">
        <v>3.2</v>
      </c>
      <c r="F12" s="23" t="b">
        <f>if(countif(Status!C:C,A12)=1,TRUE, FALSE)</f>
        <v>0</v>
      </c>
      <c r="I12" s="23" t="b">
        <f t="shared" si="3"/>
        <v>1</v>
      </c>
    </row>
    <row r="13">
      <c r="A13" s="23" t="str">
        <f t="shared" si="4"/>
        <v>RP2001-R</v>
      </c>
      <c r="B13" s="23" t="str">
        <f>'3.2.raw'!K13</f>
        <v>RP2001-R</v>
      </c>
      <c r="C13" s="24">
        <f>datevalue(left('3.2.raw'!M13,10))</f>
        <v>43601</v>
      </c>
      <c r="D13" s="23">
        <f>'3.2.raw'!H13</f>
        <v>2</v>
      </c>
      <c r="E13" s="1">
        <v>3.2</v>
      </c>
      <c r="F13" s="23" t="b">
        <f>if(countif(Status!C:C,A13)=1,TRUE, FALSE)</f>
        <v>0</v>
      </c>
      <c r="I13" s="23" t="b">
        <f t="shared" si="3"/>
        <v>1</v>
      </c>
    </row>
    <row r="14">
      <c r="A14" s="23" t="str">
        <f t="shared" si="4"/>
        <v>SL2001-R</v>
      </c>
      <c r="B14" s="23" t="str">
        <f>'3.2.raw'!K14</f>
        <v>SL2001-R</v>
      </c>
      <c r="C14" s="24">
        <f>datevalue(left('3.2.raw'!M14,10))</f>
        <v>43601</v>
      </c>
      <c r="D14" s="23">
        <f>'3.2.raw'!H14</f>
        <v>8</v>
      </c>
      <c r="E14" s="1">
        <v>3.2</v>
      </c>
      <c r="F14" s="23" t="b">
        <f>if(countif(Status!C:C,A14)=1,TRUE, FALSE)</f>
        <v>0</v>
      </c>
      <c r="I14" s="23" t="b">
        <f t="shared" si="3"/>
        <v>1</v>
      </c>
    </row>
    <row r="15">
      <c r="A15" s="23" t="str">
        <f t="shared" si="4"/>
        <v>SL2002-R</v>
      </c>
      <c r="B15" s="23" t="str">
        <f>'3.2.raw'!K15</f>
        <v>SL2002-R</v>
      </c>
      <c r="C15" s="24">
        <f>datevalue(left('3.2.raw'!M15,10))</f>
        <v>43601</v>
      </c>
      <c r="D15" s="23">
        <f>'3.2.raw'!H15</f>
        <v>8</v>
      </c>
      <c r="E15" s="1">
        <v>3.2</v>
      </c>
      <c r="F15" s="23" t="b">
        <f>if(countif(Status!C:C,A15)=1,TRUE, FALSE)</f>
        <v>0</v>
      </c>
      <c r="I15" s="23" t="b">
        <f t="shared" si="3"/>
        <v>1</v>
      </c>
    </row>
    <row r="16">
      <c r="A16" s="23" t="str">
        <f t="shared" si="4"/>
        <v>DW2002-R</v>
      </c>
      <c r="B16" s="23" t="str">
        <f>'3.2.raw'!K16</f>
        <v>DW2002-R</v>
      </c>
      <c r="C16" s="24">
        <f>datevalue(left('3.2.raw'!M16,10))</f>
        <v>43601</v>
      </c>
      <c r="D16" s="23">
        <f>'3.2.raw'!H16</f>
        <v>3</v>
      </c>
      <c r="E16" s="1">
        <v>3.2</v>
      </c>
      <c r="F16" s="23" t="b">
        <f>if(countif(Status!C:C,A16)=1,TRUE, FALSE)</f>
        <v>0</v>
      </c>
      <c r="I16" s="23" t="b">
        <f t="shared" si="3"/>
        <v>1</v>
      </c>
    </row>
    <row r="17">
      <c r="A17" s="23" t="str">
        <f t="shared" si="4"/>
        <v>BW2001-R</v>
      </c>
      <c r="B17" s="23" t="str">
        <f>'3.2.raw'!K17</f>
        <v>BW2001-R</v>
      </c>
      <c r="C17" s="24">
        <f>datevalue(left('3.2.raw'!M17,10))</f>
        <v>43601</v>
      </c>
      <c r="D17" s="23">
        <f>'3.2.raw'!H17</f>
        <v>9</v>
      </c>
      <c r="E17" s="1">
        <v>3.2</v>
      </c>
      <c r="F17" s="23" t="b">
        <f>if(countif(Status!C:C,A17)=1,TRUE, FALSE)</f>
        <v>0</v>
      </c>
      <c r="I17" s="23" t="b">
        <f t="shared" si="3"/>
        <v>1</v>
      </c>
    </row>
    <row r="18">
      <c r="A18" s="23" t="str">
        <f t="shared" si="4"/>
        <v>SW2001-R</v>
      </c>
      <c r="B18" s="23" t="str">
        <f>'3.2.raw'!K18</f>
        <v>SW2001-R</v>
      </c>
      <c r="C18" s="24">
        <f>datevalue(left('3.2.raw'!M18,10))</f>
        <v>43601</v>
      </c>
      <c r="D18" s="23">
        <f>'3.2.raw'!H18</f>
        <v>5</v>
      </c>
      <c r="E18" s="1">
        <v>3.2</v>
      </c>
      <c r="F18" s="23" t="b">
        <f>if(countif(Status!C:C,A18)=1,TRUE, FALSE)</f>
        <v>0</v>
      </c>
      <c r="I18" s="23" t="b">
        <f t="shared" si="3"/>
        <v>1</v>
      </c>
    </row>
    <row r="19">
      <c r="A19" s="23" t="str">
        <f t="shared" si="4"/>
        <v>SF2001-R</v>
      </c>
      <c r="B19" s="23" t="str">
        <f>'3.2.raw'!K19</f>
        <v>SF2001-R</v>
      </c>
      <c r="C19" s="24">
        <f>datevalue(left('3.2.raw'!M19,10))</f>
        <v>43601</v>
      </c>
      <c r="D19" s="23">
        <f>'3.2.raw'!H19</f>
        <v>10</v>
      </c>
      <c r="E19" s="1">
        <v>3.2</v>
      </c>
      <c r="F19" s="23" t="b">
        <f>if(countif(Status!C:C,A19)=1,TRUE, FALSE)</f>
        <v>0</v>
      </c>
      <c r="I19" s="23" t="b">
        <f t="shared" si="3"/>
        <v>1</v>
      </c>
    </row>
    <row r="20">
      <c r="A20" s="23" t="str">
        <f t="shared" si="4"/>
        <v>LS2001-R</v>
      </c>
      <c r="B20" s="23" t="str">
        <f>'3.2.raw'!K20</f>
        <v>LS2001-R</v>
      </c>
      <c r="C20" s="24">
        <f>datevalue(left('3.2.raw'!M20,10))</f>
        <v>43601</v>
      </c>
      <c r="D20" s="23">
        <f>'3.2.raw'!H20</f>
        <v>7</v>
      </c>
      <c r="E20" s="1">
        <v>3.2</v>
      </c>
      <c r="F20" s="23" t="b">
        <f>if(countif(Status!C:C,A20)=1,TRUE, FALSE)</f>
        <v>0</v>
      </c>
      <c r="I20" s="23" t="b">
        <f t="shared" si="3"/>
        <v>1</v>
      </c>
    </row>
    <row r="21">
      <c r="A21" s="23" t="str">
        <f t="shared" si="4"/>
        <v>RP2003old</v>
      </c>
      <c r="B21" s="23" t="str">
        <f>'3.2.raw'!K21</f>
        <v>RP2003old</v>
      </c>
      <c r="C21" s="24">
        <f>datevalue(left('3.2.raw'!M21,10))</f>
        <v>43601</v>
      </c>
      <c r="D21" s="23">
        <f>'3.2.raw'!H21</f>
        <v>2</v>
      </c>
      <c r="E21" s="1">
        <v>3.2</v>
      </c>
      <c r="F21" s="23" t="b">
        <f>if(countif(Status!C:C,A21)=1,TRUE, FALSE)</f>
        <v>0</v>
      </c>
      <c r="G21" s="23" t="str">
        <f t="shared" ref="G21:G33" si="5">left(A21,len(A21)-4)</f>
        <v>RP200</v>
      </c>
      <c r="H21" s="23" t="str">
        <f>IFERROR(__xludf.DUMMYFUNCTION("UPPER(filter(Legend!$D$2:$D$31,Legend!$B$2:$B$31=D21))"),"RP")</f>
        <v>RP</v>
      </c>
      <c r="I21" s="23" t="b">
        <f t="shared" si="3"/>
        <v>0</v>
      </c>
    </row>
    <row r="22">
      <c r="A22" s="23" t="str">
        <f t="shared" si="4"/>
        <v>RP2004old</v>
      </c>
      <c r="B22" s="23" t="str">
        <f>'3.2.raw'!K22</f>
        <v>RP2004old</v>
      </c>
      <c r="C22" s="24">
        <f>datevalue(left('3.2.raw'!M22,10))</f>
        <v>43601</v>
      </c>
      <c r="D22" s="23">
        <f>'3.2.raw'!H22</f>
        <v>2</v>
      </c>
      <c r="E22" s="1">
        <v>3.2</v>
      </c>
      <c r="F22" s="23" t="b">
        <f>if(countif(Status!C:C,A22)=1,TRUE, FALSE)</f>
        <v>1</v>
      </c>
      <c r="G22" s="23" t="str">
        <f t="shared" si="5"/>
        <v>RP200</v>
      </c>
      <c r="H22" s="23" t="str">
        <f>IFERROR(__xludf.DUMMYFUNCTION("UPPER(filter(Legend!$D$2:$D$31,Legend!$B$2:$B$31=D22))"),"RP")</f>
        <v>RP</v>
      </c>
      <c r="I22" s="23" t="b">
        <f t="shared" si="3"/>
        <v>0</v>
      </c>
    </row>
    <row r="23">
      <c r="A23" s="96" t="s">
        <v>380</v>
      </c>
      <c r="B23" s="23" t="str">
        <f>'3.2.raw'!K23</f>
        <v>SL2003</v>
      </c>
      <c r="C23" s="24">
        <f>datevalue(left('3.2.raw'!M23,10))</f>
        <v>43601</v>
      </c>
      <c r="D23" s="23">
        <f>'3.2.raw'!H23</f>
        <v>8</v>
      </c>
      <c r="E23" s="1">
        <v>3.2</v>
      </c>
      <c r="F23" s="23" t="b">
        <f>if(countif(Status!C:C,A23)=1,TRUE, FALSE)</f>
        <v>1</v>
      </c>
      <c r="G23" s="23" t="str">
        <f t="shared" si="5"/>
        <v>SL200</v>
      </c>
      <c r="H23" s="23" t="str">
        <f>IFERROR(__xludf.DUMMYFUNCTION("UPPER(filter(Legend!$D$2:$D$31,Legend!$B$2:$B$31=D23))"),"SL")</f>
        <v>SL</v>
      </c>
      <c r="I23" s="23" t="b">
        <f t="shared" si="3"/>
        <v>0</v>
      </c>
    </row>
    <row r="24">
      <c r="A24" s="23" t="str">
        <f t="shared" ref="A24:A666" si="6">B24</f>
        <v>PL1007</v>
      </c>
      <c r="B24" s="23" t="str">
        <f>'3.2.raw'!K24</f>
        <v>PL1007</v>
      </c>
      <c r="C24" s="24">
        <f>datevalue(left('3.2.raw'!M24,10))</f>
        <v>43601</v>
      </c>
      <c r="D24" s="23">
        <f>'3.2.raw'!H24</f>
        <v>97</v>
      </c>
      <c r="E24" s="1">
        <v>3.2</v>
      </c>
      <c r="F24" s="23" t="b">
        <f>if(countif(Status!C:C,A24)=1,TRUE, FALSE)</f>
        <v>1</v>
      </c>
      <c r="G24" s="23" t="str">
        <f t="shared" si="5"/>
        <v>PL</v>
      </c>
      <c r="I24" s="23" t="b">
        <f t="shared" si="3"/>
        <v>0</v>
      </c>
    </row>
    <row r="25">
      <c r="A25" s="23" t="str">
        <f t="shared" si="6"/>
        <v>SL2004old</v>
      </c>
      <c r="B25" s="23" t="str">
        <f>'3.2.raw'!K25</f>
        <v>SL2004old</v>
      </c>
      <c r="C25" s="24">
        <f>datevalue(left('3.2.raw'!M25,10))</f>
        <v>43601</v>
      </c>
      <c r="D25" s="23">
        <f>'3.2.raw'!H25</f>
        <v>8</v>
      </c>
      <c r="E25" s="1">
        <v>3.2</v>
      </c>
      <c r="F25" s="23" t="b">
        <f>if(countif(Status!C:C,A25)=1,TRUE, FALSE)</f>
        <v>1</v>
      </c>
      <c r="G25" s="23" t="str">
        <f t="shared" si="5"/>
        <v>SL200</v>
      </c>
      <c r="H25" s="23" t="str">
        <f>IFERROR(__xludf.DUMMYFUNCTION("UPPER(filter(Legend!$D$2:$D$31,Legend!$B$2:$B$31=D25))"),"SL")</f>
        <v>SL</v>
      </c>
      <c r="I25" s="23" t="b">
        <f t="shared" si="3"/>
        <v>0</v>
      </c>
    </row>
    <row r="26">
      <c r="A26" s="23" t="str">
        <f t="shared" si="6"/>
        <v>DWb1001</v>
      </c>
      <c r="B26" s="23" t="str">
        <f>'3.2.raw'!K26</f>
        <v>DWb1001</v>
      </c>
      <c r="C26" s="24">
        <f>datevalue(left('3.2.raw'!M26,10))</f>
        <v>43601</v>
      </c>
      <c r="D26" s="23">
        <f>'3.2.raw'!H26</f>
        <v>3</v>
      </c>
      <c r="E26" s="1">
        <v>3.2</v>
      </c>
      <c r="F26" s="23" t="b">
        <f>if(countif(Status!C:C,A26)=1,TRUE, FALSE)</f>
        <v>1</v>
      </c>
      <c r="G26" s="23" t="str">
        <f t="shared" si="5"/>
        <v>DWb</v>
      </c>
      <c r="H26" s="23" t="str">
        <f>IFERROR(__xludf.DUMMYFUNCTION("UPPER(filter(Legend!$D$2:$D$31,Legend!$B$2:$B$31=D26))"),"DW")</f>
        <v>DW</v>
      </c>
      <c r="I26" s="23" t="b">
        <f t="shared" si="3"/>
        <v>1</v>
      </c>
    </row>
    <row r="27">
      <c r="A27" s="23" t="str">
        <f t="shared" si="6"/>
        <v>OD1001</v>
      </c>
      <c r="B27" s="23" t="str">
        <f>'3.2.raw'!K27</f>
        <v>OD1001</v>
      </c>
      <c r="C27" s="24">
        <f>datevalue(left('3.2.raw'!M27,10))</f>
        <v>43601</v>
      </c>
      <c r="D27" s="23">
        <f>'3.2.raw'!H27</f>
        <v>1</v>
      </c>
      <c r="E27" s="1">
        <v>3.2</v>
      </c>
      <c r="F27" s="23" t="b">
        <f>if(countif(Status!C:C,A27)=1,TRUE, FALSE)</f>
        <v>1</v>
      </c>
      <c r="G27" s="23" t="str">
        <f t="shared" si="5"/>
        <v>OD</v>
      </c>
      <c r="H27" s="23" t="str">
        <f>IFERROR(__xludf.DUMMYFUNCTION("UPPER(filter(Legend!$D$2:$D$31,Legend!$B$2:$B$31=D27))"),"OD")</f>
        <v>OD</v>
      </c>
      <c r="I27" s="23" t="b">
        <f t="shared" si="3"/>
        <v>1</v>
      </c>
    </row>
    <row r="28">
      <c r="A28" s="23" t="str">
        <f t="shared" si="6"/>
        <v>SF1002</v>
      </c>
      <c r="B28" s="23" t="str">
        <f>'3.2.raw'!K28</f>
        <v>SF1002</v>
      </c>
      <c r="C28" s="24">
        <f>datevalue(left('3.2.raw'!M28,10))</f>
        <v>43601</v>
      </c>
      <c r="D28" s="23">
        <f>'3.2.raw'!H28</f>
        <v>10</v>
      </c>
      <c r="E28" s="1">
        <v>3.2</v>
      </c>
      <c r="F28" s="23" t="b">
        <f>if(countif(Status!C:C,A28)=1,TRUE, FALSE)</f>
        <v>1</v>
      </c>
      <c r="G28" s="23" t="str">
        <f t="shared" si="5"/>
        <v>SF</v>
      </c>
      <c r="H28" s="23" t="str">
        <f>IFERROR(__xludf.DUMMYFUNCTION("UPPER(filter(Legend!$D$2:$D$31,Legend!$B$2:$B$31=D28))"),"SF")</f>
        <v>SF</v>
      </c>
      <c r="I28" s="23" t="b">
        <f t="shared" si="3"/>
        <v>1</v>
      </c>
    </row>
    <row r="29">
      <c r="A29" s="23" t="str">
        <f t="shared" si="6"/>
        <v>SF1002</v>
      </c>
      <c r="B29" s="23" t="str">
        <f>'3.2.raw'!K29</f>
        <v>SF1002</v>
      </c>
      <c r="C29" s="24">
        <f>datevalue(left('3.2.raw'!M29,10))</f>
        <v>43601</v>
      </c>
      <c r="D29" s="23">
        <f>'3.2.raw'!H29</f>
        <v>10</v>
      </c>
      <c r="E29" s="1">
        <v>3.2</v>
      </c>
      <c r="F29" s="23" t="b">
        <f>if(countif(Status!C:C,A29)=1,TRUE, FALSE)</f>
        <v>1</v>
      </c>
      <c r="G29" s="23" t="str">
        <f t="shared" si="5"/>
        <v>SF</v>
      </c>
      <c r="H29" s="23" t="str">
        <f>IFERROR(__xludf.DUMMYFUNCTION("UPPER(filter(Legend!$D$2:$D$31,Legend!$B$2:$B$31=D29))"),"SF")</f>
        <v>SF</v>
      </c>
      <c r="I29" s="23" t="b">
        <f t="shared" si="3"/>
        <v>1</v>
      </c>
    </row>
    <row r="30">
      <c r="A30" s="23" t="str">
        <f t="shared" si="6"/>
        <v>SW1001</v>
      </c>
      <c r="B30" s="23" t="str">
        <f>'3.2.raw'!K30</f>
        <v>SW1001</v>
      </c>
      <c r="C30" s="24">
        <f>datevalue(left('3.2.raw'!M30,10))</f>
        <v>43601</v>
      </c>
      <c r="D30" s="23">
        <f>'3.2.raw'!H30</f>
        <v>5</v>
      </c>
      <c r="E30" s="1">
        <v>3.2</v>
      </c>
      <c r="F30" s="23" t="b">
        <f>if(countif(Status!C:C,A30)=1,TRUE, FALSE)</f>
        <v>1</v>
      </c>
      <c r="G30" s="23" t="str">
        <f t="shared" si="5"/>
        <v>SW</v>
      </c>
      <c r="H30" s="23" t="str">
        <f>IFERROR(__xludf.DUMMYFUNCTION("UPPER(filter(Legend!$D$2:$D$31,Legend!$B$2:$B$31=D30))"),"SW")</f>
        <v>SW</v>
      </c>
      <c r="I30" s="23" t="b">
        <f t="shared" si="3"/>
        <v>1</v>
      </c>
    </row>
    <row r="31">
      <c r="A31" s="23" t="str">
        <f t="shared" si="6"/>
        <v>LS1002</v>
      </c>
      <c r="B31" s="23" t="str">
        <f>'3.2.raw'!K31</f>
        <v>LS1002</v>
      </c>
      <c r="C31" s="24">
        <f>datevalue(left('3.2.raw'!M31,10))</f>
        <v>43601</v>
      </c>
      <c r="D31" s="23">
        <f>'3.2.raw'!H31</f>
        <v>7</v>
      </c>
      <c r="E31" s="1">
        <v>3.2</v>
      </c>
      <c r="F31" s="23" t="b">
        <f>if(countif(Status!C:C,A31)=1,TRUE, FALSE)</f>
        <v>1</v>
      </c>
      <c r="G31" s="23" t="str">
        <f t="shared" si="5"/>
        <v>LS</v>
      </c>
      <c r="H31" s="23" t="str">
        <f>IFERROR(__xludf.DUMMYFUNCTION("UPPER(filter(Legend!$D$2:$D$31,Legend!$B$2:$B$31=D31))"),"LS")</f>
        <v>LS</v>
      </c>
      <c r="I31" s="23" t="b">
        <f t="shared" si="3"/>
        <v>1</v>
      </c>
    </row>
    <row r="32">
      <c r="A32" s="23" t="str">
        <f t="shared" si="6"/>
        <v>LS1003</v>
      </c>
      <c r="B32" s="23" t="str">
        <f>'3.2.raw'!K32</f>
        <v>LS1003</v>
      </c>
      <c r="C32" s="24">
        <f>datevalue(left('3.2.raw'!M32,10))</f>
        <v>43601</v>
      </c>
      <c r="D32" s="23">
        <f>'3.2.raw'!H32</f>
        <v>7</v>
      </c>
      <c r="E32" s="1">
        <v>3.2</v>
      </c>
      <c r="F32" s="23" t="b">
        <f>if(countif(Status!C:C,A32)=1,TRUE, FALSE)</f>
        <v>1</v>
      </c>
      <c r="G32" s="23" t="str">
        <f t="shared" si="5"/>
        <v>LS</v>
      </c>
      <c r="H32" s="23" t="str">
        <f>IFERROR(__xludf.DUMMYFUNCTION("UPPER(filter(Legend!$D$2:$D$31,Legend!$B$2:$B$31=D32))"),"LS")</f>
        <v>LS</v>
      </c>
      <c r="I32" s="23" t="b">
        <f t="shared" si="3"/>
        <v>1</v>
      </c>
    </row>
    <row r="33">
      <c r="A33" s="23" t="str">
        <f t="shared" si="6"/>
        <v>LS1004</v>
      </c>
      <c r="B33" s="23" t="str">
        <f>'3.2.raw'!K33</f>
        <v>LS1004</v>
      </c>
      <c r="C33" s="24">
        <f>datevalue(left('3.2.raw'!M33,10))</f>
        <v>43601</v>
      </c>
      <c r="D33" s="23">
        <f>'3.2.raw'!H33</f>
        <v>7</v>
      </c>
      <c r="E33" s="1">
        <v>3.2</v>
      </c>
      <c r="F33" s="23" t="b">
        <f>if(countif(Status!C:C,A33)=1,TRUE, FALSE)</f>
        <v>1</v>
      </c>
      <c r="G33" s="23" t="str">
        <f t="shared" si="5"/>
        <v>LS</v>
      </c>
      <c r="H33" s="23" t="str">
        <f>IFERROR(__xludf.DUMMYFUNCTION("UPPER(filter(Legend!$D$2:$D$31,Legend!$B$2:$B$31=D33))"),"LS")</f>
        <v>LS</v>
      </c>
      <c r="I33" s="23" t="b">
        <f t="shared" si="3"/>
        <v>1</v>
      </c>
    </row>
    <row r="34">
      <c r="A34" s="23" t="str">
        <f t="shared" si="6"/>
        <v>POSITIVE CONTROL</v>
      </c>
      <c r="B34" s="23" t="str">
        <f>'3.2.raw'!K34</f>
        <v>POSITIVE CONTROL</v>
      </c>
      <c r="C34" s="24">
        <f>datevalue(left('3.2.raw'!M34,10))</f>
        <v>43607</v>
      </c>
      <c r="D34" s="23">
        <f>'3.2.raw'!H34</f>
        <v>97</v>
      </c>
      <c r="E34" s="1">
        <v>3.2</v>
      </c>
      <c r="F34" s="23" t="b">
        <f>if(countif(Status!C:C,A34)=1,TRUE, FALSE)</f>
        <v>0</v>
      </c>
      <c r="I34" s="23" t="b">
        <f t="shared" si="3"/>
        <v>1</v>
      </c>
    </row>
    <row r="35">
      <c r="A35" s="23" t="str">
        <f t="shared" si="6"/>
        <v>DWb1002</v>
      </c>
      <c r="B35" s="23" t="str">
        <f>'3.2.raw'!K35</f>
        <v>DWb1002</v>
      </c>
      <c r="C35" s="24">
        <f>datevalue(left('3.2.raw'!M35,10))</f>
        <v>43607</v>
      </c>
      <c r="D35" s="23">
        <f>'3.2.raw'!H35</f>
        <v>3</v>
      </c>
      <c r="E35" s="1">
        <v>3.2</v>
      </c>
      <c r="F35" s="23" t="b">
        <f>if(countif(Status!C:C,A35)=1,TRUE, FALSE)</f>
        <v>1</v>
      </c>
      <c r="G35" s="23" t="str">
        <f t="shared" ref="G35:G69" si="7">left(A35,len(A35)-4)</f>
        <v>DWb</v>
      </c>
      <c r="H35" s="23" t="str">
        <f>IFERROR(__xludf.DUMMYFUNCTION("UPPER(filter(Legend!$D$2:$D$31,Legend!$B$2:$B$31=D35))"),"DW")</f>
        <v>DW</v>
      </c>
      <c r="I35" s="23" t="b">
        <f t="shared" si="3"/>
        <v>1</v>
      </c>
    </row>
    <row r="36">
      <c r="A36" s="23" t="str">
        <f t="shared" si="6"/>
        <v>RP1001</v>
      </c>
      <c r="B36" s="23" t="str">
        <f>'3.2.raw'!K36</f>
        <v>RP1001</v>
      </c>
      <c r="C36" s="24">
        <f>datevalue(left('3.2.raw'!M36,10))</f>
        <v>43607</v>
      </c>
      <c r="D36" s="23">
        <f>'3.2.raw'!H36</f>
        <v>2</v>
      </c>
      <c r="E36" s="1">
        <v>3.2</v>
      </c>
      <c r="F36" s="23" t="b">
        <f>if(countif(Status!C:C,A36)=1,TRUE, FALSE)</f>
        <v>1</v>
      </c>
      <c r="G36" s="23" t="str">
        <f t="shared" si="7"/>
        <v>RP</v>
      </c>
      <c r="H36" s="23" t="str">
        <f>IFERROR(__xludf.DUMMYFUNCTION("UPPER(filter(Legend!$D$2:$D$31,Legend!$B$2:$B$31=D36))"),"RP")</f>
        <v>RP</v>
      </c>
      <c r="I36" s="23" t="b">
        <f t="shared" si="3"/>
        <v>1</v>
      </c>
    </row>
    <row r="37">
      <c r="A37" s="23" t="str">
        <f t="shared" si="6"/>
        <v>RP1002</v>
      </c>
      <c r="B37" s="23" t="str">
        <f>'3.2.raw'!K37</f>
        <v>RP1002</v>
      </c>
      <c r="C37" s="24">
        <f>datevalue(left('3.2.raw'!M37,10))</f>
        <v>43607</v>
      </c>
      <c r="D37" s="23">
        <f>'3.2.raw'!H37</f>
        <v>2</v>
      </c>
      <c r="E37" s="1">
        <v>3.2</v>
      </c>
      <c r="F37" s="23" t="b">
        <f>if(countif(Status!C:C,A37)=1,TRUE, FALSE)</f>
        <v>1</v>
      </c>
      <c r="G37" s="23" t="str">
        <f t="shared" si="7"/>
        <v>RP</v>
      </c>
      <c r="H37" s="23" t="str">
        <f>IFERROR(__xludf.DUMMYFUNCTION("UPPER(filter(Legend!$D$2:$D$31,Legend!$B$2:$B$31=D37))"),"RP")</f>
        <v>RP</v>
      </c>
      <c r="I37" s="23" t="b">
        <f t="shared" si="3"/>
        <v>1</v>
      </c>
    </row>
    <row r="38">
      <c r="A38" s="23" t="str">
        <f t="shared" si="6"/>
        <v>OD1002</v>
      </c>
      <c r="B38" s="23" t="str">
        <f>'3.2.raw'!K38</f>
        <v>OD1002</v>
      </c>
      <c r="C38" s="24">
        <f>datevalue(left('3.2.raw'!M38,10))</f>
        <v>43607</v>
      </c>
      <c r="D38" s="23">
        <f>'3.2.raw'!H38</f>
        <v>1</v>
      </c>
      <c r="E38" s="1">
        <v>3.2</v>
      </c>
      <c r="F38" s="23" t="b">
        <f>if(countif(Status!C:C,A38)=1,TRUE, FALSE)</f>
        <v>1</v>
      </c>
      <c r="G38" s="23" t="str">
        <f t="shared" si="7"/>
        <v>OD</v>
      </c>
      <c r="H38" s="23" t="str">
        <f>IFERROR(__xludf.DUMMYFUNCTION("UPPER(filter(Legend!$D$2:$D$31,Legend!$B$2:$B$31=D38))"),"OD")</f>
        <v>OD</v>
      </c>
      <c r="I38" s="23" t="b">
        <f t="shared" si="3"/>
        <v>1</v>
      </c>
    </row>
    <row r="39">
      <c r="A39" s="23" t="str">
        <f t="shared" si="6"/>
        <v>SF1003</v>
      </c>
      <c r="B39" s="23" t="str">
        <f>'3.2.raw'!K39</f>
        <v>SF1003</v>
      </c>
      <c r="C39" s="24">
        <f>datevalue(left('3.2.raw'!M39,10))</f>
        <v>43607</v>
      </c>
      <c r="D39" s="23">
        <f>'3.2.raw'!H39</f>
        <v>10</v>
      </c>
      <c r="E39" s="1">
        <v>3.2</v>
      </c>
      <c r="F39" s="23" t="b">
        <f>if(countif(Status!C:C,A39)=1,TRUE, FALSE)</f>
        <v>1</v>
      </c>
      <c r="G39" s="23" t="str">
        <f t="shared" si="7"/>
        <v>SF</v>
      </c>
      <c r="H39" s="23" t="str">
        <f>IFERROR(__xludf.DUMMYFUNCTION("UPPER(filter(Legend!$D$2:$D$31,Legend!$B$2:$B$31=D39))"),"SF")</f>
        <v>SF</v>
      </c>
      <c r="I39" s="23" t="b">
        <f t="shared" si="3"/>
        <v>1</v>
      </c>
    </row>
    <row r="40">
      <c r="A40" s="23" t="str">
        <f t="shared" si="6"/>
        <v>SW1002</v>
      </c>
      <c r="B40" s="23" t="str">
        <f>'3.2.raw'!K40</f>
        <v>SW1002</v>
      </c>
      <c r="C40" s="24">
        <f>datevalue(left('3.2.raw'!M40,10))</f>
        <v>43607</v>
      </c>
      <c r="D40" s="23">
        <f>'3.2.raw'!H40</f>
        <v>5</v>
      </c>
      <c r="E40" s="1">
        <v>3.2</v>
      </c>
      <c r="F40" s="23" t="b">
        <f>if(countif(Status!C:C,A40)=1,TRUE, FALSE)</f>
        <v>1</v>
      </c>
      <c r="G40" s="23" t="str">
        <f t="shared" si="7"/>
        <v>SW</v>
      </c>
      <c r="H40" s="23" t="str">
        <f>IFERROR(__xludf.DUMMYFUNCTION("UPPER(filter(Legend!$D$2:$D$31,Legend!$B$2:$B$31=D40))"),"SW")</f>
        <v>SW</v>
      </c>
      <c r="I40" s="23" t="b">
        <f t="shared" si="3"/>
        <v>1</v>
      </c>
    </row>
    <row r="41">
      <c r="A41" s="23" t="str">
        <f t="shared" si="6"/>
        <v>SF1001</v>
      </c>
      <c r="B41" s="23" t="str">
        <f>'3.2.raw'!K41</f>
        <v>SF1001</v>
      </c>
      <c r="C41" s="24">
        <f>datevalue(left('3.2.raw'!M41,10))</f>
        <v>43601</v>
      </c>
      <c r="D41" s="23">
        <f>'3.2.raw'!H41</f>
        <v>10</v>
      </c>
      <c r="E41" s="1">
        <v>3.2</v>
      </c>
      <c r="F41" s="23" t="b">
        <f>if(countif(Status!C:C,A41)=1,TRUE, FALSE)</f>
        <v>1</v>
      </c>
      <c r="G41" s="23" t="str">
        <f t="shared" si="7"/>
        <v>SF</v>
      </c>
      <c r="H41" s="23" t="str">
        <f>IFERROR(__xludf.DUMMYFUNCTION("UPPER(filter(Legend!$D$2:$D$31,Legend!$B$2:$B$31=D41))"),"SF")</f>
        <v>SF</v>
      </c>
      <c r="I41" s="23" t="b">
        <f t="shared" si="3"/>
        <v>1</v>
      </c>
    </row>
    <row r="42">
      <c r="A42" s="23" t="str">
        <f t="shared" si="6"/>
        <v>SF1002</v>
      </c>
      <c r="B42" s="23" t="str">
        <f>'3.2.raw'!K42</f>
        <v>SF1002</v>
      </c>
      <c r="C42" s="24">
        <f>datevalue(left('3.2.raw'!M42,10))</f>
        <v>43601</v>
      </c>
      <c r="D42" s="23">
        <f>'3.2.raw'!H42</f>
        <v>10</v>
      </c>
      <c r="E42" s="1">
        <v>3.2</v>
      </c>
      <c r="F42" s="23" t="b">
        <f>if(countif(Status!C:C,A42)=1,TRUE, FALSE)</f>
        <v>1</v>
      </c>
      <c r="G42" s="23" t="str">
        <f t="shared" si="7"/>
        <v>SF</v>
      </c>
      <c r="H42" s="23" t="str">
        <f>IFERROR(__xludf.DUMMYFUNCTION("UPPER(filter(Legend!$D$2:$D$31,Legend!$B$2:$B$31=D42))"),"SF")</f>
        <v>SF</v>
      </c>
      <c r="I42" s="23" t="b">
        <f t="shared" si="3"/>
        <v>1</v>
      </c>
    </row>
    <row r="43">
      <c r="A43" s="23" t="str">
        <f t="shared" si="6"/>
        <v>SF1004</v>
      </c>
      <c r="B43" s="23" t="str">
        <f>'3.2.raw'!K43</f>
        <v>SF1004</v>
      </c>
      <c r="C43" s="24">
        <f>datevalue(left('3.2.raw'!M43,10))</f>
        <v>43607</v>
      </c>
      <c r="D43" s="23">
        <f>'3.2.raw'!H43</f>
        <v>10</v>
      </c>
      <c r="E43" s="1">
        <v>3.2</v>
      </c>
      <c r="F43" s="23" t="b">
        <f>if(countif(Status!C:C,A43)=1,TRUE, FALSE)</f>
        <v>1</v>
      </c>
      <c r="G43" s="23" t="str">
        <f t="shared" si="7"/>
        <v>SF</v>
      </c>
      <c r="H43" s="23" t="str">
        <f>IFERROR(__xludf.DUMMYFUNCTION("UPPER(filter(Legend!$D$2:$D$31,Legend!$B$2:$B$31=D43))"),"SF")</f>
        <v>SF</v>
      </c>
      <c r="I43" s="23" t="b">
        <f t="shared" si="3"/>
        <v>1</v>
      </c>
    </row>
    <row r="44">
      <c r="A44" s="23" t="str">
        <f t="shared" si="6"/>
        <v>DWa1001</v>
      </c>
      <c r="B44" s="23" t="str">
        <f>'3.2.raw'!K44</f>
        <v>DWa1001</v>
      </c>
      <c r="C44" s="24">
        <f>datevalue(left('3.2.raw'!M44,10))</f>
        <v>43607</v>
      </c>
      <c r="D44" s="23">
        <f>'3.2.raw'!H44</f>
        <v>3</v>
      </c>
      <c r="E44" s="1">
        <v>3.2</v>
      </c>
      <c r="F44" s="23" t="b">
        <f>if(countif(Status!C:C,A44)=1,TRUE, FALSE)</f>
        <v>1</v>
      </c>
      <c r="G44" s="23" t="str">
        <f t="shared" si="7"/>
        <v>DWa</v>
      </c>
      <c r="H44" s="23" t="str">
        <f>IFERROR(__xludf.DUMMYFUNCTION("UPPER(filter(Legend!$D$2:$D$31,Legend!$B$2:$B$31=D44))"),"DW")</f>
        <v>DW</v>
      </c>
      <c r="I44" s="23" t="b">
        <f t="shared" si="3"/>
        <v>1</v>
      </c>
    </row>
    <row r="45">
      <c r="A45" s="23" t="str">
        <f t="shared" si="6"/>
        <v>LS1005</v>
      </c>
      <c r="B45" s="23" t="str">
        <f>'3.2.raw'!K45</f>
        <v>LS1005</v>
      </c>
      <c r="C45" s="24">
        <f>datevalue(left('3.2.raw'!M45,10))</f>
        <v>43607</v>
      </c>
      <c r="D45" s="23">
        <f>'3.2.raw'!H45</f>
        <v>7</v>
      </c>
      <c r="E45" s="1">
        <v>3.2</v>
      </c>
      <c r="F45" s="23" t="b">
        <f>if(countif(Status!C:C,A45)=1,TRUE, FALSE)</f>
        <v>1</v>
      </c>
      <c r="G45" s="23" t="str">
        <f t="shared" si="7"/>
        <v>LS</v>
      </c>
      <c r="H45" s="23" t="str">
        <f>IFERROR(__xludf.DUMMYFUNCTION("UPPER(filter(Legend!$D$2:$D$31,Legend!$B$2:$B$31=D45))"),"LS")</f>
        <v>LS</v>
      </c>
      <c r="I45" s="23" t="b">
        <f t="shared" si="3"/>
        <v>1</v>
      </c>
    </row>
    <row r="46">
      <c r="A46" s="23" t="str">
        <f t="shared" si="6"/>
        <v>LS1006</v>
      </c>
      <c r="B46" s="23" t="str">
        <f>'3.2.raw'!K46</f>
        <v>LS1006</v>
      </c>
      <c r="C46" s="24">
        <f>datevalue(left('3.2.raw'!M46,10))</f>
        <v>43607</v>
      </c>
      <c r="D46" s="23">
        <f>'3.2.raw'!H46</f>
        <v>7</v>
      </c>
      <c r="E46" s="1">
        <v>3.2</v>
      </c>
      <c r="F46" s="23" t="b">
        <f>if(countif(Status!C:C,A46)=1,TRUE, FALSE)</f>
        <v>1</v>
      </c>
      <c r="G46" s="23" t="str">
        <f t="shared" si="7"/>
        <v>LS</v>
      </c>
      <c r="H46" s="23" t="str">
        <f>IFERROR(__xludf.DUMMYFUNCTION("UPPER(filter(Legend!$D$2:$D$31,Legend!$B$2:$B$31=D46))"),"LS")</f>
        <v>LS</v>
      </c>
      <c r="I46" s="23" t="b">
        <f t="shared" si="3"/>
        <v>1</v>
      </c>
    </row>
    <row r="47">
      <c r="A47" s="23" t="str">
        <f t="shared" si="6"/>
        <v>LS1007</v>
      </c>
      <c r="B47" s="23" t="str">
        <f>'3.2.raw'!K47</f>
        <v>LS1007</v>
      </c>
      <c r="C47" s="24">
        <f>datevalue(left('3.2.raw'!M47,10))</f>
        <v>43607</v>
      </c>
      <c r="D47" s="23">
        <f>'3.2.raw'!H47</f>
        <v>7</v>
      </c>
      <c r="E47" s="1">
        <v>3.2</v>
      </c>
      <c r="F47" s="23" t="b">
        <f>if(countif(Status!C:C,A47)=1,TRUE, FALSE)</f>
        <v>1</v>
      </c>
      <c r="G47" s="23" t="str">
        <f t="shared" si="7"/>
        <v>LS</v>
      </c>
      <c r="H47" s="23" t="str">
        <f>IFERROR(__xludf.DUMMYFUNCTION("UPPER(filter(Legend!$D$2:$D$31,Legend!$B$2:$B$31=D47))"),"LS")</f>
        <v>LS</v>
      </c>
      <c r="I47" s="23" t="b">
        <f t="shared" si="3"/>
        <v>1</v>
      </c>
    </row>
    <row r="48">
      <c r="A48" s="23" t="str">
        <f t="shared" si="6"/>
        <v>RP1003</v>
      </c>
      <c r="B48" s="23" t="str">
        <f>'3.2.raw'!K48</f>
        <v>RP1003</v>
      </c>
      <c r="C48" s="24">
        <f>datevalue(left('3.2.raw'!M48,10))</f>
        <v>43614</v>
      </c>
      <c r="D48" s="23">
        <f>'3.2.raw'!H48</f>
        <v>2</v>
      </c>
      <c r="E48" s="1">
        <v>3.2</v>
      </c>
      <c r="F48" s="23" t="b">
        <f>if(countif(Status!C:C,A48)=1,TRUE, FALSE)</f>
        <v>1</v>
      </c>
      <c r="G48" s="23" t="str">
        <f t="shared" si="7"/>
        <v>RP</v>
      </c>
      <c r="H48" s="23" t="str">
        <f>IFERROR(__xludf.DUMMYFUNCTION("UPPER(filter(Legend!$D$2:$D$31,Legend!$B$2:$B$31=D48))"),"RP")</f>
        <v>RP</v>
      </c>
      <c r="I48" s="23" t="b">
        <f t="shared" si="3"/>
        <v>1</v>
      </c>
    </row>
    <row r="49">
      <c r="A49" s="23" t="str">
        <f t="shared" si="6"/>
        <v>RP1004</v>
      </c>
      <c r="B49" s="23" t="str">
        <f>'3.2.raw'!K49</f>
        <v>RP1004</v>
      </c>
      <c r="C49" s="24">
        <f>datevalue(left('3.2.raw'!M49,10))</f>
        <v>43614</v>
      </c>
      <c r="D49" s="23">
        <f>'3.2.raw'!H49</f>
        <v>2</v>
      </c>
      <c r="E49" s="1">
        <v>3.2</v>
      </c>
      <c r="F49" s="23" t="b">
        <f>if(countif(Status!C:C,A49)=1,TRUE, FALSE)</f>
        <v>1</v>
      </c>
      <c r="G49" s="23" t="str">
        <f t="shared" si="7"/>
        <v>RP</v>
      </c>
      <c r="H49" s="23" t="str">
        <f>IFERROR(__xludf.DUMMYFUNCTION("UPPER(filter(Legend!$D$2:$D$31,Legend!$B$2:$B$31=D49))"),"RP")</f>
        <v>RP</v>
      </c>
      <c r="I49" s="23" t="b">
        <f t="shared" si="3"/>
        <v>1</v>
      </c>
    </row>
    <row r="50">
      <c r="A50" s="23" t="str">
        <f t="shared" si="6"/>
        <v>SL1002</v>
      </c>
      <c r="B50" s="23" t="str">
        <f>'3.2.raw'!K50</f>
        <v>SL1002</v>
      </c>
      <c r="C50" s="24">
        <f>datevalue(left('3.2.raw'!M50,10))</f>
        <v>43614</v>
      </c>
      <c r="D50" s="23">
        <f>'3.2.raw'!H50</f>
        <v>8</v>
      </c>
      <c r="E50" s="1">
        <v>3.2</v>
      </c>
      <c r="F50" s="23" t="b">
        <f>if(countif(Status!C:C,A50)=1,TRUE, FALSE)</f>
        <v>1</v>
      </c>
      <c r="G50" s="23" t="str">
        <f t="shared" si="7"/>
        <v>SL</v>
      </c>
      <c r="H50" s="23" t="str">
        <f>IFERROR(__xludf.DUMMYFUNCTION("UPPER(filter(Legend!$D$2:$D$31,Legend!$B$2:$B$31=D50))"),"SL")</f>
        <v>SL</v>
      </c>
      <c r="I50" s="23" t="b">
        <f t="shared" si="3"/>
        <v>1</v>
      </c>
    </row>
    <row r="51">
      <c r="A51" s="23" t="str">
        <f t="shared" si="6"/>
        <v>SL1001</v>
      </c>
      <c r="B51" s="23" t="str">
        <f>'3.2.raw'!K51</f>
        <v>SL1001</v>
      </c>
      <c r="C51" s="24">
        <f>datevalue(left('3.2.raw'!M51,10))</f>
        <v>43614</v>
      </c>
      <c r="D51" s="23">
        <f>'3.2.raw'!H51</f>
        <v>8</v>
      </c>
      <c r="E51" s="1">
        <v>3.2</v>
      </c>
      <c r="F51" s="23" t="b">
        <f>if(countif(Status!C:C,A51)=1,TRUE, FALSE)</f>
        <v>1</v>
      </c>
      <c r="G51" s="23" t="str">
        <f t="shared" si="7"/>
        <v>SL</v>
      </c>
      <c r="H51" s="23" t="str">
        <f>IFERROR(__xludf.DUMMYFUNCTION("UPPER(filter(Legend!$D$2:$D$31,Legend!$B$2:$B$31=D51))"),"SL")</f>
        <v>SL</v>
      </c>
      <c r="I51" s="23" t="b">
        <f t="shared" si="3"/>
        <v>1</v>
      </c>
    </row>
    <row r="52">
      <c r="A52" s="23" t="str">
        <f t="shared" si="6"/>
        <v>SF1001</v>
      </c>
      <c r="B52" s="23" t="str">
        <f>'3.2.raw'!K52</f>
        <v>SF1001</v>
      </c>
      <c r="C52" s="24">
        <f>datevalue(left('3.2.raw'!M52,10))</f>
        <v>43601</v>
      </c>
      <c r="D52" s="23">
        <f>'3.2.raw'!H52</f>
        <v>10</v>
      </c>
      <c r="E52" s="1">
        <v>3.2</v>
      </c>
      <c r="F52" s="23" t="b">
        <f>if(countif(Status!C:C,A52)=1,TRUE, FALSE)</f>
        <v>1</v>
      </c>
      <c r="G52" s="23" t="str">
        <f t="shared" si="7"/>
        <v>SF</v>
      </c>
      <c r="H52" s="23" t="str">
        <f>IFERROR(__xludf.DUMMYFUNCTION("UPPER(filter(Legend!$D$2:$D$31,Legend!$B$2:$B$31=D52))"),"SF")</f>
        <v>SF</v>
      </c>
      <c r="I52" s="23" t="b">
        <f t="shared" si="3"/>
        <v>1</v>
      </c>
    </row>
    <row r="53">
      <c r="A53" s="23" t="str">
        <f t="shared" si="6"/>
        <v>SF1001</v>
      </c>
      <c r="B53" s="23" t="str">
        <f>'3.2.raw'!K53</f>
        <v>SF1001</v>
      </c>
      <c r="C53" s="24">
        <f>datevalue(left('3.2.raw'!M53,10))</f>
        <v>43601</v>
      </c>
      <c r="D53" s="23">
        <f>'3.2.raw'!H53</f>
        <v>10</v>
      </c>
      <c r="E53" s="1">
        <v>3.2</v>
      </c>
      <c r="F53" s="23" t="b">
        <f>if(countif(Status!C:C,A53)=1,TRUE, FALSE)</f>
        <v>1</v>
      </c>
      <c r="G53" s="23" t="str">
        <f t="shared" si="7"/>
        <v>SF</v>
      </c>
      <c r="H53" s="23" t="str">
        <f>IFERROR(__xludf.DUMMYFUNCTION("UPPER(filter(Legend!$D$2:$D$31,Legend!$B$2:$B$31=D53))"),"SF")</f>
        <v>SF</v>
      </c>
      <c r="I53" s="23" t="b">
        <f t="shared" si="3"/>
        <v>1</v>
      </c>
    </row>
    <row r="54">
      <c r="A54" s="23" t="str">
        <f t="shared" si="6"/>
        <v>SF1002</v>
      </c>
      <c r="B54" s="23" t="str">
        <f>'3.2.raw'!K54</f>
        <v>SF1002</v>
      </c>
      <c r="C54" s="24">
        <f>datevalue(left('3.2.raw'!M54,10))</f>
        <v>43601</v>
      </c>
      <c r="D54" s="23">
        <f>'3.2.raw'!H54</f>
        <v>10</v>
      </c>
      <c r="E54" s="1">
        <v>3.2</v>
      </c>
      <c r="F54" s="23" t="b">
        <f>if(countif(Status!C:C,A54)=1,TRUE, FALSE)</f>
        <v>1</v>
      </c>
      <c r="G54" s="23" t="str">
        <f t="shared" si="7"/>
        <v>SF</v>
      </c>
      <c r="H54" s="23" t="str">
        <f>IFERROR(__xludf.DUMMYFUNCTION("UPPER(filter(Legend!$D$2:$D$31,Legend!$B$2:$B$31=D54))"),"SF")</f>
        <v>SF</v>
      </c>
      <c r="I54" s="23" t="b">
        <f t="shared" si="3"/>
        <v>1</v>
      </c>
    </row>
    <row r="55">
      <c r="A55" s="23" t="str">
        <f t="shared" si="6"/>
        <v>SW1003</v>
      </c>
      <c r="B55" s="23" t="str">
        <f>'3.2.raw'!K55</f>
        <v>SW1003</v>
      </c>
      <c r="C55" s="24">
        <f>datevalue(left('3.2.raw'!M55,10))</f>
        <v>43614</v>
      </c>
      <c r="D55" s="23">
        <f>'3.2.raw'!H55</f>
        <v>5</v>
      </c>
      <c r="E55" s="1">
        <v>3.2</v>
      </c>
      <c r="F55" s="23" t="b">
        <f>if(countif(Status!C:C,A55)=1,TRUE, FALSE)</f>
        <v>1</v>
      </c>
      <c r="G55" s="23" t="str">
        <f t="shared" si="7"/>
        <v>SW</v>
      </c>
      <c r="H55" s="23" t="str">
        <f>IFERROR(__xludf.DUMMYFUNCTION("UPPER(filter(Legend!$D$2:$D$31,Legend!$B$2:$B$31=D55))"),"SW")</f>
        <v>SW</v>
      </c>
      <c r="I55" s="23" t="b">
        <f t="shared" si="3"/>
        <v>1</v>
      </c>
    </row>
    <row r="56">
      <c r="A56" s="23" t="str">
        <f t="shared" si="6"/>
        <v>BW1001</v>
      </c>
      <c r="B56" s="23" t="str">
        <f>'3.2.raw'!K56</f>
        <v>BW1001</v>
      </c>
      <c r="C56" s="24">
        <f>datevalue(left('3.2.raw'!M56,10))</f>
        <v>43614</v>
      </c>
      <c r="D56" s="23">
        <f>'3.2.raw'!H56</f>
        <v>9</v>
      </c>
      <c r="E56" s="1">
        <v>3.2</v>
      </c>
      <c r="F56" s="23" t="b">
        <f>if(countif(Status!C:C,A56)=1,TRUE, FALSE)</f>
        <v>1</v>
      </c>
      <c r="G56" s="23" t="str">
        <f t="shared" si="7"/>
        <v>BW</v>
      </c>
      <c r="H56" s="23" t="str">
        <f>IFERROR(__xludf.DUMMYFUNCTION("UPPER(filter(Legend!$D$2:$D$31,Legend!$B$2:$B$31=D56))"),"BW")</f>
        <v>BW</v>
      </c>
      <c r="I56" s="23" t="b">
        <f t="shared" si="3"/>
        <v>1</v>
      </c>
    </row>
    <row r="57">
      <c r="A57" s="23" t="str">
        <f t="shared" si="6"/>
        <v>DWb1003</v>
      </c>
      <c r="B57" s="23" t="str">
        <f>'3.2.raw'!K57</f>
        <v>DWb1003</v>
      </c>
      <c r="C57" s="24">
        <f>datevalue(left('3.2.raw'!M57,10))</f>
        <v>43614</v>
      </c>
      <c r="D57" s="23">
        <f>'3.2.raw'!H57</f>
        <v>3</v>
      </c>
      <c r="E57" s="1">
        <v>3.2</v>
      </c>
      <c r="F57" s="23" t="b">
        <f>if(countif(Status!C:C,A57)=1,TRUE, FALSE)</f>
        <v>1</v>
      </c>
      <c r="G57" s="23" t="str">
        <f t="shared" si="7"/>
        <v>DWb</v>
      </c>
      <c r="H57" s="23" t="str">
        <f>IFERROR(__xludf.DUMMYFUNCTION("UPPER(filter(Legend!$D$2:$D$31,Legend!$B$2:$B$31=D57))"),"DW")</f>
        <v>DW</v>
      </c>
      <c r="I57" s="23" t="b">
        <f t="shared" si="3"/>
        <v>1</v>
      </c>
    </row>
    <row r="58">
      <c r="A58" s="23" t="str">
        <f t="shared" si="6"/>
        <v>SF1005</v>
      </c>
      <c r="B58" s="23" t="str">
        <f>'3.2.raw'!K58</f>
        <v>SF1005</v>
      </c>
      <c r="C58" s="24">
        <f>datevalue(left('3.2.raw'!M58,10))</f>
        <v>43614</v>
      </c>
      <c r="D58" s="23">
        <f>'3.2.raw'!H58</f>
        <v>10</v>
      </c>
      <c r="E58" s="1">
        <v>3.2</v>
      </c>
      <c r="F58" s="23" t="b">
        <f>if(countif(Status!C:C,A58)=1,TRUE, FALSE)</f>
        <v>1</v>
      </c>
      <c r="G58" s="23" t="str">
        <f t="shared" si="7"/>
        <v>SF</v>
      </c>
      <c r="H58" s="23" t="str">
        <f>IFERROR(__xludf.DUMMYFUNCTION("UPPER(filter(Legend!$D$2:$D$31,Legend!$B$2:$B$31=D58))"),"SF")</f>
        <v>SF</v>
      </c>
      <c r="I58" s="23" t="b">
        <f t="shared" si="3"/>
        <v>1</v>
      </c>
    </row>
    <row r="59">
      <c r="A59" s="23" t="str">
        <f t="shared" si="6"/>
        <v>SF1006</v>
      </c>
      <c r="B59" s="23" t="str">
        <f>'3.2.raw'!K59</f>
        <v>SF1006</v>
      </c>
      <c r="C59" s="24">
        <f>datevalue(left('3.2.raw'!M59,10))</f>
        <v>43614</v>
      </c>
      <c r="D59" s="23">
        <f>'3.2.raw'!H59</f>
        <v>10</v>
      </c>
      <c r="E59" s="1">
        <v>3.2</v>
      </c>
      <c r="F59" s="23" t="b">
        <f>if(countif(Status!C:C,A59)=1,TRUE, FALSE)</f>
        <v>1</v>
      </c>
      <c r="G59" s="23" t="str">
        <f t="shared" si="7"/>
        <v>SF</v>
      </c>
      <c r="H59" s="23" t="str">
        <f>IFERROR(__xludf.DUMMYFUNCTION("UPPER(filter(Legend!$D$2:$D$31,Legend!$B$2:$B$31=D59))"),"SF")</f>
        <v>SF</v>
      </c>
      <c r="I59" s="23" t="b">
        <f t="shared" si="3"/>
        <v>1</v>
      </c>
    </row>
    <row r="60">
      <c r="A60" s="23" t="str">
        <f t="shared" si="6"/>
        <v>DWa1002</v>
      </c>
      <c r="B60" s="23" t="str">
        <f>'3.2.raw'!K60</f>
        <v>DWa1002</v>
      </c>
      <c r="C60" s="24">
        <f>datevalue(left('3.2.raw'!M60,10))</f>
        <v>43614</v>
      </c>
      <c r="D60" s="23">
        <f>'3.2.raw'!H60</f>
        <v>3</v>
      </c>
      <c r="E60" s="1">
        <v>3.2</v>
      </c>
      <c r="F60" s="23" t="b">
        <f>if(countif(Status!C:C,A60)=1,TRUE, FALSE)</f>
        <v>1</v>
      </c>
      <c r="G60" s="23" t="str">
        <f t="shared" si="7"/>
        <v>DWa</v>
      </c>
      <c r="H60" s="23" t="str">
        <f>IFERROR(__xludf.DUMMYFUNCTION("UPPER(filter(Legend!$D$2:$D$31,Legend!$B$2:$B$31=D60))"),"DW")</f>
        <v>DW</v>
      </c>
      <c r="I60" s="23" t="b">
        <f t="shared" si="3"/>
        <v>1</v>
      </c>
    </row>
    <row r="61">
      <c r="A61" s="23" t="str">
        <f t="shared" si="6"/>
        <v>LS1008</v>
      </c>
      <c r="B61" s="23" t="str">
        <f>'3.2.raw'!K61</f>
        <v>LS1008</v>
      </c>
      <c r="C61" s="24">
        <f>datevalue(left('3.2.raw'!M61,10))</f>
        <v>43614</v>
      </c>
      <c r="D61" s="23">
        <f>'3.2.raw'!H61</f>
        <v>7</v>
      </c>
      <c r="E61" s="1">
        <v>3.2</v>
      </c>
      <c r="F61" s="23" t="b">
        <f>if(countif(Status!C:C,A61)=1,TRUE, FALSE)</f>
        <v>1</v>
      </c>
      <c r="G61" s="23" t="str">
        <f t="shared" si="7"/>
        <v>LS</v>
      </c>
      <c r="H61" s="23" t="str">
        <f>IFERROR(__xludf.DUMMYFUNCTION("UPPER(filter(Legend!$D$2:$D$31,Legend!$B$2:$B$31=D61))"),"LS")</f>
        <v>LS</v>
      </c>
      <c r="I61" s="23" t="b">
        <f t="shared" si="3"/>
        <v>1</v>
      </c>
    </row>
    <row r="62">
      <c r="A62" s="23" t="str">
        <f t="shared" si="6"/>
        <v>LS1009</v>
      </c>
      <c r="B62" s="23" t="str">
        <f>'3.2.raw'!K62</f>
        <v>LS1009</v>
      </c>
      <c r="C62" s="24">
        <f>datevalue(left('3.2.raw'!M62,10))</f>
        <v>43614</v>
      </c>
      <c r="D62" s="23">
        <f>'3.2.raw'!H62</f>
        <v>7</v>
      </c>
      <c r="E62" s="1">
        <v>3.2</v>
      </c>
      <c r="F62" s="23" t="b">
        <f>if(countif(Status!C:C,A62)=1,TRUE, FALSE)</f>
        <v>1</v>
      </c>
      <c r="G62" s="23" t="str">
        <f t="shared" si="7"/>
        <v>LS</v>
      </c>
      <c r="H62" s="23" t="str">
        <f>IFERROR(__xludf.DUMMYFUNCTION("UPPER(filter(Legend!$D$2:$D$31,Legend!$B$2:$B$31=D62))"),"LS")</f>
        <v>LS</v>
      </c>
      <c r="I62" s="23" t="b">
        <f t="shared" si="3"/>
        <v>1</v>
      </c>
    </row>
    <row r="63">
      <c r="A63" s="23" t="str">
        <f t="shared" si="6"/>
        <v>SL1003</v>
      </c>
      <c r="B63" s="23" t="str">
        <f>'3.2.raw'!K63</f>
        <v>SL1003</v>
      </c>
      <c r="C63" s="24">
        <f>datevalue(left('3.2.raw'!M63,10))</f>
        <v>43619</v>
      </c>
      <c r="D63" s="23">
        <f>'3.2.raw'!H63</f>
        <v>8</v>
      </c>
      <c r="E63" s="1">
        <v>3.2</v>
      </c>
      <c r="F63" s="23" t="b">
        <f>if(countif(Status!C:C,A63)=1,TRUE, FALSE)</f>
        <v>1</v>
      </c>
      <c r="G63" s="23" t="str">
        <f t="shared" si="7"/>
        <v>SL</v>
      </c>
      <c r="H63" s="23" t="str">
        <f>IFERROR(__xludf.DUMMYFUNCTION("UPPER(filter(Legend!$D$2:$D$31,Legend!$B$2:$B$31=D63))"),"SL")</f>
        <v>SL</v>
      </c>
      <c r="I63" s="23" t="b">
        <f t="shared" si="3"/>
        <v>1</v>
      </c>
    </row>
    <row r="64">
      <c r="A64" s="23" t="str">
        <f t="shared" si="6"/>
        <v>SL1004</v>
      </c>
      <c r="B64" s="23" t="str">
        <f>'3.2.raw'!K64</f>
        <v>SL1004</v>
      </c>
      <c r="C64" s="24">
        <f>datevalue(left('3.2.raw'!M64,10))</f>
        <v>43619</v>
      </c>
      <c r="D64" s="23">
        <f>'3.2.raw'!H64</f>
        <v>8</v>
      </c>
      <c r="E64" s="1">
        <v>3.2</v>
      </c>
      <c r="F64" s="23" t="b">
        <f>if(countif(Status!C:C,A64)=1,TRUE, FALSE)</f>
        <v>1</v>
      </c>
      <c r="G64" s="23" t="str">
        <f t="shared" si="7"/>
        <v>SL</v>
      </c>
      <c r="H64" s="23" t="str">
        <f>IFERROR(__xludf.DUMMYFUNCTION("UPPER(filter(Legend!$D$2:$D$31,Legend!$B$2:$B$31=D64))"),"SL")</f>
        <v>SL</v>
      </c>
      <c r="I64" s="23" t="b">
        <f t="shared" si="3"/>
        <v>1</v>
      </c>
    </row>
    <row r="65">
      <c r="A65" s="23" t="str">
        <f t="shared" si="6"/>
        <v>RP1005</v>
      </c>
      <c r="B65" s="23" t="str">
        <f>'3.2.raw'!K65</f>
        <v>RP1005</v>
      </c>
      <c r="C65" s="24">
        <f>datevalue(left('3.2.raw'!M65,10))</f>
        <v>43619</v>
      </c>
      <c r="D65" s="23">
        <f>'3.2.raw'!H65</f>
        <v>2</v>
      </c>
      <c r="E65" s="1">
        <v>3.2</v>
      </c>
      <c r="F65" s="23" t="b">
        <f>if(countif(Status!C:C,A65)=1,TRUE, FALSE)</f>
        <v>1</v>
      </c>
      <c r="G65" s="23" t="str">
        <f t="shared" si="7"/>
        <v>RP</v>
      </c>
      <c r="H65" s="23" t="str">
        <f>IFERROR(__xludf.DUMMYFUNCTION("UPPER(filter(Legend!$D$2:$D$31,Legend!$B$2:$B$31=D65))"),"RP")</f>
        <v>RP</v>
      </c>
      <c r="I65" s="23" t="b">
        <f t="shared" si="3"/>
        <v>1</v>
      </c>
    </row>
    <row r="66">
      <c r="A66" s="23" t="str">
        <f t="shared" si="6"/>
        <v>RP1006</v>
      </c>
      <c r="B66" s="23" t="str">
        <f>'3.2.raw'!K66</f>
        <v>RP1006</v>
      </c>
      <c r="C66" s="24">
        <f>datevalue(left('3.2.raw'!M66,10))</f>
        <v>43619</v>
      </c>
      <c r="D66" s="23">
        <f>'3.2.raw'!H66</f>
        <v>2</v>
      </c>
      <c r="E66" s="1">
        <v>3.2</v>
      </c>
      <c r="F66" s="23" t="b">
        <f>if(countif(Status!C:C,A66)=1,TRUE, FALSE)</f>
        <v>1</v>
      </c>
      <c r="G66" s="23" t="str">
        <f t="shared" si="7"/>
        <v>RP</v>
      </c>
      <c r="H66" s="23" t="str">
        <f>IFERROR(__xludf.DUMMYFUNCTION("UPPER(filter(Legend!$D$2:$D$31,Legend!$B$2:$B$31=D66))"),"RP")</f>
        <v>RP</v>
      </c>
      <c r="I66" s="23" t="b">
        <f t="shared" si="3"/>
        <v>1</v>
      </c>
    </row>
    <row r="67">
      <c r="A67" s="23" t="str">
        <f t="shared" si="6"/>
        <v>DWb1004</v>
      </c>
      <c r="B67" s="23" t="str">
        <f>'3.2.raw'!K67</f>
        <v>DWb1004</v>
      </c>
      <c r="C67" s="24">
        <f>datevalue(left('3.2.raw'!M67,10))</f>
        <v>43620</v>
      </c>
      <c r="D67" s="23">
        <f>'3.2.raw'!H67</f>
        <v>3</v>
      </c>
      <c r="E67" s="1">
        <v>3.20000000000001</v>
      </c>
      <c r="F67" s="23" t="b">
        <f>if(countif(Status!C:C,A67)=1,TRUE, FALSE)</f>
        <v>1</v>
      </c>
      <c r="G67" s="23" t="str">
        <f t="shared" si="7"/>
        <v>DWb</v>
      </c>
      <c r="H67" s="23" t="str">
        <f>IFERROR(__xludf.DUMMYFUNCTION("UPPER(filter(Legend!$D$2:$D$31,Legend!$B$2:$B$31=D67))"),"DW")</f>
        <v>DW</v>
      </c>
      <c r="I67" s="23" t="b">
        <f t="shared" si="3"/>
        <v>1</v>
      </c>
    </row>
    <row r="68">
      <c r="A68" s="23" t="str">
        <f t="shared" si="6"/>
        <v>OD1003</v>
      </c>
      <c r="B68" s="23" t="str">
        <f>'3.2.raw'!K68</f>
        <v>OD1003</v>
      </c>
      <c r="C68" s="24">
        <f>datevalue(left('3.2.raw'!M68,10))</f>
        <v>43621</v>
      </c>
      <c r="D68" s="23">
        <f>'3.2.raw'!H68</f>
        <v>1</v>
      </c>
      <c r="E68" s="1">
        <v>3.20000000000001</v>
      </c>
      <c r="F68" s="23" t="b">
        <f>if(countif(Status!C:C,A68)=1,TRUE, FALSE)</f>
        <v>1</v>
      </c>
      <c r="G68" s="23" t="str">
        <f t="shared" si="7"/>
        <v>OD</v>
      </c>
      <c r="H68" s="23" t="str">
        <f>IFERROR(__xludf.DUMMYFUNCTION("UPPER(filter(Legend!$D$2:$D$31,Legend!$B$2:$B$31=D68))"),"OD")</f>
        <v>OD</v>
      </c>
      <c r="I68" s="23" t="b">
        <f t="shared" si="3"/>
        <v>1</v>
      </c>
    </row>
    <row r="69">
      <c r="A69" s="23" t="str">
        <f t="shared" si="6"/>
        <v>SW1004</v>
      </c>
      <c r="B69" s="23" t="str">
        <f>'3.2.raw'!K69</f>
        <v>SW1004</v>
      </c>
      <c r="C69" s="24">
        <f>datevalue(left('3.2.raw'!M69,10))</f>
        <v>43621</v>
      </c>
      <c r="D69" s="23">
        <f>'3.2.raw'!H69</f>
        <v>5</v>
      </c>
      <c r="E69" s="1">
        <v>3.20000000000001</v>
      </c>
      <c r="F69" s="23" t="b">
        <f>if(countif(Status!C:C,A69)=1,TRUE, FALSE)</f>
        <v>1</v>
      </c>
      <c r="G69" s="23" t="str">
        <f t="shared" si="7"/>
        <v>SW</v>
      </c>
      <c r="H69" s="23" t="str">
        <f>IFERROR(__xludf.DUMMYFUNCTION("UPPER(filter(Legend!$D$2:$D$31,Legend!$B$2:$B$31=D69))"),"SW")</f>
        <v>SW</v>
      </c>
      <c r="I69" s="23" t="b">
        <f t="shared" si="3"/>
        <v>1</v>
      </c>
    </row>
    <row r="70">
      <c r="A70" s="23" t="str">
        <f t="shared" si="6"/>
        <v>SL1001(CONTROL)</v>
      </c>
      <c r="B70" s="23" t="str">
        <f>'3.2.raw'!K70</f>
        <v>SL1001(CONTROL)</v>
      </c>
      <c r="C70" s="24">
        <f>datevalue(left('3.2.raw'!M70,10))</f>
        <v>43622</v>
      </c>
      <c r="D70" s="23">
        <f>'3.2.raw'!H70</f>
        <v>97</v>
      </c>
      <c r="E70" s="1">
        <v>3.20000000000001</v>
      </c>
      <c r="F70" s="23" t="b">
        <f>if(countif(Status!C:C,A70)=1,TRUE, FALSE)</f>
        <v>1</v>
      </c>
      <c r="I70" s="23" t="b">
        <f t="shared" si="3"/>
        <v>1</v>
      </c>
    </row>
    <row r="71">
      <c r="A71" s="23" t="str">
        <f t="shared" si="6"/>
        <v>SF1007</v>
      </c>
      <c r="B71" s="23" t="str">
        <f>'3.2.raw'!K71</f>
        <v>SF1007</v>
      </c>
      <c r="C71" s="24">
        <f>datevalue(left('3.2.raw'!M71,10))</f>
        <v>43621</v>
      </c>
      <c r="D71" s="23">
        <f>'3.2.raw'!H71</f>
        <v>10</v>
      </c>
      <c r="E71" s="1">
        <v>3.20000000000001</v>
      </c>
      <c r="F71" s="23" t="b">
        <f>if(countif(Status!C:C,A71)=1,TRUE, FALSE)</f>
        <v>1</v>
      </c>
      <c r="G71" s="23" t="str">
        <f t="shared" ref="G71:G679" si="8">left(A71,len(A71)-4)</f>
        <v>SF</v>
      </c>
      <c r="H71" s="23" t="str">
        <f>IFERROR(__xludf.DUMMYFUNCTION("UPPER(filter(Legend!$D$2:$D$31,Legend!$B$2:$B$31=D71))"),"SF")</f>
        <v>SF</v>
      </c>
      <c r="I71" s="23" t="b">
        <f t="shared" si="3"/>
        <v>1</v>
      </c>
    </row>
    <row r="72">
      <c r="A72" s="23" t="str">
        <f t="shared" si="6"/>
        <v>SF1008</v>
      </c>
      <c r="B72" s="23" t="str">
        <f>'3.2.raw'!K72</f>
        <v>SF1008</v>
      </c>
      <c r="C72" s="24">
        <f>datevalue(left('3.2.raw'!M72,10))</f>
        <v>43621</v>
      </c>
      <c r="D72" s="23">
        <f>'3.2.raw'!H72</f>
        <v>10</v>
      </c>
      <c r="E72" s="1">
        <v>3.20000000000001</v>
      </c>
      <c r="F72" s="23" t="b">
        <f>if(countif(Status!C:C,A72)=1,TRUE, FALSE)</f>
        <v>1</v>
      </c>
      <c r="G72" s="23" t="str">
        <f t="shared" si="8"/>
        <v>SF</v>
      </c>
      <c r="H72" s="23" t="str">
        <f>IFERROR(__xludf.DUMMYFUNCTION("UPPER(filter(Legend!$D$2:$D$31,Legend!$B$2:$B$31=D72))"),"SF")</f>
        <v>SF</v>
      </c>
      <c r="I72" s="23" t="b">
        <f t="shared" si="3"/>
        <v>1</v>
      </c>
    </row>
    <row r="73">
      <c r="A73" s="23" t="str">
        <f t="shared" si="6"/>
        <v>SW1004</v>
      </c>
      <c r="B73" s="23" t="str">
        <f>'3.2.raw'!K73</f>
        <v>SW1004</v>
      </c>
      <c r="C73" s="24">
        <f>datevalue(left('3.2.raw'!M73,10))</f>
        <v>43621</v>
      </c>
      <c r="D73" s="23">
        <f>'3.2.raw'!H73</f>
        <v>5</v>
      </c>
      <c r="E73" s="1">
        <v>3.20000000000001</v>
      </c>
      <c r="F73" s="23" t="b">
        <f>if(countif(Status!C:C,A73)=1,TRUE, FALSE)</f>
        <v>1</v>
      </c>
      <c r="G73" s="23" t="str">
        <f t="shared" si="8"/>
        <v>SW</v>
      </c>
      <c r="H73" s="23" t="str">
        <f>IFERROR(__xludf.DUMMYFUNCTION("UPPER(filter(Legend!$D$2:$D$31,Legend!$B$2:$B$31=D73))"),"SW")</f>
        <v>SW</v>
      </c>
      <c r="I73" s="23" t="b">
        <f t="shared" si="3"/>
        <v>1</v>
      </c>
    </row>
    <row r="74">
      <c r="A74" s="23" t="str">
        <f t="shared" si="6"/>
        <v>SF1008</v>
      </c>
      <c r="B74" s="23" t="str">
        <f>'3.2.raw'!K74</f>
        <v>SF1008</v>
      </c>
      <c r="C74" s="24">
        <f>datevalue(left('3.2.raw'!M74,10))</f>
        <v>43621</v>
      </c>
      <c r="D74" s="23">
        <f>'3.2.raw'!H74</f>
        <v>10</v>
      </c>
      <c r="E74" s="1">
        <v>3.20000000000001</v>
      </c>
      <c r="F74" s="23" t="b">
        <f>if(countif(Status!C:C,A74)=1,TRUE, FALSE)</f>
        <v>1</v>
      </c>
      <c r="G74" s="23" t="str">
        <f t="shared" si="8"/>
        <v>SF</v>
      </c>
      <c r="H74" s="23" t="str">
        <f>IFERROR(__xludf.DUMMYFUNCTION("UPPER(filter(Legend!$D$2:$D$31,Legend!$B$2:$B$31=D74))"),"SF")</f>
        <v>SF</v>
      </c>
      <c r="I74" s="23" t="b">
        <f t="shared" si="3"/>
        <v>1</v>
      </c>
    </row>
    <row r="75">
      <c r="A75" s="23" t="str">
        <f t="shared" si="6"/>
        <v>SL1005</v>
      </c>
      <c r="B75" s="23" t="str">
        <f>'3.2.raw'!K75</f>
        <v>SL1005</v>
      </c>
      <c r="C75" s="24">
        <f>datevalue(left('3.2.raw'!M75,10))</f>
        <v>43671</v>
      </c>
      <c r="D75" s="23">
        <f>'3.2.raw'!H75</f>
        <v>8</v>
      </c>
      <c r="E75" s="1">
        <v>3.20000000000001</v>
      </c>
      <c r="F75" s="23" t="b">
        <f>if(countif(Status!C:C,A75)=1,TRUE, FALSE)</f>
        <v>1</v>
      </c>
      <c r="G75" s="23" t="str">
        <f t="shared" si="8"/>
        <v>SL</v>
      </c>
      <c r="H75" s="23" t="str">
        <f>IFERROR(__xludf.DUMMYFUNCTION("UPPER(filter(Legend!$D$2:$D$31,Legend!$B$2:$B$31=D75))"),"SL")</f>
        <v>SL</v>
      </c>
      <c r="I75" s="23" t="b">
        <f t="shared" si="3"/>
        <v>1</v>
      </c>
    </row>
    <row r="76">
      <c r="A76" s="23" t="str">
        <f t="shared" si="6"/>
        <v>SL1006</v>
      </c>
      <c r="B76" s="23" t="str">
        <f>'3.2.raw'!K76</f>
        <v>SL1006</v>
      </c>
      <c r="C76" s="24">
        <f>datevalue(left('3.2.raw'!M76,10))</f>
        <v>43671</v>
      </c>
      <c r="D76" s="23">
        <f>'3.2.raw'!H76</f>
        <v>8</v>
      </c>
      <c r="E76" s="1">
        <v>3.20000000000001</v>
      </c>
      <c r="F76" s="23" t="b">
        <f>if(countif(Status!C:C,A76)=1,TRUE, FALSE)</f>
        <v>1</v>
      </c>
      <c r="G76" s="23" t="str">
        <f t="shared" si="8"/>
        <v>SL</v>
      </c>
      <c r="H76" s="23" t="str">
        <f>IFERROR(__xludf.DUMMYFUNCTION("UPPER(filter(Legend!$D$2:$D$31,Legend!$B$2:$B$31=D76))"),"SL")</f>
        <v>SL</v>
      </c>
      <c r="I76" s="23" t="b">
        <f t="shared" si="3"/>
        <v>1</v>
      </c>
    </row>
    <row r="77">
      <c r="A77" s="23" t="str">
        <f t="shared" si="6"/>
        <v>SF1009</v>
      </c>
      <c r="B77" s="23" t="str">
        <f>'3.2.raw'!K77</f>
        <v>SF1009</v>
      </c>
      <c r="C77" s="24">
        <f>datevalue(left('3.2.raw'!M77,10))</f>
        <v>43671</v>
      </c>
      <c r="D77" s="23">
        <f>'3.2.raw'!H77</f>
        <v>10</v>
      </c>
      <c r="E77" s="1">
        <v>3.20000000000001</v>
      </c>
      <c r="F77" s="23" t="b">
        <f>if(countif(Status!C:C,A77)=1,TRUE, FALSE)</f>
        <v>1</v>
      </c>
      <c r="G77" s="23" t="str">
        <f t="shared" si="8"/>
        <v>SF</v>
      </c>
      <c r="H77" s="23" t="str">
        <f>IFERROR(__xludf.DUMMYFUNCTION("UPPER(filter(Legend!$D$2:$D$31,Legend!$B$2:$B$31=D77))"),"SF")</f>
        <v>SF</v>
      </c>
      <c r="I77" s="23" t="b">
        <f t="shared" si="3"/>
        <v>1</v>
      </c>
    </row>
    <row r="78">
      <c r="A78" s="23" t="str">
        <f t="shared" si="6"/>
        <v>SF1010</v>
      </c>
      <c r="B78" s="23" t="str">
        <f>'3.2.raw'!K78</f>
        <v>SF1010</v>
      </c>
      <c r="C78" s="24">
        <f>datevalue(left('3.2.raw'!M78,10))</f>
        <v>43671</v>
      </c>
      <c r="D78" s="23">
        <f>'3.2.raw'!H78</f>
        <v>10</v>
      </c>
      <c r="E78" s="1">
        <v>3.20000000000001</v>
      </c>
      <c r="F78" s="23" t="b">
        <f>if(countif(Status!C:C,A78)=1,TRUE, FALSE)</f>
        <v>1</v>
      </c>
      <c r="G78" s="23" t="str">
        <f t="shared" si="8"/>
        <v>SF</v>
      </c>
      <c r="H78" s="23" t="str">
        <f>IFERROR(__xludf.DUMMYFUNCTION("UPPER(filter(Legend!$D$2:$D$31,Legend!$B$2:$B$31=D78))"),"SF")</f>
        <v>SF</v>
      </c>
      <c r="I78" s="23" t="b">
        <f t="shared" si="3"/>
        <v>1</v>
      </c>
    </row>
    <row r="79">
      <c r="A79" s="23" t="str">
        <f t="shared" si="6"/>
        <v>RP1007</v>
      </c>
      <c r="B79" s="23" t="str">
        <f>'3.2.raw'!K79</f>
        <v>RP1007</v>
      </c>
      <c r="C79" s="24">
        <f>datevalue(left('3.2.raw'!M79,10))</f>
        <v>43678</v>
      </c>
      <c r="D79" s="23">
        <f>'3.2.raw'!H79</f>
        <v>2</v>
      </c>
      <c r="E79" s="1">
        <v>3.20000000000001</v>
      </c>
      <c r="F79" s="23" t="b">
        <f>if(countif(Status!C:C,A79)=1,TRUE, FALSE)</f>
        <v>1</v>
      </c>
      <c r="G79" s="23" t="str">
        <f t="shared" si="8"/>
        <v>RP</v>
      </c>
      <c r="H79" s="23" t="str">
        <f>IFERROR(__xludf.DUMMYFUNCTION("UPPER(filter(Legend!$D$2:$D$31,Legend!$B$2:$B$31=D79))"),"RP")</f>
        <v>RP</v>
      </c>
      <c r="I79" s="23" t="b">
        <f t="shared" si="3"/>
        <v>1</v>
      </c>
    </row>
    <row r="80">
      <c r="A80" s="23" t="str">
        <f t="shared" si="6"/>
        <v>RP1008</v>
      </c>
      <c r="B80" s="23" t="str">
        <f>'3.2.raw'!K80</f>
        <v>RP1008</v>
      </c>
      <c r="C80" s="24">
        <f>datevalue(left('3.2.raw'!M80,10))</f>
        <v>43678</v>
      </c>
      <c r="D80" s="23">
        <f>'3.2.raw'!H80</f>
        <v>2</v>
      </c>
      <c r="E80" s="1">
        <v>3.20000000000001</v>
      </c>
      <c r="F80" s="23" t="b">
        <f>if(countif(Status!C:C,A80)=1,TRUE, FALSE)</f>
        <v>1</v>
      </c>
      <c r="G80" s="23" t="str">
        <f t="shared" si="8"/>
        <v>RP</v>
      </c>
      <c r="H80" s="23" t="str">
        <f>IFERROR(__xludf.DUMMYFUNCTION("UPPER(filter(Legend!$D$2:$D$31,Legend!$B$2:$B$31=D80))"),"RP")</f>
        <v>RP</v>
      </c>
      <c r="I80" s="23" t="b">
        <f t="shared" si="3"/>
        <v>1</v>
      </c>
    </row>
    <row r="81">
      <c r="A81" s="23" t="str">
        <f t="shared" si="6"/>
        <v>RP1009</v>
      </c>
      <c r="B81" s="23" t="str">
        <f>'3.2.raw'!K81</f>
        <v>RP1009</v>
      </c>
      <c r="C81" s="24">
        <f>datevalue(left('3.2.raw'!M81,10))</f>
        <v>43678</v>
      </c>
      <c r="D81" s="23">
        <f>'3.2.raw'!H81</f>
        <v>2</v>
      </c>
      <c r="E81" s="1">
        <v>3.20000000000001</v>
      </c>
      <c r="F81" s="23" t="b">
        <f>if(countif(Status!C:C,A81)=1,TRUE, FALSE)</f>
        <v>1</v>
      </c>
      <c r="G81" s="23" t="str">
        <f t="shared" si="8"/>
        <v>RP</v>
      </c>
      <c r="H81" s="23" t="str">
        <f>IFERROR(__xludf.DUMMYFUNCTION("UPPER(filter(Legend!$D$2:$D$31,Legend!$B$2:$B$31=D81))"),"RP")</f>
        <v>RP</v>
      </c>
      <c r="I81" s="23" t="b">
        <f t="shared" si="3"/>
        <v>1</v>
      </c>
    </row>
    <row r="82">
      <c r="A82" s="23" t="str">
        <f t="shared" si="6"/>
        <v>SW1005</v>
      </c>
      <c r="B82" s="23" t="str">
        <f>'3.2.raw'!K82</f>
        <v>SW1005</v>
      </c>
      <c r="C82" s="24">
        <f>datevalue(left('3.2.raw'!M82,10))</f>
        <v>43678</v>
      </c>
      <c r="D82" s="23">
        <f>'3.2.raw'!H82</f>
        <v>5</v>
      </c>
      <c r="E82" s="1">
        <v>3.20000000000001</v>
      </c>
      <c r="F82" s="23" t="b">
        <f>if(countif(Status!C:C,A82)=1,TRUE, FALSE)</f>
        <v>1</v>
      </c>
      <c r="G82" s="23" t="str">
        <f t="shared" si="8"/>
        <v>SW</v>
      </c>
      <c r="H82" s="23" t="str">
        <f>IFERROR(__xludf.DUMMYFUNCTION("UPPER(filter(Legend!$D$2:$D$31,Legend!$B$2:$B$31=D82))"),"SW")</f>
        <v>SW</v>
      </c>
      <c r="I82" s="23" t="b">
        <f t="shared" si="3"/>
        <v>1</v>
      </c>
    </row>
    <row r="83">
      <c r="A83" s="23" t="str">
        <f t="shared" si="6"/>
        <v>SW1006</v>
      </c>
      <c r="B83" s="23" t="str">
        <f>'3.2.raw'!K83</f>
        <v>SW1006</v>
      </c>
      <c r="C83" s="24">
        <f>datevalue(left('3.2.raw'!M83,10))</f>
        <v>43678</v>
      </c>
      <c r="D83" s="23">
        <f>'3.2.raw'!H83</f>
        <v>5</v>
      </c>
      <c r="E83" s="1">
        <v>3.20000000000001</v>
      </c>
      <c r="F83" s="23" t="b">
        <f>if(countif(Status!C:C,A83)=1,TRUE, FALSE)</f>
        <v>1</v>
      </c>
      <c r="G83" s="23" t="str">
        <f t="shared" si="8"/>
        <v>SW</v>
      </c>
      <c r="H83" s="23" t="str">
        <f>IFERROR(__xludf.DUMMYFUNCTION("UPPER(filter(Legend!$D$2:$D$31,Legend!$B$2:$B$31=D83))"),"SW")</f>
        <v>SW</v>
      </c>
      <c r="I83" s="23" t="b">
        <f t="shared" si="3"/>
        <v>1</v>
      </c>
    </row>
    <row r="84">
      <c r="A84" s="23" t="str">
        <f t="shared" si="6"/>
        <v>SL1007</v>
      </c>
      <c r="B84" s="23" t="str">
        <f>'3.2.raw'!K84</f>
        <v>SL1007</v>
      </c>
      <c r="C84" s="24">
        <f>datevalue(left('3.2.raw'!M84,10))</f>
        <v>43678</v>
      </c>
      <c r="D84" s="23">
        <f>'3.2.raw'!H84</f>
        <v>8</v>
      </c>
      <c r="E84" s="1">
        <v>3.20000000000001</v>
      </c>
      <c r="F84" s="23" t="b">
        <f>if(countif(Status!C:C,A84)=1,TRUE, FALSE)</f>
        <v>1</v>
      </c>
      <c r="G84" s="23" t="str">
        <f t="shared" si="8"/>
        <v>SL</v>
      </c>
      <c r="H84" s="23" t="str">
        <f>IFERROR(__xludf.DUMMYFUNCTION("UPPER(filter(Legend!$D$2:$D$31,Legend!$B$2:$B$31=D84))"),"SL")</f>
        <v>SL</v>
      </c>
      <c r="I84" s="23" t="b">
        <f t="shared" si="3"/>
        <v>1</v>
      </c>
    </row>
    <row r="85">
      <c r="A85" s="23" t="str">
        <f t="shared" si="6"/>
        <v>SL1008</v>
      </c>
      <c r="B85" s="23" t="str">
        <f>'3.2.raw'!K85</f>
        <v>SL1008</v>
      </c>
      <c r="C85" s="24">
        <f>datevalue(left('3.2.raw'!M85,10))</f>
        <v>43678</v>
      </c>
      <c r="D85" s="23">
        <f>'3.2.raw'!H85</f>
        <v>8</v>
      </c>
      <c r="E85" s="1">
        <v>3.20000000000001</v>
      </c>
      <c r="F85" s="23" t="b">
        <f>if(countif(Status!C:C,A85)=1,TRUE, FALSE)</f>
        <v>1</v>
      </c>
      <c r="G85" s="23" t="str">
        <f t="shared" si="8"/>
        <v>SL</v>
      </c>
      <c r="H85" s="23" t="str">
        <f>IFERROR(__xludf.DUMMYFUNCTION("UPPER(filter(Legend!$D$2:$D$31,Legend!$B$2:$B$31=D85))"),"SL")</f>
        <v>SL</v>
      </c>
      <c r="I85" s="23" t="b">
        <f t="shared" si="3"/>
        <v>1</v>
      </c>
    </row>
    <row r="86">
      <c r="A86" s="23" t="str">
        <f t="shared" si="6"/>
        <v>SL1009</v>
      </c>
      <c r="B86" s="23" t="str">
        <f>'3.2.raw'!K86</f>
        <v>SL1009</v>
      </c>
      <c r="C86" s="24">
        <f>datevalue(left('3.2.raw'!M86,10))</f>
        <v>43685</v>
      </c>
      <c r="D86" s="23">
        <f>'3.2.raw'!H86</f>
        <v>8</v>
      </c>
      <c r="E86" s="1">
        <v>3.20000000000001</v>
      </c>
      <c r="F86" s="23" t="b">
        <f>if(countif(Status!C:C,A86)=1,TRUE, FALSE)</f>
        <v>1</v>
      </c>
      <c r="G86" s="23" t="str">
        <f t="shared" si="8"/>
        <v>SL</v>
      </c>
      <c r="H86" s="23" t="str">
        <f>IFERROR(__xludf.DUMMYFUNCTION("UPPER(filter(Legend!$D$2:$D$31,Legend!$B$2:$B$31=D86))"),"SL")</f>
        <v>SL</v>
      </c>
      <c r="I86" s="23" t="b">
        <f t="shared" si="3"/>
        <v>1</v>
      </c>
    </row>
    <row r="87">
      <c r="A87" s="23" t="str">
        <f t="shared" si="6"/>
        <v>FW1001</v>
      </c>
      <c r="B87" s="23" t="str">
        <f>'3.2.raw'!K87</f>
        <v>FW1001</v>
      </c>
      <c r="C87" s="24">
        <f>datevalue(left('3.2.raw'!M87,10))</f>
        <v>43685</v>
      </c>
      <c r="D87" s="23">
        <f>'3.2.raw'!H87</f>
        <v>6</v>
      </c>
      <c r="E87" s="1">
        <v>3.20000000000001</v>
      </c>
      <c r="F87" s="23" t="b">
        <f>if(countif(Status!C:C,A87)=1,TRUE, FALSE)</f>
        <v>1</v>
      </c>
      <c r="G87" s="23" t="str">
        <f t="shared" si="8"/>
        <v>FW</v>
      </c>
      <c r="H87" s="23" t="str">
        <f>IFERROR(__xludf.DUMMYFUNCTION("UPPER(filter(Legend!$D$2:$D$31,Legend!$B$2:$B$31=D87))"),"FW")</f>
        <v>FW</v>
      </c>
      <c r="I87" s="23" t="b">
        <f t="shared" si="3"/>
        <v>1</v>
      </c>
    </row>
    <row r="88">
      <c r="A88" s="23" t="str">
        <f t="shared" si="6"/>
        <v>OD1004</v>
      </c>
      <c r="B88" s="23" t="str">
        <f>'3.2.raw'!K88</f>
        <v>OD1004</v>
      </c>
      <c r="C88" s="24">
        <f>datevalue(left('3.2.raw'!M88,10))</f>
        <v>43685</v>
      </c>
      <c r="D88" s="23">
        <f>'3.2.raw'!H88</f>
        <v>1</v>
      </c>
      <c r="E88" s="1">
        <v>3.20000000000001</v>
      </c>
      <c r="F88" s="23" t="b">
        <f>if(countif(Status!C:C,A88)=1,TRUE, FALSE)</f>
        <v>1</v>
      </c>
      <c r="G88" s="23" t="str">
        <f t="shared" si="8"/>
        <v>OD</v>
      </c>
      <c r="H88" s="23" t="str">
        <f>IFERROR(__xludf.DUMMYFUNCTION("UPPER(filter(Legend!$D$2:$D$31,Legend!$B$2:$B$31=D88))"),"OD")</f>
        <v>OD</v>
      </c>
      <c r="I88" s="23" t="b">
        <f t="shared" si="3"/>
        <v>1</v>
      </c>
    </row>
    <row r="89">
      <c r="A89" s="23" t="str">
        <f t="shared" si="6"/>
        <v>OD1005</v>
      </c>
      <c r="B89" s="23" t="str">
        <f>'3.2.raw'!K89</f>
        <v>OD1005</v>
      </c>
      <c r="C89" s="24">
        <f>datevalue(left('3.2.raw'!M89,10))</f>
        <v>43685</v>
      </c>
      <c r="D89" s="23">
        <f>'3.2.raw'!H89</f>
        <v>1</v>
      </c>
      <c r="E89" s="1">
        <v>3.20000000000001</v>
      </c>
      <c r="F89" s="23" t="b">
        <f>if(countif(Status!C:C,A89)=1,TRUE, FALSE)</f>
        <v>1</v>
      </c>
      <c r="G89" s="23" t="str">
        <f t="shared" si="8"/>
        <v>OD</v>
      </c>
      <c r="H89" s="23" t="str">
        <f>IFERROR(__xludf.DUMMYFUNCTION("UPPER(filter(Legend!$D$2:$D$31,Legend!$B$2:$B$31=D89))"),"OD")</f>
        <v>OD</v>
      </c>
      <c r="I89" s="23" t="b">
        <f t="shared" si="3"/>
        <v>1</v>
      </c>
    </row>
    <row r="90">
      <c r="A90" s="23" t="str">
        <f t="shared" si="6"/>
        <v>FW1003</v>
      </c>
      <c r="B90" s="23" t="str">
        <f>'3.2.raw'!K90</f>
        <v>FW1003</v>
      </c>
      <c r="C90" s="24">
        <f>datevalue(left('3.2.raw'!M90,10))</f>
        <v>43685</v>
      </c>
      <c r="D90" s="23">
        <f>'3.2.raw'!H90</f>
        <v>6</v>
      </c>
      <c r="E90" s="1">
        <v>3.20000000000001</v>
      </c>
      <c r="F90" s="23" t="b">
        <f>if(countif(Status!C:C,A90)=1,TRUE, FALSE)</f>
        <v>1</v>
      </c>
      <c r="G90" s="23" t="str">
        <f t="shared" si="8"/>
        <v>FW</v>
      </c>
      <c r="H90" s="23" t="str">
        <f>IFERROR(__xludf.DUMMYFUNCTION("UPPER(filter(Legend!$D$2:$D$31,Legend!$B$2:$B$31=D90))"),"FW")</f>
        <v>FW</v>
      </c>
      <c r="I90" s="23" t="b">
        <f t="shared" si="3"/>
        <v>1</v>
      </c>
    </row>
    <row r="91">
      <c r="A91" s="23" t="str">
        <f t="shared" si="6"/>
        <v>Coa9901</v>
      </c>
      <c r="B91" s="23" t="str">
        <f>'3.2.raw'!K91</f>
        <v>Coa9901</v>
      </c>
      <c r="C91" s="24">
        <f>datevalue(left('3.2.raw'!M91,10))</f>
        <v>43685</v>
      </c>
      <c r="D91" s="23">
        <f>'3.2.raw'!H91</f>
        <v>15</v>
      </c>
      <c r="E91" s="1">
        <v>3.20000000000001</v>
      </c>
      <c r="F91" s="23" t="b">
        <f>if(countif(Status!C:C,A91)=1,TRUE, FALSE)</f>
        <v>0</v>
      </c>
      <c r="G91" s="23" t="str">
        <f t="shared" si="8"/>
        <v>Coa</v>
      </c>
      <c r="H91" s="23" t="str">
        <f>IFERROR(__xludf.DUMMYFUNCTION("UPPER(filter(Legend!$D$2:$D$31,Legend!$B$2:$B$31=D91))"),"CO")</f>
        <v>CO</v>
      </c>
      <c r="I91" s="23" t="b">
        <f t="shared" si="3"/>
        <v>1</v>
      </c>
    </row>
    <row r="92">
      <c r="A92" s="23" t="str">
        <f t="shared" si="6"/>
        <v>Cob9901</v>
      </c>
      <c r="B92" s="23" t="str">
        <f>'3.2.raw'!K92</f>
        <v>Cob9901</v>
      </c>
      <c r="C92" s="24">
        <f>datevalue(left('3.2.raw'!M92,10))</f>
        <v>43685</v>
      </c>
      <c r="D92" s="23">
        <f>'3.2.raw'!H92</f>
        <v>15</v>
      </c>
      <c r="E92" s="1">
        <v>3.20000000000001</v>
      </c>
      <c r="F92" s="23" t="b">
        <f>if(countif(Status!C:C,A92)=1,TRUE, FALSE)</f>
        <v>0</v>
      </c>
      <c r="G92" s="23" t="str">
        <f t="shared" si="8"/>
        <v>Cob</v>
      </c>
      <c r="H92" s="23" t="str">
        <f>IFERROR(__xludf.DUMMYFUNCTION("UPPER(filter(Legend!$D$2:$D$31,Legend!$B$2:$B$31=D92))"),"CO")</f>
        <v>CO</v>
      </c>
      <c r="I92" s="23" t="b">
        <f t="shared" si="3"/>
        <v>1</v>
      </c>
    </row>
    <row r="93">
      <c r="A93" s="23" t="str">
        <f t="shared" si="6"/>
        <v>Coa9902</v>
      </c>
      <c r="B93" s="23" t="str">
        <f>'3.2.raw'!K93</f>
        <v>Coa9902</v>
      </c>
      <c r="C93" s="24">
        <f>datevalue(left('3.2.raw'!M93,10))</f>
        <v>43685</v>
      </c>
      <c r="D93" s="23">
        <f>'3.2.raw'!H93</f>
        <v>15</v>
      </c>
      <c r="E93" s="1">
        <v>3.20000000000001</v>
      </c>
      <c r="F93" s="23" t="b">
        <f>if(countif(Status!C:C,A93)=1,TRUE, FALSE)</f>
        <v>0</v>
      </c>
      <c r="G93" s="23" t="str">
        <f t="shared" si="8"/>
        <v>Coa</v>
      </c>
      <c r="H93" s="23" t="str">
        <f>IFERROR(__xludf.DUMMYFUNCTION("UPPER(filter(Legend!$D$2:$D$31,Legend!$B$2:$B$31=D93))"),"CO")</f>
        <v>CO</v>
      </c>
      <c r="I93" s="23" t="b">
        <f t="shared" si="3"/>
        <v>1</v>
      </c>
    </row>
    <row r="94">
      <c r="A94" s="23" t="str">
        <f t="shared" si="6"/>
        <v>Cob9902</v>
      </c>
      <c r="B94" s="23" t="str">
        <f>'3.2.raw'!K94</f>
        <v>Cob9902</v>
      </c>
      <c r="C94" s="24">
        <f>datevalue(left('3.2.raw'!M94,10))</f>
        <v>43685</v>
      </c>
      <c r="D94" s="23">
        <f>'3.2.raw'!H94</f>
        <v>15</v>
      </c>
      <c r="E94" s="1">
        <v>3.20000000000001</v>
      </c>
      <c r="F94" s="23" t="b">
        <f>if(countif(Status!C:C,A94)=1,TRUE, FALSE)</f>
        <v>0</v>
      </c>
      <c r="G94" s="23" t="str">
        <f t="shared" si="8"/>
        <v>Cob</v>
      </c>
      <c r="H94" s="23" t="str">
        <f>IFERROR(__xludf.DUMMYFUNCTION("UPPER(filter(Legend!$D$2:$D$31,Legend!$B$2:$B$31=D94))"),"CO")</f>
        <v>CO</v>
      </c>
      <c r="I94" s="23" t="b">
        <f t="shared" si="3"/>
        <v>1</v>
      </c>
    </row>
    <row r="95">
      <c r="A95" s="23" t="str">
        <f t="shared" si="6"/>
        <v>UF1001</v>
      </c>
      <c r="B95" s="23" t="str">
        <f>'3.2.raw'!K95</f>
        <v>UF1001</v>
      </c>
      <c r="C95" s="24">
        <f>datevalue(left('3.2.raw'!M95,10))</f>
        <v>43697</v>
      </c>
      <c r="D95" s="23">
        <f>'3.2.raw'!H95</f>
        <v>16</v>
      </c>
      <c r="E95" s="1">
        <v>3.20000000000001</v>
      </c>
      <c r="F95" s="23" t="b">
        <f>if(countif(Status!C:C,A95)=1,TRUE, FALSE)</f>
        <v>1</v>
      </c>
      <c r="G95" s="23" t="str">
        <f t="shared" si="8"/>
        <v>UF</v>
      </c>
      <c r="H95" s="23" t="str">
        <f>IFERROR(__xludf.DUMMYFUNCTION("UPPER(filter(Legend!$D$2:$D$31,Legend!$B$2:$B$31=D95))"),"UF")</f>
        <v>UF</v>
      </c>
      <c r="I95" s="23" t="b">
        <f t="shared" si="3"/>
        <v>1</v>
      </c>
    </row>
    <row r="96">
      <c r="A96" s="23" t="str">
        <f t="shared" si="6"/>
        <v>SW1008</v>
      </c>
      <c r="B96" s="23" t="str">
        <f>'3.2.raw'!K96</f>
        <v>SW1008</v>
      </c>
      <c r="C96" s="24">
        <f>datevalue(left('3.2.raw'!M96,10))</f>
        <v>43697</v>
      </c>
      <c r="D96" s="23">
        <f>'3.2.raw'!H96</f>
        <v>5</v>
      </c>
      <c r="E96" s="1">
        <v>3.20000000000001</v>
      </c>
      <c r="F96" s="23" t="b">
        <f>if(countif(Status!C:C,A96)=1,TRUE, FALSE)</f>
        <v>1</v>
      </c>
      <c r="G96" s="23" t="str">
        <f t="shared" si="8"/>
        <v>SW</v>
      </c>
      <c r="H96" s="23" t="str">
        <f>IFERROR(__xludf.DUMMYFUNCTION("UPPER(filter(Legend!$D$2:$D$31,Legend!$B$2:$B$31=D96))"),"SW")</f>
        <v>SW</v>
      </c>
      <c r="I96" s="23" t="b">
        <f t="shared" si="3"/>
        <v>1</v>
      </c>
    </row>
    <row r="97">
      <c r="A97" s="23" t="str">
        <f t="shared" si="6"/>
        <v>SL1010</v>
      </c>
      <c r="B97" s="23" t="str">
        <f>'3.2.raw'!K97</f>
        <v>SL1010</v>
      </c>
      <c r="C97" s="24">
        <f>datevalue(left('3.2.raw'!M97,10))</f>
        <v>43697</v>
      </c>
      <c r="D97" s="23">
        <f>'3.2.raw'!H97</f>
        <v>8</v>
      </c>
      <c r="E97" s="1">
        <v>3.20000000000001</v>
      </c>
      <c r="F97" s="23" t="b">
        <f>if(countif(Status!C:C,A97)=1,TRUE, FALSE)</f>
        <v>1</v>
      </c>
      <c r="G97" s="23" t="str">
        <f t="shared" si="8"/>
        <v>SL</v>
      </c>
      <c r="H97" s="23" t="str">
        <f>IFERROR(__xludf.DUMMYFUNCTION("UPPER(filter(Legend!$D$2:$D$31,Legend!$B$2:$B$31=D97))"),"SL")</f>
        <v>SL</v>
      </c>
      <c r="I97" s="23" t="b">
        <f t="shared" si="3"/>
        <v>1</v>
      </c>
    </row>
    <row r="98">
      <c r="A98" s="23" t="str">
        <f t="shared" si="6"/>
        <v>FPa1001</v>
      </c>
      <c r="B98" s="23" t="str">
        <f>'3.2.raw'!K98</f>
        <v>FPa1001</v>
      </c>
      <c r="C98" s="24">
        <f>datevalue(left('3.2.raw'!M98,10))</f>
        <v>43698</v>
      </c>
      <c r="D98" s="23">
        <f>'3.2.raw'!H98</f>
        <v>14</v>
      </c>
      <c r="E98" s="1">
        <v>3.20000000000001</v>
      </c>
      <c r="F98" s="23" t="b">
        <f>if(countif(Status!C:C,A98)=1,TRUE, FALSE)</f>
        <v>1</v>
      </c>
      <c r="G98" s="23" t="str">
        <f t="shared" si="8"/>
        <v>FPa</v>
      </c>
      <c r="H98" s="23" t="str">
        <f>IFERROR(__xludf.DUMMYFUNCTION("UPPER(filter(Legend!$D$2:$D$31,Legend!$B$2:$B$31=D98))"),"FP")</f>
        <v>FP</v>
      </c>
      <c r="I98" s="23" t="b">
        <f t="shared" si="3"/>
        <v>1</v>
      </c>
    </row>
    <row r="99">
      <c r="A99" s="23" t="str">
        <f t="shared" si="6"/>
        <v>FPe1001</v>
      </c>
      <c r="B99" s="23" t="str">
        <f>'3.2.raw'!K99</f>
        <v>FPe1001</v>
      </c>
      <c r="C99" s="24">
        <f>datevalue(left('3.2.raw'!M99,10))</f>
        <v>43698</v>
      </c>
      <c r="D99" s="23">
        <f>'3.2.raw'!H99</f>
        <v>14</v>
      </c>
      <c r="E99" s="1">
        <v>3.20000000000001</v>
      </c>
      <c r="F99" s="23" t="b">
        <f>if(countif(Status!C:C,A99)=1,TRUE, FALSE)</f>
        <v>1</v>
      </c>
      <c r="G99" s="23" t="str">
        <f t="shared" si="8"/>
        <v>FPe</v>
      </c>
      <c r="H99" s="23" t="str">
        <f>IFERROR(__xludf.DUMMYFUNCTION("UPPER(filter(Legend!$D$2:$D$32,Legend!$B$2:$B$32=D99))"),"FP")</f>
        <v>FP</v>
      </c>
      <c r="I99" s="23" t="b">
        <f t="shared" si="3"/>
        <v>1</v>
      </c>
    </row>
    <row r="100">
      <c r="A100" s="23" t="str">
        <f t="shared" si="6"/>
        <v>FPb1001</v>
      </c>
      <c r="B100" s="23" t="str">
        <f>'3.2.raw'!K100</f>
        <v>FPb1001</v>
      </c>
      <c r="C100" s="24">
        <f>datevalue(left('3.2.raw'!M100,10))</f>
        <v>43698</v>
      </c>
      <c r="D100" s="23">
        <f>'3.2.raw'!H100</f>
        <v>14</v>
      </c>
      <c r="E100" s="1">
        <v>3.20000000000001</v>
      </c>
      <c r="F100" s="23" t="b">
        <f>if(countif(Status!C:C,A100)=1,TRUE, FALSE)</f>
        <v>1</v>
      </c>
      <c r="G100" s="23" t="str">
        <f t="shared" si="8"/>
        <v>FPb</v>
      </c>
      <c r="H100" s="23" t="str">
        <f>IFERROR(__xludf.DUMMYFUNCTION("UPPER(filter(Legend!$D$2:$D$32,Legend!$B$2:$B$32=D100))"),"FP")</f>
        <v>FP</v>
      </c>
      <c r="I100" s="23" t="b">
        <f t="shared" si="3"/>
        <v>1</v>
      </c>
    </row>
    <row r="101">
      <c r="A101" s="23" t="str">
        <f t="shared" si="6"/>
        <v>FPe1001</v>
      </c>
      <c r="B101" s="23" t="str">
        <f>'3.2.raw'!K101</f>
        <v>FPe1001</v>
      </c>
      <c r="C101" s="24">
        <f>datevalue(left('3.2.raw'!M101,10))</f>
        <v>43698</v>
      </c>
      <c r="D101" s="23">
        <f>'3.2.raw'!H101</f>
        <v>14</v>
      </c>
      <c r="E101" s="1">
        <v>3.20000000000001</v>
      </c>
      <c r="F101" s="23" t="b">
        <f>if(countif(Status!C:C,A101)=1,TRUE, FALSE)</f>
        <v>1</v>
      </c>
      <c r="G101" s="23" t="str">
        <f t="shared" si="8"/>
        <v>FPe</v>
      </c>
      <c r="H101" s="23" t="str">
        <f>IFERROR(__xludf.DUMMYFUNCTION("UPPER(filter(Legend!$D$2:$D$32,Legend!$B$2:$B$32=D101))"),"FP")</f>
        <v>FP</v>
      </c>
      <c r="I101" s="23" t="b">
        <f t="shared" si="3"/>
        <v>1</v>
      </c>
    </row>
    <row r="102">
      <c r="A102" s="23" t="str">
        <f t="shared" si="6"/>
        <v>FPd1001</v>
      </c>
      <c r="B102" s="23" t="str">
        <f>'3.2.raw'!K102</f>
        <v>FPd1001</v>
      </c>
      <c r="C102" s="24">
        <f>datevalue(left('3.2.raw'!M102,10))</f>
        <v>43698</v>
      </c>
      <c r="D102" s="23">
        <f>'3.2.raw'!H102</f>
        <v>14</v>
      </c>
      <c r="E102" s="1">
        <v>3.20000000000001</v>
      </c>
      <c r="F102" s="23" t="b">
        <f>if(countif(Status!C:C,A102)=1,TRUE, FALSE)</f>
        <v>1</v>
      </c>
      <c r="G102" s="23" t="str">
        <f t="shared" si="8"/>
        <v>FPd</v>
      </c>
      <c r="H102" s="23" t="str">
        <f>IFERROR(__xludf.DUMMYFUNCTION("UPPER(filter(Legend!$D$2:$D$32,Legend!$B$2:$B$32=D102))"),"FP")</f>
        <v>FP</v>
      </c>
      <c r="I102" s="23" t="b">
        <f t="shared" si="3"/>
        <v>1</v>
      </c>
    </row>
    <row r="103">
      <c r="A103" s="23" t="str">
        <f t="shared" si="6"/>
        <v>UF1002</v>
      </c>
      <c r="B103" s="23" t="str">
        <f>'3.2.raw'!K103</f>
        <v>UF1002</v>
      </c>
      <c r="C103" s="24">
        <f>datevalue(left('3.2.raw'!M103,10))</f>
        <v>43698</v>
      </c>
      <c r="D103" s="23">
        <f>'3.2.raw'!H103</f>
        <v>16</v>
      </c>
      <c r="E103" s="1">
        <v>3.20000000000001</v>
      </c>
      <c r="F103" s="23" t="b">
        <f>if(countif(Status!C:C,A103)=1,TRUE, FALSE)</f>
        <v>1</v>
      </c>
      <c r="G103" s="23" t="str">
        <f t="shared" si="8"/>
        <v>UF</v>
      </c>
      <c r="H103" s="23" t="str">
        <f>IFERROR(__xludf.DUMMYFUNCTION("UPPER(filter(Legend!$D$2:$D$32,Legend!$B$2:$B$32=D103))"),"UF")</f>
        <v>UF</v>
      </c>
      <c r="I103" s="23" t="b">
        <f t="shared" si="3"/>
        <v>1</v>
      </c>
    </row>
    <row r="104">
      <c r="A104" s="23" t="str">
        <f t="shared" si="6"/>
        <v>COa1001</v>
      </c>
      <c r="B104" s="23" t="str">
        <f>'3.2.raw'!K104</f>
        <v>COa1001</v>
      </c>
      <c r="C104" s="24">
        <f>datevalue(left('3.2.raw'!M104,10))</f>
        <v>43700</v>
      </c>
      <c r="D104" s="23">
        <f>'3.2.raw'!H104</f>
        <v>15</v>
      </c>
      <c r="E104" s="1">
        <v>3.20000000000001</v>
      </c>
      <c r="F104" s="23" t="b">
        <f>if(countif(Status!C:C,A104)=1,TRUE, FALSE)</f>
        <v>1</v>
      </c>
      <c r="G104" s="23" t="str">
        <f t="shared" si="8"/>
        <v>COa</v>
      </c>
      <c r="H104" s="23" t="str">
        <f>IFERROR(__xludf.DUMMYFUNCTION("UPPER(filter(Legend!$D$2:$D$32,Legend!$B$2:$B$32=D104))"),"CO")</f>
        <v>CO</v>
      </c>
      <c r="I104" s="23" t="b">
        <f t="shared" si="3"/>
        <v>1</v>
      </c>
    </row>
    <row r="105">
      <c r="A105" s="23" t="str">
        <f t="shared" si="6"/>
        <v>COb1001</v>
      </c>
      <c r="B105" s="23" t="str">
        <f>'3.2.raw'!K105</f>
        <v>COb1001</v>
      </c>
      <c r="C105" s="24">
        <f>datevalue(left('3.2.raw'!M105,10))</f>
        <v>43700</v>
      </c>
      <c r="D105" s="23">
        <f>'3.2.raw'!H105</f>
        <v>15</v>
      </c>
      <c r="E105" s="1">
        <v>3.20000000000001</v>
      </c>
      <c r="F105" s="23" t="b">
        <f>if(countif(Status!C:C,A105)=1,TRUE, FALSE)</f>
        <v>1</v>
      </c>
      <c r="G105" s="23" t="str">
        <f t="shared" si="8"/>
        <v>COb</v>
      </c>
      <c r="H105" s="23" t="str">
        <f>IFERROR(__xludf.DUMMYFUNCTION("UPPER(filter(Legend!$D$2:$D$32,Legend!$B$2:$B$32=D105))"),"CO")</f>
        <v>CO</v>
      </c>
      <c r="I105" s="23" t="b">
        <f t="shared" si="3"/>
        <v>1</v>
      </c>
    </row>
    <row r="106">
      <c r="A106" s="23" t="str">
        <f t="shared" si="6"/>
        <v>COb1002</v>
      </c>
      <c r="B106" s="23" t="str">
        <f>'3.2.raw'!K106</f>
        <v>COb1002</v>
      </c>
      <c r="C106" s="24">
        <f>datevalue(left('3.2.raw'!M106,10))</f>
        <v>43700</v>
      </c>
      <c r="D106" s="23">
        <f>'3.2.raw'!H106</f>
        <v>15</v>
      </c>
      <c r="E106" s="1">
        <v>3.20000000000001</v>
      </c>
      <c r="F106" s="23" t="b">
        <f>if(countif(Status!C:C,A106)=1,TRUE, FALSE)</f>
        <v>1</v>
      </c>
      <c r="G106" s="23" t="str">
        <f t="shared" si="8"/>
        <v>COb</v>
      </c>
      <c r="H106" s="23" t="str">
        <f>IFERROR(__xludf.DUMMYFUNCTION("UPPER(filter(Legend!$D$2:$D$32,Legend!$B$2:$B$32=D106))"),"CO")</f>
        <v>CO</v>
      </c>
      <c r="I106" s="23" t="b">
        <f t="shared" si="3"/>
        <v>1</v>
      </c>
    </row>
    <row r="107">
      <c r="A107" s="23" t="str">
        <f t="shared" si="6"/>
        <v>COb1003</v>
      </c>
      <c r="B107" s="23" t="str">
        <f>'3.2.raw'!K107</f>
        <v>COb1003</v>
      </c>
      <c r="C107" s="24">
        <f>datevalue(left('3.2.raw'!M107,10))</f>
        <v>43700</v>
      </c>
      <c r="D107" s="23">
        <f>'3.2.raw'!H107</f>
        <v>15</v>
      </c>
      <c r="E107" s="1">
        <v>3.20000000000001</v>
      </c>
      <c r="F107" s="23" t="b">
        <f>if(countif(Status!C:C,A107)=1,TRUE, FALSE)</f>
        <v>1</v>
      </c>
      <c r="G107" s="23" t="str">
        <f t="shared" si="8"/>
        <v>COb</v>
      </c>
      <c r="H107" s="23" t="str">
        <f>IFERROR(__xludf.DUMMYFUNCTION("UPPER(filter(Legend!$D$2:$D$32,Legend!$B$2:$B$32=D107))"),"CO")</f>
        <v>CO</v>
      </c>
      <c r="I107" s="23" t="b">
        <f t="shared" si="3"/>
        <v>1</v>
      </c>
    </row>
    <row r="108">
      <c r="A108" s="23" t="str">
        <f t="shared" si="6"/>
        <v>COa1002</v>
      </c>
      <c r="B108" s="23" t="str">
        <f>'3.2.raw'!K108</f>
        <v>COa1002</v>
      </c>
      <c r="C108" s="24">
        <f>datevalue(left('3.2.raw'!M108,10))</f>
        <v>43700</v>
      </c>
      <c r="D108" s="23">
        <f>'3.2.raw'!H108</f>
        <v>15</v>
      </c>
      <c r="E108" s="1">
        <v>3.20000000000002</v>
      </c>
      <c r="F108" s="23" t="b">
        <f>if(countif(Status!C:C,A108)=1,TRUE, FALSE)</f>
        <v>1</v>
      </c>
      <c r="G108" s="23" t="str">
        <f t="shared" si="8"/>
        <v>COa</v>
      </c>
      <c r="H108" s="23" t="str">
        <f>IFERROR(__xludf.DUMMYFUNCTION("UPPER(filter(Legend!$D$2:$D$32,Legend!$B$2:$B$32=D108))"),"CO")</f>
        <v>CO</v>
      </c>
      <c r="I108" s="23" t="b">
        <f t="shared" si="3"/>
        <v>1</v>
      </c>
    </row>
    <row r="109">
      <c r="A109" s="23" t="str">
        <f t="shared" si="6"/>
        <v>COb1004</v>
      </c>
      <c r="B109" s="23" t="str">
        <f>'3.2.raw'!K109</f>
        <v>COb1004</v>
      </c>
      <c r="C109" s="24">
        <f>datevalue(left('3.2.raw'!M109,10))</f>
        <v>43700</v>
      </c>
      <c r="D109" s="23">
        <f>'3.2.raw'!H109</f>
        <v>15</v>
      </c>
      <c r="E109" s="1">
        <v>3.20000000000002</v>
      </c>
      <c r="F109" s="23" t="b">
        <f>if(countif(Status!C:C,A109)=1,TRUE, FALSE)</f>
        <v>1</v>
      </c>
      <c r="G109" s="23" t="str">
        <f t="shared" si="8"/>
        <v>COb</v>
      </c>
      <c r="H109" s="23" t="str">
        <f>IFERROR(__xludf.DUMMYFUNCTION("UPPER(filter(Legend!$D$2:$D$32,Legend!$B$2:$B$32=D109))"),"CO")</f>
        <v>CO</v>
      </c>
      <c r="I109" s="23" t="b">
        <f t="shared" si="3"/>
        <v>1</v>
      </c>
    </row>
    <row r="110">
      <c r="A110" s="23" t="str">
        <f t="shared" si="6"/>
        <v>COb1005</v>
      </c>
      <c r="B110" s="23" t="str">
        <f>'3.2.raw'!K110</f>
        <v>COb1005</v>
      </c>
      <c r="C110" s="24">
        <f>datevalue(left('3.2.raw'!M110,10))</f>
        <v>43700</v>
      </c>
      <c r="D110" s="23">
        <f>'3.2.raw'!H110</f>
        <v>15</v>
      </c>
      <c r="E110" s="1">
        <v>3.20000000000002</v>
      </c>
      <c r="F110" s="23" t="b">
        <f>if(countif(Status!C:C,A110)=1,TRUE, FALSE)</f>
        <v>1</v>
      </c>
      <c r="G110" s="23" t="str">
        <f t="shared" si="8"/>
        <v>COb</v>
      </c>
      <c r="H110" s="23" t="str">
        <f>IFERROR(__xludf.DUMMYFUNCTION("UPPER(filter(Legend!$D$2:$D$32,Legend!$B$2:$B$32=D110))"),"CO")</f>
        <v>CO</v>
      </c>
      <c r="I110" s="23" t="b">
        <f t="shared" si="3"/>
        <v>1</v>
      </c>
    </row>
    <row r="111">
      <c r="A111" s="23" t="str">
        <f t="shared" si="6"/>
        <v>COb1006</v>
      </c>
      <c r="B111" s="23" t="str">
        <f>'3.2.raw'!K111</f>
        <v>COb1006</v>
      </c>
      <c r="C111" s="24">
        <f>datevalue(left('3.2.raw'!M111,10))</f>
        <v>43700</v>
      </c>
      <c r="D111" s="23">
        <f>'3.2.raw'!H111</f>
        <v>15</v>
      </c>
      <c r="E111" s="1">
        <v>3.20000000000002</v>
      </c>
      <c r="F111" s="23" t="b">
        <f>if(countif(Status!C:C,A111)=1,TRUE, FALSE)</f>
        <v>1</v>
      </c>
      <c r="G111" s="23" t="str">
        <f t="shared" si="8"/>
        <v>COb</v>
      </c>
      <c r="H111" s="23" t="str">
        <f>IFERROR(__xludf.DUMMYFUNCTION("UPPER(filter(Legend!$D$2:$D$32,Legend!$B$2:$B$32=D111))"),"CO")</f>
        <v>CO</v>
      </c>
      <c r="I111" s="23" t="b">
        <f t="shared" si="3"/>
        <v>1</v>
      </c>
    </row>
    <row r="112">
      <c r="A112" s="23" t="str">
        <f t="shared" si="6"/>
        <v>RP1010</v>
      </c>
      <c r="B112" s="23" t="str">
        <f>'3.2.raw'!K112</f>
        <v>RP1010</v>
      </c>
      <c r="C112" s="24">
        <f>datevalue(left('3.2.raw'!M112,10))</f>
        <v>43673</v>
      </c>
      <c r="D112" s="23">
        <f>'3.2.raw'!H112</f>
        <v>2</v>
      </c>
      <c r="E112" s="1">
        <v>3.20000000000002</v>
      </c>
      <c r="F112" s="23" t="b">
        <f>if(countif(Status!C:C,A112)=1,TRUE, FALSE)</f>
        <v>1</v>
      </c>
      <c r="G112" s="23" t="str">
        <f t="shared" si="8"/>
        <v>RP</v>
      </c>
      <c r="H112" s="23" t="str">
        <f>IFERROR(__xludf.DUMMYFUNCTION("UPPER(filter(Legend!$D$2:$D$32,Legend!$B$2:$B$32=D112))"),"RP")</f>
        <v>RP</v>
      </c>
      <c r="I112" s="23" t="b">
        <f t="shared" si="3"/>
        <v>1</v>
      </c>
    </row>
    <row r="113">
      <c r="A113" s="23" t="str">
        <f t="shared" si="6"/>
        <v>DWa1003</v>
      </c>
      <c r="B113" s="23" t="str">
        <f>'3.2.raw'!K113</f>
        <v>DWa1003</v>
      </c>
      <c r="C113" s="24">
        <f>datevalue(left('3.2.raw'!M113,10))</f>
        <v>43704</v>
      </c>
      <c r="D113" s="23">
        <f>'3.2.raw'!H113</f>
        <v>3</v>
      </c>
      <c r="E113" s="1">
        <v>3.20000000000002</v>
      </c>
      <c r="F113" s="23" t="b">
        <f>if(countif(Status!C:C,A113)=1,TRUE, FALSE)</f>
        <v>1</v>
      </c>
      <c r="G113" s="23" t="str">
        <f t="shared" si="8"/>
        <v>DWa</v>
      </c>
      <c r="H113" s="23" t="str">
        <f>IFERROR(__xludf.DUMMYFUNCTION("UPPER(filter(Legend!$D$2:$D$32,Legend!$B$2:$B$32=D113))"),"DW")</f>
        <v>DW</v>
      </c>
      <c r="I113" s="23" t="b">
        <f t="shared" si="3"/>
        <v>1</v>
      </c>
    </row>
    <row r="114">
      <c r="A114" s="23" t="str">
        <f t="shared" si="6"/>
        <v>OD1006</v>
      </c>
      <c r="B114" s="23" t="str">
        <f>'3.2.raw'!K114</f>
        <v>OD1006</v>
      </c>
      <c r="C114" s="24">
        <f>datevalue(left('3.2.raw'!M114,10))</f>
        <v>43704</v>
      </c>
      <c r="D114" s="23">
        <f>'3.2.raw'!H114</f>
        <v>1</v>
      </c>
      <c r="E114" s="1">
        <v>3.20000000000002</v>
      </c>
      <c r="F114" s="23" t="b">
        <f>if(countif(Status!C:C,A114)=1,TRUE, FALSE)</f>
        <v>1</v>
      </c>
      <c r="G114" s="23" t="str">
        <f t="shared" si="8"/>
        <v>OD</v>
      </c>
      <c r="H114" s="23" t="str">
        <f>IFERROR(__xludf.DUMMYFUNCTION("UPPER(filter(Legend!$D$2:$D$32,Legend!$B$2:$B$32=D114))"),"OD")</f>
        <v>OD</v>
      </c>
      <c r="I114" s="23" t="b">
        <f t="shared" si="3"/>
        <v>1</v>
      </c>
    </row>
    <row r="115">
      <c r="A115" s="23" t="str">
        <f t="shared" si="6"/>
        <v>SL1013</v>
      </c>
      <c r="B115" s="23" t="str">
        <f>'3.2.raw'!K115</f>
        <v>SL1013</v>
      </c>
      <c r="C115" s="24">
        <f>datevalue(left('3.2.raw'!M115,10))</f>
        <v>43720</v>
      </c>
      <c r="D115" s="23">
        <f>'3.2.raw'!H115</f>
        <v>8</v>
      </c>
      <c r="E115" s="1">
        <v>3.20000000000002</v>
      </c>
      <c r="F115" s="23" t="b">
        <f>if(countif(Status!C:C,A115)=1,TRUE, FALSE)</f>
        <v>1</v>
      </c>
      <c r="G115" s="23" t="str">
        <f t="shared" si="8"/>
        <v>SL</v>
      </c>
      <c r="H115" s="23" t="str">
        <f>IFERROR(__xludf.DUMMYFUNCTION("UPPER(filter(Legend!$D$2:$D$32,Legend!$B$2:$B$32=D115))"),"SL")</f>
        <v>SL</v>
      </c>
      <c r="I115" s="23" t="b">
        <f t="shared" si="3"/>
        <v>1</v>
      </c>
    </row>
    <row r="116">
      <c r="A116" s="23" t="str">
        <f t="shared" si="6"/>
        <v>SW1010</v>
      </c>
      <c r="B116" s="23" t="str">
        <f>'3.2.raw'!K116</f>
        <v>SW1010</v>
      </c>
      <c r="C116" s="24">
        <f>datevalue(left('3.2.raw'!M116,10))</f>
        <v>43720</v>
      </c>
      <c r="D116" s="23">
        <f>'3.2.raw'!H116</f>
        <v>5</v>
      </c>
      <c r="E116" s="1">
        <v>3.20000000000002</v>
      </c>
      <c r="F116" s="23" t="b">
        <f>if(countif(Status!C:C,A116)=1,TRUE, FALSE)</f>
        <v>1</v>
      </c>
      <c r="G116" s="23" t="str">
        <f t="shared" si="8"/>
        <v>SW</v>
      </c>
      <c r="H116" s="23" t="str">
        <f>IFERROR(__xludf.DUMMYFUNCTION("UPPER(filter(Legend!$D$2:$D$32,Legend!$B$2:$B$32=D116))"),"SW")</f>
        <v>SW</v>
      </c>
      <c r="I116" s="23" t="b">
        <f t="shared" si="3"/>
        <v>1</v>
      </c>
    </row>
    <row r="117">
      <c r="A117" s="23" t="str">
        <f t="shared" si="6"/>
        <v>FPa1002</v>
      </c>
      <c r="B117" s="23" t="str">
        <f>'3.2.raw'!K117</f>
        <v>FPa1002</v>
      </c>
      <c r="C117" s="24">
        <f>datevalue(left('3.2.raw'!M117,10))</f>
        <v>43720</v>
      </c>
      <c r="D117" s="23">
        <f>'3.2.raw'!H117</f>
        <v>14</v>
      </c>
      <c r="E117" s="1">
        <v>3.20000000000002</v>
      </c>
      <c r="F117" s="23" t="b">
        <f>if(countif(Status!C:C,A117)=1,TRUE, FALSE)</f>
        <v>1</v>
      </c>
      <c r="G117" s="23" t="str">
        <f t="shared" si="8"/>
        <v>FPa</v>
      </c>
      <c r="H117" s="23" t="str">
        <f>IFERROR(__xludf.DUMMYFUNCTION("UPPER(filter(Legend!$D$2:$D$32,Legend!$B$2:$B$32=D117))"),"FP")</f>
        <v>FP</v>
      </c>
      <c r="I117" s="23" t="b">
        <f t="shared" si="3"/>
        <v>1</v>
      </c>
    </row>
    <row r="118">
      <c r="A118" s="23" t="str">
        <f t="shared" si="6"/>
        <v>FPb1002</v>
      </c>
      <c r="B118" s="23" t="str">
        <f>'3.2.raw'!K118</f>
        <v>FPb1002</v>
      </c>
      <c r="C118" s="24">
        <f>datevalue(left('3.2.raw'!M118,10))</f>
        <v>43720</v>
      </c>
      <c r="D118" s="23">
        <f>'3.2.raw'!H118</f>
        <v>14</v>
      </c>
      <c r="E118" s="1">
        <v>3.20000000000002</v>
      </c>
      <c r="F118" s="23" t="b">
        <f>if(countif(Status!C:C,A118)=1,TRUE, FALSE)</f>
        <v>1</v>
      </c>
      <c r="G118" s="23" t="str">
        <f t="shared" si="8"/>
        <v>FPb</v>
      </c>
      <c r="H118" s="23" t="str">
        <f>IFERROR(__xludf.DUMMYFUNCTION("UPPER(filter(Legend!$D$2:$D$32,Legend!$B$2:$B$32=D118))"),"FP")</f>
        <v>FP</v>
      </c>
      <c r="I118" s="23" t="b">
        <f t="shared" si="3"/>
        <v>1</v>
      </c>
    </row>
    <row r="119">
      <c r="A119" s="23" t="str">
        <f t="shared" si="6"/>
        <v>FPc1002</v>
      </c>
      <c r="B119" s="23" t="str">
        <f>'3.2.raw'!K119</f>
        <v>FPc1002</v>
      </c>
      <c r="C119" s="24">
        <f>datevalue(left('3.2.raw'!M119,10))</f>
        <v>43720</v>
      </c>
      <c r="D119" s="23">
        <f>'3.2.raw'!H119</f>
        <v>14</v>
      </c>
      <c r="E119" s="1">
        <v>3.20000000000002</v>
      </c>
      <c r="F119" s="23" t="b">
        <f>if(countif(Status!C:C,A119)=1,TRUE, FALSE)</f>
        <v>1</v>
      </c>
      <c r="G119" s="23" t="str">
        <f t="shared" si="8"/>
        <v>FPc</v>
      </c>
      <c r="H119" s="23" t="str">
        <f>IFERROR(__xludf.DUMMYFUNCTION("UPPER(filter(Legend!$D$2:$D$32,Legend!$B$2:$B$32=D119))"),"FP")</f>
        <v>FP</v>
      </c>
      <c r="I119" s="23" t="b">
        <f t="shared" si="3"/>
        <v>1</v>
      </c>
    </row>
    <row r="120">
      <c r="A120" s="23" t="str">
        <f t="shared" si="6"/>
        <v>FPd1002</v>
      </c>
      <c r="B120" s="23" t="str">
        <f>'3.2.raw'!K120</f>
        <v>FPd1002</v>
      </c>
      <c r="C120" s="24">
        <f>datevalue(left('3.2.raw'!M120,10))</f>
        <v>43720</v>
      </c>
      <c r="D120" s="23">
        <f>'3.2.raw'!H120</f>
        <v>14</v>
      </c>
      <c r="E120" s="1">
        <v>3.20000000000002</v>
      </c>
      <c r="F120" s="23" t="b">
        <f>if(countif(Status!C:C,A120)=1,TRUE, FALSE)</f>
        <v>1</v>
      </c>
      <c r="G120" s="23" t="str">
        <f t="shared" si="8"/>
        <v>FPd</v>
      </c>
      <c r="H120" s="23" t="str">
        <f>IFERROR(__xludf.DUMMYFUNCTION("UPPER(filter(Legend!$D$2:$D$32,Legend!$B$2:$B$32=D120))"),"FP")</f>
        <v>FP</v>
      </c>
      <c r="I120" s="23" t="b">
        <f t="shared" si="3"/>
        <v>1</v>
      </c>
    </row>
    <row r="121">
      <c r="A121" s="23" t="str">
        <f t="shared" si="6"/>
        <v>FPe1002</v>
      </c>
      <c r="B121" s="23" t="str">
        <f>'3.2.raw'!K121</f>
        <v>FPe1002</v>
      </c>
      <c r="C121" s="24">
        <f>datevalue(left('3.2.raw'!M121,10))</f>
        <v>43720</v>
      </c>
      <c r="D121" s="23">
        <f>'3.2.raw'!H121</f>
        <v>14</v>
      </c>
      <c r="E121" s="1">
        <v>3.20000000000002</v>
      </c>
      <c r="F121" s="23" t="b">
        <f>if(countif(Status!C:C,A121)=1,TRUE, FALSE)</f>
        <v>1</v>
      </c>
      <c r="G121" s="23" t="str">
        <f t="shared" si="8"/>
        <v>FPe</v>
      </c>
      <c r="H121" s="23" t="str">
        <f>IFERROR(__xludf.DUMMYFUNCTION("UPPER(filter(Legend!$D$2:$D$32,Legend!$B$2:$B$32=D121))"),"FP")</f>
        <v>FP</v>
      </c>
      <c r="I121" s="23" t="b">
        <f t="shared" si="3"/>
        <v>1</v>
      </c>
    </row>
    <row r="122">
      <c r="A122" s="23" t="str">
        <f t="shared" si="6"/>
        <v>COa1003</v>
      </c>
      <c r="B122" s="23" t="str">
        <f>'3.2.raw'!K122</f>
        <v>COa1003</v>
      </c>
      <c r="C122" s="24">
        <f>datevalue(left('3.2.raw'!M122,10))</f>
        <v>43725</v>
      </c>
      <c r="D122" s="23">
        <f>'3.2.raw'!H122</f>
        <v>15</v>
      </c>
      <c r="E122" s="1">
        <v>3.20000000000002</v>
      </c>
      <c r="F122" s="23" t="b">
        <f>if(countif(Status!C:C,A122)=1,TRUE, FALSE)</f>
        <v>1</v>
      </c>
      <c r="G122" s="23" t="str">
        <f t="shared" si="8"/>
        <v>COa</v>
      </c>
      <c r="H122" s="23" t="str">
        <f>IFERROR(__xludf.DUMMYFUNCTION("UPPER(filter(Legend!$D$2:$D$32,Legend!$B$2:$B$32=D122))"),"CO")</f>
        <v>CO</v>
      </c>
      <c r="I122" s="23" t="b">
        <f t="shared" si="3"/>
        <v>1</v>
      </c>
    </row>
    <row r="123">
      <c r="A123" s="23" t="str">
        <f t="shared" si="6"/>
        <v>COb1007</v>
      </c>
      <c r="B123" s="23" t="str">
        <f>'3.2.raw'!K123</f>
        <v>COb1007</v>
      </c>
      <c r="C123" s="24">
        <f>datevalue(left('3.2.raw'!M123,10))</f>
        <v>43725</v>
      </c>
      <c r="D123" s="23">
        <f>'3.2.raw'!H123</f>
        <v>15</v>
      </c>
      <c r="E123" s="1">
        <v>3.20000000000002</v>
      </c>
      <c r="F123" s="23" t="b">
        <f>if(countif(Status!C:C,A123)=1,TRUE, FALSE)</f>
        <v>1</v>
      </c>
      <c r="G123" s="23" t="str">
        <f t="shared" si="8"/>
        <v>COb</v>
      </c>
      <c r="H123" s="23" t="str">
        <f>IFERROR(__xludf.DUMMYFUNCTION("UPPER(filter(Legend!$D$2:$D$32,Legend!$B$2:$B$32=D123))"),"CO")</f>
        <v>CO</v>
      </c>
      <c r="I123" s="23" t="b">
        <f t="shared" si="3"/>
        <v>1</v>
      </c>
    </row>
    <row r="124">
      <c r="A124" s="23" t="str">
        <f t="shared" si="6"/>
        <v>COb1008</v>
      </c>
      <c r="B124" s="23" t="str">
        <f>'3.2.raw'!K124</f>
        <v>COb1008</v>
      </c>
      <c r="C124" s="24">
        <f>datevalue(left('3.2.raw'!M124,10))</f>
        <v>43725</v>
      </c>
      <c r="D124" s="23">
        <f>'3.2.raw'!H124</f>
        <v>15</v>
      </c>
      <c r="E124" s="1">
        <v>3.20000000000002</v>
      </c>
      <c r="F124" s="23" t="b">
        <f>if(countif(Status!C:C,A124)=1,TRUE, FALSE)</f>
        <v>1</v>
      </c>
      <c r="G124" s="23" t="str">
        <f t="shared" si="8"/>
        <v>COb</v>
      </c>
      <c r="H124" s="23" t="str">
        <f>IFERROR(__xludf.DUMMYFUNCTION("UPPER(filter(Legend!$D$2:$D$32,Legend!$B$2:$B$32=D124))"),"CO")</f>
        <v>CO</v>
      </c>
      <c r="I124" s="23" t="b">
        <f t="shared" si="3"/>
        <v>1</v>
      </c>
    </row>
    <row r="125">
      <c r="A125" s="23" t="str">
        <f t="shared" si="6"/>
        <v>COb1009</v>
      </c>
      <c r="B125" s="23" t="str">
        <f>'3.2.raw'!K125</f>
        <v>COb1009</v>
      </c>
      <c r="C125" s="24">
        <f>datevalue(left('3.2.raw'!M125,10))</f>
        <v>43725</v>
      </c>
      <c r="D125" s="23">
        <f>'3.2.raw'!H125</f>
        <v>15</v>
      </c>
      <c r="E125" s="1">
        <v>3.20000000000002</v>
      </c>
      <c r="F125" s="23" t="b">
        <f>if(countif(Status!C:C,A125)=1,TRUE, FALSE)</f>
        <v>1</v>
      </c>
      <c r="G125" s="23" t="str">
        <f t="shared" si="8"/>
        <v>COb</v>
      </c>
      <c r="H125" s="23" t="str">
        <f>IFERROR(__xludf.DUMMYFUNCTION("UPPER(filter(Legend!$D$2:$D$32,Legend!$B$2:$B$32=D125))"),"CO")</f>
        <v>CO</v>
      </c>
      <c r="I125" s="23" t="b">
        <f t="shared" si="3"/>
        <v>1</v>
      </c>
    </row>
    <row r="126">
      <c r="A126" s="23" t="str">
        <f t="shared" si="6"/>
        <v>COa1004</v>
      </c>
      <c r="B126" s="23" t="str">
        <f>'3.2.raw'!K126</f>
        <v>COa1004</v>
      </c>
      <c r="C126" s="24">
        <f>datevalue(left('3.2.raw'!M126,10))</f>
        <v>43725</v>
      </c>
      <c r="D126" s="23">
        <f>'3.2.raw'!H126</f>
        <v>15</v>
      </c>
      <c r="E126" s="1">
        <v>3.20000000000003</v>
      </c>
      <c r="F126" s="23" t="b">
        <f>if(countif(Status!C:C,A126)=1,TRUE, FALSE)</f>
        <v>1</v>
      </c>
      <c r="G126" s="23" t="str">
        <f t="shared" si="8"/>
        <v>COa</v>
      </c>
      <c r="H126" s="23" t="str">
        <f>IFERROR(__xludf.DUMMYFUNCTION("UPPER(filter(Legend!$D$2:$D$32,Legend!$B$2:$B$32=D126))"),"CO")</f>
        <v>CO</v>
      </c>
      <c r="I126" s="23" t="b">
        <f t="shared" si="3"/>
        <v>1</v>
      </c>
    </row>
    <row r="127">
      <c r="A127" s="23" t="str">
        <f t="shared" si="6"/>
        <v>COb1010</v>
      </c>
      <c r="B127" s="23" t="str">
        <f>'3.2.raw'!K127</f>
        <v>COb1010</v>
      </c>
      <c r="C127" s="24">
        <f>datevalue(left('3.2.raw'!M127,10))</f>
        <v>43725</v>
      </c>
      <c r="D127" s="23">
        <f>'3.2.raw'!H127</f>
        <v>15</v>
      </c>
      <c r="E127" s="1">
        <v>3.20000000000003</v>
      </c>
      <c r="F127" s="23" t="b">
        <f>if(countif(Status!C:C,A127)=1,TRUE, FALSE)</f>
        <v>1</v>
      </c>
      <c r="G127" s="23" t="str">
        <f t="shared" si="8"/>
        <v>COb</v>
      </c>
      <c r="H127" s="23" t="str">
        <f>IFERROR(__xludf.DUMMYFUNCTION("UPPER(filter(Legend!$D$2:$D$32,Legend!$B$2:$B$32=D127))"),"CO")</f>
        <v>CO</v>
      </c>
      <c r="I127" s="23" t="b">
        <f t="shared" si="3"/>
        <v>1</v>
      </c>
    </row>
    <row r="128">
      <c r="A128" s="23" t="str">
        <f t="shared" si="6"/>
        <v>COb1011</v>
      </c>
      <c r="B128" s="23" t="str">
        <f>'3.2.raw'!K128</f>
        <v>COb1011</v>
      </c>
      <c r="C128" s="24">
        <f>datevalue(left('3.2.raw'!M128,10))</f>
        <v>43725</v>
      </c>
      <c r="D128" s="23">
        <f>'3.2.raw'!H128</f>
        <v>15</v>
      </c>
      <c r="E128" s="1">
        <v>3.20000000000003</v>
      </c>
      <c r="F128" s="23" t="b">
        <f>if(countif(Status!C:C,A128)=1,TRUE, FALSE)</f>
        <v>1</v>
      </c>
      <c r="G128" s="23" t="str">
        <f t="shared" si="8"/>
        <v>COb</v>
      </c>
      <c r="H128" s="23" t="str">
        <f>IFERROR(__xludf.DUMMYFUNCTION("UPPER(filter(Legend!$D$2:$D$32,Legend!$B$2:$B$32=D128))"),"CO")</f>
        <v>CO</v>
      </c>
      <c r="I128" s="23" t="b">
        <f t="shared" si="3"/>
        <v>1</v>
      </c>
    </row>
    <row r="129">
      <c r="A129" s="23" t="str">
        <f t="shared" si="6"/>
        <v>COb1012</v>
      </c>
      <c r="B129" s="23" t="str">
        <f>'3.2.raw'!K129</f>
        <v>COb1012</v>
      </c>
      <c r="C129" s="24">
        <f>datevalue(left('3.2.raw'!M129,10))</f>
        <v>43725</v>
      </c>
      <c r="D129" s="23">
        <f>'3.2.raw'!H129</f>
        <v>15</v>
      </c>
      <c r="E129" s="1">
        <v>3.20000000000003</v>
      </c>
      <c r="F129" s="23" t="b">
        <f>if(countif(Status!C:C,A129)=1,TRUE, FALSE)</f>
        <v>1</v>
      </c>
      <c r="G129" s="23" t="str">
        <f t="shared" si="8"/>
        <v>COb</v>
      </c>
      <c r="H129" s="23" t="str">
        <f>IFERROR(__xludf.DUMMYFUNCTION("UPPER(filter(Legend!$D$2:$D$32,Legend!$B$2:$B$32=D129))"),"CO")</f>
        <v>CO</v>
      </c>
      <c r="I129" s="23" t="b">
        <f t="shared" si="3"/>
        <v>1</v>
      </c>
    </row>
    <row r="130">
      <c r="A130" s="23" t="str">
        <f t="shared" si="6"/>
        <v>PLc1027</v>
      </c>
      <c r="B130" s="23" t="str">
        <f>'3.2.raw'!K130</f>
        <v>PLc1027</v>
      </c>
      <c r="C130" s="24">
        <f>datevalue(left('3.2.raw'!M130,10))</f>
        <v>43732</v>
      </c>
      <c r="D130" s="23">
        <f>'3.2.raw'!H130</f>
        <v>11</v>
      </c>
      <c r="E130" s="1">
        <v>3.20000000000003</v>
      </c>
      <c r="F130" s="23" t="b">
        <f>if(countif(Status!C:C,A130)=1,TRUE, FALSE)</f>
        <v>1</v>
      </c>
      <c r="G130" s="23" t="str">
        <f t="shared" si="8"/>
        <v>PLc</v>
      </c>
      <c r="H130" s="23" t="str">
        <f>IFERROR(__xludf.DUMMYFUNCTION("UPPER(filter(Legend!$D$2:$D$32,Legend!$B$2:$B$32=D130))"),"PL")</f>
        <v>PL</v>
      </c>
      <c r="I130" s="23" t="b">
        <f t="shared" si="3"/>
        <v>1</v>
      </c>
    </row>
    <row r="131">
      <c r="A131" s="23" t="str">
        <f t="shared" si="6"/>
        <v>PLc1028</v>
      </c>
      <c r="B131" s="23" t="str">
        <f>'3.2.raw'!K131</f>
        <v>PLc1028</v>
      </c>
      <c r="C131" s="24">
        <f>datevalue(left('3.2.raw'!M131,10))</f>
        <v>43734</v>
      </c>
      <c r="D131" s="23">
        <f>'3.2.raw'!H131</f>
        <v>11</v>
      </c>
      <c r="E131" s="1">
        <v>3.20000000000003</v>
      </c>
      <c r="F131" s="23" t="b">
        <f>if(countif(Status!C:C,A131)=1,TRUE, FALSE)</f>
        <v>1</v>
      </c>
      <c r="G131" s="23" t="str">
        <f t="shared" si="8"/>
        <v>PLc</v>
      </c>
      <c r="H131" s="23" t="str">
        <f>IFERROR(__xludf.DUMMYFUNCTION("UPPER(filter(Legend!$D$2:$D$32,Legend!$B$2:$B$32=D131))"),"PL")</f>
        <v>PL</v>
      </c>
      <c r="I131" s="23" t="b">
        <f t="shared" si="3"/>
        <v>1</v>
      </c>
    </row>
    <row r="132">
      <c r="A132" s="23" t="str">
        <f t="shared" si="6"/>
        <v>PL1023</v>
      </c>
      <c r="B132" s="23" t="str">
        <f>'3.2.raw'!K132</f>
        <v>PL1023</v>
      </c>
      <c r="C132" s="24">
        <f>datevalue(left('3.2.raw'!M132,10))</f>
        <v>43734</v>
      </c>
      <c r="D132" s="23">
        <f>'3.2.raw'!H132</f>
        <v>11</v>
      </c>
      <c r="E132" s="1">
        <v>3.20000000000003</v>
      </c>
      <c r="F132" s="23" t="b">
        <f>if(countif(Status!C:C,A132)=1,TRUE, FALSE)</f>
        <v>1</v>
      </c>
      <c r="G132" s="23" t="str">
        <f t="shared" si="8"/>
        <v>PL</v>
      </c>
      <c r="H132" s="23" t="str">
        <f>IFERROR(__xludf.DUMMYFUNCTION("UPPER(filter(Legend!$D$2:$D$32,Legend!$B$2:$B$32=D132))"),"PL")</f>
        <v>PL</v>
      </c>
      <c r="I132" s="23" t="b">
        <f t="shared" si="3"/>
        <v>1</v>
      </c>
    </row>
    <row r="133">
      <c r="A133" s="23" t="str">
        <f t="shared" si="6"/>
        <v>PLc1029</v>
      </c>
      <c r="B133" s="23" t="str">
        <f>'3.2.raw'!K133</f>
        <v>PLc1029</v>
      </c>
      <c r="C133" s="24">
        <f>datevalue(left('3.2.raw'!M133,10))</f>
        <v>43741</v>
      </c>
      <c r="D133" s="23">
        <f>'3.2.raw'!H133</f>
        <v>11</v>
      </c>
      <c r="E133" s="1">
        <v>3.20000000000003</v>
      </c>
      <c r="F133" s="23" t="b">
        <f>if(countif(Status!C:C,A133)=1,TRUE, FALSE)</f>
        <v>1</v>
      </c>
      <c r="G133" s="23" t="str">
        <f t="shared" si="8"/>
        <v>PLc</v>
      </c>
      <c r="H133" s="23" t="str">
        <f>IFERROR(__xludf.DUMMYFUNCTION("UPPER(filter(Legend!$D$2:$D$32,Legend!$B$2:$B$32=D133))"),"PL")</f>
        <v>PL</v>
      </c>
      <c r="I133" s="23" t="b">
        <f t="shared" si="3"/>
        <v>1</v>
      </c>
    </row>
    <row r="134">
      <c r="A134" s="23" t="str">
        <f t="shared" si="6"/>
        <v>PLc1030</v>
      </c>
      <c r="B134" s="23" t="str">
        <f>'3.2.raw'!K134</f>
        <v>PLc1030</v>
      </c>
      <c r="C134" s="24">
        <f>datevalue(left('3.2.raw'!M134,10))</f>
        <v>43741</v>
      </c>
      <c r="D134" s="23">
        <f>'3.2.raw'!H134</f>
        <v>11</v>
      </c>
      <c r="E134" s="1">
        <v>3.20000000000003</v>
      </c>
      <c r="F134" s="23" t="b">
        <f>if(countif(Status!C:C,A134)=1,TRUE, FALSE)</f>
        <v>1</v>
      </c>
      <c r="G134" s="23" t="str">
        <f t="shared" si="8"/>
        <v>PLc</v>
      </c>
      <c r="H134" s="23" t="str">
        <f>IFERROR(__xludf.DUMMYFUNCTION("UPPER(filter(Legend!$D$2:$D$32,Legend!$B$2:$B$32=D134))"),"PL")</f>
        <v>PL</v>
      </c>
      <c r="I134" s="23" t="b">
        <f t="shared" si="3"/>
        <v>1</v>
      </c>
    </row>
    <row r="135">
      <c r="A135" s="23" t="str">
        <f t="shared" si="6"/>
        <v>PLc1031</v>
      </c>
      <c r="B135" s="23" t="str">
        <f>'3.2.raw'!K135</f>
        <v>PLc1031</v>
      </c>
      <c r="C135" s="24">
        <f>datevalue(left('3.2.raw'!M135,10))</f>
        <v>43741</v>
      </c>
      <c r="D135" s="23">
        <f>'3.2.raw'!H135</f>
        <v>11</v>
      </c>
      <c r="E135" s="1">
        <v>3.20000000000003</v>
      </c>
      <c r="F135" s="23" t="b">
        <f>if(countif(Status!C:C,A135)=1,TRUE, FALSE)</f>
        <v>1</v>
      </c>
      <c r="G135" s="23" t="str">
        <f t="shared" si="8"/>
        <v>PLc</v>
      </c>
      <c r="H135" s="23" t="str">
        <f>IFERROR(__xludf.DUMMYFUNCTION("UPPER(filter(Legend!$D$2:$D$32,Legend!$B$2:$B$32=D135))"),"PL")</f>
        <v>PL</v>
      </c>
      <c r="I135" s="23" t="b">
        <f t="shared" si="3"/>
        <v>1</v>
      </c>
    </row>
    <row r="136">
      <c r="A136" s="23" t="str">
        <f t="shared" si="6"/>
        <v>PLc1032</v>
      </c>
      <c r="B136" s="23" t="str">
        <f>'3.2.raw'!K136</f>
        <v>PLc1032</v>
      </c>
      <c r="C136" s="24">
        <f>datevalue(left('3.2.raw'!M136,10))</f>
        <v>43741</v>
      </c>
      <c r="D136" s="23">
        <f>'3.2.raw'!H136</f>
        <v>11</v>
      </c>
      <c r="E136" s="1">
        <v>3.20000000000003</v>
      </c>
      <c r="F136" s="23" t="b">
        <f>if(countif(Status!C:C,A136)=1,TRUE, FALSE)</f>
        <v>1</v>
      </c>
      <c r="G136" s="23" t="str">
        <f t="shared" si="8"/>
        <v>PLc</v>
      </c>
      <c r="H136" s="23" t="str">
        <f>IFERROR(__xludf.DUMMYFUNCTION("UPPER(filter(Legend!$D$2:$D$32,Legend!$B$2:$B$32=D136))"),"PL")</f>
        <v>PL</v>
      </c>
      <c r="I136" s="23" t="b">
        <f t="shared" si="3"/>
        <v>1</v>
      </c>
    </row>
    <row r="137">
      <c r="A137" s="23" t="str">
        <f t="shared" si="6"/>
        <v>PLc1033</v>
      </c>
      <c r="B137" s="23" t="str">
        <f>'3.2.raw'!K137</f>
        <v>PLc1033</v>
      </c>
      <c r="C137" s="24">
        <f>datevalue(left('3.2.raw'!M137,10))</f>
        <v>43741</v>
      </c>
      <c r="D137" s="23">
        <f>'3.2.raw'!H137</f>
        <v>11</v>
      </c>
      <c r="E137" s="1">
        <v>3.20000000000003</v>
      </c>
      <c r="F137" s="23" t="b">
        <f>if(countif(Status!C:C,A137)=1,TRUE, FALSE)</f>
        <v>1</v>
      </c>
      <c r="G137" s="23" t="str">
        <f t="shared" si="8"/>
        <v>PLc</v>
      </c>
      <c r="H137" s="23" t="str">
        <f>IFERROR(__xludf.DUMMYFUNCTION("UPPER(filter(Legend!$D$2:$D$32,Legend!$B$2:$B$32=D137))"),"PL")</f>
        <v>PL</v>
      </c>
      <c r="I137" s="23" t="b">
        <f t="shared" si="3"/>
        <v>1</v>
      </c>
    </row>
    <row r="138">
      <c r="A138" s="23" t="str">
        <f t="shared" si="6"/>
        <v>PLc1034</v>
      </c>
      <c r="B138" s="23" t="str">
        <f>'3.2.raw'!K138</f>
        <v>PLc1034</v>
      </c>
      <c r="C138" s="24">
        <f>datevalue(left('3.2.raw'!M138,10))</f>
        <v>43741</v>
      </c>
      <c r="D138" s="23">
        <f>'3.2.raw'!H138</f>
        <v>11</v>
      </c>
      <c r="E138" s="1">
        <v>3.20000000000003</v>
      </c>
      <c r="F138" s="23" t="b">
        <f>if(countif(Status!C:C,A138)=1,TRUE, FALSE)</f>
        <v>1</v>
      </c>
      <c r="G138" s="23" t="str">
        <f t="shared" si="8"/>
        <v>PLc</v>
      </c>
      <c r="H138" s="23" t="str">
        <f>IFERROR(__xludf.DUMMYFUNCTION("UPPER(filter(Legend!$D$2:$D$32,Legend!$B$2:$B$32=D138))"),"PL")</f>
        <v>PL</v>
      </c>
      <c r="I138" s="23" t="b">
        <f t="shared" si="3"/>
        <v>1</v>
      </c>
    </row>
    <row r="139">
      <c r="A139" s="23" t="str">
        <f t="shared" si="6"/>
        <v>PLc1035</v>
      </c>
      <c r="B139" s="23" t="str">
        <f>'3.2.raw'!K139</f>
        <v>PLc1035</v>
      </c>
      <c r="C139" s="24">
        <f>datevalue(left('3.2.raw'!M139,10))</f>
        <v>43753</v>
      </c>
      <c r="D139" s="23">
        <f>'3.2.raw'!H139</f>
        <v>11</v>
      </c>
      <c r="E139" s="1">
        <v>3.20000000000003</v>
      </c>
      <c r="F139" s="23" t="b">
        <f>if(countif(Status!C:C,A139)=1,TRUE, FALSE)</f>
        <v>1</v>
      </c>
      <c r="G139" s="23" t="str">
        <f t="shared" si="8"/>
        <v>PLc</v>
      </c>
      <c r="H139" s="23" t="str">
        <f>IFERROR(__xludf.DUMMYFUNCTION("UPPER(filter(Legend!$D$2:$D$32,Legend!$B$2:$B$32=D139))"),"PL")</f>
        <v>PL</v>
      </c>
      <c r="I139" s="23" t="b">
        <f t="shared" si="3"/>
        <v>1</v>
      </c>
    </row>
    <row r="140">
      <c r="A140" s="23" t="str">
        <f t="shared" si="6"/>
        <v>PLC1036</v>
      </c>
      <c r="B140" s="23" t="str">
        <f>'3.2.raw'!K140</f>
        <v>PLC1036</v>
      </c>
      <c r="C140" s="24">
        <f>datevalue(left('3.2.raw'!M140,10))</f>
        <v>43753</v>
      </c>
      <c r="D140" s="23">
        <f>'3.2.raw'!H140</f>
        <v>11</v>
      </c>
      <c r="E140" s="1">
        <v>3.20000000000003</v>
      </c>
      <c r="F140" s="23" t="b">
        <f>if(countif(Status!C:C,A140)=1,TRUE, FALSE)</f>
        <v>1</v>
      </c>
      <c r="G140" s="23" t="str">
        <f t="shared" si="8"/>
        <v>PLC</v>
      </c>
      <c r="H140" s="23" t="str">
        <f>IFERROR(__xludf.DUMMYFUNCTION("UPPER(filter(Legend!$D$2:$D$32,Legend!$B$2:$B$32=D140))"),"PL")</f>
        <v>PL</v>
      </c>
      <c r="I140" s="23" t="b">
        <f t="shared" si="3"/>
        <v>1</v>
      </c>
    </row>
    <row r="141">
      <c r="A141" s="23" t="str">
        <f t="shared" si="6"/>
        <v>PLc1037</v>
      </c>
      <c r="B141" s="23" t="str">
        <f>'3.2.raw'!K141</f>
        <v>PLc1037</v>
      </c>
      <c r="C141" s="24">
        <f>datevalue(left('3.2.raw'!M141,10))</f>
        <v>43755</v>
      </c>
      <c r="D141" s="23">
        <f>'3.2.raw'!H141</f>
        <v>11</v>
      </c>
      <c r="E141" s="1">
        <v>3.20000000000003</v>
      </c>
      <c r="F141" s="23" t="b">
        <f>if(countif(Status!C:C,A141)=1,TRUE, FALSE)</f>
        <v>1</v>
      </c>
      <c r="G141" s="23" t="str">
        <f t="shared" si="8"/>
        <v>PLc</v>
      </c>
      <c r="H141" s="23" t="str">
        <f>IFERROR(__xludf.DUMMYFUNCTION("UPPER(filter(Legend!$D$2:$D$32,Legend!$B$2:$B$32=D141))"),"PL")</f>
        <v>PL</v>
      </c>
      <c r="I141" s="23" t="b">
        <f t="shared" si="3"/>
        <v>1</v>
      </c>
    </row>
    <row r="142">
      <c r="A142" s="23" t="str">
        <f t="shared" si="6"/>
        <v>PLc1038</v>
      </c>
      <c r="B142" s="23" t="str">
        <f>'3.2.raw'!K142</f>
        <v>PLc1038</v>
      </c>
      <c r="C142" s="24">
        <f>datevalue(left('3.2.raw'!M142,10))</f>
        <v>43755</v>
      </c>
      <c r="D142" s="23">
        <f>'3.2.raw'!H142</f>
        <v>11</v>
      </c>
      <c r="E142" s="1">
        <v>3.20000000000003</v>
      </c>
      <c r="F142" s="23" t="b">
        <f>if(countif(Status!C:C,A142)=1,TRUE, FALSE)</f>
        <v>1</v>
      </c>
      <c r="G142" s="23" t="str">
        <f t="shared" si="8"/>
        <v>PLc</v>
      </c>
      <c r="H142" s="23" t="str">
        <f>IFERROR(__xludf.DUMMYFUNCTION("UPPER(filter(Legend!$D$2:$D$32,Legend!$B$2:$B$32=D142))"),"PL")</f>
        <v>PL</v>
      </c>
      <c r="I142" s="23" t="b">
        <f t="shared" si="3"/>
        <v>1</v>
      </c>
    </row>
    <row r="143">
      <c r="A143" s="23" t="str">
        <f t="shared" si="6"/>
        <v>PLc1039</v>
      </c>
      <c r="B143" s="23" t="str">
        <f>'3.2.raw'!K143</f>
        <v>PLc1039</v>
      </c>
      <c r="C143" s="24">
        <f>datevalue(left('3.2.raw'!M143,10))</f>
        <v>43760</v>
      </c>
      <c r="D143" s="23">
        <f>'3.2.raw'!H143</f>
        <v>11</v>
      </c>
      <c r="E143" s="1">
        <v>3.20000000000003</v>
      </c>
      <c r="F143" s="23" t="b">
        <f>if(countif(Status!C:C,A143)=1,TRUE, FALSE)</f>
        <v>1</v>
      </c>
      <c r="G143" s="23" t="str">
        <f t="shared" si="8"/>
        <v>PLc</v>
      </c>
      <c r="H143" s="23" t="str">
        <f>IFERROR(__xludf.DUMMYFUNCTION("UPPER(filter(Legend!$D$2:$D$32,Legend!$B$2:$B$32=D143))"),"PL")</f>
        <v>PL</v>
      </c>
      <c r="I143" s="23" t="b">
        <f t="shared" si="3"/>
        <v>1</v>
      </c>
    </row>
    <row r="144">
      <c r="A144" s="23" t="str">
        <f t="shared" si="6"/>
        <v>PLc1040</v>
      </c>
      <c r="B144" s="23" t="str">
        <f>'3.2.raw'!K144</f>
        <v>PLc1040</v>
      </c>
      <c r="C144" s="24">
        <f>datevalue(left('3.2.raw'!M144,10))</f>
        <v>43760</v>
      </c>
      <c r="D144" s="23">
        <f>'3.2.raw'!H144</f>
        <v>11</v>
      </c>
      <c r="E144" s="1">
        <v>3.20000000000003</v>
      </c>
      <c r="F144" s="23" t="b">
        <f>if(countif(Status!C:C,A144)=1,TRUE, FALSE)</f>
        <v>1</v>
      </c>
      <c r="G144" s="23" t="str">
        <f t="shared" si="8"/>
        <v>PLc</v>
      </c>
      <c r="H144" s="23" t="str">
        <f>IFERROR(__xludf.DUMMYFUNCTION("UPPER(filter(Legend!$D$2:$D$32,Legend!$B$2:$B$32=D144))"),"PL")</f>
        <v>PL</v>
      </c>
      <c r="I144" s="23" t="b">
        <f t="shared" si="3"/>
        <v>1</v>
      </c>
    </row>
    <row r="145">
      <c r="A145" s="23" t="str">
        <f t="shared" si="6"/>
        <v>PLc1041</v>
      </c>
      <c r="B145" s="23" t="str">
        <f>'3.2.raw'!K145</f>
        <v>PLc1041</v>
      </c>
      <c r="C145" s="24">
        <f>datevalue(left('3.2.raw'!M145,10))</f>
        <v>43760</v>
      </c>
      <c r="D145" s="23">
        <f>'3.2.raw'!H145</f>
        <v>11</v>
      </c>
      <c r="E145" s="1">
        <v>3.20000000000003</v>
      </c>
      <c r="F145" s="23" t="b">
        <f>if(countif(Status!C:C,A145)=1,TRUE, FALSE)</f>
        <v>1</v>
      </c>
      <c r="G145" s="23" t="str">
        <f t="shared" si="8"/>
        <v>PLc</v>
      </c>
      <c r="H145" s="23" t="str">
        <f>IFERROR(__xludf.DUMMYFUNCTION("UPPER(filter(Legend!$D$2:$D$32,Legend!$B$2:$B$32=D145))"),"PL")</f>
        <v>PL</v>
      </c>
      <c r="I145" s="23" t="b">
        <f t="shared" si="3"/>
        <v>1</v>
      </c>
    </row>
    <row r="146">
      <c r="A146" s="23" t="str">
        <f t="shared" si="6"/>
        <v>PLc1042</v>
      </c>
      <c r="B146" s="23" t="str">
        <f>'3.2.raw'!K146</f>
        <v>PLc1042</v>
      </c>
      <c r="C146" s="24">
        <f>datevalue(left('3.2.raw'!M146,10))</f>
        <v>43760</v>
      </c>
      <c r="D146" s="23">
        <f>'3.2.raw'!H146</f>
        <v>11</v>
      </c>
      <c r="E146" s="1">
        <v>3.20000000000003</v>
      </c>
      <c r="F146" s="23" t="b">
        <f>if(countif(Status!C:C,A146)=1,TRUE, FALSE)</f>
        <v>1</v>
      </c>
      <c r="G146" s="23" t="str">
        <f t="shared" si="8"/>
        <v>PLc</v>
      </c>
      <c r="H146" s="23" t="str">
        <f>IFERROR(__xludf.DUMMYFUNCTION("UPPER(filter(Legend!$D$2:$D$32,Legend!$B$2:$B$32=D146))"),"PL")</f>
        <v>PL</v>
      </c>
      <c r="I146" s="23" t="b">
        <f t="shared" si="3"/>
        <v>1</v>
      </c>
    </row>
    <row r="147">
      <c r="A147" s="23" t="str">
        <f t="shared" si="6"/>
        <v>PLc1043</v>
      </c>
      <c r="B147" s="23" t="str">
        <f>'3.2.raw'!K147</f>
        <v>PLc1043</v>
      </c>
      <c r="C147" s="24">
        <f>datevalue(left('3.2.raw'!M147,10))</f>
        <v>43760</v>
      </c>
      <c r="D147" s="23">
        <f>'3.2.raw'!H147</f>
        <v>11</v>
      </c>
      <c r="E147" s="1">
        <v>3.20000000000003</v>
      </c>
      <c r="F147" s="23" t="b">
        <f>if(countif(Status!C:C,A147)=1,TRUE, FALSE)</f>
        <v>1</v>
      </c>
      <c r="G147" s="23" t="str">
        <f t="shared" si="8"/>
        <v>PLc</v>
      </c>
      <c r="H147" s="23" t="str">
        <f>IFERROR(__xludf.DUMMYFUNCTION("UPPER(filter(Legend!$D$2:$D$32,Legend!$B$2:$B$32=D147))"),"PL")</f>
        <v>PL</v>
      </c>
      <c r="I147" s="23" t="b">
        <f t="shared" si="3"/>
        <v>1</v>
      </c>
    </row>
    <row r="148">
      <c r="A148" s="23" t="str">
        <f t="shared" si="6"/>
        <v>FPa1003</v>
      </c>
      <c r="B148" s="23" t="str">
        <f>'3.2.raw'!K148</f>
        <v>FPa1003</v>
      </c>
      <c r="C148" s="24">
        <f>datevalue(left('3.2.raw'!M148,10))</f>
        <v>43762</v>
      </c>
      <c r="D148" s="23">
        <f>'3.2.raw'!H148</f>
        <v>14</v>
      </c>
      <c r="E148" s="1">
        <v>3.20000000000003</v>
      </c>
      <c r="F148" s="23" t="b">
        <f>if(countif(Status!C:C,A148)=1,TRUE, FALSE)</f>
        <v>1</v>
      </c>
      <c r="G148" s="23" t="str">
        <f t="shared" si="8"/>
        <v>FPa</v>
      </c>
      <c r="H148" s="23" t="str">
        <f>IFERROR(__xludf.DUMMYFUNCTION("UPPER(filter(Legend!$D$2:$D$32,Legend!$B$2:$B$32=D148))"),"FP")</f>
        <v>FP</v>
      </c>
      <c r="I148" s="23" t="b">
        <f t="shared" si="3"/>
        <v>1</v>
      </c>
    </row>
    <row r="149">
      <c r="A149" s="23" t="str">
        <f t="shared" si="6"/>
        <v>FPc1003</v>
      </c>
      <c r="B149" s="23" t="str">
        <f>'3.2.raw'!K149</f>
        <v>FPc1003</v>
      </c>
      <c r="C149" s="24">
        <f>datevalue(left('3.2.raw'!M149,10))</f>
        <v>43793</v>
      </c>
      <c r="D149" s="23">
        <f>'3.2.raw'!H149</f>
        <v>14</v>
      </c>
      <c r="E149" s="1">
        <v>3.20000000000003</v>
      </c>
      <c r="F149" s="23" t="b">
        <f>if(countif(Status!C:C,A149)=1,TRUE, FALSE)</f>
        <v>1</v>
      </c>
      <c r="G149" s="23" t="str">
        <f t="shared" si="8"/>
        <v>FPc</v>
      </c>
      <c r="H149" s="23" t="str">
        <f>IFERROR(__xludf.DUMMYFUNCTION("UPPER(filter(Legend!$D$2:$D$32,Legend!$B$2:$B$32=D149))"),"FP")</f>
        <v>FP</v>
      </c>
      <c r="I149" s="23" t="b">
        <f t="shared" si="3"/>
        <v>1</v>
      </c>
    </row>
    <row r="150">
      <c r="A150" s="23" t="str">
        <f t="shared" si="6"/>
        <v>PLc1044</v>
      </c>
      <c r="B150" s="23" t="str">
        <f>'3.2.raw'!K150</f>
        <v>PLc1044</v>
      </c>
      <c r="C150" s="24">
        <f>datevalue(left('3.2.raw'!M150,10))</f>
        <v>43762</v>
      </c>
      <c r="D150" s="23">
        <f>'3.2.raw'!H150</f>
        <v>11</v>
      </c>
      <c r="E150" s="1">
        <v>3.20000000000003</v>
      </c>
      <c r="F150" s="23" t="b">
        <f>if(countif(Status!C:C,A150)=1,TRUE, FALSE)</f>
        <v>1</v>
      </c>
      <c r="G150" s="23" t="str">
        <f t="shared" si="8"/>
        <v>PLc</v>
      </c>
      <c r="H150" s="23" t="str">
        <f>IFERROR(__xludf.DUMMYFUNCTION("UPPER(filter(Legend!$D$2:$D$32,Legend!$B$2:$B$32=D150))"),"PL")</f>
        <v>PL</v>
      </c>
      <c r="I150" s="23" t="b">
        <f t="shared" si="3"/>
        <v>1</v>
      </c>
    </row>
    <row r="151">
      <c r="A151" s="23" t="str">
        <f t="shared" si="6"/>
        <v>FPd1003</v>
      </c>
      <c r="B151" s="23" t="str">
        <f>'3.2.raw'!K151</f>
        <v>FPd1003</v>
      </c>
      <c r="C151" s="24">
        <f>datevalue(left('3.2.raw'!M151,10))</f>
        <v>43762</v>
      </c>
      <c r="D151" s="23">
        <f>'3.2.raw'!H151</f>
        <v>14</v>
      </c>
      <c r="E151" s="1">
        <v>3.20000000000003</v>
      </c>
      <c r="F151" s="23" t="b">
        <f>if(countif(Status!C:C,A151)=1,TRUE, FALSE)</f>
        <v>1</v>
      </c>
      <c r="G151" s="23" t="str">
        <f t="shared" si="8"/>
        <v>FPd</v>
      </c>
      <c r="H151" s="23" t="str">
        <f>IFERROR(__xludf.DUMMYFUNCTION("UPPER(filter(Legend!$D$2:$D$32,Legend!$B$2:$B$32=D151))"),"FP")</f>
        <v>FP</v>
      </c>
      <c r="I151" s="23" t="b">
        <f t="shared" si="3"/>
        <v>1</v>
      </c>
    </row>
    <row r="152">
      <c r="A152" s="23" t="str">
        <f t="shared" si="6"/>
        <v>FPb1003</v>
      </c>
      <c r="B152" s="23" t="str">
        <f>'3.2.raw'!K152</f>
        <v>FPb1003</v>
      </c>
      <c r="C152" s="24">
        <f>datevalue(left('3.2.raw'!M152,10))</f>
        <v>43762</v>
      </c>
      <c r="D152" s="23">
        <f>'3.2.raw'!H152</f>
        <v>14</v>
      </c>
      <c r="E152" s="1">
        <v>3.20000000000003</v>
      </c>
      <c r="F152" s="23" t="b">
        <f>if(countif(Status!C:C,A152)=1,TRUE, FALSE)</f>
        <v>1</v>
      </c>
      <c r="G152" s="23" t="str">
        <f t="shared" si="8"/>
        <v>FPb</v>
      </c>
      <c r="H152" s="23" t="str">
        <f>IFERROR(__xludf.DUMMYFUNCTION("UPPER(filter(Legend!$D$2:$D$32,Legend!$B$2:$B$32=D152))"),"FP")</f>
        <v>FP</v>
      </c>
      <c r="I152" s="23" t="b">
        <f t="shared" si="3"/>
        <v>1</v>
      </c>
    </row>
    <row r="153">
      <c r="A153" s="23" t="str">
        <f t="shared" si="6"/>
        <v>FPe1003</v>
      </c>
      <c r="B153" s="23" t="str">
        <f>'3.2.raw'!K153</f>
        <v>FPe1003</v>
      </c>
      <c r="C153" s="24">
        <f>datevalue(left('3.2.raw'!M153,10))</f>
        <v>43762</v>
      </c>
      <c r="D153" s="23">
        <f>'3.2.raw'!H153</f>
        <v>14</v>
      </c>
      <c r="E153" s="1">
        <v>3.20000000000003</v>
      </c>
      <c r="F153" s="23" t="b">
        <f>if(countif(Status!C:C,A153)=1,TRUE, FALSE)</f>
        <v>1</v>
      </c>
      <c r="G153" s="23" t="str">
        <f t="shared" si="8"/>
        <v>FPe</v>
      </c>
      <c r="H153" s="23" t="str">
        <f>IFERROR(__xludf.DUMMYFUNCTION("UPPER(filter(Legend!$D$2:$D$32,Legend!$B$2:$B$32=D153))"),"FP")</f>
        <v>FP</v>
      </c>
      <c r="I153" s="23" t="b">
        <f t="shared" si="3"/>
        <v>1</v>
      </c>
    </row>
    <row r="154">
      <c r="A154" s="23" t="str">
        <f t="shared" si="6"/>
        <v>PLc1045</v>
      </c>
      <c r="B154" s="23" t="str">
        <f>'3.2.raw'!K154</f>
        <v>PLc1045</v>
      </c>
      <c r="C154" s="24">
        <f>datevalue(left('3.2.raw'!M154,10))</f>
        <v>43762</v>
      </c>
      <c r="D154" s="23">
        <f>'3.2.raw'!H154</f>
        <v>11</v>
      </c>
      <c r="E154" s="1">
        <v>3.20000000000004</v>
      </c>
      <c r="F154" s="23" t="b">
        <f>if(countif(Status!C:C,A154)=1,TRUE, FALSE)</f>
        <v>1</v>
      </c>
      <c r="G154" s="23" t="str">
        <f t="shared" si="8"/>
        <v>PLc</v>
      </c>
      <c r="H154" s="23" t="str">
        <f>IFERROR(__xludf.DUMMYFUNCTION("UPPER(filter(Legend!$D$2:$D$32,Legend!$B$2:$B$32=D154))"),"PL")</f>
        <v>PL</v>
      </c>
      <c r="I154" s="23" t="b">
        <f t="shared" si="3"/>
        <v>1</v>
      </c>
    </row>
    <row r="155">
      <c r="A155" s="23" t="str">
        <f t="shared" si="6"/>
        <v>PLc1046</v>
      </c>
      <c r="B155" s="23" t="str">
        <f>'3.2.raw'!K155</f>
        <v>PLc1046</v>
      </c>
      <c r="C155" s="24">
        <f>datevalue(left('3.2.raw'!M155,10))</f>
        <v>43762</v>
      </c>
      <c r="D155" s="23">
        <f>'3.2.raw'!H155</f>
        <v>11</v>
      </c>
      <c r="E155" s="1">
        <v>3.20000000000004</v>
      </c>
      <c r="F155" s="23" t="b">
        <f>if(countif(Status!C:C,A155)=1,TRUE, FALSE)</f>
        <v>1</v>
      </c>
      <c r="G155" s="23" t="str">
        <f t="shared" si="8"/>
        <v>PLc</v>
      </c>
      <c r="H155" s="23" t="str">
        <f>IFERROR(__xludf.DUMMYFUNCTION("UPPER(filter(Legend!$D$2:$D$32,Legend!$B$2:$B$32=D155))"),"PL")</f>
        <v>PL</v>
      </c>
      <c r="I155" s="23" t="b">
        <f t="shared" si="3"/>
        <v>1</v>
      </c>
    </row>
    <row r="156">
      <c r="A156" s="23" t="str">
        <f t="shared" si="6"/>
        <v>PLc1047</v>
      </c>
      <c r="B156" s="23" t="str">
        <f>'3.2.raw'!K156</f>
        <v>PLc1047</v>
      </c>
      <c r="C156" s="24">
        <f>datevalue(left('3.2.raw'!M156,10))</f>
        <v>43762</v>
      </c>
      <c r="D156" s="23">
        <f>'3.2.raw'!H156</f>
        <v>11</v>
      </c>
      <c r="E156" s="1">
        <v>3.20000000000004</v>
      </c>
      <c r="F156" s="23" t="b">
        <f>if(countif(Status!C:C,A156)=1,TRUE, FALSE)</f>
        <v>1</v>
      </c>
      <c r="G156" s="23" t="str">
        <f t="shared" si="8"/>
        <v>PLc</v>
      </c>
      <c r="H156" s="23" t="str">
        <f>IFERROR(__xludf.DUMMYFUNCTION("UPPER(filter(Legend!$D$2:$D$32,Legend!$B$2:$B$32=D156))"),"PL")</f>
        <v>PL</v>
      </c>
      <c r="I156" s="23" t="b">
        <f t="shared" si="3"/>
        <v>1</v>
      </c>
    </row>
    <row r="157">
      <c r="A157" s="23" t="str">
        <f t="shared" si="6"/>
        <v>PLc1048</v>
      </c>
      <c r="B157" s="23" t="str">
        <f>'3.2.raw'!K157</f>
        <v>PLc1048</v>
      </c>
      <c r="C157" s="24">
        <f>datevalue(left('3.2.raw'!M157,10))</f>
        <v>43762</v>
      </c>
      <c r="D157" s="23">
        <f>'3.2.raw'!H157</f>
        <v>11</v>
      </c>
      <c r="E157" s="1">
        <v>3.20000000000004</v>
      </c>
      <c r="F157" s="23" t="b">
        <f>if(countif(Status!C:C,A157)=1,TRUE, FALSE)</f>
        <v>1</v>
      </c>
      <c r="G157" s="23" t="str">
        <f t="shared" si="8"/>
        <v>PLc</v>
      </c>
      <c r="H157" s="23" t="str">
        <f>IFERROR(__xludf.DUMMYFUNCTION("UPPER(filter(Legend!$D$2:$D$32,Legend!$B$2:$B$32=D157))"),"PL")</f>
        <v>PL</v>
      </c>
      <c r="I157" s="23" t="b">
        <f t="shared" si="3"/>
        <v>1</v>
      </c>
    </row>
    <row r="158">
      <c r="A158" s="23" t="str">
        <f t="shared" si="6"/>
        <v>PLc1049</v>
      </c>
      <c r="B158" s="23" t="str">
        <f>'3.2.raw'!K158</f>
        <v>PLc1049</v>
      </c>
      <c r="C158" s="24">
        <f>datevalue(left('3.2.raw'!M158,10))</f>
        <v>43768</v>
      </c>
      <c r="D158" s="23">
        <f>'3.2.raw'!H158</f>
        <v>11</v>
      </c>
      <c r="E158" s="1">
        <v>3.20000000000004</v>
      </c>
      <c r="F158" s="23" t="b">
        <f>if(countif(Status!C:C,A158)=1,TRUE, FALSE)</f>
        <v>1</v>
      </c>
      <c r="G158" s="23" t="str">
        <f t="shared" si="8"/>
        <v>PLc</v>
      </c>
      <c r="H158" s="23" t="str">
        <f>IFERROR(__xludf.DUMMYFUNCTION("UPPER(filter(Legend!$D$2:$D$32,Legend!$B$2:$B$32=D158))"),"PL")</f>
        <v>PL</v>
      </c>
      <c r="I158" s="23" t="b">
        <f t="shared" si="3"/>
        <v>1</v>
      </c>
    </row>
    <row r="159">
      <c r="A159" s="23" t="str">
        <f t="shared" si="6"/>
        <v>PLc1050</v>
      </c>
      <c r="B159" s="23" t="str">
        <f>'3.2.raw'!K159</f>
        <v>PLc1050</v>
      </c>
      <c r="C159" s="24">
        <f>datevalue(left('3.2.raw'!M159,10))</f>
        <v>43768</v>
      </c>
      <c r="D159" s="23">
        <f>'3.2.raw'!H159</f>
        <v>11</v>
      </c>
      <c r="E159" s="1">
        <v>3.20000000000004</v>
      </c>
      <c r="F159" s="23" t="b">
        <f>if(countif(Status!C:C,A159)=1,TRUE, FALSE)</f>
        <v>1</v>
      </c>
      <c r="G159" s="23" t="str">
        <f t="shared" si="8"/>
        <v>PLc</v>
      </c>
      <c r="H159" s="23" t="str">
        <f>IFERROR(__xludf.DUMMYFUNCTION("UPPER(filter(Legend!$D$2:$D$32,Legend!$B$2:$B$32=D159))"),"PL")</f>
        <v>PL</v>
      </c>
      <c r="I159" s="23" t="b">
        <f t="shared" si="3"/>
        <v>1</v>
      </c>
    </row>
    <row r="160">
      <c r="A160" s="23" t="str">
        <f t="shared" si="6"/>
        <v>PLc1051</v>
      </c>
      <c r="B160" s="23" t="str">
        <f>'3.2.raw'!K160</f>
        <v>PLc1051</v>
      </c>
      <c r="C160" s="24">
        <f>datevalue(left('3.2.raw'!M160,10))</f>
        <v>43768</v>
      </c>
      <c r="D160" s="23">
        <f>'3.2.raw'!H160</f>
        <v>11</v>
      </c>
      <c r="E160" s="1">
        <v>3.20000000000004</v>
      </c>
      <c r="F160" s="23" t="b">
        <f>if(countif(Status!C:C,A160)=1,TRUE, FALSE)</f>
        <v>1</v>
      </c>
      <c r="G160" s="23" t="str">
        <f t="shared" si="8"/>
        <v>PLc</v>
      </c>
      <c r="H160" s="23" t="str">
        <f>IFERROR(__xludf.DUMMYFUNCTION("UPPER(filter(Legend!$D$2:$D$32,Legend!$B$2:$B$32=D160))"),"PL")</f>
        <v>PL</v>
      </c>
      <c r="I160" s="23" t="b">
        <f t="shared" si="3"/>
        <v>1</v>
      </c>
    </row>
    <row r="161">
      <c r="A161" s="23" t="str">
        <f t="shared" si="6"/>
        <v>PLc1052</v>
      </c>
      <c r="B161" s="23" t="str">
        <f>'3.2.raw'!K161</f>
        <v>PLc1052</v>
      </c>
      <c r="C161" s="24">
        <f>datevalue(left('3.2.raw'!M161,10))</f>
        <v>43768</v>
      </c>
      <c r="D161" s="23">
        <f>'3.2.raw'!H161</f>
        <v>11</v>
      </c>
      <c r="E161" s="1">
        <v>3.20000000000004</v>
      </c>
      <c r="F161" s="23" t="b">
        <f>if(countif(Status!C:C,A161)=1,TRUE, FALSE)</f>
        <v>1</v>
      </c>
      <c r="G161" s="23" t="str">
        <f t="shared" si="8"/>
        <v>PLc</v>
      </c>
      <c r="H161" s="23" t="str">
        <f>IFERROR(__xludf.DUMMYFUNCTION("UPPER(filter(Legend!$D$2:$D$32,Legend!$B$2:$B$32=D161))"),"PL")</f>
        <v>PL</v>
      </c>
      <c r="I161" s="23" t="b">
        <f t="shared" si="3"/>
        <v>1</v>
      </c>
    </row>
    <row r="162">
      <c r="A162" s="23" t="str">
        <f t="shared" si="6"/>
        <v>PLc1053</v>
      </c>
      <c r="B162" s="23" t="str">
        <f>'3.2.raw'!K162</f>
        <v>PLc1053</v>
      </c>
      <c r="C162" s="24">
        <f>datevalue(left('3.2.raw'!M162,10))</f>
        <v>43768</v>
      </c>
      <c r="D162" s="23">
        <f>'3.2.raw'!H162</f>
        <v>11</v>
      </c>
      <c r="E162" s="1">
        <v>3.20000000000004</v>
      </c>
      <c r="F162" s="23" t="b">
        <f>if(countif(Status!C:C,A162)=1,TRUE, FALSE)</f>
        <v>1</v>
      </c>
      <c r="G162" s="23" t="str">
        <f t="shared" si="8"/>
        <v>PLc</v>
      </c>
      <c r="H162" s="23" t="str">
        <f>IFERROR(__xludf.DUMMYFUNCTION("UPPER(filter(Legend!$D$2:$D$32,Legend!$B$2:$B$32=D162))"),"PL")</f>
        <v>PL</v>
      </c>
      <c r="I162" s="23" t="b">
        <f t="shared" si="3"/>
        <v>1</v>
      </c>
    </row>
    <row r="163">
      <c r="A163" s="23" t="str">
        <f t="shared" si="6"/>
        <v>PLc1054</v>
      </c>
      <c r="B163" s="23" t="str">
        <f>'3.2.raw'!K163</f>
        <v>PLc1054</v>
      </c>
      <c r="C163" s="24">
        <f>datevalue(left('3.2.raw'!M163,10))</f>
        <v>43769</v>
      </c>
      <c r="D163" s="23">
        <f>'3.2.raw'!H163</f>
        <v>11</v>
      </c>
      <c r="E163" s="1">
        <v>3.20000000000004</v>
      </c>
      <c r="F163" s="23" t="b">
        <f>if(countif(Status!C:C,A163)=1,TRUE, FALSE)</f>
        <v>1</v>
      </c>
      <c r="G163" s="23" t="str">
        <f t="shared" si="8"/>
        <v>PLc</v>
      </c>
      <c r="H163" s="23" t="str">
        <f>IFERROR(__xludf.DUMMYFUNCTION("UPPER(filter(Legend!$D$2:$D$32,Legend!$B$2:$B$32=D163))"),"PL")</f>
        <v>PL</v>
      </c>
      <c r="I163" s="23" t="b">
        <f t="shared" si="3"/>
        <v>1</v>
      </c>
    </row>
    <row r="164">
      <c r="A164" s="23" t="str">
        <f t="shared" si="6"/>
        <v>PLc1055</v>
      </c>
      <c r="B164" s="23" t="str">
        <f>'3.2.raw'!K164</f>
        <v>PLc1055</v>
      </c>
      <c r="C164" s="24">
        <f>datevalue(left('3.2.raw'!M164,10))</f>
        <v>43769</v>
      </c>
      <c r="D164" s="23">
        <f>'3.2.raw'!H164</f>
        <v>11</v>
      </c>
      <c r="E164" s="1">
        <v>3.20000000000004</v>
      </c>
      <c r="F164" s="23" t="b">
        <f>if(countif(Status!C:C,A164)=1,TRUE, FALSE)</f>
        <v>1</v>
      </c>
      <c r="G164" s="23" t="str">
        <f t="shared" si="8"/>
        <v>PLc</v>
      </c>
      <c r="H164" s="23" t="str">
        <f>IFERROR(__xludf.DUMMYFUNCTION("UPPER(filter(Legend!$D$2:$D$32,Legend!$B$2:$B$32=D164))"),"PL")</f>
        <v>PL</v>
      </c>
      <c r="I164" s="23" t="b">
        <f t="shared" si="3"/>
        <v>1</v>
      </c>
    </row>
    <row r="165">
      <c r="A165" s="23" t="str">
        <f t="shared" si="6"/>
        <v>PLc1056</v>
      </c>
      <c r="B165" s="23" t="str">
        <f>'3.2.raw'!K165</f>
        <v>PLc1056</v>
      </c>
      <c r="C165" s="24">
        <f>datevalue(left('3.2.raw'!M165,10))</f>
        <v>43769</v>
      </c>
      <c r="D165" s="23">
        <f>'3.2.raw'!H165</f>
        <v>11</v>
      </c>
      <c r="E165" s="1">
        <v>3.20000000000004</v>
      </c>
      <c r="F165" s="23" t="b">
        <f>if(countif(Status!C:C,A165)=1,TRUE, FALSE)</f>
        <v>1</v>
      </c>
      <c r="G165" s="23" t="str">
        <f t="shared" si="8"/>
        <v>PLc</v>
      </c>
      <c r="H165" s="23" t="str">
        <f>IFERROR(__xludf.DUMMYFUNCTION("UPPER(filter(Legend!$D$2:$D$32,Legend!$B$2:$B$32=D165))"),"PL")</f>
        <v>PL</v>
      </c>
      <c r="I165" s="23" t="b">
        <f t="shared" si="3"/>
        <v>1</v>
      </c>
    </row>
    <row r="166">
      <c r="A166" s="23" t="str">
        <f t="shared" si="6"/>
        <v>PLc1057</v>
      </c>
      <c r="B166" s="23" t="str">
        <f>'3.2.raw'!K166</f>
        <v>PLc1057</v>
      </c>
      <c r="C166" s="24">
        <f>datevalue(left('3.2.raw'!M166,10))</f>
        <v>43769</v>
      </c>
      <c r="D166" s="23">
        <f>'3.2.raw'!H166</f>
        <v>11</v>
      </c>
      <c r="E166" s="1">
        <v>3.20000000000004</v>
      </c>
      <c r="F166" s="23" t="b">
        <f>if(countif(Status!C:C,A166)=1,TRUE, FALSE)</f>
        <v>1</v>
      </c>
      <c r="G166" s="23" t="str">
        <f t="shared" si="8"/>
        <v>PLc</v>
      </c>
      <c r="H166" s="23" t="str">
        <f>IFERROR(__xludf.DUMMYFUNCTION("UPPER(filter(Legend!$D$2:$D$32,Legend!$B$2:$B$32=D166))"),"PL")</f>
        <v>PL</v>
      </c>
      <c r="I166" s="23" t="b">
        <f t="shared" si="3"/>
        <v>1</v>
      </c>
    </row>
    <row r="167">
      <c r="A167" s="23" t="str">
        <f t="shared" si="6"/>
        <v>PLc1058</v>
      </c>
      <c r="B167" s="23" t="str">
        <f>'3.2.raw'!K167</f>
        <v>PLc1058</v>
      </c>
      <c r="C167" s="24">
        <f>datevalue(left('3.2.raw'!M167,10))</f>
        <v>43769</v>
      </c>
      <c r="D167" s="23">
        <f>'3.2.raw'!H167</f>
        <v>11</v>
      </c>
      <c r="E167" s="1">
        <v>3.20000000000004</v>
      </c>
      <c r="F167" s="23" t="b">
        <f>if(countif(Status!C:C,A167)=1,TRUE, FALSE)</f>
        <v>1</v>
      </c>
      <c r="G167" s="23" t="str">
        <f t="shared" si="8"/>
        <v>PLc</v>
      </c>
      <c r="H167" s="23" t="str">
        <f>IFERROR(__xludf.DUMMYFUNCTION("UPPER(filter(Legend!$D$2:$D$32,Legend!$B$2:$B$32=D167))"),"PL")</f>
        <v>PL</v>
      </c>
      <c r="I167" s="23" t="b">
        <f t="shared" si="3"/>
        <v>1</v>
      </c>
    </row>
    <row r="168">
      <c r="A168" s="23" t="str">
        <f t="shared" si="6"/>
        <v>PLc1059</v>
      </c>
      <c r="B168" s="23" t="str">
        <f>'3.2.raw'!K168</f>
        <v>PLc1059</v>
      </c>
      <c r="C168" s="24">
        <f>datevalue(left('3.2.raw'!M168,10))</f>
        <v>43770</v>
      </c>
      <c r="D168" s="23">
        <f>'3.2.raw'!H168</f>
        <v>11</v>
      </c>
      <c r="E168" s="1">
        <v>3.20000000000004</v>
      </c>
      <c r="F168" s="23" t="b">
        <f>if(countif(Status!C:C,A168)=1,TRUE, FALSE)</f>
        <v>1</v>
      </c>
      <c r="G168" s="23" t="str">
        <f t="shared" si="8"/>
        <v>PLc</v>
      </c>
      <c r="H168" s="23" t="str">
        <f>IFERROR(__xludf.DUMMYFUNCTION("UPPER(filter(Legend!$D$2:$D$32,Legend!$B$2:$B$32=D168))"),"PL")</f>
        <v>PL</v>
      </c>
      <c r="I168" s="23" t="b">
        <f t="shared" si="3"/>
        <v>1</v>
      </c>
    </row>
    <row r="169">
      <c r="A169" s="23" t="str">
        <f t="shared" si="6"/>
        <v>PLc1060</v>
      </c>
      <c r="B169" s="23" t="str">
        <f>'3.2.raw'!K169</f>
        <v>PLc1060</v>
      </c>
      <c r="C169" s="24">
        <f>datevalue(left('3.2.raw'!M169,10))</f>
        <v>43770</v>
      </c>
      <c r="D169" s="23">
        <f>'3.2.raw'!H169</f>
        <v>11</v>
      </c>
      <c r="E169" s="1">
        <v>3.20000000000004</v>
      </c>
      <c r="F169" s="23" t="b">
        <f>if(countif(Status!C:C,A169)=1,TRUE, FALSE)</f>
        <v>1</v>
      </c>
      <c r="G169" s="23" t="str">
        <f t="shared" si="8"/>
        <v>PLc</v>
      </c>
      <c r="H169" s="23" t="str">
        <f>IFERROR(__xludf.DUMMYFUNCTION("UPPER(filter(Legend!$D$2:$D$32,Legend!$B$2:$B$32=D169))"),"PL")</f>
        <v>PL</v>
      </c>
      <c r="I169" s="23" t="b">
        <f t="shared" si="3"/>
        <v>1</v>
      </c>
    </row>
    <row r="170">
      <c r="A170" s="23" t="str">
        <f t="shared" si="6"/>
        <v>PLc1061</v>
      </c>
      <c r="B170" s="23" t="str">
        <f>'3.2.raw'!K170</f>
        <v>PLc1061</v>
      </c>
      <c r="C170" s="24">
        <f>datevalue(left('3.2.raw'!M170,10))</f>
        <v>43774</v>
      </c>
      <c r="D170" s="23">
        <f>'3.2.raw'!H170</f>
        <v>11</v>
      </c>
      <c r="E170" s="1">
        <v>3.20000000000004</v>
      </c>
      <c r="F170" s="23" t="b">
        <f>if(countif(Status!C:C,A170)=1,TRUE, FALSE)</f>
        <v>1</v>
      </c>
      <c r="G170" s="23" t="str">
        <f t="shared" si="8"/>
        <v>PLc</v>
      </c>
      <c r="H170" s="23" t="str">
        <f>IFERROR(__xludf.DUMMYFUNCTION("UPPER(filter(Legend!$D$2:$D$32,Legend!$B$2:$B$32=D170))"),"PL")</f>
        <v>PL</v>
      </c>
      <c r="I170" s="23" t="b">
        <f t="shared" si="3"/>
        <v>1</v>
      </c>
    </row>
    <row r="171">
      <c r="A171" s="23" t="str">
        <f t="shared" si="6"/>
        <v>FB1084</v>
      </c>
      <c r="B171" s="23" t="str">
        <f>'3.2.raw'!K171</f>
        <v>FB1084</v>
      </c>
      <c r="C171" s="24">
        <f>datevalue(left('3.2.raw'!M171,10))</f>
        <v>43762</v>
      </c>
      <c r="D171" s="23">
        <f>'3.2.raw'!H171</f>
        <v>99</v>
      </c>
      <c r="E171" s="1">
        <v>3.20000000000004</v>
      </c>
      <c r="F171" s="23" t="b">
        <f>if(countif(Status!C:C,A171)=1,TRUE, FALSE)</f>
        <v>1</v>
      </c>
      <c r="G171" s="23" t="str">
        <f t="shared" si="8"/>
        <v>FB</v>
      </c>
      <c r="H171" s="23" t="str">
        <f>IFERROR(__xludf.DUMMYFUNCTION("UPPER(filter(Legend!$D$2:$D$32,Legend!$B$2:$B$32=D171))"),"FB")</f>
        <v>FB</v>
      </c>
      <c r="I171" s="23" t="b">
        <f t="shared" si="3"/>
        <v>1</v>
      </c>
    </row>
    <row r="172">
      <c r="A172" s="23" t="str">
        <f t="shared" si="6"/>
        <v>FB1085</v>
      </c>
      <c r="B172" s="23" t="str">
        <f>'3.2.raw'!K172</f>
        <v>FB1085</v>
      </c>
      <c r="C172" s="24">
        <f>datevalue(left('3.2.raw'!M172,10))</f>
        <v>43762</v>
      </c>
      <c r="D172" s="23">
        <f>'3.2.raw'!H172</f>
        <v>99</v>
      </c>
      <c r="E172" s="1">
        <v>3.20000000000004</v>
      </c>
      <c r="F172" s="23" t="b">
        <f>if(countif(Status!C:C,A172)=1,TRUE, FALSE)</f>
        <v>1</v>
      </c>
      <c r="G172" s="23" t="str">
        <f t="shared" si="8"/>
        <v>FB</v>
      </c>
      <c r="H172" s="23" t="str">
        <f>IFERROR(__xludf.DUMMYFUNCTION("UPPER(filter(Legend!$D$2:$D$32,Legend!$B$2:$B$32=D172))"),"FB")</f>
        <v>FB</v>
      </c>
      <c r="I172" s="23" t="b">
        <f t="shared" si="3"/>
        <v>1</v>
      </c>
    </row>
    <row r="173">
      <c r="A173" s="23" t="str">
        <f t="shared" si="6"/>
        <v>FB1086</v>
      </c>
      <c r="B173" s="23" t="str">
        <f>'3.2.raw'!K173</f>
        <v>FB1086</v>
      </c>
      <c r="C173" s="24">
        <f>datevalue(left('3.2.raw'!M173,10))</f>
        <v>43762</v>
      </c>
      <c r="D173" s="23">
        <f>'3.2.raw'!H173</f>
        <v>99</v>
      </c>
      <c r="E173" s="1">
        <v>3.20000000000004</v>
      </c>
      <c r="F173" s="23" t="b">
        <f>if(countif(Status!C:C,A173)=1,TRUE, FALSE)</f>
        <v>1</v>
      </c>
      <c r="G173" s="23" t="str">
        <f t="shared" si="8"/>
        <v>FB</v>
      </c>
      <c r="H173" s="23" t="str">
        <f>IFERROR(__xludf.DUMMYFUNCTION("UPPER(filter(Legend!$D$2:$D$32,Legend!$B$2:$B$32=D173))"),"FB")</f>
        <v>FB</v>
      </c>
      <c r="I173" s="23" t="b">
        <f t="shared" si="3"/>
        <v>1</v>
      </c>
    </row>
    <row r="174">
      <c r="A174" s="23" t="str">
        <f t="shared" si="6"/>
        <v>FB1087</v>
      </c>
      <c r="B174" s="23" t="str">
        <f>'3.2.raw'!K174</f>
        <v>FB1087</v>
      </c>
      <c r="C174" s="24">
        <f>datevalue(left('3.2.raw'!M174,10))</f>
        <v>43762</v>
      </c>
      <c r="D174" s="23">
        <f>'3.2.raw'!H174</f>
        <v>99</v>
      </c>
      <c r="E174" s="1">
        <v>3.20000000000004</v>
      </c>
      <c r="F174" s="23" t="b">
        <f>if(countif(Status!C:C,A174)=1,TRUE, FALSE)</f>
        <v>1</v>
      </c>
      <c r="G174" s="23" t="str">
        <f t="shared" si="8"/>
        <v>FB</v>
      </c>
      <c r="H174" s="23" t="str">
        <f>IFERROR(__xludf.DUMMYFUNCTION("UPPER(filter(Legend!$D$2:$D$32,Legend!$B$2:$B$32=D174))"),"FB")</f>
        <v>FB</v>
      </c>
      <c r="I174" s="23" t="b">
        <f t="shared" si="3"/>
        <v>1</v>
      </c>
    </row>
    <row r="175">
      <c r="A175" s="23" t="str">
        <f t="shared" si="6"/>
        <v>FB1088</v>
      </c>
      <c r="B175" s="23" t="str">
        <f>'3.2.raw'!K175</f>
        <v>FB1088</v>
      </c>
      <c r="C175" s="24">
        <f>datevalue(left('3.2.raw'!M175,10))</f>
        <v>43762</v>
      </c>
      <c r="D175" s="23">
        <f>'3.2.raw'!H175</f>
        <v>99</v>
      </c>
      <c r="E175" s="1">
        <v>3.20000000000004</v>
      </c>
      <c r="F175" s="23" t="b">
        <f>if(countif(Status!C:C,A175)=1,TRUE, FALSE)</f>
        <v>1</v>
      </c>
      <c r="G175" s="23" t="str">
        <f t="shared" si="8"/>
        <v>FB</v>
      </c>
      <c r="H175" s="23" t="str">
        <f>IFERROR(__xludf.DUMMYFUNCTION("UPPER(filter(Legend!$D$2:$D$32,Legend!$B$2:$B$32=D175))"),"FB")</f>
        <v>FB</v>
      </c>
      <c r="I175" s="23" t="b">
        <f t="shared" si="3"/>
        <v>1</v>
      </c>
    </row>
    <row r="176">
      <c r="A176" s="23" t="str">
        <f t="shared" si="6"/>
        <v>FB1089</v>
      </c>
      <c r="B176" s="23" t="str">
        <f>'3.2.raw'!K176</f>
        <v>FB1089</v>
      </c>
      <c r="C176" s="24">
        <f>datevalue(left('3.2.raw'!M176,10))</f>
        <v>43762</v>
      </c>
      <c r="D176" s="23">
        <f>'3.2.raw'!H176</f>
        <v>99</v>
      </c>
      <c r="E176" s="1">
        <v>3.20000000000004</v>
      </c>
      <c r="F176" s="23" t="b">
        <f>if(countif(Status!C:C,A176)=1,TRUE, FALSE)</f>
        <v>1</v>
      </c>
      <c r="G176" s="23" t="str">
        <f t="shared" si="8"/>
        <v>FB</v>
      </c>
      <c r="H176" s="23" t="str">
        <f>IFERROR(__xludf.DUMMYFUNCTION("UPPER(filter(Legend!$D$2:$D$32,Legend!$B$2:$B$32=D176))"),"FB")</f>
        <v>FB</v>
      </c>
      <c r="I176" s="23" t="b">
        <f t="shared" si="3"/>
        <v>1</v>
      </c>
    </row>
    <row r="177">
      <c r="A177" s="23" t="str">
        <f t="shared" si="6"/>
        <v>FB1090</v>
      </c>
      <c r="B177" s="23" t="str">
        <f>'3.2.raw'!K177</f>
        <v>FB1090</v>
      </c>
      <c r="C177" s="24">
        <f>datevalue(left('3.2.raw'!M177,10))</f>
        <v>43762</v>
      </c>
      <c r="D177" s="23">
        <f>'3.2.raw'!H177</f>
        <v>99</v>
      </c>
      <c r="E177" s="1">
        <v>3.20000000000004</v>
      </c>
      <c r="F177" s="23" t="b">
        <f>if(countif(Status!C:C,A177)=1,TRUE, FALSE)</f>
        <v>1</v>
      </c>
      <c r="G177" s="23" t="str">
        <f t="shared" si="8"/>
        <v>FB</v>
      </c>
      <c r="H177" s="23" t="str">
        <f>IFERROR(__xludf.DUMMYFUNCTION("UPPER(filter(Legend!$D$2:$D$32,Legend!$B$2:$B$32=D177))"),"FB")</f>
        <v>FB</v>
      </c>
      <c r="I177" s="23" t="b">
        <f t="shared" si="3"/>
        <v>1</v>
      </c>
    </row>
    <row r="178">
      <c r="A178" s="23" t="str">
        <f t="shared" si="6"/>
        <v>FB1091</v>
      </c>
      <c r="B178" s="23" t="str">
        <f>'3.2.raw'!K178</f>
        <v>FB1091</v>
      </c>
      <c r="C178" s="24">
        <f>datevalue(left('3.2.raw'!M178,10))</f>
        <v>43762</v>
      </c>
      <c r="D178" s="23">
        <f>'3.2.raw'!H178</f>
        <v>99</v>
      </c>
      <c r="E178" s="1">
        <v>3.20000000000004</v>
      </c>
      <c r="F178" s="23" t="b">
        <f>if(countif(Status!C:C,A178)=1,TRUE, FALSE)</f>
        <v>1</v>
      </c>
      <c r="G178" s="23" t="str">
        <f t="shared" si="8"/>
        <v>FB</v>
      </c>
      <c r="H178" s="23" t="str">
        <f>IFERROR(__xludf.DUMMYFUNCTION("UPPER(filter(Legend!$D$2:$D$32,Legend!$B$2:$B$32=D178))"),"FB")</f>
        <v>FB</v>
      </c>
      <c r="I178" s="23" t="b">
        <f t="shared" si="3"/>
        <v>1</v>
      </c>
    </row>
    <row r="179">
      <c r="A179" s="23" t="str">
        <f t="shared" si="6"/>
        <v>FB1092</v>
      </c>
      <c r="B179" s="23" t="str">
        <f>'3.2.raw'!K179</f>
        <v>FB1092</v>
      </c>
      <c r="C179" s="24">
        <f>datevalue(left('3.2.raw'!M179,10))</f>
        <v>43768</v>
      </c>
      <c r="D179" s="23">
        <f>'3.2.raw'!H179</f>
        <v>99</v>
      </c>
      <c r="E179" s="1">
        <v>3.20000000000004</v>
      </c>
      <c r="F179" s="23" t="b">
        <f>if(countif(Status!C:C,A179)=1,TRUE, FALSE)</f>
        <v>1</v>
      </c>
      <c r="G179" s="23" t="str">
        <f t="shared" si="8"/>
        <v>FB</v>
      </c>
      <c r="H179" s="23" t="str">
        <f>IFERROR(__xludf.DUMMYFUNCTION("UPPER(filter(Legend!$D$2:$D$32,Legend!$B$2:$B$32=D179))"),"FB")</f>
        <v>FB</v>
      </c>
      <c r="I179" s="23" t="b">
        <f t="shared" si="3"/>
        <v>1</v>
      </c>
    </row>
    <row r="180">
      <c r="A180" s="23" t="str">
        <f t="shared" si="6"/>
        <v>FB1093</v>
      </c>
      <c r="B180" s="23" t="str">
        <f>'3.2.raw'!K180</f>
        <v>FB1093</v>
      </c>
      <c r="C180" s="24">
        <f>datevalue(left('3.2.raw'!M180,10))</f>
        <v>43768</v>
      </c>
      <c r="D180" s="23">
        <f>'3.2.raw'!H180</f>
        <v>99</v>
      </c>
      <c r="E180" s="1">
        <v>3.20000000000004</v>
      </c>
      <c r="F180" s="23" t="b">
        <f>if(countif(Status!C:C,A180)=1,TRUE, FALSE)</f>
        <v>1</v>
      </c>
      <c r="G180" s="23" t="str">
        <f t="shared" si="8"/>
        <v>FB</v>
      </c>
      <c r="H180" s="23" t="str">
        <f>IFERROR(__xludf.DUMMYFUNCTION("UPPER(filter(Legend!$D$2:$D$32,Legend!$B$2:$B$32=D180))"),"FB")</f>
        <v>FB</v>
      </c>
      <c r="I180" s="23" t="b">
        <f t="shared" si="3"/>
        <v>1</v>
      </c>
    </row>
    <row r="181">
      <c r="A181" s="23" t="str">
        <f t="shared" si="6"/>
        <v>FB1094</v>
      </c>
      <c r="B181" s="23" t="str">
        <f>'3.2.raw'!K181</f>
        <v>FB1094</v>
      </c>
      <c r="C181" s="24">
        <f>datevalue(left('3.2.raw'!M181,10))</f>
        <v>43768</v>
      </c>
      <c r="D181" s="23">
        <f>'3.2.raw'!H181</f>
        <v>99</v>
      </c>
      <c r="E181" s="1">
        <v>3.20000000000004</v>
      </c>
      <c r="F181" s="23" t="b">
        <f>if(countif(Status!C:C,A181)=1,TRUE, FALSE)</f>
        <v>1</v>
      </c>
      <c r="G181" s="23" t="str">
        <f t="shared" si="8"/>
        <v>FB</v>
      </c>
      <c r="H181" s="23" t="str">
        <f>IFERROR(__xludf.DUMMYFUNCTION("UPPER(filter(Legend!$D$2:$D$32,Legend!$B$2:$B$32=D181))"),"FB")</f>
        <v>FB</v>
      </c>
      <c r="I181" s="23" t="b">
        <f t="shared" si="3"/>
        <v>1</v>
      </c>
    </row>
    <row r="182">
      <c r="A182" s="23" t="str">
        <f t="shared" si="6"/>
        <v>FB1095</v>
      </c>
      <c r="B182" s="23" t="str">
        <f>'3.2.raw'!K182</f>
        <v>FB1095</v>
      </c>
      <c r="C182" s="24">
        <f>datevalue(left('3.2.raw'!M182,10))</f>
        <v>43768</v>
      </c>
      <c r="D182" s="23">
        <f>'3.2.raw'!H182</f>
        <v>99</v>
      </c>
      <c r="E182" s="1">
        <v>3.20000000000005</v>
      </c>
      <c r="F182" s="23" t="b">
        <f>if(countif(Status!C:C,A182)=1,TRUE, FALSE)</f>
        <v>1</v>
      </c>
      <c r="G182" s="23" t="str">
        <f t="shared" si="8"/>
        <v>FB</v>
      </c>
      <c r="H182" s="23" t="str">
        <f>IFERROR(__xludf.DUMMYFUNCTION("UPPER(filter(Legend!$D$2:$D$32,Legend!$B$2:$B$32=D182))"),"FB")</f>
        <v>FB</v>
      </c>
      <c r="I182" s="23" t="b">
        <f t="shared" si="3"/>
        <v>1</v>
      </c>
    </row>
    <row r="183">
      <c r="A183" s="23" t="str">
        <f t="shared" si="6"/>
        <v>FB1096</v>
      </c>
      <c r="B183" s="23" t="str">
        <f>'3.2.raw'!K183</f>
        <v>FB1096</v>
      </c>
      <c r="C183" s="24">
        <f>datevalue(left('3.2.raw'!M183,10))</f>
        <v>43768</v>
      </c>
      <c r="D183" s="23">
        <f>'3.2.raw'!H183</f>
        <v>99</v>
      </c>
      <c r="E183" s="1">
        <v>3.20000000000005</v>
      </c>
      <c r="F183" s="23" t="b">
        <f>if(countif(Status!C:C,A183)=1,TRUE, FALSE)</f>
        <v>1</v>
      </c>
      <c r="G183" s="23" t="str">
        <f t="shared" si="8"/>
        <v>FB</v>
      </c>
      <c r="H183" s="23" t="str">
        <f>IFERROR(__xludf.DUMMYFUNCTION("UPPER(filter(Legend!$D$2:$D$32,Legend!$B$2:$B$32=D183))"),"FB")</f>
        <v>FB</v>
      </c>
      <c r="I183" s="23" t="b">
        <f t="shared" si="3"/>
        <v>1</v>
      </c>
    </row>
    <row r="184">
      <c r="A184" s="23" t="str">
        <f t="shared" si="6"/>
        <v>FB1097</v>
      </c>
      <c r="B184" s="23" t="str">
        <f>'3.2.raw'!K184</f>
        <v>FB1097</v>
      </c>
      <c r="C184" s="24">
        <f>datevalue(left('3.2.raw'!M184,10))</f>
        <v>43768</v>
      </c>
      <c r="D184" s="23">
        <f>'3.2.raw'!H184</f>
        <v>99</v>
      </c>
      <c r="E184" s="1">
        <v>3.20000000000005</v>
      </c>
      <c r="F184" s="23" t="b">
        <f>if(countif(Status!C:C,A184)=1,TRUE, FALSE)</f>
        <v>1</v>
      </c>
      <c r="G184" s="23" t="str">
        <f t="shared" si="8"/>
        <v>FB</v>
      </c>
      <c r="H184" s="23" t="str">
        <f>IFERROR(__xludf.DUMMYFUNCTION("UPPER(filter(Legend!$D$2:$D$32,Legend!$B$2:$B$32=D184))"),"FB")</f>
        <v>FB</v>
      </c>
      <c r="I184" s="23" t="b">
        <f t="shared" si="3"/>
        <v>1</v>
      </c>
    </row>
    <row r="185">
      <c r="A185" s="23" t="str">
        <f t="shared" si="6"/>
        <v>FB1098</v>
      </c>
      <c r="B185" s="23" t="str">
        <f>'3.2.raw'!K185</f>
        <v>FB1098</v>
      </c>
      <c r="C185" s="24">
        <f>datevalue(left('3.2.raw'!M185,10))</f>
        <v>43768</v>
      </c>
      <c r="D185" s="23">
        <f>'3.2.raw'!H185</f>
        <v>99</v>
      </c>
      <c r="E185" s="1">
        <v>3.20000000000005</v>
      </c>
      <c r="F185" s="23" t="b">
        <f>if(countif(Status!C:C,A185)=1,TRUE, FALSE)</f>
        <v>1</v>
      </c>
      <c r="G185" s="23" t="str">
        <f t="shared" si="8"/>
        <v>FB</v>
      </c>
      <c r="H185" s="23" t="str">
        <f>IFERROR(__xludf.DUMMYFUNCTION("UPPER(filter(Legend!$D$2:$D$32,Legend!$B$2:$B$32=D185))"),"FB")</f>
        <v>FB</v>
      </c>
      <c r="I185" s="23" t="b">
        <f t="shared" si="3"/>
        <v>1</v>
      </c>
    </row>
    <row r="186">
      <c r="A186" s="23" t="str">
        <f t="shared" si="6"/>
        <v>FB1099</v>
      </c>
      <c r="B186" s="23" t="str">
        <f>'3.2.raw'!K186</f>
        <v>FB1099</v>
      </c>
      <c r="C186" s="24">
        <f>datevalue(left('3.2.raw'!M186,10))</f>
        <v>43769</v>
      </c>
      <c r="D186" s="23">
        <f>'3.2.raw'!H186</f>
        <v>99</v>
      </c>
      <c r="E186" s="1">
        <v>3.20000000000005</v>
      </c>
      <c r="F186" s="23" t="b">
        <f>if(countif(Status!C:C,A186)=1,TRUE, FALSE)</f>
        <v>1</v>
      </c>
      <c r="G186" s="23" t="str">
        <f t="shared" si="8"/>
        <v>FB</v>
      </c>
      <c r="H186" s="23" t="str">
        <f>IFERROR(__xludf.DUMMYFUNCTION("UPPER(filter(Legend!$D$2:$D$32,Legend!$B$2:$B$32=D186))"),"FB")</f>
        <v>FB</v>
      </c>
      <c r="I186" s="23" t="b">
        <f t="shared" si="3"/>
        <v>1</v>
      </c>
    </row>
    <row r="187">
      <c r="A187" s="23" t="str">
        <f t="shared" si="6"/>
        <v>FB1100</v>
      </c>
      <c r="B187" s="23" t="str">
        <f>'3.2.raw'!K187</f>
        <v>FB1100</v>
      </c>
      <c r="C187" s="24">
        <f>datevalue(left('3.2.raw'!M187,10))</f>
        <v>43769</v>
      </c>
      <c r="D187" s="23">
        <f>'3.2.raw'!H187</f>
        <v>99</v>
      </c>
      <c r="E187" s="1">
        <v>3.20000000000005</v>
      </c>
      <c r="F187" s="23" t="b">
        <f>if(countif(Status!C:C,A187)=1,TRUE, FALSE)</f>
        <v>1</v>
      </c>
      <c r="G187" s="23" t="str">
        <f t="shared" si="8"/>
        <v>FB</v>
      </c>
      <c r="H187" s="23" t="str">
        <f>IFERROR(__xludf.DUMMYFUNCTION("UPPER(filter(Legend!$D$2:$D$32,Legend!$B$2:$B$32=D187))"),"FB")</f>
        <v>FB</v>
      </c>
      <c r="I187" s="23" t="b">
        <f t="shared" si="3"/>
        <v>1</v>
      </c>
    </row>
    <row r="188">
      <c r="A188" s="23" t="str">
        <f t="shared" si="6"/>
        <v>FB1101</v>
      </c>
      <c r="B188" s="23" t="str">
        <f>'3.2.raw'!K188</f>
        <v>FB1101</v>
      </c>
      <c r="C188" s="24">
        <f>datevalue(left('3.2.raw'!M188,10))</f>
        <v>43769</v>
      </c>
      <c r="D188" s="23">
        <f>'3.2.raw'!H188</f>
        <v>99</v>
      </c>
      <c r="E188" s="1">
        <v>3.20000000000005</v>
      </c>
      <c r="F188" s="23" t="b">
        <f>if(countif(Status!C:C,A188)=1,TRUE, FALSE)</f>
        <v>1</v>
      </c>
      <c r="G188" s="23" t="str">
        <f t="shared" si="8"/>
        <v>FB</v>
      </c>
      <c r="H188" s="23" t="str">
        <f>IFERROR(__xludf.DUMMYFUNCTION("UPPER(filter(Legend!$D$2:$D$32,Legend!$B$2:$B$32=D188))"),"FB")</f>
        <v>FB</v>
      </c>
      <c r="I188" s="23" t="b">
        <f t="shared" si="3"/>
        <v>1</v>
      </c>
    </row>
    <row r="189">
      <c r="A189" s="23" t="str">
        <f t="shared" si="6"/>
        <v>FB1102</v>
      </c>
      <c r="B189" s="23" t="str">
        <f>'3.2.raw'!K189</f>
        <v>FB1102</v>
      </c>
      <c r="C189" s="24">
        <f>datevalue(left('3.2.raw'!M189,10))</f>
        <v>43769</v>
      </c>
      <c r="D189" s="23">
        <f>'3.2.raw'!H189</f>
        <v>99</v>
      </c>
      <c r="E189" s="1">
        <v>3.20000000000005</v>
      </c>
      <c r="F189" s="23" t="b">
        <f>if(countif(Status!C:C,A189)=1,TRUE, FALSE)</f>
        <v>1</v>
      </c>
      <c r="G189" s="23" t="str">
        <f t="shared" si="8"/>
        <v>FB</v>
      </c>
      <c r="H189" s="23" t="str">
        <f>IFERROR(__xludf.DUMMYFUNCTION("UPPER(filter(Legend!$D$2:$D$32,Legend!$B$2:$B$32=D189))"),"FB")</f>
        <v>FB</v>
      </c>
      <c r="I189" s="23" t="b">
        <f t="shared" si="3"/>
        <v>1</v>
      </c>
    </row>
    <row r="190">
      <c r="A190" s="23" t="str">
        <f t="shared" si="6"/>
        <v>FB1103</v>
      </c>
      <c r="B190" s="23" t="str">
        <f>'3.2.raw'!K190</f>
        <v>FB1103</v>
      </c>
      <c r="C190" s="24">
        <f>datevalue(left('3.2.raw'!M190,10))</f>
        <v>43769</v>
      </c>
      <c r="D190" s="23">
        <f>'3.2.raw'!H190</f>
        <v>99</v>
      </c>
      <c r="E190" s="1">
        <v>3.20000000000005</v>
      </c>
      <c r="F190" s="23" t="b">
        <f>if(countif(Status!C:C,A190)=1,TRUE, FALSE)</f>
        <v>1</v>
      </c>
      <c r="G190" s="23" t="str">
        <f t="shared" si="8"/>
        <v>FB</v>
      </c>
      <c r="H190" s="23" t="str">
        <f>IFERROR(__xludf.DUMMYFUNCTION("UPPER(filter(Legend!$D$2:$D$32,Legend!$B$2:$B$32=D190))"),"FB")</f>
        <v>FB</v>
      </c>
      <c r="I190" s="23" t="b">
        <f t="shared" si="3"/>
        <v>1</v>
      </c>
    </row>
    <row r="191">
      <c r="A191" s="23" t="str">
        <f t="shared" si="6"/>
        <v>FB1105</v>
      </c>
      <c r="B191" s="23" t="str">
        <f>'3.2.raw'!K191</f>
        <v>FB1105</v>
      </c>
      <c r="C191" s="24">
        <f>datevalue(left('3.2.raw'!M191,10))</f>
        <v>43769</v>
      </c>
      <c r="D191" s="23">
        <f>'3.2.raw'!H191</f>
        <v>99</v>
      </c>
      <c r="E191" s="1">
        <v>3.20000000000005</v>
      </c>
      <c r="F191" s="23" t="b">
        <f>if(countif(Status!C:C,A191)=1,TRUE, FALSE)</f>
        <v>1</v>
      </c>
      <c r="G191" s="23" t="str">
        <f t="shared" si="8"/>
        <v>FB</v>
      </c>
      <c r="H191" s="23" t="str">
        <f>IFERROR(__xludf.DUMMYFUNCTION("UPPER(filter(Legend!$D$2:$D$32,Legend!$B$2:$B$32=D191))"),"FB")</f>
        <v>FB</v>
      </c>
      <c r="I191" s="23" t="b">
        <f t="shared" si="3"/>
        <v>1</v>
      </c>
    </row>
    <row r="192">
      <c r="A192" s="23" t="str">
        <f t="shared" si="6"/>
        <v>FB1104</v>
      </c>
      <c r="B192" s="23" t="str">
        <f>'3.2.raw'!K192</f>
        <v>FB1104</v>
      </c>
      <c r="C192" s="24">
        <f>datevalue(left('3.2.raw'!M192,10))</f>
        <v>43769</v>
      </c>
      <c r="D192" s="23">
        <f>'3.2.raw'!H192</f>
        <v>99</v>
      </c>
      <c r="E192" s="1">
        <v>3.20000000000005</v>
      </c>
      <c r="F192" s="23" t="b">
        <f>if(countif(Status!C:C,A192)=1,TRUE, FALSE)</f>
        <v>1</v>
      </c>
      <c r="G192" s="23" t="str">
        <f t="shared" si="8"/>
        <v>FB</v>
      </c>
      <c r="H192" s="23" t="str">
        <f>IFERROR(__xludf.DUMMYFUNCTION("UPPER(filter(Legend!$D$2:$D$32,Legend!$B$2:$B$32=D192))"),"FB")</f>
        <v>FB</v>
      </c>
      <c r="I192" s="23" t="b">
        <f t="shared" si="3"/>
        <v>1</v>
      </c>
    </row>
    <row r="193">
      <c r="A193" s="23" t="str">
        <f t="shared" si="6"/>
        <v>COa1005</v>
      </c>
      <c r="B193" s="23" t="str">
        <f>'3.2.raw'!K193</f>
        <v>COa1005</v>
      </c>
      <c r="C193" s="24">
        <f>datevalue(left('3.2.raw'!M193,10))</f>
        <v>43770</v>
      </c>
      <c r="D193" s="23">
        <f>'3.2.raw'!H193</f>
        <v>15</v>
      </c>
      <c r="E193" s="1">
        <v>3.20000000000005</v>
      </c>
      <c r="F193" s="23" t="b">
        <f>if(countif(Status!C:C,A193)=1,TRUE, FALSE)</f>
        <v>1</v>
      </c>
      <c r="G193" s="23" t="str">
        <f t="shared" si="8"/>
        <v>COa</v>
      </c>
      <c r="H193" s="23" t="str">
        <f>IFERROR(__xludf.DUMMYFUNCTION("UPPER(filter(Legend!$D$2:$D$32,Legend!$B$2:$B$32=D193))"),"CO")</f>
        <v>CO</v>
      </c>
      <c r="I193" s="23" t="b">
        <f t="shared" si="3"/>
        <v>1</v>
      </c>
    </row>
    <row r="194">
      <c r="A194" s="23" t="str">
        <f t="shared" si="6"/>
        <v>COb1014</v>
      </c>
      <c r="B194" s="23" t="str">
        <f>'3.2.raw'!K194</f>
        <v>COb1014</v>
      </c>
      <c r="C194" s="24">
        <f>datevalue(left('3.2.raw'!M194,10))</f>
        <v>43770</v>
      </c>
      <c r="D194" s="23">
        <f>'3.2.raw'!H194</f>
        <v>15</v>
      </c>
      <c r="E194" s="1">
        <v>3.20000000000005</v>
      </c>
      <c r="F194" s="23" t="b">
        <f>if(countif(Status!C:C,A194)=1,TRUE, FALSE)</f>
        <v>1</v>
      </c>
      <c r="G194" s="23" t="str">
        <f t="shared" si="8"/>
        <v>COb</v>
      </c>
      <c r="H194" s="23" t="str">
        <f>IFERROR(__xludf.DUMMYFUNCTION("UPPER(filter(Legend!$D$2:$D$32,Legend!$B$2:$B$32=D194))"),"CO")</f>
        <v>CO</v>
      </c>
      <c r="I194" s="23" t="b">
        <f t="shared" si="3"/>
        <v>1</v>
      </c>
    </row>
    <row r="195">
      <c r="A195" s="23" t="str">
        <f t="shared" si="6"/>
        <v>COb1015</v>
      </c>
      <c r="B195" s="23" t="str">
        <f>'3.2.raw'!K195</f>
        <v>COb1015</v>
      </c>
      <c r="C195" s="24">
        <f>datevalue(left('3.2.raw'!M195,10))</f>
        <v>43770</v>
      </c>
      <c r="D195" s="23">
        <f>'3.2.raw'!H195</f>
        <v>15</v>
      </c>
      <c r="E195" s="1">
        <v>3.20000000000005</v>
      </c>
      <c r="F195" s="23" t="b">
        <f>if(countif(Status!C:C,A195)=1,TRUE, FALSE)</f>
        <v>1</v>
      </c>
      <c r="G195" s="23" t="str">
        <f t="shared" si="8"/>
        <v>COb</v>
      </c>
      <c r="H195" s="23" t="str">
        <f>IFERROR(__xludf.DUMMYFUNCTION("UPPER(filter(Legend!$D$2:$D$32,Legend!$B$2:$B$32=D195))"),"CO")</f>
        <v>CO</v>
      </c>
      <c r="I195" s="23" t="b">
        <f t="shared" si="3"/>
        <v>1</v>
      </c>
    </row>
    <row r="196">
      <c r="A196" s="23" t="str">
        <f t="shared" si="6"/>
        <v>COb1016</v>
      </c>
      <c r="B196" s="23" t="str">
        <f>'3.2.raw'!K196</f>
        <v>COb1016</v>
      </c>
      <c r="C196" s="24">
        <f>datevalue(left('3.2.raw'!M196,10))</f>
        <v>43770</v>
      </c>
      <c r="D196" s="23">
        <f>'3.2.raw'!H196</f>
        <v>15</v>
      </c>
      <c r="E196" s="1">
        <v>3.20000000000005</v>
      </c>
      <c r="F196" s="23" t="b">
        <f>if(countif(Status!C:C,A196)=1,TRUE, FALSE)</f>
        <v>1</v>
      </c>
      <c r="G196" s="23" t="str">
        <f t="shared" si="8"/>
        <v>COb</v>
      </c>
      <c r="H196" s="23" t="str">
        <f>IFERROR(__xludf.DUMMYFUNCTION("UPPER(filter(Legend!$D$2:$D$32,Legend!$B$2:$B$32=D196))"),"CO")</f>
        <v>CO</v>
      </c>
      <c r="I196" s="23" t="b">
        <f t="shared" si="3"/>
        <v>1</v>
      </c>
    </row>
    <row r="197">
      <c r="A197" s="23" t="str">
        <f t="shared" si="6"/>
        <v>FB1108</v>
      </c>
      <c r="B197" s="23" t="str">
        <f>'3.2.raw'!K197</f>
        <v>FB1108</v>
      </c>
      <c r="C197" s="24">
        <f>datevalue(left('3.2.raw'!M197,10))</f>
        <v>43770</v>
      </c>
      <c r="D197" s="23">
        <f>'3.2.raw'!H197</f>
        <v>99</v>
      </c>
      <c r="E197" s="1">
        <v>3.20000000000005</v>
      </c>
      <c r="F197" s="23" t="b">
        <f>if(countif(Status!C:C,A197)=1,TRUE, FALSE)</f>
        <v>1</v>
      </c>
      <c r="G197" s="23" t="str">
        <f t="shared" si="8"/>
        <v>FB</v>
      </c>
      <c r="H197" s="23" t="str">
        <f>IFERROR(__xludf.DUMMYFUNCTION("UPPER(filter(Legend!$D$2:$D$32,Legend!$B$2:$B$32=D197))"),"FB")</f>
        <v>FB</v>
      </c>
      <c r="I197" s="23" t="b">
        <f t="shared" si="3"/>
        <v>1</v>
      </c>
    </row>
    <row r="198">
      <c r="A198" s="23" t="str">
        <f t="shared" si="6"/>
        <v>FB1106</v>
      </c>
      <c r="B198" s="23" t="str">
        <f>'3.2.raw'!K198</f>
        <v>FB1106</v>
      </c>
      <c r="C198" s="24">
        <f>datevalue(left('3.2.raw'!M198,10))</f>
        <v>43770</v>
      </c>
      <c r="D198" s="23">
        <f>'3.2.raw'!H198</f>
        <v>99</v>
      </c>
      <c r="E198" s="1">
        <v>3.20000000000005</v>
      </c>
      <c r="F198" s="23" t="b">
        <f>if(countif(Status!C:C,A198)=1,TRUE, FALSE)</f>
        <v>1</v>
      </c>
      <c r="G198" s="23" t="str">
        <f t="shared" si="8"/>
        <v>FB</v>
      </c>
      <c r="H198" s="23" t="str">
        <f>IFERROR(__xludf.DUMMYFUNCTION("UPPER(filter(Legend!$D$2:$D$32,Legend!$B$2:$B$32=D198))"),"FB")</f>
        <v>FB</v>
      </c>
      <c r="I198" s="23" t="b">
        <f t="shared" si="3"/>
        <v>1</v>
      </c>
    </row>
    <row r="199">
      <c r="A199" s="23" t="str">
        <f t="shared" si="6"/>
        <v>FB1107</v>
      </c>
      <c r="B199" s="23" t="str">
        <f>'3.2.raw'!K199</f>
        <v>FB1107</v>
      </c>
      <c r="C199" s="24">
        <f>datevalue(left('3.2.raw'!M199,10))</f>
        <v>43770</v>
      </c>
      <c r="D199" s="23">
        <f>'3.2.raw'!H199</f>
        <v>99</v>
      </c>
      <c r="E199" s="1">
        <v>3.20000000000005</v>
      </c>
      <c r="F199" s="23" t="b">
        <f>if(countif(Status!C:C,A199)=1,TRUE, FALSE)</f>
        <v>1</v>
      </c>
      <c r="G199" s="23" t="str">
        <f t="shared" si="8"/>
        <v>FB</v>
      </c>
      <c r="H199" s="23" t="str">
        <f>IFERROR(__xludf.DUMMYFUNCTION("UPPER(filter(Legend!$D$2:$D$32,Legend!$B$2:$B$32=D199))"),"FB")</f>
        <v>FB</v>
      </c>
      <c r="I199" s="23" t="b">
        <f t="shared" si="3"/>
        <v>1</v>
      </c>
    </row>
    <row r="200">
      <c r="A200" s="23" t="str">
        <f t="shared" si="6"/>
        <v>SL1001</v>
      </c>
      <c r="B200" s="23" t="str">
        <f>'3.2.raw'!K200</f>
        <v>SL1001</v>
      </c>
      <c r="C200" s="24">
        <f>datevalue(left('3.2.raw'!M200,10))</f>
        <v>43762</v>
      </c>
      <c r="D200" s="23">
        <f>'3.2.raw'!H200</f>
        <v>97</v>
      </c>
      <c r="E200" s="1">
        <v>3.20000000000005</v>
      </c>
      <c r="F200" s="23" t="b">
        <f>if(countif(Status!C:C,A200)=1,TRUE, FALSE)</f>
        <v>1</v>
      </c>
      <c r="G200" s="23" t="str">
        <f t="shared" si="8"/>
        <v>SL</v>
      </c>
      <c r="H200" s="23" t="str">
        <f>IFERROR(__xludf.DUMMYFUNCTION("UPPER(filter(Legend!$D$2:$D$32,Legend!$B$2:$B$32=D200))"),"")</f>
        <v/>
      </c>
      <c r="I200" s="23" t="b">
        <f t="shared" si="3"/>
        <v>0</v>
      </c>
    </row>
    <row r="201">
      <c r="A201" s="23" t="str">
        <f t="shared" si="6"/>
        <v>B124-21</v>
      </c>
      <c r="B201" s="23" t="str">
        <f>'3.2.raw'!K201</f>
        <v>B124-21</v>
      </c>
      <c r="C201" s="24">
        <f>datevalue(left('3.2.raw'!M201,10))</f>
        <v>43762</v>
      </c>
      <c r="D201" s="23">
        <f>'3.2.raw'!H201</f>
        <v>97</v>
      </c>
      <c r="E201" s="1">
        <v>3.20000000000005</v>
      </c>
      <c r="F201" s="23" t="b">
        <f>if(countif(Status!C:C,A201)=1,TRUE, FALSE)</f>
        <v>0</v>
      </c>
      <c r="G201" s="23" t="str">
        <f t="shared" si="8"/>
        <v>B12</v>
      </c>
      <c r="H201" s="23" t="str">
        <f>IFERROR(__xludf.DUMMYFUNCTION("UPPER(filter(Legend!$D$2:$D$32,Legend!$B$2:$B$32=D201))"),"")</f>
        <v/>
      </c>
      <c r="I201" s="23" t="b">
        <f t="shared" si="3"/>
        <v>0</v>
      </c>
    </row>
    <row r="202">
      <c r="A202" s="23" t="str">
        <f t="shared" si="6"/>
        <v>SL1001</v>
      </c>
      <c r="B202" s="23" t="str">
        <f>'3.2.raw'!K202</f>
        <v>SL1001</v>
      </c>
      <c r="C202" s="24">
        <f>datevalue(left('3.2.raw'!M202,10))</f>
        <v>43768</v>
      </c>
      <c r="D202" s="23">
        <f>'3.2.raw'!H202</f>
        <v>97</v>
      </c>
      <c r="E202" s="1">
        <v>3.20000000000005</v>
      </c>
      <c r="F202" s="23" t="b">
        <f>if(countif(Status!C:C,A202)=1,TRUE, FALSE)</f>
        <v>1</v>
      </c>
      <c r="G202" s="23" t="str">
        <f t="shared" si="8"/>
        <v>SL</v>
      </c>
      <c r="H202" s="23" t="str">
        <f>IFERROR(__xludf.DUMMYFUNCTION("UPPER(filter(Legend!$D$2:$D$32,Legend!$B$2:$B$32=D202))"),"")</f>
        <v/>
      </c>
      <c r="I202" s="23" t="b">
        <f t="shared" si="3"/>
        <v>0</v>
      </c>
    </row>
    <row r="203">
      <c r="A203" s="23" t="str">
        <f t="shared" si="6"/>
        <v>SL1001</v>
      </c>
      <c r="B203" s="23" t="str">
        <f>'3.2.raw'!K203</f>
        <v>SL1001</v>
      </c>
      <c r="C203" s="24">
        <f>datevalue(left('3.2.raw'!M203,10))</f>
        <v>43770</v>
      </c>
      <c r="D203" s="23">
        <f>'3.2.raw'!H203</f>
        <v>97</v>
      </c>
      <c r="E203" s="1">
        <v>3.20000000000005</v>
      </c>
      <c r="F203" s="23" t="b">
        <f>if(countif(Status!C:C,A203)=1,TRUE, FALSE)</f>
        <v>1</v>
      </c>
      <c r="G203" s="23" t="str">
        <f t="shared" si="8"/>
        <v>SL</v>
      </c>
      <c r="H203" s="23" t="str">
        <f>IFERROR(__xludf.DUMMYFUNCTION("UPPER(filter(Legend!$D$2:$D$32,Legend!$B$2:$B$32=D203))"),"")</f>
        <v/>
      </c>
      <c r="I203" s="23" t="b">
        <f t="shared" si="3"/>
        <v>0</v>
      </c>
    </row>
    <row r="204">
      <c r="A204" s="23" t="str">
        <f t="shared" si="6"/>
        <v>B124-21</v>
      </c>
      <c r="B204" s="23" t="str">
        <f>'3.2.raw'!K204</f>
        <v>B124-21</v>
      </c>
      <c r="C204" s="24">
        <f>datevalue(left('3.2.raw'!M204,10))</f>
        <v>43770</v>
      </c>
      <c r="D204" s="23">
        <f>'3.2.raw'!H204</f>
        <v>97</v>
      </c>
      <c r="E204" s="1">
        <v>3.20000000000005</v>
      </c>
      <c r="F204" s="23" t="b">
        <f>if(countif(Status!C:C,A204)=1,TRUE, FALSE)</f>
        <v>0</v>
      </c>
      <c r="G204" s="23" t="str">
        <f t="shared" si="8"/>
        <v>B12</v>
      </c>
      <c r="H204" s="23" t="str">
        <f>IFERROR(__xludf.DUMMYFUNCTION("UPPER(filter(Legend!$D$2:$D$32,Legend!$B$2:$B$32=D204))"),"")</f>
        <v/>
      </c>
      <c r="I204" s="23" t="b">
        <f t="shared" si="3"/>
        <v>0</v>
      </c>
    </row>
    <row r="205">
      <c r="A205" s="23" t="str">
        <f t="shared" si="6"/>
        <v>FB1109</v>
      </c>
      <c r="B205" s="23" t="str">
        <f>'3.2.raw'!K205</f>
        <v>FB1109</v>
      </c>
      <c r="C205" s="24">
        <f>datevalue(left('3.2.raw'!M205,10))</f>
        <v>43774</v>
      </c>
      <c r="D205" s="23">
        <f>'3.2.raw'!H205</f>
        <v>99</v>
      </c>
      <c r="E205" s="1">
        <v>3.20000000000005</v>
      </c>
      <c r="F205" s="23" t="b">
        <f>if(countif(Status!C:C,A205)=1,TRUE, FALSE)</f>
        <v>1</v>
      </c>
      <c r="G205" s="23" t="str">
        <f t="shared" si="8"/>
        <v>FB</v>
      </c>
      <c r="H205" s="23" t="str">
        <f>IFERROR(__xludf.DUMMYFUNCTION("UPPER(filter(Legend!$D$2:$D$32,Legend!$B$2:$B$32=D205))"),"FB")</f>
        <v>FB</v>
      </c>
      <c r="I205" s="23" t="b">
        <f t="shared" si="3"/>
        <v>1</v>
      </c>
    </row>
    <row r="206">
      <c r="A206" s="23" t="str">
        <f t="shared" si="6"/>
        <v>PLc1062</v>
      </c>
      <c r="B206" s="23" t="str">
        <f>'3.2.raw'!K206</f>
        <v>PLc1062</v>
      </c>
      <c r="C206" s="24">
        <f>datevalue(left('3.2.raw'!M206,10))</f>
        <v>43774</v>
      </c>
      <c r="D206" s="23">
        <f>'3.2.raw'!H206</f>
        <v>11</v>
      </c>
      <c r="E206" s="1">
        <v>3.20000000000005</v>
      </c>
      <c r="F206" s="23" t="b">
        <f>if(countif(Status!C:C,A206)=1,TRUE, FALSE)</f>
        <v>1</v>
      </c>
      <c r="G206" s="23" t="str">
        <f t="shared" si="8"/>
        <v>PLc</v>
      </c>
      <c r="H206" s="23" t="str">
        <f>IFERROR(__xludf.DUMMYFUNCTION("UPPER(filter(Legend!$D$2:$D$32,Legend!$B$2:$B$32=D206))"),"PL")</f>
        <v>PL</v>
      </c>
      <c r="I206" s="23" t="b">
        <f t="shared" si="3"/>
        <v>1</v>
      </c>
    </row>
    <row r="207">
      <c r="A207" s="23" t="str">
        <f t="shared" si="6"/>
        <v>FB1110</v>
      </c>
      <c r="B207" s="23" t="str">
        <f>'3.2.raw'!K207</f>
        <v>FB1110</v>
      </c>
      <c r="C207" s="24">
        <f>datevalue(left('3.2.raw'!M207,10))</f>
        <v>43774</v>
      </c>
      <c r="D207" s="23">
        <f>'3.2.raw'!H207</f>
        <v>99</v>
      </c>
      <c r="E207" s="1">
        <v>3.20000000000005</v>
      </c>
      <c r="F207" s="23" t="b">
        <f>if(countif(Status!C:C,A207)=1,TRUE, FALSE)</f>
        <v>1</v>
      </c>
      <c r="G207" s="23" t="str">
        <f t="shared" si="8"/>
        <v>FB</v>
      </c>
      <c r="H207" s="23" t="str">
        <f>IFERROR(__xludf.DUMMYFUNCTION("UPPER(filter(Legend!$D$2:$D$32,Legend!$B$2:$B$32=D207))"),"FB")</f>
        <v>FB</v>
      </c>
      <c r="I207" s="23" t="b">
        <f t="shared" si="3"/>
        <v>1</v>
      </c>
    </row>
    <row r="208">
      <c r="A208" s="23" t="str">
        <f t="shared" si="6"/>
        <v>PLc1063</v>
      </c>
      <c r="B208" s="23" t="str">
        <f>'3.2.raw'!K208</f>
        <v>PLc1063</v>
      </c>
      <c r="C208" s="24">
        <f>datevalue(left('3.2.raw'!M208,10))</f>
        <v>43774</v>
      </c>
      <c r="D208" s="23">
        <f>'3.2.raw'!H208</f>
        <v>11</v>
      </c>
      <c r="E208" s="1">
        <v>3.20000000000005</v>
      </c>
      <c r="F208" s="23" t="b">
        <f>if(countif(Status!C:C,A208)=1,TRUE, FALSE)</f>
        <v>1</v>
      </c>
      <c r="G208" s="23" t="str">
        <f t="shared" si="8"/>
        <v>PLc</v>
      </c>
      <c r="H208" s="23" t="str">
        <f>IFERROR(__xludf.DUMMYFUNCTION("UPPER(filter(Legend!$D$2:$D$32,Legend!$B$2:$B$32=D208))"),"PL")</f>
        <v>PL</v>
      </c>
      <c r="I208" s="23" t="b">
        <f t="shared" si="3"/>
        <v>1</v>
      </c>
    </row>
    <row r="209">
      <c r="A209" s="23" t="str">
        <f t="shared" si="6"/>
        <v>FB1111</v>
      </c>
      <c r="B209" s="23" t="str">
        <f>'3.2.raw'!K209</f>
        <v>FB1111</v>
      </c>
      <c r="C209" s="24">
        <f>datevalue(left('3.2.raw'!M209,10))</f>
        <v>43774</v>
      </c>
      <c r="D209" s="23">
        <f>'3.2.raw'!H209</f>
        <v>99</v>
      </c>
      <c r="E209" s="1">
        <v>3.20000000000006</v>
      </c>
      <c r="F209" s="23" t="b">
        <f>if(countif(Status!C:C,A209)=1,TRUE, FALSE)</f>
        <v>1</v>
      </c>
      <c r="G209" s="23" t="str">
        <f t="shared" si="8"/>
        <v>FB</v>
      </c>
      <c r="H209" s="23" t="str">
        <f>IFERROR(__xludf.DUMMYFUNCTION("UPPER(filter(Legend!$D$2:$D$32,Legend!$B$2:$B$32=D209))"),"FB")</f>
        <v>FB</v>
      </c>
      <c r="I209" s="23" t="b">
        <f t="shared" si="3"/>
        <v>1</v>
      </c>
    </row>
    <row r="210">
      <c r="A210" s="23" t="str">
        <f t="shared" si="6"/>
        <v>PLc1064</v>
      </c>
      <c r="B210" s="23" t="str">
        <f>'3.2.raw'!K210</f>
        <v>PLc1064</v>
      </c>
      <c r="C210" s="24">
        <f>datevalue(left('3.2.raw'!M210,10))</f>
        <v>43774</v>
      </c>
      <c r="D210" s="23">
        <f>'3.2.raw'!H210</f>
        <v>11</v>
      </c>
      <c r="E210" s="1">
        <v>3.20000000000006</v>
      </c>
      <c r="F210" s="23" t="b">
        <f>if(countif(Status!C:C,A210)=1,TRUE, FALSE)</f>
        <v>1</v>
      </c>
      <c r="G210" s="23" t="str">
        <f t="shared" si="8"/>
        <v>PLc</v>
      </c>
      <c r="H210" s="23" t="str">
        <f>IFERROR(__xludf.DUMMYFUNCTION("UPPER(filter(Legend!$D$2:$D$32,Legend!$B$2:$B$32=D210))"),"PL")</f>
        <v>PL</v>
      </c>
      <c r="I210" s="23" t="b">
        <f t="shared" si="3"/>
        <v>1</v>
      </c>
    </row>
    <row r="211">
      <c r="A211" s="23" t="str">
        <f t="shared" si="6"/>
        <v>FB1112</v>
      </c>
      <c r="B211" s="23" t="str">
        <f>'3.2.raw'!K211</f>
        <v>FB1112</v>
      </c>
      <c r="C211" s="24">
        <f>datevalue(left('3.2.raw'!M211,10))</f>
        <v>43774</v>
      </c>
      <c r="D211" s="23">
        <f>'3.2.raw'!H211</f>
        <v>99</v>
      </c>
      <c r="E211" s="1">
        <v>3.20000000000006</v>
      </c>
      <c r="F211" s="23" t="b">
        <f>if(countif(Status!C:C,A211)=1,TRUE, FALSE)</f>
        <v>1</v>
      </c>
      <c r="G211" s="23" t="str">
        <f t="shared" si="8"/>
        <v>FB</v>
      </c>
      <c r="H211" s="23" t="str">
        <f>IFERROR(__xludf.DUMMYFUNCTION("UPPER(filter(Legend!$D$2:$D$32,Legend!$B$2:$B$32=D211))"),"FB")</f>
        <v>FB</v>
      </c>
      <c r="I211" s="23" t="b">
        <f t="shared" si="3"/>
        <v>1</v>
      </c>
    </row>
    <row r="212">
      <c r="A212" s="23" t="str">
        <f t="shared" si="6"/>
        <v>PLc1065</v>
      </c>
      <c r="B212" s="23" t="str">
        <f>'3.2.raw'!K212</f>
        <v>PLc1065</v>
      </c>
      <c r="C212" s="24">
        <f>datevalue(left('3.2.raw'!M212,10))</f>
        <v>43774</v>
      </c>
      <c r="D212" s="23">
        <f>'3.2.raw'!H212</f>
        <v>11</v>
      </c>
      <c r="E212" s="1">
        <v>3.20000000000006</v>
      </c>
      <c r="F212" s="23" t="b">
        <f>if(countif(Status!C:C,A212)=1,TRUE, FALSE)</f>
        <v>1</v>
      </c>
      <c r="G212" s="23" t="str">
        <f t="shared" si="8"/>
        <v>PLc</v>
      </c>
      <c r="H212" s="23" t="str">
        <f>IFERROR(__xludf.DUMMYFUNCTION("UPPER(filter(Legend!$D$2:$D$32,Legend!$B$2:$B$32=D212))"),"PL")</f>
        <v>PL</v>
      </c>
      <c r="I212" s="23" t="b">
        <f t="shared" si="3"/>
        <v>1</v>
      </c>
    </row>
    <row r="213">
      <c r="A213" s="23" t="str">
        <f t="shared" si="6"/>
        <v>FB1113</v>
      </c>
      <c r="B213" s="23" t="str">
        <f>'3.2.raw'!K213</f>
        <v>FB1113</v>
      </c>
      <c r="C213" s="24">
        <f>datevalue(left('3.2.raw'!M213,10))</f>
        <v>43774</v>
      </c>
      <c r="D213" s="23">
        <f>'3.2.raw'!H213</f>
        <v>99</v>
      </c>
      <c r="E213" s="1">
        <v>3.20000000000006</v>
      </c>
      <c r="F213" s="23" t="b">
        <f>if(countif(Status!C:C,A213)=1,TRUE, FALSE)</f>
        <v>1</v>
      </c>
      <c r="G213" s="23" t="str">
        <f t="shared" si="8"/>
        <v>FB</v>
      </c>
      <c r="H213" s="23" t="str">
        <f>IFERROR(__xludf.DUMMYFUNCTION("UPPER(filter(Legend!$D$2:$D$32,Legend!$B$2:$B$32=D213))"),"FB")</f>
        <v>FB</v>
      </c>
      <c r="I213" s="23" t="b">
        <f t="shared" si="3"/>
        <v>1</v>
      </c>
    </row>
    <row r="214">
      <c r="A214" s="23" t="str">
        <f t="shared" si="6"/>
        <v>PLc1066</v>
      </c>
      <c r="B214" s="23" t="str">
        <f>'3.2.raw'!K214</f>
        <v>PLc1066</v>
      </c>
      <c r="C214" s="24">
        <f>datevalue(left('3.2.raw'!M214,10))</f>
        <v>43774</v>
      </c>
      <c r="D214" s="23">
        <f>'3.2.raw'!H214</f>
        <v>11</v>
      </c>
      <c r="E214" s="1">
        <v>3.20000000000006</v>
      </c>
      <c r="F214" s="23" t="b">
        <f>if(countif(Status!C:C,A214)=1,TRUE, FALSE)</f>
        <v>1</v>
      </c>
      <c r="G214" s="23" t="str">
        <f t="shared" si="8"/>
        <v>PLc</v>
      </c>
      <c r="H214" s="23" t="str">
        <f>IFERROR(__xludf.DUMMYFUNCTION("UPPER(filter(Legend!$D$2:$D$32,Legend!$B$2:$B$32=D214))"),"PL")</f>
        <v>PL</v>
      </c>
      <c r="I214" s="23" t="b">
        <f t="shared" si="3"/>
        <v>1</v>
      </c>
    </row>
    <row r="215">
      <c r="A215" s="23" t="str">
        <f t="shared" si="6"/>
        <v>FB1114</v>
      </c>
      <c r="B215" s="23" t="str">
        <f>'3.2.raw'!K215</f>
        <v>FB1114</v>
      </c>
      <c r="C215" s="24">
        <f>datevalue(left('3.2.raw'!M215,10))</f>
        <v>43774</v>
      </c>
      <c r="D215" s="23">
        <f>'3.2.raw'!H215</f>
        <v>99</v>
      </c>
      <c r="E215" s="1">
        <v>3.20000000000006</v>
      </c>
      <c r="F215" s="23" t="b">
        <f>if(countif(Status!C:C,A215)=1,TRUE, FALSE)</f>
        <v>1</v>
      </c>
      <c r="G215" s="23" t="str">
        <f t="shared" si="8"/>
        <v>FB</v>
      </c>
      <c r="H215" s="23" t="str">
        <f>IFERROR(__xludf.DUMMYFUNCTION("UPPER(filter(Legend!$D$2:$D$32,Legend!$B$2:$B$32=D215))"),"FB")</f>
        <v>FB</v>
      </c>
      <c r="I215" s="23" t="b">
        <f t="shared" si="3"/>
        <v>1</v>
      </c>
    </row>
    <row r="216">
      <c r="A216" s="23" t="str">
        <f t="shared" si="6"/>
        <v>PLc1067</v>
      </c>
      <c r="B216" s="23" t="str">
        <f>'3.2.raw'!K216</f>
        <v>PLc1067</v>
      </c>
      <c r="C216" s="24">
        <f>datevalue(left('3.2.raw'!M216,10))</f>
        <v>43774</v>
      </c>
      <c r="D216" s="23">
        <f>'3.2.raw'!H216</f>
        <v>11</v>
      </c>
      <c r="E216" s="1">
        <v>3.20000000000006</v>
      </c>
      <c r="F216" s="23" t="b">
        <f>if(countif(Status!C:C,A216)=1,TRUE, FALSE)</f>
        <v>1</v>
      </c>
      <c r="G216" s="23" t="str">
        <f t="shared" si="8"/>
        <v>PLc</v>
      </c>
      <c r="H216" s="23" t="str">
        <f>IFERROR(__xludf.DUMMYFUNCTION("UPPER(filter(Legend!$D$2:$D$32,Legend!$B$2:$B$32=D216))"),"PL")</f>
        <v>PL</v>
      </c>
      <c r="I216" s="23" t="b">
        <f t="shared" si="3"/>
        <v>1</v>
      </c>
    </row>
    <row r="217">
      <c r="A217" s="23" t="str">
        <f t="shared" si="6"/>
        <v>FB1115</v>
      </c>
      <c r="B217" s="23" t="str">
        <f>'3.2.raw'!K217</f>
        <v>FB1115</v>
      </c>
      <c r="C217" s="24">
        <f>datevalue(left('3.2.raw'!M217,10))</f>
        <v>43774</v>
      </c>
      <c r="D217" s="23">
        <f>'3.2.raw'!H217</f>
        <v>99</v>
      </c>
      <c r="E217" s="1">
        <v>3.20000000000006</v>
      </c>
      <c r="F217" s="23" t="b">
        <f>if(countif(Status!C:C,A217)=1,TRUE, FALSE)</f>
        <v>1</v>
      </c>
      <c r="G217" s="23" t="str">
        <f t="shared" si="8"/>
        <v>FB</v>
      </c>
      <c r="H217" s="23" t="str">
        <f>IFERROR(__xludf.DUMMYFUNCTION("UPPER(filter(Legend!$D$2:$D$32,Legend!$B$2:$B$32=D217))"),"FB")</f>
        <v>FB</v>
      </c>
      <c r="I217" s="23" t="b">
        <f t="shared" si="3"/>
        <v>1</v>
      </c>
    </row>
    <row r="218">
      <c r="A218" s="23" t="str">
        <f t="shared" si="6"/>
        <v>FB1116</v>
      </c>
      <c r="B218" s="23" t="str">
        <f>'3.2.raw'!K218</f>
        <v>FB1116</v>
      </c>
      <c r="C218" s="24">
        <f>datevalue(left('3.2.raw'!M218,10))</f>
        <v>43774</v>
      </c>
      <c r="D218" s="23">
        <f>'3.2.raw'!H218</f>
        <v>99</v>
      </c>
      <c r="E218" s="1">
        <v>3.20000000000006</v>
      </c>
      <c r="F218" s="23" t="b">
        <f>if(countif(Status!C:C,A218)=1,TRUE, FALSE)</f>
        <v>1</v>
      </c>
      <c r="G218" s="23" t="str">
        <f t="shared" si="8"/>
        <v>FB</v>
      </c>
      <c r="H218" s="23" t="str">
        <f>IFERROR(__xludf.DUMMYFUNCTION("UPPER(filter(Legend!$D$2:$D$32,Legend!$B$2:$B$32=D218))"),"FB")</f>
        <v>FB</v>
      </c>
      <c r="I218" s="23" t="b">
        <f t="shared" si="3"/>
        <v>1</v>
      </c>
    </row>
    <row r="219">
      <c r="A219" s="23" t="str">
        <f t="shared" si="6"/>
        <v>FB1117</v>
      </c>
      <c r="B219" s="23" t="str">
        <f>'3.2.raw'!K219</f>
        <v>FB1117</v>
      </c>
      <c r="C219" s="24">
        <f>datevalue(left('3.2.raw'!M219,10))</f>
        <v>43774</v>
      </c>
      <c r="D219" s="23">
        <f>'3.2.raw'!H219</f>
        <v>99</v>
      </c>
      <c r="E219" s="1">
        <v>3.20000000000006</v>
      </c>
      <c r="F219" s="23" t="b">
        <f>if(countif(Status!C:C,A219)=1,TRUE, FALSE)</f>
        <v>1</v>
      </c>
      <c r="G219" s="23" t="str">
        <f t="shared" si="8"/>
        <v>FB</v>
      </c>
      <c r="H219" s="23" t="str">
        <f>IFERROR(__xludf.DUMMYFUNCTION("UPPER(filter(Legend!$D$2:$D$32,Legend!$B$2:$B$32=D219))"),"FB")</f>
        <v>FB</v>
      </c>
      <c r="I219" s="23" t="b">
        <f t="shared" si="3"/>
        <v>1</v>
      </c>
    </row>
    <row r="220">
      <c r="A220" s="23" t="str">
        <f t="shared" si="6"/>
        <v>SL1001</v>
      </c>
      <c r="B220" s="23" t="str">
        <f>'3.2.raw'!K220</f>
        <v>SL1001</v>
      </c>
      <c r="C220" s="24">
        <f>datevalue(left('3.2.raw'!M220,10))</f>
        <v>43774</v>
      </c>
      <c r="D220" s="23">
        <f>'3.2.raw'!H220</f>
        <v>97</v>
      </c>
      <c r="E220" s="1">
        <v>3.20000000000006</v>
      </c>
      <c r="F220" s="23" t="b">
        <f>if(countif(Status!C:C,A220)=1,TRUE, FALSE)</f>
        <v>1</v>
      </c>
      <c r="G220" s="23" t="str">
        <f t="shared" si="8"/>
        <v>SL</v>
      </c>
      <c r="H220" s="23" t="str">
        <f>IFERROR(__xludf.DUMMYFUNCTION("UPPER(filter(Legend!$D$2:$D$32,Legend!$B$2:$B$32=D220))"),"")</f>
        <v/>
      </c>
      <c r="I220" s="23" t="b">
        <f t="shared" si="3"/>
        <v>0</v>
      </c>
    </row>
    <row r="221">
      <c r="A221" s="23" t="str">
        <f t="shared" si="6"/>
        <v>B124-21</v>
      </c>
      <c r="B221" s="23" t="str">
        <f>'3.2.raw'!K221</f>
        <v>B124-21</v>
      </c>
      <c r="C221" s="24">
        <f>datevalue(left('3.2.raw'!M221,10))</f>
        <v>43774</v>
      </c>
      <c r="D221" s="23">
        <f>'3.2.raw'!H221</f>
        <v>97</v>
      </c>
      <c r="E221" s="1">
        <v>3.20000000000006</v>
      </c>
      <c r="F221" s="23" t="b">
        <f>if(countif(Status!C:C,A221)=1,TRUE, FALSE)</f>
        <v>0</v>
      </c>
      <c r="G221" s="23" t="str">
        <f t="shared" si="8"/>
        <v>B12</v>
      </c>
      <c r="H221" s="23" t="str">
        <f>IFERROR(__xludf.DUMMYFUNCTION("UPPER(filter(Legend!$D$2:$D$32,Legend!$B$2:$B$32=D221))"),"")</f>
        <v/>
      </c>
      <c r="I221" s="23" t="b">
        <f t="shared" si="3"/>
        <v>0</v>
      </c>
    </row>
    <row r="222">
      <c r="A222" s="23" t="str">
        <f t="shared" si="6"/>
        <v>FPd1004</v>
      </c>
      <c r="B222" s="23" t="str">
        <f>'3.2.raw'!K222</f>
        <v>FPd1004</v>
      </c>
      <c r="C222" s="24">
        <f>datevalue(left('3.2.raw'!M222,10))</f>
        <v>43776</v>
      </c>
      <c r="D222" s="23">
        <f>'3.2.raw'!H222</f>
        <v>14</v>
      </c>
      <c r="E222" s="1">
        <v>3.20000000000006</v>
      </c>
      <c r="F222" s="23" t="b">
        <f>if(countif(Status!C:C,A222)=1,TRUE, FALSE)</f>
        <v>1</v>
      </c>
      <c r="G222" s="23" t="str">
        <f t="shared" si="8"/>
        <v>FPd</v>
      </c>
      <c r="H222" s="23" t="str">
        <f>IFERROR(__xludf.DUMMYFUNCTION("UPPER(filter(Legend!$D$2:$D$32,Legend!$B$2:$B$32=D222))"),"FP")</f>
        <v>FP</v>
      </c>
      <c r="I222" s="23" t="b">
        <f t="shared" si="3"/>
        <v>1</v>
      </c>
    </row>
    <row r="223">
      <c r="A223" s="23" t="str">
        <f t="shared" si="6"/>
        <v>FPb1004</v>
      </c>
      <c r="B223" s="23" t="str">
        <f>'3.2.raw'!K223</f>
        <v>FPb1004</v>
      </c>
      <c r="C223" s="24">
        <f>datevalue(left('3.2.raw'!M223,10))</f>
        <v>43776</v>
      </c>
      <c r="D223" s="23">
        <f>'3.2.raw'!H223</f>
        <v>14</v>
      </c>
      <c r="E223" s="1">
        <v>3.20000000000006</v>
      </c>
      <c r="F223" s="23" t="b">
        <f>if(countif(Status!C:C,A223)=1,TRUE, FALSE)</f>
        <v>1</v>
      </c>
      <c r="G223" s="23" t="str">
        <f t="shared" si="8"/>
        <v>FPb</v>
      </c>
      <c r="H223" s="23" t="str">
        <f>IFERROR(__xludf.DUMMYFUNCTION("UPPER(filter(Legend!$D$2:$D$32,Legend!$B$2:$B$32=D223))"),"FP")</f>
        <v>FP</v>
      </c>
      <c r="I223" s="23" t="b">
        <f t="shared" si="3"/>
        <v>1</v>
      </c>
    </row>
    <row r="224">
      <c r="A224" s="23" t="str">
        <f t="shared" si="6"/>
        <v>FPe1004</v>
      </c>
      <c r="B224" s="23" t="str">
        <f>'3.2.raw'!K224</f>
        <v>FPe1004</v>
      </c>
      <c r="C224" s="24">
        <f>datevalue(left('3.2.raw'!M224,10))</f>
        <v>43776</v>
      </c>
      <c r="D224" s="23">
        <f>'3.2.raw'!H224</f>
        <v>14</v>
      </c>
      <c r="E224" s="1">
        <v>3.20000000000006</v>
      </c>
      <c r="F224" s="23" t="b">
        <f>if(countif(Status!C:C,A224)=1,TRUE, FALSE)</f>
        <v>1</v>
      </c>
      <c r="G224" s="23" t="str">
        <f t="shared" si="8"/>
        <v>FPe</v>
      </c>
      <c r="H224" s="23" t="str">
        <f>IFERROR(__xludf.DUMMYFUNCTION("UPPER(filter(Legend!$D$2:$D$32,Legend!$B$2:$B$32=D224))"),"FP")</f>
        <v>FP</v>
      </c>
      <c r="I224" s="23" t="b">
        <f t="shared" si="3"/>
        <v>1</v>
      </c>
    </row>
    <row r="225">
      <c r="A225" s="23" t="str">
        <f t="shared" si="6"/>
        <v>FPa1004</v>
      </c>
      <c r="B225" s="23" t="str">
        <f>'3.2.raw'!K225</f>
        <v>FPa1004</v>
      </c>
      <c r="C225" s="24">
        <f>datevalue(left('3.2.raw'!M225,10))</f>
        <v>43776</v>
      </c>
      <c r="D225" s="23">
        <f>'3.2.raw'!H225</f>
        <v>14</v>
      </c>
      <c r="E225" s="1">
        <v>3.20000000000006</v>
      </c>
      <c r="F225" s="23" t="b">
        <f>if(countif(Status!C:C,A225)=1,TRUE, FALSE)</f>
        <v>1</v>
      </c>
      <c r="G225" s="23" t="str">
        <f t="shared" si="8"/>
        <v>FPa</v>
      </c>
      <c r="H225" s="23" t="str">
        <f>IFERROR(__xludf.DUMMYFUNCTION("UPPER(filter(Legend!$D$2:$D$32,Legend!$B$2:$B$32=D225))"),"FP")</f>
        <v>FP</v>
      </c>
      <c r="I225" s="23" t="b">
        <f t="shared" si="3"/>
        <v>1</v>
      </c>
    </row>
    <row r="226">
      <c r="A226" s="23" t="str">
        <f t="shared" si="6"/>
        <v>FPc1004</v>
      </c>
      <c r="B226" s="23" t="str">
        <f>'3.2.raw'!K226</f>
        <v>FPc1004</v>
      </c>
      <c r="C226" s="24">
        <f>datevalue(left('3.2.raw'!M226,10))</f>
        <v>43776</v>
      </c>
      <c r="D226" s="23">
        <f>'3.2.raw'!H226</f>
        <v>14</v>
      </c>
      <c r="E226" s="1">
        <v>3.20000000000006</v>
      </c>
      <c r="F226" s="23" t="b">
        <f>if(countif(Status!C:C,A226)=1,TRUE, FALSE)</f>
        <v>1</v>
      </c>
      <c r="G226" s="23" t="str">
        <f t="shared" si="8"/>
        <v>FPc</v>
      </c>
      <c r="H226" s="23" t="str">
        <f>IFERROR(__xludf.DUMMYFUNCTION("UPPER(filter(Legend!$D$2:$D$32,Legend!$B$2:$B$32=D226))"),"FP")</f>
        <v>FP</v>
      </c>
      <c r="I226" s="23" t="b">
        <f t="shared" si="3"/>
        <v>1</v>
      </c>
    </row>
    <row r="227">
      <c r="A227" s="23" t="str">
        <f t="shared" si="6"/>
        <v>FB1118</v>
      </c>
      <c r="B227" s="23" t="str">
        <f>'3.2.raw'!K227</f>
        <v>FB1118</v>
      </c>
      <c r="C227" s="24">
        <f>datevalue(left('3.2.raw'!M227,10))</f>
        <v>43776</v>
      </c>
      <c r="D227" s="23">
        <f>'3.2.raw'!H227</f>
        <v>99</v>
      </c>
      <c r="E227" s="1">
        <v>3.20000000000006</v>
      </c>
      <c r="F227" s="23" t="b">
        <f>if(countif(Status!C:C,A227)=1,TRUE, FALSE)</f>
        <v>1</v>
      </c>
      <c r="G227" s="23" t="str">
        <f t="shared" si="8"/>
        <v>FB</v>
      </c>
      <c r="H227" s="23" t="str">
        <f>IFERROR(__xludf.DUMMYFUNCTION("UPPER(filter(Legend!$D$2:$D$32,Legend!$B$2:$B$32=D227))"),"FB")</f>
        <v>FB</v>
      </c>
      <c r="I227" s="23" t="b">
        <f t="shared" si="3"/>
        <v>1</v>
      </c>
    </row>
    <row r="228">
      <c r="A228" s="23" t="str">
        <f t="shared" si="6"/>
        <v>FB1125</v>
      </c>
      <c r="B228" s="23" t="str">
        <f>'3.2.raw'!K228</f>
        <v>FB1125</v>
      </c>
      <c r="C228" s="24">
        <f>datevalue(left('3.2.raw'!M228,10))</f>
        <v>43776</v>
      </c>
      <c r="D228" s="23">
        <f>'3.2.raw'!H228</f>
        <v>99</v>
      </c>
      <c r="E228" s="1">
        <v>3.20000000000006</v>
      </c>
      <c r="F228" s="23" t="b">
        <f>if(countif(Status!C:C,A228)=1,TRUE, FALSE)</f>
        <v>1</v>
      </c>
      <c r="G228" s="23" t="str">
        <f t="shared" si="8"/>
        <v>FB</v>
      </c>
      <c r="H228" s="23" t="str">
        <f>IFERROR(__xludf.DUMMYFUNCTION("UPPER(filter(Legend!$D$2:$D$32,Legend!$B$2:$B$32=D228))"),"FB")</f>
        <v>FB</v>
      </c>
      <c r="I228" s="23" t="b">
        <f t="shared" si="3"/>
        <v>1</v>
      </c>
    </row>
    <row r="229">
      <c r="A229" s="23" t="str">
        <f t="shared" si="6"/>
        <v>FB1124</v>
      </c>
      <c r="B229" s="23" t="str">
        <f>'3.2.raw'!K229</f>
        <v>FB1124</v>
      </c>
      <c r="C229" s="24">
        <f>datevalue(left('3.2.raw'!M229,10))</f>
        <v>43776</v>
      </c>
      <c r="D229" s="23">
        <f>'3.2.raw'!H229</f>
        <v>99</v>
      </c>
      <c r="E229" s="1">
        <v>3.20000000000006</v>
      </c>
      <c r="F229" s="23" t="b">
        <f>if(countif(Status!C:C,A229)=1,TRUE, FALSE)</f>
        <v>1</v>
      </c>
      <c r="G229" s="23" t="str">
        <f t="shared" si="8"/>
        <v>FB</v>
      </c>
      <c r="H229" s="23" t="str">
        <f>IFERROR(__xludf.DUMMYFUNCTION("UPPER(filter(Legend!$D$2:$D$32,Legend!$B$2:$B$32=D229))"),"FB")</f>
        <v>FB</v>
      </c>
      <c r="I229" s="23" t="b">
        <f t="shared" si="3"/>
        <v>1</v>
      </c>
    </row>
    <row r="230">
      <c r="A230" s="23" t="str">
        <f t="shared" si="6"/>
        <v>PLc1068</v>
      </c>
      <c r="B230" s="23" t="str">
        <f>'3.2.raw'!K230</f>
        <v>PLc1068</v>
      </c>
      <c r="C230" s="24">
        <f>datevalue(left('3.2.raw'!M230,10))</f>
        <v>43776</v>
      </c>
      <c r="D230" s="23">
        <f>'3.2.raw'!H230</f>
        <v>11</v>
      </c>
      <c r="E230" s="1">
        <v>3.20000000000006</v>
      </c>
      <c r="F230" s="23" t="b">
        <f>if(countif(Status!C:C,A230)=1,TRUE, FALSE)</f>
        <v>1</v>
      </c>
      <c r="G230" s="23" t="str">
        <f t="shared" si="8"/>
        <v>PLc</v>
      </c>
      <c r="H230" s="23" t="str">
        <f>IFERROR(__xludf.DUMMYFUNCTION("UPPER(filter(Legend!$D$2:$D$32,Legend!$B$2:$B$32=D230))"),"PL")</f>
        <v>PL</v>
      </c>
      <c r="I230" s="23" t="b">
        <f t="shared" si="3"/>
        <v>1</v>
      </c>
    </row>
    <row r="231">
      <c r="A231" s="23" t="str">
        <f t="shared" si="6"/>
        <v>FB1119</v>
      </c>
      <c r="B231" s="23" t="str">
        <f>'3.2.raw'!K231</f>
        <v>FB1119</v>
      </c>
      <c r="C231" s="24">
        <f>datevalue(left('3.2.raw'!M231,10))</f>
        <v>43776</v>
      </c>
      <c r="D231" s="23">
        <f>'3.2.raw'!H231</f>
        <v>99</v>
      </c>
      <c r="E231" s="1">
        <v>3.20000000000006</v>
      </c>
      <c r="F231" s="23" t="b">
        <f>if(countif(Status!C:C,A231)=1,TRUE, FALSE)</f>
        <v>1</v>
      </c>
      <c r="G231" s="23" t="str">
        <f t="shared" si="8"/>
        <v>FB</v>
      </c>
      <c r="H231" s="23" t="str">
        <f>IFERROR(__xludf.DUMMYFUNCTION("UPPER(filter(Legend!$D$2:$D$32,Legend!$B$2:$B$32=D231))"),"FB")</f>
        <v>FB</v>
      </c>
      <c r="I231" s="23" t="b">
        <f t="shared" si="3"/>
        <v>1</v>
      </c>
    </row>
    <row r="232">
      <c r="A232" s="23" t="str">
        <f t="shared" si="6"/>
        <v>PLc1069</v>
      </c>
      <c r="B232" s="23" t="str">
        <f>'3.2.raw'!K232</f>
        <v>PLc1069</v>
      </c>
      <c r="C232" s="24">
        <f>datevalue(left('3.2.raw'!M232,10))</f>
        <v>43776</v>
      </c>
      <c r="D232" s="23">
        <f>'3.2.raw'!H232</f>
        <v>11</v>
      </c>
      <c r="E232" s="1">
        <v>3.20000000000006</v>
      </c>
      <c r="F232" s="23" t="b">
        <f>if(countif(Status!C:C,A232)=1,TRUE, FALSE)</f>
        <v>1</v>
      </c>
      <c r="G232" s="23" t="str">
        <f t="shared" si="8"/>
        <v>PLc</v>
      </c>
      <c r="H232" s="23" t="str">
        <f>IFERROR(__xludf.DUMMYFUNCTION("UPPER(filter(Legend!$D$2:$D$32,Legend!$B$2:$B$32=D232))"),"PL")</f>
        <v>PL</v>
      </c>
      <c r="I232" s="23" t="b">
        <f t="shared" si="3"/>
        <v>1</v>
      </c>
    </row>
    <row r="233">
      <c r="A233" s="23" t="str">
        <f t="shared" si="6"/>
        <v>FB1120</v>
      </c>
      <c r="B233" s="23" t="str">
        <f>'3.2.raw'!K233</f>
        <v>FB1120</v>
      </c>
      <c r="C233" s="24">
        <f>datevalue(left('3.2.raw'!M233,10))</f>
        <v>43776</v>
      </c>
      <c r="D233" s="23">
        <f>'3.2.raw'!H233</f>
        <v>99</v>
      </c>
      <c r="E233" s="1">
        <v>3.20000000000006</v>
      </c>
      <c r="F233" s="23" t="b">
        <f>if(countif(Status!C:C,A233)=1,TRUE, FALSE)</f>
        <v>1</v>
      </c>
      <c r="G233" s="23" t="str">
        <f t="shared" si="8"/>
        <v>FB</v>
      </c>
      <c r="H233" s="23" t="str">
        <f>IFERROR(__xludf.DUMMYFUNCTION("UPPER(filter(Legend!$D$2:$D$32,Legend!$B$2:$B$32=D233))"),"FB")</f>
        <v>FB</v>
      </c>
      <c r="I233" s="23" t="b">
        <f t="shared" si="3"/>
        <v>1</v>
      </c>
    </row>
    <row r="234">
      <c r="A234" s="23" t="str">
        <f t="shared" si="6"/>
        <v>PLc1070</v>
      </c>
      <c r="B234" s="23" t="str">
        <f>'3.2.raw'!K234</f>
        <v>PLc1070</v>
      </c>
      <c r="C234" s="24">
        <f>datevalue(left('3.2.raw'!M234,10))</f>
        <v>43776</v>
      </c>
      <c r="D234" s="23">
        <f>'3.2.raw'!H234</f>
        <v>11</v>
      </c>
      <c r="E234" s="1">
        <v>3.20000000000006</v>
      </c>
      <c r="F234" s="23" t="b">
        <f>if(countif(Status!C:C,A234)=1,TRUE, FALSE)</f>
        <v>1</v>
      </c>
      <c r="G234" s="23" t="str">
        <f t="shared" si="8"/>
        <v>PLc</v>
      </c>
      <c r="H234" s="23" t="str">
        <f>IFERROR(__xludf.DUMMYFUNCTION("UPPER(filter(Legend!$D$2:$D$32,Legend!$B$2:$B$32=D234))"),"PL")</f>
        <v>PL</v>
      </c>
      <c r="I234" s="23" t="b">
        <f t="shared" si="3"/>
        <v>1</v>
      </c>
    </row>
    <row r="235">
      <c r="A235" s="23" t="str">
        <f t="shared" si="6"/>
        <v>FB1121</v>
      </c>
      <c r="B235" s="23" t="str">
        <f>'3.2.raw'!K235</f>
        <v>FB1121</v>
      </c>
      <c r="C235" s="24">
        <f>datevalue(left('3.2.raw'!M235,10))</f>
        <v>43776</v>
      </c>
      <c r="D235" s="23">
        <f>'3.2.raw'!H235</f>
        <v>99</v>
      </c>
      <c r="E235" s="1">
        <v>3.20000000000006</v>
      </c>
      <c r="F235" s="23" t="b">
        <f>if(countif(Status!C:C,A235)=1,TRUE, FALSE)</f>
        <v>1</v>
      </c>
      <c r="G235" s="23" t="str">
        <f t="shared" si="8"/>
        <v>FB</v>
      </c>
      <c r="H235" s="23" t="str">
        <f>IFERROR(__xludf.DUMMYFUNCTION("UPPER(filter(Legend!$D$2:$D$32,Legend!$B$2:$B$32=D235))"),"FB")</f>
        <v>FB</v>
      </c>
      <c r="I235" s="23" t="b">
        <f t="shared" si="3"/>
        <v>1</v>
      </c>
    </row>
    <row r="236">
      <c r="A236" s="23" t="str">
        <f t="shared" si="6"/>
        <v>PLc1071</v>
      </c>
      <c r="B236" s="23" t="str">
        <f>'3.2.raw'!K236</f>
        <v>PLc1071</v>
      </c>
      <c r="C236" s="24">
        <f>datevalue(left('3.2.raw'!M236,10))</f>
        <v>43776</v>
      </c>
      <c r="D236" s="23">
        <f>'3.2.raw'!H236</f>
        <v>11</v>
      </c>
      <c r="E236" s="1">
        <v>3.20000000000006</v>
      </c>
      <c r="F236" s="23" t="b">
        <f>if(countif(Status!C:C,A236)=1,TRUE, FALSE)</f>
        <v>1</v>
      </c>
      <c r="G236" s="23" t="str">
        <f t="shared" si="8"/>
        <v>PLc</v>
      </c>
      <c r="H236" s="23" t="str">
        <f>IFERROR(__xludf.DUMMYFUNCTION("UPPER(filter(Legend!$D$2:$D$32,Legend!$B$2:$B$32=D236))"),"PL")</f>
        <v>PL</v>
      </c>
      <c r="I236" s="23" t="b">
        <f t="shared" si="3"/>
        <v>1</v>
      </c>
    </row>
    <row r="237">
      <c r="A237" s="23" t="str">
        <f t="shared" si="6"/>
        <v>FB1122</v>
      </c>
      <c r="B237" s="23" t="str">
        <f>'3.2.raw'!K237</f>
        <v>FB1122</v>
      </c>
      <c r="C237" s="24">
        <f>datevalue(left('3.2.raw'!M237,10))</f>
        <v>43776</v>
      </c>
      <c r="D237" s="23">
        <f>'3.2.raw'!H237</f>
        <v>99</v>
      </c>
      <c r="E237" s="1">
        <v>3.20000000000006</v>
      </c>
      <c r="F237" s="23" t="b">
        <f>if(countif(Status!C:C,A237)=1,TRUE, FALSE)</f>
        <v>1</v>
      </c>
      <c r="G237" s="23" t="str">
        <f t="shared" si="8"/>
        <v>FB</v>
      </c>
      <c r="H237" s="23" t="str">
        <f>IFERROR(__xludf.DUMMYFUNCTION("UPPER(filter(Legend!$D$2:$D$32,Legend!$B$2:$B$32=D237))"),"FB")</f>
        <v>FB</v>
      </c>
      <c r="I237" s="23" t="b">
        <f t="shared" si="3"/>
        <v>1</v>
      </c>
    </row>
    <row r="238">
      <c r="A238" s="23" t="str">
        <f t="shared" si="6"/>
        <v>PLc1072</v>
      </c>
      <c r="B238" s="23" t="str">
        <f>'3.2.raw'!K238</f>
        <v>PLc1072</v>
      </c>
      <c r="C238" s="24">
        <f>datevalue(left('3.2.raw'!M238,10))</f>
        <v>43776</v>
      </c>
      <c r="D238" s="23">
        <f>'3.2.raw'!H238</f>
        <v>11</v>
      </c>
      <c r="E238" s="1">
        <v>3.20000000000006</v>
      </c>
      <c r="F238" s="23" t="b">
        <f>if(countif(Status!C:C,A238)=1,TRUE, FALSE)</f>
        <v>1</v>
      </c>
      <c r="G238" s="23" t="str">
        <f t="shared" si="8"/>
        <v>PLc</v>
      </c>
      <c r="H238" s="23" t="str">
        <f>IFERROR(__xludf.DUMMYFUNCTION("UPPER(filter(Legend!$D$2:$D$32,Legend!$B$2:$B$32=D238))"),"PL")</f>
        <v>PL</v>
      </c>
      <c r="I238" s="23" t="b">
        <f t="shared" si="3"/>
        <v>1</v>
      </c>
    </row>
    <row r="239">
      <c r="A239" s="23" t="str">
        <f t="shared" si="6"/>
        <v>FB1123</v>
      </c>
      <c r="B239" s="23" t="str">
        <f>'3.2.raw'!K239</f>
        <v>FB1123</v>
      </c>
      <c r="C239" s="24">
        <f>datevalue(left('3.2.raw'!M239,10))</f>
        <v>43776</v>
      </c>
      <c r="D239" s="23">
        <f>'3.2.raw'!H239</f>
        <v>99</v>
      </c>
      <c r="E239" s="1">
        <v>3.20000000000006</v>
      </c>
      <c r="F239" s="23" t="b">
        <f>if(countif(Status!C:C,A239)=1,TRUE, FALSE)</f>
        <v>1</v>
      </c>
      <c r="G239" s="23" t="str">
        <f t="shared" si="8"/>
        <v>FB</v>
      </c>
      <c r="H239" s="23" t="str">
        <f>IFERROR(__xludf.DUMMYFUNCTION("UPPER(filter(Legend!$D$2:$D$32,Legend!$B$2:$B$32=D239))"),"FB")</f>
        <v>FB</v>
      </c>
      <c r="I239" s="23" t="b">
        <f t="shared" si="3"/>
        <v>1</v>
      </c>
    </row>
    <row r="240">
      <c r="A240" s="23" t="str">
        <f t="shared" si="6"/>
        <v>SL1001</v>
      </c>
      <c r="B240" s="23" t="str">
        <f>'3.2.raw'!K240</f>
        <v>SL1001</v>
      </c>
      <c r="C240" s="24">
        <f>datevalue(left('3.2.raw'!M240,10))</f>
        <v>43776</v>
      </c>
      <c r="D240" s="23">
        <f>'3.2.raw'!H240</f>
        <v>97</v>
      </c>
      <c r="E240" s="1">
        <v>3.20000000000006</v>
      </c>
      <c r="F240" s="23" t="b">
        <f>if(countif(Status!C:C,A240)=1,TRUE, FALSE)</f>
        <v>1</v>
      </c>
      <c r="G240" s="23" t="str">
        <f t="shared" si="8"/>
        <v>SL</v>
      </c>
      <c r="H240" s="23" t="str">
        <f>IFERROR(__xludf.DUMMYFUNCTION("UPPER(filter(Legend!$D$2:$D$32,Legend!$B$2:$B$32=D240))"),"")</f>
        <v/>
      </c>
      <c r="I240" s="23" t="b">
        <f t="shared" si="3"/>
        <v>0</v>
      </c>
    </row>
    <row r="241">
      <c r="A241" s="23" t="str">
        <f t="shared" si="6"/>
        <v>B124-21</v>
      </c>
      <c r="B241" s="23" t="str">
        <f>'3.2.raw'!K241</f>
        <v>B124-21</v>
      </c>
      <c r="C241" s="24">
        <f>datevalue(left('3.2.raw'!M241,10))</f>
        <v>43776</v>
      </c>
      <c r="D241" s="23">
        <f>'3.2.raw'!H241</f>
        <v>97</v>
      </c>
      <c r="E241" s="1">
        <v>3.20000000000006</v>
      </c>
      <c r="F241" s="23" t="b">
        <f>if(countif(Status!C:C,A241)=1,TRUE, FALSE)</f>
        <v>0</v>
      </c>
      <c r="G241" s="23" t="str">
        <f t="shared" si="8"/>
        <v>B12</v>
      </c>
      <c r="H241" s="23" t="str">
        <f>IFERROR(__xludf.DUMMYFUNCTION("UPPER(filter(Legend!$D$2:$D$32,Legend!$B$2:$B$32=D241))"),"")</f>
        <v/>
      </c>
      <c r="I241" s="23" t="b">
        <f t="shared" si="3"/>
        <v>0</v>
      </c>
    </row>
    <row r="242">
      <c r="A242" s="23" t="str">
        <f t="shared" si="6"/>
        <v>COa1006</v>
      </c>
      <c r="B242" s="23" t="str">
        <f>'3.2.raw'!K242</f>
        <v>COa1006</v>
      </c>
      <c r="C242" s="24">
        <f>datevalue(left('3.2.raw'!M242,10))</f>
        <v>43777</v>
      </c>
      <c r="D242" s="23">
        <f>'3.2.raw'!H242</f>
        <v>15</v>
      </c>
      <c r="E242" s="1">
        <v>3.20000000000006</v>
      </c>
      <c r="F242" s="23" t="b">
        <f>if(countif(Status!C:C,A242)=1,TRUE, FALSE)</f>
        <v>1</v>
      </c>
      <c r="G242" s="23" t="str">
        <f t="shared" si="8"/>
        <v>COa</v>
      </c>
      <c r="H242" s="23" t="str">
        <f>IFERROR(__xludf.DUMMYFUNCTION("UPPER(filter(Legend!$D$2:$D$32,Legend!$B$2:$B$32=D242))"),"CO")</f>
        <v>CO</v>
      </c>
      <c r="I242" s="23" t="b">
        <f t="shared" si="3"/>
        <v>1</v>
      </c>
    </row>
    <row r="243">
      <c r="A243" s="23" t="str">
        <f t="shared" si="6"/>
        <v>COb1017</v>
      </c>
      <c r="B243" s="23" t="str">
        <f>'3.2.raw'!K243</f>
        <v>COb1017</v>
      </c>
      <c r="C243" s="24">
        <f>datevalue(left('3.2.raw'!M243,10))</f>
        <v>43777</v>
      </c>
      <c r="D243" s="23">
        <f>'3.2.raw'!H243</f>
        <v>15</v>
      </c>
      <c r="E243" s="1">
        <v>3.20000000000006</v>
      </c>
      <c r="F243" s="23" t="b">
        <f>if(countif(Status!C:C,A243)=1,TRUE, FALSE)</f>
        <v>1</v>
      </c>
      <c r="G243" s="23" t="str">
        <f t="shared" si="8"/>
        <v>COb</v>
      </c>
      <c r="H243" s="23" t="str">
        <f>IFERROR(__xludf.DUMMYFUNCTION("UPPER(filter(Legend!$D$2:$D$32,Legend!$B$2:$B$32=D243))"),"CO")</f>
        <v>CO</v>
      </c>
      <c r="I243" s="23" t="b">
        <f t="shared" si="3"/>
        <v>1</v>
      </c>
    </row>
    <row r="244">
      <c r="A244" s="23" t="str">
        <f t="shared" si="6"/>
        <v>COb1018</v>
      </c>
      <c r="B244" s="23" t="str">
        <f>'3.2.raw'!K244</f>
        <v>COb1018</v>
      </c>
      <c r="C244" s="24">
        <f>datevalue(left('3.2.raw'!M244,10))</f>
        <v>43777</v>
      </c>
      <c r="D244" s="23">
        <f>'3.2.raw'!H244</f>
        <v>15</v>
      </c>
      <c r="E244" s="1">
        <v>3.20000000000006</v>
      </c>
      <c r="F244" s="23" t="b">
        <f>if(countif(Status!C:C,A244)=1,TRUE, FALSE)</f>
        <v>1</v>
      </c>
      <c r="G244" s="23" t="str">
        <f t="shared" si="8"/>
        <v>COb</v>
      </c>
      <c r="H244" s="23" t="str">
        <f>IFERROR(__xludf.DUMMYFUNCTION("UPPER(filter(Legend!$D$2:$D$32,Legend!$B$2:$B$32=D244))"),"CO")</f>
        <v>CO</v>
      </c>
      <c r="I244" s="23" t="b">
        <f t="shared" si="3"/>
        <v>1</v>
      </c>
    </row>
    <row r="245">
      <c r="A245" s="23" t="str">
        <f t="shared" si="6"/>
        <v>COb1019</v>
      </c>
      <c r="B245" s="23" t="str">
        <f>'3.2.raw'!K245</f>
        <v>COb1019</v>
      </c>
      <c r="C245" s="24">
        <f>datevalue(left('3.2.raw'!M245,10))</f>
        <v>43777</v>
      </c>
      <c r="D245" s="23">
        <f>'3.2.raw'!H245</f>
        <v>15</v>
      </c>
      <c r="E245" s="1">
        <v>3.20000000000006</v>
      </c>
      <c r="F245" s="23" t="b">
        <f>if(countif(Status!C:C,A245)=1,TRUE, FALSE)</f>
        <v>1</v>
      </c>
      <c r="G245" s="23" t="str">
        <f t="shared" si="8"/>
        <v>COb</v>
      </c>
      <c r="H245" s="23" t="str">
        <f>IFERROR(__xludf.DUMMYFUNCTION("UPPER(filter(Legend!$D$2:$D$32,Legend!$B$2:$B$32=D245))"),"CO")</f>
        <v>CO</v>
      </c>
      <c r="I245" s="23" t="b">
        <f t="shared" si="3"/>
        <v>1</v>
      </c>
    </row>
    <row r="246">
      <c r="A246" s="23" t="str">
        <f t="shared" si="6"/>
        <v>FB1126</v>
      </c>
      <c r="B246" s="23" t="str">
        <f>'3.2.raw'!K246</f>
        <v>FB1126</v>
      </c>
      <c r="C246" s="24">
        <f>datevalue(left('3.2.raw'!M246,10))</f>
        <v>43777</v>
      </c>
      <c r="D246" s="23">
        <f>'3.2.raw'!H246</f>
        <v>99</v>
      </c>
      <c r="E246" s="1">
        <v>3.20000000000006</v>
      </c>
      <c r="F246" s="23" t="b">
        <f>if(countif(Status!C:C,A246)=1,TRUE, FALSE)</f>
        <v>1</v>
      </c>
      <c r="G246" s="23" t="str">
        <f t="shared" si="8"/>
        <v>FB</v>
      </c>
      <c r="H246" s="23" t="str">
        <f>IFERROR(__xludf.DUMMYFUNCTION("UPPER(filter(Legend!$D$2:$D$32,Legend!$B$2:$B$32=D246))"),"FB")</f>
        <v>FB</v>
      </c>
      <c r="I246" s="23" t="b">
        <f t="shared" si="3"/>
        <v>1</v>
      </c>
    </row>
    <row r="247">
      <c r="A247" s="23" t="str">
        <f t="shared" si="6"/>
        <v>PLc1073</v>
      </c>
      <c r="B247" s="23" t="str">
        <f>'3.2.raw'!K247</f>
        <v>PLc1073</v>
      </c>
      <c r="C247" s="24">
        <f>datevalue(left('3.2.raw'!M247,10))</f>
        <v>43777</v>
      </c>
      <c r="D247" s="23">
        <f>'3.2.raw'!H247</f>
        <v>11</v>
      </c>
      <c r="E247" s="1">
        <v>3.20000000000006</v>
      </c>
      <c r="F247" s="23" t="b">
        <f>if(countif(Status!C:C,A247)=1,TRUE, FALSE)</f>
        <v>1</v>
      </c>
      <c r="G247" s="23" t="str">
        <f t="shared" si="8"/>
        <v>PLc</v>
      </c>
      <c r="H247" s="23" t="str">
        <f>IFERROR(__xludf.DUMMYFUNCTION("UPPER(filter(Legend!$D$2:$D$32,Legend!$B$2:$B$32=D247))"),"PL")</f>
        <v>PL</v>
      </c>
      <c r="I247" s="23" t="b">
        <f t="shared" si="3"/>
        <v>1</v>
      </c>
    </row>
    <row r="248">
      <c r="A248" s="23" t="str">
        <f t="shared" si="6"/>
        <v>FB1127</v>
      </c>
      <c r="B248" s="23" t="str">
        <f>'3.2.raw'!K248</f>
        <v>FB1127</v>
      </c>
      <c r="C248" s="24">
        <f>datevalue(left('3.2.raw'!M248,10))</f>
        <v>43777</v>
      </c>
      <c r="D248" s="23">
        <f>'3.2.raw'!H248</f>
        <v>99</v>
      </c>
      <c r="E248" s="1">
        <v>3.20000000000006</v>
      </c>
      <c r="F248" s="23" t="b">
        <f>if(countif(Status!C:C,A248)=1,TRUE, FALSE)</f>
        <v>1</v>
      </c>
      <c r="G248" s="23" t="str">
        <f t="shared" si="8"/>
        <v>FB</v>
      </c>
      <c r="H248" s="23" t="str">
        <f>IFERROR(__xludf.DUMMYFUNCTION("UPPER(filter(Legend!$D$2:$D$32,Legend!$B$2:$B$32=D248))"),"FB")</f>
        <v>FB</v>
      </c>
      <c r="I248" s="23" t="b">
        <f t="shared" si="3"/>
        <v>1</v>
      </c>
    </row>
    <row r="249">
      <c r="A249" s="23" t="str">
        <f t="shared" si="6"/>
        <v>PLc1074</v>
      </c>
      <c r="B249" s="23" t="str">
        <f>'3.2.raw'!K249</f>
        <v>PLc1074</v>
      </c>
      <c r="C249" s="24">
        <f>datevalue(left('3.2.raw'!M249,10))</f>
        <v>43777</v>
      </c>
      <c r="D249" s="23">
        <f>'3.2.raw'!H249</f>
        <v>11</v>
      </c>
      <c r="E249" s="1">
        <v>3.20000000000006</v>
      </c>
      <c r="F249" s="23" t="b">
        <f>if(countif(Status!C:C,A249)=1,TRUE, FALSE)</f>
        <v>1</v>
      </c>
      <c r="G249" s="23" t="str">
        <f t="shared" si="8"/>
        <v>PLc</v>
      </c>
      <c r="H249" s="23" t="str">
        <f>IFERROR(__xludf.DUMMYFUNCTION("UPPER(filter(Legend!$D$2:$D$32,Legend!$B$2:$B$32=D249))"),"PL")</f>
        <v>PL</v>
      </c>
      <c r="I249" s="23" t="b">
        <f t="shared" si="3"/>
        <v>1</v>
      </c>
    </row>
    <row r="250">
      <c r="A250" s="23" t="str">
        <f t="shared" si="6"/>
        <v>FB1128</v>
      </c>
      <c r="B250" s="23" t="str">
        <f>'3.2.raw'!K250</f>
        <v>FB1128</v>
      </c>
      <c r="C250" s="24">
        <f>datevalue(left('3.2.raw'!M250,10))</f>
        <v>43777</v>
      </c>
      <c r="D250" s="23">
        <f>'3.2.raw'!H250</f>
        <v>99</v>
      </c>
      <c r="E250" s="1">
        <v>3.20000000000006</v>
      </c>
      <c r="F250" s="23" t="b">
        <f>if(countif(Status!C:C,A250)=1,TRUE, FALSE)</f>
        <v>1</v>
      </c>
      <c r="G250" s="23" t="str">
        <f t="shared" si="8"/>
        <v>FB</v>
      </c>
      <c r="H250" s="23" t="str">
        <f>IFERROR(__xludf.DUMMYFUNCTION("UPPER(filter(Legend!$D$2:$D$32,Legend!$B$2:$B$32=D250))"),"FB")</f>
        <v>FB</v>
      </c>
      <c r="I250" s="23" t="b">
        <f t="shared" si="3"/>
        <v>1</v>
      </c>
    </row>
    <row r="251">
      <c r="A251" s="23" t="str">
        <f t="shared" si="6"/>
        <v>PLc1075</v>
      </c>
      <c r="B251" s="23" t="str">
        <f>'3.2.raw'!K251</f>
        <v>PLc1075</v>
      </c>
      <c r="C251" s="24">
        <f>datevalue(left('3.2.raw'!M251,10))</f>
        <v>43777</v>
      </c>
      <c r="D251" s="23">
        <f>'3.2.raw'!H251</f>
        <v>11</v>
      </c>
      <c r="E251" s="1">
        <v>3.20000000000006</v>
      </c>
      <c r="F251" s="23" t="b">
        <f>if(countif(Status!C:C,A251)=1,TRUE, FALSE)</f>
        <v>1</v>
      </c>
      <c r="G251" s="23" t="str">
        <f t="shared" si="8"/>
        <v>PLc</v>
      </c>
      <c r="H251" s="23" t="str">
        <f>IFERROR(__xludf.DUMMYFUNCTION("UPPER(filter(Legend!$D$2:$D$32,Legend!$B$2:$B$32=D251))"),"PL")</f>
        <v>PL</v>
      </c>
      <c r="I251" s="23" t="b">
        <f t="shared" si="3"/>
        <v>1</v>
      </c>
    </row>
    <row r="252">
      <c r="A252" s="23" t="str">
        <f t="shared" si="6"/>
        <v>FB1129</v>
      </c>
      <c r="B252" s="23" t="str">
        <f>'3.2.raw'!K252</f>
        <v>FB1129</v>
      </c>
      <c r="C252" s="24">
        <f>datevalue(left('3.2.raw'!M252,10))</f>
        <v>43777</v>
      </c>
      <c r="D252" s="23">
        <f>'3.2.raw'!H252</f>
        <v>99</v>
      </c>
      <c r="E252" s="1">
        <v>3.20000000000006</v>
      </c>
      <c r="F252" s="23" t="b">
        <f>if(countif(Status!C:C,A252)=1,TRUE, FALSE)</f>
        <v>1</v>
      </c>
      <c r="G252" s="23" t="str">
        <f t="shared" si="8"/>
        <v>FB</v>
      </c>
      <c r="H252" s="23" t="str">
        <f>IFERROR(__xludf.DUMMYFUNCTION("UPPER(filter(Legend!$D$2:$D$32,Legend!$B$2:$B$32=D252))"),"FB")</f>
        <v>FB</v>
      </c>
      <c r="I252" s="23" t="b">
        <f t="shared" si="3"/>
        <v>1</v>
      </c>
    </row>
    <row r="253">
      <c r="A253" s="23" t="str">
        <f t="shared" si="6"/>
        <v>PLc1076</v>
      </c>
      <c r="B253" s="23" t="str">
        <f>'3.2.raw'!K253</f>
        <v>PLc1076</v>
      </c>
      <c r="C253" s="24">
        <f>datevalue(left('3.2.raw'!M253,10))</f>
        <v>43784</v>
      </c>
      <c r="D253" s="23">
        <f>'3.2.raw'!H253</f>
        <v>11</v>
      </c>
      <c r="E253" s="1">
        <v>3.20000000000006</v>
      </c>
      <c r="F253" s="23" t="b">
        <f>if(countif(Status!C:C,A253)=1,TRUE, FALSE)</f>
        <v>1</v>
      </c>
      <c r="G253" s="23" t="str">
        <f t="shared" si="8"/>
        <v>PLc</v>
      </c>
      <c r="H253" s="23" t="str">
        <f>IFERROR(__xludf.DUMMYFUNCTION("UPPER(filter(Legend!$D$2:$D$32,Legend!$B$2:$B$32=D253))"),"PL")</f>
        <v>PL</v>
      </c>
      <c r="I253" s="23" t="b">
        <f t="shared" si="3"/>
        <v>1</v>
      </c>
    </row>
    <row r="254">
      <c r="A254" s="23" t="str">
        <f t="shared" si="6"/>
        <v>PLc1077</v>
      </c>
      <c r="B254" s="23" t="str">
        <f>'3.2.raw'!K254</f>
        <v>PLc1077</v>
      </c>
      <c r="C254" s="24">
        <f>datevalue(left('3.2.raw'!M254,10))</f>
        <v>43784</v>
      </c>
      <c r="D254" s="23">
        <f>'3.2.raw'!H254</f>
        <v>11</v>
      </c>
      <c r="E254" s="1">
        <v>3.20000000000006</v>
      </c>
      <c r="F254" s="23" t="b">
        <f>if(countif(Status!C:C,A254)=1,TRUE, FALSE)</f>
        <v>1</v>
      </c>
      <c r="G254" s="23" t="str">
        <f t="shared" si="8"/>
        <v>PLc</v>
      </c>
      <c r="H254" s="23" t="str">
        <f>IFERROR(__xludf.DUMMYFUNCTION("UPPER(filter(Legend!$D$2:$D$32,Legend!$B$2:$B$32=D254))"),"PL")</f>
        <v>PL</v>
      </c>
      <c r="I254" s="23" t="b">
        <f t="shared" si="3"/>
        <v>1</v>
      </c>
    </row>
    <row r="255">
      <c r="A255" s="23" t="str">
        <f t="shared" si="6"/>
        <v>PLc1078</v>
      </c>
      <c r="B255" s="23" t="str">
        <f>'3.2.raw'!K255</f>
        <v>PLc1078</v>
      </c>
      <c r="C255" s="24">
        <f>datevalue(left('3.2.raw'!M255,10))</f>
        <v>43784</v>
      </c>
      <c r="D255" s="23">
        <f>'3.2.raw'!H255</f>
        <v>11</v>
      </c>
      <c r="E255" s="1">
        <v>3.20000000000006</v>
      </c>
      <c r="F255" s="23" t="b">
        <f>if(countif(Status!C:C,A255)=1,TRUE, FALSE)</f>
        <v>1</v>
      </c>
      <c r="G255" s="23" t="str">
        <f t="shared" si="8"/>
        <v>PLc</v>
      </c>
      <c r="H255" s="23" t="str">
        <f>IFERROR(__xludf.DUMMYFUNCTION("UPPER(filter(Legend!$D$2:$D$32,Legend!$B$2:$B$32=D255))"),"PL")</f>
        <v>PL</v>
      </c>
      <c r="I255" s="23" t="b">
        <f t="shared" si="3"/>
        <v>1</v>
      </c>
    </row>
    <row r="256">
      <c r="A256" s="23" t="str">
        <f t="shared" si="6"/>
        <v>PLc1079</v>
      </c>
      <c r="B256" s="23" t="str">
        <f>'3.2.raw'!K256</f>
        <v>PLc1079</v>
      </c>
      <c r="C256" s="24">
        <f>datevalue(left('3.2.raw'!M256,10))</f>
        <v>43784</v>
      </c>
      <c r="D256" s="23">
        <f>'3.2.raw'!H256</f>
        <v>11</v>
      </c>
      <c r="E256" s="1">
        <v>3.20000000000006</v>
      </c>
      <c r="F256" s="23" t="b">
        <f>if(countif(Status!C:C,A256)=1,TRUE, FALSE)</f>
        <v>1</v>
      </c>
      <c r="G256" s="23" t="str">
        <f t="shared" si="8"/>
        <v>PLc</v>
      </c>
      <c r="H256" s="23" t="str">
        <f>IFERROR(__xludf.DUMMYFUNCTION("UPPER(filter(Legend!$D$2:$D$32,Legend!$B$2:$B$32=D256))"),"PL")</f>
        <v>PL</v>
      </c>
      <c r="I256" s="23" t="b">
        <f t="shared" si="3"/>
        <v>1</v>
      </c>
    </row>
    <row r="257">
      <c r="A257" s="23" t="str">
        <f t="shared" si="6"/>
        <v>PLc1080</v>
      </c>
      <c r="B257" s="23" t="str">
        <f>'3.2.raw'!K257</f>
        <v>PLc1080</v>
      </c>
      <c r="C257" s="24">
        <f>datevalue(left('3.2.raw'!M257,10))</f>
        <v>43784</v>
      </c>
      <c r="D257" s="23">
        <f>'3.2.raw'!H257</f>
        <v>11</v>
      </c>
      <c r="E257" s="1">
        <v>3.20000000000006</v>
      </c>
      <c r="F257" s="23" t="b">
        <f>if(countif(Status!C:C,A257)=1,TRUE, FALSE)</f>
        <v>1</v>
      </c>
      <c r="G257" s="23" t="str">
        <f t="shared" si="8"/>
        <v>PLc</v>
      </c>
      <c r="H257" s="23" t="str">
        <f>IFERROR(__xludf.DUMMYFUNCTION("UPPER(filter(Legend!$D$2:$D$32,Legend!$B$2:$B$32=D257))"),"PL")</f>
        <v>PL</v>
      </c>
      <c r="I257" s="23" t="b">
        <f t="shared" si="3"/>
        <v>1</v>
      </c>
    </row>
    <row r="258">
      <c r="A258" s="23" t="str">
        <f t="shared" si="6"/>
        <v>FPa1005</v>
      </c>
      <c r="B258" s="23" t="str">
        <f>'3.2.raw'!K258</f>
        <v>FPa1005</v>
      </c>
      <c r="C258" s="24">
        <f>datevalue(left('3.2.raw'!M258,10))</f>
        <v>43784</v>
      </c>
      <c r="D258" s="23">
        <f>'3.2.raw'!H258</f>
        <v>14</v>
      </c>
      <c r="E258" s="1">
        <v>3.20000000000006</v>
      </c>
      <c r="F258" s="23" t="b">
        <f>if(countif(Status!C:C,A258)=1,TRUE, FALSE)</f>
        <v>1</v>
      </c>
      <c r="G258" s="23" t="str">
        <f t="shared" si="8"/>
        <v>FPa</v>
      </c>
      <c r="H258" s="23" t="str">
        <f>IFERROR(__xludf.DUMMYFUNCTION("UPPER(filter(Legend!$D$2:$D$32,Legend!$B$2:$B$32=D258))"),"FP")</f>
        <v>FP</v>
      </c>
      <c r="I258" s="23" t="b">
        <f t="shared" si="3"/>
        <v>1</v>
      </c>
    </row>
    <row r="259">
      <c r="A259" s="23" t="str">
        <f t="shared" si="6"/>
        <v>FPb1005</v>
      </c>
      <c r="B259" s="23" t="str">
        <f>'3.2.raw'!K259</f>
        <v>FPb1005</v>
      </c>
      <c r="C259" s="24">
        <f>datevalue(left('3.2.raw'!M259,10))</f>
        <v>43784</v>
      </c>
      <c r="D259" s="23">
        <f>'3.2.raw'!H259</f>
        <v>14</v>
      </c>
      <c r="E259" s="1">
        <v>3.20000000000006</v>
      </c>
      <c r="F259" s="23" t="b">
        <f>if(countif(Status!C:C,A259)=1,TRUE, FALSE)</f>
        <v>1</v>
      </c>
      <c r="G259" s="23" t="str">
        <f t="shared" si="8"/>
        <v>FPb</v>
      </c>
      <c r="H259" s="23" t="str">
        <f>IFERROR(__xludf.DUMMYFUNCTION("UPPER(filter(Legend!$D$2:$D$32,Legend!$B$2:$B$32=D259))"),"FP")</f>
        <v>FP</v>
      </c>
      <c r="I259" s="23" t="b">
        <f t="shared" si="3"/>
        <v>1</v>
      </c>
    </row>
    <row r="260">
      <c r="A260" s="23" t="str">
        <f t="shared" si="6"/>
        <v>FPc1005</v>
      </c>
      <c r="B260" s="23" t="str">
        <f>'3.2.raw'!K260</f>
        <v>FPc1005</v>
      </c>
      <c r="C260" s="24">
        <f>datevalue(left('3.2.raw'!M260,10))</f>
        <v>43784</v>
      </c>
      <c r="D260" s="23">
        <f>'3.2.raw'!H260</f>
        <v>14</v>
      </c>
      <c r="E260" s="1">
        <v>3.20000000000006</v>
      </c>
      <c r="F260" s="23" t="b">
        <f>if(countif(Status!C:C,A260)=1,TRUE, FALSE)</f>
        <v>1</v>
      </c>
      <c r="G260" s="23" t="str">
        <f t="shared" si="8"/>
        <v>FPc</v>
      </c>
      <c r="H260" s="23" t="str">
        <f>IFERROR(__xludf.DUMMYFUNCTION("UPPER(filter(Legend!$D$2:$D$32,Legend!$B$2:$B$32=D260))"),"FP")</f>
        <v>FP</v>
      </c>
      <c r="I260" s="23" t="b">
        <f t="shared" si="3"/>
        <v>1</v>
      </c>
    </row>
    <row r="261">
      <c r="A261" s="23" t="str">
        <f t="shared" si="6"/>
        <v>FPd1005</v>
      </c>
      <c r="B261" s="23" t="str">
        <f>'3.2.raw'!K261</f>
        <v>FPd1005</v>
      </c>
      <c r="C261" s="24">
        <f>datevalue(left('3.2.raw'!M261,10))</f>
        <v>43784</v>
      </c>
      <c r="D261" s="23">
        <f>'3.2.raw'!H261</f>
        <v>14</v>
      </c>
      <c r="E261" s="1">
        <v>3.20000000000006</v>
      </c>
      <c r="F261" s="23" t="b">
        <f>if(countif(Status!C:C,A261)=1,TRUE, FALSE)</f>
        <v>1</v>
      </c>
      <c r="G261" s="23" t="str">
        <f t="shared" si="8"/>
        <v>FPd</v>
      </c>
      <c r="H261" s="23" t="str">
        <f>IFERROR(__xludf.DUMMYFUNCTION("UPPER(filter(Legend!$D$2:$D$32,Legend!$B$2:$B$32=D261))"),"FP")</f>
        <v>FP</v>
      </c>
      <c r="I261" s="23" t="b">
        <f t="shared" si="3"/>
        <v>1</v>
      </c>
    </row>
    <row r="262">
      <c r="A262" s="23" t="str">
        <f t="shared" si="6"/>
        <v>FPe1005</v>
      </c>
      <c r="B262" s="23" t="str">
        <f>'3.2.raw'!K262</f>
        <v>FPe1005</v>
      </c>
      <c r="C262" s="24">
        <f>datevalue(left('3.2.raw'!M262,10))</f>
        <v>43784</v>
      </c>
      <c r="D262" s="23">
        <f>'3.2.raw'!H262</f>
        <v>14</v>
      </c>
      <c r="E262" s="1">
        <v>3.20000000000006</v>
      </c>
      <c r="F262" s="23" t="b">
        <f>if(countif(Status!C:C,A262)=1,TRUE, FALSE)</f>
        <v>1</v>
      </c>
      <c r="G262" s="23" t="str">
        <f t="shared" si="8"/>
        <v>FPe</v>
      </c>
      <c r="H262" s="23" t="str">
        <f>IFERROR(__xludf.DUMMYFUNCTION("UPPER(filter(Legend!$D$2:$D$32,Legend!$B$2:$B$32=D262))"),"FP")</f>
        <v>FP</v>
      </c>
      <c r="I262" s="23" t="b">
        <f t="shared" si="3"/>
        <v>1</v>
      </c>
    </row>
    <row r="263">
      <c r="A263" s="23" t="str">
        <f t="shared" si="6"/>
        <v>FB1137</v>
      </c>
      <c r="B263" s="23" t="str">
        <f>'3.2.raw'!K263</f>
        <v>FB1137</v>
      </c>
      <c r="C263" s="24">
        <f>datevalue(left('3.2.raw'!M263,10))</f>
        <v>43784</v>
      </c>
      <c r="D263" s="23">
        <f>'3.2.raw'!H263</f>
        <v>99</v>
      </c>
      <c r="E263" s="1">
        <v>3.20000000000006</v>
      </c>
      <c r="F263" s="23" t="b">
        <f>if(countif(Status!C:C,A263)=1,TRUE, FALSE)</f>
        <v>1</v>
      </c>
      <c r="G263" s="23" t="str">
        <f t="shared" si="8"/>
        <v>FB</v>
      </c>
      <c r="H263" s="23" t="str">
        <f>IFERROR(__xludf.DUMMYFUNCTION("UPPER(filter(Legend!$D$2:$D$32,Legend!$B$2:$B$32=D263))"),"FB")</f>
        <v>FB</v>
      </c>
      <c r="I263" s="23" t="b">
        <f t="shared" si="3"/>
        <v>1</v>
      </c>
    </row>
    <row r="264">
      <c r="A264" s="23" t="str">
        <f t="shared" si="6"/>
        <v>Sl1001</v>
      </c>
      <c r="B264" s="23" t="str">
        <f>'3.2.raw'!K264</f>
        <v>Sl1001</v>
      </c>
      <c r="C264" s="24">
        <f>datevalue(left('3.2.raw'!M264,10))</f>
        <v>43784</v>
      </c>
      <c r="D264" s="23">
        <f>'3.2.raw'!H264</f>
        <v>97</v>
      </c>
      <c r="E264" s="1">
        <v>3.20000000000006</v>
      </c>
      <c r="F264" s="23" t="b">
        <f>if(countif(Status!C:C,A264)=1,TRUE, FALSE)</f>
        <v>1</v>
      </c>
      <c r="G264" s="23" t="str">
        <f t="shared" si="8"/>
        <v>Sl</v>
      </c>
      <c r="H264" s="23" t="str">
        <f>IFERROR(__xludf.DUMMYFUNCTION("UPPER(filter(Legend!$D$2:$D$32,Legend!$B$2:$B$32=D264))"),"")</f>
        <v/>
      </c>
      <c r="I264" s="23" t="b">
        <f t="shared" si="3"/>
        <v>0</v>
      </c>
    </row>
    <row r="265">
      <c r="A265" s="23" t="str">
        <f t="shared" si="6"/>
        <v>B124-21</v>
      </c>
      <c r="B265" s="23" t="str">
        <f>'3.2.raw'!K265</f>
        <v>B124-21</v>
      </c>
      <c r="C265" s="24">
        <f>datevalue(left('3.2.raw'!M265,10))</f>
        <v>43784</v>
      </c>
      <c r="D265" s="23">
        <f>'3.2.raw'!H265</f>
        <v>97</v>
      </c>
      <c r="E265" s="1">
        <v>3.20000000000006</v>
      </c>
      <c r="F265" s="23" t="b">
        <f>if(countif(Status!C:C,A265)=1,TRUE, FALSE)</f>
        <v>0</v>
      </c>
      <c r="G265" s="23" t="str">
        <f t="shared" si="8"/>
        <v>B12</v>
      </c>
      <c r="H265" s="23" t="str">
        <f>IFERROR(__xludf.DUMMYFUNCTION("UPPER(filter(Legend!$D$2:$D$32,Legend!$B$2:$B$32=D265))"),"")</f>
        <v/>
      </c>
      <c r="I265" s="23" t="b">
        <f t="shared" si="3"/>
        <v>0</v>
      </c>
    </row>
    <row r="266">
      <c r="A266" s="23" t="str">
        <f t="shared" si="6"/>
        <v>PLc1081</v>
      </c>
      <c r="B266" s="23" t="str">
        <f>'3.2.raw'!K266</f>
        <v>PLc1081</v>
      </c>
      <c r="C266" s="24">
        <f>datevalue(left('3.2.raw'!M266,10))</f>
        <v>43788</v>
      </c>
      <c r="D266" s="23">
        <f>'3.2.raw'!H266</f>
        <v>11</v>
      </c>
      <c r="E266" s="1">
        <v>3.20000000000006</v>
      </c>
      <c r="F266" s="23" t="b">
        <f>if(countif(Status!C:C,A266)=1,TRUE, FALSE)</f>
        <v>1</v>
      </c>
      <c r="G266" s="23" t="str">
        <f t="shared" si="8"/>
        <v>PLc</v>
      </c>
      <c r="H266" s="23" t="str">
        <f>IFERROR(__xludf.DUMMYFUNCTION("UPPER(filter(Legend!$D$2:$D$32,Legend!$B$2:$B$32=D266))"),"PL")</f>
        <v>PL</v>
      </c>
      <c r="I266" s="23" t="b">
        <f t="shared" si="3"/>
        <v>1</v>
      </c>
    </row>
    <row r="267">
      <c r="A267" s="23" t="str">
        <f t="shared" si="6"/>
        <v>PLc1082</v>
      </c>
      <c r="B267" s="23" t="str">
        <f>'3.2.raw'!K267</f>
        <v>PLc1082</v>
      </c>
      <c r="C267" s="24">
        <f>datevalue(left('3.2.raw'!M267,10))</f>
        <v>43788</v>
      </c>
      <c r="D267" s="23">
        <f>'3.2.raw'!H267</f>
        <v>11</v>
      </c>
      <c r="E267" s="1">
        <v>3.20000000000006</v>
      </c>
      <c r="F267" s="23" t="b">
        <f>if(countif(Status!C:C,A267)=1,TRUE, FALSE)</f>
        <v>1</v>
      </c>
      <c r="G267" s="23" t="str">
        <f t="shared" si="8"/>
        <v>PLc</v>
      </c>
      <c r="H267" s="23" t="str">
        <f>IFERROR(__xludf.DUMMYFUNCTION("UPPER(filter(Legend!$D$2:$D$32,Legend!$B$2:$B$32=D267))"),"PL")</f>
        <v>PL</v>
      </c>
      <c r="I267" s="23" t="b">
        <f t="shared" si="3"/>
        <v>1</v>
      </c>
    </row>
    <row r="268">
      <c r="A268" s="23" t="str">
        <f t="shared" si="6"/>
        <v>PLc1083</v>
      </c>
      <c r="B268" s="23" t="str">
        <f>'3.2.raw'!K268</f>
        <v>PLc1083</v>
      </c>
      <c r="C268" s="24">
        <f>datevalue(left('3.2.raw'!M268,10))</f>
        <v>43788</v>
      </c>
      <c r="D268" s="23">
        <f>'3.2.raw'!H268</f>
        <v>11</v>
      </c>
      <c r="E268" s="1">
        <v>3.20000000000006</v>
      </c>
      <c r="F268" s="23" t="b">
        <f>if(countif(Status!C:C,A268)=1,TRUE, FALSE)</f>
        <v>1</v>
      </c>
      <c r="G268" s="23" t="str">
        <f t="shared" si="8"/>
        <v>PLc</v>
      </c>
      <c r="H268" s="23" t="str">
        <f>IFERROR(__xludf.DUMMYFUNCTION("UPPER(filter(Legend!$D$2:$D$32,Legend!$B$2:$B$32=D268))"),"PL")</f>
        <v>PL</v>
      </c>
      <c r="I268" s="23" t="b">
        <f t="shared" si="3"/>
        <v>1</v>
      </c>
    </row>
    <row r="269">
      <c r="A269" s="23" t="str">
        <f t="shared" si="6"/>
        <v>PLc1084</v>
      </c>
      <c r="B269" s="23" t="str">
        <f>'3.2.raw'!K269</f>
        <v>PLc1084</v>
      </c>
      <c r="C269" s="24">
        <f>datevalue(left('3.2.raw'!M269,10))</f>
        <v>43788</v>
      </c>
      <c r="D269" s="23">
        <f>'3.2.raw'!H269</f>
        <v>11</v>
      </c>
      <c r="E269" s="1">
        <v>3.20000000000006</v>
      </c>
      <c r="F269" s="23" t="b">
        <f>if(countif(Status!C:C,A269)=1,TRUE, FALSE)</f>
        <v>1</v>
      </c>
      <c r="G269" s="23" t="str">
        <f t="shared" si="8"/>
        <v>PLc</v>
      </c>
      <c r="H269" s="23" t="str">
        <f>IFERROR(__xludf.DUMMYFUNCTION("UPPER(filter(Legend!$D$2:$D$32,Legend!$B$2:$B$32=D269))"),"PL")</f>
        <v>PL</v>
      </c>
      <c r="I269" s="23" t="b">
        <f t="shared" si="3"/>
        <v>1</v>
      </c>
    </row>
    <row r="270">
      <c r="A270" s="23" t="str">
        <f t="shared" si="6"/>
        <v>PLc1085</v>
      </c>
      <c r="B270" s="23" t="str">
        <f>'3.2.raw'!K270</f>
        <v>PLc1085</v>
      </c>
      <c r="C270" s="24">
        <f>datevalue(left('3.2.raw'!M270,10))</f>
        <v>43788</v>
      </c>
      <c r="D270" s="23">
        <f>'3.2.raw'!H270</f>
        <v>11</v>
      </c>
      <c r="E270" s="1">
        <v>3.20000000000006</v>
      </c>
      <c r="F270" s="23" t="b">
        <f>if(countif(Status!C:C,A270)=1,TRUE, FALSE)</f>
        <v>1</v>
      </c>
      <c r="G270" s="23" t="str">
        <f t="shared" si="8"/>
        <v>PLc</v>
      </c>
      <c r="H270" s="23" t="str">
        <f>IFERROR(__xludf.DUMMYFUNCTION("UPPER(filter(Legend!$D$2:$D$32,Legend!$B$2:$B$32=D270))"),"PL")</f>
        <v>PL</v>
      </c>
      <c r="I270" s="23" t="b">
        <f t="shared" si="3"/>
        <v>1</v>
      </c>
    </row>
    <row r="271">
      <c r="A271" s="23" t="str">
        <f t="shared" si="6"/>
        <v>PLc1086</v>
      </c>
      <c r="B271" s="23" t="str">
        <f>'3.2.raw'!K271</f>
        <v>PLc1086</v>
      </c>
      <c r="C271" s="24">
        <f>datevalue(left('3.2.raw'!M271,10))</f>
        <v>43788</v>
      </c>
      <c r="D271" s="23">
        <f>'3.2.raw'!H271</f>
        <v>11</v>
      </c>
      <c r="E271" s="1">
        <v>3.20000000000006</v>
      </c>
      <c r="F271" s="23" t="b">
        <f>if(countif(Status!C:C,A271)=1,TRUE, FALSE)</f>
        <v>1</v>
      </c>
      <c r="G271" s="23" t="str">
        <f t="shared" si="8"/>
        <v>PLc</v>
      </c>
      <c r="H271" s="23" t="str">
        <f>IFERROR(__xludf.DUMMYFUNCTION("UPPER(filter(Legend!$D$2:$D$32,Legend!$B$2:$B$32=D271))"),"PL")</f>
        <v>PL</v>
      </c>
      <c r="I271" s="23" t="b">
        <f t="shared" si="3"/>
        <v>1</v>
      </c>
    </row>
    <row r="272">
      <c r="A272" s="23" t="str">
        <f t="shared" si="6"/>
        <v>PLc1087</v>
      </c>
      <c r="B272" s="23" t="str">
        <f>'3.2.raw'!K272</f>
        <v>PLc1087</v>
      </c>
      <c r="C272" s="24">
        <f>datevalue(left('3.2.raw'!M272,10))</f>
        <v>43788</v>
      </c>
      <c r="D272" s="23">
        <f>'3.2.raw'!H272</f>
        <v>11</v>
      </c>
      <c r="E272" s="1">
        <v>3.20000000000006</v>
      </c>
      <c r="F272" s="23" t="b">
        <f>if(countif(Status!C:C,A272)=1,TRUE, FALSE)</f>
        <v>1</v>
      </c>
      <c r="G272" s="23" t="str">
        <f t="shared" si="8"/>
        <v>PLc</v>
      </c>
      <c r="H272" s="23" t="str">
        <f>IFERROR(__xludf.DUMMYFUNCTION("UPPER(filter(Legend!$D$2:$D$32,Legend!$B$2:$B$32=D272))"),"PL")</f>
        <v>PL</v>
      </c>
      <c r="I272" s="23" t="b">
        <f t="shared" si="3"/>
        <v>1</v>
      </c>
    </row>
    <row r="273">
      <c r="A273" s="23" t="str">
        <f t="shared" si="6"/>
        <v>SL1001</v>
      </c>
      <c r="B273" s="23" t="str">
        <f>'3.2.raw'!K273</f>
        <v>SL1001</v>
      </c>
      <c r="C273" s="24">
        <f>datevalue(left('3.2.raw'!M273,10))</f>
        <v>43788</v>
      </c>
      <c r="D273" s="23">
        <f>'3.2.raw'!H273</f>
        <v>97</v>
      </c>
      <c r="E273" s="1">
        <v>3.20000000000006</v>
      </c>
      <c r="F273" s="23" t="b">
        <f>if(countif(Status!C:C,A273)=1,TRUE, FALSE)</f>
        <v>1</v>
      </c>
      <c r="G273" s="23" t="str">
        <f t="shared" si="8"/>
        <v>SL</v>
      </c>
      <c r="H273" s="23" t="str">
        <f>IFERROR(__xludf.DUMMYFUNCTION("UPPER(filter(Legend!$D$2:$D$32,Legend!$B$2:$B$32=D273))"),"")</f>
        <v/>
      </c>
      <c r="I273" s="23" t="b">
        <f t="shared" si="3"/>
        <v>0</v>
      </c>
    </row>
    <row r="274">
      <c r="A274" s="23" t="str">
        <f t="shared" si="6"/>
        <v>B124-21</v>
      </c>
      <c r="B274" s="23" t="str">
        <f>'3.2.raw'!K274</f>
        <v>B124-21</v>
      </c>
      <c r="C274" s="24">
        <f>datevalue(left('3.2.raw'!M274,10))</f>
        <v>43788</v>
      </c>
      <c r="D274" s="23">
        <f>'3.2.raw'!H274</f>
        <v>97</v>
      </c>
      <c r="E274" s="1">
        <v>3.20000000000006</v>
      </c>
      <c r="F274" s="23" t="b">
        <f>if(countif(Status!C:C,A274)=1,TRUE, FALSE)</f>
        <v>0</v>
      </c>
      <c r="G274" s="23" t="str">
        <f t="shared" si="8"/>
        <v>B12</v>
      </c>
      <c r="H274" s="23" t="str">
        <f>IFERROR(__xludf.DUMMYFUNCTION("UPPER(filter(Legend!$D$2:$D$32,Legend!$B$2:$B$32=D274))"),"")</f>
        <v/>
      </c>
      <c r="I274" s="23" t="b">
        <f t="shared" si="3"/>
        <v>0</v>
      </c>
    </row>
    <row r="275">
      <c r="A275" s="23" t="str">
        <f t="shared" si="6"/>
        <v>UF1008</v>
      </c>
      <c r="B275" s="23" t="str">
        <f>'3.2.raw'!K275</f>
        <v>UF1008</v>
      </c>
      <c r="C275" s="24">
        <f>datevalue(left('3.2.raw'!M275,10))</f>
        <v>43791</v>
      </c>
      <c r="D275" s="23">
        <f>'3.2.raw'!H275</f>
        <v>16</v>
      </c>
      <c r="E275" s="1">
        <v>3.20000000000006</v>
      </c>
      <c r="F275" s="23" t="b">
        <f>if(countif(Status!C:C,A275)=1,TRUE, FALSE)</f>
        <v>1</v>
      </c>
      <c r="G275" s="23" t="str">
        <f t="shared" si="8"/>
        <v>UF</v>
      </c>
      <c r="H275" s="23" t="str">
        <f>IFERROR(__xludf.DUMMYFUNCTION("UPPER(filter(Legend!$D$2:$D$32,Legend!$B$2:$B$32=D275))"),"UF")</f>
        <v>UF</v>
      </c>
      <c r="I275" s="23" t="b">
        <f t="shared" si="3"/>
        <v>1</v>
      </c>
    </row>
    <row r="276">
      <c r="A276" s="23" t="str">
        <f t="shared" si="6"/>
        <v>COa1007</v>
      </c>
      <c r="B276" s="23" t="str">
        <f>'3.2.raw'!K276</f>
        <v>COa1007</v>
      </c>
      <c r="C276" s="24">
        <f>datevalue(left('3.2.raw'!M276,10))</f>
        <v>43791</v>
      </c>
      <c r="D276" s="23">
        <f>'3.2.raw'!H276</f>
        <v>15</v>
      </c>
      <c r="E276" s="1">
        <v>3.20000000000006</v>
      </c>
      <c r="F276" s="23" t="b">
        <f>if(countif(Status!C:C,A276)=1,TRUE, FALSE)</f>
        <v>1</v>
      </c>
      <c r="G276" s="23" t="str">
        <f t="shared" si="8"/>
        <v>COa</v>
      </c>
      <c r="H276" s="23" t="str">
        <f>IFERROR(__xludf.DUMMYFUNCTION("UPPER(filter(Legend!$D$2:$D$32,Legend!$B$2:$B$32=D276))"),"CO")</f>
        <v>CO</v>
      </c>
      <c r="I276" s="23" t="b">
        <f t="shared" si="3"/>
        <v>1</v>
      </c>
    </row>
    <row r="277">
      <c r="A277" s="23" t="str">
        <f t="shared" si="6"/>
        <v>COb1020</v>
      </c>
      <c r="B277" s="23" t="str">
        <f>'3.2.raw'!K277</f>
        <v>COb1020</v>
      </c>
      <c r="C277" s="24">
        <f>datevalue(left('3.2.raw'!M277,10))</f>
        <v>43791</v>
      </c>
      <c r="D277" s="23">
        <f>'3.2.raw'!H277</f>
        <v>15</v>
      </c>
      <c r="E277" s="1">
        <v>3.20000000000006</v>
      </c>
      <c r="F277" s="23" t="b">
        <f>if(countif(Status!C:C,A277)=1,TRUE, FALSE)</f>
        <v>1</v>
      </c>
      <c r="G277" s="23" t="str">
        <f t="shared" si="8"/>
        <v>COb</v>
      </c>
      <c r="H277" s="23" t="str">
        <f>IFERROR(__xludf.DUMMYFUNCTION("UPPER(filter(Legend!$D$2:$D$32,Legend!$B$2:$B$32=D277))"),"CO")</f>
        <v>CO</v>
      </c>
      <c r="I277" s="23" t="b">
        <f t="shared" si="3"/>
        <v>1</v>
      </c>
    </row>
    <row r="278">
      <c r="A278" s="23" t="str">
        <f t="shared" si="6"/>
        <v>COb1021</v>
      </c>
      <c r="B278" s="23" t="str">
        <f>'3.2.raw'!K278</f>
        <v>COb1021</v>
      </c>
      <c r="C278" s="24">
        <f>datevalue(left('3.2.raw'!M278,10))</f>
        <v>43791</v>
      </c>
      <c r="D278" s="23">
        <f>'3.2.raw'!H278</f>
        <v>15</v>
      </c>
      <c r="E278" s="1">
        <v>3.20000000000006</v>
      </c>
      <c r="F278" s="23" t="b">
        <f>if(countif(Status!C:C,A278)=1,TRUE, FALSE)</f>
        <v>1</v>
      </c>
      <c r="G278" s="23" t="str">
        <f t="shared" si="8"/>
        <v>COb</v>
      </c>
      <c r="H278" s="23" t="str">
        <f>IFERROR(__xludf.DUMMYFUNCTION("UPPER(filter(Legend!$D$2:$D$32,Legend!$B$2:$B$32=D278))"),"CO")</f>
        <v>CO</v>
      </c>
      <c r="I278" s="23" t="b">
        <f t="shared" si="3"/>
        <v>1</v>
      </c>
    </row>
    <row r="279">
      <c r="A279" s="23" t="str">
        <f t="shared" si="6"/>
        <v>COb1022</v>
      </c>
      <c r="B279" s="23" t="str">
        <f>'3.2.raw'!K279</f>
        <v>COb1022</v>
      </c>
      <c r="C279" s="24">
        <f>datevalue(left('3.2.raw'!M279,10))</f>
        <v>43791</v>
      </c>
      <c r="D279" s="23">
        <f>'3.2.raw'!H279</f>
        <v>15</v>
      </c>
      <c r="E279" s="1">
        <v>3.20000000000006</v>
      </c>
      <c r="F279" s="23" t="b">
        <f>if(countif(Status!C:C,A279)=1,TRUE, FALSE)</f>
        <v>1</v>
      </c>
      <c r="G279" s="23" t="str">
        <f t="shared" si="8"/>
        <v>COb</v>
      </c>
      <c r="H279" s="23" t="str">
        <f>IFERROR(__xludf.DUMMYFUNCTION("UPPER(filter(Legend!$D$2:$D$32,Legend!$B$2:$B$32=D279))"),"CO")</f>
        <v>CO</v>
      </c>
      <c r="I279" s="23" t="b">
        <f t="shared" si="3"/>
        <v>1</v>
      </c>
    </row>
    <row r="280">
      <c r="A280" s="23" t="str">
        <f t="shared" si="6"/>
        <v>PLc1088</v>
      </c>
      <c r="B280" s="23" t="str">
        <f>'3.2.raw'!K280</f>
        <v>PLc1088</v>
      </c>
      <c r="C280" s="24">
        <f>datevalue(left('3.2.raw'!M280,10))</f>
        <v>43791</v>
      </c>
      <c r="D280" s="23">
        <f>'3.2.raw'!H280</f>
        <v>11</v>
      </c>
      <c r="E280" s="1">
        <v>3.20000000000006</v>
      </c>
      <c r="F280" s="23" t="b">
        <f>if(countif(Status!C:C,A280)=1,TRUE, FALSE)</f>
        <v>1</v>
      </c>
      <c r="G280" s="23" t="str">
        <f t="shared" si="8"/>
        <v>PLc</v>
      </c>
      <c r="H280" s="23" t="str">
        <f>IFERROR(__xludf.DUMMYFUNCTION("UPPER(filter(Legend!$D$2:$D$32,Legend!$B$2:$B$32=D280))"),"PL")</f>
        <v>PL</v>
      </c>
      <c r="I280" s="23" t="b">
        <f t="shared" si="3"/>
        <v>1</v>
      </c>
    </row>
    <row r="281">
      <c r="A281" s="23" t="str">
        <f t="shared" si="6"/>
        <v>PLc1089</v>
      </c>
      <c r="B281" s="23" t="str">
        <f>'3.2.raw'!K281</f>
        <v>PLc1089</v>
      </c>
      <c r="C281" s="24">
        <f>datevalue(left('3.2.raw'!M281,10))</f>
        <v>43791</v>
      </c>
      <c r="D281" s="23">
        <f>'3.2.raw'!H281</f>
        <v>11</v>
      </c>
      <c r="E281" s="1">
        <v>3.20000000000006</v>
      </c>
      <c r="F281" s="23" t="b">
        <f>if(countif(Status!C:C,A281)=1,TRUE, FALSE)</f>
        <v>1</v>
      </c>
      <c r="G281" s="23" t="str">
        <f t="shared" si="8"/>
        <v>PLc</v>
      </c>
      <c r="H281" s="23" t="str">
        <f>IFERROR(__xludf.DUMMYFUNCTION("UPPER(filter(Legend!$D$2:$D$32,Legend!$B$2:$B$32=D281))"),"PL")</f>
        <v>PL</v>
      </c>
      <c r="I281" s="23" t="b">
        <f t="shared" si="3"/>
        <v>1</v>
      </c>
    </row>
    <row r="282">
      <c r="A282" s="23" t="str">
        <f t="shared" si="6"/>
        <v>PLc1090</v>
      </c>
      <c r="B282" s="23" t="str">
        <f>'3.2.raw'!K282</f>
        <v>PLc1090</v>
      </c>
      <c r="C282" s="24">
        <f>datevalue(left('3.2.raw'!M282,10))</f>
        <v>43791</v>
      </c>
      <c r="D282" s="23">
        <f>'3.2.raw'!H282</f>
        <v>11</v>
      </c>
      <c r="E282" s="1">
        <v>3.20000000000006</v>
      </c>
      <c r="F282" s="23" t="b">
        <f>if(countif(Status!C:C,A282)=1,TRUE, FALSE)</f>
        <v>1</v>
      </c>
      <c r="G282" s="23" t="str">
        <f t="shared" si="8"/>
        <v>PLc</v>
      </c>
      <c r="H282" s="23" t="str">
        <f>IFERROR(__xludf.DUMMYFUNCTION("UPPER(filter(Legend!$D$2:$D$32,Legend!$B$2:$B$32=D282))"),"PL")</f>
        <v>PL</v>
      </c>
      <c r="I282" s="23" t="b">
        <f t="shared" si="3"/>
        <v>1</v>
      </c>
    </row>
    <row r="283">
      <c r="A283" s="23" t="str">
        <f t="shared" si="6"/>
        <v>PLc1091</v>
      </c>
      <c r="B283" s="23" t="str">
        <f>'3.2.raw'!K283</f>
        <v>PLc1091</v>
      </c>
      <c r="C283" s="24">
        <f>datevalue(left('3.2.raw'!M283,10))</f>
        <v>43791</v>
      </c>
      <c r="D283" s="23">
        <f>'3.2.raw'!H283</f>
        <v>11</v>
      </c>
      <c r="E283" s="1">
        <v>3.20000000000006</v>
      </c>
      <c r="F283" s="23" t="b">
        <f>if(countif(Status!C:C,A283)=1,TRUE, FALSE)</f>
        <v>1</v>
      </c>
      <c r="G283" s="23" t="str">
        <f t="shared" si="8"/>
        <v>PLc</v>
      </c>
      <c r="H283" s="23" t="str">
        <f>IFERROR(__xludf.DUMMYFUNCTION("UPPER(filter(Legend!$D$2:$D$32,Legend!$B$2:$B$32=D283))"),"PL")</f>
        <v>PL</v>
      </c>
      <c r="I283" s="23" t="b">
        <f t="shared" si="3"/>
        <v>1</v>
      </c>
    </row>
    <row r="284">
      <c r="A284" s="23" t="str">
        <f t="shared" si="6"/>
        <v>PLc1092</v>
      </c>
      <c r="B284" s="23" t="str">
        <f>'3.2.raw'!K284</f>
        <v>PLc1092</v>
      </c>
      <c r="C284" s="24">
        <f>datevalue(left('3.2.raw'!M284,10))</f>
        <v>43791</v>
      </c>
      <c r="D284" s="23">
        <f>'3.2.raw'!H284</f>
        <v>11</v>
      </c>
      <c r="E284" s="1">
        <v>3.20000000000006</v>
      </c>
      <c r="F284" s="23" t="b">
        <f>if(countif(Status!C:C,A284)=1,TRUE, FALSE)</f>
        <v>1</v>
      </c>
      <c r="G284" s="23" t="str">
        <f t="shared" si="8"/>
        <v>PLc</v>
      </c>
      <c r="H284" s="23" t="str">
        <f>IFERROR(__xludf.DUMMYFUNCTION("UPPER(filter(Legend!$D$2:$D$32,Legend!$B$2:$B$32=D284))"),"PL")</f>
        <v>PL</v>
      </c>
      <c r="I284" s="23" t="b">
        <f t="shared" si="3"/>
        <v>1</v>
      </c>
    </row>
    <row r="285">
      <c r="A285" s="23" t="str">
        <f t="shared" si="6"/>
        <v>PLc1093</v>
      </c>
      <c r="B285" s="23" t="str">
        <f>'3.2.raw'!K285</f>
        <v>PLc1093</v>
      </c>
      <c r="C285" s="24">
        <f>datevalue(left('3.2.raw'!M285,10))</f>
        <v>43791</v>
      </c>
      <c r="D285" s="23">
        <f>'3.2.raw'!H285</f>
        <v>11</v>
      </c>
      <c r="E285" s="1">
        <v>3.20000000000006</v>
      </c>
      <c r="F285" s="23" t="b">
        <f>if(countif(Status!C:C,A285)=1,TRUE, FALSE)</f>
        <v>1</v>
      </c>
      <c r="G285" s="23" t="str">
        <f t="shared" si="8"/>
        <v>PLc</v>
      </c>
      <c r="H285" s="23" t="str">
        <f>IFERROR(__xludf.DUMMYFUNCTION("UPPER(filter(Legend!$D$2:$D$32,Legend!$B$2:$B$32=D285))"),"PL")</f>
        <v>PL</v>
      </c>
      <c r="I285" s="23" t="b">
        <f t="shared" si="3"/>
        <v>1</v>
      </c>
    </row>
    <row r="286">
      <c r="A286" s="23" t="str">
        <f t="shared" si="6"/>
        <v>PLc1094</v>
      </c>
      <c r="B286" s="23" t="str">
        <f>'3.2.raw'!K286</f>
        <v>PLc1094</v>
      </c>
      <c r="C286" s="24">
        <f>datevalue(left('3.2.raw'!M286,10))</f>
        <v>43791</v>
      </c>
      <c r="D286" s="23">
        <f>'3.2.raw'!H286</f>
        <v>11</v>
      </c>
      <c r="E286" s="1">
        <v>3.20000000000006</v>
      </c>
      <c r="F286" s="23" t="b">
        <f>if(countif(Status!C:C,A286)=1,TRUE, FALSE)</f>
        <v>1</v>
      </c>
      <c r="G286" s="23" t="str">
        <f t="shared" si="8"/>
        <v>PLc</v>
      </c>
      <c r="H286" s="23" t="str">
        <f>IFERROR(__xludf.DUMMYFUNCTION("UPPER(filter(Legend!$D$2:$D$32,Legend!$B$2:$B$32=D286))"),"PL")</f>
        <v>PL</v>
      </c>
      <c r="I286" s="23" t="b">
        <f t="shared" si="3"/>
        <v>1</v>
      </c>
    </row>
    <row r="287">
      <c r="A287" s="23" t="str">
        <f t="shared" si="6"/>
        <v>SL1001</v>
      </c>
      <c r="B287" s="23" t="str">
        <f>'3.2.raw'!K287</f>
        <v>SL1001</v>
      </c>
      <c r="C287" s="24">
        <f>datevalue(left('3.2.raw'!M287,10))</f>
        <v>43791</v>
      </c>
      <c r="D287" s="23">
        <f>'3.2.raw'!H287</f>
        <v>97</v>
      </c>
      <c r="E287" s="1">
        <v>3.20000000000006</v>
      </c>
      <c r="F287" s="23" t="b">
        <f>if(countif(Status!C:C,A287)=1,TRUE, FALSE)</f>
        <v>1</v>
      </c>
      <c r="G287" s="23" t="str">
        <f t="shared" si="8"/>
        <v>SL</v>
      </c>
      <c r="H287" s="23" t="str">
        <f>IFERROR(__xludf.DUMMYFUNCTION("UPPER(filter(Legend!$D$2:$D$32,Legend!$B$2:$B$32=D287))"),"")</f>
        <v/>
      </c>
      <c r="I287" s="23" t="b">
        <f t="shared" si="3"/>
        <v>0</v>
      </c>
    </row>
    <row r="288">
      <c r="A288" s="23" t="str">
        <f t="shared" si="6"/>
        <v>B124-21</v>
      </c>
      <c r="B288" s="23" t="str">
        <f>'3.2.raw'!K288</f>
        <v>B124-21</v>
      </c>
      <c r="C288" s="24">
        <f>datevalue(left('3.2.raw'!M288,10))</f>
        <v>43791</v>
      </c>
      <c r="D288" s="23">
        <f>'3.2.raw'!H288</f>
        <v>97</v>
      </c>
      <c r="E288" s="1">
        <v>3.20000000000006</v>
      </c>
      <c r="F288" s="23" t="b">
        <f>if(countif(Status!C:C,A288)=1,TRUE, FALSE)</f>
        <v>0</v>
      </c>
      <c r="G288" s="23" t="str">
        <f t="shared" si="8"/>
        <v>B12</v>
      </c>
      <c r="H288" s="23" t="str">
        <f>IFERROR(__xludf.DUMMYFUNCTION("UPPER(filter(Legend!$D$2:$D$32,Legend!$B$2:$B$32=D288))"),"")</f>
        <v/>
      </c>
      <c r="I288" s="23" t="b">
        <f t="shared" si="3"/>
        <v>0</v>
      </c>
    </row>
    <row r="289">
      <c r="A289" s="23" t="str">
        <f t="shared" si="6"/>
        <v>PLc1095</v>
      </c>
      <c r="B289" s="23" t="str">
        <f>'3.2.raw'!K289</f>
        <v>PLc1095</v>
      </c>
      <c r="C289" s="24">
        <f>datevalue(left('3.2.raw'!M289,10))</f>
        <v>43796</v>
      </c>
      <c r="D289" s="23">
        <f>'3.2.raw'!H289</f>
        <v>11</v>
      </c>
      <c r="E289" s="1">
        <v>3.20000000000006</v>
      </c>
      <c r="F289" s="23" t="b">
        <f>if(countif(Status!C:C,A289)=1,TRUE, FALSE)</f>
        <v>1</v>
      </c>
      <c r="G289" s="23" t="str">
        <f t="shared" si="8"/>
        <v>PLc</v>
      </c>
      <c r="H289" s="23" t="str">
        <f>IFERROR(__xludf.DUMMYFUNCTION("UPPER(filter(Legend!$D$2:$D$32,Legend!$B$2:$B$32=D289))"),"PL")</f>
        <v>PL</v>
      </c>
      <c r="I289" s="23" t="b">
        <f t="shared" si="3"/>
        <v>1</v>
      </c>
    </row>
    <row r="290">
      <c r="A290" s="23" t="str">
        <f t="shared" si="6"/>
        <v>PLc1096</v>
      </c>
      <c r="B290" s="23" t="str">
        <f>'3.2.raw'!K290</f>
        <v>PLc1096</v>
      </c>
      <c r="C290" s="24">
        <f>datevalue(left('3.2.raw'!M290,10))</f>
        <v>43796</v>
      </c>
      <c r="D290" s="23">
        <f>'3.2.raw'!H290</f>
        <v>11</v>
      </c>
      <c r="E290" s="1">
        <v>3.20000000000006</v>
      </c>
      <c r="F290" s="23" t="b">
        <f>if(countif(Status!C:C,A290)=1,TRUE, FALSE)</f>
        <v>1</v>
      </c>
      <c r="G290" s="23" t="str">
        <f t="shared" si="8"/>
        <v>PLc</v>
      </c>
      <c r="H290" s="23" t="str">
        <f>IFERROR(__xludf.DUMMYFUNCTION("UPPER(filter(Legend!$D$2:$D$32,Legend!$B$2:$B$32=D290))"),"PL")</f>
        <v>PL</v>
      </c>
      <c r="I290" s="23" t="b">
        <f t="shared" si="3"/>
        <v>1</v>
      </c>
    </row>
    <row r="291">
      <c r="A291" s="23" t="str">
        <f t="shared" si="6"/>
        <v>PLc1097</v>
      </c>
      <c r="B291" s="23" t="str">
        <f>'3.2.raw'!K291</f>
        <v>PLc1097</v>
      </c>
      <c r="C291" s="24">
        <f>datevalue(left('3.2.raw'!M291,10))</f>
        <v>43796</v>
      </c>
      <c r="D291" s="23">
        <f>'3.2.raw'!H291</f>
        <v>11</v>
      </c>
      <c r="E291" s="1">
        <v>3.20000000000006</v>
      </c>
      <c r="F291" s="23" t="b">
        <f>if(countif(Status!C:C,A291)=1,TRUE, FALSE)</f>
        <v>1</v>
      </c>
      <c r="G291" s="23" t="str">
        <f t="shared" si="8"/>
        <v>PLc</v>
      </c>
      <c r="H291" s="23" t="str">
        <f>IFERROR(__xludf.DUMMYFUNCTION("UPPER(filter(Legend!$D$2:$D$32,Legend!$B$2:$B$32=D291))"),"PL")</f>
        <v>PL</v>
      </c>
      <c r="I291" s="23" t="b">
        <f t="shared" si="3"/>
        <v>1</v>
      </c>
    </row>
    <row r="292">
      <c r="A292" s="23" t="str">
        <f t="shared" si="6"/>
        <v>PLc1098</v>
      </c>
      <c r="B292" s="23" t="str">
        <f>'3.2.raw'!K292</f>
        <v>PLc1098</v>
      </c>
      <c r="C292" s="24">
        <f>datevalue(left('3.2.raw'!M292,10))</f>
        <v>43796</v>
      </c>
      <c r="D292" s="23">
        <f>'3.2.raw'!H292</f>
        <v>11</v>
      </c>
      <c r="E292" s="1">
        <v>3.20000000000006</v>
      </c>
      <c r="F292" s="23" t="b">
        <f>if(countif(Status!C:C,A292)=1,TRUE, FALSE)</f>
        <v>1</v>
      </c>
      <c r="G292" s="23" t="str">
        <f t="shared" si="8"/>
        <v>PLc</v>
      </c>
      <c r="H292" s="23" t="str">
        <f>IFERROR(__xludf.DUMMYFUNCTION("UPPER(filter(Legend!$D$2:$D$32,Legend!$B$2:$B$32=D292))"),"PL")</f>
        <v>PL</v>
      </c>
      <c r="I292" s="23" t="b">
        <f t="shared" si="3"/>
        <v>1</v>
      </c>
    </row>
    <row r="293">
      <c r="A293" s="23" t="str">
        <f t="shared" si="6"/>
        <v>PLc1099</v>
      </c>
      <c r="B293" s="23" t="str">
        <f>'3.2.raw'!K293</f>
        <v>PLc1099</v>
      </c>
      <c r="C293" s="24">
        <f>datevalue(left('3.2.raw'!M293,10))</f>
        <v>43796</v>
      </c>
      <c r="D293" s="23">
        <f>'3.2.raw'!H293</f>
        <v>11</v>
      </c>
      <c r="E293" s="1">
        <v>3.20000000000006</v>
      </c>
      <c r="F293" s="23" t="b">
        <f>if(countif(Status!C:C,A293)=1,TRUE, FALSE)</f>
        <v>1</v>
      </c>
      <c r="G293" s="23" t="str">
        <f t="shared" si="8"/>
        <v>PLc</v>
      </c>
      <c r="H293" s="23" t="str">
        <f>IFERROR(__xludf.DUMMYFUNCTION("UPPER(filter(Legend!$D$2:$D$32,Legend!$B$2:$B$32=D293))"),"PL")</f>
        <v>PL</v>
      </c>
      <c r="I293" s="23" t="b">
        <f t="shared" si="3"/>
        <v>1</v>
      </c>
    </row>
    <row r="294">
      <c r="A294" s="23" t="str">
        <f t="shared" si="6"/>
        <v>FPd1006</v>
      </c>
      <c r="B294" s="23" t="str">
        <f>'3.2.raw'!K294</f>
        <v>FPd1006</v>
      </c>
      <c r="C294" s="24">
        <f>datevalue(left('3.2.raw'!M294,10))</f>
        <v>43796</v>
      </c>
      <c r="D294" s="23">
        <f>'3.2.raw'!H294</f>
        <v>14</v>
      </c>
      <c r="E294" s="1">
        <v>3.20000000000006</v>
      </c>
      <c r="F294" s="23" t="b">
        <f>if(countif(Status!C:C,A294)=1,TRUE, FALSE)</f>
        <v>1</v>
      </c>
      <c r="G294" s="23" t="str">
        <f t="shared" si="8"/>
        <v>FPd</v>
      </c>
      <c r="H294" s="23" t="str">
        <f>IFERROR(__xludf.DUMMYFUNCTION("UPPER(filter(Legend!$D$2:$D$32,Legend!$B$2:$B$32=D294))"),"FP")</f>
        <v>FP</v>
      </c>
      <c r="I294" s="23" t="b">
        <f t="shared" si="3"/>
        <v>1</v>
      </c>
    </row>
    <row r="295">
      <c r="A295" s="23" t="str">
        <f t="shared" si="6"/>
        <v>FPb1006</v>
      </c>
      <c r="B295" s="23" t="str">
        <f>'3.2.raw'!K295</f>
        <v>FPb1006</v>
      </c>
      <c r="C295" s="24">
        <f>datevalue(left('3.2.raw'!M295,10))</f>
        <v>43796</v>
      </c>
      <c r="D295" s="23">
        <f>'3.2.raw'!H295</f>
        <v>14</v>
      </c>
      <c r="E295" s="1">
        <v>3.20000000000006</v>
      </c>
      <c r="F295" s="23" t="b">
        <f>if(countif(Status!C:C,A295)=1,TRUE, FALSE)</f>
        <v>1</v>
      </c>
      <c r="G295" s="23" t="str">
        <f t="shared" si="8"/>
        <v>FPb</v>
      </c>
      <c r="H295" s="23" t="str">
        <f>IFERROR(__xludf.DUMMYFUNCTION("UPPER(filter(Legend!$D$2:$D$32,Legend!$B$2:$B$32=D295))"),"FP")</f>
        <v>FP</v>
      </c>
      <c r="I295" s="23" t="b">
        <f t="shared" si="3"/>
        <v>1</v>
      </c>
    </row>
    <row r="296">
      <c r="A296" s="23" t="str">
        <f t="shared" si="6"/>
        <v>FPe1006</v>
      </c>
      <c r="B296" s="23" t="str">
        <f>'3.2.raw'!K296</f>
        <v>FPe1006</v>
      </c>
      <c r="C296" s="24">
        <f>datevalue(left('3.2.raw'!M296,10))</f>
        <v>43796</v>
      </c>
      <c r="D296" s="23">
        <f>'3.2.raw'!H296</f>
        <v>14</v>
      </c>
      <c r="E296" s="1">
        <v>3.20000000000006</v>
      </c>
      <c r="F296" s="23" t="b">
        <f>if(countif(Status!C:C,A296)=1,TRUE, FALSE)</f>
        <v>1</v>
      </c>
      <c r="G296" s="23" t="str">
        <f t="shared" si="8"/>
        <v>FPe</v>
      </c>
      <c r="H296" s="23" t="str">
        <f>IFERROR(__xludf.DUMMYFUNCTION("UPPER(filter(Legend!$D$2:$D$32,Legend!$B$2:$B$32=D296))"),"FP")</f>
        <v>FP</v>
      </c>
      <c r="I296" s="23" t="b">
        <f t="shared" si="3"/>
        <v>1</v>
      </c>
    </row>
    <row r="297">
      <c r="A297" s="23" t="str">
        <f t="shared" si="6"/>
        <v>FPa1006</v>
      </c>
      <c r="B297" s="23" t="str">
        <f>'3.2.raw'!K297</f>
        <v>FPa1006</v>
      </c>
      <c r="C297" s="24">
        <f>datevalue(left('3.2.raw'!M297,10))</f>
        <v>43796</v>
      </c>
      <c r="D297" s="23">
        <f>'3.2.raw'!H297</f>
        <v>14</v>
      </c>
      <c r="E297" s="1">
        <v>3.20000000000006</v>
      </c>
      <c r="F297" s="23" t="b">
        <f>if(countif(Status!C:C,A297)=1,TRUE, FALSE)</f>
        <v>1</v>
      </c>
      <c r="G297" s="23" t="str">
        <f t="shared" si="8"/>
        <v>FPa</v>
      </c>
      <c r="H297" s="23" t="str">
        <f>IFERROR(__xludf.DUMMYFUNCTION("UPPER(filter(Legend!$D$2:$D$32,Legend!$B$2:$B$32=D297))"),"FP")</f>
        <v>FP</v>
      </c>
      <c r="I297" s="23" t="b">
        <f t="shared" si="3"/>
        <v>1</v>
      </c>
    </row>
    <row r="298">
      <c r="A298" s="23" t="str">
        <f t="shared" si="6"/>
        <v>FPc1006</v>
      </c>
      <c r="B298" s="23" t="str">
        <f>'3.2.raw'!K298</f>
        <v>FPc1006</v>
      </c>
      <c r="C298" s="24">
        <f>datevalue(left('3.2.raw'!M298,10))</f>
        <v>43796</v>
      </c>
      <c r="D298" s="23">
        <f>'3.2.raw'!H298</f>
        <v>14</v>
      </c>
      <c r="E298" s="1">
        <v>3.20000000000006</v>
      </c>
      <c r="F298" s="23" t="b">
        <f>if(countif(Status!C:C,A298)=1,TRUE, FALSE)</f>
        <v>1</v>
      </c>
      <c r="G298" s="23" t="str">
        <f t="shared" si="8"/>
        <v>FPc</v>
      </c>
      <c r="H298" s="23" t="str">
        <f>IFERROR(__xludf.DUMMYFUNCTION("UPPER(filter(Legend!$D$2:$D$32,Legend!$B$2:$B$32=D298))"),"FP")</f>
        <v>FP</v>
      </c>
      <c r="I298" s="23" t="b">
        <f t="shared" si="3"/>
        <v>1</v>
      </c>
    </row>
    <row r="299">
      <c r="A299" s="23" t="str">
        <f t="shared" si="6"/>
        <v>B124-21</v>
      </c>
      <c r="B299" s="23" t="str">
        <f>'3.2.raw'!K299</f>
        <v>B124-21</v>
      </c>
      <c r="C299" s="24">
        <f>datevalue(left('3.2.raw'!M299,10))</f>
        <v>43796</v>
      </c>
      <c r="D299" s="23">
        <f>'3.2.raw'!H299</f>
        <v>97</v>
      </c>
      <c r="E299" s="1">
        <v>3.20000000000006</v>
      </c>
      <c r="F299" s="23" t="b">
        <f>if(countif(Status!C:C,A299)=1,TRUE, FALSE)</f>
        <v>0</v>
      </c>
      <c r="G299" s="23" t="str">
        <f t="shared" si="8"/>
        <v>B12</v>
      </c>
      <c r="H299" s="23" t="str">
        <f>IFERROR(__xludf.DUMMYFUNCTION("UPPER(filter(Legend!$D$2:$D$32,Legend!$B$2:$B$32=D299))"),"")</f>
        <v/>
      </c>
      <c r="I299" s="23" t="b">
        <f t="shared" si="3"/>
        <v>0</v>
      </c>
    </row>
    <row r="300">
      <c r="A300" s="23" t="str">
        <f t="shared" si="6"/>
        <v>SL1001</v>
      </c>
      <c r="B300" s="23" t="str">
        <f>'3.2.raw'!K300</f>
        <v>SL1001</v>
      </c>
      <c r="C300" s="24">
        <f>datevalue(left('3.2.raw'!M300,10))</f>
        <v>43796</v>
      </c>
      <c r="D300" s="23">
        <f>'3.2.raw'!H300</f>
        <v>97</v>
      </c>
      <c r="E300" s="1">
        <v>3.20000000000006</v>
      </c>
      <c r="F300" s="23" t="b">
        <f>if(countif(Status!C:C,A300)=1,TRUE, FALSE)</f>
        <v>1</v>
      </c>
      <c r="G300" s="23" t="str">
        <f t="shared" si="8"/>
        <v>SL</v>
      </c>
      <c r="H300" s="23" t="str">
        <f>IFERROR(__xludf.DUMMYFUNCTION("UPPER(filter(Legend!$D$2:$D$32,Legend!$B$2:$B$32=D300))"),"")</f>
        <v/>
      </c>
      <c r="I300" s="23" t="b">
        <f t="shared" si="3"/>
        <v>0</v>
      </c>
    </row>
    <row r="301">
      <c r="A301" s="23" t="str">
        <f t="shared" si="6"/>
        <v>FB1164</v>
      </c>
      <c r="B301" s="23" t="str">
        <f>'3.2.raw'!K301</f>
        <v>FB1164</v>
      </c>
      <c r="C301" s="24">
        <f>datevalue(left('3.2.raw'!M301,10))</f>
        <v>43796</v>
      </c>
      <c r="D301" s="23">
        <f>'3.2.raw'!H301</f>
        <v>99</v>
      </c>
      <c r="E301" s="1">
        <v>3.20000000000006</v>
      </c>
      <c r="F301" s="23" t="b">
        <f>if(countif(Status!C:C,A301)=1,TRUE, FALSE)</f>
        <v>1</v>
      </c>
      <c r="G301" s="23" t="str">
        <f t="shared" si="8"/>
        <v>FB</v>
      </c>
      <c r="H301" s="23" t="str">
        <f>IFERROR(__xludf.DUMMYFUNCTION("UPPER(filter(Legend!$D$2:$D$32,Legend!$B$2:$B$32=D301))"),"FB")</f>
        <v>FB</v>
      </c>
      <c r="I301" s="23" t="b">
        <f t="shared" si="3"/>
        <v>1</v>
      </c>
    </row>
    <row r="302">
      <c r="A302" s="23" t="str">
        <f t="shared" si="6"/>
        <v>UF1009</v>
      </c>
      <c r="B302" s="23" t="str">
        <f>'3.2.raw'!K302</f>
        <v>UF1009</v>
      </c>
      <c r="C302" s="24">
        <f>datevalue(left('3.2.raw'!M302,10))</f>
        <v>43796</v>
      </c>
      <c r="D302" s="23">
        <f>'3.2.raw'!H302</f>
        <v>16</v>
      </c>
      <c r="E302" s="1">
        <v>3.20000000000006</v>
      </c>
      <c r="F302" s="23" t="b">
        <f>if(countif(Status!C:C,A302)=1,TRUE, FALSE)</f>
        <v>1</v>
      </c>
      <c r="G302" s="23" t="str">
        <f t="shared" si="8"/>
        <v>UF</v>
      </c>
      <c r="H302" s="23" t="str">
        <f>IFERROR(__xludf.DUMMYFUNCTION("UPPER(filter(Legend!$D$2:$D$32,Legend!$B$2:$B$32=D302))"),"UF")</f>
        <v>UF</v>
      </c>
      <c r="I302" s="23" t="b">
        <f t="shared" si="3"/>
        <v>1</v>
      </c>
    </row>
    <row r="303">
      <c r="A303" s="23" t="str">
        <f t="shared" si="6"/>
        <v>PLc1100</v>
      </c>
      <c r="B303" s="23" t="str">
        <f>'3.2.raw'!K303</f>
        <v>PLc1100</v>
      </c>
      <c r="C303" s="24">
        <f>datevalue(left('3.2.raw'!M303,10))</f>
        <v>43798</v>
      </c>
      <c r="D303" s="23">
        <f>'3.2.raw'!H303</f>
        <v>11</v>
      </c>
      <c r="E303" s="1">
        <v>3.20000000000006</v>
      </c>
      <c r="F303" s="23" t="b">
        <f>if(countif(Status!C:C,A303)=1,TRUE, FALSE)</f>
        <v>1</v>
      </c>
      <c r="G303" s="23" t="str">
        <f t="shared" si="8"/>
        <v>PLc</v>
      </c>
      <c r="H303" s="23" t="str">
        <f>IFERROR(__xludf.DUMMYFUNCTION("UPPER(filter(Legend!$D$2:$D$32,Legend!$B$2:$B$32=D303))"),"PL")</f>
        <v>PL</v>
      </c>
      <c r="I303" s="23" t="b">
        <f t="shared" si="3"/>
        <v>1</v>
      </c>
    </row>
    <row r="304">
      <c r="A304" s="23" t="str">
        <f t="shared" si="6"/>
        <v>PLc1101</v>
      </c>
      <c r="B304" s="23" t="str">
        <f>'3.2.raw'!K304</f>
        <v>PLc1101</v>
      </c>
      <c r="C304" s="24">
        <f>datevalue(left('3.2.raw'!M304,10))</f>
        <v>43798</v>
      </c>
      <c r="D304" s="23">
        <f>'3.2.raw'!H304</f>
        <v>11</v>
      </c>
      <c r="E304" s="1">
        <v>3.20000000000006</v>
      </c>
      <c r="F304" s="23" t="b">
        <f>if(countif(Status!C:C,A304)=1,TRUE, FALSE)</f>
        <v>1</v>
      </c>
      <c r="G304" s="23" t="str">
        <f t="shared" si="8"/>
        <v>PLc</v>
      </c>
      <c r="H304" s="23" t="str">
        <f>IFERROR(__xludf.DUMMYFUNCTION("UPPER(filter(Legend!$D$2:$D$32,Legend!$B$2:$B$32=D304))"),"PL")</f>
        <v>PL</v>
      </c>
      <c r="I304" s="23" t="b">
        <f t="shared" si="3"/>
        <v>1</v>
      </c>
    </row>
    <row r="305">
      <c r="A305" s="23" t="str">
        <f t="shared" si="6"/>
        <v>PLc1102</v>
      </c>
      <c r="B305" s="23" t="str">
        <f>'3.2.raw'!K305</f>
        <v>PLc1102</v>
      </c>
      <c r="C305" s="24">
        <f>datevalue(left('3.2.raw'!M305,10))</f>
        <v>43798</v>
      </c>
      <c r="D305" s="23">
        <f>'3.2.raw'!H305</f>
        <v>11</v>
      </c>
      <c r="E305" s="1">
        <v>3.20000000000006</v>
      </c>
      <c r="F305" s="23" t="b">
        <f>if(countif(Status!C:C,A305)=1,TRUE, FALSE)</f>
        <v>1</v>
      </c>
      <c r="G305" s="23" t="str">
        <f t="shared" si="8"/>
        <v>PLc</v>
      </c>
      <c r="H305" s="23" t="str">
        <f>IFERROR(__xludf.DUMMYFUNCTION("UPPER(filter(Legend!$D$2:$D$32,Legend!$B$2:$B$32=D305))"),"PL")</f>
        <v>PL</v>
      </c>
      <c r="I305" s="23" t="b">
        <f t="shared" si="3"/>
        <v>1</v>
      </c>
    </row>
    <row r="306">
      <c r="A306" s="23" t="str">
        <f t="shared" si="6"/>
        <v>PLc1103</v>
      </c>
      <c r="B306" s="23" t="str">
        <f>'3.2.raw'!K306</f>
        <v>PLc1103</v>
      </c>
      <c r="C306" s="24">
        <f>datevalue(left('3.2.raw'!M306,10))</f>
        <v>43798</v>
      </c>
      <c r="D306" s="23">
        <f>'3.2.raw'!H306</f>
        <v>11</v>
      </c>
      <c r="E306" s="1">
        <v>3.20000000000006</v>
      </c>
      <c r="F306" s="23" t="b">
        <f>if(countif(Status!C:C,A306)=1,TRUE, FALSE)</f>
        <v>1</v>
      </c>
      <c r="G306" s="23" t="str">
        <f t="shared" si="8"/>
        <v>PLc</v>
      </c>
      <c r="H306" s="23" t="str">
        <f>IFERROR(__xludf.DUMMYFUNCTION("UPPER(filter(Legend!$D$2:$D$32,Legend!$B$2:$B$32=D306))"),"PL")</f>
        <v>PL</v>
      </c>
      <c r="I306" s="23" t="b">
        <f t="shared" si="3"/>
        <v>1</v>
      </c>
    </row>
    <row r="307">
      <c r="A307" s="23" t="str">
        <f t="shared" si="6"/>
        <v>PLc1104</v>
      </c>
      <c r="B307" s="23" t="str">
        <f>'3.2.raw'!K307</f>
        <v>PLc1104</v>
      </c>
      <c r="C307" s="24">
        <f>datevalue(left('3.2.raw'!M307,10))</f>
        <v>43798</v>
      </c>
      <c r="D307" s="23">
        <f>'3.2.raw'!H307</f>
        <v>11</v>
      </c>
      <c r="E307" s="1">
        <v>3.20000000000006</v>
      </c>
      <c r="F307" s="23" t="b">
        <f>if(countif(Status!C:C,A307)=1,TRUE, FALSE)</f>
        <v>1</v>
      </c>
      <c r="G307" s="23" t="str">
        <f t="shared" si="8"/>
        <v>PLc</v>
      </c>
      <c r="H307" s="23" t="str">
        <f>IFERROR(__xludf.DUMMYFUNCTION("UPPER(filter(Legend!$D$2:$D$32,Legend!$B$2:$B$32=D307))"),"PL")</f>
        <v>PL</v>
      </c>
      <c r="I307" s="23" t="b">
        <f t="shared" si="3"/>
        <v>1</v>
      </c>
    </row>
    <row r="308">
      <c r="A308" s="23" t="str">
        <f t="shared" si="6"/>
        <v>SL1001</v>
      </c>
      <c r="B308" s="23" t="str">
        <f>'3.2.raw'!K308</f>
        <v>SL1001</v>
      </c>
      <c r="C308" s="24">
        <f>datevalue(left('3.2.raw'!M308,10))</f>
        <v>43798</v>
      </c>
      <c r="D308" s="23">
        <f>'3.2.raw'!H308</f>
        <v>97</v>
      </c>
      <c r="E308" s="1">
        <v>3.20000000000006</v>
      </c>
      <c r="F308" s="23" t="b">
        <f>if(countif(Status!C:C,A308)=1,TRUE, FALSE)</f>
        <v>1</v>
      </c>
      <c r="G308" s="23" t="str">
        <f t="shared" si="8"/>
        <v>SL</v>
      </c>
      <c r="H308" s="23" t="str">
        <f>IFERROR(__xludf.DUMMYFUNCTION("UPPER(filter(Legend!$D$2:$D$32,Legend!$B$2:$B$32=D308))"),"")</f>
        <v/>
      </c>
      <c r="I308" s="23" t="b">
        <f t="shared" si="3"/>
        <v>0</v>
      </c>
    </row>
    <row r="309">
      <c r="A309" s="23" t="str">
        <f t="shared" si="6"/>
        <v>B124-21</v>
      </c>
      <c r="B309" s="23" t="str">
        <f>'3.2.raw'!K309</f>
        <v>B124-21</v>
      </c>
      <c r="C309" s="24">
        <f>datevalue(left('3.2.raw'!M309,10))</f>
        <v>43798</v>
      </c>
      <c r="D309" s="23">
        <f>'3.2.raw'!H309</f>
        <v>97</v>
      </c>
      <c r="E309" s="1">
        <v>3.20000000000006</v>
      </c>
      <c r="F309" s="23" t="b">
        <f>if(countif(Status!C:C,A309)=1,TRUE, FALSE)</f>
        <v>0</v>
      </c>
      <c r="G309" s="23" t="str">
        <f t="shared" si="8"/>
        <v>B12</v>
      </c>
      <c r="H309" s="23" t="str">
        <f>IFERROR(__xludf.DUMMYFUNCTION("UPPER(filter(Legend!$D$2:$D$32,Legend!$B$2:$B$32=D309))"),"")</f>
        <v/>
      </c>
      <c r="I309" s="23" t="b">
        <f t="shared" si="3"/>
        <v>0</v>
      </c>
    </row>
    <row r="310">
      <c r="A310" s="23" t="str">
        <f t="shared" si="6"/>
        <v>PLc1105</v>
      </c>
      <c r="B310" s="23" t="str">
        <f>'3.2.raw'!K310</f>
        <v>PLc1105</v>
      </c>
      <c r="C310" s="24">
        <f>datevalue(left('3.2.raw'!M310,10))</f>
        <v>43803</v>
      </c>
      <c r="D310" s="23">
        <f>'3.2.raw'!H310</f>
        <v>11</v>
      </c>
      <c r="E310" s="1">
        <v>3.20000000000006</v>
      </c>
      <c r="F310" s="23" t="b">
        <f>if(countif(Status!C:C,A310)=1,TRUE, FALSE)</f>
        <v>1</v>
      </c>
      <c r="G310" s="23" t="str">
        <f t="shared" si="8"/>
        <v>PLc</v>
      </c>
      <c r="H310" s="23" t="str">
        <f>IFERROR(__xludf.DUMMYFUNCTION("UPPER(filter(Legend!$D$2:$D$32,Legend!$B$2:$B$32=D310))"),"PL")</f>
        <v>PL</v>
      </c>
      <c r="I310" s="23" t="b">
        <f t="shared" si="3"/>
        <v>1</v>
      </c>
    </row>
    <row r="311">
      <c r="A311" s="23" t="str">
        <f t="shared" si="6"/>
        <v>PLc1106</v>
      </c>
      <c r="B311" s="23" t="str">
        <f>'3.2.raw'!K311</f>
        <v>PLc1106</v>
      </c>
      <c r="C311" s="24">
        <f>datevalue(left('3.2.raw'!M311,10))</f>
        <v>43803</v>
      </c>
      <c r="D311" s="23">
        <f>'3.2.raw'!H311</f>
        <v>11</v>
      </c>
      <c r="E311" s="1">
        <v>3.20000000000006</v>
      </c>
      <c r="F311" s="23" t="b">
        <f>if(countif(Status!C:C,A311)=1,TRUE, FALSE)</f>
        <v>1</v>
      </c>
      <c r="G311" s="23" t="str">
        <f t="shared" si="8"/>
        <v>PLc</v>
      </c>
      <c r="H311" s="23" t="str">
        <f>IFERROR(__xludf.DUMMYFUNCTION("UPPER(filter(Legend!$D$2:$D$32,Legend!$B$2:$B$32=D311))"),"PL")</f>
        <v>PL</v>
      </c>
      <c r="I311" s="23" t="b">
        <f t="shared" si="3"/>
        <v>1</v>
      </c>
    </row>
    <row r="312">
      <c r="A312" s="23" t="str">
        <f t="shared" si="6"/>
        <v>PLc1107</v>
      </c>
      <c r="B312" s="23" t="str">
        <f>'3.2.raw'!K312</f>
        <v>PLc1107</v>
      </c>
      <c r="C312" s="24">
        <f>datevalue(left('3.2.raw'!M312,10))</f>
        <v>43803</v>
      </c>
      <c r="D312" s="23">
        <f>'3.2.raw'!H312</f>
        <v>11</v>
      </c>
      <c r="E312" s="1">
        <v>3.20000000000006</v>
      </c>
      <c r="F312" s="23" t="b">
        <f>if(countif(Status!C:C,A312)=1,TRUE, FALSE)</f>
        <v>1</v>
      </c>
      <c r="G312" s="23" t="str">
        <f t="shared" si="8"/>
        <v>PLc</v>
      </c>
      <c r="H312" s="23" t="str">
        <f>IFERROR(__xludf.DUMMYFUNCTION("UPPER(filter(Legend!$D$2:$D$32,Legend!$B$2:$B$32=D312))"),"PL")</f>
        <v>PL</v>
      </c>
      <c r="I312" s="23" t="b">
        <f t="shared" si="3"/>
        <v>1</v>
      </c>
    </row>
    <row r="313">
      <c r="A313" s="23" t="str">
        <f t="shared" si="6"/>
        <v>PLc1108</v>
      </c>
      <c r="B313" s="23" t="str">
        <f>'3.2.raw'!K313</f>
        <v>PLc1108</v>
      </c>
      <c r="C313" s="24">
        <f>datevalue(left('3.2.raw'!M313,10))</f>
        <v>43803</v>
      </c>
      <c r="D313" s="23">
        <f>'3.2.raw'!H313</f>
        <v>11</v>
      </c>
      <c r="E313" s="1">
        <v>3.20000000000006</v>
      </c>
      <c r="F313" s="23" t="b">
        <f>if(countif(Status!C:C,A313)=1,TRUE, FALSE)</f>
        <v>1</v>
      </c>
      <c r="G313" s="23" t="str">
        <f t="shared" si="8"/>
        <v>PLc</v>
      </c>
      <c r="H313" s="23" t="str">
        <f>IFERROR(__xludf.DUMMYFUNCTION("UPPER(filter(Legend!$D$2:$D$32,Legend!$B$2:$B$32=D313))"),"PL")</f>
        <v>PL</v>
      </c>
      <c r="I313" s="23" t="b">
        <f t="shared" si="3"/>
        <v>1</v>
      </c>
    </row>
    <row r="314">
      <c r="A314" s="23" t="str">
        <f t="shared" si="6"/>
        <v>PLc1109</v>
      </c>
      <c r="B314" s="23" t="str">
        <f>'3.2.raw'!K314</f>
        <v>PLc1109</v>
      </c>
      <c r="C314" s="24">
        <f>datevalue(left('3.2.raw'!M314,10))</f>
        <v>43803</v>
      </c>
      <c r="D314" s="23">
        <f>'3.2.raw'!H314</f>
        <v>11</v>
      </c>
      <c r="E314" s="1">
        <v>3.20000000000006</v>
      </c>
      <c r="F314" s="23" t="b">
        <f>if(countif(Status!C:C,A314)=1,TRUE, FALSE)</f>
        <v>1</v>
      </c>
      <c r="G314" s="23" t="str">
        <f t="shared" si="8"/>
        <v>PLc</v>
      </c>
      <c r="H314" s="23" t="str">
        <f>IFERROR(__xludf.DUMMYFUNCTION("UPPER(filter(Legend!$D$2:$D$32,Legend!$B$2:$B$32=D314))"),"PL")</f>
        <v>PL</v>
      </c>
      <c r="I314" s="23" t="b">
        <f t="shared" si="3"/>
        <v>1</v>
      </c>
    </row>
    <row r="315">
      <c r="A315" s="23" t="str">
        <f t="shared" si="6"/>
        <v>UF1010</v>
      </c>
      <c r="B315" s="23" t="str">
        <f>'3.2.raw'!K315</f>
        <v>UF1010</v>
      </c>
      <c r="C315" s="24">
        <f>datevalue(left('3.2.raw'!M315,10))</f>
        <v>43803</v>
      </c>
      <c r="D315" s="23">
        <f>'3.2.raw'!H315</f>
        <v>16</v>
      </c>
      <c r="E315" s="1">
        <v>3.20000000000006</v>
      </c>
      <c r="F315" s="23" t="b">
        <f>if(countif(Status!C:C,A315)=1,TRUE, FALSE)</f>
        <v>1</v>
      </c>
      <c r="G315" s="23" t="str">
        <f t="shared" si="8"/>
        <v>UF</v>
      </c>
      <c r="H315" s="23" t="str">
        <f>IFERROR(__xludf.DUMMYFUNCTION("UPPER(filter(Legend!$D$2:$D$32,Legend!$B$2:$B$32=D315))"),"UF")</f>
        <v>UF</v>
      </c>
      <c r="I315" s="23" t="b">
        <f t="shared" si="3"/>
        <v>1</v>
      </c>
    </row>
    <row r="316">
      <c r="A316" s="23" t="str">
        <f t="shared" si="6"/>
        <v>SL1001</v>
      </c>
      <c r="B316" s="23" t="str">
        <f>'3.2.raw'!K316</f>
        <v>SL1001</v>
      </c>
      <c r="C316" s="24">
        <f>datevalue(left('3.2.raw'!M316,10))</f>
        <v>43803</v>
      </c>
      <c r="D316" s="23">
        <f>'3.2.raw'!H316</f>
        <v>97</v>
      </c>
      <c r="E316" s="1">
        <v>3.20000000000006</v>
      </c>
      <c r="F316" s="23" t="b">
        <f>if(countif(Status!C:C,A316)=1,TRUE, FALSE)</f>
        <v>1</v>
      </c>
      <c r="G316" s="23" t="str">
        <f t="shared" si="8"/>
        <v>SL</v>
      </c>
      <c r="H316" s="23" t="str">
        <f>IFERROR(__xludf.DUMMYFUNCTION("UPPER(filter(Legend!$D$2:$D$32,Legend!$B$2:$B$32=D316))"),"")</f>
        <v/>
      </c>
      <c r="I316" s="23" t="b">
        <f t="shared" si="3"/>
        <v>0</v>
      </c>
    </row>
    <row r="317">
      <c r="A317" s="23" t="str">
        <f t="shared" si="6"/>
        <v>124-21</v>
      </c>
      <c r="B317" s="23" t="str">
        <f>'3.2.raw'!K317</f>
        <v>124-21</v>
      </c>
      <c r="C317" s="24">
        <f>datevalue(left('3.2.raw'!M317,10))</f>
        <v>43803</v>
      </c>
      <c r="D317" s="23">
        <f>'3.2.raw'!H317</f>
        <v>97</v>
      </c>
      <c r="E317" s="1">
        <v>3.20000000000006</v>
      </c>
      <c r="F317" s="23" t="b">
        <f>if(countif(Status!C:C,A317)=1,TRUE, FALSE)</f>
        <v>0</v>
      </c>
      <c r="G317" s="23" t="str">
        <f t="shared" si="8"/>
        <v>12</v>
      </c>
      <c r="H317" s="23" t="str">
        <f>IFERROR(__xludf.DUMMYFUNCTION("UPPER(filter(Legend!$D$2:$D$32,Legend!$B$2:$B$32=D317))"),"")</f>
        <v/>
      </c>
      <c r="I317" s="23" t="b">
        <f t="shared" si="3"/>
        <v>0</v>
      </c>
    </row>
    <row r="318">
      <c r="A318" s="23" t="str">
        <f t="shared" si="6"/>
        <v>PLc1110</v>
      </c>
      <c r="B318" s="23" t="str">
        <f>'3.2.raw'!K318</f>
        <v>PLc1110</v>
      </c>
      <c r="C318" s="24">
        <f>datevalue(left('3.2.raw'!M318,10))</f>
        <v>43805</v>
      </c>
      <c r="D318" s="23">
        <f>'3.2.raw'!H318</f>
        <v>11</v>
      </c>
      <c r="E318" s="1">
        <v>3.20000000000006</v>
      </c>
      <c r="F318" s="23" t="b">
        <f>if(countif(Status!C:C,A318)=1,TRUE, FALSE)</f>
        <v>1</v>
      </c>
      <c r="G318" s="23" t="str">
        <f t="shared" si="8"/>
        <v>PLc</v>
      </c>
      <c r="H318" s="23" t="str">
        <f>IFERROR(__xludf.DUMMYFUNCTION("UPPER(filter(Legend!$D$2:$D$32,Legend!$B$2:$B$32=D318))"),"PL")</f>
        <v>PL</v>
      </c>
      <c r="I318" s="23" t="b">
        <f t="shared" si="3"/>
        <v>1</v>
      </c>
    </row>
    <row r="319">
      <c r="A319" s="23" t="str">
        <f t="shared" si="6"/>
        <v>PLc1111</v>
      </c>
      <c r="B319" s="23" t="str">
        <f>'3.2.raw'!K319</f>
        <v>PLc1111</v>
      </c>
      <c r="C319" s="24">
        <f>datevalue(left('3.2.raw'!M319,10))</f>
        <v>43805</v>
      </c>
      <c r="D319" s="23">
        <f>'3.2.raw'!H319</f>
        <v>11</v>
      </c>
      <c r="E319" s="1">
        <v>3.20000000000006</v>
      </c>
      <c r="F319" s="23" t="b">
        <f>if(countif(Status!C:C,A319)=1,TRUE, FALSE)</f>
        <v>1</v>
      </c>
      <c r="G319" s="23" t="str">
        <f t="shared" si="8"/>
        <v>PLc</v>
      </c>
      <c r="H319" s="23" t="str">
        <f>IFERROR(__xludf.DUMMYFUNCTION("UPPER(filter(Legend!$D$2:$D$32,Legend!$B$2:$B$32=D319))"),"PL")</f>
        <v>PL</v>
      </c>
      <c r="I319" s="23" t="b">
        <f t="shared" si="3"/>
        <v>1</v>
      </c>
    </row>
    <row r="320">
      <c r="A320" s="23" t="str">
        <f t="shared" si="6"/>
        <v>PLc1112</v>
      </c>
      <c r="B320" s="23" t="str">
        <f>'3.2.raw'!K320</f>
        <v>PLc1112</v>
      </c>
      <c r="C320" s="24">
        <f>datevalue(left('3.2.raw'!M320,10))</f>
        <v>43805</v>
      </c>
      <c r="D320" s="23">
        <f>'3.2.raw'!H320</f>
        <v>11</v>
      </c>
      <c r="E320" s="1">
        <v>3.20000000000006</v>
      </c>
      <c r="F320" s="23" t="b">
        <f>if(countif(Status!C:C,A320)=1,TRUE, FALSE)</f>
        <v>1</v>
      </c>
      <c r="G320" s="23" t="str">
        <f t="shared" si="8"/>
        <v>PLc</v>
      </c>
      <c r="H320" s="23" t="str">
        <f>IFERROR(__xludf.DUMMYFUNCTION("UPPER(filter(Legend!$D$2:$D$32,Legend!$B$2:$B$32=D320))"),"PL")</f>
        <v>PL</v>
      </c>
      <c r="I320" s="23" t="b">
        <f t="shared" si="3"/>
        <v>1</v>
      </c>
    </row>
    <row r="321">
      <c r="A321" s="23" t="str">
        <f t="shared" si="6"/>
        <v>PLc1113</v>
      </c>
      <c r="B321" s="23" t="str">
        <f>'3.2.raw'!K321</f>
        <v>PLc1113</v>
      </c>
      <c r="C321" s="24">
        <f>datevalue(left('3.2.raw'!M321,10))</f>
        <v>43805</v>
      </c>
      <c r="D321" s="23">
        <f>'3.2.raw'!H321</f>
        <v>11</v>
      </c>
      <c r="E321" s="1">
        <v>3.20000000000006</v>
      </c>
      <c r="F321" s="23" t="b">
        <f>if(countif(Status!C:C,A321)=1,TRUE, FALSE)</f>
        <v>1</v>
      </c>
      <c r="G321" s="23" t="str">
        <f t="shared" si="8"/>
        <v>PLc</v>
      </c>
      <c r="H321" s="23" t="str">
        <f>IFERROR(__xludf.DUMMYFUNCTION("UPPER(filter(Legend!$D$2:$D$32,Legend!$B$2:$B$32=D321))"),"PL")</f>
        <v>PL</v>
      </c>
      <c r="I321" s="23" t="b">
        <f t="shared" si="3"/>
        <v>1</v>
      </c>
    </row>
    <row r="322">
      <c r="A322" s="23" t="str">
        <f t="shared" si="6"/>
        <v>PLc1114</v>
      </c>
      <c r="B322" s="23" t="str">
        <f>'3.2.raw'!K322</f>
        <v>PLc1114</v>
      </c>
      <c r="C322" s="24">
        <f>datevalue(left('3.2.raw'!M322,10))</f>
        <v>43805</v>
      </c>
      <c r="D322" s="23">
        <f>'3.2.raw'!H322</f>
        <v>11</v>
      </c>
      <c r="E322" s="1">
        <v>3.20000000000006</v>
      </c>
      <c r="F322" s="23" t="b">
        <f>if(countif(Status!C:C,A322)=1,TRUE, FALSE)</f>
        <v>1</v>
      </c>
      <c r="G322" s="23" t="str">
        <f t="shared" si="8"/>
        <v>PLc</v>
      </c>
      <c r="H322" s="23" t="str">
        <f>IFERROR(__xludf.DUMMYFUNCTION("UPPER(filter(Legend!$D$2:$D$32,Legend!$B$2:$B$32=D322))"),"PL")</f>
        <v>PL</v>
      </c>
      <c r="I322" s="23" t="b">
        <f t="shared" si="3"/>
        <v>1</v>
      </c>
    </row>
    <row r="323">
      <c r="A323" s="23" t="str">
        <f t="shared" si="6"/>
        <v>PLc1115</v>
      </c>
      <c r="B323" s="23" t="str">
        <f>'3.2.raw'!K323</f>
        <v>PLc1115</v>
      </c>
      <c r="C323" s="24">
        <f>datevalue(left('3.2.raw'!M323,10))</f>
        <v>43805</v>
      </c>
      <c r="D323" s="23">
        <f>'3.2.raw'!H323</f>
        <v>11</v>
      </c>
      <c r="E323" s="1">
        <v>3.20000000000006</v>
      </c>
      <c r="F323" s="23" t="b">
        <f>if(countif(Status!C:C,A323)=1,TRUE, FALSE)</f>
        <v>1</v>
      </c>
      <c r="G323" s="23" t="str">
        <f t="shared" si="8"/>
        <v>PLc</v>
      </c>
      <c r="H323" s="23" t="str">
        <f>IFERROR(__xludf.DUMMYFUNCTION("UPPER(filter(Legend!$D$2:$D$32,Legend!$B$2:$B$32=D323))"),"PL")</f>
        <v>PL</v>
      </c>
      <c r="I323" s="23" t="b">
        <f t="shared" si="3"/>
        <v>1</v>
      </c>
    </row>
    <row r="324">
      <c r="A324" s="23" t="str">
        <f t="shared" si="6"/>
        <v>PLc1116</v>
      </c>
      <c r="B324" s="23" t="str">
        <f>'3.2.raw'!K324</f>
        <v>PLc1116</v>
      </c>
      <c r="C324" s="24">
        <f>datevalue(left('3.2.raw'!M324,10))</f>
        <v>43805</v>
      </c>
      <c r="D324" s="23">
        <f>'3.2.raw'!H324</f>
        <v>11</v>
      </c>
      <c r="E324" s="1">
        <v>3.20000000000006</v>
      </c>
      <c r="F324" s="23" t="b">
        <f>if(countif(Status!C:C,A324)=1,TRUE, FALSE)</f>
        <v>1</v>
      </c>
      <c r="G324" s="23" t="str">
        <f t="shared" si="8"/>
        <v>PLc</v>
      </c>
      <c r="H324" s="23" t="str">
        <f>IFERROR(__xludf.DUMMYFUNCTION("UPPER(filter(Legend!$D$2:$D$32,Legend!$B$2:$B$32=D324))"),"PL")</f>
        <v>PL</v>
      </c>
      <c r="I324" s="23" t="b">
        <f t="shared" si="3"/>
        <v>1</v>
      </c>
    </row>
    <row r="325">
      <c r="A325" s="23" t="str">
        <f t="shared" si="6"/>
        <v>PLc1117</v>
      </c>
      <c r="B325" s="23" t="str">
        <f>'3.2.raw'!K325</f>
        <v>PLc1117</v>
      </c>
      <c r="C325" s="24">
        <f>datevalue(left('3.2.raw'!M325,10))</f>
        <v>43805</v>
      </c>
      <c r="D325" s="23">
        <f>'3.2.raw'!H325</f>
        <v>11</v>
      </c>
      <c r="E325" s="1">
        <v>3.20000000000006</v>
      </c>
      <c r="F325" s="23" t="b">
        <f>if(countif(Status!C:C,A325)=1,TRUE, FALSE)</f>
        <v>1</v>
      </c>
      <c r="G325" s="23" t="str">
        <f t="shared" si="8"/>
        <v>PLc</v>
      </c>
      <c r="H325" s="23" t="str">
        <f>IFERROR(__xludf.DUMMYFUNCTION("UPPER(filter(Legend!$D$2:$D$32,Legend!$B$2:$B$32=D325))"),"PL")</f>
        <v>PL</v>
      </c>
      <c r="I325" s="23" t="b">
        <f t="shared" si="3"/>
        <v>1</v>
      </c>
    </row>
    <row r="326">
      <c r="A326" s="23" t="str">
        <f t="shared" si="6"/>
        <v>SL1001</v>
      </c>
      <c r="B326" s="23" t="str">
        <f>'3.2.raw'!K326</f>
        <v>SL1001</v>
      </c>
      <c r="C326" s="24">
        <f>datevalue(left('3.2.raw'!M326,10))</f>
        <v>43805</v>
      </c>
      <c r="D326" s="23">
        <f>'3.2.raw'!H326</f>
        <v>97</v>
      </c>
      <c r="E326" s="1">
        <v>3.20000000000006</v>
      </c>
      <c r="F326" s="23" t="b">
        <f>if(countif(Status!C:C,A326)=1,TRUE, FALSE)</f>
        <v>1</v>
      </c>
      <c r="G326" s="23" t="str">
        <f t="shared" si="8"/>
        <v>SL</v>
      </c>
      <c r="H326" s="23" t="str">
        <f>IFERROR(__xludf.DUMMYFUNCTION("UPPER(filter(Legend!$D$2:$D$32,Legend!$B$2:$B$32=D326))"),"")</f>
        <v/>
      </c>
      <c r="I326" s="23" t="b">
        <f t="shared" si="3"/>
        <v>0</v>
      </c>
    </row>
    <row r="327">
      <c r="A327" s="23" t="str">
        <f t="shared" si="6"/>
        <v>B124-21</v>
      </c>
      <c r="B327" s="23" t="str">
        <f>'3.2.raw'!K327</f>
        <v>B124-21</v>
      </c>
      <c r="C327" s="24">
        <f>datevalue(left('3.2.raw'!M327,10))</f>
        <v>43805</v>
      </c>
      <c r="D327" s="23">
        <f>'3.2.raw'!H327</f>
        <v>97</v>
      </c>
      <c r="E327" s="1">
        <v>3.20000000000006</v>
      </c>
      <c r="F327" s="23" t="b">
        <f>if(countif(Status!C:C,A327)=1,TRUE, FALSE)</f>
        <v>0</v>
      </c>
      <c r="G327" s="23" t="str">
        <f t="shared" si="8"/>
        <v>B12</v>
      </c>
      <c r="H327" s="23" t="str">
        <f>IFERROR(__xludf.DUMMYFUNCTION("UPPER(filter(Legend!$D$2:$D$32,Legend!$B$2:$B$32=D327))"),"")</f>
        <v/>
      </c>
      <c r="I327" s="23" t="b">
        <f t="shared" si="3"/>
        <v>0</v>
      </c>
    </row>
    <row r="328">
      <c r="A328" s="23" t="str">
        <f t="shared" si="6"/>
        <v>PLc1118</v>
      </c>
      <c r="B328" s="23" t="str">
        <f>'3.2.raw'!K328</f>
        <v>PLc1118</v>
      </c>
      <c r="C328" s="24">
        <f>datevalue(left('3.2.raw'!M328,10))</f>
        <v>43810</v>
      </c>
      <c r="D328" s="23">
        <f>'3.2.raw'!H328</f>
        <v>11</v>
      </c>
      <c r="E328" s="1">
        <v>3.20000000000006</v>
      </c>
      <c r="F328" s="23" t="b">
        <f>if(countif(Status!C:C,A328)=1,TRUE, FALSE)</f>
        <v>1</v>
      </c>
      <c r="G328" s="23" t="str">
        <f t="shared" si="8"/>
        <v>PLc</v>
      </c>
      <c r="H328" s="23" t="str">
        <f>IFERROR(__xludf.DUMMYFUNCTION("UPPER(filter(Legend!$D$2:$D$32,Legend!$B$2:$B$32=D328))"),"PL")</f>
        <v>PL</v>
      </c>
      <c r="I328" s="23" t="b">
        <f t="shared" si="3"/>
        <v>1</v>
      </c>
    </row>
    <row r="329">
      <c r="A329" s="23" t="str">
        <f t="shared" si="6"/>
        <v>PLc1119</v>
      </c>
      <c r="B329" s="23" t="str">
        <f>'3.2.raw'!K329</f>
        <v>PLc1119</v>
      </c>
      <c r="C329" s="24">
        <f>datevalue(left('3.2.raw'!M329,10))</f>
        <v>43810</v>
      </c>
      <c r="D329" s="23">
        <f>'3.2.raw'!H329</f>
        <v>11</v>
      </c>
      <c r="E329" s="1">
        <v>3.20000000000006</v>
      </c>
      <c r="F329" s="23" t="b">
        <f>if(countif(Status!C:C,A329)=1,TRUE, FALSE)</f>
        <v>1</v>
      </c>
      <c r="G329" s="23" t="str">
        <f t="shared" si="8"/>
        <v>PLc</v>
      </c>
      <c r="H329" s="23" t="str">
        <f>IFERROR(__xludf.DUMMYFUNCTION("UPPER(filter(Legend!$D$2:$D$32,Legend!$B$2:$B$32=D329))"),"PL")</f>
        <v>PL</v>
      </c>
      <c r="I329" s="23" t="b">
        <f t="shared" si="3"/>
        <v>1</v>
      </c>
    </row>
    <row r="330">
      <c r="A330" s="23" t="str">
        <f t="shared" si="6"/>
        <v>PLc1120</v>
      </c>
      <c r="B330" s="23" t="str">
        <f>'3.2.raw'!K330</f>
        <v>PLc1120</v>
      </c>
      <c r="C330" s="24">
        <f>datevalue(left('3.2.raw'!M330,10))</f>
        <v>43810</v>
      </c>
      <c r="D330" s="23">
        <f>'3.2.raw'!H330</f>
        <v>11</v>
      </c>
      <c r="E330" s="1">
        <v>3.20000000000006</v>
      </c>
      <c r="F330" s="23" t="b">
        <f>if(countif(Status!C:C,A330)=1,TRUE, FALSE)</f>
        <v>1</v>
      </c>
      <c r="G330" s="23" t="str">
        <f t="shared" si="8"/>
        <v>PLc</v>
      </c>
      <c r="H330" s="23" t="str">
        <f>IFERROR(__xludf.DUMMYFUNCTION("UPPER(filter(Legend!$D$2:$D$32,Legend!$B$2:$B$32=D330))"),"PL")</f>
        <v>PL</v>
      </c>
      <c r="I330" s="23" t="b">
        <f t="shared" si="3"/>
        <v>1</v>
      </c>
    </row>
    <row r="331">
      <c r="A331" s="23" t="str">
        <f t="shared" si="6"/>
        <v>PLc1121</v>
      </c>
      <c r="B331" s="23" t="str">
        <f>'3.2.raw'!K331</f>
        <v>PLc1121</v>
      </c>
      <c r="C331" s="24">
        <f>datevalue(left('3.2.raw'!M331,10))</f>
        <v>43810</v>
      </c>
      <c r="D331" s="23">
        <f>'3.2.raw'!H331</f>
        <v>11</v>
      </c>
      <c r="E331" s="1">
        <v>3.20000000000006</v>
      </c>
      <c r="F331" s="23" t="b">
        <f>if(countif(Status!C:C,A331)=1,TRUE, FALSE)</f>
        <v>1</v>
      </c>
      <c r="G331" s="23" t="str">
        <f t="shared" si="8"/>
        <v>PLc</v>
      </c>
      <c r="H331" s="23" t="str">
        <f>IFERROR(__xludf.DUMMYFUNCTION("UPPER(filter(Legend!$D$2:$D$32,Legend!$B$2:$B$32=D331))"),"PL")</f>
        <v>PL</v>
      </c>
      <c r="I331" s="23" t="b">
        <f t="shared" si="3"/>
        <v>1</v>
      </c>
    </row>
    <row r="332">
      <c r="A332" s="23" t="str">
        <f t="shared" si="6"/>
        <v>PLc8122</v>
      </c>
      <c r="B332" s="23" t="str">
        <f>'3.2.raw'!K332</f>
        <v>PLc8122</v>
      </c>
      <c r="C332" s="24">
        <f>datevalue(left('3.2.raw'!M332,10))</f>
        <v>43810</v>
      </c>
      <c r="D332" s="23">
        <f>'3.2.raw'!H332</f>
        <v>11</v>
      </c>
      <c r="E332" s="1">
        <v>3.20000000000006</v>
      </c>
      <c r="F332" s="23" t="b">
        <f>if(countif(Status!C:C,A332)=1,TRUE, FALSE)</f>
        <v>1</v>
      </c>
      <c r="G332" s="23" t="str">
        <f t="shared" si="8"/>
        <v>PLc</v>
      </c>
      <c r="H332" s="23" t="str">
        <f>IFERROR(__xludf.DUMMYFUNCTION("UPPER(filter(Legend!$D$2:$D$32,Legend!$B$2:$B$32=D332))"),"PL")</f>
        <v>PL</v>
      </c>
      <c r="I332" s="23" t="b">
        <f t="shared" si="3"/>
        <v>1</v>
      </c>
    </row>
    <row r="333">
      <c r="A333" s="23" t="str">
        <f t="shared" si="6"/>
        <v>PLc8123</v>
      </c>
      <c r="B333" s="23" t="str">
        <f>'3.2.raw'!K333</f>
        <v>PLc8123</v>
      </c>
      <c r="C333" s="24">
        <f>datevalue(left('3.2.raw'!M333,10))</f>
        <v>43810</v>
      </c>
      <c r="D333" s="23">
        <f>'3.2.raw'!H333</f>
        <v>11</v>
      </c>
      <c r="E333" s="1">
        <v>3.20000000000006</v>
      </c>
      <c r="F333" s="23" t="b">
        <f>if(countif(Status!C:C,A333)=1,TRUE, FALSE)</f>
        <v>1</v>
      </c>
      <c r="G333" s="23" t="str">
        <f t="shared" si="8"/>
        <v>PLc</v>
      </c>
      <c r="H333" s="23" t="str">
        <f>IFERROR(__xludf.DUMMYFUNCTION("UPPER(filter(Legend!$D$2:$D$32,Legend!$B$2:$B$32=D333))"),"PL")</f>
        <v>PL</v>
      </c>
      <c r="I333" s="23" t="b">
        <f t="shared" si="3"/>
        <v>1</v>
      </c>
    </row>
    <row r="334">
      <c r="A334" s="23" t="str">
        <f t="shared" si="6"/>
        <v>PLc1124</v>
      </c>
      <c r="B334" s="23" t="str">
        <f>'3.2.raw'!K334</f>
        <v>PLc1124</v>
      </c>
      <c r="C334" s="24">
        <f>datevalue(left('3.2.raw'!M334,10))</f>
        <v>43810</v>
      </c>
      <c r="D334" s="23">
        <f>'3.2.raw'!H334</f>
        <v>11</v>
      </c>
      <c r="E334" s="1">
        <v>3.20000000000006</v>
      </c>
      <c r="F334" s="23" t="b">
        <f>if(countif(Status!C:C,A334)=1,TRUE, FALSE)</f>
        <v>1</v>
      </c>
      <c r="G334" s="23" t="str">
        <f t="shared" si="8"/>
        <v>PLc</v>
      </c>
      <c r="H334" s="23" t="str">
        <f>IFERROR(__xludf.DUMMYFUNCTION("UPPER(filter(Legend!$D$2:$D$32,Legend!$B$2:$B$32=D334))"),"PL")</f>
        <v>PL</v>
      </c>
      <c r="I334" s="23" t="b">
        <f t="shared" si="3"/>
        <v>1</v>
      </c>
    </row>
    <row r="335">
      <c r="A335" s="23" t="str">
        <f t="shared" si="6"/>
        <v>PLc1125</v>
      </c>
      <c r="B335" s="23" t="str">
        <f>'3.2.raw'!K335</f>
        <v>PLc1125</v>
      </c>
      <c r="C335" s="24">
        <f>datevalue(left('3.2.raw'!M335,10))</f>
        <v>43810</v>
      </c>
      <c r="D335" s="23">
        <f>'3.2.raw'!H335</f>
        <v>11</v>
      </c>
      <c r="E335" s="1">
        <v>3.20000000000006</v>
      </c>
      <c r="F335" s="23" t="b">
        <f>if(countif(Status!C:C,A335)=1,TRUE, FALSE)</f>
        <v>1</v>
      </c>
      <c r="G335" s="23" t="str">
        <f t="shared" si="8"/>
        <v>PLc</v>
      </c>
      <c r="H335" s="23" t="str">
        <f>IFERROR(__xludf.DUMMYFUNCTION("UPPER(filter(Legend!$D$2:$D$32,Legend!$B$2:$B$32=D335))"),"PL")</f>
        <v>PL</v>
      </c>
      <c r="I335" s="23" t="b">
        <f t="shared" si="3"/>
        <v>1</v>
      </c>
    </row>
    <row r="336">
      <c r="A336" s="23" t="str">
        <f t="shared" si="6"/>
        <v>UF1011</v>
      </c>
      <c r="B336" s="23" t="str">
        <f>'3.2.raw'!K336</f>
        <v>UF1011</v>
      </c>
      <c r="C336" s="24">
        <f>datevalue(left('3.2.raw'!M336,10))</f>
        <v>43810</v>
      </c>
      <c r="D336" s="23">
        <f>'3.2.raw'!H336</f>
        <v>16</v>
      </c>
      <c r="E336" s="1">
        <v>3.20000000000006</v>
      </c>
      <c r="F336" s="23" t="b">
        <f>if(countif(Status!C:C,A336)=1,TRUE, FALSE)</f>
        <v>1</v>
      </c>
      <c r="G336" s="23" t="str">
        <f t="shared" si="8"/>
        <v>UF</v>
      </c>
      <c r="H336" s="23" t="str">
        <f>IFERROR(__xludf.DUMMYFUNCTION("UPPER(filter(Legend!$D$2:$D$32,Legend!$B$2:$B$32=D336))"),"UF")</f>
        <v>UF</v>
      </c>
      <c r="I336" s="23" t="b">
        <f t="shared" si="3"/>
        <v>1</v>
      </c>
    </row>
    <row r="337">
      <c r="A337" s="23" t="str">
        <f t="shared" si="6"/>
        <v>SL1001</v>
      </c>
      <c r="B337" s="23" t="str">
        <f>'3.2.raw'!K337</f>
        <v>SL1001</v>
      </c>
      <c r="C337" s="24">
        <f>datevalue(left('3.2.raw'!M337,10))</f>
        <v>43810</v>
      </c>
      <c r="D337" s="23">
        <f>'3.2.raw'!H337</f>
        <v>97</v>
      </c>
      <c r="E337" s="1">
        <v>3.20000000000006</v>
      </c>
      <c r="F337" s="23" t="b">
        <f>if(countif(Status!C:C,A337)=1,TRUE, FALSE)</f>
        <v>1</v>
      </c>
      <c r="G337" s="23" t="str">
        <f t="shared" si="8"/>
        <v>SL</v>
      </c>
      <c r="H337" s="23" t="str">
        <f>IFERROR(__xludf.DUMMYFUNCTION("UPPER(filter(Legend!$D$2:$D$32,Legend!$B$2:$B$32=D337))"),"")</f>
        <v/>
      </c>
      <c r="I337" s="23" t="b">
        <f t="shared" si="3"/>
        <v>0</v>
      </c>
    </row>
    <row r="338">
      <c r="A338" s="23" t="str">
        <f t="shared" si="6"/>
        <v>B124-21</v>
      </c>
      <c r="B338" s="23" t="str">
        <f>'3.2.raw'!K338</f>
        <v>B124-21</v>
      </c>
      <c r="C338" s="24">
        <f>datevalue(left('3.2.raw'!M338,10))</f>
        <v>43810</v>
      </c>
      <c r="D338" s="23">
        <f>'3.2.raw'!H338</f>
        <v>97</v>
      </c>
      <c r="E338" s="1">
        <v>3.20000000000006</v>
      </c>
      <c r="F338" s="23" t="b">
        <f>if(countif(Status!C:C,A338)=1,TRUE, FALSE)</f>
        <v>0</v>
      </c>
      <c r="G338" s="23" t="str">
        <f t="shared" si="8"/>
        <v>B12</v>
      </c>
      <c r="H338" s="23" t="str">
        <f>IFERROR(__xludf.DUMMYFUNCTION("UPPER(filter(Legend!$D$2:$D$32,Legend!$B$2:$B$32=D338))"),"")</f>
        <v/>
      </c>
      <c r="I338" s="23" t="b">
        <f t="shared" si="3"/>
        <v>0</v>
      </c>
    </row>
    <row r="339">
      <c r="A339" s="23" t="str">
        <f t="shared" si="6"/>
        <v>PLc1126</v>
      </c>
      <c r="B339" s="23" t="str">
        <f>'3.2.raw'!K339</f>
        <v>PLc1126</v>
      </c>
      <c r="C339" s="24">
        <f>datevalue(left('3.2.raw'!M339,10))</f>
        <v>43812</v>
      </c>
      <c r="D339" s="23">
        <f>'3.2.raw'!H339</f>
        <v>11</v>
      </c>
      <c r="E339" s="1">
        <v>3.20000000000006</v>
      </c>
      <c r="F339" s="23" t="b">
        <f>if(countif(Status!C:C,A339)=1,TRUE, FALSE)</f>
        <v>1</v>
      </c>
      <c r="G339" s="23" t="str">
        <f t="shared" si="8"/>
        <v>PLc</v>
      </c>
      <c r="H339" s="23" t="str">
        <f>IFERROR(__xludf.DUMMYFUNCTION("UPPER(filter(Legend!$D$2:$D$32,Legend!$B$2:$B$32=D339))"),"PL")</f>
        <v>PL</v>
      </c>
      <c r="I339" s="23" t="b">
        <f t="shared" si="3"/>
        <v>1</v>
      </c>
    </row>
    <row r="340">
      <c r="A340" s="23" t="str">
        <f t="shared" si="6"/>
        <v>PLc1127</v>
      </c>
      <c r="B340" s="23" t="str">
        <f>'3.2.raw'!K340</f>
        <v>PLc1127</v>
      </c>
      <c r="C340" s="24">
        <f>datevalue(left('3.2.raw'!M340,10))</f>
        <v>43812</v>
      </c>
      <c r="D340" s="23">
        <f>'3.2.raw'!H340</f>
        <v>11</v>
      </c>
      <c r="E340" s="1">
        <v>3.20000000000006</v>
      </c>
      <c r="F340" s="23" t="b">
        <f>if(countif(Status!C:C,A340)=1,TRUE, FALSE)</f>
        <v>1</v>
      </c>
      <c r="G340" s="23" t="str">
        <f t="shared" si="8"/>
        <v>PLc</v>
      </c>
      <c r="H340" s="23" t="str">
        <f>IFERROR(__xludf.DUMMYFUNCTION("UPPER(filter(Legend!$D$2:$D$32,Legend!$B$2:$B$32=D340))"),"PL")</f>
        <v>PL</v>
      </c>
      <c r="I340" s="23" t="b">
        <f t="shared" si="3"/>
        <v>1</v>
      </c>
    </row>
    <row r="341">
      <c r="A341" s="23" t="str">
        <f t="shared" si="6"/>
        <v>PLc1128</v>
      </c>
      <c r="B341" s="23" t="str">
        <f>'3.2.raw'!K341</f>
        <v>PLc1128</v>
      </c>
      <c r="C341" s="24">
        <f>datevalue(left('3.2.raw'!M341,10))</f>
        <v>43812</v>
      </c>
      <c r="D341" s="23">
        <f>'3.2.raw'!H341</f>
        <v>11</v>
      </c>
      <c r="E341" s="1">
        <v>3.20000000000006</v>
      </c>
      <c r="F341" s="23" t="b">
        <f>if(countif(Status!C:C,A341)=1,TRUE, FALSE)</f>
        <v>1</v>
      </c>
      <c r="G341" s="23" t="str">
        <f t="shared" si="8"/>
        <v>PLc</v>
      </c>
      <c r="H341" s="23" t="str">
        <f>IFERROR(__xludf.DUMMYFUNCTION("UPPER(filter(Legend!$D$2:$D$32,Legend!$B$2:$B$32=D341))"),"PL")</f>
        <v>PL</v>
      </c>
      <c r="I341" s="23" t="b">
        <f t="shared" si="3"/>
        <v>1</v>
      </c>
    </row>
    <row r="342">
      <c r="A342" s="23" t="str">
        <f t="shared" si="6"/>
        <v>PLc1129</v>
      </c>
      <c r="B342" s="23" t="str">
        <f>'3.2.raw'!K342</f>
        <v>PLc1129</v>
      </c>
      <c r="C342" s="24">
        <f>datevalue(left('3.2.raw'!M342,10))</f>
        <v>43812</v>
      </c>
      <c r="D342" s="23">
        <f>'3.2.raw'!H342</f>
        <v>11</v>
      </c>
      <c r="E342" s="1">
        <v>3.20000000000006</v>
      </c>
      <c r="F342" s="23" t="b">
        <f>if(countif(Status!C:C,A342)=1,TRUE, FALSE)</f>
        <v>1</v>
      </c>
      <c r="G342" s="23" t="str">
        <f t="shared" si="8"/>
        <v>PLc</v>
      </c>
      <c r="H342" s="23" t="str">
        <f>IFERROR(__xludf.DUMMYFUNCTION("UPPER(filter(Legend!$D$2:$D$32,Legend!$B$2:$B$32=D342))"),"PL")</f>
        <v>PL</v>
      </c>
      <c r="I342" s="23" t="b">
        <f t="shared" si="3"/>
        <v>1</v>
      </c>
    </row>
    <row r="343">
      <c r="A343" s="23" t="str">
        <f t="shared" si="6"/>
        <v>PLc1130</v>
      </c>
      <c r="B343" s="23" t="str">
        <f>'3.2.raw'!K343</f>
        <v>PLc1130</v>
      </c>
      <c r="C343" s="24">
        <f>datevalue(left('3.2.raw'!M343,10))</f>
        <v>43812</v>
      </c>
      <c r="D343" s="23">
        <f>'3.2.raw'!H343</f>
        <v>11</v>
      </c>
      <c r="E343" s="1">
        <v>3.20000000000006</v>
      </c>
      <c r="F343" s="23" t="b">
        <f>if(countif(Status!C:C,A343)=1,TRUE, FALSE)</f>
        <v>1</v>
      </c>
      <c r="G343" s="23" t="str">
        <f t="shared" si="8"/>
        <v>PLc</v>
      </c>
      <c r="H343" s="23" t="str">
        <f>IFERROR(__xludf.DUMMYFUNCTION("UPPER(filter(Legend!$D$2:$D$32,Legend!$B$2:$B$32=D343))"),"PL")</f>
        <v>PL</v>
      </c>
      <c r="I343" s="23" t="b">
        <f t="shared" si="3"/>
        <v>1</v>
      </c>
    </row>
    <row r="344">
      <c r="A344" s="23" t="str">
        <f t="shared" si="6"/>
        <v>PLc1131</v>
      </c>
      <c r="B344" s="23" t="str">
        <f>'3.2.raw'!K344</f>
        <v>PLc1131</v>
      </c>
      <c r="C344" s="24">
        <f>datevalue(left('3.2.raw'!M344,10))</f>
        <v>43812</v>
      </c>
      <c r="D344" s="23">
        <f>'3.2.raw'!H344</f>
        <v>11</v>
      </c>
      <c r="E344" s="1">
        <v>3.20000000000006</v>
      </c>
      <c r="F344" s="23" t="b">
        <f>if(countif(Status!C:C,A344)=1,TRUE, FALSE)</f>
        <v>1</v>
      </c>
      <c r="G344" s="23" t="str">
        <f t="shared" si="8"/>
        <v>PLc</v>
      </c>
      <c r="H344" s="23" t="str">
        <f>IFERROR(__xludf.DUMMYFUNCTION("UPPER(filter(Legend!$D$2:$D$32,Legend!$B$2:$B$32=D344))"),"PL")</f>
        <v>PL</v>
      </c>
      <c r="I344" s="23" t="b">
        <f t="shared" si="3"/>
        <v>1</v>
      </c>
    </row>
    <row r="345">
      <c r="A345" s="23" t="str">
        <f t="shared" si="6"/>
        <v>PLc1132</v>
      </c>
      <c r="B345" s="23" t="str">
        <f>'3.2.raw'!K345</f>
        <v>PLc1132</v>
      </c>
      <c r="C345" s="24">
        <f>datevalue(left('3.2.raw'!M345,10))</f>
        <v>43812</v>
      </c>
      <c r="D345" s="23">
        <f>'3.2.raw'!H345</f>
        <v>11</v>
      </c>
      <c r="E345" s="1">
        <v>3.20000000000006</v>
      </c>
      <c r="F345" s="23" t="b">
        <f>if(countif(Status!C:C,A345)=1,TRUE, FALSE)</f>
        <v>1</v>
      </c>
      <c r="G345" s="23" t="str">
        <f t="shared" si="8"/>
        <v>PLc</v>
      </c>
      <c r="H345" s="23" t="str">
        <f>IFERROR(__xludf.DUMMYFUNCTION("UPPER(filter(Legend!$D$2:$D$32,Legend!$B$2:$B$32=D345))"),"PL")</f>
        <v>PL</v>
      </c>
      <c r="I345" s="23" t="b">
        <f t="shared" si="3"/>
        <v>1</v>
      </c>
    </row>
    <row r="346">
      <c r="A346" s="23" t="str">
        <f t="shared" si="6"/>
        <v>PLc1133</v>
      </c>
      <c r="B346" s="23" t="str">
        <f>'3.2.raw'!K346</f>
        <v>PLc1133</v>
      </c>
      <c r="C346" s="24">
        <f>datevalue(left('3.2.raw'!M346,10))</f>
        <v>43812</v>
      </c>
      <c r="D346" s="23">
        <f>'3.2.raw'!H346</f>
        <v>11</v>
      </c>
      <c r="E346" s="1">
        <v>3.20000000000006</v>
      </c>
      <c r="F346" s="23" t="b">
        <f>if(countif(Status!C:C,A346)=1,TRUE, FALSE)</f>
        <v>1</v>
      </c>
      <c r="G346" s="23" t="str">
        <f t="shared" si="8"/>
        <v>PLc</v>
      </c>
      <c r="H346" s="23" t="str">
        <f>IFERROR(__xludf.DUMMYFUNCTION("UPPER(filter(Legend!$D$2:$D$32,Legend!$B$2:$B$32=D346))"),"PL")</f>
        <v>PL</v>
      </c>
      <c r="I346" s="23" t="b">
        <f t="shared" si="3"/>
        <v>1</v>
      </c>
    </row>
    <row r="347">
      <c r="A347" s="23" t="str">
        <f t="shared" si="6"/>
        <v>PLc1134</v>
      </c>
      <c r="B347" s="23" t="str">
        <f>'3.2.raw'!K347</f>
        <v>PLc1134</v>
      </c>
      <c r="C347" s="24">
        <f>datevalue(left('3.2.raw'!M347,10))</f>
        <v>43812</v>
      </c>
      <c r="D347" s="23">
        <f>'3.2.raw'!H347</f>
        <v>11</v>
      </c>
      <c r="E347" s="1">
        <v>3.20000000000006</v>
      </c>
      <c r="F347" s="23" t="b">
        <f>if(countif(Status!C:C,A347)=1,TRUE, FALSE)</f>
        <v>1</v>
      </c>
      <c r="G347" s="23" t="str">
        <f t="shared" si="8"/>
        <v>PLc</v>
      </c>
      <c r="H347" s="23" t="str">
        <f>IFERROR(__xludf.DUMMYFUNCTION("UPPER(filter(Legend!$D$2:$D$32,Legend!$B$2:$B$32=D347))"),"PL")</f>
        <v>PL</v>
      </c>
      <c r="I347" s="23" t="b">
        <f t="shared" si="3"/>
        <v>1</v>
      </c>
    </row>
    <row r="348">
      <c r="A348" s="23" t="str">
        <f t="shared" si="6"/>
        <v>SL1001</v>
      </c>
      <c r="B348" s="23" t="str">
        <f>'3.2.raw'!K348</f>
        <v>SL1001</v>
      </c>
      <c r="C348" s="24">
        <f>datevalue(left('3.2.raw'!M348,10))</f>
        <v>43812</v>
      </c>
      <c r="D348" s="23">
        <f>'3.2.raw'!H348</f>
        <v>97</v>
      </c>
      <c r="E348" s="1">
        <v>3.20000000000006</v>
      </c>
      <c r="F348" s="23" t="b">
        <f>if(countif(Status!C:C,A348)=1,TRUE, FALSE)</f>
        <v>1</v>
      </c>
      <c r="G348" s="23" t="str">
        <f t="shared" si="8"/>
        <v>SL</v>
      </c>
      <c r="H348" s="23" t="str">
        <f>IFERROR(__xludf.DUMMYFUNCTION("UPPER(filter(Legend!$D$2:$D$32,Legend!$B$2:$B$32=D348))"),"")</f>
        <v/>
      </c>
      <c r="I348" s="23" t="b">
        <f t="shared" si="3"/>
        <v>0</v>
      </c>
    </row>
    <row r="349">
      <c r="A349" s="23" t="str">
        <f t="shared" si="6"/>
        <v>B124-21</v>
      </c>
      <c r="B349" s="23" t="str">
        <f>'3.2.raw'!K349</f>
        <v>B124-21</v>
      </c>
      <c r="C349" s="24">
        <f>datevalue(left('3.2.raw'!M349,10))</f>
        <v>43812</v>
      </c>
      <c r="D349" s="23">
        <f>'3.2.raw'!H349</f>
        <v>97</v>
      </c>
      <c r="E349" s="1">
        <v>3.20000000000006</v>
      </c>
      <c r="F349" s="23" t="b">
        <f>if(countif(Status!C:C,A349)=1,TRUE, FALSE)</f>
        <v>0</v>
      </c>
      <c r="G349" s="23" t="str">
        <f t="shared" si="8"/>
        <v>B12</v>
      </c>
      <c r="H349" s="23" t="str">
        <f>IFERROR(__xludf.DUMMYFUNCTION("UPPER(filter(Legend!$D$2:$D$32,Legend!$B$2:$B$32=D349))"),"")</f>
        <v/>
      </c>
      <c r="I349" s="23" t="b">
        <f t="shared" si="3"/>
        <v>0</v>
      </c>
    </row>
    <row r="350">
      <c r="A350" s="23" t="str">
        <f t="shared" si="6"/>
        <v>PLc1135</v>
      </c>
      <c r="B350" s="23" t="str">
        <f>'3.2.raw'!K350</f>
        <v>PLc1135</v>
      </c>
      <c r="C350" s="24">
        <f>datevalue(left('3.2.raw'!M350,10))</f>
        <v>43817</v>
      </c>
      <c r="D350" s="23">
        <f>'3.2.raw'!H350</f>
        <v>11</v>
      </c>
      <c r="E350" s="1">
        <v>3.20000000000006</v>
      </c>
      <c r="F350" s="23" t="b">
        <f>if(countif(Status!C:C,A350)=1,TRUE, FALSE)</f>
        <v>1</v>
      </c>
      <c r="G350" s="23" t="str">
        <f t="shared" si="8"/>
        <v>PLc</v>
      </c>
      <c r="H350" s="23" t="str">
        <f>IFERROR(__xludf.DUMMYFUNCTION("UPPER(filter(Legend!$D$2:$D$32,Legend!$B$2:$B$32=D350))"),"PL")</f>
        <v>PL</v>
      </c>
      <c r="I350" s="23" t="b">
        <f t="shared" si="3"/>
        <v>1</v>
      </c>
    </row>
    <row r="351">
      <c r="A351" s="23" t="str">
        <f t="shared" si="6"/>
        <v>PLc1136</v>
      </c>
      <c r="B351" s="23" t="str">
        <f>'3.2.raw'!K351</f>
        <v>PLc1136</v>
      </c>
      <c r="C351" s="24">
        <f>datevalue(left('3.2.raw'!M351,10))</f>
        <v>43817</v>
      </c>
      <c r="D351" s="23">
        <f>'3.2.raw'!H351</f>
        <v>11</v>
      </c>
      <c r="E351" s="1">
        <v>3.20000000000006</v>
      </c>
      <c r="F351" s="23" t="b">
        <f>if(countif(Status!C:C,A351)=1,TRUE, FALSE)</f>
        <v>1</v>
      </c>
      <c r="G351" s="23" t="str">
        <f t="shared" si="8"/>
        <v>PLc</v>
      </c>
      <c r="H351" s="23" t="str">
        <f>IFERROR(__xludf.DUMMYFUNCTION("UPPER(filter(Legend!$D$2:$D$32,Legend!$B$2:$B$32=D351))"),"PL")</f>
        <v>PL</v>
      </c>
      <c r="I351" s="23" t="b">
        <f t="shared" si="3"/>
        <v>1</v>
      </c>
    </row>
    <row r="352">
      <c r="A352" s="23" t="str">
        <f t="shared" si="6"/>
        <v>PLc1137</v>
      </c>
      <c r="B352" s="23" t="str">
        <f>'3.2.raw'!K352</f>
        <v>PLc1137</v>
      </c>
      <c r="C352" s="24">
        <f>datevalue(left('3.2.raw'!M352,10))</f>
        <v>43817</v>
      </c>
      <c r="D352" s="23">
        <f>'3.2.raw'!H352</f>
        <v>11</v>
      </c>
      <c r="E352" s="1">
        <v>3.20000000000006</v>
      </c>
      <c r="F352" s="23" t="b">
        <f>if(countif(Status!C:C,A352)=1,TRUE, FALSE)</f>
        <v>1</v>
      </c>
      <c r="G352" s="23" t="str">
        <f t="shared" si="8"/>
        <v>PLc</v>
      </c>
      <c r="H352" s="23" t="str">
        <f>IFERROR(__xludf.DUMMYFUNCTION("UPPER(filter(Legend!$D$2:$D$32,Legend!$B$2:$B$32=D352))"),"PL")</f>
        <v>PL</v>
      </c>
      <c r="I352" s="23" t="b">
        <f t="shared" si="3"/>
        <v>1</v>
      </c>
    </row>
    <row r="353">
      <c r="A353" s="23" t="str">
        <f t="shared" si="6"/>
        <v>PLc1138</v>
      </c>
      <c r="B353" s="23" t="str">
        <f>'3.2.raw'!K353</f>
        <v>PLc1138</v>
      </c>
      <c r="C353" s="24">
        <f>datevalue(left('3.2.raw'!M353,10))</f>
        <v>43817</v>
      </c>
      <c r="D353" s="23">
        <f>'3.2.raw'!H353</f>
        <v>11</v>
      </c>
      <c r="E353" s="1">
        <v>3.20000000000006</v>
      </c>
      <c r="F353" s="23" t="b">
        <f>if(countif(Status!C:C,A353)=1,TRUE, FALSE)</f>
        <v>1</v>
      </c>
      <c r="G353" s="23" t="str">
        <f t="shared" si="8"/>
        <v>PLc</v>
      </c>
      <c r="H353" s="23" t="str">
        <f>IFERROR(__xludf.DUMMYFUNCTION("UPPER(filter(Legend!$D$2:$D$32,Legend!$B$2:$B$32=D353))"),"PL")</f>
        <v>PL</v>
      </c>
      <c r="I353" s="23" t="b">
        <f t="shared" si="3"/>
        <v>1</v>
      </c>
    </row>
    <row r="354">
      <c r="A354" s="23" t="str">
        <f t="shared" si="6"/>
        <v>PLc1139</v>
      </c>
      <c r="B354" s="23" t="str">
        <f>'3.2.raw'!K354</f>
        <v>PLc1139</v>
      </c>
      <c r="C354" s="24">
        <f>datevalue(left('3.2.raw'!M354,10))</f>
        <v>43817</v>
      </c>
      <c r="D354" s="23">
        <f>'3.2.raw'!H354</f>
        <v>11</v>
      </c>
      <c r="E354" s="1">
        <v>3.20000000000006</v>
      </c>
      <c r="F354" s="23" t="b">
        <f>if(countif(Status!C:C,A354)=1,TRUE, FALSE)</f>
        <v>1</v>
      </c>
      <c r="G354" s="23" t="str">
        <f t="shared" si="8"/>
        <v>PLc</v>
      </c>
      <c r="H354" s="23" t="str">
        <f>IFERROR(__xludf.DUMMYFUNCTION("UPPER(filter(Legend!$D$2:$D$32,Legend!$B$2:$B$32=D354))"),"PL")</f>
        <v>PL</v>
      </c>
      <c r="I354" s="23" t="b">
        <f t="shared" si="3"/>
        <v>1</v>
      </c>
    </row>
    <row r="355">
      <c r="A355" s="23" t="str">
        <f t="shared" si="6"/>
        <v>PLc1140</v>
      </c>
      <c r="B355" s="23" t="str">
        <f>'3.2.raw'!K355</f>
        <v>PLc1140</v>
      </c>
      <c r="C355" s="24">
        <f>datevalue(left('3.2.raw'!M355,10))</f>
        <v>43817</v>
      </c>
      <c r="D355" s="23">
        <f>'3.2.raw'!H355</f>
        <v>11</v>
      </c>
      <c r="E355" s="1">
        <v>3.20000000000006</v>
      </c>
      <c r="F355" s="23" t="b">
        <f>if(countif(Status!C:C,A355)=1,TRUE, FALSE)</f>
        <v>1</v>
      </c>
      <c r="G355" s="23" t="str">
        <f t="shared" si="8"/>
        <v>PLc</v>
      </c>
      <c r="H355" s="23" t="str">
        <f>IFERROR(__xludf.DUMMYFUNCTION("UPPER(filter(Legend!$D$2:$D$32,Legend!$B$2:$B$32=D355))"),"PL")</f>
        <v>PL</v>
      </c>
      <c r="I355" s="23" t="b">
        <f t="shared" si="3"/>
        <v>1</v>
      </c>
    </row>
    <row r="356">
      <c r="A356" s="23" t="str">
        <f t="shared" si="6"/>
        <v>PLc1141</v>
      </c>
      <c r="B356" s="23" t="str">
        <f>'3.2.raw'!K356</f>
        <v>PLc1141</v>
      </c>
      <c r="C356" s="24">
        <f>datevalue(left('3.2.raw'!M356,10))</f>
        <v>43817</v>
      </c>
      <c r="D356" s="23">
        <f>'3.2.raw'!H356</f>
        <v>11</v>
      </c>
      <c r="E356" s="1">
        <v>3.20000000000006</v>
      </c>
      <c r="F356" s="23" t="b">
        <f>if(countif(Status!C:C,A356)=1,TRUE, FALSE)</f>
        <v>1</v>
      </c>
      <c r="G356" s="23" t="str">
        <f t="shared" si="8"/>
        <v>PLc</v>
      </c>
      <c r="H356" s="23" t="str">
        <f>IFERROR(__xludf.DUMMYFUNCTION("UPPER(filter(Legend!$D$2:$D$32,Legend!$B$2:$B$32=D356))"),"PL")</f>
        <v>PL</v>
      </c>
      <c r="I356" s="23" t="b">
        <f t="shared" si="3"/>
        <v>1</v>
      </c>
    </row>
    <row r="357">
      <c r="A357" s="23" t="str">
        <f t="shared" si="6"/>
        <v>PLc1142</v>
      </c>
      <c r="B357" s="23" t="str">
        <f>'3.2.raw'!K357</f>
        <v>PLc1142</v>
      </c>
      <c r="C357" s="24">
        <f>datevalue(left('3.2.raw'!M357,10))</f>
        <v>43817</v>
      </c>
      <c r="D357" s="23">
        <f>'3.2.raw'!H357</f>
        <v>11</v>
      </c>
      <c r="E357" s="1">
        <v>3.20000000000006</v>
      </c>
      <c r="F357" s="23" t="b">
        <f>if(countif(Status!C:C,A357)=1,TRUE, FALSE)</f>
        <v>1</v>
      </c>
      <c r="G357" s="23" t="str">
        <f t="shared" si="8"/>
        <v>PLc</v>
      </c>
      <c r="H357" s="23" t="str">
        <f>IFERROR(__xludf.DUMMYFUNCTION("UPPER(filter(Legend!$D$2:$D$32,Legend!$B$2:$B$32=D357))"),"PL")</f>
        <v>PL</v>
      </c>
      <c r="I357" s="23" t="b">
        <f t="shared" si="3"/>
        <v>1</v>
      </c>
    </row>
    <row r="358">
      <c r="A358" s="23" t="str">
        <f t="shared" si="6"/>
        <v>PLc1143</v>
      </c>
      <c r="B358" s="23" t="str">
        <f>'3.2.raw'!K358</f>
        <v>PLc1143</v>
      </c>
      <c r="C358" s="24">
        <f>datevalue(left('3.2.raw'!M358,10))</f>
        <v>43817</v>
      </c>
      <c r="D358" s="23">
        <f>'3.2.raw'!H358</f>
        <v>11</v>
      </c>
      <c r="E358" s="1">
        <v>3.20000000000006</v>
      </c>
      <c r="F358" s="23" t="b">
        <f>if(countif(Status!C:C,A358)=1,TRUE, FALSE)</f>
        <v>1</v>
      </c>
      <c r="G358" s="23" t="str">
        <f t="shared" si="8"/>
        <v>PLc</v>
      </c>
      <c r="H358" s="23" t="str">
        <f>IFERROR(__xludf.DUMMYFUNCTION("UPPER(filter(Legend!$D$2:$D$32,Legend!$B$2:$B$32=D358))"),"PL")</f>
        <v>PL</v>
      </c>
      <c r="I358" s="23" t="b">
        <f t="shared" si="3"/>
        <v>1</v>
      </c>
    </row>
    <row r="359">
      <c r="A359" s="23" t="str">
        <f t="shared" si="6"/>
        <v>UF1012</v>
      </c>
      <c r="B359" s="23" t="str">
        <f>'3.2.raw'!K359</f>
        <v>UF1012</v>
      </c>
      <c r="C359" s="24">
        <f>datevalue(left('3.2.raw'!M359,10))</f>
        <v>43817</v>
      </c>
      <c r="D359" s="23">
        <f>'3.2.raw'!H359</f>
        <v>16</v>
      </c>
      <c r="E359" s="1">
        <v>3.20000000000006</v>
      </c>
      <c r="F359" s="23" t="b">
        <f>if(countif(Status!C:C,A359)=1,TRUE, FALSE)</f>
        <v>1</v>
      </c>
      <c r="G359" s="23" t="str">
        <f t="shared" si="8"/>
        <v>UF</v>
      </c>
      <c r="H359" s="23" t="str">
        <f>IFERROR(__xludf.DUMMYFUNCTION("UPPER(filter(Legend!$D$2:$D$32,Legend!$B$2:$B$32=D359))"),"UF")</f>
        <v>UF</v>
      </c>
      <c r="I359" s="23" t="b">
        <f t="shared" si="3"/>
        <v>1</v>
      </c>
    </row>
    <row r="360">
      <c r="A360" s="23" t="str">
        <f t="shared" si="6"/>
        <v>B124-21</v>
      </c>
      <c r="B360" s="23" t="str">
        <f>'3.2.raw'!K360</f>
        <v>B124-21</v>
      </c>
      <c r="C360" s="24">
        <f>datevalue(left('3.2.raw'!M360,10))</f>
        <v>43817</v>
      </c>
      <c r="D360" s="23">
        <f>'3.2.raw'!H360</f>
        <v>97</v>
      </c>
      <c r="E360" s="1">
        <v>3.20000000000006</v>
      </c>
      <c r="F360" s="23" t="b">
        <f>if(countif(Status!C:C,A360)=1,TRUE, FALSE)</f>
        <v>0</v>
      </c>
      <c r="G360" s="23" t="str">
        <f t="shared" si="8"/>
        <v>B12</v>
      </c>
      <c r="H360" s="23" t="str">
        <f>IFERROR(__xludf.DUMMYFUNCTION("UPPER(filter(Legend!$D$2:$D$32,Legend!$B$2:$B$32=D360))"),"")</f>
        <v/>
      </c>
      <c r="I360" s="23" t="b">
        <f t="shared" si="3"/>
        <v>0</v>
      </c>
    </row>
    <row r="361">
      <c r="A361" s="23" t="str">
        <f t="shared" si="6"/>
        <v>SL1001</v>
      </c>
      <c r="B361" s="23" t="str">
        <f>'3.2.raw'!K361</f>
        <v>SL1001</v>
      </c>
      <c r="C361" s="24">
        <f>datevalue(left('3.2.raw'!M361,10))</f>
        <v>43817</v>
      </c>
      <c r="D361" s="23">
        <f>'3.2.raw'!H361</f>
        <v>97</v>
      </c>
      <c r="E361" s="1">
        <v>3.20000000000006</v>
      </c>
      <c r="F361" s="23" t="b">
        <f>if(countif(Status!C:C,A361)=1,TRUE, FALSE)</f>
        <v>1</v>
      </c>
      <c r="G361" s="23" t="str">
        <f t="shared" si="8"/>
        <v>SL</v>
      </c>
      <c r="H361" s="23" t="str">
        <f>IFERROR(__xludf.DUMMYFUNCTION("UPPER(filter(Legend!$D$2:$D$32,Legend!$B$2:$B$32=D361))"),"")</f>
        <v/>
      </c>
      <c r="I361" s="23" t="b">
        <f t="shared" si="3"/>
        <v>0</v>
      </c>
    </row>
    <row r="362">
      <c r="A362" s="23" t="str">
        <f t="shared" si="6"/>
        <v>PLc1144</v>
      </c>
      <c r="B362" s="23" t="str">
        <f>'3.2.raw'!K362</f>
        <v>PLc1144</v>
      </c>
      <c r="C362" s="24">
        <f>datevalue(left('3.2.raw'!M362,10))</f>
        <v>43818</v>
      </c>
      <c r="D362" s="23">
        <f>'3.2.raw'!H362</f>
        <v>11</v>
      </c>
      <c r="E362" s="1">
        <v>3.20000000000006</v>
      </c>
      <c r="F362" s="23" t="b">
        <f>if(countif(Status!C:C,A362)=1,TRUE, FALSE)</f>
        <v>1</v>
      </c>
      <c r="G362" s="23" t="str">
        <f t="shared" si="8"/>
        <v>PLc</v>
      </c>
      <c r="H362" s="23" t="str">
        <f>IFERROR(__xludf.DUMMYFUNCTION("UPPER(filter(Legend!$D$2:$D$32,Legend!$B$2:$B$32=D362))"),"PL")</f>
        <v>PL</v>
      </c>
      <c r="I362" s="23" t="b">
        <f t="shared" si="3"/>
        <v>1</v>
      </c>
    </row>
    <row r="363">
      <c r="A363" s="23" t="str">
        <f t="shared" si="6"/>
        <v>PLc1145</v>
      </c>
      <c r="B363" s="23" t="str">
        <f>'3.2.raw'!K363</f>
        <v>PLc1145</v>
      </c>
      <c r="C363" s="24">
        <f>datevalue(left('3.2.raw'!M363,10))</f>
        <v>43818</v>
      </c>
      <c r="D363" s="23">
        <f>'3.2.raw'!H363</f>
        <v>11</v>
      </c>
      <c r="E363" s="1">
        <v>3.20000000000006</v>
      </c>
      <c r="F363" s="23" t="b">
        <f>if(countif(Status!C:C,A363)=1,TRUE, FALSE)</f>
        <v>1</v>
      </c>
      <c r="G363" s="23" t="str">
        <f t="shared" si="8"/>
        <v>PLc</v>
      </c>
      <c r="H363" s="23" t="str">
        <f>IFERROR(__xludf.DUMMYFUNCTION("UPPER(filter(Legend!$D$2:$D$32,Legend!$B$2:$B$32=D363))"),"PL")</f>
        <v>PL</v>
      </c>
      <c r="I363" s="23" t="b">
        <f t="shared" si="3"/>
        <v>1</v>
      </c>
    </row>
    <row r="364">
      <c r="A364" s="23" t="str">
        <f t="shared" si="6"/>
        <v>PLc1146</v>
      </c>
      <c r="B364" s="23" t="str">
        <f>'3.2.raw'!K364</f>
        <v>PLc1146</v>
      </c>
      <c r="C364" s="24">
        <f>datevalue(left('3.2.raw'!M364,10))</f>
        <v>43818</v>
      </c>
      <c r="D364" s="23">
        <f>'3.2.raw'!H364</f>
        <v>11</v>
      </c>
      <c r="E364" s="1">
        <v>3.20000000000006</v>
      </c>
      <c r="F364" s="23" t="b">
        <f>if(countif(Status!C:C,A364)=1,TRUE, FALSE)</f>
        <v>1</v>
      </c>
      <c r="G364" s="23" t="str">
        <f t="shared" si="8"/>
        <v>PLc</v>
      </c>
      <c r="H364" s="23" t="str">
        <f>IFERROR(__xludf.DUMMYFUNCTION("UPPER(filter(Legend!$D$2:$D$32,Legend!$B$2:$B$32=D364))"),"PL")</f>
        <v>PL</v>
      </c>
      <c r="I364" s="23" t="b">
        <f t="shared" si="3"/>
        <v>1</v>
      </c>
    </row>
    <row r="365">
      <c r="A365" s="23" t="str">
        <f t="shared" si="6"/>
        <v>PLc1147</v>
      </c>
      <c r="B365" s="23" t="str">
        <f>'3.2.raw'!K365</f>
        <v>PLc1147</v>
      </c>
      <c r="C365" s="24">
        <f>datevalue(left('3.2.raw'!M365,10))</f>
        <v>43818</v>
      </c>
      <c r="D365" s="23">
        <f>'3.2.raw'!H365</f>
        <v>11</v>
      </c>
      <c r="E365" s="1">
        <v>3.20000000000006</v>
      </c>
      <c r="F365" s="23" t="b">
        <f>if(countif(Status!C:C,A365)=1,TRUE, FALSE)</f>
        <v>1</v>
      </c>
      <c r="G365" s="23" t="str">
        <f t="shared" si="8"/>
        <v>PLc</v>
      </c>
      <c r="H365" s="23" t="str">
        <f>IFERROR(__xludf.DUMMYFUNCTION("UPPER(filter(Legend!$D$2:$D$32,Legend!$B$2:$B$32=D365))"),"PL")</f>
        <v>PL</v>
      </c>
      <c r="I365" s="23" t="b">
        <f t="shared" si="3"/>
        <v>1</v>
      </c>
    </row>
    <row r="366">
      <c r="A366" s="23" t="str">
        <f t="shared" si="6"/>
        <v>PLc1148</v>
      </c>
      <c r="B366" s="23" t="str">
        <f>'3.2.raw'!K366</f>
        <v>PLc1148</v>
      </c>
      <c r="C366" s="24">
        <f>datevalue(left('3.2.raw'!M366,10))</f>
        <v>43818</v>
      </c>
      <c r="D366" s="23">
        <f>'3.2.raw'!H366</f>
        <v>11</v>
      </c>
      <c r="E366" s="1">
        <v>3.20000000000006</v>
      </c>
      <c r="F366" s="23" t="b">
        <f>if(countif(Status!C:C,A366)=1,TRUE, FALSE)</f>
        <v>1</v>
      </c>
      <c r="G366" s="23" t="str">
        <f t="shared" si="8"/>
        <v>PLc</v>
      </c>
      <c r="H366" s="23" t="str">
        <f>IFERROR(__xludf.DUMMYFUNCTION("UPPER(filter(Legend!$D$2:$D$32,Legend!$B$2:$B$32=D366))"),"PL")</f>
        <v>PL</v>
      </c>
      <c r="I366" s="23" t="b">
        <f t="shared" si="3"/>
        <v>1</v>
      </c>
    </row>
    <row r="367">
      <c r="A367" s="23" t="str">
        <f t="shared" si="6"/>
        <v>PLc1149</v>
      </c>
      <c r="B367" s="23" t="str">
        <f>'3.2.raw'!K367</f>
        <v>PLc1149</v>
      </c>
      <c r="C367" s="24">
        <f>datevalue(left('3.2.raw'!M367,10))</f>
        <v>43818</v>
      </c>
      <c r="D367" s="23">
        <f>'3.2.raw'!H367</f>
        <v>11</v>
      </c>
      <c r="E367" s="1">
        <v>3.20000000000006</v>
      </c>
      <c r="F367" s="23" t="b">
        <f>if(countif(Status!C:C,A367)=1,TRUE, FALSE)</f>
        <v>1</v>
      </c>
      <c r="G367" s="23" t="str">
        <f t="shared" si="8"/>
        <v>PLc</v>
      </c>
      <c r="H367" s="23" t="str">
        <f>IFERROR(__xludf.DUMMYFUNCTION("UPPER(filter(Legend!$D$2:$D$32,Legend!$B$2:$B$32=D367))"),"PL")</f>
        <v>PL</v>
      </c>
      <c r="I367" s="23" t="b">
        <f t="shared" si="3"/>
        <v>1</v>
      </c>
    </row>
    <row r="368">
      <c r="A368" s="23" t="str">
        <f t="shared" si="6"/>
        <v>SL1001</v>
      </c>
      <c r="B368" s="23" t="str">
        <f>'3.2.raw'!K368</f>
        <v>SL1001</v>
      </c>
      <c r="C368" s="24">
        <f>datevalue(left('3.2.raw'!M368,10))</f>
        <v>43818</v>
      </c>
      <c r="D368" s="23">
        <f>'3.2.raw'!H368</f>
        <v>97</v>
      </c>
      <c r="E368" s="1">
        <v>3.20000000000006</v>
      </c>
      <c r="F368" s="23" t="b">
        <f>if(countif(Status!C:C,A368)=1,TRUE, FALSE)</f>
        <v>1</v>
      </c>
      <c r="G368" s="23" t="str">
        <f t="shared" si="8"/>
        <v>SL</v>
      </c>
      <c r="H368" s="23" t="str">
        <f>IFERROR(__xludf.DUMMYFUNCTION("UPPER(filter(Legend!$D$2:$D$32,Legend!$B$2:$B$32=D368))"),"")</f>
        <v/>
      </c>
      <c r="I368" s="23" t="b">
        <f t="shared" si="3"/>
        <v>0</v>
      </c>
    </row>
    <row r="369">
      <c r="A369" s="23" t="str">
        <f t="shared" si="6"/>
        <v>B124-21</v>
      </c>
      <c r="B369" s="23" t="str">
        <f>'3.2.raw'!K369</f>
        <v>B124-21</v>
      </c>
      <c r="C369" s="24">
        <f>datevalue(left('3.2.raw'!M369,10))</f>
        <v>43818</v>
      </c>
      <c r="D369" s="23">
        <f>'3.2.raw'!H369</f>
        <v>97</v>
      </c>
      <c r="E369" s="1">
        <v>3.20000000000006</v>
      </c>
      <c r="F369" s="23" t="b">
        <f>if(countif(Status!C:C,A369)=1,TRUE, FALSE)</f>
        <v>0</v>
      </c>
      <c r="G369" s="23" t="str">
        <f t="shared" si="8"/>
        <v>B12</v>
      </c>
      <c r="H369" s="23" t="str">
        <f>IFERROR(__xludf.DUMMYFUNCTION("UPPER(filter(Legend!$D$2:$D$32,Legend!$B$2:$B$32=D369))"),"")</f>
        <v/>
      </c>
      <c r="I369" s="23" t="b">
        <f t="shared" si="3"/>
        <v>0</v>
      </c>
    </row>
    <row r="370">
      <c r="A370" s="23" t="str">
        <f t="shared" si="6"/>
        <v>PLc1150</v>
      </c>
      <c r="B370" s="23" t="str">
        <f>'3.2.raw'!K370</f>
        <v>PLc1150</v>
      </c>
      <c r="C370" s="24">
        <f>datevalue(left('3.2.raw'!M370,10))</f>
        <v>43830</v>
      </c>
      <c r="D370" s="23">
        <f>'3.2.raw'!H370</f>
        <v>11</v>
      </c>
      <c r="E370" s="1">
        <v>3.20000000000006</v>
      </c>
      <c r="F370" s="23" t="b">
        <f>if(countif(Status!C:C,A370)=1,TRUE, FALSE)</f>
        <v>1</v>
      </c>
      <c r="G370" s="23" t="str">
        <f t="shared" si="8"/>
        <v>PLc</v>
      </c>
      <c r="H370" s="23" t="str">
        <f>IFERROR(__xludf.DUMMYFUNCTION("UPPER(filter(Legend!$D$2:$D$32,Legend!$B$2:$B$32=D370))"),"PL")</f>
        <v>PL</v>
      </c>
      <c r="I370" s="23" t="b">
        <f t="shared" si="3"/>
        <v>1</v>
      </c>
    </row>
    <row r="371">
      <c r="A371" s="23" t="str">
        <f t="shared" si="6"/>
        <v>PLc1151</v>
      </c>
      <c r="B371" s="23" t="str">
        <f>'3.2.raw'!K371</f>
        <v>PLc1151</v>
      </c>
      <c r="C371" s="24">
        <f>datevalue(left('3.2.raw'!M371,10))</f>
        <v>43830</v>
      </c>
      <c r="D371" s="23">
        <f>'3.2.raw'!H371</f>
        <v>11</v>
      </c>
      <c r="E371" s="1">
        <v>3.20000000000006</v>
      </c>
      <c r="F371" s="23" t="b">
        <f>if(countif(Status!C:C,A371)=1,TRUE, FALSE)</f>
        <v>1</v>
      </c>
      <c r="G371" s="23" t="str">
        <f t="shared" si="8"/>
        <v>PLc</v>
      </c>
      <c r="H371" s="23" t="str">
        <f>IFERROR(__xludf.DUMMYFUNCTION("UPPER(filter(Legend!$D$2:$D$32,Legend!$B$2:$B$32=D371))"),"PL")</f>
        <v>PL</v>
      </c>
      <c r="I371" s="23" t="b">
        <f t="shared" si="3"/>
        <v>1</v>
      </c>
    </row>
    <row r="372">
      <c r="A372" s="23" t="str">
        <f t="shared" si="6"/>
        <v>PLc1152</v>
      </c>
      <c r="B372" s="23" t="str">
        <f>'3.2.raw'!K372</f>
        <v>PLc1152</v>
      </c>
      <c r="C372" s="24">
        <f>datevalue(left('3.2.raw'!M372,10))</f>
        <v>43830</v>
      </c>
      <c r="D372" s="23">
        <f>'3.2.raw'!H372</f>
        <v>11</v>
      </c>
      <c r="E372" s="1">
        <v>3.20000000000006</v>
      </c>
      <c r="F372" s="23" t="b">
        <f>if(countif(Status!C:C,A372)=1,TRUE, FALSE)</f>
        <v>1</v>
      </c>
      <c r="G372" s="23" t="str">
        <f t="shared" si="8"/>
        <v>PLc</v>
      </c>
      <c r="H372" s="23" t="str">
        <f>IFERROR(__xludf.DUMMYFUNCTION("UPPER(filter(Legend!$D$2:$D$32,Legend!$B$2:$B$32=D372))"),"PL")</f>
        <v>PL</v>
      </c>
      <c r="I372" s="23" t="b">
        <f t="shared" si="3"/>
        <v>1</v>
      </c>
    </row>
    <row r="373">
      <c r="A373" s="23" t="str">
        <f t="shared" si="6"/>
        <v>PLc1153</v>
      </c>
      <c r="B373" s="23" t="str">
        <f>'3.2.raw'!K373</f>
        <v>PLc1153</v>
      </c>
      <c r="C373" s="24">
        <f>datevalue(left('3.2.raw'!M373,10))</f>
        <v>43830</v>
      </c>
      <c r="D373" s="23">
        <f>'3.2.raw'!H373</f>
        <v>11</v>
      </c>
      <c r="E373" s="1">
        <v>3.20000000000006</v>
      </c>
      <c r="F373" s="23" t="b">
        <f>if(countif(Status!C:C,A373)=1,TRUE, FALSE)</f>
        <v>1</v>
      </c>
      <c r="G373" s="23" t="str">
        <f t="shared" si="8"/>
        <v>PLc</v>
      </c>
      <c r="H373" s="23" t="str">
        <f>IFERROR(__xludf.DUMMYFUNCTION("UPPER(filter(Legend!$D$2:$D$32,Legend!$B$2:$B$32=D373))"),"PL")</f>
        <v>PL</v>
      </c>
      <c r="I373" s="23" t="b">
        <f t="shared" si="3"/>
        <v>1</v>
      </c>
    </row>
    <row r="374">
      <c r="A374" s="23" t="str">
        <f t="shared" si="6"/>
        <v>PLc1154</v>
      </c>
      <c r="B374" s="23" t="str">
        <f>'3.2.raw'!K374</f>
        <v>PLc1154</v>
      </c>
      <c r="C374" s="24">
        <f>datevalue(left('3.2.raw'!M374,10))</f>
        <v>43830</v>
      </c>
      <c r="D374" s="23">
        <f>'3.2.raw'!H374</f>
        <v>11</v>
      </c>
      <c r="E374" s="1">
        <v>3.20000000000006</v>
      </c>
      <c r="F374" s="23" t="b">
        <f>if(countif(Status!C:C,A374)=1,TRUE, FALSE)</f>
        <v>1</v>
      </c>
      <c r="G374" s="23" t="str">
        <f t="shared" si="8"/>
        <v>PLc</v>
      </c>
      <c r="H374" s="23" t="str">
        <f>IFERROR(__xludf.DUMMYFUNCTION("UPPER(filter(Legend!$D$2:$D$32,Legend!$B$2:$B$32=D374))"),"PL")</f>
        <v>PL</v>
      </c>
      <c r="I374" s="23" t="b">
        <f t="shared" si="3"/>
        <v>1</v>
      </c>
    </row>
    <row r="375">
      <c r="A375" s="23" t="str">
        <f t="shared" si="6"/>
        <v>PLc1155</v>
      </c>
      <c r="B375" s="23" t="str">
        <f>'3.2.raw'!K375</f>
        <v>PLc1155</v>
      </c>
      <c r="C375" s="24">
        <f>datevalue(left('3.2.raw'!M375,10))</f>
        <v>43830</v>
      </c>
      <c r="D375" s="23">
        <f>'3.2.raw'!H375</f>
        <v>11</v>
      </c>
      <c r="E375" s="1">
        <v>3.20000000000006</v>
      </c>
      <c r="F375" s="23" t="b">
        <f>if(countif(Status!C:C,A375)=1,TRUE, FALSE)</f>
        <v>1</v>
      </c>
      <c r="G375" s="23" t="str">
        <f t="shared" si="8"/>
        <v>PLc</v>
      </c>
      <c r="H375" s="23" t="str">
        <f>IFERROR(__xludf.DUMMYFUNCTION("UPPER(filter(Legend!$D$2:$D$32,Legend!$B$2:$B$32=D375))"),"PL")</f>
        <v>PL</v>
      </c>
      <c r="I375" s="23" t="b">
        <f t="shared" si="3"/>
        <v>1</v>
      </c>
    </row>
    <row r="376">
      <c r="A376" s="23" t="str">
        <f t="shared" si="6"/>
        <v>PLc1156</v>
      </c>
      <c r="B376" s="23" t="str">
        <f>'3.2.raw'!K376</f>
        <v>PLc1156</v>
      </c>
      <c r="C376" s="24">
        <f>datevalue(left('3.2.raw'!M376,10))</f>
        <v>43830</v>
      </c>
      <c r="D376" s="23">
        <f>'3.2.raw'!H376</f>
        <v>11</v>
      </c>
      <c r="E376" s="1">
        <v>3.20000000000006</v>
      </c>
      <c r="F376" s="23" t="b">
        <f>if(countif(Status!C:C,A376)=1,TRUE, FALSE)</f>
        <v>1</v>
      </c>
      <c r="G376" s="23" t="str">
        <f t="shared" si="8"/>
        <v>PLc</v>
      </c>
      <c r="H376" s="23" t="str">
        <f>IFERROR(__xludf.DUMMYFUNCTION("UPPER(filter(Legend!$D$2:$D$32,Legend!$B$2:$B$32=D376))"),"PL")</f>
        <v>PL</v>
      </c>
      <c r="I376" s="23" t="b">
        <f t="shared" si="3"/>
        <v>1</v>
      </c>
    </row>
    <row r="377">
      <c r="A377" s="23" t="str">
        <f t="shared" si="6"/>
        <v>PLc1157</v>
      </c>
      <c r="B377" s="23" t="str">
        <f>'3.2.raw'!K377</f>
        <v>PLc1157</v>
      </c>
      <c r="C377" s="24">
        <f>datevalue(left('3.2.raw'!M377,10))</f>
        <v>43830</v>
      </c>
      <c r="D377" s="23">
        <f>'3.2.raw'!H377</f>
        <v>11</v>
      </c>
      <c r="E377" s="1">
        <v>3.20000000000006</v>
      </c>
      <c r="F377" s="23" t="b">
        <f>if(countif(Status!C:C,A377)=1,TRUE, FALSE)</f>
        <v>1</v>
      </c>
      <c r="G377" s="23" t="str">
        <f t="shared" si="8"/>
        <v>PLc</v>
      </c>
      <c r="H377" s="23" t="str">
        <f>IFERROR(__xludf.DUMMYFUNCTION("UPPER(filter(Legend!$D$2:$D$32,Legend!$B$2:$B$32=D377))"),"PL")</f>
        <v>PL</v>
      </c>
      <c r="I377" s="23" t="b">
        <f t="shared" si="3"/>
        <v>1</v>
      </c>
    </row>
    <row r="378">
      <c r="A378" s="23" t="str">
        <f t="shared" si="6"/>
        <v>PLc1158</v>
      </c>
      <c r="B378" s="23" t="str">
        <f>'3.2.raw'!K378</f>
        <v>PLc1158</v>
      </c>
      <c r="C378" s="24">
        <f>datevalue(left('3.2.raw'!M378,10))</f>
        <v>43830</v>
      </c>
      <c r="D378" s="23">
        <f>'3.2.raw'!H378</f>
        <v>11</v>
      </c>
      <c r="E378" s="1">
        <v>3.20000000000006</v>
      </c>
      <c r="F378" s="23" t="b">
        <f>if(countif(Status!C:C,A378)=1,TRUE, FALSE)</f>
        <v>1</v>
      </c>
      <c r="G378" s="23" t="str">
        <f t="shared" si="8"/>
        <v>PLc</v>
      </c>
      <c r="H378" s="23" t="str">
        <f>IFERROR(__xludf.DUMMYFUNCTION("UPPER(filter(Legend!$D$2:$D$32,Legend!$B$2:$B$32=D378))"),"PL")</f>
        <v>PL</v>
      </c>
      <c r="I378" s="23" t="b">
        <f t="shared" si="3"/>
        <v>1</v>
      </c>
    </row>
    <row r="379">
      <c r="A379" s="23" t="str">
        <f t="shared" si="6"/>
        <v>PLc1159</v>
      </c>
      <c r="B379" s="23" t="str">
        <f>'3.2.raw'!K379</f>
        <v>PLc1159</v>
      </c>
      <c r="C379" s="24">
        <f>datevalue(left('3.2.raw'!M379,10))</f>
        <v>43830</v>
      </c>
      <c r="D379" s="23">
        <f>'3.2.raw'!H379</f>
        <v>11</v>
      </c>
      <c r="E379" s="1">
        <v>3.20000000000006</v>
      </c>
      <c r="F379" s="23" t="b">
        <f>if(countif(Status!C:C,A379)=1,TRUE, FALSE)</f>
        <v>1</v>
      </c>
      <c r="G379" s="23" t="str">
        <f t="shared" si="8"/>
        <v>PLc</v>
      </c>
      <c r="H379" s="23" t="str">
        <f>IFERROR(__xludf.DUMMYFUNCTION("UPPER(filter(Legend!$D$2:$D$32,Legend!$B$2:$B$32=D379))"),"PL")</f>
        <v>PL</v>
      </c>
      <c r="I379" s="23" t="b">
        <f t="shared" si="3"/>
        <v>1</v>
      </c>
    </row>
    <row r="380">
      <c r="A380" s="23" t="str">
        <f t="shared" si="6"/>
        <v>PLc1160</v>
      </c>
      <c r="B380" s="23" t="str">
        <f>'3.2.raw'!K380</f>
        <v>PLc1160</v>
      </c>
      <c r="C380" s="24">
        <f>datevalue(left('3.2.raw'!M380,10))</f>
        <v>43830</v>
      </c>
      <c r="D380" s="23">
        <f>'3.2.raw'!H380</f>
        <v>11</v>
      </c>
      <c r="E380" s="1">
        <v>3.20000000000006</v>
      </c>
      <c r="F380" s="23" t="b">
        <f>if(countif(Status!C:C,A380)=1,TRUE, FALSE)</f>
        <v>1</v>
      </c>
      <c r="G380" s="23" t="str">
        <f t="shared" si="8"/>
        <v>PLc</v>
      </c>
      <c r="H380" s="23" t="str">
        <f>IFERROR(__xludf.DUMMYFUNCTION("UPPER(filter(Legend!$D$2:$D$32,Legend!$B$2:$B$32=D380))"),"PL")</f>
        <v>PL</v>
      </c>
      <c r="I380" s="23" t="b">
        <f t="shared" si="3"/>
        <v>1</v>
      </c>
    </row>
    <row r="381">
      <c r="A381" s="23" t="str">
        <f t="shared" si="6"/>
        <v>PLc1161</v>
      </c>
      <c r="B381" s="23" t="str">
        <f>'3.2.raw'!K381</f>
        <v>PLc1161</v>
      </c>
      <c r="C381" s="24">
        <f>datevalue(left('3.2.raw'!M381,10))</f>
        <v>43830</v>
      </c>
      <c r="D381" s="23">
        <f>'3.2.raw'!H381</f>
        <v>11</v>
      </c>
      <c r="E381" s="1">
        <v>3.20000000000006</v>
      </c>
      <c r="F381" s="23" t="b">
        <f>if(countif(Status!C:C,A381)=1,TRUE, FALSE)</f>
        <v>1</v>
      </c>
      <c r="G381" s="23" t="str">
        <f t="shared" si="8"/>
        <v>PLc</v>
      </c>
      <c r="H381" s="23" t="str">
        <f>IFERROR(__xludf.DUMMYFUNCTION("UPPER(filter(Legend!$D$2:$D$32,Legend!$B$2:$B$32=D381))"),"PL")</f>
        <v>PL</v>
      </c>
      <c r="I381" s="23" t="b">
        <f t="shared" si="3"/>
        <v>1</v>
      </c>
    </row>
    <row r="382">
      <c r="A382" s="23" t="str">
        <f t="shared" si="6"/>
        <v>PLc1162</v>
      </c>
      <c r="B382" s="23" t="str">
        <f>'3.2.raw'!K382</f>
        <v>PLc1162</v>
      </c>
      <c r="C382" s="24">
        <f>datevalue(left('3.2.raw'!M382,10))</f>
        <v>43830</v>
      </c>
      <c r="D382" s="23">
        <f>'3.2.raw'!H382</f>
        <v>11</v>
      </c>
      <c r="E382" s="1">
        <v>3.20000000000006</v>
      </c>
      <c r="F382" s="23" t="b">
        <f>if(countif(Status!C:C,A382)=1,TRUE, FALSE)</f>
        <v>1</v>
      </c>
      <c r="G382" s="23" t="str">
        <f t="shared" si="8"/>
        <v>PLc</v>
      </c>
      <c r="H382" s="23" t="str">
        <f>IFERROR(__xludf.DUMMYFUNCTION("UPPER(filter(Legend!$D$2:$D$32,Legend!$B$2:$B$32=D382))"),"PL")</f>
        <v>PL</v>
      </c>
      <c r="I382" s="23" t="b">
        <f t="shared" si="3"/>
        <v>1</v>
      </c>
    </row>
    <row r="383">
      <c r="A383" s="23" t="str">
        <f t="shared" si="6"/>
        <v>PLc1163</v>
      </c>
      <c r="B383" s="23" t="str">
        <f>'3.2.raw'!K383</f>
        <v>PLc1163</v>
      </c>
      <c r="C383" s="24">
        <f>datevalue(left('3.2.raw'!M383,10))</f>
        <v>43830</v>
      </c>
      <c r="D383" s="23">
        <f>'3.2.raw'!H383</f>
        <v>11</v>
      </c>
      <c r="E383" s="1">
        <v>3.20000000000006</v>
      </c>
      <c r="F383" s="23" t="b">
        <f>if(countif(Status!C:C,A383)=1,TRUE, FALSE)</f>
        <v>1</v>
      </c>
      <c r="G383" s="23" t="str">
        <f t="shared" si="8"/>
        <v>PLc</v>
      </c>
      <c r="H383" s="23" t="str">
        <f>IFERROR(__xludf.DUMMYFUNCTION("UPPER(filter(Legend!$D$2:$D$32,Legend!$B$2:$B$32=D383))"),"PL")</f>
        <v>PL</v>
      </c>
      <c r="I383" s="23" t="b">
        <f t="shared" si="3"/>
        <v>1</v>
      </c>
    </row>
    <row r="384">
      <c r="A384" s="23" t="str">
        <f t="shared" si="6"/>
        <v>UF1013</v>
      </c>
      <c r="B384" s="23" t="str">
        <f>'3.2.raw'!K384</f>
        <v>UF1013</v>
      </c>
      <c r="C384" s="24">
        <f>datevalue(left('3.2.raw'!M384,10))</f>
        <v>43830</v>
      </c>
      <c r="D384" s="23">
        <f>'3.2.raw'!H384</f>
        <v>16</v>
      </c>
      <c r="E384" s="1">
        <v>3.20000000000006</v>
      </c>
      <c r="F384" s="23" t="b">
        <f>if(countif(Status!C:C,A384)=1,TRUE, FALSE)</f>
        <v>1</v>
      </c>
      <c r="G384" s="23" t="str">
        <f t="shared" si="8"/>
        <v>UF</v>
      </c>
      <c r="H384" s="23" t="str">
        <f>IFERROR(__xludf.DUMMYFUNCTION("UPPER(filter(Legend!$D$2:$D$32,Legend!$B$2:$B$32=D384))"),"UF")</f>
        <v>UF</v>
      </c>
      <c r="I384" s="23" t="b">
        <f t="shared" si="3"/>
        <v>1</v>
      </c>
    </row>
    <row r="385">
      <c r="A385" s="23" t="str">
        <f t="shared" si="6"/>
        <v>SL1001</v>
      </c>
      <c r="B385" s="23" t="str">
        <f>'3.2.raw'!K385</f>
        <v>SL1001</v>
      </c>
      <c r="C385" s="24">
        <f>datevalue(left('3.2.raw'!M385,10))</f>
        <v>43830</v>
      </c>
      <c r="D385" s="23">
        <f>'3.2.raw'!H385</f>
        <v>97</v>
      </c>
      <c r="E385" s="1">
        <v>3.20000000000006</v>
      </c>
      <c r="F385" s="23" t="b">
        <f>if(countif(Status!C:C,A385)=1,TRUE, FALSE)</f>
        <v>1</v>
      </c>
      <c r="G385" s="23" t="str">
        <f t="shared" si="8"/>
        <v>SL</v>
      </c>
      <c r="H385" s="23" t="str">
        <f>IFERROR(__xludf.DUMMYFUNCTION("UPPER(filter(Legend!$D$2:$D$32,Legend!$B$2:$B$32=D385))"),"")</f>
        <v/>
      </c>
      <c r="I385" s="23" t="b">
        <f t="shared" si="3"/>
        <v>0</v>
      </c>
    </row>
    <row r="386">
      <c r="A386" s="23" t="str">
        <f t="shared" si="6"/>
        <v>B124-21</v>
      </c>
      <c r="B386" s="23" t="str">
        <f>'3.2.raw'!K386</f>
        <v>B124-21</v>
      </c>
      <c r="C386" s="24">
        <f>datevalue(left('3.2.raw'!M386,10))</f>
        <v>43830</v>
      </c>
      <c r="D386" s="23">
        <f>'3.2.raw'!H386</f>
        <v>97</v>
      </c>
      <c r="E386" s="1">
        <v>3.20000000000006</v>
      </c>
      <c r="F386" s="23" t="b">
        <f>if(countif(Status!C:C,A386)=1,TRUE, FALSE)</f>
        <v>0</v>
      </c>
      <c r="G386" s="23" t="str">
        <f t="shared" si="8"/>
        <v>B12</v>
      </c>
      <c r="H386" s="23" t="str">
        <f>IFERROR(__xludf.DUMMYFUNCTION("UPPER(filter(Legend!$D$2:$D$32,Legend!$B$2:$B$32=D386))"),"")</f>
        <v/>
      </c>
      <c r="I386" s="23" t="b">
        <f t="shared" si="3"/>
        <v>0</v>
      </c>
    </row>
    <row r="387">
      <c r="A387" s="23" t="str">
        <f t="shared" si="6"/>
        <v>DWa1003</v>
      </c>
      <c r="B387" s="23" t="str">
        <f>'3.2.raw'!K387</f>
        <v>DWa1003</v>
      </c>
      <c r="C387" s="24">
        <f>datevalue(left('3.2.raw'!M387,10))</f>
        <v>43831</v>
      </c>
      <c r="D387" s="23">
        <f>'3.2.raw'!H387</f>
        <v>3</v>
      </c>
      <c r="E387" s="1">
        <v>3.20000000000006</v>
      </c>
      <c r="F387" s="23" t="b">
        <f>if(countif(Status!C:C,A387)=1,TRUE, FALSE)</f>
        <v>1</v>
      </c>
      <c r="G387" s="23" t="str">
        <f t="shared" si="8"/>
        <v>DWa</v>
      </c>
      <c r="H387" s="23" t="str">
        <f>IFERROR(__xludf.DUMMYFUNCTION("UPPER(filter(Legend!$D$2:$D$32,Legend!$B$2:$B$32=D387))"),"DW")</f>
        <v>DW</v>
      </c>
      <c r="I387" s="23" t="b">
        <f t="shared" si="3"/>
        <v>1</v>
      </c>
    </row>
    <row r="388">
      <c r="A388" s="23" t="str">
        <f t="shared" si="6"/>
        <v>PLc1164</v>
      </c>
      <c r="B388" s="23" t="str">
        <f>'3.2.raw'!K388</f>
        <v>PLc1164</v>
      </c>
      <c r="C388" s="24">
        <f>datevalue(left('3.2.raw'!M388,10))</f>
        <v>43832</v>
      </c>
      <c r="D388" s="23">
        <f>'3.2.raw'!H388</f>
        <v>11</v>
      </c>
      <c r="E388" s="1">
        <v>3.20000000000006</v>
      </c>
      <c r="F388" s="23" t="b">
        <f>if(countif(Status!C:C,A388)=1,TRUE, FALSE)</f>
        <v>1</v>
      </c>
      <c r="G388" s="23" t="str">
        <f t="shared" si="8"/>
        <v>PLc</v>
      </c>
      <c r="H388" s="23" t="str">
        <f>IFERROR(__xludf.DUMMYFUNCTION("UPPER(filter(Legend!$D$2:$D$32,Legend!$B$2:$B$32=D388))"),"PL")</f>
        <v>PL</v>
      </c>
      <c r="I388" s="23" t="b">
        <f t="shared" si="3"/>
        <v>1</v>
      </c>
    </row>
    <row r="389">
      <c r="A389" s="23" t="str">
        <f t="shared" si="6"/>
        <v>PLc1165</v>
      </c>
      <c r="B389" s="23" t="str">
        <f>'3.2.raw'!K389</f>
        <v>PLc1165</v>
      </c>
      <c r="C389" s="24">
        <f>datevalue(left('3.2.raw'!M389,10))</f>
        <v>43832</v>
      </c>
      <c r="D389" s="23">
        <f>'3.2.raw'!H389</f>
        <v>11</v>
      </c>
      <c r="E389" s="1">
        <v>3.20000000000006</v>
      </c>
      <c r="F389" s="23" t="b">
        <f>if(countif(Status!C:C,A389)=1,TRUE, FALSE)</f>
        <v>1</v>
      </c>
      <c r="G389" s="23" t="str">
        <f t="shared" si="8"/>
        <v>PLc</v>
      </c>
      <c r="H389" s="23" t="str">
        <f>IFERROR(__xludf.DUMMYFUNCTION("UPPER(filter(Legend!$D$2:$D$32,Legend!$B$2:$B$32=D389))"),"PL")</f>
        <v>PL</v>
      </c>
      <c r="I389" s="23" t="b">
        <f t="shared" si="3"/>
        <v>1</v>
      </c>
    </row>
    <row r="390">
      <c r="A390" s="23" t="str">
        <f t="shared" si="6"/>
        <v>PLc1166</v>
      </c>
      <c r="B390" s="23" t="str">
        <f>'3.2.raw'!K390</f>
        <v>PLc1166</v>
      </c>
      <c r="C390" s="24">
        <f>datevalue(left('3.2.raw'!M390,10))</f>
        <v>43832</v>
      </c>
      <c r="D390" s="23">
        <f>'3.2.raw'!H390</f>
        <v>11</v>
      </c>
      <c r="E390" s="1">
        <v>3.20000000000006</v>
      </c>
      <c r="F390" s="23" t="b">
        <f>if(countif(Status!C:C,A390)=1,TRUE, FALSE)</f>
        <v>1</v>
      </c>
      <c r="G390" s="23" t="str">
        <f t="shared" si="8"/>
        <v>PLc</v>
      </c>
      <c r="H390" s="23" t="str">
        <f>IFERROR(__xludf.DUMMYFUNCTION("UPPER(filter(Legend!$D$2:$D$32,Legend!$B$2:$B$32=D390))"),"PL")</f>
        <v>PL</v>
      </c>
      <c r="I390" s="23" t="b">
        <f t="shared" si="3"/>
        <v>1</v>
      </c>
    </row>
    <row r="391">
      <c r="A391" s="23" t="str">
        <f t="shared" si="6"/>
        <v>PLc1167</v>
      </c>
      <c r="B391" s="23" t="str">
        <f>'3.2.raw'!K391</f>
        <v>PLc1167</v>
      </c>
      <c r="C391" s="24">
        <f>datevalue(left('3.2.raw'!M391,10))</f>
        <v>43832</v>
      </c>
      <c r="D391" s="23">
        <f>'3.2.raw'!H391</f>
        <v>11</v>
      </c>
      <c r="E391" s="1">
        <v>3.20000000000006</v>
      </c>
      <c r="F391" s="23" t="b">
        <f>if(countif(Status!C:C,A391)=1,TRUE, FALSE)</f>
        <v>1</v>
      </c>
      <c r="G391" s="23" t="str">
        <f t="shared" si="8"/>
        <v>PLc</v>
      </c>
      <c r="H391" s="23" t="str">
        <f>IFERROR(__xludf.DUMMYFUNCTION("UPPER(filter(Legend!$D$2:$D$32,Legend!$B$2:$B$32=D391))"),"PL")</f>
        <v>PL</v>
      </c>
      <c r="I391" s="23" t="b">
        <f t="shared" si="3"/>
        <v>1</v>
      </c>
    </row>
    <row r="392">
      <c r="A392" s="23" t="str">
        <f t="shared" si="6"/>
        <v>PLc1168</v>
      </c>
      <c r="B392" s="23" t="str">
        <f>'3.2.raw'!K392</f>
        <v>PLc1168</v>
      </c>
      <c r="C392" s="24">
        <f>datevalue(left('3.2.raw'!M392,10))</f>
        <v>43832</v>
      </c>
      <c r="D392" s="23">
        <f>'3.2.raw'!H392</f>
        <v>11</v>
      </c>
      <c r="E392" s="1">
        <v>3.20000000000006</v>
      </c>
      <c r="F392" s="23" t="b">
        <f>if(countif(Status!C:C,A392)=1,TRUE, FALSE)</f>
        <v>1</v>
      </c>
      <c r="G392" s="23" t="str">
        <f t="shared" si="8"/>
        <v>PLc</v>
      </c>
      <c r="H392" s="23" t="str">
        <f>IFERROR(__xludf.DUMMYFUNCTION("UPPER(filter(Legend!$D$2:$D$32,Legend!$B$2:$B$32=D392))"),"PL")</f>
        <v>PL</v>
      </c>
      <c r="I392" s="23" t="b">
        <f t="shared" si="3"/>
        <v>1</v>
      </c>
    </row>
    <row r="393">
      <c r="A393" s="23" t="str">
        <f t="shared" si="6"/>
        <v>SL1001</v>
      </c>
      <c r="B393" s="23" t="str">
        <f>'3.2.raw'!K393</f>
        <v>SL1001</v>
      </c>
      <c r="C393" s="24">
        <f>datevalue(left('3.2.raw'!M393,10))</f>
        <v>43832</v>
      </c>
      <c r="D393" s="23">
        <f>'3.2.raw'!H393</f>
        <v>97</v>
      </c>
      <c r="E393" s="1">
        <v>3.20000000000006</v>
      </c>
      <c r="F393" s="23" t="b">
        <f>if(countif(Status!C:C,A393)=1,TRUE, FALSE)</f>
        <v>1</v>
      </c>
      <c r="G393" s="23" t="str">
        <f t="shared" si="8"/>
        <v>SL</v>
      </c>
      <c r="H393" s="23" t="str">
        <f>IFERROR(__xludf.DUMMYFUNCTION("UPPER(filter(Legend!$D$2:$D$32,Legend!$B$2:$B$32=D393))"),"")</f>
        <v/>
      </c>
      <c r="I393" s="23" t="b">
        <f t="shared" si="3"/>
        <v>0</v>
      </c>
    </row>
    <row r="394">
      <c r="A394" s="23" t="str">
        <f t="shared" si="6"/>
        <v>B124-21</v>
      </c>
      <c r="B394" s="23" t="str">
        <f>'3.2.raw'!K394</f>
        <v>B124-21</v>
      </c>
      <c r="C394" s="24">
        <f>datevalue(left('3.2.raw'!M394,10))</f>
        <v>43832</v>
      </c>
      <c r="D394" s="23">
        <f>'3.2.raw'!H394</f>
        <v>97</v>
      </c>
      <c r="E394" s="1">
        <v>3.20000000000006</v>
      </c>
      <c r="F394" s="23" t="b">
        <f>if(countif(Status!C:C,A394)=1,TRUE, FALSE)</f>
        <v>0</v>
      </c>
      <c r="G394" s="23" t="str">
        <f t="shared" si="8"/>
        <v>B12</v>
      </c>
      <c r="H394" s="23" t="str">
        <f>IFERROR(__xludf.DUMMYFUNCTION("UPPER(filter(Legend!$D$2:$D$32,Legend!$B$2:$B$32=D394))"),"")</f>
        <v/>
      </c>
      <c r="I394" s="23" t="b">
        <f t="shared" si="3"/>
        <v>0</v>
      </c>
    </row>
    <row r="395">
      <c r="A395" s="23" t="str">
        <f t="shared" si="6"/>
        <v>PLc1169</v>
      </c>
      <c r="B395" s="23" t="str">
        <f>'3.2.raw'!K395</f>
        <v>PLc1169</v>
      </c>
      <c r="C395" s="24">
        <f>datevalue(left('3.2.raw'!M395,10))</f>
        <v>43839</v>
      </c>
      <c r="D395" s="23">
        <f>'3.2.raw'!H395</f>
        <v>11</v>
      </c>
      <c r="E395" s="1">
        <v>3.20000000000006</v>
      </c>
      <c r="F395" s="23" t="b">
        <f>if(countif(Status!C:C,A395)=1,TRUE, FALSE)</f>
        <v>1</v>
      </c>
      <c r="G395" s="23" t="str">
        <f t="shared" si="8"/>
        <v>PLc</v>
      </c>
      <c r="H395" s="23" t="str">
        <f>IFERROR(__xludf.DUMMYFUNCTION("UPPER(filter(Legend!$D$2:$D$32,Legend!$B$2:$B$32=D395))"),"PL")</f>
        <v>PL</v>
      </c>
      <c r="I395" s="23" t="b">
        <f t="shared" si="3"/>
        <v>1</v>
      </c>
    </row>
    <row r="396">
      <c r="A396" s="23" t="str">
        <f t="shared" si="6"/>
        <v>PLc1170</v>
      </c>
      <c r="B396" s="23" t="str">
        <f>'3.2.raw'!K396</f>
        <v>PLc1170</v>
      </c>
      <c r="C396" s="24">
        <f>datevalue(left('3.2.raw'!M396,10))</f>
        <v>43839</v>
      </c>
      <c r="D396" s="23">
        <f>'3.2.raw'!H396</f>
        <v>11</v>
      </c>
      <c r="E396" s="1">
        <v>3.20000000000006</v>
      </c>
      <c r="F396" s="23" t="b">
        <f>if(countif(Status!C:C,A396)=1,TRUE, FALSE)</f>
        <v>1</v>
      </c>
      <c r="G396" s="23" t="str">
        <f t="shared" si="8"/>
        <v>PLc</v>
      </c>
      <c r="H396" s="23" t="str">
        <f>IFERROR(__xludf.DUMMYFUNCTION("UPPER(filter(Legend!$D$2:$D$32,Legend!$B$2:$B$32=D396))"),"PL")</f>
        <v>PL</v>
      </c>
      <c r="I396" s="23" t="b">
        <f t="shared" si="3"/>
        <v>1</v>
      </c>
    </row>
    <row r="397">
      <c r="A397" s="23" t="str">
        <f t="shared" si="6"/>
        <v>PLc1171</v>
      </c>
      <c r="B397" s="23" t="str">
        <f>'3.2.raw'!K397</f>
        <v>PLc1171</v>
      </c>
      <c r="C397" s="24">
        <f>datevalue(left('3.2.raw'!M397,10))</f>
        <v>43839</v>
      </c>
      <c r="D397" s="23">
        <f>'3.2.raw'!H397</f>
        <v>11</v>
      </c>
      <c r="E397" s="1">
        <v>3.20000000000006</v>
      </c>
      <c r="F397" s="23" t="b">
        <f>if(countif(Status!C:C,A397)=1,TRUE, FALSE)</f>
        <v>1</v>
      </c>
      <c r="G397" s="23" t="str">
        <f t="shared" si="8"/>
        <v>PLc</v>
      </c>
      <c r="H397" s="23" t="str">
        <f>IFERROR(__xludf.DUMMYFUNCTION("UPPER(filter(Legend!$D$2:$D$32,Legend!$B$2:$B$32=D397))"),"PL")</f>
        <v>PL</v>
      </c>
      <c r="I397" s="23" t="b">
        <f t="shared" si="3"/>
        <v>1</v>
      </c>
    </row>
    <row r="398">
      <c r="A398" s="23" t="str">
        <f t="shared" si="6"/>
        <v>PLc1172</v>
      </c>
      <c r="B398" s="23" t="str">
        <f>'3.2.raw'!K398</f>
        <v>PLc1172</v>
      </c>
      <c r="C398" s="24">
        <f>datevalue(left('3.2.raw'!M398,10))</f>
        <v>43839</v>
      </c>
      <c r="D398" s="23">
        <f>'3.2.raw'!H398</f>
        <v>11</v>
      </c>
      <c r="E398" s="1">
        <v>3.20000000000006</v>
      </c>
      <c r="F398" s="23" t="b">
        <f>if(countif(Status!C:C,A398)=1,TRUE, FALSE)</f>
        <v>1</v>
      </c>
      <c r="G398" s="23" t="str">
        <f t="shared" si="8"/>
        <v>PLc</v>
      </c>
      <c r="H398" s="23" t="str">
        <f>IFERROR(__xludf.DUMMYFUNCTION("UPPER(filter(Legend!$D$2:$D$32,Legend!$B$2:$B$32=D398))"),"PL")</f>
        <v>PL</v>
      </c>
      <c r="I398" s="23" t="b">
        <f t="shared" si="3"/>
        <v>1</v>
      </c>
    </row>
    <row r="399">
      <c r="A399" s="23" t="str">
        <f t="shared" si="6"/>
        <v>UF1014</v>
      </c>
      <c r="B399" s="23" t="str">
        <f>'3.2.raw'!K399</f>
        <v>UF1014</v>
      </c>
      <c r="C399" s="24">
        <f>datevalue(left('3.2.raw'!M399,10))</f>
        <v>43839</v>
      </c>
      <c r="D399" s="23">
        <f>'3.2.raw'!H399</f>
        <v>16</v>
      </c>
      <c r="E399" s="1">
        <v>3.20000000000006</v>
      </c>
      <c r="F399" s="23" t="b">
        <f>if(countif(Status!C:C,A399)=1,TRUE, FALSE)</f>
        <v>1</v>
      </c>
      <c r="G399" s="23" t="str">
        <f t="shared" si="8"/>
        <v>UF</v>
      </c>
      <c r="H399" s="23" t="str">
        <f>IFERROR(__xludf.DUMMYFUNCTION("UPPER(filter(Legend!$D$2:$D$32,Legend!$B$2:$B$32=D399))"),"UF")</f>
        <v>UF</v>
      </c>
      <c r="I399" s="23" t="b">
        <f t="shared" si="3"/>
        <v>1</v>
      </c>
    </row>
    <row r="400">
      <c r="A400" s="23" t="str">
        <f t="shared" si="6"/>
        <v>DWa1004uf</v>
      </c>
      <c r="B400" s="23" t="str">
        <f>'3.2.raw'!K400</f>
        <v>DWa1004uf</v>
      </c>
      <c r="C400" s="24">
        <f>datevalue(left('3.2.raw'!M400,10))</f>
        <v>43839</v>
      </c>
      <c r="D400" s="23">
        <f>'3.2.raw'!H400</f>
        <v>3</v>
      </c>
      <c r="E400" s="1">
        <v>3.20000000000006</v>
      </c>
      <c r="F400" s="23" t="b">
        <f>if(countif(Status!C:C,A400)=1,TRUE, FALSE)</f>
        <v>1</v>
      </c>
      <c r="G400" s="23" t="str">
        <f t="shared" si="8"/>
        <v>DWa10</v>
      </c>
      <c r="H400" s="23" t="str">
        <f>IFERROR(__xludf.DUMMYFUNCTION("UPPER(filter(Legend!$D$2:$D$32,Legend!$B$2:$B$32=D400))"),"DW")</f>
        <v>DW</v>
      </c>
      <c r="I400" s="23" t="b">
        <f t="shared" si="3"/>
        <v>0</v>
      </c>
    </row>
    <row r="401">
      <c r="A401" s="23" t="str">
        <f t="shared" si="6"/>
        <v>PLc1173</v>
      </c>
      <c r="B401" s="23" t="str">
        <f>'3.2.raw'!K401</f>
        <v>PLc1173</v>
      </c>
      <c r="C401" s="24">
        <f>datevalue(left('3.2.raw'!M401,10))</f>
        <v>43839</v>
      </c>
      <c r="D401" s="23">
        <f>'3.2.raw'!H401</f>
        <v>11</v>
      </c>
      <c r="E401" s="1">
        <v>3.20000000000006</v>
      </c>
      <c r="F401" s="23" t="b">
        <f>if(countif(Status!C:C,A401)=1,TRUE, FALSE)</f>
        <v>1</v>
      </c>
      <c r="G401" s="23" t="str">
        <f t="shared" si="8"/>
        <v>PLc</v>
      </c>
      <c r="H401" s="23" t="str">
        <f>IFERROR(__xludf.DUMMYFUNCTION("UPPER(filter(Legend!$D$2:$D$32,Legend!$B$2:$B$32=D401))"),"PL")</f>
        <v>PL</v>
      </c>
      <c r="I401" s="23" t="b">
        <f t="shared" si="3"/>
        <v>1</v>
      </c>
    </row>
    <row r="402">
      <c r="A402" s="23" t="str">
        <f t="shared" si="6"/>
        <v>SL1001</v>
      </c>
      <c r="B402" s="23" t="str">
        <f>'3.2.raw'!K402</f>
        <v>SL1001</v>
      </c>
      <c r="C402" s="24">
        <f>datevalue(left('3.2.raw'!M402,10))</f>
        <v>43839</v>
      </c>
      <c r="D402" s="23">
        <f>'3.2.raw'!H402</f>
        <v>97</v>
      </c>
      <c r="E402" s="1">
        <v>3.20000000000006</v>
      </c>
      <c r="F402" s="23" t="b">
        <f>if(countif(Status!C:C,A402)=1,TRUE, FALSE)</f>
        <v>1</v>
      </c>
      <c r="G402" s="23" t="str">
        <f t="shared" si="8"/>
        <v>SL</v>
      </c>
      <c r="H402" s="23" t="str">
        <f>IFERROR(__xludf.DUMMYFUNCTION("UPPER(filter(Legend!$D$2:$D$32,Legend!$B$2:$B$32=D402))"),"")</f>
        <v/>
      </c>
      <c r="I402" s="23" t="b">
        <f t="shared" si="3"/>
        <v>0</v>
      </c>
    </row>
    <row r="403">
      <c r="A403" s="23" t="str">
        <f t="shared" si="6"/>
        <v>B124-21</v>
      </c>
      <c r="B403" s="23" t="str">
        <f>'3.2.raw'!K403</f>
        <v>B124-21</v>
      </c>
      <c r="C403" s="24">
        <f>datevalue(left('3.2.raw'!M403,10))</f>
        <v>43839</v>
      </c>
      <c r="D403" s="23">
        <f>'3.2.raw'!H403</f>
        <v>97</v>
      </c>
      <c r="E403" s="1">
        <v>3.20000000000006</v>
      </c>
      <c r="F403" s="23" t="b">
        <f>if(countif(Status!C:C,A403)=1,TRUE, FALSE)</f>
        <v>0</v>
      </c>
      <c r="G403" s="23" t="str">
        <f t="shared" si="8"/>
        <v>B12</v>
      </c>
      <c r="H403" s="23" t="str">
        <f>IFERROR(__xludf.DUMMYFUNCTION("UPPER(filter(Legend!$D$2:$D$32,Legend!$B$2:$B$32=D403))"),"")</f>
        <v/>
      </c>
      <c r="I403" s="23" t="b">
        <f t="shared" si="3"/>
        <v>0</v>
      </c>
    </row>
    <row r="404">
      <c r="A404" s="23" t="str">
        <f t="shared" si="6"/>
        <v>PLc1169R</v>
      </c>
      <c r="B404" s="23" t="str">
        <f>'3.2.raw'!K404</f>
        <v>PLc1169R</v>
      </c>
      <c r="C404" s="24">
        <f>datevalue(left('3.2.raw'!M404,10))</f>
        <v>43839</v>
      </c>
      <c r="D404" s="23">
        <f>'3.2.raw'!H404</f>
        <v>11</v>
      </c>
      <c r="E404" s="1">
        <v>3.20000000000006</v>
      </c>
      <c r="F404" s="23" t="b">
        <f>if(countif(Status!C:C,A404)=1,TRUE, FALSE)</f>
        <v>1</v>
      </c>
      <c r="G404" s="23" t="str">
        <f t="shared" si="8"/>
        <v>PLc1</v>
      </c>
      <c r="H404" s="23" t="str">
        <f>IFERROR(__xludf.DUMMYFUNCTION("UPPER(filter(Legend!$D$2:$D$32,Legend!$B$2:$B$32=D404))"),"PL")</f>
        <v>PL</v>
      </c>
      <c r="I404" s="23" t="b">
        <f t="shared" si="3"/>
        <v>0</v>
      </c>
    </row>
    <row r="405">
      <c r="A405" s="23" t="str">
        <f t="shared" si="6"/>
        <v>PLc1170R</v>
      </c>
      <c r="B405" s="23" t="str">
        <f>'3.2.raw'!K405</f>
        <v>PLc1170R</v>
      </c>
      <c r="C405" s="24">
        <f>datevalue(left('3.2.raw'!M405,10))</f>
        <v>43839</v>
      </c>
      <c r="D405" s="23">
        <f>'3.2.raw'!H405</f>
        <v>11</v>
      </c>
      <c r="E405" s="1">
        <v>3.20000000000006</v>
      </c>
      <c r="F405" s="23" t="b">
        <f>if(countif(Status!C:C,A405)=1,TRUE, FALSE)</f>
        <v>1</v>
      </c>
      <c r="G405" s="23" t="str">
        <f t="shared" si="8"/>
        <v>PLc1</v>
      </c>
      <c r="H405" s="23" t="str">
        <f>IFERROR(__xludf.DUMMYFUNCTION("UPPER(filter(Legend!$D$2:$D$32,Legend!$B$2:$B$32=D405))"),"PL")</f>
        <v>PL</v>
      </c>
      <c r="I405" s="23" t="b">
        <f t="shared" si="3"/>
        <v>0</v>
      </c>
    </row>
    <row r="406">
      <c r="A406" s="23" t="str">
        <f t="shared" si="6"/>
        <v>PLc1171R</v>
      </c>
      <c r="B406" s="23" t="str">
        <f>'3.2.raw'!K406</f>
        <v>PLc1171R</v>
      </c>
      <c r="C406" s="24">
        <f>datevalue(left('3.2.raw'!M406,10))</f>
        <v>43839</v>
      </c>
      <c r="D406" s="23">
        <f>'3.2.raw'!H406</f>
        <v>11</v>
      </c>
      <c r="E406" s="1">
        <v>3.20000000000006</v>
      </c>
      <c r="F406" s="23" t="b">
        <f>if(countif(Status!C:C,A406)=1,TRUE, FALSE)</f>
        <v>1</v>
      </c>
      <c r="G406" s="23" t="str">
        <f t="shared" si="8"/>
        <v>PLc1</v>
      </c>
      <c r="H406" s="23" t="str">
        <f>IFERROR(__xludf.DUMMYFUNCTION("UPPER(filter(Legend!$D$2:$D$32,Legend!$B$2:$B$32=D406))"),"PL")</f>
        <v>PL</v>
      </c>
      <c r="I406" s="23" t="b">
        <f t="shared" si="3"/>
        <v>0</v>
      </c>
    </row>
    <row r="407">
      <c r="A407" s="23" t="str">
        <f t="shared" si="6"/>
        <v>PLc1172R</v>
      </c>
      <c r="B407" s="23" t="str">
        <f>'3.2.raw'!K407</f>
        <v>PLc1172R</v>
      </c>
      <c r="C407" s="24">
        <f>datevalue(left('3.2.raw'!M407,10))</f>
        <v>43839</v>
      </c>
      <c r="D407" s="23">
        <f>'3.2.raw'!H407</f>
        <v>11</v>
      </c>
      <c r="E407" s="1">
        <v>3.20000000000006</v>
      </c>
      <c r="F407" s="23" t="b">
        <f>if(countif(Status!C:C,A407)=1,TRUE, FALSE)</f>
        <v>1</v>
      </c>
      <c r="G407" s="23" t="str">
        <f t="shared" si="8"/>
        <v>PLc1</v>
      </c>
      <c r="H407" s="23" t="str">
        <f>IFERROR(__xludf.DUMMYFUNCTION("UPPER(filter(Legend!$D$2:$D$32,Legend!$B$2:$B$32=D407))"),"PL")</f>
        <v>PL</v>
      </c>
      <c r="I407" s="23" t="b">
        <f t="shared" si="3"/>
        <v>0</v>
      </c>
    </row>
    <row r="408">
      <c r="A408" s="23" t="str">
        <f t="shared" si="6"/>
        <v>UF1014R</v>
      </c>
      <c r="B408" s="23" t="str">
        <f>'3.2.raw'!K408</f>
        <v>UF1014R</v>
      </c>
      <c r="C408" s="24">
        <f>datevalue(left('3.2.raw'!M408,10))</f>
        <v>43839</v>
      </c>
      <c r="D408" s="23">
        <f>'3.2.raw'!H408</f>
        <v>16</v>
      </c>
      <c r="E408" s="1">
        <v>3.20000000000006</v>
      </c>
      <c r="F408" s="23" t="b">
        <f>if(countif(Status!C:C,A408)=1,TRUE, FALSE)</f>
        <v>1</v>
      </c>
      <c r="G408" s="23" t="str">
        <f t="shared" si="8"/>
        <v>UF1</v>
      </c>
      <c r="H408" s="23" t="str">
        <f>IFERROR(__xludf.DUMMYFUNCTION("UPPER(filter(Legend!$D$2:$D$32,Legend!$B$2:$B$32=D408))"),"UF")</f>
        <v>UF</v>
      </c>
      <c r="I408" s="23" t="b">
        <f t="shared" si="3"/>
        <v>1</v>
      </c>
    </row>
    <row r="409">
      <c r="A409" s="23" t="str">
        <f t="shared" si="6"/>
        <v>DWa1004ufR</v>
      </c>
      <c r="B409" s="23" t="str">
        <f>'3.2.raw'!K409</f>
        <v>DWa1004ufR</v>
      </c>
      <c r="C409" s="24">
        <f>datevalue(left('3.2.raw'!M409,10))</f>
        <v>43839</v>
      </c>
      <c r="D409" s="23">
        <f>'3.2.raw'!H409</f>
        <v>3</v>
      </c>
      <c r="E409" s="1">
        <v>3.20000000000006</v>
      </c>
      <c r="F409" s="23" t="b">
        <f>if(countif(Status!C:C,A409)=1,TRUE, FALSE)</f>
        <v>1</v>
      </c>
      <c r="G409" s="23" t="str">
        <f t="shared" si="8"/>
        <v>DWa100</v>
      </c>
      <c r="H409" s="23" t="str">
        <f>IFERROR(__xludf.DUMMYFUNCTION("UPPER(filter(Legend!$D$2:$D$32,Legend!$B$2:$B$32=D409))"),"DW")</f>
        <v>DW</v>
      </c>
      <c r="I409" s="23" t="b">
        <f t="shared" si="3"/>
        <v>0</v>
      </c>
    </row>
    <row r="410">
      <c r="A410" s="23" t="str">
        <f t="shared" si="6"/>
        <v>PLc1173R</v>
      </c>
      <c r="B410" s="23" t="str">
        <f>'3.2.raw'!K410</f>
        <v>PLc1173R</v>
      </c>
      <c r="C410" s="24">
        <f>datevalue(left('3.2.raw'!M410,10))</f>
        <v>43839</v>
      </c>
      <c r="D410" s="23">
        <f>'3.2.raw'!H410</f>
        <v>11</v>
      </c>
      <c r="E410" s="1">
        <v>3.20000000000006</v>
      </c>
      <c r="F410" s="23" t="b">
        <f>if(countif(Status!C:C,A410)=1,TRUE, FALSE)</f>
        <v>1</v>
      </c>
      <c r="G410" s="23" t="str">
        <f t="shared" si="8"/>
        <v>PLc1</v>
      </c>
      <c r="H410" s="23" t="str">
        <f>IFERROR(__xludf.DUMMYFUNCTION("UPPER(filter(Legend!$D$2:$D$32,Legend!$B$2:$B$32=D410))"),"PL")</f>
        <v>PL</v>
      </c>
      <c r="I410" s="23" t="b">
        <f t="shared" si="3"/>
        <v>0</v>
      </c>
    </row>
    <row r="411">
      <c r="A411" s="23" t="str">
        <f t="shared" si="6"/>
        <v>PLc1174</v>
      </c>
      <c r="B411" s="23" t="str">
        <f>'3.2.raw'!K411</f>
        <v>PLc1174</v>
      </c>
      <c r="C411" s="24">
        <f>datevalue(left('3.2.raw'!M411,10))</f>
        <v>43844</v>
      </c>
      <c r="D411" s="23">
        <f>'3.2.raw'!H411</f>
        <v>11</v>
      </c>
      <c r="E411" s="1">
        <v>3.20000000000006</v>
      </c>
      <c r="F411" s="23" t="b">
        <f>if(countif(Status!C:C,A411)=1,TRUE, FALSE)</f>
        <v>1</v>
      </c>
      <c r="G411" s="23" t="str">
        <f t="shared" si="8"/>
        <v>PLc</v>
      </c>
      <c r="H411" s="23" t="str">
        <f>IFERROR(__xludf.DUMMYFUNCTION("UPPER(filter(Legend!$D$2:$D$32,Legend!$B$2:$B$32=D411))"),"PL")</f>
        <v>PL</v>
      </c>
      <c r="I411" s="23" t="b">
        <f t="shared" si="3"/>
        <v>1</v>
      </c>
    </row>
    <row r="412">
      <c r="A412" s="23" t="str">
        <f t="shared" si="6"/>
        <v>PLc1175</v>
      </c>
      <c r="B412" s="23" t="str">
        <f>'3.2.raw'!K412</f>
        <v>PLc1175</v>
      </c>
      <c r="C412" s="24">
        <f>datevalue(left('3.2.raw'!M412,10))</f>
        <v>43844</v>
      </c>
      <c r="D412" s="23">
        <f>'3.2.raw'!H412</f>
        <v>11</v>
      </c>
      <c r="E412" s="1">
        <v>3.20000000000006</v>
      </c>
      <c r="F412" s="23" t="b">
        <f>if(countif(Status!C:C,A412)=1,TRUE, FALSE)</f>
        <v>1</v>
      </c>
      <c r="G412" s="23" t="str">
        <f t="shared" si="8"/>
        <v>PLc</v>
      </c>
      <c r="H412" s="23" t="str">
        <f>IFERROR(__xludf.DUMMYFUNCTION("UPPER(filter(Legend!$D$2:$D$32,Legend!$B$2:$B$32=D412))"),"PL")</f>
        <v>PL</v>
      </c>
      <c r="I412" s="23" t="b">
        <f t="shared" si="3"/>
        <v>1</v>
      </c>
    </row>
    <row r="413">
      <c r="A413" s="23" t="str">
        <f t="shared" si="6"/>
        <v>PLc1176</v>
      </c>
      <c r="B413" s="23" t="str">
        <f>'3.2.raw'!K413</f>
        <v>PLc1176</v>
      </c>
      <c r="C413" s="24">
        <f>datevalue(left('3.2.raw'!M413,10))</f>
        <v>43844</v>
      </c>
      <c r="D413" s="23">
        <f>'3.2.raw'!H413</f>
        <v>11</v>
      </c>
      <c r="E413" s="1">
        <v>3.20000000000006</v>
      </c>
      <c r="F413" s="23" t="b">
        <f>if(countif(Status!C:C,A413)=1,TRUE, FALSE)</f>
        <v>1</v>
      </c>
      <c r="G413" s="23" t="str">
        <f t="shared" si="8"/>
        <v>PLc</v>
      </c>
      <c r="H413" s="23" t="str">
        <f>IFERROR(__xludf.DUMMYFUNCTION("UPPER(filter(Legend!$D$2:$D$32,Legend!$B$2:$B$32=D413))"),"PL")</f>
        <v>PL</v>
      </c>
      <c r="I413" s="23" t="b">
        <f t="shared" si="3"/>
        <v>1</v>
      </c>
    </row>
    <row r="414">
      <c r="A414" s="23" t="str">
        <f t="shared" si="6"/>
        <v>PLc1177</v>
      </c>
      <c r="B414" s="23" t="str">
        <f>'3.2.raw'!K414</f>
        <v>PLc1177</v>
      </c>
      <c r="C414" s="24">
        <f>datevalue(left('3.2.raw'!M414,10))</f>
        <v>43844</v>
      </c>
      <c r="D414" s="23">
        <f>'3.2.raw'!H414</f>
        <v>11</v>
      </c>
      <c r="E414" s="1">
        <v>3.20000000000006</v>
      </c>
      <c r="F414" s="23" t="b">
        <f>if(countif(Status!C:C,A414)=1,TRUE, FALSE)</f>
        <v>1</v>
      </c>
      <c r="G414" s="23" t="str">
        <f t="shared" si="8"/>
        <v>PLc</v>
      </c>
      <c r="H414" s="23" t="str">
        <f>IFERROR(__xludf.DUMMYFUNCTION("UPPER(filter(Legend!$D$2:$D$32,Legend!$B$2:$B$32=D414))"),"PL")</f>
        <v>PL</v>
      </c>
      <c r="I414" s="23" t="b">
        <f t="shared" si="3"/>
        <v>1</v>
      </c>
    </row>
    <row r="415">
      <c r="A415" s="23" t="str">
        <f t="shared" si="6"/>
        <v>UF1015</v>
      </c>
      <c r="B415" s="23" t="str">
        <f>'3.2.raw'!K415</f>
        <v>UF1015</v>
      </c>
      <c r="C415" s="24">
        <f>datevalue(left('3.2.raw'!M415,10))</f>
        <v>43844</v>
      </c>
      <c r="D415" s="23">
        <f>'3.2.raw'!H415</f>
        <v>16</v>
      </c>
      <c r="E415" s="1">
        <v>3.20000000000006</v>
      </c>
      <c r="F415" s="23" t="b">
        <f>if(countif(Status!C:C,A415)=1,TRUE, FALSE)</f>
        <v>1</v>
      </c>
      <c r="G415" s="23" t="str">
        <f t="shared" si="8"/>
        <v>UF</v>
      </c>
      <c r="H415" s="23" t="str">
        <f>IFERROR(__xludf.DUMMYFUNCTION("UPPER(filter(Legend!$D$2:$D$32,Legend!$B$2:$B$32=D415))"),"UF")</f>
        <v>UF</v>
      </c>
      <c r="I415" s="23" t="b">
        <f t="shared" si="3"/>
        <v>1</v>
      </c>
    </row>
    <row r="416">
      <c r="A416" s="23" t="str">
        <f t="shared" si="6"/>
        <v>SL1001</v>
      </c>
      <c r="B416" s="23" t="str">
        <f>'3.2.raw'!K416</f>
        <v>SL1001</v>
      </c>
      <c r="C416" s="24">
        <f>datevalue(left('3.2.raw'!M416,10))</f>
        <v>43844</v>
      </c>
      <c r="D416" s="23">
        <f>'3.2.raw'!H416</f>
        <v>97</v>
      </c>
      <c r="E416" s="1">
        <v>3.20000000000006</v>
      </c>
      <c r="F416" s="23" t="b">
        <f>if(countif(Status!C:C,A416)=1,TRUE, FALSE)</f>
        <v>1</v>
      </c>
      <c r="G416" s="23" t="str">
        <f t="shared" si="8"/>
        <v>SL</v>
      </c>
      <c r="H416" s="23" t="str">
        <f>IFERROR(__xludf.DUMMYFUNCTION("UPPER(filter(Legend!$D$2:$D$32,Legend!$B$2:$B$32=D416))"),"")</f>
        <v/>
      </c>
      <c r="I416" s="23" t="b">
        <f t="shared" si="3"/>
        <v>0</v>
      </c>
    </row>
    <row r="417">
      <c r="A417" s="23" t="str">
        <f t="shared" si="6"/>
        <v>B124-21</v>
      </c>
      <c r="B417" s="23" t="str">
        <f>'3.2.raw'!K417</f>
        <v>B124-21</v>
      </c>
      <c r="C417" s="24">
        <f>datevalue(left('3.2.raw'!M417,10))</f>
        <v>43844</v>
      </c>
      <c r="D417" s="23">
        <f>'3.2.raw'!H417</f>
        <v>97</v>
      </c>
      <c r="E417" s="1">
        <v>3.20000000000006</v>
      </c>
      <c r="F417" s="23" t="b">
        <f>if(countif(Status!C:C,A417)=1,TRUE, FALSE)</f>
        <v>0</v>
      </c>
      <c r="G417" s="23" t="str">
        <f t="shared" si="8"/>
        <v>B12</v>
      </c>
      <c r="H417" s="23" t="str">
        <f>IFERROR(__xludf.DUMMYFUNCTION("UPPER(filter(Legend!$D$2:$D$32,Legend!$B$2:$B$32=D417))"),"")</f>
        <v/>
      </c>
      <c r="I417" s="23" t="b">
        <f t="shared" si="3"/>
        <v>0</v>
      </c>
    </row>
    <row r="418">
      <c r="A418" s="23" t="str">
        <f t="shared" si="6"/>
        <v>COa2001</v>
      </c>
      <c r="B418" s="23" t="str">
        <f>'3.2.raw'!K418</f>
        <v>COa2001</v>
      </c>
      <c r="C418" s="24">
        <f>datevalue(left('3.2.raw'!M418,10))</f>
        <v>43846</v>
      </c>
      <c r="D418" s="23">
        <f>'3.2.raw'!H418</f>
        <v>15</v>
      </c>
      <c r="E418" s="1">
        <v>3.20000000000006</v>
      </c>
      <c r="F418" s="23" t="b">
        <f>if(countif(Status!C:C,A418)=1,TRUE, FALSE)</f>
        <v>1</v>
      </c>
      <c r="G418" s="23" t="str">
        <f t="shared" si="8"/>
        <v>COa</v>
      </c>
      <c r="H418" s="23" t="str">
        <f>IFERROR(__xludf.DUMMYFUNCTION("UPPER(filter(Legend!$D$2:$D$32,Legend!$B$2:$B$32=D418))"),"CO")</f>
        <v>CO</v>
      </c>
      <c r="I418" s="23" t="b">
        <f t="shared" si="3"/>
        <v>1</v>
      </c>
    </row>
    <row r="419">
      <c r="A419" s="23" t="str">
        <f t="shared" si="6"/>
        <v>COb2001</v>
      </c>
      <c r="B419" s="23" t="str">
        <f>'3.2.raw'!K419</f>
        <v>COb2001</v>
      </c>
      <c r="C419" s="24">
        <f>datevalue(left('3.2.raw'!M419,10))</f>
        <v>43846</v>
      </c>
      <c r="D419" s="23">
        <f>'3.2.raw'!H419</f>
        <v>15</v>
      </c>
      <c r="E419" s="1">
        <v>3.20000000000006</v>
      </c>
      <c r="F419" s="23" t="b">
        <f>if(countif(Status!C:C,A419)=1,TRUE, FALSE)</f>
        <v>1</v>
      </c>
      <c r="G419" s="23" t="str">
        <f t="shared" si="8"/>
        <v>COb</v>
      </c>
      <c r="H419" s="23" t="str">
        <f>IFERROR(__xludf.DUMMYFUNCTION("UPPER(filter(Legend!$D$2:$D$32,Legend!$B$2:$B$32=D419))"),"CO")</f>
        <v>CO</v>
      </c>
      <c r="I419" s="23" t="b">
        <f t="shared" si="3"/>
        <v>1</v>
      </c>
    </row>
    <row r="420">
      <c r="A420" s="23" t="str">
        <f t="shared" si="6"/>
        <v>COb2002</v>
      </c>
      <c r="B420" s="23" t="str">
        <f>'3.2.raw'!K420</f>
        <v>COb2002</v>
      </c>
      <c r="C420" s="24">
        <f>datevalue(left('3.2.raw'!M420,10))</f>
        <v>43846</v>
      </c>
      <c r="D420" s="23">
        <f>'3.2.raw'!H420</f>
        <v>15</v>
      </c>
      <c r="E420" s="1">
        <v>3.20000000000006</v>
      </c>
      <c r="F420" s="23" t="b">
        <f>if(countif(Status!C:C,A420)=1,TRUE, FALSE)</f>
        <v>1</v>
      </c>
      <c r="G420" s="23" t="str">
        <f t="shared" si="8"/>
        <v>COb</v>
      </c>
      <c r="H420" s="23" t="str">
        <f>IFERROR(__xludf.DUMMYFUNCTION("UPPER(filter(Legend!$D$2:$D$32,Legend!$B$2:$B$32=D420))"),"CO")</f>
        <v>CO</v>
      </c>
      <c r="I420" s="23" t="b">
        <f t="shared" si="3"/>
        <v>1</v>
      </c>
    </row>
    <row r="421">
      <c r="A421" s="23" t="str">
        <f t="shared" si="6"/>
        <v>COb2003</v>
      </c>
      <c r="B421" s="23" t="str">
        <f>'3.2.raw'!K421</f>
        <v>COb2003</v>
      </c>
      <c r="C421" s="24">
        <f>datevalue(left('3.2.raw'!M421,10))</f>
        <v>43846</v>
      </c>
      <c r="D421" s="23">
        <f>'3.2.raw'!H421</f>
        <v>15</v>
      </c>
      <c r="E421" s="1">
        <v>3.20000000000006</v>
      </c>
      <c r="F421" s="23" t="b">
        <f>if(countif(Status!C:C,A421)=1,TRUE, FALSE)</f>
        <v>1</v>
      </c>
      <c r="G421" s="23" t="str">
        <f t="shared" si="8"/>
        <v>COb</v>
      </c>
      <c r="H421" s="23" t="str">
        <f>IFERROR(__xludf.DUMMYFUNCTION("UPPER(filter(Legend!$D$2:$D$32,Legend!$B$2:$B$32=D421))"),"CO")</f>
        <v>CO</v>
      </c>
      <c r="I421" s="23" t="b">
        <f t="shared" si="3"/>
        <v>1</v>
      </c>
    </row>
    <row r="422">
      <c r="A422" s="23" t="str">
        <f t="shared" si="6"/>
        <v>COa2002</v>
      </c>
      <c r="B422" s="23" t="str">
        <f>'3.2.raw'!K422</f>
        <v>COa2002</v>
      </c>
      <c r="C422" s="24">
        <f>datevalue(left('3.2.raw'!M422,10))</f>
        <v>43846</v>
      </c>
      <c r="D422" s="23">
        <f>'3.2.raw'!H422</f>
        <v>15</v>
      </c>
      <c r="E422" s="1">
        <v>3.20000000000006</v>
      </c>
      <c r="F422" s="23" t="b">
        <f>if(countif(Status!C:C,A422)=1,TRUE, FALSE)</f>
        <v>1</v>
      </c>
      <c r="G422" s="23" t="str">
        <f t="shared" si="8"/>
        <v>COa</v>
      </c>
      <c r="H422" s="23" t="str">
        <f>IFERROR(__xludf.DUMMYFUNCTION("UPPER(filter(Legend!$D$2:$D$32,Legend!$B$2:$B$32=D422))"),"CO")</f>
        <v>CO</v>
      </c>
      <c r="I422" s="23" t="b">
        <f t="shared" si="3"/>
        <v>1</v>
      </c>
    </row>
    <row r="423">
      <c r="A423" s="23" t="str">
        <f t="shared" si="6"/>
        <v>COb2004</v>
      </c>
      <c r="B423" s="23" t="str">
        <f>'3.2.raw'!K423</f>
        <v>COb2004</v>
      </c>
      <c r="C423" s="24">
        <f>datevalue(left('3.2.raw'!M423,10))</f>
        <v>43846</v>
      </c>
      <c r="D423" s="23">
        <f>'3.2.raw'!H423</f>
        <v>15</v>
      </c>
      <c r="E423" s="1">
        <v>3.20000000000006</v>
      </c>
      <c r="F423" s="23" t="b">
        <f>if(countif(Status!C:C,A423)=1,TRUE, FALSE)</f>
        <v>1</v>
      </c>
      <c r="G423" s="23" t="str">
        <f t="shared" si="8"/>
        <v>COb</v>
      </c>
      <c r="H423" s="23" t="str">
        <f>IFERROR(__xludf.DUMMYFUNCTION("UPPER(filter(Legend!$D$2:$D$32,Legend!$B$2:$B$32=D423))"),"CO")</f>
        <v>CO</v>
      </c>
      <c r="I423" s="23" t="b">
        <f t="shared" si="3"/>
        <v>1</v>
      </c>
    </row>
    <row r="424">
      <c r="A424" s="23" t="str">
        <f t="shared" si="6"/>
        <v>COb2005</v>
      </c>
      <c r="B424" s="23" t="str">
        <f>'3.2.raw'!K424</f>
        <v>COb2005</v>
      </c>
      <c r="C424" s="24">
        <f>datevalue(left('3.2.raw'!M424,10))</f>
        <v>43846</v>
      </c>
      <c r="D424" s="23">
        <f>'3.2.raw'!H424</f>
        <v>15</v>
      </c>
      <c r="E424" s="1">
        <v>3.20000000000006</v>
      </c>
      <c r="F424" s="23" t="b">
        <f>if(countif(Status!C:C,A424)=1,TRUE, FALSE)</f>
        <v>1</v>
      </c>
      <c r="G424" s="23" t="str">
        <f t="shared" si="8"/>
        <v>COb</v>
      </c>
      <c r="H424" s="23" t="str">
        <f>IFERROR(__xludf.DUMMYFUNCTION("UPPER(filter(Legend!$D$2:$D$32,Legend!$B$2:$B$32=D424))"),"CO")</f>
        <v>CO</v>
      </c>
      <c r="I424" s="23" t="b">
        <f t="shared" si="3"/>
        <v>1</v>
      </c>
    </row>
    <row r="425">
      <c r="A425" s="23" t="str">
        <f t="shared" si="6"/>
        <v>COb2006</v>
      </c>
      <c r="B425" s="23" t="str">
        <f>'3.2.raw'!K425</f>
        <v>COb2006</v>
      </c>
      <c r="C425" s="24">
        <f>datevalue(left('3.2.raw'!M425,10))</f>
        <v>43846</v>
      </c>
      <c r="D425" s="23">
        <f>'3.2.raw'!H425</f>
        <v>15</v>
      </c>
      <c r="E425" s="1">
        <v>3.20000000000006</v>
      </c>
      <c r="F425" s="23" t="b">
        <f>if(countif(Status!C:C,A425)=1,TRUE, FALSE)</f>
        <v>1</v>
      </c>
      <c r="G425" s="23" t="str">
        <f t="shared" si="8"/>
        <v>COb</v>
      </c>
      <c r="H425" s="23" t="str">
        <f>IFERROR(__xludf.DUMMYFUNCTION("UPPER(filter(Legend!$D$2:$D$32,Legend!$B$2:$B$32=D425))"),"CO")</f>
        <v>CO</v>
      </c>
      <c r="I425" s="23" t="b">
        <f t="shared" si="3"/>
        <v>1</v>
      </c>
    </row>
    <row r="426">
      <c r="A426" s="23" t="str">
        <f t="shared" si="6"/>
        <v>RP2001</v>
      </c>
      <c r="B426" s="23" t="str">
        <f>'3.2.raw'!K426</f>
        <v>RP2001</v>
      </c>
      <c r="C426" s="24">
        <f>datevalue(left('3.2.raw'!M426,10))</f>
        <v>43846</v>
      </c>
      <c r="D426" s="23">
        <f>'3.2.raw'!H426</f>
        <v>2</v>
      </c>
      <c r="E426" s="1">
        <v>3.20000000000006</v>
      </c>
      <c r="F426" s="23" t="b">
        <f>if(countif(Status!C:C,A426)=1,TRUE, FALSE)</f>
        <v>1</v>
      </c>
      <c r="G426" s="23" t="str">
        <f t="shared" si="8"/>
        <v>RP</v>
      </c>
      <c r="H426" s="23" t="str">
        <f>IFERROR(__xludf.DUMMYFUNCTION("UPPER(filter(Legend!$D$2:$D$32,Legend!$B$2:$B$32=D426))"),"RP")</f>
        <v>RP</v>
      </c>
      <c r="I426" s="23" t="b">
        <f t="shared" si="3"/>
        <v>1</v>
      </c>
    </row>
    <row r="427">
      <c r="A427" s="23" t="str">
        <f t="shared" si="6"/>
        <v>SL2001</v>
      </c>
      <c r="B427" s="23" t="str">
        <f>'3.2.raw'!K427</f>
        <v>SL2001</v>
      </c>
      <c r="C427" s="24">
        <f>datevalue(left('3.2.raw'!M427,10))</f>
        <v>43846</v>
      </c>
      <c r="D427" s="23">
        <f>'3.2.raw'!H427</f>
        <v>8</v>
      </c>
      <c r="E427" s="1">
        <v>3.20000000000006</v>
      </c>
      <c r="F427" s="23" t="b">
        <f>if(countif(Status!C:C,A427)=1,TRUE, FALSE)</f>
        <v>1</v>
      </c>
      <c r="G427" s="23" t="str">
        <f t="shared" si="8"/>
        <v>SL</v>
      </c>
      <c r="H427" s="23" t="str">
        <f>IFERROR(__xludf.DUMMYFUNCTION("UPPER(filter(Legend!$D$2:$D$32,Legend!$B$2:$B$32=D427))"),"SL")</f>
        <v>SL</v>
      </c>
      <c r="I427" s="23" t="b">
        <f t="shared" si="3"/>
        <v>1</v>
      </c>
    </row>
    <row r="428">
      <c r="A428" s="23" t="str">
        <f t="shared" si="6"/>
        <v>PLc1178</v>
      </c>
      <c r="B428" s="23" t="str">
        <f>'3.2.raw'!K428</f>
        <v>PLc1178</v>
      </c>
      <c r="C428" s="24">
        <f>datevalue(left('3.2.raw'!M428,10))</f>
        <v>43846</v>
      </c>
      <c r="D428" s="23">
        <f>'3.2.raw'!H428</f>
        <v>11</v>
      </c>
      <c r="E428" s="1">
        <v>3.20000000000006</v>
      </c>
      <c r="F428" s="23" t="b">
        <f>if(countif(Status!C:C,A428)=1,TRUE, FALSE)</f>
        <v>1</v>
      </c>
      <c r="G428" s="23" t="str">
        <f t="shared" si="8"/>
        <v>PLc</v>
      </c>
      <c r="H428" s="23" t="str">
        <f>IFERROR(__xludf.DUMMYFUNCTION("UPPER(filter(Legend!$D$2:$D$32,Legend!$B$2:$B$32=D428))"),"PL")</f>
        <v>PL</v>
      </c>
      <c r="I428" s="23" t="b">
        <f t="shared" si="3"/>
        <v>1</v>
      </c>
    </row>
    <row r="429">
      <c r="A429" s="23" t="str">
        <f t="shared" si="6"/>
        <v>PLc1179</v>
      </c>
      <c r="B429" s="23" t="str">
        <f>'3.2.raw'!K429</f>
        <v>PLc1179</v>
      </c>
      <c r="C429" s="24">
        <f>datevalue(left('3.2.raw'!M429,10))</f>
        <v>43846</v>
      </c>
      <c r="D429" s="23">
        <f>'3.2.raw'!H429</f>
        <v>11</v>
      </c>
      <c r="E429" s="1">
        <v>3.20000000000006</v>
      </c>
      <c r="F429" s="23" t="b">
        <f>if(countif(Status!C:C,A429)=1,TRUE, FALSE)</f>
        <v>1</v>
      </c>
      <c r="G429" s="23" t="str">
        <f t="shared" si="8"/>
        <v>PLc</v>
      </c>
      <c r="H429" s="23" t="str">
        <f>IFERROR(__xludf.DUMMYFUNCTION("UPPER(filter(Legend!$D$2:$D$32,Legend!$B$2:$B$32=D429))"),"PL")</f>
        <v>PL</v>
      </c>
      <c r="I429" s="23" t="b">
        <f t="shared" si="3"/>
        <v>1</v>
      </c>
    </row>
    <row r="430">
      <c r="A430" s="23" t="str">
        <f t="shared" si="6"/>
        <v>DWa1005uf</v>
      </c>
      <c r="B430" s="23" t="str">
        <f>'3.2.raw'!K430</f>
        <v>DWa1005uf</v>
      </c>
      <c r="C430" s="24">
        <f>datevalue(left('3.2.raw'!M430,10))</f>
        <v>43846</v>
      </c>
      <c r="D430" s="23">
        <f>'3.2.raw'!H430</f>
        <v>3</v>
      </c>
      <c r="E430" s="1">
        <v>3.20000000000006</v>
      </c>
      <c r="F430" s="23" t="b">
        <f>if(countif(Status!C:C,A430)=1,TRUE, FALSE)</f>
        <v>1</v>
      </c>
      <c r="G430" s="23" t="str">
        <f t="shared" si="8"/>
        <v>DWa10</v>
      </c>
      <c r="H430" s="23" t="str">
        <f>IFERROR(__xludf.DUMMYFUNCTION("UPPER(filter(Legend!$D$2:$D$32,Legend!$B$2:$B$32=D430))"),"DW")</f>
        <v>DW</v>
      </c>
      <c r="I430" s="23" t="b">
        <f t="shared" si="3"/>
        <v>0</v>
      </c>
    </row>
    <row r="431">
      <c r="A431" s="23" t="str">
        <f t="shared" si="6"/>
        <v>SL1001</v>
      </c>
      <c r="B431" s="23" t="str">
        <f>'3.2.raw'!K431</f>
        <v>SL1001</v>
      </c>
      <c r="C431" s="24">
        <f>datevalue(left('3.2.raw'!M431,10))</f>
        <v>43846</v>
      </c>
      <c r="D431" s="23">
        <f>'3.2.raw'!H431</f>
        <v>97</v>
      </c>
      <c r="E431" s="1">
        <v>3.20000000000006</v>
      </c>
      <c r="F431" s="23" t="b">
        <f>if(countif(Status!C:C,A431)=1,TRUE, FALSE)</f>
        <v>1</v>
      </c>
      <c r="G431" s="23" t="str">
        <f t="shared" si="8"/>
        <v>SL</v>
      </c>
      <c r="H431" s="23" t="str">
        <f>IFERROR(__xludf.DUMMYFUNCTION("UPPER(filter(Legend!$D$2:$D$32,Legend!$B$2:$B$32=D431))"),"")</f>
        <v/>
      </c>
      <c r="I431" s="23" t="b">
        <f t="shared" si="3"/>
        <v>0</v>
      </c>
    </row>
    <row r="432">
      <c r="A432" s="23" t="str">
        <f t="shared" si="6"/>
        <v>B124-21</v>
      </c>
      <c r="B432" s="23" t="str">
        <f>'3.2.raw'!K432</f>
        <v>B124-21</v>
      </c>
      <c r="C432" s="24">
        <f>datevalue(left('3.2.raw'!M432,10))</f>
        <v>43846</v>
      </c>
      <c r="D432" s="23">
        <f>'3.2.raw'!H432</f>
        <v>97</v>
      </c>
      <c r="E432" s="1">
        <v>3.20000000000006</v>
      </c>
      <c r="F432" s="23" t="b">
        <f>if(countif(Status!C:C,A432)=1,TRUE, FALSE)</f>
        <v>0</v>
      </c>
      <c r="G432" s="23" t="str">
        <f t="shared" si="8"/>
        <v>B12</v>
      </c>
      <c r="H432" s="23" t="str">
        <f>IFERROR(__xludf.DUMMYFUNCTION("UPPER(filter(Legend!$D$2:$D$32,Legend!$B$2:$B$32=D432))"),"")</f>
        <v/>
      </c>
      <c r="I432" s="23" t="b">
        <f t="shared" si="3"/>
        <v>0</v>
      </c>
    </row>
    <row r="433">
      <c r="A433" s="23" t="str">
        <f t="shared" si="6"/>
        <v>PLc1180</v>
      </c>
      <c r="B433" s="23" t="str">
        <f>'3.2.raw'!K433</f>
        <v>PLc1180</v>
      </c>
      <c r="C433" s="24">
        <f>datevalue(left('3.2.raw'!M433,10))</f>
        <v>43852</v>
      </c>
      <c r="D433" s="23">
        <f>'3.2.raw'!H433</f>
        <v>11</v>
      </c>
      <c r="E433" s="1">
        <v>3.20000000000006</v>
      </c>
      <c r="F433" s="23" t="b">
        <f>if(countif(Status!C:C,A433)=1,TRUE, FALSE)</f>
        <v>1</v>
      </c>
      <c r="G433" s="23" t="str">
        <f t="shared" si="8"/>
        <v>PLc</v>
      </c>
      <c r="H433" s="23" t="str">
        <f>IFERROR(__xludf.DUMMYFUNCTION("UPPER(filter(Legend!$D$2:$D$32,Legend!$B$2:$B$32=D433))"),"PL")</f>
        <v>PL</v>
      </c>
      <c r="I433" s="23" t="b">
        <f t="shared" si="3"/>
        <v>1</v>
      </c>
    </row>
    <row r="434">
      <c r="A434" s="23" t="str">
        <f t="shared" si="6"/>
        <v>PLc1181</v>
      </c>
      <c r="B434" s="23" t="str">
        <f>'3.2.raw'!K434</f>
        <v>PLc1181</v>
      </c>
      <c r="C434" s="24">
        <f>datevalue(left('3.2.raw'!M434,10))</f>
        <v>43852</v>
      </c>
      <c r="D434" s="23">
        <f>'3.2.raw'!H434</f>
        <v>11</v>
      </c>
      <c r="E434" s="1">
        <v>3.20000000000006</v>
      </c>
      <c r="F434" s="23" t="b">
        <f>if(countif(Status!C:C,A434)=1,TRUE, FALSE)</f>
        <v>1</v>
      </c>
      <c r="G434" s="23" t="str">
        <f t="shared" si="8"/>
        <v>PLc</v>
      </c>
      <c r="H434" s="23" t="str">
        <f>IFERROR(__xludf.DUMMYFUNCTION("UPPER(filter(Legend!$D$2:$D$32,Legend!$B$2:$B$32=D434))"),"PL")</f>
        <v>PL</v>
      </c>
      <c r="I434" s="23" t="b">
        <f t="shared" si="3"/>
        <v>1</v>
      </c>
    </row>
    <row r="435">
      <c r="A435" s="23" t="str">
        <f t="shared" si="6"/>
        <v>PLc1182</v>
      </c>
      <c r="B435" s="23" t="str">
        <f>'3.2.raw'!K435</f>
        <v>PLc1182</v>
      </c>
      <c r="C435" s="24">
        <f>datevalue(left('3.2.raw'!M435,10))</f>
        <v>43852</v>
      </c>
      <c r="D435" s="23">
        <f>'3.2.raw'!H435</f>
        <v>11</v>
      </c>
      <c r="E435" s="1">
        <v>3.20000000000006</v>
      </c>
      <c r="F435" s="23" t="b">
        <f>if(countif(Status!C:C,A435)=1,TRUE, FALSE)</f>
        <v>1</v>
      </c>
      <c r="G435" s="23" t="str">
        <f t="shared" si="8"/>
        <v>PLc</v>
      </c>
      <c r="H435" s="23" t="str">
        <f>IFERROR(__xludf.DUMMYFUNCTION("UPPER(filter(Legend!$D$2:$D$32,Legend!$B$2:$B$32=D435))"),"PL")</f>
        <v>PL</v>
      </c>
      <c r="I435" s="23" t="b">
        <f t="shared" si="3"/>
        <v>1</v>
      </c>
    </row>
    <row r="436">
      <c r="A436" s="23" t="str">
        <f t="shared" si="6"/>
        <v>UF1016</v>
      </c>
      <c r="B436" s="23" t="str">
        <f>'3.2.raw'!K436</f>
        <v>UF1016</v>
      </c>
      <c r="C436" s="24">
        <f>datevalue(left('3.2.raw'!M436,10))</f>
        <v>43852</v>
      </c>
      <c r="D436" s="23">
        <f>'3.2.raw'!H436</f>
        <v>16</v>
      </c>
      <c r="E436" s="1">
        <v>3.20000000000006</v>
      </c>
      <c r="F436" s="23" t="b">
        <f>if(countif(Status!C:C,A436)=1,TRUE, FALSE)</f>
        <v>1</v>
      </c>
      <c r="G436" s="23" t="str">
        <f t="shared" si="8"/>
        <v>UF</v>
      </c>
      <c r="H436" s="23" t="str">
        <f>IFERROR(__xludf.DUMMYFUNCTION("UPPER(filter(Legend!$D$2:$D$32,Legend!$B$2:$B$32=D436))"),"UF")</f>
        <v>UF</v>
      </c>
      <c r="I436" s="23" t="b">
        <f t="shared" si="3"/>
        <v>1</v>
      </c>
    </row>
    <row r="437">
      <c r="A437" s="23" t="str">
        <f t="shared" si="6"/>
        <v>UF1017</v>
      </c>
      <c r="B437" s="23" t="str">
        <f>'3.2.raw'!K437</f>
        <v>UF1017</v>
      </c>
      <c r="C437" s="24">
        <f>datevalue(left('3.2.raw'!M437,10))</f>
        <v>43852</v>
      </c>
      <c r="D437" s="23">
        <f>'3.2.raw'!H437</f>
        <v>16</v>
      </c>
      <c r="E437" s="1">
        <v>3.20000000000006</v>
      </c>
      <c r="F437" s="23" t="b">
        <f>if(countif(Status!C:C,A437)=1,TRUE, FALSE)</f>
        <v>1</v>
      </c>
      <c r="G437" s="23" t="str">
        <f t="shared" si="8"/>
        <v>UF</v>
      </c>
      <c r="H437" s="23" t="str">
        <f>IFERROR(__xludf.DUMMYFUNCTION("UPPER(filter(Legend!$D$2:$D$32,Legend!$B$2:$B$32=D437))"),"UF")</f>
        <v>UF</v>
      </c>
      <c r="I437" s="23" t="b">
        <f t="shared" si="3"/>
        <v>1</v>
      </c>
    </row>
    <row r="438">
      <c r="A438" s="23" t="str">
        <f t="shared" si="6"/>
        <v>FPd2001</v>
      </c>
      <c r="B438" s="23" t="str">
        <f>'3.2.raw'!K438</f>
        <v>FPd2001</v>
      </c>
      <c r="C438" s="24">
        <f>datevalue(left('3.2.raw'!M438,10))</f>
        <v>43852</v>
      </c>
      <c r="D438" s="23">
        <f>'3.2.raw'!H438</f>
        <v>14</v>
      </c>
      <c r="E438" s="1">
        <v>3.20000000000006</v>
      </c>
      <c r="F438" s="23" t="b">
        <f>if(countif(Status!C:C,A438)=1,TRUE, FALSE)</f>
        <v>1</v>
      </c>
      <c r="G438" s="23" t="str">
        <f t="shared" si="8"/>
        <v>FPd</v>
      </c>
      <c r="H438" s="23" t="str">
        <f>IFERROR(__xludf.DUMMYFUNCTION("UPPER(filter(Legend!$D$2:$D$32,Legend!$B$2:$B$32=D438))"),"FP")</f>
        <v>FP</v>
      </c>
      <c r="I438" s="23" t="b">
        <f t="shared" si="3"/>
        <v>1</v>
      </c>
    </row>
    <row r="439">
      <c r="A439" s="23" t="str">
        <f t="shared" si="6"/>
        <v>FPb2001</v>
      </c>
      <c r="B439" s="23" t="str">
        <f>'3.2.raw'!K439</f>
        <v>FPb2001</v>
      </c>
      <c r="C439" s="24">
        <f>datevalue(left('3.2.raw'!M439,10))</f>
        <v>43852</v>
      </c>
      <c r="D439" s="23">
        <f>'3.2.raw'!H439</f>
        <v>14</v>
      </c>
      <c r="E439" s="1">
        <v>3.20000000000006</v>
      </c>
      <c r="F439" s="23" t="b">
        <f>if(countif(Status!C:C,A439)=1,TRUE, FALSE)</f>
        <v>1</v>
      </c>
      <c r="G439" s="23" t="str">
        <f t="shared" si="8"/>
        <v>FPb</v>
      </c>
      <c r="H439" s="23" t="str">
        <f>IFERROR(__xludf.DUMMYFUNCTION("UPPER(filter(Legend!$D$2:$D$32,Legend!$B$2:$B$32=D439))"),"FP")</f>
        <v>FP</v>
      </c>
      <c r="I439" s="23" t="b">
        <f t="shared" si="3"/>
        <v>1</v>
      </c>
    </row>
    <row r="440">
      <c r="A440" s="23" t="str">
        <f t="shared" si="6"/>
        <v>FPe2001</v>
      </c>
      <c r="B440" s="23" t="str">
        <f>'3.2.raw'!K440</f>
        <v>FPe2001</v>
      </c>
      <c r="C440" s="24">
        <f>datevalue(left('3.2.raw'!M440,10))</f>
        <v>43852</v>
      </c>
      <c r="D440" s="23">
        <f>'3.2.raw'!H440</f>
        <v>14</v>
      </c>
      <c r="E440" s="1">
        <v>3.20000000000006</v>
      </c>
      <c r="F440" s="23" t="b">
        <f>if(countif(Status!C:C,A440)=1,TRUE, FALSE)</f>
        <v>1</v>
      </c>
      <c r="G440" s="23" t="str">
        <f t="shared" si="8"/>
        <v>FPe</v>
      </c>
      <c r="H440" s="23" t="str">
        <f>IFERROR(__xludf.DUMMYFUNCTION("UPPER(filter(Legend!$D$2:$D$32,Legend!$B$2:$B$32=D440))"),"FP")</f>
        <v>FP</v>
      </c>
      <c r="I440" s="23" t="b">
        <f t="shared" si="3"/>
        <v>1</v>
      </c>
    </row>
    <row r="441">
      <c r="A441" s="23" t="str">
        <f t="shared" si="6"/>
        <v>FPa2001</v>
      </c>
      <c r="B441" s="23" t="str">
        <f>'3.2.raw'!K441</f>
        <v>FPa2001</v>
      </c>
      <c r="C441" s="24">
        <f>datevalue(left('3.2.raw'!M441,10))</f>
        <v>43852</v>
      </c>
      <c r="D441" s="23">
        <f>'3.2.raw'!H441</f>
        <v>14</v>
      </c>
      <c r="E441" s="1">
        <v>3.20000000000006</v>
      </c>
      <c r="F441" s="23" t="b">
        <f>if(countif(Status!C:C,A441)=1,TRUE, FALSE)</f>
        <v>1</v>
      </c>
      <c r="G441" s="23" t="str">
        <f t="shared" si="8"/>
        <v>FPa</v>
      </c>
      <c r="H441" s="23" t="str">
        <f>IFERROR(__xludf.DUMMYFUNCTION("UPPER(filter(Legend!$D$2:$D$32,Legend!$B$2:$B$32=D441))"),"FP")</f>
        <v>FP</v>
      </c>
      <c r="I441" s="23" t="b">
        <f t="shared" si="3"/>
        <v>1</v>
      </c>
    </row>
    <row r="442">
      <c r="A442" s="23" t="str">
        <f t="shared" si="6"/>
        <v>FPc2001</v>
      </c>
      <c r="B442" s="23" t="str">
        <f>'3.2.raw'!K442</f>
        <v>FPc2001</v>
      </c>
      <c r="C442" s="24">
        <f>datevalue(left('3.2.raw'!M442,10))</f>
        <v>43852</v>
      </c>
      <c r="D442" s="23">
        <f>'3.2.raw'!H442</f>
        <v>14</v>
      </c>
      <c r="E442" s="1">
        <v>3.20000000000006</v>
      </c>
      <c r="F442" s="23" t="b">
        <f>if(countif(Status!C:C,A442)=1,TRUE, FALSE)</f>
        <v>1</v>
      </c>
      <c r="G442" s="23" t="str">
        <f t="shared" si="8"/>
        <v>FPc</v>
      </c>
      <c r="H442" s="23" t="str">
        <f>IFERROR(__xludf.DUMMYFUNCTION("UPPER(filter(Legend!$D$2:$D$32,Legend!$B$2:$B$32=D442))"),"FP")</f>
        <v>FP</v>
      </c>
      <c r="I442" s="23" t="b">
        <f t="shared" si="3"/>
        <v>1</v>
      </c>
    </row>
    <row r="443">
      <c r="A443" s="23" t="str">
        <f t="shared" si="6"/>
        <v>SW2001</v>
      </c>
      <c r="B443" s="23" t="str">
        <f>'3.2.raw'!K443</f>
        <v>SW2001</v>
      </c>
      <c r="C443" s="24">
        <f>datevalue(left('3.2.raw'!M443,10))</f>
        <v>43852</v>
      </c>
      <c r="D443" s="23">
        <f>'3.2.raw'!H443</f>
        <v>5</v>
      </c>
      <c r="E443" s="1">
        <v>3.20000000000006</v>
      </c>
      <c r="F443" s="23" t="b">
        <f>if(countif(Status!C:C,A443)=1,TRUE, FALSE)</f>
        <v>1</v>
      </c>
      <c r="G443" s="23" t="str">
        <f t="shared" si="8"/>
        <v>SW</v>
      </c>
      <c r="H443" s="23" t="str">
        <f>IFERROR(__xludf.DUMMYFUNCTION("UPPER(filter(Legend!$D$2:$D$32,Legend!$B$2:$B$32=D443))"),"SW")</f>
        <v>SW</v>
      </c>
      <c r="I443" s="23" t="b">
        <f t="shared" si="3"/>
        <v>1</v>
      </c>
    </row>
    <row r="444">
      <c r="A444" s="23" t="str">
        <f t="shared" si="6"/>
        <v>SF2001</v>
      </c>
      <c r="B444" s="23" t="str">
        <f>'3.2.raw'!K444</f>
        <v>SF2001</v>
      </c>
      <c r="C444" s="24">
        <f>datevalue(left('3.2.raw'!M444,10))</f>
        <v>43853</v>
      </c>
      <c r="D444" s="23">
        <f>'3.2.raw'!H444</f>
        <v>5</v>
      </c>
      <c r="E444" s="1">
        <v>3.20000000000006</v>
      </c>
      <c r="F444" s="23" t="b">
        <f>if(countif(Status!C:C,A444)=1,TRUE, FALSE)</f>
        <v>1</v>
      </c>
      <c r="G444" s="23" t="str">
        <f t="shared" si="8"/>
        <v>SF</v>
      </c>
      <c r="H444" s="23" t="str">
        <f>IFERROR(__xludf.DUMMYFUNCTION("UPPER(filter(Legend!$D$2:$D$32,Legend!$B$2:$B$32=D444))"),"SW")</f>
        <v>SW</v>
      </c>
      <c r="I444" s="23" t="b">
        <f t="shared" si="3"/>
        <v>0</v>
      </c>
    </row>
    <row r="445">
      <c r="A445" s="23" t="str">
        <f t="shared" si="6"/>
        <v>SL1001</v>
      </c>
      <c r="B445" s="23" t="str">
        <f>'3.2.raw'!K445</f>
        <v>SL1001</v>
      </c>
      <c r="C445" s="24">
        <f>datevalue(left('3.2.raw'!M445,10))</f>
        <v>43853</v>
      </c>
      <c r="D445" s="23">
        <f>'3.2.raw'!H445</f>
        <v>97</v>
      </c>
      <c r="E445" s="1">
        <v>3.20000000000006</v>
      </c>
      <c r="F445" s="23" t="b">
        <f>if(countif(Status!C:C,A445)=1,TRUE, FALSE)</f>
        <v>1</v>
      </c>
      <c r="G445" s="23" t="str">
        <f t="shared" si="8"/>
        <v>SL</v>
      </c>
      <c r="H445" s="23" t="str">
        <f>IFERROR(__xludf.DUMMYFUNCTION("UPPER(filter(Legend!$D$2:$D$32,Legend!$B$2:$B$32=D445))"),"")</f>
        <v/>
      </c>
      <c r="I445" s="23" t="b">
        <f t="shared" si="3"/>
        <v>0</v>
      </c>
    </row>
    <row r="446">
      <c r="A446" s="23" t="str">
        <f t="shared" si="6"/>
        <v>B124-21</v>
      </c>
      <c r="B446" s="23" t="str">
        <f>'3.2.raw'!K446</f>
        <v>B124-21</v>
      </c>
      <c r="C446" s="24">
        <f>datevalue(left('3.2.raw'!M446,10))</f>
        <v>43853</v>
      </c>
      <c r="D446" s="23">
        <f>'3.2.raw'!H446</f>
        <v>97</v>
      </c>
      <c r="E446" s="1">
        <v>3.20000000000006</v>
      </c>
      <c r="F446" s="23" t="b">
        <f>if(countif(Status!C:C,A446)=1,TRUE, FALSE)</f>
        <v>0</v>
      </c>
      <c r="G446" s="23" t="str">
        <f t="shared" si="8"/>
        <v>B12</v>
      </c>
      <c r="H446" s="23" t="str">
        <f>IFERROR(__xludf.DUMMYFUNCTION("UPPER(filter(Legend!$D$2:$D$32,Legend!$B$2:$B$32=D446))"),"")</f>
        <v/>
      </c>
      <c r="I446" s="23" t="b">
        <f t="shared" si="3"/>
        <v>0</v>
      </c>
    </row>
    <row r="447">
      <c r="A447" s="23" t="str">
        <f t="shared" si="6"/>
        <v>SL1001</v>
      </c>
      <c r="B447" s="23" t="str">
        <f>'3.2.raw'!K447</f>
        <v>SL1001</v>
      </c>
      <c r="C447" s="24">
        <f>datevalue(left('3.2.raw'!M447,10))</f>
        <v>43852</v>
      </c>
      <c r="D447" s="23">
        <f>'3.2.raw'!H447</f>
        <v>97</v>
      </c>
      <c r="E447" s="1">
        <v>3.20000000000006</v>
      </c>
      <c r="F447" s="23" t="b">
        <f>if(countif(Status!C:C,A447)=1,TRUE, FALSE)</f>
        <v>1</v>
      </c>
      <c r="G447" s="23" t="str">
        <f t="shared" si="8"/>
        <v>SL</v>
      </c>
      <c r="H447" s="23" t="str">
        <f>IFERROR(__xludf.DUMMYFUNCTION("UPPER(filter(Legend!$D$2:$D$32,Legend!$B$2:$B$32=D447))"),"")</f>
        <v/>
      </c>
      <c r="I447" s="23" t="b">
        <f t="shared" si="3"/>
        <v>0</v>
      </c>
    </row>
    <row r="448">
      <c r="A448" s="23" t="str">
        <f t="shared" si="6"/>
        <v>B124-21</v>
      </c>
      <c r="B448" s="23" t="str">
        <f>'3.2.raw'!K448</f>
        <v>B124-21</v>
      </c>
      <c r="C448" s="24">
        <f>datevalue(left('3.2.raw'!M448,10))</f>
        <v>43852</v>
      </c>
      <c r="D448" s="23">
        <f>'3.2.raw'!H448</f>
        <v>97</v>
      </c>
      <c r="E448" s="1">
        <v>3.20000000000006</v>
      </c>
      <c r="F448" s="23" t="b">
        <f>if(countif(Status!C:C,A448)=1,TRUE, FALSE)</f>
        <v>0</v>
      </c>
      <c r="G448" s="23" t="str">
        <f t="shared" si="8"/>
        <v>B12</v>
      </c>
      <c r="H448" s="23" t="str">
        <f>IFERROR(__xludf.DUMMYFUNCTION("UPPER(filter(Legend!$D$2:$D$32,Legend!$B$2:$B$32=D448))"),"")</f>
        <v/>
      </c>
      <c r="I448" s="23" t="b">
        <f t="shared" si="3"/>
        <v>0</v>
      </c>
    </row>
    <row r="449">
      <c r="A449" s="23" t="str">
        <f t="shared" si="6"/>
        <v>PLc1183</v>
      </c>
      <c r="B449" s="23" t="str">
        <f>'3.2.raw'!K449</f>
        <v>PLc1183</v>
      </c>
      <c r="C449" s="24">
        <f>datevalue(left('3.2.raw'!M449,10))</f>
        <v>43858</v>
      </c>
      <c r="D449" s="23">
        <f>'3.2.raw'!H449</f>
        <v>11</v>
      </c>
      <c r="E449" s="1">
        <v>3.20000000000006</v>
      </c>
      <c r="F449" s="23" t="b">
        <f>if(countif(Status!C:C,A449)=1,TRUE, FALSE)</f>
        <v>1</v>
      </c>
      <c r="G449" s="23" t="str">
        <f t="shared" si="8"/>
        <v>PLc</v>
      </c>
      <c r="H449" s="23" t="str">
        <f>IFERROR(__xludf.DUMMYFUNCTION("UPPER(filter(Legend!$D$2:$D$32,Legend!$B$2:$B$32=D449))"),"PL")</f>
        <v>PL</v>
      </c>
      <c r="I449" s="23" t="b">
        <f t="shared" si="3"/>
        <v>1</v>
      </c>
    </row>
    <row r="450">
      <c r="A450" s="23" t="str">
        <f t="shared" si="6"/>
        <v>BW2001</v>
      </c>
      <c r="B450" s="23" t="str">
        <f>'3.2.raw'!K450</f>
        <v>BW2001</v>
      </c>
      <c r="C450" s="24">
        <f>datevalue(left('3.2.raw'!M450,10))</f>
        <v>43858</v>
      </c>
      <c r="D450" s="23">
        <f>'3.2.raw'!H450</f>
        <v>9</v>
      </c>
      <c r="E450" s="1">
        <v>3.20000000000006</v>
      </c>
      <c r="F450" s="23" t="b">
        <f>if(countif(Status!C:C,A450)=1,TRUE, FALSE)</f>
        <v>1</v>
      </c>
      <c r="G450" s="23" t="str">
        <f t="shared" si="8"/>
        <v>BW</v>
      </c>
      <c r="H450" s="23" t="str">
        <f>IFERROR(__xludf.DUMMYFUNCTION("UPPER(filter(Legend!$D$2:$D$32,Legend!$B$2:$B$32=D450))"),"BW")</f>
        <v>BW</v>
      </c>
      <c r="I450" s="23" t="b">
        <f t="shared" si="3"/>
        <v>1</v>
      </c>
    </row>
    <row r="451">
      <c r="A451" s="23" t="str">
        <f t="shared" si="6"/>
        <v>SL2002</v>
      </c>
      <c r="B451" s="23" t="str">
        <f>'3.2.raw'!K451</f>
        <v>SL2002</v>
      </c>
      <c r="C451" s="24">
        <f>datevalue(left('3.2.raw'!M451,10))</f>
        <v>43858</v>
      </c>
      <c r="D451" s="23">
        <f>'3.2.raw'!H451</f>
        <v>8</v>
      </c>
      <c r="E451" s="1">
        <v>3.20000000000006</v>
      </c>
      <c r="F451" s="23" t="b">
        <f>if(countif(Status!C:C,A451)=1,TRUE, FALSE)</f>
        <v>1</v>
      </c>
      <c r="G451" s="23" t="str">
        <f t="shared" si="8"/>
        <v>SL</v>
      </c>
      <c r="H451" s="23" t="str">
        <f>IFERROR(__xludf.DUMMYFUNCTION("UPPER(filter(Legend!$D$2:$D$32,Legend!$B$2:$B$32=D451))"),"SL")</f>
        <v>SL</v>
      </c>
      <c r="I451" s="23" t="b">
        <f t="shared" si="3"/>
        <v>1</v>
      </c>
    </row>
    <row r="452">
      <c r="A452" s="23" t="str">
        <f t="shared" si="6"/>
        <v>UF1018</v>
      </c>
      <c r="B452" s="23" t="str">
        <f>'3.2.raw'!K452</f>
        <v>UF1018</v>
      </c>
      <c r="C452" s="24">
        <f>datevalue(left('3.2.raw'!M452,10))</f>
        <v>43858</v>
      </c>
      <c r="D452" s="23">
        <f>'3.2.raw'!H452</f>
        <v>16</v>
      </c>
      <c r="E452" s="1">
        <v>3.20000000000006</v>
      </c>
      <c r="F452" s="23" t="b">
        <f>if(countif(Status!C:C,A452)=1,TRUE, FALSE)</f>
        <v>1</v>
      </c>
      <c r="G452" s="23" t="str">
        <f t="shared" si="8"/>
        <v>UF</v>
      </c>
      <c r="H452" s="23" t="str">
        <f>IFERROR(__xludf.DUMMYFUNCTION("UPPER(filter(Legend!$D$2:$D$32,Legend!$B$2:$B$32=D452))"),"UF")</f>
        <v>UF</v>
      </c>
      <c r="I452" s="23" t="b">
        <f t="shared" si="3"/>
        <v>1</v>
      </c>
    </row>
    <row r="453">
      <c r="A453" s="23" t="str">
        <f t="shared" si="6"/>
        <v>SL1001</v>
      </c>
      <c r="B453" s="23" t="str">
        <f>'3.2.raw'!K453</f>
        <v>SL1001</v>
      </c>
      <c r="C453" s="24">
        <f>datevalue(left('3.2.raw'!M453,10))</f>
        <v>43858</v>
      </c>
      <c r="D453" s="23">
        <f>'3.2.raw'!H453</f>
        <v>97</v>
      </c>
      <c r="E453" s="1">
        <v>3.20000000000006</v>
      </c>
      <c r="F453" s="23" t="b">
        <f>if(countif(Status!C:C,A453)=1,TRUE, FALSE)</f>
        <v>1</v>
      </c>
      <c r="G453" s="23" t="str">
        <f t="shared" si="8"/>
        <v>SL</v>
      </c>
      <c r="H453" s="23" t="str">
        <f>IFERROR(__xludf.DUMMYFUNCTION("UPPER(filter(Legend!$D$2:$D$32,Legend!$B$2:$B$32=D453))"),"")</f>
        <v/>
      </c>
      <c r="I453" s="23" t="b">
        <f t="shared" si="3"/>
        <v>0</v>
      </c>
    </row>
    <row r="454">
      <c r="A454" s="23" t="str">
        <f t="shared" si="6"/>
        <v>B124-21</v>
      </c>
      <c r="B454" s="23" t="str">
        <f>'3.2.raw'!K454</f>
        <v>B124-21</v>
      </c>
      <c r="C454" s="24">
        <f>datevalue(left('3.2.raw'!M454,10))</f>
        <v>43858</v>
      </c>
      <c r="D454" s="23">
        <f>'3.2.raw'!H454</f>
        <v>97</v>
      </c>
      <c r="E454" s="1">
        <v>3.20000000000006</v>
      </c>
      <c r="F454" s="23" t="b">
        <f>if(countif(Status!C:C,A454)=1,TRUE, FALSE)</f>
        <v>0</v>
      </c>
      <c r="G454" s="23" t="str">
        <f t="shared" si="8"/>
        <v>B12</v>
      </c>
      <c r="H454" s="23" t="str">
        <f>IFERROR(__xludf.DUMMYFUNCTION("UPPER(filter(Legend!$D$2:$D$32,Legend!$B$2:$B$32=D454))"),"")</f>
        <v/>
      </c>
      <c r="I454" s="23" t="b">
        <f t="shared" si="3"/>
        <v>0</v>
      </c>
    </row>
    <row r="455">
      <c r="A455" s="23" t="str">
        <f t="shared" si="6"/>
        <v>PLc1184R</v>
      </c>
      <c r="B455" s="23" t="str">
        <f>'3.2.raw'!K455</f>
        <v>PLc1184R</v>
      </c>
      <c r="C455" s="24">
        <f>datevalue(left('3.2.raw'!M455,10))</f>
        <v>43866</v>
      </c>
      <c r="D455" s="23">
        <f>'3.2.raw'!H455</f>
        <v>11</v>
      </c>
      <c r="E455" s="1">
        <v>3.20000000000006</v>
      </c>
      <c r="F455" s="23" t="b">
        <f>if(countif(Status!C:C,A455)=1,TRUE, FALSE)</f>
        <v>1</v>
      </c>
      <c r="G455" s="23" t="str">
        <f t="shared" si="8"/>
        <v>PLc1</v>
      </c>
      <c r="H455" s="23" t="str">
        <f>IFERROR(__xludf.DUMMYFUNCTION("UPPER(filter(Legend!$D$2:$D$32,Legend!$B$2:$B$32=D455))"),"PL")</f>
        <v>PL</v>
      </c>
      <c r="I455" s="23" t="b">
        <f t="shared" si="3"/>
        <v>0</v>
      </c>
    </row>
    <row r="456">
      <c r="A456" s="23" t="str">
        <f t="shared" si="6"/>
        <v>PLc1185R</v>
      </c>
      <c r="B456" s="23" t="str">
        <f>'3.2.raw'!K456</f>
        <v>PLc1185R</v>
      </c>
      <c r="C456" s="24">
        <f>datevalue(left('3.2.raw'!M456,10))</f>
        <v>43866</v>
      </c>
      <c r="D456" s="23">
        <f>'3.2.raw'!H456</f>
        <v>11</v>
      </c>
      <c r="E456" s="1">
        <v>3.20000000000006</v>
      </c>
      <c r="F456" s="23" t="b">
        <f>if(countif(Status!C:C,A456)=1,TRUE, FALSE)</f>
        <v>1</v>
      </c>
      <c r="G456" s="23" t="str">
        <f t="shared" si="8"/>
        <v>PLc1</v>
      </c>
      <c r="H456" s="23" t="str">
        <f>IFERROR(__xludf.DUMMYFUNCTION("UPPER(filter(Legend!$D$2:$D$32,Legend!$B$2:$B$32=D456))"),"PL")</f>
        <v>PL</v>
      </c>
      <c r="I456" s="23" t="b">
        <f t="shared" si="3"/>
        <v>0</v>
      </c>
    </row>
    <row r="457">
      <c r="A457" s="23" t="str">
        <f t="shared" si="6"/>
        <v>PLc1186R</v>
      </c>
      <c r="B457" s="23" t="str">
        <f>'3.2.raw'!K457</f>
        <v>PLc1186R</v>
      </c>
      <c r="C457" s="24">
        <f>datevalue(left('3.2.raw'!M457,10))</f>
        <v>43866</v>
      </c>
      <c r="D457" s="23">
        <f>'3.2.raw'!H457</f>
        <v>11</v>
      </c>
      <c r="E457" s="1">
        <v>3.20000000000006</v>
      </c>
      <c r="F457" s="23" t="b">
        <f>if(countif(Status!C:C,A457)=1,TRUE, FALSE)</f>
        <v>1</v>
      </c>
      <c r="G457" s="23" t="str">
        <f t="shared" si="8"/>
        <v>PLc1</v>
      </c>
      <c r="H457" s="23" t="str">
        <f>IFERROR(__xludf.DUMMYFUNCTION("UPPER(filter(Legend!$D$2:$D$32,Legend!$B$2:$B$32=D457))"),"PL")</f>
        <v>PL</v>
      </c>
      <c r="I457" s="23" t="b">
        <f t="shared" si="3"/>
        <v>0</v>
      </c>
    </row>
    <row r="458">
      <c r="A458" s="23" t="str">
        <f t="shared" si="6"/>
        <v>UF1019R</v>
      </c>
      <c r="B458" s="23" t="str">
        <f>'3.2.raw'!K458</f>
        <v>UF1019R</v>
      </c>
      <c r="C458" s="24">
        <f>datevalue(left('3.2.raw'!M458,10))</f>
        <v>43866</v>
      </c>
      <c r="D458" s="23">
        <f>'3.2.raw'!H458</f>
        <v>16</v>
      </c>
      <c r="E458" s="1">
        <v>3.20000000000006</v>
      </c>
      <c r="F458" s="23" t="b">
        <f>if(countif(Status!C:C,A458)=1,TRUE, FALSE)</f>
        <v>1</v>
      </c>
      <c r="G458" s="23" t="str">
        <f t="shared" si="8"/>
        <v>UF1</v>
      </c>
      <c r="H458" s="23" t="str">
        <f>IFERROR(__xludf.DUMMYFUNCTION("UPPER(filter(Legend!$D$2:$D$32,Legend!$B$2:$B$32=D458))"),"UF")</f>
        <v>UF</v>
      </c>
      <c r="I458" s="23" t="b">
        <f t="shared" si="3"/>
        <v>1</v>
      </c>
    </row>
    <row r="459">
      <c r="A459" s="23" t="str">
        <f t="shared" si="6"/>
        <v>PLc1187R</v>
      </c>
      <c r="B459" s="23" t="str">
        <f>'3.2.raw'!K459</f>
        <v>PLc1187R</v>
      </c>
      <c r="C459" s="24">
        <f>datevalue(left('3.2.raw'!M459,10))</f>
        <v>43866</v>
      </c>
      <c r="D459" s="23">
        <f>'3.2.raw'!H459</f>
        <v>11</v>
      </c>
      <c r="E459" s="1">
        <v>3.20000000000006</v>
      </c>
      <c r="F459" s="23" t="b">
        <f>if(countif(Status!C:C,A459)=1,TRUE, FALSE)</f>
        <v>1</v>
      </c>
      <c r="G459" s="23" t="str">
        <f t="shared" si="8"/>
        <v>PLc1</v>
      </c>
      <c r="H459" s="23" t="str">
        <f>IFERROR(__xludf.DUMMYFUNCTION("UPPER(filter(Legend!$D$2:$D$32,Legend!$B$2:$B$32=D459))"),"PL")</f>
        <v>PL</v>
      </c>
      <c r="I459" s="23" t="b">
        <f t="shared" si="3"/>
        <v>0</v>
      </c>
    </row>
    <row r="460">
      <c r="A460" s="23" t="str">
        <f t="shared" si="6"/>
        <v>SL1001R</v>
      </c>
      <c r="B460" s="23" t="str">
        <f>'3.2.raw'!K460</f>
        <v>SL1001R</v>
      </c>
      <c r="C460" s="24">
        <f>datevalue(left('3.2.raw'!M460,10))</f>
        <v>43866</v>
      </c>
      <c r="D460" s="23">
        <f>'3.2.raw'!H460</f>
        <v>97</v>
      </c>
      <c r="E460" s="1">
        <v>3.20000000000006</v>
      </c>
      <c r="F460" s="23" t="b">
        <f>if(countif(Status!C:C,A460)=1,TRUE, FALSE)</f>
        <v>1</v>
      </c>
      <c r="G460" s="23" t="str">
        <f t="shared" si="8"/>
        <v>SL1</v>
      </c>
      <c r="H460" s="23" t="str">
        <f>IFERROR(__xludf.DUMMYFUNCTION("UPPER(filter(Legend!$D$2:$D$32,Legend!$B$2:$B$32=D460))"),"")</f>
        <v/>
      </c>
      <c r="I460" s="23" t="b">
        <f t="shared" si="3"/>
        <v>0</v>
      </c>
    </row>
    <row r="461">
      <c r="A461" s="23" t="str">
        <f t="shared" si="6"/>
        <v>B124-21</v>
      </c>
      <c r="B461" s="23" t="str">
        <f>'3.2.raw'!K461</f>
        <v>B124-21</v>
      </c>
      <c r="C461" s="24">
        <f>datevalue(left('3.2.raw'!M461,10))</f>
        <v>43866</v>
      </c>
      <c r="D461" s="23">
        <f>'3.2.raw'!H461</f>
        <v>97</v>
      </c>
      <c r="E461" s="1">
        <v>3.20000000000006</v>
      </c>
      <c r="F461" s="23" t="b">
        <f>if(countif(Status!C:C,A461)=1,TRUE, FALSE)</f>
        <v>0</v>
      </c>
      <c r="G461" s="23" t="str">
        <f t="shared" si="8"/>
        <v>B12</v>
      </c>
      <c r="H461" s="23" t="str">
        <f>IFERROR(__xludf.DUMMYFUNCTION("UPPER(filter(Legend!$D$2:$D$32,Legend!$B$2:$B$32=D461))"),"")</f>
        <v/>
      </c>
      <c r="I461" s="23" t="b">
        <f t="shared" si="3"/>
        <v>0</v>
      </c>
    </row>
    <row r="462">
      <c r="A462" s="23" t="str">
        <f t="shared" si="6"/>
        <v>PLc1188</v>
      </c>
      <c r="B462" s="23" t="str">
        <f>'3.2.raw'!K462</f>
        <v>PLc1188</v>
      </c>
      <c r="C462" s="24">
        <f>datevalue(left('3.2.raw'!M462,10))</f>
        <v>43867</v>
      </c>
      <c r="D462" s="23">
        <f>'3.2.raw'!H462</f>
        <v>11</v>
      </c>
      <c r="E462" s="1">
        <v>3.20000000000006</v>
      </c>
      <c r="F462" s="23" t="b">
        <f>if(countif(Status!C:C,A462)=1,TRUE, FALSE)</f>
        <v>1</v>
      </c>
      <c r="G462" s="23" t="str">
        <f t="shared" si="8"/>
        <v>PLc</v>
      </c>
      <c r="H462" s="23" t="str">
        <f>IFERROR(__xludf.DUMMYFUNCTION("UPPER(filter(Legend!$D$2:$D$32,Legend!$B$2:$B$32=D462))"),"PL")</f>
        <v>PL</v>
      </c>
      <c r="I462" s="23" t="b">
        <f t="shared" si="3"/>
        <v>1</v>
      </c>
    </row>
    <row r="463">
      <c r="A463" s="23" t="str">
        <f t="shared" si="6"/>
        <v>B124-21</v>
      </c>
      <c r="B463" s="23" t="str">
        <f>'3.2.raw'!K463</f>
        <v>B124-21</v>
      </c>
      <c r="C463" s="24">
        <f>datevalue(left('3.2.raw'!M463,10))</f>
        <v>43867</v>
      </c>
      <c r="D463" s="23">
        <f>'3.2.raw'!H463</f>
        <v>97</v>
      </c>
      <c r="E463" s="1">
        <v>3.20000000000006</v>
      </c>
      <c r="F463" s="23" t="b">
        <f>if(countif(Status!C:C,A463)=1,TRUE, FALSE)</f>
        <v>0</v>
      </c>
      <c r="G463" s="23" t="str">
        <f t="shared" si="8"/>
        <v>B12</v>
      </c>
      <c r="H463" s="23" t="str">
        <f>IFERROR(__xludf.DUMMYFUNCTION("UPPER(filter(Legend!$D$2:$D$32,Legend!$B$2:$B$32=D463))"),"")</f>
        <v/>
      </c>
      <c r="I463" s="23" t="b">
        <f t="shared" si="3"/>
        <v>0</v>
      </c>
    </row>
    <row r="464">
      <c r="A464" s="23" t="str">
        <f t="shared" si="6"/>
        <v>SL1001</v>
      </c>
      <c r="B464" s="23" t="str">
        <f>'3.2.raw'!K464</f>
        <v>SL1001</v>
      </c>
      <c r="C464" s="24">
        <f>datevalue(left('3.2.raw'!M464,10))</f>
        <v>43867</v>
      </c>
      <c r="D464" s="23">
        <f>'3.2.raw'!H464</f>
        <v>97</v>
      </c>
      <c r="E464" s="1">
        <v>3.20000000000006</v>
      </c>
      <c r="F464" s="23" t="b">
        <f>if(countif(Status!C:C,A464)=1,TRUE, FALSE)</f>
        <v>1</v>
      </c>
      <c r="G464" s="23" t="str">
        <f t="shared" si="8"/>
        <v>SL</v>
      </c>
      <c r="H464" s="23" t="str">
        <f>IFERROR(__xludf.DUMMYFUNCTION("UPPER(filter(Legend!$D$2:$D$32,Legend!$B$2:$B$32=D464))"),"")</f>
        <v/>
      </c>
      <c r="I464" s="23" t="b">
        <f t="shared" si="3"/>
        <v>0</v>
      </c>
    </row>
    <row r="465">
      <c r="A465" s="23" t="str">
        <f t="shared" si="6"/>
        <v>UF1020</v>
      </c>
      <c r="B465" s="23" t="str">
        <f>'3.2.raw'!K465</f>
        <v>UF1020</v>
      </c>
      <c r="C465" s="24">
        <f>datevalue(left('3.2.raw'!M465,10))</f>
        <v>43868</v>
      </c>
      <c r="D465" s="23">
        <f>'3.2.raw'!H465</f>
        <v>16</v>
      </c>
      <c r="E465" s="1">
        <v>3.20000000000006</v>
      </c>
      <c r="F465" s="23" t="b">
        <f>if(countif(Status!C:C,A465)=1,TRUE, FALSE)</f>
        <v>1</v>
      </c>
      <c r="G465" s="23" t="str">
        <f t="shared" si="8"/>
        <v>UF</v>
      </c>
      <c r="H465" s="23" t="str">
        <f>IFERROR(__xludf.DUMMYFUNCTION("UPPER(filter(Legend!$D$2:$D$32,Legend!$B$2:$B$32=D465))"),"UF")</f>
        <v>UF</v>
      </c>
      <c r="I465" s="23" t="b">
        <f t="shared" si="3"/>
        <v>1</v>
      </c>
    </row>
    <row r="466">
      <c r="A466" s="23" t="str">
        <f t="shared" si="6"/>
        <v>PLc1189</v>
      </c>
      <c r="B466" s="23" t="str">
        <f>'3.2.raw'!K466</f>
        <v>PLc1189</v>
      </c>
      <c r="C466" s="24">
        <f>datevalue(left('3.2.raw'!M466,10))</f>
        <v>43868</v>
      </c>
      <c r="D466" s="23">
        <f>'3.2.raw'!H466</f>
        <v>11</v>
      </c>
      <c r="E466" s="1">
        <v>3.20000000000006</v>
      </c>
      <c r="F466" s="23" t="b">
        <f>if(countif(Status!C:C,A466)=1,TRUE, FALSE)</f>
        <v>1</v>
      </c>
      <c r="G466" s="23" t="str">
        <f t="shared" si="8"/>
        <v>PLc</v>
      </c>
      <c r="H466" s="23" t="str">
        <f>IFERROR(__xludf.DUMMYFUNCTION("UPPER(filter(Legend!$D$2:$D$32,Legend!$B$2:$B$32=D466))"),"PL")</f>
        <v>PL</v>
      </c>
      <c r="I466" s="23" t="b">
        <f t="shared" si="3"/>
        <v>1</v>
      </c>
    </row>
    <row r="467">
      <c r="A467" s="23" t="str">
        <f t="shared" si="6"/>
        <v>PLc1190</v>
      </c>
      <c r="B467" s="23" t="str">
        <f>'3.2.raw'!K467</f>
        <v>PLc1190</v>
      </c>
      <c r="C467" s="24">
        <f>datevalue(left('3.2.raw'!M467,10))</f>
        <v>43868</v>
      </c>
      <c r="D467" s="23">
        <f>'3.2.raw'!H467</f>
        <v>11</v>
      </c>
      <c r="E467" s="1">
        <v>3.20000000000006</v>
      </c>
      <c r="F467" s="23" t="b">
        <f>if(countif(Status!C:C,A467)=1,TRUE, FALSE)</f>
        <v>1</v>
      </c>
      <c r="G467" s="23" t="str">
        <f t="shared" si="8"/>
        <v>PLc</v>
      </c>
      <c r="H467" s="23" t="str">
        <f>IFERROR(__xludf.DUMMYFUNCTION("UPPER(filter(Legend!$D$2:$D$32,Legend!$B$2:$B$32=D467))"),"PL")</f>
        <v>PL</v>
      </c>
      <c r="I467" s="23" t="b">
        <f t="shared" si="3"/>
        <v>1</v>
      </c>
    </row>
    <row r="468">
      <c r="A468" s="23" t="str">
        <f t="shared" si="6"/>
        <v>PLc1191</v>
      </c>
      <c r="B468" s="23" t="str">
        <f>'3.2.raw'!K468</f>
        <v>PLc1191</v>
      </c>
      <c r="C468" s="24">
        <f>datevalue(left('3.2.raw'!M468,10))</f>
        <v>43872</v>
      </c>
      <c r="D468" s="23">
        <f>'3.2.raw'!H468</f>
        <v>11</v>
      </c>
      <c r="E468" s="1">
        <v>3.20000000000006</v>
      </c>
      <c r="F468" s="23" t="b">
        <f>if(countif(Status!C:C,A468)=1,TRUE, FALSE)</f>
        <v>1</v>
      </c>
      <c r="G468" s="23" t="str">
        <f t="shared" si="8"/>
        <v>PLc</v>
      </c>
      <c r="H468" s="23" t="str">
        <f>IFERROR(__xludf.DUMMYFUNCTION("UPPER(filter(Legend!$D$2:$D$32,Legend!$B$2:$B$32=D468))"),"PL")</f>
        <v>PL</v>
      </c>
      <c r="I468" s="23" t="b">
        <f t="shared" si="3"/>
        <v>1</v>
      </c>
    </row>
    <row r="469">
      <c r="A469" s="23" t="str">
        <f t="shared" si="6"/>
        <v>PLc1192</v>
      </c>
      <c r="B469" s="23" t="str">
        <f>'3.2.raw'!K469</f>
        <v>PLc1192</v>
      </c>
      <c r="C469" s="24">
        <f>datevalue(left('3.2.raw'!M469,10))</f>
        <v>43872</v>
      </c>
      <c r="D469" s="23">
        <f>'3.2.raw'!H469</f>
        <v>11</v>
      </c>
      <c r="E469" s="1">
        <v>3.20000000000006</v>
      </c>
      <c r="F469" s="23" t="b">
        <f>if(countif(Status!C:C,A469)=1,TRUE, FALSE)</f>
        <v>1</v>
      </c>
      <c r="G469" s="23" t="str">
        <f t="shared" si="8"/>
        <v>PLc</v>
      </c>
      <c r="H469" s="23" t="str">
        <f>IFERROR(__xludf.DUMMYFUNCTION("UPPER(filter(Legend!$D$2:$D$32,Legend!$B$2:$B$32=D469))"),"PL")</f>
        <v>PL</v>
      </c>
      <c r="I469" s="23" t="b">
        <f t="shared" si="3"/>
        <v>1</v>
      </c>
    </row>
    <row r="470">
      <c r="A470" s="23" t="str">
        <f t="shared" si="6"/>
        <v>PLc1193</v>
      </c>
      <c r="B470" s="23" t="str">
        <f>'3.2.raw'!K470</f>
        <v>PLc1193</v>
      </c>
      <c r="C470" s="24">
        <f>datevalue(left('3.2.raw'!M470,10))</f>
        <v>43872</v>
      </c>
      <c r="D470" s="23">
        <f>'3.2.raw'!H470</f>
        <v>11</v>
      </c>
      <c r="E470" s="1">
        <v>3.20000000000006</v>
      </c>
      <c r="F470" s="23" t="b">
        <f>if(countif(Status!C:C,A470)=1,TRUE, FALSE)</f>
        <v>1</v>
      </c>
      <c r="G470" s="23" t="str">
        <f t="shared" si="8"/>
        <v>PLc</v>
      </c>
      <c r="H470" s="23" t="str">
        <f>IFERROR(__xludf.DUMMYFUNCTION("UPPER(filter(Legend!$D$2:$D$32,Legend!$B$2:$B$32=D470))"),"PL")</f>
        <v>PL</v>
      </c>
      <c r="I470" s="23" t="b">
        <f t="shared" si="3"/>
        <v>1</v>
      </c>
    </row>
    <row r="471">
      <c r="A471" s="23" t="str">
        <f t="shared" si="6"/>
        <v>PLc1194</v>
      </c>
      <c r="B471" s="23" t="str">
        <f>'3.2.raw'!K471</f>
        <v>PLc1194</v>
      </c>
      <c r="C471" s="24">
        <f>datevalue(left('3.2.raw'!M471,10))</f>
        <v>43872</v>
      </c>
      <c r="D471" s="23">
        <f>'3.2.raw'!H471</f>
        <v>11</v>
      </c>
      <c r="E471" s="1">
        <v>3.20000000000006</v>
      </c>
      <c r="F471" s="23" t="b">
        <f>if(countif(Status!C:C,A471)=1,TRUE, FALSE)</f>
        <v>1</v>
      </c>
      <c r="G471" s="23" t="str">
        <f t="shared" si="8"/>
        <v>PLc</v>
      </c>
      <c r="H471" s="23" t="str">
        <f>IFERROR(__xludf.DUMMYFUNCTION("UPPER(filter(Legend!$D$2:$D$32,Legend!$B$2:$B$32=D471))"),"PL")</f>
        <v>PL</v>
      </c>
      <c r="I471" s="23" t="b">
        <f t="shared" si="3"/>
        <v>1</v>
      </c>
    </row>
    <row r="472">
      <c r="A472" s="23" t="str">
        <f t="shared" si="6"/>
        <v>PLc1195</v>
      </c>
      <c r="B472" s="23" t="str">
        <f>'3.2.raw'!K472</f>
        <v>PLc1195</v>
      </c>
      <c r="C472" s="24">
        <f>datevalue(left('3.2.raw'!M472,10))</f>
        <v>43872</v>
      </c>
      <c r="D472" s="23">
        <f>'3.2.raw'!H472</f>
        <v>11</v>
      </c>
      <c r="E472" s="1">
        <v>3.20000000000006</v>
      </c>
      <c r="F472" s="23" t="b">
        <f>if(countif(Status!C:C,A472)=1,TRUE, FALSE)</f>
        <v>1</v>
      </c>
      <c r="G472" s="23" t="str">
        <f t="shared" si="8"/>
        <v>PLc</v>
      </c>
      <c r="H472" s="23" t="str">
        <f>IFERROR(__xludf.DUMMYFUNCTION("UPPER(filter(Legend!$D$2:$D$32,Legend!$B$2:$B$32=D472))"),"PL")</f>
        <v>PL</v>
      </c>
      <c r="I472" s="23" t="b">
        <f t="shared" si="3"/>
        <v>1</v>
      </c>
    </row>
    <row r="473">
      <c r="A473" s="23" t="str">
        <f t="shared" si="6"/>
        <v>UF1021</v>
      </c>
      <c r="B473" s="23" t="str">
        <f>'3.2.raw'!K473</f>
        <v>UF1021</v>
      </c>
      <c r="C473" s="24">
        <f>datevalue(left('3.2.raw'!M473,10))</f>
        <v>43872</v>
      </c>
      <c r="D473" s="23">
        <f>'3.2.raw'!H473</f>
        <v>16</v>
      </c>
      <c r="E473" s="1">
        <v>3.20000000000006</v>
      </c>
      <c r="F473" s="23" t="b">
        <f>if(countif(Status!C:C,A473)=1,TRUE, FALSE)</f>
        <v>1</v>
      </c>
      <c r="G473" s="23" t="str">
        <f t="shared" si="8"/>
        <v>UF</v>
      </c>
      <c r="H473" s="23" t="str">
        <f>IFERROR(__xludf.DUMMYFUNCTION("UPPER(filter(Legend!$D$2:$D$32,Legend!$B$2:$B$32=D473))"),"UF")</f>
        <v>UF</v>
      </c>
      <c r="I473" s="23" t="b">
        <f t="shared" si="3"/>
        <v>1</v>
      </c>
    </row>
    <row r="474">
      <c r="A474" s="23" t="str">
        <f t="shared" si="6"/>
        <v>RP2002A</v>
      </c>
      <c r="B474" s="23" t="str">
        <f>'3.2.raw'!K474</f>
        <v>RP2002A</v>
      </c>
      <c r="C474" s="24">
        <f>datevalue(left('3.2.raw'!M474,10))</f>
        <v>43872</v>
      </c>
      <c r="D474" s="23">
        <f>'3.2.raw'!H474</f>
        <v>2</v>
      </c>
      <c r="E474" s="1">
        <v>3.20000000000006</v>
      </c>
      <c r="F474" s="23" t="b">
        <f>if(countif(Status!C:C,A474)=1,TRUE, FALSE)</f>
        <v>0</v>
      </c>
      <c r="G474" s="23" t="str">
        <f t="shared" si="8"/>
        <v>RP2</v>
      </c>
      <c r="H474" s="23" t="str">
        <f>IFERROR(__xludf.DUMMYFUNCTION("UPPER(filter(Legend!$D$2:$D$32,Legend!$B$2:$B$32=D474))"),"RP")</f>
        <v>RP</v>
      </c>
      <c r="I474" s="23" t="b">
        <f t="shared" si="3"/>
        <v>1</v>
      </c>
    </row>
    <row r="475">
      <c r="A475" s="23" t="str">
        <f t="shared" si="6"/>
        <v>RP2002B</v>
      </c>
      <c r="B475" s="23" t="str">
        <f>'3.2.raw'!K475</f>
        <v>RP2002B</v>
      </c>
      <c r="C475" s="24">
        <f>datevalue(left('3.2.raw'!M475,10))</f>
        <v>43872</v>
      </c>
      <c r="D475" s="23">
        <f>'3.2.raw'!H475</f>
        <v>2</v>
      </c>
      <c r="E475" s="1">
        <v>3.20000000000006</v>
      </c>
      <c r="F475" s="23" t="b">
        <f>if(countif(Status!C:C,A475)=1,TRUE, FALSE)</f>
        <v>0</v>
      </c>
      <c r="G475" s="23" t="str">
        <f t="shared" si="8"/>
        <v>RP2</v>
      </c>
      <c r="H475" s="23" t="str">
        <f>IFERROR(__xludf.DUMMYFUNCTION("UPPER(filter(Legend!$D$2:$D$32,Legend!$B$2:$B$32=D475))"),"RP")</f>
        <v>RP</v>
      </c>
      <c r="I475" s="23" t="b">
        <f t="shared" si="3"/>
        <v>1</v>
      </c>
    </row>
    <row r="476">
      <c r="A476" s="23" t="str">
        <f t="shared" si="6"/>
        <v>SL1001</v>
      </c>
      <c r="B476" s="23" t="str">
        <f>'3.2.raw'!K476</f>
        <v>SL1001</v>
      </c>
      <c r="C476" s="24">
        <f>datevalue(left('3.2.raw'!M476,10))</f>
        <v>43872</v>
      </c>
      <c r="D476" s="23">
        <f>'3.2.raw'!H476</f>
        <v>97</v>
      </c>
      <c r="E476" s="1">
        <v>3.20000000000006</v>
      </c>
      <c r="F476" s="23" t="b">
        <f>if(countif(Status!C:C,A476)=1,TRUE, FALSE)</f>
        <v>1</v>
      </c>
      <c r="G476" s="23" t="str">
        <f t="shared" si="8"/>
        <v>SL</v>
      </c>
      <c r="H476" s="23" t="str">
        <f>IFERROR(__xludf.DUMMYFUNCTION("UPPER(filter(Legend!$D$2:$D$32,Legend!$B$2:$B$32=D476))"),"")</f>
        <v/>
      </c>
      <c r="I476" s="23" t="b">
        <f t="shared" si="3"/>
        <v>0</v>
      </c>
    </row>
    <row r="477">
      <c r="A477" s="23" t="str">
        <f t="shared" si="6"/>
        <v>B124-21</v>
      </c>
      <c r="B477" s="23" t="str">
        <f>'3.2.raw'!K477</f>
        <v>B124-21</v>
      </c>
      <c r="C477" s="24">
        <f>datevalue(left('3.2.raw'!M477,10))</f>
        <v>43872</v>
      </c>
      <c r="D477" s="23">
        <f>'3.2.raw'!H477</f>
        <v>97</v>
      </c>
      <c r="E477" s="1">
        <v>3.20000000000006</v>
      </c>
      <c r="F477" s="23" t="b">
        <f>if(countif(Status!C:C,A477)=1,TRUE, FALSE)</f>
        <v>0</v>
      </c>
      <c r="G477" s="23" t="str">
        <f t="shared" si="8"/>
        <v>B12</v>
      </c>
      <c r="H477" s="23" t="str">
        <f>IFERROR(__xludf.DUMMYFUNCTION("UPPER(filter(Legend!$D$2:$D$32,Legend!$B$2:$B$32=D477))"),"")</f>
        <v/>
      </c>
      <c r="I477" s="23" t="b">
        <f t="shared" si="3"/>
        <v>0</v>
      </c>
    </row>
    <row r="478">
      <c r="A478" s="23" t="str">
        <f t="shared" si="6"/>
        <v>UF1022</v>
      </c>
      <c r="B478" s="23" t="str">
        <f>'3.2.raw'!K478</f>
        <v>UF1022</v>
      </c>
      <c r="C478" s="24">
        <f>datevalue(left('3.2.raw'!M478,10))</f>
        <v>43873</v>
      </c>
      <c r="D478" s="23">
        <f>'3.2.raw'!H478</f>
        <v>16</v>
      </c>
      <c r="E478" s="1">
        <v>3.20000000000006</v>
      </c>
      <c r="F478" s="23" t="b">
        <f>if(countif(Status!C:C,A478)=1,TRUE, FALSE)</f>
        <v>1</v>
      </c>
      <c r="G478" s="23" t="str">
        <f t="shared" si="8"/>
        <v>UF</v>
      </c>
      <c r="H478" s="23" t="str">
        <f>IFERROR(__xludf.DUMMYFUNCTION("UPPER(filter(Legend!$D$2:$D$32,Legend!$B$2:$B$32=D478))"),"UF")</f>
        <v>UF</v>
      </c>
      <c r="I478" s="23" t="b">
        <f t="shared" si="3"/>
        <v>1</v>
      </c>
    </row>
    <row r="479">
      <c r="A479" s="23" t="str">
        <f t="shared" si="6"/>
        <v>PL1024</v>
      </c>
      <c r="B479" s="23" t="str">
        <f>'3.2.raw'!K479</f>
        <v>PL1024</v>
      </c>
      <c r="C479" s="24">
        <f>datevalue(left('3.2.raw'!M479,10))</f>
        <v>43873</v>
      </c>
      <c r="D479" s="23">
        <f>'3.2.raw'!H479</f>
        <v>7</v>
      </c>
      <c r="E479" s="1">
        <v>3.20000000000006</v>
      </c>
      <c r="F479" s="23" t="b">
        <f>if(countif(Status!C:C,A479)=1,TRUE, FALSE)</f>
        <v>1</v>
      </c>
      <c r="G479" s="23" t="str">
        <f t="shared" si="8"/>
        <v>PL</v>
      </c>
      <c r="H479" s="23" t="str">
        <f>IFERROR(__xludf.DUMMYFUNCTION("UPPER(filter(Legend!$D$2:$D$32,Legend!$B$2:$B$32=D479))"),"LS")</f>
        <v>LS</v>
      </c>
      <c r="I479" s="23" t="b">
        <f t="shared" si="3"/>
        <v>0</v>
      </c>
    </row>
    <row r="480">
      <c r="A480" s="23" t="str">
        <f t="shared" si="6"/>
        <v>PL1025</v>
      </c>
      <c r="B480" s="23" t="str">
        <f>'3.2.raw'!K480</f>
        <v>PL1025</v>
      </c>
      <c r="C480" s="24">
        <f>datevalue(left('3.2.raw'!M480,10))</f>
        <v>43873</v>
      </c>
      <c r="D480" s="23">
        <f>'3.2.raw'!H480</f>
        <v>7</v>
      </c>
      <c r="E480" s="1">
        <v>3.20000000000006</v>
      </c>
      <c r="F480" s="23" t="b">
        <f>if(countif(Status!C:C,A480)=1,TRUE, FALSE)</f>
        <v>1</v>
      </c>
      <c r="G480" s="23" t="str">
        <f t="shared" si="8"/>
        <v>PL</v>
      </c>
      <c r="H480" s="23" t="str">
        <f>IFERROR(__xludf.DUMMYFUNCTION("UPPER(filter(Legend!$D$2:$D$32,Legend!$B$2:$B$32=D480))"),"LS")</f>
        <v>LS</v>
      </c>
      <c r="I480" s="23" t="b">
        <f t="shared" si="3"/>
        <v>0</v>
      </c>
    </row>
    <row r="481">
      <c r="A481" s="23" t="str">
        <f t="shared" si="6"/>
        <v>PLc1196</v>
      </c>
      <c r="B481" s="23" t="str">
        <f>'3.2.raw'!K481</f>
        <v>PLc1196</v>
      </c>
      <c r="C481" s="24">
        <f>datevalue(left('3.2.raw'!M481,10))</f>
        <v>43874</v>
      </c>
      <c r="D481" s="23">
        <f>'3.2.raw'!H481</f>
        <v>11</v>
      </c>
      <c r="E481" s="1">
        <v>3.20000000000006</v>
      </c>
      <c r="F481" s="23" t="b">
        <f>if(countif(Status!C:C,A481)=1,TRUE, FALSE)</f>
        <v>1</v>
      </c>
      <c r="G481" s="23" t="str">
        <f t="shared" si="8"/>
        <v>PLc</v>
      </c>
      <c r="H481" s="23" t="str">
        <f>IFERROR(__xludf.DUMMYFUNCTION("UPPER(filter(Legend!$D$2:$D$32,Legend!$B$2:$B$32=D481))"),"PL")</f>
        <v>PL</v>
      </c>
      <c r="I481" s="23" t="b">
        <f t="shared" si="3"/>
        <v>1</v>
      </c>
    </row>
    <row r="482">
      <c r="A482" s="23" t="str">
        <f t="shared" si="6"/>
        <v>PLc1197</v>
      </c>
      <c r="B482" s="23" t="str">
        <f>'3.2.raw'!K482</f>
        <v>PLc1197</v>
      </c>
      <c r="C482" s="24">
        <f>datevalue(left('3.2.raw'!M482,10))</f>
        <v>43874</v>
      </c>
      <c r="D482" s="23">
        <f>'3.2.raw'!H482</f>
        <v>11</v>
      </c>
      <c r="E482" s="1">
        <v>3.20000000000006</v>
      </c>
      <c r="F482" s="23" t="b">
        <f>if(countif(Status!C:C,A482)=1,TRUE, FALSE)</f>
        <v>1</v>
      </c>
      <c r="G482" s="23" t="str">
        <f t="shared" si="8"/>
        <v>PLc</v>
      </c>
      <c r="H482" s="23" t="str">
        <f>IFERROR(__xludf.DUMMYFUNCTION("UPPER(filter(Legend!$D$2:$D$32,Legend!$B$2:$B$32=D482))"),"PL")</f>
        <v>PL</v>
      </c>
      <c r="I482" s="23" t="b">
        <f t="shared" si="3"/>
        <v>1</v>
      </c>
    </row>
    <row r="483">
      <c r="A483" s="23" t="str">
        <f t="shared" si="6"/>
        <v>PLc1198</v>
      </c>
      <c r="B483" s="23" t="str">
        <f>'3.2.raw'!K483</f>
        <v>PLc1198</v>
      </c>
      <c r="C483" s="24">
        <f>datevalue(left('3.2.raw'!M483,10))</f>
        <v>43874</v>
      </c>
      <c r="D483" s="23">
        <f>'3.2.raw'!H483</f>
        <v>11</v>
      </c>
      <c r="E483" s="1">
        <v>3.20000000000006</v>
      </c>
      <c r="F483" s="23" t="b">
        <f>if(countif(Status!C:C,A483)=1,TRUE, FALSE)</f>
        <v>1</v>
      </c>
      <c r="G483" s="23" t="str">
        <f t="shared" si="8"/>
        <v>PLc</v>
      </c>
      <c r="H483" s="23" t="str">
        <f>IFERROR(__xludf.DUMMYFUNCTION("UPPER(filter(Legend!$D$2:$D$32,Legend!$B$2:$B$32=D483))"),"PL")</f>
        <v>PL</v>
      </c>
      <c r="I483" s="23" t="b">
        <f t="shared" si="3"/>
        <v>1</v>
      </c>
    </row>
    <row r="484">
      <c r="A484" s="23" t="str">
        <f t="shared" si="6"/>
        <v>FPd2002</v>
      </c>
      <c r="B484" s="23" t="str">
        <f>'3.2.raw'!K484</f>
        <v>FPd2002</v>
      </c>
      <c r="C484" s="24">
        <f>datevalue(left('3.2.raw'!M484,10))</f>
        <v>43874</v>
      </c>
      <c r="D484" s="23">
        <f>'3.2.raw'!H484</f>
        <v>14</v>
      </c>
      <c r="E484" s="1">
        <v>3.20000000000006</v>
      </c>
      <c r="F484" s="23" t="b">
        <f>if(countif(Status!C:C,A484)=1,TRUE, FALSE)</f>
        <v>1</v>
      </c>
      <c r="G484" s="23" t="str">
        <f t="shared" si="8"/>
        <v>FPd</v>
      </c>
      <c r="H484" s="23" t="str">
        <f>IFERROR(__xludf.DUMMYFUNCTION("UPPER(filter(Legend!$D$2:$D$32,Legend!$B$2:$B$32=D484))"),"FP")</f>
        <v>FP</v>
      </c>
      <c r="I484" s="23" t="b">
        <f t="shared" si="3"/>
        <v>1</v>
      </c>
    </row>
    <row r="485">
      <c r="A485" s="23" t="str">
        <f t="shared" si="6"/>
        <v>FPb2002</v>
      </c>
      <c r="B485" s="23" t="str">
        <f>'3.2.raw'!K485</f>
        <v>FPb2002</v>
      </c>
      <c r="C485" s="24">
        <f>datevalue(left('3.2.raw'!M485,10))</f>
        <v>43874</v>
      </c>
      <c r="D485" s="23">
        <f>'3.2.raw'!H485</f>
        <v>14</v>
      </c>
      <c r="E485" s="1">
        <v>3.20000000000006</v>
      </c>
      <c r="F485" s="23" t="b">
        <f>if(countif(Status!C:C,A485)=1,TRUE, FALSE)</f>
        <v>1</v>
      </c>
      <c r="G485" s="23" t="str">
        <f t="shared" si="8"/>
        <v>FPb</v>
      </c>
      <c r="H485" s="23" t="str">
        <f>IFERROR(__xludf.DUMMYFUNCTION("UPPER(filter(Legend!$D$2:$D$32,Legend!$B$2:$B$32=D485))"),"FP")</f>
        <v>FP</v>
      </c>
      <c r="I485" s="23" t="b">
        <f t="shared" si="3"/>
        <v>1</v>
      </c>
    </row>
    <row r="486">
      <c r="A486" s="23" t="str">
        <f t="shared" si="6"/>
        <v>FPe2002</v>
      </c>
      <c r="B486" s="23" t="str">
        <f>'3.2.raw'!K486</f>
        <v>FPe2002</v>
      </c>
      <c r="C486" s="24">
        <f>datevalue(left('3.2.raw'!M486,10))</f>
        <v>43874</v>
      </c>
      <c r="D486" s="23">
        <f>'3.2.raw'!H486</f>
        <v>14</v>
      </c>
      <c r="E486" s="1">
        <v>3.20000000000006</v>
      </c>
      <c r="F486" s="23" t="b">
        <f>if(countif(Status!C:C,A486)=1,TRUE, FALSE)</f>
        <v>1</v>
      </c>
      <c r="G486" s="23" t="str">
        <f t="shared" si="8"/>
        <v>FPe</v>
      </c>
      <c r="H486" s="23" t="str">
        <f>IFERROR(__xludf.DUMMYFUNCTION("UPPER(filter(Legend!$D$2:$D$32,Legend!$B$2:$B$32=D486))"),"FP")</f>
        <v>FP</v>
      </c>
      <c r="I486" s="23" t="b">
        <f t="shared" si="3"/>
        <v>1</v>
      </c>
    </row>
    <row r="487">
      <c r="A487" s="23" t="str">
        <f t="shared" si="6"/>
        <v>FPd2003</v>
      </c>
      <c r="B487" s="23" t="str">
        <f>'3.2.raw'!K487</f>
        <v>FPd2003</v>
      </c>
      <c r="C487" s="24">
        <f>datevalue(left('3.2.raw'!M487,10))</f>
        <v>43874</v>
      </c>
      <c r="D487" s="23">
        <f>'3.2.raw'!H487</f>
        <v>14</v>
      </c>
      <c r="E487" s="1">
        <v>3.20000000000006</v>
      </c>
      <c r="F487" s="23" t="b">
        <f>if(countif(Status!C:C,A487)=1,TRUE, FALSE)</f>
        <v>1</v>
      </c>
      <c r="G487" s="23" t="str">
        <f t="shared" si="8"/>
        <v>FPd</v>
      </c>
      <c r="H487" s="23" t="str">
        <f>IFERROR(__xludf.DUMMYFUNCTION("UPPER(filter(Legend!$D$2:$D$32,Legend!$B$2:$B$32=D487))"),"FP")</f>
        <v>FP</v>
      </c>
      <c r="I487" s="23" t="b">
        <f t="shared" si="3"/>
        <v>1</v>
      </c>
    </row>
    <row r="488">
      <c r="A488" s="23" t="str">
        <f t="shared" si="6"/>
        <v>FPb2003</v>
      </c>
      <c r="B488" s="23" t="str">
        <f>'3.2.raw'!K488</f>
        <v>FPb2003</v>
      </c>
      <c r="C488" s="24">
        <f>datevalue(left('3.2.raw'!M488,10))</f>
        <v>43874</v>
      </c>
      <c r="D488" s="23">
        <f>'3.2.raw'!H488</f>
        <v>14</v>
      </c>
      <c r="E488" s="1">
        <v>3.20000000000006</v>
      </c>
      <c r="F488" s="23" t="b">
        <f>if(countif(Status!C:C,A488)=1,TRUE, FALSE)</f>
        <v>1</v>
      </c>
      <c r="G488" s="23" t="str">
        <f t="shared" si="8"/>
        <v>FPb</v>
      </c>
      <c r="H488" s="23" t="str">
        <f>IFERROR(__xludf.DUMMYFUNCTION("UPPER(filter(Legend!$D$2:$D$32,Legend!$B$2:$B$32=D488))"),"FP")</f>
        <v>FP</v>
      </c>
      <c r="I488" s="23" t="b">
        <f t="shared" si="3"/>
        <v>1</v>
      </c>
    </row>
    <row r="489">
      <c r="A489" s="23" t="str">
        <f t="shared" si="6"/>
        <v>FPe2003</v>
      </c>
      <c r="B489" s="23" t="str">
        <f>'3.2.raw'!K489</f>
        <v>FPe2003</v>
      </c>
      <c r="C489" s="24">
        <f>datevalue(left('3.2.raw'!M489,10))</f>
        <v>43874</v>
      </c>
      <c r="D489" s="23">
        <f>'3.2.raw'!H489</f>
        <v>14</v>
      </c>
      <c r="E489" s="1">
        <v>3.20000000000006</v>
      </c>
      <c r="F489" s="23" t="b">
        <f>if(countif(Status!C:C,A489)=1,TRUE, FALSE)</f>
        <v>1</v>
      </c>
      <c r="G489" s="23" t="str">
        <f t="shared" si="8"/>
        <v>FPe</v>
      </c>
      <c r="H489" s="23" t="str">
        <f>IFERROR(__xludf.DUMMYFUNCTION("UPPER(filter(Legend!$D$2:$D$32,Legend!$B$2:$B$32=D489))"),"FP")</f>
        <v>FP</v>
      </c>
      <c r="I489" s="23" t="b">
        <f t="shared" si="3"/>
        <v>1</v>
      </c>
    </row>
    <row r="490">
      <c r="A490" s="23" t="str">
        <f t="shared" si="6"/>
        <v>B124-21</v>
      </c>
      <c r="B490" s="23" t="str">
        <f>'3.2.raw'!K490</f>
        <v>B124-21</v>
      </c>
      <c r="C490" s="24">
        <f>datevalue(left('3.2.raw'!M490,10))</f>
        <v>43874</v>
      </c>
      <c r="D490" s="23">
        <f>'3.2.raw'!H490</f>
        <v>97</v>
      </c>
      <c r="E490" s="1">
        <v>3.20000000000006</v>
      </c>
      <c r="F490" s="23" t="b">
        <f>if(countif(Status!C:C,A490)=1,TRUE, FALSE)</f>
        <v>0</v>
      </c>
      <c r="G490" s="23" t="str">
        <f t="shared" si="8"/>
        <v>B12</v>
      </c>
      <c r="H490" s="23" t="str">
        <f>IFERROR(__xludf.DUMMYFUNCTION("UPPER(filter(Legend!$D$2:$D$32,Legend!$B$2:$B$32=D490))"),"")</f>
        <v/>
      </c>
      <c r="I490" s="23" t="b">
        <f t="shared" si="3"/>
        <v>0</v>
      </c>
    </row>
    <row r="491">
      <c r="A491" s="23" t="str">
        <f t="shared" si="6"/>
        <v>SL1001</v>
      </c>
      <c r="B491" s="23" t="str">
        <f>'3.2.raw'!K491</f>
        <v>SL1001</v>
      </c>
      <c r="C491" s="24">
        <f>datevalue(left('3.2.raw'!M491,10))</f>
        <v>43874</v>
      </c>
      <c r="D491" s="23">
        <f>'3.2.raw'!H491</f>
        <v>97</v>
      </c>
      <c r="E491" s="1">
        <v>3.20000000000006</v>
      </c>
      <c r="F491" s="23" t="b">
        <f>if(countif(Status!C:C,A491)=1,TRUE, FALSE)</f>
        <v>1</v>
      </c>
      <c r="G491" s="23" t="str">
        <f t="shared" si="8"/>
        <v>SL</v>
      </c>
      <c r="H491" s="23" t="str">
        <f>IFERROR(__xludf.DUMMYFUNCTION("UPPER(filter(Legend!$D$2:$D$32,Legend!$B$2:$B$32=D491))"),"")</f>
        <v/>
      </c>
      <c r="I491" s="23" t="b">
        <f t="shared" si="3"/>
        <v>0</v>
      </c>
    </row>
    <row r="492">
      <c r="A492" s="23" t="str">
        <f t="shared" si="6"/>
        <v>B124-21</v>
      </c>
      <c r="B492" s="23" t="str">
        <f>'3.2.raw'!K492</f>
        <v>B124-21</v>
      </c>
      <c r="C492" s="24">
        <f>datevalue(left('3.2.raw'!M492,10))</f>
        <v>43875</v>
      </c>
      <c r="D492" s="23">
        <f>'3.2.raw'!H492</f>
        <v>97</v>
      </c>
      <c r="E492" s="1">
        <v>3.20000000000006</v>
      </c>
      <c r="F492" s="23" t="b">
        <f>if(countif(Status!C:C,A492)=1,TRUE, FALSE)</f>
        <v>0</v>
      </c>
      <c r="G492" s="23" t="str">
        <f t="shared" si="8"/>
        <v>B12</v>
      </c>
      <c r="H492" s="23" t="str">
        <f>IFERROR(__xludf.DUMMYFUNCTION("UPPER(filter(Legend!$D$2:$D$32,Legend!$B$2:$B$32=D492))"),"")</f>
        <v/>
      </c>
      <c r="I492" s="23" t="b">
        <f t="shared" si="3"/>
        <v>0</v>
      </c>
    </row>
    <row r="493">
      <c r="A493" s="23" t="str">
        <f t="shared" si="6"/>
        <v>SL1001</v>
      </c>
      <c r="B493" s="23" t="str">
        <f>'3.2.raw'!K493</f>
        <v>SL1001</v>
      </c>
      <c r="C493" s="24">
        <f>datevalue(left('3.2.raw'!M493,10))</f>
        <v>43875</v>
      </c>
      <c r="D493" s="23">
        <f>'3.2.raw'!H493</f>
        <v>97</v>
      </c>
      <c r="E493" s="1">
        <v>3.20000000000006</v>
      </c>
      <c r="F493" s="23" t="b">
        <f>if(countif(Status!C:C,A493)=1,TRUE, FALSE)</f>
        <v>1</v>
      </c>
      <c r="G493" s="23" t="str">
        <f t="shared" si="8"/>
        <v>SL</v>
      </c>
      <c r="H493" s="23" t="str">
        <f>IFERROR(__xludf.DUMMYFUNCTION("UPPER(filter(Legend!$D$2:$D$32,Legend!$B$2:$B$32=D493))"),"")</f>
        <v/>
      </c>
      <c r="I493" s="23" t="b">
        <f t="shared" si="3"/>
        <v>0</v>
      </c>
    </row>
    <row r="494">
      <c r="A494" s="23" t="str">
        <f t="shared" si="6"/>
        <v>COa2003</v>
      </c>
      <c r="B494" s="23" t="str">
        <f>'3.2.raw'!K494</f>
        <v>COa2003</v>
      </c>
      <c r="C494" s="24">
        <f>datevalue(left('3.2.raw'!M494,10))</f>
        <v>43868</v>
      </c>
      <c r="D494" s="23">
        <f>'3.2.raw'!H494</f>
        <v>15</v>
      </c>
      <c r="E494" s="1">
        <v>3.20000000000006</v>
      </c>
      <c r="F494" s="23" t="b">
        <f>if(countif(Status!C:C,A494)=1,TRUE, FALSE)</f>
        <v>1</v>
      </c>
      <c r="G494" s="23" t="str">
        <f t="shared" si="8"/>
        <v>COa</v>
      </c>
      <c r="H494" s="23" t="str">
        <f>IFERROR(__xludf.DUMMYFUNCTION("UPPER(filter(Legend!$D$2:$D$32,Legend!$B$2:$B$32=D494))"),"CO")</f>
        <v>CO</v>
      </c>
      <c r="I494" s="23" t="b">
        <f t="shared" si="3"/>
        <v>1</v>
      </c>
    </row>
    <row r="495">
      <c r="A495" s="23" t="str">
        <f t="shared" si="6"/>
        <v>COb2007</v>
      </c>
      <c r="B495" s="23" t="str">
        <f>'3.2.raw'!K495</f>
        <v>COb2007</v>
      </c>
      <c r="C495" s="24">
        <f>datevalue(left('3.2.raw'!M495,10))</f>
        <v>43868</v>
      </c>
      <c r="D495" s="23">
        <f>'3.2.raw'!H495</f>
        <v>15</v>
      </c>
      <c r="E495" s="1">
        <v>3.20000000000006</v>
      </c>
      <c r="F495" s="23" t="b">
        <f>if(countif(Status!C:C,A495)=1,TRUE, FALSE)</f>
        <v>1</v>
      </c>
      <c r="G495" s="23" t="str">
        <f t="shared" si="8"/>
        <v>COb</v>
      </c>
      <c r="H495" s="23" t="str">
        <f>IFERROR(__xludf.DUMMYFUNCTION("UPPER(filter(Legend!$D$2:$D$32,Legend!$B$2:$B$32=D495))"),"CO")</f>
        <v>CO</v>
      </c>
      <c r="I495" s="23" t="b">
        <f t="shared" si="3"/>
        <v>1</v>
      </c>
    </row>
    <row r="496">
      <c r="A496" s="23" t="str">
        <f t="shared" si="6"/>
        <v>COb2008</v>
      </c>
      <c r="B496" s="23" t="str">
        <f>'3.2.raw'!K496</f>
        <v>COb2008</v>
      </c>
      <c r="C496" s="24">
        <f>datevalue(left('3.2.raw'!M496,10))</f>
        <v>43868</v>
      </c>
      <c r="D496" s="23">
        <f>'3.2.raw'!H496</f>
        <v>15</v>
      </c>
      <c r="E496" s="1">
        <v>3.20000000000006</v>
      </c>
      <c r="F496" s="23" t="b">
        <f>if(countif(Status!C:C,A496)=1,TRUE, FALSE)</f>
        <v>1</v>
      </c>
      <c r="G496" s="23" t="str">
        <f t="shared" si="8"/>
        <v>COb</v>
      </c>
      <c r="H496" s="23" t="str">
        <f>IFERROR(__xludf.DUMMYFUNCTION("UPPER(filter(Legend!$D$2:$D$32,Legend!$B$2:$B$32=D496))"),"CO")</f>
        <v>CO</v>
      </c>
      <c r="I496" s="23" t="b">
        <f t="shared" si="3"/>
        <v>1</v>
      </c>
    </row>
    <row r="497">
      <c r="A497" s="23" t="str">
        <f t="shared" si="6"/>
        <v>COb2009</v>
      </c>
      <c r="B497" s="23" t="str">
        <f>'3.2.raw'!K497</f>
        <v>COb2009</v>
      </c>
      <c r="C497" s="24">
        <f>datevalue(left('3.2.raw'!M497,10))</f>
        <v>43868</v>
      </c>
      <c r="D497" s="23">
        <f>'3.2.raw'!H497</f>
        <v>15</v>
      </c>
      <c r="E497" s="1">
        <v>3.20000000000006</v>
      </c>
      <c r="F497" s="23" t="b">
        <f>if(countif(Status!C:C,A497)=1,TRUE, FALSE)</f>
        <v>1</v>
      </c>
      <c r="G497" s="23" t="str">
        <f t="shared" si="8"/>
        <v>COb</v>
      </c>
      <c r="H497" s="23" t="str">
        <f>IFERROR(__xludf.DUMMYFUNCTION("UPPER(filter(Legend!$D$2:$D$32,Legend!$B$2:$B$32=D497))"),"CO")</f>
        <v>CO</v>
      </c>
      <c r="I497" s="23" t="b">
        <f t="shared" si="3"/>
        <v>1</v>
      </c>
    </row>
    <row r="498">
      <c r="A498" s="23" t="str">
        <f t="shared" si="6"/>
        <v>COa2004</v>
      </c>
      <c r="B498" s="23" t="str">
        <f>'3.2.raw'!K498</f>
        <v>COa2004</v>
      </c>
      <c r="C498" s="24">
        <f>datevalue(left('3.2.raw'!M498,10))</f>
        <v>43868</v>
      </c>
      <c r="D498" s="23">
        <f>'3.2.raw'!H498</f>
        <v>15</v>
      </c>
      <c r="E498" s="1">
        <v>3.20000000000006</v>
      </c>
      <c r="F498" s="23" t="b">
        <f>if(countif(Status!C:C,A498)=1,TRUE, FALSE)</f>
        <v>1</v>
      </c>
      <c r="G498" s="23" t="str">
        <f t="shared" si="8"/>
        <v>COa</v>
      </c>
      <c r="H498" s="23" t="str">
        <f>IFERROR(__xludf.DUMMYFUNCTION("UPPER(filter(Legend!$D$2:$D$32,Legend!$B$2:$B$32=D498))"),"CO")</f>
        <v>CO</v>
      </c>
      <c r="I498" s="23" t="b">
        <f t="shared" si="3"/>
        <v>1</v>
      </c>
    </row>
    <row r="499">
      <c r="A499" s="23" t="str">
        <f t="shared" si="6"/>
        <v>COb2010</v>
      </c>
      <c r="B499" s="23" t="str">
        <f>'3.2.raw'!K499</f>
        <v>COb2010</v>
      </c>
      <c r="C499" s="24">
        <f>datevalue(left('3.2.raw'!M499,10))</f>
        <v>43868</v>
      </c>
      <c r="D499" s="23">
        <f>'3.2.raw'!H499</f>
        <v>15</v>
      </c>
      <c r="E499" s="1">
        <v>3.20000000000006</v>
      </c>
      <c r="F499" s="23" t="b">
        <f>if(countif(Status!C:C,A499)=1,TRUE, FALSE)</f>
        <v>1</v>
      </c>
      <c r="G499" s="23" t="str">
        <f t="shared" si="8"/>
        <v>COb</v>
      </c>
      <c r="H499" s="23" t="str">
        <f>IFERROR(__xludf.DUMMYFUNCTION("UPPER(filter(Legend!$D$2:$D$32,Legend!$B$2:$B$32=D499))"),"CO")</f>
        <v>CO</v>
      </c>
      <c r="I499" s="23" t="b">
        <f t="shared" si="3"/>
        <v>1</v>
      </c>
    </row>
    <row r="500">
      <c r="A500" s="23" t="str">
        <f t="shared" si="6"/>
        <v>COb2011</v>
      </c>
      <c r="B500" s="23" t="str">
        <f>'3.2.raw'!K500</f>
        <v>COb2011</v>
      </c>
      <c r="C500" s="24">
        <f>datevalue(left('3.2.raw'!M500,10))</f>
        <v>43868</v>
      </c>
      <c r="D500" s="23">
        <f>'3.2.raw'!H500</f>
        <v>15</v>
      </c>
      <c r="E500" s="1">
        <v>3.20000000000006</v>
      </c>
      <c r="F500" s="23" t="b">
        <f>if(countif(Status!C:C,A500)=1,TRUE, FALSE)</f>
        <v>1</v>
      </c>
      <c r="G500" s="23" t="str">
        <f t="shared" si="8"/>
        <v>COb</v>
      </c>
      <c r="H500" s="23" t="str">
        <f>IFERROR(__xludf.DUMMYFUNCTION("UPPER(filter(Legend!$D$2:$D$32,Legend!$B$2:$B$32=D500))"),"CO")</f>
        <v>CO</v>
      </c>
      <c r="I500" s="23" t="b">
        <f t="shared" si="3"/>
        <v>1</v>
      </c>
    </row>
    <row r="501">
      <c r="A501" s="23" t="str">
        <f t="shared" si="6"/>
        <v>COb2012</v>
      </c>
      <c r="B501" s="23" t="str">
        <f>'3.2.raw'!K501</f>
        <v>COb2012</v>
      </c>
      <c r="C501" s="24">
        <f>datevalue(left('3.2.raw'!M501,10))</f>
        <v>43868</v>
      </c>
      <c r="D501" s="23">
        <f>'3.2.raw'!H501</f>
        <v>15</v>
      </c>
      <c r="E501" s="1">
        <v>3.20000000000006</v>
      </c>
      <c r="F501" s="23" t="b">
        <f>if(countif(Status!C:C,A501)=1,TRUE, FALSE)</f>
        <v>1</v>
      </c>
      <c r="G501" s="23" t="str">
        <f t="shared" si="8"/>
        <v>COb</v>
      </c>
      <c r="H501" s="23" t="str">
        <f>IFERROR(__xludf.DUMMYFUNCTION("UPPER(filter(Legend!$D$2:$D$32,Legend!$B$2:$B$32=D501))"),"CO")</f>
        <v>CO</v>
      </c>
      <c r="I501" s="23" t="b">
        <f t="shared" si="3"/>
        <v>1</v>
      </c>
    </row>
    <row r="502">
      <c r="A502" s="23" t="str">
        <f t="shared" si="6"/>
        <v>LS2001</v>
      </c>
      <c r="B502" s="23" t="str">
        <f>'3.2.raw'!K502</f>
        <v>LS2001</v>
      </c>
      <c r="C502" s="24">
        <f>datevalue(left('3.2.raw'!M502,10))</f>
        <v>43868</v>
      </c>
      <c r="D502" s="23">
        <f>'3.2.raw'!H502</f>
        <v>7</v>
      </c>
      <c r="E502" s="1">
        <v>3.20000000000006</v>
      </c>
      <c r="F502" s="23" t="b">
        <f>if(countif(Status!C:C,A502)=1,TRUE, FALSE)</f>
        <v>1</v>
      </c>
      <c r="G502" s="23" t="str">
        <f t="shared" si="8"/>
        <v>LS</v>
      </c>
      <c r="H502" s="23" t="str">
        <f>IFERROR(__xludf.DUMMYFUNCTION("UPPER(filter(Legend!$D$2:$D$32,Legend!$B$2:$B$32=D502))"),"LS")</f>
        <v>LS</v>
      </c>
      <c r="I502" s="23" t="b">
        <f t="shared" si="3"/>
        <v>1</v>
      </c>
    </row>
    <row r="503">
      <c r="A503" s="23" t="str">
        <f t="shared" si="6"/>
        <v>B124-21</v>
      </c>
      <c r="B503" s="23" t="str">
        <f>'3.2.raw'!K503</f>
        <v>B124-21</v>
      </c>
      <c r="C503" s="24">
        <f>datevalue(left('3.2.raw'!M503,10))</f>
        <v>43868</v>
      </c>
      <c r="D503" s="23">
        <f>'3.2.raw'!H503</f>
        <v>97</v>
      </c>
      <c r="E503" s="1">
        <v>3.20000000000006</v>
      </c>
      <c r="F503" s="23" t="b">
        <f>if(countif(Status!C:C,A503)=1,TRUE, FALSE)</f>
        <v>0</v>
      </c>
      <c r="G503" s="23" t="str">
        <f t="shared" si="8"/>
        <v>B12</v>
      </c>
      <c r="H503" s="23" t="str">
        <f>IFERROR(__xludf.DUMMYFUNCTION("UPPER(filter(Legend!$D$2:$D$32,Legend!$B$2:$B$32=D503))"),"")</f>
        <v/>
      </c>
      <c r="I503" s="23" t="b">
        <f t="shared" si="3"/>
        <v>0</v>
      </c>
    </row>
    <row r="504">
      <c r="A504" s="23" t="str">
        <f t="shared" si="6"/>
        <v>SL1001</v>
      </c>
      <c r="B504" s="23" t="str">
        <f>'3.2.raw'!K504</f>
        <v>SL1001</v>
      </c>
      <c r="C504" s="24">
        <f>datevalue(left('3.2.raw'!M504,10))</f>
        <v>43868</v>
      </c>
      <c r="D504" s="23">
        <f>'3.2.raw'!H504</f>
        <v>97</v>
      </c>
      <c r="E504" s="1">
        <v>3.20000000000006</v>
      </c>
      <c r="F504" s="23" t="b">
        <f>if(countif(Status!C:C,A504)=1,TRUE, FALSE)</f>
        <v>1</v>
      </c>
      <c r="G504" s="23" t="str">
        <f t="shared" si="8"/>
        <v>SL</v>
      </c>
      <c r="H504" s="23" t="str">
        <f>IFERROR(__xludf.DUMMYFUNCTION("UPPER(filter(Legend!$D$2:$D$32,Legend!$B$2:$B$32=D504))"),"")</f>
        <v/>
      </c>
      <c r="I504" s="23" t="b">
        <f t="shared" si="3"/>
        <v>0</v>
      </c>
    </row>
    <row r="505">
      <c r="A505" s="23" t="str">
        <f t="shared" si="6"/>
        <v>COa2005</v>
      </c>
      <c r="B505" s="23" t="str">
        <f>'3.2.raw'!K505</f>
        <v>COa2005</v>
      </c>
      <c r="C505" s="24">
        <f>datevalue(left('3.2.raw'!M505,10))</f>
        <v>43867</v>
      </c>
      <c r="D505" s="23">
        <f>'3.2.raw'!H505</f>
        <v>15</v>
      </c>
      <c r="E505" s="1">
        <v>3.20000000000006</v>
      </c>
      <c r="F505" s="23" t="b">
        <f>if(countif(Status!C:C,A505)=1,TRUE, FALSE)</f>
        <v>1</v>
      </c>
      <c r="G505" s="23" t="str">
        <f t="shared" si="8"/>
        <v>COa</v>
      </c>
      <c r="H505" s="23" t="str">
        <f>IFERROR(__xludf.DUMMYFUNCTION("UPPER(filter(Legend!$D$2:$D$32,Legend!$B$2:$B$32=D505))"),"CO")</f>
        <v>CO</v>
      </c>
      <c r="I505" s="23" t="b">
        <f t="shared" si="3"/>
        <v>1</v>
      </c>
    </row>
    <row r="506">
      <c r="A506" s="23" t="str">
        <f t="shared" si="6"/>
        <v>COb2013</v>
      </c>
      <c r="B506" s="23" t="str">
        <f>'3.2.raw'!K506</f>
        <v>COb2013</v>
      </c>
      <c r="C506" s="24">
        <f>datevalue(left('3.2.raw'!M506,10))</f>
        <v>43867</v>
      </c>
      <c r="D506" s="23">
        <f>'3.2.raw'!H506</f>
        <v>15</v>
      </c>
      <c r="E506" s="1">
        <v>3.20000000000006</v>
      </c>
      <c r="F506" s="23" t="b">
        <f>if(countif(Status!C:C,A506)=1,TRUE, FALSE)</f>
        <v>1</v>
      </c>
      <c r="G506" s="23" t="str">
        <f t="shared" si="8"/>
        <v>COb</v>
      </c>
      <c r="H506" s="23" t="str">
        <f>IFERROR(__xludf.DUMMYFUNCTION("UPPER(filter(Legend!$D$2:$D$32,Legend!$B$2:$B$32=D506))"),"CO")</f>
        <v>CO</v>
      </c>
      <c r="I506" s="23" t="b">
        <f t="shared" si="3"/>
        <v>1</v>
      </c>
    </row>
    <row r="507">
      <c r="A507" s="23" t="str">
        <f t="shared" si="6"/>
        <v>COb2014</v>
      </c>
      <c r="B507" s="23" t="str">
        <f>'3.2.raw'!K507</f>
        <v>COb2014</v>
      </c>
      <c r="C507" s="24">
        <f>datevalue(left('3.2.raw'!M507,10))</f>
        <v>43867</v>
      </c>
      <c r="D507" s="23">
        <f>'3.2.raw'!H507</f>
        <v>15</v>
      </c>
      <c r="E507" s="1">
        <v>3.20000000000006</v>
      </c>
      <c r="F507" s="23" t="b">
        <f>if(countif(Status!C:C,A507)=1,TRUE, FALSE)</f>
        <v>1</v>
      </c>
      <c r="G507" s="23" t="str">
        <f t="shared" si="8"/>
        <v>COb</v>
      </c>
      <c r="H507" s="23" t="str">
        <f>IFERROR(__xludf.DUMMYFUNCTION("UPPER(filter(Legend!$D$2:$D$32,Legend!$B$2:$B$32=D507))"),"CO")</f>
        <v>CO</v>
      </c>
      <c r="I507" s="23" t="b">
        <f t="shared" si="3"/>
        <v>1</v>
      </c>
    </row>
    <row r="508">
      <c r="A508" s="23" t="str">
        <f t="shared" si="6"/>
        <v>COb2015</v>
      </c>
      <c r="B508" s="23" t="str">
        <f>'3.2.raw'!K508</f>
        <v>COb2015</v>
      </c>
      <c r="C508" s="24">
        <f>datevalue(left('3.2.raw'!M508,10))</f>
        <v>43867</v>
      </c>
      <c r="D508" s="23">
        <f>'3.2.raw'!H508</f>
        <v>15</v>
      </c>
      <c r="E508" s="1">
        <v>3.20000000000006</v>
      </c>
      <c r="F508" s="23" t="b">
        <f>if(countif(Status!C:C,A508)=1,TRUE, FALSE)</f>
        <v>1</v>
      </c>
      <c r="G508" s="23" t="str">
        <f t="shared" si="8"/>
        <v>COb</v>
      </c>
      <c r="H508" s="23" t="str">
        <f>IFERROR(__xludf.DUMMYFUNCTION("UPPER(filter(Legend!$D$2:$D$32,Legend!$B$2:$B$32=D508))"),"CO")</f>
        <v>CO</v>
      </c>
      <c r="I508" s="23" t="b">
        <f t="shared" si="3"/>
        <v>1</v>
      </c>
    </row>
    <row r="509">
      <c r="A509" s="23" t="str">
        <f t="shared" si="6"/>
        <v>COb2016</v>
      </c>
      <c r="B509" s="23" t="str">
        <f>'3.2.raw'!K509</f>
        <v>COb2016</v>
      </c>
      <c r="C509" s="24">
        <f>datevalue(left('3.2.raw'!M509,10))</f>
        <v>43867</v>
      </c>
      <c r="D509" s="23">
        <f>'3.2.raw'!H509</f>
        <v>15</v>
      </c>
      <c r="E509" s="1">
        <v>3.20000000000006</v>
      </c>
      <c r="F509" s="23" t="b">
        <f>if(countif(Status!C:C,A509)=1,TRUE, FALSE)</f>
        <v>1</v>
      </c>
      <c r="G509" s="23" t="str">
        <f t="shared" si="8"/>
        <v>COb</v>
      </c>
      <c r="H509" s="23" t="str">
        <f>IFERROR(__xludf.DUMMYFUNCTION("UPPER(filter(Legend!$D$2:$D$32,Legend!$B$2:$B$32=D509))"),"CO")</f>
        <v>CO</v>
      </c>
      <c r="I509" s="23" t="b">
        <f t="shared" si="3"/>
        <v>1</v>
      </c>
    </row>
    <row r="510">
      <c r="A510" s="23" t="str">
        <f t="shared" si="6"/>
        <v>COa2006</v>
      </c>
      <c r="B510" s="23" t="str">
        <f>'3.2.raw'!K510</f>
        <v>COa2006</v>
      </c>
      <c r="C510" s="24">
        <f>datevalue(left('3.2.raw'!M510,10))</f>
        <v>43867</v>
      </c>
      <c r="D510" s="23">
        <f>'3.2.raw'!H510</f>
        <v>15</v>
      </c>
      <c r="E510" s="1">
        <v>3.20000000000006</v>
      </c>
      <c r="F510" s="23" t="b">
        <f>if(countif(Status!C:C,A510)=1,TRUE, FALSE)</f>
        <v>1</v>
      </c>
      <c r="G510" s="23" t="str">
        <f t="shared" si="8"/>
        <v>COa</v>
      </c>
      <c r="H510" s="23" t="str">
        <f>IFERROR(__xludf.DUMMYFUNCTION("UPPER(filter(Legend!$D$2:$D$32,Legend!$B$2:$B$32=D510))"),"CO")</f>
        <v>CO</v>
      </c>
      <c r="I510" s="23" t="b">
        <f t="shared" si="3"/>
        <v>1</v>
      </c>
    </row>
    <row r="511">
      <c r="A511" s="23" t="str">
        <f t="shared" si="6"/>
        <v>COb2017</v>
      </c>
      <c r="B511" s="23" t="str">
        <f>'3.2.raw'!K511</f>
        <v>COb2017</v>
      </c>
      <c r="C511" s="24">
        <f>datevalue(left('3.2.raw'!M511,10))</f>
        <v>43867</v>
      </c>
      <c r="D511" s="23">
        <f>'3.2.raw'!H511</f>
        <v>15</v>
      </c>
      <c r="E511" s="1">
        <v>3.20000000000006</v>
      </c>
      <c r="F511" s="23" t="b">
        <f>if(countif(Status!C:C,A511)=1,TRUE, FALSE)</f>
        <v>1</v>
      </c>
      <c r="G511" s="23" t="str">
        <f t="shared" si="8"/>
        <v>COb</v>
      </c>
      <c r="H511" s="23" t="str">
        <f>IFERROR(__xludf.DUMMYFUNCTION("UPPER(filter(Legend!$D$2:$D$32,Legend!$B$2:$B$32=D511))"),"CO")</f>
        <v>CO</v>
      </c>
      <c r="I511" s="23" t="b">
        <f t="shared" si="3"/>
        <v>1</v>
      </c>
    </row>
    <row r="512">
      <c r="A512" s="23" t="str">
        <f t="shared" si="6"/>
        <v>COb2018</v>
      </c>
      <c r="B512" s="23" t="str">
        <f>'3.2.raw'!K512</f>
        <v>COb2018</v>
      </c>
      <c r="C512" s="24">
        <f>datevalue(left('3.2.raw'!M512,10))</f>
        <v>43867</v>
      </c>
      <c r="D512" s="23">
        <f>'3.2.raw'!H512</f>
        <v>15</v>
      </c>
      <c r="E512" s="1">
        <v>3.20000000000006</v>
      </c>
      <c r="F512" s="23" t="b">
        <f>if(countif(Status!C:C,A512)=1,TRUE, FALSE)</f>
        <v>1</v>
      </c>
      <c r="G512" s="23" t="str">
        <f t="shared" si="8"/>
        <v>COb</v>
      </c>
      <c r="H512" s="23" t="str">
        <f>IFERROR(__xludf.DUMMYFUNCTION("UPPER(filter(Legend!$D$2:$D$32,Legend!$B$2:$B$32=D512))"),"CO")</f>
        <v>CO</v>
      </c>
      <c r="I512" s="23" t="b">
        <f t="shared" si="3"/>
        <v>1</v>
      </c>
    </row>
    <row r="513">
      <c r="A513" s="23" t="str">
        <f t="shared" si="6"/>
        <v>SL1001</v>
      </c>
      <c r="B513" s="23" t="str">
        <f>'3.2.raw'!K513</f>
        <v>SL1001</v>
      </c>
      <c r="C513" s="24">
        <f>datevalue(left('3.2.raw'!M513,10))</f>
        <v>43867</v>
      </c>
      <c r="D513" s="23">
        <f>'3.2.raw'!H513</f>
        <v>97</v>
      </c>
      <c r="E513" s="1">
        <v>3.20000000000006</v>
      </c>
      <c r="F513" s="23" t="b">
        <f>if(countif(Status!C:C,A513)=1,TRUE, FALSE)</f>
        <v>1</v>
      </c>
      <c r="G513" s="23" t="str">
        <f t="shared" si="8"/>
        <v>SL</v>
      </c>
      <c r="H513" s="23" t="str">
        <f>IFERROR(__xludf.DUMMYFUNCTION("UPPER(filter(Legend!$D$2:$D$32,Legend!$B$2:$B$32=D513))"),"")</f>
        <v/>
      </c>
      <c r="I513" s="23" t="b">
        <f t="shared" si="3"/>
        <v>0</v>
      </c>
    </row>
    <row r="514">
      <c r="A514" s="23" t="str">
        <f t="shared" si="6"/>
        <v>B124-21</v>
      </c>
      <c r="B514" s="23" t="str">
        <f>'3.2.raw'!K514</f>
        <v>B124-21</v>
      </c>
      <c r="C514" s="24">
        <f>datevalue(left('3.2.raw'!M514,10))</f>
        <v>43867</v>
      </c>
      <c r="D514" s="23">
        <f>'3.2.raw'!H514</f>
        <v>97</v>
      </c>
      <c r="E514" s="1">
        <v>3.20000000000006</v>
      </c>
      <c r="F514" s="23" t="b">
        <f>if(countif(Status!C:C,A514)=1,TRUE, FALSE)</f>
        <v>0</v>
      </c>
      <c r="G514" s="23" t="str">
        <f t="shared" si="8"/>
        <v>B12</v>
      </c>
      <c r="H514" s="23" t="str">
        <f>IFERROR(__xludf.DUMMYFUNCTION("UPPER(filter(Legend!$D$2:$D$32,Legend!$B$2:$B$32=D514))"),"")</f>
        <v/>
      </c>
      <c r="I514" s="23" t="b">
        <f t="shared" si="3"/>
        <v>0</v>
      </c>
    </row>
    <row r="515">
      <c r="A515" s="23" t="str">
        <f t="shared" si="6"/>
        <v>FPa2002</v>
      </c>
      <c r="B515" s="23" t="str">
        <f>'3.2.raw'!K515</f>
        <v>FPa2002</v>
      </c>
      <c r="C515" s="24">
        <f>datevalue(left('3.2.raw'!M515,10))</f>
        <v>43875</v>
      </c>
      <c r="D515" s="23">
        <f>'3.2.raw'!H515</f>
        <v>14</v>
      </c>
      <c r="E515" s="1">
        <v>3.20000000000006</v>
      </c>
      <c r="F515" s="23" t="b">
        <f>if(countif(Status!C:C,A515)=1,TRUE, FALSE)</f>
        <v>1</v>
      </c>
      <c r="G515" s="23" t="str">
        <f t="shared" si="8"/>
        <v>FPa</v>
      </c>
      <c r="H515" s="23" t="str">
        <f>IFERROR(__xludf.DUMMYFUNCTION("UPPER(filter(Legend!$D$2:$D$32,Legend!$B$2:$B$32=D515))"),"FP")</f>
        <v>FP</v>
      </c>
      <c r="I515" s="23" t="b">
        <f t="shared" si="3"/>
        <v>1</v>
      </c>
    </row>
    <row r="516">
      <c r="A516" s="23" t="str">
        <f t="shared" si="6"/>
        <v>FPa2003</v>
      </c>
      <c r="B516" s="23" t="str">
        <f>'3.2.raw'!K516</f>
        <v>FPa2003</v>
      </c>
      <c r="C516" s="24">
        <f>datevalue(left('3.2.raw'!M516,10))</f>
        <v>43875</v>
      </c>
      <c r="D516" s="23">
        <f>'3.2.raw'!H516</f>
        <v>14</v>
      </c>
      <c r="E516" s="1">
        <v>3.20000000000006</v>
      </c>
      <c r="F516" s="23" t="b">
        <f>if(countif(Status!C:C,A516)=1,TRUE, FALSE)</f>
        <v>1</v>
      </c>
      <c r="G516" s="23" t="str">
        <f t="shared" si="8"/>
        <v>FPa</v>
      </c>
      <c r="H516" s="23" t="str">
        <f>IFERROR(__xludf.DUMMYFUNCTION("UPPER(filter(Legend!$D$2:$D$32,Legend!$B$2:$B$32=D516))"),"FP")</f>
        <v>FP</v>
      </c>
      <c r="I516" s="23" t="b">
        <f t="shared" si="3"/>
        <v>1</v>
      </c>
    </row>
    <row r="517">
      <c r="A517" s="23" t="str">
        <f t="shared" si="6"/>
        <v>FPc2002</v>
      </c>
      <c r="B517" s="23" t="str">
        <f>'3.2.raw'!K517</f>
        <v>FPc2002</v>
      </c>
      <c r="C517" s="24">
        <f>datevalue(left('3.2.raw'!M517,10))</f>
        <v>43875</v>
      </c>
      <c r="D517" s="23">
        <f>'3.2.raw'!H517</f>
        <v>14</v>
      </c>
      <c r="E517" s="1">
        <v>3.20000000000006</v>
      </c>
      <c r="F517" s="23" t="b">
        <f>if(countif(Status!C:C,A517)=1,TRUE, FALSE)</f>
        <v>1</v>
      </c>
      <c r="G517" s="23" t="str">
        <f t="shared" si="8"/>
        <v>FPc</v>
      </c>
      <c r="H517" s="23" t="str">
        <f>IFERROR(__xludf.DUMMYFUNCTION("UPPER(filter(Legend!$D$2:$D$32,Legend!$B$2:$B$32=D517))"),"FP")</f>
        <v>FP</v>
      </c>
      <c r="I517" s="23" t="b">
        <f t="shared" si="3"/>
        <v>1</v>
      </c>
    </row>
    <row r="518">
      <c r="A518" s="23" t="str">
        <f t="shared" si="6"/>
        <v>FPc2003</v>
      </c>
      <c r="B518" s="23" t="str">
        <f>'3.2.raw'!K518</f>
        <v>FPc2003</v>
      </c>
      <c r="C518" s="24">
        <f>datevalue(left('3.2.raw'!M518,10))</f>
        <v>43875</v>
      </c>
      <c r="D518" s="23">
        <f>'3.2.raw'!H518</f>
        <v>14</v>
      </c>
      <c r="E518" s="1">
        <v>3.20000000000006</v>
      </c>
      <c r="F518" s="23" t="b">
        <f>if(countif(Status!C:C,A518)=1,TRUE, FALSE)</f>
        <v>1</v>
      </c>
      <c r="G518" s="23" t="str">
        <f t="shared" si="8"/>
        <v>FPc</v>
      </c>
      <c r="H518" s="23" t="str">
        <f>IFERROR(__xludf.DUMMYFUNCTION("UPPER(filter(Legend!$D$2:$D$32,Legend!$B$2:$B$32=D518))"),"FP")</f>
        <v>FP</v>
      </c>
      <c r="I518" s="23" t="b">
        <f t="shared" si="3"/>
        <v>1</v>
      </c>
    </row>
    <row r="519">
      <c r="A519" s="23" t="str">
        <f t="shared" si="6"/>
        <v>COa2007</v>
      </c>
      <c r="B519" s="23" t="str">
        <f>'3.2.raw'!K519</f>
        <v>COa2007</v>
      </c>
      <c r="C519" s="24">
        <f>datevalue(left('3.2.raw'!M519,10))</f>
        <v>43875</v>
      </c>
      <c r="D519" s="23">
        <f>'3.2.raw'!H519</f>
        <v>15</v>
      </c>
      <c r="E519" s="1">
        <v>3.20000000000006</v>
      </c>
      <c r="F519" s="23" t="b">
        <f>if(countif(Status!C:C,A519)=1,TRUE, FALSE)</f>
        <v>1</v>
      </c>
      <c r="G519" s="23" t="str">
        <f t="shared" si="8"/>
        <v>COa</v>
      </c>
      <c r="H519" s="23" t="str">
        <f>IFERROR(__xludf.DUMMYFUNCTION("UPPER(filter(Legend!$D$2:$D$32,Legend!$B$2:$B$32=D519))"),"CO")</f>
        <v>CO</v>
      </c>
      <c r="I519" s="23" t="b">
        <f t="shared" si="3"/>
        <v>1</v>
      </c>
    </row>
    <row r="520">
      <c r="A520" s="23" t="str">
        <f t="shared" si="6"/>
        <v>COb2019</v>
      </c>
      <c r="B520" s="23" t="str">
        <f>'3.2.raw'!K520</f>
        <v>COb2019</v>
      </c>
      <c r="C520" s="24">
        <f>datevalue(left('3.2.raw'!M520,10))</f>
        <v>43875</v>
      </c>
      <c r="D520" s="23">
        <f>'3.2.raw'!H520</f>
        <v>15</v>
      </c>
      <c r="E520" s="1">
        <v>3.20000000000006</v>
      </c>
      <c r="F520" s="23" t="b">
        <f>if(countif(Status!C:C,A520)=1,TRUE, FALSE)</f>
        <v>1</v>
      </c>
      <c r="G520" s="23" t="str">
        <f t="shared" si="8"/>
        <v>COb</v>
      </c>
      <c r="H520" s="23" t="str">
        <f>IFERROR(__xludf.DUMMYFUNCTION("UPPER(filter(Legend!$D$2:$D$32,Legend!$B$2:$B$32=D520))"),"CO")</f>
        <v>CO</v>
      </c>
      <c r="I520" s="23" t="b">
        <f t="shared" si="3"/>
        <v>1</v>
      </c>
    </row>
    <row r="521">
      <c r="A521" s="23" t="str">
        <f t="shared" si="6"/>
        <v>SL1001</v>
      </c>
      <c r="B521" s="23" t="str">
        <f>'3.2.raw'!K521</f>
        <v>SL1001</v>
      </c>
      <c r="C521" s="24">
        <f>datevalue(left('3.2.raw'!M521,10))</f>
        <v>43875</v>
      </c>
      <c r="D521" s="23">
        <f>'3.2.raw'!H521</f>
        <v>97</v>
      </c>
      <c r="E521" s="1">
        <v>3.20000000000006</v>
      </c>
      <c r="F521" s="23" t="b">
        <f>if(countif(Status!C:C,A521)=1,TRUE, FALSE)</f>
        <v>1</v>
      </c>
      <c r="G521" s="23" t="str">
        <f t="shared" si="8"/>
        <v>SL</v>
      </c>
      <c r="H521" s="23" t="str">
        <f>IFERROR(__xludf.DUMMYFUNCTION("UPPER(filter(Legend!$D$2:$D$32,Legend!$B$2:$B$32=D521))"),"")</f>
        <v/>
      </c>
      <c r="I521" s="23" t="b">
        <f t="shared" si="3"/>
        <v>0</v>
      </c>
    </row>
    <row r="522">
      <c r="A522" s="23" t="str">
        <f t="shared" si="6"/>
        <v>B124-21</v>
      </c>
      <c r="B522" s="23" t="str">
        <f>'3.2.raw'!K522</f>
        <v>B124-21</v>
      </c>
      <c r="C522" s="24">
        <f>datevalue(left('3.2.raw'!M522,10))</f>
        <v>43875</v>
      </c>
      <c r="D522" s="23">
        <f>'3.2.raw'!H522</f>
        <v>97</v>
      </c>
      <c r="E522" s="1">
        <v>3.20000000000006</v>
      </c>
      <c r="F522" s="23" t="b">
        <f>if(countif(Status!C:C,A522)=1,TRUE, FALSE)</f>
        <v>0</v>
      </c>
      <c r="G522" s="23" t="str">
        <f t="shared" si="8"/>
        <v>B12</v>
      </c>
      <c r="H522" s="23" t="str">
        <f>IFERROR(__xludf.DUMMYFUNCTION("UPPER(filter(Legend!$D$2:$D$32,Legend!$B$2:$B$32=D522))"),"")</f>
        <v/>
      </c>
      <c r="I522" s="23" t="b">
        <f t="shared" si="3"/>
        <v>0</v>
      </c>
    </row>
    <row r="523">
      <c r="A523" s="23" t="str">
        <f t="shared" si="6"/>
        <v>PLc1200</v>
      </c>
      <c r="B523" s="23" t="str">
        <f>'3.2.raw'!K523</f>
        <v>PLc1200</v>
      </c>
      <c r="C523" s="24">
        <f>datevalue(left('3.2.raw'!M523,10))</f>
        <v>43878</v>
      </c>
      <c r="D523" s="23">
        <f>'3.2.raw'!H523</f>
        <v>11</v>
      </c>
      <c r="E523" s="1">
        <v>3.20000000000006</v>
      </c>
      <c r="F523" s="23" t="b">
        <f>if(countif(Status!C:C,A523)=1,TRUE, FALSE)</f>
        <v>1</v>
      </c>
      <c r="G523" s="23" t="str">
        <f t="shared" si="8"/>
        <v>PLc</v>
      </c>
      <c r="H523" s="23" t="str">
        <f>IFERROR(__xludf.DUMMYFUNCTION("UPPER(filter(Legend!$D$2:$D$32,Legend!$B$2:$B$32=D523))"),"PL")</f>
        <v>PL</v>
      </c>
      <c r="I523" s="23" t="b">
        <f t="shared" si="3"/>
        <v>1</v>
      </c>
    </row>
    <row r="524">
      <c r="A524" s="23" t="str">
        <f t="shared" si="6"/>
        <v>PLc1201</v>
      </c>
      <c r="B524" s="23" t="str">
        <f>'3.2.raw'!K524</f>
        <v>PLc1201</v>
      </c>
      <c r="C524" s="24">
        <f>datevalue(left('3.2.raw'!M524,10))</f>
        <v>43878</v>
      </c>
      <c r="D524" s="23">
        <f>'3.2.raw'!H524</f>
        <v>11</v>
      </c>
      <c r="E524" s="1">
        <v>3.20000000000006</v>
      </c>
      <c r="F524" s="23" t="b">
        <f>if(countif(Status!C:C,A524)=1,TRUE, FALSE)</f>
        <v>1</v>
      </c>
      <c r="G524" s="23" t="str">
        <f t="shared" si="8"/>
        <v>PLc</v>
      </c>
      <c r="H524" s="23" t="str">
        <f>IFERROR(__xludf.DUMMYFUNCTION("UPPER(filter(Legend!$D$2:$D$32,Legend!$B$2:$B$32=D524))"),"PL")</f>
        <v>PL</v>
      </c>
      <c r="I524" s="23" t="b">
        <f t="shared" si="3"/>
        <v>1</v>
      </c>
    </row>
    <row r="525">
      <c r="A525" s="23" t="str">
        <f t="shared" si="6"/>
        <v>PLc1202</v>
      </c>
      <c r="B525" s="23" t="str">
        <f>'3.2.raw'!K525</f>
        <v>PLc1202</v>
      </c>
      <c r="C525" s="24">
        <f>datevalue(left('3.2.raw'!M525,10))</f>
        <v>43878</v>
      </c>
      <c r="D525" s="23">
        <f>'3.2.raw'!H525</f>
        <v>11</v>
      </c>
      <c r="E525" s="1">
        <v>3.20000000000006</v>
      </c>
      <c r="F525" s="23" t="b">
        <f>if(countif(Status!C:C,A525)=1,TRUE, FALSE)</f>
        <v>1</v>
      </c>
      <c r="G525" s="23" t="str">
        <f t="shared" si="8"/>
        <v>PLc</v>
      </c>
      <c r="H525" s="23" t="str">
        <f>IFERROR(__xludf.DUMMYFUNCTION("UPPER(filter(Legend!$D$2:$D$32,Legend!$B$2:$B$32=D525))"),"PL")</f>
        <v>PL</v>
      </c>
      <c r="I525" s="23" t="b">
        <f t="shared" si="3"/>
        <v>1</v>
      </c>
    </row>
    <row r="526">
      <c r="A526" s="23" t="str">
        <f t="shared" si="6"/>
        <v>PLc1203</v>
      </c>
      <c r="B526" s="23" t="str">
        <f>'3.2.raw'!K526</f>
        <v>PLc1203</v>
      </c>
      <c r="C526" s="24">
        <f>datevalue(left('3.2.raw'!M526,10))</f>
        <v>43878</v>
      </c>
      <c r="D526" s="23">
        <f>'3.2.raw'!H526</f>
        <v>11</v>
      </c>
      <c r="E526" s="1">
        <v>3.20000000000006</v>
      </c>
      <c r="F526" s="23" t="b">
        <f>if(countif(Status!C:C,A526)=1,TRUE, FALSE)</f>
        <v>1</v>
      </c>
      <c r="G526" s="23" t="str">
        <f t="shared" si="8"/>
        <v>PLc</v>
      </c>
      <c r="H526" s="23" t="str">
        <f>IFERROR(__xludf.DUMMYFUNCTION("UPPER(filter(Legend!$D$2:$D$32,Legend!$B$2:$B$32=D526))"),"PL")</f>
        <v>PL</v>
      </c>
      <c r="I526" s="23" t="b">
        <f t="shared" si="3"/>
        <v>1</v>
      </c>
    </row>
    <row r="527">
      <c r="A527" s="23" t="str">
        <f t="shared" si="6"/>
        <v>PLc1199</v>
      </c>
      <c r="B527" s="23" t="str">
        <f>'3.2.raw'!K527</f>
        <v>PLc1199</v>
      </c>
      <c r="C527" s="24">
        <f>datevalue(left('3.2.raw'!M527,10))</f>
        <v>43878</v>
      </c>
      <c r="D527" s="23">
        <f>'3.2.raw'!H527</f>
        <v>11</v>
      </c>
      <c r="E527" s="1">
        <v>3.20000000000006</v>
      </c>
      <c r="F527" s="23" t="b">
        <f>if(countif(Status!C:C,A527)=1,TRUE, FALSE)</f>
        <v>1</v>
      </c>
      <c r="G527" s="23" t="str">
        <f t="shared" si="8"/>
        <v>PLc</v>
      </c>
      <c r="H527" s="23" t="str">
        <f>IFERROR(__xludf.DUMMYFUNCTION("UPPER(filter(Legend!$D$2:$D$32,Legend!$B$2:$B$32=D527))"),"PL")</f>
        <v>PL</v>
      </c>
      <c r="I527" s="23" t="b">
        <f t="shared" si="3"/>
        <v>1</v>
      </c>
    </row>
    <row r="528">
      <c r="A528" s="23" t="str">
        <f t="shared" si="6"/>
        <v>SL2003</v>
      </c>
      <c r="B528" s="23" t="str">
        <f>'3.2.raw'!K528</f>
        <v>SL2003</v>
      </c>
      <c r="C528" s="24">
        <f>datevalue(left('3.2.raw'!M528,10))</f>
        <v>43879</v>
      </c>
      <c r="D528" s="23">
        <f>'3.2.raw'!H528</f>
        <v>8</v>
      </c>
      <c r="E528" s="1">
        <v>3.20000000000006</v>
      </c>
      <c r="F528" s="23" t="b">
        <f>if(countif(Status!C:C,A528)=1,TRUE, FALSE)</f>
        <v>1</v>
      </c>
      <c r="G528" s="23" t="str">
        <f t="shared" si="8"/>
        <v>SL</v>
      </c>
      <c r="H528" s="23" t="str">
        <f>IFERROR(__xludf.DUMMYFUNCTION("UPPER(filter(Legend!$D$2:$D$32,Legend!$B$2:$B$32=D528))"),"SL")</f>
        <v>SL</v>
      </c>
      <c r="I528" s="23" t="b">
        <f t="shared" si="3"/>
        <v>1</v>
      </c>
    </row>
    <row r="529">
      <c r="A529" s="23" t="str">
        <f t="shared" si="6"/>
        <v>UF1023</v>
      </c>
      <c r="B529" s="23" t="str">
        <f>'3.2.raw'!K529</f>
        <v>UF1023</v>
      </c>
      <c r="C529" s="24">
        <f>datevalue(left('3.2.raw'!M529,10))</f>
        <v>43879</v>
      </c>
      <c r="D529" s="23">
        <f>'3.2.raw'!H529</f>
        <v>16</v>
      </c>
      <c r="E529" s="1">
        <v>3.20000000000006</v>
      </c>
      <c r="F529" s="23" t="b">
        <f>if(countif(Status!C:C,A529)=1,TRUE, FALSE)</f>
        <v>1</v>
      </c>
      <c r="G529" s="23" t="str">
        <f t="shared" si="8"/>
        <v>UF</v>
      </c>
      <c r="H529" s="23" t="str">
        <f>IFERROR(__xludf.DUMMYFUNCTION("UPPER(filter(Legend!$D$2:$D$32,Legend!$B$2:$B$32=D529))"),"UF")</f>
        <v>UF</v>
      </c>
      <c r="I529" s="23" t="b">
        <f t="shared" si="3"/>
        <v>1</v>
      </c>
    </row>
    <row r="530">
      <c r="A530" s="23" t="str">
        <f t="shared" si="6"/>
        <v>SW2002</v>
      </c>
      <c r="B530" s="23" t="str">
        <f>'3.2.raw'!K530</f>
        <v>SW2002</v>
      </c>
      <c r="C530" s="24">
        <f>datevalue(left('3.2.raw'!M530,10))</f>
        <v>43879</v>
      </c>
      <c r="D530" s="23">
        <f>'3.2.raw'!H530</f>
        <v>5</v>
      </c>
      <c r="E530" s="1">
        <v>3.20000000000006</v>
      </c>
      <c r="F530" s="23" t="b">
        <f>if(countif(Status!C:C,A530)=1,TRUE, FALSE)</f>
        <v>1</v>
      </c>
      <c r="G530" s="23" t="str">
        <f t="shared" si="8"/>
        <v>SW</v>
      </c>
      <c r="H530" s="23" t="str">
        <f>IFERROR(__xludf.DUMMYFUNCTION("UPPER(filter(Legend!$D$2:$D$32,Legend!$B$2:$B$32=D530))"),"SW")</f>
        <v>SW</v>
      </c>
      <c r="I530" s="23" t="b">
        <f t="shared" si="3"/>
        <v>1</v>
      </c>
    </row>
    <row r="531">
      <c r="A531" s="23" t="str">
        <f t="shared" si="6"/>
        <v>B124-21</v>
      </c>
      <c r="B531" s="23" t="str">
        <f>'3.2.raw'!K531</f>
        <v>B124-21</v>
      </c>
      <c r="C531" s="24">
        <f>datevalue(left('3.2.raw'!M531,10))</f>
        <v>43879</v>
      </c>
      <c r="D531" s="23">
        <f>'3.2.raw'!H531</f>
        <v>97</v>
      </c>
      <c r="E531" s="1">
        <v>3.20000000000006</v>
      </c>
      <c r="F531" s="23" t="b">
        <f>if(countif(Status!C:C,A531)=1,TRUE, FALSE)</f>
        <v>0</v>
      </c>
      <c r="G531" s="23" t="str">
        <f t="shared" si="8"/>
        <v>B12</v>
      </c>
      <c r="H531" s="23" t="str">
        <f>IFERROR(__xludf.DUMMYFUNCTION("UPPER(filter(Legend!$D$2:$D$32,Legend!$B$2:$B$32=D531))"),"")</f>
        <v/>
      </c>
      <c r="I531" s="23" t="b">
        <f t="shared" si="3"/>
        <v>0</v>
      </c>
    </row>
    <row r="532">
      <c r="A532" s="23" t="str">
        <f t="shared" si="6"/>
        <v>SL1001</v>
      </c>
      <c r="B532" s="23" t="str">
        <f>'3.2.raw'!K532</f>
        <v>SL1001</v>
      </c>
      <c r="C532" s="24">
        <f>datevalue(left('3.2.raw'!M532,10))</f>
        <v>43879</v>
      </c>
      <c r="D532" s="23">
        <f>'3.2.raw'!H532</f>
        <v>97</v>
      </c>
      <c r="E532" s="1">
        <v>3.20000000000006</v>
      </c>
      <c r="F532" s="23" t="b">
        <f>if(countif(Status!C:C,A532)=1,TRUE, FALSE)</f>
        <v>1</v>
      </c>
      <c r="G532" s="23" t="str">
        <f t="shared" si="8"/>
        <v>SL</v>
      </c>
      <c r="H532" s="23" t="str">
        <f>IFERROR(__xludf.DUMMYFUNCTION("UPPER(filter(Legend!$D$2:$D$32,Legend!$B$2:$B$32=D532))"),"")</f>
        <v/>
      </c>
      <c r="I532" s="23" t="b">
        <f t="shared" si="3"/>
        <v>0</v>
      </c>
    </row>
    <row r="533">
      <c r="A533" s="23" t="str">
        <f t="shared" si="6"/>
        <v>UF1024</v>
      </c>
      <c r="B533" s="23" t="str">
        <f>'3.2.raw'!K533</f>
        <v>UF1024</v>
      </c>
      <c r="C533" s="24">
        <f>datevalue(left('3.2.raw'!M533,10))</f>
        <v>43880</v>
      </c>
      <c r="D533" s="23">
        <f>'3.2.raw'!H533</f>
        <v>16</v>
      </c>
      <c r="E533" s="1">
        <v>3.20000000000006</v>
      </c>
      <c r="F533" s="23" t="b">
        <f>if(countif(Status!C:C,A533)=1,TRUE, FALSE)</f>
        <v>1</v>
      </c>
      <c r="G533" s="23" t="str">
        <f t="shared" si="8"/>
        <v>UF</v>
      </c>
      <c r="H533" s="23" t="str">
        <f>IFERROR(__xludf.DUMMYFUNCTION("UPPER(filter(Legend!$D$2:$D$32,Legend!$B$2:$B$32=D533))"),"UF")</f>
        <v>UF</v>
      </c>
      <c r="I533" s="23" t="b">
        <f t="shared" si="3"/>
        <v>1</v>
      </c>
    </row>
    <row r="534">
      <c r="A534" s="23" t="str">
        <f t="shared" si="6"/>
        <v>PL1026</v>
      </c>
      <c r="B534" s="23" t="str">
        <f>'3.2.raw'!K534</f>
        <v>PL1026</v>
      </c>
      <c r="C534" s="24">
        <f>datevalue(left('3.2.raw'!M534,10))</f>
        <v>43880</v>
      </c>
      <c r="D534" s="23">
        <f>'3.2.raw'!H534</f>
        <v>7</v>
      </c>
      <c r="E534" s="1">
        <v>3.20000000000006</v>
      </c>
      <c r="F534" s="23" t="b">
        <f>if(countif(Status!C:C,A534)=1,TRUE, FALSE)</f>
        <v>1</v>
      </c>
      <c r="G534" s="23" t="str">
        <f t="shared" si="8"/>
        <v>PL</v>
      </c>
      <c r="H534" s="23" t="str">
        <f>IFERROR(__xludf.DUMMYFUNCTION("UPPER(filter(Legend!$D$2:$D$32,Legend!$B$2:$B$32=D534))"),"LS")</f>
        <v>LS</v>
      </c>
      <c r="I534" s="23" t="b">
        <f t="shared" si="3"/>
        <v>0</v>
      </c>
    </row>
    <row r="535">
      <c r="A535" s="23" t="str">
        <f t="shared" si="6"/>
        <v>PL1027</v>
      </c>
      <c r="B535" s="23" t="str">
        <f>'3.2.raw'!K535</f>
        <v>PL1027</v>
      </c>
      <c r="C535" s="24">
        <f>datevalue(left('3.2.raw'!M535,10))</f>
        <v>43880</v>
      </c>
      <c r="D535" s="23">
        <f>'3.2.raw'!H535</f>
        <v>7</v>
      </c>
      <c r="E535" s="1">
        <v>3.20000000000006</v>
      </c>
      <c r="F535" s="23" t="b">
        <f>if(countif(Status!C:C,A535)=1,TRUE, FALSE)</f>
        <v>1</v>
      </c>
      <c r="G535" s="23" t="str">
        <f t="shared" si="8"/>
        <v>PL</v>
      </c>
      <c r="H535" s="23" t="str">
        <f>IFERROR(__xludf.DUMMYFUNCTION("UPPER(filter(Legend!$D$2:$D$32,Legend!$B$2:$B$32=D535))"),"LS")</f>
        <v>LS</v>
      </c>
      <c r="I535" s="23" t="b">
        <f t="shared" si="3"/>
        <v>0</v>
      </c>
    </row>
    <row r="536">
      <c r="A536" s="23" t="str">
        <f t="shared" si="6"/>
        <v>SL1001</v>
      </c>
      <c r="B536" s="23" t="str">
        <f>'3.2.raw'!K536</f>
        <v>SL1001</v>
      </c>
      <c r="C536" s="24">
        <f>datevalue(left('3.2.raw'!M536,10))</f>
        <v>43880</v>
      </c>
      <c r="D536" s="23">
        <f>'3.2.raw'!H536</f>
        <v>97</v>
      </c>
      <c r="E536" s="1">
        <v>3.20000000000006</v>
      </c>
      <c r="F536" s="23" t="b">
        <f>if(countif(Status!C:C,A536)=1,TRUE, FALSE)</f>
        <v>1</v>
      </c>
      <c r="G536" s="23" t="str">
        <f t="shared" si="8"/>
        <v>SL</v>
      </c>
      <c r="H536" s="23" t="str">
        <f>IFERROR(__xludf.DUMMYFUNCTION("UPPER(filter(Legend!$D$2:$D$32,Legend!$B$2:$B$32=D536))"),"")</f>
        <v/>
      </c>
      <c r="I536" s="23" t="b">
        <f t="shared" si="3"/>
        <v>0</v>
      </c>
    </row>
    <row r="537">
      <c r="A537" s="23" t="str">
        <f t="shared" si="6"/>
        <v>B124-21</v>
      </c>
      <c r="B537" s="23" t="str">
        <f>'3.2.raw'!K537</f>
        <v>B124-21</v>
      </c>
      <c r="C537" s="24">
        <f>datevalue(left('3.2.raw'!M537,10))</f>
        <v>43880</v>
      </c>
      <c r="D537" s="23">
        <f>'3.2.raw'!H537</f>
        <v>97</v>
      </c>
      <c r="E537" s="1">
        <v>3.20000000000006</v>
      </c>
      <c r="F537" s="23" t="b">
        <f>if(countif(Status!C:C,A537)=1,TRUE, FALSE)</f>
        <v>0</v>
      </c>
      <c r="G537" s="23" t="str">
        <f t="shared" si="8"/>
        <v>B12</v>
      </c>
      <c r="H537" s="23" t="str">
        <f>IFERROR(__xludf.DUMMYFUNCTION("UPPER(filter(Legend!$D$2:$D$32,Legend!$B$2:$B$32=D537))"),"")</f>
        <v/>
      </c>
      <c r="I537" s="23" t="b">
        <f t="shared" si="3"/>
        <v>0</v>
      </c>
    </row>
    <row r="538">
      <c r="A538" s="23" t="str">
        <f t="shared" si="6"/>
        <v>PLc1204</v>
      </c>
      <c r="B538" s="23" t="str">
        <f>'3.2.raw'!K538</f>
        <v>PLc1204</v>
      </c>
      <c r="C538" s="24">
        <f>datevalue(left('3.2.raw'!M538,10))</f>
        <v>43881</v>
      </c>
      <c r="D538" s="23">
        <f>'3.2.raw'!H538</f>
        <v>11</v>
      </c>
      <c r="E538" s="1">
        <v>3.20000000000006</v>
      </c>
      <c r="F538" s="23" t="b">
        <f>if(countif(Status!C:C,A538)=1,TRUE, FALSE)</f>
        <v>1</v>
      </c>
      <c r="G538" s="23" t="str">
        <f t="shared" si="8"/>
        <v>PLc</v>
      </c>
      <c r="H538" s="23" t="str">
        <f>IFERROR(__xludf.DUMMYFUNCTION("UPPER(filter(Legend!$D$2:$D$32,Legend!$B$2:$B$32=D538))"),"PL")</f>
        <v>PL</v>
      </c>
      <c r="I538" s="23" t="b">
        <f t="shared" si="3"/>
        <v>1</v>
      </c>
    </row>
    <row r="539">
      <c r="A539" s="23" t="str">
        <f t="shared" si="6"/>
        <v>PLc1205</v>
      </c>
      <c r="B539" s="23" t="str">
        <f>'3.2.raw'!K539</f>
        <v>PLc1205</v>
      </c>
      <c r="C539" s="24">
        <f>datevalue(left('3.2.raw'!M539,10))</f>
        <v>43881</v>
      </c>
      <c r="D539" s="23">
        <f>'3.2.raw'!H539</f>
        <v>11</v>
      </c>
      <c r="E539" s="1">
        <v>3.20000000000006</v>
      </c>
      <c r="F539" s="23" t="b">
        <f>if(countif(Status!C:C,A539)=1,TRUE, FALSE)</f>
        <v>1</v>
      </c>
      <c r="G539" s="23" t="str">
        <f t="shared" si="8"/>
        <v>PLc</v>
      </c>
      <c r="H539" s="23" t="str">
        <f>IFERROR(__xludf.DUMMYFUNCTION("UPPER(filter(Legend!$D$2:$D$32,Legend!$B$2:$B$32=D539))"),"PL")</f>
        <v>PL</v>
      </c>
      <c r="I539" s="23" t="b">
        <f t="shared" si="3"/>
        <v>1</v>
      </c>
    </row>
    <row r="540">
      <c r="A540" s="23" t="str">
        <f t="shared" si="6"/>
        <v>PLc1206</v>
      </c>
      <c r="B540" s="23" t="str">
        <f>'3.2.raw'!K540</f>
        <v>PLc1206</v>
      </c>
      <c r="C540" s="24">
        <f>datevalue(left('3.2.raw'!M540,10))</f>
        <v>43881</v>
      </c>
      <c r="D540" s="23">
        <f>'3.2.raw'!H540</f>
        <v>11</v>
      </c>
      <c r="E540" s="1">
        <v>3.20000000000006</v>
      </c>
      <c r="F540" s="23" t="b">
        <f>if(countif(Status!C:C,A540)=1,TRUE, FALSE)</f>
        <v>1</v>
      </c>
      <c r="G540" s="23" t="str">
        <f t="shared" si="8"/>
        <v>PLc</v>
      </c>
      <c r="H540" s="23" t="str">
        <f>IFERROR(__xludf.DUMMYFUNCTION("UPPER(filter(Legend!$D$2:$D$32,Legend!$B$2:$B$32=D540))"),"PL")</f>
        <v>PL</v>
      </c>
      <c r="I540" s="23" t="b">
        <f t="shared" si="3"/>
        <v>1</v>
      </c>
    </row>
    <row r="541">
      <c r="A541" s="23" t="str">
        <f t="shared" si="6"/>
        <v>FPb2004</v>
      </c>
      <c r="B541" s="23" t="str">
        <f>'3.2.raw'!K541</f>
        <v>FPb2004</v>
      </c>
      <c r="C541" s="24">
        <f>datevalue(left('3.2.raw'!M541,10))</f>
        <v>43881</v>
      </c>
      <c r="D541" s="23">
        <f>'3.2.raw'!H541</f>
        <v>14</v>
      </c>
      <c r="E541" s="1">
        <v>3.20000000000006</v>
      </c>
      <c r="F541" s="23" t="b">
        <f>if(countif(Status!C:C,A541)=1,TRUE, FALSE)</f>
        <v>1</v>
      </c>
      <c r="G541" s="23" t="str">
        <f t="shared" si="8"/>
        <v>FPb</v>
      </c>
      <c r="H541" s="23" t="str">
        <f>IFERROR(__xludf.DUMMYFUNCTION("UPPER(filter(Legend!$D$2:$D$32,Legend!$B$2:$B$32=D541))"),"FP")</f>
        <v>FP</v>
      </c>
      <c r="I541" s="23" t="b">
        <f t="shared" si="3"/>
        <v>1</v>
      </c>
    </row>
    <row r="542">
      <c r="A542" s="23" t="str">
        <f t="shared" si="6"/>
        <v>FPd2004</v>
      </c>
      <c r="B542" s="23" t="str">
        <f>'3.2.raw'!K542</f>
        <v>FPd2004</v>
      </c>
      <c r="C542" s="24">
        <f>datevalue(left('3.2.raw'!M542,10))</f>
        <v>43881</v>
      </c>
      <c r="D542" s="23">
        <f>'3.2.raw'!H542</f>
        <v>14</v>
      </c>
      <c r="E542" s="1">
        <v>3.20000000000006</v>
      </c>
      <c r="F542" s="23" t="b">
        <f>if(countif(Status!C:C,A542)=1,TRUE, FALSE)</f>
        <v>1</v>
      </c>
      <c r="G542" s="23" t="str">
        <f t="shared" si="8"/>
        <v>FPd</v>
      </c>
      <c r="H542" s="23" t="str">
        <f>IFERROR(__xludf.DUMMYFUNCTION("UPPER(filter(Legend!$D$2:$D$32,Legend!$B$2:$B$32=D542))"),"FP")</f>
        <v>FP</v>
      </c>
      <c r="I542" s="23" t="b">
        <f t="shared" si="3"/>
        <v>1</v>
      </c>
    </row>
    <row r="543">
      <c r="A543" s="23" t="str">
        <f t="shared" si="6"/>
        <v>FPe2004</v>
      </c>
      <c r="B543" s="23" t="str">
        <f>'3.2.raw'!K543</f>
        <v>FPe2004</v>
      </c>
      <c r="C543" s="24">
        <f>datevalue(left('3.2.raw'!M543,10))</f>
        <v>43881</v>
      </c>
      <c r="D543" s="23">
        <f>'3.2.raw'!H543</f>
        <v>14</v>
      </c>
      <c r="E543" s="1">
        <v>3.20000000000006</v>
      </c>
      <c r="F543" s="23" t="b">
        <f>if(countif(Status!C:C,A543)=1,TRUE, FALSE)</f>
        <v>1</v>
      </c>
      <c r="G543" s="23" t="str">
        <f t="shared" si="8"/>
        <v>FPe</v>
      </c>
      <c r="H543" s="23" t="str">
        <f>IFERROR(__xludf.DUMMYFUNCTION("UPPER(filter(Legend!$D$2:$D$32,Legend!$B$2:$B$32=D543))"),"FP")</f>
        <v>FP</v>
      </c>
      <c r="I543" s="23" t="b">
        <f t="shared" si="3"/>
        <v>1</v>
      </c>
    </row>
    <row r="544">
      <c r="A544" s="23" t="str">
        <f t="shared" si="6"/>
        <v>FPa2004</v>
      </c>
      <c r="B544" s="23" t="str">
        <f>'3.2.raw'!K544</f>
        <v>FPa2004</v>
      </c>
      <c r="C544" s="24">
        <f>datevalue(left('3.2.raw'!M544,10))</f>
        <v>43881</v>
      </c>
      <c r="D544" s="23">
        <f>'3.2.raw'!H544</f>
        <v>14</v>
      </c>
      <c r="E544" s="1">
        <v>3.20000000000006</v>
      </c>
      <c r="F544" s="23" t="b">
        <f>if(countif(Status!C:C,A544)=1,TRUE, FALSE)</f>
        <v>1</v>
      </c>
      <c r="G544" s="23" t="str">
        <f t="shared" si="8"/>
        <v>FPa</v>
      </c>
      <c r="H544" s="23" t="str">
        <f>IFERROR(__xludf.DUMMYFUNCTION("UPPER(filter(Legend!$D$2:$D$32,Legend!$B$2:$B$32=D544))"),"FP")</f>
        <v>FP</v>
      </c>
      <c r="I544" s="23" t="b">
        <f t="shared" si="3"/>
        <v>1</v>
      </c>
    </row>
    <row r="545">
      <c r="A545" s="23" t="str">
        <f t="shared" si="6"/>
        <v>FPc2004</v>
      </c>
      <c r="B545" s="23" t="str">
        <f>'3.2.raw'!K545</f>
        <v>FPc2004</v>
      </c>
      <c r="C545" s="24">
        <f>datevalue(left('3.2.raw'!M545,10))</f>
        <v>43881</v>
      </c>
      <c r="D545" s="23">
        <f>'3.2.raw'!H545</f>
        <v>14</v>
      </c>
      <c r="E545" s="1">
        <v>3.20000000000006</v>
      </c>
      <c r="F545" s="23" t="b">
        <f>if(countif(Status!C:C,A545)=1,TRUE, FALSE)</f>
        <v>1</v>
      </c>
      <c r="G545" s="23" t="str">
        <f t="shared" si="8"/>
        <v>FPc</v>
      </c>
      <c r="H545" s="23" t="str">
        <f>IFERROR(__xludf.DUMMYFUNCTION("UPPER(filter(Legend!$D$2:$D$32,Legend!$B$2:$B$32=D545))"),"FP")</f>
        <v>FP</v>
      </c>
      <c r="I545" s="23" t="b">
        <f t="shared" si="3"/>
        <v>1</v>
      </c>
    </row>
    <row r="546">
      <c r="A546" s="23" t="str">
        <f t="shared" si="6"/>
        <v>SL1001</v>
      </c>
      <c r="B546" s="23" t="str">
        <f>'3.2.raw'!K546</f>
        <v>SL1001</v>
      </c>
      <c r="C546" s="24">
        <f>datevalue(left('3.2.raw'!M546,10))</f>
        <v>43881</v>
      </c>
      <c r="D546" s="23">
        <f>'3.2.raw'!H546</f>
        <v>97</v>
      </c>
      <c r="E546" s="1">
        <v>3.20000000000006</v>
      </c>
      <c r="F546" s="23" t="b">
        <f>if(countif(Status!C:C,A546)=1,TRUE, FALSE)</f>
        <v>1</v>
      </c>
      <c r="G546" s="23" t="str">
        <f t="shared" si="8"/>
        <v>SL</v>
      </c>
      <c r="H546" s="23" t="str">
        <f>IFERROR(__xludf.DUMMYFUNCTION("UPPER(filter(Legend!$D$2:$D$32,Legend!$B$2:$B$32=D546))"),"")</f>
        <v/>
      </c>
      <c r="I546" s="23" t="b">
        <f t="shared" si="3"/>
        <v>0</v>
      </c>
    </row>
    <row r="547">
      <c r="A547" s="23" t="str">
        <f t="shared" si="6"/>
        <v>B124-21</v>
      </c>
      <c r="B547" s="23" t="str">
        <f>'3.2.raw'!K547</f>
        <v>B124-21</v>
      </c>
      <c r="C547" s="24">
        <f>datevalue(left('3.2.raw'!M547,10))</f>
        <v>43881</v>
      </c>
      <c r="D547" s="23">
        <f>'3.2.raw'!H547</f>
        <v>97</v>
      </c>
      <c r="E547" s="1">
        <v>3.20000000000006</v>
      </c>
      <c r="F547" s="23" t="b">
        <f>if(countif(Status!C:C,A547)=1,TRUE, FALSE)</f>
        <v>0</v>
      </c>
      <c r="G547" s="23" t="str">
        <f t="shared" si="8"/>
        <v>B12</v>
      </c>
      <c r="H547" s="23" t="str">
        <f>IFERROR(__xludf.DUMMYFUNCTION("UPPER(filter(Legend!$D$2:$D$32,Legend!$B$2:$B$32=D547))"),"")</f>
        <v/>
      </c>
      <c r="I547" s="23" t="b">
        <f t="shared" si="3"/>
        <v>0</v>
      </c>
    </row>
    <row r="548">
      <c r="A548" s="23" t="str">
        <f t="shared" si="6"/>
        <v>PLc1207</v>
      </c>
      <c r="B548" s="23" t="str">
        <f>'3.2.raw'!K548</f>
        <v>PLc1207</v>
      </c>
      <c r="C548" s="24">
        <f>datevalue(left('3.2.raw'!M548,10))</f>
        <v>43886</v>
      </c>
      <c r="D548" s="23">
        <f>'3.2.raw'!H548</f>
        <v>11</v>
      </c>
      <c r="E548" s="1">
        <v>3.20000000000006</v>
      </c>
      <c r="F548" s="23" t="b">
        <f>if(countif(Status!C:C,A548)=1,TRUE, FALSE)</f>
        <v>1</v>
      </c>
      <c r="G548" s="23" t="str">
        <f t="shared" si="8"/>
        <v>PLc</v>
      </c>
      <c r="H548" s="23" t="str">
        <f>IFERROR(__xludf.DUMMYFUNCTION("UPPER(filter(Legend!$D$2:$D$32,Legend!$B$2:$B$32=D548))"),"PL")</f>
        <v>PL</v>
      </c>
      <c r="I548" s="23" t="b">
        <f t="shared" si="3"/>
        <v>1</v>
      </c>
    </row>
    <row r="549">
      <c r="A549" s="23" t="str">
        <f t="shared" si="6"/>
        <v>PLc1208</v>
      </c>
      <c r="B549" s="23" t="str">
        <f>'3.2.raw'!K549</f>
        <v>PLc1208</v>
      </c>
      <c r="C549" s="24">
        <f>datevalue(left('3.2.raw'!M549,10))</f>
        <v>43886</v>
      </c>
      <c r="D549" s="23">
        <f>'3.2.raw'!H549</f>
        <v>11</v>
      </c>
      <c r="E549" s="1">
        <v>3.20000000000006</v>
      </c>
      <c r="F549" s="23" t="b">
        <f>if(countif(Status!C:C,A549)=1,TRUE, FALSE)</f>
        <v>1</v>
      </c>
      <c r="G549" s="23" t="str">
        <f t="shared" si="8"/>
        <v>PLc</v>
      </c>
      <c r="H549" s="23" t="str">
        <f>IFERROR(__xludf.DUMMYFUNCTION("UPPER(filter(Legend!$D$2:$D$32,Legend!$B$2:$B$32=D549))"),"PL")</f>
        <v>PL</v>
      </c>
      <c r="I549" s="23" t="b">
        <f t="shared" si="3"/>
        <v>1</v>
      </c>
    </row>
    <row r="550">
      <c r="A550" s="23" t="str">
        <f t="shared" si="6"/>
        <v>PLc1209</v>
      </c>
      <c r="B550" s="23" t="str">
        <f>'3.2.raw'!K550</f>
        <v>PLc1209</v>
      </c>
      <c r="C550" s="24">
        <f>datevalue(left('3.2.raw'!M550,10))</f>
        <v>43886</v>
      </c>
      <c r="D550" s="23">
        <f>'3.2.raw'!H550</f>
        <v>11</v>
      </c>
      <c r="E550" s="1">
        <v>3.20000000000006</v>
      </c>
      <c r="F550" s="23" t="b">
        <f>if(countif(Status!C:C,A550)=1,TRUE, FALSE)</f>
        <v>1</v>
      </c>
      <c r="G550" s="23" t="str">
        <f t="shared" si="8"/>
        <v>PLc</v>
      </c>
      <c r="H550" s="23" t="str">
        <f>IFERROR(__xludf.DUMMYFUNCTION("UPPER(filter(Legend!$D$2:$D$32,Legend!$B$2:$B$32=D550))"),"PL")</f>
        <v>PL</v>
      </c>
      <c r="I550" s="23" t="b">
        <f t="shared" si="3"/>
        <v>1</v>
      </c>
    </row>
    <row r="551">
      <c r="A551" s="23" t="str">
        <f t="shared" si="6"/>
        <v>PLc1210</v>
      </c>
      <c r="B551" s="23" t="str">
        <f>'3.2.raw'!K551</f>
        <v>PLc1210</v>
      </c>
      <c r="C551" s="24">
        <f>datevalue(left('3.2.raw'!M551,10))</f>
        <v>43886</v>
      </c>
      <c r="D551" s="23">
        <f>'3.2.raw'!H551</f>
        <v>11</v>
      </c>
      <c r="E551" s="1">
        <v>3.20000000000006</v>
      </c>
      <c r="F551" s="23" t="b">
        <f>if(countif(Status!C:C,A551)=1,TRUE, FALSE)</f>
        <v>1</v>
      </c>
      <c r="G551" s="23" t="str">
        <f t="shared" si="8"/>
        <v>PLc</v>
      </c>
      <c r="H551" s="23" t="str">
        <f>IFERROR(__xludf.DUMMYFUNCTION("UPPER(filter(Legend!$D$2:$D$32,Legend!$B$2:$B$32=D551))"),"PL")</f>
        <v>PL</v>
      </c>
      <c r="I551" s="23" t="b">
        <f t="shared" si="3"/>
        <v>1</v>
      </c>
    </row>
    <row r="552">
      <c r="A552" s="23" t="str">
        <f t="shared" si="6"/>
        <v>PLc1211</v>
      </c>
      <c r="B552" s="23" t="str">
        <f>'3.2.raw'!K552</f>
        <v>PLc1211</v>
      </c>
      <c r="C552" s="24">
        <f>datevalue(left('3.2.raw'!M552,10))</f>
        <v>43886</v>
      </c>
      <c r="D552" s="23">
        <f>'3.2.raw'!H552</f>
        <v>11</v>
      </c>
      <c r="E552" s="1">
        <v>3.20000000000006</v>
      </c>
      <c r="F552" s="23" t="b">
        <f>if(countif(Status!C:C,A552)=1,TRUE, FALSE)</f>
        <v>1</v>
      </c>
      <c r="G552" s="23" t="str">
        <f t="shared" si="8"/>
        <v>PLc</v>
      </c>
      <c r="H552" s="23" t="str">
        <f>IFERROR(__xludf.DUMMYFUNCTION("UPPER(filter(Legend!$D$2:$D$32,Legend!$B$2:$B$32=D552))"),"PL")</f>
        <v>PL</v>
      </c>
      <c r="I552" s="23" t="b">
        <f t="shared" si="3"/>
        <v>1</v>
      </c>
    </row>
    <row r="553">
      <c r="A553" s="23" t="str">
        <f t="shared" si="6"/>
        <v>UF1025</v>
      </c>
      <c r="B553" s="23" t="str">
        <f>'3.2.raw'!K553</f>
        <v>UF1025</v>
      </c>
      <c r="C553" s="24">
        <f>datevalue(left('3.2.raw'!M553,10))</f>
        <v>43886</v>
      </c>
      <c r="D553" s="23">
        <f>'3.2.raw'!H553</f>
        <v>16</v>
      </c>
      <c r="E553" s="1">
        <v>3.20000000000006</v>
      </c>
      <c r="F553" s="23" t="b">
        <f>if(countif(Status!C:C,A553)=1,TRUE, FALSE)</f>
        <v>1</v>
      </c>
      <c r="G553" s="23" t="str">
        <f t="shared" si="8"/>
        <v>UF</v>
      </c>
      <c r="H553" s="23" t="str">
        <f>IFERROR(__xludf.DUMMYFUNCTION("UPPER(filter(Legend!$D$2:$D$32,Legend!$B$2:$B$32=D553))"),"UF")</f>
        <v>UF</v>
      </c>
      <c r="I553" s="23" t="b">
        <f t="shared" si="3"/>
        <v>1</v>
      </c>
    </row>
    <row r="554">
      <c r="A554" s="23" t="str">
        <f t="shared" si="6"/>
        <v>SL1001</v>
      </c>
      <c r="B554" s="23" t="str">
        <f>'3.2.raw'!K554</f>
        <v>SL1001</v>
      </c>
      <c r="C554" s="24">
        <f>datevalue(left('3.2.raw'!M554,10))</f>
        <v>43886</v>
      </c>
      <c r="D554" s="23">
        <f>'3.2.raw'!H554</f>
        <v>97</v>
      </c>
      <c r="E554" s="1">
        <v>3.20000000000006</v>
      </c>
      <c r="F554" s="23" t="b">
        <f>if(countif(Status!C:C,A554)=1,TRUE, FALSE)</f>
        <v>1</v>
      </c>
      <c r="G554" s="23" t="str">
        <f t="shared" si="8"/>
        <v>SL</v>
      </c>
      <c r="H554" s="23" t="str">
        <f>IFERROR(__xludf.DUMMYFUNCTION("UPPER(filter(Legend!$D$2:$D$32,Legend!$B$2:$B$32=D554))"),"")</f>
        <v/>
      </c>
      <c r="I554" s="23" t="b">
        <f t="shared" si="3"/>
        <v>0</v>
      </c>
    </row>
    <row r="555">
      <c r="A555" s="23" t="str">
        <f t="shared" si="6"/>
        <v>B124-21</v>
      </c>
      <c r="B555" s="23" t="str">
        <f>'3.2.raw'!K555</f>
        <v>B124-21</v>
      </c>
      <c r="C555" s="24">
        <f>datevalue(left('3.2.raw'!M555,10))</f>
        <v>43886</v>
      </c>
      <c r="D555" s="23">
        <f>'3.2.raw'!H555</f>
        <v>97</v>
      </c>
      <c r="E555" s="1">
        <v>3.20000000000006</v>
      </c>
      <c r="F555" s="23" t="b">
        <f>if(countif(Status!C:C,A555)=1,TRUE, FALSE)</f>
        <v>0</v>
      </c>
      <c r="G555" s="23" t="str">
        <f t="shared" si="8"/>
        <v>B12</v>
      </c>
      <c r="H555" s="23" t="str">
        <f>IFERROR(__xludf.DUMMYFUNCTION("UPPER(filter(Legend!$D$2:$D$32,Legend!$B$2:$B$32=D555))"),"")</f>
        <v/>
      </c>
      <c r="I555" s="23" t="b">
        <f t="shared" si="3"/>
        <v>0</v>
      </c>
    </row>
    <row r="556">
      <c r="A556" s="23" t="str">
        <f t="shared" si="6"/>
        <v>SL1001</v>
      </c>
      <c r="B556" s="23" t="str">
        <f>'3.2.raw'!K556</f>
        <v>SL1001</v>
      </c>
      <c r="C556" s="24">
        <f>datevalue(left('3.2.raw'!M556,10))</f>
        <v>43887</v>
      </c>
      <c r="D556" s="23">
        <f>'3.2.raw'!H556</f>
        <v>97</v>
      </c>
      <c r="E556" s="1">
        <v>3.20000000000006</v>
      </c>
      <c r="F556" s="23" t="b">
        <f>if(countif(Status!C:C,A556)=1,TRUE, FALSE)</f>
        <v>1</v>
      </c>
      <c r="G556" s="23" t="str">
        <f t="shared" si="8"/>
        <v>SL</v>
      </c>
      <c r="H556" s="23" t="str">
        <f>IFERROR(__xludf.DUMMYFUNCTION("UPPER(filter(Legend!$D$2:$D$32,Legend!$B$2:$B$32=D556))"),"")</f>
        <v/>
      </c>
      <c r="I556" s="23" t="b">
        <f t="shared" si="3"/>
        <v>0</v>
      </c>
    </row>
    <row r="557">
      <c r="A557" s="23" t="str">
        <f t="shared" si="6"/>
        <v>B124-21</v>
      </c>
      <c r="B557" s="23" t="str">
        <f>'3.2.raw'!K557</f>
        <v>B124-21</v>
      </c>
      <c r="C557" s="24">
        <f>datevalue(left('3.2.raw'!M557,10))</f>
        <v>43887</v>
      </c>
      <c r="D557" s="23">
        <f>'3.2.raw'!H557</f>
        <v>97</v>
      </c>
      <c r="E557" s="1">
        <v>3.20000000000006</v>
      </c>
      <c r="F557" s="23" t="b">
        <f>if(countif(Status!C:C,A557)=1,TRUE, FALSE)</f>
        <v>0</v>
      </c>
      <c r="G557" s="23" t="str">
        <f t="shared" si="8"/>
        <v>B12</v>
      </c>
      <c r="H557" s="23" t="str">
        <f>IFERROR(__xludf.DUMMYFUNCTION("UPPER(filter(Legend!$D$2:$D$32,Legend!$B$2:$B$32=D557))"),"")</f>
        <v/>
      </c>
      <c r="I557" s="23" t="b">
        <f t="shared" si="3"/>
        <v>0</v>
      </c>
    </row>
    <row r="558">
      <c r="A558" s="23" t="str">
        <f t="shared" si="6"/>
        <v>DWa2001</v>
      </c>
      <c r="B558" s="23" t="str">
        <f>'3.2.raw'!K558</f>
        <v>DWa2001</v>
      </c>
      <c r="C558" s="24">
        <f>datevalue(left('3.2.raw'!M558,10))</f>
        <v>43886</v>
      </c>
      <c r="D558" s="23">
        <f>'3.2.raw'!H558</f>
        <v>3</v>
      </c>
      <c r="E558" s="1">
        <v>3.20000000000006</v>
      </c>
      <c r="F558" s="23" t="b">
        <f>if(countif(Status!C:C,A558)=1,TRUE, FALSE)</f>
        <v>1</v>
      </c>
      <c r="G558" s="23" t="str">
        <f t="shared" si="8"/>
        <v>DWa</v>
      </c>
      <c r="H558" s="23" t="str">
        <f>IFERROR(__xludf.DUMMYFUNCTION("UPPER(filter(Legend!$D$2:$D$32,Legend!$B$2:$B$32=D558))"),"DW")</f>
        <v>DW</v>
      </c>
      <c r="I558" s="23" t="b">
        <f t="shared" si="3"/>
        <v>1</v>
      </c>
    </row>
    <row r="559">
      <c r="A559" s="23" t="str">
        <f t="shared" si="6"/>
        <v>SF2003</v>
      </c>
      <c r="B559" s="23" t="str">
        <f>'3.2.raw'!K559</f>
        <v>SF2003</v>
      </c>
      <c r="C559" s="24">
        <f>datevalue(left('3.2.raw'!M559,10))</f>
        <v>43886</v>
      </c>
      <c r="D559" s="23">
        <f>'3.2.raw'!H559</f>
        <v>10</v>
      </c>
      <c r="E559" s="1">
        <v>3.20000000000006</v>
      </c>
      <c r="F559" s="23" t="b">
        <f>if(countif(Status!C:C,A559)=1,TRUE, FALSE)</f>
        <v>1</v>
      </c>
      <c r="G559" s="23" t="str">
        <f t="shared" si="8"/>
        <v>SF</v>
      </c>
      <c r="H559" s="23" t="str">
        <f>IFERROR(__xludf.DUMMYFUNCTION("UPPER(filter(Legend!$D$2:$D$32,Legend!$B$2:$B$32=D559))"),"SF")</f>
        <v>SF</v>
      </c>
      <c r="I559" s="23" t="b">
        <f t="shared" si="3"/>
        <v>1</v>
      </c>
    </row>
    <row r="560">
      <c r="A560" s="23" t="str">
        <f t="shared" si="6"/>
        <v>UF1026</v>
      </c>
      <c r="B560" s="23" t="str">
        <f>'3.2.raw'!K560</f>
        <v>UF1026</v>
      </c>
      <c r="C560" s="24">
        <f>datevalue(left('3.2.raw'!M560,10))</f>
        <v>43886</v>
      </c>
      <c r="D560" s="23">
        <f>'3.2.raw'!H560</f>
        <v>16</v>
      </c>
      <c r="E560" s="1">
        <v>3.20000000000006</v>
      </c>
      <c r="F560" s="23" t="b">
        <f>if(countif(Status!C:C,A560)=1,TRUE, FALSE)</f>
        <v>1</v>
      </c>
      <c r="G560" s="23" t="str">
        <f t="shared" si="8"/>
        <v>UF</v>
      </c>
      <c r="H560" s="23" t="str">
        <f>IFERROR(__xludf.DUMMYFUNCTION("UPPER(filter(Legend!$D$2:$D$32,Legend!$B$2:$B$32=D560))"),"UF")</f>
        <v>UF</v>
      </c>
      <c r="I560" s="23" t="b">
        <f t="shared" si="3"/>
        <v>1</v>
      </c>
    </row>
    <row r="561">
      <c r="A561" s="23" t="str">
        <f t="shared" si="6"/>
        <v>PL1028</v>
      </c>
      <c r="B561" s="23" t="str">
        <f>'3.2.raw'!K561</f>
        <v>PL1028</v>
      </c>
      <c r="C561" s="24">
        <f>datevalue(left('3.2.raw'!M561,10))</f>
        <v>43886</v>
      </c>
      <c r="D561" s="23">
        <f>'3.2.raw'!H561</f>
        <v>11</v>
      </c>
      <c r="E561" s="1">
        <v>3.20000000000006</v>
      </c>
      <c r="F561" s="23" t="b">
        <f>if(countif(Status!C:C,A561)=1,TRUE, FALSE)</f>
        <v>1</v>
      </c>
      <c r="G561" s="23" t="str">
        <f t="shared" si="8"/>
        <v>PL</v>
      </c>
      <c r="H561" s="23" t="str">
        <f>IFERROR(__xludf.DUMMYFUNCTION("UPPER(filter(Legend!$D$2:$D$32,Legend!$B$2:$B$32=D561))"),"PL")</f>
        <v>PL</v>
      </c>
      <c r="I561" s="23" t="b">
        <f t="shared" si="3"/>
        <v>1</v>
      </c>
    </row>
    <row r="562">
      <c r="A562" s="23" t="str">
        <f t="shared" si="6"/>
        <v>PL1029</v>
      </c>
      <c r="B562" s="23" t="str">
        <f>'3.2.raw'!K562</f>
        <v>PL1029</v>
      </c>
      <c r="C562" s="24">
        <f>datevalue(left('3.2.raw'!M562,10))</f>
        <v>43886</v>
      </c>
      <c r="D562" s="23">
        <f>'3.2.raw'!H562</f>
        <v>7</v>
      </c>
      <c r="E562" s="1">
        <v>3.20000000000006</v>
      </c>
      <c r="F562" s="23" t="b">
        <f>if(countif(Status!C:C,A562)=1,TRUE, FALSE)</f>
        <v>1</v>
      </c>
      <c r="G562" s="23" t="str">
        <f t="shared" si="8"/>
        <v>PL</v>
      </c>
      <c r="H562" s="23" t="str">
        <f>IFERROR(__xludf.DUMMYFUNCTION("UPPER(filter(Legend!$D$2:$D$32,Legend!$B$2:$B$32=D562))"),"LS")</f>
        <v>LS</v>
      </c>
      <c r="I562" s="23" t="b">
        <f t="shared" si="3"/>
        <v>0</v>
      </c>
    </row>
    <row r="563">
      <c r="A563" s="23" t="str">
        <f t="shared" si="6"/>
        <v>SL1001</v>
      </c>
      <c r="B563" s="23" t="str">
        <f>'3.2.raw'!K563</f>
        <v>SL1001</v>
      </c>
      <c r="C563" s="24">
        <f>datevalue(left('3.2.raw'!M563,10))</f>
        <v>43888</v>
      </c>
      <c r="D563" s="23">
        <f>'3.2.raw'!H563</f>
        <v>97</v>
      </c>
      <c r="E563" s="1">
        <v>3.20000000000006</v>
      </c>
      <c r="F563" s="23" t="b">
        <f>if(countif(Status!C:C,A563)=1,TRUE, FALSE)</f>
        <v>1</v>
      </c>
      <c r="G563" s="23" t="str">
        <f t="shared" si="8"/>
        <v>SL</v>
      </c>
      <c r="H563" s="23" t="str">
        <f>IFERROR(__xludf.DUMMYFUNCTION("UPPER(filter(Legend!$D$2:$D$32,Legend!$B$2:$B$32=D563))"),"")</f>
        <v/>
      </c>
      <c r="I563" s="23" t="b">
        <f t="shared" si="3"/>
        <v>0</v>
      </c>
    </row>
    <row r="564">
      <c r="A564" s="23" t="str">
        <f t="shared" si="6"/>
        <v>B124-21</v>
      </c>
      <c r="B564" s="23" t="str">
        <f>'3.2.raw'!K564</f>
        <v>B124-21</v>
      </c>
      <c r="C564" s="24">
        <f>datevalue(left('3.2.raw'!M564,10))</f>
        <v>43888</v>
      </c>
      <c r="D564" s="23">
        <f>'3.2.raw'!H564</f>
        <v>97</v>
      </c>
      <c r="E564" s="1">
        <v>3.20000000000006</v>
      </c>
      <c r="F564" s="23" t="b">
        <f>if(countif(Status!C:C,A564)=1,TRUE, FALSE)</f>
        <v>0</v>
      </c>
      <c r="G564" s="23" t="str">
        <f t="shared" si="8"/>
        <v>B12</v>
      </c>
      <c r="H564" s="23" t="str">
        <f>IFERROR(__xludf.DUMMYFUNCTION("UPPER(filter(Legend!$D$2:$D$32,Legend!$B$2:$B$32=D564))"),"")</f>
        <v/>
      </c>
      <c r="I564" s="23" t="b">
        <f t="shared" si="3"/>
        <v>0</v>
      </c>
    </row>
    <row r="565">
      <c r="A565" s="23" t="str">
        <f t="shared" si="6"/>
        <v>PLc1212</v>
      </c>
      <c r="B565" s="23" t="str">
        <f>'3.2.raw'!K565</f>
        <v>PLc1212</v>
      </c>
      <c r="C565" s="24">
        <f>datevalue(left('3.2.raw'!M565,10))</f>
        <v>43888</v>
      </c>
      <c r="D565" s="23">
        <f>'3.2.raw'!H565</f>
        <v>11</v>
      </c>
      <c r="E565" s="1">
        <v>3.20000000000006</v>
      </c>
      <c r="F565" s="23" t="b">
        <f>if(countif(Status!C:C,A565)=1,TRUE, FALSE)</f>
        <v>1</v>
      </c>
      <c r="G565" s="23" t="str">
        <f t="shared" si="8"/>
        <v>PLc</v>
      </c>
      <c r="H565" s="23" t="str">
        <f>IFERROR(__xludf.DUMMYFUNCTION("UPPER(filter(Legend!$D$2:$D$32,Legend!$B$2:$B$32=D565))"),"PL")</f>
        <v>PL</v>
      </c>
      <c r="I565" s="23" t="b">
        <f t="shared" si="3"/>
        <v>1</v>
      </c>
    </row>
    <row r="566">
      <c r="A566" s="23" t="str">
        <f t="shared" si="6"/>
        <v>PLc1213</v>
      </c>
      <c r="B566" s="23" t="str">
        <f>'3.2.raw'!K566</f>
        <v>PLc1213</v>
      </c>
      <c r="C566" s="24">
        <f>datevalue(left('3.2.raw'!M566,10))</f>
        <v>43888</v>
      </c>
      <c r="D566" s="23">
        <f>'3.2.raw'!H566</f>
        <v>11</v>
      </c>
      <c r="E566" s="1">
        <v>3.20000000000006</v>
      </c>
      <c r="F566" s="23" t="b">
        <f>if(countif(Status!C:C,A566)=1,TRUE, FALSE)</f>
        <v>1</v>
      </c>
      <c r="G566" s="23" t="str">
        <f t="shared" si="8"/>
        <v>PLc</v>
      </c>
      <c r="H566" s="23" t="str">
        <f>IFERROR(__xludf.DUMMYFUNCTION("UPPER(filter(Legend!$D$2:$D$32,Legend!$B$2:$B$32=D566))"),"PL")</f>
        <v>PL</v>
      </c>
      <c r="I566" s="23" t="b">
        <f t="shared" si="3"/>
        <v>1</v>
      </c>
    </row>
    <row r="567">
      <c r="A567" s="23" t="str">
        <f t="shared" si="6"/>
        <v>PLc1214</v>
      </c>
      <c r="B567" s="23" t="str">
        <f>'3.2.raw'!K567</f>
        <v>PLc1214</v>
      </c>
      <c r="C567" s="24">
        <f>datevalue(left('3.2.raw'!M567,10))</f>
        <v>43888</v>
      </c>
      <c r="D567" s="23">
        <f>'3.2.raw'!H567</f>
        <v>11</v>
      </c>
      <c r="E567" s="1">
        <v>3.20000000000006</v>
      </c>
      <c r="F567" s="23" t="b">
        <f>if(countif(Status!C:C,A567)=1,TRUE, FALSE)</f>
        <v>1</v>
      </c>
      <c r="G567" s="23" t="str">
        <f t="shared" si="8"/>
        <v>PLc</v>
      </c>
      <c r="H567" s="23" t="str">
        <f>IFERROR(__xludf.DUMMYFUNCTION("UPPER(filter(Legend!$D$2:$D$32,Legend!$B$2:$B$32=D567))"),"PL")</f>
        <v>PL</v>
      </c>
      <c r="I567" s="23" t="b">
        <f t="shared" si="3"/>
        <v>1</v>
      </c>
    </row>
    <row r="568">
      <c r="A568" s="23" t="str">
        <f t="shared" si="6"/>
        <v>FPb2005</v>
      </c>
      <c r="B568" s="23" t="str">
        <f>'3.2.raw'!K568</f>
        <v>FPb2005</v>
      </c>
      <c r="C568" s="24">
        <f>datevalue(left('3.2.raw'!M568,10))</f>
        <v>43888</v>
      </c>
      <c r="D568" s="23">
        <f>'3.2.raw'!H568</f>
        <v>14</v>
      </c>
      <c r="E568" s="1">
        <v>3.20000000000006</v>
      </c>
      <c r="F568" s="23" t="b">
        <f>if(countif(Status!C:C,A568)=1,TRUE, FALSE)</f>
        <v>1</v>
      </c>
      <c r="G568" s="23" t="str">
        <f t="shared" si="8"/>
        <v>FPb</v>
      </c>
      <c r="H568" s="23" t="str">
        <f>IFERROR(__xludf.DUMMYFUNCTION("UPPER(filter(Legend!$D$2:$D$32,Legend!$B$2:$B$32=D568))"),"FP")</f>
        <v>FP</v>
      </c>
      <c r="I568" s="23" t="b">
        <f t="shared" si="3"/>
        <v>1</v>
      </c>
    </row>
    <row r="569">
      <c r="A569" s="23" t="str">
        <f t="shared" si="6"/>
        <v>FPd2005</v>
      </c>
      <c r="B569" s="23" t="str">
        <f>'3.2.raw'!K569</f>
        <v>FPd2005</v>
      </c>
      <c r="C569" s="24">
        <f>datevalue(left('3.2.raw'!M569,10))</f>
        <v>43888</v>
      </c>
      <c r="D569" s="23">
        <f>'3.2.raw'!H569</f>
        <v>14</v>
      </c>
      <c r="E569" s="1">
        <v>3.20000000000006</v>
      </c>
      <c r="F569" s="23" t="b">
        <f>if(countif(Status!C:C,A569)=1,TRUE, FALSE)</f>
        <v>1</v>
      </c>
      <c r="G569" s="23" t="str">
        <f t="shared" si="8"/>
        <v>FPd</v>
      </c>
      <c r="H569" s="23" t="str">
        <f>IFERROR(__xludf.DUMMYFUNCTION("UPPER(filter(Legend!$D$2:$D$32,Legend!$B$2:$B$32=D569))"),"FP")</f>
        <v>FP</v>
      </c>
      <c r="I569" s="23" t="b">
        <f t="shared" si="3"/>
        <v>1</v>
      </c>
    </row>
    <row r="570">
      <c r="A570" s="23" t="str">
        <f t="shared" si="6"/>
        <v>FPe2005</v>
      </c>
      <c r="B570" s="23" t="str">
        <f>'3.2.raw'!K570</f>
        <v>FPe2005</v>
      </c>
      <c r="C570" s="24">
        <f>datevalue(left('3.2.raw'!M570,10))</f>
        <v>43888</v>
      </c>
      <c r="D570" s="23">
        <f>'3.2.raw'!H570</f>
        <v>14</v>
      </c>
      <c r="E570" s="1">
        <v>3.20000000000006</v>
      </c>
      <c r="F570" s="23" t="b">
        <f>if(countif(Status!C:C,A570)=1,TRUE, FALSE)</f>
        <v>1</v>
      </c>
      <c r="G570" s="23" t="str">
        <f t="shared" si="8"/>
        <v>FPe</v>
      </c>
      <c r="H570" s="23" t="str">
        <f>IFERROR(__xludf.DUMMYFUNCTION("UPPER(filter(Legend!$D$2:$D$32,Legend!$B$2:$B$32=D570))"),"FP")</f>
        <v>FP</v>
      </c>
      <c r="I570" s="23" t="b">
        <f t="shared" si="3"/>
        <v>1</v>
      </c>
    </row>
    <row r="571">
      <c r="A571" s="23" t="str">
        <f t="shared" si="6"/>
        <v>FPa2005</v>
      </c>
      <c r="B571" s="23" t="str">
        <f>'3.2.raw'!K571</f>
        <v>FPa2005</v>
      </c>
      <c r="C571" s="24">
        <f>datevalue(left('3.2.raw'!M571,10))</f>
        <v>43888</v>
      </c>
      <c r="D571" s="23">
        <f>'3.2.raw'!H571</f>
        <v>14</v>
      </c>
      <c r="E571" s="1">
        <v>3.20000000000006</v>
      </c>
      <c r="F571" s="23" t="b">
        <f>if(countif(Status!C:C,A571)=1,TRUE, FALSE)</f>
        <v>1</v>
      </c>
      <c r="G571" s="23" t="str">
        <f t="shared" si="8"/>
        <v>FPa</v>
      </c>
      <c r="H571" s="23" t="str">
        <f>IFERROR(__xludf.DUMMYFUNCTION("UPPER(filter(Legend!$D$2:$D$32,Legend!$B$2:$B$32=D571))"),"FP")</f>
        <v>FP</v>
      </c>
      <c r="I571" s="23" t="b">
        <f t="shared" si="3"/>
        <v>1</v>
      </c>
    </row>
    <row r="572">
      <c r="A572" s="23" t="str">
        <f t="shared" si="6"/>
        <v>FPc2005</v>
      </c>
      <c r="B572" s="23" t="str">
        <f>'3.2.raw'!K572</f>
        <v>FPc2005</v>
      </c>
      <c r="C572" s="24">
        <f>datevalue(left('3.2.raw'!M572,10))</f>
        <v>43888</v>
      </c>
      <c r="D572" s="23">
        <f>'3.2.raw'!H572</f>
        <v>14</v>
      </c>
      <c r="E572" s="1">
        <v>3.20000000000006</v>
      </c>
      <c r="F572" s="23" t="b">
        <f>if(countif(Status!C:C,A572)=1,TRUE, FALSE)</f>
        <v>1</v>
      </c>
      <c r="G572" s="23" t="str">
        <f t="shared" si="8"/>
        <v>FPc</v>
      </c>
      <c r="H572" s="23" t="str">
        <f>IFERROR(__xludf.DUMMYFUNCTION("UPPER(filter(Legend!$D$2:$D$32,Legend!$B$2:$B$32=D572))"),"FP")</f>
        <v>FP</v>
      </c>
      <c r="I572" s="23" t="b">
        <f t="shared" si="3"/>
        <v>1</v>
      </c>
    </row>
    <row r="573">
      <c r="A573" s="23" t="str">
        <f t="shared" si="6"/>
        <v>SL1001</v>
      </c>
      <c r="B573" s="23" t="str">
        <f>'3.2.raw'!K573</f>
        <v>SL1001</v>
      </c>
      <c r="C573" s="24">
        <f>datevalue(left('3.2.raw'!M573,10))</f>
        <v>43888</v>
      </c>
      <c r="D573" s="23">
        <f>'3.2.raw'!H573</f>
        <v>97</v>
      </c>
      <c r="E573" s="1">
        <v>3.20000000000006</v>
      </c>
      <c r="F573" s="23" t="b">
        <f>if(countif(Status!C:C,A573)=1,TRUE, FALSE)</f>
        <v>1</v>
      </c>
      <c r="G573" s="23" t="str">
        <f t="shared" si="8"/>
        <v>SL</v>
      </c>
      <c r="H573" s="23" t="str">
        <f>IFERROR(__xludf.DUMMYFUNCTION("UPPER(filter(Legend!$D$2:$D$32,Legend!$B$2:$B$32=D573))"),"")</f>
        <v/>
      </c>
      <c r="I573" s="23" t="b">
        <f t="shared" si="3"/>
        <v>0</v>
      </c>
    </row>
    <row r="574">
      <c r="A574" s="23" t="str">
        <f t="shared" si="6"/>
        <v>B124-21</v>
      </c>
      <c r="B574" s="23" t="str">
        <f>'3.2.raw'!K574</f>
        <v>B124-21</v>
      </c>
      <c r="C574" s="24">
        <f>datevalue(left('3.2.raw'!M574,10))</f>
        <v>43888</v>
      </c>
      <c r="D574" s="23">
        <f>'3.2.raw'!H574</f>
        <v>97</v>
      </c>
      <c r="E574" s="1">
        <v>3.20000000000006</v>
      </c>
      <c r="F574" s="23" t="b">
        <f>if(countif(Status!C:C,A574)=1,TRUE, FALSE)</f>
        <v>0</v>
      </c>
      <c r="G574" s="23" t="str">
        <f t="shared" si="8"/>
        <v>B12</v>
      </c>
      <c r="H574" s="23" t="str">
        <f>IFERROR(__xludf.DUMMYFUNCTION("UPPER(filter(Legend!$D$2:$D$32,Legend!$B$2:$B$32=D574))"),"")</f>
        <v/>
      </c>
      <c r="I574" s="23" t="b">
        <f t="shared" si="3"/>
        <v>0</v>
      </c>
    </row>
    <row r="575">
      <c r="A575" s="23" t="str">
        <f t="shared" si="6"/>
        <v>PLc1215</v>
      </c>
      <c r="B575" s="23" t="str">
        <f>'3.2.raw'!K575</f>
        <v>PLc1215</v>
      </c>
      <c r="C575" s="24">
        <f>datevalue(left('3.2.raw'!M575,10))</f>
        <v>43892</v>
      </c>
      <c r="D575" s="23">
        <f>'3.2.raw'!H575</f>
        <v>11</v>
      </c>
      <c r="E575" s="1">
        <v>3.20000000000006</v>
      </c>
      <c r="F575" s="23" t="b">
        <f>if(countif(Status!C:C,A575)=1,TRUE, FALSE)</f>
        <v>1</v>
      </c>
      <c r="G575" s="23" t="str">
        <f t="shared" si="8"/>
        <v>PLc</v>
      </c>
      <c r="H575" s="23" t="str">
        <f>IFERROR(__xludf.DUMMYFUNCTION("UPPER(filter(Legend!$D$2:$D$32,Legend!$B$2:$B$32=D575))"),"PL")</f>
        <v>PL</v>
      </c>
      <c r="I575" s="23" t="b">
        <f t="shared" si="3"/>
        <v>1</v>
      </c>
    </row>
    <row r="576">
      <c r="A576" s="23" t="str">
        <f t="shared" si="6"/>
        <v>PLc1216</v>
      </c>
      <c r="B576" s="23" t="str">
        <f>'3.2.raw'!K576</f>
        <v>PLc1216</v>
      </c>
      <c r="C576" s="24">
        <f>datevalue(left('3.2.raw'!M576,10))</f>
        <v>43892</v>
      </c>
      <c r="D576" s="23">
        <f>'3.2.raw'!H576</f>
        <v>11</v>
      </c>
      <c r="E576" s="1">
        <v>3.20000000000006</v>
      </c>
      <c r="F576" s="23" t="b">
        <f>if(countif(Status!C:C,A576)=1,TRUE, FALSE)</f>
        <v>1</v>
      </c>
      <c r="G576" s="23" t="str">
        <f t="shared" si="8"/>
        <v>PLc</v>
      </c>
      <c r="H576" s="23" t="str">
        <f>IFERROR(__xludf.DUMMYFUNCTION("UPPER(filter(Legend!$D$2:$D$32,Legend!$B$2:$B$32=D576))"),"PL")</f>
        <v>PL</v>
      </c>
      <c r="I576" s="23" t="b">
        <f t="shared" si="3"/>
        <v>1</v>
      </c>
    </row>
    <row r="577">
      <c r="A577" s="23" t="str">
        <f t="shared" si="6"/>
        <v>PLc1217</v>
      </c>
      <c r="B577" s="23" t="str">
        <f>'3.2.raw'!K577</f>
        <v>PLc1217</v>
      </c>
      <c r="C577" s="24">
        <f>datevalue(left('3.2.raw'!M577,10))</f>
        <v>43892</v>
      </c>
      <c r="D577" s="23">
        <f>'3.2.raw'!H577</f>
        <v>11</v>
      </c>
      <c r="E577" s="1">
        <v>3.20000000000006</v>
      </c>
      <c r="F577" s="23" t="b">
        <f>if(countif(Status!C:C,A577)=1,TRUE, FALSE)</f>
        <v>1</v>
      </c>
      <c r="G577" s="23" t="str">
        <f t="shared" si="8"/>
        <v>PLc</v>
      </c>
      <c r="H577" s="23" t="str">
        <f>IFERROR(__xludf.DUMMYFUNCTION("UPPER(filter(Legend!$D$2:$D$32,Legend!$B$2:$B$32=D577))"),"PL")</f>
        <v>PL</v>
      </c>
      <c r="I577" s="23" t="b">
        <f t="shared" si="3"/>
        <v>1</v>
      </c>
    </row>
    <row r="578">
      <c r="A578" s="23" t="str">
        <f t="shared" si="6"/>
        <v>UF1027</v>
      </c>
      <c r="B578" s="23" t="str">
        <f>'3.2.raw'!K578</f>
        <v>UF1027</v>
      </c>
      <c r="C578" s="24">
        <f>datevalue(left('3.2.raw'!M578,10))</f>
        <v>43892</v>
      </c>
      <c r="D578" s="23">
        <f>'3.2.raw'!H578</f>
        <v>16</v>
      </c>
      <c r="E578" s="1">
        <v>3.20000000000006</v>
      </c>
      <c r="F578" s="23" t="b">
        <f>if(countif(Status!C:C,A578)=1,TRUE, FALSE)</f>
        <v>1</v>
      </c>
      <c r="G578" s="23" t="str">
        <f t="shared" si="8"/>
        <v>UF</v>
      </c>
      <c r="H578" s="23" t="str">
        <f>IFERROR(__xludf.DUMMYFUNCTION("UPPER(filter(Legend!$D$2:$D$32,Legend!$B$2:$B$32=D578))"),"UF")</f>
        <v>UF</v>
      </c>
      <c r="I578" s="23" t="b">
        <f t="shared" si="3"/>
        <v>1</v>
      </c>
    </row>
    <row r="579">
      <c r="A579" s="23" t="str">
        <f t="shared" si="6"/>
        <v>BW2002</v>
      </c>
      <c r="B579" s="23" t="str">
        <f>'3.2.raw'!K579</f>
        <v>BW2002</v>
      </c>
      <c r="C579" s="24">
        <f>datevalue(left('3.2.raw'!M579,10))</f>
        <v>43892</v>
      </c>
      <c r="D579" s="23">
        <f>'3.2.raw'!H579</f>
        <v>9</v>
      </c>
      <c r="E579" s="1">
        <v>3.20000000000006</v>
      </c>
      <c r="F579" s="23" t="b">
        <f>if(countif(Status!C:C,A579)=1,TRUE, FALSE)</f>
        <v>1</v>
      </c>
      <c r="G579" s="23" t="str">
        <f t="shared" si="8"/>
        <v>BW</v>
      </c>
      <c r="H579" s="23" t="str">
        <f>IFERROR(__xludf.DUMMYFUNCTION("UPPER(filter(Legend!$D$2:$D$32,Legend!$B$2:$B$32=D579))"),"BW")</f>
        <v>BW</v>
      </c>
      <c r="I579" s="23" t="b">
        <f t="shared" si="3"/>
        <v>1</v>
      </c>
    </row>
    <row r="580">
      <c r="A580" s="23" t="str">
        <f t="shared" si="6"/>
        <v>RP2003</v>
      </c>
      <c r="B580" s="23" t="str">
        <f>'3.2.raw'!K580</f>
        <v>RP2003</v>
      </c>
      <c r="C580" s="24">
        <f>datevalue(left('3.2.raw'!M580,10))</f>
        <v>43892</v>
      </c>
      <c r="D580" s="23">
        <f>'3.2.raw'!H580</f>
        <v>2</v>
      </c>
      <c r="E580" s="1">
        <v>3.20000000000006</v>
      </c>
      <c r="F580" s="23" t="b">
        <f>if(countif(Status!C:C,A580)=1,TRUE, FALSE)</f>
        <v>1</v>
      </c>
      <c r="G580" s="23" t="str">
        <f t="shared" si="8"/>
        <v>RP</v>
      </c>
      <c r="H580" s="23" t="str">
        <f>IFERROR(__xludf.DUMMYFUNCTION("UPPER(filter(Legend!$D$2:$D$32,Legend!$B$2:$B$32=D580))"),"RP")</f>
        <v>RP</v>
      </c>
      <c r="I580" s="23" t="b">
        <f t="shared" si="3"/>
        <v>1</v>
      </c>
    </row>
    <row r="581">
      <c r="A581" s="23" t="str">
        <f t="shared" si="6"/>
        <v>SL1001(1)</v>
      </c>
      <c r="B581" s="55" t="str">
        <f>'3.2.raw'!K581</f>
        <v>SL1001(1)</v>
      </c>
      <c r="C581" s="24">
        <f>datevalue(left('3.2.raw'!M581,10))</f>
        <v>43892</v>
      </c>
      <c r="D581" s="23">
        <f>'3.2.raw'!H581</f>
        <v>97</v>
      </c>
      <c r="E581" s="1">
        <v>3.20000000000006</v>
      </c>
      <c r="F581" s="23" t="b">
        <f>if(countif(Status!C:C,A581)=1,TRUE, FALSE)</f>
        <v>0</v>
      </c>
      <c r="G581" s="23" t="str">
        <f t="shared" si="8"/>
        <v>SL100</v>
      </c>
      <c r="H581" s="23" t="str">
        <f>IFERROR(__xludf.DUMMYFUNCTION("UPPER(filter(Legend!$D$2:$D$32,Legend!$B$2:$B$32=D581))"),"")</f>
        <v/>
      </c>
      <c r="I581" s="23" t="b">
        <f t="shared" si="3"/>
        <v>0</v>
      </c>
    </row>
    <row r="582">
      <c r="A582" s="23" t="str">
        <f t="shared" si="6"/>
        <v>SL1001(2)</v>
      </c>
      <c r="B582" s="55" t="str">
        <f>'3.2.raw'!K582</f>
        <v>SL1001(2)</v>
      </c>
      <c r="C582" s="24">
        <f>datevalue(left('3.2.raw'!M582,10))</f>
        <v>43892</v>
      </c>
      <c r="D582" s="23">
        <f>'3.2.raw'!H582</f>
        <v>97</v>
      </c>
      <c r="E582" s="1">
        <v>3.20000000000006</v>
      </c>
      <c r="F582" s="23" t="b">
        <f>if(countif(Status!C:C,A582)=1,TRUE, FALSE)</f>
        <v>0</v>
      </c>
      <c r="G582" s="23" t="str">
        <f t="shared" si="8"/>
        <v>SL100</v>
      </c>
      <c r="H582" s="23" t="str">
        <f>IFERROR(__xludf.DUMMYFUNCTION("UPPER(filter(Legend!$D$2:$D$32,Legend!$B$2:$B$32=D582))"),"")</f>
        <v/>
      </c>
      <c r="I582" s="23" t="b">
        <f t="shared" si="3"/>
        <v>0</v>
      </c>
    </row>
    <row r="583">
      <c r="A583" s="23" t="str">
        <f t="shared" si="6"/>
        <v>B124-21(1)</v>
      </c>
      <c r="B583" s="55" t="str">
        <f>'3.2.raw'!K583</f>
        <v>B124-21(1)</v>
      </c>
      <c r="C583" s="24">
        <f>datevalue(left('3.2.raw'!M583,10))</f>
        <v>43892</v>
      </c>
      <c r="D583" s="23">
        <f>'3.2.raw'!H583</f>
        <v>97</v>
      </c>
      <c r="E583" s="1">
        <v>3.20000000000006</v>
      </c>
      <c r="F583" s="23" t="b">
        <f>if(countif(Status!C:C,A583)=1,TRUE, FALSE)</f>
        <v>0</v>
      </c>
      <c r="G583" s="23" t="str">
        <f t="shared" si="8"/>
        <v>B124-2</v>
      </c>
      <c r="H583" s="23" t="str">
        <f>IFERROR(__xludf.DUMMYFUNCTION("UPPER(filter(Legend!$D$2:$D$32,Legend!$B$2:$B$32=D583))"),"")</f>
        <v/>
      </c>
      <c r="I583" s="23" t="b">
        <f t="shared" si="3"/>
        <v>0</v>
      </c>
    </row>
    <row r="584">
      <c r="A584" s="23" t="str">
        <f t="shared" si="6"/>
        <v>B124-21(2)</v>
      </c>
      <c r="B584" s="55" t="str">
        <f>'3.2.raw'!K584</f>
        <v>B124-21(2)</v>
      </c>
      <c r="C584" s="24">
        <f>datevalue(left('3.2.raw'!M584,10))</f>
        <v>43892</v>
      </c>
      <c r="D584" s="23">
        <f>'3.2.raw'!H584</f>
        <v>97</v>
      </c>
      <c r="E584" s="1">
        <v>3.20000000000006</v>
      </c>
      <c r="F584" s="23" t="b">
        <f>if(countif(Status!C:C,A584)=1,TRUE, FALSE)</f>
        <v>0</v>
      </c>
      <c r="G584" s="23" t="str">
        <f t="shared" si="8"/>
        <v>B124-2</v>
      </c>
      <c r="H584" s="23" t="str">
        <f>IFERROR(__xludf.DUMMYFUNCTION("UPPER(filter(Legend!$D$2:$D$32,Legend!$B$2:$B$32=D584))"),"")</f>
        <v/>
      </c>
      <c r="I584" s="23" t="b">
        <f t="shared" si="3"/>
        <v>0</v>
      </c>
    </row>
    <row r="585">
      <c r="A585" s="23" t="str">
        <f t="shared" si="6"/>
        <v>B124-21(3)</v>
      </c>
      <c r="B585" s="55" t="str">
        <f>'3.2.raw'!K585</f>
        <v>B124-21(3)</v>
      </c>
      <c r="C585" s="24">
        <f>datevalue(left('3.2.raw'!M585,10))</f>
        <v>43892</v>
      </c>
      <c r="D585" s="23">
        <f>'3.2.raw'!H585</f>
        <v>97</v>
      </c>
      <c r="E585" s="1">
        <v>3.20000000000006</v>
      </c>
      <c r="F585" s="23" t="b">
        <f>if(countif(Status!C:C,A585)=1,TRUE, FALSE)</f>
        <v>0</v>
      </c>
      <c r="G585" s="23" t="str">
        <f t="shared" si="8"/>
        <v>B124-2</v>
      </c>
      <c r="H585" s="23" t="str">
        <f>IFERROR(__xludf.DUMMYFUNCTION("UPPER(filter(Legend!$D$2:$D$32,Legend!$B$2:$B$32=D585))"),"")</f>
        <v/>
      </c>
      <c r="I585" s="23" t="b">
        <f t="shared" si="3"/>
        <v>0</v>
      </c>
    </row>
    <row r="586">
      <c r="A586" s="23" t="str">
        <f t="shared" si="6"/>
        <v>B124-21(4)</v>
      </c>
      <c r="B586" s="55" t="str">
        <f>'3.2.raw'!K586</f>
        <v>B124-21(4)</v>
      </c>
      <c r="C586" s="24">
        <f>datevalue(left('3.2.raw'!M586,10))</f>
        <v>43892</v>
      </c>
      <c r="D586" s="23">
        <f>'3.2.raw'!H586</f>
        <v>97</v>
      </c>
      <c r="E586" s="1">
        <v>3.20000000000006</v>
      </c>
      <c r="F586" s="23" t="b">
        <f>if(countif(Status!C:C,A586)=1,TRUE, FALSE)</f>
        <v>0</v>
      </c>
      <c r="G586" s="23" t="str">
        <f t="shared" si="8"/>
        <v>B124-2</v>
      </c>
      <c r="H586" s="23" t="str">
        <f>IFERROR(__xludf.DUMMYFUNCTION("UPPER(filter(Legend!$D$2:$D$32,Legend!$B$2:$B$32=D586))"),"")</f>
        <v/>
      </c>
      <c r="I586" s="23" t="b">
        <f t="shared" si="3"/>
        <v>0</v>
      </c>
    </row>
    <row r="587">
      <c r="A587" s="23" t="str">
        <f t="shared" si="6"/>
        <v>FPc2005R</v>
      </c>
      <c r="B587" s="55" t="str">
        <f>'3.2.raw'!K587</f>
        <v>FPc2005R</v>
      </c>
      <c r="C587" s="24">
        <f>datevalue(left('3.2.raw'!M587,10))</f>
        <v>43892</v>
      </c>
      <c r="D587" s="23">
        <f>'3.2.raw'!H587</f>
        <v>14</v>
      </c>
      <c r="E587" s="1">
        <v>3.20000000000006</v>
      </c>
      <c r="F587" s="23" t="b">
        <f>if(countif(Status!C:C,A587)=1,TRUE, FALSE)</f>
        <v>0</v>
      </c>
      <c r="G587" s="23" t="str">
        <f t="shared" si="8"/>
        <v>FPc2</v>
      </c>
      <c r="H587" s="23" t="str">
        <f>IFERROR(__xludf.DUMMYFUNCTION("UPPER(filter(Legend!$D$2:$D$32,Legend!$B$2:$B$32=D587))"),"FP")</f>
        <v>FP</v>
      </c>
      <c r="I587" s="23" t="b">
        <f t="shared" si="3"/>
        <v>0</v>
      </c>
    </row>
    <row r="588">
      <c r="A588" s="23" t="str">
        <f t="shared" si="6"/>
        <v>SL1001</v>
      </c>
      <c r="B588" s="23" t="str">
        <f>'3.2.raw'!K588</f>
        <v>SL1001</v>
      </c>
      <c r="C588" s="24">
        <f>datevalue(left('3.2.raw'!M588,10))</f>
        <v>43892</v>
      </c>
      <c r="D588" s="23">
        <f>'3.2.raw'!H588</f>
        <v>97</v>
      </c>
      <c r="E588" s="1">
        <v>3.20000000000006</v>
      </c>
      <c r="F588" s="23" t="b">
        <f>if(countif(Status!C:C,A588)=1,TRUE, FALSE)</f>
        <v>1</v>
      </c>
      <c r="G588" s="23" t="str">
        <f t="shared" si="8"/>
        <v>SL</v>
      </c>
      <c r="H588" s="23" t="str">
        <f>IFERROR(__xludf.DUMMYFUNCTION("UPPER(filter(Legend!$D$2:$D$32,Legend!$B$2:$B$32=D588))"),"")</f>
        <v/>
      </c>
      <c r="I588" s="23" t="b">
        <f t="shared" si="3"/>
        <v>0</v>
      </c>
    </row>
    <row r="589">
      <c r="A589" s="23" t="str">
        <f t="shared" si="6"/>
        <v>B124-21(1)</v>
      </c>
      <c r="B589" s="23" t="str">
        <f>'3.2.raw'!K589</f>
        <v>B124-21(1)</v>
      </c>
      <c r="C589" s="24">
        <f>datevalue(left('3.2.raw'!M589,10))</f>
        <v>43892</v>
      </c>
      <c r="D589" s="23">
        <f>'3.2.raw'!H589</f>
        <v>97</v>
      </c>
      <c r="E589" s="1">
        <v>3.20000000000006</v>
      </c>
      <c r="F589" s="23" t="b">
        <f>if(countif(Status!C:C,A589)=1,TRUE, FALSE)</f>
        <v>0</v>
      </c>
      <c r="G589" s="23" t="str">
        <f t="shared" si="8"/>
        <v>B124-2</v>
      </c>
      <c r="H589" s="23" t="str">
        <f>IFERROR(__xludf.DUMMYFUNCTION("UPPER(filter(Legend!$D$2:$D$32,Legend!$B$2:$B$32=D589))"),"")</f>
        <v/>
      </c>
      <c r="I589" s="23" t="b">
        <f t="shared" si="3"/>
        <v>0</v>
      </c>
    </row>
    <row r="590">
      <c r="A590" s="23" t="str">
        <f t="shared" si="6"/>
        <v>B124-21(2)</v>
      </c>
      <c r="B590" s="23" t="str">
        <f>'3.2.raw'!K590</f>
        <v>B124-21(2)</v>
      </c>
      <c r="C590" s="24">
        <f>datevalue(left('3.2.raw'!M590,10))</f>
        <v>43892</v>
      </c>
      <c r="D590" s="23">
        <f>'3.2.raw'!H590</f>
        <v>97</v>
      </c>
      <c r="E590" s="1">
        <v>3.20000000000006</v>
      </c>
      <c r="F590" s="23" t="b">
        <f>if(countif(Status!C:C,A590)=1,TRUE, FALSE)</f>
        <v>0</v>
      </c>
      <c r="G590" s="23" t="str">
        <f t="shared" si="8"/>
        <v>B124-2</v>
      </c>
      <c r="H590" s="23" t="str">
        <f>IFERROR(__xludf.DUMMYFUNCTION("UPPER(filter(Legend!$D$2:$D$32,Legend!$B$2:$B$32=D590))"),"")</f>
        <v/>
      </c>
      <c r="I590" s="23" t="b">
        <f t="shared" si="3"/>
        <v>0</v>
      </c>
    </row>
    <row r="591">
      <c r="A591" s="23" t="str">
        <f t="shared" si="6"/>
        <v>UF1028</v>
      </c>
      <c r="B591" s="23" t="str">
        <f>'3.2.raw'!K591</f>
        <v>UF1028</v>
      </c>
      <c r="C591" s="24">
        <f>datevalue(left('3.2.raw'!M591,10))</f>
        <v>43894</v>
      </c>
      <c r="D591" s="23">
        <f>'3.2.raw'!H591</f>
        <v>16</v>
      </c>
      <c r="E591" s="1">
        <v>3.20000000000006</v>
      </c>
      <c r="F591" s="23" t="b">
        <f>if(countif(Status!C:C,A591)=1,TRUE, FALSE)</f>
        <v>1</v>
      </c>
      <c r="G591" s="23" t="str">
        <f t="shared" si="8"/>
        <v>UF</v>
      </c>
      <c r="H591" s="23" t="str">
        <f>IFERROR(__xludf.DUMMYFUNCTION("UPPER(filter(Legend!$D$2:$D$32,Legend!$B$2:$B$32=D591))"),"UF")</f>
        <v>UF</v>
      </c>
      <c r="I591" s="23" t="b">
        <f t="shared" si="3"/>
        <v>1</v>
      </c>
    </row>
    <row r="592">
      <c r="A592" s="23" t="str">
        <f t="shared" si="6"/>
        <v>PL1030</v>
      </c>
      <c r="B592" s="23" t="str">
        <f>'3.2.raw'!K592</f>
        <v>PL1030</v>
      </c>
      <c r="C592" s="24">
        <f>datevalue(left('3.2.raw'!M592,10))</f>
        <v>43894</v>
      </c>
      <c r="D592" s="23">
        <f>'3.2.raw'!H592</f>
        <v>7</v>
      </c>
      <c r="E592" s="1">
        <v>3.20000000000006</v>
      </c>
      <c r="F592" s="23" t="b">
        <f>if(countif(Status!C:C,A592)=1,TRUE, FALSE)</f>
        <v>1</v>
      </c>
      <c r="G592" s="23" t="str">
        <f t="shared" si="8"/>
        <v>PL</v>
      </c>
      <c r="H592" s="23" t="str">
        <f>IFERROR(__xludf.DUMMYFUNCTION("UPPER(filter(Legend!$D$2:$D$32,Legend!$B$2:$B$32=D592))"),"LS")</f>
        <v>LS</v>
      </c>
      <c r="I592" s="23" t="b">
        <f t="shared" si="3"/>
        <v>0</v>
      </c>
    </row>
    <row r="593">
      <c r="A593" s="23" t="str">
        <f t="shared" si="6"/>
        <v>PL1031</v>
      </c>
      <c r="B593" s="23" t="str">
        <f>'3.2.raw'!K593</f>
        <v>PL1031</v>
      </c>
      <c r="C593" s="24">
        <f>datevalue(left('3.2.raw'!M593,10))</f>
        <v>43894</v>
      </c>
      <c r="D593" s="23">
        <f>'3.2.raw'!H593</f>
        <v>7</v>
      </c>
      <c r="E593" s="1">
        <v>3.20000000000006</v>
      </c>
      <c r="F593" s="23" t="b">
        <f>if(countif(Status!C:C,A593)=1,TRUE, FALSE)</f>
        <v>1</v>
      </c>
      <c r="G593" s="23" t="str">
        <f t="shared" si="8"/>
        <v>PL</v>
      </c>
      <c r="H593" s="23" t="str">
        <f>IFERROR(__xludf.DUMMYFUNCTION("UPPER(filter(Legend!$D$2:$D$32,Legend!$B$2:$B$32=D593))"),"LS")</f>
        <v>LS</v>
      </c>
      <c r="I593" s="23" t="b">
        <f t="shared" si="3"/>
        <v>0</v>
      </c>
    </row>
    <row r="594">
      <c r="A594" s="23" t="str">
        <f t="shared" si="6"/>
        <v>PLc1218</v>
      </c>
      <c r="B594" s="23" t="str">
        <f>'3.2.raw'!K594</f>
        <v>PLc1218</v>
      </c>
      <c r="C594" s="24">
        <f>datevalue(left('3.2.raw'!M594,10))</f>
        <v>43895</v>
      </c>
      <c r="D594" s="23">
        <f>'3.2.raw'!H594</f>
        <v>11</v>
      </c>
      <c r="E594" s="1">
        <v>3.20000000000006</v>
      </c>
      <c r="F594" s="23" t="b">
        <f>if(countif(Status!C:C,A594)=1,TRUE, FALSE)</f>
        <v>1</v>
      </c>
      <c r="G594" s="23" t="str">
        <f t="shared" si="8"/>
        <v>PLc</v>
      </c>
      <c r="H594" s="23" t="str">
        <f>IFERROR(__xludf.DUMMYFUNCTION("UPPER(filter(Legend!$D$2:$D$32,Legend!$B$2:$B$32=D594))"),"PL")</f>
        <v>PL</v>
      </c>
      <c r="I594" s="23" t="b">
        <f t="shared" si="3"/>
        <v>1</v>
      </c>
    </row>
    <row r="595">
      <c r="A595" s="23" t="str">
        <f t="shared" si="6"/>
        <v>PLc1219</v>
      </c>
      <c r="B595" s="23" t="str">
        <f>'3.2.raw'!K595</f>
        <v>PLc1219</v>
      </c>
      <c r="C595" s="24">
        <f>datevalue(left('3.2.raw'!M595,10))</f>
        <v>43895</v>
      </c>
      <c r="D595" s="23">
        <f>'3.2.raw'!H595</f>
        <v>11</v>
      </c>
      <c r="E595" s="1">
        <v>3.20000000000006</v>
      </c>
      <c r="F595" s="23" t="b">
        <f>if(countif(Status!C:C,A595)=1,TRUE, FALSE)</f>
        <v>1</v>
      </c>
      <c r="G595" s="23" t="str">
        <f t="shared" si="8"/>
        <v>PLc</v>
      </c>
      <c r="H595" s="23" t="str">
        <f>IFERROR(__xludf.DUMMYFUNCTION("UPPER(filter(Legend!$D$2:$D$32,Legend!$B$2:$B$32=D595))"),"PL")</f>
        <v>PL</v>
      </c>
      <c r="I595" s="23" t="b">
        <f t="shared" si="3"/>
        <v>1</v>
      </c>
    </row>
    <row r="596">
      <c r="A596" s="23" t="str">
        <f t="shared" si="6"/>
        <v>SL1001</v>
      </c>
      <c r="B596" s="23" t="str">
        <f>'3.2.raw'!K596</f>
        <v>SL1001</v>
      </c>
      <c r="C596" s="24">
        <f>datevalue(left('3.2.raw'!M596,10))</f>
        <v>43895</v>
      </c>
      <c r="D596" s="23">
        <f>'3.2.raw'!H596</f>
        <v>97</v>
      </c>
      <c r="E596" s="1">
        <v>3.20000000000006</v>
      </c>
      <c r="F596" s="23" t="b">
        <f>if(countif(Status!C:C,A596)=1,TRUE, FALSE)</f>
        <v>1</v>
      </c>
      <c r="G596" s="23" t="str">
        <f t="shared" si="8"/>
        <v>SL</v>
      </c>
      <c r="H596" s="23" t="str">
        <f>IFERROR(__xludf.DUMMYFUNCTION("UPPER(filter(Legend!$D$2:$D$32,Legend!$B$2:$B$32=D596))"),"")</f>
        <v/>
      </c>
      <c r="I596" s="23" t="b">
        <f t="shared" si="3"/>
        <v>0</v>
      </c>
    </row>
    <row r="597">
      <c r="A597" s="23" t="str">
        <f t="shared" si="6"/>
        <v>B124-21</v>
      </c>
      <c r="B597" s="23" t="str">
        <f>'3.2.raw'!K597</f>
        <v>B124-21</v>
      </c>
      <c r="C597" s="24">
        <f>datevalue(left('3.2.raw'!M597,10))</f>
        <v>43895</v>
      </c>
      <c r="D597" s="23">
        <f>'3.2.raw'!H597</f>
        <v>97</v>
      </c>
      <c r="E597" s="1">
        <v>3.20000000000007</v>
      </c>
      <c r="F597" s="23" t="b">
        <f>if(countif(Status!C:C,A597)=1,TRUE, FALSE)</f>
        <v>0</v>
      </c>
      <c r="G597" s="23" t="str">
        <f t="shared" si="8"/>
        <v>B12</v>
      </c>
      <c r="H597" s="23" t="str">
        <f>IFERROR(__xludf.DUMMYFUNCTION("UPPER(filter(Legend!$D$2:$D$32,Legend!$B$2:$B$32=D597))"),"")</f>
        <v/>
      </c>
      <c r="I597" s="23" t="b">
        <f t="shared" si="3"/>
        <v>0</v>
      </c>
    </row>
    <row r="598">
      <c r="A598" s="23" t="str">
        <f t="shared" si="6"/>
        <v>SW2003</v>
      </c>
      <c r="B598" s="23" t="str">
        <f>'3.2.raw'!K598</f>
        <v>SW2003</v>
      </c>
      <c r="C598" s="24">
        <f>datevalue(left('3.2.raw'!M598,10))</f>
        <v>43901</v>
      </c>
      <c r="D598" s="23">
        <f>'3.2.raw'!H598</f>
        <v>5</v>
      </c>
      <c r="E598" s="1">
        <v>3.20000000000007</v>
      </c>
      <c r="F598" s="23" t="b">
        <f>if(countif(Status!C:C,A598)=1,TRUE, FALSE)</f>
        <v>1</v>
      </c>
      <c r="G598" s="23" t="str">
        <f t="shared" si="8"/>
        <v>SW</v>
      </c>
      <c r="H598" s="23" t="str">
        <f>IFERROR(__xludf.DUMMYFUNCTION("UPPER(filter(Legend!$D$2:$D$32,Legend!$B$2:$B$32=D598))"),"SW")</f>
        <v>SW</v>
      </c>
      <c r="I598" s="23" t="b">
        <f t="shared" si="3"/>
        <v>1</v>
      </c>
    </row>
    <row r="599">
      <c r="A599" s="23" t="str">
        <f t="shared" si="6"/>
        <v>SL2004</v>
      </c>
      <c r="B599" s="23" t="str">
        <f>'3.2.raw'!K599</f>
        <v>SL2004</v>
      </c>
      <c r="C599" s="24">
        <f>datevalue(left('3.2.raw'!M599,10))</f>
        <v>43901</v>
      </c>
      <c r="D599" s="23">
        <f>'3.2.raw'!H599</f>
        <v>8</v>
      </c>
      <c r="E599" s="1">
        <v>3.20000000000007</v>
      </c>
      <c r="F599" s="23" t="b">
        <f>if(countif(Status!C:C,A599)=1,TRUE, FALSE)</f>
        <v>1</v>
      </c>
      <c r="G599" s="23" t="str">
        <f t="shared" si="8"/>
        <v>SL</v>
      </c>
      <c r="H599" s="23" t="str">
        <f>IFERROR(__xludf.DUMMYFUNCTION("UPPER(filter(Legend!$D$2:$D$32,Legend!$B$2:$B$32=D599))"),"SL")</f>
        <v>SL</v>
      </c>
      <c r="I599" s="23" t="b">
        <f t="shared" si="3"/>
        <v>1</v>
      </c>
    </row>
    <row r="600">
      <c r="A600" s="23" t="str">
        <f t="shared" si="6"/>
        <v>BW2003</v>
      </c>
      <c r="B600" s="23" t="str">
        <f>'3.2.raw'!K600</f>
        <v>BW2003</v>
      </c>
      <c r="C600" s="24">
        <f>datevalue(left('3.2.raw'!M600,10))</f>
        <v>43901</v>
      </c>
      <c r="D600" s="23">
        <f>'3.2.raw'!H600</f>
        <v>9</v>
      </c>
      <c r="E600" s="1">
        <v>3.20000000000007</v>
      </c>
      <c r="F600" s="23" t="b">
        <f>if(countif(Status!C:C,A600)=1,TRUE, FALSE)</f>
        <v>1</v>
      </c>
      <c r="G600" s="23" t="str">
        <f t="shared" si="8"/>
        <v>BW</v>
      </c>
      <c r="H600" s="23" t="str">
        <f>IFERROR(__xludf.DUMMYFUNCTION("UPPER(filter(Legend!$D$2:$D$32,Legend!$B$2:$B$32=D600))"),"BW")</f>
        <v>BW</v>
      </c>
      <c r="I600" s="23" t="b">
        <f t="shared" si="3"/>
        <v>1</v>
      </c>
    </row>
    <row r="601">
      <c r="A601" s="23" t="str">
        <f t="shared" si="6"/>
        <v>RP2004</v>
      </c>
      <c r="B601" s="23" t="str">
        <f>'3.2.raw'!K601</f>
        <v>RP2004</v>
      </c>
      <c r="C601" s="24">
        <f>datevalue(left('3.2.raw'!M601,10))</f>
        <v>43901</v>
      </c>
      <c r="D601" s="23">
        <f>'3.2.raw'!H601</f>
        <v>2</v>
      </c>
      <c r="E601" s="1">
        <v>3.20000000000007</v>
      </c>
      <c r="F601" s="23" t="b">
        <f>if(countif(Status!C:C,A601)=1,TRUE, FALSE)</f>
        <v>1</v>
      </c>
      <c r="G601" s="23" t="str">
        <f t="shared" si="8"/>
        <v>RP</v>
      </c>
      <c r="H601" s="23" t="str">
        <f>IFERROR(__xludf.DUMMYFUNCTION("UPPER(filter(Legend!$D$2:$D$32,Legend!$B$2:$B$32=D601))"),"RP")</f>
        <v>RP</v>
      </c>
      <c r="I601" s="23" t="b">
        <f t="shared" si="3"/>
        <v>1</v>
      </c>
    </row>
    <row r="602">
      <c r="A602" s="23" t="str">
        <f t="shared" si="6"/>
        <v>PL1032</v>
      </c>
      <c r="B602" s="23" t="str">
        <f>'3.2.raw'!K602</f>
        <v>PL1032</v>
      </c>
      <c r="C602" s="24">
        <f>datevalue(left('3.2.raw'!M602,10))</f>
        <v>43901</v>
      </c>
      <c r="D602" s="23">
        <f>'3.2.raw'!H602</f>
        <v>7</v>
      </c>
      <c r="E602" s="1">
        <v>3.20000000000007</v>
      </c>
      <c r="F602" s="23" t="b">
        <f>if(countif(Status!C:C,A602)=1,TRUE, FALSE)</f>
        <v>1</v>
      </c>
      <c r="G602" s="23" t="str">
        <f t="shared" si="8"/>
        <v>PL</v>
      </c>
      <c r="H602" s="23" t="str">
        <f>IFERROR(__xludf.DUMMYFUNCTION("UPPER(filter(Legend!$D$2:$D$32,Legend!$B$2:$B$32=D602))"),"LS")</f>
        <v>LS</v>
      </c>
      <c r="I602" s="23" t="b">
        <f t="shared" si="3"/>
        <v>0</v>
      </c>
    </row>
    <row r="603">
      <c r="A603" s="23" t="str">
        <f t="shared" si="6"/>
        <v>PL1033</v>
      </c>
      <c r="B603" s="23" t="str">
        <f>'3.2.raw'!K603</f>
        <v>PL1033</v>
      </c>
      <c r="C603" s="24">
        <f>datevalue(left('3.2.raw'!M603,10))</f>
        <v>43901</v>
      </c>
      <c r="D603" s="23">
        <f>'3.2.raw'!H603</f>
        <v>7</v>
      </c>
      <c r="E603" s="1">
        <v>3.20000000000007</v>
      </c>
      <c r="F603" s="23" t="b">
        <f>if(countif(Status!C:C,A603)=1,TRUE, FALSE)</f>
        <v>1</v>
      </c>
      <c r="G603" s="23" t="str">
        <f t="shared" si="8"/>
        <v>PL</v>
      </c>
      <c r="H603" s="23" t="str">
        <f>IFERROR(__xludf.DUMMYFUNCTION("UPPER(filter(Legend!$D$2:$D$32,Legend!$B$2:$B$32=D603))"),"LS")</f>
        <v>LS</v>
      </c>
      <c r="I603" s="23" t="b">
        <f t="shared" si="3"/>
        <v>0</v>
      </c>
    </row>
    <row r="604">
      <c r="A604" s="23" t="str">
        <f t="shared" si="6"/>
        <v>PLc1220</v>
      </c>
      <c r="B604" s="23" t="str">
        <f>'3.2.raw'!K604</f>
        <v>PLc1220</v>
      </c>
      <c r="C604" s="24">
        <f>datevalue(left('3.2.raw'!M604,10))</f>
        <v>43901</v>
      </c>
      <c r="D604" s="23">
        <f>'3.2.raw'!H604</f>
        <v>11</v>
      </c>
      <c r="E604" s="1">
        <v>3.20000000000007</v>
      </c>
      <c r="F604" s="23" t="b">
        <f>if(countif(Status!C:C,A604)=1,TRUE, FALSE)</f>
        <v>1</v>
      </c>
      <c r="G604" s="23" t="str">
        <f t="shared" si="8"/>
        <v>PLc</v>
      </c>
      <c r="H604" s="23" t="str">
        <f>IFERROR(__xludf.DUMMYFUNCTION("UPPER(filter(Legend!$D$2:$D$32,Legend!$B$2:$B$32=D604))"),"PL")</f>
        <v>PL</v>
      </c>
      <c r="I604" s="23" t="b">
        <f t="shared" si="3"/>
        <v>1</v>
      </c>
    </row>
    <row r="605">
      <c r="A605" s="23" t="str">
        <f t="shared" si="6"/>
        <v>UF1029</v>
      </c>
      <c r="B605" s="23" t="str">
        <f>'3.2.raw'!K605</f>
        <v>UF1029</v>
      </c>
      <c r="C605" s="24">
        <f>datevalue(left('3.2.raw'!M605,10))</f>
        <v>43901</v>
      </c>
      <c r="D605" s="23">
        <f>'3.2.raw'!H605</f>
        <v>16</v>
      </c>
      <c r="E605" s="1">
        <v>3.20000000000007</v>
      </c>
      <c r="F605" s="23" t="b">
        <f>if(countif(Status!C:C,A605)=1,TRUE, FALSE)</f>
        <v>1</v>
      </c>
      <c r="G605" s="23" t="str">
        <f t="shared" si="8"/>
        <v>UF</v>
      </c>
      <c r="H605" s="23" t="str">
        <f>IFERROR(__xludf.DUMMYFUNCTION("UPPER(filter(Legend!$D$2:$D$32,Legend!$B$2:$B$32=D605))"),"UF")</f>
        <v>UF</v>
      </c>
      <c r="I605" s="23" t="b">
        <f t="shared" si="3"/>
        <v>1</v>
      </c>
    </row>
    <row r="606">
      <c r="A606" s="23" t="str">
        <f t="shared" si="6"/>
        <v>PLc1221</v>
      </c>
      <c r="B606" s="23" t="str">
        <f>'3.2.raw'!K606</f>
        <v>PLc1221</v>
      </c>
      <c r="C606" s="24">
        <f>datevalue(left('3.2.raw'!M606,10))</f>
        <v>43901</v>
      </c>
      <c r="D606" s="23">
        <f>'3.2.raw'!H606</f>
        <v>11</v>
      </c>
      <c r="E606" s="1">
        <v>3.20000000000007</v>
      </c>
      <c r="F606" s="23" t="b">
        <f>if(countif(Status!C:C,A606)=1,TRUE, FALSE)</f>
        <v>1</v>
      </c>
      <c r="G606" s="23" t="str">
        <f t="shared" si="8"/>
        <v>PLc</v>
      </c>
      <c r="H606" s="23" t="str">
        <f>IFERROR(__xludf.DUMMYFUNCTION("UPPER(filter(Legend!$D$2:$D$32,Legend!$B$2:$B$32=D606))"),"PL")</f>
        <v>PL</v>
      </c>
      <c r="I606" s="23" t="b">
        <f t="shared" si="3"/>
        <v>1</v>
      </c>
    </row>
    <row r="607">
      <c r="A607" s="23" t="str">
        <f t="shared" si="6"/>
        <v>SL1001</v>
      </c>
      <c r="B607" s="23" t="str">
        <f>'3.2.raw'!K607</f>
        <v>SL1001</v>
      </c>
      <c r="C607" s="24">
        <f>datevalue(left('3.2.raw'!M607,10))</f>
        <v>43901</v>
      </c>
      <c r="D607" s="23">
        <f>'3.2.raw'!H607</f>
        <v>97</v>
      </c>
      <c r="E607" s="1">
        <v>3.20000000000007</v>
      </c>
      <c r="F607" s="23" t="b">
        <f>if(countif(Status!C:C,A607)=1,TRUE, FALSE)</f>
        <v>1</v>
      </c>
      <c r="G607" s="23" t="str">
        <f t="shared" si="8"/>
        <v>SL</v>
      </c>
      <c r="H607" s="23" t="str">
        <f>IFERROR(__xludf.DUMMYFUNCTION("UPPER(filter(Legend!$D$2:$D$32,Legend!$B$2:$B$32=D607))"),"")</f>
        <v/>
      </c>
      <c r="I607" s="23" t="b">
        <f t="shared" si="3"/>
        <v>0</v>
      </c>
    </row>
    <row r="608">
      <c r="A608" s="23" t="str">
        <f t="shared" si="6"/>
        <v>B124-21</v>
      </c>
      <c r="B608" s="23" t="str">
        <f>'3.2.raw'!K608</f>
        <v>B124-21</v>
      </c>
      <c r="C608" s="24">
        <f>datevalue(left('3.2.raw'!M608,10))</f>
        <v>43901</v>
      </c>
      <c r="D608" s="23">
        <f>'3.2.raw'!H608</f>
        <v>97</v>
      </c>
      <c r="E608" s="1">
        <v>3.20000000000007</v>
      </c>
      <c r="F608" s="23" t="b">
        <f>if(countif(Status!C:C,A608)=1,TRUE, FALSE)</f>
        <v>0</v>
      </c>
      <c r="G608" s="23" t="str">
        <f t="shared" si="8"/>
        <v>B12</v>
      </c>
      <c r="H608" s="23" t="str">
        <f>IFERROR(__xludf.DUMMYFUNCTION("UPPER(filter(Legend!$D$2:$D$32,Legend!$B$2:$B$32=D608))"),"")</f>
        <v/>
      </c>
      <c r="I608" s="23" t="b">
        <f t="shared" si="3"/>
        <v>0</v>
      </c>
    </row>
    <row r="609">
      <c r="A609" s="23" t="str">
        <f t="shared" si="6"/>
        <v>SL1001</v>
      </c>
      <c r="B609" s="23" t="str">
        <f>'3.2.raw'!K609</f>
        <v>SL1001</v>
      </c>
      <c r="C609" s="24">
        <f>datevalue(left('3.2.raw'!M609,10))</f>
        <v>43901</v>
      </c>
      <c r="D609" s="23">
        <f>'3.2.raw'!H609</f>
        <v>97</v>
      </c>
      <c r="E609" s="1">
        <v>3.20000000000007</v>
      </c>
      <c r="F609" s="23" t="b">
        <f>if(countif(Status!C:C,A609)=1,TRUE, FALSE)</f>
        <v>1</v>
      </c>
      <c r="G609" s="23" t="str">
        <f t="shared" si="8"/>
        <v>SL</v>
      </c>
      <c r="H609" s="23" t="str">
        <f>IFERROR(__xludf.DUMMYFUNCTION("UPPER(filter(Legend!$D$2:$D$32,Legend!$B$2:$B$32=D609))"),"")</f>
        <v/>
      </c>
      <c r="I609" s="23" t="b">
        <f t="shared" si="3"/>
        <v>0</v>
      </c>
    </row>
    <row r="610">
      <c r="A610" s="23" t="str">
        <f t="shared" si="6"/>
        <v>SW2003R</v>
      </c>
      <c r="B610" s="55" t="str">
        <f>'3.2.raw'!K610</f>
        <v>SW2003R</v>
      </c>
      <c r="C610" s="24">
        <f>datevalue(left('3.2.raw'!M610,10))</f>
        <v>43901</v>
      </c>
      <c r="D610" s="23">
        <f>'3.2.raw'!H610</f>
        <v>5</v>
      </c>
      <c r="E610" s="1">
        <v>3.20000000000007</v>
      </c>
      <c r="F610" s="23" t="b">
        <f>if(countif(Status!C:C,A610)=1,TRUE, FALSE)</f>
        <v>0</v>
      </c>
      <c r="G610" s="23" t="str">
        <f t="shared" si="8"/>
        <v>SW2</v>
      </c>
      <c r="H610" s="23" t="str">
        <f>IFERROR(__xludf.DUMMYFUNCTION("UPPER(filter(Legend!$D$2:$D$32,Legend!$B$2:$B$32=D610))"),"SW")</f>
        <v>SW</v>
      </c>
      <c r="I610" s="23" t="b">
        <f t="shared" si="3"/>
        <v>1</v>
      </c>
    </row>
    <row r="611">
      <c r="A611" s="23" t="str">
        <f t="shared" si="6"/>
        <v>SL2004R</v>
      </c>
      <c r="B611" s="55" t="str">
        <f>'3.2.raw'!K611</f>
        <v>SL2004R</v>
      </c>
      <c r="C611" s="24">
        <f>datevalue(left('3.2.raw'!M611,10))</f>
        <v>43901</v>
      </c>
      <c r="D611" s="23">
        <f>'3.2.raw'!H611</f>
        <v>8</v>
      </c>
      <c r="E611" s="1">
        <v>3.20000000000007</v>
      </c>
      <c r="F611" s="23" t="b">
        <f>if(countif(Status!C:C,A611)=1,TRUE, FALSE)</f>
        <v>0</v>
      </c>
      <c r="G611" s="23" t="str">
        <f t="shared" si="8"/>
        <v>SL2</v>
      </c>
      <c r="H611" s="23" t="str">
        <f>IFERROR(__xludf.DUMMYFUNCTION("UPPER(filter(Legend!$D$2:$D$32,Legend!$B$2:$B$32=D611))"),"SL")</f>
        <v>SL</v>
      </c>
      <c r="I611" s="23" t="b">
        <f t="shared" si="3"/>
        <v>1</v>
      </c>
    </row>
    <row r="612">
      <c r="A612" s="23" t="str">
        <f t="shared" si="6"/>
        <v>BW2003R</v>
      </c>
      <c r="B612" s="55" t="str">
        <f>'3.2.raw'!K612</f>
        <v>BW2003R</v>
      </c>
      <c r="C612" s="24">
        <f>datevalue(left('3.2.raw'!M612,10))</f>
        <v>43901</v>
      </c>
      <c r="D612" s="23">
        <f>'3.2.raw'!H612</f>
        <v>9</v>
      </c>
      <c r="E612" s="1">
        <v>3.20000000000007</v>
      </c>
      <c r="F612" s="23" t="b">
        <f>if(countif(Status!C:C,A612)=1,TRUE, FALSE)</f>
        <v>0</v>
      </c>
      <c r="G612" s="23" t="str">
        <f t="shared" si="8"/>
        <v>BW2</v>
      </c>
      <c r="H612" s="23" t="str">
        <f>IFERROR(__xludf.DUMMYFUNCTION("UPPER(filter(Legend!$D$2:$D$32,Legend!$B$2:$B$32=D612))"),"BW")</f>
        <v>BW</v>
      </c>
      <c r="I612" s="23" t="b">
        <f t="shared" si="3"/>
        <v>1</v>
      </c>
    </row>
    <row r="613">
      <c r="A613" s="23" t="str">
        <f t="shared" si="6"/>
        <v>RP2004R</v>
      </c>
      <c r="B613" s="55" t="str">
        <f>'3.2.raw'!K613</f>
        <v>RP2004R</v>
      </c>
      <c r="C613" s="24">
        <f>datevalue(left('3.2.raw'!M613,10))</f>
        <v>43901</v>
      </c>
      <c r="D613" s="23">
        <f>'3.2.raw'!H613</f>
        <v>2</v>
      </c>
      <c r="E613" s="1">
        <v>3.20000000000007</v>
      </c>
      <c r="F613" s="23" t="b">
        <f>if(countif(Status!C:C,A613)=1,TRUE, FALSE)</f>
        <v>0</v>
      </c>
      <c r="G613" s="23" t="str">
        <f t="shared" si="8"/>
        <v>RP2</v>
      </c>
      <c r="H613" s="23" t="str">
        <f>IFERROR(__xludf.DUMMYFUNCTION("UPPER(filter(Legend!$D$2:$D$32,Legend!$B$2:$B$32=D613))"),"RP")</f>
        <v>RP</v>
      </c>
      <c r="I613" s="23" t="b">
        <f t="shared" si="3"/>
        <v>1</v>
      </c>
    </row>
    <row r="614">
      <c r="A614" s="23" t="str">
        <f t="shared" si="6"/>
        <v>PL1032R</v>
      </c>
      <c r="B614" s="55" t="str">
        <f>'3.2.raw'!K614</f>
        <v>PL1032R</v>
      </c>
      <c r="C614" s="24">
        <f>datevalue(left('3.2.raw'!M614,10))</f>
        <v>43901</v>
      </c>
      <c r="D614" s="23">
        <f>'3.2.raw'!H614</f>
        <v>7</v>
      </c>
      <c r="E614" s="1">
        <v>3.20000000000007</v>
      </c>
      <c r="F614" s="23" t="b">
        <f>if(countif(Status!C:C,A614)=1,TRUE, FALSE)</f>
        <v>0</v>
      </c>
      <c r="G614" s="23" t="str">
        <f t="shared" si="8"/>
        <v>PL1</v>
      </c>
      <c r="H614" s="23" t="str">
        <f>IFERROR(__xludf.DUMMYFUNCTION("UPPER(filter(Legend!$D$2:$D$32,Legend!$B$2:$B$32=D614))"),"LS")</f>
        <v>LS</v>
      </c>
      <c r="I614" s="23" t="b">
        <f t="shared" si="3"/>
        <v>0</v>
      </c>
    </row>
    <row r="615">
      <c r="A615" s="23" t="str">
        <f t="shared" si="6"/>
        <v>PL1033R</v>
      </c>
      <c r="B615" s="55" t="str">
        <f>'3.2.raw'!K615</f>
        <v>PL1033R</v>
      </c>
      <c r="C615" s="24">
        <f>datevalue(left('3.2.raw'!M615,10))</f>
        <v>43901</v>
      </c>
      <c r="D615" s="23">
        <f>'3.2.raw'!H615</f>
        <v>7</v>
      </c>
      <c r="E615" s="1">
        <v>3.20000000000007</v>
      </c>
      <c r="F615" s="23" t="b">
        <f>if(countif(Status!C:C,A615)=1,TRUE, FALSE)</f>
        <v>0</v>
      </c>
      <c r="G615" s="23" t="str">
        <f t="shared" si="8"/>
        <v>PL1</v>
      </c>
      <c r="H615" s="23" t="str">
        <f>IFERROR(__xludf.DUMMYFUNCTION("UPPER(filter(Legend!$D$2:$D$32,Legend!$B$2:$B$32=D615))"),"LS")</f>
        <v>LS</v>
      </c>
      <c r="I615" s="23" t="b">
        <f t="shared" si="3"/>
        <v>0</v>
      </c>
    </row>
    <row r="616">
      <c r="A616" s="23" t="str">
        <f t="shared" si="6"/>
        <v>PLc1220R</v>
      </c>
      <c r="B616" s="55" t="str">
        <f>'3.2.raw'!K616</f>
        <v>PLc1220R</v>
      </c>
      <c r="C616" s="24">
        <f>datevalue(left('3.2.raw'!M616,10))</f>
        <v>43901</v>
      </c>
      <c r="D616" s="23">
        <f>'3.2.raw'!H616</f>
        <v>11</v>
      </c>
      <c r="E616" s="1">
        <v>3.20000000000007</v>
      </c>
      <c r="F616" s="23" t="b">
        <f>if(countif(Status!C:C,A616)=1,TRUE, FALSE)</f>
        <v>0</v>
      </c>
      <c r="G616" s="23" t="str">
        <f t="shared" si="8"/>
        <v>PLc1</v>
      </c>
      <c r="H616" s="23" t="str">
        <f>IFERROR(__xludf.DUMMYFUNCTION("UPPER(filter(Legend!$D$2:$D$32,Legend!$B$2:$B$32=D616))"),"PL")</f>
        <v>PL</v>
      </c>
      <c r="I616" s="23" t="b">
        <f t="shared" si="3"/>
        <v>0</v>
      </c>
    </row>
    <row r="617">
      <c r="A617" s="23" t="str">
        <f t="shared" si="6"/>
        <v>PLc1221R</v>
      </c>
      <c r="B617" s="55" t="str">
        <f>'3.2.raw'!K617</f>
        <v>PLc1221R</v>
      </c>
      <c r="C617" s="24">
        <f>datevalue(left('3.2.raw'!M617,10))</f>
        <v>43901</v>
      </c>
      <c r="D617" s="23">
        <f>'3.2.raw'!H617</f>
        <v>11</v>
      </c>
      <c r="E617" s="1">
        <v>3.20000000000007</v>
      </c>
      <c r="F617" s="23" t="b">
        <f>if(countif(Status!C:C,A617)=1,TRUE, FALSE)</f>
        <v>0</v>
      </c>
      <c r="G617" s="23" t="str">
        <f t="shared" si="8"/>
        <v>PLc1</v>
      </c>
      <c r="H617" s="23" t="str">
        <f>IFERROR(__xludf.DUMMYFUNCTION("UPPER(filter(Legend!$D$2:$D$32,Legend!$B$2:$B$32=D617))"),"PL")</f>
        <v>PL</v>
      </c>
      <c r="I617" s="23" t="b">
        <f t="shared" si="3"/>
        <v>0</v>
      </c>
    </row>
    <row r="618">
      <c r="A618" s="23" t="str">
        <f t="shared" si="6"/>
        <v>UF1029R</v>
      </c>
      <c r="B618" s="55" t="str">
        <f>'3.2.raw'!K618</f>
        <v>UF1029R</v>
      </c>
      <c r="C618" s="24">
        <f>datevalue(left('3.2.raw'!M618,10))</f>
        <v>43901</v>
      </c>
      <c r="D618" s="23">
        <f>'3.2.raw'!H618</f>
        <v>16</v>
      </c>
      <c r="E618" s="1">
        <v>3.20000000000007</v>
      </c>
      <c r="F618" s="23" t="b">
        <f>if(countif(Status!C:C,A618)=1,TRUE, FALSE)</f>
        <v>0</v>
      </c>
      <c r="G618" s="23" t="str">
        <f t="shared" si="8"/>
        <v>UF1</v>
      </c>
      <c r="H618" s="23" t="str">
        <f>IFERROR(__xludf.DUMMYFUNCTION("UPPER(filter(Legend!$D$2:$D$32,Legend!$B$2:$B$32=D618))"),"UF")</f>
        <v>UF</v>
      </c>
      <c r="I618" s="23" t="b">
        <f t="shared" si="3"/>
        <v>1</v>
      </c>
    </row>
    <row r="619">
      <c r="A619" s="23" t="str">
        <f t="shared" si="6"/>
        <v>PLc1222</v>
      </c>
      <c r="B619" s="23" t="str">
        <f>'3.2.raw'!K619</f>
        <v>PLc1222</v>
      </c>
      <c r="C619" s="24">
        <f>datevalue(left('3.2.raw'!M619,10))</f>
        <v>43906</v>
      </c>
      <c r="D619" s="23">
        <f>'3.2.raw'!H619</f>
        <v>11</v>
      </c>
      <c r="E619" s="1">
        <v>3.20000000000007</v>
      </c>
      <c r="F619" s="23" t="b">
        <f>if(countif(Status!C:C,A619)=1,TRUE, FALSE)</f>
        <v>1</v>
      </c>
      <c r="G619" s="23" t="str">
        <f t="shared" si="8"/>
        <v>PLc</v>
      </c>
      <c r="H619" s="23" t="str">
        <f>IFERROR(__xludf.DUMMYFUNCTION("UPPER(filter(Legend!$D$2:$D$32,Legend!$B$2:$B$32=D619))"),"PL")</f>
        <v>PL</v>
      </c>
      <c r="I619" s="23" t="b">
        <f t="shared" si="3"/>
        <v>1</v>
      </c>
    </row>
    <row r="620">
      <c r="A620" s="23" t="str">
        <f t="shared" si="6"/>
        <v>PLc1223</v>
      </c>
      <c r="B620" s="23" t="str">
        <f>'3.2.raw'!K620</f>
        <v>PLc1223</v>
      </c>
      <c r="C620" s="24">
        <f>datevalue(left('3.2.raw'!M620,10))</f>
        <v>43906</v>
      </c>
      <c r="D620" s="23">
        <f>'3.2.raw'!H620</f>
        <v>11</v>
      </c>
      <c r="E620" s="1">
        <v>3.20000000000007</v>
      </c>
      <c r="F620" s="23" t="b">
        <f>if(countif(Status!C:C,A620)=1,TRUE, FALSE)</f>
        <v>1</v>
      </c>
      <c r="G620" s="23" t="str">
        <f t="shared" si="8"/>
        <v>PLc</v>
      </c>
      <c r="H620" s="23" t="str">
        <f>IFERROR(__xludf.DUMMYFUNCTION("UPPER(filter(Legend!$D$2:$D$32,Legend!$B$2:$B$32=D620))"),"PL")</f>
        <v>PL</v>
      </c>
      <c r="I620" s="23" t="b">
        <f t="shared" si="3"/>
        <v>1</v>
      </c>
    </row>
    <row r="621">
      <c r="A621" s="23" t="str">
        <f t="shared" si="6"/>
        <v>RP2005</v>
      </c>
      <c r="B621" s="23" t="str">
        <f>'3.2.raw'!K621</f>
        <v>RP2005</v>
      </c>
      <c r="C621" s="24">
        <f>datevalue(left('3.2.raw'!M621,10))</f>
        <v>43906</v>
      </c>
      <c r="D621" s="23">
        <f>'3.2.raw'!H621</f>
        <v>2</v>
      </c>
      <c r="E621" s="1">
        <v>3.20000000000007</v>
      </c>
      <c r="F621" s="23" t="b">
        <f>if(countif(Status!C:C,A621)=1,TRUE, FALSE)</f>
        <v>1</v>
      </c>
      <c r="G621" s="23" t="str">
        <f t="shared" si="8"/>
        <v>RP</v>
      </c>
      <c r="H621" s="23" t="str">
        <f>IFERROR(__xludf.DUMMYFUNCTION("UPPER(filter(Legend!$D$2:$D$32,Legend!$B$2:$B$32=D621))"),"RP")</f>
        <v>RP</v>
      </c>
      <c r="I621" s="23" t="b">
        <f t="shared" si="3"/>
        <v>1</v>
      </c>
    </row>
    <row r="622">
      <c r="A622" s="23" t="str">
        <f t="shared" si="6"/>
        <v>RP2006</v>
      </c>
      <c r="B622" s="23" t="str">
        <f>'3.2.raw'!K622</f>
        <v>RP2006</v>
      </c>
      <c r="C622" s="24">
        <f>datevalue(left('3.2.raw'!M622,10))</f>
        <v>43906</v>
      </c>
      <c r="D622" s="23">
        <f>'3.2.raw'!H622</f>
        <v>2</v>
      </c>
      <c r="E622" s="1">
        <v>3.20000000000007</v>
      </c>
      <c r="F622" s="23" t="b">
        <f>if(countif(Status!C:C,A622)=1,TRUE, FALSE)</f>
        <v>1</v>
      </c>
      <c r="G622" s="23" t="str">
        <f t="shared" si="8"/>
        <v>RP</v>
      </c>
      <c r="H622" s="23" t="str">
        <f>IFERROR(__xludf.DUMMYFUNCTION("UPPER(filter(Legend!$D$2:$D$32,Legend!$B$2:$B$32=D622))"),"RP")</f>
        <v>RP</v>
      </c>
      <c r="I622" s="23" t="b">
        <f t="shared" si="3"/>
        <v>1</v>
      </c>
    </row>
    <row r="623">
      <c r="A623" s="23" t="str">
        <f t="shared" si="6"/>
        <v>SL2005</v>
      </c>
      <c r="B623" s="23" t="str">
        <f>'3.2.raw'!K623</f>
        <v>SL2005</v>
      </c>
      <c r="C623" s="24">
        <f>datevalue(left('3.2.raw'!M623,10))</f>
        <v>43906</v>
      </c>
      <c r="D623" s="23">
        <f>'3.2.raw'!H623</f>
        <v>8</v>
      </c>
      <c r="E623" s="1">
        <v>3.20000000000007</v>
      </c>
      <c r="F623" s="23" t="b">
        <f>if(countif(Status!C:C,A623)=1,TRUE, FALSE)</f>
        <v>1</v>
      </c>
      <c r="G623" s="23" t="str">
        <f t="shared" si="8"/>
        <v>SL</v>
      </c>
      <c r="H623" s="23" t="str">
        <f>IFERROR(__xludf.DUMMYFUNCTION("UPPER(filter(Legend!$D$2:$D$32,Legend!$B$2:$B$32=D623))"),"SL")</f>
        <v>SL</v>
      </c>
      <c r="I623" s="23" t="b">
        <f t="shared" si="3"/>
        <v>1</v>
      </c>
    </row>
    <row r="624">
      <c r="A624" s="23" t="str">
        <f t="shared" si="6"/>
        <v>UF1030</v>
      </c>
      <c r="B624" s="23" t="str">
        <f>'3.2.raw'!K624</f>
        <v>UF1030</v>
      </c>
      <c r="C624" s="24">
        <f>datevalue(left('3.2.raw'!M624,10))</f>
        <v>43906</v>
      </c>
      <c r="D624" s="23">
        <f>'3.2.raw'!H624</f>
        <v>16</v>
      </c>
      <c r="E624" s="1">
        <v>3.20000000000007</v>
      </c>
      <c r="F624" s="23" t="b">
        <f>if(countif(Status!C:C,A624)=1,TRUE, FALSE)</f>
        <v>1</v>
      </c>
      <c r="G624" s="23" t="str">
        <f t="shared" si="8"/>
        <v>UF</v>
      </c>
      <c r="H624" s="23" t="str">
        <f>IFERROR(__xludf.DUMMYFUNCTION("UPPER(filter(Legend!$D$2:$D$32,Legend!$B$2:$B$32=D624))"),"UF")</f>
        <v>UF</v>
      </c>
      <c r="I624" s="23" t="b">
        <f t="shared" si="3"/>
        <v>1</v>
      </c>
    </row>
    <row r="625">
      <c r="A625" s="23" t="str">
        <f t="shared" si="6"/>
        <v/>
      </c>
      <c r="B625" s="23" t="str">
        <f>'3.2.raw'!K625</f>
        <v/>
      </c>
      <c r="C625" s="24" t="str">
        <f>datevalue(left('3.2.raw'!M625,10))</f>
        <v>#VALUE!</v>
      </c>
      <c r="D625" s="23" t="str">
        <f>'3.2.raw'!H625</f>
        <v/>
      </c>
      <c r="E625" s="1">
        <v>3.20000000000007</v>
      </c>
      <c r="F625" s="23" t="b">
        <f>if(countif(Status!C:C,A625)=1,TRUE, FALSE)</f>
        <v>0</v>
      </c>
      <c r="G625" s="23" t="str">
        <f t="shared" si="8"/>
        <v>#VALUE!</v>
      </c>
      <c r="H625" s="23" t="str">
        <f>IFERROR(__xludf.DUMMYFUNCTION("UPPER(filter(Legend!$D$2:$D$32,Legend!$B$2:$B$32=D625))"),"DWA")</f>
        <v>DWA</v>
      </c>
      <c r="I625" s="23" t="str">
        <f t="shared" si="3"/>
        <v>#VALUE!</v>
      </c>
    </row>
    <row r="626">
      <c r="A626" s="23" t="str">
        <f t="shared" si="6"/>
        <v/>
      </c>
      <c r="B626" s="23" t="str">
        <f>'3.2.raw'!K626</f>
        <v/>
      </c>
      <c r="C626" s="24" t="str">
        <f>datevalue(left('3.2.raw'!M626,10))</f>
        <v>#VALUE!</v>
      </c>
      <c r="D626" s="23" t="str">
        <f>'3.2.raw'!H626</f>
        <v/>
      </c>
      <c r="E626" s="1">
        <v>3.20000000000007</v>
      </c>
      <c r="F626" s="23" t="b">
        <f>if(countif(Status!C:C,A626)=1,TRUE, FALSE)</f>
        <v>0</v>
      </c>
      <c r="G626" s="23" t="str">
        <f t="shared" si="8"/>
        <v>#VALUE!</v>
      </c>
      <c r="H626" s="23" t="str">
        <f>IFERROR(__xludf.DUMMYFUNCTION("UPPER(filter(Legend!$D$2:$D$32,Legend!$B$2:$B$32=D626))"),"DWA")</f>
        <v>DWA</v>
      </c>
      <c r="I626" s="23" t="str">
        <f t="shared" si="3"/>
        <v>#VALUE!</v>
      </c>
    </row>
    <row r="627">
      <c r="A627" s="23" t="str">
        <f t="shared" si="6"/>
        <v/>
      </c>
      <c r="B627" s="23" t="str">
        <f>'3.2.raw'!K627</f>
        <v/>
      </c>
      <c r="C627" s="24" t="str">
        <f>datevalue(left('3.2.raw'!M627,10))</f>
        <v>#VALUE!</v>
      </c>
      <c r="D627" s="23" t="str">
        <f>'3.2.raw'!H627</f>
        <v/>
      </c>
      <c r="E627" s="1">
        <v>3.20000000000007</v>
      </c>
      <c r="F627" s="23" t="b">
        <f>if(countif(Status!C:C,A627)=1,TRUE, FALSE)</f>
        <v>0</v>
      </c>
      <c r="G627" s="23" t="str">
        <f t="shared" si="8"/>
        <v>#VALUE!</v>
      </c>
      <c r="H627" s="23" t="str">
        <f>IFERROR(__xludf.DUMMYFUNCTION("UPPER(filter(Legend!$D$2:$D$32,Legend!$B$2:$B$32=D627))"),"DWA")</f>
        <v>DWA</v>
      </c>
      <c r="I627" s="23" t="str">
        <f t="shared" si="3"/>
        <v>#VALUE!</v>
      </c>
    </row>
    <row r="628">
      <c r="A628" s="23" t="str">
        <f t="shared" si="6"/>
        <v/>
      </c>
      <c r="B628" s="23" t="str">
        <f>'3.2.raw'!K628</f>
        <v/>
      </c>
      <c r="C628" s="24" t="str">
        <f>datevalue(left('3.2.raw'!M628,10))</f>
        <v>#VALUE!</v>
      </c>
      <c r="D628" s="23" t="str">
        <f>'3.2.raw'!H628</f>
        <v/>
      </c>
      <c r="E628" s="1">
        <v>3.20000000000007</v>
      </c>
      <c r="F628" s="23" t="b">
        <f>if(countif(Status!C:C,A628)=1,TRUE, FALSE)</f>
        <v>0</v>
      </c>
      <c r="G628" s="23" t="str">
        <f t="shared" si="8"/>
        <v>#VALUE!</v>
      </c>
      <c r="H628" s="23" t="str">
        <f>IFERROR(__xludf.DUMMYFUNCTION("UPPER(filter(Legend!$D$2:$D$32,Legend!$B$2:$B$32=D628))"),"DWA")</f>
        <v>DWA</v>
      </c>
      <c r="I628" s="23" t="str">
        <f t="shared" si="3"/>
        <v>#VALUE!</v>
      </c>
    </row>
    <row r="629">
      <c r="A629" s="23" t="str">
        <f t="shared" si="6"/>
        <v/>
      </c>
      <c r="B629" s="23" t="str">
        <f>'3.2.raw'!K629</f>
        <v/>
      </c>
      <c r="C629" s="24" t="str">
        <f>datevalue(left('3.2.raw'!M629,10))</f>
        <v>#VALUE!</v>
      </c>
      <c r="D629" s="23" t="str">
        <f>'3.2.raw'!H629</f>
        <v/>
      </c>
      <c r="E629" s="1">
        <v>3.20000000000007</v>
      </c>
      <c r="F629" s="23" t="b">
        <f>if(countif(Status!C:C,A629)=1,TRUE, FALSE)</f>
        <v>0</v>
      </c>
      <c r="G629" s="23" t="str">
        <f t="shared" si="8"/>
        <v>#VALUE!</v>
      </c>
      <c r="H629" s="23" t="str">
        <f>IFERROR(__xludf.DUMMYFUNCTION("UPPER(filter(Legend!$D$2:$D$32,Legend!$B$2:$B$32=D629))"),"DWA")</f>
        <v>DWA</v>
      </c>
      <c r="I629" s="23" t="str">
        <f t="shared" si="3"/>
        <v>#VALUE!</v>
      </c>
    </row>
    <row r="630">
      <c r="A630" s="23" t="str">
        <f t="shared" si="6"/>
        <v/>
      </c>
      <c r="B630" s="23" t="str">
        <f>'3.2.raw'!K630</f>
        <v/>
      </c>
      <c r="C630" s="24" t="str">
        <f>datevalue(left('3.2.raw'!M630,10))</f>
        <v>#VALUE!</v>
      </c>
      <c r="D630" s="23" t="str">
        <f>'3.2.raw'!H630</f>
        <v/>
      </c>
      <c r="E630" s="1">
        <v>3.20000000000007</v>
      </c>
      <c r="F630" s="23" t="b">
        <f>if(countif(Status!C:C,A630)=1,TRUE, FALSE)</f>
        <v>0</v>
      </c>
      <c r="G630" s="23" t="str">
        <f t="shared" si="8"/>
        <v>#VALUE!</v>
      </c>
      <c r="H630" s="23" t="str">
        <f>IFERROR(__xludf.DUMMYFUNCTION("UPPER(filter(Legend!$D$2:$D$32,Legend!$B$2:$B$32=D630))"),"DWA")</f>
        <v>DWA</v>
      </c>
      <c r="I630" s="23" t="str">
        <f t="shared" si="3"/>
        <v>#VALUE!</v>
      </c>
    </row>
    <row r="631">
      <c r="A631" s="23" t="str">
        <f t="shared" si="6"/>
        <v/>
      </c>
      <c r="B631" s="23" t="str">
        <f>'3.2.raw'!K631</f>
        <v/>
      </c>
      <c r="C631" s="24" t="str">
        <f>datevalue(left('3.2.raw'!M631,10))</f>
        <v>#VALUE!</v>
      </c>
      <c r="D631" s="23" t="str">
        <f>'3.2.raw'!H631</f>
        <v/>
      </c>
      <c r="E631" s="1">
        <v>3.20000000000007</v>
      </c>
      <c r="F631" s="23" t="b">
        <f>if(countif(Status!C:C,A631)=1,TRUE, FALSE)</f>
        <v>0</v>
      </c>
      <c r="G631" s="23" t="str">
        <f t="shared" si="8"/>
        <v>#VALUE!</v>
      </c>
      <c r="H631" s="23" t="str">
        <f>IFERROR(__xludf.DUMMYFUNCTION("UPPER(filter(Legend!$D$2:$D$32,Legend!$B$2:$B$32=D631))"),"DWA")</f>
        <v>DWA</v>
      </c>
      <c r="I631" s="23" t="str">
        <f t="shared" si="3"/>
        <v>#VALUE!</v>
      </c>
    </row>
    <row r="632">
      <c r="A632" s="23" t="str">
        <f t="shared" si="6"/>
        <v/>
      </c>
      <c r="B632" s="23" t="str">
        <f>'3.2.raw'!K632</f>
        <v/>
      </c>
      <c r="C632" s="24" t="str">
        <f>datevalue(left('3.2.raw'!M632,10))</f>
        <v>#VALUE!</v>
      </c>
      <c r="D632" s="23" t="str">
        <f>'3.2.raw'!H632</f>
        <v/>
      </c>
      <c r="E632" s="1">
        <v>3.20000000000007</v>
      </c>
      <c r="F632" s="23" t="b">
        <f>if(countif(Status!C:C,A632)=1,TRUE, FALSE)</f>
        <v>0</v>
      </c>
      <c r="G632" s="23" t="str">
        <f t="shared" si="8"/>
        <v>#VALUE!</v>
      </c>
      <c r="H632" s="23" t="str">
        <f>IFERROR(__xludf.DUMMYFUNCTION("UPPER(filter(Legend!$D$2:$D$32,Legend!$B$2:$B$32=D632))"),"DWA")</f>
        <v>DWA</v>
      </c>
      <c r="I632" s="23" t="str">
        <f t="shared" si="3"/>
        <v>#VALUE!</v>
      </c>
    </row>
    <row r="633">
      <c r="A633" s="23" t="str">
        <f t="shared" si="6"/>
        <v/>
      </c>
      <c r="B633" s="23" t="str">
        <f>'3.2.raw'!K633</f>
        <v/>
      </c>
      <c r="C633" s="24" t="str">
        <f>datevalue(left('3.2.raw'!M633,10))</f>
        <v>#VALUE!</v>
      </c>
      <c r="D633" s="23" t="str">
        <f>'3.2.raw'!H633</f>
        <v/>
      </c>
      <c r="E633" s="1">
        <v>3.20000000000007</v>
      </c>
      <c r="F633" s="23" t="b">
        <f>if(countif(Status!C:C,A633)=1,TRUE, FALSE)</f>
        <v>0</v>
      </c>
      <c r="G633" s="23" t="str">
        <f t="shared" si="8"/>
        <v>#VALUE!</v>
      </c>
      <c r="H633" s="23" t="str">
        <f>IFERROR(__xludf.DUMMYFUNCTION("UPPER(filter(Legend!$D$2:$D$32,Legend!$B$2:$B$32=D633))"),"DWA")</f>
        <v>DWA</v>
      </c>
      <c r="I633" s="23" t="str">
        <f t="shared" si="3"/>
        <v>#VALUE!</v>
      </c>
    </row>
    <row r="634">
      <c r="A634" s="23" t="str">
        <f t="shared" si="6"/>
        <v/>
      </c>
      <c r="B634" s="23" t="str">
        <f>'3.2.raw'!K634</f>
        <v/>
      </c>
      <c r="C634" s="24" t="str">
        <f>datevalue(left('3.2.raw'!M634,10))</f>
        <v>#VALUE!</v>
      </c>
      <c r="D634" s="23" t="str">
        <f>'3.2.raw'!H634</f>
        <v/>
      </c>
      <c r="E634" s="1">
        <v>3.20000000000007</v>
      </c>
      <c r="F634" s="23" t="b">
        <f>if(countif(Status!C:C,A634)=1,TRUE, FALSE)</f>
        <v>0</v>
      </c>
      <c r="G634" s="23" t="str">
        <f t="shared" si="8"/>
        <v>#VALUE!</v>
      </c>
      <c r="H634" s="23" t="str">
        <f>IFERROR(__xludf.DUMMYFUNCTION("UPPER(filter(Legend!$D$2:$D$32,Legend!$B$2:$B$32=D634))"),"DWA")</f>
        <v>DWA</v>
      </c>
      <c r="I634" s="23" t="str">
        <f t="shared" si="3"/>
        <v>#VALUE!</v>
      </c>
    </row>
    <row r="635">
      <c r="A635" s="23" t="str">
        <f t="shared" si="6"/>
        <v/>
      </c>
      <c r="B635" s="23" t="str">
        <f>'3.2.raw'!K635</f>
        <v/>
      </c>
      <c r="C635" s="24" t="str">
        <f>datevalue(left('3.2.raw'!M635,10))</f>
        <v>#VALUE!</v>
      </c>
      <c r="D635" s="23" t="str">
        <f>'3.2.raw'!H635</f>
        <v/>
      </c>
      <c r="E635" s="1">
        <v>3.20000000000007</v>
      </c>
      <c r="F635" s="23" t="b">
        <f>if(countif(Status!C:C,A635)=1,TRUE, FALSE)</f>
        <v>0</v>
      </c>
      <c r="G635" s="23" t="str">
        <f t="shared" si="8"/>
        <v>#VALUE!</v>
      </c>
      <c r="H635" s="23" t="str">
        <f>IFERROR(__xludf.DUMMYFUNCTION("UPPER(filter(Legend!$D$2:$D$32,Legend!$B$2:$B$32=D635))"),"DWA")</f>
        <v>DWA</v>
      </c>
      <c r="I635" s="23" t="str">
        <f t="shared" si="3"/>
        <v>#VALUE!</v>
      </c>
    </row>
    <row r="636">
      <c r="A636" s="23" t="str">
        <f t="shared" si="6"/>
        <v/>
      </c>
      <c r="B636" s="23" t="str">
        <f>'3.2.raw'!K636</f>
        <v/>
      </c>
      <c r="C636" s="24" t="str">
        <f>datevalue(left('3.2.raw'!M636,10))</f>
        <v>#VALUE!</v>
      </c>
      <c r="D636" s="23" t="str">
        <f>'3.2.raw'!H636</f>
        <v/>
      </c>
      <c r="E636" s="1">
        <v>3.20000000000007</v>
      </c>
      <c r="F636" s="23" t="b">
        <f>if(countif(Status!C:C,A636)=1,TRUE, FALSE)</f>
        <v>0</v>
      </c>
      <c r="G636" s="23" t="str">
        <f t="shared" si="8"/>
        <v>#VALUE!</v>
      </c>
      <c r="H636" s="23" t="str">
        <f>IFERROR(__xludf.DUMMYFUNCTION("UPPER(filter(Legend!$D$2:$D$32,Legend!$B$2:$B$32=D636))"),"DWA")</f>
        <v>DWA</v>
      </c>
      <c r="I636" s="23" t="str">
        <f t="shared" si="3"/>
        <v>#VALUE!</v>
      </c>
    </row>
    <row r="637">
      <c r="A637" s="23" t="str">
        <f t="shared" si="6"/>
        <v/>
      </c>
      <c r="B637" s="23" t="str">
        <f>'3.2.raw'!K637</f>
        <v/>
      </c>
      <c r="C637" s="24" t="str">
        <f>datevalue(left('3.2.raw'!M637,10))</f>
        <v>#VALUE!</v>
      </c>
      <c r="D637" s="23" t="str">
        <f>'3.2.raw'!H637</f>
        <v/>
      </c>
      <c r="E637" s="1">
        <v>3.20000000000007</v>
      </c>
      <c r="F637" s="23" t="b">
        <f>if(countif(Status!C:C,A637)=1,TRUE, FALSE)</f>
        <v>0</v>
      </c>
      <c r="G637" s="23" t="str">
        <f t="shared" si="8"/>
        <v>#VALUE!</v>
      </c>
      <c r="H637" s="23" t="str">
        <f>IFERROR(__xludf.DUMMYFUNCTION("UPPER(filter(Legend!$D$2:$D$32,Legend!$B$2:$B$32=D637))"),"DWA")</f>
        <v>DWA</v>
      </c>
      <c r="I637" s="23" t="str">
        <f t="shared" si="3"/>
        <v>#VALUE!</v>
      </c>
    </row>
    <row r="638">
      <c r="A638" s="23" t="str">
        <f t="shared" si="6"/>
        <v/>
      </c>
      <c r="B638" s="23" t="str">
        <f>'3.2.raw'!K638</f>
        <v/>
      </c>
      <c r="C638" s="24" t="str">
        <f>datevalue(left('3.2.raw'!M638,10))</f>
        <v>#VALUE!</v>
      </c>
      <c r="D638" s="23" t="str">
        <f>'3.2.raw'!H638</f>
        <v/>
      </c>
      <c r="E638" s="1">
        <v>3.20000000000007</v>
      </c>
      <c r="F638" s="23" t="b">
        <f>if(countif(Status!C:C,A638)=1,TRUE, FALSE)</f>
        <v>0</v>
      </c>
      <c r="G638" s="23" t="str">
        <f t="shared" si="8"/>
        <v>#VALUE!</v>
      </c>
      <c r="H638" s="23" t="str">
        <f>IFERROR(__xludf.DUMMYFUNCTION("UPPER(filter(Legend!$D$2:$D$32,Legend!$B$2:$B$32=D638))"),"DWA")</f>
        <v>DWA</v>
      </c>
      <c r="I638" s="23" t="str">
        <f t="shared" si="3"/>
        <v>#VALUE!</v>
      </c>
    </row>
    <row r="639">
      <c r="A639" s="23" t="str">
        <f t="shared" si="6"/>
        <v/>
      </c>
      <c r="B639" s="23" t="str">
        <f>'3.2.raw'!K639</f>
        <v/>
      </c>
      <c r="C639" s="24" t="str">
        <f>datevalue(left('3.2.raw'!M639,10))</f>
        <v>#VALUE!</v>
      </c>
      <c r="D639" s="23" t="str">
        <f>'3.2.raw'!H639</f>
        <v/>
      </c>
      <c r="E639" s="1">
        <v>3.20000000000007</v>
      </c>
      <c r="F639" s="23" t="b">
        <f>if(countif(Status!C:C,A639)=1,TRUE, FALSE)</f>
        <v>0</v>
      </c>
      <c r="G639" s="23" t="str">
        <f t="shared" si="8"/>
        <v>#VALUE!</v>
      </c>
      <c r="H639" s="23" t="str">
        <f>IFERROR(__xludf.DUMMYFUNCTION("UPPER(filter(Legend!$D$2:$D$32,Legend!$B$2:$B$32=D639))"),"DWA")</f>
        <v>DWA</v>
      </c>
      <c r="I639" s="23" t="str">
        <f t="shared" si="3"/>
        <v>#VALUE!</v>
      </c>
    </row>
    <row r="640">
      <c r="A640" s="23" t="str">
        <f t="shared" si="6"/>
        <v/>
      </c>
      <c r="B640" s="23" t="str">
        <f>'3.2.raw'!K640</f>
        <v/>
      </c>
      <c r="C640" s="24" t="str">
        <f>datevalue(left('3.2.raw'!M640,10))</f>
        <v>#VALUE!</v>
      </c>
      <c r="D640" s="23" t="str">
        <f>'3.2.raw'!H640</f>
        <v/>
      </c>
      <c r="E640" s="1">
        <v>3.20000000000007</v>
      </c>
      <c r="F640" s="23" t="b">
        <f>if(countif(Status!C:C,A640)=1,TRUE, FALSE)</f>
        <v>0</v>
      </c>
      <c r="G640" s="23" t="str">
        <f t="shared" si="8"/>
        <v>#VALUE!</v>
      </c>
      <c r="H640" s="23" t="str">
        <f>IFERROR(__xludf.DUMMYFUNCTION("UPPER(filter(Legend!$D$2:$D$32,Legend!$B$2:$B$32=D640))"),"DWA")</f>
        <v>DWA</v>
      </c>
      <c r="I640" s="23" t="str">
        <f t="shared" si="3"/>
        <v>#VALUE!</v>
      </c>
    </row>
    <row r="641">
      <c r="A641" s="23" t="str">
        <f t="shared" si="6"/>
        <v/>
      </c>
      <c r="B641" s="23" t="str">
        <f>'3.2.raw'!K641</f>
        <v/>
      </c>
      <c r="C641" s="24" t="str">
        <f>datevalue(left('3.2.raw'!M641,10))</f>
        <v>#VALUE!</v>
      </c>
      <c r="D641" s="23" t="str">
        <f>'3.2.raw'!H641</f>
        <v/>
      </c>
      <c r="E641" s="1">
        <v>3.20000000000007</v>
      </c>
      <c r="F641" s="23" t="b">
        <f>if(countif(Status!C:C,A641)=1,TRUE, FALSE)</f>
        <v>0</v>
      </c>
      <c r="G641" s="23" t="str">
        <f t="shared" si="8"/>
        <v>#VALUE!</v>
      </c>
      <c r="H641" s="23" t="str">
        <f>IFERROR(__xludf.DUMMYFUNCTION("UPPER(filter(Legend!$D$2:$D$32,Legend!$B$2:$B$32=D641))"),"DWA")</f>
        <v>DWA</v>
      </c>
      <c r="I641" s="23" t="str">
        <f t="shared" si="3"/>
        <v>#VALUE!</v>
      </c>
    </row>
    <row r="642">
      <c r="A642" s="23" t="str">
        <f t="shared" si="6"/>
        <v/>
      </c>
      <c r="B642" s="23" t="str">
        <f>'3.2.raw'!K642</f>
        <v/>
      </c>
      <c r="C642" s="24" t="str">
        <f>datevalue(left('3.2.raw'!M642,10))</f>
        <v>#VALUE!</v>
      </c>
      <c r="D642" s="23" t="str">
        <f>'3.2.raw'!H642</f>
        <v/>
      </c>
      <c r="E642" s="1">
        <v>3.20000000000007</v>
      </c>
      <c r="F642" s="23" t="b">
        <f>if(countif(Status!C:C,A642)=1,TRUE, FALSE)</f>
        <v>0</v>
      </c>
      <c r="G642" s="23" t="str">
        <f t="shared" si="8"/>
        <v>#VALUE!</v>
      </c>
      <c r="H642" s="23" t="str">
        <f>IFERROR(__xludf.DUMMYFUNCTION("UPPER(filter(Legend!$D$2:$D$32,Legend!$B$2:$B$32=D642))"),"DWA")</f>
        <v>DWA</v>
      </c>
      <c r="I642" s="23" t="str">
        <f t="shared" si="3"/>
        <v>#VALUE!</v>
      </c>
    </row>
    <row r="643">
      <c r="A643" s="23" t="str">
        <f t="shared" si="6"/>
        <v/>
      </c>
      <c r="B643" s="23" t="str">
        <f>'3.2.raw'!K643</f>
        <v/>
      </c>
      <c r="C643" s="24" t="str">
        <f>datevalue(left('3.2.raw'!M643,10))</f>
        <v>#VALUE!</v>
      </c>
      <c r="D643" s="23" t="str">
        <f>'3.2.raw'!H643</f>
        <v/>
      </c>
      <c r="E643" s="1">
        <v>3.20000000000007</v>
      </c>
      <c r="F643" s="23" t="b">
        <f>if(countif(Status!C:C,A643)=1,TRUE, FALSE)</f>
        <v>0</v>
      </c>
      <c r="G643" s="23" t="str">
        <f t="shared" si="8"/>
        <v>#VALUE!</v>
      </c>
      <c r="H643" s="23" t="str">
        <f>IFERROR(__xludf.DUMMYFUNCTION("UPPER(filter(Legend!$D$2:$D$32,Legend!$B$2:$B$32=D643))"),"DWA")</f>
        <v>DWA</v>
      </c>
      <c r="I643" s="23" t="str">
        <f t="shared" si="3"/>
        <v>#VALUE!</v>
      </c>
    </row>
    <row r="644">
      <c r="A644" s="23" t="str">
        <f t="shared" si="6"/>
        <v/>
      </c>
      <c r="B644" s="23" t="str">
        <f>'3.2.raw'!K644</f>
        <v/>
      </c>
      <c r="C644" s="24" t="str">
        <f>datevalue(left('3.2.raw'!M644,10))</f>
        <v>#VALUE!</v>
      </c>
      <c r="D644" s="23" t="str">
        <f>'3.2.raw'!H644</f>
        <v/>
      </c>
      <c r="E644" s="1">
        <v>3.20000000000007</v>
      </c>
      <c r="F644" s="23" t="b">
        <f>if(countif(Status!C:C,A644)=1,TRUE, FALSE)</f>
        <v>0</v>
      </c>
      <c r="G644" s="23" t="str">
        <f t="shared" si="8"/>
        <v>#VALUE!</v>
      </c>
      <c r="H644" s="23" t="str">
        <f>IFERROR(__xludf.DUMMYFUNCTION("UPPER(filter(Legend!$D$2:$D$32,Legend!$B$2:$B$32=D644))"),"DWA")</f>
        <v>DWA</v>
      </c>
      <c r="I644" s="23" t="str">
        <f t="shared" si="3"/>
        <v>#VALUE!</v>
      </c>
    </row>
    <row r="645">
      <c r="A645" s="23" t="str">
        <f t="shared" si="6"/>
        <v/>
      </c>
      <c r="B645" s="23" t="str">
        <f>'3.2.raw'!K645</f>
        <v/>
      </c>
      <c r="C645" s="24" t="str">
        <f>datevalue(left('3.2.raw'!M645,10))</f>
        <v>#VALUE!</v>
      </c>
      <c r="D645" s="23" t="str">
        <f>'3.2.raw'!H645</f>
        <v/>
      </c>
      <c r="E645" s="1">
        <v>3.20000000000007</v>
      </c>
      <c r="F645" s="23" t="b">
        <f>if(countif(Status!C:C,A645)=1,TRUE, FALSE)</f>
        <v>0</v>
      </c>
      <c r="G645" s="23" t="str">
        <f t="shared" si="8"/>
        <v>#VALUE!</v>
      </c>
      <c r="H645" s="23" t="str">
        <f>IFERROR(__xludf.DUMMYFUNCTION("UPPER(filter(Legend!$D$2:$D$32,Legend!$B$2:$B$32=D645))"),"DWA")</f>
        <v>DWA</v>
      </c>
      <c r="I645" s="23" t="str">
        <f t="shared" si="3"/>
        <v>#VALUE!</v>
      </c>
    </row>
    <row r="646">
      <c r="A646" s="23" t="str">
        <f t="shared" si="6"/>
        <v/>
      </c>
      <c r="B646" s="23" t="str">
        <f>'3.2.raw'!K646</f>
        <v/>
      </c>
      <c r="C646" s="24" t="str">
        <f>datevalue(left('3.2.raw'!M646,10))</f>
        <v>#VALUE!</v>
      </c>
      <c r="D646" s="23" t="str">
        <f>'3.2.raw'!H646</f>
        <v/>
      </c>
      <c r="E646" s="1">
        <v>3.20000000000007</v>
      </c>
      <c r="F646" s="23" t="b">
        <f>if(countif(Status!C:C,A646)=1,TRUE, FALSE)</f>
        <v>0</v>
      </c>
      <c r="G646" s="23" t="str">
        <f t="shared" si="8"/>
        <v>#VALUE!</v>
      </c>
      <c r="H646" s="23" t="str">
        <f>IFERROR(__xludf.DUMMYFUNCTION("UPPER(filter(Legend!$D$2:$D$32,Legend!$B$2:$B$32=D646))"),"DWA")</f>
        <v>DWA</v>
      </c>
      <c r="I646" s="23" t="str">
        <f t="shared" si="3"/>
        <v>#VALUE!</v>
      </c>
    </row>
    <row r="647">
      <c r="A647" s="23" t="str">
        <f t="shared" si="6"/>
        <v/>
      </c>
      <c r="B647" s="23" t="str">
        <f>'3.2.raw'!K647</f>
        <v/>
      </c>
      <c r="C647" s="24" t="str">
        <f>datevalue(left('3.2.raw'!M647,10))</f>
        <v>#VALUE!</v>
      </c>
      <c r="D647" s="23" t="str">
        <f>'3.2.raw'!H647</f>
        <v/>
      </c>
      <c r="E647" s="1">
        <v>3.20000000000007</v>
      </c>
      <c r="F647" s="23" t="b">
        <f>if(countif(Status!C:C,A647)=1,TRUE, FALSE)</f>
        <v>0</v>
      </c>
      <c r="G647" s="23" t="str">
        <f t="shared" si="8"/>
        <v>#VALUE!</v>
      </c>
      <c r="H647" s="23" t="str">
        <f>IFERROR(__xludf.DUMMYFUNCTION("UPPER(filter(Legend!$D$2:$D$32,Legend!$B$2:$B$32=D647))"),"DWA")</f>
        <v>DWA</v>
      </c>
      <c r="I647" s="23" t="str">
        <f t="shared" si="3"/>
        <v>#VALUE!</v>
      </c>
    </row>
    <row r="648">
      <c r="A648" s="23" t="str">
        <f t="shared" si="6"/>
        <v/>
      </c>
      <c r="B648" s="23" t="str">
        <f>'3.2.raw'!K648</f>
        <v/>
      </c>
      <c r="C648" s="24" t="str">
        <f>datevalue(left('3.2.raw'!M648,10))</f>
        <v>#VALUE!</v>
      </c>
      <c r="D648" s="23" t="str">
        <f>'3.2.raw'!H648</f>
        <v/>
      </c>
      <c r="E648" s="1">
        <v>3.20000000000007</v>
      </c>
      <c r="F648" s="23" t="b">
        <f>if(countif(Status!C:C,A648)=1,TRUE, FALSE)</f>
        <v>0</v>
      </c>
      <c r="G648" s="23" t="str">
        <f t="shared" si="8"/>
        <v>#VALUE!</v>
      </c>
      <c r="H648" s="23" t="str">
        <f>IFERROR(__xludf.DUMMYFUNCTION("UPPER(filter(Legend!$D$2:$D$32,Legend!$B$2:$B$32=D648))"),"DWA")</f>
        <v>DWA</v>
      </c>
      <c r="I648" s="23" t="str">
        <f t="shared" si="3"/>
        <v>#VALUE!</v>
      </c>
    </row>
    <row r="649">
      <c r="A649" s="23" t="str">
        <f t="shared" si="6"/>
        <v/>
      </c>
      <c r="B649" s="23" t="str">
        <f>'3.2.raw'!K649</f>
        <v/>
      </c>
      <c r="C649" s="24" t="str">
        <f>datevalue(left('3.2.raw'!M649,10))</f>
        <v>#VALUE!</v>
      </c>
      <c r="D649" s="23" t="str">
        <f>'3.2.raw'!H649</f>
        <v/>
      </c>
      <c r="E649" s="1">
        <v>3.20000000000007</v>
      </c>
      <c r="F649" s="23" t="b">
        <f>if(countif(Status!C:C,A649)=1,TRUE, FALSE)</f>
        <v>0</v>
      </c>
      <c r="G649" s="23" t="str">
        <f t="shared" si="8"/>
        <v>#VALUE!</v>
      </c>
      <c r="H649" s="23" t="str">
        <f>IFERROR(__xludf.DUMMYFUNCTION("UPPER(filter(Legend!$D$2:$D$32,Legend!$B$2:$B$32=D649))"),"DWA")</f>
        <v>DWA</v>
      </c>
      <c r="I649" s="23" t="str">
        <f t="shared" si="3"/>
        <v>#VALUE!</v>
      </c>
    </row>
    <row r="650">
      <c r="A650" s="23" t="str">
        <f t="shared" si="6"/>
        <v/>
      </c>
      <c r="B650" s="23" t="str">
        <f>'3.2.raw'!K650</f>
        <v/>
      </c>
      <c r="C650" s="24" t="str">
        <f>datevalue(left('3.2.raw'!M650,10))</f>
        <v>#VALUE!</v>
      </c>
      <c r="D650" s="23" t="str">
        <f>'3.2.raw'!H650</f>
        <v/>
      </c>
      <c r="E650" s="1">
        <v>3.20000000000007</v>
      </c>
      <c r="F650" s="23" t="b">
        <f>if(countif(Status!C:C,A650)=1,TRUE, FALSE)</f>
        <v>0</v>
      </c>
      <c r="G650" s="23" t="str">
        <f t="shared" si="8"/>
        <v>#VALUE!</v>
      </c>
      <c r="H650" s="23" t="str">
        <f>IFERROR(__xludf.DUMMYFUNCTION("UPPER(filter(Legend!$D$2:$D$32,Legend!$B$2:$B$32=D650))"),"DWA")</f>
        <v>DWA</v>
      </c>
      <c r="I650" s="23" t="str">
        <f t="shared" si="3"/>
        <v>#VALUE!</v>
      </c>
    </row>
    <row r="651">
      <c r="A651" s="23" t="str">
        <f t="shared" si="6"/>
        <v/>
      </c>
      <c r="B651" s="23" t="str">
        <f>'3.2.raw'!K651</f>
        <v/>
      </c>
      <c r="C651" s="24" t="str">
        <f>datevalue(left('3.2.raw'!M651,10))</f>
        <v>#VALUE!</v>
      </c>
      <c r="D651" s="23" t="str">
        <f>'3.2.raw'!H651</f>
        <v/>
      </c>
      <c r="E651" s="1">
        <v>3.20000000000007</v>
      </c>
      <c r="F651" s="23" t="b">
        <f>if(countif(Status!C:C,A651)=1,TRUE, FALSE)</f>
        <v>0</v>
      </c>
      <c r="G651" s="23" t="str">
        <f t="shared" si="8"/>
        <v>#VALUE!</v>
      </c>
      <c r="H651" s="23" t="str">
        <f>IFERROR(__xludf.DUMMYFUNCTION("UPPER(filter(Legend!$D$2:$D$32,Legend!$B$2:$B$32=D651))"),"DWA")</f>
        <v>DWA</v>
      </c>
      <c r="I651" s="23" t="str">
        <f t="shared" si="3"/>
        <v>#VALUE!</v>
      </c>
    </row>
    <row r="652">
      <c r="A652" s="23" t="str">
        <f t="shared" si="6"/>
        <v/>
      </c>
      <c r="B652" s="23" t="str">
        <f>'3.2.raw'!K652</f>
        <v/>
      </c>
      <c r="C652" s="24" t="str">
        <f>datevalue(left('3.2.raw'!M652,10))</f>
        <v>#VALUE!</v>
      </c>
      <c r="D652" s="23" t="str">
        <f>'3.2.raw'!H652</f>
        <v/>
      </c>
      <c r="E652" s="1">
        <v>3.20000000000008</v>
      </c>
      <c r="F652" s="23" t="b">
        <f>if(countif(Status!C:C,A652)=1,TRUE, FALSE)</f>
        <v>0</v>
      </c>
      <c r="G652" s="23" t="str">
        <f t="shared" si="8"/>
        <v>#VALUE!</v>
      </c>
      <c r="H652" s="23" t="str">
        <f>IFERROR(__xludf.DUMMYFUNCTION("UPPER(filter(Legend!$D$2:$D$32,Legend!$B$2:$B$32=D652))"),"DWA")</f>
        <v>DWA</v>
      </c>
      <c r="I652" s="23" t="str">
        <f t="shared" si="3"/>
        <v>#VALUE!</v>
      </c>
    </row>
    <row r="653">
      <c r="A653" s="23" t="str">
        <f t="shared" si="6"/>
        <v/>
      </c>
      <c r="B653" s="23" t="str">
        <f>'3.2.raw'!K653</f>
        <v/>
      </c>
      <c r="C653" s="24" t="str">
        <f>datevalue(left('3.2.raw'!M653,10))</f>
        <v>#VALUE!</v>
      </c>
      <c r="D653" s="23" t="str">
        <f>'3.2.raw'!H653</f>
        <v/>
      </c>
      <c r="E653" s="1">
        <v>3.20000000000008</v>
      </c>
      <c r="F653" s="23" t="b">
        <f>if(countif(Status!C:C,A653)=1,TRUE, FALSE)</f>
        <v>0</v>
      </c>
      <c r="G653" s="23" t="str">
        <f t="shared" si="8"/>
        <v>#VALUE!</v>
      </c>
      <c r="H653" s="23" t="str">
        <f>IFERROR(__xludf.DUMMYFUNCTION("UPPER(filter(Legend!$D$2:$D$32,Legend!$B$2:$B$32=D653))"),"DWA")</f>
        <v>DWA</v>
      </c>
      <c r="I653" s="23" t="str">
        <f t="shared" si="3"/>
        <v>#VALUE!</v>
      </c>
    </row>
    <row r="654">
      <c r="A654" s="23" t="str">
        <f t="shared" si="6"/>
        <v/>
      </c>
      <c r="B654" s="23" t="str">
        <f>'3.2.raw'!K654</f>
        <v/>
      </c>
      <c r="C654" s="24" t="str">
        <f>datevalue(left('3.2.raw'!M654,10))</f>
        <v>#VALUE!</v>
      </c>
      <c r="D654" s="23" t="str">
        <f>'3.2.raw'!H654</f>
        <v/>
      </c>
      <c r="E654" s="1">
        <v>3.20000000000008</v>
      </c>
      <c r="F654" s="23" t="b">
        <f>if(countif(Status!C:C,A654)=1,TRUE, FALSE)</f>
        <v>0</v>
      </c>
      <c r="G654" s="23" t="str">
        <f t="shared" si="8"/>
        <v>#VALUE!</v>
      </c>
      <c r="H654" s="23" t="str">
        <f>IFERROR(__xludf.DUMMYFUNCTION("UPPER(filter(Legend!$D$2:$D$32,Legend!$B$2:$B$32=D654))"),"DWA")</f>
        <v>DWA</v>
      </c>
      <c r="I654" s="23" t="str">
        <f t="shared" si="3"/>
        <v>#VALUE!</v>
      </c>
    </row>
    <row r="655">
      <c r="A655" s="23" t="str">
        <f t="shared" si="6"/>
        <v/>
      </c>
      <c r="B655" s="23" t="str">
        <f>'3.2.raw'!K655</f>
        <v/>
      </c>
      <c r="C655" s="24" t="str">
        <f>datevalue(left('3.2.raw'!M655,10))</f>
        <v>#VALUE!</v>
      </c>
      <c r="D655" s="23" t="str">
        <f>'3.2.raw'!H655</f>
        <v/>
      </c>
      <c r="E655" s="1">
        <v>3.20000000000008</v>
      </c>
      <c r="F655" s="23" t="b">
        <f>if(countif(Status!C:C,A655)=1,TRUE, FALSE)</f>
        <v>0</v>
      </c>
      <c r="G655" s="23" t="str">
        <f t="shared" si="8"/>
        <v>#VALUE!</v>
      </c>
      <c r="H655" s="23" t="str">
        <f>IFERROR(__xludf.DUMMYFUNCTION("UPPER(filter(Legend!$D$2:$D$32,Legend!$B$2:$B$32=D655))"),"DWA")</f>
        <v>DWA</v>
      </c>
      <c r="I655" s="23" t="str">
        <f t="shared" si="3"/>
        <v>#VALUE!</v>
      </c>
    </row>
    <row r="656">
      <c r="A656" s="23" t="str">
        <f t="shared" si="6"/>
        <v/>
      </c>
      <c r="B656" s="23" t="str">
        <f>'3.2.raw'!K656</f>
        <v/>
      </c>
      <c r="C656" s="24" t="str">
        <f>datevalue(left('3.2.raw'!M656,10))</f>
        <v>#VALUE!</v>
      </c>
      <c r="D656" s="23" t="str">
        <f>'3.2.raw'!H656</f>
        <v/>
      </c>
      <c r="E656" s="1">
        <v>3.20000000000008</v>
      </c>
      <c r="F656" s="23" t="b">
        <f>if(countif(Status!C:C,A656)=1,TRUE, FALSE)</f>
        <v>0</v>
      </c>
      <c r="G656" s="23" t="str">
        <f t="shared" si="8"/>
        <v>#VALUE!</v>
      </c>
      <c r="H656" s="23" t="str">
        <f>IFERROR(__xludf.DUMMYFUNCTION("UPPER(filter(Legend!$D$2:$D$32,Legend!$B$2:$B$32=D656))"),"DWA")</f>
        <v>DWA</v>
      </c>
      <c r="I656" s="23" t="str">
        <f t="shared" si="3"/>
        <v>#VALUE!</v>
      </c>
    </row>
    <row r="657">
      <c r="A657" s="23" t="str">
        <f t="shared" si="6"/>
        <v/>
      </c>
      <c r="B657" s="23" t="str">
        <f>'3.2.raw'!K657</f>
        <v/>
      </c>
      <c r="C657" s="24" t="str">
        <f>datevalue(left('3.2.raw'!M657,10))</f>
        <v>#VALUE!</v>
      </c>
      <c r="D657" s="23" t="str">
        <f>'3.2.raw'!H657</f>
        <v/>
      </c>
      <c r="E657" s="1">
        <v>3.20000000000008</v>
      </c>
      <c r="F657" s="23" t="b">
        <f>if(countif(Status!C:C,A657)=1,TRUE, FALSE)</f>
        <v>0</v>
      </c>
      <c r="G657" s="23" t="str">
        <f t="shared" si="8"/>
        <v>#VALUE!</v>
      </c>
      <c r="H657" s="23" t="str">
        <f>IFERROR(__xludf.DUMMYFUNCTION("UPPER(filter(Legend!$D$2:$D$32,Legend!$B$2:$B$32=D657))"),"DWA")</f>
        <v>DWA</v>
      </c>
      <c r="I657" s="23" t="str">
        <f t="shared" si="3"/>
        <v>#VALUE!</v>
      </c>
    </row>
    <row r="658">
      <c r="A658" s="23" t="str">
        <f t="shared" si="6"/>
        <v/>
      </c>
      <c r="B658" s="23" t="str">
        <f>'3.2.raw'!K658</f>
        <v/>
      </c>
      <c r="C658" s="24" t="str">
        <f>datevalue(left('3.2.raw'!M658,10))</f>
        <v>#VALUE!</v>
      </c>
      <c r="D658" s="23" t="str">
        <f>'3.2.raw'!H658</f>
        <v/>
      </c>
      <c r="E658" s="1">
        <v>3.20000000000008</v>
      </c>
      <c r="F658" s="23" t="b">
        <f>if(countif(Status!C:C,A658)=1,TRUE, FALSE)</f>
        <v>0</v>
      </c>
      <c r="G658" s="23" t="str">
        <f t="shared" si="8"/>
        <v>#VALUE!</v>
      </c>
      <c r="H658" s="23" t="str">
        <f>IFERROR(__xludf.DUMMYFUNCTION("UPPER(filter(Legend!$D$2:$D$32,Legend!$B$2:$B$32=D658))"),"DWA")</f>
        <v>DWA</v>
      </c>
      <c r="I658" s="23" t="str">
        <f t="shared" si="3"/>
        <v>#VALUE!</v>
      </c>
    </row>
    <row r="659">
      <c r="A659" s="23" t="str">
        <f t="shared" si="6"/>
        <v/>
      </c>
      <c r="B659" s="23" t="str">
        <f>'3.2.raw'!K659</f>
        <v/>
      </c>
      <c r="C659" s="24" t="str">
        <f>datevalue(left('3.2.raw'!M659,10))</f>
        <v>#VALUE!</v>
      </c>
      <c r="D659" s="23" t="str">
        <f>'3.2.raw'!H659</f>
        <v/>
      </c>
      <c r="E659" s="1">
        <v>3.20000000000008</v>
      </c>
      <c r="F659" s="23" t="b">
        <f>if(countif(Status!C:C,A659)=1,TRUE, FALSE)</f>
        <v>0</v>
      </c>
      <c r="G659" s="23" t="str">
        <f t="shared" si="8"/>
        <v>#VALUE!</v>
      </c>
      <c r="H659" s="23" t="str">
        <f>IFERROR(__xludf.DUMMYFUNCTION("UPPER(filter(Legend!$D$2:$D$32,Legend!$B$2:$B$32=D659))"),"DWA")</f>
        <v>DWA</v>
      </c>
      <c r="I659" s="23" t="str">
        <f t="shared" si="3"/>
        <v>#VALUE!</v>
      </c>
    </row>
    <row r="660">
      <c r="A660" s="23" t="str">
        <f t="shared" si="6"/>
        <v/>
      </c>
      <c r="B660" s="23" t="str">
        <f>'3.2.raw'!K660</f>
        <v/>
      </c>
      <c r="C660" s="24" t="str">
        <f>datevalue(left('3.2.raw'!M660,10))</f>
        <v>#VALUE!</v>
      </c>
      <c r="D660" s="23" t="str">
        <f>'3.2.raw'!H660</f>
        <v/>
      </c>
      <c r="E660" s="1">
        <v>3.20000000000008</v>
      </c>
      <c r="F660" s="23" t="b">
        <f>if(countif(Status!C:C,A660)=1,TRUE, FALSE)</f>
        <v>0</v>
      </c>
      <c r="G660" s="23" t="str">
        <f t="shared" si="8"/>
        <v>#VALUE!</v>
      </c>
      <c r="H660" s="23" t="str">
        <f>IFERROR(__xludf.DUMMYFUNCTION("UPPER(filter(Legend!$D$2:$D$32,Legend!$B$2:$B$32=D660))"),"DWA")</f>
        <v>DWA</v>
      </c>
      <c r="I660" s="23" t="str">
        <f t="shared" si="3"/>
        <v>#VALUE!</v>
      </c>
    </row>
    <row r="661">
      <c r="A661" s="23" t="str">
        <f t="shared" si="6"/>
        <v/>
      </c>
      <c r="B661" s="23" t="str">
        <f>'3.2.raw'!K661</f>
        <v/>
      </c>
      <c r="C661" s="24" t="str">
        <f>datevalue(left('3.2.raw'!M661,10))</f>
        <v>#VALUE!</v>
      </c>
      <c r="D661" s="23" t="str">
        <f>'3.2.raw'!H661</f>
        <v/>
      </c>
      <c r="E661" s="1">
        <v>3.20000000000008</v>
      </c>
      <c r="F661" s="23" t="b">
        <f>if(countif(Status!C:C,A661)=1,TRUE, FALSE)</f>
        <v>0</v>
      </c>
      <c r="G661" s="23" t="str">
        <f t="shared" si="8"/>
        <v>#VALUE!</v>
      </c>
      <c r="H661" s="23" t="str">
        <f>IFERROR(__xludf.DUMMYFUNCTION("UPPER(filter(Legend!$D$2:$D$32,Legend!$B$2:$B$32=D661))"),"DWA")</f>
        <v>DWA</v>
      </c>
      <c r="I661" s="23" t="str">
        <f t="shared" si="3"/>
        <v>#VALUE!</v>
      </c>
    </row>
    <row r="662">
      <c r="A662" s="23" t="str">
        <f t="shared" si="6"/>
        <v/>
      </c>
      <c r="B662" s="23" t="str">
        <f>'3.2.raw'!K662</f>
        <v/>
      </c>
      <c r="C662" s="24" t="str">
        <f>datevalue(left('3.2.raw'!M662,10))</f>
        <v>#VALUE!</v>
      </c>
      <c r="D662" s="23" t="str">
        <f>'3.2.raw'!H662</f>
        <v/>
      </c>
      <c r="E662" s="1">
        <v>3.20000000000008</v>
      </c>
      <c r="F662" s="23" t="b">
        <f>if(countif(Status!C:C,A662)=1,TRUE, FALSE)</f>
        <v>0</v>
      </c>
      <c r="G662" s="23" t="str">
        <f t="shared" si="8"/>
        <v>#VALUE!</v>
      </c>
      <c r="H662" s="23" t="str">
        <f>IFERROR(__xludf.DUMMYFUNCTION("UPPER(filter(Legend!$D$2:$D$32,Legend!$B$2:$B$32=D662))"),"DWA")</f>
        <v>DWA</v>
      </c>
      <c r="I662" s="23" t="str">
        <f t="shared" si="3"/>
        <v>#VALUE!</v>
      </c>
    </row>
    <row r="663">
      <c r="A663" s="23" t="str">
        <f t="shared" si="6"/>
        <v/>
      </c>
      <c r="B663" s="23" t="str">
        <f>'3.2.raw'!K663</f>
        <v/>
      </c>
      <c r="C663" s="24" t="str">
        <f>datevalue(left('3.2.raw'!M663,10))</f>
        <v>#VALUE!</v>
      </c>
      <c r="D663" s="23" t="str">
        <f>'3.2.raw'!H663</f>
        <v/>
      </c>
      <c r="E663" s="1">
        <v>3.20000000000008</v>
      </c>
      <c r="F663" s="23" t="b">
        <f>if(countif(Status!C:C,A663)=1,TRUE, FALSE)</f>
        <v>0</v>
      </c>
      <c r="G663" s="23" t="str">
        <f t="shared" si="8"/>
        <v>#VALUE!</v>
      </c>
      <c r="H663" s="23" t="str">
        <f>IFERROR(__xludf.DUMMYFUNCTION("UPPER(filter(Legend!$D$2:$D$32,Legend!$B$2:$B$32=D663))"),"DWA")</f>
        <v>DWA</v>
      </c>
      <c r="I663" s="23" t="str">
        <f t="shared" si="3"/>
        <v>#VALUE!</v>
      </c>
    </row>
    <row r="664">
      <c r="A664" s="23" t="str">
        <f t="shared" si="6"/>
        <v/>
      </c>
      <c r="B664" s="23" t="str">
        <f>'3.2.raw'!K664</f>
        <v/>
      </c>
      <c r="C664" s="24" t="str">
        <f>datevalue(left('3.2.raw'!M664,10))</f>
        <v>#VALUE!</v>
      </c>
      <c r="D664" s="23" t="str">
        <f>'3.2.raw'!H664</f>
        <v/>
      </c>
      <c r="E664" s="1">
        <v>3.20000000000008</v>
      </c>
      <c r="F664" s="23" t="b">
        <f>if(countif(Status!C:C,A664)=1,TRUE, FALSE)</f>
        <v>0</v>
      </c>
      <c r="G664" s="23" t="str">
        <f t="shared" si="8"/>
        <v>#VALUE!</v>
      </c>
      <c r="H664" s="23" t="str">
        <f>IFERROR(__xludf.DUMMYFUNCTION("UPPER(filter(Legend!$D$2:$D$32,Legend!$B$2:$B$32=D664))"),"DWA")</f>
        <v>DWA</v>
      </c>
      <c r="I664" s="23" t="str">
        <f t="shared" si="3"/>
        <v>#VALUE!</v>
      </c>
    </row>
    <row r="665">
      <c r="A665" s="23" t="str">
        <f t="shared" si="6"/>
        <v/>
      </c>
      <c r="B665" s="23" t="str">
        <f>'3.2.raw'!K665</f>
        <v/>
      </c>
      <c r="C665" s="24" t="str">
        <f>datevalue(left('3.2.raw'!M665,10))</f>
        <v>#VALUE!</v>
      </c>
      <c r="D665" s="23" t="str">
        <f>'3.2.raw'!H665</f>
        <v/>
      </c>
      <c r="E665" s="1">
        <v>3.20000000000008</v>
      </c>
      <c r="F665" s="23" t="b">
        <f>if(countif(Status!C:C,A665)=1,TRUE, FALSE)</f>
        <v>0</v>
      </c>
      <c r="G665" s="23" t="str">
        <f t="shared" si="8"/>
        <v>#VALUE!</v>
      </c>
      <c r="H665" s="23" t="str">
        <f>IFERROR(__xludf.DUMMYFUNCTION("UPPER(filter(Legend!$D$2:$D$32,Legend!$B$2:$B$32=D665))"),"DWA")</f>
        <v>DWA</v>
      </c>
      <c r="I665" s="23" t="str">
        <f t="shared" si="3"/>
        <v>#VALUE!</v>
      </c>
    </row>
    <row r="666">
      <c r="A666" s="23" t="str">
        <f t="shared" si="6"/>
        <v/>
      </c>
      <c r="B666" s="23" t="str">
        <f>'3.2.raw'!K666</f>
        <v/>
      </c>
      <c r="C666" s="24" t="str">
        <f>datevalue(left('3.2.raw'!M666,10))</f>
        <v>#VALUE!</v>
      </c>
      <c r="D666" s="23" t="str">
        <f>'3.2.raw'!H666</f>
        <v/>
      </c>
      <c r="E666" s="1">
        <v>3.20000000000008</v>
      </c>
      <c r="F666" s="23" t="b">
        <f>if(countif(Status!C:C,A666)=1,TRUE, FALSE)</f>
        <v>0</v>
      </c>
      <c r="G666" s="23" t="str">
        <f t="shared" si="8"/>
        <v>#VALUE!</v>
      </c>
      <c r="H666" s="23" t="str">
        <f>IFERROR(__xludf.DUMMYFUNCTION("UPPER(filter(Legend!$D$2:$D$32,Legend!$B$2:$B$32=D666))"),"DWA")</f>
        <v>DWA</v>
      </c>
      <c r="I666" s="23" t="str">
        <f t="shared" si="3"/>
        <v>#VALUE!</v>
      </c>
    </row>
    <row r="667">
      <c r="A667" s="23" t="str">
        <f>'3.2.raw'!K667</f>
        <v/>
      </c>
      <c r="B667" s="23" t="str">
        <f>'3.2.raw'!L667</f>
        <v/>
      </c>
      <c r="C667" s="24" t="str">
        <f>datevalue(left('3.2.raw'!M667,10))</f>
        <v>#VALUE!</v>
      </c>
      <c r="D667" s="23" t="str">
        <f>'3.2.raw'!H667</f>
        <v/>
      </c>
      <c r="E667" s="1">
        <v>3.20000000000008</v>
      </c>
      <c r="F667" s="23" t="b">
        <f>if(countif(Status!C:C,A667)=1,TRUE, FALSE)</f>
        <v>0</v>
      </c>
      <c r="G667" s="23" t="str">
        <f t="shared" si="8"/>
        <v>#VALUE!</v>
      </c>
      <c r="H667" s="23" t="str">
        <f>IFERROR(__xludf.DUMMYFUNCTION("UPPER(filter(Legend!$D$2:$D$32,Legend!$B$2:$B$32=D667))"),"DWA")</f>
        <v>DWA</v>
      </c>
      <c r="I667" s="23" t="str">
        <f t="shared" si="3"/>
        <v>#VALUE!</v>
      </c>
    </row>
    <row r="668">
      <c r="A668" s="23" t="str">
        <f>'3.2.raw'!K668</f>
        <v/>
      </c>
      <c r="B668" s="23" t="str">
        <f>'3.2.raw'!L668</f>
        <v/>
      </c>
      <c r="C668" s="24" t="str">
        <f>datevalue(left('3.2.raw'!M668,10))</f>
        <v>#VALUE!</v>
      </c>
      <c r="D668" s="23" t="str">
        <f>'3.2.raw'!H668</f>
        <v/>
      </c>
      <c r="E668" s="1">
        <v>3.20000000000008</v>
      </c>
      <c r="F668" s="23" t="b">
        <f>if(countif(Status!C:C,A668)=1,TRUE, FALSE)</f>
        <v>0</v>
      </c>
      <c r="G668" s="23" t="str">
        <f t="shared" si="8"/>
        <v>#VALUE!</v>
      </c>
      <c r="H668" s="23" t="str">
        <f>IFERROR(__xludf.DUMMYFUNCTION("UPPER(filter(Legend!$D$2:$D$32,Legend!$B$2:$B$32=D668))"),"DWA")</f>
        <v>DWA</v>
      </c>
      <c r="I668" s="23" t="str">
        <f t="shared" si="3"/>
        <v>#VALUE!</v>
      </c>
    </row>
    <row r="669">
      <c r="A669" s="23" t="str">
        <f>'3.2.raw'!K669</f>
        <v/>
      </c>
      <c r="B669" s="23" t="str">
        <f>'3.2.raw'!L669</f>
        <v/>
      </c>
      <c r="C669" s="24" t="str">
        <f>datevalue(left('3.2.raw'!M669,10))</f>
        <v>#VALUE!</v>
      </c>
      <c r="D669" s="23" t="str">
        <f>'3.2.raw'!H669</f>
        <v/>
      </c>
      <c r="E669" s="1">
        <v>3.20000000000008</v>
      </c>
      <c r="F669" s="23" t="b">
        <f>if(countif(Status!C:C,A669)=1,TRUE, FALSE)</f>
        <v>0</v>
      </c>
      <c r="G669" s="23" t="str">
        <f t="shared" si="8"/>
        <v>#VALUE!</v>
      </c>
      <c r="H669" s="23" t="str">
        <f>IFERROR(__xludf.DUMMYFUNCTION("UPPER(filter(Legend!$D$2:$D$32,Legend!$B$2:$B$32=D669))"),"DWA")</f>
        <v>DWA</v>
      </c>
      <c r="I669" s="23" t="str">
        <f t="shared" si="3"/>
        <v>#VALUE!</v>
      </c>
    </row>
    <row r="670">
      <c r="A670" s="23" t="str">
        <f>'3.2.raw'!K670</f>
        <v/>
      </c>
      <c r="B670" s="23" t="str">
        <f>'3.2.raw'!L670</f>
        <v/>
      </c>
      <c r="C670" s="24" t="str">
        <f>datevalue(left('3.2.raw'!M670,10))</f>
        <v>#VALUE!</v>
      </c>
      <c r="D670" s="23" t="str">
        <f>'3.2.raw'!H670</f>
        <v/>
      </c>
      <c r="E670" s="1">
        <v>3.20000000000008</v>
      </c>
      <c r="F670" s="23" t="b">
        <f>if(countif(Status!C:C,A670)=1,TRUE, FALSE)</f>
        <v>0</v>
      </c>
      <c r="G670" s="23" t="str">
        <f t="shared" si="8"/>
        <v>#VALUE!</v>
      </c>
      <c r="H670" s="23" t="str">
        <f>IFERROR(__xludf.DUMMYFUNCTION("UPPER(filter(Legend!$D$2:$D$32,Legend!$B$2:$B$32=D670))"),"DWA")</f>
        <v>DWA</v>
      </c>
      <c r="I670" s="23" t="str">
        <f t="shared" si="3"/>
        <v>#VALUE!</v>
      </c>
    </row>
    <row r="671">
      <c r="A671" s="23" t="str">
        <f>'3.2.raw'!K671</f>
        <v/>
      </c>
      <c r="B671" s="23" t="str">
        <f>'3.2.raw'!L671</f>
        <v/>
      </c>
      <c r="C671" s="24" t="str">
        <f>datevalue(left('3.2.raw'!M671,10))</f>
        <v>#VALUE!</v>
      </c>
      <c r="D671" s="23" t="str">
        <f>'3.2.raw'!H671</f>
        <v/>
      </c>
      <c r="E671" s="1">
        <v>3.20000000000008</v>
      </c>
      <c r="F671" s="23" t="b">
        <f>if(countif(Status!C:C,A671)=1,TRUE, FALSE)</f>
        <v>0</v>
      </c>
      <c r="G671" s="23" t="str">
        <f t="shared" si="8"/>
        <v>#VALUE!</v>
      </c>
      <c r="H671" s="23" t="str">
        <f>IFERROR(__xludf.DUMMYFUNCTION("UPPER(filter(Legend!$D$2:$D$32,Legend!$B$2:$B$32=D671))"),"DWA")</f>
        <v>DWA</v>
      </c>
      <c r="I671" s="23" t="str">
        <f t="shared" si="3"/>
        <v>#VALUE!</v>
      </c>
    </row>
    <row r="672">
      <c r="A672" s="23" t="str">
        <f>'3.2.raw'!K672</f>
        <v/>
      </c>
      <c r="B672" s="23" t="str">
        <f>'3.2.raw'!L672</f>
        <v/>
      </c>
      <c r="C672" s="24" t="str">
        <f>datevalue(left('3.2.raw'!M672,10))</f>
        <v>#VALUE!</v>
      </c>
      <c r="D672" s="23" t="str">
        <f>'3.2.raw'!H672</f>
        <v/>
      </c>
      <c r="E672" s="1">
        <v>3.20000000000008</v>
      </c>
      <c r="F672" s="23" t="b">
        <f>if(countif(Status!C:C,A672)=1,TRUE, FALSE)</f>
        <v>0</v>
      </c>
      <c r="G672" s="23" t="str">
        <f t="shared" si="8"/>
        <v>#VALUE!</v>
      </c>
      <c r="H672" s="23" t="str">
        <f>IFERROR(__xludf.DUMMYFUNCTION("UPPER(filter(Legend!$D$2:$D$32,Legend!$B$2:$B$32=D672))"),"DWA")</f>
        <v>DWA</v>
      </c>
      <c r="I672" s="23" t="str">
        <f t="shared" si="3"/>
        <v>#VALUE!</v>
      </c>
    </row>
    <row r="673">
      <c r="A673" s="23" t="str">
        <f>'3.2.raw'!K673</f>
        <v/>
      </c>
      <c r="B673" s="23" t="str">
        <f>'3.2.raw'!L673</f>
        <v/>
      </c>
      <c r="C673" s="24" t="str">
        <f>datevalue(left('3.2.raw'!M673,10))</f>
        <v>#VALUE!</v>
      </c>
      <c r="D673" s="23" t="str">
        <f>'3.2.raw'!H673</f>
        <v/>
      </c>
      <c r="E673" s="1">
        <v>3.20000000000008</v>
      </c>
      <c r="F673" s="23" t="b">
        <f>if(countif(Status!C:C,A673)=1,TRUE, FALSE)</f>
        <v>0</v>
      </c>
      <c r="G673" s="23" t="str">
        <f t="shared" si="8"/>
        <v>#VALUE!</v>
      </c>
      <c r="H673" s="23" t="str">
        <f>IFERROR(__xludf.DUMMYFUNCTION("UPPER(filter(Legend!$D$2:$D$32,Legend!$B$2:$B$32=D673))"),"DWA")</f>
        <v>DWA</v>
      </c>
      <c r="I673" s="23" t="str">
        <f t="shared" si="3"/>
        <v>#VALUE!</v>
      </c>
    </row>
    <row r="674">
      <c r="A674" s="23" t="str">
        <f>'3.2.raw'!K674</f>
        <v/>
      </c>
      <c r="B674" s="23" t="str">
        <f>'3.2.raw'!L674</f>
        <v/>
      </c>
      <c r="C674" s="24" t="str">
        <f>datevalue(left('3.2.raw'!M674,10))</f>
        <v>#VALUE!</v>
      </c>
      <c r="D674" s="23" t="str">
        <f>'3.2.raw'!H674</f>
        <v/>
      </c>
      <c r="E674" s="1">
        <v>3.20000000000008</v>
      </c>
      <c r="F674" s="23" t="b">
        <f>if(countif(Status!C:C,A674)=1,TRUE, FALSE)</f>
        <v>0</v>
      </c>
      <c r="G674" s="23" t="str">
        <f t="shared" si="8"/>
        <v>#VALUE!</v>
      </c>
      <c r="H674" s="23" t="str">
        <f>IFERROR(__xludf.DUMMYFUNCTION("UPPER(filter(Legend!$D$2:$D$32,Legend!$B$2:$B$32=D674))"),"DWA")</f>
        <v>DWA</v>
      </c>
      <c r="I674" s="23" t="str">
        <f t="shared" si="3"/>
        <v>#VALUE!</v>
      </c>
    </row>
    <row r="675">
      <c r="A675" s="23" t="str">
        <f>'3.2.raw'!K675</f>
        <v/>
      </c>
      <c r="B675" s="23" t="str">
        <f>'3.2.raw'!L675</f>
        <v/>
      </c>
      <c r="C675" s="24" t="str">
        <f>datevalue(left('3.2.raw'!M675,10))</f>
        <v>#VALUE!</v>
      </c>
      <c r="D675" s="23" t="str">
        <f>'3.2.raw'!H675</f>
        <v/>
      </c>
      <c r="E675" s="1">
        <v>3.20000000000008</v>
      </c>
      <c r="F675" s="23" t="b">
        <f>if(countif(Status!C:C,A675)=1,TRUE, FALSE)</f>
        <v>0</v>
      </c>
      <c r="G675" s="23" t="str">
        <f t="shared" si="8"/>
        <v>#VALUE!</v>
      </c>
      <c r="H675" s="23" t="str">
        <f>IFERROR(__xludf.DUMMYFUNCTION("UPPER(filter(Legend!$D$2:$D$32,Legend!$B$2:$B$32=D675))"),"DWA")</f>
        <v>DWA</v>
      </c>
      <c r="I675" s="23" t="str">
        <f t="shared" si="3"/>
        <v>#VALUE!</v>
      </c>
    </row>
    <row r="676">
      <c r="A676" s="23" t="str">
        <f>'3.2.raw'!K676</f>
        <v/>
      </c>
      <c r="B676" s="23" t="str">
        <f>'3.2.raw'!L676</f>
        <v/>
      </c>
      <c r="C676" s="24" t="str">
        <f>datevalue(left('3.2.raw'!M676,10))</f>
        <v>#VALUE!</v>
      </c>
      <c r="D676" s="23" t="str">
        <f>'3.2.raw'!H676</f>
        <v/>
      </c>
      <c r="E676" s="1">
        <v>3.20000000000008</v>
      </c>
      <c r="F676" s="23" t="b">
        <f>if(countif(Status!C:C,A676)=1,TRUE, FALSE)</f>
        <v>0</v>
      </c>
      <c r="G676" s="23" t="str">
        <f t="shared" si="8"/>
        <v>#VALUE!</v>
      </c>
      <c r="H676" s="23" t="str">
        <f>IFERROR(__xludf.DUMMYFUNCTION("UPPER(filter(Legend!$D$2:$D$32,Legend!$B$2:$B$32=D676))"),"DWA")</f>
        <v>DWA</v>
      </c>
      <c r="I676" s="23" t="str">
        <f t="shared" si="3"/>
        <v>#VALUE!</v>
      </c>
    </row>
    <row r="677">
      <c r="A677" s="23" t="str">
        <f>'3.2.raw'!K677</f>
        <v/>
      </c>
      <c r="B677" s="23" t="str">
        <f>'3.2.raw'!L677</f>
        <v/>
      </c>
      <c r="C677" s="24" t="str">
        <f>datevalue(left('3.2.raw'!M677,10))</f>
        <v>#VALUE!</v>
      </c>
      <c r="D677" s="23" t="str">
        <f>'3.2.raw'!H677</f>
        <v/>
      </c>
      <c r="E677" s="1">
        <v>3.20000000000008</v>
      </c>
      <c r="F677" s="23" t="b">
        <f>if(countif(Status!C:C,A677)=1,TRUE, FALSE)</f>
        <v>0</v>
      </c>
      <c r="G677" s="23" t="str">
        <f t="shared" si="8"/>
        <v>#VALUE!</v>
      </c>
      <c r="H677" s="23" t="str">
        <f>IFERROR(__xludf.DUMMYFUNCTION("UPPER(filter(Legend!$D$2:$D$32,Legend!$B$2:$B$32=D677))"),"DWA")</f>
        <v>DWA</v>
      </c>
      <c r="I677" s="23" t="str">
        <f t="shared" si="3"/>
        <v>#VALUE!</v>
      </c>
    </row>
    <row r="678">
      <c r="A678" s="23" t="str">
        <f>'3.2.raw'!K678</f>
        <v/>
      </c>
      <c r="B678" s="23" t="str">
        <f>'3.2.raw'!L678</f>
        <v/>
      </c>
      <c r="C678" s="24" t="str">
        <f>datevalue(left('3.2.raw'!M678,10))</f>
        <v>#VALUE!</v>
      </c>
      <c r="D678" s="23" t="str">
        <f>'3.2.raw'!H678</f>
        <v/>
      </c>
      <c r="E678" s="1">
        <v>3.20000000000008</v>
      </c>
      <c r="F678" s="23" t="b">
        <f>if(countif(Status!C:C,A678)=1,TRUE, FALSE)</f>
        <v>0</v>
      </c>
      <c r="G678" s="23" t="str">
        <f t="shared" si="8"/>
        <v>#VALUE!</v>
      </c>
      <c r="H678" s="23" t="str">
        <f>IFERROR(__xludf.DUMMYFUNCTION("UPPER(filter(Legend!$D$2:$D$32,Legend!$B$2:$B$32=D678))"),"DWA")</f>
        <v>DWA</v>
      </c>
      <c r="I678" s="23" t="str">
        <f t="shared" si="3"/>
        <v>#VALUE!</v>
      </c>
    </row>
    <row r="679">
      <c r="A679" s="23" t="str">
        <f>'3.2.raw'!K679</f>
        <v/>
      </c>
      <c r="B679" s="23" t="str">
        <f>'3.2.raw'!L679</f>
        <v/>
      </c>
      <c r="C679" s="24" t="str">
        <f>datevalue(left('3.2.raw'!M679,10))</f>
        <v>#VALUE!</v>
      </c>
      <c r="D679" s="23" t="str">
        <f>'3.2.raw'!H679</f>
        <v/>
      </c>
      <c r="E679" s="1">
        <v>3.20000000000008</v>
      </c>
      <c r="F679" s="23" t="b">
        <f>if(countif(Status!C:C,A679)=1,TRUE, FALSE)</f>
        <v>0</v>
      </c>
      <c r="G679" s="23" t="str">
        <f t="shared" si="8"/>
        <v>#VALUE!</v>
      </c>
      <c r="H679" s="23" t="str">
        <f>IFERROR(__xludf.DUMMYFUNCTION("UPPER(filter(Legend!$D$2:$D$32,Legend!$B$2:$B$32=D679))"),"DWA")</f>
        <v>DWA</v>
      </c>
      <c r="I679" s="23" t="str">
        <f t="shared" si="3"/>
        <v>#VALUE!</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0.29"/>
    <col customWidth="1" min="5" max="5" width="15.71"/>
    <col customWidth="1" min="6" max="6" width="16.14"/>
  </cols>
  <sheetData>
    <row r="1">
      <c r="A1" s="1" t="s">
        <v>1273</v>
      </c>
      <c r="B1" s="1" t="s">
        <v>1274</v>
      </c>
      <c r="C1" s="1" t="s">
        <v>96</v>
      </c>
      <c r="D1" s="50" t="s">
        <v>1543</v>
      </c>
      <c r="E1" s="1" t="s">
        <v>1702</v>
      </c>
      <c r="F1" s="1" t="s">
        <v>1703</v>
      </c>
      <c r="G1" s="1" t="s">
        <v>370</v>
      </c>
      <c r="H1" s="1" t="s">
        <v>372</v>
      </c>
    </row>
    <row r="2">
      <c r="A2" s="49" t="s">
        <v>68</v>
      </c>
      <c r="B2" s="23" t="str">
        <f>'3.3.raw'!M2</f>
        <v>LS1001</v>
      </c>
      <c r="C2" s="24">
        <f>datevalue(left('3.3.raw'!O2,10))</f>
        <v>43588</v>
      </c>
      <c r="D2" s="23">
        <f>'3.3.raw'!I2</f>
        <v>7</v>
      </c>
      <c r="E2" s="23" t="str">
        <f>'3.3.raw'!J2</f>
        <v/>
      </c>
      <c r="F2" s="23" t="str">
        <f>'3.3.raw'!K2</f>
        <v/>
      </c>
      <c r="G2" s="1">
        <v>3.3</v>
      </c>
      <c r="H2" s="23" t="b">
        <f>if(countif(Status!C:C,A2)=1,TRUE, FALSE)</f>
        <v>1</v>
      </c>
    </row>
    <row r="3">
      <c r="A3" s="23" t="str">
        <f t="shared" ref="A3:A10" si="1">B3</f>
        <v>RP2001old</v>
      </c>
      <c r="B3" s="23" t="str">
        <f>'3.3.raw'!M3</f>
        <v>RP2001old</v>
      </c>
      <c r="C3" s="24">
        <f>datevalue(left('3.3.raw'!O3,10))</f>
        <v>43594</v>
      </c>
      <c r="D3" s="23">
        <f>'3.3.raw'!I3</f>
        <v>2</v>
      </c>
      <c r="E3" s="23" t="str">
        <f>'3.3.raw'!J3</f>
        <v/>
      </c>
      <c r="F3" s="23" t="str">
        <f>'3.3.raw'!K3</f>
        <v/>
      </c>
      <c r="G3" s="1">
        <v>3.3</v>
      </c>
      <c r="H3" s="23" t="b">
        <f>if(countif(Status!C:C,A3)=1,TRUE, FALSE)</f>
        <v>1</v>
      </c>
    </row>
    <row r="4">
      <c r="A4" s="23" t="str">
        <f t="shared" si="1"/>
        <v>RP2002old</v>
      </c>
      <c r="B4" s="23" t="str">
        <f>'3.3.raw'!M4</f>
        <v>RP2002old</v>
      </c>
      <c r="C4" s="24">
        <f>datevalue(left('3.3.raw'!O4,10))</f>
        <v>43594</v>
      </c>
      <c r="D4" s="23">
        <f>'3.3.raw'!I4</f>
        <v>2</v>
      </c>
      <c r="E4" s="23" t="str">
        <f>'3.3.raw'!J4</f>
        <v/>
      </c>
      <c r="F4" s="23" t="str">
        <f>'3.3.raw'!K4</f>
        <v/>
      </c>
      <c r="G4" s="1">
        <v>3.3</v>
      </c>
      <c r="H4" s="23" t="b">
        <f>if(countif(Status!C:C,A4)=1,TRUE, FALSE)</f>
        <v>1</v>
      </c>
    </row>
    <row r="5">
      <c r="A5" s="23" t="str">
        <f t="shared" si="1"/>
        <v>SL2001old</v>
      </c>
      <c r="B5" s="23" t="str">
        <f>'3.3.raw'!M5</f>
        <v>SL2001old</v>
      </c>
      <c r="C5" s="24">
        <f>datevalue(left('3.3.raw'!O5,10))</f>
        <v>43594</v>
      </c>
      <c r="D5" s="23">
        <f>'3.3.raw'!I5</f>
        <v>8</v>
      </c>
      <c r="E5" s="23" t="str">
        <f>'3.3.raw'!J5</f>
        <v/>
      </c>
      <c r="F5" s="23" t="str">
        <f>'3.3.raw'!K5</f>
        <v/>
      </c>
      <c r="G5" s="1">
        <v>3.3</v>
      </c>
      <c r="H5" s="23" t="b">
        <f>if(countif(Status!C:C,A5)=1,TRUE, FALSE)</f>
        <v>1</v>
      </c>
    </row>
    <row r="6">
      <c r="A6" s="23" t="str">
        <f t="shared" si="1"/>
        <v>SL2002old</v>
      </c>
      <c r="B6" s="23" t="str">
        <f>'3.3.raw'!M6</f>
        <v>SL2002old</v>
      </c>
      <c r="C6" s="24">
        <f>datevalue(left('3.3.raw'!O6,10))</f>
        <v>43594</v>
      </c>
      <c r="D6" s="23">
        <f>'3.3.raw'!I6</f>
        <v>8</v>
      </c>
      <c r="E6" s="23" t="str">
        <f>'3.3.raw'!J6</f>
        <v/>
      </c>
      <c r="F6" s="23" t="str">
        <f>'3.3.raw'!K6</f>
        <v/>
      </c>
      <c r="G6" s="1">
        <v>3.3</v>
      </c>
      <c r="H6" s="23" t="b">
        <f>if(countif(Status!C:C,A6)=1,TRUE, FALSE)</f>
        <v>1</v>
      </c>
    </row>
    <row r="7">
      <c r="A7" s="23" t="str">
        <f t="shared" si="1"/>
        <v>DW2002</v>
      </c>
      <c r="B7" s="23" t="str">
        <f>'3.3.raw'!M7</f>
        <v>DW2002</v>
      </c>
      <c r="C7" s="24">
        <f>datevalue(left('3.3.raw'!O7,10))</f>
        <v>43594</v>
      </c>
      <c r="D7" s="23">
        <f>'3.3.raw'!I7</f>
        <v>3</v>
      </c>
      <c r="E7" s="23" t="str">
        <f>'3.3.raw'!J7</f>
        <v/>
      </c>
      <c r="F7" s="23" t="str">
        <f>'3.3.raw'!K7</f>
        <v/>
      </c>
      <c r="G7" s="1">
        <v>3.3</v>
      </c>
      <c r="H7" s="23" t="b">
        <f>if(countif(Status!C:C,A7)=1,TRUE, FALSE)</f>
        <v>0</v>
      </c>
    </row>
    <row r="8">
      <c r="A8" s="23" t="str">
        <f t="shared" si="1"/>
        <v>BW2001old</v>
      </c>
      <c r="B8" s="23" t="str">
        <f>'3.3.raw'!M8</f>
        <v>BW2001old</v>
      </c>
      <c r="C8" s="24">
        <f>datevalue(left('3.3.raw'!O8,10))</f>
        <v>43594</v>
      </c>
      <c r="D8" s="23">
        <f>'3.3.raw'!I8</f>
        <v>9</v>
      </c>
      <c r="E8" s="23" t="str">
        <f>'3.3.raw'!J8</f>
        <v/>
      </c>
      <c r="F8" s="23" t="str">
        <f>'3.3.raw'!K8</f>
        <v/>
      </c>
      <c r="G8" s="1">
        <v>3.3</v>
      </c>
      <c r="H8" s="23" t="b">
        <f>if(countif(Status!C:C,A8)=1,TRUE, FALSE)</f>
        <v>1</v>
      </c>
    </row>
    <row r="9">
      <c r="A9" s="23" t="str">
        <f t="shared" si="1"/>
        <v>SW2001old</v>
      </c>
      <c r="B9" s="23" t="str">
        <f>'3.3.raw'!M9</f>
        <v>SW2001old</v>
      </c>
      <c r="C9" s="24">
        <f>datevalue(left('3.3.raw'!O9,10))</f>
        <v>43594</v>
      </c>
      <c r="D9" s="23">
        <f>'3.3.raw'!I9</f>
        <v>5</v>
      </c>
      <c r="E9" s="23" t="str">
        <f>'3.3.raw'!J9</f>
        <v/>
      </c>
      <c r="F9" s="23" t="str">
        <f>'3.3.raw'!K9</f>
        <v/>
      </c>
      <c r="G9" s="1">
        <v>3.3</v>
      </c>
      <c r="H9" s="23" t="b">
        <f>if(countif(Status!C:C,A9)=1,TRUE, FALSE)</f>
        <v>1</v>
      </c>
    </row>
    <row r="10">
      <c r="A10" s="23" t="str">
        <f t="shared" si="1"/>
        <v>SF2001old</v>
      </c>
      <c r="B10" s="23" t="str">
        <f>'3.3.raw'!M10</f>
        <v>SF2001old</v>
      </c>
      <c r="C10" s="24">
        <f>datevalue(left('3.3.raw'!O10,10))</f>
        <v>43601</v>
      </c>
      <c r="D10" s="23">
        <f>'3.3.raw'!I10</f>
        <v>10</v>
      </c>
      <c r="E10" s="23" t="str">
        <f>'3.3.raw'!J10</f>
        <v/>
      </c>
      <c r="F10" s="23" t="str">
        <f>'3.3.raw'!K10</f>
        <v/>
      </c>
      <c r="G10" s="1">
        <v>3.3</v>
      </c>
      <c r="H10" s="23" t="b">
        <f>if(countif(Status!C:C,A10)=1,TRUE, FALSE)</f>
        <v>1</v>
      </c>
    </row>
    <row r="11">
      <c r="A11" s="49" t="s">
        <v>375</v>
      </c>
      <c r="B11" s="23" t="str">
        <f>'3.3.raw'!M11</f>
        <v>LS2001</v>
      </c>
      <c r="C11" s="24">
        <f>datevalue(left('3.3.raw'!O11,10))</f>
        <v>43594</v>
      </c>
      <c r="D11" s="23">
        <f>'3.3.raw'!I11</f>
        <v>7</v>
      </c>
      <c r="E11" s="23" t="str">
        <f>'3.3.raw'!J11</f>
        <v/>
      </c>
      <c r="F11" s="23" t="str">
        <f>'3.3.raw'!K11</f>
        <v/>
      </c>
      <c r="G11" s="1">
        <v>3.3</v>
      </c>
      <c r="H11" s="23" t="b">
        <f>if(countif(Status!C:C,A11)=1,TRUE, FALSE)</f>
        <v>1</v>
      </c>
    </row>
    <row r="12">
      <c r="A12" s="23" t="str">
        <f t="shared" ref="A12:A16" si="2">B12</f>
        <v>MO1005</v>
      </c>
      <c r="B12" s="23" t="str">
        <f>'3.3.raw'!M12</f>
        <v>MO1005</v>
      </c>
      <c r="C12" s="24">
        <f>datevalue(left('3.3.raw'!O12,10))</f>
        <v>43601</v>
      </c>
      <c r="D12" s="23">
        <f>'3.3.raw'!I12</f>
        <v>12</v>
      </c>
      <c r="E12" s="23" t="str">
        <f>'3.3.raw'!J12</f>
        <v/>
      </c>
      <c r="F12" s="23" t="str">
        <f>'3.3.raw'!K12</f>
        <v/>
      </c>
      <c r="G12" s="1">
        <v>3.3</v>
      </c>
      <c r="H12" s="23" t="b">
        <f>if(countif(Status!C:C,A12)=1,TRUE, FALSE)</f>
        <v>1</v>
      </c>
    </row>
    <row r="13">
      <c r="A13" s="23" t="str">
        <f t="shared" si="2"/>
        <v>MO1006</v>
      </c>
      <c r="B13" s="23" t="str">
        <f>'3.3.raw'!M13</f>
        <v>MO1006</v>
      </c>
      <c r="C13" s="24">
        <f>datevalue(left('3.3.raw'!O13,10))</f>
        <v>43601</v>
      </c>
      <c r="D13" s="23">
        <f>'3.3.raw'!I13</f>
        <v>12</v>
      </c>
      <c r="E13" s="23" t="str">
        <f>'3.3.raw'!J13</f>
        <v/>
      </c>
      <c r="F13" s="23" t="str">
        <f>'3.3.raw'!K13</f>
        <v/>
      </c>
      <c r="G13" s="1">
        <v>3.3</v>
      </c>
      <c r="H13" s="23" t="b">
        <f>if(countif(Status!C:C,A13)=1,TRUE, FALSE)</f>
        <v>1</v>
      </c>
    </row>
    <row r="14">
      <c r="A14" s="23" t="str">
        <f t="shared" si="2"/>
        <v>RP2003old</v>
      </c>
      <c r="B14" s="23" t="str">
        <f>'3.3.raw'!M14</f>
        <v>RP2003old</v>
      </c>
      <c r="C14" s="24">
        <f>datevalue(left('3.3.raw'!O14,10))</f>
        <v>43601</v>
      </c>
      <c r="D14" s="23">
        <f>'3.3.raw'!I14</f>
        <v>2</v>
      </c>
      <c r="E14" s="23" t="str">
        <f>'3.3.raw'!J14</f>
        <v/>
      </c>
      <c r="F14" s="23" t="str">
        <f>'3.3.raw'!K14</f>
        <v/>
      </c>
      <c r="G14" s="1">
        <v>3.3</v>
      </c>
      <c r="H14" s="23" t="b">
        <f>if(countif(Status!C:C,A14)=1,TRUE, FALSE)</f>
        <v>0</v>
      </c>
    </row>
    <row r="15">
      <c r="A15" s="23" t="str">
        <f t="shared" si="2"/>
        <v>RP2004old</v>
      </c>
      <c r="B15" s="23" t="str">
        <f>'3.3.raw'!M15</f>
        <v>RP2004old</v>
      </c>
      <c r="C15" s="24">
        <f>datevalue(left('3.3.raw'!O15,10))</f>
        <v>43601</v>
      </c>
      <c r="D15" s="23">
        <f>'3.3.raw'!I15</f>
        <v>2</v>
      </c>
      <c r="E15" s="23" t="str">
        <f>'3.3.raw'!J15</f>
        <v/>
      </c>
      <c r="F15" s="23" t="str">
        <f>'3.3.raw'!K15</f>
        <v/>
      </c>
      <c r="G15" s="1">
        <v>3.3</v>
      </c>
      <c r="H15" s="23" t="b">
        <f>if(countif(Status!C:C,A15)=1,TRUE, FALSE)</f>
        <v>1</v>
      </c>
    </row>
    <row r="16">
      <c r="A16" s="23" t="str">
        <f t="shared" si="2"/>
        <v>PLc1001</v>
      </c>
      <c r="B16" s="23" t="str">
        <f>'3.3.raw'!M16</f>
        <v>PLc1001</v>
      </c>
      <c r="C16" s="24">
        <f>datevalue(left('3.3.raw'!O16,10))</f>
        <v>43601</v>
      </c>
      <c r="D16" s="23">
        <f>'3.3.raw'!I16</f>
        <v>11</v>
      </c>
      <c r="E16" s="23" t="str">
        <f>'3.3.raw'!J16</f>
        <v/>
      </c>
      <c r="F16" s="23" t="str">
        <f>'3.3.raw'!K16</f>
        <v/>
      </c>
      <c r="G16" s="1">
        <v>3.3</v>
      </c>
      <c r="H16" s="23" t="b">
        <f>if(countif(Status!C:C,A16)=1,TRUE, FALSE)</f>
        <v>1</v>
      </c>
    </row>
    <row r="17">
      <c r="A17" s="96" t="s">
        <v>380</v>
      </c>
      <c r="B17" s="23" t="str">
        <f>'3.3.raw'!M17</f>
        <v>SL2003</v>
      </c>
      <c r="C17" s="24">
        <f>datevalue(left('3.3.raw'!O17,10))</f>
        <v>43601</v>
      </c>
      <c r="D17" s="23">
        <f>'3.3.raw'!I17</f>
        <v>8</v>
      </c>
      <c r="E17" s="23" t="str">
        <f>'3.3.raw'!J17</f>
        <v/>
      </c>
      <c r="F17" s="23" t="str">
        <f>'3.3.raw'!K17</f>
        <v/>
      </c>
      <c r="G17" s="1">
        <v>3.3</v>
      </c>
      <c r="H17" s="23" t="b">
        <f>if(countif(Status!C:C,A17)=1,TRUE, FALSE)</f>
        <v>1</v>
      </c>
    </row>
    <row r="18">
      <c r="A18" s="23" t="str">
        <f t="shared" ref="A18:A124" si="3">B18</f>
        <v>SL2004old</v>
      </c>
      <c r="B18" s="23" t="str">
        <f>'3.3.raw'!M18</f>
        <v>SL2004old</v>
      </c>
      <c r="C18" s="24">
        <f>datevalue(left('3.3.raw'!O18,10))</f>
        <v>43601</v>
      </c>
      <c r="D18" s="23">
        <f>'3.3.raw'!I18</f>
        <v>8</v>
      </c>
      <c r="E18" s="23" t="str">
        <f>'3.3.raw'!J18</f>
        <v/>
      </c>
      <c r="F18" s="23" t="str">
        <f>'3.3.raw'!K18</f>
        <v/>
      </c>
      <c r="G18" s="1">
        <v>3.3</v>
      </c>
      <c r="H18" s="23" t="b">
        <f>if(countif(Status!C:C,A18)=1,TRUE, FALSE)</f>
        <v>1</v>
      </c>
    </row>
    <row r="19">
      <c r="A19" s="23" t="str">
        <f t="shared" si="3"/>
        <v>SF1002</v>
      </c>
      <c r="B19" s="23" t="str">
        <f>'3.3.raw'!M19</f>
        <v>SF1002</v>
      </c>
      <c r="C19" s="24">
        <f>datevalue(left('3.3.raw'!O19,10))</f>
        <v>43622</v>
      </c>
      <c r="D19" s="23">
        <f>'3.3.raw'!I19</f>
        <v>10</v>
      </c>
      <c r="E19" s="23" t="str">
        <f>'3.3.raw'!J19</f>
        <v/>
      </c>
      <c r="F19" s="23" t="str">
        <f>'3.3.raw'!K19</f>
        <v/>
      </c>
      <c r="G19" s="1">
        <v>3.3</v>
      </c>
      <c r="H19" s="23" t="b">
        <f>if(countif(Status!C:C,A19)=1,TRUE, FALSE)</f>
        <v>1</v>
      </c>
    </row>
    <row r="20">
      <c r="A20" s="23" t="str">
        <f t="shared" si="3"/>
        <v>PL1002</v>
      </c>
      <c r="B20" s="23" t="str">
        <f>'3.3.raw'!M20</f>
        <v>PL1002</v>
      </c>
      <c r="C20" s="24">
        <f>datevalue(left('3.3.raw'!O20,10))</f>
        <v>43622</v>
      </c>
      <c r="D20" s="23">
        <f>'3.3.raw'!I20</f>
        <v>11</v>
      </c>
      <c r="E20" s="23" t="str">
        <f>'3.3.raw'!J20</f>
        <v/>
      </c>
      <c r="F20" s="23" t="str">
        <f>'3.3.raw'!K20</f>
        <v/>
      </c>
      <c r="G20" s="1">
        <v>3.3</v>
      </c>
      <c r="H20" s="23" t="b">
        <f>if(countif(Status!C:C,A20)=1,TRUE, FALSE)</f>
        <v>1</v>
      </c>
    </row>
    <row r="21">
      <c r="A21" s="23" t="str">
        <f t="shared" si="3"/>
        <v>LS1002</v>
      </c>
      <c r="B21" s="23" t="str">
        <f>'3.3.raw'!M21</f>
        <v>LS1002</v>
      </c>
      <c r="C21" s="24">
        <f>datevalue(left('3.3.raw'!O21,10))</f>
        <v>43622</v>
      </c>
      <c r="D21" s="23">
        <f>'3.3.raw'!I21</f>
        <v>7</v>
      </c>
      <c r="E21" s="23" t="str">
        <f>'3.3.raw'!J21</f>
        <v/>
      </c>
      <c r="F21" s="23" t="str">
        <f>'3.3.raw'!K21</f>
        <v/>
      </c>
      <c r="G21" s="1">
        <v>3.3</v>
      </c>
      <c r="H21" s="23" t="b">
        <f>if(countif(Status!C:C,A21)=1,TRUE, FALSE)</f>
        <v>1</v>
      </c>
    </row>
    <row r="22">
      <c r="A22" s="23" t="str">
        <f t="shared" si="3"/>
        <v>LS1003</v>
      </c>
      <c r="B22" s="23" t="str">
        <f>'3.3.raw'!M22</f>
        <v>LS1003</v>
      </c>
      <c r="C22" s="24">
        <f>datevalue(left('3.3.raw'!O22,10))</f>
        <v>43622</v>
      </c>
      <c r="D22" s="23">
        <f>'3.3.raw'!I22</f>
        <v>7</v>
      </c>
      <c r="E22" s="23" t="str">
        <f>'3.3.raw'!J22</f>
        <v/>
      </c>
      <c r="F22" s="23" t="str">
        <f>'3.3.raw'!K22</f>
        <v/>
      </c>
      <c r="G22" s="1">
        <v>3.3</v>
      </c>
      <c r="H22" s="23" t="b">
        <f>if(countif(Status!C:C,A22)=1,TRUE, FALSE)</f>
        <v>1</v>
      </c>
    </row>
    <row r="23">
      <c r="A23" s="23" t="str">
        <f t="shared" si="3"/>
        <v>LS1004</v>
      </c>
      <c r="B23" s="23" t="str">
        <f>'3.3.raw'!M23</f>
        <v>LS1004</v>
      </c>
      <c r="C23" s="24">
        <f>datevalue(left('3.3.raw'!O23,10))</f>
        <v>43622</v>
      </c>
      <c r="D23" s="23">
        <f>'3.3.raw'!I23</f>
        <v>7</v>
      </c>
      <c r="E23" s="23" t="str">
        <f>'3.3.raw'!J23</f>
        <v/>
      </c>
      <c r="F23" s="23" t="str">
        <f>'3.3.raw'!K23</f>
        <v/>
      </c>
      <c r="G23" s="1">
        <v>3.3</v>
      </c>
      <c r="H23" s="23" t="b">
        <f>if(countif(Status!C:C,A23)=1,TRUE, FALSE)</f>
        <v>1</v>
      </c>
    </row>
    <row r="24">
      <c r="A24" s="23" t="str">
        <f t="shared" si="3"/>
        <v>MO1009</v>
      </c>
      <c r="B24" s="23" t="str">
        <f>'3.3.raw'!M24</f>
        <v>MO1009</v>
      </c>
      <c r="C24" s="24">
        <f>datevalue(left('3.3.raw'!O24,10))</f>
        <v>43622</v>
      </c>
      <c r="D24" s="23">
        <f>'3.3.raw'!I24</f>
        <v>12</v>
      </c>
      <c r="E24" s="23" t="str">
        <f>'3.3.raw'!J24</f>
        <v/>
      </c>
      <c r="F24" s="23" t="str">
        <f>'3.3.raw'!K24</f>
        <v/>
      </c>
      <c r="G24" s="1">
        <v>3.3</v>
      </c>
      <c r="H24" s="23" t="b">
        <f>if(countif(Status!C:C,A24)=1,TRUE, FALSE)</f>
        <v>1</v>
      </c>
    </row>
    <row r="25">
      <c r="A25" s="23" t="str">
        <f t="shared" si="3"/>
        <v>MO1010</v>
      </c>
      <c r="B25" s="23" t="str">
        <f>'3.3.raw'!M25</f>
        <v>MO1010</v>
      </c>
      <c r="C25" s="24">
        <f>datevalue(left('3.3.raw'!O25,10))</f>
        <v>43622</v>
      </c>
      <c r="D25" s="23">
        <f>'3.3.raw'!I25</f>
        <v>12</v>
      </c>
      <c r="E25" s="23" t="str">
        <f>'3.3.raw'!J25</f>
        <v/>
      </c>
      <c r="F25" s="23" t="str">
        <f>'3.3.raw'!K25</f>
        <v/>
      </c>
      <c r="G25" s="1">
        <v>3.3</v>
      </c>
      <c r="H25" s="23" t="b">
        <f>if(countif(Status!C:C,A25)=1,TRUE, FALSE)</f>
        <v>1</v>
      </c>
    </row>
    <row r="26">
      <c r="A26" s="23" t="str">
        <f t="shared" si="3"/>
        <v>PLc1002</v>
      </c>
      <c r="B26" s="23" t="str">
        <f>'3.3.raw'!M26</f>
        <v>PLc1002</v>
      </c>
      <c r="C26" s="24">
        <f>datevalue(left('3.3.raw'!O26,10))</f>
        <v>43622</v>
      </c>
      <c r="D26" s="23">
        <f>'3.3.raw'!I26</f>
        <v>11</v>
      </c>
      <c r="E26" s="23" t="str">
        <f>'3.3.raw'!J26</f>
        <v/>
      </c>
      <c r="F26" s="23" t="str">
        <f>'3.3.raw'!K26</f>
        <v/>
      </c>
      <c r="G26" s="1">
        <v>3.3</v>
      </c>
      <c r="H26" s="23" t="b">
        <f>if(countif(Status!C:C,A26)=1,TRUE, FALSE)</f>
        <v>1</v>
      </c>
    </row>
    <row r="27">
      <c r="A27" s="23" t="str">
        <f t="shared" si="3"/>
        <v>MO1015</v>
      </c>
      <c r="B27" s="23" t="str">
        <f>'3.3.raw'!M27</f>
        <v>MO1015</v>
      </c>
      <c r="C27" s="24">
        <f>datevalue(left('3.3.raw'!O27,10))</f>
        <v>43622</v>
      </c>
      <c r="D27" s="23">
        <f>'3.3.raw'!I27</f>
        <v>12</v>
      </c>
      <c r="E27" s="23" t="str">
        <f>'3.3.raw'!J27</f>
        <v/>
      </c>
      <c r="F27" s="23" t="str">
        <f>'3.3.raw'!K27</f>
        <v/>
      </c>
      <c r="G27" s="1">
        <v>3.3</v>
      </c>
      <c r="H27" s="23" t="b">
        <f>if(countif(Status!C:C,A27)=1,TRUE, FALSE)</f>
        <v>1</v>
      </c>
    </row>
    <row r="28">
      <c r="A28" s="23" t="str">
        <f t="shared" si="3"/>
        <v>MO1016</v>
      </c>
      <c r="B28" s="23" t="str">
        <f>'3.3.raw'!M28</f>
        <v>MO1016</v>
      </c>
      <c r="C28" s="24">
        <f>datevalue(left('3.3.raw'!O28,10))</f>
        <v>43622</v>
      </c>
      <c r="D28" s="23">
        <f>'3.3.raw'!I28</f>
        <v>12</v>
      </c>
      <c r="E28" s="23" t="str">
        <f>'3.3.raw'!J28</f>
        <v/>
      </c>
      <c r="F28" s="23" t="str">
        <f>'3.3.raw'!K28</f>
        <v/>
      </c>
      <c r="G28" s="1">
        <v>3.3</v>
      </c>
      <c r="H28" s="23" t="b">
        <f>if(countif(Status!C:C,A28)=1,TRUE, FALSE)</f>
        <v>1</v>
      </c>
    </row>
    <row r="29">
      <c r="A29" s="23" t="str">
        <f t="shared" si="3"/>
        <v>SF1007</v>
      </c>
      <c r="B29" s="23" t="str">
        <f>'3.3.raw'!M29</f>
        <v>SF1007</v>
      </c>
      <c r="C29" s="24">
        <f>datevalue(left('3.3.raw'!O29,10))</f>
        <v>43622</v>
      </c>
      <c r="D29" s="23">
        <f>'3.3.raw'!I29</f>
        <v>10</v>
      </c>
      <c r="E29" s="23" t="str">
        <f>'3.3.raw'!J29</f>
        <v/>
      </c>
      <c r="F29" s="23" t="str">
        <f>'3.3.raw'!K29</f>
        <v/>
      </c>
      <c r="G29" s="1">
        <v>3.3</v>
      </c>
      <c r="H29" s="23" t="b">
        <f>if(countif(Status!C:C,A29)=1,TRUE, FALSE)</f>
        <v>1</v>
      </c>
    </row>
    <row r="30">
      <c r="A30" s="23" t="str">
        <f t="shared" si="3"/>
        <v>SF1008</v>
      </c>
      <c r="B30" s="23" t="str">
        <f>'3.3.raw'!M30</f>
        <v>SF1008</v>
      </c>
      <c r="C30" s="24">
        <f>datevalue(left('3.3.raw'!O30,10))</f>
        <v>43622</v>
      </c>
      <c r="D30" s="23">
        <f>'3.3.raw'!I30</f>
        <v>10</v>
      </c>
      <c r="E30" s="23" t="str">
        <f>'3.3.raw'!J30</f>
        <v/>
      </c>
      <c r="F30" s="23" t="str">
        <f>'3.3.raw'!K30</f>
        <v/>
      </c>
      <c r="G30" s="1">
        <v>3.3</v>
      </c>
      <c r="H30" s="23" t="b">
        <f>if(countif(Status!C:C,A30)=1,TRUE, FALSE)</f>
        <v>1</v>
      </c>
    </row>
    <row r="31">
      <c r="A31" s="23" t="str">
        <f t="shared" si="3"/>
        <v>LS1008</v>
      </c>
      <c r="B31" s="23" t="str">
        <f>'3.3.raw'!M31</f>
        <v>LS1008</v>
      </c>
      <c r="C31" s="24">
        <f>datevalue(left('3.3.raw'!O31,10))</f>
        <v>43629</v>
      </c>
      <c r="D31" s="23">
        <f>'3.3.raw'!I31</f>
        <v>7</v>
      </c>
      <c r="E31" s="23" t="str">
        <f>'3.3.raw'!J31</f>
        <v/>
      </c>
      <c r="F31" s="23" t="str">
        <f>'3.3.raw'!K31</f>
        <v/>
      </c>
      <c r="G31" s="1">
        <v>3.3</v>
      </c>
      <c r="H31" s="23" t="b">
        <f>if(countif(Status!C:C,A31)=1,TRUE, FALSE)</f>
        <v>1</v>
      </c>
    </row>
    <row r="32">
      <c r="A32" s="23" t="str">
        <f t="shared" si="3"/>
        <v>MO1011</v>
      </c>
      <c r="B32" s="23" t="str">
        <f>'3.3.raw'!M32</f>
        <v>MO1011</v>
      </c>
      <c r="C32" s="24">
        <f>datevalue(left('3.3.raw'!O32,10))</f>
        <v>43629</v>
      </c>
      <c r="D32" s="23">
        <f>'3.3.raw'!I32</f>
        <v>12</v>
      </c>
      <c r="E32" s="23" t="str">
        <f>'3.3.raw'!J32</f>
        <v/>
      </c>
      <c r="F32" s="23" t="str">
        <f>'3.3.raw'!K32</f>
        <v/>
      </c>
      <c r="G32" s="1">
        <v>3.3</v>
      </c>
      <c r="H32" s="23" t="b">
        <f>if(countif(Status!C:C,A32)=1,TRUE, FALSE)</f>
        <v>1</v>
      </c>
    </row>
    <row r="33">
      <c r="A33" s="23" t="str">
        <f t="shared" si="3"/>
        <v>DWa1002</v>
      </c>
      <c r="B33" s="23" t="str">
        <f>'3.3.raw'!M33</f>
        <v>DWa1002</v>
      </c>
      <c r="C33" s="24">
        <f>datevalue(left('3.3.raw'!O33,10))</f>
        <v>43629</v>
      </c>
      <c r="D33" s="23">
        <f>'3.3.raw'!I33</f>
        <v>3</v>
      </c>
      <c r="E33" s="23" t="str">
        <f>'3.3.raw'!J33</f>
        <v/>
      </c>
      <c r="F33" s="23" t="str">
        <f>'3.3.raw'!K33</f>
        <v/>
      </c>
      <c r="G33" s="1">
        <v>3.3</v>
      </c>
      <c r="H33" s="23" t="b">
        <f>if(countif(Status!C:C,A33)=1,TRUE, FALSE)</f>
        <v>1</v>
      </c>
    </row>
    <row r="34">
      <c r="A34" s="23" t="str">
        <f t="shared" si="3"/>
        <v>SW1003</v>
      </c>
      <c r="B34" s="23" t="str">
        <f>'3.3.raw'!M34</f>
        <v>SW1003</v>
      </c>
      <c r="C34" s="24">
        <f>datevalue(left('3.3.raw'!O34,10))</f>
        <v>43629</v>
      </c>
      <c r="D34" s="23">
        <f>'3.3.raw'!I34</f>
        <v>5</v>
      </c>
      <c r="E34" s="23" t="str">
        <f>'3.3.raw'!J34</f>
        <v/>
      </c>
      <c r="F34" s="23" t="str">
        <f>'3.3.raw'!K34</f>
        <v/>
      </c>
      <c r="G34" s="1">
        <v>3.3</v>
      </c>
      <c r="H34" s="23" t="b">
        <f>if(countif(Status!C:C,A34)=1,TRUE, FALSE)</f>
        <v>1</v>
      </c>
    </row>
    <row r="35">
      <c r="A35" s="23" t="str">
        <f t="shared" si="3"/>
        <v>LS1009</v>
      </c>
      <c r="B35" s="23" t="str">
        <f>'3.3.raw'!M35</f>
        <v>LS1009</v>
      </c>
      <c r="C35" s="24">
        <f>datevalue(left('3.3.raw'!O35,10))</f>
        <v>43629</v>
      </c>
      <c r="D35" s="23">
        <f>'3.3.raw'!I35</f>
        <v>7</v>
      </c>
      <c r="E35" s="23" t="str">
        <f>'3.3.raw'!J35</f>
        <v/>
      </c>
      <c r="F35" s="23" t="str">
        <f>'3.3.raw'!K35</f>
        <v/>
      </c>
      <c r="G35" s="1">
        <v>3.3</v>
      </c>
      <c r="H35" s="23" t="b">
        <f>if(countif(Status!C:C,A35)=1,TRUE, FALSE)</f>
        <v>1</v>
      </c>
    </row>
    <row r="36">
      <c r="A36" s="23" t="str">
        <f t="shared" si="3"/>
        <v>PLc1004</v>
      </c>
      <c r="B36" s="23" t="str">
        <f>'3.3.raw'!M36</f>
        <v>PLc1004</v>
      </c>
      <c r="C36" s="24">
        <f>datevalue(left('3.3.raw'!O36,10))</f>
        <v>43629</v>
      </c>
      <c r="D36" s="23">
        <f>'3.3.raw'!I36</f>
        <v>11</v>
      </c>
      <c r="E36" s="23" t="str">
        <f>'3.3.raw'!J36</f>
        <v/>
      </c>
      <c r="F36" s="23" t="str">
        <f>'3.3.raw'!K36</f>
        <v/>
      </c>
      <c r="G36" s="1">
        <v>3.3</v>
      </c>
      <c r="H36" s="23" t="b">
        <f>if(countif(Status!C:C,A36)=1,TRUE, FALSE)</f>
        <v>1</v>
      </c>
    </row>
    <row r="37">
      <c r="A37" s="23" t="str">
        <f t="shared" si="3"/>
        <v>DWb1003</v>
      </c>
      <c r="B37" s="23" t="str">
        <f>'3.3.raw'!M37</f>
        <v>DWb1003</v>
      </c>
      <c r="C37" s="24">
        <f>datevalue(left('3.3.raw'!O37,10))</f>
        <v>43629</v>
      </c>
      <c r="D37" s="23">
        <f>'3.3.raw'!I37</f>
        <v>3</v>
      </c>
      <c r="E37" s="23" t="str">
        <f>'3.3.raw'!J37</f>
        <v/>
      </c>
      <c r="F37" s="23" t="str">
        <f>'3.3.raw'!K37</f>
        <v/>
      </c>
      <c r="G37" s="1">
        <v>3.3</v>
      </c>
      <c r="H37" s="23" t="b">
        <f>if(countif(Status!C:C,A37)=1,TRUE, FALSE)</f>
        <v>1</v>
      </c>
    </row>
    <row r="38">
      <c r="A38" s="23" t="str">
        <f t="shared" si="3"/>
        <v>BW1001</v>
      </c>
      <c r="B38" s="23" t="str">
        <f>'3.3.raw'!M38</f>
        <v>BW1001</v>
      </c>
      <c r="C38" s="24">
        <f>datevalue(left('3.3.raw'!O38,10))</f>
        <v>43629</v>
      </c>
      <c r="D38" s="23">
        <f>'3.3.raw'!I38</f>
        <v>9</v>
      </c>
      <c r="E38" s="23" t="str">
        <f>'3.3.raw'!J38</f>
        <v/>
      </c>
      <c r="F38" s="23" t="str">
        <f>'3.3.raw'!K38</f>
        <v/>
      </c>
      <c r="G38" s="1">
        <v>3.3</v>
      </c>
      <c r="H38" s="23" t="b">
        <f>if(countif(Status!C:C,A38)=1,TRUE, FALSE)</f>
        <v>1</v>
      </c>
    </row>
    <row r="39">
      <c r="A39" s="23" t="str">
        <f t="shared" si="3"/>
        <v>SL1001</v>
      </c>
      <c r="B39" s="23" t="str">
        <f>'3.3.raw'!M39</f>
        <v>SL1001</v>
      </c>
      <c r="C39" s="24">
        <f>datevalue(left('3.3.raw'!O39,10))</f>
        <v>43629</v>
      </c>
      <c r="D39" s="23">
        <f>'3.3.raw'!I39</f>
        <v>8</v>
      </c>
      <c r="E39" s="23" t="str">
        <f>'3.3.raw'!J39</f>
        <v/>
      </c>
      <c r="F39" s="23" t="str">
        <f>'3.3.raw'!K39</f>
        <v/>
      </c>
      <c r="G39" s="1">
        <v>3.3</v>
      </c>
      <c r="H39" s="23" t="b">
        <f>if(countif(Status!C:C,A39)=1,TRUE, FALSE)</f>
        <v>1</v>
      </c>
    </row>
    <row r="40">
      <c r="A40" s="23" t="str">
        <f t="shared" si="3"/>
        <v>MO1012</v>
      </c>
      <c r="B40" s="23" t="str">
        <f>'3.3.raw'!M40</f>
        <v>MO1012</v>
      </c>
      <c r="C40" s="24">
        <f>datevalue(left('3.3.raw'!O40,10))</f>
        <v>43629</v>
      </c>
      <c r="D40" s="23">
        <f>'3.3.raw'!I40</f>
        <v>12</v>
      </c>
      <c r="E40" s="23" t="str">
        <f>'3.3.raw'!J40</f>
        <v/>
      </c>
      <c r="F40" s="23" t="str">
        <f>'3.3.raw'!K40</f>
        <v/>
      </c>
      <c r="G40" s="1">
        <v>3.3</v>
      </c>
      <c r="H40" s="23" t="b">
        <f>if(countif(Status!C:C,A40)=1,TRUE, FALSE)</f>
        <v>1</v>
      </c>
    </row>
    <row r="41">
      <c r="A41" s="23" t="str">
        <f t="shared" si="3"/>
        <v>PL1004</v>
      </c>
      <c r="B41" s="23" t="str">
        <f>'3.3.raw'!M41</f>
        <v>PL1004</v>
      </c>
      <c r="C41" s="24">
        <f>datevalue(left('3.3.raw'!O41,10))</f>
        <v>43629</v>
      </c>
      <c r="D41" s="23">
        <f>'3.3.raw'!I41</f>
        <v>11</v>
      </c>
      <c r="E41" s="23" t="str">
        <f>'3.3.raw'!J41</f>
        <v/>
      </c>
      <c r="F41" s="23" t="str">
        <f>'3.3.raw'!K41</f>
        <v/>
      </c>
      <c r="G41" s="1">
        <v>3.3</v>
      </c>
      <c r="H41" s="23" t="b">
        <f>if(countif(Status!C:C,A41)=1,TRUE, FALSE)</f>
        <v>1</v>
      </c>
    </row>
    <row r="42">
      <c r="A42" s="23" t="str">
        <f t="shared" si="3"/>
        <v>PLc1005</v>
      </c>
      <c r="B42" s="23" t="str">
        <f>'3.3.raw'!M42</f>
        <v>PLc1005</v>
      </c>
      <c r="C42" s="24">
        <f>datevalue(left('3.3.raw'!O42,10))</f>
        <v>43629</v>
      </c>
      <c r="D42" s="23">
        <f>'3.3.raw'!I42</f>
        <v>11</v>
      </c>
      <c r="E42" s="23" t="str">
        <f>'3.3.raw'!J42</f>
        <v/>
      </c>
      <c r="F42" s="23" t="str">
        <f>'3.3.raw'!K42</f>
        <v/>
      </c>
      <c r="G42" s="1">
        <v>3.3</v>
      </c>
      <c r="H42" s="23" t="b">
        <f>if(countif(Status!C:C,A42)=1,TRUE, FALSE)</f>
        <v>1</v>
      </c>
    </row>
    <row r="43">
      <c r="A43" s="23" t="str">
        <f t="shared" si="3"/>
        <v>RP1004</v>
      </c>
      <c r="B43" s="23" t="str">
        <f>'3.3.raw'!M43</f>
        <v>RP1004</v>
      </c>
      <c r="C43" s="24">
        <f>datevalue(left('3.3.raw'!O43,10))</f>
        <v>43628</v>
      </c>
      <c r="D43" s="23">
        <f>'3.3.raw'!I43</f>
        <v>2</v>
      </c>
      <c r="E43" s="23" t="str">
        <f>'3.3.raw'!J43</f>
        <v/>
      </c>
      <c r="F43" s="23" t="str">
        <f>'3.3.raw'!K43</f>
        <v/>
      </c>
      <c r="G43" s="1">
        <v>3.3</v>
      </c>
      <c r="H43" s="23" t="b">
        <f>if(countif(Status!C:C,A43)=1,TRUE, FALSE)</f>
        <v>1</v>
      </c>
    </row>
    <row r="44">
      <c r="A44" s="23" t="str">
        <f t="shared" si="3"/>
        <v>MO1013</v>
      </c>
      <c r="B44" s="23" t="str">
        <f>'3.3.raw'!M44</f>
        <v>MO1013</v>
      </c>
      <c r="C44" s="24">
        <f>datevalue(left('3.3.raw'!O44,10))</f>
        <v>43628</v>
      </c>
      <c r="D44" s="23">
        <f>'3.3.raw'!I44</f>
        <v>12</v>
      </c>
      <c r="E44" s="23" t="str">
        <f>'3.3.raw'!J44</f>
        <v/>
      </c>
      <c r="F44" s="23" t="str">
        <f>'3.3.raw'!K44</f>
        <v/>
      </c>
      <c r="G44" s="1">
        <v>3.3</v>
      </c>
      <c r="H44" s="23" t="b">
        <f>if(countif(Status!C:C,A44)=1,TRUE, FALSE)</f>
        <v>1</v>
      </c>
    </row>
    <row r="45">
      <c r="A45" s="23" t="str">
        <f t="shared" si="3"/>
        <v>PLc1006</v>
      </c>
      <c r="B45" s="23" t="str">
        <f>'3.3.raw'!M45</f>
        <v>PLc1006</v>
      </c>
      <c r="C45" s="24">
        <f>datevalue(left('3.3.raw'!O45,10))</f>
        <v>43628</v>
      </c>
      <c r="D45" s="23">
        <f>'3.3.raw'!I45</f>
        <v>11</v>
      </c>
      <c r="E45" s="23" t="str">
        <f>'3.3.raw'!J45</f>
        <v/>
      </c>
      <c r="F45" s="23" t="str">
        <f>'3.3.raw'!K45</f>
        <v/>
      </c>
      <c r="G45" s="1">
        <v>3.3</v>
      </c>
      <c r="H45" s="23" t="b">
        <f>if(countif(Status!C:C,A45)=1,TRUE, FALSE)</f>
        <v>1</v>
      </c>
    </row>
    <row r="46">
      <c r="A46" s="23" t="str">
        <f t="shared" si="3"/>
        <v>SL1002</v>
      </c>
      <c r="B46" s="23" t="str">
        <f>'3.3.raw'!M46</f>
        <v>SL1002</v>
      </c>
      <c r="C46" s="24">
        <f>datevalue(left('3.3.raw'!O46,10))</f>
        <v>43628</v>
      </c>
      <c r="D46" s="23">
        <f>'3.3.raw'!I46</f>
        <v>8</v>
      </c>
      <c r="E46" s="23" t="str">
        <f>'3.3.raw'!J46</f>
        <v/>
      </c>
      <c r="F46" s="23" t="str">
        <f>'3.3.raw'!K46</f>
        <v/>
      </c>
      <c r="G46" s="1">
        <v>3.3</v>
      </c>
      <c r="H46" s="23" t="b">
        <f>if(countif(Status!C:C,A46)=1,TRUE, FALSE)</f>
        <v>1</v>
      </c>
    </row>
    <row r="47">
      <c r="A47" s="23" t="str">
        <f t="shared" si="3"/>
        <v>RP1003</v>
      </c>
      <c r="B47" s="23" t="str">
        <f>'3.3.raw'!M47</f>
        <v>RP1003</v>
      </c>
      <c r="C47" s="24">
        <f>datevalue(left('3.3.raw'!O47,10))</f>
        <v>43628</v>
      </c>
      <c r="D47" s="23">
        <f>'3.3.raw'!I47</f>
        <v>2</v>
      </c>
      <c r="E47" s="23" t="str">
        <f>'3.3.raw'!J47</f>
        <v/>
      </c>
      <c r="F47" s="23" t="str">
        <f>'3.3.raw'!K47</f>
        <v/>
      </c>
      <c r="G47" s="1">
        <v>3.3</v>
      </c>
      <c r="H47" s="23" t="b">
        <f>if(countif(Status!C:C,A47)=1,TRUE, FALSE)</f>
        <v>1</v>
      </c>
    </row>
    <row r="48">
      <c r="A48" s="23" t="str">
        <f t="shared" si="3"/>
        <v>MO1014</v>
      </c>
      <c r="B48" s="23" t="str">
        <f>'3.3.raw'!M48</f>
        <v>MO1014</v>
      </c>
      <c r="C48" s="24">
        <f>datevalue(left('3.3.raw'!O48,10))</f>
        <v>43628</v>
      </c>
      <c r="D48" s="23">
        <f>'3.3.raw'!I48</f>
        <v>12</v>
      </c>
      <c r="E48" s="23" t="str">
        <f>'3.3.raw'!J48</f>
        <v/>
      </c>
      <c r="F48" s="23" t="str">
        <f>'3.3.raw'!K48</f>
        <v/>
      </c>
      <c r="G48" s="1">
        <v>3.3</v>
      </c>
      <c r="H48" s="23" t="b">
        <f>if(countif(Status!C:C,A48)=1,TRUE, FALSE)</f>
        <v>1</v>
      </c>
    </row>
    <row r="49">
      <c r="A49" s="23" t="str">
        <f t="shared" si="3"/>
        <v>SW1002</v>
      </c>
      <c r="B49" s="23" t="str">
        <f>'3.3.raw'!M49</f>
        <v>SW1002</v>
      </c>
      <c r="C49" s="24">
        <f>datevalue(left('3.3.raw'!O49,10))</f>
        <v>43628</v>
      </c>
      <c r="D49" s="23">
        <f>'3.3.raw'!I49</f>
        <v>5</v>
      </c>
      <c r="E49" s="23" t="str">
        <f>'3.3.raw'!J49</f>
        <v/>
      </c>
      <c r="F49" s="23" t="str">
        <f>'3.3.raw'!K49</f>
        <v/>
      </c>
      <c r="G49" s="1">
        <v>3.3</v>
      </c>
      <c r="H49" s="23" t="b">
        <f>if(countif(Status!C:C,A49)=1,TRUE, FALSE)</f>
        <v>1</v>
      </c>
    </row>
    <row r="50">
      <c r="A50" s="23" t="str">
        <f t="shared" si="3"/>
        <v>SF1005</v>
      </c>
      <c r="B50" s="23" t="str">
        <f>'3.3.raw'!M50</f>
        <v>SF1005</v>
      </c>
      <c r="C50" s="24">
        <f>datevalue(left('3.3.raw'!O50,10))</f>
        <v>43628</v>
      </c>
      <c r="D50" s="23">
        <f>'3.3.raw'!I50</f>
        <v>10</v>
      </c>
      <c r="E50" s="23" t="str">
        <f>'3.3.raw'!J50</f>
        <v/>
      </c>
      <c r="F50" s="23" t="str">
        <f>'3.3.raw'!K50</f>
        <v/>
      </c>
      <c r="G50" s="1">
        <v>3.3</v>
      </c>
      <c r="H50" s="23" t="b">
        <f>if(countif(Status!C:C,A50)=1,TRUE, FALSE)</f>
        <v>1</v>
      </c>
    </row>
    <row r="51">
      <c r="A51" s="23" t="str">
        <f t="shared" si="3"/>
        <v>PLc1003</v>
      </c>
      <c r="B51" s="23" t="str">
        <f>'3.3.raw'!M51</f>
        <v>PLc1003</v>
      </c>
      <c r="C51" s="24">
        <f>datevalue(left('3.3.raw'!O51,10))</f>
        <v>43628</v>
      </c>
      <c r="D51" s="23">
        <f>'3.3.raw'!I51</f>
        <v>11</v>
      </c>
      <c r="E51" s="23" t="str">
        <f>'3.3.raw'!J51</f>
        <v/>
      </c>
      <c r="F51" s="23" t="str">
        <f>'3.3.raw'!K51</f>
        <v/>
      </c>
      <c r="G51" s="1">
        <v>3.3</v>
      </c>
      <c r="H51" s="23" t="b">
        <f>if(countif(Status!C:C,A51)=1,TRUE, FALSE)</f>
        <v>1</v>
      </c>
    </row>
    <row r="52">
      <c r="A52" s="23" t="str">
        <f t="shared" si="3"/>
        <v>RP1002</v>
      </c>
      <c r="B52" s="23" t="str">
        <f>'3.3.raw'!M52</f>
        <v>RP1002</v>
      </c>
      <c r="C52" s="24">
        <f>datevalue(left('3.3.raw'!O52,10))</f>
        <v>43628</v>
      </c>
      <c r="D52" s="23">
        <f>'3.3.raw'!I52</f>
        <v>2</v>
      </c>
      <c r="E52" s="23" t="str">
        <f>'3.3.raw'!J52</f>
        <v/>
      </c>
      <c r="F52" s="23" t="str">
        <f>'3.3.raw'!K52</f>
        <v/>
      </c>
      <c r="G52" s="1">
        <v>3.3</v>
      </c>
      <c r="H52" s="23" t="b">
        <f>if(countif(Status!C:C,A52)=1,TRUE, FALSE)</f>
        <v>1</v>
      </c>
    </row>
    <row r="53">
      <c r="A53" s="23" t="str">
        <f t="shared" si="3"/>
        <v>SF1006</v>
      </c>
      <c r="B53" s="23" t="str">
        <f>'3.3.raw'!M53</f>
        <v>SF1006</v>
      </c>
      <c r="C53" s="24">
        <f>datevalue(left('3.3.raw'!O53,10))</f>
        <v>43628</v>
      </c>
      <c r="D53" s="23">
        <f>'3.3.raw'!I53</f>
        <v>10</v>
      </c>
      <c r="E53" s="23" t="str">
        <f>'3.3.raw'!J53</f>
        <v/>
      </c>
      <c r="F53" s="23" t="str">
        <f>'3.3.raw'!K53</f>
        <v/>
      </c>
      <c r="G53" s="1">
        <v>3.3</v>
      </c>
      <c r="H53" s="23" t="b">
        <f>if(countif(Status!C:C,A53)=1,TRUE, FALSE)</f>
        <v>1</v>
      </c>
    </row>
    <row r="54">
      <c r="A54" s="23" t="str">
        <f t="shared" si="3"/>
        <v>PL1005</v>
      </c>
      <c r="B54" s="23" t="str">
        <f>'3.3.raw'!M54</f>
        <v>PL1005</v>
      </c>
      <c r="C54" s="24">
        <f>datevalue(left('3.3.raw'!O54,10))</f>
        <v>43628</v>
      </c>
      <c r="D54" s="23">
        <f>'3.3.raw'!I54</f>
        <v>11</v>
      </c>
      <c r="E54" s="23" t="str">
        <f>'3.3.raw'!J54</f>
        <v/>
      </c>
      <c r="F54" s="23" t="str">
        <f>'3.3.raw'!K54</f>
        <v/>
      </c>
      <c r="G54" s="1">
        <v>3.3</v>
      </c>
      <c r="H54" s="23" t="b">
        <f>if(countif(Status!C:C,A54)=1,TRUE, FALSE)</f>
        <v>1</v>
      </c>
    </row>
    <row r="55">
      <c r="A55" s="23" t="str">
        <f t="shared" si="3"/>
        <v>OD1002</v>
      </c>
      <c r="B55" s="23" t="str">
        <f>'3.3.raw'!M55</f>
        <v>OD1002</v>
      </c>
      <c r="C55" s="24">
        <f>datevalue(left('3.3.raw'!O55,10))</f>
        <v>43628</v>
      </c>
      <c r="D55" s="23">
        <f>'3.3.raw'!I55</f>
        <v>1</v>
      </c>
      <c r="E55" s="23" t="str">
        <f>'3.3.raw'!J55</f>
        <v/>
      </c>
      <c r="F55" s="23" t="str">
        <f>'3.3.raw'!K55</f>
        <v/>
      </c>
      <c r="G55" s="1">
        <v>3.3</v>
      </c>
      <c r="H55" s="23" t="b">
        <f>if(countif(Status!C:C,A55)=1,TRUE, FALSE)</f>
        <v>1</v>
      </c>
    </row>
    <row r="56">
      <c r="A56" s="23" t="str">
        <f t="shared" si="3"/>
        <v>PL1006</v>
      </c>
      <c r="B56" s="23" t="str">
        <f>'3.3.raw'!M56</f>
        <v>PL1006</v>
      </c>
      <c r="C56" s="24">
        <f>datevalue(left('3.3.raw'!O56,10))</f>
        <v>43628</v>
      </c>
      <c r="D56" s="23">
        <f>'3.3.raw'!I56</f>
        <v>11</v>
      </c>
      <c r="E56" s="23" t="str">
        <f>'3.3.raw'!J56</f>
        <v/>
      </c>
      <c r="F56" s="23" t="str">
        <f>'3.3.raw'!K56</f>
        <v/>
      </c>
      <c r="G56" s="1">
        <v>3.3</v>
      </c>
      <c r="H56" s="23" t="b">
        <f>if(countif(Status!C:C,A56)=1,TRUE, FALSE)</f>
        <v>1</v>
      </c>
    </row>
    <row r="57">
      <c r="A57" s="23" t="str">
        <f t="shared" si="3"/>
        <v>SW1004</v>
      </c>
      <c r="B57" s="23" t="str">
        <f>'3.3.raw'!M57</f>
        <v>SW1004</v>
      </c>
      <c r="C57" s="24">
        <f>datevalue(left('3.3.raw'!O57,10))</f>
        <v>43628</v>
      </c>
      <c r="D57" s="23">
        <f>'3.3.raw'!I57</f>
        <v>5</v>
      </c>
      <c r="E57" s="23" t="str">
        <f>'3.3.raw'!J57</f>
        <v/>
      </c>
      <c r="F57" s="23" t="str">
        <f>'3.3.raw'!K57</f>
        <v/>
      </c>
      <c r="G57" s="1">
        <v>3.3</v>
      </c>
      <c r="H57" s="23" t="b">
        <f>if(countif(Status!C:C,A57)=1,TRUE, FALSE)</f>
        <v>1</v>
      </c>
    </row>
    <row r="58">
      <c r="A58" s="23" t="str">
        <f t="shared" si="3"/>
        <v>SL1004</v>
      </c>
      <c r="B58" s="23" t="str">
        <f>'3.3.raw'!M58</f>
        <v>SL1004</v>
      </c>
      <c r="C58" s="24">
        <f>datevalue(left('3.3.raw'!O58,10))</f>
        <v>43628</v>
      </c>
      <c r="D58" s="23">
        <f>'3.3.raw'!I58</f>
        <v>8</v>
      </c>
      <c r="E58" s="23" t="str">
        <f>'3.3.raw'!J58</f>
        <v/>
      </c>
      <c r="F58" s="23" t="str">
        <f>'3.3.raw'!K58</f>
        <v/>
      </c>
      <c r="G58" s="1">
        <v>3.3</v>
      </c>
      <c r="H58" s="23" t="b">
        <f>if(countif(Status!C:C,A58)=1,TRUE, FALSE)</f>
        <v>1</v>
      </c>
    </row>
    <row r="59">
      <c r="A59" s="23" t="str">
        <f t="shared" si="3"/>
        <v>DWb1004</v>
      </c>
      <c r="B59" s="23" t="str">
        <f>'3.3.raw'!M59</f>
        <v>DWb1004</v>
      </c>
      <c r="C59" s="24">
        <f>datevalue(left('3.3.raw'!O59,10))</f>
        <v>43628</v>
      </c>
      <c r="D59" s="23">
        <f>'3.3.raw'!I59</f>
        <v>3</v>
      </c>
      <c r="E59" s="23" t="str">
        <f>'3.3.raw'!J59</f>
        <v/>
      </c>
      <c r="F59" s="23" t="str">
        <f>'3.3.raw'!K59</f>
        <v/>
      </c>
      <c r="G59" s="1">
        <v>3.3</v>
      </c>
      <c r="H59" s="23" t="b">
        <f>if(countif(Status!C:C,A59)=1,TRUE, FALSE)</f>
        <v>1</v>
      </c>
    </row>
    <row r="60">
      <c r="A60" s="23" t="str">
        <f t="shared" si="3"/>
        <v>OD1003</v>
      </c>
      <c r="B60" s="23" t="str">
        <f>'3.3.raw'!M60</f>
        <v>OD1003</v>
      </c>
      <c r="C60" s="24">
        <f>datevalue(left('3.3.raw'!O60,10))</f>
        <v>43621</v>
      </c>
      <c r="D60" s="23">
        <f>'3.3.raw'!I60</f>
        <v>1</v>
      </c>
      <c r="E60" s="23" t="str">
        <f>'3.3.raw'!J60</f>
        <v/>
      </c>
      <c r="F60" s="23" t="str">
        <f>'3.3.raw'!K60</f>
        <v/>
      </c>
      <c r="G60" s="1">
        <v>3.3</v>
      </c>
      <c r="H60" s="23" t="b">
        <f>if(countif(Status!C:C,A60)=1,TRUE, FALSE)</f>
        <v>1</v>
      </c>
    </row>
    <row r="61">
      <c r="A61" s="23" t="str">
        <f t="shared" si="3"/>
        <v>BW2001(DUPLICATE)</v>
      </c>
      <c r="B61" s="23" t="str">
        <f>'3.3.raw'!M61</f>
        <v>BW2001(DUPLICATE)</v>
      </c>
      <c r="C61" s="24">
        <f>datevalue(left('3.3.raw'!O61,10))</f>
        <v>43621</v>
      </c>
      <c r="D61" s="23">
        <f>'3.3.raw'!I61</f>
        <v>9</v>
      </c>
      <c r="E61" s="23" t="str">
        <f>'3.3.raw'!J61</f>
        <v/>
      </c>
      <c r="F61" s="23" t="str">
        <f>'3.3.raw'!K61</f>
        <v/>
      </c>
      <c r="G61" s="1">
        <v>3.3</v>
      </c>
      <c r="H61" s="23" t="b">
        <f>if(countif(Status!C:C,A61)=1,TRUE, FALSE)</f>
        <v>0</v>
      </c>
    </row>
    <row r="62">
      <c r="A62" s="23" t="str">
        <f t="shared" si="3"/>
        <v>DW2002(DUPLICATE)</v>
      </c>
      <c r="B62" s="23" t="str">
        <f>'3.3.raw'!M62</f>
        <v>DW2002(DUPLICATE)</v>
      </c>
      <c r="C62" s="24">
        <f>datevalue(left('3.3.raw'!O62,10))</f>
        <v>43621</v>
      </c>
      <c r="D62" s="23">
        <f>'3.3.raw'!I62</f>
        <v>3</v>
      </c>
      <c r="E62" s="23" t="str">
        <f>'3.3.raw'!J62</f>
        <v/>
      </c>
      <c r="F62" s="23" t="str">
        <f>'3.3.raw'!K62</f>
        <v/>
      </c>
      <c r="G62" s="1">
        <v>3.3</v>
      </c>
      <c r="H62" s="23" t="b">
        <f>if(countif(Status!C:C,A62)=1,TRUE, FALSE)</f>
        <v>0</v>
      </c>
    </row>
    <row r="63">
      <c r="A63" s="23" t="str">
        <f t="shared" si="3"/>
        <v>SW2001(DUPLICATE)</v>
      </c>
      <c r="B63" s="23" t="str">
        <f>'3.3.raw'!M63</f>
        <v>SW2001(DUPLICATE)</v>
      </c>
      <c r="C63" s="24">
        <f>datevalue(left('3.3.raw'!O63,10))</f>
        <v>43621</v>
      </c>
      <c r="D63" s="23">
        <f>'3.3.raw'!I63</f>
        <v>5</v>
      </c>
      <c r="E63" s="23" t="str">
        <f>'3.3.raw'!J63</f>
        <v/>
      </c>
      <c r="F63" s="23" t="str">
        <f>'3.3.raw'!K63</f>
        <v/>
      </c>
      <c r="G63" s="1">
        <v>3.3</v>
      </c>
      <c r="H63" s="23" t="b">
        <f>if(countif(Status!C:C,A63)=1,TRUE, FALSE)</f>
        <v>0</v>
      </c>
    </row>
    <row r="64">
      <c r="A64" s="23" t="str">
        <f t="shared" si="3"/>
        <v>DWb1002</v>
      </c>
      <c r="B64" s="23" t="str">
        <f>'3.3.raw'!M64</f>
        <v>DWb1002</v>
      </c>
      <c r="C64" s="24">
        <f>datevalue(left('3.3.raw'!O64,10))</f>
        <v>43621</v>
      </c>
      <c r="D64" s="23">
        <f>'3.3.raw'!I64</f>
        <v>3</v>
      </c>
      <c r="E64" s="23" t="str">
        <f>'3.3.raw'!J64</f>
        <v/>
      </c>
      <c r="F64" s="23" t="str">
        <f>'3.3.raw'!K64</f>
        <v/>
      </c>
      <c r="G64" s="1">
        <v>3.3</v>
      </c>
      <c r="H64" s="23" t="b">
        <f>if(countif(Status!C:C,A64)=1,TRUE, FALSE)</f>
        <v>1</v>
      </c>
    </row>
    <row r="65">
      <c r="A65" s="23" t="str">
        <f t="shared" si="3"/>
        <v>RP1005</v>
      </c>
      <c r="B65" s="23" t="str">
        <f>'3.3.raw'!M65</f>
        <v>RP1005</v>
      </c>
      <c r="C65" s="24">
        <f>datevalue(left('3.3.raw'!O65,10))</f>
        <v>43621</v>
      </c>
      <c r="D65" s="23">
        <f>'3.3.raw'!I65</f>
        <v>2</v>
      </c>
      <c r="E65" s="23" t="str">
        <f>'3.3.raw'!J65</f>
        <v/>
      </c>
      <c r="F65" s="23" t="str">
        <f>'3.3.raw'!K65</f>
        <v/>
      </c>
      <c r="G65" s="1">
        <v>3.3</v>
      </c>
      <c r="H65" s="23" t="b">
        <f>if(countif(Status!C:C,A65)=1,TRUE, FALSE)</f>
        <v>1</v>
      </c>
    </row>
    <row r="66">
      <c r="A66" s="23" t="str">
        <f t="shared" si="3"/>
        <v>SL1003</v>
      </c>
      <c r="B66" s="23" t="str">
        <f>'3.3.raw'!M66</f>
        <v>SL1003</v>
      </c>
      <c r="C66" s="24">
        <f>datevalue(left('3.3.raw'!O66,10))</f>
        <v>43621</v>
      </c>
      <c r="D66" s="23">
        <f>'3.3.raw'!I66</f>
        <v>8</v>
      </c>
      <c r="E66" s="23" t="str">
        <f>'3.3.raw'!J66</f>
        <v/>
      </c>
      <c r="F66" s="23" t="str">
        <f>'3.3.raw'!K66</f>
        <v/>
      </c>
      <c r="G66" s="1">
        <v>3.3</v>
      </c>
      <c r="H66" s="23" t="b">
        <f>if(countif(Status!C:C,A66)=1,TRUE, FALSE)</f>
        <v>1</v>
      </c>
    </row>
    <row r="67">
      <c r="A67" s="23" t="str">
        <f t="shared" si="3"/>
        <v>RP1006</v>
      </c>
      <c r="B67" s="23" t="str">
        <f>'3.3.raw'!M67</f>
        <v>RP1006</v>
      </c>
      <c r="C67" s="24">
        <f>datevalue(left('3.3.raw'!O67,10))</f>
        <v>43621</v>
      </c>
      <c r="D67" s="23">
        <f>'3.3.raw'!I67</f>
        <v>2</v>
      </c>
      <c r="E67" s="23" t="str">
        <f>'3.3.raw'!J67</f>
        <v/>
      </c>
      <c r="F67" s="23" t="str">
        <f>'3.3.raw'!K67</f>
        <v/>
      </c>
      <c r="G67" s="1">
        <v>3.3</v>
      </c>
      <c r="H67" s="23" t="b">
        <f>if(countif(Status!C:C,A67)=1,TRUE, FALSE)</f>
        <v>1</v>
      </c>
    </row>
    <row r="68">
      <c r="A68" s="23" t="str">
        <f t="shared" si="3"/>
        <v>PL1003</v>
      </c>
      <c r="B68" s="23" t="str">
        <f>'3.3.raw'!M68</f>
        <v>PL1003</v>
      </c>
      <c r="C68" s="24">
        <f>datevalue(left('3.3.raw'!O68,10))</f>
        <v>43621</v>
      </c>
      <c r="D68" s="23">
        <f>'3.3.raw'!I68</f>
        <v>11</v>
      </c>
      <c r="E68" s="23" t="str">
        <f>'3.3.raw'!J68</f>
        <v/>
      </c>
      <c r="F68" s="23" t="str">
        <f>'3.3.raw'!K68</f>
        <v/>
      </c>
      <c r="G68" s="1">
        <v>3.3</v>
      </c>
      <c r="H68" s="23" t="b">
        <f>if(countif(Status!C:C,A68)=1,TRUE, FALSE)</f>
        <v>1</v>
      </c>
    </row>
    <row r="69">
      <c r="A69" s="23" t="str">
        <f t="shared" si="3"/>
        <v>LS1005</v>
      </c>
      <c r="B69" s="23" t="str">
        <f>'3.3.raw'!M69</f>
        <v>LS1005</v>
      </c>
      <c r="C69" s="24">
        <f>datevalue(left('3.3.raw'!O69,10))</f>
        <v>43621</v>
      </c>
      <c r="D69" s="23">
        <f>'3.3.raw'!I69</f>
        <v>7</v>
      </c>
      <c r="E69" s="23" t="str">
        <f>'3.3.raw'!J69</f>
        <v/>
      </c>
      <c r="F69" s="23" t="str">
        <f>'3.3.raw'!K69</f>
        <v/>
      </c>
      <c r="G69" s="1">
        <v>3.3</v>
      </c>
      <c r="H69" s="23" t="b">
        <f>if(countif(Status!C:C,A69)=1,TRUE, FALSE)</f>
        <v>1</v>
      </c>
    </row>
    <row r="70">
      <c r="A70" s="23" t="str">
        <f t="shared" si="3"/>
        <v>LS1006</v>
      </c>
      <c r="B70" s="23" t="str">
        <f>'3.3.raw'!M70</f>
        <v>LS1006</v>
      </c>
      <c r="C70" s="24">
        <f>datevalue(left('3.3.raw'!O70,10))</f>
        <v>43621</v>
      </c>
      <c r="D70" s="23">
        <f>'3.3.raw'!I70</f>
        <v>7</v>
      </c>
      <c r="E70" s="23" t="str">
        <f>'3.3.raw'!J70</f>
        <v/>
      </c>
      <c r="F70" s="23" t="str">
        <f>'3.3.raw'!K70</f>
        <v/>
      </c>
      <c r="G70" s="1">
        <v>3.3</v>
      </c>
      <c r="H70" s="23" t="b">
        <f>if(countif(Status!C:C,A70)=1,TRUE, FALSE)</f>
        <v>1</v>
      </c>
    </row>
    <row r="71">
      <c r="A71" s="23" t="str">
        <f t="shared" si="3"/>
        <v>LS1007</v>
      </c>
      <c r="B71" s="23" t="str">
        <f>'3.3.raw'!M71</f>
        <v>LS1007</v>
      </c>
      <c r="C71" s="24">
        <f>datevalue(left('3.3.raw'!O71,10))</f>
        <v>43621</v>
      </c>
      <c r="D71" s="23">
        <f>'3.3.raw'!I71</f>
        <v>7</v>
      </c>
      <c r="E71" s="23" t="str">
        <f>'3.3.raw'!J71</f>
        <v/>
      </c>
      <c r="F71" s="23" t="str">
        <f>'3.3.raw'!K71</f>
        <v/>
      </c>
      <c r="G71" s="1">
        <v>3.3</v>
      </c>
      <c r="H71" s="23" t="b">
        <f>if(countif(Status!C:C,A71)=1,TRUE, FALSE)</f>
        <v>1</v>
      </c>
    </row>
    <row r="72">
      <c r="A72" s="23" t="str">
        <f t="shared" si="3"/>
        <v>SF1004</v>
      </c>
      <c r="B72" s="23" t="str">
        <f>'3.3.raw'!M72</f>
        <v>SF1004</v>
      </c>
      <c r="C72" s="24">
        <f>datevalue(left('3.3.raw'!O72,10))</f>
        <v>43621</v>
      </c>
      <c r="D72" s="23">
        <f>'3.3.raw'!I72</f>
        <v>10</v>
      </c>
      <c r="E72" s="23" t="str">
        <f>'3.3.raw'!J72</f>
        <v/>
      </c>
      <c r="F72" s="23" t="str">
        <f>'3.3.raw'!K72</f>
        <v/>
      </c>
      <c r="G72" s="1">
        <v>3.3</v>
      </c>
      <c r="H72" s="23" t="b">
        <f>if(countif(Status!C:C,A72)=1,TRUE, FALSE)</f>
        <v>1</v>
      </c>
    </row>
    <row r="73">
      <c r="A73" s="23" t="str">
        <f t="shared" si="3"/>
        <v>RP1001</v>
      </c>
      <c r="B73" s="23" t="str">
        <f>'3.3.raw'!M73</f>
        <v>RP1001</v>
      </c>
      <c r="C73" s="24">
        <f>datevalue(left('3.3.raw'!O73,10))</f>
        <v>43621</v>
      </c>
      <c r="D73" s="23">
        <f>'3.3.raw'!I73</f>
        <v>2</v>
      </c>
      <c r="E73" s="23" t="str">
        <f>'3.3.raw'!J73</f>
        <v/>
      </c>
      <c r="F73" s="23" t="str">
        <f>'3.3.raw'!K73</f>
        <v/>
      </c>
      <c r="G73" s="1">
        <v>3.3</v>
      </c>
      <c r="H73" s="23" t="b">
        <f>if(countif(Status!C:C,A73)=1,TRUE, FALSE)</f>
        <v>1</v>
      </c>
    </row>
    <row r="74">
      <c r="A74" s="23" t="str">
        <f t="shared" si="3"/>
        <v>DWa1001</v>
      </c>
      <c r="B74" s="23" t="str">
        <f>'3.3.raw'!M74</f>
        <v>DWa1001</v>
      </c>
      <c r="C74" s="24">
        <f>datevalue(left('3.3.raw'!O74,10))</f>
        <v>43621</v>
      </c>
      <c r="D74" s="23">
        <f>'3.3.raw'!I74</f>
        <v>3</v>
      </c>
      <c r="E74" s="23" t="str">
        <f>'3.3.raw'!J74</f>
        <v/>
      </c>
      <c r="F74" s="23" t="str">
        <f>'3.3.raw'!K74</f>
        <v/>
      </c>
      <c r="G74" s="1">
        <v>3.3</v>
      </c>
      <c r="H74" s="23" t="b">
        <f>if(countif(Status!C:C,A74)=1,TRUE, FALSE)</f>
        <v>1</v>
      </c>
    </row>
    <row r="75">
      <c r="A75" s="23" t="str">
        <f t="shared" si="3"/>
        <v>SF1003</v>
      </c>
      <c r="B75" s="23" t="str">
        <f>'3.3.raw'!M75</f>
        <v>SF1003</v>
      </c>
      <c r="C75" s="24">
        <f>datevalue(left('3.3.raw'!O75,10))</f>
        <v>43621</v>
      </c>
      <c r="D75" s="23">
        <f>'3.3.raw'!I75</f>
        <v>10</v>
      </c>
      <c r="E75" s="23" t="str">
        <f>'3.3.raw'!J75</f>
        <v/>
      </c>
      <c r="F75" s="23" t="str">
        <f>'3.3.raw'!K75</f>
        <v/>
      </c>
      <c r="G75" s="1">
        <v>3.3</v>
      </c>
      <c r="H75" s="23" t="b">
        <f>if(countif(Status!C:C,A75)=1,TRUE, FALSE)</f>
        <v>1</v>
      </c>
    </row>
    <row r="76">
      <c r="A76" s="23" t="str">
        <f t="shared" si="3"/>
        <v>MO1017(DUPLICATE)</v>
      </c>
      <c r="B76" s="23" t="str">
        <f>'3.3.raw'!M76</f>
        <v>MO1017(DUPLICATE)</v>
      </c>
      <c r="C76" s="24">
        <f>datevalue(left('3.3.raw'!O76,10))</f>
        <v>43626</v>
      </c>
      <c r="D76" s="23">
        <f>'3.3.raw'!I76</f>
        <v>12</v>
      </c>
      <c r="E76" s="23" t="str">
        <f>'3.3.raw'!J76</f>
        <v/>
      </c>
      <c r="F76" s="23" t="str">
        <f>'3.3.raw'!K76</f>
        <v/>
      </c>
      <c r="G76" s="1">
        <v>3.3</v>
      </c>
      <c r="H76" s="23" t="b">
        <f>if(countif(Status!C:C,A76)=1,TRUE, FALSE)</f>
        <v>1</v>
      </c>
    </row>
    <row r="77">
      <c r="A77" s="23" t="str">
        <f t="shared" si="3"/>
        <v>MO1017</v>
      </c>
      <c r="B77" s="23" t="str">
        <f>'3.3.raw'!M77</f>
        <v>MO1017</v>
      </c>
      <c r="C77" s="24">
        <f>datevalue(left('3.3.raw'!O77,10))</f>
        <v>43628</v>
      </c>
      <c r="D77" s="23">
        <f>'3.3.raw'!I77</f>
        <v>12</v>
      </c>
      <c r="E77" s="23" t="str">
        <f>'3.3.raw'!J77</f>
        <v/>
      </c>
      <c r="F77" s="23" t="str">
        <f>'3.3.raw'!K77</f>
        <v/>
      </c>
      <c r="G77" s="1">
        <v>3.3</v>
      </c>
      <c r="H77" s="23" t="b">
        <f>if(countif(Status!C:C,A77)=1,TRUE, FALSE)</f>
        <v>1</v>
      </c>
    </row>
    <row r="78">
      <c r="A78" s="23" t="str">
        <f t="shared" si="3"/>
        <v>MO1018 (DUPLICATE)</v>
      </c>
      <c r="B78" s="23" t="str">
        <f>'3.3.raw'!M78</f>
        <v>MO1018 (DUPLICATE)</v>
      </c>
      <c r="C78" s="24">
        <f>datevalue(left('3.3.raw'!O78,10))</f>
        <v>43626</v>
      </c>
      <c r="D78" s="23">
        <f>'3.3.raw'!I78</f>
        <v>12</v>
      </c>
      <c r="E78" s="23" t="str">
        <f>'3.3.raw'!J78</f>
        <v/>
      </c>
      <c r="F78" s="23" t="str">
        <f>'3.3.raw'!K78</f>
        <v/>
      </c>
      <c r="G78" s="1">
        <v>3.3</v>
      </c>
      <c r="H78" s="23" t="b">
        <f>if(countif(Status!C:C,A78)=1,TRUE, FALSE)</f>
        <v>0</v>
      </c>
    </row>
    <row r="79">
      <c r="A79" s="23" t="str">
        <f t="shared" si="3"/>
        <v>MO1018</v>
      </c>
      <c r="B79" s="23" t="str">
        <f>'3.3.raw'!M79</f>
        <v>MO1018</v>
      </c>
      <c r="C79" s="24">
        <f>datevalue(left('3.3.raw'!O79,10))</f>
        <v>43628</v>
      </c>
      <c r="D79" s="23">
        <f>'3.3.raw'!I79</f>
        <v>12</v>
      </c>
      <c r="E79" s="23" t="str">
        <f>'3.3.raw'!J79</f>
        <v/>
      </c>
      <c r="F79" s="23" t="str">
        <f>'3.3.raw'!K79</f>
        <v/>
      </c>
      <c r="G79" s="1">
        <v>3.3</v>
      </c>
      <c r="H79" s="23" t="b">
        <f>if(countif(Status!C:C,A79)=1,TRUE, FALSE)</f>
        <v>1</v>
      </c>
    </row>
    <row r="80">
      <c r="A80" s="23" t="str">
        <f t="shared" si="3"/>
        <v>SF1008 (AL BUFFER)</v>
      </c>
      <c r="B80" s="23" t="str">
        <f>'3.3.raw'!M80</f>
        <v>SF1008 (AL BUFFER)</v>
      </c>
      <c r="C80" s="24">
        <f>datevalue(left('3.3.raw'!O80,10))</f>
        <v>43622</v>
      </c>
      <c r="D80" s="23">
        <f>'3.3.raw'!I80</f>
        <v>10</v>
      </c>
      <c r="E80" s="23" t="str">
        <f>'3.3.raw'!J80</f>
        <v/>
      </c>
      <c r="F80" s="23" t="str">
        <f>'3.3.raw'!K80</f>
        <v/>
      </c>
      <c r="G80" s="1">
        <v>3.3</v>
      </c>
      <c r="H80" s="23" t="b">
        <f>if(countif(Status!C:C,A80)=1,TRUE, FALSE)</f>
        <v>1</v>
      </c>
    </row>
    <row r="81">
      <c r="A81" s="23" t="str">
        <f t="shared" si="3"/>
        <v>SL1003</v>
      </c>
      <c r="B81" s="23" t="str">
        <f>'3.3.raw'!M81</f>
        <v>SL1003</v>
      </c>
      <c r="C81" s="24">
        <f>datevalue(left('3.3.raw'!O81,10))</f>
        <v>43621</v>
      </c>
      <c r="D81" s="23">
        <f>'3.3.raw'!I81</f>
        <v>8</v>
      </c>
      <c r="E81" s="23" t="str">
        <f>'3.3.raw'!J81</f>
        <v/>
      </c>
      <c r="F81" s="23" t="str">
        <f>'3.3.raw'!K81</f>
        <v/>
      </c>
      <c r="G81" s="1">
        <v>3.3</v>
      </c>
      <c r="H81" s="23" t="b">
        <f>if(countif(Status!C:C,A81)=1,TRUE, FALSE)</f>
        <v>1</v>
      </c>
    </row>
    <row r="82">
      <c r="A82" s="23" t="str">
        <f t="shared" si="3"/>
        <v>MO1027</v>
      </c>
      <c r="B82" s="23" t="str">
        <f>'3.3.raw'!M82</f>
        <v>MO1027</v>
      </c>
      <c r="C82" s="24">
        <f>datevalue(left('3.3.raw'!O82,10))</f>
        <v>43662</v>
      </c>
      <c r="D82" s="23">
        <f>'3.3.raw'!I82</f>
        <v>12</v>
      </c>
      <c r="E82" s="23" t="str">
        <f>'3.3.raw'!J82</f>
        <v/>
      </c>
      <c r="F82" s="23" t="str">
        <f>'3.3.raw'!K82</f>
        <v/>
      </c>
      <c r="G82" s="1">
        <v>3.3</v>
      </c>
      <c r="H82" s="23" t="b">
        <f>if(countif(Status!C:C,A82)=1,TRUE, FALSE)</f>
        <v>1</v>
      </c>
    </row>
    <row r="83">
      <c r="A83" s="23" t="str">
        <f t="shared" si="3"/>
        <v>MO1028</v>
      </c>
      <c r="B83" s="23" t="str">
        <f>'3.3.raw'!M83</f>
        <v>MO1028</v>
      </c>
      <c r="C83" s="24">
        <f>datevalue(left('3.3.raw'!O83,10))</f>
        <v>43662</v>
      </c>
      <c r="D83" s="23">
        <f>'3.3.raw'!I83</f>
        <v>12</v>
      </c>
      <c r="E83" s="23" t="str">
        <f>'3.3.raw'!J83</f>
        <v/>
      </c>
      <c r="F83" s="23" t="str">
        <f>'3.3.raw'!K83</f>
        <v/>
      </c>
      <c r="G83" s="1">
        <v>3.3</v>
      </c>
      <c r="H83" s="23" t="b">
        <f>if(countif(Status!C:C,A83)=1,TRUE, FALSE)</f>
        <v>1</v>
      </c>
    </row>
    <row r="84">
      <c r="A84" s="23" t="str">
        <f t="shared" si="3"/>
        <v>MO1029</v>
      </c>
      <c r="B84" s="23" t="str">
        <f>'3.3.raw'!M84</f>
        <v>MO1029</v>
      </c>
      <c r="C84" s="24">
        <f>datevalue(left('3.3.raw'!O84,10))</f>
        <v>43662</v>
      </c>
      <c r="D84" s="23">
        <f>'3.3.raw'!I84</f>
        <v>12</v>
      </c>
      <c r="E84" s="23" t="str">
        <f>'3.3.raw'!J84</f>
        <v/>
      </c>
      <c r="F84" s="23" t="str">
        <f>'3.3.raw'!K84</f>
        <v/>
      </c>
      <c r="G84" s="1">
        <v>3.3</v>
      </c>
      <c r="H84" s="23" t="b">
        <f>if(countif(Status!C:C,A84)=1,TRUE, FALSE)</f>
        <v>1</v>
      </c>
    </row>
    <row r="85">
      <c r="A85" s="23" t="str">
        <f t="shared" si="3"/>
        <v>MO1030</v>
      </c>
      <c r="B85" s="23" t="str">
        <f>'3.3.raw'!M85</f>
        <v>MO1030</v>
      </c>
      <c r="C85" s="24">
        <f>datevalue(left('3.3.raw'!O85,10))</f>
        <v>43662</v>
      </c>
      <c r="D85" s="23">
        <f>'3.3.raw'!I85</f>
        <v>12</v>
      </c>
      <c r="E85" s="23" t="str">
        <f>'3.3.raw'!J85</f>
        <v/>
      </c>
      <c r="F85" s="23" t="str">
        <f>'3.3.raw'!K85</f>
        <v/>
      </c>
      <c r="G85" s="1">
        <v>3.3</v>
      </c>
      <c r="H85" s="23" t="b">
        <f>if(countif(Status!C:C,A85)=1,TRUE, FALSE)</f>
        <v>1</v>
      </c>
    </row>
    <row r="86">
      <c r="A86" s="23" t="str">
        <f t="shared" si="3"/>
        <v>MO1031</v>
      </c>
      <c r="B86" s="23" t="str">
        <f>'3.3.raw'!M86</f>
        <v>MO1031</v>
      </c>
      <c r="C86" s="24">
        <f>datevalue(left('3.3.raw'!O86,10))</f>
        <v>43662</v>
      </c>
      <c r="D86" s="23">
        <f>'3.3.raw'!I86</f>
        <v>12</v>
      </c>
      <c r="E86" s="23" t="str">
        <f>'3.3.raw'!J86</f>
        <v/>
      </c>
      <c r="F86" s="23" t="str">
        <f>'3.3.raw'!K86</f>
        <v/>
      </c>
      <c r="G86" s="1">
        <v>3.3</v>
      </c>
      <c r="H86" s="23" t="b">
        <f>if(countif(Status!C:C,A86)=1,TRUE, FALSE)</f>
        <v>1</v>
      </c>
    </row>
    <row r="87">
      <c r="A87" s="23" t="str">
        <f t="shared" si="3"/>
        <v>MO1032</v>
      </c>
      <c r="B87" s="23" t="str">
        <f>'3.3.raw'!M87</f>
        <v>MO1032</v>
      </c>
      <c r="C87" s="24">
        <f>datevalue(left('3.3.raw'!O87,10))</f>
        <v>43662</v>
      </c>
      <c r="D87" s="23">
        <f>'3.3.raw'!I87</f>
        <v>12</v>
      </c>
      <c r="E87" s="23" t="str">
        <f>'3.3.raw'!J87</f>
        <v/>
      </c>
      <c r="F87" s="23" t="str">
        <f>'3.3.raw'!K87</f>
        <v/>
      </c>
      <c r="G87" s="1">
        <v>3.3</v>
      </c>
      <c r="H87" s="23" t="b">
        <f>if(countif(Status!C:C,A87)=1,TRUE, FALSE)</f>
        <v>1</v>
      </c>
    </row>
    <row r="88">
      <c r="A88" s="23" t="str">
        <f t="shared" si="3"/>
        <v>PLc1014</v>
      </c>
      <c r="B88" s="23" t="str">
        <f>'3.3.raw'!M88</f>
        <v>PLc1014</v>
      </c>
      <c r="C88" s="24">
        <f>datevalue(left('3.3.raw'!O88,10))</f>
        <v>43662</v>
      </c>
      <c r="D88" s="23">
        <f>'3.3.raw'!I88</f>
        <v>11</v>
      </c>
      <c r="E88" s="23" t="str">
        <f>'3.3.raw'!J88</f>
        <v/>
      </c>
      <c r="F88" s="23" t="str">
        <f>'3.3.raw'!K88</f>
        <v/>
      </c>
      <c r="G88" s="1">
        <v>3.3</v>
      </c>
      <c r="H88" s="23" t="b">
        <f>if(countif(Status!C:C,A88)=1,TRUE, FALSE)</f>
        <v>1</v>
      </c>
    </row>
    <row r="89">
      <c r="A89" s="23" t="str">
        <f t="shared" si="3"/>
        <v>PLc1015</v>
      </c>
      <c r="B89" s="23" t="str">
        <f>'3.3.raw'!M89</f>
        <v>PLc1015</v>
      </c>
      <c r="C89" s="24">
        <f>datevalue(left('3.3.raw'!O89,10))</f>
        <v>43662</v>
      </c>
      <c r="D89" s="23">
        <f>'3.3.raw'!I89</f>
        <v>11</v>
      </c>
      <c r="E89" s="23" t="str">
        <f>'3.3.raw'!J89</f>
        <v/>
      </c>
      <c r="F89" s="23" t="str">
        <f>'3.3.raw'!K89</f>
        <v/>
      </c>
      <c r="G89" s="1">
        <v>3.3</v>
      </c>
      <c r="H89" s="23" t="b">
        <f>if(countif(Status!C:C,A89)=1,TRUE, FALSE)</f>
        <v>1</v>
      </c>
    </row>
    <row r="90">
      <c r="A90" s="23" t="str">
        <f t="shared" si="3"/>
        <v>PLc1016</v>
      </c>
      <c r="B90" s="23" t="str">
        <f>'3.3.raw'!M90</f>
        <v>PLc1016</v>
      </c>
      <c r="C90" s="24">
        <f>datevalue(left('3.3.raw'!O90,10))</f>
        <v>43662</v>
      </c>
      <c r="D90" s="23">
        <f>'3.3.raw'!I90</f>
        <v>11</v>
      </c>
      <c r="E90" s="23" t="str">
        <f>'3.3.raw'!J90</f>
        <v/>
      </c>
      <c r="F90" s="23" t="str">
        <f>'3.3.raw'!K90</f>
        <v/>
      </c>
      <c r="G90" s="1">
        <v>3.3</v>
      </c>
      <c r="H90" s="23" t="b">
        <f>if(countif(Status!C:C,A90)=1,TRUE, FALSE)</f>
        <v>1</v>
      </c>
    </row>
    <row r="91">
      <c r="A91" s="23" t="str">
        <f t="shared" si="3"/>
        <v>PLc1018</v>
      </c>
      <c r="B91" s="23" t="str">
        <f>'3.3.raw'!M91</f>
        <v>PLc1018</v>
      </c>
      <c r="C91" s="24">
        <f>datevalue(left('3.3.raw'!O91,10))</f>
        <v>43662</v>
      </c>
      <c r="D91" s="23">
        <f>'3.3.raw'!I91</f>
        <v>11</v>
      </c>
      <c r="E91" s="23" t="str">
        <f>'3.3.raw'!J91</f>
        <v/>
      </c>
      <c r="F91" s="23" t="str">
        <f>'3.3.raw'!K91</f>
        <v/>
      </c>
      <c r="G91" s="1">
        <v>3.3</v>
      </c>
      <c r="H91" s="23" t="b">
        <f>if(countif(Status!C:C,A91)=1,TRUE, FALSE)</f>
        <v>1</v>
      </c>
    </row>
    <row r="92">
      <c r="A92" s="23" t="str">
        <f t="shared" si="3"/>
        <v>MO1035</v>
      </c>
      <c r="B92" s="23" t="str">
        <f>'3.3.raw'!M92</f>
        <v>MO1035</v>
      </c>
      <c r="C92" s="24">
        <f>datevalue(left('3.3.raw'!O92,10))</f>
        <v>43662</v>
      </c>
      <c r="D92" s="23">
        <f>'3.3.raw'!I92</f>
        <v>12</v>
      </c>
      <c r="E92" s="23" t="str">
        <f>'3.3.raw'!J92</f>
        <v/>
      </c>
      <c r="F92" s="23" t="str">
        <f>'3.3.raw'!K92</f>
        <v/>
      </c>
      <c r="G92" s="1">
        <v>3.3</v>
      </c>
      <c r="H92" s="23" t="b">
        <f>if(countif(Status!C:C,A92)=1,TRUE, FALSE)</f>
        <v>1</v>
      </c>
    </row>
    <row r="93">
      <c r="A93" s="23" t="str">
        <f t="shared" si="3"/>
        <v>MO1040</v>
      </c>
      <c r="B93" s="23" t="str">
        <f>'3.3.raw'!M93</f>
        <v>MO1040</v>
      </c>
      <c r="C93" s="24">
        <f>datevalue(left('3.3.raw'!O93,10))</f>
        <v>43662</v>
      </c>
      <c r="D93" s="23">
        <f>'3.3.raw'!I93</f>
        <v>12</v>
      </c>
      <c r="E93" s="23" t="str">
        <f>'3.3.raw'!J93</f>
        <v/>
      </c>
      <c r="F93" s="23" t="str">
        <f>'3.3.raw'!K93</f>
        <v/>
      </c>
      <c r="G93" s="1">
        <v>3.3</v>
      </c>
      <c r="H93" s="23" t="b">
        <f>if(countif(Status!C:C,A93)=1,TRUE, FALSE)</f>
        <v>1</v>
      </c>
    </row>
    <row r="94">
      <c r="A94" s="23" t="str">
        <f t="shared" si="3"/>
        <v>MO1042</v>
      </c>
      <c r="B94" s="23" t="str">
        <f>'3.3.raw'!M94</f>
        <v>MO1042</v>
      </c>
      <c r="C94" s="24">
        <f>datevalue(left('3.3.raw'!O94,10))</f>
        <v>43662</v>
      </c>
      <c r="D94" s="23">
        <f>'3.3.raw'!I94</f>
        <v>12</v>
      </c>
      <c r="E94" s="23" t="str">
        <f>'3.3.raw'!J94</f>
        <v/>
      </c>
      <c r="F94" s="23" t="str">
        <f>'3.3.raw'!K94</f>
        <v/>
      </c>
      <c r="G94" s="1">
        <v>3.3</v>
      </c>
      <c r="H94" s="23" t="b">
        <f>if(countif(Status!C:C,A94)=1,TRUE, FALSE)</f>
        <v>1</v>
      </c>
    </row>
    <row r="95">
      <c r="A95" s="23" t="str">
        <f t="shared" si="3"/>
        <v>PLc1021</v>
      </c>
      <c r="B95" s="23" t="str">
        <f>'3.3.raw'!M95</f>
        <v>PLc1021</v>
      </c>
      <c r="C95" s="24">
        <f>datevalue(left('3.3.raw'!O95,10))</f>
        <v>43662</v>
      </c>
      <c r="D95" s="23">
        <f>'3.3.raw'!I95</f>
        <v>11</v>
      </c>
      <c r="E95" s="23" t="str">
        <f>'3.3.raw'!J95</f>
        <v/>
      </c>
      <c r="F95" s="23" t="str">
        <f>'3.3.raw'!K95</f>
        <v/>
      </c>
      <c r="G95" s="1">
        <v>3.3</v>
      </c>
      <c r="H95" s="23" t="b">
        <f>if(countif(Status!C:C,A95)=1,TRUE, FALSE)</f>
        <v>1</v>
      </c>
    </row>
    <row r="96">
      <c r="A96" s="23" t="str">
        <f t="shared" si="3"/>
        <v>PLc1022</v>
      </c>
      <c r="B96" s="23" t="str">
        <f>'3.3.raw'!M96</f>
        <v>PLc1022</v>
      </c>
      <c r="C96" s="24">
        <f>datevalue(left('3.3.raw'!O96,10))</f>
        <v>43662</v>
      </c>
      <c r="D96" s="23">
        <f>'3.3.raw'!I96</f>
        <v>11</v>
      </c>
      <c r="E96" s="23" t="str">
        <f>'3.3.raw'!J96</f>
        <v/>
      </c>
      <c r="F96" s="23" t="str">
        <f>'3.3.raw'!K96</f>
        <v/>
      </c>
      <c r="G96" s="1">
        <v>3.3</v>
      </c>
      <c r="H96" s="23" t="b">
        <f>if(countif(Status!C:C,A96)=1,TRUE, FALSE)</f>
        <v>1</v>
      </c>
    </row>
    <row r="97">
      <c r="A97" s="23" t="str">
        <f t="shared" si="3"/>
        <v>PLc1023</v>
      </c>
      <c r="B97" s="23" t="str">
        <f>'3.3.raw'!M97</f>
        <v>PLc1023</v>
      </c>
      <c r="C97" s="24">
        <f>datevalue(left('3.3.raw'!O97,10))</f>
        <v>43662</v>
      </c>
      <c r="D97" s="23">
        <f>'3.3.raw'!I97</f>
        <v>11</v>
      </c>
      <c r="E97" s="23" t="str">
        <f>'3.3.raw'!J97</f>
        <v/>
      </c>
      <c r="F97" s="23" t="str">
        <f>'3.3.raw'!K97</f>
        <v/>
      </c>
      <c r="G97" s="1">
        <v>3.3</v>
      </c>
      <c r="H97" s="23" t="b">
        <f>if(countif(Status!C:C,A97)=1,TRUE, FALSE)</f>
        <v>1</v>
      </c>
    </row>
    <row r="98">
      <c r="A98" s="23" t="str">
        <f t="shared" si="3"/>
        <v>PLc1024</v>
      </c>
      <c r="B98" s="23" t="str">
        <f>'3.3.raw'!M98</f>
        <v>PLc1024</v>
      </c>
      <c r="C98" s="24">
        <f>datevalue(left('3.3.raw'!O98,10))</f>
        <v>43662</v>
      </c>
      <c r="D98" s="23">
        <f>'3.3.raw'!I98</f>
        <v>11</v>
      </c>
      <c r="E98" s="23" t="str">
        <f>'3.3.raw'!J98</f>
        <v/>
      </c>
      <c r="F98" s="23" t="str">
        <f>'3.3.raw'!K98</f>
        <v/>
      </c>
      <c r="G98" s="1">
        <v>3.3</v>
      </c>
      <c r="H98" s="23" t="b">
        <f>if(countif(Status!C:C,A98)=1,TRUE, FALSE)</f>
        <v>1</v>
      </c>
    </row>
    <row r="99">
      <c r="A99" s="23" t="str">
        <f t="shared" si="3"/>
        <v>MO1047</v>
      </c>
      <c r="B99" s="23" t="str">
        <f>'3.3.raw'!M99</f>
        <v>MO1047</v>
      </c>
      <c r="C99" s="24">
        <f>datevalue(left('3.3.raw'!O99,10))</f>
        <v>43662</v>
      </c>
      <c r="D99" s="23">
        <f>'3.3.raw'!I99</f>
        <v>12</v>
      </c>
      <c r="E99" s="23" t="str">
        <f>'3.3.raw'!J99</f>
        <v/>
      </c>
      <c r="F99" s="23" t="str">
        <f>'3.3.raw'!K99</f>
        <v/>
      </c>
      <c r="G99" s="1">
        <v>3.3</v>
      </c>
      <c r="H99" s="23" t="b">
        <f>if(countif(Status!C:C,A99)=1,TRUE, FALSE)</f>
        <v>1</v>
      </c>
    </row>
    <row r="100">
      <c r="A100" s="23" t="str">
        <f t="shared" si="3"/>
        <v>MO1048</v>
      </c>
      <c r="B100" s="23" t="str">
        <f>'3.3.raw'!M100</f>
        <v>MO1048</v>
      </c>
      <c r="C100" s="24">
        <f>datevalue(left('3.3.raw'!O100,10))</f>
        <v>43662</v>
      </c>
      <c r="D100" s="23">
        <f>'3.3.raw'!I100</f>
        <v>12</v>
      </c>
      <c r="E100" s="23" t="str">
        <f>'3.3.raw'!J100</f>
        <v/>
      </c>
      <c r="F100" s="23" t="str">
        <f>'3.3.raw'!K100</f>
        <v/>
      </c>
      <c r="G100" s="1">
        <v>3.3</v>
      </c>
      <c r="H100" s="23" t="b">
        <f>if(countif(Status!C:C,A100)=1,TRUE, FALSE)</f>
        <v>1</v>
      </c>
    </row>
    <row r="101">
      <c r="A101" s="23" t="str">
        <f t="shared" si="3"/>
        <v>FB1006</v>
      </c>
      <c r="B101" s="23" t="str">
        <f>'3.3.raw'!M101</f>
        <v>FB1006</v>
      </c>
      <c r="C101" s="24">
        <f>datevalue(left('3.3.raw'!O101,10))</f>
        <v>43655</v>
      </c>
      <c r="D101" s="23">
        <f>'3.3.raw'!I101</f>
        <v>99</v>
      </c>
      <c r="E101" s="23" t="str">
        <f>'3.3.raw'!J101</f>
        <v/>
      </c>
      <c r="F101" s="23" t="str">
        <f>'3.3.raw'!K101</f>
        <v/>
      </c>
      <c r="G101" s="1">
        <v>3.3</v>
      </c>
      <c r="H101" s="23" t="b">
        <f>if(countif(Status!C:C,A101)=1,TRUE, FALSE)</f>
        <v>1</v>
      </c>
    </row>
    <row r="102">
      <c r="A102" s="23" t="str">
        <f t="shared" si="3"/>
        <v>FB1007</v>
      </c>
      <c r="B102" s="23" t="str">
        <f>'3.3.raw'!M102</f>
        <v>FB1007</v>
      </c>
      <c r="C102" s="24">
        <f>datevalue(left('3.3.raw'!O102,10))</f>
        <v>43656</v>
      </c>
      <c r="D102" s="23">
        <f>'3.3.raw'!I102</f>
        <v>99</v>
      </c>
      <c r="E102" s="23" t="str">
        <f>'3.3.raw'!J102</f>
        <v/>
      </c>
      <c r="F102" s="23" t="str">
        <f>'3.3.raw'!K102</f>
        <v/>
      </c>
      <c r="G102" s="1">
        <v>3.3</v>
      </c>
      <c r="H102" s="23" t="b">
        <f>if(countif(Status!C:C,A102)=1,TRUE, FALSE)</f>
        <v>1</v>
      </c>
    </row>
    <row r="103">
      <c r="A103" s="23" t="str">
        <f t="shared" si="3"/>
        <v>FB1008</v>
      </c>
      <c r="B103" s="23" t="str">
        <f>'3.3.raw'!M103</f>
        <v>FB1008</v>
      </c>
      <c r="C103" s="24">
        <f>datevalue(left('3.3.raw'!O103,10))</f>
        <v>43662</v>
      </c>
      <c r="D103" s="23">
        <f>'3.3.raw'!I103</f>
        <v>99</v>
      </c>
      <c r="E103" s="23" t="str">
        <f>'3.3.raw'!J103</f>
        <v/>
      </c>
      <c r="F103" s="23" t="str">
        <f>'3.3.raw'!K103</f>
        <v/>
      </c>
      <c r="G103" s="1">
        <v>3.3</v>
      </c>
      <c r="H103" s="23" t="b">
        <f>if(countif(Status!C:C,A103)=1,TRUE, FALSE)</f>
        <v>1</v>
      </c>
    </row>
    <row r="104">
      <c r="A104" s="23" t="str">
        <f t="shared" si="3"/>
        <v>MO1020</v>
      </c>
      <c r="B104" s="23" t="str">
        <f>'3.3.raw'!M104</f>
        <v>MO1020</v>
      </c>
      <c r="C104" s="24">
        <f>datevalue(left('3.3.raw'!O104,10))</f>
        <v>43661</v>
      </c>
      <c r="D104" s="23">
        <f>'3.3.raw'!I104</f>
        <v>12</v>
      </c>
      <c r="E104" s="23" t="str">
        <f>'3.3.raw'!J104</f>
        <v/>
      </c>
      <c r="F104" s="23" t="str">
        <f>'3.3.raw'!K104</f>
        <v/>
      </c>
      <c r="G104" s="1">
        <v>3.3</v>
      </c>
      <c r="H104" s="23" t="b">
        <f>if(countif(Status!C:C,A104)=1,TRUE, FALSE)</f>
        <v>1</v>
      </c>
    </row>
    <row r="105">
      <c r="A105" s="23" t="str">
        <f t="shared" si="3"/>
        <v>MO1021</v>
      </c>
      <c r="B105" s="23" t="str">
        <f>'3.3.raw'!M105</f>
        <v>MO1021</v>
      </c>
      <c r="C105" s="24">
        <f>datevalue(left('3.3.raw'!O105,10))</f>
        <v>43661</v>
      </c>
      <c r="D105" s="23">
        <f>'3.3.raw'!I105</f>
        <v>12</v>
      </c>
      <c r="E105" s="23" t="str">
        <f>'3.3.raw'!J105</f>
        <v/>
      </c>
      <c r="F105" s="23" t="str">
        <f>'3.3.raw'!K105</f>
        <v/>
      </c>
      <c r="G105" s="1">
        <v>3.3</v>
      </c>
      <c r="H105" s="23" t="b">
        <f>if(countif(Status!C:C,A105)=1,TRUE, FALSE)</f>
        <v>1</v>
      </c>
    </row>
    <row r="106">
      <c r="A106" s="23" t="str">
        <f t="shared" si="3"/>
        <v>MO1022</v>
      </c>
      <c r="B106" s="23" t="str">
        <f>'3.3.raw'!M106</f>
        <v>MO1022</v>
      </c>
      <c r="C106" s="24">
        <f>datevalue(left('3.3.raw'!O106,10))</f>
        <v>43661</v>
      </c>
      <c r="D106" s="23">
        <f>'3.3.raw'!I106</f>
        <v>12</v>
      </c>
      <c r="E106" s="23" t="str">
        <f>'3.3.raw'!J106</f>
        <v/>
      </c>
      <c r="F106" s="23" t="str">
        <f>'3.3.raw'!K106</f>
        <v/>
      </c>
      <c r="G106" s="1">
        <v>3.3</v>
      </c>
      <c r="H106" s="23" t="b">
        <f>if(countif(Status!C:C,A106)=1,TRUE, FALSE)</f>
        <v>1</v>
      </c>
    </row>
    <row r="107">
      <c r="A107" s="23" t="str">
        <f t="shared" si="3"/>
        <v>PL1008</v>
      </c>
      <c r="B107" s="23" t="str">
        <f>'3.3.raw'!M107</f>
        <v>PL1008</v>
      </c>
      <c r="C107" s="24">
        <f>datevalue(left('3.3.raw'!O107,10))</f>
        <v>43661</v>
      </c>
      <c r="D107" s="23">
        <f>'3.3.raw'!I107</f>
        <v>11</v>
      </c>
      <c r="E107" s="23" t="str">
        <f>'3.3.raw'!J107</f>
        <v/>
      </c>
      <c r="F107" s="23" t="str">
        <f>'3.3.raw'!K107</f>
        <v/>
      </c>
      <c r="G107" s="1">
        <v>3.3</v>
      </c>
      <c r="H107" s="23" t="b">
        <f>if(countif(Status!C:C,A107)=1,TRUE, FALSE)</f>
        <v>1</v>
      </c>
    </row>
    <row r="108">
      <c r="A108" s="23" t="str">
        <f t="shared" si="3"/>
        <v>MO1023</v>
      </c>
      <c r="B108" s="23" t="str">
        <f>'3.3.raw'!M108</f>
        <v>MO1023</v>
      </c>
      <c r="C108" s="24">
        <f>datevalue(left('3.3.raw'!O108,10))</f>
        <v>43661</v>
      </c>
      <c r="D108" s="23">
        <f>'3.3.raw'!I108</f>
        <v>12</v>
      </c>
      <c r="E108" s="23" t="str">
        <f>'3.3.raw'!J108</f>
        <v/>
      </c>
      <c r="F108" s="23" t="str">
        <f>'3.3.raw'!K108</f>
        <v/>
      </c>
      <c r="G108" s="1">
        <v>3.3</v>
      </c>
      <c r="H108" s="23" t="b">
        <f>if(countif(Status!C:C,A108)=1,TRUE, FALSE)</f>
        <v>1</v>
      </c>
    </row>
    <row r="109">
      <c r="A109" s="23" t="str">
        <f t="shared" si="3"/>
        <v>MO1024</v>
      </c>
      <c r="B109" s="23" t="str">
        <f>'3.3.raw'!M109</f>
        <v>MO1024</v>
      </c>
      <c r="C109" s="24">
        <f>datevalue(left('3.3.raw'!O109,10))</f>
        <v>43661</v>
      </c>
      <c r="D109" s="23">
        <f>'3.3.raw'!I109</f>
        <v>12</v>
      </c>
      <c r="E109" s="23" t="str">
        <f>'3.3.raw'!J109</f>
        <v/>
      </c>
      <c r="F109" s="23" t="str">
        <f>'3.3.raw'!K109</f>
        <v/>
      </c>
      <c r="G109" s="1">
        <v>3.3</v>
      </c>
      <c r="H109" s="23" t="b">
        <f>if(countif(Status!C:C,A109)=1,TRUE, FALSE)</f>
        <v>1</v>
      </c>
    </row>
    <row r="110">
      <c r="A110" s="23" t="str">
        <f t="shared" si="3"/>
        <v>MO1025</v>
      </c>
      <c r="B110" s="23" t="str">
        <f>'3.3.raw'!M110</f>
        <v>MO1025</v>
      </c>
      <c r="C110" s="24">
        <f>datevalue(left('3.3.raw'!O110,10))</f>
        <v>43661</v>
      </c>
      <c r="D110" s="23">
        <f>'3.3.raw'!I110</f>
        <v>12</v>
      </c>
      <c r="E110" s="23" t="str">
        <f>'3.3.raw'!J110</f>
        <v/>
      </c>
      <c r="F110" s="23" t="str">
        <f>'3.3.raw'!K110</f>
        <v/>
      </c>
      <c r="G110" s="1">
        <v>3.3</v>
      </c>
      <c r="H110" s="23" t="b">
        <f>if(countif(Status!C:C,A110)=1,TRUE, FALSE)</f>
        <v>1</v>
      </c>
    </row>
    <row r="111">
      <c r="A111" s="23" t="str">
        <f t="shared" si="3"/>
        <v>MO1026</v>
      </c>
      <c r="B111" s="23" t="str">
        <f>'3.3.raw'!M111</f>
        <v>MO1026</v>
      </c>
      <c r="C111" s="24">
        <f>datevalue(left('3.3.raw'!O111,10))</f>
        <v>43661</v>
      </c>
      <c r="D111" s="23">
        <f>'3.3.raw'!I111</f>
        <v>12</v>
      </c>
      <c r="E111" s="23" t="str">
        <f>'3.3.raw'!J111</f>
        <v/>
      </c>
      <c r="F111" s="23" t="str">
        <f>'3.3.raw'!K111</f>
        <v/>
      </c>
      <c r="G111" s="1">
        <v>3.3</v>
      </c>
      <c r="H111" s="23" t="b">
        <f>if(countif(Status!C:C,A111)=1,TRUE, FALSE)</f>
        <v>1</v>
      </c>
    </row>
    <row r="112">
      <c r="A112" s="23" t="str">
        <f t="shared" si="3"/>
        <v>PLc1008</v>
      </c>
      <c r="B112" s="23" t="str">
        <f>'3.3.raw'!M112</f>
        <v>PLc1008</v>
      </c>
      <c r="C112" s="24">
        <f>datevalue(left('3.3.raw'!O112,10))</f>
        <v>43661</v>
      </c>
      <c r="D112" s="23">
        <f>'3.3.raw'!I112</f>
        <v>11</v>
      </c>
      <c r="E112" s="23" t="str">
        <f>'3.3.raw'!J112</f>
        <v/>
      </c>
      <c r="F112" s="23" t="str">
        <f>'3.3.raw'!K112</f>
        <v/>
      </c>
      <c r="G112" s="1">
        <v>3.3</v>
      </c>
      <c r="H112" s="23" t="b">
        <f>if(countif(Status!C:C,A112)=1,TRUE, FALSE)</f>
        <v>1</v>
      </c>
    </row>
    <row r="113">
      <c r="A113" s="23" t="str">
        <f t="shared" si="3"/>
        <v>PLc1009</v>
      </c>
      <c r="B113" s="23" t="str">
        <f>'3.3.raw'!M113</f>
        <v>PLc1009</v>
      </c>
      <c r="C113" s="24">
        <f>datevalue(left('3.3.raw'!O113,10))</f>
        <v>43661</v>
      </c>
      <c r="D113" s="23">
        <f>'3.3.raw'!I113</f>
        <v>11</v>
      </c>
      <c r="E113" s="23" t="str">
        <f>'3.3.raw'!J113</f>
        <v/>
      </c>
      <c r="F113" s="23" t="str">
        <f>'3.3.raw'!K113</f>
        <v/>
      </c>
      <c r="G113" s="1">
        <v>3.3</v>
      </c>
      <c r="H113" s="23" t="b">
        <f>if(countif(Status!C:C,A113)=1,TRUE, FALSE)</f>
        <v>1</v>
      </c>
    </row>
    <row r="114">
      <c r="A114" s="23" t="str">
        <f t="shared" si="3"/>
        <v>PLc1010</v>
      </c>
      <c r="B114" s="23" t="str">
        <f>'3.3.raw'!M114</f>
        <v>PLc1010</v>
      </c>
      <c r="C114" s="24">
        <f>datevalue(left('3.3.raw'!O114,10))</f>
        <v>43661</v>
      </c>
      <c r="D114" s="23">
        <f>'3.3.raw'!I114</f>
        <v>11</v>
      </c>
      <c r="E114" s="23" t="str">
        <f>'3.3.raw'!J114</f>
        <v/>
      </c>
      <c r="F114" s="23" t="str">
        <f>'3.3.raw'!K114</f>
        <v/>
      </c>
      <c r="G114" s="1">
        <v>3.3</v>
      </c>
      <c r="H114" s="23" t="b">
        <f>if(countif(Status!C:C,A114)=1,TRUE, FALSE)</f>
        <v>1</v>
      </c>
    </row>
    <row r="115">
      <c r="A115" s="23" t="str">
        <f t="shared" si="3"/>
        <v>PLc1011</v>
      </c>
      <c r="B115" s="23" t="str">
        <f>'3.3.raw'!M115</f>
        <v>PLc1011</v>
      </c>
      <c r="C115" s="24">
        <f>datevalue(left('3.3.raw'!O115,10))</f>
        <v>43661</v>
      </c>
      <c r="D115" s="23">
        <f>'3.3.raw'!I115</f>
        <v>11</v>
      </c>
      <c r="E115" s="23" t="str">
        <f>'3.3.raw'!J115</f>
        <v/>
      </c>
      <c r="F115" s="23" t="str">
        <f>'3.3.raw'!K115</f>
        <v/>
      </c>
      <c r="G115" s="1">
        <v>3.3</v>
      </c>
      <c r="H115" s="23" t="b">
        <f>if(countif(Status!C:C,A115)=1,TRUE, FALSE)</f>
        <v>1</v>
      </c>
    </row>
    <row r="116">
      <c r="A116" s="23" t="str">
        <f t="shared" si="3"/>
        <v>PLc1012</v>
      </c>
      <c r="B116" s="23" t="str">
        <f>'3.3.raw'!M116</f>
        <v>PLc1012</v>
      </c>
      <c r="C116" s="24">
        <f>datevalue(left('3.3.raw'!O116,10))</f>
        <v>43661</v>
      </c>
      <c r="D116" s="23">
        <f>'3.3.raw'!I116</f>
        <v>11</v>
      </c>
      <c r="E116" s="23" t="str">
        <f>'3.3.raw'!J116</f>
        <v/>
      </c>
      <c r="F116" s="23" t="str">
        <f>'3.3.raw'!K116</f>
        <v/>
      </c>
      <c r="G116" s="1">
        <v>3.3</v>
      </c>
      <c r="H116" s="23" t="b">
        <f>if(countif(Status!C:C,A116)=1,TRUE, FALSE)</f>
        <v>1</v>
      </c>
    </row>
    <row r="117">
      <c r="A117" s="23" t="str">
        <f t="shared" si="3"/>
        <v>PLc1013</v>
      </c>
      <c r="B117" s="23" t="str">
        <f>'3.3.raw'!M117</f>
        <v>PLc1013</v>
      </c>
      <c r="C117" s="24">
        <f>datevalue(left('3.3.raw'!O117,10))</f>
        <v>43661</v>
      </c>
      <c r="D117" s="23">
        <f>'3.3.raw'!I117</f>
        <v>11</v>
      </c>
      <c r="E117" s="23" t="str">
        <f>'3.3.raw'!J117</f>
        <v/>
      </c>
      <c r="F117" s="23" t="str">
        <f>'3.3.raw'!K117</f>
        <v/>
      </c>
      <c r="G117" s="1">
        <v>3.3</v>
      </c>
      <c r="H117" s="23" t="b">
        <f>if(countif(Status!C:C,A117)=1,TRUE, FALSE)</f>
        <v>1</v>
      </c>
    </row>
    <row r="118">
      <c r="A118" s="23" t="str">
        <f t="shared" si="3"/>
        <v>FB1009</v>
      </c>
      <c r="B118" s="23" t="str">
        <f>'3.3.raw'!M118</f>
        <v>FB1009</v>
      </c>
      <c r="C118" s="24">
        <f>datevalue(left('3.3.raw'!O118,10))</f>
        <v>43663</v>
      </c>
      <c r="D118" s="23">
        <f>'3.3.raw'!I118</f>
        <v>99</v>
      </c>
      <c r="E118" s="23" t="str">
        <f>'3.3.raw'!J118</f>
        <v/>
      </c>
      <c r="F118" s="23" t="str">
        <f>'3.3.raw'!K118</f>
        <v/>
      </c>
      <c r="G118" s="1">
        <v>3.3</v>
      </c>
      <c r="H118" s="23" t="b">
        <f>if(countif(Status!C:C,A118)=1,TRUE, FALSE)</f>
        <v>1</v>
      </c>
    </row>
    <row r="119">
      <c r="A119" s="23" t="str">
        <f t="shared" si="3"/>
        <v>PLc1017</v>
      </c>
      <c r="B119" s="23" t="str">
        <f>'3.3.raw'!M119</f>
        <v>PLc1017</v>
      </c>
      <c r="C119" s="24">
        <f>datevalue(left('3.3.raw'!O119,10))</f>
        <v>43663</v>
      </c>
      <c r="D119" s="23">
        <f>'3.3.raw'!I119</f>
        <v>11</v>
      </c>
      <c r="E119" s="23" t="str">
        <f>'3.3.raw'!J119</f>
        <v/>
      </c>
      <c r="F119" s="23" t="str">
        <f>'3.3.raw'!K119</f>
        <v/>
      </c>
      <c r="G119" s="1">
        <v>3.3</v>
      </c>
      <c r="H119" s="23" t="b">
        <f>if(countif(Status!C:C,A119)=1,TRUE, FALSE)</f>
        <v>1</v>
      </c>
    </row>
    <row r="120">
      <c r="A120" s="23" t="str">
        <f t="shared" si="3"/>
        <v>PLc1019</v>
      </c>
      <c r="B120" s="23" t="str">
        <f>'3.3.raw'!M120</f>
        <v>PLc1019</v>
      </c>
      <c r="C120" s="24">
        <f>datevalue(left('3.3.raw'!O120,10))</f>
        <v>43663</v>
      </c>
      <c r="D120" s="23">
        <f>'3.3.raw'!I120</f>
        <v>11</v>
      </c>
      <c r="E120" s="23" t="str">
        <f>'3.3.raw'!J120</f>
        <v/>
      </c>
      <c r="F120" s="23" t="str">
        <f>'3.3.raw'!K120</f>
        <v/>
      </c>
      <c r="G120" s="1">
        <v>3.3</v>
      </c>
      <c r="H120" s="23" t="b">
        <f>if(countif(Status!C:C,A120)=1,TRUE, FALSE)</f>
        <v>1</v>
      </c>
    </row>
    <row r="121">
      <c r="A121" s="23" t="str">
        <f t="shared" si="3"/>
        <v>MO1036</v>
      </c>
      <c r="B121" s="23" t="str">
        <f>'3.3.raw'!M121</f>
        <v>MO1036</v>
      </c>
      <c r="C121" s="24">
        <f>datevalue(left('3.3.raw'!O121,10))</f>
        <v>43663</v>
      </c>
      <c r="D121" s="23">
        <f>'3.3.raw'!I121</f>
        <v>12</v>
      </c>
      <c r="E121" s="23" t="str">
        <f>'3.3.raw'!J121</f>
        <v/>
      </c>
      <c r="F121" s="23" t="str">
        <f>'3.3.raw'!K121</f>
        <v/>
      </c>
      <c r="G121" s="1">
        <v>3.3</v>
      </c>
      <c r="H121" s="23" t="b">
        <f>if(countif(Status!C:C,A121)=1,TRUE, FALSE)</f>
        <v>1</v>
      </c>
    </row>
    <row r="122">
      <c r="A122" s="23" t="str">
        <f t="shared" si="3"/>
        <v>MO1037</v>
      </c>
      <c r="B122" s="23" t="str">
        <f>'3.3.raw'!M122</f>
        <v>MO1037</v>
      </c>
      <c r="C122" s="24">
        <f>datevalue(left('3.3.raw'!O122,10))</f>
        <v>43663</v>
      </c>
      <c r="D122" s="23">
        <f>'3.3.raw'!I122</f>
        <v>12</v>
      </c>
      <c r="E122" s="23" t="str">
        <f>'3.3.raw'!J122</f>
        <v/>
      </c>
      <c r="F122" s="23" t="str">
        <f>'3.3.raw'!K122</f>
        <v/>
      </c>
      <c r="G122" s="1">
        <v>3.3</v>
      </c>
      <c r="H122" s="23" t="b">
        <f>if(countif(Status!C:C,A122)=1,TRUE, FALSE)</f>
        <v>1</v>
      </c>
    </row>
    <row r="123">
      <c r="A123" s="23" t="str">
        <f t="shared" si="3"/>
        <v>MO1038</v>
      </c>
      <c r="B123" s="23" t="str">
        <f>'3.3.raw'!M123</f>
        <v>MO1038</v>
      </c>
      <c r="C123" s="24">
        <f>datevalue(left('3.3.raw'!O123,10))</f>
        <v>43663</v>
      </c>
      <c r="D123" s="23">
        <f>'3.3.raw'!I123</f>
        <v>12</v>
      </c>
      <c r="E123" s="23" t="str">
        <f>'3.3.raw'!J123</f>
        <v/>
      </c>
      <c r="F123" s="23" t="str">
        <f>'3.3.raw'!K123</f>
        <v/>
      </c>
      <c r="G123" s="1">
        <v>3.3</v>
      </c>
      <c r="H123" s="23" t="b">
        <f>if(countif(Status!C:C,A123)=1,TRUE, FALSE)</f>
        <v>1</v>
      </c>
    </row>
    <row r="124">
      <c r="A124" s="23" t="str">
        <f t="shared" si="3"/>
        <v>MO1039</v>
      </c>
      <c r="B124" s="23" t="str">
        <f>'3.3.raw'!M124</f>
        <v>MO1039</v>
      </c>
      <c r="C124" s="24">
        <f>datevalue(left('3.3.raw'!O124,10))</f>
        <v>43663</v>
      </c>
      <c r="D124" s="23">
        <f>'3.3.raw'!I124</f>
        <v>12</v>
      </c>
      <c r="E124" s="23" t="str">
        <f>'3.3.raw'!J124</f>
        <v/>
      </c>
      <c r="F124" s="23" t="str">
        <f>'3.3.raw'!K124</f>
        <v/>
      </c>
      <c r="G124" s="1">
        <v>3.3</v>
      </c>
      <c r="H124" s="23" t="b">
        <f>if(countif(Status!C:C,A124)=1,TRUE, FALSE)</f>
        <v>1</v>
      </c>
    </row>
    <row r="125">
      <c r="A125" s="49" t="s">
        <v>770</v>
      </c>
      <c r="B125" s="23" t="str">
        <f>'3.3.raw'!M125</f>
        <v>MO1040</v>
      </c>
      <c r="C125" s="24">
        <f>datevalue(left('3.3.raw'!O125,10))</f>
        <v>43663</v>
      </c>
      <c r="D125" s="23">
        <f>'3.3.raw'!I125</f>
        <v>12</v>
      </c>
      <c r="E125" s="23" t="str">
        <f>'3.3.raw'!J125</f>
        <v/>
      </c>
      <c r="F125" s="23" t="str">
        <f>'3.3.raw'!K125</f>
        <v/>
      </c>
      <c r="G125" s="1">
        <v>3.3</v>
      </c>
      <c r="H125" s="23" t="b">
        <f>if(countif(Status!C:C,A125)=1,TRUE, FALSE)</f>
        <v>1</v>
      </c>
    </row>
    <row r="126">
      <c r="A126" s="23" t="str">
        <f t="shared" ref="A126:A134" si="4">B126</f>
        <v>MO1041</v>
      </c>
      <c r="B126" s="23" t="str">
        <f>'3.3.raw'!M126</f>
        <v>MO1041</v>
      </c>
      <c r="C126" s="24">
        <f>datevalue(left('3.3.raw'!O126,10))</f>
        <v>43663</v>
      </c>
      <c r="D126" s="23">
        <f>'3.3.raw'!I126</f>
        <v>12</v>
      </c>
      <c r="E126" s="23" t="str">
        <f>'3.3.raw'!J126</f>
        <v/>
      </c>
      <c r="F126" s="23" t="str">
        <f>'3.3.raw'!K126</f>
        <v/>
      </c>
      <c r="G126" s="1">
        <v>3.3</v>
      </c>
      <c r="H126" s="23" t="b">
        <f>if(countif(Status!C:C,A126)=1,TRUE, FALSE)</f>
        <v>1</v>
      </c>
    </row>
    <row r="127">
      <c r="A127" s="23" t="str">
        <f t="shared" si="4"/>
        <v>MO1055</v>
      </c>
      <c r="B127" s="23" t="str">
        <f>'3.3.raw'!M127</f>
        <v>MO1055</v>
      </c>
      <c r="C127" s="24">
        <f>datevalue(left('3.3.raw'!O127,10))</f>
        <v>43663</v>
      </c>
      <c r="D127" s="23">
        <f>'3.3.raw'!I127</f>
        <v>12</v>
      </c>
      <c r="E127" s="23" t="str">
        <f>'3.3.raw'!J127</f>
        <v/>
      </c>
      <c r="F127" s="23" t="str">
        <f>'3.3.raw'!K127</f>
        <v/>
      </c>
      <c r="G127" s="1">
        <v>3.3</v>
      </c>
      <c r="H127" s="23" t="b">
        <f>if(countif(Status!C:C,A127)=1,TRUE, FALSE)</f>
        <v>1</v>
      </c>
    </row>
    <row r="128">
      <c r="A128" s="23" t="str">
        <f t="shared" si="4"/>
        <v>MO1056</v>
      </c>
      <c r="B128" s="23" t="str">
        <f>'3.3.raw'!M128</f>
        <v>MO1056</v>
      </c>
      <c r="C128" s="24">
        <f>datevalue(left('3.3.raw'!O128,10))</f>
        <v>43663</v>
      </c>
      <c r="D128" s="23">
        <f>'3.3.raw'!I128</f>
        <v>12</v>
      </c>
      <c r="E128" s="23" t="str">
        <f>'3.3.raw'!J128</f>
        <v/>
      </c>
      <c r="F128" s="23" t="str">
        <f>'3.3.raw'!K128</f>
        <v/>
      </c>
      <c r="G128" s="1">
        <v>3.3</v>
      </c>
      <c r="H128" s="23" t="b">
        <f>if(countif(Status!C:C,A128)=1,TRUE, FALSE)</f>
        <v>1</v>
      </c>
    </row>
    <row r="129">
      <c r="A129" s="23" t="str">
        <f t="shared" si="4"/>
        <v>MO1057</v>
      </c>
      <c r="B129" s="23" t="str">
        <f>'3.3.raw'!M129</f>
        <v>MO1057</v>
      </c>
      <c r="C129" s="24">
        <f>datevalue(left('3.3.raw'!O129,10))</f>
        <v>43663</v>
      </c>
      <c r="D129" s="23">
        <f>'3.3.raw'!I129</f>
        <v>12</v>
      </c>
      <c r="E129" s="23" t="str">
        <f>'3.3.raw'!J129</f>
        <v/>
      </c>
      <c r="F129" s="23" t="str">
        <f>'3.3.raw'!K129</f>
        <v/>
      </c>
      <c r="G129" s="1">
        <v>3.3</v>
      </c>
      <c r="H129" s="23" t="b">
        <f>if(countif(Status!C:C,A129)=1,TRUE, FALSE)</f>
        <v>1</v>
      </c>
    </row>
    <row r="130">
      <c r="A130" s="23" t="str">
        <f t="shared" si="4"/>
        <v>MO1058</v>
      </c>
      <c r="B130" s="23" t="str">
        <f>'3.3.raw'!M130</f>
        <v>MO1058</v>
      </c>
      <c r="C130" s="24">
        <f>datevalue(left('3.3.raw'!O130,10))</f>
        <v>43663</v>
      </c>
      <c r="D130" s="23">
        <f>'3.3.raw'!I130</f>
        <v>12</v>
      </c>
      <c r="E130" s="23" t="str">
        <f>'3.3.raw'!J130</f>
        <v/>
      </c>
      <c r="F130" s="23" t="str">
        <f>'3.3.raw'!K130</f>
        <v/>
      </c>
      <c r="G130" s="1">
        <v>3.3</v>
      </c>
      <c r="H130" s="23" t="b">
        <f>if(countif(Status!C:C,A130)=1,TRUE, FALSE)</f>
        <v>1</v>
      </c>
    </row>
    <row r="131">
      <c r="A131" s="23" t="str">
        <f t="shared" si="4"/>
        <v>DWb1001</v>
      </c>
      <c r="B131" s="23" t="str">
        <f>'3.3.raw'!M131</f>
        <v>DWb1001</v>
      </c>
      <c r="C131" s="24">
        <f>datevalue(left('3.3.raw'!O131,10))</f>
        <v>43601</v>
      </c>
      <c r="D131" s="23">
        <f>'3.3.raw'!I131</f>
        <v>3</v>
      </c>
      <c r="E131" s="23" t="str">
        <f>'3.3.raw'!J131</f>
        <v/>
      </c>
      <c r="F131" s="23" t="str">
        <f>'3.3.raw'!K131</f>
        <v/>
      </c>
      <c r="G131" s="1">
        <v>3.3</v>
      </c>
      <c r="H131" s="23" t="b">
        <f>if(countif(Status!C:C,A131)=1,TRUE, FALSE)</f>
        <v>1</v>
      </c>
    </row>
    <row r="132">
      <c r="A132" s="23" t="str">
        <f t="shared" si="4"/>
        <v>OD1001</v>
      </c>
      <c r="B132" s="23" t="str">
        <f>'3.3.raw'!M132</f>
        <v>OD1001</v>
      </c>
      <c r="C132" s="24">
        <f>datevalue(left('3.3.raw'!O132,10))</f>
        <v>43601</v>
      </c>
      <c r="D132" s="23">
        <f>'3.3.raw'!I132</f>
        <v>1</v>
      </c>
      <c r="E132" s="23" t="str">
        <f>'3.3.raw'!J132</f>
        <v/>
      </c>
      <c r="F132" s="23" t="str">
        <f>'3.3.raw'!K132</f>
        <v/>
      </c>
      <c r="G132" s="1">
        <v>3.3</v>
      </c>
      <c r="H132" s="23" t="b">
        <f>if(countif(Status!C:C,A132)=1,TRUE, FALSE)</f>
        <v>1</v>
      </c>
    </row>
    <row r="133">
      <c r="A133" s="23" t="str">
        <f t="shared" si="4"/>
        <v>SF1001</v>
      </c>
      <c r="B133" s="23" t="str">
        <f>'3.3.raw'!M133</f>
        <v>SF1001</v>
      </c>
      <c r="C133" s="24">
        <f>datevalue(left('3.3.raw'!O133,10))</f>
        <v>43622</v>
      </c>
      <c r="D133" s="23">
        <f>'3.3.raw'!I133</f>
        <v>10</v>
      </c>
      <c r="E133" s="23" t="str">
        <f>'3.3.raw'!J133</f>
        <v/>
      </c>
      <c r="F133" s="23" t="str">
        <f>'3.3.raw'!K133</f>
        <v/>
      </c>
      <c r="G133" s="1">
        <v>3.3</v>
      </c>
      <c r="H133" s="23" t="b">
        <f>if(countif(Status!C:C,A133)=1,TRUE, FALSE)</f>
        <v>1</v>
      </c>
    </row>
    <row r="134">
      <c r="A134" s="23" t="str">
        <f t="shared" si="4"/>
        <v>SW1001</v>
      </c>
      <c r="B134" s="23" t="str">
        <f>'3.3.raw'!M134</f>
        <v>SW1001</v>
      </c>
      <c r="C134" s="24">
        <f>datevalue(left('3.3.raw'!O134,10))</f>
        <v>43601</v>
      </c>
      <c r="D134" s="23">
        <f>'3.3.raw'!I134</f>
        <v>5</v>
      </c>
      <c r="E134" s="23" t="str">
        <f>'3.3.raw'!J134</f>
        <v/>
      </c>
      <c r="F134" s="23" t="str">
        <f>'3.3.raw'!K134</f>
        <v/>
      </c>
      <c r="G134" s="1">
        <v>3.3</v>
      </c>
      <c r="H134" s="23" t="b">
        <f>if(countif(Status!C:C,A134)=1,TRUE, FALSE)</f>
        <v>1</v>
      </c>
    </row>
    <row r="135">
      <c r="A135" s="49" t="s">
        <v>53</v>
      </c>
      <c r="B135" s="23" t="str">
        <f>'3.3.raw'!M135</f>
        <v>PL1001</v>
      </c>
      <c r="C135" s="24">
        <f>datevalue(left('3.3.raw'!O135,10))</f>
        <v>43588</v>
      </c>
      <c r="D135" s="23">
        <f>'3.3.raw'!I135</f>
        <v>11</v>
      </c>
      <c r="E135" s="23" t="str">
        <f>'3.3.raw'!J135</f>
        <v/>
      </c>
      <c r="F135" s="23" t="str">
        <f>'3.3.raw'!K135</f>
        <v/>
      </c>
      <c r="G135" s="1">
        <v>3.3</v>
      </c>
      <c r="H135" s="23" t="b">
        <f>if(countif(Status!C:C,A135)=1,TRUE, FALSE)</f>
        <v>0</v>
      </c>
    </row>
    <row r="136">
      <c r="A136" s="23" t="str">
        <f t="shared" ref="A136:A139" si="5">B136</f>
        <v>PL1007</v>
      </c>
      <c r="B136" s="23" t="str">
        <f>'3.3.raw'!M136</f>
        <v>PL1007</v>
      </c>
      <c r="C136" s="24">
        <f>datevalue(left('3.3.raw'!O136,10))</f>
        <v>43634</v>
      </c>
      <c r="D136" s="23">
        <f>'3.3.raw'!I136</f>
        <v>11</v>
      </c>
      <c r="E136" s="23" t="str">
        <f>'3.3.raw'!J136</f>
        <v/>
      </c>
      <c r="F136" s="23" t="str">
        <f>'3.3.raw'!K136</f>
        <v/>
      </c>
      <c r="G136" s="1">
        <v>3.3</v>
      </c>
      <c r="H136" s="23" t="b">
        <f>if(countif(Status!C:C,A136)=1,TRUE, FALSE)</f>
        <v>1</v>
      </c>
    </row>
    <row r="137">
      <c r="A137" s="23" t="str">
        <f t="shared" si="5"/>
        <v>PLc1007</v>
      </c>
      <c r="B137" s="23" t="str">
        <f>'3.3.raw'!M137</f>
        <v>PLc1007</v>
      </c>
      <c r="C137" s="24">
        <f>datevalue(left('3.3.raw'!O137,10))</f>
        <v>43634</v>
      </c>
      <c r="D137" s="23">
        <f>'3.3.raw'!I137</f>
        <v>11</v>
      </c>
      <c r="E137" s="23" t="str">
        <f>'3.3.raw'!J137</f>
        <v/>
      </c>
      <c r="F137" s="23" t="str">
        <f>'3.3.raw'!K137</f>
        <v/>
      </c>
      <c r="G137" s="1">
        <v>3.3</v>
      </c>
      <c r="H137" s="23" t="b">
        <f>if(countif(Status!C:C,A137)=1,TRUE, FALSE)</f>
        <v>1</v>
      </c>
    </row>
    <row r="138">
      <c r="A138" s="23" t="str">
        <f t="shared" si="5"/>
        <v>PLc1008</v>
      </c>
      <c r="B138" s="23" t="str">
        <f>'3.3.raw'!M138</f>
        <v>PLc1008</v>
      </c>
      <c r="C138" s="24">
        <f>datevalue(left('3.3.raw'!O138,10))</f>
        <v>43661</v>
      </c>
      <c r="D138" s="23">
        <f>'3.3.raw'!I138</f>
        <v>11</v>
      </c>
      <c r="E138" s="23" t="str">
        <f>'3.3.raw'!J138</f>
        <v/>
      </c>
      <c r="F138" s="23" t="str">
        <f>'3.3.raw'!K138</f>
        <v/>
      </c>
      <c r="G138" s="1">
        <v>3.3</v>
      </c>
      <c r="H138" s="23" t="b">
        <f>if(countif(Status!C:C,A138)=1,TRUE, FALSE)</f>
        <v>1</v>
      </c>
    </row>
    <row r="139">
      <c r="A139" s="23" t="str">
        <f t="shared" si="5"/>
        <v>PLc1020</v>
      </c>
      <c r="B139" s="23" t="str">
        <f>'3.3.raw'!M139</f>
        <v>PLc1020</v>
      </c>
      <c r="C139" s="24">
        <f>datevalue(left('3.3.raw'!O139,10))</f>
        <v>43662</v>
      </c>
      <c r="D139" s="23">
        <f>'3.3.raw'!I139</f>
        <v>11</v>
      </c>
      <c r="E139" s="23" t="str">
        <f>'3.3.raw'!J139</f>
        <v/>
      </c>
      <c r="F139" s="23" t="str">
        <f>'3.3.raw'!K139</f>
        <v/>
      </c>
      <c r="G139" s="1">
        <v>3.3</v>
      </c>
      <c r="H139" s="23" t="b">
        <f>if(countif(Status!C:C,A139)=1,TRUE, FALSE)</f>
        <v>1</v>
      </c>
    </row>
    <row r="140">
      <c r="A140" s="49" t="s">
        <v>97</v>
      </c>
      <c r="B140" s="23" t="str">
        <f>'3.3.raw'!M140</f>
        <v>MO1001</v>
      </c>
      <c r="C140" s="24">
        <f>datevalue(left('3.3.raw'!O140,10))</f>
        <v>43588</v>
      </c>
      <c r="D140" s="23">
        <f>'3.3.raw'!I140</f>
        <v>12</v>
      </c>
      <c r="E140" s="23" t="str">
        <f>'3.3.raw'!J140</f>
        <v/>
      </c>
      <c r="F140" s="23" t="str">
        <f>'3.3.raw'!K140</f>
        <v/>
      </c>
      <c r="G140" s="1">
        <v>3.3</v>
      </c>
      <c r="H140" s="23" t="b">
        <f>if(countif(Status!C:C,A140)=1,TRUE, FALSE)</f>
        <v>1</v>
      </c>
    </row>
    <row r="141">
      <c r="A141" s="49" t="s">
        <v>111</v>
      </c>
      <c r="B141" s="23" t="str">
        <f>'3.3.raw'!M141</f>
        <v>MO1002</v>
      </c>
      <c r="C141" s="24">
        <f>datevalue(left('3.3.raw'!O141,10))</f>
        <v>43588</v>
      </c>
      <c r="D141" s="23">
        <f>'3.3.raw'!I141</f>
        <v>12</v>
      </c>
      <c r="E141" s="23" t="str">
        <f>'3.3.raw'!J141</f>
        <v/>
      </c>
      <c r="F141" s="23" t="str">
        <f>'3.3.raw'!K141</f>
        <v/>
      </c>
      <c r="G141" s="1">
        <v>3.3</v>
      </c>
      <c r="H141" s="23" t="b">
        <f>if(countif(Status!C:C,A141)=1,TRUE, FALSE)</f>
        <v>1</v>
      </c>
    </row>
    <row r="142">
      <c r="A142" s="23" t="str">
        <f t="shared" ref="A142:A182" si="6">B142</f>
        <v>MO1003</v>
      </c>
      <c r="B142" s="23" t="str">
        <f>'3.3.raw'!M142</f>
        <v>MO1003</v>
      </c>
      <c r="C142" s="24">
        <f>datevalue(left('3.3.raw'!O142,10))</f>
        <v>43662</v>
      </c>
      <c r="D142" s="23">
        <f>'3.3.raw'!I142</f>
        <v>12</v>
      </c>
      <c r="E142" s="23" t="str">
        <f>'3.3.raw'!J142</f>
        <v/>
      </c>
      <c r="F142" s="23" t="str">
        <f>'3.3.raw'!K142</f>
        <v/>
      </c>
      <c r="G142" s="1">
        <v>3.3</v>
      </c>
      <c r="H142" s="23" t="b">
        <f>if(countif(Status!C:C,A142)=1,TRUE, FALSE)</f>
        <v>1</v>
      </c>
    </row>
    <row r="143">
      <c r="A143" s="23" t="str">
        <f t="shared" si="6"/>
        <v>MO1004</v>
      </c>
      <c r="B143" s="23" t="str">
        <f>'3.3.raw'!M143</f>
        <v>MO1004</v>
      </c>
      <c r="C143" s="24">
        <f>datevalue(left('3.3.raw'!O143,10))</f>
        <v>43601</v>
      </c>
      <c r="D143" s="23">
        <f>'3.3.raw'!I143</f>
        <v>12</v>
      </c>
      <c r="E143" s="23" t="str">
        <f>'3.3.raw'!J143</f>
        <v/>
      </c>
      <c r="F143" s="23" t="str">
        <f>'3.3.raw'!K143</f>
        <v/>
      </c>
      <c r="G143" s="1">
        <v>3.3</v>
      </c>
      <c r="H143" s="23" t="b">
        <f>if(countif(Status!C:C,A143)=1,TRUE, FALSE)</f>
        <v>1</v>
      </c>
    </row>
    <row r="144">
      <c r="A144" s="23" t="str">
        <f t="shared" si="6"/>
        <v>MO1008</v>
      </c>
      <c r="B144" s="23" t="str">
        <f>'3.3.raw'!M144</f>
        <v>MO1008</v>
      </c>
      <c r="C144" s="24">
        <f>datevalue(left('3.3.raw'!O144,10))</f>
        <v>43601</v>
      </c>
      <c r="D144" s="23">
        <f>'3.3.raw'!I144</f>
        <v>12</v>
      </c>
      <c r="E144" s="23" t="str">
        <f>'3.3.raw'!J144</f>
        <v/>
      </c>
      <c r="F144" s="23" t="str">
        <f>'3.3.raw'!K144</f>
        <v/>
      </c>
      <c r="G144" s="1">
        <v>3.3</v>
      </c>
      <c r="H144" s="23" t="b">
        <f>if(countif(Status!C:C,A144)=1,TRUE, FALSE)</f>
        <v>1</v>
      </c>
    </row>
    <row r="145">
      <c r="A145" s="23" t="str">
        <f t="shared" si="6"/>
        <v>MO1033</v>
      </c>
      <c r="B145" s="23" t="str">
        <f>'3.3.raw'!M145</f>
        <v>MO1033</v>
      </c>
      <c r="C145" s="24">
        <f>datevalue(left('3.3.raw'!O145,10))</f>
        <v>43662</v>
      </c>
      <c r="D145" s="23">
        <f>'3.3.raw'!I145</f>
        <v>12</v>
      </c>
      <c r="E145" s="23" t="str">
        <f>'3.3.raw'!J145</f>
        <v/>
      </c>
      <c r="F145" s="23" t="str">
        <f>'3.3.raw'!K145</f>
        <v/>
      </c>
      <c r="G145" s="1">
        <v>3.3</v>
      </c>
      <c r="H145" s="23" t="b">
        <f>if(countif(Status!C:C,A145)=1,TRUE, FALSE)</f>
        <v>1</v>
      </c>
    </row>
    <row r="146">
      <c r="A146" s="23" t="str">
        <f t="shared" si="6"/>
        <v>MO1043</v>
      </c>
      <c r="B146" s="23" t="str">
        <f>'3.3.raw'!M146</f>
        <v>MO1043</v>
      </c>
      <c r="C146" s="24">
        <f>datevalue(left('3.3.raw'!O146,10))</f>
        <v>43664</v>
      </c>
      <c r="D146" s="23">
        <f>'3.3.raw'!I146</f>
        <v>12</v>
      </c>
      <c r="E146" s="23" t="str">
        <f>'3.3.raw'!J146</f>
        <v/>
      </c>
      <c r="F146" s="23" t="str">
        <f>'3.3.raw'!K146</f>
        <v/>
      </c>
      <c r="G146" s="1">
        <v>3.3</v>
      </c>
      <c r="H146" s="23" t="b">
        <f>if(countif(Status!C:C,A146)=1,TRUE, FALSE)</f>
        <v>1</v>
      </c>
    </row>
    <row r="147">
      <c r="A147" s="23" t="str">
        <f t="shared" si="6"/>
        <v>MO1044</v>
      </c>
      <c r="B147" s="23" t="str">
        <f>'3.3.raw'!M147</f>
        <v>MO1044</v>
      </c>
      <c r="C147" s="24">
        <f>datevalue(left('3.3.raw'!O147,10))</f>
        <v>43664</v>
      </c>
      <c r="D147" s="23">
        <f>'3.3.raw'!I147</f>
        <v>12</v>
      </c>
      <c r="E147" s="23" t="str">
        <f>'3.3.raw'!J147</f>
        <v/>
      </c>
      <c r="F147" s="23" t="str">
        <f>'3.3.raw'!K147</f>
        <v/>
      </c>
      <c r="G147" s="1">
        <v>3.3</v>
      </c>
      <c r="H147" s="23" t="b">
        <f>if(countif(Status!C:C,A147)=1,TRUE, FALSE)</f>
        <v>1</v>
      </c>
    </row>
    <row r="148">
      <c r="A148" s="23" t="str">
        <f t="shared" si="6"/>
        <v>MO1045</v>
      </c>
      <c r="B148" s="23" t="str">
        <f>'3.3.raw'!M148</f>
        <v>MO1045</v>
      </c>
      <c r="C148" s="24">
        <f>datevalue(left('3.3.raw'!O148,10))</f>
        <v>43664</v>
      </c>
      <c r="D148" s="23">
        <f>'3.3.raw'!I148</f>
        <v>12</v>
      </c>
      <c r="E148" s="23" t="str">
        <f>'3.3.raw'!J148</f>
        <v/>
      </c>
      <c r="F148" s="23" t="str">
        <f>'3.3.raw'!K148</f>
        <v/>
      </c>
      <c r="G148" s="1">
        <v>3.3</v>
      </c>
      <c r="H148" s="23" t="b">
        <f>if(countif(Status!C:C,A148)=1,TRUE, FALSE)</f>
        <v>1</v>
      </c>
    </row>
    <row r="149">
      <c r="A149" s="23" t="str">
        <f t="shared" si="6"/>
        <v>MO1046</v>
      </c>
      <c r="B149" s="23" t="str">
        <f>'3.3.raw'!M149</f>
        <v>MO1046</v>
      </c>
      <c r="C149" s="24">
        <f>datevalue(left('3.3.raw'!O149,10))</f>
        <v>43664</v>
      </c>
      <c r="D149" s="23">
        <f>'3.3.raw'!I149</f>
        <v>12</v>
      </c>
      <c r="E149" s="23" t="str">
        <f>'3.3.raw'!J149</f>
        <v/>
      </c>
      <c r="F149" s="23" t="str">
        <f>'3.3.raw'!K149</f>
        <v/>
      </c>
      <c r="G149" s="1">
        <v>3.3</v>
      </c>
      <c r="H149" s="23" t="b">
        <f>if(countif(Status!C:C,A149)=1,TRUE, FALSE)</f>
        <v>1</v>
      </c>
    </row>
    <row r="150">
      <c r="A150" s="23" t="str">
        <f t="shared" si="6"/>
        <v>PL1009</v>
      </c>
      <c r="B150" s="23" t="str">
        <f>'3.3.raw'!M150</f>
        <v>PL1009</v>
      </c>
      <c r="C150" s="24">
        <f>datevalue(left('3.3.raw'!O150,10))</f>
        <v>43664</v>
      </c>
      <c r="D150" s="23">
        <f>'3.3.raw'!I150</f>
        <v>12</v>
      </c>
      <c r="E150" s="23" t="str">
        <f>'3.3.raw'!J150</f>
        <v/>
      </c>
      <c r="F150" s="23" t="str">
        <f>'3.3.raw'!K150</f>
        <v/>
      </c>
      <c r="G150" s="1">
        <v>3.3</v>
      </c>
      <c r="H150" s="23" t="b">
        <f>if(countif(Status!C:C,A150)=1,TRUE, FALSE)</f>
        <v>1</v>
      </c>
    </row>
    <row r="151">
      <c r="A151" s="23" t="str">
        <f t="shared" si="6"/>
        <v>MO1051</v>
      </c>
      <c r="B151" s="23" t="str">
        <f>'3.3.raw'!M151</f>
        <v>MO1051</v>
      </c>
      <c r="C151" s="24">
        <f>datevalue(left('3.3.raw'!O151,10))</f>
        <v>43664</v>
      </c>
      <c r="D151" s="23">
        <f>'3.3.raw'!I151</f>
        <v>12</v>
      </c>
      <c r="E151" s="23" t="str">
        <f>'3.3.raw'!J151</f>
        <v/>
      </c>
      <c r="F151" s="23" t="str">
        <f>'3.3.raw'!K151</f>
        <v/>
      </c>
      <c r="G151" s="1">
        <v>3.3</v>
      </c>
      <c r="H151" s="23" t="b">
        <f>if(countif(Status!C:C,A151)=1,TRUE, FALSE)</f>
        <v>1</v>
      </c>
    </row>
    <row r="152">
      <c r="A152" s="23" t="str">
        <f t="shared" si="6"/>
        <v>MO1052</v>
      </c>
      <c r="B152" s="23" t="str">
        <f>'3.3.raw'!M152</f>
        <v>MO1052</v>
      </c>
      <c r="C152" s="24">
        <f>datevalue(left('3.3.raw'!O152,10))</f>
        <v>43664</v>
      </c>
      <c r="D152" s="23">
        <f>'3.3.raw'!I152</f>
        <v>12</v>
      </c>
      <c r="E152" s="23" t="str">
        <f>'3.3.raw'!J152</f>
        <v/>
      </c>
      <c r="F152" s="23" t="str">
        <f>'3.3.raw'!K152</f>
        <v/>
      </c>
      <c r="G152" s="1">
        <v>3.3</v>
      </c>
      <c r="H152" s="23" t="b">
        <f>if(countif(Status!C:C,A152)=1,TRUE, FALSE)</f>
        <v>1</v>
      </c>
    </row>
    <row r="153">
      <c r="A153" s="23" t="str">
        <f t="shared" si="6"/>
        <v>MO1053</v>
      </c>
      <c r="B153" s="23" t="str">
        <f>'3.3.raw'!M153</f>
        <v>MO1053</v>
      </c>
      <c r="C153" s="24">
        <f>datevalue(left('3.3.raw'!O153,10))</f>
        <v>43664</v>
      </c>
      <c r="D153" s="23">
        <f>'3.3.raw'!I153</f>
        <v>12</v>
      </c>
      <c r="E153" s="23" t="str">
        <f>'3.3.raw'!J153</f>
        <v/>
      </c>
      <c r="F153" s="23" t="str">
        <f>'3.3.raw'!K153</f>
        <v/>
      </c>
      <c r="G153" s="1">
        <v>3.3</v>
      </c>
      <c r="H153" s="23" t="b">
        <f>if(countif(Status!C:C,A153)=1,TRUE, FALSE)</f>
        <v>1</v>
      </c>
    </row>
    <row r="154">
      <c r="A154" s="23" t="str">
        <f t="shared" si="6"/>
        <v>MO1054</v>
      </c>
      <c r="B154" s="23" t="str">
        <f>'3.3.raw'!M154</f>
        <v>MO1054</v>
      </c>
      <c r="C154" s="24">
        <f>datevalue(left('3.3.raw'!O154,10))</f>
        <v>43664</v>
      </c>
      <c r="D154" s="23">
        <f>'3.3.raw'!I154</f>
        <v>12</v>
      </c>
      <c r="E154" s="23" t="str">
        <f>'3.3.raw'!J154</f>
        <v/>
      </c>
      <c r="F154" s="23" t="str">
        <f>'3.3.raw'!K154</f>
        <v/>
      </c>
      <c r="G154" s="1">
        <v>3.3</v>
      </c>
      <c r="H154" s="23" t="b">
        <f>if(countif(Status!C:C,A154)=1,TRUE, FALSE)</f>
        <v>1</v>
      </c>
    </row>
    <row r="155">
      <c r="A155" s="23" t="str">
        <f t="shared" si="6"/>
        <v>PL1010</v>
      </c>
      <c r="B155" s="23" t="str">
        <f>'3.3.raw'!M155</f>
        <v>PL1010</v>
      </c>
      <c r="C155" s="24">
        <f>datevalue(left('3.3.raw'!O155,10))</f>
        <v>43664</v>
      </c>
      <c r="D155" s="23">
        <f>'3.3.raw'!I155</f>
        <v>11</v>
      </c>
      <c r="E155" s="23" t="str">
        <f>'3.3.raw'!J155</f>
        <v/>
      </c>
      <c r="F155" s="23" t="str">
        <f>'3.3.raw'!K155</f>
        <v/>
      </c>
      <c r="G155" s="1">
        <v>3.3</v>
      </c>
      <c r="H155" s="23" t="b">
        <f>if(countif(Status!C:C,A155)=1,TRUE, FALSE)</f>
        <v>1</v>
      </c>
    </row>
    <row r="156">
      <c r="A156" s="23" t="str">
        <f t="shared" si="6"/>
        <v>PL1011</v>
      </c>
      <c r="B156" s="23" t="str">
        <f>'3.3.raw'!M156</f>
        <v>PL1011</v>
      </c>
      <c r="C156" s="24">
        <f>datevalue(left('3.3.raw'!O156,10))</f>
        <v>43668</v>
      </c>
      <c r="D156" s="23">
        <f>'3.3.raw'!I156</f>
        <v>11</v>
      </c>
      <c r="E156" s="23" t="str">
        <f>'3.3.raw'!J156</f>
        <v/>
      </c>
      <c r="F156" s="23" t="str">
        <f>'3.3.raw'!K156</f>
        <v/>
      </c>
      <c r="G156" s="1">
        <v>3.3</v>
      </c>
      <c r="H156" s="23" t="b">
        <f>if(countif(Status!C:C,A156)=1,TRUE, FALSE)</f>
        <v>1</v>
      </c>
    </row>
    <row r="157">
      <c r="A157" s="23" t="str">
        <f t="shared" si="6"/>
        <v>MO1059</v>
      </c>
      <c r="B157" s="23" t="str">
        <f>'3.3.raw'!M157</f>
        <v>MO1059</v>
      </c>
      <c r="C157" s="24">
        <f>datevalue(left('3.3.raw'!O157,10))</f>
        <v>43668</v>
      </c>
      <c r="D157" s="23">
        <f>'3.3.raw'!I157</f>
        <v>12</v>
      </c>
      <c r="E157" s="23" t="str">
        <f>'3.3.raw'!J157</f>
        <v/>
      </c>
      <c r="F157" s="23" t="str">
        <f>'3.3.raw'!K157</f>
        <v/>
      </c>
      <c r="G157" s="1">
        <v>3.3</v>
      </c>
      <c r="H157" s="23" t="b">
        <f>if(countif(Status!C:C,A157)=1,TRUE, FALSE)</f>
        <v>1</v>
      </c>
    </row>
    <row r="158">
      <c r="A158" s="23" t="str">
        <f t="shared" si="6"/>
        <v>MO1060</v>
      </c>
      <c r="B158" s="23" t="str">
        <f>'3.3.raw'!M158</f>
        <v>MO1060</v>
      </c>
      <c r="C158" s="24">
        <f>datevalue(left('3.3.raw'!O158,10))</f>
        <v>43668</v>
      </c>
      <c r="D158" s="23">
        <f>'3.3.raw'!I158</f>
        <v>12</v>
      </c>
      <c r="E158" s="23" t="str">
        <f>'3.3.raw'!J158</f>
        <v/>
      </c>
      <c r="F158" s="23" t="str">
        <f>'3.3.raw'!K158</f>
        <v/>
      </c>
      <c r="G158" s="1">
        <v>3.3</v>
      </c>
      <c r="H158" s="23" t="b">
        <f>if(countif(Status!C:C,A158)=1,TRUE, FALSE)</f>
        <v>1</v>
      </c>
    </row>
    <row r="159">
      <c r="A159" s="23" t="str">
        <f t="shared" si="6"/>
        <v>MO1061</v>
      </c>
      <c r="B159" s="23" t="str">
        <f>'3.3.raw'!M159</f>
        <v>MO1061</v>
      </c>
      <c r="C159" s="24">
        <f>datevalue(left('3.3.raw'!O159,10))</f>
        <v>43668</v>
      </c>
      <c r="D159" s="23">
        <f>'3.3.raw'!I159</f>
        <v>12</v>
      </c>
      <c r="E159" s="23" t="str">
        <f>'3.3.raw'!J159</f>
        <v/>
      </c>
      <c r="F159" s="23" t="str">
        <f>'3.3.raw'!K159</f>
        <v/>
      </c>
      <c r="G159" s="1">
        <v>3.3</v>
      </c>
      <c r="H159" s="23" t="b">
        <f>if(countif(Status!C:C,A159)=1,TRUE, FALSE)</f>
        <v>1</v>
      </c>
    </row>
    <row r="160">
      <c r="A160" s="23" t="str">
        <f t="shared" si="6"/>
        <v>MO1062</v>
      </c>
      <c r="B160" s="23" t="str">
        <f>'3.3.raw'!M160</f>
        <v>MO1062</v>
      </c>
      <c r="C160" s="24">
        <f>datevalue(left('3.3.raw'!O160,10))</f>
        <v>43668</v>
      </c>
      <c r="D160" s="23">
        <f>'3.3.raw'!I160</f>
        <v>12</v>
      </c>
      <c r="E160" s="23" t="str">
        <f>'3.3.raw'!J160</f>
        <v/>
      </c>
      <c r="F160" s="23" t="str">
        <f>'3.3.raw'!K160</f>
        <v/>
      </c>
      <c r="G160" s="1">
        <v>3.3</v>
      </c>
      <c r="H160" s="23" t="b">
        <f>if(countif(Status!C:C,A160)=1,TRUE, FALSE)</f>
        <v>1</v>
      </c>
    </row>
    <row r="161">
      <c r="A161" s="23" t="str">
        <f t="shared" si="6"/>
        <v>PL1012</v>
      </c>
      <c r="B161" s="23" t="str">
        <f>'3.3.raw'!M161</f>
        <v>PL1012</v>
      </c>
      <c r="C161" s="24">
        <f>datevalue(left('3.3.raw'!O161,10))</f>
        <v>43668</v>
      </c>
      <c r="D161" s="23">
        <f>'3.3.raw'!I161</f>
        <v>11</v>
      </c>
      <c r="E161" s="23" t="str">
        <f>'3.3.raw'!J161</f>
        <v/>
      </c>
      <c r="F161" s="23" t="str">
        <f>'3.3.raw'!K161</f>
        <v/>
      </c>
      <c r="G161" s="1">
        <v>3.3</v>
      </c>
      <c r="H161" s="23" t="b">
        <f>if(countif(Status!C:C,A161)=1,TRUE, FALSE)</f>
        <v>1</v>
      </c>
    </row>
    <row r="162">
      <c r="A162" s="23" t="str">
        <f t="shared" si="6"/>
        <v>MO1063</v>
      </c>
      <c r="B162" s="23" t="str">
        <f>'3.3.raw'!M162</f>
        <v>MO1063</v>
      </c>
      <c r="C162" s="24">
        <f>datevalue(left('3.3.raw'!O162,10))</f>
        <v>43668</v>
      </c>
      <c r="D162" s="23">
        <f>'3.3.raw'!I162</f>
        <v>12</v>
      </c>
      <c r="E162" s="23" t="str">
        <f>'3.3.raw'!J162</f>
        <v/>
      </c>
      <c r="F162" s="23" t="str">
        <f>'3.3.raw'!K162</f>
        <v/>
      </c>
      <c r="G162" s="1">
        <v>3.3</v>
      </c>
      <c r="H162" s="23" t="b">
        <f>if(countif(Status!C:C,A162)=1,TRUE, FALSE)</f>
        <v>1</v>
      </c>
    </row>
    <row r="163">
      <c r="A163" s="23" t="str">
        <f t="shared" si="6"/>
        <v>MO1064</v>
      </c>
      <c r="B163" s="23" t="str">
        <f>'3.3.raw'!M163</f>
        <v>MO1064</v>
      </c>
      <c r="C163" s="24">
        <f>datevalue(left('3.3.raw'!O163,10))</f>
        <v>43668</v>
      </c>
      <c r="D163" s="23">
        <f>'3.3.raw'!I163</f>
        <v>12</v>
      </c>
      <c r="E163" s="23" t="str">
        <f>'3.3.raw'!J163</f>
        <v/>
      </c>
      <c r="F163" s="23" t="str">
        <f>'3.3.raw'!K163</f>
        <v/>
      </c>
      <c r="G163" s="1">
        <v>3.3</v>
      </c>
      <c r="H163" s="23" t="b">
        <f>if(countif(Status!C:C,A163)=1,TRUE, FALSE)</f>
        <v>1</v>
      </c>
    </row>
    <row r="164">
      <c r="A164" s="23" t="str">
        <f t="shared" si="6"/>
        <v>MO1065</v>
      </c>
      <c r="B164" s="23" t="str">
        <f>'3.3.raw'!M164</f>
        <v>MO1065</v>
      </c>
      <c r="C164" s="24">
        <f>datevalue(left('3.3.raw'!O164,10))</f>
        <v>43668</v>
      </c>
      <c r="D164" s="23">
        <f>'3.3.raw'!I164</f>
        <v>12</v>
      </c>
      <c r="E164" s="23" t="str">
        <f>'3.3.raw'!J164</f>
        <v/>
      </c>
      <c r="F164" s="23" t="str">
        <f>'3.3.raw'!K164</f>
        <v/>
      </c>
      <c r="G164" s="1">
        <v>3.3</v>
      </c>
      <c r="H164" s="23" t="b">
        <f>if(countif(Status!C:C,A164)=1,TRUE, FALSE)</f>
        <v>1</v>
      </c>
    </row>
    <row r="165">
      <c r="A165" s="23" t="str">
        <f t="shared" si="6"/>
        <v>MO1066</v>
      </c>
      <c r="B165" s="23" t="str">
        <f>'3.3.raw'!M165</f>
        <v>MO1066</v>
      </c>
      <c r="C165" s="24">
        <f>datevalue(left('3.3.raw'!O165,10))</f>
        <v>43668</v>
      </c>
      <c r="D165" s="23">
        <f>'3.3.raw'!I165</f>
        <v>12</v>
      </c>
      <c r="E165" s="23" t="str">
        <f>'3.3.raw'!J165</f>
        <v/>
      </c>
      <c r="F165" s="23" t="str">
        <f>'3.3.raw'!K165</f>
        <v/>
      </c>
      <c r="G165" s="1">
        <v>3.3</v>
      </c>
      <c r="H165" s="23" t="b">
        <f>if(countif(Status!C:C,A165)=1,TRUE, FALSE)</f>
        <v>1</v>
      </c>
    </row>
    <row r="166">
      <c r="A166" s="23" t="str">
        <f t="shared" si="6"/>
        <v>UPNC1</v>
      </c>
      <c r="B166" s="23" t="str">
        <f>'3.3.raw'!M166</f>
        <v>UPNC1</v>
      </c>
      <c r="C166" s="24">
        <f>datevalue(left('3.3.raw'!O166,10))</f>
        <v>43668</v>
      </c>
      <c r="D166" s="23">
        <f>'3.3.raw'!I166</f>
        <v>98</v>
      </c>
      <c r="E166" s="23" t="str">
        <f>'3.3.raw'!J166</f>
        <v/>
      </c>
      <c r="F166" s="23" t="str">
        <f>'3.3.raw'!K166</f>
        <v/>
      </c>
      <c r="G166" s="1">
        <v>3.3</v>
      </c>
      <c r="H166" s="23" t="b">
        <f>if(countif(Status!C:C,A166)=1,TRUE, FALSE)</f>
        <v>1</v>
      </c>
    </row>
    <row r="167">
      <c r="A167" s="23" t="str">
        <f t="shared" si="6"/>
        <v>UPNC2</v>
      </c>
      <c r="B167" s="23" t="str">
        <f>'3.3.raw'!M167</f>
        <v>UPNC2</v>
      </c>
      <c r="C167" s="24">
        <f>datevalue(left('3.3.raw'!O167,10))</f>
        <v>43668</v>
      </c>
      <c r="D167" s="23">
        <f>'3.3.raw'!I167</f>
        <v>98</v>
      </c>
      <c r="E167" s="23" t="str">
        <f>'3.3.raw'!J167</f>
        <v/>
      </c>
      <c r="F167" s="23" t="str">
        <f>'3.3.raw'!K167</f>
        <v/>
      </c>
      <c r="G167" s="1">
        <v>3.3</v>
      </c>
      <c r="H167" s="23" t="b">
        <f>if(countif(Status!C:C,A167)=1,TRUE, FALSE)</f>
        <v>1</v>
      </c>
    </row>
    <row r="168">
      <c r="A168" s="23" t="str">
        <f t="shared" si="6"/>
        <v>UPNC3</v>
      </c>
      <c r="B168" s="23" t="str">
        <f>'3.3.raw'!M168</f>
        <v>UPNC3</v>
      </c>
      <c r="C168" s="24">
        <f>datevalue(left('3.3.raw'!O168,10))</f>
        <v>43669</v>
      </c>
      <c r="D168" s="23">
        <f>'3.3.raw'!I168</f>
        <v>98</v>
      </c>
      <c r="E168" s="23" t="str">
        <f>'3.3.raw'!J168</f>
        <v/>
      </c>
      <c r="F168" s="23" t="str">
        <f>'3.3.raw'!K168</f>
        <v/>
      </c>
      <c r="G168" s="1">
        <v>3.3</v>
      </c>
      <c r="H168" s="23" t="b">
        <f>if(countif(Status!C:C,A168)=1,TRUE, FALSE)</f>
        <v>1</v>
      </c>
    </row>
    <row r="169">
      <c r="A169" s="23" t="str">
        <f t="shared" si="6"/>
        <v>UPNC4</v>
      </c>
      <c r="B169" s="23" t="str">
        <f>'3.3.raw'!M169</f>
        <v>UPNC4</v>
      </c>
      <c r="C169" s="24">
        <f>datevalue(left('3.3.raw'!O169,10))</f>
        <v>43669</v>
      </c>
      <c r="D169" s="23">
        <f>'3.3.raw'!I169</f>
        <v>98</v>
      </c>
      <c r="E169" s="23" t="str">
        <f>'3.3.raw'!J169</f>
        <v/>
      </c>
      <c r="F169" s="23" t="str">
        <f>'3.3.raw'!K169</f>
        <v/>
      </c>
      <c r="G169" s="1">
        <v>3.3</v>
      </c>
      <c r="H169" s="23" t="b">
        <f>if(countif(Status!C:C,A169)=1,TRUE, FALSE)</f>
        <v>1</v>
      </c>
    </row>
    <row r="170">
      <c r="A170" s="23" t="str">
        <f t="shared" si="6"/>
        <v>UPNC5</v>
      </c>
      <c r="B170" s="23" t="str">
        <f>'3.3.raw'!M170</f>
        <v>UPNC5</v>
      </c>
      <c r="C170" s="24">
        <f>datevalue(left('3.3.raw'!O170,10))</f>
        <v>43669</v>
      </c>
      <c r="D170" s="23">
        <f>'3.3.raw'!I170</f>
        <v>98</v>
      </c>
      <c r="E170" s="23" t="str">
        <f>'3.3.raw'!J170</f>
        <v/>
      </c>
      <c r="F170" s="23" t="str">
        <f>'3.3.raw'!K170</f>
        <v/>
      </c>
      <c r="G170" s="1">
        <v>3.3</v>
      </c>
      <c r="H170" s="23" t="b">
        <f>if(countif(Status!C:C,A170)=1,TRUE, FALSE)</f>
        <v>1</v>
      </c>
    </row>
    <row r="171">
      <c r="A171" s="23" t="str">
        <f t="shared" si="6"/>
        <v>UPNC6</v>
      </c>
      <c r="B171" s="23" t="str">
        <f>'3.3.raw'!M171</f>
        <v>UPNC6</v>
      </c>
      <c r="C171" s="24">
        <f>datevalue(left('3.3.raw'!O171,10))</f>
        <v>43669</v>
      </c>
      <c r="D171" s="23">
        <f>'3.3.raw'!I171</f>
        <v>98</v>
      </c>
      <c r="E171" s="23" t="str">
        <f>'3.3.raw'!J171</f>
        <v/>
      </c>
      <c r="F171" s="23" t="str">
        <f>'3.3.raw'!K171</f>
        <v/>
      </c>
      <c r="G171" s="1">
        <v>3.3</v>
      </c>
      <c r="H171" s="23" t="b">
        <f>if(countif(Status!C:C,A171)=1,TRUE, FALSE)</f>
        <v>1</v>
      </c>
    </row>
    <row r="172">
      <c r="A172" s="23" t="str">
        <f t="shared" si="6"/>
        <v>UPNC7</v>
      </c>
      <c r="B172" s="23" t="str">
        <f>'3.3.raw'!M172</f>
        <v>UPNC7</v>
      </c>
      <c r="C172" s="24">
        <f>datevalue(left('3.3.raw'!O172,10))</f>
        <v>43669</v>
      </c>
      <c r="D172" s="23">
        <f>'3.3.raw'!I172</f>
        <v>98</v>
      </c>
      <c r="E172" s="23" t="str">
        <f>'3.3.raw'!J172</f>
        <v/>
      </c>
      <c r="F172" s="23" t="str">
        <f>'3.3.raw'!K172</f>
        <v/>
      </c>
      <c r="G172" s="1">
        <v>3.3</v>
      </c>
      <c r="H172" s="23" t="b">
        <f>if(countif(Status!C:C,A172)=1,TRUE, FALSE)</f>
        <v>1</v>
      </c>
    </row>
    <row r="173">
      <c r="A173" s="23" t="str">
        <f t="shared" si="6"/>
        <v>UPNC8</v>
      </c>
      <c r="B173" s="23" t="str">
        <f>'3.3.raw'!M173</f>
        <v>UPNC8</v>
      </c>
      <c r="C173" s="24">
        <f>datevalue(left('3.3.raw'!O173,10))</f>
        <v>43669</v>
      </c>
      <c r="D173" s="23">
        <f>'3.3.raw'!I173</f>
        <v>98</v>
      </c>
      <c r="E173" s="23" t="str">
        <f>'3.3.raw'!J173</f>
        <v/>
      </c>
      <c r="F173" s="23" t="str">
        <f>'3.3.raw'!K173</f>
        <v/>
      </c>
      <c r="G173" s="1">
        <v>3.3</v>
      </c>
      <c r="H173" s="23" t="b">
        <f>if(countif(Status!C:C,A173)=1,TRUE, FALSE)</f>
        <v>1</v>
      </c>
    </row>
    <row r="174">
      <c r="A174" s="23" t="str">
        <f t="shared" si="6"/>
        <v>UPNC9</v>
      </c>
      <c r="B174" s="23" t="str">
        <f>'3.3.raw'!M174</f>
        <v>UPNC9</v>
      </c>
      <c r="C174" s="24">
        <f>datevalue(left('3.3.raw'!O174,10))</f>
        <v>43669</v>
      </c>
      <c r="D174" s="23">
        <f>'3.3.raw'!I174</f>
        <v>98</v>
      </c>
      <c r="E174" s="23" t="str">
        <f>'3.3.raw'!J174</f>
        <v/>
      </c>
      <c r="F174" s="23" t="str">
        <f>'3.3.raw'!K174</f>
        <v/>
      </c>
      <c r="G174" s="1">
        <v>3.3</v>
      </c>
      <c r="H174" s="23" t="b">
        <f>if(countif(Status!C:C,A174)=1,TRUE, FALSE)</f>
        <v>1</v>
      </c>
    </row>
    <row r="175">
      <c r="A175" s="23" t="str">
        <f t="shared" si="6"/>
        <v>UPNC10</v>
      </c>
      <c r="B175" s="23" t="str">
        <f>'3.3.raw'!M175</f>
        <v>UPNC10</v>
      </c>
      <c r="C175" s="24">
        <f>datevalue(left('3.3.raw'!O175,10))</f>
        <v>43669</v>
      </c>
      <c r="D175" s="23">
        <f>'3.3.raw'!I175</f>
        <v>98</v>
      </c>
      <c r="E175" s="23" t="str">
        <f>'3.3.raw'!J175</f>
        <v/>
      </c>
      <c r="F175" s="23" t="str">
        <f>'3.3.raw'!K175</f>
        <v/>
      </c>
      <c r="G175" s="1">
        <v>3.3</v>
      </c>
      <c r="H175" s="23" t="b">
        <f>if(countif(Status!C:C,A175)=1,TRUE, FALSE)</f>
        <v>1</v>
      </c>
    </row>
    <row r="176">
      <c r="A176" s="23" t="str">
        <f t="shared" si="6"/>
        <v>FB1002</v>
      </c>
      <c r="B176" s="23" t="str">
        <f>'3.3.raw'!M176</f>
        <v>FB1002</v>
      </c>
      <c r="C176" s="24">
        <f>datevalue(left('3.3.raw'!O176,10))</f>
        <v>43669</v>
      </c>
      <c r="D176" s="23">
        <f>'3.3.raw'!I176</f>
        <v>99</v>
      </c>
      <c r="E176" s="23" t="str">
        <f>'3.3.raw'!J176</f>
        <v/>
      </c>
      <c r="F176" s="23" t="str">
        <f>'3.3.raw'!K176</f>
        <v/>
      </c>
      <c r="G176" s="1">
        <v>3.3</v>
      </c>
      <c r="H176" s="23" t="b">
        <f>if(countif(Status!C:C,A176)=1,TRUE, FALSE)</f>
        <v>1</v>
      </c>
    </row>
    <row r="177">
      <c r="A177" s="23" t="str">
        <f t="shared" si="6"/>
        <v>FB1003</v>
      </c>
      <c r="B177" s="23" t="str">
        <f>'3.3.raw'!M177</f>
        <v>FB1003</v>
      </c>
      <c r="C177" s="24">
        <f>datevalue(left('3.3.raw'!O177,10))</f>
        <v>43669</v>
      </c>
      <c r="D177" s="23">
        <f>'3.3.raw'!I177</f>
        <v>99</v>
      </c>
      <c r="E177" s="23" t="str">
        <f>'3.3.raw'!J177</f>
        <v/>
      </c>
      <c r="F177" s="23" t="str">
        <f>'3.3.raw'!K177</f>
        <v/>
      </c>
      <c r="G177" s="1">
        <v>3.3</v>
      </c>
      <c r="H177" s="23" t="b">
        <f>if(countif(Status!C:C,A177)=1,TRUE, FALSE)</f>
        <v>1</v>
      </c>
    </row>
    <row r="178">
      <c r="A178" s="23" t="str">
        <f t="shared" si="6"/>
        <v>FB1003UP</v>
      </c>
      <c r="B178" s="23" t="str">
        <f>'3.3.raw'!M178</f>
        <v>FB1003UP</v>
      </c>
      <c r="C178" s="24">
        <f>datevalue(left('3.3.raw'!O178,10))</f>
        <v>43662</v>
      </c>
      <c r="D178" s="23">
        <f>'3.3.raw'!I178</f>
        <v>99</v>
      </c>
      <c r="E178" s="23" t="str">
        <f>'3.3.raw'!J178</f>
        <v/>
      </c>
      <c r="F178" s="23" t="str">
        <f>'3.3.raw'!K178</f>
        <v/>
      </c>
      <c r="G178" s="1">
        <v>3.3</v>
      </c>
      <c r="H178" s="23" t="b">
        <f>if(countif(Status!C:C,A178)=1,TRUE, FALSE)</f>
        <v>1</v>
      </c>
    </row>
    <row r="179">
      <c r="A179" s="23" t="str">
        <f t="shared" si="6"/>
        <v>FB1004</v>
      </c>
      <c r="B179" s="23" t="str">
        <f>'3.3.raw'!M179</f>
        <v>FB1004</v>
      </c>
      <c r="C179" s="24">
        <f>datevalue(left('3.3.raw'!O179,10))</f>
        <v>43669</v>
      </c>
      <c r="D179" s="23">
        <f>'3.3.raw'!I179</f>
        <v>99</v>
      </c>
      <c r="E179" s="23" t="str">
        <f>'3.3.raw'!J179</f>
        <v/>
      </c>
      <c r="F179" s="23" t="str">
        <f>'3.3.raw'!K179</f>
        <v/>
      </c>
      <c r="G179" s="1">
        <v>3.3</v>
      </c>
      <c r="H179" s="23" t="b">
        <f>if(countif(Status!C:C,A179)=1,TRUE, FALSE)</f>
        <v>1</v>
      </c>
    </row>
    <row r="180">
      <c r="A180" s="23" t="str">
        <f t="shared" si="6"/>
        <v>FB1005</v>
      </c>
      <c r="B180" s="23" t="str">
        <f>'3.3.raw'!M180</f>
        <v>FB1005</v>
      </c>
      <c r="C180" s="24">
        <f>datevalue(left('3.3.raw'!O180,10))</f>
        <v>43669</v>
      </c>
      <c r="D180" s="23">
        <f>'3.3.raw'!I180</f>
        <v>99</v>
      </c>
      <c r="E180" s="23" t="str">
        <f>'3.3.raw'!J180</f>
        <v/>
      </c>
      <c r="F180" s="23" t="str">
        <f>'3.3.raw'!K180</f>
        <v/>
      </c>
      <c r="G180" s="1">
        <v>3.3</v>
      </c>
      <c r="H180" s="23" t="b">
        <f>if(countif(Status!C:C,A180)=1,TRUE, FALSE)</f>
        <v>1</v>
      </c>
    </row>
    <row r="181">
      <c r="A181" s="23" t="str">
        <f t="shared" si="6"/>
        <v>FB1006</v>
      </c>
      <c r="B181" s="23" t="str">
        <f>'3.3.raw'!M181</f>
        <v>FB1006</v>
      </c>
      <c r="C181" s="24">
        <f>datevalue(left('3.3.raw'!O181,10))</f>
        <v>43669</v>
      </c>
      <c r="D181" s="23">
        <f>'3.3.raw'!I181</f>
        <v>99</v>
      </c>
      <c r="E181" s="23" t="str">
        <f>'3.3.raw'!J181</f>
        <v/>
      </c>
      <c r="F181" s="23" t="str">
        <f>'3.3.raw'!K181</f>
        <v/>
      </c>
      <c r="G181" s="1">
        <v>3.3</v>
      </c>
      <c r="H181" s="23" t="b">
        <f>if(countif(Status!C:C,A181)=1,TRUE, FALSE)</f>
        <v>1</v>
      </c>
    </row>
    <row r="182">
      <c r="A182" s="23" t="str">
        <f t="shared" si="6"/>
        <v>FB1006</v>
      </c>
      <c r="B182" s="23" t="str">
        <f>'3.3.raw'!M182</f>
        <v>FB1006</v>
      </c>
      <c r="C182" s="24">
        <f>datevalue(left('3.3.raw'!O182,10))</f>
        <v>43669</v>
      </c>
      <c r="D182" s="23">
        <f>'3.3.raw'!I182</f>
        <v>99</v>
      </c>
      <c r="E182" s="23" t="str">
        <f>'3.3.raw'!J182</f>
        <v/>
      </c>
      <c r="F182" s="23" t="str">
        <f>'3.3.raw'!K182</f>
        <v/>
      </c>
      <c r="G182" s="1">
        <v>3.3</v>
      </c>
      <c r="H182" s="23" t="b">
        <f>if(countif(Status!C:C,A182)=1,TRUE, FALSE)</f>
        <v>1</v>
      </c>
    </row>
    <row r="183">
      <c r="A183" s="49" t="s">
        <v>860</v>
      </c>
      <c r="B183" s="23" t="str">
        <f>'3.3.raw'!M183</f>
        <v>FB1007</v>
      </c>
      <c r="C183" s="24">
        <f>datevalue(left('3.3.raw'!O183,10))</f>
        <v>43669</v>
      </c>
      <c r="D183" s="23">
        <f>'3.3.raw'!I183</f>
        <v>99</v>
      </c>
      <c r="E183" s="23" t="str">
        <f>'3.3.raw'!J183</f>
        <v/>
      </c>
      <c r="F183" s="23" t="str">
        <f>'3.3.raw'!K183</f>
        <v/>
      </c>
      <c r="G183" s="1">
        <v>3.3</v>
      </c>
      <c r="H183" s="23" t="b">
        <f>if(countif(Status!C:C,A183)=1,TRUE, FALSE)</f>
        <v>1</v>
      </c>
    </row>
    <row r="184">
      <c r="A184" s="23" t="str">
        <f t="shared" ref="A184:A363" si="7">B184</f>
        <v>FB1008</v>
      </c>
      <c r="B184" s="23" t="str">
        <f>'3.3.raw'!M184</f>
        <v>FB1008</v>
      </c>
      <c r="C184" s="24">
        <f>datevalue(left('3.3.raw'!O184,10))</f>
        <v>43669</v>
      </c>
      <c r="D184" s="23">
        <f>'3.3.raw'!I184</f>
        <v>99</v>
      </c>
      <c r="E184" s="23" t="str">
        <f>'3.3.raw'!J184</f>
        <v/>
      </c>
      <c r="F184" s="23" t="str">
        <f>'3.3.raw'!K184</f>
        <v/>
      </c>
      <c r="G184" s="1">
        <v>3.3</v>
      </c>
      <c r="H184" s="23" t="b">
        <f>if(countif(Status!C:C,A184)=1,TRUE, FALSE)</f>
        <v>1</v>
      </c>
    </row>
    <row r="185">
      <c r="A185" s="23" t="str">
        <f t="shared" si="7"/>
        <v>FB1009</v>
      </c>
      <c r="B185" s="23" t="str">
        <f>'3.3.raw'!M185</f>
        <v>FB1009</v>
      </c>
      <c r="C185" s="24">
        <f>datevalue(left('3.3.raw'!O185,10))</f>
        <v>43669</v>
      </c>
      <c r="D185" s="23">
        <f>'3.3.raw'!I185</f>
        <v>99</v>
      </c>
      <c r="E185" s="23" t="str">
        <f>'3.3.raw'!J185</f>
        <v/>
      </c>
      <c r="F185" s="23" t="str">
        <f>'3.3.raw'!K185</f>
        <v/>
      </c>
      <c r="G185" s="1">
        <v>3.3</v>
      </c>
      <c r="H185" s="23" t="b">
        <f>if(countif(Status!C:C,A185)=1,TRUE, FALSE)</f>
        <v>1</v>
      </c>
    </row>
    <row r="186">
      <c r="A186" s="23" t="str">
        <f t="shared" si="7"/>
        <v>PL1013</v>
      </c>
      <c r="B186" s="23" t="str">
        <f>'3.3.raw'!M186</f>
        <v>PL1013</v>
      </c>
      <c r="C186" s="24">
        <f>datevalue(left('3.3.raw'!O186,10))</f>
        <v>43671</v>
      </c>
      <c r="D186" s="23">
        <f>'3.3.raw'!I186</f>
        <v>11</v>
      </c>
      <c r="E186" s="23" t="str">
        <f>'3.3.raw'!J186</f>
        <v/>
      </c>
      <c r="F186" s="23" t="str">
        <f>'3.3.raw'!K186</f>
        <v/>
      </c>
      <c r="G186" s="1">
        <v>3.3</v>
      </c>
      <c r="H186" s="23" t="b">
        <f>if(countif(Status!C:C,A186)=1,TRUE, FALSE)</f>
        <v>1</v>
      </c>
    </row>
    <row r="187">
      <c r="A187" s="23" t="str">
        <f t="shared" si="7"/>
        <v>UPNC11</v>
      </c>
      <c r="B187" s="23" t="str">
        <f>'3.3.raw'!M187</f>
        <v>UPNC11</v>
      </c>
      <c r="C187" s="24">
        <f>datevalue(left('3.3.raw'!O187,10))</f>
        <v>43671</v>
      </c>
      <c r="D187" s="23">
        <f>'3.3.raw'!I187</f>
        <v>98</v>
      </c>
      <c r="E187" s="23" t="str">
        <f>'3.3.raw'!J187</f>
        <v/>
      </c>
      <c r="F187" s="23" t="str">
        <f>'3.3.raw'!K187</f>
        <v/>
      </c>
      <c r="G187" s="1">
        <v>3.3</v>
      </c>
      <c r="H187" s="23" t="b">
        <f>if(countif(Status!C:C,A187)=1,TRUE, FALSE)</f>
        <v>1</v>
      </c>
    </row>
    <row r="188">
      <c r="A188" s="23" t="str">
        <f t="shared" si="7"/>
        <v>MO1067</v>
      </c>
      <c r="B188" s="23" t="str">
        <f>'3.3.raw'!M188</f>
        <v>MO1067</v>
      </c>
      <c r="C188" s="24">
        <f>datevalue(left('3.3.raw'!O188,10))</f>
        <v>43671</v>
      </c>
      <c r="D188" s="23">
        <f>'3.3.raw'!I188</f>
        <v>12</v>
      </c>
      <c r="E188" s="23" t="str">
        <f>'3.3.raw'!J188</f>
        <v/>
      </c>
      <c r="F188" s="23" t="str">
        <f>'3.3.raw'!K188</f>
        <v/>
      </c>
      <c r="G188" s="1">
        <v>3.3</v>
      </c>
      <c r="H188" s="23" t="b">
        <f>if(countif(Status!C:C,A188)=1,TRUE, FALSE)</f>
        <v>1</v>
      </c>
    </row>
    <row r="189">
      <c r="A189" s="23" t="str">
        <f t="shared" si="7"/>
        <v>MO1068</v>
      </c>
      <c r="B189" s="23" t="str">
        <f>'3.3.raw'!M189</f>
        <v>MO1068</v>
      </c>
      <c r="C189" s="24">
        <f>datevalue(left('3.3.raw'!O189,10))</f>
        <v>43671</v>
      </c>
      <c r="D189" s="23">
        <f>'3.3.raw'!I189</f>
        <v>12</v>
      </c>
      <c r="E189" s="23" t="str">
        <f>'3.3.raw'!J189</f>
        <v/>
      </c>
      <c r="F189" s="23" t="str">
        <f>'3.3.raw'!K189</f>
        <v/>
      </c>
      <c r="G189" s="1">
        <v>3.3</v>
      </c>
      <c r="H189" s="23" t="b">
        <f>if(countif(Status!C:C,A189)=1,TRUE, FALSE)</f>
        <v>1</v>
      </c>
    </row>
    <row r="190">
      <c r="A190" s="23" t="str">
        <f t="shared" si="7"/>
        <v>MO1069</v>
      </c>
      <c r="B190" s="23" t="str">
        <f>'3.3.raw'!M190</f>
        <v>MO1069</v>
      </c>
      <c r="C190" s="24">
        <f>datevalue(left('3.3.raw'!O190,10))</f>
        <v>43671</v>
      </c>
      <c r="D190" s="23">
        <f>'3.3.raw'!I190</f>
        <v>12</v>
      </c>
      <c r="E190" s="23" t="str">
        <f>'3.3.raw'!J190</f>
        <v/>
      </c>
      <c r="F190" s="23" t="str">
        <f>'3.3.raw'!K190</f>
        <v/>
      </c>
      <c r="G190" s="1">
        <v>3.3</v>
      </c>
      <c r="H190" s="23" t="b">
        <f>if(countif(Status!C:C,A190)=1,TRUE, FALSE)</f>
        <v>1</v>
      </c>
    </row>
    <row r="191">
      <c r="A191" s="23" t="str">
        <f t="shared" si="7"/>
        <v>MO1070</v>
      </c>
      <c r="B191" s="23" t="str">
        <f>'3.3.raw'!M191</f>
        <v>MO1070</v>
      </c>
      <c r="C191" s="24">
        <f>datevalue(left('3.3.raw'!O191,10))</f>
        <v>43671</v>
      </c>
      <c r="D191" s="23">
        <f>'3.3.raw'!I191</f>
        <v>12</v>
      </c>
      <c r="E191" s="23" t="str">
        <f>'3.3.raw'!J191</f>
        <v/>
      </c>
      <c r="F191" s="23" t="str">
        <f>'3.3.raw'!K191</f>
        <v/>
      </c>
      <c r="G191" s="1">
        <v>3.3</v>
      </c>
      <c r="H191" s="23" t="b">
        <f>if(countif(Status!C:C,A191)=1,TRUE, FALSE)</f>
        <v>1</v>
      </c>
    </row>
    <row r="192">
      <c r="A192" s="23" t="str">
        <f t="shared" si="7"/>
        <v>UPNC12</v>
      </c>
      <c r="B192" s="23" t="str">
        <f>'3.3.raw'!M192</f>
        <v>UPNC12</v>
      </c>
      <c r="C192" s="24">
        <f>datevalue(left('3.3.raw'!O192,10))</f>
        <v>43671</v>
      </c>
      <c r="D192" s="23">
        <f>'3.3.raw'!I192</f>
        <v>98</v>
      </c>
      <c r="E192" s="23" t="str">
        <f>'3.3.raw'!J192</f>
        <v/>
      </c>
      <c r="F192" s="23" t="str">
        <f>'3.3.raw'!K192</f>
        <v/>
      </c>
      <c r="G192" s="1">
        <v>3.3</v>
      </c>
      <c r="H192" s="23" t="b">
        <f>if(countif(Status!C:C,A192)=1,TRUE, FALSE)</f>
        <v>1</v>
      </c>
    </row>
    <row r="193">
      <c r="A193" s="23" t="str">
        <f t="shared" si="7"/>
        <v>FB1010</v>
      </c>
      <c r="B193" s="23" t="str">
        <f>'3.3.raw'!M193</f>
        <v>FB1010</v>
      </c>
      <c r="C193" s="24">
        <f>datevalue(left('3.3.raw'!O193,10))</f>
        <v>43671</v>
      </c>
      <c r="D193" s="23">
        <f>'3.3.raw'!I193</f>
        <v>99</v>
      </c>
      <c r="E193" s="23" t="str">
        <f>'3.3.raw'!J193</f>
        <v/>
      </c>
      <c r="F193" s="23" t="str">
        <f>'3.3.raw'!K193</f>
        <v/>
      </c>
      <c r="G193" s="1">
        <v>3.3</v>
      </c>
      <c r="H193" s="23" t="b">
        <f>if(countif(Status!C:C,A193)=1,TRUE, FALSE)</f>
        <v>1</v>
      </c>
    </row>
    <row r="194">
      <c r="A194" s="23" t="str">
        <f t="shared" si="7"/>
        <v>SL1005</v>
      </c>
      <c r="B194" s="23" t="str">
        <f>'3.3.raw'!M194</f>
        <v>SL1005</v>
      </c>
      <c r="C194" s="24">
        <f>datevalue(left('3.3.raw'!O194,10))</f>
        <v>43671</v>
      </c>
      <c r="D194" s="23">
        <f>'3.3.raw'!I194</f>
        <v>8</v>
      </c>
      <c r="E194" s="23" t="str">
        <f>'3.3.raw'!J194</f>
        <v/>
      </c>
      <c r="F194" s="23" t="str">
        <f>'3.3.raw'!K194</f>
        <v/>
      </c>
      <c r="G194" s="1">
        <v>3.3</v>
      </c>
      <c r="H194" s="23" t="b">
        <f>if(countif(Status!C:C,A194)=1,TRUE, FALSE)</f>
        <v>1</v>
      </c>
    </row>
    <row r="195">
      <c r="A195" s="23" t="str">
        <f t="shared" si="7"/>
        <v>SL1006</v>
      </c>
      <c r="B195" s="23" t="str">
        <f>'3.3.raw'!M195</f>
        <v>SL1006</v>
      </c>
      <c r="C195" s="24">
        <f>datevalue(left('3.3.raw'!O195,10))</f>
        <v>43671</v>
      </c>
      <c r="D195" s="23">
        <f>'3.3.raw'!I195</f>
        <v>8</v>
      </c>
      <c r="E195" s="23" t="str">
        <f>'3.3.raw'!J195</f>
        <v/>
      </c>
      <c r="F195" s="23" t="str">
        <f>'3.3.raw'!K195</f>
        <v/>
      </c>
      <c r="G195" s="1">
        <v>3.3</v>
      </c>
      <c r="H195" s="23" t="b">
        <f>if(countif(Status!C:C,A195)=1,TRUE, FALSE)</f>
        <v>1</v>
      </c>
    </row>
    <row r="196">
      <c r="A196" s="23" t="str">
        <f t="shared" si="7"/>
        <v>SF1009</v>
      </c>
      <c r="B196" s="23" t="str">
        <f>'3.3.raw'!M196</f>
        <v>SF1009</v>
      </c>
      <c r="C196" s="24">
        <f>datevalue(left('3.3.raw'!O196,10))</f>
        <v>43675</v>
      </c>
      <c r="D196" s="23">
        <f>'3.3.raw'!I196</f>
        <v>10</v>
      </c>
      <c r="E196" s="23" t="str">
        <f>'3.3.raw'!J196</f>
        <v/>
      </c>
      <c r="F196" s="23" t="str">
        <f>'3.3.raw'!K196</f>
        <v/>
      </c>
      <c r="G196" s="1">
        <v>3.3</v>
      </c>
      <c r="H196" s="23" t="b">
        <f>if(countif(Status!C:C,A196)=1,TRUE, FALSE)</f>
        <v>1</v>
      </c>
    </row>
    <row r="197">
      <c r="A197" s="23" t="str">
        <f t="shared" si="7"/>
        <v>PL1014</v>
      </c>
      <c r="B197" s="23" t="str">
        <f>'3.3.raw'!M197</f>
        <v>PL1014</v>
      </c>
      <c r="C197" s="24">
        <f>datevalue(left('3.3.raw'!O197,10))</f>
        <v>43675</v>
      </c>
      <c r="D197" s="23">
        <f>'3.3.raw'!I197</f>
        <v>11</v>
      </c>
      <c r="E197" s="23" t="str">
        <f>'3.3.raw'!J197</f>
        <v/>
      </c>
      <c r="F197" s="23" t="str">
        <f>'3.3.raw'!K197</f>
        <v/>
      </c>
      <c r="G197" s="1">
        <v>3.3</v>
      </c>
      <c r="H197" s="23" t="b">
        <f>if(countif(Status!C:C,A197)=1,TRUE, FALSE)</f>
        <v>1</v>
      </c>
    </row>
    <row r="198">
      <c r="A198" s="23" t="str">
        <f t="shared" si="7"/>
        <v>FB1011</v>
      </c>
      <c r="B198" s="23" t="str">
        <f>'3.3.raw'!M198</f>
        <v>FB1011</v>
      </c>
      <c r="C198" s="24">
        <f>datevalue(left('3.3.raw'!O198,10))</f>
        <v>43675</v>
      </c>
      <c r="D198" s="23">
        <f>'3.3.raw'!I198</f>
        <v>99</v>
      </c>
      <c r="E198" s="23" t="str">
        <f>'3.3.raw'!J198</f>
        <v/>
      </c>
      <c r="F198" s="23" t="str">
        <f>'3.3.raw'!K198</f>
        <v/>
      </c>
      <c r="G198" s="1">
        <v>3.3</v>
      </c>
      <c r="H198" s="23" t="b">
        <f>if(countif(Status!C:C,A198)=1,TRUE, FALSE)</f>
        <v>1</v>
      </c>
    </row>
    <row r="199">
      <c r="A199" s="23" t="str">
        <f t="shared" si="7"/>
        <v>SF1010</v>
      </c>
      <c r="B199" s="23" t="str">
        <f>'3.3.raw'!M199</f>
        <v>SF1010</v>
      </c>
      <c r="C199" s="24">
        <f>datevalue(left('3.3.raw'!O199,10))</f>
        <v>43675</v>
      </c>
      <c r="D199" s="23">
        <f>'3.3.raw'!I199</f>
        <v>10</v>
      </c>
      <c r="E199" s="23" t="str">
        <f>'3.3.raw'!J199</f>
        <v/>
      </c>
      <c r="F199" s="23" t="str">
        <f>'3.3.raw'!K199</f>
        <v/>
      </c>
      <c r="G199" s="1">
        <v>3.3</v>
      </c>
      <c r="H199" s="23" t="b">
        <f>if(countif(Status!C:C,A199)=1,TRUE, FALSE)</f>
        <v>1</v>
      </c>
    </row>
    <row r="200">
      <c r="A200" s="23" t="str">
        <f t="shared" si="7"/>
        <v>UPNC13</v>
      </c>
      <c r="B200" s="23" t="str">
        <f>'3.3.raw'!M200</f>
        <v>UPNC13</v>
      </c>
      <c r="C200" s="24">
        <f>datevalue(left('3.3.raw'!O200,10))</f>
        <v>43675</v>
      </c>
      <c r="D200" s="23">
        <f>'3.3.raw'!I200</f>
        <v>98</v>
      </c>
      <c r="E200" s="23" t="str">
        <f>'3.3.raw'!J200</f>
        <v/>
      </c>
      <c r="F200" s="23" t="str">
        <f>'3.3.raw'!K200</f>
        <v/>
      </c>
      <c r="G200" s="1">
        <v>3.3</v>
      </c>
      <c r="H200" s="23" t="b">
        <f>if(countif(Status!C:C,A200)=1,TRUE, FALSE)</f>
        <v>1</v>
      </c>
    </row>
    <row r="201">
      <c r="A201" s="23" t="str">
        <f t="shared" si="7"/>
        <v>MO1071</v>
      </c>
      <c r="B201" s="23" t="str">
        <f>'3.3.raw'!M201</f>
        <v>MO1071</v>
      </c>
      <c r="C201" s="24">
        <f>datevalue(left('3.3.raw'!O201,10))</f>
        <v>43675</v>
      </c>
      <c r="D201" s="23">
        <f>'3.3.raw'!I201</f>
        <v>12</v>
      </c>
      <c r="E201" s="23" t="str">
        <f>'3.3.raw'!J201</f>
        <v/>
      </c>
      <c r="F201" s="23" t="str">
        <f>'3.3.raw'!K201</f>
        <v/>
      </c>
      <c r="G201" s="1">
        <v>3.3</v>
      </c>
      <c r="H201" s="23" t="b">
        <f>if(countif(Status!C:C,A201)=1,TRUE, FALSE)</f>
        <v>1</v>
      </c>
    </row>
    <row r="202">
      <c r="A202" s="23" t="str">
        <f t="shared" si="7"/>
        <v>MO1072</v>
      </c>
      <c r="B202" s="23" t="str">
        <f>'3.3.raw'!M202</f>
        <v>MO1072</v>
      </c>
      <c r="C202" s="24">
        <f>datevalue(left('3.3.raw'!O202,10))</f>
        <v>43675</v>
      </c>
      <c r="D202" s="23">
        <f>'3.3.raw'!I202</f>
        <v>12</v>
      </c>
      <c r="E202" s="23" t="str">
        <f>'3.3.raw'!J202</f>
        <v/>
      </c>
      <c r="F202" s="23" t="str">
        <f>'3.3.raw'!K202</f>
        <v/>
      </c>
      <c r="G202" s="1">
        <v>3.3</v>
      </c>
      <c r="H202" s="23" t="b">
        <f>if(countif(Status!C:C,A202)=1,TRUE, FALSE)</f>
        <v>1</v>
      </c>
    </row>
    <row r="203">
      <c r="A203" s="23" t="str">
        <f t="shared" si="7"/>
        <v>MO1073</v>
      </c>
      <c r="B203" s="23" t="str">
        <f>'3.3.raw'!M203</f>
        <v>MO1073</v>
      </c>
      <c r="C203" s="24">
        <f>datevalue(left('3.3.raw'!O203,10))</f>
        <v>43675</v>
      </c>
      <c r="D203" s="23">
        <f>'3.3.raw'!I203</f>
        <v>12</v>
      </c>
      <c r="E203" s="23" t="str">
        <f>'3.3.raw'!J203</f>
        <v/>
      </c>
      <c r="F203" s="23" t="str">
        <f>'3.3.raw'!K203</f>
        <v/>
      </c>
      <c r="G203" s="1">
        <v>3.3</v>
      </c>
      <c r="H203" s="23" t="b">
        <f>if(countif(Status!C:C,A203)=1,TRUE, FALSE)</f>
        <v>1</v>
      </c>
    </row>
    <row r="204">
      <c r="A204" s="23" t="str">
        <f t="shared" si="7"/>
        <v>MO1074</v>
      </c>
      <c r="B204" s="23" t="str">
        <f>'3.3.raw'!M204</f>
        <v>MO1074</v>
      </c>
      <c r="C204" s="24">
        <f>datevalue(left('3.3.raw'!O204,10))</f>
        <v>43675</v>
      </c>
      <c r="D204" s="23">
        <f>'3.3.raw'!I204</f>
        <v>12</v>
      </c>
      <c r="E204" s="23" t="str">
        <f>'3.3.raw'!J204</f>
        <v/>
      </c>
      <c r="F204" s="23" t="str">
        <f>'3.3.raw'!K204</f>
        <v/>
      </c>
      <c r="G204" s="1">
        <v>3.3</v>
      </c>
      <c r="H204" s="23" t="b">
        <f>if(countif(Status!C:C,A204)=1,TRUE, FALSE)</f>
        <v>1</v>
      </c>
    </row>
    <row r="205">
      <c r="A205" s="23" t="str">
        <f t="shared" si="7"/>
        <v>UPNC14</v>
      </c>
      <c r="B205" s="23" t="str">
        <f>'3.3.raw'!M205</f>
        <v>UPNC14</v>
      </c>
      <c r="C205" s="24">
        <f>datevalue(left('3.3.raw'!O205,10))</f>
        <v>43675</v>
      </c>
      <c r="D205" s="23">
        <f>'3.3.raw'!I205</f>
        <v>98</v>
      </c>
      <c r="E205" s="23" t="str">
        <f>'3.3.raw'!J205</f>
        <v/>
      </c>
      <c r="F205" s="23" t="str">
        <f>'3.3.raw'!K205</f>
        <v/>
      </c>
      <c r="G205" s="1">
        <v>3.3</v>
      </c>
      <c r="H205" s="23" t="b">
        <f>if(countif(Status!C:C,A205)=1,TRUE, FALSE)</f>
        <v>1</v>
      </c>
    </row>
    <row r="206">
      <c r="A206" s="23" t="str">
        <f t="shared" si="7"/>
        <v>RP1007</v>
      </c>
      <c r="B206" s="23" t="str">
        <f>'3.3.raw'!M206</f>
        <v>RP1007</v>
      </c>
      <c r="C206" s="24">
        <f>datevalue(left('3.3.raw'!O206,10))</f>
        <v>43677</v>
      </c>
      <c r="D206" s="23">
        <f>'3.3.raw'!I206</f>
        <v>2</v>
      </c>
      <c r="E206" s="23" t="str">
        <f>'3.3.raw'!J206</f>
        <v/>
      </c>
      <c r="F206" s="23" t="str">
        <f>'3.3.raw'!K206</f>
        <v/>
      </c>
      <c r="G206" s="1">
        <v>3.3</v>
      </c>
      <c r="H206" s="23" t="b">
        <f>if(countif(Status!C:C,A206)=1,TRUE, FALSE)</f>
        <v>1</v>
      </c>
    </row>
    <row r="207">
      <c r="A207" s="23" t="str">
        <f t="shared" si="7"/>
        <v>RP1008</v>
      </c>
      <c r="B207" s="23" t="str">
        <f>'3.3.raw'!M207</f>
        <v>RP1008</v>
      </c>
      <c r="C207" s="24">
        <f>datevalue(left('3.3.raw'!O207,10))</f>
        <v>43677</v>
      </c>
      <c r="D207" s="23">
        <f>'3.3.raw'!I207</f>
        <v>2</v>
      </c>
      <c r="E207" s="23" t="str">
        <f>'3.3.raw'!J207</f>
        <v/>
      </c>
      <c r="F207" s="23" t="str">
        <f>'3.3.raw'!K207</f>
        <v/>
      </c>
      <c r="G207" s="1">
        <v>3.3</v>
      </c>
      <c r="H207" s="23" t="b">
        <f>if(countif(Status!C:C,A207)=1,TRUE, FALSE)</f>
        <v>1</v>
      </c>
    </row>
    <row r="208">
      <c r="A208" s="23" t="str">
        <f t="shared" si="7"/>
        <v>RP1009</v>
      </c>
      <c r="B208" s="23" t="str">
        <f>'3.3.raw'!M208</f>
        <v>RP1009</v>
      </c>
      <c r="C208" s="24">
        <f>datevalue(left('3.3.raw'!O208,10))</f>
        <v>43677</v>
      </c>
      <c r="D208" s="23">
        <f>'3.3.raw'!I208</f>
        <v>2</v>
      </c>
      <c r="E208" s="23" t="str">
        <f>'3.3.raw'!J208</f>
        <v/>
      </c>
      <c r="F208" s="23" t="str">
        <f>'3.3.raw'!K208</f>
        <v/>
      </c>
      <c r="G208" s="1">
        <v>3.3</v>
      </c>
      <c r="H208" s="23" t="b">
        <f>if(countif(Status!C:C,A208)=1,TRUE, FALSE)</f>
        <v>1</v>
      </c>
    </row>
    <row r="209">
      <c r="A209" s="23" t="str">
        <f t="shared" si="7"/>
        <v>PL1015</v>
      </c>
      <c r="B209" s="23" t="str">
        <f>'3.3.raw'!M209</f>
        <v>PL1015</v>
      </c>
      <c r="C209" s="24">
        <f>datevalue(left('3.3.raw'!O209,10))</f>
        <v>43677</v>
      </c>
      <c r="D209" s="23">
        <f>'3.3.raw'!I209</f>
        <v>11</v>
      </c>
      <c r="E209" s="23" t="str">
        <f>'3.3.raw'!J209</f>
        <v/>
      </c>
      <c r="F209" s="23" t="str">
        <f>'3.3.raw'!K209</f>
        <v/>
      </c>
      <c r="G209" s="1">
        <v>3.3</v>
      </c>
      <c r="H209" s="23" t="b">
        <f>if(countif(Status!C:C,A209)=1,TRUE, FALSE)</f>
        <v>1</v>
      </c>
    </row>
    <row r="210">
      <c r="A210" s="23" t="str">
        <f t="shared" si="7"/>
        <v>UPNC15</v>
      </c>
      <c r="B210" s="23" t="str">
        <f>'3.3.raw'!M210</f>
        <v>UPNC15</v>
      </c>
      <c r="C210" s="24">
        <f>datevalue(left('3.3.raw'!O210,10))</f>
        <v>43677</v>
      </c>
      <c r="D210" s="23">
        <f>'3.3.raw'!I210</f>
        <v>98</v>
      </c>
      <c r="E210" s="23" t="str">
        <f>'3.3.raw'!J210</f>
        <v/>
      </c>
      <c r="F210" s="23" t="str">
        <f>'3.3.raw'!K210</f>
        <v/>
      </c>
      <c r="G210" s="1">
        <v>3.3</v>
      </c>
      <c r="H210" s="23" t="b">
        <f>if(countif(Status!C:C,A210)=1,TRUE, FALSE)</f>
        <v>1</v>
      </c>
    </row>
    <row r="211">
      <c r="A211" s="23" t="str">
        <f t="shared" si="7"/>
        <v>FB1012</v>
      </c>
      <c r="B211" s="23" t="str">
        <f>'3.3.raw'!M211</f>
        <v>FB1012</v>
      </c>
      <c r="C211" s="24">
        <f>datevalue(left('3.3.raw'!O211,10))</f>
        <v>43677</v>
      </c>
      <c r="D211" s="23">
        <f>'3.3.raw'!I211</f>
        <v>99</v>
      </c>
      <c r="E211" s="23" t="str">
        <f>'3.3.raw'!J211</f>
        <v/>
      </c>
      <c r="F211" s="23" t="str">
        <f>'3.3.raw'!K211</f>
        <v/>
      </c>
      <c r="G211" s="1">
        <v>3.3</v>
      </c>
      <c r="H211" s="23" t="b">
        <f>if(countif(Status!C:C,A211)=1,TRUE, FALSE)</f>
        <v>1</v>
      </c>
    </row>
    <row r="212">
      <c r="A212" s="23" t="str">
        <f t="shared" si="7"/>
        <v>MO1079</v>
      </c>
      <c r="B212" s="23" t="str">
        <f>'3.3.raw'!M212</f>
        <v>MO1079</v>
      </c>
      <c r="C212" s="24">
        <f>datevalue(left('3.3.raw'!O212,10))</f>
        <v>43683</v>
      </c>
      <c r="D212" s="23">
        <f>'3.3.raw'!I212</f>
        <v>12</v>
      </c>
      <c r="E212" s="23" t="str">
        <f>'3.3.raw'!J212</f>
        <v/>
      </c>
      <c r="F212" s="23" t="str">
        <f>'3.3.raw'!K212</f>
        <v/>
      </c>
      <c r="G212" s="1">
        <v>3.3</v>
      </c>
      <c r="H212" s="23" t="b">
        <f>if(countif(Status!C:C,A212)=1,TRUE, FALSE)</f>
        <v>1</v>
      </c>
    </row>
    <row r="213">
      <c r="A213" s="23" t="str">
        <f t="shared" si="7"/>
        <v>MO1080</v>
      </c>
      <c r="B213" s="23" t="str">
        <f>'3.3.raw'!M213</f>
        <v>MO1080</v>
      </c>
      <c r="C213" s="24">
        <f>datevalue(left('3.3.raw'!O213,10))</f>
        <v>43683</v>
      </c>
      <c r="D213" s="23">
        <f>'3.3.raw'!I213</f>
        <v>12</v>
      </c>
      <c r="E213" s="23" t="str">
        <f>'3.3.raw'!J213</f>
        <v/>
      </c>
      <c r="F213" s="23" t="str">
        <f>'3.3.raw'!K213</f>
        <v/>
      </c>
      <c r="G213" s="1">
        <v>3.3</v>
      </c>
      <c r="H213" s="23" t="b">
        <f>if(countif(Status!C:C,A213)=1,TRUE, FALSE)</f>
        <v>1</v>
      </c>
    </row>
    <row r="214">
      <c r="A214" s="23" t="str">
        <f t="shared" si="7"/>
        <v>MO1081</v>
      </c>
      <c r="B214" s="23" t="str">
        <f>'3.3.raw'!M214</f>
        <v>MO1081</v>
      </c>
      <c r="C214" s="24">
        <f>datevalue(left('3.3.raw'!O214,10))</f>
        <v>43683</v>
      </c>
      <c r="D214" s="23">
        <f>'3.3.raw'!I214</f>
        <v>12</v>
      </c>
      <c r="E214" s="23" t="str">
        <f>'3.3.raw'!J214</f>
        <v/>
      </c>
      <c r="F214" s="23" t="str">
        <f>'3.3.raw'!K214</f>
        <v/>
      </c>
      <c r="G214" s="1">
        <v>3.3</v>
      </c>
      <c r="H214" s="23" t="b">
        <f>if(countif(Status!C:C,A214)=1,TRUE, FALSE)</f>
        <v>1</v>
      </c>
    </row>
    <row r="215">
      <c r="A215" s="23" t="str">
        <f t="shared" si="7"/>
        <v>MO1082</v>
      </c>
      <c r="B215" s="23" t="str">
        <f>'3.3.raw'!M215</f>
        <v>MO1082</v>
      </c>
      <c r="C215" s="24">
        <f>datevalue(left('3.3.raw'!O215,10))</f>
        <v>43683</v>
      </c>
      <c r="D215" s="23">
        <f>'3.3.raw'!I215</f>
        <v>12</v>
      </c>
      <c r="E215" s="23" t="str">
        <f>'3.3.raw'!J215</f>
        <v/>
      </c>
      <c r="F215" s="23" t="str">
        <f>'3.3.raw'!K215</f>
        <v/>
      </c>
      <c r="G215" s="1">
        <v>3.3</v>
      </c>
      <c r="H215" s="23" t="b">
        <f>if(countif(Status!C:C,A215)=1,TRUE, FALSE)</f>
        <v>1</v>
      </c>
    </row>
    <row r="216">
      <c r="A216" s="23" t="str">
        <f t="shared" si="7"/>
        <v>UPNC18</v>
      </c>
      <c r="B216" s="23" t="str">
        <f>'3.3.raw'!M216</f>
        <v>UPNC18</v>
      </c>
      <c r="C216" s="24">
        <f>datevalue(left('3.3.raw'!O216,10))</f>
        <v>43683</v>
      </c>
      <c r="D216" s="23">
        <f>'3.3.raw'!I216</f>
        <v>98</v>
      </c>
      <c r="E216" s="23" t="str">
        <f>'3.3.raw'!J216</f>
        <v/>
      </c>
      <c r="F216" s="23" t="str">
        <f>'3.3.raw'!K216</f>
        <v/>
      </c>
      <c r="G216" s="1">
        <v>3.3</v>
      </c>
      <c r="H216" s="23" t="b">
        <f>if(countif(Status!C:C,A216)=1,TRUE, FALSE)</f>
        <v>1</v>
      </c>
    </row>
    <row r="217">
      <c r="A217" s="23" t="str">
        <f t="shared" si="7"/>
        <v>SL1009</v>
      </c>
      <c r="B217" s="23" t="str">
        <f>'3.3.raw'!M217</f>
        <v>SL1009</v>
      </c>
      <c r="C217" s="24">
        <f>datevalue(left('3.3.raw'!O217,10))</f>
        <v>43683</v>
      </c>
      <c r="D217" s="23">
        <f>'3.3.raw'!I217</f>
        <v>8</v>
      </c>
      <c r="E217" s="23" t="str">
        <f>'3.3.raw'!J217</f>
        <v/>
      </c>
      <c r="F217" s="23" t="str">
        <f>'3.3.raw'!K217</f>
        <v/>
      </c>
      <c r="G217" s="1">
        <v>3.3</v>
      </c>
      <c r="H217" s="23" t="b">
        <f>if(countif(Status!C:C,A217)=1,TRUE, FALSE)</f>
        <v>1</v>
      </c>
    </row>
    <row r="218">
      <c r="A218" s="23" t="str">
        <f t="shared" si="7"/>
        <v>PL1017</v>
      </c>
      <c r="B218" s="23" t="str">
        <f>'3.3.raw'!M218</f>
        <v>PL1017</v>
      </c>
      <c r="C218" s="24">
        <f>datevalue(left('3.3.raw'!O218,10))</f>
        <v>43683</v>
      </c>
      <c r="D218" s="23">
        <f>'3.3.raw'!I218</f>
        <v>11</v>
      </c>
      <c r="E218" s="23" t="str">
        <f>'3.3.raw'!J218</f>
        <v/>
      </c>
      <c r="F218" s="23" t="str">
        <f>'3.3.raw'!K218</f>
        <v/>
      </c>
      <c r="G218" s="1">
        <v>3.30000000000002</v>
      </c>
      <c r="H218" s="23" t="b">
        <f>if(countif(Status!C:C,A218)=1,TRUE, FALSE)</f>
        <v>1</v>
      </c>
    </row>
    <row r="219">
      <c r="A219" s="23" t="str">
        <f t="shared" si="7"/>
        <v>UPNC19</v>
      </c>
      <c r="B219" s="23" t="str">
        <f>'3.3.raw'!M219</f>
        <v>UPNC19</v>
      </c>
      <c r="C219" s="24">
        <f>datevalue(left('3.3.raw'!O219,10))</f>
        <v>43683</v>
      </c>
      <c r="D219" s="23">
        <f>'3.3.raw'!I219</f>
        <v>98</v>
      </c>
      <c r="E219" s="23" t="str">
        <f>'3.3.raw'!J219</f>
        <v/>
      </c>
      <c r="F219" s="23" t="str">
        <f>'3.3.raw'!K219</f>
        <v/>
      </c>
      <c r="G219" s="1">
        <v>3.30000000000002</v>
      </c>
      <c r="H219" s="23" t="b">
        <f>if(countif(Status!C:C,A219)=1,TRUE, FALSE)</f>
        <v>1</v>
      </c>
    </row>
    <row r="220">
      <c r="A220" s="23" t="str">
        <f t="shared" si="7"/>
        <v>FB1017</v>
      </c>
      <c r="B220" s="23" t="str">
        <f>'3.3.raw'!M220</f>
        <v>FB1017</v>
      </c>
      <c r="C220" s="24">
        <f>datevalue(left('3.3.raw'!O220,10))</f>
        <v>43683</v>
      </c>
      <c r="D220" s="23">
        <f>'3.3.raw'!I220</f>
        <v>99</v>
      </c>
      <c r="E220" s="23" t="str">
        <f>'3.3.raw'!J220</f>
        <v/>
      </c>
      <c r="F220" s="23" t="str">
        <f>'3.3.raw'!K220</f>
        <v/>
      </c>
      <c r="G220" s="1">
        <v>3.30000000000002</v>
      </c>
      <c r="H220" s="23" t="b">
        <f>if(countif(Status!C:C,A220)=1,TRUE, FALSE)</f>
        <v>1</v>
      </c>
    </row>
    <row r="221">
      <c r="A221" s="23" t="str">
        <f t="shared" si="7"/>
        <v>MO1083</v>
      </c>
      <c r="B221" s="23" t="str">
        <f>'3.3.raw'!M221</f>
        <v>MO1083</v>
      </c>
      <c r="C221" s="24">
        <f>datevalue(left('3.3.raw'!O221,10))</f>
        <v>43685</v>
      </c>
      <c r="D221" s="23">
        <f>'3.3.raw'!I221</f>
        <v>12</v>
      </c>
      <c r="E221" s="23" t="str">
        <f>'3.3.raw'!J221</f>
        <v/>
      </c>
      <c r="F221" s="23" t="str">
        <f>'3.3.raw'!K221</f>
        <v/>
      </c>
      <c r="G221" s="1">
        <v>3.30000000000002</v>
      </c>
      <c r="H221" s="23" t="b">
        <f>if(countif(Status!C:C,A221)=1,TRUE, FALSE)</f>
        <v>1</v>
      </c>
    </row>
    <row r="222">
      <c r="A222" s="23" t="str">
        <f t="shared" si="7"/>
        <v>MO1084</v>
      </c>
      <c r="B222" s="23" t="str">
        <f>'3.3.raw'!M222</f>
        <v>MO1084</v>
      </c>
      <c r="C222" s="24">
        <f>datevalue(left('3.3.raw'!O222,10))</f>
        <v>43685</v>
      </c>
      <c r="D222" s="23">
        <f>'3.3.raw'!I222</f>
        <v>12</v>
      </c>
      <c r="E222" s="23" t="str">
        <f>'3.3.raw'!J222</f>
        <v/>
      </c>
      <c r="F222" s="23" t="str">
        <f>'3.3.raw'!K222</f>
        <v/>
      </c>
      <c r="G222" s="1">
        <v>3.30000000000002</v>
      </c>
      <c r="H222" s="23" t="b">
        <f>if(countif(Status!C:C,A222)=1,TRUE, FALSE)</f>
        <v>1</v>
      </c>
    </row>
    <row r="223">
      <c r="A223" s="23" t="str">
        <f t="shared" si="7"/>
        <v>MO1085</v>
      </c>
      <c r="B223" s="23" t="str">
        <f>'3.3.raw'!M223</f>
        <v>MO1085</v>
      </c>
      <c r="C223" s="24">
        <f>datevalue(left('3.3.raw'!O223,10))</f>
        <v>43685</v>
      </c>
      <c r="D223" s="23">
        <f>'3.3.raw'!I223</f>
        <v>12</v>
      </c>
      <c r="E223" s="23" t="str">
        <f>'3.3.raw'!J223</f>
        <v/>
      </c>
      <c r="F223" s="23" t="str">
        <f>'3.3.raw'!K223</f>
        <v/>
      </c>
      <c r="G223" s="1">
        <v>3.30000000000002</v>
      </c>
      <c r="H223" s="23" t="b">
        <f>if(countif(Status!C:C,A223)=1,TRUE, FALSE)</f>
        <v>1</v>
      </c>
    </row>
    <row r="224">
      <c r="A224" s="23" t="str">
        <f t="shared" si="7"/>
        <v>MO1086</v>
      </c>
      <c r="B224" s="23" t="str">
        <f>'3.3.raw'!M224</f>
        <v>MO1086</v>
      </c>
      <c r="C224" s="24">
        <f>datevalue(left('3.3.raw'!O224,10))</f>
        <v>43685</v>
      </c>
      <c r="D224" s="23">
        <f>'3.3.raw'!I224</f>
        <v>12</v>
      </c>
      <c r="E224" s="23" t="str">
        <f>'3.3.raw'!J224</f>
        <v/>
      </c>
      <c r="F224" s="23" t="str">
        <f>'3.3.raw'!K224</f>
        <v/>
      </c>
      <c r="G224" s="1">
        <v>3.30000000000002</v>
      </c>
      <c r="H224" s="23" t="b">
        <f>if(countif(Status!C:C,A224)=1,TRUE, FALSE)</f>
        <v>1</v>
      </c>
    </row>
    <row r="225">
      <c r="A225" s="23" t="str">
        <f t="shared" si="7"/>
        <v>UPNC20</v>
      </c>
      <c r="B225" s="23" t="str">
        <f>'3.3.raw'!M225</f>
        <v>UPNC20</v>
      </c>
      <c r="C225" s="24">
        <f>datevalue(left('3.3.raw'!O225,10))</f>
        <v>43685</v>
      </c>
      <c r="D225" s="23">
        <f>'3.3.raw'!I225</f>
        <v>98</v>
      </c>
      <c r="E225" s="23" t="str">
        <f>'3.3.raw'!J225</f>
        <v/>
      </c>
      <c r="F225" s="23" t="str">
        <f>'3.3.raw'!K225</f>
        <v/>
      </c>
      <c r="G225" s="1">
        <v>3.30000000000002</v>
      </c>
      <c r="H225" s="23" t="b">
        <f>if(countif(Status!C:C,A225)=1,TRUE, FALSE)</f>
        <v>1</v>
      </c>
    </row>
    <row r="226">
      <c r="A226" s="23" t="str">
        <f t="shared" si="7"/>
        <v>FB1019</v>
      </c>
      <c r="B226" s="23" t="str">
        <f>'3.3.raw'!M226</f>
        <v>FB1019</v>
      </c>
      <c r="C226" s="24">
        <f>datevalue(left('3.3.raw'!O226,10))</f>
        <v>43685</v>
      </c>
      <c r="D226" s="23">
        <f>'3.3.raw'!I226</f>
        <v>99</v>
      </c>
      <c r="E226" s="23" t="str">
        <f>'3.3.raw'!J226</f>
        <v/>
      </c>
      <c r="F226" s="23" t="str">
        <f>'3.3.raw'!K226</f>
        <v/>
      </c>
      <c r="G226" s="1">
        <v>3.30000000000002</v>
      </c>
      <c r="H226" s="23" t="b">
        <f>if(countif(Status!C:C,A226)=1,TRUE, FALSE)</f>
        <v>1</v>
      </c>
    </row>
    <row r="227">
      <c r="A227" s="23" t="str">
        <f t="shared" si="7"/>
        <v>FW1001</v>
      </c>
      <c r="B227" s="23" t="str">
        <f>'3.3.raw'!M227</f>
        <v>FW1001</v>
      </c>
      <c r="C227" s="24">
        <f>datevalue(left('3.3.raw'!O227,10))</f>
        <v>43685</v>
      </c>
      <c r="D227" s="23">
        <f>'3.3.raw'!I227</f>
        <v>6</v>
      </c>
      <c r="E227" s="23" t="str">
        <f>'3.3.raw'!J227</f>
        <v/>
      </c>
      <c r="F227" s="23" t="str">
        <f>'3.3.raw'!K227</f>
        <v/>
      </c>
      <c r="G227" s="1">
        <v>3.30000000000002</v>
      </c>
      <c r="H227" s="23" t="b">
        <f>if(countif(Status!C:C,A227)=1,TRUE, FALSE)</f>
        <v>1</v>
      </c>
    </row>
    <row r="228">
      <c r="A228" s="23" t="str">
        <f t="shared" si="7"/>
        <v>OD1004</v>
      </c>
      <c r="B228" s="23" t="str">
        <f>'3.3.raw'!M228</f>
        <v>OD1004</v>
      </c>
      <c r="C228" s="24">
        <f>datevalue(left('3.3.raw'!O228,10))</f>
        <v>43685</v>
      </c>
      <c r="D228" s="23">
        <f>'3.3.raw'!I228</f>
        <v>1</v>
      </c>
      <c r="E228" s="23" t="str">
        <f>'3.3.raw'!J228</f>
        <v/>
      </c>
      <c r="F228" s="23" t="str">
        <f>'3.3.raw'!K228</f>
        <v/>
      </c>
      <c r="G228" s="1">
        <v>3.30000000000002</v>
      </c>
      <c r="H228" s="23" t="b">
        <f>if(countif(Status!C:C,A228)=1,TRUE, FALSE)</f>
        <v>1</v>
      </c>
    </row>
    <row r="229">
      <c r="A229" s="23" t="str">
        <f t="shared" si="7"/>
        <v>OD1005</v>
      </c>
      <c r="B229" s="23" t="str">
        <f>'3.3.raw'!M229</f>
        <v>OD1005</v>
      </c>
      <c r="C229" s="24">
        <f>datevalue(left('3.3.raw'!O229,10))</f>
        <v>43685</v>
      </c>
      <c r="D229" s="23">
        <f>'3.3.raw'!I229</f>
        <v>1</v>
      </c>
      <c r="E229" s="23" t="str">
        <f>'3.3.raw'!J229</f>
        <v/>
      </c>
      <c r="F229" s="23" t="str">
        <f>'3.3.raw'!K229</f>
        <v/>
      </c>
      <c r="G229" s="1">
        <v>3.30000000000002</v>
      </c>
      <c r="H229" s="23" t="b">
        <f>if(countif(Status!C:C,A229)=1,TRUE, FALSE)</f>
        <v>1</v>
      </c>
    </row>
    <row r="230">
      <c r="A230" s="23" t="str">
        <f t="shared" si="7"/>
        <v>FB1020</v>
      </c>
      <c r="B230" s="23" t="str">
        <f>'3.3.raw'!M230</f>
        <v>FB1020</v>
      </c>
      <c r="C230" s="24">
        <f>datevalue(left('3.3.raw'!O230,10))</f>
        <v>43685</v>
      </c>
      <c r="D230" s="23">
        <f>'3.3.raw'!I230</f>
        <v>99</v>
      </c>
      <c r="E230" s="23" t="str">
        <f>'3.3.raw'!J230</f>
        <v/>
      </c>
      <c r="F230" s="23" t="str">
        <f>'3.3.raw'!K230</f>
        <v/>
      </c>
      <c r="G230" s="1">
        <v>3.30000000000002</v>
      </c>
      <c r="H230" s="23" t="b">
        <f>if(countif(Status!C:C,A230)=1,TRUE, FALSE)</f>
        <v>1</v>
      </c>
    </row>
    <row r="231">
      <c r="A231" s="23" t="str">
        <f t="shared" si="7"/>
        <v>PL1018</v>
      </c>
      <c r="B231" s="23" t="str">
        <f>'3.3.raw'!M231</f>
        <v>PL1018</v>
      </c>
      <c r="C231" s="24">
        <f>datevalue(left('3.3.raw'!O231,10))</f>
        <v>43686</v>
      </c>
      <c r="D231" s="23">
        <f>'3.3.raw'!I231</f>
        <v>11</v>
      </c>
      <c r="E231" s="23" t="str">
        <f>'3.3.raw'!J231</f>
        <v/>
      </c>
      <c r="F231" s="23" t="str">
        <f>'3.3.raw'!K231</f>
        <v/>
      </c>
      <c r="G231" s="1">
        <v>3.30000000000002</v>
      </c>
      <c r="H231" s="23" t="b">
        <f>if(countif(Status!C:C,A231)=1,TRUE, FALSE)</f>
        <v>1</v>
      </c>
    </row>
    <row r="232">
      <c r="A232" s="23" t="str">
        <f t="shared" si="7"/>
        <v>UPNC21</v>
      </c>
      <c r="B232" s="23" t="str">
        <f>'3.3.raw'!M232</f>
        <v>UPNC21</v>
      </c>
      <c r="C232" s="24">
        <f>datevalue(left('3.3.raw'!O232,10))</f>
        <v>43686</v>
      </c>
      <c r="D232" s="23">
        <f>'3.3.raw'!I232</f>
        <v>98</v>
      </c>
      <c r="E232" s="23" t="str">
        <f>'3.3.raw'!J232</f>
        <v/>
      </c>
      <c r="F232" s="23" t="str">
        <f>'3.3.raw'!K232</f>
        <v/>
      </c>
      <c r="G232" s="1">
        <v>3.30000000000002</v>
      </c>
      <c r="H232" s="23" t="b">
        <f>if(countif(Status!C:C,A232)=1,TRUE, FALSE)</f>
        <v>1</v>
      </c>
    </row>
    <row r="233">
      <c r="A233" s="23" t="str">
        <f t="shared" si="7"/>
        <v>FB1021</v>
      </c>
      <c r="B233" s="23" t="str">
        <f>'3.3.raw'!M233</f>
        <v>FB1021</v>
      </c>
      <c r="C233" s="24">
        <f>datevalue(left('3.3.raw'!O233,10))</f>
        <v>43686</v>
      </c>
      <c r="D233" s="23">
        <f>'3.3.raw'!I233</f>
        <v>99</v>
      </c>
      <c r="E233" s="23" t="str">
        <f>'3.3.raw'!J233</f>
        <v/>
      </c>
      <c r="F233" s="23" t="str">
        <f>'3.3.raw'!K233</f>
        <v/>
      </c>
      <c r="G233" s="1">
        <v>3.30000000000002</v>
      </c>
      <c r="H233" s="23" t="b">
        <f>if(countif(Status!C:C,A233)=1,TRUE, FALSE)</f>
        <v>1</v>
      </c>
    </row>
    <row r="234">
      <c r="A234" s="23" t="str">
        <f t="shared" si="7"/>
        <v>Coa9901</v>
      </c>
      <c r="B234" s="23" t="str">
        <f>'3.3.raw'!M234</f>
        <v>Coa9901</v>
      </c>
      <c r="C234" s="24">
        <f>datevalue(left('3.3.raw'!O234,10))</f>
        <v>43686</v>
      </c>
      <c r="D234" s="23">
        <f>'3.3.raw'!I234</f>
        <v>15</v>
      </c>
      <c r="E234" s="23" t="str">
        <f>'3.3.raw'!J234</f>
        <v/>
      </c>
      <c r="F234" s="23">
        <f>'3.3.raw'!K234</f>
        <v>151</v>
      </c>
      <c r="G234" s="1">
        <v>3.30000000000002</v>
      </c>
      <c r="H234" s="23" t="b">
        <f>if(countif(Status!C:C,A234)=1,TRUE, FALSE)</f>
        <v>0</v>
      </c>
    </row>
    <row r="235">
      <c r="A235" s="23" t="str">
        <f t="shared" si="7"/>
        <v>Cob9901</v>
      </c>
      <c r="B235" s="23" t="str">
        <f>'3.3.raw'!M235</f>
        <v>Cob9901</v>
      </c>
      <c r="C235" s="24">
        <f>datevalue(left('3.3.raw'!O235,10))</f>
        <v>43686</v>
      </c>
      <c r="D235" s="23">
        <f>'3.3.raw'!I235</f>
        <v>15</v>
      </c>
      <c r="E235" s="23" t="str">
        <f>'3.3.raw'!J235</f>
        <v/>
      </c>
      <c r="F235" s="23">
        <f>'3.3.raw'!K235</f>
        <v>151</v>
      </c>
      <c r="G235" s="1">
        <v>3.30000000000002</v>
      </c>
      <c r="H235" s="23" t="b">
        <f>if(countif(Status!C:C,A235)=1,TRUE, FALSE)</f>
        <v>0</v>
      </c>
    </row>
    <row r="236">
      <c r="A236" s="23" t="str">
        <f t="shared" si="7"/>
        <v>Coa9901</v>
      </c>
      <c r="B236" s="23" t="str">
        <f>'3.3.raw'!M236</f>
        <v>Coa9901</v>
      </c>
      <c r="C236" s="24">
        <f>datevalue(left('3.3.raw'!O236,10))</f>
        <v>43686</v>
      </c>
      <c r="D236" s="23">
        <f>'3.3.raw'!I236</f>
        <v>15</v>
      </c>
      <c r="E236" s="23" t="str">
        <f>'3.3.raw'!J236</f>
        <v/>
      </c>
      <c r="F236" s="23">
        <f>'3.3.raw'!K236</f>
        <v>151</v>
      </c>
      <c r="G236" s="1">
        <v>3.30000000000002</v>
      </c>
      <c r="H236" s="23" t="b">
        <f>if(countif(Status!C:C,A236)=1,TRUE, FALSE)</f>
        <v>0</v>
      </c>
    </row>
    <row r="237">
      <c r="A237" s="23" t="str">
        <f t="shared" si="7"/>
        <v>Cob9901</v>
      </c>
      <c r="B237" s="23" t="str">
        <f>'3.3.raw'!M237</f>
        <v>Cob9901</v>
      </c>
      <c r="C237" s="24">
        <f>datevalue(left('3.3.raw'!O237,10))</f>
        <v>43686</v>
      </c>
      <c r="D237" s="23">
        <f>'3.3.raw'!I237</f>
        <v>15</v>
      </c>
      <c r="E237" s="23" t="str">
        <f>'3.3.raw'!J237</f>
        <v/>
      </c>
      <c r="F237" s="23">
        <f>'3.3.raw'!K237</f>
        <v>152</v>
      </c>
      <c r="G237" s="1">
        <v>3.30000000000002</v>
      </c>
      <c r="H237" s="23" t="b">
        <f>if(countif(Status!C:C,A237)=1,TRUE, FALSE)</f>
        <v>0</v>
      </c>
    </row>
    <row r="238">
      <c r="A238" s="23" t="str">
        <f t="shared" si="7"/>
        <v>MO1087</v>
      </c>
      <c r="B238" s="23" t="str">
        <f>'3.3.raw'!M238</f>
        <v>MO1087</v>
      </c>
      <c r="C238" s="24">
        <f>datevalue(left('3.3.raw'!O238,10))</f>
        <v>43690</v>
      </c>
      <c r="D238" s="23">
        <f>'3.3.raw'!I238</f>
        <v>12</v>
      </c>
      <c r="E238" s="23" t="str">
        <f>'3.3.raw'!J238</f>
        <v/>
      </c>
      <c r="F238" s="23" t="str">
        <f>'3.3.raw'!K238</f>
        <v/>
      </c>
      <c r="G238" s="1">
        <v>3.30000000000002</v>
      </c>
      <c r="H238" s="23" t="b">
        <f>if(countif(Status!C:C,A238)=1,TRUE, FALSE)</f>
        <v>1</v>
      </c>
    </row>
    <row r="239">
      <c r="A239" s="23" t="str">
        <f t="shared" si="7"/>
        <v>MO1088</v>
      </c>
      <c r="B239" s="23" t="str">
        <f>'3.3.raw'!M239</f>
        <v>MO1088</v>
      </c>
      <c r="C239" s="24">
        <f>datevalue(left('3.3.raw'!O239,10))</f>
        <v>43690</v>
      </c>
      <c r="D239" s="23">
        <f>'3.3.raw'!I239</f>
        <v>12</v>
      </c>
      <c r="E239" s="23" t="str">
        <f>'3.3.raw'!J239</f>
        <v/>
      </c>
      <c r="F239" s="23" t="str">
        <f>'3.3.raw'!K239</f>
        <v/>
      </c>
      <c r="G239" s="1">
        <v>3.30000000000002</v>
      </c>
      <c r="H239" s="23" t="b">
        <f>if(countif(Status!C:C,A239)=1,TRUE, FALSE)</f>
        <v>1</v>
      </c>
    </row>
    <row r="240">
      <c r="A240" s="23" t="str">
        <f t="shared" si="7"/>
        <v>MO1089</v>
      </c>
      <c r="B240" s="23" t="str">
        <f>'3.3.raw'!M240</f>
        <v>MO1089</v>
      </c>
      <c r="C240" s="24">
        <f>datevalue(left('3.3.raw'!O240,10))</f>
        <v>43690</v>
      </c>
      <c r="D240" s="23">
        <f>'3.3.raw'!I240</f>
        <v>12</v>
      </c>
      <c r="E240" s="23" t="str">
        <f>'3.3.raw'!J240</f>
        <v/>
      </c>
      <c r="F240" s="23" t="str">
        <f>'3.3.raw'!K240</f>
        <v/>
      </c>
      <c r="G240" s="1">
        <v>3.30000000000002</v>
      </c>
      <c r="H240" s="23" t="b">
        <f>if(countif(Status!C:C,A240)=1,TRUE, FALSE)</f>
        <v>1</v>
      </c>
    </row>
    <row r="241">
      <c r="A241" s="23" t="str">
        <f t="shared" si="7"/>
        <v>MO1090</v>
      </c>
      <c r="B241" s="23" t="str">
        <f>'3.3.raw'!M241</f>
        <v>MO1090</v>
      </c>
      <c r="C241" s="24">
        <f>datevalue(left('3.3.raw'!O241,10))</f>
        <v>43690</v>
      </c>
      <c r="D241" s="23">
        <f>'3.3.raw'!I241</f>
        <v>12</v>
      </c>
      <c r="E241" s="23" t="str">
        <f>'3.3.raw'!J241</f>
        <v/>
      </c>
      <c r="F241" s="23" t="str">
        <f>'3.3.raw'!K241</f>
        <v/>
      </c>
      <c r="G241" s="1">
        <v>3.30000000000002</v>
      </c>
      <c r="H241" s="23" t="b">
        <f>if(countif(Status!C:C,A241)=1,TRUE, FALSE)</f>
        <v>1</v>
      </c>
    </row>
    <row r="242">
      <c r="A242" s="23" t="str">
        <f t="shared" si="7"/>
        <v>FB1023</v>
      </c>
      <c r="B242" s="23" t="str">
        <f>'3.3.raw'!M242</f>
        <v>FB1023</v>
      </c>
      <c r="C242" s="24">
        <f>datevalue(left('3.3.raw'!O242,10))</f>
        <v>43690</v>
      </c>
      <c r="D242" s="23">
        <f>'3.3.raw'!I242</f>
        <v>99</v>
      </c>
      <c r="E242" s="23" t="str">
        <f>'3.3.raw'!J242</f>
        <v/>
      </c>
      <c r="F242" s="23" t="str">
        <f>'3.3.raw'!K242</f>
        <v/>
      </c>
      <c r="G242" s="1">
        <v>3.30000000000002</v>
      </c>
      <c r="H242" s="23" t="b">
        <f>if(countif(Status!C:C,A242)=1,TRUE, FALSE)</f>
        <v>1</v>
      </c>
    </row>
    <row r="243">
      <c r="A243" s="23" t="str">
        <f t="shared" si="7"/>
        <v>FW1003</v>
      </c>
      <c r="B243" s="23" t="str">
        <f>'3.3.raw'!M243</f>
        <v>FW1003</v>
      </c>
      <c r="C243" s="24">
        <f>datevalue(left('3.3.raw'!O243,10))</f>
        <v>43690</v>
      </c>
      <c r="D243" s="23">
        <f>'3.3.raw'!I243</f>
        <v>6</v>
      </c>
      <c r="E243" s="23" t="str">
        <f>'3.3.raw'!J243</f>
        <v/>
      </c>
      <c r="F243" s="23" t="str">
        <f>'3.3.raw'!K243</f>
        <v/>
      </c>
      <c r="G243" s="1">
        <v>3.30000000000002</v>
      </c>
      <c r="H243" s="23" t="b">
        <f>if(countif(Status!C:C,A243)=1,TRUE, FALSE)</f>
        <v>1</v>
      </c>
    </row>
    <row r="244">
      <c r="A244" s="23" t="str">
        <f t="shared" si="7"/>
        <v>UPNC22</v>
      </c>
      <c r="B244" s="23" t="str">
        <f>'3.3.raw'!M244</f>
        <v>UPNC22</v>
      </c>
      <c r="C244" s="24">
        <f>datevalue(left('3.3.raw'!O244,10))</f>
        <v>43690</v>
      </c>
      <c r="D244" s="23">
        <f>'3.3.raw'!I244</f>
        <v>98</v>
      </c>
      <c r="E244" s="23" t="str">
        <f>'3.3.raw'!J244</f>
        <v/>
      </c>
      <c r="F244" s="23" t="str">
        <f>'3.3.raw'!K244</f>
        <v/>
      </c>
      <c r="G244" s="1">
        <v>3.30000000000002</v>
      </c>
      <c r="H244" s="23" t="b">
        <f>if(countif(Status!C:C,A244)=1,TRUE, FALSE)</f>
        <v>1</v>
      </c>
    </row>
    <row r="245">
      <c r="A245" s="23" t="str">
        <f t="shared" si="7"/>
        <v>FPa9901</v>
      </c>
      <c r="B245" s="23" t="str">
        <f>'3.3.raw'!M245</f>
        <v>FPa9901</v>
      </c>
      <c r="C245" s="24">
        <f>datevalue(left('3.3.raw'!O245,10))</f>
        <v>43696</v>
      </c>
      <c r="D245" s="23">
        <f>'3.3.raw'!I245</f>
        <v>14</v>
      </c>
      <c r="E245" s="23">
        <f>'3.3.raw'!J245</f>
        <v>141</v>
      </c>
      <c r="F245" s="23" t="str">
        <f>'3.3.raw'!K245</f>
        <v/>
      </c>
      <c r="G245" s="1">
        <v>3.30000000000002</v>
      </c>
      <c r="H245" s="23" t="b">
        <f>if(countif(Status!C:C,A245)=1,TRUE, FALSE)</f>
        <v>0</v>
      </c>
    </row>
    <row r="246">
      <c r="A246" s="23" t="str">
        <f t="shared" si="7"/>
        <v>FPc9901</v>
      </c>
      <c r="B246" s="23" t="str">
        <f>'3.3.raw'!M246</f>
        <v>FPc9901</v>
      </c>
      <c r="C246" s="24">
        <f>datevalue(left('3.3.raw'!O246,10))</f>
        <v>43696</v>
      </c>
      <c r="D246" s="23">
        <f>'3.3.raw'!I246</f>
        <v>14</v>
      </c>
      <c r="E246" s="23">
        <f>'3.3.raw'!J246</f>
        <v>143</v>
      </c>
      <c r="F246" s="23" t="str">
        <f>'3.3.raw'!K246</f>
        <v/>
      </c>
      <c r="G246" s="1">
        <v>3.30000000000002</v>
      </c>
      <c r="H246" s="23" t="b">
        <f>if(countif(Status!C:C,A246)=1,TRUE, FALSE)</f>
        <v>0</v>
      </c>
    </row>
    <row r="247">
      <c r="A247" s="23" t="str">
        <f t="shared" si="7"/>
        <v>FPd9901</v>
      </c>
      <c r="B247" s="23" t="str">
        <f>'3.3.raw'!M247</f>
        <v>FPd9901</v>
      </c>
      <c r="C247" s="24">
        <f>datevalue(left('3.3.raw'!O247,10))</f>
        <v>43696</v>
      </c>
      <c r="D247" s="23">
        <f>'3.3.raw'!I247</f>
        <v>14</v>
      </c>
      <c r="E247" s="23">
        <f>'3.3.raw'!J247</f>
        <v>144</v>
      </c>
      <c r="F247" s="23" t="str">
        <f>'3.3.raw'!K247</f>
        <v/>
      </c>
      <c r="G247" s="1">
        <v>3.30000000000002</v>
      </c>
      <c r="H247" s="23" t="b">
        <f>if(countif(Status!C:C,A247)=1,TRUE, FALSE)</f>
        <v>0</v>
      </c>
    </row>
    <row r="248">
      <c r="A248" s="23" t="str">
        <f t="shared" si="7"/>
        <v>FPe9901</v>
      </c>
      <c r="B248" s="23" t="str">
        <f>'3.3.raw'!M248</f>
        <v>FPe9901</v>
      </c>
      <c r="C248" s="24">
        <f>datevalue(left('3.3.raw'!O248,10))</f>
        <v>43696</v>
      </c>
      <c r="D248" s="23">
        <f>'3.3.raw'!I248</f>
        <v>14</v>
      </c>
      <c r="E248" s="23">
        <f>'3.3.raw'!J248</f>
        <v>145</v>
      </c>
      <c r="F248" s="23" t="str">
        <f>'3.3.raw'!K248</f>
        <v/>
      </c>
      <c r="G248" s="1">
        <v>3.30000000000002</v>
      </c>
      <c r="H248" s="23" t="b">
        <f>if(countif(Status!C:C,A248)=1,TRUE, FALSE)</f>
        <v>0</v>
      </c>
    </row>
    <row r="249">
      <c r="A249" s="23" t="str">
        <f t="shared" si="7"/>
        <v>FPc9902</v>
      </c>
      <c r="B249" s="23" t="str">
        <f>'3.3.raw'!M249</f>
        <v>FPc9902</v>
      </c>
      <c r="C249" s="24">
        <f>datevalue(left('3.3.raw'!O249,10))</f>
        <v>43696</v>
      </c>
      <c r="D249" s="23">
        <f>'3.3.raw'!I249</f>
        <v>14</v>
      </c>
      <c r="E249" s="23">
        <f>'3.3.raw'!J249</f>
        <v>143</v>
      </c>
      <c r="F249" s="23" t="str">
        <f>'3.3.raw'!K249</f>
        <v/>
      </c>
      <c r="G249" s="1">
        <v>3.30000000000002</v>
      </c>
      <c r="H249" s="23" t="b">
        <f>if(countif(Status!C:C,A249)=1,TRUE, FALSE)</f>
        <v>0</v>
      </c>
    </row>
    <row r="250">
      <c r="A250" s="23" t="str">
        <f t="shared" si="7"/>
        <v>FPd9902</v>
      </c>
      <c r="B250" s="23" t="str">
        <f>'3.3.raw'!M250</f>
        <v>FPd9902</v>
      </c>
      <c r="C250" s="24">
        <f>datevalue(left('3.3.raw'!O250,10))</f>
        <v>43696</v>
      </c>
      <c r="D250" s="23">
        <f>'3.3.raw'!I250</f>
        <v>14</v>
      </c>
      <c r="E250" s="23">
        <f>'3.3.raw'!J250</f>
        <v>144</v>
      </c>
      <c r="F250" s="23" t="str">
        <f>'3.3.raw'!K250</f>
        <v/>
      </c>
      <c r="G250" s="1">
        <v>3.30000000000003</v>
      </c>
      <c r="H250" s="23" t="b">
        <f>if(countif(Status!C:C,A250)=1,TRUE, FALSE)</f>
        <v>0</v>
      </c>
    </row>
    <row r="251">
      <c r="A251" s="23" t="str">
        <f t="shared" si="7"/>
        <v>FPb9902</v>
      </c>
      <c r="B251" s="23" t="str">
        <f>'3.3.raw'!M251</f>
        <v>FPb9902</v>
      </c>
      <c r="C251" s="24">
        <f>datevalue(left('3.3.raw'!O251,10))</f>
        <v>43696</v>
      </c>
      <c r="D251" s="23">
        <f>'3.3.raw'!I251</f>
        <v>14</v>
      </c>
      <c r="E251" s="23">
        <f>'3.3.raw'!J251</f>
        <v>142</v>
      </c>
      <c r="F251" s="23" t="str">
        <f>'3.3.raw'!K251</f>
        <v/>
      </c>
      <c r="G251" s="1">
        <v>3.30000000000003</v>
      </c>
      <c r="H251" s="23" t="b">
        <f>if(countif(Status!C:C,A251)=1,TRUE, FALSE)</f>
        <v>0</v>
      </c>
    </row>
    <row r="252">
      <c r="A252" s="23" t="str">
        <f t="shared" si="7"/>
        <v>FB1024</v>
      </c>
      <c r="B252" s="23" t="str">
        <f>'3.3.raw'!M252</f>
        <v>FB1024</v>
      </c>
      <c r="C252" s="24">
        <f>datevalue(left('3.3.raw'!O252,10))</f>
        <v>43696</v>
      </c>
      <c r="D252" s="23">
        <f>'3.3.raw'!I252</f>
        <v>99</v>
      </c>
      <c r="E252" s="23" t="str">
        <f>'3.3.raw'!J252</f>
        <v/>
      </c>
      <c r="F252" s="23" t="str">
        <f>'3.3.raw'!K252</f>
        <v/>
      </c>
      <c r="G252" s="1">
        <v>3.30000000000003</v>
      </c>
      <c r="H252" s="23" t="b">
        <f>if(countif(Status!C:C,A252)=1,TRUE, FALSE)</f>
        <v>1</v>
      </c>
    </row>
    <row r="253">
      <c r="A253" s="23" t="str">
        <f t="shared" si="7"/>
        <v>UF1001</v>
      </c>
      <c r="B253" s="23" t="str">
        <f>'3.3.raw'!M253</f>
        <v>UF1001</v>
      </c>
      <c r="C253" s="24">
        <f>datevalue(left('3.3.raw'!O253,10))</f>
        <v>43698</v>
      </c>
      <c r="D253" s="23">
        <f>'3.3.raw'!I253</f>
        <v>16</v>
      </c>
      <c r="E253" s="23" t="str">
        <f>'3.3.raw'!J253</f>
        <v/>
      </c>
      <c r="F253" s="23" t="str">
        <f>'3.3.raw'!K253</f>
        <v/>
      </c>
      <c r="G253" s="1">
        <v>3.30000000000003</v>
      </c>
      <c r="H253" s="23" t="b">
        <f>if(countif(Status!C:C,A253)=1,TRUE, FALSE)</f>
        <v>1</v>
      </c>
    </row>
    <row r="254">
      <c r="A254" s="23" t="str">
        <f t="shared" si="7"/>
        <v>SW1008</v>
      </c>
      <c r="B254" s="23" t="str">
        <f>'3.3.raw'!M254</f>
        <v>SW1008</v>
      </c>
      <c r="C254" s="24">
        <f>datevalue(left('3.3.raw'!O254,10))</f>
        <v>43698</v>
      </c>
      <c r="D254" s="23">
        <f>'3.3.raw'!I254</f>
        <v>5</v>
      </c>
      <c r="E254" s="23" t="str">
        <f>'3.3.raw'!J254</f>
        <v/>
      </c>
      <c r="F254" s="23" t="str">
        <f>'3.3.raw'!K254</f>
        <v/>
      </c>
      <c r="G254" s="1">
        <v>3.30000000000003</v>
      </c>
      <c r="H254" s="23" t="b">
        <f>if(countif(Status!C:C,A254)=1,TRUE, FALSE)</f>
        <v>1</v>
      </c>
    </row>
    <row r="255">
      <c r="A255" s="23" t="str">
        <f t="shared" si="7"/>
        <v>SL1010</v>
      </c>
      <c r="B255" s="23" t="str">
        <f>'3.3.raw'!M255</f>
        <v>SL1010</v>
      </c>
      <c r="C255" s="24">
        <f>datevalue(left('3.3.raw'!O255,10))</f>
        <v>43698</v>
      </c>
      <c r="D255" s="23">
        <f>'3.3.raw'!I255</f>
        <v>8</v>
      </c>
      <c r="E255" s="23" t="str">
        <f>'3.3.raw'!J255</f>
        <v/>
      </c>
      <c r="F255" s="23" t="str">
        <f>'3.3.raw'!K255</f>
        <v/>
      </c>
      <c r="G255" s="1">
        <v>3.30000000000003</v>
      </c>
      <c r="H255" s="23" t="b">
        <f>if(countif(Status!C:C,A255)=1,TRUE, FALSE)</f>
        <v>1</v>
      </c>
    </row>
    <row r="256">
      <c r="A256" s="23" t="str">
        <f t="shared" si="7"/>
        <v>FB1026</v>
      </c>
      <c r="B256" s="23" t="str">
        <f>'3.3.raw'!M256</f>
        <v>FB1026</v>
      </c>
      <c r="C256" s="24">
        <f>datevalue(left('3.3.raw'!O256,10))</f>
        <v>43698</v>
      </c>
      <c r="D256" s="23">
        <f>'3.3.raw'!I256</f>
        <v>99</v>
      </c>
      <c r="E256" s="23" t="str">
        <f>'3.3.raw'!J256</f>
        <v/>
      </c>
      <c r="F256" s="23" t="str">
        <f>'3.3.raw'!K256</f>
        <v/>
      </c>
      <c r="G256" s="1">
        <v>3.30000000000003</v>
      </c>
      <c r="H256" s="23" t="b">
        <f>if(countif(Status!C:C,A256)=1,TRUE, FALSE)</f>
        <v>1</v>
      </c>
    </row>
    <row r="257">
      <c r="A257" s="23" t="str">
        <f t="shared" si="7"/>
        <v>FB1026UP</v>
      </c>
      <c r="B257" s="23" t="str">
        <f>'3.3.raw'!M257</f>
        <v>FB1026UP</v>
      </c>
      <c r="C257" s="24">
        <f>datevalue(left('3.3.raw'!O257,10))</f>
        <v>43698</v>
      </c>
      <c r="D257" s="23">
        <f>'3.3.raw'!I257</f>
        <v>99</v>
      </c>
      <c r="E257" s="23" t="str">
        <f>'3.3.raw'!J257</f>
        <v/>
      </c>
      <c r="F257" s="23" t="str">
        <f>'3.3.raw'!K257</f>
        <v/>
      </c>
      <c r="G257" s="1">
        <v>3.30000000000003</v>
      </c>
      <c r="H257" s="23" t="b">
        <f>if(countif(Status!C:C,A257)=1,TRUE, FALSE)</f>
        <v>1</v>
      </c>
    </row>
    <row r="258">
      <c r="A258" s="23" t="str">
        <f t="shared" si="7"/>
        <v>PL1019</v>
      </c>
      <c r="B258" s="23" t="str">
        <f>'3.3.raw'!M258</f>
        <v>PL1019</v>
      </c>
      <c r="C258" s="24">
        <f>datevalue(left('3.3.raw'!O258,10))</f>
        <v>43698</v>
      </c>
      <c r="D258" s="23">
        <f>'3.3.raw'!I258</f>
        <v>11</v>
      </c>
      <c r="E258" s="23" t="str">
        <f>'3.3.raw'!J258</f>
        <v/>
      </c>
      <c r="F258" s="23" t="str">
        <f>'3.3.raw'!K258</f>
        <v/>
      </c>
      <c r="G258" s="1">
        <v>3.30000000000003</v>
      </c>
      <c r="H258" s="23" t="b">
        <f>if(countif(Status!C:C,A258)=1,TRUE, FALSE)</f>
        <v>1</v>
      </c>
    </row>
    <row r="259">
      <c r="A259" s="23" t="str">
        <f t="shared" si="7"/>
        <v>FB1025</v>
      </c>
      <c r="B259" s="23" t="str">
        <f>'3.3.raw'!M259</f>
        <v>FB1025</v>
      </c>
      <c r="C259" s="24">
        <f>datevalue(left('3.3.raw'!O259,10))</f>
        <v>43698</v>
      </c>
      <c r="D259" s="23">
        <f>'3.3.raw'!I259</f>
        <v>99</v>
      </c>
      <c r="E259" s="23" t="str">
        <f>'3.3.raw'!J259</f>
        <v/>
      </c>
      <c r="F259" s="23" t="str">
        <f>'3.3.raw'!K259</f>
        <v/>
      </c>
      <c r="G259" s="1">
        <v>3.30000000000003</v>
      </c>
      <c r="H259" s="23" t="b">
        <f>if(countif(Status!C:C,A259)=1,TRUE, FALSE)</f>
        <v>1</v>
      </c>
    </row>
    <row r="260">
      <c r="A260" s="23" t="str">
        <f t="shared" si="7"/>
        <v>FB1025UP</v>
      </c>
      <c r="B260" s="23" t="str">
        <f>'3.3.raw'!M260</f>
        <v>FB1025UP</v>
      </c>
      <c r="C260" s="24">
        <f>datevalue(left('3.3.raw'!O260,10))</f>
        <v>43698</v>
      </c>
      <c r="D260" s="23">
        <f>'3.3.raw'!I260</f>
        <v>99</v>
      </c>
      <c r="E260" s="23" t="str">
        <f>'3.3.raw'!J260</f>
        <v/>
      </c>
      <c r="F260" s="23" t="str">
        <f>'3.3.raw'!K260</f>
        <v/>
      </c>
      <c r="G260" s="1">
        <v>3.30000000000003</v>
      </c>
      <c r="H260" s="23" t="b">
        <f>if(countif(Status!C:C,A260)=1,TRUE, FALSE)</f>
        <v>1</v>
      </c>
    </row>
    <row r="261">
      <c r="A261" s="23" t="str">
        <f t="shared" si="7"/>
        <v>FPa1001</v>
      </c>
      <c r="B261" s="23" t="str">
        <f>'3.3.raw'!M261</f>
        <v>FPa1001</v>
      </c>
      <c r="C261" s="24">
        <f>datevalue(left('3.3.raw'!O261,10))</f>
        <v>43700</v>
      </c>
      <c r="D261" s="23">
        <f>'3.3.raw'!I261</f>
        <v>14</v>
      </c>
      <c r="E261" s="23">
        <f>'3.3.raw'!J261</f>
        <v>141</v>
      </c>
      <c r="F261" s="23" t="str">
        <f>'3.3.raw'!K261</f>
        <v/>
      </c>
      <c r="G261" s="1">
        <v>3.30000000000003</v>
      </c>
      <c r="H261" s="23" t="b">
        <f>if(countif(Status!C:C,A261)=1,TRUE, FALSE)</f>
        <v>1</v>
      </c>
    </row>
    <row r="262">
      <c r="A262" s="23" t="str">
        <f t="shared" si="7"/>
        <v>FPc1001</v>
      </c>
      <c r="B262" s="23" t="str">
        <f>'3.3.raw'!M262</f>
        <v>FPc1001</v>
      </c>
      <c r="C262" s="24">
        <f>datevalue(left('3.3.raw'!O262,10))</f>
        <v>43700</v>
      </c>
      <c r="D262" s="23">
        <f>'3.3.raw'!I262</f>
        <v>14</v>
      </c>
      <c r="E262" s="23">
        <f>'3.3.raw'!J262</f>
        <v>143</v>
      </c>
      <c r="F262" s="23" t="str">
        <f>'3.3.raw'!K262</f>
        <v/>
      </c>
      <c r="G262" s="1">
        <v>3.30000000000003</v>
      </c>
      <c r="H262" s="23" t="b">
        <f>if(countif(Status!C:C,A262)=1,TRUE, FALSE)</f>
        <v>1</v>
      </c>
    </row>
    <row r="263">
      <c r="A263" s="23" t="str">
        <f t="shared" si="7"/>
        <v>FPb1001</v>
      </c>
      <c r="B263" s="23" t="str">
        <f>'3.3.raw'!M263</f>
        <v>FPb1001</v>
      </c>
      <c r="C263" s="24">
        <f>datevalue(left('3.3.raw'!O263,10))</f>
        <v>43700</v>
      </c>
      <c r="D263" s="23">
        <f>'3.3.raw'!I263</f>
        <v>14</v>
      </c>
      <c r="E263" s="23">
        <f>'3.3.raw'!J263</f>
        <v>142</v>
      </c>
      <c r="F263" s="23" t="str">
        <f>'3.3.raw'!K263</f>
        <v/>
      </c>
      <c r="G263" s="1">
        <v>3.30000000000003</v>
      </c>
      <c r="H263" s="23" t="b">
        <f>if(countif(Status!C:C,A263)=1,TRUE, FALSE)</f>
        <v>1</v>
      </c>
    </row>
    <row r="264">
      <c r="A264" s="23" t="str">
        <f t="shared" si="7"/>
        <v>FPe1001</v>
      </c>
      <c r="B264" s="23" t="str">
        <f>'3.3.raw'!M264</f>
        <v>FPe1001</v>
      </c>
      <c r="C264" s="24">
        <f>datevalue(left('3.3.raw'!O264,10))</f>
        <v>43700</v>
      </c>
      <c r="D264" s="23">
        <f>'3.3.raw'!I264</f>
        <v>14</v>
      </c>
      <c r="E264" s="23">
        <f>'3.3.raw'!J264</f>
        <v>145</v>
      </c>
      <c r="F264" s="23" t="str">
        <f>'3.3.raw'!K264</f>
        <v/>
      </c>
      <c r="G264" s="1">
        <v>3.30000000000003</v>
      </c>
      <c r="H264" s="23" t="b">
        <f>if(countif(Status!C:C,A264)=1,TRUE, FALSE)</f>
        <v>1</v>
      </c>
    </row>
    <row r="265">
      <c r="A265" s="23" t="str">
        <f t="shared" si="7"/>
        <v>FPd1001</v>
      </c>
      <c r="B265" s="23" t="str">
        <f>'3.3.raw'!M265</f>
        <v>FPd1001</v>
      </c>
      <c r="C265" s="24">
        <f>datevalue(left('3.3.raw'!O265,10))</f>
        <v>43700</v>
      </c>
      <c r="D265" s="23">
        <f>'3.3.raw'!I265</f>
        <v>14</v>
      </c>
      <c r="E265" s="23">
        <f>'3.3.raw'!J265</f>
        <v>144</v>
      </c>
      <c r="F265" s="23" t="str">
        <f>'3.3.raw'!K265</f>
        <v/>
      </c>
      <c r="G265" s="1">
        <v>3.30000000000003</v>
      </c>
      <c r="H265" s="23" t="b">
        <f>if(countif(Status!C:C,A265)=1,TRUE, FALSE)</f>
        <v>1</v>
      </c>
    </row>
    <row r="266">
      <c r="A266" s="23" t="str">
        <f t="shared" si="7"/>
        <v>FB1027</v>
      </c>
      <c r="B266" s="23" t="str">
        <f>'3.3.raw'!M266</f>
        <v>FB1027</v>
      </c>
      <c r="C266" s="24">
        <f>datevalue(left('3.3.raw'!O266,10))</f>
        <v>43700</v>
      </c>
      <c r="D266" s="23">
        <f>'3.3.raw'!I266</f>
        <v>99</v>
      </c>
      <c r="E266" s="23" t="str">
        <f>'3.3.raw'!J266</f>
        <v/>
      </c>
      <c r="F266" s="23" t="str">
        <f>'3.3.raw'!K266</f>
        <v/>
      </c>
      <c r="G266" s="1">
        <v>3.30000000000003</v>
      </c>
      <c r="H266" s="23" t="b">
        <f>if(countif(Status!C:C,A266)=1,TRUE, FALSE)</f>
        <v>1</v>
      </c>
    </row>
    <row r="267">
      <c r="A267" s="23" t="str">
        <f t="shared" si="7"/>
        <v>FB1027UP</v>
      </c>
      <c r="B267" s="23" t="str">
        <f>'3.3.raw'!M267</f>
        <v>FB1027UP</v>
      </c>
      <c r="C267" s="24">
        <f>datevalue(left('3.3.raw'!O267,10))</f>
        <v>43700</v>
      </c>
      <c r="D267" s="23">
        <f>'3.3.raw'!I267</f>
        <v>99</v>
      </c>
      <c r="E267" s="23" t="str">
        <f>'3.3.raw'!J267</f>
        <v/>
      </c>
      <c r="F267" s="23" t="str">
        <f>'3.3.raw'!K267</f>
        <v/>
      </c>
      <c r="G267" s="1">
        <v>3.30000000000003</v>
      </c>
      <c r="H267" s="23" t="b">
        <f>if(countif(Status!C:C,A267)=1,TRUE, FALSE)</f>
        <v>1</v>
      </c>
    </row>
    <row r="268">
      <c r="A268" s="23" t="str">
        <f t="shared" si="7"/>
        <v>FB1027</v>
      </c>
      <c r="B268" s="23" t="str">
        <f>'3.3.raw'!M268</f>
        <v>FB1027</v>
      </c>
      <c r="C268" s="24">
        <f>datevalue(left('3.3.raw'!O268,10))</f>
        <v>43700</v>
      </c>
      <c r="D268" s="23">
        <f>'3.3.raw'!I268</f>
        <v>99</v>
      </c>
      <c r="E268" s="23" t="str">
        <f>'3.3.raw'!J268</f>
        <v/>
      </c>
      <c r="F268" s="23" t="str">
        <f>'3.3.raw'!K268</f>
        <v/>
      </c>
      <c r="G268" s="1">
        <v>3.30000000000003</v>
      </c>
      <c r="H268" s="23" t="b">
        <f>if(countif(Status!C:C,A268)=1,TRUE, FALSE)</f>
        <v>1</v>
      </c>
    </row>
    <row r="269">
      <c r="A269" s="23" t="str">
        <f t="shared" si="7"/>
        <v>FB1028UP</v>
      </c>
      <c r="B269" s="23" t="str">
        <f>'3.3.raw'!M269</f>
        <v>FB1028UP</v>
      </c>
      <c r="C269" s="24">
        <f>datevalue(left('3.3.raw'!O269,10))</f>
        <v>43700</v>
      </c>
      <c r="D269" s="23">
        <f>'3.3.raw'!I269</f>
        <v>99</v>
      </c>
      <c r="E269" s="23" t="str">
        <f>'3.3.raw'!J269</f>
        <v/>
      </c>
      <c r="F269" s="23" t="str">
        <f>'3.3.raw'!K269</f>
        <v/>
      </c>
      <c r="G269" s="1">
        <v>3.30000000000003</v>
      </c>
      <c r="H269" s="23" t="b">
        <f>if(countif(Status!C:C,A269)=1,TRUE, FALSE)</f>
        <v>1</v>
      </c>
    </row>
    <row r="270">
      <c r="A270" s="23" t="str">
        <f t="shared" si="7"/>
        <v>FB1028</v>
      </c>
      <c r="B270" s="23" t="str">
        <f>'3.3.raw'!M270</f>
        <v>FB1028</v>
      </c>
      <c r="C270" s="24">
        <f>datevalue(left('3.3.raw'!O270,10))</f>
        <v>43700</v>
      </c>
      <c r="D270" s="23">
        <f>'3.3.raw'!I270</f>
        <v>99</v>
      </c>
      <c r="E270" s="23" t="str">
        <f>'3.3.raw'!J270</f>
        <v/>
      </c>
      <c r="F270" s="23" t="str">
        <f>'3.3.raw'!K270</f>
        <v/>
      </c>
      <c r="G270" s="1">
        <v>3.30000000000003</v>
      </c>
      <c r="H270" s="23" t="b">
        <f>if(countif(Status!C:C,A270)=1,TRUE, FALSE)</f>
        <v>1</v>
      </c>
    </row>
    <row r="271">
      <c r="A271" s="23" t="str">
        <f t="shared" si="7"/>
        <v>COa1001</v>
      </c>
      <c r="B271" s="23" t="str">
        <f>'3.3.raw'!M271</f>
        <v>COa1001</v>
      </c>
      <c r="C271" s="24">
        <f>datevalue(left('3.3.raw'!O271,10))</f>
        <v>43700</v>
      </c>
      <c r="D271" s="23">
        <f>'3.3.raw'!I271</f>
        <v>15</v>
      </c>
      <c r="E271" s="23" t="str">
        <f>'3.3.raw'!J271</f>
        <v/>
      </c>
      <c r="F271" s="23">
        <f>'3.3.raw'!K271</f>
        <v>151</v>
      </c>
      <c r="G271" s="1">
        <v>3.30000000000003</v>
      </c>
      <c r="H271" s="23" t="b">
        <f>if(countif(Status!C:C,A271)=1,TRUE, FALSE)</f>
        <v>1</v>
      </c>
    </row>
    <row r="272">
      <c r="A272" s="23" t="str">
        <f t="shared" si="7"/>
        <v>COb1001</v>
      </c>
      <c r="B272" s="23" t="str">
        <f>'3.3.raw'!M272</f>
        <v>COb1001</v>
      </c>
      <c r="C272" s="24">
        <f>datevalue(left('3.3.raw'!O272,10))</f>
        <v>43700</v>
      </c>
      <c r="D272" s="23">
        <f>'3.3.raw'!I272</f>
        <v>15</v>
      </c>
      <c r="E272" s="23" t="str">
        <f>'3.3.raw'!J272</f>
        <v/>
      </c>
      <c r="F272" s="23">
        <f>'3.3.raw'!K272</f>
        <v>152</v>
      </c>
      <c r="G272" s="1">
        <v>3.30000000000003</v>
      </c>
      <c r="H272" s="23" t="b">
        <f>if(countif(Status!C:C,A272)=1,TRUE, FALSE)</f>
        <v>1</v>
      </c>
    </row>
    <row r="273">
      <c r="A273" s="23" t="str">
        <f t="shared" si="7"/>
        <v>COb1002</v>
      </c>
      <c r="B273" s="23" t="str">
        <f>'3.3.raw'!M273</f>
        <v>COb1002</v>
      </c>
      <c r="C273" s="24">
        <f>datevalue(left('3.3.raw'!O273,10))</f>
        <v>43700</v>
      </c>
      <c r="D273" s="23">
        <f>'3.3.raw'!I273</f>
        <v>15</v>
      </c>
      <c r="E273" s="23" t="str">
        <f>'3.3.raw'!J273</f>
        <v/>
      </c>
      <c r="F273" s="23">
        <f>'3.3.raw'!K273</f>
        <v>152</v>
      </c>
      <c r="G273" s="1">
        <v>3.30000000000003</v>
      </c>
      <c r="H273" s="23" t="b">
        <f>if(countif(Status!C:C,A273)=1,TRUE, FALSE)</f>
        <v>1</v>
      </c>
    </row>
    <row r="274">
      <c r="A274" s="23" t="str">
        <f t="shared" si="7"/>
        <v>COb1003</v>
      </c>
      <c r="B274" s="23" t="str">
        <f>'3.3.raw'!M274</f>
        <v>COb1003</v>
      </c>
      <c r="C274" s="24">
        <f>datevalue(left('3.3.raw'!O274,10))</f>
        <v>43700</v>
      </c>
      <c r="D274" s="23">
        <f>'3.3.raw'!I274</f>
        <v>15</v>
      </c>
      <c r="E274" s="23" t="str">
        <f>'3.3.raw'!J274</f>
        <v/>
      </c>
      <c r="F274" s="23">
        <f>'3.3.raw'!K274</f>
        <v>152</v>
      </c>
      <c r="G274" s="1">
        <v>3.30000000000003</v>
      </c>
      <c r="H274" s="23" t="b">
        <f>if(countif(Status!C:C,A274)=1,TRUE, FALSE)</f>
        <v>1</v>
      </c>
    </row>
    <row r="275">
      <c r="A275" s="23" t="str">
        <f t="shared" si="7"/>
        <v>COb1004</v>
      </c>
      <c r="B275" s="23" t="str">
        <f>'3.3.raw'!M275</f>
        <v>COb1004</v>
      </c>
      <c r="C275" s="24">
        <f>datevalue(left('3.3.raw'!O275,10))</f>
        <v>43700</v>
      </c>
      <c r="D275" s="23">
        <f>'3.3.raw'!I275</f>
        <v>15</v>
      </c>
      <c r="E275" s="23" t="str">
        <f>'3.3.raw'!J275</f>
        <v/>
      </c>
      <c r="F275" s="23">
        <f>'3.3.raw'!K275</f>
        <v>152</v>
      </c>
      <c r="G275" s="1">
        <v>3.30000000000003</v>
      </c>
      <c r="H275" s="23" t="b">
        <f>if(countif(Status!C:C,A275)=1,TRUE, FALSE)</f>
        <v>1</v>
      </c>
    </row>
    <row r="276">
      <c r="A276" s="23" t="str">
        <f t="shared" si="7"/>
        <v>FB1029</v>
      </c>
      <c r="B276" s="23" t="str">
        <f>'3.3.raw'!M276</f>
        <v>FB1029</v>
      </c>
      <c r="C276" s="24">
        <f>datevalue(left('3.3.raw'!O276,10))</f>
        <v>43700</v>
      </c>
      <c r="D276" s="23">
        <f>'3.3.raw'!I276</f>
        <v>99</v>
      </c>
      <c r="E276" s="23" t="str">
        <f>'3.3.raw'!J276</f>
        <v/>
      </c>
      <c r="F276" s="23" t="str">
        <f>'3.3.raw'!K276</f>
        <v/>
      </c>
      <c r="G276" s="1">
        <v>3.30000000000003</v>
      </c>
      <c r="H276" s="23" t="b">
        <f>if(countif(Status!C:C,A276)=1,TRUE, FALSE)</f>
        <v>1</v>
      </c>
    </row>
    <row r="277">
      <c r="A277" s="23" t="str">
        <f t="shared" si="7"/>
        <v>FB1029UP</v>
      </c>
      <c r="B277" s="23" t="str">
        <f>'3.3.raw'!M277</f>
        <v>FB1029UP</v>
      </c>
      <c r="C277" s="24">
        <f>datevalue(left('3.3.raw'!O277,10))</f>
        <v>43705</v>
      </c>
      <c r="D277" s="23">
        <f>'3.3.raw'!I277</f>
        <v>99</v>
      </c>
      <c r="E277" s="23" t="str">
        <f>'3.3.raw'!J277</f>
        <v/>
      </c>
      <c r="F277" s="23" t="str">
        <f>'3.3.raw'!K277</f>
        <v/>
      </c>
      <c r="G277" s="1">
        <v>3.30000000000003</v>
      </c>
      <c r="H277" s="23" t="b">
        <f>if(countif(Status!C:C,A277)=1,TRUE, FALSE)</f>
        <v>1</v>
      </c>
    </row>
    <row r="278">
      <c r="A278" s="23" t="str">
        <f t="shared" si="7"/>
        <v>COb1005</v>
      </c>
      <c r="B278" s="23" t="str">
        <f>'3.3.raw'!M278</f>
        <v>COb1005</v>
      </c>
      <c r="C278" s="24">
        <f>datevalue(left('3.3.raw'!O278,10))</f>
        <v>43700</v>
      </c>
      <c r="D278" s="23">
        <f>'3.3.raw'!I278</f>
        <v>15</v>
      </c>
      <c r="E278" s="23" t="str">
        <f>'3.3.raw'!J278</f>
        <v/>
      </c>
      <c r="F278" s="23">
        <f>'3.3.raw'!K278</f>
        <v>152</v>
      </c>
      <c r="G278" s="1">
        <v>3.30000000000003</v>
      </c>
      <c r="H278" s="23" t="b">
        <f>if(countif(Status!C:C,A278)=1,TRUE, FALSE)</f>
        <v>1</v>
      </c>
    </row>
    <row r="279">
      <c r="A279" s="23" t="str">
        <f t="shared" si="7"/>
        <v>COb1006</v>
      </c>
      <c r="B279" s="23" t="str">
        <f>'3.3.raw'!M279</f>
        <v>COb1006</v>
      </c>
      <c r="C279" s="24">
        <f>datevalue(left('3.3.raw'!O279,10))</f>
        <v>43700</v>
      </c>
      <c r="D279" s="23">
        <f>'3.3.raw'!I279</f>
        <v>15</v>
      </c>
      <c r="E279" s="23" t="str">
        <f>'3.3.raw'!J279</f>
        <v/>
      </c>
      <c r="F279" s="23">
        <f>'3.3.raw'!K279</f>
        <v>152</v>
      </c>
      <c r="G279" s="1">
        <v>3.30000000000003</v>
      </c>
      <c r="H279" s="23" t="b">
        <f>if(countif(Status!C:C,A279)=1,TRUE, FALSE)</f>
        <v>1</v>
      </c>
    </row>
    <row r="280">
      <c r="A280" s="23" t="str">
        <f t="shared" si="7"/>
        <v>FB1030</v>
      </c>
      <c r="B280" s="23" t="str">
        <f>'3.3.raw'!M280</f>
        <v>FB1030</v>
      </c>
      <c r="C280" s="24">
        <f>datevalue(left('3.3.raw'!O280,10))</f>
        <v>43700</v>
      </c>
      <c r="D280" s="23">
        <f>'3.3.raw'!I280</f>
        <v>99</v>
      </c>
      <c r="E280" s="23" t="str">
        <f>'3.3.raw'!J280</f>
        <v/>
      </c>
      <c r="F280" s="23" t="str">
        <f>'3.3.raw'!K280</f>
        <v/>
      </c>
      <c r="G280" s="1">
        <v>3.30000000000003</v>
      </c>
      <c r="H280" s="23" t="b">
        <f>if(countif(Status!C:C,A280)=1,TRUE, FALSE)</f>
        <v>1</v>
      </c>
    </row>
    <row r="281">
      <c r="A281" s="23" t="str">
        <f t="shared" si="7"/>
        <v>FB1030UP</v>
      </c>
      <c r="B281" s="23" t="str">
        <f>'3.3.raw'!M281</f>
        <v>FB1030UP</v>
      </c>
      <c r="C281" s="24">
        <f>datevalue(left('3.3.raw'!O281,10))</f>
        <v>43705</v>
      </c>
      <c r="D281" s="23">
        <f>'3.3.raw'!I281</f>
        <v>99</v>
      </c>
      <c r="E281" s="23" t="str">
        <f>'3.3.raw'!J281</f>
        <v/>
      </c>
      <c r="F281" s="23" t="str">
        <f>'3.3.raw'!K281</f>
        <v/>
      </c>
      <c r="G281" s="1">
        <v>3.30000000000003</v>
      </c>
      <c r="H281" s="23" t="b">
        <f>if(countif(Status!C:C,A281)=1,TRUE, FALSE)</f>
        <v>1</v>
      </c>
    </row>
    <row r="282">
      <c r="A282" s="23" t="str">
        <f t="shared" si="7"/>
        <v>OD1006</v>
      </c>
      <c r="B282" s="23" t="str">
        <f>'3.3.raw'!M282</f>
        <v>OD1006</v>
      </c>
      <c r="C282" s="24">
        <f>datevalue(left('3.3.raw'!O282,10))</f>
        <v>43705</v>
      </c>
      <c r="D282" s="23">
        <f>'3.3.raw'!I282</f>
        <v>1</v>
      </c>
      <c r="E282" s="23" t="str">
        <f>'3.3.raw'!J282</f>
        <v/>
      </c>
      <c r="F282" s="23" t="str">
        <f>'3.3.raw'!K282</f>
        <v/>
      </c>
      <c r="G282" s="1">
        <v>3.30000000000003</v>
      </c>
      <c r="H282" s="23" t="b">
        <f>if(countif(Status!C:C,A282)=1,TRUE, FALSE)</f>
        <v>1</v>
      </c>
    </row>
    <row r="283">
      <c r="A283" s="23" t="str">
        <f t="shared" si="7"/>
        <v>UF1002</v>
      </c>
      <c r="B283" s="23" t="str">
        <f>'3.3.raw'!M283</f>
        <v>UF1002</v>
      </c>
      <c r="C283" s="24">
        <f>datevalue(left('3.3.raw'!O283,10))</f>
        <v>43700</v>
      </c>
      <c r="D283" s="23">
        <f>'3.3.raw'!I283</f>
        <v>16</v>
      </c>
      <c r="E283" s="23" t="str">
        <f>'3.3.raw'!J283</f>
        <v/>
      </c>
      <c r="F283" s="23" t="str">
        <f>'3.3.raw'!K283</f>
        <v/>
      </c>
      <c r="G283" s="1">
        <v>3.30000000000003</v>
      </c>
      <c r="H283" s="23" t="b">
        <f>if(countif(Status!C:C,A283)=1,TRUE, FALSE)</f>
        <v>1</v>
      </c>
    </row>
    <row r="284">
      <c r="A284" s="23" t="str">
        <f t="shared" si="7"/>
        <v>FB1031</v>
      </c>
      <c r="B284" s="23" t="str">
        <f>'3.3.raw'!M284</f>
        <v>FB1031</v>
      </c>
      <c r="C284" s="24">
        <f>datevalue(left('3.3.raw'!O284,10))</f>
        <v>43705</v>
      </c>
      <c r="D284" s="23">
        <f>'3.3.raw'!I284</f>
        <v>99</v>
      </c>
      <c r="E284" s="23" t="str">
        <f>'3.3.raw'!J284</f>
        <v/>
      </c>
      <c r="F284" s="23" t="str">
        <f>'3.3.raw'!K284</f>
        <v/>
      </c>
      <c r="G284" s="1">
        <v>3.30000000000003</v>
      </c>
      <c r="H284" s="23" t="b">
        <f>if(countif(Status!C:C,A284)=1,TRUE, FALSE)</f>
        <v>1</v>
      </c>
    </row>
    <row r="285">
      <c r="A285" s="23" t="str">
        <f t="shared" si="7"/>
        <v>FB1031UP</v>
      </c>
      <c r="B285" s="23" t="str">
        <f>'3.3.raw'!M285</f>
        <v>FB1031UP</v>
      </c>
      <c r="C285" s="24">
        <f>datevalue(left('3.3.raw'!O285,10))</f>
        <v>43705</v>
      </c>
      <c r="D285" s="23">
        <f>'3.3.raw'!I285</f>
        <v>99</v>
      </c>
      <c r="E285" s="23" t="str">
        <f>'3.3.raw'!J285</f>
        <v/>
      </c>
      <c r="F285" s="23" t="str">
        <f>'3.3.raw'!K285</f>
        <v/>
      </c>
      <c r="G285" s="1">
        <v>3.30000000000003</v>
      </c>
      <c r="H285" s="23" t="b">
        <f>if(countif(Status!C:C,A285)=1,TRUE, FALSE)</f>
        <v>1</v>
      </c>
    </row>
    <row r="286">
      <c r="A286" s="23" t="str">
        <f t="shared" si="7"/>
        <v>RP1010</v>
      </c>
      <c r="B286" s="23" t="str">
        <f>'3.3.raw'!M286</f>
        <v>RP1010</v>
      </c>
      <c r="C286" s="24">
        <f>datevalue(left('3.3.raw'!O286,10))</f>
        <v>43705</v>
      </c>
      <c r="D286" s="23">
        <f>'3.3.raw'!I286</f>
        <v>2</v>
      </c>
      <c r="E286" s="23" t="str">
        <f>'3.3.raw'!J286</f>
        <v/>
      </c>
      <c r="F286" s="23" t="str">
        <f>'3.3.raw'!K286</f>
        <v/>
      </c>
      <c r="G286" s="1">
        <v>3.30000000000003</v>
      </c>
      <c r="H286" s="23" t="b">
        <f>if(countif(Status!C:C,A286)=1,TRUE, FALSE)</f>
        <v>1</v>
      </c>
    </row>
    <row r="287">
      <c r="A287" s="23" t="str">
        <f t="shared" si="7"/>
        <v>FB1032</v>
      </c>
      <c r="B287" s="23" t="str">
        <f>'3.3.raw'!M287</f>
        <v>FB1032</v>
      </c>
      <c r="C287" s="24">
        <f>datevalue(left('3.3.raw'!O287,10))</f>
        <v>43705</v>
      </c>
      <c r="D287" s="23">
        <f>'3.3.raw'!I287</f>
        <v>99</v>
      </c>
      <c r="E287" s="23" t="str">
        <f>'3.3.raw'!J287</f>
        <v/>
      </c>
      <c r="F287" s="23" t="str">
        <f>'3.3.raw'!K287</f>
        <v/>
      </c>
      <c r="G287" s="1">
        <v>3.30000000000003</v>
      </c>
      <c r="H287" s="23" t="b">
        <f>if(countif(Status!C:C,A287)=1,TRUE, FALSE)</f>
        <v>1</v>
      </c>
    </row>
    <row r="288">
      <c r="A288" s="23" t="str">
        <f t="shared" si="7"/>
        <v>FB1032UP</v>
      </c>
      <c r="B288" s="23" t="str">
        <f>'3.3.raw'!M288</f>
        <v>FB1032UP</v>
      </c>
      <c r="C288" s="24">
        <f>datevalue(left('3.3.raw'!O288,10))</f>
        <v>43705</v>
      </c>
      <c r="D288" s="23">
        <f>'3.3.raw'!I288</f>
        <v>99</v>
      </c>
      <c r="E288" s="23" t="str">
        <f>'3.3.raw'!J288</f>
        <v/>
      </c>
      <c r="F288" s="23" t="str">
        <f>'3.3.raw'!K288</f>
        <v/>
      </c>
      <c r="G288" s="1">
        <v>3.30000000000003</v>
      </c>
      <c r="H288" s="23" t="b">
        <f>if(countif(Status!C:C,A288)=1,TRUE, FALSE)</f>
        <v>1</v>
      </c>
    </row>
    <row r="289">
      <c r="A289" s="23" t="str">
        <f t="shared" si="7"/>
        <v>UF1003</v>
      </c>
      <c r="B289" s="23" t="str">
        <f>'3.3.raw'!M289</f>
        <v>UF1003</v>
      </c>
      <c r="C289" s="24">
        <f>datevalue(left('3.3.raw'!O289,10))</f>
        <v>43705</v>
      </c>
      <c r="D289" s="23">
        <f>'3.3.raw'!I289</f>
        <v>16</v>
      </c>
      <c r="E289" s="23" t="str">
        <f>'3.3.raw'!J289</f>
        <v/>
      </c>
      <c r="F289" s="23" t="str">
        <f>'3.3.raw'!K289</f>
        <v/>
      </c>
      <c r="G289" s="1">
        <v>3.30000000000003</v>
      </c>
      <c r="H289" s="23" t="b">
        <f>if(countif(Status!C:C,A289)=1,TRUE, FALSE)</f>
        <v>1</v>
      </c>
    </row>
    <row r="290">
      <c r="A290" s="23" t="str">
        <f t="shared" si="7"/>
        <v>DWa1003</v>
      </c>
      <c r="B290" s="23" t="str">
        <f>'3.3.raw'!M290</f>
        <v>DWa1003</v>
      </c>
      <c r="C290" s="24">
        <f>datevalue(left('3.3.raw'!O290,10))</f>
        <v>43705</v>
      </c>
      <c r="D290" s="23">
        <f>'3.3.raw'!I290</f>
        <v>3</v>
      </c>
      <c r="E290" s="23" t="str">
        <f>'3.3.raw'!J290</f>
        <v/>
      </c>
      <c r="F290" s="23" t="str">
        <f>'3.3.raw'!K290</f>
        <v/>
      </c>
      <c r="G290" s="1">
        <v>3.30000000000003</v>
      </c>
      <c r="H290" s="23" t="b">
        <f>if(countif(Status!C:C,A290)=1,TRUE, FALSE)</f>
        <v>1</v>
      </c>
    </row>
    <row r="291">
      <c r="A291" s="23" t="str">
        <f t="shared" si="7"/>
        <v>FB1033</v>
      </c>
      <c r="B291" s="23" t="str">
        <f>'3.3.raw'!M291</f>
        <v>FB1033</v>
      </c>
      <c r="C291" s="24">
        <f>datevalue(left('3.3.raw'!O291,10))</f>
        <v>43705</v>
      </c>
      <c r="D291" s="23">
        <f>'3.3.raw'!I291</f>
        <v>99</v>
      </c>
      <c r="E291" s="23" t="str">
        <f>'3.3.raw'!J291</f>
        <v/>
      </c>
      <c r="F291" s="23" t="str">
        <f>'3.3.raw'!K291</f>
        <v/>
      </c>
      <c r="G291" s="1">
        <v>3.30000000000003</v>
      </c>
      <c r="H291" s="23" t="b">
        <f>if(countif(Status!C:C,A291)=1,TRUE, FALSE)</f>
        <v>1</v>
      </c>
    </row>
    <row r="292">
      <c r="A292" s="23" t="str">
        <f t="shared" si="7"/>
        <v>FB1033UP</v>
      </c>
      <c r="B292" s="23" t="str">
        <f>'3.3.raw'!M292</f>
        <v>FB1033UP</v>
      </c>
      <c r="C292" s="24">
        <f>datevalue(left('3.3.raw'!O292,10))</f>
        <v>43705</v>
      </c>
      <c r="D292" s="23">
        <f>'3.3.raw'!I292</f>
        <v>99</v>
      </c>
      <c r="E292" s="23" t="str">
        <f>'3.3.raw'!J292</f>
        <v/>
      </c>
      <c r="F292" s="23" t="str">
        <f>'3.3.raw'!K292</f>
        <v/>
      </c>
      <c r="G292" s="1">
        <v>3.30000000000003</v>
      </c>
      <c r="H292" s="23" t="b">
        <f>if(countif(Status!C:C,A292)=1,TRUE, FALSE)</f>
        <v>1</v>
      </c>
    </row>
    <row r="293">
      <c r="A293" s="23" t="str">
        <f t="shared" si="7"/>
        <v>PL1020</v>
      </c>
      <c r="B293" s="23" t="str">
        <f>'3.3.raw'!M293</f>
        <v>PL1020</v>
      </c>
      <c r="C293" s="24">
        <f>datevalue(left('3.3.raw'!O293,10))</f>
        <v>43706</v>
      </c>
      <c r="D293" s="23">
        <f>'3.3.raw'!I293</f>
        <v>11</v>
      </c>
      <c r="E293" s="23" t="str">
        <f>'3.3.raw'!J293</f>
        <v/>
      </c>
      <c r="F293" s="23" t="str">
        <f>'3.3.raw'!K293</f>
        <v/>
      </c>
      <c r="G293" s="1">
        <v>3.30000000000003</v>
      </c>
      <c r="H293" s="23" t="b">
        <f>if(countif(Status!C:C,A293)=1,TRUE, FALSE)</f>
        <v>1</v>
      </c>
    </row>
    <row r="294">
      <c r="A294" s="23" t="str">
        <f t="shared" si="7"/>
        <v>FB1034</v>
      </c>
      <c r="B294" s="23" t="str">
        <f>'3.3.raw'!M294</f>
        <v>FB1034</v>
      </c>
      <c r="C294" s="24">
        <f>datevalue(left('3.3.raw'!O294,10))</f>
        <v>43705</v>
      </c>
      <c r="D294" s="23">
        <f>'3.3.raw'!I294</f>
        <v>99</v>
      </c>
      <c r="E294" s="23" t="str">
        <f>'3.3.raw'!J294</f>
        <v/>
      </c>
      <c r="F294" s="23" t="str">
        <f>'3.3.raw'!K294</f>
        <v/>
      </c>
      <c r="G294" s="1">
        <v>3.30000000000003</v>
      </c>
      <c r="H294" s="23" t="b">
        <f>if(countif(Status!C:C,A294)=1,TRUE, FALSE)</f>
        <v>1</v>
      </c>
    </row>
    <row r="295">
      <c r="A295" s="23" t="str">
        <f t="shared" si="7"/>
        <v>FB1034UP</v>
      </c>
      <c r="B295" s="23" t="str">
        <f>'3.3.raw'!M295</f>
        <v>FB1034UP</v>
      </c>
      <c r="C295" s="24">
        <f>datevalue(left('3.3.raw'!O295,10))</f>
        <v>43705</v>
      </c>
      <c r="D295" s="23">
        <f>'3.3.raw'!I295</f>
        <v>99</v>
      </c>
      <c r="E295" s="23" t="str">
        <f>'3.3.raw'!J295</f>
        <v/>
      </c>
      <c r="F295" s="23" t="str">
        <f>'3.3.raw'!K295</f>
        <v/>
      </c>
      <c r="G295" s="1">
        <v>3.30000000000003</v>
      </c>
      <c r="H295" s="23" t="b">
        <f>if(countif(Status!C:C,A295)=1,TRUE, FALSE)</f>
        <v>1</v>
      </c>
    </row>
    <row r="296">
      <c r="A296" s="23" t="str">
        <f t="shared" si="7"/>
        <v>MO1091</v>
      </c>
      <c r="B296" s="23" t="str">
        <f>'3.3.raw'!M296</f>
        <v>MO1091</v>
      </c>
      <c r="C296" s="24">
        <f>datevalue(left('3.3.raw'!O296,10))</f>
        <v>43705</v>
      </c>
      <c r="D296" s="23">
        <f>'3.3.raw'!I296</f>
        <v>12</v>
      </c>
      <c r="E296" s="23" t="str">
        <f>'3.3.raw'!J296</f>
        <v/>
      </c>
      <c r="F296" s="23" t="str">
        <f>'3.3.raw'!K296</f>
        <v/>
      </c>
      <c r="G296" s="1">
        <v>3.30000000000003</v>
      </c>
      <c r="H296" s="23" t="b">
        <f>if(countif(Status!C:C,A296)=1,TRUE, FALSE)</f>
        <v>1</v>
      </c>
    </row>
    <row r="297">
      <c r="A297" s="23" t="str">
        <f t="shared" si="7"/>
        <v>FB1035</v>
      </c>
      <c r="B297" s="23" t="str">
        <f>'3.3.raw'!M297</f>
        <v>FB1035</v>
      </c>
      <c r="C297" s="24">
        <f>datevalue(left('3.3.raw'!O297,10))</f>
        <v>43710</v>
      </c>
      <c r="D297" s="23">
        <f>'3.3.raw'!I297</f>
        <v>99</v>
      </c>
      <c r="E297" s="23" t="str">
        <f>'3.3.raw'!J297</f>
        <v/>
      </c>
      <c r="F297" s="23" t="str">
        <f>'3.3.raw'!K297</f>
        <v/>
      </c>
      <c r="G297" s="1">
        <v>3.30000000000004</v>
      </c>
      <c r="H297" s="23" t="b">
        <f>if(countif(Status!C:C,A297)=1,TRUE, FALSE)</f>
        <v>1</v>
      </c>
    </row>
    <row r="298">
      <c r="A298" s="23" t="str">
        <f t="shared" si="7"/>
        <v>FB1035UP</v>
      </c>
      <c r="B298" s="23" t="str">
        <f>'3.3.raw'!M298</f>
        <v>FB1035UP</v>
      </c>
      <c r="C298" s="24">
        <f>datevalue(left('3.3.raw'!O298,10))</f>
        <v>43710</v>
      </c>
      <c r="D298" s="23">
        <f>'3.3.raw'!I298</f>
        <v>99</v>
      </c>
      <c r="E298" s="23" t="str">
        <f>'3.3.raw'!J298</f>
        <v/>
      </c>
      <c r="F298" s="23" t="str">
        <f>'3.3.raw'!K298</f>
        <v/>
      </c>
      <c r="G298" s="1">
        <v>3.30000000000004</v>
      </c>
      <c r="H298" s="23" t="b">
        <f>if(countif(Status!C:C,A298)=1,TRUE, FALSE)</f>
        <v>1</v>
      </c>
    </row>
    <row r="299">
      <c r="A299" s="23" t="str">
        <f t="shared" si="7"/>
        <v>UF1004</v>
      </c>
      <c r="B299" s="23" t="str">
        <f>'3.3.raw'!M299</f>
        <v>UF1004</v>
      </c>
      <c r="C299" s="24">
        <f>datevalue(left('3.3.raw'!O299,10))</f>
        <v>43706</v>
      </c>
      <c r="D299" s="23">
        <f>'3.3.raw'!I299</f>
        <v>16</v>
      </c>
      <c r="E299" s="23" t="str">
        <f>'3.3.raw'!J299</f>
        <v/>
      </c>
      <c r="F299" s="23" t="str">
        <f>'3.3.raw'!K299</f>
        <v/>
      </c>
      <c r="G299" s="1">
        <v>3.30000000000004</v>
      </c>
      <c r="H299" s="23" t="b">
        <f>if(countif(Status!C:C,A299)=1,TRUE, FALSE)</f>
        <v>1</v>
      </c>
    </row>
    <row r="300">
      <c r="A300" s="23" t="str">
        <f t="shared" si="7"/>
        <v>SF1011</v>
      </c>
      <c r="B300" s="23" t="str">
        <f>'3.3.raw'!M300</f>
        <v>SF1011</v>
      </c>
      <c r="C300" s="24">
        <f>datevalue(left('3.3.raw'!O300,10))</f>
        <v>43710</v>
      </c>
      <c r="D300" s="23">
        <f>'3.3.raw'!I300</f>
        <v>10</v>
      </c>
      <c r="E300" s="23" t="str">
        <f>'3.3.raw'!J300</f>
        <v/>
      </c>
      <c r="F300" s="23" t="str">
        <f>'3.3.raw'!K300</f>
        <v/>
      </c>
      <c r="G300" s="1">
        <v>3.30000000000004</v>
      </c>
      <c r="H300" s="23" t="b">
        <f>if(countif(Status!C:C,A300)=1,TRUE, FALSE)</f>
        <v>1</v>
      </c>
    </row>
    <row r="301">
      <c r="A301" s="23" t="str">
        <f t="shared" si="7"/>
        <v>FB1037</v>
      </c>
      <c r="B301" s="23" t="str">
        <f>'3.3.raw'!M301</f>
        <v>FB1037</v>
      </c>
      <c r="C301" s="24">
        <f>datevalue(left('3.3.raw'!O301,10))</f>
        <v>43710</v>
      </c>
      <c r="D301" s="23">
        <f>'3.3.raw'!I301</f>
        <v>99</v>
      </c>
      <c r="E301" s="23" t="str">
        <f>'3.3.raw'!J301</f>
        <v/>
      </c>
      <c r="F301" s="23" t="str">
        <f>'3.3.raw'!K301</f>
        <v/>
      </c>
      <c r="G301" s="1">
        <v>3.30000000000004</v>
      </c>
      <c r="H301" s="23" t="b">
        <f>if(countif(Status!C:C,A301)=1,TRUE, FALSE)</f>
        <v>1</v>
      </c>
    </row>
    <row r="302">
      <c r="A302" s="23" t="str">
        <f t="shared" si="7"/>
        <v>FB1037UP</v>
      </c>
      <c r="B302" s="23" t="str">
        <f>'3.3.raw'!M302</f>
        <v>FB1037UP</v>
      </c>
      <c r="C302" s="24">
        <f>datevalue(left('3.3.raw'!O302,10))</f>
        <v>43710</v>
      </c>
      <c r="D302" s="23">
        <f>'3.3.raw'!I302</f>
        <v>99</v>
      </c>
      <c r="E302" s="23" t="str">
        <f>'3.3.raw'!J302</f>
        <v/>
      </c>
      <c r="F302" s="23" t="str">
        <f>'3.3.raw'!K302</f>
        <v/>
      </c>
      <c r="G302" s="1">
        <v>3.30000000000004</v>
      </c>
      <c r="H302" s="23" t="b">
        <f>if(countif(Status!C:C,A302)=1,TRUE, FALSE)</f>
        <v>1</v>
      </c>
    </row>
    <row r="303">
      <c r="A303" s="23" t="str">
        <f t="shared" si="7"/>
        <v>SF1012A</v>
      </c>
      <c r="B303" s="23" t="str">
        <f>'3.3.raw'!M303</f>
        <v>SF1012A</v>
      </c>
      <c r="C303" s="24">
        <f>datevalue(left('3.3.raw'!O303,10))</f>
        <v>43710</v>
      </c>
      <c r="D303" s="23">
        <f>'3.3.raw'!I303</f>
        <v>10</v>
      </c>
      <c r="E303" s="23" t="str">
        <f>'3.3.raw'!J303</f>
        <v/>
      </c>
      <c r="F303" s="23" t="str">
        <f>'3.3.raw'!K303</f>
        <v/>
      </c>
      <c r="G303" s="1">
        <v>3.30000000000004</v>
      </c>
      <c r="H303" s="23" t="b">
        <f>if(countif(Status!C:C,A303)=1,TRUE, FALSE)</f>
        <v>1</v>
      </c>
    </row>
    <row r="304">
      <c r="A304" s="23" t="str">
        <f t="shared" si="7"/>
        <v>SF1012B</v>
      </c>
      <c r="B304" s="23" t="str">
        <f>'3.3.raw'!M304</f>
        <v>SF1012B</v>
      </c>
      <c r="C304" s="24">
        <f>datevalue(left('3.3.raw'!O304,10))</f>
        <v>43710</v>
      </c>
      <c r="D304" s="23">
        <f>'3.3.raw'!I304</f>
        <v>10</v>
      </c>
      <c r="E304" s="23" t="str">
        <f>'3.3.raw'!J304</f>
        <v/>
      </c>
      <c r="F304" s="23" t="str">
        <f>'3.3.raw'!K304</f>
        <v/>
      </c>
      <c r="G304" s="1">
        <v>3.30000000000004</v>
      </c>
      <c r="H304" s="23" t="b">
        <f>if(countif(Status!C:C,A304)=1,TRUE, FALSE)</f>
        <v>1</v>
      </c>
    </row>
    <row r="305">
      <c r="A305" s="23" t="str">
        <f t="shared" si="7"/>
        <v>SL1011</v>
      </c>
      <c r="B305" s="23" t="str">
        <f>'3.3.raw'!M305</f>
        <v>SL1011</v>
      </c>
      <c r="C305" s="24">
        <f>datevalue(left('3.3.raw'!O305,10))</f>
        <v>43710</v>
      </c>
      <c r="D305" s="23">
        <f>'3.3.raw'!I305</f>
        <v>8</v>
      </c>
      <c r="E305" s="23" t="str">
        <f>'3.3.raw'!J305</f>
        <v/>
      </c>
      <c r="F305" s="23" t="str">
        <f>'3.3.raw'!K305</f>
        <v/>
      </c>
      <c r="G305" s="1">
        <v>3.30000000000004</v>
      </c>
      <c r="H305" s="23" t="b">
        <f>if(countif(Status!C:C,A305)=1,TRUE, FALSE)</f>
        <v>1</v>
      </c>
    </row>
    <row r="306">
      <c r="A306" s="23" t="str">
        <f t="shared" si="7"/>
        <v>FB1036</v>
      </c>
      <c r="B306" s="23" t="str">
        <f>'3.3.raw'!M306</f>
        <v>FB1036</v>
      </c>
      <c r="C306" s="24">
        <f>datevalue(left('3.3.raw'!O306,10))</f>
        <v>43710</v>
      </c>
      <c r="D306" s="23">
        <f>'3.3.raw'!I306</f>
        <v>99</v>
      </c>
      <c r="E306" s="23" t="str">
        <f>'3.3.raw'!J306</f>
        <v/>
      </c>
      <c r="F306" s="23" t="str">
        <f>'3.3.raw'!K306</f>
        <v/>
      </c>
      <c r="G306" s="1">
        <v>3.30000000000004</v>
      </c>
      <c r="H306" s="23" t="b">
        <f>if(countif(Status!C:C,A306)=1,TRUE, FALSE)</f>
        <v>1</v>
      </c>
    </row>
    <row r="307">
      <c r="A307" s="23" t="str">
        <f t="shared" si="7"/>
        <v>FB1036UP</v>
      </c>
      <c r="B307" s="23" t="str">
        <f>'3.3.raw'!M307</f>
        <v>FB1036UP</v>
      </c>
      <c r="C307" s="24">
        <f>datevalue(left('3.3.raw'!O307,10))</f>
        <v>43710</v>
      </c>
      <c r="D307" s="23">
        <f>'3.3.raw'!I307</f>
        <v>99</v>
      </c>
      <c r="E307" s="23" t="str">
        <f>'3.3.raw'!J307</f>
        <v/>
      </c>
      <c r="F307" s="23" t="str">
        <f>'3.3.raw'!K307</f>
        <v/>
      </c>
      <c r="G307" s="1">
        <v>3.30000000000004</v>
      </c>
      <c r="H307" s="23" t="b">
        <f>if(countif(Status!C:C,A307)=1,TRUE, FALSE)</f>
        <v>1</v>
      </c>
    </row>
    <row r="308">
      <c r="A308" s="23" t="str">
        <f t="shared" si="7"/>
        <v>DWa1004</v>
      </c>
      <c r="B308" s="23" t="str">
        <f>'3.3.raw'!M308</f>
        <v>DWa1004</v>
      </c>
      <c r="C308" s="24">
        <f>datevalue(left('3.3.raw'!O308,10))</f>
        <v>43711</v>
      </c>
      <c r="D308" s="23">
        <f>'3.3.raw'!I308</f>
        <v>3</v>
      </c>
      <c r="E308" s="23" t="str">
        <f>'3.3.raw'!J308</f>
        <v/>
      </c>
      <c r="F308" s="23" t="str">
        <f>'3.3.raw'!K308</f>
        <v/>
      </c>
      <c r="G308" s="1">
        <v>3.30000000000004</v>
      </c>
      <c r="H308" s="23" t="b">
        <f>if(countif(Status!C:C,A308)=1,TRUE, FALSE)</f>
        <v>1</v>
      </c>
    </row>
    <row r="309">
      <c r="A309" s="23" t="str">
        <f t="shared" si="7"/>
        <v>FB1038</v>
      </c>
      <c r="B309" s="23" t="str">
        <f>'3.3.raw'!M309</f>
        <v>FB1038</v>
      </c>
      <c r="C309" s="24">
        <f>datevalue(left('3.3.raw'!O309,10))</f>
        <v>43714</v>
      </c>
      <c r="D309" s="23">
        <f>'3.3.raw'!I309</f>
        <v>99</v>
      </c>
      <c r="E309" s="23" t="str">
        <f>'3.3.raw'!J309</f>
        <v/>
      </c>
      <c r="F309" s="23" t="str">
        <f>'3.3.raw'!K309</f>
        <v/>
      </c>
      <c r="G309" s="1">
        <v>3.30000000000004</v>
      </c>
      <c r="H309" s="23" t="b">
        <f>if(countif(Status!C:C,A309)=1,TRUE, FALSE)</f>
        <v>1</v>
      </c>
    </row>
    <row r="310">
      <c r="A310" s="23" t="str">
        <f t="shared" si="7"/>
        <v>FB1038UP</v>
      </c>
      <c r="B310" s="23" t="str">
        <f>'3.3.raw'!M310</f>
        <v>FB1038UP</v>
      </c>
      <c r="C310" s="24">
        <f>datevalue(left('3.3.raw'!O310,10))</f>
        <v>43714</v>
      </c>
      <c r="D310" s="23">
        <f>'3.3.raw'!I310</f>
        <v>99</v>
      </c>
      <c r="E310" s="23" t="str">
        <f>'3.3.raw'!J310</f>
        <v/>
      </c>
      <c r="F310" s="23" t="str">
        <f>'3.3.raw'!K310</f>
        <v/>
      </c>
      <c r="G310" s="1">
        <v>3.30000000000004</v>
      </c>
      <c r="H310" s="23" t="b">
        <f>if(countif(Status!C:C,A310)=1,TRUE, FALSE)</f>
        <v>1</v>
      </c>
    </row>
    <row r="311">
      <c r="A311" s="23" t="str">
        <f t="shared" si="7"/>
        <v>SL1012</v>
      </c>
      <c r="B311" s="23" t="str">
        <f>'3.3.raw'!M311</f>
        <v>SL1012</v>
      </c>
      <c r="C311" s="24">
        <f>datevalue(left('3.3.raw'!O311,10))</f>
        <v>43711</v>
      </c>
      <c r="D311" s="23">
        <f>'3.3.raw'!I311</f>
        <v>8</v>
      </c>
      <c r="E311" s="23" t="str">
        <f>'3.3.raw'!J311</f>
        <v/>
      </c>
      <c r="F311" s="23" t="str">
        <f>'3.3.raw'!K311</f>
        <v/>
      </c>
      <c r="G311" s="1">
        <v>3.30000000000004</v>
      </c>
      <c r="H311" s="23" t="b">
        <f>if(countif(Status!C:C,A311)=1,TRUE, FALSE)</f>
        <v>1</v>
      </c>
    </row>
    <row r="312">
      <c r="A312" s="23" t="str">
        <f t="shared" si="7"/>
        <v>FB1039</v>
      </c>
      <c r="B312" s="23" t="str">
        <f>'3.3.raw'!M312</f>
        <v>FB1039</v>
      </c>
      <c r="C312" s="24">
        <f>datevalue(left('3.3.raw'!O312,10))</f>
        <v>43711</v>
      </c>
      <c r="D312" s="23">
        <f>'3.3.raw'!I312</f>
        <v>99</v>
      </c>
      <c r="E312" s="23" t="str">
        <f>'3.3.raw'!J312</f>
        <v/>
      </c>
      <c r="F312" s="23" t="str">
        <f>'3.3.raw'!K312</f>
        <v/>
      </c>
      <c r="G312" s="1">
        <v>3.30000000000004</v>
      </c>
      <c r="H312" s="23" t="b">
        <f>if(countif(Status!C:C,A312)=1,TRUE, FALSE)</f>
        <v>1</v>
      </c>
    </row>
    <row r="313">
      <c r="A313" s="23" t="str">
        <f t="shared" si="7"/>
        <v>FB1039UP</v>
      </c>
      <c r="B313" s="23" t="str">
        <f>'3.3.raw'!M313</f>
        <v>FB1039UP</v>
      </c>
      <c r="C313" s="24">
        <f>datevalue(left('3.3.raw'!O313,10))</f>
        <v>43714</v>
      </c>
      <c r="D313" s="23">
        <f>'3.3.raw'!I313</f>
        <v>99</v>
      </c>
      <c r="E313" s="23" t="str">
        <f>'3.3.raw'!J313</f>
        <v/>
      </c>
      <c r="F313" s="23" t="str">
        <f>'3.3.raw'!K313</f>
        <v/>
      </c>
      <c r="G313" s="1">
        <v>3.30000000000004</v>
      </c>
      <c r="H313" s="23" t="b">
        <f>if(countif(Status!C:C,A313)=1,TRUE, FALSE)</f>
        <v>1</v>
      </c>
    </row>
    <row r="314">
      <c r="A314" s="23" t="str">
        <f t="shared" si="7"/>
        <v>UF1005</v>
      </c>
      <c r="B314" s="23" t="str">
        <f>'3.3.raw'!M314</f>
        <v>UF1005</v>
      </c>
      <c r="C314" s="24">
        <f>datevalue(left('3.3.raw'!O314,10))</f>
        <v>43712</v>
      </c>
      <c r="D314" s="23">
        <f>'3.3.raw'!I314</f>
        <v>16</v>
      </c>
      <c r="E314" s="23" t="str">
        <f>'3.3.raw'!J314</f>
        <v/>
      </c>
      <c r="F314" s="23" t="str">
        <f>'3.3.raw'!K314</f>
        <v/>
      </c>
      <c r="G314" s="1">
        <v>3.30000000000004</v>
      </c>
      <c r="H314" s="23" t="b">
        <f>if(countif(Status!C:C,A314)=1,TRUE, FALSE)</f>
        <v>1</v>
      </c>
    </row>
    <row r="315">
      <c r="A315" s="23" t="str">
        <f t="shared" si="7"/>
        <v>SW1009</v>
      </c>
      <c r="B315" s="23" t="str">
        <f>'3.3.raw'!M315</f>
        <v>SW1009</v>
      </c>
      <c r="C315" s="24">
        <f>datevalue(left('3.3.raw'!O315,10))</f>
        <v>43711</v>
      </c>
      <c r="D315" s="23">
        <f>'3.3.raw'!I315</f>
        <v>5</v>
      </c>
      <c r="E315" s="23" t="str">
        <f>'3.3.raw'!J315</f>
        <v/>
      </c>
      <c r="F315" s="23" t="str">
        <f>'3.3.raw'!K315</f>
        <v/>
      </c>
      <c r="G315" s="1">
        <v>3.30000000000004</v>
      </c>
      <c r="H315" s="23" t="b">
        <f>if(countif(Status!C:C,A315)=1,TRUE, FALSE)</f>
        <v>1</v>
      </c>
    </row>
    <row r="316">
      <c r="A316" s="23" t="str">
        <f t="shared" si="7"/>
        <v>FB1040</v>
      </c>
      <c r="B316" s="23" t="str">
        <f>'3.3.raw'!M316</f>
        <v>FB1040</v>
      </c>
      <c r="C316" s="24">
        <f>datevalue(left('3.3.raw'!O316,10))</f>
        <v>43711</v>
      </c>
      <c r="D316" s="23">
        <f>'3.3.raw'!I316</f>
        <v>99</v>
      </c>
      <c r="E316" s="23" t="str">
        <f>'3.3.raw'!J316</f>
        <v/>
      </c>
      <c r="F316" s="23" t="str">
        <f>'3.3.raw'!K316</f>
        <v/>
      </c>
      <c r="G316" s="1">
        <v>3.30000000000004</v>
      </c>
      <c r="H316" s="23" t="b">
        <f>if(countif(Status!C:C,A316)=1,TRUE, FALSE)</f>
        <v>1</v>
      </c>
    </row>
    <row r="317">
      <c r="A317" s="23" t="str">
        <f t="shared" si="7"/>
        <v>FB1040UP</v>
      </c>
      <c r="B317" s="23" t="str">
        <f>'3.3.raw'!M317</f>
        <v>FB1040UP</v>
      </c>
      <c r="C317" s="24">
        <f>datevalue(left('3.3.raw'!O317,10))</f>
        <v>43714</v>
      </c>
      <c r="D317" s="23">
        <f>'3.3.raw'!I317</f>
        <v>99</v>
      </c>
      <c r="E317" s="23" t="str">
        <f>'3.3.raw'!J317</f>
        <v/>
      </c>
      <c r="F317" s="23" t="str">
        <f>'3.3.raw'!K317</f>
        <v/>
      </c>
      <c r="G317" s="1">
        <v>3.30000000000004</v>
      </c>
      <c r="H317" s="23" t="b">
        <f>if(countif(Status!C:C,A317)=1,TRUE, FALSE)</f>
        <v>1</v>
      </c>
    </row>
    <row r="318">
      <c r="A318" s="23" t="str">
        <f t="shared" si="7"/>
        <v>LS1010</v>
      </c>
      <c r="B318" s="23" t="str">
        <f>'3.3.raw'!M318</f>
        <v>LS1010</v>
      </c>
      <c r="C318" s="24">
        <f>datevalue(left('3.3.raw'!O318,10))</f>
        <v>43711</v>
      </c>
      <c r="D318" s="23">
        <f>'3.3.raw'!I318</f>
        <v>7</v>
      </c>
      <c r="E318" s="23" t="str">
        <f>'3.3.raw'!J318</f>
        <v/>
      </c>
      <c r="F318" s="23" t="str">
        <f>'3.3.raw'!K318</f>
        <v/>
      </c>
      <c r="G318" s="1">
        <v>3.30000000000004</v>
      </c>
      <c r="H318" s="23" t="b">
        <f>if(countif(Status!C:C,A318)=1,TRUE, FALSE)</f>
        <v>1</v>
      </c>
    </row>
    <row r="319">
      <c r="A319" s="23" t="str">
        <f t="shared" si="7"/>
        <v>FB1041</v>
      </c>
      <c r="B319" s="23" t="str">
        <f>'3.3.raw'!M319</f>
        <v>FB1041</v>
      </c>
      <c r="C319" s="24">
        <f>datevalue(left('3.3.raw'!O319,10))</f>
        <v>43711</v>
      </c>
      <c r="D319" s="23">
        <f>'3.3.raw'!I319</f>
        <v>99</v>
      </c>
      <c r="E319" s="23" t="str">
        <f>'3.3.raw'!J319</f>
        <v/>
      </c>
      <c r="F319" s="23" t="str">
        <f>'3.3.raw'!K319</f>
        <v/>
      </c>
      <c r="G319" s="1">
        <v>3.30000000000004</v>
      </c>
      <c r="H319" s="23" t="b">
        <f>if(countif(Status!C:C,A319)=1,TRUE, FALSE)</f>
        <v>1</v>
      </c>
    </row>
    <row r="320">
      <c r="A320" s="23" t="str">
        <f t="shared" si="7"/>
        <v>FB1041UP</v>
      </c>
      <c r="B320" s="23" t="str">
        <f>'3.3.raw'!M320</f>
        <v>FB1041UP</v>
      </c>
      <c r="C320" s="24">
        <f>datevalue(left('3.3.raw'!O320,10))</f>
        <v>43714</v>
      </c>
      <c r="D320" s="23">
        <f>'3.3.raw'!I320</f>
        <v>99</v>
      </c>
      <c r="E320" s="23" t="str">
        <f>'3.3.raw'!J320</f>
        <v/>
      </c>
      <c r="F320" s="23" t="str">
        <f>'3.3.raw'!K320</f>
        <v/>
      </c>
      <c r="G320" s="1">
        <v>3.30000000000004</v>
      </c>
      <c r="H320" s="23" t="b">
        <f>if(countif(Status!C:C,A320)=1,TRUE, FALSE)</f>
        <v>1</v>
      </c>
    </row>
    <row r="321">
      <c r="A321" s="23" t="str">
        <f t="shared" si="7"/>
        <v>LS1011</v>
      </c>
      <c r="B321" s="23" t="str">
        <f>'3.3.raw'!M321</f>
        <v>LS1011</v>
      </c>
      <c r="C321" s="24">
        <f>datevalue(left('3.3.raw'!O321,10))</f>
        <v>43711</v>
      </c>
      <c r="D321" s="23">
        <f>'3.3.raw'!I321</f>
        <v>7</v>
      </c>
      <c r="E321" s="23" t="str">
        <f>'3.3.raw'!J321</f>
        <v/>
      </c>
      <c r="F321" s="23" t="str">
        <f>'3.3.raw'!K321</f>
        <v/>
      </c>
      <c r="G321" s="1">
        <v>3.30000000000004</v>
      </c>
      <c r="H321" s="23" t="b">
        <f>if(countif(Status!C:C,A321)=1,TRUE, FALSE)</f>
        <v>1</v>
      </c>
    </row>
    <row r="322">
      <c r="A322" s="23" t="str">
        <f t="shared" si="7"/>
        <v>LS1012</v>
      </c>
      <c r="B322" s="23" t="str">
        <f>'3.3.raw'!M322</f>
        <v>LS1012</v>
      </c>
      <c r="C322" s="24">
        <f>datevalue(left('3.3.raw'!O322,10))</f>
        <v>43711</v>
      </c>
      <c r="D322" s="23">
        <f>'3.3.raw'!I322</f>
        <v>7</v>
      </c>
      <c r="E322" s="23" t="str">
        <f>'3.3.raw'!J322</f>
        <v/>
      </c>
      <c r="F322" s="23" t="str">
        <f>'3.3.raw'!K322</f>
        <v/>
      </c>
      <c r="G322" s="1">
        <v>3.30000000000004</v>
      </c>
      <c r="H322" s="23" t="b">
        <f>if(countif(Status!C:C,A322)=1,TRUE, FALSE)</f>
        <v>1</v>
      </c>
    </row>
    <row r="323">
      <c r="A323" s="23" t="str">
        <f t="shared" si="7"/>
        <v>MO1092</v>
      </c>
      <c r="B323" s="23" t="str">
        <f>'3.3.raw'!M323</f>
        <v>MO1092</v>
      </c>
      <c r="C323" s="24">
        <f>datevalue(left('3.3.raw'!O323,10))</f>
        <v>43714</v>
      </c>
      <c r="D323" s="23">
        <f>'3.3.raw'!I323</f>
        <v>12</v>
      </c>
      <c r="E323" s="23" t="str">
        <f>'3.3.raw'!J323</f>
        <v/>
      </c>
      <c r="F323" s="23" t="str">
        <f>'3.3.raw'!K323</f>
        <v/>
      </c>
      <c r="G323" s="1">
        <v>3.30000000000004</v>
      </c>
      <c r="H323" s="23" t="b">
        <f>if(countif(Status!C:C,A323)=1,TRUE, FALSE)</f>
        <v>1</v>
      </c>
    </row>
    <row r="324">
      <c r="A324" s="23" t="str">
        <f t="shared" si="7"/>
        <v>FB1043</v>
      </c>
      <c r="B324" s="23" t="str">
        <f>'3.3.raw'!M324</f>
        <v>FB1043</v>
      </c>
      <c r="C324" s="24">
        <f>datevalue(left('3.3.raw'!O324,10))</f>
        <v>43714</v>
      </c>
      <c r="D324" s="23">
        <f>'3.3.raw'!I324</f>
        <v>99</v>
      </c>
      <c r="E324" s="23" t="str">
        <f>'3.3.raw'!J324</f>
        <v/>
      </c>
      <c r="F324" s="23" t="str">
        <f>'3.3.raw'!K324</f>
        <v/>
      </c>
      <c r="G324" s="1">
        <v>3.30000000000004</v>
      </c>
      <c r="H324" s="23" t="b">
        <f>if(countif(Status!C:C,A324)=1,TRUE, FALSE)</f>
        <v>1</v>
      </c>
    </row>
    <row r="325">
      <c r="A325" s="23" t="str">
        <f t="shared" si="7"/>
        <v>FB1043UP</v>
      </c>
      <c r="B325" s="23" t="str">
        <f>'3.3.raw'!M325</f>
        <v>FB1043UP</v>
      </c>
      <c r="C325" s="24">
        <f>datevalue(left('3.3.raw'!O325,10))</f>
        <v>43714</v>
      </c>
      <c r="D325" s="23">
        <f>'3.3.raw'!I325</f>
        <v>99</v>
      </c>
      <c r="E325" s="23" t="str">
        <f>'3.3.raw'!J325</f>
        <v/>
      </c>
      <c r="F325" s="23" t="str">
        <f>'3.3.raw'!K325</f>
        <v/>
      </c>
      <c r="G325" s="1">
        <v>3.30000000000004</v>
      </c>
      <c r="H325" s="23" t="b">
        <f>if(countif(Status!C:C,A325)=1,TRUE, FALSE)</f>
        <v>1</v>
      </c>
    </row>
    <row r="326">
      <c r="A326" s="23" t="str">
        <f t="shared" si="7"/>
        <v>UF1006</v>
      </c>
      <c r="B326" s="23" t="str">
        <f>'3.3.raw'!M326</f>
        <v>UF1006</v>
      </c>
      <c r="C326" s="24">
        <f>datevalue(left('3.3.raw'!O326,10))</f>
        <v>43713</v>
      </c>
      <c r="D326" s="23">
        <f>'3.3.raw'!I326</f>
        <v>16</v>
      </c>
      <c r="E326" s="23" t="str">
        <f>'3.3.raw'!J326</f>
        <v/>
      </c>
      <c r="F326" s="23" t="str">
        <f>'3.3.raw'!K326</f>
        <v/>
      </c>
      <c r="G326" s="1">
        <v>3.30000000000003</v>
      </c>
      <c r="H326" s="23" t="b">
        <f>if(countif(Status!C:C,A326)=1,TRUE, FALSE)</f>
        <v>1</v>
      </c>
    </row>
    <row r="327">
      <c r="A327" s="23" t="str">
        <f t="shared" si="7"/>
        <v>PL1021</v>
      </c>
      <c r="B327" s="23" t="str">
        <f>'3.3.raw'!M327</f>
        <v>PL1021</v>
      </c>
      <c r="C327" s="24">
        <f>datevalue(left('3.3.raw'!O327,10))</f>
        <v>43714</v>
      </c>
      <c r="D327" s="23">
        <f>'3.3.raw'!I327</f>
        <v>11</v>
      </c>
      <c r="E327" s="23" t="str">
        <f>'3.3.raw'!J327</f>
        <v/>
      </c>
      <c r="F327" s="23" t="str">
        <f>'3.3.raw'!K327</f>
        <v/>
      </c>
      <c r="G327" s="1">
        <v>3.30000000000003</v>
      </c>
      <c r="H327" s="23" t="b">
        <f>if(countif(Status!C:C,A327)=1,TRUE, FALSE)</f>
        <v>1</v>
      </c>
    </row>
    <row r="328">
      <c r="A328" s="23" t="str">
        <f t="shared" si="7"/>
        <v>PL1022</v>
      </c>
      <c r="B328" s="23" t="str">
        <f>'3.3.raw'!M328</f>
        <v>PL1022</v>
      </c>
      <c r="C328" s="24">
        <f>datevalue(left('3.3.raw'!O328,10))</f>
        <v>43714</v>
      </c>
      <c r="D328" s="23">
        <f>'3.3.raw'!I328</f>
        <v>11</v>
      </c>
      <c r="E328" s="23" t="str">
        <f>'3.3.raw'!J328</f>
        <v/>
      </c>
      <c r="F328" s="23" t="str">
        <f>'3.3.raw'!K328</f>
        <v/>
      </c>
      <c r="G328" s="1">
        <v>3.30000000000003</v>
      </c>
      <c r="H328" s="23" t="b">
        <f>if(countif(Status!C:C,A328)=1,TRUE, FALSE)</f>
        <v>1</v>
      </c>
    </row>
    <row r="329">
      <c r="A329" s="23" t="str">
        <f t="shared" si="7"/>
        <v>FB1042</v>
      </c>
      <c r="B329" s="23" t="str">
        <f>'3.3.raw'!M329</f>
        <v>FB1042</v>
      </c>
      <c r="C329" s="24">
        <f>datevalue(left('3.3.raw'!O329,10))</f>
        <v>43714</v>
      </c>
      <c r="D329" s="23">
        <f>'3.3.raw'!I329</f>
        <v>99</v>
      </c>
      <c r="E329" s="23" t="str">
        <f>'3.3.raw'!J329</f>
        <v/>
      </c>
      <c r="F329" s="23" t="str">
        <f>'3.3.raw'!K329</f>
        <v/>
      </c>
      <c r="G329" s="1">
        <v>3.30000000000003</v>
      </c>
      <c r="H329" s="23" t="b">
        <f>if(countif(Status!C:C,A329)=1,TRUE, FALSE)</f>
        <v>1</v>
      </c>
    </row>
    <row r="330">
      <c r="A330" s="23" t="str">
        <f t="shared" si="7"/>
        <v>FB1042UP</v>
      </c>
      <c r="B330" s="23" t="str">
        <f>'3.3.raw'!M330</f>
        <v>FB1042UP</v>
      </c>
      <c r="C330" s="24">
        <f>datevalue(left('3.3.raw'!O330,10))</f>
        <v>43714</v>
      </c>
      <c r="D330" s="23">
        <f>'3.3.raw'!I330</f>
        <v>99</v>
      </c>
      <c r="E330" s="23" t="str">
        <f>'3.3.raw'!J330</f>
        <v/>
      </c>
      <c r="F330" s="23" t="str">
        <f>'3.3.raw'!K330</f>
        <v/>
      </c>
      <c r="G330" s="1">
        <v>3.30000000000003</v>
      </c>
      <c r="H330" s="23" t="b">
        <f>if(countif(Status!C:C,A330)=1,TRUE, FALSE)</f>
        <v>1</v>
      </c>
    </row>
    <row r="331">
      <c r="A331" s="23" t="str">
        <f t="shared" si="7"/>
        <v>RP1011</v>
      </c>
      <c r="B331" s="23" t="str">
        <f>'3.3.raw'!M331</f>
        <v>RP1011</v>
      </c>
      <c r="C331" s="24">
        <f>datevalue(left('3.3.raw'!O331,10))</f>
        <v>43714</v>
      </c>
      <c r="D331" s="23">
        <f>'3.3.raw'!I331</f>
        <v>2</v>
      </c>
      <c r="E331" s="23" t="str">
        <f>'3.3.raw'!J331</f>
        <v/>
      </c>
      <c r="F331" s="23" t="str">
        <f>'3.3.raw'!K331</f>
        <v/>
      </c>
      <c r="G331" s="1">
        <v>3.30000000000003</v>
      </c>
      <c r="H331" s="23" t="b">
        <f>if(countif(Status!C:C,A331)=1,TRUE, FALSE)</f>
        <v>1</v>
      </c>
    </row>
    <row r="332">
      <c r="A332" s="23" t="str">
        <f t="shared" si="7"/>
        <v>RP1012</v>
      </c>
      <c r="B332" s="23" t="str">
        <f>'3.3.raw'!M332</f>
        <v>RP1012</v>
      </c>
      <c r="C332" s="24">
        <f>datevalue(left('3.3.raw'!O332,10))</f>
        <v>43714</v>
      </c>
      <c r="D332" s="23">
        <f>'3.3.raw'!I332</f>
        <v>2</v>
      </c>
      <c r="E332" s="23" t="str">
        <f>'3.3.raw'!J332</f>
        <v/>
      </c>
      <c r="F332" s="23" t="str">
        <f>'3.3.raw'!K332</f>
        <v/>
      </c>
      <c r="G332" s="1">
        <v>3.30000000000003</v>
      </c>
      <c r="H332" s="23" t="b">
        <f>if(countif(Status!C:C,A332)=1,TRUE, FALSE)</f>
        <v>1</v>
      </c>
    </row>
    <row r="333">
      <c r="A333" s="23" t="str">
        <f t="shared" si="7"/>
        <v>FB1046</v>
      </c>
      <c r="B333" s="23" t="str">
        <f>'3.3.raw'!M333</f>
        <v>FB1046</v>
      </c>
      <c r="C333" s="24">
        <f>datevalue(left('3.3.raw'!O333,10))</f>
        <v>43714</v>
      </c>
      <c r="D333" s="23">
        <f>'3.3.raw'!I333</f>
        <v>99</v>
      </c>
      <c r="E333" s="23" t="str">
        <f>'3.3.raw'!J333</f>
        <v/>
      </c>
      <c r="F333" s="23" t="str">
        <f>'3.3.raw'!K333</f>
        <v/>
      </c>
      <c r="G333" s="1">
        <v>3.30000000000003</v>
      </c>
      <c r="H333" s="23" t="b">
        <f>if(countif(Status!C:C,A333)=1,TRUE, FALSE)</f>
        <v>1</v>
      </c>
    </row>
    <row r="334">
      <c r="A334" s="23" t="str">
        <f t="shared" si="7"/>
        <v>FB1046UP</v>
      </c>
      <c r="B334" s="23" t="str">
        <f>'3.3.raw'!M334</f>
        <v>FB1046UP</v>
      </c>
      <c r="C334" s="24">
        <f>datevalue(left('3.3.raw'!O334,10))</f>
        <v>43714</v>
      </c>
      <c r="D334" s="23">
        <f>'3.3.raw'!I334</f>
        <v>99</v>
      </c>
      <c r="E334" s="23" t="str">
        <f>'3.3.raw'!J334</f>
        <v/>
      </c>
      <c r="F334" s="23" t="str">
        <f>'3.3.raw'!K334</f>
        <v/>
      </c>
      <c r="G334" s="1">
        <v>3.30000000000003</v>
      </c>
      <c r="H334" s="23" t="b">
        <f>if(countif(Status!C:C,A334)=1,TRUE, FALSE)</f>
        <v>1</v>
      </c>
    </row>
    <row r="335">
      <c r="A335" s="23" t="str">
        <f t="shared" si="7"/>
        <v>SF1013</v>
      </c>
      <c r="B335" s="23" t="str">
        <f>'3.3.raw'!M335</f>
        <v>SF1013</v>
      </c>
      <c r="C335" s="24">
        <f>datevalue(left('3.3.raw'!O335,10))</f>
        <v>43722</v>
      </c>
      <c r="D335" s="23">
        <f>'3.3.raw'!I335</f>
        <v>10</v>
      </c>
      <c r="E335" s="23" t="str">
        <f>'3.3.raw'!J335</f>
        <v/>
      </c>
      <c r="F335" s="23" t="str">
        <f>'3.3.raw'!K335</f>
        <v/>
      </c>
      <c r="G335" s="1">
        <v>3.30000000000003</v>
      </c>
      <c r="H335" s="23" t="b">
        <f>if(countif(Status!C:C,A335)=1,TRUE, FALSE)</f>
        <v>1</v>
      </c>
    </row>
    <row r="336">
      <c r="A336" s="23" t="str">
        <f t="shared" si="7"/>
        <v>FB1045</v>
      </c>
      <c r="B336" s="23" t="str">
        <f>'3.3.raw'!M336</f>
        <v>FB1045</v>
      </c>
      <c r="C336" s="24">
        <f>datevalue(left('3.3.raw'!O336,10))</f>
        <v>43714</v>
      </c>
      <c r="D336" s="23">
        <f>'3.3.raw'!I336</f>
        <v>99</v>
      </c>
      <c r="E336" s="23" t="str">
        <f>'3.3.raw'!J336</f>
        <v/>
      </c>
      <c r="F336" s="23" t="str">
        <f>'3.3.raw'!K336</f>
        <v/>
      </c>
      <c r="G336" s="1">
        <v>3.30000000000003</v>
      </c>
      <c r="H336" s="23" t="b">
        <f>if(countif(Status!C:C,A336)=1,TRUE, FALSE)</f>
        <v>1</v>
      </c>
    </row>
    <row r="337">
      <c r="A337" s="23" t="str">
        <f t="shared" si="7"/>
        <v>FB1045UP</v>
      </c>
      <c r="B337" s="23" t="str">
        <f>'3.3.raw'!M337</f>
        <v>FB1045UP</v>
      </c>
      <c r="C337" s="24">
        <f>datevalue(left('3.3.raw'!O337,10))</f>
        <v>43714</v>
      </c>
      <c r="D337" s="23">
        <f>'3.3.raw'!I337</f>
        <v>99</v>
      </c>
      <c r="E337" s="23" t="str">
        <f>'3.3.raw'!J337</f>
        <v/>
      </c>
      <c r="F337" s="23" t="str">
        <f>'3.3.raw'!K337</f>
        <v/>
      </c>
      <c r="G337" s="1">
        <v>3.30000000000003</v>
      </c>
      <c r="H337" s="23" t="b">
        <f>if(countif(Status!C:C,A337)=1,TRUE, FALSE)</f>
        <v>1</v>
      </c>
    </row>
    <row r="338">
      <c r="A338" s="23" t="str">
        <f t="shared" si="7"/>
        <v>PL1023</v>
      </c>
      <c r="B338" s="23" t="str">
        <f>'3.3.raw'!M338</f>
        <v>PL1023</v>
      </c>
      <c r="C338" s="24">
        <f>datevalue(left('3.3.raw'!O338,10))</f>
        <v>43714</v>
      </c>
      <c r="D338" s="23">
        <f>'3.3.raw'!I338</f>
        <v>11</v>
      </c>
      <c r="E338" s="23" t="str">
        <f>'3.3.raw'!J338</f>
        <v/>
      </c>
      <c r="F338" s="23" t="str">
        <f>'3.3.raw'!K338</f>
        <v/>
      </c>
      <c r="G338" s="1">
        <v>3.30000000000003</v>
      </c>
      <c r="H338" s="23" t="b">
        <f>if(countif(Status!C:C,A338)=1,TRUE, FALSE)</f>
        <v>1</v>
      </c>
    </row>
    <row r="339">
      <c r="A339" s="23" t="str">
        <f t="shared" si="7"/>
        <v>FB1044</v>
      </c>
      <c r="B339" s="23" t="str">
        <f>'3.3.raw'!M339</f>
        <v>FB1044</v>
      </c>
      <c r="C339" s="24">
        <f>datevalue(left('3.3.raw'!O339,10))</f>
        <v>43714</v>
      </c>
      <c r="D339" s="23">
        <f>'3.3.raw'!I339</f>
        <v>99</v>
      </c>
      <c r="E339" s="23" t="str">
        <f>'3.3.raw'!J339</f>
        <v/>
      </c>
      <c r="F339" s="23" t="str">
        <f>'3.3.raw'!K339</f>
        <v/>
      </c>
      <c r="G339" s="1">
        <v>3.30000000000003</v>
      </c>
      <c r="H339" s="23" t="b">
        <f>if(countif(Status!C:C,A339)=1,TRUE, FALSE)</f>
        <v>1</v>
      </c>
    </row>
    <row r="340">
      <c r="A340" s="23" t="str">
        <f t="shared" si="7"/>
        <v>FB1044UP</v>
      </c>
      <c r="B340" s="23" t="str">
        <f>'3.3.raw'!M340</f>
        <v>FB1044UP</v>
      </c>
      <c r="C340" s="24">
        <f>datevalue(left('3.3.raw'!O340,10))</f>
        <v>43714</v>
      </c>
      <c r="D340" s="23">
        <f>'3.3.raw'!I340</f>
        <v>99</v>
      </c>
      <c r="E340" s="23" t="str">
        <f>'3.3.raw'!J340</f>
        <v/>
      </c>
      <c r="F340" s="23" t="str">
        <f>'3.3.raw'!K340</f>
        <v/>
      </c>
      <c r="G340" s="1">
        <v>3.30000000000003</v>
      </c>
      <c r="H340" s="23" t="b">
        <f>if(countif(Status!C:C,A340)=1,TRUE, FALSE)</f>
        <v>1</v>
      </c>
    </row>
    <row r="341">
      <c r="A341" s="23" t="str">
        <f t="shared" si="7"/>
        <v>UF1007</v>
      </c>
      <c r="B341" s="23" t="str">
        <f>'3.3.raw'!M341</f>
        <v>UF1007</v>
      </c>
      <c r="C341" s="24">
        <f>datevalue(left('3.3.raw'!O341,10))</f>
        <v>43714</v>
      </c>
      <c r="D341" s="23">
        <f>'3.3.raw'!I341</f>
        <v>16</v>
      </c>
      <c r="E341" s="23" t="str">
        <f>'3.3.raw'!J341</f>
        <v/>
      </c>
      <c r="F341" s="23" t="str">
        <f>'3.3.raw'!K341</f>
        <v/>
      </c>
      <c r="G341" s="1">
        <v>3.30000000000003</v>
      </c>
      <c r="H341" s="23" t="b">
        <f>if(countif(Status!C:C,A341)=1,TRUE, FALSE)</f>
        <v>1</v>
      </c>
    </row>
    <row r="342">
      <c r="A342" s="23" t="str">
        <f t="shared" si="7"/>
        <v>SF1014A</v>
      </c>
      <c r="B342" s="23" t="str">
        <f>'3.3.raw'!M342</f>
        <v>SF1014A</v>
      </c>
      <c r="C342" s="24">
        <f>datevalue(left('3.3.raw'!O342,10))</f>
        <v>43722</v>
      </c>
      <c r="D342" s="23">
        <f>'3.3.raw'!I342</f>
        <v>10</v>
      </c>
      <c r="E342" s="23" t="str">
        <f>'3.3.raw'!J342</f>
        <v/>
      </c>
      <c r="F342" s="23" t="str">
        <f>'3.3.raw'!K342</f>
        <v/>
      </c>
      <c r="G342" s="1">
        <v>3.30000000000003</v>
      </c>
      <c r="H342" s="23" t="b">
        <f>if(countif(Status!C:C,A342)=1,TRUE, FALSE)</f>
        <v>1</v>
      </c>
    </row>
    <row r="343">
      <c r="A343" s="23" t="str">
        <f t="shared" si="7"/>
        <v>SF1014B</v>
      </c>
      <c r="B343" s="23" t="str">
        <f>'3.3.raw'!M343</f>
        <v>SF1014B</v>
      </c>
      <c r="C343" s="24">
        <f>datevalue(left('3.3.raw'!O343,10))</f>
        <v>43714</v>
      </c>
      <c r="D343" s="23">
        <f>'3.3.raw'!I343</f>
        <v>10</v>
      </c>
      <c r="E343" s="23" t="str">
        <f>'3.3.raw'!J343</f>
        <v/>
      </c>
      <c r="F343" s="23" t="str">
        <f>'3.3.raw'!K343</f>
        <v/>
      </c>
      <c r="G343" s="1">
        <v>3.30000000000003</v>
      </c>
      <c r="H343" s="23" t="b">
        <f>if(countif(Status!C:C,A343)=1,TRUE, FALSE)</f>
        <v>1</v>
      </c>
    </row>
    <row r="344">
      <c r="A344" s="23" t="str">
        <f t="shared" si="7"/>
        <v>MO1093</v>
      </c>
      <c r="B344" s="23" t="str">
        <f>'3.3.raw'!M344</f>
        <v>MO1093</v>
      </c>
      <c r="C344" s="24">
        <f>datevalue(left('3.3.raw'!O344,10))</f>
        <v>43714</v>
      </c>
      <c r="D344" s="23">
        <f>'3.3.raw'!I344</f>
        <v>12</v>
      </c>
      <c r="E344" s="23" t="str">
        <f>'3.3.raw'!J344</f>
        <v/>
      </c>
      <c r="F344" s="23" t="str">
        <f>'3.3.raw'!K344</f>
        <v/>
      </c>
      <c r="G344" s="1">
        <v>3.30000000000003</v>
      </c>
      <c r="H344" s="23" t="b">
        <f>if(countif(Status!C:C,A344)=1,TRUE, FALSE)</f>
        <v>1</v>
      </c>
    </row>
    <row r="345">
      <c r="A345" s="23" t="str">
        <f t="shared" si="7"/>
        <v>FB1047</v>
      </c>
      <c r="B345" s="23" t="str">
        <f>'3.3.raw'!M345</f>
        <v>FB1047</v>
      </c>
      <c r="C345" s="24">
        <f>datevalue(left('3.3.raw'!O345,10))</f>
        <v>43714</v>
      </c>
      <c r="D345" s="23">
        <f>'3.3.raw'!I345</f>
        <v>99</v>
      </c>
      <c r="E345" s="23" t="str">
        <f>'3.3.raw'!J345</f>
        <v/>
      </c>
      <c r="F345" s="23" t="str">
        <f>'3.3.raw'!K345</f>
        <v/>
      </c>
      <c r="G345" s="1">
        <v>3.30000000000003</v>
      </c>
      <c r="H345" s="23" t="b">
        <f>if(countif(Status!C:C,A345)=1,TRUE, FALSE)</f>
        <v>1</v>
      </c>
    </row>
    <row r="346">
      <c r="A346" s="23" t="str">
        <f t="shared" si="7"/>
        <v>FB1047UP</v>
      </c>
      <c r="B346" s="23" t="str">
        <f>'3.3.raw'!M346</f>
        <v>FB1047UP</v>
      </c>
      <c r="C346" s="24">
        <f>datevalue(left('3.3.raw'!O346,10))</f>
        <v>43714</v>
      </c>
      <c r="D346" s="23">
        <f>'3.3.raw'!I346</f>
        <v>99</v>
      </c>
      <c r="E346" s="23" t="str">
        <f>'3.3.raw'!J346</f>
        <v/>
      </c>
      <c r="F346" s="23" t="str">
        <f>'3.3.raw'!K346</f>
        <v/>
      </c>
      <c r="G346" s="1">
        <v>3.30000000000003</v>
      </c>
      <c r="H346" s="23" t="b">
        <f>if(countif(Status!C:C,A346)=1,TRUE, FALSE)</f>
        <v>1</v>
      </c>
    </row>
    <row r="347">
      <c r="A347" s="23" t="str">
        <f t="shared" si="7"/>
        <v>SL1013</v>
      </c>
      <c r="B347" s="23" t="str">
        <f>'3.3.raw'!M347</f>
        <v>SL1013</v>
      </c>
      <c r="C347" s="24">
        <f>datevalue(left('3.3.raw'!O347,10))</f>
        <v>43721</v>
      </c>
      <c r="D347" s="23">
        <f>'3.3.raw'!I347</f>
        <v>8</v>
      </c>
      <c r="E347" s="23" t="str">
        <f>'3.3.raw'!J347</f>
        <v/>
      </c>
      <c r="F347" s="23" t="str">
        <f>'3.3.raw'!K347</f>
        <v/>
      </c>
      <c r="G347" s="1">
        <v>3.30000000000003</v>
      </c>
      <c r="H347" s="23" t="b">
        <f>if(countif(Status!C:C,A347)=1,TRUE, FALSE)</f>
        <v>1</v>
      </c>
    </row>
    <row r="348">
      <c r="A348" s="23" t="str">
        <f t="shared" si="7"/>
        <v>FB1049</v>
      </c>
      <c r="B348" s="23" t="str">
        <f>'3.3.raw'!M348</f>
        <v>FB1049</v>
      </c>
      <c r="C348" s="24">
        <f>datevalue(left('3.3.raw'!O348,10))</f>
        <v>43721</v>
      </c>
      <c r="D348" s="23">
        <f>'3.3.raw'!I348</f>
        <v>99</v>
      </c>
      <c r="E348" s="23" t="str">
        <f>'3.3.raw'!J348</f>
        <v/>
      </c>
      <c r="F348" s="23" t="str">
        <f>'3.3.raw'!K348</f>
        <v/>
      </c>
      <c r="G348" s="1">
        <v>3.30000000000003</v>
      </c>
      <c r="H348" s="23" t="b">
        <f>if(countif(Status!C:C,A348)=1,TRUE, FALSE)</f>
        <v>1</v>
      </c>
    </row>
    <row r="349">
      <c r="A349" s="23" t="str">
        <f t="shared" si="7"/>
        <v>FB1049</v>
      </c>
      <c r="B349" s="23" t="str">
        <f>'3.3.raw'!M349</f>
        <v>FB1049</v>
      </c>
      <c r="C349" s="24">
        <f>datevalue(left('3.3.raw'!O349,10))</f>
        <v>43721</v>
      </c>
      <c r="D349" s="23">
        <f>'3.3.raw'!I349</f>
        <v>99</v>
      </c>
      <c r="E349" s="23" t="str">
        <f>'3.3.raw'!J349</f>
        <v/>
      </c>
      <c r="F349" s="23" t="str">
        <f>'3.3.raw'!K349</f>
        <v/>
      </c>
      <c r="G349" s="1">
        <v>3.30000000000003</v>
      </c>
      <c r="H349" s="23" t="b">
        <f>if(countif(Status!C:C,A349)=1,TRUE, FALSE)</f>
        <v>1</v>
      </c>
    </row>
    <row r="350">
      <c r="A350" s="23" t="str">
        <f t="shared" si="7"/>
        <v>FB1049UP</v>
      </c>
      <c r="B350" s="23" t="str">
        <f>'3.3.raw'!M350</f>
        <v>FB1049UP</v>
      </c>
      <c r="C350" s="24">
        <f>datevalue(left('3.3.raw'!O350,10))</f>
        <v>43721</v>
      </c>
      <c r="D350" s="23">
        <f>'3.3.raw'!I350</f>
        <v>99</v>
      </c>
      <c r="E350" s="23" t="str">
        <f>'3.3.raw'!J350</f>
        <v/>
      </c>
      <c r="F350" s="23" t="str">
        <f>'3.3.raw'!K350</f>
        <v/>
      </c>
      <c r="G350" s="1">
        <v>3.30000000000003</v>
      </c>
      <c r="H350" s="23" t="b">
        <f>if(countif(Status!C:C,A350)=1,TRUE, FALSE)</f>
        <v>1</v>
      </c>
    </row>
    <row r="351">
      <c r="A351" s="23" t="str">
        <f t="shared" si="7"/>
        <v>SW1010</v>
      </c>
      <c r="B351" s="23" t="str">
        <f>'3.3.raw'!M351</f>
        <v>SW1010</v>
      </c>
      <c r="C351" s="24">
        <f>datevalue(left('3.3.raw'!O351,10))</f>
        <v>43721</v>
      </c>
      <c r="D351" s="23">
        <f>'3.3.raw'!I351</f>
        <v>5</v>
      </c>
      <c r="E351" s="23" t="str">
        <f>'3.3.raw'!J351</f>
        <v/>
      </c>
      <c r="F351" s="23" t="str">
        <f>'3.3.raw'!K351</f>
        <v/>
      </c>
      <c r="G351" s="1">
        <v>3.30000000000003</v>
      </c>
      <c r="H351" s="23" t="b">
        <f>if(countif(Status!C:C,A351)=1,TRUE, FALSE)</f>
        <v>1</v>
      </c>
    </row>
    <row r="352">
      <c r="A352" s="23" t="str">
        <f t="shared" si="7"/>
        <v>FB1048</v>
      </c>
      <c r="B352" s="23" t="str">
        <f>'3.3.raw'!M352</f>
        <v>FB1048</v>
      </c>
      <c r="C352" s="24">
        <f>datevalue(left('3.3.raw'!O352,10))</f>
        <v>43721</v>
      </c>
      <c r="D352" s="23">
        <f>'3.3.raw'!I352</f>
        <v>99</v>
      </c>
      <c r="E352" s="23" t="str">
        <f>'3.3.raw'!J352</f>
        <v/>
      </c>
      <c r="F352" s="23" t="str">
        <f>'3.3.raw'!K352</f>
        <v/>
      </c>
      <c r="G352" s="1">
        <v>3.30000000000003</v>
      </c>
      <c r="H352" s="23" t="b">
        <f>if(countif(Status!C:C,A352)=1,TRUE, FALSE)</f>
        <v>1</v>
      </c>
    </row>
    <row r="353">
      <c r="A353" s="23" t="str">
        <f t="shared" si="7"/>
        <v>FB1048UP</v>
      </c>
      <c r="B353" s="23" t="str">
        <f>'3.3.raw'!M353</f>
        <v>FB1048UP</v>
      </c>
      <c r="C353" s="24">
        <f>datevalue(left('3.3.raw'!O353,10))</f>
        <v>43721</v>
      </c>
      <c r="D353" s="23">
        <f>'3.3.raw'!I353</f>
        <v>99</v>
      </c>
      <c r="E353" s="23" t="str">
        <f>'3.3.raw'!J353</f>
        <v/>
      </c>
      <c r="F353" s="23" t="str">
        <f>'3.3.raw'!K353</f>
        <v/>
      </c>
      <c r="G353" s="1">
        <v>3.30000000000003</v>
      </c>
      <c r="H353" s="23" t="b">
        <f>if(countif(Status!C:C,A353)=1,TRUE, FALSE)</f>
        <v>1</v>
      </c>
    </row>
    <row r="354">
      <c r="A354" s="23" t="str">
        <f t="shared" si="7"/>
        <v>FB1050</v>
      </c>
      <c r="B354" s="23" t="str">
        <f>'3.3.raw'!M354</f>
        <v>FB1050</v>
      </c>
      <c r="C354" s="24">
        <f>datevalue(left('3.3.raw'!O354,10))</f>
        <v>43721</v>
      </c>
      <c r="D354" s="23">
        <f>'3.3.raw'!I354</f>
        <v>99</v>
      </c>
      <c r="E354" s="23" t="str">
        <f>'3.3.raw'!J354</f>
        <v/>
      </c>
      <c r="F354" s="23" t="str">
        <f>'3.3.raw'!K354</f>
        <v/>
      </c>
      <c r="G354" s="1">
        <v>3.30000000000003</v>
      </c>
      <c r="H354" s="23" t="b">
        <f>if(countif(Status!C:C,A354)=1,TRUE, FALSE)</f>
        <v>1</v>
      </c>
    </row>
    <row r="355">
      <c r="A355" s="23" t="str">
        <f t="shared" si="7"/>
        <v>FB1050UP</v>
      </c>
      <c r="B355" s="23" t="str">
        <f>'3.3.raw'!M355</f>
        <v>FB1050UP</v>
      </c>
      <c r="C355" s="24">
        <f>datevalue(left('3.3.raw'!O355,10))</f>
        <v>43721</v>
      </c>
      <c r="D355" s="23">
        <f>'3.3.raw'!I355</f>
        <v>99</v>
      </c>
      <c r="E355" s="23" t="str">
        <f>'3.3.raw'!J355</f>
        <v/>
      </c>
      <c r="F355" s="23" t="str">
        <f>'3.3.raw'!K355</f>
        <v/>
      </c>
      <c r="G355" s="1">
        <v>3.30000000000003</v>
      </c>
      <c r="H355" s="23" t="b">
        <f>if(countif(Status!C:C,A355)=1,TRUE, FALSE)</f>
        <v>1</v>
      </c>
    </row>
    <row r="356">
      <c r="A356" s="23" t="str">
        <f t="shared" si="7"/>
        <v>FPa1002</v>
      </c>
      <c r="B356" s="23" t="str">
        <f>'3.3.raw'!M356</f>
        <v>FPa1002</v>
      </c>
      <c r="C356" s="24">
        <f>datevalue(left('3.3.raw'!O356,10))</f>
        <v>43721</v>
      </c>
      <c r="D356" s="23">
        <f>'3.3.raw'!I356</f>
        <v>14</v>
      </c>
      <c r="E356" s="23">
        <f>'3.3.raw'!J356</f>
        <v>141</v>
      </c>
      <c r="F356" s="23" t="str">
        <f>'3.3.raw'!K356</f>
        <v/>
      </c>
      <c r="G356" s="1">
        <v>3.30000000000003</v>
      </c>
      <c r="H356" s="23" t="b">
        <f>if(countif(Status!C:C,A356)=1,TRUE, FALSE)</f>
        <v>1</v>
      </c>
    </row>
    <row r="357">
      <c r="A357" s="23" t="str">
        <f t="shared" si="7"/>
        <v>FPb1002</v>
      </c>
      <c r="B357" s="23" t="str">
        <f>'3.3.raw'!M357</f>
        <v>FPb1002</v>
      </c>
      <c r="C357" s="24">
        <f>datevalue(left('3.3.raw'!O357,10))</f>
        <v>43721</v>
      </c>
      <c r="D357" s="23">
        <f>'3.3.raw'!I357</f>
        <v>14</v>
      </c>
      <c r="E357" s="23">
        <f>'3.3.raw'!J357</f>
        <v>142</v>
      </c>
      <c r="F357" s="23" t="str">
        <f>'3.3.raw'!K357</f>
        <v/>
      </c>
      <c r="G357" s="1">
        <v>3.30000000000003</v>
      </c>
      <c r="H357" s="23" t="b">
        <f>if(countif(Status!C:C,A357)=1,TRUE, FALSE)</f>
        <v>1</v>
      </c>
    </row>
    <row r="358">
      <c r="A358" s="23" t="str">
        <f t="shared" si="7"/>
        <v>FPc1002</v>
      </c>
      <c r="B358" s="23" t="str">
        <f>'3.3.raw'!M358</f>
        <v>FPc1002</v>
      </c>
      <c r="C358" s="24">
        <f>datevalue(left('3.3.raw'!O358,10))</f>
        <v>43721</v>
      </c>
      <c r="D358" s="23">
        <f>'3.3.raw'!I358</f>
        <v>14</v>
      </c>
      <c r="E358" s="23">
        <f>'3.3.raw'!J358</f>
        <v>143</v>
      </c>
      <c r="F358" s="23" t="str">
        <f>'3.3.raw'!K358</f>
        <v/>
      </c>
      <c r="G358" s="1">
        <v>3.30000000000003</v>
      </c>
      <c r="H358" s="23" t="b">
        <f>if(countif(Status!C:C,A358)=1,TRUE, FALSE)</f>
        <v>1</v>
      </c>
    </row>
    <row r="359">
      <c r="A359" s="23" t="str">
        <f t="shared" si="7"/>
        <v>FPd1002</v>
      </c>
      <c r="B359" s="23" t="str">
        <f>'3.3.raw'!M359</f>
        <v>FPd1002</v>
      </c>
      <c r="C359" s="24">
        <f>datevalue(left('3.3.raw'!O359,10))</f>
        <v>43721</v>
      </c>
      <c r="D359" s="23">
        <f>'3.3.raw'!I359</f>
        <v>14</v>
      </c>
      <c r="E359" s="23">
        <f>'3.3.raw'!J359</f>
        <v>144</v>
      </c>
      <c r="F359" s="23" t="str">
        <f>'3.3.raw'!K359</f>
        <v/>
      </c>
      <c r="G359" s="1">
        <v>3.30000000000003</v>
      </c>
      <c r="H359" s="23" t="b">
        <f>if(countif(Status!C:C,A359)=1,TRUE, FALSE)</f>
        <v>1</v>
      </c>
    </row>
    <row r="360">
      <c r="A360" s="23" t="str">
        <f t="shared" si="7"/>
        <v>FPe1002</v>
      </c>
      <c r="B360" s="23" t="str">
        <f>'3.3.raw'!M360</f>
        <v>FPe1002</v>
      </c>
      <c r="C360" s="24">
        <f>datevalue(left('3.3.raw'!O360,10))</f>
        <v>43721</v>
      </c>
      <c r="D360" s="23">
        <f>'3.3.raw'!I360</f>
        <v>14</v>
      </c>
      <c r="E360" s="23">
        <f>'3.3.raw'!J360</f>
        <v>145</v>
      </c>
      <c r="F360" s="23" t="str">
        <f>'3.3.raw'!K360</f>
        <v/>
      </c>
      <c r="G360" s="1">
        <v>3.30000000000003</v>
      </c>
      <c r="H360" s="23" t="b">
        <f>if(countif(Status!C:C,A360)=1,TRUE, FALSE)</f>
        <v>1</v>
      </c>
    </row>
    <row r="361">
      <c r="A361" s="23" t="str">
        <f t="shared" si="7"/>
        <v>PLc1025</v>
      </c>
      <c r="B361" s="23" t="str">
        <f>'3.3.raw'!M361</f>
        <v>PLc1025</v>
      </c>
      <c r="C361" s="24">
        <f>datevalue(left('3.3.raw'!O361,10))</f>
        <v>43726</v>
      </c>
      <c r="D361" s="23">
        <f>'3.3.raw'!I361</f>
        <v>11</v>
      </c>
      <c r="E361" s="23" t="str">
        <f>'3.3.raw'!J361</f>
        <v/>
      </c>
      <c r="F361" s="23" t="str">
        <f>'3.3.raw'!K361</f>
        <v/>
      </c>
      <c r="G361" s="1">
        <v>3.30000000000003</v>
      </c>
      <c r="H361" s="23" t="b">
        <f>if(countif(Status!C:C,A361)=1,TRUE, FALSE)</f>
        <v>1</v>
      </c>
    </row>
    <row r="362">
      <c r="A362" s="23" t="str">
        <f t="shared" si="7"/>
        <v>FB1051</v>
      </c>
      <c r="B362" s="23" t="str">
        <f>'3.3.raw'!M362</f>
        <v>FB1051</v>
      </c>
      <c r="C362" s="24">
        <f>datevalue(left('3.3.raw'!O362,10))</f>
        <v>43726</v>
      </c>
      <c r="D362" s="23">
        <f>'3.3.raw'!I362</f>
        <v>99</v>
      </c>
      <c r="E362" s="23" t="str">
        <f>'3.3.raw'!J362</f>
        <v/>
      </c>
      <c r="F362" s="23" t="str">
        <f>'3.3.raw'!K362</f>
        <v/>
      </c>
      <c r="G362" s="1">
        <v>3.30000000000003</v>
      </c>
      <c r="H362" s="23" t="b">
        <f>if(countif(Status!C:C,A362)=1,TRUE, FALSE)</f>
        <v>1</v>
      </c>
    </row>
    <row r="363">
      <c r="A363" s="23" t="str">
        <f t="shared" si="7"/>
        <v>COa1003</v>
      </c>
      <c r="B363" s="23" t="str">
        <f>'3.3.raw'!M363</f>
        <v>COa1003</v>
      </c>
      <c r="C363" s="24">
        <f>datevalue(left('3.3.raw'!O363,10))</f>
        <v>43727</v>
      </c>
      <c r="D363" s="23">
        <f>'3.3.raw'!I363</f>
        <v>15</v>
      </c>
      <c r="E363" s="23" t="str">
        <f>'3.3.raw'!J363</f>
        <v/>
      </c>
      <c r="F363" s="23">
        <f>'3.3.raw'!K363</f>
        <v>151</v>
      </c>
      <c r="G363" s="1">
        <v>3.30000000000003</v>
      </c>
      <c r="H363" s="23" t="b">
        <f>if(countif(Status!C:C,A363)=1,TRUE, FALSE)</f>
        <v>1</v>
      </c>
    </row>
    <row r="364">
      <c r="A364" s="49" t="s">
        <v>215</v>
      </c>
      <c r="B364" s="23" t="str">
        <f>'3.3.raw'!M364</f>
        <v>COa1003</v>
      </c>
      <c r="C364" s="24">
        <f>datevalue(left('3.3.raw'!O364,10))</f>
        <v>43727</v>
      </c>
      <c r="D364" s="23">
        <f>'3.3.raw'!I364</f>
        <v>15</v>
      </c>
      <c r="E364" s="23" t="str">
        <f>'3.3.raw'!J364</f>
        <v/>
      </c>
      <c r="F364" s="23">
        <f>'3.3.raw'!K364</f>
        <v>152</v>
      </c>
      <c r="G364" s="1">
        <v>3.30000000000003</v>
      </c>
      <c r="H364" s="23" t="b">
        <f>if(countif(Status!C:C,A364)=1,TRUE, FALSE)</f>
        <v>1</v>
      </c>
      <c r="I364" s="1" t="s">
        <v>217</v>
      </c>
      <c r="J364" s="50" t="s">
        <v>1832</v>
      </c>
    </row>
    <row r="365">
      <c r="A365" s="23" t="str">
        <f t="shared" ref="A365:A415" si="8">B365</f>
        <v>COb1008</v>
      </c>
      <c r="B365" s="23" t="str">
        <f>'3.3.raw'!M365</f>
        <v>COb1008</v>
      </c>
      <c r="C365" s="24">
        <f>datevalue(left('3.3.raw'!O365,10))</f>
        <v>43727</v>
      </c>
      <c r="D365" s="23">
        <f>'3.3.raw'!I365</f>
        <v>15</v>
      </c>
      <c r="E365" s="23" t="str">
        <f>'3.3.raw'!J365</f>
        <v/>
      </c>
      <c r="F365" s="23">
        <f>'3.3.raw'!K365</f>
        <v>152</v>
      </c>
      <c r="G365" s="1">
        <v>3.30000000000003</v>
      </c>
      <c r="H365" s="23" t="b">
        <f>if(countif(Status!C:C,A365)=1,TRUE, FALSE)</f>
        <v>1</v>
      </c>
    </row>
    <row r="366">
      <c r="A366" s="23" t="str">
        <f t="shared" si="8"/>
        <v>COb1007</v>
      </c>
      <c r="B366" s="23" t="str">
        <f>'3.3.raw'!M366</f>
        <v>COb1007</v>
      </c>
      <c r="C366" s="24">
        <f>datevalue(left('3.3.raw'!O366,10))</f>
        <v>43727</v>
      </c>
      <c r="D366" s="23">
        <f>'3.3.raw'!I366</f>
        <v>15</v>
      </c>
      <c r="E366" s="23" t="str">
        <f>'3.3.raw'!J366</f>
        <v/>
      </c>
      <c r="F366" s="23">
        <f>'3.3.raw'!K366</f>
        <v>152</v>
      </c>
      <c r="G366" s="1">
        <v>3.30000000000003</v>
      </c>
      <c r="H366" s="23" t="b">
        <f>if(countif(Status!C:C,A366)=1,TRUE, FALSE)</f>
        <v>1</v>
      </c>
    </row>
    <row r="367">
      <c r="A367" s="23" t="str">
        <f t="shared" si="8"/>
        <v>COb1009</v>
      </c>
      <c r="B367" s="23" t="str">
        <f>'3.3.raw'!M367</f>
        <v>COb1009</v>
      </c>
      <c r="C367" s="24">
        <f>datevalue(left('3.3.raw'!O367,10))</f>
        <v>43727</v>
      </c>
      <c r="D367" s="23">
        <f>'3.3.raw'!I367</f>
        <v>15</v>
      </c>
      <c r="E367" s="23" t="str">
        <f>'3.3.raw'!J367</f>
        <v/>
      </c>
      <c r="F367" s="23">
        <f>'3.3.raw'!K367</f>
        <v>152</v>
      </c>
      <c r="G367" s="1">
        <v>3.30000000000004</v>
      </c>
      <c r="H367" s="23" t="b">
        <f>if(countif(Status!C:C,A367)=1,TRUE, FALSE)</f>
        <v>1</v>
      </c>
    </row>
    <row r="368">
      <c r="A368" s="23" t="str">
        <f t="shared" si="8"/>
        <v>FB1052</v>
      </c>
      <c r="B368" s="23" t="str">
        <f>'3.3.raw'!M368</f>
        <v>FB1052</v>
      </c>
      <c r="C368" s="24">
        <f>datevalue(left('3.3.raw'!O368,10))</f>
        <v>43727</v>
      </c>
      <c r="D368" s="23">
        <f>'3.3.raw'!I368</f>
        <v>99</v>
      </c>
      <c r="E368" s="23" t="str">
        <f>'3.3.raw'!J368</f>
        <v/>
      </c>
      <c r="F368" s="23" t="str">
        <f>'3.3.raw'!K368</f>
        <v/>
      </c>
      <c r="G368" s="1">
        <v>3.30000000000004</v>
      </c>
      <c r="H368" s="23" t="b">
        <f>if(countif(Status!C:C,A368)=1,TRUE, FALSE)</f>
        <v>1</v>
      </c>
    </row>
    <row r="369">
      <c r="A369" s="23" t="str">
        <f t="shared" si="8"/>
        <v>MO1094</v>
      </c>
      <c r="B369" s="23" t="str">
        <f>'3.3.raw'!M369</f>
        <v>MO1094</v>
      </c>
      <c r="C369" s="24">
        <f>datevalue(left('3.3.raw'!O369,10))</f>
        <v>43727</v>
      </c>
      <c r="D369" s="23">
        <f>'3.3.raw'!I369</f>
        <v>12</v>
      </c>
      <c r="E369" s="23" t="str">
        <f>'3.3.raw'!J369</f>
        <v/>
      </c>
      <c r="F369" s="23" t="str">
        <f>'3.3.raw'!K369</f>
        <v/>
      </c>
      <c r="G369" s="1">
        <v>3.30000000000004</v>
      </c>
      <c r="H369" s="23" t="b">
        <f>if(countif(Status!C:C,A369)=1,TRUE, FALSE)</f>
        <v>1</v>
      </c>
    </row>
    <row r="370">
      <c r="A370" s="23" t="str">
        <f t="shared" si="8"/>
        <v>FB1054</v>
      </c>
      <c r="B370" s="23" t="str">
        <f>'3.3.raw'!M370</f>
        <v>FB1054</v>
      </c>
      <c r="C370" s="24">
        <f>datevalue(left('3.3.raw'!O370,10))</f>
        <v>43727</v>
      </c>
      <c r="D370" s="23">
        <f>'3.3.raw'!I370</f>
        <v>99</v>
      </c>
      <c r="E370" s="23" t="str">
        <f>'3.3.raw'!J370</f>
        <v/>
      </c>
      <c r="F370" s="23" t="str">
        <f>'3.3.raw'!K370</f>
        <v/>
      </c>
      <c r="G370" s="1">
        <v>3.30000000000004</v>
      </c>
      <c r="H370" s="23" t="b">
        <f>if(countif(Status!C:C,A370)=1,TRUE, FALSE)</f>
        <v>1</v>
      </c>
    </row>
    <row r="371">
      <c r="A371" s="23" t="str">
        <f t="shared" si="8"/>
        <v>UPNC24</v>
      </c>
      <c r="B371" s="23" t="str">
        <f>'3.3.raw'!M371</f>
        <v>UPNC24</v>
      </c>
      <c r="C371" s="24">
        <f>datevalue(left('3.3.raw'!O371,10))</f>
        <v>43727</v>
      </c>
      <c r="D371" s="23">
        <f>'3.3.raw'!I371</f>
        <v>98</v>
      </c>
      <c r="E371" s="23" t="str">
        <f>'3.3.raw'!J371</f>
        <v/>
      </c>
      <c r="F371" s="23" t="str">
        <f>'3.3.raw'!K371</f>
        <v/>
      </c>
      <c r="G371" s="1">
        <v>3.30000000000004</v>
      </c>
      <c r="H371" s="23" t="b">
        <f>if(countif(Status!C:C,A371)=1,TRUE, FALSE)</f>
        <v>1</v>
      </c>
    </row>
    <row r="372">
      <c r="A372" s="23" t="str">
        <f t="shared" si="8"/>
        <v>COa1004</v>
      </c>
      <c r="B372" s="23" t="str">
        <f>'3.3.raw'!M372</f>
        <v>COa1004</v>
      </c>
      <c r="C372" s="24">
        <f>datevalue(left('3.3.raw'!O372,10))</f>
        <v>43727</v>
      </c>
      <c r="D372" s="23">
        <f>'3.3.raw'!I372</f>
        <v>15</v>
      </c>
      <c r="E372" s="23" t="str">
        <f>'3.3.raw'!J372</f>
        <v/>
      </c>
      <c r="F372" s="23">
        <f>'3.3.raw'!K372</f>
        <v>151</v>
      </c>
      <c r="G372" s="1">
        <v>3.30000000000004</v>
      </c>
      <c r="H372" s="23" t="b">
        <f>if(countif(Status!C:C,A372)=1,TRUE, FALSE)</f>
        <v>1</v>
      </c>
    </row>
    <row r="373">
      <c r="A373" s="23" t="str">
        <f t="shared" si="8"/>
        <v>COb1010</v>
      </c>
      <c r="B373" s="23" t="str">
        <f>'3.3.raw'!M373</f>
        <v>COb1010</v>
      </c>
      <c r="C373" s="24">
        <f>datevalue(left('3.3.raw'!O373,10))</f>
        <v>43727</v>
      </c>
      <c r="D373" s="23">
        <f>'3.3.raw'!I373</f>
        <v>15</v>
      </c>
      <c r="E373" s="23" t="str">
        <f>'3.3.raw'!J373</f>
        <v/>
      </c>
      <c r="F373" s="23">
        <f>'3.3.raw'!K373</f>
        <v>152</v>
      </c>
      <c r="G373" s="1">
        <v>3.30000000000004</v>
      </c>
      <c r="H373" s="23" t="b">
        <f>if(countif(Status!C:C,A373)=1,TRUE, FALSE)</f>
        <v>1</v>
      </c>
    </row>
    <row r="374">
      <c r="A374" s="23" t="str">
        <f t="shared" si="8"/>
        <v>COb1011</v>
      </c>
      <c r="B374" s="23" t="str">
        <f>'3.3.raw'!M374</f>
        <v>COb1011</v>
      </c>
      <c r="C374" s="24">
        <f>datevalue(left('3.3.raw'!O374,10))</f>
        <v>43727</v>
      </c>
      <c r="D374" s="23">
        <f>'3.3.raw'!I374</f>
        <v>15</v>
      </c>
      <c r="E374" s="23" t="str">
        <f>'3.3.raw'!J374</f>
        <v/>
      </c>
      <c r="F374" s="23">
        <f>'3.3.raw'!K374</f>
        <v>152</v>
      </c>
      <c r="G374" s="1">
        <v>3.30000000000004</v>
      </c>
      <c r="H374" s="23" t="b">
        <f>if(countif(Status!C:C,A374)=1,TRUE, FALSE)</f>
        <v>1</v>
      </c>
    </row>
    <row r="375">
      <c r="A375" s="23" t="str">
        <f t="shared" si="8"/>
        <v>COb1012</v>
      </c>
      <c r="B375" s="23" t="str">
        <f>'3.3.raw'!M375</f>
        <v>COb1012</v>
      </c>
      <c r="C375" s="24">
        <f>datevalue(left('3.3.raw'!O375,10))</f>
        <v>43727</v>
      </c>
      <c r="D375" s="23">
        <f>'3.3.raw'!I375</f>
        <v>15</v>
      </c>
      <c r="E375" s="23" t="str">
        <f>'3.3.raw'!J375</f>
        <v/>
      </c>
      <c r="F375" s="23">
        <f>'3.3.raw'!K375</f>
        <v>152</v>
      </c>
      <c r="G375" s="1">
        <v>3.30000000000004</v>
      </c>
      <c r="H375" s="23" t="b">
        <f>if(countif(Status!C:C,A375)=1,TRUE, FALSE)</f>
        <v>1</v>
      </c>
    </row>
    <row r="376">
      <c r="A376" s="23" t="str">
        <f t="shared" si="8"/>
        <v>COb1013</v>
      </c>
      <c r="B376" s="23" t="str">
        <f>'3.3.raw'!M376</f>
        <v>COb1013</v>
      </c>
      <c r="C376" s="24">
        <f>datevalue(left('3.3.raw'!O376,10))</f>
        <v>43727</v>
      </c>
      <c r="D376" s="23">
        <f>'3.3.raw'!I376</f>
        <v>15</v>
      </c>
      <c r="E376" s="23" t="str">
        <f>'3.3.raw'!J376</f>
        <v/>
      </c>
      <c r="F376" s="23">
        <f>'3.3.raw'!K376</f>
        <v>152</v>
      </c>
      <c r="G376" s="1">
        <v>3.30000000000004</v>
      </c>
      <c r="H376" s="23" t="b">
        <f>if(countif(Status!C:C,A376)=1,TRUE, FALSE)</f>
        <v>1</v>
      </c>
    </row>
    <row r="377">
      <c r="A377" s="23" t="str">
        <f t="shared" si="8"/>
        <v>FB1053</v>
      </c>
      <c r="B377" s="23" t="str">
        <f>'3.3.raw'!M377</f>
        <v>FB1053</v>
      </c>
      <c r="C377" s="24">
        <f>datevalue(left('3.3.raw'!O377,10))</f>
        <v>43727</v>
      </c>
      <c r="D377" s="23">
        <f>'3.3.raw'!I377</f>
        <v>99</v>
      </c>
      <c r="E377" s="23" t="str">
        <f>'3.3.raw'!J377</f>
        <v/>
      </c>
      <c r="F377" s="23" t="str">
        <f>'3.3.raw'!K377</f>
        <v/>
      </c>
      <c r="G377" s="1">
        <v>3.30000000000004</v>
      </c>
      <c r="H377" s="23" t="b">
        <f>if(countif(Status!C:C,A377)=1,TRUE, FALSE)</f>
        <v>1</v>
      </c>
    </row>
    <row r="378">
      <c r="A378" s="23" t="str">
        <f t="shared" si="8"/>
        <v>UPNC24</v>
      </c>
      <c r="B378" s="23" t="str">
        <f>'3.3.raw'!M378</f>
        <v>UPNC24</v>
      </c>
      <c r="C378" s="24">
        <f>datevalue(left('3.3.raw'!O378,10))</f>
        <v>43727</v>
      </c>
      <c r="D378" s="23">
        <f>'3.3.raw'!I378</f>
        <v>98</v>
      </c>
      <c r="E378" s="23" t="str">
        <f>'3.3.raw'!J378</f>
        <v/>
      </c>
      <c r="F378" s="23" t="str">
        <f>'3.3.raw'!K378</f>
        <v/>
      </c>
      <c r="G378" s="1">
        <v>3.30000000000004</v>
      </c>
      <c r="H378" s="23" t="b">
        <f>if(countif(Status!C:C,A378)=1,TRUE, FALSE)</f>
        <v>1</v>
      </c>
    </row>
    <row r="379">
      <c r="A379" s="23" t="str">
        <f t="shared" si="8"/>
        <v>PLc1026</v>
      </c>
      <c r="B379" s="23" t="str">
        <f>'3.3.raw'!M379</f>
        <v>PLc1026</v>
      </c>
      <c r="C379" s="24">
        <f>datevalue(left('3.3.raw'!O379,10))</f>
        <v>43731</v>
      </c>
      <c r="D379" s="23">
        <f>'3.3.raw'!I379</f>
        <v>11</v>
      </c>
      <c r="E379" s="23" t="str">
        <f>'3.3.raw'!J379</f>
        <v/>
      </c>
      <c r="F379" s="23" t="str">
        <f>'3.3.raw'!K379</f>
        <v/>
      </c>
      <c r="G379" s="1">
        <v>3.30000000000004</v>
      </c>
      <c r="H379" s="23" t="b">
        <f>if(countif(Status!C:C,A379)=1,TRUE, FALSE)</f>
        <v>1</v>
      </c>
    </row>
    <row r="380">
      <c r="A380" s="23" t="str">
        <f t="shared" si="8"/>
        <v>FB1055</v>
      </c>
      <c r="B380" s="23" t="str">
        <f>'3.3.raw'!M380</f>
        <v>FB1055</v>
      </c>
      <c r="C380" s="24">
        <f>datevalue(left('3.3.raw'!O380,10))</f>
        <v>43731</v>
      </c>
      <c r="D380" s="23">
        <f>'3.3.raw'!I380</f>
        <v>99</v>
      </c>
      <c r="E380" s="23" t="str">
        <f>'3.3.raw'!J380</f>
        <v/>
      </c>
      <c r="F380" s="23" t="str">
        <f>'3.3.raw'!K380</f>
        <v/>
      </c>
      <c r="G380" s="1">
        <v>3.30000000000004</v>
      </c>
      <c r="H380" s="23" t="b">
        <f>if(countif(Status!C:C,A380)=1,TRUE, FALSE)</f>
        <v>1</v>
      </c>
    </row>
    <row r="381">
      <c r="A381" s="23" t="str">
        <f t="shared" si="8"/>
        <v>FB1055UP</v>
      </c>
      <c r="B381" s="23" t="str">
        <f>'3.3.raw'!M381</f>
        <v>FB1055UP</v>
      </c>
      <c r="C381" s="24">
        <f>datevalue(left('3.3.raw'!O381,10))</f>
        <v>43731</v>
      </c>
      <c r="D381" s="23">
        <f>'3.3.raw'!I381</f>
        <v>99</v>
      </c>
      <c r="E381" s="23" t="str">
        <f>'3.3.raw'!J381</f>
        <v/>
      </c>
      <c r="F381" s="23" t="str">
        <f>'3.3.raw'!K381</f>
        <v/>
      </c>
      <c r="G381" s="1">
        <v>3.30000000000004</v>
      </c>
      <c r="H381" s="23" t="b">
        <f>if(countif(Status!C:C,A381)=1,TRUE, FALSE)</f>
        <v>1</v>
      </c>
    </row>
    <row r="382">
      <c r="A382" s="23" t="str">
        <f t="shared" si="8"/>
        <v>MO1095</v>
      </c>
      <c r="B382" s="23" t="str">
        <f>'3.3.raw'!M382</f>
        <v>MO1095</v>
      </c>
      <c r="C382" s="24">
        <f>datevalue(left('3.3.raw'!O382,10))</f>
        <v>43731</v>
      </c>
      <c r="D382" s="23">
        <f>'3.3.raw'!I382</f>
        <v>12</v>
      </c>
      <c r="E382" s="23" t="str">
        <f>'3.3.raw'!J382</f>
        <v/>
      </c>
      <c r="F382" s="23" t="str">
        <f>'3.3.raw'!K382</f>
        <v/>
      </c>
      <c r="G382" s="1">
        <v>3.30000000000004</v>
      </c>
      <c r="H382" s="23" t="b">
        <f>if(countif(Status!C:C,A382)=1,TRUE, FALSE)</f>
        <v>1</v>
      </c>
    </row>
    <row r="383">
      <c r="A383" s="23" t="str">
        <f t="shared" si="8"/>
        <v>FB1056</v>
      </c>
      <c r="B383" s="23" t="str">
        <f>'3.3.raw'!M383</f>
        <v>FB1056</v>
      </c>
      <c r="C383" s="24">
        <f>datevalue(left('3.3.raw'!O383,10))</f>
        <v>43731</v>
      </c>
      <c r="D383" s="23">
        <f>'3.3.raw'!I383</f>
        <v>99</v>
      </c>
      <c r="E383" s="23" t="str">
        <f>'3.3.raw'!J383</f>
        <v/>
      </c>
      <c r="F383" s="23" t="str">
        <f>'3.3.raw'!K383</f>
        <v/>
      </c>
      <c r="G383" s="1">
        <v>3.30000000000004</v>
      </c>
      <c r="H383" s="23" t="b">
        <f>if(countif(Status!C:C,A383)=1,TRUE, FALSE)</f>
        <v>1</v>
      </c>
    </row>
    <row r="384">
      <c r="A384" s="23" t="str">
        <f t="shared" si="8"/>
        <v>FB1056UP</v>
      </c>
      <c r="B384" s="23" t="str">
        <f>'3.3.raw'!M384</f>
        <v>FB1056UP</v>
      </c>
      <c r="C384" s="24">
        <f>datevalue(left('3.3.raw'!O384,10))</f>
        <v>43731</v>
      </c>
      <c r="D384" s="23">
        <f>'3.3.raw'!I384</f>
        <v>99</v>
      </c>
      <c r="E384" s="23" t="str">
        <f>'3.3.raw'!J384</f>
        <v/>
      </c>
      <c r="F384" s="23" t="str">
        <f>'3.3.raw'!K384</f>
        <v/>
      </c>
      <c r="G384" s="1">
        <v>3.30000000000004</v>
      </c>
      <c r="H384" s="23" t="b">
        <f>if(countif(Status!C:C,A384)=1,TRUE, FALSE)</f>
        <v>1</v>
      </c>
    </row>
    <row r="385">
      <c r="A385" s="23" t="str">
        <f t="shared" si="8"/>
        <v>UPNC25</v>
      </c>
      <c r="B385" s="23" t="str">
        <f>'3.3.raw'!M385</f>
        <v>UPNC25</v>
      </c>
      <c r="C385" s="24">
        <f>datevalue(left('3.3.raw'!O385,10))</f>
        <v>43731</v>
      </c>
      <c r="D385" s="23">
        <f>'3.3.raw'!I385</f>
        <v>98</v>
      </c>
      <c r="E385" s="23" t="str">
        <f>'3.3.raw'!J385</f>
        <v/>
      </c>
      <c r="F385" s="23" t="str">
        <f>'3.3.raw'!K385</f>
        <v/>
      </c>
      <c r="G385" s="1">
        <v>3.30000000000004</v>
      </c>
      <c r="H385" s="23" t="b">
        <f>if(countif(Status!C:C,A385)=1,TRUE, FALSE)</f>
        <v>1</v>
      </c>
    </row>
    <row r="386">
      <c r="A386" s="23" t="str">
        <f t="shared" si="8"/>
        <v>FB1057</v>
      </c>
      <c r="B386" s="23" t="str">
        <f>'3.3.raw'!M386</f>
        <v>FB1057</v>
      </c>
      <c r="C386" s="24">
        <f>datevalue(left('3.3.raw'!O386,10))</f>
        <v>43733</v>
      </c>
      <c r="D386" s="23">
        <f>'3.3.raw'!I386</f>
        <v>99</v>
      </c>
      <c r="E386" s="23" t="str">
        <f>'3.3.raw'!J386</f>
        <v/>
      </c>
      <c r="F386" s="23" t="str">
        <f>'3.3.raw'!K386</f>
        <v/>
      </c>
      <c r="G386" s="1">
        <v>3.30000000000004</v>
      </c>
      <c r="H386" s="23" t="b">
        <f>if(countif(Status!C:C,A386)=1,TRUE, FALSE)</f>
        <v>1</v>
      </c>
    </row>
    <row r="387">
      <c r="A387" s="23" t="str">
        <f t="shared" si="8"/>
        <v>FB1057UP</v>
      </c>
      <c r="B387" s="23" t="str">
        <f>'3.3.raw'!M387</f>
        <v>FB1057UP</v>
      </c>
      <c r="C387" s="24">
        <f>datevalue(left('3.3.raw'!O387,10))</f>
        <v>43733</v>
      </c>
      <c r="D387" s="23">
        <f>'3.3.raw'!I387</f>
        <v>99</v>
      </c>
      <c r="E387" s="23" t="str">
        <f>'3.3.raw'!J387</f>
        <v/>
      </c>
      <c r="F387" s="23" t="str">
        <f>'3.3.raw'!K387</f>
        <v/>
      </c>
      <c r="G387" s="1">
        <v>3.30000000000004</v>
      </c>
      <c r="H387" s="23" t="b">
        <f>if(countif(Status!C:C,A387)=1,TRUE, FALSE)</f>
        <v>1</v>
      </c>
    </row>
    <row r="388">
      <c r="A388" s="23" t="str">
        <f t="shared" si="8"/>
        <v>PLc1027</v>
      </c>
      <c r="B388" s="23" t="str">
        <f>'3.3.raw'!M388</f>
        <v>PLc1027</v>
      </c>
      <c r="C388" s="24">
        <f>datevalue(left('3.3.raw'!O388,10))</f>
        <v>43733</v>
      </c>
      <c r="D388" s="23">
        <f>'3.3.raw'!I388</f>
        <v>11</v>
      </c>
      <c r="E388" s="23" t="str">
        <f>'3.3.raw'!J388</f>
        <v/>
      </c>
      <c r="F388" s="23" t="str">
        <f>'3.3.raw'!K388</f>
        <v/>
      </c>
      <c r="G388" s="1">
        <v>3.30000000000004</v>
      </c>
      <c r="H388" s="23" t="b">
        <f>if(countif(Status!C:C,A388)=1,TRUE, FALSE)</f>
        <v>1</v>
      </c>
    </row>
    <row r="389">
      <c r="A389" s="23" t="str">
        <f t="shared" si="8"/>
        <v>UPNC26</v>
      </c>
      <c r="B389" s="23" t="str">
        <f>'3.3.raw'!M389</f>
        <v>UPNC26</v>
      </c>
      <c r="C389" s="24">
        <f>datevalue(left('3.3.raw'!O389,10))</f>
        <v>43733</v>
      </c>
      <c r="D389" s="23">
        <f>'3.3.raw'!I389</f>
        <v>98</v>
      </c>
      <c r="E389" s="23" t="str">
        <f>'3.3.raw'!J389</f>
        <v/>
      </c>
      <c r="F389" s="23" t="str">
        <f>'3.3.raw'!K389</f>
        <v/>
      </c>
      <c r="G389" s="1">
        <v>3.30000000000004</v>
      </c>
      <c r="H389" s="23" t="b">
        <f>if(countif(Status!C:C,A389)=1,TRUE, FALSE)</f>
        <v>1</v>
      </c>
    </row>
    <row r="390">
      <c r="A390" s="23" t="str">
        <f t="shared" si="8"/>
        <v>PLc1028</v>
      </c>
      <c r="B390" s="23" t="str">
        <f>'3.3.raw'!M390</f>
        <v>PLc1028</v>
      </c>
      <c r="C390" s="24">
        <f>datevalue(left('3.3.raw'!O390,10))</f>
        <v>43735</v>
      </c>
      <c r="D390" s="23">
        <f>'3.3.raw'!I390</f>
        <v>11</v>
      </c>
      <c r="E390" s="23" t="str">
        <f>'3.3.raw'!J390</f>
        <v/>
      </c>
      <c r="F390" s="23" t="str">
        <f>'3.3.raw'!K390</f>
        <v/>
      </c>
      <c r="G390" s="1">
        <v>3.30000000000004</v>
      </c>
      <c r="H390" s="23" t="b">
        <f>if(countif(Status!C:C,A390)=1,TRUE, FALSE)</f>
        <v>1</v>
      </c>
    </row>
    <row r="391">
      <c r="A391" s="23" t="str">
        <f t="shared" si="8"/>
        <v>FB1060</v>
      </c>
      <c r="B391" s="23" t="str">
        <f>'3.3.raw'!M391</f>
        <v>FB1060</v>
      </c>
      <c r="C391" s="24">
        <f>datevalue(left('3.3.raw'!O391,10))</f>
        <v>43735</v>
      </c>
      <c r="D391" s="23">
        <f>'3.3.raw'!I391</f>
        <v>99</v>
      </c>
      <c r="E391" s="23" t="str">
        <f>'3.3.raw'!J391</f>
        <v/>
      </c>
      <c r="F391" s="23" t="str">
        <f>'3.3.raw'!K391</f>
        <v/>
      </c>
      <c r="G391" s="1">
        <v>3.30000000000004</v>
      </c>
      <c r="H391" s="23" t="b">
        <f>if(countif(Status!C:C,A391)=1,TRUE, FALSE)</f>
        <v>1</v>
      </c>
    </row>
    <row r="392">
      <c r="A392" s="23" t="str">
        <f t="shared" si="8"/>
        <v>FB1060UP</v>
      </c>
      <c r="B392" s="23" t="str">
        <f>'3.3.raw'!M392</f>
        <v>FB1060UP</v>
      </c>
      <c r="C392" s="24">
        <f>datevalue(left('3.3.raw'!O392,10))</f>
        <v>43735</v>
      </c>
      <c r="D392" s="23">
        <f>'3.3.raw'!I392</f>
        <v>99</v>
      </c>
      <c r="E392" s="23" t="str">
        <f>'3.3.raw'!J392</f>
        <v/>
      </c>
      <c r="F392" s="23" t="str">
        <f>'3.3.raw'!K392</f>
        <v/>
      </c>
      <c r="G392" s="1">
        <v>3.30000000000004</v>
      </c>
      <c r="H392" s="23" t="b">
        <f>if(countif(Status!C:C,A392)=1,TRUE, FALSE)</f>
        <v>1</v>
      </c>
    </row>
    <row r="393">
      <c r="A393" s="23" t="str">
        <f t="shared" si="8"/>
        <v>MO1098</v>
      </c>
      <c r="B393" s="23" t="str">
        <f>'3.3.raw'!M393</f>
        <v>MO1098</v>
      </c>
      <c r="C393" s="24">
        <f>datevalue(left('3.3.raw'!O393,10))</f>
        <v>43735</v>
      </c>
      <c r="D393" s="23">
        <f>'3.3.raw'!I393</f>
        <v>12</v>
      </c>
      <c r="E393" s="23" t="str">
        <f>'3.3.raw'!J393</f>
        <v/>
      </c>
      <c r="F393" s="23" t="str">
        <f>'3.3.raw'!K393</f>
        <v/>
      </c>
      <c r="G393" s="1">
        <v>3.30000000000004</v>
      </c>
      <c r="H393" s="23" t="b">
        <f>if(countif(Status!C:C,A393)=1,TRUE, FALSE)</f>
        <v>1</v>
      </c>
    </row>
    <row r="394">
      <c r="A394" s="23" t="str">
        <f t="shared" si="8"/>
        <v>FB1061</v>
      </c>
      <c r="B394" s="23" t="str">
        <f>'3.3.raw'!M394</f>
        <v>FB1061</v>
      </c>
      <c r="C394" s="24">
        <f>datevalue(left('3.3.raw'!O394,10))</f>
        <v>43735</v>
      </c>
      <c r="D394" s="23">
        <f>'3.3.raw'!I394</f>
        <v>99</v>
      </c>
      <c r="E394" s="23" t="str">
        <f>'3.3.raw'!J394</f>
        <v/>
      </c>
      <c r="F394" s="23" t="str">
        <f>'3.3.raw'!K394</f>
        <v/>
      </c>
      <c r="G394" s="1">
        <v>3.30000000000004</v>
      </c>
      <c r="H394" s="23" t="b">
        <f>if(countif(Status!C:C,A394)=1,TRUE, FALSE)</f>
        <v>1</v>
      </c>
    </row>
    <row r="395">
      <c r="A395" s="23" t="str">
        <f t="shared" si="8"/>
        <v>FB1061UP</v>
      </c>
      <c r="B395" s="23" t="str">
        <f>'3.3.raw'!M395</f>
        <v>FB1061UP</v>
      </c>
      <c r="C395" s="24">
        <f>datevalue(left('3.3.raw'!O395,10))</f>
        <v>43735</v>
      </c>
      <c r="D395" s="23">
        <f>'3.3.raw'!I395</f>
        <v>99</v>
      </c>
      <c r="E395" s="23" t="str">
        <f>'3.3.raw'!J395</f>
        <v/>
      </c>
      <c r="F395" s="23" t="str">
        <f>'3.3.raw'!K395</f>
        <v/>
      </c>
      <c r="G395" s="1">
        <v>3.30000000000004</v>
      </c>
      <c r="H395" s="23" t="b">
        <f>if(countif(Status!C:C,A395)=1,TRUE, FALSE)</f>
        <v>1</v>
      </c>
    </row>
    <row r="396">
      <c r="A396" s="23" t="str">
        <f t="shared" si="8"/>
        <v>MO1099</v>
      </c>
      <c r="B396" s="23" t="str">
        <f>'3.3.raw'!M396</f>
        <v>MO1099</v>
      </c>
      <c r="C396" s="24">
        <f>datevalue(left('3.3.raw'!O396,10))</f>
        <v>43735</v>
      </c>
      <c r="D396" s="23">
        <f>'3.3.raw'!I396</f>
        <v>12</v>
      </c>
      <c r="E396" s="23" t="str">
        <f>'3.3.raw'!J396</f>
        <v/>
      </c>
      <c r="F396" s="23" t="str">
        <f>'3.3.raw'!K396</f>
        <v/>
      </c>
      <c r="G396" s="1">
        <v>3.30000000000004</v>
      </c>
      <c r="H396" s="23" t="b">
        <f>if(countif(Status!C:C,A396)=1,TRUE, FALSE)</f>
        <v>1</v>
      </c>
    </row>
    <row r="397">
      <c r="A397" s="23" t="str">
        <f t="shared" si="8"/>
        <v>FB1062</v>
      </c>
      <c r="B397" s="23" t="str">
        <f>'3.3.raw'!M397</f>
        <v>FB1062</v>
      </c>
      <c r="C397" s="24">
        <f>datevalue(left('3.3.raw'!O397,10))</f>
        <v>43735</v>
      </c>
      <c r="D397" s="23">
        <f>'3.3.raw'!I397</f>
        <v>99</v>
      </c>
      <c r="E397" s="23" t="str">
        <f>'3.3.raw'!J397</f>
        <v/>
      </c>
      <c r="F397" s="23" t="str">
        <f>'3.3.raw'!K397</f>
        <v/>
      </c>
      <c r="G397" s="1">
        <v>3.30000000000004</v>
      </c>
      <c r="H397" s="23" t="b">
        <f>if(countif(Status!C:C,A397)=1,TRUE, FALSE)</f>
        <v>1</v>
      </c>
    </row>
    <row r="398">
      <c r="A398" s="23" t="str">
        <f t="shared" si="8"/>
        <v>FB1062UP</v>
      </c>
      <c r="B398" s="23" t="str">
        <f>'3.3.raw'!M398</f>
        <v>FB1062UP</v>
      </c>
      <c r="C398" s="24">
        <f>datevalue(left('3.3.raw'!O398,10))</f>
        <v>43735</v>
      </c>
      <c r="D398" s="23">
        <f>'3.3.raw'!I398</f>
        <v>99</v>
      </c>
      <c r="E398" s="23" t="str">
        <f>'3.3.raw'!J398</f>
        <v/>
      </c>
      <c r="F398" s="23" t="str">
        <f>'3.3.raw'!K398</f>
        <v/>
      </c>
      <c r="G398" s="1">
        <v>3.30000000000004</v>
      </c>
      <c r="H398" s="23" t="b">
        <f>if(countif(Status!C:C,A398)=1,TRUE, FALSE)</f>
        <v>1</v>
      </c>
    </row>
    <row r="399">
      <c r="A399" s="23" t="str">
        <f t="shared" si="8"/>
        <v>UPNC28</v>
      </c>
      <c r="B399" s="23" t="str">
        <f>'3.3.raw'!M399</f>
        <v>UPNC28</v>
      </c>
      <c r="C399" s="24">
        <f>datevalue(left('3.3.raw'!O399,10))</f>
        <v>43735</v>
      </c>
      <c r="D399" s="23">
        <f>'3.3.raw'!I399</f>
        <v>98</v>
      </c>
      <c r="E399" s="23" t="str">
        <f>'3.3.raw'!J399</f>
        <v/>
      </c>
      <c r="F399" s="23" t="str">
        <f>'3.3.raw'!K399</f>
        <v/>
      </c>
      <c r="G399" s="1">
        <v>3.30000000000004</v>
      </c>
      <c r="H399" s="23" t="b">
        <f>if(countif(Status!C:C,A399)=1,TRUE, FALSE)</f>
        <v>1</v>
      </c>
    </row>
    <row r="400">
      <c r="A400" s="23" t="str">
        <f t="shared" si="8"/>
        <v>EC5</v>
      </c>
      <c r="B400" s="23" t="str">
        <f>'3.3.raw'!M400</f>
        <v>EC5</v>
      </c>
      <c r="C400" s="24">
        <f>datevalue(left('3.3.raw'!O400,10))</f>
        <v>43735</v>
      </c>
      <c r="D400" s="23">
        <f>'3.3.raw'!I400</f>
        <v>98</v>
      </c>
      <c r="E400" s="23" t="str">
        <f>'3.3.raw'!J400</f>
        <v/>
      </c>
      <c r="F400" s="23" t="str">
        <f>'3.3.raw'!K400</f>
        <v/>
      </c>
      <c r="G400" s="1">
        <v>3.30000000000004</v>
      </c>
      <c r="H400" s="23" t="b">
        <f>if(countif(Status!C:C,A400)=1,TRUE, FALSE)</f>
        <v>1</v>
      </c>
    </row>
    <row r="401">
      <c r="A401" s="23" t="str">
        <f t="shared" si="8"/>
        <v>PLc1029</v>
      </c>
      <c r="B401" s="23" t="str">
        <f>'3.3.raw'!M401</f>
        <v>PLc1029</v>
      </c>
      <c r="C401" s="24">
        <f>datevalue(left('3.3.raw'!O401,10))</f>
        <v>43741</v>
      </c>
      <c r="D401" s="23">
        <f>'3.3.raw'!I401</f>
        <v>11</v>
      </c>
      <c r="E401" s="23" t="str">
        <f>'3.3.raw'!J401</f>
        <v/>
      </c>
      <c r="F401" s="23" t="str">
        <f>'3.3.raw'!K401</f>
        <v/>
      </c>
      <c r="G401" s="1">
        <v>3.30000000000004</v>
      </c>
      <c r="H401" s="23" t="b">
        <f>if(countif(Status!C:C,A401)=1,TRUE, FALSE)</f>
        <v>1</v>
      </c>
    </row>
    <row r="402">
      <c r="A402" s="23" t="str">
        <f t="shared" si="8"/>
        <v>FB1063</v>
      </c>
      <c r="B402" s="23" t="str">
        <f>'3.3.raw'!M402</f>
        <v>FB1063</v>
      </c>
      <c r="C402" s="24">
        <f>datevalue(left('3.3.raw'!O402,10))</f>
        <v>43741</v>
      </c>
      <c r="D402" s="23">
        <f>'3.3.raw'!I402</f>
        <v>99</v>
      </c>
      <c r="E402" s="23" t="str">
        <f>'3.3.raw'!J402</f>
        <v/>
      </c>
      <c r="F402" s="23" t="str">
        <f>'3.3.raw'!K402</f>
        <v/>
      </c>
      <c r="G402" s="1">
        <v>3.30000000000004</v>
      </c>
      <c r="H402" s="23" t="b">
        <f>if(countif(Status!C:C,A402)=1,TRUE, FALSE)</f>
        <v>1</v>
      </c>
    </row>
    <row r="403">
      <c r="A403" s="23" t="str">
        <f t="shared" si="8"/>
        <v>PLc1030</v>
      </c>
      <c r="B403" s="23" t="str">
        <f>'3.3.raw'!M403</f>
        <v>PLc1030</v>
      </c>
      <c r="C403" s="24">
        <f>datevalue(left('3.3.raw'!O403,10))</f>
        <v>43741</v>
      </c>
      <c r="D403" s="23">
        <f>'3.3.raw'!I403</f>
        <v>11</v>
      </c>
      <c r="E403" s="23" t="str">
        <f>'3.3.raw'!J403</f>
        <v/>
      </c>
      <c r="F403" s="23" t="str">
        <f>'3.3.raw'!K403</f>
        <v/>
      </c>
      <c r="G403" s="1">
        <v>3.30000000000004</v>
      </c>
      <c r="H403" s="23" t="b">
        <f>if(countif(Status!C:C,A403)=1,TRUE, FALSE)</f>
        <v>1</v>
      </c>
    </row>
    <row r="404">
      <c r="A404" s="23" t="str">
        <f t="shared" si="8"/>
        <v>FB1064</v>
      </c>
      <c r="B404" s="23" t="str">
        <f>'3.3.raw'!M404</f>
        <v>FB1064</v>
      </c>
      <c r="C404" s="24">
        <f>datevalue(left('3.3.raw'!O404,10))</f>
        <v>43741</v>
      </c>
      <c r="D404" s="23">
        <f>'3.3.raw'!I404</f>
        <v>99</v>
      </c>
      <c r="E404" s="23" t="str">
        <f>'3.3.raw'!J404</f>
        <v/>
      </c>
      <c r="F404" s="23" t="str">
        <f>'3.3.raw'!K404</f>
        <v/>
      </c>
      <c r="G404" s="1">
        <v>3.30000000000004</v>
      </c>
      <c r="H404" s="23" t="b">
        <f>if(countif(Status!C:C,A404)=1,TRUE, FALSE)</f>
        <v>1</v>
      </c>
    </row>
    <row r="405">
      <c r="A405" s="23" t="str">
        <f t="shared" si="8"/>
        <v>PLc1031</v>
      </c>
      <c r="B405" s="23" t="str">
        <f>'3.3.raw'!M405</f>
        <v>PLc1031</v>
      </c>
      <c r="C405" s="24">
        <f>datevalue(left('3.3.raw'!O405,10))</f>
        <v>43741</v>
      </c>
      <c r="D405" s="23">
        <f>'3.3.raw'!I405</f>
        <v>11</v>
      </c>
      <c r="E405" s="23" t="str">
        <f>'3.3.raw'!J405</f>
        <v/>
      </c>
      <c r="F405" s="23" t="str">
        <f>'3.3.raw'!K405</f>
        <v/>
      </c>
      <c r="G405" s="1">
        <v>3.30000000000004</v>
      </c>
      <c r="H405" s="23" t="b">
        <f>if(countif(Status!C:C,A405)=1,TRUE, FALSE)</f>
        <v>1</v>
      </c>
    </row>
    <row r="406">
      <c r="A406" s="23" t="str">
        <f t="shared" si="8"/>
        <v>FB1065</v>
      </c>
      <c r="B406" s="23" t="str">
        <f>'3.3.raw'!M406</f>
        <v>FB1065</v>
      </c>
      <c r="C406" s="24">
        <f>datevalue(left('3.3.raw'!O406,10))</f>
        <v>43741</v>
      </c>
      <c r="D406" s="23">
        <f>'3.3.raw'!I406</f>
        <v>99</v>
      </c>
      <c r="E406" s="23" t="str">
        <f>'3.3.raw'!J406</f>
        <v/>
      </c>
      <c r="F406" s="23" t="str">
        <f>'3.3.raw'!K406</f>
        <v/>
      </c>
      <c r="G406" s="1">
        <v>3.30000000000004</v>
      </c>
      <c r="H406" s="23" t="b">
        <f>if(countif(Status!C:C,A406)=1,TRUE, FALSE)</f>
        <v>1</v>
      </c>
    </row>
    <row r="407">
      <c r="A407" s="23" t="str">
        <f t="shared" si="8"/>
        <v>UPNC29</v>
      </c>
      <c r="B407" s="23" t="str">
        <f>'3.3.raw'!M407</f>
        <v>UPNC29</v>
      </c>
      <c r="C407" s="24">
        <f>datevalue(left('3.3.raw'!O407,10))</f>
        <v>43741</v>
      </c>
      <c r="D407" s="23">
        <f>'3.3.raw'!I407</f>
        <v>98</v>
      </c>
      <c r="E407" s="23" t="str">
        <f>'3.3.raw'!J407</f>
        <v/>
      </c>
      <c r="F407" s="23" t="str">
        <f>'3.3.raw'!K407</f>
        <v/>
      </c>
      <c r="G407" s="1">
        <v>3.30000000000004</v>
      </c>
      <c r="H407" s="23" t="b">
        <f>if(countif(Status!C:C,A407)=1,TRUE, FALSE)</f>
        <v>1</v>
      </c>
    </row>
    <row r="408">
      <c r="A408" s="23" t="str">
        <f t="shared" si="8"/>
        <v>EC6</v>
      </c>
      <c r="B408" s="23" t="str">
        <f>'3.3.raw'!M408</f>
        <v>EC6</v>
      </c>
      <c r="C408" s="24">
        <f>datevalue(left('3.3.raw'!O408,10))</f>
        <v>43741</v>
      </c>
      <c r="D408" s="23">
        <f>'3.3.raw'!I408</f>
        <v>98</v>
      </c>
      <c r="E408" s="23" t="str">
        <f>'3.3.raw'!J408</f>
        <v/>
      </c>
      <c r="F408" s="23" t="str">
        <f>'3.3.raw'!K408</f>
        <v/>
      </c>
      <c r="G408" s="1">
        <v>3.30000000000004</v>
      </c>
      <c r="H408" s="23" t="b">
        <f>if(countif(Status!C:C,A408)=1,TRUE, FALSE)</f>
        <v>1</v>
      </c>
    </row>
    <row r="409">
      <c r="A409" s="23" t="str">
        <f t="shared" si="8"/>
        <v>PLc1032</v>
      </c>
      <c r="B409" s="23" t="str">
        <f>'3.3.raw'!M409</f>
        <v>PLc1032</v>
      </c>
      <c r="C409" s="24">
        <f>datevalue(left('3.3.raw'!O409,10))</f>
        <v>43748</v>
      </c>
      <c r="D409" s="23">
        <f>'3.3.raw'!I409</f>
        <v>11</v>
      </c>
      <c r="E409" s="23" t="str">
        <f>'3.3.raw'!J409</f>
        <v/>
      </c>
      <c r="F409" s="23" t="str">
        <f>'3.3.raw'!K409</f>
        <v/>
      </c>
      <c r="G409" s="1">
        <v>3.30000000000004</v>
      </c>
      <c r="H409" s="23" t="b">
        <f>if(countif(Status!C:C,A409)=1,TRUE, FALSE)</f>
        <v>1</v>
      </c>
    </row>
    <row r="410">
      <c r="A410" s="23" t="str">
        <f t="shared" si="8"/>
        <v>FB1066</v>
      </c>
      <c r="B410" s="23" t="str">
        <f>'3.3.raw'!M410</f>
        <v>FB1066</v>
      </c>
      <c r="C410" s="24">
        <f>datevalue(left('3.3.raw'!O410,10))</f>
        <v>43748</v>
      </c>
      <c r="D410" s="23">
        <f>'3.3.raw'!I410</f>
        <v>11</v>
      </c>
      <c r="E410" s="23" t="str">
        <f>'3.3.raw'!J410</f>
        <v/>
      </c>
      <c r="F410" s="23" t="str">
        <f>'3.3.raw'!K410</f>
        <v/>
      </c>
      <c r="G410" s="1">
        <v>3.30000000000004</v>
      </c>
      <c r="H410" s="23" t="b">
        <f>if(countif(Status!C:C,A410)=1,TRUE, FALSE)</f>
        <v>1</v>
      </c>
    </row>
    <row r="411">
      <c r="A411" s="23" t="str">
        <f t="shared" si="8"/>
        <v>FB1066UP</v>
      </c>
      <c r="B411" s="23" t="str">
        <f>'3.3.raw'!M411</f>
        <v>FB1066UP</v>
      </c>
      <c r="C411" s="24">
        <f>datevalue(left('3.3.raw'!O411,10))</f>
        <v>43748</v>
      </c>
      <c r="D411" s="23">
        <f>'3.3.raw'!I411</f>
        <v>99</v>
      </c>
      <c r="E411" s="23" t="str">
        <f>'3.3.raw'!J411</f>
        <v/>
      </c>
      <c r="F411" s="23" t="str">
        <f>'3.3.raw'!K411</f>
        <v/>
      </c>
      <c r="G411" s="1">
        <v>3.30000000000004</v>
      </c>
      <c r="H411" s="23" t="b">
        <f>if(countif(Status!C:C,A411)=1,TRUE, FALSE)</f>
        <v>1</v>
      </c>
    </row>
    <row r="412">
      <c r="A412" s="23" t="str">
        <f t="shared" si="8"/>
        <v>PLc1033</v>
      </c>
      <c r="B412" s="23" t="str">
        <f>'3.3.raw'!M412</f>
        <v>PLc1033</v>
      </c>
      <c r="C412" s="24">
        <f>datevalue(left('3.3.raw'!O412,10))</f>
        <v>43748</v>
      </c>
      <c r="D412" s="23">
        <f>'3.3.raw'!I412</f>
        <v>11</v>
      </c>
      <c r="E412" s="23" t="str">
        <f>'3.3.raw'!J412</f>
        <v/>
      </c>
      <c r="F412" s="23" t="str">
        <f>'3.3.raw'!K412</f>
        <v/>
      </c>
      <c r="G412" s="1">
        <v>3.30000000000004</v>
      </c>
      <c r="H412" s="23" t="b">
        <f>if(countif(Status!C:C,A412)=1,TRUE, FALSE)</f>
        <v>1</v>
      </c>
    </row>
    <row r="413">
      <c r="A413" s="23" t="str">
        <f t="shared" si="8"/>
        <v>FB1067</v>
      </c>
      <c r="B413" s="23" t="str">
        <f>'3.3.raw'!M413</f>
        <v>FB1067</v>
      </c>
      <c r="C413" s="24">
        <f>datevalue(left('3.3.raw'!O413,10))</f>
        <v>43748</v>
      </c>
      <c r="D413" s="23">
        <f>'3.3.raw'!I413</f>
        <v>99</v>
      </c>
      <c r="E413" s="23" t="str">
        <f>'3.3.raw'!J413</f>
        <v/>
      </c>
      <c r="F413" s="23" t="str">
        <f>'3.3.raw'!K413</f>
        <v/>
      </c>
      <c r="G413" s="1">
        <v>3.30000000000004</v>
      </c>
      <c r="H413" s="23" t="b">
        <f>if(countif(Status!C:C,A413)=1,TRUE, FALSE)</f>
        <v>1</v>
      </c>
    </row>
    <row r="414">
      <c r="A414" s="23" t="str">
        <f t="shared" si="8"/>
        <v>FB1067UP</v>
      </c>
      <c r="B414" s="23" t="str">
        <f>'3.3.raw'!M414</f>
        <v>FB1067UP</v>
      </c>
      <c r="C414" s="24">
        <f>datevalue(left('3.3.raw'!O414,10))</f>
        <v>43748</v>
      </c>
      <c r="D414" s="23">
        <f>'3.3.raw'!I414</f>
        <v>99</v>
      </c>
      <c r="E414" s="23" t="str">
        <f>'3.3.raw'!J414</f>
        <v/>
      </c>
      <c r="F414" s="23" t="str">
        <f>'3.3.raw'!K414</f>
        <v/>
      </c>
      <c r="G414" s="1">
        <v>3.30000000000004</v>
      </c>
      <c r="H414" s="23" t="b">
        <f>if(countif(Status!C:C,A414)=1,TRUE, FALSE)</f>
        <v>1</v>
      </c>
    </row>
    <row r="415">
      <c r="A415" s="23" t="str">
        <f t="shared" si="8"/>
        <v>PLc1034</v>
      </c>
      <c r="B415" s="23" t="str">
        <f>'3.3.raw'!M415</f>
        <v>PLc1034</v>
      </c>
      <c r="C415" s="24">
        <f>datevalue(left('3.3.raw'!O415,10))</f>
        <v>43748</v>
      </c>
      <c r="D415" s="23">
        <f>'3.3.raw'!I415</f>
        <v>11</v>
      </c>
      <c r="E415" s="23" t="str">
        <f>'3.3.raw'!J415</f>
        <v/>
      </c>
      <c r="F415" s="23" t="str">
        <f>'3.3.raw'!K415</f>
        <v/>
      </c>
      <c r="G415" s="1">
        <v>3.30000000000004</v>
      </c>
      <c r="H415" s="23" t="b">
        <f>if(countif(Status!C:C,A415)=1,TRUE, FALSE)</f>
        <v>1</v>
      </c>
    </row>
    <row r="416">
      <c r="A416" s="49" t="s">
        <v>219</v>
      </c>
      <c r="B416" s="23" t="str">
        <f>'3.3.raw'!M416</f>
        <v>FB1067</v>
      </c>
      <c r="C416" s="24">
        <f>datevalue(left('3.3.raw'!O416,10))</f>
        <v>43748</v>
      </c>
      <c r="D416" s="23">
        <f>'3.3.raw'!I416</f>
        <v>99</v>
      </c>
      <c r="E416" s="23" t="str">
        <f>'3.3.raw'!J416</f>
        <v/>
      </c>
      <c r="F416" s="23" t="str">
        <f>'3.3.raw'!K416</f>
        <v/>
      </c>
      <c r="G416" s="1">
        <v>3.30000000000004</v>
      </c>
      <c r="H416" s="23" t="b">
        <f>if(countif(Status!C:C,A416)=1,TRUE, FALSE)</f>
        <v>1</v>
      </c>
      <c r="I416" s="1" t="s">
        <v>288</v>
      </c>
    </row>
    <row r="417">
      <c r="A417" s="49" t="s">
        <v>221</v>
      </c>
      <c r="B417" s="23" t="str">
        <f>'3.3.raw'!M417</f>
        <v>FB1067UP</v>
      </c>
      <c r="C417" s="24">
        <f>datevalue(left('3.3.raw'!O417,10))</f>
        <v>43748</v>
      </c>
      <c r="D417" s="23">
        <f>'3.3.raw'!I417</f>
        <v>99</v>
      </c>
      <c r="E417" s="23" t="str">
        <f>'3.3.raw'!J417</f>
        <v/>
      </c>
      <c r="F417" s="23" t="str">
        <f>'3.3.raw'!K417</f>
        <v/>
      </c>
      <c r="G417" s="1">
        <v>3.30000000000004</v>
      </c>
      <c r="H417" s="23" t="b">
        <f>if(countif(Status!C:C,A417)=1,TRUE, FALSE)</f>
        <v>1</v>
      </c>
      <c r="I417" s="1" t="s">
        <v>288</v>
      </c>
    </row>
    <row r="418">
      <c r="A418" s="23" t="str">
        <f t="shared" ref="A418:A471" si="9">B418</f>
        <v>UPNC30</v>
      </c>
      <c r="B418" s="23" t="str">
        <f>'3.3.raw'!M418</f>
        <v>UPNC30</v>
      </c>
      <c r="C418" s="24">
        <f>datevalue(left('3.3.raw'!O418,10))</f>
        <v>43748</v>
      </c>
      <c r="D418" s="23">
        <f>'3.3.raw'!I418</f>
        <v>98</v>
      </c>
      <c r="E418" s="23" t="str">
        <f>'3.3.raw'!J418</f>
        <v/>
      </c>
      <c r="F418" s="23" t="str">
        <f>'3.3.raw'!K418</f>
        <v/>
      </c>
      <c r="G418" s="1">
        <v>3.30000000000004</v>
      </c>
      <c r="H418" s="23" t="b">
        <f>if(countif(Status!C:C,A418)=1,TRUE, FALSE)</f>
        <v>1</v>
      </c>
    </row>
    <row r="419">
      <c r="A419" s="23" t="str">
        <f t="shared" si="9"/>
        <v>EC7</v>
      </c>
      <c r="B419" s="23" t="str">
        <f>'3.3.raw'!M419</f>
        <v>EC7</v>
      </c>
      <c r="C419" s="24">
        <f>datevalue(left('3.3.raw'!O419,10))</f>
        <v>43748</v>
      </c>
      <c r="D419" s="23">
        <f>'3.3.raw'!I419</f>
        <v>98</v>
      </c>
      <c r="E419" s="23" t="str">
        <f>'3.3.raw'!J419</f>
        <v/>
      </c>
      <c r="F419" s="23" t="str">
        <f>'3.3.raw'!K419</f>
        <v/>
      </c>
      <c r="G419" s="1">
        <v>3.30000000000004</v>
      </c>
      <c r="H419" s="23" t="b">
        <f>if(countif(Status!C:C,A419)=1,TRUE, FALSE)</f>
        <v>1</v>
      </c>
    </row>
    <row r="420">
      <c r="A420" s="23" t="str">
        <f t="shared" si="9"/>
        <v>PLc1035</v>
      </c>
      <c r="B420" s="23" t="str">
        <f>'3.3.raw'!M420</f>
        <v>PLc1035</v>
      </c>
      <c r="C420" s="24">
        <f>datevalue(left('3.3.raw'!O420,10))</f>
        <v>43754</v>
      </c>
      <c r="D420" s="23">
        <f>'3.3.raw'!I420</f>
        <v>11</v>
      </c>
      <c r="E420" s="23" t="str">
        <f>'3.3.raw'!J420</f>
        <v/>
      </c>
      <c r="F420" s="23" t="str">
        <f>'3.3.raw'!K420</f>
        <v/>
      </c>
      <c r="G420" s="1">
        <v>3.30000000000004</v>
      </c>
      <c r="H420" s="23" t="b">
        <f>if(countif(Status!C:C,A420)=1,TRUE, FALSE)</f>
        <v>1</v>
      </c>
    </row>
    <row r="421">
      <c r="A421" s="23" t="str">
        <f t="shared" si="9"/>
        <v>FB1069</v>
      </c>
      <c r="B421" s="23" t="str">
        <f>'3.3.raw'!M421</f>
        <v>FB1069</v>
      </c>
      <c r="C421" s="24">
        <f>datevalue(left('3.3.raw'!O421,10))</f>
        <v>43754</v>
      </c>
      <c r="D421" s="23">
        <f>'3.3.raw'!I421</f>
        <v>99</v>
      </c>
      <c r="E421" s="23" t="str">
        <f>'3.3.raw'!J421</f>
        <v/>
      </c>
      <c r="F421" s="23" t="str">
        <f>'3.3.raw'!K421</f>
        <v/>
      </c>
      <c r="G421" s="1">
        <v>3.30000000000004</v>
      </c>
      <c r="H421" s="23" t="b">
        <f>if(countif(Status!C:C,A421)=1,TRUE, FALSE)</f>
        <v>1</v>
      </c>
    </row>
    <row r="422">
      <c r="A422" s="23" t="str">
        <f t="shared" si="9"/>
        <v>FB1069UP</v>
      </c>
      <c r="B422" s="23" t="str">
        <f>'3.3.raw'!M422</f>
        <v>FB1069UP</v>
      </c>
      <c r="C422" s="24">
        <f>datevalue(left('3.3.raw'!O422,10))</f>
        <v>43754</v>
      </c>
      <c r="D422" s="23">
        <f>'3.3.raw'!I422</f>
        <v>99</v>
      </c>
      <c r="E422" s="23" t="str">
        <f>'3.3.raw'!J422</f>
        <v/>
      </c>
      <c r="F422" s="23" t="str">
        <f>'3.3.raw'!K422</f>
        <v/>
      </c>
      <c r="G422" s="1">
        <v>3.30000000000004</v>
      </c>
      <c r="H422" s="23" t="b">
        <f>if(countif(Status!C:C,A422)=1,TRUE, FALSE)</f>
        <v>1</v>
      </c>
    </row>
    <row r="423">
      <c r="A423" s="23" t="str">
        <f t="shared" si="9"/>
        <v>PLc1036</v>
      </c>
      <c r="B423" s="23" t="str">
        <f>'3.3.raw'!M423</f>
        <v>PLc1036</v>
      </c>
      <c r="C423" s="24">
        <f>datevalue(left('3.3.raw'!O423,10))</f>
        <v>43754</v>
      </c>
      <c r="D423" s="23">
        <f>'3.3.raw'!I423</f>
        <v>11</v>
      </c>
      <c r="E423" s="23" t="str">
        <f>'3.3.raw'!J423</f>
        <v/>
      </c>
      <c r="F423" s="23" t="str">
        <f>'3.3.raw'!K423</f>
        <v/>
      </c>
      <c r="G423" s="1">
        <v>3.30000000000004</v>
      </c>
      <c r="H423" s="23" t="b">
        <f>if(countif(Status!C:C,A423)=1,TRUE, FALSE)</f>
        <v>1</v>
      </c>
    </row>
    <row r="424">
      <c r="A424" s="23" t="str">
        <f t="shared" si="9"/>
        <v>FB1070</v>
      </c>
      <c r="B424" s="23" t="str">
        <f>'3.3.raw'!M424</f>
        <v>FB1070</v>
      </c>
      <c r="C424" s="24">
        <f>datevalue(left('3.3.raw'!O424,10))</f>
        <v>43754</v>
      </c>
      <c r="D424" s="23">
        <f>'3.3.raw'!I424</f>
        <v>99</v>
      </c>
      <c r="E424" s="23" t="str">
        <f>'3.3.raw'!J424</f>
        <v/>
      </c>
      <c r="F424" s="23" t="str">
        <f>'3.3.raw'!K424</f>
        <v/>
      </c>
      <c r="G424" s="1">
        <v>3.30000000000004</v>
      </c>
      <c r="H424" s="23" t="b">
        <f>if(countif(Status!C:C,A424)=1,TRUE, FALSE)</f>
        <v>1</v>
      </c>
    </row>
    <row r="425">
      <c r="A425" s="23" t="str">
        <f t="shared" si="9"/>
        <v>FB1070UP</v>
      </c>
      <c r="B425" s="23" t="str">
        <f>'3.3.raw'!M425</f>
        <v>FB1070UP</v>
      </c>
      <c r="C425" s="24">
        <f>datevalue(left('3.3.raw'!O425,10))</f>
        <v>43754</v>
      </c>
      <c r="D425" s="23">
        <f>'3.3.raw'!I425</f>
        <v>99</v>
      </c>
      <c r="E425" s="23" t="str">
        <f>'3.3.raw'!J425</f>
        <v/>
      </c>
      <c r="F425" s="23" t="str">
        <f>'3.3.raw'!K425</f>
        <v/>
      </c>
      <c r="G425" s="1">
        <v>3.30000000000004</v>
      </c>
      <c r="H425" s="23" t="b">
        <f>if(countif(Status!C:C,A425)=1,TRUE, FALSE)</f>
        <v>1</v>
      </c>
    </row>
    <row r="426">
      <c r="A426" s="23" t="str">
        <f t="shared" si="9"/>
        <v>EC8</v>
      </c>
      <c r="B426" s="23" t="str">
        <f>'3.3.raw'!M426</f>
        <v>EC8</v>
      </c>
      <c r="C426" s="24">
        <f>datevalue(left('3.3.raw'!O426,10))</f>
        <v>43754</v>
      </c>
      <c r="D426" s="23">
        <f>'3.3.raw'!I426</f>
        <v>98</v>
      </c>
      <c r="E426" s="23" t="str">
        <f>'3.3.raw'!J426</f>
        <v/>
      </c>
      <c r="F426" s="23" t="str">
        <f>'3.3.raw'!K426</f>
        <v/>
      </c>
      <c r="G426" s="1">
        <v>3.30000000000004</v>
      </c>
      <c r="H426" s="23" t="b">
        <f>if(countif(Status!C:C,A426)=1,TRUE, FALSE)</f>
        <v>1</v>
      </c>
    </row>
    <row r="427">
      <c r="A427" s="23" t="str">
        <f t="shared" si="9"/>
        <v>MO1100</v>
      </c>
      <c r="B427" s="23" t="str">
        <f>'3.3.raw'!M427</f>
        <v>MO1100</v>
      </c>
      <c r="C427" s="24">
        <f>datevalue(left('3.3.raw'!O427,10))</f>
        <v>43755</v>
      </c>
      <c r="D427" s="23">
        <f>'3.3.raw'!I427</f>
        <v>12</v>
      </c>
      <c r="E427" s="23" t="str">
        <f>'3.3.raw'!J427</f>
        <v/>
      </c>
      <c r="F427" s="23" t="str">
        <f>'3.3.raw'!K427</f>
        <v/>
      </c>
      <c r="G427" s="1">
        <v>3.30000000000004</v>
      </c>
      <c r="H427" s="23" t="b">
        <f>if(countif(Status!C:C,A427)=1,TRUE, FALSE)</f>
        <v>1</v>
      </c>
    </row>
    <row r="428">
      <c r="A428" s="23" t="str">
        <f t="shared" si="9"/>
        <v>FB1071</v>
      </c>
      <c r="B428" s="23" t="str">
        <f>'3.3.raw'!M428</f>
        <v>FB1071</v>
      </c>
      <c r="C428" s="24">
        <f>datevalue(left('3.3.raw'!O428,10))</f>
        <v>43755</v>
      </c>
      <c r="D428" s="23">
        <f>'3.3.raw'!I428</f>
        <v>99</v>
      </c>
      <c r="E428" s="23" t="str">
        <f>'3.3.raw'!J428</f>
        <v/>
      </c>
      <c r="F428" s="23" t="str">
        <f>'3.3.raw'!K428</f>
        <v/>
      </c>
      <c r="G428" s="1">
        <v>3.30000000000004</v>
      </c>
      <c r="H428" s="23" t="b">
        <f>if(countif(Status!C:C,A428)=1,TRUE, FALSE)</f>
        <v>1</v>
      </c>
    </row>
    <row r="429">
      <c r="A429" s="23" t="str">
        <f t="shared" si="9"/>
        <v>FB1071UP</v>
      </c>
      <c r="B429" s="23" t="str">
        <f>'3.3.raw'!M429</f>
        <v>FB1071UP</v>
      </c>
      <c r="C429" s="24">
        <f>datevalue(left('3.3.raw'!O429,10))</f>
        <v>43755</v>
      </c>
      <c r="D429" s="23">
        <f>'3.3.raw'!I429</f>
        <v>99</v>
      </c>
      <c r="E429" s="23" t="str">
        <f>'3.3.raw'!J429</f>
        <v/>
      </c>
      <c r="F429" s="23" t="str">
        <f>'3.3.raw'!K429</f>
        <v/>
      </c>
      <c r="G429" s="1">
        <v>3.30000000000004</v>
      </c>
      <c r="H429" s="23" t="b">
        <f>if(countif(Status!C:C,A429)=1,TRUE, FALSE)</f>
        <v>1</v>
      </c>
    </row>
    <row r="430">
      <c r="A430" s="23" t="str">
        <f t="shared" si="9"/>
        <v>MO1101</v>
      </c>
      <c r="B430" s="23" t="str">
        <f>'3.3.raw'!M430</f>
        <v>MO1101</v>
      </c>
      <c r="C430" s="24">
        <f>datevalue(left('3.3.raw'!O430,10))</f>
        <v>43755</v>
      </c>
      <c r="D430" s="23">
        <f>'3.3.raw'!I430</f>
        <v>12</v>
      </c>
      <c r="E430" s="23" t="str">
        <f>'3.3.raw'!J430</f>
        <v/>
      </c>
      <c r="F430" s="23" t="str">
        <f>'3.3.raw'!K430</f>
        <v/>
      </c>
      <c r="G430" s="1">
        <v>3.30000000000004</v>
      </c>
      <c r="H430" s="23" t="b">
        <f>if(countif(Status!C:C,A430)=1,TRUE, FALSE)</f>
        <v>1</v>
      </c>
    </row>
    <row r="431">
      <c r="A431" s="23" t="str">
        <f t="shared" si="9"/>
        <v>FB1072</v>
      </c>
      <c r="B431" s="23" t="str">
        <f>'3.3.raw'!M431</f>
        <v>FB1072</v>
      </c>
      <c r="C431" s="24">
        <f>datevalue(left('3.3.raw'!O431,10))</f>
        <v>43755</v>
      </c>
      <c r="D431" s="23">
        <f>'3.3.raw'!I431</f>
        <v>99</v>
      </c>
      <c r="E431" s="23" t="str">
        <f>'3.3.raw'!J431</f>
        <v/>
      </c>
      <c r="F431" s="23" t="str">
        <f>'3.3.raw'!K431</f>
        <v/>
      </c>
      <c r="G431" s="1">
        <v>3.30000000000004</v>
      </c>
      <c r="H431" s="23" t="b">
        <f>if(countif(Status!C:C,A431)=1,TRUE, FALSE)</f>
        <v>1</v>
      </c>
    </row>
    <row r="432">
      <c r="A432" s="23" t="str">
        <f t="shared" si="9"/>
        <v>FB1072UP</v>
      </c>
      <c r="B432" s="23" t="str">
        <f>'3.3.raw'!M432</f>
        <v>FB1072UP</v>
      </c>
      <c r="C432" s="24">
        <f>datevalue(left('3.3.raw'!O432,10))</f>
        <v>43755</v>
      </c>
      <c r="D432" s="23">
        <f>'3.3.raw'!I432</f>
        <v>99</v>
      </c>
      <c r="E432" s="23" t="str">
        <f>'3.3.raw'!J432</f>
        <v/>
      </c>
      <c r="F432" s="23" t="str">
        <f>'3.3.raw'!K432</f>
        <v/>
      </c>
      <c r="G432" s="1">
        <v>3.30000000000004</v>
      </c>
      <c r="H432" s="23" t="b">
        <f>if(countif(Status!C:C,A432)=1,TRUE, FALSE)</f>
        <v>1</v>
      </c>
    </row>
    <row r="433">
      <c r="A433" s="23" t="str">
        <f t="shared" si="9"/>
        <v>EC9</v>
      </c>
      <c r="B433" s="23" t="str">
        <f>'3.3.raw'!M433</f>
        <v>EC9</v>
      </c>
      <c r="C433" s="24">
        <f>datevalue(left('3.3.raw'!O433,10))</f>
        <v>43755</v>
      </c>
      <c r="D433" s="23">
        <f>'3.3.raw'!I433</f>
        <v>98</v>
      </c>
      <c r="E433" s="23" t="str">
        <f>'3.3.raw'!J433</f>
        <v/>
      </c>
      <c r="F433" s="23" t="str">
        <f>'3.3.raw'!K433</f>
        <v/>
      </c>
      <c r="G433" s="1">
        <v>3.30000000000004</v>
      </c>
      <c r="H433" s="23" t="b">
        <f>if(countif(Status!C:C,A433)=1,TRUE, FALSE)</f>
        <v>1</v>
      </c>
    </row>
    <row r="434">
      <c r="A434" s="23" t="str">
        <f t="shared" si="9"/>
        <v>UPNC31</v>
      </c>
      <c r="B434" s="23" t="str">
        <f>'3.3.raw'!M434</f>
        <v>UPNC31</v>
      </c>
      <c r="C434" s="24">
        <f>datevalue(left('3.3.raw'!O434,10))</f>
        <v>43754</v>
      </c>
      <c r="D434" s="23">
        <f>'3.3.raw'!I434</f>
        <v>98</v>
      </c>
      <c r="E434" s="23" t="str">
        <f>'3.3.raw'!J434</f>
        <v/>
      </c>
      <c r="F434" s="23" t="str">
        <f>'3.3.raw'!K434</f>
        <v/>
      </c>
      <c r="G434" s="1">
        <v>3.30000000000004</v>
      </c>
      <c r="H434" s="23" t="b">
        <f>if(countif(Status!C:C,A434)=1,TRUE, FALSE)</f>
        <v>1</v>
      </c>
    </row>
    <row r="435">
      <c r="A435" s="23" t="str">
        <f t="shared" si="9"/>
        <v>UPNC32</v>
      </c>
      <c r="B435" s="23" t="str">
        <f>'3.3.raw'!M435</f>
        <v>UPNC32</v>
      </c>
      <c r="C435" s="24">
        <f>datevalue(left('3.3.raw'!O435,10))</f>
        <v>43755</v>
      </c>
      <c r="D435" s="23">
        <f>'3.3.raw'!I435</f>
        <v>98</v>
      </c>
      <c r="E435" s="23" t="str">
        <f>'3.3.raw'!J435</f>
        <v/>
      </c>
      <c r="F435" s="23" t="str">
        <f>'3.3.raw'!K435</f>
        <v/>
      </c>
      <c r="G435" s="1">
        <v>3.30000000000004</v>
      </c>
      <c r="H435" s="23" t="b">
        <f>if(countif(Status!C:C,A435)=1,TRUE, FALSE)</f>
        <v>1</v>
      </c>
    </row>
    <row r="436">
      <c r="A436" s="23" t="str">
        <f t="shared" si="9"/>
        <v>PLc1037</v>
      </c>
      <c r="B436" s="23" t="str">
        <f>'3.3.raw'!M436</f>
        <v>PLc1037</v>
      </c>
      <c r="C436" s="24">
        <f>datevalue(left('3.3.raw'!O436,10))</f>
        <v>43759</v>
      </c>
      <c r="D436" s="23">
        <f>'3.3.raw'!I436</f>
        <v>11</v>
      </c>
      <c r="E436" s="23" t="str">
        <f>'3.3.raw'!J436</f>
        <v/>
      </c>
      <c r="F436" s="23" t="str">
        <f>'3.3.raw'!K436</f>
        <v/>
      </c>
      <c r="G436" s="1">
        <v>3.30000000000004</v>
      </c>
      <c r="H436" s="23" t="b">
        <f>if(countif(Status!C:C,A436)=1,TRUE, FALSE)</f>
        <v>1</v>
      </c>
    </row>
    <row r="437">
      <c r="A437" s="23" t="str">
        <f t="shared" si="9"/>
        <v>FB1073</v>
      </c>
      <c r="B437" s="23" t="str">
        <f>'3.3.raw'!M437</f>
        <v>FB1073</v>
      </c>
      <c r="C437" s="24">
        <f>datevalue(left('3.3.raw'!O437,10))</f>
        <v>43759</v>
      </c>
      <c r="D437" s="23">
        <f>'3.3.raw'!I437</f>
        <v>99</v>
      </c>
      <c r="E437" s="23" t="str">
        <f>'3.3.raw'!J437</f>
        <v/>
      </c>
      <c r="F437" s="23" t="str">
        <f>'3.3.raw'!K437</f>
        <v/>
      </c>
      <c r="G437" s="1">
        <v>3.30000000000004</v>
      </c>
      <c r="H437" s="23" t="b">
        <f>if(countif(Status!C:C,A437)=1,TRUE, FALSE)</f>
        <v>1</v>
      </c>
    </row>
    <row r="438">
      <c r="A438" s="23" t="str">
        <f t="shared" si="9"/>
        <v>FB1073UP</v>
      </c>
      <c r="B438" s="23" t="str">
        <f>'3.3.raw'!M438</f>
        <v>FB1073UP</v>
      </c>
      <c r="C438" s="24">
        <f>datevalue(left('3.3.raw'!O438,10))</f>
        <v>43759</v>
      </c>
      <c r="D438" s="23">
        <f>'3.3.raw'!I438</f>
        <v>99</v>
      </c>
      <c r="E438" s="23" t="str">
        <f>'3.3.raw'!J438</f>
        <v/>
      </c>
      <c r="F438" s="23" t="str">
        <f>'3.3.raw'!K438</f>
        <v/>
      </c>
      <c r="G438" s="1">
        <v>3.30000000000004</v>
      </c>
      <c r="H438" s="23" t="b">
        <f>if(countif(Status!C:C,A438)=1,TRUE, FALSE)</f>
        <v>1</v>
      </c>
    </row>
    <row r="439">
      <c r="A439" s="23" t="str">
        <f t="shared" si="9"/>
        <v>PLc1038</v>
      </c>
      <c r="B439" s="23" t="str">
        <f>'3.3.raw'!M439</f>
        <v>PLc1038</v>
      </c>
      <c r="C439" s="24">
        <f>datevalue(left('3.3.raw'!O439,10))</f>
        <v>43759</v>
      </c>
      <c r="D439" s="23">
        <f>'3.3.raw'!I439</f>
        <v>11</v>
      </c>
      <c r="E439" s="23" t="str">
        <f>'3.3.raw'!J439</f>
        <v/>
      </c>
      <c r="F439" s="23" t="str">
        <f>'3.3.raw'!K439</f>
        <v/>
      </c>
      <c r="G439" s="1">
        <v>3.30000000000004</v>
      </c>
      <c r="H439" s="23" t="b">
        <f>if(countif(Status!C:C,A439)=1,TRUE, FALSE)</f>
        <v>1</v>
      </c>
    </row>
    <row r="440">
      <c r="A440" s="23" t="str">
        <f t="shared" si="9"/>
        <v>FB1074</v>
      </c>
      <c r="B440" s="23" t="str">
        <f>'3.3.raw'!M440</f>
        <v>FB1074</v>
      </c>
      <c r="C440" s="24">
        <f>datevalue(left('3.3.raw'!O440,10))</f>
        <v>43759</v>
      </c>
      <c r="D440" s="23">
        <f>'3.3.raw'!I440</f>
        <v>99</v>
      </c>
      <c r="E440" s="23" t="str">
        <f>'3.3.raw'!J440</f>
        <v/>
      </c>
      <c r="F440" s="23" t="str">
        <f>'3.3.raw'!K440</f>
        <v/>
      </c>
      <c r="G440" s="1">
        <v>3.30000000000004</v>
      </c>
      <c r="H440" s="23" t="b">
        <f>if(countif(Status!C:C,A440)=1,TRUE, FALSE)</f>
        <v>1</v>
      </c>
    </row>
    <row r="441">
      <c r="A441" s="23" t="str">
        <f t="shared" si="9"/>
        <v>FB1074UP</v>
      </c>
      <c r="B441" s="23" t="str">
        <f>'3.3.raw'!M441</f>
        <v>FB1074UP</v>
      </c>
      <c r="C441" s="24">
        <f>datevalue(left('3.3.raw'!O441,10))</f>
        <v>43759</v>
      </c>
      <c r="D441" s="23">
        <f>'3.3.raw'!I441</f>
        <v>99</v>
      </c>
      <c r="E441" s="23" t="str">
        <f>'3.3.raw'!J441</f>
        <v/>
      </c>
      <c r="F441" s="23" t="str">
        <f>'3.3.raw'!K441</f>
        <v/>
      </c>
      <c r="G441" s="1">
        <v>3.30000000000004</v>
      </c>
      <c r="H441" s="23" t="b">
        <f>if(countif(Status!C:C,A441)=1,TRUE, FALSE)</f>
        <v>1</v>
      </c>
    </row>
    <row r="442">
      <c r="A442" s="23" t="str">
        <f t="shared" si="9"/>
        <v>MO1102</v>
      </c>
      <c r="B442" s="23" t="str">
        <f>'3.3.raw'!M442</f>
        <v>MO1102</v>
      </c>
      <c r="C442" s="24">
        <f>datevalue(left('3.3.raw'!O442,10))</f>
        <v>43759</v>
      </c>
      <c r="D442" s="23">
        <f>'3.3.raw'!I442</f>
        <v>12</v>
      </c>
      <c r="E442" s="23" t="str">
        <f>'3.3.raw'!J442</f>
        <v/>
      </c>
      <c r="F442" s="23" t="str">
        <f>'3.3.raw'!K442</f>
        <v/>
      </c>
      <c r="G442" s="1">
        <v>3.30000000000004</v>
      </c>
      <c r="H442" s="23" t="b">
        <f>if(countif(Status!C:C,A442)=1,TRUE, FALSE)</f>
        <v>1</v>
      </c>
    </row>
    <row r="443">
      <c r="A443" s="23" t="str">
        <f t="shared" si="9"/>
        <v>MO1103</v>
      </c>
      <c r="B443" s="23" t="str">
        <f>'3.3.raw'!M443</f>
        <v>MO1103</v>
      </c>
      <c r="C443" s="24">
        <f>datevalue(left('3.3.raw'!O443,10))</f>
        <v>43759</v>
      </c>
      <c r="D443" s="23">
        <f>'3.3.raw'!I443</f>
        <v>12</v>
      </c>
      <c r="E443" s="23" t="str">
        <f>'3.3.raw'!J443</f>
        <v/>
      </c>
      <c r="F443" s="23" t="str">
        <f>'3.3.raw'!K443</f>
        <v/>
      </c>
      <c r="G443" s="1">
        <v>3.30000000000004</v>
      </c>
      <c r="H443" s="23" t="b">
        <f>if(countif(Status!C:C,A443)=1,TRUE, FALSE)</f>
        <v>1</v>
      </c>
    </row>
    <row r="444">
      <c r="A444" s="23" t="str">
        <f t="shared" si="9"/>
        <v>FB1075</v>
      </c>
      <c r="B444" s="23" t="str">
        <f>'3.3.raw'!M444</f>
        <v>FB1075</v>
      </c>
      <c r="C444" s="24">
        <f>datevalue(left('3.3.raw'!O444,10))</f>
        <v>43759</v>
      </c>
      <c r="D444" s="23">
        <f>'3.3.raw'!I444</f>
        <v>99</v>
      </c>
      <c r="E444" s="23" t="str">
        <f>'3.3.raw'!J444</f>
        <v/>
      </c>
      <c r="F444" s="23" t="str">
        <f>'3.3.raw'!K444</f>
        <v/>
      </c>
      <c r="G444" s="1">
        <v>3.30000000000004</v>
      </c>
      <c r="H444" s="23" t="b">
        <f>if(countif(Status!C:C,A444)=1,TRUE, FALSE)</f>
        <v>1</v>
      </c>
    </row>
    <row r="445">
      <c r="A445" s="23" t="str">
        <f t="shared" si="9"/>
        <v>FB1075UP</v>
      </c>
      <c r="B445" s="23" t="str">
        <f>'3.3.raw'!M445</f>
        <v>FB1075UP</v>
      </c>
      <c r="C445" s="24">
        <f>datevalue(left('3.3.raw'!O445,10))</f>
        <v>43759</v>
      </c>
      <c r="D445" s="23">
        <f>'3.3.raw'!I445</f>
        <v>99</v>
      </c>
      <c r="E445" s="23" t="str">
        <f>'3.3.raw'!J445</f>
        <v/>
      </c>
      <c r="F445" s="23" t="str">
        <f>'3.3.raw'!K445</f>
        <v/>
      </c>
      <c r="G445" s="1">
        <v>3.30000000000004</v>
      </c>
      <c r="H445" s="23" t="b">
        <f>if(countif(Status!C:C,A445)=1,TRUE, FALSE)</f>
        <v>1</v>
      </c>
    </row>
    <row r="446">
      <c r="A446" s="23" t="str">
        <f t="shared" si="9"/>
        <v>FB1076</v>
      </c>
      <c r="B446" s="23" t="str">
        <f>'3.3.raw'!M446</f>
        <v>FB1076</v>
      </c>
      <c r="C446" s="24">
        <f>datevalue(left('3.3.raw'!O446,10))</f>
        <v>43759</v>
      </c>
      <c r="D446" s="23">
        <f>'3.3.raw'!I446</f>
        <v>99</v>
      </c>
      <c r="E446" s="23" t="str">
        <f>'3.3.raw'!J446</f>
        <v/>
      </c>
      <c r="F446" s="23" t="str">
        <f>'3.3.raw'!K446</f>
        <v/>
      </c>
      <c r="G446" s="1">
        <v>3.30000000000004</v>
      </c>
      <c r="H446" s="23" t="b">
        <f>if(countif(Status!C:C,A446)=1,TRUE, FALSE)</f>
        <v>1</v>
      </c>
    </row>
    <row r="447">
      <c r="A447" s="23" t="str">
        <f t="shared" si="9"/>
        <v>FB1076UP</v>
      </c>
      <c r="B447" s="23" t="str">
        <f>'3.3.raw'!M447</f>
        <v>FB1076UP</v>
      </c>
      <c r="C447" s="24">
        <f>datevalue(left('3.3.raw'!O447,10))</f>
        <v>43759</v>
      </c>
      <c r="D447" s="23">
        <f>'3.3.raw'!I447</f>
        <v>99</v>
      </c>
      <c r="E447" s="23" t="str">
        <f>'3.3.raw'!J447</f>
        <v/>
      </c>
      <c r="F447" s="23" t="str">
        <f>'3.3.raw'!K447</f>
        <v/>
      </c>
      <c r="G447" s="1">
        <v>3.30000000000004</v>
      </c>
      <c r="H447" s="23" t="b">
        <f>if(countif(Status!C:C,A447)=1,TRUE, FALSE)</f>
        <v>1</v>
      </c>
    </row>
    <row r="448">
      <c r="A448" s="23" t="str">
        <f t="shared" si="9"/>
        <v>UPNC33</v>
      </c>
      <c r="B448" s="23" t="str">
        <f>'3.3.raw'!M448</f>
        <v>UPNC33</v>
      </c>
      <c r="C448" s="24">
        <f>datevalue(left('3.3.raw'!O448,10))</f>
        <v>43759</v>
      </c>
      <c r="D448" s="23">
        <f>'3.3.raw'!I448</f>
        <v>98</v>
      </c>
      <c r="E448" s="23" t="str">
        <f>'3.3.raw'!J448</f>
        <v/>
      </c>
      <c r="F448" s="23" t="str">
        <f>'3.3.raw'!K448</f>
        <v/>
      </c>
      <c r="G448" s="1">
        <v>3.30000000000004</v>
      </c>
      <c r="H448" s="23" t="b">
        <f>if(countif(Status!C:C,A448)=1,TRUE, FALSE)</f>
        <v>1</v>
      </c>
    </row>
    <row r="449">
      <c r="A449" s="23" t="str">
        <f t="shared" si="9"/>
        <v>EC10</v>
      </c>
      <c r="B449" s="23" t="str">
        <f>'3.3.raw'!M449</f>
        <v>EC10</v>
      </c>
      <c r="C449" s="24">
        <f>datevalue(left('3.3.raw'!O449,10))</f>
        <v>43759</v>
      </c>
      <c r="D449" s="23">
        <f>'3.3.raw'!I449</f>
        <v>98</v>
      </c>
      <c r="E449" s="23" t="str">
        <f>'3.3.raw'!J449</f>
        <v/>
      </c>
      <c r="F449" s="23" t="str">
        <f>'3.3.raw'!K449</f>
        <v/>
      </c>
      <c r="G449" s="1">
        <v>3.30000000000004</v>
      </c>
      <c r="H449" s="23" t="b">
        <f>if(countif(Status!C:C,A449)=1,TRUE, FALSE)</f>
        <v>1</v>
      </c>
    </row>
    <row r="450">
      <c r="A450" s="23" t="str">
        <f t="shared" si="9"/>
        <v>PLc1039</v>
      </c>
      <c r="B450" s="23" t="str">
        <f>'3.3.raw'!M450</f>
        <v>PLc1039</v>
      </c>
      <c r="C450" s="24">
        <f>datevalue(left('3.3.raw'!O450,10))</f>
        <v>43761</v>
      </c>
      <c r="D450" s="23">
        <f>'3.3.raw'!I450</f>
        <v>11</v>
      </c>
      <c r="E450" s="23" t="str">
        <f>'3.3.raw'!J450</f>
        <v/>
      </c>
      <c r="F450" s="23" t="str">
        <f>'3.3.raw'!K450</f>
        <v/>
      </c>
      <c r="G450" s="1">
        <v>3.30000000000004</v>
      </c>
      <c r="H450" s="23" t="b">
        <f>if(countif(Status!C:C,A450)=1,TRUE, FALSE)</f>
        <v>1</v>
      </c>
    </row>
    <row r="451">
      <c r="A451" s="23" t="str">
        <f t="shared" si="9"/>
        <v>FB1077</v>
      </c>
      <c r="B451" s="23" t="str">
        <f>'3.3.raw'!M451</f>
        <v>FB1077</v>
      </c>
      <c r="C451" s="24">
        <f>datevalue(left('3.3.raw'!O451,10))</f>
        <v>43761</v>
      </c>
      <c r="D451" s="23">
        <f>'3.3.raw'!I451</f>
        <v>99</v>
      </c>
      <c r="E451" s="23" t="str">
        <f>'3.3.raw'!J451</f>
        <v/>
      </c>
      <c r="F451" s="23" t="str">
        <f>'3.3.raw'!K451</f>
        <v/>
      </c>
      <c r="G451" s="1">
        <v>3.30000000000004</v>
      </c>
      <c r="H451" s="23" t="b">
        <f>if(countif(Status!C:C,A451)=1,TRUE, FALSE)</f>
        <v>1</v>
      </c>
    </row>
    <row r="452">
      <c r="A452" s="23" t="str">
        <f t="shared" si="9"/>
        <v>FB1077UP</v>
      </c>
      <c r="B452" s="23" t="str">
        <f>'3.3.raw'!M452</f>
        <v>FB1077UP</v>
      </c>
      <c r="C452" s="24">
        <f>datevalue(left('3.3.raw'!O452,10))</f>
        <v>43761</v>
      </c>
      <c r="D452" s="23">
        <f>'3.3.raw'!I452</f>
        <v>99</v>
      </c>
      <c r="E452" s="23" t="str">
        <f>'3.3.raw'!J452</f>
        <v/>
      </c>
      <c r="F452" s="23" t="str">
        <f>'3.3.raw'!K452</f>
        <v/>
      </c>
      <c r="G452" s="1">
        <v>3.30000000000004</v>
      </c>
      <c r="H452" s="23" t="b">
        <f>if(countif(Status!C:C,A452)=1,TRUE, FALSE)</f>
        <v>1</v>
      </c>
    </row>
    <row r="453">
      <c r="A453" s="23" t="str">
        <f t="shared" si="9"/>
        <v>EC11</v>
      </c>
      <c r="B453" s="23" t="str">
        <f>'3.3.raw'!M453</f>
        <v>EC11</v>
      </c>
      <c r="C453" s="24">
        <f>datevalue(left('3.3.raw'!O453,10))</f>
        <v>43761</v>
      </c>
      <c r="D453" s="23">
        <f>'3.3.raw'!I453</f>
        <v>98</v>
      </c>
      <c r="E453" s="23" t="str">
        <f>'3.3.raw'!J453</f>
        <v/>
      </c>
      <c r="F453" s="23" t="str">
        <f>'3.3.raw'!K453</f>
        <v/>
      </c>
      <c r="G453" s="1">
        <v>3.30000000000004</v>
      </c>
      <c r="H453" s="23" t="b">
        <f>if(countif(Status!C:C,A453)=1,TRUE, FALSE)</f>
        <v>1</v>
      </c>
    </row>
    <row r="454">
      <c r="A454" s="23" t="str">
        <f t="shared" si="9"/>
        <v>PLc1040</v>
      </c>
      <c r="B454" s="23" t="str">
        <f>'3.3.raw'!M454</f>
        <v>PLc1040</v>
      </c>
      <c r="C454" s="24">
        <f>datevalue(left('3.3.raw'!O454,10))</f>
        <v>43761</v>
      </c>
      <c r="D454" s="23">
        <f>'3.3.raw'!I454</f>
        <v>99</v>
      </c>
      <c r="E454" s="23" t="str">
        <f>'3.3.raw'!J454</f>
        <v/>
      </c>
      <c r="F454" s="23" t="str">
        <f>'3.3.raw'!K454</f>
        <v/>
      </c>
      <c r="G454" s="1">
        <v>3.30000000000004</v>
      </c>
      <c r="H454" s="23" t="b">
        <f>if(countif(Status!C:C,A454)=1,TRUE, FALSE)</f>
        <v>1</v>
      </c>
    </row>
    <row r="455">
      <c r="A455" s="23" t="str">
        <f t="shared" si="9"/>
        <v>FB1078</v>
      </c>
      <c r="B455" s="23" t="str">
        <f>'3.3.raw'!M455</f>
        <v>FB1078</v>
      </c>
      <c r="C455" s="24">
        <f>datevalue(left('3.3.raw'!O455,10))</f>
        <v>43761</v>
      </c>
      <c r="D455" s="23">
        <f>'3.3.raw'!I455</f>
        <v>99</v>
      </c>
      <c r="E455" s="23" t="str">
        <f>'3.3.raw'!J455</f>
        <v/>
      </c>
      <c r="F455" s="23" t="str">
        <f>'3.3.raw'!K455</f>
        <v/>
      </c>
      <c r="G455" s="1">
        <v>3.30000000000004</v>
      </c>
      <c r="H455" s="23" t="b">
        <f>if(countif(Status!C:C,A455)=1,TRUE, FALSE)</f>
        <v>1</v>
      </c>
    </row>
    <row r="456">
      <c r="A456" s="23" t="str">
        <f t="shared" si="9"/>
        <v>FB1078UP</v>
      </c>
      <c r="B456" s="23" t="str">
        <f>'3.3.raw'!M456</f>
        <v>FB1078UP</v>
      </c>
      <c r="C456" s="24">
        <f>datevalue(left('3.3.raw'!O456,10))</f>
        <v>43761</v>
      </c>
      <c r="D456" s="23">
        <f>'3.3.raw'!I456</f>
        <v>99</v>
      </c>
      <c r="E456" s="23" t="str">
        <f>'3.3.raw'!J456</f>
        <v/>
      </c>
      <c r="F456" s="23" t="str">
        <f>'3.3.raw'!K456</f>
        <v/>
      </c>
      <c r="G456" s="1">
        <v>3.30000000000004</v>
      </c>
      <c r="H456" s="23" t="b">
        <f>if(countif(Status!C:C,A456)=1,TRUE, FALSE)</f>
        <v>1</v>
      </c>
    </row>
    <row r="457">
      <c r="A457" s="23" t="str">
        <f t="shared" si="9"/>
        <v>PLc1041</v>
      </c>
      <c r="B457" s="23" t="str">
        <f>'3.3.raw'!M457</f>
        <v>PLc1041</v>
      </c>
      <c r="C457" s="24">
        <f>datevalue(left('3.3.raw'!O457,10))</f>
        <v>43761</v>
      </c>
      <c r="D457" s="23">
        <f>'3.3.raw'!I457</f>
        <v>11</v>
      </c>
      <c r="E457" s="23" t="str">
        <f>'3.3.raw'!J457</f>
        <v/>
      </c>
      <c r="F457" s="23" t="str">
        <f>'3.3.raw'!K457</f>
        <v/>
      </c>
      <c r="G457" s="1">
        <v>3.30000000000004</v>
      </c>
      <c r="H457" s="23" t="b">
        <f>if(countif(Status!C:C,A457)=1,TRUE, FALSE)</f>
        <v>1</v>
      </c>
    </row>
    <row r="458">
      <c r="A458" s="23" t="str">
        <f t="shared" si="9"/>
        <v>FB1079</v>
      </c>
      <c r="B458" s="23" t="str">
        <f>'3.3.raw'!M458</f>
        <v>FB1079</v>
      </c>
      <c r="C458" s="24">
        <f>datevalue(left('3.3.raw'!O458,10))</f>
        <v>43761</v>
      </c>
      <c r="D458" s="23">
        <f>'3.3.raw'!I458</f>
        <v>99</v>
      </c>
      <c r="E458" s="23" t="str">
        <f>'3.3.raw'!J458</f>
        <v/>
      </c>
      <c r="F458" s="23" t="str">
        <f>'3.3.raw'!K458</f>
        <v/>
      </c>
      <c r="G458" s="1">
        <v>3.30000000000004</v>
      </c>
      <c r="H458" s="23" t="b">
        <f>if(countif(Status!C:C,A458)=1,TRUE, FALSE)</f>
        <v>1</v>
      </c>
    </row>
    <row r="459">
      <c r="A459" s="23" t="str">
        <f t="shared" si="9"/>
        <v>FB1079UP</v>
      </c>
      <c r="B459" s="23" t="str">
        <f>'3.3.raw'!M459</f>
        <v>FB1079UP</v>
      </c>
      <c r="C459" s="24">
        <f>datevalue(left('3.3.raw'!O459,10))</f>
        <v>43761</v>
      </c>
      <c r="D459" s="23">
        <f>'3.3.raw'!I459</f>
        <v>99</v>
      </c>
      <c r="E459" s="23" t="str">
        <f>'3.3.raw'!J459</f>
        <v/>
      </c>
      <c r="F459" s="23" t="str">
        <f>'3.3.raw'!K459</f>
        <v/>
      </c>
      <c r="G459" s="1">
        <v>3.30000000000004</v>
      </c>
      <c r="H459" s="23" t="b">
        <f>if(countif(Status!C:C,A459)=1,TRUE, FALSE)</f>
        <v>1</v>
      </c>
    </row>
    <row r="460">
      <c r="A460" s="23" t="str">
        <f t="shared" si="9"/>
        <v>PLc1042</v>
      </c>
      <c r="B460" s="23" t="str">
        <f>'3.3.raw'!M460</f>
        <v>PLc1042</v>
      </c>
      <c r="C460" s="24">
        <f>datevalue(left('3.3.raw'!O460,10))</f>
        <v>43761</v>
      </c>
      <c r="D460" s="23">
        <f>'3.3.raw'!I460</f>
        <v>11</v>
      </c>
      <c r="E460" s="23" t="str">
        <f>'3.3.raw'!J460</f>
        <v/>
      </c>
      <c r="F460" s="23" t="str">
        <f>'3.3.raw'!K460</f>
        <v/>
      </c>
      <c r="G460" s="1">
        <v>3.30000000000004</v>
      </c>
      <c r="H460" s="23" t="b">
        <f>if(countif(Status!C:C,A460)=1,TRUE, FALSE)</f>
        <v>1</v>
      </c>
    </row>
    <row r="461">
      <c r="A461" s="23" t="str">
        <f t="shared" si="9"/>
        <v>FB1080</v>
      </c>
      <c r="B461" s="23" t="str">
        <f>'3.3.raw'!M461</f>
        <v>FB1080</v>
      </c>
      <c r="C461" s="24">
        <f>datevalue(left('3.3.raw'!O461,10))</f>
        <v>43761</v>
      </c>
      <c r="D461" s="23">
        <f>'3.3.raw'!I461</f>
        <v>99</v>
      </c>
      <c r="E461" s="23" t="str">
        <f>'3.3.raw'!J461</f>
        <v/>
      </c>
      <c r="F461" s="23" t="str">
        <f>'3.3.raw'!K461</f>
        <v/>
      </c>
      <c r="G461" s="1">
        <v>3.30000000000004</v>
      </c>
      <c r="H461" s="23" t="b">
        <f>if(countif(Status!C:C,A461)=1,TRUE, FALSE)</f>
        <v>1</v>
      </c>
    </row>
    <row r="462">
      <c r="A462" s="23" t="str">
        <f t="shared" si="9"/>
        <v>FB1080UP</v>
      </c>
      <c r="B462" s="23" t="str">
        <f>'3.3.raw'!M462</f>
        <v>FB1080UP</v>
      </c>
      <c r="C462" s="24">
        <f>datevalue(left('3.3.raw'!O462,10))</f>
        <v>43761</v>
      </c>
      <c r="D462" s="23">
        <f>'3.3.raw'!I462</f>
        <v>99</v>
      </c>
      <c r="E462" s="23" t="str">
        <f>'3.3.raw'!J462</f>
        <v/>
      </c>
      <c r="F462" s="23" t="str">
        <f>'3.3.raw'!K462</f>
        <v/>
      </c>
      <c r="G462" s="1">
        <v>3.30000000000004</v>
      </c>
      <c r="H462" s="23" t="b">
        <f>if(countif(Status!C:C,A462)=1,TRUE, FALSE)</f>
        <v>1</v>
      </c>
    </row>
    <row r="463">
      <c r="A463" s="23" t="str">
        <f t="shared" si="9"/>
        <v>PLc1043</v>
      </c>
      <c r="B463" s="23" t="str">
        <f>'3.3.raw'!M463</f>
        <v>PLc1043</v>
      </c>
      <c r="C463" s="24">
        <f>datevalue(left('3.3.raw'!O463,10))</f>
        <v>43761</v>
      </c>
      <c r="D463" s="23">
        <f>'3.3.raw'!I463</f>
        <v>11</v>
      </c>
      <c r="E463" s="23" t="str">
        <f>'3.3.raw'!J463</f>
        <v/>
      </c>
      <c r="F463" s="23" t="str">
        <f>'3.3.raw'!K463</f>
        <v/>
      </c>
      <c r="G463" s="1">
        <v>3.30000000000004</v>
      </c>
      <c r="H463" s="23" t="b">
        <f>if(countif(Status!C:C,A463)=1,TRUE, FALSE)</f>
        <v>1</v>
      </c>
    </row>
    <row r="464">
      <c r="A464" s="23" t="str">
        <f t="shared" si="9"/>
        <v>FB1081</v>
      </c>
      <c r="B464" s="23" t="str">
        <f>'3.3.raw'!M464</f>
        <v>FB1081</v>
      </c>
      <c r="C464" s="24">
        <f>datevalue(left('3.3.raw'!O464,10))</f>
        <v>43761</v>
      </c>
      <c r="D464" s="23">
        <f>'3.3.raw'!I464</f>
        <v>99</v>
      </c>
      <c r="E464" s="23" t="str">
        <f>'3.3.raw'!J464</f>
        <v/>
      </c>
      <c r="F464" s="23" t="str">
        <f>'3.3.raw'!K464</f>
        <v/>
      </c>
      <c r="G464" s="1">
        <v>3.30000000000004</v>
      </c>
      <c r="H464" s="23" t="b">
        <f>if(countif(Status!C:C,A464)=1,TRUE, FALSE)</f>
        <v>1</v>
      </c>
    </row>
    <row r="465">
      <c r="A465" s="23" t="str">
        <f t="shared" si="9"/>
        <v>FB1081UP</v>
      </c>
      <c r="B465" s="23" t="str">
        <f>'3.3.raw'!M465</f>
        <v>FB1081UP</v>
      </c>
      <c r="C465" s="24">
        <f>datevalue(left('3.3.raw'!O465,10))</f>
        <v>43761</v>
      </c>
      <c r="D465" s="23">
        <f>'3.3.raw'!I465</f>
        <v>99</v>
      </c>
      <c r="E465" s="23" t="str">
        <f>'3.3.raw'!J465</f>
        <v/>
      </c>
      <c r="F465" s="23" t="str">
        <f>'3.3.raw'!K465</f>
        <v/>
      </c>
      <c r="G465" s="1">
        <v>3.30000000000004</v>
      </c>
      <c r="H465" s="23" t="b">
        <f>if(countif(Status!C:C,A465)=1,TRUE, FALSE)</f>
        <v>1</v>
      </c>
    </row>
    <row r="466">
      <c r="A466" s="23" t="str">
        <f t="shared" si="9"/>
        <v>UPNC34</v>
      </c>
      <c r="B466" s="23" t="str">
        <f>'3.3.raw'!M466</f>
        <v>UPNC34</v>
      </c>
      <c r="C466" s="24">
        <f>datevalue(left('3.3.raw'!O466,10))</f>
        <v>43761</v>
      </c>
      <c r="D466" s="23">
        <f>'3.3.raw'!I466</f>
        <v>98</v>
      </c>
      <c r="E466" s="23" t="str">
        <f>'3.3.raw'!J466</f>
        <v/>
      </c>
      <c r="F466" s="23" t="str">
        <f>'3.3.raw'!K466</f>
        <v/>
      </c>
      <c r="G466" s="1">
        <v>3.30000000000004</v>
      </c>
      <c r="H466" s="23" t="b">
        <f>if(countif(Status!C:C,A466)=1,TRUE, FALSE)</f>
        <v>1</v>
      </c>
    </row>
    <row r="467">
      <c r="A467" s="23" t="str">
        <f t="shared" si="9"/>
        <v>MO1104</v>
      </c>
      <c r="B467" s="23" t="str">
        <f>'3.3.raw'!M467</f>
        <v>MO1104</v>
      </c>
      <c r="C467" s="24">
        <f>datevalue(left('3.3.raw'!O467,10))</f>
        <v>43762</v>
      </c>
      <c r="D467" s="23">
        <f>'3.3.raw'!I467</f>
        <v>12</v>
      </c>
      <c r="E467" s="23" t="str">
        <f>'3.3.raw'!J467</f>
        <v/>
      </c>
      <c r="F467" s="23" t="str">
        <f>'3.3.raw'!K467</f>
        <v/>
      </c>
      <c r="G467" s="1">
        <v>3.30000000000004</v>
      </c>
      <c r="H467" s="23" t="b">
        <f>if(countif(Status!C:C,A467)=1,TRUE, FALSE)</f>
        <v>1</v>
      </c>
    </row>
    <row r="468">
      <c r="A468" s="23" t="str">
        <f t="shared" si="9"/>
        <v>FB1082</v>
      </c>
      <c r="B468" s="23" t="str">
        <f>'3.3.raw'!M468</f>
        <v>FB1082</v>
      </c>
      <c r="C468" s="24">
        <f>datevalue(left('3.3.raw'!O468,10))</f>
        <v>43762</v>
      </c>
      <c r="D468" s="23">
        <f>'3.3.raw'!I468</f>
        <v>99</v>
      </c>
      <c r="E468" s="23" t="str">
        <f>'3.3.raw'!J468</f>
        <v/>
      </c>
      <c r="F468" s="23" t="str">
        <f>'3.3.raw'!K468</f>
        <v/>
      </c>
      <c r="G468" s="1">
        <v>3.30000000000004</v>
      </c>
      <c r="H468" s="23" t="b">
        <f>if(countif(Status!C:C,A468)=1,TRUE, FALSE)</f>
        <v>1</v>
      </c>
    </row>
    <row r="469">
      <c r="A469" s="23" t="str">
        <f t="shared" si="9"/>
        <v>MO1105</v>
      </c>
      <c r="B469" s="23" t="str">
        <f>'3.3.raw'!M469</f>
        <v>MO1105</v>
      </c>
      <c r="C469" s="24">
        <f>datevalue(left('3.3.raw'!O469,10))</f>
        <v>43762</v>
      </c>
      <c r="D469" s="23">
        <f>'3.3.raw'!I469</f>
        <v>99</v>
      </c>
      <c r="E469" s="23" t="str">
        <f>'3.3.raw'!J469</f>
        <v/>
      </c>
      <c r="F469" s="23" t="str">
        <f>'3.3.raw'!K469</f>
        <v/>
      </c>
      <c r="G469" s="1">
        <v>3.30000000000004</v>
      </c>
      <c r="H469" s="23" t="b">
        <f>if(countif(Status!C:C,A469)=1,TRUE, FALSE)</f>
        <v>1</v>
      </c>
    </row>
    <row r="470">
      <c r="A470" s="23" t="str">
        <f t="shared" si="9"/>
        <v>FB1083</v>
      </c>
      <c r="B470" s="23" t="str">
        <f>'3.3.raw'!M470</f>
        <v>FB1083</v>
      </c>
      <c r="C470" s="24">
        <f>datevalue(left('3.3.raw'!O470,10))</f>
        <v>43762</v>
      </c>
      <c r="D470" s="23">
        <f>'3.3.raw'!I470</f>
        <v>99</v>
      </c>
      <c r="E470" s="23" t="str">
        <f>'3.3.raw'!J470</f>
        <v/>
      </c>
      <c r="F470" s="23" t="str">
        <f>'3.3.raw'!K470</f>
        <v/>
      </c>
      <c r="G470" s="1">
        <v>3.30000000000004</v>
      </c>
      <c r="H470" s="23" t="b">
        <f>if(countif(Status!C:C,A470)=1,TRUE, FALSE)</f>
        <v>1</v>
      </c>
    </row>
    <row r="471">
      <c r="A471" s="23" t="str">
        <f t="shared" si="9"/>
        <v>UPNC35</v>
      </c>
      <c r="B471" s="23" t="str">
        <f>'3.3.raw'!M471</f>
        <v>UPNC35</v>
      </c>
      <c r="C471" s="24">
        <f>datevalue(left('3.3.raw'!O471,10))</f>
        <v>43762</v>
      </c>
      <c r="D471" s="23">
        <f>'3.3.raw'!I471</f>
        <v>98</v>
      </c>
      <c r="E471" s="23" t="str">
        <f>'3.3.raw'!J471</f>
        <v/>
      </c>
      <c r="F471" s="23" t="str">
        <f>'3.3.raw'!K471</f>
        <v/>
      </c>
      <c r="G471" s="1">
        <v>3.30000000000004</v>
      </c>
      <c r="H471" s="23" t="b">
        <f>if(countif(Status!C:C,A471)=1,TRUE, FALSE)</f>
        <v>1</v>
      </c>
    </row>
    <row r="472">
      <c r="A472" s="49" t="s">
        <v>223</v>
      </c>
      <c r="B472" s="23" t="str">
        <f>'3.3.raw'!M472</f>
        <v>FPa1103</v>
      </c>
      <c r="C472" s="24">
        <f>datevalue(left('3.3.raw'!O472,10))</f>
        <v>43762</v>
      </c>
      <c r="D472" s="23">
        <f>'3.3.raw'!I472</f>
        <v>14</v>
      </c>
      <c r="E472" s="23">
        <f>'3.3.raw'!J472</f>
        <v>141</v>
      </c>
      <c r="F472" s="23" t="str">
        <f>'3.3.raw'!K472</f>
        <v/>
      </c>
      <c r="G472" s="1">
        <v>3.30000000000004</v>
      </c>
      <c r="H472" s="23" t="b">
        <f>if(countif(Status!C:C,A472)=1,TRUE, FALSE)</f>
        <v>1</v>
      </c>
    </row>
    <row r="473">
      <c r="A473" s="49" t="s">
        <v>225</v>
      </c>
      <c r="B473" s="23" t="str">
        <f>'3.3.raw'!M473</f>
        <v>FPb1103</v>
      </c>
      <c r="C473" s="24">
        <f>datevalue(left('3.3.raw'!O473,10))</f>
        <v>43762</v>
      </c>
      <c r="D473" s="23">
        <f>'3.3.raw'!I473</f>
        <v>14</v>
      </c>
      <c r="E473" s="23">
        <f>'3.3.raw'!J473</f>
        <v>142</v>
      </c>
      <c r="F473" s="23" t="str">
        <f>'3.3.raw'!K473</f>
        <v/>
      </c>
      <c r="G473" s="1">
        <v>3.30000000000004</v>
      </c>
      <c r="H473" s="23" t="b">
        <f>if(countif(Status!C:C,A473)=1,TRUE, FALSE)</f>
        <v>1</v>
      </c>
    </row>
    <row r="474">
      <c r="A474" s="49" t="s">
        <v>227</v>
      </c>
      <c r="B474" s="23" t="str">
        <f>'3.3.raw'!M474</f>
        <v>FPc1103</v>
      </c>
      <c r="C474" s="24">
        <f>datevalue(left('3.3.raw'!O474,10))</f>
        <v>43762</v>
      </c>
      <c r="D474" s="23">
        <f>'3.3.raw'!I474</f>
        <v>14</v>
      </c>
      <c r="E474" s="23">
        <f>'3.3.raw'!J474</f>
        <v>143</v>
      </c>
      <c r="F474" s="23" t="str">
        <f>'3.3.raw'!K474</f>
        <v/>
      </c>
      <c r="G474" s="1">
        <v>3.30000000000005</v>
      </c>
      <c r="H474" s="23" t="b">
        <f>if(countif(Status!C:C,A474)=1,TRUE, FALSE)</f>
        <v>1</v>
      </c>
    </row>
    <row r="475">
      <c r="A475" s="49" t="s">
        <v>229</v>
      </c>
      <c r="B475" s="23" t="str">
        <f>'3.3.raw'!M475</f>
        <v>FPd1103</v>
      </c>
      <c r="C475" s="24">
        <f>datevalue(left('3.3.raw'!O475,10))</f>
        <v>43762</v>
      </c>
      <c r="D475" s="23">
        <f>'3.3.raw'!I475</f>
        <v>14</v>
      </c>
      <c r="E475" s="23">
        <f>'3.3.raw'!J475</f>
        <v>144</v>
      </c>
      <c r="F475" s="23" t="str">
        <f>'3.3.raw'!K475</f>
        <v/>
      </c>
      <c r="G475" s="1">
        <v>3.30000000000005</v>
      </c>
      <c r="H475" s="23" t="b">
        <f>if(countif(Status!C:C,A475)=1,TRUE, FALSE)</f>
        <v>1</v>
      </c>
    </row>
    <row r="476">
      <c r="A476" s="49" t="s">
        <v>231</v>
      </c>
      <c r="B476" s="23" t="str">
        <f>'3.3.raw'!M476</f>
        <v>FPe1103</v>
      </c>
      <c r="C476" s="24">
        <f>datevalue(left('3.3.raw'!O476,10))</f>
        <v>43762</v>
      </c>
      <c r="D476" s="23">
        <f>'3.3.raw'!I476</f>
        <v>14</v>
      </c>
      <c r="E476" s="23">
        <f>'3.3.raw'!J476</f>
        <v>145</v>
      </c>
      <c r="F476" s="23" t="str">
        <f>'3.3.raw'!K476</f>
        <v/>
      </c>
      <c r="G476" s="1">
        <v>3.30000000000005</v>
      </c>
      <c r="H476" s="23" t="b">
        <f>if(countif(Status!C:C,A476)=1,TRUE, FALSE)</f>
        <v>1</v>
      </c>
    </row>
    <row r="477">
      <c r="A477" s="23" t="str">
        <f t="shared" ref="A477:A483" si="10">B477</f>
        <v>FB1084</v>
      </c>
      <c r="B477" s="23" t="str">
        <f>'3.3.raw'!M477</f>
        <v>FB1084</v>
      </c>
      <c r="C477" s="24">
        <f>datevalue(left('3.3.raw'!O477,10))</f>
        <v>43762</v>
      </c>
      <c r="D477" s="23">
        <f>'3.3.raw'!I477</f>
        <v>99</v>
      </c>
      <c r="E477" s="23" t="str">
        <f>'3.3.raw'!J477</f>
        <v/>
      </c>
      <c r="F477" s="23" t="str">
        <f>'3.3.raw'!K477</f>
        <v/>
      </c>
      <c r="G477" s="1">
        <v>3.30000000000005</v>
      </c>
      <c r="H477" s="23" t="b">
        <f>if(countif(Status!C:C,A477)=1,TRUE, FALSE)</f>
        <v>1</v>
      </c>
    </row>
    <row r="478">
      <c r="A478" s="23" t="str">
        <f t="shared" si="10"/>
        <v>UPNC36</v>
      </c>
      <c r="B478" s="23" t="str">
        <f>'3.3.raw'!M478</f>
        <v>UPNC36</v>
      </c>
      <c r="C478" s="24">
        <f>datevalue(left('3.3.raw'!O478,10))</f>
        <v>43762</v>
      </c>
      <c r="D478" s="23">
        <f>'3.3.raw'!I478</f>
        <v>98</v>
      </c>
      <c r="E478" s="23" t="str">
        <f>'3.3.raw'!J478</f>
        <v/>
      </c>
      <c r="F478" s="23" t="str">
        <f>'3.3.raw'!K478</f>
        <v/>
      </c>
      <c r="G478" s="1">
        <v>3.30000000000005</v>
      </c>
      <c r="H478" s="23" t="b">
        <f>if(countif(Status!C:C,A478)=1,TRUE, FALSE)</f>
        <v>1</v>
      </c>
    </row>
    <row r="479">
      <c r="A479" s="23" t="str">
        <f t="shared" si="10"/>
        <v>EC12</v>
      </c>
      <c r="B479" s="23" t="str">
        <f>'3.3.raw'!M479</f>
        <v>EC12</v>
      </c>
      <c r="C479" s="24">
        <f>datevalue(left('3.3.raw'!O479,10))</f>
        <v>43762</v>
      </c>
      <c r="D479" s="23">
        <f>'3.3.raw'!I479</f>
        <v>98</v>
      </c>
      <c r="E479" s="23" t="str">
        <f>'3.3.raw'!J479</f>
        <v/>
      </c>
      <c r="F479" s="23" t="str">
        <f>'3.3.raw'!K479</f>
        <v/>
      </c>
      <c r="G479" s="1">
        <v>3.30000000000005</v>
      </c>
      <c r="H479" s="23" t="b">
        <f>if(countif(Status!C:C,A479)=1,TRUE, FALSE)</f>
        <v>1</v>
      </c>
    </row>
    <row r="480">
      <c r="A480" s="23" t="str">
        <f t="shared" si="10"/>
        <v>MO1106</v>
      </c>
      <c r="B480" s="23" t="str">
        <f>'3.3.raw'!M480</f>
        <v>MO1106</v>
      </c>
      <c r="C480" s="24">
        <f>datevalue(left('3.3.raw'!O480,10))</f>
        <v>43766</v>
      </c>
      <c r="D480" s="23">
        <f>'3.3.raw'!I480</f>
        <v>12</v>
      </c>
      <c r="E480" s="23" t="str">
        <f>'3.3.raw'!J480</f>
        <v/>
      </c>
      <c r="F480" s="23" t="str">
        <f>'3.3.raw'!K480</f>
        <v/>
      </c>
      <c r="G480" s="1">
        <v>3.30000000000005</v>
      </c>
      <c r="H480" s="23" t="b">
        <f>if(countif(Status!C:C,A480)=1,TRUE, FALSE)</f>
        <v>1</v>
      </c>
    </row>
    <row r="481">
      <c r="A481" s="23" t="str">
        <f t="shared" si="10"/>
        <v>FB1085</v>
      </c>
      <c r="B481" s="23" t="str">
        <f>'3.3.raw'!M481</f>
        <v>FB1085</v>
      </c>
      <c r="C481" s="24">
        <f>datevalue(left('3.3.raw'!O481,10))</f>
        <v>43766</v>
      </c>
      <c r="D481" s="23">
        <f>'3.3.raw'!I481</f>
        <v>99</v>
      </c>
      <c r="E481" s="23" t="str">
        <f>'3.3.raw'!J481</f>
        <v/>
      </c>
      <c r="F481" s="23" t="str">
        <f>'3.3.raw'!K481</f>
        <v/>
      </c>
      <c r="G481" s="1">
        <v>3.30000000000005</v>
      </c>
      <c r="H481" s="23" t="b">
        <f>if(countif(Status!C:C,A481)=1,TRUE, FALSE)</f>
        <v>1</v>
      </c>
    </row>
    <row r="482">
      <c r="A482" s="23" t="str">
        <f t="shared" si="10"/>
        <v>FB1085UP</v>
      </c>
      <c r="B482" s="23" t="str">
        <f>'3.3.raw'!M482</f>
        <v>FB1085UP</v>
      </c>
      <c r="C482" s="24">
        <f>datevalue(left('3.3.raw'!O482,10))</f>
        <v>43766</v>
      </c>
      <c r="D482" s="23">
        <f>'3.3.raw'!I482</f>
        <v>99</v>
      </c>
      <c r="E482" s="23" t="str">
        <f>'3.3.raw'!J482</f>
        <v/>
      </c>
      <c r="F482" s="23" t="str">
        <f>'3.3.raw'!K482</f>
        <v/>
      </c>
      <c r="G482" s="1">
        <v>3.30000000000005</v>
      </c>
      <c r="H482" s="23" t="b">
        <f>if(countif(Status!C:C,A482)=1,TRUE, FALSE)</f>
        <v>1</v>
      </c>
    </row>
    <row r="483">
      <c r="A483" s="23" t="str">
        <f t="shared" si="10"/>
        <v>MO1107</v>
      </c>
      <c r="B483" s="23" t="str">
        <f>'3.3.raw'!M483</f>
        <v>MO1107</v>
      </c>
      <c r="C483" s="24">
        <f>datevalue(left('3.3.raw'!O483,10))</f>
        <v>43766</v>
      </c>
      <c r="D483" s="23">
        <f>'3.3.raw'!I483</f>
        <v>12</v>
      </c>
      <c r="E483" s="23" t="str">
        <f>'3.3.raw'!J483</f>
        <v/>
      </c>
      <c r="F483" s="23" t="str">
        <f>'3.3.raw'!K483</f>
        <v/>
      </c>
      <c r="G483" s="1">
        <v>3.30000000000005</v>
      </c>
      <c r="H483" s="23" t="b">
        <f>if(countif(Status!C:C,A483)=1,TRUE, FALSE)</f>
        <v>1</v>
      </c>
    </row>
    <row r="484">
      <c r="A484" s="49" t="s">
        <v>233</v>
      </c>
      <c r="B484" s="23" t="str">
        <f>'3.3.raw'!M484</f>
        <v>FB1086 &amp; FB1086UP</v>
      </c>
      <c r="C484" s="24">
        <f>datevalue(left('3.3.raw'!O484,10))</f>
        <v>43766</v>
      </c>
      <c r="D484" s="23">
        <f>'3.3.raw'!I484</f>
        <v>99</v>
      </c>
      <c r="E484" s="23" t="str">
        <f>'3.3.raw'!J484</f>
        <v/>
      </c>
      <c r="F484" s="23" t="str">
        <f>'3.3.raw'!K484</f>
        <v/>
      </c>
      <c r="G484" s="1">
        <v>3.30000000000005</v>
      </c>
      <c r="H484" s="23" t="b">
        <f>if(countif(Status!C:C,A484)=1,TRUE, FALSE)</f>
        <v>1</v>
      </c>
    </row>
    <row r="485">
      <c r="A485" s="49" t="s">
        <v>236</v>
      </c>
      <c r="C485" s="24">
        <v>43766.0</v>
      </c>
      <c r="D485" s="23">
        <v>99.0</v>
      </c>
      <c r="G485" s="1">
        <v>3.30000000000005</v>
      </c>
      <c r="H485" s="23" t="b">
        <f>if(countif(Status!C:C,A485)=1,TRUE, FALSE)</f>
        <v>1</v>
      </c>
    </row>
    <row r="486">
      <c r="A486" s="1" t="s">
        <v>1474</v>
      </c>
      <c r="B486" s="23" t="str">
        <f>'3.3.raw'!M485</f>
        <v>PLc1044F</v>
      </c>
      <c r="C486" s="24">
        <f>datevalue(left('3.3.raw'!O485,10))</f>
        <v>43766</v>
      </c>
      <c r="D486" s="23">
        <f>'3.3.raw'!I485</f>
        <v>11</v>
      </c>
      <c r="E486" s="23" t="str">
        <f>'3.3.raw'!J485</f>
        <v/>
      </c>
      <c r="F486" s="23" t="str">
        <f>'3.3.raw'!K485</f>
        <v/>
      </c>
      <c r="G486" s="1">
        <v>3.30000000000005</v>
      </c>
      <c r="H486" s="23" t="b">
        <f>if(countif(Status!C:C,A486)=1,TRUE, FALSE)</f>
        <v>1</v>
      </c>
    </row>
    <row r="487">
      <c r="A487" s="49" t="s">
        <v>237</v>
      </c>
      <c r="B487" s="23" t="str">
        <f>'3.3.raw'!M486</f>
        <v>FB1087&amp;FB1087UP</v>
      </c>
      <c r="C487" s="24">
        <f>datevalue(left('3.3.raw'!O486,10))</f>
        <v>43766</v>
      </c>
      <c r="D487" s="23">
        <f>'3.3.raw'!I486</f>
        <v>99</v>
      </c>
      <c r="E487" s="23" t="str">
        <f>'3.3.raw'!J486</f>
        <v/>
      </c>
      <c r="F487" s="23" t="str">
        <f>'3.3.raw'!K486</f>
        <v/>
      </c>
      <c r="G487" s="1">
        <v>3.30000000000005</v>
      </c>
      <c r="H487" s="23" t="b">
        <f>if(countif(Status!C:C,A487)=1,TRUE, FALSE)</f>
        <v>1</v>
      </c>
    </row>
    <row r="488">
      <c r="A488" s="49" t="s">
        <v>239</v>
      </c>
      <c r="C488" s="24">
        <v>43766.0</v>
      </c>
      <c r="D488" s="23">
        <v>99.0</v>
      </c>
      <c r="G488" s="1">
        <v>3.30000000000005</v>
      </c>
      <c r="H488" s="23" t="b">
        <f>if(countif(Status!C:C,A488)=1,TRUE, FALSE)</f>
        <v>1</v>
      </c>
    </row>
    <row r="489">
      <c r="A489" s="23" t="str">
        <f>B489</f>
        <v>PLc1045</v>
      </c>
      <c r="B489" s="23" t="str">
        <f>'3.3.raw'!M487</f>
        <v>PLc1045</v>
      </c>
      <c r="C489" s="24">
        <f>datevalue(left('3.3.raw'!O487,10))</f>
        <v>43766</v>
      </c>
      <c r="D489" s="23">
        <f>'3.3.raw'!I487</f>
        <v>11</v>
      </c>
      <c r="E489" s="23" t="str">
        <f>'3.3.raw'!J487</f>
        <v/>
      </c>
      <c r="F489" s="23" t="str">
        <f>'3.3.raw'!K487</f>
        <v/>
      </c>
      <c r="G489" s="1">
        <v>3.30000000000005</v>
      </c>
      <c r="H489" s="23" t="b">
        <f>if(countif(Status!C:C,A489)=1,TRUE, FALSE)</f>
        <v>1</v>
      </c>
    </row>
    <row r="490">
      <c r="A490" s="49" t="s">
        <v>240</v>
      </c>
      <c r="B490" s="23" t="str">
        <f>'3.3.raw'!M488</f>
        <v>FB1088&amp; FB1088UP</v>
      </c>
      <c r="C490" s="24">
        <f>datevalue(left('3.3.raw'!O488,10))</f>
        <v>43766</v>
      </c>
      <c r="D490" s="23">
        <f>'3.3.raw'!I488</f>
        <v>99</v>
      </c>
      <c r="E490" s="23" t="str">
        <f>'3.3.raw'!J488</f>
        <v/>
      </c>
      <c r="F490" s="23" t="str">
        <f>'3.3.raw'!K488</f>
        <v/>
      </c>
      <c r="G490" s="1">
        <v>3.30000000000005</v>
      </c>
      <c r="H490" s="23" t="b">
        <f>if(countif(Status!C:C,A490)=1,TRUE, FALSE)</f>
        <v>1</v>
      </c>
    </row>
    <row r="491">
      <c r="A491" s="49" t="s">
        <v>242</v>
      </c>
      <c r="C491" s="24">
        <v>43766.0</v>
      </c>
      <c r="D491" s="23">
        <v>99.0</v>
      </c>
      <c r="G491" s="1">
        <v>3.30000000000005</v>
      </c>
      <c r="H491" s="23" t="b">
        <f>if(countif(Status!C:C,A491)=1,TRUE, FALSE)</f>
        <v>1</v>
      </c>
    </row>
    <row r="492">
      <c r="A492" s="23" t="str">
        <f>B492</f>
        <v>PLc1046</v>
      </c>
      <c r="B492" s="23" t="str">
        <f>'3.3.raw'!M489</f>
        <v>PLc1046</v>
      </c>
      <c r="C492" s="24">
        <f>datevalue(left('3.3.raw'!O489,10))</f>
        <v>43766</v>
      </c>
      <c r="D492" s="23">
        <f>'3.3.raw'!I489</f>
        <v>11</v>
      </c>
      <c r="E492" s="23" t="str">
        <f>'3.3.raw'!J489</f>
        <v/>
      </c>
      <c r="F492" s="23" t="str">
        <f>'3.3.raw'!K489</f>
        <v/>
      </c>
      <c r="G492" s="1">
        <v>3.30000000000005</v>
      </c>
      <c r="H492" s="23" t="b">
        <f>if(countif(Status!C:C,A492)=1,TRUE, FALSE)</f>
        <v>1</v>
      </c>
    </row>
    <row r="493">
      <c r="A493" s="49" t="s">
        <v>243</v>
      </c>
      <c r="B493" s="23" t="str">
        <f>'3.3.raw'!M490</f>
        <v>FB1089&amp;FB1089UP</v>
      </c>
      <c r="C493" s="24">
        <f>datevalue(left('3.3.raw'!O490,10))</f>
        <v>43766</v>
      </c>
      <c r="D493" s="23">
        <f>'3.3.raw'!I490</f>
        <v>99</v>
      </c>
      <c r="E493" s="23" t="str">
        <f>'3.3.raw'!J490</f>
        <v/>
      </c>
      <c r="F493" s="23" t="str">
        <f>'3.3.raw'!K490</f>
        <v/>
      </c>
      <c r="G493" s="1">
        <v>3.30000000000005</v>
      </c>
      <c r="H493" s="23" t="b">
        <f>if(countif(Status!C:C,A493)=1,TRUE, FALSE)</f>
        <v>1</v>
      </c>
    </row>
    <row r="494">
      <c r="A494" s="49" t="s">
        <v>246</v>
      </c>
      <c r="C494" s="24">
        <v>43766.0</v>
      </c>
      <c r="D494" s="23">
        <v>99.0</v>
      </c>
      <c r="G494" s="1">
        <v>3.30000000000005</v>
      </c>
      <c r="H494" s="23" t="b">
        <f>if(countif(Status!C:C,A494)=1,TRUE, FALSE)</f>
        <v>1</v>
      </c>
    </row>
    <row r="495">
      <c r="A495" s="23" t="str">
        <f>B495</f>
        <v>PLc1047</v>
      </c>
      <c r="B495" s="23" t="str">
        <f>'3.3.raw'!M491</f>
        <v>PLc1047</v>
      </c>
      <c r="C495" s="24">
        <f>datevalue(left('3.3.raw'!O491,10))</f>
        <v>43766</v>
      </c>
      <c r="D495" s="23">
        <f>'3.3.raw'!I491</f>
        <v>11</v>
      </c>
      <c r="E495" s="23" t="str">
        <f>'3.3.raw'!J491</f>
        <v/>
      </c>
      <c r="F495" s="23" t="str">
        <f>'3.3.raw'!K491</f>
        <v/>
      </c>
      <c r="G495" s="1">
        <v>3.30000000000005</v>
      </c>
      <c r="H495" s="23" t="b">
        <f>if(countif(Status!C:C,A495)=1,TRUE, FALSE)</f>
        <v>1</v>
      </c>
    </row>
    <row r="496">
      <c r="A496" s="49" t="s">
        <v>247</v>
      </c>
      <c r="B496" s="23" t="str">
        <f>'3.3.raw'!M492</f>
        <v>FB1090&amp;FB1090UP</v>
      </c>
      <c r="C496" s="24">
        <f>datevalue(left('3.3.raw'!O492,10))</f>
        <v>43766</v>
      </c>
      <c r="D496" s="23">
        <f>'3.3.raw'!I492</f>
        <v>99</v>
      </c>
      <c r="E496" s="23" t="str">
        <f>'3.3.raw'!J492</f>
        <v/>
      </c>
      <c r="F496" s="23" t="str">
        <f>'3.3.raw'!K492</f>
        <v/>
      </c>
      <c r="G496" s="1">
        <v>3.30000000000005</v>
      </c>
      <c r="H496" s="23" t="b">
        <f>if(countif(Status!C:C,A496)=1,TRUE, FALSE)</f>
        <v>1</v>
      </c>
    </row>
    <row r="497">
      <c r="A497" s="49" t="s">
        <v>249</v>
      </c>
      <c r="C497" s="24">
        <v>43766.0</v>
      </c>
      <c r="D497" s="23">
        <v>99.0</v>
      </c>
      <c r="G497" s="1">
        <v>3.30000000000005</v>
      </c>
      <c r="H497" s="23" t="b">
        <f>if(countif(Status!C:C,A497)=1,TRUE, FALSE)</f>
        <v>1</v>
      </c>
    </row>
    <row r="498">
      <c r="A498" s="23" t="str">
        <f>B498</f>
        <v>PLc1048</v>
      </c>
      <c r="B498" s="23" t="str">
        <f>'3.3.raw'!M493</f>
        <v>PLc1048</v>
      </c>
      <c r="C498" s="24">
        <f>datevalue(left('3.3.raw'!O493,10))</f>
        <v>43766</v>
      </c>
      <c r="D498" s="23">
        <f>'3.3.raw'!I493</f>
        <v>11</v>
      </c>
      <c r="E498" s="23" t="str">
        <f>'3.3.raw'!J493</f>
        <v/>
      </c>
      <c r="F498" s="23" t="str">
        <f>'3.3.raw'!K493</f>
        <v/>
      </c>
      <c r="G498" s="1">
        <v>3.30000000000005</v>
      </c>
      <c r="H498" s="23" t="b">
        <f>if(countif(Status!C:C,A498)=1,TRUE, FALSE)</f>
        <v>1</v>
      </c>
    </row>
    <row r="499">
      <c r="A499" s="49" t="s">
        <v>250</v>
      </c>
      <c r="B499" s="23" t="str">
        <f>'3.3.raw'!M494</f>
        <v>FB1091&amp;FB1091UP</v>
      </c>
      <c r="C499" s="24">
        <f>datevalue(left('3.3.raw'!O494,10))</f>
        <v>43766</v>
      </c>
      <c r="D499" s="23">
        <f>'3.3.raw'!I494</f>
        <v>99</v>
      </c>
      <c r="E499" s="23" t="str">
        <f>'3.3.raw'!J494</f>
        <v/>
      </c>
      <c r="F499" s="23" t="str">
        <f>'3.3.raw'!K494</f>
        <v/>
      </c>
      <c r="G499" s="1">
        <v>3.30000000000005</v>
      </c>
      <c r="H499" s="23" t="b">
        <f>if(countif(Status!C:C,A499)=1,TRUE, FALSE)</f>
        <v>1</v>
      </c>
    </row>
    <row r="500">
      <c r="A500" s="49" t="s">
        <v>252</v>
      </c>
      <c r="C500" s="24">
        <v>43766.0</v>
      </c>
      <c r="D500" s="23">
        <v>99.0</v>
      </c>
      <c r="G500" s="1">
        <v>3.30000000000005</v>
      </c>
      <c r="H500" s="23" t="b">
        <f>if(countif(Status!C:C,A500)=1,TRUE, FALSE)</f>
        <v>1</v>
      </c>
    </row>
    <row r="501">
      <c r="A501" s="23" t="str">
        <f t="shared" ref="A501:A502" si="11">B501</f>
        <v>UPNC37</v>
      </c>
      <c r="B501" s="23" t="str">
        <f>'3.3.raw'!M495</f>
        <v>UPNC37</v>
      </c>
      <c r="C501" s="24">
        <f>datevalue(left('3.3.raw'!O495,10))</f>
        <v>43766</v>
      </c>
      <c r="D501" s="23">
        <f>'3.3.raw'!I495</f>
        <v>98</v>
      </c>
      <c r="E501" s="23" t="str">
        <f>'3.3.raw'!J495</f>
        <v/>
      </c>
      <c r="F501" s="23" t="str">
        <f>'3.3.raw'!K495</f>
        <v/>
      </c>
      <c r="G501" s="1">
        <v>3.30000000000005</v>
      </c>
      <c r="H501" s="23" t="b">
        <f>if(countif(Status!C:C,A501)=1,TRUE, FALSE)</f>
        <v>1</v>
      </c>
    </row>
    <row r="502">
      <c r="A502" s="23" t="str">
        <f t="shared" si="11"/>
        <v>PLc1049</v>
      </c>
      <c r="B502" s="23" t="str">
        <f>'3.3.raw'!M496</f>
        <v>PLc1049</v>
      </c>
      <c r="C502" s="24">
        <f>datevalue(left('3.3.raw'!O496,10))</f>
        <v>43766</v>
      </c>
      <c r="D502" s="23">
        <f>'3.3.raw'!I496</f>
        <v>11</v>
      </c>
      <c r="E502" s="23" t="str">
        <f>'3.3.raw'!J496</f>
        <v/>
      </c>
      <c r="F502" s="23" t="str">
        <f>'3.3.raw'!K496</f>
        <v/>
      </c>
      <c r="G502" s="1">
        <v>3.30000000000005</v>
      </c>
      <c r="H502" s="23" t="b">
        <f>if(countif(Status!C:C,A502)=1,TRUE, FALSE)</f>
        <v>1</v>
      </c>
    </row>
    <row r="503">
      <c r="A503" s="49" t="s">
        <v>253</v>
      </c>
      <c r="B503" s="23" t="str">
        <f>'3.3.raw'!M497</f>
        <v>FB1092&amp;FB1092UP</v>
      </c>
      <c r="C503" s="24">
        <f>datevalue(left('3.3.raw'!O497,10))</f>
        <v>43766</v>
      </c>
      <c r="D503" s="23">
        <f>'3.3.raw'!I497</f>
        <v>99</v>
      </c>
      <c r="E503" s="23" t="str">
        <f>'3.3.raw'!J497</f>
        <v/>
      </c>
      <c r="F503" s="23" t="str">
        <f>'3.3.raw'!K497</f>
        <v/>
      </c>
      <c r="G503" s="1">
        <v>3.30000000000005</v>
      </c>
      <c r="H503" s="23" t="b">
        <f>if(countif(Status!C:C,A503)=1,TRUE, FALSE)</f>
        <v>1</v>
      </c>
    </row>
    <row r="504">
      <c r="A504" s="49" t="s">
        <v>255</v>
      </c>
      <c r="C504" s="24">
        <v>43766.0</v>
      </c>
      <c r="D504" s="23">
        <v>99.0</v>
      </c>
      <c r="G504" s="1">
        <v>3.30000000000005</v>
      </c>
      <c r="H504" s="23" t="b">
        <f>if(countif(Status!C:C,A504)=1,TRUE, FALSE)</f>
        <v>1</v>
      </c>
    </row>
    <row r="505">
      <c r="A505" s="23" t="str">
        <f>B505</f>
        <v>PLc1050</v>
      </c>
      <c r="B505" s="23" t="str">
        <f>'3.3.raw'!M498</f>
        <v>PLc1050</v>
      </c>
      <c r="C505" s="24">
        <f>datevalue(left('3.3.raw'!O498,10))</f>
        <v>43768</v>
      </c>
      <c r="D505" s="23">
        <f>'3.3.raw'!I498</f>
        <v>11</v>
      </c>
      <c r="E505" s="23" t="str">
        <f>'3.3.raw'!J498</f>
        <v/>
      </c>
      <c r="F505" s="23" t="str">
        <f>'3.3.raw'!K498</f>
        <v/>
      </c>
      <c r="G505" s="1">
        <v>3.30000000000005</v>
      </c>
      <c r="H505" s="23" t="b">
        <f>if(countif(Status!C:C,A505)=1,TRUE, FALSE)</f>
        <v>1</v>
      </c>
    </row>
    <row r="506">
      <c r="A506" s="49" t="s">
        <v>256</v>
      </c>
      <c r="B506" s="23" t="str">
        <f>'3.3.raw'!M499</f>
        <v>FB1093&amp;FB1093UP</v>
      </c>
      <c r="C506" s="24">
        <f>datevalue(left('3.3.raw'!O499,10))</f>
        <v>43768</v>
      </c>
      <c r="D506" s="23">
        <f>'3.3.raw'!I499</f>
        <v>99</v>
      </c>
      <c r="E506" s="23" t="str">
        <f>'3.3.raw'!J499</f>
        <v/>
      </c>
      <c r="F506" s="23" t="str">
        <f>'3.3.raw'!K499</f>
        <v/>
      </c>
      <c r="G506" s="1">
        <v>3.30000000000005</v>
      </c>
      <c r="H506" s="23" t="b">
        <f>if(countif(Status!C:C,A506)=1,TRUE, FALSE)</f>
        <v>1</v>
      </c>
    </row>
    <row r="507">
      <c r="A507" s="49" t="s">
        <v>258</v>
      </c>
      <c r="C507" s="24">
        <v>43768.0</v>
      </c>
      <c r="D507" s="23">
        <v>99.0</v>
      </c>
      <c r="G507" s="1">
        <v>3.30000000000005</v>
      </c>
      <c r="H507" s="23" t="b">
        <f>if(countif(Status!C:C,A507)=1,TRUE, FALSE)</f>
        <v>1</v>
      </c>
    </row>
    <row r="508">
      <c r="A508" s="23" t="str">
        <f>B508</f>
        <v>PLc1051</v>
      </c>
      <c r="B508" s="23" t="str">
        <f>'3.3.raw'!M500</f>
        <v>PLc1051</v>
      </c>
      <c r="C508" s="24">
        <f>datevalue(left('3.3.raw'!O500,10))</f>
        <v>43768</v>
      </c>
      <c r="D508" s="23">
        <f>'3.3.raw'!I500</f>
        <v>11</v>
      </c>
      <c r="E508" s="23" t="str">
        <f>'3.3.raw'!J500</f>
        <v/>
      </c>
      <c r="F508" s="23" t="str">
        <f>'3.3.raw'!K500</f>
        <v/>
      </c>
      <c r="G508" s="1">
        <v>3.30000000000005</v>
      </c>
      <c r="H508" s="23" t="b">
        <f>if(countif(Status!C:C,A508)=1,TRUE, FALSE)</f>
        <v>1</v>
      </c>
    </row>
    <row r="509">
      <c r="A509" s="49" t="s">
        <v>259</v>
      </c>
      <c r="B509" s="23" t="str">
        <f>'3.3.raw'!M501</f>
        <v>FB1094&amp;FB1094UP</v>
      </c>
      <c r="C509" s="24">
        <f>datevalue(left('3.3.raw'!O501,10))</f>
        <v>43768</v>
      </c>
      <c r="D509" s="23">
        <f>'3.3.raw'!I501</f>
        <v>99</v>
      </c>
      <c r="E509" s="23" t="str">
        <f>'3.3.raw'!J501</f>
        <v/>
      </c>
      <c r="F509" s="23" t="str">
        <f>'3.3.raw'!K501</f>
        <v/>
      </c>
      <c r="G509" s="1">
        <v>3.30000000000005</v>
      </c>
      <c r="H509" s="23" t="b">
        <f>if(countif(Status!C:C,A509)=1,TRUE, FALSE)</f>
        <v>1</v>
      </c>
    </row>
    <row r="510">
      <c r="A510" s="49" t="s">
        <v>261</v>
      </c>
      <c r="C510" s="24">
        <v>43768.0</v>
      </c>
      <c r="D510" s="23">
        <v>99.0</v>
      </c>
      <c r="G510" s="1">
        <v>3.30000000000005</v>
      </c>
      <c r="H510" s="23" t="b">
        <f>if(countif(Status!C:C,A510)=1,TRUE, FALSE)</f>
        <v>1</v>
      </c>
    </row>
    <row r="511">
      <c r="A511" s="23" t="str">
        <f>B511</f>
        <v>PLc1052</v>
      </c>
      <c r="B511" s="23" t="str">
        <f>'3.3.raw'!M502</f>
        <v>PLc1052</v>
      </c>
      <c r="C511" s="24">
        <f>datevalue(left('3.3.raw'!O502,10))</f>
        <v>43768</v>
      </c>
      <c r="D511" s="23">
        <f>'3.3.raw'!I502</f>
        <v>11</v>
      </c>
      <c r="E511" s="23" t="str">
        <f>'3.3.raw'!J502</f>
        <v/>
      </c>
      <c r="F511" s="23" t="str">
        <f>'3.3.raw'!K502</f>
        <v/>
      </c>
      <c r="G511" s="1">
        <v>3.30000000000005</v>
      </c>
      <c r="H511" s="23" t="b">
        <f>if(countif(Status!C:C,A511)=1,TRUE, FALSE)</f>
        <v>1</v>
      </c>
    </row>
    <row r="512">
      <c r="A512" s="49" t="s">
        <v>262</v>
      </c>
      <c r="B512" s="23" t="str">
        <f>'3.3.raw'!M503</f>
        <v>FB1095&amp;FB1095UP</v>
      </c>
      <c r="C512" s="24">
        <f>datevalue(left('3.3.raw'!O503,10))</f>
        <v>43768</v>
      </c>
      <c r="D512" s="23">
        <f>'3.3.raw'!I503</f>
        <v>99</v>
      </c>
      <c r="E512" s="23" t="str">
        <f>'3.3.raw'!J503</f>
        <v/>
      </c>
      <c r="F512" s="23" t="str">
        <f>'3.3.raw'!K503</f>
        <v/>
      </c>
      <c r="G512" s="1">
        <v>3.30000000000005</v>
      </c>
      <c r="H512" s="23" t="b">
        <f>if(countif(Status!C:C,A512)=1,TRUE, FALSE)</f>
        <v>1</v>
      </c>
    </row>
    <row r="513">
      <c r="A513" s="49" t="s">
        <v>264</v>
      </c>
      <c r="C513" s="24">
        <v>43768.0</v>
      </c>
      <c r="D513" s="23">
        <v>99.0</v>
      </c>
      <c r="G513" s="1">
        <v>3.30000000000005</v>
      </c>
      <c r="H513" s="23" t="b">
        <f>if(countif(Status!C:C,A513)=1,TRUE, FALSE)</f>
        <v>1</v>
      </c>
    </row>
    <row r="514">
      <c r="A514" s="23" t="str">
        <f>B514</f>
        <v>PLc1053</v>
      </c>
      <c r="B514" s="23" t="str">
        <f>'3.3.raw'!M504</f>
        <v>PLc1053</v>
      </c>
      <c r="C514" s="24">
        <f>datevalue(left('3.3.raw'!O504,10))</f>
        <v>43768</v>
      </c>
      <c r="D514" s="23">
        <f>'3.3.raw'!I504</f>
        <v>11</v>
      </c>
      <c r="E514" s="23" t="str">
        <f>'3.3.raw'!J504</f>
        <v/>
      </c>
      <c r="F514" s="23" t="str">
        <f>'3.3.raw'!K504</f>
        <v/>
      </c>
      <c r="G514" s="1">
        <v>3.30000000000005</v>
      </c>
      <c r="H514" s="23" t="b">
        <f>if(countif(Status!C:C,A514)=1,TRUE, FALSE)</f>
        <v>1</v>
      </c>
    </row>
    <row r="515">
      <c r="A515" s="49" t="s">
        <v>265</v>
      </c>
      <c r="B515" s="23" t="str">
        <f>'3.3.raw'!M505</f>
        <v>FB1096&amp;FB1096UP</v>
      </c>
      <c r="C515" s="24">
        <f>datevalue(left('3.3.raw'!O505,10))</f>
        <v>43768</v>
      </c>
      <c r="D515" s="23">
        <f>'3.3.raw'!I505</f>
        <v>99</v>
      </c>
      <c r="E515" s="23" t="str">
        <f>'3.3.raw'!J505</f>
        <v/>
      </c>
      <c r="F515" s="23" t="str">
        <f>'3.3.raw'!K505</f>
        <v/>
      </c>
      <c r="G515" s="1">
        <v>3.30000000000005</v>
      </c>
      <c r="H515" s="23" t="b">
        <f>if(countif(Status!C:C,A515)=1,TRUE, FALSE)</f>
        <v>1</v>
      </c>
    </row>
    <row r="516">
      <c r="A516" s="49" t="s">
        <v>267</v>
      </c>
      <c r="C516" s="24">
        <v>43768.0</v>
      </c>
      <c r="D516" s="23">
        <v>99.0</v>
      </c>
      <c r="G516" s="1">
        <v>3.30000000000005</v>
      </c>
      <c r="H516" s="23" t="b">
        <f>if(countif(Status!C:C,A516)=1,TRUE, FALSE)</f>
        <v>1</v>
      </c>
    </row>
    <row r="517">
      <c r="A517" s="23" t="str">
        <f t="shared" ref="A517:A579" si="12">B517</f>
        <v>UPNC38</v>
      </c>
      <c r="B517" s="23" t="str">
        <f>'3.3.raw'!M506</f>
        <v>UPNC38</v>
      </c>
      <c r="C517" s="24">
        <f>datevalue(left('3.3.raw'!O506,10))</f>
        <v>43768</v>
      </c>
      <c r="D517" s="23">
        <f>'3.3.raw'!I506</f>
        <v>98</v>
      </c>
      <c r="E517" s="23" t="str">
        <f>'3.3.raw'!J506</f>
        <v/>
      </c>
      <c r="F517" s="23" t="str">
        <f>'3.3.raw'!K506</f>
        <v/>
      </c>
      <c r="G517" s="1">
        <v>3.30000000000005</v>
      </c>
      <c r="H517" s="23" t="b">
        <f>if(countif(Status!C:C,A517)=1,TRUE, FALSE)</f>
        <v>1</v>
      </c>
    </row>
    <row r="518">
      <c r="A518" s="23" t="str">
        <f t="shared" si="12"/>
        <v>MO1108</v>
      </c>
      <c r="B518" s="23" t="str">
        <f>'3.3.raw'!M507</f>
        <v>MO1108</v>
      </c>
      <c r="C518" s="24">
        <f>datevalue(left('3.3.raw'!O507,10))</f>
        <v>43773</v>
      </c>
      <c r="D518" s="23">
        <f>'3.3.raw'!I507</f>
        <v>12</v>
      </c>
      <c r="E518" s="23" t="str">
        <f>'3.3.raw'!J507</f>
        <v/>
      </c>
      <c r="F518" s="23" t="str">
        <f>'3.3.raw'!K507</f>
        <v/>
      </c>
      <c r="G518" s="1">
        <v>3.30000000000005</v>
      </c>
      <c r="H518" s="23" t="b">
        <f>if(countif(Status!C:C,A518)=1,TRUE, FALSE)</f>
        <v>1</v>
      </c>
    </row>
    <row r="519">
      <c r="A519" s="23" t="str">
        <f t="shared" si="12"/>
        <v>FB1097</v>
      </c>
      <c r="B519" s="23" t="str">
        <f>'3.3.raw'!M508</f>
        <v>FB1097</v>
      </c>
      <c r="C519" s="24">
        <f>datevalue(left('3.3.raw'!O508,10))</f>
        <v>43773</v>
      </c>
      <c r="D519" s="23">
        <f>'3.3.raw'!I508</f>
        <v>99</v>
      </c>
      <c r="E519" s="23" t="str">
        <f>'3.3.raw'!J508</f>
        <v/>
      </c>
      <c r="F519" s="23" t="str">
        <f>'3.3.raw'!K508</f>
        <v/>
      </c>
      <c r="G519" s="1">
        <v>3.30000000000005</v>
      </c>
      <c r="H519" s="23" t="b">
        <f>if(countif(Status!C:C,A519)=1,TRUE, FALSE)</f>
        <v>1</v>
      </c>
    </row>
    <row r="520">
      <c r="A520" s="23" t="str">
        <f t="shared" si="12"/>
        <v>FB1097UP</v>
      </c>
      <c r="B520" s="23" t="str">
        <f>'3.3.raw'!M509</f>
        <v>FB1097UP</v>
      </c>
      <c r="C520" s="24">
        <f>datevalue(left('3.3.raw'!O509,10))</f>
        <v>43773</v>
      </c>
      <c r="D520" s="23">
        <f>'3.3.raw'!I509</f>
        <v>99</v>
      </c>
      <c r="E520" s="23" t="str">
        <f>'3.3.raw'!J509</f>
        <v/>
      </c>
      <c r="F520" s="23" t="str">
        <f>'3.3.raw'!K509</f>
        <v/>
      </c>
      <c r="G520" s="1">
        <v>3.30000000000005</v>
      </c>
      <c r="H520" s="23" t="b">
        <f>if(countif(Status!C:C,A520)=1,TRUE, FALSE)</f>
        <v>1</v>
      </c>
    </row>
    <row r="521">
      <c r="A521" s="23" t="str">
        <f t="shared" si="12"/>
        <v>MO1109</v>
      </c>
      <c r="B521" s="23" t="str">
        <f>'3.3.raw'!M510</f>
        <v>MO1109</v>
      </c>
      <c r="C521" s="24">
        <f>datevalue(left('3.3.raw'!O510,10))</f>
        <v>43773</v>
      </c>
      <c r="D521" s="23">
        <f>'3.3.raw'!I510</f>
        <v>12</v>
      </c>
      <c r="E521" s="23" t="str">
        <f>'3.3.raw'!J510</f>
        <v/>
      </c>
      <c r="F521" s="23" t="str">
        <f>'3.3.raw'!K510</f>
        <v/>
      </c>
      <c r="G521" s="1">
        <v>3.30000000000005</v>
      </c>
      <c r="H521" s="23" t="b">
        <f>if(countif(Status!C:C,A521)=1,TRUE, FALSE)</f>
        <v>1</v>
      </c>
    </row>
    <row r="522">
      <c r="A522" s="23" t="str">
        <f t="shared" si="12"/>
        <v>FB1098</v>
      </c>
      <c r="B522" s="23" t="str">
        <f>'3.3.raw'!M511</f>
        <v>FB1098</v>
      </c>
      <c r="C522" s="24">
        <f>datevalue(left('3.3.raw'!O511,10))</f>
        <v>43773</v>
      </c>
      <c r="D522" s="23">
        <f>'3.3.raw'!I511</f>
        <v>99</v>
      </c>
      <c r="E522" s="23" t="str">
        <f>'3.3.raw'!J511</f>
        <v/>
      </c>
      <c r="F522" s="23" t="str">
        <f>'3.3.raw'!K511</f>
        <v/>
      </c>
      <c r="G522" s="1">
        <v>3.30000000000005</v>
      </c>
      <c r="H522" s="23" t="b">
        <f>if(countif(Status!C:C,A522)=1,TRUE, FALSE)</f>
        <v>1</v>
      </c>
    </row>
    <row r="523">
      <c r="A523" s="23" t="str">
        <f t="shared" si="12"/>
        <v>FB1098UP</v>
      </c>
      <c r="B523" s="23" t="str">
        <f>'3.3.raw'!M512</f>
        <v>FB1098UP</v>
      </c>
      <c r="C523" s="24">
        <f>datevalue(left('3.3.raw'!O512,10))</f>
        <v>43773</v>
      </c>
      <c r="D523" s="23">
        <f>'3.3.raw'!I512</f>
        <v>99</v>
      </c>
      <c r="E523" s="23" t="str">
        <f>'3.3.raw'!J512</f>
        <v/>
      </c>
      <c r="F523" s="23" t="str">
        <f>'3.3.raw'!K512</f>
        <v/>
      </c>
      <c r="G523" s="1">
        <v>3.30000000000005</v>
      </c>
      <c r="H523" s="23" t="b">
        <f>if(countif(Status!C:C,A523)=1,TRUE, FALSE)</f>
        <v>1</v>
      </c>
    </row>
    <row r="524">
      <c r="A524" s="23" t="str">
        <f t="shared" si="12"/>
        <v>PLc1054</v>
      </c>
      <c r="B524" s="23" t="str">
        <f>'3.3.raw'!M513</f>
        <v>PLc1054</v>
      </c>
      <c r="C524" s="24">
        <f>datevalue(left('3.3.raw'!O513,10))</f>
        <v>43773</v>
      </c>
      <c r="D524" s="23">
        <f>'3.3.raw'!I513</f>
        <v>11</v>
      </c>
      <c r="E524" s="23" t="str">
        <f>'3.3.raw'!J513</f>
        <v/>
      </c>
      <c r="F524" s="23" t="str">
        <f>'3.3.raw'!K513</f>
        <v/>
      </c>
      <c r="G524" s="1">
        <v>3.30000000000005</v>
      </c>
      <c r="H524" s="23" t="b">
        <f>if(countif(Status!C:C,A524)=1,TRUE, FALSE)</f>
        <v>1</v>
      </c>
    </row>
    <row r="525">
      <c r="A525" s="23" t="str">
        <f t="shared" si="12"/>
        <v>FB1099</v>
      </c>
      <c r="B525" s="23" t="str">
        <f>'3.3.raw'!M514</f>
        <v>FB1099</v>
      </c>
      <c r="C525" s="24">
        <f>datevalue(left('3.3.raw'!O514,10))</f>
        <v>43773</v>
      </c>
      <c r="D525" s="23">
        <f>'3.3.raw'!I514</f>
        <v>99</v>
      </c>
      <c r="E525" s="23" t="str">
        <f>'3.3.raw'!J514</f>
        <v/>
      </c>
      <c r="F525" s="23" t="str">
        <f>'3.3.raw'!K514</f>
        <v/>
      </c>
      <c r="G525" s="1">
        <v>3.30000000000005</v>
      </c>
      <c r="H525" s="23" t="b">
        <f>if(countif(Status!C:C,A525)=1,TRUE, FALSE)</f>
        <v>1</v>
      </c>
    </row>
    <row r="526">
      <c r="A526" s="23" t="str">
        <f t="shared" si="12"/>
        <v>FB1099UP</v>
      </c>
      <c r="B526" s="23" t="str">
        <f>'3.3.raw'!M515</f>
        <v>FB1099UP</v>
      </c>
      <c r="C526" s="24">
        <f>datevalue(left('3.3.raw'!O515,10))</f>
        <v>43773</v>
      </c>
      <c r="D526" s="23">
        <f>'3.3.raw'!I515</f>
        <v>99</v>
      </c>
      <c r="E526" s="23" t="str">
        <f>'3.3.raw'!J515</f>
        <v/>
      </c>
      <c r="F526" s="23" t="str">
        <f>'3.3.raw'!K515</f>
        <v/>
      </c>
      <c r="G526" s="1">
        <v>3.30000000000005</v>
      </c>
      <c r="H526" s="23" t="b">
        <f>if(countif(Status!C:C,A526)=1,TRUE, FALSE)</f>
        <v>1</v>
      </c>
    </row>
    <row r="527">
      <c r="A527" s="23" t="str">
        <f t="shared" si="12"/>
        <v>PLc1055</v>
      </c>
      <c r="B527" s="23" t="str">
        <f>'3.3.raw'!M516</f>
        <v>PLc1055</v>
      </c>
      <c r="C527" s="24">
        <f>datevalue(left('3.3.raw'!O516,10))</f>
        <v>43773</v>
      </c>
      <c r="D527" s="23">
        <f>'3.3.raw'!I516</f>
        <v>11</v>
      </c>
      <c r="E527" s="23" t="str">
        <f>'3.3.raw'!J516</f>
        <v/>
      </c>
      <c r="F527" s="23" t="str">
        <f>'3.3.raw'!K516</f>
        <v/>
      </c>
      <c r="G527" s="1">
        <v>3.30000000000005</v>
      </c>
      <c r="H527" s="23" t="b">
        <f>if(countif(Status!C:C,A527)=1,TRUE, FALSE)</f>
        <v>1</v>
      </c>
    </row>
    <row r="528">
      <c r="A528" s="23" t="str">
        <f t="shared" si="12"/>
        <v>FB1100</v>
      </c>
      <c r="B528" s="23" t="str">
        <f>'3.3.raw'!M517</f>
        <v>FB1100</v>
      </c>
      <c r="C528" s="24">
        <f>datevalue(left('3.3.raw'!O517,10))</f>
        <v>43773</v>
      </c>
      <c r="D528" s="23">
        <f>'3.3.raw'!I517</f>
        <v>99</v>
      </c>
      <c r="E528" s="23" t="str">
        <f>'3.3.raw'!J517</f>
        <v/>
      </c>
      <c r="F528" s="23" t="str">
        <f>'3.3.raw'!K517</f>
        <v/>
      </c>
      <c r="G528" s="1">
        <v>3.30000000000005</v>
      </c>
      <c r="H528" s="23" t="b">
        <f>if(countif(Status!C:C,A528)=1,TRUE, FALSE)</f>
        <v>1</v>
      </c>
    </row>
    <row r="529">
      <c r="A529" s="23" t="str">
        <f t="shared" si="12"/>
        <v>FB1100UP</v>
      </c>
      <c r="B529" s="23" t="str">
        <f>'3.3.raw'!M518</f>
        <v>FB1100UP</v>
      </c>
      <c r="C529" s="24">
        <f>datevalue(left('3.3.raw'!O518,10))</f>
        <v>43773</v>
      </c>
      <c r="D529" s="23">
        <f>'3.3.raw'!I518</f>
        <v>99</v>
      </c>
      <c r="E529" s="23" t="str">
        <f>'3.3.raw'!J518</f>
        <v/>
      </c>
      <c r="F529" s="23" t="str">
        <f>'3.3.raw'!K518</f>
        <v/>
      </c>
      <c r="G529" s="1">
        <v>3.30000000000005</v>
      </c>
      <c r="H529" s="23" t="b">
        <f>if(countif(Status!C:C,A529)=1,TRUE, FALSE)</f>
        <v>1</v>
      </c>
    </row>
    <row r="530">
      <c r="A530" s="23" t="str">
        <f t="shared" si="12"/>
        <v>PLc1056</v>
      </c>
      <c r="B530" s="23" t="str">
        <f>'3.3.raw'!M519</f>
        <v>PLc1056</v>
      </c>
      <c r="C530" s="24">
        <f>datevalue(left('3.3.raw'!O519,10))</f>
        <v>43773</v>
      </c>
      <c r="D530" s="23">
        <f>'3.3.raw'!I519</f>
        <v>11</v>
      </c>
      <c r="E530" s="23" t="str">
        <f>'3.3.raw'!J519</f>
        <v/>
      </c>
      <c r="F530" s="23" t="str">
        <f>'3.3.raw'!K519</f>
        <v/>
      </c>
      <c r="G530" s="1">
        <v>3.30000000000005</v>
      </c>
      <c r="H530" s="23" t="b">
        <f>if(countif(Status!C:C,A530)=1,TRUE, FALSE)</f>
        <v>1</v>
      </c>
    </row>
    <row r="531">
      <c r="A531" s="23" t="str">
        <f t="shared" si="12"/>
        <v>FB1101</v>
      </c>
      <c r="B531" s="23" t="str">
        <f>'3.3.raw'!M520</f>
        <v>FB1101</v>
      </c>
      <c r="C531" s="24">
        <f>datevalue(left('3.3.raw'!O520,10))</f>
        <v>43773</v>
      </c>
      <c r="D531" s="23">
        <f>'3.3.raw'!I520</f>
        <v>99</v>
      </c>
      <c r="E531" s="23" t="str">
        <f>'3.3.raw'!J520</f>
        <v/>
      </c>
      <c r="F531" s="23" t="str">
        <f>'3.3.raw'!K520</f>
        <v/>
      </c>
      <c r="G531" s="1">
        <v>3.30000000000005</v>
      </c>
      <c r="H531" s="23" t="b">
        <f>if(countif(Status!C:C,A531)=1,TRUE, FALSE)</f>
        <v>1</v>
      </c>
    </row>
    <row r="532">
      <c r="A532" s="23" t="str">
        <f t="shared" si="12"/>
        <v>FB1101UP</v>
      </c>
      <c r="B532" s="23" t="str">
        <f>'3.3.raw'!M521</f>
        <v>FB1101UP</v>
      </c>
      <c r="C532" s="24">
        <f>datevalue(left('3.3.raw'!O521,10))</f>
        <v>43773</v>
      </c>
      <c r="D532" s="23">
        <f>'3.3.raw'!I521</f>
        <v>99</v>
      </c>
      <c r="E532" s="23" t="str">
        <f>'3.3.raw'!J521</f>
        <v/>
      </c>
      <c r="F532" s="23" t="str">
        <f>'3.3.raw'!K521</f>
        <v/>
      </c>
      <c r="G532" s="1">
        <v>3.30000000000005</v>
      </c>
      <c r="H532" s="23" t="b">
        <f>if(countif(Status!C:C,A532)=1,TRUE, FALSE)</f>
        <v>1</v>
      </c>
    </row>
    <row r="533">
      <c r="A533" s="23" t="str">
        <f t="shared" si="12"/>
        <v>PLc1057</v>
      </c>
      <c r="B533" s="23" t="str">
        <f>'3.3.raw'!M522</f>
        <v>PLc1057</v>
      </c>
      <c r="C533" s="24">
        <f>datevalue(left('3.3.raw'!O522,10))</f>
        <v>43773</v>
      </c>
      <c r="D533" s="23">
        <f>'3.3.raw'!I522</f>
        <v>11</v>
      </c>
      <c r="E533" s="23" t="str">
        <f>'3.3.raw'!J522</f>
        <v/>
      </c>
      <c r="F533" s="23" t="str">
        <f>'3.3.raw'!K522</f>
        <v/>
      </c>
      <c r="G533" s="1">
        <v>3.30000000000005</v>
      </c>
      <c r="H533" s="23" t="b">
        <f>if(countif(Status!C:C,A533)=1,TRUE, FALSE)</f>
        <v>1</v>
      </c>
    </row>
    <row r="534">
      <c r="A534" s="23" t="str">
        <f t="shared" si="12"/>
        <v>FB1102</v>
      </c>
      <c r="B534" s="23" t="str">
        <f>'3.3.raw'!M523</f>
        <v>FB1102</v>
      </c>
      <c r="C534" s="24">
        <f>datevalue(left('3.3.raw'!O523,10))</f>
        <v>43773</v>
      </c>
      <c r="D534" s="23">
        <f>'3.3.raw'!I523</f>
        <v>99</v>
      </c>
      <c r="E534" s="23" t="str">
        <f>'3.3.raw'!J523</f>
        <v/>
      </c>
      <c r="F534" s="23" t="str">
        <f>'3.3.raw'!K523</f>
        <v/>
      </c>
      <c r="G534" s="1">
        <v>3.30000000000005</v>
      </c>
      <c r="H534" s="23" t="b">
        <f>if(countif(Status!C:C,A534)=1,TRUE, FALSE)</f>
        <v>1</v>
      </c>
    </row>
    <row r="535">
      <c r="A535" s="23" t="str">
        <f t="shared" si="12"/>
        <v>FB1102UP</v>
      </c>
      <c r="B535" s="23" t="str">
        <f>'3.3.raw'!M524</f>
        <v>FB1102UP</v>
      </c>
      <c r="C535" s="24">
        <f>datevalue(left('3.3.raw'!O524,10))</f>
        <v>43773</v>
      </c>
      <c r="D535" s="23">
        <f>'3.3.raw'!I524</f>
        <v>99</v>
      </c>
      <c r="E535" s="23" t="str">
        <f>'3.3.raw'!J524</f>
        <v/>
      </c>
      <c r="F535" s="23" t="str">
        <f>'3.3.raw'!K524</f>
        <v/>
      </c>
      <c r="G535" s="1">
        <v>3.30000000000005</v>
      </c>
      <c r="H535" s="23" t="b">
        <f>if(countif(Status!C:C,A535)=1,TRUE, FALSE)</f>
        <v>1</v>
      </c>
    </row>
    <row r="536">
      <c r="A536" s="23" t="str">
        <f t="shared" si="12"/>
        <v>PLc1058</v>
      </c>
      <c r="B536" s="23" t="str">
        <f>'3.3.raw'!M525</f>
        <v>PLc1058</v>
      </c>
      <c r="C536" s="24">
        <f>datevalue(left('3.3.raw'!O525,10))</f>
        <v>43773</v>
      </c>
      <c r="D536" s="23">
        <f>'3.3.raw'!I525</f>
        <v>11</v>
      </c>
      <c r="E536" s="23" t="str">
        <f>'3.3.raw'!J525</f>
        <v/>
      </c>
      <c r="F536" s="23" t="str">
        <f>'3.3.raw'!K525</f>
        <v/>
      </c>
      <c r="G536" s="1">
        <v>3.30000000000005</v>
      </c>
      <c r="H536" s="23" t="b">
        <f>if(countif(Status!C:C,A536)=1,TRUE, FALSE)</f>
        <v>1</v>
      </c>
    </row>
    <row r="537">
      <c r="A537" s="23" t="str">
        <f t="shared" si="12"/>
        <v>FB1103</v>
      </c>
      <c r="B537" s="23" t="str">
        <f>'3.3.raw'!M526</f>
        <v>FB1103</v>
      </c>
      <c r="C537" s="24">
        <f>datevalue(left('3.3.raw'!O526,10))</f>
        <v>43773</v>
      </c>
      <c r="D537" s="23">
        <f>'3.3.raw'!I526</f>
        <v>99</v>
      </c>
      <c r="E537" s="23" t="str">
        <f>'3.3.raw'!J526</f>
        <v/>
      </c>
      <c r="F537" s="23" t="str">
        <f>'3.3.raw'!K526</f>
        <v/>
      </c>
      <c r="G537" s="1">
        <v>3.30000000000005</v>
      </c>
      <c r="H537" s="23" t="b">
        <f>if(countif(Status!C:C,A537)=1,TRUE, FALSE)</f>
        <v>1</v>
      </c>
    </row>
    <row r="538">
      <c r="A538" s="23" t="str">
        <f t="shared" si="12"/>
        <v>FB1103UP</v>
      </c>
      <c r="B538" s="23" t="str">
        <f>'3.3.raw'!M527</f>
        <v>FB1103UP</v>
      </c>
      <c r="C538" s="24">
        <f>datevalue(left('3.3.raw'!O527,10))</f>
        <v>43773</v>
      </c>
      <c r="D538" s="23">
        <f>'3.3.raw'!I527</f>
        <v>99</v>
      </c>
      <c r="E538" s="23" t="str">
        <f>'3.3.raw'!J527</f>
        <v/>
      </c>
      <c r="F538" s="23" t="str">
        <f>'3.3.raw'!K527</f>
        <v/>
      </c>
      <c r="G538" s="1">
        <v>3.30000000000005</v>
      </c>
      <c r="H538" s="23" t="b">
        <f>if(countif(Status!C:C,A538)=1,TRUE, FALSE)</f>
        <v>1</v>
      </c>
    </row>
    <row r="539">
      <c r="A539" s="23" t="str">
        <f t="shared" si="12"/>
        <v>MO1110</v>
      </c>
      <c r="B539" s="23" t="str">
        <f>'3.3.raw'!M528</f>
        <v>MO1110</v>
      </c>
      <c r="C539" s="24">
        <f>datevalue(left('3.3.raw'!O528,10))</f>
        <v>43773</v>
      </c>
      <c r="D539" s="23">
        <f>'3.3.raw'!I528</f>
        <v>12</v>
      </c>
      <c r="E539" s="23" t="str">
        <f>'3.3.raw'!J528</f>
        <v/>
      </c>
      <c r="F539" s="23" t="str">
        <f>'3.3.raw'!K528</f>
        <v/>
      </c>
      <c r="G539" s="1">
        <v>3.30000000000005</v>
      </c>
      <c r="H539" s="23" t="b">
        <f>if(countif(Status!C:C,A539)=1,TRUE, FALSE)</f>
        <v>1</v>
      </c>
    </row>
    <row r="540">
      <c r="A540" s="23" t="str">
        <f t="shared" si="12"/>
        <v>FB1105</v>
      </c>
      <c r="B540" s="23" t="str">
        <f>'3.3.raw'!M529</f>
        <v>FB1105</v>
      </c>
      <c r="C540" s="24">
        <f>datevalue(left('3.3.raw'!O529,10))</f>
        <v>43773</v>
      </c>
      <c r="D540" s="23">
        <f>'3.3.raw'!I529</f>
        <v>99</v>
      </c>
      <c r="E540" s="23" t="str">
        <f>'3.3.raw'!J529</f>
        <v/>
      </c>
      <c r="F540" s="23" t="str">
        <f>'3.3.raw'!K529</f>
        <v/>
      </c>
      <c r="G540" s="1">
        <v>3.30000000000005</v>
      </c>
      <c r="H540" s="23" t="b">
        <f>if(countif(Status!C:C,A540)=1,TRUE, FALSE)</f>
        <v>1</v>
      </c>
    </row>
    <row r="541">
      <c r="A541" s="23" t="str">
        <f t="shared" si="12"/>
        <v>FB1105UP</v>
      </c>
      <c r="B541" s="23" t="str">
        <f>'3.3.raw'!M530</f>
        <v>FB1105UP</v>
      </c>
      <c r="C541" s="24">
        <f>datevalue(left('3.3.raw'!O530,10))</f>
        <v>43773</v>
      </c>
      <c r="D541" s="23">
        <f>'3.3.raw'!I530</f>
        <v>99</v>
      </c>
      <c r="E541" s="23" t="str">
        <f>'3.3.raw'!J530</f>
        <v/>
      </c>
      <c r="F541" s="23" t="str">
        <f>'3.3.raw'!K530</f>
        <v/>
      </c>
      <c r="G541" s="1">
        <v>3.30000000000005</v>
      </c>
      <c r="H541" s="23" t="b">
        <f>if(countif(Status!C:C,A541)=1,TRUE, FALSE)</f>
        <v>1</v>
      </c>
    </row>
    <row r="542">
      <c r="A542" s="23" t="str">
        <f t="shared" si="12"/>
        <v>MO1111</v>
      </c>
      <c r="B542" s="23" t="str">
        <f>'3.3.raw'!M531</f>
        <v>MO1111</v>
      </c>
      <c r="C542" s="24">
        <f>datevalue(left('3.3.raw'!O531,10))</f>
        <v>43773</v>
      </c>
      <c r="D542" s="23">
        <f>'3.3.raw'!I531</f>
        <v>12</v>
      </c>
      <c r="E542" s="23" t="str">
        <f>'3.3.raw'!J531</f>
        <v/>
      </c>
      <c r="F542" s="23" t="str">
        <f>'3.3.raw'!K531</f>
        <v/>
      </c>
      <c r="G542" s="1">
        <v>3.30000000000005</v>
      </c>
      <c r="H542" s="23" t="b">
        <f>if(countif(Status!C:C,A542)=1,TRUE, FALSE)</f>
        <v>1</v>
      </c>
    </row>
    <row r="543">
      <c r="A543" s="23" t="str">
        <f t="shared" si="12"/>
        <v>FB1104</v>
      </c>
      <c r="B543" s="23" t="str">
        <f>'3.3.raw'!M532</f>
        <v>FB1104</v>
      </c>
      <c r="C543" s="24">
        <f>datevalue(left('3.3.raw'!O532,10))</f>
        <v>43773</v>
      </c>
      <c r="D543" s="23">
        <f>'3.3.raw'!I532</f>
        <v>99</v>
      </c>
      <c r="E543" s="23" t="str">
        <f>'3.3.raw'!J532</f>
        <v/>
      </c>
      <c r="F543" s="23" t="str">
        <f>'3.3.raw'!K532</f>
        <v/>
      </c>
      <c r="G543" s="1">
        <v>3.30000000000005</v>
      </c>
      <c r="H543" s="23" t="b">
        <f>if(countif(Status!C:C,A543)=1,TRUE, FALSE)</f>
        <v>1</v>
      </c>
    </row>
    <row r="544">
      <c r="A544" s="23" t="str">
        <f t="shared" si="12"/>
        <v>FB1104UP</v>
      </c>
      <c r="B544" s="23" t="str">
        <f>'3.3.raw'!M533</f>
        <v>FB1104UP</v>
      </c>
      <c r="C544" s="24">
        <f>datevalue(left('3.3.raw'!O533,10))</f>
        <v>43773</v>
      </c>
      <c r="D544" s="23">
        <f>'3.3.raw'!I533</f>
        <v>99</v>
      </c>
      <c r="E544" s="23" t="str">
        <f>'3.3.raw'!J533</f>
        <v/>
      </c>
      <c r="F544" s="23" t="str">
        <f>'3.3.raw'!K533</f>
        <v/>
      </c>
      <c r="G544" s="1">
        <v>3.30000000000005</v>
      </c>
      <c r="H544" s="23" t="b">
        <f>if(countif(Status!C:C,A544)=1,TRUE, FALSE)</f>
        <v>1</v>
      </c>
    </row>
    <row r="545">
      <c r="A545" s="23" t="str">
        <f t="shared" si="12"/>
        <v>UPNC39</v>
      </c>
      <c r="B545" s="23" t="str">
        <f>'3.3.raw'!M534</f>
        <v>UPNC39</v>
      </c>
      <c r="C545" s="24">
        <f>datevalue(left('3.3.raw'!O534,10))</f>
        <v>43773</v>
      </c>
      <c r="D545" s="23">
        <f>'3.3.raw'!I534</f>
        <v>98</v>
      </c>
      <c r="E545" s="23" t="str">
        <f>'3.3.raw'!J534</f>
        <v/>
      </c>
      <c r="F545" s="23" t="str">
        <f>'3.3.raw'!K534</f>
        <v/>
      </c>
      <c r="G545" s="1">
        <v>3.30000000000005</v>
      </c>
      <c r="H545" s="23" t="b">
        <f>if(countif(Status!C:C,A545)=1,TRUE, FALSE)</f>
        <v>1</v>
      </c>
    </row>
    <row r="546">
      <c r="A546" s="23" t="str">
        <f t="shared" si="12"/>
        <v>COa1005</v>
      </c>
      <c r="B546" s="23" t="str">
        <f>'3.3.raw'!M535</f>
        <v>COa1005</v>
      </c>
      <c r="C546" s="24">
        <f>datevalue(left('3.3.raw'!O535,10))</f>
        <v>43773</v>
      </c>
      <c r="D546" s="23">
        <f>'3.3.raw'!I535</f>
        <v>15</v>
      </c>
      <c r="E546" s="23" t="str">
        <f>'3.3.raw'!J535</f>
        <v/>
      </c>
      <c r="F546" s="23">
        <f>'3.3.raw'!K535</f>
        <v>151</v>
      </c>
      <c r="G546" s="1">
        <v>3.30000000000005</v>
      </c>
      <c r="H546" s="23" t="b">
        <f>if(countif(Status!C:C,A546)=1,TRUE, FALSE)</f>
        <v>1</v>
      </c>
    </row>
    <row r="547">
      <c r="A547" s="23" t="str">
        <f t="shared" si="12"/>
        <v>COb1014</v>
      </c>
      <c r="B547" s="23" t="str">
        <f>'3.3.raw'!M536</f>
        <v>COb1014</v>
      </c>
      <c r="C547" s="24">
        <f>datevalue(left('3.3.raw'!O536,10))</f>
        <v>43773</v>
      </c>
      <c r="D547" s="23">
        <f>'3.3.raw'!I536</f>
        <v>15</v>
      </c>
      <c r="E547" s="23" t="str">
        <f>'3.3.raw'!J536</f>
        <v/>
      </c>
      <c r="F547" s="23">
        <f>'3.3.raw'!K536</f>
        <v>152</v>
      </c>
      <c r="G547" s="1">
        <v>3.30000000000005</v>
      </c>
      <c r="H547" s="23" t="b">
        <f>if(countif(Status!C:C,A547)=1,TRUE, FALSE)</f>
        <v>1</v>
      </c>
    </row>
    <row r="548">
      <c r="A548" s="23" t="str">
        <f t="shared" si="12"/>
        <v>COb1015</v>
      </c>
      <c r="B548" s="23" t="str">
        <f>'3.3.raw'!M537</f>
        <v>COb1015</v>
      </c>
      <c r="C548" s="24">
        <f>datevalue(left('3.3.raw'!O537,10))</f>
        <v>43773</v>
      </c>
      <c r="D548" s="23">
        <f>'3.3.raw'!I537</f>
        <v>15</v>
      </c>
      <c r="E548" s="23" t="str">
        <f>'3.3.raw'!J537</f>
        <v/>
      </c>
      <c r="F548" s="23">
        <f>'3.3.raw'!K537</f>
        <v>152</v>
      </c>
      <c r="G548" s="1">
        <v>3.30000000000005</v>
      </c>
      <c r="H548" s="23" t="b">
        <f>if(countif(Status!C:C,A548)=1,TRUE, FALSE)</f>
        <v>1</v>
      </c>
    </row>
    <row r="549">
      <c r="A549" s="23" t="str">
        <f t="shared" si="12"/>
        <v>COb1016</v>
      </c>
      <c r="B549" s="23" t="str">
        <f>'3.3.raw'!M538</f>
        <v>COb1016</v>
      </c>
      <c r="C549" s="24">
        <f>datevalue(left('3.3.raw'!O538,10))</f>
        <v>43773</v>
      </c>
      <c r="D549" s="23">
        <f>'3.3.raw'!I538</f>
        <v>15</v>
      </c>
      <c r="E549" s="23" t="str">
        <f>'3.3.raw'!J538</f>
        <v/>
      </c>
      <c r="F549" s="23">
        <f>'3.3.raw'!K538</f>
        <v>152</v>
      </c>
      <c r="G549" s="1">
        <v>3.30000000000005</v>
      </c>
      <c r="H549" s="23" t="b">
        <f>if(countif(Status!C:C,A549)=1,TRUE, FALSE)</f>
        <v>1</v>
      </c>
    </row>
    <row r="550">
      <c r="A550" s="23" t="str">
        <f t="shared" si="12"/>
        <v>FB1108</v>
      </c>
      <c r="B550" s="23" t="str">
        <f>'3.3.raw'!M539</f>
        <v>FB1108</v>
      </c>
      <c r="C550" s="24">
        <f>datevalue(left('3.3.raw'!O539,10))</f>
        <v>43773</v>
      </c>
      <c r="D550" s="23">
        <f>'3.3.raw'!I539</f>
        <v>99</v>
      </c>
      <c r="E550" s="23" t="str">
        <f>'3.3.raw'!J539</f>
        <v/>
      </c>
      <c r="F550" s="23" t="str">
        <f>'3.3.raw'!K539</f>
        <v/>
      </c>
      <c r="G550" s="1">
        <v>3.30000000000005</v>
      </c>
      <c r="H550" s="23" t="b">
        <f>if(countif(Status!C:C,A550)=1,TRUE, FALSE)</f>
        <v>1</v>
      </c>
    </row>
    <row r="551">
      <c r="A551" s="23" t="str">
        <f t="shared" si="12"/>
        <v>FB1108UP</v>
      </c>
      <c r="B551" s="23" t="str">
        <f>'3.3.raw'!M540</f>
        <v>FB1108UP</v>
      </c>
      <c r="C551" s="24">
        <f>datevalue(left('3.3.raw'!O540,10))</f>
        <v>43773</v>
      </c>
      <c r="D551" s="23">
        <f>'3.3.raw'!I540</f>
        <v>99</v>
      </c>
      <c r="E551" s="23" t="str">
        <f>'3.3.raw'!J540</f>
        <v/>
      </c>
      <c r="F551" s="23" t="str">
        <f>'3.3.raw'!K540</f>
        <v/>
      </c>
      <c r="G551" s="1">
        <v>3.30000000000005</v>
      </c>
      <c r="H551" s="23" t="b">
        <f>if(countif(Status!C:C,A551)=1,TRUE, FALSE)</f>
        <v>1</v>
      </c>
    </row>
    <row r="552">
      <c r="A552" s="23" t="str">
        <f t="shared" si="12"/>
        <v>UPNC40</v>
      </c>
      <c r="B552" s="23" t="str">
        <f>'3.3.raw'!M541</f>
        <v>UPNC40</v>
      </c>
      <c r="C552" s="24">
        <f>datevalue(left('3.3.raw'!O541,10))</f>
        <v>43773</v>
      </c>
      <c r="D552" s="23">
        <f>'3.3.raw'!I541</f>
        <v>98</v>
      </c>
      <c r="E552" s="23" t="str">
        <f>'3.3.raw'!J541</f>
        <v/>
      </c>
      <c r="F552" s="23" t="str">
        <f>'3.3.raw'!K541</f>
        <v/>
      </c>
      <c r="G552" s="1">
        <v>3.30000000000005</v>
      </c>
      <c r="H552" s="23" t="b">
        <f>if(countif(Status!C:C,A552)=1,TRUE, FALSE)</f>
        <v>1</v>
      </c>
    </row>
    <row r="553">
      <c r="A553" s="23" t="str">
        <f t="shared" si="12"/>
        <v>PLc1059</v>
      </c>
      <c r="B553" s="23" t="str">
        <f>'3.3.raw'!M542</f>
        <v>PLc1059</v>
      </c>
      <c r="C553" s="24">
        <f>datevalue(left('3.3.raw'!O542,10))</f>
        <v>43773</v>
      </c>
      <c r="D553" s="23">
        <f>'3.3.raw'!I542</f>
        <v>11</v>
      </c>
      <c r="E553" s="23" t="str">
        <f>'3.3.raw'!J542</f>
        <v/>
      </c>
      <c r="F553" s="23" t="str">
        <f>'3.3.raw'!K542</f>
        <v/>
      </c>
      <c r="G553" s="1">
        <v>3.30000000000005</v>
      </c>
      <c r="H553" s="23" t="b">
        <f>if(countif(Status!C:C,A553)=1,TRUE, FALSE)</f>
        <v>1</v>
      </c>
    </row>
    <row r="554">
      <c r="A554" s="23" t="str">
        <f t="shared" si="12"/>
        <v>FB1106</v>
      </c>
      <c r="B554" s="23" t="str">
        <f>'3.3.raw'!M543</f>
        <v>FB1106</v>
      </c>
      <c r="C554" s="24">
        <f>datevalue(left('3.3.raw'!O543,10))</f>
        <v>43773</v>
      </c>
      <c r="D554" s="23">
        <f>'3.3.raw'!I543</f>
        <v>99</v>
      </c>
      <c r="E554" s="23" t="str">
        <f>'3.3.raw'!J543</f>
        <v/>
      </c>
      <c r="F554" s="23" t="str">
        <f>'3.3.raw'!K543</f>
        <v/>
      </c>
      <c r="G554" s="1">
        <v>3.30000000000005</v>
      </c>
      <c r="H554" s="23" t="b">
        <f>if(countif(Status!C:C,A554)=1,TRUE, FALSE)</f>
        <v>1</v>
      </c>
    </row>
    <row r="555">
      <c r="A555" s="23" t="str">
        <f t="shared" si="12"/>
        <v>FB1106UP</v>
      </c>
      <c r="B555" s="23" t="str">
        <f>'3.3.raw'!M544</f>
        <v>FB1106UP</v>
      </c>
      <c r="C555" s="24">
        <f>datevalue(left('3.3.raw'!O544,10))</f>
        <v>43773</v>
      </c>
      <c r="D555" s="23">
        <f>'3.3.raw'!I544</f>
        <v>99</v>
      </c>
      <c r="E555" s="23" t="str">
        <f>'3.3.raw'!J544</f>
        <v/>
      </c>
      <c r="F555" s="23" t="str">
        <f>'3.3.raw'!K544</f>
        <v/>
      </c>
      <c r="G555" s="1">
        <v>3.30000000000005</v>
      </c>
      <c r="H555" s="23" t="b">
        <f>if(countif(Status!C:C,A555)=1,TRUE, FALSE)</f>
        <v>1</v>
      </c>
    </row>
    <row r="556">
      <c r="A556" s="23" t="str">
        <f t="shared" si="12"/>
        <v>PLc1060</v>
      </c>
      <c r="B556" s="23" t="str">
        <f>'3.3.raw'!M545</f>
        <v>PLc1060</v>
      </c>
      <c r="C556" s="24">
        <f>datevalue(left('3.3.raw'!O545,10))</f>
        <v>43773</v>
      </c>
      <c r="D556" s="23">
        <f>'3.3.raw'!I545</f>
        <v>11</v>
      </c>
      <c r="E556" s="23" t="str">
        <f>'3.3.raw'!J545</f>
        <v/>
      </c>
      <c r="F556" s="23" t="str">
        <f>'3.3.raw'!K545</f>
        <v/>
      </c>
      <c r="G556" s="1">
        <v>3.30000000000005</v>
      </c>
      <c r="H556" s="23" t="b">
        <f>if(countif(Status!C:C,A556)=1,TRUE, FALSE)</f>
        <v>1</v>
      </c>
    </row>
    <row r="557">
      <c r="A557" s="23" t="str">
        <f t="shared" si="12"/>
        <v>FB1107</v>
      </c>
      <c r="B557" s="23" t="str">
        <f>'3.3.raw'!M546</f>
        <v>FB1107</v>
      </c>
      <c r="C557" s="24">
        <f>datevalue(left('3.3.raw'!O546,10))</f>
        <v>43773</v>
      </c>
      <c r="D557" s="23">
        <f>'3.3.raw'!I546</f>
        <v>99</v>
      </c>
      <c r="E557" s="23" t="str">
        <f>'3.3.raw'!J546</f>
        <v/>
      </c>
      <c r="F557" s="23" t="str">
        <f>'3.3.raw'!K546</f>
        <v/>
      </c>
      <c r="G557" s="1">
        <v>3.30000000000005</v>
      </c>
      <c r="H557" s="23" t="b">
        <f>if(countif(Status!C:C,A557)=1,TRUE, FALSE)</f>
        <v>1</v>
      </c>
    </row>
    <row r="558">
      <c r="A558" s="23" t="str">
        <f t="shared" si="12"/>
        <v>FB1107UP</v>
      </c>
      <c r="B558" s="23" t="str">
        <f>'3.3.raw'!M547</f>
        <v>FB1107UP</v>
      </c>
      <c r="C558" s="24">
        <f>datevalue(left('3.3.raw'!O547,10))</f>
        <v>43773</v>
      </c>
      <c r="D558" s="23">
        <f>'3.3.raw'!I547</f>
        <v>99</v>
      </c>
      <c r="E558" s="23" t="str">
        <f>'3.3.raw'!J547</f>
        <v/>
      </c>
      <c r="F558" s="23" t="str">
        <f>'3.3.raw'!K547</f>
        <v/>
      </c>
      <c r="G558" s="1">
        <v>3.30000000000005</v>
      </c>
      <c r="H558" s="23" t="b">
        <f>if(countif(Status!C:C,A558)=1,TRUE, FALSE)</f>
        <v>1</v>
      </c>
    </row>
    <row r="559">
      <c r="A559" s="23" t="str">
        <f t="shared" si="12"/>
        <v>UPNC41</v>
      </c>
      <c r="B559" s="23" t="str">
        <f>'3.3.raw'!M548</f>
        <v>UPNC41</v>
      </c>
      <c r="C559" s="24">
        <f>datevalue(left('3.3.raw'!O548,10))</f>
        <v>43773</v>
      </c>
      <c r="D559" s="23">
        <f>'3.3.raw'!I548</f>
        <v>98</v>
      </c>
      <c r="E559" s="23" t="str">
        <f>'3.3.raw'!J548</f>
        <v/>
      </c>
      <c r="F559" s="23" t="str">
        <f>'3.3.raw'!K548</f>
        <v/>
      </c>
      <c r="G559" s="1">
        <v>3.30000000000005</v>
      </c>
      <c r="H559" s="23" t="b">
        <f>if(countif(Status!C:C,A559)=1,TRUE, FALSE)</f>
        <v>1</v>
      </c>
    </row>
    <row r="560">
      <c r="A560" s="23" t="str">
        <f t="shared" si="12"/>
        <v>EC15</v>
      </c>
      <c r="B560" s="23" t="str">
        <f>'3.3.raw'!M549</f>
        <v>EC15</v>
      </c>
      <c r="C560" s="24">
        <f>datevalue(left('3.3.raw'!O549,10))</f>
        <v>43773</v>
      </c>
      <c r="D560" s="23">
        <f>'3.3.raw'!I549</f>
        <v>98</v>
      </c>
      <c r="E560" s="23" t="str">
        <f>'3.3.raw'!J549</f>
        <v/>
      </c>
      <c r="F560" s="23" t="str">
        <f>'3.3.raw'!K549</f>
        <v/>
      </c>
      <c r="G560" s="1">
        <v>3.30000000000005</v>
      </c>
      <c r="H560" s="23" t="b">
        <f>if(countif(Status!C:C,A560)=1,TRUE, FALSE)</f>
        <v>1</v>
      </c>
    </row>
    <row r="561">
      <c r="A561" s="23" t="str">
        <f t="shared" si="12"/>
        <v>PLc1061</v>
      </c>
      <c r="B561" s="23" t="str">
        <f>'3.3.raw'!M550</f>
        <v>PLc1061</v>
      </c>
      <c r="C561" s="24">
        <f>datevalue(left('3.3.raw'!O550,10))</f>
        <v>43775</v>
      </c>
      <c r="D561" s="23">
        <f>'3.3.raw'!I550</f>
        <v>11</v>
      </c>
      <c r="E561" s="23" t="str">
        <f>'3.3.raw'!J550</f>
        <v/>
      </c>
      <c r="F561" s="23" t="str">
        <f>'3.3.raw'!K550</f>
        <v/>
      </c>
      <c r="G561" s="1">
        <v>3.30000000000005</v>
      </c>
      <c r="H561" s="23" t="b">
        <f>if(countif(Status!C:C,A561)=1,TRUE, FALSE)</f>
        <v>1</v>
      </c>
    </row>
    <row r="562">
      <c r="A562" s="23" t="str">
        <f t="shared" si="12"/>
        <v>FB1109</v>
      </c>
      <c r="B562" s="23" t="str">
        <f>'3.3.raw'!M551</f>
        <v>FB1109</v>
      </c>
      <c r="C562" s="24">
        <f>datevalue(left('3.3.raw'!O551,10))</f>
        <v>43775</v>
      </c>
      <c r="D562" s="23">
        <f>'3.3.raw'!I551</f>
        <v>99</v>
      </c>
      <c r="E562" s="23" t="str">
        <f>'3.3.raw'!J551</f>
        <v/>
      </c>
      <c r="F562" s="23" t="str">
        <f>'3.3.raw'!K551</f>
        <v/>
      </c>
      <c r="G562" s="1">
        <v>3.30000000000005</v>
      </c>
      <c r="H562" s="23" t="b">
        <f>if(countif(Status!C:C,A562)=1,TRUE, FALSE)</f>
        <v>1</v>
      </c>
    </row>
    <row r="563">
      <c r="A563" s="23" t="str">
        <f t="shared" si="12"/>
        <v>FB1109UP</v>
      </c>
      <c r="B563" s="23" t="str">
        <f>'3.3.raw'!M552</f>
        <v>FB1109UP</v>
      </c>
      <c r="C563" s="24">
        <f>datevalue(left('3.3.raw'!O552,10))</f>
        <v>43775</v>
      </c>
      <c r="D563" s="23">
        <f>'3.3.raw'!I552</f>
        <v>99</v>
      </c>
      <c r="E563" s="23" t="str">
        <f>'3.3.raw'!J552</f>
        <v/>
      </c>
      <c r="F563" s="23" t="str">
        <f>'3.3.raw'!K552</f>
        <v/>
      </c>
      <c r="G563" s="1">
        <v>3.30000000000005</v>
      </c>
      <c r="H563" s="23" t="b">
        <f>if(countif(Status!C:C,A563)=1,TRUE, FALSE)</f>
        <v>1</v>
      </c>
    </row>
    <row r="564">
      <c r="A564" s="23" t="str">
        <f t="shared" si="12"/>
        <v>PLc1062</v>
      </c>
      <c r="B564" s="23" t="str">
        <f>'3.3.raw'!M553</f>
        <v>PLc1062</v>
      </c>
      <c r="C564" s="24">
        <f>datevalue(left('3.3.raw'!O553,10))</f>
        <v>43775</v>
      </c>
      <c r="D564" s="23">
        <f>'3.3.raw'!I553</f>
        <v>11</v>
      </c>
      <c r="E564" s="23" t="str">
        <f>'3.3.raw'!J553</f>
        <v/>
      </c>
      <c r="F564" s="23" t="str">
        <f>'3.3.raw'!K553</f>
        <v/>
      </c>
      <c r="G564" s="1">
        <v>3.30000000000005</v>
      </c>
      <c r="H564" s="23" t="b">
        <f>if(countif(Status!C:C,A564)=1,TRUE, FALSE)</f>
        <v>1</v>
      </c>
    </row>
    <row r="565">
      <c r="A565" s="23" t="str">
        <f t="shared" si="12"/>
        <v>FB1110UP</v>
      </c>
      <c r="B565" s="23" t="str">
        <f>'3.3.raw'!M554</f>
        <v>FB1110UP</v>
      </c>
      <c r="C565" s="24">
        <f>datevalue(left('3.3.raw'!O554,10))</f>
        <v>43775</v>
      </c>
      <c r="D565" s="23">
        <f>'3.3.raw'!I554</f>
        <v>99</v>
      </c>
      <c r="E565" s="23" t="str">
        <f>'3.3.raw'!J554</f>
        <v/>
      </c>
      <c r="F565" s="23" t="str">
        <f>'3.3.raw'!K554</f>
        <v/>
      </c>
      <c r="G565" s="1">
        <v>3.30000000000005</v>
      </c>
      <c r="H565" s="23" t="b">
        <f>if(countif(Status!C:C,A565)=1,TRUE, FALSE)</f>
        <v>1</v>
      </c>
    </row>
    <row r="566">
      <c r="A566" s="23" t="str">
        <f t="shared" si="12"/>
        <v>PLc1063</v>
      </c>
      <c r="B566" s="23" t="str">
        <f>'3.3.raw'!M555</f>
        <v>PLc1063</v>
      </c>
      <c r="C566" s="24">
        <f>datevalue(left('3.3.raw'!O555,10))</f>
        <v>43775</v>
      </c>
      <c r="D566" s="23">
        <f>'3.3.raw'!I555</f>
        <v>11</v>
      </c>
      <c r="E566" s="23" t="str">
        <f>'3.3.raw'!J555</f>
        <v/>
      </c>
      <c r="F566" s="23" t="str">
        <f>'3.3.raw'!K555</f>
        <v/>
      </c>
      <c r="G566" s="1">
        <v>3.30000000000005</v>
      </c>
      <c r="H566" s="23" t="b">
        <f>if(countif(Status!C:C,A566)=1,TRUE, FALSE)</f>
        <v>1</v>
      </c>
    </row>
    <row r="567">
      <c r="A567" s="23" t="str">
        <f t="shared" si="12"/>
        <v>FB1111UP</v>
      </c>
      <c r="B567" s="23" t="str">
        <f>'3.3.raw'!M556</f>
        <v>FB1111UP</v>
      </c>
      <c r="C567" s="24">
        <f>datevalue(left('3.3.raw'!O556,10))</f>
        <v>43775</v>
      </c>
      <c r="D567" s="23">
        <f>'3.3.raw'!I556</f>
        <v>99</v>
      </c>
      <c r="E567" s="23" t="str">
        <f>'3.3.raw'!J556</f>
        <v/>
      </c>
      <c r="F567" s="23" t="str">
        <f>'3.3.raw'!K556</f>
        <v/>
      </c>
      <c r="G567" s="1">
        <v>3.30000000000005</v>
      </c>
      <c r="H567" s="23" t="b">
        <f>if(countif(Status!C:C,A567)=1,TRUE, FALSE)</f>
        <v>1</v>
      </c>
    </row>
    <row r="568">
      <c r="A568" s="23" t="str">
        <f t="shared" si="12"/>
        <v>PLc1064</v>
      </c>
      <c r="B568" s="23" t="str">
        <f>'3.3.raw'!M557</f>
        <v>PLc1064</v>
      </c>
      <c r="C568" s="24">
        <f>datevalue(left('3.3.raw'!O557,10))</f>
        <v>43775</v>
      </c>
      <c r="D568" s="23">
        <f>'3.3.raw'!I557</f>
        <v>11</v>
      </c>
      <c r="E568" s="23" t="str">
        <f>'3.3.raw'!J557</f>
        <v/>
      </c>
      <c r="F568" s="23" t="str">
        <f>'3.3.raw'!K557</f>
        <v/>
      </c>
      <c r="G568" s="1">
        <v>3.30000000000005</v>
      </c>
      <c r="H568" s="23" t="b">
        <f>if(countif(Status!C:C,A568)=1,TRUE, FALSE)</f>
        <v>1</v>
      </c>
    </row>
    <row r="569">
      <c r="A569" s="23" t="str">
        <f t="shared" si="12"/>
        <v>FB1112UP</v>
      </c>
      <c r="B569" s="23" t="str">
        <f>'3.3.raw'!M558</f>
        <v>FB1112UP</v>
      </c>
      <c r="C569" s="24">
        <f>datevalue(left('3.3.raw'!O558,10))</f>
        <v>43775</v>
      </c>
      <c r="D569" s="23">
        <f>'3.3.raw'!I558</f>
        <v>99</v>
      </c>
      <c r="E569" s="23" t="str">
        <f>'3.3.raw'!J558</f>
        <v/>
      </c>
      <c r="F569" s="23" t="str">
        <f>'3.3.raw'!K558</f>
        <v/>
      </c>
      <c r="G569" s="1">
        <v>3.30000000000005</v>
      </c>
      <c r="H569" s="23" t="b">
        <f>if(countif(Status!C:C,A569)=1,TRUE, FALSE)</f>
        <v>1</v>
      </c>
    </row>
    <row r="570">
      <c r="A570" s="23" t="str">
        <f t="shared" si="12"/>
        <v>PLc1065</v>
      </c>
      <c r="B570" s="23" t="str">
        <f>'3.3.raw'!M559</f>
        <v>PLc1065</v>
      </c>
      <c r="C570" s="24">
        <f>datevalue(left('3.3.raw'!O559,10))</f>
        <v>43775</v>
      </c>
      <c r="D570" s="23">
        <f>'3.3.raw'!I559</f>
        <v>11</v>
      </c>
      <c r="E570" s="23" t="str">
        <f>'3.3.raw'!J559</f>
        <v/>
      </c>
      <c r="F570" s="23" t="str">
        <f>'3.3.raw'!K559</f>
        <v/>
      </c>
      <c r="G570" s="1">
        <v>3.30000000000005</v>
      </c>
      <c r="H570" s="23" t="b">
        <f>if(countif(Status!C:C,A570)=1,TRUE, FALSE)</f>
        <v>1</v>
      </c>
    </row>
    <row r="571">
      <c r="A571" s="23" t="str">
        <f t="shared" si="12"/>
        <v>FB1113UP</v>
      </c>
      <c r="B571" s="23" t="str">
        <f>'3.3.raw'!M560</f>
        <v>FB1113UP</v>
      </c>
      <c r="C571" s="24">
        <f>datevalue(left('3.3.raw'!O560,10))</f>
        <v>43775</v>
      </c>
      <c r="D571" s="23">
        <f>'3.3.raw'!I560</f>
        <v>99</v>
      </c>
      <c r="E571" s="23" t="str">
        <f>'3.3.raw'!J560</f>
        <v/>
      </c>
      <c r="F571" s="23" t="str">
        <f>'3.3.raw'!K560</f>
        <v/>
      </c>
      <c r="G571" s="1">
        <v>3.30000000000005</v>
      </c>
      <c r="H571" s="23" t="b">
        <f>if(countif(Status!C:C,A571)=1,TRUE, FALSE)</f>
        <v>1</v>
      </c>
    </row>
    <row r="572">
      <c r="A572" s="23" t="str">
        <f t="shared" si="12"/>
        <v>UPNC42</v>
      </c>
      <c r="B572" s="23" t="str">
        <f>'3.3.raw'!M561</f>
        <v>UPNC42</v>
      </c>
      <c r="C572" s="24">
        <f>datevalue(left('3.3.raw'!O561,10))</f>
        <v>43775</v>
      </c>
      <c r="D572" s="23">
        <f>'3.3.raw'!I561</f>
        <v>98</v>
      </c>
      <c r="E572" s="23" t="str">
        <f>'3.3.raw'!J561</f>
        <v/>
      </c>
      <c r="F572" s="23" t="str">
        <f>'3.3.raw'!K561</f>
        <v/>
      </c>
      <c r="G572" s="1">
        <v>3.30000000000005</v>
      </c>
      <c r="H572" s="23" t="b">
        <f>if(countif(Status!C:C,A572)=1,TRUE, FALSE)</f>
        <v>1</v>
      </c>
    </row>
    <row r="573">
      <c r="A573" s="23" t="str">
        <f t="shared" si="12"/>
        <v>PLc1066</v>
      </c>
      <c r="B573" s="23" t="str">
        <f>'3.3.raw'!M562</f>
        <v>PLc1066</v>
      </c>
      <c r="C573" s="24">
        <f>datevalue(left('3.3.raw'!O562,10))</f>
        <v>43775</v>
      </c>
      <c r="D573" s="23">
        <f>'3.3.raw'!I562</f>
        <v>11</v>
      </c>
      <c r="E573" s="23" t="str">
        <f>'3.3.raw'!J562</f>
        <v/>
      </c>
      <c r="F573" s="23" t="str">
        <f>'3.3.raw'!K562</f>
        <v/>
      </c>
      <c r="G573" s="1">
        <v>3.30000000000005</v>
      </c>
      <c r="H573" s="23" t="b">
        <f>if(countif(Status!C:C,A573)=1,TRUE, FALSE)</f>
        <v>1</v>
      </c>
    </row>
    <row r="574">
      <c r="A574" s="23" t="str">
        <f t="shared" si="12"/>
        <v>FB1114UP</v>
      </c>
      <c r="B574" s="23" t="str">
        <f>'3.3.raw'!M563</f>
        <v>FB1114UP</v>
      </c>
      <c r="C574" s="24">
        <f>datevalue(left('3.3.raw'!O563,10))</f>
        <v>43775</v>
      </c>
      <c r="D574" s="23">
        <f>'3.3.raw'!I563</f>
        <v>99</v>
      </c>
      <c r="E574" s="23" t="str">
        <f>'3.3.raw'!J563</f>
        <v/>
      </c>
      <c r="F574" s="23" t="str">
        <f>'3.3.raw'!K563</f>
        <v/>
      </c>
      <c r="G574" s="1">
        <v>3.30000000000005</v>
      </c>
      <c r="H574" s="23" t="b">
        <f>if(countif(Status!C:C,A574)=1,TRUE, FALSE)</f>
        <v>1</v>
      </c>
    </row>
    <row r="575">
      <c r="A575" s="23" t="str">
        <f t="shared" si="12"/>
        <v>PLc1067</v>
      </c>
      <c r="B575" s="23" t="str">
        <f>'3.3.raw'!M564</f>
        <v>PLc1067</v>
      </c>
      <c r="C575" s="24">
        <f>datevalue(left('3.3.raw'!O564,10))</f>
        <v>43775</v>
      </c>
      <c r="D575" s="23">
        <f>'3.3.raw'!I564</f>
        <v>11</v>
      </c>
      <c r="E575" s="23" t="str">
        <f>'3.3.raw'!J564</f>
        <v/>
      </c>
      <c r="F575" s="23" t="str">
        <f>'3.3.raw'!K564</f>
        <v/>
      </c>
      <c r="G575" s="1">
        <v>3.30000000000005</v>
      </c>
      <c r="H575" s="23" t="b">
        <f>if(countif(Status!C:C,A575)=1,TRUE, FALSE)</f>
        <v>1</v>
      </c>
    </row>
    <row r="576">
      <c r="A576" s="23" t="str">
        <f t="shared" si="12"/>
        <v>FB1115UP</v>
      </c>
      <c r="B576" s="23" t="str">
        <f>'3.3.raw'!M565</f>
        <v>FB1115UP</v>
      </c>
      <c r="C576" s="24">
        <f>datevalue(left('3.3.raw'!O565,10))</f>
        <v>43775</v>
      </c>
      <c r="D576" s="23">
        <f>'3.3.raw'!I565</f>
        <v>99</v>
      </c>
      <c r="E576" s="23" t="str">
        <f>'3.3.raw'!J565</f>
        <v/>
      </c>
      <c r="F576" s="23" t="str">
        <f>'3.3.raw'!K565</f>
        <v/>
      </c>
      <c r="G576" s="1">
        <v>3.30000000000005</v>
      </c>
      <c r="H576" s="23" t="b">
        <f>if(countif(Status!C:C,A576)=1,TRUE, FALSE)</f>
        <v>1</v>
      </c>
    </row>
    <row r="577">
      <c r="A577" s="23" t="str">
        <f t="shared" si="12"/>
        <v>MO1112</v>
      </c>
      <c r="B577" s="23" t="str">
        <f>'3.3.raw'!M566</f>
        <v>MO1112</v>
      </c>
      <c r="C577" s="24">
        <f>datevalue(left('3.3.raw'!O566,10))</f>
        <v>43775</v>
      </c>
      <c r="D577" s="23">
        <f>'3.3.raw'!I566</f>
        <v>12</v>
      </c>
      <c r="E577" s="23" t="str">
        <f>'3.3.raw'!J566</f>
        <v/>
      </c>
      <c r="F577" s="23" t="str">
        <f>'3.3.raw'!K566</f>
        <v/>
      </c>
      <c r="G577" s="1">
        <v>3.30000000000005</v>
      </c>
      <c r="H577" s="23" t="b">
        <f>if(countif(Status!C:C,A577)=1,TRUE, FALSE)</f>
        <v>1</v>
      </c>
    </row>
    <row r="578">
      <c r="A578" s="23" t="str">
        <f t="shared" si="12"/>
        <v>FB1116UP</v>
      </c>
      <c r="B578" s="23" t="str">
        <f>'3.3.raw'!M567</f>
        <v>FB1116UP</v>
      </c>
      <c r="C578" s="24">
        <f>datevalue(left('3.3.raw'!O567,10))</f>
        <v>43775</v>
      </c>
      <c r="D578" s="23">
        <f>'3.3.raw'!I567</f>
        <v>99</v>
      </c>
      <c r="E578" s="23" t="str">
        <f>'3.3.raw'!J567</f>
        <v/>
      </c>
      <c r="F578" s="23" t="str">
        <f>'3.3.raw'!K567</f>
        <v/>
      </c>
      <c r="G578" s="1">
        <v>3.30000000000005</v>
      </c>
      <c r="H578" s="23" t="b">
        <f>if(countif(Status!C:C,A578)=1,TRUE, FALSE)</f>
        <v>1</v>
      </c>
    </row>
    <row r="579">
      <c r="A579" s="23" t="str">
        <f t="shared" si="12"/>
        <v>MO1113</v>
      </c>
      <c r="B579" s="23" t="str">
        <f>'3.3.raw'!M568</f>
        <v>MO1113</v>
      </c>
      <c r="C579" s="24">
        <f>datevalue(left('3.3.raw'!O568,10))</f>
        <v>43775</v>
      </c>
      <c r="D579" s="23">
        <f>'3.3.raw'!I568</f>
        <v>12</v>
      </c>
      <c r="E579" s="23" t="str">
        <f>'3.3.raw'!J568</f>
        <v/>
      </c>
      <c r="F579" s="23" t="str">
        <f>'3.3.raw'!K568</f>
        <v/>
      </c>
      <c r="G579" s="1">
        <v>3.30000000000005</v>
      </c>
      <c r="H579" s="23" t="b">
        <f>if(countif(Status!C:C,A579)=1,TRUE, FALSE)</f>
        <v>1</v>
      </c>
    </row>
    <row r="580">
      <c r="A580" s="49" t="s">
        <v>268</v>
      </c>
      <c r="B580" s="23" t="str">
        <f>'3.3.raw'!M569</f>
        <v>FB1117</v>
      </c>
      <c r="C580" s="24">
        <f>datevalue(left('3.3.raw'!O569,10))</f>
        <v>43775</v>
      </c>
      <c r="D580" s="23">
        <f>'3.3.raw'!I569</f>
        <v>99</v>
      </c>
      <c r="E580" s="23" t="str">
        <f>'3.3.raw'!J569</f>
        <v/>
      </c>
      <c r="F580" s="23" t="str">
        <f>'3.3.raw'!K569</f>
        <v/>
      </c>
      <c r="G580" s="1">
        <v>3.30000000000005</v>
      </c>
      <c r="H580" s="23" t="b">
        <f>if(countif(Status!C:C,A580)=1,TRUE, FALSE)</f>
        <v>1</v>
      </c>
    </row>
    <row r="581">
      <c r="A581" s="23" t="str">
        <f t="shared" ref="A581:A716" si="13">B581</f>
        <v>UPNC43</v>
      </c>
      <c r="B581" s="23" t="str">
        <f>'3.3.raw'!M570</f>
        <v>UPNC43</v>
      </c>
      <c r="C581" s="24">
        <f>datevalue(left('3.3.raw'!O570,10))</f>
        <v>43775</v>
      </c>
      <c r="D581" s="23">
        <f>'3.3.raw'!I570</f>
        <v>98</v>
      </c>
      <c r="E581" s="23" t="str">
        <f>'3.3.raw'!J570</f>
        <v/>
      </c>
      <c r="F581" s="23" t="str">
        <f>'3.3.raw'!K570</f>
        <v/>
      </c>
      <c r="G581" s="1">
        <v>3.30000000000005</v>
      </c>
      <c r="H581" s="23" t="b">
        <f>if(countif(Status!C:C,A581)=1,TRUE, FALSE)</f>
        <v>1</v>
      </c>
    </row>
    <row r="582">
      <c r="A582" s="23" t="str">
        <f t="shared" si="13"/>
        <v>EC16</v>
      </c>
      <c r="B582" s="23" t="str">
        <f>'3.3.raw'!M571</f>
        <v>EC16</v>
      </c>
      <c r="C582" s="24">
        <f>datevalue(left('3.3.raw'!O571,10))</f>
        <v>43775</v>
      </c>
      <c r="D582" s="23">
        <f>'3.3.raw'!I571</f>
        <v>98</v>
      </c>
      <c r="E582" s="23" t="str">
        <f>'3.3.raw'!J571</f>
        <v/>
      </c>
      <c r="F582" s="23" t="str">
        <f>'3.3.raw'!K571</f>
        <v/>
      </c>
      <c r="G582" s="1">
        <v>3.30000000000005</v>
      </c>
      <c r="H582" s="23" t="b">
        <f>if(countif(Status!C:C,A582)=1,TRUE, FALSE)</f>
        <v>1</v>
      </c>
    </row>
    <row r="583">
      <c r="A583" s="23" t="str">
        <f t="shared" si="13"/>
        <v>FPd1004</v>
      </c>
      <c r="B583" s="23" t="str">
        <f>'3.3.raw'!M572</f>
        <v>FPd1004</v>
      </c>
      <c r="C583" s="24">
        <f>datevalue(left('3.3.raw'!O572,10))</f>
        <v>43776</v>
      </c>
      <c r="D583" s="23">
        <f>'3.3.raw'!I572</f>
        <v>14</v>
      </c>
      <c r="E583" s="23">
        <f>'3.3.raw'!J572</f>
        <v>144</v>
      </c>
      <c r="F583" s="23" t="str">
        <f>'3.3.raw'!K572</f>
        <v/>
      </c>
      <c r="G583" s="1">
        <v>3.30000000000005</v>
      </c>
      <c r="H583" s="23" t="b">
        <f>if(countif(Status!C:C,A583)=1,TRUE, FALSE)</f>
        <v>1</v>
      </c>
    </row>
    <row r="584">
      <c r="A584" s="23" t="str">
        <f t="shared" si="13"/>
        <v>FPb1004</v>
      </c>
      <c r="B584" s="23" t="str">
        <f>'3.3.raw'!M573</f>
        <v>FPb1004</v>
      </c>
      <c r="C584" s="24">
        <f>datevalue(left('3.3.raw'!O573,10))</f>
        <v>43776</v>
      </c>
      <c r="D584" s="23">
        <f>'3.3.raw'!I573</f>
        <v>14</v>
      </c>
      <c r="E584" s="23">
        <f>'3.3.raw'!J573</f>
        <v>142</v>
      </c>
      <c r="F584" s="23" t="str">
        <f>'3.3.raw'!K573</f>
        <v/>
      </c>
      <c r="G584" s="1">
        <v>3.30000000000005</v>
      </c>
      <c r="H584" s="23" t="b">
        <f>if(countif(Status!C:C,A584)=1,TRUE, FALSE)</f>
        <v>1</v>
      </c>
    </row>
    <row r="585">
      <c r="A585" s="23" t="str">
        <f t="shared" si="13"/>
        <v>FPe1004</v>
      </c>
      <c r="B585" s="23" t="str">
        <f>'3.3.raw'!M574</f>
        <v>FPe1004</v>
      </c>
      <c r="C585" s="24">
        <f>datevalue(left('3.3.raw'!O574,10))</f>
        <v>43776</v>
      </c>
      <c r="D585" s="23">
        <f>'3.3.raw'!I574</f>
        <v>14</v>
      </c>
      <c r="E585" s="23">
        <f>'3.3.raw'!J574</f>
        <v>145</v>
      </c>
      <c r="F585" s="23" t="str">
        <f>'3.3.raw'!K574</f>
        <v/>
      </c>
      <c r="G585" s="1">
        <v>3.30000000000005</v>
      </c>
      <c r="H585" s="23" t="b">
        <f>if(countif(Status!C:C,A585)=1,TRUE, FALSE)</f>
        <v>1</v>
      </c>
    </row>
    <row r="586">
      <c r="A586" s="23" t="str">
        <f t="shared" si="13"/>
        <v>FPa1004</v>
      </c>
      <c r="B586" s="23" t="str">
        <f>'3.3.raw'!M575</f>
        <v>FPa1004</v>
      </c>
      <c r="C586" s="24">
        <f>datevalue(left('3.3.raw'!O575,10))</f>
        <v>43776</v>
      </c>
      <c r="D586" s="23">
        <f>'3.3.raw'!I575</f>
        <v>14</v>
      </c>
      <c r="E586" s="23">
        <f>'3.3.raw'!J575</f>
        <v>141</v>
      </c>
      <c r="F586" s="23" t="str">
        <f>'3.3.raw'!K575</f>
        <v/>
      </c>
      <c r="G586" s="1">
        <v>3.30000000000005</v>
      </c>
      <c r="H586" s="23" t="b">
        <f>if(countif(Status!C:C,A586)=1,TRUE, FALSE)</f>
        <v>1</v>
      </c>
    </row>
    <row r="587">
      <c r="A587" s="23" t="str">
        <f t="shared" si="13"/>
        <v>FPc1004</v>
      </c>
      <c r="B587" s="23" t="str">
        <f>'3.3.raw'!M576</f>
        <v>FPc1004</v>
      </c>
      <c r="C587" s="24">
        <f>datevalue(left('3.3.raw'!O576,10))</f>
        <v>43776</v>
      </c>
      <c r="D587" s="23">
        <f>'3.3.raw'!I576</f>
        <v>14</v>
      </c>
      <c r="E587" s="23">
        <f>'3.3.raw'!J576</f>
        <v>143</v>
      </c>
      <c r="F587" s="23" t="str">
        <f>'3.3.raw'!K576</f>
        <v/>
      </c>
      <c r="G587" s="1">
        <v>3.30000000000005</v>
      </c>
      <c r="H587" s="23" t="b">
        <f>if(countif(Status!C:C,A587)=1,TRUE, FALSE)</f>
        <v>1</v>
      </c>
    </row>
    <row r="588">
      <c r="A588" s="23" t="str">
        <f t="shared" si="13"/>
        <v>FB1118UP</v>
      </c>
      <c r="B588" s="23" t="str">
        <f>'3.3.raw'!M577</f>
        <v>FB1118UP</v>
      </c>
      <c r="C588" s="24">
        <f>datevalue(left('3.3.raw'!O577,10))</f>
        <v>43776</v>
      </c>
      <c r="D588" s="23">
        <f>'3.3.raw'!I577</f>
        <v>99</v>
      </c>
      <c r="E588" s="23" t="str">
        <f>'3.3.raw'!J577</f>
        <v/>
      </c>
      <c r="F588" s="23" t="str">
        <f>'3.3.raw'!K577</f>
        <v/>
      </c>
      <c r="G588" s="1">
        <v>3.30000000000005</v>
      </c>
      <c r="H588" s="23" t="b">
        <f>if(countif(Status!C:C,A588)=1,TRUE, FALSE)</f>
        <v>1</v>
      </c>
    </row>
    <row r="589">
      <c r="A589" s="23" t="str">
        <f t="shared" si="13"/>
        <v>UPNC44</v>
      </c>
      <c r="B589" s="23" t="str">
        <f>'3.3.raw'!M578</f>
        <v>UPNC44</v>
      </c>
      <c r="C589" s="24">
        <f>datevalue(left('3.3.raw'!O578,10))</f>
        <v>43776</v>
      </c>
      <c r="D589" s="23">
        <f>'3.3.raw'!I578</f>
        <v>98</v>
      </c>
      <c r="E589" s="23" t="str">
        <f>'3.3.raw'!J578</f>
        <v/>
      </c>
      <c r="F589" s="23" t="str">
        <f>'3.3.raw'!K578</f>
        <v/>
      </c>
      <c r="G589" s="1">
        <v>3.30000000000005</v>
      </c>
      <c r="H589" s="23" t="b">
        <f>if(countif(Status!C:C,A589)=1,TRUE, FALSE)</f>
        <v>1</v>
      </c>
    </row>
    <row r="590">
      <c r="A590" s="23" t="str">
        <f t="shared" si="13"/>
        <v>MO1114</v>
      </c>
      <c r="B590" s="23" t="str">
        <f>'3.3.raw'!M579</f>
        <v>MO1114</v>
      </c>
      <c r="C590" s="24">
        <f>datevalue(left('3.3.raw'!O579,10))</f>
        <v>43777</v>
      </c>
      <c r="D590" s="23">
        <f>'3.3.raw'!I579</f>
        <v>12</v>
      </c>
      <c r="E590" s="23" t="str">
        <f>'3.3.raw'!J579</f>
        <v/>
      </c>
      <c r="F590" s="23" t="str">
        <f>'3.3.raw'!K579</f>
        <v/>
      </c>
      <c r="G590" s="1">
        <v>3.30000000000005</v>
      </c>
      <c r="H590" s="23" t="b">
        <f>if(countif(Status!C:C,A590)=1,TRUE, FALSE)</f>
        <v>1</v>
      </c>
    </row>
    <row r="591">
      <c r="A591" s="23" t="str">
        <f t="shared" si="13"/>
        <v>FB1125UP</v>
      </c>
      <c r="B591" s="23" t="str">
        <f>'3.3.raw'!M580</f>
        <v>FB1125UP</v>
      </c>
      <c r="C591" s="24">
        <f>datevalue(left('3.3.raw'!O580,10))</f>
        <v>43777</v>
      </c>
      <c r="D591" s="23">
        <f>'3.3.raw'!I580</f>
        <v>99</v>
      </c>
      <c r="E591" s="23" t="str">
        <f>'3.3.raw'!J580</f>
        <v/>
      </c>
      <c r="F591" s="23" t="str">
        <f>'3.3.raw'!K580</f>
        <v/>
      </c>
      <c r="G591" s="1">
        <v>3.30000000000005</v>
      </c>
      <c r="H591" s="23" t="b">
        <f>if(countif(Status!C:C,A591)=1,TRUE, FALSE)</f>
        <v>1</v>
      </c>
    </row>
    <row r="592">
      <c r="A592" s="23" t="str">
        <f t="shared" si="13"/>
        <v>MO1115</v>
      </c>
      <c r="B592" s="23" t="str">
        <f>'3.3.raw'!M581</f>
        <v>MO1115</v>
      </c>
      <c r="C592" s="24">
        <f>datevalue(left('3.3.raw'!O581,10))</f>
        <v>43777</v>
      </c>
      <c r="D592" s="23">
        <f>'3.3.raw'!I581</f>
        <v>12</v>
      </c>
      <c r="E592" s="23" t="str">
        <f>'3.3.raw'!J581</f>
        <v/>
      </c>
      <c r="F592" s="23" t="str">
        <f>'3.3.raw'!K581</f>
        <v/>
      </c>
      <c r="G592" s="1">
        <v>3.30000000000005</v>
      </c>
      <c r="H592" s="23" t="b">
        <f>if(countif(Status!C:C,A592)=1,TRUE, FALSE)</f>
        <v>1</v>
      </c>
    </row>
    <row r="593">
      <c r="A593" s="23" t="str">
        <f t="shared" si="13"/>
        <v>FB1124UP</v>
      </c>
      <c r="B593" s="23" t="str">
        <f>'3.3.raw'!M582</f>
        <v>FB1124UP</v>
      </c>
      <c r="C593" s="24">
        <f>datevalue(left('3.3.raw'!O582,10))</f>
        <v>43777</v>
      </c>
      <c r="D593" s="23">
        <f>'3.3.raw'!I582</f>
        <v>99</v>
      </c>
      <c r="E593" s="23" t="str">
        <f>'3.3.raw'!J582</f>
        <v/>
      </c>
      <c r="F593" s="23" t="str">
        <f>'3.3.raw'!K582</f>
        <v/>
      </c>
      <c r="G593" s="1">
        <v>3.30000000000005</v>
      </c>
      <c r="H593" s="23" t="b">
        <f>if(countif(Status!C:C,A593)=1,TRUE, FALSE)</f>
        <v>1</v>
      </c>
    </row>
    <row r="594">
      <c r="A594" s="23" t="str">
        <f t="shared" si="13"/>
        <v>PLc1068</v>
      </c>
      <c r="B594" s="23" t="str">
        <f>'3.3.raw'!M583</f>
        <v>PLc1068</v>
      </c>
      <c r="C594" s="24">
        <f>datevalue(left('3.3.raw'!O583,10))</f>
        <v>43777</v>
      </c>
      <c r="D594" s="23">
        <f>'3.3.raw'!I583</f>
        <v>11</v>
      </c>
      <c r="E594" s="23" t="str">
        <f>'3.3.raw'!J583</f>
        <v/>
      </c>
      <c r="F594" s="23" t="str">
        <f>'3.3.raw'!K583</f>
        <v/>
      </c>
      <c r="G594" s="1">
        <v>3.30000000000006</v>
      </c>
      <c r="H594" s="23" t="b">
        <f>if(countif(Status!C:C,A594)=1,TRUE, FALSE)</f>
        <v>1</v>
      </c>
    </row>
    <row r="595">
      <c r="A595" s="23" t="str">
        <f t="shared" si="13"/>
        <v>FB1119UP</v>
      </c>
      <c r="B595" s="23" t="str">
        <f>'3.3.raw'!M584</f>
        <v>FB1119UP</v>
      </c>
      <c r="C595" s="24">
        <f>datevalue(left('3.3.raw'!O584,10))</f>
        <v>43777</v>
      </c>
      <c r="D595" s="23">
        <f>'3.3.raw'!I584</f>
        <v>99</v>
      </c>
      <c r="E595" s="23" t="str">
        <f>'3.3.raw'!J584</f>
        <v/>
      </c>
      <c r="F595" s="23" t="str">
        <f>'3.3.raw'!K584</f>
        <v/>
      </c>
      <c r="G595" s="1">
        <v>3.30000000000006</v>
      </c>
      <c r="H595" s="23" t="b">
        <f>if(countif(Status!C:C,A595)=1,TRUE, FALSE)</f>
        <v>1</v>
      </c>
    </row>
    <row r="596">
      <c r="A596" s="23" t="str">
        <f t="shared" si="13"/>
        <v>PLc1069</v>
      </c>
      <c r="B596" s="23" t="str">
        <f>'3.3.raw'!M585</f>
        <v>PLc1069</v>
      </c>
      <c r="C596" s="24">
        <f>datevalue(left('3.3.raw'!O585,10))</f>
        <v>43777</v>
      </c>
      <c r="D596" s="23">
        <f>'3.3.raw'!I585</f>
        <v>11</v>
      </c>
      <c r="E596" s="23" t="str">
        <f>'3.3.raw'!J585</f>
        <v/>
      </c>
      <c r="F596" s="23" t="str">
        <f>'3.3.raw'!K585</f>
        <v/>
      </c>
      <c r="G596" s="1">
        <v>3.30000000000006</v>
      </c>
      <c r="H596" s="23" t="b">
        <f>if(countif(Status!C:C,A596)=1,TRUE, FALSE)</f>
        <v>1</v>
      </c>
    </row>
    <row r="597">
      <c r="A597" s="23" t="str">
        <f t="shared" si="13"/>
        <v>FB1120UP</v>
      </c>
      <c r="B597" s="23" t="str">
        <f>'3.3.raw'!M586</f>
        <v>FB1120UP</v>
      </c>
      <c r="C597" s="24">
        <f>datevalue(left('3.3.raw'!O586,10))</f>
        <v>43777</v>
      </c>
      <c r="D597" s="23">
        <f>'3.3.raw'!I586</f>
        <v>99</v>
      </c>
      <c r="E597" s="23" t="str">
        <f>'3.3.raw'!J586</f>
        <v/>
      </c>
      <c r="F597" s="23" t="str">
        <f>'3.3.raw'!K586</f>
        <v/>
      </c>
      <c r="G597" s="1">
        <v>3.30000000000006</v>
      </c>
      <c r="H597" s="23" t="b">
        <f>if(countif(Status!C:C,A597)=1,TRUE, FALSE)</f>
        <v>1</v>
      </c>
    </row>
    <row r="598">
      <c r="A598" s="23" t="str">
        <f t="shared" si="13"/>
        <v>PLc1070</v>
      </c>
      <c r="B598" s="23" t="str">
        <f>'3.3.raw'!M587</f>
        <v>PLc1070</v>
      </c>
      <c r="C598" s="24">
        <f>datevalue(left('3.3.raw'!O587,10))</f>
        <v>43777</v>
      </c>
      <c r="D598" s="23">
        <f>'3.3.raw'!I587</f>
        <v>11</v>
      </c>
      <c r="E598" s="23" t="str">
        <f>'3.3.raw'!J587</f>
        <v/>
      </c>
      <c r="F598" s="23" t="str">
        <f>'3.3.raw'!K587</f>
        <v/>
      </c>
      <c r="G598" s="1">
        <v>3.30000000000006</v>
      </c>
      <c r="H598" s="23" t="b">
        <f>if(countif(Status!C:C,A598)=1,TRUE, FALSE)</f>
        <v>1</v>
      </c>
    </row>
    <row r="599">
      <c r="A599" s="23" t="str">
        <f t="shared" si="13"/>
        <v>FB1121UP</v>
      </c>
      <c r="B599" s="23" t="str">
        <f>'3.3.raw'!M588</f>
        <v>FB1121UP</v>
      </c>
      <c r="C599" s="24">
        <f>datevalue(left('3.3.raw'!O588,10))</f>
        <v>43777</v>
      </c>
      <c r="D599" s="23">
        <f>'3.3.raw'!I588</f>
        <v>99</v>
      </c>
      <c r="E599" s="23" t="str">
        <f>'3.3.raw'!J588</f>
        <v/>
      </c>
      <c r="F599" s="23" t="str">
        <f>'3.3.raw'!K588</f>
        <v/>
      </c>
      <c r="G599" s="1">
        <v>3.30000000000006</v>
      </c>
      <c r="H599" s="23" t="b">
        <f>if(countif(Status!C:C,A599)=1,TRUE, FALSE)</f>
        <v>1</v>
      </c>
    </row>
    <row r="600">
      <c r="A600" s="23" t="str">
        <f t="shared" si="13"/>
        <v>PLc1071</v>
      </c>
      <c r="B600" s="23" t="str">
        <f>'3.3.raw'!M589</f>
        <v>PLc1071</v>
      </c>
      <c r="C600" s="24">
        <f>datevalue(left('3.3.raw'!O589,10))</f>
        <v>43777</v>
      </c>
      <c r="D600" s="23">
        <f>'3.3.raw'!I589</f>
        <v>11</v>
      </c>
      <c r="E600" s="23" t="str">
        <f>'3.3.raw'!J589</f>
        <v/>
      </c>
      <c r="F600" s="23" t="str">
        <f>'3.3.raw'!K589</f>
        <v/>
      </c>
      <c r="G600" s="1">
        <v>3.30000000000006</v>
      </c>
      <c r="H600" s="23" t="b">
        <f>if(countif(Status!C:C,A600)=1,TRUE, FALSE)</f>
        <v>1</v>
      </c>
    </row>
    <row r="601">
      <c r="A601" s="23" t="str">
        <f t="shared" si="13"/>
        <v>FB1122</v>
      </c>
      <c r="B601" s="23" t="str">
        <f>'3.3.raw'!M590</f>
        <v>FB1122</v>
      </c>
      <c r="C601" s="24">
        <f>datevalue(left('3.3.raw'!O590,10))</f>
        <v>43777</v>
      </c>
      <c r="D601" s="23">
        <f>'3.3.raw'!I590</f>
        <v>99</v>
      </c>
      <c r="E601" s="23" t="str">
        <f>'3.3.raw'!J590</f>
        <v/>
      </c>
      <c r="F601" s="23" t="str">
        <f>'3.3.raw'!K590</f>
        <v/>
      </c>
      <c r="G601" s="1">
        <v>3.30000000000006</v>
      </c>
      <c r="H601" s="23" t="b">
        <f>if(countif(Status!C:C,A601)=1,TRUE, FALSE)</f>
        <v>1</v>
      </c>
    </row>
    <row r="602">
      <c r="A602" s="23" t="str">
        <f t="shared" si="13"/>
        <v>PLc1072</v>
      </c>
      <c r="B602" s="23" t="str">
        <f>'3.3.raw'!M591</f>
        <v>PLc1072</v>
      </c>
      <c r="C602" s="24">
        <f>datevalue(left('3.3.raw'!O591,10))</f>
        <v>43777</v>
      </c>
      <c r="D602" s="23">
        <f>'3.3.raw'!I591</f>
        <v>11</v>
      </c>
      <c r="E602" s="23" t="str">
        <f>'3.3.raw'!J591</f>
        <v/>
      </c>
      <c r="F602" s="23" t="str">
        <f>'3.3.raw'!K591</f>
        <v/>
      </c>
      <c r="G602" s="1">
        <v>3.30000000000006</v>
      </c>
      <c r="H602" s="23" t="b">
        <f>if(countif(Status!C:C,A602)=1,TRUE, FALSE)</f>
        <v>1</v>
      </c>
    </row>
    <row r="603">
      <c r="A603" s="23" t="str">
        <f t="shared" si="13"/>
        <v>FB1123UP</v>
      </c>
      <c r="B603" s="23" t="str">
        <f>'3.3.raw'!M592</f>
        <v>FB1123UP</v>
      </c>
      <c r="C603" s="24">
        <f>datevalue(left('3.3.raw'!O592,10))</f>
        <v>43777</v>
      </c>
      <c r="D603" s="23">
        <f>'3.3.raw'!I592</f>
        <v>99</v>
      </c>
      <c r="E603" s="23" t="str">
        <f>'3.3.raw'!J592</f>
        <v/>
      </c>
      <c r="F603" s="23" t="str">
        <f>'3.3.raw'!K592</f>
        <v/>
      </c>
      <c r="G603" s="1">
        <v>3.30000000000006</v>
      </c>
      <c r="H603" s="23" t="b">
        <f>if(countif(Status!C:C,A603)=1,TRUE, FALSE)</f>
        <v>1</v>
      </c>
    </row>
    <row r="604">
      <c r="A604" s="23" t="str">
        <f t="shared" si="13"/>
        <v>UPNC45</v>
      </c>
      <c r="B604" s="23" t="str">
        <f>'3.3.raw'!M593</f>
        <v>UPNC45</v>
      </c>
      <c r="C604" s="24">
        <f>datevalue(left('3.3.raw'!O593,10))</f>
        <v>43777</v>
      </c>
      <c r="D604" s="23">
        <f>'3.3.raw'!I593</f>
        <v>98</v>
      </c>
      <c r="E604" s="23" t="str">
        <f>'3.3.raw'!J593</f>
        <v/>
      </c>
      <c r="F604" s="23" t="str">
        <f>'3.3.raw'!K593</f>
        <v/>
      </c>
      <c r="G604" s="1">
        <v>3.30000000000006</v>
      </c>
      <c r="H604" s="23" t="b">
        <f>if(countif(Status!C:C,A604)=1,TRUE, FALSE)</f>
        <v>1</v>
      </c>
    </row>
    <row r="605">
      <c r="A605" s="23" t="str">
        <f t="shared" si="13"/>
        <v>COa1006</v>
      </c>
      <c r="B605" s="23" t="str">
        <f>'3.3.raw'!M594</f>
        <v>COa1006</v>
      </c>
      <c r="C605" s="24">
        <f>datevalue(left('3.3.raw'!O594,10))</f>
        <v>43780</v>
      </c>
      <c r="D605" s="23">
        <f>'3.3.raw'!I594</f>
        <v>15</v>
      </c>
      <c r="E605" s="23" t="str">
        <f>'3.3.raw'!J594</f>
        <v/>
      </c>
      <c r="F605" s="23">
        <f>'3.3.raw'!K594</f>
        <v>151</v>
      </c>
      <c r="G605" s="1">
        <v>3.30000000000006</v>
      </c>
      <c r="H605" s="23" t="b">
        <f>if(countif(Status!C:C,A605)=1,TRUE, FALSE)</f>
        <v>1</v>
      </c>
    </row>
    <row r="606">
      <c r="A606" s="23" t="str">
        <f t="shared" si="13"/>
        <v>COb1017</v>
      </c>
      <c r="B606" s="23" t="str">
        <f>'3.3.raw'!M595</f>
        <v>COb1017</v>
      </c>
      <c r="C606" s="24">
        <f>datevalue(left('3.3.raw'!O595,10))</f>
        <v>43780</v>
      </c>
      <c r="D606" s="23">
        <f>'3.3.raw'!I595</f>
        <v>15</v>
      </c>
      <c r="E606" s="23" t="str">
        <f>'3.3.raw'!J595</f>
        <v/>
      </c>
      <c r="F606" s="23">
        <f>'3.3.raw'!K595</f>
        <v>152</v>
      </c>
      <c r="G606" s="1">
        <v>3.30000000000006</v>
      </c>
      <c r="H606" s="23" t="b">
        <f>if(countif(Status!C:C,A606)=1,TRUE, FALSE)</f>
        <v>1</v>
      </c>
    </row>
    <row r="607">
      <c r="A607" s="23" t="str">
        <f t="shared" si="13"/>
        <v>COb1018</v>
      </c>
      <c r="B607" s="23" t="str">
        <f>'3.3.raw'!M596</f>
        <v>COb1018</v>
      </c>
      <c r="C607" s="24">
        <f>datevalue(left('3.3.raw'!O596,10))</f>
        <v>43780</v>
      </c>
      <c r="D607" s="23">
        <f>'3.3.raw'!I596</f>
        <v>15</v>
      </c>
      <c r="E607" s="23" t="str">
        <f>'3.3.raw'!J596</f>
        <v/>
      </c>
      <c r="F607" s="23">
        <f>'3.3.raw'!K596</f>
        <v>152</v>
      </c>
      <c r="G607" s="1">
        <v>3.30000000000006</v>
      </c>
      <c r="H607" s="23" t="b">
        <f>if(countif(Status!C:C,A607)=1,TRUE, FALSE)</f>
        <v>1</v>
      </c>
    </row>
    <row r="608">
      <c r="A608" s="23" t="str">
        <f t="shared" si="13"/>
        <v>COb1019</v>
      </c>
      <c r="B608" s="23" t="str">
        <f>'3.3.raw'!M597</f>
        <v>COb1019</v>
      </c>
      <c r="C608" s="24">
        <f>datevalue(left('3.3.raw'!O597,10))</f>
        <v>43780</v>
      </c>
      <c r="D608" s="23">
        <f>'3.3.raw'!I597</f>
        <v>15</v>
      </c>
      <c r="E608" s="23" t="str">
        <f>'3.3.raw'!J597</f>
        <v/>
      </c>
      <c r="F608" s="23">
        <f>'3.3.raw'!K597</f>
        <v>152</v>
      </c>
      <c r="G608" s="1">
        <v>3.30000000000006</v>
      </c>
      <c r="H608" s="23" t="b">
        <f>if(countif(Status!C:C,A608)=1,TRUE, FALSE)</f>
        <v>1</v>
      </c>
    </row>
    <row r="609">
      <c r="A609" s="23" t="str">
        <f t="shared" si="13"/>
        <v>PLc1073</v>
      </c>
      <c r="B609" s="23" t="str">
        <f>'3.3.raw'!M598</f>
        <v>PLc1073</v>
      </c>
      <c r="C609" s="24">
        <f>datevalue(left('3.3.raw'!O598,10))</f>
        <v>43780</v>
      </c>
      <c r="D609" s="23">
        <f>'3.3.raw'!I598</f>
        <v>11</v>
      </c>
      <c r="E609" s="23" t="str">
        <f>'3.3.raw'!J598</f>
        <v/>
      </c>
      <c r="F609" s="23" t="str">
        <f>'3.3.raw'!K598</f>
        <v/>
      </c>
      <c r="G609" s="1">
        <v>3.30000000000006</v>
      </c>
      <c r="H609" s="23" t="b">
        <f>if(countif(Status!C:C,A609)=1,TRUE, FALSE)</f>
        <v>1</v>
      </c>
    </row>
    <row r="610">
      <c r="A610" s="23" t="str">
        <f t="shared" si="13"/>
        <v>PLc1074</v>
      </c>
      <c r="B610" s="23" t="str">
        <f>'3.3.raw'!M599</f>
        <v>PLc1074</v>
      </c>
      <c r="C610" s="24">
        <f>datevalue(left('3.3.raw'!O599,10))</f>
        <v>43780</v>
      </c>
      <c r="D610" s="23">
        <f>'3.3.raw'!I599</f>
        <v>11</v>
      </c>
      <c r="E610" s="23" t="str">
        <f>'3.3.raw'!J599</f>
        <v/>
      </c>
      <c r="F610" s="23" t="str">
        <f>'3.3.raw'!K599</f>
        <v/>
      </c>
      <c r="G610" s="1">
        <v>3.30000000000006</v>
      </c>
      <c r="H610" s="23" t="b">
        <f>if(countif(Status!C:C,A610)=1,TRUE, FALSE)</f>
        <v>1</v>
      </c>
    </row>
    <row r="611">
      <c r="A611" s="23" t="str">
        <f t="shared" si="13"/>
        <v>PLc1075</v>
      </c>
      <c r="B611" s="23" t="str">
        <f>'3.3.raw'!M600</f>
        <v>PLc1075</v>
      </c>
      <c r="C611" s="24">
        <f>datevalue(left('3.3.raw'!O600,10))</f>
        <v>43780</v>
      </c>
      <c r="D611" s="23">
        <f>'3.3.raw'!I600</f>
        <v>11</v>
      </c>
      <c r="E611" s="23" t="str">
        <f>'3.3.raw'!J600</f>
        <v/>
      </c>
      <c r="F611" s="23" t="str">
        <f>'3.3.raw'!K600</f>
        <v/>
      </c>
      <c r="G611" s="1">
        <v>3.30000000000006</v>
      </c>
      <c r="H611" s="23" t="b">
        <f>if(countif(Status!C:C,A611)=1,TRUE, FALSE)</f>
        <v>1</v>
      </c>
    </row>
    <row r="612">
      <c r="A612" s="23" t="str">
        <f t="shared" si="13"/>
        <v>FB1129UP</v>
      </c>
      <c r="B612" s="23" t="str">
        <f>'3.3.raw'!M601</f>
        <v>FB1129UP</v>
      </c>
      <c r="C612" s="24">
        <f>datevalue(left('3.3.raw'!O601,10))</f>
        <v>43780</v>
      </c>
      <c r="D612" s="23">
        <f>'3.3.raw'!I601</f>
        <v>99</v>
      </c>
      <c r="E612" s="23" t="str">
        <f>'3.3.raw'!J601</f>
        <v/>
      </c>
      <c r="F612" s="23" t="str">
        <f>'3.3.raw'!K601</f>
        <v/>
      </c>
      <c r="G612" s="1">
        <v>3.30000000000006</v>
      </c>
      <c r="H612" s="23" t="b">
        <f>if(countif(Status!C:C,A612)=1,TRUE, FALSE)</f>
        <v>1</v>
      </c>
    </row>
    <row r="613">
      <c r="A613" s="23" t="str">
        <f t="shared" si="13"/>
        <v>UPNC46</v>
      </c>
      <c r="B613" s="23" t="str">
        <f>'3.3.raw'!M602</f>
        <v>UPNC46</v>
      </c>
      <c r="C613" s="24">
        <f>datevalue(left('3.3.raw'!O602,10))</f>
        <v>43780</v>
      </c>
      <c r="D613" s="23">
        <f>'3.3.raw'!I602</f>
        <v>98</v>
      </c>
      <c r="E613" s="23" t="str">
        <f>'3.3.raw'!J602</f>
        <v/>
      </c>
      <c r="F613" s="23" t="str">
        <f>'3.3.raw'!K602</f>
        <v/>
      </c>
      <c r="G613" s="1">
        <v>3.30000000000006</v>
      </c>
      <c r="H613" s="23" t="b">
        <f>if(countif(Status!C:C,A613)=1,TRUE, FALSE)</f>
        <v>1</v>
      </c>
    </row>
    <row r="614">
      <c r="A614" s="23" t="str">
        <f t="shared" si="13"/>
        <v>MO1116</v>
      </c>
      <c r="B614" s="23" t="str">
        <f>'3.3.raw'!M603</f>
        <v>MO1116</v>
      </c>
      <c r="C614" s="24">
        <f>datevalue(left('3.3.raw'!O603,10))</f>
        <v>43784</v>
      </c>
      <c r="D614" s="23">
        <f>'3.3.raw'!I603</f>
        <v>12</v>
      </c>
      <c r="E614" s="23" t="str">
        <f>'3.3.raw'!J603</f>
        <v/>
      </c>
      <c r="F614" s="23" t="str">
        <f>'3.3.raw'!K603</f>
        <v/>
      </c>
      <c r="G614" s="1">
        <v>3.30000000000006</v>
      </c>
      <c r="H614" s="23" t="b">
        <f>if(countif(Status!C:C,A614)=1,TRUE, FALSE)</f>
        <v>1</v>
      </c>
    </row>
    <row r="615">
      <c r="A615" s="23" t="str">
        <f t="shared" si="13"/>
        <v>MO1117</v>
      </c>
      <c r="B615" s="23" t="str">
        <f>'3.3.raw'!M604</f>
        <v>MO1117</v>
      </c>
      <c r="C615" s="24">
        <f>datevalue(left('3.3.raw'!O604,10))</f>
        <v>43784</v>
      </c>
      <c r="D615" s="23">
        <f>'3.3.raw'!I604</f>
        <v>12</v>
      </c>
      <c r="E615" s="23" t="str">
        <f>'3.3.raw'!J604</f>
        <v/>
      </c>
      <c r="F615" s="23" t="str">
        <f>'3.3.raw'!K604</f>
        <v/>
      </c>
      <c r="G615" s="1">
        <v>3.30000000000006</v>
      </c>
      <c r="H615" s="23" t="b">
        <f>if(countif(Status!C:C,A615)=1,TRUE, FALSE)</f>
        <v>1</v>
      </c>
    </row>
    <row r="616">
      <c r="A616" s="23" t="str">
        <f t="shared" si="13"/>
        <v>FB1131UP</v>
      </c>
      <c r="B616" s="23" t="str">
        <f>'3.3.raw'!M605</f>
        <v>FB1131UP</v>
      </c>
      <c r="C616" s="24">
        <f>datevalue(left('3.3.raw'!O605,10))</f>
        <v>43784</v>
      </c>
      <c r="D616" s="23">
        <f>'3.3.raw'!I605</f>
        <v>99</v>
      </c>
      <c r="E616" s="23" t="str">
        <f>'3.3.raw'!J605</f>
        <v/>
      </c>
      <c r="F616" s="23" t="str">
        <f>'3.3.raw'!K605</f>
        <v/>
      </c>
      <c r="G616" s="1">
        <v>3.30000000000006</v>
      </c>
      <c r="H616" s="23" t="b">
        <f>if(countif(Status!C:C,A616)=1,TRUE, FALSE)</f>
        <v>1</v>
      </c>
    </row>
    <row r="617">
      <c r="A617" s="23" t="str">
        <f t="shared" si="13"/>
        <v>PLc1076</v>
      </c>
      <c r="B617" s="23" t="str">
        <f>'3.3.raw'!M606</f>
        <v>PLc1076</v>
      </c>
      <c r="C617" s="24">
        <f>datevalue(left('3.3.raw'!O606,10))</f>
        <v>43785</v>
      </c>
      <c r="D617" s="23">
        <f>'3.3.raw'!I606</f>
        <v>11</v>
      </c>
      <c r="E617" s="23" t="str">
        <f>'3.3.raw'!J606</f>
        <v/>
      </c>
      <c r="F617" s="23" t="str">
        <f>'3.3.raw'!K606</f>
        <v/>
      </c>
      <c r="G617" s="1">
        <v>3.30000000000006</v>
      </c>
      <c r="H617" s="23" t="b">
        <f>if(countif(Status!C:C,A617)=1,TRUE, FALSE)</f>
        <v>1</v>
      </c>
    </row>
    <row r="618">
      <c r="A618" s="23" t="str">
        <f t="shared" si="13"/>
        <v>PLc1077</v>
      </c>
      <c r="B618" s="23" t="str">
        <f>'3.3.raw'!M607</f>
        <v>PLc1077</v>
      </c>
      <c r="C618" s="24">
        <f>datevalue(left('3.3.raw'!O607,10))</f>
        <v>43785</v>
      </c>
      <c r="D618" s="23">
        <f>'3.3.raw'!I607</f>
        <v>11</v>
      </c>
      <c r="E618" s="23" t="str">
        <f>'3.3.raw'!J607</f>
        <v/>
      </c>
      <c r="F618" s="23" t="str">
        <f>'3.3.raw'!K607</f>
        <v/>
      </c>
      <c r="G618" s="1">
        <v>3.30000000000006</v>
      </c>
      <c r="H618" s="23" t="b">
        <f>if(countif(Status!C:C,A618)=1,TRUE, FALSE)</f>
        <v>1</v>
      </c>
    </row>
    <row r="619">
      <c r="A619" s="23" t="str">
        <f t="shared" si="13"/>
        <v>PLc1078</v>
      </c>
      <c r="B619" s="23" t="str">
        <f>'3.3.raw'!M608</f>
        <v>PLc1078</v>
      </c>
      <c r="C619" s="24">
        <f>datevalue(left('3.3.raw'!O608,10))</f>
        <v>43785</v>
      </c>
      <c r="D619" s="23">
        <f>'3.3.raw'!I608</f>
        <v>11</v>
      </c>
      <c r="E619" s="23" t="str">
        <f>'3.3.raw'!J608</f>
        <v/>
      </c>
      <c r="F619" s="23" t="str">
        <f>'3.3.raw'!K608</f>
        <v/>
      </c>
      <c r="G619" s="1">
        <v>3.30000000000006</v>
      </c>
      <c r="H619" s="23" t="b">
        <f>if(countif(Status!C:C,A619)=1,TRUE, FALSE)</f>
        <v>1</v>
      </c>
    </row>
    <row r="620">
      <c r="A620" s="23" t="str">
        <f t="shared" si="13"/>
        <v>PLc1079</v>
      </c>
      <c r="B620" s="23" t="str">
        <f>'3.3.raw'!M609</f>
        <v>PLc1079</v>
      </c>
      <c r="C620" s="24">
        <f>datevalue(left('3.3.raw'!O609,10))</f>
        <v>43785</v>
      </c>
      <c r="D620" s="23">
        <f>'3.3.raw'!I609</f>
        <v>11</v>
      </c>
      <c r="E620" s="23" t="str">
        <f>'3.3.raw'!J609</f>
        <v/>
      </c>
      <c r="F620" s="23" t="str">
        <f>'3.3.raw'!K609</f>
        <v/>
      </c>
      <c r="G620" s="1">
        <v>3.30000000000006</v>
      </c>
      <c r="H620" s="23" t="b">
        <f>if(countif(Status!C:C,A620)=1,TRUE, FALSE)</f>
        <v>1</v>
      </c>
    </row>
    <row r="621">
      <c r="A621" s="23" t="str">
        <f t="shared" si="13"/>
        <v>PLc1080</v>
      </c>
      <c r="B621" s="23" t="str">
        <f>'3.3.raw'!M610</f>
        <v>PLc1080</v>
      </c>
      <c r="C621" s="24">
        <f>datevalue(left('3.3.raw'!O610,10))</f>
        <v>43785</v>
      </c>
      <c r="D621" s="23">
        <f>'3.3.raw'!I610</f>
        <v>11</v>
      </c>
      <c r="E621" s="23" t="str">
        <f>'3.3.raw'!J610</f>
        <v/>
      </c>
      <c r="F621" s="23" t="str">
        <f>'3.3.raw'!K610</f>
        <v/>
      </c>
      <c r="G621" s="1">
        <v>3.30000000000006</v>
      </c>
      <c r="H621" s="23" t="b">
        <f>if(countif(Status!C:C,A621)=1,TRUE, FALSE)</f>
        <v>1</v>
      </c>
    </row>
    <row r="622">
      <c r="A622" s="23" t="str">
        <f t="shared" si="13"/>
        <v>FB1136UP</v>
      </c>
      <c r="B622" s="23" t="str">
        <f>'3.3.raw'!M611</f>
        <v>FB1136UP</v>
      </c>
      <c r="C622" s="24">
        <f>datevalue(left('3.3.raw'!O611,10))</f>
        <v>43785</v>
      </c>
      <c r="D622" s="23">
        <f>'3.3.raw'!I611</f>
        <v>99</v>
      </c>
      <c r="E622" s="23" t="str">
        <f>'3.3.raw'!J611</f>
        <v/>
      </c>
      <c r="F622" s="23" t="str">
        <f>'3.3.raw'!K611</f>
        <v/>
      </c>
      <c r="G622" s="1">
        <v>3.30000000000006</v>
      </c>
      <c r="H622" s="23" t="b">
        <f>if(countif(Status!C:C,A622)=1,TRUE, FALSE)</f>
        <v>1</v>
      </c>
    </row>
    <row r="623">
      <c r="A623" s="23" t="str">
        <f t="shared" si="13"/>
        <v>FPd1005</v>
      </c>
      <c r="B623" s="23" t="str">
        <f>'3.3.raw'!M612</f>
        <v>FPd1005</v>
      </c>
      <c r="C623" s="24">
        <f>datevalue(left('3.3.raw'!O612,10))</f>
        <v>43785</v>
      </c>
      <c r="D623" s="23">
        <f>'3.3.raw'!I612</f>
        <v>14</v>
      </c>
      <c r="E623" s="23">
        <f>'3.3.raw'!J612</f>
        <v>144</v>
      </c>
      <c r="F623" s="23" t="str">
        <f>'3.3.raw'!K612</f>
        <v/>
      </c>
      <c r="G623" s="1">
        <v>3.30000000000006</v>
      </c>
      <c r="H623" s="23" t="b">
        <f>if(countif(Status!C:C,A623)=1,TRUE, FALSE)</f>
        <v>1</v>
      </c>
    </row>
    <row r="624">
      <c r="A624" s="23" t="str">
        <f t="shared" si="13"/>
        <v>FPb1005</v>
      </c>
      <c r="B624" s="23" t="str">
        <f>'3.3.raw'!M613</f>
        <v>FPb1005</v>
      </c>
      <c r="C624" s="24">
        <f>datevalue(left('3.3.raw'!O613,10))</f>
        <v>43785</v>
      </c>
      <c r="D624" s="23">
        <f>'3.3.raw'!I613</f>
        <v>14</v>
      </c>
      <c r="E624" s="23">
        <f>'3.3.raw'!J613</f>
        <v>142</v>
      </c>
      <c r="F624" s="23" t="str">
        <f>'3.3.raw'!K613</f>
        <v/>
      </c>
      <c r="G624" s="1">
        <v>3.30000000000006</v>
      </c>
      <c r="H624" s="23" t="b">
        <f>if(countif(Status!C:C,A624)=1,TRUE, FALSE)</f>
        <v>1</v>
      </c>
    </row>
    <row r="625">
      <c r="A625" s="23" t="str">
        <f t="shared" si="13"/>
        <v>FPe1005</v>
      </c>
      <c r="B625" s="23" t="str">
        <f>'3.3.raw'!M614</f>
        <v>FPe1005</v>
      </c>
      <c r="C625" s="24">
        <f>datevalue(left('3.3.raw'!O614,10))</f>
        <v>43785</v>
      </c>
      <c r="D625" s="23">
        <f>'3.3.raw'!I614</f>
        <v>14</v>
      </c>
      <c r="E625" s="23">
        <f>'3.3.raw'!J614</f>
        <v>145</v>
      </c>
      <c r="F625" s="23" t="str">
        <f>'3.3.raw'!K614</f>
        <v/>
      </c>
      <c r="G625" s="1">
        <v>3.30000000000006</v>
      </c>
      <c r="H625" s="23" t="b">
        <f>if(countif(Status!C:C,A625)=1,TRUE, FALSE)</f>
        <v>1</v>
      </c>
    </row>
    <row r="626">
      <c r="A626" s="23" t="str">
        <f t="shared" si="13"/>
        <v>FPa1005</v>
      </c>
      <c r="B626" s="23" t="str">
        <f>'3.3.raw'!M615</f>
        <v>FPa1005</v>
      </c>
      <c r="C626" s="24">
        <f>datevalue(left('3.3.raw'!O615,10))</f>
        <v>43785</v>
      </c>
      <c r="D626" s="23">
        <f>'3.3.raw'!I615</f>
        <v>14</v>
      </c>
      <c r="E626" s="23">
        <f>'3.3.raw'!J615</f>
        <v>141</v>
      </c>
      <c r="F626" s="23" t="str">
        <f>'3.3.raw'!K615</f>
        <v/>
      </c>
      <c r="G626" s="1">
        <v>3.30000000000006</v>
      </c>
      <c r="H626" s="23" t="b">
        <f>if(countif(Status!C:C,A626)=1,TRUE, FALSE)</f>
        <v>1</v>
      </c>
    </row>
    <row r="627">
      <c r="A627" s="23" t="str">
        <f t="shared" si="13"/>
        <v>FPc1005</v>
      </c>
      <c r="B627" s="23" t="str">
        <f>'3.3.raw'!M616</f>
        <v>FPc1005</v>
      </c>
      <c r="C627" s="24">
        <f>datevalue(left('3.3.raw'!O616,10))</f>
        <v>43785</v>
      </c>
      <c r="D627" s="23">
        <f>'3.3.raw'!I616</f>
        <v>14</v>
      </c>
      <c r="E627" s="23">
        <f>'3.3.raw'!J616</f>
        <v>143</v>
      </c>
      <c r="F627" s="23" t="str">
        <f>'3.3.raw'!K616</f>
        <v/>
      </c>
      <c r="G627" s="1">
        <v>3.30000000000006</v>
      </c>
      <c r="H627" s="23" t="b">
        <f>if(countif(Status!C:C,A627)=1,TRUE, FALSE)</f>
        <v>1</v>
      </c>
    </row>
    <row r="628">
      <c r="A628" s="23" t="str">
        <f t="shared" si="13"/>
        <v>UPNC47</v>
      </c>
      <c r="B628" s="23" t="str">
        <f>'3.3.raw'!M617</f>
        <v>UPNC47</v>
      </c>
      <c r="C628" s="24">
        <f>datevalue(left('3.3.raw'!O617,10))</f>
        <v>43785</v>
      </c>
      <c r="D628" s="23">
        <f>'3.3.raw'!I617</f>
        <v>98</v>
      </c>
      <c r="E628" s="23" t="str">
        <f>'3.3.raw'!J617</f>
        <v/>
      </c>
      <c r="F628" s="23" t="str">
        <f>'3.3.raw'!K617</f>
        <v/>
      </c>
      <c r="G628" s="1">
        <v>3.30000000000006</v>
      </c>
      <c r="H628" s="23" t="b">
        <f>if(countif(Status!C:C,A628)=1,TRUE, FALSE)</f>
        <v>1</v>
      </c>
    </row>
    <row r="629">
      <c r="A629" s="23" t="str">
        <f t="shared" si="13"/>
        <v>PLc1081</v>
      </c>
      <c r="B629" s="23" t="str">
        <f>'3.3.raw'!M618</f>
        <v>PLc1081</v>
      </c>
      <c r="C629" s="24">
        <f>datevalue(left('3.3.raw'!O618,10))</f>
        <v>43789</v>
      </c>
      <c r="D629" s="23">
        <f>'3.3.raw'!I618</f>
        <v>11</v>
      </c>
      <c r="E629" s="23" t="str">
        <f>'3.3.raw'!J618</f>
        <v/>
      </c>
      <c r="F629" s="23" t="str">
        <f>'3.3.raw'!K618</f>
        <v/>
      </c>
      <c r="G629" s="1">
        <v>3.30000000000006</v>
      </c>
      <c r="H629" s="23" t="b">
        <f>if(countif(Status!C:C,A629)=1,TRUE, FALSE)</f>
        <v>1</v>
      </c>
    </row>
    <row r="630">
      <c r="A630" s="23" t="str">
        <f t="shared" si="13"/>
        <v>FB1138</v>
      </c>
      <c r="B630" s="23" t="str">
        <f>'3.3.raw'!M619</f>
        <v>FB1138</v>
      </c>
      <c r="C630" s="24">
        <f>datevalue(left('3.3.raw'!O619,10))</f>
        <v>43789</v>
      </c>
      <c r="D630" s="23">
        <f>'3.3.raw'!I619</f>
        <v>99</v>
      </c>
      <c r="E630" s="23" t="str">
        <f>'3.3.raw'!J619</f>
        <v/>
      </c>
      <c r="F630" s="23" t="str">
        <f>'3.3.raw'!K619</f>
        <v/>
      </c>
      <c r="G630" s="1">
        <v>3.30000000000006</v>
      </c>
      <c r="H630" s="23" t="b">
        <f>if(countif(Status!C:C,A630)=1,TRUE, FALSE)</f>
        <v>1</v>
      </c>
    </row>
    <row r="631">
      <c r="A631" s="23" t="str">
        <f t="shared" si="13"/>
        <v>PLc1082</v>
      </c>
      <c r="B631" s="23" t="str">
        <f>'3.3.raw'!M620</f>
        <v>PLc1082</v>
      </c>
      <c r="C631" s="24">
        <f>datevalue(left('3.3.raw'!O620,10))</f>
        <v>43789</v>
      </c>
      <c r="D631" s="23">
        <f>'3.3.raw'!I620</f>
        <v>11</v>
      </c>
      <c r="E631" s="23" t="str">
        <f>'3.3.raw'!J620</f>
        <v/>
      </c>
      <c r="F631" s="23" t="str">
        <f>'3.3.raw'!K620</f>
        <v/>
      </c>
      <c r="G631" s="1">
        <v>3.30000000000006</v>
      </c>
      <c r="H631" s="23" t="b">
        <f>if(countif(Status!C:C,A631)=1,TRUE, FALSE)</f>
        <v>1</v>
      </c>
    </row>
    <row r="632">
      <c r="A632" s="23" t="str">
        <f t="shared" si="13"/>
        <v>PLc1083</v>
      </c>
      <c r="B632" s="23" t="str">
        <f>'3.3.raw'!M621</f>
        <v>PLc1083</v>
      </c>
      <c r="C632" s="24">
        <f>datevalue(left('3.3.raw'!O621,10))</f>
        <v>43789</v>
      </c>
      <c r="D632" s="23">
        <f>'3.3.raw'!I621</f>
        <v>11</v>
      </c>
      <c r="E632" s="23" t="str">
        <f>'3.3.raw'!J621</f>
        <v/>
      </c>
      <c r="F632" s="23" t="str">
        <f>'3.3.raw'!K621</f>
        <v/>
      </c>
      <c r="G632" s="1">
        <v>3.30000000000006</v>
      </c>
      <c r="H632" s="23" t="b">
        <f>if(countif(Status!C:C,A632)=1,TRUE, FALSE)</f>
        <v>1</v>
      </c>
    </row>
    <row r="633">
      <c r="A633" s="23" t="str">
        <f t="shared" si="13"/>
        <v>PLc1084</v>
      </c>
      <c r="B633" s="23" t="str">
        <f>'3.3.raw'!M622</f>
        <v>PLc1084</v>
      </c>
      <c r="C633" s="24">
        <f>datevalue(left('3.3.raw'!O622,10))</f>
        <v>43789</v>
      </c>
      <c r="D633" s="23">
        <f>'3.3.raw'!I622</f>
        <v>11</v>
      </c>
      <c r="E633" s="23" t="str">
        <f>'3.3.raw'!J622</f>
        <v/>
      </c>
      <c r="F633" s="23" t="str">
        <f>'3.3.raw'!K622</f>
        <v/>
      </c>
      <c r="G633" s="1">
        <v>3.30000000000006</v>
      </c>
      <c r="H633" s="23" t="b">
        <f>if(countif(Status!C:C,A633)=1,TRUE, FALSE)</f>
        <v>1</v>
      </c>
    </row>
    <row r="634">
      <c r="A634" s="23" t="str">
        <f t="shared" si="13"/>
        <v>PLc1085</v>
      </c>
      <c r="B634" s="23" t="str">
        <f>'3.3.raw'!M623</f>
        <v>PLc1085</v>
      </c>
      <c r="C634" s="24">
        <f>datevalue(left('3.3.raw'!O623,10))</f>
        <v>43789</v>
      </c>
      <c r="D634" s="23">
        <f>'3.3.raw'!I623</f>
        <v>11</v>
      </c>
      <c r="E634" s="23" t="str">
        <f>'3.3.raw'!J623</f>
        <v/>
      </c>
      <c r="F634" s="23" t="str">
        <f>'3.3.raw'!K623</f>
        <v/>
      </c>
      <c r="G634" s="1">
        <v>3.30000000000006</v>
      </c>
      <c r="H634" s="23" t="b">
        <f>if(countif(Status!C:C,A634)=1,TRUE, FALSE)</f>
        <v>1</v>
      </c>
    </row>
    <row r="635">
      <c r="A635" s="23" t="str">
        <f t="shared" si="13"/>
        <v>PLc1086</v>
      </c>
      <c r="B635" s="23" t="str">
        <f>'3.3.raw'!M624</f>
        <v>PLc1086</v>
      </c>
      <c r="C635" s="24">
        <f>datevalue(left('3.3.raw'!O624,10))</f>
        <v>43789</v>
      </c>
      <c r="D635" s="23">
        <f>'3.3.raw'!I624</f>
        <v>11</v>
      </c>
      <c r="E635" s="23" t="str">
        <f>'3.3.raw'!J624</f>
        <v/>
      </c>
      <c r="F635" s="23" t="str">
        <f>'3.3.raw'!K624</f>
        <v/>
      </c>
      <c r="G635" s="1">
        <v>3.30000000000006</v>
      </c>
      <c r="H635" s="23" t="b">
        <f>if(countif(Status!C:C,A635)=1,TRUE, FALSE)</f>
        <v>1</v>
      </c>
    </row>
    <row r="636">
      <c r="A636" s="23" t="str">
        <f t="shared" si="13"/>
        <v>PLc1087</v>
      </c>
      <c r="B636" s="23" t="str">
        <f>'3.3.raw'!M625</f>
        <v>PLc1087</v>
      </c>
      <c r="C636" s="24">
        <f>datevalue(left('3.3.raw'!O625,10))</f>
        <v>43789</v>
      </c>
      <c r="D636" s="23">
        <f>'3.3.raw'!I625</f>
        <v>11</v>
      </c>
      <c r="E636" s="23" t="str">
        <f>'3.3.raw'!J625</f>
        <v/>
      </c>
      <c r="F636" s="23" t="str">
        <f>'3.3.raw'!K625</f>
        <v/>
      </c>
      <c r="G636" s="1">
        <v>3.30000000000006</v>
      </c>
      <c r="H636" s="23" t="b">
        <f>if(countif(Status!C:C,A636)=1,TRUE, FALSE)</f>
        <v>1</v>
      </c>
    </row>
    <row r="637">
      <c r="A637" s="23" t="str">
        <f t="shared" si="13"/>
        <v>MO1118</v>
      </c>
      <c r="B637" s="23" t="str">
        <f>'3.3.raw'!M626</f>
        <v>MO1118</v>
      </c>
      <c r="C637" s="24">
        <f>datevalue(left('3.3.raw'!O626,10))</f>
        <v>43789</v>
      </c>
      <c r="D637" s="23">
        <f>'3.3.raw'!I626</f>
        <v>12</v>
      </c>
      <c r="E637" s="23" t="str">
        <f>'3.3.raw'!J626</f>
        <v/>
      </c>
      <c r="F637" s="23" t="str">
        <f>'3.3.raw'!K626</f>
        <v/>
      </c>
      <c r="G637" s="1">
        <v>3.30000000000006</v>
      </c>
      <c r="H637" s="23" t="b">
        <f>if(countif(Status!C:C,A637)=1,TRUE, FALSE)</f>
        <v>1</v>
      </c>
    </row>
    <row r="638">
      <c r="A638" s="23" t="str">
        <f t="shared" si="13"/>
        <v>FB1145</v>
      </c>
      <c r="B638" s="23" t="str">
        <f>'3.3.raw'!M627</f>
        <v>FB1145</v>
      </c>
      <c r="C638" s="24">
        <f>datevalue(left('3.3.raw'!O627,10))</f>
        <v>43789</v>
      </c>
      <c r="D638" s="23">
        <f>'3.3.raw'!I627</f>
        <v>99</v>
      </c>
      <c r="E638" s="23" t="str">
        <f>'3.3.raw'!J627</f>
        <v/>
      </c>
      <c r="F638" s="23" t="str">
        <f>'3.3.raw'!K627</f>
        <v/>
      </c>
      <c r="G638" s="1">
        <v>3.30000000000006</v>
      </c>
      <c r="H638" s="23" t="b">
        <f>if(countif(Status!C:C,A638)=1,TRUE, FALSE)</f>
        <v>1</v>
      </c>
    </row>
    <row r="639">
      <c r="A639" s="23" t="str">
        <f t="shared" si="13"/>
        <v>MO1119</v>
      </c>
      <c r="B639" s="23" t="str">
        <f>'3.3.raw'!M628</f>
        <v>MO1119</v>
      </c>
      <c r="C639" s="24">
        <f>datevalue(left('3.3.raw'!O628,10))</f>
        <v>43789</v>
      </c>
      <c r="D639" s="23">
        <f>'3.3.raw'!I628</f>
        <v>12</v>
      </c>
      <c r="E639" s="23" t="str">
        <f>'3.3.raw'!J628</f>
        <v/>
      </c>
      <c r="F639" s="23" t="str">
        <f>'3.3.raw'!K628</f>
        <v/>
      </c>
      <c r="G639" s="1">
        <v>3.30000000000007</v>
      </c>
      <c r="H639" s="23" t="b">
        <f>if(countif(Status!C:C,A639)=1,TRUE, FALSE)</f>
        <v>1</v>
      </c>
    </row>
    <row r="640">
      <c r="A640" s="23" t="str">
        <f t="shared" si="13"/>
        <v>EC17</v>
      </c>
      <c r="B640" s="23" t="str">
        <f>'3.3.raw'!M629</f>
        <v>EC17</v>
      </c>
      <c r="C640" s="24">
        <f>datevalue(left('3.3.raw'!O629,10))</f>
        <v>43776</v>
      </c>
      <c r="D640" s="23">
        <f>'3.3.raw'!I629</f>
        <v>98</v>
      </c>
      <c r="E640" s="23" t="str">
        <f>'3.3.raw'!J629</f>
        <v/>
      </c>
      <c r="F640" s="23" t="str">
        <f>'3.3.raw'!K629</f>
        <v/>
      </c>
      <c r="G640" s="1">
        <v>3.30000000000007</v>
      </c>
      <c r="H640" s="23" t="b">
        <f>if(countif(Status!C:C,A640)=1,TRUE, FALSE)</f>
        <v>1</v>
      </c>
    </row>
    <row r="641">
      <c r="A641" s="23" t="str">
        <f t="shared" si="13"/>
        <v>EC18</v>
      </c>
      <c r="B641" s="23" t="str">
        <f>'3.3.raw'!M630</f>
        <v>EC18</v>
      </c>
      <c r="C641" s="24">
        <f>datevalue(left('3.3.raw'!O630,10))</f>
        <v>43777</v>
      </c>
      <c r="D641" s="23">
        <f>'3.3.raw'!I630</f>
        <v>98</v>
      </c>
      <c r="E641" s="23" t="str">
        <f>'3.3.raw'!J630</f>
        <v/>
      </c>
      <c r="F641" s="23" t="str">
        <f>'3.3.raw'!K630</f>
        <v/>
      </c>
      <c r="G641" s="1">
        <v>3.30000000000007</v>
      </c>
      <c r="H641" s="23" t="b">
        <f>if(countif(Status!C:C,A641)=1,TRUE, FALSE)</f>
        <v>1</v>
      </c>
    </row>
    <row r="642">
      <c r="A642" s="23" t="str">
        <f t="shared" si="13"/>
        <v>EC19</v>
      </c>
      <c r="B642" s="23" t="str">
        <f>'3.3.raw'!M631</f>
        <v>EC19</v>
      </c>
      <c r="C642" s="24">
        <f>datevalue(left('3.3.raw'!O631,10))</f>
        <v>43780</v>
      </c>
      <c r="D642" s="23">
        <f>'3.3.raw'!I631</f>
        <v>98</v>
      </c>
      <c r="E642" s="23" t="str">
        <f>'3.3.raw'!J631</f>
        <v/>
      </c>
      <c r="F642" s="23" t="str">
        <f>'3.3.raw'!K631</f>
        <v/>
      </c>
      <c r="G642" s="1">
        <v>3.30000000000007</v>
      </c>
      <c r="H642" s="23" t="b">
        <f>if(countif(Status!C:C,A642)=1,TRUE, FALSE)</f>
        <v>1</v>
      </c>
    </row>
    <row r="643">
      <c r="A643" s="23" t="str">
        <f t="shared" si="13"/>
        <v>EC20</v>
      </c>
      <c r="B643" s="23" t="str">
        <f>'3.3.raw'!M632</f>
        <v>EC20</v>
      </c>
      <c r="C643" s="24">
        <f>datevalue(left('3.3.raw'!O632,10))</f>
        <v>43784</v>
      </c>
      <c r="D643" s="23">
        <f>'3.3.raw'!I632</f>
        <v>98</v>
      </c>
      <c r="E643" s="23" t="str">
        <f>'3.3.raw'!J632</f>
        <v/>
      </c>
      <c r="F643" s="23" t="str">
        <f>'3.3.raw'!K632</f>
        <v/>
      </c>
      <c r="G643" s="1">
        <v>3.30000000000007</v>
      </c>
      <c r="H643" s="23" t="b">
        <f>if(countif(Status!C:C,A643)=1,TRUE, FALSE)</f>
        <v>1</v>
      </c>
    </row>
    <row r="644">
      <c r="A644" s="23" t="str">
        <f t="shared" si="13"/>
        <v>EC21</v>
      </c>
      <c r="B644" s="23" t="str">
        <f>'3.3.raw'!M633</f>
        <v>EC21</v>
      </c>
      <c r="C644" s="24">
        <f>datevalue(left('3.3.raw'!O633,10))</f>
        <v>43785</v>
      </c>
      <c r="D644" s="23">
        <f>'3.3.raw'!I633</f>
        <v>98</v>
      </c>
      <c r="E644" s="23" t="str">
        <f>'3.3.raw'!J633</f>
        <v/>
      </c>
      <c r="F644" s="23" t="str">
        <f>'3.3.raw'!K633</f>
        <v/>
      </c>
      <c r="G644" s="1">
        <v>3.30000000000007</v>
      </c>
      <c r="H644" s="23" t="b">
        <f>if(countif(Status!C:C,A644)=1,TRUE, FALSE)</f>
        <v>1</v>
      </c>
    </row>
    <row r="645">
      <c r="A645" s="23" t="str">
        <f t="shared" si="13"/>
        <v>EC22</v>
      </c>
      <c r="B645" s="23" t="str">
        <f>'3.3.raw'!M634</f>
        <v>EC22</v>
      </c>
      <c r="C645" s="24">
        <f>datevalue(left('3.3.raw'!O634,10))</f>
        <v>43789</v>
      </c>
      <c r="D645" s="23">
        <f>'3.3.raw'!I634</f>
        <v>98</v>
      </c>
      <c r="E645" s="23" t="str">
        <f>'3.3.raw'!J634</f>
        <v/>
      </c>
      <c r="F645" s="23" t="str">
        <f>'3.3.raw'!K634</f>
        <v/>
      </c>
      <c r="G645" s="1">
        <v>3.30000000000007</v>
      </c>
      <c r="H645" s="23" t="b">
        <f>if(countif(Status!C:C,A645)=1,TRUE, FALSE)</f>
        <v>1</v>
      </c>
    </row>
    <row r="646">
      <c r="A646" s="23" t="str">
        <f t="shared" si="13"/>
        <v>UF1008</v>
      </c>
      <c r="B646" s="23" t="str">
        <f>'3.3.raw'!M635</f>
        <v>UF1008</v>
      </c>
      <c r="C646" s="24">
        <f>datevalue(left('3.3.raw'!O635,10))</f>
        <v>43790</v>
      </c>
      <c r="D646" s="23">
        <f>'3.3.raw'!I635</f>
        <v>16</v>
      </c>
      <c r="E646" s="23" t="str">
        <f>'3.3.raw'!J635</f>
        <v/>
      </c>
      <c r="F646" s="23" t="str">
        <f>'3.3.raw'!K635</f>
        <v/>
      </c>
      <c r="G646" s="1">
        <v>3.30000000000007</v>
      </c>
      <c r="H646" s="23" t="b">
        <f>if(countif(Status!C:C,A646)=1,TRUE, FALSE)</f>
        <v>1</v>
      </c>
    </row>
    <row r="647">
      <c r="A647" s="23" t="str">
        <f t="shared" si="13"/>
        <v>UF1008D</v>
      </c>
      <c r="B647" s="23" t="str">
        <f>'3.3.raw'!M636</f>
        <v>UF1008D</v>
      </c>
      <c r="C647" s="24">
        <f>datevalue(left('3.3.raw'!O636,10))</f>
        <v>43790</v>
      </c>
      <c r="D647" s="23">
        <f>'3.3.raw'!I636</f>
        <v>16</v>
      </c>
      <c r="E647" s="23" t="str">
        <f>'3.3.raw'!J636</f>
        <v/>
      </c>
      <c r="F647" s="23" t="str">
        <f>'3.3.raw'!K636</f>
        <v/>
      </c>
      <c r="G647" s="1">
        <v>3.30000000000007</v>
      </c>
      <c r="H647" s="23" t="b">
        <f>if(countif(Status!C:C,A647)=1,TRUE, FALSE)</f>
        <v>0</v>
      </c>
    </row>
    <row r="648">
      <c r="A648" s="23" t="str">
        <f t="shared" si="13"/>
        <v>COa1007</v>
      </c>
      <c r="B648" s="23" t="str">
        <f>'3.3.raw'!M637</f>
        <v>COa1007</v>
      </c>
      <c r="C648" s="24">
        <f>datevalue(left('3.3.raw'!O637,10))</f>
        <v>43790</v>
      </c>
      <c r="D648" s="23">
        <f>'3.3.raw'!I637</f>
        <v>15</v>
      </c>
      <c r="E648" s="23" t="str">
        <f>'3.3.raw'!J637</f>
        <v/>
      </c>
      <c r="F648" s="23">
        <f>'3.3.raw'!K637</f>
        <v>151</v>
      </c>
      <c r="G648" s="1">
        <v>3.30000000000007</v>
      </c>
      <c r="H648" s="23" t="b">
        <f>if(countif(Status!C:C,A648)=1,TRUE, FALSE)</f>
        <v>1</v>
      </c>
    </row>
    <row r="649">
      <c r="A649" s="23" t="str">
        <f t="shared" si="13"/>
        <v>COb1020</v>
      </c>
      <c r="B649" s="23" t="str">
        <f>'3.3.raw'!M638</f>
        <v>COb1020</v>
      </c>
      <c r="C649" s="24">
        <f>datevalue(left('3.3.raw'!O638,10))</f>
        <v>43790</v>
      </c>
      <c r="D649" s="23">
        <f>'3.3.raw'!I638</f>
        <v>15</v>
      </c>
      <c r="E649" s="23" t="str">
        <f>'3.3.raw'!J638</f>
        <v/>
      </c>
      <c r="F649" s="23">
        <f>'3.3.raw'!K638</f>
        <v>152</v>
      </c>
      <c r="G649" s="1">
        <v>3.30000000000007</v>
      </c>
      <c r="H649" s="23" t="b">
        <f>if(countif(Status!C:C,A649)=1,TRUE, FALSE)</f>
        <v>1</v>
      </c>
    </row>
    <row r="650">
      <c r="A650" s="23" t="str">
        <f t="shared" si="13"/>
        <v>COb1021</v>
      </c>
      <c r="B650" s="23" t="str">
        <f>'3.3.raw'!M639</f>
        <v>COb1021</v>
      </c>
      <c r="C650" s="24">
        <f>datevalue(left('3.3.raw'!O639,10))</f>
        <v>43790</v>
      </c>
      <c r="D650" s="23">
        <f>'3.3.raw'!I639</f>
        <v>15</v>
      </c>
      <c r="E650" s="23" t="str">
        <f>'3.3.raw'!J639</f>
        <v/>
      </c>
      <c r="F650" s="23">
        <f>'3.3.raw'!K639</f>
        <v>152</v>
      </c>
      <c r="G650" s="1">
        <v>3.30000000000007</v>
      </c>
      <c r="H650" s="23" t="b">
        <f>if(countif(Status!C:C,A650)=1,TRUE, FALSE)</f>
        <v>1</v>
      </c>
    </row>
    <row r="651">
      <c r="A651" s="23" t="str">
        <f t="shared" si="13"/>
        <v>COb1022</v>
      </c>
      <c r="B651" s="23" t="str">
        <f>'3.3.raw'!M640</f>
        <v>COb1022</v>
      </c>
      <c r="C651" s="24">
        <f>datevalue(left('3.3.raw'!O640,10))</f>
        <v>43790</v>
      </c>
      <c r="D651" s="23">
        <f>'3.3.raw'!I640</f>
        <v>15</v>
      </c>
      <c r="E651" s="23" t="str">
        <f>'3.3.raw'!J640</f>
        <v/>
      </c>
      <c r="F651" s="23">
        <f>'3.3.raw'!K640</f>
        <v>152</v>
      </c>
      <c r="G651" s="1">
        <v>3.30000000000007</v>
      </c>
      <c r="H651" s="23" t="b">
        <f>if(countif(Status!C:C,A651)=1,TRUE, FALSE)</f>
        <v>1</v>
      </c>
    </row>
    <row r="652">
      <c r="A652" s="23" t="str">
        <f t="shared" si="13"/>
        <v>FB1147</v>
      </c>
      <c r="B652" s="23" t="str">
        <f>'3.3.raw'!M641</f>
        <v>FB1147</v>
      </c>
      <c r="C652" s="24">
        <f>datevalue(left('3.3.raw'!O641,10))</f>
        <v>43790</v>
      </c>
      <c r="D652" s="23">
        <f>'3.3.raw'!I641</f>
        <v>99</v>
      </c>
      <c r="E652" s="23" t="str">
        <f>'3.3.raw'!J641</f>
        <v/>
      </c>
      <c r="F652" s="23" t="str">
        <f>'3.3.raw'!K641</f>
        <v/>
      </c>
      <c r="G652" s="1">
        <v>3.30000000000007</v>
      </c>
      <c r="H652" s="23" t="b">
        <f>if(countif(Status!C:C,A652)=1,TRUE, FALSE)</f>
        <v>1</v>
      </c>
    </row>
    <row r="653">
      <c r="A653" s="23" t="str">
        <f t="shared" si="13"/>
        <v>EC23</v>
      </c>
      <c r="B653" s="23" t="str">
        <f>'3.3.raw'!M642</f>
        <v>EC23</v>
      </c>
      <c r="C653" s="24">
        <f>datevalue(left('3.3.raw'!O642,10))</f>
        <v>43790</v>
      </c>
      <c r="D653" s="23">
        <f>'3.3.raw'!I642</f>
        <v>98</v>
      </c>
      <c r="E653" s="23" t="str">
        <f>'3.3.raw'!J642</f>
        <v/>
      </c>
      <c r="F653" s="23" t="str">
        <f>'3.3.raw'!K642</f>
        <v/>
      </c>
      <c r="G653" s="1">
        <v>3.30000000000007</v>
      </c>
      <c r="H653" s="23" t="b">
        <f>if(countif(Status!C:C,A653)=1,TRUE, FALSE)</f>
        <v>1</v>
      </c>
    </row>
    <row r="654">
      <c r="A654" s="23" t="str">
        <f t="shared" si="13"/>
        <v>PLc1088</v>
      </c>
      <c r="B654" s="23" t="str">
        <f>'3.3.raw'!M643</f>
        <v>PLc1088</v>
      </c>
      <c r="C654" s="24">
        <f>datevalue(left('3.3.raw'!O643,10))</f>
        <v>43791</v>
      </c>
      <c r="D654" s="23">
        <f>'3.3.raw'!I643</f>
        <v>11</v>
      </c>
      <c r="E654" s="23" t="str">
        <f>'3.3.raw'!J643</f>
        <v/>
      </c>
      <c r="F654" s="23" t="str">
        <f>'3.3.raw'!K643</f>
        <v/>
      </c>
      <c r="G654" s="1">
        <v>3.30000000000007</v>
      </c>
      <c r="H654" s="23" t="b">
        <f>if(countif(Status!C:C,A654)=1,TRUE, FALSE)</f>
        <v>1</v>
      </c>
    </row>
    <row r="655">
      <c r="A655" s="23" t="str">
        <f t="shared" si="13"/>
        <v>FB1150</v>
      </c>
      <c r="B655" s="23" t="str">
        <f>'3.3.raw'!M644</f>
        <v>FB1150</v>
      </c>
      <c r="C655" s="24">
        <f>datevalue(left('3.3.raw'!O644,10))</f>
        <v>43791</v>
      </c>
      <c r="D655" s="23">
        <f>'3.3.raw'!I644</f>
        <v>99</v>
      </c>
      <c r="E655" s="23" t="str">
        <f>'3.3.raw'!J644</f>
        <v/>
      </c>
      <c r="F655" s="23" t="str">
        <f>'3.3.raw'!K644</f>
        <v/>
      </c>
      <c r="G655" s="1">
        <v>3.30000000000007</v>
      </c>
      <c r="H655" s="23" t="b">
        <f>if(countif(Status!C:C,A655)=1,TRUE, FALSE)</f>
        <v>1</v>
      </c>
    </row>
    <row r="656">
      <c r="A656" s="23" t="str">
        <f t="shared" si="13"/>
        <v>PLc1089</v>
      </c>
      <c r="B656" s="23" t="str">
        <f>'3.3.raw'!M645</f>
        <v>PLc1089</v>
      </c>
      <c r="C656" s="24">
        <f>datevalue(left('3.3.raw'!O645,10))</f>
        <v>43791</v>
      </c>
      <c r="D656" s="23">
        <f>'3.3.raw'!I645</f>
        <v>11</v>
      </c>
      <c r="E656" s="23" t="str">
        <f>'3.3.raw'!J645</f>
        <v/>
      </c>
      <c r="F656" s="23" t="str">
        <f>'3.3.raw'!K645</f>
        <v/>
      </c>
      <c r="G656" s="1">
        <v>3.30000000000007</v>
      </c>
      <c r="H656" s="23" t="b">
        <f>if(countif(Status!C:C,A656)=1,TRUE, FALSE)</f>
        <v>1</v>
      </c>
    </row>
    <row r="657">
      <c r="A657" s="23" t="str">
        <f t="shared" si="13"/>
        <v>FB1151</v>
      </c>
      <c r="B657" s="23" t="str">
        <f>'3.3.raw'!M646</f>
        <v>FB1151</v>
      </c>
      <c r="C657" s="24">
        <f>datevalue(left('3.3.raw'!O646,10))</f>
        <v>43791</v>
      </c>
      <c r="D657" s="23">
        <f>'3.3.raw'!I646</f>
        <v>99</v>
      </c>
      <c r="E657" s="23" t="str">
        <f>'3.3.raw'!J646</f>
        <v/>
      </c>
      <c r="F657" s="23" t="str">
        <f>'3.3.raw'!K646</f>
        <v/>
      </c>
      <c r="G657" s="1">
        <v>3.30000000000007</v>
      </c>
      <c r="H657" s="23" t="b">
        <f>if(countif(Status!C:C,A657)=1,TRUE, FALSE)</f>
        <v>1</v>
      </c>
    </row>
    <row r="658">
      <c r="A658" s="23" t="str">
        <f t="shared" si="13"/>
        <v>PLc1090</v>
      </c>
      <c r="B658" s="23" t="str">
        <f>'3.3.raw'!M647</f>
        <v>PLc1090</v>
      </c>
      <c r="C658" s="24">
        <f>datevalue(left('3.3.raw'!O647,10))</f>
        <v>43791</v>
      </c>
      <c r="D658" s="23">
        <f>'3.3.raw'!I647</f>
        <v>11</v>
      </c>
      <c r="E658" s="23" t="str">
        <f>'3.3.raw'!J647</f>
        <v/>
      </c>
      <c r="F658" s="23" t="str">
        <f>'3.3.raw'!K647</f>
        <v/>
      </c>
      <c r="G658" s="1">
        <v>3.30000000000007</v>
      </c>
      <c r="H658" s="23" t="b">
        <f>if(countif(Status!C:C,A658)=1,TRUE, FALSE)</f>
        <v>1</v>
      </c>
    </row>
    <row r="659">
      <c r="A659" s="23" t="str">
        <f t="shared" si="13"/>
        <v>FB1152</v>
      </c>
      <c r="B659" s="23" t="str">
        <f>'3.3.raw'!M648</f>
        <v>FB1152</v>
      </c>
      <c r="C659" s="24">
        <f>datevalue(left('3.3.raw'!O648,10))</f>
        <v>43791</v>
      </c>
      <c r="D659" s="23">
        <f>'3.3.raw'!I648</f>
        <v>99</v>
      </c>
      <c r="E659" s="23" t="str">
        <f>'3.3.raw'!J648</f>
        <v/>
      </c>
      <c r="F659" s="23" t="str">
        <f>'3.3.raw'!K648</f>
        <v/>
      </c>
      <c r="G659" s="1">
        <v>3.30000000000007</v>
      </c>
      <c r="H659" s="23" t="b">
        <f>if(countif(Status!C:C,A659)=1,TRUE, FALSE)</f>
        <v>1</v>
      </c>
    </row>
    <row r="660">
      <c r="A660" s="23" t="str">
        <f t="shared" si="13"/>
        <v>PLc1091</v>
      </c>
      <c r="B660" s="23" t="str">
        <f>'3.3.raw'!M649</f>
        <v>PLc1091</v>
      </c>
      <c r="C660" s="24">
        <f>datevalue(left('3.3.raw'!O649,10))</f>
        <v>43791</v>
      </c>
      <c r="D660" s="23">
        <f>'3.3.raw'!I649</f>
        <v>11</v>
      </c>
      <c r="E660" s="23" t="str">
        <f>'3.3.raw'!J649</f>
        <v/>
      </c>
      <c r="F660" s="23" t="str">
        <f>'3.3.raw'!K649</f>
        <v/>
      </c>
      <c r="G660" s="1">
        <v>3.30000000000007</v>
      </c>
      <c r="H660" s="23" t="b">
        <f>if(countif(Status!C:C,A660)=1,TRUE, FALSE)</f>
        <v>1</v>
      </c>
    </row>
    <row r="661">
      <c r="A661" s="23" t="str">
        <f t="shared" si="13"/>
        <v>FB1153</v>
      </c>
      <c r="B661" s="23" t="str">
        <f>'3.3.raw'!M650</f>
        <v>FB1153</v>
      </c>
      <c r="C661" s="24">
        <f>datevalue(left('3.3.raw'!O650,10))</f>
        <v>43791</v>
      </c>
      <c r="D661" s="23">
        <f>'3.3.raw'!I650</f>
        <v>99</v>
      </c>
      <c r="E661" s="23" t="str">
        <f>'3.3.raw'!J650</f>
        <v/>
      </c>
      <c r="F661" s="23" t="str">
        <f>'3.3.raw'!K650</f>
        <v/>
      </c>
      <c r="G661" s="1">
        <v>3.30000000000007</v>
      </c>
      <c r="H661" s="23" t="b">
        <f>if(countif(Status!C:C,A661)=1,TRUE, FALSE)</f>
        <v>1</v>
      </c>
    </row>
    <row r="662">
      <c r="A662" s="23" t="str">
        <f t="shared" si="13"/>
        <v>MO1120</v>
      </c>
      <c r="B662" s="23" t="str">
        <f>'3.3.raw'!M651</f>
        <v>MO1120</v>
      </c>
      <c r="C662" s="24">
        <f>datevalue(left('3.3.raw'!O651,10))</f>
        <v>43791</v>
      </c>
      <c r="D662" s="23">
        <f>'3.3.raw'!I651</f>
        <v>12</v>
      </c>
      <c r="E662" s="23" t="str">
        <f>'3.3.raw'!J651</f>
        <v/>
      </c>
      <c r="F662" s="23" t="str">
        <f>'3.3.raw'!K651</f>
        <v/>
      </c>
      <c r="G662" s="1">
        <v>3.30000000000007</v>
      </c>
      <c r="H662" s="23" t="b">
        <f>if(countif(Status!C:C,A662)=1,TRUE, FALSE)</f>
        <v>1</v>
      </c>
    </row>
    <row r="663">
      <c r="A663" s="23" t="str">
        <f t="shared" si="13"/>
        <v>FB1148</v>
      </c>
      <c r="B663" s="23" t="str">
        <f>'3.3.raw'!M652</f>
        <v>FB1148</v>
      </c>
      <c r="C663" s="24">
        <f>datevalue(left('3.3.raw'!O652,10))</f>
        <v>43791</v>
      </c>
      <c r="D663" s="23">
        <f>'3.3.raw'!I652</f>
        <v>99</v>
      </c>
      <c r="E663" s="23" t="str">
        <f>'3.3.raw'!J652</f>
        <v/>
      </c>
      <c r="F663" s="23" t="str">
        <f>'3.3.raw'!K652</f>
        <v/>
      </c>
      <c r="G663" s="1">
        <v>3.30000000000007</v>
      </c>
      <c r="H663" s="23" t="b">
        <f>if(countif(Status!C:C,A663)=1,TRUE, FALSE)</f>
        <v>1</v>
      </c>
    </row>
    <row r="664">
      <c r="A664" s="23" t="str">
        <f t="shared" si="13"/>
        <v>MO1121</v>
      </c>
      <c r="B664" s="23" t="str">
        <f>'3.3.raw'!M653</f>
        <v>MO1121</v>
      </c>
      <c r="C664" s="24">
        <f>datevalue(left('3.3.raw'!O653,10))</f>
        <v>43791</v>
      </c>
      <c r="D664" s="23">
        <f>'3.3.raw'!I653</f>
        <v>12</v>
      </c>
      <c r="E664" s="23" t="str">
        <f>'3.3.raw'!J653</f>
        <v/>
      </c>
      <c r="F664" s="23" t="str">
        <f>'3.3.raw'!K653</f>
        <v/>
      </c>
      <c r="G664" s="1">
        <v>3.30000000000007</v>
      </c>
      <c r="H664" s="23" t="b">
        <f>if(countif(Status!C:C,A664)=1,TRUE, FALSE)</f>
        <v>1</v>
      </c>
    </row>
    <row r="665">
      <c r="A665" s="23" t="str">
        <f t="shared" si="13"/>
        <v>FB1149</v>
      </c>
      <c r="B665" s="23" t="str">
        <f>'3.3.raw'!M654</f>
        <v>FB1149</v>
      </c>
      <c r="C665" s="24">
        <f>datevalue(left('3.3.raw'!O654,10))</f>
        <v>43791</v>
      </c>
      <c r="D665" s="23">
        <f>'3.3.raw'!I654</f>
        <v>99</v>
      </c>
      <c r="E665" s="23" t="str">
        <f>'3.3.raw'!J654</f>
        <v/>
      </c>
      <c r="F665" s="23" t="str">
        <f>'3.3.raw'!K654</f>
        <v/>
      </c>
      <c r="G665" s="1">
        <v>3.30000000000007</v>
      </c>
      <c r="H665" s="23" t="b">
        <f>if(countif(Status!C:C,A665)=1,TRUE, FALSE)</f>
        <v>1</v>
      </c>
    </row>
    <row r="666">
      <c r="A666" s="23" t="str">
        <f t="shared" si="13"/>
        <v>EC24</v>
      </c>
      <c r="B666" s="23" t="str">
        <f>'3.3.raw'!M655</f>
        <v>EC24</v>
      </c>
      <c r="C666" s="24">
        <f>datevalue(left('3.3.raw'!O655,10))</f>
        <v>43791</v>
      </c>
      <c r="D666" s="23">
        <f>'3.3.raw'!I655</f>
        <v>98</v>
      </c>
      <c r="E666" s="23" t="str">
        <f>'3.3.raw'!J655</f>
        <v/>
      </c>
      <c r="F666" s="23" t="str">
        <f>'3.3.raw'!K655</f>
        <v/>
      </c>
      <c r="G666" s="1">
        <v>3.30000000000007</v>
      </c>
      <c r="H666" s="23" t="b">
        <f>if(countif(Status!C:C,A666)=1,TRUE, FALSE)</f>
        <v>1</v>
      </c>
    </row>
    <row r="667">
      <c r="A667" s="23" t="str">
        <f t="shared" si="13"/>
        <v>PLc1092</v>
      </c>
      <c r="B667" s="23" t="str">
        <f>'3.3.raw'!M656</f>
        <v>PLc1092</v>
      </c>
      <c r="C667" s="24">
        <f>datevalue(left('3.3.raw'!O656,10))</f>
        <v>43794</v>
      </c>
      <c r="D667" s="23">
        <f>'3.3.raw'!I656</f>
        <v>11</v>
      </c>
      <c r="E667" s="23" t="str">
        <f>'3.3.raw'!J656</f>
        <v/>
      </c>
      <c r="F667" s="23" t="str">
        <f>'3.3.raw'!K656</f>
        <v/>
      </c>
      <c r="G667" s="1">
        <v>3.30000000000007</v>
      </c>
      <c r="H667" s="23" t="b">
        <f>if(countif(Status!C:C,A667)=1,TRUE, FALSE)</f>
        <v>1</v>
      </c>
    </row>
    <row r="668">
      <c r="A668" s="23" t="str">
        <f t="shared" si="13"/>
        <v>PLc1093</v>
      </c>
      <c r="B668" s="23" t="str">
        <f>'3.3.raw'!M657</f>
        <v>PLc1093</v>
      </c>
      <c r="C668" s="24">
        <f>datevalue(left('3.3.raw'!O657,10))</f>
        <v>43794</v>
      </c>
      <c r="D668" s="23">
        <f>'3.3.raw'!I657</f>
        <v>11</v>
      </c>
      <c r="E668" s="23" t="str">
        <f>'3.3.raw'!J657</f>
        <v/>
      </c>
      <c r="F668" s="23" t="str">
        <f>'3.3.raw'!K657</f>
        <v/>
      </c>
      <c r="G668" s="1">
        <v>3.30000000000007</v>
      </c>
      <c r="H668" s="23" t="b">
        <f>if(countif(Status!C:C,A668)=1,TRUE, FALSE)</f>
        <v>1</v>
      </c>
    </row>
    <row r="669">
      <c r="A669" s="23" t="str">
        <f t="shared" si="13"/>
        <v>PLc1094</v>
      </c>
      <c r="B669" s="23" t="str">
        <f>'3.3.raw'!M658</f>
        <v>PLc1094</v>
      </c>
      <c r="C669" s="24">
        <f>datevalue(left('3.3.raw'!O658,10))</f>
        <v>43794</v>
      </c>
      <c r="D669" s="23">
        <f>'3.3.raw'!I658</f>
        <v>11</v>
      </c>
      <c r="E669" s="23" t="str">
        <f>'3.3.raw'!J658</f>
        <v/>
      </c>
      <c r="F669" s="23" t="str">
        <f>'3.3.raw'!K658</f>
        <v/>
      </c>
      <c r="G669" s="1">
        <v>3.30000000000007</v>
      </c>
      <c r="H669" s="23" t="b">
        <f>if(countif(Status!C:C,A669)=1,TRUE, FALSE)</f>
        <v>1</v>
      </c>
    </row>
    <row r="670">
      <c r="A670" s="23" t="str">
        <f t="shared" si="13"/>
        <v>FB1156</v>
      </c>
      <c r="B670" s="23" t="str">
        <f>'3.3.raw'!M659</f>
        <v>FB1156</v>
      </c>
      <c r="C670" s="24">
        <f>datevalue(left('3.3.raw'!O659,10))</f>
        <v>43794</v>
      </c>
      <c r="D670" s="23">
        <f>'3.3.raw'!I659</f>
        <v>99</v>
      </c>
      <c r="E670" s="23" t="str">
        <f>'3.3.raw'!J659</f>
        <v/>
      </c>
      <c r="F670" s="23" t="str">
        <f>'3.3.raw'!K659</f>
        <v/>
      </c>
      <c r="G670" s="1">
        <v>3.30000000000007</v>
      </c>
      <c r="H670" s="23" t="b">
        <f>if(countif(Status!C:C,A670)=1,TRUE, FALSE)</f>
        <v>1</v>
      </c>
    </row>
    <row r="671">
      <c r="A671" s="23" t="str">
        <f t="shared" si="13"/>
        <v>EC25</v>
      </c>
      <c r="B671" s="23" t="str">
        <f>'3.3.raw'!M660</f>
        <v>EC25</v>
      </c>
      <c r="C671" s="24">
        <f>datevalue(left('3.3.raw'!O660,10))</f>
        <v>43794</v>
      </c>
      <c r="D671" s="23">
        <f>'3.3.raw'!I660</f>
        <v>98</v>
      </c>
      <c r="E671" s="23" t="str">
        <f>'3.3.raw'!J660</f>
        <v/>
      </c>
      <c r="F671" s="23" t="str">
        <f>'3.3.raw'!K660</f>
        <v/>
      </c>
      <c r="G671" s="1">
        <v>3.30000000000007</v>
      </c>
      <c r="H671" s="23" t="b">
        <f>if(countif(Status!C:C,A671)=1,TRUE, FALSE)</f>
        <v>1</v>
      </c>
    </row>
    <row r="672">
      <c r="A672" s="23" t="str">
        <f t="shared" si="13"/>
        <v>PLc1095</v>
      </c>
      <c r="B672" s="23" t="str">
        <f>'3.3.raw'!M661</f>
        <v>PLc1095</v>
      </c>
      <c r="C672" s="24">
        <f>datevalue(left('3.3.raw'!O661,10))</f>
        <v>43796</v>
      </c>
      <c r="D672" s="23">
        <f>'3.3.raw'!I661</f>
        <v>11</v>
      </c>
      <c r="E672" s="23" t="str">
        <f>'3.3.raw'!J661</f>
        <v/>
      </c>
      <c r="F672" s="23" t="str">
        <f>'3.3.raw'!K661</f>
        <v/>
      </c>
      <c r="G672" s="1">
        <v>3.30000000000007</v>
      </c>
      <c r="H672" s="23" t="b">
        <f>if(countif(Status!C:C,A672)=1,TRUE, FALSE)</f>
        <v>1</v>
      </c>
    </row>
    <row r="673">
      <c r="A673" s="23" t="str">
        <f t="shared" si="13"/>
        <v>PLc1096</v>
      </c>
      <c r="B673" s="23" t="str">
        <f>'3.3.raw'!M662</f>
        <v>PLc1096</v>
      </c>
      <c r="C673" s="24">
        <f>datevalue(left('3.3.raw'!O662,10))</f>
        <v>43796</v>
      </c>
      <c r="D673" s="23">
        <f>'3.3.raw'!I662</f>
        <v>11</v>
      </c>
      <c r="E673" s="23" t="str">
        <f>'3.3.raw'!J662</f>
        <v/>
      </c>
      <c r="F673" s="23" t="str">
        <f>'3.3.raw'!K662</f>
        <v/>
      </c>
      <c r="G673" s="1">
        <v>3.30000000000007</v>
      </c>
      <c r="H673" s="23" t="b">
        <f>if(countif(Status!C:C,A673)=1,TRUE, FALSE)</f>
        <v>1</v>
      </c>
    </row>
    <row r="674">
      <c r="A674" s="23" t="str">
        <f t="shared" si="13"/>
        <v>FB1158</v>
      </c>
      <c r="B674" s="23" t="str">
        <f>'3.3.raw'!M663</f>
        <v>FB1158</v>
      </c>
      <c r="C674" s="24">
        <f>datevalue(left('3.3.raw'!O663,10))</f>
        <v>43796</v>
      </c>
      <c r="D674" s="23">
        <f>'3.3.raw'!I663</f>
        <v>99</v>
      </c>
      <c r="E674" s="23" t="str">
        <f>'3.3.raw'!J663</f>
        <v/>
      </c>
      <c r="F674" s="23" t="str">
        <f>'3.3.raw'!K663</f>
        <v/>
      </c>
      <c r="G674" s="1">
        <v>3.30000000000007</v>
      </c>
      <c r="H674" s="23" t="b">
        <f>if(countif(Status!C:C,A674)=1,TRUE, FALSE)</f>
        <v>1</v>
      </c>
    </row>
    <row r="675">
      <c r="A675" s="23" t="str">
        <f t="shared" si="13"/>
        <v>MO1122</v>
      </c>
      <c r="B675" s="23" t="str">
        <f>'3.3.raw'!M664</f>
        <v>MO1122</v>
      </c>
      <c r="C675" s="24">
        <f>datevalue(left('3.3.raw'!O664,10))</f>
        <v>43796</v>
      </c>
      <c r="D675" s="23">
        <f>'3.3.raw'!I664</f>
        <v>12</v>
      </c>
      <c r="E675" s="23" t="str">
        <f>'3.3.raw'!J664</f>
        <v/>
      </c>
      <c r="F675" s="23" t="str">
        <f>'3.3.raw'!K664</f>
        <v/>
      </c>
      <c r="G675" s="1">
        <v>3.30000000000007</v>
      </c>
      <c r="H675" s="23" t="b">
        <f>if(countif(Status!C:C,A675)=1,TRUE, FALSE)</f>
        <v>1</v>
      </c>
    </row>
    <row r="676">
      <c r="A676" s="23" t="str">
        <f t="shared" si="13"/>
        <v>MO1123</v>
      </c>
      <c r="B676" s="23" t="str">
        <f>'3.3.raw'!M665</f>
        <v>MO1123</v>
      </c>
      <c r="C676" s="24">
        <f>datevalue(left('3.3.raw'!O665,10))</f>
        <v>43796</v>
      </c>
      <c r="D676" s="23">
        <f>'3.3.raw'!I665</f>
        <v>12</v>
      </c>
      <c r="E676" s="23" t="str">
        <f>'3.3.raw'!J665</f>
        <v/>
      </c>
      <c r="F676" s="23" t="str">
        <f>'3.3.raw'!K665</f>
        <v/>
      </c>
      <c r="G676" s="1">
        <v>3.30000000000007</v>
      </c>
      <c r="H676" s="23" t="b">
        <f>if(countif(Status!C:C,A676)=1,TRUE, FALSE)</f>
        <v>1</v>
      </c>
    </row>
    <row r="677">
      <c r="A677" s="23" t="str">
        <f t="shared" si="13"/>
        <v>FB1163</v>
      </c>
      <c r="B677" s="23" t="str">
        <f>'3.3.raw'!M666</f>
        <v>FB1163</v>
      </c>
      <c r="C677" s="24">
        <f>datevalue(left('3.3.raw'!O666,10))</f>
        <v>43796</v>
      </c>
      <c r="D677" s="23">
        <f>'3.3.raw'!I666</f>
        <v>99</v>
      </c>
      <c r="E677" s="23" t="str">
        <f>'3.3.raw'!J666</f>
        <v/>
      </c>
      <c r="F677" s="23" t="str">
        <f>'3.3.raw'!K666</f>
        <v/>
      </c>
      <c r="G677" s="1">
        <v>3.30000000000007</v>
      </c>
      <c r="H677" s="23" t="b">
        <f>if(countif(Status!C:C,A677)=1,TRUE, FALSE)</f>
        <v>1</v>
      </c>
    </row>
    <row r="678">
      <c r="A678" s="23" t="str">
        <f t="shared" si="13"/>
        <v>PLc1097</v>
      </c>
      <c r="B678" s="23" t="str">
        <f>'3.3.raw'!M667</f>
        <v>PLc1097</v>
      </c>
      <c r="C678" s="24">
        <f>datevalue(left('3.3.raw'!O667,10))</f>
        <v>43796</v>
      </c>
      <c r="D678" s="23">
        <f>'3.3.raw'!I667</f>
        <v>11</v>
      </c>
      <c r="E678" s="23" t="str">
        <f>'3.3.raw'!J667</f>
        <v/>
      </c>
      <c r="F678" s="23" t="str">
        <f>'3.3.raw'!K667</f>
        <v/>
      </c>
      <c r="G678" s="1">
        <v>3.30000000000007</v>
      </c>
      <c r="H678" s="23" t="b">
        <f>if(countif(Status!C:C,A678)=1,TRUE, FALSE)</f>
        <v>1</v>
      </c>
    </row>
    <row r="679">
      <c r="A679" s="23" t="str">
        <f t="shared" si="13"/>
        <v>PLc1098</v>
      </c>
      <c r="B679" s="23" t="str">
        <f>'3.3.raw'!M668</f>
        <v>PLc1098</v>
      </c>
      <c r="C679" s="24">
        <f>datevalue(left('3.3.raw'!O668,10))</f>
        <v>43796</v>
      </c>
      <c r="D679" s="23">
        <f>'3.3.raw'!I668</f>
        <v>11</v>
      </c>
      <c r="E679" s="23" t="str">
        <f>'3.3.raw'!J668</f>
        <v/>
      </c>
      <c r="F679" s="23" t="str">
        <f>'3.3.raw'!K668</f>
        <v/>
      </c>
      <c r="G679" s="1">
        <v>3.30000000000007</v>
      </c>
      <c r="H679" s="23" t="b">
        <f>if(countif(Status!C:C,A679)=1,TRUE, FALSE)</f>
        <v>1</v>
      </c>
    </row>
    <row r="680">
      <c r="A680" s="23" t="str">
        <f t="shared" si="13"/>
        <v>PLc1099</v>
      </c>
      <c r="B680" s="23" t="str">
        <f>'3.3.raw'!M669</f>
        <v>PLc1099</v>
      </c>
      <c r="C680" s="24">
        <f>datevalue(left('3.3.raw'!O669,10))</f>
        <v>43796</v>
      </c>
      <c r="D680" s="23">
        <f>'3.3.raw'!I669</f>
        <v>11</v>
      </c>
      <c r="E680" s="23" t="str">
        <f>'3.3.raw'!J669</f>
        <v/>
      </c>
      <c r="F680" s="23" t="str">
        <f>'3.3.raw'!K669</f>
        <v/>
      </c>
      <c r="G680" s="1">
        <v>3.30000000000007</v>
      </c>
      <c r="H680" s="23" t="b">
        <f>if(countif(Status!C:C,A680)=1,TRUE, FALSE)</f>
        <v>1</v>
      </c>
    </row>
    <row r="681">
      <c r="A681" s="23" t="str">
        <f t="shared" si="13"/>
        <v>EC26</v>
      </c>
      <c r="B681" s="23" t="str">
        <f>'3.3.raw'!M670</f>
        <v>EC26</v>
      </c>
      <c r="C681" s="24">
        <f>datevalue(left('3.3.raw'!O670,10))</f>
        <v>43796</v>
      </c>
      <c r="D681" s="23">
        <f>'3.3.raw'!I670</f>
        <v>98</v>
      </c>
      <c r="E681" s="23" t="str">
        <f>'3.3.raw'!J670</f>
        <v/>
      </c>
      <c r="F681" s="23" t="str">
        <f>'3.3.raw'!K670</f>
        <v/>
      </c>
      <c r="G681" s="1">
        <v>3.30000000000007</v>
      </c>
      <c r="H681" s="23" t="b">
        <f>if(countif(Status!C:C,A681)=1,TRUE, FALSE)</f>
        <v>1</v>
      </c>
    </row>
    <row r="682">
      <c r="A682" s="23" t="str">
        <f t="shared" si="13"/>
        <v>FPd1006</v>
      </c>
      <c r="B682" s="23" t="str">
        <f>'3.3.raw'!M671</f>
        <v>FPd1006</v>
      </c>
      <c r="C682" s="24">
        <f>datevalue(left('3.3.raw'!O671,10))</f>
        <v>43798</v>
      </c>
      <c r="D682" s="23">
        <f>'3.3.raw'!I671</f>
        <v>14</v>
      </c>
      <c r="E682" s="23">
        <f>'3.3.raw'!J671</f>
        <v>144</v>
      </c>
      <c r="F682" s="23" t="str">
        <f>'3.3.raw'!K671</f>
        <v/>
      </c>
      <c r="G682" s="1">
        <v>3.30000000000008</v>
      </c>
      <c r="H682" s="23" t="b">
        <f>if(countif(Status!C:C,A682)=1,TRUE, FALSE)</f>
        <v>1</v>
      </c>
    </row>
    <row r="683">
      <c r="A683" s="23" t="str">
        <f t="shared" si="13"/>
        <v>FPb1006</v>
      </c>
      <c r="B683" s="23" t="str">
        <f>'3.3.raw'!M672</f>
        <v>FPb1006</v>
      </c>
      <c r="C683" s="24">
        <f>datevalue(left('3.3.raw'!O672,10))</f>
        <v>43798</v>
      </c>
      <c r="D683" s="23">
        <f>'3.3.raw'!I672</f>
        <v>14</v>
      </c>
      <c r="E683" s="23">
        <f>'3.3.raw'!J672</f>
        <v>142</v>
      </c>
      <c r="F683" s="23" t="str">
        <f>'3.3.raw'!K672</f>
        <v/>
      </c>
      <c r="G683" s="1">
        <v>3.30000000000008</v>
      </c>
      <c r="H683" s="23" t="b">
        <f>if(countif(Status!C:C,A683)=1,TRUE, FALSE)</f>
        <v>1</v>
      </c>
    </row>
    <row r="684">
      <c r="A684" s="23" t="str">
        <f t="shared" si="13"/>
        <v>FPe1006</v>
      </c>
      <c r="B684" s="23" t="str">
        <f>'3.3.raw'!M673</f>
        <v>FPe1006</v>
      </c>
      <c r="C684" s="24">
        <f>datevalue(left('3.3.raw'!O673,10))</f>
        <v>43798</v>
      </c>
      <c r="D684" s="23">
        <f>'3.3.raw'!I673</f>
        <v>14</v>
      </c>
      <c r="E684" s="23">
        <f>'3.3.raw'!J673</f>
        <v>145</v>
      </c>
      <c r="F684" s="23" t="str">
        <f>'3.3.raw'!K673</f>
        <v/>
      </c>
      <c r="G684" s="1">
        <v>3.30000000000008</v>
      </c>
      <c r="H684" s="23" t="b">
        <f>if(countif(Status!C:C,A684)=1,TRUE, FALSE)</f>
        <v>1</v>
      </c>
    </row>
    <row r="685">
      <c r="A685" s="23" t="str">
        <f t="shared" si="13"/>
        <v>FPa1006</v>
      </c>
      <c r="B685" s="23" t="str">
        <f>'3.3.raw'!M674</f>
        <v>FPa1006</v>
      </c>
      <c r="C685" s="24">
        <f>datevalue(left('3.3.raw'!O674,10))</f>
        <v>43798</v>
      </c>
      <c r="D685" s="23">
        <f>'3.3.raw'!I674</f>
        <v>14</v>
      </c>
      <c r="E685" s="23">
        <f>'3.3.raw'!J674</f>
        <v>141</v>
      </c>
      <c r="F685" s="23" t="str">
        <f>'3.3.raw'!K674</f>
        <v/>
      </c>
      <c r="G685" s="1">
        <v>3.30000000000008</v>
      </c>
      <c r="H685" s="23" t="b">
        <f>if(countif(Status!C:C,A685)=1,TRUE, FALSE)</f>
        <v>1</v>
      </c>
    </row>
    <row r="686">
      <c r="A686" s="23" t="str">
        <f t="shared" si="13"/>
        <v>FPc1006</v>
      </c>
      <c r="B686" s="23" t="str">
        <f>'3.3.raw'!M675</f>
        <v>FPc1006</v>
      </c>
      <c r="C686" s="24">
        <f>datevalue(left('3.3.raw'!O675,10))</f>
        <v>43798</v>
      </c>
      <c r="D686" s="23">
        <f>'3.3.raw'!I675</f>
        <v>14</v>
      </c>
      <c r="E686" s="23">
        <f>'3.3.raw'!J675</f>
        <v>143</v>
      </c>
      <c r="F686" s="23" t="str">
        <f>'3.3.raw'!K675</f>
        <v/>
      </c>
      <c r="G686" s="1">
        <v>3.30000000000008</v>
      </c>
      <c r="H686" s="23" t="b">
        <f>if(countif(Status!C:C,A686)=1,TRUE, FALSE)</f>
        <v>1</v>
      </c>
    </row>
    <row r="687">
      <c r="A687" s="23" t="str">
        <f t="shared" si="13"/>
        <v>FB1164</v>
      </c>
      <c r="B687" s="23" t="str">
        <f>'3.3.raw'!M676</f>
        <v>FB1164</v>
      </c>
      <c r="C687" s="24">
        <f>datevalue(left('3.3.raw'!O676,10))</f>
        <v>43798</v>
      </c>
      <c r="D687" s="23">
        <f>'3.3.raw'!I676</f>
        <v>99</v>
      </c>
      <c r="E687" s="23" t="str">
        <f>'3.3.raw'!J676</f>
        <v/>
      </c>
      <c r="F687" s="23" t="str">
        <f>'3.3.raw'!K676</f>
        <v/>
      </c>
      <c r="G687" s="1">
        <v>3.30000000000008</v>
      </c>
      <c r="H687" s="23" t="b">
        <f>if(countif(Status!C:C,A687)=1,TRUE, FALSE)</f>
        <v>1</v>
      </c>
    </row>
    <row r="688">
      <c r="A688" s="23" t="str">
        <f t="shared" si="13"/>
        <v>UF1009</v>
      </c>
      <c r="B688" s="23" t="str">
        <f>'3.3.raw'!M677</f>
        <v>UF1009</v>
      </c>
      <c r="C688" s="24">
        <f>datevalue(left('3.3.raw'!O677,10))</f>
        <v>43798</v>
      </c>
      <c r="D688" s="23">
        <f>'3.3.raw'!I677</f>
        <v>16</v>
      </c>
      <c r="E688" s="23" t="str">
        <f>'3.3.raw'!J677</f>
        <v/>
      </c>
      <c r="F688" s="23" t="str">
        <f>'3.3.raw'!K677</f>
        <v/>
      </c>
      <c r="G688" s="1">
        <v>3.30000000000008</v>
      </c>
      <c r="H688" s="23" t="b">
        <f>if(countif(Status!C:C,A688)=1,TRUE, FALSE)</f>
        <v>1</v>
      </c>
    </row>
    <row r="689">
      <c r="A689" s="23" t="str">
        <f t="shared" si="13"/>
        <v>PLc1100</v>
      </c>
      <c r="B689" s="23" t="str">
        <f>'3.3.raw'!M678</f>
        <v>PLc1100</v>
      </c>
      <c r="C689" s="24">
        <f>datevalue(left('3.3.raw'!O678,10))</f>
        <v>43798</v>
      </c>
      <c r="D689" s="23">
        <f>'3.3.raw'!I678</f>
        <v>11</v>
      </c>
      <c r="E689" s="23" t="str">
        <f>'3.3.raw'!J678</f>
        <v/>
      </c>
      <c r="F689" s="23" t="str">
        <f>'3.3.raw'!K678</f>
        <v/>
      </c>
      <c r="G689" s="1">
        <v>3.30000000000008</v>
      </c>
      <c r="H689" s="23" t="b">
        <f>if(countif(Status!C:C,A689)=1,TRUE, FALSE)</f>
        <v>1</v>
      </c>
    </row>
    <row r="690">
      <c r="A690" s="23" t="str">
        <f t="shared" si="13"/>
        <v>PLc1101</v>
      </c>
      <c r="B690" s="23" t="str">
        <f>'3.3.raw'!M679</f>
        <v>PLc1101</v>
      </c>
      <c r="C690" s="24">
        <f>datevalue(left('3.3.raw'!O679,10))</f>
        <v>43798</v>
      </c>
      <c r="D690" s="23">
        <f>'3.3.raw'!I679</f>
        <v>11</v>
      </c>
      <c r="E690" s="23" t="str">
        <f>'3.3.raw'!J679</f>
        <v/>
      </c>
      <c r="F690" s="23" t="str">
        <f>'3.3.raw'!K679</f>
        <v/>
      </c>
      <c r="G690" s="1">
        <v>3.30000000000008</v>
      </c>
      <c r="H690" s="23" t="b">
        <f>if(countif(Status!C:C,A690)=1,TRUE, FALSE)</f>
        <v>1</v>
      </c>
    </row>
    <row r="691">
      <c r="A691" s="23" t="str">
        <f t="shared" si="13"/>
        <v>MO1124</v>
      </c>
      <c r="B691" s="23" t="str">
        <f>'3.3.raw'!M680</f>
        <v>MO1124</v>
      </c>
      <c r="C691" s="24">
        <f>datevalue(left('3.3.raw'!O680,10))</f>
        <v>43798</v>
      </c>
      <c r="D691" s="23">
        <f>'3.3.raw'!I680</f>
        <v>12</v>
      </c>
      <c r="E691" s="23" t="str">
        <f>'3.3.raw'!J680</f>
        <v/>
      </c>
      <c r="F691" s="23" t="str">
        <f>'3.3.raw'!K680</f>
        <v/>
      </c>
      <c r="G691" s="1">
        <v>3.30000000000008</v>
      </c>
      <c r="H691" s="23" t="b">
        <f>if(countif(Status!C:C,A691)=1,TRUE, FALSE)</f>
        <v>1</v>
      </c>
    </row>
    <row r="692">
      <c r="A692" s="23" t="str">
        <f t="shared" si="13"/>
        <v>MO1125</v>
      </c>
      <c r="B692" s="23" t="str">
        <f>'3.3.raw'!M681</f>
        <v>MO1125</v>
      </c>
      <c r="C692" s="24">
        <f>datevalue(left('3.3.raw'!O681,10))</f>
        <v>43798</v>
      </c>
      <c r="D692" s="23">
        <f>'3.3.raw'!I681</f>
        <v>12</v>
      </c>
      <c r="E692" s="23" t="str">
        <f>'3.3.raw'!J681</f>
        <v/>
      </c>
      <c r="F692" s="23" t="str">
        <f>'3.3.raw'!K681</f>
        <v/>
      </c>
      <c r="G692" s="1">
        <v>3.30000000000008</v>
      </c>
      <c r="H692" s="23" t="b">
        <f>if(countif(Status!C:C,A692)=1,TRUE, FALSE)</f>
        <v>1</v>
      </c>
    </row>
    <row r="693">
      <c r="A693" s="23" t="str">
        <f t="shared" si="13"/>
        <v>FB1168</v>
      </c>
      <c r="B693" s="23" t="str">
        <f>'3.3.raw'!M682</f>
        <v>FB1168</v>
      </c>
      <c r="C693" s="24">
        <f>datevalue(left('3.3.raw'!O682,10))</f>
        <v>43798</v>
      </c>
      <c r="D693" s="23">
        <f>'3.3.raw'!I682</f>
        <v>99</v>
      </c>
      <c r="E693" s="23" t="str">
        <f>'3.3.raw'!J682</f>
        <v/>
      </c>
      <c r="F693" s="23" t="str">
        <f>'3.3.raw'!K682</f>
        <v/>
      </c>
      <c r="G693" s="1">
        <v>3.30000000000008</v>
      </c>
      <c r="H693" s="23" t="b">
        <f>if(countif(Status!C:C,A693)=1,TRUE, FALSE)</f>
        <v>1</v>
      </c>
    </row>
    <row r="694">
      <c r="A694" s="23" t="str">
        <f t="shared" si="13"/>
        <v>EC27</v>
      </c>
      <c r="B694" s="23" t="str">
        <f>'3.3.raw'!M683</f>
        <v>EC27</v>
      </c>
      <c r="C694" s="24">
        <f>datevalue(left('3.3.raw'!O683,10))</f>
        <v>43798</v>
      </c>
      <c r="D694" s="23">
        <f>'3.3.raw'!I683</f>
        <v>98</v>
      </c>
      <c r="E694" s="23" t="str">
        <f>'3.3.raw'!J683</f>
        <v/>
      </c>
      <c r="F694" s="23" t="str">
        <f>'3.3.raw'!K683</f>
        <v/>
      </c>
      <c r="G694" s="1">
        <v>3.30000000000008</v>
      </c>
      <c r="H694" s="23" t="b">
        <f>if(countif(Status!C:C,A694)=1,TRUE, FALSE)</f>
        <v>1</v>
      </c>
    </row>
    <row r="695">
      <c r="A695" s="23" t="str">
        <f t="shared" si="13"/>
        <v>PLc1102</v>
      </c>
      <c r="B695" s="23" t="str">
        <f>'3.3.raw'!M684</f>
        <v>PLc1102</v>
      </c>
      <c r="C695" s="24">
        <f>datevalue(left('3.3.raw'!O684,10))</f>
        <v>43802</v>
      </c>
      <c r="D695" s="23">
        <f>'3.3.raw'!I684</f>
        <v>11</v>
      </c>
      <c r="E695" s="23" t="str">
        <f>'3.3.raw'!J684</f>
        <v/>
      </c>
      <c r="F695" s="23" t="str">
        <f>'3.3.raw'!K684</f>
        <v/>
      </c>
      <c r="G695" s="1">
        <v>3.30000000000008</v>
      </c>
      <c r="H695" s="23" t="b">
        <f>if(countif(Status!C:C,A695)=1,TRUE, FALSE)</f>
        <v>1</v>
      </c>
    </row>
    <row r="696">
      <c r="A696" s="23" t="str">
        <f t="shared" si="13"/>
        <v>PLc1103</v>
      </c>
      <c r="B696" s="23" t="str">
        <f>'3.3.raw'!M685</f>
        <v>PLc1103</v>
      </c>
      <c r="C696" s="24">
        <f>datevalue(left('3.3.raw'!O685,10))</f>
        <v>43802</v>
      </c>
      <c r="D696" s="23">
        <f>'3.3.raw'!I685</f>
        <v>11</v>
      </c>
      <c r="E696" s="23" t="str">
        <f>'3.3.raw'!J685</f>
        <v/>
      </c>
      <c r="F696" s="23" t="str">
        <f>'3.3.raw'!K685</f>
        <v/>
      </c>
      <c r="G696" s="1">
        <v>3.30000000000008</v>
      </c>
      <c r="H696" s="23" t="b">
        <f>if(countif(Status!C:C,A696)=1,TRUE, FALSE)</f>
        <v>1</v>
      </c>
    </row>
    <row r="697">
      <c r="A697" s="23" t="str">
        <f t="shared" si="13"/>
        <v>FB1170</v>
      </c>
      <c r="B697" s="23" t="str">
        <f>'3.3.raw'!M686</f>
        <v>FB1170</v>
      </c>
      <c r="C697" s="24">
        <f>datevalue(left('3.3.raw'!O686,10))</f>
        <v>43802</v>
      </c>
      <c r="D697" s="23">
        <f>'3.3.raw'!I686</f>
        <v>99</v>
      </c>
      <c r="E697" s="23" t="str">
        <f>'3.3.raw'!J686</f>
        <v/>
      </c>
      <c r="F697" s="23" t="str">
        <f>'3.3.raw'!K686</f>
        <v/>
      </c>
      <c r="G697" s="1">
        <v>3.30000000000008</v>
      </c>
      <c r="H697" s="23" t="b">
        <f>if(countif(Status!C:C,A697)=1,TRUE, FALSE)</f>
        <v>1</v>
      </c>
    </row>
    <row r="698">
      <c r="A698" s="23" t="str">
        <f t="shared" si="13"/>
        <v>PLc1104</v>
      </c>
      <c r="B698" s="23" t="str">
        <f>'3.3.raw'!M687</f>
        <v>PLc1104</v>
      </c>
      <c r="C698" s="24">
        <f>datevalue(left('3.3.raw'!O687,10))</f>
        <v>43802</v>
      </c>
      <c r="D698" s="23">
        <f>'3.3.raw'!I687</f>
        <v>11</v>
      </c>
      <c r="E698" s="23" t="str">
        <f>'3.3.raw'!J687</f>
        <v/>
      </c>
      <c r="F698" s="23" t="str">
        <f>'3.3.raw'!K687</f>
        <v/>
      </c>
      <c r="G698" s="1">
        <v>3.30000000000008</v>
      </c>
      <c r="H698" s="23" t="b">
        <f>if(countif(Status!C:C,A698)=1,TRUE, FALSE)</f>
        <v>1</v>
      </c>
    </row>
    <row r="699">
      <c r="A699" s="23" t="str">
        <f t="shared" si="13"/>
        <v>PLc1105</v>
      </c>
      <c r="B699" s="23" t="str">
        <f>'3.3.raw'!M688</f>
        <v>PLc1105</v>
      </c>
      <c r="C699" s="24">
        <f>datevalue(left('3.3.raw'!O688,10))</f>
        <v>43802</v>
      </c>
      <c r="D699" s="23">
        <f>'3.3.raw'!I688</f>
        <v>11</v>
      </c>
      <c r="E699" s="23" t="str">
        <f>'3.3.raw'!J688</f>
        <v/>
      </c>
      <c r="F699" s="23" t="str">
        <f>'3.3.raw'!K688</f>
        <v/>
      </c>
      <c r="G699" s="1">
        <v>3.30000000000008</v>
      </c>
      <c r="H699" s="23" t="b">
        <f>if(countif(Status!C:C,A699)=1,TRUE, FALSE)</f>
        <v>1</v>
      </c>
    </row>
    <row r="700">
      <c r="A700" s="23" t="str">
        <f t="shared" si="13"/>
        <v>FB1172</v>
      </c>
      <c r="B700" s="23" t="str">
        <f>'3.3.raw'!M689</f>
        <v>FB1172</v>
      </c>
      <c r="C700" s="24">
        <f>datevalue(left('3.3.raw'!O689,10))</f>
        <v>43802</v>
      </c>
      <c r="D700" s="23">
        <f>'3.3.raw'!I689</f>
        <v>99</v>
      </c>
      <c r="E700" s="23" t="str">
        <f>'3.3.raw'!J689</f>
        <v/>
      </c>
      <c r="F700" s="23" t="str">
        <f>'3.3.raw'!K689</f>
        <v/>
      </c>
      <c r="G700" s="1">
        <v>3.30000000000008</v>
      </c>
      <c r="H700" s="23" t="b">
        <f>if(countif(Status!C:C,A700)=1,TRUE, FALSE)</f>
        <v>1</v>
      </c>
    </row>
    <row r="701">
      <c r="A701" s="23" t="str">
        <f t="shared" si="13"/>
        <v>PLc1106</v>
      </c>
      <c r="B701" s="23" t="str">
        <f>'3.3.raw'!M690</f>
        <v>PLc1106</v>
      </c>
      <c r="C701" s="24">
        <f>datevalue(left('3.3.raw'!O690,10))</f>
        <v>43802</v>
      </c>
      <c r="D701" s="23">
        <f>'3.3.raw'!I690</f>
        <v>11</v>
      </c>
      <c r="E701" s="23" t="str">
        <f>'3.3.raw'!J690</f>
        <v/>
      </c>
      <c r="F701" s="23" t="str">
        <f>'3.3.raw'!K690</f>
        <v/>
      </c>
      <c r="G701" s="1">
        <v>3.30000000000008</v>
      </c>
      <c r="H701" s="23" t="b">
        <f>if(countif(Status!C:C,A701)=1,TRUE, FALSE)</f>
        <v>1</v>
      </c>
    </row>
    <row r="702">
      <c r="A702" s="23" t="str">
        <f t="shared" si="13"/>
        <v>EC28</v>
      </c>
      <c r="B702" s="23" t="str">
        <f>'3.3.raw'!M691</f>
        <v>EC28</v>
      </c>
      <c r="C702" s="24">
        <f>datevalue(left('3.3.raw'!O691,10))</f>
        <v>43802</v>
      </c>
      <c r="D702" s="23">
        <f>'3.3.raw'!I691</f>
        <v>98</v>
      </c>
      <c r="E702" s="23" t="str">
        <f>'3.3.raw'!J691</f>
        <v/>
      </c>
      <c r="F702" s="23" t="str">
        <f>'3.3.raw'!K691</f>
        <v/>
      </c>
      <c r="G702" s="1">
        <v>3.30000000000008</v>
      </c>
      <c r="H702" s="23" t="b">
        <f>if(countif(Status!C:C,A702)=1,TRUE, FALSE)</f>
        <v>1</v>
      </c>
    </row>
    <row r="703">
      <c r="A703" s="23" t="str">
        <f t="shared" si="13"/>
        <v>MO1126</v>
      </c>
      <c r="B703" s="23" t="str">
        <f>'3.3.raw'!M692</f>
        <v>MO1126</v>
      </c>
      <c r="C703" s="24">
        <f>datevalue(left('3.3.raw'!O692,10))</f>
        <v>43804</v>
      </c>
      <c r="D703" s="23">
        <f>'3.3.raw'!I692</f>
        <v>12</v>
      </c>
      <c r="E703" s="23" t="str">
        <f>'3.3.raw'!J692</f>
        <v/>
      </c>
      <c r="F703" s="23" t="str">
        <f>'3.3.raw'!K692</f>
        <v/>
      </c>
      <c r="G703" s="1">
        <v>3.30000000000008</v>
      </c>
      <c r="H703" s="23" t="b">
        <f>if(countif(Status!C:C,A703)=1,TRUE, FALSE)</f>
        <v>1</v>
      </c>
    </row>
    <row r="704">
      <c r="A704" s="23" t="str">
        <f t="shared" si="13"/>
        <v>MO1127</v>
      </c>
      <c r="B704" s="23" t="str">
        <f>'3.3.raw'!M693</f>
        <v>MO1127</v>
      </c>
      <c r="C704" s="24">
        <f>datevalue(left('3.3.raw'!O693,10))</f>
        <v>43804</v>
      </c>
      <c r="D704" s="23">
        <f>'3.3.raw'!I693</f>
        <v>12</v>
      </c>
      <c r="E704" s="23" t="str">
        <f>'3.3.raw'!J693</f>
        <v/>
      </c>
      <c r="F704" s="23" t="str">
        <f>'3.3.raw'!K693</f>
        <v/>
      </c>
      <c r="G704" s="1">
        <v>3.30000000000008</v>
      </c>
      <c r="H704" s="23" t="b">
        <f>if(countif(Status!C:C,A704)=1,TRUE, FALSE)</f>
        <v>1</v>
      </c>
    </row>
    <row r="705">
      <c r="A705" s="23" t="str">
        <f t="shared" si="13"/>
        <v>PLc1107</v>
      </c>
      <c r="B705" s="23" t="str">
        <f>'3.3.raw'!M694</f>
        <v>PLc1107</v>
      </c>
      <c r="C705" s="24">
        <f>datevalue(left('3.3.raw'!O694,10))</f>
        <v>43804</v>
      </c>
      <c r="D705" s="23">
        <f>'3.3.raw'!I694</f>
        <v>11</v>
      </c>
      <c r="E705" s="23" t="str">
        <f>'3.3.raw'!J694</f>
        <v/>
      </c>
      <c r="F705" s="23" t="str">
        <f>'3.3.raw'!K694</f>
        <v/>
      </c>
      <c r="G705" s="1">
        <v>3.30000000000008</v>
      </c>
      <c r="H705" s="23" t="b">
        <f>if(countif(Status!C:C,A705)=1,TRUE, FALSE)</f>
        <v>1</v>
      </c>
    </row>
    <row r="706">
      <c r="A706" s="23" t="str">
        <f t="shared" si="13"/>
        <v>PLc1108</v>
      </c>
      <c r="B706" s="23" t="str">
        <f>'3.3.raw'!M695</f>
        <v>PLc1108</v>
      </c>
      <c r="C706" s="24">
        <f>datevalue(left('3.3.raw'!O695,10))</f>
        <v>43804</v>
      </c>
      <c r="D706" s="23">
        <f>'3.3.raw'!I695</f>
        <v>11</v>
      </c>
      <c r="E706" s="23" t="str">
        <f>'3.3.raw'!J695</f>
        <v/>
      </c>
      <c r="F706" s="23" t="str">
        <f>'3.3.raw'!K695</f>
        <v/>
      </c>
      <c r="G706" s="1">
        <v>3.30000000000008</v>
      </c>
      <c r="H706" s="23" t="b">
        <f>if(countif(Status!C:C,A706)=1,TRUE, FALSE)</f>
        <v>1</v>
      </c>
    </row>
    <row r="707">
      <c r="A707" s="23" t="str">
        <f t="shared" si="13"/>
        <v>PLc1109</v>
      </c>
      <c r="B707" s="23" t="str">
        <f>'3.3.raw'!M696</f>
        <v>PLc1109</v>
      </c>
      <c r="C707" s="24">
        <f>datevalue(left('3.3.raw'!O696,10))</f>
        <v>43804</v>
      </c>
      <c r="D707" s="23">
        <f>'3.3.raw'!I696</f>
        <v>11</v>
      </c>
      <c r="E707" s="23" t="str">
        <f>'3.3.raw'!J696</f>
        <v/>
      </c>
      <c r="F707" s="23" t="str">
        <f>'3.3.raw'!K696</f>
        <v/>
      </c>
      <c r="G707" s="1">
        <v>3.30000000000008</v>
      </c>
      <c r="H707" s="23" t="b">
        <f>if(countif(Status!C:C,A707)=1,TRUE, FALSE)</f>
        <v>1</v>
      </c>
    </row>
    <row r="708">
      <c r="A708" s="23" t="str">
        <f t="shared" si="13"/>
        <v>FB1178UP</v>
      </c>
      <c r="B708" s="23" t="str">
        <f>'3.3.raw'!M697</f>
        <v>FB1178UP</v>
      </c>
      <c r="C708" s="24">
        <f>datevalue(left('3.3.raw'!O697,10))</f>
        <v>43804</v>
      </c>
      <c r="D708" s="23">
        <f>'3.3.raw'!I697</f>
        <v>99</v>
      </c>
      <c r="E708" s="23" t="str">
        <f>'3.3.raw'!J697</f>
        <v/>
      </c>
      <c r="F708" s="23" t="str">
        <f>'3.3.raw'!K697</f>
        <v/>
      </c>
      <c r="G708" s="1">
        <v>3.30000000000008</v>
      </c>
      <c r="H708" s="23" t="b">
        <f>if(countif(Status!C:C,A708)=1,TRUE, FALSE)</f>
        <v>1</v>
      </c>
    </row>
    <row r="709">
      <c r="A709" s="23" t="str">
        <f t="shared" si="13"/>
        <v>UF1010</v>
      </c>
      <c r="B709" s="23" t="str">
        <f>'3.3.raw'!M698</f>
        <v>UF1010</v>
      </c>
      <c r="C709" s="24">
        <f>datevalue(left('3.3.raw'!O698,10))</f>
        <v>43804</v>
      </c>
      <c r="D709" s="23">
        <f>'3.3.raw'!I698</f>
        <v>16</v>
      </c>
      <c r="E709" s="23" t="str">
        <f>'3.3.raw'!J698</f>
        <v/>
      </c>
      <c r="F709" s="23" t="str">
        <f>'3.3.raw'!K698</f>
        <v/>
      </c>
      <c r="G709" s="1">
        <v>3.30000000000008</v>
      </c>
      <c r="H709" s="23" t="b">
        <f>if(countif(Status!C:C,A709)=1,TRUE, FALSE)</f>
        <v>1</v>
      </c>
    </row>
    <row r="710">
      <c r="A710" s="23" t="str">
        <f t="shared" si="13"/>
        <v>UF1010F</v>
      </c>
      <c r="B710" s="23" t="str">
        <f>'3.3.raw'!M699</f>
        <v>UF1010F</v>
      </c>
      <c r="C710" s="24">
        <f>datevalue(left('3.3.raw'!O699,10))</f>
        <v>43804</v>
      </c>
      <c r="D710" s="23">
        <f>'3.3.raw'!I699</f>
        <v>16</v>
      </c>
      <c r="E710" s="23" t="str">
        <f>'3.3.raw'!J699</f>
        <v/>
      </c>
      <c r="F710" s="23" t="str">
        <f>'3.3.raw'!K699</f>
        <v/>
      </c>
      <c r="G710" s="1">
        <v>3.30000000000008</v>
      </c>
      <c r="H710" s="23" t="b">
        <f>if(countif(Status!C:C,A710)=1,TRUE, FALSE)</f>
        <v>1</v>
      </c>
    </row>
    <row r="711">
      <c r="A711" s="23" t="str">
        <f t="shared" si="13"/>
        <v>EC29</v>
      </c>
      <c r="B711" s="23" t="str">
        <f>'3.3.raw'!M700</f>
        <v>EC29</v>
      </c>
      <c r="C711" s="24">
        <f>datevalue(left('3.3.raw'!O700,10))</f>
        <v>43804</v>
      </c>
      <c r="D711" s="23">
        <f>'3.3.raw'!I700</f>
        <v>98</v>
      </c>
      <c r="E711" s="23" t="str">
        <f>'3.3.raw'!J700</f>
        <v/>
      </c>
      <c r="F711" s="23" t="str">
        <f>'3.3.raw'!K700</f>
        <v/>
      </c>
      <c r="G711" s="1">
        <v>3.30000000000008</v>
      </c>
      <c r="H711" s="23" t="b">
        <f>if(countif(Status!C:C,A711)=1,TRUE, FALSE)</f>
        <v>1</v>
      </c>
    </row>
    <row r="712">
      <c r="A712" s="23" t="str">
        <f t="shared" si="13"/>
        <v>MO1128</v>
      </c>
      <c r="B712" s="23" t="str">
        <f>'3.3.raw'!M701</f>
        <v>MO1128</v>
      </c>
      <c r="C712" s="24">
        <f>datevalue(left('3.3.raw'!O701,10))</f>
        <v>43808</v>
      </c>
      <c r="D712" s="23">
        <f>'3.3.raw'!I701</f>
        <v>12</v>
      </c>
      <c r="E712" s="23" t="str">
        <f>'3.3.raw'!J701</f>
        <v/>
      </c>
      <c r="F712" s="23" t="str">
        <f>'3.3.raw'!K701</f>
        <v/>
      </c>
      <c r="G712" s="1">
        <v>3.30000000000008</v>
      </c>
      <c r="H712" s="23" t="b">
        <f>if(countif(Status!C:C,A712)=1,TRUE, FALSE)</f>
        <v>1</v>
      </c>
    </row>
    <row r="713">
      <c r="A713" s="23" t="str">
        <f t="shared" si="13"/>
        <v>MO1129</v>
      </c>
      <c r="B713" s="23" t="str">
        <f>'3.3.raw'!M702</f>
        <v>MO1129</v>
      </c>
      <c r="C713" s="24">
        <f>datevalue(left('3.3.raw'!O702,10))</f>
        <v>43808</v>
      </c>
      <c r="D713" s="23">
        <f>'3.3.raw'!I702</f>
        <v>12</v>
      </c>
      <c r="E713" s="23" t="str">
        <f>'3.3.raw'!J702</f>
        <v/>
      </c>
      <c r="F713" s="23" t="str">
        <f>'3.3.raw'!K702</f>
        <v/>
      </c>
      <c r="G713" s="1">
        <v>3.30000000000008</v>
      </c>
      <c r="H713" s="23" t="b">
        <f>if(countif(Status!C:C,A713)=1,TRUE, FALSE)</f>
        <v>1</v>
      </c>
    </row>
    <row r="714">
      <c r="A714" s="23" t="str">
        <f t="shared" si="13"/>
        <v>FB1180</v>
      </c>
      <c r="B714" s="23" t="str">
        <f>'3.3.raw'!M703</f>
        <v>FB1180</v>
      </c>
      <c r="C714" s="24">
        <f>datevalue(left('3.3.raw'!O703,10))</f>
        <v>43808</v>
      </c>
      <c r="D714" s="23">
        <f>'3.3.raw'!I703</f>
        <v>99</v>
      </c>
      <c r="E714" s="23" t="str">
        <f>'3.3.raw'!J703</f>
        <v/>
      </c>
      <c r="F714" s="23" t="str">
        <f>'3.3.raw'!K703</f>
        <v/>
      </c>
      <c r="G714" s="1">
        <v>3.30000000000008</v>
      </c>
      <c r="H714" s="23" t="b">
        <f>if(countif(Status!C:C,A714)=1,TRUE, FALSE)</f>
        <v>1</v>
      </c>
    </row>
    <row r="715">
      <c r="A715" s="23" t="str">
        <f t="shared" si="13"/>
        <v>EC30</v>
      </c>
      <c r="B715" s="23" t="str">
        <f>'3.3.raw'!M704</f>
        <v>EC30</v>
      </c>
      <c r="C715" s="24">
        <f>datevalue(left('3.3.raw'!O704,10))</f>
        <v>43808</v>
      </c>
      <c r="D715" s="23">
        <f>'3.3.raw'!I704</f>
        <v>98</v>
      </c>
      <c r="E715" s="23" t="str">
        <f>'3.3.raw'!J704</f>
        <v/>
      </c>
      <c r="F715" s="23" t="str">
        <f>'3.3.raw'!K704</f>
        <v/>
      </c>
      <c r="G715" s="1">
        <v>3.30000000000008</v>
      </c>
      <c r="H715" s="23" t="b">
        <f>if(countif(Status!C:C,A715)=1,TRUE, FALSE)</f>
        <v>1</v>
      </c>
    </row>
    <row r="716">
      <c r="A716" s="23" t="str">
        <f t="shared" si="13"/>
        <v>PLc1110</v>
      </c>
      <c r="B716" s="23" t="str">
        <f>'3.3.raw'!M705</f>
        <v>PLc1110</v>
      </c>
      <c r="C716" s="24">
        <f>datevalue(left('3.3.raw'!O705,10))</f>
        <v>43808</v>
      </c>
      <c r="D716" s="23">
        <f>'3.3.raw'!I705</f>
        <v>11</v>
      </c>
      <c r="E716" s="23" t="str">
        <f>'3.3.raw'!J705</f>
        <v/>
      </c>
      <c r="F716" s="23" t="str">
        <f>'3.3.raw'!K705</f>
        <v/>
      </c>
      <c r="G716" s="1">
        <v>3.30000000000008</v>
      </c>
      <c r="H716" s="23" t="b">
        <f>if(countif(Status!C:C,A716)=1,TRUE, FALSE)</f>
        <v>1</v>
      </c>
    </row>
    <row r="717">
      <c r="A717" s="49" t="s">
        <v>321</v>
      </c>
      <c r="B717" s="23" t="str">
        <f>'3.3.raw'!M706</f>
        <v>PLc111</v>
      </c>
      <c r="C717" s="24">
        <f>datevalue(left('3.3.raw'!O706,10))</f>
        <v>43808</v>
      </c>
      <c r="D717" s="23">
        <f>'3.3.raw'!I706</f>
        <v>11</v>
      </c>
      <c r="E717" s="23" t="str">
        <f>'3.3.raw'!J706</f>
        <v/>
      </c>
      <c r="F717" s="23" t="str">
        <f>'3.3.raw'!K706</f>
        <v/>
      </c>
      <c r="G717" s="1">
        <v>3.30000000000008</v>
      </c>
      <c r="H717" s="23" t="b">
        <f>if(countif(Status!C:C,A717)=1,TRUE, FALSE)</f>
        <v>1</v>
      </c>
    </row>
    <row r="718">
      <c r="A718" s="23" t="str">
        <f t="shared" ref="A718:A960" si="14">B718</f>
        <v>PLc1112</v>
      </c>
      <c r="B718" s="23" t="str">
        <f>'3.3.raw'!M707</f>
        <v>PLc1112</v>
      </c>
      <c r="C718" s="24">
        <f>datevalue(left('3.3.raw'!O707,10))</f>
        <v>43808</v>
      </c>
      <c r="D718" s="23">
        <f>'3.3.raw'!I707</f>
        <v>11</v>
      </c>
      <c r="E718" s="23" t="str">
        <f>'3.3.raw'!J707</f>
        <v/>
      </c>
      <c r="F718" s="23" t="str">
        <f>'3.3.raw'!K707</f>
        <v/>
      </c>
      <c r="G718" s="1">
        <v>3.30000000000008</v>
      </c>
      <c r="H718" s="23" t="b">
        <f>if(countif(Status!C:C,A718)=1,TRUE, FALSE)</f>
        <v>1</v>
      </c>
    </row>
    <row r="719">
      <c r="A719" s="23" t="str">
        <f t="shared" si="14"/>
        <v>PLc1113</v>
      </c>
      <c r="B719" s="23" t="str">
        <f>'3.3.raw'!M708</f>
        <v>PLc1113</v>
      </c>
      <c r="C719" s="24">
        <f>datevalue(left('3.3.raw'!O708,10))</f>
        <v>43808</v>
      </c>
      <c r="D719" s="23">
        <f>'3.3.raw'!I708</f>
        <v>11</v>
      </c>
      <c r="E719" s="23" t="str">
        <f>'3.3.raw'!J708</f>
        <v/>
      </c>
      <c r="F719" s="23" t="str">
        <f>'3.3.raw'!K708</f>
        <v/>
      </c>
      <c r="G719" s="1">
        <v>3.30000000000008</v>
      </c>
      <c r="H719" s="23" t="b">
        <f>if(countif(Status!C:C,A719)=1,TRUE, FALSE)</f>
        <v>1</v>
      </c>
    </row>
    <row r="720">
      <c r="A720" s="23" t="str">
        <f t="shared" si="14"/>
        <v>PLc1115</v>
      </c>
      <c r="B720" s="23" t="str">
        <f>'3.3.raw'!M709</f>
        <v>PLc1115</v>
      </c>
      <c r="C720" s="24">
        <f>datevalue(left('3.3.raw'!O709,10))</f>
        <v>43808</v>
      </c>
      <c r="D720" s="23">
        <f>'3.3.raw'!I709</f>
        <v>11</v>
      </c>
      <c r="E720" s="23" t="str">
        <f>'3.3.raw'!J709</f>
        <v/>
      </c>
      <c r="F720" s="23" t="str">
        <f>'3.3.raw'!K709</f>
        <v/>
      </c>
      <c r="G720" s="1">
        <v>3.30000000000008</v>
      </c>
      <c r="H720" s="23" t="b">
        <f>if(countif(Status!C:C,A720)=1,TRUE, FALSE)</f>
        <v>1</v>
      </c>
    </row>
    <row r="721">
      <c r="A721" s="23" t="str">
        <f t="shared" si="14"/>
        <v>PLc1116</v>
      </c>
      <c r="B721" s="23" t="str">
        <f>'3.3.raw'!M710</f>
        <v>PLc1116</v>
      </c>
      <c r="C721" s="24">
        <f>datevalue(left('3.3.raw'!O710,10))</f>
        <v>43808</v>
      </c>
      <c r="D721" s="23">
        <f>'3.3.raw'!I710</f>
        <v>11</v>
      </c>
      <c r="E721" s="23" t="str">
        <f>'3.3.raw'!J710</f>
        <v/>
      </c>
      <c r="F721" s="23" t="str">
        <f>'3.3.raw'!K710</f>
        <v/>
      </c>
      <c r="G721" s="1">
        <v>3.30000000000008</v>
      </c>
      <c r="H721" s="23" t="b">
        <f>if(countif(Status!C:C,A721)=1,TRUE, FALSE)</f>
        <v>1</v>
      </c>
    </row>
    <row r="722">
      <c r="A722" s="23" t="str">
        <f t="shared" si="14"/>
        <v>PLc1114</v>
      </c>
      <c r="B722" s="23" t="str">
        <f>'3.3.raw'!M711</f>
        <v>PLc1114</v>
      </c>
      <c r="C722" s="24">
        <f>datevalue(left('3.3.raw'!O711,10))</f>
        <v>43808</v>
      </c>
      <c r="D722" s="23">
        <f>'3.3.raw'!I711</f>
        <v>11</v>
      </c>
      <c r="E722" s="23" t="str">
        <f>'3.3.raw'!J711</f>
        <v/>
      </c>
      <c r="F722" s="23" t="str">
        <f>'3.3.raw'!K711</f>
        <v/>
      </c>
      <c r="G722" s="1">
        <v>3.30000000000008</v>
      </c>
      <c r="H722" s="23" t="b">
        <f>if(countif(Status!C:C,A722)=1,TRUE, FALSE)</f>
        <v>1</v>
      </c>
    </row>
    <row r="723">
      <c r="A723" s="23" t="str">
        <f t="shared" si="14"/>
        <v>FB1185</v>
      </c>
      <c r="B723" s="23" t="str">
        <f>'3.3.raw'!M712</f>
        <v>FB1185</v>
      </c>
      <c r="C723" s="24">
        <f>datevalue(left('3.3.raw'!O712,10))</f>
        <v>43808</v>
      </c>
      <c r="D723" s="23">
        <f>'3.3.raw'!I712</f>
        <v>99</v>
      </c>
      <c r="E723" s="23" t="str">
        <f>'3.3.raw'!J712</f>
        <v/>
      </c>
      <c r="F723" s="23" t="str">
        <f>'3.3.raw'!K712</f>
        <v/>
      </c>
      <c r="G723" s="1">
        <v>3.30000000000008</v>
      </c>
      <c r="H723" s="23" t="b">
        <f>if(countif(Status!C:C,A723)=1,TRUE, FALSE)</f>
        <v>1</v>
      </c>
    </row>
    <row r="724">
      <c r="A724" s="23" t="str">
        <f t="shared" si="14"/>
        <v>PLc1117</v>
      </c>
      <c r="B724" s="23" t="str">
        <f>'3.3.raw'!M713</f>
        <v>PLc1117</v>
      </c>
      <c r="C724" s="24">
        <f>datevalue(left('3.3.raw'!O713,10))</f>
        <v>43808</v>
      </c>
      <c r="D724" s="23">
        <f>'3.3.raw'!I713</f>
        <v>11</v>
      </c>
      <c r="E724" s="23" t="str">
        <f>'3.3.raw'!J713</f>
        <v/>
      </c>
      <c r="F724" s="23" t="str">
        <f>'3.3.raw'!K713</f>
        <v/>
      </c>
      <c r="G724" s="1">
        <v>3.30000000000008</v>
      </c>
      <c r="H724" s="23" t="b">
        <f>if(countif(Status!C:C,A724)=1,TRUE, FALSE)</f>
        <v>1</v>
      </c>
    </row>
    <row r="725">
      <c r="A725" s="23" t="str">
        <f t="shared" si="14"/>
        <v>PLc1118</v>
      </c>
      <c r="B725" s="23" t="str">
        <f>'3.3.raw'!M714</f>
        <v>PLc1118</v>
      </c>
      <c r="C725" s="24">
        <f>datevalue(left('3.3.raw'!O714,10))</f>
        <v>43810</v>
      </c>
      <c r="D725" s="23">
        <f>'3.3.raw'!I714</f>
        <v>11</v>
      </c>
      <c r="E725" s="23" t="str">
        <f>'3.3.raw'!J714</f>
        <v/>
      </c>
      <c r="F725" s="23" t="str">
        <f>'3.3.raw'!K714</f>
        <v/>
      </c>
      <c r="G725" s="1">
        <v>3.30000000000008</v>
      </c>
      <c r="H725" s="23" t="b">
        <f>if(countif(Status!C:C,A725)=1,TRUE, FALSE)</f>
        <v>1</v>
      </c>
    </row>
    <row r="726">
      <c r="A726" s="23" t="str">
        <f t="shared" si="14"/>
        <v>FB1189</v>
      </c>
      <c r="B726" s="23" t="str">
        <f>'3.3.raw'!M715</f>
        <v>FB1189</v>
      </c>
      <c r="C726" s="24">
        <f>datevalue(left('3.3.raw'!O715,10))</f>
        <v>43810</v>
      </c>
      <c r="D726" s="23">
        <f>'3.3.raw'!I715</f>
        <v>99</v>
      </c>
      <c r="E726" s="23" t="str">
        <f>'3.3.raw'!J715</f>
        <v/>
      </c>
      <c r="F726" s="23" t="str">
        <f>'3.3.raw'!K715</f>
        <v/>
      </c>
      <c r="G726" s="1">
        <v>3.30000000000008</v>
      </c>
      <c r="H726" s="23" t="b">
        <f>if(countif(Status!C:C,A726)=1,TRUE, FALSE)</f>
        <v>1</v>
      </c>
    </row>
    <row r="727">
      <c r="A727" s="23" t="str">
        <f t="shared" si="14"/>
        <v>PLc1119</v>
      </c>
      <c r="B727" s="23" t="str">
        <f>'3.3.raw'!M716</f>
        <v>PLc1119</v>
      </c>
      <c r="C727" s="24">
        <f>datevalue(left('3.3.raw'!O716,10))</f>
        <v>43810</v>
      </c>
      <c r="D727" s="23">
        <f>'3.3.raw'!I716</f>
        <v>11</v>
      </c>
      <c r="E727" s="23" t="str">
        <f>'3.3.raw'!J716</f>
        <v/>
      </c>
      <c r="F727" s="23" t="str">
        <f>'3.3.raw'!K716</f>
        <v/>
      </c>
      <c r="G727" s="1">
        <v>3.30000000000008</v>
      </c>
      <c r="H727" s="23" t="b">
        <f>if(countif(Status!C:C,A727)=1,TRUE, FALSE)</f>
        <v>1</v>
      </c>
    </row>
    <row r="728">
      <c r="A728" s="23" t="str">
        <f t="shared" si="14"/>
        <v>PLc1120</v>
      </c>
      <c r="B728" s="23" t="str">
        <f>'3.3.raw'!M717</f>
        <v>PLc1120</v>
      </c>
      <c r="C728" s="24">
        <f>datevalue(left('3.3.raw'!O717,10))</f>
        <v>43810</v>
      </c>
      <c r="D728" s="23">
        <f>'3.3.raw'!I717</f>
        <v>11</v>
      </c>
      <c r="E728" s="23" t="str">
        <f>'3.3.raw'!J717</f>
        <v/>
      </c>
      <c r="F728" s="23" t="str">
        <f>'3.3.raw'!K717</f>
        <v/>
      </c>
      <c r="G728" s="1">
        <v>3.30000000000008</v>
      </c>
      <c r="H728" s="23" t="b">
        <f>if(countif(Status!C:C,A728)=1,TRUE, FALSE)</f>
        <v>1</v>
      </c>
    </row>
    <row r="729">
      <c r="A729" s="23" t="str">
        <f t="shared" si="14"/>
        <v>PLc1121</v>
      </c>
      <c r="B729" s="23" t="str">
        <f>'3.3.raw'!M718</f>
        <v>PLc1121</v>
      </c>
      <c r="C729" s="24">
        <f>datevalue(left('3.3.raw'!O718,10))</f>
        <v>43810</v>
      </c>
      <c r="D729" s="23">
        <f>'3.3.raw'!I718</f>
        <v>11</v>
      </c>
      <c r="E729" s="23" t="str">
        <f>'3.3.raw'!J718</f>
        <v/>
      </c>
      <c r="F729" s="23" t="str">
        <f>'3.3.raw'!K718</f>
        <v/>
      </c>
      <c r="G729" s="1">
        <v>3.30000000000008</v>
      </c>
      <c r="H729" s="23" t="b">
        <f>if(countif(Status!C:C,A729)=1,TRUE, FALSE)</f>
        <v>1</v>
      </c>
    </row>
    <row r="730">
      <c r="A730" s="23" t="str">
        <f t="shared" si="14"/>
        <v>MO1130</v>
      </c>
      <c r="B730" s="23" t="str">
        <f>'3.3.raw'!M719</f>
        <v>MO1130</v>
      </c>
      <c r="C730" s="24">
        <f>datevalue(left('3.3.raw'!O719,10))</f>
        <v>43810</v>
      </c>
      <c r="D730" s="23">
        <f>'3.3.raw'!I719</f>
        <v>12</v>
      </c>
      <c r="E730" s="23" t="str">
        <f>'3.3.raw'!J719</f>
        <v/>
      </c>
      <c r="F730" s="23" t="str">
        <f>'3.3.raw'!K719</f>
        <v/>
      </c>
      <c r="G730" s="1">
        <v>3.30000000000008</v>
      </c>
      <c r="H730" s="23" t="b">
        <f>if(countif(Status!C:C,A730)=1,TRUE, FALSE)</f>
        <v>1</v>
      </c>
    </row>
    <row r="731">
      <c r="A731" s="23" t="str">
        <f t="shared" si="14"/>
        <v>MO1131</v>
      </c>
      <c r="B731" s="23" t="str">
        <f>'3.3.raw'!M720</f>
        <v>MO1131</v>
      </c>
      <c r="C731" s="24">
        <f>datevalue(left('3.3.raw'!O720,10))</f>
        <v>43810</v>
      </c>
      <c r="D731" s="23">
        <f>'3.3.raw'!I720</f>
        <v>12</v>
      </c>
      <c r="E731" s="23" t="str">
        <f>'3.3.raw'!J720</f>
        <v/>
      </c>
      <c r="F731" s="23" t="str">
        <f>'3.3.raw'!K720</f>
        <v/>
      </c>
      <c r="G731" s="1">
        <v>3.30000000000008</v>
      </c>
      <c r="H731" s="23" t="b">
        <f>if(countif(Status!C:C,A731)=1,TRUE, FALSE)</f>
        <v>1</v>
      </c>
    </row>
    <row r="732">
      <c r="A732" s="23" t="str">
        <f t="shared" si="14"/>
        <v>PLc8122</v>
      </c>
      <c r="B732" s="23" t="str">
        <f>'3.3.raw'!M721</f>
        <v>PLc8122</v>
      </c>
      <c r="C732" s="24">
        <f>datevalue(left('3.3.raw'!O721,10))</f>
        <v>43810</v>
      </c>
      <c r="D732" s="23">
        <f>'3.3.raw'!I721</f>
        <v>11</v>
      </c>
      <c r="E732" s="23" t="str">
        <f>'3.3.raw'!J721</f>
        <v/>
      </c>
      <c r="F732" s="23" t="str">
        <f>'3.3.raw'!K721</f>
        <v/>
      </c>
      <c r="G732" s="1">
        <v>3.30000000000008</v>
      </c>
      <c r="H732" s="23" t="b">
        <f>if(countif(Status!C:C,A732)=1,TRUE, FALSE)</f>
        <v>1</v>
      </c>
    </row>
    <row r="733">
      <c r="A733" s="23" t="str">
        <f t="shared" si="14"/>
        <v>PLc8123</v>
      </c>
      <c r="B733" s="23" t="str">
        <f>'3.3.raw'!M722</f>
        <v>PLc8123</v>
      </c>
      <c r="C733" s="24">
        <f>datevalue(left('3.3.raw'!O722,10))</f>
        <v>43810</v>
      </c>
      <c r="D733" s="23">
        <f>'3.3.raw'!I722</f>
        <v>11</v>
      </c>
      <c r="E733" s="23" t="str">
        <f>'3.3.raw'!J722</f>
        <v/>
      </c>
      <c r="F733" s="23" t="str">
        <f>'3.3.raw'!K722</f>
        <v/>
      </c>
      <c r="G733" s="1">
        <v>3.30000000000008</v>
      </c>
      <c r="H733" s="23" t="b">
        <f>if(countif(Status!C:C,A733)=1,TRUE, FALSE)</f>
        <v>1</v>
      </c>
    </row>
    <row r="734">
      <c r="A734" s="23" t="str">
        <f t="shared" si="14"/>
        <v>PLc1124</v>
      </c>
      <c r="B734" s="23" t="str">
        <f>'3.3.raw'!M723</f>
        <v>PLc1124</v>
      </c>
      <c r="C734" s="24">
        <f>datevalue(left('3.3.raw'!O723,10))</f>
        <v>43810</v>
      </c>
      <c r="D734" s="23">
        <f>'3.3.raw'!I723</f>
        <v>11</v>
      </c>
      <c r="E734" s="23" t="str">
        <f>'3.3.raw'!J723</f>
        <v/>
      </c>
      <c r="F734" s="23" t="str">
        <f>'3.3.raw'!K723</f>
        <v/>
      </c>
      <c r="G734" s="1">
        <v>3.30000000000008</v>
      </c>
      <c r="H734" s="23" t="b">
        <f>if(countif(Status!C:C,A734)=1,TRUE, FALSE)</f>
        <v>1</v>
      </c>
    </row>
    <row r="735">
      <c r="A735" s="23" t="str">
        <f t="shared" si="14"/>
        <v>FB1195</v>
      </c>
      <c r="B735" s="23" t="str">
        <f>'3.3.raw'!M724</f>
        <v>FB1195</v>
      </c>
      <c r="C735" s="24">
        <f>datevalue(left('3.3.raw'!O724,10))</f>
        <v>43810</v>
      </c>
      <c r="D735" s="23">
        <f>'3.3.raw'!I724</f>
        <v>99</v>
      </c>
      <c r="E735" s="23" t="str">
        <f>'3.3.raw'!J724</f>
        <v/>
      </c>
      <c r="F735" s="23" t="str">
        <f>'3.3.raw'!K724</f>
        <v/>
      </c>
      <c r="G735" s="1">
        <v>3.30000000000008</v>
      </c>
      <c r="H735" s="23" t="b">
        <f>if(countif(Status!C:C,A735)=1,TRUE, FALSE)</f>
        <v>1</v>
      </c>
    </row>
    <row r="736">
      <c r="A736" s="23" t="str">
        <f t="shared" si="14"/>
        <v>PLc1125</v>
      </c>
      <c r="B736" s="23" t="str">
        <f>'3.3.raw'!M725</f>
        <v>PLc1125</v>
      </c>
      <c r="C736" s="24">
        <f>datevalue(left('3.3.raw'!O725,10))</f>
        <v>43810</v>
      </c>
      <c r="D736" s="23">
        <f>'3.3.raw'!I725</f>
        <v>11</v>
      </c>
      <c r="E736" s="23" t="str">
        <f>'3.3.raw'!J725</f>
        <v/>
      </c>
      <c r="F736" s="23" t="str">
        <f>'3.3.raw'!K725</f>
        <v/>
      </c>
      <c r="G736" s="1">
        <v>3.30000000000008</v>
      </c>
      <c r="H736" s="23" t="b">
        <f>if(countif(Status!C:C,A736)=1,TRUE, FALSE)</f>
        <v>1</v>
      </c>
    </row>
    <row r="737">
      <c r="A737" s="23" t="str">
        <f t="shared" si="14"/>
        <v>EC31</v>
      </c>
      <c r="B737" s="23" t="str">
        <f>'3.3.raw'!M726</f>
        <v>EC31</v>
      </c>
      <c r="C737" s="24">
        <f>datevalue(left('3.3.raw'!O726,10))</f>
        <v>43810</v>
      </c>
      <c r="D737" s="23">
        <f>'3.3.raw'!I726</f>
        <v>98</v>
      </c>
      <c r="E737" s="23" t="str">
        <f>'3.3.raw'!J726</f>
        <v/>
      </c>
      <c r="F737" s="23" t="str">
        <f>'3.3.raw'!K726</f>
        <v/>
      </c>
      <c r="G737" s="1">
        <v>3.30000000000008</v>
      </c>
      <c r="H737" s="23" t="b">
        <f>if(countif(Status!C:C,A737)=1,TRUE, FALSE)</f>
        <v>1</v>
      </c>
    </row>
    <row r="738">
      <c r="A738" s="23" t="str">
        <f t="shared" si="14"/>
        <v>UF1011</v>
      </c>
      <c r="B738" s="23" t="str">
        <f>'3.3.raw'!M727</f>
        <v>UF1011</v>
      </c>
      <c r="C738" s="24">
        <f>datevalue(left('3.3.raw'!O727,10))</f>
        <v>43811</v>
      </c>
      <c r="D738" s="23">
        <f>'3.3.raw'!I727</f>
        <v>16</v>
      </c>
      <c r="E738" s="23" t="str">
        <f>'3.3.raw'!J727</f>
        <v/>
      </c>
      <c r="F738" s="23" t="str">
        <f>'3.3.raw'!K727</f>
        <v/>
      </c>
      <c r="G738" s="1">
        <v>3.30000000000008</v>
      </c>
      <c r="H738" s="23" t="b">
        <f>if(countif(Status!C:C,A738)=1,TRUE, FALSE)</f>
        <v>1</v>
      </c>
    </row>
    <row r="739">
      <c r="A739" s="23" t="str">
        <f t="shared" si="14"/>
        <v>UF1011D</v>
      </c>
      <c r="B739" s="23" t="str">
        <f>'3.3.raw'!M728</f>
        <v>UF1011D</v>
      </c>
      <c r="C739" s="24">
        <f>datevalue(left('3.3.raw'!O728,10))</f>
        <v>43811</v>
      </c>
      <c r="D739" s="23">
        <f>'3.3.raw'!I728</f>
        <v>16</v>
      </c>
      <c r="E739" s="23" t="str">
        <f>'3.3.raw'!J728</f>
        <v/>
      </c>
      <c r="F739" s="23" t="str">
        <f>'3.3.raw'!K728</f>
        <v/>
      </c>
      <c r="G739" s="1">
        <v>3.30000000000008</v>
      </c>
      <c r="H739" s="23" t="b">
        <f>if(countif(Status!C:C,A739)=1,TRUE, FALSE)</f>
        <v>1</v>
      </c>
    </row>
    <row r="740">
      <c r="A740" s="23" t="str">
        <f t="shared" si="14"/>
        <v>EC32</v>
      </c>
      <c r="B740" s="23" t="str">
        <f>'3.3.raw'!M729</f>
        <v>EC32</v>
      </c>
      <c r="C740" s="24">
        <f>datevalue(left('3.3.raw'!O729,10))</f>
        <v>43811</v>
      </c>
      <c r="D740" s="23">
        <f>'3.3.raw'!I729</f>
        <v>98</v>
      </c>
      <c r="E740" s="23" t="str">
        <f>'3.3.raw'!J729</f>
        <v/>
      </c>
      <c r="F740" s="23" t="str">
        <f>'3.3.raw'!K729</f>
        <v/>
      </c>
      <c r="G740" s="1">
        <v>3.30000000000008</v>
      </c>
      <c r="H740" s="23" t="b">
        <f>if(countif(Status!C:C,A740)=1,TRUE, FALSE)</f>
        <v>1</v>
      </c>
    </row>
    <row r="741">
      <c r="A741" s="23" t="str">
        <f t="shared" si="14"/>
        <v>PLc1126</v>
      </c>
      <c r="B741" s="23" t="str">
        <f>'3.3.raw'!M730</f>
        <v>PLc1126</v>
      </c>
      <c r="C741" s="24">
        <f>datevalue(left('3.3.raw'!O730,10))</f>
        <v>43815</v>
      </c>
      <c r="D741" s="23">
        <f>'3.3.raw'!I730</f>
        <v>11</v>
      </c>
      <c r="E741" s="23" t="str">
        <f>'3.3.raw'!J730</f>
        <v/>
      </c>
      <c r="F741" s="23" t="str">
        <f>'3.3.raw'!K730</f>
        <v/>
      </c>
      <c r="G741" s="1">
        <v>3.30000000000008</v>
      </c>
      <c r="H741" s="23" t="b">
        <f>if(countif(Status!C:C,A741)=1,TRUE, FALSE)</f>
        <v>1</v>
      </c>
    </row>
    <row r="742">
      <c r="A742" s="23" t="str">
        <f t="shared" si="14"/>
        <v>PLc1127</v>
      </c>
      <c r="B742" s="23" t="str">
        <f>'3.3.raw'!M731</f>
        <v>PLc1127</v>
      </c>
      <c r="C742" s="24">
        <f>datevalue(left('3.3.raw'!O731,10))</f>
        <v>43815</v>
      </c>
      <c r="D742" s="23">
        <f>'3.3.raw'!I731</f>
        <v>11</v>
      </c>
      <c r="E742" s="23" t="str">
        <f>'3.3.raw'!J731</f>
        <v/>
      </c>
      <c r="F742" s="23" t="str">
        <f>'3.3.raw'!K731</f>
        <v/>
      </c>
      <c r="G742" s="1">
        <v>3.30000000000008</v>
      </c>
      <c r="H742" s="23" t="b">
        <f>if(countif(Status!C:C,A742)=1,TRUE, FALSE)</f>
        <v>1</v>
      </c>
    </row>
    <row r="743">
      <c r="A743" s="23" t="str">
        <f t="shared" si="14"/>
        <v>PLc1128</v>
      </c>
      <c r="B743" s="23" t="str">
        <f>'3.3.raw'!M732</f>
        <v>PLc1128</v>
      </c>
      <c r="C743" s="24">
        <f>datevalue(left('3.3.raw'!O732,10))</f>
        <v>43815</v>
      </c>
      <c r="D743" s="23">
        <f>'3.3.raw'!I732</f>
        <v>11</v>
      </c>
      <c r="E743" s="23" t="str">
        <f>'3.3.raw'!J732</f>
        <v/>
      </c>
      <c r="F743" s="23" t="str">
        <f>'3.3.raw'!K732</f>
        <v/>
      </c>
      <c r="G743" s="1">
        <v>3.30000000000008</v>
      </c>
      <c r="H743" s="23" t="b">
        <f>if(countif(Status!C:C,A743)=1,TRUE, FALSE)</f>
        <v>1</v>
      </c>
    </row>
    <row r="744">
      <c r="A744" s="23" t="str">
        <f t="shared" si="14"/>
        <v>PLc1129</v>
      </c>
      <c r="B744" s="23" t="str">
        <f>'3.3.raw'!M733</f>
        <v>PLc1129</v>
      </c>
      <c r="C744" s="24">
        <f>datevalue(left('3.3.raw'!O733,10))</f>
        <v>43815</v>
      </c>
      <c r="D744" s="23">
        <f>'3.3.raw'!I733</f>
        <v>11</v>
      </c>
      <c r="E744" s="23" t="str">
        <f>'3.3.raw'!J733</f>
        <v/>
      </c>
      <c r="F744" s="23" t="str">
        <f>'3.3.raw'!K733</f>
        <v/>
      </c>
      <c r="G744" s="1">
        <v>3.30000000000008</v>
      </c>
      <c r="H744" s="23" t="b">
        <f>if(countif(Status!C:C,A744)=1,TRUE, FALSE)</f>
        <v>1</v>
      </c>
    </row>
    <row r="745">
      <c r="A745" s="23" t="str">
        <f t="shared" si="14"/>
        <v>PLc1130</v>
      </c>
      <c r="B745" s="23" t="str">
        <f>'3.3.raw'!M734</f>
        <v>PLc1130</v>
      </c>
      <c r="C745" s="24">
        <f>datevalue(left('3.3.raw'!O734,10))</f>
        <v>43815</v>
      </c>
      <c r="D745" s="23">
        <f>'3.3.raw'!I734</f>
        <v>11</v>
      </c>
      <c r="E745" s="23" t="str">
        <f>'3.3.raw'!J734</f>
        <v/>
      </c>
      <c r="F745" s="23" t="str">
        <f>'3.3.raw'!K734</f>
        <v/>
      </c>
      <c r="G745" s="1">
        <v>3.30000000000008</v>
      </c>
      <c r="H745" s="23" t="b">
        <f>if(countif(Status!C:C,A745)=1,TRUE, FALSE)</f>
        <v>1</v>
      </c>
    </row>
    <row r="746">
      <c r="A746" s="23" t="str">
        <f t="shared" si="14"/>
        <v>FB1205</v>
      </c>
      <c r="B746" s="23" t="str">
        <f>'3.3.raw'!M735</f>
        <v>FB1205</v>
      </c>
      <c r="C746" s="24">
        <f>datevalue(left('3.3.raw'!O735,10))</f>
        <v>43815</v>
      </c>
      <c r="D746" s="23">
        <f>'3.3.raw'!I735</f>
        <v>99</v>
      </c>
      <c r="E746" s="23" t="str">
        <f>'3.3.raw'!J735</f>
        <v/>
      </c>
      <c r="F746" s="23" t="str">
        <f>'3.3.raw'!K735</f>
        <v/>
      </c>
      <c r="G746" s="1">
        <v>3.30000000000008</v>
      </c>
      <c r="H746" s="23" t="b">
        <f>if(countif(Status!C:C,A746)=1,TRUE, FALSE)</f>
        <v>1</v>
      </c>
    </row>
    <row r="747">
      <c r="A747" s="23" t="str">
        <f t="shared" si="14"/>
        <v>MO1132</v>
      </c>
      <c r="B747" s="23" t="str">
        <f>'3.3.raw'!M736</f>
        <v>MO1132</v>
      </c>
      <c r="C747" s="24">
        <f>datevalue(left('3.3.raw'!O736,10))</f>
        <v>43815</v>
      </c>
      <c r="D747" s="23">
        <f>'3.3.raw'!I736</f>
        <v>12</v>
      </c>
      <c r="E747" s="23" t="str">
        <f>'3.3.raw'!J736</f>
        <v/>
      </c>
      <c r="F747" s="23" t="str">
        <f>'3.3.raw'!K736</f>
        <v/>
      </c>
      <c r="G747" s="1">
        <v>3.30000000000008</v>
      </c>
      <c r="H747" s="23" t="b">
        <f>if(countif(Status!C:C,A747)=1,TRUE, FALSE)</f>
        <v>1</v>
      </c>
    </row>
    <row r="748">
      <c r="A748" s="23" t="str">
        <f t="shared" si="14"/>
        <v>MO1133</v>
      </c>
      <c r="B748" s="23" t="str">
        <f>'3.3.raw'!M737</f>
        <v>MO1133</v>
      </c>
      <c r="C748" s="24">
        <f>datevalue(left('3.3.raw'!O737,10))</f>
        <v>43815</v>
      </c>
      <c r="D748" s="23">
        <f>'3.3.raw'!I737</f>
        <v>12</v>
      </c>
      <c r="E748" s="23" t="str">
        <f>'3.3.raw'!J737</f>
        <v/>
      </c>
      <c r="F748" s="23" t="str">
        <f>'3.3.raw'!K737</f>
        <v/>
      </c>
      <c r="G748" s="1">
        <v>3.30000000000008</v>
      </c>
      <c r="H748" s="23" t="b">
        <f>if(countif(Status!C:C,A748)=1,TRUE, FALSE)</f>
        <v>1</v>
      </c>
    </row>
    <row r="749">
      <c r="A749" s="23" t="str">
        <f t="shared" si="14"/>
        <v>PLc1131</v>
      </c>
      <c r="B749" s="23" t="str">
        <f>'3.3.raw'!M738</f>
        <v>PLc1131</v>
      </c>
      <c r="C749" s="24">
        <f>datevalue(left('3.3.raw'!O738,10))</f>
        <v>43815</v>
      </c>
      <c r="D749" s="23">
        <f>'3.3.raw'!I738</f>
        <v>11</v>
      </c>
      <c r="E749" s="23" t="str">
        <f>'3.3.raw'!J738</f>
        <v/>
      </c>
      <c r="F749" s="23" t="str">
        <f>'3.3.raw'!K738</f>
        <v/>
      </c>
      <c r="G749" s="1">
        <v>3.30000000000008</v>
      </c>
      <c r="H749" s="23" t="b">
        <f>if(countif(Status!C:C,A749)=1,TRUE, FALSE)</f>
        <v>1</v>
      </c>
    </row>
    <row r="750">
      <c r="A750" s="23" t="str">
        <f t="shared" si="14"/>
        <v>FB1206</v>
      </c>
      <c r="B750" s="23" t="str">
        <f>'3.3.raw'!M739</f>
        <v>FB1206</v>
      </c>
      <c r="C750" s="24">
        <f>datevalue(left('3.3.raw'!O739,10))</f>
        <v>43815</v>
      </c>
      <c r="D750" s="23">
        <f>'3.3.raw'!I739</f>
        <v>99</v>
      </c>
      <c r="E750" s="23" t="str">
        <f>'3.3.raw'!J739</f>
        <v/>
      </c>
      <c r="F750" s="23" t="str">
        <f>'3.3.raw'!K739</f>
        <v/>
      </c>
      <c r="G750" s="1">
        <v>3.30000000000008</v>
      </c>
      <c r="H750" s="23" t="b">
        <f>if(countif(Status!C:C,A750)=1,TRUE, FALSE)</f>
        <v>1</v>
      </c>
    </row>
    <row r="751">
      <c r="A751" s="23" t="str">
        <f t="shared" si="14"/>
        <v>PLc1132</v>
      </c>
      <c r="B751" s="23" t="str">
        <f>'3.3.raw'!M740</f>
        <v>PLc1132</v>
      </c>
      <c r="C751" s="24">
        <f>datevalue(left('3.3.raw'!O740,10))</f>
        <v>43815</v>
      </c>
      <c r="D751" s="23">
        <f>'3.3.raw'!I740</f>
        <v>11</v>
      </c>
      <c r="E751" s="23" t="str">
        <f>'3.3.raw'!J740</f>
        <v/>
      </c>
      <c r="F751" s="23" t="str">
        <f>'3.3.raw'!K740</f>
        <v/>
      </c>
      <c r="G751" s="1">
        <v>3.30000000000008</v>
      </c>
      <c r="H751" s="23" t="b">
        <f>if(countif(Status!C:C,A751)=1,TRUE, FALSE)</f>
        <v>1</v>
      </c>
    </row>
    <row r="752">
      <c r="A752" s="23" t="str">
        <f t="shared" si="14"/>
        <v>PLc1133</v>
      </c>
      <c r="B752" s="23" t="str">
        <f>'3.3.raw'!M741</f>
        <v>PLc1133</v>
      </c>
      <c r="C752" s="24">
        <f>datevalue(left('3.3.raw'!O741,10))</f>
        <v>43815</v>
      </c>
      <c r="D752" s="23">
        <f>'3.3.raw'!I741</f>
        <v>11</v>
      </c>
      <c r="E752" s="23" t="str">
        <f>'3.3.raw'!J741</f>
        <v/>
      </c>
      <c r="F752" s="23" t="str">
        <f>'3.3.raw'!K741</f>
        <v/>
      </c>
      <c r="G752" s="1">
        <v>3.30000000000008</v>
      </c>
      <c r="H752" s="23" t="b">
        <f>if(countif(Status!C:C,A752)=1,TRUE, FALSE)</f>
        <v>1</v>
      </c>
    </row>
    <row r="753">
      <c r="A753" s="23" t="str">
        <f t="shared" si="14"/>
        <v>PLc1134</v>
      </c>
      <c r="B753" s="23" t="str">
        <f>'3.3.raw'!M742</f>
        <v>PLc1134</v>
      </c>
      <c r="C753" s="24">
        <f>datevalue(left('3.3.raw'!O742,10))</f>
        <v>43815</v>
      </c>
      <c r="D753" s="23">
        <f>'3.3.raw'!I742</f>
        <v>11</v>
      </c>
      <c r="E753" s="23" t="str">
        <f>'3.3.raw'!J742</f>
        <v/>
      </c>
      <c r="F753" s="23" t="str">
        <f>'3.3.raw'!K742</f>
        <v/>
      </c>
      <c r="G753" s="1">
        <v>3.30000000000008</v>
      </c>
      <c r="H753" s="23" t="b">
        <f>if(countif(Status!C:C,A753)=1,TRUE, FALSE)</f>
        <v>1</v>
      </c>
    </row>
    <row r="754">
      <c r="A754" s="23" t="str">
        <f t="shared" si="14"/>
        <v>EC33</v>
      </c>
      <c r="B754" s="23" t="str">
        <f>'3.3.raw'!M743</f>
        <v>EC33</v>
      </c>
      <c r="C754" s="24">
        <f>datevalue(left('3.3.raw'!O743,10))</f>
        <v>43815</v>
      </c>
      <c r="D754" s="23">
        <f>'3.3.raw'!I743</f>
        <v>98</v>
      </c>
      <c r="E754" s="23" t="str">
        <f>'3.3.raw'!J743</f>
        <v/>
      </c>
      <c r="F754" s="23" t="str">
        <f>'3.3.raw'!K743</f>
        <v/>
      </c>
      <c r="G754" s="1">
        <v>3.30000000000008</v>
      </c>
      <c r="H754" s="23" t="b">
        <f>if(countif(Status!C:C,A754)=1,TRUE, FALSE)</f>
        <v>1</v>
      </c>
    </row>
    <row r="755">
      <c r="A755" s="23" t="str">
        <f t="shared" si="14"/>
        <v>UF1011F</v>
      </c>
      <c r="B755" s="23" t="str">
        <f>'3.3.raw'!M744</f>
        <v>UF1011F</v>
      </c>
      <c r="C755" s="24">
        <f>datevalue(left('3.3.raw'!O744,10))</f>
        <v>43815</v>
      </c>
      <c r="D755" s="23">
        <f>'3.3.raw'!I744</f>
        <v>16</v>
      </c>
      <c r="E755" s="23" t="str">
        <f>'3.3.raw'!J744</f>
        <v/>
      </c>
      <c r="F755" s="23" t="str">
        <f>'3.3.raw'!K744</f>
        <v/>
      </c>
      <c r="G755" s="1">
        <v>3.30000000000008</v>
      </c>
      <c r="H755" s="23" t="b">
        <f>if(countif(Status!C:C,A755)=1,TRUE, FALSE)</f>
        <v>1</v>
      </c>
    </row>
    <row r="756">
      <c r="A756" s="23" t="str">
        <f t="shared" si="14"/>
        <v>PLc1139</v>
      </c>
      <c r="B756" s="23" t="str">
        <f>'3.3.raw'!M745</f>
        <v>PLc1139</v>
      </c>
      <c r="C756" s="24">
        <f>datevalue(left('3.3.raw'!O745,10))</f>
        <v>43818</v>
      </c>
      <c r="D756" s="23">
        <f>'3.3.raw'!I745</f>
        <v>11</v>
      </c>
      <c r="E756" s="23" t="str">
        <f>'3.3.raw'!J745</f>
        <v/>
      </c>
      <c r="F756" s="23" t="str">
        <f>'3.3.raw'!K745</f>
        <v/>
      </c>
      <c r="G756" s="1">
        <v>3.30000000000008</v>
      </c>
      <c r="H756" s="23" t="b">
        <f>if(countif(Status!C:C,A756)=1,TRUE, FALSE)</f>
        <v>1</v>
      </c>
    </row>
    <row r="757">
      <c r="A757" s="23" t="str">
        <f t="shared" si="14"/>
        <v>PLc1136</v>
      </c>
      <c r="B757" s="23" t="str">
        <f>'3.3.raw'!M746</f>
        <v>PLc1136</v>
      </c>
      <c r="C757" s="24">
        <f>datevalue(left('3.3.raw'!O746,10))</f>
        <v>43818</v>
      </c>
      <c r="D757" s="23">
        <f>'3.3.raw'!I746</f>
        <v>11</v>
      </c>
      <c r="E757" s="23" t="str">
        <f>'3.3.raw'!J746</f>
        <v/>
      </c>
      <c r="F757" s="23" t="str">
        <f>'3.3.raw'!K746</f>
        <v/>
      </c>
      <c r="G757" s="1">
        <v>3.30000000000008</v>
      </c>
      <c r="H757" s="23" t="b">
        <f>if(countif(Status!C:C,A757)=1,TRUE, FALSE)</f>
        <v>1</v>
      </c>
    </row>
    <row r="758">
      <c r="A758" s="23" t="str">
        <f t="shared" si="14"/>
        <v>FB1211UP</v>
      </c>
      <c r="B758" s="23" t="str">
        <f>'3.3.raw'!M747</f>
        <v>FB1211UP</v>
      </c>
      <c r="C758" s="24">
        <f>datevalue(left('3.3.raw'!O747,10))</f>
        <v>43818</v>
      </c>
      <c r="D758" s="23">
        <f>'3.3.raw'!I747</f>
        <v>99</v>
      </c>
      <c r="E758" s="23" t="str">
        <f>'3.3.raw'!J747</f>
        <v/>
      </c>
      <c r="F758" s="23" t="str">
        <f>'3.3.raw'!K747</f>
        <v/>
      </c>
      <c r="G758" s="1">
        <v>3.30000000000008</v>
      </c>
      <c r="H758" s="23" t="b">
        <f>if(countif(Status!C:C,A758)=1,TRUE, FALSE)</f>
        <v>1</v>
      </c>
    </row>
    <row r="759">
      <c r="A759" s="23" t="str">
        <f t="shared" si="14"/>
        <v>PLc1137</v>
      </c>
      <c r="B759" s="23" t="str">
        <f>'3.3.raw'!M748</f>
        <v>PLc1137</v>
      </c>
      <c r="C759" s="24">
        <f>datevalue(left('3.3.raw'!O748,10))</f>
        <v>43818</v>
      </c>
      <c r="D759" s="23">
        <f>'3.3.raw'!I748</f>
        <v>11</v>
      </c>
      <c r="E759" s="23" t="str">
        <f>'3.3.raw'!J748</f>
        <v/>
      </c>
      <c r="F759" s="23" t="str">
        <f>'3.3.raw'!K748</f>
        <v/>
      </c>
      <c r="G759" s="1">
        <v>3.30000000000008</v>
      </c>
      <c r="H759" s="23" t="b">
        <f>if(countif(Status!C:C,A759)=1,TRUE, FALSE)</f>
        <v>1</v>
      </c>
    </row>
    <row r="760">
      <c r="A760" s="23" t="str">
        <f t="shared" si="14"/>
        <v>PLc1138</v>
      </c>
      <c r="B760" s="23" t="str">
        <f>'3.3.raw'!M749</f>
        <v>PLc1138</v>
      </c>
      <c r="C760" s="24">
        <f>datevalue(left('3.3.raw'!O749,10))</f>
        <v>43818</v>
      </c>
      <c r="D760" s="23">
        <f>'3.3.raw'!I749</f>
        <v>11</v>
      </c>
      <c r="E760" s="23" t="str">
        <f>'3.3.raw'!J749</f>
        <v/>
      </c>
      <c r="F760" s="23" t="str">
        <f>'3.3.raw'!K749</f>
        <v/>
      </c>
      <c r="G760" s="1">
        <v>3.30000000000008</v>
      </c>
      <c r="H760" s="23" t="b">
        <f>if(countif(Status!C:C,A760)=1,TRUE, FALSE)</f>
        <v>1</v>
      </c>
    </row>
    <row r="761">
      <c r="A761" s="23" t="str">
        <f t="shared" si="14"/>
        <v>PLc1139</v>
      </c>
      <c r="B761" s="23" t="str">
        <f>'3.3.raw'!M750</f>
        <v>PLc1139</v>
      </c>
      <c r="C761" s="24">
        <f>datevalue(left('3.3.raw'!O750,10))</f>
        <v>43818</v>
      </c>
      <c r="D761" s="23">
        <f>'3.3.raw'!I750</f>
        <v>11</v>
      </c>
      <c r="E761" s="23" t="str">
        <f>'3.3.raw'!J750</f>
        <v/>
      </c>
      <c r="F761" s="23" t="str">
        <f>'3.3.raw'!K750</f>
        <v/>
      </c>
      <c r="G761" s="1">
        <v>3.30000000000008</v>
      </c>
      <c r="H761" s="23" t="b">
        <f>if(countif(Status!C:C,A761)=1,TRUE, FALSE)</f>
        <v>1</v>
      </c>
    </row>
    <row r="762">
      <c r="A762" s="23" t="str">
        <f t="shared" si="14"/>
        <v>MO1134</v>
      </c>
      <c r="B762" s="23" t="str">
        <f>'3.3.raw'!M751</f>
        <v>MO1134</v>
      </c>
      <c r="C762" s="24">
        <f>datevalue(left('3.3.raw'!O751,10))</f>
        <v>43818</v>
      </c>
      <c r="D762" s="23">
        <f>'3.3.raw'!I751</f>
        <v>12</v>
      </c>
      <c r="E762" s="23" t="str">
        <f>'3.3.raw'!J751</f>
        <v/>
      </c>
      <c r="F762" s="23" t="str">
        <f>'3.3.raw'!K751</f>
        <v/>
      </c>
      <c r="G762" s="1">
        <v>3.30000000000008</v>
      </c>
      <c r="H762" s="23" t="b">
        <f>if(countif(Status!C:C,A762)=1,TRUE, FALSE)</f>
        <v>1</v>
      </c>
    </row>
    <row r="763">
      <c r="A763" s="23" t="str">
        <f t="shared" si="14"/>
        <v>MO1135</v>
      </c>
      <c r="B763" s="23" t="str">
        <f>'3.3.raw'!M752</f>
        <v>MO1135</v>
      </c>
      <c r="C763" s="24">
        <f>datevalue(left('3.3.raw'!O752,10))</f>
        <v>43818</v>
      </c>
      <c r="D763" s="23">
        <f>'3.3.raw'!I752</f>
        <v>12</v>
      </c>
      <c r="E763" s="23" t="str">
        <f>'3.3.raw'!J752</f>
        <v/>
      </c>
      <c r="F763" s="23" t="str">
        <f>'3.3.raw'!K752</f>
        <v/>
      </c>
      <c r="G763" s="1">
        <v>3.30000000000008</v>
      </c>
      <c r="H763" s="23" t="b">
        <f>if(countif(Status!C:C,A763)=1,TRUE, FALSE)</f>
        <v>1</v>
      </c>
    </row>
    <row r="764">
      <c r="A764" s="23" t="str">
        <f t="shared" si="14"/>
        <v>PLc1140</v>
      </c>
      <c r="B764" s="23" t="str">
        <f>'3.3.raw'!M753</f>
        <v>PLc1140</v>
      </c>
      <c r="C764" s="24">
        <f>datevalue(left('3.3.raw'!O753,10))</f>
        <v>43818</v>
      </c>
      <c r="D764" s="23">
        <f>'3.3.raw'!I753</f>
        <v>11</v>
      </c>
      <c r="E764" s="23" t="str">
        <f>'3.3.raw'!J753</f>
        <v/>
      </c>
      <c r="F764" s="23" t="str">
        <f>'3.3.raw'!K753</f>
        <v/>
      </c>
      <c r="G764" s="1">
        <v>3.30000000000008</v>
      </c>
      <c r="H764" s="23" t="b">
        <f>if(countif(Status!C:C,A764)=1,TRUE, FALSE)</f>
        <v>1</v>
      </c>
    </row>
    <row r="765">
      <c r="A765" s="23" t="str">
        <f t="shared" si="14"/>
        <v>PLc1141</v>
      </c>
      <c r="B765" s="23" t="str">
        <f>'3.3.raw'!M754</f>
        <v>PLc1141</v>
      </c>
      <c r="C765" s="24">
        <f>datevalue(left('3.3.raw'!O754,10))</f>
        <v>43818</v>
      </c>
      <c r="D765" s="23">
        <f>'3.3.raw'!I754</f>
        <v>11</v>
      </c>
      <c r="E765" s="23" t="str">
        <f>'3.3.raw'!J754</f>
        <v/>
      </c>
      <c r="F765" s="23" t="str">
        <f>'3.3.raw'!K754</f>
        <v/>
      </c>
      <c r="G765" s="1">
        <v>3.30000000000008</v>
      </c>
      <c r="H765" s="23" t="b">
        <f>if(countif(Status!C:C,A765)=1,TRUE, FALSE)</f>
        <v>1</v>
      </c>
    </row>
    <row r="766">
      <c r="A766" s="23" t="str">
        <f t="shared" si="14"/>
        <v>PLc1142</v>
      </c>
      <c r="B766" s="23" t="str">
        <f>'3.3.raw'!M755</f>
        <v>PLc1142</v>
      </c>
      <c r="C766" s="24">
        <f>datevalue(left('3.3.raw'!O755,10))</f>
        <v>43818</v>
      </c>
      <c r="D766" s="23">
        <f>'3.3.raw'!I755</f>
        <v>11</v>
      </c>
      <c r="E766" s="23" t="str">
        <f>'3.3.raw'!J755</f>
        <v/>
      </c>
      <c r="F766" s="23" t="str">
        <f>'3.3.raw'!K755</f>
        <v/>
      </c>
      <c r="G766" s="1">
        <v>3.30000000000008</v>
      </c>
      <c r="H766" s="23" t="b">
        <f>if(countif(Status!C:C,A766)=1,TRUE, FALSE)</f>
        <v>1</v>
      </c>
    </row>
    <row r="767">
      <c r="A767" s="23" t="str">
        <f t="shared" si="14"/>
        <v>PLc1143</v>
      </c>
      <c r="B767" s="23" t="str">
        <f>'3.3.raw'!M756</f>
        <v>PLc1143</v>
      </c>
      <c r="C767" s="24">
        <f>datevalue(left('3.3.raw'!O756,10))</f>
        <v>43818</v>
      </c>
      <c r="D767" s="23">
        <f>'3.3.raw'!I756</f>
        <v>11</v>
      </c>
      <c r="E767" s="23" t="str">
        <f>'3.3.raw'!J756</f>
        <v/>
      </c>
      <c r="F767" s="23" t="str">
        <f>'3.3.raw'!K756</f>
        <v/>
      </c>
      <c r="G767" s="1">
        <v>3.30000000000008</v>
      </c>
      <c r="H767" s="23" t="b">
        <f>if(countif(Status!C:C,A767)=1,TRUE, FALSE)</f>
        <v>1</v>
      </c>
    </row>
    <row r="768">
      <c r="A768" s="23" t="str">
        <f t="shared" si="14"/>
        <v>FB1220</v>
      </c>
      <c r="B768" s="23" t="str">
        <f>'3.3.raw'!M757</f>
        <v>FB1220</v>
      </c>
      <c r="C768" s="24">
        <f>datevalue(left('3.3.raw'!O757,10))</f>
        <v>43818</v>
      </c>
      <c r="D768" s="23">
        <f>'3.3.raw'!I757</f>
        <v>99</v>
      </c>
      <c r="E768" s="23" t="str">
        <f>'3.3.raw'!J757</f>
        <v/>
      </c>
      <c r="F768" s="23" t="str">
        <f>'3.3.raw'!K757</f>
        <v/>
      </c>
      <c r="G768" s="1">
        <v>3.30000000000008</v>
      </c>
      <c r="H768" s="23" t="b">
        <f>if(countif(Status!C:C,A768)=1,TRUE, FALSE)</f>
        <v>1</v>
      </c>
    </row>
    <row r="769">
      <c r="A769" s="23" t="str">
        <f t="shared" si="14"/>
        <v>UF1012</v>
      </c>
      <c r="B769" s="23" t="str">
        <f>'3.3.raw'!M758</f>
        <v>UF1012</v>
      </c>
      <c r="C769" s="24">
        <f>datevalue(left('3.3.raw'!O758,10))</f>
        <v>43818</v>
      </c>
      <c r="D769" s="23">
        <f>'3.3.raw'!I758</f>
        <v>16</v>
      </c>
      <c r="E769" s="23" t="str">
        <f>'3.3.raw'!J758</f>
        <v/>
      </c>
      <c r="F769" s="23" t="str">
        <f>'3.3.raw'!K758</f>
        <v/>
      </c>
      <c r="G769" s="1">
        <v>3.30000000000008</v>
      </c>
      <c r="H769" s="23" t="b">
        <f>if(countif(Status!C:C,A769)=1,TRUE, FALSE)</f>
        <v>1</v>
      </c>
    </row>
    <row r="770">
      <c r="A770" s="23" t="str">
        <f t="shared" si="14"/>
        <v>UF1012F</v>
      </c>
      <c r="B770" s="23" t="str">
        <f>'3.3.raw'!M759</f>
        <v>UF1012F</v>
      </c>
      <c r="C770" s="24">
        <f>datevalue(left('3.3.raw'!O759,10))</f>
        <v>43818</v>
      </c>
      <c r="D770" s="23">
        <f>'3.3.raw'!I759</f>
        <v>16</v>
      </c>
      <c r="E770" s="23" t="str">
        <f>'3.3.raw'!J759</f>
        <v/>
      </c>
      <c r="F770" s="23" t="str">
        <f>'3.3.raw'!K759</f>
        <v/>
      </c>
      <c r="G770" s="1">
        <v>3.30000000000008</v>
      </c>
      <c r="H770" s="23" t="b">
        <f>if(countif(Status!C:C,A770)=1,TRUE, FALSE)</f>
        <v>1</v>
      </c>
    </row>
    <row r="771">
      <c r="A771" s="23" t="str">
        <f t="shared" si="14"/>
        <v>EC34</v>
      </c>
      <c r="B771" s="23" t="str">
        <f>'3.3.raw'!M760</f>
        <v>EC34</v>
      </c>
      <c r="C771" s="24">
        <f>datevalue(left('3.3.raw'!O760,10))</f>
        <v>43818</v>
      </c>
      <c r="D771" s="23">
        <f>'3.3.raw'!I760</f>
        <v>98</v>
      </c>
      <c r="E771" s="23" t="str">
        <f>'3.3.raw'!J760</f>
        <v/>
      </c>
      <c r="F771" s="23" t="str">
        <f>'3.3.raw'!K760</f>
        <v/>
      </c>
      <c r="G771" s="1">
        <v>3.30000000000008</v>
      </c>
      <c r="H771" s="23" t="b">
        <f>if(countif(Status!C:C,A771)=1,TRUE, FALSE)</f>
        <v>1</v>
      </c>
    </row>
    <row r="772">
      <c r="A772" s="23" t="str">
        <f t="shared" si="14"/>
        <v>PLc1144</v>
      </c>
      <c r="B772" s="23" t="str">
        <f>'3.3.raw'!M761</f>
        <v>PLc1144</v>
      </c>
      <c r="C772" s="24">
        <f>datevalue(left('3.3.raw'!O761,10))</f>
        <v>43823</v>
      </c>
      <c r="D772" s="23">
        <f>'3.3.raw'!I761</f>
        <v>11</v>
      </c>
      <c r="E772" s="23" t="str">
        <f>'3.3.raw'!J761</f>
        <v/>
      </c>
      <c r="F772" s="23" t="str">
        <f>'3.3.raw'!K761</f>
        <v/>
      </c>
      <c r="G772" s="1">
        <v>3.30000000000008</v>
      </c>
      <c r="H772" s="23" t="b">
        <f>if(countif(Status!C:C,A772)=1,TRUE, FALSE)</f>
        <v>1</v>
      </c>
    </row>
    <row r="773">
      <c r="A773" s="23" t="str">
        <f t="shared" si="14"/>
        <v>PLc1145</v>
      </c>
      <c r="B773" s="23" t="str">
        <f>'3.3.raw'!M762</f>
        <v>PLc1145</v>
      </c>
      <c r="C773" s="24">
        <f>datevalue(left('3.3.raw'!O762,10))</f>
        <v>43823</v>
      </c>
      <c r="D773" s="23">
        <f>'3.3.raw'!I762</f>
        <v>11</v>
      </c>
      <c r="E773" s="23" t="str">
        <f>'3.3.raw'!J762</f>
        <v/>
      </c>
      <c r="F773" s="23" t="str">
        <f>'3.3.raw'!K762</f>
        <v/>
      </c>
      <c r="G773" s="1">
        <v>3.30000000000008</v>
      </c>
      <c r="H773" s="23" t="b">
        <f>if(countif(Status!C:C,A773)=1,TRUE, FALSE)</f>
        <v>1</v>
      </c>
    </row>
    <row r="774">
      <c r="A774" s="23" t="str">
        <f t="shared" si="14"/>
        <v>PLc1146</v>
      </c>
      <c r="B774" s="23" t="str">
        <f>'3.3.raw'!M763</f>
        <v>PLc1146</v>
      </c>
      <c r="C774" s="24">
        <f>datevalue(left('3.3.raw'!O763,10))</f>
        <v>43823</v>
      </c>
      <c r="D774" s="23">
        <f>'3.3.raw'!I763</f>
        <v>11</v>
      </c>
      <c r="E774" s="23" t="str">
        <f>'3.3.raw'!J763</f>
        <v/>
      </c>
      <c r="F774" s="23" t="str">
        <f>'3.3.raw'!K763</f>
        <v/>
      </c>
      <c r="G774" s="1">
        <v>3.30000000000008</v>
      </c>
      <c r="H774" s="23" t="b">
        <f>if(countif(Status!C:C,A774)=1,TRUE, FALSE)</f>
        <v>1</v>
      </c>
    </row>
    <row r="775">
      <c r="A775" s="23" t="str">
        <f t="shared" si="14"/>
        <v>PLc1147</v>
      </c>
      <c r="B775" s="23" t="str">
        <f>'3.3.raw'!M764</f>
        <v>PLc1147</v>
      </c>
      <c r="C775" s="24">
        <f>datevalue(left('3.3.raw'!O764,10))</f>
        <v>43823</v>
      </c>
      <c r="D775" s="23">
        <f>'3.3.raw'!I764</f>
        <v>11</v>
      </c>
      <c r="E775" s="23" t="str">
        <f>'3.3.raw'!J764</f>
        <v/>
      </c>
      <c r="F775" s="23" t="str">
        <f>'3.3.raw'!K764</f>
        <v/>
      </c>
      <c r="G775" s="1">
        <v>3.30000000000008</v>
      </c>
      <c r="H775" s="23" t="b">
        <f>if(countif(Status!C:C,A775)=1,TRUE, FALSE)</f>
        <v>1</v>
      </c>
    </row>
    <row r="776">
      <c r="A776" s="23" t="str">
        <f t="shared" si="14"/>
        <v>PLc1148</v>
      </c>
      <c r="B776" s="23" t="str">
        <f>'3.3.raw'!M765</f>
        <v>PLc1148</v>
      </c>
      <c r="C776" s="24">
        <f>datevalue(left('3.3.raw'!O765,10))</f>
        <v>43823</v>
      </c>
      <c r="D776" s="23">
        <f>'3.3.raw'!I765</f>
        <v>11</v>
      </c>
      <c r="E776" s="23" t="str">
        <f>'3.3.raw'!J765</f>
        <v/>
      </c>
      <c r="F776" s="23" t="str">
        <f>'3.3.raw'!K765</f>
        <v/>
      </c>
      <c r="G776" s="1">
        <v>3.30000000000008</v>
      </c>
      <c r="H776" s="23" t="b">
        <f>if(countif(Status!C:C,A776)=1,TRUE, FALSE)</f>
        <v>1</v>
      </c>
    </row>
    <row r="777">
      <c r="A777" s="23" t="str">
        <f t="shared" si="14"/>
        <v>PLc1149</v>
      </c>
      <c r="B777" s="23" t="str">
        <f>'3.3.raw'!M766</f>
        <v>PLc1149</v>
      </c>
      <c r="C777" s="24">
        <f>datevalue(left('3.3.raw'!O766,10))</f>
        <v>43823</v>
      </c>
      <c r="D777" s="23">
        <f>'3.3.raw'!I766</f>
        <v>11</v>
      </c>
      <c r="E777" s="23" t="str">
        <f>'3.3.raw'!J766</f>
        <v/>
      </c>
      <c r="F777" s="23" t="str">
        <f>'3.3.raw'!K766</f>
        <v/>
      </c>
      <c r="G777" s="1">
        <v>3.30000000000008</v>
      </c>
      <c r="H777" s="23" t="b">
        <f>if(countif(Status!C:C,A777)=1,TRUE, FALSE)</f>
        <v>1</v>
      </c>
    </row>
    <row r="778">
      <c r="A778" s="23" t="str">
        <f t="shared" si="14"/>
        <v>FB1126</v>
      </c>
      <c r="B778" s="23" t="str">
        <f>'3.3.raw'!M767</f>
        <v>FB1126</v>
      </c>
      <c r="C778" s="24">
        <f>datevalue(left('3.3.raw'!O767,10))</f>
        <v>43823</v>
      </c>
      <c r="D778" s="23">
        <f>'3.3.raw'!I767</f>
        <v>99</v>
      </c>
      <c r="E778" s="23" t="str">
        <f>'3.3.raw'!J767</f>
        <v/>
      </c>
      <c r="F778" s="23" t="str">
        <f>'3.3.raw'!K767</f>
        <v/>
      </c>
      <c r="G778" s="1">
        <v>3.30000000000008</v>
      </c>
      <c r="H778" s="23" t="b">
        <f>if(countif(Status!C:C,A778)=1,TRUE, FALSE)</f>
        <v>1</v>
      </c>
    </row>
    <row r="779">
      <c r="A779" s="23" t="str">
        <f t="shared" si="14"/>
        <v>PLc1150</v>
      </c>
      <c r="B779" s="23" t="str">
        <f>'3.3.raw'!M768</f>
        <v>PLc1150</v>
      </c>
      <c r="C779" s="24">
        <f>datevalue(left('3.3.raw'!O768,10))</f>
        <v>43823</v>
      </c>
      <c r="D779" s="23">
        <f>'3.3.raw'!I768</f>
        <v>11</v>
      </c>
      <c r="E779" s="23" t="str">
        <f>'3.3.raw'!J768</f>
        <v/>
      </c>
      <c r="F779" s="23" t="str">
        <f>'3.3.raw'!K768</f>
        <v/>
      </c>
      <c r="G779" s="1">
        <v>3.30000000000008</v>
      </c>
      <c r="H779" s="23" t="b">
        <f>if(countif(Status!C:C,A779)=1,TRUE, FALSE)</f>
        <v>1</v>
      </c>
    </row>
    <row r="780">
      <c r="A780" s="23" t="str">
        <f t="shared" si="14"/>
        <v>PLc1151</v>
      </c>
      <c r="B780" s="23" t="str">
        <f>'3.3.raw'!M769</f>
        <v>PLc1151</v>
      </c>
      <c r="C780" s="24">
        <f>datevalue(left('3.3.raw'!O769,10))</f>
        <v>43823</v>
      </c>
      <c r="D780" s="23">
        <f>'3.3.raw'!I769</f>
        <v>11</v>
      </c>
      <c r="E780" s="23" t="str">
        <f>'3.3.raw'!J769</f>
        <v/>
      </c>
      <c r="F780" s="23" t="str">
        <f>'3.3.raw'!K769</f>
        <v/>
      </c>
      <c r="G780" s="1">
        <v>3.30000000000008</v>
      </c>
      <c r="H780" s="23" t="b">
        <f>if(countif(Status!C:C,A780)=1,TRUE, FALSE)</f>
        <v>1</v>
      </c>
    </row>
    <row r="781">
      <c r="A781" s="23" t="str">
        <f t="shared" si="14"/>
        <v>MO1136</v>
      </c>
      <c r="B781" s="23" t="str">
        <f>'3.3.raw'!M770</f>
        <v>MO1136</v>
      </c>
      <c r="C781" s="24">
        <f>datevalue(left('3.3.raw'!O770,10))</f>
        <v>43823</v>
      </c>
      <c r="D781" s="23">
        <f>'3.3.raw'!I770</f>
        <v>12</v>
      </c>
      <c r="E781" s="23" t="str">
        <f>'3.3.raw'!J770</f>
        <v/>
      </c>
      <c r="F781" s="23" t="str">
        <f>'3.3.raw'!K770</f>
        <v/>
      </c>
      <c r="G781" s="1">
        <v>3.30000000000008</v>
      </c>
      <c r="H781" s="23" t="b">
        <f>if(countif(Status!C:C,A781)=1,TRUE, FALSE)</f>
        <v>1</v>
      </c>
    </row>
    <row r="782">
      <c r="A782" s="23" t="str">
        <f t="shared" si="14"/>
        <v>MO1137</v>
      </c>
      <c r="B782" s="23" t="str">
        <f>'3.3.raw'!M771</f>
        <v>MO1137</v>
      </c>
      <c r="C782" s="24">
        <f>datevalue(left('3.3.raw'!O771,10))</f>
        <v>43823</v>
      </c>
      <c r="D782" s="23">
        <f>'3.3.raw'!I771</f>
        <v>12</v>
      </c>
      <c r="E782" s="23" t="str">
        <f>'3.3.raw'!J771</f>
        <v/>
      </c>
      <c r="F782" s="23" t="str">
        <f>'3.3.raw'!K771</f>
        <v/>
      </c>
      <c r="G782" s="1">
        <v>3.30000000000008</v>
      </c>
      <c r="H782" s="23" t="b">
        <f>if(countif(Status!C:C,A782)=1,TRUE, FALSE)</f>
        <v>1</v>
      </c>
    </row>
    <row r="783">
      <c r="A783" s="23" t="str">
        <f t="shared" si="14"/>
        <v>FB1230</v>
      </c>
      <c r="B783" s="23" t="str">
        <f>'3.3.raw'!M772</f>
        <v>FB1230</v>
      </c>
      <c r="C783" s="24">
        <f>datevalue(left('3.3.raw'!O772,10))</f>
        <v>43823</v>
      </c>
      <c r="D783" s="23">
        <f>'3.3.raw'!I772</f>
        <v>99</v>
      </c>
      <c r="E783" s="23" t="str">
        <f>'3.3.raw'!J772</f>
        <v/>
      </c>
      <c r="F783" s="23" t="str">
        <f>'3.3.raw'!K772</f>
        <v/>
      </c>
      <c r="G783" s="1">
        <v>3.30000000000008</v>
      </c>
      <c r="H783" s="23" t="b">
        <f>if(countif(Status!C:C,A783)=1,TRUE, FALSE)</f>
        <v>1</v>
      </c>
    </row>
    <row r="784">
      <c r="A784" s="23" t="str">
        <f t="shared" si="14"/>
        <v>EC35</v>
      </c>
      <c r="B784" s="23" t="str">
        <f>'3.3.raw'!M773</f>
        <v>EC35</v>
      </c>
      <c r="C784" s="24">
        <f>datevalue(left('3.3.raw'!O773,10))</f>
        <v>43823</v>
      </c>
      <c r="D784" s="23">
        <f>'3.3.raw'!I773</f>
        <v>98</v>
      </c>
      <c r="E784" s="23" t="str">
        <f>'3.3.raw'!J773</f>
        <v/>
      </c>
      <c r="F784" s="23" t="str">
        <f>'3.3.raw'!K773</f>
        <v/>
      </c>
      <c r="G784" s="1">
        <v>3.30000000000008</v>
      </c>
      <c r="H784" s="23" t="b">
        <f>if(countif(Status!C:C,A784)=1,TRUE, FALSE)</f>
        <v>1</v>
      </c>
    </row>
    <row r="785">
      <c r="A785" s="23" t="str">
        <f t="shared" si="14"/>
        <v>PLc1152</v>
      </c>
      <c r="B785" s="23" t="str">
        <f>'3.3.raw'!M774</f>
        <v>PLc1152</v>
      </c>
      <c r="C785" s="24">
        <f>datevalue(left('3.3.raw'!O774,10))</f>
        <v>43823</v>
      </c>
      <c r="D785" s="23">
        <f>'3.3.raw'!I774</f>
        <v>11</v>
      </c>
      <c r="E785" s="23" t="str">
        <f>'3.3.raw'!J774</f>
        <v/>
      </c>
      <c r="F785" s="23" t="str">
        <f>'3.3.raw'!K774</f>
        <v/>
      </c>
      <c r="G785" s="1">
        <v>3.30000000000008</v>
      </c>
      <c r="H785" s="23" t="b">
        <f>if(countif(Status!C:C,A785)=1,TRUE, FALSE)</f>
        <v>1</v>
      </c>
    </row>
    <row r="786">
      <c r="A786" s="23" t="str">
        <f t="shared" si="14"/>
        <v>PLc1153</v>
      </c>
      <c r="B786" s="23" t="str">
        <f>'3.3.raw'!M775</f>
        <v>PLc1153</v>
      </c>
      <c r="C786" s="24">
        <f>datevalue(left('3.3.raw'!O775,10))</f>
        <v>43823</v>
      </c>
      <c r="D786" s="23">
        <f>'3.3.raw'!I775</f>
        <v>11</v>
      </c>
      <c r="E786" s="23" t="str">
        <f>'3.3.raw'!J775</f>
        <v/>
      </c>
      <c r="F786" s="23" t="str">
        <f>'3.3.raw'!K775</f>
        <v/>
      </c>
      <c r="G786" s="1">
        <v>3.30000000000008</v>
      </c>
      <c r="H786" s="23" t="b">
        <f>if(countif(Status!C:C,A786)=1,TRUE, FALSE)</f>
        <v>1</v>
      </c>
    </row>
    <row r="787">
      <c r="A787" s="23" t="str">
        <f t="shared" si="14"/>
        <v>PLc1154</v>
      </c>
      <c r="B787" s="23" t="str">
        <f>'3.3.raw'!M776</f>
        <v>PLc1154</v>
      </c>
      <c r="C787" s="24">
        <f>datevalue(left('3.3.raw'!O776,10))</f>
        <v>43831</v>
      </c>
      <c r="D787" s="23">
        <f>'3.3.raw'!I776</f>
        <v>11</v>
      </c>
      <c r="E787" s="23" t="str">
        <f>'3.3.raw'!J776</f>
        <v/>
      </c>
      <c r="F787" s="23" t="str">
        <f>'3.3.raw'!K776</f>
        <v/>
      </c>
      <c r="G787" s="1">
        <v>3.30000000000008</v>
      </c>
      <c r="H787" s="23" t="b">
        <f>if(countif(Status!C:C,A787)=1,TRUE, FALSE)</f>
        <v>1</v>
      </c>
    </row>
    <row r="788">
      <c r="A788" s="23" t="str">
        <f t="shared" si="14"/>
        <v>PLc1155</v>
      </c>
      <c r="B788" s="23" t="str">
        <f>'3.3.raw'!M777</f>
        <v>PLc1155</v>
      </c>
      <c r="C788" s="24">
        <f>datevalue(left('3.3.raw'!O777,10))</f>
        <v>43831</v>
      </c>
      <c r="D788" s="23">
        <f>'3.3.raw'!I777</f>
        <v>11</v>
      </c>
      <c r="E788" s="23" t="str">
        <f>'3.3.raw'!J777</f>
        <v/>
      </c>
      <c r="F788" s="23" t="str">
        <f>'3.3.raw'!K777</f>
        <v/>
      </c>
      <c r="G788" s="1">
        <v>3.30000000000008</v>
      </c>
      <c r="H788" s="23" t="b">
        <f>if(countif(Status!C:C,A788)=1,TRUE, FALSE)</f>
        <v>1</v>
      </c>
    </row>
    <row r="789">
      <c r="A789" s="23" t="str">
        <f t="shared" si="14"/>
        <v>PLc1156</v>
      </c>
      <c r="B789" s="23" t="str">
        <f>'3.3.raw'!M778</f>
        <v>PLc1156</v>
      </c>
      <c r="C789" s="24">
        <f>datevalue(left('3.3.raw'!O778,10))</f>
        <v>43831</v>
      </c>
      <c r="D789" s="23">
        <f>'3.3.raw'!I778</f>
        <v>11</v>
      </c>
      <c r="E789" s="23" t="str">
        <f>'3.3.raw'!J778</f>
        <v/>
      </c>
      <c r="F789" s="23" t="str">
        <f>'3.3.raw'!K778</f>
        <v/>
      </c>
      <c r="G789" s="1">
        <v>3.30000000000008</v>
      </c>
      <c r="H789" s="23" t="b">
        <f>if(countif(Status!C:C,A789)=1,TRUE, FALSE)</f>
        <v>1</v>
      </c>
    </row>
    <row r="790">
      <c r="A790" s="23" t="str">
        <f t="shared" si="14"/>
        <v>PLc1157</v>
      </c>
      <c r="B790" s="23" t="str">
        <f>'3.3.raw'!M779</f>
        <v>PLc1157</v>
      </c>
      <c r="C790" s="24">
        <f>datevalue(left('3.3.raw'!O779,10))</f>
        <v>43831</v>
      </c>
      <c r="D790" s="23">
        <f>'3.3.raw'!I779</f>
        <v>11</v>
      </c>
      <c r="E790" s="23" t="str">
        <f>'3.3.raw'!J779</f>
        <v/>
      </c>
      <c r="F790" s="23" t="str">
        <f>'3.3.raw'!K779</f>
        <v/>
      </c>
      <c r="G790" s="1">
        <v>3.30000000000008</v>
      </c>
      <c r="H790" s="23" t="b">
        <f>if(countif(Status!C:C,A790)=1,TRUE, FALSE)</f>
        <v>1</v>
      </c>
    </row>
    <row r="791">
      <c r="A791" s="23" t="str">
        <f t="shared" si="14"/>
        <v>FB1236</v>
      </c>
      <c r="B791" s="23" t="str">
        <f>'3.3.raw'!M780</f>
        <v>FB1236</v>
      </c>
      <c r="C791" s="24">
        <f>datevalue(left('3.3.raw'!O780,10))</f>
        <v>43831</v>
      </c>
      <c r="D791" s="23">
        <f>'3.3.raw'!I780</f>
        <v>99</v>
      </c>
      <c r="E791" s="23" t="str">
        <f>'3.3.raw'!J780</f>
        <v/>
      </c>
      <c r="F791" s="23" t="str">
        <f>'3.3.raw'!K780</f>
        <v/>
      </c>
      <c r="G791" s="1">
        <v>3.30000000000008</v>
      </c>
      <c r="H791" s="23" t="b">
        <f>if(countif(Status!C:C,A791)=1,TRUE, FALSE)</f>
        <v>1</v>
      </c>
    </row>
    <row r="792">
      <c r="A792" s="30" t="str">
        <f t="shared" si="14"/>
        <v>MO1168</v>
      </c>
      <c r="B792" s="23" t="str">
        <f>'3.3.raw'!M781</f>
        <v>MO1168</v>
      </c>
      <c r="C792" s="24">
        <f>datevalue(left('3.3.raw'!O781,10))</f>
        <v>43831</v>
      </c>
      <c r="D792" s="23">
        <f>'3.3.raw'!I781</f>
        <v>12</v>
      </c>
      <c r="E792" s="23" t="str">
        <f>'3.3.raw'!J781</f>
        <v/>
      </c>
      <c r="F792" s="23" t="str">
        <f>'3.3.raw'!K781</f>
        <v/>
      </c>
      <c r="G792" s="1">
        <v>3.30000000000008</v>
      </c>
      <c r="H792" s="23" t="b">
        <f>if(countif(Status!C:C,A792)=1,TRUE, FALSE)</f>
        <v>1</v>
      </c>
    </row>
    <row r="793">
      <c r="A793" s="23" t="str">
        <f t="shared" si="14"/>
        <v>MO1138</v>
      </c>
      <c r="B793" s="23" t="str">
        <f>'3.3.raw'!M782</f>
        <v>MO1138</v>
      </c>
      <c r="C793" s="24">
        <f>datevalue(left('3.3.raw'!O782,10))</f>
        <v>43831</v>
      </c>
      <c r="D793" s="23">
        <f>'3.3.raw'!I782</f>
        <v>12</v>
      </c>
      <c r="E793" s="23" t="str">
        <f>'3.3.raw'!J782</f>
        <v/>
      </c>
      <c r="F793" s="23" t="str">
        <f>'3.3.raw'!K782</f>
        <v/>
      </c>
      <c r="G793" s="1">
        <v>3.30000000000008</v>
      </c>
      <c r="H793" s="23" t="b">
        <f>if(countif(Status!C:C,A793)=1,TRUE, FALSE)</f>
        <v>1</v>
      </c>
    </row>
    <row r="794">
      <c r="A794" s="23" t="str">
        <f t="shared" si="14"/>
        <v>MO1139</v>
      </c>
      <c r="B794" s="23" t="str">
        <f>'3.3.raw'!M783</f>
        <v>MO1139</v>
      </c>
      <c r="C794" s="24">
        <f>datevalue(left('3.3.raw'!O783,10))</f>
        <v>43831</v>
      </c>
      <c r="D794" s="23">
        <f>'3.3.raw'!I783</f>
        <v>12</v>
      </c>
      <c r="E794" s="23" t="str">
        <f>'3.3.raw'!J783</f>
        <v/>
      </c>
      <c r="F794" s="23" t="str">
        <f>'3.3.raw'!K783</f>
        <v/>
      </c>
      <c r="G794" s="1">
        <v>3.30000000000008</v>
      </c>
      <c r="H794" s="23" t="b">
        <f>if(countif(Status!C:C,A794)=1,TRUE, FALSE)</f>
        <v>1</v>
      </c>
    </row>
    <row r="795">
      <c r="A795" s="23" t="str">
        <f t="shared" si="14"/>
        <v>PLc1158</v>
      </c>
      <c r="B795" s="23" t="str">
        <f>'3.3.raw'!M784</f>
        <v>PLc1158</v>
      </c>
      <c r="C795" s="24">
        <f>datevalue(left('3.3.raw'!O784,10))</f>
        <v>43831</v>
      </c>
      <c r="D795" s="23">
        <f>'3.3.raw'!I784</f>
        <v>11</v>
      </c>
      <c r="E795" s="23" t="str">
        <f>'3.3.raw'!J784</f>
        <v/>
      </c>
      <c r="F795" s="23" t="str">
        <f>'3.3.raw'!K784</f>
        <v/>
      </c>
      <c r="G795" s="1">
        <v>3.30000000000008</v>
      </c>
      <c r="H795" s="23" t="b">
        <f>if(countif(Status!C:C,A795)=1,TRUE, FALSE)</f>
        <v>1</v>
      </c>
    </row>
    <row r="796">
      <c r="A796" s="23" t="str">
        <f t="shared" si="14"/>
        <v>FB1239</v>
      </c>
      <c r="B796" s="23" t="str">
        <f>'3.3.raw'!M785</f>
        <v>FB1239</v>
      </c>
      <c r="C796" s="24">
        <f>datevalue(left('3.3.raw'!O785,10))</f>
        <v>43831</v>
      </c>
      <c r="D796" s="23">
        <f>'3.3.raw'!I785</f>
        <v>99</v>
      </c>
      <c r="E796" s="23" t="str">
        <f>'3.3.raw'!J785</f>
        <v/>
      </c>
      <c r="F796" s="23" t="str">
        <f>'3.3.raw'!K785</f>
        <v/>
      </c>
      <c r="G796" s="1">
        <v>3.30000000000008</v>
      </c>
      <c r="H796" s="23" t="b">
        <f>if(countif(Status!C:C,A796)=1,TRUE, FALSE)</f>
        <v>1</v>
      </c>
    </row>
    <row r="797">
      <c r="A797" s="23" t="str">
        <f t="shared" si="14"/>
        <v>PLc1159</v>
      </c>
      <c r="B797" s="23" t="str">
        <f>'3.3.raw'!M786</f>
        <v>PLc1159</v>
      </c>
      <c r="C797" s="24">
        <f>datevalue(left('3.3.raw'!O786,10))</f>
        <v>43831</v>
      </c>
      <c r="D797" s="23">
        <f>'3.3.raw'!I786</f>
        <v>11</v>
      </c>
      <c r="E797" s="23" t="str">
        <f>'3.3.raw'!J786</f>
        <v/>
      </c>
      <c r="F797" s="23" t="str">
        <f>'3.3.raw'!K786</f>
        <v/>
      </c>
      <c r="G797" s="1">
        <v>3.30000000000008</v>
      </c>
      <c r="H797" s="23" t="b">
        <f>if(countif(Status!C:C,A797)=1,TRUE, FALSE)</f>
        <v>1</v>
      </c>
    </row>
    <row r="798">
      <c r="A798" s="23" t="str">
        <f t="shared" si="14"/>
        <v>PLc1160</v>
      </c>
      <c r="B798" s="23" t="str">
        <f>'3.3.raw'!M787</f>
        <v>PLc1160</v>
      </c>
      <c r="C798" s="24">
        <f>datevalue(left('3.3.raw'!O787,10))</f>
        <v>43831</v>
      </c>
      <c r="D798" s="23">
        <f>'3.3.raw'!I787</f>
        <v>11</v>
      </c>
      <c r="E798" s="23" t="str">
        <f>'3.3.raw'!J787</f>
        <v/>
      </c>
      <c r="F798" s="23" t="str">
        <f>'3.3.raw'!K787</f>
        <v/>
      </c>
      <c r="G798" s="1">
        <v>3.30000000000008</v>
      </c>
      <c r="H798" s="23" t="b">
        <f>if(countif(Status!C:C,A798)=1,TRUE, FALSE)</f>
        <v>1</v>
      </c>
    </row>
    <row r="799">
      <c r="A799" s="23" t="str">
        <f t="shared" si="14"/>
        <v>PLc1161</v>
      </c>
      <c r="B799" s="23" t="str">
        <f>'3.3.raw'!M788</f>
        <v>PLc1161</v>
      </c>
      <c r="C799" s="24">
        <f>datevalue(left('3.3.raw'!O788,10))</f>
        <v>43831</v>
      </c>
      <c r="D799" s="23">
        <f>'3.3.raw'!I788</f>
        <v>11</v>
      </c>
      <c r="E799" s="23" t="str">
        <f>'3.3.raw'!J788</f>
        <v/>
      </c>
      <c r="F799" s="23" t="str">
        <f>'3.3.raw'!K788</f>
        <v/>
      </c>
      <c r="G799" s="1">
        <v>3.30000000000008</v>
      </c>
      <c r="H799" s="23" t="b">
        <f>if(countif(Status!C:C,A799)=1,TRUE, FALSE)</f>
        <v>1</v>
      </c>
    </row>
    <row r="800">
      <c r="A800" s="23" t="str">
        <f t="shared" si="14"/>
        <v>FB1242</v>
      </c>
      <c r="B800" s="23" t="str">
        <f>'3.3.raw'!M789</f>
        <v>FB1242</v>
      </c>
      <c r="C800" s="24">
        <f>datevalue(left('3.3.raw'!O789,10))</f>
        <v>43831</v>
      </c>
      <c r="D800" s="23">
        <f>'3.3.raw'!I789</f>
        <v>99</v>
      </c>
      <c r="E800" s="23" t="str">
        <f>'3.3.raw'!J789</f>
        <v/>
      </c>
      <c r="F800" s="23" t="str">
        <f>'3.3.raw'!K789</f>
        <v/>
      </c>
      <c r="G800" s="1">
        <v>3.30000000000008</v>
      </c>
      <c r="H800" s="23" t="b">
        <f>if(countif(Status!C:C,A800)=1,TRUE, FALSE)</f>
        <v>1</v>
      </c>
    </row>
    <row r="801">
      <c r="A801" s="23" t="str">
        <f t="shared" si="14"/>
        <v>PLc1162</v>
      </c>
      <c r="B801" s="23" t="str">
        <f>'3.3.raw'!M790</f>
        <v>PLc1162</v>
      </c>
      <c r="C801" s="24">
        <f>datevalue(left('3.3.raw'!O790,10))</f>
        <v>43831</v>
      </c>
      <c r="D801" s="23">
        <f>'3.3.raw'!I790</f>
        <v>11</v>
      </c>
      <c r="E801" s="23" t="str">
        <f>'3.3.raw'!J790</f>
        <v/>
      </c>
      <c r="F801" s="23" t="str">
        <f>'3.3.raw'!K790</f>
        <v/>
      </c>
      <c r="G801" s="1">
        <v>3.30000000000008</v>
      </c>
      <c r="H801" s="23" t="b">
        <f>if(countif(Status!C:C,A801)=1,TRUE, FALSE)</f>
        <v>1</v>
      </c>
    </row>
    <row r="802">
      <c r="A802" s="23" t="str">
        <f t="shared" si="14"/>
        <v>UF1013</v>
      </c>
      <c r="B802" s="23" t="str">
        <f>'3.3.raw'!M791</f>
        <v>UF1013</v>
      </c>
      <c r="C802" s="24">
        <f>datevalue(left('3.3.raw'!O791,10))</f>
        <v>43831</v>
      </c>
      <c r="D802" s="23">
        <f>'3.3.raw'!I791</f>
        <v>16</v>
      </c>
      <c r="E802" s="23" t="str">
        <f>'3.3.raw'!J791</f>
        <v/>
      </c>
      <c r="F802" s="23" t="str">
        <f>'3.3.raw'!K791</f>
        <v/>
      </c>
      <c r="G802" s="1">
        <v>3.30000000000008</v>
      </c>
      <c r="H802" s="23" t="b">
        <f>if(countif(Status!C:C,A802)=1,TRUE, FALSE)</f>
        <v>1</v>
      </c>
    </row>
    <row r="803">
      <c r="A803" s="23" t="str">
        <f t="shared" si="14"/>
        <v>PLc1163</v>
      </c>
      <c r="B803" s="23" t="str">
        <f>'3.3.raw'!M792</f>
        <v>PLc1163</v>
      </c>
      <c r="C803" s="24">
        <f>datevalue(left('3.3.raw'!O792,10))</f>
        <v>43831</v>
      </c>
      <c r="D803" s="23">
        <f>'3.3.raw'!I792</f>
        <v>11</v>
      </c>
      <c r="E803" s="23" t="str">
        <f>'3.3.raw'!J792</f>
        <v/>
      </c>
      <c r="F803" s="23" t="str">
        <f>'3.3.raw'!K792</f>
        <v/>
      </c>
      <c r="G803" s="1">
        <v>3.30000000000008</v>
      </c>
      <c r="H803" s="23" t="b">
        <f>if(countif(Status!C:C,A803)=1,TRUE, FALSE)</f>
        <v>1</v>
      </c>
    </row>
    <row r="804">
      <c r="A804" s="23" t="str">
        <f t="shared" si="14"/>
        <v>EC36</v>
      </c>
      <c r="B804" s="23" t="str">
        <f>'3.3.raw'!M793</f>
        <v>EC36</v>
      </c>
      <c r="C804" s="24">
        <f>datevalue(left('3.3.raw'!O793,10))</f>
        <v>43831</v>
      </c>
      <c r="D804" s="23">
        <f>'3.3.raw'!I793</f>
        <v>98</v>
      </c>
      <c r="E804" s="23" t="str">
        <f>'3.3.raw'!J793</f>
        <v/>
      </c>
      <c r="F804" s="23" t="str">
        <f>'3.3.raw'!K793</f>
        <v/>
      </c>
      <c r="G804" s="1">
        <v>3.30000000000008</v>
      </c>
      <c r="H804" s="23" t="b">
        <f>if(countif(Status!C:C,A804)=1,TRUE, FALSE)</f>
        <v>1</v>
      </c>
    </row>
    <row r="805">
      <c r="A805" s="23" t="str">
        <f t="shared" si="14"/>
        <v>MO1140</v>
      </c>
      <c r="B805" s="23" t="str">
        <f>'3.3.raw'!M794</f>
        <v>MO1140</v>
      </c>
      <c r="C805" s="24">
        <f>datevalue(left('3.3.raw'!O794,10))</f>
        <v>43831</v>
      </c>
      <c r="D805" s="23">
        <f>'3.3.raw'!I794</f>
        <v>12</v>
      </c>
      <c r="E805" s="23" t="str">
        <f>'3.3.raw'!J794</f>
        <v/>
      </c>
      <c r="F805" s="23" t="str">
        <f>'3.3.raw'!K794</f>
        <v/>
      </c>
      <c r="G805" s="1">
        <v>3.30000000000008</v>
      </c>
      <c r="H805" s="23" t="b">
        <f>if(countif(Status!C:C,A805)=1,TRUE, FALSE)</f>
        <v>1</v>
      </c>
    </row>
    <row r="806">
      <c r="A806" s="23" t="str">
        <f t="shared" si="14"/>
        <v>FB1245</v>
      </c>
      <c r="B806" s="23" t="str">
        <f>'3.3.raw'!M795</f>
        <v>FB1245</v>
      </c>
      <c r="C806" s="24">
        <f>datevalue(left('3.3.raw'!O795,10))</f>
        <v>43832</v>
      </c>
      <c r="D806" s="23">
        <f>'3.3.raw'!I795</f>
        <v>99</v>
      </c>
      <c r="E806" s="23" t="str">
        <f>'3.3.raw'!J795</f>
        <v/>
      </c>
      <c r="F806" s="23" t="str">
        <f>'3.3.raw'!K795</f>
        <v/>
      </c>
      <c r="G806" s="1">
        <v>3.30000000000008</v>
      </c>
      <c r="H806" s="23" t="b">
        <f>if(countif(Status!C:C,A806)=1,TRUE, FALSE)</f>
        <v>1</v>
      </c>
    </row>
    <row r="807">
      <c r="A807" s="23" t="str">
        <f t="shared" si="14"/>
        <v>MO1141</v>
      </c>
      <c r="B807" s="23" t="str">
        <f>'3.3.raw'!M796</f>
        <v>MO1141</v>
      </c>
      <c r="C807" s="24">
        <f>datevalue(left('3.3.raw'!O796,10))</f>
        <v>43832</v>
      </c>
      <c r="D807" s="23">
        <f>'3.3.raw'!I796</f>
        <v>12</v>
      </c>
      <c r="E807" s="23" t="str">
        <f>'3.3.raw'!J796</f>
        <v/>
      </c>
      <c r="F807" s="23" t="str">
        <f>'3.3.raw'!K796</f>
        <v/>
      </c>
      <c r="G807" s="1">
        <v>3.30000000000008</v>
      </c>
      <c r="H807" s="23" t="b">
        <f>if(countif(Status!C:C,A807)=1,TRUE, FALSE)</f>
        <v>1</v>
      </c>
    </row>
    <row r="808">
      <c r="A808" s="23" t="str">
        <f t="shared" si="14"/>
        <v>MO1142</v>
      </c>
      <c r="B808" s="23" t="str">
        <f>'3.3.raw'!M797</f>
        <v>MO1142</v>
      </c>
      <c r="C808" s="24">
        <f>datevalue(left('3.3.raw'!O797,10))</f>
        <v>43832</v>
      </c>
      <c r="D808" s="23">
        <f>'3.3.raw'!I797</f>
        <v>12</v>
      </c>
      <c r="E808" s="23" t="str">
        <f>'3.3.raw'!J797</f>
        <v/>
      </c>
      <c r="F808" s="23" t="str">
        <f>'3.3.raw'!K797</f>
        <v/>
      </c>
      <c r="G808" s="1">
        <v>3.30000000000008</v>
      </c>
      <c r="H808" s="23" t="b">
        <f>if(countif(Status!C:C,A808)=1,TRUE, FALSE)</f>
        <v>1</v>
      </c>
    </row>
    <row r="809">
      <c r="A809" s="23" t="str">
        <f t="shared" si="14"/>
        <v>UF1013F</v>
      </c>
      <c r="B809" s="23" t="str">
        <f>'3.3.raw'!M798</f>
        <v>UF1013F</v>
      </c>
      <c r="C809" s="24">
        <f>datevalue(left('3.3.raw'!O798,10))</f>
        <v>43832</v>
      </c>
      <c r="D809" s="23">
        <f>'3.3.raw'!I798</f>
        <v>16</v>
      </c>
      <c r="E809" s="23" t="str">
        <f>'3.3.raw'!J798</f>
        <v/>
      </c>
      <c r="F809" s="23" t="str">
        <f>'3.3.raw'!K798</f>
        <v/>
      </c>
      <c r="G809" s="1">
        <v>3.30000000000008</v>
      </c>
      <c r="H809" s="23" t="b">
        <f>if(countif(Status!C:C,A809)=1,TRUE, FALSE)</f>
        <v>1</v>
      </c>
    </row>
    <row r="810">
      <c r="A810" s="23" t="str">
        <f t="shared" si="14"/>
        <v>DWa1003uf</v>
      </c>
      <c r="B810" s="23" t="str">
        <f>'3.3.raw'!M799</f>
        <v>DWa1003uf</v>
      </c>
      <c r="C810" s="24">
        <f>datevalue(left('3.3.raw'!O799,10))</f>
        <v>43832</v>
      </c>
      <c r="D810" s="23">
        <f>'3.3.raw'!I799</f>
        <v>3</v>
      </c>
      <c r="E810" s="23" t="str">
        <f>'3.3.raw'!J799</f>
        <v/>
      </c>
      <c r="F810" s="23" t="str">
        <f>'3.3.raw'!K799</f>
        <v/>
      </c>
      <c r="G810" s="1">
        <v>3.30000000000008</v>
      </c>
      <c r="H810" s="23" t="b">
        <f>if(countif(Status!C:C,A810)=1,TRUE, FALSE)</f>
        <v>1</v>
      </c>
    </row>
    <row r="811">
      <c r="A811" s="23" t="str">
        <f t="shared" si="14"/>
        <v>FB1248</v>
      </c>
      <c r="B811" s="23" t="str">
        <f>'3.3.raw'!M800</f>
        <v>FB1248</v>
      </c>
      <c r="C811" s="24">
        <f>datevalue(left('3.3.raw'!O800,10))</f>
        <v>43832</v>
      </c>
      <c r="D811" s="23">
        <f>'3.3.raw'!I800</f>
        <v>99</v>
      </c>
      <c r="E811" s="23" t="str">
        <f>'3.3.raw'!J800</f>
        <v/>
      </c>
      <c r="F811" s="23" t="str">
        <f>'3.3.raw'!K800</f>
        <v/>
      </c>
      <c r="G811" s="1">
        <v>3.30000000000008</v>
      </c>
      <c r="H811" s="23" t="b">
        <f>if(countif(Status!C:C,A811)=1,TRUE, FALSE)</f>
        <v>1</v>
      </c>
    </row>
    <row r="812">
      <c r="A812" s="23" t="str">
        <f t="shared" si="14"/>
        <v>EC37</v>
      </c>
      <c r="B812" s="23" t="str">
        <f>'3.3.raw'!M801</f>
        <v>EC37</v>
      </c>
      <c r="C812" s="24">
        <f>datevalue(left('3.3.raw'!O801,10))</f>
        <v>43832</v>
      </c>
      <c r="D812" s="23">
        <f>'3.3.raw'!I801</f>
        <v>98</v>
      </c>
      <c r="E812" s="23" t="str">
        <f>'3.3.raw'!J801</f>
        <v/>
      </c>
      <c r="F812" s="23" t="str">
        <f>'3.3.raw'!K801</f>
        <v/>
      </c>
      <c r="G812" s="1">
        <v>3.30000000000008</v>
      </c>
      <c r="H812" s="23" t="b">
        <f>if(countif(Status!C:C,A812)=1,TRUE, FALSE)</f>
        <v>1</v>
      </c>
    </row>
    <row r="813">
      <c r="A813" s="23" t="str">
        <f t="shared" si="14"/>
        <v>MO1143</v>
      </c>
      <c r="B813" s="23" t="str">
        <f>'3.3.raw'!M802</f>
        <v>MO1143</v>
      </c>
      <c r="C813" s="24">
        <f>datevalue(left('3.3.raw'!O802,10))</f>
        <v>43832</v>
      </c>
      <c r="D813" s="23">
        <f>'3.3.raw'!I802</f>
        <v>12</v>
      </c>
      <c r="E813" s="23" t="str">
        <f>'3.3.raw'!J802</f>
        <v/>
      </c>
      <c r="F813" s="23" t="str">
        <f>'3.3.raw'!K802</f>
        <v/>
      </c>
      <c r="G813" s="1">
        <v>3.30000000000008</v>
      </c>
      <c r="H813" s="23" t="b">
        <f>if(countif(Status!C:C,A813)=1,TRUE, FALSE)</f>
        <v>1</v>
      </c>
    </row>
    <row r="814">
      <c r="A814" s="23" t="str">
        <f t="shared" si="14"/>
        <v>MO1144</v>
      </c>
      <c r="B814" s="23" t="str">
        <f>'3.3.raw'!M803</f>
        <v>MO1144</v>
      </c>
      <c r="C814" s="24">
        <f>datevalue(left('3.3.raw'!O803,10))</f>
        <v>43832</v>
      </c>
      <c r="D814" s="23">
        <f>'3.3.raw'!I803</f>
        <v>12</v>
      </c>
      <c r="E814" s="23" t="str">
        <f>'3.3.raw'!J803</f>
        <v/>
      </c>
      <c r="F814" s="23" t="str">
        <f>'3.3.raw'!K803</f>
        <v/>
      </c>
      <c r="G814" s="1">
        <v>3.30000000000008</v>
      </c>
      <c r="H814" s="23" t="b">
        <f>if(countif(Status!C:C,A814)=1,TRUE, FALSE)</f>
        <v>1</v>
      </c>
    </row>
    <row r="815">
      <c r="A815" s="23" t="str">
        <f t="shared" si="14"/>
        <v>MO1145</v>
      </c>
      <c r="B815" s="23" t="str">
        <f>'3.3.raw'!M804</f>
        <v>MO1145</v>
      </c>
      <c r="C815" s="24">
        <f>datevalue(left('3.3.raw'!O804,10))</f>
        <v>43837</v>
      </c>
      <c r="D815" s="23">
        <f>'3.3.raw'!I804</f>
        <v>12</v>
      </c>
      <c r="E815" s="23" t="str">
        <f>'3.3.raw'!J804</f>
        <v/>
      </c>
      <c r="F815" s="23" t="str">
        <f>'3.3.raw'!K804</f>
        <v/>
      </c>
      <c r="G815" s="1">
        <v>3.30000000000008</v>
      </c>
      <c r="H815" s="23" t="b">
        <f>if(countif(Status!C:C,A815)=1,TRUE, FALSE)</f>
        <v>1</v>
      </c>
    </row>
    <row r="816">
      <c r="A816" s="23" t="str">
        <f t="shared" si="14"/>
        <v>PLc1164</v>
      </c>
      <c r="B816" s="23" t="str">
        <f>'3.3.raw'!M805</f>
        <v>PLc1164</v>
      </c>
      <c r="C816" s="24">
        <f>datevalue(left('3.3.raw'!O805,10))</f>
        <v>43837</v>
      </c>
      <c r="D816" s="23">
        <f>'3.3.raw'!I805</f>
        <v>11</v>
      </c>
      <c r="E816" s="23" t="str">
        <f>'3.3.raw'!J805</f>
        <v/>
      </c>
      <c r="F816" s="23" t="str">
        <f>'3.3.raw'!K805</f>
        <v/>
      </c>
      <c r="G816" s="1">
        <v>3.30000000000008</v>
      </c>
      <c r="H816" s="23" t="b">
        <f>if(countif(Status!C:C,A816)=1,TRUE, FALSE)</f>
        <v>1</v>
      </c>
    </row>
    <row r="817">
      <c r="A817" s="23" t="str">
        <f t="shared" si="14"/>
        <v>PLc1165</v>
      </c>
      <c r="B817" s="23" t="str">
        <f>'3.3.raw'!M806</f>
        <v>PLc1165</v>
      </c>
      <c r="C817" s="24">
        <f>datevalue(left('3.3.raw'!O806,10))</f>
        <v>43837</v>
      </c>
      <c r="D817" s="23">
        <f>'3.3.raw'!I806</f>
        <v>11</v>
      </c>
      <c r="E817" s="23" t="str">
        <f>'3.3.raw'!J806</f>
        <v/>
      </c>
      <c r="F817" s="23" t="str">
        <f>'3.3.raw'!K806</f>
        <v/>
      </c>
      <c r="G817" s="1">
        <v>3.30000000000008</v>
      </c>
      <c r="H817" s="23" t="b">
        <f>if(countif(Status!C:C,A817)=1,TRUE, FALSE)</f>
        <v>1</v>
      </c>
    </row>
    <row r="818">
      <c r="A818" s="23" t="str">
        <f t="shared" si="14"/>
        <v>PLc1166</v>
      </c>
      <c r="B818" s="23" t="str">
        <f>'3.3.raw'!M807</f>
        <v>PLc1166</v>
      </c>
      <c r="C818" s="24">
        <f>datevalue(left('3.3.raw'!O807,10))</f>
        <v>43837</v>
      </c>
      <c r="D818" s="23">
        <f>'3.3.raw'!I807</f>
        <v>11</v>
      </c>
      <c r="E818" s="23" t="str">
        <f>'3.3.raw'!J807</f>
        <v/>
      </c>
      <c r="F818" s="23" t="str">
        <f>'3.3.raw'!K807</f>
        <v/>
      </c>
      <c r="G818" s="1">
        <v>3.30000000000008</v>
      </c>
      <c r="H818" s="23" t="b">
        <f>if(countif(Status!C:C,A818)=1,TRUE, FALSE)</f>
        <v>1</v>
      </c>
    </row>
    <row r="819">
      <c r="A819" s="23" t="str">
        <f t="shared" si="14"/>
        <v>PLc1167</v>
      </c>
      <c r="B819" s="23" t="str">
        <f>'3.3.raw'!M808</f>
        <v>PLc1167</v>
      </c>
      <c r="C819" s="24">
        <f>datevalue(left('3.3.raw'!O808,10))</f>
        <v>43837</v>
      </c>
      <c r="D819" s="23">
        <f>'3.3.raw'!I808</f>
        <v>11</v>
      </c>
      <c r="E819" s="23" t="str">
        <f>'3.3.raw'!J808</f>
        <v/>
      </c>
      <c r="F819" s="23" t="str">
        <f>'3.3.raw'!K808</f>
        <v/>
      </c>
      <c r="G819" s="1">
        <v>3.30000000000008</v>
      </c>
      <c r="H819" s="23" t="b">
        <f>if(countif(Status!C:C,A819)=1,TRUE, FALSE)</f>
        <v>1</v>
      </c>
    </row>
    <row r="820">
      <c r="A820" s="23" t="str">
        <f t="shared" si="14"/>
        <v>FB1255</v>
      </c>
      <c r="B820" s="23" t="str">
        <f>'3.3.raw'!M809</f>
        <v>FB1255</v>
      </c>
      <c r="C820" s="24">
        <f>datevalue(left('3.3.raw'!O809,10))</f>
        <v>43837</v>
      </c>
      <c r="D820" s="23">
        <f>'3.3.raw'!I809</f>
        <v>99</v>
      </c>
      <c r="E820" s="23" t="str">
        <f>'3.3.raw'!J809</f>
        <v/>
      </c>
      <c r="F820" s="23" t="str">
        <f>'3.3.raw'!K809</f>
        <v/>
      </c>
      <c r="G820" s="1">
        <v>3.30000000000008</v>
      </c>
      <c r="H820" s="23" t="b">
        <f>if(countif(Status!C:C,A820)=1,TRUE, FALSE)</f>
        <v>1</v>
      </c>
    </row>
    <row r="821">
      <c r="A821" s="23" t="str">
        <f t="shared" si="14"/>
        <v>PLc1168</v>
      </c>
      <c r="B821" s="23" t="str">
        <f>'3.3.raw'!M810</f>
        <v>PLc1168</v>
      </c>
      <c r="C821" s="24">
        <f>datevalue(left('3.3.raw'!O810,10))</f>
        <v>43837</v>
      </c>
      <c r="D821" s="23">
        <f>'3.3.raw'!I810</f>
        <v>11</v>
      </c>
      <c r="E821" s="23" t="str">
        <f>'3.3.raw'!J810</f>
        <v/>
      </c>
      <c r="F821" s="23" t="str">
        <f>'3.3.raw'!K810</f>
        <v/>
      </c>
      <c r="G821" s="1">
        <v>3.30000000000008</v>
      </c>
      <c r="H821" s="23" t="b">
        <f>if(countif(Status!C:C,A821)=1,TRUE, FALSE)</f>
        <v>1</v>
      </c>
    </row>
    <row r="822">
      <c r="A822" s="23" t="str">
        <f t="shared" si="14"/>
        <v>PLc1169</v>
      </c>
      <c r="B822" s="23" t="str">
        <f>'3.3.raw'!M811</f>
        <v>PLc1169</v>
      </c>
      <c r="C822" s="24">
        <f>datevalue(left('3.3.raw'!O811,10))</f>
        <v>43837</v>
      </c>
      <c r="D822" s="23">
        <f>'3.3.raw'!I811</f>
        <v>11</v>
      </c>
      <c r="E822" s="23" t="str">
        <f>'3.3.raw'!J811</f>
        <v/>
      </c>
      <c r="F822" s="23" t="str">
        <f>'3.3.raw'!K811</f>
        <v/>
      </c>
      <c r="G822" s="1">
        <v>3.30000000000008</v>
      </c>
      <c r="H822" s="23" t="b">
        <f>if(countif(Status!C:C,A822)=1,TRUE, FALSE)</f>
        <v>1</v>
      </c>
    </row>
    <row r="823">
      <c r="A823" s="23" t="str">
        <f t="shared" si="14"/>
        <v>PLc1170</v>
      </c>
      <c r="B823" s="23" t="str">
        <f>'3.3.raw'!M812</f>
        <v>PLc1170</v>
      </c>
      <c r="C823" s="24">
        <f>datevalue(left('3.3.raw'!O812,10))</f>
        <v>43837</v>
      </c>
      <c r="D823" s="23">
        <f>'3.3.raw'!I812</f>
        <v>11</v>
      </c>
      <c r="E823" s="23" t="str">
        <f>'3.3.raw'!J812</f>
        <v/>
      </c>
      <c r="F823" s="23" t="str">
        <f>'3.3.raw'!K812</f>
        <v/>
      </c>
      <c r="G823" s="1">
        <v>3.30000000000008</v>
      </c>
      <c r="H823" s="23" t="b">
        <f>if(countif(Status!C:C,A823)=1,TRUE, FALSE)</f>
        <v>1</v>
      </c>
    </row>
    <row r="824">
      <c r="A824" s="23" t="str">
        <f t="shared" si="14"/>
        <v>FB1258</v>
      </c>
      <c r="B824" s="23" t="str">
        <f>'3.3.raw'!M813</f>
        <v>FB1258</v>
      </c>
      <c r="C824" s="24">
        <f>datevalue(left('3.3.raw'!O813,10))</f>
        <v>43837</v>
      </c>
      <c r="D824" s="23">
        <f>'3.3.raw'!I813</f>
        <v>99</v>
      </c>
      <c r="E824" s="23" t="str">
        <f>'3.3.raw'!J813</f>
        <v/>
      </c>
      <c r="F824" s="23" t="str">
        <f>'3.3.raw'!K813</f>
        <v/>
      </c>
      <c r="G824" s="1">
        <v>3.30000000000008</v>
      </c>
      <c r="H824" s="23" t="b">
        <f>if(countif(Status!C:C,A824)=1,TRUE, FALSE)</f>
        <v>1</v>
      </c>
    </row>
    <row r="825">
      <c r="A825" s="23" t="str">
        <f t="shared" si="14"/>
        <v>PLc1171</v>
      </c>
      <c r="B825" s="23" t="str">
        <f>'3.3.raw'!M814</f>
        <v>PLc1171</v>
      </c>
      <c r="C825" s="24">
        <f>datevalue(left('3.3.raw'!O814,10))</f>
        <v>43837</v>
      </c>
      <c r="D825" s="23">
        <f>'3.3.raw'!I814</f>
        <v>11</v>
      </c>
      <c r="E825" s="23" t="str">
        <f>'3.3.raw'!J814</f>
        <v/>
      </c>
      <c r="F825" s="23" t="str">
        <f>'3.3.raw'!K814</f>
        <v/>
      </c>
      <c r="G825" s="1">
        <v>3.30000000000008</v>
      </c>
      <c r="H825" s="23" t="b">
        <f>if(countif(Status!C:C,A825)=1,TRUE, FALSE)</f>
        <v>1</v>
      </c>
    </row>
    <row r="826">
      <c r="A826" s="23" t="str">
        <f t="shared" si="14"/>
        <v>PLc1172</v>
      </c>
      <c r="B826" s="23" t="str">
        <f>'3.3.raw'!M815</f>
        <v>PLc1172</v>
      </c>
      <c r="C826" s="24">
        <f>datevalue(left('3.3.raw'!O815,10))</f>
        <v>43837</v>
      </c>
      <c r="D826" s="23">
        <f>'3.3.raw'!I815</f>
        <v>11</v>
      </c>
      <c r="E826" s="23" t="str">
        <f>'3.3.raw'!J815</f>
        <v/>
      </c>
      <c r="F826" s="23" t="str">
        <f>'3.3.raw'!K815</f>
        <v/>
      </c>
      <c r="G826" s="1">
        <v>3.30000000000008</v>
      </c>
      <c r="H826" s="23" t="b">
        <f>if(countif(Status!C:C,A826)=1,TRUE, FALSE)</f>
        <v>1</v>
      </c>
    </row>
    <row r="827">
      <c r="A827" s="23" t="str">
        <f t="shared" si="14"/>
        <v>EC38</v>
      </c>
      <c r="B827" s="23" t="str">
        <f>'3.3.raw'!M816</f>
        <v>EC38</v>
      </c>
      <c r="C827" s="24">
        <f>datevalue(left('3.3.raw'!O816,10))</f>
        <v>43837</v>
      </c>
      <c r="D827" s="23">
        <f>'3.3.raw'!I816</f>
        <v>98</v>
      </c>
      <c r="E827" s="23" t="str">
        <f>'3.3.raw'!J816</f>
        <v/>
      </c>
      <c r="F827" s="23" t="str">
        <f>'3.3.raw'!K816</f>
        <v/>
      </c>
      <c r="G827" s="1">
        <v>3.30000000000008</v>
      </c>
      <c r="H827" s="23" t="b">
        <f>if(countif(Status!C:C,A827)=1,TRUE, FALSE)</f>
        <v>1</v>
      </c>
    </row>
    <row r="828">
      <c r="A828" s="23" t="str">
        <f t="shared" si="14"/>
        <v>MO1146</v>
      </c>
      <c r="B828" s="23" t="str">
        <f>'3.3.raw'!M817</f>
        <v>MO1146</v>
      </c>
      <c r="C828" s="24">
        <f>datevalue(left('3.3.raw'!O817,10))</f>
        <v>43839</v>
      </c>
      <c r="D828" s="23">
        <f>'3.3.raw'!I817</f>
        <v>12</v>
      </c>
      <c r="E828" s="23" t="str">
        <f>'3.3.raw'!J817</f>
        <v/>
      </c>
      <c r="F828" s="23" t="str">
        <f>'3.3.raw'!K817</f>
        <v/>
      </c>
      <c r="G828" s="1">
        <v>3.30000000000008</v>
      </c>
      <c r="H828" s="23" t="b">
        <f>if(countif(Status!C:C,A828)=1,TRUE, FALSE)</f>
        <v>1</v>
      </c>
    </row>
    <row r="829">
      <c r="A829" s="23" t="str">
        <f t="shared" si="14"/>
        <v>FB1261</v>
      </c>
      <c r="B829" s="23" t="str">
        <f>'3.3.raw'!M818</f>
        <v>FB1261</v>
      </c>
      <c r="C829" s="24">
        <f>datevalue(left('3.3.raw'!O818,10))</f>
        <v>43839</v>
      </c>
      <c r="D829" s="23">
        <f>'3.3.raw'!I818</f>
        <v>99</v>
      </c>
      <c r="E829" s="23" t="str">
        <f>'3.3.raw'!J818</f>
        <v/>
      </c>
      <c r="F829" s="23" t="str">
        <f>'3.3.raw'!K818</f>
        <v/>
      </c>
      <c r="G829" s="1">
        <v>3.30000000000008</v>
      </c>
      <c r="H829" s="23" t="b">
        <f>if(countif(Status!C:C,A829)=1,TRUE, FALSE)</f>
        <v>1</v>
      </c>
    </row>
    <row r="830">
      <c r="A830" s="23" t="str">
        <f t="shared" si="14"/>
        <v>MO1147</v>
      </c>
      <c r="B830" s="23" t="str">
        <f>'3.3.raw'!M819</f>
        <v>MO1147</v>
      </c>
      <c r="C830" s="24">
        <f>datevalue(left('3.3.raw'!O819,10))</f>
        <v>43839</v>
      </c>
      <c r="D830" s="23">
        <f>'3.3.raw'!I819</f>
        <v>12</v>
      </c>
      <c r="E830" s="23" t="str">
        <f>'3.3.raw'!J819</f>
        <v/>
      </c>
      <c r="F830" s="23" t="str">
        <f>'3.3.raw'!K819</f>
        <v/>
      </c>
      <c r="G830" s="1">
        <v>3.30000000000008</v>
      </c>
      <c r="H830" s="23" t="b">
        <f>if(countif(Status!C:C,A830)=1,TRUE, FALSE)</f>
        <v>1</v>
      </c>
    </row>
    <row r="831">
      <c r="A831" s="23" t="str">
        <f t="shared" si="14"/>
        <v>MO1148</v>
      </c>
      <c r="B831" s="23" t="str">
        <f>'3.3.raw'!M820</f>
        <v>MO1148</v>
      </c>
      <c r="C831" s="24">
        <f>datevalue(left('3.3.raw'!O820,10))</f>
        <v>43839</v>
      </c>
      <c r="D831" s="23">
        <f>'3.3.raw'!I820</f>
        <v>12</v>
      </c>
      <c r="E831" s="23" t="str">
        <f>'3.3.raw'!J820</f>
        <v/>
      </c>
      <c r="F831" s="23" t="str">
        <f>'3.3.raw'!K820</f>
        <v/>
      </c>
      <c r="G831" s="1">
        <v>3.30000000000008</v>
      </c>
      <c r="H831" s="23" t="b">
        <f>if(countif(Status!C:C,A831)=1,TRUE, FALSE)</f>
        <v>1</v>
      </c>
    </row>
    <row r="832">
      <c r="A832" s="23" t="str">
        <f t="shared" si="14"/>
        <v>UF1014</v>
      </c>
      <c r="B832" s="23" t="str">
        <f>'3.3.raw'!M821</f>
        <v>UF1014</v>
      </c>
      <c r="C832" s="24">
        <f>datevalue(left('3.3.raw'!O821,10))</f>
        <v>43839</v>
      </c>
      <c r="D832" s="23">
        <f>'3.3.raw'!I821</f>
        <v>16</v>
      </c>
      <c r="E832" s="23" t="str">
        <f>'3.3.raw'!J821</f>
        <v/>
      </c>
      <c r="F832" s="23" t="str">
        <f>'3.3.raw'!K821</f>
        <v/>
      </c>
      <c r="G832" s="1">
        <v>3.30000000000008</v>
      </c>
      <c r="H832" s="23" t="b">
        <f>if(countif(Status!C:C,A832)=1,TRUE, FALSE)</f>
        <v>1</v>
      </c>
    </row>
    <row r="833">
      <c r="A833" s="23" t="str">
        <f t="shared" si="14"/>
        <v>UF1014F</v>
      </c>
      <c r="B833" s="23" t="str">
        <f>'3.3.raw'!M822</f>
        <v>UF1014F</v>
      </c>
      <c r="C833" s="24">
        <f>datevalue(left('3.3.raw'!O822,10))</f>
        <v>43839</v>
      </c>
      <c r="D833" s="23">
        <f>'3.3.raw'!I822</f>
        <v>16</v>
      </c>
      <c r="E833" s="23" t="str">
        <f>'3.3.raw'!J822</f>
        <v/>
      </c>
      <c r="F833" s="23" t="str">
        <f>'3.3.raw'!K822</f>
        <v/>
      </c>
      <c r="G833" s="1">
        <v>3.30000000000008</v>
      </c>
      <c r="H833" s="23" t="b">
        <f>if(countif(Status!C:C,A833)=1,TRUE, FALSE)</f>
        <v>0</v>
      </c>
    </row>
    <row r="834">
      <c r="A834" s="23" t="str">
        <f t="shared" si="14"/>
        <v>DWa1004uf</v>
      </c>
      <c r="B834" s="23" t="str">
        <f>'3.3.raw'!M823</f>
        <v>DWa1004uf</v>
      </c>
      <c r="C834" s="24">
        <f>datevalue(left('3.3.raw'!O823,10))</f>
        <v>43839</v>
      </c>
      <c r="D834" s="23">
        <f>'3.3.raw'!I823</f>
        <v>3</v>
      </c>
      <c r="E834" s="23" t="str">
        <f>'3.3.raw'!J823</f>
        <v/>
      </c>
      <c r="F834" s="23" t="str">
        <f>'3.3.raw'!K823</f>
        <v/>
      </c>
      <c r="G834" s="1">
        <v>3.30000000000008</v>
      </c>
      <c r="H834" s="23" t="b">
        <f>if(countif(Status!C:C,A834)=1,TRUE, FALSE)</f>
        <v>1</v>
      </c>
    </row>
    <row r="835">
      <c r="A835" s="23" t="str">
        <f t="shared" si="14"/>
        <v>DWa1004ufF</v>
      </c>
      <c r="B835" s="23" t="str">
        <f>'3.3.raw'!M824</f>
        <v>DWa1004ufF</v>
      </c>
      <c r="C835" s="24">
        <f>datevalue(left('3.3.raw'!O824,10))</f>
        <v>43839</v>
      </c>
      <c r="D835" s="23">
        <f>'3.3.raw'!I824</f>
        <v>3</v>
      </c>
      <c r="E835" s="23" t="str">
        <f>'3.3.raw'!J824</f>
        <v/>
      </c>
      <c r="F835" s="23" t="str">
        <f>'3.3.raw'!K824</f>
        <v/>
      </c>
      <c r="G835" s="1">
        <v>3.30000000000008</v>
      </c>
      <c r="H835" s="23" t="b">
        <f>if(countif(Status!C:C,A835)=1,TRUE, FALSE)</f>
        <v>0</v>
      </c>
    </row>
    <row r="836">
      <c r="A836" s="23" t="str">
        <f t="shared" si="14"/>
        <v>FB1264</v>
      </c>
      <c r="B836" s="23" t="str">
        <f>'3.3.raw'!M825</f>
        <v>FB1264</v>
      </c>
      <c r="C836" s="24">
        <f>datevalue(left('3.3.raw'!O825,10))</f>
        <v>43839</v>
      </c>
      <c r="D836" s="23">
        <f>'3.3.raw'!I825</f>
        <v>99</v>
      </c>
      <c r="E836" s="23" t="str">
        <f>'3.3.raw'!J825</f>
        <v/>
      </c>
      <c r="F836" s="23" t="str">
        <f>'3.3.raw'!K825</f>
        <v/>
      </c>
      <c r="G836" s="1">
        <v>3.30000000000008</v>
      </c>
      <c r="H836" s="23" t="b">
        <f>if(countif(Status!C:C,A836)=1,TRUE, FALSE)</f>
        <v>1</v>
      </c>
    </row>
    <row r="837">
      <c r="A837" s="23" t="str">
        <f t="shared" si="14"/>
        <v>EC39</v>
      </c>
      <c r="B837" s="23" t="str">
        <f>'3.3.raw'!M826</f>
        <v>EC39</v>
      </c>
      <c r="C837" s="24">
        <f>datevalue(left('3.3.raw'!O826,10))</f>
        <v>43839</v>
      </c>
      <c r="D837" s="23">
        <f>'3.3.raw'!I826</f>
        <v>98</v>
      </c>
      <c r="E837" s="23" t="str">
        <f>'3.3.raw'!J826</f>
        <v/>
      </c>
      <c r="F837" s="23" t="str">
        <f>'3.3.raw'!K826</f>
        <v/>
      </c>
      <c r="G837" s="1">
        <v>3.30000000000008</v>
      </c>
      <c r="H837" s="23" t="b">
        <f>if(countif(Status!C:C,A837)=1,TRUE, FALSE)</f>
        <v>1</v>
      </c>
    </row>
    <row r="838">
      <c r="A838" s="23" t="str">
        <f t="shared" si="14"/>
        <v>MO1149</v>
      </c>
      <c r="B838" s="23" t="str">
        <f>'3.3.raw'!M827</f>
        <v>MO1149</v>
      </c>
      <c r="C838" s="24">
        <f>datevalue(left('3.3.raw'!O827,10))</f>
        <v>43844</v>
      </c>
      <c r="D838" s="23">
        <f>'3.3.raw'!I827</f>
        <v>12</v>
      </c>
      <c r="E838" s="23" t="str">
        <f>'3.3.raw'!J827</f>
        <v/>
      </c>
      <c r="F838" s="23" t="str">
        <f>'3.3.raw'!K827</f>
        <v/>
      </c>
      <c r="G838" s="1">
        <v>3.30000000000008</v>
      </c>
      <c r="H838" s="23" t="b">
        <f>if(countif(Status!C:C,A838)=1,TRUE, FALSE)</f>
        <v>1</v>
      </c>
    </row>
    <row r="839">
      <c r="A839" s="23" t="str">
        <f t="shared" si="14"/>
        <v>MO1150</v>
      </c>
      <c r="B839" s="23" t="str">
        <f>'3.3.raw'!M828</f>
        <v>MO1150</v>
      </c>
      <c r="C839" s="24">
        <f>datevalue(left('3.3.raw'!O828,10))</f>
        <v>43844</v>
      </c>
      <c r="D839" s="23">
        <f>'3.3.raw'!I828</f>
        <v>12</v>
      </c>
      <c r="E839" s="23" t="str">
        <f>'3.3.raw'!J828</f>
        <v/>
      </c>
      <c r="F839" s="23" t="str">
        <f>'3.3.raw'!K828</f>
        <v/>
      </c>
      <c r="G839" s="1">
        <v>3.30000000000008</v>
      </c>
      <c r="H839" s="23" t="b">
        <f>if(countif(Status!C:C,A839)=1,TRUE, FALSE)</f>
        <v>1</v>
      </c>
    </row>
    <row r="840">
      <c r="A840" s="23" t="str">
        <f t="shared" si="14"/>
        <v>PLc1173</v>
      </c>
      <c r="B840" s="23" t="str">
        <f>'3.3.raw'!M829</f>
        <v>PLc1173</v>
      </c>
      <c r="C840" s="24">
        <f>datevalue(left('3.3.raw'!O829,10))</f>
        <v>43844</v>
      </c>
      <c r="D840" s="23">
        <f>'3.3.raw'!I829</f>
        <v>11</v>
      </c>
      <c r="E840" s="23" t="str">
        <f>'3.3.raw'!J829</f>
        <v/>
      </c>
      <c r="F840" s="23" t="str">
        <f>'3.3.raw'!K829</f>
        <v/>
      </c>
      <c r="G840" s="1">
        <v>3.30000000000008</v>
      </c>
      <c r="H840" s="23" t="b">
        <f>if(countif(Status!C:C,A840)=1,TRUE, FALSE)</f>
        <v>1</v>
      </c>
    </row>
    <row r="841">
      <c r="A841" s="23" t="str">
        <f t="shared" si="14"/>
        <v>FB1267</v>
      </c>
      <c r="B841" s="23" t="str">
        <f>'3.3.raw'!M830</f>
        <v>FB1267</v>
      </c>
      <c r="C841" s="24">
        <f>datevalue(left('3.3.raw'!O830,10))</f>
        <v>43844</v>
      </c>
      <c r="D841" s="23">
        <f>'3.3.raw'!I830</f>
        <v>99</v>
      </c>
      <c r="E841" s="23" t="str">
        <f>'3.3.raw'!J830</f>
        <v/>
      </c>
      <c r="F841" s="23" t="str">
        <f>'3.3.raw'!K830</f>
        <v/>
      </c>
      <c r="G841" s="1">
        <v>3.30000000000008</v>
      </c>
      <c r="H841" s="23" t="b">
        <f>if(countif(Status!C:C,A841)=1,TRUE, FALSE)</f>
        <v>1</v>
      </c>
    </row>
    <row r="842">
      <c r="A842" s="23" t="str">
        <f t="shared" si="14"/>
        <v>PLc1174</v>
      </c>
      <c r="B842" s="23" t="str">
        <f>'3.3.raw'!M831</f>
        <v>PLc1174</v>
      </c>
      <c r="C842" s="24">
        <f>datevalue(left('3.3.raw'!O831,10))</f>
        <v>43844</v>
      </c>
      <c r="D842" s="23">
        <f>'3.3.raw'!I831</f>
        <v>11</v>
      </c>
      <c r="E842" s="23" t="str">
        <f>'3.3.raw'!J831</f>
        <v/>
      </c>
      <c r="F842" s="23" t="str">
        <f>'3.3.raw'!K831</f>
        <v/>
      </c>
      <c r="G842" s="1">
        <v>3.30000000000008</v>
      </c>
      <c r="H842" s="23" t="b">
        <f>if(countif(Status!C:C,A842)=1,TRUE, FALSE)</f>
        <v>1</v>
      </c>
    </row>
    <row r="843">
      <c r="A843" s="23" t="str">
        <f t="shared" si="14"/>
        <v>FB1268</v>
      </c>
      <c r="B843" s="23" t="str">
        <f>'3.3.raw'!M832</f>
        <v>FB1268</v>
      </c>
      <c r="C843" s="24">
        <f>datevalue(left('3.3.raw'!O832,10))</f>
        <v>43844</v>
      </c>
      <c r="D843" s="23">
        <f>'3.3.raw'!I832</f>
        <v>99</v>
      </c>
      <c r="E843" s="23" t="str">
        <f>'3.3.raw'!J832</f>
        <v/>
      </c>
      <c r="F843" s="23" t="str">
        <f>'3.3.raw'!K832</f>
        <v/>
      </c>
      <c r="G843" s="1">
        <v>3.30000000000008</v>
      </c>
      <c r="H843" s="23" t="b">
        <f>if(countif(Status!C:C,A843)=1,TRUE, FALSE)</f>
        <v>1</v>
      </c>
    </row>
    <row r="844">
      <c r="A844" s="23" t="str">
        <f t="shared" si="14"/>
        <v>PLc1175</v>
      </c>
      <c r="B844" s="23" t="str">
        <f>'3.3.raw'!M833</f>
        <v>PLc1175</v>
      </c>
      <c r="C844" s="24">
        <f>datevalue(left('3.3.raw'!O833,10))</f>
        <v>43844</v>
      </c>
      <c r="D844" s="23">
        <f>'3.3.raw'!I833</f>
        <v>11</v>
      </c>
      <c r="E844" s="23" t="str">
        <f>'3.3.raw'!J833</f>
        <v/>
      </c>
      <c r="F844" s="23" t="str">
        <f>'3.3.raw'!K833</f>
        <v/>
      </c>
      <c r="G844" s="1">
        <v>3.30000000000008</v>
      </c>
      <c r="H844" s="23" t="b">
        <f>if(countif(Status!C:C,A844)=1,TRUE, FALSE)</f>
        <v>1</v>
      </c>
    </row>
    <row r="845">
      <c r="A845" s="23" t="str">
        <f t="shared" si="14"/>
        <v>PLc1176</v>
      </c>
      <c r="B845" s="23" t="str">
        <f>'3.3.raw'!M834</f>
        <v>PLc1176</v>
      </c>
      <c r="C845" s="24">
        <f>datevalue(left('3.3.raw'!O834,10))</f>
        <v>43844</v>
      </c>
      <c r="D845" s="23">
        <f>'3.3.raw'!I834</f>
        <v>11</v>
      </c>
      <c r="E845" s="23" t="str">
        <f>'3.3.raw'!J834</f>
        <v/>
      </c>
      <c r="F845" s="23" t="str">
        <f>'3.3.raw'!K834</f>
        <v/>
      </c>
      <c r="G845" s="1">
        <v>3.30000000000008</v>
      </c>
      <c r="H845" s="23" t="b">
        <f>if(countif(Status!C:C,A845)=1,TRUE, FALSE)</f>
        <v>1</v>
      </c>
    </row>
    <row r="846">
      <c r="A846" s="23" t="str">
        <f t="shared" si="14"/>
        <v>PLc1177</v>
      </c>
      <c r="B846" s="23" t="str">
        <f>'3.3.raw'!M835</f>
        <v>PLc1177</v>
      </c>
      <c r="C846" s="24">
        <f>datevalue(left('3.3.raw'!O835,10))</f>
        <v>43844</v>
      </c>
      <c r="D846" s="23">
        <f>'3.3.raw'!I835</f>
        <v>11</v>
      </c>
      <c r="E846" s="23" t="str">
        <f>'3.3.raw'!J835</f>
        <v/>
      </c>
      <c r="F846" s="23" t="str">
        <f>'3.3.raw'!K835</f>
        <v/>
      </c>
      <c r="G846" s="1">
        <v>3.30000000000008</v>
      </c>
      <c r="H846" s="23" t="b">
        <f>if(countif(Status!C:C,A846)=1,TRUE, FALSE)</f>
        <v>1</v>
      </c>
    </row>
    <row r="847">
      <c r="A847" s="23" t="str">
        <f t="shared" si="14"/>
        <v>EC40</v>
      </c>
      <c r="B847" s="23" t="str">
        <f>'3.3.raw'!M836</f>
        <v>EC40</v>
      </c>
      <c r="C847" s="24">
        <f>datevalue(left('3.3.raw'!O836,10))</f>
        <v>43844</v>
      </c>
      <c r="D847" s="23">
        <f>'3.3.raw'!I836</f>
        <v>98</v>
      </c>
      <c r="E847" s="23" t="str">
        <f>'3.3.raw'!J836</f>
        <v/>
      </c>
      <c r="F847" s="23" t="str">
        <f>'3.3.raw'!K836</f>
        <v/>
      </c>
      <c r="G847" s="1">
        <v>3.30000000000008</v>
      </c>
      <c r="H847" s="23" t="b">
        <f>if(countif(Status!C:C,A847)=1,TRUE, FALSE)</f>
        <v>1</v>
      </c>
    </row>
    <row r="848">
      <c r="A848" s="23" t="str">
        <f t="shared" si="14"/>
        <v>MO1152</v>
      </c>
      <c r="B848" s="23" t="str">
        <f>'3.3.raw'!M837</f>
        <v>MO1152</v>
      </c>
      <c r="C848" s="24">
        <f>datevalue(left('3.3.raw'!O837,10))</f>
        <v>43845</v>
      </c>
      <c r="D848" s="23">
        <f>'3.3.raw'!I837</f>
        <v>12</v>
      </c>
      <c r="E848" s="23" t="str">
        <f>'3.3.raw'!J837</f>
        <v/>
      </c>
      <c r="F848" s="23" t="str">
        <f>'3.3.raw'!K837</f>
        <v/>
      </c>
      <c r="G848" s="1">
        <v>3.30000000000008</v>
      </c>
      <c r="H848" s="23" t="b">
        <f>if(countif(Status!C:C,A848)=1,TRUE, FALSE)</f>
        <v>1</v>
      </c>
    </row>
    <row r="849">
      <c r="A849" s="23" t="str">
        <f t="shared" si="14"/>
        <v>FB1273</v>
      </c>
      <c r="B849" s="23" t="str">
        <f>'3.3.raw'!M838</f>
        <v>FB1273</v>
      </c>
      <c r="C849" s="24">
        <f>datevalue(left('3.3.raw'!O838,10))</f>
        <v>43845</v>
      </c>
      <c r="D849" s="23">
        <f>'3.3.raw'!I838</f>
        <v>99</v>
      </c>
      <c r="E849" s="23" t="str">
        <f>'3.3.raw'!J838</f>
        <v/>
      </c>
      <c r="F849" s="23" t="str">
        <f>'3.3.raw'!K838</f>
        <v/>
      </c>
      <c r="G849" s="1">
        <v>3.30000000000008</v>
      </c>
      <c r="H849" s="23" t="b">
        <f>if(countif(Status!C:C,A849)=1,TRUE, FALSE)</f>
        <v>1</v>
      </c>
    </row>
    <row r="850">
      <c r="A850" s="23" t="str">
        <f t="shared" si="14"/>
        <v>MO1153</v>
      </c>
      <c r="B850" s="23" t="str">
        <f>'3.3.raw'!M839</f>
        <v>MO1153</v>
      </c>
      <c r="C850" s="24">
        <f>datevalue(left('3.3.raw'!O839,10))</f>
        <v>43845</v>
      </c>
      <c r="D850" s="23">
        <f>'3.3.raw'!I839</f>
        <v>12</v>
      </c>
      <c r="E850" s="23" t="str">
        <f>'3.3.raw'!J839</f>
        <v/>
      </c>
      <c r="F850" s="23" t="str">
        <f>'3.3.raw'!K839</f>
        <v/>
      </c>
      <c r="G850" s="1">
        <v>3.30000000000008</v>
      </c>
      <c r="H850" s="23" t="b">
        <f>if(countif(Status!C:C,A850)=1,TRUE, FALSE)</f>
        <v>1</v>
      </c>
    </row>
    <row r="851">
      <c r="A851" s="23" t="str">
        <f t="shared" si="14"/>
        <v>MO1154</v>
      </c>
      <c r="B851" s="23" t="str">
        <f>'3.3.raw'!M840</f>
        <v>MO1154</v>
      </c>
      <c r="C851" s="24">
        <f>datevalue(left('3.3.raw'!O840,10))</f>
        <v>43845</v>
      </c>
      <c r="D851" s="23">
        <f>'3.3.raw'!I840</f>
        <v>12</v>
      </c>
      <c r="E851" s="23" t="str">
        <f>'3.3.raw'!J840</f>
        <v/>
      </c>
      <c r="F851" s="23" t="str">
        <f>'3.3.raw'!K840</f>
        <v/>
      </c>
      <c r="G851" s="1">
        <v>3.30000000000008</v>
      </c>
      <c r="H851" s="23" t="b">
        <f>if(countif(Status!C:C,A851)=1,TRUE, FALSE)</f>
        <v>1</v>
      </c>
    </row>
    <row r="852">
      <c r="A852" s="23" t="str">
        <f t="shared" si="14"/>
        <v>UF1015</v>
      </c>
      <c r="B852" s="23" t="str">
        <f>'3.3.raw'!M841</f>
        <v>UF1015</v>
      </c>
      <c r="C852" s="24">
        <f>datevalue(left('3.3.raw'!O841,10))</f>
        <v>43845</v>
      </c>
      <c r="D852" s="23">
        <f>'3.3.raw'!I841</f>
        <v>16</v>
      </c>
      <c r="E852" s="23" t="str">
        <f>'3.3.raw'!J841</f>
        <v/>
      </c>
      <c r="F852" s="23" t="str">
        <f>'3.3.raw'!K841</f>
        <v/>
      </c>
      <c r="G852" s="1">
        <v>3.30000000000008</v>
      </c>
      <c r="H852" s="23" t="b">
        <f>if(countif(Status!C:C,A852)=1,TRUE, FALSE)</f>
        <v>1</v>
      </c>
    </row>
    <row r="853">
      <c r="A853" s="23" t="str">
        <f t="shared" si="14"/>
        <v>UF1015F</v>
      </c>
      <c r="B853" s="23" t="str">
        <f>'3.3.raw'!M842</f>
        <v>UF1015F</v>
      </c>
      <c r="C853" s="24">
        <f>datevalue(left('3.3.raw'!O842,10))</f>
        <v>43845</v>
      </c>
      <c r="D853" s="23">
        <f>'3.3.raw'!I842</f>
        <v>16</v>
      </c>
      <c r="E853" s="23" t="str">
        <f>'3.3.raw'!J842</f>
        <v/>
      </c>
      <c r="F853" s="23" t="str">
        <f>'3.3.raw'!K842</f>
        <v/>
      </c>
      <c r="G853" s="1">
        <v>3.30000000000008</v>
      </c>
      <c r="H853" s="23" t="b">
        <f>if(countif(Status!C:C,A853)=1,TRUE, FALSE)</f>
        <v>0</v>
      </c>
    </row>
    <row r="854">
      <c r="A854" s="23" t="str">
        <f t="shared" si="14"/>
        <v>EC41</v>
      </c>
      <c r="B854" s="23" t="str">
        <f>'3.3.raw'!M843</f>
        <v>EC41</v>
      </c>
      <c r="C854" s="24">
        <f>datevalue(left('3.3.raw'!O843,10))</f>
        <v>43845</v>
      </c>
      <c r="D854" s="23">
        <f>'3.3.raw'!I843</f>
        <v>98</v>
      </c>
      <c r="E854" s="23" t="str">
        <f>'3.3.raw'!J843</f>
        <v/>
      </c>
      <c r="F854" s="23" t="str">
        <f>'3.3.raw'!K843</f>
        <v/>
      </c>
      <c r="G854" s="1">
        <v>3.30000000000008</v>
      </c>
      <c r="H854" s="23" t="b">
        <f>if(countif(Status!C:C,A854)=1,TRUE, FALSE)</f>
        <v>1</v>
      </c>
    </row>
    <row r="855">
      <c r="A855" s="23" t="str">
        <f t="shared" si="14"/>
        <v>COa2001</v>
      </c>
      <c r="B855" s="23" t="str">
        <f>'3.3.raw'!M844</f>
        <v>COa2001</v>
      </c>
      <c r="C855" s="24">
        <f>datevalue(left('3.3.raw'!O844,10))</f>
        <v>43847</v>
      </c>
      <c r="D855" s="23">
        <f>'3.3.raw'!I844</f>
        <v>15</v>
      </c>
      <c r="E855" s="23" t="str">
        <f>'3.3.raw'!J844</f>
        <v/>
      </c>
      <c r="F855" s="23">
        <f>'3.3.raw'!K844</f>
        <v>151</v>
      </c>
      <c r="G855" s="1">
        <v>3.30000000000008</v>
      </c>
      <c r="H855" s="23" t="b">
        <f>if(countif(Status!C:C,A855)=1,TRUE, FALSE)</f>
        <v>1</v>
      </c>
    </row>
    <row r="856">
      <c r="A856" s="23" t="str">
        <f t="shared" si="14"/>
        <v>COb2001</v>
      </c>
      <c r="B856" s="23" t="str">
        <f>'3.3.raw'!M845</f>
        <v>COb2001</v>
      </c>
      <c r="C856" s="24">
        <f>datevalue(left('3.3.raw'!O845,10))</f>
        <v>43847</v>
      </c>
      <c r="D856" s="23">
        <f>'3.3.raw'!I845</f>
        <v>15</v>
      </c>
      <c r="E856" s="23" t="str">
        <f>'3.3.raw'!J845</f>
        <v/>
      </c>
      <c r="F856" s="23">
        <f>'3.3.raw'!K845</f>
        <v>152</v>
      </c>
      <c r="G856" s="1">
        <v>3.30000000000008</v>
      </c>
      <c r="H856" s="23" t="b">
        <f>if(countif(Status!C:C,A856)=1,TRUE, FALSE)</f>
        <v>1</v>
      </c>
    </row>
    <row r="857">
      <c r="A857" s="23" t="str">
        <f t="shared" si="14"/>
        <v>COb2002</v>
      </c>
      <c r="B857" s="23" t="str">
        <f>'3.3.raw'!M846</f>
        <v>COb2002</v>
      </c>
      <c r="C857" s="24">
        <f>datevalue(left('3.3.raw'!O846,10))</f>
        <v>43847</v>
      </c>
      <c r="D857" s="23">
        <f>'3.3.raw'!I846</f>
        <v>15</v>
      </c>
      <c r="E857" s="23" t="str">
        <f>'3.3.raw'!J846</f>
        <v/>
      </c>
      <c r="F857" s="23">
        <f>'3.3.raw'!K846</f>
        <v>152</v>
      </c>
      <c r="G857" s="1">
        <v>3.30000000000009</v>
      </c>
      <c r="H857" s="23" t="b">
        <f>if(countif(Status!C:C,A857)=1,TRUE, FALSE)</f>
        <v>1</v>
      </c>
    </row>
    <row r="858">
      <c r="A858" s="23" t="str">
        <f t="shared" si="14"/>
        <v>COb2003</v>
      </c>
      <c r="B858" s="23" t="str">
        <f>'3.3.raw'!M847</f>
        <v>COb2003</v>
      </c>
      <c r="C858" s="24">
        <f>datevalue(left('3.3.raw'!O847,10))</f>
        <v>43847</v>
      </c>
      <c r="D858" s="23">
        <f>'3.3.raw'!I847</f>
        <v>15</v>
      </c>
      <c r="E858" s="23" t="str">
        <f>'3.3.raw'!J847</f>
        <v/>
      </c>
      <c r="F858" s="23">
        <f>'3.3.raw'!K847</f>
        <v>152</v>
      </c>
      <c r="G858" s="1">
        <v>3.30000000000009</v>
      </c>
      <c r="H858" s="23" t="b">
        <f>if(countif(Status!C:C,A858)=1,TRUE, FALSE)</f>
        <v>1</v>
      </c>
    </row>
    <row r="859">
      <c r="A859" s="23" t="str">
        <f t="shared" si="14"/>
        <v>COa2002</v>
      </c>
      <c r="B859" s="23" t="str">
        <f>'3.3.raw'!M848</f>
        <v>COa2002</v>
      </c>
      <c r="C859" s="24">
        <f>datevalue(left('3.3.raw'!O848,10))</f>
        <v>43847</v>
      </c>
      <c r="D859" s="23">
        <f>'3.3.raw'!I848</f>
        <v>15</v>
      </c>
      <c r="E859" s="23" t="str">
        <f>'3.3.raw'!J848</f>
        <v/>
      </c>
      <c r="F859" s="23">
        <f>'3.3.raw'!K848</f>
        <v>151</v>
      </c>
      <c r="G859" s="1">
        <v>3.30000000000009</v>
      </c>
      <c r="H859" s="23" t="b">
        <f>if(countif(Status!C:C,A859)=1,TRUE, FALSE)</f>
        <v>1</v>
      </c>
    </row>
    <row r="860">
      <c r="A860" s="23" t="str">
        <f t="shared" si="14"/>
        <v>COb2004</v>
      </c>
      <c r="B860" s="23" t="str">
        <f>'3.3.raw'!M849</f>
        <v>COb2004</v>
      </c>
      <c r="C860" s="24">
        <f>datevalue(left('3.3.raw'!O849,10))</f>
        <v>43847</v>
      </c>
      <c r="D860" s="23">
        <f>'3.3.raw'!I849</f>
        <v>15</v>
      </c>
      <c r="E860" s="23" t="str">
        <f>'3.3.raw'!J849</f>
        <v/>
      </c>
      <c r="F860" s="23">
        <f>'3.3.raw'!K849</f>
        <v>152</v>
      </c>
      <c r="G860" s="1">
        <v>3.30000000000009</v>
      </c>
      <c r="H860" s="23" t="b">
        <f>if(countif(Status!C:C,A860)=1,TRUE, FALSE)</f>
        <v>1</v>
      </c>
    </row>
    <row r="861">
      <c r="A861" s="23" t="str">
        <f t="shared" si="14"/>
        <v>COb2005</v>
      </c>
      <c r="B861" s="23" t="str">
        <f>'3.3.raw'!M850</f>
        <v>COb2005</v>
      </c>
      <c r="C861" s="24">
        <f>datevalue(left('3.3.raw'!O850,10))</f>
        <v>43847</v>
      </c>
      <c r="D861" s="23">
        <f>'3.3.raw'!I850</f>
        <v>15</v>
      </c>
      <c r="E861" s="23" t="str">
        <f>'3.3.raw'!J850</f>
        <v/>
      </c>
      <c r="F861" s="23">
        <f>'3.3.raw'!K850</f>
        <v>152</v>
      </c>
      <c r="G861" s="1">
        <v>3.30000000000009</v>
      </c>
      <c r="H861" s="23" t="b">
        <f>if(countif(Status!C:C,A861)=1,TRUE, FALSE)</f>
        <v>1</v>
      </c>
    </row>
    <row r="862">
      <c r="A862" s="23" t="str">
        <f t="shared" si="14"/>
        <v>COb2006</v>
      </c>
      <c r="B862" s="23" t="str">
        <f>'3.3.raw'!M851</f>
        <v>COb2006</v>
      </c>
      <c r="C862" s="24">
        <f>datevalue(left('3.3.raw'!O851,10))</f>
        <v>43847</v>
      </c>
      <c r="D862" s="23">
        <f>'3.3.raw'!I851</f>
        <v>15</v>
      </c>
      <c r="E862" s="23" t="str">
        <f>'3.3.raw'!J851</f>
        <v/>
      </c>
      <c r="F862" s="23">
        <f>'3.3.raw'!K851</f>
        <v>152</v>
      </c>
      <c r="G862" s="1">
        <v>3.30000000000009</v>
      </c>
      <c r="H862" s="23" t="b">
        <f>if(countif(Status!C:C,A862)=1,TRUE, FALSE)</f>
        <v>1</v>
      </c>
    </row>
    <row r="863">
      <c r="A863" s="23" t="str">
        <f t="shared" si="14"/>
        <v>RP2001</v>
      </c>
      <c r="B863" s="23" t="str">
        <f>'3.3.raw'!M852</f>
        <v>RP2001</v>
      </c>
      <c r="C863" s="24">
        <f>datevalue(left('3.3.raw'!O852,10))</f>
        <v>43847</v>
      </c>
      <c r="D863" s="23">
        <f>'3.3.raw'!I852</f>
        <v>2</v>
      </c>
      <c r="E863" s="23" t="str">
        <f>'3.3.raw'!J852</f>
        <v/>
      </c>
      <c r="F863" s="23" t="str">
        <f>'3.3.raw'!K852</f>
        <v/>
      </c>
      <c r="G863" s="1">
        <v>3.30000000000009</v>
      </c>
      <c r="H863" s="23" t="b">
        <f>if(countif(Status!C:C,A863)=1,TRUE, FALSE)</f>
        <v>1</v>
      </c>
    </row>
    <row r="864">
      <c r="A864" s="23" t="str">
        <f t="shared" si="14"/>
        <v>FB1277</v>
      </c>
      <c r="B864" s="23" t="str">
        <f>'3.3.raw'!M853</f>
        <v>FB1277</v>
      </c>
      <c r="C864" s="24">
        <f>datevalue(left('3.3.raw'!O853,10))</f>
        <v>43847</v>
      </c>
      <c r="D864" s="23">
        <f>'3.3.raw'!I853</f>
        <v>99</v>
      </c>
      <c r="E864" s="23" t="str">
        <f>'3.3.raw'!J853</f>
        <v/>
      </c>
      <c r="F864" s="23" t="str">
        <f>'3.3.raw'!K853</f>
        <v/>
      </c>
      <c r="G864" s="1">
        <v>3.30000000000009</v>
      </c>
      <c r="H864" s="23" t="b">
        <f>if(countif(Status!C:C,A864)=1,TRUE, FALSE)</f>
        <v>1</v>
      </c>
    </row>
    <row r="865">
      <c r="A865" s="23" t="str">
        <f t="shared" si="14"/>
        <v>SL2001</v>
      </c>
      <c r="B865" s="23" t="str">
        <f>'3.3.raw'!M854</f>
        <v>SL2001</v>
      </c>
      <c r="C865" s="24">
        <f>datevalue(left('3.3.raw'!O854,10))</f>
        <v>43847</v>
      </c>
      <c r="D865" s="23">
        <f>'3.3.raw'!I854</f>
        <v>8</v>
      </c>
      <c r="E865" s="23" t="str">
        <f>'3.3.raw'!J854</f>
        <v/>
      </c>
      <c r="F865" s="23" t="str">
        <f>'3.3.raw'!K854</f>
        <v/>
      </c>
      <c r="G865" s="1">
        <v>3.30000000000009</v>
      </c>
      <c r="H865" s="23" t="b">
        <f>if(countif(Status!C:C,A865)=1,TRUE, FALSE)</f>
        <v>1</v>
      </c>
    </row>
    <row r="866">
      <c r="A866" s="23" t="str">
        <f t="shared" si="14"/>
        <v>PLc1178</v>
      </c>
      <c r="B866" s="23" t="str">
        <f>'3.3.raw'!M855</f>
        <v>PLc1178</v>
      </c>
      <c r="C866" s="24">
        <f>datevalue(left('3.3.raw'!O855,10))</f>
        <v>43847</v>
      </c>
      <c r="D866" s="23">
        <f>'3.3.raw'!I855</f>
        <v>11</v>
      </c>
      <c r="E866" s="23" t="str">
        <f>'3.3.raw'!J855</f>
        <v/>
      </c>
      <c r="F866" s="23" t="str">
        <f>'3.3.raw'!K855</f>
        <v/>
      </c>
      <c r="G866" s="1">
        <v>3.30000000000009</v>
      </c>
      <c r="H866" s="23" t="b">
        <f>if(countif(Status!C:C,A866)=1,TRUE, FALSE)</f>
        <v>1</v>
      </c>
    </row>
    <row r="867">
      <c r="A867" s="23" t="str">
        <f t="shared" si="14"/>
        <v>FB1280</v>
      </c>
      <c r="B867" s="23" t="str">
        <f>'3.3.raw'!M856</f>
        <v>FB1280</v>
      </c>
      <c r="C867" s="24">
        <f>datevalue(left('3.3.raw'!O856,10))</f>
        <v>43847</v>
      </c>
      <c r="D867" s="23">
        <f>'3.3.raw'!I856</f>
        <v>99</v>
      </c>
      <c r="E867" s="23" t="str">
        <f>'3.3.raw'!J856</f>
        <v/>
      </c>
      <c r="F867" s="23" t="str">
        <f>'3.3.raw'!K856</f>
        <v/>
      </c>
      <c r="G867" s="1">
        <v>3.30000000000009</v>
      </c>
      <c r="H867" s="23" t="b">
        <f>if(countif(Status!C:C,A867)=1,TRUE, FALSE)</f>
        <v>1</v>
      </c>
    </row>
    <row r="868">
      <c r="A868" s="23" t="str">
        <f t="shared" si="14"/>
        <v>PLc1179</v>
      </c>
      <c r="B868" s="23" t="str">
        <f>'3.3.raw'!M857</f>
        <v>PLc1179</v>
      </c>
      <c r="C868" s="24">
        <f>datevalue(left('3.3.raw'!O857,10))</f>
        <v>43847</v>
      </c>
      <c r="D868" s="23">
        <f>'3.3.raw'!I857</f>
        <v>11</v>
      </c>
      <c r="E868" s="23" t="str">
        <f>'3.3.raw'!J857</f>
        <v/>
      </c>
      <c r="F868" s="23" t="str">
        <f>'3.3.raw'!K857</f>
        <v/>
      </c>
      <c r="G868" s="1">
        <v>3.30000000000009</v>
      </c>
      <c r="H868" s="23" t="b">
        <f>if(countif(Status!C:C,A868)=1,TRUE, FALSE)</f>
        <v>1</v>
      </c>
    </row>
    <row r="869">
      <c r="A869" s="23" t="str">
        <f t="shared" si="14"/>
        <v>DWa1005</v>
      </c>
      <c r="B869" s="23" t="str">
        <f>'3.3.raw'!M858</f>
        <v>DWa1005</v>
      </c>
      <c r="C869" s="24">
        <f>datevalue(left('3.3.raw'!O858,10))</f>
        <v>43847</v>
      </c>
      <c r="D869" s="23">
        <f>'3.3.raw'!I858</f>
        <v>3</v>
      </c>
      <c r="E869" s="23" t="str">
        <f>'3.3.raw'!J858</f>
        <v/>
      </c>
      <c r="F869" s="23" t="str">
        <f>'3.3.raw'!K858</f>
        <v/>
      </c>
      <c r="G869" s="1">
        <v>3.30000000000009</v>
      </c>
      <c r="H869" s="23" t="b">
        <f>if(countif(Status!C:C,A869)=1,TRUE, FALSE)</f>
        <v>1</v>
      </c>
    </row>
    <row r="870">
      <c r="A870" s="23" t="str">
        <f t="shared" si="14"/>
        <v>DWa1005F</v>
      </c>
      <c r="B870" s="23" t="str">
        <f>'3.3.raw'!M859</f>
        <v>DWa1005F</v>
      </c>
      <c r="C870" s="24">
        <f>datevalue(left('3.3.raw'!O859,10))</f>
        <v>43847</v>
      </c>
      <c r="D870" s="23">
        <f>'3.3.raw'!I859</f>
        <v>3</v>
      </c>
      <c r="E870" s="23" t="str">
        <f>'3.3.raw'!J859</f>
        <v/>
      </c>
      <c r="F870" s="23" t="str">
        <f>'3.3.raw'!K859</f>
        <v/>
      </c>
      <c r="G870" s="1">
        <v>3.30000000000009</v>
      </c>
      <c r="H870" s="23" t="b">
        <f>if(countif(Status!C:C,A870)=1,TRUE, FALSE)</f>
        <v>1</v>
      </c>
    </row>
    <row r="871">
      <c r="A871" s="23" t="str">
        <f t="shared" si="14"/>
        <v>MO1155</v>
      </c>
      <c r="B871" s="23" t="str">
        <f>'3.3.raw'!M860</f>
        <v>MO1155</v>
      </c>
      <c r="C871" s="24">
        <f>datevalue(left('3.3.raw'!O860,10))</f>
        <v>43847</v>
      </c>
      <c r="D871" s="23">
        <f>'3.3.raw'!I860</f>
        <v>12</v>
      </c>
      <c r="E871" s="23" t="str">
        <f>'3.3.raw'!J860</f>
        <v/>
      </c>
      <c r="F871" s="23" t="str">
        <f>'3.3.raw'!K860</f>
        <v/>
      </c>
      <c r="G871" s="1">
        <v>3.30000000000009</v>
      </c>
      <c r="H871" s="23" t="b">
        <f>if(countif(Status!C:C,A871)=1,TRUE, FALSE)</f>
        <v>1</v>
      </c>
    </row>
    <row r="872">
      <c r="A872" s="23" t="str">
        <f t="shared" si="14"/>
        <v>FB1282</v>
      </c>
      <c r="B872" s="23" t="str">
        <f>'3.3.raw'!M861</f>
        <v>FB1282</v>
      </c>
      <c r="C872" s="24">
        <f>datevalue(left('3.3.raw'!O861,10))</f>
        <v>43847</v>
      </c>
      <c r="D872" s="23">
        <f>'3.3.raw'!I861</f>
        <v>99</v>
      </c>
      <c r="E872" s="23" t="str">
        <f>'3.3.raw'!J861</f>
        <v/>
      </c>
      <c r="F872" s="23" t="str">
        <f>'3.3.raw'!K861</f>
        <v/>
      </c>
      <c r="G872" s="1">
        <v>3.30000000000009</v>
      </c>
      <c r="H872" s="23" t="b">
        <f>if(countif(Status!C:C,A872)=1,TRUE, FALSE)</f>
        <v>1</v>
      </c>
    </row>
    <row r="873">
      <c r="A873" s="23" t="str">
        <f t="shared" si="14"/>
        <v>MO1156</v>
      </c>
      <c r="B873" s="23" t="str">
        <f>'3.3.raw'!M862</f>
        <v>MO1156</v>
      </c>
      <c r="C873" s="24">
        <f>datevalue(left('3.3.raw'!O862,10))</f>
        <v>43847</v>
      </c>
      <c r="D873" s="23">
        <f>'3.3.raw'!I862</f>
        <v>12</v>
      </c>
      <c r="E873" s="23" t="str">
        <f>'3.3.raw'!J862</f>
        <v/>
      </c>
      <c r="F873" s="23" t="str">
        <f>'3.3.raw'!K862</f>
        <v/>
      </c>
      <c r="G873" s="1">
        <v>3.30000000000009</v>
      </c>
      <c r="H873" s="23" t="b">
        <f>if(countif(Status!C:C,A873)=1,TRUE, FALSE)</f>
        <v>1</v>
      </c>
    </row>
    <row r="874">
      <c r="A874" s="23" t="str">
        <f t="shared" si="14"/>
        <v>EC42</v>
      </c>
      <c r="B874" s="23" t="str">
        <f>'3.3.raw'!M863</f>
        <v>EC42</v>
      </c>
      <c r="C874" s="24">
        <f>datevalue(left('3.3.raw'!O863,10))</f>
        <v>43847</v>
      </c>
      <c r="D874" s="23">
        <f>'3.3.raw'!I863</f>
        <v>98</v>
      </c>
      <c r="E874" s="23" t="str">
        <f>'3.3.raw'!J863</f>
        <v/>
      </c>
      <c r="F874" s="23" t="str">
        <f>'3.3.raw'!K863</f>
        <v/>
      </c>
      <c r="G874" s="1">
        <v>3.30000000000009</v>
      </c>
      <c r="H874" s="23" t="b">
        <f>if(countif(Status!C:C,A874)=1,TRUE, FALSE)</f>
        <v>1</v>
      </c>
    </row>
    <row r="875">
      <c r="A875" s="23" t="str">
        <f t="shared" si="14"/>
        <v>PLc1180</v>
      </c>
      <c r="B875" s="23" t="str">
        <f>'3.3.raw'!M864</f>
        <v>PLc1180</v>
      </c>
      <c r="C875" s="24">
        <f>datevalue(left('3.3.raw'!O864,10))</f>
        <v>43852</v>
      </c>
      <c r="D875" s="23">
        <f>'3.3.raw'!I864</f>
        <v>11</v>
      </c>
      <c r="E875" s="23" t="str">
        <f>'3.3.raw'!J864</f>
        <v/>
      </c>
      <c r="F875" s="23" t="str">
        <f>'3.3.raw'!K864</f>
        <v/>
      </c>
      <c r="G875" s="1">
        <v>3.30000000000009</v>
      </c>
      <c r="H875" s="23" t="b">
        <f>if(countif(Status!C:C,A875)=1,TRUE, FALSE)</f>
        <v>1</v>
      </c>
    </row>
    <row r="876">
      <c r="A876" s="23" t="str">
        <f t="shared" si="14"/>
        <v>PLc1181</v>
      </c>
      <c r="B876" s="23" t="str">
        <f>'3.3.raw'!M865</f>
        <v>PLc1181</v>
      </c>
      <c r="C876" s="24">
        <f>datevalue(left('3.3.raw'!O865,10))</f>
        <v>43852</v>
      </c>
      <c r="D876" s="23">
        <f>'3.3.raw'!I865</f>
        <v>11</v>
      </c>
      <c r="E876" s="23" t="str">
        <f>'3.3.raw'!J865</f>
        <v/>
      </c>
      <c r="F876" s="23" t="str">
        <f>'3.3.raw'!K865</f>
        <v/>
      </c>
      <c r="G876" s="1">
        <v>3.30000000000009</v>
      </c>
      <c r="H876" s="23" t="b">
        <f>if(countif(Status!C:C,A876)=1,TRUE, FALSE)</f>
        <v>1</v>
      </c>
    </row>
    <row r="877">
      <c r="A877" s="23" t="str">
        <f t="shared" si="14"/>
        <v>FB1285</v>
      </c>
      <c r="B877" s="23" t="str">
        <f>'3.3.raw'!M866</f>
        <v>FB1285</v>
      </c>
      <c r="C877" s="24">
        <f>datevalue(left('3.3.raw'!O866,10))</f>
        <v>43852</v>
      </c>
      <c r="D877" s="23">
        <f>'3.3.raw'!I866</f>
        <v>99</v>
      </c>
      <c r="E877" s="23" t="str">
        <f>'3.3.raw'!J866</f>
        <v/>
      </c>
      <c r="F877" s="23" t="str">
        <f>'3.3.raw'!K866</f>
        <v/>
      </c>
      <c r="G877" s="1">
        <v>3.30000000000009</v>
      </c>
      <c r="H877" s="23" t="b">
        <f>if(countif(Status!C:C,A877)=1,TRUE, FALSE)</f>
        <v>1</v>
      </c>
    </row>
    <row r="878">
      <c r="A878" s="23" t="str">
        <f t="shared" si="14"/>
        <v>PLc1182</v>
      </c>
      <c r="B878" s="23" t="str">
        <f>'3.3.raw'!M867</f>
        <v>PLc1182</v>
      </c>
      <c r="C878" s="24">
        <f>datevalue(left('3.3.raw'!O867,10))</f>
        <v>43852</v>
      </c>
      <c r="D878" s="23">
        <f>'3.3.raw'!I867</f>
        <v>11</v>
      </c>
      <c r="E878" s="23" t="str">
        <f>'3.3.raw'!J867</f>
        <v/>
      </c>
      <c r="F878" s="23" t="str">
        <f>'3.3.raw'!K867</f>
        <v/>
      </c>
      <c r="G878" s="1">
        <v>3.30000000000009</v>
      </c>
      <c r="H878" s="23" t="b">
        <f>if(countif(Status!C:C,A878)=1,TRUE, FALSE)</f>
        <v>1</v>
      </c>
    </row>
    <row r="879">
      <c r="A879" s="23" t="str">
        <f t="shared" si="14"/>
        <v>MO1157</v>
      </c>
      <c r="B879" s="23" t="str">
        <f>'3.3.raw'!M868</f>
        <v>MO1157</v>
      </c>
      <c r="C879" s="24">
        <f>datevalue(left('3.3.raw'!O868,10))</f>
        <v>43852</v>
      </c>
      <c r="D879" s="23">
        <f>'3.3.raw'!I868</f>
        <v>12</v>
      </c>
      <c r="E879" s="23" t="str">
        <f>'3.3.raw'!J868</f>
        <v/>
      </c>
      <c r="F879" s="23" t="str">
        <f>'3.3.raw'!K868</f>
        <v/>
      </c>
      <c r="G879" s="1">
        <v>3.30000000000009</v>
      </c>
      <c r="H879" s="23" t="b">
        <f>if(countif(Status!C:C,A879)=1,TRUE, FALSE)</f>
        <v>1</v>
      </c>
    </row>
    <row r="880">
      <c r="A880" s="23" t="str">
        <f t="shared" si="14"/>
        <v>MO1158</v>
      </c>
      <c r="B880" s="23" t="str">
        <f>'3.3.raw'!M869</f>
        <v>MO1158</v>
      </c>
      <c r="C880" s="24">
        <f>datevalue(left('3.3.raw'!O869,10))</f>
        <v>43852</v>
      </c>
      <c r="D880" s="23">
        <f>'3.3.raw'!I869</f>
        <v>12</v>
      </c>
      <c r="E880" s="23" t="str">
        <f>'3.3.raw'!J869</f>
        <v/>
      </c>
      <c r="F880" s="23" t="str">
        <f>'3.3.raw'!K869</f>
        <v/>
      </c>
      <c r="G880" s="1">
        <v>3.30000000000009</v>
      </c>
      <c r="H880" s="23" t="b">
        <f>if(countif(Status!C:C,A880)=1,TRUE, FALSE)</f>
        <v>1</v>
      </c>
    </row>
    <row r="881">
      <c r="A881" s="23" t="str">
        <f t="shared" si="14"/>
        <v>MO1159</v>
      </c>
      <c r="B881" s="23" t="str">
        <f>'3.3.raw'!M870</f>
        <v>MO1159</v>
      </c>
      <c r="C881" s="24">
        <f>datevalue(left('3.3.raw'!O870,10))</f>
        <v>43852</v>
      </c>
      <c r="D881" s="23">
        <f>'3.3.raw'!I870</f>
        <v>12</v>
      </c>
      <c r="E881" s="23" t="str">
        <f>'3.3.raw'!J870</f>
        <v/>
      </c>
      <c r="F881" s="23" t="str">
        <f>'3.3.raw'!K870</f>
        <v/>
      </c>
      <c r="G881" s="1">
        <v>3.30000000000009</v>
      </c>
      <c r="H881" s="23" t="b">
        <f>if(countif(Status!C:C,A881)=1,TRUE, FALSE)</f>
        <v>1</v>
      </c>
    </row>
    <row r="882">
      <c r="A882" s="23" t="str">
        <f t="shared" si="14"/>
        <v>FB1287</v>
      </c>
      <c r="B882" s="23" t="str">
        <f>'3.3.raw'!M871</f>
        <v>FB1287</v>
      </c>
      <c r="C882" s="24">
        <f>datevalue(left('3.3.raw'!O871,10))</f>
        <v>43852</v>
      </c>
      <c r="D882" s="23">
        <f>'3.3.raw'!I871</f>
        <v>99</v>
      </c>
      <c r="E882" s="23" t="str">
        <f>'3.3.raw'!J871</f>
        <v/>
      </c>
      <c r="F882" s="23" t="str">
        <f>'3.3.raw'!K871</f>
        <v/>
      </c>
      <c r="G882" s="1">
        <v>3.30000000000009</v>
      </c>
      <c r="H882" s="23" t="b">
        <f>if(countif(Status!C:C,A882)=1,TRUE, FALSE)</f>
        <v>1</v>
      </c>
    </row>
    <row r="883">
      <c r="A883" s="23" t="str">
        <f t="shared" si="14"/>
        <v>UF1016</v>
      </c>
      <c r="B883" s="23" t="str">
        <f>'3.3.raw'!M872</f>
        <v>UF1016</v>
      </c>
      <c r="C883" s="24">
        <f>datevalue(left('3.3.raw'!O872,10))</f>
        <v>43852</v>
      </c>
      <c r="D883" s="23">
        <f>'3.3.raw'!I872</f>
        <v>16</v>
      </c>
      <c r="E883" s="23" t="str">
        <f>'3.3.raw'!J872</f>
        <v/>
      </c>
      <c r="F883" s="23" t="str">
        <f>'3.3.raw'!K872</f>
        <v/>
      </c>
      <c r="G883" s="1">
        <v>3.30000000000009</v>
      </c>
      <c r="H883" s="23" t="b">
        <f>if(countif(Status!C:C,A883)=1,TRUE, FALSE)</f>
        <v>1</v>
      </c>
    </row>
    <row r="884">
      <c r="A884" s="23" t="str">
        <f t="shared" si="14"/>
        <v>UF1016F</v>
      </c>
      <c r="B884" s="23" t="str">
        <f>'3.3.raw'!M873</f>
        <v>UF1016F</v>
      </c>
      <c r="C884" s="24">
        <f>datevalue(left('3.3.raw'!O873,10))</f>
        <v>43852</v>
      </c>
      <c r="D884" s="23">
        <f>'3.3.raw'!I873</f>
        <v>16</v>
      </c>
      <c r="E884" s="23" t="str">
        <f>'3.3.raw'!J873</f>
        <v/>
      </c>
      <c r="F884" s="23" t="str">
        <f>'3.3.raw'!K873</f>
        <v/>
      </c>
      <c r="G884" s="1">
        <v>3.30000000000009</v>
      </c>
      <c r="H884" s="23" t="b">
        <f>if(countif(Status!C:C,A884)=1,TRUE, FALSE)</f>
        <v>1</v>
      </c>
    </row>
    <row r="885">
      <c r="A885" s="23" t="str">
        <f t="shared" si="14"/>
        <v>EC43</v>
      </c>
      <c r="B885" s="23" t="str">
        <f>'3.3.raw'!M874</f>
        <v>EC43</v>
      </c>
      <c r="C885" s="24">
        <f>datevalue(left('3.3.raw'!O874,10))</f>
        <v>43852</v>
      </c>
      <c r="D885" s="23">
        <f>'3.3.raw'!I874</f>
        <v>98</v>
      </c>
      <c r="E885" s="23" t="str">
        <f>'3.3.raw'!J874</f>
        <v/>
      </c>
      <c r="F885" s="23" t="str">
        <f>'3.3.raw'!K874</f>
        <v/>
      </c>
      <c r="G885" s="1">
        <v>3.30000000000009</v>
      </c>
      <c r="H885" s="23" t="b">
        <f>if(countif(Status!C:C,A885)=1,TRUE, FALSE)</f>
        <v>1</v>
      </c>
    </row>
    <row r="886">
      <c r="A886" s="23" t="str">
        <f t="shared" si="14"/>
        <v>MO1160</v>
      </c>
      <c r="B886" s="23" t="str">
        <f>'3.3.raw'!M875</f>
        <v>MO1160</v>
      </c>
      <c r="C886" s="24">
        <f>datevalue(left('3.3.raw'!O875,10))</f>
        <v>43853</v>
      </c>
      <c r="D886" s="23">
        <f>'3.3.raw'!I875</f>
        <v>12</v>
      </c>
      <c r="E886" s="23" t="str">
        <f>'3.3.raw'!J875</f>
        <v/>
      </c>
      <c r="F886" s="23" t="str">
        <f>'3.3.raw'!K875</f>
        <v/>
      </c>
      <c r="G886" s="1">
        <v>3.30000000000009</v>
      </c>
      <c r="H886" s="23" t="b">
        <f>if(countif(Status!C:C,A886)=1,TRUE, FALSE)</f>
        <v>1</v>
      </c>
    </row>
    <row r="887">
      <c r="A887" s="23" t="str">
        <f t="shared" si="14"/>
        <v>MO1161</v>
      </c>
      <c r="B887" s="23" t="str">
        <f>'3.3.raw'!M876</f>
        <v>MO1161</v>
      </c>
      <c r="C887" s="24">
        <f>datevalue(left('3.3.raw'!O876,10))</f>
        <v>43853</v>
      </c>
      <c r="D887" s="23">
        <f>'3.3.raw'!I876</f>
        <v>12</v>
      </c>
      <c r="E887" s="23" t="str">
        <f>'3.3.raw'!J876</f>
        <v/>
      </c>
      <c r="F887" s="23" t="str">
        <f>'3.3.raw'!K876</f>
        <v/>
      </c>
      <c r="G887" s="1">
        <v>3.30000000000009</v>
      </c>
      <c r="H887" s="23" t="b">
        <f>if(countif(Status!C:C,A887)=1,TRUE, FALSE)</f>
        <v>1</v>
      </c>
    </row>
    <row r="888">
      <c r="A888" s="23" t="str">
        <f t="shared" si="14"/>
        <v>MO1162</v>
      </c>
      <c r="B888" s="23" t="str">
        <f>'3.3.raw'!M877</f>
        <v>MO1162</v>
      </c>
      <c r="C888" s="24">
        <f>datevalue(left('3.3.raw'!O877,10))</f>
        <v>43853</v>
      </c>
      <c r="D888" s="23">
        <f>'3.3.raw'!I877</f>
        <v>12</v>
      </c>
      <c r="E888" s="23" t="str">
        <f>'3.3.raw'!J877</f>
        <v/>
      </c>
      <c r="F888" s="23" t="str">
        <f>'3.3.raw'!K877</f>
        <v/>
      </c>
      <c r="G888" s="1">
        <v>3.30000000000009</v>
      </c>
      <c r="H888" s="23" t="b">
        <f>if(countif(Status!C:C,A888)=1,TRUE, FALSE)</f>
        <v>1</v>
      </c>
    </row>
    <row r="889">
      <c r="A889" s="23" t="str">
        <f t="shared" si="14"/>
        <v>UF1017</v>
      </c>
      <c r="B889" s="23" t="str">
        <f>'3.3.raw'!M878</f>
        <v>UF1017</v>
      </c>
      <c r="C889" s="24">
        <f>datevalue(left('3.3.raw'!O878,10))</f>
        <v>43853</v>
      </c>
      <c r="D889" s="23">
        <f>'3.3.raw'!I878</f>
        <v>16</v>
      </c>
      <c r="E889" s="23" t="str">
        <f>'3.3.raw'!J878</f>
        <v/>
      </c>
      <c r="F889" s="23" t="str">
        <f>'3.3.raw'!K878</f>
        <v/>
      </c>
      <c r="G889" s="1">
        <v>3.30000000000009</v>
      </c>
      <c r="H889" s="23" t="b">
        <f>if(countif(Status!C:C,A889)=1,TRUE, FALSE)</f>
        <v>1</v>
      </c>
    </row>
    <row r="890">
      <c r="A890" s="23" t="str">
        <f t="shared" si="14"/>
        <v>FPd2001</v>
      </c>
      <c r="B890" s="23" t="str">
        <f>'3.3.raw'!M879</f>
        <v>FPd2001</v>
      </c>
      <c r="C890" s="24">
        <f>datevalue(left('3.3.raw'!O879,10))</f>
        <v>43853</v>
      </c>
      <c r="D890" s="23">
        <f>'3.3.raw'!I879</f>
        <v>14</v>
      </c>
      <c r="E890" s="23">
        <f>'3.3.raw'!J879</f>
        <v>144</v>
      </c>
      <c r="F890" s="23" t="str">
        <f>'3.3.raw'!K879</f>
        <v/>
      </c>
      <c r="G890" s="1">
        <v>3.30000000000009</v>
      </c>
      <c r="H890" s="23" t="b">
        <f>if(countif(Status!C:C,A890)=1,TRUE, FALSE)</f>
        <v>1</v>
      </c>
    </row>
    <row r="891">
      <c r="A891" s="23" t="str">
        <f t="shared" si="14"/>
        <v>FPb2001</v>
      </c>
      <c r="B891" s="23" t="str">
        <f>'3.3.raw'!M880</f>
        <v>FPb2001</v>
      </c>
      <c r="C891" s="24">
        <f>datevalue(left('3.3.raw'!O880,10))</f>
        <v>43853</v>
      </c>
      <c r="D891" s="23">
        <f>'3.3.raw'!I880</f>
        <v>14</v>
      </c>
      <c r="E891" s="23">
        <f>'3.3.raw'!J880</f>
        <v>142</v>
      </c>
      <c r="F891" s="23" t="str">
        <f>'3.3.raw'!K880</f>
        <v/>
      </c>
      <c r="G891" s="1">
        <v>3.30000000000009</v>
      </c>
      <c r="H891" s="23" t="b">
        <f>if(countif(Status!C:C,A891)=1,TRUE, FALSE)</f>
        <v>1</v>
      </c>
    </row>
    <row r="892">
      <c r="A892" s="23" t="str">
        <f t="shared" si="14"/>
        <v>FPe2001</v>
      </c>
      <c r="B892" s="23" t="str">
        <f>'3.3.raw'!M881</f>
        <v>FPe2001</v>
      </c>
      <c r="C892" s="24">
        <f>datevalue(left('3.3.raw'!O881,10))</f>
        <v>43853</v>
      </c>
      <c r="D892" s="23">
        <f>'3.3.raw'!I881</f>
        <v>14</v>
      </c>
      <c r="E892" s="23">
        <f>'3.3.raw'!J881</f>
        <v>145</v>
      </c>
      <c r="F892" s="23" t="str">
        <f>'3.3.raw'!K881</f>
        <v/>
      </c>
      <c r="G892" s="1">
        <v>3.30000000000009</v>
      </c>
      <c r="H892" s="23" t="b">
        <f>if(countif(Status!C:C,A892)=1,TRUE, FALSE)</f>
        <v>1</v>
      </c>
    </row>
    <row r="893">
      <c r="A893" s="23" t="str">
        <f t="shared" si="14"/>
        <v>FPa2001</v>
      </c>
      <c r="B893" s="23" t="str">
        <f>'3.3.raw'!M882</f>
        <v>FPa2001</v>
      </c>
      <c r="C893" s="24">
        <f>datevalue(left('3.3.raw'!O882,10))</f>
        <v>43853</v>
      </c>
      <c r="D893" s="23">
        <f>'3.3.raw'!I882</f>
        <v>14</v>
      </c>
      <c r="E893" s="23">
        <f>'3.3.raw'!J882</f>
        <v>141</v>
      </c>
      <c r="F893" s="23" t="str">
        <f>'3.3.raw'!K882</f>
        <v/>
      </c>
      <c r="G893" s="1">
        <v>3.30000000000009</v>
      </c>
      <c r="H893" s="23" t="b">
        <f>if(countif(Status!C:C,A893)=1,TRUE, FALSE)</f>
        <v>1</v>
      </c>
    </row>
    <row r="894">
      <c r="A894" s="23" t="str">
        <f t="shared" si="14"/>
        <v>FPc2001</v>
      </c>
      <c r="B894" s="23" t="str">
        <f>'3.3.raw'!M883</f>
        <v>FPc2001</v>
      </c>
      <c r="C894" s="24">
        <f>datevalue(left('3.3.raw'!O883,10))</f>
        <v>43853</v>
      </c>
      <c r="D894" s="23">
        <f>'3.3.raw'!I883</f>
        <v>14</v>
      </c>
      <c r="E894" s="23">
        <f>'3.3.raw'!J883</f>
        <v>143</v>
      </c>
      <c r="F894" s="23" t="str">
        <f>'3.3.raw'!K883</f>
        <v/>
      </c>
      <c r="G894" s="1">
        <v>3.30000000000009</v>
      </c>
      <c r="H894" s="23" t="b">
        <f>if(countif(Status!C:C,A894)=1,TRUE, FALSE)</f>
        <v>1</v>
      </c>
    </row>
    <row r="895">
      <c r="A895" s="23" t="str">
        <f t="shared" si="14"/>
        <v>SW2001</v>
      </c>
      <c r="B895" s="23" t="str">
        <f>'3.3.raw'!M884</f>
        <v>SW2001</v>
      </c>
      <c r="C895" s="24">
        <f>datevalue(left('3.3.raw'!O884,10))</f>
        <v>43853</v>
      </c>
      <c r="D895" s="23">
        <f>'3.3.raw'!I884</f>
        <v>5</v>
      </c>
      <c r="E895" s="23" t="str">
        <f>'3.3.raw'!J884</f>
        <v/>
      </c>
      <c r="F895" s="23" t="str">
        <f>'3.3.raw'!K884</f>
        <v/>
      </c>
      <c r="G895" s="1">
        <v>3.30000000000009</v>
      </c>
      <c r="H895" s="23" t="b">
        <f>if(countif(Status!C:C,A895)=1,TRUE, FALSE)</f>
        <v>1</v>
      </c>
    </row>
    <row r="896">
      <c r="A896" s="23" t="str">
        <f t="shared" si="14"/>
        <v>SF2001</v>
      </c>
      <c r="B896" s="23" t="str">
        <f>'3.3.raw'!M885</f>
        <v>SF2001</v>
      </c>
      <c r="C896" s="24">
        <f>datevalue(left('3.3.raw'!O885,10))</f>
        <v>43853</v>
      </c>
      <c r="D896" s="23">
        <f>'3.3.raw'!I885</f>
        <v>10</v>
      </c>
      <c r="E896" s="23" t="str">
        <f>'3.3.raw'!J885</f>
        <v/>
      </c>
      <c r="F896" s="23" t="str">
        <f>'3.3.raw'!K885</f>
        <v/>
      </c>
      <c r="G896" s="1">
        <v>3.30000000000009</v>
      </c>
      <c r="H896" s="23" t="b">
        <f>if(countif(Status!C:C,A896)=1,TRUE, FALSE)</f>
        <v>1</v>
      </c>
    </row>
    <row r="897">
      <c r="A897" s="23" t="str">
        <f t="shared" si="14"/>
        <v>FB1292</v>
      </c>
      <c r="B897" s="23" t="str">
        <f>'3.3.raw'!M886</f>
        <v>FB1292</v>
      </c>
      <c r="C897" s="24">
        <f>datevalue(left('3.3.raw'!O886,10))</f>
        <v>43853</v>
      </c>
      <c r="D897" s="23">
        <f>'3.3.raw'!I886</f>
        <v>99</v>
      </c>
      <c r="E897" s="23" t="str">
        <f>'3.3.raw'!J886</f>
        <v/>
      </c>
      <c r="F897" s="23" t="str">
        <f>'3.3.raw'!K886</f>
        <v/>
      </c>
      <c r="G897" s="1">
        <v>3.30000000000009</v>
      </c>
      <c r="H897" s="23" t="b">
        <f>if(countif(Status!C:C,A897)=1,TRUE, FALSE)</f>
        <v>1</v>
      </c>
    </row>
    <row r="898">
      <c r="A898" s="23" t="str">
        <f t="shared" si="14"/>
        <v>EC44</v>
      </c>
      <c r="B898" s="23" t="str">
        <f>'3.3.raw'!M887</f>
        <v>EC44</v>
      </c>
      <c r="C898" s="24">
        <f>datevalue(left('3.3.raw'!O887,10))</f>
        <v>43853</v>
      </c>
      <c r="D898" s="23">
        <f>'3.3.raw'!I887</f>
        <v>98</v>
      </c>
      <c r="E898" s="23" t="str">
        <f>'3.3.raw'!J887</f>
        <v/>
      </c>
      <c r="F898" s="23" t="str">
        <f>'3.3.raw'!K887</f>
        <v/>
      </c>
      <c r="G898" s="1">
        <v>3.30000000000009</v>
      </c>
      <c r="H898" s="23" t="b">
        <f>if(countif(Status!C:C,A898)=1,TRUE, FALSE)</f>
        <v>1</v>
      </c>
    </row>
    <row r="899">
      <c r="A899" s="23" t="str">
        <f t="shared" si="14"/>
        <v>PLc1183</v>
      </c>
      <c r="B899" s="23" t="str">
        <f>'3.3.raw'!M888</f>
        <v>PLc1183</v>
      </c>
      <c r="C899" s="24">
        <f>datevalue(left('3.3.raw'!O888,10))</f>
        <v>43861</v>
      </c>
      <c r="D899" s="23">
        <f>'3.3.raw'!I888</f>
        <v>11</v>
      </c>
      <c r="E899" s="23" t="str">
        <f>'3.3.raw'!J888</f>
        <v/>
      </c>
      <c r="F899" s="23" t="str">
        <f>'3.3.raw'!K888</f>
        <v/>
      </c>
      <c r="G899" s="1">
        <v>3.30000000000009</v>
      </c>
      <c r="H899" s="23" t="b">
        <f>if(countif(Status!C:C,A899)=1,TRUE, FALSE)</f>
        <v>1</v>
      </c>
    </row>
    <row r="900">
      <c r="A900" s="23" t="str">
        <f t="shared" si="14"/>
        <v>FB1298</v>
      </c>
      <c r="B900" s="23" t="str">
        <f>'3.3.raw'!M889</f>
        <v>FB1298</v>
      </c>
      <c r="C900" s="24">
        <f>datevalue(left('3.3.raw'!O889,10))</f>
        <v>43861</v>
      </c>
      <c r="D900" s="23">
        <f>'3.3.raw'!I889</f>
        <v>99</v>
      </c>
      <c r="E900" s="23" t="str">
        <f>'3.3.raw'!J889</f>
        <v/>
      </c>
      <c r="F900" s="23" t="str">
        <f>'3.3.raw'!K889</f>
        <v/>
      </c>
      <c r="G900" s="1">
        <v>3.30000000000009</v>
      </c>
      <c r="H900" s="23" t="b">
        <f>if(countif(Status!C:C,A900)=1,TRUE, FALSE)</f>
        <v>1</v>
      </c>
    </row>
    <row r="901">
      <c r="A901" s="23" t="str">
        <f t="shared" si="14"/>
        <v>BW2001</v>
      </c>
      <c r="B901" s="23" t="str">
        <f>'3.3.raw'!M890</f>
        <v>BW2001</v>
      </c>
      <c r="C901" s="24">
        <f>datevalue(left('3.3.raw'!O890,10))</f>
        <v>43861</v>
      </c>
      <c r="D901" s="23">
        <f>'3.3.raw'!I890</f>
        <v>9</v>
      </c>
      <c r="E901" s="23" t="str">
        <f>'3.3.raw'!J890</f>
        <v/>
      </c>
      <c r="F901" s="23" t="str">
        <f>'3.3.raw'!K890</f>
        <v/>
      </c>
      <c r="G901" s="1">
        <v>3.30000000000009</v>
      </c>
      <c r="H901" s="23" t="b">
        <f>if(countif(Status!C:C,A901)=1,TRUE, FALSE)</f>
        <v>1</v>
      </c>
    </row>
    <row r="902">
      <c r="A902" s="23" t="str">
        <f t="shared" si="14"/>
        <v>SL2002</v>
      </c>
      <c r="B902" s="23" t="str">
        <f>'3.3.raw'!M891</f>
        <v>SL2002</v>
      </c>
      <c r="C902" s="24">
        <f>datevalue(left('3.3.raw'!O891,10))</f>
        <v>43861</v>
      </c>
      <c r="D902" s="23">
        <f>'3.3.raw'!I891</f>
        <v>8</v>
      </c>
      <c r="E902" s="23" t="str">
        <f>'3.3.raw'!J891</f>
        <v/>
      </c>
      <c r="F902" s="23" t="str">
        <f>'3.3.raw'!K891</f>
        <v/>
      </c>
      <c r="G902" s="1">
        <v>3.30000000000009</v>
      </c>
      <c r="H902" s="23" t="b">
        <f>if(countif(Status!C:C,A902)=1,TRUE, FALSE)</f>
        <v>1</v>
      </c>
    </row>
    <row r="903">
      <c r="A903" s="23" t="str">
        <f t="shared" si="14"/>
        <v>MO1163</v>
      </c>
      <c r="B903" s="23" t="str">
        <f>'3.3.raw'!M892</f>
        <v>MO1163</v>
      </c>
      <c r="C903" s="24">
        <f>datevalue(left('3.3.raw'!O892,10))</f>
        <v>43861</v>
      </c>
      <c r="D903" s="23">
        <f>'3.3.raw'!I892</f>
        <v>12</v>
      </c>
      <c r="E903" s="23" t="str">
        <f>'3.3.raw'!J892</f>
        <v/>
      </c>
      <c r="F903" s="23" t="str">
        <f>'3.3.raw'!K892</f>
        <v/>
      </c>
      <c r="G903" s="1">
        <v>3.30000000000009</v>
      </c>
      <c r="H903" s="23" t="b">
        <f>if(countif(Status!C:C,A903)=1,TRUE, FALSE)</f>
        <v>1</v>
      </c>
    </row>
    <row r="904">
      <c r="A904" s="23" t="str">
        <f t="shared" si="14"/>
        <v>MO1164</v>
      </c>
      <c r="B904" s="23" t="str">
        <f>'3.3.raw'!M893</f>
        <v>MO1164</v>
      </c>
      <c r="C904" s="24">
        <f>datevalue(left('3.3.raw'!O893,10))</f>
        <v>43861</v>
      </c>
      <c r="D904" s="23">
        <f>'3.3.raw'!I893</f>
        <v>12</v>
      </c>
      <c r="E904" s="23" t="str">
        <f>'3.3.raw'!J893</f>
        <v/>
      </c>
      <c r="F904" s="23" t="str">
        <f>'3.3.raw'!K893</f>
        <v/>
      </c>
      <c r="G904" s="1">
        <v>3.3000000000001</v>
      </c>
      <c r="H904" s="23" t="b">
        <f>if(countif(Status!C:C,A904)=1,TRUE, FALSE)</f>
        <v>1</v>
      </c>
    </row>
    <row r="905">
      <c r="A905" s="23" t="str">
        <f t="shared" si="14"/>
        <v>MO1165</v>
      </c>
      <c r="B905" s="23" t="str">
        <f>'3.3.raw'!M894</f>
        <v>MO1165</v>
      </c>
      <c r="C905" s="24">
        <f>datevalue(left('3.3.raw'!O894,10))</f>
        <v>43861</v>
      </c>
      <c r="D905" s="23">
        <f>'3.3.raw'!I894</f>
        <v>12</v>
      </c>
      <c r="E905" s="23" t="str">
        <f>'3.3.raw'!J894</f>
        <v/>
      </c>
      <c r="F905" s="23" t="str">
        <f>'3.3.raw'!K894</f>
        <v/>
      </c>
      <c r="G905" s="1">
        <v>3.3000000000001</v>
      </c>
      <c r="H905" s="23" t="b">
        <f>if(countif(Status!C:C,A905)=1,TRUE, FALSE)</f>
        <v>1</v>
      </c>
    </row>
    <row r="906">
      <c r="A906" s="23" t="str">
        <f t="shared" si="14"/>
        <v>FB1301</v>
      </c>
      <c r="B906" s="23" t="str">
        <f>'3.3.raw'!M895</f>
        <v>FB1301</v>
      </c>
      <c r="C906" s="24">
        <f>datevalue(left('3.3.raw'!O895,10))</f>
        <v>43861</v>
      </c>
      <c r="D906" s="23">
        <f>'3.3.raw'!I895</f>
        <v>99</v>
      </c>
      <c r="E906" s="23" t="str">
        <f>'3.3.raw'!J895</f>
        <v/>
      </c>
      <c r="F906" s="23" t="str">
        <f>'3.3.raw'!K895</f>
        <v/>
      </c>
      <c r="G906" s="1">
        <v>3.3000000000001</v>
      </c>
      <c r="H906" s="23" t="b">
        <f>if(countif(Status!C:C,A906)=1,TRUE, FALSE)</f>
        <v>1</v>
      </c>
    </row>
    <row r="907">
      <c r="A907" s="23" t="str">
        <f t="shared" si="14"/>
        <v>UF1018</v>
      </c>
      <c r="B907" s="23" t="str">
        <f>'3.3.raw'!M896</f>
        <v>UF1018</v>
      </c>
      <c r="C907" s="24">
        <f>datevalue(left('3.3.raw'!O896,10))</f>
        <v>43861</v>
      </c>
      <c r="D907" s="23">
        <f>'3.3.raw'!I896</f>
        <v>16</v>
      </c>
      <c r="E907" s="23" t="str">
        <f>'3.3.raw'!J896</f>
        <v/>
      </c>
      <c r="F907" s="23" t="str">
        <f>'3.3.raw'!K896</f>
        <v/>
      </c>
      <c r="G907" s="1">
        <v>3.3000000000001</v>
      </c>
      <c r="H907" s="23" t="b">
        <f>if(countif(Status!C:C,A907)=1,TRUE, FALSE)</f>
        <v>1</v>
      </c>
    </row>
    <row r="908">
      <c r="A908" s="23" t="str">
        <f t="shared" si="14"/>
        <v>EC45</v>
      </c>
      <c r="B908" s="23" t="str">
        <f>'3.3.raw'!M897</f>
        <v>EC45</v>
      </c>
      <c r="C908" s="24">
        <f>datevalue(left('3.3.raw'!O897,10))</f>
        <v>43861</v>
      </c>
      <c r="D908" s="23">
        <f>'3.3.raw'!I897</f>
        <v>98</v>
      </c>
      <c r="E908" s="23" t="str">
        <f>'3.3.raw'!J897</f>
        <v/>
      </c>
      <c r="F908" s="23" t="str">
        <f>'3.3.raw'!K897</f>
        <v/>
      </c>
      <c r="G908" s="1">
        <v>3.3000000000001</v>
      </c>
      <c r="H908" s="23" t="b">
        <f>if(countif(Status!C:C,A908)=1,TRUE, FALSE)</f>
        <v>1</v>
      </c>
    </row>
    <row r="909">
      <c r="A909" s="23" t="str">
        <f t="shared" si="14"/>
        <v>PLc1184</v>
      </c>
      <c r="B909" s="23" t="str">
        <f>'3.3.raw'!M898</f>
        <v>PLc1184</v>
      </c>
      <c r="C909" s="24">
        <f>datevalue(left('3.3.raw'!O898,10))</f>
        <v>43867</v>
      </c>
      <c r="D909" s="23">
        <f>'3.3.raw'!I898</f>
        <v>11</v>
      </c>
      <c r="E909" s="23" t="str">
        <f>'3.3.raw'!J898</f>
        <v/>
      </c>
      <c r="F909" s="23" t="str">
        <f>'3.3.raw'!K898</f>
        <v/>
      </c>
      <c r="G909" s="1">
        <v>3.3000000000001</v>
      </c>
      <c r="H909" s="23" t="b">
        <f>if(countif(Status!C:C,A909)=1,TRUE, FALSE)</f>
        <v>1</v>
      </c>
    </row>
    <row r="910">
      <c r="A910" s="23" t="str">
        <f t="shared" si="14"/>
        <v>FB1302</v>
      </c>
      <c r="B910" s="23" t="str">
        <f>'3.3.raw'!M899</f>
        <v>FB1302</v>
      </c>
      <c r="C910" s="24">
        <f>datevalue(left('3.3.raw'!O899,10))</f>
        <v>43867</v>
      </c>
      <c r="D910" s="23">
        <f>'3.3.raw'!I899</f>
        <v>99</v>
      </c>
      <c r="E910" s="23" t="str">
        <f>'3.3.raw'!J899</f>
        <v/>
      </c>
      <c r="F910" s="23" t="str">
        <f>'3.3.raw'!K899</f>
        <v/>
      </c>
      <c r="G910" s="1">
        <v>3.3000000000001</v>
      </c>
      <c r="H910" s="23" t="b">
        <f>if(countif(Status!C:C,A910)=1,TRUE, FALSE)</f>
        <v>1</v>
      </c>
    </row>
    <row r="911">
      <c r="A911" s="23" t="str">
        <f t="shared" si="14"/>
        <v>PLc1185</v>
      </c>
      <c r="B911" s="23" t="str">
        <f>'3.3.raw'!M900</f>
        <v>PLc1185</v>
      </c>
      <c r="C911" s="24">
        <f>datevalue(left('3.3.raw'!O900,10))</f>
        <v>43867</v>
      </c>
      <c r="D911" s="23">
        <f>'3.3.raw'!I900</f>
        <v>11</v>
      </c>
      <c r="E911" s="23" t="str">
        <f>'3.3.raw'!J900</f>
        <v/>
      </c>
      <c r="F911" s="23" t="str">
        <f>'3.3.raw'!K900</f>
        <v/>
      </c>
      <c r="G911" s="1">
        <v>3.3000000000001</v>
      </c>
      <c r="H911" s="23" t="b">
        <f>if(countif(Status!C:C,A911)=1,TRUE, FALSE)</f>
        <v>1</v>
      </c>
    </row>
    <row r="912">
      <c r="A912" s="23" t="str">
        <f t="shared" si="14"/>
        <v>PLc1186</v>
      </c>
      <c r="B912" s="23" t="str">
        <f>'3.3.raw'!M901</f>
        <v>PLc1186</v>
      </c>
      <c r="C912" s="24">
        <f>datevalue(left('3.3.raw'!O901,10))</f>
        <v>43867</v>
      </c>
      <c r="D912" s="23">
        <f>'3.3.raw'!I901</f>
        <v>11</v>
      </c>
      <c r="E912" s="23" t="str">
        <f>'3.3.raw'!J901</f>
        <v/>
      </c>
      <c r="F912" s="23" t="str">
        <f>'3.3.raw'!K901</f>
        <v/>
      </c>
      <c r="G912" s="1">
        <v>3.3000000000001</v>
      </c>
      <c r="H912" s="23" t="b">
        <f>if(countif(Status!C:C,A912)=1,TRUE, FALSE)</f>
        <v>1</v>
      </c>
    </row>
    <row r="913">
      <c r="A913" s="23" t="str">
        <f t="shared" si="14"/>
        <v>MO1166</v>
      </c>
      <c r="B913" s="23" t="str">
        <f>'3.3.raw'!M902</f>
        <v>MO1166</v>
      </c>
      <c r="C913" s="24">
        <f>datevalue(left('3.3.raw'!O902,10))</f>
        <v>43867</v>
      </c>
      <c r="D913" s="23">
        <f>'3.3.raw'!I902</f>
        <v>12</v>
      </c>
      <c r="E913" s="23" t="str">
        <f>'3.3.raw'!J902</f>
        <v/>
      </c>
      <c r="F913" s="23" t="str">
        <f>'3.3.raw'!K902</f>
        <v/>
      </c>
      <c r="G913" s="1">
        <v>3.3000000000001</v>
      </c>
      <c r="H913" s="23" t="b">
        <f>if(countif(Status!C:C,A913)=1,TRUE, FALSE)</f>
        <v>1</v>
      </c>
    </row>
    <row r="914">
      <c r="A914" s="23" t="str">
        <f t="shared" si="14"/>
        <v>MO1167</v>
      </c>
      <c r="B914" s="23" t="str">
        <f>'3.3.raw'!M903</f>
        <v>MO1167</v>
      </c>
      <c r="C914" s="24">
        <f>datevalue(left('3.3.raw'!O903,10))</f>
        <v>43867</v>
      </c>
      <c r="D914" s="23">
        <f>'3.3.raw'!I903</f>
        <v>12</v>
      </c>
      <c r="E914" s="23" t="str">
        <f>'3.3.raw'!J903</f>
        <v/>
      </c>
      <c r="F914" s="23" t="str">
        <f>'3.3.raw'!K903</f>
        <v/>
      </c>
      <c r="G914" s="1">
        <v>3.3000000000001</v>
      </c>
      <c r="H914" s="23" t="b">
        <f>if(countif(Status!C:C,A914)=1,TRUE, FALSE)</f>
        <v>1</v>
      </c>
    </row>
    <row r="915">
      <c r="A915" s="23" t="str">
        <f t="shared" si="14"/>
        <v>MO1168</v>
      </c>
      <c r="B915" s="23" t="str">
        <f>'3.3.raw'!M904</f>
        <v>MO1168</v>
      </c>
      <c r="C915" s="24">
        <f>datevalue(left('3.3.raw'!O904,10))</f>
        <v>43867</v>
      </c>
      <c r="D915" s="23">
        <f>'3.3.raw'!I904</f>
        <v>12</v>
      </c>
      <c r="E915" s="23" t="str">
        <f>'3.3.raw'!J904</f>
        <v/>
      </c>
      <c r="F915" s="23" t="str">
        <f>'3.3.raw'!K904</f>
        <v/>
      </c>
      <c r="G915" s="1">
        <v>3.3000000000001</v>
      </c>
      <c r="H915" s="23" t="b">
        <f>if(countif(Status!C:C,A915)=1,TRUE, FALSE)</f>
        <v>1</v>
      </c>
    </row>
    <row r="916">
      <c r="A916" s="23" t="str">
        <f t="shared" si="14"/>
        <v>FB1308</v>
      </c>
      <c r="B916" s="23" t="str">
        <f>'3.3.raw'!M905</f>
        <v>FB1308</v>
      </c>
      <c r="C916" s="24">
        <f>datevalue(left('3.3.raw'!O905,10))</f>
        <v>43867</v>
      </c>
      <c r="D916" s="23">
        <f>'3.3.raw'!I905</f>
        <v>99</v>
      </c>
      <c r="E916" s="23" t="str">
        <f>'3.3.raw'!J905</f>
        <v/>
      </c>
      <c r="F916" s="23" t="str">
        <f>'3.3.raw'!K905</f>
        <v/>
      </c>
      <c r="G916" s="1">
        <v>3.3000000000001</v>
      </c>
      <c r="H916" s="23" t="b">
        <f>if(countif(Status!C:C,A916)=1,TRUE, FALSE)</f>
        <v>1</v>
      </c>
    </row>
    <row r="917">
      <c r="A917" s="23" t="str">
        <f t="shared" si="14"/>
        <v>UF1019</v>
      </c>
      <c r="B917" s="23" t="str">
        <f>'3.3.raw'!M906</f>
        <v>UF1019</v>
      </c>
      <c r="C917" s="24">
        <f>datevalue(left('3.3.raw'!O906,10))</f>
        <v>43866</v>
      </c>
      <c r="D917" s="23">
        <f>'3.3.raw'!I906</f>
        <v>16</v>
      </c>
      <c r="E917" s="23" t="str">
        <f>'3.3.raw'!J906</f>
        <v/>
      </c>
      <c r="F917" s="23" t="str">
        <f>'3.3.raw'!K906</f>
        <v/>
      </c>
      <c r="G917" s="1">
        <v>3.3000000000001</v>
      </c>
      <c r="H917" s="23" t="b">
        <f>if(countif(Status!C:C,A917)=1,TRUE, FALSE)</f>
        <v>1</v>
      </c>
    </row>
    <row r="918">
      <c r="A918" s="23" t="str">
        <f t="shared" si="14"/>
        <v>EC46</v>
      </c>
      <c r="B918" s="23" t="str">
        <f>'3.3.raw'!M907</f>
        <v>EC46</v>
      </c>
      <c r="C918" s="24">
        <f>datevalue(left('3.3.raw'!O907,10))</f>
        <v>43867</v>
      </c>
      <c r="D918" s="23">
        <f>'3.3.raw'!I907</f>
        <v>98</v>
      </c>
      <c r="E918" s="23" t="str">
        <f>'3.3.raw'!J907</f>
        <v/>
      </c>
      <c r="F918" s="23" t="str">
        <f>'3.3.raw'!K907</f>
        <v/>
      </c>
      <c r="G918" s="1">
        <v>3.3000000000001</v>
      </c>
      <c r="H918" s="23" t="b">
        <f>if(countif(Status!C:C,A918)=1,TRUE, FALSE)</f>
        <v>1</v>
      </c>
    </row>
    <row r="919">
      <c r="A919" s="23" t="str">
        <f t="shared" si="14"/>
        <v>LS2001</v>
      </c>
      <c r="B919" s="23" t="str">
        <f>'3.3.raw'!M908</f>
        <v>LS2001</v>
      </c>
      <c r="C919" s="24">
        <f>datevalue(left('3.3.raw'!O908,10))</f>
        <v>43867</v>
      </c>
      <c r="D919" s="23">
        <f>'3.3.raw'!I908</f>
        <v>7</v>
      </c>
      <c r="E919" s="23" t="str">
        <f>'3.3.raw'!J908</f>
        <v/>
      </c>
      <c r="F919" s="23" t="str">
        <f>'3.3.raw'!K908</f>
        <v/>
      </c>
      <c r="G919" s="1">
        <v>3.3000000000001</v>
      </c>
      <c r="H919" s="23" t="b">
        <f>if(countif(Status!C:C,A919)=1,TRUE, FALSE)</f>
        <v>1</v>
      </c>
    </row>
    <row r="920">
      <c r="A920" s="23" t="str">
        <f t="shared" si="14"/>
        <v>PLc1187</v>
      </c>
      <c r="B920" s="23" t="str">
        <f>'3.3.raw'!M909</f>
        <v>PLc1187</v>
      </c>
      <c r="C920" s="24">
        <f>datevalue(left('3.3.raw'!O909,10))</f>
        <v>43867</v>
      </c>
      <c r="D920" s="23">
        <f>'3.3.raw'!I909</f>
        <v>11</v>
      </c>
      <c r="E920" s="23" t="str">
        <f>'3.3.raw'!J909</f>
        <v/>
      </c>
      <c r="F920" s="23" t="str">
        <f>'3.3.raw'!K909</f>
        <v/>
      </c>
      <c r="G920" s="1">
        <v>3.3000000000001</v>
      </c>
      <c r="H920" s="23" t="b">
        <f>if(countif(Status!C:C,A920)=1,TRUE, FALSE)</f>
        <v>1</v>
      </c>
    </row>
    <row r="921">
      <c r="A921" s="23" t="str">
        <f t="shared" si="14"/>
        <v>UF1020</v>
      </c>
      <c r="B921" s="23" t="str">
        <f>'3.3.raw'!M910</f>
        <v>UF1020</v>
      </c>
      <c r="C921" s="24">
        <f>datevalue(left('3.3.raw'!O910,10))</f>
        <v>43867</v>
      </c>
      <c r="D921" s="23">
        <f>'3.3.raw'!I910</f>
        <v>16</v>
      </c>
      <c r="E921" s="23" t="str">
        <f>'3.3.raw'!J910</f>
        <v/>
      </c>
      <c r="F921" s="23" t="str">
        <f>'3.3.raw'!K910</f>
        <v/>
      </c>
      <c r="G921" s="1">
        <v>3.3000000000001</v>
      </c>
      <c r="H921" s="23" t="b">
        <f>if(countif(Status!C:C,A921)=1,TRUE, FALSE)</f>
        <v>1</v>
      </c>
    </row>
    <row r="922">
      <c r="A922" s="23" t="str">
        <f t="shared" si="14"/>
        <v>COa2003</v>
      </c>
      <c r="B922" s="23" t="str">
        <f>'3.3.raw'!M911</f>
        <v>COa2003</v>
      </c>
      <c r="C922" s="24">
        <f>datevalue(left('3.3.raw'!O911,10))</f>
        <v>43867</v>
      </c>
      <c r="D922" s="23">
        <f>'3.3.raw'!I911</f>
        <v>15</v>
      </c>
      <c r="E922" s="23" t="str">
        <f>'3.3.raw'!J911</f>
        <v/>
      </c>
      <c r="F922" s="23">
        <f>'3.3.raw'!K911</f>
        <v>151</v>
      </c>
      <c r="G922" s="1">
        <v>3.3000000000001</v>
      </c>
      <c r="H922" s="23" t="b">
        <f>if(countif(Status!C:C,A922)=1,TRUE, FALSE)</f>
        <v>1</v>
      </c>
    </row>
    <row r="923">
      <c r="A923" s="23" t="str">
        <f t="shared" si="14"/>
        <v>COb2007</v>
      </c>
      <c r="B923" s="23" t="str">
        <f>'3.3.raw'!M912</f>
        <v>COb2007</v>
      </c>
      <c r="C923" s="24">
        <f>datevalue(left('3.3.raw'!O912,10))</f>
        <v>43867</v>
      </c>
      <c r="D923" s="23">
        <f>'3.3.raw'!I912</f>
        <v>15</v>
      </c>
      <c r="E923" s="23" t="str">
        <f>'3.3.raw'!J912</f>
        <v/>
      </c>
      <c r="F923" s="23">
        <f>'3.3.raw'!K912</f>
        <v>152</v>
      </c>
      <c r="G923" s="1">
        <v>3.3000000000001</v>
      </c>
      <c r="H923" s="23" t="b">
        <f>if(countif(Status!C:C,A923)=1,TRUE, FALSE)</f>
        <v>1</v>
      </c>
    </row>
    <row r="924">
      <c r="A924" s="23" t="str">
        <f t="shared" si="14"/>
        <v>COb2008</v>
      </c>
      <c r="B924" s="23" t="str">
        <f>'3.3.raw'!M913</f>
        <v>COb2008</v>
      </c>
      <c r="C924" s="24">
        <f>datevalue(left('3.3.raw'!O913,10))</f>
        <v>43867</v>
      </c>
      <c r="D924" s="23">
        <f>'3.3.raw'!I913</f>
        <v>15</v>
      </c>
      <c r="E924" s="23" t="str">
        <f>'3.3.raw'!J913</f>
        <v/>
      </c>
      <c r="F924" s="23">
        <f>'3.3.raw'!K913</f>
        <v>152</v>
      </c>
      <c r="G924" s="1">
        <v>3.3000000000001</v>
      </c>
      <c r="H924" s="23" t="b">
        <f>if(countif(Status!C:C,A924)=1,TRUE, FALSE)</f>
        <v>1</v>
      </c>
    </row>
    <row r="925">
      <c r="A925" s="23" t="str">
        <f t="shared" si="14"/>
        <v>COb2009</v>
      </c>
      <c r="B925" s="23" t="str">
        <f>'3.3.raw'!M914</f>
        <v>COb2009</v>
      </c>
      <c r="C925" s="24">
        <f>datevalue(left('3.3.raw'!O914,10))</f>
        <v>43867</v>
      </c>
      <c r="D925" s="23">
        <f>'3.3.raw'!I914</f>
        <v>15</v>
      </c>
      <c r="E925" s="23" t="str">
        <f>'3.3.raw'!J914</f>
        <v/>
      </c>
      <c r="F925" s="23">
        <f>'3.3.raw'!K914</f>
        <v>152</v>
      </c>
      <c r="G925" s="1">
        <v>3.3000000000001</v>
      </c>
      <c r="H925" s="23" t="b">
        <f>if(countif(Status!C:C,A925)=1,TRUE, FALSE)</f>
        <v>1</v>
      </c>
    </row>
    <row r="926">
      <c r="A926" s="23" t="str">
        <f t="shared" si="14"/>
        <v>FB1309</v>
      </c>
      <c r="B926" s="23" t="str">
        <f>'3.3.raw'!M915</f>
        <v>FB1309</v>
      </c>
      <c r="C926" s="24">
        <f>datevalue(left('3.3.raw'!O915,10))</f>
        <v>43867</v>
      </c>
      <c r="D926" s="23">
        <f>'3.3.raw'!I915</f>
        <v>99</v>
      </c>
      <c r="E926" s="23" t="str">
        <f>'3.3.raw'!J915</f>
        <v/>
      </c>
      <c r="F926" s="23" t="str">
        <f>'3.3.raw'!K915</f>
        <v/>
      </c>
      <c r="G926" s="1">
        <v>3.3000000000001</v>
      </c>
      <c r="H926" s="23" t="b">
        <f>if(countif(Status!C:C,A926)=1,TRUE, FALSE)</f>
        <v>1</v>
      </c>
    </row>
    <row r="927">
      <c r="A927" s="23" t="str">
        <f t="shared" si="14"/>
        <v>COa2004</v>
      </c>
      <c r="B927" s="23" t="str">
        <f>'3.3.raw'!M916</f>
        <v>COa2004</v>
      </c>
      <c r="C927" s="24">
        <f>datevalue(left('3.3.raw'!O916,10))</f>
        <v>43867</v>
      </c>
      <c r="D927" s="23">
        <f>'3.3.raw'!I916</f>
        <v>15</v>
      </c>
      <c r="E927" s="23" t="str">
        <f>'3.3.raw'!J916</f>
        <v/>
      </c>
      <c r="F927" s="23">
        <f>'3.3.raw'!K916</f>
        <v>151</v>
      </c>
      <c r="G927" s="1">
        <v>3.3000000000001</v>
      </c>
      <c r="H927" s="23" t="b">
        <f>if(countif(Status!C:C,A927)=1,TRUE, FALSE)</f>
        <v>1</v>
      </c>
    </row>
    <row r="928">
      <c r="A928" s="23" t="str">
        <f t="shared" si="14"/>
        <v>COb2010</v>
      </c>
      <c r="B928" s="23" t="str">
        <f>'3.3.raw'!M917</f>
        <v>COb2010</v>
      </c>
      <c r="C928" s="24">
        <f>datevalue(left('3.3.raw'!O917,10))</f>
        <v>43867</v>
      </c>
      <c r="D928" s="23">
        <f>'3.3.raw'!I917</f>
        <v>15</v>
      </c>
      <c r="E928" s="23" t="str">
        <f>'3.3.raw'!J917</f>
        <v/>
      </c>
      <c r="F928" s="23">
        <f>'3.3.raw'!K917</f>
        <v>152</v>
      </c>
      <c r="G928" s="1">
        <v>3.3000000000001</v>
      </c>
      <c r="H928" s="23" t="b">
        <f>if(countif(Status!C:C,A928)=1,TRUE, FALSE)</f>
        <v>1</v>
      </c>
    </row>
    <row r="929">
      <c r="A929" s="23" t="str">
        <f t="shared" si="14"/>
        <v>Cob2011</v>
      </c>
      <c r="B929" s="23" t="str">
        <f>'3.3.raw'!M918</f>
        <v>Cob2011</v>
      </c>
      <c r="C929" s="24">
        <f>datevalue(left('3.3.raw'!O918,10))</f>
        <v>43867</v>
      </c>
      <c r="D929" s="23">
        <f>'3.3.raw'!I918</f>
        <v>15</v>
      </c>
      <c r="E929" s="23" t="str">
        <f>'3.3.raw'!J918</f>
        <v/>
      </c>
      <c r="F929" s="23">
        <f>'3.3.raw'!K918</f>
        <v>152</v>
      </c>
      <c r="G929" s="1">
        <v>3.3000000000001</v>
      </c>
      <c r="H929" s="23" t="b">
        <f>if(countif(Status!C:C,A929)=1,TRUE, FALSE)</f>
        <v>1</v>
      </c>
    </row>
    <row r="930">
      <c r="A930" s="23" t="str">
        <f t="shared" si="14"/>
        <v>COb2012</v>
      </c>
      <c r="B930" s="23" t="str">
        <f>'3.3.raw'!M919</f>
        <v>COb2012</v>
      </c>
      <c r="C930" s="24">
        <f>datevalue(left('3.3.raw'!O919,10))</f>
        <v>43867</v>
      </c>
      <c r="D930" s="23">
        <f>'3.3.raw'!I919</f>
        <v>15</v>
      </c>
      <c r="E930" s="23" t="str">
        <f>'3.3.raw'!J919</f>
        <v/>
      </c>
      <c r="F930" s="23">
        <f>'3.3.raw'!K919</f>
        <v>152</v>
      </c>
      <c r="G930" s="1">
        <v>3.3000000000001</v>
      </c>
      <c r="H930" s="23" t="b">
        <f>if(countif(Status!C:C,A930)=1,TRUE, FALSE)</f>
        <v>1</v>
      </c>
    </row>
    <row r="931">
      <c r="A931" s="23" t="str">
        <f t="shared" si="14"/>
        <v>EC47</v>
      </c>
      <c r="B931" s="23" t="str">
        <f>'3.3.raw'!M920</f>
        <v>EC47</v>
      </c>
      <c r="C931" s="24">
        <f>datevalue(left('3.3.raw'!O920,10))</f>
        <v>43867</v>
      </c>
      <c r="D931" s="23">
        <f>'3.3.raw'!I920</f>
        <v>98</v>
      </c>
      <c r="E931" s="23" t="str">
        <f>'3.3.raw'!J920</f>
        <v/>
      </c>
      <c r="F931" s="23" t="str">
        <f>'3.3.raw'!K920</f>
        <v/>
      </c>
      <c r="G931" s="1">
        <v>3.3000000000001</v>
      </c>
      <c r="H931" s="23" t="b">
        <f>if(countif(Status!C:C,A931)=1,TRUE, FALSE)</f>
        <v>1</v>
      </c>
    </row>
    <row r="932">
      <c r="A932" s="23" t="str">
        <f t="shared" si="14"/>
        <v>MO1169</v>
      </c>
      <c r="B932" s="23" t="str">
        <f>'3.3.raw'!M921</f>
        <v>MO1169</v>
      </c>
      <c r="C932" s="24">
        <f>datevalue(left('3.3.raw'!O921,10))</f>
        <v>43879</v>
      </c>
      <c r="D932" s="23">
        <f>'3.3.raw'!I921</f>
        <v>12</v>
      </c>
      <c r="E932" s="23" t="str">
        <f>'3.3.raw'!J921</f>
        <v/>
      </c>
      <c r="F932" s="23" t="str">
        <f>'3.3.raw'!K921</f>
        <v/>
      </c>
      <c r="G932" s="1">
        <v>3.3000000000001</v>
      </c>
      <c r="H932" s="23" t="b">
        <f>if(countif(Status!C:C,A932)=1,TRUE, FALSE)</f>
        <v>1</v>
      </c>
    </row>
    <row r="933">
      <c r="A933" s="23" t="str">
        <f t="shared" si="14"/>
        <v>MO1170</v>
      </c>
      <c r="B933" s="23" t="str">
        <f>'3.3.raw'!M922</f>
        <v>MO1170</v>
      </c>
      <c r="C933" s="24">
        <f>datevalue(left('3.3.raw'!O922,10))</f>
        <v>43879</v>
      </c>
      <c r="D933" s="23">
        <f>'3.3.raw'!I922</f>
        <v>12</v>
      </c>
      <c r="E933" s="23" t="str">
        <f>'3.3.raw'!J922</f>
        <v/>
      </c>
      <c r="F933" s="23" t="str">
        <f>'3.3.raw'!K922</f>
        <v/>
      </c>
      <c r="G933" s="1">
        <v>3.3000000000001</v>
      </c>
      <c r="H933" s="23" t="b">
        <f>if(countif(Status!C:C,A933)=1,TRUE, FALSE)</f>
        <v>1</v>
      </c>
    </row>
    <row r="934">
      <c r="A934" s="23" t="str">
        <f t="shared" si="14"/>
        <v>MO1171</v>
      </c>
      <c r="B934" s="23" t="str">
        <f>'3.3.raw'!M923</f>
        <v>MO1171</v>
      </c>
      <c r="C934" s="24">
        <f>datevalue(left('3.3.raw'!O923,10))</f>
        <v>43879</v>
      </c>
      <c r="D934" s="23">
        <f>'3.3.raw'!I923</f>
        <v>12</v>
      </c>
      <c r="E934" s="23" t="str">
        <f>'3.3.raw'!J923</f>
        <v/>
      </c>
      <c r="F934" s="23" t="str">
        <f>'3.3.raw'!K923</f>
        <v/>
      </c>
      <c r="G934" s="1">
        <v>3.3000000000001</v>
      </c>
      <c r="H934" s="23" t="b">
        <f>if(countif(Status!C:C,A934)=1,TRUE, FALSE)</f>
        <v>1</v>
      </c>
    </row>
    <row r="935">
      <c r="A935" s="23" t="str">
        <f t="shared" si="14"/>
        <v>FB1312</v>
      </c>
      <c r="B935" s="23" t="str">
        <f>'3.3.raw'!M924</f>
        <v>FB1312</v>
      </c>
      <c r="C935" s="24">
        <f>datevalue(left('3.3.raw'!O924,10))</f>
        <v>43879</v>
      </c>
      <c r="D935" s="23">
        <f>'3.3.raw'!I924</f>
        <v>99</v>
      </c>
      <c r="E935" s="23" t="str">
        <f>'3.3.raw'!J924</f>
        <v/>
      </c>
      <c r="F935" s="23" t="str">
        <f>'3.3.raw'!K924</f>
        <v/>
      </c>
      <c r="G935" s="1">
        <v>3.3000000000001</v>
      </c>
      <c r="H935" s="23" t="b">
        <f>if(countif(Status!C:C,A935)=1,TRUE, FALSE)</f>
        <v>1</v>
      </c>
    </row>
    <row r="936">
      <c r="A936" s="23" t="str">
        <f t="shared" si="14"/>
        <v>PLc1188</v>
      </c>
      <c r="B936" s="23" t="str">
        <f>'3.3.raw'!M925</f>
        <v>PLc1188</v>
      </c>
      <c r="C936" s="24">
        <f>datevalue(left('3.3.raw'!O925,10))</f>
        <v>43879</v>
      </c>
      <c r="D936" s="23">
        <f>'3.3.raw'!I925</f>
        <v>11</v>
      </c>
      <c r="E936" s="23" t="str">
        <f>'3.3.raw'!J925</f>
        <v/>
      </c>
      <c r="F936" s="23" t="str">
        <f>'3.3.raw'!K925</f>
        <v/>
      </c>
      <c r="G936" s="1">
        <v>3.3000000000001</v>
      </c>
      <c r="H936" s="23" t="b">
        <f>if(countif(Status!C:C,A936)=1,TRUE, FALSE)</f>
        <v>1</v>
      </c>
    </row>
    <row r="937">
      <c r="A937" s="23" t="str">
        <f t="shared" si="14"/>
        <v>COa2005</v>
      </c>
      <c r="B937" s="23" t="str">
        <f>'3.3.raw'!M926</f>
        <v>COa2005</v>
      </c>
      <c r="C937" s="24">
        <f>datevalue(left('3.3.raw'!O926,10))</f>
        <v>43878</v>
      </c>
      <c r="D937" s="23">
        <f>'3.3.raw'!I926</f>
        <v>15</v>
      </c>
      <c r="E937" s="23" t="str">
        <f>'3.3.raw'!J926</f>
        <v/>
      </c>
      <c r="F937" s="23">
        <f>'3.3.raw'!K926</f>
        <v>151</v>
      </c>
      <c r="G937" s="1">
        <v>3.3000000000001</v>
      </c>
      <c r="H937" s="23" t="b">
        <f>if(countif(Status!C:C,A937)=1,TRUE, FALSE)</f>
        <v>1</v>
      </c>
    </row>
    <row r="938">
      <c r="A938" s="23" t="str">
        <f t="shared" si="14"/>
        <v>COb2013</v>
      </c>
      <c r="B938" s="23" t="str">
        <f>'3.3.raw'!M927</f>
        <v>COb2013</v>
      </c>
      <c r="C938" s="24">
        <f>datevalue(left('3.3.raw'!O927,10))</f>
        <v>43878</v>
      </c>
      <c r="D938" s="23">
        <f>'3.3.raw'!I927</f>
        <v>15</v>
      </c>
      <c r="E938" s="23" t="str">
        <f>'3.3.raw'!J927</f>
        <v/>
      </c>
      <c r="F938" s="23">
        <f>'3.3.raw'!K927</f>
        <v>152</v>
      </c>
      <c r="G938" s="1">
        <v>3.3000000000001</v>
      </c>
      <c r="H938" s="23" t="b">
        <f>if(countif(Status!C:C,A938)=1,TRUE, FALSE)</f>
        <v>1</v>
      </c>
    </row>
    <row r="939">
      <c r="A939" s="23" t="str">
        <f t="shared" si="14"/>
        <v>COb2014</v>
      </c>
      <c r="B939" s="23" t="str">
        <f>'3.3.raw'!M928</f>
        <v>COb2014</v>
      </c>
      <c r="C939" s="24">
        <f>datevalue(left('3.3.raw'!O928,10))</f>
        <v>43878</v>
      </c>
      <c r="D939" s="23">
        <f>'3.3.raw'!I928</f>
        <v>15</v>
      </c>
      <c r="E939" s="23" t="str">
        <f>'3.3.raw'!J928</f>
        <v/>
      </c>
      <c r="F939" s="23">
        <f>'3.3.raw'!K928</f>
        <v>152</v>
      </c>
      <c r="G939" s="1">
        <v>3.3000000000001</v>
      </c>
      <c r="H939" s="23" t="b">
        <f>if(countif(Status!C:C,A939)=1,TRUE, FALSE)</f>
        <v>1</v>
      </c>
    </row>
    <row r="940">
      <c r="A940" s="23" t="str">
        <f t="shared" si="14"/>
        <v>COb2015</v>
      </c>
      <c r="B940" s="23" t="str">
        <f>'3.3.raw'!M929</f>
        <v>COb2015</v>
      </c>
      <c r="C940" s="24">
        <f>datevalue(left('3.3.raw'!O929,10))</f>
        <v>43878</v>
      </c>
      <c r="D940" s="23">
        <f>'3.3.raw'!I929</f>
        <v>15</v>
      </c>
      <c r="E940" s="23" t="str">
        <f>'3.3.raw'!J929</f>
        <v/>
      </c>
      <c r="F940" s="23">
        <f>'3.3.raw'!K929</f>
        <v>152</v>
      </c>
      <c r="G940" s="1">
        <v>3.3000000000001</v>
      </c>
      <c r="H940" s="23" t="b">
        <f>if(countif(Status!C:C,A940)=1,TRUE, FALSE)</f>
        <v>1</v>
      </c>
    </row>
    <row r="941">
      <c r="A941" s="23" t="str">
        <f t="shared" si="14"/>
        <v>COa2006</v>
      </c>
      <c r="B941" s="23" t="str">
        <f>'3.3.raw'!M930</f>
        <v>COa2006</v>
      </c>
      <c r="C941" s="24">
        <f>datevalue(left('3.3.raw'!O930,10))</f>
        <v>43878</v>
      </c>
      <c r="D941" s="23">
        <f>'3.3.raw'!I930</f>
        <v>15</v>
      </c>
      <c r="E941" s="23" t="str">
        <f>'3.3.raw'!J930</f>
        <v/>
      </c>
      <c r="F941" s="23">
        <f>'3.3.raw'!K930</f>
        <v>151</v>
      </c>
      <c r="G941" s="1">
        <v>3.3000000000001</v>
      </c>
      <c r="H941" s="23" t="b">
        <f>if(countif(Status!C:C,A941)=1,TRUE, FALSE)</f>
        <v>1</v>
      </c>
    </row>
    <row r="942">
      <c r="A942" s="23" t="str">
        <f t="shared" si="14"/>
        <v>COb2016</v>
      </c>
      <c r="B942" s="23" t="str">
        <f>'3.3.raw'!M931</f>
        <v>COb2016</v>
      </c>
      <c r="C942" s="24">
        <f>datevalue(left('3.3.raw'!O931,10))</f>
        <v>43878</v>
      </c>
      <c r="D942" s="23">
        <f>'3.3.raw'!I931</f>
        <v>15</v>
      </c>
      <c r="E942" s="23" t="str">
        <f>'3.3.raw'!J931</f>
        <v/>
      </c>
      <c r="F942" s="23">
        <f>'3.3.raw'!K931</f>
        <v>152</v>
      </c>
      <c r="G942" s="1">
        <v>3.3000000000001</v>
      </c>
      <c r="H942" s="23" t="b">
        <f>if(countif(Status!C:C,A942)=1,TRUE, FALSE)</f>
        <v>1</v>
      </c>
    </row>
    <row r="943">
      <c r="A943" s="23" t="str">
        <f t="shared" si="14"/>
        <v>COb2017</v>
      </c>
      <c r="B943" s="23" t="str">
        <f>'3.3.raw'!M932</f>
        <v>COb2017</v>
      </c>
      <c r="C943" s="24">
        <f>datevalue(left('3.3.raw'!O932,10))</f>
        <v>43878</v>
      </c>
      <c r="D943" s="23">
        <f>'3.3.raw'!I932</f>
        <v>15</v>
      </c>
      <c r="E943" s="23" t="str">
        <f>'3.3.raw'!J932</f>
        <v/>
      </c>
      <c r="F943" s="23">
        <f>'3.3.raw'!K932</f>
        <v>152</v>
      </c>
      <c r="G943" s="1">
        <v>3.3000000000001</v>
      </c>
      <c r="H943" s="23" t="b">
        <f>if(countif(Status!C:C,A943)=1,TRUE, FALSE)</f>
        <v>1</v>
      </c>
    </row>
    <row r="944">
      <c r="A944" s="23" t="str">
        <f t="shared" si="14"/>
        <v>COb2018</v>
      </c>
      <c r="B944" s="23" t="str">
        <f>'3.3.raw'!M933</f>
        <v>COb2018</v>
      </c>
      <c r="C944" s="24">
        <f>datevalue(left('3.3.raw'!O933,10))</f>
        <v>43878</v>
      </c>
      <c r="D944" s="23">
        <f>'3.3.raw'!I933</f>
        <v>15</v>
      </c>
      <c r="E944" s="23" t="str">
        <f>'3.3.raw'!J933</f>
        <v/>
      </c>
      <c r="F944" s="23">
        <f>'3.3.raw'!K933</f>
        <v>152</v>
      </c>
      <c r="G944" s="1">
        <v>3.3000000000001</v>
      </c>
      <c r="H944" s="23" t="b">
        <f>if(countif(Status!C:C,A944)=1,TRUE, FALSE)</f>
        <v>1</v>
      </c>
    </row>
    <row r="945">
      <c r="A945" s="23" t="str">
        <f t="shared" si="14"/>
        <v>PLc1189</v>
      </c>
      <c r="B945" s="23" t="str">
        <f>'3.3.raw'!M934</f>
        <v>PLc1189</v>
      </c>
      <c r="C945" s="24">
        <f>datevalue(left('3.3.raw'!O934,10))</f>
        <v>43878</v>
      </c>
      <c r="D945" s="23">
        <f>'3.3.raw'!I934</f>
        <v>11</v>
      </c>
      <c r="E945" s="23" t="str">
        <f>'3.3.raw'!J934</f>
        <v/>
      </c>
      <c r="F945" s="23" t="str">
        <f>'3.3.raw'!K934</f>
        <v/>
      </c>
      <c r="G945" s="1">
        <v>3.3000000000001</v>
      </c>
      <c r="H945" s="23" t="b">
        <f>if(countif(Status!C:C,A945)=1,TRUE, FALSE)</f>
        <v>1</v>
      </c>
    </row>
    <row r="946">
      <c r="A946" s="23" t="str">
        <f t="shared" si="14"/>
        <v>FB1318</v>
      </c>
      <c r="B946" s="23" t="str">
        <f>'3.3.raw'!M935</f>
        <v>FB1318</v>
      </c>
      <c r="C946" s="24">
        <f>datevalue(left('3.3.raw'!O935,10))</f>
        <v>43878</v>
      </c>
      <c r="D946" s="23">
        <f>'3.3.raw'!I935</f>
        <v>99</v>
      </c>
      <c r="E946" s="23" t="str">
        <f>'3.3.raw'!J935</f>
        <v/>
      </c>
      <c r="F946" s="23" t="str">
        <f>'3.3.raw'!K935</f>
        <v/>
      </c>
      <c r="G946" s="1">
        <v>3.3000000000001</v>
      </c>
      <c r="H946" s="23" t="b">
        <f>if(countif(Status!C:C,A946)=1,TRUE, FALSE)</f>
        <v>1</v>
      </c>
    </row>
    <row r="947">
      <c r="A947" s="23" t="str">
        <f t="shared" si="14"/>
        <v>PLc1190</v>
      </c>
      <c r="B947" s="23" t="str">
        <f>'3.3.raw'!M936</f>
        <v>PLc1190</v>
      </c>
      <c r="C947" s="24">
        <f>datevalue(left('3.3.raw'!O936,10))</f>
        <v>43878</v>
      </c>
      <c r="D947" s="23">
        <f>'3.3.raw'!I936</f>
        <v>11</v>
      </c>
      <c r="E947" s="23" t="str">
        <f>'3.3.raw'!J936</f>
        <v/>
      </c>
      <c r="F947" s="23" t="str">
        <f>'3.3.raw'!K936</f>
        <v/>
      </c>
      <c r="G947" s="1">
        <v>3.3000000000001</v>
      </c>
      <c r="H947" s="23" t="b">
        <f>if(countif(Status!C:C,A947)=1,TRUE, FALSE)</f>
        <v>1</v>
      </c>
    </row>
    <row r="948">
      <c r="A948" s="23" t="str">
        <f t="shared" si="14"/>
        <v>EC48</v>
      </c>
      <c r="B948" s="23" t="str">
        <f>'3.3.raw'!M937</f>
        <v>EC48</v>
      </c>
      <c r="C948" s="24">
        <f>datevalue(left('3.3.raw'!O937,10))</f>
        <v>43878</v>
      </c>
      <c r="D948" s="23">
        <f>'3.3.raw'!I937</f>
        <v>98</v>
      </c>
      <c r="E948" s="23" t="str">
        <f>'3.3.raw'!J937</f>
        <v/>
      </c>
      <c r="F948" s="23" t="str">
        <f>'3.3.raw'!K937</f>
        <v/>
      </c>
      <c r="G948" s="1">
        <v>3.3000000000001</v>
      </c>
      <c r="H948" s="23" t="b">
        <f>if(countif(Status!C:C,A948)=1,TRUE, FALSE)</f>
        <v>0</v>
      </c>
    </row>
    <row r="949">
      <c r="A949" s="23" t="str">
        <f t="shared" si="14"/>
        <v>PLc1191</v>
      </c>
      <c r="B949" s="23" t="str">
        <f>'3.3.raw'!M938</f>
        <v>PLc1191</v>
      </c>
      <c r="C949" s="24">
        <f>datevalue(left('3.3.raw'!O938,10))</f>
        <v>43878</v>
      </c>
      <c r="D949" s="23">
        <f>'3.3.raw'!I938</f>
        <v>11</v>
      </c>
      <c r="E949" s="23" t="str">
        <f>'3.3.raw'!J938</f>
        <v/>
      </c>
      <c r="F949" s="23" t="str">
        <f>'3.3.raw'!K938</f>
        <v/>
      </c>
      <c r="G949" s="1">
        <v>3.3000000000001</v>
      </c>
      <c r="H949" s="23" t="b">
        <f>if(countif(Status!C:C,A949)=1,TRUE, FALSE)</f>
        <v>1</v>
      </c>
    </row>
    <row r="950">
      <c r="A950" s="23" t="str">
        <f t="shared" si="14"/>
        <v>PLc1192</v>
      </c>
      <c r="B950" s="23" t="str">
        <f>'3.3.raw'!M939</f>
        <v>PLc1192</v>
      </c>
      <c r="C950" s="24">
        <f>datevalue(left('3.3.raw'!O939,10))</f>
        <v>43878</v>
      </c>
      <c r="D950" s="23">
        <f>'3.3.raw'!I939</f>
        <v>11</v>
      </c>
      <c r="E950" s="23" t="str">
        <f>'3.3.raw'!J939</f>
        <v/>
      </c>
      <c r="F950" s="23" t="str">
        <f>'3.3.raw'!K939</f>
        <v/>
      </c>
      <c r="G950" s="1">
        <v>3.3000000000001</v>
      </c>
      <c r="H950" s="23" t="b">
        <f>if(countif(Status!C:C,A950)=1,TRUE, FALSE)</f>
        <v>1</v>
      </c>
    </row>
    <row r="951">
      <c r="A951" s="23" t="str">
        <f t="shared" si="14"/>
        <v>PLc1193</v>
      </c>
      <c r="B951" s="23" t="str">
        <f>'3.3.raw'!M940</f>
        <v>PLc1193</v>
      </c>
      <c r="C951" s="24">
        <f>datevalue(left('3.3.raw'!O940,10))</f>
        <v>43878</v>
      </c>
      <c r="D951" s="23">
        <f>'3.3.raw'!I940</f>
        <v>11</v>
      </c>
      <c r="E951" s="23" t="str">
        <f>'3.3.raw'!J940</f>
        <v/>
      </c>
      <c r="F951" s="23" t="str">
        <f>'3.3.raw'!K940</f>
        <v/>
      </c>
      <c r="G951" s="1">
        <v>3.3000000000001</v>
      </c>
      <c r="H951" s="23" t="b">
        <f>if(countif(Status!C:C,A951)=1,TRUE, FALSE)</f>
        <v>1</v>
      </c>
    </row>
    <row r="952">
      <c r="A952" s="23" t="str">
        <f t="shared" si="14"/>
        <v>FB1322</v>
      </c>
      <c r="B952" s="23" t="str">
        <f>'3.3.raw'!M941</f>
        <v>FB1322</v>
      </c>
      <c r="C952" s="24">
        <f>datevalue(left('3.3.raw'!O941,10))</f>
        <v>43878</v>
      </c>
      <c r="D952" s="23">
        <f>'3.3.raw'!I941</f>
        <v>99</v>
      </c>
      <c r="E952" s="23" t="str">
        <f>'3.3.raw'!J941</f>
        <v/>
      </c>
      <c r="F952" s="23" t="str">
        <f>'3.3.raw'!K941</f>
        <v/>
      </c>
      <c r="G952" s="1">
        <v>3.3000000000001</v>
      </c>
      <c r="H952" s="23" t="b">
        <f>if(countif(Status!C:C,A952)=1,TRUE, FALSE)</f>
        <v>1</v>
      </c>
    </row>
    <row r="953">
      <c r="A953" s="23" t="str">
        <f t="shared" si="14"/>
        <v>PLc1194</v>
      </c>
      <c r="B953" s="23" t="str">
        <f>'3.3.raw'!M942</f>
        <v>PLc1194</v>
      </c>
      <c r="C953" s="24">
        <f>datevalue(left('3.3.raw'!O942,10))</f>
        <v>43878</v>
      </c>
      <c r="D953" s="23">
        <f>'3.3.raw'!I942</f>
        <v>11</v>
      </c>
      <c r="E953" s="23" t="str">
        <f>'3.3.raw'!J942</f>
        <v/>
      </c>
      <c r="F953" s="23" t="str">
        <f>'3.3.raw'!K942</f>
        <v/>
      </c>
      <c r="G953" s="1">
        <v>3.3000000000001</v>
      </c>
      <c r="H953" s="23" t="b">
        <f>if(countif(Status!C:C,A953)=1,TRUE, FALSE)</f>
        <v>1</v>
      </c>
    </row>
    <row r="954">
      <c r="A954" s="23" t="str">
        <f t="shared" si="14"/>
        <v>PLc1195</v>
      </c>
      <c r="B954" s="23" t="str">
        <f>'3.3.raw'!M943</f>
        <v>PLc1195</v>
      </c>
      <c r="C954" s="24">
        <f>datevalue(left('3.3.raw'!O943,10))</f>
        <v>43878</v>
      </c>
      <c r="D954" s="23">
        <f>'3.3.raw'!I943</f>
        <v>11</v>
      </c>
      <c r="E954" s="23" t="str">
        <f>'3.3.raw'!J943</f>
        <v/>
      </c>
      <c r="F954" s="23" t="str">
        <f>'3.3.raw'!K943</f>
        <v/>
      </c>
      <c r="G954" s="1">
        <v>3.3000000000001</v>
      </c>
      <c r="H954" s="23" t="b">
        <f>if(countif(Status!C:C,A954)=1,TRUE, FALSE)</f>
        <v>1</v>
      </c>
    </row>
    <row r="955">
      <c r="A955" s="23" t="str">
        <f t="shared" si="14"/>
        <v>MO1172</v>
      </c>
      <c r="B955" s="23" t="str">
        <f>'3.3.raw'!M944</f>
        <v>MO1172</v>
      </c>
      <c r="C955" s="24">
        <f>datevalue(left('3.3.raw'!O944,10))</f>
        <v>43879</v>
      </c>
      <c r="D955" s="23">
        <f>'3.3.raw'!I944</f>
        <v>12</v>
      </c>
      <c r="E955" s="23" t="str">
        <f>'3.3.raw'!J944</f>
        <v/>
      </c>
      <c r="F955" s="23" t="str">
        <f>'3.3.raw'!K944</f>
        <v/>
      </c>
      <c r="G955" s="1">
        <v>3.3000000000001</v>
      </c>
      <c r="H955" s="23" t="b">
        <f>if(countif(Status!C:C,A955)=1,TRUE, FALSE)</f>
        <v>1</v>
      </c>
    </row>
    <row r="956">
      <c r="A956" s="23" t="str">
        <f t="shared" si="14"/>
        <v>MO1173</v>
      </c>
      <c r="B956" s="23" t="str">
        <f>'3.3.raw'!M945</f>
        <v>MO1173</v>
      </c>
      <c r="C956" s="24">
        <f>datevalue(left('3.3.raw'!O945,10))</f>
        <v>43879</v>
      </c>
      <c r="D956" s="23">
        <f>'3.3.raw'!I945</f>
        <v>12</v>
      </c>
      <c r="E956" s="23" t="str">
        <f>'3.3.raw'!J945</f>
        <v/>
      </c>
      <c r="F956" s="23" t="str">
        <f>'3.3.raw'!K945</f>
        <v/>
      </c>
      <c r="G956" s="1">
        <v>3.3000000000001</v>
      </c>
      <c r="H956" s="23" t="b">
        <f>if(countif(Status!C:C,A956)=1,TRUE, FALSE)</f>
        <v>1</v>
      </c>
    </row>
    <row r="957">
      <c r="A957" s="23" t="str">
        <f t="shared" si="14"/>
        <v>MO1174</v>
      </c>
      <c r="B957" s="23" t="str">
        <f>'3.3.raw'!M946</f>
        <v>MO1174</v>
      </c>
      <c r="C957" s="24">
        <f>datevalue(left('3.3.raw'!O946,10))</f>
        <v>43879</v>
      </c>
      <c r="D957" s="23">
        <f>'3.3.raw'!I946</f>
        <v>12</v>
      </c>
      <c r="E957" s="23" t="str">
        <f>'3.3.raw'!J946</f>
        <v/>
      </c>
      <c r="F957" s="23" t="str">
        <f>'3.3.raw'!K946</f>
        <v/>
      </c>
      <c r="G957" s="1">
        <v>3.3000000000001</v>
      </c>
      <c r="H957" s="23" t="b">
        <f>if(countif(Status!C:C,A957)=1,TRUE, FALSE)</f>
        <v>1</v>
      </c>
    </row>
    <row r="958">
      <c r="A958" s="23" t="str">
        <f t="shared" si="14"/>
        <v>FB1326</v>
      </c>
      <c r="B958" s="23" t="str">
        <f>'3.3.raw'!M947</f>
        <v>FB1326</v>
      </c>
      <c r="C958" s="24">
        <f>datevalue(left('3.3.raw'!O947,10))</f>
        <v>43879</v>
      </c>
      <c r="D958" s="23">
        <f>'3.3.raw'!I947</f>
        <v>99</v>
      </c>
      <c r="E958" s="23" t="str">
        <f>'3.3.raw'!J947</f>
        <v/>
      </c>
      <c r="F958" s="23" t="str">
        <f>'3.3.raw'!K947</f>
        <v/>
      </c>
      <c r="G958" s="1">
        <v>3.3000000000001</v>
      </c>
      <c r="H958" s="23" t="b">
        <f>if(countif(Status!C:C,A958)=1,TRUE, FALSE)</f>
        <v>1</v>
      </c>
    </row>
    <row r="959">
      <c r="A959" s="23" t="str">
        <f t="shared" si="14"/>
        <v>MO1175</v>
      </c>
      <c r="B959" s="23" t="str">
        <f>'3.3.raw'!M948</f>
        <v>MO1175</v>
      </c>
      <c r="C959" s="24">
        <f>datevalue(left('3.3.raw'!O948,10))</f>
        <v>43879</v>
      </c>
      <c r="D959" s="23">
        <f>'3.3.raw'!I948</f>
        <v>12</v>
      </c>
      <c r="E959" s="23" t="str">
        <f>'3.3.raw'!J948</f>
        <v/>
      </c>
      <c r="F959" s="23" t="str">
        <f>'3.3.raw'!K948</f>
        <v/>
      </c>
      <c r="G959" s="1">
        <v>3.3000000000001</v>
      </c>
      <c r="H959" s="23" t="b">
        <f>if(countif(Status!C:C,A959)=1,TRUE, FALSE)</f>
        <v>1</v>
      </c>
    </row>
    <row r="960">
      <c r="A960" s="23" t="str">
        <f t="shared" si="14"/>
        <v>UF1021</v>
      </c>
      <c r="B960" s="23" t="str">
        <f>'3.3.raw'!M949</f>
        <v>UF1021</v>
      </c>
      <c r="C960" s="24">
        <f>datevalue(left('3.3.raw'!O949,10))</f>
        <v>43879</v>
      </c>
      <c r="D960" s="23">
        <f>'3.3.raw'!I949</f>
        <v>16</v>
      </c>
      <c r="E960" s="23" t="str">
        <f>'3.3.raw'!J949</f>
        <v/>
      </c>
      <c r="F960" s="23" t="str">
        <f>'3.3.raw'!K949</f>
        <v/>
      </c>
      <c r="G960" s="1">
        <v>3.3000000000001</v>
      </c>
      <c r="H960" s="23" t="b">
        <f>if(countif(Status!C:C,A960)=1,TRUE, FALSE)</f>
        <v>1</v>
      </c>
    </row>
    <row r="961">
      <c r="A961" s="49" t="s">
        <v>349</v>
      </c>
      <c r="B961" s="23" t="str">
        <f>'3.3.raw'!M950</f>
        <v>RP2002A</v>
      </c>
      <c r="C961" s="24">
        <f>datevalue(left('3.3.raw'!O950,10))</f>
        <v>43879</v>
      </c>
      <c r="D961" s="23">
        <f>'3.3.raw'!I950</f>
        <v>2</v>
      </c>
      <c r="E961" s="23" t="str">
        <f>'3.3.raw'!J950</f>
        <v/>
      </c>
      <c r="F961" s="23" t="str">
        <f>'3.3.raw'!K950</f>
        <v/>
      </c>
      <c r="G961" s="1">
        <v>3.3000000000001</v>
      </c>
      <c r="H961" s="23" t="b">
        <f>if(countif(Status!C:C,A961)=1,TRUE, FALSE)</f>
        <v>1</v>
      </c>
    </row>
    <row r="962">
      <c r="A962" s="23" t="str">
        <f t="shared" ref="A962:A1043" si="15">B962</f>
        <v>RP2002B</v>
      </c>
      <c r="B962" s="23" t="str">
        <f>'3.3.raw'!M951</f>
        <v>RP2002B</v>
      </c>
      <c r="C962" s="24">
        <f>datevalue(left('3.3.raw'!O951,10))</f>
        <v>43879</v>
      </c>
      <c r="D962" s="23">
        <f>'3.3.raw'!I951</f>
        <v>2</v>
      </c>
      <c r="E962" s="23" t="str">
        <f>'3.3.raw'!J951</f>
        <v/>
      </c>
      <c r="F962" s="23" t="str">
        <f>'3.3.raw'!K951</f>
        <v/>
      </c>
      <c r="G962" s="1">
        <v>3.3000000000001</v>
      </c>
      <c r="H962" s="23" t="b">
        <f>if(countif(Status!C:C,A962)=1,TRUE, FALSE)</f>
        <v>0</v>
      </c>
    </row>
    <row r="963">
      <c r="A963" s="23" t="str">
        <f t="shared" si="15"/>
        <v>SF2002</v>
      </c>
      <c r="B963" s="23" t="str">
        <f>'3.3.raw'!M952</f>
        <v>SF2002</v>
      </c>
      <c r="C963" s="24">
        <f>datevalue(left('3.3.raw'!O952,10))</f>
        <v>43879</v>
      </c>
      <c r="D963" s="23">
        <f>'3.3.raw'!I952</f>
        <v>10</v>
      </c>
      <c r="E963" s="23" t="str">
        <f>'3.3.raw'!J952</f>
        <v/>
      </c>
      <c r="F963" s="23" t="str">
        <f>'3.3.raw'!K952</f>
        <v/>
      </c>
      <c r="G963" s="1">
        <v>3.3000000000001</v>
      </c>
      <c r="H963" s="23" t="b">
        <f>if(countif(Status!C:C,A963)=1,TRUE, FALSE)</f>
        <v>1</v>
      </c>
    </row>
    <row r="964">
      <c r="A964" s="23" t="str">
        <f t="shared" si="15"/>
        <v>EC49</v>
      </c>
      <c r="B964" s="23" t="str">
        <f>'3.3.raw'!M953</f>
        <v>EC49</v>
      </c>
      <c r="C964" s="24">
        <f>datevalue(left('3.3.raw'!O953,10))</f>
        <v>43879</v>
      </c>
      <c r="D964" s="23">
        <f>'3.3.raw'!I953</f>
        <v>98</v>
      </c>
      <c r="E964" s="23" t="str">
        <f>'3.3.raw'!J953</f>
        <v/>
      </c>
      <c r="F964" s="23" t="str">
        <f>'3.3.raw'!K953</f>
        <v/>
      </c>
      <c r="G964" s="1">
        <v>3.3000000000001</v>
      </c>
      <c r="H964" s="23" t="b">
        <f>if(countif(Status!C:C,A964)=1,TRUE, FALSE)</f>
        <v>1</v>
      </c>
    </row>
    <row r="965">
      <c r="A965" s="23" t="str">
        <f t="shared" si="15"/>
        <v>MO1176</v>
      </c>
      <c r="B965" s="23" t="str">
        <f>'3.3.raw'!M954</f>
        <v>MO1176</v>
      </c>
      <c r="C965" s="24">
        <f>datevalue(left('3.3.raw'!O954,10))</f>
        <v>43875</v>
      </c>
      <c r="D965" s="23">
        <f>'3.3.raw'!I954</f>
        <v>12</v>
      </c>
      <c r="E965" s="23" t="str">
        <f>'3.3.raw'!J954</f>
        <v/>
      </c>
      <c r="F965" s="23" t="str">
        <f>'3.3.raw'!K954</f>
        <v/>
      </c>
      <c r="G965" s="1">
        <v>3.3000000000001</v>
      </c>
      <c r="H965" s="23" t="b">
        <f>if(countif(Status!C:C,A965)=1,TRUE, FALSE)</f>
        <v>1</v>
      </c>
    </row>
    <row r="966">
      <c r="A966" s="23" t="str">
        <f t="shared" si="15"/>
        <v>MO1177</v>
      </c>
      <c r="B966" s="23" t="str">
        <f>'3.3.raw'!M955</f>
        <v>MO1177</v>
      </c>
      <c r="C966" s="24">
        <f>datevalue(left('3.3.raw'!O955,10))</f>
        <v>43875</v>
      </c>
      <c r="D966" s="23">
        <f>'3.3.raw'!I955</f>
        <v>12</v>
      </c>
      <c r="E966" s="23" t="str">
        <f>'3.3.raw'!J955</f>
        <v/>
      </c>
      <c r="F966" s="23" t="str">
        <f>'3.3.raw'!K955</f>
        <v/>
      </c>
      <c r="G966" s="1">
        <v>3.3000000000001</v>
      </c>
      <c r="H966" s="23" t="b">
        <f>if(countif(Status!C:C,A966)=1,TRUE, FALSE)</f>
        <v>1</v>
      </c>
    </row>
    <row r="967">
      <c r="A967" s="23" t="str">
        <f t="shared" si="15"/>
        <v>FB1332</v>
      </c>
      <c r="B967" s="23" t="str">
        <f>'3.3.raw'!M956</f>
        <v>FB1332</v>
      </c>
      <c r="C967" s="24">
        <f>datevalue(left('3.3.raw'!O956,10))</f>
        <v>43875</v>
      </c>
      <c r="D967" s="23">
        <f>'3.3.raw'!I956</f>
        <v>99</v>
      </c>
      <c r="E967" s="23" t="str">
        <f>'3.3.raw'!J956</f>
        <v/>
      </c>
      <c r="F967" s="23" t="str">
        <f>'3.3.raw'!K956</f>
        <v/>
      </c>
      <c r="G967" s="1">
        <v>3.3000000000001</v>
      </c>
      <c r="H967" s="23" t="b">
        <f>if(countif(Status!C:C,A967)=1,TRUE, FALSE)</f>
        <v>1</v>
      </c>
    </row>
    <row r="968">
      <c r="A968" s="23" t="str">
        <f t="shared" si="15"/>
        <v>UF1022</v>
      </c>
      <c r="B968" s="23" t="str">
        <f>'3.3.raw'!M957</f>
        <v>UF1022</v>
      </c>
      <c r="C968" s="24">
        <f>datevalue(left('3.3.raw'!O957,10))</f>
        <v>43875</v>
      </c>
      <c r="D968" s="23">
        <f>'3.3.raw'!I957</f>
        <v>16</v>
      </c>
      <c r="E968" s="23" t="str">
        <f>'3.3.raw'!J957</f>
        <v/>
      </c>
      <c r="F968" s="23" t="str">
        <f>'3.3.raw'!K957</f>
        <v/>
      </c>
      <c r="G968" s="1">
        <v>3.3000000000001</v>
      </c>
      <c r="H968" s="23" t="b">
        <f>if(countif(Status!C:C,A968)=1,TRUE, FALSE)</f>
        <v>1</v>
      </c>
    </row>
    <row r="969">
      <c r="A969" s="23" t="str">
        <f t="shared" si="15"/>
        <v>PL1024</v>
      </c>
      <c r="B969" s="23" t="str">
        <f>'3.3.raw'!M958</f>
        <v>PL1024</v>
      </c>
      <c r="C969" s="24">
        <f>datevalue(left('3.3.raw'!O958,10))</f>
        <v>43875</v>
      </c>
      <c r="D969" s="23">
        <f>'3.3.raw'!I958</f>
        <v>7</v>
      </c>
      <c r="E969" s="23" t="str">
        <f>'3.3.raw'!J958</f>
        <v/>
      </c>
      <c r="F969" s="23" t="str">
        <f>'3.3.raw'!K958</f>
        <v/>
      </c>
      <c r="G969" s="1">
        <v>3.3000000000001</v>
      </c>
      <c r="H969" s="23" t="b">
        <f>if(countif(Status!C:C,A969)=1,TRUE, FALSE)</f>
        <v>1</v>
      </c>
    </row>
    <row r="970">
      <c r="A970" s="23" t="str">
        <f t="shared" si="15"/>
        <v>PL1025</v>
      </c>
      <c r="B970" s="23" t="str">
        <f>'3.3.raw'!M959</f>
        <v>PL1025</v>
      </c>
      <c r="C970" s="24">
        <f>datevalue(left('3.3.raw'!O959,10))</f>
        <v>43875</v>
      </c>
      <c r="D970" s="23">
        <f>'3.3.raw'!I959</f>
        <v>7</v>
      </c>
      <c r="E970" s="23" t="str">
        <f>'3.3.raw'!J959</f>
        <v/>
      </c>
      <c r="F970" s="23" t="str">
        <f>'3.3.raw'!K959</f>
        <v/>
      </c>
      <c r="G970" s="1">
        <v>3.3000000000001</v>
      </c>
      <c r="H970" s="23" t="b">
        <f>if(countif(Status!C:C,A970)=1,TRUE, FALSE)</f>
        <v>1</v>
      </c>
    </row>
    <row r="971">
      <c r="A971" s="23" t="str">
        <f t="shared" si="15"/>
        <v>PLc1196</v>
      </c>
      <c r="B971" s="23" t="str">
        <f>'3.3.raw'!M960</f>
        <v>PLc1196</v>
      </c>
      <c r="C971" s="24">
        <f>datevalue(left('3.3.raw'!O960,10))</f>
        <v>43875</v>
      </c>
      <c r="D971" s="23">
        <f>'3.3.raw'!I960</f>
        <v>11</v>
      </c>
      <c r="E971" s="23" t="str">
        <f>'3.3.raw'!J960</f>
        <v/>
      </c>
      <c r="F971" s="23" t="str">
        <f>'3.3.raw'!K960</f>
        <v/>
      </c>
      <c r="G971" s="1">
        <v>3.3000000000001</v>
      </c>
      <c r="H971" s="23" t="b">
        <f>if(countif(Status!C:C,A971)=1,TRUE, FALSE)</f>
        <v>1</v>
      </c>
    </row>
    <row r="972">
      <c r="A972" s="23" t="str">
        <f t="shared" si="15"/>
        <v>PLc1197</v>
      </c>
      <c r="B972" s="23" t="str">
        <f>'3.3.raw'!M961</f>
        <v>PLc1197</v>
      </c>
      <c r="C972" s="24">
        <f>datevalue(left('3.3.raw'!O961,10))</f>
        <v>43875</v>
      </c>
      <c r="D972" s="23">
        <f>'3.3.raw'!I961</f>
        <v>11</v>
      </c>
      <c r="E972" s="23" t="str">
        <f>'3.3.raw'!J961</f>
        <v/>
      </c>
      <c r="F972" s="23" t="str">
        <f>'3.3.raw'!K961</f>
        <v/>
      </c>
      <c r="G972" s="1">
        <v>3.3000000000001</v>
      </c>
      <c r="H972" s="23" t="b">
        <f>if(countif(Status!C:C,A972)=1,TRUE, FALSE)</f>
        <v>1</v>
      </c>
    </row>
    <row r="973">
      <c r="A973" s="23" t="str">
        <f t="shared" si="15"/>
        <v>PLc1198</v>
      </c>
      <c r="B973" s="23" t="str">
        <f>'3.3.raw'!M962</f>
        <v>PLc1198</v>
      </c>
      <c r="C973" s="24">
        <f>datevalue(left('3.3.raw'!O962,10))</f>
        <v>43875</v>
      </c>
      <c r="D973" s="23">
        <f>'3.3.raw'!I962</f>
        <v>11</v>
      </c>
      <c r="E973" s="23" t="str">
        <f>'3.3.raw'!J962</f>
        <v/>
      </c>
      <c r="F973" s="23" t="str">
        <f>'3.3.raw'!K962</f>
        <v/>
      </c>
      <c r="G973" s="1">
        <v>3.3000000000001</v>
      </c>
      <c r="H973" s="23" t="b">
        <f>if(countif(Status!C:C,A973)=1,TRUE, FALSE)</f>
        <v>1</v>
      </c>
    </row>
    <row r="974">
      <c r="A974" s="23" t="str">
        <f t="shared" si="15"/>
        <v>MO1178</v>
      </c>
      <c r="B974" s="23" t="str">
        <f>'3.3.raw'!M963</f>
        <v>MO1178</v>
      </c>
      <c r="C974" s="24">
        <f>datevalue(left('3.3.raw'!O963,10))</f>
        <v>43875</v>
      </c>
      <c r="D974" s="23">
        <f>'3.3.raw'!I963</f>
        <v>12</v>
      </c>
      <c r="E974" s="23" t="str">
        <f>'3.3.raw'!J963</f>
        <v/>
      </c>
      <c r="F974" s="23" t="str">
        <f>'3.3.raw'!K963</f>
        <v/>
      </c>
      <c r="G974" s="1">
        <v>3.3000000000001</v>
      </c>
      <c r="H974" s="23" t="b">
        <f>if(countif(Status!C:C,A974)=1,TRUE, FALSE)</f>
        <v>1</v>
      </c>
    </row>
    <row r="975">
      <c r="A975" s="23" t="str">
        <f t="shared" si="15"/>
        <v>MO1179</v>
      </c>
      <c r="B975" s="23" t="str">
        <f>'3.3.raw'!M964</f>
        <v>MO1179</v>
      </c>
      <c r="C975" s="24">
        <f>datevalue(left('3.3.raw'!O964,10))</f>
        <v>43875</v>
      </c>
      <c r="D975" s="23">
        <f>'3.3.raw'!I964</f>
        <v>12</v>
      </c>
      <c r="E975" s="23" t="str">
        <f>'3.3.raw'!J964</f>
        <v/>
      </c>
      <c r="F975" s="23" t="str">
        <f>'3.3.raw'!K964</f>
        <v/>
      </c>
      <c r="G975" s="1">
        <v>3.3000000000001</v>
      </c>
      <c r="H975" s="23" t="b">
        <f>if(countif(Status!C:C,A975)=1,TRUE, FALSE)</f>
        <v>1</v>
      </c>
    </row>
    <row r="976">
      <c r="A976" s="23" t="str">
        <f t="shared" si="15"/>
        <v>MO1180</v>
      </c>
      <c r="B976" s="23" t="str">
        <f>'3.3.raw'!M965</f>
        <v>MO1180</v>
      </c>
      <c r="C976" s="24">
        <f>datevalue(left('3.3.raw'!O965,10))</f>
        <v>43875</v>
      </c>
      <c r="D976" s="23">
        <f>'3.3.raw'!I965</f>
        <v>12</v>
      </c>
      <c r="E976" s="23" t="str">
        <f>'3.3.raw'!J965</f>
        <v/>
      </c>
      <c r="F976" s="23" t="str">
        <f>'3.3.raw'!K965</f>
        <v/>
      </c>
      <c r="G976" s="1">
        <v>3.3000000000001</v>
      </c>
      <c r="H976" s="23" t="b">
        <f>if(countif(Status!C:C,A976)=1,TRUE, FALSE)</f>
        <v>1</v>
      </c>
    </row>
    <row r="977">
      <c r="A977" s="23" t="str">
        <f t="shared" si="15"/>
        <v>FB1340</v>
      </c>
      <c r="B977" s="23" t="str">
        <f>'3.3.raw'!M966</f>
        <v>FB1340</v>
      </c>
      <c r="C977" s="24">
        <f>datevalue(left('3.3.raw'!O966,10))</f>
        <v>43875</v>
      </c>
      <c r="D977" s="23">
        <f>'3.3.raw'!I966</f>
        <v>99</v>
      </c>
      <c r="E977" s="23" t="str">
        <f>'3.3.raw'!J966</f>
        <v/>
      </c>
      <c r="F977" s="23" t="str">
        <f>'3.3.raw'!K966</f>
        <v/>
      </c>
      <c r="G977" s="1">
        <v>3.3000000000001</v>
      </c>
      <c r="H977" s="23" t="b">
        <f>if(countif(Status!C:C,A977)=1,TRUE, FALSE)</f>
        <v>1</v>
      </c>
    </row>
    <row r="978">
      <c r="A978" s="23" t="str">
        <f t="shared" si="15"/>
        <v>FPd2002</v>
      </c>
      <c r="B978" s="23" t="str">
        <f>'3.3.raw'!M967</f>
        <v>FPd2002</v>
      </c>
      <c r="C978" s="24">
        <f>datevalue(left('3.3.raw'!O967,10))</f>
        <v>43875</v>
      </c>
      <c r="D978" s="23">
        <f>'3.3.raw'!I967</f>
        <v>14</v>
      </c>
      <c r="E978" s="23">
        <f>'3.3.raw'!J967</f>
        <v>144</v>
      </c>
      <c r="F978" s="23" t="str">
        <f>'3.3.raw'!K967</f>
        <v/>
      </c>
      <c r="G978" s="1">
        <v>3.3000000000001</v>
      </c>
      <c r="H978" s="23" t="b">
        <f>if(countif(Status!C:C,A978)=1,TRUE, FALSE)</f>
        <v>1</v>
      </c>
    </row>
    <row r="979">
      <c r="A979" s="23" t="str">
        <f t="shared" si="15"/>
        <v>FPb2002</v>
      </c>
      <c r="B979" s="23" t="str">
        <f>'3.3.raw'!M968</f>
        <v>FPb2002</v>
      </c>
      <c r="C979" s="24">
        <f>datevalue(left('3.3.raw'!O968,10))</f>
        <v>43875</v>
      </c>
      <c r="D979" s="23">
        <f>'3.3.raw'!I968</f>
        <v>14</v>
      </c>
      <c r="E979" s="23">
        <f>'3.3.raw'!J968</f>
        <v>142</v>
      </c>
      <c r="F979" s="23" t="str">
        <f>'3.3.raw'!K968</f>
        <v/>
      </c>
      <c r="G979" s="1">
        <v>3.3000000000001</v>
      </c>
      <c r="H979" s="23" t="b">
        <f>if(countif(Status!C:C,A979)=1,TRUE, FALSE)</f>
        <v>1</v>
      </c>
    </row>
    <row r="980">
      <c r="A980" s="23" t="str">
        <f t="shared" si="15"/>
        <v>FPe2002</v>
      </c>
      <c r="B980" s="23" t="str">
        <f>'3.3.raw'!M969</f>
        <v>FPe2002</v>
      </c>
      <c r="C980" s="24">
        <f>datevalue(left('3.3.raw'!O969,10))</f>
        <v>43875</v>
      </c>
      <c r="D980" s="23">
        <f>'3.3.raw'!I969</f>
        <v>14</v>
      </c>
      <c r="E980" s="23">
        <f>'3.3.raw'!J969</f>
        <v>145</v>
      </c>
      <c r="F980" s="23" t="str">
        <f>'3.3.raw'!K969</f>
        <v/>
      </c>
      <c r="G980" s="1">
        <v>3.3000000000001</v>
      </c>
      <c r="H980" s="23" t="b">
        <f>if(countif(Status!C:C,A980)=1,TRUE, FALSE)</f>
        <v>1</v>
      </c>
    </row>
    <row r="981">
      <c r="A981" s="23" t="str">
        <f t="shared" si="15"/>
        <v>FPa2002</v>
      </c>
      <c r="B981" s="23" t="str">
        <f>'3.3.raw'!M970</f>
        <v>FPa2002</v>
      </c>
      <c r="C981" s="24">
        <f>datevalue(left('3.3.raw'!O970,10))</f>
        <v>43875</v>
      </c>
      <c r="D981" s="23">
        <f>'3.3.raw'!I970</f>
        <v>14</v>
      </c>
      <c r="E981" s="23">
        <f>'3.3.raw'!J970</f>
        <v>141</v>
      </c>
      <c r="F981" s="23" t="str">
        <f>'3.3.raw'!K970</f>
        <v/>
      </c>
      <c r="G981" s="1">
        <v>3.3000000000001</v>
      </c>
      <c r="H981" s="23" t="b">
        <f>if(countif(Status!C:C,A981)=1,TRUE, FALSE)</f>
        <v>1</v>
      </c>
    </row>
    <row r="982">
      <c r="A982" s="23" t="str">
        <f t="shared" si="15"/>
        <v>FPc2002</v>
      </c>
      <c r="B982" s="23" t="str">
        <f>'3.3.raw'!M971</f>
        <v>FPc2002</v>
      </c>
      <c r="C982" s="24">
        <f>datevalue(left('3.3.raw'!O971,10))</f>
        <v>43875</v>
      </c>
      <c r="D982" s="23">
        <f>'3.3.raw'!I971</f>
        <v>14</v>
      </c>
      <c r="E982" s="23">
        <f>'3.3.raw'!J971</f>
        <v>143</v>
      </c>
      <c r="F982" s="23" t="str">
        <f>'3.3.raw'!K971</f>
        <v/>
      </c>
      <c r="G982" s="1">
        <v>3.3000000000001</v>
      </c>
      <c r="H982" s="23" t="b">
        <f>if(countif(Status!C:C,A982)=1,TRUE, FALSE)</f>
        <v>1</v>
      </c>
    </row>
    <row r="983">
      <c r="A983" s="23" t="str">
        <f t="shared" si="15"/>
        <v>FPd2003</v>
      </c>
      <c r="B983" s="23" t="str">
        <f>'3.3.raw'!M972</f>
        <v>FPd2003</v>
      </c>
      <c r="C983" s="24">
        <f>datevalue(left('3.3.raw'!O972,10))</f>
        <v>43875</v>
      </c>
      <c r="D983" s="23">
        <f>'3.3.raw'!I972</f>
        <v>14</v>
      </c>
      <c r="E983" s="23">
        <f>'3.3.raw'!J972</f>
        <v>144</v>
      </c>
      <c r="F983" s="23" t="str">
        <f>'3.3.raw'!K972</f>
        <v/>
      </c>
      <c r="G983" s="1">
        <v>3.3000000000001</v>
      </c>
      <c r="H983" s="23" t="b">
        <f>if(countif(Status!C:C,A983)=1,TRUE, FALSE)</f>
        <v>1</v>
      </c>
    </row>
    <row r="984">
      <c r="A984" s="23" t="str">
        <f t="shared" si="15"/>
        <v>FPb2003</v>
      </c>
      <c r="B984" s="23" t="str">
        <f>'3.3.raw'!M973</f>
        <v>FPb2003</v>
      </c>
      <c r="C984" s="24">
        <f>datevalue(left('3.3.raw'!O973,10))</f>
        <v>43875</v>
      </c>
      <c r="D984" s="23">
        <f>'3.3.raw'!I973</f>
        <v>14</v>
      </c>
      <c r="E984" s="23">
        <f>'3.3.raw'!J973</f>
        <v>142</v>
      </c>
      <c r="F984" s="23" t="str">
        <f>'3.3.raw'!K973</f>
        <v/>
      </c>
      <c r="G984" s="1">
        <v>3.3000000000001</v>
      </c>
      <c r="H984" s="23" t="b">
        <f>if(countif(Status!C:C,A984)=1,TRUE, FALSE)</f>
        <v>1</v>
      </c>
    </row>
    <row r="985">
      <c r="A985" s="23" t="str">
        <f t="shared" si="15"/>
        <v>FPe2003</v>
      </c>
      <c r="B985" s="23" t="str">
        <f>'3.3.raw'!M974</f>
        <v>FPe2003</v>
      </c>
      <c r="C985" s="24">
        <f>datevalue(left('3.3.raw'!O974,10))</f>
        <v>43875</v>
      </c>
      <c r="D985" s="23">
        <f>'3.3.raw'!I974</f>
        <v>14</v>
      </c>
      <c r="E985" s="23">
        <f>'3.3.raw'!J974</f>
        <v>145</v>
      </c>
      <c r="F985" s="23" t="str">
        <f>'3.3.raw'!K974</f>
        <v/>
      </c>
      <c r="G985" s="1">
        <v>3.3000000000001</v>
      </c>
      <c r="H985" s="23" t="b">
        <f>if(countif(Status!C:C,A985)=1,TRUE, FALSE)</f>
        <v>1</v>
      </c>
    </row>
    <row r="986">
      <c r="A986" s="23" t="str">
        <f t="shared" si="15"/>
        <v>FPa2003</v>
      </c>
      <c r="B986" s="23" t="str">
        <f>'3.3.raw'!M975</f>
        <v>FPa2003</v>
      </c>
      <c r="C986" s="24">
        <f>datevalue(left('3.3.raw'!O975,10))</f>
        <v>43875</v>
      </c>
      <c r="D986" s="23">
        <f>'3.3.raw'!I975</f>
        <v>14</v>
      </c>
      <c r="E986" s="23">
        <f>'3.3.raw'!J975</f>
        <v>141</v>
      </c>
      <c r="F986" s="23" t="str">
        <f>'3.3.raw'!K975</f>
        <v/>
      </c>
      <c r="G986" s="1">
        <v>3.3000000000001</v>
      </c>
      <c r="H986" s="23" t="b">
        <f>if(countif(Status!C:C,A986)=1,TRUE, FALSE)</f>
        <v>1</v>
      </c>
    </row>
    <row r="987">
      <c r="A987" s="23" t="str">
        <f t="shared" si="15"/>
        <v>FPc2003</v>
      </c>
      <c r="B987" s="23" t="str">
        <f>'3.3.raw'!M976</f>
        <v>FPc2003</v>
      </c>
      <c r="C987" s="24">
        <f>datevalue(left('3.3.raw'!O976,10))</f>
        <v>43875</v>
      </c>
      <c r="D987" s="23">
        <f>'3.3.raw'!I976</f>
        <v>14</v>
      </c>
      <c r="E987" s="23">
        <f>'3.3.raw'!J976</f>
        <v>143</v>
      </c>
      <c r="F987" s="23" t="str">
        <f>'3.3.raw'!K976</f>
        <v/>
      </c>
      <c r="G987" s="1">
        <v>3.3000000000001</v>
      </c>
      <c r="H987" s="23" t="b">
        <f>if(countif(Status!C:C,A987)=1,TRUE, FALSE)</f>
        <v>1</v>
      </c>
    </row>
    <row r="988">
      <c r="A988" s="23" t="str">
        <f t="shared" si="15"/>
        <v>COa2007</v>
      </c>
      <c r="B988" s="23" t="str">
        <f>'3.3.raw'!M977</f>
        <v>COa2007</v>
      </c>
      <c r="C988" s="24">
        <f>datevalue(left('3.3.raw'!O977,10))</f>
        <v>43875</v>
      </c>
      <c r="D988" s="23">
        <f>'3.3.raw'!I977</f>
        <v>15</v>
      </c>
      <c r="E988" s="23" t="str">
        <f>'3.3.raw'!J977</f>
        <v/>
      </c>
      <c r="F988" s="23">
        <f>'3.3.raw'!K977</f>
        <v>151</v>
      </c>
      <c r="G988" s="1">
        <v>3.3000000000001</v>
      </c>
      <c r="H988" s="23" t="b">
        <f>if(countif(Status!C:C,A988)=1,TRUE, FALSE)</f>
        <v>1</v>
      </c>
    </row>
    <row r="989">
      <c r="A989" s="23" t="str">
        <f t="shared" si="15"/>
        <v>COb2019</v>
      </c>
      <c r="B989" s="23" t="str">
        <f>'3.3.raw'!M978</f>
        <v>COb2019</v>
      </c>
      <c r="C989" s="24">
        <f>datevalue(left('3.3.raw'!O978,10))</f>
        <v>43875</v>
      </c>
      <c r="D989" s="23">
        <f>'3.3.raw'!I978</f>
        <v>15</v>
      </c>
      <c r="E989" s="23" t="str">
        <f>'3.3.raw'!J978</f>
        <v/>
      </c>
      <c r="F989" s="23">
        <f>'3.3.raw'!K978</f>
        <v>152</v>
      </c>
      <c r="G989" s="1">
        <v>3.3000000000001</v>
      </c>
      <c r="H989" s="23" t="b">
        <f>if(countif(Status!C:C,A989)=1,TRUE, FALSE)</f>
        <v>1</v>
      </c>
    </row>
    <row r="990">
      <c r="A990" s="23" t="str">
        <f t="shared" si="15"/>
        <v>EC50</v>
      </c>
      <c r="B990" s="23" t="str">
        <f>'3.3.raw'!M979</f>
        <v>EC50</v>
      </c>
      <c r="C990" s="24">
        <f>datevalue(left('3.3.raw'!O979,10))</f>
        <v>43875</v>
      </c>
      <c r="D990" s="23">
        <f>'3.3.raw'!I979</f>
        <v>98</v>
      </c>
      <c r="E990" s="23" t="str">
        <f>'3.3.raw'!J979</f>
        <v/>
      </c>
      <c r="F990" s="23" t="str">
        <f>'3.3.raw'!K979</f>
        <v/>
      </c>
      <c r="G990" s="1">
        <v>3.3000000000001</v>
      </c>
      <c r="H990" s="23" t="b">
        <f>if(countif(Status!C:C,A990)=1,TRUE, FALSE)</f>
        <v>1</v>
      </c>
    </row>
    <row r="991">
      <c r="A991" s="23" t="str">
        <f t="shared" si="15"/>
        <v>PLc1199</v>
      </c>
      <c r="B991" s="23" t="str">
        <f>'3.3.raw'!M980</f>
        <v>PLc1199</v>
      </c>
      <c r="C991" s="24">
        <f>datevalue(left('3.3.raw'!O980,10))</f>
        <v>43875</v>
      </c>
      <c r="D991" s="23">
        <f>'3.3.raw'!I980</f>
        <v>11</v>
      </c>
      <c r="E991" s="23" t="str">
        <f>'3.3.raw'!J980</f>
        <v/>
      </c>
      <c r="F991" s="23" t="str">
        <f>'3.3.raw'!K980</f>
        <v/>
      </c>
      <c r="G991" s="1">
        <v>3.3000000000001</v>
      </c>
      <c r="H991" s="23" t="b">
        <f>if(countif(Status!C:C,A991)=1,TRUE, FALSE)</f>
        <v>1</v>
      </c>
    </row>
    <row r="992">
      <c r="A992" s="23" t="str">
        <f t="shared" si="15"/>
        <v>PLc1200</v>
      </c>
      <c r="B992" s="23" t="str">
        <f>'3.3.raw'!M981</f>
        <v>PLc1200</v>
      </c>
      <c r="C992" s="24">
        <f>datevalue(left('3.3.raw'!O981,10))</f>
        <v>43875</v>
      </c>
      <c r="D992" s="23">
        <f>'3.3.raw'!I981</f>
        <v>11</v>
      </c>
      <c r="E992" s="23" t="str">
        <f>'3.3.raw'!J981</f>
        <v/>
      </c>
      <c r="F992" s="23" t="str">
        <f>'3.3.raw'!K981</f>
        <v/>
      </c>
      <c r="G992" s="1">
        <v>3.3000000000001</v>
      </c>
      <c r="H992" s="23" t="b">
        <f>if(countif(Status!C:C,A992)=1,TRUE, FALSE)</f>
        <v>1</v>
      </c>
    </row>
    <row r="993">
      <c r="A993" s="23" t="str">
        <f t="shared" si="15"/>
        <v>PLc1201</v>
      </c>
      <c r="B993" s="23" t="str">
        <f>'3.3.raw'!M982</f>
        <v>PLc1201</v>
      </c>
      <c r="C993" s="24">
        <f>datevalue(left('3.3.raw'!O982,10))</f>
        <v>43875</v>
      </c>
      <c r="D993" s="23">
        <f>'3.3.raw'!I982</f>
        <v>11</v>
      </c>
      <c r="E993" s="23" t="str">
        <f>'3.3.raw'!J982</f>
        <v/>
      </c>
      <c r="F993" s="23" t="str">
        <f>'3.3.raw'!K982</f>
        <v/>
      </c>
      <c r="G993" s="1">
        <v>3.3000000000001</v>
      </c>
      <c r="H993" s="23" t="b">
        <f>if(countif(Status!C:C,A993)=1,TRUE, FALSE)</f>
        <v>1</v>
      </c>
    </row>
    <row r="994">
      <c r="A994" s="23" t="str">
        <f t="shared" si="15"/>
        <v>PLc1202</v>
      </c>
      <c r="B994" s="23" t="str">
        <f>'3.3.raw'!M983</f>
        <v>PLc1202</v>
      </c>
      <c r="C994" s="24">
        <f>datevalue(left('3.3.raw'!O983,10))</f>
        <v>43875</v>
      </c>
      <c r="D994" s="23">
        <f>'3.3.raw'!I983</f>
        <v>11</v>
      </c>
      <c r="E994" s="23" t="str">
        <f>'3.3.raw'!J983</f>
        <v/>
      </c>
      <c r="F994" s="23" t="str">
        <f>'3.3.raw'!K983</f>
        <v/>
      </c>
      <c r="G994" s="1">
        <v>3.3000000000001</v>
      </c>
      <c r="H994" s="23" t="b">
        <f>if(countif(Status!C:C,A994)=1,TRUE, FALSE)</f>
        <v>1</v>
      </c>
    </row>
    <row r="995">
      <c r="A995" s="23" t="str">
        <f t="shared" si="15"/>
        <v>PLc1203</v>
      </c>
      <c r="B995" s="23" t="str">
        <f>'3.3.raw'!M984</f>
        <v>PLc1203</v>
      </c>
      <c r="C995" s="24">
        <f>datevalue(left('3.3.raw'!O984,10))</f>
        <v>43880</v>
      </c>
      <c r="D995" s="23">
        <f>'3.3.raw'!I984</f>
        <v>11</v>
      </c>
      <c r="E995" s="23" t="str">
        <f>'3.3.raw'!J984</f>
        <v/>
      </c>
      <c r="F995" s="23" t="str">
        <f>'3.3.raw'!K984</f>
        <v/>
      </c>
      <c r="G995" s="1">
        <v>3.3000000000001</v>
      </c>
      <c r="H995" s="23" t="b">
        <f>if(countif(Status!C:C,A995)=1,TRUE, FALSE)</f>
        <v>1</v>
      </c>
    </row>
    <row r="996">
      <c r="A996" s="23" t="str">
        <f t="shared" si="15"/>
        <v>FB1348</v>
      </c>
      <c r="B996" s="23" t="str">
        <f>'3.3.raw'!M985</f>
        <v>FB1348</v>
      </c>
      <c r="C996" s="24">
        <f>datevalue(left('3.3.raw'!O985,10))</f>
        <v>43880</v>
      </c>
      <c r="D996" s="23">
        <f>'3.3.raw'!I985</f>
        <v>99</v>
      </c>
      <c r="E996" s="23" t="str">
        <f>'3.3.raw'!J985</f>
        <v/>
      </c>
      <c r="F996" s="23" t="str">
        <f>'3.3.raw'!K985</f>
        <v/>
      </c>
      <c r="G996" s="1">
        <v>3.3000000000001</v>
      </c>
      <c r="H996" s="23" t="b">
        <f>if(countif(Status!C:C,A996)=1,TRUE, FALSE)</f>
        <v>1</v>
      </c>
    </row>
    <row r="997">
      <c r="A997" s="23" t="str">
        <f t="shared" si="15"/>
        <v>SW2002</v>
      </c>
      <c r="B997" s="23" t="str">
        <f>'3.3.raw'!M986</f>
        <v>SW2002</v>
      </c>
      <c r="C997" s="24">
        <f>datevalue(left('3.3.raw'!O986,10))</f>
        <v>43880</v>
      </c>
      <c r="D997" s="23">
        <f>'3.3.raw'!I986</f>
        <v>5</v>
      </c>
      <c r="E997" s="23" t="str">
        <f>'3.3.raw'!J986</f>
        <v/>
      </c>
      <c r="F997" s="23" t="str">
        <f>'3.3.raw'!K986</f>
        <v/>
      </c>
      <c r="G997" s="1">
        <v>3.3000000000001</v>
      </c>
      <c r="H997" s="23" t="b">
        <f>if(countif(Status!C:C,A997)=1,TRUE, FALSE)</f>
        <v>1</v>
      </c>
    </row>
    <row r="998">
      <c r="A998" s="23" t="str">
        <f t="shared" si="15"/>
        <v>SL2003</v>
      </c>
      <c r="B998" s="23" t="str">
        <f>'3.3.raw'!M987</f>
        <v>SL2003</v>
      </c>
      <c r="C998" s="24">
        <f>datevalue(left('3.3.raw'!O987,10))</f>
        <v>43880</v>
      </c>
      <c r="D998" s="23">
        <f>'3.3.raw'!I987</f>
        <v>8</v>
      </c>
      <c r="E998" s="23" t="str">
        <f>'3.3.raw'!J987</f>
        <v/>
      </c>
      <c r="F998" s="23" t="str">
        <f>'3.3.raw'!K987</f>
        <v/>
      </c>
      <c r="G998" s="1">
        <v>3.3000000000001</v>
      </c>
      <c r="H998" s="23" t="b">
        <f>if(countif(Status!C:C,A998)=1,TRUE, FALSE)</f>
        <v>1</v>
      </c>
    </row>
    <row r="999">
      <c r="A999" s="23" t="str">
        <f t="shared" si="15"/>
        <v>MO1181</v>
      </c>
      <c r="B999" s="23" t="str">
        <f>'3.3.raw'!M988</f>
        <v>MO1181</v>
      </c>
      <c r="C999" s="24">
        <f>datevalue(left('3.3.raw'!O988,10))</f>
        <v>43880</v>
      </c>
      <c r="D999" s="23">
        <f>'3.3.raw'!I988</f>
        <v>12</v>
      </c>
      <c r="E999" s="23" t="str">
        <f>'3.3.raw'!J988</f>
        <v/>
      </c>
      <c r="F999" s="23" t="str">
        <f>'3.3.raw'!K988</f>
        <v/>
      </c>
      <c r="G999" s="1">
        <v>3.3000000000001</v>
      </c>
      <c r="H999" s="23" t="b">
        <f>if(countif(Status!C:C,A999)=1,TRUE, FALSE)</f>
        <v>1</v>
      </c>
    </row>
    <row r="1000">
      <c r="A1000" s="23" t="str">
        <f t="shared" si="15"/>
        <v>MO1182</v>
      </c>
      <c r="B1000" s="23" t="str">
        <f>'3.3.raw'!M989</f>
        <v>MO1182</v>
      </c>
      <c r="C1000" s="24">
        <f>datevalue(left('3.3.raw'!O989,10))</f>
        <v>43880</v>
      </c>
      <c r="D1000" s="23">
        <f>'3.3.raw'!I989</f>
        <v>12</v>
      </c>
      <c r="E1000" s="23" t="str">
        <f>'3.3.raw'!J989</f>
        <v/>
      </c>
      <c r="F1000" s="23" t="str">
        <f>'3.3.raw'!K989</f>
        <v/>
      </c>
      <c r="G1000" s="1">
        <v>3.3000000000001</v>
      </c>
      <c r="H1000" s="23" t="b">
        <f>if(countif(Status!C:C,A1000)=1,TRUE, FALSE)</f>
        <v>1</v>
      </c>
    </row>
    <row r="1001">
      <c r="A1001" s="23" t="str">
        <f t="shared" si="15"/>
        <v>MO1183</v>
      </c>
      <c r="B1001" s="23" t="str">
        <f>'3.3.raw'!M990</f>
        <v>MO1183</v>
      </c>
      <c r="C1001" s="24">
        <f>datevalue(left('3.3.raw'!O990,10))</f>
        <v>43875</v>
      </c>
      <c r="D1001" s="23">
        <f>'3.3.raw'!I990</f>
        <v>12</v>
      </c>
      <c r="E1001" s="23" t="str">
        <f>'3.3.raw'!J990</f>
        <v/>
      </c>
      <c r="F1001" s="23" t="str">
        <f>'3.3.raw'!K990</f>
        <v/>
      </c>
      <c r="G1001" s="1">
        <v>3.3000000000001</v>
      </c>
      <c r="H1001" s="23" t="b">
        <f>if(countif(Status!C:C,A1001)=1,TRUE, FALSE)</f>
        <v>1</v>
      </c>
    </row>
    <row r="1002">
      <c r="A1002" s="23" t="str">
        <f t="shared" si="15"/>
        <v>MO1184</v>
      </c>
      <c r="B1002" s="23" t="str">
        <f>'3.3.raw'!M991</f>
        <v>MO1184</v>
      </c>
      <c r="C1002" s="24">
        <f>datevalue(left('3.3.raw'!O991,10))</f>
        <v>43880</v>
      </c>
      <c r="D1002" s="23">
        <f>'3.3.raw'!I991</f>
        <v>12</v>
      </c>
      <c r="E1002" s="23" t="str">
        <f>'3.3.raw'!J991</f>
        <v/>
      </c>
      <c r="F1002" s="23" t="str">
        <f>'3.3.raw'!K991</f>
        <v/>
      </c>
      <c r="G1002" s="1">
        <v>3.3000000000001</v>
      </c>
      <c r="H1002" s="23" t="b">
        <f>if(countif(Status!C:C,A1002)=1,TRUE, FALSE)</f>
        <v>1</v>
      </c>
    </row>
    <row r="1003">
      <c r="A1003" s="23" t="str">
        <f t="shared" si="15"/>
        <v>FB1354</v>
      </c>
      <c r="B1003" s="23" t="str">
        <f>'3.3.raw'!M992</f>
        <v>FB1354</v>
      </c>
      <c r="C1003" s="24">
        <f>datevalue(left('3.3.raw'!O992,10))</f>
        <v>43880</v>
      </c>
      <c r="D1003" s="23">
        <f>'3.3.raw'!I992</f>
        <v>99</v>
      </c>
      <c r="E1003" s="23" t="str">
        <f>'3.3.raw'!J992</f>
        <v/>
      </c>
      <c r="F1003" s="23" t="str">
        <f>'3.3.raw'!K992</f>
        <v/>
      </c>
      <c r="G1003" s="1">
        <v>3.3000000000001</v>
      </c>
      <c r="H1003" s="23" t="b">
        <f>if(countif(Status!C:C,A1003)=1,TRUE, FALSE)</f>
        <v>1</v>
      </c>
    </row>
    <row r="1004">
      <c r="A1004" s="23" t="str">
        <f t="shared" si="15"/>
        <v>UF1023</v>
      </c>
      <c r="B1004" s="23" t="str">
        <f>'3.3.raw'!M993</f>
        <v>UF1023</v>
      </c>
      <c r="C1004" s="24">
        <f>datevalue(left('3.3.raw'!O993,10))</f>
        <v>43880</v>
      </c>
      <c r="D1004" s="23">
        <f>'3.3.raw'!I993</f>
        <v>16</v>
      </c>
      <c r="E1004" s="23" t="str">
        <f>'3.3.raw'!J993</f>
        <v/>
      </c>
      <c r="F1004" s="23" t="str">
        <f>'3.3.raw'!K993</f>
        <v/>
      </c>
      <c r="G1004" s="1">
        <v>3.3000000000001</v>
      </c>
      <c r="H1004" s="23" t="b">
        <f>if(countif(Status!C:C,A1004)=1,TRUE, FALSE)</f>
        <v>1</v>
      </c>
    </row>
    <row r="1005">
      <c r="A1005" s="23" t="str">
        <f t="shared" si="15"/>
        <v>EC51</v>
      </c>
      <c r="B1005" s="23" t="str">
        <f>'3.3.raw'!M994</f>
        <v>EC51</v>
      </c>
      <c r="C1005" s="24">
        <f>datevalue(left('3.3.raw'!O994,10))</f>
        <v>43880</v>
      </c>
      <c r="D1005" s="23">
        <f>'3.3.raw'!I994</f>
        <v>98</v>
      </c>
      <c r="E1005" s="23" t="str">
        <f>'3.3.raw'!J994</f>
        <v/>
      </c>
      <c r="F1005" s="23" t="str">
        <f>'3.3.raw'!K994</f>
        <v/>
      </c>
      <c r="G1005" s="1">
        <v>3.3000000000001</v>
      </c>
      <c r="H1005" s="23" t="b">
        <f>if(countif(Status!C:C,A1005)=1,TRUE, FALSE)</f>
        <v>0</v>
      </c>
    </row>
    <row r="1006">
      <c r="A1006" s="23" t="str">
        <f t="shared" si="15"/>
        <v>MO1185</v>
      </c>
      <c r="B1006" s="23" t="str">
        <f>'3.3.raw'!M995</f>
        <v>MO1185</v>
      </c>
      <c r="C1006" s="24">
        <f>datevalue(left('3.3.raw'!O995,10))</f>
        <v>43881</v>
      </c>
      <c r="D1006" s="23">
        <f>'3.3.raw'!I995</f>
        <v>12</v>
      </c>
      <c r="E1006" s="23" t="str">
        <f>'3.3.raw'!J995</f>
        <v/>
      </c>
      <c r="F1006" s="23" t="str">
        <f>'3.3.raw'!K995</f>
        <v/>
      </c>
      <c r="G1006" s="1">
        <v>3.3000000000001</v>
      </c>
      <c r="H1006" s="23" t="b">
        <f>if(countif(Status!C:C,A1006)=1,TRUE, FALSE)</f>
        <v>1</v>
      </c>
    </row>
    <row r="1007">
      <c r="A1007" s="23" t="str">
        <f t="shared" si="15"/>
        <v>MO1186</v>
      </c>
      <c r="B1007" s="23" t="str">
        <f>'3.3.raw'!M996</f>
        <v>MO1186</v>
      </c>
      <c r="C1007" s="24">
        <f>datevalue(left('3.3.raw'!O996,10))</f>
        <v>43881</v>
      </c>
      <c r="D1007" s="23">
        <f>'3.3.raw'!I996</f>
        <v>12</v>
      </c>
      <c r="E1007" s="23" t="str">
        <f>'3.3.raw'!J996</f>
        <v/>
      </c>
      <c r="F1007" s="23" t="str">
        <f>'3.3.raw'!K996</f>
        <v/>
      </c>
      <c r="G1007" s="1">
        <v>3.3000000000001</v>
      </c>
      <c r="H1007" s="23" t="b">
        <f>if(countif(Status!C:C,A1007)=1,TRUE, FALSE)</f>
        <v>1</v>
      </c>
    </row>
    <row r="1008">
      <c r="A1008" s="23" t="str">
        <f t="shared" si="15"/>
        <v>MO1187</v>
      </c>
      <c r="B1008" s="23" t="str">
        <f>'3.3.raw'!M997</f>
        <v>MO1187</v>
      </c>
      <c r="C1008" s="24">
        <f>datevalue(left('3.3.raw'!O997,10))</f>
        <v>43881</v>
      </c>
      <c r="D1008" s="23">
        <f>'3.3.raw'!I997</f>
        <v>12</v>
      </c>
      <c r="E1008" s="23" t="str">
        <f>'3.3.raw'!J997</f>
        <v/>
      </c>
      <c r="F1008" s="23" t="str">
        <f>'3.3.raw'!K997</f>
        <v/>
      </c>
      <c r="G1008" s="1">
        <v>3.3000000000001</v>
      </c>
      <c r="H1008" s="23" t="b">
        <f>if(countif(Status!C:C,A1008)=1,TRUE, FALSE)</f>
        <v>1</v>
      </c>
    </row>
    <row r="1009">
      <c r="A1009" s="23" t="str">
        <f t="shared" si="15"/>
        <v>UF1024</v>
      </c>
      <c r="B1009" s="23" t="str">
        <f>'3.3.raw'!M998</f>
        <v>UF1024</v>
      </c>
      <c r="C1009" s="24">
        <f>datevalue(left('3.3.raw'!O998,10))</f>
        <v>43881</v>
      </c>
      <c r="D1009" s="23">
        <f>'3.3.raw'!I998</f>
        <v>16</v>
      </c>
      <c r="E1009" s="23" t="str">
        <f>'3.3.raw'!J998</f>
        <v/>
      </c>
      <c r="F1009" s="23" t="str">
        <f>'3.3.raw'!K998</f>
        <v/>
      </c>
      <c r="G1009" s="1">
        <v>3.3000000000001</v>
      </c>
      <c r="H1009" s="23" t="b">
        <f>if(countif(Status!C:C,A1009)=1,TRUE, FALSE)</f>
        <v>1</v>
      </c>
    </row>
    <row r="1010">
      <c r="A1010" s="23" t="str">
        <f t="shared" si="15"/>
        <v>PL1026</v>
      </c>
      <c r="B1010" s="23" t="str">
        <f>'3.3.raw'!M999</f>
        <v>PL1026</v>
      </c>
      <c r="C1010" s="24">
        <f>datevalue(left('3.3.raw'!O999,10))</f>
        <v>43881</v>
      </c>
      <c r="D1010" s="23">
        <f>'3.3.raw'!I999</f>
        <v>7</v>
      </c>
      <c r="E1010" s="23" t="str">
        <f>'3.3.raw'!J999</f>
        <v/>
      </c>
      <c r="F1010" s="23" t="str">
        <f>'3.3.raw'!K999</f>
        <v/>
      </c>
      <c r="G1010" s="1">
        <v>3.3000000000001</v>
      </c>
      <c r="H1010" s="23" t="b">
        <f>if(countif(Status!C:C,A1010)=1,TRUE, FALSE)</f>
        <v>1</v>
      </c>
    </row>
    <row r="1011">
      <c r="A1011" s="23" t="str">
        <f t="shared" si="15"/>
        <v>PL1027</v>
      </c>
      <c r="B1011" s="23" t="str">
        <f>'3.3.raw'!M1000</f>
        <v>PL1027</v>
      </c>
      <c r="C1011" s="24">
        <f>datevalue(left('3.3.raw'!O1000,10))</f>
        <v>43881</v>
      </c>
      <c r="D1011" s="23">
        <f>'3.3.raw'!I1000</f>
        <v>7</v>
      </c>
      <c r="E1011" s="23" t="str">
        <f>'3.3.raw'!J1000</f>
        <v/>
      </c>
      <c r="F1011" s="23" t="str">
        <f>'3.3.raw'!K1000</f>
        <v/>
      </c>
      <c r="G1011" s="1">
        <v>3.3000000000001</v>
      </c>
      <c r="H1011" s="23" t="b">
        <f>if(countif(Status!C:C,A1011)=1,TRUE, FALSE)</f>
        <v>1</v>
      </c>
    </row>
    <row r="1012">
      <c r="A1012" s="23" t="str">
        <f t="shared" si="15"/>
        <v>FB1356</v>
      </c>
      <c r="B1012" s="23" t="str">
        <f>'3.3.raw'!M1001</f>
        <v>FB1356</v>
      </c>
      <c r="C1012" s="24">
        <f>datevalue(left('3.3.raw'!O1001,10))</f>
        <v>43881</v>
      </c>
      <c r="D1012" s="23">
        <f>'3.3.raw'!I1001</f>
        <v>99</v>
      </c>
      <c r="E1012" s="23" t="str">
        <f>'3.3.raw'!J1001</f>
        <v/>
      </c>
      <c r="F1012" s="23" t="str">
        <f>'3.3.raw'!K1001</f>
        <v/>
      </c>
      <c r="G1012" s="1">
        <v>3.3000000000001</v>
      </c>
      <c r="H1012" s="23" t="b">
        <f>if(countif(Status!C:C,A1012)=1,TRUE, FALSE)</f>
        <v>1</v>
      </c>
    </row>
    <row r="1013">
      <c r="A1013" s="23" t="str">
        <f t="shared" si="15"/>
        <v>EC52</v>
      </c>
      <c r="B1013" s="23" t="str">
        <f>'3.3.raw'!M1002</f>
        <v>EC52</v>
      </c>
      <c r="C1013" s="24">
        <f>datevalue(left('3.3.raw'!O1002,10))</f>
        <v>43881</v>
      </c>
      <c r="D1013" s="23">
        <f>'3.3.raw'!I1002</f>
        <v>98</v>
      </c>
      <c r="E1013" s="23" t="str">
        <f>'3.3.raw'!J1002</f>
        <v/>
      </c>
      <c r="F1013" s="23" t="str">
        <f>'3.3.raw'!K1002</f>
        <v/>
      </c>
      <c r="G1013" s="1">
        <v>3.3000000000001</v>
      </c>
      <c r="H1013" s="23" t="b">
        <f>if(countif(Status!C:C,A1013)=1,TRUE, FALSE)</f>
        <v>1</v>
      </c>
    </row>
    <row r="1014">
      <c r="A1014" s="23" t="str">
        <f t="shared" si="15"/>
        <v/>
      </c>
      <c r="B1014" s="23" t="str">
        <f>'3.3.raw'!M1003</f>
        <v/>
      </c>
      <c r="C1014" s="24" t="str">
        <f>datevalue(left('3.3.raw'!O1003,10))</f>
        <v>#VALUE!</v>
      </c>
      <c r="D1014" s="23" t="str">
        <f>'3.3.raw'!I1003</f>
        <v/>
      </c>
      <c r="E1014" s="23" t="str">
        <f>'3.3.raw'!J1003</f>
        <v/>
      </c>
      <c r="F1014" s="23" t="str">
        <f>'3.3.raw'!K1003</f>
        <v/>
      </c>
      <c r="G1014" s="1">
        <v>3.3000000000001</v>
      </c>
      <c r="H1014" s="23" t="b">
        <f>if(countif(Status!C:C,A1014)=1,TRUE, FALSE)</f>
        <v>0</v>
      </c>
    </row>
    <row r="1015">
      <c r="A1015" s="23" t="str">
        <f t="shared" si="15"/>
        <v/>
      </c>
      <c r="B1015" s="23" t="str">
        <f>'3.3.raw'!M1004</f>
        <v/>
      </c>
      <c r="C1015" s="24" t="str">
        <f>datevalue(left('3.3.raw'!O1004,10))</f>
        <v>#VALUE!</v>
      </c>
      <c r="D1015" s="23" t="str">
        <f>'3.3.raw'!I1004</f>
        <v/>
      </c>
      <c r="E1015" s="23" t="str">
        <f>'3.3.raw'!J1004</f>
        <v/>
      </c>
      <c r="F1015" s="23" t="str">
        <f>'3.3.raw'!K1004</f>
        <v/>
      </c>
      <c r="G1015" s="1">
        <v>3.3000000000001</v>
      </c>
      <c r="H1015" s="23" t="b">
        <f>if(countif(Status!C:C,A1015)=1,TRUE, FALSE)</f>
        <v>0</v>
      </c>
    </row>
    <row r="1016">
      <c r="A1016" s="23" t="str">
        <f t="shared" si="15"/>
        <v/>
      </c>
      <c r="B1016" s="23" t="str">
        <f>'3.3.raw'!M1005</f>
        <v/>
      </c>
      <c r="C1016" s="24" t="str">
        <f>datevalue(left('3.3.raw'!O1005,10))</f>
        <v>#VALUE!</v>
      </c>
      <c r="D1016" s="23" t="str">
        <f>'3.3.raw'!I1005</f>
        <v/>
      </c>
      <c r="E1016" s="23" t="str">
        <f>'3.3.raw'!J1005</f>
        <v/>
      </c>
      <c r="F1016" s="23" t="str">
        <f>'3.3.raw'!K1005</f>
        <v/>
      </c>
      <c r="G1016" s="1">
        <v>3.3000000000001</v>
      </c>
      <c r="H1016" s="23" t="b">
        <f>if(countif(Status!C:C,A1016)=1,TRUE, FALSE)</f>
        <v>0</v>
      </c>
    </row>
    <row r="1017">
      <c r="A1017" s="23" t="str">
        <f t="shared" si="15"/>
        <v/>
      </c>
      <c r="B1017" s="23" t="str">
        <f>'3.3.raw'!M1006</f>
        <v/>
      </c>
      <c r="C1017" s="24" t="str">
        <f>datevalue(left('3.3.raw'!O1006,10))</f>
        <v>#VALUE!</v>
      </c>
      <c r="D1017" s="23" t="str">
        <f>'3.3.raw'!I1006</f>
        <v/>
      </c>
      <c r="E1017" s="23" t="str">
        <f>'3.3.raw'!J1006</f>
        <v/>
      </c>
      <c r="F1017" s="23" t="str">
        <f>'3.3.raw'!K1006</f>
        <v/>
      </c>
      <c r="G1017" s="1">
        <v>3.3000000000001</v>
      </c>
      <c r="H1017" s="23" t="b">
        <f>if(countif(Status!C:C,A1017)=1,TRUE, FALSE)</f>
        <v>0</v>
      </c>
    </row>
    <row r="1018">
      <c r="A1018" s="23" t="str">
        <f t="shared" si="15"/>
        <v/>
      </c>
      <c r="B1018" s="23" t="str">
        <f>'3.3.raw'!M1007</f>
        <v/>
      </c>
      <c r="C1018" s="24" t="str">
        <f>datevalue(left('3.3.raw'!O1007,10))</f>
        <v>#VALUE!</v>
      </c>
      <c r="D1018" s="23" t="str">
        <f>'3.3.raw'!I1007</f>
        <v/>
      </c>
      <c r="E1018" s="23" t="str">
        <f>'3.3.raw'!J1007</f>
        <v/>
      </c>
      <c r="F1018" s="23" t="str">
        <f>'3.3.raw'!K1007</f>
        <v/>
      </c>
      <c r="G1018" s="1">
        <v>3.3000000000001</v>
      </c>
      <c r="H1018" s="23" t="b">
        <f>if(countif(Status!C:C,A1018)=1,TRUE, FALSE)</f>
        <v>0</v>
      </c>
    </row>
    <row r="1019">
      <c r="A1019" s="23" t="str">
        <f t="shared" si="15"/>
        <v/>
      </c>
      <c r="B1019" s="23" t="str">
        <f>'3.3.raw'!M1008</f>
        <v/>
      </c>
      <c r="C1019" s="24" t="str">
        <f>datevalue(left('3.3.raw'!O1008,10))</f>
        <v>#VALUE!</v>
      </c>
      <c r="D1019" s="23" t="str">
        <f>'3.3.raw'!I1008</f>
        <v/>
      </c>
      <c r="E1019" s="23" t="str">
        <f>'3.3.raw'!J1008</f>
        <v/>
      </c>
      <c r="F1019" s="23" t="str">
        <f>'3.3.raw'!K1008</f>
        <v/>
      </c>
      <c r="G1019" s="1">
        <v>3.3000000000001</v>
      </c>
      <c r="H1019" s="23" t="b">
        <f>if(countif(Status!C:C,A1019)=1,TRUE, FALSE)</f>
        <v>0</v>
      </c>
    </row>
    <row r="1020">
      <c r="A1020" s="23" t="str">
        <f t="shared" si="15"/>
        <v/>
      </c>
      <c r="B1020" s="23" t="str">
        <f>'3.3.raw'!M1009</f>
        <v/>
      </c>
      <c r="C1020" s="24" t="str">
        <f>datevalue(left('3.3.raw'!O1009,10))</f>
        <v>#VALUE!</v>
      </c>
      <c r="D1020" s="23" t="str">
        <f>'3.3.raw'!I1009</f>
        <v/>
      </c>
      <c r="E1020" s="23" t="str">
        <f>'3.3.raw'!J1009</f>
        <v/>
      </c>
      <c r="F1020" s="23" t="str">
        <f>'3.3.raw'!K1009</f>
        <v/>
      </c>
      <c r="G1020" s="1">
        <v>3.3000000000001</v>
      </c>
      <c r="H1020" s="23" t="b">
        <f>if(countif(Status!C:C,A1020)=1,TRUE, FALSE)</f>
        <v>0</v>
      </c>
    </row>
    <row r="1021">
      <c r="A1021" s="23" t="str">
        <f t="shared" si="15"/>
        <v/>
      </c>
      <c r="B1021" s="23" t="str">
        <f>'3.3.raw'!M1010</f>
        <v/>
      </c>
      <c r="C1021" s="24" t="str">
        <f>datevalue(left('3.3.raw'!O1010,10))</f>
        <v>#VALUE!</v>
      </c>
      <c r="D1021" s="23" t="str">
        <f>'3.3.raw'!I1010</f>
        <v/>
      </c>
      <c r="E1021" s="23" t="str">
        <f>'3.3.raw'!J1010</f>
        <v/>
      </c>
      <c r="F1021" s="23" t="str">
        <f>'3.3.raw'!K1010</f>
        <v/>
      </c>
      <c r="G1021" s="1">
        <v>3.3000000000001</v>
      </c>
      <c r="H1021" s="23" t="b">
        <f>if(countif(Status!C:C,A1021)=1,TRUE, FALSE)</f>
        <v>0</v>
      </c>
    </row>
    <row r="1022">
      <c r="A1022" s="23" t="str">
        <f t="shared" si="15"/>
        <v/>
      </c>
      <c r="B1022" s="23" t="str">
        <f>'3.3.raw'!M1011</f>
        <v/>
      </c>
      <c r="C1022" s="24" t="str">
        <f>datevalue(left('3.3.raw'!O1011,10))</f>
        <v>#VALUE!</v>
      </c>
      <c r="D1022" s="23" t="str">
        <f>'3.3.raw'!I1011</f>
        <v/>
      </c>
      <c r="E1022" s="23" t="str">
        <f>'3.3.raw'!J1011</f>
        <v/>
      </c>
      <c r="F1022" s="23" t="str">
        <f>'3.3.raw'!K1011</f>
        <v/>
      </c>
      <c r="G1022" s="1">
        <v>3.3000000000001</v>
      </c>
      <c r="H1022" s="23" t="b">
        <f>if(countif(Status!C:C,A1022)=1,TRUE, FALSE)</f>
        <v>0</v>
      </c>
    </row>
    <row r="1023">
      <c r="A1023" s="23" t="str">
        <f t="shared" si="15"/>
        <v/>
      </c>
      <c r="B1023" s="23" t="str">
        <f>'3.3.raw'!M1012</f>
        <v/>
      </c>
      <c r="C1023" s="24" t="str">
        <f>datevalue(left('3.3.raw'!O1012,10))</f>
        <v>#VALUE!</v>
      </c>
      <c r="D1023" s="23" t="str">
        <f>'3.3.raw'!I1012</f>
        <v/>
      </c>
      <c r="E1023" s="23" t="str">
        <f>'3.3.raw'!J1012</f>
        <v/>
      </c>
      <c r="F1023" s="23" t="str">
        <f>'3.3.raw'!K1012</f>
        <v/>
      </c>
      <c r="G1023" s="1">
        <v>3.3000000000001</v>
      </c>
      <c r="H1023" s="23" t="b">
        <f>if(countif(Status!C:C,A1023)=1,TRUE, FALSE)</f>
        <v>0</v>
      </c>
    </row>
    <row r="1024">
      <c r="A1024" s="23" t="str">
        <f t="shared" si="15"/>
        <v/>
      </c>
      <c r="B1024" s="23" t="str">
        <f>'3.3.raw'!M1013</f>
        <v/>
      </c>
      <c r="C1024" s="24" t="str">
        <f>datevalue(left('3.3.raw'!O1013,10))</f>
        <v>#VALUE!</v>
      </c>
      <c r="D1024" s="23" t="str">
        <f>'3.3.raw'!I1013</f>
        <v/>
      </c>
      <c r="E1024" s="23" t="str">
        <f>'3.3.raw'!J1013</f>
        <v/>
      </c>
      <c r="F1024" s="23" t="str">
        <f>'3.3.raw'!K1013</f>
        <v/>
      </c>
      <c r="G1024" s="1">
        <v>3.3000000000001</v>
      </c>
      <c r="H1024" s="23" t="b">
        <f>if(countif(Status!C:C,A1024)=1,TRUE, FALSE)</f>
        <v>0</v>
      </c>
    </row>
    <row r="1025">
      <c r="A1025" s="23" t="str">
        <f t="shared" si="15"/>
        <v/>
      </c>
      <c r="B1025" s="23" t="str">
        <f>'3.3.raw'!M1014</f>
        <v/>
      </c>
      <c r="C1025" s="24" t="str">
        <f>datevalue(left('3.3.raw'!O1014,10))</f>
        <v>#VALUE!</v>
      </c>
      <c r="D1025" s="23" t="str">
        <f>'3.3.raw'!I1014</f>
        <v/>
      </c>
      <c r="E1025" s="23" t="str">
        <f>'3.3.raw'!J1014</f>
        <v/>
      </c>
      <c r="F1025" s="23" t="str">
        <f>'3.3.raw'!K1014</f>
        <v/>
      </c>
      <c r="G1025" s="1">
        <v>3.3000000000001</v>
      </c>
      <c r="H1025" s="23" t="b">
        <f>if(countif(Status!C:C,A1025)=1,TRUE, FALSE)</f>
        <v>0</v>
      </c>
    </row>
    <row r="1026">
      <c r="A1026" s="23" t="str">
        <f t="shared" si="15"/>
        <v/>
      </c>
      <c r="B1026" s="23" t="str">
        <f>'3.3.raw'!M1015</f>
        <v/>
      </c>
      <c r="C1026" s="24" t="str">
        <f>datevalue(left('3.3.raw'!O1015,10))</f>
        <v>#VALUE!</v>
      </c>
      <c r="D1026" s="23" t="str">
        <f>'3.3.raw'!I1015</f>
        <v/>
      </c>
      <c r="E1026" s="23" t="str">
        <f>'3.3.raw'!J1015</f>
        <v/>
      </c>
      <c r="F1026" s="23" t="str">
        <f>'3.3.raw'!K1015</f>
        <v/>
      </c>
      <c r="G1026" s="1">
        <v>3.3000000000001</v>
      </c>
      <c r="H1026" s="23" t="b">
        <f>if(countif(Status!C:C,A1026)=1,TRUE, FALSE)</f>
        <v>0</v>
      </c>
    </row>
    <row r="1027">
      <c r="A1027" s="23" t="str">
        <f t="shared" si="15"/>
        <v/>
      </c>
      <c r="B1027" s="23" t="str">
        <f>'3.3.raw'!M1016</f>
        <v/>
      </c>
      <c r="C1027" s="24" t="str">
        <f>datevalue(left('3.3.raw'!O1016,10))</f>
        <v>#VALUE!</v>
      </c>
      <c r="D1027" s="23" t="str">
        <f>'3.3.raw'!I1016</f>
        <v/>
      </c>
      <c r="E1027" s="23" t="str">
        <f>'3.3.raw'!J1016</f>
        <v/>
      </c>
      <c r="F1027" s="23" t="str">
        <f>'3.3.raw'!K1016</f>
        <v/>
      </c>
      <c r="G1027" s="1">
        <v>3.3000000000001</v>
      </c>
      <c r="H1027" s="23" t="b">
        <f>if(countif(Status!C:C,A1027)=1,TRUE, FALSE)</f>
        <v>0</v>
      </c>
    </row>
    <row r="1028">
      <c r="A1028" s="23" t="str">
        <f t="shared" si="15"/>
        <v/>
      </c>
      <c r="B1028" s="23" t="str">
        <f>'3.3.raw'!M1017</f>
        <v/>
      </c>
      <c r="C1028" s="24" t="str">
        <f>datevalue(left('3.3.raw'!O1017,10))</f>
        <v>#VALUE!</v>
      </c>
      <c r="D1028" s="23" t="str">
        <f>'3.3.raw'!I1017</f>
        <v/>
      </c>
      <c r="E1028" s="23" t="str">
        <f>'3.3.raw'!J1017</f>
        <v/>
      </c>
      <c r="F1028" s="23" t="str">
        <f>'3.3.raw'!K1017</f>
        <v/>
      </c>
      <c r="G1028" s="1">
        <v>3.3000000000001</v>
      </c>
      <c r="H1028" s="23" t="b">
        <f>if(countif(Status!C:C,A1028)=1,TRUE, FALSE)</f>
        <v>0</v>
      </c>
    </row>
    <row r="1029">
      <c r="A1029" s="23" t="str">
        <f t="shared" si="15"/>
        <v/>
      </c>
      <c r="B1029" s="23" t="str">
        <f>'3.3.raw'!M1018</f>
        <v/>
      </c>
      <c r="C1029" s="24" t="str">
        <f>datevalue(left('3.3.raw'!O1018,10))</f>
        <v>#VALUE!</v>
      </c>
      <c r="D1029" s="23" t="str">
        <f>'3.3.raw'!I1018</f>
        <v/>
      </c>
      <c r="E1029" s="23" t="str">
        <f>'3.3.raw'!J1018</f>
        <v/>
      </c>
      <c r="F1029" s="23" t="str">
        <f>'3.3.raw'!K1018</f>
        <v/>
      </c>
      <c r="G1029" s="1">
        <v>3.3000000000001</v>
      </c>
      <c r="H1029" s="23" t="b">
        <f>if(countif(Status!C:C,A1029)=1,TRUE, FALSE)</f>
        <v>0</v>
      </c>
    </row>
    <row r="1030">
      <c r="A1030" s="23" t="str">
        <f t="shared" si="15"/>
        <v/>
      </c>
      <c r="B1030" s="23" t="str">
        <f>'3.3.raw'!M1019</f>
        <v/>
      </c>
      <c r="C1030" s="24" t="str">
        <f>datevalue(left('3.3.raw'!O1019,10))</f>
        <v>#VALUE!</v>
      </c>
      <c r="D1030" s="23" t="str">
        <f>'3.3.raw'!I1019</f>
        <v/>
      </c>
      <c r="E1030" s="23" t="str">
        <f>'3.3.raw'!J1019</f>
        <v/>
      </c>
      <c r="F1030" s="23" t="str">
        <f>'3.3.raw'!K1019</f>
        <v/>
      </c>
      <c r="G1030" s="1">
        <v>3.3000000000001</v>
      </c>
      <c r="H1030" s="23" t="b">
        <f>if(countif(Status!C:C,A1030)=1,TRUE, FALSE)</f>
        <v>0</v>
      </c>
    </row>
    <row r="1031">
      <c r="A1031" s="23" t="str">
        <f t="shared" si="15"/>
        <v/>
      </c>
      <c r="B1031" s="23" t="str">
        <f>'3.3.raw'!M1020</f>
        <v/>
      </c>
      <c r="C1031" s="24" t="str">
        <f>datevalue(left('3.3.raw'!O1020,10))</f>
        <v>#VALUE!</v>
      </c>
      <c r="D1031" s="23" t="str">
        <f>'3.3.raw'!I1020</f>
        <v/>
      </c>
      <c r="E1031" s="23" t="str">
        <f>'3.3.raw'!J1020</f>
        <v/>
      </c>
      <c r="F1031" s="23" t="str">
        <f>'3.3.raw'!K1020</f>
        <v/>
      </c>
      <c r="G1031" s="1">
        <v>3.3000000000001</v>
      </c>
      <c r="H1031" s="23" t="b">
        <f>if(countif(Status!C:C,A1031)=1,TRUE, FALSE)</f>
        <v>0</v>
      </c>
    </row>
    <row r="1032">
      <c r="A1032" s="23" t="str">
        <f t="shared" si="15"/>
        <v/>
      </c>
      <c r="B1032" s="23" t="str">
        <f>'3.3.raw'!M1021</f>
        <v/>
      </c>
      <c r="C1032" s="24" t="str">
        <f>datevalue(left('3.3.raw'!O1021,10))</f>
        <v>#VALUE!</v>
      </c>
      <c r="D1032" s="23" t="str">
        <f>'3.3.raw'!I1021</f>
        <v/>
      </c>
      <c r="E1032" s="23" t="str">
        <f>'3.3.raw'!J1021</f>
        <v/>
      </c>
      <c r="F1032" s="23" t="str">
        <f>'3.3.raw'!K1021</f>
        <v/>
      </c>
      <c r="G1032" s="1">
        <v>3.3000000000001</v>
      </c>
      <c r="H1032" s="23" t="b">
        <f>if(countif(Status!C:C,A1032)=1,TRUE, FALSE)</f>
        <v>0</v>
      </c>
    </row>
    <row r="1033">
      <c r="A1033" s="23" t="str">
        <f t="shared" si="15"/>
        <v/>
      </c>
      <c r="B1033" s="23" t="str">
        <f>'3.3.raw'!M1022</f>
        <v/>
      </c>
      <c r="C1033" s="24" t="str">
        <f>datevalue(left('3.3.raw'!O1022,10))</f>
        <v>#VALUE!</v>
      </c>
      <c r="D1033" s="23" t="str">
        <f>'3.3.raw'!I1022</f>
        <v/>
      </c>
      <c r="E1033" s="23" t="str">
        <f>'3.3.raw'!J1022</f>
        <v/>
      </c>
      <c r="F1033" s="23" t="str">
        <f>'3.3.raw'!K1022</f>
        <v/>
      </c>
      <c r="G1033" s="1">
        <v>3.3000000000001</v>
      </c>
      <c r="H1033" s="23" t="b">
        <f>if(countif(Status!C:C,A1033)=1,TRUE, FALSE)</f>
        <v>0</v>
      </c>
    </row>
    <row r="1034">
      <c r="A1034" s="23" t="str">
        <f t="shared" si="15"/>
        <v/>
      </c>
      <c r="B1034" s="23" t="str">
        <f>'3.3.raw'!M1023</f>
        <v/>
      </c>
      <c r="C1034" s="24" t="str">
        <f>datevalue(left('3.3.raw'!O1023,10))</f>
        <v>#VALUE!</v>
      </c>
      <c r="D1034" s="23" t="str">
        <f>'3.3.raw'!I1023</f>
        <v/>
      </c>
      <c r="E1034" s="23" t="str">
        <f>'3.3.raw'!J1023</f>
        <v/>
      </c>
      <c r="F1034" s="23" t="str">
        <f>'3.3.raw'!K1023</f>
        <v/>
      </c>
      <c r="G1034" s="1">
        <v>3.3000000000001</v>
      </c>
      <c r="H1034" s="23" t="b">
        <f>if(countif(Status!C:C,A1034)=1,TRUE, FALSE)</f>
        <v>0</v>
      </c>
    </row>
    <row r="1035">
      <c r="A1035" s="23" t="str">
        <f t="shared" si="15"/>
        <v/>
      </c>
      <c r="B1035" s="23" t="str">
        <f>'3.3.raw'!M1024</f>
        <v/>
      </c>
      <c r="C1035" s="24" t="str">
        <f>datevalue(left('3.3.raw'!O1024,10))</f>
        <v>#VALUE!</v>
      </c>
      <c r="D1035" s="23" t="str">
        <f>'3.3.raw'!I1024</f>
        <v/>
      </c>
      <c r="E1035" s="23" t="str">
        <f>'3.3.raw'!J1024</f>
        <v/>
      </c>
      <c r="F1035" s="23" t="str">
        <f>'3.3.raw'!K1024</f>
        <v/>
      </c>
      <c r="G1035" s="1">
        <v>3.3000000000001</v>
      </c>
      <c r="H1035" s="23" t="b">
        <f>if(countif(Status!C:C,A1035)=1,TRUE, FALSE)</f>
        <v>0</v>
      </c>
    </row>
    <row r="1036">
      <c r="A1036" s="23" t="str">
        <f t="shared" si="15"/>
        <v/>
      </c>
      <c r="B1036" s="23" t="str">
        <f>'3.3.raw'!M1025</f>
        <v/>
      </c>
      <c r="C1036" s="24" t="str">
        <f>datevalue(left('3.3.raw'!O1025,10))</f>
        <v>#VALUE!</v>
      </c>
      <c r="D1036" s="23" t="str">
        <f>'3.3.raw'!I1025</f>
        <v/>
      </c>
      <c r="E1036" s="23" t="str">
        <f>'3.3.raw'!J1025</f>
        <v/>
      </c>
      <c r="F1036" s="23" t="str">
        <f>'3.3.raw'!K1025</f>
        <v/>
      </c>
      <c r="G1036" s="1">
        <v>3.3000000000001</v>
      </c>
      <c r="H1036" s="23" t="b">
        <f>if(countif(Status!C:C,A1036)=1,TRUE, FALSE)</f>
        <v>0</v>
      </c>
    </row>
    <row r="1037">
      <c r="A1037" s="23" t="str">
        <f t="shared" si="15"/>
        <v/>
      </c>
      <c r="B1037" s="23" t="str">
        <f>'3.3.raw'!M1026</f>
        <v/>
      </c>
      <c r="C1037" s="24" t="str">
        <f>datevalue(left('3.3.raw'!O1026,10))</f>
        <v>#VALUE!</v>
      </c>
      <c r="D1037" s="23" t="str">
        <f>'3.3.raw'!I1026</f>
        <v/>
      </c>
      <c r="E1037" s="23" t="str">
        <f>'3.3.raw'!J1026</f>
        <v/>
      </c>
      <c r="F1037" s="23" t="str">
        <f>'3.3.raw'!K1026</f>
        <v/>
      </c>
      <c r="G1037" s="1">
        <v>3.3000000000001</v>
      </c>
      <c r="H1037" s="23" t="b">
        <f>if(countif(Status!C:C,A1037)=1,TRUE, FALSE)</f>
        <v>0</v>
      </c>
    </row>
    <row r="1038">
      <c r="A1038" s="23" t="str">
        <f t="shared" si="15"/>
        <v/>
      </c>
      <c r="B1038" s="23" t="str">
        <f>'3.3.raw'!M1027</f>
        <v/>
      </c>
      <c r="C1038" s="24" t="str">
        <f>datevalue(left('3.3.raw'!O1027,10))</f>
        <v>#VALUE!</v>
      </c>
      <c r="D1038" s="23" t="str">
        <f>'3.3.raw'!I1027</f>
        <v/>
      </c>
      <c r="E1038" s="23" t="str">
        <f>'3.3.raw'!J1027</f>
        <v/>
      </c>
      <c r="F1038" s="23" t="str">
        <f>'3.3.raw'!K1027</f>
        <v/>
      </c>
      <c r="G1038" s="1">
        <v>3.3000000000001</v>
      </c>
      <c r="H1038" s="23" t="b">
        <f>if(countif(Status!C:C,A1038)=1,TRUE, FALSE)</f>
        <v>0</v>
      </c>
    </row>
    <row r="1039">
      <c r="A1039" s="23" t="str">
        <f t="shared" si="15"/>
        <v/>
      </c>
      <c r="B1039" s="23" t="str">
        <f>'3.3.raw'!M1028</f>
        <v/>
      </c>
      <c r="C1039" s="24" t="str">
        <f>datevalue(left('3.3.raw'!O1028,10))</f>
        <v>#VALUE!</v>
      </c>
      <c r="D1039" s="23" t="str">
        <f>'3.3.raw'!I1028</f>
        <v/>
      </c>
      <c r="E1039" s="23" t="str">
        <f>'3.3.raw'!J1028</f>
        <v/>
      </c>
      <c r="F1039" s="23" t="str">
        <f>'3.3.raw'!K1028</f>
        <v/>
      </c>
      <c r="G1039" s="1">
        <v>3.3000000000001</v>
      </c>
      <c r="H1039" s="23" t="b">
        <f>if(countif(Status!C:C,A1039)=1,TRUE, FALSE)</f>
        <v>0</v>
      </c>
    </row>
    <row r="1040">
      <c r="A1040" s="23" t="str">
        <f t="shared" si="15"/>
        <v/>
      </c>
      <c r="B1040" s="23" t="str">
        <f>'3.3.raw'!M1029</f>
        <v/>
      </c>
      <c r="C1040" s="24" t="str">
        <f>datevalue(left('3.3.raw'!O1029,10))</f>
        <v>#VALUE!</v>
      </c>
      <c r="D1040" s="23" t="str">
        <f>'3.3.raw'!I1029</f>
        <v/>
      </c>
      <c r="E1040" s="23" t="str">
        <f>'3.3.raw'!J1029</f>
        <v/>
      </c>
      <c r="F1040" s="23" t="str">
        <f>'3.3.raw'!K1029</f>
        <v/>
      </c>
      <c r="G1040" s="1">
        <v>3.3000000000001</v>
      </c>
      <c r="H1040" s="23" t="b">
        <f>if(countif(Status!C:C,A1040)=1,TRUE, FALSE)</f>
        <v>0</v>
      </c>
    </row>
    <row r="1041">
      <c r="A1041" s="23" t="str">
        <f t="shared" si="15"/>
        <v/>
      </c>
      <c r="B1041" s="23" t="str">
        <f>'3.3.raw'!M1030</f>
        <v/>
      </c>
      <c r="C1041" s="24" t="str">
        <f>datevalue(left('3.3.raw'!O1030,10))</f>
        <v>#VALUE!</v>
      </c>
      <c r="D1041" s="23" t="str">
        <f>'3.3.raw'!I1030</f>
        <v/>
      </c>
      <c r="E1041" s="23" t="str">
        <f>'3.3.raw'!J1030</f>
        <v/>
      </c>
      <c r="F1041" s="23" t="str">
        <f>'3.3.raw'!K1030</f>
        <v/>
      </c>
      <c r="G1041" s="1">
        <v>3.3000000000001</v>
      </c>
      <c r="H1041" s="23" t="b">
        <f>if(countif(Status!C:C,A1041)=1,TRUE, FALSE)</f>
        <v>0</v>
      </c>
    </row>
    <row r="1042">
      <c r="A1042" s="23" t="str">
        <f t="shared" si="15"/>
        <v/>
      </c>
      <c r="B1042" s="23" t="str">
        <f>'3.3.raw'!M1031</f>
        <v/>
      </c>
      <c r="C1042" s="24" t="str">
        <f>datevalue(left('3.3.raw'!O1031,10))</f>
        <v>#VALUE!</v>
      </c>
      <c r="D1042" s="23" t="str">
        <f>'3.3.raw'!I1031</f>
        <v/>
      </c>
      <c r="E1042" s="23" t="str">
        <f>'3.3.raw'!J1031</f>
        <v/>
      </c>
      <c r="F1042" s="23" t="str">
        <f>'3.3.raw'!K1031</f>
        <v/>
      </c>
      <c r="G1042" s="1">
        <v>3.3000000000001</v>
      </c>
      <c r="H1042" s="23" t="b">
        <f>if(countif(Status!C:C,A1042)=1,TRUE, FALSE)</f>
        <v>0</v>
      </c>
    </row>
    <row r="1043">
      <c r="A1043" s="23" t="str">
        <f t="shared" si="15"/>
        <v/>
      </c>
      <c r="B1043" s="23" t="str">
        <f>'3.3.raw'!M1032</f>
        <v/>
      </c>
      <c r="C1043" s="24" t="str">
        <f>datevalue(left('3.3.raw'!O1032,10))</f>
        <v>#VALUE!</v>
      </c>
      <c r="D1043" s="23" t="str">
        <f>'3.3.raw'!I1032</f>
        <v/>
      </c>
      <c r="E1043" s="23" t="str">
        <f>'3.3.raw'!J1032</f>
        <v/>
      </c>
      <c r="F1043" s="23" t="str">
        <f>'3.3.raw'!K1032</f>
        <v/>
      </c>
      <c r="G1043" s="1">
        <v>3.3000000000001</v>
      </c>
      <c r="H1043" s="23" t="b">
        <f>if(countif(Status!C:C,A1043)=1,TRUE, FALSE)</f>
        <v>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sheetViews>
  <sheetFormatPr customHeight="1" defaultColWidth="14.43" defaultRowHeight="15.75"/>
  <sheetData>
    <row r="1">
      <c r="A1" s="1" t="s">
        <v>1273</v>
      </c>
      <c r="B1" s="1" t="s">
        <v>1274</v>
      </c>
      <c r="C1" s="1" t="s">
        <v>96</v>
      </c>
      <c r="D1" s="50" t="s">
        <v>1543</v>
      </c>
      <c r="E1" s="1" t="s">
        <v>370</v>
      </c>
      <c r="F1" s="1" t="s">
        <v>1278</v>
      </c>
      <c r="G1" s="1" t="s">
        <v>372</v>
      </c>
      <c r="H1" s="1" t="s">
        <v>185</v>
      </c>
    </row>
    <row r="2">
      <c r="A2" s="49" t="s">
        <v>53</v>
      </c>
      <c r="B2" s="23" t="str">
        <f>'3.4.raw'!M2</f>
        <v>PL1001</v>
      </c>
      <c r="C2" s="24">
        <f>'3.4.raw'!T2</f>
        <v>43595</v>
      </c>
      <c r="D2" s="23">
        <f>'3.4.raw'!I2</f>
        <v>11</v>
      </c>
      <c r="E2" s="1">
        <v>3.4</v>
      </c>
      <c r="G2" s="23" t="b">
        <f>if(countif(Status!C:C,A2)=1,TRUE, FALSE)</f>
        <v>0</v>
      </c>
      <c r="H2" s="23" t="str">
        <f>'3.4.raw'!AD2</f>
        <v/>
      </c>
    </row>
    <row r="3">
      <c r="A3" s="49" t="s">
        <v>68</v>
      </c>
      <c r="B3" s="23" t="str">
        <f>'3.4.raw'!M3</f>
        <v>LS1001</v>
      </c>
      <c r="C3" s="24">
        <f>'3.4.raw'!T3</f>
        <v>43595</v>
      </c>
      <c r="D3" s="23">
        <f>'3.4.raw'!I3</f>
        <v>7</v>
      </c>
      <c r="E3" s="1">
        <v>3.4</v>
      </c>
      <c r="G3" s="23" t="b">
        <f>if(countif(Status!C:C,A3)=1,TRUE, FALSE)</f>
        <v>1</v>
      </c>
      <c r="H3" s="23" t="str">
        <f>'3.4.raw'!AD3</f>
        <v/>
      </c>
    </row>
    <row r="4">
      <c r="A4" s="49" t="s">
        <v>97</v>
      </c>
      <c r="B4" s="23" t="str">
        <f>'3.4.raw'!M4</f>
        <v>MO1001</v>
      </c>
      <c r="C4" s="24">
        <f>'3.4.raw'!T4</f>
        <v>43595</v>
      </c>
      <c r="D4" s="23">
        <f>'3.4.raw'!I4</f>
        <v>12</v>
      </c>
      <c r="E4" s="1">
        <v>3.4</v>
      </c>
      <c r="G4" s="23" t="b">
        <f>if(countif(Status!C:C,A4)=1,TRUE, FALSE)</f>
        <v>1</v>
      </c>
      <c r="H4" s="23" t="str">
        <f>'3.4.raw'!AD4</f>
        <v/>
      </c>
    </row>
    <row r="5">
      <c r="A5" s="49" t="s">
        <v>111</v>
      </c>
      <c r="B5" s="23" t="str">
        <f>'3.4.raw'!M5</f>
        <v>MO1002</v>
      </c>
      <c r="C5" s="24">
        <f>'3.4.raw'!T5</f>
        <v>43595</v>
      </c>
      <c r="D5" s="23">
        <f>'3.4.raw'!I5</f>
        <v>12</v>
      </c>
      <c r="E5" s="1">
        <v>3.4</v>
      </c>
      <c r="G5" s="23" t="b">
        <f>if(countif(Status!C:C,A5)=1,TRUE, FALSE)</f>
        <v>1</v>
      </c>
      <c r="H5" s="23" t="str">
        <f>'3.4.raw'!AD5</f>
        <v/>
      </c>
    </row>
    <row r="6">
      <c r="A6" s="49" t="s">
        <v>140</v>
      </c>
      <c r="B6" s="23" t="str">
        <f>'3.4.raw'!M6</f>
        <v>RP2001</v>
      </c>
      <c r="C6" s="24">
        <f>'3.4.raw'!T6</f>
        <v>43595</v>
      </c>
      <c r="D6" s="23">
        <f>'3.4.raw'!I6</f>
        <v>2</v>
      </c>
      <c r="E6" s="1">
        <v>3.4</v>
      </c>
      <c r="G6" s="23" t="b">
        <f>if(countif(Status!C:C,A6)=1,TRUE, FALSE)</f>
        <v>1</v>
      </c>
      <c r="H6" s="23" t="str">
        <f>'3.4.raw'!AD6</f>
        <v/>
      </c>
    </row>
    <row r="7">
      <c r="A7" s="49" t="s">
        <v>178</v>
      </c>
      <c r="B7" s="23" t="str">
        <f>'3.4.raw'!M7</f>
        <v>RP2002</v>
      </c>
      <c r="C7" s="24">
        <f>'3.4.raw'!T7</f>
        <v>43595</v>
      </c>
      <c r="D7" s="23">
        <f>'3.4.raw'!I7</f>
        <v>2</v>
      </c>
      <c r="E7" s="1">
        <v>3.4</v>
      </c>
      <c r="G7" s="23" t="b">
        <f>if(countif(Status!C:C,A7)=1,TRUE, FALSE)</f>
        <v>1</v>
      </c>
      <c r="H7" s="23" t="str">
        <f>'3.4.raw'!AD7</f>
        <v/>
      </c>
    </row>
    <row r="8">
      <c r="A8" s="55" t="str">
        <f t="shared" ref="A8:A13" si="1">B8</f>
        <v>SL2001old</v>
      </c>
      <c r="B8" s="23" t="str">
        <f>'3.4.raw'!M8</f>
        <v>SL2001old</v>
      </c>
      <c r="C8" s="24">
        <f>'3.4.raw'!T8</f>
        <v>43595</v>
      </c>
      <c r="D8" s="23">
        <f>'3.4.raw'!I8</f>
        <v>8</v>
      </c>
      <c r="E8" s="1">
        <v>3.4</v>
      </c>
      <c r="G8" s="23" t="b">
        <f>if(countif(Status!C:C,A8)=1,TRUE, FALSE)</f>
        <v>1</v>
      </c>
      <c r="H8" s="23" t="str">
        <f>'3.4.raw'!AD8</f>
        <v/>
      </c>
    </row>
    <row r="9">
      <c r="A9" s="55" t="str">
        <f t="shared" si="1"/>
        <v>SL2002old</v>
      </c>
      <c r="B9" s="23" t="str">
        <f>'3.4.raw'!M9</f>
        <v>SL2002old</v>
      </c>
      <c r="C9" s="24">
        <f>'3.4.raw'!T9</f>
        <v>43595</v>
      </c>
      <c r="D9" s="23">
        <f>'3.4.raw'!I9</f>
        <v>8</v>
      </c>
      <c r="E9" s="1">
        <v>3.4</v>
      </c>
      <c r="G9" s="23" t="b">
        <f>if(countif(Status!C:C,A9)=1,TRUE, FALSE)</f>
        <v>1</v>
      </c>
      <c r="H9" s="23" t="str">
        <f>'3.4.raw'!AD9</f>
        <v/>
      </c>
    </row>
    <row r="10">
      <c r="A10" s="23" t="str">
        <f t="shared" si="1"/>
        <v>PL2001</v>
      </c>
      <c r="B10" s="23" t="str">
        <f>'3.4.raw'!M10</f>
        <v>PL2001</v>
      </c>
      <c r="C10" s="24">
        <f>'3.4.raw'!T10</f>
        <v>43595</v>
      </c>
      <c r="D10" s="23">
        <f>'3.4.raw'!I10</f>
        <v>11</v>
      </c>
      <c r="E10" s="1">
        <v>3.4</v>
      </c>
      <c r="G10" s="23" t="b">
        <f>if(countif(Status!C:C,A10)=1,TRUE, FALSE)</f>
        <v>0</v>
      </c>
      <c r="H10" s="23" t="str">
        <f>'3.4.raw'!AD10</f>
        <v/>
      </c>
    </row>
    <row r="11">
      <c r="A11" s="23" t="str">
        <f t="shared" si="1"/>
        <v>DW2002</v>
      </c>
      <c r="B11" s="23" t="str">
        <f>'3.4.raw'!M11</f>
        <v>DW2002</v>
      </c>
      <c r="C11" s="24">
        <f>'3.4.raw'!T11</f>
        <v>43595</v>
      </c>
      <c r="D11" s="23">
        <f>'3.4.raw'!I11</f>
        <v>3</v>
      </c>
      <c r="E11" s="1">
        <v>3.4</v>
      </c>
      <c r="G11" s="23" t="b">
        <f>if(countif(Status!C:C,A11)=1,TRUE, FALSE)</f>
        <v>0</v>
      </c>
      <c r="H11" s="23" t="str">
        <f>'3.4.raw'!AD11</f>
        <v/>
      </c>
    </row>
    <row r="12">
      <c r="A12" s="23" t="str">
        <f t="shared" si="1"/>
        <v>BW2001old</v>
      </c>
      <c r="B12" s="23" t="str">
        <f>'3.4.raw'!M12</f>
        <v>BW2001old</v>
      </c>
      <c r="C12" s="24">
        <f>'3.4.raw'!T12</f>
        <v>43595</v>
      </c>
      <c r="D12" s="23">
        <f>'3.4.raw'!I12</f>
        <v>9</v>
      </c>
      <c r="E12" s="1">
        <v>3.4</v>
      </c>
      <c r="G12" s="23" t="b">
        <f>if(countif(Status!C:C,A12)=1,TRUE, FALSE)</f>
        <v>1</v>
      </c>
      <c r="H12" s="23" t="str">
        <f>'3.4.raw'!AD12</f>
        <v/>
      </c>
    </row>
    <row r="13">
      <c r="A13" s="23" t="str">
        <f t="shared" si="1"/>
        <v>SW2001old</v>
      </c>
      <c r="B13" s="23" t="str">
        <f>'3.4.raw'!M13</f>
        <v>SW2001old</v>
      </c>
      <c r="C13" s="24">
        <f>'3.4.raw'!T13</f>
        <v>43595</v>
      </c>
      <c r="D13" s="23">
        <f>'3.4.raw'!I13</f>
        <v>5</v>
      </c>
      <c r="E13" s="1">
        <v>3.4</v>
      </c>
      <c r="G13" s="23" t="b">
        <f>if(countif(Status!C:C,A13)=1,TRUE, FALSE)</f>
        <v>1</v>
      </c>
      <c r="H13" s="23" t="str">
        <f>'3.4.raw'!AD13</f>
        <v/>
      </c>
    </row>
    <row r="14">
      <c r="A14" s="49" t="s">
        <v>375</v>
      </c>
      <c r="B14" s="23" t="str">
        <f>'3.4.raw'!M14</f>
        <v>LS2001</v>
      </c>
      <c r="C14" s="24">
        <f>'3.4.raw'!T14</f>
        <v>43595</v>
      </c>
      <c r="D14" s="23">
        <f>'3.4.raw'!I14</f>
        <v>7</v>
      </c>
      <c r="E14" s="1">
        <v>3.4</v>
      </c>
      <c r="G14" s="23" t="b">
        <f>if(countif(Status!C:C,A14)=1,TRUE, FALSE)</f>
        <v>1</v>
      </c>
      <c r="H14" s="23" t="str">
        <f>'3.4.raw'!AD14</f>
        <v/>
      </c>
    </row>
    <row r="15">
      <c r="A15" s="23" t="str">
        <f t="shared" ref="A15:A397" si="2">B15</f>
        <v>MO1106</v>
      </c>
      <c r="B15" s="23" t="str">
        <f>'3.4.raw'!M15</f>
        <v>MO1106</v>
      </c>
      <c r="C15" s="24">
        <f>'3.4.raw'!T15</f>
        <v>43770</v>
      </c>
      <c r="D15" s="23">
        <f>'3.4.raw'!I15</f>
        <v>12</v>
      </c>
      <c r="E15" s="1">
        <v>3.4</v>
      </c>
      <c r="G15" s="23" t="b">
        <f>if(countif(Status!C:C,A15)=1,TRUE, FALSE)</f>
        <v>1</v>
      </c>
      <c r="H15" s="23" t="str">
        <f>'3.4.raw'!AD15</f>
        <v/>
      </c>
    </row>
    <row r="16">
      <c r="A16" s="23" t="str">
        <f t="shared" si="2"/>
        <v>FB1085UP</v>
      </c>
      <c r="B16" s="23" t="str">
        <f>'3.4.raw'!M16</f>
        <v>FB1085UP</v>
      </c>
      <c r="C16" s="24">
        <f>'3.4.raw'!T16</f>
        <v>43770</v>
      </c>
      <c r="D16" s="23">
        <f>'3.4.raw'!I16</f>
        <v>99</v>
      </c>
      <c r="E16" s="1">
        <v>3.4</v>
      </c>
      <c r="G16" s="23" t="b">
        <f>if(countif(Status!C:C,A16)=1,TRUE, FALSE)</f>
        <v>1</v>
      </c>
      <c r="H16" s="23" t="str">
        <f>'3.4.raw'!AD16</f>
        <v>Associated Sample MO1106</v>
      </c>
    </row>
    <row r="17">
      <c r="A17" s="23" t="str">
        <f t="shared" si="2"/>
        <v>MO1107</v>
      </c>
      <c r="B17" s="23" t="str">
        <f>'3.4.raw'!M17</f>
        <v>MO1107</v>
      </c>
      <c r="C17" s="24">
        <f>'3.4.raw'!T17</f>
        <v>43770</v>
      </c>
      <c r="D17" s="23">
        <f>'3.4.raw'!I17</f>
        <v>12</v>
      </c>
      <c r="E17" s="1">
        <v>3.4</v>
      </c>
      <c r="G17" s="23" t="b">
        <f>if(countif(Status!C:C,A17)=1,TRUE, FALSE)</f>
        <v>1</v>
      </c>
      <c r="H17" s="23" t="str">
        <f>'3.4.raw'!AD17</f>
        <v/>
      </c>
    </row>
    <row r="18">
      <c r="A18" s="23" t="str">
        <f t="shared" si="2"/>
        <v>FB1086</v>
      </c>
      <c r="B18" s="23" t="str">
        <f>'3.4.raw'!M18</f>
        <v>FB1086</v>
      </c>
      <c r="C18" s="24">
        <f>'3.4.raw'!T18</f>
        <v>43770</v>
      </c>
      <c r="D18" s="23">
        <f>'3.4.raw'!I18</f>
        <v>99</v>
      </c>
      <c r="E18" s="1">
        <v>3.4</v>
      </c>
      <c r="G18" s="23" t="b">
        <f>if(countif(Status!C:C,A18)=1,TRUE, FALSE)</f>
        <v>1</v>
      </c>
      <c r="H18" s="23" t="str">
        <f>'3.4.raw'!AD18</f>
        <v>Associated Sample MO1107</v>
      </c>
    </row>
    <row r="19">
      <c r="A19" s="23" t="str">
        <f t="shared" si="2"/>
        <v>FB1086UP</v>
      </c>
      <c r="B19" s="23" t="str">
        <f>'3.4.raw'!M19</f>
        <v>FB1086UP</v>
      </c>
      <c r="C19" s="24">
        <f>'3.4.raw'!T19</f>
        <v>43770</v>
      </c>
      <c r="D19" s="23">
        <f>'3.4.raw'!I19</f>
        <v>99</v>
      </c>
      <c r="E19" s="1">
        <v>3.4</v>
      </c>
      <c r="G19" s="23" t="b">
        <f>if(countif(Status!C:C,A19)=1,TRUE, FALSE)</f>
        <v>1</v>
      </c>
      <c r="H19" s="23" t="str">
        <f>'3.4.raw'!AD19</f>
        <v>Associated Sample MO1107</v>
      </c>
    </row>
    <row r="20">
      <c r="A20" s="23" t="str">
        <f t="shared" si="2"/>
        <v>PLc1044</v>
      </c>
      <c r="B20" s="23" t="str">
        <f>'3.4.raw'!M20</f>
        <v>PLc1044</v>
      </c>
      <c r="C20" s="24">
        <f>'3.4.raw'!T20</f>
        <v>43770</v>
      </c>
      <c r="D20" s="23">
        <f>'3.4.raw'!I20</f>
        <v>11</v>
      </c>
      <c r="E20" s="1">
        <v>3.4</v>
      </c>
      <c r="G20" s="23" t="b">
        <f>if(countif(Status!C:C,A20)=1,TRUE, FALSE)</f>
        <v>1</v>
      </c>
      <c r="H20" s="23" t="str">
        <f>'3.4.raw'!AD20</f>
        <v/>
      </c>
    </row>
    <row r="21">
      <c r="A21" s="23" t="str">
        <f t="shared" si="2"/>
        <v>FB1087</v>
      </c>
      <c r="B21" s="23" t="str">
        <f>'3.4.raw'!M21</f>
        <v>FB1087</v>
      </c>
      <c r="C21" s="24">
        <f>'3.4.raw'!T21</f>
        <v>43770</v>
      </c>
      <c r="D21" s="23">
        <f>'3.4.raw'!I21</f>
        <v>99</v>
      </c>
      <c r="E21" s="1">
        <v>3.4</v>
      </c>
      <c r="G21" s="23" t="b">
        <f>if(countif(Status!C:C,A21)=1,TRUE, FALSE)</f>
        <v>1</v>
      </c>
      <c r="H21" s="23" t="str">
        <f>'3.4.raw'!AD21</f>
        <v>Associated Sample PLc1044</v>
      </c>
    </row>
    <row r="22">
      <c r="A22" s="23" t="str">
        <f t="shared" si="2"/>
        <v>FB1087UP</v>
      </c>
      <c r="B22" s="23" t="str">
        <f>'3.4.raw'!M22</f>
        <v>FB1087UP</v>
      </c>
      <c r="C22" s="24">
        <f>'3.4.raw'!T22</f>
        <v>43770</v>
      </c>
      <c r="D22" s="23">
        <f>'3.4.raw'!I22</f>
        <v>99</v>
      </c>
      <c r="E22" s="1">
        <v>3.4</v>
      </c>
      <c r="G22" s="23" t="b">
        <f>if(countif(Status!C:C,A22)=1,TRUE, FALSE)</f>
        <v>1</v>
      </c>
      <c r="H22" s="23" t="str">
        <f>'3.4.raw'!AD22</f>
        <v>Associated Sample PLc1044</v>
      </c>
    </row>
    <row r="23">
      <c r="A23" s="23" t="str">
        <f t="shared" si="2"/>
        <v>PLc1045</v>
      </c>
      <c r="B23" s="23" t="str">
        <f>'3.4.raw'!M23</f>
        <v>PLc1045</v>
      </c>
      <c r="C23" s="24">
        <f>'3.4.raw'!T23</f>
        <v>43770</v>
      </c>
      <c r="D23" s="23">
        <f>'3.4.raw'!I23</f>
        <v>11</v>
      </c>
      <c r="E23" s="1">
        <v>3.4</v>
      </c>
      <c r="G23" s="23" t="b">
        <f>if(countif(Status!C:C,A23)=1,TRUE, FALSE)</f>
        <v>1</v>
      </c>
      <c r="H23" s="23" t="str">
        <f>'3.4.raw'!AD23</f>
        <v/>
      </c>
    </row>
    <row r="24">
      <c r="A24" s="23" t="str">
        <f t="shared" si="2"/>
        <v>FB1088UP</v>
      </c>
      <c r="B24" s="23" t="str">
        <f>'3.4.raw'!M24</f>
        <v>FB1088UP</v>
      </c>
      <c r="C24" s="24">
        <f>'3.4.raw'!T24</f>
        <v>43770</v>
      </c>
      <c r="D24" s="23">
        <f>'3.4.raw'!I24</f>
        <v>99</v>
      </c>
      <c r="E24" s="1">
        <v>3.4</v>
      </c>
      <c r="G24" s="23" t="b">
        <f>if(countif(Status!C:C,A24)=1,TRUE, FALSE)</f>
        <v>1</v>
      </c>
      <c r="H24" s="23" t="str">
        <f>'3.4.raw'!AD24</f>
        <v>Associated Sample PLc1045</v>
      </c>
    </row>
    <row r="25">
      <c r="A25" s="23" t="str">
        <f t="shared" si="2"/>
        <v>PLc1046</v>
      </c>
      <c r="B25" s="23" t="str">
        <f>'3.4.raw'!M25</f>
        <v>PLc1046</v>
      </c>
      <c r="C25" s="24">
        <f>'3.4.raw'!T25</f>
        <v>43770</v>
      </c>
      <c r="D25" s="23">
        <f>'3.4.raw'!I25</f>
        <v>11</v>
      </c>
      <c r="E25" s="1">
        <v>3.4</v>
      </c>
      <c r="G25" s="23" t="b">
        <f>if(countif(Status!C:C,A25)=1,TRUE, FALSE)</f>
        <v>1</v>
      </c>
      <c r="H25" s="23" t="str">
        <f>'3.4.raw'!AD25</f>
        <v/>
      </c>
    </row>
    <row r="26">
      <c r="A26" s="23" t="str">
        <f t="shared" si="2"/>
        <v>FB1089UP</v>
      </c>
      <c r="B26" s="23" t="str">
        <f>'3.4.raw'!M26</f>
        <v>FB1089UP</v>
      </c>
      <c r="C26" s="24">
        <f>'3.4.raw'!T26</f>
        <v>43770</v>
      </c>
      <c r="D26" s="23">
        <f>'3.4.raw'!I26</f>
        <v>99</v>
      </c>
      <c r="E26" s="1">
        <v>3.4</v>
      </c>
      <c r="G26" s="23" t="b">
        <f>if(countif(Status!C:C,A26)=1,TRUE, FALSE)</f>
        <v>1</v>
      </c>
      <c r="H26" s="23" t="str">
        <f>'3.4.raw'!AD26</f>
        <v>Associated Sample PLc1046</v>
      </c>
    </row>
    <row r="27">
      <c r="A27" s="23" t="str">
        <f t="shared" si="2"/>
        <v>PLc1047</v>
      </c>
      <c r="B27" s="23" t="str">
        <f>'3.4.raw'!M27</f>
        <v>PLc1047</v>
      </c>
      <c r="C27" s="24">
        <f>'3.4.raw'!T27</f>
        <v>43770</v>
      </c>
      <c r="D27" s="23">
        <f>'3.4.raw'!I27</f>
        <v>11</v>
      </c>
      <c r="E27" s="1">
        <v>3.4</v>
      </c>
      <c r="G27" s="23" t="b">
        <f>if(countif(Status!C:C,A27)=1,TRUE, FALSE)</f>
        <v>1</v>
      </c>
      <c r="H27" s="23" t="str">
        <f>'3.4.raw'!AD27</f>
        <v/>
      </c>
    </row>
    <row r="28">
      <c r="A28" s="23" t="str">
        <f t="shared" si="2"/>
        <v>FB1090UP</v>
      </c>
      <c r="B28" s="23" t="str">
        <f>'3.4.raw'!M28</f>
        <v>FB1090UP</v>
      </c>
      <c r="C28" s="24">
        <f>'3.4.raw'!T28</f>
        <v>43770</v>
      </c>
      <c r="D28" s="23">
        <f>'3.4.raw'!I28</f>
        <v>99</v>
      </c>
      <c r="E28" s="1">
        <v>3.4</v>
      </c>
      <c r="G28" s="23" t="b">
        <f>if(countif(Status!C:C,A28)=1,TRUE, FALSE)</f>
        <v>1</v>
      </c>
      <c r="H28" s="23" t="str">
        <f>'3.4.raw'!AD28</f>
        <v>Associated Sample PLc1047</v>
      </c>
    </row>
    <row r="29">
      <c r="A29" s="23" t="str">
        <f t="shared" si="2"/>
        <v>PLc1048</v>
      </c>
      <c r="B29" s="23" t="str">
        <f>'3.4.raw'!M29</f>
        <v>PLc1048</v>
      </c>
      <c r="C29" s="24">
        <f>'3.4.raw'!T29</f>
        <v>43771</v>
      </c>
      <c r="D29" s="23">
        <f>'3.4.raw'!I29</f>
        <v>11</v>
      </c>
      <c r="E29" s="1">
        <v>3.4</v>
      </c>
      <c r="G29" s="23" t="b">
        <f>if(countif(Status!C:C,A29)=1,TRUE, FALSE)</f>
        <v>1</v>
      </c>
      <c r="H29" s="23" t="str">
        <f>'3.4.raw'!AD29</f>
        <v/>
      </c>
    </row>
    <row r="30">
      <c r="A30" s="23" t="str">
        <f t="shared" si="2"/>
        <v>FB1091UP</v>
      </c>
      <c r="B30" s="23" t="str">
        <f>'3.4.raw'!M30</f>
        <v>FB1091UP</v>
      </c>
      <c r="C30" s="24">
        <f>'3.4.raw'!T30</f>
        <v>43771</v>
      </c>
      <c r="D30" s="23">
        <f>'3.4.raw'!I30</f>
        <v>99</v>
      </c>
      <c r="E30" s="1">
        <v>3.4</v>
      </c>
      <c r="G30" s="23" t="b">
        <f>if(countif(Status!C:C,A30)=1,TRUE, FALSE)</f>
        <v>1</v>
      </c>
      <c r="H30" s="23" t="str">
        <f>'3.4.raw'!AD30</f>
        <v>Associated Sample PLc1048</v>
      </c>
    </row>
    <row r="31">
      <c r="A31" s="23" t="str">
        <f t="shared" si="2"/>
        <v>PLc1049</v>
      </c>
      <c r="B31" s="23" t="str">
        <f>'3.4.raw'!M31</f>
        <v>PLc1049</v>
      </c>
      <c r="C31" s="24">
        <f>'3.4.raw'!T31</f>
        <v>43771</v>
      </c>
      <c r="D31" s="23">
        <f>'3.4.raw'!I31</f>
        <v>11</v>
      </c>
      <c r="E31" s="1">
        <v>3.4</v>
      </c>
      <c r="G31" s="23" t="b">
        <f>if(countif(Status!C:C,A31)=1,TRUE, FALSE)</f>
        <v>1</v>
      </c>
      <c r="H31" s="23" t="str">
        <f>'3.4.raw'!AD31</f>
        <v/>
      </c>
    </row>
    <row r="32">
      <c r="A32" s="23" t="str">
        <f t="shared" si="2"/>
        <v>FB1092UP</v>
      </c>
      <c r="B32" s="23" t="str">
        <f>'3.4.raw'!M32</f>
        <v>FB1092UP</v>
      </c>
      <c r="C32" s="24">
        <f>'3.4.raw'!T32</f>
        <v>43771</v>
      </c>
      <c r="D32" s="23">
        <f>'3.4.raw'!I32</f>
        <v>99</v>
      </c>
      <c r="E32" s="1">
        <v>3.4</v>
      </c>
      <c r="G32" s="23" t="b">
        <f>if(countif(Status!C:C,A32)=1,TRUE, FALSE)</f>
        <v>1</v>
      </c>
      <c r="H32" s="23" t="str">
        <f>'3.4.raw'!AD32</f>
        <v>Associated Sample PLc1049</v>
      </c>
    </row>
    <row r="33">
      <c r="A33" s="23" t="str">
        <f t="shared" si="2"/>
        <v>PLc1050</v>
      </c>
      <c r="B33" s="23" t="str">
        <f>'3.4.raw'!M33</f>
        <v>PLc1050</v>
      </c>
      <c r="C33" s="24">
        <f>'3.4.raw'!T33</f>
        <v>43771</v>
      </c>
      <c r="D33" s="23">
        <f>'3.4.raw'!I33</f>
        <v>11</v>
      </c>
      <c r="E33" s="1">
        <v>3.4</v>
      </c>
      <c r="G33" s="23" t="b">
        <f>if(countif(Status!C:C,A33)=1,TRUE, FALSE)</f>
        <v>1</v>
      </c>
      <c r="H33" s="23" t="str">
        <f>'3.4.raw'!AD33</f>
        <v/>
      </c>
    </row>
    <row r="34">
      <c r="A34" s="23" t="str">
        <f t="shared" si="2"/>
        <v>FB1093</v>
      </c>
      <c r="B34" s="23" t="str">
        <f>'3.4.raw'!M34</f>
        <v>FB1093</v>
      </c>
      <c r="C34" s="24">
        <f>'3.4.raw'!T34</f>
        <v>43771</v>
      </c>
      <c r="D34" s="23">
        <f>'3.4.raw'!I34</f>
        <v>99</v>
      </c>
      <c r="E34" s="1">
        <v>3.4</v>
      </c>
      <c r="G34" s="23" t="b">
        <f>if(countif(Status!C:C,A34)=1,TRUE, FALSE)</f>
        <v>1</v>
      </c>
      <c r="H34" s="23" t="str">
        <f>'3.4.raw'!AD34</f>
        <v>Associated Sample PLc1050</v>
      </c>
    </row>
    <row r="35">
      <c r="A35" s="23" t="str">
        <f t="shared" si="2"/>
        <v>PLc1051</v>
      </c>
      <c r="B35" s="23" t="str">
        <f>'3.4.raw'!M35</f>
        <v>PLc1051</v>
      </c>
      <c r="C35" s="24">
        <f>'3.4.raw'!T35</f>
        <v>43771</v>
      </c>
      <c r="D35" s="23">
        <f>'3.4.raw'!I35</f>
        <v>11</v>
      </c>
      <c r="E35" s="1">
        <v>3.4</v>
      </c>
      <c r="G35" s="23" t="b">
        <f>if(countif(Status!C:C,A35)=1,TRUE, FALSE)</f>
        <v>1</v>
      </c>
      <c r="H35" s="23" t="str">
        <f>'3.4.raw'!AD35</f>
        <v/>
      </c>
    </row>
    <row r="36">
      <c r="A36" s="23" t="str">
        <f t="shared" si="2"/>
        <v>FB1094</v>
      </c>
      <c r="B36" s="23" t="str">
        <f>'3.4.raw'!M36</f>
        <v>FB1094</v>
      </c>
      <c r="C36" s="24">
        <f>'3.4.raw'!T36</f>
        <v>43771</v>
      </c>
      <c r="D36" s="23">
        <f>'3.4.raw'!I36</f>
        <v>99</v>
      </c>
      <c r="E36" s="1">
        <v>3.4</v>
      </c>
      <c r="G36" s="23" t="b">
        <f>if(countif(Status!C:C,A36)=1,TRUE, FALSE)</f>
        <v>1</v>
      </c>
      <c r="H36" s="23" t="str">
        <f>'3.4.raw'!AD36</f>
        <v>Associated Sample PLc1051</v>
      </c>
    </row>
    <row r="37">
      <c r="A37" s="23" t="str">
        <f t="shared" si="2"/>
        <v>PLc1052</v>
      </c>
      <c r="B37" s="23" t="str">
        <f>'3.4.raw'!M37</f>
        <v>PLc1052</v>
      </c>
      <c r="C37" s="24">
        <f>'3.4.raw'!T37</f>
        <v>43771</v>
      </c>
      <c r="D37" s="23">
        <f>'3.4.raw'!I37</f>
        <v>11</v>
      </c>
      <c r="E37" s="1">
        <v>3.4</v>
      </c>
      <c r="G37" s="23" t="b">
        <f>if(countif(Status!C:C,A37)=1,TRUE, FALSE)</f>
        <v>1</v>
      </c>
      <c r="H37" s="23" t="str">
        <f>'3.4.raw'!AD37</f>
        <v/>
      </c>
    </row>
    <row r="38">
      <c r="A38" s="23" t="str">
        <f t="shared" si="2"/>
        <v>FB1095</v>
      </c>
      <c r="B38" s="23" t="str">
        <f>'3.4.raw'!M38</f>
        <v>FB1095</v>
      </c>
      <c r="C38" s="24">
        <f>'3.4.raw'!T38</f>
        <v>43771</v>
      </c>
      <c r="D38" s="23">
        <f>'3.4.raw'!I38</f>
        <v>99</v>
      </c>
      <c r="E38" s="1">
        <v>3.4</v>
      </c>
      <c r="G38" s="23" t="b">
        <f>if(countif(Status!C:C,A38)=1,TRUE, FALSE)</f>
        <v>1</v>
      </c>
      <c r="H38" s="23" t="str">
        <f>'3.4.raw'!AD38</f>
        <v>Associated Sample PLc1052</v>
      </c>
    </row>
    <row r="39">
      <c r="A39" s="23" t="str">
        <f t="shared" si="2"/>
        <v>PLc1053</v>
      </c>
      <c r="B39" s="23" t="str">
        <f>'3.4.raw'!M39</f>
        <v>PLc1053</v>
      </c>
      <c r="C39" s="24">
        <f>'3.4.raw'!T39</f>
        <v>43771</v>
      </c>
      <c r="D39" s="23">
        <f>'3.4.raw'!I39</f>
        <v>11</v>
      </c>
      <c r="E39" s="1">
        <v>3.4</v>
      </c>
      <c r="G39" s="23" t="b">
        <f>if(countif(Status!C:C,A39)=1,TRUE, FALSE)</f>
        <v>1</v>
      </c>
      <c r="H39" s="23" t="str">
        <f>'3.4.raw'!AD39</f>
        <v/>
      </c>
    </row>
    <row r="40">
      <c r="A40" s="23" t="str">
        <f t="shared" si="2"/>
        <v>FB1096</v>
      </c>
      <c r="B40" s="23" t="str">
        <f>'3.4.raw'!M40</f>
        <v>FB1096</v>
      </c>
      <c r="C40" s="24">
        <f>'3.4.raw'!T40</f>
        <v>43771</v>
      </c>
      <c r="D40" s="23">
        <f>'3.4.raw'!I40</f>
        <v>99</v>
      </c>
      <c r="E40" s="1">
        <v>3.4</v>
      </c>
      <c r="G40" s="23" t="b">
        <f>if(countif(Status!C:C,A40)=1,TRUE, FALSE)</f>
        <v>1</v>
      </c>
      <c r="H40" s="23" t="str">
        <f>'3.4.raw'!AD40</f>
        <v>Associated Sample PLc1053</v>
      </c>
    </row>
    <row r="41">
      <c r="A41" s="23" t="str">
        <f t="shared" si="2"/>
        <v>MO1108</v>
      </c>
      <c r="B41" s="23" t="str">
        <f>'3.4.raw'!M41</f>
        <v>MO1108</v>
      </c>
      <c r="C41" s="24">
        <f>'3.4.raw'!T41</f>
        <v>43775</v>
      </c>
      <c r="D41" s="23">
        <f>'3.4.raw'!I41</f>
        <v>12</v>
      </c>
      <c r="E41" s="1">
        <v>3.4</v>
      </c>
      <c r="G41" s="23" t="b">
        <f>if(countif(Status!C:C,A41)=1,TRUE, FALSE)</f>
        <v>1</v>
      </c>
      <c r="H41" s="23" t="str">
        <f>'3.4.raw'!AD41</f>
        <v/>
      </c>
    </row>
    <row r="42">
      <c r="A42" s="23" t="str">
        <f t="shared" si="2"/>
        <v>FB1097UP</v>
      </c>
      <c r="B42" s="23" t="str">
        <f>'3.4.raw'!M42</f>
        <v>FB1097UP</v>
      </c>
      <c r="C42" s="24">
        <f>'3.4.raw'!T42</f>
        <v>43775</v>
      </c>
      <c r="D42" s="23">
        <f>'3.4.raw'!I42</f>
        <v>99</v>
      </c>
      <c r="E42" s="1">
        <v>3.4</v>
      </c>
      <c r="G42" s="23" t="b">
        <f>if(countif(Status!C:C,A42)=1,TRUE, FALSE)</f>
        <v>1</v>
      </c>
      <c r="H42" s="23" t="str">
        <f>'3.4.raw'!AD42</f>
        <v>Associated Sample MO1108</v>
      </c>
    </row>
    <row r="43">
      <c r="A43" s="23" t="str">
        <f t="shared" si="2"/>
        <v>MO1109</v>
      </c>
      <c r="B43" s="23" t="str">
        <f>'3.4.raw'!M43</f>
        <v>MO1109</v>
      </c>
      <c r="C43" s="24">
        <f>'3.4.raw'!T43</f>
        <v>43775</v>
      </c>
      <c r="D43" s="23">
        <f>'3.4.raw'!I43</f>
        <v>12</v>
      </c>
      <c r="E43" s="1">
        <v>3.4</v>
      </c>
      <c r="G43" s="23" t="b">
        <f>if(countif(Status!C:C,A43)=1,TRUE, FALSE)</f>
        <v>1</v>
      </c>
      <c r="H43" s="23" t="str">
        <f>'3.4.raw'!AD43</f>
        <v/>
      </c>
    </row>
    <row r="44">
      <c r="A44" s="23" t="str">
        <f t="shared" si="2"/>
        <v>MO1109D</v>
      </c>
      <c r="B44" s="23" t="str">
        <f>'3.4.raw'!M44</f>
        <v>MO1109D</v>
      </c>
      <c r="C44" s="24">
        <f>'3.4.raw'!T44</f>
        <v>43775</v>
      </c>
      <c r="D44" s="23">
        <f>'3.4.raw'!I44</f>
        <v>12</v>
      </c>
      <c r="E44" s="1">
        <v>3.4</v>
      </c>
      <c r="G44" s="23" t="b">
        <f>if(countif(Status!C:C,A44)=1,TRUE, FALSE)</f>
        <v>0</v>
      </c>
      <c r="H44" s="23" t="str">
        <f>'3.4.raw'!AD44</f>
        <v/>
      </c>
    </row>
    <row r="45">
      <c r="A45" s="23" t="str">
        <f t="shared" si="2"/>
        <v>FB1098</v>
      </c>
      <c r="B45" s="23" t="str">
        <f>'3.4.raw'!M45</f>
        <v>FB1098</v>
      </c>
      <c r="C45" s="24">
        <f>'3.4.raw'!T45</f>
        <v>43775</v>
      </c>
      <c r="D45" s="23">
        <f>'3.4.raw'!I45</f>
        <v>99</v>
      </c>
      <c r="E45" s="1">
        <v>3.4</v>
      </c>
      <c r="G45" s="23" t="b">
        <f>if(countif(Status!C:C,A45)=1,TRUE, FALSE)</f>
        <v>1</v>
      </c>
      <c r="H45" s="23" t="str">
        <f>'3.4.raw'!AD45</f>
        <v>Associated Sample MO1109, MO1109D</v>
      </c>
    </row>
    <row r="46">
      <c r="A46" s="23" t="str">
        <f t="shared" si="2"/>
        <v>PLc1054</v>
      </c>
      <c r="B46" s="23" t="str">
        <f>'3.4.raw'!M46</f>
        <v>PLc1054</v>
      </c>
      <c r="C46" s="24">
        <f>'3.4.raw'!T46</f>
        <v>43775</v>
      </c>
      <c r="D46" s="23">
        <f>'3.4.raw'!I46</f>
        <v>11</v>
      </c>
      <c r="E46" s="1">
        <v>3.4</v>
      </c>
      <c r="G46" s="23" t="b">
        <f>if(countif(Status!C:C,A46)=1,TRUE, FALSE)</f>
        <v>1</v>
      </c>
      <c r="H46" s="23" t="str">
        <f>'3.4.raw'!AD46</f>
        <v/>
      </c>
    </row>
    <row r="47">
      <c r="A47" s="23" t="str">
        <f t="shared" si="2"/>
        <v>PLc1054F</v>
      </c>
      <c r="B47" s="23" t="str">
        <f>'3.4.raw'!M47</f>
        <v>PLc1054F</v>
      </c>
      <c r="C47" s="24">
        <f>'3.4.raw'!T47</f>
        <v>43775</v>
      </c>
      <c r="D47" s="23">
        <f>'3.4.raw'!I47</f>
        <v>11</v>
      </c>
      <c r="E47" s="1">
        <v>3.4</v>
      </c>
      <c r="G47" s="23" t="b">
        <f>if(countif(Status!C:C,A47)=1,TRUE, FALSE)</f>
        <v>0</v>
      </c>
      <c r="H47" s="23" t="str">
        <f>'3.4.raw'!AD47</f>
        <v/>
      </c>
    </row>
    <row r="48">
      <c r="A48" s="23" t="str">
        <f t="shared" si="2"/>
        <v>FB1099UP</v>
      </c>
      <c r="B48" s="23" t="str">
        <f>'3.4.raw'!M48</f>
        <v>FB1099UP</v>
      </c>
      <c r="C48" s="24">
        <f>'3.4.raw'!T48</f>
        <v>43775</v>
      </c>
      <c r="D48" s="23">
        <f>'3.4.raw'!I48</f>
        <v>99</v>
      </c>
      <c r="E48" s="1">
        <v>3.4</v>
      </c>
      <c r="G48" s="23" t="b">
        <f>if(countif(Status!C:C,A48)=1,TRUE, FALSE)</f>
        <v>1</v>
      </c>
      <c r="H48" s="23" t="str">
        <f>'3.4.raw'!AD48</f>
        <v>Associated Sample PLc1054</v>
      </c>
    </row>
    <row r="49">
      <c r="A49" s="23" t="str">
        <f t="shared" si="2"/>
        <v>PLc1055</v>
      </c>
      <c r="B49" s="23" t="str">
        <f>'3.4.raw'!M49</f>
        <v>PLc1055</v>
      </c>
      <c r="C49" s="24">
        <f>'3.4.raw'!T49</f>
        <v>43775</v>
      </c>
      <c r="D49" s="23">
        <f>'3.4.raw'!I49</f>
        <v>11</v>
      </c>
      <c r="E49" s="1">
        <v>3.4</v>
      </c>
      <c r="G49" s="23" t="b">
        <f>if(countif(Status!C:C,A49)=1,TRUE, FALSE)</f>
        <v>1</v>
      </c>
      <c r="H49" s="23" t="str">
        <f>'3.4.raw'!AD49</f>
        <v/>
      </c>
    </row>
    <row r="50">
      <c r="A50" s="23" t="str">
        <f t="shared" si="2"/>
        <v>FB1100</v>
      </c>
      <c r="B50" s="23" t="str">
        <f>'3.4.raw'!M50</f>
        <v>FB1100</v>
      </c>
      <c r="C50" s="24">
        <f>'3.4.raw'!T50</f>
        <v>43775</v>
      </c>
      <c r="D50" s="23">
        <f>'3.4.raw'!I50</f>
        <v>99</v>
      </c>
      <c r="E50" s="1">
        <v>3.4</v>
      </c>
      <c r="G50" s="23" t="b">
        <f>if(countif(Status!C:C,A50)=1,TRUE, FALSE)</f>
        <v>1</v>
      </c>
      <c r="H50" s="23" t="str">
        <f>'3.4.raw'!AD50</f>
        <v>Associated Sample PLc1055</v>
      </c>
    </row>
    <row r="51">
      <c r="A51" s="23" t="str">
        <f t="shared" si="2"/>
        <v>PLc1056</v>
      </c>
      <c r="B51" s="23" t="str">
        <f>'3.4.raw'!M51</f>
        <v>PLc1056</v>
      </c>
      <c r="C51" s="24">
        <f>'3.4.raw'!T51</f>
        <v>43775</v>
      </c>
      <c r="D51" s="23">
        <f>'3.4.raw'!I51</f>
        <v>11</v>
      </c>
      <c r="E51" s="1">
        <v>3.4</v>
      </c>
      <c r="G51" s="23" t="b">
        <f>if(countif(Status!C:C,A51)=1,TRUE, FALSE)</f>
        <v>1</v>
      </c>
      <c r="H51" s="23" t="str">
        <f>'3.4.raw'!AD51</f>
        <v/>
      </c>
    </row>
    <row r="52">
      <c r="A52" s="23" t="str">
        <f t="shared" si="2"/>
        <v>FB1101UP</v>
      </c>
      <c r="B52" s="23" t="str">
        <f>'3.4.raw'!M52</f>
        <v>FB1101UP</v>
      </c>
      <c r="C52" s="24">
        <f>'3.4.raw'!T52</f>
        <v>43775</v>
      </c>
      <c r="D52" s="23">
        <f>'3.4.raw'!I52</f>
        <v>99</v>
      </c>
      <c r="E52" s="1">
        <v>3.4</v>
      </c>
      <c r="G52" s="23" t="b">
        <f>if(countif(Status!C:C,A52)=1,TRUE, FALSE)</f>
        <v>1</v>
      </c>
      <c r="H52" s="23" t="str">
        <f>'3.4.raw'!AD52</f>
        <v>Associated Sample PLc1056</v>
      </c>
    </row>
    <row r="53">
      <c r="A53" s="23" t="str">
        <f t="shared" si="2"/>
        <v>PLc1057</v>
      </c>
      <c r="B53" s="23" t="str">
        <f>'3.4.raw'!M53</f>
        <v>PLc1057</v>
      </c>
      <c r="C53" s="24">
        <f>'3.4.raw'!T53</f>
        <v>43775</v>
      </c>
      <c r="D53" s="23">
        <f>'3.4.raw'!I53</f>
        <v>11</v>
      </c>
      <c r="E53" s="1">
        <v>3.4</v>
      </c>
      <c r="G53" s="23" t="b">
        <f>if(countif(Status!C:C,A53)=1,TRUE, FALSE)</f>
        <v>1</v>
      </c>
      <c r="H53" s="23" t="str">
        <f>'3.4.raw'!AD53</f>
        <v/>
      </c>
    </row>
    <row r="54">
      <c r="A54" s="23" t="str">
        <f t="shared" si="2"/>
        <v>FB1102UP</v>
      </c>
      <c r="B54" s="23" t="str">
        <f>'3.4.raw'!M54</f>
        <v>FB1102UP</v>
      </c>
      <c r="C54" s="24">
        <f>'3.4.raw'!T54</f>
        <v>43775</v>
      </c>
      <c r="D54" s="23">
        <f>'3.4.raw'!I54</f>
        <v>99</v>
      </c>
      <c r="E54" s="1">
        <v>3.4</v>
      </c>
      <c r="G54" s="23" t="b">
        <f>if(countif(Status!C:C,A54)=1,TRUE, FALSE)</f>
        <v>1</v>
      </c>
      <c r="H54" s="23" t="str">
        <f>'3.4.raw'!AD54</f>
        <v>Associated Sample PLc1057</v>
      </c>
    </row>
    <row r="55">
      <c r="A55" s="23" t="str">
        <f t="shared" si="2"/>
        <v>PLc1058</v>
      </c>
      <c r="B55" s="23" t="str">
        <f>'3.4.raw'!M55</f>
        <v>PLc1058</v>
      </c>
      <c r="C55" s="24">
        <f>'3.4.raw'!T55</f>
        <v>43775</v>
      </c>
      <c r="D55" s="23">
        <f>'3.4.raw'!I55</f>
        <v>11</v>
      </c>
      <c r="E55" s="1">
        <v>3.4</v>
      </c>
      <c r="G55" s="23" t="b">
        <f>if(countif(Status!C:C,A55)=1,TRUE, FALSE)</f>
        <v>1</v>
      </c>
      <c r="H55" s="23" t="str">
        <f>'3.4.raw'!AD55</f>
        <v/>
      </c>
    </row>
    <row r="56">
      <c r="A56" s="23" t="str">
        <f t="shared" si="2"/>
        <v>FB1103</v>
      </c>
      <c r="B56" s="23" t="str">
        <f>'3.4.raw'!M56</f>
        <v>FB1103</v>
      </c>
      <c r="C56" s="24">
        <f>'3.4.raw'!T56</f>
        <v>43775</v>
      </c>
      <c r="D56" s="23">
        <f>'3.4.raw'!I56</f>
        <v>99</v>
      </c>
      <c r="E56" s="1">
        <v>3.4</v>
      </c>
      <c r="G56" s="23" t="b">
        <f>if(countif(Status!C:C,A56)=1,TRUE, FALSE)</f>
        <v>1</v>
      </c>
      <c r="H56" s="23" t="str">
        <f>'3.4.raw'!AD56</f>
        <v>Associated Sample PLc1058</v>
      </c>
    </row>
    <row r="57">
      <c r="A57" s="23" t="str">
        <f t="shared" si="2"/>
        <v>MO1110</v>
      </c>
      <c r="B57" s="23" t="str">
        <f>'3.4.raw'!M57</f>
        <v>MO1110</v>
      </c>
      <c r="C57" s="24">
        <f>'3.4.raw'!T57</f>
        <v>43775</v>
      </c>
      <c r="D57" s="23">
        <f>'3.4.raw'!I57</f>
        <v>12</v>
      </c>
      <c r="E57" s="1">
        <v>3.4</v>
      </c>
      <c r="G57" s="23" t="b">
        <f>if(countif(Status!C:C,A57)=1,TRUE, FALSE)</f>
        <v>1</v>
      </c>
      <c r="H57" s="23" t="str">
        <f>'3.4.raw'!AD57</f>
        <v/>
      </c>
    </row>
    <row r="58">
      <c r="A58" s="23" t="str">
        <f t="shared" si="2"/>
        <v>FB1104UP</v>
      </c>
      <c r="B58" s="23" t="str">
        <f>'3.4.raw'!M58</f>
        <v>FB1104UP</v>
      </c>
      <c r="C58" s="24">
        <f>'3.4.raw'!T58</f>
        <v>43775</v>
      </c>
      <c r="D58" s="23">
        <f>'3.4.raw'!I58</f>
        <v>99</v>
      </c>
      <c r="E58" s="1">
        <v>3.4</v>
      </c>
      <c r="G58" s="23" t="b">
        <f>if(countif(Status!C:C,A58)=1,TRUE, FALSE)</f>
        <v>1</v>
      </c>
      <c r="H58" s="23" t="str">
        <f>'3.4.raw'!AD58</f>
        <v>Associated Sample MO1111</v>
      </c>
    </row>
    <row r="59">
      <c r="A59" s="23" t="str">
        <f t="shared" si="2"/>
        <v>MO1111</v>
      </c>
      <c r="B59" s="23" t="str">
        <f>'3.4.raw'!M59</f>
        <v>MO1111</v>
      </c>
      <c r="C59" s="24">
        <f>'3.4.raw'!T59</f>
        <v>43775</v>
      </c>
      <c r="D59" s="23">
        <f>'3.4.raw'!I59</f>
        <v>99</v>
      </c>
      <c r="E59" s="1">
        <v>3.4</v>
      </c>
      <c r="G59" s="23" t="b">
        <f>if(countif(Status!C:C,A59)=1,TRUE, FALSE)</f>
        <v>1</v>
      </c>
      <c r="H59" s="23" t="str">
        <f>'3.4.raw'!AD59</f>
        <v/>
      </c>
    </row>
    <row r="60">
      <c r="A60" s="23" t="str">
        <f t="shared" si="2"/>
        <v>FB1105</v>
      </c>
      <c r="B60" s="23" t="str">
        <f>'3.4.raw'!M60</f>
        <v>FB1105</v>
      </c>
      <c r="C60" s="24">
        <f>'3.4.raw'!T60</f>
        <v>43775</v>
      </c>
      <c r="D60" s="23">
        <f>'3.4.raw'!I60</f>
        <v>99</v>
      </c>
      <c r="E60" s="1">
        <v>3.4</v>
      </c>
      <c r="G60" s="23" t="b">
        <f>if(countif(Status!C:C,A60)=1,TRUE, FALSE)</f>
        <v>1</v>
      </c>
      <c r="H60" s="23" t="str">
        <f>'3.4.raw'!AD60</f>
        <v>Associated Sample MO1110</v>
      </c>
    </row>
    <row r="61">
      <c r="A61" s="23" t="str">
        <f t="shared" si="2"/>
        <v>COa1005</v>
      </c>
      <c r="B61" s="23" t="str">
        <f>'3.4.raw'!M61</f>
        <v>COa1005</v>
      </c>
      <c r="C61" s="24">
        <f>'3.4.raw'!T61</f>
        <v>43777</v>
      </c>
      <c r="D61" s="23">
        <f>'3.4.raw'!I61</f>
        <v>15</v>
      </c>
      <c r="E61" s="1">
        <v>3.4</v>
      </c>
      <c r="G61" s="23" t="b">
        <f>if(countif(Status!C:C,A61)=1,TRUE, FALSE)</f>
        <v>1</v>
      </c>
      <c r="H61" s="23" t="str">
        <f>'3.4.raw'!AD61</f>
        <v/>
      </c>
    </row>
    <row r="62">
      <c r="A62" s="23" t="str">
        <f t="shared" si="2"/>
        <v>COb1014</v>
      </c>
      <c r="B62" s="23" t="str">
        <f>'3.4.raw'!M62</f>
        <v>COb1014</v>
      </c>
      <c r="C62" s="24">
        <f>'3.4.raw'!T62</f>
        <v>43777</v>
      </c>
      <c r="D62" s="23">
        <f>'3.4.raw'!I62</f>
        <v>15</v>
      </c>
      <c r="E62" s="1">
        <v>3.4</v>
      </c>
      <c r="G62" s="23" t="b">
        <f>if(countif(Status!C:C,A62)=1,TRUE, FALSE)</f>
        <v>1</v>
      </c>
      <c r="H62" s="23" t="str">
        <f>'3.4.raw'!AD62</f>
        <v/>
      </c>
    </row>
    <row r="63">
      <c r="A63" s="23" t="str">
        <f t="shared" si="2"/>
        <v>COb1015</v>
      </c>
      <c r="B63" s="23" t="str">
        <f>'3.4.raw'!M63</f>
        <v>COb1015</v>
      </c>
      <c r="C63" s="24">
        <f>'3.4.raw'!T63</f>
        <v>43777</v>
      </c>
      <c r="D63" s="23">
        <f>'3.4.raw'!I63</f>
        <v>15</v>
      </c>
      <c r="E63" s="1">
        <v>3.4</v>
      </c>
      <c r="G63" s="23" t="b">
        <f>if(countif(Status!C:C,A63)=1,TRUE, FALSE)</f>
        <v>1</v>
      </c>
      <c r="H63" s="23" t="str">
        <f>'3.4.raw'!AD63</f>
        <v/>
      </c>
    </row>
    <row r="64">
      <c r="A64" s="23" t="str">
        <f t="shared" si="2"/>
        <v>COb1016</v>
      </c>
      <c r="B64" s="23" t="str">
        <f>'3.4.raw'!M64</f>
        <v>COb1016</v>
      </c>
      <c r="C64" s="24">
        <f>'3.4.raw'!T64</f>
        <v>43777</v>
      </c>
      <c r="D64" s="23">
        <f>'3.4.raw'!I64</f>
        <v>15</v>
      </c>
      <c r="E64" s="1">
        <v>3.4</v>
      </c>
      <c r="G64" s="23" t="b">
        <f>if(countif(Status!C:C,A64)=1,TRUE, FALSE)</f>
        <v>1</v>
      </c>
      <c r="H64" s="23" t="str">
        <f>'3.4.raw'!AD64</f>
        <v/>
      </c>
    </row>
    <row r="65">
      <c r="A65" s="23" t="str">
        <f t="shared" si="2"/>
        <v>FB1108</v>
      </c>
      <c r="B65" s="23" t="str">
        <f>'3.4.raw'!M65</f>
        <v>FB1108</v>
      </c>
      <c r="C65" s="24">
        <f>'3.4.raw'!T65</f>
        <v>43777</v>
      </c>
      <c r="D65" s="23">
        <f>'3.4.raw'!I65</f>
        <v>99</v>
      </c>
      <c r="E65" s="1">
        <v>3.4</v>
      </c>
      <c r="G65" s="23" t="b">
        <f>if(countif(Status!C:C,A65)=1,TRUE, FALSE)</f>
        <v>1</v>
      </c>
      <c r="H65" s="23" t="str">
        <f>'3.4.raw'!AD65</f>
        <v>Associated Sample COa1005, COb1014, COb1015, COb1016</v>
      </c>
    </row>
    <row r="66">
      <c r="A66" s="23" t="str">
        <f t="shared" si="2"/>
        <v>FB1108UP</v>
      </c>
      <c r="B66" s="23" t="str">
        <f>'3.4.raw'!M66</f>
        <v>FB1108UP</v>
      </c>
      <c r="C66" s="24">
        <f>'3.4.raw'!T66</f>
        <v>43777</v>
      </c>
      <c r="D66" s="23">
        <f>'3.4.raw'!I66</f>
        <v>99</v>
      </c>
      <c r="E66" s="1">
        <v>3.4</v>
      </c>
      <c r="G66" s="23" t="b">
        <f>if(countif(Status!C:C,A66)=1,TRUE, FALSE)</f>
        <v>1</v>
      </c>
      <c r="H66" s="23" t="str">
        <f>'3.4.raw'!AD66</f>
        <v>Associated Sample COa1005, COb1014, COb1015, COb1016</v>
      </c>
    </row>
    <row r="67">
      <c r="A67" s="23" t="str">
        <f t="shared" si="2"/>
        <v>PLc1059</v>
      </c>
      <c r="B67" s="23" t="str">
        <f>'3.4.raw'!M67</f>
        <v>PLc1059</v>
      </c>
      <c r="C67" s="24">
        <f>'3.4.raw'!T67</f>
        <v>43777</v>
      </c>
      <c r="D67" s="23">
        <f>'3.4.raw'!I67</f>
        <v>11</v>
      </c>
      <c r="E67" s="1">
        <v>3.4</v>
      </c>
      <c r="G67" s="23" t="b">
        <f>if(countif(Status!C:C,A67)=1,TRUE, FALSE)</f>
        <v>1</v>
      </c>
      <c r="H67" s="23" t="str">
        <f>'3.4.raw'!AD67</f>
        <v/>
      </c>
    </row>
    <row r="68">
      <c r="A68" s="23" t="str">
        <f t="shared" si="2"/>
        <v>FB1106UP</v>
      </c>
      <c r="B68" s="23" t="str">
        <f>'3.4.raw'!M68</f>
        <v>FB1106UP</v>
      </c>
      <c r="C68" s="24">
        <f>'3.4.raw'!T68</f>
        <v>43777</v>
      </c>
      <c r="D68" s="23">
        <f>'3.4.raw'!I68</f>
        <v>99</v>
      </c>
      <c r="E68" s="1">
        <v>3.4</v>
      </c>
      <c r="G68" s="23" t="b">
        <f>if(countif(Status!C:C,A68)=1,TRUE, FALSE)</f>
        <v>1</v>
      </c>
      <c r="H68" s="23" t="str">
        <f>'3.4.raw'!AD68</f>
        <v>Associated Sample PLc1059</v>
      </c>
    </row>
    <row r="69">
      <c r="A69" s="23" t="str">
        <f t="shared" si="2"/>
        <v>PLc1060</v>
      </c>
      <c r="B69" s="23" t="str">
        <f>'3.4.raw'!M69</f>
        <v>PLc1060</v>
      </c>
      <c r="C69" s="24">
        <f>'3.4.raw'!T69</f>
        <v>43777</v>
      </c>
      <c r="D69" s="23">
        <f>'3.4.raw'!I69</f>
        <v>11</v>
      </c>
      <c r="E69" s="1">
        <v>3.4</v>
      </c>
      <c r="G69" s="23" t="b">
        <f>if(countif(Status!C:C,A69)=1,TRUE, FALSE)</f>
        <v>1</v>
      </c>
      <c r="H69" s="23" t="str">
        <f>'3.4.raw'!AD69</f>
        <v/>
      </c>
    </row>
    <row r="70">
      <c r="A70" s="23" t="str">
        <f t="shared" si="2"/>
        <v>FB1107UP</v>
      </c>
      <c r="B70" s="23" t="str">
        <f>'3.4.raw'!M70</f>
        <v>FB1107UP</v>
      </c>
      <c r="C70" s="24">
        <f>'3.4.raw'!T70</f>
        <v>43777</v>
      </c>
      <c r="D70" s="23">
        <f>'3.4.raw'!I70</f>
        <v>99</v>
      </c>
      <c r="E70" s="1">
        <v>3.4</v>
      </c>
      <c r="G70" s="23" t="b">
        <f>if(countif(Status!C:C,A70)=1,TRUE, FALSE)</f>
        <v>1</v>
      </c>
      <c r="H70" s="23" t="str">
        <f>'3.4.raw'!AD70</f>
        <v>Associated Sample PLc1060</v>
      </c>
    </row>
    <row r="71">
      <c r="A71" s="23" t="str">
        <f t="shared" si="2"/>
        <v>PLc1061</v>
      </c>
      <c r="B71" s="23" t="str">
        <f>'3.4.raw'!M71</f>
        <v>PLc1061</v>
      </c>
      <c r="C71" s="24">
        <f>'3.4.raw'!T71</f>
        <v>43777</v>
      </c>
      <c r="D71" s="23">
        <f>'3.4.raw'!I71</f>
        <v>11</v>
      </c>
      <c r="E71" s="1">
        <v>3.4</v>
      </c>
      <c r="G71" s="23" t="b">
        <f>if(countif(Status!C:C,A71)=1,TRUE, FALSE)</f>
        <v>1</v>
      </c>
      <c r="H71" s="23" t="str">
        <f>'3.4.raw'!AD71</f>
        <v/>
      </c>
    </row>
    <row r="72">
      <c r="A72" s="23" t="str">
        <f t="shared" si="2"/>
        <v>FB1109UP</v>
      </c>
      <c r="B72" s="23" t="str">
        <f>'3.4.raw'!M72</f>
        <v>FB1109UP</v>
      </c>
      <c r="C72" s="24">
        <f>'3.4.raw'!T72</f>
        <v>43777</v>
      </c>
      <c r="D72" s="23">
        <f>'3.4.raw'!I72</f>
        <v>99</v>
      </c>
      <c r="E72" s="1">
        <v>3.4</v>
      </c>
      <c r="G72" s="23" t="b">
        <f>if(countif(Status!C:C,A72)=1,TRUE, FALSE)</f>
        <v>1</v>
      </c>
      <c r="H72" s="23" t="str">
        <f>'3.4.raw'!AD72</f>
        <v>Associated Sample PLc1061</v>
      </c>
    </row>
    <row r="73">
      <c r="A73" s="23" t="str">
        <f t="shared" si="2"/>
        <v>PLc1062</v>
      </c>
      <c r="B73" s="23" t="str">
        <f>'3.4.raw'!M73</f>
        <v>PLc1062</v>
      </c>
      <c r="C73" s="24">
        <f>'3.4.raw'!T73</f>
        <v>43777</v>
      </c>
      <c r="D73" s="23">
        <f>'3.4.raw'!I73</f>
        <v>11</v>
      </c>
      <c r="E73" s="1">
        <v>3.4</v>
      </c>
      <c r="G73" s="23" t="b">
        <f>if(countif(Status!C:C,A73)=1,TRUE, FALSE)</f>
        <v>1</v>
      </c>
      <c r="H73" s="23" t="str">
        <f>'3.4.raw'!AD73</f>
        <v/>
      </c>
    </row>
    <row r="74">
      <c r="A74" s="23" t="str">
        <f t="shared" si="2"/>
        <v>FB1110UP</v>
      </c>
      <c r="B74" s="23" t="str">
        <f>'3.4.raw'!M74</f>
        <v>FB1110UP</v>
      </c>
      <c r="C74" s="24">
        <f>'3.4.raw'!T74</f>
        <v>43777</v>
      </c>
      <c r="D74" s="23">
        <f>'3.4.raw'!I74</f>
        <v>99</v>
      </c>
      <c r="E74" s="1">
        <v>3.4</v>
      </c>
      <c r="G74" s="23" t="b">
        <f>if(countif(Status!C:C,A74)=1,TRUE, FALSE)</f>
        <v>1</v>
      </c>
      <c r="H74" s="23" t="str">
        <f>'3.4.raw'!AD74</f>
        <v>Associated Sample PLc1062</v>
      </c>
    </row>
    <row r="75">
      <c r="A75" s="23" t="str">
        <f t="shared" si="2"/>
        <v>PLc1063</v>
      </c>
      <c r="B75" s="23" t="str">
        <f>'3.4.raw'!M75</f>
        <v>PLc1063</v>
      </c>
      <c r="C75" s="24">
        <f>'3.4.raw'!T75</f>
        <v>43777</v>
      </c>
      <c r="D75" s="23">
        <f>'3.4.raw'!I75</f>
        <v>11</v>
      </c>
      <c r="E75" s="1">
        <v>3.4</v>
      </c>
      <c r="G75" s="23" t="b">
        <f>if(countif(Status!C:C,A75)=1,TRUE, FALSE)</f>
        <v>1</v>
      </c>
      <c r="H75" s="23" t="str">
        <f>'3.4.raw'!AD75</f>
        <v/>
      </c>
    </row>
    <row r="76">
      <c r="A76" s="23" t="str">
        <f t="shared" si="2"/>
        <v>FB1111UP</v>
      </c>
      <c r="B76" s="23" t="str">
        <f>'3.4.raw'!M76</f>
        <v>FB1111UP</v>
      </c>
      <c r="C76" s="24">
        <f>'3.4.raw'!T76</f>
        <v>43777</v>
      </c>
      <c r="D76" s="23">
        <f>'3.4.raw'!I76</f>
        <v>99</v>
      </c>
      <c r="E76" s="1">
        <v>3.4</v>
      </c>
      <c r="G76" s="23" t="b">
        <f>if(countif(Status!C:C,A76)=1,TRUE, FALSE)</f>
        <v>1</v>
      </c>
      <c r="H76" s="23" t="str">
        <f>'3.4.raw'!AD76</f>
        <v>Associated Sample PLc1063</v>
      </c>
    </row>
    <row r="77">
      <c r="A77" s="23" t="str">
        <f t="shared" si="2"/>
        <v>PLc1064</v>
      </c>
      <c r="B77" s="23" t="str">
        <f>'3.4.raw'!M77</f>
        <v>PLc1064</v>
      </c>
      <c r="C77" s="24">
        <f>'3.4.raw'!T77</f>
        <v>43777</v>
      </c>
      <c r="D77" s="23">
        <f>'3.4.raw'!I77</f>
        <v>11</v>
      </c>
      <c r="E77" s="1">
        <v>3.4</v>
      </c>
      <c r="G77" s="23" t="b">
        <f>if(countif(Status!C:C,A77)=1,TRUE, FALSE)</f>
        <v>1</v>
      </c>
      <c r="H77" s="23" t="str">
        <f>'3.4.raw'!AD77</f>
        <v/>
      </c>
    </row>
    <row r="78">
      <c r="A78" s="23" t="str">
        <f t="shared" si="2"/>
        <v>FB1112UP</v>
      </c>
      <c r="B78" s="23" t="str">
        <f>'3.4.raw'!M78</f>
        <v>FB1112UP</v>
      </c>
      <c r="C78" s="24">
        <f>'3.4.raw'!T78</f>
        <v>43777</v>
      </c>
      <c r="D78" s="23">
        <f>'3.4.raw'!I78</f>
        <v>99</v>
      </c>
      <c r="E78" s="1">
        <v>3.4</v>
      </c>
      <c r="G78" s="23" t="b">
        <f>if(countif(Status!C:C,A78)=1,TRUE, FALSE)</f>
        <v>1</v>
      </c>
      <c r="H78" s="23" t="str">
        <f>'3.4.raw'!AD78</f>
        <v>Associated Sample PLc1064</v>
      </c>
    </row>
    <row r="79">
      <c r="A79" s="23" t="str">
        <f t="shared" si="2"/>
        <v>PLc1065</v>
      </c>
      <c r="B79" s="23" t="str">
        <f>'3.4.raw'!M79</f>
        <v>PLc1065</v>
      </c>
      <c r="C79" s="24">
        <f>'3.4.raw'!T79</f>
        <v>43777</v>
      </c>
      <c r="D79" s="23">
        <f>'3.4.raw'!I79</f>
        <v>11</v>
      </c>
      <c r="E79" s="1">
        <v>3.4</v>
      </c>
      <c r="G79" s="23" t="b">
        <f>if(countif(Status!C:C,A79)=1,TRUE, FALSE)</f>
        <v>1</v>
      </c>
      <c r="H79" s="23" t="str">
        <f>'3.4.raw'!AD79</f>
        <v/>
      </c>
    </row>
    <row r="80">
      <c r="A80" s="23" t="str">
        <f t="shared" si="2"/>
        <v>FB1113UP</v>
      </c>
      <c r="B80" s="23" t="str">
        <f>'3.4.raw'!M80</f>
        <v>FB1113UP</v>
      </c>
      <c r="C80" s="24">
        <f>'3.4.raw'!T80</f>
        <v>43777</v>
      </c>
      <c r="D80" s="23">
        <f>'3.4.raw'!I80</f>
        <v>99</v>
      </c>
      <c r="E80" s="1">
        <v>3.4</v>
      </c>
      <c r="G80" s="23" t="b">
        <f>if(countif(Status!C:C,A80)=1,TRUE, FALSE)</f>
        <v>1</v>
      </c>
      <c r="H80" s="23" t="str">
        <f>'3.4.raw'!AD80</f>
        <v>Associated Sample PLc1065</v>
      </c>
    </row>
    <row r="81">
      <c r="A81" s="23" t="str">
        <f t="shared" si="2"/>
        <v>PLc1066</v>
      </c>
      <c r="B81" s="23" t="str">
        <f>'3.4.raw'!M81</f>
        <v>PLc1066</v>
      </c>
      <c r="C81" s="24">
        <f>'3.4.raw'!T81</f>
        <v>43777</v>
      </c>
      <c r="D81" s="23">
        <f>'3.4.raw'!I81</f>
        <v>11</v>
      </c>
      <c r="E81" s="1">
        <v>3.4</v>
      </c>
      <c r="G81" s="23" t="b">
        <f>if(countif(Status!C:C,A81)=1,TRUE, FALSE)</f>
        <v>1</v>
      </c>
      <c r="H81" s="23" t="str">
        <f>'3.4.raw'!AD81</f>
        <v/>
      </c>
    </row>
    <row r="82">
      <c r="A82" s="23" t="str">
        <f t="shared" si="2"/>
        <v>FB1114UP</v>
      </c>
      <c r="B82" s="23" t="str">
        <f>'3.4.raw'!M82</f>
        <v>FB1114UP</v>
      </c>
      <c r="C82" s="24">
        <f>'3.4.raw'!T82</f>
        <v>43777</v>
      </c>
      <c r="D82" s="23">
        <f>'3.4.raw'!I82</f>
        <v>99</v>
      </c>
      <c r="E82" s="1">
        <v>3.4</v>
      </c>
      <c r="G82" s="23" t="b">
        <f>if(countif(Status!C:C,A82)=1,TRUE, FALSE)</f>
        <v>1</v>
      </c>
      <c r="H82" s="23" t="str">
        <f>'3.4.raw'!AD82</f>
        <v>Associated Sample PLc1066</v>
      </c>
    </row>
    <row r="83">
      <c r="A83" s="23" t="str">
        <f t="shared" si="2"/>
        <v>PLc1067</v>
      </c>
      <c r="B83" s="23" t="str">
        <f>'3.4.raw'!M83</f>
        <v>PLc1067</v>
      </c>
      <c r="C83" s="24">
        <f>'3.4.raw'!T83</f>
        <v>43777</v>
      </c>
      <c r="D83" s="23">
        <f>'3.4.raw'!I83</f>
        <v>11</v>
      </c>
      <c r="E83" s="1">
        <v>3.4</v>
      </c>
      <c r="G83" s="23" t="b">
        <f>if(countif(Status!C:C,A83)=1,TRUE, FALSE)</f>
        <v>1</v>
      </c>
      <c r="H83" s="23" t="str">
        <f>'3.4.raw'!AD83</f>
        <v/>
      </c>
    </row>
    <row r="84">
      <c r="A84" s="23" t="str">
        <f t="shared" si="2"/>
        <v>FB1115UP</v>
      </c>
      <c r="B84" s="23" t="str">
        <f>'3.4.raw'!M84</f>
        <v>FB1115UP</v>
      </c>
      <c r="C84" s="24">
        <f>'3.4.raw'!T84</f>
        <v>43777</v>
      </c>
      <c r="D84" s="23">
        <f>'3.4.raw'!I84</f>
        <v>99</v>
      </c>
      <c r="E84" s="1">
        <v>3.4</v>
      </c>
      <c r="G84" s="23" t="b">
        <f>if(countif(Status!C:C,A84)=1,TRUE, FALSE)</f>
        <v>1</v>
      </c>
      <c r="H84" s="23" t="str">
        <f>'3.4.raw'!AD84</f>
        <v>Associated Sample PLc1067</v>
      </c>
    </row>
    <row r="85">
      <c r="A85" s="23" t="str">
        <f t="shared" si="2"/>
        <v>MO1112</v>
      </c>
      <c r="B85" s="23" t="str">
        <f>'3.4.raw'!M85</f>
        <v>MO1112</v>
      </c>
      <c r="C85" s="24">
        <f>'3.4.raw'!T85</f>
        <v>43777</v>
      </c>
      <c r="D85" s="23">
        <f>'3.4.raw'!I85</f>
        <v>12</v>
      </c>
      <c r="E85" s="1">
        <v>3.4</v>
      </c>
      <c r="G85" s="23" t="b">
        <f>if(countif(Status!C:C,A85)=1,TRUE, FALSE)</f>
        <v>1</v>
      </c>
      <c r="H85" s="23" t="str">
        <f>'3.4.raw'!AD85</f>
        <v/>
      </c>
    </row>
    <row r="86">
      <c r="A86" s="23" t="str">
        <f t="shared" si="2"/>
        <v>FB1116UP</v>
      </c>
      <c r="B86" s="23" t="str">
        <f>'3.4.raw'!M86</f>
        <v>FB1116UP</v>
      </c>
      <c r="C86" s="24">
        <f>'3.4.raw'!T86</f>
        <v>43777</v>
      </c>
      <c r="D86" s="23">
        <f>'3.4.raw'!I86</f>
        <v>99</v>
      </c>
      <c r="E86" s="1">
        <v>3.4</v>
      </c>
      <c r="G86" s="23" t="b">
        <f>if(countif(Status!C:C,A86)=1,TRUE, FALSE)</f>
        <v>1</v>
      </c>
      <c r="H86" s="23" t="str">
        <f>'3.4.raw'!AD86</f>
        <v>Associated Sample MO1112</v>
      </c>
    </row>
    <row r="87">
      <c r="A87" s="23" t="str">
        <f t="shared" si="2"/>
        <v>MO1113</v>
      </c>
      <c r="B87" s="23" t="str">
        <f>'3.4.raw'!M87</f>
        <v>MO1113</v>
      </c>
      <c r="C87" s="24">
        <f>'3.4.raw'!T87</f>
        <v>43777</v>
      </c>
      <c r="D87" s="23">
        <f>'3.4.raw'!I87</f>
        <v>12</v>
      </c>
      <c r="E87" s="1">
        <v>3.4</v>
      </c>
      <c r="G87" s="23" t="b">
        <f>if(countif(Status!C:C,A87)=1,TRUE, FALSE)</f>
        <v>1</v>
      </c>
      <c r="H87" s="23" t="str">
        <f>'3.4.raw'!AD87</f>
        <v/>
      </c>
    </row>
    <row r="88">
      <c r="A88" s="23" t="str">
        <f t="shared" si="2"/>
        <v>FB1117UP</v>
      </c>
      <c r="B88" s="23" t="str">
        <f>'3.4.raw'!M88</f>
        <v>FB1117UP</v>
      </c>
      <c r="C88" s="24">
        <f>'3.4.raw'!T88</f>
        <v>43777</v>
      </c>
      <c r="D88" s="23">
        <f>'3.4.raw'!I88</f>
        <v>99</v>
      </c>
      <c r="E88" s="1">
        <v>3.4</v>
      </c>
      <c r="G88" s="23" t="b">
        <f>if(countif(Status!C:C,A88)=1,TRUE, FALSE)</f>
        <v>1</v>
      </c>
      <c r="H88" s="23" t="str">
        <f>'3.4.raw'!AD88</f>
        <v>Associated Sample MO1113</v>
      </c>
    </row>
    <row r="89">
      <c r="A89" s="23" t="str">
        <f t="shared" si="2"/>
        <v>FPe1004</v>
      </c>
      <c r="B89" s="23" t="str">
        <f>'3.4.raw'!M89</f>
        <v>FPe1004</v>
      </c>
      <c r="C89" s="24">
        <f>'3.4.raw'!T89</f>
        <v>43787</v>
      </c>
      <c r="D89" s="23">
        <f>'3.4.raw'!I89</f>
        <v>14</v>
      </c>
      <c r="E89" s="1">
        <v>3.4</v>
      </c>
      <c r="G89" s="23" t="b">
        <f>if(countif(Status!C:C,A89)=1,TRUE, FALSE)</f>
        <v>1</v>
      </c>
      <c r="H89" s="23" t="str">
        <f>'3.4.raw'!AD89</f>
        <v/>
      </c>
    </row>
    <row r="90">
      <c r="A90" s="23" t="str">
        <f t="shared" si="2"/>
        <v>FPa1004</v>
      </c>
      <c r="B90" s="23" t="str">
        <f>'3.4.raw'!M90</f>
        <v>FPa1004</v>
      </c>
      <c r="C90" s="24">
        <f>'3.4.raw'!T90</f>
        <v>43787</v>
      </c>
      <c r="D90" s="23">
        <f>'3.4.raw'!I90</f>
        <v>14</v>
      </c>
      <c r="E90" s="1">
        <v>3.4</v>
      </c>
      <c r="G90" s="23" t="b">
        <f>if(countif(Status!C:C,A90)=1,TRUE, FALSE)</f>
        <v>1</v>
      </c>
      <c r="H90" s="23" t="str">
        <f>'3.4.raw'!AD90</f>
        <v/>
      </c>
    </row>
    <row r="91">
      <c r="A91" s="23" t="str">
        <f t="shared" si="2"/>
        <v>FPc1004</v>
      </c>
      <c r="B91" s="23" t="str">
        <f>'3.4.raw'!M91</f>
        <v>FPc1004</v>
      </c>
      <c r="C91" s="24">
        <f>'3.4.raw'!T91</f>
        <v>43787</v>
      </c>
      <c r="D91" s="23">
        <f>'3.4.raw'!I91</f>
        <v>14</v>
      </c>
      <c r="E91" s="1">
        <v>3.4</v>
      </c>
      <c r="G91" s="23" t="b">
        <f>if(countif(Status!C:C,A91)=1,TRUE, FALSE)</f>
        <v>1</v>
      </c>
      <c r="H91" s="23" t="str">
        <f>'3.4.raw'!AD91</f>
        <v/>
      </c>
    </row>
    <row r="92">
      <c r="A92" s="23" t="str">
        <f t="shared" si="2"/>
        <v>FB1118UP</v>
      </c>
      <c r="B92" s="23" t="str">
        <f>'3.4.raw'!M92</f>
        <v>FB1118UP</v>
      </c>
      <c r="C92" s="24">
        <f>'3.4.raw'!T92</f>
        <v>43787</v>
      </c>
      <c r="D92" s="23">
        <f>'3.4.raw'!I92</f>
        <v>99</v>
      </c>
      <c r="E92" s="1">
        <v>3.4</v>
      </c>
      <c r="G92" s="23" t="b">
        <f>if(countif(Status!C:C,A92)=1,TRUE, FALSE)</f>
        <v>1</v>
      </c>
      <c r="H92" s="23" t="str">
        <f>'3.4.raw'!AD92</f>
        <v>Associated Sample FPd1004, FPe1004, FPa1004, FPb1004, FPc1004</v>
      </c>
    </row>
    <row r="93">
      <c r="A93" s="23" t="str">
        <f t="shared" si="2"/>
        <v>MO1114</v>
      </c>
      <c r="B93" s="23" t="str">
        <f>'3.4.raw'!M93</f>
        <v>MO1114</v>
      </c>
      <c r="C93" s="24">
        <f>'3.4.raw'!T93</f>
        <v>43787</v>
      </c>
      <c r="D93" s="23">
        <f>'3.4.raw'!I93</f>
        <v>12</v>
      </c>
      <c r="E93" s="1">
        <v>3.4</v>
      </c>
      <c r="G93" s="23" t="b">
        <f>if(countif(Status!C:C,A93)=1,TRUE, FALSE)</f>
        <v>1</v>
      </c>
      <c r="H93" s="23" t="str">
        <f>'3.4.raw'!AD93</f>
        <v/>
      </c>
    </row>
    <row r="94">
      <c r="A94" s="23" t="str">
        <f t="shared" si="2"/>
        <v>MO1115</v>
      </c>
      <c r="B94" s="23" t="str">
        <f>'3.4.raw'!M94</f>
        <v>MO1115</v>
      </c>
      <c r="C94" s="24">
        <f>'3.4.raw'!T94</f>
        <v>43787</v>
      </c>
      <c r="D94" s="23">
        <f>'3.4.raw'!I94</f>
        <v>12</v>
      </c>
      <c r="E94" s="1">
        <v>3.4</v>
      </c>
      <c r="G94" s="23" t="b">
        <f>if(countif(Status!C:C,A94)=1,TRUE, FALSE)</f>
        <v>1</v>
      </c>
      <c r="H94" s="23" t="str">
        <f>'3.4.raw'!AD94</f>
        <v/>
      </c>
    </row>
    <row r="95">
      <c r="A95" s="23" t="str">
        <f t="shared" si="2"/>
        <v>PLc1068</v>
      </c>
      <c r="B95" s="23" t="str">
        <f>'3.4.raw'!M95</f>
        <v>PLc1068</v>
      </c>
      <c r="C95" s="24">
        <f>'3.4.raw'!T95</f>
        <v>43787</v>
      </c>
      <c r="D95" s="23">
        <f>'3.4.raw'!I95</f>
        <v>11</v>
      </c>
      <c r="E95" s="1">
        <v>3.4</v>
      </c>
      <c r="G95" s="23" t="b">
        <f>if(countif(Status!C:C,A95)=1,TRUE, FALSE)</f>
        <v>1</v>
      </c>
      <c r="H95" s="23" t="str">
        <f>'3.4.raw'!AD95</f>
        <v/>
      </c>
    </row>
    <row r="96">
      <c r="A96" s="23" t="str">
        <f t="shared" si="2"/>
        <v>FB1119UP</v>
      </c>
      <c r="B96" s="23" t="str">
        <f>'3.4.raw'!M96</f>
        <v>FB1119UP</v>
      </c>
      <c r="C96" s="24">
        <f>'3.4.raw'!T96</f>
        <v>43787</v>
      </c>
      <c r="D96" s="23">
        <f>'3.4.raw'!I96</f>
        <v>99</v>
      </c>
      <c r="E96" s="1">
        <v>3.4</v>
      </c>
      <c r="G96" s="23" t="b">
        <f>if(countif(Status!C:C,A96)=1,TRUE, FALSE)</f>
        <v>1</v>
      </c>
      <c r="H96" s="23" t="str">
        <f>'3.4.raw'!AD96</f>
        <v>Associatedsample PLc1068</v>
      </c>
    </row>
    <row r="97">
      <c r="A97" s="23" t="str">
        <f t="shared" si="2"/>
        <v>PLc1069</v>
      </c>
      <c r="B97" s="23" t="str">
        <f>'3.4.raw'!M97</f>
        <v>PLc1069</v>
      </c>
      <c r="C97" s="24">
        <f>'3.4.raw'!T97</f>
        <v>43787</v>
      </c>
      <c r="D97" s="23">
        <f>'3.4.raw'!I97</f>
        <v>11</v>
      </c>
      <c r="E97" s="1">
        <v>3.4</v>
      </c>
      <c r="G97" s="23" t="b">
        <f>if(countif(Status!C:C,A97)=1,TRUE, FALSE)</f>
        <v>1</v>
      </c>
      <c r="H97" s="23" t="str">
        <f>'3.4.raw'!AD97</f>
        <v/>
      </c>
    </row>
    <row r="98">
      <c r="A98" s="23" t="str">
        <f t="shared" si="2"/>
        <v>FB1120UP</v>
      </c>
      <c r="B98" s="23" t="str">
        <f>'3.4.raw'!M98</f>
        <v>FB1120UP</v>
      </c>
      <c r="C98" s="24">
        <f>'3.4.raw'!T98</f>
        <v>43787</v>
      </c>
      <c r="D98" s="23">
        <f>'3.4.raw'!I98</f>
        <v>99</v>
      </c>
      <c r="E98" s="1">
        <v>3.4</v>
      </c>
      <c r="G98" s="23" t="b">
        <f>if(countif(Status!C:C,A98)=1,TRUE, FALSE)</f>
        <v>1</v>
      </c>
      <c r="H98" s="23" t="str">
        <f>'3.4.raw'!AD98</f>
        <v>Associated sample PLc1069</v>
      </c>
    </row>
    <row r="99">
      <c r="A99" s="23" t="str">
        <f t="shared" si="2"/>
        <v>PLc1070</v>
      </c>
      <c r="B99" s="23" t="str">
        <f>'3.4.raw'!M99</f>
        <v>PLc1070</v>
      </c>
      <c r="C99" s="24">
        <f>'3.4.raw'!T99</f>
        <v>43787</v>
      </c>
      <c r="D99" s="23">
        <f>'3.4.raw'!I99</f>
        <v>11</v>
      </c>
      <c r="E99" s="1">
        <v>3.4</v>
      </c>
      <c r="G99" s="23" t="b">
        <f>if(countif(Status!C:C,A99)=1,TRUE, FALSE)</f>
        <v>1</v>
      </c>
      <c r="H99" s="23" t="str">
        <f>'3.4.raw'!AD99</f>
        <v/>
      </c>
    </row>
    <row r="100">
      <c r="A100" s="23" t="str">
        <f t="shared" si="2"/>
        <v>PLc1071</v>
      </c>
      <c r="B100" s="23" t="str">
        <f>'3.4.raw'!M100</f>
        <v>PLc1071</v>
      </c>
      <c r="C100" s="24">
        <f>'3.4.raw'!T100</f>
        <v>43787</v>
      </c>
      <c r="D100" s="23">
        <f>'3.4.raw'!I100</f>
        <v>11</v>
      </c>
      <c r="E100" s="1">
        <v>3.4</v>
      </c>
      <c r="G100" s="23" t="b">
        <f>if(countif(Status!C:C,A100)=1,TRUE, FALSE)</f>
        <v>1</v>
      </c>
      <c r="H100" s="23" t="str">
        <f>'3.4.raw'!AD100</f>
        <v/>
      </c>
    </row>
    <row r="101">
      <c r="A101" s="23" t="str">
        <f t="shared" si="2"/>
        <v>PLc1072</v>
      </c>
      <c r="B101" s="23" t="str">
        <f>'3.4.raw'!M101</f>
        <v>PLc1072</v>
      </c>
      <c r="C101" s="24">
        <f>'3.4.raw'!T101</f>
        <v>43787</v>
      </c>
      <c r="D101" s="23">
        <f>'3.4.raw'!I101</f>
        <v>11</v>
      </c>
      <c r="E101" s="1">
        <v>3.4</v>
      </c>
      <c r="G101" s="23" t="b">
        <f>if(countif(Status!C:C,A101)=1,TRUE, FALSE)</f>
        <v>1</v>
      </c>
      <c r="H101" s="23" t="str">
        <f>'3.4.raw'!AD101</f>
        <v/>
      </c>
    </row>
    <row r="102">
      <c r="A102" s="23" t="str">
        <f t="shared" si="2"/>
        <v>COa1006</v>
      </c>
      <c r="B102" s="23" t="str">
        <f>'3.4.raw'!M102</f>
        <v>COa1006</v>
      </c>
      <c r="C102" s="24">
        <f>'3.4.raw'!T102</f>
        <v>43787</v>
      </c>
      <c r="D102" s="23">
        <f>'3.4.raw'!I102</f>
        <v>15</v>
      </c>
      <c r="E102" s="1">
        <v>3.4</v>
      </c>
      <c r="G102" s="23" t="b">
        <f>if(countif(Status!C:C,A102)=1,TRUE, FALSE)</f>
        <v>1</v>
      </c>
      <c r="H102" s="23" t="str">
        <f>'3.4.raw'!AD102</f>
        <v/>
      </c>
    </row>
    <row r="103">
      <c r="A103" s="23" t="str">
        <f t="shared" si="2"/>
        <v>COb1017</v>
      </c>
      <c r="B103" s="23" t="str">
        <f>'3.4.raw'!M103</f>
        <v>COb1017</v>
      </c>
      <c r="C103" s="24">
        <f>'3.4.raw'!T103</f>
        <v>43787</v>
      </c>
      <c r="D103" s="23">
        <f>'3.4.raw'!I103</f>
        <v>15</v>
      </c>
      <c r="E103" s="1">
        <v>3.4</v>
      </c>
      <c r="G103" s="23" t="b">
        <f>if(countif(Status!C:C,A103)=1,TRUE, FALSE)</f>
        <v>1</v>
      </c>
      <c r="H103" s="23" t="str">
        <f>'3.4.raw'!AD103</f>
        <v/>
      </c>
    </row>
    <row r="104">
      <c r="A104" s="23" t="str">
        <f t="shared" si="2"/>
        <v>COb1018</v>
      </c>
      <c r="B104" s="23" t="str">
        <f>'3.4.raw'!M104</f>
        <v>COb1018</v>
      </c>
      <c r="C104" s="24">
        <f>'3.4.raw'!T104</f>
        <v>43787</v>
      </c>
      <c r="D104" s="23">
        <f>'3.4.raw'!I104</f>
        <v>15</v>
      </c>
      <c r="E104" s="1">
        <v>3.4</v>
      </c>
      <c r="G104" s="23" t="b">
        <f>if(countif(Status!C:C,A104)=1,TRUE, FALSE)</f>
        <v>1</v>
      </c>
      <c r="H104" s="23" t="str">
        <f>'3.4.raw'!AD104</f>
        <v/>
      </c>
    </row>
    <row r="105">
      <c r="A105" s="23" t="str">
        <f t="shared" si="2"/>
        <v>COb1019</v>
      </c>
      <c r="B105" s="23" t="str">
        <f>'3.4.raw'!M105</f>
        <v>COb1019</v>
      </c>
      <c r="C105" s="24">
        <f>'3.4.raw'!T105</f>
        <v>43787</v>
      </c>
      <c r="D105" s="23">
        <f>'3.4.raw'!I105</f>
        <v>15</v>
      </c>
      <c r="E105" s="1">
        <v>3.4</v>
      </c>
      <c r="G105" s="23" t="b">
        <f>if(countif(Status!C:C,A105)=1,TRUE, FALSE)</f>
        <v>1</v>
      </c>
      <c r="H105" s="23" t="str">
        <f>'3.4.raw'!AD105</f>
        <v/>
      </c>
    </row>
    <row r="106">
      <c r="A106" s="23" t="str">
        <f t="shared" si="2"/>
        <v>PLc1073</v>
      </c>
      <c r="B106" s="23" t="str">
        <f>'3.4.raw'!M106</f>
        <v>PLc1073</v>
      </c>
      <c r="C106" s="24">
        <f>'3.4.raw'!T106</f>
        <v>43787</v>
      </c>
      <c r="D106" s="23">
        <f>'3.4.raw'!I106</f>
        <v>11</v>
      </c>
      <c r="E106" s="1">
        <v>3.4</v>
      </c>
      <c r="G106" s="23" t="b">
        <f>if(countif(Status!C:C,A106)=1,TRUE, FALSE)</f>
        <v>1</v>
      </c>
      <c r="H106" s="23" t="str">
        <f>'3.4.raw'!AD106</f>
        <v/>
      </c>
    </row>
    <row r="107">
      <c r="A107" s="23" t="str">
        <f t="shared" si="2"/>
        <v>PLc1074</v>
      </c>
      <c r="B107" s="23" t="str">
        <f>'3.4.raw'!M107</f>
        <v>PLc1074</v>
      </c>
      <c r="C107" s="24">
        <f>'3.4.raw'!T107</f>
        <v>43787</v>
      </c>
      <c r="D107" s="23">
        <f>'3.4.raw'!I107</f>
        <v>11</v>
      </c>
      <c r="E107" s="1">
        <v>3.4</v>
      </c>
      <c r="G107" s="23" t="b">
        <f>if(countif(Status!C:C,A107)=1,TRUE, FALSE)</f>
        <v>1</v>
      </c>
      <c r="H107" s="23" t="str">
        <f>'3.4.raw'!AD107</f>
        <v/>
      </c>
    </row>
    <row r="108">
      <c r="A108" s="23" t="str">
        <f t="shared" si="2"/>
        <v>PLc1075</v>
      </c>
      <c r="B108" s="23" t="str">
        <f>'3.4.raw'!M108</f>
        <v>PLc1075</v>
      </c>
      <c r="C108" s="24">
        <f>'3.4.raw'!T108</f>
        <v>43787</v>
      </c>
      <c r="D108" s="23">
        <f>'3.4.raw'!I108</f>
        <v>11</v>
      </c>
      <c r="E108" s="1">
        <v>3.4</v>
      </c>
      <c r="G108" s="23" t="b">
        <f>if(countif(Status!C:C,A108)=1,TRUE, FALSE)</f>
        <v>1</v>
      </c>
      <c r="H108" s="23" t="str">
        <f>'3.4.raw'!AD108</f>
        <v/>
      </c>
    </row>
    <row r="109">
      <c r="A109" s="23" t="str">
        <f t="shared" si="2"/>
        <v>FB1129UP</v>
      </c>
      <c r="B109" s="23" t="str">
        <f>'3.4.raw'!M109</f>
        <v>FB1129UP</v>
      </c>
      <c r="C109" s="24">
        <f>'3.4.raw'!T109</f>
        <v>43787</v>
      </c>
      <c r="D109" s="23">
        <f>'3.4.raw'!I109</f>
        <v>99</v>
      </c>
      <c r="E109" s="1">
        <v>3.4</v>
      </c>
      <c r="G109" s="23" t="b">
        <f>if(countif(Status!C:C,A109)=1,TRUE, FALSE)</f>
        <v>1</v>
      </c>
      <c r="H109" s="23" t="str">
        <f>'3.4.raw'!AD109</f>
        <v>Associated sample PLc1075</v>
      </c>
    </row>
    <row r="110">
      <c r="A110" s="23" t="str">
        <f t="shared" si="2"/>
        <v>MO1116</v>
      </c>
      <c r="B110" s="23" t="str">
        <f>'3.4.raw'!M110</f>
        <v>MO1116</v>
      </c>
      <c r="C110" s="24">
        <f>'3.4.raw'!T110</f>
        <v>43788</v>
      </c>
      <c r="D110" s="23">
        <f>'3.4.raw'!I110</f>
        <v>12</v>
      </c>
      <c r="E110" s="1">
        <v>3.4</v>
      </c>
      <c r="G110" s="23" t="b">
        <f>if(countif(Status!C:C,A110)=1,TRUE, FALSE)</f>
        <v>1</v>
      </c>
      <c r="H110" s="23" t="str">
        <f>'3.4.raw'!AD110</f>
        <v/>
      </c>
    </row>
    <row r="111">
      <c r="A111" s="23" t="str">
        <f t="shared" si="2"/>
        <v>MO1117</v>
      </c>
      <c r="B111" s="23" t="str">
        <f>'3.4.raw'!M111</f>
        <v>MO1117</v>
      </c>
      <c r="C111" s="24">
        <f>'3.4.raw'!T111</f>
        <v>43788</v>
      </c>
      <c r="D111" s="23">
        <f>'3.4.raw'!I111</f>
        <v>12</v>
      </c>
      <c r="E111" s="1">
        <v>3.4</v>
      </c>
      <c r="G111" s="23" t="b">
        <f>if(countif(Status!C:C,A111)=1,TRUE, FALSE)</f>
        <v>1</v>
      </c>
      <c r="H111" s="23" t="str">
        <f>'3.4.raw'!AD111</f>
        <v/>
      </c>
    </row>
    <row r="112">
      <c r="A112" s="23" t="str">
        <f t="shared" si="2"/>
        <v>FB1131UP</v>
      </c>
      <c r="B112" s="23" t="str">
        <f>'3.4.raw'!M112</f>
        <v>FB1131UP</v>
      </c>
      <c r="C112" s="24">
        <f>'3.4.raw'!T112</f>
        <v>43788</v>
      </c>
      <c r="D112" s="23">
        <f>'3.4.raw'!I112</f>
        <v>99</v>
      </c>
      <c r="E112" s="1">
        <v>3.4</v>
      </c>
      <c r="G112" s="23" t="b">
        <f>if(countif(Status!C:C,A112)=1,TRUE, FALSE)</f>
        <v>1</v>
      </c>
      <c r="H112" s="23" t="str">
        <f>'3.4.raw'!AD112</f>
        <v>Associated sample MO1117</v>
      </c>
    </row>
    <row r="113">
      <c r="A113" s="23" t="str">
        <f t="shared" si="2"/>
        <v>PLc1076</v>
      </c>
      <c r="B113" s="23" t="str">
        <f>'3.4.raw'!M113</f>
        <v>PLc1076</v>
      </c>
      <c r="C113" s="24">
        <f>'3.4.raw'!T113</f>
        <v>43788</v>
      </c>
      <c r="D113" s="23">
        <f>'3.4.raw'!I113</f>
        <v>11</v>
      </c>
      <c r="E113" s="1">
        <v>3.4</v>
      </c>
      <c r="G113" s="23" t="b">
        <f>if(countif(Status!C:C,A113)=1,TRUE, FALSE)</f>
        <v>1</v>
      </c>
      <c r="H113" s="23" t="str">
        <f>'3.4.raw'!AD113</f>
        <v/>
      </c>
    </row>
    <row r="114">
      <c r="A114" s="23" t="str">
        <f t="shared" si="2"/>
        <v>PLc1077</v>
      </c>
      <c r="B114" s="23" t="str">
        <f>'3.4.raw'!M114</f>
        <v>PLc1077</v>
      </c>
      <c r="C114" s="24">
        <f>'3.4.raw'!T114</f>
        <v>43788</v>
      </c>
      <c r="D114" s="23">
        <f>'3.4.raw'!I114</f>
        <v>11</v>
      </c>
      <c r="E114" s="1">
        <v>3.4</v>
      </c>
      <c r="G114" s="23" t="b">
        <f>if(countif(Status!C:C,A114)=1,TRUE, FALSE)</f>
        <v>1</v>
      </c>
      <c r="H114" s="23" t="str">
        <f>'3.4.raw'!AD114</f>
        <v/>
      </c>
    </row>
    <row r="115">
      <c r="A115" s="23" t="str">
        <f t="shared" si="2"/>
        <v>PLc1078</v>
      </c>
      <c r="B115" s="23" t="str">
        <f>'3.4.raw'!M115</f>
        <v>PLc1078</v>
      </c>
      <c r="C115" s="24">
        <f>'3.4.raw'!T115</f>
        <v>43788</v>
      </c>
      <c r="D115" s="23">
        <f>'3.4.raw'!I115</f>
        <v>11</v>
      </c>
      <c r="E115" s="1">
        <v>3.4</v>
      </c>
      <c r="G115" s="23" t="b">
        <f>if(countif(Status!C:C,A115)=1,TRUE, FALSE)</f>
        <v>1</v>
      </c>
      <c r="H115" s="23" t="str">
        <f>'3.4.raw'!AD115</f>
        <v/>
      </c>
    </row>
    <row r="116">
      <c r="A116" s="23" t="str">
        <f t="shared" si="2"/>
        <v>PLc1079</v>
      </c>
      <c r="B116" s="23" t="str">
        <f>'3.4.raw'!M116</f>
        <v>PLc1079</v>
      </c>
      <c r="C116" s="24">
        <f>'3.4.raw'!T116</f>
        <v>43788</v>
      </c>
      <c r="D116" s="23">
        <f>'3.4.raw'!I116</f>
        <v>11</v>
      </c>
      <c r="E116" s="1">
        <v>3.4</v>
      </c>
      <c r="G116" s="23" t="b">
        <f>if(countif(Status!C:C,A116)=1,TRUE, FALSE)</f>
        <v>1</v>
      </c>
      <c r="H116" s="23" t="str">
        <f>'3.4.raw'!AD116</f>
        <v/>
      </c>
    </row>
    <row r="117">
      <c r="A117" s="23" t="str">
        <f t="shared" si="2"/>
        <v>PLc1080</v>
      </c>
      <c r="B117" s="23" t="str">
        <f>'3.4.raw'!M117</f>
        <v>PLc1080</v>
      </c>
      <c r="C117" s="24">
        <f>'3.4.raw'!T117</f>
        <v>43788</v>
      </c>
      <c r="D117" s="23">
        <f>'3.4.raw'!I117</f>
        <v>11</v>
      </c>
      <c r="E117" s="1">
        <v>3.4</v>
      </c>
      <c r="G117" s="23" t="b">
        <f>if(countif(Status!C:C,A117)=1,TRUE, FALSE)</f>
        <v>1</v>
      </c>
      <c r="H117" s="23" t="str">
        <f>'3.4.raw'!AD117</f>
        <v/>
      </c>
    </row>
    <row r="118">
      <c r="A118" s="23" t="str">
        <f t="shared" si="2"/>
        <v>FPd1005</v>
      </c>
      <c r="B118" s="23" t="str">
        <f>'3.4.raw'!M118</f>
        <v>FPd1005</v>
      </c>
      <c r="C118" s="24">
        <f>'3.4.raw'!T118</f>
        <v>43788</v>
      </c>
      <c r="D118" s="23">
        <f>'3.4.raw'!I118</f>
        <v>14</v>
      </c>
      <c r="E118" s="1">
        <v>3.4</v>
      </c>
      <c r="G118" s="23" t="b">
        <f>if(countif(Status!C:C,A118)=1,TRUE, FALSE)</f>
        <v>1</v>
      </c>
      <c r="H118" s="23" t="str">
        <f>'3.4.raw'!AD118</f>
        <v/>
      </c>
    </row>
    <row r="119">
      <c r="A119" s="23" t="str">
        <f t="shared" si="2"/>
        <v>FPb1005</v>
      </c>
      <c r="B119" s="23" t="str">
        <f>'3.4.raw'!M119</f>
        <v>FPb1005</v>
      </c>
      <c r="C119" s="24">
        <f>'3.4.raw'!T119</f>
        <v>43788</v>
      </c>
      <c r="D119" s="23">
        <f>'3.4.raw'!I119</f>
        <v>14</v>
      </c>
      <c r="E119" s="1">
        <v>3.4</v>
      </c>
      <c r="G119" s="23" t="b">
        <f>if(countif(Status!C:C,A119)=1,TRUE, FALSE)</f>
        <v>1</v>
      </c>
      <c r="H119" s="23" t="str">
        <f>'3.4.raw'!AD119</f>
        <v/>
      </c>
    </row>
    <row r="120">
      <c r="A120" s="23" t="str">
        <f t="shared" si="2"/>
        <v>FPc1005</v>
      </c>
      <c r="B120" s="23" t="str">
        <f>'3.4.raw'!M120</f>
        <v>FPc1005</v>
      </c>
      <c r="C120" s="24">
        <f>'3.4.raw'!T120</f>
        <v>43788</v>
      </c>
      <c r="D120" s="23">
        <f>'3.4.raw'!I120</f>
        <v>14</v>
      </c>
      <c r="E120" s="1">
        <v>3.4</v>
      </c>
      <c r="G120" s="23" t="b">
        <f>if(countif(Status!C:C,A120)=1,TRUE, FALSE)</f>
        <v>1</v>
      </c>
      <c r="H120" s="23" t="str">
        <f>'3.4.raw'!AD120</f>
        <v/>
      </c>
    </row>
    <row r="121">
      <c r="A121" s="23" t="str">
        <f t="shared" si="2"/>
        <v>FPa1005</v>
      </c>
      <c r="B121" s="23" t="str">
        <f>'3.4.raw'!M121</f>
        <v>FPa1005</v>
      </c>
      <c r="C121" s="24">
        <f>'3.4.raw'!T121</f>
        <v>43788</v>
      </c>
      <c r="D121" s="23">
        <f>'3.4.raw'!I121</f>
        <v>14</v>
      </c>
      <c r="E121" s="1">
        <v>3.4</v>
      </c>
      <c r="G121" s="23" t="b">
        <f>if(countif(Status!C:C,A121)=1,TRUE, FALSE)</f>
        <v>1</v>
      </c>
      <c r="H121" s="23" t="str">
        <f>'3.4.raw'!AD121</f>
        <v/>
      </c>
    </row>
    <row r="122">
      <c r="A122" s="23" t="str">
        <f t="shared" si="2"/>
        <v>FPe1005</v>
      </c>
      <c r="B122" s="23" t="str">
        <f>'3.4.raw'!M122</f>
        <v>FPe1005</v>
      </c>
      <c r="C122" s="24">
        <f>'3.4.raw'!T122</f>
        <v>43788</v>
      </c>
      <c r="D122" s="23">
        <f>'3.4.raw'!I122</f>
        <v>14</v>
      </c>
      <c r="E122" s="1">
        <v>3.4</v>
      </c>
      <c r="G122" s="23" t="b">
        <f>if(countif(Status!C:C,A122)=1,TRUE, FALSE)</f>
        <v>1</v>
      </c>
      <c r="H122" s="23" t="str">
        <f>'3.4.raw'!AD122</f>
        <v/>
      </c>
    </row>
    <row r="123">
      <c r="A123" s="23" t="str">
        <f t="shared" si="2"/>
        <v>FB1136UP</v>
      </c>
      <c r="B123" s="23" t="str">
        <f>'3.4.raw'!M123</f>
        <v>FB1136UP</v>
      </c>
      <c r="C123" s="24">
        <f>'3.4.raw'!T123</f>
        <v>43788</v>
      </c>
      <c r="D123" s="23">
        <f>'3.4.raw'!I123</f>
        <v>99</v>
      </c>
      <c r="E123" s="1">
        <v>3.4</v>
      </c>
      <c r="G123" s="23" t="b">
        <f>if(countif(Status!C:C,A123)=1,TRUE, FALSE)</f>
        <v>1</v>
      </c>
      <c r="H123" s="23" t="str">
        <f>'3.4.raw'!AD123</f>
        <v>Associated sample PLc1080</v>
      </c>
    </row>
    <row r="124">
      <c r="A124" s="23" t="str">
        <f t="shared" si="2"/>
        <v>EC17</v>
      </c>
      <c r="B124" s="23" t="str">
        <f>'3.4.raw'!M124</f>
        <v>EC17</v>
      </c>
      <c r="C124" s="24">
        <f>'3.4.raw'!T124</f>
        <v>43787</v>
      </c>
      <c r="D124" s="23">
        <f>'3.4.raw'!I124</f>
        <v>98</v>
      </c>
      <c r="E124" s="1">
        <v>3.4</v>
      </c>
      <c r="G124" s="23" t="b">
        <f>if(countif(Status!C:C,A124)=1,TRUE, FALSE)</f>
        <v>1</v>
      </c>
      <c r="H124" s="23" t="str">
        <f>'3.4.raw'!AD124</f>
        <v/>
      </c>
    </row>
    <row r="125">
      <c r="A125" s="23" t="str">
        <f t="shared" si="2"/>
        <v>EC15</v>
      </c>
      <c r="B125" s="23" t="str">
        <f>'3.4.raw'!M125</f>
        <v>EC15</v>
      </c>
      <c r="C125" s="24">
        <f>'3.4.raw'!T125</f>
        <v>43777</v>
      </c>
      <c r="D125" s="23">
        <f>'3.4.raw'!I125</f>
        <v>98</v>
      </c>
      <c r="E125" s="1">
        <v>3.4</v>
      </c>
      <c r="G125" s="23" t="b">
        <f>if(countif(Status!C:C,A125)=1,TRUE, FALSE)</f>
        <v>1</v>
      </c>
      <c r="H125" s="23" t="str">
        <f>'3.4.raw'!AD125</f>
        <v/>
      </c>
    </row>
    <row r="126">
      <c r="A126" s="23" t="str">
        <f t="shared" si="2"/>
        <v>EC16</v>
      </c>
      <c r="B126" s="23" t="str">
        <f>'3.4.raw'!M126</f>
        <v>EC16</v>
      </c>
      <c r="C126" s="24">
        <f>'3.4.raw'!T126</f>
        <v>43777</v>
      </c>
      <c r="D126" s="23">
        <f>'3.4.raw'!I126</f>
        <v>98</v>
      </c>
      <c r="E126" s="1">
        <v>3.4</v>
      </c>
      <c r="G126" s="23" t="b">
        <f>if(countif(Status!C:C,A126)=1,TRUE, FALSE)</f>
        <v>1</v>
      </c>
      <c r="H126" s="23" t="str">
        <f>'3.4.raw'!AD126</f>
        <v/>
      </c>
    </row>
    <row r="127">
      <c r="A127" s="23" t="str">
        <f t="shared" si="2"/>
        <v>PLc1081</v>
      </c>
      <c r="B127" s="23" t="str">
        <f>'3.4.raw'!M127</f>
        <v>PLc1081</v>
      </c>
      <c r="C127" s="24">
        <f>'3.4.raw'!T127</f>
        <v>43791</v>
      </c>
      <c r="D127" s="23">
        <f>'3.4.raw'!I127</f>
        <v>11</v>
      </c>
      <c r="E127" s="1">
        <v>3.4</v>
      </c>
      <c r="G127" s="23" t="b">
        <f>if(countif(Status!C:C,A127)=1,TRUE, FALSE)</f>
        <v>1</v>
      </c>
      <c r="H127" s="23" t="str">
        <f>'3.4.raw'!AD127</f>
        <v/>
      </c>
    </row>
    <row r="128">
      <c r="A128" s="23" t="str">
        <f t="shared" si="2"/>
        <v>FB1138</v>
      </c>
      <c r="B128" s="23" t="str">
        <f>'3.4.raw'!M128</f>
        <v>FB1138</v>
      </c>
      <c r="C128" s="24">
        <f>'3.4.raw'!T128</f>
        <v>43791</v>
      </c>
      <c r="D128" s="23">
        <f>'3.4.raw'!I128</f>
        <v>99</v>
      </c>
      <c r="E128" s="1">
        <v>3.4</v>
      </c>
      <c r="G128" s="23" t="b">
        <f>if(countif(Status!C:C,A128)=1,TRUE, FALSE)</f>
        <v>1</v>
      </c>
      <c r="H128" s="23" t="str">
        <f>'3.4.raw'!AD128</f>
        <v/>
      </c>
    </row>
    <row r="129">
      <c r="A129" s="23" t="str">
        <f t="shared" si="2"/>
        <v>PLc1083</v>
      </c>
      <c r="B129" s="23" t="str">
        <f>'3.4.raw'!M129</f>
        <v>PLc1083</v>
      </c>
      <c r="C129" s="24">
        <f>'3.4.raw'!T129</f>
        <v>43791</v>
      </c>
      <c r="D129" s="23">
        <f>'3.4.raw'!I129</f>
        <v>11</v>
      </c>
      <c r="E129" s="1">
        <v>3.4</v>
      </c>
      <c r="G129" s="23" t="b">
        <f>if(countif(Status!C:C,A129)=1,TRUE, FALSE)</f>
        <v>1</v>
      </c>
      <c r="H129" s="23" t="str">
        <f>'3.4.raw'!AD129</f>
        <v/>
      </c>
    </row>
    <row r="130">
      <c r="A130" s="23" t="str">
        <f t="shared" si="2"/>
        <v>PLc1084</v>
      </c>
      <c r="B130" s="23" t="str">
        <f>'3.4.raw'!M130</f>
        <v>PLc1084</v>
      </c>
      <c r="C130" s="24">
        <f>'3.4.raw'!T130</f>
        <v>43791</v>
      </c>
      <c r="D130" s="23">
        <f>'3.4.raw'!I130</f>
        <v>11</v>
      </c>
      <c r="E130" s="1">
        <v>3.4</v>
      </c>
      <c r="G130" s="23" t="b">
        <f>if(countif(Status!C:C,A130)=1,TRUE, FALSE)</f>
        <v>1</v>
      </c>
      <c r="H130" s="23" t="str">
        <f>'3.4.raw'!AD130</f>
        <v/>
      </c>
    </row>
    <row r="131">
      <c r="A131" s="23" t="str">
        <f t="shared" si="2"/>
        <v>PLc1085</v>
      </c>
      <c r="B131" s="23" t="str">
        <f>'3.4.raw'!M131</f>
        <v>PLc1085</v>
      </c>
      <c r="C131" s="24">
        <f>'3.4.raw'!T131</f>
        <v>43791</v>
      </c>
      <c r="D131" s="23">
        <f>'3.4.raw'!I131</f>
        <v>11</v>
      </c>
      <c r="E131" s="1">
        <v>3.4</v>
      </c>
      <c r="G131" s="23" t="b">
        <f>if(countif(Status!C:C,A131)=1,TRUE, FALSE)</f>
        <v>1</v>
      </c>
      <c r="H131" s="23" t="str">
        <f>'3.4.raw'!AD131</f>
        <v/>
      </c>
    </row>
    <row r="132">
      <c r="A132" s="23" t="str">
        <f t="shared" si="2"/>
        <v>PLc1086</v>
      </c>
      <c r="B132" s="23" t="str">
        <f>'3.4.raw'!M132</f>
        <v>PLc1086</v>
      </c>
      <c r="C132" s="24">
        <f>'3.4.raw'!T132</f>
        <v>43791</v>
      </c>
      <c r="D132" s="23">
        <f>'3.4.raw'!I132</f>
        <v>11</v>
      </c>
      <c r="E132" s="1">
        <v>3.4</v>
      </c>
      <c r="G132" s="23" t="b">
        <f>if(countif(Status!C:C,A132)=1,TRUE, FALSE)</f>
        <v>1</v>
      </c>
      <c r="H132" s="23" t="str">
        <f>'3.4.raw'!AD132</f>
        <v/>
      </c>
    </row>
    <row r="133">
      <c r="A133" s="23" t="str">
        <f t="shared" si="2"/>
        <v>PLc1087</v>
      </c>
      <c r="B133" s="23" t="str">
        <f>'3.4.raw'!M133</f>
        <v>PLc1087</v>
      </c>
      <c r="C133" s="24">
        <f>'3.4.raw'!T133</f>
        <v>43791</v>
      </c>
      <c r="D133" s="23">
        <f>'3.4.raw'!I133</f>
        <v>11</v>
      </c>
      <c r="E133" s="1">
        <v>3.4</v>
      </c>
      <c r="G133" s="23" t="b">
        <f>if(countif(Status!C:C,A133)=1,TRUE, FALSE)</f>
        <v>1</v>
      </c>
      <c r="H133" s="23" t="str">
        <f>'3.4.raw'!AD133</f>
        <v/>
      </c>
    </row>
    <row r="134">
      <c r="A134" s="23" t="str">
        <f t="shared" si="2"/>
        <v>MO1118</v>
      </c>
      <c r="B134" s="23" t="str">
        <f>'3.4.raw'!M134</f>
        <v>MO1118</v>
      </c>
      <c r="C134" s="24">
        <f>'3.4.raw'!T134</f>
        <v>43791</v>
      </c>
      <c r="D134" s="23">
        <f>'3.4.raw'!I134</f>
        <v>12</v>
      </c>
      <c r="E134" s="1">
        <v>3.4</v>
      </c>
      <c r="G134" s="23" t="b">
        <f>if(countif(Status!C:C,A134)=1,TRUE, FALSE)</f>
        <v>1</v>
      </c>
      <c r="H134" s="23" t="str">
        <f>'3.4.raw'!AD134</f>
        <v/>
      </c>
    </row>
    <row r="135">
      <c r="A135" s="23" t="str">
        <f t="shared" si="2"/>
        <v>MO1119</v>
      </c>
      <c r="B135" s="23" t="str">
        <f>'3.4.raw'!M135</f>
        <v>MO1119</v>
      </c>
      <c r="C135" s="24">
        <f>'3.4.raw'!T135</f>
        <v>43791</v>
      </c>
      <c r="D135" s="23">
        <f>'3.4.raw'!I135</f>
        <v>12</v>
      </c>
      <c r="E135" s="1">
        <v>3.4</v>
      </c>
      <c r="G135" s="23" t="b">
        <f>if(countif(Status!C:C,A135)=1,TRUE, FALSE)</f>
        <v>1</v>
      </c>
      <c r="H135" s="23" t="str">
        <f>'3.4.raw'!AD135</f>
        <v/>
      </c>
    </row>
    <row r="136">
      <c r="A136" s="23" t="str">
        <f t="shared" si="2"/>
        <v>EC22</v>
      </c>
      <c r="B136" s="23" t="str">
        <f>'3.4.raw'!M136</f>
        <v>EC22</v>
      </c>
      <c r="C136" s="24">
        <f>'3.4.raw'!T136</f>
        <v>43791</v>
      </c>
      <c r="D136" s="23">
        <f>'3.4.raw'!I136</f>
        <v>98</v>
      </c>
      <c r="E136" s="1">
        <v>3.4</v>
      </c>
      <c r="G136" s="23" t="b">
        <f>if(countif(Status!C:C,A136)=1,TRUE, FALSE)</f>
        <v>1</v>
      </c>
      <c r="H136" s="23" t="str">
        <f>'3.4.raw'!AD136</f>
        <v/>
      </c>
    </row>
    <row r="137">
      <c r="A137" s="23" t="str">
        <f t="shared" si="2"/>
        <v>UF1008</v>
      </c>
      <c r="B137" s="23" t="str">
        <f>'3.4.raw'!M137</f>
        <v>UF1008</v>
      </c>
      <c r="C137" s="24">
        <f>'3.4.raw'!T137</f>
        <v>43791</v>
      </c>
      <c r="D137" s="23">
        <f>'3.4.raw'!I137</f>
        <v>16</v>
      </c>
      <c r="E137" s="1">
        <v>3.4</v>
      </c>
      <c r="G137" s="23" t="b">
        <f>if(countif(Status!C:C,A137)=1,TRUE, FALSE)</f>
        <v>1</v>
      </c>
      <c r="H137" s="23" t="str">
        <f>'3.4.raw'!AD137</f>
        <v/>
      </c>
    </row>
    <row r="138">
      <c r="A138" s="23" t="str">
        <f t="shared" si="2"/>
        <v>UF1008D</v>
      </c>
      <c r="B138" s="23" t="str">
        <f>'3.4.raw'!M138</f>
        <v>UF1008D</v>
      </c>
      <c r="C138" s="24">
        <f>'3.4.raw'!T138</f>
        <v>43791</v>
      </c>
      <c r="D138" s="23">
        <f>'3.4.raw'!I138</f>
        <v>16</v>
      </c>
      <c r="E138" s="1">
        <v>3.4</v>
      </c>
      <c r="G138" s="23" t="b">
        <f>if(countif(Status!C:C,A138)=1,TRUE, FALSE)</f>
        <v>0</v>
      </c>
      <c r="H138" s="23" t="str">
        <f>'3.4.raw'!AD138</f>
        <v/>
      </c>
    </row>
    <row r="139">
      <c r="A139" s="23" t="str">
        <f t="shared" si="2"/>
        <v>COa1007</v>
      </c>
      <c r="B139" s="23" t="str">
        <f>'3.4.raw'!M139</f>
        <v>COa1007</v>
      </c>
      <c r="C139" s="24">
        <f>'3.4.raw'!T139</f>
        <v>43791</v>
      </c>
      <c r="D139" s="23">
        <f>'3.4.raw'!I139</f>
        <v>15</v>
      </c>
      <c r="E139" s="1">
        <v>3.4</v>
      </c>
      <c r="G139" s="23" t="b">
        <f>if(countif(Status!C:C,A139)=1,TRUE, FALSE)</f>
        <v>1</v>
      </c>
      <c r="H139" s="23" t="str">
        <f>'3.4.raw'!AD139</f>
        <v/>
      </c>
    </row>
    <row r="140">
      <c r="A140" s="23" t="str">
        <f t="shared" si="2"/>
        <v>COb1020</v>
      </c>
      <c r="B140" s="23" t="str">
        <f>'3.4.raw'!M140</f>
        <v>COb1020</v>
      </c>
      <c r="C140" s="24">
        <f>'3.4.raw'!T140</f>
        <v>43791</v>
      </c>
      <c r="D140" s="23">
        <f>'3.4.raw'!I140</f>
        <v>15</v>
      </c>
      <c r="E140" s="1">
        <v>3.4</v>
      </c>
      <c r="G140" s="23" t="b">
        <f>if(countif(Status!C:C,A140)=1,TRUE, FALSE)</f>
        <v>1</v>
      </c>
      <c r="H140" s="23" t="str">
        <f>'3.4.raw'!AD140</f>
        <v/>
      </c>
    </row>
    <row r="141">
      <c r="A141" s="23" t="str">
        <f t="shared" si="2"/>
        <v>COb1021</v>
      </c>
      <c r="B141" s="23" t="str">
        <f>'3.4.raw'!M141</f>
        <v>COb1021</v>
      </c>
      <c r="C141" s="24">
        <f>'3.4.raw'!T141</f>
        <v>43791</v>
      </c>
      <c r="D141" s="23">
        <f>'3.4.raw'!I141</f>
        <v>15</v>
      </c>
      <c r="E141" s="1">
        <v>3.4</v>
      </c>
      <c r="G141" s="23" t="b">
        <f>if(countif(Status!C:C,A141)=1,TRUE, FALSE)</f>
        <v>1</v>
      </c>
      <c r="H141" s="23" t="str">
        <f>'3.4.raw'!AD141</f>
        <v/>
      </c>
    </row>
    <row r="142">
      <c r="A142" s="23" t="str">
        <f t="shared" si="2"/>
        <v>COb1022</v>
      </c>
      <c r="B142" s="23" t="str">
        <f>'3.4.raw'!M142</f>
        <v>COb1022</v>
      </c>
      <c r="C142" s="24">
        <f>'3.4.raw'!T142</f>
        <v>43791</v>
      </c>
      <c r="D142" s="23">
        <f>'3.4.raw'!I142</f>
        <v>15</v>
      </c>
      <c r="E142" s="1">
        <v>3.4</v>
      </c>
      <c r="G142" s="23" t="b">
        <f>if(countif(Status!C:C,A142)=1,TRUE, FALSE)</f>
        <v>1</v>
      </c>
      <c r="H142" s="23" t="str">
        <f>'3.4.raw'!AD142</f>
        <v/>
      </c>
    </row>
    <row r="143">
      <c r="A143" s="23" t="str">
        <f t="shared" si="2"/>
        <v>FB1147</v>
      </c>
      <c r="B143" s="23" t="str">
        <f>'3.4.raw'!M143</f>
        <v>FB1147</v>
      </c>
      <c r="C143" s="24">
        <f>'3.4.raw'!T143</f>
        <v>43791</v>
      </c>
      <c r="D143" s="23">
        <f>'3.4.raw'!I143</f>
        <v>99</v>
      </c>
      <c r="E143" s="1">
        <v>3.4</v>
      </c>
      <c r="G143" s="23" t="b">
        <f>if(countif(Status!C:C,A143)=1,TRUE, FALSE)</f>
        <v>1</v>
      </c>
      <c r="H143" s="23" t="str">
        <f>'3.4.raw'!AD143</f>
        <v/>
      </c>
    </row>
    <row r="144">
      <c r="A144" s="23" t="str">
        <f t="shared" si="2"/>
        <v>PLc1082</v>
      </c>
      <c r="B144" s="23" t="str">
        <f>'3.4.raw'!M144</f>
        <v>PLc1082</v>
      </c>
      <c r="C144" s="24">
        <f>'3.4.raw'!T144</f>
        <v>43791</v>
      </c>
      <c r="D144" s="23">
        <f>'3.4.raw'!I144</f>
        <v>11</v>
      </c>
      <c r="E144" s="1">
        <v>3.4</v>
      </c>
      <c r="G144" s="23" t="b">
        <f>if(countif(Status!C:C,A144)=1,TRUE, FALSE)</f>
        <v>1</v>
      </c>
      <c r="H144" s="23" t="str">
        <f>'3.4.raw'!AD144</f>
        <v/>
      </c>
    </row>
    <row r="145">
      <c r="A145" s="23" t="str">
        <f t="shared" si="2"/>
        <v>EC23</v>
      </c>
      <c r="B145" s="23" t="str">
        <f>'3.4.raw'!M145</f>
        <v>EC23</v>
      </c>
      <c r="C145" s="24">
        <f>'3.4.raw'!T145</f>
        <v>43791</v>
      </c>
      <c r="D145" s="23">
        <f>'3.4.raw'!I145</f>
        <v>98</v>
      </c>
      <c r="E145" s="1">
        <v>3.4</v>
      </c>
      <c r="G145" s="23" t="b">
        <f>if(countif(Status!C:C,A145)=1,TRUE, FALSE)</f>
        <v>1</v>
      </c>
      <c r="H145" s="23" t="str">
        <f>'3.4.raw'!AD145</f>
        <v/>
      </c>
    </row>
    <row r="146">
      <c r="A146" s="23" t="str">
        <f t="shared" si="2"/>
        <v>PLc1043</v>
      </c>
      <c r="B146" s="23" t="str">
        <f>'3.4.raw'!M146</f>
        <v>PLc1043</v>
      </c>
      <c r="C146" s="24">
        <f>'3.4.raw'!T146</f>
        <v>43769</v>
      </c>
      <c r="D146" s="23">
        <f>'3.4.raw'!I146</f>
        <v>11</v>
      </c>
      <c r="E146" s="1">
        <v>3.4</v>
      </c>
      <c r="G146" s="23" t="b">
        <f>if(countif(Status!C:C,A146)=1,TRUE, FALSE)</f>
        <v>1</v>
      </c>
      <c r="H146" s="23" t="str">
        <f>'3.4.raw'!AD146</f>
        <v/>
      </c>
    </row>
    <row r="147">
      <c r="A147" s="23" t="str">
        <f t="shared" si="2"/>
        <v>FB1081UP</v>
      </c>
      <c r="B147" s="23" t="str">
        <f>'3.4.raw'!M147</f>
        <v>FB1081UP</v>
      </c>
      <c r="C147" s="24">
        <f>'3.4.raw'!T147</f>
        <v>43769</v>
      </c>
      <c r="D147" s="23">
        <f>'3.4.raw'!I147</f>
        <v>99</v>
      </c>
      <c r="E147" s="1">
        <v>3.4</v>
      </c>
      <c r="G147" s="23" t="b">
        <f>if(countif(Status!C:C,A147)=1,TRUE, FALSE)</f>
        <v>1</v>
      </c>
      <c r="H147" s="23" t="str">
        <f>'3.4.raw'!AD147</f>
        <v/>
      </c>
    </row>
    <row r="148">
      <c r="A148" s="23" t="str">
        <f t="shared" si="2"/>
        <v>MO1104</v>
      </c>
      <c r="B148" s="23" t="str">
        <f>'3.4.raw'!M148</f>
        <v>MO1104</v>
      </c>
      <c r="C148" s="24">
        <f>'3.4.raw'!T148</f>
        <v>43769</v>
      </c>
      <c r="D148" s="23">
        <f>'3.4.raw'!I148</f>
        <v>12</v>
      </c>
      <c r="E148" s="1">
        <v>3.4</v>
      </c>
      <c r="G148" s="23" t="b">
        <f>if(countif(Status!C:C,A148)=1,TRUE, FALSE)</f>
        <v>1</v>
      </c>
      <c r="H148" s="23" t="str">
        <f>'3.4.raw'!AD148</f>
        <v/>
      </c>
    </row>
    <row r="149">
      <c r="A149" s="23" t="str">
        <f t="shared" si="2"/>
        <v>MO1104D</v>
      </c>
      <c r="B149" s="23" t="str">
        <f>'3.4.raw'!M149</f>
        <v>MO1104D</v>
      </c>
      <c r="C149" s="24">
        <f>'3.4.raw'!T149</f>
        <v>43769</v>
      </c>
      <c r="D149" s="23">
        <f>'3.4.raw'!I149</f>
        <v>12</v>
      </c>
      <c r="E149" s="1">
        <v>3.4</v>
      </c>
      <c r="G149" s="23" t="b">
        <f>if(countif(Status!C:C,A149)=1,TRUE, FALSE)</f>
        <v>1</v>
      </c>
      <c r="H149" s="23" t="str">
        <f>'3.4.raw'!AD149</f>
        <v/>
      </c>
    </row>
    <row r="150">
      <c r="A150" s="23" t="str">
        <f t="shared" si="2"/>
        <v>FB1082UP</v>
      </c>
      <c r="B150" s="23" t="str">
        <f>'3.4.raw'!M150</f>
        <v>FB1082UP</v>
      </c>
      <c r="C150" s="24">
        <f>'3.4.raw'!T150</f>
        <v>43769</v>
      </c>
      <c r="D150" s="23">
        <f>'3.4.raw'!I150</f>
        <v>99</v>
      </c>
      <c r="E150" s="1">
        <v>3.4</v>
      </c>
      <c r="G150" s="23" t="b">
        <f>if(countif(Status!C:C,A150)=1,TRUE, FALSE)</f>
        <v>1</v>
      </c>
      <c r="H150" s="23" t="str">
        <f>'3.4.raw'!AD150</f>
        <v>Associated Sample MO1104</v>
      </c>
    </row>
    <row r="151">
      <c r="A151" s="23" t="str">
        <f t="shared" si="2"/>
        <v>MO1105</v>
      </c>
      <c r="B151" s="23" t="str">
        <f>'3.4.raw'!M151</f>
        <v>MO1105</v>
      </c>
      <c r="C151" s="24">
        <f>'3.4.raw'!T151</f>
        <v>43769</v>
      </c>
      <c r="D151" s="23">
        <f>'3.4.raw'!I151</f>
        <v>12</v>
      </c>
      <c r="E151" s="1">
        <v>3.4</v>
      </c>
      <c r="G151" s="23" t="b">
        <f>if(countif(Status!C:C,A151)=1,TRUE, FALSE)</f>
        <v>1</v>
      </c>
      <c r="H151" s="23" t="str">
        <f>'3.4.raw'!AD151</f>
        <v/>
      </c>
    </row>
    <row r="152">
      <c r="A152" s="23" t="str">
        <f t="shared" si="2"/>
        <v>MO1105D</v>
      </c>
      <c r="B152" s="23" t="str">
        <f>'3.4.raw'!M152</f>
        <v>MO1105D</v>
      </c>
      <c r="C152" s="24">
        <f>'3.4.raw'!T152</f>
        <v>43769</v>
      </c>
      <c r="D152" s="23">
        <f>'3.4.raw'!I152</f>
        <v>12</v>
      </c>
      <c r="E152" s="1">
        <v>3.4</v>
      </c>
      <c r="G152" s="23" t="b">
        <f>if(countif(Status!C:C,A152)=1,TRUE, FALSE)</f>
        <v>1</v>
      </c>
      <c r="H152" s="23" t="str">
        <f>'3.4.raw'!AD152</f>
        <v/>
      </c>
    </row>
    <row r="153">
      <c r="A153" s="23" t="str">
        <f t="shared" si="2"/>
        <v>FB1083UP</v>
      </c>
      <c r="B153" s="23" t="str">
        <f>'3.4.raw'!M153</f>
        <v>FB1083UP</v>
      </c>
      <c r="C153" s="24">
        <f>'3.4.raw'!T153</f>
        <v>43769</v>
      </c>
      <c r="D153" s="23">
        <f>'3.4.raw'!I153</f>
        <v>99</v>
      </c>
      <c r="E153" s="1">
        <v>3.4</v>
      </c>
      <c r="G153" s="23" t="b">
        <f>if(countif(Status!C:C,A153)=1,TRUE, FALSE)</f>
        <v>1</v>
      </c>
      <c r="H153" s="23" t="str">
        <f>'3.4.raw'!AD153</f>
        <v/>
      </c>
    </row>
    <row r="154">
      <c r="A154" s="23" t="str">
        <f t="shared" si="2"/>
        <v>FPa1003</v>
      </c>
      <c r="B154" s="23" t="str">
        <f>'3.4.raw'!M154</f>
        <v>FPa1003</v>
      </c>
      <c r="C154" s="24">
        <f>'3.4.raw'!T154</f>
        <v>43769</v>
      </c>
      <c r="D154" s="23">
        <f>'3.4.raw'!I154</f>
        <v>14</v>
      </c>
      <c r="E154" s="1">
        <v>3.4</v>
      </c>
      <c r="G154" s="23" t="b">
        <f>if(countif(Status!C:C,A154)=1,TRUE, FALSE)</f>
        <v>1</v>
      </c>
      <c r="H154" s="23" t="str">
        <f>'3.4.raw'!AD154</f>
        <v/>
      </c>
    </row>
    <row r="155">
      <c r="A155" s="23" t="str">
        <f t="shared" si="2"/>
        <v>FPc1003</v>
      </c>
      <c r="B155" s="23" t="str">
        <f>'3.4.raw'!M155</f>
        <v>FPc1003</v>
      </c>
      <c r="C155" s="24">
        <f>'3.4.raw'!T155</f>
        <v>43769</v>
      </c>
      <c r="D155" s="23">
        <f>'3.4.raw'!I155</f>
        <v>14</v>
      </c>
      <c r="E155" s="1">
        <v>3.4</v>
      </c>
      <c r="G155" s="23" t="b">
        <f>if(countif(Status!C:C,A155)=1,TRUE, FALSE)</f>
        <v>1</v>
      </c>
      <c r="H155" s="23" t="str">
        <f>'3.4.raw'!AD155</f>
        <v/>
      </c>
    </row>
    <row r="156">
      <c r="A156" s="23" t="str">
        <f t="shared" si="2"/>
        <v>FPd1003</v>
      </c>
      <c r="B156" s="23" t="str">
        <f>'3.4.raw'!M156</f>
        <v>FPd1003</v>
      </c>
      <c r="C156" s="24">
        <f>'3.4.raw'!T156</f>
        <v>43769</v>
      </c>
      <c r="D156" s="23">
        <f>'3.4.raw'!I156</f>
        <v>14</v>
      </c>
      <c r="E156" s="1">
        <v>3.4</v>
      </c>
      <c r="G156" s="23" t="b">
        <f>if(countif(Status!C:C,A156)=1,TRUE, FALSE)</f>
        <v>1</v>
      </c>
      <c r="H156" s="23" t="str">
        <f>'3.4.raw'!AD156</f>
        <v/>
      </c>
    </row>
    <row r="157">
      <c r="A157" s="23" t="str">
        <f t="shared" si="2"/>
        <v>FPb1003</v>
      </c>
      <c r="B157" s="23" t="str">
        <f>'3.4.raw'!M157</f>
        <v>FPb1003</v>
      </c>
      <c r="C157" s="24">
        <f>'3.4.raw'!T157</f>
        <v>43769</v>
      </c>
      <c r="D157" s="23">
        <f>'3.4.raw'!I157</f>
        <v>14</v>
      </c>
      <c r="E157" s="1">
        <v>3.4</v>
      </c>
      <c r="G157" s="23" t="b">
        <f>if(countif(Status!C:C,A157)=1,TRUE, FALSE)</f>
        <v>1</v>
      </c>
      <c r="H157" s="23" t="str">
        <f>'3.4.raw'!AD157</f>
        <v/>
      </c>
    </row>
    <row r="158">
      <c r="A158" s="23" t="str">
        <f t="shared" si="2"/>
        <v>FPe1003</v>
      </c>
      <c r="B158" s="23" t="str">
        <f>'3.4.raw'!M158</f>
        <v>FPe1003</v>
      </c>
      <c r="C158" s="24">
        <f>'3.4.raw'!T158</f>
        <v>43769</v>
      </c>
      <c r="D158" s="23">
        <f>'3.4.raw'!I158</f>
        <v>14</v>
      </c>
      <c r="E158" s="1">
        <v>3.4</v>
      </c>
      <c r="G158" s="23" t="b">
        <f>if(countif(Status!C:C,A158)=1,TRUE, FALSE)</f>
        <v>1</v>
      </c>
      <c r="H158" s="23" t="str">
        <f>'3.4.raw'!AD158</f>
        <v/>
      </c>
    </row>
    <row r="159">
      <c r="A159" s="23" t="str">
        <f t="shared" si="2"/>
        <v>FB1084UP</v>
      </c>
      <c r="B159" s="23" t="str">
        <f>'3.4.raw'!M159</f>
        <v>FB1084UP</v>
      </c>
      <c r="C159" s="24">
        <f>'3.4.raw'!T159</f>
        <v>43769</v>
      </c>
      <c r="D159" s="23">
        <f>'3.4.raw'!I159</f>
        <v>99</v>
      </c>
      <c r="E159" s="1">
        <v>3.4</v>
      </c>
      <c r="G159" s="23" t="b">
        <f>if(countif(Status!C:C,A159)=1,TRUE, FALSE)</f>
        <v>1</v>
      </c>
      <c r="H159" s="23" t="str">
        <f>'3.4.raw'!AD159</f>
        <v/>
      </c>
    </row>
    <row r="160">
      <c r="A160" s="23" t="str">
        <f t="shared" si="2"/>
        <v>PLc1088</v>
      </c>
      <c r="B160" s="23" t="str">
        <f>'3.4.raw'!M160</f>
        <v>PLc1088</v>
      </c>
      <c r="C160" s="24">
        <f>'3.4.raw'!T160</f>
        <v>43795</v>
      </c>
      <c r="D160" s="23">
        <f>'3.4.raw'!I160</f>
        <v>11</v>
      </c>
      <c r="E160" s="1">
        <v>3.4</v>
      </c>
      <c r="G160" s="23" t="b">
        <f>if(countif(Status!C:C,A160)=1,TRUE, FALSE)</f>
        <v>1</v>
      </c>
      <c r="H160" s="23" t="str">
        <f>'3.4.raw'!AD160</f>
        <v/>
      </c>
    </row>
    <row r="161">
      <c r="A161" s="23" t="str">
        <f t="shared" si="2"/>
        <v>FB1150</v>
      </c>
      <c r="B161" s="23" t="str">
        <f>'3.4.raw'!M161</f>
        <v>FB1150</v>
      </c>
      <c r="C161" s="24">
        <f>'3.4.raw'!T161</f>
        <v>43795</v>
      </c>
      <c r="D161" s="23">
        <f>'3.4.raw'!I161</f>
        <v>99</v>
      </c>
      <c r="E161" s="1">
        <v>3.4</v>
      </c>
      <c r="G161" s="23" t="b">
        <f>if(countif(Status!C:C,A161)=1,TRUE, FALSE)</f>
        <v>1</v>
      </c>
      <c r="H161" s="23" t="str">
        <f>'3.4.raw'!AD161</f>
        <v/>
      </c>
    </row>
    <row r="162">
      <c r="A162" s="23" t="str">
        <f t="shared" si="2"/>
        <v>PLc1089</v>
      </c>
      <c r="B162" s="23" t="str">
        <f>'3.4.raw'!M162</f>
        <v>PLc1089</v>
      </c>
      <c r="C162" s="24">
        <f>'3.4.raw'!T162</f>
        <v>43795</v>
      </c>
      <c r="D162" s="23">
        <f>'3.4.raw'!I162</f>
        <v>11</v>
      </c>
      <c r="E162" s="1">
        <v>3.4</v>
      </c>
      <c r="G162" s="23" t="b">
        <f>if(countif(Status!C:C,A162)=1,TRUE, FALSE)</f>
        <v>1</v>
      </c>
      <c r="H162" s="23" t="str">
        <f>'3.4.raw'!AD162</f>
        <v/>
      </c>
    </row>
    <row r="163">
      <c r="A163" s="23" t="str">
        <f t="shared" si="2"/>
        <v>FB1151</v>
      </c>
      <c r="B163" s="23" t="str">
        <f>'3.4.raw'!M163</f>
        <v>FB1151</v>
      </c>
      <c r="C163" s="24">
        <f>'3.4.raw'!T163</f>
        <v>43795</v>
      </c>
      <c r="D163" s="23">
        <f>'3.4.raw'!I163</f>
        <v>99</v>
      </c>
      <c r="E163" s="1">
        <v>3.4</v>
      </c>
      <c r="G163" s="23" t="b">
        <f>if(countif(Status!C:C,A163)=1,TRUE, FALSE)</f>
        <v>1</v>
      </c>
      <c r="H163" s="23" t="str">
        <f>'3.4.raw'!AD163</f>
        <v>Associated Sample PLc1089</v>
      </c>
    </row>
    <row r="164">
      <c r="A164" s="23" t="str">
        <f t="shared" si="2"/>
        <v>PLc1090</v>
      </c>
      <c r="B164" s="23" t="str">
        <f>'3.4.raw'!M164</f>
        <v>PLc1090</v>
      </c>
      <c r="C164" s="24">
        <f>'3.4.raw'!T164</f>
        <v>43795</v>
      </c>
      <c r="D164" s="23">
        <f>'3.4.raw'!I164</f>
        <v>11</v>
      </c>
      <c r="E164" s="1">
        <v>3.4</v>
      </c>
      <c r="G164" s="23" t="b">
        <f>if(countif(Status!C:C,A164)=1,TRUE, FALSE)</f>
        <v>1</v>
      </c>
      <c r="H164" s="23" t="str">
        <f>'3.4.raw'!AD164</f>
        <v/>
      </c>
    </row>
    <row r="165">
      <c r="A165" s="23" t="str">
        <f t="shared" si="2"/>
        <v>PLc1091</v>
      </c>
      <c r="B165" s="23" t="str">
        <f>'3.4.raw'!M165</f>
        <v>PLc1091</v>
      </c>
      <c r="C165" s="24">
        <f>'3.4.raw'!T165</f>
        <v>43795</v>
      </c>
      <c r="D165" s="23">
        <f>'3.4.raw'!I165</f>
        <v>11</v>
      </c>
      <c r="E165" s="1">
        <v>3.4</v>
      </c>
      <c r="G165" s="23" t="b">
        <f>if(countif(Status!C:C,A165)=1,TRUE, FALSE)</f>
        <v>1</v>
      </c>
      <c r="H165" s="23" t="str">
        <f>'3.4.raw'!AD165</f>
        <v/>
      </c>
    </row>
    <row r="166">
      <c r="A166" s="23" t="str">
        <f t="shared" si="2"/>
        <v>MO1120</v>
      </c>
      <c r="B166" s="23" t="str">
        <f>'3.4.raw'!M166</f>
        <v>MO1120</v>
      </c>
      <c r="C166" s="24">
        <f>'3.4.raw'!T166</f>
        <v>43795</v>
      </c>
      <c r="D166" s="23">
        <f>'3.4.raw'!I166</f>
        <v>12</v>
      </c>
      <c r="E166" s="1">
        <v>3.4</v>
      </c>
      <c r="G166" s="23" t="b">
        <f>if(countif(Status!C:C,A166)=1,TRUE, FALSE)</f>
        <v>1</v>
      </c>
      <c r="H166" s="23" t="str">
        <f>'3.4.raw'!AD166</f>
        <v/>
      </c>
    </row>
    <row r="167">
      <c r="A167" s="23" t="str">
        <f t="shared" si="2"/>
        <v>MO1121</v>
      </c>
      <c r="B167" s="23" t="str">
        <f>'3.4.raw'!M167</f>
        <v>MO1121</v>
      </c>
      <c r="C167" s="24">
        <f>'3.4.raw'!T167</f>
        <v>43795</v>
      </c>
      <c r="D167" s="23">
        <f>'3.4.raw'!I167</f>
        <v>12</v>
      </c>
      <c r="E167" s="1">
        <v>3.4</v>
      </c>
      <c r="G167" s="23" t="b">
        <f>if(countif(Status!C:C,A167)=1,TRUE, FALSE)</f>
        <v>1</v>
      </c>
      <c r="H167" s="23" t="str">
        <f>'3.4.raw'!AD167</f>
        <v/>
      </c>
    </row>
    <row r="168">
      <c r="A168" s="23" t="str">
        <f t="shared" si="2"/>
        <v>FB1149</v>
      </c>
      <c r="B168" s="23" t="str">
        <f>'3.4.raw'!M168</f>
        <v>FB1149</v>
      </c>
      <c r="C168" s="24">
        <f>'3.4.raw'!T168</f>
        <v>43795</v>
      </c>
      <c r="D168" s="23">
        <f>'3.4.raw'!I168</f>
        <v>99</v>
      </c>
      <c r="E168" s="1">
        <v>3.4</v>
      </c>
      <c r="G168" s="23" t="b">
        <f>if(countif(Status!C:C,A168)=1,TRUE, FALSE)</f>
        <v>1</v>
      </c>
      <c r="H168" s="23" t="str">
        <f>'3.4.raw'!AD168</f>
        <v>Associated Sample MO1121</v>
      </c>
    </row>
    <row r="169">
      <c r="A169" s="23" t="str">
        <f t="shared" si="2"/>
        <v>EC24</v>
      </c>
      <c r="B169" s="23" t="str">
        <f>'3.4.raw'!M169</f>
        <v>EC24</v>
      </c>
      <c r="C169" s="24">
        <f>'3.4.raw'!T169</f>
        <v>43795</v>
      </c>
      <c r="D169" s="23">
        <f>'3.4.raw'!I169</f>
        <v>98</v>
      </c>
      <c r="E169" s="1">
        <v>3.4</v>
      </c>
      <c r="G169" s="23" t="b">
        <f>if(countif(Status!C:C,A169)=1,TRUE, FALSE)</f>
        <v>1</v>
      </c>
      <c r="H169" s="23" t="str">
        <f>'3.4.raw'!AD169</f>
        <v/>
      </c>
    </row>
    <row r="170">
      <c r="A170" s="23" t="str">
        <f t="shared" si="2"/>
        <v>PLc1092</v>
      </c>
      <c r="B170" s="23" t="str">
        <f>'3.4.raw'!M170</f>
        <v>PLc1092</v>
      </c>
      <c r="C170" s="24">
        <f>'3.4.raw'!T170</f>
        <v>43795</v>
      </c>
      <c r="D170" s="23">
        <f>'3.4.raw'!I170</f>
        <v>11</v>
      </c>
      <c r="E170" s="1">
        <v>3.4</v>
      </c>
      <c r="G170" s="23" t="b">
        <f>if(countif(Status!C:C,A170)=1,TRUE, FALSE)</f>
        <v>1</v>
      </c>
      <c r="H170" s="23" t="str">
        <f>'3.4.raw'!AD170</f>
        <v/>
      </c>
    </row>
    <row r="171">
      <c r="A171" s="23" t="str">
        <f t="shared" si="2"/>
        <v>PLc1093</v>
      </c>
      <c r="B171" s="23" t="str">
        <f>'3.4.raw'!M171</f>
        <v>PLc1093</v>
      </c>
      <c r="C171" s="24">
        <f>'3.4.raw'!T171</f>
        <v>43795</v>
      </c>
      <c r="D171" s="23">
        <f>'3.4.raw'!I171</f>
        <v>11</v>
      </c>
      <c r="E171" s="1">
        <v>3.4</v>
      </c>
      <c r="G171" s="23" t="b">
        <f>if(countif(Status!C:C,A171)=1,TRUE, FALSE)</f>
        <v>1</v>
      </c>
      <c r="H171" s="23" t="str">
        <f>'3.4.raw'!AD171</f>
        <v/>
      </c>
    </row>
    <row r="172">
      <c r="A172" s="23" t="str">
        <f t="shared" si="2"/>
        <v>PLc1094</v>
      </c>
      <c r="B172" s="23" t="str">
        <f>'3.4.raw'!M172</f>
        <v>PLc1094</v>
      </c>
      <c r="C172" s="24">
        <f>'3.4.raw'!T172</f>
        <v>43795</v>
      </c>
      <c r="D172" s="23">
        <f>'3.4.raw'!I172</f>
        <v>11</v>
      </c>
      <c r="E172" s="1">
        <v>3.4</v>
      </c>
      <c r="G172" s="23" t="b">
        <f>if(countif(Status!C:C,A172)=1,TRUE, FALSE)</f>
        <v>1</v>
      </c>
      <c r="H172" s="23" t="str">
        <f>'3.4.raw'!AD172</f>
        <v/>
      </c>
    </row>
    <row r="173">
      <c r="A173" s="23" t="str">
        <f t="shared" si="2"/>
        <v>FB1156</v>
      </c>
      <c r="B173" s="23" t="str">
        <f>'3.4.raw'!M173</f>
        <v>FB1156</v>
      </c>
      <c r="C173" s="24">
        <f>'3.4.raw'!T173</f>
        <v>43795</v>
      </c>
      <c r="D173" s="23">
        <f>'3.4.raw'!I173</f>
        <v>99</v>
      </c>
      <c r="E173" s="1">
        <v>3.4</v>
      </c>
      <c r="G173" s="23" t="b">
        <f>if(countif(Status!C:C,A173)=1,TRUE, FALSE)</f>
        <v>1</v>
      </c>
      <c r="H173" s="23" t="str">
        <f>'3.4.raw'!AD173</f>
        <v>Associated Sample PLc1094</v>
      </c>
    </row>
    <row r="174">
      <c r="A174" s="23" t="str">
        <f t="shared" si="2"/>
        <v>EC25</v>
      </c>
      <c r="B174" s="23" t="str">
        <f>'3.4.raw'!M174</f>
        <v>EC25</v>
      </c>
      <c r="C174" s="24">
        <f>'3.4.raw'!T174</f>
        <v>43795</v>
      </c>
      <c r="D174" s="23">
        <f>'3.4.raw'!I174</f>
        <v>98</v>
      </c>
      <c r="E174" s="1">
        <v>3.4</v>
      </c>
      <c r="G174" s="23" t="b">
        <f>if(countif(Status!C:C,A174)=1,TRUE, FALSE)</f>
        <v>1</v>
      </c>
      <c r="H174" s="23" t="str">
        <f>'3.4.raw'!AD174</f>
        <v/>
      </c>
    </row>
    <row r="175">
      <c r="A175" s="23" t="str">
        <f t="shared" si="2"/>
        <v>PLc1095</v>
      </c>
      <c r="B175" s="23" t="str">
        <f>'3.4.raw'!M175</f>
        <v>PLc1095</v>
      </c>
      <c r="C175" s="24">
        <f>'3.4.raw'!T175</f>
        <v>43767</v>
      </c>
      <c r="D175" s="23">
        <f>'3.4.raw'!I175</f>
        <v>11</v>
      </c>
      <c r="E175" s="1">
        <v>3.4</v>
      </c>
      <c r="G175" s="23" t="b">
        <f>if(countif(Status!C:C,A175)=1,TRUE, FALSE)</f>
        <v>1</v>
      </c>
      <c r="H175" s="23" t="str">
        <f>'3.4.raw'!AD175</f>
        <v/>
      </c>
    </row>
    <row r="176">
      <c r="A176" s="23" t="str">
        <f t="shared" si="2"/>
        <v>FB1158</v>
      </c>
      <c r="B176" s="23" t="str">
        <f>'3.4.raw'!M176</f>
        <v>FB1158</v>
      </c>
      <c r="C176" s="24">
        <f>'3.4.raw'!T176</f>
        <v>43798</v>
      </c>
      <c r="D176" s="23">
        <f>'3.4.raw'!I176</f>
        <v>99</v>
      </c>
      <c r="E176" s="1">
        <v>3.4</v>
      </c>
      <c r="G176" s="23" t="b">
        <f>if(countif(Status!C:C,A176)=1,TRUE, FALSE)</f>
        <v>1</v>
      </c>
      <c r="H176" s="23" t="str">
        <f>'3.4.raw'!AD176</f>
        <v>Associated Sample PLc1096</v>
      </c>
    </row>
    <row r="177">
      <c r="A177" s="23" t="str">
        <f t="shared" si="2"/>
        <v>MO1122</v>
      </c>
      <c r="B177" s="23" t="str">
        <f>'3.4.raw'!M177</f>
        <v>MO1122</v>
      </c>
      <c r="C177" s="24">
        <f>'3.4.raw'!T177</f>
        <v>43798</v>
      </c>
      <c r="D177" s="23">
        <f>'3.4.raw'!I177</f>
        <v>12</v>
      </c>
      <c r="E177" s="1">
        <v>3.4</v>
      </c>
      <c r="G177" s="23" t="b">
        <f>if(countif(Status!C:C,A177)=1,TRUE, FALSE)</f>
        <v>1</v>
      </c>
      <c r="H177" s="23" t="str">
        <f>'3.4.raw'!AD177</f>
        <v/>
      </c>
    </row>
    <row r="178">
      <c r="A178" s="23" t="str">
        <f t="shared" si="2"/>
        <v>FB1163</v>
      </c>
      <c r="B178" s="23" t="str">
        <f>'3.4.raw'!M178</f>
        <v>FB1163</v>
      </c>
      <c r="C178" s="24">
        <f>'3.4.raw'!T178</f>
        <v>43798</v>
      </c>
      <c r="D178" s="23">
        <f>'3.4.raw'!I178</f>
        <v>99</v>
      </c>
      <c r="E178" s="1">
        <v>3.4</v>
      </c>
      <c r="G178" s="23" t="b">
        <f>if(countif(Status!C:C,A178)=1,TRUE, FALSE)</f>
        <v>1</v>
      </c>
      <c r="H178" s="23" t="str">
        <f>'3.4.raw'!AD178</f>
        <v>Associated Sample MO1123</v>
      </c>
    </row>
    <row r="179">
      <c r="A179" s="23" t="str">
        <f t="shared" si="2"/>
        <v>PLc1097</v>
      </c>
      <c r="B179" s="23" t="str">
        <f>'3.4.raw'!M179</f>
        <v>PLc1097</v>
      </c>
      <c r="C179" s="24">
        <f>'3.4.raw'!T179</f>
        <v>43798</v>
      </c>
      <c r="D179" s="23">
        <f>'3.4.raw'!I179</f>
        <v>11</v>
      </c>
      <c r="E179" s="1">
        <v>3.4</v>
      </c>
      <c r="G179" s="23" t="b">
        <f>if(countif(Status!C:C,A179)=1,TRUE, FALSE)</f>
        <v>1</v>
      </c>
      <c r="H179" s="23" t="str">
        <f>'3.4.raw'!AD179</f>
        <v/>
      </c>
    </row>
    <row r="180">
      <c r="A180" s="23" t="str">
        <f t="shared" si="2"/>
        <v>PLc1098</v>
      </c>
      <c r="B180" s="23" t="str">
        <f>'3.4.raw'!M180</f>
        <v>PLc1098</v>
      </c>
      <c r="C180" s="24">
        <f>'3.4.raw'!T180</f>
        <v>43798</v>
      </c>
      <c r="D180" s="23">
        <f>'3.4.raw'!I180</f>
        <v>11</v>
      </c>
      <c r="E180" s="1">
        <v>3.4</v>
      </c>
      <c r="G180" s="23" t="b">
        <f>if(countif(Status!C:C,A180)=1,TRUE, FALSE)</f>
        <v>1</v>
      </c>
      <c r="H180" s="23" t="str">
        <f>'3.4.raw'!AD180</f>
        <v/>
      </c>
    </row>
    <row r="181">
      <c r="A181" s="23" t="str">
        <f t="shared" si="2"/>
        <v>PLc1099</v>
      </c>
      <c r="B181" s="23" t="str">
        <f>'3.4.raw'!M181</f>
        <v>PLc1099</v>
      </c>
      <c r="C181" s="24">
        <f>'3.4.raw'!T181</f>
        <v>43798</v>
      </c>
      <c r="D181" s="23">
        <f>'3.4.raw'!I181</f>
        <v>11</v>
      </c>
      <c r="E181" s="1">
        <v>3.4</v>
      </c>
      <c r="G181" s="23" t="b">
        <f>if(countif(Status!C:C,A181)=1,TRUE, FALSE)</f>
        <v>1</v>
      </c>
      <c r="H181" s="23" t="str">
        <f>'3.4.raw'!AD181</f>
        <v/>
      </c>
    </row>
    <row r="182">
      <c r="A182" s="23" t="str">
        <f t="shared" si="2"/>
        <v>EC26</v>
      </c>
      <c r="B182" s="23" t="str">
        <f>'3.4.raw'!M182</f>
        <v>EC26</v>
      </c>
      <c r="C182" s="24">
        <f>'3.4.raw'!T182</f>
        <v>43798</v>
      </c>
      <c r="D182" s="23">
        <f>'3.4.raw'!I182</f>
        <v>98</v>
      </c>
      <c r="E182" s="1">
        <v>3.4</v>
      </c>
      <c r="G182" s="23" t="b">
        <f>if(countif(Status!C:C,A182)=1,TRUE, FALSE)</f>
        <v>1</v>
      </c>
      <c r="H182" s="23" t="str">
        <f>'3.4.raw'!AD182</f>
        <v/>
      </c>
    </row>
    <row r="183">
      <c r="A183" s="23" t="str">
        <f t="shared" si="2"/>
        <v>MO1124</v>
      </c>
      <c r="B183" s="23" t="str">
        <f>'3.4.raw'!M183</f>
        <v>MO1124</v>
      </c>
      <c r="C183" s="24">
        <f>'3.4.raw'!T183</f>
        <v>43798</v>
      </c>
      <c r="D183" s="23">
        <f>'3.4.raw'!I183</f>
        <v>12</v>
      </c>
      <c r="E183" s="1">
        <v>3.4</v>
      </c>
      <c r="G183" s="23" t="b">
        <f>if(countif(Status!C:C,A183)=1,TRUE, FALSE)</f>
        <v>1</v>
      </c>
      <c r="H183" s="23" t="str">
        <f>'3.4.raw'!AD183</f>
        <v/>
      </c>
    </row>
    <row r="184">
      <c r="A184" s="23" t="str">
        <f t="shared" si="2"/>
        <v>PLc1100</v>
      </c>
      <c r="B184" s="23" t="str">
        <f>'3.4.raw'!M184</f>
        <v>PLc1100</v>
      </c>
      <c r="C184" s="24">
        <f>'3.4.raw'!T184</f>
        <v>43798</v>
      </c>
      <c r="D184" s="23">
        <f>'3.4.raw'!I184</f>
        <v>11</v>
      </c>
      <c r="E184" s="1">
        <v>3.4</v>
      </c>
      <c r="G184" s="23" t="b">
        <f>if(countif(Status!C:C,A184)=1,TRUE, FALSE)</f>
        <v>1</v>
      </c>
      <c r="H184" s="23" t="str">
        <f>'3.4.raw'!AD184</f>
        <v/>
      </c>
    </row>
    <row r="185">
      <c r="A185" s="23" t="str">
        <f t="shared" si="2"/>
        <v>MO1125</v>
      </c>
      <c r="B185" s="23" t="str">
        <f>'3.4.raw'!M185</f>
        <v>MO1125</v>
      </c>
      <c r="C185" s="24">
        <f>'3.4.raw'!T185</f>
        <v>43798</v>
      </c>
      <c r="D185" s="23">
        <f>'3.4.raw'!I185</f>
        <v>12</v>
      </c>
      <c r="E185" s="1">
        <v>3.4</v>
      </c>
      <c r="G185" s="23" t="b">
        <f>if(countif(Status!C:C,A185)=1,TRUE, FALSE)</f>
        <v>1</v>
      </c>
      <c r="H185" s="23" t="str">
        <f>'3.4.raw'!AD185</f>
        <v/>
      </c>
    </row>
    <row r="186">
      <c r="A186" s="23" t="str">
        <f t="shared" si="2"/>
        <v>FPa1006</v>
      </c>
      <c r="B186" s="23" t="str">
        <f>'3.4.raw'!M186</f>
        <v>FPa1006</v>
      </c>
      <c r="C186" s="24">
        <f>'3.4.raw'!T186</f>
        <v>43798</v>
      </c>
      <c r="D186" s="23">
        <f>'3.4.raw'!I186</f>
        <v>14</v>
      </c>
      <c r="E186" s="1">
        <v>3.4</v>
      </c>
      <c r="G186" s="23" t="b">
        <f>if(countif(Status!C:C,A186)=1,TRUE, FALSE)</f>
        <v>1</v>
      </c>
      <c r="H186" s="23" t="str">
        <f>'3.4.raw'!AD186</f>
        <v/>
      </c>
    </row>
    <row r="187">
      <c r="A187" s="23" t="str">
        <f t="shared" si="2"/>
        <v>FPc1006</v>
      </c>
      <c r="B187" s="23" t="str">
        <f>'3.4.raw'!M187</f>
        <v>FPc1006</v>
      </c>
      <c r="C187" s="24">
        <f>'3.4.raw'!T187</f>
        <v>43798</v>
      </c>
      <c r="D187" s="23">
        <f>'3.4.raw'!I187</f>
        <v>14</v>
      </c>
      <c r="E187" s="1">
        <v>3.4</v>
      </c>
      <c r="G187" s="23" t="b">
        <f>if(countif(Status!C:C,A187)=1,TRUE, FALSE)</f>
        <v>1</v>
      </c>
      <c r="H187" s="23" t="str">
        <f>'3.4.raw'!AD187</f>
        <v/>
      </c>
    </row>
    <row r="188">
      <c r="A188" s="23" t="str">
        <f t="shared" si="2"/>
        <v>FPe1006</v>
      </c>
      <c r="B188" s="23" t="str">
        <f>'3.4.raw'!M188</f>
        <v>FPe1006</v>
      </c>
      <c r="C188" s="24">
        <f>'3.4.raw'!T188</f>
        <v>43798</v>
      </c>
      <c r="D188" s="23">
        <f>'3.4.raw'!I188</f>
        <v>14</v>
      </c>
      <c r="E188" s="1">
        <v>3.4</v>
      </c>
      <c r="G188" s="23" t="b">
        <f>if(countif(Status!C:C,A188)=1,TRUE, FALSE)</f>
        <v>1</v>
      </c>
      <c r="H188" s="23" t="str">
        <f>'3.4.raw'!AD188</f>
        <v/>
      </c>
    </row>
    <row r="189">
      <c r="A189" s="23" t="str">
        <f t="shared" si="2"/>
        <v>FPd1006</v>
      </c>
      <c r="B189" s="23" t="str">
        <f>'3.4.raw'!M189</f>
        <v>FPd1006</v>
      </c>
      <c r="C189" s="24">
        <f>'3.4.raw'!T189</f>
        <v>43798</v>
      </c>
      <c r="D189" s="23">
        <f>'3.4.raw'!I189</f>
        <v>14</v>
      </c>
      <c r="E189" s="1">
        <v>3.4</v>
      </c>
      <c r="G189" s="23" t="b">
        <f>if(countif(Status!C:C,A189)=1,TRUE, FALSE)</f>
        <v>1</v>
      </c>
      <c r="H189" s="23" t="str">
        <f>'3.4.raw'!AD189</f>
        <v/>
      </c>
    </row>
    <row r="190">
      <c r="A190" s="23" t="str">
        <f t="shared" si="2"/>
        <v>FPb1006</v>
      </c>
      <c r="B190" s="23" t="str">
        <f>'3.4.raw'!M190</f>
        <v>FPb1006</v>
      </c>
      <c r="C190" s="24">
        <f>'3.4.raw'!T190</f>
        <v>43798</v>
      </c>
      <c r="D190" s="23">
        <f>'3.4.raw'!I190</f>
        <v>14</v>
      </c>
      <c r="E190" s="1">
        <v>3.4</v>
      </c>
      <c r="G190" s="23" t="b">
        <f>if(countif(Status!C:C,A190)=1,TRUE, FALSE)</f>
        <v>1</v>
      </c>
      <c r="H190" s="23" t="str">
        <f>'3.4.raw'!AD190</f>
        <v/>
      </c>
    </row>
    <row r="191">
      <c r="A191" s="23" t="str">
        <f t="shared" si="2"/>
        <v>PLc1101</v>
      </c>
      <c r="B191" s="23" t="str">
        <f>'3.4.raw'!M191</f>
        <v>PLc1101</v>
      </c>
      <c r="C191" s="24">
        <f>'3.4.raw'!T191</f>
        <v>43798</v>
      </c>
      <c r="D191" s="23">
        <f>'3.4.raw'!I191</f>
        <v>11</v>
      </c>
      <c r="E191" s="1">
        <v>3.4</v>
      </c>
      <c r="G191" s="23" t="b">
        <f>if(countif(Status!C:C,A191)=1,TRUE, FALSE)</f>
        <v>1</v>
      </c>
      <c r="H191" s="23" t="str">
        <f>'3.4.raw'!AD191</f>
        <v/>
      </c>
    </row>
    <row r="192">
      <c r="A192" s="23" t="str">
        <f t="shared" si="2"/>
        <v>FB1168</v>
      </c>
      <c r="B192" s="23" t="str">
        <f>'3.4.raw'!M192</f>
        <v>FB1168</v>
      </c>
      <c r="C192" s="24">
        <f>'3.4.raw'!T192</f>
        <v>43798</v>
      </c>
      <c r="D192" s="23">
        <f>'3.4.raw'!I192</f>
        <v>99</v>
      </c>
      <c r="E192" s="1">
        <v>3.4</v>
      </c>
      <c r="G192" s="23" t="b">
        <f>if(countif(Status!C:C,A192)=1,TRUE, FALSE)</f>
        <v>1</v>
      </c>
      <c r="H192" s="23" t="str">
        <f>'3.4.raw'!AD192</f>
        <v>Associated Sample MO1125</v>
      </c>
    </row>
    <row r="193">
      <c r="A193" s="23" t="str">
        <f t="shared" si="2"/>
        <v>EC27</v>
      </c>
      <c r="B193" s="23" t="str">
        <f>'3.4.raw'!M193</f>
        <v>EC27</v>
      </c>
      <c r="C193" s="24">
        <f>'3.4.raw'!T193</f>
        <v>43798</v>
      </c>
      <c r="D193" s="23">
        <f>'3.4.raw'!I193</f>
        <v>98</v>
      </c>
      <c r="E193" s="1">
        <v>3.4</v>
      </c>
      <c r="G193" s="23" t="b">
        <f>if(countif(Status!C:C,A193)=1,TRUE, FALSE)</f>
        <v>1</v>
      </c>
      <c r="H193" s="23" t="str">
        <f>'3.4.raw'!AD193</f>
        <v/>
      </c>
    </row>
    <row r="194">
      <c r="A194" s="23" t="str">
        <f t="shared" si="2"/>
        <v>UF1009</v>
      </c>
      <c r="B194" s="23" t="str">
        <f>'3.4.raw'!M194</f>
        <v>UF1009</v>
      </c>
      <c r="C194" s="24">
        <f>'3.4.raw'!T194</f>
        <v>43798</v>
      </c>
      <c r="D194" s="23">
        <f>'3.4.raw'!I194</f>
        <v>16</v>
      </c>
      <c r="E194" s="1">
        <v>3.4</v>
      </c>
      <c r="G194" s="23" t="b">
        <f>if(countif(Status!C:C,A194)=1,TRUE, FALSE)</f>
        <v>1</v>
      </c>
      <c r="H194" s="23" t="str">
        <f>'3.4.raw'!AD194</f>
        <v/>
      </c>
    </row>
    <row r="195">
      <c r="A195" s="23" t="str">
        <f t="shared" si="2"/>
        <v>MO1123</v>
      </c>
      <c r="B195" s="23" t="str">
        <f>'3.4.raw'!M195</f>
        <v>MO1123</v>
      </c>
      <c r="C195" s="24">
        <f>'3.4.raw'!T195</f>
        <v>43798</v>
      </c>
      <c r="D195" s="23">
        <f>'3.4.raw'!I195</f>
        <v>12</v>
      </c>
      <c r="E195" s="1">
        <v>3.4</v>
      </c>
      <c r="G195" s="23" t="b">
        <f>if(countif(Status!C:C,A195)=1,TRUE, FALSE)</f>
        <v>1</v>
      </c>
      <c r="H195" s="23" t="str">
        <f>'3.4.raw'!AD195</f>
        <v/>
      </c>
    </row>
    <row r="196">
      <c r="A196" s="23" t="str">
        <f t="shared" si="2"/>
        <v>PLc1037</v>
      </c>
      <c r="B196" s="23" t="str">
        <f>'3.4.raw'!M196</f>
        <v>PLc1037</v>
      </c>
      <c r="C196" s="24">
        <f>'3.4.raw'!T196</f>
        <v>43761</v>
      </c>
      <c r="D196" s="23">
        <f>'3.4.raw'!I196</f>
        <v>11</v>
      </c>
      <c r="E196" s="1">
        <v>3.4</v>
      </c>
      <c r="G196" s="23" t="b">
        <f>if(countif(Status!C:C,A196)=1,TRUE, FALSE)</f>
        <v>1</v>
      </c>
      <c r="H196" s="23" t="str">
        <f>'3.4.raw'!AD196</f>
        <v/>
      </c>
    </row>
    <row r="197">
      <c r="A197" s="23" t="str">
        <f t="shared" si="2"/>
        <v>PLc1037F</v>
      </c>
      <c r="B197" s="23" t="str">
        <f>'3.4.raw'!M197</f>
        <v>PLc1037F</v>
      </c>
      <c r="C197" s="24">
        <f>'3.4.raw'!T197</f>
        <v>43761</v>
      </c>
      <c r="D197" s="23">
        <f>'3.4.raw'!I197</f>
        <v>11</v>
      </c>
      <c r="E197" s="1">
        <v>3.4</v>
      </c>
      <c r="G197" s="23" t="b">
        <f>if(countif(Status!C:C,A197)=1,TRUE, FALSE)</f>
        <v>1</v>
      </c>
      <c r="H197" s="23" t="str">
        <f>'3.4.raw'!AD197</f>
        <v/>
      </c>
    </row>
    <row r="198">
      <c r="A198" s="23" t="str">
        <f t="shared" si="2"/>
        <v>FB1073UP</v>
      </c>
      <c r="B198" s="23" t="str">
        <f>'3.4.raw'!M198</f>
        <v>FB1073UP</v>
      </c>
      <c r="C198" s="24">
        <f>'3.4.raw'!T198</f>
        <v>43761</v>
      </c>
      <c r="D198" s="23">
        <f>'3.4.raw'!I198</f>
        <v>99</v>
      </c>
      <c r="E198" s="1">
        <v>3.4</v>
      </c>
      <c r="G198" s="23" t="b">
        <f>if(countif(Status!C:C,A198)=1,TRUE, FALSE)</f>
        <v>1</v>
      </c>
      <c r="H198" s="23" t="str">
        <f>'3.4.raw'!AD198</f>
        <v/>
      </c>
    </row>
    <row r="199">
      <c r="A199" s="23" t="str">
        <f t="shared" si="2"/>
        <v>PLc1038</v>
      </c>
      <c r="B199" s="23" t="str">
        <f>'3.4.raw'!M199</f>
        <v>PLc1038</v>
      </c>
      <c r="C199" s="24">
        <f>'3.4.raw'!T199</f>
        <v>43761</v>
      </c>
      <c r="D199" s="23">
        <f>'3.4.raw'!I199</f>
        <v>11</v>
      </c>
      <c r="E199" s="1">
        <v>3.4</v>
      </c>
      <c r="G199" s="23" t="b">
        <f>if(countif(Status!C:C,A199)=1,TRUE, FALSE)</f>
        <v>1</v>
      </c>
      <c r="H199" s="23" t="str">
        <f>'3.4.raw'!AD199</f>
        <v/>
      </c>
    </row>
    <row r="200">
      <c r="A200" s="23" t="str">
        <f t="shared" si="2"/>
        <v>PLc1038F</v>
      </c>
      <c r="B200" s="23" t="str">
        <f>'3.4.raw'!M200</f>
        <v>PLc1038F</v>
      </c>
      <c r="C200" s="24">
        <f>'3.4.raw'!T200</f>
        <v>43761</v>
      </c>
      <c r="D200" s="23">
        <f>'3.4.raw'!I200</f>
        <v>11</v>
      </c>
      <c r="E200" s="1">
        <v>3.4</v>
      </c>
      <c r="G200" s="23" t="b">
        <f>if(countif(Status!C:C,A200)=1,TRUE, FALSE)</f>
        <v>1</v>
      </c>
      <c r="H200" s="23" t="str">
        <f>'3.4.raw'!AD200</f>
        <v/>
      </c>
    </row>
    <row r="201">
      <c r="A201" s="23" t="str">
        <f t="shared" si="2"/>
        <v>FB1074UP</v>
      </c>
      <c r="B201" s="23" t="str">
        <f>'3.4.raw'!M201</f>
        <v>FB1074UP</v>
      </c>
      <c r="C201" s="24">
        <f>'3.4.raw'!T201</f>
        <v>43761</v>
      </c>
      <c r="D201" s="23">
        <f>'3.4.raw'!I201</f>
        <v>99</v>
      </c>
      <c r="E201" s="1">
        <v>3.4</v>
      </c>
      <c r="G201" s="23" t="b">
        <f>if(countif(Status!C:C,A201)=1,TRUE, FALSE)</f>
        <v>1</v>
      </c>
      <c r="H201" s="23" t="str">
        <f>'3.4.raw'!AD201</f>
        <v>Associated Sample PLc1038</v>
      </c>
    </row>
    <row r="202">
      <c r="A202" s="23" t="str">
        <f t="shared" si="2"/>
        <v>MO1102</v>
      </c>
      <c r="B202" s="23" t="str">
        <f>'3.4.raw'!M202</f>
        <v>MO1102</v>
      </c>
      <c r="C202" s="24">
        <f>'3.4.raw'!T202</f>
        <v>43761</v>
      </c>
      <c r="D202" s="23">
        <f>'3.4.raw'!I202</f>
        <v>12</v>
      </c>
      <c r="E202" s="1">
        <v>3.4</v>
      </c>
      <c r="G202" s="23" t="b">
        <f>if(countif(Status!C:C,A202)=1,TRUE, FALSE)</f>
        <v>1</v>
      </c>
      <c r="H202" s="23" t="str">
        <f>'3.4.raw'!AD202</f>
        <v/>
      </c>
    </row>
    <row r="203">
      <c r="A203" s="23" t="str">
        <f t="shared" si="2"/>
        <v>MO1103</v>
      </c>
      <c r="B203" s="23" t="str">
        <f>'3.4.raw'!M203</f>
        <v>MO1103</v>
      </c>
      <c r="C203" s="24">
        <f>'3.4.raw'!T203</f>
        <v>43761</v>
      </c>
      <c r="D203" s="23">
        <f>'3.4.raw'!I203</f>
        <v>12</v>
      </c>
      <c r="E203" s="1">
        <v>3.4</v>
      </c>
      <c r="G203" s="23" t="b">
        <f>if(countif(Status!C:C,A203)=1,TRUE, FALSE)</f>
        <v>1</v>
      </c>
      <c r="H203" s="23" t="str">
        <f>'3.4.raw'!AD203</f>
        <v/>
      </c>
    </row>
    <row r="204">
      <c r="A204" s="23" t="str">
        <f t="shared" si="2"/>
        <v>FB1075UP</v>
      </c>
      <c r="B204" s="23" t="str">
        <f>'3.4.raw'!M204</f>
        <v>FB1075UP</v>
      </c>
      <c r="C204" s="24">
        <f>'3.4.raw'!T204</f>
        <v>43761</v>
      </c>
      <c r="D204" s="23">
        <f>'3.4.raw'!I204</f>
        <v>99</v>
      </c>
      <c r="E204" s="1">
        <v>3.4</v>
      </c>
      <c r="G204" s="23" t="b">
        <f>if(countif(Status!C:C,A204)=1,TRUE, FALSE)</f>
        <v>1</v>
      </c>
      <c r="H204" s="23" t="str">
        <f>'3.4.raw'!AD204</f>
        <v>Associated Sample MO1103</v>
      </c>
    </row>
    <row r="205">
      <c r="A205" s="23" t="str">
        <f t="shared" si="2"/>
        <v>FB1076UP</v>
      </c>
      <c r="B205" s="23" t="str">
        <f>'3.4.raw'!M205</f>
        <v>FB1076UP</v>
      </c>
      <c r="C205" s="24">
        <f>'3.4.raw'!T205</f>
        <v>43761</v>
      </c>
      <c r="D205" s="23">
        <f>'3.4.raw'!I205</f>
        <v>99</v>
      </c>
      <c r="E205" s="1">
        <v>3.4</v>
      </c>
      <c r="G205" s="23" t="b">
        <f>if(countif(Status!C:C,A205)=1,TRUE, FALSE)</f>
        <v>1</v>
      </c>
      <c r="H205" s="23" t="str">
        <f>'3.4.raw'!AD205</f>
        <v>Associated Sample MO1102</v>
      </c>
    </row>
    <row r="206">
      <c r="A206" s="23" t="str">
        <f t="shared" si="2"/>
        <v>PLc1039</v>
      </c>
      <c r="B206" s="23" t="str">
        <f>'3.4.raw'!M206</f>
        <v>PLc1039</v>
      </c>
      <c r="C206" s="24">
        <f>'3.4.raw'!T206</f>
        <v>43768</v>
      </c>
      <c r="D206" s="23">
        <f>'3.4.raw'!I206</f>
        <v>11</v>
      </c>
      <c r="E206" s="1">
        <v>3.4</v>
      </c>
      <c r="G206" s="23" t="b">
        <f>if(countif(Status!C:C,A206)=1,TRUE, FALSE)</f>
        <v>1</v>
      </c>
      <c r="H206" s="23" t="str">
        <f>'3.4.raw'!AD206</f>
        <v/>
      </c>
    </row>
    <row r="207">
      <c r="A207" s="23" t="str">
        <f t="shared" si="2"/>
        <v>FB1077</v>
      </c>
      <c r="B207" s="23" t="str">
        <f>'3.4.raw'!M207</f>
        <v>FB1077</v>
      </c>
      <c r="C207" s="24">
        <f>'3.4.raw'!T207</f>
        <v>43768</v>
      </c>
      <c r="D207" s="23">
        <f>'3.4.raw'!I207</f>
        <v>99</v>
      </c>
      <c r="E207" s="1">
        <v>3.4</v>
      </c>
      <c r="G207" s="23" t="b">
        <f>if(countif(Status!C:C,A207)=1,TRUE, FALSE)</f>
        <v>1</v>
      </c>
      <c r="H207" s="23" t="str">
        <f>'3.4.raw'!AD207</f>
        <v>Associated sample PLc1039</v>
      </c>
    </row>
    <row r="208">
      <c r="A208" s="23" t="str">
        <f t="shared" si="2"/>
        <v>PLc1040</v>
      </c>
      <c r="B208" s="23" t="str">
        <f>'3.4.raw'!M208</f>
        <v>PLc1040</v>
      </c>
      <c r="C208" s="24">
        <f>'3.4.raw'!T208</f>
        <v>43768</v>
      </c>
      <c r="D208" s="23">
        <f>'3.4.raw'!I208</f>
        <v>11</v>
      </c>
      <c r="E208" s="1">
        <v>3.4</v>
      </c>
      <c r="G208" s="23" t="b">
        <f>if(countif(Status!C:C,A208)=1,TRUE, FALSE)</f>
        <v>1</v>
      </c>
      <c r="H208" s="23" t="str">
        <f>'3.4.raw'!AD208</f>
        <v/>
      </c>
    </row>
    <row r="209">
      <c r="A209" s="23" t="str">
        <f t="shared" si="2"/>
        <v>FB1078UP</v>
      </c>
      <c r="B209" s="23" t="str">
        <f>'3.4.raw'!M209</f>
        <v>FB1078UP</v>
      </c>
      <c r="C209" s="24">
        <f>'3.4.raw'!T209</f>
        <v>43768</v>
      </c>
      <c r="D209" s="23">
        <f>'3.4.raw'!I209</f>
        <v>99</v>
      </c>
      <c r="E209" s="1">
        <v>3.4</v>
      </c>
      <c r="G209" s="23" t="b">
        <f>if(countif(Status!C:C,A209)=1,TRUE, FALSE)</f>
        <v>1</v>
      </c>
      <c r="H209" s="23" t="str">
        <f>'3.4.raw'!AD209</f>
        <v>Associated sample PLc1040</v>
      </c>
    </row>
    <row r="210">
      <c r="A210" s="23" t="str">
        <f t="shared" si="2"/>
        <v>PLc1041</v>
      </c>
      <c r="B210" s="23" t="str">
        <f>'3.4.raw'!M210</f>
        <v>PLc1041</v>
      </c>
      <c r="C210" s="24">
        <f>'3.4.raw'!T210</f>
        <v>43768</v>
      </c>
      <c r="D210" s="23">
        <f>'3.4.raw'!I210</f>
        <v>11</v>
      </c>
      <c r="E210" s="1">
        <v>3.4</v>
      </c>
      <c r="G210" s="23" t="b">
        <f>if(countif(Status!C:C,A210)=1,TRUE, FALSE)</f>
        <v>1</v>
      </c>
      <c r="H210" s="23" t="str">
        <f>'3.4.raw'!AD210</f>
        <v/>
      </c>
    </row>
    <row r="211">
      <c r="A211" s="23" t="str">
        <f t="shared" si="2"/>
        <v>FB1079UP</v>
      </c>
      <c r="B211" s="23" t="str">
        <f>'3.4.raw'!M211</f>
        <v>FB1079UP</v>
      </c>
      <c r="C211" s="24">
        <f>'3.4.raw'!T211</f>
        <v>43768</v>
      </c>
      <c r="D211" s="23">
        <f>'3.4.raw'!I211</f>
        <v>99</v>
      </c>
      <c r="E211" s="1">
        <v>3.4</v>
      </c>
      <c r="G211" s="23" t="b">
        <f>if(countif(Status!C:C,A211)=1,TRUE, FALSE)</f>
        <v>1</v>
      </c>
      <c r="H211" s="23" t="str">
        <f>'3.4.raw'!AD211</f>
        <v>Associated sample PLc1041</v>
      </c>
    </row>
    <row r="212">
      <c r="A212" s="23" t="str">
        <f t="shared" si="2"/>
        <v>PLc1042</v>
      </c>
      <c r="B212" s="23" t="str">
        <f>'3.4.raw'!M212</f>
        <v>PLc1042</v>
      </c>
      <c r="C212" s="24">
        <f>'3.4.raw'!T212</f>
        <v>43768</v>
      </c>
      <c r="D212" s="23">
        <f>'3.4.raw'!I212</f>
        <v>11</v>
      </c>
      <c r="E212" s="1">
        <v>3.4</v>
      </c>
      <c r="G212" s="23" t="b">
        <f>if(countif(Status!C:C,A212)=1,TRUE, FALSE)</f>
        <v>1</v>
      </c>
      <c r="H212" s="23" t="str">
        <f>'3.4.raw'!AD212</f>
        <v/>
      </c>
    </row>
    <row r="213">
      <c r="A213" s="23" t="str">
        <f t="shared" si="2"/>
        <v>FB1080UP</v>
      </c>
      <c r="B213" s="23" t="str">
        <f>'3.4.raw'!M213</f>
        <v>FB1080UP</v>
      </c>
      <c r="C213" s="24">
        <f>'3.4.raw'!T213</f>
        <v>43768</v>
      </c>
      <c r="D213" s="23">
        <f>'3.4.raw'!I213</f>
        <v>99</v>
      </c>
      <c r="E213" s="1">
        <v>3.4</v>
      </c>
      <c r="G213" s="23" t="b">
        <f>if(countif(Status!C:C,A213)=1,TRUE, FALSE)</f>
        <v>1</v>
      </c>
      <c r="H213" s="23" t="str">
        <f>'3.4.raw'!AD213</f>
        <v>Associated sample Plc1042</v>
      </c>
    </row>
    <row r="214">
      <c r="A214" s="23" t="str">
        <f t="shared" si="2"/>
        <v>PLc1035</v>
      </c>
      <c r="B214" s="23" t="str">
        <f>'3.4.raw'!M214</f>
        <v>PLc1035</v>
      </c>
      <c r="C214" s="24">
        <f>'3.4.raw'!T214</f>
        <v>43762</v>
      </c>
      <c r="D214" s="23">
        <f>'3.4.raw'!I214</f>
        <v>11</v>
      </c>
      <c r="E214" s="1">
        <v>3.4</v>
      </c>
      <c r="G214" s="23" t="b">
        <f>if(countif(Status!C:C,A214)=1,TRUE, FALSE)</f>
        <v>1</v>
      </c>
      <c r="H214" s="23" t="str">
        <f>'3.4.raw'!AD214</f>
        <v/>
      </c>
    </row>
    <row r="215">
      <c r="A215" s="23" t="str">
        <f t="shared" si="2"/>
        <v>PLc1035F</v>
      </c>
      <c r="B215" s="23" t="str">
        <f>'3.4.raw'!M215</f>
        <v>PLc1035F</v>
      </c>
      <c r="C215" s="24">
        <f>'3.4.raw'!T215</f>
        <v>43762</v>
      </c>
      <c r="D215" s="23">
        <f>'3.4.raw'!I215</f>
        <v>11</v>
      </c>
      <c r="E215" s="1">
        <v>3.4</v>
      </c>
      <c r="G215" s="23" t="b">
        <f>if(countif(Status!C:C,A215)=1,TRUE, FALSE)</f>
        <v>1</v>
      </c>
      <c r="H215" s="23" t="str">
        <f>'3.4.raw'!AD215</f>
        <v/>
      </c>
    </row>
    <row r="216">
      <c r="A216" s="23" t="str">
        <f t="shared" si="2"/>
        <v>FB1069UP</v>
      </c>
      <c r="B216" s="23" t="str">
        <f>'3.4.raw'!M216</f>
        <v>FB1069UP</v>
      </c>
      <c r="C216" s="24">
        <f>'3.4.raw'!T216</f>
        <v>43762</v>
      </c>
      <c r="D216" s="23">
        <f>'3.4.raw'!I216</f>
        <v>99</v>
      </c>
      <c r="E216" s="1">
        <v>3.4</v>
      </c>
      <c r="G216" s="23" t="b">
        <f>if(countif(Status!C:C,A216)=1,TRUE, FALSE)</f>
        <v>1</v>
      </c>
      <c r="H216" s="23" t="str">
        <f>'3.4.raw'!AD216</f>
        <v>Associated sample PLc1035</v>
      </c>
    </row>
    <row r="217">
      <c r="A217" s="23" t="str">
        <f t="shared" si="2"/>
        <v>PLc1036</v>
      </c>
      <c r="B217" s="23" t="str">
        <f>'3.4.raw'!M217</f>
        <v>PLc1036</v>
      </c>
      <c r="C217" s="24">
        <f>'3.4.raw'!T217</f>
        <v>43762</v>
      </c>
      <c r="D217" s="23">
        <f>'3.4.raw'!I217</f>
        <v>11</v>
      </c>
      <c r="E217" s="1">
        <v>3.4</v>
      </c>
      <c r="G217" s="23" t="b">
        <f>if(countif(Status!C:C,A217)=1,TRUE, FALSE)</f>
        <v>1</v>
      </c>
      <c r="H217" s="23" t="str">
        <f>'3.4.raw'!AD217</f>
        <v/>
      </c>
    </row>
    <row r="218">
      <c r="A218" s="23" t="str">
        <f t="shared" si="2"/>
        <v>PLc1036F</v>
      </c>
      <c r="B218" s="23" t="str">
        <f>'3.4.raw'!M218</f>
        <v>PLc1036F</v>
      </c>
      <c r="C218" s="24">
        <f>'3.4.raw'!T218</f>
        <v>43762</v>
      </c>
      <c r="D218" s="23">
        <f>'3.4.raw'!I218</f>
        <v>11</v>
      </c>
      <c r="E218" s="1">
        <v>3.4</v>
      </c>
      <c r="G218" s="23" t="b">
        <f>if(countif(Status!C:C,A218)=1,TRUE, FALSE)</f>
        <v>1</v>
      </c>
      <c r="H218" s="23" t="str">
        <f>'3.4.raw'!AD218</f>
        <v/>
      </c>
    </row>
    <row r="219">
      <c r="A219" s="23" t="str">
        <f t="shared" si="2"/>
        <v>FB1070UP</v>
      </c>
      <c r="B219" s="23" t="str">
        <f>'3.4.raw'!M219</f>
        <v>FB1070UP</v>
      </c>
      <c r="C219" s="24">
        <f>'3.4.raw'!T219</f>
        <v>43762</v>
      </c>
      <c r="D219" s="23">
        <f>'3.4.raw'!I219</f>
        <v>99</v>
      </c>
      <c r="E219" s="1">
        <v>3.4</v>
      </c>
      <c r="G219" s="23" t="b">
        <f>if(countif(Status!C:C,A219)=1,TRUE, FALSE)</f>
        <v>1</v>
      </c>
      <c r="H219" s="23" t="str">
        <f>'3.4.raw'!AD219</f>
        <v>Associated sample PLc1036</v>
      </c>
    </row>
    <row r="220">
      <c r="A220" s="23" t="str">
        <f t="shared" si="2"/>
        <v>MO1100</v>
      </c>
      <c r="B220" s="23" t="str">
        <f>'3.4.raw'!M220</f>
        <v>MO1100</v>
      </c>
      <c r="C220" s="24">
        <f>'3.4.raw'!T220</f>
        <v>43762</v>
      </c>
      <c r="D220" s="23">
        <f>'3.4.raw'!I220</f>
        <v>12</v>
      </c>
      <c r="E220" s="1">
        <v>3.4</v>
      </c>
      <c r="G220" s="23" t="b">
        <f>if(countif(Status!C:C,A220)=1,TRUE, FALSE)</f>
        <v>1</v>
      </c>
      <c r="H220" s="23" t="str">
        <f>'3.4.raw'!AD220</f>
        <v/>
      </c>
    </row>
    <row r="221">
      <c r="A221" s="23" t="str">
        <f t="shared" si="2"/>
        <v>FB1071</v>
      </c>
      <c r="B221" s="23" t="str">
        <f>'3.4.raw'!M221</f>
        <v>FB1071</v>
      </c>
      <c r="C221" s="24">
        <f>'3.4.raw'!T221</f>
        <v>43762</v>
      </c>
      <c r="D221" s="23">
        <f>'3.4.raw'!I221</f>
        <v>99</v>
      </c>
      <c r="E221" s="1">
        <v>3.4</v>
      </c>
      <c r="G221" s="23" t="b">
        <f>if(countif(Status!C:C,A221)=1,TRUE, FALSE)</f>
        <v>1</v>
      </c>
      <c r="H221" s="23" t="str">
        <f>'3.4.raw'!AD221</f>
        <v>Associated sample MO1100</v>
      </c>
    </row>
    <row r="222">
      <c r="A222" s="23" t="str">
        <f t="shared" si="2"/>
        <v>MO1101</v>
      </c>
      <c r="B222" s="23" t="str">
        <f>'3.4.raw'!M222</f>
        <v>MO1101</v>
      </c>
      <c r="C222" s="24">
        <f>'3.4.raw'!T222</f>
        <v>43762</v>
      </c>
      <c r="D222" s="23">
        <f>'3.4.raw'!I222</f>
        <v>12</v>
      </c>
      <c r="E222" s="1">
        <v>3.4</v>
      </c>
      <c r="G222" s="23" t="b">
        <f>if(countif(Status!C:C,A222)=1,TRUE, FALSE)</f>
        <v>1</v>
      </c>
      <c r="H222" s="23" t="str">
        <f>'3.4.raw'!AD222</f>
        <v/>
      </c>
    </row>
    <row r="223">
      <c r="A223" s="23" t="str">
        <f t="shared" si="2"/>
        <v>FB1072UP</v>
      </c>
      <c r="B223" s="23" t="str">
        <f>'3.4.raw'!M223</f>
        <v>FB1072UP</v>
      </c>
      <c r="C223" s="24">
        <f>'3.4.raw'!T223</f>
        <v>43762</v>
      </c>
      <c r="D223" s="23">
        <f>'3.4.raw'!I223</f>
        <v>99</v>
      </c>
      <c r="E223" s="1">
        <v>3.4</v>
      </c>
      <c r="G223" s="23" t="b">
        <f>if(countif(Status!C:C,A223)=1,TRUE, FALSE)</f>
        <v>1</v>
      </c>
      <c r="H223" s="23" t="str">
        <f>'3.4.raw'!AD223</f>
        <v>Associated sample MO1101</v>
      </c>
    </row>
    <row r="224">
      <c r="A224" s="23" t="str">
        <f t="shared" si="2"/>
        <v>PLc1031</v>
      </c>
      <c r="B224" s="23" t="str">
        <f>'3.4.raw'!M224</f>
        <v>PLc1031</v>
      </c>
      <c r="C224" s="24">
        <f>'3.4.raw'!T224</f>
        <v>43763</v>
      </c>
      <c r="D224" s="23">
        <f>'3.4.raw'!I224</f>
        <v>11</v>
      </c>
      <c r="E224" s="1">
        <v>3.4</v>
      </c>
      <c r="G224" s="23" t="b">
        <f>if(countif(Status!C:C,A224)=1,TRUE, FALSE)</f>
        <v>1</v>
      </c>
      <c r="H224" s="23" t="str">
        <f>'3.4.raw'!AD224</f>
        <v/>
      </c>
    </row>
    <row r="225">
      <c r="A225" s="23" t="str">
        <f t="shared" si="2"/>
        <v>PLc1031F</v>
      </c>
      <c r="B225" s="23" t="str">
        <f>'3.4.raw'!M225</f>
        <v>PLc1031F</v>
      </c>
      <c r="C225" s="24">
        <f>'3.4.raw'!T225</f>
        <v>43763</v>
      </c>
      <c r="D225" s="23">
        <f>'3.4.raw'!I225</f>
        <v>11</v>
      </c>
      <c r="E225" s="1">
        <v>3.4</v>
      </c>
      <c r="G225" s="23" t="b">
        <f>if(countif(Status!C:C,A225)=1,TRUE, FALSE)</f>
        <v>1</v>
      </c>
      <c r="H225" s="23" t="str">
        <f>'3.4.raw'!AD225</f>
        <v/>
      </c>
    </row>
    <row r="226">
      <c r="A226" s="23" t="str">
        <f t="shared" si="2"/>
        <v>FB1065UP</v>
      </c>
      <c r="B226" s="23" t="str">
        <f>'3.4.raw'!M226</f>
        <v>FB1065UP</v>
      </c>
      <c r="C226" s="24">
        <f>'3.4.raw'!T226</f>
        <v>43763</v>
      </c>
      <c r="D226" s="23">
        <f>'3.4.raw'!I226</f>
        <v>99</v>
      </c>
      <c r="E226" s="1">
        <v>3.4</v>
      </c>
      <c r="G226" s="23" t="b">
        <f>if(countif(Status!C:C,A226)=1,TRUE, FALSE)</f>
        <v>1</v>
      </c>
      <c r="H226" s="23" t="str">
        <f>'3.4.raw'!AD226</f>
        <v>Associated sample PLc1031</v>
      </c>
    </row>
    <row r="227">
      <c r="A227" s="23" t="str">
        <f t="shared" si="2"/>
        <v>PLc1032</v>
      </c>
      <c r="B227" s="23" t="str">
        <f>'3.4.raw'!M227</f>
        <v>PLc1032</v>
      </c>
      <c r="C227" s="24">
        <f>'3.4.raw'!T227</f>
        <v>43763</v>
      </c>
      <c r="D227" s="23">
        <f>'3.4.raw'!I227</f>
        <v>11</v>
      </c>
      <c r="E227" s="1">
        <v>3.4</v>
      </c>
      <c r="G227" s="23" t="b">
        <f>if(countif(Status!C:C,A227)=1,TRUE, FALSE)</f>
        <v>1</v>
      </c>
      <c r="H227" s="23" t="str">
        <f>'3.4.raw'!AD227</f>
        <v/>
      </c>
    </row>
    <row r="228">
      <c r="A228" s="23" t="str">
        <f t="shared" si="2"/>
        <v>PLc1032F</v>
      </c>
      <c r="B228" s="23" t="str">
        <f>'3.4.raw'!M228</f>
        <v>PLc1032F</v>
      </c>
      <c r="C228" s="24">
        <f>'3.4.raw'!T228</f>
        <v>43763</v>
      </c>
      <c r="D228" s="23">
        <f>'3.4.raw'!I228</f>
        <v>11</v>
      </c>
      <c r="E228" s="1">
        <v>3.4</v>
      </c>
      <c r="G228" s="23" t="b">
        <f>if(countif(Status!C:C,A228)=1,TRUE, FALSE)</f>
        <v>1</v>
      </c>
      <c r="H228" s="23" t="str">
        <f>'3.4.raw'!AD228</f>
        <v/>
      </c>
    </row>
    <row r="229">
      <c r="A229" s="23" t="str">
        <f t="shared" si="2"/>
        <v>FB1066UP</v>
      </c>
      <c r="B229" s="23" t="str">
        <f>'3.4.raw'!M229</f>
        <v>FB1066UP</v>
      </c>
      <c r="C229" s="24">
        <f>'3.4.raw'!T229</f>
        <v>43763</v>
      </c>
      <c r="D229" s="23">
        <f>'3.4.raw'!I229</f>
        <v>99</v>
      </c>
      <c r="E229" s="1">
        <v>3.4</v>
      </c>
      <c r="G229" s="23" t="b">
        <f>if(countif(Status!C:C,A229)=1,TRUE, FALSE)</f>
        <v>1</v>
      </c>
      <c r="H229" s="23" t="str">
        <f>'3.4.raw'!AD229</f>
        <v>Associated sample PLc1032</v>
      </c>
    </row>
    <row r="230">
      <c r="A230" s="23" t="str">
        <f t="shared" si="2"/>
        <v>PLc1033</v>
      </c>
      <c r="B230" s="23" t="str">
        <f>'3.4.raw'!M230</f>
        <v>PLc1033</v>
      </c>
      <c r="C230" s="24">
        <f>'3.4.raw'!T230</f>
        <v>43763</v>
      </c>
      <c r="D230" s="23">
        <f>'3.4.raw'!I230</f>
        <v>11</v>
      </c>
      <c r="E230" s="1">
        <v>3.4</v>
      </c>
      <c r="G230" s="23" t="b">
        <f>if(countif(Status!C:C,A230)=1,TRUE, FALSE)</f>
        <v>1</v>
      </c>
      <c r="H230" s="23" t="str">
        <f>'3.4.raw'!AD230</f>
        <v/>
      </c>
    </row>
    <row r="231">
      <c r="A231" s="23" t="str">
        <f t="shared" si="2"/>
        <v>FB1067UP</v>
      </c>
      <c r="B231" s="23" t="str">
        <f>'3.4.raw'!M231</f>
        <v>FB1067UP</v>
      </c>
      <c r="C231" s="24">
        <f>'3.4.raw'!T231</f>
        <v>43763</v>
      </c>
      <c r="D231" s="23">
        <f>'3.4.raw'!I231</f>
        <v>99</v>
      </c>
      <c r="E231" s="1">
        <v>3.4</v>
      </c>
      <c r="G231" s="23" t="b">
        <f>if(countif(Status!C:C,A231)=1,TRUE, FALSE)</f>
        <v>1</v>
      </c>
      <c r="H231" s="23" t="str">
        <f>'3.4.raw'!AD231</f>
        <v>Associated sample PLc1033</v>
      </c>
    </row>
    <row r="232">
      <c r="A232" s="23" t="str">
        <f t="shared" si="2"/>
        <v>PLc1034</v>
      </c>
      <c r="B232" s="23" t="str">
        <f>'3.4.raw'!M232</f>
        <v>PLc1034</v>
      </c>
      <c r="C232" s="24">
        <f>'3.4.raw'!T232</f>
        <v>43763</v>
      </c>
      <c r="D232" s="23">
        <f>'3.4.raw'!I232</f>
        <v>11</v>
      </c>
      <c r="E232" s="1">
        <v>3.4</v>
      </c>
      <c r="G232" s="23" t="b">
        <f>if(countif(Status!C:C,A232)=1,TRUE, FALSE)</f>
        <v>1</v>
      </c>
      <c r="H232" s="23" t="str">
        <f>'3.4.raw'!AD232</f>
        <v/>
      </c>
    </row>
    <row r="233">
      <c r="A233" s="23" t="str">
        <f t="shared" si="2"/>
        <v>PLc1034F</v>
      </c>
      <c r="B233" s="23" t="str">
        <f>'3.4.raw'!M233</f>
        <v>PLc1034F</v>
      </c>
      <c r="C233" s="24">
        <f>'3.4.raw'!T233</f>
        <v>43763</v>
      </c>
      <c r="D233" s="23">
        <f>'3.4.raw'!I233</f>
        <v>11</v>
      </c>
      <c r="E233" s="1">
        <v>3.4</v>
      </c>
      <c r="G233" s="23" t="b">
        <f>if(countif(Status!C:C,A233)=1,TRUE, FALSE)</f>
        <v>1</v>
      </c>
      <c r="H233" s="23" t="str">
        <f>'3.4.raw'!AD233</f>
        <v/>
      </c>
    </row>
    <row r="234">
      <c r="A234" s="23" t="str">
        <f t="shared" si="2"/>
        <v>FB1068UP</v>
      </c>
      <c r="B234" s="23" t="str">
        <f>'3.4.raw'!M234</f>
        <v>FB1068UP</v>
      </c>
      <c r="C234" s="24">
        <f>'3.4.raw'!T234</f>
        <v>43763</v>
      </c>
      <c r="D234" s="23">
        <f>'3.4.raw'!I234</f>
        <v>99</v>
      </c>
      <c r="E234" s="1">
        <v>3.4</v>
      </c>
      <c r="G234" s="23" t="b">
        <f>if(countif(Status!C:C,A234)=1,TRUE, FALSE)</f>
        <v>1</v>
      </c>
      <c r="H234" s="23" t="str">
        <f>'3.4.raw'!AD234</f>
        <v>Associated sample PLc1034</v>
      </c>
    </row>
    <row r="235">
      <c r="A235" s="23" t="str">
        <f t="shared" si="2"/>
        <v>PLc1028</v>
      </c>
      <c r="B235" s="23" t="str">
        <f>'3.4.raw'!M235</f>
        <v>PLc1028</v>
      </c>
      <c r="C235" s="24">
        <f>'3.4.raw'!T235</f>
        <v>43768</v>
      </c>
      <c r="D235" s="23">
        <f>'3.4.raw'!I235</f>
        <v>11</v>
      </c>
      <c r="E235" s="1">
        <v>3.4</v>
      </c>
      <c r="G235" s="23" t="b">
        <f>if(countif(Status!C:C,A235)=1,TRUE, FALSE)</f>
        <v>1</v>
      </c>
      <c r="H235" s="23" t="str">
        <f>'3.4.raw'!AD235</f>
        <v/>
      </c>
    </row>
    <row r="236">
      <c r="A236" s="23" t="str">
        <f t="shared" si="2"/>
        <v>PLc1028F</v>
      </c>
      <c r="B236" s="23" t="str">
        <f>'3.4.raw'!M236</f>
        <v>PLc1028F</v>
      </c>
      <c r="C236" s="24">
        <f>'3.4.raw'!T236</f>
        <v>43768</v>
      </c>
      <c r="D236" s="23">
        <f>'3.4.raw'!I236</f>
        <v>11</v>
      </c>
      <c r="E236" s="1">
        <v>3.4</v>
      </c>
      <c r="G236" s="23" t="b">
        <f>if(countif(Status!C:C,A236)=1,TRUE, FALSE)</f>
        <v>1</v>
      </c>
      <c r="H236" s="23" t="str">
        <f>'3.4.raw'!AD236</f>
        <v/>
      </c>
    </row>
    <row r="237">
      <c r="A237" s="23" t="str">
        <f t="shared" si="2"/>
        <v>FB1060UP</v>
      </c>
      <c r="B237" s="23" t="str">
        <f>'3.4.raw'!M237</f>
        <v>FB1060UP</v>
      </c>
      <c r="C237" s="24">
        <f>'3.4.raw'!T237</f>
        <v>43768</v>
      </c>
      <c r="D237" s="23">
        <f>'3.4.raw'!I237</f>
        <v>99</v>
      </c>
      <c r="E237" s="1">
        <v>3.4</v>
      </c>
      <c r="G237" s="23" t="b">
        <f>if(countif(Status!C:C,A237)=1,TRUE, FALSE)</f>
        <v>1</v>
      </c>
      <c r="H237" s="23" t="str">
        <f>'3.4.raw'!AD237</f>
        <v>Associated Sample PLc1028</v>
      </c>
    </row>
    <row r="238">
      <c r="A238" s="23" t="str">
        <f t="shared" si="2"/>
        <v>MO1098D</v>
      </c>
      <c r="B238" s="23" t="str">
        <f>'3.4.raw'!M238</f>
        <v>MO1098D</v>
      </c>
      <c r="C238" s="24">
        <f>'3.4.raw'!T238</f>
        <v>43767</v>
      </c>
      <c r="D238" s="23">
        <f>'3.4.raw'!I238</f>
        <v>12</v>
      </c>
      <c r="E238" s="1">
        <v>3.4</v>
      </c>
      <c r="G238" s="23" t="b">
        <f>if(countif(Status!C:C,A238)=1,TRUE, FALSE)</f>
        <v>1</v>
      </c>
      <c r="H238" s="23" t="str">
        <f>'3.4.raw'!AD238</f>
        <v/>
      </c>
    </row>
    <row r="239">
      <c r="A239" s="23" t="str">
        <f t="shared" si="2"/>
        <v>FB1061UP</v>
      </c>
      <c r="B239" s="23" t="str">
        <f>'3.4.raw'!M239</f>
        <v>FB1061UP</v>
      </c>
      <c r="C239" s="24">
        <f>'3.4.raw'!T239</f>
        <v>43767</v>
      </c>
      <c r="D239" s="23">
        <f>'3.4.raw'!I239</f>
        <v>99</v>
      </c>
      <c r="E239" s="1">
        <v>3.4</v>
      </c>
      <c r="G239" s="23" t="b">
        <f>if(countif(Status!C:C,A239)=1,TRUE, FALSE)</f>
        <v>1</v>
      </c>
      <c r="H239" s="23" t="str">
        <f>'3.4.raw'!AD239</f>
        <v>Associated sample MO1098</v>
      </c>
    </row>
    <row r="240">
      <c r="A240" s="23" t="str">
        <f t="shared" si="2"/>
        <v>MO1099</v>
      </c>
      <c r="B240" s="23" t="str">
        <f>'3.4.raw'!M240</f>
        <v>MO1099</v>
      </c>
      <c r="C240" s="24">
        <f>'3.4.raw'!T240</f>
        <v>43767</v>
      </c>
      <c r="D240" s="23">
        <f>'3.4.raw'!I240</f>
        <v>12</v>
      </c>
      <c r="E240" s="1">
        <v>3.4</v>
      </c>
      <c r="G240" s="23" t="b">
        <f>if(countif(Status!C:C,A240)=1,TRUE, FALSE)</f>
        <v>1</v>
      </c>
      <c r="H240" s="23" t="str">
        <f>'3.4.raw'!AD240</f>
        <v/>
      </c>
    </row>
    <row r="241">
      <c r="A241" s="23" t="str">
        <f t="shared" si="2"/>
        <v>MO1099D</v>
      </c>
      <c r="B241" s="23" t="str">
        <f>'3.4.raw'!M241</f>
        <v>MO1099D</v>
      </c>
      <c r="C241" s="24">
        <f>'3.4.raw'!T241</f>
        <v>43767</v>
      </c>
      <c r="D241" s="23">
        <f>'3.4.raw'!I241</f>
        <v>12</v>
      </c>
      <c r="E241" s="1">
        <v>3.4</v>
      </c>
      <c r="G241" s="23" t="b">
        <f>if(countif(Status!C:C,A241)=1,TRUE, FALSE)</f>
        <v>1</v>
      </c>
      <c r="H241" s="23" t="str">
        <f>'3.4.raw'!AD241</f>
        <v/>
      </c>
    </row>
    <row r="242">
      <c r="A242" s="23" t="str">
        <f t="shared" si="2"/>
        <v>FB1062UP</v>
      </c>
      <c r="B242" s="23" t="str">
        <f>'3.4.raw'!M242</f>
        <v>FB1062UP</v>
      </c>
      <c r="C242" s="24">
        <f>'3.4.raw'!T242</f>
        <v>43767</v>
      </c>
      <c r="D242" s="23">
        <f>'3.4.raw'!I242</f>
        <v>99</v>
      </c>
      <c r="E242" s="1">
        <v>3.4</v>
      </c>
      <c r="G242" s="23" t="b">
        <f>if(countif(Status!C:C,A242)=1,TRUE, FALSE)</f>
        <v>1</v>
      </c>
      <c r="H242" s="23" t="str">
        <f>'3.4.raw'!AD242</f>
        <v>Associated sample MO1099</v>
      </c>
    </row>
    <row r="243">
      <c r="A243" s="23" t="str">
        <f t="shared" si="2"/>
        <v>PLc1029</v>
      </c>
      <c r="B243" s="23" t="str">
        <f>'3.4.raw'!M243</f>
        <v>PLc1029</v>
      </c>
      <c r="C243" s="24">
        <f>'3.4.raw'!T243</f>
        <v>43767</v>
      </c>
      <c r="D243" s="23">
        <f>'3.4.raw'!I243</f>
        <v>11</v>
      </c>
      <c r="E243" s="1">
        <v>3.4</v>
      </c>
      <c r="G243" s="23" t="b">
        <f>if(countif(Status!C:C,A243)=1,TRUE, FALSE)</f>
        <v>1</v>
      </c>
      <c r="H243" s="23" t="str">
        <f>'3.4.raw'!AD243</f>
        <v/>
      </c>
    </row>
    <row r="244">
      <c r="A244" s="23" t="str">
        <f t="shared" si="2"/>
        <v>PLc1029F</v>
      </c>
      <c r="B244" s="23" t="str">
        <f>'3.4.raw'!M244</f>
        <v>PLc1029F</v>
      </c>
      <c r="C244" s="24">
        <f>'3.4.raw'!T244</f>
        <v>43767</v>
      </c>
      <c r="D244" s="23">
        <f>'3.4.raw'!I244</f>
        <v>11</v>
      </c>
      <c r="E244" s="1">
        <v>3.4</v>
      </c>
      <c r="G244" s="23" t="b">
        <f>if(countif(Status!C:C,A244)=1,TRUE, FALSE)</f>
        <v>1</v>
      </c>
      <c r="H244" s="23" t="str">
        <f>'3.4.raw'!AD244</f>
        <v/>
      </c>
    </row>
    <row r="245">
      <c r="A245" s="23" t="str">
        <f t="shared" si="2"/>
        <v>FB1063UP</v>
      </c>
      <c r="B245" s="23" t="str">
        <f>'3.4.raw'!M245</f>
        <v>FB1063UP</v>
      </c>
      <c r="C245" s="24">
        <f>'3.4.raw'!T245</f>
        <v>43767</v>
      </c>
      <c r="D245" s="23">
        <f>'3.4.raw'!I245</f>
        <v>99</v>
      </c>
      <c r="E245" s="1">
        <v>3.4</v>
      </c>
      <c r="G245" s="23" t="b">
        <f>if(countif(Status!C:C,A245)=1,TRUE, FALSE)</f>
        <v>1</v>
      </c>
      <c r="H245" s="23" t="str">
        <f>'3.4.raw'!AD245</f>
        <v>Associated sample PLc1029</v>
      </c>
    </row>
    <row r="246">
      <c r="A246" s="23" t="str">
        <f t="shared" si="2"/>
        <v>PLc1030</v>
      </c>
      <c r="B246" s="23" t="str">
        <f>'3.4.raw'!M246</f>
        <v>PLc1030</v>
      </c>
      <c r="C246" s="24">
        <f>'3.4.raw'!T246</f>
        <v>43767</v>
      </c>
      <c r="D246" s="23">
        <f>'3.4.raw'!I246</f>
        <v>11</v>
      </c>
      <c r="E246" s="1">
        <v>3.4</v>
      </c>
      <c r="G246" s="23" t="b">
        <f>if(countif(Status!C:C,A246)=1,TRUE, FALSE)</f>
        <v>1</v>
      </c>
      <c r="H246" s="23" t="str">
        <f>'3.4.raw'!AD246</f>
        <v/>
      </c>
    </row>
    <row r="247">
      <c r="A247" s="23" t="str">
        <f t="shared" si="2"/>
        <v>PLc1030F</v>
      </c>
      <c r="B247" s="23" t="str">
        <f>'3.4.raw'!M247</f>
        <v>PLc1030F</v>
      </c>
      <c r="C247" s="24">
        <f>'3.4.raw'!T247</f>
        <v>43767</v>
      </c>
      <c r="D247" s="23">
        <f>'3.4.raw'!I247</f>
        <v>11</v>
      </c>
      <c r="E247" s="1">
        <v>3.4</v>
      </c>
      <c r="G247" s="23" t="b">
        <f>if(countif(Status!C:C,A247)=1,TRUE, FALSE)</f>
        <v>1</v>
      </c>
      <c r="H247" s="23" t="str">
        <f>'3.4.raw'!AD247</f>
        <v/>
      </c>
    </row>
    <row r="248">
      <c r="A248" s="23" t="str">
        <f t="shared" si="2"/>
        <v>FB1064UP</v>
      </c>
      <c r="B248" s="23" t="str">
        <f>'3.4.raw'!M248</f>
        <v>FB1064UP</v>
      </c>
      <c r="C248" s="24">
        <f>'3.4.raw'!T248</f>
        <v>43767</v>
      </c>
      <c r="D248" s="23">
        <f>'3.4.raw'!I248</f>
        <v>99</v>
      </c>
      <c r="E248" s="1">
        <v>3.4</v>
      </c>
      <c r="G248" s="23" t="b">
        <f>if(countif(Status!C:C,A248)=1,TRUE, FALSE)</f>
        <v>1</v>
      </c>
      <c r="H248" s="23" t="str">
        <f>'3.4.raw'!AD248</f>
        <v>Associated sample PLc1030</v>
      </c>
    </row>
    <row r="249">
      <c r="A249" s="23" t="str">
        <f t="shared" si="2"/>
        <v>PLc1102</v>
      </c>
      <c r="B249" s="23" t="str">
        <f>'3.4.raw'!M249</f>
        <v>PLc1102</v>
      </c>
      <c r="C249" s="24">
        <f>'3.4.raw'!T249</f>
        <v>43805</v>
      </c>
      <c r="D249" s="23">
        <f>'3.4.raw'!I249</f>
        <v>11</v>
      </c>
      <c r="E249" s="1">
        <v>3.4</v>
      </c>
      <c r="G249" s="23" t="b">
        <f>if(countif(Status!C:C,A249)=1,TRUE, FALSE)</f>
        <v>1</v>
      </c>
      <c r="H249" s="23" t="str">
        <f>'3.4.raw'!AD249</f>
        <v/>
      </c>
    </row>
    <row r="250">
      <c r="A250" s="23" t="str">
        <f t="shared" si="2"/>
        <v>PLc1103</v>
      </c>
      <c r="B250" s="23" t="str">
        <f>'3.4.raw'!M250</f>
        <v>PLc1103</v>
      </c>
      <c r="C250" s="24">
        <f>'3.4.raw'!T250</f>
        <v>43805</v>
      </c>
      <c r="D250" s="23">
        <f>'3.4.raw'!I250</f>
        <v>11</v>
      </c>
      <c r="E250" s="1">
        <v>3.4</v>
      </c>
      <c r="G250" s="23" t="b">
        <f>if(countif(Status!C:C,A250)=1,TRUE, FALSE)</f>
        <v>1</v>
      </c>
      <c r="H250" s="23" t="str">
        <f>'3.4.raw'!AD250</f>
        <v/>
      </c>
    </row>
    <row r="251">
      <c r="A251" s="23" t="str">
        <f t="shared" si="2"/>
        <v>FB1170UP</v>
      </c>
      <c r="B251" s="23" t="str">
        <f>'3.4.raw'!M251</f>
        <v>FB1170UP</v>
      </c>
      <c r="C251" s="24">
        <f>'3.4.raw'!T251</f>
        <v>43805</v>
      </c>
      <c r="D251" s="23">
        <f>'3.4.raw'!I251</f>
        <v>99</v>
      </c>
      <c r="E251" s="1">
        <v>3.4</v>
      </c>
      <c r="G251" s="23" t="b">
        <f>if(countif(Status!C:C,A251)=1,TRUE, FALSE)</f>
        <v>1</v>
      </c>
      <c r="H251" s="23" t="str">
        <f>'3.4.raw'!AD251</f>
        <v>Associated sample PLc1103</v>
      </c>
    </row>
    <row r="252">
      <c r="A252" s="23" t="str">
        <f t="shared" si="2"/>
        <v>PLc1104</v>
      </c>
      <c r="B252" s="23" t="str">
        <f>'3.4.raw'!M252</f>
        <v>PLc1104</v>
      </c>
      <c r="C252" s="24">
        <f>'3.4.raw'!T252</f>
        <v>43805</v>
      </c>
      <c r="D252" s="23">
        <f>'3.4.raw'!I252</f>
        <v>11</v>
      </c>
      <c r="E252" s="1">
        <v>3.4</v>
      </c>
      <c r="G252" s="23" t="b">
        <f>if(countif(Status!C:C,A252)=1,TRUE, FALSE)</f>
        <v>1</v>
      </c>
      <c r="H252" s="23" t="str">
        <f>'3.4.raw'!AD252</f>
        <v/>
      </c>
    </row>
    <row r="253">
      <c r="A253" s="23" t="str">
        <f t="shared" si="2"/>
        <v>PLc1105</v>
      </c>
      <c r="B253" s="23" t="str">
        <f>'3.4.raw'!M253</f>
        <v>PLc1105</v>
      </c>
      <c r="C253" s="24">
        <f>'3.4.raw'!T253</f>
        <v>43805</v>
      </c>
      <c r="D253" s="23">
        <f>'3.4.raw'!I253</f>
        <v>11</v>
      </c>
      <c r="E253" s="1">
        <v>3.4</v>
      </c>
      <c r="G253" s="23" t="b">
        <f>if(countif(Status!C:C,A253)=1,TRUE, FALSE)</f>
        <v>1</v>
      </c>
      <c r="H253" s="23" t="str">
        <f>'3.4.raw'!AD253</f>
        <v/>
      </c>
    </row>
    <row r="254">
      <c r="A254" s="23" t="str">
        <f t="shared" si="2"/>
        <v>PLc1106</v>
      </c>
      <c r="B254" s="23" t="str">
        <f>'3.4.raw'!M254</f>
        <v>PLc1106</v>
      </c>
      <c r="C254" s="24">
        <f>'3.4.raw'!T254</f>
        <v>43805</v>
      </c>
      <c r="D254" s="23">
        <f>'3.4.raw'!I254</f>
        <v>11</v>
      </c>
      <c r="E254" s="1">
        <v>3.4</v>
      </c>
      <c r="G254" s="23" t="b">
        <f>if(countif(Status!C:C,A254)=1,TRUE, FALSE)</f>
        <v>1</v>
      </c>
      <c r="H254" s="23" t="str">
        <f>'3.4.raw'!AD254</f>
        <v/>
      </c>
    </row>
    <row r="255">
      <c r="A255" s="23" t="str">
        <f t="shared" si="2"/>
        <v>EC28</v>
      </c>
      <c r="B255" s="23" t="str">
        <f>'3.4.raw'!M255</f>
        <v>EC28</v>
      </c>
      <c r="C255" s="24">
        <f>'3.4.raw'!T255</f>
        <v>43805</v>
      </c>
      <c r="D255" s="23">
        <f>'3.4.raw'!I255</f>
        <v>98</v>
      </c>
      <c r="E255" s="1">
        <v>3.4</v>
      </c>
      <c r="G255" s="23" t="b">
        <f>if(countif(Status!C:C,A255)=1,TRUE, FALSE)</f>
        <v>1</v>
      </c>
      <c r="H255" s="23" t="str">
        <f>'3.4.raw'!AD255</f>
        <v/>
      </c>
    </row>
    <row r="256">
      <c r="A256" s="23" t="str">
        <f t="shared" si="2"/>
        <v>MO1126</v>
      </c>
      <c r="B256" s="23" t="str">
        <f>'3.4.raw'!M256</f>
        <v>MO1126</v>
      </c>
      <c r="C256" s="24">
        <f>'3.4.raw'!T256</f>
        <v>43805</v>
      </c>
      <c r="D256" s="23">
        <f>'3.4.raw'!I256</f>
        <v>12</v>
      </c>
      <c r="E256" s="1">
        <v>3.4</v>
      </c>
      <c r="G256" s="23" t="b">
        <f>if(countif(Status!C:C,A256)=1,TRUE, FALSE)</f>
        <v>1</v>
      </c>
      <c r="H256" s="23" t="str">
        <f>'3.4.raw'!AD256</f>
        <v/>
      </c>
    </row>
    <row r="257">
      <c r="A257" s="23" t="str">
        <f t="shared" si="2"/>
        <v>MO1127</v>
      </c>
      <c r="B257" s="23" t="str">
        <f>'3.4.raw'!M257</f>
        <v>MO1127</v>
      </c>
      <c r="C257" s="24">
        <f>'3.4.raw'!T257</f>
        <v>43805</v>
      </c>
      <c r="D257" s="23">
        <f>'3.4.raw'!I257</f>
        <v>12</v>
      </c>
      <c r="E257" s="1">
        <v>3.4</v>
      </c>
      <c r="G257" s="23" t="b">
        <f>if(countif(Status!C:C,A257)=1,TRUE, FALSE)</f>
        <v>1</v>
      </c>
      <c r="H257" s="23" t="str">
        <f>'3.4.raw'!AD257</f>
        <v/>
      </c>
    </row>
    <row r="258">
      <c r="A258" s="23" t="str">
        <f t="shared" si="2"/>
        <v>PLc1107</v>
      </c>
      <c r="B258" s="23" t="str">
        <f>'3.4.raw'!M258</f>
        <v>PLc1107</v>
      </c>
      <c r="C258" s="24">
        <f>'3.4.raw'!T258</f>
        <v>43805</v>
      </c>
      <c r="D258" s="23">
        <f>'3.4.raw'!I258</f>
        <v>11</v>
      </c>
      <c r="E258" s="1">
        <v>3.4</v>
      </c>
      <c r="G258" s="23" t="b">
        <f>if(countif(Status!C:C,A258)=1,TRUE, FALSE)</f>
        <v>1</v>
      </c>
      <c r="H258" s="23" t="str">
        <f>'3.4.raw'!AD258</f>
        <v/>
      </c>
    </row>
    <row r="259">
      <c r="A259" s="23" t="str">
        <f t="shared" si="2"/>
        <v>PLc1108</v>
      </c>
      <c r="B259" s="23" t="str">
        <f>'3.4.raw'!M259</f>
        <v>PLc1108</v>
      </c>
      <c r="C259" s="24">
        <f>'3.4.raw'!T259</f>
        <v>43805</v>
      </c>
      <c r="D259" s="23">
        <f>'3.4.raw'!I259</f>
        <v>11</v>
      </c>
      <c r="E259" s="1">
        <v>3.4</v>
      </c>
      <c r="G259" s="23" t="b">
        <f>if(countif(Status!C:C,A259)=1,TRUE, FALSE)</f>
        <v>1</v>
      </c>
      <c r="H259" s="23" t="str">
        <f>'3.4.raw'!AD259</f>
        <v/>
      </c>
    </row>
    <row r="260">
      <c r="A260" s="23" t="str">
        <f t="shared" si="2"/>
        <v>PLc1109</v>
      </c>
      <c r="B260" s="23" t="str">
        <f>'3.4.raw'!M260</f>
        <v>PLc1109</v>
      </c>
      <c r="C260" s="24">
        <f>'3.4.raw'!T260</f>
        <v>43805</v>
      </c>
      <c r="D260" s="23">
        <f>'3.4.raw'!I260</f>
        <v>11</v>
      </c>
      <c r="E260" s="1">
        <v>3.4</v>
      </c>
      <c r="G260" s="23" t="b">
        <f>if(countif(Status!C:C,A260)=1,TRUE, FALSE)</f>
        <v>1</v>
      </c>
      <c r="H260" s="23" t="str">
        <f>'3.4.raw'!AD260</f>
        <v/>
      </c>
    </row>
    <row r="261">
      <c r="A261" s="23" t="str">
        <f t="shared" si="2"/>
        <v>FB1178UP</v>
      </c>
      <c r="B261" s="23" t="str">
        <f>'3.4.raw'!M261</f>
        <v>FB1178UP</v>
      </c>
      <c r="C261" s="24">
        <f>'3.4.raw'!T261</f>
        <v>43805</v>
      </c>
      <c r="D261" s="23">
        <f>'3.4.raw'!I261</f>
        <v>99</v>
      </c>
      <c r="E261" s="1">
        <v>3.4</v>
      </c>
      <c r="G261" s="23" t="b">
        <f>if(countif(Status!C:C,A261)=1,TRUE, FALSE)</f>
        <v>1</v>
      </c>
      <c r="H261" s="23" t="str">
        <f>'3.4.raw'!AD261</f>
        <v>Associated sample Plc1109</v>
      </c>
    </row>
    <row r="262">
      <c r="A262" s="23" t="str">
        <f t="shared" si="2"/>
        <v>EC29</v>
      </c>
      <c r="B262" s="23" t="str">
        <f>'3.4.raw'!M262</f>
        <v>EC29</v>
      </c>
      <c r="C262" s="24">
        <f>'3.4.raw'!T262</f>
        <v>43805</v>
      </c>
      <c r="D262" s="23">
        <f>'3.4.raw'!I262</f>
        <v>98</v>
      </c>
      <c r="E262" s="1">
        <v>3.4</v>
      </c>
      <c r="G262" s="23" t="b">
        <f>if(countif(Status!C:C,A262)=1,TRUE, FALSE)</f>
        <v>1</v>
      </c>
      <c r="H262" s="23" t="str">
        <f>'3.4.raw'!AD262</f>
        <v/>
      </c>
    </row>
    <row r="263">
      <c r="A263" s="23" t="str">
        <f t="shared" si="2"/>
        <v>UF1010</v>
      </c>
      <c r="B263" s="23" t="str">
        <f>'3.4.raw'!M263</f>
        <v>UF1010</v>
      </c>
      <c r="C263" s="24">
        <f>'3.4.raw'!T263</f>
        <v>43805</v>
      </c>
      <c r="D263" s="23">
        <f>'3.4.raw'!I263</f>
        <v>16</v>
      </c>
      <c r="E263" s="1">
        <v>3.4</v>
      </c>
      <c r="G263" s="23" t="b">
        <f>if(countif(Status!C:C,A263)=1,TRUE, FALSE)</f>
        <v>1</v>
      </c>
      <c r="H263" s="23" t="str">
        <f>'3.4.raw'!AD263</f>
        <v/>
      </c>
    </row>
    <row r="264">
      <c r="A264" s="23" t="str">
        <f t="shared" si="2"/>
        <v>UF1010F</v>
      </c>
      <c r="B264" s="23" t="str">
        <f>'3.4.raw'!M264</f>
        <v>UF1010F</v>
      </c>
      <c r="C264" s="24">
        <f>'3.4.raw'!T264</f>
        <v>43805</v>
      </c>
      <c r="D264" s="23">
        <f>'3.4.raw'!I264</f>
        <v>16</v>
      </c>
      <c r="E264" s="1">
        <v>3.4</v>
      </c>
      <c r="G264" s="23" t="b">
        <f>if(countif(Status!C:C,A264)=1,TRUE, FALSE)</f>
        <v>1</v>
      </c>
      <c r="H264" s="23" t="str">
        <f>'3.4.raw'!AD264</f>
        <v/>
      </c>
    </row>
    <row r="265">
      <c r="A265" s="23" t="str">
        <f t="shared" si="2"/>
        <v>PLc1025</v>
      </c>
      <c r="B265" s="23" t="str">
        <f>'3.4.raw'!M265</f>
        <v>PLc1025</v>
      </c>
      <c r="C265" s="24">
        <f>'3.4.raw'!T265</f>
        <v>43735</v>
      </c>
      <c r="D265" s="23">
        <f>'3.4.raw'!I265</f>
        <v>11</v>
      </c>
      <c r="E265" s="1">
        <v>3.4</v>
      </c>
      <c r="G265" s="23" t="b">
        <f>if(countif(Status!C:C,A265)=1,TRUE, FALSE)</f>
        <v>1</v>
      </c>
      <c r="H265" s="23" t="str">
        <f>'3.4.raw'!AD265</f>
        <v/>
      </c>
    </row>
    <row r="266">
      <c r="A266" s="23" t="str">
        <f t="shared" si="2"/>
        <v>FB1051UP</v>
      </c>
      <c r="B266" s="23" t="str">
        <f>'3.4.raw'!M266</f>
        <v>FB1051UP</v>
      </c>
      <c r="C266" s="24">
        <f>'3.4.raw'!T266</f>
        <v>43735</v>
      </c>
      <c r="D266" s="23">
        <f>'3.4.raw'!I266</f>
        <v>99</v>
      </c>
      <c r="E266" s="1">
        <v>3.4</v>
      </c>
      <c r="G266" s="23" t="b">
        <f>if(countif(Status!C:C,A266)=1,TRUE, FALSE)</f>
        <v>1</v>
      </c>
      <c r="H266" s="23" t="str">
        <f>'3.4.raw'!AD266</f>
        <v>Associated sample PLc1051</v>
      </c>
    </row>
    <row r="267">
      <c r="A267" s="23" t="str">
        <f t="shared" si="2"/>
        <v>COa1003</v>
      </c>
      <c r="B267" s="23" t="str">
        <f>'3.4.raw'!M267</f>
        <v>COa1003</v>
      </c>
      <c r="C267" s="24">
        <f>'3.4.raw'!T267</f>
        <v>43735</v>
      </c>
      <c r="D267" s="23">
        <f>'3.4.raw'!I267</f>
        <v>15</v>
      </c>
      <c r="E267" s="1">
        <v>3.4</v>
      </c>
      <c r="G267" s="23" t="b">
        <f>if(countif(Status!C:C,A267)=1,TRUE, FALSE)</f>
        <v>1</v>
      </c>
      <c r="H267" s="23" t="str">
        <f>'3.4.raw'!AD267</f>
        <v/>
      </c>
    </row>
    <row r="268">
      <c r="A268" s="23" t="str">
        <f t="shared" si="2"/>
        <v>COb1007</v>
      </c>
      <c r="B268" s="23" t="str">
        <f>'3.4.raw'!M268</f>
        <v>COb1007</v>
      </c>
      <c r="C268" s="24">
        <f>'3.4.raw'!T268</f>
        <v>43735</v>
      </c>
      <c r="D268" s="23">
        <f>'3.4.raw'!I268</f>
        <v>15</v>
      </c>
      <c r="E268" s="1">
        <v>3.4</v>
      </c>
      <c r="G268" s="23" t="b">
        <f>if(countif(Status!C:C,A268)=1,TRUE, FALSE)</f>
        <v>1</v>
      </c>
      <c r="H268" s="23" t="str">
        <f>'3.4.raw'!AD268</f>
        <v/>
      </c>
    </row>
    <row r="269">
      <c r="A269" s="23" t="str">
        <f t="shared" si="2"/>
        <v>COb1008</v>
      </c>
      <c r="B269" s="23" t="str">
        <f>'3.4.raw'!M269</f>
        <v>COb1008</v>
      </c>
      <c r="C269" s="24">
        <f>'3.4.raw'!T269</f>
        <v>43735</v>
      </c>
      <c r="D269" s="23">
        <f>'3.4.raw'!I269</f>
        <v>15</v>
      </c>
      <c r="E269" s="1">
        <v>3.4</v>
      </c>
      <c r="G269" s="23" t="b">
        <f>if(countif(Status!C:C,A269)=1,TRUE, FALSE)</f>
        <v>1</v>
      </c>
      <c r="H269" s="23" t="str">
        <f>'3.4.raw'!AD269</f>
        <v/>
      </c>
    </row>
    <row r="270">
      <c r="A270" s="23" t="str">
        <f t="shared" si="2"/>
        <v>COb1009</v>
      </c>
      <c r="B270" s="23" t="str">
        <f>'3.4.raw'!M270</f>
        <v>COb1009</v>
      </c>
      <c r="C270" s="24">
        <f>'3.4.raw'!T270</f>
        <v>43735</v>
      </c>
      <c r="D270" s="23">
        <f>'3.4.raw'!I270</f>
        <v>15</v>
      </c>
      <c r="E270" s="1">
        <v>3.4</v>
      </c>
      <c r="G270" s="23" t="b">
        <f>if(countif(Status!C:C,A270)=1,TRUE, FALSE)</f>
        <v>1</v>
      </c>
      <c r="H270" s="23" t="str">
        <f>'3.4.raw'!AD270</f>
        <v/>
      </c>
    </row>
    <row r="271">
      <c r="A271" s="23" t="str">
        <f t="shared" si="2"/>
        <v>FB1052</v>
      </c>
      <c r="B271" s="23" t="str">
        <f>'3.4.raw'!M271</f>
        <v>FB1052</v>
      </c>
      <c r="C271" s="24">
        <f>'3.4.raw'!T271</f>
        <v>43735</v>
      </c>
      <c r="D271" s="23">
        <f>'3.4.raw'!I271</f>
        <v>99</v>
      </c>
      <c r="E271" s="1">
        <v>3.4</v>
      </c>
      <c r="G271" s="23" t="b">
        <f>if(countif(Status!C:C,A271)=1,TRUE, FALSE)</f>
        <v>1</v>
      </c>
      <c r="H271" s="23" t="str">
        <f>'3.4.raw'!AD271</f>
        <v>Associated sample COa1003, COb1007, COb1008, COb1009</v>
      </c>
    </row>
    <row r="272">
      <c r="A272" s="23" t="str">
        <f t="shared" si="2"/>
        <v>FB1052UP</v>
      </c>
      <c r="B272" s="23" t="str">
        <f>'3.4.raw'!M272</f>
        <v>FB1052UP</v>
      </c>
      <c r="C272" s="24">
        <f>'3.4.raw'!T272</f>
        <v>43735</v>
      </c>
      <c r="D272" s="23">
        <f>'3.4.raw'!I272</f>
        <v>99</v>
      </c>
      <c r="E272" s="1">
        <v>3.4</v>
      </c>
      <c r="G272" s="23" t="b">
        <f>if(countif(Status!C:C,A272)=1,TRUE, FALSE)</f>
        <v>1</v>
      </c>
      <c r="H272" s="23" t="str">
        <f>'3.4.raw'!AD272</f>
        <v>Associated sample COa1003, COb1007, COb1008, COb1009</v>
      </c>
    </row>
    <row r="273">
      <c r="A273" s="23" t="str">
        <f t="shared" si="2"/>
        <v>COa1004</v>
      </c>
      <c r="B273" s="23" t="str">
        <f>'3.4.raw'!M273</f>
        <v>COa1004</v>
      </c>
      <c r="C273" s="24">
        <f>'3.4.raw'!T273</f>
        <v>43735</v>
      </c>
      <c r="D273" s="23">
        <f>'3.4.raw'!I273</f>
        <v>15</v>
      </c>
      <c r="E273" s="1">
        <v>3.4</v>
      </c>
      <c r="G273" s="23" t="b">
        <f>if(countif(Status!C:C,A273)=1,TRUE, FALSE)</f>
        <v>1</v>
      </c>
      <c r="H273" s="23" t="str">
        <f>'3.4.raw'!AD273</f>
        <v/>
      </c>
    </row>
    <row r="274">
      <c r="A274" s="23" t="str">
        <f t="shared" si="2"/>
        <v>COb1010</v>
      </c>
      <c r="B274" s="23" t="str">
        <f>'3.4.raw'!M274</f>
        <v>COb1010</v>
      </c>
      <c r="C274" s="24">
        <f>'3.4.raw'!T274</f>
        <v>43735</v>
      </c>
      <c r="D274" s="23">
        <f>'3.4.raw'!I274</f>
        <v>15</v>
      </c>
      <c r="E274" s="1">
        <v>3.4</v>
      </c>
      <c r="G274" s="23" t="b">
        <f>if(countif(Status!C:C,A274)=1,TRUE, FALSE)</f>
        <v>1</v>
      </c>
      <c r="H274" s="23" t="str">
        <f>'3.4.raw'!AD274</f>
        <v/>
      </c>
    </row>
    <row r="275">
      <c r="A275" s="23" t="str">
        <f t="shared" si="2"/>
        <v>COb1011</v>
      </c>
      <c r="B275" s="23" t="str">
        <f>'3.4.raw'!M275</f>
        <v>COb1011</v>
      </c>
      <c r="C275" s="24">
        <f>'3.4.raw'!T275</f>
        <v>43735</v>
      </c>
      <c r="D275" s="23">
        <f>'3.4.raw'!I275</f>
        <v>15</v>
      </c>
      <c r="E275" s="1">
        <v>3.4</v>
      </c>
      <c r="G275" s="23" t="b">
        <f>if(countif(Status!C:C,A275)=1,TRUE, FALSE)</f>
        <v>1</v>
      </c>
      <c r="H275" s="23" t="str">
        <f>'3.4.raw'!AD275</f>
        <v/>
      </c>
    </row>
    <row r="276">
      <c r="A276" s="23" t="str">
        <f t="shared" si="2"/>
        <v>COb1012</v>
      </c>
      <c r="B276" s="23" t="str">
        <f>'3.4.raw'!M276</f>
        <v>COb1012</v>
      </c>
      <c r="C276" s="24">
        <f>'3.4.raw'!T276</f>
        <v>43735</v>
      </c>
      <c r="D276" s="23">
        <f>'3.4.raw'!I276</f>
        <v>15</v>
      </c>
      <c r="E276" s="1">
        <v>3.4</v>
      </c>
      <c r="G276" s="23" t="b">
        <f>if(countif(Status!C:C,A276)=1,TRUE, FALSE)</f>
        <v>1</v>
      </c>
      <c r="H276" s="23" t="str">
        <f>'3.4.raw'!AD276</f>
        <v/>
      </c>
    </row>
    <row r="277">
      <c r="A277" s="23" t="str">
        <f t="shared" si="2"/>
        <v>COb1013</v>
      </c>
      <c r="B277" s="23" t="str">
        <f>'3.4.raw'!M277</f>
        <v>COb1013</v>
      </c>
      <c r="C277" s="24">
        <f>'3.4.raw'!T277</f>
        <v>43735</v>
      </c>
      <c r="D277" s="23">
        <f>'3.4.raw'!I277</f>
        <v>15</v>
      </c>
      <c r="E277" s="1">
        <v>3.4</v>
      </c>
      <c r="G277" s="23" t="b">
        <f>if(countif(Status!C:C,A277)=1,TRUE, FALSE)</f>
        <v>1</v>
      </c>
      <c r="H277" s="23" t="str">
        <f>'3.4.raw'!AD277</f>
        <v/>
      </c>
    </row>
    <row r="278">
      <c r="A278" s="23" t="str">
        <f t="shared" si="2"/>
        <v>FB1053</v>
      </c>
      <c r="B278" s="23" t="str">
        <f>'3.4.raw'!M278</f>
        <v>FB1053</v>
      </c>
      <c r="C278" s="24">
        <f>'3.4.raw'!T278</f>
        <v>43735</v>
      </c>
      <c r="D278" s="23">
        <f>'3.4.raw'!I278</f>
        <v>99</v>
      </c>
      <c r="E278" s="1">
        <v>3.4</v>
      </c>
      <c r="G278" s="23" t="b">
        <f>if(countif(Status!C:C,A278)=1,TRUE, FALSE)</f>
        <v>1</v>
      </c>
      <c r="H278" s="23" t="str">
        <f>'3.4.raw'!AD278</f>
        <v>Associated sample COa1004, COb1010, COb1011, COb1012, COb1013</v>
      </c>
    </row>
    <row r="279">
      <c r="A279" s="23" t="str">
        <f t="shared" si="2"/>
        <v>FB1053UP</v>
      </c>
      <c r="B279" s="23" t="str">
        <f>'3.4.raw'!M279</f>
        <v>FB1053UP</v>
      </c>
      <c r="C279" s="24">
        <f>'3.4.raw'!T279</f>
        <v>43735</v>
      </c>
      <c r="D279" s="23">
        <f>'3.4.raw'!I279</f>
        <v>99</v>
      </c>
      <c r="E279" s="1">
        <v>3.4</v>
      </c>
      <c r="G279" s="23" t="b">
        <f>if(countif(Status!C:C,A279)=1,TRUE, FALSE)</f>
        <v>1</v>
      </c>
      <c r="H279" s="23" t="str">
        <f>'3.4.raw'!AD279</f>
        <v>Associated sample COa1004, COb1010, COb1011, COb1012, COb1013</v>
      </c>
    </row>
    <row r="280">
      <c r="A280" s="23" t="str">
        <f t="shared" si="2"/>
        <v>MO1094</v>
      </c>
      <c r="B280" s="23" t="str">
        <f>'3.4.raw'!M280</f>
        <v>MO1094</v>
      </c>
      <c r="C280" s="24">
        <f>'3.4.raw'!T280</f>
        <v>43735</v>
      </c>
      <c r="D280" s="23">
        <f>'3.4.raw'!I280</f>
        <v>12</v>
      </c>
      <c r="E280" s="1">
        <v>3.4</v>
      </c>
      <c r="G280" s="23" t="b">
        <f>if(countif(Status!C:C,A280)=1,TRUE, FALSE)</f>
        <v>1</v>
      </c>
      <c r="H280" s="23" t="str">
        <f>'3.4.raw'!AD280</f>
        <v/>
      </c>
    </row>
    <row r="281">
      <c r="A281" s="23" t="str">
        <f t="shared" si="2"/>
        <v>FB1054UP</v>
      </c>
      <c r="B281" s="23" t="str">
        <f>'3.4.raw'!M281</f>
        <v>FB1054UP</v>
      </c>
      <c r="C281" s="24">
        <f>'3.4.raw'!T281</f>
        <v>43735</v>
      </c>
      <c r="D281" s="23">
        <f>'3.4.raw'!I281</f>
        <v>99</v>
      </c>
      <c r="E281" s="1">
        <v>3.4</v>
      </c>
      <c r="G281" s="23" t="b">
        <f>if(countif(Status!C:C,A281)=1,TRUE, FALSE)</f>
        <v>1</v>
      </c>
      <c r="H281" s="23" t="str">
        <f>'3.4.raw'!AD281</f>
        <v/>
      </c>
    </row>
    <row r="282">
      <c r="A282" s="23" t="str">
        <f t="shared" si="2"/>
        <v>PLc1026</v>
      </c>
      <c r="B282" s="23" t="str">
        <f>'3.4.raw'!M282</f>
        <v>PLc1026</v>
      </c>
      <c r="C282" s="24">
        <f>'3.4.raw'!T282</f>
        <v>43735</v>
      </c>
      <c r="D282" s="23">
        <f>'3.4.raw'!I282</f>
        <v>11</v>
      </c>
      <c r="E282" s="1">
        <v>3.4</v>
      </c>
      <c r="G282" s="23" t="b">
        <f>if(countif(Status!C:C,A282)=1,TRUE, FALSE)</f>
        <v>1</v>
      </c>
      <c r="H282" s="23" t="str">
        <f>'3.4.raw'!AD282</f>
        <v/>
      </c>
    </row>
    <row r="283">
      <c r="A283" s="23" t="str">
        <f t="shared" si="2"/>
        <v>PLc1026FL</v>
      </c>
      <c r="B283" s="23" t="str">
        <f>'3.4.raw'!M283</f>
        <v>PLc1026FL</v>
      </c>
      <c r="C283" s="24">
        <f>'3.4.raw'!T283</f>
        <v>43735</v>
      </c>
      <c r="D283" s="23">
        <f>'3.4.raw'!I283</f>
        <v>11</v>
      </c>
      <c r="E283" s="1">
        <v>3.4</v>
      </c>
      <c r="G283" s="23" t="b">
        <f>if(countif(Status!C:C,A283)=1,TRUE, FALSE)</f>
        <v>1</v>
      </c>
      <c r="H283" s="23" t="str">
        <f>'3.4.raw'!AD283</f>
        <v/>
      </c>
    </row>
    <row r="284">
      <c r="A284" s="23" t="str">
        <f t="shared" si="2"/>
        <v>FB1055UP</v>
      </c>
      <c r="B284" s="23" t="str">
        <f>'3.4.raw'!M284</f>
        <v>FB1055UP</v>
      </c>
      <c r="C284" s="24">
        <f>'3.4.raw'!T284</f>
        <v>43735</v>
      </c>
      <c r="D284" s="23">
        <f>'3.4.raw'!I284</f>
        <v>99</v>
      </c>
      <c r="E284" s="1">
        <v>3.4</v>
      </c>
      <c r="G284" s="23" t="b">
        <f>if(countif(Status!C:C,A284)=1,TRUE, FALSE)</f>
        <v>1</v>
      </c>
      <c r="H284" s="23" t="str">
        <f>'3.4.raw'!AD284</f>
        <v>Associated sample PLc1026</v>
      </c>
    </row>
    <row r="285">
      <c r="A285" s="23" t="str">
        <f t="shared" si="2"/>
        <v>MO1095</v>
      </c>
      <c r="B285" s="23" t="str">
        <f>'3.4.raw'!M285</f>
        <v>MO1095</v>
      </c>
      <c r="C285" s="24">
        <f>'3.4.raw'!T285</f>
        <v>43735</v>
      </c>
      <c r="D285" s="23">
        <f>'3.4.raw'!I285</f>
        <v>12</v>
      </c>
      <c r="E285" s="1">
        <v>3.4</v>
      </c>
      <c r="G285" s="23" t="b">
        <f>if(countif(Status!C:C,A285)=1,TRUE, FALSE)</f>
        <v>1</v>
      </c>
      <c r="H285" s="23" t="str">
        <f>'3.4.raw'!AD285</f>
        <v/>
      </c>
    </row>
    <row r="286">
      <c r="A286" s="23" t="str">
        <f t="shared" si="2"/>
        <v>FB1056UP</v>
      </c>
      <c r="B286" s="23" t="str">
        <f>'3.4.raw'!M286</f>
        <v>FB1056UP</v>
      </c>
      <c r="C286" s="24">
        <f>'3.4.raw'!T286</f>
        <v>43735</v>
      </c>
      <c r="D286" s="23">
        <f>'3.4.raw'!I286</f>
        <v>99</v>
      </c>
      <c r="E286" s="1">
        <v>3.4</v>
      </c>
      <c r="G286" s="23" t="b">
        <f>if(countif(Status!C:C,A286)=1,TRUE, FALSE)</f>
        <v>1</v>
      </c>
      <c r="H286" s="23" t="str">
        <f>'3.4.raw'!AD286</f>
        <v>Associated sample MO1095</v>
      </c>
    </row>
    <row r="287">
      <c r="A287" s="23" t="str">
        <f t="shared" si="2"/>
        <v>FB1057UP</v>
      </c>
      <c r="B287" s="23" t="str">
        <f>'3.4.raw'!M287</f>
        <v>FB1057UP</v>
      </c>
      <c r="C287" s="24">
        <f>'3.4.raw'!T287</f>
        <v>43735</v>
      </c>
      <c r="D287" s="23">
        <f>'3.4.raw'!I287</f>
        <v>99</v>
      </c>
      <c r="E287" s="1">
        <v>3.4</v>
      </c>
      <c r="G287" s="23" t="b">
        <f>if(countif(Status!C:C,A287)=1,TRUE, FALSE)</f>
        <v>1</v>
      </c>
      <c r="H287" s="23" t="str">
        <f>'3.4.raw'!AD287</f>
        <v>Associated sample PLc1027</v>
      </c>
    </row>
    <row r="288">
      <c r="A288" s="23" t="str">
        <f t="shared" si="2"/>
        <v>PLc1027</v>
      </c>
      <c r="B288" s="23" t="str">
        <f>'3.4.raw'!M288</f>
        <v>PLc1027</v>
      </c>
      <c r="C288" s="24">
        <f>'3.4.raw'!T288</f>
        <v>43735</v>
      </c>
      <c r="D288" s="23">
        <f>'3.4.raw'!I288</f>
        <v>11</v>
      </c>
      <c r="E288" s="1">
        <v>3.4</v>
      </c>
      <c r="G288" s="23" t="b">
        <f>if(countif(Status!C:C,A288)=1,TRUE, FALSE)</f>
        <v>1</v>
      </c>
      <c r="H288" s="23" t="str">
        <f>'3.4.raw'!AD288</f>
        <v/>
      </c>
    </row>
    <row r="289">
      <c r="A289" s="23" t="str">
        <f t="shared" si="2"/>
        <v>PLc1027FL</v>
      </c>
      <c r="B289" s="23" t="str">
        <f>'3.4.raw'!M289</f>
        <v>PLc1027FL</v>
      </c>
      <c r="C289" s="24">
        <f>'3.4.raw'!T289</f>
        <v>43735</v>
      </c>
      <c r="D289" s="23">
        <f>'3.4.raw'!I289</f>
        <v>11</v>
      </c>
      <c r="E289" s="1">
        <v>3.4</v>
      </c>
      <c r="G289" s="23" t="b">
        <f>if(countif(Status!C:C,A289)=1,TRUE, FALSE)</f>
        <v>1</v>
      </c>
      <c r="H289" s="23" t="str">
        <f>'3.4.raw'!AD289</f>
        <v/>
      </c>
    </row>
    <row r="290">
      <c r="A290" s="23" t="str">
        <f t="shared" si="2"/>
        <v>PLc1110</v>
      </c>
      <c r="B290" s="23" t="str">
        <f>'3.4.raw'!M290</f>
        <v>PLc1110</v>
      </c>
      <c r="C290" s="24">
        <f>'3.4.raw'!T290</f>
        <v>43810</v>
      </c>
      <c r="D290" s="23">
        <f>'3.4.raw'!I290</f>
        <v>11</v>
      </c>
      <c r="E290" s="1">
        <v>3.4</v>
      </c>
      <c r="G290" s="23" t="b">
        <f>if(countif(Status!C:C,A290)=1,TRUE, FALSE)</f>
        <v>1</v>
      </c>
      <c r="H290" s="23" t="str">
        <f>'3.4.raw'!AD290</f>
        <v/>
      </c>
    </row>
    <row r="291">
      <c r="A291" s="23" t="str">
        <f t="shared" si="2"/>
        <v>PLc1111</v>
      </c>
      <c r="B291" s="23" t="str">
        <f>'3.4.raw'!M291</f>
        <v>PLc1111</v>
      </c>
      <c r="C291" s="24">
        <f>'3.4.raw'!T291</f>
        <v>43810</v>
      </c>
      <c r="D291" s="23">
        <f>'3.4.raw'!I291</f>
        <v>11</v>
      </c>
      <c r="E291" s="1">
        <v>3.4</v>
      </c>
      <c r="G291" s="23" t="b">
        <f>if(countif(Status!C:C,A291)=1,TRUE, FALSE)</f>
        <v>1</v>
      </c>
      <c r="H291" s="23" t="str">
        <f>'3.4.raw'!AD291</f>
        <v/>
      </c>
    </row>
    <row r="292">
      <c r="A292" s="23" t="str">
        <f t="shared" si="2"/>
        <v>MO1128</v>
      </c>
      <c r="B292" s="23" t="str">
        <f>'3.4.raw'!M292</f>
        <v>MO1128</v>
      </c>
      <c r="C292" s="24">
        <f>'3.4.raw'!T292</f>
        <v>43810</v>
      </c>
      <c r="D292" s="23">
        <f>'3.4.raw'!I292</f>
        <v>12</v>
      </c>
      <c r="E292" s="1">
        <v>3.4</v>
      </c>
      <c r="G292" s="23" t="b">
        <f>if(countif(Status!C:C,A292)=1,TRUE, FALSE)</f>
        <v>1</v>
      </c>
      <c r="H292" s="23" t="str">
        <f>'3.4.raw'!AD292</f>
        <v/>
      </c>
    </row>
    <row r="293">
      <c r="A293" s="23" t="str">
        <f t="shared" si="2"/>
        <v>MO1129</v>
      </c>
      <c r="B293" s="23" t="str">
        <f>'3.4.raw'!M293</f>
        <v>MO1129</v>
      </c>
      <c r="C293" s="24">
        <f>'3.4.raw'!T293</f>
        <v>43810</v>
      </c>
      <c r="D293" s="23">
        <f>'3.4.raw'!I293</f>
        <v>12</v>
      </c>
      <c r="E293" s="1">
        <v>3.4</v>
      </c>
      <c r="G293" s="23" t="b">
        <f>if(countif(Status!C:C,A293)=1,TRUE, FALSE)</f>
        <v>1</v>
      </c>
      <c r="H293" s="23" t="str">
        <f>'3.4.raw'!AD293</f>
        <v/>
      </c>
    </row>
    <row r="294">
      <c r="A294" s="23" t="str">
        <f t="shared" si="2"/>
        <v>PLc1112</v>
      </c>
      <c r="B294" s="23" t="str">
        <f>'3.4.raw'!M294</f>
        <v>PLc1112</v>
      </c>
      <c r="C294" s="24">
        <f>'3.4.raw'!T294</f>
        <v>43810</v>
      </c>
      <c r="D294" s="23">
        <f>'3.4.raw'!I294</f>
        <v>11</v>
      </c>
      <c r="E294" s="1">
        <v>3.4</v>
      </c>
      <c r="G294" s="23" t="b">
        <f>if(countif(Status!C:C,A294)=1,TRUE, FALSE)</f>
        <v>1</v>
      </c>
      <c r="H294" s="23" t="str">
        <f>'3.4.raw'!AD294</f>
        <v/>
      </c>
    </row>
    <row r="295">
      <c r="A295" s="23" t="str">
        <f t="shared" si="2"/>
        <v>PLc1113</v>
      </c>
      <c r="B295" s="23" t="str">
        <f>'3.4.raw'!M295</f>
        <v>PLc1113</v>
      </c>
      <c r="C295" s="24">
        <f>'3.4.raw'!T295</f>
        <v>43810</v>
      </c>
      <c r="D295" s="23">
        <f>'3.4.raw'!I295</f>
        <v>11</v>
      </c>
      <c r="E295" s="1">
        <v>3.4</v>
      </c>
      <c r="G295" s="23" t="b">
        <f>if(countif(Status!C:C,A295)=1,TRUE, FALSE)</f>
        <v>1</v>
      </c>
      <c r="H295" s="23" t="str">
        <f>'3.4.raw'!AD295</f>
        <v/>
      </c>
    </row>
    <row r="296">
      <c r="A296" s="23" t="str">
        <f t="shared" si="2"/>
        <v>PLc1114</v>
      </c>
      <c r="B296" s="23" t="str">
        <f>'3.4.raw'!M296</f>
        <v>PLc1114</v>
      </c>
      <c r="C296" s="24">
        <f>'3.4.raw'!T296</f>
        <v>43810</v>
      </c>
      <c r="D296" s="23">
        <f>'3.4.raw'!I296</f>
        <v>11</v>
      </c>
      <c r="E296" s="1">
        <v>3.4</v>
      </c>
      <c r="G296" s="23" t="b">
        <f>if(countif(Status!C:C,A296)=1,TRUE, FALSE)</f>
        <v>1</v>
      </c>
      <c r="H296" s="23" t="str">
        <f>'3.4.raw'!AD296</f>
        <v/>
      </c>
    </row>
    <row r="297">
      <c r="A297" s="23" t="str">
        <f t="shared" si="2"/>
        <v>PLc1115</v>
      </c>
      <c r="B297" s="23" t="str">
        <f>'3.4.raw'!M297</f>
        <v>PLc1115</v>
      </c>
      <c r="C297" s="24">
        <f>'3.4.raw'!T297</f>
        <v>43810</v>
      </c>
      <c r="D297" s="23">
        <f>'3.4.raw'!I297</f>
        <v>11</v>
      </c>
      <c r="E297" s="1">
        <v>3.4</v>
      </c>
      <c r="G297" s="23" t="b">
        <f>if(countif(Status!C:C,A297)=1,TRUE, FALSE)</f>
        <v>1</v>
      </c>
      <c r="H297" s="23" t="str">
        <f>'3.4.raw'!AD297</f>
        <v/>
      </c>
    </row>
    <row r="298">
      <c r="A298" s="23" t="str">
        <f t="shared" si="2"/>
        <v>PLc1116</v>
      </c>
      <c r="B298" s="23" t="str">
        <f>'3.4.raw'!M298</f>
        <v>PLc1116</v>
      </c>
      <c r="C298" s="24">
        <f>'3.4.raw'!T298</f>
        <v>43810</v>
      </c>
      <c r="D298" s="23">
        <f>'3.4.raw'!I298</f>
        <v>11</v>
      </c>
      <c r="E298" s="1">
        <v>3.4</v>
      </c>
      <c r="G298" s="23" t="b">
        <f>if(countif(Status!C:C,A298)=1,TRUE, FALSE)</f>
        <v>1</v>
      </c>
      <c r="H298" s="23" t="str">
        <f>'3.4.raw'!AD298</f>
        <v/>
      </c>
    </row>
    <row r="299">
      <c r="A299" s="23" t="str">
        <f t="shared" si="2"/>
        <v>PLc1117</v>
      </c>
      <c r="B299" s="23" t="str">
        <f>'3.4.raw'!M299</f>
        <v>PLc1117</v>
      </c>
      <c r="C299" s="24">
        <f>'3.4.raw'!T299</f>
        <v>43810</v>
      </c>
      <c r="D299" s="23">
        <f>'3.4.raw'!I299</f>
        <v>11</v>
      </c>
      <c r="E299" s="1">
        <v>3.4</v>
      </c>
      <c r="G299" s="23" t="b">
        <f>if(countif(Status!C:C,A299)=1,TRUE, FALSE)</f>
        <v>1</v>
      </c>
      <c r="H299" s="23" t="str">
        <f>'3.4.raw'!AD299</f>
        <v/>
      </c>
    </row>
    <row r="300">
      <c r="A300" s="23" t="str">
        <f t="shared" si="2"/>
        <v>FB1180UP</v>
      </c>
      <c r="B300" s="23" t="str">
        <f>'3.4.raw'!M300</f>
        <v>FB1180UP</v>
      </c>
      <c r="C300" s="24">
        <f>'3.4.raw'!T300</f>
        <v>43810</v>
      </c>
      <c r="D300" s="23">
        <f>'3.4.raw'!I300</f>
        <v>99</v>
      </c>
      <c r="E300" s="1">
        <v>3.4</v>
      </c>
      <c r="G300" s="23" t="b">
        <f>if(countif(Status!C:C,A300)=1,TRUE, FALSE)</f>
        <v>1</v>
      </c>
      <c r="H300" s="23" t="str">
        <f>'3.4.raw'!AD300</f>
        <v>Associated sample MO1129</v>
      </c>
    </row>
    <row r="301">
      <c r="A301" s="23" t="str">
        <f t="shared" si="2"/>
        <v>PLc1118</v>
      </c>
      <c r="B301" s="23" t="str">
        <f>'3.4.raw'!M301</f>
        <v>PLc1118</v>
      </c>
      <c r="C301" s="24">
        <f>'3.4.raw'!T301</f>
        <v>43810</v>
      </c>
      <c r="D301" s="23">
        <f>'3.4.raw'!I301</f>
        <v>11</v>
      </c>
      <c r="E301" s="1">
        <v>3.4</v>
      </c>
      <c r="G301" s="23" t="b">
        <f>if(countif(Status!C:C,A301)=1,TRUE, FALSE)</f>
        <v>1</v>
      </c>
      <c r="H301" s="23" t="str">
        <f>'3.4.raw'!AD301</f>
        <v/>
      </c>
    </row>
    <row r="302">
      <c r="A302" s="23" t="str">
        <f t="shared" si="2"/>
        <v>FB1189UP</v>
      </c>
      <c r="B302" s="23" t="str">
        <f>'3.4.raw'!M302</f>
        <v>FB1189UP</v>
      </c>
      <c r="C302" s="24">
        <f>'3.4.raw'!T302</f>
        <v>43810</v>
      </c>
      <c r="D302" s="23">
        <f>'3.4.raw'!I302</f>
        <v>99</v>
      </c>
      <c r="E302" s="1">
        <v>3.4</v>
      </c>
      <c r="G302" s="23" t="b">
        <f>if(countif(Status!C:C,A302)=1,TRUE, FALSE)</f>
        <v>1</v>
      </c>
      <c r="H302" s="23" t="str">
        <f>'3.4.raw'!AD302</f>
        <v>Associated sample PLc1118</v>
      </c>
    </row>
    <row r="303">
      <c r="A303" s="23" t="str">
        <f t="shared" si="2"/>
        <v>PLc1119</v>
      </c>
      <c r="B303" s="23" t="str">
        <f>'3.4.raw'!M303</f>
        <v>PLc1119</v>
      </c>
      <c r="C303" s="24">
        <f>'3.4.raw'!T303</f>
        <v>43810</v>
      </c>
      <c r="D303" s="23">
        <f>'3.4.raw'!I303</f>
        <v>11</v>
      </c>
      <c r="E303" s="1">
        <v>3.4</v>
      </c>
      <c r="G303" s="23" t="b">
        <f>if(countif(Status!C:C,A303)=1,TRUE, FALSE)</f>
        <v>1</v>
      </c>
      <c r="H303" s="23" t="str">
        <f>'3.4.raw'!AD303</f>
        <v/>
      </c>
    </row>
    <row r="304">
      <c r="A304" s="23" t="str">
        <f t="shared" si="2"/>
        <v>PLc1120</v>
      </c>
      <c r="B304" s="23" t="str">
        <f>'3.4.raw'!M304</f>
        <v>PLc1120</v>
      </c>
      <c r="C304" s="24">
        <f>'3.4.raw'!T304</f>
        <v>43810</v>
      </c>
      <c r="D304" s="23">
        <f>'3.4.raw'!I304</f>
        <v>11</v>
      </c>
      <c r="E304" s="1">
        <v>3.4</v>
      </c>
      <c r="G304" s="23" t="b">
        <f>if(countif(Status!C:C,A304)=1,TRUE, FALSE)</f>
        <v>1</v>
      </c>
      <c r="H304" s="23" t="str">
        <f>'3.4.raw'!AD304</f>
        <v/>
      </c>
    </row>
    <row r="305">
      <c r="A305" s="23" t="str">
        <f t="shared" si="2"/>
        <v>PLc1121</v>
      </c>
      <c r="B305" s="23" t="str">
        <f>'3.4.raw'!M305</f>
        <v>PLc1121</v>
      </c>
      <c r="C305" s="24">
        <f>'3.4.raw'!T305</f>
        <v>43810</v>
      </c>
      <c r="D305" s="23">
        <f>'3.4.raw'!I305</f>
        <v>11</v>
      </c>
      <c r="E305" s="1">
        <v>3.4</v>
      </c>
      <c r="G305" s="23" t="b">
        <f>if(countif(Status!C:C,A305)=1,TRUE, FALSE)</f>
        <v>1</v>
      </c>
      <c r="H305" s="23" t="str">
        <f>'3.4.raw'!AD305</f>
        <v/>
      </c>
    </row>
    <row r="306">
      <c r="A306" s="23" t="str">
        <f t="shared" si="2"/>
        <v>MO1130</v>
      </c>
      <c r="B306" s="23" t="str">
        <f>'3.4.raw'!M306</f>
        <v>MO1130</v>
      </c>
      <c r="C306" s="24">
        <f>'3.4.raw'!T306</f>
        <v>43810</v>
      </c>
      <c r="D306" s="23">
        <f>'3.4.raw'!I306</f>
        <v>12</v>
      </c>
      <c r="E306" s="1">
        <v>3.4</v>
      </c>
      <c r="G306" s="23" t="b">
        <f>if(countif(Status!C:C,A306)=1,TRUE, FALSE)</f>
        <v>1</v>
      </c>
      <c r="H306" s="23" t="str">
        <f>'3.4.raw'!AD306</f>
        <v/>
      </c>
    </row>
    <row r="307">
      <c r="A307" s="23" t="str">
        <f t="shared" si="2"/>
        <v>MO1131</v>
      </c>
      <c r="B307" s="23" t="str">
        <f>'3.4.raw'!M307</f>
        <v>MO1131</v>
      </c>
      <c r="C307" s="24">
        <f>'3.4.raw'!T307</f>
        <v>43810</v>
      </c>
      <c r="D307" s="23">
        <f>'3.4.raw'!I307</f>
        <v>12</v>
      </c>
      <c r="E307" s="1">
        <v>3.4</v>
      </c>
      <c r="G307" s="23" t="b">
        <f>if(countif(Status!C:C,A307)=1,TRUE, FALSE)</f>
        <v>1</v>
      </c>
      <c r="H307" s="23" t="str">
        <f>'3.4.raw'!AD307</f>
        <v/>
      </c>
    </row>
    <row r="308">
      <c r="A308" s="23" t="str">
        <f t="shared" si="2"/>
        <v>FB1185</v>
      </c>
      <c r="B308" s="23" t="str">
        <f>'3.4.raw'!M308</f>
        <v>FB1185</v>
      </c>
      <c r="C308" s="24">
        <f>'3.4.raw'!T308</f>
        <v>43810</v>
      </c>
      <c r="D308" s="23">
        <f>'3.4.raw'!I308</f>
        <v>99</v>
      </c>
      <c r="E308" s="1">
        <v>3.4</v>
      </c>
      <c r="G308" s="23" t="b">
        <f>if(countif(Status!C:C,A308)=1,TRUE, FALSE)</f>
        <v>1</v>
      </c>
      <c r="H308" s="23" t="str">
        <f>'3.4.raw'!AD308</f>
        <v>Associated sample PLc1114</v>
      </c>
    </row>
    <row r="309">
      <c r="A309" s="23" t="str">
        <f t="shared" si="2"/>
        <v>FB1195</v>
      </c>
      <c r="B309" s="23" t="str">
        <f>'3.4.raw'!M309</f>
        <v>FB1195</v>
      </c>
      <c r="C309" s="24">
        <f>'3.4.raw'!T309</f>
        <v>43810</v>
      </c>
      <c r="D309" s="23">
        <f>'3.4.raw'!I309</f>
        <v>99</v>
      </c>
      <c r="E309" s="1">
        <v>3.4</v>
      </c>
      <c r="G309" s="23" t="b">
        <f>if(countif(Status!C:C,A309)=1,TRUE, FALSE)</f>
        <v>1</v>
      </c>
      <c r="H309" s="23" t="str">
        <f>'3.4.raw'!AD309</f>
        <v>Associated sample PLc1124</v>
      </c>
    </row>
    <row r="310">
      <c r="A310" s="23" t="str">
        <f t="shared" si="2"/>
        <v>EC31</v>
      </c>
      <c r="B310" s="23" t="str">
        <f>'3.4.raw'!M310</f>
        <v>EC31</v>
      </c>
      <c r="C310" s="24">
        <f>'3.4.raw'!T310</f>
        <v>43810</v>
      </c>
      <c r="D310" s="23">
        <f>'3.4.raw'!I310</f>
        <v>98</v>
      </c>
      <c r="E310" s="1">
        <v>3.4</v>
      </c>
      <c r="G310" s="23" t="b">
        <f>if(countif(Status!C:C,A310)=1,TRUE, FALSE)</f>
        <v>1</v>
      </c>
      <c r="H310" s="23" t="str">
        <f>'3.4.raw'!AD310</f>
        <v/>
      </c>
    </row>
    <row r="311">
      <c r="A311" s="23" t="str">
        <f t="shared" si="2"/>
        <v>EC30</v>
      </c>
      <c r="B311" s="23" t="str">
        <f>'3.4.raw'!M311</f>
        <v>EC30</v>
      </c>
      <c r="C311" s="24">
        <f>'3.4.raw'!T311</f>
        <v>43810</v>
      </c>
      <c r="D311" s="23">
        <f>'3.4.raw'!I311</f>
        <v>98</v>
      </c>
      <c r="E311" s="1">
        <v>3.4</v>
      </c>
      <c r="G311" s="23" t="b">
        <f>if(countif(Status!C:C,A311)=1,TRUE, FALSE)</f>
        <v>1</v>
      </c>
      <c r="H311" s="23" t="str">
        <f>'3.4.raw'!AD311</f>
        <v/>
      </c>
    </row>
    <row r="312">
      <c r="A312" s="23" t="str">
        <f t="shared" si="2"/>
        <v>PLc1023</v>
      </c>
      <c r="B312" s="23" t="str">
        <f>'3.4.raw'!M312</f>
        <v>PLc1023</v>
      </c>
      <c r="C312" s="24">
        <f>'3.4.raw'!T312</f>
        <v>43717</v>
      </c>
      <c r="D312" s="23">
        <f>'3.4.raw'!I312</f>
        <v>11</v>
      </c>
      <c r="E312" s="1">
        <v>3.4</v>
      </c>
      <c r="G312" s="23" t="b">
        <f>if(countif(Status!C:C,A312)=1,TRUE, FALSE)</f>
        <v>1</v>
      </c>
      <c r="H312" s="23" t="str">
        <f>'3.4.raw'!AD312</f>
        <v/>
      </c>
    </row>
    <row r="313">
      <c r="A313" s="23" t="str">
        <f t="shared" si="2"/>
        <v>FB1044UP</v>
      </c>
      <c r="B313" s="23" t="str">
        <f>'3.4.raw'!M313</f>
        <v>FB1044UP</v>
      </c>
      <c r="C313" s="24">
        <f>'3.4.raw'!T313</f>
        <v>43717</v>
      </c>
      <c r="D313" s="23">
        <f>'3.4.raw'!I313</f>
        <v>99</v>
      </c>
      <c r="E313" s="1">
        <v>3.4</v>
      </c>
      <c r="G313" s="23" t="b">
        <f>if(countif(Status!C:C,A313)=1,TRUE, FALSE)</f>
        <v>1</v>
      </c>
      <c r="H313" s="23" t="str">
        <f>'3.4.raw'!AD313</f>
        <v>Associated sample PLc1023</v>
      </c>
    </row>
    <row r="314">
      <c r="A314" s="23" t="str">
        <f t="shared" si="2"/>
        <v>UF1007</v>
      </c>
      <c r="B314" s="23" t="str">
        <f>'3.4.raw'!M314</f>
        <v>UF1007</v>
      </c>
      <c r="C314" s="24">
        <f>'3.4.raw'!T314</f>
        <v>43717</v>
      </c>
      <c r="D314" s="23">
        <f>'3.4.raw'!I314</f>
        <v>16</v>
      </c>
      <c r="E314" s="1">
        <v>3.4</v>
      </c>
      <c r="G314" s="23" t="b">
        <f>if(countif(Status!C:C,A314)=1,TRUE, FALSE)</f>
        <v>1</v>
      </c>
      <c r="H314" s="23" t="str">
        <f>'3.4.raw'!AD314</f>
        <v/>
      </c>
    </row>
    <row r="315">
      <c r="A315" s="23" t="str">
        <f t="shared" si="2"/>
        <v>SF1014</v>
      </c>
      <c r="B315" s="23" t="str">
        <f>'3.4.raw'!M315</f>
        <v>SF1014</v>
      </c>
      <c r="C315" s="24">
        <f>'3.4.raw'!T315</f>
        <v>43717</v>
      </c>
      <c r="D315" s="23">
        <f>'3.4.raw'!I315</f>
        <v>10</v>
      </c>
      <c r="E315" s="1">
        <v>3.4</v>
      </c>
      <c r="G315" s="23" t="b">
        <f>if(countif(Status!C:C,A315)=1,TRUE, FALSE)</f>
        <v>1</v>
      </c>
      <c r="H315" s="23" t="str">
        <f>'3.4.raw'!AD315</f>
        <v/>
      </c>
    </row>
    <row r="316">
      <c r="A316" s="23" t="str">
        <f t="shared" si="2"/>
        <v>MO1093</v>
      </c>
      <c r="B316" s="23" t="str">
        <f>'3.4.raw'!M316</f>
        <v>MO1093</v>
      </c>
      <c r="C316" s="24">
        <f>'3.4.raw'!T316</f>
        <v>43717</v>
      </c>
      <c r="D316" s="23">
        <f>'3.4.raw'!I316</f>
        <v>12</v>
      </c>
      <c r="E316" s="1">
        <v>3.4</v>
      </c>
      <c r="G316" s="23" t="b">
        <f>if(countif(Status!C:C,A316)=1,TRUE, FALSE)</f>
        <v>1</v>
      </c>
      <c r="H316" s="23" t="str">
        <f>'3.4.raw'!AD316</f>
        <v/>
      </c>
    </row>
    <row r="317">
      <c r="A317" s="23" t="str">
        <f t="shared" si="2"/>
        <v>FB1047UP</v>
      </c>
      <c r="B317" s="23" t="str">
        <f>'3.4.raw'!M317</f>
        <v>FB1047UP</v>
      </c>
      <c r="C317" s="24">
        <f>'3.4.raw'!T317</f>
        <v>43717</v>
      </c>
      <c r="D317" s="23">
        <f>'3.4.raw'!I317</f>
        <v>99</v>
      </c>
      <c r="E317" s="1">
        <v>3.4</v>
      </c>
      <c r="G317" s="23" t="b">
        <f>if(countif(Status!C:C,A317)=1,TRUE, FALSE)</f>
        <v>1</v>
      </c>
      <c r="H317" s="23" t="str">
        <f>'3.4.raw'!AD317</f>
        <v>Associated sample MO1093</v>
      </c>
    </row>
    <row r="318">
      <c r="A318" s="23" t="str">
        <f t="shared" si="2"/>
        <v>SL1013</v>
      </c>
      <c r="B318" s="23" t="str">
        <f>'3.4.raw'!M318</f>
        <v>SL1013</v>
      </c>
      <c r="C318" s="24">
        <f>'3.4.raw'!T318</f>
        <v>43754</v>
      </c>
      <c r="D318" s="23">
        <f>'3.4.raw'!I318</f>
        <v>8</v>
      </c>
      <c r="E318" s="1">
        <v>3.4</v>
      </c>
      <c r="G318" s="23" t="b">
        <f>if(countif(Status!C:C,A318)=1,TRUE, FALSE)</f>
        <v>1</v>
      </c>
      <c r="H318" s="23" t="str">
        <f>'3.4.raw'!AD318</f>
        <v/>
      </c>
    </row>
    <row r="319">
      <c r="A319" s="23" t="str">
        <f t="shared" si="2"/>
        <v>FB1049UP</v>
      </c>
      <c r="B319" s="23" t="str">
        <f>'3.4.raw'!M319</f>
        <v>FB1049UP</v>
      </c>
      <c r="C319" s="24">
        <f>'3.4.raw'!T319</f>
        <v>43724</v>
      </c>
      <c r="D319" s="23">
        <f>'3.4.raw'!I319</f>
        <v>99</v>
      </c>
      <c r="E319" s="1">
        <v>3.4</v>
      </c>
      <c r="G319" s="23" t="b">
        <f>if(countif(Status!C:C,A319)=1,TRUE, FALSE)</f>
        <v>1</v>
      </c>
      <c r="H319" s="23" t="str">
        <f>'3.4.raw'!AD319</f>
        <v>Associated sample SL1013</v>
      </c>
    </row>
    <row r="320">
      <c r="A320" s="23" t="str">
        <f t="shared" si="2"/>
        <v>SW1010</v>
      </c>
      <c r="B320" s="23" t="str">
        <f>'3.4.raw'!M320</f>
        <v>SW1010</v>
      </c>
      <c r="C320" s="24">
        <f>'3.4.raw'!T320</f>
        <v>43724</v>
      </c>
      <c r="D320" s="23">
        <f>'3.4.raw'!I320</f>
        <v>5</v>
      </c>
      <c r="E320" s="1">
        <v>3.4</v>
      </c>
      <c r="G320" s="23" t="b">
        <f>if(countif(Status!C:C,A320)=1,TRUE, FALSE)</f>
        <v>1</v>
      </c>
      <c r="H320" s="23" t="str">
        <f>'3.4.raw'!AD320</f>
        <v/>
      </c>
    </row>
    <row r="321">
      <c r="A321" s="23" t="str">
        <f t="shared" si="2"/>
        <v>FB1048UP</v>
      </c>
      <c r="B321" s="23" t="str">
        <f>'3.4.raw'!M321</f>
        <v>FB1048UP</v>
      </c>
      <c r="C321" s="24">
        <f>'3.4.raw'!T321</f>
        <v>43724</v>
      </c>
      <c r="D321" s="23">
        <f>'3.4.raw'!I321</f>
        <v>99</v>
      </c>
      <c r="E321" s="1">
        <v>3.4</v>
      </c>
      <c r="G321" s="23" t="b">
        <f>if(countif(Status!C:C,A321)=1,TRUE, FALSE)</f>
        <v>1</v>
      </c>
      <c r="H321" s="23" t="str">
        <f>'3.4.raw'!AD321</f>
        <v>Associated sample SW1010</v>
      </c>
    </row>
    <row r="322">
      <c r="A322" s="23" t="str">
        <f t="shared" si="2"/>
        <v>FB1050UP</v>
      </c>
      <c r="B322" s="23" t="str">
        <f>'3.4.raw'!M322</f>
        <v>FB1050UP</v>
      </c>
      <c r="C322" s="24">
        <f>'3.4.raw'!T322</f>
        <v>43724</v>
      </c>
      <c r="D322" s="23">
        <f>'3.4.raw'!I322</f>
        <v>99</v>
      </c>
      <c r="E322" s="1">
        <v>3.4</v>
      </c>
      <c r="G322" s="23" t="b">
        <f>if(countif(Status!C:C,A322)=1,TRUE, FALSE)</f>
        <v>1</v>
      </c>
      <c r="H322" s="23" t="str">
        <f>'3.4.raw'!AD322</f>
        <v>Associated sample FPa1002, FPb1002, FPc1002, FPd1002, FPe1002</v>
      </c>
    </row>
    <row r="323">
      <c r="A323" s="23" t="str">
        <f t="shared" si="2"/>
        <v>FPa1002</v>
      </c>
      <c r="B323" s="23" t="str">
        <f>'3.4.raw'!M323</f>
        <v>FPa1002</v>
      </c>
      <c r="C323" s="24">
        <f>'3.4.raw'!T323</f>
        <v>43724</v>
      </c>
      <c r="D323" s="23">
        <f>'3.4.raw'!I323</f>
        <v>14</v>
      </c>
      <c r="E323" s="1">
        <v>3.4</v>
      </c>
      <c r="G323" s="23" t="b">
        <f>if(countif(Status!C:C,A323)=1,TRUE, FALSE)</f>
        <v>1</v>
      </c>
      <c r="H323" s="23" t="str">
        <f>'3.4.raw'!AD323</f>
        <v/>
      </c>
    </row>
    <row r="324">
      <c r="A324" s="23" t="str">
        <f t="shared" si="2"/>
        <v>FPb1002</v>
      </c>
      <c r="B324" s="23" t="str">
        <f>'3.4.raw'!M324</f>
        <v>FPb1002</v>
      </c>
      <c r="C324" s="24">
        <f>'3.4.raw'!T324</f>
        <v>43724</v>
      </c>
      <c r="D324" s="23">
        <f>'3.4.raw'!I324</f>
        <v>14</v>
      </c>
      <c r="E324" s="1">
        <v>3.4</v>
      </c>
      <c r="G324" s="23" t="b">
        <f>if(countif(Status!C:C,A324)=1,TRUE, FALSE)</f>
        <v>1</v>
      </c>
      <c r="H324" s="23" t="str">
        <f>'3.4.raw'!AD324</f>
        <v/>
      </c>
    </row>
    <row r="325">
      <c r="A325" s="23" t="str">
        <f t="shared" si="2"/>
        <v>FPc1002</v>
      </c>
      <c r="B325" s="23" t="str">
        <f>'3.4.raw'!M325</f>
        <v>FPc1002</v>
      </c>
      <c r="C325" s="24">
        <f>'3.4.raw'!T325</f>
        <v>43724</v>
      </c>
      <c r="D325" s="23">
        <f>'3.4.raw'!I325</f>
        <v>14</v>
      </c>
      <c r="E325" s="1">
        <v>3.4</v>
      </c>
      <c r="G325" s="23" t="b">
        <f>if(countif(Status!C:C,A325)=1,TRUE, FALSE)</f>
        <v>1</v>
      </c>
      <c r="H325" s="23" t="str">
        <f>'3.4.raw'!AD325</f>
        <v/>
      </c>
    </row>
    <row r="326">
      <c r="A326" s="23" t="str">
        <f t="shared" si="2"/>
        <v>FPd1002</v>
      </c>
      <c r="B326" s="23" t="str">
        <f>'3.4.raw'!M326</f>
        <v>FPd1002</v>
      </c>
      <c r="C326" s="24">
        <f>'3.4.raw'!T326</f>
        <v>43724</v>
      </c>
      <c r="D326" s="23">
        <f>'3.4.raw'!I326</f>
        <v>14</v>
      </c>
      <c r="E326" s="1">
        <v>3.4</v>
      </c>
      <c r="G326" s="23" t="b">
        <f>if(countif(Status!C:C,A326)=1,TRUE, FALSE)</f>
        <v>1</v>
      </c>
      <c r="H326" s="23" t="str">
        <f>'3.4.raw'!AD326</f>
        <v/>
      </c>
    </row>
    <row r="327">
      <c r="A327" s="23" t="str">
        <f t="shared" si="2"/>
        <v>FPe1002</v>
      </c>
      <c r="B327" s="23" t="str">
        <f>'3.4.raw'!M327</f>
        <v>FPe1002</v>
      </c>
      <c r="C327" s="24">
        <f>'3.4.raw'!T327</f>
        <v>43724</v>
      </c>
      <c r="D327" s="23">
        <f>'3.4.raw'!I327</f>
        <v>14</v>
      </c>
      <c r="E327" s="1">
        <v>3.4</v>
      </c>
      <c r="G327" s="23" t="b">
        <f>if(countif(Status!C:C,A327)=1,TRUE, FALSE)</f>
        <v>1</v>
      </c>
      <c r="H327" s="23" t="str">
        <f>'3.4.raw'!AD327</f>
        <v/>
      </c>
    </row>
    <row r="328">
      <c r="A328" s="23" t="str">
        <f t="shared" si="2"/>
        <v>FB1034UP</v>
      </c>
      <c r="B328" s="23" t="str">
        <f>'3.4.raw'!M328</f>
        <v>FB1034UP</v>
      </c>
      <c r="C328" s="24" t="str">
        <f>'3.4.raw'!T328</f>
        <v/>
      </c>
      <c r="D328" s="23">
        <f>'3.4.raw'!I328</f>
        <v>99</v>
      </c>
      <c r="E328" s="1">
        <v>3.4</v>
      </c>
      <c r="G328" s="23" t="b">
        <f>if(countif(Status!C:C,A328)=1,TRUE, FALSE)</f>
        <v>1</v>
      </c>
      <c r="H328" s="23" t="str">
        <f>'3.4.raw'!AD328</f>
        <v>Associated sample PL1020</v>
      </c>
    </row>
    <row r="329">
      <c r="A329" s="23" t="str">
        <f t="shared" si="2"/>
        <v>MO1091</v>
      </c>
      <c r="B329" s="23" t="str">
        <f>'3.4.raw'!M329</f>
        <v>MO1091</v>
      </c>
      <c r="C329" s="24" t="str">
        <f>'3.4.raw'!T329</f>
        <v/>
      </c>
      <c r="D329" s="23">
        <f>'3.4.raw'!I329</f>
        <v>12</v>
      </c>
      <c r="E329" s="1">
        <v>3.4</v>
      </c>
      <c r="G329" s="23" t="b">
        <f>if(countif(Status!C:C,A329)=1,TRUE, FALSE)</f>
        <v>1</v>
      </c>
      <c r="H329" s="23" t="str">
        <f>'3.4.raw'!AD329</f>
        <v/>
      </c>
    </row>
    <row r="330">
      <c r="A330" s="23" t="str">
        <f t="shared" si="2"/>
        <v>FB1035UP</v>
      </c>
      <c r="B330" s="23" t="str">
        <f>'3.4.raw'!M330</f>
        <v>FB1035UP</v>
      </c>
      <c r="C330" s="24" t="str">
        <f>'3.4.raw'!T330</f>
        <v/>
      </c>
      <c r="D330" s="23">
        <f>'3.4.raw'!I330</f>
        <v>99</v>
      </c>
      <c r="E330" s="1">
        <v>3.4</v>
      </c>
      <c r="G330" s="23" t="b">
        <f>if(countif(Status!C:C,A330)=1,TRUE, FALSE)</f>
        <v>1</v>
      </c>
      <c r="H330" s="23" t="str">
        <f>'3.4.raw'!AD330</f>
        <v>Associated sample MO1091</v>
      </c>
    </row>
    <row r="331">
      <c r="A331" s="23" t="str">
        <f t="shared" si="2"/>
        <v>SF1011</v>
      </c>
      <c r="B331" s="23" t="str">
        <f>'3.4.raw'!M331</f>
        <v>SF1011</v>
      </c>
      <c r="C331" s="24">
        <f>'3.4.raw'!T331</f>
        <v>43712</v>
      </c>
      <c r="D331" s="23">
        <f>'3.4.raw'!I331</f>
        <v>10</v>
      </c>
      <c r="E331" s="1">
        <v>3.4</v>
      </c>
      <c r="G331" s="23" t="b">
        <f>if(countif(Status!C:C,A331)=1,TRUE, FALSE)</f>
        <v>1</v>
      </c>
      <c r="H331" s="23" t="str">
        <f>'3.4.raw'!AD331</f>
        <v/>
      </c>
    </row>
    <row r="332">
      <c r="A332" s="23" t="str">
        <f t="shared" si="2"/>
        <v>FB1037UP</v>
      </c>
      <c r="B332" s="23" t="str">
        <f>'3.4.raw'!M332</f>
        <v>FB1037UP</v>
      </c>
      <c r="C332" s="24">
        <f>'3.4.raw'!T332</f>
        <v>43712</v>
      </c>
      <c r="D332" s="23">
        <f>'3.4.raw'!I332</f>
        <v>99</v>
      </c>
      <c r="E332" s="1">
        <v>3.4</v>
      </c>
      <c r="G332" s="23" t="b">
        <f>if(countif(Status!C:C,A332)=1,TRUE, FALSE)</f>
        <v>1</v>
      </c>
      <c r="H332" s="23" t="str">
        <f>'3.4.raw'!AD332</f>
        <v>Associated sample SF1011</v>
      </c>
    </row>
    <row r="333">
      <c r="A333" s="23" t="str">
        <f t="shared" si="2"/>
        <v>SF1012A</v>
      </c>
      <c r="B333" s="23" t="str">
        <f>'3.4.raw'!M333</f>
        <v>SF1012A</v>
      </c>
      <c r="C333" s="24">
        <f>'3.4.raw'!T333</f>
        <v>43712</v>
      </c>
      <c r="D333" s="23">
        <f>'3.4.raw'!I333</f>
        <v>10</v>
      </c>
      <c r="E333" s="1">
        <v>3.4</v>
      </c>
      <c r="G333" s="23" t="b">
        <f>if(countif(Status!C:C,A333)=1,TRUE, FALSE)</f>
        <v>1</v>
      </c>
      <c r="H333" s="23" t="str">
        <f>'3.4.raw'!AD333</f>
        <v/>
      </c>
    </row>
    <row r="334">
      <c r="A334" s="23" t="str">
        <f t="shared" si="2"/>
        <v>SF1012B</v>
      </c>
      <c r="B334" s="23" t="str">
        <f>'3.4.raw'!M334</f>
        <v>SF1012B</v>
      </c>
      <c r="C334" s="24">
        <f>'3.4.raw'!T334</f>
        <v>43712</v>
      </c>
      <c r="D334" s="23">
        <f>'3.4.raw'!I334</f>
        <v>10</v>
      </c>
      <c r="E334" s="1">
        <v>3.4</v>
      </c>
      <c r="G334" s="23" t="b">
        <f>if(countif(Status!C:C,A334)=1,TRUE, FALSE)</f>
        <v>1</v>
      </c>
      <c r="H334" s="23" t="str">
        <f>'3.4.raw'!AD334</f>
        <v/>
      </c>
    </row>
    <row r="335">
      <c r="A335" s="23" t="str">
        <f t="shared" si="2"/>
        <v>SL1011</v>
      </c>
      <c r="B335" s="23" t="str">
        <f>'3.4.raw'!M335</f>
        <v>SL1011</v>
      </c>
      <c r="C335" s="24">
        <f>'3.4.raw'!T335</f>
        <v>43712</v>
      </c>
      <c r="D335" s="23">
        <f>'3.4.raw'!I335</f>
        <v>8</v>
      </c>
      <c r="E335" s="1">
        <v>3.4</v>
      </c>
      <c r="G335" s="23" t="b">
        <f>if(countif(Status!C:C,A335)=1,TRUE, FALSE)</f>
        <v>1</v>
      </c>
      <c r="H335" s="23" t="str">
        <f>'3.4.raw'!AD335</f>
        <v/>
      </c>
    </row>
    <row r="336">
      <c r="A336" s="23" t="str">
        <f t="shared" si="2"/>
        <v>FB1036UP</v>
      </c>
      <c r="B336" s="23" t="str">
        <f>'3.4.raw'!M336</f>
        <v>FB1036UP</v>
      </c>
      <c r="C336" s="24">
        <f>'3.4.raw'!T336</f>
        <v>43712</v>
      </c>
      <c r="D336" s="23">
        <f>'3.4.raw'!I336</f>
        <v>99</v>
      </c>
      <c r="E336" s="1">
        <v>3.4</v>
      </c>
      <c r="G336" s="23" t="b">
        <f>if(countif(Status!C:C,A336)=1,TRUE, FALSE)</f>
        <v>1</v>
      </c>
      <c r="H336" s="23" t="str">
        <f>'3.4.raw'!AD336</f>
        <v>Associated sample SL1011</v>
      </c>
    </row>
    <row r="337">
      <c r="A337" s="23" t="str">
        <f t="shared" si="2"/>
        <v>DWa1004</v>
      </c>
      <c r="B337" s="23" t="str">
        <f>'3.4.raw'!M337</f>
        <v>DWa1004</v>
      </c>
      <c r="C337" s="24">
        <f>'3.4.raw'!T337</f>
        <v>43712</v>
      </c>
      <c r="D337" s="23">
        <f>'3.4.raw'!I337</f>
        <v>3</v>
      </c>
      <c r="E337" s="1">
        <v>3.4</v>
      </c>
      <c r="G337" s="23" t="b">
        <f>if(countif(Status!C:C,A337)=1,TRUE, FALSE)</f>
        <v>1</v>
      </c>
      <c r="H337" s="23" t="str">
        <f>'3.4.raw'!AD337</f>
        <v/>
      </c>
    </row>
    <row r="338">
      <c r="A338" s="23" t="str">
        <f t="shared" si="2"/>
        <v>FB1038UP</v>
      </c>
      <c r="B338" s="23" t="str">
        <f>'3.4.raw'!M338</f>
        <v>FB1038UP</v>
      </c>
      <c r="C338" s="24" t="str">
        <f>'3.4.raw'!T338</f>
        <v/>
      </c>
      <c r="D338" s="23">
        <f>'3.4.raw'!I338</f>
        <v>99</v>
      </c>
      <c r="E338" s="1">
        <v>3.4</v>
      </c>
      <c r="G338" s="23" t="b">
        <f>if(countif(Status!C:C,A338)=1,TRUE, FALSE)</f>
        <v>1</v>
      </c>
      <c r="H338" s="23" t="str">
        <f>'3.4.raw'!AD338</f>
        <v>Associated sample DWa1004</v>
      </c>
    </row>
    <row r="339">
      <c r="A339" s="23" t="str">
        <f t="shared" si="2"/>
        <v>SL1012</v>
      </c>
      <c r="B339" s="23" t="str">
        <f>'3.4.raw'!M339</f>
        <v>SL1012</v>
      </c>
      <c r="C339" s="24">
        <f>'3.4.raw'!T339</f>
        <v>43712</v>
      </c>
      <c r="D339" s="23">
        <f>'3.4.raw'!I339</f>
        <v>8</v>
      </c>
      <c r="E339" s="1">
        <v>3.4</v>
      </c>
      <c r="G339" s="23" t="b">
        <f>if(countif(Status!C:C,A339)=1,TRUE, FALSE)</f>
        <v>1</v>
      </c>
      <c r="H339" s="23" t="str">
        <f>'3.4.raw'!AD339</f>
        <v/>
      </c>
    </row>
    <row r="340">
      <c r="A340" s="23" t="str">
        <f t="shared" si="2"/>
        <v>FB1039</v>
      </c>
      <c r="B340" s="23" t="str">
        <f>'3.4.raw'!M340</f>
        <v>FB1039</v>
      </c>
      <c r="C340" s="24">
        <f>'3.4.raw'!T340</f>
        <v>43712</v>
      </c>
      <c r="D340" s="23">
        <f>'3.4.raw'!I340</f>
        <v>99</v>
      </c>
      <c r="E340" s="1">
        <v>3.4</v>
      </c>
      <c r="G340" s="23" t="b">
        <f>if(countif(Status!C:C,A340)=1,TRUE, FALSE)</f>
        <v>1</v>
      </c>
      <c r="H340" s="23" t="str">
        <f>'3.4.raw'!AD340</f>
        <v>Associated sample SL1012</v>
      </c>
    </row>
    <row r="341">
      <c r="A341" s="23" t="str">
        <f t="shared" si="2"/>
        <v>FB1039UP</v>
      </c>
      <c r="B341" s="23" t="str">
        <f>'3.4.raw'!M341</f>
        <v>FB1039UP</v>
      </c>
      <c r="C341" s="24">
        <f>'3.4.raw'!T341</f>
        <v>43712</v>
      </c>
      <c r="D341" s="23">
        <f>'3.4.raw'!I341</f>
        <v>99</v>
      </c>
      <c r="E341" s="1">
        <v>3.4</v>
      </c>
      <c r="G341" s="23" t="b">
        <f>if(countif(Status!C:C,A341)=1,TRUE, FALSE)</f>
        <v>1</v>
      </c>
      <c r="H341" s="23" t="str">
        <f>'3.4.raw'!AD341</f>
        <v>Associated sample SL1012</v>
      </c>
    </row>
    <row r="342">
      <c r="A342" s="23" t="str">
        <f t="shared" si="2"/>
        <v>FB1037</v>
      </c>
      <c r="B342" s="23" t="str">
        <f>'3.4.raw'!M342</f>
        <v>FB1037</v>
      </c>
      <c r="C342" s="24">
        <f>'3.4.raw'!T342</f>
        <v>43712</v>
      </c>
      <c r="D342" s="23">
        <f>'3.4.raw'!I342</f>
        <v>99</v>
      </c>
      <c r="E342" s="1">
        <v>3.4</v>
      </c>
      <c r="G342" s="23" t="b">
        <f>if(countif(Status!C:C,A342)=1,TRUE, FALSE)</f>
        <v>1</v>
      </c>
      <c r="H342" s="23" t="str">
        <f>'3.4.raw'!AD342</f>
        <v>Associated sample SF1011</v>
      </c>
    </row>
    <row r="343">
      <c r="A343" s="23" t="str">
        <f t="shared" si="2"/>
        <v>FB1036</v>
      </c>
      <c r="B343" s="23" t="str">
        <f>'3.4.raw'!M343</f>
        <v>FB1036</v>
      </c>
      <c r="C343" s="24">
        <f>'3.4.raw'!T343</f>
        <v>43712</v>
      </c>
      <c r="D343" s="23">
        <f>'3.4.raw'!I343</f>
        <v>99</v>
      </c>
      <c r="E343" s="1">
        <v>3.4</v>
      </c>
      <c r="G343" s="23" t="b">
        <f>if(countif(Status!C:C,A343)=1,TRUE, FALSE)</f>
        <v>1</v>
      </c>
      <c r="H343" s="23" t="str">
        <f>'3.4.raw'!AD343</f>
        <v>Associated sample SL1011</v>
      </c>
    </row>
    <row r="344">
      <c r="A344" s="23" t="str">
        <f t="shared" si="2"/>
        <v>FB1038</v>
      </c>
      <c r="B344" s="23" t="str">
        <f>'3.4.raw'!M344</f>
        <v>FB1038</v>
      </c>
      <c r="C344" s="24">
        <f>'3.4.raw'!T344</f>
        <v>43712</v>
      </c>
      <c r="D344" s="23">
        <f>'3.4.raw'!I344</f>
        <v>99</v>
      </c>
      <c r="E344" s="1">
        <v>3.4</v>
      </c>
      <c r="G344" s="23" t="b">
        <f>if(countif(Status!C:C,A344)=1,TRUE, FALSE)</f>
        <v>1</v>
      </c>
      <c r="H344" s="23" t="str">
        <f>'3.4.raw'!AD344</f>
        <v>Associated sample DWa1004</v>
      </c>
    </row>
    <row r="345">
      <c r="A345" s="23" t="str">
        <f t="shared" si="2"/>
        <v>UF1005</v>
      </c>
      <c r="B345" s="23" t="str">
        <f>'3.4.raw'!M345</f>
        <v>UF1005</v>
      </c>
      <c r="C345" s="24">
        <f>'3.4.raw'!T345</f>
        <v>43713</v>
      </c>
      <c r="D345" s="23">
        <f>'3.4.raw'!I345</f>
        <v>16</v>
      </c>
      <c r="E345" s="1">
        <v>3.4</v>
      </c>
      <c r="G345" s="23" t="b">
        <f>if(countif(Status!C:C,A345)=1,TRUE, FALSE)</f>
        <v>1</v>
      </c>
      <c r="H345" s="23" t="str">
        <f>'3.4.raw'!AD345</f>
        <v/>
      </c>
    </row>
    <row r="346">
      <c r="A346" s="23" t="str">
        <f t="shared" si="2"/>
        <v>SW1009</v>
      </c>
      <c r="B346" s="23" t="str">
        <f>'3.4.raw'!M346</f>
        <v>SW1009</v>
      </c>
      <c r="C346" s="24">
        <f>'3.4.raw'!T346</f>
        <v>43712</v>
      </c>
      <c r="D346" s="23">
        <f>'3.4.raw'!I346</f>
        <v>5</v>
      </c>
      <c r="E346" s="1">
        <v>3.4</v>
      </c>
      <c r="G346" s="23" t="b">
        <f>if(countif(Status!C:C,A346)=1,TRUE, FALSE)</f>
        <v>1</v>
      </c>
      <c r="H346" s="23" t="str">
        <f>'3.4.raw'!AD346</f>
        <v/>
      </c>
    </row>
    <row r="347">
      <c r="A347" s="23" t="str">
        <f t="shared" si="2"/>
        <v>FB1040</v>
      </c>
      <c r="B347" s="23" t="str">
        <f>'3.4.raw'!M347</f>
        <v>FB1040</v>
      </c>
      <c r="C347" s="24">
        <f>'3.4.raw'!T347</f>
        <v>43712</v>
      </c>
      <c r="D347" s="23">
        <f>'3.4.raw'!I347</f>
        <v>99</v>
      </c>
      <c r="E347" s="1">
        <v>3.4</v>
      </c>
      <c r="G347" s="23" t="b">
        <f>if(countif(Status!C:C,A347)=1,TRUE, FALSE)</f>
        <v>1</v>
      </c>
      <c r="H347" s="23" t="str">
        <f>'3.4.raw'!AD347</f>
        <v>Associated sample SW1009</v>
      </c>
    </row>
    <row r="348">
      <c r="A348" s="23" t="str">
        <f t="shared" si="2"/>
        <v>FB1040UP</v>
      </c>
      <c r="B348" s="23" t="str">
        <f>'3.4.raw'!M348</f>
        <v>FB1040UP</v>
      </c>
      <c r="C348" s="24">
        <f>'3.4.raw'!T348</f>
        <v>43717</v>
      </c>
      <c r="D348" s="23">
        <f>'3.4.raw'!I348</f>
        <v>99</v>
      </c>
      <c r="E348" s="1">
        <v>3.4</v>
      </c>
      <c r="G348" s="23" t="b">
        <f>if(countif(Status!C:C,A348)=1,TRUE, FALSE)</f>
        <v>1</v>
      </c>
      <c r="H348" s="23" t="str">
        <f>'3.4.raw'!AD348</f>
        <v>Associated sample SW1009</v>
      </c>
    </row>
    <row r="349">
      <c r="A349" s="23" t="str">
        <f t="shared" si="2"/>
        <v>MO1092</v>
      </c>
      <c r="B349" s="23" t="str">
        <f>'3.4.raw'!M349</f>
        <v>MO1092</v>
      </c>
      <c r="C349" s="24">
        <f>'3.4.raw'!T349</f>
        <v>43717</v>
      </c>
      <c r="D349" s="23">
        <f>'3.4.raw'!I349</f>
        <v>12</v>
      </c>
      <c r="E349" s="1">
        <v>3.4</v>
      </c>
      <c r="G349" s="23" t="b">
        <f>if(countif(Status!C:C,A349)=1,TRUE, FALSE)</f>
        <v>1</v>
      </c>
      <c r="H349" s="23" t="str">
        <f>'3.4.raw'!AD349</f>
        <v/>
      </c>
    </row>
    <row r="350">
      <c r="A350" s="23" t="str">
        <f t="shared" si="2"/>
        <v>MO1092D</v>
      </c>
      <c r="B350" s="23" t="str">
        <f>'3.4.raw'!M350</f>
        <v>MO1092D</v>
      </c>
      <c r="C350" s="24">
        <f>'3.4.raw'!T350</f>
        <v>43717</v>
      </c>
      <c r="D350" s="23">
        <f>'3.4.raw'!I350</f>
        <v>12</v>
      </c>
      <c r="E350" s="1">
        <v>3.4</v>
      </c>
      <c r="G350" s="23" t="b">
        <f>if(countif(Status!C:C,A350)=1,TRUE, FALSE)</f>
        <v>1</v>
      </c>
      <c r="H350" s="23" t="str">
        <f>'3.4.raw'!AD350</f>
        <v/>
      </c>
    </row>
    <row r="351">
      <c r="A351" s="23" t="str">
        <f t="shared" si="2"/>
        <v>FB1043UP</v>
      </c>
      <c r="B351" s="23" t="str">
        <f>'3.4.raw'!M351</f>
        <v>FB1043UP</v>
      </c>
      <c r="C351" s="24">
        <f>'3.4.raw'!T351</f>
        <v>43717</v>
      </c>
      <c r="D351" s="23">
        <f>'3.4.raw'!I351</f>
        <v>99</v>
      </c>
      <c r="E351" s="1">
        <v>3.4</v>
      </c>
      <c r="G351" s="23" t="b">
        <f>if(countif(Status!C:C,A351)=1,TRUE, FALSE)</f>
        <v>1</v>
      </c>
      <c r="H351" s="23" t="str">
        <f>'3.4.raw'!AD351</f>
        <v>Associated sample MO1092</v>
      </c>
    </row>
    <row r="352">
      <c r="A352" s="23" t="str">
        <f t="shared" si="2"/>
        <v>UF1006</v>
      </c>
      <c r="B352" s="23" t="str">
        <f>'3.4.raw'!M352</f>
        <v>UF1006</v>
      </c>
      <c r="C352" s="24">
        <f>'3.4.raw'!T352</f>
        <v>43717</v>
      </c>
      <c r="D352" s="23">
        <f>'3.4.raw'!I352</f>
        <v>16</v>
      </c>
      <c r="E352" s="1">
        <v>3.4</v>
      </c>
      <c r="G352" s="23" t="b">
        <f>if(countif(Status!C:C,A352)=1,TRUE, FALSE)</f>
        <v>1</v>
      </c>
      <c r="H352" s="23" t="str">
        <f>'3.4.raw'!AD352</f>
        <v/>
      </c>
    </row>
    <row r="353">
      <c r="A353" s="23" t="str">
        <f t="shared" si="2"/>
        <v>PL1021</v>
      </c>
      <c r="B353" s="23" t="str">
        <f>'3.4.raw'!M353</f>
        <v>PL1021</v>
      </c>
      <c r="C353" s="24">
        <f>'3.4.raw'!T353</f>
        <v>43717</v>
      </c>
      <c r="D353" s="23">
        <f>'3.4.raw'!I353</f>
        <v>7</v>
      </c>
      <c r="E353" s="1">
        <v>3.4</v>
      </c>
      <c r="G353" s="23" t="b">
        <f>if(countif(Status!C:C,A353)=1,TRUE, FALSE)</f>
        <v>1</v>
      </c>
      <c r="H353" s="23" t="str">
        <f>'3.4.raw'!AD353</f>
        <v/>
      </c>
    </row>
    <row r="354">
      <c r="A354" s="23" t="str">
        <f t="shared" si="2"/>
        <v>PL1022</v>
      </c>
      <c r="B354" s="23" t="str">
        <f>'3.4.raw'!M354</f>
        <v>PL1022</v>
      </c>
      <c r="C354" s="24">
        <f>'3.4.raw'!T354</f>
        <v>43717</v>
      </c>
      <c r="D354" s="23">
        <f>'3.4.raw'!I354</f>
        <v>7</v>
      </c>
      <c r="E354" s="1">
        <v>3.4</v>
      </c>
      <c r="G354" s="23" t="b">
        <f>if(countif(Status!C:C,A354)=1,TRUE, FALSE)</f>
        <v>1</v>
      </c>
      <c r="H354" s="23" t="str">
        <f>'3.4.raw'!AD354</f>
        <v/>
      </c>
    </row>
    <row r="355">
      <c r="A355" s="23" t="str">
        <f t="shared" si="2"/>
        <v>FB1042UP</v>
      </c>
      <c r="B355" s="23" t="str">
        <f>'3.4.raw'!M355</f>
        <v>FB1042UP</v>
      </c>
      <c r="C355" s="24">
        <f>'3.4.raw'!T355</f>
        <v>43717</v>
      </c>
      <c r="D355" s="23">
        <f>'3.4.raw'!I355</f>
        <v>99</v>
      </c>
      <c r="E355" s="1">
        <v>3.4</v>
      </c>
      <c r="G355" s="23" t="b">
        <f>if(countif(Status!C:C,A355)=1,TRUE, FALSE)</f>
        <v>1</v>
      </c>
      <c r="H355" s="23" t="str">
        <f>'3.4.raw'!AD355</f>
        <v>Associated sample PL1022</v>
      </c>
    </row>
    <row r="356">
      <c r="A356" s="23" t="str">
        <f t="shared" si="2"/>
        <v>RP1011</v>
      </c>
      <c r="B356" s="23" t="str">
        <f>'3.4.raw'!M356</f>
        <v>RP1011</v>
      </c>
      <c r="C356" s="24">
        <f>'3.4.raw'!T356</f>
        <v>43717</v>
      </c>
      <c r="D356" s="23">
        <f>'3.4.raw'!I356</f>
        <v>2</v>
      </c>
      <c r="E356" s="1">
        <v>3.4</v>
      </c>
      <c r="G356" s="23" t="b">
        <f>if(countif(Status!C:C,A356)=1,TRUE, FALSE)</f>
        <v>1</v>
      </c>
      <c r="H356" s="23" t="str">
        <f>'3.4.raw'!AD356</f>
        <v/>
      </c>
    </row>
    <row r="357">
      <c r="A357" s="23" t="str">
        <f t="shared" si="2"/>
        <v>RP1012</v>
      </c>
      <c r="B357" s="23" t="str">
        <f>'3.4.raw'!M357</f>
        <v>RP1012</v>
      </c>
      <c r="C357" s="24">
        <f>'3.4.raw'!T357</f>
        <v>43717</v>
      </c>
      <c r="D357" s="23">
        <f>'3.4.raw'!I357</f>
        <v>2</v>
      </c>
      <c r="E357" s="1">
        <v>3.4</v>
      </c>
      <c r="G357" s="23" t="b">
        <f>if(countif(Status!C:C,A357)=1,TRUE, FALSE)</f>
        <v>1</v>
      </c>
      <c r="H357" s="23" t="str">
        <f>'3.4.raw'!AD357</f>
        <v/>
      </c>
    </row>
    <row r="358">
      <c r="A358" s="23" t="str">
        <f t="shared" si="2"/>
        <v>FB1046</v>
      </c>
      <c r="B358" s="23" t="str">
        <f>'3.4.raw'!M358</f>
        <v>FB1046</v>
      </c>
      <c r="C358" s="24">
        <f>'3.4.raw'!T358</f>
        <v>43717</v>
      </c>
      <c r="D358" s="23">
        <f>'3.4.raw'!I358</f>
        <v>99</v>
      </c>
      <c r="E358" s="1">
        <v>3.4</v>
      </c>
      <c r="G358" s="23" t="b">
        <f>if(countif(Status!C:C,A358)=1,TRUE, FALSE)</f>
        <v>1</v>
      </c>
      <c r="H358" s="23" t="str">
        <f>'3.4.raw'!AD358</f>
        <v>Associated sample RP1012</v>
      </c>
    </row>
    <row r="359">
      <c r="A359" s="23" t="str">
        <f t="shared" si="2"/>
        <v>FB1046UP</v>
      </c>
      <c r="B359" s="23" t="str">
        <f>'3.4.raw'!M359</f>
        <v>FB1046UP</v>
      </c>
      <c r="C359" s="24">
        <f>'3.4.raw'!T359</f>
        <v>43717</v>
      </c>
      <c r="D359" s="23">
        <f>'3.4.raw'!I359</f>
        <v>99</v>
      </c>
      <c r="E359" s="1">
        <v>3.4</v>
      </c>
      <c r="G359" s="23" t="b">
        <f>if(countif(Status!C:C,A359)=1,TRUE, FALSE)</f>
        <v>1</v>
      </c>
      <c r="H359" s="23" t="str">
        <f>'3.4.raw'!AD359</f>
        <v>Associated sample RP1012</v>
      </c>
    </row>
    <row r="360">
      <c r="A360" s="23" t="str">
        <f t="shared" si="2"/>
        <v>SF1013</v>
      </c>
      <c r="B360" s="23" t="str">
        <f>'3.4.raw'!M360</f>
        <v>SF1013</v>
      </c>
      <c r="C360" s="24">
        <f>'3.4.raw'!T360</f>
        <v>43724</v>
      </c>
      <c r="D360" s="23">
        <f>'3.4.raw'!I360</f>
        <v>10</v>
      </c>
      <c r="E360" s="1">
        <v>3.4</v>
      </c>
      <c r="G360" s="23" t="b">
        <f>if(countif(Status!C:C,A360)=1,TRUE, FALSE)</f>
        <v>1</v>
      </c>
      <c r="H360" s="23" t="str">
        <f>'3.4.raw'!AD360</f>
        <v/>
      </c>
    </row>
    <row r="361">
      <c r="A361" s="23" t="str">
        <f t="shared" si="2"/>
        <v>FB1045</v>
      </c>
      <c r="B361" s="23" t="str">
        <f>'3.4.raw'!M361</f>
        <v>FB1045</v>
      </c>
      <c r="C361" s="24">
        <f>'3.4.raw'!T361</f>
        <v>43717</v>
      </c>
      <c r="D361" s="23">
        <f>'3.4.raw'!I361</f>
        <v>99</v>
      </c>
      <c r="E361" s="1">
        <v>3.4</v>
      </c>
      <c r="G361" s="23" t="b">
        <f>if(countif(Status!C:C,A361)=1,TRUE, FALSE)</f>
        <v>1</v>
      </c>
      <c r="H361" s="23" t="str">
        <f>'3.4.raw'!AD361</f>
        <v>Associated sample SF1013</v>
      </c>
    </row>
    <row r="362">
      <c r="A362" s="23" t="str">
        <f t="shared" si="2"/>
        <v>FB1045UP</v>
      </c>
      <c r="B362" s="23" t="str">
        <f>'3.4.raw'!M362</f>
        <v>FB1045UP</v>
      </c>
      <c r="C362" s="24">
        <f>'3.4.raw'!T362</f>
        <v>43717</v>
      </c>
      <c r="D362" s="23">
        <f>'3.4.raw'!I362</f>
        <v>99</v>
      </c>
      <c r="E362" s="1">
        <v>3.4</v>
      </c>
      <c r="G362" s="23" t="b">
        <f>if(countif(Status!C:C,A362)=1,TRUE, FALSE)</f>
        <v>1</v>
      </c>
      <c r="H362" s="23" t="str">
        <f>'3.4.raw'!AD362</f>
        <v>Associated sample SF1013</v>
      </c>
    </row>
    <row r="363">
      <c r="A363" s="23" t="str">
        <f t="shared" si="2"/>
        <v>PL1020</v>
      </c>
      <c r="B363" s="23" t="str">
        <f>'3.4.raw'!M363</f>
        <v>PL1020</v>
      </c>
      <c r="C363" s="24" t="str">
        <f>'3.4.raw'!T363</f>
        <v/>
      </c>
      <c r="D363" s="23">
        <f>'3.4.raw'!I363</f>
        <v>7</v>
      </c>
      <c r="E363" s="1">
        <v>3.4</v>
      </c>
      <c r="G363" s="23" t="b">
        <f>if(countif(Status!C:C,A363)=1,TRUE, FALSE)</f>
        <v>1</v>
      </c>
      <c r="H363" s="23" t="str">
        <f>'3.4.raw'!AD363</f>
        <v/>
      </c>
    </row>
    <row r="364">
      <c r="A364" s="23" t="str">
        <f t="shared" si="2"/>
        <v>PLc8122</v>
      </c>
      <c r="B364" s="23" t="str">
        <f>'3.4.raw'!M364</f>
        <v>PLc8122</v>
      </c>
      <c r="C364" s="24">
        <f>'3.4.raw'!T364</f>
        <v>43818</v>
      </c>
      <c r="D364" s="23">
        <f>'3.4.raw'!I364</f>
        <v>11</v>
      </c>
      <c r="E364" s="1">
        <v>3.4</v>
      </c>
      <c r="G364" s="23" t="b">
        <f>if(countif(Status!C:C,A364)=1,TRUE, FALSE)</f>
        <v>1</v>
      </c>
      <c r="H364" s="23" t="str">
        <f>'3.4.raw'!AD364</f>
        <v/>
      </c>
    </row>
    <row r="365">
      <c r="A365" s="23" t="str">
        <f t="shared" si="2"/>
        <v>PLc8123</v>
      </c>
      <c r="B365" s="23" t="str">
        <f>'3.4.raw'!M365</f>
        <v>PLc8123</v>
      </c>
      <c r="C365" s="24">
        <f>'3.4.raw'!T365</f>
        <v>43818</v>
      </c>
      <c r="D365" s="23">
        <f>'3.4.raw'!I365</f>
        <v>11</v>
      </c>
      <c r="E365" s="1">
        <v>3.4</v>
      </c>
      <c r="G365" s="23" t="b">
        <f>if(countif(Status!C:C,A365)=1,TRUE, FALSE)</f>
        <v>1</v>
      </c>
      <c r="H365" s="23" t="str">
        <f>'3.4.raw'!AD365</f>
        <v/>
      </c>
    </row>
    <row r="366">
      <c r="A366" s="23" t="str">
        <f t="shared" si="2"/>
        <v>FB1195</v>
      </c>
      <c r="B366" s="23" t="str">
        <f>'3.4.raw'!M366</f>
        <v>FB1195</v>
      </c>
      <c r="C366" s="24">
        <f>'3.4.raw'!T366</f>
        <v>43818</v>
      </c>
      <c r="D366" s="23">
        <f>'3.4.raw'!I366</f>
        <v>99</v>
      </c>
      <c r="E366" s="1">
        <v>3.4</v>
      </c>
      <c r="G366" s="23" t="b">
        <f>if(countif(Status!C:C,A366)=1,TRUE, FALSE)</f>
        <v>1</v>
      </c>
      <c r="H366" s="23" t="str">
        <f>'3.4.raw'!AD366</f>
        <v>Associated sample PLc1124</v>
      </c>
    </row>
    <row r="367">
      <c r="A367" s="23" t="str">
        <f t="shared" si="2"/>
        <v>PLc1124</v>
      </c>
      <c r="B367" s="23" t="str">
        <f>'3.4.raw'!M367</f>
        <v>PLc1124</v>
      </c>
      <c r="C367" s="24">
        <f>'3.4.raw'!T367</f>
        <v>43818</v>
      </c>
      <c r="D367" s="23">
        <f>'3.4.raw'!I367</f>
        <v>11</v>
      </c>
      <c r="E367" s="1">
        <v>3.4</v>
      </c>
      <c r="G367" s="23" t="b">
        <f>if(countif(Status!C:C,A367)=1,TRUE, FALSE)</f>
        <v>1</v>
      </c>
      <c r="H367" s="23" t="str">
        <f>'3.4.raw'!AD367</f>
        <v/>
      </c>
    </row>
    <row r="368">
      <c r="A368" s="23" t="str">
        <f t="shared" si="2"/>
        <v>PLc1125</v>
      </c>
      <c r="B368" s="23" t="str">
        <f>'3.4.raw'!M368</f>
        <v>PLc1125</v>
      </c>
      <c r="C368" s="24">
        <f>'3.4.raw'!T368</f>
        <v>43818</v>
      </c>
      <c r="D368" s="23">
        <f>'3.4.raw'!I368</f>
        <v>11</v>
      </c>
      <c r="E368" s="1">
        <v>3.4</v>
      </c>
      <c r="G368" s="23" t="b">
        <f>if(countif(Status!C:C,A368)=1,TRUE, FALSE)</f>
        <v>1</v>
      </c>
      <c r="H368" s="23" t="str">
        <f>'3.4.raw'!AD368</f>
        <v/>
      </c>
    </row>
    <row r="369">
      <c r="A369" s="23" t="str">
        <f t="shared" si="2"/>
        <v>UF1011</v>
      </c>
      <c r="B369" s="23" t="str">
        <f>'3.4.raw'!M369</f>
        <v>UF1011</v>
      </c>
      <c r="C369" s="24">
        <f>'3.4.raw'!T369</f>
        <v>43818</v>
      </c>
      <c r="D369" s="23">
        <f>'3.4.raw'!I369</f>
        <v>16</v>
      </c>
      <c r="E369" s="1">
        <v>3.4</v>
      </c>
      <c r="G369" s="23" t="b">
        <f>if(countif(Status!C:C,A369)=1,TRUE, FALSE)</f>
        <v>1</v>
      </c>
      <c r="H369" s="23" t="str">
        <f>'3.4.raw'!AD369</f>
        <v/>
      </c>
    </row>
    <row r="370">
      <c r="A370" s="23" t="str">
        <f t="shared" si="2"/>
        <v>UF1011F</v>
      </c>
      <c r="B370" s="23" t="str">
        <f>'3.4.raw'!M370</f>
        <v>UF1011F</v>
      </c>
      <c r="C370" s="24">
        <f>'3.4.raw'!T370</f>
        <v>43818</v>
      </c>
      <c r="D370" s="23">
        <f>'3.4.raw'!I370</f>
        <v>16</v>
      </c>
      <c r="E370" s="1">
        <v>3.4</v>
      </c>
      <c r="G370" s="23" t="b">
        <f>if(countif(Status!C:C,A370)=1,TRUE, FALSE)</f>
        <v>1</v>
      </c>
      <c r="H370" s="23" t="str">
        <f>'3.4.raw'!AD370</f>
        <v/>
      </c>
    </row>
    <row r="371">
      <c r="A371" s="23" t="str">
        <f t="shared" si="2"/>
        <v>PLc1126</v>
      </c>
      <c r="B371" s="23" t="str">
        <f>'3.4.raw'!M371</f>
        <v>PLc1126</v>
      </c>
      <c r="C371" s="24">
        <f>'3.4.raw'!T371</f>
        <v>43818</v>
      </c>
      <c r="D371" s="23">
        <f>'3.4.raw'!I371</f>
        <v>11</v>
      </c>
      <c r="E371" s="1">
        <v>3.4</v>
      </c>
      <c r="G371" s="23" t="b">
        <f>if(countif(Status!C:C,A371)=1,TRUE, FALSE)</f>
        <v>1</v>
      </c>
      <c r="H371" s="23" t="str">
        <f>'3.4.raw'!AD371</f>
        <v/>
      </c>
    </row>
    <row r="372">
      <c r="A372" s="23" t="str">
        <f t="shared" si="2"/>
        <v>PLc1127</v>
      </c>
      <c r="B372" s="23" t="str">
        <f>'3.4.raw'!M372</f>
        <v>PLc1127</v>
      </c>
      <c r="C372" s="24">
        <f>'3.4.raw'!T372</f>
        <v>43818</v>
      </c>
      <c r="D372" s="23">
        <f>'3.4.raw'!I372</f>
        <v>11</v>
      </c>
      <c r="E372" s="1">
        <v>3.4</v>
      </c>
      <c r="G372" s="23" t="b">
        <f>if(countif(Status!C:C,A372)=1,TRUE, FALSE)</f>
        <v>1</v>
      </c>
      <c r="H372" s="23" t="str">
        <f>'3.4.raw'!AD372</f>
        <v/>
      </c>
    </row>
    <row r="373">
      <c r="A373" s="23" t="str">
        <f t="shared" si="2"/>
        <v>PLc1128</v>
      </c>
      <c r="B373" s="23" t="str">
        <f>'3.4.raw'!M373</f>
        <v>PLc1128</v>
      </c>
      <c r="C373" s="24">
        <f>'3.4.raw'!T373</f>
        <v>43818</v>
      </c>
      <c r="D373" s="23">
        <f>'3.4.raw'!I373</f>
        <v>11</v>
      </c>
      <c r="E373" s="1">
        <v>3.4</v>
      </c>
      <c r="G373" s="23" t="b">
        <f>if(countif(Status!C:C,A373)=1,TRUE, FALSE)</f>
        <v>1</v>
      </c>
      <c r="H373" s="23" t="str">
        <f>'3.4.raw'!AD373</f>
        <v/>
      </c>
    </row>
    <row r="374">
      <c r="A374" s="23" t="str">
        <f t="shared" si="2"/>
        <v>PLc1129</v>
      </c>
      <c r="B374" s="23" t="str">
        <f>'3.4.raw'!M374</f>
        <v>PLc1129</v>
      </c>
      <c r="C374" s="24">
        <f>'3.4.raw'!T374</f>
        <v>43818</v>
      </c>
      <c r="D374" s="23">
        <f>'3.4.raw'!I374</f>
        <v>11</v>
      </c>
      <c r="E374" s="1">
        <v>3.4</v>
      </c>
      <c r="G374" s="23" t="b">
        <f>if(countif(Status!C:C,A374)=1,TRUE, FALSE)</f>
        <v>1</v>
      </c>
      <c r="H374" s="23" t="str">
        <f>'3.4.raw'!AD374</f>
        <v/>
      </c>
    </row>
    <row r="375">
      <c r="A375" s="23" t="str">
        <f t="shared" si="2"/>
        <v>PLc1130</v>
      </c>
      <c r="B375" s="23" t="str">
        <f>'3.4.raw'!M375</f>
        <v>PLc1130</v>
      </c>
      <c r="C375" s="24">
        <f>'3.4.raw'!T375</f>
        <v>43818</v>
      </c>
      <c r="D375" s="23">
        <f>'3.4.raw'!I375</f>
        <v>11</v>
      </c>
      <c r="E375" s="1">
        <v>3.4</v>
      </c>
      <c r="G375" s="23" t="b">
        <f>if(countif(Status!C:C,A375)=1,TRUE, FALSE)</f>
        <v>1</v>
      </c>
      <c r="H375" s="23" t="str">
        <f>'3.4.raw'!AD375</f>
        <v/>
      </c>
    </row>
    <row r="376">
      <c r="A376" s="23" t="str">
        <f t="shared" si="2"/>
        <v>FB1205</v>
      </c>
      <c r="B376" s="23" t="str">
        <f>'3.4.raw'!M376</f>
        <v>FB1205</v>
      </c>
      <c r="C376" s="24">
        <f>'3.4.raw'!T376</f>
        <v>43818</v>
      </c>
      <c r="D376" s="23">
        <f>'3.4.raw'!I376</f>
        <v>99</v>
      </c>
      <c r="E376" s="1">
        <v>3.4</v>
      </c>
      <c r="G376" s="23" t="b">
        <f>if(countif(Status!C:C,A376)=1,TRUE, FALSE)</f>
        <v>1</v>
      </c>
      <c r="H376" s="23" t="str">
        <f>'3.4.raw'!AD376</f>
        <v>Associated sample PLc1130</v>
      </c>
    </row>
    <row r="377">
      <c r="A377" s="23" t="str">
        <f t="shared" si="2"/>
        <v>MO1132</v>
      </c>
      <c r="B377" s="23" t="str">
        <f>'3.4.raw'!M377</f>
        <v>MO1132</v>
      </c>
      <c r="C377" s="24">
        <f>'3.4.raw'!T377</f>
        <v>43818</v>
      </c>
      <c r="D377" s="23">
        <f>'3.4.raw'!I377</f>
        <v>12</v>
      </c>
      <c r="E377" s="1">
        <v>3.4</v>
      </c>
      <c r="G377" s="23" t="b">
        <f>if(countif(Status!C:C,A377)=1,TRUE, FALSE)</f>
        <v>1</v>
      </c>
      <c r="H377" s="23" t="str">
        <f>'3.4.raw'!AD377</f>
        <v/>
      </c>
    </row>
    <row r="378">
      <c r="A378" s="23" t="str">
        <f t="shared" si="2"/>
        <v>MO1133</v>
      </c>
      <c r="B378" s="23" t="str">
        <f>'3.4.raw'!M378</f>
        <v>MO1133</v>
      </c>
      <c r="C378" s="24">
        <f>'3.4.raw'!T378</f>
        <v>43818</v>
      </c>
      <c r="D378" s="23">
        <f>'3.4.raw'!I378</f>
        <v>12</v>
      </c>
      <c r="E378" s="1">
        <v>3.4</v>
      </c>
      <c r="G378" s="23" t="b">
        <f>if(countif(Status!C:C,A378)=1,TRUE, FALSE)</f>
        <v>1</v>
      </c>
      <c r="H378" s="23" t="str">
        <f>'3.4.raw'!AD378</f>
        <v/>
      </c>
    </row>
    <row r="379">
      <c r="A379" s="23" t="str">
        <f t="shared" si="2"/>
        <v>PLc1131</v>
      </c>
      <c r="B379" s="23" t="str">
        <f>'3.4.raw'!M379</f>
        <v>PLc1131</v>
      </c>
      <c r="C379" s="24">
        <f>'3.4.raw'!T379</f>
        <v>43818</v>
      </c>
      <c r="D379" s="23">
        <f>'3.4.raw'!I379</f>
        <v>11</v>
      </c>
      <c r="E379" s="1">
        <v>3.4</v>
      </c>
      <c r="G379" s="23" t="b">
        <f>if(countif(Status!C:C,A379)=1,TRUE, FALSE)</f>
        <v>1</v>
      </c>
      <c r="H379" s="23" t="str">
        <f>'3.4.raw'!AD379</f>
        <v/>
      </c>
    </row>
    <row r="380">
      <c r="A380" s="23" t="str">
        <f t="shared" si="2"/>
        <v>FB1206</v>
      </c>
      <c r="B380" s="23" t="str">
        <f>'3.4.raw'!M380</f>
        <v>FB1206</v>
      </c>
      <c r="C380" s="24">
        <f>'3.4.raw'!T380</f>
        <v>43818</v>
      </c>
      <c r="D380" s="23">
        <f>'3.4.raw'!I380</f>
        <v>99</v>
      </c>
      <c r="E380" s="1">
        <v>3.4</v>
      </c>
      <c r="G380" s="23" t="b">
        <f>if(countif(Status!C:C,A380)=1,TRUE, FALSE)</f>
        <v>1</v>
      </c>
      <c r="H380" s="23" t="str">
        <f>'3.4.raw'!AD380</f>
        <v>Associated sample PLc1131</v>
      </c>
    </row>
    <row r="381">
      <c r="A381" s="23" t="str">
        <f t="shared" si="2"/>
        <v>PLc1132</v>
      </c>
      <c r="B381" s="23" t="str">
        <f>'3.4.raw'!M381</f>
        <v>PLc1132</v>
      </c>
      <c r="C381" s="24">
        <f>'3.4.raw'!T381</f>
        <v>43818</v>
      </c>
      <c r="D381" s="23">
        <f>'3.4.raw'!I381</f>
        <v>11</v>
      </c>
      <c r="E381" s="1">
        <v>3.4</v>
      </c>
      <c r="G381" s="23" t="b">
        <f>if(countif(Status!C:C,A381)=1,TRUE, FALSE)</f>
        <v>1</v>
      </c>
      <c r="H381" s="23" t="str">
        <f>'3.4.raw'!AD381</f>
        <v/>
      </c>
    </row>
    <row r="382">
      <c r="A382" s="23" t="str">
        <f t="shared" si="2"/>
        <v>PLc1133</v>
      </c>
      <c r="B382" s="23" t="str">
        <f>'3.4.raw'!M382</f>
        <v>PLc1133</v>
      </c>
      <c r="C382" s="24">
        <f>'3.4.raw'!T382</f>
        <v>43818</v>
      </c>
      <c r="D382" s="23">
        <f>'3.4.raw'!I382</f>
        <v>11</v>
      </c>
      <c r="E382" s="1">
        <v>3.4</v>
      </c>
      <c r="G382" s="23" t="b">
        <f>if(countif(Status!C:C,A382)=1,TRUE, FALSE)</f>
        <v>1</v>
      </c>
      <c r="H382" s="23" t="str">
        <f>'3.4.raw'!AD382</f>
        <v/>
      </c>
    </row>
    <row r="383">
      <c r="A383" s="23" t="str">
        <f t="shared" si="2"/>
        <v>PLc1134</v>
      </c>
      <c r="B383" s="23" t="str">
        <f>'3.4.raw'!M383</f>
        <v>PLc1134</v>
      </c>
      <c r="C383" s="24">
        <f>'3.4.raw'!T383</f>
        <v>43818</v>
      </c>
      <c r="D383" s="23">
        <f>'3.4.raw'!I383</f>
        <v>11</v>
      </c>
      <c r="E383" s="1">
        <v>3.4</v>
      </c>
      <c r="G383" s="23" t="b">
        <f>if(countif(Status!C:C,A383)=1,TRUE, FALSE)</f>
        <v>1</v>
      </c>
      <c r="H383" s="23" t="str">
        <f>'3.4.raw'!AD383</f>
        <v/>
      </c>
    </row>
    <row r="384">
      <c r="A384" s="23" t="str">
        <f t="shared" si="2"/>
        <v>PLc1135</v>
      </c>
      <c r="B384" s="23" t="str">
        <f>'3.4.raw'!M384</f>
        <v>PLc1135</v>
      </c>
      <c r="C384" s="24">
        <f>'3.4.raw'!T384</f>
        <v>43818</v>
      </c>
      <c r="D384" s="23">
        <f>'3.4.raw'!I384</f>
        <v>11</v>
      </c>
      <c r="E384" s="1">
        <v>3.4</v>
      </c>
      <c r="G384" s="23" t="b">
        <f>if(countif(Status!C:C,A384)=1,TRUE, FALSE)</f>
        <v>1</v>
      </c>
      <c r="H384" s="23" t="str">
        <f>'3.4.raw'!AD384</f>
        <v/>
      </c>
    </row>
    <row r="385">
      <c r="A385" s="23" t="str">
        <f t="shared" si="2"/>
        <v>PLc1136</v>
      </c>
      <c r="B385" s="23" t="str">
        <f>'3.4.raw'!M385</f>
        <v>PLc1136</v>
      </c>
      <c r="C385" s="24">
        <f>'3.4.raw'!T385</f>
        <v>43818</v>
      </c>
      <c r="D385" s="23">
        <f>'3.4.raw'!I385</f>
        <v>11</v>
      </c>
      <c r="E385" s="1">
        <v>3.4</v>
      </c>
      <c r="G385" s="23" t="b">
        <f>if(countif(Status!C:C,A385)=1,TRUE, FALSE)</f>
        <v>1</v>
      </c>
      <c r="H385" s="23" t="str">
        <f>'3.4.raw'!AD385</f>
        <v/>
      </c>
    </row>
    <row r="386">
      <c r="A386" s="23" t="str">
        <f t="shared" si="2"/>
        <v>FB1211UP</v>
      </c>
      <c r="B386" s="23" t="str">
        <f>'3.4.raw'!M386</f>
        <v>FB1211UP</v>
      </c>
      <c r="C386" s="24">
        <f>'3.4.raw'!T386</f>
        <v>43818</v>
      </c>
      <c r="D386" s="23">
        <f>'3.4.raw'!I386</f>
        <v>99</v>
      </c>
      <c r="E386" s="1">
        <v>3.4</v>
      </c>
      <c r="G386" s="23" t="b">
        <f>if(countif(Status!C:C,A386)=1,TRUE, FALSE)</f>
        <v>1</v>
      </c>
      <c r="H386" s="23" t="str">
        <f>'3.4.raw'!AD386</f>
        <v>Associated sample PLc1136</v>
      </c>
    </row>
    <row r="387">
      <c r="A387" s="23" t="str">
        <f t="shared" si="2"/>
        <v>PLc1137</v>
      </c>
      <c r="B387" s="23" t="str">
        <f>'3.4.raw'!M387</f>
        <v>PLc1137</v>
      </c>
      <c r="C387" s="24">
        <f>'3.4.raw'!T387</f>
        <v>43818</v>
      </c>
      <c r="D387" s="23">
        <f>'3.4.raw'!I387</f>
        <v>11</v>
      </c>
      <c r="E387" s="1">
        <v>3.4</v>
      </c>
      <c r="G387" s="23" t="b">
        <f>if(countif(Status!C:C,A387)=1,TRUE, FALSE)</f>
        <v>1</v>
      </c>
      <c r="H387" s="23" t="str">
        <f>'3.4.raw'!AD387</f>
        <v/>
      </c>
    </row>
    <row r="388">
      <c r="A388" s="23" t="str">
        <f t="shared" si="2"/>
        <v>PLc1138</v>
      </c>
      <c r="B388" s="23" t="str">
        <f>'3.4.raw'!M388</f>
        <v>PLc1138</v>
      </c>
      <c r="C388" s="24">
        <f>'3.4.raw'!T388</f>
        <v>43818</v>
      </c>
      <c r="D388" s="23">
        <f>'3.4.raw'!I388</f>
        <v>11</v>
      </c>
      <c r="E388" s="1">
        <v>3.4</v>
      </c>
      <c r="G388" s="23" t="b">
        <f>if(countif(Status!C:C,A388)=1,TRUE, FALSE)</f>
        <v>1</v>
      </c>
      <c r="H388" s="23" t="str">
        <f>'3.4.raw'!AD388</f>
        <v/>
      </c>
    </row>
    <row r="389">
      <c r="A389" s="23" t="str">
        <f t="shared" si="2"/>
        <v>PLc1139</v>
      </c>
      <c r="B389" s="23" t="str">
        <f>'3.4.raw'!M389</f>
        <v>PLc1139</v>
      </c>
      <c r="C389" s="24">
        <f>'3.4.raw'!T389</f>
        <v>43818</v>
      </c>
      <c r="D389" s="23">
        <f>'3.4.raw'!I389</f>
        <v>11</v>
      </c>
      <c r="E389" s="1">
        <v>3.4</v>
      </c>
      <c r="G389" s="23" t="b">
        <f>if(countif(Status!C:C,A389)=1,TRUE, FALSE)</f>
        <v>1</v>
      </c>
      <c r="H389" s="23" t="str">
        <f>'3.4.raw'!AD389</f>
        <v/>
      </c>
    </row>
    <row r="390">
      <c r="A390" s="23" t="str">
        <f t="shared" si="2"/>
        <v>MO1134</v>
      </c>
      <c r="B390" s="23" t="str">
        <f>'3.4.raw'!M390</f>
        <v>MO1134</v>
      </c>
      <c r="C390" s="24">
        <f>'3.4.raw'!T390</f>
        <v>43818</v>
      </c>
      <c r="D390" s="23">
        <f>'3.4.raw'!I390</f>
        <v>12</v>
      </c>
      <c r="E390" s="1">
        <v>3.4</v>
      </c>
      <c r="G390" s="23" t="b">
        <f>if(countif(Status!C:C,A390)=1,TRUE, FALSE)</f>
        <v>1</v>
      </c>
      <c r="H390" s="23" t="str">
        <f>'3.4.raw'!AD390</f>
        <v/>
      </c>
    </row>
    <row r="391">
      <c r="A391" s="23" t="str">
        <f t="shared" si="2"/>
        <v>MO1135</v>
      </c>
      <c r="B391" s="23" t="str">
        <f>'3.4.raw'!M391</f>
        <v>MO1135</v>
      </c>
      <c r="C391" s="24">
        <f>'3.4.raw'!T391</f>
        <v>43818</v>
      </c>
      <c r="D391" s="23">
        <f>'3.4.raw'!I391</f>
        <v>12</v>
      </c>
      <c r="E391" s="1">
        <v>3.4</v>
      </c>
      <c r="G391" s="23" t="b">
        <f>if(countif(Status!C:C,A391)=1,TRUE, FALSE)</f>
        <v>1</v>
      </c>
      <c r="H391" s="23" t="str">
        <f>'3.4.raw'!AD391</f>
        <v/>
      </c>
    </row>
    <row r="392">
      <c r="A392" s="23" t="str">
        <f t="shared" si="2"/>
        <v>PLc1140</v>
      </c>
      <c r="B392" s="23" t="str">
        <f>'3.4.raw'!M392</f>
        <v>PLc1140</v>
      </c>
      <c r="C392" s="24">
        <f>'3.4.raw'!T392</f>
        <v>43818</v>
      </c>
      <c r="D392" s="23">
        <f>'3.4.raw'!I392</f>
        <v>11</v>
      </c>
      <c r="E392" s="1">
        <v>3.4</v>
      </c>
      <c r="G392" s="23" t="b">
        <f>if(countif(Status!C:C,A392)=1,TRUE, FALSE)</f>
        <v>1</v>
      </c>
      <c r="H392" s="23" t="str">
        <f>'3.4.raw'!AD392</f>
        <v/>
      </c>
    </row>
    <row r="393">
      <c r="A393" s="23" t="str">
        <f t="shared" si="2"/>
        <v>PLc1141</v>
      </c>
      <c r="B393" s="23" t="str">
        <f>'3.4.raw'!M393</f>
        <v>PLc1141</v>
      </c>
      <c r="C393" s="24">
        <f>'3.4.raw'!T393</f>
        <v>43818</v>
      </c>
      <c r="D393" s="23">
        <f>'3.4.raw'!I393</f>
        <v>11</v>
      </c>
      <c r="E393" s="1">
        <v>3.4</v>
      </c>
      <c r="G393" s="23" t="b">
        <f>if(countif(Status!C:C,A393)=1,TRUE, FALSE)</f>
        <v>1</v>
      </c>
      <c r="H393" s="23" t="str">
        <f>'3.4.raw'!AD393</f>
        <v/>
      </c>
    </row>
    <row r="394">
      <c r="A394" s="23" t="str">
        <f t="shared" si="2"/>
        <v>PLc1142</v>
      </c>
      <c r="B394" s="23" t="str">
        <f>'3.4.raw'!M394</f>
        <v>PLc1142</v>
      </c>
      <c r="C394" s="24">
        <f>'3.4.raw'!T394</f>
        <v>43818</v>
      </c>
      <c r="D394" s="23">
        <f>'3.4.raw'!I394</f>
        <v>11</v>
      </c>
      <c r="E394" s="1">
        <v>3.4</v>
      </c>
      <c r="G394" s="23" t="b">
        <f>if(countif(Status!C:C,A394)=1,TRUE, FALSE)</f>
        <v>1</v>
      </c>
      <c r="H394" s="23" t="str">
        <f>'3.4.raw'!AD394</f>
        <v/>
      </c>
    </row>
    <row r="395">
      <c r="A395" s="23" t="str">
        <f t="shared" si="2"/>
        <v>PLc1143</v>
      </c>
      <c r="B395" s="23" t="str">
        <f>'3.4.raw'!M395</f>
        <v>PLc1143</v>
      </c>
      <c r="C395" s="24">
        <f>'3.4.raw'!T395</f>
        <v>43818</v>
      </c>
      <c r="D395" s="23">
        <f>'3.4.raw'!I395</f>
        <v>11</v>
      </c>
      <c r="E395" s="1">
        <v>3.4</v>
      </c>
      <c r="G395" s="23" t="b">
        <f>if(countif(Status!C:C,A395)=1,TRUE, FALSE)</f>
        <v>1</v>
      </c>
      <c r="H395" s="23" t="str">
        <f>'3.4.raw'!AD395</f>
        <v/>
      </c>
    </row>
    <row r="396">
      <c r="A396" s="23" t="str">
        <f t="shared" si="2"/>
        <v>FB1220</v>
      </c>
      <c r="B396" s="23" t="str">
        <f>'3.4.raw'!M396</f>
        <v>FB1220</v>
      </c>
      <c r="C396" s="24">
        <f>'3.4.raw'!T396</f>
        <v>43818</v>
      </c>
      <c r="D396" s="23">
        <f>'3.4.raw'!I396</f>
        <v>99</v>
      </c>
      <c r="E396" s="1">
        <v>3.4</v>
      </c>
      <c r="G396" s="23" t="b">
        <f>if(countif(Status!C:C,A396)=1,TRUE, FALSE)</f>
        <v>1</v>
      </c>
      <c r="H396" s="23" t="str">
        <f>'3.4.raw'!AD396</f>
        <v>Associated sample PLc1143</v>
      </c>
    </row>
    <row r="397">
      <c r="A397" s="23" t="str">
        <f t="shared" si="2"/>
        <v>UF1012</v>
      </c>
      <c r="B397" s="23" t="str">
        <f>'3.4.raw'!M397</f>
        <v>UF1012</v>
      </c>
      <c r="C397" s="24">
        <f>'3.4.raw'!T397</f>
        <v>43818</v>
      </c>
      <c r="D397" s="23">
        <f>'3.4.raw'!I397</f>
        <v>16</v>
      </c>
      <c r="E397" s="1">
        <v>3.4</v>
      </c>
      <c r="G397" s="23" t="b">
        <f>if(countif(Status!C:C,A397)=1,TRUE, FALSE)</f>
        <v>1</v>
      </c>
      <c r="H397" s="23" t="str">
        <f>'3.4.raw'!AD397</f>
        <v/>
      </c>
    </row>
    <row r="398">
      <c r="A398" s="49" t="s">
        <v>344</v>
      </c>
      <c r="B398" s="23" t="str">
        <f>'3.4.raw'!M398</f>
        <v>UF1012</v>
      </c>
      <c r="C398" s="24">
        <f>'3.4.raw'!T398</f>
        <v>43818</v>
      </c>
      <c r="D398" s="23">
        <f>'3.4.raw'!I398</f>
        <v>16</v>
      </c>
      <c r="E398" s="1">
        <v>3.4</v>
      </c>
      <c r="G398" s="23" t="b">
        <f>if(countif(Status!C:C,A398)=1,TRUE, FALSE)</f>
        <v>1</v>
      </c>
      <c r="H398" s="23" t="str">
        <f>'3.4.raw'!AD398</f>
        <v/>
      </c>
    </row>
    <row r="399">
      <c r="A399" s="23" t="str">
        <f t="shared" ref="A399:A475" si="3">B399</f>
        <v>MO1083</v>
      </c>
      <c r="B399" s="23" t="str">
        <f>'3.4.raw'!M399</f>
        <v>MO1083</v>
      </c>
      <c r="C399" s="24">
        <f>'3.4.raw'!T399</f>
        <v>43721</v>
      </c>
      <c r="D399" s="23">
        <f>'3.4.raw'!I399</f>
        <v>12</v>
      </c>
      <c r="E399" s="1">
        <v>3.4</v>
      </c>
      <c r="G399" s="23" t="b">
        <f>if(countif(Status!C:C,A399)=1,TRUE, FALSE)</f>
        <v>1</v>
      </c>
      <c r="H399" s="23" t="str">
        <f>'3.4.raw'!AD399</f>
        <v/>
      </c>
    </row>
    <row r="400">
      <c r="A400" s="23" t="str">
        <f t="shared" si="3"/>
        <v>MO1083D</v>
      </c>
      <c r="B400" s="23" t="str">
        <f>'3.4.raw'!M400</f>
        <v>MO1083D</v>
      </c>
      <c r="C400" s="24">
        <f>'3.4.raw'!T400</f>
        <v>43721</v>
      </c>
      <c r="D400" s="23">
        <f>'3.4.raw'!I400</f>
        <v>12</v>
      </c>
      <c r="E400" s="1">
        <v>3.4</v>
      </c>
      <c r="G400" s="23" t="b">
        <f>if(countif(Status!C:C,A400)=1,TRUE, FALSE)</f>
        <v>0</v>
      </c>
      <c r="H400" s="23" t="str">
        <f>'3.4.raw'!AD400</f>
        <v/>
      </c>
    </row>
    <row r="401">
      <c r="A401" s="23" t="str">
        <f t="shared" si="3"/>
        <v>MO1084</v>
      </c>
      <c r="B401" s="23" t="str">
        <f>'3.4.raw'!M401</f>
        <v>MO1084</v>
      </c>
      <c r="C401" s="24">
        <f>'3.4.raw'!T401</f>
        <v>43721</v>
      </c>
      <c r="D401" s="23">
        <f>'3.4.raw'!I401</f>
        <v>12</v>
      </c>
      <c r="E401" s="1">
        <v>3.4</v>
      </c>
      <c r="G401" s="23" t="b">
        <f>if(countif(Status!C:C,A401)=1,TRUE, FALSE)</f>
        <v>1</v>
      </c>
      <c r="H401" s="23" t="str">
        <f>'3.4.raw'!AD401</f>
        <v/>
      </c>
    </row>
    <row r="402">
      <c r="A402" s="23" t="str">
        <f t="shared" si="3"/>
        <v>MO1084D</v>
      </c>
      <c r="B402" s="23" t="str">
        <f>'3.4.raw'!M402</f>
        <v>MO1084D</v>
      </c>
      <c r="C402" s="24">
        <f>'3.4.raw'!T402</f>
        <v>43721</v>
      </c>
      <c r="D402" s="23">
        <f>'3.4.raw'!I402</f>
        <v>12</v>
      </c>
      <c r="E402" s="1">
        <v>3.4</v>
      </c>
      <c r="G402" s="23" t="b">
        <f>if(countif(Status!C:C,A402)=1,TRUE, FALSE)</f>
        <v>0</v>
      </c>
      <c r="H402" s="23" t="str">
        <f>'3.4.raw'!AD402</f>
        <v/>
      </c>
    </row>
    <row r="403">
      <c r="A403" s="23" t="str">
        <f t="shared" si="3"/>
        <v>MO1085</v>
      </c>
      <c r="B403" s="23" t="str">
        <f>'3.4.raw'!M403</f>
        <v>MO1085</v>
      </c>
      <c r="C403" s="24">
        <f>'3.4.raw'!T403</f>
        <v>43721</v>
      </c>
      <c r="D403" s="23">
        <f>'3.4.raw'!I403</f>
        <v>12</v>
      </c>
      <c r="E403" s="1">
        <v>3.4</v>
      </c>
      <c r="G403" s="23" t="b">
        <f>if(countif(Status!C:C,A403)=1,TRUE, FALSE)</f>
        <v>1</v>
      </c>
      <c r="H403" s="23" t="str">
        <f>'3.4.raw'!AD403</f>
        <v/>
      </c>
    </row>
    <row r="404">
      <c r="A404" s="23" t="str">
        <f t="shared" si="3"/>
        <v>MO1085D</v>
      </c>
      <c r="B404" s="23" t="str">
        <f>'3.4.raw'!M404</f>
        <v>MO1085D</v>
      </c>
      <c r="C404" s="24">
        <f>'3.4.raw'!T404</f>
        <v>43721</v>
      </c>
      <c r="D404" s="23">
        <f>'3.4.raw'!I404</f>
        <v>12</v>
      </c>
      <c r="E404" s="1">
        <v>3.4</v>
      </c>
      <c r="G404" s="23" t="b">
        <f>if(countif(Status!C:C,A404)=1,TRUE, FALSE)</f>
        <v>0</v>
      </c>
      <c r="H404" s="23" t="str">
        <f>'3.4.raw'!AD404</f>
        <v/>
      </c>
    </row>
    <row r="405">
      <c r="A405" s="23" t="str">
        <f t="shared" si="3"/>
        <v>MO1086</v>
      </c>
      <c r="B405" s="23" t="str">
        <f>'3.4.raw'!M405</f>
        <v>MO1086</v>
      </c>
      <c r="C405" s="24">
        <f>'3.4.raw'!T405</f>
        <v>43721</v>
      </c>
      <c r="D405" s="23">
        <f>'3.4.raw'!I405</f>
        <v>12</v>
      </c>
      <c r="E405" s="1">
        <v>3.4</v>
      </c>
      <c r="G405" s="23" t="b">
        <f>if(countif(Status!C:C,A405)=1,TRUE, FALSE)</f>
        <v>1</v>
      </c>
      <c r="H405" s="23" t="str">
        <f>'3.4.raw'!AD405</f>
        <v/>
      </c>
    </row>
    <row r="406">
      <c r="A406" s="23" t="str">
        <f t="shared" si="3"/>
        <v>MO1086D</v>
      </c>
      <c r="B406" s="23" t="str">
        <f>'3.4.raw'!M406</f>
        <v>MO1086D</v>
      </c>
      <c r="C406" s="24">
        <f>'3.4.raw'!T406</f>
        <v>43721</v>
      </c>
      <c r="D406" s="23">
        <f>'3.4.raw'!I406</f>
        <v>12</v>
      </c>
      <c r="E406" s="1">
        <v>3.4</v>
      </c>
      <c r="G406" s="23" t="b">
        <f>if(countif(Status!C:C,A406)=1,TRUE, FALSE)</f>
        <v>0</v>
      </c>
      <c r="H406" s="23" t="str">
        <f>'3.4.raw'!AD406</f>
        <v/>
      </c>
    </row>
    <row r="407">
      <c r="A407" s="23" t="str">
        <f t="shared" si="3"/>
        <v>FB1019UP</v>
      </c>
      <c r="B407" s="23" t="str">
        <f>'3.4.raw'!M407</f>
        <v>FB1019UP</v>
      </c>
      <c r="C407" s="24">
        <f>'3.4.raw'!T407</f>
        <v>43721</v>
      </c>
      <c r="D407" s="23">
        <f>'3.4.raw'!I407</f>
        <v>99</v>
      </c>
      <c r="E407" s="1">
        <v>3.4</v>
      </c>
      <c r="G407" s="23" t="b">
        <f>if(countif(Status!C:C,A407)=1,TRUE, FALSE)</f>
        <v>1</v>
      </c>
      <c r="H407" s="23" t="str">
        <f>'3.4.raw'!AD407</f>
        <v>Associated sample MO1084</v>
      </c>
    </row>
    <row r="408">
      <c r="A408" s="23" t="str">
        <f t="shared" si="3"/>
        <v>FW1001</v>
      </c>
      <c r="B408" s="23" t="str">
        <f>'3.4.raw'!M408</f>
        <v>FW1001</v>
      </c>
      <c r="C408" s="24">
        <f>'3.4.raw'!T408</f>
        <v>43721</v>
      </c>
      <c r="D408" s="23">
        <f>'3.4.raw'!I408</f>
        <v>6</v>
      </c>
      <c r="E408" s="1">
        <v>3.4</v>
      </c>
      <c r="G408" s="23" t="b">
        <f>if(countif(Status!C:C,A408)=1,TRUE, FALSE)</f>
        <v>1</v>
      </c>
      <c r="H408" s="23" t="str">
        <f>'3.4.raw'!AD408</f>
        <v/>
      </c>
    </row>
    <row r="409">
      <c r="A409" s="23" t="str">
        <f t="shared" si="3"/>
        <v>OD1004</v>
      </c>
      <c r="B409" s="23" t="str">
        <f>'3.4.raw'!M409</f>
        <v>OD1004</v>
      </c>
      <c r="C409" s="24">
        <f>'3.4.raw'!T409</f>
        <v>43721</v>
      </c>
      <c r="D409" s="23">
        <f>'3.4.raw'!I409</f>
        <v>1</v>
      </c>
      <c r="E409" s="1">
        <v>3.4</v>
      </c>
      <c r="G409" s="23" t="b">
        <f>if(countif(Status!C:C,A409)=1,TRUE, FALSE)</f>
        <v>1</v>
      </c>
      <c r="H409" s="23" t="str">
        <f>'3.4.raw'!AD409</f>
        <v/>
      </c>
    </row>
    <row r="410">
      <c r="A410" s="23" t="str">
        <f t="shared" si="3"/>
        <v>OD1005</v>
      </c>
      <c r="B410" s="23" t="str">
        <f>'3.4.raw'!M410</f>
        <v>OD1005</v>
      </c>
      <c r="C410" s="24">
        <f>'3.4.raw'!T410</f>
        <v>43721</v>
      </c>
      <c r="D410" s="23">
        <f>'3.4.raw'!I410</f>
        <v>1</v>
      </c>
      <c r="E410" s="1">
        <v>3.4</v>
      </c>
      <c r="G410" s="23" t="b">
        <f>if(countif(Status!C:C,A410)=1,TRUE, FALSE)</f>
        <v>1</v>
      </c>
      <c r="H410" s="23" t="str">
        <f>'3.4.raw'!AD410</f>
        <v/>
      </c>
    </row>
    <row r="411">
      <c r="A411" s="23" t="str">
        <f t="shared" si="3"/>
        <v>FB1020UP</v>
      </c>
      <c r="B411" s="23" t="str">
        <f>'3.4.raw'!M411</f>
        <v>FB1020UP</v>
      </c>
      <c r="C411" s="24">
        <f>'3.4.raw'!T411</f>
        <v>43721</v>
      </c>
      <c r="D411" s="23">
        <f>'3.4.raw'!I411</f>
        <v>99</v>
      </c>
      <c r="E411" s="1">
        <v>3.4</v>
      </c>
      <c r="G411" s="23" t="b">
        <f>if(countif(Status!C:C,A411)=1,TRUE, FALSE)</f>
        <v>1</v>
      </c>
      <c r="H411" s="23" t="str">
        <f>'3.4.raw'!AD411</f>
        <v>Associated sample FW1001, OD1004, OD1005</v>
      </c>
    </row>
    <row r="412">
      <c r="A412" s="23" t="str">
        <f t="shared" si="3"/>
        <v>PL1018</v>
      </c>
      <c r="B412" s="23" t="str">
        <f>'3.4.raw'!M412</f>
        <v>PL1018</v>
      </c>
      <c r="C412" s="24">
        <f>'3.4.raw'!T412</f>
        <v>43721</v>
      </c>
      <c r="D412" s="23">
        <f>'3.4.raw'!I412</f>
        <v>7</v>
      </c>
      <c r="E412" s="1">
        <v>3.4</v>
      </c>
      <c r="G412" s="23" t="b">
        <f>if(countif(Status!C:C,A412)=1,TRUE, FALSE)</f>
        <v>1</v>
      </c>
      <c r="H412" s="23" t="str">
        <f>'3.4.raw'!AD412</f>
        <v/>
      </c>
    </row>
    <row r="413">
      <c r="A413" s="23" t="str">
        <f t="shared" si="3"/>
        <v>PL1018FL</v>
      </c>
      <c r="B413" s="23" t="str">
        <f>'3.4.raw'!M413</f>
        <v>PL1018FL</v>
      </c>
      <c r="C413" s="24" t="str">
        <f>'3.4.raw'!T413</f>
        <v/>
      </c>
      <c r="D413" s="23">
        <f>'3.4.raw'!I413</f>
        <v>7</v>
      </c>
      <c r="E413" s="1">
        <v>3.4</v>
      </c>
      <c r="G413" s="23" t="b">
        <f>if(countif(Status!C:C,A413)=1,TRUE, FALSE)</f>
        <v>0</v>
      </c>
      <c r="H413" s="23" t="str">
        <f>'3.4.raw'!AD413</f>
        <v/>
      </c>
    </row>
    <row r="414">
      <c r="A414" s="23" t="str">
        <f t="shared" si="3"/>
        <v>FB1021UP</v>
      </c>
      <c r="B414" s="23" t="str">
        <f>'3.4.raw'!M414</f>
        <v>FB1021UP</v>
      </c>
      <c r="C414" s="24">
        <f>'3.4.raw'!T414</f>
        <v>43721</v>
      </c>
      <c r="D414" s="23">
        <f>'3.4.raw'!I414</f>
        <v>99</v>
      </c>
      <c r="E414" s="1">
        <v>3.4</v>
      </c>
      <c r="G414" s="23" t="b">
        <f>if(countif(Status!C:C,A414)=1,TRUE, FALSE)</f>
        <v>1</v>
      </c>
      <c r="H414" s="23" t="str">
        <f>'3.4.raw'!AD414</f>
        <v>Associated sample PL1018</v>
      </c>
    </row>
    <row r="415">
      <c r="A415" s="23" t="str">
        <f t="shared" si="3"/>
        <v>COa9901</v>
      </c>
      <c r="B415" s="23" t="str">
        <f>'3.4.raw'!M415</f>
        <v>COa9901</v>
      </c>
      <c r="C415" s="24">
        <f>'3.4.raw'!T415</f>
        <v>43721</v>
      </c>
      <c r="D415" s="23">
        <f>'3.4.raw'!I415</f>
        <v>15</v>
      </c>
      <c r="E415" s="1">
        <v>3.4</v>
      </c>
      <c r="G415" s="23" t="b">
        <f>if(countif(Status!C:C,A415)=1,TRUE, FALSE)</f>
        <v>0</v>
      </c>
      <c r="H415" s="23" t="str">
        <f>'3.4.raw'!AD415</f>
        <v/>
      </c>
    </row>
    <row r="416">
      <c r="A416" s="23" t="str">
        <f t="shared" si="3"/>
        <v>COb9901</v>
      </c>
      <c r="B416" s="23" t="str">
        <f>'3.4.raw'!M416</f>
        <v>COb9901</v>
      </c>
      <c r="C416" s="24">
        <f>'3.4.raw'!T416</f>
        <v>43721</v>
      </c>
      <c r="D416" s="23">
        <f>'3.4.raw'!I416</f>
        <v>15</v>
      </c>
      <c r="E416" s="1">
        <v>3.4</v>
      </c>
      <c r="G416" s="23" t="b">
        <f>if(countif(Status!C:C,A416)=1,TRUE, FALSE)</f>
        <v>0</v>
      </c>
      <c r="H416" s="23" t="str">
        <f>'3.4.raw'!AD416</f>
        <v/>
      </c>
    </row>
    <row r="417">
      <c r="A417" s="23" t="str">
        <f t="shared" si="3"/>
        <v>COa9902</v>
      </c>
      <c r="B417" s="23" t="str">
        <f>'3.4.raw'!M417</f>
        <v>COa9902</v>
      </c>
      <c r="C417" s="24">
        <f>'3.4.raw'!T417</f>
        <v>43721</v>
      </c>
      <c r="D417" s="23">
        <f>'3.4.raw'!I417</f>
        <v>15</v>
      </c>
      <c r="E417" s="1">
        <v>3.4</v>
      </c>
      <c r="G417" s="23" t="b">
        <f>if(countif(Status!C:C,A417)=1,TRUE, FALSE)</f>
        <v>0</v>
      </c>
      <c r="H417" s="23" t="str">
        <f>'3.4.raw'!AD417</f>
        <v/>
      </c>
    </row>
    <row r="418">
      <c r="A418" s="23" t="str">
        <f t="shared" si="3"/>
        <v>COb9902</v>
      </c>
      <c r="B418" s="23" t="str">
        <f>'3.4.raw'!M418</f>
        <v>COb9902</v>
      </c>
      <c r="C418" s="24">
        <f>'3.4.raw'!T418</f>
        <v>43721</v>
      </c>
      <c r="D418" s="23">
        <f>'3.4.raw'!I418</f>
        <v>15</v>
      </c>
      <c r="E418" s="1">
        <v>3.4</v>
      </c>
      <c r="G418" s="23" t="b">
        <f>if(countif(Status!C:C,A418)=1,TRUE, FALSE)</f>
        <v>0</v>
      </c>
      <c r="H418" s="23" t="str">
        <f>'3.4.raw'!AD418</f>
        <v/>
      </c>
    </row>
    <row r="419">
      <c r="A419" s="23" t="str">
        <f t="shared" si="3"/>
        <v>MO1087</v>
      </c>
      <c r="B419" s="23" t="str">
        <f>'3.4.raw'!M419</f>
        <v>MO1087</v>
      </c>
      <c r="C419" s="24">
        <f>'3.4.raw'!T419</f>
        <v>43721</v>
      </c>
      <c r="D419" s="23">
        <f>'3.4.raw'!I419</f>
        <v>12</v>
      </c>
      <c r="E419" s="1">
        <v>3.4</v>
      </c>
      <c r="G419" s="23" t="b">
        <f>if(countif(Status!C:C,A419)=1,TRUE, FALSE)</f>
        <v>1</v>
      </c>
      <c r="H419" s="23" t="str">
        <f>'3.4.raw'!AD419</f>
        <v/>
      </c>
    </row>
    <row r="420">
      <c r="A420" s="23" t="str">
        <f t="shared" si="3"/>
        <v>MO1088</v>
      </c>
      <c r="B420" s="23" t="str">
        <f>'3.4.raw'!M420</f>
        <v>MO1088</v>
      </c>
      <c r="C420" s="24">
        <f>'3.4.raw'!T420</f>
        <v>43721</v>
      </c>
      <c r="D420" s="23">
        <f>'3.4.raw'!I420</f>
        <v>12</v>
      </c>
      <c r="E420" s="1">
        <v>3.4</v>
      </c>
      <c r="G420" s="23" t="b">
        <f>if(countif(Status!C:C,A420)=1,TRUE, FALSE)</f>
        <v>1</v>
      </c>
      <c r="H420" s="23" t="str">
        <f>'3.4.raw'!AD420</f>
        <v/>
      </c>
    </row>
    <row r="421">
      <c r="A421" s="23" t="str">
        <f t="shared" si="3"/>
        <v>MO1089</v>
      </c>
      <c r="B421" s="23" t="str">
        <f>'3.4.raw'!M421</f>
        <v>MO1089</v>
      </c>
      <c r="C421" s="24">
        <f>'3.4.raw'!T421</f>
        <v>43721</v>
      </c>
      <c r="D421" s="23">
        <f>'3.4.raw'!I421</f>
        <v>12</v>
      </c>
      <c r="E421" s="1">
        <v>3.4</v>
      </c>
      <c r="G421" s="23" t="b">
        <f>if(countif(Status!C:C,A421)=1,TRUE, FALSE)</f>
        <v>1</v>
      </c>
      <c r="H421" s="23" t="str">
        <f>'3.4.raw'!AD421</f>
        <v/>
      </c>
    </row>
    <row r="422">
      <c r="A422" s="23" t="str">
        <f t="shared" si="3"/>
        <v>MO1090</v>
      </c>
      <c r="B422" s="23" t="str">
        <f>'3.4.raw'!M422</f>
        <v>MO1090</v>
      </c>
      <c r="C422" s="24">
        <f>'3.4.raw'!T422</f>
        <v>43721</v>
      </c>
      <c r="D422" s="23">
        <f>'3.4.raw'!I422</f>
        <v>12</v>
      </c>
      <c r="E422" s="1">
        <v>3.4</v>
      </c>
      <c r="G422" s="23" t="b">
        <f>if(countif(Status!C:C,A422)=1,TRUE, FALSE)</f>
        <v>1</v>
      </c>
      <c r="H422" s="23" t="str">
        <f>'3.4.raw'!AD422</f>
        <v/>
      </c>
    </row>
    <row r="423">
      <c r="A423" s="23" t="str">
        <f t="shared" si="3"/>
        <v>FB1023UP</v>
      </c>
      <c r="B423" s="23" t="str">
        <f>'3.4.raw'!M423</f>
        <v>FB1023UP</v>
      </c>
      <c r="C423" s="24">
        <f>'3.4.raw'!T423</f>
        <v>43721</v>
      </c>
      <c r="D423" s="23">
        <f>'3.4.raw'!I423</f>
        <v>99</v>
      </c>
      <c r="E423" s="1">
        <v>3.4</v>
      </c>
      <c r="G423" s="23" t="b">
        <f>if(countif(Status!C:C,A423)=1,TRUE, FALSE)</f>
        <v>1</v>
      </c>
      <c r="H423" s="23" t="str">
        <f>'3.4.raw'!AD423</f>
        <v>Associated sample MO1090</v>
      </c>
    </row>
    <row r="424">
      <c r="A424" s="23" t="str">
        <f t="shared" si="3"/>
        <v>FW1003</v>
      </c>
      <c r="B424" s="23" t="str">
        <f>'3.4.raw'!M424</f>
        <v>FW1003</v>
      </c>
      <c r="C424" s="24">
        <f>'3.4.raw'!T424</f>
        <v>43721</v>
      </c>
      <c r="D424" s="23">
        <f>'3.4.raw'!I424</f>
        <v>6</v>
      </c>
      <c r="E424" s="1">
        <v>3.4</v>
      </c>
      <c r="G424" s="23" t="b">
        <f>if(countif(Status!C:C,A424)=1,TRUE, FALSE)</f>
        <v>1</v>
      </c>
      <c r="H424" s="23" t="str">
        <f>'3.4.raw'!AD424</f>
        <v/>
      </c>
    </row>
    <row r="425">
      <c r="A425" s="23" t="str">
        <f t="shared" si="3"/>
        <v>FPa9901</v>
      </c>
      <c r="B425" s="23" t="str">
        <f>'3.4.raw'!M425</f>
        <v>FPa9901</v>
      </c>
      <c r="C425" s="24">
        <f>'3.4.raw'!T425</f>
        <v>43721</v>
      </c>
      <c r="D425" s="23">
        <f>'3.4.raw'!I425</f>
        <v>14</v>
      </c>
      <c r="E425" s="1">
        <v>3.4</v>
      </c>
      <c r="G425" s="23" t="b">
        <f>if(countif(Status!C:C,A425)=1,TRUE, FALSE)</f>
        <v>0</v>
      </c>
      <c r="H425" s="23" t="str">
        <f>'3.4.raw'!AD425</f>
        <v/>
      </c>
    </row>
    <row r="426">
      <c r="A426" s="23" t="str">
        <f t="shared" si="3"/>
        <v>FPc9901</v>
      </c>
      <c r="B426" s="23" t="str">
        <f>'3.4.raw'!M426</f>
        <v>FPc9901</v>
      </c>
      <c r="C426" s="24">
        <f>'3.4.raw'!T426</f>
        <v>43721</v>
      </c>
      <c r="D426" s="23">
        <f>'3.4.raw'!I426</f>
        <v>14</v>
      </c>
      <c r="E426" s="1">
        <v>3.4</v>
      </c>
      <c r="G426" s="23" t="b">
        <f>if(countif(Status!C:C,A426)=1,TRUE, FALSE)</f>
        <v>0</v>
      </c>
      <c r="H426" s="23" t="str">
        <f>'3.4.raw'!AD426</f>
        <v/>
      </c>
    </row>
    <row r="427">
      <c r="A427" s="23" t="str">
        <f t="shared" si="3"/>
        <v>FPd9901</v>
      </c>
      <c r="B427" s="23" t="str">
        <f>'3.4.raw'!M427</f>
        <v>FPd9901</v>
      </c>
      <c r="C427" s="24">
        <f>'3.4.raw'!T427</f>
        <v>43721</v>
      </c>
      <c r="D427" s="23">
        <f>'3.4.raw'!I427</f>
        <v>14</v>
      </c>
      <c r="E427" s="1">
        <v>3.4</v>
      </c>
      <c r="G427" s="23" t="b">
        <f>if(countif(Status!C:C,A427)=1,TRUE, FALSE)</f>
        <v>0</v>
      </c>
      <c r="H427" s="23" t="str">
        <f>'3.4.raw'!AD427</f>
        <v/>
      </c>
    </row>
    <row r="428">
      <c r="A428" s="23" t="str">
        <f t="shared" si="3"/>
        <v>FPe9901</v>
      </c>
      <c r="B428" s="23" t="str">
        <f>'3.4.raw'!M428</f>
        <v>FPe9901</v>
      </c>
      <c r="C428" s="24">
        <f>'3.4.raw'!T428</f>
        <v>43721</v>
      </c>
      <c r="D428" s="23">
        <f>'3.4.raw'!I428</f>
        <v>14</v>
      </c>
      <c r="E428" s="1">
        <v>3.4</v>
      </c>
      <c r="G428" s="23" t="b">
        <f>if(countif(Status!C:C,A428)=1,TRUE, FALSE)</f>
        <v>0</v>
      </c>
      <c r="H428" s="23" t="str">
        <f>'3.4.raw'!AD428</f>
        <v/>
      </c>
    </row>
    <row r="429">
      <c r="A429" s="23" t="str">
        <f t="shared" si="3"/>
        <v>FPc9902</v>
      </c>
      <c r="B429" s="23" t="str">
        <f>'3.4.raw'!M429</f>
        <v>FPc9902</v>
      </c>
      <c r="C429" s="24">
        <f>'3.4.raw'!T429</f>
        <v>43721</v>
      </c>
      <c r="D429" s="23">
        <f>'3.4.raw'!I429</f>
        <v>14</v>
      </c>
      <c r="E429" s="1">
        <v>3.4</v>
      </c>
      <c r="G429" s="23" t="b">
        <f>if(countif(Status!C:C,A429)=1,TRUE, FALSE)</f>
        <v>0</v>
      </c>
      <c r="H429" s="23" t="str">
        <f>'3.4.raw'!AD429</f>
        <v/>
      </c>
    </row>
    <row r="430">
      <c r="A430" s="23" t="str">
        <f t="shared" si="3"/>
        <v>FPd9902</v>
      </c>
      <c r="B430" s="23" t="str">
        <f>'3.4.raw'!M430</f>
        <v>FPd9902</v>
      </c>
      <c r="C430" s="24">
        <f>'3.4.raw'!T430</f>
        <v>43721</v>
      </c>
      <c r="D430" s="23">
        <f>'3.4.raw'!I430</f>
        <v>14</v>
      </c>
      <c r="E430" s="1">
        <v>3.4</v>
      </c>
      <c r="G430" s="23" t="b">
        <f>if(countif(Status!C:C,A430)=1,TRUE, FALSE)</f>
        <v>0</v>
      </c>
      <c r="H430" s="23" t="str">
        <f>'3.4.raw'!AD430</f>
        <v/>
      </c>
    </row>
    <row r="431">
      <c r="A431" s="23" t="str">
        <f t="shared" si="3"/>
        <v>FPb9902</v>
      </c>
      <c r="B431" s="23" t="str">
        <f>'3.4.raw'!M431</f>
        <v>FPb9902</v>
      </c>
      <c r="C431" s="24">
        <f>'3.4.raw'!T431</f>
        <v>43721</v>
      </c>
      <c r="D431" s="23">
        <f>'3.4.raw'!I431</f>
        <v>14</v>
      </c>
      <c r="E431" s="1">
        <v>3.4</v>
      </c>
      <c r="G431" s="23" t="b">
        <f>if(countif(Status!C:C,A431)=1,TRUE, FALSE)</f>
        <v>0</v>
      </c>
      <c r="H431" s="23" t="str">
        <f>'3.4.raw'!AD431</f>
        <v/>
      </c>
    </row>
    <row r="432">
      <c r="A432" s="23" t="str">
        <f t="shared" si="3"/>
        <v>FPb9902</v>
      </c>
      <c r="B432" s="23" t="str">
        <f>'3.4.raw'!M432</f>
        <v>FPb9902</v>
      </c>
      <c r="C432" s="24">
        <f>'3.4.raw'!T432</f>
        <v>43721</v>
      </c>
      <c r="D432" s="23">
        <f>'3.4.raw'!I432</f>
        <v>14</v>
      </c>
      <c r="E432" s="1">
        <v>3.4</v>
      </c>
      <c r="G432" s="23" t="b">
        <f>if(countif(Status!C:C,A432)=1,TRUE, FALSE)</f>
        <v>0</v>
      </c>
      <c r="H432" s="23" t="str">
        <f>'3.4.raw'!AD432</f>
        <v/>
      </c>
    </row>
    <row r="433">
      <c r="A433" s="23" t="str">
        <f t="shared" si="3"/>
        <v>FB1024UP</v>
      </c>
      <c r="B433" s="23" t="str">
        <f>'3.4.raw'!M433</f>
        <v>FB1024UP</v>
      </c>
      <c r="C433" s="24">
        <f>'3.4.raw'!T433</f>
        <v>43721</v>
      </c>
      <c r="D433" s="23">
        <f>'3.4.raw'!I433</f>
        <v>99</v>
      </c>
      <c r="E433" s="1">
        <v>3.4</v>
      </c>
      <c r="G433" s="23" t="b">
        <f>if(countif(Status!C:C,A433)=1,TRUE, FALSE)</f>
        <v>1</v>
      </c>
      <c r="H433" s="23" t="str">
        <f>'3.4.raw'!AD433</f>
        <v>Associated sample FPa9901, FPc9901, FPd9901, FPe9901, FPc9901</v>
      </c>
    </row>
    <row r="434">
      <c r="A434" s="23" t="str">
        <f t="shared" si="3"/>
        <v>SW1008</v>
      </c>
      <c r="B434" s="23" t="str">
        <f>'3.4.raw'!M434</f>
        <v>SW1008</v>
      </c>
      <c r="C434" s="24">
        <f>'3.4.raw'!T434</f>
        <v>43721</v>
      </c>
      <c r="D434" s="23">
        <f>'3.4.raw'!I434</f>
        <v>5</v>
      </c>
      <c r="E434" s="1">
        <v>3.4</v>
      </c>
      <c r="G434" s="23" t="b">
        <f>if(countif(Status!C:C,A434)=1,TRUE, FALSE)</f>
        <v>1</v>
      </c>
      <c r="H434" s="23" t="str">
        <f>'3.4.raw'!AD434</f>
        <v/>
      </c>
    </row>
    <row r="435">
      <c r="A435" s="23" t="str">
        <f t="shared" si="3"/>
        <v>SL1010</v>
      </c>
      <c r="B435" s="23" t="str">
        <f>'3.4.raw'!M435</f>
        <v>SL1010</v>
      </c>
      <c r="C435" s="24">
        <f>'3.4.raw'!T435</f>
        <v>43721</v>
      </c>
      <c r="D435" s="23">
        <f>'3.4.raw'!I435</f>
        <v>8</v>
      </c>
      <c r="E435" s="1">
        <v>3.4</v>
      </c>
      <c r="G435" s="23" t="b">
        <f>if(countif(Status!C:C,A435)=1,TRUE, FALSE)</f>
        <v>1</v>
      </c>
      <c r="H435" s="23" t="str">
        <f>'3.4.raw'!AD435</f>
        <v/>
      </c>
    </row>
    <row r="436">
      <c r="A436" s="23" t="str">
        <f t="shared" si="3"/>
        <v>FB1026UP</v>
      </c>
      <c r="B436" s="23" t="str">
        <f>'3.4.raw'!M436</f>
        <v>FB1026UP</v>
      </c>
      <c r="C436" s="24">
        <f>'3.4.raw'!T436</f>
        <v>43721</v>
      </c>
      <c r="D436" s="23">
        <f>'3.4.raw'!I436</f>
        <v>99</v>
      </c>
      <c r="E436" s="1">
        <v>3.4</v>
      </c>
      <c r="G436" s="23" t="b">
        <f>if(countif(Status!C:C,A436)=1,TRUE, FALSE)</f>
        <v>1</v>
      </c>
      <c r="H436" s="23" t="str">
        <f>'3.4.raw'!AD436</f>
        <v>Associated sample SL1010</v>
      </c>
    </row>
    <row r="437">
      <c r="A437" s="23" t="str">
        <f t="shared" si="3"/>
        <v>PL1019</v>
      </c>
      <c r="B437" s="23" t="str">
        <f>'3.4.raw'!M437</f>
        <v>PL1019</v>
      </c>
      <c r="C437" s="24">
        <f>'3.4.raw'!T437</f>
        <v>43721</v>
      </c>
      <c r="D437" s="23">
        <f>'3.4.raw'!I437</f>
        <v>7</v>
      </c>
      <c r="E437" s="1">
        <v>3.4</v>
      </c>
      <c r="G437" s="23" t="b">
        <f>if(countif(Status!C:C,A437)=1,TRUE, FALSE)</f>
        <v>1</v>
      </c>
      <c r="H437" s="23" t="str">
        <f>'3.4.raw'!AD437</f>
        <v/>
      </c>
    </row>
    <row r="438">
      <c r="A438" s="23" t="str">
        <f t="shared" si="3"/>
        <v>FB1025UP</v>
      </c>
      <c r="B438" s="23" t="str">
        <f>'3.4.raw'!M438</f>
        <v>FB1025UP</v>
      </c>
      <c r="C438" s="24">
        <f>'3.4.raw'!T438</f>
        <v>43721</v>
      </c>
      <c r="D438" s="23">
        <f>'3.4.raw'!I438</f>
        <v>99</v>
      </c>
      <c r="E438" s="1">
        <v>3.4</v>
      </c>
      <c r="G438" s="23" t="b">
        <f>if(countif(Status!C:C,A438)=1,TRUE, FALSE)</f>
        <v>1</v>
      </c>
      <c r="H438" s="23" t="str">
        <f>'3.4.raw'!AD438</f>
        <v>Associated sample PL1019</v>
      </c>
    </row>
    <row r="439">
      <c r="A439" s="23" t="str">
        <f t="shared" si="3"/>
        <v>FPa1001</v>
      </c>
      <c r="B439" s="23" t="str">
        <f>'3.4.raw'!M439</f>
        <v>FPa1001</v>
      </c>
      <c r="C439" s="24">
        <f>'3.4.raw'!T439</f>
        <v>43721</v>
      </c>
      <c r="D439" s="23">
        <f>'3.4.raw'!I439</f>
        <v>14</v>
      </c>
      <c r="E439" s="1">
        <v>3.4</v>
      </c>
      <c r="G439" s="23" t="b">
        <f>if(countif(Status!C:C,A439)=1,TRUE, FALSE)</f>
        <v>1</v>
      </c>
      <c r="H439" s="23" t="str">
        <f>'3.4.raw'!AD439</f>
        <v/>
      </c>
    </row>
    <row r="440">
      <c r="A440" s="23" t="str">
        <f t="shared" si="3"/>
        <v>FPc1001</v>
      </c>
      <c r="B440" s="23" t="str">
        <f>'3.4.raw'!M440</f>
        <v>FPc1001</v>
      </c>
      <c r="C440" s="24">
        <f>'3.4.raw'!T440</f>
        <v>43721</v>
      </c>
      <c r="D440" s="23">
        <f>'3.4.raw'!I440</f>
        <v>14</v>
      </c>
      <c r="E440" s="1">
        <v>3.4</v>
      </c>
      <c r="G440" s="23" t="b">
        <f>if(countif(Status!C:C,A440)=1,TRUE, FALSE)</f>
        <v>1</v>
      </c>
      <c r="H440" s="23" t="str">
        <f>'3.4.raw'!AD440</f>
        <v/>
      </c>
    </row>
    <row r="441">
      <c r="A441" s="23" t="str">
        <f t="shared" si="3"/>
        <v>FPb1001</v>
      </c>
      <c r="B441" s="23" t="str">
        <f>'3.4.raw'!M441</f>
        <v>FPb1001</v>
      </c>
      <c r="C441" s="24">
        <f>'3.4.raw'!T441</f>
        <v>43721</v>
      </c>
      <c r="D441" s="23">
        <f>'3.4.raw'!I441</f>
        <v>14</v>
      </c>
      <c r="E441" s="1">
        <v>3.4</v>
      </c>
      <c r="G441" s="23" t="b">
        <f>if(countif(Status!C:C,A441)=1,TRUE, FALSE)</f>
        <v>1</v>
      </c>
      <c r="H441" s="23" t="str">
        <f>'3.4.raw'!AD441</f>
        <v/>
      </c>
    </row>
    <row r="442">
      <c r="A442" s="23" t="str">
        <f t="shared" si="3"/>
        <v>FPe1001</v>
      </c>
      <c r="B442" s="23" t="str">
        <f>'3.4.raw'!M442</f>
        <v>FPe1001</v>
      </c>
      <c r="C442" s="24">
        <f>'3.4.raw'!T442</f>
        <v>43721</v>
      </c>
      <c r="D442" s="23">
        <f>'3.4.raw'!I442</f>
        <v>14</v>
      </c>
      <c r="E442" s="1">
        <v>3.4</v>
      </c>
      <c r="G442" s="23" t="b">
        <f>if(countif(Status!C:C,A442)=1,TRUE, FALSE)</f>
        <v>1</v>
      </c>
      <c r="H442" s="23" t="str">
        <f>'3.4.raw'!AD442</f>
        <v/>
      </c>
    </row>
    <row r="443">
      <c r="A443" s="23" t="str">
        <f t="shared" si="3"/>
        <v>FPd1001</v>
      </c>
      <c r="B443" s="23" t="str">
        <f>'3.4.raw'!M443</f>
        <v>FPd1001</v>
      </c>
      <c r="C443" s="24">
        <f>'3.4.raw'!T443</f>
        <v>43721</v>
      </c>
      <c r="D443" s="23">
        <f>'3.4.raw'!I443</f>
        <v>14</v>
      </c>
      <c r="E443" s="1">
        <v>3.4</v>
      </c>
      <c r="G443" s="23" t="b">
        <f>if(countif(Status!C:C,A443)=1,TRUE, FALSE)</f>
        <v>1</v>
      </c>
      <c r="H443" s="23" t="str">
        <f>'3.4.raw'!AD443</f>
        <v/>
      </c>
    </row>
    <row r="444">
      <c r="A444" s="23" t="str">
        <f t="shared" si="3"/>
        <v>FB1027UP</v>
      </c>
      <c r="B444" s="23" t="str">
        <f>'3.4.raw'!M444</f>
        <v>FB1027UP</v>
      </c>
      <c r="C444" s="24">
        <f>'3.4.raw'!T444</f>
        <v>43721</v>
      </c>
      <c r="D444" s="23">
        <f>'3.4.raw'!I444</f>
        <v>99</v>
      </c>
      <c r="E444" s="1">
        <v>3.4</v>
      </c>
      <c r="G444" s="23" t="b">
        <f>if(countif(Status!C:C,A444)=1,TRUE, FALSE)</f>
        <v>1</v>
      </c>
      <c r="H444" s="23" t="str">
        <f>'3.4.raw'!AD444</f>
        <v>Associated sample FPa1001, FPb1001, FPc1001, FPd1001, FPe1001</v>
      </c>
    </row>
    <row r="445">
      <c r="A445" s="23" t="str">
        <f t="shared" si="3"/>
        <v>FB1028UP</v>
      </c>
      <c r="B445" s="23" t="str">
        <f>'3.4.raw'!M445</f>
        <v>FB1028UP</v>
      </c>
      <c r="C445" s="24">
        <f>'3.4.raw'!T445</f>
        <v>43721</v>
      </c>
      <c r="D445" s="23">
        <f>'3.4.raw'!I445</f>
        <v>99</v>
      </c>
      <c r="E445" s="1">
        <v>3.4</v>
      </c>
      <c r="G445" s="23" t="b">
        <f>if(countif(Status!C:C,A445)=1,TRUE, FALSE)</f>
        <v>1</v>
      </c>
      <c r="H445" s="23" t="str">
        <f>'3.4.raw'!AD445</f>
        <v/>
      </c>
    </row>
    <row r="446">
      <c r="A446" s="23" t="str">
        <f t="shared" si="3"/>
        <v>COa1001</v>
      </c>
      <c r="B446" s="23" t="str">
        <f>'3.4.raw'!M446</f>
        <v>COa1001</v>
      </c>
      <c r="C446" s="24">
        <f>'3.4.raw'!T446</f>
        <v>43721</v>
      </c>
      <c r="D446" s="23">
        <f>'3.4.raw'!I446</f>
        <v>15</v>
      </c>
      <c r="E446" s="1">
        <v>3.4</v>
      </c>
      <c r="G446" s="23" t="b">
        <f>if(countif(Status!C:C,A446)=1,TRUE, FALSE)</f>
        <v>1</v>
      </c>
      <c r="H446" s="23" t="str">
        <f>'3.4.raw'!AD446</f>
        <v/>
      </c>
    </row>
    <row r="447">
      <c r="A447" s="23" t="str">
        <f t="shared" si="3"/>
        <v>COb1001</v>
      </c>
      <c r="B447" s="23" t="str">
        <f>'3.4.raw'!M447</f>
        <v>COb1001</v>
      </c>
      <c r="C447" s="24">
        <f>'3.4.raw'!T447</f>
        <v>43721</v>
      </c>
      <c r="D447" s="23">
        <f>'3.4.raw'!I447</f>
        <v>15</v>
      </c>
      <c r="E447" s="1">
        <v>3.4</v>
      </c>
      <c r="G447" s="23" t="b">
        <f>if(countif(Status!C:C,A447)=1,TRUE, FALSE)</f>
        <v>1</v>
      </c>
      <c r="H447" s="23" t="str">
        <f>'3.4.raw'!AD447</f>
        <v/>
      </c>
    </row>
    <row r="448">
      <c r="A448" s="23" t="str">
        <f t="shared" si="3"/>
        <v>COb1002</v>
      </c>
      <c r="B448" s="23" t="str">
        <f>'3.4.raw'!M448</f>
        <v>COb1002</v>
      </c>
      <c r="C448" s="24">
        <f>'3.4.raw'!T448</f>
        <v>43721</v>
      </c>
      <c r="D448" s="23">
        <f>'3.4.raw'!I448</f>
        <v>15</v>
      </c>
      <c r="E448" s="1">
        <v>3.4</v>
      </c>
      <c r="G448" s="23" t="b">
        <f>if(countif(Status!C:C,A448)=1,TRUE, FALSE)</f>
        <v>1</v>
      </c>
      <c r="H448" s="23" t="str">
        <f>'3.4.raw'!AD448</f>
        <v/>
      </c>
    </row>
    <row r="449">
      <c r="A449" s="23" t="str">
        <f t="shared" si="3"/>
        <v>COb1003</v>
      </c>
      <c r="B449" s="23" t="str">
        <f>'3.4.raw'!M449</f>
        <v>COb1003</v>
      </c>
      <c r="C449" s="24">
        <f>'3.4.raw'!T449</f>
        <v>43721</v>
      </c>
      <c r="D449" s="23">
        <f>'3.4.raw'!I449</f>
        <v>15</v>
      </c>
      <c r="E449" s="1">
        <v>3.4</v>
      </c>
      <c r="G449" s="23" t="b">
        <f>if(countif(Status!C:C,A449)=1,TRUE, FALSE)</f>
        <v>1</v>
      </c>
      <c r="H449" s="23" t="str">
        <f>'3.4.raw'!AD449</f>
        <v/>
      </c>
    </row>
    <row r="450">
      <c r="A450" s="23" t="str">
        <f t="shared" si="3"/>
        <v>FB1029UP</v>
      </c>
      <c r="B450" s="23" t="str">
        <f>'3.4.raw'!M450</f>
        <v>FB1029UP</v>
      </c>
      <c r="C450" s="24">
        <f>'3.4.raw'!T450</f>
        <v>43721</v>
      </c>
      <c r="D450" s="23">
        <f>'3.4.raw'!I450</f>
        <v>99</v>
      </c>
      <c r="E450" s="1">
        <v>3.4</v>
      </c>
      <c r="G450" s="23" t="b">
        <f>if(countif(Status!C:C,A450)=1,TRUE, FALSE)</f>
        <v>1</v>
      </c>
      <c r="H450" s="23" t="str">
        <f>'3.4.raw'!AD450</f>
        <v>Associated sample COa1001, COb1001, COb1002, COb1003</v>
      </c>
    </row>
    <row r="451">
      <c r="A451" s="23" t="str">
        <f t="shared" si="3"/>
        <v>COa1002</v>
      </c>
      <c r="B451" s="23" t="str">
        <f>'3.4.raw'!M451</f>
        <v>COa1002</v>
      </c>
      <c r="C451" s="24">
        <f>'3.4.raw'!T451</f>
        <v>43721</v>
      </c>
      <c r="D451" s="23">
        <f>'3.4.raw'!I451</f>
        <v>15</v>
      </c>
      <c r="E451" s="1">
        <v>3.4</v>
      </c>
      <c r="G451" s="23" t="b">
        <f>if(countif(Status!C:C,A451)=1,TRUE, FALSE)</f>
        <v>1</v>
      </c>
      <c r="H451" s="23" t="str">
        <f>'3.4.raw'!AD451</f>
        <v/>
      </c>
    </row>
    <row r="452">
      <c r="A452" s="23" t="str">
        <f t="shared" si="3"/>
        <v>COb1004</v>
      </c>
      <c r="B452" s="23" t="str">
        <f>'3.4.raw'!M452</f>
        <v>COb1004</v>
      </c>
      <c r="C452" s="24">
        <f>'3.4.raw'!T452</f>
        <v>43721</v>
      </c>
      <c r="D452" s="23">
        <f>'3.4.raw'!I452</f>
        <v>15</v>
      </c>
      <c r="E452" s="1">
        <v>3.4</v>
      </c>
      <c r="G452" s="23" t="b">
        <f>if(countif(Status!C:C,A452)=1,TRUE, FALSE)</f>
        <v>1</v>
      </c>
      <c r="H452" s="23" t="str">
        <f>'3.4.raw'!AD452</f>
        <v/>
      </c>
    </row>
    <row r="453">
      <c r="A453" s="23" t="str">
        <f t="shared" si="3"/>
        <v>COb1005</v>
      </c>
      <c r="B453" s="23" t="str">
        <f>'3.4.raw'!M453</f>
        <v>COb1005</v>
      </c>
      <c r="C453" s="24">
        <f>'3.4.raw'!T453</f>
        <v>43721</v>
      </c>
      <c r="D453" s="23">
        <f>'3.4.raw'!I453</f>
        <v>15</v>
      </c>
      <c r="E453" s="1">
        <v>3.4</v>
      </c>
      <c r="G453" s="23" t="b">
        <f>if(countif(Status!C:C,A453)=1,TRUE, FALSE)</f>
        <v>1</v>
      </c>
      <c r="H453" s="23" t="str">
        <f>'3.4.raw'!AD453</f>
        <v/>
      </c>
    </row>
    <row r="454">
      <c r="A454" s="23" t="str">
        <f t="shared" si="3"/>
        <v>COb1006</v>
      </c>
      <c r="B454" s="23" t="str">
        <f>'3.4.raw'!M454</f>
        <v>COb1006</v>
      </c>
      <c r="C454" s="24">
        <f>'3.4.raw'!T454</f>
        <v>43721</v>
      </c>
      <c r="D454" s="23">
        <f>'3.4.raw'!I454</f>
        <v>15</v>
      </c>
      <c r="E454" s="1">
        <v>3.4</v>
      </c>
      <c r="G454" s="23" t="b">
        <f>if(countif(Status!C:C,A454)=1,TRUE, FALSE)</f>
        <v>1</v>
      </c>
      <c r="H454" s="23" t="str">
        <f>'3.4.raw'!AD454</f>
        <v/>
      </c>
    </row>
    <row r="455">
      <c r="A455" s="23" t="str">
        <f t="shared" si="3"/>
        <v>FB1030UP</v>
      </c>
      <c r="B455" s="23" t="str">
        <f>'3.4.raw'!M455</f>
        <v>FB1030UP</v>
      </c>
      <c r="C455" s="24">
        <f>'3.4.raw'!T455</f>
        <v>43721</v>
      </c>
      <c r="D455" s="23">
        <f>'3.4.raw'!I455</f>
        <v>99</v>
      </c>
      <c r="E455" s="1">
        <v>3.4</v>
      </c>
      <c r="G455" s="23" t="b">
        <f>if(countif(Status!C:C,A455)=1,TRUE, FALSE)</f>
        <v>1</v>
      </c>
      <c r="H455" s="23" t="str">
        <f>'3.4.raw'!AD455</f>
        <v/>
      </c>
    </row>
    <row r="456">
      <c r="A456" s="23" t="str">
        <f t="shared" si="3"/>
        <v>OD1006</v>
      </c>
      <c r="B456" s="23" t="str">
        <f>'3.4.raw'!M456</f>
        <v>OD1006</v>
      </c>
      <c r="C456" s="24">
        <f>'3.4.raw'!T456</f>
        <v>43721</v>
      </c>
      <c r="D456" s="23">
        <f>'3.4.raw'!I456</f>
        <v>1</v>
      </c>
      <c r="E456" s="1">
        <v>3.4</v>
      </c>
      <c r="G456" s="23" t="b">
        <f>if(countif(Status!C:C,A456)=1,TRUE, FALSE)</f>
        <v>1</v>
      </c>
      <c r="H456" s="23" t="str">
        <f>'3.4.raw'!AD456</f>
        <v/>
      </c>
    </row>
    <row r="457">
      <c r="A457" s="23" t="str">
        <f t="shared" si="3"/>
        <v>FB1031UP</v>
      </c>
      <c r="B457" s="23" t="str">
        <f>'3.4.raw'!M457</f>
        <v>FB1031UP</v>
      </c>
      <c r="C457" s="24">
        <f>'3.4.raw'!T457</f>
        <v>43721</v>
      </c>
      <c r="D457" s="23">
        <f>'3.4.raw'!I457</f>
        <v>99</v>
      </c>
      <c r="E457" s="1">
        <v>3.4</v>
      </c>
      <c r="G457" s="23" t="b">
        <f>if(countif(Status!C:C,A457)=1,TRUE, FALSE)</f>
        <v>1</v>
      </c>
      <c r="H457" s="23" t="str">
        <f>'3.4.raw'!AD457</f>
        <v>Associated sample OD1006</v>
      </c>
    </row>
    <row r="458">
      <c r="A458" s="23" t="str">
        <f t="shared" si="3"/>
        <v>RP1010</v>
      </c>
      <c r="B458" s="23" t="str">
        <f>'3.4.raw'!M458</f>
        <v>RP1010</v>
      </c>
      <c r="C458" s="24">
        <f>'3.4.raw'!T458</f>
        <v>43721</v>
      </c>
      <c r="D458" s="23">
        <f>'3.4.raw'!I458</f>
        <v>2</v>
      </c>
      <c r="E458" s="1">
        <v>3.4</v>
      </c>
      <c r="G458" s="23" t="b">
        <f>if(countif(Status!C:C,A458)=1,TRUE, FALSE)</f>
        <v>1</v>
      </c>
      <c r="H458" s="23" t="str">
        <f>'3.4.raw'!AD458</f>
        <v/>
      </c>
    </row>
    <row r="459">
      <c r="A459" s="23" t="str">
        <f t="shared" si="3"/>
        <v>FB1032UP</v>
      </c>
      <c r="B459" s="23" t="str">
        <f>'3.4.raw'!M459</f>
        <v>FB1032UP</v>
      </c>
      <c r="C459" s="24">
        <f>'3.4.raw'!T459</f>
        <v>43721</v>
      </c>
      <c r="D459" s="23">
        <f>'3.4.raw'!I459</f>
        <v>99</v>
      </c>
      <c r="E459" s="1">
        <v>3.4</v>
      </c>
      <c r="G459" s="23" t="b">
        <f>if(countif(Status!C:C,A459)=1,TRUE, FALSE)</f>
        <v>1</v>
      </c>
      <c r="H459" s="23" t="str">
        <f>'3.4.raw'!AD459</f>
        <v>Associated sample RP1010</v>
      </c>
    </row>
    <row r="460">
      <c r="A460" s="23" t="str">
        <f t="shared" si="3"/>
        <v>DWa1003</v>
      </c>
      <c r="B460" s="23" t="str">
        <f>'3.4.raw'!M460</f>
        <v>DWa1003</v>
      </c>
      <c r="C460" s="24">
        <f>'3.4.raw'!T460</f>
        <v>43721</v>
      </c>
      <c r="D460" s="23">
        <f>'3.4.raw'!I460</f>
        <v>3</v>
      </c>
      <c r="E460" s="1">
        <v>3.4</v>
      </c>
      <c r="G460" s="23" t="b">
        <f>if(countif(Status!C:C,A460)=1,TRUE, FALSE)</f>
        <v>1</v>
      </c>
      <c r="H460" s="23" t="str">
        <f>'3.4.raw'!AD460</f>
        <v/>
      </c>
    </row>
    <row r="461">
      <c r="A461" s="23" t="str">
        <f t="shared" si="3"/>
        <v>FB1033UP</v>
      </c>
      <c r="B461" s="23" t="str">
        <f>'3.4.raw'!M461</f>
        <v>FB1033UP</v>
      </c>
      <c r="C461" s="24">
        <f>'3.4.raw'!T461</f>
        <v>43724</v>
      </c>
      <c r="D461" s="23">
        <f>'3.4.raw'!I461</f>
        <v>99</v>
      </c>
      <c r="E461" s="1">
        <v>3.4</v>
      </c>
      <c r="G461" s="23" t="b">
        <f>if(countif(Status!C:C,A461)=1,TRUE, FALSE)</f>
        <v>1</v>
      </c>
      <c r="H461" s="23" t="str">
        <f>'3.4.raw'!AD461</f>
        <v>Associated sample DWa1003</v>
      </c>
    </row>
    <row r="462">
      <c r="A462" s="23" t="str">
        <f t="shared" si="3"/>
        <v>PLc1144</v>
      </c>
      <c r="B462" s="23" t="str">
        <f>'3.4.raw'!M462</f>
        <v>PLc1144</v>
      </c>
      <c r="C462" s="24">
        <f>'3.4.raw'!T462</f>
        <v>43826</v>
      </c>
      <c r="D462" s="23">
        <f>'3.4.raw'!I462</f>
        <v>11</v>
      </c>
      <c r="E462" s="1">
        <v>3.4</v>
      </c>
      <c r="G462" s="23" t="b">
        <f>if(countif(Status!C:C,A462)=1,TRUE, FALSE)</f>
        <v>1</v>
      </c>
      <c r="H462" s="23" t="str">
        <f>'3.4.raw'!AD462</f>
        <v/>
      </c>
    </row>
    <row r="463">
      <c r="A463" s="23" t="str">
        <f t="shared" si="3"/>
        <v>PLc1145</v>
      </c>
      <c r="B463" s="23" t="str">
        <f>'3.4.raw'!M463</f>
        <v>PLc1145</v>
      </c>
      <c r="C463" s="24">
        <f>'3.4.raw'!T463</f>
        <v>43826</v>
      </c>
      <c r="D463" s="23">
        <f>'3.4.raw'!I463</f>
        <v>11</v>
      </c>
      <c r="E463" s="1">
        <v>3.4</v>
      </c>
      <c r="G463" s="23" t="b">
        <f>if(countif(Status!C:C,A463)=1,TRUE, FALSE)</f>
        <v>1</v>
      </c>
      <c r="H463" s="23" t="str">
        <f>'3.4.raw'!AD463</f>
        <v/>
      </c>
    </row>
    <row r="464">
      <c r="A464" s="23" t="str">
        <f t="shared" si="3"/>
        <v>PLc1146</v>
      </c>
      <c r="B464" s="23" t="str">
        <f>'3.4.raw'!M464</f>
        <v>PLc1146</v>
      </c>
      <c r="C464" s="24">
        <f>'3.4.raw'!T464</f>
        <v>43826</v>
      </c>
      <c r="D464" s="23">
        <f>'3.4.raw'!I464</f>
        <v>11</v>
      </c>
      <c r="E464" s="1">
        <v>3.4</v>
      </c>
      <c r="G464" s="23" t="b">
        <f>if(countif(Status!C:C,A464)=1,TRUE, FALSE)</f>
        <v>1</v>
      </c>
      <c r="H464" s="23" t="str">
        <f>'3.4.raw'!AD464</f>
        <v/>
      </c>
    </row>
    <row r="465">
      <c r="A465" s="23" t="str">
        <f t="shared" si="3"/>
        <v>PLc1147</v>
      </c>
      <c r="B465" s="23" t="str">
        <f>'3.4.raw'!M465</f>
        <v>PLc1147</v>
      </c>
      <c r="C465" s="24">
        <f>'3.4.raw'!T465</f>
        <v>43826</v>
      </c>
      <c r="D465" s="23">
        <f>'3.4.raw'!I465</f>
        <v>11</v>
      </c>
      <c r="E465" s="1">
        <v>3.4</v>
      </c>
      <c r="G465" s="23" t="b">
        <f>if(countif(Status!C:C,A465)=1,TRUE, FALSE)</f>
        <v>1</v>
      </c>
      <c r="H465" s="23" t="str">
        <f>'3.4.raw'!AD465</f>
        <v/>
      </c>
    </row>
    <row r="466">
      <c r="A466" s="23" t="str">
        <f t="shared" si="3"/>
        <v>PLc1148</v>
      </c>
      <c r="B466" s="23" t="str">
        <f>'3.4.raw'!M466</f>
        <v>PLc1148</v>
      </c>
      <c r="C466" s="24">
        <f>'3.4.raw'!T466</f>
        <v>43826</v>
      </c>
      <c r="D466" s="23">
        <f>'3.4.raw'!I466</f>
        <v>11</v>
      </c>
      <c r="E466" s="1">
        <v>3.4</v>
      </c>
      <c r="G466" s="23" t="b">
        <f>if(countif(Status!C:C,A466)=1,TRUE, FALSE)</f>
        <v>1</v>
      </c>
      <c r="H466" s="23" t="str">
        <f>'3.4.raw'!AD466</f>
        <v/>
      </c>
    </row>
    <row r="467">
      <c r="A467" s="23" t="str">
        <f t="shared" si="3"/>
        <v>PLc1149</v>
      </c>
      <c r="B467" s="23" t="str">
        <f>'3.4.raw'!M467</f>
        <v>PLc1149</v>
      </c>
      <c r="C467" s="24">
        <f>'3.4.raw'!T467</f>
        <v>43826</v>
      </c>
      <c r="D467" s="23">
        <f>'3.4.raw'!I467</f>
        <v>11</v>
      </c>
      <c r="E467" s="1">
        <v>3.4</v>
      </c>
      <c r="G467" s="23" t="b">
        <f>if(countif(Status!C:C,A467)=1,TRUE, FALSE)</f>
        <v>1</v>
      </c>
      <c r="H467" s="23" t="str">
        <f>'3.4.raw'!AD467</f>
        <v/>
      </c>
    </row>
    <row r="468">
      <c r="A468" s="23" t="str">
        <f t="shared" si="3"/>
        <v>FB1226UP</v>
      </c>
      <c r="B468" s="23" t="str">
        <f>'3.4.raw'!M468</f>
        <v>FB1226UP</v>
      </c>
      <c r="C468" s="24">
        <f>'3.4.raw'!T468</f>
        <v>43826</v>
      </c>
      <c r="D468" s="23">
        <f>'3.4.raw'!I468</f>
        <v>99</v>
      </c>
      <c r="E468" s="1">
        <v>3.4</v>
      </c>
      <c r="G468" s="23" t="b">
        <f>if(countif(Status!C:C,A468)=1,TRUE, FALSE)</f>
        <v>1</v>
      </c>
      <c r="H468" s="23" t="str">
        <f>'3.4.raw'!AD468</f>
        <v>Associated sample PLc1147</v>
      </c>
    </row>
    <row r="469">
      <c r="A469" s="23" t="str">
        <f t="shared" si="3"/>
        <v>PLc1150</v>
      </c>
      <c r="B469" s="23" t="str">
        <f>'3.4.raw'!M469</f>
        <v>PLc1150</v>
      </c>
      <c r="C469" s="24">
        <f>'3.4.raw'!T469</f>
        <v>43826</v>
      </c>
      <c r="D469" s="23">
        <f>'3.4.raw'!I469</f>
        <v>11</v>
      </c>
      <c r="E469" s="1">
        <v>3.4</v>
      </c>
      <c r="G469" s="23" t="b">
        <f>if(countif(Status!C:C,A469)=1,TRUE, FALSE)</f>
        <v>1</v>
      </c>
      <c r="H469" s="23" t="str">
        <f>'3.4.raw'!AD469</f>
        <v/>
      </c>
    </row>
    <row r="470">
      <c r="A470" s="23" t="str">
        <f t="shared" si="3"/>
        <v>PLc1151</v>
      </c>
      <c r="B470" s="23" t="str">
        <f>'3.4.raw'!M470</f>
        <v>PLc1151</v>
      </c>
      <c r="C470" s="24">
        <f>'3.4.raw'!T470</f>
        <v>43826</v>
      </c>
      <c r="D470" s="23">
        <f>'3.4.raw'!I470</f>
        <v>11</v>
      </c>
      <c r="E470" s="1">
        <v>3.4</v>
      </c>
      <c r="G470" s="23" t="b">
        <f>if(countif(Status!C:C,A470)=1,TRUE, FALSE)</f>
        <v>1</v>
      </c>
      <c r="H470" s="23" t="str">
        <f>'3.4.raw'!AD470</f>
        <v/>
      </c>
    </row>
    <row r="471">
      <c r="A471" s="23" t="str">
        <f t="shared" si="3"/>
        <v>MO1136</v>
      </c>
      <c r="B471" s="23" t="str">
        <f>'3.4.raw'!M471</f>
        <v>MO1136</v>
      </c>
      <c r="C471" s="24">
        <f>'3.4.raw'!T471</f>
        <v>43826</v>
      </c>
      <c r="D471" s="23">
        <f>'3.4.raw'!I471</f>
        <v>12</v>
      </c>
      <c r="E471" s="1">
        <v>3.4</v>
      </c>
      <c r="G471" s="23" t="b">
        <f>if(countif(Status!C:C,A471)=1,TRUE, FALSE)</f>
        <v>1</v>
      </c>
      <c r="H471" s="23" t="str">
        <f>'3.4.raw'!AD471</f>
        <v/>
      </c>
    </row>
    <row r="472">
      <c r="A472" s="23" t="str">
        <f t="shared" si="3"/>
        <v>MO1137</v>
      </c>
      <c r="B472" s="23" t="str">
        <f>'3.4.raw'!M472</f>
        <v>MO1137</v>
      </c>
      <c r="C472" s="24">
        <f>'3.4.raw'!T472</f>
        <v>43826</v>
      </c>
      <c r="D472" s="23">
        <f>'3.4.raw'!I472</f>
        <v>12</v>
      </c>
      <c r="E472" s="1">
        <v>3.4</v>
      </c>
      <c r="G472" s="23" t="b">
        <f>if(countif(Status!C:C,A472)=1,TRUE, FALSE)</f>
        <v>1</v>
      </c>
      <c r="H472" s="23" t="str">
        <f>'3.4.raw'!AD472</f>
        <v/>
      </c>
    </row>
    <row r="473">
      <c r="A473" s="23" t="str">
        <f t="shared" si="3"/>
        <v>FB1230UP</v>
      </c>
      <c r="B473" s="23" t="str">
        <f>'3.4.raw'!M473</f>
        <v>FB1230UP</v>
      </c>
      <c r="C473" s="24">
        <f>'3.4.raw'!T473</f>
        <v>43826</v>
      </c>
      <c r="D473" s="23">
        <f>'3.4.raw'!I473</f>
        <v>99</v>
      </c>
      <c r="E473" s="1">
        <v>3.4</v>
      </c>
      <c r="G473" s="23" t="b">
        <f>if(countif(Status!C:C,A473)=1,TRUE, FALSE)</f>
        <v>1</v>
      </c>
      <c r="H473" s="23" t="str">
        <f>'3.4.raw'!AD473</f>
        <v>Associated sample PLc1151</v>
      </c>
    </row>
    <row r="474">
      <c r="A474" s="23" t="str">
        <f t="shared" si="3"/>
        <v>PLc1152</v>
      </c>
      <c r="B474" s="23" t="str">
        <f>'3.4.raw'!M474</f>
        <v>PLc1152</v>
      </c>
      <c r="C474" s="24">
        <f>'3.4.raw'!T474</f>
        <v>43826</v>
      </c>
      <c r="D474" s="23">
        <f>'3.4.raw'!I474</f>
        <v>11</v>
      </c>
      <c r="E474" s="1">
        <v>3.4</v>
      </c>
      <c r="G474" s="23" t="b">
        <f>if(countif(Status!C:C,A474)=1,TRUE, FALSE)</f>
        <v>1</v>
      </c>
      <c r="H474" s="23" t="str">
        <f>'3.4.raw'!AD474</f>
        <v/>
      </c>
    </row>
    <row r="475">
      <c r="A475" s="23" t="str">
        <f t="shared" si="3"/>
        <v>PLc1153</v>
      </c>
      <c r="B475" s="23" t="str">
        <f>'3.4.raw'!M475</f>
        <v>PLc1153</v>
      </c>
      <c r="C475" s="24">
        <f>'3.4.raw'!T475</f>
        <v>43826</v>
      </c>
      <c r="D475" s="23">
        <f>'3.4.raw'!I475</f>
        <v>11</v>
      </c>
      <c r="E475" s="1">
        <v>3.4</v>
      </c>
      <c r="G475" s="23" t="b">
        <f>if(countif(Status!C:C,A475)=1,TRUE, FALSE)</f>
        <v>1</v>
      </c>
      <c r="H475" s="23" t="str">
        <f>'3.4.raw'!AD475</f>
        <v/>
      </c>
    </row>
    <row r="476">
      <c r="A476" s="96" t="s">
        <v>810</v>
      </c>
      <c r="B476" s="23" t="str">
        <f>'3.4.raw'!M476</f>
        <v>PLc1023</v>
      </c>
      <c r="C476" s="24">
        <f>'3.4.raw'!T476</f>
        <v>43817</v>
      </c>
      <c r="D476" s="23">
        <f>'3.4.raw'!I476</f>
        <v>11</v>
      </c>
      <c r="E476" s="1">
        <v>3.4</v>
      </c>
      <c r="G476" s="23" t="b">
        <f>if(countif(Status!C:C,A476)=1,TRUE, FALSE)</f>
        <v>1</v>
      </c>
      <c r="H476" s="23" t="str">
        <f>'3.4.raw'!AD476</f>
        <v/>
      </c>
    </row>
    <row r="477">
      <c r="A477" s="23" t="str">
        <f t="shared" ref="A477:A735" si="4">B477</f>
        <v>PLc1024</v>
      </c>
      <c r="B477" s="23" t="str">
        <f>'3.4.raw'!M477</f>
        <v>PLc1024</v>
      </c>
      <c r="C477" s="24">
        <f>'3.4.raw'!T477</f>
        <v>43826</v>
      </c>
      <c r="D477" s="23">
        <f>'3.4.raw'!I477</f>
        <v>11</v>
      </c>
      <c r="E477" s="1">
        <v>3.4</v>
      </c>
      <c r="G477" s="23" t="b">
        <f>if(countif(Status!C:C,A477)=1,TRUE, FALSE)</f>
        <v>1</v>
      </c>
      <c r="H477" s="23" t="str">
        <f>'3.4.raw'!AD477</f>
        <v/>
      </c>
    </row>
    <row r="478">
      <c r="A478" s="23" t="str">
        <f t="shared" si="4"/>
        <v>MO1043</v>
      </c>
      <c r="B478" s="23" t="str">
        <f>'3.4.raw'!M478</f>
        <v>MO1043</v>
      </c>
      <c r="C478" s="24">
        <f>'3.4.raw'!T478</f>
        <v>43686</v>
      </c>
      <c r="D478" s="23">
        <f>'3.4.raw'!I478</f>
        <v>12</v>
      </c>
      <c r="E478" s="1">
        <v>3.4</v>
      </c>
      <c r="G478" s="23" t="b">
        <f>if(countif(Status!C:C,A478)=1,TRUE, FALSE)</f>
        <v>1</v>
      </c>
      <c r="H478" s="23" t="str">
        <f>'3.4.raw'!AD478</f>
        <v/>
      </c>
    </row>
    <row r="479">
      <c r="A479" s="23" t="str">
        <f t="shared" si="4"/>
        <v>MO1043D</v>
      </c>
      <c r="B479" s="23" t="str">
        <f>'3.4.raw'!M479</f>
        <v>MO1043D</v>
      </c>
      <c r="C479" s="24">
        <f>'3.4.raw'!T479</f>
        <v>43686</v>
      </c>
      <c r="D479" s="23">
        <f>'3.4.raw'!I479</f>
        <v>12</v>
      </c>
      <c r="E479" s="1">
        <v>3.4</v>
      </c>
      <c r="G479" s="23" t="b">
        <f>if(countif(Status!C:C,A479)=1,TRUE, FALSE)</f>
        <v>1</v>
      </c>
      <c r="H479" s="23" t="str">
        <f>'3.4.raw'!AD479</f>
        <v/>
      </c>
    </row>
    <row r="480">
      <c r="A480" s="23" t="str">
        <f t="shared" si="4"/>
        <v>MO1044</v>
      </c>
      <c r="B480" s="23" t="str">
        <f>'3.4.raw'!M480</f>
        <v>MO1044</v>
      </c>
      <c r="C480" s="24">
        <f>'3.4.raw'!T480</f>
        <v>43686</v>
      </c>
      <c r="D480" s="23">
        <f>'3.4.raw'!I480</f>
        <v>12</v>
      </c>
      <c r="E480" s="1">
        <v>3.4</v>
      </c>
      <c r="G480" s="23" t="b">
        <f>if(countif(Status!C:C,A480)=1,TRUE, FALSE)</f>
        <v>1</v>
      </c>
      <c r="H480" s="23" t="str">
        <f>'3.4.raw'!AD480</f>
        <v/>
      </c>
    </row>
    <row r="481">
      <c r="A481" s="23" t="str">
        <f t="shared" si="4"/>
        <v>MO1044D</v>
      </c>
      <c r="B481" s="23" t="str">
        <f>'3.4.raw'!M481</f>
        <v>MO1044D</v>
      </c>
      <c r="C481" s="24">
        <f>'3.4.raw'!T481</f>
        <v>43686</v>
      </c>
      <c r="D481" s="23">
        <f>'3.4.raw'!I481</f>
        <v>12</v>
      </c>
      <c r="E481" s="1">
        <v>3.4</v>
      </c>
      <c r="G481" s="23" t="b">
        <f>if(countif(Status!C:C,A481)=1,TRUE, FALSE)</f>
        <v>1</v>
      </c>
      <c r="H481" s="23" t="str">
        <f>'3.4.raw'!AD481</f>
        <v/>
      </c>
    </row>
    <row r="482">
      <c r="A482" s="23" t="str">
        <f t="shared" si="4"/>
        <v>MO1045</v>
      </c>
      <c r="B482" s="23" t="str">
        <f>'3.4.raw'!M482</f>
        <v>MO1045</v>
      </c>
      <c r="C482" s="24">
        <f>'3.4.raw'!T482</f>
        <v>43686</v>
      </c>
      <c r="D482" s="23">
        <f>'3.4.raw'!I482</f>
        <v>12</v>
      </c>
      <c r="E482" s="1">
        <v>3.4</v>
      </c>
      <c r="G482" s="23" t="b">
        <f>if(countif(Status!C:C,A482)=1,TRUE, FALSE)</f>
        <v>1</v>
      </c>
      <c r="H482" s="23" t="str">
        <f>'3.4.raw'!AD482</f>
        <v/>
      </c>
    </row>
    <row r="483">
      <c r="A483" s="23" t="str">
        <f t="shared" si="4"/>
        <v>MO1045D</v>
      </c>
      <c r="B483" s="23" t="str">
        <f>'3.4.raw'!M483</f>
        <v>MO1045D</v>
      </c>
      <c r="C483" s="24">
        <f>'3.4.raw'!T483</f>
        <v>43686</v>
      </c>
      <c r="D483" s="23">
        <f>'3.4.raw'!I483</f>
        <v>12</v>
      </c>
      <c r="E483" s="1">
        <v>3.4</v>
      </c>
      <c r="G483" s="23" t="b">
        <f>if(countif(Status!C:C,A483)=1,TRUE, FALSE)</f>
        <v>1</v>
      </c>
      <c r="H483" s="23" t="str">
        <f>'3.4.raw'!AD483</f>
        <v/>
      </c>
    </row>
    <row r="484">
      <c r="A484" s="23" t="str">
        <f t="shared" si="4"/>
        <v>MO1046</v>
      </c>
      <c r="B484" s="23" t="str">
        <f>'3.4.raw'!M484</f>
        <v>MO1046</v>
      </c>
      <c r="C484" s="24">
        <f>'3.4.raw'!T484</f>
        <v>43686</v>
      </c>
      <c r="D484" s="23">
        <f>'3.4.raw'!I484</f>
        <v>12</v>
      </c>
      <c r="E484" s="1">
        <v>3.4</v>
      </c>
      <c r="G484" s="23" t="b">
        <f>if(countif(Status!C:C,A484)=1,TRUE, FALSE)</f>
        <v>1</v>
      </c>
      <c r="H484" s="23" t="str">
        <f>'3.4.raw'!AD484</f>
        <v/>
      </c>
    </row>
    <row r="485">
      <c r="A485" s="23" t="str">
        <f t="shared" si="4"/>
        <v>MO1046D</v>
      </c>
      <c r="B485" s="23" t="str">
        <f>'3.4.raw'!M485</f>
        <v>MO1046D</v>
      </c>
      <c r="C485" s="24">
        <f>'3.4.raw'!T485</f>
        <v>43686</v>
      </c>
      <c r="D485" s="23">
        <f>'3.4.raw'!I485</f>
        <v>12</v>
      </c>
      <c r="E485" s="1">
        <v>3.4</v>
      </c>
      <c r="G485" s="23" t="b">
        <f>if(countif(Status!C:C,A485)=1,TRUE, FALSE)</f>
        <v>1</v>
      </c>
      <c r="H485" s="23" t="str">
        <f>'3.4.raw'!AD485</f>
        <v/>
      </c>
    </row>
    <row r="486">
      <c r="A486" s="23" t="str">
        <f t="shared" si="4"/>
        <v>FB1004UP</v>
      </c>
      <c r="B486" s="23" t="str">
        <f>'3.4.raw'!M486</f>
        <v>FB1004UP</v>
      </c>
      <c r="C486" s="24">
        <f>'3.4.raw'!T486</f>
        <v>43686</v>
      </c>
      <c r="D486" s="23">
        <f>'3.4.raw'!I486</f>
        <v>99</v>
      </c>
      <c r="E486" s="1">
        <v>3.4</v>
      </c>
      <c r="G486" s="23" t="b">
        <f>if(countif(Status!C:C,A486)=1,TRUE, FALSE)</f>
        <v>1</v>
      </c>
      <c r="H486" s="23" t="str">
        <f>'3.4.raw'!AD486</f>
        <v/>
      </c>
    </row>
    <row r="487">
      <c r="A487" s="23" t="str">
        <f t="shared" si="4"/>
        <v>MO1047</v>
      </c>
      <c r="B487" s="23" t="str">
        <f>'3.4.raw'!M487</f>
        <v>MO1047</v>
      </c>
      <c r="C487" s="24">
        <f>'3.4.raw'!T487</f>
        <v>43686</v>
      </c>
      <c r="D487" s="23">
        <f>'3.4.raw'!I487</f>
        <v>12</v>
      </c>
      <c r="E487" s="1">
        <v>3.4</v>
      </c>
      <c r="G487" s="23" t="b">
        <f>if(countif(Status!C:C,A487)=1,TRUE, FALSE)</f>
        <v>1</v>
      </c>
      <c r="H487" s="23" t="str">
        <f>'3.4.raw'!AD487</f>
        <v/>
      </c>
    </row>
    <row r="488">
      <c r="A488" s="23" t="str">
        <f t="shared" si="4"/>
        <v>MO1048</v>
      </c>
      <c r="B488" s="23" t="str">
        <f>'3.4.raw'!M488</f>
        <v>MO1048</v>
      </c>
      <c r="C488" s="24">
        <f>'3.4.raw'!T488</f>
        <v>43686</v>
      </c>
      <c r="D488" s="23">
        <f>'3.4.raw'!I488</f>
        <v>12</v>
      </c>
      <c r="E488" s="1">
        <v>3.4</v>
      </c>
      <c r="G488" s="23" t="b">
        <f>if(countif(Status!C:C,A488)=1,TRUE, FALSE)</f>
        <v>1</v>
      </c>
      <c r="H488" s="23" t="str">
        <f>'3.4.raw'!AD488</f>
        <v/>
      </c>
    </row>
    <row r="489">
      <c r="A489" s="23" t="str">
        <f t="shared" si="4"/>
        <v>MO1049</v>
      </c>
      <c r="B489" s="23" t="str">
        <f>'3.4.raw'!M489</f>
        <v>MO1049</v>
      </c>
      <c r="C489" s="24">
        <f>'3.4.raw'!T489</f>
        <v>43686</v>
      </c>
      <c r="D489" s="23">
        <f>'3.4.raw'!I489</f>
        <v>12</v>
      </c>
      <c r="E489" s="1">
        <v>3.4</v>
      </c>
      <c r="G489" s="23" t="b">
        <f>if(countif(Status!C:C,A489)=1,TRUE, FALSE)</f>
        <v>1</v>
      </c>
      <c r="H489" s="23" t="str">
        <f>'3.4.raw'!AD489</f>
        <v/>
      </c>
    </row>
    <row r="490">
      <c r="A490" s="23" t="str">
        <f t="shared" si="4"/>
        <v>MO1050</v>
      </c>
      <c r="B490" s="23" t="str">
        <f>'3.4.raw'!M490</f>
        <v>MO1050</v>
      </c>
      <c r="C490" s="24">
        <f>'3.4.raw'!T490</f>
        <v>43686</v>
      </c>
      <c r="D490" s="23">
        <f>'3.4.raw'!I490</f>
        <v>12</v>
      </c>
      <c r="E490" s="1">
        <v>3.4</v>
      </c>
      <c r="G490" s="23" t="b">
        <f>if(countif(Status!C:C,A490)=1,TRUE, FALSE)</f>
        <v>1</v>
      </c>
      <c r="H490" s="23" t="str">
        <f>'3.4.raw'!AD490</f>
        <v/>
      </c>
    </row>
    <row r="491">
      <c r="A491" s="23" t="str">
        <f t="shared" si="4"/>
        <v>FB1005UP</v>
      </c>
      <c r="B491" s="23" t="str">
        <f>'3.4.raw'!M491</f>
        <v>FB1005UP</v>
      </c>
      <c r="C491" s="24">
        <f>'3.4.raw'!T491</f>
        <v>43686</v>
      </c>
      <c r="D491" s="23">
        <f>'3.4.raw'!I491</f>
        <v>99</v>
      </c>
      <c r="E491" s="1">
        <v>3.4</v>
      </c>
      <c r="G491" s="23" t="b">
        <f>if(countif(Status!C:C,A491)=1,TRUE, FALSE)</f>
        <v>1</v>
      </c>
      <c r="H491" s="23" t="str">
        <f>'3.4.raw'!AD491</f>
        <v/>
      </c>
    </row>
    <row r="492">
      <c r="A492" s="23" t="str">
        <f t="shared" si="4"/>
        <v>PL1009</v>
      </c>
      <c r="B492" s="23" t="str">
        <f>'3.4.raw'!M492</f>
        <v>PL1009</v>
      </c>
      <c r="C492" s="24">
        <f>'3.4.raw'!T492</f>
        <v>43686</v>
      </c>
      <c r="D492" s="23">
        <f>'3.4.raw'!I492</f>
        <v>7</v>
      </c>
      <c r="E492" s="1">
        <v>3.4</v>
      </c>
      <c r="G492" s="23" t="b">
        <f>if(countif(Status!C:C,A492)=1,TRUE, FALSE)</f>
        <v>1</v>
      </c>
      <c r="H492" s="23" t="str">
        <f>'3.4.raw'!AD492</f>
        <v/>
      </c>
    </row>
    <row r="493">
      <c r="A493" s="23" t="str">
        <f t="shared" si="4"/>
        <v>PL1009F</v>
      </c>
      <c r="B493" s="23" t="str">
        <f>'3.4.raw'!M493</f>
        <v>PL1009F</v>
      </c>
      <c r="C493" s="24">
        <f>'3.4.raw'!T493</f>
        <v>43686</v>
      </c>
      <c r="D493" s="23">
        <f>'3.4.raw'!I493</f>
        <v>7</v>
      </c>
      <c r="E493" s="1">
        <v>3.4</v>
      </c>
      <c r="G493" s="23" t="b">
        <f>if(countif(Status!C:C,A493)=1,TRUE, FALSE)</f>
        <v>1</v>
      </c>
      <c r="H493" s="23" t="str">
        <f>'3.4.raw'!AD493</f>
        <v/>
      </c>
    </row>
    <row r="494">
      <c r="A494" s="23" t="str">
        <f t="shared" si="4"/>
        <v>MO1051</v>
      </c>
      <c r="B494" s="23" t="str">
        <f>'3.4.raw'!M494</f>
        <v>MO1051</v>
      </c>
      <c r="C494" s="24">
        <f>'3.4.raw'!T494</f>
        <v>43684</v>
      </c>
      <c r="D494" s="23">
        <f>'3.4.raw'!I494</f>
        <v>12</v>
      </c>
      <c r="E494" s="1">
        <v>3.4</v>
      </c>
      <c r="G494" s="23" t="b">
        <f>if(countif(Status!C:C,A494)=1,TRUE, FALSE)</f>
        <v>1</v>
      </c>
      <c r="H494" s="23" t="str">
        <f>'3.4.raw'!AD494</f>
        <v/>
      </c>
    </row>
    <row r="495">
      <c r="A495" s="23" t="str">
        <f t="shared" si="4"/>
        <v>MO1053</v>
      </c>
      <c r="B495" s="23" t="str">
        <f>'3.4.raw'!M495</f>
        <v>MO1053</v>
      </c>
      <c r="C495" s="24">
        <f>'3.4.raw'!T495</f>
        <v>43684</v>
      </c>
      <c r="D495" s="23">
        <f>'3.4.raw'!I495</f>
        <v>12</v>
      </c>
      <c r="E495" s="1">
        <v>3.4</v>
      </c>
      <c r="G495" s="23" t="b">
        <f>if(countif(Status!C:C,A495)=1,TRUE, FALSE)</f>
        <v>1</v>
      </c>
      <c r="H495" s="23" t="str">
        <f>'3.4.raw'!AD495</f>
        <v/>
      </c>
    </row>
    <row r="496">
      <c r="A496" s="23" t="str">
        <f t="shared" si="4"/>
        <v>MO1054</v>
      </c>
      <c r="B496" s="23" t="str">
        <f>'3.4.raw'!M496</f>
        <v>MO1054</v>
      </c>
      <c r="C496" s="24">
        <f>'3.4.raw'!T496</f>
        <v>43684</v>
      </c>
      <c r="D496" s="23">
        <f>'3.4.raw'!I496</f>
        <v>12</v>
      </c>
      <c r="E496" s="1">
        <v>3.4</v>
      </c>
      <c r="G496" s="23" t="b">
        <f>if(countif(Status!C:C,A496)=1,TRUE, FALSE)</f>
        <v>1</v>
      </c>
      <c r="H496" s="23" t="str">
        <f>'3.4.raw'!AD496</f>
        <v/>
      </c>
    </row>
    <row r="497">
      <c r="A497" s="23" t="str">
        <f t="shared" si="4"/>
        <v>FB1006UP</v>
      </c>
      <c r="B497" s="23" t="str">
        <f>'3.4.raw'!M497</f>
        <v>FB1006UP</v>
      </c>
      <c r="C497" s="24">
        <f>'3.4.raw'!T497</f>
        <v>43684</v>
      </c>
      <c r="D497" s="23">
        <f>'3.4.raw'!I497</f>
        <v>99</v>
      </c>
      <c r="E497" s="1">
        <v>3.4</v>
      </c>
      <c r="G497" s="23" t="b">
        <f>if(countif(Status!C:C,A497)=1,TRUE, FALSE)</f>
        <v>1</v>
      </c>
      <c r="H497" s="23" t="str">
        <f>'3.4.raw'!AD497</f>
        <v>Associated sample MO1054</v>
      </c>
    </row>
    <row r="498">
      <c r="A498" s="23" t="str">
        <f t="shared" si="4"/>
        <v>PL1010</v>
      </c>
      <c r="B498" s="23" t="str">
        <f>'3.4.raw'!M498</f>
        <v>PL1010</v>
      </c>
      <c r="C498" s="24">
        <f>'3.4.raw'!T498</f>
        <v>43684</v>
      </c>
      <c r="D498" s="23">
        <f>'3.4.raw'!I498</f>
        <v>7</v>
      </c>
      <c r="E498" s="1">
        <v>3.4</v>
      </c>
      <c r="G498" s="23" t="b">
        <f>if(countif(Status!C:C,A498)=1,TRUE, FALSE)</f>
        <v>1</v>
      </c>
      <c r="H498" s="23" t="str">
        <f>'3.4.raw'!AD498</f>
        <v/>
      </c>
    </row>
    <row r="499">
      <c r="A499" s="23" t="str">
        <f t="shared" si="4"/>
        <v>PL1010FL</v>
      </c>
      <c r="B499" s="23" t="str">
        <f>'3.4.raw'!M499</f>
        <v>PL1010FL</v>
      </c>
      <c r="C499" s="24">
        <f>'3.4.raw'!T499</f>
        <v>43684</v>
      </c>
      <c r="D499" s="23">
        <f>'3.4.raw'!I499</f>
        <v>7</v>
      </c>
      <c r="E499" s="1">
        <v>3.4</v>
      </c>
      <c r="G499" s="23" t="b">
        <f>if(countif(Status!C:C,A499)=1,TRUE, FALSE)</f>
        <v>1</v>
      </c>
      <c r="H499" s="23" t="str">
        <f>'3.4.raw'!AD499</f>
        <v/>
      </c>
    </row>
    <row r="500">
      <c r="A500" s="23" t="str">
        <f t="shared" si="4"/>
        <v>FB1007UP</v>
      </c>
      <c r="B500" s="23" t="str">
        <f>'3.4.raw'!M500</f>
        <v>FB1007UP</v>
      </c>
      <c r="C500" s="24">
        <f>'3.4.raw'!T500</f>
        <v>43684</v>
      </c>
      <c r="D500" s="23">
        <f>'3.4.raw'!I500</f>
        <v>99</v>
      </c>
      <c r="E500" s="1">
        <v>3.4</v>
      </c>
      <c r="G500" s="23" t="b">
        <f>if(countif(Status!C:C,A500)=1,TRUE, FALSE)</f>
        <v>1</v>
      </c>
      <c r="H500" s="23" t="str">
        <f>'3.4.raw'!AD500</f>
        <v>Associated sample PL1010</v>
      </c>
    </row>
    <row r="501">
      <c r="A501" s="23" t="str">
        <f t="shared" si="4"/>
        <v>MO1055</v>
      </c>
      <c r="B501" s="23" t="str">
        <f>'3.4.raw'!M501</f>
        <v>MO1055</v>
      </c>
      <c r="C501" s="24">
        <f>'3.4.raw'!T501</f>
        <v>43684</v>
      </c>
      <c r="D501" s="23">
        <f>'3.4.raw'!I501</f>
        <v>12</v>
      </c>
      <c r="E501" s="1">
        <v>3.4</v>
      </c>
      <c r="G501" s="23" t="b">
        <f>if(countif(Status!C:C,A501)=1,TRUE, FALSE)</f>
        <v>1</v>
      </c>
      <c r="H501" s="23" t="str">
        <f>'3.4.raw'!AD501</f>
        <v/>
      </c>
    </row>
    <row r="502">
      <c r="A502" s="23" t="str">
        <f t="shared" si="4"/>
        <v>MO1055D</v>
      </c>
      <c r="B502" s="23" t="str">
        <f>'3.4.raw'!M502</f>
        <v>MO1055D</v>
      </c>
      <c r="C502" s="24">
        <f>'3.4.raw'!T502</f>
        <v>43684</v>
      </c>
      <c r="D502" s="23">
        <f>'3.4.raw'!I502</f>
        <v>12</v>
      </c>
      <c r="E502" s="1">
        <v>3.4</v>
      </c>
      <c r="G502" s="23" t="b">
        <f>if(countif(Status!C:C,A502)=1,TRUE, FALSE)</f>
        <v>1</v>
      </c>
      <c r="H502" s="23" t="str">
        <f>'3.4.raw'!AD502</f>
        <v/>
      </c>
    </row>
    <row r="503">
      <c r="A503" s="23" t="str">
        <f t="shared" si="4"/>
        <v>MO1056</v>
      </c>
      <c r="B503" s="23" t="str">
        <f>'3.4.raw'!M503</f>
        <v>MO1056</v>
      </c>
      <c r="C503" s="24">
        <f>'3.4.raw'!T503</f>
        <v>43684</v>
      </c>
      <c r="D503" s="23">
        <f>'3.4.raw'!I503</f>
        <v>12</v>
      </c>
      <c r="E503" s="1">
        <v>3.4</v>
      </c>
      <c r="G503" s="23" t="b">
        <f>if(countif(Status!C:C,A503)=1,TRUE, FALSE)</f>
        <v>1</v>
      </c>
      <c r="H503" s="23" t="str">
        <f>'3.4.raw'!AD503</f>
        <v/>
      </c>
    </row>
    <row r="504">
      <c r="A504" s="23" t="str">
        <f t="shared" si="4"/>
        <v>MO1056D</v>
      </c>
      <c r="B504" s="23" t="str">
        <f>'3.4.raw'!M504</f>
        <v>MO1056D</v>
      </c>
      <c r="C504" s="24">
        <f>'3.4.raw'!T504</f>
        <v>43684</v>
      </c>
      <c r="D504" s="23">
        <f>'3.4.raw'!I504</f>
        <v>12</v>
      </c>
      <c r="E504" s="1">
        <v>3.4</v>
      </c>
      <c r="G504" s="23" t="b">
        <f>if(countif(Status!C:C,A504)=1,TRUE, FALSE)</f>
        <v>1</v>
      </c>
      <c r="H504" s="23" t="str">
        <f>'3.4.raw'!AD504</f>
        <v/>
      </c>
    </row>
    <row r="505">
      <c r="A505" s="23" t="str">
        <f t="shared" si="4"/>
        <v>MO1057</v>
      </c>
      <c r="B505" s="23" t="str">
        <f>'3.4.raw'!M505</f>
        <v>MO1057</v>
      </c>
      <c r="C505" s="24">
        <f>'3.4.raw'!T505</f>
        <v>43684</v>
      </c>
      <c r="D505" s="23">
        <f>'3.4.raw'!I505</f>
        <v>12</v>
      </c>
      <c r="E505" s="1">
        <v>3.4</v>
      </c>
      <c r="G505" s="23" t="b">
        <f>if(countif(Status!C:C,A505)=1,TRUE, FALSE)</f>
        <v>1</v>
      </c>
      <c r="H505" s="23" t="str">
        <f>'3.4.raw'!AD505</f>
        <v/>
      </c>
    </row>
    <row r="506">
      <c r="A506" s="23" t="str">
        <f t="shared" si="4"/>
        <v>MO1057D</v>
      </c>
      <c r="B506" s="23" t="str">
        <f>'3.4.raw'!M506</f>
        <v>MO1057D</v>
      </c>
      <c r="C506" s="24">
        <f>'3.4.raw'!T506</f>
        <v>43684</v>
      </c>
      <c r="D506" s="23">
        <f>'3.4.raw'!I506</f>
        <v>12</v>
      </c>
      <c r="E506" s="1">
        <v>3.4</v>
      </c>
      <c r="G506" s="23" t="b">
        <f>if(countif(Status!C:C,A506)=1,TRUE, FALSE)</f>
        <v>1</v>
      </c>
      <c r="H506" s="23" t="str">
        <f>'3.4.raw'!AD506</f>
        <v/>
      </c>
    </row>
    <row r="507">
      <c r="A507" s="23" t="str">
        <f t="shared" si="4"/>
        <v>MO1058</v>
      </c>
      <c r="B507" s="23" t="str">
        <f>'3.4.raw'!M507</f>
        <v>MO1058</v>
      </c>
      <c r="C507" s="24">
        <f>'3.4.raw'!T507</f>
        <v>43684</v>
      </c>
      <c r="D507" s="23">
        <f>'3.4.raw'!I507</f>
        <v>12</v>
      </c>
      <c r="E507" s="1">
        <v>3.4</v>
      </c>
      <c r="G507" s="23" t="b">
        <f>if(countif(Status!C:C,A507)=1,TRUE, FALSE)</f>
        <v>1</v>
      </c>
      <c r="H507" s="23" t="str">
        <f>'3.4.raw'!AD507</f>
        <v/>
      </c>
    </row>
    <row r="508">
      <c r="A508" s="23" t="str">
        <f t="shared" si="4"/>
        <v>MO1058D</v>
      </c>
      <c r="B508" s="23" t="str">
        <f>'3.4.raw'!M508</f>
        <v>MO1058D</v>
      </c>
      <c r="C508" s="24">
        <f>'3.4.raw'!T508</f>
        <v>43684</v>
      </c>
      <c r="D508" s="23">
        <f>'3.4.raw'!I508</f>
        <v>12</v>
      </c>
      <c r="E508" s="1">
        <v>3.4</v>
      </c>
      <c r="G508" s="23" t="b">
        <f>if(countif(Status!C:C,A508)=1,TRUE, FALSE)</f>
        <v>1</v>
      </c>
      <c r="H508" s="23" t="str">
        <f>'3.4.raw'!AD508</f>
        <v/>
      </c>
    </row>
    <row r="509">
      <c r="A509" s="23" t="str">
        <f t="shared" si="4"/>
        <v>PL1011</v>
      </c>
      <c r="B509" s="23" t="str">
        <f>'3.4.raw'!M509</f>
        <v>PL1011</v>
      </c>
      <c r="C509" s="24">
        <f>'3.4.raw'!T509</f>
        <v>43684</v>
      </c>
      <c r="D509" s="23">
        <f>'3.4.raw'!I509</f>
        <v>7</v>
      </c>
      <c r="E509" s="1">
        <v>3.4</v>
      </c>
      <c r="G509" s="23" t="b">
        <f>if(countif(Status!C:C,A509)=1,TRUE, FALSE)</f>
        <v>1</v>
      </c>
      <c r="H509" s="23" t="str">
        <f>'3.4.raw'!AD509</f>
        <v/>
      </c>
    </row>
    <row r="510">
      <c r="A510" s="23" t="str">
        <f t="shared" si="4"/>
        <v>PL1011F</v>
      </c>
      <c r="B510" s="23" t="str">
        <f>'3.4.raw'!M510</f>
        <v>PL1011F</v>
      </c>
      <c r="C510" s="24">
        <f>'3.4.raw'!T510</f>
        <v>43684</v>
      </c>
      <c r="D510" s="23">
        <f>'3.4.raw'!I510</f>
        <v>7</v>
      </c>
      <c r="E510" s="1">
        <v>3.4</v>
      </c>
      <c r="G510" s="23" t="b">
        <f>if(countif(Status!C:C,A510)=1,TRUE, FALSE)</f>
        <v>1</v>
      </c>
      <c r="H510" s="23" t="str">
        <f>'3.4.raw'!AD510</f>
        <v/>
      </c>
    </row>
    <row r="511">
      <c r="A511" s="23" t="str">
        <f t="shared" si="4"/>
        <v>MO1059</v>
      </c>
      <c r="B511" s="23" t="str">
        <f>'3.4.raw'!M511</f>
        <v>MO1059</v>
      </c>
      <c r="C511" s="24">
        <f>'3.4.raw'!T511</f>
        <v>43684</v>
      </c>
      <c r="D511" s="23">
        <f>'3.4.raw'!I511</f>
        <v>12</v>
      </c>
      <c r="E511" s="1">
        <v>3.4</v>
      </c>
      <c r="G511" s="23" t="b">
        <f>if(countif(Status!C:C,A511)=1,TRUE, FALSE)</f>
        <v>1</v>
      </c>
      <c r="H511" s="23" t="str">
        <f>'3.4.raw'!AD511</f>
        <v/>
      </c>
    </row>
    <row r="512">
      <c r="A512" s="23" t="str">
        <f t="shared" si="4"/>
        <v>MO1059D</v>
      </c>
      <c r="B512" s="23" t="str">
        <f>'3.4.raw'!M512</f>
        <v>MO1059D</v>
      </c>
      <c r="C512" s="24">
        <f>'3.4.raw'!T512</f>
        <v>43684</v>
      </c>
      <c r="D512" s="23">
        <f>'3.4.raw'!I512</f>
        <v>12</v>
      </c>
      <c r="E512" s="1">
        <v>3.4</v>
      </c>
      <c r="G512" s="23" t="b">
        <f>if(countif(Status!C:C,A512)=1,TRUE, FALSE)</f>
        <v>1</v>
      </c>
      <c r="H512" s="23" t="str">
        <f>'3.4.raw'!AD512</f>
        <v/>
      </c>
    </row>
    <row r="513">
      <c r="A513" s="23" t="str">
        <f t="shared" si="4"/>
        <v>MO1060</v>
      </c>
      <c r="B513" s="23" t="str">
        <f>'3.4.raw'!M513</f>
        <v>MO1060</v>
      </c>
      <c r="C513" s="24">
        <f>'3.4.raw'!T513</f>
        <v>43684</v>
      </c>
      <c r="D513" s="23">
        <f>'3.4.raw'!I513</f>
        <v>12</v>
      </c>
      <c r="E513" s="1">
        <v>3.4</v>
      </c>
      <c r="G513" s="23" t="b">
        <f>if(countif(Status!C:C,A513)=1,TRUE, FALSE)</f>
        <v>1</v>
      </c>
      <c r="H513" s="23" t="str">
        <f>'3.4.raw'!AD513</f>
        <v/>
      </c>
    </row>
    <row r="514">
      <c r="A514" s="23" t="str">
        <f t="shared" si="4"/>
        <v>MO1060D</v>
      </c>
      <c r="B514" s="23" t="str">
        <f>'3.4.raw'!M514</f>
        <v>MO1060D</v>
      </c>
      <c r="C514" s="24">
        <f>'3.4.raw'!T514</f>
        <v>43684</v>
      </c>
      <c r="D514" s="23">
        <f>'3.4.raw'!I514</f>
        <v>12</v>
      </c>
      <c r="E514" s="1">
        <v>3.4</v>
      </c>
      <c r="G514" s="23" t="b">
        <f>if(countif(Status!C:C,A514)=1,TRUE, FALSE)</f>
        <v>1</v>
      </c>
      <c r="H514" s="23" t="str">
        <f>'3.4.raw'!AD514</f>
        <v/>
      </c>
    </row>
    <row r="515">
      <c r="A515" s="23" t="str">
        <f t="shared" si="4"/>
        <v>MO1061</v>
      </c>
      <c r="B515" s="23" t="str">
        <f>'3.4.raw'!M515</f>
        <v>MO1061</v>
      </c>
      <c r="C515" s="24">
        <f>'3.4.raw'!T515</f>
        <v>43684</v>
      </c>
      <c r="D515" s="23">
        <f>'3.4.raw'!I515</f>
        <v>12</v>
      </c>
      <c r="E515" s="1">
        <v>3.4</v>
      </c>
      <c r="G515" s="23" t="b">
        <f>if(countif(Status!C:C,A515)=1,TRUE, FALSE)</f>
        <v>1</v>
      </c>
      <c r="H515" s="23" t="str">
        <f>'3.4.raw'!AD515</f>
        <v/>
      </c>
    </row>
    <row r="516">
      <c r="A516" s="23" t="str">
        <f t="shared" si="4"/>
        <v>MO1061D</v>
      </c>
      <c r="B516" s="23" t="str">
        <f>'3.4.raw'!M516</f>
        <v>MO1061D</v>
      </c>
      <c r="C516" s="24">
        <f>'3.4.raw'!T516</f>
        <v>43684</v>
      </c>
      <c r="D516" s="23">
        <f>'3.4.raw'!I516</f>
        <v>12</v>
      </c>
      <c r="E516" s="1">
        <v>3.4</v>
      </c>
      <c r="G516" s="23" t="b">
        <f>if(countif(Status!C:C,A516)=1,TRUE, FALSE)</f>
        <v>1</v>
      </c>
      <c r="H516" s="23" t="str">
        <f>'3.4.raw'!AD516</f>
        <v/>
      </c>
    </row>
    <row r="517">
      <c r="A517" s="23" t="str">
        <f t="shared" si="4"/>
        <v>MO1062</v>
      </c>
      <c r="B517" s="23" t="str">
        <f>'3.4.raw'!M517</f>
        <v>MO1062</v>
      </c>
      <c r="C517" s="24">
        <f>'3.4.raw'!T517</f>
        <v>43684</v>
      </c>
      <c r="D517" s="23">
        <f>'3.4.raw'!I517</f>
        <v>12</v>
      </c>
      <c r="E517" s="1">
        <v>3.4</v>
      </c>
      <c r="G517" s="23" t="b">
        <f>if(countif(Status!C:C,A517)=1,TRUE, FALSE)</f>
        <v>1</v>
      </c>
      <c r="H517" s="23" t="str">
        <f>'3.4.raw'!AD517</f>
        <v/>
      </c>
    </row>
    <row r="518">
      <c r="A518" s="23" t="str">
        <f t="shared" si="4"/>
        <v>FB1008UP</v>
      </c>
      <c r="B518" s="23" t="str">
        <f>'3.4.raw'!M518</f>
        <v>FB1008UP</v>
      </c>
      <c r="C518" s="24">
        <f>'3.4.raw'!T518</f>
        <v>43684</v>
      </c>
      <c r="D518" s="23">
        <f>'3.4.raw'!I518</f>
        <v>99</v>
      </c>
      <c r="E518" s="1">
        <v>3.4</v>
      </c>
      <c r="G518" s="23" t="b">
        <f>if(countif(Status!C:C,A518)=1,TRUE, FALSE)</f>
        <v>1</v>
      </c>
      <c r="H518" s="23" t="str">
        <f>'3.4.raw'!AD518</f>
        <v/>
      </c>
    </row>
    <row r="519">
      <c r="A519" s="23" t="str">
        <f t="shared" si="4"/>
        <v>PL1012</v>
      </c>
      <c r="B519" s="23" t="str">
        <f>'3.4.raw'!M519</f>
        <v>PL1012</v>
      </c>
      <c r="C519" s="24">
        <f>'3.4.raw'!T519</f>
        <v>43683</v>
      </c>
      <c r="D519" s="23">
        <f>'3.4.raw'!I519</f>
        <v>7</v>
      </c>
      <c r="E519" s="1">
        <v>3.4</v>
      </c>
      <c r="G519" s="23" t="b">
        <f>if(countif(Status!C:C,A519)=1,TRUE, FALSE)</f>
        <v>1</v>
      </c>
      <c r="H519" s="23" t="str">
        <f>'3.4.raw'!AD519</f>
        <v/>
      </c>
    </row>
    <row r="520">
      <c r="A520" s="23" t="str">
        <f t="shared" si="4"/>
        <v>PL1012F</v>
      </c>
      <c r="B520" s="23" t="str">
        <f>'3.4.raw'!M520</f>
        <v>PL1012F</v>
      </c>
      <c r="C520" s="24">
        <f>'3.4.raw'!T520</f>
        <v>43683</v>
      </c>
      <c r="D520" s="23">
        <f>'3.4.raw'!I520</f>
        <v>7</v>
      </c>
      <c r="E520" s="1">
        <v>3.4</v>
      </c>
      <c r="G520" s="23" t="b">
        <f>if(countif(Status!C:C,A520)=1,TRUE, FALSE)</f>
        <v>1</v>
      </c>
      <c r="H520" s="23" t="str">
        <f>'3.4.raw'!AD520</f>
        <v/>
      </c>
    </row>
    <row r="521">
      <c r="A521" s="23" t="str">
        <f t="shared" si="4"/>
        <v>FB1009UP</v>
      </c>
      <c r="B521" s="23" t="str">
        <f>'3.4.raw'!M521</f>
        <v>FB1009UP</v>
      </c>
      <c r="C521" s="24">
        <f>'3.4.raw'!T521</f>
        <v>43683</v>
      </c>
      <c r="D521" s="23">
        <f>'3.4.raw'!I521</f>
        <v>99</v>
      </c>
      <c r="E521" s="1">
        <v>3.4</v>
      </c>
      <c r="G521" s="23" t="b">
        <f>if(countif(Status!C:C,A521)=1,TRUE, FALSE)</f>
        <v>1</v>
      </c>
      <c r="H521" s="23" t="str">
        <f>'3.4.raw'!AD521</f>
        <v>Associated sample PL1012</v>
      </c>
    </row>
    <row r="522">
      <c r="A522" s="23" t="str">
        <f t="shared" si="4"/>
        <v>MO1063</v>
      </c>
      <c r="B522" s="23" t="str">
        <f>'3.4.raw'!M522</f>
        <v>MO1063</v>
      </c>
      <c r="C522" s="24">
        <f>'3.4.raw'!T522</f>
        <v>43684</v>
      </c>
      <c r="D522" s="23">
        <f>'3.4.raw'!I522</f>
        <v>12</v>
      </c>
      <c r="E522" s="1">
        <v>3.4</v>
      </c>
      <c r="G522" s="23" t="b">
        <f>if(countif(Status!C:C,A522)=1,TRUE, FALSE)</f>
        <v>1</v>
      </c>
      <c r="H522" s="23" t="str">
        <f>'3.4.raw'!AD522</f>
        <v/>
      </c>
    </row>
    <row r="523">
      <c r="A523" s="23" t="str">
        <f t="shared" si="4"/>
        <v>MO1064</v>
      </c>
      <c r="B523" s="23" t="str">
        <f>'3.4.raw'!M523</f>
        <v>MO1064</v>
      </c>
      <c r="C523" s="24">
        <f>'3.4.raw'!T523</f>
        <v>43684</v>
      </c>
      <c r="D523" s="23">
        <f>'3.4.raw'!I523</f>
        <v>12</v>
      </c>
      <c r="E523" s="1">
        <v>3.4</v>
      </c>
      <c r="G523" s="23" t="b">
        <f>if(countif(Status!C:C,A523)=1,TRUE, FALSE)</f>
        <v>1</v>
      </c>
      <c r="H523" s="23" t="str">
        <f>'3.4.raw'!AD523</f>
        <v/>
      </c>
    </row>
    <row r="524">
      <c r="A524" s="23" t="str">
        <f t="shared" si="4"/>
        <v>MO1065</v>
      </c>
      <c r="B524" s="23" t="str">
        <f>'3.4.raw'!M524</f>
        <v>MO1065</v>
      </c>
      <c r="C524" s="24">
        <f>'3.4.raw'!T524</f>
        <v>43684</v>
      </c>
      <c r="D524" s="23">
        <f>'3.4.raw'!I524</f>
        <v>12</v>
      </c>
      <c r="E524" s="1">
        <v>3.4</v>
      </c>
      <c r="G524" s="23" t="b">
        <f>if(countif(Status!C:C,A524)=1,TRUE, FALSE)</f>
        <v>1</v>
      </c>
      <c r="H524" s="23" t="str">
        <f>'3.4.raw'!AD524</f>
        <v/>
      </c>
    </row>
    <row r="525">
      <c r="A525" s="23" t="str">
        <f t="shared" si="4"/>
        <v>MO1066</v>
      </c>
      <c r="B525" s="23" t="str">
        <f>'3.4.raw'!M525</f>
        <v>MO1066</v>
      </c>
      <c r="C525" s="24">
        <f>'3.4.raw'!T525</f>
        <v>43684</v>
      </c>
      <c r="D525" s="23">
        <f>'3.4.raw'!I525</f>
        <v>12</v>
      </c>
      <c r="E525" s="1">
        <v>3.4</v>
      </c>
      <c r="G525" s="23" t="b">
        <f>if(countif(Status!C:C,A525)=1,TRUE, FALSE)</f>
        <v>1</v>
      </c>
      <c r="H525" s="23" t="str">
        <f>'3.4.raw'!AD525</f>
        <v/>
      </c>
    </row>
    <row r="526">
      <c r="A526" s="23" t="str">
        <f t="shared" si="4"/>
        <v>PL1013</v>
      </c>
      <c r="B526" s="23" t="str">
        <f>'3.4.raw'!M526</f>
        <v>PL1013</v>
      </c>
      <c r="C526" s="24">
        <f>'3.4.raw'!T526</f>
        <v>43684</v>
      </c>
      <c r="D526" s="23">
        <f>'3.4.raw'!I526</f>
        <v>7</v>
      </c>
      <c r="E526" s="1">
        <v>3.4</v>
      </c>
      <c r="G526" s="23" t="b">
        <f>if(countif(Status!C:C,A526)=1,TRUE, FALSE)</f>
        <v>1</v>
      </c>
      <c r="H526" s="23" t="str">
        <f>'3.4.raw'!AD526</f>
        <v/>
      </c>
    </row>
    <row r="527">
      <c r="A527" s="23" t="str">
        <f t="shared" si="4"/>
        <v>PL1013F</v>
      </c>
      <c r="B527" s="23" t="str">
        <f>'3.4.raw'!M527</f>
        <v>PL1013F</v>
      </c>
      <c r="C527" s="24">
        <f>'3.4.raw'!T527</f>
        <v>43684</v>
      </c>
      <c r="D527" s="23">
        <f>'3.4.raw'!I527</f>
        <v>7</v>
      </c>
      <c r="E527" s="1">
        <v>3.4</v>
      </c>
      <c r="G527" s="23" t="b">
        <f>if(countif(Status!C:C,A527)=1,TRUE, FALSE)</f>
        <v>1</v>
      </c>
      <c r="H527" s="23" t="str">
        <f>'3.4.raw'!AD527</f>
        <v/>
      </c>
    </row>
    <row r="528">
      <c r="A528" s="23" t="str">
        <f t="shared" si="4"/>
        <v>MO1067</v>
      </c>
      <c r="B528" s="23" t="str">
        <f>'3.4.raw'!M528</f>
        <v>MO1067</v>
      </c>
      <c r="C528" s="24">
        <f>'3.4.raw'!T528</f>
        <v>43684</v>
      </c>
      <c r="D528" s="23">
        <f>'3.4.raw'!I528</f>
        <v>12</v>
      </c>
      <c r="E528" s="1">
        <v>3.4</v>
      </c>
      <c r="G528" s="23" t="b">
        <f>if(countif(Status!C:C,A528)=1,TRUE, FALSE)</f>
        <v>1</v>
      </c>
      <c r="H528" s="23" t="str">
        <f>'3.4.raw'!AD528</f>
        <v/>
      </c>
    </row>
    <row r="529">
      <c r="A529" s="23" t="str">
        <f t="shared" si="4"/>
        <v>MO1067D</v>
      </c>
      <c r="B529" s="23" t="str">
        <f>'3.4.raw'!M529</f>
        <v>MO1067D</v>
      </c>
      <c r="C529" s="24">
        <f>'3.4.raw'!T529</f>
        <v>43684</v>
      </c>
      <c r="D529" s="23">
        <f>'3.4.raw'!I529</f>
        <v>12</v>
      </c>
      <c r="E529" s="1">
        <v>3.4</v>
      </c>
      <c r="G529" s="23" t="b">
        <f>if(countif(Status!C:C,A529)=1,TRUE, FALSE)</f>
        <v>1</v>
      </c>
      <c r="H529" s="23" t="str">
        <f>'3.4.raw'!AD529</f>
        <v/>
      </c>
    </row>
    <row r="530">
      <c r="A530" s="23" t="str">
        <f t="shared" si="4"/>
        <v>MO1068</v>
      </c>
      <c r="B530" s="23" t="str">
        <f>'3.4.raw'!M530</f>
        <v>MO1068</v>
      </c>
      <c r="C530" s="24">
        <f>'3.4.raw'!T530</f>
        <v>43684</v>
      </c>
      <c r="D530" s="23">
        <f>'3.4.raw'!I530</f>
        <v>12</v>
      </c>
      <c r="E530" s="1">
        <v>3.4</v>
      </c>
      <c r="G530" s="23" t="b">
        <f>if(countif(Status!C:C,A530)=1,TRUE, FALSE)</f>
        <v>1</v>
      </c>
      <c r="H530" s="23" t="str">
        <f>'3.4.raw'!AD530</f>
        <v/>
      </c>
    </row>
    <row r="531">
      <c r="A531" s="23" t="str">
        <f t="shared" si="4"/>
        <v>MO1068D</v>
      </c>
      <c r="B531" s="23" t="str">
        <f>'3.4.raw'!M531</f>
        <v>MO1068D</v>
      </c>
      <c r="C531" s="24">
        <f>'3.4.raw'!T531</f>
        <v>43684</v>
      </c>
      <c r="D531" s="23">
        <f>'3.4.raw'!I531</f>
        <v>12</v>
      </c>
      <c r="E531" s="1">
        <v>3.4</v>
      </c>
      <c r="G531" s="23" t="b">
        <f>if(countif(Status!C:C,A531)=1,TRUE, FALSE)</f>
        <v>1</v>
      </c>
      <c r="H531" s="23" t="str">
        <f>'3.4.raw'!AD531</f>
        <v/>
      </c>
    </row>
    <row r="532">
      <c r="A532" s="23" t="str">
        <f t="shared" si="4"/>
        <v>MO1069</v>
      </c>
      <c r="B532" s="23" t="str">
        <f>'3.4.raw'!M532</f>
        <v>MO1069</v>
      </c>
      <c r="C532" s="24">
        <f>'3.4.raw'!T532</f>
        <v>43684</v>
      </c>
      <c r="D532" s="23">
        <f>'3.4.raw'!I532</f>
        <v>12</v>
      </c>
      <c r="E532" s="1">
        <v>3.4</v>
      </c>
      <c r="G532" s="23" t="b">
        <f>if(countif(Status!C:C,A532)=1,TRUE, FALSE)</f>
        <v>1</v>
      </c>
      <c r="H532" s="23" t="str">
        <f>'3.4.raw'!AD532</f>
        <v/>
      </c>
    </row>
    <row r="533">
      <c r="A533" s="23" t="str">
        <f t="shared" si="4"/>
        <v>MO1069D</v>
      </c>
      <c r="B533" s="23" t="str">
        <f>'3.4.raw'!M533</f>
        <v>MO1069D</v>
      </c>
      <c r="C533" s="24">
        <f>'3.4.raw'!T533</f>
        <v>43684</v>
      </c>
      <c r="D533" s="23">
        <f>'3.4.raw'!I533</f>
        <v>12</v>
      </c>
      <c r="E533" s="1">
        <v>3.4</v>
      </c>
      <c r="G533" s="23" t="b">
        <f>if(countif(Status!C:C,A533)=1,TRUE, FALSE)</f>
        <v>1</v>
      </c>
      <c r="H533" s="23" t="str">
        <f>'3.4.raw'!AD533</f>
        <v/>
      </c>
    </row>
    <row r="534">
      <c r="A534" s="23" t="str">
        <f t="shared" si="4"/>
        <v>MO1070</v>
      </c>
      <c r="B534" s="23" t="str">
        <f>'3.4.raw'!M534</f>
        <v>MO1070</v>
      </c>
      <c r="C534" s="24">
        <f>'3.4.raw'!T534</f>
        <v>43684</v>
      </c>
      <c r="D534" s="23">
        <f>'3.4.raw'!I534</f>
        <v>12</v>
      </c>
      <c r="E534" s="1">
        <v>3.4</v>
      </c>
      <c r="G534" s="23" t="b">
        <f>if(countif(Status!C:C,A534)=1,TRUE, FALSE)</f>
        <v>1</v>
      </c>
      <c r="H534" s="23" t="str">
        <f>'3.4.raw'!AD534</f>
        <v/>
      </c>
    </row>
    <row r="535">
      <c r="A535" s="23" t="str">
        <f t="shared" si="4"/>
        <v>MO1070D</v>
      </c>
      <c r="B535" s="23" t="str">
        <f>'3.4.raw'!M535</f>
        <v>MO1070D</v>
      </c>
      <c r="C535" s="24">
        <f>'3.4.raw'!T535</f>
        <v>43684</v>
      </c>
      <c r="D535" s="23">
        <f>'3.4.raw'!I535</f>
        <v>12</v>
      </c>
      <c r="E535" s="1">
        <v>3.4</v>
      </c>
      <c r="G535" s="23" t="b">
        <f>if(countif(Status!C:C,A535)=1,TRUE, FALSE)</f>
        <v>1</v>
      </c>
      <c r="H535" s="23" t="str">
        <f>'3.4.raw'!AD535</f>
        <v/>
      </c>
    </row>
    <row r="536">
      <c r="A536" s="23" t="str">
        <f t="shared" si="4"/>
        <v>FB1010UP</v>
      </c>
      <c r="B536" s="23" t="str">
        <f>'3.4.raw'!M536</f>
        <v>FB1010UP</v>
      </c>
      <c r="C536" s="24">
        <f>'3.4.raw'!T536</f>
        <v>43684</v>
      </c>
      <c r="D536" s="23">
        <f>'3.4.raw'!I536</f>
        <v>99</v>
      </c>
      <c r="E536" s="1">
        <v>3.4</v>
      </c>
      <c r="G536" s="23" t="b">
        <f>if(countif(Status!C:C,A536)=1,TRUE, FALSE)</f>
        <v>1</v>
      </c>
      <c r="H536" s="23" t="str">
        <f>'3.4.raw'!AD536</f>
        <v/>
      </c>
    </row>
    <row r="537">
      <c r="A537" s="23" t="str">
        <f t="shared" si="4"/>
        <v>SL1005</v>
      </c>
      <c r="B537" s="23" t="str">
        <f>'3.4.raw'!M537</f>
        <v>SL1005</v>
      </c>
      <c r="C537" s="24">
        <f>'3.4.raw'!T537</f>
        <v>43684</v>
      </c>
      <c r="D537" s="23">
        <f>'3.4.raw'!I537</f>
        <v>8</v>
      </c>
      <c r="E537" s="1">
        <v>3.4</v>
      </c>
      <c r="G537" s="23" t="b">
        <f>if(countif(Status!C:C,A537)=1,TRUE, FALSE)</f>
        <v>1</v>
      </c>
      <c r="H537" s="23" t="str">
        <f>'3.4.raw'!AD537</f>
        <v/>
      </c>
    </row>
    <row r="538">
      <c r="A538" s="23" t="str">
        <f t="shared" si="4"/>
        <v>SL1006</v>
      </c>
      <c r="B538" s="23" t="str">
        <f>'3.4.raw'!M538</f>
        <v>SL1006</v>
      </c>
      <c r="C538" s="24">
        <f>'3.4.raw'!T538</f>
        <v>43684</v>
      </c>
      <c r="D538" s="23">
        <f>'3.4.raw'!I538</f>
        <v>8</v>
      </c>
      <c r="E538" s="1">
        <v>3.4</v>
      </c>
      <c r="G538" s="23" t="b">
        <f>if(countif(Status!C:C,A538)=1,TRUE, FALSE)</f>
        <v>1</v>
      </c>
      <c r="H538" s="23" t="str">
        <f>'3.4.raw'!AD538</f>
        <v/>
      </c>
    </row>
    <row r="539">
      <c r="A539" s="23" t="str">
        <f t="shared" si="4"/>
        <v>SF1009</v>
      </c>
      <c r="B539" s="23" t="str">
        <f>'3.4.raw'!M539</f>
        <v>SF1009</v>
      </c>
      <c r="C539" s="24">
        <f>'3.4.raw'!T539</f>
        <v>43684</v>
      </c>
      <c r="D539" s="23">
        <f>'3.4.raw'!I539</f>
        <v>10</v>
      </c>
      <c r="E539" s="1">
        <v>3.4</v>
      </c>
      <c r="G539" s="23" t="b">
        <f>if(countif(Status!C:C,A539)=1,TRUE, FALSE)</f>
        <v>1</v>
      </c>
      <c r="H539" s="23" t="str">
        <f>'3.4.raw'!AD539</f>
        <v/>
      </c>
    </row>
    <row r="540">
      <c r="A540" s="23" t="str">
        <f t="shared" si="4"/>
        <v>PL1014</v>
      </c>
      <c r="B540" s="23" t="str">
        <f>'3.4.raw'!M540</f>
        <v>PL1014</v>
      </c>
      <c r="C540" s="24">
        <f>'3.4.raw'!T540</f>
        <v>43684</v>
      </c>
      <c r="D540" s="23">
        <f>'3.4.raw'!I540</f>
        <v>7</v>
      </c>
      <c r="E540" s="1">
        <v>3.4</v>
      </c>
      <c r="G540" s="23" t="b">
        <f>if(countif(Status!C:C,A540)=1,TRUE, FALSE)</f>
        <v>1</v>
      </c>
      <c r="H540" s="23" t="str">
        <f>'3.4.raw'!AD540</f>
        <v/>
      </c>
    </row>
    <row r="541">
      <c r="A541" s="23" t="str">
        <f t="shared" si="4"/>
        <v>PL1014FL</v>
      </c>
      <c r="B541" s="23" t="str">
        <f>'3.4.raw'!M541</f>
        <v>PL1014FL</v>
      </c>
      <c r="C541" s="24">
        <f>'3.4.raw'!T541</f>
        <v>43684</v>
      </c>
      <c r="D541" s="23">
        <f>'3.4.raw'!I541</f>
        <v>7</v>
      </c>
      <c r="E541" s="1">
        <v>3.4</v>
      </c>
      <c r="G541" s="23" t="b">
        <f>if(countif(Status!C:C,A541)=1,TRUE, FALSE)</f>
        <v>1</v>
      </c>
      <c r="H541" s="23" t="str">
        <f>'3.4.raw'!AD541</f>
        <v/>
      </c>
    </row>
    <row r="542">
      <c r="A542" s="23" t="str">
        <f t="shared" si="4"/>
        <v>FB1011UP</v>
      </c>
      <c r="B542" s="23" t="str">
        <f>'3.4.raw'!M542</f>
        <v>FB1011UP</v>
      </c>
      <c r="C542" s="24">
        <f>'3.4.raw'!T542</f>
        <v>43684</v>
      </c>
      <c r="D542" s="23">
        <f>'3.4.raw'!I542</f>
        <v>99</v>
      </c>
      <c r="E542" s="1">
        <v>3.4</v>
      </c>
      <c r="G542" s="23" t="b">
        <f>if(countif(Status!C:C,A542)=1,TRUE, FALSE)</f>
        <v>1</v>
      </c>
      <c r="H542" s="23" t="str">
        <f>'3.4.raw'!AD542</f>
        <v/>
      </c>
    </row>
    <row r="543">
      <c r="A543" s="23" t="str">
        <f t="shared" si="4"/>
        <v>SF1010</v>
      </c>
      <c r="B543" s="23" t="str">
        <f>'3.4.raw'!M543</f>
        <v>SF1010</v>
      </c>
      <c r="C543" s="24">
        <f>'3.4.raw'!T543</f>
        <v>43684</v>
      </c>
      <c r="D543" s="23">
        <f>'3.4.raw'!I543</f>
        <v>10</v>
      </c>
      <c r="E543" s="1">
        <v>3.4</v>
      </c>
      <c r="G543" s="23" t="b">
        <f>if(countif(Status!C:C,A543)=1,TRUE, FALSE)</f>
        <v>1</v>
      </c>
      <c r="H543" s="23" t="str">
        <f>'3.4.raw'!AD543</f>
        <v/>
      </c>
    </row>
    <row r="544">
      <c r="A544" s="23" t="str">
        <f t="shared" si="4"/>
        <v>MO1071</v>
      </c>
      <c r="B544" s="23" t="str">
        <f>'3.4.raw'!M544</f>
        <v>MO1071</v>
      </c>
      <c r="C544" s="24">
        <f>'3.4.raw'!T544</f>
        <v>43684</v>
      </c>
      <c r="D544" s="23">
        <f>'3.4.raw'!I544</f>
        <v>12</v>
      </c>
      <c r="E544" s="1">
        <v>3.4</v>
      </c>
      <c r="G544" s="23" t="b">
        <f>if(countif(Status!C:C,A544)=1,TRUE, FALSE)</f>
        <v>1</v>
      </c>
      <c r="H544" s="23" t="str">
        <f>'3.4.raw'!AD544</f>
        <v/>
      </c>
    </row>
    <row r="545">
      <c r="A545" s="23" t="str">
        <f t="shared" si="4"/>
        <v>MO1072</v>
      </c>
      <c r="B545" s="23" t="str">
        <f>'3.4.raw'!M545</f>
        <v>MO1072</v>
      </c>
      <c r="C545" s="24">
        <f>'3.4.raw'!T545</f>
        <v>43684</v>
      </c>
      <c r="D545" s="23">
        <f>'3.4.raw'!I545</f>
        <v>12</v>
      </c>
      <c r="E545" s="1">
        <v>3.4</v>
      </c>
      <c r="G545" s="23" t="b">
        <f>if(countif(Status!C:C,A545)=1,TRUE, FALSE)</f>
        <v>1</v>
      </c>
      <c r="H545" s="23" t="str">
        <f>'3.4.raw'!AD545</f>
        <v/>
      </c>
    </row>
    <row r="546">
      <c r="A546" s="23" t="str">
        <f t="shared" si="4"/>
        <v>MO1073</v>
      </c>
      <c r="B546" s="23" t="str">
        <f>'3.4.raw'!M546</f>
        <v>MO1073</v>
      </c>
      <c r="C546" s="24">
        <f>'3.4.raw'!T546</f>
        <v>43684</v>
      </c>
      <c r="D546" s="23">
        <f>'3.4.raw'!I546</f>
        <v>12</v>
      </c>
      <c r="E546" s="1">
        <v>3.4</v>
      </c>
      <c r="G546" s="23" t="b">
        <f>if(countif(Status!C:C,A546)=1,TRUE, FALSE)</f>
        <v>1</v>
      </c>
      <c r="H546" s="23" t="str">
        <f>'3.4.raw'!AD546</f>
        <v/>
      </c>
    </row>
    <row r="547">
      <c r="A547" s="23" t="str">
        <f t="shared" si="4"/>
        <v>MO1074</v>
      </c>
      <c r="B547" s="23" t="str">
        <f>'3.4.raw'!M547</f>
        <v>MO1074</v>
      </c>
      <c r="C547" s="24">
        <f>'3.4.raw'!T547</f>
        <v>43684</v>
      </c>
      <c r="D547" s="23">
        <f>'3.4.raw'!I547</f>
        <v>12</v>
      </c>
      <c r="E547" s="1">
        <v>3.4</v>
      </c>
      <c r="G547" s="23" t="b">
        <f>if(countif(Status!C:C,A547)=1,TRUE, FALSE)</f>
        <v>1</v>
      </c>
      <c r="H547" s="23" t="str">
        <f>'3.4.raw'!AD547</f>
        <v/>
      </c>
    </row>
    <row r="548">
      <c r="A548" s="23" t="str">
        <f t="shared" si="4"/>
        <v>RP1007</v>
      </c>
      <c r="B548" s="23" t="str">
        <f>'3.4.raw'!M548</f>
        <v>RP1007</v>
      </c>
      <c r="C548" s="24">
        <f>'3.4.raw'!T548</f>
        <v>43684</v>
      </c>
      <c r="D548" s="23">
        <f>'3.4.raw'!I548</f>
        <v>2</v>
      </c>
      <c r="E548" s="1">
        <v>3.4</v>
      </c>
      <c r="G548" s="23" t="b">
        <f>if(countif(Status!C:C,A548)=1,TRUE, FALSE)</f>
        <v>1</v>
      </c>
      <c r="H548" s="23" t="str">
        <f>'3.4.raw'!AD548</f>
        <v/>
      </c>
    </row>
    <row r="549">
      <c r="A549" s="23" t="str">
        <f t="shared" si="4"/>
        <v>RP1008</v>
      </c>
      <c r="B549" s="23" t="str">
        <f>'3.4.raw'!M549</f>
        <v>RP1008</v>
      </c>
      <c r="C549" s="24">
        <f>'3.4.raw'!T549</f>
        <v>43684</v>
      </c>
      <c r="D549" s="23">
        <f>'3.4.raw'!I549</f>
        <v>2</v>
      </c>
      <c r="E549" s="1">
        <v>3.4</v>
      </c>
      <c r="G549" s="23" t="b">
        <f>if(countif(Status!C:C,A549)=1,TRUE, FALSE)</f>
        <v>1</v>
      </c>
      <c r="H549" s="23" t="str">
        <f>'3.4.raw'!AD549</f>
        <v/>
      </c>
    </row>
    <row r="550">
      <c r="A550" s="23" t="str">
        <f t="shared" si="4"/>
        <v>RP1009</v>
      </c>
      <c r="B550" s="23" t="str">
        <f>'3.4.raw'!M550</f>
        <v>RP1009</v>
      </c>
      <c r="C550" s="24">
        <f>'3.4.raw'!T550</f>
        <v>43684</v>
      </c>
      <c r="D550" s="23">
        <f>'3.4.raw'!I550</f>
        <v>2</v>
      </c>
      <c r="E550" s="1">
        <v>3.4</v>
      </c>
      <c r="G550" s="23" t="b">
        <f>if(countif(Status!C:C,A550)=1,TRUE, FALSE)</f>
        <v>1</v>
      </c>
      <c r="H550" s="23" t="str">
        <f>'3.4.raw'!AD550</f>
        <v/>
      </c>
    </row>
    <row r="551">
      <c r="A551" s="23" t="str">
        <f t="shared" si="4"/>
        <v>MO1079</v>
      </c>
      <c r="B551" s="23" t="str">
        <f>'3.4.raw'!M551</f>
        <v>MO1079</v>
      </c>
      <c r="C551" s="24">
        <f>'3.4.raw'!T551</f>
        <v>43684</v>
      </c>
      <c r="D551" s="23">
        <f>'3.4.raw'!I551</f>
        <v>12</v>
      </c>
      <c r="E551" s="1">
        <v>3.4</v>
      </c>
      <c r="G551" s="23" t="b">
        <f>if(countif(Status!C:C,A551)=1,TRUE, FALSE)</f>
        <v>1</v>
      </c>
      <c r="H551" s="23" t="str">
        <f>'3.4.raw'!AD551</f>
        <v/>
      </c>
    </row>
    <row r="552">
      <c r="A552" s="23" t="str">
        <f t="shared" si="4"/>
        <v>MO1080</v>
      </c>
      <c r="B552" s="23" t="str">
        <f>'3.4.raw'!M552</f>
        <v>MO1080</v>
      </c>
      <c r="C552" s="24">
        <f>'3.4.raw'!T552</f>
        <v>43684</v>
      </c>
      <c r="D552" s="23">
        <f>'3.4.raw'!I552</f>
        <v>12</v>
      </c>
      <c r="E552" s="1">
        <v>3.4</v>
      </c>
      <c r="G552" s="23" t="b">
        <f>if(countif(Status!C:C,A552)=1,TRUE, FALSE)</f>
        <v>1</v>
      </c>
      <c r="H552" s="23" t="str">
        <f>'3.4.raw'!AD552</f>
        <v/>
      </c>
    </row>
    <row r="553">
      <c r="A553" s="23" t="str">
        <f t="shared" si="4"/>
        <v>MO1081</v>
      </c>
      <c r="B553" s="23" t="str">
        <f>'3.4.raw'!M553</f>
        <v>MO1081</v>
      </c>
      <c r="C553" s="24">
        <f>'3.4.raw'!T553</f>
        <v>43684</v>
      </c>
      <c r="D553" s="23">
        <f>'3.4.raw'!I553</f>
        <v>12</v>
      </c>
      <c r="E553" s="1">
        <v>3.4</v>
      </c>
      <c r="G553" s="23" t="b">
        <f>if(countif(Status!C:C,A553)=1,TRUE, FALSE)</f>
        <v>1</v>
      </c>
      <c r="H553" s="23" t="str">
        <f>'3.4.raw'!AD553</f>
        <v/>
      </c>
    </row>
    <row r="554">
      <c r="A554" s="23" t="str">
        <f t="shared" si="4"/>
        <v>MO1082</v>
      </c>
      <c r="B554" s="23" t="str">
        <f>'3.4.raw'!M554</f>
        <v>MO1082</v>
      </c>
      <c r="C554" s="24">
        <f>'3.4.raw'!T554</f>
        <v>43684</v>
      </c>
      <c r="D554" s="23">
        <f>'3.4.raw'!I554</f>
        <v>12</v>
      </c>
      <c r="E554" s="1">
        <v>3.4</v>
      </c>
      <c r="G554" s="23" t="b">
        <f>if(countif(Status!C:C,A554)=1,TRUE, FALSE)</f>
        <v>1</v>
      </c>
      <c r="H554" s="23" t="str">
        <f>'3.4.raw'!AD554</f>
        <v/>
      </c>
    </row>
    <row r="555">
      <c r="A555" s="23" t="str">
        <f t="shared" si="4"/>
        <v>SL1009</v>
      </c>
      <c r="B555" s="23" t="str">
        <f>'3.4.raw'!M555</f>
        <v>SL1009</v>
      </c>
      <c r="C555" s="24">
        <f>'3.4.raw'!T555</f>
        <v>43684</v>
      </c>
      <c r="D555" s="23">
        <f>'3.4.raw'!I555</f>
        <v>8</v>
      </c>
      <c r="E555" s="1">
        <v>3.4</v>
      </c>
      <c r="G555" s="23" t="b">
        <f>if(countif(Status!C:C,A555)=1,TRUE, FALSE)</f>
        <v>1</v>
      </c>
      <c r="H555" s="23" t="str">
        <f>'3.4.raw'!AD555</f>
        <v/>
      </c>
    </row>
    <row r="556">
      <c r="A556" s="23" t="str">
        <f t="shared" si="4"/>
        <v>PL1017</v>
      </c>
      <c r="B556" s="23" t="str">
        <f>'3.4.raw'!M556</f>
        <v>PL1017</v>
      </c>
      <c r="C556" s="24">
        <f>'3.4.raw'!T556</f>
        <v>43684</v>
      </c>
      <c r="D556" s="23">
        <f>'3.4.raw'!I556</f>
        <v>7</v>
      </c>
      <c r="E556" s="1">
        <v>3.4</v>
      </c>
      <c r="G556" s="23" t="b">
        <f>if(countif(Status!C:C,A556)=1,TRUE, FALSE)</f>
        <v>1</v>
      </c>
      <c r="H556" s="23" t="str">
        <f>'3.4.raw'!AD556</f>
        <v/>
      </c>
    </row>
    <row r="557">
      <c r="A557" s="23" t="str">
        <f t="shared" si="4"/>
        <v>PL1017F</v>
      </c>
      <c r="B557" s="23" t="str">
        <f>'3.4.raw'!M557</f>
        <v>PL1017F</v>
      </c>
      <c r="C557" s="24">
        <f>'3.4.raw'!T557</f>
        <v>43684</v>
      </c>
      <c r="D557" s="23">
        <f>'3.4.raw'!I557</f>
        <v>7</v>
      </c>
      <c r="E557" s="1">
        <v>3.4</v>
      </c>
      <c r="G557" s="23" t="b">
        <f>if(countif(Status!C:C,A557)=1,TRUE, FALSE)</f>
        <v>1</v>
      </c>
      <c r="H557" s="23" t="str">
        <f>'3.4.raw'!AD557</f>
        <v/>
      </c>
    </row>
    <row r="558">
      <c r="A558" s="23" t="str">
        <f t="shared" si="4"/>
        <v>FB1017UP</v>
      </c>
      <c r="B558" s="23" t="str">
        <f>'3.4.raw'!M558</f>
        <v>FB1017UP</v>
      </c>
      <c r="C558" s="24">
        <f>'3.4.raw'!T558</f>
        <v>43684</v>
      </c>
      <c r="D558" s="23">
        <f>'3.4.raw'!I558</f>
        <v>99</v>
      </c>
      <c r="E558" s="1">
        <v>3.4</v>
      </c>
      <c r="G558" s="23" t="b">
        <f>if(countif(Status!C:C,A558)=1,TRUE, FALSE)</f>
        <v>1</v>
      </c>
      <c r="H558" s="23" t="str">
        <f>'3.4.raw'!AD558</f>
        <v>Associated sample PL1017</v>
      </c>
    </row>
    <row r="559">
      <c r="A559" s="23" t="str">
        <f t="shared" si="4"/>
        <v>PLc1014</v>
      </c>
      <c r="B559" s="23" t="str">
        <f>'3.4.raw'!M559</f>
        <v>PLc1014</v>
      </c>
      <c r="C559" s="24">
        <f>'3.4.raw'!T559</f>
        <v>43789</v>
      </c>
      <c r="D559" s="23">
        <f>'3.4.raw'!I559</f>
        <v>11</v>
      </c>
      <c r="E559" s="1">
        <v>3.4</v>
      </c>
      <c r="G559" s="23" t="b">
        <f>if(countif(Status!C:C,A559)=1,TRUE, FALSE)</f>
        <v>1</v>
      </c>
      <c r="H559" s="23" t="str">
        <f>'3.4.raw'!AD559</f>
        <v/>
      </c>
    </row>
    <row r="560">
      <c r="A560" s="23" t="str">
        <f t="shared" si="4"/>
        <v>PLc1015</v>
      </c>
      <c r="B560" s="23" t="str">
        <f>'3.4.raw'!M560</f>
        <v>PLc1015</v>
      </c>
      <c r="C560" s="24">
        <f>'3.4.raw'!T560</f>
        <v>43789</v>
      </c>
      <c r="D560" s="23">
        <f>'3.4.raw'!I560</f>
        <v>11</v>
      </c>
      <c r="E560" s="1">
        <v>3.4</v>
      </c>
      <c r="G560" s="23" t="b">
        <f>if(countif(Status!C:C,A560)=1,TRUE, FALSE)</f>
        <v>1</v>
      </c>
      <c r="H560" s="23" t="str">
        <f>'3.4.raw'!AD560</f>
        <v/>
      </c>
    </row>
    <row r="561">
      <c r="A561" s="23" t="str">
        <f t="shared" si="4"/>
        <v>PLc1016</v>
      </c>
      <c r="B561" s="23" t="str">
        <f>'3.4.raw'!M561</f>
        <v>PLc1016</v>
      </c>
      <c r="C561" s="24">
        <f>'3.4.raw'!T561</f>
        <v>43789</v>
      </c>
      <c r="D561" s="23">
        <f>'3.4.raw'!I561</f>
        <v>11</v>
      </c>
      <c r="E561" s="1">
        <v>3.4</v>
      </c>
      <c r="G561" s="23" t="b">
        <f>if(countif(Status!C:C,A561)=1,TRUE, FALSE)</f>
        <v>1</v>
      </c>
      <c r="H561" s="23" t="str">
        <f>'3.4.raw'!AD561</f>
        <v/>
      </c>
    </row>
    <row r="562">
      <c r="A562" s="23" t="str">
        <f t="shared" si="4"/>
        <v>PLc1017</v>
      </c>
      <c r="B562" s="23" t="str">
        <f>'3.4.raw'!M562</f>
        <v>PLc1017</v>
      </c>
      <c r="C562" s="24">
        <f>'3.4.raw'!T562</f>
        <v>43789</v>
      </c>
      <c r="D562" s="23">
        <f>'3.4.raw'!I562</f>
        <v>11</v>
      </c>
      <c r="E562" s="1">
        <v>3.4</v>
      </c>
      <c r="G562" s="23" t="b">
        <f>if(countif(Status!C:C,A562)=1,TRUE, FALSE)</f>
        <v>1</v>
      </c>
      <c r="H562" s="23" t="str">
        <f>'3.4.raw'!AD562</f>
        <v/>
      </c>
    </row>
    <row r="563">
      <c r="A563" s="23" t="str">
        <f t="shared" si="4"/>
        <v>PLc1018</v>
      </c>
      <c r="B563" s="23" t="str">
        <f>'3.4.raw'!M563</f>
        <v>PLc1018</v>
      </c>
      <c r="C563" s="24">
        <f>'3.4.raw'!T563</f>
        <v>43789</v>
      </c>
      <c r="D563" s="23">
        <f>'3.4.raw'!I563</f>
        <v>11</v>
      </c>
      <c r="E563" s="1">
        <v>3.4</v>
      </c>
      <c r="G563" s="23" t="b">
        <f>if(countif(Status!C:C,A563)=1,TRUE, FALSE)</f>
        <v>1</v>
      </c>
      <c r="H563" s="23" t="str">
        <f>'3.4.raw'!AD563</f>
        <v/>
      </c>
    </row>
    <row r="564">
      <c r="A564" s="23" t="str">
        <f t="shared" si="4"/>
        <v>PLc1019</v>
      </c>
      <c r="B564" s="23" t="str">
        <f>'3.4.raw'!M564</f>
        <v>PLc1019</v>
      </c>
      <c r="C564" s="24">
        <f>'3.4.raw'!T564</f>
        <v>43789</v>
      </c>
      <c r="D564" s="23">
        <f>'3.4.raw'!I564</f>
        <v>11</v>
      </c>
      <c r="E564" s="1">
        <v>3.4</v>
      </c>
      <c r="G564" s="23" t="b">
        <f>if(countif(Status!C:C,A564)=1,TRUE, FALSE)</f>
        <v>1</v>
      </c>
      <c r="H564" s="23" t="str">
        <f>'3.4.raw'!AD564</f>
        <v/>
      </c>
    </row>
    <row r="565">
      <c r="A565" s="23" t="str">
        <f t="shared" si="4"/>
        <v>MO1035</v>
      </c>
      <c r="B565" s="23" t="str">
        <f>'3.4.raw'!M565</f>
        <v>MO1035</v>
      </c>
      <c r="C565" s="24">
        <f>'3.4.raw'!T565</f>
        <v>43789</v>
      </c>
      <c r="D565" s="23">
        <f>'3.4.raw'!I565</f>
        <v>12</v>
      </c>
      <c r="E565" s="1">
        <v>3.4</v>
      </c>
      <c r="G565" s="23" t="b">
        <f>if(countif(Status!C:C,A565)=1,TRUE, FALSE)</f>
        <v>1</v>
      </c>
      <c r="H565" s="23" t="str">
        <f>'3.4.raw'!AD565</f>
        <v/>
      </c>
    </row>
    <row r="566">
      <c r="A566" s="23" t="str">
        <f t="shared" si="4"/>
        <v>MO1036</v>
      </c>
      <c r="B566" s="23" t="str">
        <f>'3.4.raw'!M566</f>
        <v>MO1036</v>
      </c>
      <c r="C566" s="24">
        <f>'3.4.raw'!T566</f>
        <v>43789</v>
      </c>
      <c r="D566" s="23">
        <f>'3.4.raw'!I566</f>
        <v>12</v>
      </c>
      <c r="E566" s="1">
        <v>3.4</v>
      </c>
      <c r="G566" s="23" t="b">
        <f>if(countif(Status!C:C,A566)=1,TRUE, FALSE)</f>
        <v>1</v>
      </c>
      <c r="H566" s="23" t="str">
        <f>'3.4.raw'!AD566</f>
        <v/>
      </c>
    </row>
    <row r="567">
      <c r="A567" s="23" t="str">
        <f t="shared" si="4"/>
        <v>MO1037</v>
      </c>
      <c r="B567" s="23" t="str">
        <f>'3.4.raw'!M567</f>
        <v>MO1037</v>
      </c>
      <c r="C567" s="24">
        <f>'3.4.raw'!T567</f>
        <v>43789</v>
      </c>
      <c r="D567" s="23">
        <f>'3.4.raw'!I567</f>
        <v>12</v>
      </c>
      <c r="E567" s="1">
        <v>3.4</v>
      </c>
      <c r="G567" s="23" t="b">
        <f>if(countif(Status!C:C,A567)=1,TRUE, FALSE)</f>
        <v>1</v>
      </c>
      <c r="H567" s="23" t="str">
        <f>'3.4.raw'!AD567</f>
        <v/>
      </c>
    </row>
    <row r="568">
      <c r="A568" s="23" t="str">
        <f t="shared" si="4"/>
        <v>MO1038</v>
      </c>
      <c r="B568" s="23" t="str">
        <f>'3.4.raw'!M568</f>
        <v>MO1038</v>
      </c>
      <c r="C568" s="24">
        <f>'3.4.raw'!T568</f>
        <v>43789</v>
      </c>
      <c r="D568" s="23">
        <f>'3.4.raw'!I568</f>
        <v>12</v>
      </c>
      <c r="E568" s="1">
        <v>3.4</v>
      </c>
      <c r="G568" s="23" t="b">
        <f>if(countif(Status!C:C,A568)=1,TRUE, FALSE)</f>
        <v>1</v>
      </c>
      <c r="H568" s="23" t="str">
        <f>'3.4.raw'!AD568</f>
        <v/>
      </c>
    </row>
    <row r="569">
      <c r="A569" s="23" t="str">
        <f t="shared" si="4"/>
        <v>FB1002</v>
      </c>
      <c r="B569" s="23" t="str">
        <f>'3.4.raw'!M569</f>
        <v>FB1002</v>
      </c>
      <c r="C569" s="24">
        <f>'3.4.raw'!T569</f>
        <v>43789</v>
      </c>
      <c r="D569" s="23">
        <f>'3.4.raw'!I569</f>
        <v>99</v>
      </c>
      <c r="E569" s="1">
        <v>3.4</v>
      </c>
      <c r="G569" s="23" t="b">
        <f>if(countif(Status!C:C,A569)=1,TRUE, FALSE)</f>
        <v>1</v>
      </c>
      <c r="H569" s="23" t="str">
        <f>'3.4.raw'!AD569</f>
        <v/>
      </c>
    </row>
    <row r="570">
      <c r="A570" s="23" t="str">
        <f t="shared" si="4"/>
        <v>MO1039</v>
      </c>
      <c r="B570" s="23" t="str">
        <f>'3.4.raw'!M570</f>
        <v>MO1039</v>
      </c>
      <c r="C570" s="24">
        <f>'3.4.raw'!T570</f>
        <v>43789</v>
      </c>
      <c r="D570" s="23">
        <f>'3.4.raw'!I570</f>
        <v>12</v>
      </c>
      <c r="E570" s="1">
        <v>3.4</v>
      </c>
      <c r="G570" s="23" t="b">
        <f>if(countif(Status!C:C,A570)=1,TRUE, FALSE)</f>
        <v>1</v>
      </c>
      <c r="H570" s="23" t="str">
        <f>'3.4.raw'!AD570</f>
        <v/>
      </c>
    </row>
    <row r="571">
      <c r="A571" s="23" t="str">
        <f t="shared" si="4"/>
        <v>MO1040</v>
      </c>
      <c r="B571" s="23" t="str">
        <f>'3.4.raw'!M571</f>
        <v>MO1040</v>
      </c>
      <c r="C571" s="24">
        <f>'3.4.raw'!T571</f>
        <v>43789</v>
      </c>
      <c r="D571" s="23">
        <f>'3.4.raw'!I571</f>
        <v>12</v>
      </c>
      <c r="E571" s="1">
        <v>3.4</v>
      </c>
      <c r="G571" s="23" t="b">
        <f>if(countif(Status!C:C,A571)=1,TRUE, FALSE)</f>
        <v>1</v>
      </c>
      <c r="H571" s="23" t="str">
        <f>'3.4.raw'!AD571</f>
        <v/>
      </c>
    </row>
    <row r="572">
      <c r="A572" s="23" t="str">
        <f t="shared" si="4"/>
        <v>MO1041</v>
      </c>
      <c r="B572" s="23" t="str">
        <f>'3.4.raw'!M572</f>
        <v>MO1041</v>
      </c>
      <c r="C572" s="24">
        <f>'3.4.raw'!T572</f>
        <v>43836</v>
      </c>
      <c r="D572" s="23">
        <f>'3.4.raw'!I572</f>
        <v>12</v>
      </c>
      <c r="E572" s="1">
        <v>3.4</v>
      </c>
      <c r="G572" s="23" t="b">
        <f>if(countif(Status!C:C,A572)=1,TRUE, FALSE)</f>
        <v>1</v>
      </c>
      <c r="H572" s="23" t="str">
        <f>'3.4.raw'!AD572</f>
        <v/>
      </c>
    </row>
    <row r="573">
      <c r="A573" s="23" t="str">
        <f t="shared" si="4"/>
        <v>MO1042</v>
      </c>
      <c r="B573" s="23" t="str">
        <f>'3.4.raw'!M573</f>
        <v>MO1042</v>
      </c>
      <c r="C573" s="24">
        <f>'3.4.raw'!T573</f>
        <v>43836</v>
      </c>
      <c r="D573" s="23">
        <f>'3.4.raw'!I573</f>
        <v>12</v>
      </c>
      <c r="E573" s="1">
        <v>3.4</v>
      </c>
      <c r="G573" s="23" t="b">
        <f>if(countif(Status!C:C,A573)=1,TRUE, FALSE)</f>
        <v>1</v>
      </c>
      <c r="H573" s="23" t="str">
        <f>'3.4.raw'!AD573</f>
        <v/>
      </c>
    </row>
    <row r="574">
      <c r="A574" s="23" t="str">
        <f t="shared" si="4"/>
        <v>PLc1021</v>
      </c>
      <c r="B574" s="23" t="str">
        <f>'3.4.raw'!M574</f>
        <v>PLc1021</v>
      </c>
      <c r="C574" s="24">
        <f>'3.4.raw'!T574</f>
        <v>43817</v>
      </c>
      <c r="D574" s="23">
        <f>'3.4.raw'!I574</f>
        <v>11</v>
      </c>
      <c r="E574" s="1">
        <v>3.4</v>
      </c>
      <c r="G574" s="23" t="b">
        <f>if(countif(Status!C:C,A574)=1,TRUE, FALSE)</f>
        <v>1</v>
      </c>
      <c r="H574" s="23" t="str">
        <f>'3.4.raw'!AD574</f>
        <v/>
      </c>
    </row>
    <row r="575">
      <c r="A575" s="23" t="str">
        <f t="shared" si="4"/>
        <v>PLc1022</v>
      </c>
      <c r="B575" s="23" t="str">
        <f>'3.4.raw'!M575</f>
        <v>PLc1022</v>
      </c>
      <c r="C575" s="24">
        <f>'3.4.raw'!T575</f>
        <v>43817</v>
      </c>
      <c r="D575" s="23">
        <f>'3.4.raw'!I575</f>
        <v>11</v>
      </c>
      <c r="E575" s="1">
        <v>3.4</v>
      </c>
      <c r="G575" s="23" t="b">
        <f>if(countif(Status!C:C,A575)=1,TRUE, FALSE)</f>
        <v>1</v>
      </c>
      <c r="H575" s="23" t="str">
        <f>'3.4.raw'!AD575</f>
        <v/>
      </c>
    </row>
    <row r="576">
      <c r="A576" s="23" t="str">
        <f t="shared" si="4"/>
        <v>PLc1020</v>
      </c>
      <c r="B576" s="23" t="str">
        <f>'3.4.raw'!M576</f>
        <v>PLc1020</v>
      </c>
      <c r="C576" s="24">
        <f>'3.4.raw'!T576</f>
        <v>43817</v>
      </c>
      <c r="D576" s="23">
        <f>'3.4.raw'!I576</f>
        <v>11</v>
      </c>
      <c r="E576" s="1">
        <v>3.4</v>
      </c>
      <c r="G576" s="23" t="b">
        <f>if(countif(Status!C:C,A576)=1,TRUE, FALSE)</f>
        <v>1</v>
      </c>
      <c r="H576" s="23" t="str">
        <f>'3.4.raw'!AD576</f>
        <v/>
      </c>
    </row>
    <row r="577">
      <c r="A577" s="23" t="str">
        <f t="shared" si="4"/>
        <v>FB1003UP</v>
      </c>
      <c r="B577" s="23" t="str">
        <f>'3.4.raw'!M577</f>
        <v>FB1003UP</v>
      </c>
      <c r="C577" s="24">
        <f>'3.4.raw'!T577</f>
        <v>43686</v>
      </c>
      <c r="D577" s="23">
        <f>'3.4.raw'!I577</f>
        <v>99</v>
      </c>
      <c r="E577" s="1">
        <v>3.4</v>
      </c>
      <c r="G577" s="23" t="b">
        <f>if(countif(Status!C:C,A577)=1,TRUE, FALSE)</f>
        <v>1</v>
      </c>
      <c r="H577" s="23" t="str">
        <f>'3.4.raw'!AD577</f>
        <v>Associated sample PLc1020</v>
      </c>
    </row>
    <row r="578">
      <c r="A578" s="23" t="str">
        <f t="shared" si="4"/>
        <v>PL1007</v>
      </c>
      <c r="B578" s="23" t="str">
        <f>'3.4.raw'!M578</f>
        <v>PL1007</v>
      </c>
      <c r="C578" s="24">
        <f>'3.4.raw'!T578</f>
        <v>43662</v>
      </c>
      <c r="D578" s="23">
        <f>'3.4.raw'!I578</f>
        <v>7</v>
      </c>
      <c r="E578" s="1">
        <v>3.4</v>
      </c>
      <c r="G578" s="23" t="b">
        <f>if(countif(Status!C:C,A578)=1,TRUE, FALSE)</f>
        <v>1</v>
      </c>
      <c r="H578" s="23" t="str">
        <f>'3.4.raw'!AD578</f>
        <v/>
      </c>
    </row>
    <row r="579">
      <c r="A579" s="23" t="str">
        <f t="shared" si="4"/>
        <v>PL1007FL</v>
      </c>
      <c r="B579" s="23" t="str">
        <f>'3.4.raw'!M579</f>
        <v>PL1007FL</v>
      </c>
      <c r="C579" s="24">
        <f>'3.4.raw'!T579</f>
        <v>43662</v>
      </c>
      <c r="D579" s="23">
        <f>'3.4.raw'!I579</f>
        <v>7</v>
      </c>
      <c r="E579" s="1">
        <v>3.4</v>
      </c>
      <c r="G579" s="23" t="b">
        <f>if(countif(Status!C:C,A579)=1,TRUE, FALSE)</f>
        <v>1</v>
      </c>
      <c r="H579" s="23" t="str">
        <f>'3.4.raw'!AD579</f>
        <v/>
      </c>
    </row>
    <row r="580">
      <c r="A580" s="23" t="str">
        <f t="shared" si="4"/>
        <v>PLc1007</v>
      </c>
      <c r="B580" s="23" t="str">
        <f>'3.4.raw'!M580</f>
        <v>PLc1007</v>
      </c>
      <c r="C580" s="24">
        <f>'3.4.raw'!T580</f>
        <v>43662</v>
      </c>
      <c r="D580" s="23">
        <f>'3.4.raw'!I580</f>
        <v>11</v>
      </c>
      <c r="E580" s="1">
        <v>3.4</v>
      </c>
      <c r="G580" s="23" t="b">
        <f>if(countif(Status!C:C,A580)=1,TRUE, FALSE)</f>
        <v>1</v>
      </c>
      <c r="H580" s="23" t="str">
        <f>'3.4.raw'!AD580</f>
        <v/>
      </c>
    </row>
    <row r="581">
      <c r="A581" s="23" t="str">
        <f t="shared" si="4"/>
        <v>PLc1007F</v>
      </c>
      <c r="B581" s="23" t="str">
        <f>'3.4.raw'!M581</f>
        <v>PLc1007F</v>
      </c>
      <c r="C581" s="24">
        <f>'3.4.raw'!T581</f>
        <v>43662</v>
      </c>
      <c r="D581" s="23">
        <f>'3.4.raw'!I581</f>
        <v>11</v>
      </c>
      <c r="E581" s="1">
        <v>3.4</v>
      </c>
      <c r="G581" s="23" t="b">
        <f>if(countif(Status!C:C,A581)=1,TRUE, FALSE)</f>
        <v>1</v>
      </c>
      <c r="H581" s="23" t="str">
        <f>'3.4.raw'!AD581</f>
        <v/>
      </c>
    </row>
    <row r="582">
      <c r="A582" s="23" t="str">
        <f t="shared" si="4"/>
        <v>MO1020</v>
      </c>
      <c r="B582" s="23" t="str">
        <f>'3.4.raw'!M582</f>
        <v>MO1020</v>
      </c>
      <c r="C582" s="24">
        <f>'3.4.raw'!T582</f>
        <v>43662</v>
      </c>
      <c r="D582" s="23">
        <f>'3.4.raw'!I582</f>
        <v>12</v>
      </c>
      <c r="E582" s="1">
        <v>3.4</v>
      </c>
      <c r="G582" s="23" t="b">
        <f>if(countif(Status!C:C,A582)=1,TRUE, FALSE)</f>
        <v>1</v>
      </c>
      <c r="H582" s="23" t="str">
        <f>'3.4.raw'!AD582</f>
        <v/>
      </c>
    </row>
    <row r="583">
      <c r="A583" s="23" t="str">
        <f t="shared" si="4"/>
        <v>MO1020D</v>
      </c>
      <c r="B583" s="23" t="str">
        <f>'3.4.raw'!M583</f>
        <v>MO1020D</v>
      </c>
      <c r="C583" s="24">
        <f>'3.4.raw'!T583</f>
        <v>43662</v>
      </c>
      <c r="D583" s="23">
        <f>'3.4.raw'!I583</f>
        <v>12</v>
      </c>
      <c r="E583" s="1">
        <v>3.4</v>
      </c>
      <c r="G583" s="23" t="b">
        <f>if(countif(Status!C:C,A583)=1,TRUE, FALSE)</f>
        <v>1</v>
      </c>
      <c r="H583" s="23" t="str">
        <f>'3.4.raw'!AD583</f>
        <v/>
      </c>
    </row>
    <row r="584">
      <c r="A584" s="23" t="str">
        <f t="shared" si="4"/>
        <v>MO1021</v>
      </c>
      <c r="B584" s="23" t="str">
        <f>'3.4.raw'!M584</f>
        <v>MO1021</v>
      </c>
      <c r="C584" s="24">
        <f>'3.4.raw'!T584</f>
        <v>43662</v>
      </c>
      <c r="D584" s="23">
        <f>'3.4.raw'!I584</f>
        <v>12</v>
      </c>
      <c r="E584" s="1">
        <v>3.4</v>
      </c>
      <c r="G584" s="23" t="b">
        <f>if(countif(Status!C:C,A584)=1,TRUE, FALSE)</f>
        <v>1</v>
      </c>
      <c r="H584" s="23" t="str">
        <f>'3.4.raw'!AD584</f>
        <v/>
      </c>
    </row>
    <row r="585">
      <c r="A585" s="23" t="str">
        <f t="shared" si="4"/>
        <v>MO1021D</v>
      </c>
      <c r="B585" s="23" t="str">
        <f>'3.4.raw'!M585</f>
        <v>MO1021D</v>
      </c>
      <c r="C585" s="24">
        <f>'3.4.raw'!T585</f>
        <v>43662</v>
      </c>
      <c r="D585" s="23">
        <f>'3.4.raw'!I585</f>
        <v>12</v>
      </c>
      <c r="E585" s="1">
        <v>3.4</v>
      </c>
      <c r="G585" s="23" t="b">
        <f>if(countif(Status!C:C,A585)=1,TRUE, FALSE)</f>
        <v>1</v>
      </c>
      <c r="H585" s="23" t="str">
        <f>'3.4.raw'!AD585</f>
        <v/>
      </c>
    </row>
    <row r="586">
      <c r="A586" s="23" t="str">
        <f t="shared" si="4"/>
        <v>MO1022</v>
      </c>
      <c r="B586" s="23" t="str">
        <f>'3.4.raw'!M586</f>
        <v>MO1022</v>
      </c>
      <c r="C586" s="24">
        <f>'3.4.raw'!T586</f>
        <v>43662</v>
      </c>
      <c r="D586" s="23">
        <f>'3.4.raw'!I586</f>
        <v>12</v>
      </c>
      <c r="E586" s="1">
        <v>3.4</v>
      </c>
      <c r="G586" s="23" t="b">
        <f>if(countif(Status!C:C,A586)=1,TRUE, FALSE)</f>
        <v>1</v>
      </c>
      <c r="H586" s="23" t="str">
        <f>'3.4.raw'!AD586</f>
        <v/>
      </c>
    </row>
    <row r="587">
      <c r="A587" s="23" t="str">
        <f t="shared" si="4"/>
        <v>MO1022D</v>
      </c>
      <c r="B587" s="23" t="str">
        <f>'3.4.raw'!M587</f>
        <v>MO1022D</v>
      </c>
      <c r="C587" s="24">
        <f>'3.4.raw'!T587</f>
        <v>43662</v>
      </c>
      <c r="D587" s="23">
        <f>'3.4.raw'!I587</f>
        <v>12</v>
      </c>
      <c r="E587" s="1">
        <v>3.4</v>
      </c>
      <c r="G587" s="23" t="b">
        <f>if(countif(Status!C:C,A587)=1,TRUE, FALSE)</f>
        <v>1</v>
      </c>
      <c r="H587" s="23" t="str">
        <f>'3.4.raw'!AD587</f>
        <v/>
      </c>
    </row>
    <row r="588">
      <c r="A588" s="23" t="str">
        <f t="shared" si="4"/>
        <v>PL1008</v>
      </c>
      <c r="B588" s="23" t="str">
        <f>'3.4.raw'!M588</f>
        <v>PL1008</v>
      </c>
      <c r="C588" s="24">
        <f>'3.4.raw'!T588</f>
        <v>43662</v>
      </c>
      <c r="D588" s="23">
        <f>'3.4.raw'!I588</f>
        <v>7</v>
      </c>
      <c r="E588" s="1">
        <v>3.4</v>
      </c>
      <c r="G588" s="23" t="b">
        <f>if(countif(Status!C:C,A588)=1,TRUE, FALSE)</f>
        <v>1</v>
      </c>
      <c r="H588" s="23" t="str">
        <f>'3.4.raw'!AD588</f>
        <v/>
      </c>
    </row>
    <row r="589">
      <c r="A589" s="23" t="str">
        <f t="shared" si="4"/>
        <v>PL1008FL</v>
      </c>
      <c r="B589" s="23" t="str">
        <f>'3.4.raw'!M589</f>
        <v>PL1008FL</v>
      </c>
      <c r="C589" s="24">
        <f>'3.4.raw'!T589</f>
        <v>43662</v>
      </c>
      <c r="D589" s="23">
        <f>'3.4.raw'!I589</f>
        <v>7</v>
      </c>
      <c r="E589" s="1">
        <v>3.4</v>
      </c>
      <c r="G589" s="23" t="b">
        <f>if(countif(Status!C:C,A589)=1,TRUE, FALSE)</f>
        <v>1</v>
      </c>
      <c r="H589" s="23" t="str">
        <f>'3.4.raw'!AD589</f>
        <v/>
      </c>
    </row>
    <row r="590">
      <c r="A590" s="23" t="str">
        <f t="shared" si="4"/>
        <v>MO1023</v>
      </c>
      <c r="B590" s="23" t="str">
        <f>'3.4.raw'!M590</f>
        <v>MO1023</v>
      </c>
      <c r="C590" s="24">
        <f>'3.4.raw'!T590</f>
        <v>43662</v>
      </c>
      <c r="D590" s="23">
        <f>'3.4.raw'!I590</f>
        <v>12</v>
      </c>
      <c r="E590" s="1">
        <v>3.4</v>
      </c>
      <c r="G590" s="23" t="b">
        <f>if(countif(Status!C:C,A590)=1,TRUE, FALSE)</f>
        <v>1</v>
      </c>
      <c r="H590" s="23" t="str">
        <f>'3.4.raw'!AD590</f>
        <v/>
      </c>
    </row>
    <row r="591">
      <c r="A591" s="23" t="str">
        <f t="shared" si="4"/>
        <v>MO1023D</v>
      </c>
      <c r="B591" s="23" t="str">
        <f>'3.4.raw'!M591</f>
        <v>MO1023D</v>
      </c>
      <c r="C591" s="24">
        <f>'3.4.raw'!T591</f>
        <v>43662</v>
      </c>
      <c r="D591" s="23">
        <f>'3.4.raw'!I591</f>
        <v>12</v>
      </c>
      <c r="E591" s="1">
        <v>3.4</v>
      </c>
      <c r="G591" s="23" t="b">
        <f>if(countif(Status!C:C,A591)=1,TRUE, FALSE)</f>
        <v>1</v>
      </c>
      <c r="H591" s="23" t="str">
        <f>'3.4.raw'!AD591</f>
        <v/>
      </c>
    </row>
    <row r="592">
      <c r="A592" s="23" t="str">
        <f t="shared" si="4"/>
        <v>MO1024</v>
      </c>
      <c r="B592" s="23" t="str">
        <f>'3.4.raw'!M592</f>
        <v>MO1024</v>
      </c>
      <c r="C592" s="24">
        <f>'3.4.raw'!T592</f>
        <v>43662</v>
      </c>
      <c r="D592" s="23">
        <f>'3.4.raw'!I592</f>
        <v>12</v>
      </c>
      <c r="E592" s="1">
        <v>3.4</v>
      </c>
      <c r="G592" s="23" t="b">
        <f>if(countif(Status!C:C,A592)=1,TRUE, FALSE)</f>
        <v>1</v>
      </c>
      <c r="H592" s="23" t="str">
        <f>'3.4.raw'!AD592</f>
        <v/>
      </c>
    </row>
    <row r="593">
      <c r="A593" s="23" t="str">
        <f t="shared" si="4"/>
        <v>MO1024D</v>
      </c>
      <c r="B593" s="23" t="str">
        <f>'3.4.raw'!M593</f>
        <v>MO1024D</v>
      </c>
      <c r="C593" s="24">
        <f>'3.4.raw'!T593</f>
        <v>43662</v>
      </c>
      <c r="D593" s="23">
        <f>'3.4.raw'!I593</f>
        <v>12</v>
      </c>
      <c r="E593" s="1">
        <v>3.4</v>
      </c>
      <c r="G593" s="23" t="b">
        <f>if(countif(Status!C:C,A593)=1,TRUE, FALSE)</f>
        <v>1</v>
      </c>
      <c r="H593" s="23" t="str">
        <f>'3.4.raw'!AD593</f>
        <v/>
      </c>
    </row>
    <row r="594">
      <c r="A594" s="23" t="str">
        <f t="shared" si="4"/>
        <v>MO1025</v>
      </c>
      <c r="B594" s="23" t="str">
        <f>'3.4.raw'!M594</f>
        <v>MO1025</v>
      </c>
      <c r="C594" s="24">
        <f>'3.4.raw'!T594</f>
        <v>43662</v>
      </c>
      <c r="D594" s="23">
        <f>'3.4.raw'!I594</f>
        <v>12</v>
      </c>
      <c r="E594" s="1">
        <v>3.4</v>
      </c>
      <c r="G594" s="23" t="b">
        <f>if(countif(Status!C:C,A594)=1,TRUE, FALSE)</f>
        <v>1</v>
      </c>
      <c r="H594" s="23" t="str">
        <f>'3.4.raw'!AD594</f>
        <v/>
      </c>
    </row>
    <row r="595">
      <c r="A595" s="23" t="str">
        <f t="shared" si="4"/>
        <v>MO1025D</v>
      </c>
      <c r="B595" s="23" t="str">
        <f>'3.4.raw'!M595</f>
        <v>MO1025D</v>
      </c>
      <c r="C595" s="24">
        <f>'3.4.raw'!T595</f>
        <v>43662</v>
      </c>
      <c r="D595" s="23">
        <f>'3.4.raw'!I595</f>
        <v>12</v>
      </c>
      <c r="E595" s="1">
        <v>3.4</v>
      </c>
      <c r="G595" s="23" t="b">
        <f>if(countif(Status!C:C,A595)=1,TRUE, FALSE)</f>
        <v>1</v>
      </c>
      <c r="H595" s="23" t="str">
        <f>'3.4.raw'!AD595</f>
        <v/>
      </c>
    </row>
    <row r="596">
      <c r="A596" s="23" t="str">
        <f t="shared" si="4"/>
        <v>MO1026</v>
      </c>
      <c r="B596" s="23" t="str">
        <f>'3.4.raw'!M596</f>
        <v>MO1026</v>
      </c>
      <c r="C596" s="24">
        <f>'3.4.raw'!T596</f>
        <v>43662</v>
      </c>
      <c r="D596" s="23">
        <f>'3.4.raw'!I596</f>
        <v>12</v>
      </c>
      <c r="E596" s="1">
        <v>3.4</v>
      </c>
      <c r="G596" s="23" t="b">
        <f>if(countif(Status!C:C,A596)=1,TRUE, FALSE)</f>
        <v>1</v>
      </c>
      <c r="H596" s="23" t="str">
        <f>'3.4.raw'!AD596</f>
        <v/>
      </c>
    </row>
    <row r="597">
      <c r="A597" s="23" t="str">
        <f t="shared" si="4"/>
        <v>MO1026D</v>
      </c>
      <c r="B597" s="23" t="str">
        <f>'3.4.raw'!M597</f>
        <v>MO1026D</v>
      </c>
      <c r="C597" s="24">
        <f>'3.4.raw'!T597</f>
        <v>43662</v>
      </c>
      <c r="D597" s="23">
        <f>'3.4.raw'!I597</f>
        <v>12</v>
      </c>
      <c r="E597" s="1">
        <v>3.4</v>
      </c>
      <c r="G597" s="23" t="b">
        <f>if(countif(Status!C:C,A597)=1,TRUE, FALSE)</f>
        <v>1</v>
      </c>
      <c r="H597" s="23" t="str">
        <f>'3.4.raw'!AD597</f>
        <v/>
      </c>
    </row>
    <row r="598">
      <c r="A598" s="23" t="str">
        <f t="shared" si="4"/>
        <v>PLc1008</v>
      </c>
      <c r="B598" s="23" t="str">
        <f>'3.4.raw'!M598</f>
        <v>PLc1008</v>
      </c>
      <c r="C598" s="24">
        <f>'3.4.raw'!T598</f>
        <v>43662</v>
      </c>
      <c r="D598" s="23">
        <f>'3.4.raw'!I598</f>
        <v>11</v>
      </c>
      <c r="E598" s="1">
        <v>3.4</v>
      </c>
      <c r="G598" s="23" t="b">
        <f>if(countif(Status!C:C,A598)=1,TRUE, FALSE)</f>
        <v>1</v>
      </c>
      <c r="H598" s="23" t="str">
        <f>'3.4.raw'!AD598</f>
        <v/>
      </c>
    </row>
    <row r="599">
      <c r="A599" s="23" t="str">
        <f t="shared" si="4"/>
        <v>PLc1008FL</v>
      </c>
      <c r="B599" s="23" t="str">
        <f>'3.4.raw'!M599</f>
        <v>PLc1008FL</v>
      </c>
      <c r="C599" s="24">
        <f>'3.4.raw'!T599</f>
        <v>43662</v>
      </c>
      <c r="D599" s="23">
        <f>'3.4.raw'!I599</f>
        <v>11</v>
      </c>
      <c r="E599" s="1">
        <v>3.4</v>
      </c>
      <c r="G599" s="23" t="b">
        <f>if(countif(Status!C:C,A599)=1,TRUE, FALSE)</f>
        <v>1</v>
      </c>
      <c r="H599" s="23" t="str">
        <f>'3.4.raw'!AD599</f>
        <v/>
      </c>
    </row>
    <row r="600">
      <c r="A600" s="23" t="str">
        <f t="shared" si="4"/>
        <v>PLc1009</v>
      </c>
      <c r="B600" s="23" t="str">
        <f>'3.4.raw'!M600</f>
        <v>PLc1009</v>
      </c>
      <c r="C600" s="24">
        <f>'3.4.raw'!T600</f>
        <v>43662</v>
      </c>
      <c r="D600" s="23">
        <f>'3.4.raw'!I600</f>
        <v>11</v>
      </c>
      <c r="E600" s="1">
        <v>3.4</v>
      </c>
      <c r="G600" s="23" t="b">
        <f>if(countif(Status!C:C,A600)=1,TRUE, FALSE)</f>
        <v>1</v>
      </c>
      <c r="H600" s="23" t="str">
        <f>'3.4.raw'!AD600</f>
        <v/>
      </c>
    </row>
    <row r="601">
      <c r="A601" s="23" t="str">
        <f t="shared" si="4"/>
        <v>PLc1009F</v>
      </c>
      <c r="B601" s="23" t="str">
        <f>'3.4.raw'!M601</f>
        <v>PLc1009F</v>
      </c>
      <c r="C601" s="24">
        <f>'3.4.raw'!T601</f>
        <v>43662</v>
      </c>
      <c r="D601" s="23">
        <f>'3.4.raw'!I601</f>
        <v>11</v>
      </c>
      <c r="E601" s="1">
        <v>3.4</v>
      </c>
      <c r="G601" s="23" t="b">
        <f>if(countif(Status!C:C,A601)=1,TRUE, FALSE)</f>
        <v>1</v>
      </c>
      <c r="H601" s="23" t="str">
        <f>'3.4.raw'!AD601</f>
        <v/>
      </c>
    </row>
    <row r="602">
      <c r="A602" s="23" t="str">
        <f t="shared" si="4"/>
        <v>PLc1010</v>
      </c>
      <c r="B602" s="23" t="str">
        <f>'3.4.raw'!M602</f>
        <v>PLc1010</v>
      </c>
      <c r="C602" s="24">
        <f>'3.4.raw'!T602</f>
        <v>43662</v>
      </c>
      <c r="D602" s="23">
        <f>'3.4.raw'!I602</f>
        <v>11</v>
      </c>
      <c r="E602" s="1">
        <v>3.4</v>
      </c>
      <c r="G602" s="23" t="b">
        <f>if(countif(Status!C:C,A602)=1,TRUE, FALSE)</f>
        <v>1</v>
      </c>
      <c r="H602" s="23" t="str">
        <f>'3.4.raw'!AD602</f>
        <v/>
      </c>
    </row>
    <row r="603">
      <c r="A603" s="23" t="str">
        <f t="shared" si="4"/>
        <v>PLc1010FL</v>
      </c>
      <c r="B603" s="23" t="str">
        <f>'3.4.raw'!M603</f>
        <v>PLc1010FL</v>
      </c>
      <c r="C603" s="24">
        <f>'3.4.raw'!T603</f>
        <v>43662</v>
      </c>
      <c r="D603" s="23">
        <f>'3.4.raw'!I603</f>
        <v>11</v>
      </c>
      <c r="E603" s="1">
        <v>3.4</v>
      </c>
      <c r="G603" s="23" t="b">
        <f>if(countif(Status!C:C,A603)=1,TRUE, FALSE)</f>
        <v>1</v>
      </c>
      <c r="H603" s="23" t="str">
        <f>'3.4.raw'!AD603</f>
        <v/>
      </c>
    </row>
    <row r="604">
      <c r="A604" s="23" t="str">
        <f t="shared" si="4"/>
        <v>PLc1011</v>
      </c>
      <c r="B604" s="23" t="str">
        <f>'3.4.raw'!M604</f>
        <v>PLc1011</v>
      </c>
      <c r="C604" s="24">
        <f>'3.4.raw'!T604</f>
        <v>43662</v>
      </c>
      <c r="D604" s="23">
        <f>'3.4.raw'!I604</f>
        <v>11</v>
      </c>
      <c r="E604" s="1">
        <v>3.4</v>
      </c>
      <c r="G604" s="23" t="b">
        <f>if(countif(Status!C:C,A604)=1,TRUE, FALSE)</f>
        <v>1</v>
      </c>
      <c r="H604" s="23" t="str">
        <f>'3.4.raw'!AD604</f>
        <v/>
      </c>
    </row>
    <row r="605">
      <c r="A605" s="23" t="str">
        <f t="shared" si="4"/>
        <v>PLc1012</v>
      </c>
      <c r="B605" s="23" t="str">
        <f>'3.4.raw'!M605</f>
        <v>PLc1012</v>
      </c>
      <c r="C605" s="24">
        <f>'3.4.raw'!T605</f>
        <v>43662</v>
      </c>
      <c r="D605" s="23">
        <f>'3.4.raw'!I605</f>
        <v>11</v>
      </c>
      <c r="E605" s="1">
        <v>3.4</v>
      </c>
      <c r="G605" s="23" t="b">
        <f>if(countif(Status!C:C,A605)=1,TRUE, FALSE)</f>
        <v>1</v>
      </c>
      <c r="H605" s="23" t="str">
        <f>'3.4.raw'!AD605</f>
        <v/>
      </c>
    </row>
    <row r="606">
      <c r="A606" s="23" t="str">
        <f t="shared" si="4"/>
        <v>PLc1013</v>
      </c>
      <c r="B606" s="23" t="str">
        <f>'3.4.raw'!M606</f>
        <v>PLc1013</v>
      </c>
      <c r="C606" s="24">
        <f>'3.4.raw'!T606</f>
        <v>43662</v>
      </c>
      <c r="D606" s="23">
        <f>'3.4.raw'!I606</f>
        <v>11</v>
      </c>
      <c r="E606" s="1">
        <v>3.4</v>
      </c>
      <c r="G606" s="23" t="b">
        <f>if(countif(Status!C:C,A606)=1,TRUE, FALSE)</f>
        <v>1</v>
      </c>
      <c r="H606" s="23" t="str">
        <f>'3.4.raw'!AD606</f>
        <v/>
      </c>
    </row>
    <row r="607">
      <c r="A607" s="23" t="str">
        <f t="shared" si="4"/>
        <v>MO1027</v>
      </c>
      <c r="B607" s="23" t="str">
        <f>'3.4.raw'!M607</f>
        <v>MO1027</v>
      </c>
      <c r="C607" s="24">
        <f>'3.4.raw'!T607</f>
        <v>43662</v>
      </c>
      <c r="D607" s="23">
        <f>'3.4.raw'!I607</f>
        <v>12</v>
      </c>
      <c r="E607" s="1">
        <v>3.4</v>
      </c>
      <c r="G607" s="23" t="b">
        <f>if(countif(Status!C:C,A607)=1,TRUE, FALSE)</f>
        <v>1</v>
      </c>
      <c r="H607" s="23" t="str">
        <f>'3.4.raw'!AD607</f>
        <v/>
      </c>
    </row>
    <row r="608">
      <c r="A608" s="23" t="str">
        <f t="shared" si="4"/>
        <v>MO1028</v>
      </c>
      <c r="B608" s="23" t="str">
        <f>'3.4.raw'!M608</f>
        <v>MO1028</v>
      </c>
      <c r="C608" s="24">
        <f>'3.4.raw'!T608</f>
        <v>43662</v>
      </c>
      <c r="D608" s="23">
        <f>'3.4.raw'!I608</f>
        <v>12</v>
      </c>
      <c r="E608" s="1">
        <v>3.4</v>
      </c>
      <c r="G608" s="23" t="b">
        <f>if(countif(Status!C:C,A608)=1,TRUE, FALSE)</f>
        <v>1</v>
      </c>
      <c r="H608" s="23" t="str">
        <f>'3.4.raw'!AD608</f>
        <v/>
      </c>
    </row>
    <row r="609">
      <c r="A609" s="23" t="str">
        <f t="shared" si="4"/>
        <v>MO1029</v>
      </c>
      <c r="B609" s="23" t="str">
        <f>'3.4.raw'!M609</f>
        <v>MO1029</v>
      </c>
      <c r="C609" s="24">
        <f>'3.4.raw'!T609</f>
        <v>43789</v>
      </c>
      <c r="D609" s="23">
        <f>'3.4.raw'!I609</f>
        <v>12</v>
      </c>
      <c r="E609" s="1">
        <v>3.4</v>
      </c>
      <c r="G609" s="23" t="b">
        <f>if(countif(Status!C:C,A609)=1,TRUE, FALSE)</f>
        <v>1</v>
      </c>
      <c r="H609" s="23" t="str">
        <f>'3.4.raw'!AD609</f>
        <v/>
      </c>
    </row>
    <row r="610">
      <c r="A610" s="23" t="str">
        <f t="shared" si="4"/>
        <v>MO1030</v>
      </c>
      <c r="B610" s="23" t="str">
        <f>'3.4.raw'!M610</f>
        <v>MO1030</v>
      </c>
      <c r="C610" s="24">
        <f>'3.4.raw'!T610</f>
        <v>43789</v>
      </c>
      <c r="D610" s="23">
        <f>'3.4.raw'!I610</f>
        <v>12</v>
      </c>
      <c r="E610" s="1">
        <v>3.4</v>
      </c>
      <c r="G610" s="23" t="b">
        <f>if(countif(Status!C:C,A610)=1,TRUE, FALSE)</f>
        <v>1</v>
      </c>
      <c r="H610" s="23" t="str">
        <f>'3.4.raw'!AD610</f>
        <v/>
      </c>
    </row>
    <row r="611">
      <c r="A611" s="23" t="str">
        <f t="shared" si="4"/>
        <v>MO1031</v>
      </c>
      <c r="B611" s="23" t="str">
        <f>'3.4.raw'!M611</f>
        <v>MO1031</v>
      </c>
      <c r="C611" s="24">
        <f>'3.4.raw'!T611</f>
        <v>43789</v>
      </c>
      <c r="D611" s="23">
        <f>'3.4.raw'!I611</f>
        <v>12</v>
      </c>
      <c r="E611" s="1">
        <v>3.4</v>
      </c>
      <c r="G611" s="23" t="b">
        <f>if(countif(Status!C:C,A611)=1,TRUE, FALSE)</f>
        <v>1</v>
      </c>
      <c r="H611" s="23" t="str">
        <f>'3.4.raw'!AD611</f>
        <v/>
      </c>
    </row>
    <row r="612">
      <c r="A612" s="23" t="str">
        <f t="shared" si="4"/>
        <v>MO1032</v>
      </c>
      <c r="B612" s="23" t="str">
        <f>'3.4.raw'!M612</f>
        <v>MO1032</v>
      </c>
      <c r="C612" s="24">
        <f>'3.4.raw'!T612</f>
        <v>43789</v>
      </c>
      <c r="D612" s="23">
        <f>'3.4.raw'!I612</f>
        <v>12</v>
      </c>
      <c r="E612" s="1">
        <v>3.4</v>
      </c>
      <c r="G612" s="23" t="b">
        <f>if(countif(Status!C:C,A612)=1,TRUE, FALSE)</f>
        <v>1</v>
      </c>
      <c r="H612" s="23" t="str">
        <f>'3.4.raw'!AD612</f>
        <v/>
      </c>
    </row>
    <row r="613">
      <c r="A613" s="23" t="str">
        <f t="shared" si="4"/>
        <v>MO1033</v>
      </c>
      <c r="B613" s="23" t="str">
        <f>'3.4.raw'!M613</f>
        <v>MO1033</v>
      </c>
      <c r="C613" s="24">
        <f>'3.4.raw'!T613</f>
        <v>43789</v>
      </c>
      <c r="D613" s="23">
        <f>'3.4.raw'!I613</f>
        <v>12</v>
      </c>
      <c r="E613" s="1">
        <v>3.4</v>
      </c>
      <c r="G613" s="23" t="b">
        <f>if(countif(Status!C:C,A613)=1,TRUE, FALSE)</f>
        <v>1</v>
      </c>
      <c r="H613" s="23" t="str">
        <f>'3.4.raw'!AD613</f>
        <v/>
      </c>
    </row>
    <row r="614">
      <c r="A614" s="23" t="str">
        <f t="shared" si="4"/>
        <v>PLc1154</v>
      </c>
      <c r="B614" s="23" t="str">
        <f>'3.4.raw'!M614</f>
        <v>PLc1154</v>
      </c>
      <c r="C614" s="24">
        <f>'3.4.raw'!T614</f>
        <v>43831</v>
      </c>
      <c r="D614" s="23">
        <f>'3.4.raw'!I614</f>
        <v>11</v>
      </c>
      <c r="E614" s="1">
        <v>3.4</v>
      </c>
      <c r="G614" s="23" t="b">
        <f>if(countif(Status!C:C,A614)=1,TRUE, FALSE)</f>
        <v>1</v>
      </c>
      <c r="H614" s="23" t="str">
        <f>'3.4.raw'!AD614</f>
        <v/>
      </c>
    </row>
    <row r="615">
      <c r="A615" s="23" t="str">
        <f t="shared" si="4"/>
        <v>PLc1155</v>
      </c>
      <c r="B615" s="23" t="str">
        <f>'3.4.raw'!M615</f>
        <v>PLc1155</v>
      </c>
      <c r="C615" s="24">
        <f>'3.4.raw'!T615</f>
        <v>43831</v>
      </c>
      <c r="D615" s="23">
        <f>'3.4.raw'!I615</f>
        <v>11</v>
      </c>
      <c r="E615" s="1">
        <v>3.4</v>
      </c>
      <c r="G615" s="23" t="b">
        <f>if(countif(Status!C:C,A615)=1,TRUE, FALSE)</f>
        <v>1</v>
      </c>
      <c r="H615" s="23" t="str">
        <f>'3.4.raw'!AD615</f>
        <v/>
      </c>
    </row>
    <row r="616">
      <c r="A616" s="23" t="str">
        <f t="shared" si="4"/>
        <v>PLc1156</v>
      </c>
      <c r="B616" s="23" t="str">
        <f>'3.4.raw'!M616</f>
        <v>PLc1156</v>
      </c>
      <c r="C616" s="24">
        <f>'3.4.raw'!T616</f>
        <v>43831</v>
      </c>
      <c r="D616" s="23">
        <f>'3.4.raw'!I616</f>
        <v>11</v>
      </c>
      <c r="E616" s="1">
        <v>3.4</v>
      </c>
      <c r="G616" s="23" t="b">
        <f>if(countif(Status!C:C,A616)=1,TRUE, FALSE)</f>
        <v>1</v>
      </c>
      <c r="H616" s="23" t="str">
        <f>'3.4.raw'!AD616</f>
        <v/>
      </c>
    </row>
    <row r="617">
      <c r="A617" s="23" t="str">
        <f t="shared" si="4"/>
        <v>PLc1157</v>
      </c>
      <c r="B617" s="23" t="str">
        <f>'3.4.raw'!M617</f>
        <v>PLc1157</v>
      </c>
      <c r="C617" s="24">
        <f>'3.4.raw'!T617</f>
        <v>43831</v>
      </c>
      <c r="D617" s="23">
        <f>'3.4.raw'!I617</f>
        <v>11</v>
      </c>
      <c r="E617" s="1">
        <v>3.4</v>
      </c>
      <c r="G617" s="23" t="b">
        <f>if(countif(Status!C:C,A617)=1,TRUE, FALSE)</f>
        <v>1</v>
      </c>
      <c r="H617" s="23" t="str">
        <f>'3.4.raw'!AD617</f>
        <v/>
      </c>
    </row>
    <row r="618">
      <c r="A618" s="23" t="str">
        <f t="shared" si="4"/>
        <v>PLc1158</v>
      </c>
      <c r="B618" s="23" t="str">
        <f>'3.4.raw'!M618</f>
        <v>PLc1158</v>
      </c>
      <c r="C618" s="24">
        <f>'3.4.raw'!T618</f>
        <v>43831</v>
      </c>
      <c r="D618" s="23">
        <f>'3.4.raw'!I618</f>
        <v>11</v>
      </c>
      <c r="E618" s="1">
        <v>3.4</v>
      </c>
      <c r="G618" s="23" t="b">
        <f>if(countif(Status!C:C,A618)=1,TRUE, FALSE)</f>
        <v>1</v>
      </c>
      <c r="H618" s="23" t="str">
        <f>'3.4.raw'!AD618</f>
        <v/>
      </c>
    </row>
    <row r="619">
      <c r="A619" s="23" t="str">
        <f t="shared" si="4"/>
        <v>PLc1159</v>
      </c>
      <c r="B619" s="23" t="str">
        <f>'3.4.raw'!M619</f>
        <v>PLc1159</v>
      </c>
      <c r="C619" s="24">
        <f>'3.4.raw'!T619</f>
        <v>43831</v>
      </c>
      <c r="D619" s="23">
        <f>'3.4.raw'!I619</f>
        <v>11</v>
      </c>
      <c r="E619" s="1">
        <v>3.4</v>
      </c>
      <c r="G619" s="23" t="b">
        <f>if(countif(Status!C:C,A619)=1,TRUE, FALSE)</f>
        <v>1</v>
      </c>
      <c r="H619" s="23" t="str">
        <f>'3.4.raw'!AD619</f>
        <v/>
      </c>
    </row>
    <row r="620">
      <c r="A620" s="23" t="str">
        <f t="shared" si="4"/>
        <v>PLc1160</v>
      </c>
      <c r="B620" s="23" t="str">
        <f>'3.4.raw'!M620</f>
        <v>PLc1160</v>
      </c>
      <c r="C620" s="24">
        <f>'3.4.raw'!T620</f>
        <v>43831</v>
      </c>
      <c r="D620" s="23">
        <f>'3.4.raw'!I620</f>
        <v>11</v>
      </c>
      <c r="E620" s="1">
        <v>3.4</v>
      </c>
      <c r="G620" s="23" t="b">
        <f>if(countif(Status!C:C,A620)=1,TRUE, FALSE)</f>
        <v>1</v>
      </c>
      <c r="H620" s="23" t="str">
        <f>'3.4.raw'!AD620</f>
        <v/>
      </c>
    </row>
    <row r="621">
      <c r="A621" s="23" t="str">
        <f t="shared" si="4"/>
        <v>PLc1161</v>
      </c>
      <c r="B621" s="23" t="str">
        <f>'3.4.raw'!M621</f>
        <v>PLc1161</v>
      </c>
      <c r="C621" s="24">
        <f>'3.4.raw'!T621</f>
        <v>43831</v>
      </c>
      <c r="D621" s="23">
        <f>'3.4.raw'!I621</f>
        <v>11</v>
      </c>
      <c r="E621" s="1">
        <v>3.4</v>
      </c>
      <c r="G621" s="23" t="b">
        <f>if(countif(Status!C:C,A621)=1,TRUE, FALSE)</f>
        <v>1</v>
      </c>
      <c r="H621" s="23" t="str">
        <f>'3.4.raw'!AD621</f>
        <v/>
      </c>
    </row>
    <row r="622">
      <c r="A622" s="23" t="str">
        <f t="shared" si="4"/>
        <v>PLc1162</v>
      </c>
      <c r="B622" s="23" t="str">
        <f>'3.4.raw'!M622</f>
        <v>PLc1162</v>
      </c>
      <c r="C622" s="24">
        <f>'3.4.raw'!T622</f>
        <v>43831</v>
      </c>
      <c r="D622" s="23">
        <f>'3.4.raw'!I622</f>
        <v>11</v>
      </c>
      <c r="E622" s="1">
        <v>3.4</v>
      </c>
      <c r="G622" s="23" t="b">
        <f>if(countif(Status!C:C,A622)=1,TRUE, FALSE)</f>
        <v>1</v>
      </c>
      <c r="H622" s="23" t="str">
        <f>'3.4.raw'!AD622</f>
        <v/>
      </c>
    </row>
    <row r="623">
      <c r="A623" s="23" t="str">
        <f t="shared" si="4"/>
        <v>PLc1163</v>
      </c>
      <c r="B623" s="23" t="str">
        <f>'3.4.raw'!M623</f>
        <v>PLc1163</v>
      </c>
      <c r="C623" s="24">
        <f>'3.4.raw'!T623</f>
        <v>43831</v>
      </c>
      <c r="D623" s="23">
        <f>'3.4.raw'!I623</f>
        <v>11</v>
      </c>
      <c r="E623" s="1">
        <v>3.4</v>
      </c>
      <c r="G623" s="23" t="b">
        <f>if(countif(Status!C:C,A623)=1,TRUE, FALSE)</f>
        <v>1</v>
      </c>
      <c r="H623" s="23" t="str">
        <f>'3.4.raw'!AD623</f>
        <v/>
      </c>
    </row>
    <row r="624">
      <c r="A624" s="23" t="str">
        <f t="shared" si="4"/>
        <v>MO1138</v>
      </c>
      <c r="B624" s="23" t="str">
        <f>'3.4.raw'!M624</f>
        <v>MO1138</v>
      </c>
      <c r="C624" s="24">
        <f>'3.4.raw'!T624</f>
        <v>43831</v>
      </c>
      <c r="D624" s="23">
        <f>'3.4.raw'!I624</f>
        <v>12</v>
      </c>
      <c r="E624" s="1">
        <v>3.4</v>
      </c>
      <c r="G624" s="23" t="b">
        <f>if(countif(Status!C:C,A624)=1,TRUE, FALSE)</f>
        <v>1</v>
      </c>
      <c r="H624" s="23" t="str">
        <f>'3.4.raw'!AD624</f>
        <v/>
      </c>
    </row>
    <row r="625">
      <c r="A625" s="23" t="str">
        <f t="shared" si="4"/>
        <v>MO1139</v>
      </c>
      <c r="B625" s="23" t="str">
        <f>'3.4.raw'!M625</f>
        <v>MO1139</v>
      </c>
      <c r="C625" s="24">
        <f>'3.4.raw'!T625</f>
        <v>43831</v>
      </c>
      <c r="D625" s="23">
        <f>'3.4.raw'!I625</f>
        <v>12</v>
      </c>
      <c r="E625" s="1">
        <v>3.4</v>
      </c>
      <c r="G625" s="23" t="b">
        <f>if(countif(Status!C:C,A625)=1,TRUE, FALSE)</f>
        <v>1</v>
      </c>
      <c r="H625" s="23" t="str">
        <f>'3.4.raw'!AD625</f>
        <v/>
      </c>
    </row>
    <row r="626">
      <c r="A626" s="23" t="str">
        <f t="shared" si="4"/>
        <v>UF1013</v>
      </c>
      <c r="B626" s="23" t="str">
        <f>'3.4.raw'!M626</f>
        <v>UF1013</v>
      </c>
      <c r="C626" s="24">
        <f>'3.4.raw'!T626</f>
        <v>43831</v>
      </c>
      <c r="D626" s="23">
        <f>'3.4.raw'!I626</f>
        <v>16</v>
      </c>
      <c r="E626" s="1">
        <v>3.4</v>
      </c>
      <c r="G626" s="23" t="b">
        <f>if(countif(Status!C:C,A626)=1,TRUE, FALSE)</f>
        <v>1</v>
      </c>
      <c r="H626" s="23" t="str">
        <f>'3.4.raw'!AD626</f>
        <v/>
      </c>
    </row>
    <row r="627">
      <c r="A627" s="23" t="str">
        <f t="shared" si="4"/>
        <v>FB1236</v>
      </c>
      <c r="B627" s="23" t="str">
        <f>'3.4.raw'!M627</f>
        <v>FB1236</v>
      </c>
      <c r="C627" s="24">
        <f>'3.4.raw'!T627</f>
        <v>43831</v>
      </c>
      <c r="D627" s="23">
        <f>'3.4.raw'!I627</f>
        <v>99</v>
      </c>
      <c r="E627" s="1">
        <v>3.4</v>
      </c>
      <c r="G627" s="23" t="b">
        <f>if(countif(Status!C:C,A627)=1,TRUE, FALSE)</f>
        <v>1</v>
      </c>
      <c r="H627" s="23" t="str">
        <f>'3.4.raw'!AD627</f>
        <v>Associated sample PLc1157</v>
      </c>
    </row>
    <row r="628">
      <c r="A628" s="23" t="str">
        <f t="shared" si="4"/>
        <v>FB1239</v>
      </c>
      <c r="B628" s="23" t="str">
        <f>'3.4.raw'!M628</f>
        <v>FB1239</v>
      </c>
      <c r="C628" s="24">
        <f>'3.4.raw'!T628</f>
        <v>43831</v>
      </c>
      <c r="D628" s="23">
        <f>'3.4.raw'!I628</f>
        <v>99</v>
      </c>
      <c r="E628" s="1">
        <v>3.4</v>
      </c>
      <c r="G628" s="23" t="b">
        <f>if(countif(Status!C:C,A628)=1,TRUE, FALSE)</f>
        <v>1</v>
      </c>
      <c r="H628" s="23" t="str">
        <f>'3.4.raw'!AD628</f>
        <v>Associated sample PLc1158</v>
      </c>
    </row>
    <row r="629">
      <c r="A629" s="23" t="str">
        <f t="shared" si="4"/>
        <v>FB1242</v>
      </c>
      <c r="B629" s="23" t="str">
        <f>'3.4.raw'!M629</f>
        <v>FB1242</v>
      </c>
      <c r="C629" s="24">
        <f>'3.4.raw'!T629</f>
        <v>43831</v>
      </c>
      <c r="D629" s="23">
        <f>'3.4.raw'!I629</f>
        <v>99</v>
      </c>
      <c r="E629" s="1">
        <v>3.4</v>
      </c>
      <c r="G629" s="23" t="b">
        <f>if(countif(Status!C:C,A629)=1,TRUE, FALSE)</f>
        <v>1</v>
      </c>
      <c r="H629" s="23" t="str">
        <f>'3.4.raw'!AD629</f>
        <v>Associated sample PLc1161</v>
      </c>
    </row>
    <row r="630">
      <c r="A630" s="23" t="str">
        <f t="shared" si="4"/>
        <v>EC36</v>
      </c>
      <c r="B630" s="23" t="str">
        <f>'3.4.raw'!M630</f>
        <v>EC36</v>
      </c>
      <c r="C630" s="24">
        <f>'3.4.raw'!T630</f>
        <v>43831</v>
      </c>
      <c r="D630" s="23">
        <f>'3.4.raw'!I630</f>
        <v>98</v>
      </c>
      <c r="E630" s="1">
        <v>3.4</v>
      </c>
      <c r="G630" s="23" t="b">
        <f>if(countif(Status!C:C,A630)=1,TRUE, FALSE)</f>
        <v>1</v>
      </c>
      <c r="H630" s="23" t="str">
        <f>'3.4.raw'!AD630</f>
        <v/>
      </c>
    </row>
    <row r="631">
      <c r="A631" s="23" t="str">
        <f t="shared" si="4"/>
        <v>MO1140</v>
      </c>
      <c r="B631" s="23" t="str">
        <f>'3.4.raw'!M631</f>
        <v>MO1140</v>
      </c>
      <c r="C631" s="24">
        <f>'3.4.raw'!T631</f>
        <v>43831</v>
      </c>
      <c r="D631" s="23">
        <f>'3.4.raw'!I631</f>
        <v>12</v>
      </c>
      <c r="E631" s="1">
        <v>3.4</v>
      </c>
      <c r="G631" s="23" t="b">
        <f>if(countif(Status!C:C,A631)=1,TRUE, FALSE)</f>
        <v>1</v>
      </c>
      <c r="H631" s="23" t="str">
        <f>'3.4.raw'!AD631</f>
        <v/>
      </c>
    </row>
    <row r="632">
      <c r="A632" s="23" t="str">
        <f t="shared" si="4"/>
        <v>MO1141</v>
      </c>
      <c r="B632" s="23" t="str">
        <f>'3.4.raw'!M632</f>
        <v>MO1141</v>
      </c>
      <c r="C632" s="24">
        <f>'3.4.raw'!T632</f>
        <v>43831</v>
      </c>
      <c r="D632" s="23">
        <f>'3.4.raw'!I632</f>
        <v>12</v>
      </c>
      <c r="E632" s="1">
        <v>3.4</v>
      </c>
      <c r="G632" s="23" t="b">
        <f>if(countif(Status!C:C,A632)=1,TRUE, FALSE)</f>
        <v>1</v>
      </c>
      <c r="H632" s="23" t="str">
        <f>'3.4.raw'!AD632</f>
        <v/>
      </c>
    </row>
    <row r="633">
      <c r="A633" s="23" t="str">
        <f t="shared" si="4"/>
        <v>MO1142</v>
      </c>
      <c r="B633" s="23" t="str">
        <f>'3.4.raw'!M633</f>
        <v>MO1142</v>
      </c>
      <c r="C633" s="24">
        <f>'3.4.raw'!T633</f>
        <v>43831</v>
      </c>
      <c r="D633" s="23">
        <f>'3.4.raw'!I633</f>
        <v>12</v>
      </c>
      <c r="E633" s="1">
        <v>3.4</v>
      </c>
      <c r="G633" s="23" t="b">
        <f>if(countif(Status!C:C,A633)=1,TRUE, FALSE)</f>
        <v>1</v>
      </c>
      <c r="H633" s="23" t="str">
        <f>'3.4.raw'!AD633</f>
        <v/>
      </c>
    </row>
    <row r="634">
      <c r="A634" s="23" t="str">
        <f t="shared" si="4"/>
        <v>UF1013F</v>
      </c>
      <c r="B634" s="23" t="str">
        <f>'3.4.raw'!M634</f>
        <v>UF1013F</v>
      </c>
      <c r="C634" s="24">
        <f>'3.4.raw'!T634</f>
        <v>43831</v>
      </c>
      <c r="D634" s="23">
        <f>'3.4.raw'!I634</f>
        <v>16</v>
      </c>
      <c r="E634" s="1">
        <v>3.4</v>
      </c>
      <c r="G634" s="23" t="b">
        <f>if(countif(Status!C:C,A634)=1,TRUE, FALSE)</f>
        <v>1</v>
      </c>
      <c r="H634" s="23" t="str">
        <f>'3.4.raw'!AD634</f>
        <v/>
      </c>
    </row>
    <row r="635">
      <c r="A635" s="23" t="str">
        <f t="shared" si="4"/>
        <v>DWa1003uf</v>
      </c>
      <c r="B635" s="23" t="str">
        <f>'3.4.raw'!M635</f>
        <v>DWa1003uf</v>
      </c>
      <c r="C635" s="24">
        <f>'3.4.raw'!T635</f>
        <v>43831</v>
      </c>
      <c r="D635" s="23">
        <f>'3.4.raw'!I635</f>
        <v>3</v>
      </c>
      <c r="E635" s="1">
        <v>3.4</v>
      </c>
      <c r="G635" s="23" t="b">
        <f>if(countif(Status!C:C,A635)=1,TRUE, FALSE)</f>
        <v>1</v>
      </c>
      <c r="H635" s="23" t="str">
        <f>'3.4.raw'!AD635</f>
        <v/>
      </c>
    </row>
    <row r="636">
      <c r="A636" s="23" t="str">
        <f t="shared" si="4"/>
        <v>FB1245</v>
      </c>
      <c r="B636" s="23" t="str">
        <f>'3.4.raw'!M636</f>
        <v>FB1245</v>
      </c>
      <c r="C636" s="24">
        <f>'3.4.raw'!T636</f>
        <v>43831</v>
      </c>
      <c r="D636" s="23">
        <f>'3.4.raw'!I636</f>
        <v>99</v>
      </c>
      <c r="E636" s="1">
        <v>3.4</v>
      </c>
      <c r="G636" s="23" t="b">
        <f>if(countif(Status!C:C,A636)=1,TRUE, FALSE)</f>
        <v>1</v>
      </c>
      <c r="H636" s="23" t="str">
        <f>'3.4.raw'!AD636</f>
        <v>Associated sample MO1140</v>
      </c>
    </row>
    <row r="637">
      <c r="A637" s="23" t="str">
        <f t="shared" si="4"/>
        <v>FB1248</v>
      </c>
      <c r="B637" s="23" t="str">
        <f>'3.4.raw'!M637</f>
        <v>FB1248</v>
      </c>
      <c r="C637" s="24">
        <f>'3.4.raw'!T637</f>
        <v>43831</v>
      </c>
      <c r="D637" s="23">
        <f>'3.4.raw'!I637</f>
        <v>99</v>
      </c>
      <c r="E637" s="1">
        <v>3.4</v>
      </c>
      <c r="G637" s="23" t="b">
        <f>if(countif(Status!C:C,A637)=1,TRUE, FALSE)</f>
        <v>1</v>
      </c>
      <c r="H637" s="23" t="str">
        <f>'3.4.raw'!AD637</f>
        <v>Associated sample DWa1003uf</v>
      </c>
    </row>
    <row r="638">
      <c r="A638" s="23" t="str">
        <f t="shared" si="4"/>
        <v>MO1143</v>
      </c>
      <c r="B638" s="23" t="str">
        <f>'3.4.raw'!M638</f>
        <v>MO1143</v>
      </c>
      <c r="C638" s="24">
        <f>'3.4.raw'!T638</f>
        <v>43831</v>
      </c>
      <c r="D638" s="23">
        <f>'3.4.raw'!I638</f>
        <v>12</v>
      </c>
      <c r="E638" s="1">
        <v>3.4</v>
      </c>
      <c r="G638" s="23" t="b">
        <f>if(countif(Status!C:C,A638)=1,TRUE, FALSE)</f>
        <v>1</v>
      </c>
      <c r="H638" s="23" t="str">
        <f>'3.4.raw'!AD638</f>
        <v/>
      </c>
    </row>
    <row r="639">
      <c r="A639" s="23" t="str">
        <f t="shared" si="4"/>
        <v>SW1002</v>
      </c>
      <c r="B639" s="23" t="str">
        <f>'3.4.raw'!M639</f>
        <v>SW1002</v>
      </c>
      <c r="C639" s="24">
        <f>'3.4.raw'!T639</f>
        <v>43654</v>
      </c>
      <c r="D639" s="23">
        <f>'3.4.raw'!I639</f>
        <v>5</v>
      </c>
      <c r="E639" s="1">
        <v>3.4</v>
      </c>
      <c r="G639" s="23" t="b">
        <f>if(countif(Status!C:C,A639)=1,TRUE, FALSE)</f>
        <v>1</v>
      </c>
      <c r="H639" s="23" t="str">
        <f>'3.4.raw'!AD639</f>
        <v/>
      </c>
    </row>
    <row r="640">
      <c r="A640" s="23" t="str">
        <f t="shared" si="4"/>
        <v>SF1004</v>
      </c>
      <c r="B640" s="23" t="str">
        <f>'3.4.raw'!M640</f>
        <v>SF1004</v>
      </c>
      <c r="C640" s="24">
        <f>'3.4.raw'!T640</f>
        <v>43571</v>
      </c>
      <c r="D640" s="23">
        <f>'3.4.raw'!I640</f>
        <v>10</v>
      </c>
      <c r="E640" s="1">
        <v>3.4</v>
      </c>
      <c r="G640" s="23" t="b">
        <f>if(countif(Status!C:C,A640)=1,TRUE, FALSE)</f>
        <v>1</v>
      </c>
      <c r="H640" s="23" t="str">
        <f>'3.4.raw'!AD640</f>
        <v/>
      </c>
    </row>
    <row r="641">
      <c r="A641" s="23" t="str">
        <f t="shared" si="4"/>
        <v>DWa1001</v>
      </c>
      <c r="B641" s="23" t="str">
        <f>'3.4.raw'!M641</f>
        <v>DWa1001</v>
      </c>
      <c r="C641" s="24">
        <f>'3.4.raw'!T641</f>
        <v>43790</v>
      </c>
      <c r="D641" s="23">
        <f>'3.4.raw'!I641</f>
        <v>3</v>
      </c>
      <c r="E641" s="1">
        <v>3.4</v>
      </c>
      <c r="G641" s="23" t="b">
        <f>if(countif(Status!C:C,A641)=1,TRUE, FALSE)</f>
        <v>1</v>
      </c>
      <c r="H641" s="23" t="str">
        <f>'3.4.raw'!AD641</f>
        <v/>
      </c>
    </row>
    <row r="642">
      <c r="A642" s="23" t="str">
        <f t="shared" si="4"/>
        <v>LS1005</v>
      </c>
      <c r="B642" s="23" t="str">
        <f>'3.4.raw'!M642</f>
        <v>LS1005</v>
      </c>
      <c r="C642" s="24">
        <f>'3.4.raw'!T642</f>
        <v>43654</v>
      </c>
      <c r="D642" s="23">
        <f>'3.4.raw'!I642</f>
        <v>7</v>
      </c>
      <c r="E642" s="1">
        <v>3.4</v>
      </c>
      <c r="G642" s="23" t="b">
        <f>if(countif(Status!C:C,A642)=1,TRUE, FALSE)</f>
        <v>1</v>
      </c>
      <c r="H642" s="23" t="str">
        <f>'3.4.raw'!AD642</f>
        <v/>
      </c>
    </row>
    <row r="643">
      <c r="A643" s="23" t="str">
        <f t="shared" si="4"/>
        <v>LS1006</v>
      </c>
      <c r="B643" s="23" t="str">
        <f>'3.4.raw'!M643</f>
        <v>LS1006</v>
      </c>
      <c r="C643" s="24">
        <f>'3.4.raw'!T643</f>
        <v>43654</v>
      </c>
      <c r="D643" s="23">
        <f>'3.4.raw'!I643</f>
        <v>7</v>
      </c>
      <c r="E643" s="1">
        <v>3.4</v>
      </c>
      <c r="G643" s="23" t="b">
        <f>if(countif(Status!C:C,A643)=1,TRUE, FALSE)</f>
        <v>1</v>
      </c>
      <c r="H643" s="23" t="str">
        <f>'3.4.raw'!AD643</f>
        <v/>
      </c>
    </row>
    <row r="644">
      <c r="A644" s="23" t="str">
        <f t="shared" si="4"/>
        <v>LS1007</v>
      </c>
      <c r="B644" s="23" t="str">
        <f>'3.4.raw'!M644</f>
        <v>LS1007</v>
      </c>
      <c r="C644" s="24">
        <f>'3.4.raw'!T644</f>
        <v>43654</v>
      </c>
      <c r="D644" s="23">
        <f>'3.4.raw'!I644</f>
        <v>7</v>
      </c>
      <c r="E644" s="1">
        <v>3.4</v>
      </c>
      <c r="G644" s="23" t="b">
        <f>if(countif(Status!C:C,A644)=1,TRUE, FALSE)</f>
        <v>1</v>
      </c>
      <c r="H644" s="23" t="str">
        <f>'3.4.raw'!AD644</f>
        <v/>
      </c>
    </row>
    <row r="645">
      <c r="A645" s="23" t="str">
        <f t="shared" si="4"/>
        <v>PL1003</v>
      </c>
      <c r="B645" s="23" t="str">
        <f>'3.4.raw'!M645</f>
        <v>PL1003</v>
      </c>
      <c r="C645" s="24">
        <f>'3.4.raw'!T645</f>
        <v>43654</v>
      </c>
      <c r="D645" s="23">
        <f>'3.4.raw'!I645</f>
        <v>7</v>
      </c>
      <c r="E645" s="1">
        <v>3.4</v>
      </c>
      <c r="G645" s="23" t="b">
        <f>if(countif(Status!C:C,A645)=1,TRUE, FALSE)</f>
        <v>1</v>
      </c>
      <c r="H645" s="23" t="str">
        <f>'3.4.raw'!AD645</f>
        <v/>
      </c>
    </row>
    <row r="646">
      <c r="A646" s="23" t="str">
        <f t="shared" si="4"/>
        <v>PLc1004</v>
      </c>
      <c r="B646" s="23" t="str">
        <f>'3.4.raw'!M646</f>
        <v>PLc1004</v>
      </c>
      <c r="C646" s="24">
        <f>'3.4.raw'!T646</f>
        <v>43654</v>
      </c>
      <c r="D646" s="23">
        <f>'3.4.raw'!I646</f>
        <v>11</v>
      </c>
      <c r="E646" s="1">
        <v>3.4</v>
      </c>
      <c r="G646" s="23" t="b">
        <f>if(countif(Status!C:C,A646)=1,TRUE, FALSE)</f>
        <v>1</v>
      </c>
      <c r="H646" s="23" t="str">
        <f>'3.4.raw'!AD646</f>
        <v/>
      </c>
    </row>
    <row r="647">
      <c r="A647" s="23" t="str">
        <f t="shared" si="4"/>
        <v>PLc1005</v>
      </c>
      <c r="B647" s="23" t="str">
        <f>'3.4.raw'!M647</f>
        <v>PLc1005</v>
      </c>
      <c r="C647" s="24">
        <f>'3.4.raw'!T647</f>
        <v>43790</v>
      </c>
      <c r="D647" s="23">
        <f>'3.4.raw'!I647</f>
        <v>11</v>
      </c>
      <c r="E647" s="1">
        <v>3.4</v>
      </c>
      <c r="G647" s="23" t="b">
        <f>if(countif(Status!C:C,A647)=1,TRUE, FALSE)</f>
        <v>1</v>
      </c>
      <c r="H647" s="23" t="str">
        <f>'3.4.raw'!AD647</f>
        <v/>
      </c>
    </row>
    <row r="648">
      <c r="A648" s="23" t="str">
        <f t="shared" si="4"/>
        <v>RP1003</v>
      </c>
      <c r="B648" s="23" t="str">
        <f>'3.4.raw'!M648</f>
        <v>RP1003</v>
      </c>
      <c r="C648" s="24">
        <f>'3.4.raw'!T648</f>
        <v>43581</v>
      </c>
      <c r="D648" s="23">
        <f>'3.4.raw'!I648</f>
        <v>2</v>
      </c>
      <c r="E648" s="1">
        <v>3.4</v>
      </c>
      <c r="G648" s="23" t="b">
        <f>if(countif(Status!C:C,A648)=1,TRUE, FALSE)</f>
        <v>1</v>
      </c>
      <c r="H648" s="23" t="str">
        <f>'3.4.raw'!AD648</f>
        <v/>
      </c>
    </row>
    <row r="649">
      <c r="A649" s="23" t="str">
        <f t="shared" si="4"/>
        <v>RP1004</v>
      </c>
      <c r="B649" s="23" t="str">
        <f>'3.4.raw'!M649</f>
        <v>RP1004</v>
      </c>
      <c r="C649" s="24">
        <f>'3.4.raw'!T649</f>
        <v>43654</v>
      </c>
      <c r="D649" s="23">
        <f>'3.4.raw'!I649</f>
        <v>2</v>
      </c>
      <c r="E649" s="1">
        <v>3.4</v>
      </c>
      <c r="G649" s="23" t="b">
        <f>if(countif(Status!C:C,A649)=1,TRUE, FALSE)</f>
        <v>1</v>
      </c>
      <c r="H649" s="23" t="str">
        <f>'3.4.raw'!AD649</f>
        <v/>
      </c>
    </row>
    <row r="650">
      <c r="A650" s="23" t="str">
        <f t="shared" si="4"/>
        <v>SL1001</v>
      </c>
      <c r="B650" s="23" t="str">
        <f>'3.4.raw'!M650</f>
        <v>SL1001</v>
      </c>
      <c r="C650" s="24">
        <f>'3.4.raw'!T650</f>
        <v>43790</v>
      </c>
      <c r="D650" s="23">
        <f>'3.4.raw'!I650</f>
        <v>8</v>
      </c>
      <c r="E650" s="1">
        <v>3.4</v>
      </c>
      <c r="G650" s="23" t="b">
        <f>if(countif(Status!C:C,A650)=1,TRUE, FALSE)</f>
        <v>1</v>
      </c>
      <c r="H650" s="23" t="str">
        <f>'3.4.raw'!AD650</f>
        <v/>
      </c>
    </row>
    <row r="651">
      <c r="A651" s="23" t="str">
        <f t="shared" si="4"/>
        <v>SL1002B</v>
      </c>
      <c r="B651" s="23" t="str">
        <f>'3.4.raw'!M651</f>
        <v>SL1002B</v>
      </c>
      <c r="C651" s="24">
        <f>'3.4.raw'!T651</f>
        <v>43654</v>
      </c>
      <c r="D651" s="23">
        <f>'3.4.raw'!I651</f>
        <v>8</v>
      </c>
      <c r="E651" s="1">
        <v>3.4</v>
      </c>
      <c r="G651" s="23" t="b">
        <f>if(countif(Status!C:C,A651)=1,TRUE, FALSE)</f>
        <v>1</v>
      </c>
      <c r="H651" s="23" t="str">
        <f>'3.4.raw'!AD651</f>
        <v/>
      </c>
    </row>
    <row r="652">
      <c r="A652" s="23" t="str">
        <f t="shared" si="4"/>
        <v>PL1004</v>
      </c>
      <c r="B652" s="23" t="str">
        <f>'3.4.raw'!M652</f>
        <v>PL1004</v>
      </c>
      <c r="C652" s="24">
        <f>'3.4.raw'!T652</f>
        <v>43654</v>
      </c>
      <c r="D652" s="23">
        <f>'3.4.raw'!I652</f>
        <v>7</v>
      </c>
      <c r="E652" s="1">
        <v>3.4</v>
      </c>
      <c r="G652" s="23" t="b">
        <f>if(countif(Status!C:C,A652)=1,TRUE, FALSE)</f>
        <v>1</v>
      </c>
      <c r="H652" s="23" t="str">
        <f>'3.4.raw'!AD652</f>
        <v/>
      </c>
    </row>
    <row r="653">
      <c r="A653" s="23" t="str">
        <f t="shared" si="4"/>
        <v>SW1003</v>
      </c>
      <c r="B653" s="23" t="str">
        <f>'3.4.raw'!M653</f>
        <v>SW1003</v>
      </c>
      <c r="C653" s="24">
        <f>'3.4.raw'!T653</f>
        <v>43654</v>
      </c>
      <c r="D653" s="23">
        <f>'3.4.raw'!I653</f>
        <v>5</v>
      </c>
      <c r="E653" s="1">
        <v>3.4</v>
      </c>
      <c r="G653" s="23" t="b">
        <f>if(countif(Status!C:C,A653)=1,TRUE, FALSE)</f>
        <v>1</v>
      </c>
      <c r="H653" s="23" t="str">
        <f>'3.4.raw'!AD653</f>
        <v/>
      </c>
    </row>
    <row r="654">
      <c r="A654" s="23" t="str">
        <f t="shared" si="4"/>
        <v>BW1001</v>
      </c>
      <c r="B654" s="23" t="str">
        <f>'3.4.raw'!M654</f>
        <v>BW1001</v>
      </c>
      <c r="C654" s="24">
        <f>'3.4.raw'!T654</f>
        <v>43790</v>
      </c>
      <c r="D654" s="23">
        <f>'3.4.raw'!I654</f>
        <v>9</v>
      </c>
      <c r="E654" s="1">
        <v>3.4</v>
      </c>
      <c r="G654" s="23" t="b">
        <f>if(countif(Status!C:C,A654)=1,TRUE, FALSE)</f>
        <v>1</v>
      </c>
      <c r="H654" s="23" t="str">
        <f>'3.4.raw'!AD654</f>
        <v/>
      </c>
    </row>
    <row r="655">
      <c r="A655" s="23" t="str">
        <f t="shared" si="4"/>
        <v>MO1011</v>
      </c>
      <c r="B655" s="23" t="str">
        <f>'3.4.raw'!M655</f>
        <v>MO1011</v>
      </c>
      <c r="C655" s="24">
        <f>'3.4.raw'!T655</f>
        <v>43654</v>
      </c>
      <c r="D655" s="23">
        <f>'3.4.raw'!I655</f>
        <v>12</v>
      </c>
      <c r="E655" s="1">
        <v>3.4</v>
      </c>
      <c r="G655" s="23" t="b">
        <f>if(countif(Status!C:C,A655)=1,TRUE, FALSE)</f>
        <v>1</v>
      </c>
      <c r="H655" s="23" t="str">
        <f>'3.4.raw'!AD655</f>
        <v/>
      </c>
    </row>
    <row r="656">
      <c r="A656" s="23" t="str">
        <f t="shared" si="4"/>
        <v>MO1012</v>
      </c>
      <c r="B656" s="23" t="str">
        <f>'3.4.raw'!M656</f>
        <v>MO1012</v>
      </c>
      <c r="C656" s="24">
        <f>'3.4.raw'!T656</f>
        <v>43654</v>
      </c>
      <c r="D656" s="23">
        <f>'3.4.raw'!I656</f>
        <v>12</v>
      </c>
      <c r="E656" s="1">
        <v>3.4</v>
      </c>
      <c r="G656" s="23" t="b">
        <f>if(countif(Status!C:C,A656)=1,TRUE, FALSE)</f>
        <v>1</v>
      </c>
      <c r="H656" s="23" t="str">
        <f>'3.4.raw'!AD656</f>
        <v/>
      </c>
    </row>
    <row r="657">
      <c r="A657" s="23" t="str">
        <f t="shared" si="4"/>
        <v>SF1005</v>
      </c>
      <c r="B657" s="23" t="str">
        <f>'3.4.raw'!M657</f>
        <v>SF1005</v>
      </c>
      <c r="C657" s="24">
        <f>'3.4.raw'!T657</f>
        <v>43654</v>
      </c>
      <c r="D657" s="23">
        <f>'3.4.raw'!I657</f>
        <v>10</v>
      </c>
      <c r="E657" s="1">
        <v>3.4</v>
      </c>
      <c r="G657" s="23" t="b">
        <f>if(countif(Status!C:C,A657)=1,TRUE, FALSE)</f>
        <v>1</v>
      </c>
      <c r="H657" s="23" t="str">
        <f>'3.4.raw'!AD657</f>
        <v/>
      </c>
    </row>
    <row r="658">
      <c r="A658" s="23" t="str">
        <f t="shared" si="4"/>
        <v>SF1006</v>
      </c>
      <c r="B658" s="23" t="str">
        <f>'3.4.raw'!M658</f>
        <v>SF1006</v>
      </c>
      <c r="C658" s="24">
        <f>'3.4.raw'!T658</f>
        <v>43654</v>
      </c>
      <c r="D658" s="23">
        <f>'3.4.raw'!I658</f>
        <v>10</v>
      </c>
      <c r="E658" s="1">
        <v>3.4</v>
      </c>
      <c r="G658" s="23" t="b">
        <f>if(countif(Status!C:C,A658)=1,TRUE, FALSE)</f>
        <v>1</v>
      </c>
      <c r="H658" s="23" t="str">
        <f>'3.4.raw'!AD658</f>
        <v/>
      </c>
    </row>
    <row r="659">
      <c r="A659" s="23" t="str">
        <f t="shared" si="4"/>
        <v>DWa1002</v>
      </c>
      <c r="B659" s="23" t="str">
        <f>'3.4.raw'!M659</f>
        <v>DWa1002</v>
      </c>
      <c r="C659" s="24">
        <f>'3.4.raw'!T659</f>
        <v>43790</v>
      </c>
      <c r="D659" s="23">
        <f>'3.4.raw'!I659</f>
        <v>3</v>
      </c>
      <c r="E659" s="1">
        <v>3.4</v>
      </c>
      <c r="G659" s="23" t="b">
        <f>if(countif(Status!C:C,A659)=1,TRUE, FALSE)</f>
        <v>1</v>
      </c>
      <c r="H659" s="23" t="str">
        <f>'3.4.raw'!AD659</f>
        <v/>
      </c>
    </row>
    <row r="660">
      <c r="A660" s="23" t="str">
        <f t="shared" si="4"/>
        <v>LS1008</v>
      </c>
      <c r="B660" s="23" t="str">
        <f>'3.4.raw'!M660</f>
        <v>LS1008</v>
      </c>
      <c r="C660" s="24">
        <f>'3.4.raw'!T660</f>
        <v>43654</v>
      </c>
      <c r="D660" s="23">
        <f>'3.4.raw'!I660</f>
        <v>7</v>
      </c>
      <c r="E660" s="1">
        <v>3.4</v>
      </c>
      <c r="G660" s="23" t="b">
        <f>if(countif(Status!C:C,A660)=1,TRUE, FALSE)</f>
        <v>1</v>
      </c>
      <c r="H660" s="23" t="str">
        <f>'3.4.raw'!AD660</f>
        <v/>
      </c>
    </row>
    <row r="661">
      <c r="A661" s="23" t="str">
        <f t="shared" si="4"/>
        <v>PL1005</v>
      </c>
      <c r="B661" s="23" t="str">
        <f>'3.4.raw'!M661</f>
        <v>PL1005</v>
      </c>
      <c r="C661" s="24">
        <f>'3.4.raw'!T661</f>
        <v>43581</v>
      </c>
      <c r="D661" s="23">
        <f>'3.4.raw'!I661</f>
        <v>7</v>
      </c>
      <c r="E661" s="1">
        <v>3.4</v>
      </c>
      <c r="G661" s="23" t="b">
        <f>if(countif(Status!C:C,A661)=1,TRUE, FALSE)</f>
        <v>1</v>
      </c>
      <c r="H661" s="23" t="str">
        <f>'3.4.raw'!AD661</f>
        <v/>
      </c>
    </row>
    <row r="662">
      <c r="A662" s="23" t="str">
        <f t="shared" si="4"/>
        <v>PLc1006</v>
      </c>
      <c r="B662" s="23" t="str">
        <f>'3.4.raw'!M662</f>
        <v>PLc1006</v>
      </c>
      <c r="C662" s="24">
        <f>'3.4.raw'!T662</f>
        <v>43790</v>
      </c>
      <c r="D662" s="23">
        <f>'3.4.raw'!I662</f>
        <v>11</v>
      </c>
      <c r="E662" s="1">
        <v>3.4</v>
      </c>
      <c r="G662" s="23" t="b">
        <f>if(countif(Status!C:C,A662)=1,TRUE, FALSE)</f>
        <v>1</v>
      </c>
      <c r="H662" s="23" t="str">
        <f>'3.4.raw'!AD662</f>
        <v/>
      </c>
    </row>
    <row r="663">
      <c r="A663" s="23" t="str">
        <f t="shared" si="4"/>
        <v>MO1013</v>
      </c>
      <c r="B663" s="23" t="str">
        <f>'3.4.raw'!M663</f>
        <v>MO1013</v>
      </c>
      <c r="C663" s="24">
        <f>'3.4.raw'!T663</f>
        <v>43790</v>
      </c>
      <c r="D663" s="23">
        <f>'3.4.raw'!I663</f>
        <v>12</v>
      </c>
      <c r="E663" s="1">
        <v>3.4</v>
      </c>
      <c r="G663" s="23" t="b">
        <f>if(countif(Status!C:C,A663)=1,TRUE, FALSE)</f>
        <v>1</v>
      </c>
      <c r="H663" s="23" t="str">
        <f>'3.4.raw'!AD663</f>
        <v/>
      </c>
    </row>
    <row r="664">
      <c r="A664" s="23" t="str">
        <f t="shared" si="4"/>
        <v>MO1014</v>
      </c>
      <c r="B664" s="23" t="str">
        <f>'3.4.raw'!M664</f>
        <v>MO1014</v>
      </c>
      <c r="C664" s="24">
        <f>'3.4.raw'!T664</f>
        <v>43654</v>
      </c>
      <c r="D664" s="23">
        <f>'3.4.raw'!I664</f>
        <v>12</v>
      </c>
      <c r="E664" s="1">
        <v>3.4</v>
      </c>
      <c r="G664" s="23" t="b">
        <f>if(countif(Status!C:C,A664)=1,TRUE, FALSE)</f>
        <v>1</v>
      </c>
      <c r="H664" s="23" t="str">
        <f>'3.4.raw'!AD664</f>
        <v/>
      </c>
    </row>
    <row r="665">
      <c r="A665" s="23" t="str">
        <f t="shared" si="4"/>
        <v>PL1006</v>
      </c>
      <c r="B665" s="23" t="str">
        <f>'3.4.raw'!M665</f>
        <v>PL1006</v>
      </c>
      <c r="C665" s="24">
        <f>'3.4.raw'!T665</f>
        <v>43581</v>
      </c>
      <c r="D665" s="23">
        <f>'3.4.raw'!I665</f>
        <v>7</v>
      </c>
      <c r="E665" s="1">
        <v>3.4</v>
      </c>
      <c r="G665" s="23" t="b">
        <f>if(countif(Status!C:C,A665)=1,TRUE, FALSE)</f>
        <v>1</v>
      </c>
      <c r="H665" s="23" t="str">
        <f>'3.4.raw'!AD665</f>
        <v/>
      </c>
    </row>
    <row r="666">
      <c r="A666" s="23" t="str">
        <f t="shared" si="4"/>
        <v>SL1003</v>
      </c>
      <c r="B666" s="23" t="str">
        <f>'3.4.raw'!M666</f>
        <v>SL1003</v>
      </c>
      <c r="C666" s="24">
        <f>'3.4.raw'!T666</f>
        <v>43654</v>
      </c>
      <c r="D666" s="23">
        <f>'3.4.raw'!I666</f>
        <v>8</v>
      </c>
      <c r="E666" s="1">
        <v>3.4</v>
      </c>
      <c r="G666" s="23" t="b">
        <f>if(countif(Status!C:C,A666)=1,TRUE, FALSE)</f>
        <v>1</v>
      </c>
      <c r="H666" s="23" t="str">
        <f>'3.4.raw'!AD666</f>
        <v/>
      </c>
    </row>
    <row r="667">
      <c r="A667" s="23" t="str">
        <f t="shared" si="4"/>
        <v>SL1004</v>
      </c>
      <c r="B667" s="23" t="str">
        <f>'3.4.raw'!M667</f>
        <v>SL1004</v>
      </c>
      <c r="C667" s="24">
        <f>'3.4.raw'!T667</f>
        <v>43654</v>
      </c>
      <c r="D667" s="23">
        <f>'3.4.raw'!I667</f>
        <v>8</v>
      </c>
      <c r="E667" s="1">
        <v>3.4</v>
      </c>
      <c r="G667" s="23" t="b">
        <f>if(countif(Status!C:C,A667)=1,TRUE, FALSE)</f>
        <v>1</v>
      </c>
      <c r="H667" s="23" t="str">
        <f>'3.4.raw'!AD667</f>
        <v/>
      </c>
    </row>
    <row r="668">
      <c r="A668" s="23" t="str">
        <f t="shared" si="4"/>
        <v>RP1005</v>
      </c>
      <c r="B668" s="23" t="str">
        <f>'3.4.raw'!M668</f>
        <v>RP1005</v>
      </c>
      <c r="C668" s="24">
        <f>'3.4.raw'!T668</f>
        <v>43654</v>
      </c>
      <c r="D668" s="23">
        <f>'3.4.raw'!I668</f>
        <v>2</v>
      </c>
      <c r="E668" s="1">
        <v>3.4</v>
      </c>
      <c r="G668" s="23" t="b">
        <f>if(countif(Status!C:C,A668)=1,TRUE, FALSE)</f>
        <v>1</v>
      </c>
      <c r="H668" s="23" t="str">
        <f>'3.4.raw'!AD668</f>
        <v/>
      </c>
    </row>
    <row r="669">
      <c r="A669" s="23" t="str">
        <f t="shared" si="4"/>
        <v>RP1006</v>
      </c>
      <c r="B669" s="23" t="str">
        <f>'3.4.raw'!M669</f>
        <v>RP1006</v>
      </c>
      <c r="C669" s="24">
        <f>'3.4.raw'!T669</f>
        <v>43654</v>
      </c>
      <c r="D669" s="23">
        <f>'3.4.raw'!I669</f>
        <v>2</v>
      </c>
      <c r="E669" s="1">
        <v>3.4</v>
      </c>
      <c r="G669" s="23" t="b">
        <f>if(countif(Status!C:C,A669)=1,TRUE, FALSE)</f>
        <v>1</v>
      </c>
      <c r="H669" s="23" t="str">
        <f>'3.4.raw'!AD669</f>
        <v/>
      </c>
    </row>
    <row r="670">
      <c r="A670" s="23" t="str">
        <f t="shared" si="4"/>
        <v>MO1015A</v>
      </c>
      <c r="B670" s="23" t="str">
        <f>'3.4.raw'!M670</f>
        <v>MO1015A</v>
      </c>
      <c r="C670" s="24">
        <f>'3.4.raw'!T670</f>
        <v>43623</v>
      </c>
      <c r="D670" s="23">
        <f>'3.4.raw'!I670</f>
        <v>12</v>
      </c>
      <c r="E670" s="1">
        <v>3.4</v>
      </c>
      <c r="G670" s="23" t="b">
        <f>if(countif(Status!C:C,A670)=1,TRUE, FALSE)</f>
        <v>1</v>
      </c>
      <c r="H670" s="23" t="str">
        <f>'3.4.raw'!AD670</f>
        <v/>
      </c>
    </row>
    <row r="671">
      <c r="A671" s="23" t="str">
        <f t="shared" si="4"/>
        <v>MO1015B</v>
      </c>
      <c r="B671" s="23" t="str">
        <f>'3.4.raw'!M671</f>
        <v>MO1015B</v>
      </c>
      <c r="C671" s="24">
        <f>'3.4.raw'!T671</f>
        <v>43623</v>
      </c>
      <c r="D671" s="23">
        <f>'3.4.raw'!I671</f>
        <v>12</v>
      </c>
      <c r="E671" s="1">
        <v>3.4</v>
      </c>
      <c r="G671" s="23" t="b">
        <f>if(countif(Status!C:C,A671)=1,TRUE, FALSE)</f>
        <v>1</v>
      </c>
      <c r="H671" s="23" t="str">
        <f>'3.4.raw'!AD671</f>
        <v/>
      </c>
    </row>
    <row r="672">
      <c r="A672" s="23" t="str">
        <f t="shared" si="4"/>
        <v>MO1016A</v>
      </c>
      <c r="B672" s="23" t="str">
        <f>'3.4.raw'!M672</f>
        <v>MO1016A</v>
      </c>
      <c r="C672" s="24">
        <f>'3.4.raw'!T672</f>
        <v>43623</v>
      </c>
      <c r="D672" s="23">
        <f>'3.4.raw'!I672</f>
        <v>12</v>
      </c>
      <c r="E672" s="1">
        <v>3.4</v>
      </c>
      <c r="G672" s="23" t="b">
        <f>if(countif(Status!C:C,A672)=1,TRUE, FALSE)</f>
        <v>1</v>
      </c>
      <c r="H672" s="23" t="str">
        <f>'3.4.raw'!AD672</f>
        <v/>
      </c>
    </row>
    <row r="673">
      <c r="A673" s="23" t="str">
        <f t="shared" si="4"/>
        <v>MO1016B</v>
      </c>
      <c r="B673" s="23" t="str">
        <f>'3.4.raw'!M673</f>
        <v>MO1016B</v>
      </c>
      <c r="C673" s="24">
        <f>'3.4.raw'!T673</f>
        <v>43623</v>
      </c>
      <c r="D673" s="23">
        <f>'3.4.raw'!I673</f>
        <v>12</v>
      </c>
      <c r="E673" s="1">
        <v>3.4</v>
      </c>
      <c r="G673" s="23" t="b">
        <f>if(countif(Status!C:C,A673)=1,TRUE, FALSE)</f>
        <v>1</v>
      </c>
      <c r="H673" s="23" t="str">
        <f>'3.4.raw'!AD673</f>
        <v/>
      </c>
    </row>
    <row r="674">
      <c r="A674" s="23" t="str">
        <f t="shared" si="4"/>
        <v>DWb1004</v>
      </c>
      <c r="B674" s="23" t="str">
        <f>'3.4.raw'!M674</f>
        <v>DWb1004</v>
      </c>
      <c r="C674" s="24">
        <f>'3.4.raw'!T674</f>
        <v>43654</v>
      </c>
      <c r="D674" s="23">
        <f>'3.4.raw'!I674</f>
        <v>3</v>
      </c>
      <c r="E674" s="1">
        <v>3.4</v>
      </c>
      <c r="G674" s="23" t="b">
        <f>if(countif(Status!C:C,A674)=1,TRUE, FALSE)</f>
        <v>1</v>
      </c>
      <c r="H674" s="23" t="str">
        <f>'3.4.raw'!AD674</f>
        <v/>
      </c>
    </row>
    <row r="675">
      <c r="A675" s="23" t="str">
        <f t="shared" si="4"/>
        <v>OD1003</v>
      </c>
      <c r="B675" s="23" t="str">
        <f>'3.4.raw'!M675</f>
        <v>OD1003</v>
      </c>
      <c r="C675" s="24">
        <f>'3.4.raw'!T675</f>
        <v>43654</v>
      </c>
      <c r="D675" s="23">
        <f>'3.4.raw'!I675</f>
        <v>1</v>
      </c>
      <c r="E675" s="1">
        <v>3.4</v>
      </c>
      <c r="G675" s="23" t="b">
        <f>if(countif(Status!C:C,A675)=1,TRUE, FALSE)</f>
        <v>1</v>
      </c>
      <c r="H675" s="23" t="str">
        <f>'3.4.raw'!AD675</f>
        <v/>
      </c>
    </row>
    <row r="676">
      <c r="A676" s="23" t="str">
        <f t="shared" si="4"/>
        <v>SF1007</v>
      </c>
      <c r="B676" s="23" t="str">
        <f>'3.4.raw'!M676</f>
        <v>SF1007</v>
      </c>
      <c r="C676" s="24">
        <f>'3.4.raw'!T676</f>
        <v>43623</v>
      </c>
      <c r="D676" s="23">
        <f>'3.4.raw'!I676</f>
        <v>10</v>
      </c>
      <c r="E676" s="1">
        <v>3.4</v>
      </c>
      <c r="G676" s="23" t="b">
        <f>if(countif(Status!C:C,A676)=1,TRUE, FALSE)</f>
        <v>1</v>
      </c>
      <c r="H676" s="23" t="str">
        <f>'3.4.raw'!AD676</f>
        <v/>
      </c>
    </row>
    <row r="677">
      <c r="A677" s="23" t="str">
        <f t="shared" si="4"/>
        <v>MO1017</v>
      </c>
      <c r="B677" s="23" t="str">
        <f>'3.4.raw'!M677</f>
        <v>MO1017</v>
      </c>
      <c r="C677" s="24">
        <f>'3.4.raw'!T677</f>
        <v>43640</v>
      </c>
      <c r="D677" s="23">
        <f>'3.4.raw'!I677</f>
        <v>12</v>
      </c>
      <c r="E677" s="1">
        <v>3.4</v>
      </c>
      <c r="G677" s="23" t="b">
        <f>if(countif(Status!C:C,A677)=1,TRUE, FALSE)</f>
        <v>1</v>
      </c>
      <c r="H677" s="23" t="str">
        <f>'3.4.raw'!AD677</f>
        <v/>
      </c>
    </row>
    <row r="678">
      <c r="A678" s="23" t="str">
        <f t="shared" si="4"/>
        <v>MO1018</v>
      </c>
      <c r="B678" s="23" t="str">
        <f>'3.4.raw'!M678</f>
        <v>MO1018</v>
      </c>
      <c r="C678" s="24">
        <f>'3.4.raw'!T678</f>
        <v>43790</v>
      </c>
      <c r="D678" s="23">
        <f>'3.4.raw'!I678</f>
        <v>12</v>
      </c>
      <c r="E678" s="1">
        <v>3.4</v>
      </c>
      <c r="G678" s="23" t="b">
        <f>if(countif(Status!C:C,A678)=1,TRUE, FALSE)</f>
        <v>1</v>
      </c>
      <c r="H678" s="23" t="str">
        <f>'3.4.raw'!AD678</f>
        <v/>
      </c>
    </row>
    <row r="679">
      <c r="A679" s="23" t="str">
        <f t="shared" si="4"/>
        <v>MO1144</v>
      </c>
      <c r="B679" s="23" t="str">
        <f>'3.4.raw'!M679</f>
        <v>MO1144</v>
      </c>
      <c r="C679" s="24">
        <f>'3.4.raw'!T679</f>
        <v>43844</v>
      </c>
      <c r="D679" s="23">
        <f>'3.4.raw'!I679</f>
        <v>12</v>
      </c>
      <c r="E679" s="1">
        <v>3.4</v>
      </c>
      <c r="G679" s="23" t="b">
        <f>if(countif(Status!C:C,A679)=1,TRUE, FALSE)</f>
        <v>1</v>
      </c>
      <c r="H679" s="23" t="str">
        <f>'3.4.raw'!AD679</f>
        <v/>
      </c>
    </row>
    <row r="680">
      <c r="A680" s="23" t="str">
        <f t="shared" si="4"/>
        <v>MO1145</v>
      </c>
      <c r="B680" s="23" t="str">
        <f>'3.4.raw'!M680</f>
        <v>MO1145</v>
      </c>
      <c r="C680" s="24">
        <f>'3.4.raw'!T680</f>
        <v>43844</v>
      </c>
      <c r="D680" s="23">
        <f>'3.4.raw'!I680</f>
        <v>12</v>
      </c>
      <c r="E680" s="1">
        <v>3.4</v>
      </c>
      <c r="G680" s="23" t="b">
        <f>if(countif(Status!C:C,A680)=1,TRUE, FALSE)</f>
        <v>1</v>
      </c>
      <c r="H680" s="23" t="str">
        <f>'3.4.raw'!AD680</f>
        <v/>
      </c>
    </row>
    <row r="681">
      <c r="A681" s="23" t="str">
        <f t="shared" si="4"/>
        <v>PLc1164</v>
      </c>
      <c r="B681" s="23" t="str">
        <f>'3.4.raw'!M681</f>
        <v>PLc1164</v>
      </c>
      <c r="C681" s="24">
        <f>'3.4.raw'!T681</f>
        <v>43844</v>
      </c>
      <c r="D681" s="23">
        <f>'3.4.raw'!I681</f>
        <v>11</v>
      </c>
      <c r="E681" s="1">
        <v>3.4</v>
      </c>
      <c r="G681" s="23" t="b">
        <f>if(countif(Status!C:C,A681)=1,TRUE, FALSE)</f>
        <v>1</v>
      </c>
      <c r="H681" s="23" t="str">
        <f>'3.4.raw'!AD681</f>
        <v/>
      </c>
    </row>
    <row r="682">
      <c r="A682" s="23" t="str">
        <f t="shared" si="4"/>
        <v>PLc1165</v>
      </c>
      <c r="B682" s="23" t="str">
        <f>'3.4.raw'!M682</f>
        <v>PLc1165</v>
      </c>
      <c r="C682" s="24">
        <f>'3.4.raw'!T682</f>
        <v>43844</v>
      </c>
      <c r="D682" s="23">
        <f>'3.4.raw'!I682</f>
        <v>11</v>
      </c>
      <c r="E682" s="1">
        <v>3.4</v>
      </c>
      <c r="G682" s="23" t="b">
        <f>if(countif(Status!C:C,A682)=1,TRUE, FALSE)</f>
        <v>1</v>
      </c>
      <c r="H682" s="23" t="str">
        <f>'3.4.raw'!AD682</f>
        <v/>
      </c>
    </row>
    <row r="683">
      <c r="A683" s="23" t="str">
        <f t="shared" si="4"/>
        <v>PLc1166</v>
      </c>
      <c r="B683" s="23" t="str">
        <f>'3.4.raw'!M683</f>
        <v>PLc1166</v>
      </c>
      <c r="C683" s="24">
        <f>'3.4.raw'!T683</f>
        <v>43844</v>
      </c>
      <c r="D683" s="23">
        <f>'3.4.raw'!I683</f>
        <v>11</v>
      </c>
      <c r="E683" s="1">
        <v>3.4</v>
      </c>
      <c r="G683" s="23" t="b">
        <f>if(countif(Status!C:C,A683)=1,TRUE, FALSE)</f>
        <v>1</v>
      </c>
      <c r="H683" s="23" t="str">
        <f>'3.4.raw'!AD683</f>
        <v/>
      </c>
    </row>
    <row r="684">
      <c r="A684" s="23" t="str">
        <f t="shared" si="4"/>
        <v>PLc1167</v>
      </c>
      <c r="B684" s="23" t="str">
        <f>'3.4.raw'!M684</f>
        <v>PLc1167</v>
      </c>
      <c r="C684" s="24">
        <f>'3.4.raw'!T684</f>
        <v>43844</v>
      </c>
      <c r="D684" s="23">
        <f>'3.4.raw'!I684</f>
        <v>11</v>
      </c>
      <c r="E684" s="1">
        <v>3.4</v>
      </c>
      <c r="G684" s="23" t="b">
        <f>if(countif(Status!C:C,A684)=1,TRUE, FALSE)</f>
        <v>1</v>
      </c>
      <c r="H684" s="23" t="str">
        <f>'3.4.raw'!AD684</f>
        <v/>
      </c>
    </row>
    <row r="685">
      <c r="A685" s="23" t="str">
        <f t="shared" si="4"/>
        <v>PLc1168</v>
      </c>
      <c r="B685" s="23" t="str">
        <f>'3.4.raw'!M685</f>
        <v>PLc1168</v>
      </c>
      <c r="C685" s="24">
        <f>'3.4.raw'!T685</f>
        <v>43844</v>
      </c>
      <c r="D685" s="23">
        <f>'3.4.raw'!I685</f>
        <v>11</v>
      </c>
      <c r="E685" s="1">
        <v>3.4</v>
      </c>
      <c r="G685" s="23" t="b">
        <f>if(countif(Status!C:C,A685)=1,TRUE, FALSE)</f>
        <v>1</v>
      </c>
      <c r="H685" s="23" t="str">
        <f>'3.4.raw'!AD685</f>
        <v/>
      </c>
    </row>
    <row r="686">
      <c r="A686" s="23" t="str">
        <f t="shared" si="4"/>
        <v>PLc1169</v>
      </c>
      <c r="B686" s="23" t="str">
        <f>'3.4.raw'!M686</f>
        <v>PLc1169</v>
      </c>
      <c r="C686" s="24">
        <f>'3.4.raw'!T686</f>
        <v>43844</v>
      </c>
      <c r="D686" s="23">
        <f>'3.4.raw'!I686</f>
        <v>11</v>
      </c>
      <c r="E686" s="1">
        <v>3.4</v>
      </c>
      <c r="G686" s="23" t="b">
        <f>if(countif(Status!C:C,A686)=1,TRUE, FALSE)</f>
        <v>1</v>
      </c>
      <c r="H686" s="23" t="str">
        <f>'3.4.raw'!AD686</f>
        <v/>
      </c>
    </row>
    <row r="687">
      <c r="A687" s="23" t="str">
        <f t="shared" si="4"/>
        <v>PLc1170</v>
      </c>
      <c r="B687" s="23" t="str">
        <f>'3.4.raw'!M687</f>
        <v>PLc1170</v>
      </c>
      <c r="C687" s="24">
        <f>'3.4.raw'!T687</f>
        <v>43844</v>
      </c>
      <c r="D687" s="23">
        <f>'3.4.raw'!I687</f>
        <v>11</v>
      </c>
      <c r="E687" s="1">
        <v>3.4</v>
      </c>
      <c r="G687" s="23" t="b">
        <f>if(countif(Status!C:C,A687)=1,TRUE, FALSE)</f>
        <v>1</v>
      </c>
      <c r="H687" s="23" t="str">
        <f>'3.4.raw'!AD687</f>
        <v/>
      </c>
    </row>
    <row r="688">
      <c r="A688" s="23" t="str">
        <f t="shared" si="4"/>
        <v>FB1258UP</v>
      </c>
      <c r="B688" s="23" t="str">
        <f>'3.4.raw'!M688</f>
        <v>FB1258UP</v>
      </c>
      <c r="C688" s="24">
        <f>'3.4.raw'!T688</f>
        <v>43844</v>
      </c>
      <c r="D688" s="23">
        <f>'3.4.raw'!I688</f>
        <v>99</v>
      </c>
      <c r="E688" s="1">
        <v>3.4</v>
      </c>
      <c r="G688" s="23" t="b">
        <f>if(countif(Status!C:C,A688)=1,TRUE, FALSE)</f>
        <v>1</v>
      </c>
      <c r="H688" s="23" t="str">
        <f>'3.4.raw'!AD688</f>
        <v>Associated sample PLc1170</v>
      </c>
    </row>
    <row r="689">
      <c r="A689" s="23" t="str">
        <f t="shared" si="4"/>
        <v>PLc1171</v>
      </c>
      <c r="B689" s="23" t="str">
        <f>'3.4.raw'!M689</f>
        <v>PLc1171</v>
      </c>
      <c r="C689" s="24">
        <f>'3.4.raw'!T689</f>
        <v>43844</v>
      </c>
      <c r="D689" s="23">
        <f>'3.4.raw'!I689</f>
        <v>11</v>
      </c>
      <c r="E689" s="1">
        <v>3.4</v>
      </c>
      <c r="G689" s="23" t="b">
        <f>if(countif(Status!C:C,A689)=1,TRUE, FALSE)</f>
        <v>1</v>
      </c>
      <c r="H689" s="23" t="str">
        <f>'3.4.raw'!AD689</f>
        <v/>
      </c>
    </row>
    <row r="690">
      <c r="A690" s="23" t="str">
        <f t="shared" si="4"/>
        <v>PLc1172</v>
      </c>
      <c r="B690" s="23" t="str">
        <f>'3.4.raw'!M690</f>
        <v>PLc1172</v>
      </c>
      <c r="C690" s="24">
        <f>'3.4.raw'!T690</f>
        <v>43844</v>
      </c>
      <c r="D690" s="23">
        <f>'3.4.raw'!I690</f>
        <v>11</v>
      </c>
      <c r="E690" s="1">
        <v>3.4</v>
      </c>
      <c r="G690" s="23" t="b">
        <f>if(countif(Status!C:C,A690)=1,TRUE, FALSE)</f>
        <v>1</v>
      </c>
      <c r="H690" s="23" t="str">
        <f>'3.4.raw'!AD690</f>
        <v/>
      </c>
    </row>
    <row r="691">
      <c r="A691" s="23" t="str">
        <f t="shared" si="4"/>
        <v>MO1146</v>
      </c>
      <c r="B691" s="23" t="str">
        <f>'3.4.raw'!M691</f>
        <v>MO1146</v>
      </c>
      <c r="C691" s="24">
        <f>'3.4.raw'!T691</f>
        <v>43844</v>
      </c>
      <c r="D691" s="23">
        <f>'3.4.raw'!I691</f>
        <v>12</v>
      </c>
      <c r="E691" s="1">
        <v>3.4</v>
      </c>
      <c r="G691" s="23" t="b">
        <f>if(countif(Status!C:C,A691)=1,TRUE, FALSE)</f>
        <v>1</v>
      </c>
      <c r="H691" s="23" t="str">
        <f>'3.4.raw'!AD691</f>
        <v/>
      </c>
    </row>
    <row r="692">
      <c r="A692" s="23" t="str">
        <f t="shared" si="4"/>
        <v>FB1261UP</v>
      </c>
      <c r="B692" s="23" t="str">
        <f>'3.4.raw'!M692</f>
        <v>FB1261UP</v>
      </c>
      <c r="C692" s="24">
        <f>'3.4.raw'!T692</f>
        <v>43844</v>
      </c>
      <c r="D692" s="23">
        <f>'3.4.raw'!I692</f>
        <v>99</v>
      </c>
      <c r="E692" s="1">
        <v>3.4</v>
      </c>
      <c r="G692" s="23" t="b">
        <f>if(countif(Status!C:C,A692)=1,TRUE, FALSE)</f>
        <v>1</v>
      </c>
      <c r="H692" s="23" t="str">
        <f>'3.4.raw'!AD692</f>
        <v>Associated sample MO1146</v>
      </c>
    </row>
    <row r="693">
      <c r="A693" s="23" t="str">
        <f t="shared" si="4"/>
        <v>MO1147</v>
      </c>
      <c r="B693" s="23" t="str">
        <f>'3.4.raw'!M693</f>
        <v>MO1147</v>
      </c>
      <c r="C693" s="24">
        <f>'3.4.raw'!T693</f>
        <v>43844</v>
      </c>
      <c r="D693" s="23">
        <f>'3.4.raw'!I693</f>
        <v>12</v>
      </c>
      <c r="E693" s="1">
        <v>3.4</v>
      </c>
      <c r="G693" s="23" t="b">
        <f>if(countif(Status!C:C,A693)=1,TRUE, FALSE)</f>
        <v>1</v>
      </c>
      <c r="H693" s="23" t="str">
        <f>'3.4.raw'!AD693</f>
        <v/>
      </c>
    </row>
    <row r="694">
      <c r="A694" s="23" t="str">
        <f t="shared" si="4"/>
        <v>MO1148</v>
      </c>
      <c r="B694" s="23" t="str">
        <f>'3.4.raw'!M694</f>
        <v>MO1148</v>
      </c>
      <c r="C694" s="24">
        <f>'3.4.raw'!T694</f>
        <v>43844</v>
      </c>
      <c r="D694" s="23">
        <f>'3.4.raw'!I694</f>
        <v>12</v>
      </c>
      <c r="E694" s="1">
        <v>3.4</v>
      </c>
      <c r="G694" s="23" t="b">
        <f>if(countif(Status!C:C,A694)=1,TRUE, FALSE)</f>
        <v>1</v>
      </c>
      <c r="H694" s="23" t="str">
        <f>'3.4.raw'!AD694</f>
        <v/>
      </c>
    </row>
    <row r="695">
      <c r="A695" s="23" t="str">
        <f t="shared" si="4"/>
        <v>UF1014</v>
      </c>
      <c r="B695" s="23" t="str">
        <f>'3.4.raw'!M695</f>
        <v>UF1014</v>
      </c>
      <c r="C695" s="24">
        <f>'3.4.raw'!T695</f>
        <v>43844</v>
      </c>
      <c r="D695" s="23">
        <f>'3.4.raw'!I695</f>
        <v>16</v>
      </c>
      <c r="E695" s="1">
        <v>3.4</v>
      </c>
      <c r="G695" s="23" t="b">
        <f>if(countif(Status!C:C,A695)=1,TRUE, FALSE)</f>
        <v>1</v>
      </c>
      <c r="H695" s="23" t="str">
        <f>'3.4.raw'!AD695</f>
        <v/>
      </c>
    </row>
    <row r="696">
      <c r="A696" s="23" t="str">
        <f t="shared" si="4"/>
        <v>DWa1004uf</v>
      </c>
      <c r="B696" s="23" t="str">
        <f>'3.4.raw'!M696</f>
        <v>DWa1004uf</v>
      </c>
      <c r="C696" s="24">
        <f>'3.4.raw'!T696</f>
        <v>43844</v>
      </c>
      <c r="D696" s="23">
        <f>'3.4.raw'!I696</f>
        <v>3</v>
      </c>
      <c r="E696" s="1">
        <v>3.4</v>
      </c>
      <c r="G696" s="23" t="b">
        <f>if(countif(Status!C:C,A696)=1,TRUE, FALSE)</f>
        <v>1</v>
      </c>
      <c r="H696" s="23" t="str">
        <f>'3.4.raw'!AD696</f>
        <v/>
      </c>
    </row>
    <row r="697">
      <c r="A697" s="23" t="str">
        <f t="shared" si="4"/>
        <v>FB1264</v>
      </c>
      <c r="B697" s="23" t="str">
        <f>'3.4.raw'!M697</f>
        <v>FB1264</v>
      </c>
      <c r="C697" s="24">
        <f>'3.4.raw'!T697</f>
        <v>43844</v>
      </c>
      <c r="D697" s="23">
        <f>'3.4.raw'!I697</f>
        <v>99</v>
      </c>
      <c r="E697" s="1">
        <v>3.4</v>
      </c>
      <c r="G697" s="23" t="b">
        <f>if(countif(Status!C:C,A697)=1,TRUE, FALSE)</f>
        <v>1</v>
      </c>
      <c r="H697" s="23" t="str">
        <f>'3.4.raw'!AD697</f>
        <v>Associated sample DWa1004uf</v>
      </c>
    </row>
    <row r="698">
      <c r="A698" s="23" t="str">
        <f t="shared" si="4"/>
        <v>MO1149</v>
      </c>
      <c r="B698" s="23" t="str">
        <f>'3.4.raw'!M698</f>
        <v>MO1149</v>
      </c>
      <c r="C698" s="24">
        <f>'3.4.raw'!T698</f>
        <v>43846</v>
      </c>
      <c r="D698" s="23">
        <f>'3.4.raw'!I698</f>
        <v>12</v>
      </c>
      <c r="E698" s="1">
        <v>3.4</v>
      </c>
      <c r="G698" s="23" t="b">
        <f>if(countif(Status!C:C,A698)=1,TRUE, FALSE)</f>
        <v>1</v>
      </c>
      <c r="H698" s="23" t="str">
        <f>'3.4.raw'!AD698</f>
        <v/>
      </c>
    </row>
    <row r="699">
      <c r="A699" s="23" t="str">
        <f t="shared" si="4"/>
        <v>MO1150</v>
      </c>
      <c r="B699" s="23" t="str">
        <f>'3.4.raw'!M699</f>
        <v>MO1150</v>
      </c>
      <c r="C699" s="24">
        <f>'3.4.raw'!T699</f>
        <v>43844</v>
      </c>
      <c r="D699" s="23">
        <f>'3.4.raw'!I699</f>
        <v>12</v>
      </c>
      <c r="E699" s="1">
        <v>3.4</v>
      </c>
      <c r="G699" s="23" t="b">
        <f>if(countif(Status!C:C,A699)=1,TRUE, FALSE)</f>
        <v>1</v>
      </c>
      <c r="H699" s="23" t="str">
        <f>'3.4.raw'!AD699</f>
        <v/>
      </c>
    </row>
    <row r="700">
      <c r="A700" s="23" t="str">
        <f t="shared" si="4"/>
        <v>PLc1173</v>
      </c>
      <c r="B700" s="23" t="str">
        <f>'3.4.raw'!M700</f>
        <v>PLc1173</v>
      </c>
      <c r="C700" s="24">
        <f>'3.4.raw'!T700</f>
        <v>43846</v>
      </c>
      <c r="D700" s="23">
        <f>'3.4.raw'!I700</f>
        <v>11</v>
      </c>
      <c r="E700" s="1">
        <v>3.4</v>
      </c>
      <c r="G700" s="23" t="b">
        <f>if(countif(Status!C:C,A700)=1,TRUE, FALSE)</f>
        <v>1</v>
      </c>
      <c r="H700" s="23" t="str">
        <f>'3.4.raw'!AD700</f>
        <v/>
      </c>
    </row>
    <row r="701">
      <c r="A701" s="23" t="str">
        <f t="shared" si="4"/>
        <v>PLc1174</v>
      </c>
      <c r="B701" s="23" t="str">
        <f>'3.4.raw'!M701</f>
        <v>PLc1174</v>
      </c>
      <c r="C701" s="24">
        <f>'3.4.raw'!T701</f>
        <v>43846</v>
      </c>
      <c r="D701" s="23">
        <f>'3.4.raw'!I701</f>
        <v>11</v>
      </c>
      <c r="E701" s="1">
        <v>3.4</v>
      </c>
      <c r="G701" s="23" t="b">
        <f>if(countif(Status!C:C,A701)=1,TRUE, FALSE)</f>
        <v>1</v>
      </c>
      <c r="H701" s="23" t="str">
        <f>'3.4.raw'!AD701</f>
        <v/>
      </c>
    </row>
    <row r="702">
      <c r="A702" s="23" t="str">
        <f t="shared" si="4"/>
        <v>PLc1175</v>
      </c>
      <c r="B702" s="23" t="str">
        <f>'3.4.raw'!M702</f>
        <v>PLc1175</v>
      </c>
      <c r="C702" s="24">
        <f>'3.4.raw'!T702</f>
        <v>43846</v>
      </c>
      <c r="D702" s="23">
        <f>'3.4.raw'!I702</f>
        <v>11</v>
      </c>
      <c r="E702" s="1">
        <v>3.4</v>
      </c>
      <c r="G702" s="23" t="b">
        <f>if(countif(Status!C:C,A702)=1,TRUE, FALSE)</f>
        <v>1</v>
      </c>
      <c r="H702" s="23" t="str">
        <f>'3.4.raw'!AD702</f>
        <v/>
      </c>
    </row>
    <row r="703">
      <c r="A703" s="23" t="str">
        <f t="shared" si="4"/>
        <v>PLc1176</v>
      </c>
      <c r="B703" s="23" t="str">
        <f>'3.4.raw'!M703</f>
        <v>PLc1176</v>
      </c>
      <c r="C703" s="24">
        <f>'3.4.raw'!T703</f>
        <v>43846</v>
      </c>
      <c r="D703" s="23">
        <f>'3.4.raw'!I703</f>
        <v>11</v>
      </c>
      <c r="E703" s="1">
        <v>3.4</v>
      </c>
      <c r="G703" s="23" t="b">
        <f>if(countif(Status!C:C,A703)=1,TRUE, FALSE)</f>
        <v>1</v>
      </c>
      <c r="H703" s="23" t="str">
        <f>'3.4.raw'!AD703</f>
        <v/>
      </c>
    </row>
    <row r="704">
      <c r="A704" s="23" t="str">
        <f t="shared" si="4"/>
        <v>PLc1177</v>
      </c>
      <c r="B704" s="23" t="str">
        <f>'3.4.raw'!M704</f>
        <v>PLc1177</v>
      </c>
      <c r="C704" s="24">
        <f>'3.4.raw'!T704</f>
        <v>43846</v>
      </c>
      <c r="D704" s="23">
        <f>'3.4.raw'!I704</f>
        <v>11</v>
      </c>
      <c r="E704" s="1">
        <v>3.4</v>
      </c>
      <c r="G704" s="23" t="b">
        <f>if(countif(Status!C:C,A704)=1,TRUE, FALSE)</f>
        <v>1</v>
      </c>
      <c r="H704" s="23" t="str">
        <f>'3.4.raw'!AD704</f>
        <v/>
      </c>
    </row>
    <row r="705">
      <c r="A705" s="23" t="str">
        <f t="shared" si="4"/>
        <v>FB1267UP</v>
      </c>
      <c r="B705" s="23" t="str">
        <f>'3.4.raw'!M705</f>
        <v>FB1267UP</v>
      </c>
      <c r="C705" s="24">
        <f>'3.4.raw'!T705</f>
        <v>43846</v>
      </c>
      <c r="D705" s="23">
        <f>'3.4.raw'!I705</f>
        <v>99</v>
      </c>
      <c r="E705" s="1">
        <v>3.4</v>
      </c>
      <c r="G705" s="23" t="b">
        <f>if(countif(Status!C:C,A705)=1,TRUE, FALSE)</f>
        <v>1</v>
      </c>
      <c r="H705" s="23" t="str">
        <f>'3.4.raw'!AD705</f>
        <v>Associated sample PLc1173</v>
      </c>
    </row>
    <row r="706">
      <c r="A706" s="23" t="str">
        <f t="shared" si="4"/>
        <v>FB1268UP</v>
      </c>
      <c r="B706" s="23" t="str">
        <f>'3.4.raw'!M706</f>
        <v>FB1268UP</v>
      </c>
      <c r="C706" s="24">
        <f>'3.4.raw'!T706</f>
        <v>43846</v>
      </c>
      <c r="D706" s="23">
        <f>'3.4.raw'!I706</f>
        <v>99</v>
      </c>
      <c r="E706" s="1">
        <v>3.4</v>
      </c>
      <c r="G706" s="23" t="b">
        <f>if(countif(Status!C:C,A706)=1,TRUE, FALSE)</f>
        <v>1</v>
      </c>
      <c r="H706" s="23" t="str">
        <f>'3.4.raw'!AD706</f>
        <v>Associated sample PLc1174</v>
      </c>
    </row>
    <row r="707">
      <c r="A707" s="23" t="str">
        <f t="shared" si="4"/>
        <v>MO1152</v>
      </c>
      <c r="B707" s="23" t="str">
        <f>'3.4.raw'!M707</f>
        <v>MO1152</v>
      </c>
      <c r="C707" s="24">
        <f>'3.4.raw'!T707</f>
        <v>43846</v>
      </c>
      <c r="D707" s="23">
        <f>'3.4.raw'!I707</f>
        <v>12</v>
      </c>
      <c r="E707" s="1">
        <v>3.4</v>
      </c>
      <c r="G707" s="23" t="b">
        <f>if(countif(Status!C:C,A707)=1,TRUE, FALSE)</f>
        <v>1</v>
      </c>
      <c r="H707" s="23" t="str">
        <f>'3.4.raw'!AD707</f>
        <v/>
      </c>
    </row>
    <row r="708">
      <c r="A708" s="23" t="str">
        <f t="shared" si="4"/>
        <v>MO1153</v>
      </c>
      <c r="B708" s="23" t="str">
        <f>'3.4.raw'!M708</f>
        <v>MO1153</v>
      </c>
      <c r="C708" s="24">
        <f>'3.4.raw'!T708</f>
        <v>43846</v>
      </c>
      <c r="D708" s="23">
        <f>'3.4.raw'!I708</f>
        <v>12</v>
      </c>
      <c r="E708" s="1">
        <v>3.4</v>
      </c>
      <c r="G708" s="23" t="b">
        <f>if(countif(Status!C:C,A708)=1,TRUE, FALSE)</f>
        <v>1</v>
      </c>
      <c r="H708" s="23" t="str">
        <f>'3.4.raw'!AD708</f>
        <v/>
      </c>
    </row>
    <row r="709">
      <c r="A709" s="23" t="str">
        <f t="shared" si="4"/>
        <v>MO1154</v>
      </c>
      <c r="B709" s="23" t="str">
        <f>'3.4.raw'!M709</f>
        <v>MO1154</v>
      </c>
      <c r="C709" s="24">
        <f>'3.4.raw'!T709</f>
        <v>43846</v>
      </c>
      <c r="D709" s="23">
        <f>'3.4.raw'!I709</f>
        <v>12</v>
      </c>
      <c r="E709" s="1">
        <v>3.4</v>
      </c>
      <c r="G709" s="23" t="b">
        <f>if(countif(Status!C:C,A709)=1,TRUE, FALSE)</f>
        <v>1</v>
      </c>
      <c r="H709" s="23" t="str">
        <f>'3.4.raw'!AD709</f>
        <v/>
      </c>
    </row>
    <row r="710">
      <c r="A710" s="23" t="str">
        <f t="shared" si="4"/>
        <v>UF1015</v>
      </c>
      <c r="B710" s="23" t="str">
        <f>'3.4.raw'!M710</f>
        <v>UF1015</v>
      </c>
      <c r="C710" s="24">
        <f>'3.4.raw'!T710</f>
        <v>43846</v>
      </c>
      <c r="D710" s="23">
        <f>'3.4.raw'!I710</f>
        <v>16</v>
      </c>
      <c r="E710" s="1">
        <v>3.4</v>
      </c>
      <c r="G710" s="23" t="b">
        <f>if(countif(Status!C:C,A710)=1,TRUE, FALSE)</f>
        <v>1</v>
      </c>
      <c r="H710" s="23" t="str">
        <f>'3.4.raw'!AD710</f>
        <v/>
      </c>
    </row>
    <row r="711">
      <c r="A711" s="23" t="str">
        <f t="shared" si="4"/>
        <v>COa2001</v>
      </c>
      <c r="B711" s="23" t="str">
        <f>'3.4.raw'!M711</f>
        <v>COa2001</v>
      </c>
      <c r="C711" s="24">
        <f>'3.4.raw'!T711</f>
        <v>43850</v>
      </c>
      <c r="D711" s="23">
        <f>'3.4.raw'!I711</f>
        <v>15</v>
      </c>
      <c r="E711" s="1">
        <v>3.4</v>
      </c>
      <c r="G711" s="23" t="b">
        <f>if(countif(Status!C:C,A711)=1,TRUE, FALSE)</f>
        <v>1</v>
      </c>
      <c r="H711" s="23" t="str">
        <f>'3.4.raw'!AD711</f>
        <v/>
      </c>
    </row>
    <row r="712">
      <c r="A712" s="23" t="str">
        <f t="shared" si="4"/>
        <v>COb2001</v>
      </c>
      <c r="B712" s="23" t="str">
        <f>'3.4.raw'!M712</f>
        <v>COb2001</v>
      </c>
      <c r="C712" s="24">
        <f>'3.4.raw'!T712</f>
        <v>43850</v>
      </c>
      <c r="D712" s="23">
        <f>'3.4.raw'!I712</f>
        <v>15</v>
      </c>
      <c r="E712" s="1">
        <v>3.4</v>
      </c>
      <c r="G712" s="23" t="b">
        <f>if(countif(Status!C:C,A712)=1,TRUE, FALSE)</f>
        <v>1</v>
      </c>
      <c r="H712" s="23" t="str">
        <f>'3.4.raw'!AD712</f>
        <v/>
      </c>
    </row>
    <row r="713">
      <c r="A713" s="23" t="str">
        <f t="shared" si="4"/>
        <v>COb2002</v>
      </c>
      <c r="B713" s="23" t="str">
        <f>'3.4.raw'!M713</f>
        <v>COb2002</v>
      </c>
      <c r="C713" s="24">
        <f>'3.4.raw'!T713</f>
        <v>43850</v>
      </c>
      <c r="D713" s="23">
        <f>'3.4.raw'!I713</f>
        <v>15</v>
      </c>
      <c r="E713" s="1">
        <v>3.4</v>
      </c>
      <c r="G713" s="23" t="b">
        <f>if(countif(Status!C:C,A713)=1,TRUE, FALSE)</f>
        <v>1</v>
      </c>
      <c r="H713" s="23" t="str">
        <f>'3.4.raw'!AD713</f>
        <v/>
      </c>
    </row>
    <row r="714">
      <c r="A714" s="23" t="str">
        <f t="shared" si="4"/>
        <v>COb2003</v>
      </c>
      <c r="B714" s="23" t="str">
        <f>'3.4.raw'!M714</f>
        <v>COb2003</v>
      </c>
      <c r="C714" s="24">
        <f>'3.4.raw'!T714</f>
        <v>43850</v>
      </c>
      <c r="D714" s="23">
        <f>'3.4.raw'!I714</f>
        <v>15</v>
      </c>
      <c r="E714" s="1">
        <v>3.4</v>
      </c>
      <c r="G714" s="23" t="b">
        <f>if(countif(Status!C:C,A714)=1,TRUE, FALSE)</f>
        <v>1</v>
      </c>
      <c r="H714" s="23" t="str">
        <f>'3.4.raw'!AD714</f>
        <v/>
      </c>
    </row>
    <row r="715">
      <c r="A715" s="23" t="str">
        <f t="shared" si="4"/>
        <v>COa2002</v>
      </c>
      <c r="B715" s="23" t="str">
        <f>'3.4.raw'!M715</f>
        <v>COa2002</v>
      </c>
      <c r="C715" s="24">
        <f>'3.4.raw'!T715</f>
        <v>43850</v>
      </c>
      <c r="D715" s="23">
        <f>'3.4.raw'!I715</f>
        <v>15</v>
      </c>
      <c r="E715" s="1">
        <v>3.4</v>
      </c>
      <c r="G715" s="23" t="b">
        <f>if(countif(Status!C:C,A715)=1,TRUE, FALSE)</f>
        <v>1</v>
      </c>
      <c r="H715" s="23" t="str">
        <f>'3.4.raw'!AD715</f>
        <v/>
      </c>
    </row>
    <row r="716">
      <c r="A716" s="23" t="str">
        <f t="shared" si="4"/>
        <v>COb2004</v>
      </c>
      <c r="B716" s="23" t="str">
        <f>'3.4.raw'!M716</f>
        <v>COb2004</v>
      </c>
      <c r="C716" s="24">
        <f>'3.4.raw'!T716</f>
        <v>43850</v>
      </c>
      <c r="D716" s="23">
        <f>'3.4.raw'!I716</f>
        <v>15</v>
      </c>
      <c r="E716" s="1">
        <v>3.4</v>
      </c>
      <c r="G716" s="23" t="b">
        <f>if(countif(Status!C:C,A716)=1,TRUE, FALSE)</f>
        <v>1</v>
      </c>
      <c r="H716" s="23" t="str">
        <f>'3.4.raw'!AD716</f>
        <v/>
      </c>
    </row>
    <row r="717">
      <c r="A717" s="23" t="str">
        <f t="shared" si="4"/>
        <v>COb2005</v>
      </c>
      <c r="B717" s="23" t="str">
        <f>'3.4.raw'!M717</f>
        <v>COb2005</v>
      </c>
      <c r="C717" s="24">
        <f>'3.4.raw'!T717</f>
        <v>43850</v>
      </c>
      <c r="D717" s="23">
        <f>'3.4.raw'!I717</f>
        <v>15</v>
      </c>
      <c r="E717" s="1">
        <v>3.4</v>
      </c>
      <c r="G717" s="23" t="b">
        <f>if(countif(Status!C:C,A717)=1,TRUE, FALSE)</f>
        <v>1</v>
      </c>
      <c r="H717" s="23" t="str">
        <f>'3.4.raw'!AD717</f>
        <v/>
      </c>
    </row>
    <row r="718">
      <c r="A718" s="23" t="str">
        <f t="shared" si="4"/>
        <v>COb2006</v>
      </c>
      <c r="B718" s="23" t="str">
        <f>'3.4.raw'!M718</f>
        <v>COb2006</v>
      </c>
      <c r="C718" s="24">
        <f>'3.4.raw'!T718</f>
        <v>43850</v>
      </c>
      <c r="D718" s="23">
        <f>'3.4.raw'!I718</f>
        <v>15</v>
      </c>
      <c r="E718" s="1">
        <v>3.4</v>
      </c>
      <c r="G718" s="23" t="b">
        <f>if(countif(Status!C:C,A718)=1,TRUE, FALSE)</f>
        <v>1</v>
      </c>
      <c r="H718" s="23" t="str">
        <f>'3.4.raw'!AD718</f>
        <v/>
      </c>
    </row>
    <row r="719">
      <c r="A719" s="23" t="str">
        <f t="shared" si="4"/>
        <v>RP2001</v>
      </c>
      <c r="B719" s="23" t="str">
        <f>'3.4.raw'!M719</f>
        <v>RP2001</v>
      </c>
      <c r="C719" s="24">
        <f>'3.4.raw'!T719</f>
        <v>43850</v>
      </c>
      <c r="D719" s="23">
        <f>'3.4.raw'!I719</f>
        <v>2</v>
      </c>
      <c r="E719" s="1">
        <v>3.4</v>
      </c>
      <c r="G719" s="23" t="b">
        <f>if(countif(Status!C:C,A719)=1,TRUE, FALSE)</f>
        <v>1</v>
      </c>
      <c r="H719" s="23" t="str">
        <f>'3.4.raw'!AD719</f>
        <v/>
      </c>
    </row>
    <row r="720">
      <c r="A720" s="23" t="str">
        <f t="shared" si="4"/>
        <v>FB1277</v>
      </c>
      <c r="B720" s="23" t="str">
        <f>'3.4.raw'!M720</f>
        <v>FB1277</v>
      </c>
      <c r="C720" s="24">
        <f>'3.4.raw'!T720</f>
        <v>43850</v>
      </c>
      <c r="D720" s="23">
        <f>'3.4.raw'!I720</f>
        <v>99</v>
      </c>
      <c r="E720" s="1">
        <v>3.4</v>
      </c>
      <c r="G720" s="23" t="b">
        <f>if(countif(Status!C:C,A720)=1,TRUE, FALSE)</f>
        <v>1</v>
      </c>
      <c r="H720" s="23" t="str">
        <f>'3.4.raw'!AD720</f>
        <v>Associated sample RP2001</v>
      </c>
    </row>
    <row r="721">
      <c r="A721" s="23" t="str">
        <f t="shared" si="4"/>
        <v>SL2001</v>
      </c>
      <c r="B721" s="23" t="str">
        <f>'3.4.raw'!M721</f>
        <v>SL2001</v>
      </c>
      <c r="C721" s="24">
        <f>'3.4.raw'!T721</f>
        <v>43850</v>
      </c>
      <c r="D721" s="23">
        <f>'3.4.raw'!I721</f>
        <v>8</v>
      </c>
      <c r="E721" s="1">
        <v>3.4</v>
      </c>
      <c r="G721" s="23" t="b">
        <f>if(countif(Status!C:C,A721)=1,TRUE, FALSE)</f>
        <v>1</v>
      </c>
      <c r="H721" s="23" t="str">
        <f>'3.4.raw'!AD721</f>
        <v/>
      </c>
    </row>
    <row r="722">
      <c r="A722" s="23" t="str">
        <f t="shared" si="4"/>
        <v>PLc1178</v>
      </c>
      <c r="B722" s="23" t="str">
        <f>'3.4.raw'!M722</f>
        <v>PLc1178</v>
      </c>
      <c r="C722" s="24">
        <f>'3.4.raw'!T722</f>
        <v>43850</v>
      </c>
      <c r="D722" s="23">
        <f>'3.4.raw'!I722</f>
        <v>11</v>
      </c>
      <c r="E722" s="1">
        <v>3.4</v>
      </c>
      <c r="G722" s="23" t="b">
        <f>if(countif(Status!C:C,A722)=1,TRUE, FALSE)</f>
        <v>1</v>
      </c>
      <c r="H722" s="23" t="str">
        <f>'3.4.raw'!AD722</f>
        <v/>
      </c>
    </row>
    <row r="723">
      <c r="A723" s="23" t="str">
        <f t="shared" si="4"/>
        <v>FB1280UP</v>
      </c>
      <c r="B723" s="23" t="str">
        <f>'3.4.raw'!M723</f>
        <v>FB1280UP</v>
      </c>
      <c r="C723" s="24">
        <f>'3.4.raw'!T723</f>
        <v>43850</v>
      </c>
      <c r="D723" s="23">
        <f>'3.4.raw'!I723</f>
        <v>99</v>
      </c>
      <c r="E723" s="1">
        <v>3.4</v>
      </c>
      <c r="G723" s="23" t="b">
        <f>if(countif(Status!C:C,A723)=1,TRUE, FALSE)</f>
        <v>1</v>
      </c>
      <c r="H723" s="23" t="str">
        <f>'3.4.raw'!AD723</f>
        <v>Associated sample PLc1178</v>
      </c>
    </row>
    <row r="724">
      <c r="A724" s="23" t="str">
        <f t="shared" si="4"/>
        <v>PLc1179</v>
      </c>
      <c r="B724" s="23" t="str">
        <f>'3.4.raw'!M724</f>
        <v>PLc1179</v>
      </c>
      <c r="C724" s="24">
        <f>'3.4.raw'!T724</f>
        <v>43850</v>
      </c>
      <c r="D724" s="23">
        <f>'3.4.raw'!I724</f>
        <v>11</v>
      </c>
      <c r="E724" s="1">
        <v>3.4</v>
      </c>
      <c r="G724" s="23" t="b">
        <f>if(countif(Status!C:C,A724)=1,TRUE, FALSE)</f>
        <v>1</v>
      </c>
      <c r="H724" s="23" t="str">
        <f>'3.4.raw'!AD724</f>
        <v/>
      </c>
    </row>
    <row r="725">
      <c r="A725" s="23" t="str">
        <f t="shared" si="4"/>
        <v>DWa1005F</v>
      </c>
      <c r="B725" s="23" t="str">
        <f>'3.4.raw'!M725</f>
        <v>DWa1005F</v>
      </c>
      <c r="C725" s="24">
        <f>'3.4.raw'!T725</f>
        <v>43850</v>
      </c>
      <c r="D725" s="23">
        <f>'3.4.raw'!I725</f>
        <v>3</v>
      </c>
      <c r="E725" s="1">
        <v>3.4</v>
      </c>
      <c r="G725" s="23" t="b">
        <f>if(countif(Status!C:C,A725)=1,TRUE, FALSE)</f>
        <v>1</v>
      </c>
      <c r="H725" s="23" t="str">
        <f>'3.4.raw'!AD725</f>
        <v/>
      </c>
    </row>
    <row r="726">
      <c r="A726" s="23" t="str">
        <f t="shared" si="4"/>
        <v>DWa1005</v>
      </c>
      <c r="B726" s="23" t="str">
        <f>'3.4.raw'!M726</f>
        <v>DWa1005</v>
      </c>
      <c r="C726" s="24">
        <f>'3.4.raw'!T726</f>
        <v>43850</v>
      </c>
      <c r="D726" s="23">
        <f>'3.4.raw'!I726</f>
        <v>3</v>
      </c>
      <c r="E726" s="1">
        <v>3.4</v>
      </c>
      <c r="G726" s="23" t="b">
        <f>if(countif(Status!C:C,A726)=1,TRUE, FALSE)</f>
        <v>1</v>
      </c>
      <c r="H726" s="23" t="str">
        <f>'3.4.raw'!AD726</f>
        <v/>
      </c>
    </row>
    <row r="727">
      <c r="A727" s="23" t="str">
        <f t="shared" si="4"/>
        <v>MO1155</v>
      </c>
      <c r="B727" s="23" t="str">
        <f>'3.4.raw'!M727</f>
        <v>MO1155</v>
      </c>
      <c r="C727" s="24">
        <f>'3.4.raw'!T727</f>
        <v>43850</v>
      </c>
      <c r="D727" s="23">
        <f>'3.4.raw'!I727</f>
        <v>12</v>
      </c>
      <c r="E727" s="1">
        <v>3.4</v>
      </c>
      <c r="G727" s="23" t="b">
        <f>if(countif(Status!C:C,A727)=1,TRUE, FALSE)</f>
        <v>1</v>
      </c>
      <c r="H727" s="23" t="str">
        <f>'3.4.raw'!AD727</f>
        <v/>
      </c>
    </row>
    <row r="728">
      <c r="A728" s="23" t="str">
        <f t="shared" si="4"/>
        <v>FB1282UP</v>
      </c>
      <c r="B728" s="23" t="str">
        <f>'3.4.raw'!M728</f>
        <v>FB1282UP</v>
      </c>
      <c r="C728" s="24">
        <f>'3.4.raw'!T728</f>
        <v>43850</v>
      </c>
      <c r="D728" s="23">
        <f>'3.4.raw'!I728</f>
        <v>99</v>
      </c>
      <c r="E728" s="1">
        <v>3.4</v>
      </c>
      <c r="G728" s="23" t="b">
        <f>if(countif(Status!C:C,A728)=1,TRUE, FALSE)</f>
        <v>1</v>
      </c>
      <c r="H728" s="23" t="str">
        <f>'3.4.raw'!AD728</f>
        <v>Associated sample MO1155</v>
      </c>
    </row>
    <row r="729">
      <c r="A729" s="23" t="str">
        <f t="shared" si="4"/>
        <v>MO1156</v>
      </c>
      <c r="B729" s="23" t="str">
        <f>'3.4.raw'!M729</f>
        <v>MO1156</v>
      </c>
      <c r="C729" s="24">
        <f>'3.4.raw'!T729</f>
        <v>43850</v>
      </c>
      <c r="D729" s="23">
        <f>'3.4.raw'!I729</f>
        <v>12</v>
      </c>
      <c r="E729" s="1">
        <v>3.4</v>
      </c>
      <c r="G729" s="23" t="b">
        <f>if(countif(Status!C:C,A729)=1,TRUE, FALSE)</f>
        <v>1</v>
      </c>
      <c r="H729" s="23" t="str">
        <f>'3.4.raw'!AD729</f>
        <v/>
      </c>
    </row>
    <row r="730">
      <c r="A730" s="23" t="str">
        <f t="shared" si="4"/>
        <v>EC42</v>
      </c>
      <c r="B730" s="23" t="str">
        <f>'3.4.raw'!M730</f>
        <v>EC42</v>
      </c>
      <c r="C730" s="24">
        <f>'3.4.raw'!T730</f>
        <v>43850</v>
      </c>
      <c r="D730" s="23">
        <f>'3.4.raw'!I730</f>
        <v>98</v>
      </c>
      <c r="E730" s="1">
        <v>3.4</v>
      </c>
      <c r="G730" s="23" t="b">
        <f>if(countif(Status!C:C,A730)=1,TRUE, FALSE)</f>
        <v>1</v>
      </c>
      <c r="H730" s="23" t="str">
        <f>'3.4.raw'!AD730</f>
        <v/>
      </c>
    </row>
    <row r="731">
      <c r="A731" s="23" t="str">
        <f t="shared" si="4"/>
        <v>PL1001</v>
      </c>
      <c r="B731" s="23" t="str">
        <f>'3.4.raw'!M731</f>
        <v>PL1001</v>
      </c>
      <c r="C731" s="24">
        <f>'3.4.raw'!T731</f>
        <v>43790</v>
      </c>
      <c r="D731" s="23">
        <f>'3.4.raw'!I731</f>
        <v>7</v>
      </c>
      <c r="E731" s="1">
        <v>3.4</v>
      </c>
      <c r="G731" s="23" t="b">
        <f>if(countif(Status!C:C,A731)=1,TRUE, FALSE)</f>
        <v>0</v>
      </c>
      <c r="H731" s="23" t="str">
        <f>'3.4.raw'!AD731</f>
        <v/>
      </c>
    </row>
    <row r="732">
      <c r="A732" s="23" t="str">
        <f t="shared" si="4"/>
        <v>LS1001</v>
      </c>
      <c r="B732" s="23" t="str">
        <f>'3.4.raw'!M732</f>
        <v>LS1001</v>
      </c>
      <c r="C732" s="24">
        <f>'3.4.raw'!T732</f>
        <v>43595</v>
      </c>
      <c r="D732" s="23">
        <f>'3.4.raw'!I732</f>
        <v>7</v>
      </c>
      <c r="E732" s="1">
        <v>3.4</v>
      </c>
      <c r="G732" s="23" t="b">
        <f>if(countif(Status!C:C,A732)=1,TRUE, FALSE)</f>
        <v>0</v>
      </c>
      <c r="H732" s="23" t="str">
        <f>'3.4.raw'!AD732</f>
        <v/>
      </c>
    </row>
    <row r="733">
      <c r="A733" s="23" t="str">
        <f t="shared" si="4"/>
        <v>LS1001B</v>
      </c>
      <c r="B733" s="23" t="str">
        <f>'3.4.raw'!M733</f>
        <v>LS1001B</v>
      </c>
      <c r="C733" s="24">
        <f>'3.4.raw'!T733</f>
        <v>43581</v>
      </c>
      <c r="D733" s="23">
        <f>'3.4.raw'!I733</f>
        <v>7</v>
      </c>
      <c r="E733" s="1">
        <v>3.4</v>
      </c>
      <c r="G733" s="23" t="b">
        <f>if(countif(Status!C:C,A733)=1,TRUE, FALSE)</f>
        <v>0</v>
      </c>
      <c r="H733" s="23" t="str">
        <f>'3.4.raw'!AD733</f>
        <v/>
      </c>
    </row>
    <row r="734">
      <c r="A734" s="23" t="str">
        <f t="shared" si="4"/>
        <v>MO1001</v>
      </c>
      <c r="B734" s="23" t="str">
        <f>'3.4.raw'!M734</f>
        <v>MO1001</v>
      </c>
      <c r="C734" s="24">
        <f>'3.4.raw'!T734</f>
        <v>43595</v>
      </c>
      <c r="D734" s="23">
        <f>'3.4.raw'!I734</f>
        <v>12</v>
      </c>
      <c r="E734" s="1">
        <v>3.4</v>
      </c>
      <c r="G734" s="23" t="b">
        <f>if(countif(Status!C:C,A734)=1,TRUE, FALSE)</f>
        <v>0</v>
      </c>
      <c r="H734" s="23" t="str">
        <f>'3.4.raw'!AD734</f>
        <v/>
      </c>
    </row>
    <row r="735">
      <c r="A735" s="23" t="str">
        <f t="shared" si="4"/>
        <v>MO1002</v>
      </c>
      <c r="B735" s="23" t="str">
        <f>'3.4.raw'!M735</f>
        <v>MO1002</v>
      </c>
      <c r="C735" s="24">
        <f>'3.4.raw'!T735</f>
        <v>43595</v>
      </c>
      <c r="D735" s="23">
        <f>'3.4.raw'!I735</f>
        <v>12</v>
      </c>
      <c r="E735" s="1">
        <v>3.4</v>
      </c>
      <c r="G735" s="23" t="b">
        <f>if(countif(Status!C:C,A735)=1,TRUE, FALSE)</f>
        <v>0</v>
      </c>
      <c r="H735" s="23" t="str">
        <f>'3.4.raw'!AD735</f>
        <v/>
      </c>
    </row>
    <row r="736">
      <c r="A736" s="49" t="s">
        <v>140</v>
      </c>
      <c r="B736" s="23" t="str">
        <f>'3.4.raw'!M736</f>
        <v>RP2001</v>
      </c>
      <c r="C736" s="24">
        <f>'3.4.raw'!T736</f>
        <v>43595</v>
      </c>
      <c r="D736" s="23">
        <f>'3.4.raw'!I736</f>
        <v>2</v>
      </c>
      <c r="E736" s="1">
        <v>3.4</v>
      </c>
      <c r="G736" s="23" t="b">
        <f>if(countif(Status!C:C,A736)=1,TRUE, FALSE)</f>
        <v>1</v>
      </c>
      <c r="H736" s="23" t="str">
        <f>'3.4.raw'!AD736</f>
        <v/>
      </c>
    </row>
    <row r="737">
      <c r="A737" s="49" t="s">
        <v>2016</v>
      </c>
      <c r="B737" s="23" t="str">
        <f>'3.4.raw'!M737</f>
        <v>RP2002</v>
      </c>
      <c r="C737" s="24">
        <f>'3.4.raw'!T737</f>
        <v>43595</v>
      </c>
      <c r="D737" s="23">
        <f>'3.4.raw'!I737</f>
        <v>2</v>
      </c>
      <c r="E737" s="1">
        <v>3.4</v>
      </c>
      <c r="G737" s="23" t="b">
        <f>if(countif(Status!C:C,A737)=1,TRUE, FALSE)</f>
        <v>0</v>
      </c>
      <c r="H737" s="23" t="str">
        <f>'3.4.raw'!AD737</f>
        <v/>
      </c>
    </row>
    <row r="738">
      <c r="A738" s="49" t="s">
        <v>208</v>
      </c>
      <c r="B738" s="23" t="str">
        <f>'3.4.raw'!M738</f>
        <v>SL2001</v>
      </c>
      <c r="C738" s="24">
        <f>'3.4.raw'!T738</f>
        <v>43662</v>
      </c>
      <c r="D738" s="23">
        <f>'3.4.raw'!I738</f>
        <v>8</v>
      </c>
      <c r="E738" s="1">
        <v>3.4</v>
      </c>
      <c r="G738" s="23" t="b">
        <f>if(countif(Status!C:C,A738)=1,TRUE, FALSE)</f>
        <v>1</v>
      </c>
      <c r="H738" s="23" t="str">
        <f>'3.4.raw'!AD738</f>
        <v/>
      </c>
    </row>
    <row r="739">
      <c r="A739" s="49" t="s">
        <v>244</v>
      </c>
      <c r="B739" s="23" t="str">
        <f>'3.4.raw'!M739</f>
        <v>SL2002</v>
      </c>
      <c r="C739" s="24">
        <f>'3.4.raw'!T739</f>
        <v>43595</v>
      </c>
      <c r="D739" s="23">
        <f>'3.4.raw'!I739</f>
        <v>8</v>
      </c>
      <c r="E739" s="1">
        <v>3.4</v>
      </c>
      <c r="G739" s="23" t="b">
        <f>if(countif(Status!C:C,A739)=1,TRUE, FALSE)</f>
        <v>1</v>
      </c>
      <c r="H739" s="23" t="str">
        <f>'3.4.raw'!AD739</f>
        <v/>
      </c>
    </row>
    <row r="740">
      <c r="A740" s="23" t="str">
        <f t="shared" ref="A740:A877" si="5">B740</f>
        <v>PL2001</v>
      </c>
      <c r="B740" s="23" t="str">
        <f>'3.4.raw'!M740</f>
        <v>PL2001</v>
      </c>
      <c r="C740" s="24">
        <f>'3.4.raw'!T740</f>
        <v>43595</v>
      </c>
      <c r="D740" s="23">
        <f>'3.4.raw'!I740</f>
        <v>7</v>
      </c>
      <c r="E740" s="1">
        <v>3.4</v>
      </c>
      <c r="G740" s="23" t="b">
        <f>if(countif(Status!C:C,A740)=1,TRUE, FALSE)</f>
        <v>0</v>
      </c>
      <c r="H740" s="23" t="str">
        <f>'3.4.raw'!AD740</f>
        <v/>
      </c>
    </row>
    <row r="741">
      <c r="A741" s="23" t="str">
        <f t="shared" si="5"/>
        <v>MO1003</v>
      </c>
      <c r="B741" s="23" t="str">
        <f>'3.4.raw'!M741</f>
        <v>MO1003</v>
      </c>
      <c r="C741" s="24">
        <f>'3.4.raw'!T741</f>
        <v>43790</v>
      </c>
      <c r="D741" s="23">
        <f>'3.4.raw'!I741</f>
        <v>12</v>
      </c>
      <c r="E741" s="1">
        <v>3.4</v>
      </c>
      <c r="G741" s="23" t="b">
        <f>if(countif(Status!C:C,A741)=1,TRUE, FALSE)</f>
        <v>1</v>
      </c>
      <c r="H741" s="23" t="str">
        <f>'3.4.raw'!AD741</f>
        <v/>
      </c>
    </row>
    <row r="742">
      <c r="A742" s="23" t="str">
        <f t="shared" si="5"/>
        <v>MO1004</v>
      </c>
      <c r="B742" s="23" t="str">
        <f>'3.4.raw'!M742</f>
        <v>MO1004</v>
      </c>
      <c r="C742" s="24">
        <f>'3.4.raw'!T742</f>
        <v>43790</v>
      </c>
      <c r="D742" s="23">
        <f>'3.4.raw'!I742</f>
        <v>12</v>
      </c>
      <c r="E742" s="1">
        <v>3.4</v>
      </c>
      <c r="G742" s="23" t="b">
        <f>if(countif(Status!C:C,A742)=1,TRUE, FALSE)</f>
        <v>1</v>
      </c>
      <c r="H742" s="23" t="str">
        <f>'3.4.raw'!AD742</f>
        <v/>
      </c>
    </row>
    <row r="743">
      <c r="A743" s="23" t="str">
        <f t="shared" si="5"/>
        <v>MO1005</v>
      </c>
      <c r="B743" s="23" t="str">
        <f>'3.4.raw'!M743</f>
        <v>MO1005</v>
      </c>
      <c r="C743" s="24">
        <f>'3.4.raw'!T743</f>
        <v>43790</v>
      </c>
      <c r="D743" s="23">
        <f>'3.4.raw'!I743</f>
        <v>12</v>
      </c>
      <c r="E743" s="1">
        <v>3.4</v>
      </c>
      <c r="G743" s="23" t="b">
        <f>if(countif(Status!C:C,A743)=1,TRUE, FALSE)</f>
        <v>1</v>
      </c>
      <c r="H743" s="23" t="str">
        <f>'3.4.raw'!AD743</f>
        <v/>
      </c>
    </row>
    <row r="744">
      <c r="A744" s="23" t="str">
        <f t="shared" si="5"/>
        <v>MO1006</v>
      </c>
      <c r="B744" s="23" t="str">
        <f>'3.4.raw'!M744</f>
        <v>MO1006</v>
      </c>
      <c r="C744" s="24">
        <f>'3.4.raw'!T744</f>
        <v>43790</v>
      </c>
      <c r="D744" s="23">
        <f>'3.4.raw'!I744</f>
        <v>12</v>
      </c>
      <c r="E744" s="1">
        <v>3.4</v>
      </c>
      <c r="G744" s="23" t="b">
        <f>if(countif(Status!C:C,A744)=1,TRUE, FALSE)</f>
        <v>1</v>
      </c>
      <c r="H744" s="23" t="str">
        <f>'3.4.raw'!AD744</f>
        <v/>
      </c>
    </row>
    <row r="745">
      <c r="A745" s="23" t="str">
        <f t="shared" si="5"/>
        <v>PLc1001</v>
      </c>
      <c r="B745" s="23" t="str">
        <f>'3.4.raw'!M745</f>
        <v>PLc1001</v>
      </c>
      <c r="C745" s="24">
        <f>'3.4.raw'!T745</f>
        <v>43602</v>
      </c>
      <c r="D745" s="23">
        <f>'3.4.raw'!I745</f>
        <v>11</v>
      </c>
      <c r="E745" s="1">
        <v>3.4</v>
      </c>
      <c r="G745" s="23" t="b">
        <f>if(countif(Status!C:C,A745)=1,TRUE, FALSE)</f>
        <v>1</v>
      </c>
      <c r="H745" s="23" t="str">
        <f>'3.4.raw'!AD745</f>
        <v/>
      </c>
    </row>
    <row r="746">
      <c r="A746" s="23" t="str">
        <f t="shared" si="5"/>
        <v>DWb1001</v>
      </c>
      <c r="B746" s="23" t="str">
        <f>'3.4.raw'!M746</f>
        <v>DWb1001</v>
      </c>
      <c r="C746" s="24">
        <f>'3.4.raw'!T746</f>
        <v>43602</v>
      </c>
      <c r="D746" s="23">
        <f>'3.4.raw'!I746</f>
        <v>3</v>
      </c>
      <c r="E746" s="1">
        <v>3.4</v>
      </c>
      <c r="G746" s="23" t="b">
        <f>if(countif(Status!C:C,A746)=1,TRUE, FALSE)</f>
        <v>1</v>
      </c>
      <c r="H746" s="23" t="str">
        <f>'3.4.raw'!AD746</f>
        <v/>
      </c>
    </row>
    <row r="747">
      <c r="A747" s="23" t="str">
        <f t="shared" si="5"/>
        <v>OD1001</v>
      </c>
      <c r="B747" s="23" t="str">
        <f>'3.4.raw'!M747</f>
        <v>OD1001</v>
      </c>
      <c r="C747" s="24">
        <f>'3.4.raw'!T747</f>
        <v>43571</v>
      </c>
      <c r="D747" s="23">
        <f>'3.4.raw'!I747</f>
        <v>1</v>
      </c>
      <c r="E747" s="1">
        <v>3.4</v>
      </c>
      <c r="G747" s="23" t="b">
        <f>if(countif(Status!C:C,A747)=1,TRUE, FALSE)</f>
        <v>1</v>
      </c>
      <c r="H747" s="23" t="str">
        <f>'3.4.raw'!AD747</f>
        <v/>
      </c>
    </row>
    <row r="748">
      <c r="A748" s="55" t="str">
        <f t="shared" si="5"/>
        <v>OD1001B</v>
      </c>
      <c r="B748" s="55" t="str">
        <f>'3.4.raw'!M748</f>
        <v>OD1001B</v>
      </c>
      <c r="C748" s="24">
        <f>'3.4.raw'!T748</f>
        <v>43571</v>
      </c>
      <c r="D748" s="23">
        <f>'3.4.raw'!I748</f>
        <v>1</v>
      </c>
      <c r="E748" s="1">
        <v>3.4</v>
      </c>
      <c r="G748" s="23" t="b">
        <f>if(countif(Status!C:C,A748)=1,TRUE, FALSE)</f>
        <v>0</v>
      </c>
      <c r="H748" s="23" t="str">
        <f>'3.4.raw'!AD748</f>
        <v/>
      </c>
    </row>
    <row r="749">
      <c r="A749" s="23" t="str">
        <f t="shared" si="5"/>
        <v>SF1001</v>
      </c>
      <c r="B749" s="23" t="str">
        <f>'3.4.raw'!M749</f>
        <v>SF1001</v>
      </c>
      <c r="C749" s="24">
        <f>'3.4.raw'!T749</f>
        <v>43623</v>
      </c>
      <c r="D749" s="23">
        <f>'3.4.raw'!I749</f>
        <v>10</v>
      </c>
      <c r="E749" s="1">
        <v>3.4</v>
      </c>
      <c r="G749" s="23" t="b">
        <f>if(countif(Status!C:C,A749)=1,TRUE, FALSE)</f>
        <v>1</v>
      </c>
      <c r="H749" s="23" t="str">
        <f>'3.4.raw'!AD749</f>
        <v/>
      </c>
    </row>
    <row r="750">
      <c r="A750" s="55" t="str">
        <f t="shared" si="5"/>
        <v>SF1001B</v>
      </c>
      <c r="B750" s="55" t="str">
        <f>'3.4.raw'!M750</f>
        <v>SF1001B</v>
      </c>
      <c r="C750" s="24">
        <f>'3.4.raw'!T750</f>
        <v>43581</v>
      </c>
      <c r="D750" s="23">
        <f>'3.4.raw'!I750</f>
        <v>10</v>
      </c>
      <c r="E750" s="1">
        <v>3.4</v>
      </c>
      <c r="G750" s="23" t="b">
        <f>if(countif(Status!C:C,A750)=1,TRUE, FALSE)</f>
        <v>0</v>
      </c>
      <c r="H750" s="23" t="str">
        <f>'3.4.raw'!AD750</f>
        <v/>
      </c>
    </row>
    <row r="751">
      <c r="A751" s="23" t="str">
        <f t="shared" si="5"/>
        <v>SF1002</v>
      </c>
      <c r="B751" s="23" t="str">
        <f>'3.4.raw'!M751</f>
        <v>SF1002</v>
      </c>
      <c r="C751" s="24">
        <f>'3.4.raw'!T751</f>
        <v>43581</v>
      </c>
      <c r="D751" s="23">
        <f>'3.4.raw'!I751</f>
        <v>10</v>
      </c>
      <c r="E751" s="1">
        <v>3.4</v>
      </c>
      <c r="G751" s="23" t="b">
        <f>if(countif(Status!C:C,A751)=1,TRUE, FALSE)</f>
        <v>1</v>
      </c>
      <c r="H751" s="23" t="str">
        <f>'3.4.raw'!AD751</f>
        <v/>
      </c>
    </row>
    <row r="752">
      <c r="A752" s="23" t="str">
        <f t="shared" si="5"/>
        <v>MO1007</v>
      </c>
      <c r="B752" s="23" t="str">
        <f>'3.4.raw'!M752</f>
        <v>MO1007</v>
      </c>
      <c r="C752" s="24">
        <f>'3.4.raw'!T752</f>
        <v>43790</v>
      </c>
      <c r="D752" s="23">
        <f>'3.4.raw'!I752</f>
        <v>12</v>
      </c>
      <c r="E752" s="1">
        <v>3.4</v>
      </c>
      <c r="G752" s="23" t="b">
        <f>if(countif(Status!C:C,A752)=1,TRUE, FALSE)</f>
        <v>1</v>
      </c>
      <c r="H752" s="23" t="str">
        <f>'3.4.raw'!AD752</f>
        <v/>
      </c>
    </row>
    <row r="753">
      <c r="A753" s="23" t="str">
        <f t="shared" si="5"/>
        <v>MO1008</v>
      </c>
      <c r="B753" s="23" t="str">
        <f>'3.4.raw'!M753</f>
        <v>MO1008</v>
      </c>
      <c r="C753" s="24">
        <f>'3.4.raw'!T753</f>
        <v>43790</v>
      </c>
      <c r="D753" s="23">
        <f>'3.4.raw'!I753</f>
        <v>12</v>
      </c>
      <c r="E753" s="1">
        <v>3.4</v>
      </c>
      <c r="G753" s="23" t="b">
        <f>if(countif(Status!C:C,A753)=1,TRUE, FALSE)</f>
        <v>1</v>
      </c>
      <c r="H753" s="23" t="str">
        <f>'3.4.raw'!AD753</f>
        <v/>
      </c>
    </row>
    <row r="754">
      <c r="A754" s="23" t="str">
        <f t="shared" si="5"/>
        <v>SW1001</v>
      </c>
      <c r="B754" s="23" t="str">
        <f>'3.4.raw'!M754</f>
        <v>SW1001</v>
      </c>
      <c r="C754" s="24">
        <f>'3.4.raw'!T754</f>
        <v>43790</v>
      </c>
      <c r="D754" s="23">
        <f>'3.4.raw'!I754</f>
        <v>5</v>
      </c>
      <c r="E754" s="1">
        <v>3.4</v>
      </c>
      <c r="G754" s="23" t="b">
        <f>if(countif(Status!C:C,A754)=1,TRUE, FALSE)</f>
        <v>1</v>
      </c>
      <c r="H754" s="23" t="str">
        <f>'3.4.raw'!AD754</f>
        <v/>
      </c>
    </row>
    <row r="755">
      <c r="A755" s="23" t="str">
        <f t="shared" si="5"/>
        <v>DWa2003</v>
      </c>
      <c r="B755" s="23" t="str">
        <f>'3.4.raw'!M755</f>
        <v>DWa2003</v>
      </c>
      <c r="C755" s="24">
        <f>'3.4.raw'!T755</f>
        <v>43684</v>
      </c>
      <c r="D755" s="23">
        <f>'3.4.raw'!I755</f>
        <v>3</v>
      </c>
      <c r="E755" s="1">
        <v>3.4</v>
      </c>
      <c r="G755" s="23" t="b">
        <f>if(countif(Status!C:C,A755)=1,TRUE, FALSE)</f>
        <v>1</v>
      </c>
      <c r="H755" s="23" t="str">
        <f>'3.4.raw'!AD755</f>
        <v/>
      </c>
    </row>
    <row r="756">
      <c r="A756" s="23" t="str">
        <f t="shared" si="5"/>
        <v>PL1002</v>
      </c>
      <c r="B756" s="23" t="str">
        <f>'3.4.raw'!M756</f>
        <v>PL1002</v>
      </c>
      <c r="C756" s="24">
        <f>'3.4.raw'!T756</f>
        <v>43623</v>
      </c>
      <c r="D756" s="23">
        <f>'3.4.raw'!I756</f>
        <v>7</v>
      </c>
      <c r="E756" s="1">
        <v>3.4</v>
      </c>
      <c r="G756" s="23" t="b">
        <f>if(countif(Status!C:C,A756)=1,TRUE, FALSE)</f>
        <v>1</v>
      </c>
      <c r="H756" s="23" t="str">
        <f>'3.4.raw'!AD756</f>
        <v/>
      </c>
    </row>
    <row r="757">
      <c r="A757" s="23" t="str">
        <f t="shared" si="5"/>
        <v>LS1002</v>
      </c>
      <c r="B757" s="23" t="str">
        <f>'3.4.raw'!M757</f>
        <v>LS1002</v>
      </c>
      <c r="C757" s="24">
        <f>'3.4.raw'!T757</f>
        <v>43623</v>
      </c>
      <c r="D757" s="23">
        <f>'3.4.raw'!I757</f>
        <v>7</v>
      </c>
      <c r="E757" s="1">
        <v>3.4</v>
      </c>
      <c r="G757" s="23" t="b">
        <f>if(countif(Status!C:C,A757)=1,TRUE, FALSE)</f>
        <v>1</v>
      </c>
      <c r="H757" s="23" t="str">
        <f>'3.4.raw'!AD757</f>
        <v/>
      </c>
    </row>
    <row r="758">
      <c r="A758" s="23" t="str">
        <f t="shared" si="5"/>
        <v>LS1003</v>
      </c>
      <c r="B758" s="23" t="str">
        <f>'3.4.raw'!M758</f>
        <v>LS1003</v>
      </c>
      <c r="C758" s="24">
        <f>'3.4.raw'!T758</f>
        <v>43623</v>
      </c>
      <c r="D758" s="23">
        <f>'3.4.raw'!I758</f>
        <v>7</v>
      </c>
      <c r="E758" s="1">
        <v>3.4</v>
      </c>
      <c r="G758" s="23" t="b">
        <f>if(countif(Status!C:C,A758)=1,TRUE, FALSE)</f>
        <v>1</v>
      </c>
      <c r="H758" s="23" t="str">
        <f>'3.4.raw'!AD758</f>
        <v/>
      </c>
    </row>
    <row r="759">
      <c r="A759" s="23" t="str">
        <f t="shared" si="5"/>
        <v>LS1004</v>
      </c>
      <c r="B759" s="23" t="str">
        <f>'3.4.raw'!M759</f>
        <v>LS1004</v>
      </c>
      <c r="C759" s="24">
        <f>'3.4.raw'!T759</f>
        <v>43623</v>
      </c>
      <c r="D759" s="23">
        <f>'3.4.raw'!I759</f>
        <v>7</v>
      </c>
      <c r="E759" s="1">
        <v>3.4</v>
      </c>
      <c r="G759" s="23" t="b">
        <f>if(countif(Status!C:C,A759)=1,TRUE, FALSE)</f>
        <v>1</v>
      </c>
      <c r="H759" s="23" t="str">
        <f>'3.4.raw'!AD759</f>
        <v/>
      </c>
    </row>
    <row r="760">
      <c r="A760" s="23" t="str">
        <f t="shared" si="5"/>
        <v>MO1009</v>
      </c>
      <c r="B760" s="23" t="str">
        <f>'3.4.raw'!M760</f>
        <v>MO1009</v>
      </c>
      <c r="C760" s="24">
        <f>'3.4.raw'!T760</f>
        <v>43623</v>
      </c>
      <c r="D760" s="23">
        <f>'3.4.raw'!I760</f>
        <v>12</v>
      </c>
      <c r="E760" s="1">
        <v>3.4</v>
      </c>
      <c r="G760" s="23" t="b">
        <f>if(countif(Status!C:C,A760)=1,TRUE, FALSE)</f>
        <v>1</v>
      </c>
      <c r="H760" s="23" t="str">
        <f>'3.4.raw'!AD760</f>
        <v/>
      </c>
    </row>
    <row r="761">
      <c r="A761" s="23" t="str">
        <f t="shared" si="5"/>
        <v>MO1010</v>
      </c>
      <c r="B761" s="23" t="str">
        <f>'3.4.raw'!M761</f>
        <v>MO1010</v>
      </c>
      <c r="C761" s="24">
        <f>'3.4.raw'!T761</f>
        <v>43623</v>
      </c>
      <c r="D761" s="23">
        <f>'3.4.raw'!I761</f>
        <v>12</v>
      </c>
      <c r="E761" s="1">
        <v>3.4</v>
      </c>
      <c r="G761" s="23" t="b">
        <f>if(countif(Status!C:C,A761)=1,TRUE, FALSE)</f>
        <v>1</v>
      </c>
      <c r="H761" s="23" t="str">
        <f>'3.4.raw'!AD761</f>
        <v/>
      </c>
    </row>
    <row r="762">
      <c r="A762" s="23" t="str">
        <f t="shared" si="5"/>
        <v>PLc1002</v>
      </c>
      <c r="B762" s="23" t="str">
        <f>'3.4.raw'!M762</f>
        <v>PLc1002</v>
      </c>
      <c r="C762" s="24">
        <f>'3.4.raw'!T762</f>
        <v>43623</v>
      </c>
      <c r="D762" s="23">
        <f>'3.4.raw'!I762</f>
        <v>11</v>
      </c>
      <c r="E762" s="1">
        <v>3.4</v>
      </c>
      <c r="G762" s="23" t="b">
        <f>if(countif(Status!C:C,A762)=1,TRUE, FALSE)</f>
        <v>1</v>
      </c>
      <c r="H762" s="23" t="str">
        <f>'3.4.raw'!AD762</f>
        <v/>
      </c>
    </row>
    <row r="763">
      <c r="A763" s="23" t="str">
        <f t="shared" si="5"/>
        <v>PLc1003</v>
      </c>
      <c r="B763" s="23" t="str">
        <f>'3.4.raw'!M763</f>
        <v>PLc1003</v>
      </c>
      <c r="C763" s="24">
        <f>'3.4.raw'!T763</f>
        <v>43654</v>
      </c>
      <c r="D763" s="23">
        <f>'3.4.raw'!I763</f>
        <v>11</v>
      </c>
      <c r="E763" s="1">
        <v>3.4</v>
      </c>
      <c r="G763" s="23" t="b">
        <f>if(countif(Status!C:C,A763)=1,TRUE, FALSE)</f>
        <v>1</v>
      </c>
      <c r="H763" s="23" t="str">
        <f>'3.4.raw'!AD763</f>
        <v/>
      </c>
    </row>
    <row r="764">
      <c r="A764" s="23" t="str">
        <f t="shared" si="5"/>
        <v>DWb1002</v>
      </c>
      <c r="B764" s="23" t="str">
        <f>'3.4.raw'!M764</f>
        <v>DWb1002</v>
      </c>
      <c r="C764" s="24">
        <f>'3.4.raw'!T764</f>
        <v>43654</v>
      </c>
      <c r="D764" s="23">
        <f>'3.4.raw'!I764</f>
        <v>3</v>
      </c>
      <c r="E764" s="1">
        <v>3.4</v>
      </c>
      <c r="G764" s="23" t="b">
        <f>if(countif(Status!C:C,A764)=1,TRUE, FALSE)</f>
        <v>1</v>
      </c>
      <c r="H764" s="23" t="str">
        <f>'3.4.raw'!AD764</f>
        <v/>
      </c>
    </row>
    <row r="765">
      <c r="A765" s="23" t="str">
        <f t="shared" si="5"/>
        <v>RP1001</v>
      </c>
      <c r="B765" s="23" t="str">
        <f>'3.4.raw'!M765</f>
        <v>RP1001</v>
      </c>
      <c r="C765" s="24">
        <f>'3.4.raw'!T765</f>
        <v>43790</v>
      </c>
      <c r="D765" s="23">
        <f>'3.4.raw'!I765</f>
        <v>2</v>
      </c>
      <c r="E765" s="1">
        <v>3.4</v>
      </c>
      <c r="G765" s="23" t="b">
        <f>if(countif(Status!C:C,A765)=1,TRUE, FALSE)</f>
        <v>1</v>
      </c>
      <c r="H765" s="23" t="str">
        <f>'3.4.raw'!AD765</f>
        <v/>
      </c>
    </row>
    <row r="766">
      <c r="A766" s="23" t="str">
        <f t="shared" si="5"/>
        <v>RP1002</v>
      </c>
      <c r="B766" s="23" t="str">
        <f>'3.4.raw'!M766</f>
        <v>RP1002</v>
      </c>
      <c r="C766" s="24">
        <f>'3.4.raw'!T766</f>
        <v>43790</v>
      </c>
      <c r="D766" s="23">
        <f>'3.4.raw'!I766</f>
        <v>2</v>
      </c>
      <c r="E766" s="1">
        <v>3.4</v>
      </c>
      <c r="G766" s="23" t="b">
        <f>if(countif(Status!C:C,A766)=1,TRUE, FALSE)</f>
        <v>1</v>
      </c>
      <c r="H766" s="23" t="str">
        <f>'3.4.raw'!AD766</f>
        <v/>
      </c>
    </row>
    <row r="767">
      <c r="A767" s="55" t="str">
        <f t="shared" si="5"/>
        <v>RP1002B</v>
      </c>
      <c r="B767" s="55" t="str">
        <f>'3.4.raw'!M767</f>
        <v>RP1002B</v>
      </c>
      <c r="C767" s="24">
        <f>'3.4.raw'!T767</f>
        <v>43581</v>
      </c>
      <c r="D767" s="23">
        <f>'3.4.raw'!I767</f>
        <v>2</v>
      </c>
      <c r="E767" s="1">
        <v>3.4</v>
      </c>
      <c r="G767" s="23" t="b">
        <f>if(countif(Status!C:C,A767)=1,TRUE, FALSE)</f>
        <v>0</v>
      </c>
      <c r="H767" s="23" t="str">
        <f>'3.4.raw'!AD767</f>
        <v/>
      </c>
    </row>
    <row r="768">
      <c r="A768" s="23" t="str">
        <f t="shared" si="5"/>
        <v>OD1002</v>
      </c>
      <c r="B768" s="23" t="str">
        <f>'3.4.raw'!M768</f>
        <v>OD1002</v>
      </c>
      <c r="C768" s="24">
        <f>'3.4.raw'!T768</f>
        <v>43654</v>
      </c>
      <c r="D768" s="23">
        <f>'3.4.raw'!I768</f>
        <v>1</v>
      </c>
      <c r="E768" s="1">
        <v>3.4</v>
      </c>
      <c r="G768" s="23" t="b">
        <f>if(countif(Status!C:C,A768)=1,TRUE, FALSE)</f>
        <v>1</v>
      </c>
      <c r="H768" s="23" t="str">
        <f>'3.4.raw'!AD768</f>
        <v/>
      </c>
    </row>
    <row r="769">
      <c r="A769" s="23" t="str">
        <f t="shared" si="5"/>
        <v>SF1003</v>
      </c>
      <c r="B769" s="23" t="str">
        <f>'3.4.raw'!M769</f>
        <v>SF1003</v>
      </c>
      <c r="C769" s="24">
        <f>'3.4.raw'!T769</f>
        <v>43790</v>
      </c>
      <c r="D769" s="23">
        <f>'3.4.raw'!I769</f>
        <v>10</v>
      </c>
      <c r="E769" s="1">
        <v>3.4</v>
      </c>
      <c r="G769" s="23" t="b">
        <f>if(countif(Status!C:C,A769)=1,TRUE, FALSE)</f>
        <v>1</v>
      </c>
      <c r="H769" s="23" t="str">
        <f>'3.4.raw'!AD769</f>
        <v/>
      </c>
    </row>
    <row r="770">
      <c r="A770" s="23" t="str">
        <f t="shared" si="5"/>
        <v>PLc1180</v>
      </c>
      <c r="B770" s="23" t="str">
        <f>'3.4.raw'!M770</f>
        <v>PLc1180</v>
      </c>
      <c r="C770" s="24">
        <f>'3.4.raw'!T770</f>
        <v>43854</v>
      </c>
      <c r="D770" s="23">
        <f>'3.4.raw'!I770</f>
        <v>11</v>
      </c>
      <c r="E770" s="1">
        <v>3.4</v>
      </c>
      <c r="G770" s="23" t="b">
        <f>if(countif(Status!C:C,A770)=1,TRUE, FALSE)</f>
        <v>1</v>
      </c>
      <c r="H770" s="23" t="str">
        <f>'3.4.raw'!AD770</f>
        <v/>
      </c>
    </row>
    <row r="771">
      <c r="A771" s="23" t="str">
        <f t="shared" si="5"/>
        <v>PLc1181</v>
      </c>
      <c r="B771" s="23" t="str">
        <f>'3.4.raw'!M771</f>
        <v>PLc1181</v>
      </c>
      <c r="C771" s="24">
        <f>'3.4.raw'!T771</f>
        <v>43854</v>
      </c>
      <c r="D771" s="23">
        <f>'3.4.raw'!I771</f>
        <v>11</v>
      </c>
      <c r="E771" s="1">
        <v>3.4</v>
      </c>
      <c r="G771" s="23" t="b">
        <f>if(countif(Status!C:C,A771)=1,TRUE, FALSE)</f>
        <v>1</v>
      </c>
      <c r="H771" s="23" t="str">
        <f>'3.4.raw'!AD771</f>
        <v/>
      </c>
    </row>
    <row r="772">
      <c r="A772" s="23" t="str">
        <f t="shared" si="5"/>
        <v>PLc1182</v>
      </c>
      <c r="B772" s="23" t="str">
        <f>'3.4.raw'!M772</f>
        <v>PLc1182</v>
      </c>
      <c r="C772" s="24">
        <f>'3.4.raw'!T772</f>
        <v>43854</v>
      </c>
      <c r="D772" s="23">
        <f>'3.4.raw'!I772</f>
        <v>11</v>
      </c>
      <c r="E772" s="1">
        <v>3.4</v>
      </c>
      <c r="G772" s="23" t="b">
        <f>if(countif(Status!C:C,A772)=1,TRUE, FALSE)</f>
        <v>1</v>
      </c>
      <c r="H772" s="23" t="str">
        <f>'3.4.raw'!AD772</f>
        <v/>
      </c>
    </row>
    <row r="773">
      <c r="A773" s="23" t="str">
        <f t="shared" si="5"/>
        <v>MO1157</v>
      </c>
      <c r="B773" s="23" t="str">
        <f>'3.4.raw'!M773</f>
        <v>MO1157</v>
      </c>
      <c r="C773" s="24">
        <f>'3.4.raw'!T773</f>
        <v>43854</v>
      </c>
      <c r="D773" s="23">
        <f>'3.4.raw'!I773</f>
        <v>12</v>
      </c>
      <c r="E773" s="1">
        <v>3.4</v>
      </c>
      <c r="G773" s="23" t="b">
        <f>if(countif(Status!C:C,A773)=1,TRUE, FALSE)</f>
        <v>1</v>
      </c>
      <c r="H773" s="23" t="str">
        <f>'3.4.raw'!AD773</f>
        <v/>
      </c>
    </row>
    <row r="774">
      <c r="A774" s="23" t="str">
        <f t="shared" si="5"/>
        <v>MO1158</v>
      </c>
      <c r="B774" s="23" t="str">
        <f>'3.4.raw'!M774</f>
        <v>MO1158</v>
      </c>
      <c r="C774" s="24">
        <f>'3.4.raw'!T774</f>
        <v>43854</v>
      </c>
      <c r="D774" s="23">
        <f>'3.4.raw'!I774</f>
        <v>12</v>
      </c>
      <c r="E774" s="1">
        <v>3.4</v>
      </c>
      <c r="G774" s="23" t="b">
        <f>if(countif(Status!C:C,A774)=1,TRUE, FALSE)</f>
        <v>1</v>
      </c>
      <c r="H774" s="23" t="str">
        <f>'3.4.raw'!AD774</f>
        <v/>
      </c>
    </row>
    <row r="775">
      <c r="A775" s="23" t="str">
        <f t="shared" si="5"/>
        <v>MO1159</v>
      </c>
      <c r="B775" s="23" t="str">
        <f>'3.4.raw'!M775</f>
        <v>MO1159</v>
      </c>
      <c r="C775" s="24">
        <f>'3.4.raw'!T775</f>
        <v>43854</v>
      </c>
      <c r="D775" s="23">
        <f>'3.4.raw'!I775</f>
        <v>12</v>
      </c>
      <c r="E775" s="1">
        <v>3.4</v>
      </c>
      <c r="G775" s="23" t="b">
        <f>if(countif(Status!C:C,A775)=1,TRUE, FALSE)</f>
        <v>1</v>
      </c>
      <c r="H775" s="23" t="str">
        <f>'3.4.raw'!AD775</f>
        <v/>
      </c>
    </row>
    <row r="776">
      <c r="A776" s="23" t="str">
        <f t="shared" si="5"/>
        <v>UF1016</v>
      </c>
      <c r="B776" s="23" t="str">
        <f>'3.4.raw'!M776</f>
        <v>UF1016</v>
      </c>
      <c r="C776" s="24">
        <f>'3.4.raw'!T776</f>
        <v>43854</v>
      </c>
      <c r="D776" s="23">
        <f>'3.4.raw'!I776</f>
        <v>16</v>
      </c>
      <c r="E776" s="1">
        <v>3.4</v>
      </c>
      <c r="G776" s="23" t="b">
        <f>if(countif(Status!C:C,A776)=1,TRUE, FALSE)</f>
        <v>1</v>
      </c>
      <c r="H776" s="23" t="str">
        <f>'3.4.raw'!AD776</f>
        <v/>
      </c>
    </row>
    <row r="777">
      <c r="A777" s="23" t="str">
        <f t="shared" si="5"/>
        <v>MO1160</v>
      </c>
      <c r="B777" s="23" t="str">
        <f>'3.4.raw'!M777</f>
        <v>MO1160</v>
      </c>
      <c r="C777" s="24">
        <f>'3.4.raw'!T777</f>
        <v>43854</v>
      </c>
      <c r="D777" s="23">
        <f>'3.4.raw'!I777</f>
        <v>12</v>
      </c>
      <c r="E777" s="1">
        <v>3.4</v>
      </c>
      <c r="G777" s="23" t="b">
        <f>if(countif(Status!C:C,A777)=1,TRUE, FALSE)</f>
        <v>1</v>
      </c>
      <c r="H777" s="23" t="str">
        <f>'3.4.raw'!AD777</f>
        <v/>
      </c>
    </row>
    <row r="778">
      <c r="A778" s="23" t="str">
        <f t="shared" si="5"/>
        <v>MO1161</v>
      </c>
      <c r="B778" s="23" t="str">
        <f>'3.4.raw'!M778</f>
        <v>MO1161</v>
      </c>
      <c r="C778" s="24">
        <f>'3.4.raw'!T778</f>
        <v>43854</v>
      </c>
      <c r="D778" s="23">
        <f>'3.4.raw'!I778</f>
        <v>12</v>
      </c>
      <c r="E778" s="1">
        <v>3.4</v>
      </c>
      <c r="G778" s="23" t="b">
        <f>if(countif(Status!C:C,A778)=1,TRUE, FALSE)</f>
        <v>1</v>
      </c>
      <c r="H778" s="23" t="str">
        <f>'3.4.raw'!AD778</f>
        <v/>
      </c>
    </row>
    <row r="779">
      <c r="A779" s="23" t="str">
        <f t="shared" si="5"/>
        <v>MO1162</v>
      </c>
      <c r="B779" s="23" t="str">
        <f>'3.4.raw'!M779</f>
        <v>MO1162</v>
      </c>
      <c r="C779" s="24">
        <f>'3.4.raw'!T779</f>
        <v>43854</v>
      </c>
      <c r="D779" s="23">
        <f>'3.4.raw'!I779</f>
        <v>12</v>
      </c>
      <c r="E779" s="1">
        <v>3.4</v>
      </c>
      <c r="G779" s="23" t="b">
        <f>if(countif(Status!C:C,A779)=1,TRUE, FALSE)</f>
        <v>1</v>
      </c>
      <c r="H779" s="23" t="str">
        <f>'3.4.raw'!AD779</f>
        <v/>
      </c>
    </row>
    <row r="780">
      <c r="A780" s="23" t="str">
        <f t="shared" si="5"/>
        <v>UF1017</v>
      </c>
      <c r="B780" s="23" t="str">
        <f>'3.4.raw'!M780</f>
        <v>UF1017</v>
      </c>
      <c r="C780" s="24">
        <f>'3.4.raw'!T780</f>
        <v>43854</v>
      </c>
      <c r="D780" s="23">
        <f>'3.4.raw'!I780</f>
        <v>16</v>
      </c>
      <c r="E780" s="1">
        <v>3.4</v>
      </c>
      <c r="G780" s="23" t="b">
        <f>if(countif(Status!C:C,A780)=1,TRUE, FALSE)</f>
        <v>1</v>
      </c>
      <c r="H780" s="23" t="str">
        <f>'3.4.raw'!AD780</f>
        <v/>
      </c>
    </row>
    <row r="781">
      <c r="A781" s="23" t="str">
        <f t="shared" si="5"/>
        <v>FPd2001</v>
      </c>
      <c r="B781" s="23" t="str">
        <f>'3.4.raw'!M781</f>
        <v>FPd2001</v>
      </c>
      <c r="C781" s="24">
        <f>'3.4.raw'!T781</f>
        <v>43854</v>
      </c>
      <c r="D781" s="23">
        <f>'3.4.raw'!I781</f>
        <v>14</v>
      </c>
      <c r="E781" s="1">
        <v>3.4</v>
      </c>
      <c r="G781" s="23" t="b">
        <f>if(countif(Status!C:C,A781)=1,TRUE, FALSE)</f>
        <v>1</v>
      </c>
      <c r="H781" s="23" t="str">
        <f>'3.4.raw'!AD781</f>
        <v/>
      </c>
    </row>
    <row r="782">
      <c r="A782" s="23" t="str">
        <f t="shared" si="5"/>
        <v>FPb2001</v>
      </c>
      <c r="B782" s="23" t="str">
        <f>'3.4.raw'!M782</f>
        <v>FPb2001</v>
      </c>
      <c r="C782" s="24">
        <f>'3.4.raw'!T782</f>
        <v>43854</v>
      </c>
      <c r="D782" s="23">
        <f>'3.4.raw'!I782</f>
        <v>14</v>
      </c>
      <c r="E782" s="1">
        <v>3.4</v>
      </c>
      <c r="G782" s="23" t="b">
        <f>if(countif(Status!C:C,A782)=1,TRUE, FALSE)</f>
        <v>1</v>
      </c>
      <c r="H782" s="23" t="str">
        <f>'3.4.raw'!AD782</f>
        <v/>
      </c>
    </row>
    <row r="783">
      <c r="A783" s="23" t="str">
        <f t="shared" si="5"/>
        <v>FPe2001</v>
      </c>
      <c r="B783" s="23" t="str">
        <f>'3.4.raw'!M783</f>
        <v>FPe2001</v>
      </c>
      <c r="C783" s="24">
        <f>'3.4.raw'!T783</f>
        <v>43854</v>
      </c>
      <c r="D783" s="23">
        <f>'3.4.raw'!I783</f>
        <v>14</v>
      </c>
      <c r="E783" s="1">
        <v>3.4</v>
      </c>
      <c r="G783" s="23" t="b">
        <f>if(countif(Status!C:C,A783)=1,TRUE, FALSE)</f>
        <v>1</v>
      </c>
      <c r="H783" s="23" t="str">
        <f>'3.4.raw'!AD783</f>
        <v/>
      </c>
    </row>
    <row r="784">
      <c r="A784" s="23" t="str">
        <f t="shared" si="5"/>
        <v>FPa2001</v>
      </c>
      <c r="B784" s="23" t="str">
        <f>'3.4.raw'!M784</f>
        <v>FPa2001</v>
      </c>
      <c r="C784" s="24">
        <f>'3.4.raw'!T784</f>
        <v>43854</v>
      </c>
      <c r="D784" s="23">
        <f>'3.4.raw'!I784</f>
        <v>14</v>
      </c>
      <c r="E784" s="1">
        <v>3.4</v>
      </c>
      <c r="G784" s="23" t="b">
        <f>if(countif(Status!C:C,A784)=1,TRUE, FALSE)</f>
        <v>1</v>
      </c>
      <c r="H784" s="23" t="str">
        <f>'3.4.raw'!AD784</f>
        <v/>
      </c>
    </row>
    <row r="785">
      <c r="A785" s="23" t="str">
        <f t="shared" si="5"/>
        <v>FPc2001</v>
      </c>
      <c r="B785" s="23" t="str">
        <f>'3.4.raw'!M785</f>
        <v>FPc2001</v>
      </c>
      <c r="C785" s="24">
        <f>'3.4.raw'!T785</f>
        <v>43854</v>
      </c>
      <c r="D785" s="23">
        <f>'3.4.raw'!I785</f>
        <v>14</v>
      </c>
      <c r="E785" s="1">
        <v>3.4</v>
      </c>
      <c r="G785" s="23" t="b">
        <f>if(countif(Status!C:C,A785)=1,TRUE, FALSE)</f>
        <v>1</v>
      </c>
      <c r="H785" s="23" t="str">
        <f>'3.4.raw'!AD785</f>
        <v/>
      </c>
    </row>
    <row r="786">
      <c r="A786" s="23" t="str">
        <f t="shared" si="5"/>
        <v>SW2001</v>
      </c>
      <c r="B786" s="23" t="str">
        <f>'3.4.raw'!M786</f>
        <v>SW2001</v>
      </c>
      <c r="C786" s="24">
        <f>'3.4.raw'!T786</f>
        <v>43854</v>
      </c>
      <c r="D786" s="23">
        <f>'3.4.raw'!I786</f>
        <v>5</v>
      </c>
      <c r="E786" s="1">
        <v>3.4</v>
      </c>
      <c r="G786" s="23" t="b">
        <f>if(countif(Status!C:C,A786)=1,TRUE, FALSE)</f>
        <v>1</v>
      </c>
      <c r="H786" s="23" t="str">
        <f>'3.4.raw'!AD786</f>
        <v/>
      </c>
    </row>
    <row r="787">
      <c r="A787" s="23" t="str">
        <f t="shared" si="5"/>
        <v>SF2001</v>
      </c>
      <c r="B787" s="23" t="str">
        <f>'3.4.raw'!M787</f>
        <v>SF2001</v>
      </c>
      <c r="C787" s="24">
        <f>'3.4.raw'!T787</f>
        <v>43854</v>
      </c>
      <c r="D787" s="23">
        <f>'3.4.raw'!I787</f>
        <v>10</v>
      </c>
      <c r="E787" s="1">
        <v>3.4</v>
      </c>
      <c r="G787" s="23" t="b">
        <f>if(countif(Status!C:C,A787)=1,TRUE, FALSE)</f>
        <v>1</v>
      </c>
      <c r="H787" s="23" t="str">
        <f>'3.4.raw'!AD787</f>
        <v/>
      </c>
    </row>
    <row r="788">
      <c r="A788" s="23" t="str">
        <f t="shared" si="5"/>
        <v>FB1292</v>
      </c>
      <c r="B788" s="23" t="str">
        <f>'3.4.raw'!M788</f>
        <v>FB1292</v>
      </c>
      <c r="C788" s="24">
        <f>'3.4.raw'!T788</f>
        <v>43854</v>
      </c>
      <c r="D788" s="23">
        <f>'3.4.raw'!I788</f>
        <v>99</v>
      </c>
      <c r="E788" s="1">
        <v>3.4</v>
      </c>
      <c r="G788" s="23" t="b">
        <f>if(countif(Status!C:C,A788)=1,TRUE, FALSE)</f>
        <v>1</v>
      </c>
      <c r="H788" s="23" t="str">
        <f>'3.4.raw'!AD788</f>
        <v>Associated sample SF2001</v>
      </c>
    </row>
    <row r="789">
      <c r="A789" s="23" t="str">
        <f t="shared" si="5"/>
        <v>EC44</v>
      </c>
      <c r="B789" s="23" t="str">
        <f>'3.4.raw'!M789</f>
        <v>EC44</v>
      </c>
      <c r="C789" s="24">
        <f>'3.4.raw'!T789</f>
        <v>43854</v>
      </c>
      <c r="D789" s="23">
        <f>'3.4.raw'!I789</f>
        <v>98</v>
      </c>
      <c r="E789" s="1">
        <v>3.4</v>
      </c>
      <c r="G789" s="23" t="b">
        <f>if(countif(Status!C:C,A789)=1,TRUE, FALSE)</f>
        <v>1</v>
      </c>
      <c r="H789" s="23" t="str">
        <f>'3.4.raw'!AD789</f>
        <v/>
      </c>
    </row>
    <row r="790">
      <c r="A790" s="23" t="str">
        <f t="shared" si="5"/>
        <v>FB1287</v>
      </c>
      <c r="B790" s="23" t="str">
        <f>'3.4.raw'!M790</f>
        <v>FB1287</v>
      </c>
      <c r="C790" s="24">
        <f>'3.4.raw'!T790</f>
        <v>43854</v>
      </c>
      <c r="D790" s="23">
        <f>'3.4.raw'!I790</f>
        <v>99</v>
      </c>
      <c r="E790" s="1">
        <v>3.4</v>
      </c>
      <c r="G790" s="23" t="b">
        <f>if(countif(Status!C:C,A790)=1,TRUE, FALSE)</f>
        <v>1</v>
      </c>
      <c r="H790" s="23" t="str">
        <f>'3.4.raw'!AD790</f>
        <v>Associated sample MO1159</v>
      </c>
    </row>
    <row r="791">
      <c r="A791" s="23" t="str">
        <f t="shared" si="5"/>
        <v>PLc1183</v>
      </c>
      <c r="B791" s="23" t="str">
        <f>'3.4.raw'!M791</f>
        <v>PLc1183</v>
      </c>
      <c r="C791" s="24">
        <f>'3.4.raw'!T791</f>
        <v>43864</v>
      </c>
      <c r="D791" s="23">
        <f>'3.4.raw'!I791</f>
        <v>11</v>
      </c>
      <c r="E791" s="1">
        <v>3.4</v>
      </c>
      <c r="G791" s="23" t="b">
        <f>if(countif(Status!C:C,A791)=1,TRUE, FALSE)</f>
        <v>1</v>
      </c>
      <c r="H791" s="23" t="str">
        <f>'3.4.raw'!AD791</f>
        <v/>
      </c>
    </row>
    <row r="792">
      <c r="A792" s="23" t="str">
        <f t="shared" si="5"/>
        <v>FB1298</v>
      </c>
      <c r="B792" s="23" t="str">
        <f>'3.4.raw'!M792</f>
        <v>FB1298</v>
      </c>
      <c r="C792" s="24">
        <f>'3.4.raw'!T792</f>
        <v>43864</v>
      </c>
      <c r="D792" s="23">
        <f>'3.4.raw'!I792</f>
        <v>99</v>
      </c>
      <c r="E792" s="1">
        <v>3.4</v>
      </c>
      <c r="G792" s="23" t="b">
        <f>if(countif(Status!C:C,A792)=1,TRUE, FALSE)</f>
        <v>1</v>
      </c>
      <c r="H792" s="23" t="str">
        <f>'3.4.raw'!AD792</f>
        <v>Associated sample PLc1183</v>
      </c>
    </row>
    <row r="793">
      <c r="A793" s="23" t="str">
        <f t="shared" si="5"/>
        <v>BW2001</v>
      </c>
      <c r="B793" s="23" t="str">
        <f>'3.4.raw'!M793</f>
        <v>BW2001</v>
      </c>
      <c r="C793" s="24">
        <f>'3.4.raw'!T793</f>
        <v>43864</v>
      </c>
      <c r="D793" s="23">
        <f>'3.4.raw'!I793</f>
        <v>9</v>
      </c>
      <c r="E793" s="1">
        <v>3.4</v>
      </c>
      <c r="G793" s="23" t="b">
        <f>if(countif(Status!C:C,A793)=1,TRUE, FALSE)</f>
        <v>1</v>
      </c>
      <c r="H793" s="23" t="str">
        <f>'3.4.raw'!AD793</f>
        <v/>
      </c>
    </row>
    <row r="794">
      <c r="A794" s="23" t="str">
        <f t="shared" si="5"/>
        <v>SL2002</v>
      </c>
      <c r="B794" s="23" t="str">
        <f>'3.4.raw'!M794</f>
        <v>SL2002</v>
      </c>
      <c r="C794" s="24">
        <f>'3.4.raw'!T794</f>
        <v>43864</v>
      </c>
      <c r="D794" s="23">
        <f>'3.4.raw'!I794</f>
        <v>8</v>
      </c>
      <c r="E794" s="1">
        <v>3.4</v>
      </c>
      <c r="G794" s="23" t="b">
        <f>if(countif(Status!C:C,A794)=1,TRUE, FALSE)</f>
        <v>1</v>
      </c>
      <c r="H794" s="23" t="str">
        <f>'3.4.raw'!AD794</f>
        <v/>
      </c>
    </row>
    <row r="795">
      <c r="A795" s="23" t="str">
        <f t="shared" si="5"/>
        <v>MO1163</v>
      </c>
      <c r="B795" s="23" t="str">
        <f>'3.4.raw'!M795</f>
        <v>MO1163</v>
      </c>
      <c r="C795" s="24">
        <f>'3.4.raw'!T795</f>
        <v>43864</v>
      </c>
      <c r="D795" s="23">
        <f>'3.4.raw'!I795</f>
        <v>12</v>
      </c>
      <c r="E795" s="1">
        <v>3.4</v>
      </c>
      <c r="G795" s="23" t="b">
        <f>if(countif(Status!C:C,A795)=1,TRUE, FALSE)</f>
        <v>1</v>
      </c>
      <c r="H795" s="23" t="str">
        <f>'3.4.raw'!AD795</f>
        <v/>
      </c>
    </row>
    <row r="796">
      <c r="A796" s="23" t="str">
        <f t="shared" si="5"/>
        <v>MO1164</v>
      </c>
      <c r="B796" s="23" t="str">
        <f>'3.4.raw'!M796</f>
        <v>MO1164</v>
      </c>
      <c r="C796" s="24">
        <f>'3.4.raw'!T796</f>
        <v>43864</v>
      </c>
      <c r="D796" s="23">
        <f>'3.4.raw'!I796</f>
        <v>12</v>
      </c>
      <c r="E796" s="1">
        <v>3.4</v>
      </c>
      <c r="G796" s="23" t="b">
        <f>if(countif(Status!C:C,A796)=1,TRUE, FALSE)</f>
        <v>1</v>
      </c>
      <c r="H796" s="23" t="str">
        <f>'3.4.raw'!AD796</f>
        <v/>
      </c>
    </row>
    <row r="797">
      <c r="A797" s="23" t="str">
        <f t="shared" si="5"/>
        <v>MO1165</v>
      </c>
      <c r="B797" s="23" t="str">
        <f>'3.4.raw'!M797</f>
        <v>MO1165</v>
      </c>
      <c r="C797" s="24">
        <f>'3.4.raw'!T797</f>
        <v>43864</v>
      </c>
      <c r="D797" s="23">
        <f>'3.4.raw'!I797</f>
        <v>12</v>
      </c>
      <c r="E797" s="1">
        <v>3.4</v>
      </c>
      <c r="G797" s="23" t="b">
        <f>if(countif(Status!C:C,A797)=1,TRUE, FALSE)</f>
        <v>1</v>
      </c>
      <c r="H797" s="23" t="str">
        <f>'3.4.raw'!AD797</f>
        <v/>
      </c>
    </row>
    <row r="798">
      <c r="A798" s="23" t="str">
        <f t="shared" si="5"/>
        <v>FB1301</v>
      </c>
      <c r="B798" s="23" t="str">
        <f>'3.4.raw'!M798</f>
        <v>FB1301</v>
      </c>
      <c r="C798" s="24">
        <f>'3.4.raw'!T798</f>
        <v>43864</v>
      </c>
      <c r="D798" s="23">
        <f>'3.4.raw'!I798</f>
        <v>99</v>
      </c>
      <c r="E798" s="1">
        <v>3.4</v>
      </c>
      <c r="G798" s="23" t="b">
        <f>if(countif(Status!C:C,A798)=1,TRUE, FALSE)</f>
        <v>1</v>
      </c>
      <c r="H798" s="23" t="str">
        <f>'3.4.raw'!AD798</f>
        <v>Associated sample MO1165</v>
      </c>
    </row>
    <row r="799">
      <c r="A799" s="23" t="str">
        <f t="shared" si="5"/>
        <v>UF1018</v>
      </c>
      <c r="B799" s="23" t="str">
        <f>'3.4.raw'!M799</f>
        <v>UF1018</v>
      </c>
      <c r="C799" s="24">
        <f>'3.4.raw'!T799</f>
        <v>43864</v>
      </c>
      <c r="D799" s="23">
        <f>'3.4.raw'!I799</f>
        <v>16</v>
      </c>
      <c r="E799" s="1">
        <v>3.4</v>
      </c>
      <c r="G799" s="23" t="b">
        <f>if(countif(Status!C:C,A799)=1,TRUE, FALSE)</f>
        <v>1</v>
      </c>
      <c r="H799" s="23" t="str">
        <f>'3.4.raw'!AD799</f>
        <v/>
      </c>
    </row>
    <row r="800">
      <c r="A800" s="23" t="str">
        <f t="shared" si="5"/>
        <v>EC45</v>
      </c>
      <c r="B800" s="23" t="str">
        <f>'3.4.raw'!M800</f>
        <v>EC45</v>
      </c>
      <c r="C800" s="24">
        <f>'3.4.raw'!T800</f>
        <v>43864</v>
      </c>
      <c r="D800" s="23">
        <f>'3.4.raw'!I800</f>
        <v>98</v>
      </c>
      <c r="E800" s="1">
        <v>3.4</v>
      </c>
      <c r="G800" s="23" t="b">
        <f>if(countif(Status!C:C,A800)=1,TRUE, FALSE)</f>
        <v>1</v>
      </c>
      <c r="H800" s="23" t="str">
        <f>'3.4.raw'!AD800</f>
        <v/>
      </c>
    </row>
    <row r="801">
      <c r="A801" s="23" t="str">
        <f t="shared" si="5"/>
        <v>PLc1184</v>
      </c>
      <c r="B801" s="23" t="str">
        <f>'3.4.raw'!M801</f>
        <v>PLc1184</v>
      </c>
      <c r="C801" s="24">
        <f>'3.4.raw'!T801</f>
        <v>43868</v>
      </c>
      <c r="D801" s="23">
        <f>'3.4.raw'!I801</f>
        <v>11</v>
      </c>
      <c r="E801" s="1">
        <v>3.4</v>
      </c>
      <c r="G801" s="23" t="b">
        <f>if(countif(Status!C:C,A801)=1,TRUE, FALSE)</f>
        <v>1</v>
      </c>
      <c r="H801" s="23" t="str">
        <f>'3.4.raw'!AD801</f>
        <v/>
      </c>
    </row>
    <row r="802">
      <c r="A802" s="23" t="str">
        <f t="shared" si="5"/>
        <v>FB1302</v>
      </c>
      <c r="B802" s="23" t="str">
        <f>'3.4.raw'!M802</f>
        <v>FB1302</v>
      </c>
      <c r="C802" s="24">
        <f>'3.4.raw'!T802</f>
        <v>43868</v>
      </c>
      <c r="D802" s="23">
        <f>'3.4.raw'!I802</f>
        <v>99</v>
      </c>
      <c r="E802" s="1">
        <v>3.4</v>
      </c>
      <c r="G802" s="23" t="b">
        <f>if(countif(Status!C:C,A802)=1,TRUE, FALSE)</f>
        <v>1</v>
      </c>
      <c r="H802" s="23" t="str">
        <f>'3.4.raw'!AD802</f>
        <v>Associated sample PLc1184</v>
      </c>
    </row>
    <row r="803">
      <c r="A803" s="23" t="str">
        <f t="shared" si="5"/>
        <v>PLc1185</v>
      </c>
      <c r="B803" s="23" t="str">
        <f>'3.4.raw'!M803</f>
        <v>PLc1185</v>
      </c>
      <c r="C803" s="24">
        <f>'3.4.raw'!T803</f>
        <v>43868</v>
      </c>
      <c r="D803" s="23">
        <f>'3.4.raw'!I803</f>
        <v>11</v>
      </c>
      <c r="E803" s="1">
        <v>3.4</v>
      </c>
      <c r="G803" s="23" t="b">
        <f>if(countif(Status!C:C,A803)=1,TRUE, FALSE)</f>
        <v>1</v>
      </c>
      <c r="H803" s="23" t="str">
        <f>'3.4.raw'!AD803</f>
        <v/>
      </c>
    </row>
    <row r="804">
      <c r="A804" s="23" t="str">
        <f t="shared" si="5"/>
        <v>PLc1186</v>
      </c>
      <c r="B804" s="23" t="str">
        <f>'3.4.raw'!M804</f>
        <v>PLc1186</v>
      </c>
      <c r="C804" s="24">
        <f>'3.4.raw'!T804</f>
        <v>43868</v>
      </c>
      <c r="D804" s="23">
        <f>'3.4.raw'!I804</f>
        <v>11</v>
      </c>
      <c r="E804" s="1">
        <v>3.4</v>
      </c>
      <c r="G804" s="23" t="b">
        <f>if(countif(Status!C:C,A804)=1,TRUE, FALSE)</f>
        <v>1</v>
      </c>
      <c r="H804" s="23" t="str">
        <f>'3.4.raw'!AD804</f>
        <v/>
      </c>
    </row>
    <row r="805">
      <c r="A805" s="23" t="str">
        <f t="shared" si="5"/>
        <v>MO1166</v>
      </c>
      <c r="B805" s="23" t="str">
        <f>'3.4.raw'!M805</f>
        <v>MO1166</v>
      </c>
      <c r="C805" s="24">
        <f>'3.4.raw'!T805</f>
        <v>43868</v>
      </c>
      <c r="D805" s="23">
        <f>'3.4.raw'!I805</f>
        <v>12</v>
      </c>
      <c r="E805" s="1">
        <v>3.4</v>
      </c>
      <c r="G805" s="23" t="b">
        <f>if(countif(Status!C:C,A805)=1,TRUE, FALSE)</f>
        <v>1</v>
      </c>
      <c r="H805" s="23" t="str">
        <f>'3.4.raw'!AD805</f>
        <v/>
      </c>
    </row>
    <row r="806">
      <c r="A806" s="23" t="str">
        <f t="shared" si="5"/>
        <v>MO1167</v>
      </c>
      <c r="B806" s="23" t="str">
        <f>'3.4.raw'!M806</f>
        <v>MO1167</v>
      </c>
      <c r="C806" s="24">
        <f>'3.4.raw'!T806</f>
        <v>43868</v>
      </c>
      <c r="D806" s="23">
        <f>'3.4.raw'!I806</f>
        <v>12</v>
      </c>
      <c r="E806" s="1">
        <v>3.4</v>
      </c>
      <c r="G806" s="23" t="b">
        <f>if(countif(Status!C:C,A806)=1,TRUE, FALSE)</f>
        <v>1</v>
      </c>
      <c r="H806" s="23" t="str">
        <f>'3.4.raw'!AD806</f>
        <v/>
      </c>
    </row>
    <row r="807">
      <c r="A807" s="23" t="str">
        <f t="shared" si="5"/>
        <v>MO1168</v>
      </c>
      <c r="B807" s="23" t="str">
        <f>'3.4.raw'!M807</f>
        <v>MO1168</v>
      </c>
      <c r="C807" s="24">
        <f>'3.4.raw'!T807</f>
        <v>43868</v>
      </c>
      <c r="D807" s="23">
        <f>'3.4.raw'!I807</f>
        <v>12</v>
      </c>
      <c r="E807" s="1">
        <v>3.4</v>
      </c>
      <c r="G807" s="23" t="b">
        <f>if(countif(Status!C:C,A807)=1,TRUE, FALSE)</f>
        <v>1</v>
      </c>
      <c r="H807" s="23" t="str">
        <f>'3.4.raw'!AD807</f>
        <v/>
      </c>
    </row>
    <row r="808">
      <c r="A808" s="23" t="str">
        <f t="shared" si="5"/>
        <v>FB1308</v>
      </c>
      <c r="B808" s="23" t="str">
        <f>'3.4.raw'!M808</f>
        <v>FB1308</v>
      </c>
      <c r="C808" s="24">
        <f>'3.4.raw'!T808</f>
        <v>43868</v>
      </c>
      <c r="D808" s="23">
        <f>'3.4.raw'!I808</f>
        <v>99</v>
      </c>
      <c r="E808" s="1">
        <v>3.4</v>
      </c>
      <c r="G808" s="23" t="b">
        <f>if(countif(Status!C:C,A808)=1,TRUE, FALSE)</f>
        <v>1</v>
      </c>
      <c r="H808" s="23" t="str">
        <f>'3.4.raw'!AD808</f>
        <v>Associated sample MO1168</v>
      </c>
    </row>
    <row r="809">
      <c r="A809" s="23" t="str">
        <f t="shared" si="5"/>
        <v>UF1019</v>
      </c>
      <c r="B809" s="23" t="str">
        <f>'3.4.raw'!M809</f>
        <v>UF1019</v>
      </c>
      <c r="C809" s="24">
        <f>'3.4.raw'!T809</f>
        <v>43868</v>
      </c>
      <c r="D809" s="23">
        <f>'3.4.raw'!I809</f>
        <v>16</v>
      </c>
      <c r="E809" s="1">
        <v>3.4</v>
      </c>
      <c r="G809" s="23" t="b">
        <f>if(countif(Status!C:C,A809)=1,TRUE, FALSE)</f>
        <v>1</v>
      </c>
      <c r="H809" s="23" t="str">
        <f>'3.4.raw'!AD809</f>
        <v/>
      </c>
    </row>
    <row r="810">
      <c r="A810" s="23" t="str">
        <f t="shared" si="5"/>
        <v>LS2001</v>
      </c>
      <c r="B810" s="23" t="str">
        <f>'3.4.raw'!M810</f>
        <v>LS2001</v>
      </c>
      <c r="C810" s="24">
        <f>'3.4.raw'!T810</f>
        <v>43868</v>
      </c>
      <c r="D810" s="23">
        <f>'3.4.raw'!I810</f>
        <v>7</v>
      </c>
      <c r="E810" s="1">
        <v>3.4</v>
      </c>
      <c r="G810" s="23" t="b">
        <f>if(countif(Status!C:C,A810)=1,TRUE, FALSE)</f>
        <v>1</v>
      </c>
      <c r="H810" s="23" t="str">
        <f>'3.4.raw'!AD810</f>
        <v/>
      </c>
    </row>
    <row r="811">
      <c r="A811" s="23" t="str">
        <f t="shared" si="5"/>
        <v>PLc1187</v>
      </c>
      <c r="B811" s="23" t="str">
        <f>'3.4.raw'!M811</f>
        <v>PLc1187</v>
      </c>
      <c r="C811" s="24">
        <f>'3.4.raw'!T811</f>
        <v>43868</v>
      </c>
      <c r="D811" s="23">
        <f>'3.4.raw'!I811</f>
        <v>11</v>
      </c>
      <c r="E811" s="1">
        <v>3.4</v>
      </c>
      <c r="G811" s="23" t="b">
        <f>if(countif(Status!C:C,A811)=1,TRUE, FALSE)</f>
        <v>1</v>
      </c>
      <c r="H811" s="23" t="str">
        <f>'3.4.raw'!AD811</f>
        <v/>
      </c>
    </row>
    <row r="812">
      <c r="A812" s="23" t="str">
        <f t="shared" si="5"/>
        <v>UF1020</v>
      </c>
      <c r="B812" s="23" t="str">
        <f>'3.4.raw'!M812</f>
        <v>UF1020</v>
      </c>
      <c r="C812" s="24">
        <f>'3.4.raw'!T812</f>
        <v>43868</v>
      </c>
      <c r="D812" s="23">
        <f>'3.4.raw'!I812</f>
        <v>16</v>
      </c>
      <c r="E812" s="1">
        <v>3.4</v>
      </c>
      <c r="G812" s="23" t="b">
        <f>if(countif(Status!C:C,A812)=1,TRUE, FALSE)</f>
        <v>1</v>
      </c>
      <c r="H812" s="23" t="str">
        <f>'3.4.raw'!AD812</f>
        <v>S.typhi 07.02.2020, s.paratyphi 07.02.2020</v>
      </c>
    </row>
    <row r="813">
      <c r="A813" s="23" t="str">
        <f t="shared" si="5"/>
        <v>MO1169</v>
      </c>
      <c r="B813" s="23" t="str">
        <f>'3.4.raw'!M813</f>
        <v>MO1169</v>
      </c>
      <c r="C813" s="24">
        <f>'3.4.raw'!T813</f>
        <v>43879</v>
      </c>
      <c r="D813" s="23">
        <f>'3.4.raw'!I813</f>
        <v>12</v>
      </c>
      <c r="E813" s="1">
        <v>3.4</v>
      </c>
      <c r="G813" s="23" t="b">
        <f>if(countif(Status!C:C,A813)=1,TRUE, FALSE)</f>
        <v>1</v>
      </c>
      <c r="H813" s="23" t="str">
        <f>'3.4.raw'!AD813</f>
        <v/>
      </c>
    </row>
    <row r="814">
      <c r="A814" s="23" t="str">
        <f t="shared" si="5"/>
        <v>MO1170</v>
      </c>
      <c r="B814" s="23" t="str">
        <f>'3.4.raw'!M814</f>
        <v>MO1170</v>
      </c>
      <c r="C814" s="24">
        <f>'3.4.raw'!T814</f>
        <v>43879</v>
      </c>
      <c r="D814" s="23">
        <f>'3.4.raw'!I814</f>
        <v>12</v>
      </c>
      <c r="E814" s="1">
        <v>3.4</v>
      </c>
      <c r="G814" s="23" t="b">
        <f>if(countif(Status!C:C,A814)=1,TRUE, FALSE)</f>
        <v>1</v>
      </c>
      <c r="H814" s="23" t="str">
        <f>'3.4.raw'!AD814</f>
        <v/>
      </c>
    </row>
    <row r="815">
      <c r="A815" s="23" t="str">
        <f t="shared" si="5"/>
        <v>MO1171</v>
      </c>
      <c r="B815" s="23" t="str">
        <f>'3.4.raw'!M815</f>
        <v>MO1171</v>
      </c>
      <c r="C815" s="24">
        <f>'3.4.raw'!T815</f>
        <v>43879</v>
      </c>
      <c r="D815" s="23">
        <f>'3.4.raw'!I815</f>
        <v>12</v>
      </c>
      <c r="E815" s="1">
        <v>3.4</v>
      </c>
      <c r="G815" s="23" t="b">
        <f>if(countif(Status!C:C,A815)=1,TRUE, FALSE)</f>
        <v>1</v>
      </c>
      <c r="H815" s="23" t="str">
        <f>'3.4.raw'!AD815</f>
        <v/>
      </c>
    </row>
    <row r="816">
      <c r="A816" s="23" t="str">
        <f t="shared" si="5"/>
        <v>FB1312</v>
      </c>
      <c r="B816" s="23" t="str">
        <f>'3.4.raw'!M816</f>
        <v>FB1312</v>
      </c>
      <c r="C816" s="24">
        <f>'3.4.raw'!T816</f>
        <v>43879</v>
      </c>
      <c r="D816" s="23">
        <f>'3.4.raw'!I816</f>
        <v>99</v>
      </c>
      <c r="E816" s="1">
        <v>3.4</v>
      </c>
      <c r="G816" s="23" t="b">
        <f>if(countif(Status!C:C,A816)=1,TRUE, FALSE)</f>
        <v>1</v>
      </c>
      <c r="H816" s="23" t="str">
        <f>'3.4.raw'!AD816</f>
        <v>Associated sample MO1171</v>
      </c>
    </row>
    <row r="817">
      <c r="A817" s="23" t="str">
        <f t="shared" si="5"/>
        <v>PLc1188</v>
      </c>
      <c r="B817" s="23" t="str">
        <f>'3.4.raw'!M817</f>
        <v>PLc1188</v>
      </c>
      <c r="C817" s="24">
        <f>'3.4.raw'!T817</f>
        <v>43878</v>
      </c>
      <c r="D817" s="23">
        <f>'3.4.raw'!I817</f>
        <v>11</v>
      </c>
      <c r="E817" s="1">
        <v>3.4</v>
      </c>
      <c r="G817" s="23" t="b">
        <f>if(countif(Status!C:C,A817)=1,TRUE, FALSE)</f>
        <v>1</v>
      </c>
      <c r="H817" s="23" t="str">
        <f>'3.4.raw'!AD817</f>
        <v/>
      </c>
    </row>
    <row r="818">
      <c r="A818" s="23" t="str">
        <f t="shared" si="5"/>
        <v>COa2005</v>
      </c>
      <c r="B818" s="23" t="str">
        <f>'3.4.raw'!M818</f>
        <v>COa2005</v>
      </c>
      <c r="C818" s="24">
        <f>'3.4.raw'!T818</f>
        <v>43878</v>
      </c>
      <c r="D818" s="23">
        <f>'3.4.raw'!I818</f>
        <v>15</v>
      </c>
      <c r="E818" s="1">
        <v>3.4</v>
      </c>
      <c r="G818" s="23" t="b">
        <f>if(countif(Status!C:C,A818)=1,TRUE, FALSE)</f>
        <v>1</v>
      </c>
      <c r="H818" s="23" t="str">
        <f>'3.4.raw'!AD818</f>
        <v/>
      </c>
    </row>
    <row r="819">
      <c r="A819" s="23" t="str">
        <f t="shared" si="5"/>
        <v>COb2013</v>
      </c>
      <c r="B819" s="23" t="str">
        <f>'3.4.raw'!M819</f>
        <v>COb2013</v>
      </c>
      <c r="C819" s="24">
        <f>'3.4.raw'!T819</f>
        <v>43878</v>
      </c>
      <c r="D819" s="23">
        <f>'3.4.raw'!I819</f>
        <v>15</v>
      </c>
      <c r="E819" s="1">
        <v>3.4</v>
      </c>
      <c r="G819" s="23" t="b">
        <f>if(countif(Status!C:C,A819)=1,TRUE, FALSE)</f>
        <v>1</v>
      </c>
      <c r="H819" s="23" t="str">
        <f>'3.4.raw'!AD819</f>
        <v/>
      </c>
    </row>
    <row r="820">
      <c r="A820" s="23" t="str">
        <f t="shared" si="5"/>
        <v>COb2014</v>
      </c>
      <c r="B820" s="23" t="str">
        <f>'3.4.raw'!M820</f>
        <v>COb2014</v>
      </c>
      <c r="C820" s="24">
        <f>'3.4.raw'!T820</f>
        <v>43878</v>
      </c>
      <c r="D820" s="23">
        <f>'3.4.raw'!I820</f>
        <v>15</v>
      </c>
      <c r="E820" s="1">
        <v>3.4</v>
      </c>
      <c r="G820" s="23" t="b">
        <f>if(countif(Status!C:C,A820)=1,TRUE, FALSE)</f>
        <v>1</v>
      </c>
      <c r="H820" s="23" t="str">
        <f>'3.4.raw'!AD820</f>
        <v/>
      </c>
    </row>
    <row r="821">
      <c r="A821" s="23" t="str">
        <f t="shared" si="5"/>
        <v>COb2015</v>
      </c>
      <c r="B821" s="23" t="str">
        <f>'3.4.raw'!M821</f>
        <v>COb2015</v>
      </c>
      <c r="C821" s="24">
        <f>'3.4.raw'!T821</f>
        <v>43878</v>
      </c>
      <c r="D821" s="23">
        <f>'3.4.raw'!I821</f>
        <v>15</v>
      </c>
      <c r="E821" s="1">
        <v>3.4</v>
      </c>
      <c r="G821" s="23" t="b">
        <f>if(countif(Status!C:C,A821)=1,TRUE, FALSE)</f>
        <v>1</v>
      </c>
      <c r="H821" s="23" t="str">
        <f>'3.4.raw'!AD821</f>
        <v/>
      </c>
    </row>
    <row r="822">
      <c r="A822" s="23" t="str">
        <f t="shared" si="5"/>
        <v>COa2006</v>
      </c>
      <c r="B822" s="23" t="str">
        <f>'3.4.raw'!M822</f>
        <v>COa2006</v>
      </c>
      <c r="C822" s="24">
        <f>'3.4.raw'!T822</f>
        <v>43878</v>
      </c>
      <c r="D822" s="23">
        <f>'3.4.raw'!I822</f>
        <v>15</v>
      </c>
      <c r="E822" s="1">
        <v>3.4</v>
      </c>
      <c r="G822" s="23" t="b">
        <f>if(countif(Status!C:C,A822)=1,TRUE, FALSE)</f>
        <v>1</v>
      </c>
      <c r="H822" s="23" t="str">
        <f>'3.4.raw'!AD822</f>
        <v/>
      </c>
    </row>
    <row r="823">
      <c r="A823" s="23" t="str">
        <f t="shared" si="5"/>
        <v>COb2016</v>
      </c>
      <c r="B823" s="23" t="str">
        <f>'3.4.raw'!M823</f>
        <v>COb2016</v>
      </c>
      <c r="C823" s="24">
        <f>'3.4.raw'!T823</f>
        <v>43878</v>
      </c>
      <c r="D823" s="23">
        <f>'3.4.raw'!I823</f>
        <v>15</v>
      </c>
      <c r="E823" s="1">
        <v>3.4</v>
      </c>
      <c r="G823" s="23" t="b">
        <f>if(countif(Status!C:C,A823)=1,TRUE, FALSE)</f>
        <v>1</v>
      </c>
      <c r="H823" s="23" t="str">
        <f>'3.4.raw'!AD823</f>
        <v/>
      </c>
    </row>
    <row r="824">
      <c r="A824" s="23" t="str">
        <f t="shared" si="5"/>
        <v>COb2017</v>
      </c>
      <c r="B824" s="23" t="str">
        <f>'3.4.raw'!M824</f>
        <v>COb2017</v>
      </c>
      <c r="C824" s="24">
        <f>'3.4.raw'!T824</f>
        <v>43878</v>
      </c>
      <c r="D824" s="23">
        <f>'3.4.raw'!I824</f>
        <v>15</v>
      </c>
      <c r="E824" s="1">
        <v>3.4</v>
      </c>
      <c r="G824" s="23" t="b">
        <f>if(countif(Status!C:C,A824)=1,TRUE, FALSE)</f>
        <v>1</v>
      </c>
      <c r="H824" s="23" t="str">
        <f>'3.4.raw'!AD824</f>
        <v/>
      </c>
    </row>
    <row r="825">
      <c r="A825" s="23" t="str">
        <f t="shared" si="5"/>
        <v>COb2018</v>
      </c>
      <c r="B825" s="23" t="str">
        <f>'3.4.raw'!M825</f>
        <v>COb2018</v>
      </c>
      <c r="C825" s="24">
        <f>'3.4.raw'!T825</f>
        <v>43878</v>
      </c>
      <c r="D825" s="23">
        <f>'3.4.raw'!I825</f>
        <v>15</v>
      </c>
      <c r="E825" s="1">
        <v>3.4</v>
      </c>
      <c r="G825" s="23" t="b">
        <f>if(countif(Status!C:C,A825)=1,TRUE, FALSE)</f>
        <v>1</v>
      </c>
      <c r="H825" s="23" t="str">
        <f>'3.4.raw'!AD825</f>
        <v/>
      </c>
    </row>
    <row r="826">
      <c r="A826" s="23" t="str">
        <f t="shared" si="5"/>
        <v>PLc1189</v>
      </c>
      <c r="B826" s="23" t="str">
        <f>'3.4.raw'!M826</f>
        <v>PLc1189</v>
      </c>
      <c r="C826" s="24">
        <f>'3.4.raw'!T826</f>
        <v>43878</v>
      </c>
      <c r="D826" s="23">
        <f>'3.4.raw'!I826</f>
        <v>11</v>
      </c>
      <c r="E826" s="1">
        <v>3.4</v>
      </c>
      <c r="G826" s="23" t="b">
        <f>if(countif(Status!C:C,A826)=1,TRUE, FALSE)</f>
        <v>1</v>
      </c>
      <c r="H826" s="23" t="str">
        <f>'3.4.raw'!AD826</f>
        <v/>
      </c>
    </row>
    <row r="827">
      <c r="A827" s="23" t="str">
        <f t="shared" si="5"/>
        <v>FB1318</v>
      </c>
      <c r="B827" s="23" t="str">
        <f>'3.4.raw'!M827</f>
        <v>FB1318</v>
      </c>
      <c r="C827" s="24">
        <f>'3.4.raw'!T827</f>
        <v>43878</v>
      </c>
      <c r="D827" s="23">
        <f>'3.4.raw'!I827</f>
        <v>99</v>
      </c>
      <c r="E827" s="1">
        <v>3.4</v>
      </c>
      <c r="G827" s="23" t="b">
        <f>if(countif(Status!C:C,A827)=1,TRUE, FALSE)</f>
        <v>1</v>
      </c>
      <c r="H827" s="23" t="str">
        <f>'3.4.raw'!AD827</f>
        <v>Associated sample PLc1189</v>
      </c>
    </row>
    <row r="828">
      <c r="A828" s="23" t="str">
        <f t="shared" si="5"/>
        <v>PLc1190</v>
      </c>
      <c r="B828" s="23" t="str">
        <f>'3.4.raw'!M828</f>
        <v>PLc1190</v>
      </c>
      <c r="C828" s="24">
        <f>'3.4.raw'!T828</f>
        <v>43878</v>
      </c>
      <c r="D828" s="23">
        <f>'3.4.raw'!I828</f>
        <v>11</v>
      </c>
      <c r="E828" s="1">
        <v>3.4</v>
      </c>
      <c r="G828" s="23" t="b">
        <f>if(countif(Status!C:C,A828)=1,TRUE, FALSE)</f>
        <v>1</v>
      </c>
      <c r="H828" s="23" t="str">
        <f>'3.4.raw'!AD828</f>
        <v/>
      </c>
    </row>
    <row r="829">
      <c r="A829" s="23" t="str">
        <f t="shared" si="5"/>
        <v>EC48</v>
      </c>
      <c r="B829" s="23" t="str">
        <f>'3.4.raw'!M829</f>
        <v>EC48</v>
      </c>
      <c r="C829" s="24">
        <f>'3.4.raw'!T829</f>
        <v>43878</v>
      </c>
      <c r="D829" s="23">
        <f>'3.4.raw'!I829</f>
        <v>98</v>
      </c>
      <c r="E829" s="1">
        <v>3.4</v>
      </c>
      <c r="G829" s="23" t="b">
        <f>if(countif(Status!C:C,A829)=1,TRUE, FALSE)</f>
        <v>0</v>
      </c>
      <c r="H829" s="23" t="str">
        <f>'3.4.raw'!AD829</f>
        <v/>
      </c>
    </row>
    <row r="830">
      <c r="A830" s="23" t="str">
        <f t="shared" si="5"/>
        <v>PLc1191</v>
      </c>
      <c r="B830" s="23" t="str">
        <f>'3.4.raw'!M830</f>
        <v>PLc1191</v>
      </c>
      <c r="C830" s="24">
        <f>'3.4.raw'!T830</f>
        <v>43878</v>
      </c>
      <c r="D830" s="23">
        <f>'3.4.raw'!I830</f>
        <v>11</v>
      </c>
      <c r="E830" s="1">
        <v>3.4</v>
      </c>
      <c r="G830" s="23" t="b">
        <f>if(countif(Status!C:C,A830)=1,TRUE, FALSE)</f>
        <v>1</v>
      </c>
      <c r="H830" s="23" t="str">
        <f>'3.4.raw'!AD830</f>
        <v/>
      </c>
    </row>
    <row r="831">
      <c r="A831" s="23" t="str">
        <f t="shared" si="5"/>
        <v>PLc1192</v>
      </c>
      <c r="B831" s="23" t="str">
        <f>'3.4.raw'!M831</f>
        <v>PLc1192</v>
      </c>
      <c r="C831" s="24">
        <f>'3.4.raw'!T831</f>
        <v>43878</v>
      </c>
      <c r="D831" s="23">
        <f>'3.4.raw'!I831</f>
        <v>11</v>
      </c>
      <c r="E831" s="1">
        <v>3.4</v>
      </c>
      <c r="G831" s="23" t="b">
        <f>if(countif(Status!C:C,A831)=1,TRUE, FALSE)</f>
        <v>1</v>
      </c>
      <c r="H831" s="23" t="str">
        <f>'3.4.raw'!AD831</f>
        <v/>
      </c>
    </row>
    <row r="832">
      <c r="A832" s="23" t="str">
        <f t="shared" si="5"/>
        <v>PLc1193</v>
      </c>
      <c r="B832" s="23" t="str">
        <f>'3.4.raw'!M832</f>
        <v>PLc1193</v>
      </c>
      <c r="C832" s="24">
        <f>'3.4.raw'!T832</f>
        <v>43878</v>
      </c>
      <c r="D832" s="23">
        <f>'3.4.raw'!I832</f>
        <v>11</v>
      </c>
      <c r="E832" s="1">
        <v>3.4</v>
      </c>
      <c r="G832" s="23" t="b">
        <f>if(countif(Status!C:C,A832)=1,TRUE, FALSE)</f>
        <v>1</v>
      </c>
      <c r="H832" s="23" t="str">
        <f>'3.4.raw'!AD832</f>
        <v/>
      </c>
    </row>
    <row r="833">
      <c r="A833" s="23" t="str">
        <f t="shared" si="5"/>
        <v>FB1322</v>
      </c>
      <c r="B833" s="23" t="str">
        <f>'3.4.raw'!M833</f>
        <v>FB1322</v>
      </c>
      <c r="C833" s="24">
        <f>'3.4.raw'!T833</f>
        <v>43878</v>
      </c>
      <c r="D833" s="23">
        <f>'3.4.raw'!I833</f>
        <v>99</v>
      </c>
      <c r="E833" s="1">
        <v>3.4</v>
      </c>
      <c r="G833" s="23" t="b">
        <f>if(countif(Status!C:C,A833)=1,TRUE, FALSE)</f>
        <v>1</v>
      </c>
      <c r="H833" s="23" t="str">
        <f>'3.4.raw'!AD833</f>
        <v>Associated sample PLc1193</v>
      </c>
    </row>
    <row r="834">
      <c r="A834" s="23" t="str">
        <f t="shared" si="5"/>
        <v>PLc1194</v>
      </c>
      <c r="B834" s="23" t="str">
        <f>'3.4.raw'!M834</f>
        <v>PLc1194</v>
      </c>
      <c r="C834" s="24">
        <f>'3.4.raw'!T834</f>
        <v>43878</v>
      </c>
      <c r="D834" s="23">
        <f>'3.4.raw'!I834</f>
        <v>11</v>
      </c>
      <c r="E834" s="1">
        <v>3.4</v>
      </c>
      <c r="G834" s="23" t="b">
        <f>if(countif(Status!C:C,A834)=1,TRUE, FALSE)</f>
        <v>1</v>
      </c>
      <c r="H834" s="23" t="str">
        <f>'3.4.raw'!AD834</f>
        <v/>
      </c>
    </row>
    <row r="835">
      <c r="A835" s="23" t="str">
        <f t="shared" si="5"/>
        <v>PLc1195</v>
      </c>
      <c r="B835" s="23" t="str">
        <f>'3.4.raw'!M835</f>
        <v>PLc1195</v>
      </c>
      <c r="C835" s="24">
        <f>'3.4.raw'!T835</f>
        <v>43878</v>
      </c>
      <c r="D835" s="23">
        <f>'3.4.raw'!I835</f>
        <v>11</v>
      </c>
      <c r="E835" s="1">
        <v>3.4</v>
      </c>
      <c r="G835" s="23" t="b">
        <f>if(countif(Status!C:C,A835)=1,TRUE, FALSE)</f>
        <v>1</v>
      </c>
      <c r="H835" s="23" t="str">
        <f>'3.4.raw'!AD835</f>
        <v/>
      </c>
    </row>
    <row r="836">
      <c r="A836" s="23" t="str">
        <f t="shared" si="5"/>
        <v>MO1172</v>
      </c>
      <c r="B836" s="23" t="str">
        <f>'3.4.raw'!M836</f>
        <v>MO1172</v>
      </c>
      <c r="C836" s="24">
        <f>'3.4.raw'!T836</f>
        <v>43879</v>
      </c>
      <c r="D836" s="23">
        <f>'3.4.raw'!I836</f>
        <v>99</v>
      </c>
      <c r="E836" s="1">
        <v>3.4</v>
      </c>
      <c r="G836" s="23" t="b">
        <f>if(countif(Status!C:C,A836)=1,TRUE, FALSE)</f>
        <v>1</v>
      </c>
      <c r="H836" s="23" t="str">
        <f>'3.4.raw'!AD836</f>
        <v/>
      </c>
    </row>
    <row r="837">
      <c r="A837" s="23" t="str">
        <f t="shared" si="5"/>
        <v>MO1173</v>
      </c>
      <c r="B837" s="23" t="str">
        <f>'3.4.raw'!M837</f>
        <v>MO1173</v>
      </c>
      <c r="C837" s="24">
        <f>'3.4.raw'!T837</f>
        <v>43879</v>
      </c>
      <c r="D837" s="23">
        <f>'3.4.raw'!I837</f>
        <v>12</v>
      </c>
      <c r="E837" s="1">
        <v>3.4</v>
      </c>
      <c r="G837" s="23" t="b">
        <f>if(countif(Status!C:C,A837)=1,TRUE, FALSE)</f>
        <v>1</v>
      </c>
      <c r="H837" s="23" t="str">
        <f>'3.4.raw'!AD837</f>
        <v/>
      </c>
    </row>
    <row r="838">
      <c r="A838" s="23" t="str">
        <f t="shared" si="5"/>
        <v>MO1174</v>
      </c>
      <c r="B838" s="23" t="str">
        <f>'3.4.raw'!M838</f>
        <v>MO1174</v>
      </c>
      <c r="C838" s="24">
        <f>'3.4.raw'!T838</f>
        <v>43879</v>
      </c>
      <c r="D838" s="23">
        <f>'3.4.raw'!I838</f>
        <v>12</v>
      </c>
      <c r="E838" s="1">
        <v>3.4</v>
      </c>
      <c r="G838" s="23" t="b">
        <f>if(countif(Status!C:C,A838)=1,TRUE, FALSE)</f>
        <v>1</v>
      </c>
      <c r="H838" s="23" t="str">
        <f>'3.4.raw'!AD838</f>
        <v/>
      </c>
    </row>
    <row r="839">
      <c r="A839" s="23" t="str">
        <f t="shared" si="5"/>
        <v>FB1326</v>
      </c>
      <c r="B839" s="23" t="str">
        <f>'3.4.raw'!M839</f>
        <v>FB1326</v>
      </c>
      <c r="C839" s="24">
        <f>'3.4.raw'!T839</f>
        <v>43879</v>
      </c>
      <c r="D839" s="23">
        <f>'3.4.raw'!I839</f>
        <v>99</v>
      </c>
      <c r="E839" s="1">
        <v>3.4</v>
      </c>
      <c r="G839" s="23" t="b">
        <f>if(countif(Status!C:C,A839)=1,TRUE, FALSE)</f>
        <v>1</v>
      </c>
      <c r="H839" s="23" t="str">
        <f>'3.4.raw'!AD839</f>
        <v>Associated sample MO1174</v>
      </c>
    </row>
    <row r="840">
      <c r="A840" s="23" t="str">
        <f t="shared" si="5"/>
        <v>MO1175</v>
      </c>
      <c r="B840" s="23" t="str">
        <f>'3.4.raw'!M840</f>
        <v>MO1175</v>
      </c>
      <c r="C840" s="24">
        <f>'3.4.raw'!T840</f>
        <v>43879</v>
      </c>
      <c r="D840" s="23">
        <f>'3.4.raw'!I840</f>
        <v>12</v>
      </c>
      <c r="E840" s="1">
        <v>3.4</v>
      </c>
      <c r="G840" s="23" t="b">
        <f>if(countif(Status!C:C,A840)=1,TRUE, FALSE)</f>
        <v>1</v>
      </c>
      <c r="H840" s="23" t="str">
        <f>'3.4.raw'!AD840</f>
        <v/>
      </c>
    </row>
    <row r="841">
      <c r="A841" s="23" t="str">
        <f t="shared" si="5"/>
        <v>UF1021</v>
      </c>
      <c r="B841" s="23" t="str">
        <f>'3.4.raw'!M841</f>
        <v>UF1021</v>
      </c>
      <c r="C841" s="24">
        <f>'3.4.raw'!T841</f>
        <v>43879</v>
      </c>
      <c r="D841" s="23">
        <f>'3.4.raw'!I841</f>
        <v>16</v>
      </c>
      <c r="E841" s="1">
        <v>3.4</v>
      </c>
      <c r="G841" s="23" t="b">
        <f>if(countif(Status!C:C,A841)=1,TRUE, FALSE)</f>
        <v>1</v>
      </c>
      <c r="H841" s="23" t="str">
        <f>'3.4.raw'!AD841</f>
        <v/>
      </c>
    </row>
    <row r="842">
      <c r="A842" s="23" t="str">
        <f t="shared" si="5"/>
        <v>RP2002</v>
      </c>
      <c r="B842" s="23" t="str">
        <f>'3.4.raw'!M842</f>
        <v>RP2002</v>
      </c>
      <c r="C842" s="24">
        <f>'3.4.raw'!T842</f>
        <v>43879</v>
      </c>
      <c r="D842" s="23">
        <f>'3.4.raw'!I842</f>
        <v>2</v>
      </c>
      <c r="E842" s="1">
        <v>3.4</v>
      </c>
      <c r="G842" s="23" t="b">
        <f>if(countif(Status!C:C,A842)=1,TRUE, FALSE)</f>
        <v>1</v>
      </c>
      <c r="H842" s="23" t="str">
        <f>'3.4.raw'!AD842</f>
        <v/>
      </c>
    </row>
    <row r="843">
      <c r="A843" s="55" t="str">
        <f t="shared" si="5"/>
        <v>RP2002B</v>
      </c>
      <c r="B843" s="55" t="str">
        <f>'3.4.raw'!M843</f>
        <v>RP2002B</v>
      </c>
      <c r="C843" s="24">
        <f>'3.4.raw'!T843</f>
        <v>43879</v>
      </c>
      <c r="D843" s="23">
        <f>'3.4.raw'!I843</f>
        <v>2</v>
      </c>
      <c r="E843" s="1">
        <v>3.4</v>
      </c>
      <c r="G843" s="23" t="b">
        <f>if(countif(Status!C:C,A843)=1,TRUE, FALSE)</f>
        <v>0</v>
      </c>
      <c r="H843" s="23" t="str">
        <f>'3.4.raw'!AD843</f>
        <v/>
      </c>
    </row>
    <row r="844">
      <c r="A844" s="23" t="str">
        <f t="shared" si="5"/>
        <v>SF2002</v>
      </c>
      <c r="B844" s="23" t="str">
        <f>'3.4.raw'!M844</f>
        <v>SF2002</v>
      </c>
      <c r="C844" s="24">
        <f>'3.4.raw'!T844</f>
        <v>43879</v>
      </c>
      <c r="D844" s="23">
        <f>'3.4.raw'!I844</f>
        <v>10</v>
      </c>
      <c r="E844" s="1">
        <v>3.4</v>
      </c>
      <c r="G844" s="23" t="b">
        <f>if(countif(Status!C:C,A844)=1,TRUE, FALSE)</f>
        <v>1</v>
      </c>
      <c r="H844" s="23" t="str">
        <f>'3.4.raw'!AD844</f>
        <v/>
      </c>
    </row>
    <row r="845">
      <c r="A845" s="23" t="str">
        <f t="shared" si="5"/>
        <v>EC49</v>
      </c>
      <c r="B845" s="23" t="str">
        <f>'3.4.raw'!M845</f>
        <v>EC49</v>
      </c>
      <c r="C845" s="24">
        <f>'3.4.raw'!T845</f>
        <v>43879</v>
      </c>
      <c r="D845" s="23">
        <f>'3.4.raw'!I845</f>
        <v>98</v>
      </c>
      <c r="E845" s="1">
        <v>3.4</v>
      </c>
      <c r="G845" s="23" t="b">
        <f>if(countif(Status!C:C,A845)=1,TRUE, FALSE)</f>
        <v>1</v>
      </c>
      <c r="H845" s="23" t="str">
        <f>'3.4.raw'!AD845</f>
        <v/>
      </c>
    </row>
    <row r="846">
      <c r="A846" s="23" t="str">
        <f t="shared" si="5"/>
        <v>MO1176</v>
      </c>
      <c r="B846" s="23" t="str">
        <f>'3.4.raw'!M846</f>
        <v>MO1176</v>
      </c>
      <c r="C846" s="24">
        <f>'3.4.raw'!T846</f>
        <v>43879</v>
      </c>
      <c r="D846" s="23">
        <f>'3.4.raw'!I846</f>
        <v>12</v>
      </c>
      <c r="E846" s="1">
        <v>3.4</v>
      </c>
      <c r="G846" s="23" t="b">
        <f>if(countif(Status!C:C,A846)=1,TRUE, FALSE)</f>
        <v>1</v>
      </c>
      <c r="H846" s="23" t="str">
        <f>'3.4.raw'!AD846</f>
        <v/>
      </c>
    </row>
    <row r="847">
      <c r="A847" s="23" t="str">
        <f t="shared" si="5"/>
        <v>MO1177</v>
      </c>
      <c r="B847" s="23" t="str">
        <f>'3.4.raw'!M847</f>
        <v>MO1177</v>
      </c>
      <c r="C847" s="24">
        <f>'3.4.raw'!T847</f>
        <v>43879</v>
      </c>
      <c r="D847" s="23">
        <f>'3.4.raw'!I847</f>
        <v>12</v>
      </c>
      <c r="E847" s="1">
        <v>3.4</v>
      </c>
      <c r="G847" s="23" t="b">
        <f>if(countif(Status!C:C,A847)=1,TRUE, FALSE)</f>
        <v>1</v>
      </c>
      <c r="H847" s="23" t="str">
        <f>'3.4.raw'!AD847</f>
        <v/>
      </c>
    </row>
    <row r="848">
      <c r="A848" s="23" t="str">
        <f t="shared" si="5"/>
        <v>FB1332</v>
      </c>
      <c r="B848" s="23" t="str">
        <f>'3.4.raw'!M848</f>
        <v>FB1332</v>
      </c>
      <c r="C848" s="24">
        <f>'3.4.raw'!T848</f>
        <v>43879</v>
      </c>
      <c r="D848" s="23">
        <f>'3.4.raw'!I848</f>
        <v>99</v>
      </c>
      <c r="E848" s="1">
        <v>3.4</v>
      </c>
      <c r="G848" s="23" t="b">
        <f>if(countif(Status!C:C,A848)=1,TRUE, FALSE)</f>
        <v>1</v>
      </c>
      <c r="H848" s="23" t="str">
        <f>'3.4.raw'!AD848</f>
        <v>Associated sample MO1177</v>
      </c>
    </row>
    <row r="849">
      <c r="A849" s="23" t="str">
        <f t="shared" si="5"/>
        <v>UF1022</v>
      </c>
      <c r="B849" s="23" t="str">
        <f>'3.4.raw'!M849</f>
        <v>UF1022</v>
      </c>
      <c r="C849" s="24">
        <f>'3.4.raw'!T849</f>
        <v>43879</v>
      </c>
      <c r="D849" s="23">
        <f>'3.4.raw'!I849</f>
        <v>16</v>
      </c>
      <c r="E849" s="1">
        <v>3.4</v>
      </c>
      <c r="G849" s="23" t="b">
        <f>if(countif(Status!C:C,A849)=1,TRUE, FALSE)</f>
        <v>1</v>
      </c>
      <c r="H849" s="23" t="str">
        <f>'3.4.raw'!AD849</f>
        <v/>
      </c>
    </row>
    <row r="850">
      <c r="A850" s="23" t="str">
        <f t="shared" si="5"/>
        <v>PL1024</v>
      </c>
      <c r="B850" s="23" t="str">
        <f>'3.4.raw'!M850</f>
        <v>PL1024</v>
      </c>
      <c r="C850" s="24">
        <f>'3.4.raw'!T850</f>
        <v>43879</v>
      </c>
      <c r="D850" s="23">
        <f>'3.4.raw'!I850</f>
        <v>7</v>
      </c>
      <c r="E850" s="1">
        <v>3.4</v>
      </c>
      <c r="G850" s="23" t="b">
        <f>if(countif(Status!C:C,A850)=1,TRUE, FALSE)</f>
        <v>1</v>
      </c>
      <c r="H850" s="23" t="str">
        <f>'3.4.raw'!AD850</f>
        <v/>
      </c>
    </row>
    <row r="851">
      <c r="A851" s="23" t="str">
        <f t="shared" si="5"/>
        <v>PL1025</v>
      </c>
      <c r="B851" s="23" t="str">
        <f>'3.4.raw'!M851</f>
        <v>PL1025</v>
      </c>
      <c r="C851" s="24">
        <f>'3.4.raw'!T851</f>
        <v>43879</v>
      </c>
      <c r="D851" s="23">
        <f>'3.4.raw'!I851</f>
        <v>7</v>
      </c>
      <c r="E851" s="1">
        <v>3.4</v>
      </c>
      <c r="G851" s="23" t="b">
        <f>if(countif(Status!C:C,A851)=1,TRUE, FALSE)</f>
        <v>1</v>
      </c>
      <c r="H851" s="23" t="str">
        <f>'3.4.raw'!AD851</f>
        <v/>
      </c>
    </row>
    <row r="852">
      <c r="A852" s="23" t="str">
        <f t="shared" si="5"/>
        <v>PLc1196</v>
      </c>
      <c r="B852" s="23" t="str">
        <f>'3.4.raw'!M852</f>
        <v>PLc1196</v>
      </c>
      <c r="C852" s="24">
        <f>'3.4.raw'!T852</f>
        <v>43879</v>
      </c>
      <c r="D852" s="23">
        <f>'3.4.raw'!I852</f>
        <v>11</v>
      </c>
      <c r="E852" s="1">
        <v>3.4</v>
      </c>
      <c r="G852" s="23" t="b">
        <f>if(countif(Status!C:C,A852)=1,TRUE, FALSE)</f>
        <v>1</v>
      </c>
      <c r="H852" s="23" t="str">
        <f>'3.4.raw'!AD852</f>
        <v/>
      </c>
    </row>
    <row r="853">
      <c r="A853" s="23" t="str">
        <f t="shared" si="5"/>
        <v>PLc1197</v>
      </c>
      <c r="B853" s="23" t="str">
        <f>'3.4.raw'!M853</f>
        <v>PLc1197</v>
      </c>
      <c r="C853" s="24">
        <f>'3.4.raw'!T853</f>
        <v>43879</v>
      </c>
      <c r="D853" s="23">
        <f>'3.4.raw'!I853</f>
        <v>11</v>
      </c>
      <c r="E853" s="1">
        <v>3.4</v>
      </c>
      <c r="G853" s="23" t="b">
        <f>if(countif(Status!C:C,A853)=1,TRUE, FALSE)</f>
        <v>1</v>
      </c>
      <c r="H853" s="23" t="str">
        <f>'3.4.raw'!AD853</f>
        <v/>
      </c>
    </row>
    <row r="854">
      <c r="A854" s="23" t="str">
        <f t="shared" si="5"/>
        <v>PLc1198</v>
      </c>
      <c r="B854" s="23" t="str">
        <f>'3.4.raw'!M854</f>
        <v>PLc1198</v>
      </c>
      <c r="C854" s="24">
        <f>'3.4.raw'!T854</f>
        <v>43879</v>
      </c>
      <c r="D854" s="23">
        <f>'3.4.raw'!I854</f>
        <v>11</v>
      </c>
      <c r="E854" s="1">
        <v>3.4</v>
      </c>
      <c r="G854" s="23" t="b">
        <f>if(countif(Status!C:C,A854)=1,TRUE, FALSE)</f>
        <v>1</v>
      </c>
      <c r="H854" s="23" t="str">
        <f>'3.4.raw'!AD854</f>
        <v/>
      </c>
    </row>
    <row r="855">
      <c r="A855" s="23" t="str">
        <f t="shared" si="5"/>
        <v>MO1178</v>
      </c>
      <c r="B855" s="23" t="str">
        <f>'3.4.raw'!M855</f>
        <v>MO1178</v>
      </c>
      <c r="C855" s="24">
        <f>'3.4.raw'!T855</f>
        <v>43879</v>
      </c>
      <c r="D855" s="23">
        <f>'3.4.raw'!I855</f>
        <v>12</v>
      </c>
      <c r="E855" s="1">
        <v>3.4</v>
      </c>
      <c r="G855" s="23" t="b">
        <f>if(countif(Status!C:C,A855)=1,TRUE, FALSE)</f>
        <v>1</v>
      </c>
      <c r="H855" s="23" t="str">
        <f>'3.4.raw'!AD855</f>
        <v/>
      </c>
    </row>
    <row r="856">
      <c r="A856" s="23" t="str">
        <f t="shared" si="5"/>
        <v>MO1179</v>
      </c>
      <c r="B856" s="23" t="str">
        <f>'3.4.raw'!M856</f>
        <v>MO1179</v>
      </c>
      <c r="C856" s="24">
        <f>'3.4.raw'!T856</f>
        <v>43879</v>
      </c>
      <c r="D856" s="23">
        <f>'3.4.raw'!I856</f>
        <v>12</v>
      </c>
      <c r="E856" s="1">
        <v>3.4</v>
      </c>
      <c r="G856" s="23" t="b">
        <f>if(countif(Status!C:C,A856)=1,TRUE, FALSE)</f>
        <v>1</v>
      </c>
      <c r="H856" s="23" t="str">
        <f>'3.4.raw'!AD856</f>
        <v/>
      </c>
    </row>
    <row r="857">
      <c r="A857" s="23" t="str">
        <f t="shared" si="5"/>
        <v>MO1180</v>
      </c>
      <c r="B857" s="23" t="str">
        <f>'3.4.raw'!M857</f>
        <v>MO1180</v>
      </c>
      <c r="C857" s="24">
        <f>'3.4.raw'!T857</f>
        <v>43879</v>
      </c>
      <c r="D857" s="23">
        <f>'3.4.raw'!I857</f>
        <v>12</v>
      </c>
      <c r="E857" s="1">
        <v>3.4</v>
      </c>
      <c r="G857" s="23" t="b">
        <f>if(countif(Status!C:C,A857)=1,TRUE, FALSE)</f>
        <v>1</v>
      </c>
      <c r="H857" s="23" t="str">
        <f>'3.4.raw'!AD857</f>
        <v/>
      </c>
    </row>
    <row r="858">
      <c r="A858" s="23" t="str">
        <f t="shared" si="5"/>
        <v>FB1340</v>
      </c>
      <c r="B858" s="23" t="str">
        <f>'3.4.raw'!M858</f>
        <v>FB1340</v>
      </c>
      <c r="C858" s="24">
        <f>'3.4.raw'!T858</f>
        <v>43879</v>
      </c>
      <c r="D858" s="23">
        <f>'3.4.raw'!I858</f>
        <v>99</v>
      </c>
      <c r="E858" s="1">
        <v>3.4</v>
      </c>
      <c r="G858" s="23" t="b">
        <f>if(countif(Status!C:C,A858)=1,TRUE, FALSE)</f>
        <v>1</v>
      </c>
      <c r="H858" s="23" t="str">
        <f>'3.4.raw'!AD858</f>
        <v>Associated sample MO1180</v>
      </c>
    </row>
    <row r="859">
      <c r="A859" s="23" t="str">
        <f t="shared" si="5"/>
        <v>FPd2002</v>
      </c>
      <c r="B859" s="23" t="str">
        <f>'3.4.raw'!M859</f>
        <v>FPd2002</v>
      </c>
      <c r="C859" s="24">
        <f>'3.4.raw'!T859</f>
        <v>43879</v>
      </c>
      <c r="D859" s="23">
        <f>'3.4.raw'!I859</f>
        <v>14</v>
      </c>
      <c r="E859" s="1">
        <v>3.4</v>
      </c>
      <c r="G859" s="23" t="b">
        <f>if(countif(Status!C:C,A859)=1,TRUE, FALSE)</f>
        <v>1</v>
      </c>
      <c r="H859" s="23" t="str">
        <f>'3.4.raw'!AD859</f>
        <v/>
      </c>
    </row>
    <row r="860">
      <c r="A860" s="23" t="str">
        <f t="shared" si="5"/>
        <v>FPe2002</v>
      </c>
      <c r="B860" s="23" t="str">
        <f>'3.4.raw'!M860</f>
        <v>FPe2002</v>
      </c>
      <c r="C860" s="24">
        <f>'3.4.raw'!T860</f>
        <v>43879</v>
      </c>
      <c r="D860" s="23">
        <f>'3.4.raw'!I860</f>
        <v>14</v>
      </c>
      <c r="E860" s="1">
        <v>3.4</v>
      </c>
      <c r="G860" s="23" t="b">
        <f>if(countif(Status!C:C,A860)=1,TRUE, FALSE)</f>
        <v>1</v>
      </c>
      <c r="H860" s="23" t="str">
        <f>'3.4.raw'!AD860</f>
        <v/>
      </c>
    </row>
    <row r="861">
      <c r="A861" s="23" t="str">
        <f t="shared" si="5"/>
        <v>FPb2002</v>
      </c>
      <c r="B861" s="23" t="str">
        <f>'3.4.raw'!M861</f>
        <v>FPb2002</v>
      </c>
      <c r="C861" s="24">
        <f>'3.4.raw'!T861</f>
        <v>43879</v>
      </c>
      <c r="D861" s="23">
        <f>'3.4.raw'!I861</f>
        <v>14</v>
      </c>
      <c r="E861" s="1">
        <v>3.4</v>
      </c>
      <c r="G861" s="23" t="b">
        <f>if(countif(Status!C:C,A861)=1,TRUE, FALSE)</f>
        <v>1</v>
      </c>
      <c r="H861" s="23" t="str">
        <f>'3.4.raw'!AD861</f>
        <v/>
      </c>
    </row>
    <row r="862">
      <c r="A862" s="23" t="str">
        <f t="shared" si="5"/>
        <v>FPa2002</v>
      </c>
      <c r="B862" s="23" t="str">
        <f>'3.4.raw'!M862</f>
        <v>FPa2002</v>
      </c>
      <c r="C862" s="24">
        <f>'3.4.raw'!T862</f>
        <v>43879</v>
      </c>
      <c r="D862" s="23">
        <f>'3.4.raw'!I862</f>
        <v>14</v>
      </c>
      <c r="E862" s="1">
        <v>3.4</v>
      </c>
      <c r="G862" s="23" t="b">
        <f>if(countif(Status!C:C,A862)=1,TRUE, FALSE)</f>
        <v>1</v>
      </c>
      <c r="H862" s="23" t="str">
        <f>'3.4.raw'!AD862</f>
        <v/>
      </c>
    </row>
    <row r="863">
      <c r="A863" s="23" t="str">
        <f t="shared" si="5"/>
        <v>FPc2002</v>
      </c>
      <c r="B863" s="23" t="str">
        <f>'3.4.raw'!M863</f>
        <v>FPc2002</v>
      </c>
      <c r="C863" s="24">
        <f>'3.4.raw'!T863</f>
        <v>43879</v>
      </c>
      <c r="D863" s="23">
        <f>'3.4.raw'!I863</f>
        <v>14</v>
      </c>
      <c r="E863" s="1">
        <v>3.4</v>
      </c>
      <c r="G863" s="23" t="b">
        <f>if(countif(Status!C:C,A863)=1,TRUE, FALSE)</f>
        <v>1</v>
      </c>
      <c r="H863" s="23" t="str">
        <f>'3.4.raw'!AD863</f>
        <v/>
      </c>
    </row>
    <row r="864">
      <c r="A864" s="23" t="str">
        <f t="shared" si="5"/>
        <v>FPd2002</v>
      </c>
      <c r="B864" s="23" t="str">
        <f>'3.4.raw'!M864</f>
        <v>FPd2002</v>
      </c>
      <c r="C864" s="24">
        <f>'3.4.raw'!T864</f>
        <v>43879</v>
      </c>
      <c r="D864" s="23">
        <f>'3.4.raw'!I864</f>
        <v>14</v>
      </c>
      <c r="E864" s="1">
        <v>3.4</v>
      </c>
      <c r="G864" s="23" t="b">
        <f>if(countif(Status!C:C,A864)=1,TRUE, FALSE)</f>
        <v>1</v>
      </c>
      <c r="H864" s="23" t="str">
        <f>'3.4.raw'!AD864</f>
        <v/>
      </c>
    </row>
    <row r="865">
      <c r="A865" s="23" t="str">
        <f t="shared" si="5"/>
        <v>FPb2003</v>
      </c>
      <c r="B865" s="23" t="str">
        <f>'3.4.raw'!M865</f>
        <v>FPb2003</v>
      </c>
      <c r="C865" s="24">
        <f>'3.4.raw'!T865</f>
        <v>43879</v>
      </c>
      <c r="D865" s="23">
        <f>'3.4.raw'!I865</f>
        <v>14</v>
      </c>
      <c r="E865" s="1">
        <v>3.4</v>
      </c>
      <c r="G865" s="23" t="b">
        <f>if(countif(Status!C:C,A865)=1,TRUE, FALSE)</f>
        <v>1</v>
      </c>
      <c r="H865" s="23" t="str">
        <f>'3.4.raw'!AD865</f>
        <v/>
      </c>
    </row>
    <row r="866">
      <c r="A866" s="23" t="str">
        <f t="shared" si="5"/>
        <v>FPe2003</v>
      </c>
      <c r="B866" s="23" t="str">
        <f>'3.4.raw'!M866</f>
        <v>FPe2003</v>
      </c>
      <c r="C866" s="24">
        <f>'3.4.raw'!T866</f>
        <v>43879</v>
      </c>
      <c r="D866" s="23">
        <f>'3.4.raw'!I866</f>
        <v>14</v>
      </c>
      <c r="E866" s="1">
        <v>3.4</v>
      </c>
      <c r="G866" s="23" t="b">
        <f>if(countif(Status!C:C,A866)=1,TRUE, FALSE)</f>
        <v>1</v>
      </c>
      <c r="H866" s="23" t="str">
        <f>'3.4.raw'!AD866</f>
        <v/>
      </c>
    </row>
    <row r="867">
      <c r="A867" s="23" t="str">
        <f t="shared" si="5"/>
        <v>FPa2003</v>
      </c>
      <c r="B867" s="23" t="str">
        <f>'3.4.raw'!M867</f>
        <v>FPa2003</v>
      </c>
      <c r="C867" s="24">
        <f>'3.4.raw'!T867</f>
        <v>43879</v>
      </c>
      <c r="D867" s="23">
        <f>'3.4.raw'!I867</f>
        <v>14</v>
      </c>
      <c r="E867" s="1">
        <v>3.4</v>
      </c>
      <c r="G867" s="23" t="b">
        <f>if(countif(Status!C:C,A867)=1,TRUE, FALSE)</f>
        <v>1</v>
      </c>
      <c r="H867" s="23" t="str">
        <f>'3.4.raw'!AD867</f>
        <v/>
      </c>
    </row>
    <row r="868">
      <c r="A868" s="23" t="str">
        <f t="shared" si="5"/>
        <v>FPc2003</v>
      </c>
      <c r="B868" s="23" t="str">
        <f>'3.4.raw'!M868</f>
        <v>FPc2003</v>
      </c>
      <c r="C868" s="24">
        <f>'3.4.raw'!T868</f>
        <v>43879</v>
      </c>
      <c r="D868" s="23">
        <f>'3.4.raw'!I868</f>
        <v>14</v>
      </c>
      <c r="E868" s="1">
        <v>3.4</v>
      </c>
      <c r="G868" s="23" t="b">
        <f>if(countif(Status!C:C,A868)=1,TRUE, FALSE)</f>
        <v>1</v>
      </c>
      <c r="H868" s="23" t="str">
        <f>'3.4.raw'!AD868</f>
        <v/>
      </c>
    </row>
    <row r="869">
      <c r="A869" s="23" t="str">
        <f t="shared" si="5"/>
        <v>COa2007</v>
      </c>
      <c r="B869" s="23" t="str">
        <f>'3.4.raw'!M869</f>
        <v>COa2007</v>
      </c>
      <c r="C869" s="24">
        <f>'3.4.raw'!T869</f>
        <v>43879</v>
      </c>
      <c r="D869" s="23">
        <f>'3.4.raw'!I869</f>
        <v>15</v>
      </c>
      <c r="E869" s="1">
        <v>3.4</v>
      </c>
      <c r="G869" s="23" t="b">
        <f>if(countif(Status!C:C,A869)=1,TRUE, FALSE)</f>
        <v>1</v>
      </c>
      <c r="H869" s="23" t="str">
        <f>'3.4.raw'!AD869</f>
        <v/>
      </c>
    </row>
    <row r="870">
      <c r="A870" s="23" t="str">
        <f t="shared" si="5"/>
        <v>COb2019</v>
      </c>
      <c r="B870" s="23" t="str">
        <f>'3.4.raw'!M870</f>
        <v>COb2019</v>
      </c>
      <c r="C870" s="24">
        <f>'3.4.raw'!T870</f>
        <v>43879</v>
      </c>
      <c r="D870" s="23">
        <f>'3.4.raw'!I870</f>
        <v>15</v>
      </c>
      <c r="E870" s="1">
        <v>3.4</v>
      </c>
      <c r="G870" s="23" t="b">
        <f>if(countif(Status!C:C,A870)=1,TRUE, FALSE)</f>
        <v>1</v>
      </c>
      <c r="H870" s="23" t="str">
        <f>'3.4.raw'!AD870</f>
        <v/>
      </c>
    </row>
    <row r="871">
      <c r="A871" s="23" t="str">
        <f t="shared" si="5"/>
        <v>EC50</v>
      </c>
      <c r="B871" s="23" t="str">
        <f>'3.4.raw'!M871</f>
        <v>EC50</v>
      </c>
      <c r="C871" s="24">
        <f>'3.4.raw'!T871</f>
        <v>43879</v>
      </c>
      <c r="D871" s="23">
        <f>'3.4.raw'!I871</f>
        <v>98</v>
      </c>
      <c r="E871" s="1">
        <v>3.4</v>
      </c>
      <c r="G871" s="23" t="b">
        <f>if(countif(Status!C:C,A871)=1,TRUE, FALSE)</f>
        <v>1</v>
      </c>
      <c r="H871" s="23" t="str">
        <f>'3.4.raw'!AD871</f>
        <v/>
      </c>
    </row>
    <row r="872">
      <c r="A872" s="23" t="str">
        <f t="shared" si="5"/>
        <v>PLc1199</v>
      </c>
      <c r="B872" s="23" t="str">
        <f>'3.4.raw'!M872</f>
        <v>PLc1199</v>
      </c>
      <c r="C872" s="24">
        <f>'3.4.raw'!T872</f>
        <v>43883</v>
      </c>
      <c r="D872" s="23">
        <f>'3.4.raw'!I872</f>
        <v>11</v>
      </c>
      <c r="E872" s="1">
        <v>3.4</v>
      </c>
      <c r="G872" s="23" t="b">
        <f>if(countif(Status!C:C,A872)=1,TRUE, FALSE)</f>
        <v>1</v>
      </c>
      <c r="H872" s="23" t="str">
        <f>'3.4.raw'!AD872</f>
        <v/>
      </c>
    </row>
    <row r="873">
      <c r="A873" s="23" t="str">
        <f t="shared" si="5"/>
        <v>PLc1200</v>
      </c>
      <c r="B873" s="23" t="str">
        <f>'3.4.raw'!M873</f>
        <v>PLc1200</v>
      </c>
      <c r="C873" s="24">
        <f>'3.4.raw'!T873</f>
        <v>43883</v>
      </c>
      <c r="D873" s="23">
        <f>'3.4.raw'!I873</f>
        <v>11</v>
      </c>
      <c r="E873" s="1">
        <v>3.4</v>
      </c>
      <c r="G873" s="23" t="b">
        <f>if(countif(Status!C:C,A873)=1,TRUE, FALSE)</f>
        <v>1</v>
      </c>
      <c r="H873" s="23" t="str">
        <f>'3.4.raw'!AD873</f>
        <v/>
      </c>
    </row>
    <row r="874">
      <c r="A874" s="23" t="str">
        <f t="shared" si="5"/>
        <v>PLc1201</v>
      </c>
      <c r="B874" s="23" t="str">
        <f>'3.4.raw'!M874</f>
        <v>PLc1201</v>
      </c>
      <c r="C874" s="24">
        <f>'3.4.raw'!T874</f>
        <v>43883</v>
      </c>
      <c r="D874" s="23">
        <f>'3.4.raw'!I874</f>
        <v>11</v>
      </c>
      <c r="E874" s="1">
        <v>3.4</v>
      </c>
      <c r="G874" s="23" t="b">
        <f>if(countif(Status!C:C,A874)=1,TRUE, FALSE)</f>
        <v>1</v>
      </c>
      <c r="H874" s="23" t="str">
        <f>'3.4.raw'!AD874</f>
        <v/>
      </c>
    </row>
    <row r="875">
      <c r="A875" s="23" t="str">
        <f t="shared" si="5"/>
        <v>PLc1202</v>
      </c>
      <c r="B875" s="23" t="str">
        <f>'3.4.raw'!M875</f>
        <v>PLc1202</v>
      </c>
      <c r="C875" s="24">
        <f>'3.4.raw'!T875</f>
        <v>43883</v>
      </c>
      <c r="D875" s="23">
        <f>'3.4.raw'!I875</f>
        <v>11</v>
      </c>
      <c r="E875" s="1">
        <v>3.4</v>
      </c>
      <c r="G875" s="23" t="b">
        <f>if(countif(Status!C:C,A875)=1,TRUE, FALSE)</f>
        <v>1</v>
      </c>
      <c r="H875" s="23" t="str">
        <f>'3.4.raw'!AD875</f>
        <v/>
      </c>
    </row>
    <row r="876">
      <c r="A876" s="23" t="str">
        <f t="shared" si="5"/>
        <v>PLc1203</v>
      </c>
      <c r="B876" s="23" t="str">
        <f>'3.4.raw'!M876</f>
        <v>PLc1203</v>
      </c>
      <c r="C876" s="24">
        <f>'3.4.raw'!T876</f>
        <v>43883</v>
      </c>
      <c r="D876" s="23">
        <f>'3.4.raw'!I876</f>
        <v>11</v>
      </c>
      <c r="E876" s="1">
        <v>3.4</v>
      </c>
      <c r="G876" s="23" t="b">
        <f>if(countif(Status!C:C,A876)=1,TRUE, FALSE)</f>
        <v>1</v>
      </c>
      <c r="H876" s="23" t="str">
        <f>'3.4.raw'!AD876</f>
        <v/>
      </c>
    </row>
    <row r="877">
      <c r="A877" s="23" t="str">
        <f t="shared" si="5"/>
        <v>FB1348</v>
      </c>
      <c r="B877" s="23" t="str">
        <f>'3.4.raw'!M877</f>
        <v>FB1348</v>
      </c>
      <c r="C877" s="24">
        <f>'3.4.raw'!T877</f>
        <v>43883</v>
      </c>
      <c r="D877" s="23">
        <f>'3.4.raw'!I877</f>
        <v>99</v>
      </c>
      <c r="E877" s="1">
        <v>3.4</v>
      </c>
      <c r="G877" s="23" t="b">
        <f>if(countif(Status!C:C,A877)=1,TRUE, FALSE)</f>
        <v>1</v>
      </c>
      <c r="H877" s="23" t="str">
        <f>'3.4.raw'!AD877</f>
        <v>Associated sample PLc1203</v>
      </c>
    </row>
    <row r="878">
      <c r="A878" s="23" t="str">
        <f>'3.4.raw'!L878</f>
        <v>SW2002</v>
      </c>
      <c r="B878" s="23" t="str">
        <f>'3.4.raw'!M878</f>
        <v>SW2002</v>
      </c>
      <c r="C878" s="24">
        <f>'3.4.raw'!T878</f>
        <v>43883</v>
      </c>
      <c r="D878" s="23">
        <f>'3.4.raw'!I878</f>
        <v>5</v>
      </c>
      <c r="E878" s="1">
        <v>3.4</v>
      </c>
      <c r="G878" s="23" t="b">
        <f>if(countif(Status!C:C,A878)=1,TRUE, FALSE)</f>
        <v>1</v>
      </c>
      <c r="H878" s="23" t="str">
        <f>'3.4.raw'!AD878</f>
        <v/>
      </c>
    </row>
    <row r="879">
      <c r="A879" s="23" t="str">
        <f>'3.4.raw'!L879</f>
        <v>SL2003</v>
      </c>
      <c r="B879" s="23" t="str">
        <f>'3.4.raw'!M879</f>
        <v>SL2003</v>
      </c>
      <c r="C879" s="24">
        <f>'3.4.raw'!T879</f>
        <v>43883</v>
      </c>
      <c r="D879" s="23">
        <f>'3.4.raw'!I879</f>
        <v>8</v>
      </c>
      <c r="E879" s="1">
        <v>3.4</v>
      </c>
      <c r="G879" s="23" t="b">
        <f>if(countif(Status!C:C,A879)=1,TRUE, FALSE)</f>
        <v>1</v>
      </c>
      <c r="H879" s="23" t="str">
        <f>'3.4.raw'!AD879</f>
        <v/>
      </c>
    </row>
    <row r="880">
      <c r="A880" s="23" t="str">
        <f>'3.4.raw'!L880</f>
        <v>MO1181</v>
      </c>
      <c r="B880" s="23" t="str">
        <f>'3.4.raw'!M880</f>
        <v>MO1181</v>
      </c>
      <c r="C880" s="24">
        <f>'3.4.raw'!T880</f>
        <v>43888</v>
      </c>
      <c r="D880" s="23">
        <f>'3.4.raw'!I880</f>
        <v>12</v>
      </c>
      <c r="E880" s="1">
        <v>3.4</v>
      </c>
      <c r="G880" s="23" t="b">
        <f>if(countif(Status!C:C,A880)=1,TRUE, FALSE)</f>
        <v>1</v>
      </c>
      <c r="H880" s="23" t="str">
        <f>'3.4.raw'!AD880</f>
        <v/>
      </c>
    </row>
    <row r="881">
      <c r="A881" s="23" t="str">
        <f>'3.4.raw'!L881</f>
        <v>MO1182</v>
      </c>
      <c r="B881" s="23" t="str">
        <f>'3.4.raw'!M881</f>
        <v>MO1182</v>
      </c>
      <c r="C881" s="24">
        <f>'3.4.raw'!T881</f>
        <v>43888</v>
      </c>
      <c r="D881" s="23">
        <f>'3.4.raw'!I881</f>
        <v>12</v>
      </c>
      <c r="E881" s="1">
        <v>3.4</v>
      </c>
      <c r="G881" s="23" t="b">
        <f>if(countif(Status!C:C,A881)=1,TRUE, FALSE)</f>
        <v>1</v>
      </c>
      <c r="H881" s="23" t="str">
        <f>'3.4.raw'!AD881</f>
        <v/>
      </c>
    </row>
    <row r="882">
      <c r="A882" s="23" t="str">
        <f>'3.4.raw'!L882</f>
        <v>MO1183</v>
      </c>
      <c r="B882" s="23" t="str">
        <f>'3.4.raw'!M882</f>
        <v>MO1183</v>
      </c>
      <c r="C882" s="24">
        <f>'3.4.raw'!T882</f>
        <v>43888</v>
      </c>
      <c r="D882" s="23">
        <f>'3.4.raw'!I882</f>
        <v>12</v>
      </c>
      <c r="E882" s="1">
        <v>3.4</v>
      </c>
      <c r="G882" s="23" t="b">
        <f>if(countif(Status!C:C,A882)=1,TRUE, FALSE)</f>
        <v>1</v>
      </c>
      <c r="H882" s="23" t="str">
        <f>'3.4.raw'!AD882</f>
        <v/>
      </c>
    </row>
    <row r="883">
      <c r="A883" s="23" t="str">
        <f>'3.4.raw'!L883</f>
        <v>MO1184</v>
      </c>
      <c r="B883" s="23" t="str">
        <f>'3.4.raw'!M883</f>
        <v>MO1184</v>
      </c>
      <c r="C883" s="24">
        <f>'3.4.raw'!T883</f>
        <v>43888</v>
      </c>
      <c r="D883" s="23">
        <f>'3.4.raw'!I883</f>
        <v>12</v>
      </c>
      <c r="E883" s="1">
        <v>3.4</v>
      </c>
      <c r="G883" s="23" t="b">
        <f>if(countif(Status!C:C,A883)=1,TRUE, FALSE)</f>
        <v>1</v>
      </c>
      <c r="H883" s="23" t="str">
        <f>'3.4.raw'!AD883</f>
        <v/>
      </c>
    </row>
    <row r="884">
      <c r="A884" s="23" t="str">
        <f>'3.4.raw'!L884</f>
        <v>FB1354</v>
      </c>
      <c r="B884" s="23" t="str">
        <f>'3.4.raw'!M884</f>
        <v>FB1354</v>
      </c>
      <c r="C884" s="24">
        <f>'3.4.raw'!T884</f>
        <v>43888</v>
      </c>
      <c r="D884" s="23">
        <f>'3.4.raw'!I884</f>
        <v>99</v>
      </c>
      <c r="E884" s="1">
        <v>3.4</v>
      </c>
      <c r="G884" s="23" t="b">
        <f>if(countif(Status!C:C,A884)=1,TRUE, FALSE)</f>
        <v>1</v>
      </c>
      <c r="H884" s="23" t="str">
        <f>'3.4.raw'!AD884</f>
        <v>Associated sample MO1184</v>
      </c>
    </row>
    <row r="885">
      <c r="A885" s="23" t="str">
        <f>'3.4.raw'!L885</f>
        <v>UF1023</v>
      </c>
      <c r="B885" s="23" t="str">
        <f>'3.4.raw'!M885</f>
        <v>UF1023</v>
      </c>
      <c r="C885" s="24">
        <f>'3.4.raw'!T885</f>
        <v>43888</v>
      </c>
      <c r="D885" s="23">
        <f>'3.4.raw'!I885</f>
        <v>16</v>
      </c>
      <c r="E885" s="1">
        <v>3.4</v>
      </c>
      <c r="G885" s="23" t="b">
        <f>if(countif(Status!C:C,A885)=1,TRUE, FALSE)</f>
        <v>1</v>
      </c>
      <c r="H885" s="23" t="str">
        <f>'3.4.raw'!AD885</f>
        <v/>
      </c>
    </row>
    <row r="886">
      <c r="A886" s="23" t="str">
        <f>'3.4.raw'!L886</f>
        <v>MO1185</v>
      </c>
      <c r="B886" s="23" t="str">
        <f>'3.4.raw'!M886</f>
        <v>MO1185</v>
      </c>
      <c r="C886" s="24">
        <f>'3.4.raw'!T886</f>
        <v>43888</v>
      </c>
      <c r="D886" s="23">
        <f>'3.4.raw'!I886</f>
        <v>12</v>
      </c>
      <c r="E886" s="1">
        <v>3.4</v>
      </c>
      <c r="G886" s="23" t="b">
        <f>if(countif(Status!C:C,A886)=1,TRUE, FALSE)</f>
        <v>1</v>
      </c>
      <c r="H886" s="23" t="str">
        <f>'3.4.raw'!AD886</f>
        <v/>
      </c>
    </row>
    <row r="887">
      <c r="A887" s="23" t="str">
        <f>'3.4.raw'!L887</f>
        <v>MO1186</v>
      </c>
      <c r="B887" s="23" t="str">
        <f>'3.4.raw'!M887</f>
        <v>MO1186</v>
      </c>
      <c r="C887" s="24">
        <f>'3.4.raw'!T887</f>
        <v>43888</v>
      </c>
      <c r="D887" s="23">
        <f>'3.4.raw'!I887</f>
        <v>12</v>
      </c>
      <c r="E887" s="1">
        <v>3.4</v>
      </c>
      <c r="G887" s="23" t="b">
        <f>if(countif(Status!C:C,A887)=1,TRUE, FALSE)</f>
        <v>1</v>
      </c>
      <c r="H887" s="23" t="str">
        <f>'3.4.raw'!AD887</f>
        <v/>
      </c>
    </row>
    <row r="888">
      <c r="A888" s="23" t="str">
        <f>'3.4.raw'!L888</f>
        <v>MO1187</v>
      </c>
      <c r="B888" s="23" t="str">
        <f>'3.4.raw'!M888</f>
        <v>MO1187</v>
      </c>
      <c r="C888" s="24">
        <f>'3.4.raw'!T888</f>
        <v>43888</v>
      </c>
      <c r="D888" s="23">
        <f>'3.4.raw'!I888</f>
        <v>12</v>
      </c>
      <c r="E888" s="1">
        <v>3.4</v>
      </c>
      <c r="G888" s="23" t="b">
        <f>if(countif(Status!C:C,A888)=1,TRUE, FALSE)</f>
        <v>1</v>
      </c>
      <c r="H888" s="23" t="str">
        <f>'3.4.raw'!AD888</f>
        <v/>
      </c>
    </row>
    <row r="889">
      <c r="A889" s="23" t="str">
        <f>'3.4.raw'!L889</f>
        <v>UF1024</v>
      </c>
      <c r="B889" s="23" t="str">
        <f>'3.4.raw'!M889</f>
        <v>UF1024</v>
      </c>
      <c r="C889" s="24">
        <f>'3.4.raw'!T889</f>
        <v>43888</v>
      </c>
      <c r="D889" s="23">
        <f>'3.4.raw'!I889</f>
        <v>16</v>
      </c>
      <c r="E889" s="1">
        <v>3.4</v>
      </c>
      <c r="G889" s="23" t="b">
        <f>if(countif(Status!C:C,A889)=1,TRUE, FALSE)</f>
        <v>1</v>
      </c>
      <c r="H889" s="23" t="str">
        <f>'3.4.raw'!AD889</f>
        <v/>
      </c>
    </row>
    <row r="890">
      <c r="A890" s="23" t="str">
        <f>'3.4.raw'!L890</f>
        <v>PL1026</v>
      </c>
      <c r="B890" s="23" t="str">
        <f>'3.4.raw'!M890</f>
        <v>PL1026</v>
      </c>
      <c r="C890" s="24">
        <f>'3.4.raw'!T890</f>
        <v>43888</v>
      </c>
      <c r="D890" s="23">
        <f>'3.4.raw'!I890</f>
        <v>7</v>
      </c>
      <c r="E890" s="1">
        <v>3.4</v>
      </c>
      <c r="G890" s="23" t="b">
        <f>if(countif(Status!C:C,A890)=1,TRUE, FALSE)</f>
        <v>1</v>
      </c>
      <c r="H890" s="23" t="str">
        <f>'3.4.raw'!AD890</f>
        <v/>
      </c>
    </row>
    <row r="891">
      <c r="A891" s="23" t="str">
        <f>'3.4.raw'!L891</f>
        <v>PL1027</v>
      </c>
      <c r="B891" s="23" t="str">
        <f>'3.4.raw'!M891</f>
        <v>PL1027</v>
      </c>
      <c r="C891" s="24">
        <f>'3.4.raw'!T891</f>
        <v>43888</v>
      </c>
      <c r="D891" s="23">
        <f>'3.4.raw'!I891</f>
        <v>7</v>
      </c>
      <c r="E891" s="1">
        <v>3.4</v>
      </c>
      <c r="G891" s="23" t="b">
        <f>if(countif(Status!C:C,A891)=1,TRUE, FALSE)</f>
        <v>1</v>
      </c>
      <c r="H891" s="23" t="str">
        <f>'3.4.raw'!AD891</f>
        <v/>
      </c>
    </row>
    <row r="892">
      <c r="A892" s="23" t="str">
        <f>'3.4.raw'!L892</f>
        <v>FB1356</v>
      </c>
      <c r="B892" s="23" t="str">
        <f>'3.4.raw'!M892</f>
        <v>FB1356</v>
      </c>
      <c r="C892" s="24">
        <f>'3.4.raw'!T892</f>
        <v>43888</v>
      </c>
      <c r="D892" s="23">
        <f>'3.4.raw'!I892</f>
        <v>99</v>
      </c>
      <c r="E892" s="1">
        <v>3.4</v>
      </c>
      <c r="G892" s="23" t="b">
        <f>if(countif(Status!C:C,A892)=1,TRUE, FALSE)</f>
        <v>1</v>
      </c>
      <c r="H892" s="23" t="str">
        <f>'3.4.raw'!AD892</f>
        <v>Associated sample PL1027</v>
      </c>
    </row>
    <row r="893">
      <c r="A893" s="23" t="str">
        <f>'3.4.raw'!L893</f>
        <v>EC52</v>
      </c>
      <c r="B893" s="23" t="str">
        <f>'3.4.raw'!M893</f>
        <v>EC52</v>
      </c>
      <c r="C893" s="24">
        <f>'3.4.raw'!T893</f>
        <v>43888</v>
      </c>
      <c r="D893" s="23">
        <f>'3.4.raw'!I893</f>
        <v>98</v>
      </c>
      <c r="E893" s="1">
        <v>3.4</v>
      </c>
      <c r="G893" s="23" t="b">
        <f>if(countif(Status!C:C,A893)=1,TRUE, FALSE)</f>
        <v>1</v>
      </c>
      <c r="H893" s="23" t="str">
        <f>'3.4.raw'!AD893</f>
        <v/>
      </c>
    </row>
    <row r="894">
      <c r="A894" s="23" t="str">
        <f>'3.4.raw'!L894</f>
        <v>FPb2004</v>
      </c>
      <c r="B894" s="23" t="str">
        <f>'3.4.raw'!M894</f>
        <v>FPb2004</v>
      </c>
      <c r="C894" s="24">
        <f>'3.4.raw'!T894</f>
        <v>43889</v>
      </c>
      <c r="D894" s="23">
        <f>'3.4.raw'!I894</f>
        <v>14</v>
      </c>
      <c r="E894" s="1">
        <v>3.4</v>
      </c>
      <c r="G894" s="23" t="b">
        <f>if(countif(Status!C:C,A894)=1,TRUE, FALSE)</f>
        <v>1</v>
      </c>
      <c r="H894" s="23" t="str">
        <f>'3.4.raw'!AD894</f>
        <v/>
      </c>
    </row>
    <row r="895">
      <c r="A895" s="23" t="str">
        <f>'3.4.raw'!L895</f>
        <v>FPd2004</v>
      </c>
      <c r="B895" s="23" t="str">
        <f>'3.4.raw'!M895</f>
        <v>FPd2004</v>
      </c>
      <c r="C895" s="24">
        <f>'3.4.raw'!T895</f>
        <v>43889</v>
      </c>
      <c r="D895" s="23">
        <f>'3.4.raw'!I895</f>
        <v>14</v>
      </c>
      <c r="E895" s="1">
        <v>3.4</v>
      </c>
      <c r="G895" s="23" t="b">
        <f>if(countif(Status!C:C,A895)=1,TRUE, FALSE)</f>
        <v>1</v>
      </c>
      <c r="H895" s="23" t="str">
        <f>'3.4.raw'!AD895</f>
        <v/>
      </c>
    </row>
    <row r="896">
      <c r="A896" s="23" t="str">
        <f>'3.4.raw'!L896</f>
        <v>FPe2004</v>
      </c>
      <c r="B896" s="23" t="str">
        <f>'3.4.raw'!M896</f>
        <v>FPe2004</v>
      </c>
      <c r="C896" s="24">
        <f>'3.4.raw'!T896</f>
        <v>43889</v>
      </c>
      <c r="D896" s="23">
        <f>'3.4.raw'!I896</f>
        <v>14</v>
      </c>
      <c r="E896" s="1">
        <v>3.4</v>
      </c>
      <c r="G896" s="23" t="b">
        <f>if(countif(Status!C:C,A896)=1,TRUE, FALSE)</f>
        <v>1</v>
      </c>
      <c r="H896" s="23" t="str">
        <f>'3.4.raw'!AD896</f>
        <v/>
      </c>
    </row>
    <row r="897">
      <c r="A897" s="23" t="str">
        <f>'3.4.raw'!L897</f>
        <v>FPa2004</v>
      </c>
      <c r="B897" s="23" t="str">
        <f>'3.4.raw'!M897</f>
        <v>FPa2004</v>
      </c>
      <c r="C897" s="24">
        <f>'3.4.raw'!T897</f>
        <v>43889</v>
      </c>
      <c r="D897" s="23">
        <f>'3.4.raw'!I897</f>
        <v>14</v>
      </c>
      <c r="E897" s="1">
        <v>3.4</v>
      </c>
      <c r="G897" s="23" t="b">
        <f>if(countif(Status!C:C,A897)=1,TRUE, FALSE)</f>
        <v>1</v>
      </c>
      <c r="H897" s="23" t="str">
        <f>'3.4.raw'!AD897</f>
        <v/>
      </c>
    </row>
    <row r="898">
      <c r="A898" s="23" t="str">
        <f>'3.4.raw'!L898</f>
        <v>FPc2004</v>
      </c>
      <c r="B898" s="23" t="str">
        <f>'3.4.raw'!M898</f>
        <v>FPc2004</v>
      </c>
      <c r="C898" s="24">
        <f>'3.4.raw'!T898</f>
        <v>43889</v>
      </c>
      <c r="D898" s="23">
        <f>'3.4.raw'!I898</f>
        <v>14</v>
      </c>
      <c r="E898" s="1">
        <v>3.4</v>
      </c>
      <c r="G898" s="23" t="b">
        <f>if(countif(Status!C:C,A898)=1,TRUE, FALSE)</f>
        <v>1</v>
      </c>
      <c r="H898" s="23" t="str">
        <f>'3.4.raw'!AD898</f>
        <v/>
      </c>
    </row>
    <row r="899">
      <c r="A899" s="23" t="str">
        <f>'3.4.raw'!L899</f>
        <v>PLc1024</v>
      </c>
      <c r="B899" s="23" t="str">
        <f>'3.4.raw'!M899</f>
        <v>PLc1024</v>
      </c>
      <c r="C899" s="24">
        <f>'3.4.raw'!T899</f>
        <v>43889</v>
      </c>
      <c r="D899" s="23">
        <f>'3.4.raw'!I899</f>
        <v>11</v>
      </c>
      <c r="E899" s="1">
        <v>3.4</v>
      </c>
      <c r="G899" s="23" t="b">
        <f>if(countif(Status!C:C,A899)=1,TRUE, FALSE)</f>
        <v>1</v>
      </c>
      <c r="H899" s="23" t="str">
        <f>'3.4.raw'!AD899</f>
        <v/>
      </c>
    </row>
    <row r="900">
      <c r="A900" s="23" t="str">
        <f>'3.4.raw'!L900</f>
        <v>PLc1205</v>
      </c>
      <c r="B900" s="23" t="str">
        <f>'3.4.raw'!M900</f>
        <v>PLc1205</v>
      </c>
      <c r="C900" s="24">
        <f>'3.4.raw'!T900</f>
        <v>43889</v>
      </c>
      <c r="D900" s="23">
        <f>'3.4.raw'!I900</f>
        <v>11</v>
      </c>
      <c r="E900" s="1">
        <v>3.4</v>
      </c>
      <c r="G900" s="23" t="b">
        <f>if(countif(Status!C:C,A900)=1,TRUE, FALSE)</f>
        <v>1</v>
      </c>
      <c r="H900" s="23" t="str">
        <f>'3.4.raw'!AD900</f>
        <v/>
      </c>
    </row>
    <row r="901">
      <c r="A901" s="23" t="str">
        <f>'3.4.raw'!L901</f>
        <v>PLc1206</v>
      </c>
      <c r="B901" s="23" t="str">
        <f>'3.4.raw'!M901</f>
        <v>PLc1206</v>
      </c>
      <c r="C901" s="24">
        <f>'3.4.raw'!T901</f>
        <v>43889</v>
      </c>
      <c r="D901" s="23">
        <f>'3.4.raw'!I901</f>
        <v>11</v>
      </c>
      <c r="E901" s="1">
        <v>3.4</v>
      </c>
      <c r="G901" s="23" t="b">
        <f>if(countif(Status!C:C,A901)=1,TRUE, FALSE)</f>
        <v>1</v>
      </c>
      <c r="H901" s="23" t="str">
        <f>'3.4.raw'!AD901</f>
        <v/>
      </c>
    </row>
    <row r="902">
      <c r="A902" s="23" t="str">
        <f>'3.4.raw'!L902</f>
        <v>MO1188</v>
      </c>
      <c r="B902" s="23" t="str">
        <f>'3.4.raw'!M902</f>
        <v>MO1188</v>
      </c>
      <c r="C902" s="24">
        <f>'3.4.raw'!T902</f>
        <v>43889</v>
      </c>
      <c r="D902" s="23">
        <f>'3.4.raw'!I902</f>
        <v>12</v>
      </c>
      <c r="E902" s="1">
        <v>3.4</v>
      </c>
      <c r="G902" s="23" t="b">
        <f>if(countif(Status!C:C,A902)=1,TRUE, FALSE)</f>
        <v>1</v>
      </c>
      <c r="H902" s="23" t="str">
        <f>'3.4.raw'!AD902</f>
        <v/>
      </c>
    </row>
    <row r="903">
      <c r="A903" s="23" t="str">
        <f>'3.4.raw'!L903</f>
        <v>MO1189</v>
      </c>
      <c r="B903" s="23" t="str">
        <f>'3.4.raw'!M903</f>
        <v>MO1189</v>
      </c>
      <c r="C903" s="24">
        <f>'3.4.raw'!T903</f>
        <v>43889</v>
      </c>
      <c r="D903" s="23">
        <f>'3.4.raw'!I903</f>
        <v>12</v>
      </c>
      <c r="E903" s="1">
        <v>3.4</v>
      </c>
      <c r="G903" s="23" t="b">
        <f>if(countif(Status!C:C,A903)=1,TRUE, FALSE)</f>
        <v>1</v>
      </c>
      <c r="H903" s="23" t="str">
        <f>'3.4.raw'!AD903</f>
        <v/>
      </c>
    </row>
    <row r="904">
      <c r="A904" s="23" t="str">
        <f>'3.4.raw'!L904</f>
        <v>MO1190</v>
      </c>
      <c r="B904" s="23" t="str">
        <f>'3.4.raw'!M904</f>
        <v>MO1190</v>
      </c>
      <c r="C904" s="24">
        <f>'3.4.raw'!T904</f>
        <v>43889</v>
      </c>
      <c r="D904" s="23">
        <f>'3.4.raw'!I904</f>
        <v>12</v>
      </c>
      <c r="E904" s="1">
        <v>3.4</v>
      </c>
      <c r="G904" s="23" t="b">
        <f>if(countif(Status!C:C,A904)=1,TRUE, FALSE)</f>
        <v>1</v>
      </c>
      <c r="H904" s="23" t="str">
        <f>'3.4.raw'!AD904</f>
        <v/>
      </c>
    </row>
    <row r="905">
      <c r="A905" s="23" t="str">
        <f>'3.4.raw'!L905</f>
        <v>MO1191</v>
      </c>
      <c r="B905" s="23" t="str">
        <f>'3.4.raw'!M905</f>
        <v>MO1191</v>
      </c>
      <c r="C905" s="24">
        <f>'3.4.raw'!T905</f>
        <v>43889</v>
      </c>
      <c r="D905" s="23">
        <f>'3.4.raw'!I905</f>
        <v>12</v>
      </c>
      <c r="E905" s="1">
        <v>3.4</v>
      </c>
      <c r="G905" s="23" t="b">
        <f>if(countif(Status!C:C,A905)=1,TRUE, FALSE)</f>
        <v>1</v>
      </c>
      <c r="H905" s="23" t="str">
        <f>'3.4.raw'!AD905</f>
        <v/>
      </c>
    </row>
    <row r="906">
      <c r="A906" s="23" t="str">
        <f>'3.4.raw'!L906</f>
        <v>MO1192</v>
      </c>
      <c r="B906" s="23" t="str">
        <f>'3.4.raw'!M906</f>
        <v>MO1192</v>
      </c>
      <c r="C906" s="24">
        <f>'3.4.raw'!T906</f>
        <v>43889</v>
      </c>
      <c r="D906" s="23">
        <f>'3.4.raw'!I906</f>
        <v>12</v>
      </c>
      <c r="E906" s="1">
        <v>3.4</v>
      </c>
      <c r="G906" s="23" t="b">
        <f>if(countif(Status!C:C,A906)=1,TRUE, FALSE)</f>
        <v>1</v>
      </c>
      <c r="H906" s="23" t="str">
        <f>'3.4.raw'!AD906</f>
        <v/>
      </c>
    </row>
    <row r="907">
      <c r="A907" s="23" t="str">
        <f>'3.4.raw'!L907</f>
        <v>FB1361</v>
      </c>
      <c r="B907" s="23" t="str">
        <f>'3.4.raw'!M907</f>
        <v>FB1361</v>
      </c>
      <c r="C907" s="24">
        <f>'3.4.raw'!T907</f>
        <v>43889</v>
      </c>
      <c r="D907" s="23">
        <f>'3.4.raw'!I907</f>
        <v>99</v>
      </c>
      <c r="E907" s="1">
        <v>3.4</v>
      </c>
      <c r="G907" s="23" t="b">
        <f>if(countif(Status!C:C,A907)=1,TRUE, FALSE)</f>
        <v>1</v>
      </c>
      <c r="H907" s="23" t="str">
        <f>'3.4.raw'!AD907</f>
        <v>Associated sample MO1189</v>
      </c>
    </row>
    <row r="908">
      <c r="A908" s="23" t="str">
        <f>'3.4.raw'!L908</f>
        <v>EC53</v>
      </c>
      <c r="B908" s="23" t="str">
        <f>'3.4.raw'!M908</f>
        <v>EC53</v>
      </c>
      <c r="C908" s="24">
        <f>'3.4.raw'!T908</f>
        <v>43889</v>
      </c>
      <c r="D908" s="23">
        <f>'3.4.raw'!I908</f>
        <v>98</v>
      </c>
      <c r="E908" s="1">
        <v>3.4</v>
      </c>
      <c r="G908" s="23" t="b">
        <f>if(countif(Status!C:C,A908)=1,TRUE, FALSE)</f>
        <v>1</v>
      </c>
      <c r="H908" s="23" t="str">
        <f>'3.4.raw'!AD908</f>
        <v/>
      </c>
    </row>
    <row r="909">
      <c r="A909" s="23" t="str">
        <f>'3.4.raw'!L909</f>
        <v>PLc1207</v>
      </c>
      <c r="B909" s="23" t="str">
        <f>'3.4.raw'!M909</f>
        <v>PLc1207</v>
      </c>
      <c r="C909" s="24">
        <f>'3.4.raw'!T909</f>
        <v>43889</v>
      </c>
      <c r="D909" s="23">
        <f>'3.4.raw'!I909</f>
        <v>11</v>
      </c>
      <c r="E909" s="1">
        <v>3.4</v>
      </c>
      <c r="G909" s="23" t="b">
        <f>if(countif(Status!C:C,A909)=1,TRUE, FALSE)</f>
        <v>1</v>
      </c>
      <c r="H909" s="23" t="str">
        <f>'3.4.raw'!AD909</f>
        <v/>
      </c>
    </row>
    <row r="910">
      <c r="A910" s="23" t="str">
        <f>'3.4.raw'!L910</f>
        <v>PLc1208</v>
      </c>
      <c r="B910" s="23" t="str">
        <f>'3.4.raw'!M910</f>
        <v>PLc1208</v>
      </c>
      <c r="C910" s="24">
        <f>'3.4.raw'!T910</f>
        <v>43889</v>
      </c>
      <c r="D910" s="23">
        <f>'3.4.raw'!I910</f>
        <v>11</v>
      </c>
      <c r="E910" s="1">
        <v>3.4</v>
      </c>
      <c r="G910" s="23" t="b">
        <f>if(countif(Status!C:C,A910)=1,TRUE, FALSE)</f>
        <v>1</v>
      </c>
      <c r="H910" s="23" t="str">
        <f>'3.4.raw'!AD910</f>
        <v/>
      </c>
    </row>
    <row r="911">
      <c r="A911" s="23" t="str">
        <f>'3.4.raw'!L911</f>
        <v>PLc1209</v>
      </c>
      <c r="B911" s="23" t="str">
        <f>'3.4.raw'!M911</f>
        <v>PLc1209</v>
      </c>
      <c r="C911" s="24">
        <f>'3.4.raw'!T911</f>
        <v>43889</v>
      </c>
      <c r="D911" s="23">
        <f>'3.4.raw'!I911</f>
        <v>11</v>
      </c>
      <c r="E911" s="1">
        <v>3.4</v>
      </c>
      <c r="G911" s="23" t="b">
        <f>if(countif(Status!C:C,A911)=1,TRUE, FALSE)</f>
        <v>1</v>
      </c>
      <c r="H911" s="23" t="str">
        <f>'3.4.raw'!AD911</f>
        <v/>
      </c>
    </row>
    <row r="912">
      <c r="A912" s="23" t="str">
        <f>'3.4.raw'!L912</f>
        <v>PLc1210</v>
      </c>
      <c r="B912" s="23" t="str">
        <f>'3.4.raw'!M912</f>
        <v>PLc1210</v>
      </c>
      <c r="C912" s="24">
        <f>'3.4.raw'!T912</f>
        <v>43889</v>
      </c>
      <c r="D912" s="23">
        <f>'3.4.raw'!I912</f>
        <v>11</v>
      </c>
      <c r="E912" s="1">
        <v>3.4</v>
      </c>
      <c r="G912" s="23" t="b">
        <f>if(countif(Status!C:C,A912)=1,TRUE, FALSE)</f>
        <v>1</v>
      </c>
      <c r="H912" s="23" t="str">
        <f>'3.4.raw'!AD912</f>
        <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1273</v>
      </c>
      <c r="B1" s="1" t="s">
        <v>1274</v>
      </c>
      <c r="C1" s="1" t="s">
        <v>96</v>
      </c>
      <c r="D1" s="50" t="s">
        <v>1543</v>
      </c>
      <c r="E1" s="1" t="s">
        <v>370</v>
      </c>
      <c r="F1" s="1" t="s">
        <v>372</v>
      </c>
      <c r="H1" s="1" t="s">
        <v>46</v>
      </c>
      <c r="I1" s="1" t="s">
        <v>1278</v>
      </c>
    </row>
    <row r="2">
      <c r="A2" s="49" t="s">
        <v>53</v>
      </c>
      <c r="B2" s="23" t="str">
        <f>'3.5.raw'!I2</f>
        <v>PL 1001</v>
      </c>
      <c r="C2" s="24">
        <f>datevalue(left('3.5.raw'!K2,10))</f>
        <v>43586</v>
      </c>
      <c r="D2" s="23" t="str">
        <f>'3.5.raw'!H2</f>
        <v>11</v>
      </c>
      <c r="E2" s="1">
        <v>3.5</v>
      </c>
      <c r="F2" s="23" t="b">
        <f>if(countif(Status!C:C,A2)=1,TRUE, FALSE)</f>
        <v>0</v>
      </c>
      <c r="H2" s="23" t="str">
        <f>IFERROR(__xludf.DUMMYFUNCTION("IFs(REGEXMATCH(I2, ""NOT""), 0, REGEXMATCH(I2, ""NO""), 0, REGEXMATCH(I2, ""TURBID""),1, COUNTBLANK(I2),"""", istext(I2),"""")"),"")</f>
        <v/>
      </c>
      <c r="I2" s="23" t="str">
        <f>'3.5.raw'!R2</f>
        <v>2 filter papers were used for  20 ml (10 ml for each filter paer) of the sample, Lab operator was Soma.</v>
      </c>
    </row>
    <row r="3">
      <c r="A3" s="23" t="str">
        <f t="shared" ref="A3:A192" si="1">SUBSTITUTE(B3, " ", "")</f>
        <v>MO1001</v>
      </c>
      <c r="B3" s="23" t="str">
        <f>'3.5.raw'!I3</f>
        <v>MO 1001</v>
      </c>
      <c r="C3" s="24">
        <f>datevalue(left('3.5.raw'!K3,10))</f>
        <v>43587</v>
      </c>
      <c r="D3" s="23" t="str">
        <f>'3.5.raw'!H3</f>
        <v>12</v>
      </c>
      <c r="E3" s="1">
        <v>3.5</v>
      </c>
      <c r="F3" s="23" t="b">
        <f>if(countif(Status!C:C,A3)=1,TRUE, FALSE)</f>
        <v>0</v>
      </c>
      <c r="H3" s="23" t="str">
        <f>IFERROR(__xludf.DUMMYFUNCTION("IFs(REGEXMATCH(I3, ""NOT""), 0, REGEXMATCH(I3, ""NO""), 0, REGEXMATCH(I3, ""TURBID""),1, COUNTBLANK(I3),"""", istext(I3),"""")"),"")</f>
        <v/>
      </c>
      <c r="I3" s="23" t="str">
        <f>'3.5.raw'!R3</f>
        <v/>
      </c>
    </row>
    <row r="4">
      <c r="A4" s="23" t="str">
        <f t="shared" si="1"/>
        <v>MO1002</v>
      </c>
      <c r="B4" s="23" t="str">
        <f>'3.5.raw'!I4</f>
        <v>MO 1002</v>
      </c>
      <c r="C4" s="24">
        <f>datevalue(left('3.5.raw'!K4,10))</f>
        <v>43587</v>
      </c>
      <c r="D4" s="23" t="str">
        <f>'3.5.raw'!H4</f>
        <v>12</v>
      </c>
      <c r="E4" s="1">
        <v>3.5</v>
      </c>
      <c r="F4" s="23" t="b">
        <f>if(countif(Status!C:C,A4)=1,TRUE, FALSE)</f>
        <v>0</v>
      </c>
      <c r="H4" s="23" t="str">
        <f>IFERROR(__xludf.DUMMYFUNCTION("IFs(REGEXMATCH(I4, ""NOT""), 0, REGEXMATCH(I4, ""NO""), 0, REGEXMATCH(I4, ""TURBID""),1, COUNTBLANK(I4),"""", istext(I4),"""")"),"")</f>
        <v/>
      </c>
      <c r="I4" s="23" t="str">
        <f>'3.5.raw'!R4</f>
        <v/>
      </c>
    </row>
    <row r="5">
      <c r="A5" s="23" t="str">
        <f t="shared" si="1"/>
        <v>PL2001</v>
      </c>
      <c r="B5" s="23" t="str">
        <f>'3.5.raw'!I5</f>
        <v>PL2001</v>
      </c>
      <c r="C5" s="24">
        <f>datevalue(left('3.5.raw'!K5,10))</f>
        <v>43591</v>
      </c>
      <c r="D5" s="23" t="str">
        <f>'3.5.raw'!H5</f>
        <v>11</v>
      </c>
      <c r="E5" s="1">
        <v>3.5</v>
      </c>
      <c r="F5" s="23" t="b">
        <f>if(countif(Status!C:C,A5)=1,TRUE, FALSE)</f>
        <v>0</v>
      </c>
      <c r="H5" s="23" t="str">
        <f>IFERROR(__xludf.DUMMYFUNCTION("IFs(REGEXMATCH(I5, ""NOT""), 0, REGEXMATCH(I5, ""NO""), 0, REGEXMATCH(I5, ""TURBID""),1, COUNTBLANK(I5),"""", istext(I5),"""")"),"")</f>
        <v/>
      </c>
      <c r="I5" s="23" t="str">
        <f>'3.5.raw'!R5</f>
        <v/>
      </c>
    </row>
    <row r="6">
      <c r="A6" s="23" t="str">
        <f t="shared" si="1"/>
        <v>MO1003</v>
      </c>
      <c r="B6" s="23" t="str">
        <f>'3.5.raw'!I6</f>
        <v>MO1003</v>
      </c>
      <c r="C6" s="24">
        <f>datevalue(left('3.5.raw'!K6,10))</f>
        <v>43592</v>
      </c>
      <c r="D6" s="23" t="str">
        <f>'3.5.raw'!H6</f>
        <v>12</v>
      </c>
      <c r="E6" s="1">
        <v>3.5</v>
      </c>
      <c r="F6" s="23" t="b">
        <f>if(countif(Status!C:C,A6)=1,TRUE, FALSE)</f>
        <v>1</v>
      </c>
      <c r="H6" s="23" t="str">
        <f>IFERROR(__xludf.DUMMYFUNCTION("IFs(REGEXMATCH(I6, ""NOT""), 0, REGEXMATCH(I6, ""NO""), 0, REGEXMATCH(I6, ""TURBID""),1, COUNTBLANK(I6),"""", istext(I6),"""")"),"")</f>
        <v/>
      </c>
      <c r="I6" s="23" t="str">
        <f>'3.5.raw'!R6</f>
        <v/>
      </c>
    </row>
    <row r="7">
      <c r="A7" s="23" t="str">
        <f t="shared" si="1"/>
        <v>MO1004</v>
      </c>
      <c r="B7" s="23" t="str">
        <f>'3.5.raw'!I7</f>
        <v>MO1004</v>
      </c>
      <c r="C7" s="24">
        <f>datevalue(left('3.5.raw'!K7,10))</f>
        <v>43592</v>
      </c>
      <c r="D7" s="23" t="str">
        <f>'3.5.raw'!H7</f>
        <v>12</v>
      </c>
      <c r="E7" s="1">
        <v>3.5</v>
      </c>
      <c r="F7" s="23" t="b">
        <f>if(countif(Status!C:C,A7)=1,TRUE, FALSE)</f>
        <v>1</v>
      </c>
      <c r="H7" s="23" t="str">
        <f>IFERROR(__xludf.DUMMYFUNCTION("IFs(REGEXMATCH(I7, ""NOT""), 0, REGEXMATCH(I7, ""NO""), 0, REGEXMATCH(I7, ""TURBID""),1, COUNTBLANK(I7),"""", istext(I7),"""")"),"")</f>
        <v/>
      </c>
      <c r="I7" s="23" t="str">
        <f>'3.5.raw'!R7</f>
        <v/>
      </c>
    </row>
    <row r="8">
      <c r="A8" s="23" t="str">
        <f t="shared" si="1"/>
        <v>PL2002</v>
      </c>
      <c r="B8" s="23" t="str">
        <f>'3.5.raw'!I8</f>
        <v>PL2002</v>
      </c>
      <c r="C8" s="24">
        <f>datevalue(left('3.5.raw'!K8,10))</f>
        <v>43593</v>
      </c>
      <c r="D8" s="23" t="str">
        <f>'3.5.raw'!H8</f>
        <v>11</v>
      </c>
      <c r="E8" s="1">
        <v>3.5</v>
      </c>
      <c r="F8" s="23" t="b">
        <f>if(countif(Status!C:C,A8)=1,TRUE, FALSE)</f>
        <v>0</v>
      </c>
      <c r="H8" s="23" t="str">
        <f>IFERROR(__xludf.DUMMYFUNCTION("IFs(REGEXMATCH(I8, ""NOT""), 0, REGEXMATCH(I8, ""NO""), 0, REGEXMATCH(I8, ""TURBID""),1, COUNTBLANK(I8),"""", istext(I8),"""")"),"")</f>
        <v/>
      </c>
      <c r="I8" s="23" t="str">
        <f>'3.5.raw'!R8</f>
        <v/>
      </c>
    </row>
    <row r="9">
      <c r="A9" s="23" t="str">
        <f t="shared" si="1"/>
        <v>SF2001old</v>
      </c>
      <c r="B9" s="23" t="str">
        <f>'3.5.raw'!I9</f>
        <v>SF2001old</v>
      </c>
      <c r="C9" s="24">
        <f>datevalue(left('3.5.raw'!K9,10))</f>
        <v>43592</v>
      </c>
      <c r="D9" s="23" t="str">
        <f>'3.5.raw'!H9</f>
        <v>10</v>
      </c>
      <c r="E9" s="1">
        <v>3.5</v>
      </c>
      <c r="F9" s="23" t="b">
        <f>if(countif(Status!C:C,A9)=1,TRUE, FALSE)</f>
        <v>1</v>
      </c>
      <c r="H9" s="23" t="str">
        <f>IFERROR(__xludf.DUMMYFUNCTION("IFs(REGEXMATCH(I9, ""NOT""), 0, REGEXMATCH(I9, ""NO""), 0, REGEXMATCH(I9, ""TURBID""),1, COUNTBLANK(I9),"""", istext(I9),"""")"),"")</f>
        <v/>
      </c>
      <c r="I9" s="23" t="str">
        <f>'3.5.raw'!R9</f>
        <v/>
      </c>
    </row>
    <row r="10">
      <c r="A10" s="23" t="str">
        <f t="shared" si="1"/>
        <v>MO1005</v>
      </c>
      <c r="B10" s="23" t="str">
        <f>'3.5.raw'!I10</f>
        <v>MO1005</v>
      </c>
      <c r="C10" s="24">
        <f>datevalue(left('3.5.raw'!K10,10))</f>
        <v>43594</v>
      </c>
      <c r="D10" s="23" t="str">
        <f>'3.5.raw'!H10</f>
        <v>12</v>
      </c>
      <c r="E10" s="1">
        <v>3.5</v>
      </c>
      <c r="F10" s="23" t="b">
        <f>if(countif(Status!C:C,A10)=1,TRUE, FALSE)</f>
        <v>1</v>
      </c>
      <c r="H10" s="23" t="str">
        <f>IFERROR(__xludf.DUMMYFUNCTION("IFs(REGEXMATCH(I10, ""NOT""), 0, REGEXMATCH(I10, ""NO""), 0, REGEXMATCH(I10, ""TURBID""),1, COUNTBLANK(I10),"""", istext(I10),"""")"),"")</f>
        <v/>
      </c>
      <c r="I10" s="23" t="str">
        <f>'3.5.raw'!R10</f>
        <v/>
      </c>
    </row>
    <row r="11">
      <c r="A11" s="23" t="str">
        <f t="shared" si="1"/>
        <v>MO1006</v>
      </c>
      <c r="B11" s="23" t="str">
        <f>'3.5.raw'!I11</f>
        <v>MO1006</v>
      </c>
      <c r="C11" s="24">
        <f>datevalue(left('3.5.raw'!K11,10))</f>
        <v>43594</v>
      </c>
      <c r="D11" s="23" t="str">
        <f>'3.5.raw'!H11</f>
        <v>12</v>
      </c>
      <c r="E11" s="1">
        <v>3.5</v>
      </c>
      <c r="F11" s="23" t="b">
        <f>if(countif(Status!C:C,A11)=1,TRUE, FALSE)</f>
        <v>1</v>
      </c>
      <c r="H11" s="23" t="str">
        <f>IFERROR(__xludf.DUMMYFUNCTION("IFs(REGEXMATCH(I11, ""NOT""), 0, REGEXMATCH(I11, ""NO""), 0, REGEXMATCH(I11, ""TURBID""),1, COUNTBLANK(I11),"""", istext(I11),"""")"),"")</f>
        <v/>
      </c>
      <c r="I11" s="23" t="str">
        <f>'3.5.raw'!R11</f>
        <v/>
      </c>
    </row>
    <row r="12">
      <c r="A12" s="23" t="str">
        <f t="shared" si="1"/>
        <v>PL2003</v>
      </c>
      <c r="B12" s="23" t="str">
        <f>'3.5.raw'!I12</f>
        <v>PL2003</v>
      </c>
      <c r="C12" s="24">
        <f>datevalue(left('3.5.raw'!K12,10))</f>
        <v>43598</v>
      </c>
      <c r="D12" s="23" t="str">
        <f>'3.5.raw'!H12</f>
        <v>11</v>
      </c>
      <c r="E12" s="1">
        <v>3.5</v>
      </c>
      <c r="F12" s="23" t="b">
        <f>if(countif(Status!C:C,A12)=1,TRUE, FALSE)</f>
        <v>0</v>
      </c>
      <c r="H12" s="23" t="str">
        <f>IFERROR(__xludf.DUMMYFUNCTION("IFs(REGEXMATCH(I12, ""NOT""), 0, REGEXMATCH(I12, ""NO""), 0, REGEXMATCH(I12, ""TURBID""),1, COUNTBLANK(I12),"""", istext(I12),"""")"),"")</f>
        <v/>
      </c>
      <c r="I12" s="23" t="str">
        <f>'3.5.raw'!R12</f>
        <v/>
      </c>
    </row>
    <row r="13">
      <c r="A13" s="23" t="str">
        <f t="shared" si="1"/>
        <v>MO1008</v>
      </c>
      <c r="B13" s="23" t="str">
        <f>'3.5.raw'!I13</f>
        <v>MO1008</v>
      </c>
      <c r="C13" s="24">
        <f>datevalue(left('3.5.raw'!K13,10))</f>
        <v>43599</v>
      </c>
      <c r="D13" s="23" t="str">
        <f>'3.5.raw'!H13</f>
        <v>12</v>
      </c>
      <c r="E13" s="1">
        <v>3.5</v>
      </c>
      <c r="F13" s="23" t="b">
        <f>if(countif(Status!C:C,A13)=1,TRUE, FALSE)</f>
        <v>1</v>
      </c>
      <c r="H13" s="23" t="str">
        <f>IFERROR(__xludf.DUMMYFUNCTION("IFs(REGEXMATCH(I13, ""NOT""), 0, REGEXMATCH(I13, ""NO""), 0, REGEXMATCH(I13, ""TURBID""),1, COUNTBLANK(I13),"""", istext(I13),"""")"),"")</f>
        <v/>
      </c>
      <c r="I13" s="23" t="str">
        <f>'3.5.raw'!R13</f>
        <v/>
      </c>
    </row>
    <row r="14">
      <c r="A14" s="23" t="str">
        <f t="shared" si="1"/>
        <v>SF1005</v>
      </c>
      <c r="B14" s="23" t="str">
        <f>'3.5.raw'!I14</f>
        <v>SF1005</v>
      </c>
      <c r="C14" s="24">
        <f>datevalue(left('3.5.raw'!K14,10))</f>
        <v>43613</v>
      </c>
      <c r="D14" s="23" t="str">
        <f>'3.5.raw'!H14</f>
        <v>10</v>
      </c>
      <c r="E14" s="1">
        <v>3.5</v>
      </c>
      <c r="F14" s="23" t="b">
        <f>if(countif(Status!C:C,A14)=1,TRUE, FALSE)</f>
        <v>1</v>
      </c>
      <c r="H14" s="23" t="str">
        <f>IFERROR(__xludf.DUMMYFUNCTION("IFs(REGEXMATCH(I14, ""NOT""), 0, REGEXMATCH(I14, ""NO""), 0, REGEXMATCH(I14, ""TURBID""),1, COUNTBLANK(I14),"""", istext(I14),"""")"),"")</f>
        <v/>
      </c>
      <c r="I14" s="23" t="str">
        <f>'3.5.raw'!R14</f>
        <v/>
      </c>
    </row>
    <row r="15">
      <c r="A15" s="23" t="str">
        <f t="shared" si="1"/>
        <v>PL1007</v>
      </c>
      <c r="B15" s="23" t="str">
        <f>'3.5.raw'!I15</f>
        <v>PL1007</v>
      </c>
      <c r="C15" s="24">
        <f>datevalue(left('3.5.raw'!K15,10))</f>
        <v>43626</v>
      </c>
      <c r="D15" s="23" t="str">
        <f>'3.5.raw'!H15</f>
        <v>11</v>
      </c>
      <c r="E15" s="1">
        <v>3.5</v>
      </c>
      <c r="F15" s="23" t="b">
        <f>if(countif(Status!C:C,A15)=1,TRUE, FALSE)</f>
        <v>1</v>
      </c>
      <c r="H15" s="23" t="str">
        <f>IFERROR(__xludf.DUMMYFUNCTION("IFs(REGEXMATCH(I15, ""NOT""), 0, REGEXMATCH(I15, ""NO""), 0, REGEXMATCH(I15, ""TURBID""),1, COUNTBLANK(I15),"""", istext(I15),"""")"),"")</f>
        <v/>
      </c>
      <c r="I15" s="23" t="str">
        <f>'3.5.raw'!R15</f>
        <v/>
      </c>
    </row>
    <row r="16">
      <c r="A16" s="23" t="str">
        <f t="shared" si="1"/>
        <v>PLc1007</v>
      </c>
      <c r="B16" s="23" t="str">
        <f>'3.5.raw'!I16</f>
        <v>PLc1007</v>
      </c>
      <c r="C16" s="24">
        <f>datevalue(left('3.5.raw'!K16,10))</f>
        <v>43626</v>
      </c>
      <c r="D16" s="23" t="str">
        <f>'3.5.raw'!H16</f>
        <v>11</v>
      </c>
      <c r="E16" s="1">
        <v>3.5</v>
      </c>
      <c r="F16" s="23" t="b">
        <f>if(countif(Status!C:C,A16)=1,TRUE, FALSE)</f>
        <v>1</v>
      </c>
      <c r="H16" s="23" t="str">
        <f>IFERROR(__xludf.DUMMYFUNCTION("IFs(REGEXMATCH(I16, ""NOT""), 0, REGEXMATCH(I16, ""NO""), 0, REGEXMATCH(I16, ""TURBID""),1, COUNTBLANK(I16),"""", istext(I16),"""")"),"")</f>
        <v/>
      </c>
      <c r="I16" s="23" t="str">
        <f>'3.5.raw'!R16</f>
        <v/>
      </c>
    </row>
    <row r="17">
      <c r="A17" s="23" t="str">
        <f t="shared" si="1"/>
        <v>MO1035</v>
      </c>
      <c r="B17" s="23" t="str">
        <f>'3.5.raw'!I17</f>
        <v>MO1035</v>
      </c>
      <c r="C17" s="24">
        <f>datevalue(left('3.5.raw'!K17,10))</f>
        <v>43641</v>
      </c>
      <c r="D17" s="23" t="str">
        <f>'3.5.raw'!H17</f>
        <v>12</v>
      </c>
      <c r="E17" s="1">
        <v>3.5</v>
      </c>
      <c r="F17" s="23" t="b">
        <f>if(countif(Status!C:C,A17)=1,TRUE, FALSE)</f>
        <v>1</v>
      </c>
      <c r="H17" s="23" t="str">
        <f>IFERROR(__xludf.DUMMYFUNCTION("IFs(REGEXMATCH(I17, ""NOT""), 0, REGEXMATCH(I17, ""NO""), 0, REGEXMATCH(I17, ""TURBID""),1, COUNTBLANK(I17),"""", istext(I17),"""")"),"")</f>
        <v/>
      </c>
      <c r="I17" s="23" t="str">
        <f>'3.5.raw'!R17</f>
        <v/>
      </c>
    </row>
    <row r="18">
      <c r="A18" s="23" t="str">
        <f t="shared" si="1"/>
        <v>MO1036</v>
      </c>
      <c r="B18" s="23" t="str">
        <f>'3.5.raw'!I18</f>
        <v>MO1036</v>
      </c>
      <c r="C18" s="24">
        <f>datevalue(left('3.5.raw'!K18,10))</f>
        <v>43641</v>
      </c>
      <c r="D18" s="23" t="str">
        <f>'3.5.raw'!H18</f>
        <v>12</v>
      </c>
      <c r="E18" s="1">
        <v>3.5</v>
      </c>
      <c r="F18" s="23" t="b">
        <f>if(countif(Status!C:C,A18)=1,TRUE, FALSE)</f>
        <v>1</v>
      </c>
      <c r="H18" s="23" t="str">
        <f>IFERROR(__xludf.DUMMYFUNCTION("IFs(REGEXMATCH(I18, ""NOT""), 0, REGEXMATCH(I18, ""NO""), 0, REGEXMATCH(I18, ""TURBID""),1, COUNTBLANK(I18),"""", istext(I18),"""")"),"")</f>
        <v/>
      </c>
      <c r="I18" s="23" t="str">
        <f>'3.5.raw'!R18</f>
        <v/>
      </c>
    </row>
    <row r="19">
      <c r="A19" s="23" t="str">
        <f t="shared" si="1"/>
        <v>MO1037</v>
      </c>
      <c r="B19" s="23" t="str">
        <f>'3.5.raw'!I19</f>
        <v>MO1037</v>
      </c>
      <c r="C19" s="24">
        <f>datevalue(left('3.5.raw'!K19,10))</f>
        <v>43641</v>
      </c>
      <c r="D19" s="23" t="str">
        <f>'3.5.raw'!H19</f>
        <v>12</v>
      </c>
      <c r="E19" s="1">
        <v>3.5</v>
      </c>
      <c r="F19" s="23" t="b">
        <f>if(countif(Status!C:C,A19)=1,TRUE, FALSE)</f>
        <v>1</v>
      </c>
      <c r="H19" s="23" t="str">
        <f>IFERROR(__xludf.DUMMYFUNCTION("IFs(REGEXMATCH(I19, ""NOT""), 0, REGEXMATCH(I19, ""NO""), 0, REGEXMATCH(I19, ""TURBID""),1, COUNTBLANK(I19),"""", istext(I19),"""")"),"")</f>
        <v/>
      </c>
      <c r="I19" s="23" t="str">
        <f>'3.5.raw'!R19</f>
        <v/>
      </c>
    </row>
    <row r="20">
      <c r="A20" s="23" t="str">
        <f t="shared" si="1"/>
        <v>MO1038</v>
      </c>
      <c r="B20" s="23" t="str">
        <f>'3.5.raw'!I20</f>
        <v>MO1038</v>
      </c>
      <c r="C20" s="24">
        <f>datevalue(left('3.5.raw'!K20,10))</f>
        <v>43641</v>
      </c>
      <c r="D20" s="23" t="str">
        <f>'3.5.raw'!H20</f>
        <v>12</v>
      </c>
      <c r="E20" s="1">
        <v>3.5</v>
      </c>
      <c r="F20" s="23" t="b">
        <f>if(countif(Status!C:C,A20)=1,TRUE, FALSE)</f>
        <v>1</v>
      </c>
      <c r="H20" s="23" t="str">
        <f>IFERROR(__xludf.DUMMYFUNCTION("IFs(REGEXMATCH(I20, ""NOT""), 0, REGEXMATCH(I20, ""NO""), 0, REGEXMATCH(I20, ""TURBID""),1, COUNTBLANK(I20),"""", istext(I20),"""")"),"")</f>
        <v/>
      </c>
      <c r="I20" s="23" t="str">
        <f>'3.5.raw'!R20</f>
        <v/>
      </c>
    </row>
    <row r="21">
      <c r="A21" s="23" t="str">
        <f t="shared" si="1"/>
        <v>MO1020</v>
      </c>
      <c r="B21" s="23" t="str">
        <f>'3.5.raw'!I21</f>
        <v>MO1020</v>
      </c>
      <c r="C21" s="24">
        <f>datevalue(left('3.5.raw'!K21,10))</f>
        <v>43627</v>
      </c>
      <c r="D21" s="23" t="str">
        <f>'3.5.raw'!H21</f>
        <v>12</v>
      </c>
      <c r="E21" s="1">
        <v>3.5</v>
      </c>
      <c r="F21" s="23" t="b">
        <f>if(countif(Status!C:C,A21)=1,TRUE, FALSE)</f>
        <v>1</v>
      </c>
      <c r="H21" s="23" t="str">
        <f>IFERROR(__xludf.DUMMYFUNCTION("IFs(REGEXMATCH(I21, ""NOT""), 0, REGEXMATCH(I21, ""NO""), 0, REGEXMATCH(I21, ""TURBID""),1, COUNTBLANK(I21),"""", istext(I21),"""")"),"")</f>
        <v/>
      </c>
      <c r="I21" s="23" t="str">
        <f>'3.5.raw'!R21</f>
        <v/>
      </c>
    </row>
    <row r="22">
      <c r="A22" s="23" t="str">
        <f t="shared" si="1"/>
        <v>MO1021</v>
      </c>
      <c r="B22" s="23" t="str">
        <f>'3.5.raw'!I22</f>
        <v>MO1021</v>
      </c>
      <c r="C22" s="24">
        <f>datevalue(left('3.5.raw'!K22,10))</f>
        <v>43627</v>
      </c>
      <c r="D22" s="23" t="str">
        <f>'3.5.raw'!H22</f>
        <v>12</v>
      </c>
      <c r="E22" s="1">
        <v>3.5</v>
      </c>
      <c r="F22" s="23" t="b">
        <f>if(countif(Status!C:C,A22)=1,TRUE, FALSE)</f>
        <v>1</v>
      </c>
      <c r="H22" s="23" t="str">
        <f>IFERROR(__xludf.DUMMYFUNCTION("IFs(REGEXMATCH(I22, ""NOT""), 0, REGEXMATCH(I22, ""NO""), 0, REGEXMATCH(I22, ""TURBID""),1, COUNTBLANK(I22),"""", istext(I22),"""")"),"")</f>
        <v/>
      </c>
      <c r="I22" s="23" t="str">
        <f>'3.5.raw'!R22</f>
        <v/>
      </c>
    </row>
    <row r="23">
      <c r="A23" s="23" t="str">
        <f t="shared" si="1"/>
        <v>MO1022</v>
      </c>
      <c r="B23" s="23" t="str">
        <f>'3.5.raw'!I23</f>
        <v>MO1022</v>
      </c>
      <c r="C23" s="24">
        <f>datevalue(left('3.5.raw'!K23,10))</f>
        <v>43627</v>
      </c>
      <c r="D23" s="23" t="str">
        <f>'3.5.raw'!H23</f>
        <v>12</v>
      </c>
      <c r="E23" s="1">
        <v>3.5</v>
      </c>
      <c r="F23" s="23" t="b">
        <f>if(countif(Status!C:C,A23)=1,TRUE, FALSE)</f>
        <v>1</v>
      </c>
      <c r="H23" s="23" t="str">
        <f>IFERROR(__xludf.DUMMYFUNCTION("IFs(REGEXMATCH(I23, ""NOT""), 0, REGEXMATCH(I23, ""NO""), 0, REGEXMATCH(I23, ""TURBID""),1, COUNTBLANK(I23),"""", istext(I23),"""")"),"")</f>
        <v/>
      </c>
      <c r="I23" s="23" t="str">
        <f>'3.5.raw'!R23</f>
        <v/>
      </c>
    </row>
    <row r="24">
      <c r="A24" s="23" t="str">
        <f t="shared" si="1"/>
        <v>PL1008</v>
      </c>
      <c r="B24" s="23" t="str">
        <f>'3.5.raw'!I24</f>
        <v>PL1008</v>
      </c>
      <c r="C24" s="24">
        <f>datevalue(left('3.5.raw'!K24,10))</f>
        <v>43628</v>
      </c>
      <c r="D24" s="23" t="str">
        <f>'3.5.raw'!H24</f>
        <v>12</v>
      </c>
      <c r="E24" s="1">
        <v>3.5</v>
      </c>
      <c r="F24" s="23" t="b">
        <f>if(countif(Status!C:C,A24)=1,TRUE, FALSE)</f>
        <v>1</v>
      </c>
      <c r="H24" s="23" t="str">
        <f>IFERROR(__xludf.DUMMYFUNCTION("IFs(REGEXMATCH(I24, ""NOT""), 0, REGEXMATCH(I24, ""NO""), 0, REGEXMATCH(I24, ""TURBID""),1, COUNTBLANK(I24),"""", istext(I24),"""")"),"")</f>
        <v/>
      </c>
      <c r="I24" s="23" t="str">
        <f>'3.5.raw'!R24</f>
        <v/>
      </c>
    </row>
    <row r="25">
      <c r="A25" s="23" t="str">
        <f t="shared" si="1"/>
        <v>MO1023</v>
      </c>
      <c r="B25" s="23" t="str">
        <f>'3.5.raw'!I25</f>
        <v>MO1023</v>
      </c>
      <c r="C25" s="24">
        <f>datevalue(left('3.5.raw'!K25,10))</f>
        <v>43629</v>
      </c>
      <c r="D25" s="23" t="str">
        <f>'3.5.raw'!H25</f>
        <v>12</v>
      </c>
      <c r="E25" s="1">
        <v>3.5</v>
      </c>
      <c r="F25" s="23" t="b">
        <f>if(countif(Status!C:C,A25)=1,TRUE, FALSE)</f>
        <v>1</v>
      </c>
      <c r="H25" s="23" t="str">
        <f>IFERROR(__xludf.DUMMYFUNCTION("IFs(REGEXMATCH(I25, ""NOT""), 0, REGEXMATCH(I25, ""NO""), 0, REGEXMATCH(I25, ""TURBID""),1, COUNTBLANK(I25),"""", istext(I25),"""")"),"")</f>
        <v/>
      </c>
      <c r="I25" s="23" t="str">
        <f>'3.5.raw'!R25</f>
        <v/>
      </c>
    </row>
    <row r="26">
      <c r="A26" s="23" t="str">
        <f t="shared" si="1"/>
        <v>MO1024</v>
      </c>
      <c r="B26" s="23" t="str">
        <f>'3.5.raw'!I26</f>
        <v>MO1024</v>
      </c>
      <c r="C26" s="24">
        <f>datevalue(left('3.5.raw'!K26,10))</f>
        <v>43629</v>
      </c>
      <c r="D26" s="23" t="str">
        <f>'3.5.raw'!H26</f>
        <v>12</v>
      </c>
      <c r="E26" s="1">
        <v>3.5</v>
      </c>
      <c r="F26" s="23" t="b">
        <f>if(countif(Status!C:C,A26)=1,TRUE, FALSE)</f>
        <v>1</v>
      </c>
      <c r="H26" s="23" t="str">
        <f>IFERROR(__xludf.DUMMYFUNCTION("IFs(REGEXMATCH(I26, ""NOT""), 0, REGEXMATCH(I26, ""NO""), 0, REGEXMATCH(I26, ""TURBID""),1, COUNTBLANK(I26),"""", istext(I26),"""")"),"")</f>
        <v/>
      </c>
      <c r="I26" s="23" t="str">
        <f>'3.5.raw'!R26</f>
        <v/>
      </c>
    </row>
    <row r="27">
      <c r="A27" s="23" t="str">
        <f t="shared" si="1"/>
        <v>MO1025</v>
      </c>
      <c r="B27" s="23" t="str">
        <f>'3.5.raw'!I27</f>
        <v>MO1025</v>
      </c>
      <c r="C27" s="24">
        <f>datevalue(left('3.5.raw'!K27,10))</f>
        <v>43629</v>
      </c>
      <c r="D27" s="23" t="str">
        <f>'3.5.raw'!H27</f>
        <v>12</v>
      </c>
      <c r="E27" s="1">
        <v>3.5</v>
      </c>
      <c r="F27" s="23" t="b">
        <f>if(countif(Status!C:C,A27)=1,TRUE, FALSE)</f>
        <v>1</v>
      </c>
      <c r="H27" s="23" t="str">
        <f>IFERROR(__xludf.DUMMYFUNCTION("IFs(REGEXMATCH(I27, ""NOT""), 0, REGEXMATCH(I27, ""NO""), 0, REGEXMATCH(I27, ""TURBID""),1, COUNTBLANK(I27),"""", istext(I27),"""")"),"")</f>
        <v/>
      </c>
      <c r="I27" s="23" t="str">
        <f>'3.5.raw'!R27</f>
        <v/>
      </c>
    </row>
    <row r="28">
      <c r="A28" s="23" t="str">
        <f t="shared" si="1"/>
        <v>MO1026</v>
      </c>
      <c r="B28" s="23" t="str">
        <f>'3.5.raw'!I28</f>
        <v>MO1026</v>
      </c>
      <c r="C28" s="24">
        <f>datevalue(left('3.5.raw'!K28,10))</f>
        <v>43629</v>
      </c>
      <c r="D28" s="23" t="str">
        <f>'3.5.raw'!H28</f>
        <v>12</v>
      </c>
      <c r="E28" s="1">
        <v>3.5</v>
      </c>
      <c r="F28" s="23" t="b">
        <f>if(countif(Status!C:C,A28)=1,TRUE, FALSE)</f>
        <v>1</v>
      </c>
      <c r="H28" s="23" t="str">
        <f>IFERROR(__xludf.DUMMYFUNCTION("IFs(REGEXMATCH(I28, ""NOT""), 0, REGEXMATCH(I28, ""NO""), 0, REGEXMATCH(I28, ""TURBID""),1, COUNTBLANK(I28),"""", istext(I28),"""")"),"")</f>
        <v/>
      </c>
      <c r="I28" s="23" t="str">
        <f>'3.5.raw'!R28</f>
        <v/>
      </c>
    </row>
    <row r="29">
      <c r="A29" s="23" t="str">
        <f t="shared" si="1"/>
        <v>PLC1008</v>
      </c>
      <c r="B29" s="23" t="str">
        <f>'3.5.raw'!I29</f>
        <v>PLC1008</v>
      </c>
      <c r="C29" s="24">
        <f>datevalue(left('3.5.raw'!K29,10))</f>
        <v>43629</v>
      </c>
      <c r="D29" s="23" t="str">
        <f>'3.5.raw'!H29</f>
        <v>11</v>
      </c>
      <c r="E29" s="1">
        <v>3.5</v>
      </c>
      <c r="F29" s="23" t="b">
        <f>if(countif(Status!C:C,A29)=1,TRUE, FALSE)</f>
        <v>1</v>
      </c>
      <c r="H29" s="23" t="str">
        <f>IFERROR(__xludf.DUMMYFUNCTION("IFs(REGEXMATCH(I29, ""NOT""), 0, REGEXMATCH(I29, ""NO""), 0, REGEXMATCH(I29, ""TURBID""),1, COUNTBLANK(I29),"""", istext(I29),"""")"),"")</f>
        <v/>
      </c>
      <c r="I29" s="23" t="str">
        <f>'3.5.raw'!R29</f>
        <v/>
      </c>
    </row>
    <row r="30">
      <c r="A30" s="23" t="str">
        <f t="shared" si="1"/>
        <v>PLc1009</v>
      </c>
      <c r="B30" s="23" t="str">
        <f>'3.5.raw'!I30</f>
        <v>PLc1009</v>
      </c>
      <c r="C30" s="24">
        <f>datevalue(left('3.5.raw'!K30,10))</f>
        <v>43629</v>
      </c>
      <c r="D30" s="23" t="str">
        <f>'3.5.raw'!H30</f>
        <v>11</v>
      </c>
      <c r="E30" s="1">
        <v>3.5</v>
      </c>
      <c r="F30" s="23" t="b">
        <f>if(countif(Status!C:C,A30)=1,TRUE, FALSE)</f>
        <v>1</v>
      </c>
      <c r="H30" s="23" t="str">
        <f>IFERROR(__xludf.DUMMYFUNCTION("IFs(REGEXMATCH(I30, ""NOT""), 0, REGEXMATCH(I30, ""NO""), 0, REGEXMATCH(I30, ""TURBID""),1, COUNTBLANK(I30),"""", istext(I30),"""")"),"")</f>
        <v/>
      </c>
      <c r="I30" s="23" t="str">
        <f>'3.5.raw'!R30</f>
        <v/>
      </c>
    </row>
    <row r="31">
      <c r="A31" s="23" t="str">
        <f t="shared" si="1"/>
        <v>PLc1010</v>
      </c>
      <c r="B31" s="23" t="str">
        <f>'3.5.raw'!I31</f>
        <v>PLc1010</v>
      </c>
      <c r="C31" s="24">
        <f>datevalue(left('3.5.raw'!K31,10))</f>
        <v>43629</v>
      </c>
      <c r="D31" s="23" t="str">
        <f>'3.5.raw'!H31</f>
        <v>11</v>
      </c>
      <c r="E31" s="1">
        <v>3.5</v>
      </c>
      <c r="F31" s="23" t="b">
        <f>if(countif(Status!C:C,A31)=1,TRUE, FALSE)</f>
        <v>1</v>
      </c>
      <c r="H31" s="23" t="str">
        <f>IFERROR(__xludf.DUMMYFUNCTION("IFs(REGEXMATCH(I31, ""NOT""), 0, REGEXMATCH(I31, ""NO""), 0, REGEXMATCH(I31, ""TURBID""),1, COUNTBLANK(I31),"""", istext(I31),"""")"),"")</f>
        <v/>
      </c>
      <c r="I31" s="23" t="str">
        <f>'3.5.raw'!R31</f>
        <v/>
      </c>
    </row>
    <row r="32">
      <c r="A32" s="23" t="str">
        <f t="shared" si="1"/>
        <v>PLc1011</v>
      </c>
      <c r="B32" s="23" t="str">
        <f>'3.5.raw'!I32</f>
        <v>PLc1011</v>
      </c>
      <c r="C32" s="24">
        <f>datevalue(left('3.5.raw'!K32,10))</f>
        <v>43633</v>
      </c>
      <c r="D32" s="23" t="str">
        <f>'3.5.raw'!H32</f>
        <v>11</v>
      </c>
      <c r="E32" s="1">
        <v>3.5</v>
      </c>
      <c r="F32" s="23" t="b">
        <f>if(countif(Status!C:C,A32)=1,TRUE, FALSE)</f>
        <v>1</v>
      </c>
      <c r="H32" s="23" t="str">
        <f>IFERROR(__xludf.DUMMYFUNCTION("IFs(REGEXMATCH(I32, ""NOT""), 0, REGEXMATCH(I32, ""NO""), 0, REGEXMATCH(I32, ""TURBID""),1, COUNTBLANK(I32),"""", istext(I32),"""")"),"")</f>
        <v/>
      </c>
      <c r="I32" s="23" t="str">
        <f>'3.5.raw'!R32</f>
        <v/>
      </c>
    </row>
    <row r="33">
      <c r="A33" s="23" t="str">
        <f t="shared" si="1"/>
        <v>PLc1012</v>
      </c>
      <c r="B33" s="23" t="str">
        <f>'3.5.raw'!I33</f>
        <v>PLc1012</v>
      </c>
      <c r="C33" s="24">
        <f>datevalue(left('3.5.raw'!K33,10))</f>
        <v>43633</v>
      </c>
      <c r="D33" s="23" t="str">
        <f>'3.5.raw'!H33</f>
        <v>11</v>
      </c>
      <c r="E33" s="1">
        <v>3.5</v>
      </c>
      <c r="F33" s="23" t="b">
        <f>if(countif(Status!C:C,A33)=1,TRUE, FALSE)</f>
        <v>1</v>
      </c>
      <c r="H33" s="23" t="str">
        <f>IFERROR(__xludf.DUMMYFUNCTION("IFs(REGEXMATCH(I33, ""NOT""), 0, REGEXMATCH(I33, ""NO""), 0, REGEXMATCH(I33, ""TURBID""),1, COUNTBLANK(I33),"""", istext(I33),"""")"),"")</f>
        <v/>
      </c>
      <c r="I33" s="23" t="str">
        <f>'3.5.raw'!R33</f>
        <v/>
      </c>
    </row>
    <row r="34">
      <c r="A34" s="23" t="str">
        <f t="shared" si="1"/>
        <v>PLc1013</v>
      </c>
      <c r="B34" s="23" t="str">
        <f>'3.5.raw'!I34</f>
        <v>PLc1013</v>
      </c>
      <c r="C34" s="24">
        <f>datevalue(left('3.5.raw'!K34,10))</f>
        <v>43633</v>
      </c>
      <c r="D34" s="23" t="str">
        <f>'3.5.raw'!H34</f>
        <v>11</v>
      </c>
      <c r="E34" s="1">
        <v>3.5</v>
      </c>
      <c r="F34" s="23" t="b">
        <f>if(countif(Status!C:C,A34)=1,TRUE, FALSE)</f>
        <v>1</v>
      </c>
      <c r="H34" s="23" t="str">
        <f>IFERROR(__xludf.DUMMYFUNCTION("IFs(REGEXMATCH(I34, ""NOT""), 0, REGEXMATCH(I34, ""NO""), 0, REGEXMATCH(I34, ""TURBID""),1, COUNTBLANK(I34),"""", istext(I34),"""")"),"")</f>
        <v/>
      </c>
      <c r="I34" s="23" t="str">
        <f>'3.5.raw'!R34</f>
        <v/>
      </c>
    </row>
    <row r="35">
      <c r="A35" s="23" t="str">
        <f t="shared" si="1"/>
        <v>MO1027</v>
      </c>
      <c r="B35" s="23" t="str">
        <f>'3.5.raw'!I35</f>
        <v>MO1027</v>
      </c>
      <c r="C35" s="24">
        <f>datevalue(left('3.5.raw'!K35,10))</f>
        <v>43634</v>
      </c>
      <c r="D35" s="23" t="str">
        <f>'3.5.raw'!H35</f>
        <v>12</v>
      </c>
      <c r="E35" s="1">
        <v>3.5</v>
      </c>
      <c r="F35" s="23" t="b">
        <f>if(countif(Status!C:C,A35)=1,TRUE, FALSE)</f>
        <v>1</v>
      </c>
      <c r="H35" s="23" t="str">
        <f>IFERROR(__xludf.DUMMYFUNCTION("IFs(REGEXMATCH(I35, ""NOT""), 0, REGEXMATCH(I35, ""NO""), 0, REGEXMATCH(I35, ""TURBID""),1, COUNTBLANK(I35),"""", istext(I35),"""")"),"")</f>
        <v/>
      </c>
      <c r="I35" s="23" t="str">
        <f>'3.5.raw'!R35</f>
        <v/>
      </c>
    </row>
    <row r="36">
      <c r="A36" s="23" t="str">
        <f t="shared" si="1"/>
        <v>MO1028</v>
      </c>
      <c r="B36" s="23" t="str">
        <f>'3.5.raw'!I36</f>
        <v>MO1028</v>
      </c>
      <c r="C36" s="24">
        <f>datevalue(left('3.5.raw'!K36,10))</f>
        <v>43634</v>
      </c>
      <c r="D36" s="23" t="str">
        <f>'3.5.raw'!H36</f>
        <v>12</v>
      </c>
      <c r="E36" s="1">
        <v>3.5</v>
      </c>
      <c r="F36" s="23" t="b">
        <f>if(countif(Status!C:C,A36)=1,TRUE, FALSE)</f>
        <v>1</v>
      </c>
      <c r="H36" s="23" t="str">
        <f>IFERROR(__xludf.DUMMYFUNCTION("IFs(REGEXMATCH(I36, ""NOT""), 0, REGEXMATCH(I36, ""NO""), 0, REGEXMATCH(I36, ""TURBID""),1, COUNTBLANK(I36),"""", istext(I36),"""")"),"")</f>
        <v/>
      </c>
      <c r="I36" s="23" t="str">
        <f>'3.5.raw'!R36</f>
        <v/>
      </c>
    </row>
    <row r="37">
      <c r="A37" s="23" t="str">
        <f t="shared" si="1"/>
        <v>MO1029</v>
      </c>
      <c r="B37" s="23" t="str">
        <f>'3.5.raw'!I37</f>
        <v>MO1029</v>
      </c>
      <c r="C37" s="24">
        <f>datevalue(left('3.5.raw'!K37,10))</f>
        <v>43634</v>
      </c>
      <c r="D37" s="23" t="str">
        <f>'3.5.raw'!H37</f>
        <v>12</v>
      </c>
      <c r="E37" s="1">
        <v>3.5</v>
      </c>
      <c r="F37" s="23" t="b">
        <f>if(countif(Status!C:C,A37)=1,TRUE, FALSE)</f>
        <v>1</v>
      </c>
      <c r="H37" s="23" t="str">
        <f>IFERROR(__xludf.DUMMYFUNCTION("IFs(REGEXMATCH(I37, ""NOT""), 0, REGEXMATCH(I37, ""NO""), 0, REGEXMATCH(I37, ""TURBID""),1, COUNTBLANK(I37),"""", istext(I37),"""")"),"")</f>
        <v/>
      </c>
      <c r="I37" s="23" t="str">
        <f>'3.5.raw'!R37</f>
        <v/>
      </c>
    </row>
    <row r="38">
      <c r="A38" s="23" t="str">
        <f t="shared" si="1"/>
        <v>MO1031</v>
      </c>
      <c r="B38" s="23" t="str">
        <f>'3.5.raw'!I38</f>
        <v>MO1031</v>
      </c>
      <c r="C38" s="24">
        <f>datevalue(left('3.5.raw'!K38,10))</f>
        <v>43636</v>
      </c>
      <c r="D38" s="23" t="str">
        <f>'3.5.raw'!H38</f>
        <v>12</v>
      </c>
      <c r="E38" s="1">
        <v>3.5</v>
      </c>
      <c r="F38" s="23" t="b">
        <f>if(countif(Status!C:C,A38)=1,TRUE, FALSE)</f>
        <v>1</v>
      </c>
      <c r="H38" s="23" t="str">
        <f>IFERROR(__xludf.DUMMYFUNCTION("IFs(REGEXMATCH(I38, ""NOT""), 0, REGEXMATCH(I38, ""NO""), 0, REGEXMATCH(I38, ""TURBID""),1, COUNTBLANK(I38),"""", istext(I38),"""")"),"")</f>
        <v/>
      </c>
      <c r="I38" s="23" t="str">
        <f>'3.5.raw'!R38</f>
        <v/>
      </c>
    </row>
    <row r="39">
      <c r="A39" s="23" t="str">
        <f t="shared" si="1"/>
        <v>MO1032</v>
      </c>
      <c r="B39" s="23" t="str">
        <f>'3.5.raw'!I39</f>
        <v>MO1032</v>
      </c>
      <c r="C39" s="24">
        <f>datevalue(left('3.5.raw'!K39,10))</f>
        <v>43636</v>
      </c>
      <c r="D39" s="23" t="str">
        <f>'3.5.raw'!H39</f>
        <v>12</v>
      </c>
      <c r="E39" s="1">
        <v>3.5</v>
      </c>
      <c r="F39" s="23" t="b">
        <f>if(countif(Status!C:C,A39)=1,TRUE, FALSE)</f>
        <v>1</v>
      </c>
      <c r="H39" s="23" t="str">
        <f>IFERROR(__xludf.DUMMYFUNCTION("IFs(REGEXMATCH(I39, ""NOT""), 0, REGEXMATCH(I39, ""NO""), 0, REGEXMATCH(I39, ""TURBID""),1, COUNTBLANK(I39),"""", istext(I39),"""")"),"")</f>
        <v/>
      </c>
      <c r="I39" s="23" t="str">
        <f>'3.5.raw'!R39</f>
        <v/>
      </c>
    </row>
    <row r="40">
      <c r="A40" s="23" t="str">
        <f t="shared" si="1"/>
        <v>MO1033</v>
      </c>
      <c r="B40" s="23" t="str">
        <f>'3.5.raw'!I40</f>
        <v>MO1033</v>
      </c>
      <c r="C40" s="24">
        <f>datevalue(left('3.5.raw'!K40,10))</f>
        <v>43636</v>
      </c>
      <c r="D40" s="23" t="str">
        <f>'3.5.raw'!H40</f>
        <v>12</v>
      </c>
      <c r="E40" s="1">
        <v>3.5</v>
      </c>
      <c r="F40" s="23" t="b">
        <f>if(countif(Status!C:C,A40)=1,TRUE, FALSE)</f>
        <v>1</v>
      </c>
      <c r="H40" s="23" t="str">
        <f>IFERROR(__xludf.DUMMYFUNCTION("IFs(REGEXMATCH(I40, ""NOT""), 0, REGEXMATCH(I40, ""NO""), 0, REGEXMATCH(I40, ""TURBID""),1, COUNTBLANK(I40),"""", istext(I40),"""")"),"")</f>
        <v/>
      </c>
      <c r="I40" s="23" t="str">
        <f>'3.5.raw'!R40</f>
        <v/>
      </c>
    </row>
    <row r="41">
      <c r="A41" s="23" t="str">
        <f t="shared" si="1"/>
        <v>PLc1014</v>
      </c>
      <c r="B41" s="23" t="str">
        <f>'3.5.raw'!I41</f>
        <v>PLc1014</v>
      </c>
      <c r="C41" s="24">
        <f>datevalue(left('3.5.raw'!K41,10))</f>
        <v>43636</v>
      </c>
      <c r="D41" s="23" t="str">
        <f>'3.5.raw'!H41</f>
        <v>11</v>
      </c>
      <c r="E41" s="1">
        <v>3.5</v>
      </c>
      <c r="F41" s="23" t="b">
        <f>if(countif(Status!C:C,A41)=1,TRUE, FALSE)</f>
        <v>1</v>
      </c>
      <c r="H41" s="23" t="str">
        <f>IFERROR(__xludf.DUMMYFUNCTION("IFs(REGEXMATCH(I41, ""NOT""), 0, REGEXMATCH(I41, ""NO""), 0, REGEXMATCH(I41, ""TURBID""),1, COUNTBLANK(I41),"""", istext(I41),"""")"),"")</f>
        <v/>
      </c>
      <c r="I41" s="23" t="str">
        <f>'3.5.raw'!R41</f>
        <v/>
      </c>
    </row>
    <row r="42">
      <c r="A42" s="23" t="str">
        <f t="shared" si="1"/>
        <v>PLc1015</v>
      </c>
      <c r="B42" s="23" t="str">
        <f>'3.5.raw'!I42</f>
        <v>PLc1015</v>
      </c>
      <c r="C42" s="24">
        <f>datevalue(left('3.5.raw'!K42,10))</f>
        <v>43636</v>
      </c>
      <c r="D42" s="23" t="str">
        <f>'3.5.raw'!H42</f>
        <v>11</v>
      </c>
      <c r="E42" s="1">
        <v>3.5</v>
      </c>
      <c r="F42" s="23" t="b">
        <f>if(countif(Status!C:C,A42)=1,TRUE, FALSE)</f>
        <v>1</v>
      </c>
      <c r="H42" s="23" t="str">
        <f>IFERROR(__xludf.DUMMYFUNCTION("IFs(REGEXMATCH(I42, ""NOT""), 0, REGEXMATCH(I42, ""NO""), 0, REGEXMATCH(I42, ""TURBID""),1, COUNTBLANK(I42),"""", istext(I42),"""")"),"")</f>
        <v/>
      </c>
      <c r="I42" s="23" t="str">
        <f>'3.5.raw'!R42</f>
        <v/>
      </c>
    </row>
    <row r="43">
      <c r="A43" s="23" t="str">
        <f t="shared" si="1"/>
        <v>PLc1016</v>
      </c>
      <c r="B43" s="23" t="str">
        <f>'3.5.raw'!I43</f>
        <v>PLc1016</v>
      </c>
      <c r="C43" s="24">
        <f>datevalue(left('3.5.raw'!K43,10))</f>
        <v>43636</v>
      </c>
      <c r="D43" s="23" t="str">
        <f>'3.5.raw'!H43</f>
        <v>11</v>
      </c>
      <c r="E43" s="1">
        <v>3.5</v>
      </c>
      <c r="F43" s="23" t="b">
        <f>if(countif(Status!C:C,A43)=1,TRUE, FALSE)</f>
        <v>1</v>
      </c>
      <c r="H43" s="23" t="str">
        <f>IFERROR(__xludf.DUMMYFUNCTION("IFs(REGEXMATCH(I43, ""NOT""), 0, REGEXMATCH(I43, ""NO""), 0, REGEXMATCH(I43, ""TURBID""),1, COUNTBLANK(I43),"""", istext(I43),"""")"),"")</f>
        <v/>
      </c>
      <c r="I43" s="23" t="str">
        <f>'3.5.raw'!R43</f>
        <v/>
      </c>
    </row>
    <row r="44">
      <c r="A44" s="23" t="str">
        <f t="shared" si="1"/>
        <v>PLc1017</v>
      </c>
      <c r="B44" s="23" t="str">
        <f>'3.5.raw'!I44</f>
        <v>PLc1017</v>
      </c>
      <c r="C44" s="24">
        <f>datevalue(left('3.5.raw'!K44,10))</f>
        <v>43640</v>
      </c>
      <c r="D44" s="23" t="str">
        <f>'3.5.raw'!H44</f>
        <v>11</v>
      </c>
      <c r="E44" s="1">
        <v>3.5</v>
      </c>
      <c r="F44" s="23" t="b">
        <f>if(countif(Status!C:C,A44)=1,TRUE, FALSE)</f>
        <v>1</v>
      </c>
      <c r="H44" s="23" t="str">
        <f>IFERROR(__xludf.DUMMYFUNCTION("IFs(REGEXMATCH(I44, ""NOT""), 0, REGEXMATCH(I44, ""NO""), 0, REGEXMATCH(I44, ""TURBID""),1, COUNTBLANK(I44),"""", istext(I44),"""")"),"")</f>
        <v/>
      </c>
      <c r="I44" s="23" t="str">
        <f>'3.5.raw'!R44</f>
        <v/>
      </c>
    </row>
    <row r="45">
      <c r="A45" s="23" t="str">
        <f t="shared" si="1"/>
        <v>PLc1018</v>
      </c>
      <c r="B45" s="23" t="str">
        <f>'3.5.raw'!I45</f>
        <v>PLc1018</v>
      </c>
      <c r="C45" s="24">
        <f>datevalue(left('3.5.raw'!K45,10))</f>
        <v>43640</v>
      </c>
      <c r="D45" s="23" t="str">
        <f>'3.5.raw'!H45</f>
        <v>11</v>
      </c>
      <c r="E45" s="1">
        <v>3.5</v>
      </c>
      <c r="F45" s="23" t="b">
        <f>if(countif(Status!C:C,A45)=1,TRUE, FALSE)</f>
        <v>1</v>
      </c>
      <c r="H45" s="23" t="str">
        <f>IFERROR(__xludf.DUMMYFUNCTION("IFs(REGEXMATCH(I45, ""NOT""), 0, REGEXMATCH(I45, ""NO""), 0, REGEXMATCH(I45, ""TURBID""),1, COUNTBLANK(I45),"""", istext(I45),"""")"),"")</f>
        <v/>
      </c>
      <c r="I45" s="23" t="str">
        <f>'3.5.raw'!R45</f>
        <v/>
      </c>
    </row>
    <row r="46">
      <c r="A46" s="23" t="str">
        <f t="shared" si="1"/>
        <v>PLc1019</v>
      </c>
      <c r="B46" s="23" t="str">
        <f>'3.5.raw'!I46</f>
        <v>PLc1019</v>
      </c>
      <c r="C46" s="24">
        <f>datevalue(left('3.5.raw'!K46,10))</f>
        <v>43640</v>
      </c>
      <c r="D46" s="23" t="str">
        <f>'3.5.raw'!H46</f>
        <v>11</v>
      </c>
      <c r="E46" s="1">
        <v>3.5</v>
      </c>
      <c r="F46" s="23" t="b">
        <f>if(countif(Status!C:C,A46)=1,TRUE, FALSE)</f>
        <v>1</v>
      </c>
      <c r="H46" s="23" t="str">
        <f>IFERROR(__xludf.DUMMYFUNCTION("IFs(REGEXMATCH(I46, ""NOT""), 0, REGEXMATCH(I46, ""NO""), 0, REGEXMATCH(I46, ""TURBID""),1, COUNTBLANK(I46),"""", istext(I46),"""")"),"")</f>
        <v/>
      </c>
      <c r="I46" s="23" t="str">
        <f>'3.5.raw'!R46</f>
        <v/>
      </c>
    </row>
    <row r="47">
      <c r="A47" s="23" t="str">
        <f t="shared" si="1"/>
        <v>MO1030</v>
      </c>
      <c r="B47" s="23" t="str">
        <f>'3.5.raw'!I47</f>
        <v>MO1030</v>
      </c>
      <c r="C47" s="24">
        <f>datevalue(left('3.5.raw'!K47,10))</f>
        <v>43634</v>
      </c>
      <c r="D47" s="23" t="str">
        <f>'3.5.raw'!H47</f>
        <v>12</v>
      </c>
      <c r="E47" s="1">
        <v>3.5</v>
      </c>
      <c r="F47" s="23" t="b">
        <f>if(countif(Status!C:C,A47)=1,TRUE, FALSE)</f>
        <v>1</v>
      </c>
      <c r="H47" s="23" t="str">
        <f>IFERROR(__xludf.DUMMYFUNCTION("IFs(REGEXMATCH(I47, ""NOT""), 0, REGEXMATCH(I47, ""NO""), 0, REGEXMATCH(I47, ""TURBID""),1, COUNTBLANK(I47),"""", istext(I47),"""")"),"")</f>
        <v/>
      </c>
      <c r="I47" s="23" t="str">
        <f>'3.5.raw'!R47</f>
        <v/>
      </c>
    </row>
    <row r="48">
      <c r="A48" s="23" t="str">
        <f t="shared" si="1"/>
        <v>MO1039</v>
      </c>
      <c r="B48" s="23" t="str">
        <f>'3.5.raw'!I48</f>
        <v>MO1039</v>
      </c>
      <c r="C48" s="24">
        <f>datevalue(left('3.5.raw'!K48,10))</f>
        <v>43643</v>
      </c>
      <c r="D48" s="23" t="str">
        <f>'3.5.raw'!H48</f>
        <v>12</v>
      </c>
      <c r="E48" s="1">
        <v>3.5</v>
      </c>
      <c r="F48" s="23" t="b">
        <f>if(countif(Status!C:C,A48)=1,TRUE, FALSE)</f>
        <v>1</v>
      </c>
      <c r="H48" s="23" t="str">
        <f>IFERROR(__xludf.DUMMYFUNCTION("IFs(REGEXMATCH(I48, ""NOT""), 0, REGEXMATCH(I48, ""NO""), 0, REGEXMATCH(I48, ""TURBID""),1, COUNTBLANK(I48),"""", istext(I48),"""")"),"")</f>
        <v/>
      </c>
      <c r="I48" s="23" t="str">
        <f>'3.5.raw'!R48</f>
        <v/>
      </c>
    </row>
    <row r="49">
      <c r="A49" s="23" t="str">
        <f t="shared" si="1"/>
        <v>MO1040</v>
      </c>
      <c r="B49" s="23" t="str">
        <f>'3.5.raw'!I49</f>
        <v>MO1040</v>
      </c>
      <c r="C49" s="24">
        <f>datevalue(left('3.5.raw'!K49,10))</f>
        <v>43643</v>
      </c>
      <c r="D49" s="23" t="str">
        <f>'3.5.raw'!H49</f>
        <v>12</v>
      </c>
      <c r="E49" s="1">
        <v>3.5</v>
      </c>
      <c r="F49" s="23" t="b">
        <f>if(countif(Status!C:C,A49)=1,TRUE, FALSE)</f>
        <v>1</v>
      </c>
      <c r="H49" s="23" t="str">
        <f>IFERROR(__xludf.DUMMYFUNCTION("IFs(REGEXMATCH(I49, ""NOT""), 0, REGEXMATCH(I49, ""NO""), 0, REGEXMATCH(I49, ""TURBID""),1, COUNTBLANK(I49),"""", istext(I49),"""")"),"")</f>
        <v/>
      </c>
      <c r="I49" s="23" t="str">
        <f>'3.5.raw'!R49</f>
        <v/>
      </c>
    </row>
    <row r="50">
      <c r="A50" s="23" t="str">
        <f t="shared" si="1"/>
        <v>MO1041</v>
      </c>
      <c r="B50" s="23" t="str">
        <f>'3.5.raw'!I50</f>
        <v>MO1041</v>
      </c>
      <c r="C50" s="24">
        <f>datevalue(left('3.5.raw'!K50,10))</f>
        <v>43643</v>
      </c>
      <c r="D50" s="23" t="str">
        <f>'3.5.raw'!H50</f>
        <v>12</v>
      </c>
      <c r="E50" s="1">
        <v>3.5</v>
      </c>
      <c r="F50" s="23" t="b">
        <f>if(countif(Status!C:C,A50)=1,TRUE, FALSE)</f>
        <v>1</v>
      </c>
      <c r="H50" s="23" t="str">
        <f>IFERROR(__xludf.DUMMYFUNCTION("IFs(REGEXMATCH(I50, ""NOT""), 0, REGEXMATCH(I50, ""NO""), 0, REGEXMATCH(I50, ""TURBID""),1, COUNTBLANK(I50),"""", istext(I50),"""")"),"")</f>
        <v/>
      </c>
      <c r="I50" s="23" t="str">
        <f>'3.5.raw'!R50</f>
        <v/>
      </c>
    </row>
    <row r="51">
      <c r="A51" s="23" t="str">
        <f t="shared" si="1"/>
        <v>MO1042</v>
      </c>
      <c r="B51" s="23" t="str">
        <f>'3.5.raw'!I51</f>
        <v>MO1042</v>
      </c>
      <c r="C51" s="24">
        <f>datevalue(left('3.5.raw'!K51,10))</f>
        <v>43643</v>
      </c>
      <c r="D51" s="23" t="str">
        <f>'3.5.raw'!H51</f>
        <v>12</v>
      </c>
      <c r="E51" s="1">
        <v>3.5</v>
      </c>
      <c r="F51" s="23" t="b">
        <f>if(countif(Status!C:C,A51)=1,TRUE, FALSE)</f>
        <v>1</v>
      </c>
      <c r="H51" s="23" t="str">
        <f>IFERROR(__xludf.DUMMYFUNCTION("IFs(REGEXMATCH(I51, ""NOT""), 0, REGEXMATCH(I51, ""NO""), 0, REGEXMATCH(I51, ""TURBID""),1, COUNTBLANK(I51),"""", istext(I51),"""")"),"")</f>
        <v/>
      </c>
      <c r="I51" s="23" t="str">
        <f>'3.5.raw'!R51</f>
        <v/>
      </c>
    </row>
    <row r="52">
      <c r="A52" s="23" t="str">
        <f t="shared" si="1"/>
        <v>PLc1020</v>
      </c>
      <c r="B52" s="23" t="str">
        <f>'3.5.raw'!I52</f>
        <v>PLc1020</v>
      </c>
      <c r="C52" s="24">
        <f>datevalue(left('3.5.raw'!K52,10))</f>
        <v>43643</v>
      </c>
      <c r="D52" s="23" t="str">
        <f>'3.5.raw'!H52</f>
        <v>11</v>
      </c>
      <c r="E52" s="1">
        <v>3.5</v>
      </c>
      <c r="F52" s="23" t="b">
        <f>if(countif(Status!C:C,A52)=1,TRUE, FALSE)</f>
        <v>1</v>
      </c>
      <c r="H52" s="23" t="str">
        <f>IFERROR(__xludf.DUMMYFUNCTION("IFs(REGEXMATCH(I52, ""NOT""), 0, REGEXMATCH(I52, ""NO""), 0, REGEXMATCH(I52, ""TURBID""),1, COUNTBLANK(I52),"""", istext(I52),"""")"),"")</f>
        <v/>
      </c>
      <c r="I52" s="23" t="str">
        <f>'3.5.raw'!R52</f>
        <v/>
      </c>
    </row>
    <row r="53">
      <c r="A53" s="23" t="str">
        <f t="shared" si="1"/>
        <v>PLc1021</v>
      </c>
      <c r="B53" s="23" t="str">
        <f>'3.5.raw'!I53</f>
        <v>PLc1021</v>
      </c>
      <c r="C53" s="24">
        <f>datevalue(left('3.5.raw'!K53,10))</f>
        <v>43643</v>
      </c>
      <c r="D53" s="23" t="str">
        <f>'3.5.raw'!H53</f>
        <v>11</v>
      </c>
      <c r="E53" s="1">
        <v>3.5</v>
      </c>
      <c r="F53" s="23" t="b">
        <f>if(countif(Status!C:C,A53)=1,TRUE, FALSE)</f>
        <v>1</v>
      </c>
      <c r="H53" s="23" t="str">
        <f>IFERROR(__xludf.DUMMYFUNCTION("IFs(REGEXMATCH(I53, ""NOT""), 0, REGEXMATCH(I53, ""NO""), 0, REGEXMATCH(I53, ""TURBID""),1, COUNTBLANK(I53),"""", istext(I53),"""")"),"")</f>
        <v/>
      </c>
      <c r="I53" s="23" t="str">
        <f>'3.5.raw'!R53</f>
        <v/>
      </c>
    </row>
    <row r="54">
      <c r="A54" s="23" t="str">
        <f t="shared" si="1"/>
        <v>PLc1022</v>
      </c>
      <c r="B54" s="23" t="str">
        <f>'3.5.raw'!I54</f>
        <v>PLc1022</v>
      </c>
      <c r="C54" s="24">
        <f>datevalue(left('3.5.raw'!K54,10))</f>
        <v>43643</v>
      </c>
      <c r="D54" s="23" t="str">
        <f>'3.5.raw'!H54</f>
        <v>11</v>
      </c>
      <c r="E54" s="1">
        <v>3.5</v>
      </c>
      <c r="F54" s="23" t="b">
        <f>if(countif(Status!C:C,A54)=1,TRUE, FALSE)</f>
        <v>1</v>
      </c>
      <c r="H54" s="23" t="str">
        <f>IFERROR(__xludf.DUMMYFUNCTION("IFs(REGEXMATCH(I54, ""NOT""), 0, REGEXMATCH(I54, ""NO""), 0, REGEXMATCH(I54, ""TURBID""),1, COUNTBLANK(I54),"""", istext(I54),"""")"),"")</f>
        <v/>
      </c>
      <c r="I54" s="23" t="str">
        <f>'3.5.raw'!R54</f>
        <v/>
      </c>
    </row>
    <row r="55">
      <c r="A55" s="23" t="str">
        <f t="shared" si="1"/>
        <v>PLc1023</v>
      </c>
      <c r="B55" s="23" t="str">
        <f>'3.5.raw'!I55</f>
        <v>PLc1023</v>
      </c>
      <c r="C55" s="24">
        <f>datevalue(left('3.5.raw'!K55,10))</f>
        <v>43647</v>
      </c>
      <c r="D55" s="23" t="str">
        <f>'3.5.raw'!H55</f>
        <v>11</v>
      </c>
      <c r="E55" s="1">
        <v>3.5</v>
      </c>
      <c r="F55" s="23" t="b">
        <f>if(countif(Status!C:C,A55)=1,TRUE, FALSE)</f>
        <v>1</v>
      </c>
      <c r="H55" s="23" t="str">
        <f>IFERROR(__xludf.DUMMYFUNCTION("IFs(REGEXMATCH(I55, ""NOT""), 0, REGEXMATCH(I55, ""NO""), 0, REGEXMATCH(I55, ""TURBID""),1, COUNTBLANK(I55),"""", istext(I55),"""")"),"")</f>
        <v/>
      </c>
      <c r="I55" s="23" t="str">
        <f>'3.5.raw'!R55</f>
        <v/>
      </c>
    </row>
    <row r="56">
      <c r="A56" s="23" t="str">
        <f t="shared" si="1"/>
        <v>PLc1024</v>
      </c>
      <c r="B56" s="23" t="str">
        <f>'3.5.raw'!I56</f>
        <v>PLc1024</v>
      </c>
      <c r="C56" s="24">
        <f>datevalue(left('3.5.raw'!K56,10))</f>
        <v>43647</v>
      </c>
      <c r="D56" s="23" t="str">
        <f>'3.5.raw'!H56</f>
        <v>11</v>
      </c>
      <c r="E56" s="1">
        <v>3.5</v>
      </c>
      <c r="F56" s="23" t="b">
        <f>if(countif(Status!C:C,A56)=1,TRUE, FALSE)</f>
        <v>1</v>
      </c>
      <c r="H56" s="23" t="str">
        <f>IFERROR(__xludf.DUMMYFUNCTION("IFs(REGEXMATCH(I56, ""NOT""), 0, REGEXMATCH(I56, ""NO""), 0, REGEXMATCH(I56, ""TURBID""),1, COUNTBLANK(I56),"""", istext(I56),"""")"),"")</f>
        <v/>
      </c>
      <c r="I56" s="23" t="str">
        <f>'3.5.raw'!R56</f>
        <v/>
      </c>
    </row>
    <row r="57">
      <c r="A57" s="23" t="str">
        <f t="shared" si="1"/>
        <v>PL1002</v>
      </c>
      <c r="B57" s="23" t="str">
        <f>'3.5.raw'!I57</f>
        <v>PL1002</v>
      </c>
      <c r="C57" s="24">
        <f>datevalue(left('3.5.raw'!K57,10))</f>
        <v>43600</v>
      </c>
      <c r="D57" s="23" t="str">
        <f>'3.5.raw'!H57</f>
        <v>11</v>
      </c>
      <c r="E57" s="1">
        <v>3.5</v>
      </c>
      <c r="F57" s="23" t="b">
        <f>if(countif(Status!C:C,A57)=1,TRUE, FALSE)</f>
        <v>1</v>
      </c>
      <c r="H57" s="23" t="str">
        <f>IFERROR(__xludf.DUMMYFUNCTION("IFs(REGEXMATCH(I57, ""NOT""), 0, REGEXMATCH(I57, ""NO""), 0, REGEXMATCH(I57, ""TURBID""),1, COUNTBLANK(I57),"""", istext(I57),"""")"),"")</f>
        <v/>
      </c>
      <c r="I57" s="23" t="str">
        <f>'3.5.raw'!R57</f>
        <v/>
      </c>
    </row>
    <row r="58">
      <c r="A58" s="23" t="str">
        <f t="shared" si="1"/>
        <v>PL1003</v>
      </c>
      <c r="B58" s="23" t="str">
        <f>'3.5.raw'!I58</f>
        <v>PL1003</v>
      </c>
      <c r="C58" s="24">
        <f>datevalue(left('3.5.raw'!K58,10))</f>
        <v>43607</v>
      </c>
      <c r="D58" s="23" t="str">
        <f>'3.5.raw'!H58</f>
        <v>11</v>
      </c>
      <c r="E58" s="1">
        <v>3.5</v>
      </c>
      <c r="F58" s="23" t="b">
        <f>if(countif(Status!C:C,A58)=1,TRUE, FALSE)</f>
        <v>1</v>
      </c>
      <c r="H58" s="23" t="str">
        <f>IFERROR(__xludf.DUMMYFUNCTION("IFs(REGEXMATCH(I58, ""NOT""), 0, REGEXMATCH(I58, ""NO""), 0, REGEXMATCH(I58, ""TURBID""),1, COUNTBLANK(I58),"""", istext(I58),"""")"),"")</f>
        <v/>
      </c>
      <c r="I58" s="23" t="str">
        <f>'3.5.raw'!R58</f>
        <v/>
      </c>
    </row>
    <row r="59">
      <c r="A59" s="23" t="str">
        <f t="shared" si="1"/>
        <v>PL1004</v>
      </c>
      <c r="B59" s="23" t="str">
        <f>'3.5.raw'!I59</f>
        <v>PL1004</v>
      </c>
      <c r="C59" s="24">
        <f>datevalue(left('3.5.raw'!K59,10))</f>
        <v>43612</v>
      </c>
      <c r="D59" s="23" t="str">
        <f>'3.5.raw'!H59</f>
        <v>11</v>
      </c>
      <c r="E59" s="1">
        <v>3.5</v>
      </c>
      <c r="F59" s="23" t="b">
        <f>if(countif(Status!C:C,A59)=1,TRUE, FALSE)</f>
        <v>1</v>
      </c>
      <c r="H59" s="23" t="str">
        <f>IFERROR(__xludf.DUMMYFUNCTION("IFs(REGEXMATCH(I59, ""NOT""), 0, REGEXMATCH(I59, ""NO""), 0, REGEXMATCH(I59, ""TURBID""),1, COUNTBLANK(I59),"""", istext(I59),"""")"),"")</f>
        <v/>
      </c>
      <c r="I59" s="23" t="str">
        <f>'3.5.raw'!R59</f>
        <v/>
      </c>
    </row>
    <row r="60">
      <c r="A60" s="23" t="str">
        <f t="shared" si="1"/>
        <v>PL1005</v>
      </c>
      <c r="B60" s="23" t="str">
        <f>'3.5.raw'!I60</f>
        <v>PL1005</v>
      </c>
      <c r="C60" s="24">
        <f>datevalue(left('3.5.raw'!K60,10))</f>
        <v>43614</v>
      </c>
      <c r="D60" s="23" t="str">
        <f>'3.5.raw'!H60</f>
        <v>11</v>
      </c>
      <c r="E60" s="1">
        <v>3.5</v>
      </c>
      <c r="F60" s="23" t="b">
        <f>if(countif(Status!C:C,A60)=1,TRUE, FALSE)</f>
        <v>1</v>
      </c>
      <c r="H60" s="23" t="str">
        <f>IFERROR(__xludf.DUMMYFUNCTION("IFs(REGEXMATCH(I60, ""NOT""), 0, REGEXMATCH(I60, ""NO""), 0, REGEXMATCH(I60, ""TURBID""),1, COUNTBLANK(I60),"""", istext(I60),"""")"),"")</f>
        <v/>
      </c>
      <c r="I60" s="23" t="str">
        <f>'3.5.raw'!R60</f>
        <v/>
      </c>
    </row>
    <row r="61">
      <c r="A61" s="23" t="str">
        <f t="shared" si="1"/>
        <v>PL1006</v>
      </c>
      <c r="B61" s="23" t="str">
        <f>'3.5.raw'!I61</f>
        <v>PL1006</v>
      </c>
      <c r="C61" s="24">
        <f>datevalue(left('3.5.raw'!K61,10))</f>
        <v>43619</v>
      </c>
      <c r="D61" s="23" t="str">
        <f>'3.5.raw'!H61</f>
        <v>11</v>
      </c>
      <c r="E61" s="1">
        <v>3.5</v>
      </c>
      <c r="F61" s="23" t="b">
        <f>if(countif(Status!C:C,A61)=1,TRUE, FALSE)</f>
        <v>1</v>
      </c>
      <c r="H61" s="23" t="str">
        <f>IFERROR(__xludf.DUMMYFUNCTION("IFs(REGEXMATCH(I61, ""NOT""), 0, REGEXMATCH(I61, ""NO""), 0, REGEXMATCH(I61, ""TURBID""),1, COUNTBLANK(I61),"""", istext(I61),"""")"),"")</f>
        <v/>
      </c>
      <c r="I61" s="23" t="str">
        <f>'3.5.raw'!R61</f>
        <v/>
      </c>
    </row>
    <row r="62">
      <c r="A62" s="23" t="str">
        <f t="shared" si="1"/>
        <v>PLc1001</v>
      </c>
      <c r="B62" s="23" t="str">
        <f>'3.5.raw'!I62</f>
        <v>PLc1001</v>
      </c>
      <c r="C62" s="24">
        <f>datevalue(left('3.5.raw'!K62,10))</f>
        <v>43598</v>
      </c>
      <c r="D62" s="23" t="str">
        <f>'3.5.raw'!H62</f>
        <v>11</v>
      </c>
      <c r="E62" s="1">
        <v>3.5</v>
      </c>
      <c r="F62" s="23" t="b">
        <f>if(countif(Status!C:C,A62)=1,TRUE, FALSE)</f>
        <v>1</v>
      </c>
      <c r="H62" s="23" t="str">
        <f>IFERROR(__xludf.DUMMYFUNCTION("IFs(REGEXMATCH(I62, ""NOT""), 0, REGEXMATCH(I62, ""NO""), 0, REGEXMATCH(I62, ""TURBID""),1, COUNTBLANK(I62),"""", istext(I62),"""")"),"")</f>
        <v/>
      </c>
      <c r="I62" s="23" t="str">
        <f>'3.5.raw'!R62</f>
        <v/>
      </c>
    </row>
    <row r="63">
      <c r="A63" s="23" t="str">
        <f t="shared" si="1"/>
        <v>PLc1002</v>
      </c>
      <c r="B63" s="23" t="str">
        <f>'3.5.raw'!I63</f>
        <v>PLc1002</v>
      </c>
      <c r="C63" s="24">
        <f>datevalue(left('3.5.raw'!K63,10))</f>
        <v>43601</v>
      </c>
      <c r="D63" s="23" t="str">
        <f>'3.5.raw'!H63</f>
        <v>11</v>
      </c>
      <c r="E63" s="1">
        <v>3.5</v>
      </c>
      <c r="F63" s="23" t="b">
        <f>if(countif(Status!C:C,A63)=1,TRUE, FALSE)</f>
        <v>1</v>
      </c>
      <c r="H63" s="23" t="str">
        <f>IFERROR(__xludf.DUMMYFUNCTION("IFs(REGEXMATCH(I63, ""NOT""), 0, REGEXMATCH(I63, ""NO""), 0, REGEXMATCH(I63, ""TURBID""),1, COUNTBLANK(I63),"""", istext(I63),"""")"),"")</f>
        <v/>
      </c>
      <c r="I63" s="23" t="str">
        <f>'3.5.raw'!R63</f>
        <v/>
      </c>
    </row>
    <row r="64">
      <c r="A64" s="23" t="str">
        <f t="shared" si="1"/>
        <v>PLc1003</v>
      </c>
      <c r="B64" s="23" t="str">
        <f>'3.5.raw'!I64</f>
        <v>PLc1003</v>
      </c>
      <c r="C64" s="24">
        <f>datevalue(left('3.5.raw'!K64,10))</f>
        <v>43605</v>
      </c>
      <c r="D64" s="23" t="str">
        <f>'3.5.raw'!H64</f>
        <v>11</v>
      </c>
      <c r="E64" s="1">
        <v>3.5</v>
      </c>
      <c r="F64" s="23" t="b">
        <f>if(countif(Status!C:C,A64)=1,TRUE, FALSE)</f>
        <v>1</v>
      </c>
      <c r="H64" s="23" t="str">
        <f>IFERROR(__xludf.DUMMYFUNCTION("IFs(REGEXMATCH(I64, ""NOT""), 0, REGEXMATCH(I64, ""NO""), 0, REGEXMATCH(I64, ""TURBID""),1, COUNTBLANK(I64),"""", istext(I64),"""")"),"")</f>
        <v/>
      </c>
      <c r="I64" s="23" t="str">
        <f>'3.5.raw'!R64</f>
        <v/>
      </c>
    </row>
    <row r="65">
      <c r="A65" s="23" t="str">
        <f t="shared" si="1"/>
        <v>PLc1004</v>
      </c>
      <c r="B65" s="23" t="str">
        <f>'3.5.raw'!I65</f>
        <v>PLc1004</v>
      </c>
      <c r="C65" s="24">
        <f>datevalue(left('3.5.raw'!K65,10))</f>
        <v>43608</v>
      </c>
      <c r="D65" s="23" t="str">
        <f>'3.5.raw'!H65</f>
        <v>11</v>
      </c>
      <c r="E65" s="1">
        <v>3.5</v>
      </c>
      <c r="F65" s="23" t="b">
        <f>if(countif(Status!C:C,A65)=1,TRUE, FALSE)</f>
        <v>1</v>
      </c>
      <c r="H65" s="23" t="str">
        <f>IFERROR(__xludf.DUMMYFUNCTION("IFs(REGEXMATCH(I65, ""NOT""), 0, REGEXMATCH(I65, ""NO""), 0, REGEXMATCH(I65, ""TURBID""),1, COUNTBLANK(I65),"""", istext(I65),"""")"),"")</f>
        <v/>
      </c>
      <c r="I65" s="23" t="str">
        <f>'3.5.raw'!R65</f>
        <v/>
      </c>
    </row>
    <row r="66">
      <c r="A66" s="23" t="str">
        <f t="shared" si="1"/>
        <v>PLc1005</v>
      </c>
      <c r="B66" s="23" t="str">
        <f>'3.5.raw'!I66</f>
        <v>PLc1005</v>
      </c>
      <c r="C66" s="24">
        <f>datevalue(left('3.5.raw'!K66,10))</f>
        <v>43612</v>
      </c>
      <c r="D66" s="23" t="str">
        <f>'3.5.raw'!H66</f>
        <v>11</v>
      </c>
      <c r="E66" s="1">
        <v>3.5</v>
      </c>
      <c r="F66" s="23" t="b">
        <f>if(countif(Status!C:C,A66)=1,TRUE, FALSE)</f>
        <v>1</v>
      </c>
      <c r="H66" s="23" t="str">
        <f>IFERROR(__xludf.DUMMYFUNCTION("IFs(REGEXMATCH(I66, ""NOT""), 0, REGEXMATCH(I66, ""NO""), 0, REGEXMATCH(I66, ""TURBID""),1, COUNTBLANK(I66),"""", istext(I66),"""")"),"")</f>
        <v/>
      </c>
      <c r="I66" s="23" t="str">
        <f>'3.5.raw'!R66</f>
        <v/>
      </c>
    </row>
    <row r="67">
      <c r="A67" s="23" t="str">
        <f t="shared" si="1"/>
        <v>PLc1006</v>
      </c>
      <c r="B67" s="23" t="str">
        <f>'3.5.raw'!I67</f>
        <v>PLc1006</v>
      </c>
      <c r="C67" s="24">
        <f>datevalue(left('3.5.raw'!K67,10))</f>
        <v>43615</v>
      </c>
      <c r="D67" s="23" t="str">
        <f>'3.5.raw'!H67</f>
        <v>11</v>
      </c>
      <c r="E67" s="1">
        <v>3.5</v>
      </c>
      <c r="F67" s="23" t="b">
        <f>if(countif(Status!C:C,A67)=1,TRUE, FALSE)</f>
        <v>1</v>
      </c>
      <c r="H67" s="23" t="str">
        <f>IFERROR(__xludf.DUMMYFUNCTION("IFs(REGEXMATCH(I67, ""NOT""), 0, REGEXMATCH(I67, ""NO""), 0, REGEXMATCH(I67, ""TURBID""),1, COUNTBLANK(I67),"""", istext(I67),"""")"),"")</f>
        <v/>
      </c>
      <c r="I67" s="23" t="str">
        <f>'3.5.raw'!R67</f>
        <v/>
      </c>
    </row>
    <row r="68">
      <c r="A68" s="23" t="str">
        <f t="shared" si="1"/>
        <v>MO1009</v>
      </c>
      <c r="B68" s="23" t="str">
        <f>'3.5.raw'!I68</f>
        <v>MO1009</v>
      </c>
      <c r="C68" s="24">
        <f>datevalue(left('3.5.raw'!K68,10))</f>
        <v>43601</v>
      </c>
      <c r="D68" s="23" t="str">
        <f>'3.5.raw'!H68</f>
        <v>12</v>
      </c>
      <c r="E68" s="1">
        <v>3.5</v>
      </c>
      <c r="F68" s="23" t="b">
        <f>if(countif(Status!C:C,A68)=1,TRUE, FALSE)</f>
        <v>1</v>
      </c>
      <c r="H68" s="23" t="str">
        <f>IFERROR(__xludf.DUMMYFUNCTION("IFs(REGEXMATCH(I68, ""NOT""), 0, REGEXMATCH(I68, ""NO""), 0, REGEXMATCH(I68, ""TURBID""),1, COUNTBLANK(I68),"""", istext(I68),"""")"),"")</f>
        <v/>
      </c>
      <c r="I68" s="23" t="str">
        <f>'3.5.raw'!R68</f>
        <v/>
      </c>
    </row>
    <row r="69">
      <c r="A69" s="23" t="str">
        <f t="shared" si="1"/>
        <v>MO1010</v>
      </c>
      <c r="B69" s="23" t="str">
        <f>'3.5.raw'!I69</f>
        <v>MO1010</v>
      </c>
      <c r="C69" s="24">
        <f>datevalue(left('3.5.raw'!K69,10))</f>
        <v>43601</v>
      </c>
      <c r="D69" s="23" t="str">
        <f>'3.5.raw'!H69</f>
        <v>12</v>
      </c>
      <c r="E69" s="1">
        <v>3.5</v>
      </c>
      <c r="F69" s="23" t="b">
        <f>if(countif(Status!C:C,A69)=1,TRUE, FALSE)</f>
        <v>1</v>
      </c>
      <c r="H69" s="23" t="str">
        <f>IFERROR(__xludf.DUMMYFUNCTION("IFs(REGEXMATCH(I69, ""NOT""), 0, REGEXMATCH(I69, ""NO""), 0, REGEXMATCH(I69, ""TURBID""),1, COUNTBLANK(I69),"""", istext(I69),"""")"),"")</f>
        <v/>
      </c>
      <c r="I69" s="23" t="str">
        <f>'3.5.raw'!R69</f>
        <v/>
      </c>
    </row>
    <row r="70">
      <c r="A70" s="23" t="str">
        <f t="shared" si="1"/>
        <v>MO1011</v>
      </c>
      <c r="B70" s="23" t="str">
        <f>'3.5.raw'!I70</f>
        <v>MO1011</v>
      </c>
      <c r="C70" s="24">
        <f>datevalue(left('3.5.raw'!K70,10))</f>
        <v>43613</v>
      </c>
      <c r="D70" s="23" t="str">
        <f>'3.5.raw'!H70</f>
        <v>12</v>
      </c>
      <c r="E70" s="1">
        <v>3.5</v>
      </c>
      <c r="F70" s="23" t="b">
        <f>if(countif(Status!C:C,A70)=1,TRUE, FALSE)</f>
        <v>1</v>
      </c>
      <c r="H70" s="23" t="str">
        <f>IFERROR(__xludf.DUMMYFUNCTION("IFs(REGEXMATCH(I70, ""NOT""), 0, REGEXMATCH(I70, ""NO""), 0, REGEXMATCH(I70, ""TURBID""),1, COUNTBLANK(I70),"""", istext(I70),"""")"),"")</f>
        <v/>
      </c>
      <c r="I70" s="23" t="str">
        <f>'3.5.raw'!R70</f>
        <v/>
      </c>
    </row>
    <row r="71">
      <c r="A71" s="23" t="str">
        <f t="shared" si="1"/>
        <v>MO1012</v>
      </c>
      <c r="B71" s="23" t="str">
        <f>'3.5.raw'!I71</f>
        <v>MO1012</v>
      </c>
      <c r="C71" s="24">
        <f>datevalue(left('3.5.raw'!K71,10))</f>
        <v>43613</v>
      </c>
      <c r="D71" s="23" t="str">
        <f>'3.5.raw'!H71</f>
        <v>12</v>
      </c>
      <c r="E71" s="1">
        <v>3.5</v>
      </c>
      <c r="F71" s="23" t="b">
        <f>if(countif(Status!C:C,A71)=1,TRUE, FALSE)</f>
        <v>1</v>
      </c>
      <c r="H71" s="23" t="str">
        <f>IFERROR(__xludf.DUMMYFUNCTION("IFs(REGEXMATCH(I71, ""NOT""), 0, REGEXMATCH(I71, ""NO""), 0, REGEXMATCH(I71, ""TURBID""),1, COUNTBLANK(I71),"""", istext(I71),"""")"),"")</f>
        <v/>
      </c>
      <c r="I71" s="23" t="str">
        <f>'3.5.raw'!R71</f>
        <v/>
      </c>
    </row>
    <row r="72">
      <c r="A72" s="23" t="str">
        <f t="shared" si="1"/>
        <v>MO1013</v>
      </c>
      <c r="B72" s="23" t="str">
        <f>'3.5.raw'!I72</f>
        <v>MO1013</v>
      </c>
      <c r="C72" s="24">
        <f>datevalue(left('3.5.raw'!K72,10))</f>
        <v>43615</v>
      </c>
      <c r="D72" s="23" t="str">
        <f>'3.5.raw'!H72</f>
        <v>12</v>
      </c>
      <c r="E72" s="1">
        <v>3.5</v>
      </c>
      <c r="F72" s="23" t="b">
        <f>if(countif(Status!C:C,A72)=1,TRUE, FALSE)</f>
        <v>1</v>
      </c>
      <c r="H72" s="23" t="str">
        <f>IFERROR(__xludf.DUMMYFUNCTION("IFs(REGEXMATCH(I72, ""NOT""), 0, REGEXMATCH(I72, ""NO""), 0, REGEXMATCH(I72, ""TURBID""),1, COUNTBLANK(I72),"""", istext(I72),"""")"),"")</f>
        <v/>
      </c>
      <c r="I72" s="23" t="str">
        <f>'3.5.raw'!R72</f>
        <v/>
      </c>
    </row>
    <row r="73">
      <c r="A73" s="23" t="str">
        <f t="shared" si="1"/>
        <v>MO1014</v>
      </c>
      <c r="B73" s="23" t="str">
        <f>'3.5.raw'!I73</f>
        <v>MO1014</v>
      </c>
      <c r="C73" s="24">
        <f>datevalue(left('3.5.raw'!K73,10))</f>
        <v>43615</v>
      </c>
      <c r="D73" s="23" t="str">
        <f>'3.5.raw'!H73</f>
        <v>12</v>
      </c>
      <c r="E73" s="1">
        <v>3.5</v>
      </c>
      <c r="F73" s="23" t="b">
        <f>if(countif(Status!C:C,A73)=1,TRUE, FALSE)</f>
        <v>1</v>
      </c>
      <c r="H73" s="23" t="str">
        <f>IFERROR(__xludf.DUMMYFUNCTION("IFs(REGEXMATCH(I73, ""NOT""), 0, REGEXMATCH(I73, ""NO""), 0, REGEXMATCH(I73, ""TURBID""),1, COUNTBLANK(I73),"""", istext(I73),"""")"),"")</f>
        <v/>
      </c>
      <c r="I73" s="23" t="str">
        <f>'3.5.raw'!R73</f>
        <v/>
      </c>
    </row>
    <row r="74">
      <c r="A74" s="23" t="str">
        <f t="shared" si="1"/>
        <v>MO1015</v>
      </c>
      <c r="B74" s="23" t="str">
        <f>'3.5.raw'!I74</f>
        <v>MO1015</v>
      </c>
      <c r="C74" s="24">
        <f>datevalue(left('3.5.raw'!K74,10))</f>
        <v>43620</v>
      </c>
      <c r="D74" s="23" t="str">
        <f>'3.5.raw'!H74</f>
        <v>12</v>
      </c>
      <c r="E74" s="1">
        <v>3.5</v>
      </c>
      <c r="F74" s="23" t="b">
        <f>if(countif(Status!C:C,A74)=1,TRUE, FALSE)</f>
        <v>1</v>
      </c>
      <c r="H74" s="23" t="str">
        <f>IFERROR(__xludf.DUMMYFUNCTION("IFs(REGEXMATCH(I74, ""NOT""), 0, REGEXMATCH(I74, ""NO""), 0, REGEXMATCH(I74, ""TURBID""),1, COUNTBLANK(I74),"""", istext(I74),"""")"),"")</f>
        <v/>
      </c>
      <c r="I74" s="23" t="str">
        <f>'3.5.raw'!R74</f>
        <v/>
      </c>
    </row>
    <row r="75">
      <c r="A75" s="23" t="str">
        <f t="shared" si="1"/>
        <v>MO1016</v>
      </c>
      <c r="B75" s="23" t="str">
        <f>'3.5.raw'!I75</f>
        <v>MO1016</v>
      </c>
      <c r="C75" s="24">
        <f>datevalue(left('3.5.raw'!K75,10))</f>
        <v>43620</v>
      </c>
      <c r="D75" s="23" t="str">
        <f>'3.5.raw'!H75</f>
        <v>12</v>
      </c>
      <c r="E75" s="1">
        <v>3.5</v>
      </c>
      <c r="F75" s="23" t="b">
        <f>if(countif(Status!C:C,A75)=1,TRUE, FALSE)</f>
        <v>1</v>
      </c>
      <c r="H75" s="23" t="str">
        <f>IFERROR(__xludf.DUMMYFUNCTION("IFs(REGEXMATCH(I75, ""NOT""), 0, REGEXMATCH(I75, ""NO""), 0, REGEXMATCH(I75, ""TURBID""),1, COUNTBLANK(I75),"""", istext(I75),"""")"),"")</f>
        <v/>
      </c>
      <c r="I75" s="23" t="str">
        <f>'3.5.raw'!R75</f>
        <v/>
      </c>
    </row>
    <row r="76">
      <c r="A76" s="23" t="str">
        <f t="shared" si="1"/>
        <v>MO1017</v>
      </c>
      <c r="B76" s="23" t="str">
        <f>'3.5.raw'!I76</f>
        <v>MO1017</v>
      </c>
      <c r="C76" s="24">
        <f>datevalue(left('3.5.raw'!K76,10))</f>
        <v>43622</v>
      </c>
      <c r="D76" s="23" t="str">
        <f>'3.5.raw'!H76</f>
        <v>12</v>
      </c>
      <c r="E76" s="1">
        <v>3.5</v>
      </c>
      <c r="F76" s="23" t="b">
        <f>if(countif(Status!C:C,A76)=1,TRUE, FALSE)</f>
        <v>1</v>
      </c>
      <c r="H76" s="23" t="str">
        <f>IFERROR(__xludf.DUMMYFUNCTION("IFs(REGEXMATCH(I76, ""NOT""), 0, REGEXMATCH(I76, ""NO""), 0, REGEXMATCH(I76, ""TURBID""),1, COUNTBLANK(I76),"""", istext(I76),"""")"),"")</f>
        <v/>
      </c>
      <c r="I76" s="23" t="str">
        <f>'3.5.raw'!R76</f>
        <v/>
      </c>
    </row>
    <row r="77">
      <c r="A77" s="23" t="str">
        <f t="shared" si="1"/>
        <v>MO1018</v>
      </c>
      <c r="B77" s="23" t="str">
        <f>'3.5.raw'!I77</f>
        <v>MO1018</v>
      </c>
      <c r="C77" s="24">
        <f>datevalue(left('3.5.raw'!K77,10))</f>
        <v>43622</v>
      </c>
      <c r="D77" s="23" t="str">
        <f>'3.5.raw'!H77</f>
        <v>12</v>
      </c>
      <c r="E77" s="1">
        <v>3.5</v>
      </c>
      <c r="F77" s="23" t="b">
        <f>if(countif(Status!C:C,A77)=1,TRUE, FALSE)</f>
        <v>1</v>
      </c>
      <c r="H77" s="23" t="str">
        <f>IFERROR(__xludf.DUMMYFUNCTION("IFs(REGEXMATCH(I77, ""NOT""), 0, REGEXMATCH(I77, ""NO""), 0, REGEXMATCH(I77, ""TURBID""),1, COUNTBLANK(I77),"""", istext(I77),"""")"),"")</f>
        <v/>
      </c>
      <c r="I77" s="23" t="str">
        <f>'3.5.raw'!R77</f>
        <v/>
      </c>
    </row>
    <row r="78">
      <c r="A78" s="23" t="str">
        <f t="shared" si="1"/>
        <v>MO1043</v>
      </c>
      <c r="B78" s="23" t="str">
        <f>'3.5.raw'!I78</f>
        <v>MO1043</v>
      </c>
      <c r="C78" s="24">
        <f>datevalue(left('3.5.raw'!K78,10))</f>
        <v>43648</v>
      </c>
      <c r="D78" s="23" t="str">
        <f>'3.5.raw'!H78</f>
        <v>12</v>
      </c>
      <c r="E78" s="1">
        <v>3.5</v>
      </c>
      <c r="F78" s="23" t="b">
        <f>if(countif(Status!C:C,A78)=1,TRUE, FALSE)</f>
        <v>1</v>
      </c>
      <c r="H78" s="23" t="str">
        <f>IFERROR(__xludf.DUMMYFUNCTION("IFs(REGEXMATCH(I78, ""NOT""), 0, REGEXMATCH(I78, ""NO""), 0, REGEXMATCH(I78, ""TURBID""),1, COUNTBLANK(I78),"""", istext(I78),"""")"),"")</f>
        <v/>
      </c>
      <c r="I78" s="23" t="str">
        <f>'3.5.raw'!R78</f>
        <v/>
      </c>
    </row>
    <row r="79">
      <c r="A79" s="23" t="str">
        <f t="shared" si="1"/>
        <v>MO1044</v>
      </c>
      <c r="B79" s="23" t="str">
        <f>'3.5.raw'!I79</f>
        <v>MO1044</v>
      </c>
      <c r="C79" s="24">
        <f>datevalue(left('3.5.raw'!K79,10))</f>
        <v>43648</v>
      </c>
      <c r="D79" s="23" t="str">
        <f>'3.5.raw'!H79</f>
        <v>12</v>
      </c>
      <c r="E79" s="1">
        <v>3.5</v>
      </c>
      <c r="F79" s="23" t="b">
        <f>if(countif(Status!C:C,A79)=1,TRUE, FALSE)</f>
        <v>1</v>
      </c>
      <c r="H79" s="23" t="str">
        <f>IFERROR(__xludf.DUMMYFUNCTION("IFs(REGEXMATCH(I79, ""NOT""), 0, REGEXMATCH(I79, ""NO""), 0, REGEXMATCH(I79, ""TURBID""),1, COUNTBLANK(I79),"""", istext(I79),"""")"),"")</f>
        <v/>
      </c>
      <c r="I79" s="23" t="str">
        <f>'3.5.raw'!R79</f>
        <v/>
      </c>
    </row>
    <row r="80">
      <c r="A80" s="23" t="str">
        <f t="shared" si="1"/>
        <v>MO1045</v>
      </c>
      <c r="B80" s="23" t="str">
        <f>'3.5.raw'!I80</f>
        <v>MO1045</v>
      </c>
      <c r="C80" s="24">
        <f>datevalue(left('3.5.raw'!K80,10))</f>
        <v>43648</v>
      </c>
      <c r="D80" s="23" t="str">
        <f>'3.5.raw'!H80</f>
        <v>12</v>
      </c>
      <c r="E80" s="1">
        <v>3.5</v>
      </c>
      <c r="F80" s="23" t="b">
        <f>if(countif(Status!C:C,A80)=1,TRUE, FALSE)</f>
        <v>1</v>
      </c>
      <c r="H80" s="23" t="str">
        <f>IFERROR(__xludf.DUMMYFUNCTION("IFs(REGEXMATCH(I80, ""NOT""), 0, REGEXMATCH(I80, ""NO""), 0, REGEXMATCH(I80, ""TURBID""),1, COUNTBLANK(I80),"""", istext(I80),"""")"),"")</f>
        <v/>
      </c>
      <c r="I80" s="23" t="str">
        <f>'3.5.raw'!R80</f>
        <v/>
      </c>
    </row>
    <row r="81">
      <c r="A81" s="23" t="str">
        <f t="shared" si="1"/>
        <v>MO1046</v>
      </c>
      <c r="B81" s="23" t="str">
        <f>'3.5.raw'!I81</f>
        <v>MO1046</v>
      </c>
      <c r="C81" s="24">
        <f>datevalue(left('3.5.raw'!K81,10))</f>
        <v>43648</v>
      </c>
      <c r="D81" s="23" t="str">
        <f>'3.5.raw'!H81</f>
        <v>12</v>
      </c>
      <c r="E81" s="1">
        <v>3.5</v>
      </c>
      <c r="F81" s="23" t="b">
        <f>if(countif(Status!C:C,A81)=1,TRUE, FALSE)</f>
        <v>1</v>
      </c>
      <c r="H81" s="23" t="str">
        <f>IFERROR(__xludf.DUMMYFUNCTION("IFs(REGEXMATCH(I81, ""NOT""), 0, REGEXMATCH(I81, ""NO""), 0, REGEXMATCH(I81, ""TURBID""),1, COUNTBLANK(I81),"""", istext(I81),"""")"),"")</f>
        <v/>
      </c>
      <c r="I81" s="23" t="str">
        <f>'3.5.raw'!R81</f>
        <v/>
      </c>
    </row>
    <row r="82">
      <c r="A82" s="23" t="str">
        <f t="shared" si="1"/>
        <v>MO1047</v>
      </c>
      <c r="B82" s="23" t="str">
        <f>'3.5.raw'!I82</f>
        <v>MO1047</v>
      </c>
      <c r="C82" s="24">
        <f>datevalue(left('3.5.raw'!K82,10))</f>
        <v>43650</v>
      </c>
      <c r="D82" s="23" t="str">
        <f>'3.5.raw'!H82</f>
        <v>12</v>
      </c>
      <c r="E82" s="1">
        <v>3.5</v>
      </c>
      <c r="F82" s="23" t="b">
        <f>if(countif(Status!C:C,A82)=1,TRUE, FALSE)</f>
        <v>1</v>
      </c>
      <c r="H82" s="23" t="str">
        <f>IFERROR(__xludf.DUMMYFUNCTION("IFs(REGEXMATCH(I82, ""NOT""), 0, REGEXMATCH(I82, ""NO""), 0, REGEXMATCH(I82, ""TURBID""),1, COUNTBLANK(I82),"""", istext(I82),"""")"),"")</f>
        <v/>
      </c>
      <c r="I82" s="23" t="str">
        <f>'3.5.raw'!R82</f>
        <v>COLLECTION SITE OF SAMPLE MO1047- CHINGRIGHATA DPS .</v>
      </c>
    </row>
    <row r="83">
      <c r="A83" s="23" t="str">
        <f t="shared" si="1"/>
        <v>MO1048</v>
      </c>
      <c r="B83" s="23" t="str">
        <f>'3.5.raw'!I83</f>
        <v>MO 1048</v>
      </c>
      <c r="C83" s="24">
        <f>datevalue(left('3.5.raw'!K83,10))</f>
        <v>43650</v>
      </c>
      <c r="D83" s="23" t="str">
        <f>'3.5.raw'!H83</f>
        <v>12</v>
      </c>
      <c r="E83" s="1">
        <v>3.5</v>
      </c>
      <c r="F83" s="23" t="b">
        <f>if(countif(Status!C:C,A83)=1,TRUE, FALSE)</f>
        <v>1</v>
      </c>
      <c r="H83" s="23" t="str">
        <f>IFERROR(__xludf.DUMMYFUNCTION("IFs(REGEXMATCH(I83, ""NOT""), 0, REGEXMATCH(I83, ""NO""), 0, REGEXMATCH(I83, ""TURBID""),1, COUNTBLANK(I83),"""", istext(I83),"""")"),"")</f>
        <v/>
      </c>
      <c r="I83" s="23" t="str">
        <f>'3.5.raw'!R83</f>
        <v>COLLECTION SITE OF MO 1048- KULIA TANGRA DPS.</v>
      </c>
    </row>
    <row r="84">
      <c r="A84" s="23" t="str">
        <f t="shared" si="1"/>
        <v>MO1049</v>
      </c>
      <c r="B84" s="23" t="str">
        <f>'3.5.raw'!I84</f>
        <v>MO1049</v>
      </c>
      <c r="C84" s="24">
        <f>datevalue(left('3.5.raw'!K84,10))</f>
        <v>43650</v>
      </c>
      <c r="D84" s="23" t="str">
        <f>'3.5.raw'!H84</f>
        <v>12</v>
      </c>
      <c r="E84" s="1">
        <v>3.5</v>
      </c>
      <c r="F84" s="23" t="b">
        <f>if(countif(Status!C:C,A84)=1,TRUE, FALSE)</f>
        <v>1</v>
      </c>
      <c r="H84" s="23" t="str">
        <f>IFERROR(__xludf.DUMMYFUNCTION("IFs(REGEXMATCH(I84, ""NOT""), 0, REGEXMATCH(I84, ""NO""), 0, REGEXMATCH(I84, ""TURBID""),1, COUNTBLANK(I84),"""", istext(I84),"""")"),"")</f>
        <v/>
      </c>
      <c r="I84" s="23" t="str">
        <f>'3.5.raw'!R84</f>
        <v>COLLECTION SITE OF MO 1049- PALMER BAZAR DPS.</v>
      </c>
    </row>
    <row r="85">
      <c r="A85" s="23" t="str">
        <f t="shared" si="1"/>
        <v>MO1050</v>
      </c>
      <c r="B85" s="23" t="str">
        <f>'3.5.raw'!I85</f>
        <v>MO1050</v>
      </c>
      <c r="C85" s="24">
        <f>datevalue(left('3.5.raw'!K85,10))</f>
        <v>43650</v>
      </c>
      <c r="D85" s="23" t="str">
        <f>'3.5.raw'!H85</f>
        <v>12</v>
      </c>
      <c r="E85" s="1">
        <v>3.5</v>
      </c>
      <c r="F85" s="23" t="b">
        <f>if(countif(Status!C:C,A85)=1,TRUE, FALSE)</f>
        <v>1</v>
      </c>
      <c r="H85" s="23" t="str">
        <f>IFERROR(__xludf.DUMMYFUNCTION("IFs(REGEXMATCH(I85, ""NOT""), 0, REGEXMATCH(I85, ""NO""), 0, REGEXMATCH(I85, ""TURBID""),1, COUNTBLANK(I85),"""", istext(I85),"""")"),"")</f>
        <v/>
      </c>
      <c r="I85" s="23" t="str">
        <f>'3.5.raw'!R85</f>
        <v>COLLECTION SITE OF MO1050- BALLYGUNGE DPS.</v>
      </c>
    </row>
    <row r="86">
      <c r="A86" s="23" t="str">
        <f t="shared" si="1"/>
        <v>MO1048</v>
      </c>
      <c r="B86" s="23" t="str">
        <f>'3.5.raw'!I86</f>
        <v>MO1048</v>
      </c>
      <c r="C86" s="24">
        <f>datevalue(left('3.5.raw'!K86,10))</f>
        <v>43650</v>
      </c>
      <c r="D86" s="23" t="str">
        <f>'3.5.raw'!H86</f>
        <v>12</v>
      </c>
      <c r="E86" s="1">
        <v>3.5</v>
      </c>
      <c r="F86" s="23" t="b">
        <f>if(countif(Status!C:C,A86)=1,TRUE, FALSE)</f>
        <v>1</v>
      </c>
      <c r="H86" s="23" t="str">
        <f>IFERROR(__xludf.DUMMYFUNCTION("IFs(REGEXMATCH(I86, ""NOT""), 0, REGEXMATCH(I86, ""NO""), 0, REGEXMATCH(I86, ""TURBID""),1, COUNTBLANK(I86),"""", istext(I86),"""")"),"")</f>
        <v/>
      </c>
      <c r="I86" s="23" t="str">
        <f>'3.5.raw'!R86</f>
        <v/>
      </c>
    </row>
    <row r="87">
      <c r="A87" s="23" t="str">
        <f t="shared" si="1"/>
        <v>SF1008</v>
      </c>
      <c r="B87" s="23" t="str">
        <f>'3.5.raw'!I87</f>
        <v>SF1008</v>
      </c>
      <c r="C87" s="24">
        <f>datevalue(left('3.5.raw'!K87,10))</f>
        <v>43620</v>
      </c>
      <c r="D87" s="23" t="str">
        <f>'3.5.raw'!H87</f>
        <v>10</v>
      </c>
      <c r="E87" s="1">
        <v>3.5</v>
      </c>
      <c r="F87" s="23" t="b">
        <f>if(countif(Status!C:C,A87)=1,TRUE, FALSE)</f>
        <v>1</v>
      </c>
      <c r="H87" s="23" t="str">
        <f>IFERROR(__xludf.DUMMYFUNCTION("IFs(REGEXMATCH(I87, ""NOT""), 0, REGEXMATCH(I87, ""NO""), 0, REGEXMATCH(I87, ""TURBID""),1, COUNTBLANK(I87),"""", istext(I87),"""")"),"")</f>
        <v/>
      </c>
      <c r="I87" s="23" t="str">
        <f>'3.5.raw'!R87</f>
        <v/>
      </c>
    </row>
    <row r="88">
      <c r="A88" s="23" t="str">
        <f t="shared" si="1"/>
        <v>SF1001</v>
      </c>
      <c r="B88" s="23" t="str">
        <f>'3.5.raw'!I88</f>
        <v>SF1001</v>
      </c>
      <c r="C88" s="24">
        <f>datevalue(left('3.5.raw'!K88,10))</f>
        <v>43599</v>
      </c>
      <c r="D88" s="23" t="str">
        <f>'3.5.raw'!H88</f>
        <v>10</v>
      </c>
      <c r="E88" s="1">
        <v>3.5</v>
      </c>
      <c r="F88" s="23" t="b">
        <f>if(countif(Status!C:C,A88)=1,TRUE, FALSE)</f>
        <v>1</v>
      </c>
      <c r="H88" s="23" t="str">
        <f>IFERROR(__xludf.DUMMYFUNCTION("IFs(REGEXMATCH(I88, ""NOT""), 0, REGEXMATCH(I88, ""NO""), 0, REGEXMATCH(I88, ""TURBID""),1, COUNTBLANK(I88),"""", istext(I88),"""")"),"")</f>
        <v/>
      </c>
      <c r="I88" s="23" t="str">
        <f>'3.5.raw'!R88</f>
        <v>FOOD TYPES- CHANA MASALA; WEIGHT-150 GM.</v>
      </c>
    </row>
    <row r="89">
      <c r="A89" s="23" t="str">
        <f t="shared" si="1"/>
        <v>FB1002UP</v>
      </c>
      <c r="B89" s="23" t="str">
        <f>'3.5.raw'!I89</f>
        <v>FB1002UP</v>
      </c>
      <c r="C89" s="24">
        <f>datevalue(left('3.5.raw'!K89,10))</f>
        <v>43643</v>
      </c>
      <c r="D89" s="23" t="str">
        <f>'3.5.raw'!H89</f>
        <v>99</v>
      </c>
      <c r="E89" s="1">
        <v>3.5</v>
      </c>
      <c r="F89" s="23" t="b">
        <f>if(countif(Status!C:C,A89)=1,TRUE, FALSE)</f>
        <v>1</v>
      </c>
      <c r="H89" s="23" t="str">
        <f>IFERROR(__xludf.DUMMYFUNCTION("IFs(REGEXMATCH(I89, ""NOT""), 0, REGEXMATCH(I89, ""NO""), 0, REGEXMATCH(I89, ""TURBID""),1, COUNTBLANK(I89),"""", istext(I89),"""")"),"")</f>
        <v/>
      </c>
      <c r="I89" s="23" t="str">
        <f>'3.5.raw'!R89</f>
        <v/>
      </c>
    </row>
    <row r="90">
      <c r="A90" s="23" t="str">
        <f t="shared" si="1"/>
        <v>FB1003UP</v>
      </c>
      <c r="B90" s="23" t="str">
        <f>'3.5.raw'!I90</f>
        <v>FB1003UP</v>
      </c>
      <c r="C90" s="24">
        <f>datevalue(left('3.5.raw'!K90,10))</f>
        <v>43643</v>
      </c>
      <c r="D90" s="23" t="str">
        <f>'3.5.raw'!H90</f>
        <v>99</v>
      </c>
      <c r="E90" s="1">
        <v>3.5</v>
      </c>
      <c r="F90" s="23" t="b">
        <f>if(countif(Status!C:C,A90)=1,TRUE, FALSE)</f>
        <v>1</v>
      </c>
      <c r="H90" s="23" t="str">
        <f>IFERROR(__xludf.DUMMYFUNCTION("IFs(REGEXMATCH(I90, ""NOT""), 0, REGEXMATCH(I90, ""NO""), 0, REGEXMATCH(I90, ""TURBID""),1, COUNTBLANK(I90),"""", istext(I90),"""")"),"")</f>
        <v/>
      </c>
      <c r="I90" s="23" t="str">
        <f>'3.5.raw'!R90</f>
        <v/>
      </c>
    </row>
    <row r="91">
      <c r="A91" s="23" t="str">
        <f t="shared" si="1"/>
        <v>FB1004UP</v>
      </c>
      <c r="B91" s="23" t="str">
        <f>'3.5.raw'!I91</f>
        <v>FB1004UP</v>
      </c>
      <c r="C91" s="24">
        <f>datevalue(left('3.5.raw'!K91,10))</f>
        <v>43648</v>
      </c>
      <c r="D91" s="23" t="str">
        <f>'3.5.raw'!H91</f>
        <v>99</v>
      </c>
      <c r="E91" s="1">
        <v>3.5</v>
      </c>
      <c r="F91" s="23" t="b">
        <f>if(countif(Status!C:C,A91)=1,TRUE, FALSE)</f>
        <v>1</v>
      </c>
      <c r="H91" s="23" t="str">
        <f>IFERROR(__xludf.DUMMYFUNCTION("IFs(REGEXMATCH(I91, ""NOT""), 0, REGEXMATCH(I91, ""NO""), 0, REGEXMATCH(I91, ""TURBID""),1, COUNTBLANK(I91),"""", istext(I91),"""")"),"")</f>
        <v/>
      </c>
      <c r="I91" s="23" t="str">
        <f>'3.5.raw'!R91</f>
        <v/>
      </c>
    </row>
    <row r="92">
      <c r="A92" s="23" t="str">
        <f t="shared" si="1"/>
        <v>FB1005UP</v>
      </c>
      <c r="B92" s="23" t="str">
        <f>'3.5.raw'!I92</f>
        <v>FB1005UP</v>
      </c>
      <c r="C92" s="24">
        <f>datevalue(left('3.5.raw'!K92,10))</f>
        <v>43650</v>
      </c>
      <c r="D92" s="23" t="str">
        <f>'3.5.raw'!H92</f>
        <v>99</v>
      </c>
      <c r="E92" s="1">
        <v>3.5</v>
      </c>
      <c r="F92" s="23" t="b">
        <f>if(countif(Status!C:C,A92)=1,TRUE, FALSE)</f>
        <v>1</v>
      </c>
      <c r="H92" s="23">
        <f>IFERROR(__xludf.DUMMYFUNCTION("IFs(REGEXMATCH(I92, ""NOT""), 0, REGEXMATCH(I92, ""NO""), 0, REGEXMATCH(I92, ""TURBID""),1, COUNTBLANK(I92),"""", istext(I92),"""")"),1.0)</f>
        <v>1</v>
      </c>
      <c r="I92" s="23" t="str">
        <f>'3.5.raw'!R92</f>
        <v>THE SAMPLE  (FB1005UP) WAS TURBID.</v>
      </c>
    </row>
    <row r="93">
      <c r="A93" s="23" t="str">
        <f t="shared" si="1"/>
        <v>PL1009</v>
      </c>
      <c r="B93" s="23" t="str">
        <f>'3.5.raw'!I93</f>
        <v>PL1009</v>
      </c>
      <c r="C93" s="24">
        <f>datevalue(left('3.5.raw'!K93,10))</f>
        <v>43654</v>
      </c>
      <c r="D93" s="23" t="str">
        <f>'3.5.raw'!H93</f>
        <v>11</v>
      </c>
      <c r="E93" s="1">
        <v>3.5</v>
      </c>
      <c r="F93" s="23" t="b">
        <f>if(countif(Status!C:C,A93)=1,TRUE, FALSE)</f>
        <v>1</v>
      </c>
      <c r="H93" s="23" t="str">
        <f>IFERROR(__xludf.DUMMYFUNCTION("IFs(REGEXMATCH(I93, ""NOT""), 0, REGEXMATCH(I93, ""NO""), 0, REGEXMATCH(I93, ""TURBID""),1, COUNTBLANK(I93),"""", istext(I93),"""")"),"")</f>
        <v/>
      </c>
      <c r="I93" s="23" t="str">
        <f>'3.5.raw'!R93</f>
        <v/>
      </c>
    </row>
    <row r="94">
      <c r="A94" s="23" t="str">
        <f t="shared" si="1"/>
        <v>MO1051</v>
      </c>
      <c r="B94" s="23" t="str">
        <f>'3.5.raw'!I94</f>
        <v>MO1051</v>
      </c>
      <c r="C94" s="24">
        <f>datevalue(left('3.5.raw'!K94,10))</f>
        <v>43655</v>
      </c>
      <c r="D94" s="23" t="str">
        <f>'3.5.raw'!H94</f>
        <v>12</v>
      </c>
      <c r="E94" s="1">
        <v>3.5</v>
      </c>
      <c r="F94" s="23" t="b">
        <f>if(countif(Status!C:C,A94)=1,TRUE, FALSE)</f>
        <v>1</v>
      </c>
      <c r="H94" s="23" t="str">
        <f>IFERROR(__xludf.DUMMYFUNCTION("IFs(REGEXMATCH(I94, ""NOT""), 0, REGEXMATCH(I94, ""NO""), 0, REGEXMATCH(I94, ""TURBID""),1, COUNTBLANK(I94),"""", istext(I94),"""")"),"")</f>
        <v/>
      </c>
      <c r="I94" s="23" t="str">
        <f>'3.5.raw'!R94</f>
        <v/>
      </c>
    </row>
    <row r="95">
      <c r="A95" s="23" t="str">
        <f t="shared" si="1"/>
        <v>MO1052</v>
      </c>
      <c r="B95" s="23" t="str">
        <f>'3.5.raw'!I95</f>
        <v>MO1052</v>
      </c>
      <c r="C95" s="24">
        <f>datevalue(left('3.5.raw'!K95,10))</f>
        <v>43655</v>
      </c>
      <c r="D95" s="23" t="str">
        <f>'3.5.raw'!H95</f>
        <v>12</v>
      </c>
      <c r="E95" s="1">
        <v>3.5</v>
      </c>
      <c r="F95" s="23" t="b">
        <f>if(countif(Status!C:C,A95)=1,TRUE, FALSE)</f>
        <v>1</v>
      </c>
      <c r="H95" s="23" t="str">
        <f>IFERROR(__xludf.DUMMYFUNCTION("IFs(REGEXMATCH(I95, ""NOT""), 0, REGEXMATCH(I95, ""NO""), 0, REGEXMATCH(I95, ""TURBID""),1, COUNTBLANK(I95),"""", istext(I95),"""")"),"")</f>
        <v/>
      </c>
      <c r="I95" s="23" t="str">
        <f>'3.5.raw'!R95</f>
        <v/>
      </c>
    </row>
    <row r="96">
      <c r="A96" s="23" t="str">
        <f t="shared" si="1"/>
        <v>MO1053</v>
      </c>
      <c r="B96" s="23" t="str">
        <f>'3.5.raw'!I96</f>
        <v>MO1053</v>
      </c>
      <c r="C96" s="24">
        <f>datevalue(left('3.5.raw'!K96,10))</f>
        <v>43655</v>
      </c>
      <c r="D96" s="23" t="str">
        <f>'3.5.raw'!H96</f>
        <v>12</v>
      </c>
      <c r="E96" s="1">
        <v>3.5</v>
      </c>
      <c r="F96" s="23" t="b">
        <f>if(countif(Status!C:C,A96)=1,TRUE, FALSE)</f>
        <v>1</v>
      </c>
      <c r="H96" s="23" t="str">
        <f>IFERROR(__xludf.DUMMYFUNCTION("IFs(REGEXMATCH(I96, ""NOT""), 0, REGEXMATCH(I96, ""NO""), 0, REGEXMATCH(I96, ""TURBID""),1, COUNTBLANK(I96),"""", istext(I96),"""")"),"")</f>
        <v/>
      </c>
      <c r="I96" s="23" t="str">
        <f>'3.5.raw'!R96</f>
        <v/>
      </c>
    </row>
    <row r="97">
      <c r="A97" s="23" t="str">
        <f t="shared" si="1"/>
        <v>MO1054</v>
      </c>
      <c r="B97" s="23" t="str">
        <f>'3.5.raw'!I97</f>
        <v>MO1054</v>
      </c>
      <c r="C97" s="24">
        <f>datevalue(left('3.5.raw'!K97,10))</f>
        <v>43655</v>
      </c>
      <c r="D97" s="23" t="str">
        <f>'3.5.raw'!H97</f>
        <v>12</v>
      </c>
      <c r="E97" s="1">
        <v>3.5</v>
      </c>
      <c r="F97" s="23" t="b">
        <f>if(countif(Status!C:C,A97)=1,TRUE, FALSE)</f>
        <v>1</v>
      </c>
      <c r="H97" s="23" t="str">
        <f>IFERROR(__xludf.DUMMYFUNCTION("IFs(REGEXMATCH(I97, ""NOT""), 0, REGEXMATCH(I97, ""NO""), 0, REGEXMATCH(I97, ""TURBID""),1, COUNTBLANK(I97),"""", istext(I97),"""")"),"")</f>
        <v/>
      </c>
      <c r="I97" s="23" t="str">
        <f>'3.5.raw'!R97</f>
        <v/>
      </c>
    </row>
    <row r="98">
      <c r="A98" s="23" t="str">
        <f t="shared" si="1"/>
        <v>FB1006UP</v>
      </c>
      <c r="B98" s="23" t="str">
        <f>'3.5.raw'!I98</f>
        <v>FB1006UP</v>
      </c>
      <c r="C98" s="24">
        <f>datevalue(left('3.5.raw'!K98,10))</f>
        <v>43655</v>
      </c>
      <c r="D98" s="23" t="str">
        <f>'3.5.raw'!H98</f>
        <v>99</v>
      </c>
      <c r="E98" s="1">
        <v>3.5</v>
      </c>
      <c r="F98" s="23" t="b">
        <f>if(countif(Status!C:C,A98)=1,TRUE, FALSE)</f>
        <v>1</v>
      </c>
      <c r="H98" s="23" t="str">
        <f>IFERROR(__xludf.DUMMYFUNCTION("IFs(REGEXMATCH(I98, ""NOT""), 0, REGEXMATCH(I98, ""NO""), 0, REGEXMATCH(I98, ""TURBID""),1, COUNTBLANK(I98),"""", istext(I98),"""")"),"")</f>
        <v/>
      </c>
      <c r="I98" s="23" t="str">
        <f>'3.5.raw'!R98</f>
        <v/>
      </c>
    </row>
    <row r="99">
      <c r="A99" s="23" t="str">
        <f t="shared" si="1"/>
        <v>PL1010</v>
      </c>
      <c r="B99" s="23" t="str">
        <f>'3.5.raw'!I99</f>
        <v>PL1010</v>
      </c>
      <c r="C99" s="24">
        <f>datevalue(left('3.5.raw'!K99,10))</f>
        <v>43656</v>
      </c>
      <c r="D99" s="23" t="str">
        <f>'3.5.raw'!H99</f>
        <v>11</v>
      </c>
      <c r="E99" s="1">
        <v>3.5</v>
      </c>
      <c r="F99" s="23" t="b">
        <f>if(countif(Status!C:C,A99)=1,TRUE, FALSE)</f>
        <v>1</v>
      </c>
      <c r="H99" s="23" t="str">
        <f>IFERROR(__xludf.DUMMYFUNCTION("IFs(REGEXMATCH(I99, ""NOT""), 0, REGEXMATCH(I99, ""NO""), 0, REGEXMATCH(I99, ""TURBID""),1, COUNTBLANK(I99),"""", istext(I99),"""")"),"")</f>
        <v/>
      </c>
      <c r="I99" s="23" t="str">
        <f>'3.5.raw'!R99</f>
        <v/>
      </c>
    </row>
    <row r="100">
      <c r="A100" s="23" t="str">
        <f t="shared" si="1"/>
        <v>FB1007UP</v>
      </c>
      <c r="B100" s="23" t="str">
        <f>'3.5.raw'!I100</f>
        <v>FB1007UP</v>
      </c>
      <c r="C100" s="24">
        <f>datevalue(left('3.5.raw'!K100,10))</f>
        <v>43656</v>
      </c>
      <c r="D100" s="23" t="str">
        <f>'3.5.raw'!H100</f>
        <v>99</v>
      </c>
      <c r="E100" s="1">
        <v>3.5</v>
      </c>
      <c r="F100" s="23" t="b">
        <f>if(countif(Status!C:C,A100)=1,TRUE, FALSE)</f>
        <v>1</v>
      </c>
      <c r="H100" s="23" t="str">
        <f>IFERROR(__xludf.DUMMYFUNCTION("IFs(REGEXMATCH(I100, ""NOT""), 0, REGEXMATCH(I100, ""NO""), 0, REGEXMATCH(I100, ""TURBID""),1, COUNTBLANK(I100),"""", istext(I100),"""")"),"")</f>
        <v/>
      </c>
      <c r="I100" s="23" t="str">
        <f>'3.5.raw'!R100</f>
        <v>THIS SAMPLE (FB1007UP) IS COLLECTED FROM POOLED LATRINE SITE .</v>
      </c>
    </row>
    <row r="101">
      <c r="A101" s="23" t="str">
        <f t="shared" si="1"/>
        <v>MO1055</v>
      </c>
      <c r="B101" s="23" t="str">
        <f>'3.5.raw'!I101</f>
        <v>MO1055</v>
      </c>
      <c r="C101" s="24">
        <f>datevalue(left('3.5.raw'!K101,10))</f>
        <v>43657</v>
      </c>
      <c r="D101" s="23" t="str">
        <f>'3.5.raw'!H101</f>
        <v>12</v>
      </c>
      <c r="E101" s="1">
        <v>3.5</v>
      </c>
      <c r="F101" s="23" t="b">
        <f>if(countif(Status!C:C,A101)=1,TRUE, FALSE)</f>
        <v>1</v>
      </c>
      <c r="H101" s="23" t="str">
        <f>IFERROR(__xludf.DUMMYFUNCTION("IFs(REGEXMATCH(I101, ""NOT""), 0, REGEXMATCH(I101, ""NO""), 0, REGEXMATCH(I101, ""TURBID""),1, COUNTBLANK(I101),"""", istext(I101),"""")"),"")</f>
        <v/>
      </c>
      <c r="I101" s="23" t="str">
        <f>'3.5.raw'!R101</f>
        <v/>
      </c>
    </row>
    <row r="102">
      <c r="A102" s="23" t="str">
        <f t="shared" si="1"/>
        <v>MO1056</v>
      </c>
      <c r="B102" s="23" t="str">
        <f>'3.5.raw'!I102</f>
        <v>MO1056</v>
      </c>
      <c r="C102" s="24">
        <f>datevalue(left('3.5.raw'!K102,10))</f>
        <v>43657</v>
      </c>
      <c r="D102" s="23" t="str">
        <f>'3.5.raw'!H102</f>
        <v>12</v>
      </c>
      <c r="E102" s="1">
        <v>3.5</v>
      </c>
      <c r="F102" s="23" t="b">
        <f>if(countif(Status!C:C,A102)=1,TRUE, FALSE)</f>
        <v>1</v>
      </c>
      <c r="H102" s="23" t="str">
        <f>IFERROR(__xludf.DUMMYFUNCTION("IFs(REGEXMATCH(I102, ""NOT""), 0, REGEXMATCH(I102, ""NO""), 0, REGEXMATCH(I102, ""TURBID""),1, COUNTBLANK(I102),"""", istext(I102),"""")"),"")</f>
        <v/>
      </c>
      <c r="I102" s="23" t="str">
        <f>'3.5.raw'!R102</f>
        <v/>
      </c>
    </row>
    <row r="103">
      <c r="A103" s="23" t="str">
        <f t="shared" si="1"/>
        <v>MO1057</v>
      </c>
      <c r="B103" s="23" t="str">
        <f>'3.5.raw'!I103</f>
        <v>MO1057</v>
      </c>
      <c r="C103" s="24">
        <f>datevalue(left('3.5.raw'!K103,10))</f>
        <v>43657</v>
      </c>
      <c r="D103" s="23" t="str">
        <f>'3.5.raw'!H103</f>
        <v>12</v>
      </c>
      <c r="E103" s="1">
        <v>3.5</v>
      </c>
      <c r="F103" s="23" t="b">
        <f>if(countif(Status!C:C,A103)=1,TRUE, FALSE)</f>
        <v>1</v>
      </c>
      <c r="H103" s="23" t="str">
        <f>IFERROR(__xludf.DUMMYFUNCTION("IFs(REGEXMATCH(I103, ""NOT""), 0, REGEXMATCH(I103, ""NO""), 0, REGEXMATCH(I103, ""TURBID""),1, COUNTBLANK(I103),"""", istext(I103),"""")"),"")</f>
        <v/>
      </c>
      <c r="I103" s="23" t="str">
        <f>'3.5.raw'!R103</f>
        <v/>
      </c>
    </row>
    <row r="104">
      <c r="A104" s="23" t="str">
        <f t="shared" si="1"/>
        <v>MO1058</v>
      </c>
      <c r="B104" s="23" t="str">
        <f>'3.5.raw'!I104</f>
        <v>MO1058</v>
      </c>
      <c r="C104" s="24">
        <f>datevalue(left('3.5.raw'!K104,10))</f>
        <v>43657</v>
      </c>
      <c r="D104" s="23" t="str">
        <f>'3.5.raw'!H104</f>
        <v>12</v>
      </c>
      <c r="E104" s="1">
        <v>3.5</v>
      </c>
      <c r="F104" s="23" t="b">
        <f>if(countif(Status!C:C,A104)=1,TRUE, FALSE)</f>
        <v>1</v>
      </c>
      <c r="H104" s="23" t="str">
        <f>IFERROR(__xludf.DUMMYFUNCTION("IFs(REGEXMATCH(I104, ""NOT""), 0, REGEXMATCH(I104, ""NO""), 0, REGEXMATCH(I104, ""TURBID""),1, COUNTBLANK(I104),"""", istext(I104),"""")"),"")</f>
        <v/>
      </c>
      <c r="I104" s="23" t="str">
        <f>'3.5.raw'!R104</f>
        <v/>
      </c>
    </row>
    <row r="105">
      <c r="A105" s="23" t="str">
        <f t="shared" si="1"/>
        <v>PL1011</v>
      </c>
      <c r="B105" s="23" t="str">
        <f>'3.5.raw'!I105</f>
        <v>PL1011</v>
      </c>
      <c r="C105" s="24">
        <f>datevalue(left('3.5.raw'!K105,10))</f>
        <v>43661</v>
      </c>
      <c r="D105" s="23" t="str">
        <f>'3.5.raw'!H105</f>
        <v>11</v>
      </c>
      <c r="E105" s="1">
        <v>3.5</v>
      </c>
      <c r="F105" s="23" t="b">
        <f>if(countif(Status!C:C,A105)=1,TRUE, FALSE)</f>
        <v>1</v>
      </c>
      <c r="H105" s="23" t="str">
        <f>IFERROR(__xludf.DUMMYFUNCTION("IFs(REGEXMATCH(I105, ""NOT""), 0, REGEXMATCH(I105, ""NO""), 0, REGEXMATCH(I105, ""TURBID""),1, COUNTBLANK(I105),"""", istext(I105),"""")"),"")</f>
        <v/>
      </c>
      <c r="I105" s="23" t="str">
        <f>'3.5.raw'!R105</f>
        <v/>
      </c>
    </row>
    <row r="106">
      <c r="A106" s="23" t="str">
        <f t="shared" si="1"/>
        <v>MO1059</v>
      </c>
      <c r="B106" s="23" t="str">
        <f>'3.5.raw'!I106</f>
        <v>MO1059</v>
      </c>
      <c r="C106" s="24">
        <f>datevalue(left('3.5.raw'!K106,10))</f>
        <v>43662</v>
      </c>
      <c r="D106" s="23" t="str">
        <f>'3.5.raw'!H106</f>
        <v>12</v>
      </c>
      <c r="E106" s="1">
        <v>3.5</v>
      </c>
      <c r="F106" s="23" t="b">
        <f>if(countif(Status!C:C,A106)=1,TRUE, FALSE)</f>
        <v>1</v>
      </c>
      <c r="H106" s="23" t="str">
        <f>IFERROR(__xludf.DUMMYFUNCTION("IFs(REGEXMATCH(I106, ""NOT""), 0, REGEXMATCH(I106, ""NO""), 0, REGEXMATCH(I106, ""TURBID""),1, COUNTBLANK(I106),"""", istext(I106),"""")"),"")</f>
        <v/>
      </c>
      <c r="I106" s="23" t="str">
        <f>'3.5.raw'!R106</f>
        <v/>
      </c>
    </row>
    <row r="107">
      <c r="A107" s="23" t="str">
        <f t="shared" si="1"/>
        <v>MO1060</v>
      </c>
      <c r="B107" s="23" t="str">
        <f>'3.5.raw'!I107</f>
        <v>MO1060</v>
      </c>
      <c r="C107" s="24">
        <f>datevalue(left('3.5.raw'!K107,10))</f>
        <v>43662</v>
      </c>
      <c r="D107" s="23" t="str">
        <f>'3.5.raw'!H107</f>
        <v>12</v>
      </c>
      <c r="E107" s="1">
        <v>3.5</v>
      </c>
      <c r="F107" s="23" t="b">
        <f>if(countif(Status!C:C,A107)=1,TRUE, FALSE)</f>
        <v>1</v>
      </c>
      <c r="H107" s="23" t="str">
        <f>IFERROR(__xludf.DUMMYFUNCTION("IFs(REGEXMATCH(I107, ""NOT""), 0, REGEXMATCH(I107, ""NO""), 0, REGEXMATCH(I107, ""TURBID""),1, COUNTBLANK(I107),"""", istext(I107),"""")"),"")</f>
        <v/>
      </c>
      <c r="I107" s="23" t="str">
        <f>'3.5.raw'!R107</f>
        <v/>
      </c>
    </row>
    <row r="108">
      <c r="A108" s="23" t="str">
        <f t="shared" si="1"/>
        <v>MO1061</v>
      </c>
      <c r="B108" s="23" t="str">
        <f>'3.5.raw'!I108</f>
        <v>MO1061</v>
      </c>
      <c r="C108" s="24">
        <f>datevalue(left('3.5.raw'!K108,10))</f>
        <v>43662</v>
      </c>
      <c r="D108" s="23" t="str">
        <f>'3.5.raw'!H108</f>
        <v>12</v>
      </c>
      <c r="E108" s="1">
        <v>3.5</v>
      </c>
      <c r="F108" s="23" t="b">
        <f>if(countif(Status!C:C,A108)=1,TRUE, FALSE)</f>
        <v>1</v>
      </c>
      <c r="H108" s="23" t="str">
        <f>IFERROR(__xludf.DUMMYFUNCTION("IFs(REGEXMATCH(I108, ""NOT""), 0, REGEXMATCH(I108, ""NO""), 0, REGEXMATCH(I108, ""TURBID""),1, COUNTBLANK(I108),"""", istext(I108),"""")"),"")</f>
        <v/>
      </c>
      <c r="I108" s="23" t="str">
        <f>'3.5.raw'!R108</f>
        <v/>
      </c>
    </row>
    <row r="109">
      <c r="A109" s="23" t="str">
        <f t="shared" si="1"/>
        <v>MO1062</v>
      </c>
      <c r="B109" s="23" t="str">
        <f>'3.5.raw'!I109</f>
        <v>MO1062</v>
      </c>
      <c r="C109" s="24">
        <f>datevalue(left('3.5.raw'!K109,10))</f>
        <v>43662</v>
      </c>
      <c r="D109" s="23" t="str">
        <f>'3.5.raw'!H109</f>
        <v>12</v>
      </c>
      <c r="E109" s="1">
        <v>3.5</v>
      </c>
      <c r="F109" s="23" t="b">
        <f>if(countif(Status!C:C,A109)=1,TRUE, FALSE)</f>
        <v>1</v>
      </c>
      <c r="H109" s="23" t="str">
        <f>IFERROR(__xludf.DUMMYFUNCTION("IFs(REGEXMATCH(I109, ""NOT""), 0, REGEXMATCH(I109, ""NO""), 0, REGEXMATCH(I109, ""TURBID""),1, COUNTBLANK(I109),"""", istext(I109),"""")"),"")</f>
        <v/>
      </c>
      <c r="I109" s="23" t="str">
        <f>'3.5.raw'!R109</f>
        <v/>
      </c>
    </row>
    <row r="110">
      <c r="A110" s="23" t="str">
        <f t="shared" si="1"/>
        <v>FB1008UP</v>
      </c>
      <c r="B110" s="23" t="str">
        <f>'3.5.raw'!I110</f>
        <v>FB1008UP</v>
      </c>
      <c r="C110" s="24">
        <f>datevalue(left('3.5.raw'!K110,10))</f>
        <v>43662</v>
      </c>
      <c r="D110" s="23" t="str">
        <f>'3.5.raw'!H110</f>
        <v>99</v>
      </c>
      <c r="E110" s="1">
        <v>3.5</v>
      </c>
      <c r="F110" s="23" t="b">
        <f>if(countif(Status!C:C,A110)=1,TRUE, FALSE)</f>
        <v>1</v>
      </c>
      <c r="H110" s="23" t="str">
        <f>IFERROR(__xludf.DUMMYFUNCTION("IFs(REGEXMATCH(I110, ""NOT""), 0, REGEXMATCH(I110, ""NO""), 0, REGEXMATCH(I110, ""TURBID""),1, COUNTBLANK(I110),"""", istext(I110),"""")"),"")</f>
        <v/>
      </c>
      <c r="I110" s="23" t="str">
        <f>'3.5.raw'!R110</f>
        <v/>
      </c>
    </row>
    <row r="111">
      <c r="A111" s="23" t="str">
        <f t="shared" si="1"/>
        <v>PL1012</v>
      </c>
      <c r="B111" s="23" t="str">
        <f>'3.5.raw'!I111</f>
        <v>PL1012</v>
      </c>
      <c r="C111" s="24">
        <f>datevalue(left('3.5.raw'!K111,10))</f>
        <v>43663</v>
      </c>
      <c r="D111" s="23" t="str">
        <f>'3.5.raw'!H111</f>
        <v>11</v>
      </c>
      <c r="E111" s="1">
        <v>3.5</v>
      </c>
      <c r="F111" s="23" t="b">
        <f>if(countif(Status!C:C,A111)=1,TRUE, FALSE)</f>
        <v>1</v>
      </c>
      <c r="H111" s="23" t="str">
        <f>IFERROR(__xludf.DUMMYFUNCTION("IFs(REGEXMATCH(I111, ""NOT""), 0, REGEXMATCH(I111, ""NO""), 0, REGEXMATCH(I111, ""TURBID""),1, COUNTBLANK(I111),"""", istext(I111),"""")"),"")</f>
        <v/>
      </c>
      <c r="I111" s="23" t="str">
        <f>'3.5.raw'!R111</f>
        <v/>
      </c>
    </row>
    <row r="112">
      <c r="A112" s="23" t="str">
        <f t="shared" si="1"/>
        <v>FB1009UP</v>
      </c>
      <c r="B112" s="23" t="str">
        <f>'3.5.raw'!I112</f>
        <v>FB1009UP</v>
      </c>
      <c r="C112" s="24">
        <f>datevalue(left('3.5.raw'!K112,10))</f>
        <v>43663</v>
      </c>
      <c r="D112" s="23" t="str">
        <f>'3.5.raw'!H112</f>
        <v>99</v>
      </c>
      <c r="E112" s="1">
        <v>3.5</v>
      </c>
      <c r="F112" s="23" t="b">
        <f>if(countif(Status!C:C,A112)=1,TRUE, FALSE)</f>
        <v>1</v>
      </c>
      <c r="H112" s="23" t="str">
        <f>IFERROR(__xludf.DUMMYFUNCTION("IFs(REGEXMATCH(I112, ""NOT""), 0, REGEXMATCH(I112, ""NO""), 0, REGEXMATCH(I112, ""TURBID""),1, COUNTBLANK(I112),"""", istext(I112),"""")"),"")</f>
        <v/>
      </c>
      <c r="I112" s="23" t="str">
        <f>'3.5.raw'!R112</f>
        <v>COLLECTED WITH  PL1012</v>
      </c>
    </row>
    <row r="113">
      <c r="A113" s="23" t="str">
        <f t="shared" si="1"/>
        <v>UPNC9</v>
      </c>
      <c r="B113" s="23" t="str">
        <f>'3.5.raw'!I113</f>
        <v>UPNC 9</v>
      </c>
      <c r="C113" s="24">
        <f>datevalue(left('3.5.raw'!K113,10))</f>
        <v>43663</v>
      </c>
      <c r="D113" s="23" t="str">
        <f>'3.5.raw'!H113</f>
        <v>98</v>
      </c>
      <c r="E113" s="1">
        <v>3.5</v>
      </c>
      <c r="F113" s="23" t="b">
        <f>if(countif(Status!C:C,A113)=1,TRUE, FALSE)</f>
        <v>1</v>
      </c>
      <c r="H113" s="23" t="str">
        <f>IFERROR(__xludf.DUMMYFUNCTION("IFs(REGEXMATCH(I113, ""NOT""), 0, REGEXMATCH(I113, ""NO""), 0, REGEXMATCH(I113, ""TURBID""),1, COUNTBLANK(I113),"""", istext(I113),"""")"),"")</f>
        <v/>
      </c>
      <c r="I113" s="23" t="str">
        <f>'3.5.raw'!R113</f>
        <v>PROCESSED WITH PL1009</v>
      </c>
    </row>
    <row r="114">
      <c r="A114" s="23" t="str">
        <f t="shared" si="1"/>
        <v>MO1063</v>
      </c>
      <c r="B114" s="23" t="str">
        <f>'3.5.raw'!I114</f>
        <v>MO1063</v>
      </c>
      <c r="C114" s="24">
        <f>datevalue(left('3.5.raw'!K114,10))</f>
        <v>43664</v>
      </c>
      <c r="D114" s="23" t="str">
        <f>'3.5.raw'!H114</f>
        <v>12</v>
      </c>
      <c r="E114" s="1">
        <v>3.5</v>
      </c>
      <c r="F114" s="23" t="b">
        <f>if(countif(Status!C:C,A114)=1,TRUE, FALSE)</f>
        <v>1</v>
      </c>
      <c r="H114" s="23" t="str">
        <f>IFERROR(__xludf.DUMMYFUNCTION("IFs(REGEXMATCH(I114, ""NOT""), 0, REGEXMATCH(I114, ""NO""), 0, REGEXMATCH(I114, ""TURBID""),1, COUNTBLANK(I114),"""", istext(I114),"""")"),"")</f>
        <v/>
      </c>
      <c r="I114" s="23" t="str">
        <f>'3.5.raw'!R114</f>
        <v/>
      </c>
    </row>
    <row r="115">
      <c r="A115" s="23" t="str">
        <f t="shared" si="1"/>
        <v>MO1064</v>
      </c>
      <c r="B115" s="23" t="str">
        <f>'3.5.raw'!I115</f>
        <v>MO1064</v>
      </c>
      <c r="C115" s="24">
        <f>datevalue(left('3.5.raw'!K115,10))</f>
        <v>43664</v>
      </c>
      <c r="D115" s="23" t="str">
        <f>'3.5.raw'!H115</f>
        <v>12</v>
      </c>
      <c r="E115" s="1">
        <v>3.5</v>
      </c>
      <c r="F115" s="23" t="b">
        <f>if(countif(Status!C:C,A115)=1,TRUE, FALSE)</f>
        <v>1</v>
      </c>
      <c r="H115" s="23" t="str">
        <f>IFERROR(__xludf.DUMMYFUNCTION("IFs(REGEXMATCH(I115, ""NOT""), 0, REGEXMATCH(I115, ""NO""), 0, REGEXMATCH(I115, ""TURBID""),1, COUNTBLANK(I115),"""", istext(I115),"""")"),"")</f>
        <v/>
      </c>
      <c r="I115" s="23" t="str">
        <f>'3.5.raw'!R115</f>
        <v/>
      </c>
    </row>
    <row r="116">
      <c r="A116" s="23" t="str">
        <f t="shared" si="1"/>
        <v>MO1065</v>
      </c>
      <c r="B116" s="23" t="str">
        <f>'3.5.raw'!I116</f>
        <v>MO1065</v>
      </c>
      <c r="C116" s="24">
        <f>datevalue(left('3.5.raw'!K116,10))</f>
        <v>43664</v>
      </c>
      <c r="D116" s="23" t="str">
        <f>'3.5.raw'!H116</f>
        <v>12</v>
      </c>
      <c r="E116" s="1">
        <v>3.5</v>
      </c>
      <c r="F116" s="23" t="b">
        <f>if(countif(Status!C:C,A116)=1,TRUE, FALSE)</f>
        <v>1</v>
      </c>
      <c r="H116" s="23" t="str">
        <f>IFERROR(__xludf.DUMMYFUNCTION("IFs(REGEXMATCH(I116, ""NOT""), 0, REGEXMATCH(I116, ""NO""), 0, REGEXMATCH(I116, ""TURBID""),1, COUNTBLANK(I116),"""", istext(I116),"""")"),"")</f>
        <v/>
      </c>
      <c r="I116" s="23" t="str">
        <f>'3.5.raw'!R116</f>
        <v/>
      </c>
    </row>
    <row r="117">
      <c r="A117" s="23" t="str">
        <f t="shared" si="1"/>
        <v>MO1066</v>
      </c>
      <c r="B117" s="23" t="str">
        <f>'3.5.raw'!I117</f>
        <v>MO1066</v>
      </c>
      <c r="C117" s="24">
        <f>datevalue(left('3.5.raw'!K117,10))</f>
        <v>43664</v>
      </c>
      <c r="D117" s="23" t="str">
        <f>'3.5.raw'!H117</f>
        <v>12</v>
      </c>
      <c r="E117" s="1">
        <v>3.5</v>
      </c>
      <c r="F117" s="23" t="b">
        <f>if(countif(Status!C:C,A117)=1,TRUE, FALSE)</f>
        <v>1</v>
      </c>
      <c r="H117" s="23" t="str">
        <f>IFERROR(__xludf.DUMMYFUNCTION("IFs(REGEXMATCH(I117, ""NOT""), 0, REGEXMATCH(I117, ""NO""), 0, REGEXMATCH(I117, ""TURBID""),1, COUNTBLANK(I117),"""", istext(I117),"""")"),"")</f>
        <v/>
      </c>
      <c r="I117" s="23" t="str">
        <f>'3.5.raw'!R117</f>
        <v/>
      </c>
    </row>
    <row r="118">
      <c r="A118" s="23" t="str">
        <f t="shared" si="1"/>
        <v>UPNC10</v>
      </c>
      <c r="B118" s="23" t="str">
        <f>'3.5.raw'!I118</f>
        <v>UPNC 10</v>
      </c>
      <c r="C118" s="24">
        <f>datevalue(left('3.5.raw'!K118,10))</f>
        <v>43664</v>
      </c>
      <c r="D118" s="23" t="str">
        <f>'3.5.raw'!H118</f>
        <v>98</v>
      </c>
      <c r="E118" s="1">
        <v>3.5</v>
      </c>
      <c r="F118" s="23" t="b">
        <f>if(countif(Status!C:C,A118)=1,TRUE, FALSE)</f>
        <v>1</v>
      </c>
      <c r="H118" s="23" t="str">
        <f>IFERROR(__xludf.DUMMYFUNCTION("IFs(REGEXMATCH(I118, ""NOT""), 0, REGEXMATCH(I118, ""NO""), 0, REGEXMATCH(I118, ""TURBID""),1, COUNTBLANK(I118),"""", istext(I118),"""")"),"")</f>
        <v/>
      </c>
      <c r="I118" s="23" t="str">
        <f>'3.5.raw'!R118</f>
        <v/>
      </c>
    </row>
    <row r="119">
      <c r="A119" s="23" t="str">
        <f t="shared" si="1"/>
        <v>PL1013</v>
      </c>
      <c r="B119" s="23" t="str">
        <f>'3.5.raw'!I119</f>
        <v>PL1013</v>
      </c>
      <c r="C119" s="24">
        <f>datevalue(left('3.5.raw'!K119,10))</f>
        <v>43668</v>
      </c>
      <c r="D119" s="23" t="str">
        <f>'3.5.raw'!H119</f>
        <v>11</v>
      </c>
      <c r="E119" s="1">
        <v>3.5</v>
      </c>
      <c r="F119" s="23" t="b">
        <f>if(countif(Status!C:C,A119)=1,TRUE, FALSE)</f>
        <v>1</v>
      </c>
      <c r="H119" s="23" t="str">
        <f>IFERROR(__xludf.DUMMYFUNCTION("IFs(REGEXMATCH(I119, ""NOT""), 0, REGEXMATCH(I119, ""NO""), 0, REGEXMATCH(I119, ""TURBID""),1, COUNTBLANK(I119),"""", istext(I119),"""")"),"")</f>
        <v/>
      </c>
      <c r="I119" s="23" t="str">
        <f>'3.5.raw'!R119</f>
        <v>WITHPL1013FL</v>
      </c>
    </row>
    <row r="120">
      <c r="A120" s="23" t="str">
        <f t="shared" si="1"/>
        <v>UPNC11</v>
      </c>
      <c r="B120" s="23" t="str">
        <f>'3.5.raw'!I120</f>
        <v>UPNC11</v>
      </c>
      <c r="C120" s="24">
        <f>datevalue(left('3.5.raw'!K120,10))</f>
        <v>43668</v>
      </c>
      <c r="D120" s="23" t="str">
        <f>'3.5.raw'!H120</f>
        <v>98</v>
      </c>
      <c r="E120" s="1">
        <v>3.5</v>
      </c>
      <c r="F120" s="23" t="b">
        <f>if(countif(Status!C:C,A120)=1,TRUE, FALSE)</f>
        <v>1</v>
      </c>
      <c r="H120" s="23" t="str">
        <f>IFERROR(__xludf.DUMMYFUNCTION("IFs(REGEXMATCH(I120, ""NOT""), 0, REGEXMATCH(I120, ""NO""), 0, REGEXMATCH(I120, ""TURBID""),1, COUNTBLANK(I120),"""", istext(I120),"""")"),"")</f>
        <v/>
      </c>
      <c r="I120" s="23" t="str">
        <f>'3.5.raw'!R120</f>
        <v/>
      </c>
    </row>
    <row r="121">
      <c r="A121" s="23" t="str">
        <f t="shared" si="1"/>
        <v>MO1067</v>
      </c>
      <c r="B121" s="23" t="str">
        <f>'3.5.raw'!I121</f>
        <v>MO1067</v>
      </c>
      <c r="C121" s="24">
        <f>datevalue(left('3.5.raw'!K121,10))</f>
        <v>43669</v>
      </c>
      <c r="D121" s="23" t="str">
        <f>'3.5.raw'!H121</f>
        <v>12</v>
      </c>
      <c r="E121" s="1">
        <v>3.5</v>
      </c>
      <c r="F121" s="23" t="b">
        <f>if(countif(Status!C:C,A121)=1,TRUE, FALSE)</f>
        <v>1</v>
      </c>
      <c r="H121" s="23" t="str">
        <f>IFERROR(__xludf.DUMMYFUNCTION("IFs(REGEXMATCH(I121, ""NOT""), 0, REGEXMATCH(I121, ""NO""), 0, REGEXMATCH(I121, ""TURBID""),1, COUNTBLANK(I121),"""", istext(I121),"""")"),"")</f>
        <v/>
      </c>
      <c r="I121" s="23" t="str">
        <f>'3.5.raw'!R121</f>
        <v/>
      </c>
    </row>
    <row r="122">
      <c r="A122" s="23" t="str">
        <f t="shared" si="1"/>
        <v>MO1068</v>
      </c>
      <c r="B122" s="23" t="str">
        <f>'3.5.raw'!I122</f>
        <v>MO1068</v>
      </c>
      <c r="C122" s="24">
        <f>datevalue(left('3.5.raw'!K122,10))</f>
        <v>43669</v>
      </c>
      <c r="D122" s="23" t="str">
        <f>'3.5.raw'!H122</f>
        <v>12</v>
      </c>
      <c r="E122" s="1">
        <v>3.5</v>
      </c>
      <c r="F122" s="23" t="b">
        <f>if(countif(Status!C:C,A122)=1,TRUE, FALSE)</f>
        <v>1</v>
      </c>
      <c r="H122" s="23" t="str">
        <f>IFERROR(__xludf.DUMMYFUNCTION("IFs(REGEXMATCH(I122, ""NOT""), 0, REGEXMATCH(I122, ""NO""), 0, REGEXMATCH(I122, ""TURBID""),1, COUNTBLANK(I122),"""", istext(I122),"""")"),"")</f>
        <v/>
      </c>
      <c r="I122" s="23" t="str">
        <f>'3.5.raw'!R122</f>
        <v/>
      </c>
    </row>
    <row r="123">
      <c r="A123" s="23" t="str">
        <f t="shared" si="1"/>
        <v>MO1069</v>
      </c>
      <c r="B123" s="23" t="str">
        <f>'3.5.raw'!I123</f>
        <v>MO1069</v>
      </c>
      <c r="C123" s="24">
        <f>datevalue(left('3.5.raw'!K123,10))</f>
        <v>43669</v>
      </c>
      <c r="D123" s="23" t="str">
        <f>'3.5.raw'!H123</f>
        <v>12</v>
      </c>
      <c r="E123" s="1">
        <v>3.5</v>
      </c>
      <c r="F123" s="23" t="b">
        <f>if(countif(Status!C:C,A123)=1,TRUE, FALSE)</f>
        <v>1</v>
      </c>
      <c r="H123" s="23" t="str">
        <f>IFERROR(__xludf.DUMMYFUNCTION("IFs(REGEXMATCH(I123, ""NOT""), 0, REGEXMATCH(I123, ""NO""), 0, REGEXMATCH(I123, ""TURBID""),1, COUNTBLANK(I123),"""", istext(I123),"""")"),"")</f>
        <v/>
      </c>
      <c r="I123" s="23" t="str">
        <f>'3.5.raw'!R123</f>
        <v/>
      </c>
    </row>
    <row r="124">
      <c r="A124" s="23" t="str">
        <f t="shared" si="1"/>
        <v>MO1070</v>
      </c>
      <c r="B124" s="23" t="str">
        <f>'3.5.raw'!I124</f>
        <v>MO1070</v>
      </c>
      <c r="C124" s="24">
        <f>datevalue(left('3.5.raw'!K124,10))</f>
        <v>43669</v>
      </c>
      <c r="D124" s="23" t="str">
        <f>'3.5.raw'!H124</f>
        <v>12</v>
      </c>
      <c r="E124" s="1">
        <v>3.5</v>
      </c>
      <c r="F124" s="23" t="b">
        <f>if(countif(Status!C:C,A124)=1,TRUE, FALSE)</f>
        <v>1</v>
      </c>
      <c r="H124" s="23" t="str">
        <f>IFERROR(__xludf.DUMMYFUNCTION("IFs(REGEXMATCH(I124, ""NOT""), 0, REGEXMATCH(I124, ""NO""), 0, REGEXMATCH(I124, ""TURBID""),1, COUNTBLANK(I124),"""", istext(I124),"""")"),"")</f>
        <v/>
      </c>
      <c r="I124" s="23" t="str">
        <f>'3.5.raw'!R124</f>
        <v/>
      </c>
    </row>
    <row r="125">
      <c r="A125" s="23" t="str">
        <f t="shared" si="1"/>
        <v>FB1010UP</v>
      </c>
      <c r="B125" s="23" t="str">
        <f>'3.5.raw'!I125</f>
        <v>FB1010UP</v>
      </c>
      <c r="C125" s="24">
        <f>datevalue(left('3.5.raw'!K125,10))</f>
        <v>43669</v>
      </c>
      <c r="D125" s="23" t="str">
        <f>'3.5.raw'!H125</f>
        <v>99</v>
      </c>
      <c r="E125" s="1">
        <v>3.5</v>
      </c>
      <c r="F125" s="23" t="b">
        <f>if(countif(Status!C:C,A125)=1,TRUE, FALSE)</f>
        <v>1</v>
      </c>
      <c r="H125" s="23">
        <f>IFERROR(__xludf.DUMMYFUNCTION("IFs(REGEXMATCH(I125, ""NOT""), 0, REGEXMATCH(I125, ""NO""), 0, REGEXMATCH(I125, ""TURBID""),1, COUNTBLANK(I125),"""", istext(I125),"""")"),1.0)</f>
        <v>1</v>
      </c>
      <c r="I125" s="23" t="str">
        <f>'3.5.raw'!R125</f>
        <v>OBSERVATION-TURBIDITY</v>
      </c>
    </row>
    <row r="126">
      <c r="A126" s="23" t="str">
        <f t="shared" si="1"/>
        <v>UPNC12</v>
      </c>
      <c r="B126" s="23" t="str">
        <f>'3.5.raw'!I126</f>
        <v>UPNC12</v>
      </c>
      <c r="C126" s="24">
        <f>datevalue(left('3.5.raw'!K126,10))</f>
        <v>43669</v>
      </c>
      <c r="D126" s="23" t="str">
        <f>'3.5.raw'!H126</f>
        <v>98</v>
      </c>
      <c r="E126" s="1">
        <v>3.5</v>
      </c>
      <c r="F126" s="23" t="b">
        <f>if(countif(Status!C:C,A126)=1,TRUE, FALSE)</f>
        <v>1</v>
      </c>
      <c r="H126" s="23">
        <f>IFERROR(__xludf.DUMMYFUNCTION("IFs(REGEXMATCH(I126, ""NOT""), 0, REGEXMATCH(I126, ""NO""), 0, REGEXMATCH(I126, ""TURBID""),1, COUNTBLANK(I126),"""", istext(I126),"""")"),0.0)</f>
        <v>0</v>
      </c>
      <c r="I126" s="23" t="str">
        <f>'3.5.raw'!R126</f>
        <v>NO TURBIDITY</v>
      </c>
    </row>
    <row r="127">
      <c r="A127" s="23" t="str">
        <f t="shared" si="1"/>
        <v>SF1009</v>
      </c>
      <c r="B127" s="23" t="str">
        <f>'3.5.raw'!I127</f>
        <v>SF1009</v>
      </c>
      <c r="C127" s="24">
        <f>datevalue(left('3.5.raw'!K127,10))</f>
        <v>43670</v>
      </c>
      <c r="D127" s="23" t="str">
        <f>'3.5.raw'!H127</f>
        <v>10</v>
      </c>
      <c r="E127" s="1">
        <v>3.5</v>
      </c>
      <c r="F127" s="23" t="b">
        <f>if(countif(Status!C:C,A127)=1,TRUE, FALSE)</f>
        <v>1</v>
      </c>
      <c r="H127" s="23" t="str">
        <f>IFERROR(__xludf.DUMMYFUNCTION("IFs(REGEXMATCH(I127, ""NOT""), 0, REGEXMATCH(I127, ""NO""), 0, REGEXMATCH(I127, ""TURBID""),1, COUNTBLANK(I127),"""", istext(I127),"""")"),"")</f>
        <v/>
      </c>
      <c r="I127" s="23" t="str">
        <f>'3.5.raw'!R127</f>
        <v/>
      </c>
    </row>
    <row r="128">
      <c r="A128" s="23" t="str">
        <f t="shared" si="1"/>
        <v>PL1014</v>
      </c>
      <c r="B128" s="23" t="str">
        <f>'3.5.raw'!I128</f>
        <v>PL1014</v>
      </c>
      <c r="C128" s="24">
        <f>datevalue(left('3.5.raw'!K128,10))</f>
        <v>43670</v>
      </c>
      <c r="D128" s="23" t="str">
        <f>'3.5.raw'!H128</f>
        <v>11</v>
      </c>
      <c r="E128" s="1">
        <v>3.5</v>
      </c>
      <c r="F128" s="23" t="b">
        <f>if(countif(Status!C:C,A128)=1,TRUE, FALSE)</f>
        <v>1</v>
      </c>
      <c r="H128" s="23">
        <f>IFERROR(__xludf.DUMMYFUNCTION("IFs(REGEXMATCH(I128, ""NOT""), 0, REGEXMATCH(I128, ""NO""), 0, REGEXMATCH(I128, ""TURBID""),1, COUNTBLANK(I128),"""", istext(I128),"""")"),0.0)</f>
        <v>0</v>
      </c>
      <c r="I128" s="23" t="str">
        <f>'3.5.raw'!R128</f>
        <v>PL1014FL COULD NOT BE FILTER BECAUSE IT WAS TOO DIRTY.</v>
      </c>
    </row>
    <row r="129">
      <c r="A129" s="23" t="str">
        <f t="shared" si="1"/>
        <v>FB1011UP</v>
      </c>
      <c r="B129" s="23" t="str">
        <f>'3.5.raw'!I129</f>
        <v>FB1011UP</v>
      </c>
      <c r="C129" s="24">
        <f>datevalue(left('3.5.raw'!K129,10))</f>
        <v>43670</v>
      </c>
      <c r="D129" s="23" t="str">
        <f>'3.5.raw'!H129</f>
        <v>99</v>
      </c>
      <c r="E129" s="1">
        <v>3.5</v>
      </c>
      <c r="F129" s="23" t="b">
        <f>if(countif(Status!C:C,A129)=1,TRUE, FALSE)</f>
        <v>1</v>
      </c>
      <c r="H129" s="23" t="str">
        <f>IFERROR(__xludf.DUMMYFUNCTION("IFs(REGEXMATCH(I129, ""NOT""), 0, REGEXMATCH(I129, ""NO""), 0, REGEXMATCH(I129, ""TURBID""),1, COUNTBLANK(I129),"""", istext(I129),"""")"),"")</f>
        <v/>
      </c>
      <c r="I129" s="23" t="str">
        <f>'3.5.raw'!R129</f>
        <v/>
      </c>
    </row>
    <row r="130">
      <c r="A130" s="23" t="str">
        <f t="shared" si="1"/>
        <v>SF1010</v>
      </c>
      <c r="B130" s="23" t="str">
        <f>'3.5.raw'!I130</f>
        <v>SF1010</v>
      </c>
      <c r="C130" s="24">
        <f>datevalue(left('3.5.raw'!K130,10))</f>
        <v>43670</v>
      </c>
      <c r="D130" s="23" t="str">
        <f>'3.5.raw'!H130</f>
        <v>10</v>
      </c>
      <c r="E130" s="1">
        <v>3.5</v>
      </c>
      <c r="F130" s="23" t="b">
        <f>if(countif(Status!C:C,A130)=1,TRUE, FALSE)</f>
        <v>1</v>
      </c>
      <c r="H130" s="23" t="str">
        <f>IFERROR(__xludf.DUMMYFUNCTION("IFs(REGEXMATCH(I130, ""NOT""), 0, REGEXMATCH(I130, ""NO""), 0, REGEXMATCH(I130, ""TURBID""),1, COUNTBLANK(I130),"""", istext(I130),"""")"),"")</f>
        <v/>
      </c>
      <c r="I130" s="23" t="str">
        <f>'3.5.raw'!R130</f>
        <v/>
      </c>
    </row>
    <row r="131">
      <c r="A131" s="23" t="str">
        <f t="shared" si="1"/>
        <v>MO1071</v>
      </c>
      <c r="B131" s="23" t="str">
        <f>'3.5.raw'!I131</f>
        <v>MO1071</v>
      </c>
      <c r="C131" s="24">
        <f>datevalue(left('3.5.raw'!K131,10))</f>
        <v>43671</v>
      </c>
      <c r="D131" s="23" t="str">
        <f>'3.5.raw'!H131</f>
        <v>12</v>
      </c>
      <c r="E131" s="1">
        <v>3.5</v>
      </c>
      <c r="F131" s="23" t="b">
        <f>if(countif(Status!C:C,A131)=1,TRUE, FALSE)</f>
        <v>1</v>
      </c>
      <c r="H131" s="23" t="str">
        <f>IFERROR(__xludf.DUMMYFUNCTION("IFs(REGEXMATCH(I131, ""NOT""), 0, REGEXMATCH(I131, ""NO""), 0, REGEXMATCH(I131, ""TURBID""),1, COUNTBLANK(I131),"""", istext(I131),"""")"),"")</f>
        <v/>
      </c>
      <c r="I131" s="23" t="str">
        <f>'3.5.raw'!R131</f>
        <v/>
      </c>
    </row>
    <row r="132">
      <c r="A132" s="23" t="str">
        <f t="shared" si="1"/>
        <v>MO1072</v>
      </c>
      <c r="B132" s="23" t="str">
        <f>'3.5.raw'!I132</f>
        <v>MO1072</v>
      </c>
      <c r="C132" s="24">
        <f>datevalue(left('3.5.raw'!K132,10))</f>
        <v>43671</v>
      </c>
      <c r="D132" s="23" t="str">
        <f>'3.5.raw'!H132</f>
        <v>12</v>
      </c>
      <c r="E132" s="1">
        <v>3.5</v>
      </c>
      <c r="F132" s="23" t="b">
        <f>if(countif(Status!C:C,A132)=1,TRUE, FALSE)</f>
        <v>1</v>
      </c>
      <c r="H132" s="23" t="str">
        <f>IFERROR(__xludf.DUMMYFUNCTION("IFs(REGEXMATCH(I132, ""NOT""), 0, REGEXMATCH(I132, ""NO""), 0, REGEXMATCH(I132, ""TURBID""),1, COUNTBLANK(I132),"""", istext(I132),"""")"),"")</f>
        <v/>
      </c>
      <c r="I132" s="23" t="str">
        <f>'3.5.raw'!R132</f>
        <v/>
      </c>
    </row>
    <row r="133">
      <c r="A133" s="23" t="str">
        <f t="shared" si="1"/>
        <v>MO1073</v>
      </c>
      <c r="B133" s="23" t="str">
        <f>'3.5.raw'!I133</f>
        <v>MO1073</v>
      </c>
      <c r="C133" s="24">
        <f>datevalue(left('3.5.raw'!K133,10))</f>
        <v>43671</v>
      </c>
      <c r="D133" s="23" t="str">
        <f>'3.5.raw'!H133</f>
        <v>12</v>
      </c>
      <c r="E133" s="1">
        <v>3.5</v>
      </c>
      <c r="F133" s="23" t="b">
        <f>if(countif(Status!C:C,A133)=1,TRUE, FALSE)</f>
        <v>1</v>
      </c>
      <c r="H133" s="23" t="str">
        <f>IFERROR(__xludf.DUMMYFUNCTION("IFs(REGEXMATCH(I133, ""NOT""), 0, REGEXMATCH(I133, ""NO""), 0, REGEXMATCH(I133, ""TURBID""),1, COUNTBLANK(I133),"""", istext(I133),"""")"),"")</f>
        <v/>
      </c>
      <c r="I133" s="23" t="str">
        <f>'3.5.raw'!R133</f>
        <v/>
      </c>
    </row>
    <row r="134">
      <c r="A134" s="23" t="str">
        <f t="shared" si="1"/>
        <v>MO1074</v>
      </c>
      <c r="B134" s="23" t="str">
        <f>'3.5.raw'!I134</f>
        <v>MO1074</v>
      </c>
      <c r="C134" s="24">
        <f>datevalue(left('3.5.raw'!K134,10))</f>
        <v>43671</v>
      </c>
      <c r="D134" s="23" t="str">
        <f>'3.5.raw'!H134</f>
        <v>12</v>
      </c>
      <c r="E134" s="1">
        <v>3.5</v>
      </c>
      <c r="F134" s="23" t="b">
        <f>if(countif(Status!C:C,A134)=1,TRUE, FALSE)</f>
        <v>1</v>
      </c>
      <c r="H134" s="23" t="str">
        <f>IFERROR(__xludf.DUMMYFUNCTION("IFs(REGEXMATCH(I134, ""NOT""), 0, REGEXMATCH(I134, ""NO""), 0, REGEXMATCH(I134, ""TURBID""),1, COUNTBLANK(I134),"""", istext(I134),"""")"),"")</f>
        <v/>
      </c>
      <c r="I134" s="23" t="str">
        <f>'3.5.raw'!R134</f>
        <v/>
      </c>
    </row>
    <row r="135">
      <c r="A135" s="23" t="str">
        <f t="shared" si="1"/>
        <v>UPNC14</v>
      </c>
      <c r="B135" s="23" t="str">
        <f>'3.5.raw'!I135</f>
        <v>UPNC14</v>
      </c>
      <c r="C135" s="24">
        <f>datevalue(left('3.5.raw'!K135,10))</f>
        <v>43671</v>
      </c>
      <c r="D135" s="23" t="str">
        <f>'3.5.raw'!H135</f>
        <v>98</v>
      </c>
      <c r="E135" s="1">
        <v>3.5</v>
      </c>
      <c r="F135" s="23" t="b">
        <f>if(countif(Status!C:C,A135)=1,TRUE, FALSE)</f>
        <v>1</v>
      </c>
      <c r="H135" s="23">
        <f>IFERROR(__xludf.DUMMYFUNCTION("IFs(REGEXMATCH(I135, ""NOT""), 0, REGEXMATCH(I135, ""NO""), 0, REGEXMATCH(I135, ""TURBID""),1, COUNTBLANK(I135),"""", istext(I135),"""")"),0.0)</f>
        <v>0</v>
      </c>
      <c r="I135" s="23" t="str">
        <f>'3.5.raw'!R135</f>
        <v>OBSERVATION-NO TURBIDITY</v>
      </c>
    </row>
    <row r="136">
      <c r="A136" s="23" t="str">
        <f t="shared" si="1"/>
        <v>PL1015</v>
      </c>
      <c r="B136" s="23" t="str">
        <f>'3.5.raw'!I136</f>
        <v>PL1015</v>
      </c>
      <c r="C136" s="24">
        <f>datevalue(left('3.5.raw'!K136,10))</f>
        <v>43675</v>
      </c>
      <c r="D136" s="23" t="str">
        <f>'3.5.raw'!H136</f>
        <v>11</v>
      </c>
      <c r="E136" s="1">
        <v>3.5</v>
      </c>
      <c r="F136" s="23" t="b">
        <f>if(countif(Status!C:C,A136)=1,TRUE, FALSE)</f>
        <v>1</v>
      </c>
      <c r="H136" s="23" t="str">
        <f>IFERROR(__xludf.DUMMYFUNCTION("IFs(REGEXMATCH(I136, ""NOT""), 0, REGEXMATCH(I136, ""NO""), 0, REGEXMATCH(I136, ""TURBID""),1, COUNTBLANK(I136),"""", istext(I136),"""")"),"")</f>
        <v/>
      </c>
      <c r="I136" s="23" t="str">
        <f>'3.5.raw'!R136</f>
        <v>WITH PL1015FL</v>
      </c>
    </row>
    <row r="137">
      <c r="A137" s="23" t="str">
        <f t="shared" si="1"/>
        <v>FB1012UP</v>
      </c>
      <c r="B137" s="23" t="str">
        <f>'3.5.raw'!I137</f>
        <v>FB1012UP</v>
      </c>
      <c r="C137" s="24">
        <f>datevalue(left('3.5.raw'!K137,10))</f>
        <v>43675</v>
      </c>
      <c r="D137" s="23" t="str">
        <f>'3.5.raw'!H137</f>
        <v>99</v>
      </c>
      <c r="E137" s="1">
        <v>3.5</v>
      </c>
      <c r="F137" s="23" t="b">
        <f>if(countif(Status!C:C,A137)=1,TRUE, FALSE)</f>
        <v>1</v>
      </c>
      <c r="H137" s="23" t="str">
        <f>IFERROR(__xludf.DUMMYFUNCTION("IFs(REGEXMATCH(I137, ""NOT""), 0, REGEXMATCH(I137, ""NO""), 0, REGEXMATCH(I137, ""TURBID""),1, COUNTBLANK(I137),"""", istext(I137),"""")"),"")</f>
        <v/>
      </c>
      <c r="I137" s="23" t="str">
        <f>'3.5.raw'!R137</f>
        <v/>
      </c>
    </row>
    <row r="138">
      <c r="A138" s="23" t="str">
        <f t="shared" si="1"/>
        <v>UPNC15</v>
      </c>
      <c r="B138" s="23" t="str">
        <f>'3.5.raw'!I138</f>
        <v>UPNC15</v>
      </c>
      <c r="C138" s="24">
        <f>datevalue(left('3.5.raw'!K138,10))</f>
        <v>43675</v>
      </c>
      <c r="D138" s="23" t="str">
        <f>'3.5.raw'!H138</f>
        <v>98</v>
      </c>
      <c r="E138" s="1">
        <v>3.5</v>
      </c>
      <c r="F138" s="23" t="b">
        <f>if(countif(Status!C:C,A138)=1,TRUE, FALSE)</f>
        <v>1</v>
      </c>
      <c r="H138" s="23">
        <f>IFERROR(__xludf.DUMMYFUNCTION("IFs(REGEXMATCH(I138, ""NOT""), 0, REGEXMATCH(I138, ""NO""), 0, REGEXMATCH(I138, ""TURBID""),1, COUNTBLANK(I138),"""", istext(I138),"""")"),0.0)</f>
        <v>0</v>
      </c>
      <c r="I138" s="23" t="str">
        <f>'3.5.raw'!R138</f>
        <v>OBSERVATION- NO TURBIDITY</v>
      </c>
    </row>
    <row r="139">
      <c r="A139" s="23" t="str">
        <f t="shared" si="1"/>
        <v>MO1075</v>
      </c>
      <c r="B139" s="23" t="str">
        <f>'3.5.raw'!I139</f>
        <v>MO1075</v>
      </c>
      <c r="C139" s="24">
        <f>datevalue(left('3.5.raw'!K139,10))</f>
        <v>43676</v>
      </c>
      <c r="D139" s="23" t="str">
        <f>'3.5.raw'!H139</f>
        <v>12</v>
      </c>
      <c r="E139" s="1">
        <v>3.5</v>
      </c>
      <c r="F139" s="23" t="b">
        <f>if(countif(Status!C:C,A139)=1,TRUE, FALSE)</f>
        <v>1</v>
      </c>
      <c r="H139" s="23" t="str">
        <f>IFERROR(__xludf.DUMMYFUNCTION("IFs(REGEXMATCH(I139, ""NOT""), 0, REGEXMATCH(I139, ""NO""), 0, REGEXMATCH(I139, ""TURBID""),1, COUNTBLANK(I139),"""", istext(I139),"""")"),"")</f>
        <v/>
      </c>
      <c r="I139" s="23" t="str">
        <f>'3.5.raw'!R139</f>
        <v/>
      </c>
    </row>
    <row r="140">
      <c r="A140" s="23" t="str">
        <f t="shared" si="1"/>
        <v>MO1076</v>
      </c>
      <c r="B140" s="23" t="str">
        <f>'3.5.raw'!I140</f>
        <v>MO1076</v>
      </c>
      <c r="C140" s="24">
        <f>datevalue(left('3.5.raw'!K140,10))</f>
        <v>43676</v>
      </c>
      <c r="D140" s="23" t="str">
        <f>'3.5.raw'!H140</f>
        <v>12</v>
      </c>
      <c r="E140" s="1">
        <v>3.5</v>
      </c>
      <c r="F140" s="23" t="b">
        <f>if(countif(Status!C:C,A140)=1,TRUE, FALSE)</f>
        <v>1</v>
      </c>
      <c r="H140" s="23" t="str">
        <f>IFERROR(__xludf.DUMMYFUNCTION("IFs(REGEXMATCH(I140, ""NOT""), 0, REGEXMATCH(I140, ""NO""), 0, REGEXMATCH(I140, ""TURBID""),1, COUNTBLANK(I140),"""", istext(I140),"""")"),"")</f>
        <v/>
      </c>
      <c r="I140" s="23" t="str">
        <f>'3.5.raw'!R140</f>
        <v/>
      </c>
    </row>
    <row r="141">
      <c r="A141" s="23" t="str">
        <f t="shared" si="1"/>
        <v>MO1077</v>
      </c>
      <c r="B141" s="23" t="str">
        <f>'3.5.raw'!I141</f>
        <v>MO1077</v>
      </c>
      <c r="C141" s="24">
        <f>datevalue(left('3.5.raw'!K141,10))</f>
        <v>43676</v>
      </c>
      <c r="D141" s="23" t="str">
        <f>'3.5.raw'!H141</f>
        <v>12</v>
      </c>
      <c r="E141" s="1">
        <v>3.5</v>
      </c>
      <c r="F141" s="23" t="b">
        <f>if(countif(Status!C:C,A141)=1,TRUE, FALSE)</f>
        <v>1</v>
      </c>
      <c r="H141" s="23" t="str">
        <f>IFERROR(__xludf.DUMMYFUNCTION("IFs(REGEXMATCH(I141, ""NOT""), 0, REGEXMATCH(I141, ""NO""), 0, REGEXMATCH(I141, ""TURBID""),1, COUNTBLANK(I141),"""", istext(I141),"""")"),"")</f>
        <v/>
      </c>
      <c r="I141" s="23" t="str">
        <f>'3.5.raw'!R141</f>
        <v/>
      </c>
    </row>
    <row r="142">
      <c r="A142" s="23" t="str">
        <f t="shared" si="1"/>
        <v>MO1078</v>
      </c>
      <c r="B142" s="23" t="str">
        <f>'3.5.raw'!I142</f>
        <v>MO1078</v>
      </c>
      <c r="C142" s="24">
        <f>datevalue(left('3.5.raw'!K142,10))</f>
        <v>43676</v>
      </c>
      <c r="D142" s="23" t="str">
        <f>'3.5.raw'!H142</f>
        <v>12</v>
      </c>
      <c r="E142" s="1">
        <v>3.5</v>
      </c>
      <c r="F142" s="23" t="b">
        <f>if(countif(Status!C:C,A142)=1,TRUE, FALSE)</f>
        <v>1</v>
      </c>
      <c r="H142" s="23" t="str">
        <f>IFERROR(__xludf.DUMMYFUNCTION("IFs(REGEXMATCH(I142, ""NOT""), 0, REGEXMATCH(I142, ""NO""), 0, REGEXMATCH(I142, ""TURBID""),1, COUNTBLANK(I142),"""", istext(I142),"""")"),"")</f>
        <v/>
      </c>
      <c r="I142" s="23" t="str">
        <f>'3.5.raw'!R142</f>
        <v/>
      </c>
    </row>
    <row r="143">
      <c r="A143" s="23" t="str">
        <f t="shared" si="1"/>
        <v>FB1013UP</v>
      </c>
      <c r="B143" s="23" t="str">
        <f>'3.5.raw'!I143</f>
        <v>FB1013UP</v>
      </c>
      <c r="C143" s="24">
        <f>datevalue(left('3.5.raw'!K143,10))</f>
        <v>43676</v>
      </c>
      <c r="D143" s="23" t="str">
        <f>'3.5.raw'!H143</f>
        <v>99</v>
      </c>
      <c r="E143" s="1">
        <v>3.5</v>
      </c>
      <c r="F143" s="23" t="b">
        <f>if(countif(Status!C:C,A143)=1,TRUE, FALSE)</f>
        <v>1</v>
      </c>
      <c r="H143" s="23">
        <f>IFERROR(__xludf.DUMMYFUNCTION("IFs(REGEXMATCH(I143, ""NOT""), 0, REGEXMATCH(I143, ""NO""), 0, REGEXMATCH(I143, ""TURBID""),1, COUNTBLANK(I143),"""", istext(I143),"""")"),1.0)</f>
        <v>1</v>
      </c>
      <c r="I143" s="23" t="str">
        <f>'3.5.raw'!R143</f>
        <v>OBSERVATION-TURBIDITY</v>
      </c>
    </row>
    <row r="144">
      <c r="A144" s="23" t="str">
        <f t="shared" si="1"/>
        <v>FB1014UP</v>
      </c>
      <c r="B144" s="23" t="str">
        <f>'3.5.raw'!I144</f>
        <v>FB1014UP</v>
      </c>
      <c r="C144" s="24">
        <f>datevalue(left('3.5.raw'!K144,10))</f>
        <v>43676</v>
      </c>
      <c r="D144" s="23" t="str">
        <f>'3.5.raw'!H144</f>
        <v>99</v>
      </c>
      <c r="E144" s="1">
        <v>3.5</v>
      </c>
      <c r="F144" s="23" t="b">
        <f>if(countif(Status!C:C,A144)=1,TRUE, FALSE)</f>
        <v>1</v>
      </c>
      <c r="H144" s="23">
        <f>IFERROR(__xludf.DUMMYFUNCTION("IFs(REGEXMATCH(I144, ""NOT""), 0, REGEXMATCH(I144, ""NO""), 0, REGEXMATCH(I144, ""TURBID""),1, COUNTBLANK(I144),"""", istext(I144),"""")"),1.0)</f>
        <v>1</v>
      </c>
      <c r="I144" s="23" t="str">
        <f>'3.5.raw'!R144</f>
        <v>OBSERVATION-TURBIDITY</v>
      </c>
    </row>
    <row r="145">
      <c r="A145" s="23" t="str">
        <f t="shared" si="1"/>
        <v>UPNC16</v>
      </c>
      <c r="B145" s="23" t="str">
        <f>'3.5.raw'!I145</f>
        <v>UPNC16</v>
      </c>
      <c r="C145" s="24">
        <f>datevalue(left('3.5.raw'!K145,10))</f>
        <v>43676</v>
      </c>
      <c r="D145" s="23" t="str">
        <f>'3.5.raw'!H145</f>
        <v>98</v>
      </c>
      <c r="E145" s="1">
        <v>3.5</v>
      </c>
      <c r="F145" s="23" t="b">
        <f>if(countif(Status!C:C,A145)=1,TRUE, FALSE)</f>
        <v>1</v>
      </c>
      <c r="H145" s="23">
        <f>IFERROR(__xludf.DUMMYFUNCTION("IFs(REGEXMATCH(I145, ""NOT""), 0, REGEXMATCH(I145, ""NO""), 0, REGEXMATCH(I145, ""TURBID""),1, COUNTBLANK(I145),"""", istext(I145),"""")"),0.0)</f>
        <v>0</v>
      </c>
      <c r="I145" s="23" t="str">
        <f>'3.5.raw'!R145</f>
        <v>OBSERVATION- NO TURBIDITY</v>
      </c>
    </row>
    <row r="146">
      <c r="A146" s="23" t="str">
        <f t="shared" si="1"/>
        <v>FB1015UP</v>
      </c>
      <c r="B146" s="23" t="str">
        <f>'3.5.raw'!I146</f>
        <v>FB1015UP</v>
      </c>
      <c r="C146" s="24">
        <f>datevalue(left('3.5.raw'!K146,10))</f>
        <v>43677</v>
      </c>
      <c r="D146" s="23" t="str">
        <f>'3.5.raw'!H146</f>
        <v>99</v>
      </c>
      <c r="E146" s="1">
        <v>3.5</v>
      </c>
      <c r="F146" s="23" t="b">
        <f>if(countif(Status!C:C,A146)=1,TRUE, FALSE)</f>
        <v>1</v>
      </c>
      <c r="H146" s="23">
        <f>IFERROR(__xludf.DUMMYFUNCTION("IFs(REGEXMATCH(I146, ""NOT""), 0, REGEXMATCH(I146, ""NO""), 0, REGEXMATCH(I146, ""TURBID""),1, COUNTBLANK(I146),"""", istext(I146),"""")"),1.0)</f>
        <v>1</v>
      </c>
      <c r="I146" s="23" t="str">
        <f>'3.5.raw'!R146</f>
        <v>OBSERVATION-TURBIDITY</v>
      </c>
    </row>
    <row r="147">
      <c r="A147" s="23" t="str">
        <f t="shared" si="1"/>
        <v>PL1016</v>
      </c>
      <c r="B147" s="23" t="str">
        <f>'3.5.raw'!I147</f>
        <v>PL1016</v>
      </c>
      <c r="C147" s="24">
        <f>datevalue(left('3.5.raw'!K147,10))</f>
        <v>43677</v>
      </c>
      <c r="D147" s="23" t="str">
        <f>'3.5.raw'!H147</f>
        <v>11</v>
      </c>
      <c r="E147" s="1">
        <v>3.5</v>
      </c>
      <c r="F147" s="23" t="b">
        <f>if(countif(Status!C:C,A147)=1,TRUE, FALSE)</f>
        <v>1</v>
      </c>
      <c r="H147" s="23" t="str">
        <f>IFERROR(__xludf.DUMMYFUNCTION("IFs(REGEXMATCH(I147, ""NOT""), 0, REGEXMATCH(I147, ""NO""), 0, REGEXMATCH(I147, ""TURBID""),1, COUNTBLANK(I147),"""", istext(I147),"""")"),"")</f>
        <v/>
      </c>
      <c r="I147" s="23" t="str">
        <f>'3.5.raw'!R147</f>
        <v>WITH PL1016FL</v>
      </c>
    </row>
    <row r="148">
      <c r="A148" s="23" t="str">
        <f t="shared" si="1"/>
        <v>UPNC17</v>
      </c>
      <c r="B148" s="23" t="str">
        <f>'3.5.raw'!I148</f>
        <v>UPNC17</v>
      </c>
      <c r="C148" s="24">
        <f>datevalue(left('3.5.raw'!K148,10))</f>
        <v>43677</v>
      </c>
      <c r="D148" s="23" t="str">
        <f>'3.5.raw'!H148</f>
        <v>98</v>
      </c>
      <c r="E148" s="1">
        <v>3.5</v>
      </c>
      <c r="F148" s="23" t="b">
        <f>if(countif(Status!C:C,A148)=1,TRUE, FALSE)</f>
        <v>1</v>
      </c>
      <c r="H148" s="23">
        <f>IFERROR(__xludf.DUMMYFUNCTION("IFs(REGEXMATCH(I148, ""NOT""), 0, REGEXMATCH(I148, ""NO""), 0, REGEXMATCH(I148, ""TURBID""),1, COUNTBLANK(I148),"""", istext(I148),"""")"),0.0)</f>
        <v>0</v>
      </c>
      <c r="I148" s="23" t="str">
        <f>'3.5.raw'!R148</f>
        <v>OBSERVATION- NO TURBIDITY</v>
      </c>
    </row>
    <row r="149">
      <c r="A149" s="23" t="str">
        <f t="shared" si="1"/>
        <v>MO1079</v>
      </c>
      <c r="B149" s="23" t="str">
        <f>'3.5.raw'!I149</f>
        <v>MO1079</v>
      </c>
      <c r="C149" s="24">
        <f>datevalue(left('3.5.raw'!K149,10))</f>
        <v>43678</v>
      </c>
      <c r="D149" s="23" t="str">
        <f>'3.5.raw'!H149</f>
        <v>12</v>
      </c>
      <c r="E149" s="1">
        <v>3.5</v>
      </c>
      <c r="F149" s="23" t="b">
        <f>if(countif(Status!C:C,A149)=1,TRUE, FALSE)</f>
        <v>1</v>
      </c>
      <c r="H149" s="23" t="str">
        <f>IFERROR(__xludf.DUMMYFUNCTION("IFs(REGEXMATCH(I149, ""NOT""), 0, REGEXMATCH(I149, ""NO""), 0, REGEXMATCH(I149, ""TURBID""),1, COUNTBLANK(I149),"""", istext(I149),"""")"),"")</f>
        <v/>
      </c>
      <c r="I149" s="23" t="str">
        <f>'3.5.raw'!R149</f>
        <v/>
      </c>
    </row>
    <row r="150">
      <c r="A150" s="23" t="str">
        <f t="shared" si="1"/>
        <v>MO1080</v>
      </c>
      <c r="B150" s="23" t="str">
        <f>'3.5.raw'!I150</f>
        <v>MO1080</v>
      </c>
      <c r="C150" s="24">
        <f>datevalue(left('3.5.raw'!K150,10))</f>
        <v>43678</v>
      </c>
      <c r="D150" s="23" t="str">
        <f>'3.5.raw'!H150</f>
        <v>12</v>
      </c>
      <c r="E150" s="1">
        <v>3.5</v>
      </c>
      <c r="F150" s="23" t="b">
        <f>if(countif(Status!C:C,A150)=1,TRUE, FALSE)</f>
        <v>1</v>
      </c>
      <c r="H150" s="23" t="str">
        <f>IFERROR(__xludf.DUMMYFUNCTION("IFs(REGEXMATCH(I150, ""NOT""), 0, REGEXMATCH(I150, ""NO""), 0, REGEXMATCH(I150, ""TURBID""),1, COUNTBLANK(I150),"""", istext(I150),"""")"),"")</f>
        <v/>
      </c>
      <c r="I150" s="23" t="str">
        <f>'3.5.raw'!R150</f>
        <v/>
      </c>
    </row>
    <row r="151">
      <c r="A151" s="23" t="str">
        <f t="shared" si="1"/>
        <v>MO1081</v>
      </c>
      <c r="B151" s="23" t="str">
        <f>'3.5.raw'!I151</f>
        <v>MO1081</v>
      </c>
      <c r="C151" s="24">
        <f>datevalue(left('3.5.raw'!K151,10))</f>
        <v>43678</v>
      </c>
      <c r="D151" s="23" t="str">
        <f>'3.5.raw'!H151</f>
        <v>12</v>
      </c>
      <c r="E151" s="1">
        <v>3.5</v>
      </c>
      <c r="F151" s="23" t="b">
        <f>if(countif(Status!C:C,A151)=1,TRUE, FALSE)</f>
        <v>1</v>
      </c>
      <c r="H151" s="23" t="str">
        <f>IFERROR(__xludf.DUMMYFUNCTION("IFs(REGEXMATCH(I151, ""NOT""), 0, REGEXMATCH(I151, ""NO""), 0, REGEXMATCH(I151, ""TURBID""),1, COUNTBLANK(I151),"""", istext(I151),"""")"),"")</f>
        <v/>
      </c>
      <c r="I151" s="23" t="str">
        <f>'3.5.raw'!R151</f>
        <v/>
      </c>
    </row>
    <row r="152">
      <c r="A152" s="23" t="str">
        <f t="shared" si="1"/>
        <v>MO1082</v>
      </c>
      <c r="B152" s="23" t="str">
        <f>'3.5.raw'!I152</f>
        <v>MO1082</v>
      </c>
      <c r="C152" s="24">
        <f>datevalue(left('3.5.raw'!K152,10))</f>
        <v>43678</v>
      </c>
      <c r="D152" s="23" t="str">
        <f>'3.5.raw'!H152</f>
        <v>12</v>
      </c>
      <c r="E152" s="1">
        <v>3.5</v>
      </c>
      <c r="F152" s="23" t="b">
        <f>if(countif(Status!C:C,A152)=1,TRUE, FALSE)</f>
        <v>1</v>
      </c>
      <c r="H152" s="23" t="str">
        <f>IFERROR(__xludf.DUMMYFUNCTION("IFs(REGEXMATCH(I152, ""NOT""), 0, REGEXMATCH(I152, ""NO""), 0, REGEXMATCH(I152, ""TURBID""),1, COUNTBLANK(I152),"""", istext(I152),"""")"),"")</f>
        <v/>
      </c>
      <c r="I152" s="23" t="str">
        <f>'3.5.raw'!R152</f>
        <v/>
      </c>
    </row>
    <row r="153">
      <c r="A153" s="23" t="str">
        <f t="shared" si="1"/>
        <v>UPNC18</v>
      </c>
      <c r="B153" s="23" t="str">
        <f>'3.5.raw'!I153</f>
        <v>UPNC18</v>
      </c>
      <c r="C153" s="24">
        <f>datevalue(left('3.5.raw'!K153,10))</f>
        <v>43678</v>
      </c>
      <c r="D153" s="23" t="str">
        <f>'3.5.raw'!H153</f>
        <v>98</v>
      </c>
      <c r="E153" s="1">
        <v>3.5</v>
      </c>
      <c r="F153" s="23" t="b">
        <f>if(countif(Status!C:C,A153)=1,TRUE, FALSE)</f>
        <v>1</v>
      </c>
      <c r="H153" s="23" t="str">
        <f>IFERROR(__xludf.DUMMYFUNCTION("IFs(REGEXMATCH(I153, ""NOT""), 0, REGEXMATCH(I153, ""NO""), 0, REGEXMATCH(I153, ""TURBID""),1, COUNTBLANK(I153),"""", istext(I153),"""")"),"")</f>
        <v/>
      </c>
      <c r="I153" s="23" t="str">
        <f>'3.5.raw'!R153</f>
        <v/>
      </c>
    </row>
    <row r="154">
      <c r="A154" s="23" t="str">
        <f t="shared" si="1"/>
        <v>FB1016UP</v>
      </c>
      <c r="B154" s="23" t="str">
        <f>'3.5.raw'!I154</f>
        <v>FB1016UP</v>
      </c>
      <c r="C154" s="24">
        <f>datevalue(left('3.5.raw'!K154,10))</f>
        <v>43678</v>
      </c>
      <c r="D154" s="23" t="str">
        <f>'3.5.raw'!H154</f>
        <v>99</v>
      </c>
      <c r="E154" s="1">
        <v>3.5</v>
      </c>
      <c r="F154" s="23" t="b">
        <f>if(countif(Status!C:C,A154)=1,TRUE, FALSE)</f>
        <v>1</v>
      </c>
      <c r="H154" s="23">
        <f>IFERROR(__xludf.DUMMYFUNCTION("IFs(REGEXMATCH(I154, ""NOT""), 0, REGEXMATCH(I154, ""NO""), 0, REGEXMATCH(I154, ""TURBID""),1, COUNTBLANK(I154),"""", istext(I154),"""")"),1.0)</f>
        <v>1</v>
      </c>
      <c r="I154" s="23" t="str">
        <f>'3.5.raw'!R154</f>
        <v>LITTLE TURBID</v>
      </c>
    </row>
    <row r="155">
      <c r="A155" s="23" t="str">
        <f t="shared" si="1"/>
        <v>PL1017</v>
      </c>
      <c r="B155" s="23" t="str">
        <f>'3.5.raw'!I155</f>
        <v>PL1017</v>
      </c>
      <c r="C155" s="24">
        <f>datevalue(left('3.5.raw'!K155,10))</f>
        <v>43682</v>
      </c>
      <c r="D155" s="23" t="str">
        <f>'3.5.raw'!H155</f>
        <v>11</v>
      </c>
      <c r="E155" s="1">
        <v>3.5</v>
      </c>
      <c r="F155" s="23" t="b">
        <f>if(countif(Status!C:C,A155)=1,TRUE, FALSE)</f>
        <v>1</v>
      </c>
      <c r="H155" s="23" t="str">
        <f>IFERROR(__xludf.DUMMYFUNCTION("IFs(REGEXMATCH(I155, ""NOT""), 0, REGEXMATCH(I155, ""NO""), 0, REGEXMATCH(I155, ""TURBID""),1, COUNTBLANK(I155),"""", istext(I155),"""")"),"")</f>
        <v/>
      </c>
      <c r="I155" s="23" t="str">
        <f>'3.5.raw'!R155</f>
        <v>WITH PL1017FL</v>
      </c>
    </row>
    <row r="156">
      <c r="A156" s="23" t="str">
        <f t="shared" si="1"/>
        <v>FB1017UP</v>
      </c>
      <c r="B156" s="23" t="str">
        <f>'3.5.raw'!I156</f>
        <v>FB1017UP</v>
      </c>
      <c r="C156" s="24">
        <f>datevalue(left('3.5.raw'!K156,10))</f>
        <v>43682</v>
      </c>
      <c r="D156" s="23" t="str">
        <f>'3.5.raw'!H156</f>
        <v>99</v>
      </c>
      <c r="E156" s="1">
        <v>3.5</v>
      </c>
      <c r="F156" s="23" t="b">
        <f>if(countif(Status!C:C,A156)=1,TRUE, FALSE)</f>
        <v>1</v>
      </c>
      <c r="H156" s="23">
        <f>IFERROR(__xludf.DUMMYFUNCTION("IFs(REGEXMATCH(I156, ""NOT""), 0, REGEXMATCH(I156, ""NO""), 0, REGEXMATCH(I156, ""TURBID""),1, COUNTBLANK(I156),"""", istext(I156),"""")"),0.0)</f>
        <v>0</v>
      </c>
      <c r="I156" s="23" t="str">
        <f>'3.5.raw'!R156</f>
        <v>OBSERVATION -NO TURBID</v>
      </c>
    </row>
    <row r="157">
      <c r="A157" s="23" t="str">
        <f t="shared" si="1"/>
        <v>FB1018UP</v>
      </c>
      <c r="B157" s="23" t="str">
        <f>'3.5.raw'!I157</f>
        <v>FB1018UP</v>
      </c>
      <c r="C157" s="24">
        <f>datevalue(left('3.5.raw'!K157,10))</f>
        <v>43682</v>
      </c>
      <c r="D157" s="23" t="str">
        <f>'3.5.raw'!H157</f>
        <v>99</v>
      </c>
      <c r="E157" s="1">
        <v>3.5</v>
      </c>
      <c r="F157" s="23" t="b">
        <f>if(countif(Status!C:C,A157)=1,TRUE, FALSE)</f>
        <v>1</v>
      </c>
      <c r="H157" s="23">
        <f>IFERROR(__xludf.DUMMYFUNCTION("IFs(REGEXMATCH(I157, ""NOT""), 0, REGEXMATCH(I157, ""NO""), 0, REGEXMATCH(I157, ""TURBID""),1, COUNTBLANK(I157),"""", istext(I157),"""")"),1.0)</f>
        <v>1</v>
      </c>
      <c r="I157" s="23" t="str">
        <f>'3.5.raw'!R157</f>
        <v>OBESVATION - SLIGHTLY TURBID</v>
      </c>
    </row>
    <row r="158">
      <c r="A158" s="23" t="str">
        <f t="shared" si="1"/>
        <v>UPNC19</v>
      </c>
      <c r="B158" s="23" t="str">
        <f>'3.5.raw'!I158</f>
        <v>UPNC19</v>
      </c>
      <c r="C158" s="24">
        <f>datevalue(left('3.5.raw'!K158,10))</f>
        <v>43682</v>
      </c>
      <c r="D158" s="23" t="str">
        <f>'3.5.raw'!H158</f>
        <v>98</v>
      </c>
      <c r="E158" s="1">
        <v>3.5</v>
      </c>
      <c r="F158" s="23" t="b">
        <f>if(countif(Status!C:C,A158)=1,TRUE, FALSE)</f>
        <v>1</v>
      </c>
      <c r="H158" s="23">
        <f>IFERROR(__xludf.DUMMYFUNCTION("IFs(REGEXMATCH(I158, ""NOT""), 0, REGEXMATCH(I158, ""NO""), 0, REGEXMATCH(I158, ""TURBID""),1, COUNTBLANK(I158),"""", istext(I158),"""")"),0.0)</f>
        <v>0</v>
      </c>
      <c r="I158" s="23" t="str">
        <f>'3.5.raw'!R158</f>
        <v>OBSERVATION -NO TURBID</v>
      </c>
    </row>
    <row r="159">
      <c r="A159" s="23" t="str">
        <f t="shared" si="1"/>
        <v>MO1083</v>
      </c>
      <c r="B159" s="23" t="str">
        <f>'3.5.raw'!I159</f>
        <v>MO1083</v>
      </c>
      <c r="C159" s="24">
        <f>datevalue(left('3.5.raw'!K159,10))</f>
        <v>43683</v>
      </c>
      <c r="D159" s="23" t="str">
        <f>'3.5.raw'!H159</f>
        <v>12</v>
      </c>
      <c r="E159" s="1">
        <v>3.5</v>
      </c>
      <c r="F159" s="23" t="b">
        <f>if(countif(Status!C:C,A159)=1,TRUE, FALSE)</f>
        <v>1</v>
      </c>
      <c r="H159" s="23" t="str">
        <f>IFERROR(__xludf.DUMMYFUNCTION("IFs(REGEXMATCH(I159, ""NOT""), 0, REGEXMATCH(I159, ""NO""), 0, REGEXMATCH(I159, ""TURBID""),1, COUNTBLANK(I159),"""", istext(I159),"""")"),"")</f>
        <v/>
      </c>
      <c r="I159" s="23" t="str">
        <f>'3.5.raw'!R159</f>
        <v/>
      </c>
    </row>
    <row r="160">
      <c r="A160" s="23" t="str">
        <f t="shared" si="1"/>
        <v>MO1084</v>
      </c>
      <c r="B160" s="23" t="str">
        <f>'3.5.raw'!I160</f>
        <v>MO1084</v>
      </c>
      <c r="C160" s="24">
        <f>datevalue(left('3.5.raw'!K160,10))</f>
        <v>43683</v>
      </c>
      <c r="D160" s="23" t="str">
        <f>'3.5.raw'!H160</f>
        <v>12</v>
      </c>
      <c r="E160" s="1">
        <v>3.5</v>
      </c>
      <c r="F160" s="23" t="b">
        <f>if(countif(Status!C:C,A160)=1,TRUE, FALSE)</f>
        <v>1</v>
      </c>
      <c r="H160" s="23" t="str">
        <f>IFERROR(__xludf.DUMMYFUNCTION("IFs(REGEXMATCH(I160, ""NOT""), 0, REGEXMATCH(I160, ""NO""), 0, REGEXMATCH(I160, ""TURBID""),1, COUNTBLANK(I160),"""", istext(I160),"""")"),"")</f>
        <v/>
      </c>
      <c r="I160" s="23" t="str">
        <f>'3.5.raw'!R160</f>
        <v/>
      </c>
    </row>
    <row r="161">
      <c r="A161" s="23" t="str">
        <f t="shared" si="1"/>
        <v>MO1085</v>
      </c>
      <c r="B161" s="23" t="str">
        <f>'3.5.raw'!I161</f>
        <v>MO1085</v>
      </c>
      <c r="C161" s="24">
        <f>datevalue(left('3.5.raw'!K161,10))</f>
        <v>43683</v>
      </c>
      <c r="D161" s="23" t="str">
        <f>'3.5.raw'!H161</f>
        <v>12</v>
      </c>
      <c r="E161" s="1">
        <v>3.5</v>
      </c>
      <c r="F161" s="23" t="b">
        <f>if(countif(Status!C:C,A161)=1,TRUE, FALSE)</f>
        <v>1</v>
      </c>
      <c r="H161" s="23" t="str">
        <f>IFERROR(__xludf.DUMMYFUNCTION("IFs(REGEXMATCH(I161, ""NOT""), 0, REGEXMATCH(I161, ""NO""), 0, REGEXMATCH(I161, ""TURBID""),1, COUNTBLANK(I161),"""", istext(I161),"""")"),"")</f>
        <v/>
      </c>
      <c r="I161" s="23" t="str">
        <f>'3.5.raw'!R161</f>
        <v/>
      </c>
    </row>
    <row r="162">
      <c r="A162" s="23" t="str">
        <f t="shared" si="1"/>
        <v>MO1086</v>
      </c>
      <c r="B162" s="23" t="str">
        <f>'3.5.raw'!I162</f>
        <v>MO1086</v>
      </c>
      <c r="C162" s="24">
        <f>datevalue(left('3.5.raw'!K162,10))</f>
        <v>43683</v>
      </c>
      <c r="D162" s="23" t="str">
        <f>'3.5.raw'!H162</f>
        <v>12</v>
      </c>
      <c r="E162" s="1">
        <v>3.5</v>
      </c>
      <c r="F162" s="23" t="b">
        <f>if(countif(Status!C:C,A162)=1,TRUE, FALSE)</f>
        <v>1</v>
      </c>
      <c r="H162" s="23" t="str">
        <f>IFERROR(__xludf.DUMMYFUNCTION("IFs(REGEXMATCH(I162, ""NOT""), 0, REGEXMATCH(I162, ""NO""), 0, REGEXMATCH(I162, ""TURBID""),1, COUNTBLANK(I162),"""", istext(I162),"""")"),"")</f>
        <v/>
      </c>
      <c r="I162" s="23" t="str">
        <f>'3.5.raw'!R162</f>
        <v/>
      </c>
    </row>
    <row r="163">
      <c r="A163" s="23" t="str">
        <f t="shared" si="1"/>
        <v>FB1019UP</v>
      </c>
      <c r="B163" s="23" t="str">
        <f>'3.5.raw'!I163</f>
        <v>FB1019UP</v>
      </c>
      <c r="C163" s="24">
        <f>datevalue(left('3.5.raw'!K163,10))</f>
        <v>43683</v>
      </c>
      <c r="D163" s="23" t="str">
        <f>'3.5.raw'!H163</f>
        <v>99</v>
      </c>
      <c r="E163" s="1">
        <v>3.5</v>
      </c>
      <c r="F163" s="23" t="b">
        <f>if(countif(Status!C:C,A163)=1,TRUE, FALSE)</f>
        <v>1</v>
      </c>
      <c r="H163" s="23">
        <f>IFERROR(__xludf.DUMMYFUNCTION("IFs(REGEXMATCH(I163, ""NOT""), 0, REGEXMATCH(I163, ""NO""), 0, REGEXMATCH(I163, ""TURBID""),1, COUNTBLANK(I163),"""", istext(I163),"""")"),0.0)</f>
        <v>0</v>
      </c>
      <c r="I163" s="23" t="str">
        <f>'3.5.raw'!R163</f>
        <v>OBSERVATION- NO TURBID</v>
      </c>
    </row>
    <row r="164">
      <c r="A164" s="23" t="str">
        <f t="shared" si="1"/>
        <v>FB1020UP</v>
      </c>
      <c r="B164" s="23" t="str">
        <f>'3.5.raw'!I164</f>
        <v>FB1020UP</v>
      </c>
      <c r="C164" s="24">
        <f>datevalue(left('3.5.raw'!K164,10))</f>
        <v>43683</v>
      </c>
      <c r="D164" s="23" t="str">
        <f>'3.5.raw'!H164</f>
        <v>99</v>
      </c>
      <c r="E164" s="1">
        <v>3.5</v>
      </c>
      <c r="F164" s="23" t="b">
        <f>if(countif(Status!C:C,A164)=1,TRUE, FALSE)</f>
        <v>1</v>
      </c>
      <c r="H164" s="23">
        <f>IFERROR(__xludf.DUMMYFUNCTION("IFs(REGEXMATCH(I164, ""NOT""), 0, REGEXMATCH(I164, ""NO""), 0, REGEXMATCH(I164, ""TURBID""),1, COUNTBLANK(I164),"""", istext(I164),"""")"),0.0)</f>
        <v>0</v>
      </c>
      <c r="I164" s="23" t="str">
        <f>'3.5.raw'!R164</f>
        <v>OBSERVATION-NO TURBID</v>
      </c>
    </row>
    <row r="165">
      <c r="A165" s="23" t="str">
        <f t="shared" si="1"/>
        <v>UPNC20</v>
      </c>
      <c r="B165" s="23" t="str">
        <f>'3.5.raw'!I165</f>
        <v>UPNC20</v>
      </c>
      <c r="C165" s="24">
        <f>datevalue(left('3.5.raw'!K165,10))</f>
        <v>43683</v>
      </c>
      <c r="D165" s="23" t="str">
        <f>'3.5.raw'!H165</f>
        <v>98</v>
      </c>
      <c r="E165" s="1">
        <v>3.5</v>
      </c>
      <c r="F165" s="23" t="b">
        <f>if(countif(Status!C:C,A165)=1,TRUE, FALSE)</f>
        <v>1</v>
      </c>
      <c r="H165" s="23">
        <f>IFERROR(__xludf.DUMMYFUNCTION("IFs(REGEXMATCH(I165, ""NOT""), 0, REGEXMATCH(I165, ""NO""), 0, REGEXMATCH(I165, ""TURBID""),1, COUNTBLANK(I165),"""", istext(I165),"""")"),0.0)</f>
        <v>0</v>
      </c>
      <c r="I165" s="23" t="str">
        <f>'3.5.raw'!R165</f>
        <v>OBSERVATION- NO TURBID</v>
      </c>
    </row>
    <row r="166">
      <c r="A166" s="23" t="str">
        <f t="shared" si="1"/>
        <v>PL1018</v>
      </c>
      <c r="B166" s="23" t="str">
        <f>'3.5.raw'!I166</f>
        <v>PL1018</v>
      </c>
      <c r="C166" s="24">
        <f>datevalue(left('3.5.raw'!K166,10))</f>
        <v>43684</v>
      </c>
      <c r="D166" s="23" t="str">
        <f>'3.5.raw'!H166</f>
        <v>11</v>
      </c>
      <c r="E166" s="1">
        <v>3.5</v>
      </c>
      <c r="F166" s="23" t="b">
        <f>if(countif(Status!C:C,A166)=1,TRUE, FALSE)</f>
        <v>1</v>
      </c>
      <c r="H166" s="23" t="str">
        <f>IFERROR(__xludf.DUMMYFUNCTION("IFs(REGEXMATCH(I166, ""NOT""), 0, REGEXMATCH(I166, ""NO""), 0, REGEXMATCH(I166, ""TURBID""),1, COUNTBLANK(I166),"""", istext(I166),"""")"),"")</f>
        <v/>
      </c>
      <c r="I166" s="23" t="str">
        <f>'3.5.raw'!R166</f>
        <v>WITH PL1018FL</v>
      </c>
    </row>
    <row r="167">
      <c r="A167" s="23" t="str">
        <f t="shared" si="1"/>
        <v>UPNC21</v>
      </c>
      <c r="B167" s="23" t="str">
        <f>'3.5.raw'!I167</f>
        <v>UPNC21</v>
      </c>
      <c r="C167" s="24">
        <f>datevalue(left('3.5.raw'!K167,10))</f>
        <v>43684</v>
      </c>
      <c r="D167" s="23" t="str">
        <f>'3.5.raw'!H167</f>
        <v>98</v>
      </c>
      <c r="E167" s="1">
        <v>3.5</v>
      </c>
      <c r="F167" s="23" t="b">
        <f>if(countif(Status!C:C,A167)=1,TRUE, FALSE)</f>
        <v>1</v>
      </c>
      <c r="H167" s="23">
        <f>IFERROR(__xludf.DUMMYFUNCTION("IFs(REGEXMATCH(I167, ""NOT""), 0, REGEXMATCH(I167, ""NO""), 0, REGEXMATCH(I167, ""TURBID""),1, COUNTBLANK(I167),"""", istext(I167),"""")"),0.0)</f>
        <v>0</v>
      </c>
      <c r="I167" s="23" t="str">
        <f>'3.5.raw'!R167</f>
        <v>OBSERVATION-NO TURBID</v>
      </c>
    </row>
    <row r="168">
      <c r="A168" s="23" t="str">
        <f t="shared" si="1"/>
        <v>FB1021UP</v>
      </c>
      <c r="B168" s="23" t="str">
        <f>'3.5.raw'!I168</f>
        <v>FB1021UP</v>
      </c>
      <c r="C168" s="24">
        <f>datevalue(left('3.5.raw'!K168,10))</f>
        <v>43684</v>
      </c>
      <c r="D168" s="23" t="str">
        <f>'3.5.raw'!H168</f>
        <v>99</v>
      </c>
      <c r="E168" s="1">
        <v>3.5</v>
      </c>
      <c r="F168" s="23" t="b">
        <f>if(countif(Status!C:C,A168)=1,TRUE, FALSE)</f>
        <v>1</v>
      </c>
      <c r="H168" s="23">
        <f>IFERROR(__xludf.DUMMYFUNCTION("IFs(REGEXMATCH(I168, ""NOT""), 0, REGEXMATCH(I168, ""NO""), 0, REGEXMATCH(I168, ""TURBID""),1, COUNTBLANK(I168),"""", istext(I168),"""")"),1.0)</f>
        <v>1</v>
      </c>
      <c r="I168" s="23" t="str">
        <f>'3.5.raw'!R168</f>
        <v>OBSERVATION- SLIGHTLY TURBID</v>
      </c>
    </row>
    <row r="169">
      <c r="A169" s="23" t="str">
        <f t="shared" si="1"/>
        <v>FB1022UP</v>
      </c>
      <c r="B169" s="23" t="str">
        <f>'3.5.raw'!I169</f>
        <v>FB1022UP</v>
      </c>
      <c r="C169" s="24">
        <f>datevalue(left('3.5.raw'!K169,10))</f>
        <v>43684</v>
      </c>
      <c r="D169" s="23" t="str">
        <f>'3.5.raw'!H169</f>
        <v>99</v>
      </c>
      <c r="E169" s="1">
        <v>3.5</v>
      </c>
      <c r="F169" s="23" t="b">
        <f>if(countif(Status!C:C,A169)=1,TRUE, FALSE)</f>
        <v>1</v>
      </c>
      <c r="H169" s="23">
        <f>IFERROR(__xludf.DUMMYFUNCTION("IFs(REGEXMATCH(I169, ""NOT""), 0, REGEXMATCH(I169, ""NO""), 0, REGEXMATCH(I169, ""TURBID""),1, COUNTBLANK(I169),"""", istext(I169),"""")"),1.0)</f>
        <v>1</v>
      </c>
      <c r="I169" s="23" t="str">
        <f>'3.5.raw'!R169</f>
        <v>OBSERVATION-TURBID</v>
      </c>
    </row>
    <row r="170">
      <c r="A170" s="23" t="str">
        <f t="shared" si="1"/>
        <v>MO1087</v>
      </c>
      <c r="B170" s="23" t="str">
        <f>'3.5.raw'!I170</f>
        <v>MO1087</v>
      </c>
      <c r="C170" s="24">
        <f>datevalue(left('3.5.raw'!K170,10))</f>
        <v>43685</v>
      </c>
      <c r="D170" s="23" t="str">
        <f>'3.5.raw'!H170</f>
        <v>12</v>
      </c>
      <c r="E170" s="1">
        <v>3.5</v>
      </c>
      <c r="F170" s="23" t="b">
        <f>if(countif(Status!C:C,A170)=1,TRUE, FALSE)</f>
        <v>1</v>
      </c>
      <c r="H170" s="23" t="str">
        <f>IFERROR(__xludf.DUMMYFUNCTION("IFs(REGEXMATCH(I170, ""NOT""), 0, REGEXMATCH(I170, ""NO""), 0, REGEXMATCH(I170, ""TURBID""),1, COUNTBLANK(I170),"""", istext(I170),"""")"),"")</f>
        <v/>
      </c>
      <c r="I170" s="23" t="str">
        <f>'3.5.raw'!R170</f>
        <v/>
      </c>
    </row>
    <row r="171">
      <c r="A171" s="23" t="str">
        <f t="shared" si="1"/>
        <v>MO1088</v>
      </c>
      <c r="B171" s="23" t="str">
        <f>'3.5.raw'!I171</f>
        <v>MO1088</v>
      </c>
      <c r="C171" s="24">
        <f>datevalue(left('3.5.raw'!K171,10))</f>
        <v>43685</v>
      </c>
      <c r="D171" s="23" t="str">
        <f>'3.5.raw'!H171</f>
        <v>12</v>
      </c>
      <c r="E171" s="1">
        <v>3.5</v>
      </c>
      <c r="F171" s="23" t="b">
        <f>if(countif(Status!C:C,A171)=1,TRUE, FALSE)</f>
        <v>1</v>
      </c>
      <c r="H171" s="23" t="str">
        <f>IFERROR(__xludf.DUMMYFUNCTION("IFs(REGEXMATCH(I171, ""NOT""), 0, REGEXMATCH(I171, ""NO""), 0, REGEXMATCH(I171, ""TURBID""),1, COUNTBLANK(I171),"""", istext(I171),"""")"),"")</f>
        <v/>
      </c>
      <c r="I171" s="23" t="str">
        <f>'3.5.raw'!R171</f>
        <v/>
      </c>
    </row>
    <row r="172">
      <c r="A172" s="23" t="str">
        <f t="shared" si="1"/>
        <v>MO1089</v>
      </c>
      <c r="B172" s="23" t="str">
        <f>'3.5.raw'!I172</f>
        <v>MO1089</v>
      </c>
      <c r="C172" s="24">
        <f>datevalue(left('3.5.raw'!K172,10))</f>
        <v>43685</v>
      </c>
      <c r="D172" s="23" t="str">
        <f>'3.5.raw'!H172</f>
        <v>12</v>
      </c>
      <c r="E172" s="1">
        <v>3.5</v>
      </c>
      <c r="F172" s="23" t="b">
        <f>if(countif(Status!C:C,A172)=1,TRUE, FALSE)</f>
        <v>1</v>
      </c>
      <c r="H172" s="23" t="str">
        <f>IFERROR(__xludf.DUMMYFUNCTION("IFs(REGEXMATCH(I172, ""NOT""), 0, REGEXMATCH(I172, ""NO""), 0, REGEXMATCH(I172, ""TURBID""),1, COUNTBLANK(I172),"""", istext(I172),"""")"),"")</f>
        <v/>
      </c>
      <c r="I172" s="23" t="str">
        <f>'3.5.raw'!R172</f>
        <v/>
      </c>
    </row>
    <row r="173">
      <c r="A173" s="23" t="str">
        <f t="shared" si="1"/>
        <v>MO1090</v>
      </c>
      <c r="B173" s="23" t="str">
        <f>'3.5.raw'!I173</f>
        <v>MO1090</v>
      </c>
      <c r="C173" s="24">
        <f>datevalue(left('3.5.raw'!K173,10))</f>
        <v>43685</v>
      </c>
      <c r="D173" s="23" t="str">
        <f>'3.5.raw'!H173</f>
        <v>12</v>
      </c>
      <c r="E173" s="1">
        <v>3.5</v>
      </c>
      <c r="F173" s="23" t="b">
        <f>if(countif(Status!C:C,A173)=1,TRUE, FALSE)</f>
        <v>1</v>
      </c>
      <c r="H173" s="23" t="str">
        <f>IFERROR(__xludf.DUMMYFUNCTION("IFs(REGEXMATCH(I173, ""NOT""), 0, REGEXMATCH(I173, ""NO""), 0, REGEXMATCH(I173, ""TURBID""),1, COUNTBLANK(I173),"""", istext(I173),"""")"),"")</f>
        <v/>
      </c>
      <c r="I173" s="23" t="str">
        <f>'3.5.raw'!R173</f>
        <v/>
      </c>
    </row>
    <row r="174">
      <c r="A174" s="23" t="str">
        <f t="shared" si="1"/>
        <v>FB1023UP</v>
      </c>
      <c r="B174" s="23" t="str">
        <f>'3.5.raw'!I174</f>
        <v>FB1023UP</v>
      </c>
      <c r="C174" s="24">
        <f>datevalue(left('3.5.raw'!K174,10))</f>
        <v>43685</v>
      </c>
      <c r="D174" s="23" t="str">
        <f>'3.5.raw'!H174</f>
        <v>99</v>
      </c>
      <c r="E174" s="1">
        <v>3.5</v>
      </c>
      <c r="F174" s="23" t="b">
        <f>if(countif(Status!C:C,A174)=1,TRUE, FALSE)</f>
        <v>1</v>
      </c>
      <c r="H174" s="23">
        <f>IFERROR(__xludf.DUMMYFUNCTION("IFs(REGEXMATCH(I174, ""NOT""), 0, REGEXMATCH(I174, ""NO""), 0, REGEXMATCH(I174, ""TURBID""),1, COUNTBLANK(I174),"""", istext(I174),"""")"),0.0)</f>
        <v>0</v>
      </c>
      <c r="I174" s="23" t="str">
        <f>'3.5.raw'!R174</f>
        <v>OBSERVATION- NO TURBID</v>
      </c>
    </row>
    <row r="175">
      <c r="A175" s="23" t="str">
        <f t="shared" si="1"/>
        <v>UPNC22</v>
      </c>
      <c r="B175" s="23" t="str">
        <f>'3.5.raw'!I175</f>
        <v>UPNC22</v>
      </c>
      <c r="C175" s="24">
        <f>datevalue(left('3.5.raw'!K175,10))</f>
        <v>43685</v>
      </c>
      <c r="D175" s="23" t="str">
        <f>'3.5.raw'!H175</f>
        <v>98</v>
      </c>
      <c r="E175" s="1">
        <v>3.5</v>
      </c>
      <c r="F175" s="23" t="b">
        <f>if(countif(Status!C:C,A175)=1,TRUE, FALSE)</f>
        <v>1</v>
      </c>
      <c r="H175" s="23">
        <f>IFERROR(__xludf.DUMMYFUNCTION("IFs(REGEXMATCH(I175, ""NOT""), 0, REGEXMATCH(I175, ""NO""), 0, REGEXMATCH(I175, ""TURBID""),1, COUNTBLANK(I175),"""", istext(I175),"""")"),0.0)</f>
        <v>0</v>
      </c>
      <c r="I175" s="23" t="str">
        <f>'3.5.raw'!R175</f>
        <v>OBSERVATION- NO TURBID</v>
      </c>
    </row>
    <row r="176">
      <c r="A176" s="23" t="str">
        <f t="shared" si="1"/>
        <v>FB1024UP</v>
      </c>
      <c r="B176" s="23" t="str">
        <f>'3.5.raw'!I176</f>
        <v>FB1024UP</v>
      </c>
      <c r="C176" s="24">
        <f>datevalue(left('3.5.raw'!K176,10))</f>
        <v>43686</v>
      </c>
      <c r="D176" s="23" t="str">
        <f>'3.5.raw'!H176</f>
        <v>99</v>
      </c>
      <c r="E176" s="1">
        <v>3.5</v>
      </c>
      <c r="F176" s="23" t="b">
        <f>if(countif(Status!C:C,A176)=1,TRUE, FALSE)</f>
        <v>1</v>
      </c>
      <c r="H176" s="23">
        <f>IFERROR(__xludf.DUMMYFUNCTION("IFs(REGEXMATCH(I176, ""NOT""), 0, REGEXMATCH(I176, ""NO""), 0, REGEXMATCH(I176, ""TURBID""),1, COUNTBLANK(I176),"""", istext(I176),"""")"),0.0)</f>
        <v>0</v>
      </c>
      <c r="I176" s="23" t="str">
        <f>'3.5.raw'!R176</f>
        <v>OBSERVATION- NO TURBID</v>
      </c>
    </row>
    <row r="177">
      <c r="A177" s="23" t="str">
        <f t="shared" si="1"/>
        <v>SF1002</v>
      </c>
      <c r="B177" s="23" t="str">
        <f>'3.5.raw'!I177</f>
        <v>SF1002</v>
      </c>
      <c r="C177" s="24">
        <f>datevalue(left('3.5.raw'!K177,10))</f>
        <v>43599</v>
      </c>
      <c r="D177" s="23" t="str">
        <f>'3.5.raw'!H177</f>
        <v>10</v>
      </c>
      <c r="E177" s="1">
        <v>3.5</v>
      </c>
      <c r="F177" s="23" t="b">
        <f>if(countif(Status!C:C,A177)=1,TRUE, FALSE)</f>
        <v>1</v>
      </c>
      <c r="H177" s="23" t="str">
        <f>IFERROR(__xludf.DUMMYFUNCTION("IFs(REGEXMATCH(I177, ""NOT""), 0, REGEXMATCH(I177, ""NO""), 0, REGEXMATCH(I177, ""TURBID""),1, COUNTBLANK(I177),"""", istext(I177),"""")"),"")</f>
        <v/>
      </c>
      <c r="I177" s="23" t="str">
        <f>'3.5.raw'!R177</f>
        <v/>
      </c>
    </row>
    <row r="178">
      <c r="A178" s="23" t="str">
        <f t="shared" si="1"/>
        <v>SF1003</v>
      </c>
      <c r="B178" s="23" t="str">
        <f>'3.5.raw'!I178</f>
        <v>SF1003</v>
      </c>
      <c r="C178" s="24">
        <f>datevalue(left('3.5.raw'!K178,10))</f>
        <v>43606</v>
      </c>
      <c r="D178" s="23" t="str">
        <f>'3.5.raw'!H178</f>
        <v>10</v>
      </c>
      <c r="E178" s="1">
        <v>3.5</v>
      </c>
      <c r="F178" s="23" t="b">
        <f>if(countif(Status!C:C,A178)=1,TRUE, FALSE)</f>
        <v>1</v>
      </c>
      <c r="H178" s="23" t="str">
        <f>IFERROR(__xludf.DUMMYFUNCTION("IFs(REGEXMATCH(I178, ""NOT""), 0, REGEXMATCH(I178, ""NO""), 0, REGEXMATCH(I178, ""TURBID""),1, COUNTBLANK(I178),"""", istext(I178),"""")"),"")</f>
        <v/>
      </c>
      <c r="I178" s="23" t="str">
        <f>'3.5.raw'!R178</f>
        <v/>
      </c>
    </row>
    <row r="179">
      <c r="A179" s="23" t="str">
        <f t="shared" si="1"/>
        <v>SF1004</v>
      </c>
      <c r="B179" s="23" t="str">
        <f>'3.5.raw'!I179</f>
        <v>SF1004</v>
      </c>
      <c r="C179" s="24">
        <f>datevalue(left('3.5.raw'!K179,10))</f>
        <v>43606</v>
      </c>
      <c r="D179" s="23" t="str">
        <f>'3.5.raw'!H179</f>
        <v>10</v>
      </c>
      <c r="E179" s="1">
        <v>3.5</v>
      </c>
      <c r="F179" s="23" t="b">
        <f>if(countif(Status!C:C,A179)=1,TRUE, FALSE)</f>
        <v>1</v>
      </c>
      <c r="H179" s="23" t="str">
        <f>IFERROR(__xludf.DUMMYFUNCTION("IFs(REGEXMATCH(I179, ""NOT""), 0, REGEXMATCH(I179, ""NO""), 0, REGEXMATCH(I179, ""TURBID""),1, COUNTBLANK(I179),"""", istext(I179),"""")"),"")</f>
        <v/>
      </c>
      <c r="I179" s="23" t="str">
        <f>'3.5.raw'!R179</f>
        <v/>
      </c>
    </row>
    <row r="180">
      <c r="A180" s="23" t="str">
        <f t="shared" si="1"/>
        <v>SF1006</v>
      </c>
      <c r="B180" s="23" t="str">
        <f>'3.5.raw'!I180</f>
        <v>SF1006</v>
      </c>
      <c r="C180" s="24">
        <f>datevalue(left('3.5.raw'!K180,10))</f>
        <v>43614</v>
      </c>
      <c r="D180" s="23" t="str">
        <f>'3.5.raw'!H180</f>
        <v>10</v>
      </c>
      <c r="E180" s="1">
        <v>3.5</v>
      </c>
      <c r="F180" s="23" t="b">
        <f>if(countif(Status!C:C,A180)=1,TRUE, FALSE)</f>
        <v>1</v>
      </c>
      <c r="H180" s="23" t="str">
        <f>IFERROR(__xludf.DUMMYFUNCTION("IFs(REGEXMATCH(I180, ""NOT""), 0, REGEXMATCH(I180, ""NO""), 0, REGEXMATCH(I180, ""TURBID""),1, COUNTBLANK(I180),"""", istext(I180),"""")"),"")</f>
        <v/>
      </c>
      <c r="I180" s="23" t="str">
        <f>'3.5.raw'!R180</f>
        <v/>
      </c>
    </row>
    <row r="181">
      <c r="A181" s="23" t="str">
        <f t="shared" si="1"/>
        <v>SF1007</v>
      </c>
      <c r="B181" s="23" t="str">
        <f>'3.5.raw'!I181</f>
        <v>SF1007</v>
      </c>
      <c r="C181" s="24">
        <f>datevalue(left('3.5.raw'!K181,10))</f>
        <v>43620</v>
      </c>
      <c r="D181" s="23" t="str">
        <f>'3.5.raw'!H181</f>
        <v>10</v>
      </c>
      <c r="E181" s="1">
        <v>3.5</v>
      </c>
      <c r="F181" s="23" t="b">
        <f>if(countif(Status!C:C,A181)=1,TRUE, FALSE)</f>
        <v>1</v>
      </c>
      <c r="H181" s="23" t="str">
        <f>IFERROR(__xludf.DUMMYFUNCTION("IFs(REGEXMATCH(I181, ""NOT""), 0, REGEXMATCH(I181, ""NO""), 0, REGEXMATCH(I181, ""TURBID""),1, COUNTBLANK(I181),"""", istext(I181),"""")"),"")</f>
        <v/>
      </c>
      <c r="I181" s="23" t="str">
        <f>'3.5.raw'!R181</f>
        <v/>
      </c>
    </row>
    <row r="182">
      <c r="A182" s="23" t="str">
        <f t="shared" si="1"/>
        <v>PL1019</v>
      </c>
      <c r="B182" s="23" t="str">
        <f>'3.5.raw'!I182</f>
        <v>PL1019</v>
      </c>
      <c r="C182" s="24">
        <f>datevalue(left('3.5.raw'!K182,10))</f>
        <v>43697</v>
      </c>
      <c r="D182" s="23" t="str">
        <f>'3.5.raw'!H182</f>
        <v>11</v>
      </c>
      <c r="E182" s="1">
        <v>3.5</v>
      </c>
      <c r="F182" s="23" t="b">
        <f>if(countif(Status!C:C,A182)=1,TRUE, FALSE)</f>
        <v>1</v>
      </c>
      <c r="H182" s="23">
        <f>IFERROR(__xludf.DUMMYFUNCTION("IFs(REGEXMATCH(I182, ""NOT""), 0, REGEXMATCH(I182, ""NO""), 0, REGEXMATCH(I182, ""TURBID""),1, COUNTBLANK(I182),"""", istext(I182),"""")"),0.0)</f>
        <v>0</v>
      </c>
      <c r="I182" s="23" t="str">
        <f>'3.5.raw'!R182</f>
        <v>PL1019FL NOT PROCESSED</v>
      </c>
    </row>
    <row r="183">
      <c r="A183" s="23" t="str">
        <f t="shared" si="1"/>
        <v>UPNC23</v>
      </c>
      <c r="B183" s="23" t="str">
        <f>'3.5.raw'!I183</f>
        <v>UPNC23</v>
      </c>
      <c r="C183" s="24">
        <f>datevalue(left('3.5.raw'!K183,10))</f>
        <v>43697</v>
      </c>
      <c r="D183" s="23" t="str">
        <f>'3.5.raw'!H183</f>
        <v>98</v>
      </c>
      <c r="E183" s="1">
        <v>3.5</v>
      </c>
      <c r="F183" s="23" t="b">
        <f>if(countif(Status!C:C,A183)=1,TRUE, FALSE)</f>
        <v>1</v>
      </c>
      <c r="H183" s="23" t="str">
        <f>IFERROR(__xludf.DUMMYFUNCTION("IFs(REGEXMATCH(I183, ""NOT""), 0, REGEXMATCH(I183, ""NO""), 0, REGEXMATCH(I183, ""TURBID""),1, COUNTBLANK(I183),"""", istext(I183),"""")"),"")</f>
        <v/>
      </c>
      <c r="I183" s="23" t="str">
        <f>'3.5.raw'!R183</f>
        <v/>
      </c>
    </row>
    <row r="184">
      <c r="A184" s="23" t="str">
        <f t="shared" si="1"/>
        <v>FB1026UP</v>
      </c>
      <c r="B184" s="23" t="str">
        <f>'3.5.raw'!I184</f>
        <v>FB1026UP</v>
      </c>
      <c r="C184" s="24">
        <f>datevalue(left('3.5.raw'!K184,10))</f>
        <v>43697</v>
      </c>
      <c r="D184" s="23" t="str">
        <f>'3.5.raw'!H184</f>
        <v>99</v>
      </c>
      <c r="E184" s="1">
        <v>3.5</v>
      </c>
      <c r="F184" s="23" t="b">
        <f>if(countif(Status!C:C,A184)=1,TRUE, FALSE)</f>
        <v>1</v>
      </c>
      <c r="H184" s="23">
        <f>IFERROR(__xludf.DUMMYFUNCTION("IFs(REGEXMATCH(I184, ""NOT""), 0, REGEXMATCH(I184, ""NO""), 0, REGEXMATCH(I184, ""TURBID""),1, COUNTBLANK(I184),"""", istext(I184),"""")"),0.0)</f>
        <v>0</v>
      </c>
      <c r="I184" s="23" t="str">
        <f>'3.5.raw'!R184</f>
        <v>OBSERVATION- NO TURBID</v>
      </c>
    </row>
    <row r="185">
      <c r="A185" s="23" t="str">
        <f t="shared" si="1"/>
        <v>FB1025UP</v>
      </c>
      <c r="B185" s="23" t="str">
        <f>'3.5.raw'!I185</f>
        <v>FB1025UP</v>
      </c>
      <c r="C185" s="24">
        <f>datevalue(left('3.5.raw'!K185,10))</f>
        <v>43697</v>
      </c>
      <c r="D185" s="23" t="str">
        <f>'3.5.raw'!H185</f>
        <v>99</v>
      </c>
      <c r="E185" s="1">
        <v>3.5</v>
      </c>
      <c r="F185" s="23" t="b">
        <f>if(countif(Status!C:C,A185)=1,TRUE, FALSE)</f>
        <v>1</v>
      </c>
      <c r="H185" s="23">
        <f>IFERROR(__xludf.DUMMYFUNCTION("IFs(REGEXMATCH(I185, ""NOT""), 0, REGEXMATCH(I185, ""NO""), 0, REGEXMATCH(I185, ""TURBID""),1, COUNTBLANK(I185),"""", istext(I185),"""")"),0.0)</f>
        <v>0</v>
      </c>
      <c r="I185" s="23" t="str">
        <f>'3.5.raw'!R185</f>
        <v>OBSERVATION-NO TURBID</v>
      </c>
    </row>
    <row r="186">
      <c r="A186" s="23" t="str">
        <f t="shared" si="1"/>
        <v>FB1027UP</v>
      </c>
      <c r="B186" s="23" t="str">
        <f>'3.5.raw'!I186</f>
        <v>FB1027UP</v>
      </c>
      <c r="C186" s="24">
        <f>datevalue(left('3.5.raw'!K186,10))</f>
        <v>43698</v>
      </c>
      <c r="D186" s="23" t="str">
        <f>'3.5.raw'!H186</f>
        <v>99</v>
      </c>
      <c r="E186" s="1">
        <v>3.5</v>
      </c>
      <c r="F186" s="23" t="b">
        <f>if(countif(Status!C:C,A186)=1,TRUE, FALSE)</f>
        <v>1</v>
      </c>
      <c r="H186" s="23">
        <f>IFERROR(__xludf.DUMMYFUNCTION("IFs(REGEXMATCH(I186, ""NOT""), 0, REGEXMATCH(I186, ""NO""), 0, REGEXMATCH(I186, ""TURBID""),1, COUNTBLANK(I186),"""", istext(I186),"""")"),0.0)</f>
        <v>0</v>
      </c>
      <c r="I186" s="23" t="str">
        <f>'3.5.raw'!R186</f>
        <v>DHAPADHIPI RAJARGHAT NATUNPARA , OBSERVATION-NO TURBID</v>
      </c>
    </row>
    <row r="187">
      <c r="A187" s="23" t="str">
        <f t="shared" si="1"/>
        <v>FB1028UP</v>
      </c>
      <c r="B187" s="23" t="str">
        <f>'3.5.raw'!I187</f>
        <v>FB1028UP</v>
      </c>
      <c r="C187" s="24">
        <f>datevalue(left('3.5.raw'!K187,10))</f>
        <v>43698</v>
      </c>
      <c r="D187" s="23" t="str">
        <f>'3.5.raw'!H187</f>
        <v>99</v>
      </c>
      <c r="E187" s="1">
        <v>3.5</v>
      </c>
      <c r="F187" s="23" t="b">
        <f>if(countif(Status!C:C,A187)=1,TRUE, FALSE)</f>
        <v>1</v>
      </c>
      <c r="H187" s="23">
        <f>IFERROR(__xludf.DUMMYFUNCTION("IFs(REGEXMATCH(I187, ""NOT""), 0, REGEXMATCH(I187, ""NO""), 0, REGEXMATCH(I187, ""TURBID""),1, COUNTBLANK(I187),"""", istext(I187),"""")"),0.0)</f>
        <v>0</v>
      </c>
      <c r="I187" s="23" t="str">
        <f>'3.5.raw'!R187</f>
        <v>DHAPADHIPI, RAJARGHAT NATUN PARA, OBSERVATION -NO TURBID</v>
      </c>
    </row>
    <row r="188">
      <c r="A188" s="23" t="str">
        <f t="shared" si="1"/>
        <v>FB1029UP</v>
      </c>
      <c r="B188" s="23" t="str">
        <f>'3.5.raw'!I188</f>
        <v>FB1029UP</v>
      </c>
      <c r="C188" s="24">
        <f>datevalue(left('3.5.raw'!K188,10))</f>
        <v>43699</v>
      </c>
      <c r="D188" s="23" t="str">
        <f>'3.5.raw'!H188</f>
        <v>99</v>
      </c>
      <c r="E188" s="1">
        <v>3.5</v>
      </c>
      <c r="F188" s="23" t="b">
        <f>if(countif(Status!C:C,A188)=1,TRUE, FALSE)</f>
        <v>1</v>
      </c>
      <c r="H188" s="23">
        <f>IFERROR(__xludf.DUMMYFUNCTION("IFs(REGEXMATCH(I188, ""NOT""), 0, REGEXMATCH(I188, ""NO""), 0, REGEXMATCH(I188, ""TURBID""),1, COUNTBLANK(I188),"""", istext(I188),"""")"),0.0)</f>
        <v>0</v>
      </c>
      <c r="I188" s="23" t="str">
        <f>'3.5.raw'!R188</f>
        <v>DHAPADHIPI RAJAR GHAT NATUN PARA, OBSERVATION-NO TURBID</v>
      </c>
    </row>
    <row r="189">
      <c r="A189" s="23" t="str">
        <f t="shared" si="1"/>
        <v>FB1030UP</v>
      </c>
      <c r="B189" s="23" t="str">
        <f>'3.5.raw'!I189</f>
        <v>FB1030UP</v>
      </c>
      <c r="C189" s="24">
        <f>datevalue(left('3.5.raw'!K189,10))</f>
        <v>43699</v>
      </c>
      <c r="D189" s="23" t="str">
        <f>'3.5.raw'!H189</f>
        <v>99</v>
      </c>
      <c r="E189" s="1">
        <v>3.5</v>
      </c>
      <c r="F189" s="23" t="b">
        <f>if(countif(Status!C:C,A189)=1,TRUE, FALSE)</f>
        <v>1</v>
      </c>
      <c r="H189" s="23">
        <f>IFERROR(__xludf.DUMMYFUNCTION("IFs(REGEXMATCH(I189, ""NOT""), 0, REGEXMATCH(I189, ""NO""), 0, REGEXMATCH(I189, ""TURBID""),1, COUNTBLANK(I189),"""", istext(I189),"""")"),0.0)</f>
        <v>0</v>
      </c>
      <c r="I189" s="23" t="str">
        <f>'3.5.raw'!R189</f>
        <v>DHAPADHIPI, RAJAEGHAT NATUNPARA, OBSRVATION-NO TURBID</v>
      </c>
    </row>
    <row r="190">
      <c r="A190" s="23" t="str">
        <f t="shared" si="1"/>
        <v>FB1048</v>
      </c>
      <c r="B190" s="23" t="str">
        <f>'3.5.raw'!I190</f>
        <v>FB1048</v>
      </c>
      <c r="C190" s="24">
        <f>datevalue(left('3.5.raw'!K190,10))</f>
        <v>43719</v>
      </c>
      <c r="D190" s="23" t="str">
        <f>'3.5.raw'!H190</f>
        <v>99</v>
      </c>
      <c r="E190" s="1">
        <v>3.5</v>
      </c>
      <c r="F190" s="23" t="b">
        <f>if(countif(Status!C:C,A190)=1,TRUE, FALSE)</f>
        <v>1</v>
      </c>
      <c r="H190" s="23">
        <f>IFERROR(__xludf.DUMMYFUNCTION("IFs(REGEXMATCH(I190, ""NOT""), 0, REGEXMATCH(I190, ""NO""), 0, REGEXMATCH(I190, ""TURBID""),1, COUNTBLANK(I190),"""", istext(I190),"""")"),0.0)</f>
        <v>0</v>
      </c>
      <c r="I190" s="23" t="str">
        <f>'3.5.raw'!R190</f>
        <v>OBSERVATION-NO TURBID</v>
      </c>
    </row>
    <row r="191">
      <c r="A191" s="23" t="str">
        <f t="shared" si="1"/>
        <v>PL1020</v>
      </c>
      <c r="B191" s="23" t="str">
        <f>'3.5.raw'!I191</f>
        <v>PL1020</v>
      </c>
      <c r="C191" s="24">
        <f>datevalue(left('3.5.raw'!K191,10))</f>
        <v>43704</v>
      </c>
      <c r="D191" s="23" t="str">
        <f>'3.5.raw'!H191</f>
        <v>11</v>
      </c>
      <c r="E191" s="1">
        <v>3.5</v>
      </c>
      <c r="F191" s="23" t="b">
        <f>if(countif(Status!C:C,A191)=1,TRUE, FALSE)</f>
        <v>1</v>
      </c>
      <c r="H191" s="23" t="str">
        <f>IFERROR(__xludf.DUMMYFUNCTION("IFs(REGEXMATCH(I191, ""NOT""), 0, REGEXMATCH(I191, ""NO""), 0, REGEXMATCH(I191, ""TURBID""),1, COUNTBLANK(I191),"""", istext(I191),"""")"),"")</f>
        <v/>
      </c>
      <c r="I191" s="23" t="str">
        <f>'3.5.raw'!R191</f>
        <v/>
      </c>
    </row>
    <row r="192">
      <c r="A192" s="23" t="str">
        <f t="shared" si="1"/>
        <v>MO1091</v>
      </c>
      <c r="B192" s="23" t="str">
        <f>'3.5.raw'!I192</f>
        <v>MO1091</v>
      </c>
      <c r="C192" s="24">
        <f>datevalue(left('3.5.raw'!K192,10))</f>
        <v>43704</v>
      </c>
      <c r="D192" s="23" t="str">
        <f>'3.5.raw'!H192</f>
        <v>12</v>
      </c>
      <c r="E192" s="1">
        <v>3.5</v>
      </c>
      <c r="F192" s="23" t="b">
        <f>if(countif(Status!C:C,A192)=1,TRUE, FALSE)</f>
        <v>1</v>
      </c>
      <c r="H192" s="23" t="str">
        <f>IFERROR(__xludf.DUMMYFUNCTION("IFs(REGEXMATCH(I192, ""NOT""), 0, REGEXMATCH(I192, ""NO""), 0, REGEXMATCH(I192, ""TURBID""),1, COUNTBLANK(I192),"""", istext(I192),"""")"),"")</f>
        <v/>
      </c>
      <c r="I192" s="23" t="str">
        <f>'3.5.raw'!R192</f>
        <v/>
      </c>
    </row>
    <row r="193">
      <c r="A193" s="1" t="s">
        <v>1153</v>
      </c>
      <c r="B193" s="23" t="str">
        <f>'3.5.raw'!I193</f>
        <v>SF011</v>
      </c>
      <c r="C193" s="24">
        <f>datevalue(left('3.5.raw'!K193,10))</f>
        <v>43706</v>
      </c>
      <c r="D193" s="23" t="str">
        <f>'3.5.raw'!H193</f>
        <v>10</v>
      </c>
      <c r="E193" s="1">
        <v>3.5</v>
      </c>
      <c r="F193" s="23" t="b">
        <f>if(countif(Status!C:C,A193)=1,TRUE, FALSE)</f>
        <v>1</v>
      </c>
      <c r="G193" s="1" t="s">
        <v>2184</v>
      </c>
      <c r="H193" s="23" t="str">
        <f>IFERROR(__xludf.DUMMYFUNCTION("IFs(REGEXMATCH(I193, ""NOT""), 0, REGEXMATCH(I193, ""NO""), 0, REGEXMATCH(I193, ""TURBID""),1, COUNTBLANK(I193),"""", istext(I193),"""")"),"")</f>
        <v/>
      </c>
      <c r="I193" s="23" t="str">
        <f>'3.5.raw'!R193</f>
        <v/>
      </c>
    </row>
    <row r="194">
      <c r="A194" s="23" t="str">
        <f t="shared" ref="A194:A229" si="2">SUBSTITUTE(B194, " ", "")</f>
        <v>FB1037UP</v>
      </c>
      <c r="B194" s="23" t="str">
        <f>'3.5.raw'!I194</f>
        <v>FB1037UP</v>
      </c>
      <c r="C194" s="24">
        <f>datevalue(left('3.5.raw'!K194,10))</f>
        <v>43706</v>
      </c>
      <c r="D194" s="23" t="str">
        <f>'3.5.raw'!H194</f>
        <v>99</v>
      </c>
      <c r="E194" s="1">
        <v>3.5</v>
      </c>
      <c r="F194" s="23" t="b">
        <f>if(countif(Status!C:C,A194)=1,TRUE, FALSE)</f>
        <v>1</v>
      </c>
      <c r="H194" s="23">
        <f>IFERROR(__xludf.DUMMYFUNCTION("IFs(REGEXMATCH(I194, ""NOT""), 0, REGEXMATCH(I194, ""NO""), 0, REGEXMATCH(I194, ""TURBID""),1, COUNTBLANK(I194),"""", istext(I194),"""")"),0.0)</f>
        <v>0</v>
      </c>
      <c r="I194" s="23" t="str">
        <f>'3.5.raw'!R194</f>
        <v>NOT TURBID</v>
      </c>
    </row>
    <row r="195">
      <c r="A195" s="23" t="str">
        <f t="shared" si="2"/>
        <v>SF1012A</v>
      </c>
      <c r="B195" s="23" t="str">
        <f>'3.5.raw'!I195</f>
        <v>SF1012A</v>
      </c>
      <c r="C195" s="24">
        <f>datevalue(left('3.5.raw'!K195,10))</f>
        <v>43706</v>
      </c>
      <c r="D195" s="23" t="str">
        <f>'3.5.raw'!H195</f>
        <v>10</v>
      </c>
      <c r="E195" s="1">
        <v>3.5</v>
      </c>
      <c r="F195" s="23" t="b">
        <f>if(countif(Status!C:C,A195)=1,TRUE, FALSE)</f>
        <v>1</v>
      </c>
      <c r="H195" s="23" t="str">
        <f>IFERROR(__xludf.DUMMYFUNCTION("IFs(REGEXMATCH(I195, ""NOT""), 0, REGEXMATCH(I195, ""NO""), 0, REGEXMATCH(I195, ""TURBID""),1, COUNTBLANK(I195),"""", istext(I195),"""")"),"")</f>
        <v/>
      </c>
      <c r="I195" s="23" t="str">
        <f>'3.5.raw'!R195</f>
        <v>SF1012A IS ALU+PURI</v>
      </c>
    </row>
    <row r="196">
      <c r="A196" s="23" t="str">
        <f t="shared" si="2"/>
        <v>SF1012B</v>
      </c>
      <c r="B196" s="23" t="str">
        <f>'3.5.raw'!I196</f>
        <v>SF1012B</v>
      </c>
      <c r="C196" s="24">
        <f>datevalue(left('3.5.raw'!K196,10))</f>
        <v>43706</v>
      </c>
      <c r="D196" s="23" t="str">
        <f>'3.5.raw'!H196</f>
        <v>10</v>
      </c>
      <c r="E196" s="1">
        <v>3.5</v>
      </c>
      <c r="F196" s="23" t="b">
        <f>if(countif(Status!C:C,A196)=1,TRUE, FALSE)</f>
        <v>1</v>
      </c>
      <c r="H196" s="23" t="str">
        <f>IFERROR(__xludf.DUMMYFUNCTION("IFs(REGEXMATCH(I196, ""NOT""), 0, REGEXMATCH(I196, ""NO""), 0, REGEXMATCH(I196, ""TURBID""),1, COUNTBLANK(I196),"""", istext(I196),"""")"),"")</f>
        <v/>
      </c>
      <c r="I196" s="23" t="str">
        <f>'3.5.raw'!R196</f>
        <v>SF1012B PANI</v>
      </c>
    </row>
    <row r="197">
      <c r="A197" s="23" t="str">
        <f t="shared" si="2"/>
        <v>FB1036UP</v>
      </c>
      <c r="B197" s="23" t="str">
        <f>'3.5.raw'!I197</f>
        <v>FB1036UP</v>
      </c>
      <c r="C197" s="24">
        <f>datevalue(left('3.5.raw'!K197,10))</f>
        <v>43706</v>
      </c>
      <c r="D197" s="23" t="str">
        <f>'3.5.raw'!H197</f>
        <v>99</v>
      </c>
      <c r="E197" s="1">
        <v>3.5</v>
      </c>
      <c r="F197" s="23" t="b">
        <f>if(countif(Status!C:C,A197)=1,TRUE, FALSE)</f>
        <v>1</v>
      </c>
      <c r="H197" s="23">
        <f>IFERROR(__xludf.DUMMYFUNCTION("IFs(REGEXMATCH(I197, ""NOT""), 0, REGEXMATCH(I197, ""NO""), 0, REGEXMATCH(I197, ""TURBID""),1, COUNTBLANK(I197),"""", istext(I197),"""")"),0.0)</f>
        <v>0</v>
      </c>
      <c r="I197" s="23" t="str">
        <f>'3.5.raw'!R197</f>
        <v>NOT TURBID</v>
      </c>
    </row>
    <row r="198">
      <c r="A198" s="23" t="str">
        <f t="shared" si="2"/>
        <v>FB1038UP</v>
      </c>
      <c r="B198" s="23" t="str">
        <f>'3.5.raw'!I198</f>
        <v>FB1038UP</v>
      </c>
      <c r="C198" s="24">
        <f>datevalue(left('3.5.raw'!K198,10))</f>
        <v>43710</v>
      </c>
      <c r="D198" s="23" t="str">
        <f>'3.5.raw'!H198</f>
        <v>99</v>
      </c>
      <c r="E198" s="1">
        <v>3.5</v>
      </c>
      <c r="F198" s="23" t="b">
        <f>if(countif(Status!C:C,A198)=1,TRUE, FALSE)</f>
        <v>1</v>
      </c>
      <c r="H198" s="23">
        <f>IFERROR(__xludf.DUMMYFUNCTION("IFs(REGEXMATCH(I198, ""NOT""), 0, REGEXMATCH(I198, ""NO""), 0, REGEXMATCH(I198, ""TURBID""),1, COUNTBLANK(I198),"""", istext(I198),"""")"),1.0)</f>
        <v>1</v>
      </c>
      <c r="I198" s="23" t="str">
        <f>'3.5.raw'!R198</f>
        <v>TURBID</v>
      </c>
    </row>
    <row r="199">
      <c r="A199" s="23" t="str">
        <f t="shared" si="2"/>
        <v>FB1039UP</v>
      </c>
      <c r="B199" s="23" t="str">
        <f>'3.5.raw'!I199</f>
        <v>FB1039UP</v>
      </c>
      <c r="C199" s="24">
        <f>datevalue(left('3.5.raw'!K199,10))</f>
        <v>43710</v>
      </c>
      <c r="D199" s="23" t="str">
        <f>'3.5.raw'!H199</f>
        <v>99</v>
      </c>
      <c r="E199" s="1">
        <v>3.5</v>
      </c>
      <c r="F199" s="23" t="b">
        <f>if(countif(Status!C:C,A199)=1,TRUE, FALSE)</f>
        <v>1</v>
      </c>
      <c r="H199" s="23">
        <f>IFERROR(__xludf.DUMMYFUNCTION("IFs(REGEXMATCH(I199, ""NOT""), 0, REGEXMATCH(I199, ""NO""), 0, REGEXMATCH(I199, ""TURBID""),1, COUNTBLANK(I199),"""", istext(I199),"""")"),1.0)</f>
        <v>1</v>
      </c>
      <c r="I199" s="23" t="str">
        <f>'3.5.raw'!R199</f>
        <v>TURBID</v>
      </c>
    </row>
    <row r="200">
      <c r="A200" s="23" t="str">
        <f t="shared" si="2"/>
        <v>FB1040UP</v>
      </c>
      <c r="B200" s="23" t="str">
        <f>'3.5.raw'!I200</f>
        <v>FB1040UP</v>
      </c>
      <c r="C200" s="24">
        <f>datevalue(left('3.5.raw'!K200,10))</f>
        <v>43710</v>
      </c>
      <c r="D200" s="23" t="str">
        <f>'3.5.raw'!H200</f>
        <v>99</v>
      </c>
      <c r="E200" s="1">
        <v>3.5</v>
      </c>
      <c r="F200" s="23" t="b">
        <f>if(countif(Status!C:C,A200)=1,TRUE, FALSE)</f>
        <v>1</v>
      </c>
      <c r="H200" s="23">
        <f>IFERROR(__xludf.DUMMYFUNCTION("IFs(REGEXMATCH(I200, ""NOT""), 0, REGEXMATCH(I200, ""NO""), 0, REGEXMATCH(I200, ""TURBID""),1, COUNTBLANK(I200),"""", istext(I200),"""")"),0.0)</f>
        <v>0</v>
      </c>
      <c r="I200" s="23" t="str">
        <f>'3.5.raw'!R200</f>
        <v>NOT TURBID</v>
      </c>
    </row>
    <row r="201">
      <c r="A201" s="23" t="str">
        <f t="shared" si="2"/>
        <v>FB1041UP</v>
      </c>
      <c r="B201" s="23" t="str">
        <f>'3.5.raw'!I201</f>
        <v>FB1041UP</v>
      </c>
      <c r="C201" s="24">
        <f>datevalue(left('3.5.raw'!K201,10))</f>
        <v>43710</v>
      </c>
      <c r="D201" s="23" t="str">
        <f>'3.5.raw'!H201</f>
        <v>99</v>
      </c>
      <c r="E201" s="1">
        <v>3.5</v>
      </c>
      <c r="F201" s="23" t="b">
        <f>if(countif(Status!C:C,A201)=1,TRUE, FALSE)</f>
        <v>1</v>
      </c>
      <c r="H201" s="23">
        <f>IFERROR(__xludf.DUMMYFUNCTION("IFs(REGEXMATCH(I201, ""NOT""), 0, REGEXMATCH(I201, ""NO""), 0, REGEXMATCH(I201, ""TURBID""),1, COUNTBLANK(I201),"""", istext(I201),"""")"),0.0)</f>
        <v>0</v>
      </c>
      <c r="I201" s="23" t="str">
        <f>'3.5.raw'!R201</f>
        <v>NOT TURBID</v>
      </c>
    </row>
    <row r="202">
      <c r="A202" s="23" t="str">
        <f t="shared" si="2"/>
        <v>MO1092</v>
      </c>
      <c r="B202" s="23" t="str">
        <f>'3.5.raw'!I202</f>
        <v>MO1092</v>
      </c>
      <c r="C202" s="24">
        <f>datevalue(left('3.5.raw'!K202,10))</f>
        <v>43711</v>
      </c>
      <c r="D202" s="23" t="str">
        <f>'3.5.raw'!H202</f>
        <v>12</v>
      </c>
      <c r="E202" s="1">
        <v>3.5</v>
      </c>
      <c r="F202" s="23" t="b">
        <f>if(countif(Status!C:C,A202)=1,TRUE, FALSE)</f>
        <v>1</v>
      </c>
      <c r="H202" s="23" t="str">
        <f>IFERROR(__xludf.DUMMYFUNCTION("IFs(REGEXMATCH(I202, ""NOT""), 0, REGEXMATCH(I202, ""NO""), 0, REGEXMATCH(I202, ""TURBID""),1, COUNTBLANK(I202),"""", istext(I202),"""")"),"")</f>
        <v/>
      </c>
      <c r="I202" s="23" t="str">
        <f>'3.5.raw'!R202</f>
        <v/>
      </c>
    </row>
    <row r="203">
      <c r="A203" s="23" t="str">
        <f t="shared" si="2"/>
        <v>FB1043UP</v>
      </c>
      <c r="B203" s="23" t="str">
        <f>'3.5.raw'!I203</f>
        <v>FB1043UP</v>
      </c>
      <c r="C203" s="24">
        <f>datevalue(left('3.5.raw'!K203,10))</f>
        <v>43711</v>
      </c>
      <c r="D203" s="23" t="str">
        <f>'3.5.raw'!H203</f>
        <v>99</v>
      </c>
      <c r="E203" s="1">
        <v>3.5</v>
      </c>
      <c r="F203" s="23" t="b">
        <f>if(countif(Status!C:C,A203)=1,TRUE, FALSE)</f>
        <v>1</v>
      </c>
      <c r="H203" s="23">
        <f>IFERROR(__xludf.DUMMYFUNCTION("IFs(REGEXMATCH(I203, ""NOT""), 0, REGEXMATCH(I203, ""NO""), 0, REGEXMATCH(I203, ""TURBID""),1, COUNTBLANK(I203),"""", istext(I203),"""")"),1.0)</f>
        <v>1</v>
      </c>
      <c r="I203" s="23" t="str">
        <f>'3.5.raw'!R203</f>
        <v>TURBID</v>
      </c>
    </row>
    <row r="204">
      <c r="A204" s="23" t="str">
        <f t="shared" si="2"/>
        <v>FB1042UP</v>
      </c>
      <c r="B204" s="23" t="str">
        <f>'3.5.raw'!I204</f>
        <v>FB1042UP</v>
      </c>
      <c r="C204" s="24">
        <f>datevalue(left('3.5.raw'!K204,10))</f>
        <v>43711</v>
      </c>
      <c r="D204" s="23" t="str">
        <f>'3.5.raw'!H204</f>
        <v>99</v>
      </c>
      <c r="E204" s="1">
        <v>3.5</v>
      </c>
      <c r="F204" s="23" t="b">
        <f>if(countif(Status!C:C,A204)=1,TRUE, FALSE)</f>
        <v>1</v>
      </c>
      <c r="H204" s="23">
        <f>IFERROR(__xludf.DUMMYFUNCTION("IFs(REGEXMATCH(I204, ""NOT""), 0, REGEXMATCH(I204, ""NO""), 0, REGEXMATCH(I204, ""TURBID""),1, COUNTBLANK(I204),"""", istext(I204),"""")"),1.0)</f>
        <v>1</v>
      </c>
      <c r="I204" s="23" t="str">
        <f>'3.5.raw'!R204</f>
        <v>TURBID</v>
      </c>
    </row>
    <row r="205">
      <c r="A205" s="23" t="str">
        <f t="shared" si="2"/>
        <v>FB1046UP</v>
      </c>
      <c r="B205" s="23" t="str">
        <f>'3.5.raw'!I205</f>
        <v>FB1046UP</v>
      </c>
      <c r="C205" s="24">
        <f>datevalue(left('3.5.raw'!K205,10))</f>
        <v>43712</v>
      </c>
      <c r="D205" s="23" t="str">
        <f>'3.5.raw'!H205</f>
        <v>99</v>
      </c>
      <c r="E205" s="1">
        <v>3.5</v>
      </c>
      <c r="F205" s="23" t="b">
        <f>if(countif(Status!C:C,A205)=1,TRUE, FALSE)</f>
        <v>1</v>
      </c>
      <c r="H205" s="23">
        <f>IFERROR(__xludf.DUMMYFUNCTION("IFs(REGEXMATCH(I205, ""NOT""), 0, REGEXMATCH(I205, ""NO""), 0, REGEXMATCH(I205, ""TURBID""),1, COUNTBLANK(I205),"""", istext(I205),"""")"),1.0)</f>
        <v>1</v>
      </c>
      <c r="I205" s="23" t="str">
        <f>'3.5.raw'!R205</f>
        <v>TURBID</v>
      </c>
    </row>
    <row r="206">
      <c r="A206" s="23" t="str">
        <f t="shared" si="2"/>
        <v>SF1013</v>
      </c>
      <c r="B206" s="23" t="str">
        <f>'3.5.raw'!I206</f>
        <v>SF1013</v>
      </c>
      <c r="C206" s="24">
        <f>datevalue(left('3.5.raw'!K206,10))</f>
        <v>43712</v>
      </c>
      <c r="D206" s="23" t="str">
        <f>'3.5.raw'!H206</f>
        <v>10</v>
      </c>
      <c r="E206" s="1">
        <v>3.5</v>
      </c>
      <c r="F206" s="23" t="b">
        <f>if(countif(Status!C:C,A206)=1,TRUE, FALSE)</f>
        <v>1</v>
      </c>
      <c r="H206" s="23" t="str">
        <f>IFERROR(__xludf.DUMMYFUNCTION("IFs(REGEXMATCH(I206, ""NOT""), 0, REGEXMATCH(I206, ""NO""), 0, REGEXMATCH(I206, ""TURBID""),1, COUNTBLANK(I206),"""", istext(I206),"""")"),"")</f>
        <v/>
      </c>
      <c r="I206" s="23" t="str">
        <f>'3.5.raw'!R206</f>
        <v/>
      </c>
    </row>
    <row r="207">
      <c r="A207" s="23" t="str">
        <f t="shared" si="2"/>
        <v>FB1045UP</v>
      </c>
      <c r="B207" s="23" t="str">
        <f>'3.5.raw'!I207</f>
        <v>FB1045UP</v>
      </c>
      <c r="C207" s="24">
        <f>datevalue(left('3.5.raw'!K207,10))</f>
        <v>43712</v>
      </c>
      <c r="D207" s="23" t="str">
        <f>'3.5.raw'!H207</f>
        <v>99</v>
      </c>
      <c r="E207" s="1">
        <v>3.5</v>
      </c>
      <c r="F207" s="23" t="b">
        <f>if(countif(Status!C:C,A207)=1,TRUE, FALSE)</f>
        <v>1</v>
      </c>
      <c r="H207" s="23">
        <f>IFERROR(__xludf.DUMMYFUNCTION("IFs(REGEXMATCH(I207, ""NOT""), 0, REGEXMATCH(I207, ""NO""), 0, REGEXMATCH(I207, ""TURBID""),1, COUNTBLANK(I207),"""", istext(I207),"""")"),1.0)</f>
        <v>1</v>
      </c>
      <c r="I207" s="23" t="str">
        <f>'3.5.raw'!R207</f>
        <v>TURBID</v>
      </c>
    </row>
    <row r="208">
      <c r="A208" s="23" t="str">
        <f t="shared" si="2"/>
        <v>PL1023</v>
      </c>
      <c r="B208" s="23" t="str">
        <f>'3.5.raw'!I208</f>
        <v>PL1023</v>
      </c>
      <c r="C208" s="24">
        <f>datevalue(left('3.5.raw'!K208,10))</f>
        <v>43712</v>
      </c>
      <c r="D208" s="23" t="str">
        <f>'3.5.raw'!H208</f>
        <v>11</v>
      </c>
      <c r="E208" s="1">
        <v>3.5</v>
      </c>
      <c r="F208" s="23" t="b">
        <f>if(countif(Status!C:C,A208)=1,TRUE, FALSE)</f>
        <v>1</v>
      </c>
      <c r="H208" s="23" t="str">
        <f>IFERROR(__xludf.DUMMYFUNCTION("IFs(REGEXMATCH(I208, ""NOT""), 0, REGEXMATCH(I208, ""NO""), 0, REGEXMATCH(I208, ""TURBID""),1, COUNTBLANK(I208),"""", istext(I208),"""")"),"")</f>
        <v/>
      </c>
      <c r="I208" s="23" t="str">
        <f>'3.5.raw'!R208</f>
        <v/>
      </c>
    </row>
    <row r="209">
      <c r="A209" s="23" t="str">
        <f t="shared" si="2"/>
        <v>FB1044UP</v>
      </c>
      <c r="B209" s="23" t="str">
        <f>'3.5.raw'!I209</f>
        <v>FB1044UP</v>
      </c>
      <c r="C209" s="24">
        <f>datevalue(left('3.5.raw'!K209,10))</f>
        <v>43712</v>
      </c>
      <c r="D209" s="23" t="str">
        <f>'3.5.raw'!H209</f>
        <v>99</v>
      </c>
      <c r="E209" s="1">
        <v>3.5</v>
      </c>
      <c r="F209" s="23" t="b">
        <f>if(countif(Status!C:C,A209)=1,TRUE, FALSE)</f>
        <v>1</v>
      </c>
      <c r="H209" s="23">
        <f>IFERROR(__xludf.DUMMYFUNCTION("IFs(REGEXMATCH(I209, ""NOT""), 0, REGEXMATCH(I209, ""NO""), 0, REGEXMATCH(I209, ""TURBID""),1, COUNTBLANK(I209),"""", istext(I209),"""")"),1.0)</f>
        <v>1</v>
      </c>
      <c r="I209" s="23" t="str">
        <f>'3.5.raw'!R209</f>
        <v>TURBID</v>
      </c>
    </row>
    <row r="210">
      <c r="A210" s="23" t="str">
        <f t="shared" si="2"/>
        <v>MO1093</v>
      </c>
      <c r="B210" s="23" t="str">
        <f>'3.5.raw'!I210</f>
        <v>MO1093</v>
      </c>
      <c r="C210" s="24">
        <f>datevalue(left('3.5.raw'!K210,10))</f>
        <v>43712</v>
      </c>
      <c r="D210" s="23" t="str">
        <f>'3.5.raw'!H210</f>
        <v>12</v>
      </c>
      <c r="E210" s="1">
        <v>3.5</v>
      </c>
      <c r="F210" s="23" t="b">
        <f>if(countif(Status!C:C,A210)=1,TRUE, FALSE)</f>
        <v>1</v>
      </c>
      <c r="H210" s="23" t="str">
        <f>IFERROR(__xludf.DUMMYFUNCTION("IFs(REGEXMATCH(I210, ""NOT""), 0, REGEXMATCH(I210, ""NO""), 0, REGEXMATCH(I210, ""TURBID""),1, COUNTBLANK(I210),"""", istext(I210),"""")"),"")</f>
        <v/>
      </c>
      <c r="I210" s="23" t="str">
        <f>'3.5.raw'!R210</f>
        <v/>
      </c>
    </row>
    <row r="211">
      <c r="A211" s="23" t="str">
        <f t="shared" si="2"/>
        <v>SF1014A</v>
      </c>
      <c r="B211" s="23" t="str">
        <f>'3.5.raw'!I211</f>
        <v>SF1014A</v>
      </c>
      <c r="C211" s="24">
        <f>datevalue(left('3.5.raw'!K211,10))</f>
        <v>43713</v>
      </c>
      <c r="D211" s="23" t="str">
        <f>'3.5.raw'!H211</f>
        <v>10</v>
      </c>
      <c r="E211" s="1">
        <v>3.5</v>
      </c>
      <c r="F211" s="23" t="b">
        <f>if(countif(Status!C:C,A211)=1,TRUE, FALSE)</f>
        <v>1</v>
      </c>
      <c r="H211" s="23" t="str">
        <f>IFERROR(__xludf.DUMMYFUNCTION("IFs(REGEXMATCH(I211, ""NOT""), 0, REGEXMATCH(I211, ""NO""), 0, REGEXMATCH(I211, ""TURBID""),1, COUNTBLANK(I211),"""", istext(I211),"""")"),"")</f>
        <v/>
      </c>
      <c r="I211" s="23" t="str">
        <f>'3.5.raw'!R211</f>
        <v/>
      </c>
    </row>
    <row r="212">
      <c r="A212" s="23" t="str">
        <f t="shared" si="2"/>
        <v>SF1014B</v>
      </c>
      <c r="B212" s="23" t="str">
        <f>'3.5.raw'!I212</f>
        <v>SF1014B</v>
      </c>
      <c r="C212" s="24">
        <f>datevalue(left('3.5.raw'!K212,10))</f>
        <v>43713</v>
      </c>
      <c r="D212" s="23" t="str">
        <f>'3.5.raw'!H212</f>
        <v>10</v>
      </c>
      <c r="E212" s="1">
        <v>3.5</v>
      </c>
      <c r="F212" s="23" t="b">
        <f>if(countif(Status!C:C,A212)=1,TRUE, FALSE)</f>
        <v>1</v>
      </c>
      <c r="H212" s="23" t="str">
        <f>IFERROR(__xludf.DUMMYFUNCTION("IFs(REGEXMATCH(I212, ""NOT""), 0, REGEXMATCH(I212, ""NO""), 0, REGEXMATCH(I212, ""TURBID""),1, COUNTBLANK(I212),"""", istext(I212),"""")"),"")</f>
        <v/>
      </c>
      <c r="I212" s="23" t="str">
        <f>'3.5.raw'!R212</f>
        <v/>
      </c>
    </row>
    <row r="213">
      <c r="A213" s="23" t="str">
        <f t="shared" si="2"/>
        <v>FB1047UP</v>
      </c>
      <c r="B213" s="23" t="str">
        <f>'3.5.raw'!I213</f>
        <v>FB1047UP</v>
      </c>
      <c r="C213" s="24">
        <f>datevalue(left('3.5.raw'!K213,10))</f>
        <v>43713</v>
      </c>
      <c r="D213" s="23" t="str">
        <f>'3.5.raw'!H213</f>
        <v>99</v>
      </c>
      <c r="E213" s="1">
        <v>3.5</v>
      </c>
      <c r="F213" s="23" t="b">
        <f>if(countif(Status!C:C,A213)=1,TRUE, FALSE)</f>
        <v>1</v>
      </c>
      <c r="H213" s="23">
        <f>IFERROR(__xludf.DUMMYFUNCTION("IFs(REGEXMATCH(I213, ""NOT""), 0, REGEXMATCH(I213, ""NO""), 0, REGEXMATCH(I213, ""TURBID""),1, COUNTBLANK(I213),"""", istext(I213),"""")"),1.0)</f>
        <v>1</v>
      </c>
      <c r="I213" s="23" t="str">
        <f>'3.5.raw'!R213</f>
        <v>TURBID</v>
      </c>
    </row>
    <row r="214">
      <c r="A214" s="23" t="str">
        <f t="shared" si="2"/>
        <v>PL1021</v>
      </c>
      <c r="B214" s="23" t="str">
        <f>'3.5.raw'!I214</f>
        <v>PL1021</v>
      </c>
      <c r="C214" s="24">
        <f>datevalue(left('3.5.raw'!K214,10))</f>
        <v>43711</v>
      </c>
      <c r="D214" s="23" t="str">
        <f>'3.5.raw'!H214</f>
        <v>11</v>
      </c>
      <c r="E214" s="1">
        <v>3.5</v>
      </c>
      <c r="F214" s="23" t="b">
        <f>if(countif(Status!C:C,A214)=1,TRUE, FALSE)</f>
        <v>1</v>
      </c>
      <c r="H214" s="23" t="str">
        <f>IFERROR(__xludf.DUMMYFUNCTION("IFs(REGEXMATCH(I214, ""NOT""), 0, REGEXMATCH(I214, ""NO""), 0, REGEXMATCH(I214, ""TURBID""),1, COUNTBLANK(I214),"""", istext(I214),"""")"),"")</f>
        <v/>
      </c>
      <c r="I214" s="23" t="str">
        <f>'3.5.raw'!R214</f>
        <v/>
      </c>
    </row>
    <row r="215">
      <c r="A215" s="23" t="str">
        <f t="shared" si="2"/>
        <v>PL1022</v>
      </c>
      <c r="B215" s="23" t="str">
        <f>'3.5.raw'!I215</f>
        <v>PL1022</v>
      </c>
      <c r="C215" s="24">
        <f>datevalue(left('3.5.raw'!K215,10))</f>
        <v>43711</v>
      </c>
      <c r="D215" s="23" t="str">
        <f>'3.5.raw'!H215</f>
        <v>11</v>
      </c>
      <c r="E215" s="1">
        <v>3.5</v>
      </c>
      <c r="F215" s="23" t="b">
        <f>if(countif(Status!C:C,A215)=1,TRUE, FALSE)</f>
        <v>1</v>
      </c>
      <c r="H215" s="23" t="str">
        <f>IFERROR(__xludf.DUMMYFUNCTION("IFs(REGEXMATCH(I215, ""NOT""), 0, REGEXMATCH(I215, ""NO""), 0, REGEXMATCH(I215, ""TURBID""),1, COUNTBLANK(I215),"""", istext(I215),"""")"),"")</f>
        <v/>
      </c>
      <c r="I215" s="23" t="str">
        <f>'3.5.raw'!R215</f>
        <v/>
      </c>
    </row>
    <row r="216">
      <c r="A216" s="23" t="str">
        <f t="shared" si="2"/>
        <v>FB1049UP</v>
      </c>
      <c r="B216" s="23" t="str">
        <f>'3.5.raw'!I216</f>
        <v>FB1049UP</v>
      </c>
      <c r="C216" s="24">
        <f>datevalue(left('3.5.raw'!K216,10))</f>
        <v>43719</v>
      </c>
      <c r="D216" s="23" t="str">
        <f>'3.5.raw'!H216</f>
        <v>99</v>
      </c>
      <c r="E216" s="1">
        <v>3.5</v>
      </c>
      <c r="F216" s="23" t="b">
        <f>if(countif(Status!C:C,A216)=1,TRUE, FALSE)</f>
        <v>1</v>
      </c>
      <c r="H216" s="23">
        <f>IFERROR(__xludf.DUMMYFUNCTION("IFs(REGEXMATCH(I216, ""NOT""), 0, REGEXMATCH(I216, ""NO""), 0, REGEXMATCH(I216, ""TURBID""),1, COUNTBLANK(I216),"""", istext(I216),"""")"),0.0)</f>
        <v>0</v>
      </c>
      <c r="I216" s="23" t="str">
        <f>'3.5.raw'!R216</f>
        <v>NOT TURBID</v>
      </c>
    </row>
    <row r="217">
      <c r="A217" s="23" t="str">
        <f t="shared" si="2"/>
        <v>FB1048UP</v>
      </c>
      <c r="B217" s="23" t="str">
        <f>'3.5.raw'!I217</f>
        <v>FB1048UP</v>
      </c>
      <c r="C217" s="24">
        <f>datevalue(left('3.5.raw'!K217,10))</f>
        <v>43719</v>
      </c>
      <c r="D217" s="23" t="str">
        <f>'3.5.raw'!H217</f>
        <v>99</v>
      </c>
      <c r="E217" s="1">
        <v>3.5</v>
      </c>
      <c r="F217" s="23" t="b">
        <f>if(countif(Status!C:C,A217)=1,TRUE, FALSE)</f>
        <v>1</v>
      </c>
      <c r="H217" s="23">
        <f>IFERROR(__xludf.DUMMYFUNCTION("IFs(REGEXMATCH(I217, ""NOT""), 0, REGEXMATCH(I217, ""NO""), 0, REGEXMATCH(I217, ""TURBID""),1, COUNTBLANK(I217),"""", istext(I217),"""")"),0.0)</f>
        <v>0</v>
      </c>
      <c r="I217" s="23" t="str">
        <f>'3.5.raw'!R217</f>
        <v>NOT TURBID</v>
      </c>
    </row>
    <row r="218">
      <c r="A218" s="23" t="str">
        <f t="shared" si="2"/>
        <v>FB1050UP</v>
      </c>
      <c r="B218" s="23" t="str">
        <f>'3.5.raw'!I218</f>
        <v>FB1050UP</v>
      </c>
      <c r="C218" s="24">
        <f>datevalue(left('3.5.raw'!K218,10))</f>
        <v>43720</v>
      </c>
      <c r="D218" s="23" t="str">
        <f>'3.5.raw'!H218</f>
        <v>99</v>
      </c>
      <c r="E218" s="1">
        <v>3.5</v>
      </c>
      <c r="F218" s="23" t="b">
        <f>if(countif(Status!C:C,A218)=1,TRUE, FALSE)</f>
        <v>1</v>
      </c>
      <c r="H218" s="23">
        <f>IFERROR(__xludf.DUMMYFUNCTION("IFs(REGEXMATCH(I218, ""NOT""), 0, REGEXMATCH(I218, ""NO""), 0, REGEXMATCH(I218, ""TURBID""),1, COUNTBLANK(I218),"""", istext(I218),"""")"),0.0)</f>
        <v>0</v>
      </c>
      <c r="I218" s="23" t="str">
        <f>'3.5.raw'!R218</f>
        <v>NOT TURBID</v>
      </c>
    </row>
    <row r="219">
      <c r="A219" s="23" t="str">
        <f t="shared" si="2"/>
        <v>PLc1025</v>
      </c>
      <c r="B219" s="23" t="str">
        <f>'3.5.raw'!I219</f>
        <v>PLc1025</v>
      </c>
      <c r="C219" s="24">
        <f>datevalue(left('3.5.raw'!K219,10))</f>
        <v>43724</v>
      </c>
      <c r="D219" s="23">
        <f>'3.5.raw'!H219</f>
        <v>11</v>
      </c>
      <c r="E219" s="1">
        <v>3.5</v>
      </c>
      <c r="F219" s="23" t="b">
        <f>if(countif(Status!C:C,A219)=1,TRUE, FALSE)</f>
        <v>1</v>
      </c>
      <c r="H219" s="23" t="str">
        <f>IFERROR(__xludf.DUMMYFUNCTION("IFs(REGEXMATCH(I219, ""NOT""), 0, REGEXMATCH(I219, ""NO""), 0, REGEXMATCH(I219, ""TURBID""),1, COUNTBLANK(I219),"""", istext(I219),"""")"),"")</f>
        <v/>
      </c>
      <c r="I219" s="23" t="str">
        <f>'3.5.raw'!R219</f>
        <v/>
      </c>
    </row>
    <row r="220">
      <c r="A220" s="23" t="str">
        <f t="shared" si="2"/>
        <v>FB1051UP</v>
      </c>
      <c r="B220" s="23" t="str">
        <f>'3.5.raw'!I220</f>
        <v>FB1051UP</v>
      </c>
      <c r="C220" s="24">
        <f>datevalue(left('3.5.raw'!K220,10))</f>
        <v>43724</v>
      </c>
      <c r="D220" s="23">
        <f>'3.5.raw'!H220</f>
        <v>99</v>
      </c>
      <c r="E220" s="1">
        <v>3.5</v>
      </c>
      <c r="F220" s="23" t="b">
        <f>if(countif(Status!C:C,A220)=1,TRUE, FALSE)</f>
        <v>1</v>
      </c>
      <c r="H220" s="23">
        <f>IFERROR(__xludf.DUMMYFUNCTION("IFs(REGEXMATCH(I220, ""NOT""), 0, REGEXMATCH(I220, ""NO""), 0, REGEXMATCH(I220, ""TURBID""),1, COUNTBLANK(I220),"""", istext(I220),"""")"),1.0)</f>
        <v>1</v>
      </c>
      <c r="I220" s="23" t="str">
        <f>'3.5.raw'!R220</f>
        <v>OBSERVATION- TURBID</v>
      </c>
    </row>
    <row r="221">
      <c r="A221" s="23" t="str">
        <f t="shared" si="2"/>
        <v>PLc1025FL</v>
      </c>
      <c r="B221" s="23" t="str">
        <f>'3.5.raw'!I221</f>
        <v>PLc1025FL</v>
      </c>
      <c r="C221" s="24">
        <f>datevalue(left('3.5.raw'!K221,10))</f>
        <v>43724</v>
      </c>
      <c r="D221" s="23">
        <f>'3.5.raw'!H221</f>
        <v>11</v>
      </c>
      <c r="E221" s="1">
        <v>3.5</v>
      </c>
      <c r="F221" s="23" t="b">
        <f>if(countif(Status!C:C,A221)=1,TRUE, FALSE)</f>
        <v>1</v>
      </c>
      <c r="H221" s="23" t="str">
        <f>IFERROR(__xludf.DUMMYFUNCTION("IFs(REGEXMATCH(I221, ""NOT""), 0, REGEXMATCH(I221, ""NO""), 0, REGEXMATCH(I221, ""TURBID""),1, COUNTBLANK(I221),"""", istext(I221),"""")"),"")</f>
        <v/>
      </c>
      <c r="I221" s="23" t="str">
        <f>'3.5.raw'!R221</f>
        <v>SAMPLE 10ml FILTERED</v>
      </c>
    </row>
    <row r="222">
      <c r="A222" s="23" t="str">
        <f t="shared" si="2"/>
        <v>FB1052UP</v>
      </c>
      <c r="B222" s="23" t="str">
        <f>'3.5.raw'!I222</f>
        <v>FB1052UP</v>
      </c>
      <c r="C222" s="24">
        <f>datevalue(left('3.5.raw'!K222,10))</f>
        <v>43725</v>
      </c>
      <c r="D222" s="23">
        <f>'3.5.raw'!H222</f>
        <v>99</v>
      </c>
      <c r="E222" s="1">
        <v>3.5</v>
      </c>
      <c r="F222" s="23" t="b">
        <f>if(countif(Status!C:C,A222)=1,TRUE, FALSE)</f>
        <v>1</v>
      </c>
      <c r="H222" s="23">
        <f>IFERROR(__xludf.DUMMYFUNCTION("IFs(REGEXMATCH(I222, ""NOT""), 0, REGEXMATCH(I222, ""NO""), 0, REGEXMATCH(I222, ""TURBID""),1, COUNTBLANK(I222),"""", istext(I222),"""")"),0.0)</f>
        <v>0</v>
      </c>
      <c r="I222" s="23" t="str">
        <f>'3.5.raw'!R222</f>
        <v>OBSERVATION-NO TURBID</v>
      </c>
    </row>
    <row r="223">
      <c r="A223" s="23" t="str">
        <f t="shared" si="2"/>
        <v>FB1053UP</v>
      </c>
      <c r="B223" s="23" t="str">
        <f>'3.5.raw'!I223</f>
        <v>FB1053UP</v>
      </c>
      <c r="C223" s="24">
        <f>datevalue(left('3.5.raw'!K223,10))</f>
        <v>43725</v>
      </c>
      <c r="D223" s="23">
        <f>'3.5.raw'!H223</f>
        <v>99</v>
      </c>
      <c r="E223" s="1">
        <v>3.5</v>
      </c>
      <c r="F223" s="23" t="b">
        <f>if(countif(Status!C:C,A223)=1,TRUE, FALSE)</f>
        <v>1</v>
      </c>
      <c r="H223" s="23" t="str">
        <f>IFERROR(__xludf.DUMMYFUNCTION("IFs(REGEXMATCH(I223, ""NOT""), 0, REGEXMATCH(I223, ""NO""), 0, REGEXMATCH(I223, ""TURBID""),1, COUNTBLANK(I223),"""", istext(I223),"""")"),"")</f>
        <v/>
      </c>
      <c r="I223" s="23" t="str">
        <f>'3.5.raw'!R223</f>
        <v>OBSERVATION- TUBBID,</v>
      </c>
    </row>
    <row r="224">
      <c r="A224" s="23" t="str">
        <f t="shared" si="2"/>
        <v>MO1094</v>
      </c>
      <c r="B224" s="23" t="str">
        <f>'3.5.raw'!I224</f>
        <v>MO1094</v>
      </c>
      <c r="C224" s="24">
        <f>datevalue(left('3.5.raw'!K224,10))</f>
        <v>43725</v>
      </c>
      <c r="D224" s="23">
        <f>'3.5.raw'!H224</f>
        <v>12</v>
      </c>
      <c r="E224" s="1">
        <v>3.5</v>
      </c>
      <c r="F224" s="23" t="b">
        <f>if(countif(Status!C:C,A224)=1,TRUE, FALSE)</f>
        <v>1</v>
      </c>
      <c r="H224" s="23" t="str">
        <f>IFERROR(__xludf.DUMMYFUNCTION("IFs(REGEXMATCH(I224, ""NOT""), 0, REGEXMATCH(I224, ""NO""), 0, REGEXMATCH(I224, ""TURBID""),1, COUNTBLANK(I224),"""", istext(I224),"""")"),"")</f>
        <v/>
      </c>
      <c r="I224" s="23" t="str">
        <f>'3.5.raw'!R224</f>
        <v/>
      </c>
    </row>
    <row r="225">
      <c r="A225" s="23" t="str">
        <f t="shared" si="2"/>
        <v>FB1054UP</v>
      </c>
      <c r="B225" s="23" t="str">
        <f>'3.5.raw'!I225</f>
        <v>FB1054UP</v>
      </c>
      <c r="C225" s="24">
        <f>datevalue(left('3.5.raw'!K225,10))</f>
        <v>43725</v>
      </c>
      <c r="D225" s="23">
        <f>'3.5.raw'!H225</f>
        <v>99</v>
      </c>
      <c r="E225" s="1">
        <v>3.5</v>
      </c>
      <c r="F225" s="23" t="b">
        <f>if(countif(Status!C:C,A225)=1,TRUE, FALSE)</f>
        <v>1</v>
      </c>
      <c r="H225" s="23">
        <f>IFERROR(__xludf.DUMMYFUNCTION("IFs(REGEXMATCH(I225, ""NOT""), 0, REGEXMATCH(I225, ""NO""), 0, REGEXMATCH(I225, ""TURBID""),1, COUNTBLANK(I225),"""", istext(I225),"""")"),0.0)</f>
        <v>0</v>
      </c>
      <c r="I225" s="23" t="str">
        <f>'3.5.raw'!R225</f>
        <v>OBSERVATION - NO TURBID</v>
      </c>
    </row>
    <row r="226">
      <c r="A226" s="23" t="str">
        <f t="shared" si="2"/>
        <v>UPNC24</v>
      </c>
      <c r="B226" s="23" t="str">
        <f>'3.5.raw'!I226</f>
        <v>UPNC24</v>
      </c>
      <c r="C226" s="24">
        <f>datevalue(left('3.5.raw'!K226,10))</f>
        <v>43725</v>
      </c>
      <c r="D226" s="23">
        <f>'3.5.raw'!H226</f>
        <v>98</v>
      </c>
      <c r="E226" s="1">
        <v>3.5</v>
      </c>
      <c r="F226" s="23" t="b">
        <f>if(countif(Status!C:C,A226)=1,TRUE, FALSE)</f>
        <v>1</v>
      </c>
      <c r="H226" s="23">
        <f>IFERROR(__xludf.DUMMYFUNCTION("IFs(REGEXMATCH(I226, ""NOT""), 0, REGEXMATCH(I226, ""NO""), 0, REGEXMATCH(I226, ""TURBID""),1, COUNTBLANK(I226),"""", istext(I226),"""")"),0.0)</f>
        <v>0</v>
      </c>
      <c r="I226" s="23" t="str">
        <f>'3.5.raw'!R226</f>
        <v>OBSERVATION-NO TURBID</v>
      </c>
    </row>
    <row r="227">
      <c r="A227" s="23" t="str">
        <f t="shared" si="2"/>
        <v>PLc1026</v>
      </c>
      <c r="B227" s="23" t="str">
        <f>'3.5.raw'!I227</f>
        <v>PLc1026</v>
      </c>
      <c r="C227" s="24">
        <f>datevalue(left('3.5.raw'!K227,10))</f>
        <v>43727</v>
      </c>
      <c r="D227" s="23">
        <f>'3.5.raw'!H227</f>
        <v>11</v>
      </c>
      <c r="E227" s="1">
        <v>3.5</v>
      </c>
      <c r="F227" s="23" t="b">
        <f>if(countif(Status!C:C,A227)=1,TRUE, FALSE)</f>
        <v>1</v>
      </c>
      <c r="H227" s="23" t="str">
        <f>IFERROR(__xludf.DUMMYFUNCTION("IFs(REGEXMATCH(I227, ""NOT""), 0, REGEXMATCH(I227, ""NO""), 0, REGEXMATCH(I227, ""TURBID""),1, COUNTBLANK(I227),"""", istext(I227),"""")"),"")</f>
        <v/>
      </c>
      <c r="I227" s="23" t="str">
        <f>'3.5.raw'!R227</f>
        <v>WITH PLc1026FL (SAMPLE 22ml FILTER ENRICH WITH 200mL UP BROTH)</v>
      </c>
    </row>
    <row r="228">
      <c r="A228" s="23" t="str">
        <f t="shared" si="2"/>
        <v>FB1055UP</v>
      </c>
      <c r="B228" s="23" t="str">
        <f>'3.5.raw'!I228</f>
        <v>FB1055UP</v>
      </c>
      <c r="C228" s="24">
        <f>datevalue(left('3.5.raw'!K228,10))</f>
        <v>43727</v>
      </c>
      <c r="D228" s="23">
        <f>'3.5.raw'!H228</f>
        <v>99</v>
      </c>
      <c r="E228" s="1">
        <v>3.5</v>
      </c>
      <c r="F228" s="23" t="b">
        <f>if(countif(Status!C:C,A228)=1,TRUE, FALSE)</f>
        <v>1</v>
      </c>
      <c r="H228" s="23">
        <f>IFERROR(__xludf.DUMMYFUNCTION("IFs(REGEXMATCH(I228, ""NOT""), 0, REGEXMATCH(I228, ""NO""), 0, REGEXMATCH(I228, ""TURBID""),1, COUNTBLANK(I228),"""", istext(I228),"""")"),0.0)</f>
        <v>0</v>
      </c>
      <c r="I228" s="23" t="str">
        <f>'3.5.raw'!R228</f>
        <v>OBSERVATION - NO TURBID</v>
      </c>
    </row>
    <row r="229">
      <c r="A229" s="23" t="str">
        <f t="shared" si="2"/>
        <v>MO1095</v>
      </c>
      <c r="B229" s="23" t="str">
        <f>'3.5.raw'!I229</f>
        <v>MO1095</v>
      </c>
      <c r="C229" s="24">
        <f>datevalue(left('3.5.raw'!K229,10))</f>
        <v>43727</v>
      </c>
      <c r="D229" s="23">
        <f>'3.5.raw'!H229</f>
        <v>12</v>
      </c>
      <c r="E229" s="1">
        <v>3.5</v>
      </c>
      <c r="F229" s="23" t="b">
        <f>if(countif(Status!C:C,A229)=1,TRUE, FALSE)</f>
        <v>1</v>
      </c>
      <c r="H229" s="23" t="str">
        <f>IFERROR(__xludf.DUMMYFUNCTION("IFs(REGEXMATCH(I229, ""NOT""), 0, REGEXMATCH(I229, ""NO""), 0, REGEXMATCH(I229, ""TURBID""),1, COUNTBLANK(I229),"""", istext(I229),"""")"),"")</f>
        <v/>
      </c>
      <c r="I229" s="23" t="str">
        <f>'3.5.raw'!R229</f>
        <v/>
      </c>
    </row>
    <row r="230">
      <c r="A230" s="49" t="s">
        <v>270</v>
      </c>
      <c r="B230" s="23" t="str">
        <f>'3.5.raw'!I230</f>
        <v>FB1056</v>
      </c>
      <c r="C230" s="24">
        <f>datevalue(left('3.5.raw'!K230,10))</f>
        <v>43727</v>
      </c>
      <c r="D230" s="23">
        <f>'3.5.raw'!H230</f>
        <v>99</v>
      </c>
      <c r="E230" s="1">
        <v>3.5</v>
      </c>
      <c r="F230" s="23" t="b">
        <f>if(countif(Status!C:C,A230)=1,TRUE, FALSE)</f>
        <v>1</v>
      </c>
      <c r="H230" s="23">
        <f>IFERROR(__xludf.DUMMYFUNCTION("IFs(REGEXMATCH(I230, ""NOT""), 0, REGEXMATCH(I230, ""NO""), 0, REGEXMATCH(I230, ""TURBID""),1, COUNTBLANK(I230),"""", istext(I230),"""")"),1.0)</f>
        <v>1</v>
      </c>
      <c r="I230" s="23" t="str">
        <f>'3.5.raw'!R230</f>
        <v>OBSERVATION-TURBID</v>
      </c>
    </row>
    <row r="231">
      <c r="A231" s="23" t="str">
        <f t="shared" ref="A231:A296" si="3">SUBSTITUTE(B231, " ", "")</f>
        <v>UPNC25</v>
      </c>
      <c r="B231" s="23" t="str">
        <f>'3.5.raw'!I231</f>
        <v>UPNC25</v>
      </c>
      <c r="C231" s="24">
        <f>datevalue(left('3.5.raw'!K231,10))</f>
        <v>43727</v>
      </c>
      <c r="D231" s="23">
        <f>'3.5.raw'!H231</f>
        <v>98</v>
      </c>
      <c r="E231" s="1">
        <v>3.5</v>
      </c>
      <c r="F231" s="23" t="b">
        <f>if(countif(Status!C:C,A231)=1,TRUE, FALSE)</f>
        <v>1</v>
      </c>
      <c r="H231" s="23">
        <f>IFERROR(__xludf.DUMMYFUNCTION("IFs(REGEXMATCH(I231, ""NOT""), 0, REGEXMATCH(I231, ""NO""), 0, REGEXMATCH(I231, ""TURBID""),1, COUNTBLANK(I231),"""", istext(I231),"""")"),0.0)</f>
        <v>0</v>
      </c>
      <c r="I231" s="23" t="str">
        <f>'3.5.raw'!R231</f>
        <v>OBSERVATION- NO TURBID</v>
      </c>
    </row>
    <row r="232">
      <c r="A232" s="23" t="str">
        <f t="shared" si="3"/>
        <v>FB1057UP</v>
      </c>
      <c r="B232" s="23" t="str">
        <f>'3.5.raw'!I232</f>
        <v>FB1057UP</v>
      </c>
      <c r="C232" s="24">
        <f>datevalue(left('3.5.raw'!K232,10))</f>
        <v>43731</v>
      </c>
      <c r="D232" s="23">
        <f>'3.5.raw'!H232</f>
        <v>99</v>
      </c>
      <c r="E232" s="1">
        <v>3.5</v>
      </c>
      <c r="F232" s="23" t="b">
        <f>if(countif(Status!C:C,A232)=1,TRUE, FALSE)</f>
        <v>1</v>
      </c>
      <c r="H232" s="23">
        <f>IFERROR(__xludf.DUMMYFUNCTION("IFs(REGEXMATCH(I232, ""NOT""), 0, REGEXMATCH(I232, ""NO""), 0, REGEXMATCH(I232, ""TURBID""),1, COUNTBLANK(I232),"""", istext(I232),"""")"),0.0)</f>
        <v>0</v>
      </c>
      <c r="I232" s="23" t="str">
        <f>'3.5.raw'!R232</f>
        <v>OBSERVATION-NO TURBID</v>
      </c>
    </row>
    <row r="233">
      <c r="A233" s="23" t="str">
        <f t="shared" si="3"/>
        <v>PLc1027</v>
      </c>
      <c r="B233" s="23" t="str">
        <f>'3.5.raw'!I233</f>
        <v>PLc1027</v>
      </c>
      <c r="C233" s="24">
        <f>datevalue(left('3.5.raw'!K233,10))</f>
        <v>43731</v>
      </c>
      <c r="D233" s="23">
        <f>'3.5.raw'!H233</f>
        <v>11</v>
      </c>
      <c r="E233" s="1">
        <v>3.5</v>
      </c>
      <c r="F233" s="23" t="b">
        <f>if(countif(Status!C:C,A233)=1,TRUE, FALSE)</f>
        <v>1</v>
      </c>
      <c r="H233" s="23" t="str">
        <f>IFERROR(__xludf.DUMMYFUNCTION("IFs(REGEXMATCH(I233, ""NOT""), 0, REGEXMATCH(I233, ""NO""), 0, REGEXMATCH(I233, ""TURBID""),1, COUNTBLANK(I233),"""", istext(I233),"""")"),"")</f>
        <v/>
      </c>
      <c r="I233" s="23" t="str">
        <f>'3.5.raw'!R233</f>
        <v>SAMPLE 12 ml FILTER FOR PLc1027FL</v>
      </c>
    </row>
    <row r="234">
      <c r="A234" s="23" t="str">
        <f t="shared" si="3"/>
        <v>UPNC26</v>
      </c>
      <c r="B234" s="23" t="str">
        <f>'3.5.raw'!I234</f>
        <v>UPNC26</v>
      </c>
      <c r="C234" s="24">
        <f>datevalue(left('3.5.raw'!K234,10))</f>
        <v>43731</v>
      </c>
      <c r="D234" s="23">
        <f>'3.5.raw'!H234</f>
        <v>98</v>
      </c>
      <c r="E234" s="1">
        <v>3.5</v>
      </c>
      <c r="F234" s="23" t="b">
        <f>if(countif(Status!C:C,A234)=1,TRUE, FALSE)</f>
        <v>1</v>
      </c>
      <c r="H234" s="23">
        <f>IFERROR(__xludf.DUMMYFUNCTION("IFs(REGEXMATCH(I234, ""NOT""), 0, REGEXMATCH(I234, ""NO""), 0, REGEXMATCH(I234, ""TURBID""),1, COUNTBLANK(I234),"""", istext(I234),"""")"),0.0)</f>
        <v>0</v>
      </c>
      <c r="I234" s="23" t="str">
        <f>'3.5.raw'!R234</f>
        <v>OBSERVATION- NO TURBID</v>
      </c>
    </row>
    <row r="235">
      <c r="A235" s="23" t="str">
        <f t="shared" si="3"/>
        <v>MO1096</v>
      </c>
      <c r="B235" s="23" t="str">
        <f>'3.5.raw'!I235</f>
        <v>MO1096</v>
      </c>
      <c r="C235" s="24">
        <f>datevalue(left('3.5.raw'!K235,10))</f>
        <v>43732</v>
      </c>
      <c r="D235" s="23">
        <f>'3.5.raw'!H235</f>
        <v>12</v>
      </c>
      <c r="E235" s="1">
        <v>3.5</v>
      </c>
      <c r="F235" s="23" t="b">
        <f>if(countif(Status!C:C,A235)=1,TRUE, FALSE)</f>
        <v>1</v>
      </c>
      <c r="H235" s="23" t="str">
        <f>IFERROR(__xludf.DUMMYFUNCTION("IFs(REGEXMATCH(I235, ""NOT""), 0, REGEXMATCH(I235, ""NO""), 0, REGEXMATCH(I235, ""TURBID""),1, COUNTBLANK(I235),"""", istext(I235),"""")"),"")</f>
        <v/>
      </c>
      <c r="I235" s="23" t="str">
        <f>'3.5.raw'!R235</f>
        <v/>
      </c>
    </row>
    <row r="236">
      <c r="A236" s="23" t="str">
        <f t="shared" si="3"/>
        <v>MO1097</v>
      </c>
      <c r="B236" s="23" t="str">
        <f>'3.5.raw'!I236</f>
        <v>MO1097</v>
      </c>
      <c r="C236" s="24">
        <f>datevalue(left('3.5.raw'!K236,10))</f>
        <v>43732</v>
      </c>
      <c r="D236" s="23">
        <f>'3.5.raw'!H236</f>
        <v>12</v>
      </c>
      <c r="E236" s="1">
        <v>3.5</v>
      </c>
      <c r="F236" s="23" t="b">
        <f>if(countif(Status!C:C,A236)=1,TRUE, FALSE)</f>
        <v>1</v>
      </c>
      <c r="H236" s="23" t="str">
        <f>IFERROR(__xludf.DUMMYFUNCTION("IFs(REGEXMATCH(I236, ""NOT""), 0, REGEXMATCH(I236, ""NO""), 0, REGEXMATCH(I236, ""TURBID""),1, COUNTBLANK(I236),"""", istext(I236),"""")"),"")</f>
        <v/>
      </c>
      <c r="I236" s="23" t="str">
        <f>'3.5.raw'!R236</f>
        <v/>
      </c>
    </row>
    <row r="237">
      <c r="A237" s="23" t="str">
        <f t="shared" si="3"/>
        <v>FB1058UP</v>
      </c>
      <c r="B237" s="23" t="str">
        <f>'3.5.raw'!I237</f>
        <v>FB1058UP</v>
      </c>
      <c r="C237" s="24">
        <f>datevalue(left('3.5.raw'!K237,10))</f>
        <v>43732</v>
      </c>
      <c r="D237" s="23">
        <f>'3.5.raw'!H237</f>
        <v>99</v>
      </c>
      <c r="E237" s="1">
        <v>3.5</v>
      </c>
      <c r="F237" s="23" t="b">
        <f>if(countif(Status!C:C,A237)=1,TRUE, FALSE)</f>
        <v>1</v>
      </c>
      <c r="H237" s="23">
        <f>IFERROR(__xludf.DUMMYFUNCTION("IFs(REGEXMATCH(I237, ""NOT""), 0, REGEXMATCH(I237, ""NO""), 0, REGEXMATCH(I237, ""TURBID""),1, COUNTBLANK(I237),"""", istext(I237),"""")"),1.0)</f>
        <v>1</v>
      </c>
      <c r="I237" s="23" t="str">
        <f>'3.5.raw'!R237</f>
        <v>OBSERVATION- TURBID</v>
      </c>
    </row>
    <row r="238">
      <c r="A238" s="23" t="str">
        <f t="shared" si="3"/>
        <v>FB1059UP</v>
      </c>
      <c r="B238" s="23" t="str">
        <f>'3.5.raw'!I238</f>
        <v>FB1059UP</v>
      </c>
      <c r="C238" s="24">
        <f>datevalue(left('3.5.raw'!K238,10))</f>
        <v>43732</v>
      </c>
      <c r="D238" s="23">
        <f>'3.5.raw'!H238</f>
        <v>99</v>
      </c>
      <c r="E238" s="1">
        <v>3.5</v>
      </c>
      <c r="F238" s="23" t="b">
        <f>if(countif(Status!C:C,A238)=1,TRUE, FALSE)</f>
        <v>1</v>
      </c>
      <c r="H238" s="23">
        <f>IFERROR(__xludf.DUMMYFUNCTION("IFs(REGEXMATCH(I238, ""NOT""), 0, REGEXMATCH(I238, ""NO""), 0, REGEXMATCH(I238, ""TURBID""),1, COUNTBLANK(I238),"""", istext(I238),"""")"),1.0)</f>
        <v>1</v>
      </c>
      <c r="I238" s="23" t="str">
        <f>'3.5.raw'!R238</f>
        <v>OBSERVATION- TURBID</v>
      </c>
    </row>
    <row r="239">
      <c r="A239" s="23" t="str">
        <f t="shared" si="3"/>
        <v>UPNC27</v>
      </c>
      <c r="B239" s="23" t="str">
        <f>'3.5.raw'!I239</f>
        <v>UPNC27</v>
      </c>
      <c r="C239" s="24">
        <f>datevalue(left('3.5.raw'!K239,10))</f>
        <v>43732</v>
      </c>
      <c r="D239" s="23">
        <f>'3.5.raw'!H239</f>
        <v>98</v>
      </c>
      <c r="E239" s="1">
        <v>3.5</v>
      </c>
      <c r="F239" s="23" t="b">
        <f>if(countif(Status!C:C,A239)=1,TRUE, FALSE)</f>
        <v>1</v>
      </c>
      <c r="H239" s="23">
        <f>IFERROR(__xludf.DUMMYFUNCTION("IFs(REGEXMATCH(I239, ""NOT""), 0, REGEXMATCH(I239, ""NO""), 0, REGEXMATCH(I239, ""TURBID""),1, COUNTBLANK(I239),"""", istext(I239),"""")"),1.0)</f>
        <v>1</v>
      </c>
      <c r="I239" s="23" t="str">
        <f>'3.5.raw'!R239</f>
        <v>OBSERVATION-TURBID</v>
      </c>
    </row>
    <row r="240">
      <c r="A240" s="23" t="str">
        <f t="shared" si="3"/>
        <v>PLc1028</v>
      </c>
      <c r="B240" s="23" t="str">
        <f>'3.5.raw'!I240</f>
        <v>PLc1028</v>
      </c>
      <c r="C240" s="24">
        <f>datevalue(left('3.5.raw'!K240,10))</f>
        <v>43734</v>
      </c>
      <c r="D240" s="23">
        <f>'3.5.raw'!H240</f>
        <v>11</v>
      </c>
      <c r="E240" s="1">
        <v>3.5</v>
      </c>
      <c r="F240" s="23" t="b">
        <f>if(countif(Status!C:C,A240)=1,TRUE, FALSE)</f>
        <v>1</v>
      </c>
      <c r="H240" s="23" t="str">
        <f>IFERROR(__xludf.DUMMYFUNCTION("IFs(REGEXMATCH(I240, ""NOT""), 0, REGEXMATCH(I240, ""NO""), 0, REGEXMATCH(I240, ""TURBID""),1, COUNTBLANK(I240),"""", istext(I240),"""")"),"")</f>
        <v/>
      </c>
      <c r="I240" s="23" t="str">
        <f>'3.5.raw'!R240</f>
        <v>FOR PLc1028FL 20mL SAMPLE FILTER ,</v>
      </c>
    </row>
    <row r="241">
      <c r="A241" s="23" t="str">
        <f t="shared" si="3"/>
        <v>FB1060</v>
      </c>
      <c r="B241" s="23" t="str">
        <f>'3.5.raw'!I241</f>
        <v>FB1060</v>
      </c>
      <c r="C241" s="24">
        <f>datevalue(left('3.5.raw'!K241,10))</f>
        <v>43734</v>
      </c>
      <c r="D241" s="23">
        <f>'3.5.raw'!H241</f>
        <v>99</v>
      </c>
      <c r="E241" s="1">
        <v>3.5</v>
      </c>
      <c r="F241" s="23" t="b">
        <f>if(countif(Status!C:C,A241)=1,TRUE, FALSE)</f>
        <v>1</v>
      </c>
      <c r="H241" s="23">
        <f>IFERROR(__xludf.DUMMYFUNCTION("IFs(REGEXMATCH(I241, ""NOT""), 0, REGEXMATCH(I241, ""NO""), 0, REGEXMATCH(I241, ""TURBID""),1, COUNTBLANK(I241),"""", istext(I241),"""")"),0.0)</f>
        <v>0</v>
      </c>
      <c r="I241" s="23" t="str">
        <f>'3.5.raw'!R241</f>
        <v>OBSERVATION- NO TURBID</v>
      </c>
    </row>
    <row r="242">
      <c r="A242" s="23" t="str">
        <f t="shared" si="3"/>
        <v>MO1098</v>
      </c>
      <c r="B242" s="23" t="str">
        <f>'3.5.raw'!I242</f>
        <v>MO1098</v>
      </c>
      <c r="C242" s="24">
        <f>datevalue(left('3.5.raw'!K242,10))</f>
        <v>43734</v>
      </c>
      <c r="D242" s="23">
        <f>'3.5.raw'!H242</f>
        <v>11</v>
      </c>
      <c r="E242" s="1">
        <v>3.5</v>
      </c>
      <c r="F242" s="23" t="b">
        <f>if(countif(Status!C:C,A242)=1,TRUE, FALSE)</f>
        <v>1</v>
      </c>
      <c r="H242" s="23" t="str">
        <f>IFERROR(__xludf.DUMMYFUNCTION("IFs(REGEXMATCH(I242, ""NOT""), 0, REGEXMATCH(I242, ""NO""), 0, REGEXMATCH(I242, ""TURBID""),1, COUNTBLANK(I242),"""", istext(I242),"""")"),"")</f>
        <v/>
      </c>
      <c r="I242" s="23" t="str">
        <f>'3.5.raw'!R242</f>
        <v/>
      </c>
    </row>
    <row r="243">
      <c r="A243" s="23" t="str">
        <f t="shared" si="3"/>
        <v>FB1061</v>
      </c>
      <c r="B243" s="23" t="str">
        <f>'3.5.raw'!I243</f>
        <v>FB1061</v>
      </c>
      <c r="C243" s="24">
        <f>datevalue(left('3.5.raw'!K243,10))</f>
        <v>43734</v>
      </c>
      <c r="D243" s="23">
        <f>'3.5.raw'!H243</f>
        <v>99</v>
      </c>
      <c r="E243" s="1">
        <v>3.5</v>
      </c>
      <c r="F243" s="23" t="b">
        <f>if(countif(Status!C:C,A243)=1,TRUE, FALSE)</f>
        <v>1</v>
      </c>
      <c r="H243" s="23">
        <f>IFERROR(__xludf.DUMMYFUNCTION("IFs(REGEXMATCH(I243, ""NOT""), 0, REGEXMATCH(I243, ""NO""), 0, REGEXMATCH(I243, ""TURBID""),1, COUNTBLANK(I243),"""", istext(I243),"""")"),0.0)</f>
        <v>0</v>
      </c>
      <c r="I243" s="23" t="str">
        <f>'3.5.raw'!R243</f>
        <v>OBSERVATION -NO TURBID</v>
      </c>
    </row>
    <row r="244">
      <c r="A244" s="23" t="str">
        <f t="shared" si="3"/>
        <v>MO1099</v>
      </c>
      <c r="B244" s="23" t="str">
        <f>'3.5.raw'!I244</f>
        <v>MO1099</v>
      </c>
      <c r="C244" s="24">
        <f>datevalue(left('3.5.raw'!K244,10))</f>
        <v>43734</v>
      </c>
      <c r="D244" s="23">
        <f>'3.5.raw'!H244</f>
        <v>12</v>
      </c>
      <c r="E244" s="1">
        <v>3.5</v>
      </c>
      <c r="F244" s="23" t="b">
        <f>if(countif(Status!C:C,A244)=1,TRUE, FALSE)</f>
        <v>1</v>
      </c>
      <c r="H244" s="23" t="str">
        <f>IFERROR(__xludf.DUMMYFUNCTION("IFs(REGEXMATCH(I244, ""NOT""), 0, REGEXMATCH(I244, ""NO""), 0, REGEXMATCH(I244, ""TURBID""),1, COUNTBLANK(I244),"""", istext(I244),"""")"),"")</f>
        <v/>
      </c>
      <c r="I244" s="23" t="str">
        <f>'3.5.raw'!R244</f>
        <v/>
      </c>
    </row>
    <row r="245">
      <c r="A245" s="23" t="str">
        <f t="shared" si="3"/>
        <v>FB1062UP</v>
      </c>
      <c r="B245" s="23" t="str">
        <f>'3.5.raw'!I245</f>
        <v>FB1062UP</v>
      </c>
      <c r="C245" s="24">
        <f>datevalue(left('3.5.raw'!K245,10))</f>
        <v>43734</v>
      </c>
      <c r="D245" s="23">
        <f>'3.5.raw'!H245</f>
        <v>99</v>
      </c>
      <c r="E245" s="1">
        <v>3.5</v>
      </c>
      <c r="F245" s="23" t="b">
        <f>if(countif(Status!C:C,A245)=1,TRUE, FALSE)</f>
        <v>1</v>
      </c>
      <c r="H245" s="23">
        <f>IFERROR(__xludf.DUMMYFUNCTION("IFs(REGEXMATCH(I245, ""NOT""), 0, REGEXMATCH(I245, ""NO""), 0, REGEXMATCH(I245, ""TURBID""),1, COUNTBLANK(I245),"""", istext(I245),"""")"),0.0)</f>
        <v>0</v>
      </c>
      <c r="I245" s="23" t="str">
        <f>'3.5.raw'!R245</f>
        <v>OBSERVATION- NO TURBID</v>
      </c>
    </row>
    <row r="246">
      <c r="A246" s="23" t="str">
        <f t="shared" si="3"/>
        <v>UPNC28</v>
      </c>
      <c r="B246" s="23" t="str">
        <f>'3.5.raw'!I246</f>
        <v>UPNC28</v>
      </c>
      <c r="C246" s="24">
        <f>datevalue(left('3.5.raw'!K246,10))</f>
        <v>43734</v>
      </c>
      <c r="D246" s="23">
        <f>'3.5.raw'!H246</f>
        <v>98</v>
      </c>
      <c r="E246" s="1">
        <v>3.5</v>
      </c>
      <c r="F246" s="23" t="b">
        <f>if(countif(Status!C:C,A246)=1,TRUE, FALSE)</f>
        <v>1</v>
      </c>
      <c r="H246" s="23">
        <f>IFERROR(__xludf.DUMMYFUNCTION("IFs(REGEXMATCH(I246, ""NOT""), 0, REGEXMATCH(I246, ""NO""), 0, REGEXMATCH(I246, ""TURBID""),1, COUNTBLANK(I246),"""", istext(I246),"""")"),0.0)</f>
        <v>0</v>
      </c>
      <c r="I246" s="23" t="str">
        <f>'3.5.raw'!R246</f>
        <v>OBSERVATION - NO TURBID</v>
      </c>
    </row>
    <row r="247">
      <c r="A247" s="23" t="str">
        <f t="shared" si="3"/>
        <v>FB1031UP</v>
      </c>
      <c r="B247" s="23" t="str">
        <f>'3.5.raw'!I247</f>
        <v>FB1031UP</v>
      </c>
      <c r="C247" s="24">
        <f>datevalue(left('3.5.raw'!K247,10))</f>
        <v>43703</v>
      </c>
      <c r="D247" s="23">
        <f>'3.5.raw'!H247</f>
        <v>99</v>
      </c>
      <c r="E247" s="1">
        <v>3.5</v>
      </c>
      <c r="F247" s="23" t="b">
        <f>if(countif(Status!C:C,A247)=1,TRUE, FALSE)</f>
        <v>1</v>
      </c>
      <c r="H247" s="23">
        <f>IFERROR(__xludf.DUMMYFUNCTION("IFs(REGEXMATCH(I247, ""NOT""), 0, REGEXMATCH(I247, ""NO""), 0, REGEXMATCH(I247, ""TURBID""),1, COUNTBLANK(I247),"""", istext(I247),"""")"),0.0)</f>
        <v>0</v>
      </c>
      <c r="I247" s="23" t="str">
        <f>'3.5.raw'!R247</f>
        <v>(SAMPLEWITH OD1006), DHAPA DHIPI, RAJAR GHAT, NATUN PARA, OBSERVATION -NO TURBID</v>
      </c>
    </row>
    <row r="248">
      <c r="A248" s="23" t="str">
        <f t="shared" si="3"/>
        <v>FB1032UP</v>
      </c>
      <c r="B248" s="23" t="str">
        <f>'3.5.raw'!I248</f>
        <v>FB1032UP</v>
      </c>
      <c r="C248" s="24">
        <f>datevalue(left('3.5.raw'!K248,10))</f>
        <v>43703</v>
      </c>
      <c r="D248" s="23">
        <f>'3.5.raw'!H248</f>
        <v>99</v>
      </c>
      <c r="E248" s="1">
        <v>3.5</v>
      </c>
      <c r="F248" s="23" t="b">
        <f>if(countif(Status!C:C,A248)=1,TRUE, FALSE)</f>
        <v>1</v>
      </c>
      <c r="H248" s="23">
        <f>IFERROR(__xludf.DUMMYFUNCTION("IFs(REGEXMATCH(I248, ""NOT""), 0, REGEXMATCH(I248, ""NO""), 0, REGEXMATCH(I248, ""TURBID""),1, COUNTBLANK(I248),"""", istext(I248),"""")"),0.0)</f>
        <v>0</v>
      </c>
      <c r="I248" s="23" t="str">
        <f>'3.5.raw'!R248</f>
        <v>SAMPLE WITH RP1010, DHAPA DHIPI, RAJAR GHAT NATUNPARA, OBSERVATION-NO TURBID</v>
      </c>
    </row>
    <row r="249">
      <c r="A249" s="23" t="str">
        <f t="shared" si="3"/>
        <v>FB1033UP</v>
      </c>
      <c r="B249" s="23" t="str">
        <f>'3.5.raw'!I249</f>
        <v>FB1033UP</v>
      </c>
      <c r="C249" s="24">
        <f>datevalue(left('3.5.raw'!K249,10))</f>
        <v>43703</v>
      </c>
      <c r="D249" s="23">
        <f>'3.5.raw'!H249</f>
        <v>99</v>
      </c>
      <c r="E249" s="1">
        <v>3.5</v>
      </c>
      <c r="F249" s="23" t="b">
        <f>if(countif(Status!C:C,A249)=1,TRUE, FALSE)</f>
        <v>1</v>
      </c>
      <c r="H249" s="23">
        <f>IFERROR(__xludf.DUMMYFUNCTION("IFs(REGEXMATCH(I249, ""NOT""), 0, REGEXMATCH(I249, ""NO""), 0, REGEXMATCH(I249, ""TURBID""),1, COUNTBLANK(I249),"""", istext(I249),"""")"),0.0)</f>
        <v>0</v>
      </c>
      <c r="I249" s="23" t="str">
        <f>'3.5.raw'!R249</f>
        <v>SAMPLE WITH DWa1003, KMC STAND PIPE, OBSERVATION-NO TURBID</v>
      </c>
    </row>
    <row r="250">
      <c r="A250" s="23" t="str">
        <f t="shared" si="3"/>
        <v>FB1034UP</v>
      </c>
      <c r="B250" s="23" t="str">
        <f>'3.5.raw'!I250</f>
        <v>FB1034UP</v>
      </c>
      <c r="C250" s="24">
        <f>datevalue(left('3.5.raw'!K250,10))</f>
        <v>43704</v>
      </c>
      <c r="D250" s="23">
        <f>'3.5.raw'!H250</f>
        <v>99</v>
      </c>
      <c r="E250" s="1">
        <v>3.5</v>
      </c>
      <c r="F250" s="23" t="b">
        <f>if(countif(Status!C:C,A250)=1,TRUE, FALSE)</f>
        <v>1</v>
      </c>
      <c r="H250" s="23">
        <f>IFERROR(__xludf.DUMMYFUNCTION("IFs(REGEXMATCH(I250, ""NOT""), 0, REGEXMATCH(I250, ""NO""), 0, REGEXMATCH(I250, ""TURBID""),1, COUNTBLANK(I250),"""", istext(I250),"""")"),0.0)</f>
        <v>0</v>
      </c>
      <c r="I250" s="23" t="str">
        <f>'3.5.raw'!R250</f>
        <v>SAMPLE WITH PL1020, ADITYA DAS, 14NR LANE, OBSERVATION-NO TURBID</v>
      </c>
    </row>
    <row r="251">
      <c r="A251" s="23" t="str">
        <f t="shared" si="3"/>
        <v>FB1035UP</v>
      </c>
      <c r="B251" s="23" t="str">
        <f>'3.5.raw'!I251</f>
        <v>FB1035UP</v>
      </c>
      <c r="C251" s="24">
        <f>datevalue(left('3.5.raw'!K251,10))</f>
        <v>43704</v>
      </c>
      <c r="D251" s="23">
        <f>'3.5.raw'!H251</f>
        <v>99</v>
      </c>
      <c r="E251" s="1">
        <v>3.5</v>
      </c>
      <c r="F251" s="23" t="b">
        <f>if(countif(Status!C:C,A251)=1,TRUE, FALSE)</f>
        <v>1</v>
      </c>
      <c r="H251" s="23">
        <f>IFERROR(__xludf.DUMMYFUNCTION("IFs(REGEXMATCH(I251, ""NOT""), 0, REGEXMATCH(I251, ""NO""), 0, REGEXMATCH(I251, ""TURBID""),1, COUNTBLANK(I251),"""", istext(I251),"""")"),0.0)</f>
        <v>0</v>
      </c>
      <c r="I251" s="23" t="str">
        <f>'3.5.raw'!R251</f>
        <v>SAMPLE WITH MO1091, DHAPA LOC DPS,BYPASS, OBSRVATION-NO TURBID</v>
      </c>
    </row>
    <row r="252">
      <c r="A252" s="23" t="str">
        <f t="shared" si="3"/>
        <v>PLc1029</v>
      </c>
      <c r="B252" s="23" t="str">
        <f>'3.5.raw'!I252</f>
        <v>PLc1029</v>
      </c>
      <c r="C252" s="24">
        <f>datevalue(left('3.5.raw'!K252,10))</f>
        <v>43738</v>
      </c>
      <c r="D252" s="23">
        <f>'3.5.raw'!H252</f>
        <v>11</v>
      </c>
      <c r="E252" s="1">
        <v>3.5</v>
      </c>
      <c r="F252" s="23" t="b">
        <f>if(countif(Status!C:C,A252)=1,TRUE, FALSE)</f>
        <v>1</v>
      </c>
      <c r="H252" s="23" t="str">
        <f>IFERROR(__xludf.DUMMYFUNCTION("IFs(REGEXMATCH(I252, ""NOT""), 0, REGEXMATCH(I252, ""NO""), 0, REGEXMATCH(I252, ""TURBID""),1, COUNTBLANK(I252),"""", istext(I252),"""")"),"")</f>
        <v/>
      </c>
      <c r="I252" s="23" t="str">
        <f>'3.5.raw'!R252</f>
        <v>FPR PLc1029FL 22ml SAMPLE FILTER ,</v>
      </c>
    </row>
    <row r="253">
      <c r="A253" s="23" t="str">
        <f t="shared" si="3"/>
        <v>FB1063UP</v>
      </c>
      <c r="B253" s="23" t="str">
        <f>'3.5.raw'!I253</f>
        <v>FB1063UP</v>
      </c>
      <c r="C253" s="24">
        <f>datevalue(left('3.5.raw'!K253,10))</f>
        <v>43738</v>
      </c>
      <c r="D253" s="23">
        <f>'3.5.raw'!H253</f>
        <v>99</v>
      </c>
      <c r="E253" s="1">
        <v>3.5</v>
      </c>
      <c r="F253" s="23" t="b">
        <f>if(countif(Status!C:C,A253)=1,TRUE, FALSE)</f>
        <v>1</v>
      </c>
      <c r="H253" s="23">
        <f>IFERROR(__xludf.DUMMYFUNCTION("IFs(REGEXMATCH(I253, ""NOT""), 0, REGEXMATCH(I253, ""NO""), 0, REGEXMATCH(I253, ""TURBID""),1, COUNTBLANK(I253),"""", istext(I253),"""")"),1.0)</f>
        <v>1</v>
      </c>
      <c r="I253" s="23" t="str">
        <f>'3.5.raw'!R253</f>
        <v>OBSRRVATION- SLIGHT TURBID</v>
      </c>
    </row>
    <row r="254">
      <c r="A254" s="23" t="str">
        <f t="shared" si="3"/>
        <v>PLc1030</v>
      </c>
      <c r="B254" s="23" t="str">
        <f>'3.5.raw'!I254</f>
        <v>PLc1030</v>
      </c>
      <c r="C254" s="24">
        <f>datevalue(left('3.5.raw'!K254,10))</f>
        <v>43738</v>
      </c>
      <c r="D254" s="23">
        <f>'3.5.raw'!H254</f>
        <v>11</v>
      </c>
      <c r="E254" s="1">
        <v>3.5</v>
      </c>
      <c r="F254" s="23" t="b">
        <f>if(countif(Status!C:C,A254)=1,TRUE, FALSE)</f>
        <v>1</v>
      </c>
      <c r="H254" s="23" t="str">
        <f>IFERROR(__xludf.DUMMYFUNCTION("IFs(REGEXMATCH(I254, ""NOT""), 0, REGEXMATCH(I254, ""NO""), 0, REGEXMATCH(I254, ""TURBID""),1, COUNTBLANK(I254),"""", istext(I254),"""")"),"")</f>
        <v/>
      </c>
      <c r="I254" s="23" t="str">
        <f>'3.5.raw'!R254</f>
        <v>FOR PLc1030FL 25ml SAMPLE FILTER</v>
      </c>
    </row>
    <row r="255">
      <c r="A255" s="23" t="str">
        <f t="shared" si="3"/>
        <v>FB1064UP</v>
      </c>
      <c r="B255" s="23" t="str">
        <f>'3.5.raw'!I255</f>
        <v>FB1064UP</v>
      </c>
      <c r="C255" s="24">
        <f>datevalue(left('3.5.raw'!K255,10))</f>
        <v>43738</v>
      </c>
      <c r="D255" s="23">
        <f>'3.5.raw'!H255</f>
        <v>99</v>
      </c>
      <c r="E255" s="1">
        <v>3.5</v>
      </c>
      <c r="F255" s="23" t="b">
        <f>if(countif(Status!C:C,A255)=1,TRUE, FALSE)</f>
        <v>1</v>
      </c>
      <c r="H255" s="23">
        <f>IFERROR(__xludf.DUMMYFUNCTION("IFs(REGEXMATCH(I255, ""NOT""), 0, REGEXMATCH(I255, ""NO""), 0, REGEXMATCH(I255, ""TURBID""),1, COUNTBLANK(I255),"""", istext(I255),"""")"),0.0)</f>
        <v>0</v>
      </c>
      <c r="I255" s="23" t="str">
        <f>'3.5.raw'!R255</f>
        <v>OBSRVATION- NO TURBID</v>
      </c>
    </row>
    <row r="256">
      <c r="A256" s="23" t="str">
        <f t="shared" si="3"/>
        <v>PLc1031</v>
      </c>
      <c r="B256" s="23" t="str">
        <f>'3.5.raw'!I256</f>
        <v>PLc1031</v>
      </c>
      <c r="C256" s="24">
        <f>datevalue(left('3.5.raw'!K256,10))</f>
        <v>43738</v>
      </c>
      <c r="D256" s="23">
        <f>'3.5.raw'!H256</f>
        <v>11</v>
      </c>
      <c r="E256" s="1">
        <v>3.5</v>
      </c>
      <c r="F256" s="23" t="b">
        <f>if(countif(Status!C:C,A256)=1,TRUE, FALSE)</f>
        <v>1</v>
      </c>
      <c r="H256" s="23" t="str">
        <f>IFERROR(__xludf.DUMMYFUNCTION("IFs(REGEXMATCH(I256, ""NOT""), 0, REGEXMATCH(I256, ""NO""), 0, REGEXMATCH(I256, ""TURBID""),1, COUNTBLANK(I256),"""", istext(I256),"""")"),"")</f>
        <v/>
      </c>
      <c r="I256" s="23" t="str">
        <f>'3.5.raw'!R256</f>
        <v>FOR PLc1031FL SAMPLE 20ml FILTER</v>
      </c>
    </row>
    <row r="257">
      <c r="A257" s="23" t="str">
        <f t="shared" si="3"/>
        <v>UPNC29</v>
      </c>
      <c r="B257" s="23" t="str">
        <f>'3.5.raw'!I257</f>
        <v>UPNC29</v>
      </c>
      <c r="C257" s="24">
        <f>datevalue(left('3.5.raw'!K257,10))</f>
        <v>43738</v>
      </c>
      <c r="D257" s="23">
        <f>'3.5.raw'!H257</f>
        <v>98</v>
      </c>
      <c r="E257" s="1">
        <v>3.5</v>
      </c>
      <c r="F257" s="23" t="b">
        <f>if(countif(Status!C:C,A257)=1,TRUE, FALSE)</f>
        <v>1</v>
      </c>
      <c r="H257" s="23">
        <f>IFERROR(__xludf.DUMMYFUNCTION("IFs(REGEXMATCH(I257, ""NOT""), 0, REGEXMATCH(I257, ""NO""), 0, REGEXMATCH(I257, ""TURBID""),1, COUNTBLANK(I257),"""", istext(I257),"""")"),0.0)</f>
        <v>0</v>
      </c>
      <c r="I257" s="23" t="str">
        <f>'3.5.raw'!R257</f>
        <v>OBSERVATION-NO TURBID</v>
      </c>
    </row>
    <row r="258">
      <c r="A258" s="23" t="str">
        <f t="shared" si="3"/>
        <v>FB1065UP</v>
      </c>
      <c r="B258" s="23" t="str">
        <f>'3.5.raw'!I258</f>
        <v>FB1065UP</v>
      </c>
      <c r="C258" s="24">
        <f>datevalue(left('3.5.raw'!K258,10))</f>
        <v>43738</v>
      </c>
      <c r="D258" s="23">
        <f>'3.5.raw'!H258</f>
        <v>99</v>
      </c>
      <c r="E258" s="1">
        <v>3.5</v>
      </c>
      <c r="F258" s="23" t="b">
        <f>if(countif(Status!C:C,A258)=1,TRUE, FALSE)</f>
        <v>1</v>
      </c>
      <c r="H258" s="23">
        <f>IFERROR(__xludf.DUMMYFUNCTION("IFs(REGEXMATCH(I258, ""NOT""), 0, REGEXMATCH(I258, ""NO""), 0, REGEXMATCH(I258, ""TURBID""),1, COUNTBLANK(I258),"""", istext(I258),"""")"),0.0)</f>
        <v>0</v>
      </c>
      <c r="I258" s="23" t="str">
        <f>'3.5.raw'!R258</f>
        <v>OBSERVATION- NO TURBID</v>
      </c>
    </row>
    <row r="259">
      <c r="A259" s="23" t="str">
        <f t="shared" si="3"/>
        <v>PLc1032</v>
      </c>
      <c r="B259" s="23" t="str">
        <f>'3.5.raw'!I259</f>
        <v>PLc1032</v>
      </c>
      <c r="C259" s="24">
        <f>datevalue(left('3.5.raw'!K259,10))</f>
        <v>43741</v>
      </c>
      <c r="D259" s="23">
        <f>'3.5.raw'!H259</f>
        <v>11</v>
      </c>
      <c r="E259" s="1">
        <v>3.5</v>
      </c>
      <c r="F259" s="23" t="b">
        <f>if(countif(Status!C:C,A259)=1,TRUE, FALSE)</f>
        <v>1</v>
      </c>
      <c r="H259" s="23" t="str">
        <f>IFERROR(__xludf.DUMMYFUNCTION("IFs(REGEXMATCH(I259, ""NOT""), 0, REGEXMATCH(I259, ""NO""), 0, REGEXMATCH(I259, ""TURBID""),1, COUNTBLANK(I259),"""", istext(I259),"""")"),"")</f>
        <v/>
      </c>
      <c r="I259" s="23" t="str">
        <f>'3.5.raw'!R259</f>
        <v>FOR SAMPLE PLc1032FL 20ml FILTER</v>
      </c>
    </row>
    <row r="260">
      <c r="A260" s="23" t="str">
        <f t="shared" si="3"/>
        <v>FB1066UP</v>
      </c>
      <c r="B260" s="23" t="str">
        <f>'3.5.raw'!I260</f>
        <v>FB1066UP</v>
      </c>
      <c r="C260" s="24">
        <f>datevalue(left('3.5.raw'!K260,10))</f>
        <v>43741</v>
      </c>
      <c r="D260" s="23">
        <f>'3.5.raw'!H260</f>
        <v>99</v>
      </c>
      <c r="E260" s="1">
        <v>3.5</v>
      </c>
      <c r="F260" s="23" t="b">
        <f>if(countif(Status!C:C,A260)=1,TRUE, FALSE)</f>
        <v>1</v>
      </c>
      <c r="H260" s="23">
        <f>IFERROR(__xludf.DUMMYFUNCTION("IFs(REGEXMATCH(I260, ""NOT""), 0, REGEXMATCH(I260, ""NO""), 0, REGEXMATCH(I260, ""TURBID""),1, COUNTBLANK(I260),"""", istext(I260),"""")"),0.0)</f>
        <v>0</v>
      </c>
      <c r="I260" s="23" t="str">
        <f>'3.5.raw'!R260</f>
        <v>OBSERVATION- NO TURBID</v>
      </c>
    </row>
    <row r="261">
      <c r="A261" s="23" t="str">
        <f t="shared" si="3"/>
        <v>PLc1033</v>
      </c>
      <c r="B261" s="23" t="str">
        <f>'3.5.raw'!I261</f>
        <v>PLc1033</v>
      </c>
      <c r="C261" s="24">
        <f>datevalue(left('3.5.raw'!K261,10))</f>
        <v>43741</v>
      </c>
      <c r="D261" s="23">
        <f>'3.5.raw'!H261</f>
        <v>11</v>
      </c>
      <c r="E261" s="1">
        <v>3.5</v>
      </c>
      <c r="F261" s="23" t="b">
        <f>if(countif(Status!C:C,A261)=1,TRUE, FALSE)</f>
        <v>1</v>
      </c>
      <c r="H261" s="23">
        <f>IFERROR(__xludf.DUMMYFUNCTION("IFs(REGEXMATCH(I261, ""NOT""), 0, REGEXMATCH(I261, ""NO""), 0, REGEXMATCH(I261, ""TURBID""),1, COUNTBLANK(I261),"""", istext(I261),"""")"),0.0)</f>
        <v>0</v>
      </c>
      <c r="I261" s="23" t="str">
        <f>'3.5.raw'!R261</f>
        <v>NO FILTER FOR SAMPLE PLc1033FL, SAMPLE WAS DIRTY</v>
      </c>
    </row>
    <row r="262">
      <c r="A262" s="23" t="str">
        <f t="shared" si="3"/>
        <v>FB1067UP</v>
      </c>
      <c r="B262" s="23" t="str">
        <f>'3.5.raw'!I262</f>
        <v>FB1067UP</v>
      </c>
      <c r="C262" s="24">
        <f>datevalue(left('3.5.raw'!K262,10))</f>
        <v>43741</v>
      </c>
      <c r="D262" s="23">
        <f>'3.5.raw'!H262</f>
        <v>99</v>
      </c>
      <c r="E262" s="1">
        <v>3.5</v>
      </c>
      <c r="F262" s="23" t="b">
        <f>if(countif(Status!C:C,A262)=1,TRUE, FALSE)</f>
        <v>1</v>
      </c>
      <c r="H262" s="23">
        <f>IFERROR(__xludf.DUMMYFUNCTION("IFs(REGEXMATCH(I262, ""NOT""), 0, REGEXMATCH(I262, ""NO""), 0, REGEXMATCH(I262, ""TURBID""),1, COUNTBLANK(I262),"""", istext(I262),"""")"),0.0)</f>
        <v>0</v>
      </c>
      <c r="I262" s="23" t="str">
        <f>'3.5.raw'!R262</f>
        <v>OBSERVATION- NO TURBID</v>
      </c>
    </row>
    <row r="263">
      <c r="A263" s="23" t="str">
        <f t="shared" si="3"/>
        <v>PLc1034</v>
      </c>
      <c r="B263" s="23" t="str">
        <f>'3.5.raw'!I263</f>
        <v>PLc1034</v>
      </c>
      <c r="C263" s="24">
        <f>datevalue(left('3.5.raw'!K263,10))</f>
        <v>43741</v>
      </c>
      <c r="D263" s="23">
        <f>'3.5.raw'!H263</f>
        <v>11</v>
      </c>
      <c r="E263" s="1">
        <v>3.5</v>
      </c>
      <c r="F263" s="23" t="b">
        <f>if(countif(Status!C:C,A263)=1,TRUE, FALSE)</f>
        <v>1</v>
      </c>
      <c r="H263" s="23" t="str">
        <f>IFERROR(__xludf.DUMMYFUNCTION("IFs(REGEXMATCH(I263, ""NOT""), 0, REGEXMATCH(I263, ""NO""), 0, REGEXMATCH(I263, ""TURBID""),1, COUNTBLANK(I263),"""", istext(I263),"""")"),"")</f>
        <v/>
      </c>
      <c r="I263" s="23" t="str">
        <f>'3.5.raw'!R263</f>
        <v>FOR SAMPLE PLc1034FL 17ml FILTER</v>
      </c>
    </row>
    <row r="264">
      <c r="A264" s="23" t="str">
        <f t="shared" si="3"/>
        <v>FB1068UP</v>
      </c>
      <c r="B264" s="23" t="str">
        <f>'3.5.raw'!I264</f>
        <v>FB1068UP</v>
      </c>
      <c r="C264" s="24">
        <f>datevalue(left('3.5.raw'!K264,10))</f>
        <v>43741</v>
      </c>
      <c r="D264" s="23">
        <f>'3.5.raw'!H264</f>
        <v>99</v>
      </c>
      <c r="E264" s="1">
        <v>3.5</v>
      </c>
      <c r="F264" s="23" t="b">
        <f>if(countif(Status!C:C,A264)=1,TRUE, FALSE)</f>
        <v>1</v>
      </c>
      <c r="H264" s="23">
        <f>IFERROR(__xludf.DUMMYFUNCTION("IFs(REGEXMATCH(I264, ""NOT""), 0, REGEXMATCH(I264, ""NO""), 0, REGEXMATCH(I264, ""TURBID""),1, COUNTBLANK(I264),"""", istext(I264),"""")"),0.0)</f>
        <v>0</v>
      </c>
      <c r="I264" s="23" t="str">
        <f>'3.5.raw'!R264</f>
        <v>OBSERVATION- NO TURBID</v>
      </c>
    </row>
    <row r="265">
      <c r="A265" s="23" t="str">
        <f t="shared" si="3"/>
        <v>UPNC30</v>
      </c>
      <c r="B265" s="23" t="str">
        <f>'3.5.raw'!I265</f>
        <v>UPNC30</v>
      </c>
      <c r="C265" s="24">
        <f>datevalue(left('3.5.raw'!K265,10))</f>
        <v>43741</v>
      </c>
      <c r="D265" s="23">
        <f>'3.5.raw'!H265</f>
        <v>98</v>
      </c>
      <c r="E265" s="1">
        <v>3.5</v>
      </c>
      <c r="F265" s="23" t="b">
        <f>if(countif(Status!C:C,A265)=1,TRUE, FALSE)</f>
        <v>1</v>
      </c>
      <c r="H265" s="23">
        <f>IFERROR(__xludf.DUMMYFUNCTION("IFs(REGEXMATCH(I265, ""NOT""), 0, REGEXMATCH(I265, ""NO""), 0, REGEXMATCH(I265, ""TURBID""),1, COUNTBLANK(I265),"""", istext(I265),"""")"),0.0)</f>
        <v>0</v>
      </c>
      <c r="I265" s="23" t="str">
        <f>'3.5.raw'!R265</f>
        <v>OBSERVATION- NO TURBID</v>
      </c>
    </row>
    <row r="266">
      <c r="A266" s="23" t="str">
        <f t="shared" si="3"/>
        <v>PLc1035</v>
      </c>
      <c r="B266" s="23" t="str">
        <f>'3.5.raw'!I266</f>
        <v>PLc1035</v>
      </c>
      <c r="C266" s="24">
        <f>datevalue(left('3.5.raw'!K266,10))</f>
        <v>43752</v>
      </c>
      <c r="D266" s="23">
        <f>'3.5.raw'!H266</f>
        <v>11</v>
      </c>
      <c r="E266" s="1">
        <v>3.5</v>
      </c>
      <c r="F266" s="23" t="b">
        <f>if(countif(Status!C:C,A266)=1,TRUE, FALSE)</f>
        <v>1</v>
      </c>
      <c r="H266" s="23" t="str">
        <f>IFERROR(__xludf.DUMMYFUNCTION("IFs(REGEXMATCH(I266, ""NOT""), 0, REGEXMATCH(I266, ""NO""), 0, REGEXMATCH(I266, ""TURBID""),1, COUNTBLANK(I266),"""", istext(I266),"""")"),"")</f>
        <v/>
      </c>
      <c r="I266" s="23" t="str">
        <f>'3.5.raw'!R266</f>
        <v>FOR PLc1035FL SAMPLE 20ml FILTER</v>
      </c>
    </row>
    <row r="267">
      <c r="A267" s="23" t="str">
        <f t="shared" si="3"/>
        <v>FB1069UP</v>
      </c>
      <c r="B267" s="23" t="str">
        <f>'3.5.raw'!I267</f>
        <v>FB1069UP</v>
      </c>
      <c r="C267" s="24">
        <f>datevalue(left('3.5.raw'!K267,10))</f>
        <v>43752</v>
      </c>
      <c r="D267" s="23">
        <f>'3.5.raw'!H267</f>
        <v>99</v>
      </c>
      <c r="E267" s="1">
        <v>3.5</v>
      </c>
      <c r="F267" s="23" t="b">
        <f>if(countif(Status!C:C,A267)=1,TRUE, FALSE)</f>
        <v>1</v>
      </c>
      <c r="H267" s="23">
        <f>IFERROR(__xludf.DUMMYFUNCTION("IFs(REGEXMATCH(I267, ""NOT""), 0, REGEXMATCH(I267, ""NO""), 0, REGEXMATCH(I267, ""TURBID""),1, COUNTBLANK(I267),"""", istext(I267),"""")"),0.0)</f>
        <v>0</v>
      </c>
      <c r="I267" s="23" t="str">
        <f>'3.5.raw'!R267</f>
        <v>OBSERVATION- NOT TURBID</v>
      </c>
    </row>
    <row r="268">
      <c r="A268" s="23" t="str">
        <f t="shared" si="3"/>
        <v>PLc1036</v>
      </c>
      <c r="B268" s="23" t="str">
        <f>'3.5.raw'!I268</f>
        <v>PLc1036</v>
      </c>
      <c r="C268" s="24">
        <f>datevalue(left('3.5.raw'!K268,10))</f>
        <v>43752</v>
      </c>
      <c r="D268" s="23">
        <f>'3.5.raw'!H268</f>
        <v>11</v>
      </c>
      <c r="E268" s="1">
        <v>3.5</v>
      </c>
      <c r="F268" s="23" t="b">
        <f>if(countif(Status!C:C,A268)=1,TRUE, FALSE)</f>
        <v>1</v>
      </c>
      <c r="H268" s="23" t="str">
        <f>IFERROR(__xludf.DUMMYFUNCTION("IFs(REGEXMATCH(I268, ""NOT""), 0, REGEXMATCH(I268, ""NO""), 0, REGEXMATCH(I268, ""TURBID""),1, COUNTBLANK(I268),"""", istext(I268),"""")"),"")</f>
        <v/>
      </c>
      <c r="I268" s="23" t="str">
        <f>'3.5.raw'!R268</f>
        <v>FOR PLc1036FL SAMPLE FILTER 20ml</v>
      </c>
    </row>
    <row r="269">
      <c r="A269" s="23" t="str">
        <f t="shared" si="3"/>
        <v>FB1070UP</v>
      </c>
      <c r="B269" s="23" t="str">
        <f>'3.5.raw'!I269</f>
        <v>FB1070UP</v>
      </c>
      <c r="C269" s="24">
        <f>datevalue(left('3.5.raw'!K269,10))</f>
        <v>43752</v>
      </c>
      <c r="D269" s="23">
        <f>'3.5.raw'!H269</f>
        <v>99</v>
      </c>
      <c r="E269" s="1">
        <v>3.5</v>
      </c>
      <c r="F269" s="23" t="b">
        <f>if(countif(Status!C:C,A269)=1,TRUE, FALSE)</f>
        <v>1</v>
      </c>
      <c r="H269" s="23">
        <f>IFERROR(__xludf.DUMMYFUNCTION("IFs(REGEXMATCH(I269, ""NOT""), 0, REGEXMATCH(I269, ""NO""), 0, REGEXMATCH(I269, ""TURBID""),1, COUNTBLANK(I269),"""", istext(I269),"""")"),0.0)</f>
        <v>0</v>
      </c>
      <c r="I269" s="23" t="str">
        <f>'3.5.raw'!R269</f>
        <v>OBSERVATION- NOT TURBID</v>
      </c>
    </row>
    <row r="270">
      <c r="A270" s="23" t="str">
        <f t="shared" si="3"/>
        <v>UPNC31</v>
      </c>
      <c r="B270" s="23" t="str">
        <f>'3.5.raw'!I270</f>
        <v>UPNC31</v>
      </c>
      <c r="C270" s="24">
        <f>datevalue(left('3.5.raw'!K270,10))</f>
        <v>43752</v>
      </c>
      <c r="D270" s="23">
        <f>'3.5.raw'!H270</f>
        <v>98</v>
      </c>
      <c r="E270" s="1">
        <v>3.5</v>
      </c>
      <c r="F270" s="23" t="b">
        <f>if(countif(Status!C:C,A270)=1,TRUE, FALSE)</f>
        <v>1</v>
      </c>
      <c r="H270" s="23">
        <f>IFERROR(__xludf.DUMMYFUNCTION("IFs(REGEXMATCH(I270, ""NOT""), 0, REGEXMATCH(I270, ""NO""), 0, REGEXMATCH(I270, ""TURBID""),1, COUNTBLANK(I270),"""", istext(I270),"""")"),0.0)</f>
        <v>0</v>
      </c>
      <c r="I270" s="23" t="str">
        <f>'3.5.raw'!R270</f>
        <v>OBSERVATION- NOT TURBID</v>
      </c>
    </row>
    <row r="271">
      <c r="A271" s="23" t="str">
        <f t="shared" si="3"/>
        <v>MO1100</v>
      </c>
      <c r="B271" s="23" t="str">
        <f>'3.5.raw'!I271</f>
        <v>MO1100</v>
      </c>
      <c r="C271" s="24">
        <f>datevalue(left('3.5.raw'!K271,10))</f>
        <v>43753</v>
      </c>
      <c r="D271" s="23">
        <f>'3.5.raw'!H271</f>
        <v>12</v>
      </c>
      <c r="E271" s="1">
        <v>3.5</v>
      </c>
      <c r="F271" s="23" t="b">
        <f>if(countif(Status!C:C,A271)=1,TRUE, FALSE)</f>
        <v>1</v>
      </c>
      <c r="H271" s="23" t="str">
        <f>IFERROR(__xludf.DUMMYFUNCTION("IFs(REGEXMATCH(I271, ""NOT""), 0, REGEXMATCH(I271, ""NO""), 0, REGEXMATCH(I271, ""TURBID""),1, COUNTBLANK(I271),"""", istext(I271),"""")"),"")</f>
        <v/>
      </c>
      <c r="I271" s="23" t="str">
        <f>'3.5.raw'!R271</f>
        <v>WITH MO1100D</v>
      </c>
    </row>
    <row r="272">
      <c r="A272" s="23" t="str">
        <f t="shared" si="3"/>
        <v>FB1071UP</v>
      </c>
      <c r="B272" s="23" t="str">
        <f>'3.5.raw'!I272</f>
        <v>FB1071UP</v>
      </c>
      <c r="C272" s="24">
        <f>datevalue(left('3.5.raw'!K272,10))</f>
        <v>43753</v>
      </c>
      <c r="D272" s="23">
        <f>'3.5.raw'!H272</f>
        <v>99</v>
      </c>
      <c r="E272" s="1">
        <v>3.5</v>
      </c>
      <c r="F272" s="23" t="b">
        <f>if(countif(Status!C:C,A272)=1,TRUE, FALSE)</f>
        <v>1</v>
      </c>
      <c r="H272" s="23">
        <f>IFERROR(__xludf.DUMMYFUNCTION("IFs(REGEXMATCH(I272, ""NOT""), 0, REGEXMATCH(I272, ""NO""), 0, REGEXMATCH(I272, ""TURBID""),1, COUNTBLANK(I272),"""", istext(I272),"""")"),0.0)</f>
        <v>0</v>
      </c>
      <c r="I272" s="23" t="str">
        <f>'3.5.raw'!R272</f>
        <v>OBSERVATION- NOT TURBID</v>
      </c>
    </row>
    <row r="273">
      <c r="A273" s="23" t="str">
        <f t="shared" si="3"/>
        <v>MO1101</v>
      </c>
      <c r="B273" s="23" t="str">
        <f>'3.5.raw'!I273</f>
        <v>MO1101</v>
      </c>
      <c r="C273" s="24">
        <f>datevalue(left('3.5.raw'!K273,10))</f>
        <v>43753</v>
      </c>
      <c r="D273" s="23">
        <f>'3.5.raw'!H273</f>
        <v>12</v>
      </c>
      <c r="E273" s="1">
        <v>3.5</v>
      </c>
      <c r="F273" s="23" t="b">
        <f>if(countif(Status!C:C,A273)=1,TRUE, FALSE)</f>
        <v>1</v>
      </c>
      <c r="H273" s="23" t="str">
        <f>IFERROR(__xludf.DUMMYFUNCTION("IFs(REGEXMATCH(I273, ""NOT""), 0, REGEXMATCH(I273, ""NO""), 0, REGEXMATCH(I273, ""TURBID""),1, COUNTBLANK(I273),"""", istext(I273),"""")"),"")</f>
        <v/>
      </c>
      <c r="I273" s="23" t="str">
        <f>'3.5.raw'!R273</f>
        <v/>
      </c>
    </row>
    <row r="274">
      <c r="A274" s="23" t="str">
        <f t="shared" si="3"/>
        <v>FB1072UP</v>
      </c>
      <c r="B274" s="23" t="str">
        <f>'3.5.raw'!I274</f>
        <v>FB1072UP</v>
      </c>
      <c r="C274" s="24">
        <f>datevalue(left('3.5.raw'!K274,10))</f>
        <v>43753</v>
      </c>
      <c r="D274" s="23">
        <f>'3.5.raw'!H274</f>
        <v>99</v>
      </c>
      <c r="E274" s="1">
        <v>3.5</v>
      </c>
      <c r="F274" s="23" t="b">
        <f>if(countif(Status!C:C,A274)=1,TRUE, FALSE)</f>
        <v>1</v>
      </c>
      <c r="H274" s="23">
        <f>IFERROR(__xludf.DUMMYFUNCTION("IFs(REGEXMATCH(I274, ""NOT""), 0, REGEXMATCH(I274, ""NO""), 0, REGEXMATCH(I274, ""TURBID""),1, COUNTBLANK(I274),"""", istext(I274),"""")"),0.0)</f>
        <v>0</v>
      </c>
      <c r="I274" s="23" t="str">
        <f>'3.5.raw'!R274</f>
        <v>OBSERVATION- NOT TURBID</v>
      </c>
    </row>
    <row r="275">
      <c r="A275" s="23" t="str">
        <f t="shared" si="3"/>
        <v>UPNC32</v>
      </c>
      <c r="B275" s="23" t="str">
        <f>'3.5.raw'!I275</f>
        <v>UPNC32</v>
      </c>
      <c r="C275" s="24">
        <f>datevalue(left('3.5.raw'!K275,10))</f>
        <v>43753</v>
      </c>
      <c r="D275" s="23">
        <f>'3.5.raw'!H275</f>
        <v>98</v>
      </c>
      <c r="E275" s="1">
        <v>3.5</v>
      </c>
      <c r="F275" s="23" t="b">
        <f>if(countif(Status!C:C,A275)=1,TRUE, FALSE)</f>
        <v>1</v>
      </c>
      <c r="H275" s="23">
        <f>IFERROR(__xludf.DUMMYFUNCTION("IFs(REGEXMATCH(I275, ""NOT""), 0, REGEXMATCH(I275, ""NO""), 0, REGEXMATCH(I275, ""TURBID""),1, COUNTBLANK(I275),"""", istext(I275),"""")"),0.0)</f>
        <v>0</v>
      </c>
      <c r="I275" s="23" t="str">
        <f>'3.5.raw'!R275</f>
        <v>OBSERVATION- NOT TURBID</v>
      </c>
    </row>
    <row r="276">
      <c r="A276" s="23" t="str">
        <f t="shared" si="3"/>
        <v>PLc1037</v>
      </c>
      <c r="B276" s="23" t="str">
        <f>'3.5.raw'!I276</f>
        <v>PLc1037</v>
      </c>
      <c r="C276" s="24">
        <f>datevalue(left('3.5.raw'!K276,10))</f>
        <v>43755</v>
      </c>
      <c r="D276" s="23">
        <f>'3.5.raw'!H276</f>
        <v>11</v>
      </c>
      <c r="E276" s="1">
        <v>3.5</v>
      </c>
      <c r="F276" s="23" t="b">
        <f>if(countif(Status!C:C,A276)=1,TRUE, FALSE)</f>
        <v>1</v>
      </c>
      <c r="H276" s="23" t="str">
        <f>IFERROR(__xludf.DUMMYFUNCTION("IFs(REGEXMATCH(I276, ""NOT""), 0, REGEXMATCH(I276, ""NO""), 0, REGEXMATCH(I276, ""TURBID""),1, COUNTBLANK(I276),"""", istext(I276),"""")"),"")</f>
        <v/>
      </c>
      <c r="I276" s="23" t="str">
        <f>'3.5.raw'!R276</f>
        <v>FOR PLc1037FL SAMPLE 20 ml FILTER,</v>
      </c>
    </row>
    <row r="277">
      <c r="A277" s="23" t="str">
        <f t="shared" si="3"/>
        <v>FB1073UP</v>
      </c>
      <c r="B277" s="23" t="str">
        <f>'3.5.raw'!I277</f>
        <v>FB1073UP</v>
      </c>
      <c r="C277" s="24">
        <f>datevalue(left('3.5.raw'!K277,10))</f>
        <v>43755</v>
      </c>
      <c r="D277" s="23">
        <f>'3.5.raw'!H277</f>
        <v>99</v>
      </c>
      <c r="E277" s="1">
        <v>3.5</v>
      </c>
      <c r="F277" s="23" t="b">
        <f>if(countif(Status!C:C,A277)=1,TRUE, FALSE)</f>
        <v>1</v>
      </c>
      <c r="H277" s="23">
        <f>IFERROR(__xludf.DUMMYFUNCTION("IFs(REGEXMATCH(I277, ""NOT""), 0, REGEXMATCH(I277, ""NO""), 0, REGEXMATCH(I277, ""TURBID""),1, COUNTBLANK(I277),"""", istext(I277),"""")"),0.0)</f>
        <v>0</v>
      </c>
      <c r="I277" s="23" t="str">
        <f>'3.5.raw'!R277</f>
        <v>OBSERVATION - NOT TURBID</v>
      </c>
    </row>
    <row r="278">
      <c r="A278" s="23" t="str">
        <f t="shared" si="3"/>
        <v>PLc1038</v>
      </c>
      <c r="B278" s="23" t="str">
        <f>'3.5.raw'!I278</f>
        <v>PLc1038</v>
      </c>
      <c r="C278" s="24">
        <f>datevalue(left('3.5.raw'!K278,10))</f>
        <v>43755</v>
      </c>
      <c r="D278" s="23">
        <f>'3.5.raw'!H278</f>
        <v>11</v>
      </c>
      <c r="E278" s="1">
        <v>3.5</v>
      </c>
      <c r="F278" s="23" t="b">
        <f>if(countif(Status!C:C,A278)=1,TRUE, FALSE)</f>
        <v>1</v>
      </c>
      <c r="H278" s="23" t="str">
        <f>IFERROR(__xludf.DUMMYFUNCTION("IFs(REGEXMATCH(I278, ""NOT""), 0, REGEXMATCH(I278, ""NO""), 0, REGEXMATCH(I278, ""TURBID""),1, COUNTBLANK(I278),"""", istext(I278),"""")"),"")</f>
        <v/>
      </c>
      <c r="I278" s="23" t="str">
        <f>'3.5.raw'!R278</f>
        <v>FPR PLc1038FL SAMPLE 18ml FILTER</v>
      </c>
    </row>
    <row r="279">
      <c r="A279" s="23" t="str">
        <f t="shared" si="3"/>
        <v>FB1074UP</v>
      </c>
      <c r="B279" s="23" t="str">
        <f>'3.5.raw'!I279</f>
        <v>FB1074UP</v>
      </c>
      <c r="C279" s="24">
        <f>datevalue(left('3.5.raw'!K279,10))</f>
        <v>43755</v>
      </c>
      <c r="D279" s="23">
        <f>'3.5.raw'!H279</f>
        <v>99</v>
      </c>
      <c r="E279" s="1">
        <v>3.5</v>
      </c>
      <c r="F279" s="23" t="b">
        <f>if(countif(Status!C:C,A279)=1,TRUE, FALSE)</f>
        <v>1</v>
      </c>
      <c r="H279" s="23">
        <f>IFERROR(__xludf.DUMMYFUNCTION("IFs(REGEXMATCH(I279, ""NOT""), 0, REGEXMATCH(I279, ""NO""), 0, REGEXMATCH(I279, ""TURBID""),1, COUNTBLANK(I279),"""", istext(I279),"""")"),0.0)</f>
        <v>0</v>
      </c>
      <c r="I279" s="23" t="str">
        <f>'3.5.raw'!R279</f>
        <v>OBSERVATION- NOT TURBID</v>
      </c>
    </row>
    <row r="280">
      <c r="A280" s="23" t="str">
        <f t="shared" si="3"/>
        <v>MO1102</v>
      </c>
      <c r="B280" s="23" t="str">
        <f>'3.5.raw'!I280</f>
        <v>MO1102</v>
      </c>
      <c r="C280" s="24">
        <f>datevalue(left('3.5.raw'!K280,10))</f>
        <v>43755</v>
      </c>
      <c r="D280" s="23">
        <f>'3.5.raw'!H280</f>
        <v>12</v>
      </c>
      <c r="E280" s="1">
        <v>3.5</v>
      </c>
      <c r="F280" s="23" t="b">
        <f>if(countif(Status!C:C,A280)=1,TRUE, FALSE)</f>
        <v>1</v>
      </c>
      <c r="H280" s="23" t="str">
        <f>IFERROR(__xludf.DUMMYFUNCTION("IFs(REGEXMATCH(I280, ""NOT""), 0, REGEXMATCH(I280, ""NO""), 0, REGEXMATCH(I280, ""TURBID""),1, COUNTBLANK(I280),"""", istext(I280),"""")"),"")</f>
        <v/>
      </c>
      <c r="I280" s="23" t="str">
        <f>'3.5.raw'!R280</f>
        <v/>
      </c>
    </row>
    <row r="281">
      <c r="A281" s="23" t="str">
        <f t="shared" si="3"/>
        <v>FB1075UP</v>
      </c>
      <c r="B281" s="23" t="str">
        <f>'3.5.raw'!I281</f>
        <v>FB1075UP</v>
      </c>
      <c r="C281" s="24">
        <f>datevalue(left('3.5.raw'!K281,10))</f>
        <v>43755</v>
      </c>
      <c r="D281" s="23">
        <f>'3.5.raw'!H281</f>
        <v>99</v>
      </c>
      <c r="E281" s="1">
        <v>3.5</v>
      </c>
      <c r="F281" s="23" t="b">
        <f>if(countif(Status!C:C,A281)=1,TRUE, FALSE)</f>
        <v>1</v>
      </c>
      <c r="H281" s="23">
        <f>IFERROR(__xludf.DUMMYFUNCTION("IFs(REGEXMATCH(I281, ""NOT""), 0, REGEXMATCH(I281, ""NO""), 0, REGEXMATCH(I281, ""TURBID""),1, COUNTBLANK(I281),"""", istext(I281),"""")"),0.0)</f>
        <v>0</v>
      </c>
      <c r="I281" s="23" t="str">
        <f>'3.5.raw'!R281</f>
        <v>OBSERVATION- NOT TURBID</v>
      </c>
    </row>
    <row r="282">
      <c r="A282" s="23" t="str">
        <f t="shared" si="3"/>
        <v>MO1103</v>
      </c>
      <c r="B282" s="23" t="str">
        <f>'3.5.raw'!I282</f>
        <v>MO1103</v>
      </c>
      <c r="C282" s="24">
        <f>datevalue(left('3.5.raw'!K282,10))</f>
        <v>43755</v>
      </c>
      <c r="D282" s="23">
        <f>'3.5.raw'!H282</f>
        <v>12</v>
      </c>
      <c r="E282" s="1">
        <v>3.5</v>
      </c>
      <c r="F282" s="23" t="b">
        <f>if(countif(Status!C:C,A282)=1,TRUE, FALSE)</f>
        <v>1</v>
      </c>
      <c r="H282" s="23" t="str">
        <f>IFERROR(__xludf.DUMMYFUNCTION("IFs(REGEXMATCH(I282, ""NOT""), 0, REGEXMATCH(I282, ""NO""), 0, REGEXMATCH(I282, ""TURBID""),1, COUNTBLANK(I282),"""", istext(I282),"""")"),"")</f>
        <v/>
      </c>
      <c r="I282" s="23" t="str">
        <f>'3.5.raw'!R282</f>
        <v/>
      </c>
    </row>
    <row r="283">
      <c r="A283" s="23" t="str">
        <f t="shared" si="3"/>
        <v>FB1076UP</v>
      </c>
      <c r="B283" s="23" t="str">
        <f>'3.5.raw'!I283</f>
        <v>FB1076UP</v>
      </c>
      <c r="C283" s="24">
        <f>datevalue(left('3.5.raw'!K283,10))</f>
        <v>43755</v>
      </c>
      <c r="D283" s="23">
        <f>'3.5.raw'!H283</f>
        <v>99</v>
      </c>
      <c r="E283" s="1">
        <v>3.5</v>
      </c>
      <c r="F283" s="23" t="b">
        <f>if(countif(Status!C:C,A283)=1,TRUE, FALSE)</f>
        <v>1</v>
      </c>
      <c r="H283" s="23">
        <f>IFERROR(__xludf.DUMMYFUNCTION("IFs(REGEXMATCH(I283, ""NOT""), 0, REGEXMATCH(I283, ""NO""), 0, REGEXMATCH(I283, ""TURBID""),1, COUNTBLANK(I283),"""", istext(I283),"""")"),0.0)</f>
        <v>0</v>
      </c>
      <c r="I283" s="23" t="str">
        <f>'3.5.raw'!R283</f>
        <v>OBSERVATION- NOT TURBID</v>
      </c>
    </row>
    <row r="284">
      <c r="A284" s="23" t="str">
        <f t="shared" si="3"/>
        <v>UPNC33</v>
      </c>
      <c r="B284" s="23" t="str">
        <f>'3.5.raw'!I284</f>
        <v>UPNC33</v>
      </c>
      <c r="C284" s="24">
        <f>datevalue(left('3.5.raw'!K284,10))</f>
        <v>43755</v>
      </c>
      <c r="D284" s="23">
        <f>'3.5.raw'!H284</f>
        <v>98</v>
      </c>
      <c r="E284" s="1">
        <v>3.5</v>
      </c>
      <c r="F284" s="23" t="b">
        <f>if(countif(Status!C:C,A284)=1,TRUE, FALSE)</f>
        <v>1</v>
      </c>
      <c r="H284" s="23">
        <f>IFERROR(__xludf.DUMMYFUNCTION("IFs(REGEXMATCH(I284, ""NOT""), 0, REGEXMATCH(I284, ""NO""), 0, REGEXMATCH(I284, ""TURBID""),1, COUNTBLANK(I284),"""", istext(I284),"""")"),0.0)</f>
        <v>0</v>
      </c>
      <c r="I284" s="23" t="str">
        <f>'3.5.raw'!R284</f>
        <v>OBSERVATION- NOT TURBID</v>
      </c>
    </row>
    <row r="285">
      <c r="A285" s="23" t="str">
        <f t="shared" si="3"/>
        <v>FB1077UP</v>
      </c>
      <c r="B285" s="23" t="str">
        <f>'3.5.raw'!I285</f>
        <v>FB1077UP</v>
      </c>
      <c r="C285" s="24">
        <f>datevalue(left('3.5.raw'!K285,10))</f>
        <v>43759</v>
      </c>
      <c r="D285" s="23">
        <f>'3.5.raw'!H285</f>
        <v>99</v>
      </c>
      <c r="E285" s="1">
        <v>3.5</v>
      </c>
      <c r="F285" s="23" t="b">
        <f>if(countif(Status!C:C,A285)=1,TRUE, FALSE)</f>
        <v>1</v>
      </c>
      <c r="H285" s="23">
        <f>IFERROR(__xludf.DUMMYFUNCTION("IFs(REGEXMATCH(I285, ""NOT""), 0, REGEXMATCH(I285, ""NO""), 0, REGEXMATCH(I285, ""TURBID""),1, COUNTBLANK(I285),"""", istext(I285),"""")"),0.0)</f>
        <v>0</v>
      </c>
      <c r="I285" s="23" t="str">
        <f>'3.5.raw'!R285</f>
        <v>OBSERVATION- NOT TURBID</v>
      </c>
    </row>
    <row r="286">
      <c r="A286" s="23" t="str">
        <f t="shared" si="3"/>
        <v>PLc1040</v>
      </c>
      <c r="B286" s="23" t="str">
        <f>'3.5.raw'!I286</f>
        <v>PLc1040</v>
      </c>
      <c r="C286" s="24">
        <f>datevalue(left('3.5.raw'!K286,10))</f>
        <v>43759</v>
      </c>
      <c r="D286" s="23">
        <f>'3.5.raw'!H286</f>
        <v>11</v>
      </c>
      <c r="E286" s="1">
        <v>3.5</v>
      </c>
      <c r="F286" s="23" t="b">
        <f>if(countif(Status!C:C,A286)=1,TRUE, FALSE)</f>
        <v>1</v>
      </c>
      <c r="H286" s="23" t="str">
        <f>IFERROR(__xludf.DUMMYFUNCTION("IFs(REGEXMATCH(I286, ""NOT""), 0, REGEXMATCH(I286, ""NO""), 0, REGEXMATCH(I286, ""TURBID""),1, COUNTBLANK(I286),"""", istext(I286),"""")"),"")</f>
        <v/>
      </c>
      <c r="I286" s="23" t="str">
        <f>'3.5.raw'!R286</f>
        <v/>
      </c>
    </row>
    <row r="287">
      <c r="A287" s="23" t="str">
        <f t="shared" si="3"/>
        <v>PLc1039</v>
      </c>
      <c r="B287" s="23" t="str">
        <f>'3.5.raw'!I287</f>
        <v>PLc1039</v>
      </c>
      <c r="C287" s="24">
        <f>datevalue(left('3.5.raw'!K287,10))</f>
        <v>43759</v>
      </c>
      <c r="D287" s="23">
        <f>'3.5.raw'!H287</f>
        <v>11</v>
      </c>
      <c r="E287" s="1">
        <v>3.5</v>
      </c>
      <c r="F287" s="23" t="b">
        <f>if(countif(Status!C:C,A287)=1,TRUE, FALSE)</f>
        <v>1</v>
      </c>
      <c r="H287" s="23">
        <f>IFERROR(__xludf.DUMMYFUNCTION("IFs(REGEXMATCH(I287, ""NOT""), 0, REGEXMATCH(I287, ""NO""), 0, REGEXMATCH(I287, ""TURBID""),1, COUNTBLANK(I287),"""", istext(I287),"""")"),0.0)</f>
        <v>0</v>
      </c>
      <c r="I287" s="23" t="str">
        <f>'3.5.raw'!R287</f>
        <v>FOR PLc1039FL CONCENTRATED SAMPLE SO FILTER WAS NOT PROCESSED</v>
      </c>
    </row>
    <row r="288">
      <c r="A288" s="23" t="str">
        <f t="shared" si="3"/>
        <v>FB1078UP</v>
      </c>
      <c r="B288" s="23" t="str">
        <f>'3.5.raw'!I288</f>
        <v>FB1078UP</v>
      </c>
      <c r="C288" s="24">
        <f>datevalue(left('3.5.raw'!K288,10))</f>
        <v>43759</v>
      </c>
      <c r="D288" s="23">
        <f>'3.5.raw'!H288</f>
        <v>99</v>
      </c>
      <c r="E288" s="1">
        <v>3.5</v>
      </c>
      <c r="F288" s="23" t="b">
        <f>if(countif(Status!C:C,A288)=1,TRUE, FALSE)</f>
        <v>1</v>
      </c>
      <c r="H288" s="23">
        <f>IFERROR(__xludf.DUMMYFUNCTION("IFs(REGEXMATCH(I288, ""NOT""), 0, REGEXMATCH(I288, ""NO""), 0, REGEXMATCH(I288, ""TURBID""),1, COUNTBLANK(I288),"""", istext(I288),"""")"),0.0)</f>
        <v>0</v>
      </c>
      <c r="I288" s="23" t="str">
        <f>'3.5.raw'!R288</f>
        <v>OBSERVATION- NOT TURBID</v>
      </c>
    </row>
    <row r="289">
      <c r="A289" s="23" t="str">
        <f t="shared" si="3"/>
        <v>PLc1041</v>
      </c>
      <c r="B289" s="23" t="str">
        <f>'3.5.raw'!I289</f>
        <v>PLc1041</v>
      </c>
      <c r="C289" s="24">
        <f>datevalue(left('3.5.raw'!K289,10))</f>
        <v>43759</v>
      </c>
      <c r="D289" s="23">
        <f>'3.5.raw'!H289</f>
        <v>11</v>
      </c>
      <c r="E289" s="1">
        <v>3.5</v>
      </c>
      <c r="F289" s="23" t="b">
        <f>if(countif(Status!C:C,A289)=1,TRUE, FALSE)</f>
        <v>1</v>
      </c>
      <c r="H289" s="23" t="str">
        <f>IFERROR(__xludf.DUMMYFUNCTION("IFs(REGEXMATCH(I289, ""NOT""), 0, REGEXMATCH(I289, ""NO""), 0, REGEXMATCH(I289, ""TURBID""),1, COUNTBLANK(I289),"""", istext(I289),"""")"),"")</f>
        <v/>
      </c>
      <c r="I289" s="23" t="str">
        <f>'3.5.raw'!R289</f>
        <v/>
      </c>
    </row>
    <row r="290">
      <c r="A290" s="23" t="str">
        <f t="shared" si="3"/>
        <v>FB1079UP</v>
      </c>
      <c r="B290" s="23" t="str">
        <f>'3.5.raw'!I290</f>
        <v>FB1079UP</v>
      </c>
      <c r="C290" s="24">
        <f>datevalue(left('3.5.raw'!K290,10))</f>
        <v>43759</v>
      </c>
      <c r="D290" s="23">
        <f>'3.5.raw'!H290</f>
        <v>99</v>
      </c>
      <c r="E290" s="1">
        <v>3.5</v>
      </c>
      <c r="F290" s="23" t="b">
        <f>if(countif(Status!C:C,A290)=1,TRUE, FALSE)</f>
        <v>1</v>
      </c>
      <c r="H290" s="23">
        <f>IFERROR(__xludf.DUMMYFUNCTION("IFs(REGEXMATCH(I290, ""NOT""), 0, REGEXMATCH(I290, ""NO""), 0, REGEXMATCH(I290, ""TURBID""),1, COUNTBLANK(I290),"""", istext(I290),"""")"),0.0)</f>
        <v>0</v>
      </c>
      <c r="I290" s="23" t="str">
        <f>'3.5.raw'!R290</f>
        <v>OBSERVATION-NOT TURBID</v>
      </c>
    </row>
    <row r="291">
      <c r="A291" s="23" t="str">
        <f t="shared" si="3"/>
        <v>PLc1042</v>
      </c>
      <c r="B291" s="23" t="str">
        <f>'3.5.raw'!I291</f>
        <v>PLc1042</v>
      </c>
      <c r="C291" s="24">
        <f>datevalue(left('3.5.raw'!K291,10))</f>
        <v>43759</v>
      </c>
      <c r="D291" s="23">
        <f>'3.5.raw'!H291</f>
        <v>11</v>
      </c>
      <c r="E291" s="1">
        <v>3.5</v>
      </c>
      <c r="F291" s="23" t="b">
        <f>if(countif(Status!C:C,A291)=1,TRUE, FALSE)</f>
        <v>1</v>
      </c>
      <c r="H291" s="23" t="str">
        <f>IFERROR(__xludf.DUMMYFUNCTION("IFs(REGEXMATCH(I291, ""NOT""), 0, REGEXMATCH(I291, ""NO""), 0, REGEXMATCH(I291, ""TURBID""),1, COUNTBLANK(I291),"""", istext(I291),"""")"),"")</f>
        <v/>
      </c>
      <c r="I291" s="23" t="str">
        <f>'3.5.raw'!R291</f>
        <v/>
      </c>
    </row>
    <row r="292">
      <c r="A292" s="23" t="str">
        <f t="shared" si="3"/>
        <v>FB1080UP</v>
      </c>
      <c r="B292" s="23" t="str">
        <f>'3.5.raw'!I292</f>
        <v>FB1080UP</v>
      </c>
      <c r="C292" s="24">
        <f>datevalue(left('3.5.raw'!K292,10))</f>
        <v>43759</v>
      </c>
      <c r="D292" s="23">
        <f>'3.5.raw'!H292</f>
        <v>99</v>
      </c>
      <c r="E292" s="1">
        <v>3.5</v>
      </c>
      <c r="F292" s="23" t="b">
        <f>if(countif(Status!C:C,A292)=1,TRUE, FALSE)</f>
        <v>1</v>
      </c>
      <c r="H292" s="23">
        <f>IFERROR(__xludf.DUMMYFUNCTION("IFs(REGEXMATCH(I292, ""NOT""), 0, REGEXMATCH(I292, ""NO""), 0, REGEXMATCH(I292, ""TURBID""),1, COUNTBLANK(I292),"""", istext(I292),"""")"),0.0)</f>
        <v>0</v>
      </c>
      <c r="I292" s="23" t="str">
        <f>'3.5.raw'!R292</f>
        <v>OBSERVATION- NOT TURBID</v>
      </c>
    </row>
    <row r="293">
      <c r="A293" s="23" t="str">
        <f t="shared" si="3"/>
        <v>PLc1043</v>
      </c>
      <c r="B293" s="23" t="str">
        <f>'3.5.raw'!I293</f>
        <v>PLc1043</v>
      </c>
      <c r="C293" s="24">
        <f>datevalue(left('3.5.raw'!K293,10))</f>
        <v>43759</v>
      </c>
      <c r="D293" s="23">
        <f>'3.5.raw'!H293</f>
        <v>11</v>
      </c>
      <c r="E293" s="1">
        <v>3.5</v>
      </c>
      <c r="F293" s="23" t="b">
        <f>if(countif(Status!C:C,A293)=1,TRUE, FALSE)</f>
        <v>1</v>
      </c>
      <c r="H293" s="23" t="str">
        <f>IFERROR(__xludf.DUMMYFUNCTION("IFs(REGEXMATCH(I293, ""NOT""), 0, REGEXMATCH(I293, ""NO""), 0, REGEXMATCH(I293, ""TURBID""),1, COUNTBLANK(I293),"""", istext(I293),"""")"),"")</f>
        <v/>
      </c>
      <c r="I293" s="23" t="str">
        <f>'3.5.raw'!R293</f>
        <v/>
      </c>
    </row>
    <row r="294">
      <c r="A294" s="23" t="str">
        <f t="shared" si="3"/>
        <v>FB1081UP</v>
      </c>
      <c r="B294" s="23" t="str">
        <f>'3.5.raw'!I294</f>
        <v>FB1081UP</v>
      </c>
      <c r="C294" s="24">
        <f>datevalue(left('3.5.raw'!K294,10))</f>
        <v>43759</v>
      </c>
      <c r="D294" s="23">
        <f>'3.5.raw'!H294</f>
        <v>99</v>
      </c>
      <c r="E294" s="1">
        <v>3.5</v>
      </c>
      <c r="F294" s="23" t="b">
        <f>if(countif(Status!C:C,A294)=1,TRUE, FALSE)</f>
        <v>1</v>
      </c>
      <c r="H294" s="23">
        <f>IFERROR(__xludf.DUMMYFUNCTION("IFs(REGEXMATCH(I294, ""NOT""), 0, REGEXMATCH(I294, ""NO""), 0, REGEXMATCH(I294, ""TURBID""),1, COUNTBLANK(I294),"""", istext(I294),"""")"),0.0)</f>
        <v>0</v>
      </c>
      <c r="I294" s="23" t="str">
        <f>'3.5.raw'!R294</f>
        <v>OBSERVATION -NOT TURBID</v>
      </c>
    </row>
    <row r="295">
      <c r="A295" s="23" t="str">
        <f t="shared" si="3"/>
        <v>UPNC34</v>
      </c>
      <c r="B295" s="23" t="str">
        <f>'3.5.raw'!I295</f>
        <v>UPNC34</v>
      </c>
      <c r="C295" s="24">
        <f>datevalue(left('3.5.raw'!K295,10))</f>
        <v>43759</v>
      </c>
      <c r="D295" s="23">
        <f>'3.5.raw'!H295</f>
        <v>98</v>
      </c>
      <c r="E295" s="1">
        <v>3.5</v>
      </c>
      <c r="F295" s="23" t="b">
        <f>if(countif(Status!C:C,A295)=1,TRUE, FALSE)</f>
        <v>1</v>
      </c>
      <c r="H295" s="23">
        <f>IFERROR(__xludf.DUMMYFUNCTION("IFs(REGEXMATCH(I295, ""NOT""), 0, REGEXMATCH(I295, ""NO""), 0, REGEXMATCH(I295, ""TURBID""),1, COUNTBLANK(I295),"""", istext(I295),"""")"),0.0)</f>
        <v>0</v>
      </c>
      <c r="I295" s="23" t="str">
        <f>'3.5.raw'!R295</f>
        <v>OBSERVATION- NOT TURBID</v>
      </c>
    </row>
    <row r="296">
      <c r="A296" s="23" t="str">
        <f t="shared" si="3"/>
        <v>MO1104</v>
      </c>
      <c r="B296" s="23" t="str">
        <f>'3.5.raw'!I296</f>
        <v>MO1104</v>
      </c>
      <c r="C296" s="24">
        <f>datevalue(left('3.5.raw'!K296,10))</f>
        <v>43760</v>
      </c>
      <c r="D296" s="23">
        <f>'3.5.raw'!H296</f>
        <v>12</v>
      </c>
      <c r="E296" s="1">
        <v>3.5</v>
      </c>
      <c r="F296" s="23" t="b">
        <f>if(countif(Status!C:C,A296)=1,TRUE, FALSE)</f>
        <v>1</v>
      </c>
      <c r="H296" s="23" t="str">
        <f>IFERROR(__xludf.DUMMYFUNCTION("IFs(REGEXMATCH(I296, ""NOT""), 0, REGEXMATCH(I296, ""NO""), 0, REGEXMATCH(I296, ""TURBID""),1, COUNTBLANK(I296),"""", istext(I296),"""")"),"")</f>
        <v/>
      </c>
      <c r="I296" s="23" t="str">
        <f>'3.5.raw'!R296</f>
        <v/>
      </c>
    </row>
    <row r="297">
      <c r="A297" s="1" t="s">
        <v>1458</v>
      </c>
      <c r="B297" s="23" t="str">
        <f>'3.5.raw'!I297</f>
        <v>UPNC34</v>
      </c>
      <c r="C297" s="24">
        <f>datevalue(left('3.5.raw'!K297,10))</f>
        <v>43760</v>
      </c>
      <c r="D297" s="23">
        <f>'3.5.raw'!H297</f>
        <v>98</v>
      </c>
      <c r="E297" s="1">
        <v>3.5</v>
      </c>
      <c r="F297" s="23" t="b">
        <f>if(countif(Status!C:C,A297)=1,TRUE, FALSE)</f>
        <v>1</v>
      </c>
      <c r="H297" s="23">
        <f>IFERROR(__xludf.DUMMYFUNCTION("IFs(REGEXMATCH(I297, ""NOT""), 0, REGEXMATCH(I297, ""NO""), 0, REGEXMATCH(I297, ""TURBID""),1, COUNTBLANK(I297),"""", istext(I297),"""")"),0.0)</f>
        <v>0</v>
      </c>
      <c r="I297" s="23" t="str">
        <f>'3.5.raw'!R297</f>
        <v>OBSERVATION- NOT TURBID</v>
      </c>
    </row>
    <row r="298">
      <c r="A298" s="23" t="str">
        <f t="shared" ref="A298:A360" si="4">SUBSTITUTE(B298, " ", "")</f>
        <v>FB1082UP</v>
      </c>
      <c r="B298" s="23" t="str">
        <f>'3.5.raw'!I298</f>
        <v>FB1082UP</v>
      </c>
      <c r="C298" s="24">
        <f>datevalue(left('3.5.raw'!K298,10))</f>
        <v>43760</v>
      </c>
      <c r="D298" s="23">
        <f>'3.5.raw'!H298</f>
        <v>99</v>
      </c>
      <c r="E298" s="1">
        <v>3.5</v>
      </c>
      <c r="F298" s="23" t="b">
        <f>if(countif(Status!C:C,A298)=1,TRUE, FALSE)</f>
        <v>1</v>
      </c>
      <c r="H298" s="23">
        <f>IFERROR(__xludf.DUMMYFUNCTION("IFs(REGEXMATCH(I298, ""NOT""), 0, REGEXMATCH(I298, ""NO""), 0, REGEXMATCH(I298, ""TURBID""),1, COUNTBLANK(I298),"""", istext(I298),"""")"),0.0)</f>
        <v>0</v>
      </c>
      <c r="I298" s="23" t="str">
        <f>'3.5.raw'!R298</f>
        <v>OBSERVATION- NOT TURBID</v>
      </c>
    </row>
    <row r="299">
      <c r="A299" s="23" t="str">
        <f t="shared" si="4"/>
        <v>MO1105</v>
      </c>
      <c r="B299" s="23" t="str">
        <f>'3.5.raw'!I299</f>
        <v>MO1105</v>
      </c>
      <c r="C299" s="24">
        <f>datevalue(left('3.5.raw'!K299,10))</f>
        <v>43760</v>
      </c>
      <c r="D299" s="23">
        <f>'3.5.raw'!H299</f>
        <v>12</v>
      </c>
      <c r="E299" s="1">
        <v>3.5</v>
      </c>
      <c r="F299" s="23" t="b">
        <f>if(countif(Status!C:C,A299)=1,TRUE, FALSE)</f>
        <v>1</v>
      </c>
      <c r="H299" s="23" t="str">
        <f>IFERROR(__xludf.DUMMYFUNCTION("IFs(REGEXMATCH(I299, ""NOT""), 0, REGEXMATCH(I299, ""NO""), 0, REGEXMATCH(I299, ""TURBID""),1, COUNTBLANK(I299),"""", istext(I299),"""")"),"")</f>
        <v/>
      </c>
      <c r="I299" s="23" t="str">
        <f>'3.5.raw'!R299</f>
        <v/>
      </c>
    </row>
    <row r="300">
      <c r="A300" s="23" t="str">
        <f t="shared" si="4"/>
        <v>FB1083UP</v>
      </c>
      <c r="B300" s="23" t="str">
        <f>'3.5.raw'!I300</f>
        <v>FB1083UP</v>
      </c>
      <c r="C300" s="24">
        <f>datevalue(left('3.5.raw'!K300,10))</f>
        <v>43760</v>
      </c>
      <c r="D300" s="23">
        <f>'3.5.raw'!H300</f>
        <v>99</v>
      </c>
      <c r="E300" s="1">
        <v>3.5</v>
      </c>
      <c r="F300" s="23" t="b">
        <f>if(countif(Status!C:C,A300)=1,TRUE, FALSE)</f>
        <v>1</v>
      </c>
      <c r="H300" s="23">
        <f>IFERROR(__xludf.DUMMYFUNCTION("IFs(REGEXMATCH(I300, ""NOT""), 0, REGEXMATCH(I300, ""NO""), 0, REGEXMATCH(I300, ""TURBID""),1, COUNTBLANK(I300),"""", istext(I300),"""")"),0.0)</f>
        <v>0</v>
      </c>
      <c r="I300" s="23" t="str">
        <f>'3.5.raw'!R300</f>
        <v>OBSERVATION- NOT TURBID</v>
      </c>
    </row>
    <row r="301">
      <c r="A301" s="23" t="str">
        <f t="shared" si="4"/>
        <v>FB1084UP</v>
      </c>
      <c r="B301" s="23" t="str">
        <f>'3.5.raw'!I301</f>
        <v>FB1084UP</v>
      </c>
      <c r="C301" s="24">
        <f>datevalue(left('3.5.raw'!K301,10))</f>
        <v>43761</v>
      </c>
      <c r="D301" s="23">
        <f>'3.5.raw'!H301</f>
        <v>99</v>
      </c>
      <c r="E301" s="1">
        <v>3.5</v>
      </c>
      <c r="F301" s="23" t="b">
        <f>if(countif(Status!C:C,A301)=1,TRUE, FALSE)</f>
        <v>1</v>
      </c>
      <c r="H301" s="23">
        <f>IFERROR(__xludf.DUMMYFUNCTION("IFs(REGEXMATCH(I301, ""NOT""), 0, REGEXMATCH(I301, ""NO""), 0, REGEXMATCH(I301, ""TURBID""),1, COUNTBLANK(I301),"""", istext(I301),"""")"),1.0)</f>
        <v>1</v>
      </c>
      <c r="I301" s="23" t="str">
        <f>'3.5.raw'!R301</f>
        <v>OBSERVATION= TURBID</v>
      </c>
    </row>
    <row r="302">
      <c r="A302" s="23" t="str">
        <f t="shared" si="4"/>
        <v>UPNC36</v>
      </c>
      <c r="B302" s="23" t="str">
        <f>'3.5.raw'!I302</f>
        <v>UPNC36</v>
      </c>
      <c r="C302" s="24">
        <f>datevalue(left('3.5.raw'!K302,10))</f>
        <v>43761</v>
      </c>
      <c r="D302" s="23">
        <f>'3.5.raw'!H302</f>
        <v>98</v>
      </c>
      <c r="E302" s="1">
        <v>3.5</v>
      </c>
      <c r="F302" s="23" t="b">
        <f>if(countif(Status!C:C,A302)=1,TRUE, FALSE)</f>
        <v>1</v>
      </c>
      <c r="H302" s="23">
        <f>IFERROR(__xludf.DUMMYFUNCTION("IFs(REGEXMATCH(I302, ""NOT""), 0, REGEXMATCH(I302, ""NO""), 0, REGEXMATCH(I302, ""TURBID""),1, COUNTBLANK(I302),"""", istext(I302),"""")"),0.0)</f>
        <v>0</v>
      </c>
      <c r="I302" s="23" t="str">
        <f>'3.5.raw'!R302</f>
        <v>OBSERVATION= NOT TURBID</v>
      </c>
    </row>
    <row r="303">
      <c r="A303" s="23" t="str">
        <f t="shared" si="4"/>
        <v>MO1106</v>
      </c>
      <c r="B303" s="23" t="str">
        <f>'3.5.raw'!I303</f>
        <v>MO1106</v>
      </c>
      <c r="C303" s="24">
        <f>datevalue(left('3.5.raw'!K303,10))</f>
        <v>43762</v>
      </c>
      <c r="D303" s="23">
        <f>'3.5.raw'!H303</f>
        <v>12</v>
      </c>
      <c r="E303" s="1">
        <v>3.5</v>
      </c>
      <c r="F303" s="23" t="b">
        <f>if(countif(Status!C:C,A303)=1,TRUE, FALSE)</f>
        <v>1</v>
      </c>
      <c r="H303" s="23" t="str">
        <f>IFERROR(__xludf.DUMMYFUNCTION("IFs(REGEXMATCH(I303, ""NOT""), 0, REGEXMATCH(I303, ""NO""), 0, REGEXMATCH(I303, ""TURBID""),1, COUNTBLANK(I303),"""", istext(I303),"""")"),"")</f>
        <v/>
      </c>
      <c r="I303" s="23" t="str">
        <f>'3.5.raw'!R303</f>
        <v/>
      </c>
    </row>
    <row r="304">
      <c r="A304" s="23" t="str">
        <f t="shared" si="4"/>
        <v>FB1085UP</v>
      </c>
      <c r="B304" s="23" t="str">
        <f>'3.5.raw'!I304</f>
        <v>FB 1085 UP</v>
      </c>
      <c r="C304" s="24">
        <f>datevalue(left('3.5.raw'!K304,10))</f>
        <v>43762</v>
      </c>
      <c r="D304" s="23">
        <f>'3.5.raw'!H304</f>
        <v>99</v>
      </c>
      <c r="E304" s="1">
        <v>3.5</v>
      </c>
      <c r="F304" s="23" t="b">
        <f>if(countif(Status!C:C,A304)=1,TRUE, FALSE)</f>
        <v>1</v>
      </c>
      <c r="H304" s="23" t="str">
        <f>IFERROR(__xludf.DUMMYFUNCTION("IFs(REGEXMATCH(I304, ""NOT""), 0, REGEXMATCH(I304, ""NO""), 0, REGEXMATCH(I304, ""TURBID""),1, COUNTBLANK(I304),"""", istext(I304),"""")"),"")</f>
        <v/>
      </c>
      <c r="I304" s="23" t="str">
        <f>'3.5.raw'!R304</f>
        <v/>
      </c>
    </row>
    <row r="305">
      <c r="A305" s="23" t="str">
        <f t="shared" si="4"/>
        <v>MO1107</v>
      </c>
      <c r="B305" s="23" t="str">
        <f>'3.5.raw'!I305</f>
        <v>MO1107</v>
      </c>
      <c r="C305" s="24">
        <f>datevalue(left('3.5.raw'!K305,10))</f>
        <v>43762</v>
      </c>
      <c r="D305" s="23">
        <f>'3.5.raw'!H305</f>
        <v>12</v>
      </c>
      <c r="E305" s="1">
        <v>3.5</v>
      </c>
      <c r="F305" s="23" t="b">
        <f>if(countif(Status!C:C,A305)=1,TRUE, FALSE)</f>
        <v>1</v>
      </c>
      <c r="H305" s="23" t="str">
        <f>IFERROR(__xludf.DUMMYFUNCTION("IFs(REGEXMATCH(I305, ""NOT""), 0, REGEXMATCH(I305, ""NO""), 0, REGEXMATCH(I305, ""TURBID""),1, COUNTBLANK(I305),"""", istext(I305),"""")"),"")</f>
        <v/>
      </c>
      <c r="I305" s="23" t="str">
        <f>'3.5.raw'!R305</f>
        <v/>
      </c>
    </row>
    <row r="306">
      <c r="A306" s="23" t="str">
        <f t="shared" si="4"/>
        <v>FB1086UP</v>
      </c>
      <c r="B306" s="23" t="str">
        <f>'3.5.raw'!I306</f>
        <v>FB 1086 UP</v>
      </c>
      <c r="C306" s="24">
        <f>datevalue(left('3.5.raw'!K306,10))</f>
        <v>43762</v>
      </c>
      <c r="D306" s="23">
        <f>'3.5.raw'!H306</f>
        <v>99</v>
      </c>
      <c r="E306" s="1">
        <v>3.5</v>
      </c>
      <c r="F306" s="23" t="b">
        <f>if(countif(Status!C:C,A306)=1,TRUE, FALSE)</f>
        <v>1</v>
      </c>
      <c r="H306" s="23" t="str">
        <f>IFERROR(__xludf.DUMMYFUNCTION("IFs(REGEXMATCH(I306, ""NOT""), 0, REGEXMATCH(I306, ""NO""), 0, REGEXMATCH(I306, ""TURBID""),1, COUNTBLANK(I306),"""", istext(I306),"""")"),"")</f>
        <v/>
      </c>
      <c r="I306" s="23" t="str">
        <f>'3.5.raw'!R306</f>
        <v>WITH SAMPLE MO1107</v>
      </c>
    </row>
    <row r="307">
      <c r="A307" s="23" t="str">
        <f t="shared" si="4"/>
        <v>PLC1044</v>
      </c>
      <c r="B307" s="23" t="str">
        <f>'3.5.raw'!I307</f>
        <v>PLC 1044</v>
      </c>
      <c r="C307" s="24">
        <f>datevalue(left('3.5.raw'!K307,10))</f>
        <v>43762</v>
      </c>
      <c r="D307" s="23">
        <f>'3.5.raw'!H307</f>
        <v>11</v>
      </c>
      <c r="E307" s="1">
        <v>3.5</v>
      </c>
      <c r="F307" s="23" t="b">
        <f>if(countif(Status!C:C,A307)=1,TRUE, FALSE)</f>
        <v>1</v>
      </c>
      <c r="H307" s="23" t="str">
        <f>IFERROR(__xludf.DUMMYFUNCTION("IFs(REGEXMATCH(I307, ""NOT""), 0, REGEXMATCH(I307, ""NO""), 0, REGEXMATCH(I307, ""TURBID""),1, COUNTBLANK(I307),"""", istext(I307),"""")"),"")</f>
        <v/>
      </c>
      <c r="I307" s="23" t="str">
        <f>'3.5.raw'!R307</f>
        <v/>
      </c>
    </row>
    <row r="308">
      <c r="A308" s="23" t="str">
        <f t="shared" si="4"/>
        <v>FB1087UP</v>
      </c>
      <c r="B308" s="23" t="str">
        <f>'3.5.raw'!I308</f>
        <v>FB 1087 UP</v>
      </c>
      <c r="C308" s="24">
        <f>datevalue(left('3.5.raw'!K308,10))</f>
        <v>43762</v>
      </c>
      <c r="D308" s="23">
        <f>'3.5.raw'!H308</f>
        <v>99</v>
      </c>
      <c r="E308" s="1">
        <v>3.5</v>
      </c>
      <c r="F308" s="23" t="b">
        <f>if(countif(Status!C:C,A308)=1,TRUE, FALSE)</f>
        <v>1</v>
      </c>
      <c r="H308" s="23" t="str">
        <f>IFERROR(__xludf.DUMMYFUNCTION("IFs(REGEXMATCH(I308, ""NOT""), 0, REGEXMATCH(I308, ""NO""), 0, REGEXMATCH(I308, ""TURBID""),1, COUNTBLANK(I308),"""", istext(I308),"""")"),"")</f>
        <v/>
      </c>
      <c r="I308" s="23" t="str">
        <f>'3.5.raw'!R308</f>
        <v/>
      </c>
    </row>
    <row r="309">
      <c r="A309" s="23" t="str">
        <f t="shared" si="4"/>
        <v>PLC1045</v>
      </c>
      <c r="B309" s="23" t="str">
        <f>'3.5.raw'!I309</f>
        <v>PLC 1045</v>
      </c>
      <c r="C309" s="24">
        <f>datevalue(left('3.5.raw'!K309,10))</f>
        <v>43762</v>
      </c>
      <c r="D309" s="23">
        <f>'3.5.raw'!H309</f>
        <v>11</v>
      </c>
      <c r="E309" s="1">
        <v>3.5</v>
      </c>
      <c r="F309" s="23" t="b">
        <f>if(countif(Status!C:C,A309)=1,TRUE, FALSE)</f>
        <v>1</v>
      </c>
      <c r="H309" s="23" t="str">
        <f>IFERROR(__xludf.DUMMYFUNCTION("IFs(REGEXMATCH(I309, ""NOT""), 0, REGEXMATCH(I309, ""NO""), 0, REGEXMATCH(I309, ""TURBID""),1, COUNTBLANK(I309),"""", istext(I309),"""")"),"")</f>
        <v/>
      </c>
      <c r="I309" s="23" t="str">
        <f>'3.5.raw'!R309</f>
        <v/>
      </c>
    </row>
    <row r="310">
      <c r="A310" s="23" t="str">
        <f t="shared" si="4"/>
        <v>FB1088UP</v>
      </c>
      <c r="B310" s="23" t="str">
        <f>'3.5.raw'!I310</f>
        <v>FB 1088 UP</v>
      </c>
      <c r="C310" s="24">
        <f>datevalue(left('3.5.raw'!K310,10))</f>
        <v>43762</v>
      </c>
      <c r="D310" s="23">
        <f>'3.5.raw'!H310</f>
        <v>99</v>
      </c>
      <c r="E310" s="1">
        <v>3.5</v>
      </c>
      <c r="F310" s="23" t="b">
        <f>if(countif(Status!C:C,A310)=1,TRUE, FALSE)</f>
        <v>1</v>
      </c>
      <c r="H310" s="23" t="str">
        <f>IFERROR(__xludf.DUMMYFUNCTION("IFs(REGEXMATCH(I310, ""NOT""), 0, REGEXMATCH(I310, ""NO""), 0, REGEXMATCH(I310, ""TURBID""),1, COUNTBLANK(I310),"""", istext(I310),"""")"),"")</f>
        <v/>
      </c>
      <c r="I310" s="23" t="str">
        <f>'3.5.raw'!R310</f>
        <v>WITH SAMPLE PLC 1045</v>
      </c>
    </row>
    <row r="311">
      <c r="A311" s="23" t="str">
        <f t="shared" si="4"/>
        <v>PLC1046</v>
      </c>
      <c r="B311" s="23" t="str">
        <f>'3.5.raw'!I311</f>
        <v>PLC 1046</v>
      </c>
      <c r="C311" s="24">
        <f>datevalue(left('3.5.raw'!K311,10))</f>
        <v>43762</v>
      </c>
      <c r="D311" s="23">
        <f>'3.5.raw'!H311</f>
        <v>11</v>
      </c>
      <c r="E311" s="1">
        <v>3.5</v>
      </c>
      <c r="F311" s="23" t="b">
        <f>if(countif(Status!C:C,A311)=1,TRUE, FALSE)</f>
        <v>1</v>
      </c>
      <c r="H311" s="23" t="str">
        <f>IFERROR(__xludf.DUMMYFUNCTION("IFs(REGEXMATCH(I311, ""NOT""), 0, REGEXMATCH(I311, ""NO""), 0, REGEXMATCH(I311, ""TURBID""),1, COUNTBLANK(I311),"""", istext(I311),"""")"),"")</f>
        <v/>
      </c>
      <c r="I311" s="23" t="str">
        <f>'3.5.raw'!R311</f>
        <v/>
      </c>
    </row>
    <row r="312">
      <c r="A312" s="23" t="str">
        <f t="shared" si="4"/>
        <v>FB1089UP</v>
      </c>
      <c r="B312" s="23" t="str">
        <f>'3.5.raw'!I312</f>
        <v>FB 1089 UP</v>
      </c>
      <c r="C312" s="24">
        <f>datevalue(left('3.5.raw'!K312,10))</f>
        <v>43762</v>
      </c>
      <c r="D312" s="23">
        <f>'3.5.raw'!H312</f>
        <v>99</v>
      </c>
      <c r="E312" s="1">
        <v>3.5</v>
      </c>
      <c r="F312" s="23" t="b">
        <f>if(countif(Status!C:C,A312)=1,TRUE, FALSE)</f>
        <v>1</v>
      </c>
      <c r="H312" s="23" t="str">
        <f>IFERROR(__xludf.DUMMYFUNCTION("IFs(REGEXMATCH(I312, ""NOT""), 0, REGEXMATCH(I312, ""NO""), 0, REGEXMATCH(I312, ""TURBID""),1, COUNTBLANK(I312),"""", istext(I312),"""")"),"")</f>
        <v/>
      </c>
      <c r="I312" s="23" t="str">
        <f>'3.5.raw'!R312</f>
        <v>SAMPLE - PLC 1046</v>
      </c>
    </row>
    <row r="313">
      <c r="A313" s="23" t="str">
        <f t="shared" si="4"/>
        <v>PLC1047</v>
      </c>
      <c r="B313" s="23" t="str">
        <f>'3.5.raw'!I313</f>
        <v>PLC 1047</v>
      </c>
      <c r="C313" s="24">
        <f>datevalue(left('3.5.raw'!K313,10))</f>
        <v>43762</v>
      </c>
      <c r="D313" s="23">
        <f>'3.5.raw'!H313</f>
        <v>11</v>
      </c>
      <c r="E313" s="1">
        <v>3.5</v>
      </c>
      <c r="F313" s="23" t="b">
        <f>if(countif(Status!C:C,A313)=1,TRUE, FALSE)</f>
        <v>1</v>
      </c>
      <c r="H313" s="23" t="str">
        <f>IFERROR(__xludf.DUMMYFUNCTION("IFs(REGEXMATCH(I313, ""NOT""), 0, REGEXMATCH(I313, ""NO""), 0, REGEXMATCH(I313, ""TURBID""),1, COUNTBLANK(I313),"""", istext(I313),"""")"),"")</f>
        <v/>
      </c>
      <c r="I313" s="23" t="str">
        <f>'3.5.raw'!R313</f>
        <v/>
      </c>
    </row>
    <row r="314">
      <c r="A314" s="23" t="str">
        <f t="shared" si="4"/>
        <v>FB1090UP</v>
      </c>
      <c r="B314" s="23" t="str">
        <f>'3.5.raw'!I314</f>
        <v>FB 1090 UP</v>
      </c>
      <c r="C314" s="24">
        <f>datevalue(left('3.5.raw'!K314,10))</f>
        <v>43762</v>
      </c>
      <c r="D314" s="23">
        <f>'3.5.raw'!H314</f>
        <v>99</v>
      </c>
      <c r="E314" s="1">
        <v>3.5</v>
      </c>
      <c r="F314" s="23" t="b">
        <f>if(countif(Status!C:C,A314)=1,TRUE, FALSE)</f>
        <v>1</v>
      </c>
      <c r="H314" s="23">
        <f>IFERROR(__xludf.DUMMYFUNCTION("IFs(REGEXMATCH(I314, ""NOT""), 0, REGEXMATCH(I314, ""NO""), 0, REGEXMATCH(I314, ""TURBID""),1, COUNTBLANK(I314),"""", istext(I314),"""")"),0.0)</f>
        <v>0</v>
      </c>
      <c r="I314" s="23" t="str">
        <f>'3.5.raw'!R314</f>
        <v>SAMPLE - PLC 1047( FB NOT TURBID {NT} )</v>
      </c>
    </row>
    <row r="315">
      <c r="A315" s="23" t="str">
        <f t="shared" si="4"/>
        <v>PLC1048</v>
      </c>
      <c r="B315" s="23" t="str">
        <f>'3.5.raw'!I315</f>
        <v>PLC 1048</v>
      </c>
      <c r="C315" s="24">
        <f>datevalue(left('3.5.raw'!K315,10))</f>
        <v>43762</v>
      </c>
      <c r="D315" s="23">
        <f>'3.5.raw'!H315</f>
        <v>11</v>
      </c>
      <c r="E315" s="1">
        <v>3.5</v>
      </c>
      <c r="F315" s="23" t="b">
        <f>if(countif(Status!C:C,A315)=1,TRUE, FALSE)</f>
        <v>1</v>
      </c>
      <c r="H315" s="23" t="str">
        <f>IFERROR(__xludf.DUMMYFUNCTION("IFs(REGEXMATCH(I315, ""NOT""), 0, REGEXMATCH(I315, ""NO""), 0, REGEXMATCH(I315, ""TURBID""),1, COUNTBLANK(I315),"""", istext(I315),"""")"),"")</f>
        <v/>
      </c>
      <c r="I315" s="23" t="str">
        <f>'3.5.raw'!R315</f>
        <v/>
      </c>
    </row>
    <row r="316">
      <c r="A316" s="23" t="str">
        <f t="shared" si="4"/>
        <v>FB1091UP</v>
      </c>
      <c r="B316" s="23" t="str">
        <f>'3.5.raw'!I316</f>
        <v>FB 1091 UP</v>
      </c>
      <c r="C316" s="24">
        <f>datevalue(left('3.5.raw'!K316,10))</f>
        <v>43762</v>
      </c>
      <c r="D316" s="23">
        <f>'3.5.raw'!H316</f>
        <v>99</v>
      </c>
      <c r="E316" s="1">
        <v>3.5</v>
      </c>
      <c r="F316" s="23" t="b">
        <f>if(countif(Status!C:C,A316)=1,TRUE, FALSE)</f>
        <v>1</v>
      </c>
      <c r="H316" s="23">
        <f>IFERROR(__xludf.DUMMYFUNCTION("IFs(REGEXMATCH(I316, ""NOT""), 0, REGEXMATCH(I316, ""NO""), 0, REGEXMATCH(I316, ""TURBID""),1, COUNTBLANK(I316),"""", istext(I316),"""")"),0.0)</f>
        <v>0</v>
      </c>
      <c r="I316" s="23" t="str">
        <f>'3.5.raw'!R316</f>
        <v>WITH SAMPLE PLC1048 AND NOT TURBID</v>
      </c>
    </row>
    <row r="317">
      <c r="A317" s="23" t="str">
        <f t="shared" si="4"/>
        <v>UPNC37</v>
      </c>
      <c r="B317" s="23" t="str">
        <f>'3.5.raw'!I317</f>
        <v>UPNC 37</v>
      </c>
      <c r="C317" s="24">
        <f>datevalue(left('3.5.raw'!K317,10))</f>
        <v>43762</v>
      </c>
      <c r="D317" s="23">
        <f>'3.5.raw'!H317</f>
        <v>98</v>
      </c>
      <c r="E317" s="1">
        <v>3.5</v>
      </c>
      <c r="F317" s="23" t="b">
        <f>if(countif(Status!C:C,A317)=1,TRUE, FALSE)</f>
        <v>1</v>
      </c>
      <c r="H317" s="23">
        <f>IFERROR(__xludf.DUMMYFUNCTION("IFs(REGEXMATCH(I317, ""NOT""), 0, REGEXMATCH(I317, ""NO""), 0, REGEXMATCH(I317, ""TURBID""),1, COUNTBLANK(I317),"""", istext(I317),"""")"),0.0)</f>
        <v>0</v>
      </c>
      <c r="I317" s="23" t="str">
        <f>'3.5.raw'!R317</f>
        <v>NO TURBID</v>
      </c>
    </row>
    <row r="318">
      <c r="A318" s="23" t="str">
        <f t="shared" si="4"/>
        <v>PLC1049</v>
      </c>
      <c r="B318" s="23" t="str">
        <f>'3.5.raw'!I318</f>
        <v>PLC 1049</v>
      </c>
      <c r="C318" s="24">
        <f>datevalue(left('3.5.raw'!K318,10))</f>
        <v>43766</v>
      </c>
      <c r="D318" s="23">
        <f>'3.5.raw'!H318</f>
        <v>11</v>
      </c>
      <c r="E318" s="1">
        <v>3.5</v>
      </c>
      <c r="F318" s="23" t="b">
        <f>if(countif(Status!C:C,A318)=1,TRUE, FALSE)</f>
        <v>1</v>
      </c>
      <c r="H318" s="23">
        <f>IFERROR(__xludf.DUMMYFUNCTION("IFs(REGEXMATCH(I318, ""NOT""), 0, REGEXMATCH(I318, ""NO""), 0, REGEXMATCH(I318, ""TURBID""),1, COUNTBLANK(I318),"""", istext(I318),"""")"),0.0)</f>
        <v>0</v>
      </c>
      <c r="I318" s="23" t="str">
        <f>'3.5.raw'!R318</f>
        <v>PLC SAMPLE TOO DIRTY SO FILTERING WAS NOT POSSIBLE</v>
      </c>
    </row>
    <row r="319">
      <c r="A319" s="23" t="str">
        <f t="shared" si="4"/>
        <v>FB1092UP</v>
      </c>
      <c r="B319" s="23" t="str">
        <f>'3.5.raw'!I319</f>
        <v>FB 1092 UP</v>
      </c>
      <c r="C319" s="24">
        <f>datevalue(left('3.5.raw'!K319,10))</f>
        <v>43766</v>
      </c>
      <c r="D319" s="23">
        <f>'3.5.raw'!H319</f>
        <v>99</v>
      </c>
      <c r="E319" s="1">
        <v>3.5</v>
      </c>
      <c r="F319" s="23" t="b">
        <f>if(countif(Status!C:C,A319)=1,TRUE, FALSE)</f>
        <v>1</v>
      </c>
      <c r="H319" s="23">
        <f>IFERROR(__xludf.DUMMYFUNCTION("IFs(REGEXMATCH(I319, ""NOT""), 0, REGEXMATCH(I319, ""NO""), 0, REGEXMATCH(I319, ""TURBID""),1, COUNTBLANK(I319),"""", istext(I319),"""")"),0.0)</f>
        <v>0</v>
      </c>
      <c r="I319" s="23" t="str">
        <f>'3.5.raw'!R319</f>
        <v>WITH SAMPLE PLC 1049 AND NOT TURBID</v>
      </c>
    </row>
    <row r="320">
      <c r="A320" s="23" t="str">
        <f t="shared" si="4"/>
        <v>PLC1050</v>
      </c>
      <c r="B320" s="23" t="str">
        <f>'3.5.raw'!I320</f>
        <v>PLC 1050</v>
      </c>
      <c r="C320" s="24">
        <f>datevalue(left('3.5.raw'!K320,10))</f>
        <v>43766</v>
      </c>
      <c r="D320" s="23">
        <f>'3.5.raw'!H320</f>
        <v>11</v>
      </c>
      <c r="E320" s="1">
        <v>3.5</v>
      </c>
      <c r="F320" s="23" t="b">
        <f>if(countif(Status!C:C,A320)=1,TRUE, FALSE)</f>
        <v>1</v>
      </c>
      <c r="H320" s="23">
        <f>IFERROR(__xludf.DUMMYFUNCTION("IFs(REGEXMATCH(I320, ""NOT""), 0, REGEXMATCH(I320, ""NO""), 0, REGEXMATCH(I320, ""TURBID""),1, COUNTBLANK(I320),"""", istext(I320),"""")"),0.0)</f>
        <v>0</v>
      </c>
      <c r="I320" s="23" t="str">
        <f>'3.5.raw'!R320</f>
        <v>SAMPLE TOO DIRTY , FILTRATION WAS NOT POSSIBLE</v>
      </c>
    </row>
    <row r="321">
      <c r="A321" s="23" t="str">
        <f t="shared" si="4"/>
        <v>FB1093UP</v>
      </c>
      <c r="B321" s="23" t="str">
        <f>'3.5.raw'!I321</f>
        <v>FB 1093 UP</v>
      </c>
      <c r="C321" s="24">
        <f>datevalue(left('3.5.raw'!K321,10))</f>
        <v>43766</v>
      </c>
      <c r="D321" s="23">
        <f>'3.5.raw'!H321</f>
        <v>99</v>
      </c>
      <c r="E321" s="1">
        <v>3.5</v>
      </c>
      <c r="F321" s="23" t="b">
        <f>if(countif(Status!C:C,A321)=1,TRUE, FALSE)</f>
        <v>1</v>
      </c>
      <c r="H321" s="23">
        <f>IFERROR(__xludf.DUMMYFUNCTION("IFs(REGEXMATCH(I321, ""NOT""), 0, REGEXMATCH(I321, ""NO""), 0, REGEXMATCH(I321, ""TURBID""),1, COUNTBLANK(I321),"""", istext(I321),"""")"),0.0)</f>
        <v>0</v>
      </c>
      <c r="I321" s="23" t="str">
        <f>'3.5.raw'!R321</f>
        <v>WITH SAMPLE PLC 1050 AND NOT TURBID</v>
      </c>
    </row>
    <row r="322">
      <c r="A322" s="23" t="str">
        <f t="shared" si="4"/>
        <v>PLC1051</v>
      </c>
      <c r="B322" s="23" t="str">
        <f>'3.5.raw'!I322</f>
        <v>PLC 1051</v>
      </c>
      <c r="C322" s="24">
        <f>datevalue(left('3.5.raw'!K322,10))</f>
        <v>43766</v>
      </c>
      <c r="D322" s="23">
        <f>'3.5.raw'!H322</f>
        <v>11</v>
      </c>
      <c r="E322" s="1">
        <v>3.5</v>
      </c>
      <c r="F322" s="23" t="b">
        <f>if(countif(Status!C:C,A322)=1,TRUE, FALSE)</f>
        <v>1</v>
      </c>
      <c r="H322" s="23">
        <f>IFERROR(__xludf.DUMMYFUNCTION("IFs(REGEXMATCH(I322, ""NOT""), 0, REGEXMATCH(I322, ""NO""), 0, REGEXMATCH(I322, ""TURBID""),1, COUNTBLANK(I322),"""", istext(I322),"""")"),0.0)</f>
        <v>0</v>
      </c>
      <c r="I322" s="23" t="str">
        <f>'3.5.raw'!R322</f>
        <v>SAMPLE TOO DIRTY , FILTRATION WAS NOT POSSIBLE</v>
      </c>
    </row>
    <row r="323">
      <c r="A323" s="23" t="str">
        <f t="shared" si="4"/>
        <v>FB1094UP</v>
      </c>
      <c r="B323" s="23" t="str">
        <f>'3.5.raw'!I323</f>
        <v>FB 1094 UP</v>
      </c>
      <c r="C323" s="24">
        <f>datevalue(left('3.5.raw'!K323,10))</f>
        <v>43766</v>
      </c>
      <c r="D323" s="23">
        <f>'3.5.raw'!H323</f>
        <v>99</v>
      </c>
      <c r="E323" s="1">
        <v>3.5</v>
      </c>
      <c r="F323" s="23" t="b">
        <f>if(countif(Status!C:C,A323)=1,TRUE, FALSE)</f>
        <v>1</v>
      </c>
      <c r="H323" s="23">
        <f>IFERROR(__xludf.DUMMYFUNCTION("IFs(REGEXMATCH(I323, ""NOT""), 0, REGEXMATCH(I323, ""NO""), 0, REGEXMATCH(I323, ""TURBID""),1, COUNTBLANK(I323),"""", istext(I323),"""")"),0.0)</f>
        <v>0</v>
      </c>
      <c r="I323" s="23" t="str">
        <f>'3.5.raw'!R323</f>
        <v>WITH SAMPLE PLC 1051 AND NOT TURBID</v>
      </c>
    </row>
    <row r="324">
      <c r="A324" s="23" t="str">
        <f t="shared" si="4"/>
        <v>PLC1052</v>
      </c>
      <c r="B324" s="23" t="str">
        <f>'3.5.raw'!I324</f>
        <v>PLC 1052</v>
      </c>
      <c r="C324" s="24">
        <f>datevalue(left('3.5.raw'!K324,10))</f>
        <v>43766</v>
      </c>
      <c r="D324" s="23">
        <f>'3.5.raw'!H324</f>
        <v>11</v>
      </c>
      <c r="E324" s="1">
        <v>3.5</v>
      </c>
      <c r="F324" s="23" t="b">
        <f>if(countif(Status!C:C,A324)=1,TRUE, FALSE)</f>
        <v>1</v>
      </c>
      <c r="H324" s="23">
        <f>IFERROR(__xludf.DUMMYFUNCTION("IFs(REGEXMATCH(I324, ""NOT""), 0, REGEXMATCH(I324, ""NO""), 0, REGEXMATCH(I324, ""TURBID""),1, COUNTBLANK(I324),"""", istext(I324),"""")"),0.0)</f>
        <v>0</v>
      </c>
      <c r="I324" s="23" t="str">
        <f>'3.5.raw'!R324</f>
        <v>SAMPLE TOO DIRTY , FILTRATION WAS NOT POSSIBLE</v>
      </c>
    </row>
    <row r="325">
      <c r="A325" s="23" t="str">
        <f t="shared" si="4"/>
        <v>FB1095UP</v>
      </c>
      <c r="B325" s="23" t="str">
        <f>'3.5.raw'!I325</f>
        <v>FB 1095 UP</v>
      </c>
      <c r="C325" s="24">
        <f>datevalue(left('3.5.raw'!K325,10))</f>
        <v>43766</v>
      </c>
      <c r="D325" s="23">
        <f>'3.5.raw'!H325</f>
        <v>99</v>
      </c>
      <c r="E325" s="1">
        <v>3.5</v>
      </c>
      <c r="F325" s="23" t="b">
        <f>if(countif(Status!C:C,A325)=1,TRUE, FALSE)</f>
        <v>1</v>
      </c>
      <c r="H325" s="23">
        <f>IFERROR(__xludf.DUMMYFUNCTION("IFs(REGEXMATCH(I325, ""NOT""), 0, REGEXMATCH(I325, ""NO""), 0, REGEXMATCH(I325, ""TURBID""),1, COUNTBLANK(I325),"""", istext(I325),"""")"),0.0)</f>
        <v>0</v>
      </c>
      <c r="I325" s="23" t="str">
        <f>'3.5.raw'!R325</f>
        <v>WITH SAMPLE PLC 1052 AND NOT TURBID</v>
      </c>
    </row>
    <row r="326">
      <c r="A326" s="23" t="str">
        <f t="shared" si="4"/>
        <v>PLC1053</v>
      </c>
      <c r="B326" s="23" t="str">
        <f>'3.5.raw'!I326</f>
        <v>PLC 1053</v>
      </c>
      <c r="C326" s="24">
        <f>datevalue(left('3.5.raw'!K326,10))</f>
        <v>43766</v>
      </c>
      <c r="D326" s="23">
        <f>'3.5.raw'!H326</f>
        <v>11</v>
      </c>
      <c r="E326" s="1">
        <v>3.5</v>
      </c>
      <c r="F326" s="23" t="b">
        <f>if(countif(Status!C:C,A326)=1,TRUE, FALSE)</f>
        <v>1</v>
      </c>
      <c r="H326" s="23" t="str">
        <f>IFERROR(__xludf.DUMMYFUNCTION("IFs(REGEXMATCH(I326, ""NOT""), 0, REGEXMATCH(I326, ""NO""), 0, REGEXMATCH(I326, ""TURBID""),1, COUNTBLANK(I326),"""", istext(I326),"""")"),"")</f>
        <v/>
      </c>
      <c r="I326" s="23" t="str">
        <f>'3.5.raw'!R326</f>
        <v>18ML FILTERED</v>
      </c>
    </row>
    <row r="327">
      <c r="A327" s="23" t="str">
        <f t="shared" si="4"/>
        <v>PLC1053F</v>
      </c>
      <c r="B327" s="23" t="str">
        <f>'3.5.raw'!I327</f>
        <v>PLC 1053 F</v>
      </c>
      <c r="C327" s="24">
        <f>datevalue(left('3.5.raw'!K327,10))</f>
        <v>43766</v>
      </c>
      <c r="D327" s="23">
        <f>'3.5.raw'!H327</f>
        <v>11</v>
      </c>
      <c r="E327" s="1">
        <v>3.5</v>
      </c>
      <c r="F327" s="23" t="b">
        <f>if(countif(Status!C:C,A327)=1,TRUE, FALSE)</f>
        <v>1</v>
      </c>
      <c r="H327" s="23" t="str">
        <f>IFERROR(__xludf.DUMMYFUNCTION("IFs(REGEXMATCH(I327, ""NOT""), 0, REGEXMATCH(I327, ""NO""), 0, REGEXMATCH(I327, ""TURBID""),1, COUNTBLANK(I327),"""", istext(I327),"""")"),"")</f>
        <v/>
      </c>
      <c r="I327" s="23" t="str">
        <f>'3.5.raw'!R327</f>
        <v>18ML AVAILABLE FOR FILTRATION FROM SAMPLE</v>
      </c>
    </row>
    <row r="328">
      <c r="A328" s="23" t="str">
        <f t="shared" si="4"/>
        <v>FB1096UP</v>
      </c>
      <c r="B328" s="23" t="str">
        <f>'3.5.raw'!I328</f>
        <v>FB 1096 UP</v>
      </c>
      <c r="C328" s="24">
        <f>datevalue(left('3.5.raw'!K328,10))</f>
        <v>43766</v>
      </c>
      <c r="D328" s="23">
        <f>'3.5.raw'!H328</f>
        <v>99</v>
      </c>
      <c r="E328" s="1">
        <v>3.5</v>
      </c>
      <c r="F328" s="23" t="b">
        <f>if(countif(Status!C:C,A328)=1,TRUE, FALSE)</f>
        <v>1</v>
      </c>
      <c r="H328" s="23">
        <f>IFERROR(__xludf.DUMMYFUNCTION("IFs(REGEXMATCH(I328, ""NOT""), 0, REGEXMATCH(I328, ""NO""), 0, REGEXMATCH(I328, ""TURBID""),1, COUNTBLANK(I328),"""", istext(I328),"""")"),0.0)</f>
        <v>0</v>
      </c>
      <c r="I328" s="23" t="str">
        <f>'3.5.raw'!R328</f>
        <v>WITH SAMPLE PLC 1053 AND NOT TURBID</v>
      </c>
    </row>
    <row r="329">
      <c r="A329" s="23" t="str">
        <f t="shared" si="4"/>
        <v>UPNC38</v>
      </c>
      <c r="B329" s="23" t="str">
        <f>'3.5.raw'!I329</f>
        <v>UPNC 38</v>
      </c>
      <c r="C329" s="24">
        <f>datevalue(left('3.5.raw'!K329,10))</f>
        <v>43766</v>
      </c>
      <c r="D329" s="23">
        <f>'3.5.raw'!H329</f>
        <v>98</v>
      </c>
      <c r="E329" s="1">
        <v>3.5</v>
      </c>
      <c r="F329" s="23" t="b">
        <f>if(countif(Status!C:C,A329)=1,TRUE, FALSE)</f>
        <v>1</v>
      </c>
      <c r="H329" s="23">
        <f>IFERROR(__xludf.DUMMYFUNCTION("IFs(REGEXMATCH(I329, ""NOT""), 0, REGEXMATCH(I329, ""NO""), 0, REGEXMATCH(I329, ""TURBID""),1, COUNTBLANK(I329),"""", istext(I329),"""")"),0.0)</f>
        <v>0</v>
      </c>
      <c r="I329" s="23" t="str">
        <f>'3.5.raw'!R329</f>
        <v>NOT TURBID</v>
      </c>
    </row>
    <row r="330">
      <c r="A330" s="23" t="str">
        <f t="shared" si="4"/>
        <v>MO1108</v>
      </c>
      <c r="B330" s="23" t="str">
        <f>'3.5.raw'!I330</f>
        <v>MO1108</v>
      </c>
      <c r="C330" s="24">
        <f>datevalue(left('3.5.raw'!K330,10))</f>
        <v>43767</v>
      </c>
      <c r="D330" s="23">
        <f>'3.5.raw'!H330</f>
        <v>12</v>
      </c>
      <c r="E330" s="1">
        <v>3.5</v>
      </c>
      <c r="F330" s="23" t="b">
        <f>if(countif(Status!C:C,A330)=1,TRUE, FALSE)</f>
        <v>1</v>
      </c>
      <c r="H330" s="23" t="str">
        <f>IFERROR(__xludf.DUMMYFUNCTION("IFs(REGEXMATCH(I330, ""NOT""), 0, REGEXMATCH(I330, ""NO""), 0, REGEXMATCH(I330, ""TURBID""),1, COUNTBLANK(I330),"""", istext(I330),"""")"),"")</f>
        <v/>
      </c>
      <c r="I330" s="23" t="str">
        <f>'3.5.raw'!R330</f>
        <v>DUPLICATED</v>
      </c>
    </row>
    <row r="331">
      <c r="A331" s="23" t="str">
        <f t="shared" si="4"/>
        <v>FB1097UP</v>
      </c>
      <c r="B331" s="23" t="str">
        <f>'3.5.raw'!I331</f>
        <v>FB 1097 UP</v>
      </c>
      <c r="C331" s="24">
        <f>datevalue(left('3.5.raw'!K331,10))</f>
        <v>43767</v>
      </c>
      <c r="D331" s="23">
        <f>'3.5.raw'!H331</f>
        <v>99</v>
      </c>
      <c r="E331" s="1">
        <v>3.5</v>
      </c>
      <c r="F331" s="23" t="b">
        <f>if(countif(Status!C:C,A331)=1,TRUE, FALSE)</f>
        <v>1</v>
      </c>
      <c r="H331" s="23">
        <f>IFERROR(__xludf.DUMMYFUNCTION("IFs(REGEXMATCH(I331, ""NOT""), 0, REGEXMATCH(I331, ""NO""), 0, REGEXMATCH(I331, ""TURBID""),1, COUNTBLANK(I331),"""", istext(I331),"""")"),0.0)</f>
        <v>0</v>
      </c>
      <c r="I331" s="23" t="str">
        <f>'3.5.raw'!R331</f>
        <v>WITH SAMPLE MO 1108 AND NOT TURBID</v>
      </c>
    </row>
    <row r="332">
      <c r="A332" s="23" t="str">
        <f t="shared" si="4"/>
        <v>MO1109</v>
      </c>
      <c r="B332" s="23" t="str">
        <f>'3.5.raw'!I332</f>
        <v>MO 1109</v>
      </c>
      <c r="C332" s="24">
        <f>datevalue(left('3.5.raw'!K332,10))</f>
        <v>43767</v>
      </c>
      <c r="D332" s="23">
        <f>'3.5.raw'!H332</f>
        <v>12</v>
      </c>
      <c r="E332" s="1">
        <v>3.5</v>
      </c>
      <c r="F332" s="23" t="b">
        <f>if(countif(Status!C:C,A332)=1,TRUE, FALSE)</f>
        <v>1</v>
      </c>
      <c r="H332" s="23" t="str">
        <f>IFERROR(__xludf.DUMMYFUNCTION("IFs(REGEXMATCH(I332, ""NOT""), 0, REGEXMATCH(I332, ""NO""), 0, REGEXMATCH(I332, ""TURBID""),1, COUNTBLANK(I332),"""", istext(I332),"""")"),"")</f>
        <v/>
      </c>
      <c r="I332" s="23" t="str">
        <f>'3.5.raw'!R332</f>
        <v>FILTERED TWICE</v>
      </c>
    </row>
    <row r="333">
      <c r="A333" s="23" t="str">
        <f t="shared" si="4"/>
        <v>FB1098UP</v>
      </c>
      <c r="B333" s="23" t="str">
        <f>'3.5.raw'!I333</f>
        <v>FB 1098 UP</v>
      </c>
      <c r="C333" s="24">
        <f>datevalue(left('3.5.raw'!K333,10))</f>
        <v>43767</v>
      </c>
      <c r="D333" s="23">
        <f>'3.5.raw'!H333</f>
        <v>99</v>
      </c>
      <c r="E333" s="1">
        <v>3.5</v>
      </c>
      <c r="F333" s="23" t="b">
        <f>if(countif(Status!C:C,A333)=1,TRUE, FALSE)</f>
        <v>1</v>
      </c>
      <c r="H333" s="23">
        <f>IFERROR(__xludf.DUMMYFUNCTION("IFs(REGEXMATCH(I333, ""NOT""), 0, REGEXMATCH(I333, ""NO""), 0, REGEXMATCH(I333, ""TURBID""),1, COUNTBLANK(I333),"""", istext(I333),"""")"),0.0)</f>
        <v>0</v>
      </c>
      <c r="I333" s="23" t="str">
        <f>'3.5.raw'!R333</f>
        <v>WITH SAMPLE MO 1109 AND NOT TURBID</v>
      </c>
    </row>
    <row r="334">
      <c r="A334" s="23" t="str">
        <f t="shared" si="4"/>
        <v>UPNC39</v>
      </c>
      <c r="B334" s="23" t="str">
        <f>'3.5.raw'!I334</f>
        <v>UPNC 39</v>
      </c>
      <c r="C334" s="24">
        <f>datevalue(left('3.5.raw'!K334,10))</f>
        <v>43767</v>
      </c>
      <c r="D334" s="23">
        <f>'3.5.raw'!H334</f>
        <v>98</v>
      </c>
      <c r="E334" s="1">
        <v>3.5</v>
      </c>
      <c r="F334" s="23" t="b">
        <f>if(countif(Status!C:C,A334)=1,TRUE, FALSE)</f>
        <v>1</v>
      </c>
      <c r="H334" s="23">
        <f>IFERROR(__xludf.DUMMYFUNCTION("IFs(REGEXMATCH(I334, ""NOT""), 0, REGEXMATCH(I334, ""NO""), 0, REGEXMATCH(I334, ""TURBID""),1, COUNTBLANK(I334),"""", istext(I334),"""")"),0.0)</f>
        <v>0</v>
      </c>
      <c r="I334" s="23" t="str">
        <f>'3.5.raw'!R334</f>
        <v>NOT TURBID</v>
      </c>
    </row>
    <row r="335">
      <c r="A335" s="23" t="str">
        <f t="shared" si="4"/>
        <v>PLc1054</v>
      </c>
      <c r="B335" s="23" t="str">
        <f>'3.5.raw'!I335</f>
        <v>PLc1054</v>
      </c>
      <c r="C335" s="24">
        <f>datevalue(left('3.5.raw'!K335,10))</f>
        <v>43769</v>
      </c>
      <c r="D335" s="23">
        <f>'3.5.raw'!H335</f>
        <v>11</v>
      </c>
      <c r="E335" s="1">
        <v>3.5</v>
      </c>
      <c r="F335" s="23" t="b">
        <f>if(countif(Status!C:C,A335)=1,TRUE, FALSE)</f>
        <v>1</v>
      </c>
      <c r="H335" s="23" t="str">
        <f>IFERROR(__xludf.DUMMYFUNCTION("IFs(REGEXMATCH(I335, ""NOT""), 0, REGEXMATCH(I335, ""NO""), 0, REGEXMATCH(I335, ""TURBID""),1, COUNTBLANK(I335),"""", istext(I335),"""")"),"")</f>
        <v/>
      </c>
      <c r="I335" s="23" t="str">
        <f>'3.5.raw'!R335</f>
        <v/>
      </c>
    </row>
    <row r="336">
      <c r="A336" s="23" t="str">
        <f t="shared" si="4"/>
        <v>FB1099UP</v>
      </c>
      <c r="B336" s="23" t="str">
        <f>'3.5.raw'!I336</f>
        <v>FB1099 UP</v>
      </c>
      <c r="C336" s="24">
        <f>datevalue(left('3.5.raw'!K336,10))</f>
        <v>43769</v>
      </c>
      <c r="D336" s="23">
        <f>'3.5.raw'!H336</f>
        <v>99</v>
      </c>
      <c r="E336" s="1">
        <v>3.5</v>
      </c>
      <c r="F336" s="23" t="b">
        <f>if(countif(Status!C:C,A336)=1,TRUE, FALSE)</f>
        <v>1</v>
      </c>
      <c r="H336" s="23">
        <f>IFERROR(__xludf.DUMMYFUNCTION("IFs(REGEXMATCH(I336, ""NOT""), 0, REGEXMATCH(I336, ""NO""), 0, REGEXMATCH(I336, ""TURBID""),1, COUNTBLANK(I336),"""", istext(I336),"""")"),1.0)</f>
        <v>1</v>
      </c>
      <c r="I336" s="23" t="str">
        <f>'3.5.raw'!R336</f>
        <v>Associated Sample PLc1054 and TURBID</v>
      </c>
    </row>
    <row r="337">
      <c r="A337" s="23" t="str">
        <f t="shared" si="4"/>
        <v>PLc1055</v>
      </c>
      <c r="B337" s="23" t="str">
        <f>'3.5.raw'!I337</f>
        <v>PLc1055</v>
      </c>
      <c r="C337" s="24">
        <f>datevalue(left('3.5.raw'!K337,10))</f>
        <v>43769</v>
      </c>
      <c r="D337" s="23">
        <f>'3.5.raw'!H337</f>
        <v>11</v>
      </c>
      <c r="E337" s="1">
        <v>3.5</v>
      </c>
      <c r="F337" s="23" t="b">
        <f>if(countif(Status!C:C,A337)=1,TRUE, FALSE)</f>
        <v>1</v>
      </c>
      <c r="H337" s="23" t="str">
        <f>IFERROR(__xludf.DUMMYFUNCTION("IFs(REGEXMATCH(I337, ""NOT""), 0, REGEXMATCH(I337, ""NO""), 0, REGEXMATCH(I337, ""TURBID""),1, COUNTBLANK(I337),"""", istext(I337),"""")"),"")</f>
        <v/>
      </c>
      <c r="I337" s="23" t="str">
        <f>'3.5.raw'!R337</f>
        <v/>
      </c>
    </row>
    <row r="338">
      <c r="A338" s="23" t="str">
        <f t="shared" si="4"/>
        <v>FB1100UP</v>
      </c>
      <c r="B338" s="23" t="str">
        <f>'3.5.raw'!I338</f>
        <v>FB1100 UP</v>
      </c>
      <c r="C338" s="24">
        <f>datevalue(left('3.5.raw'!K338,10))</f>
        <v>43769</v>
      </c>
      <c r="D338" s="23">
        <f>'3.5.raw'!H338</f>
        <v>99</v>
      </c>
      <c r="E338" s="1">
        <v>3.5</v>
      </c>
      <c r="F338" s="23" t="b">
        <f>if(countif(Status!C:C,A338)=1,TRUE, FALSE)</f>
        <v>1</v>
      </c>
      <c r="H338" s="23">
        <f>IFERROR(__xludf.DUMMYFUNCTION("IFs(REGEXMATCH(I338, ""NOT""), 0, REGEXMATCH(I338, ""NO""), 0, REGEXMATCH(I338, ""TURBID""),1, COUNTBLANK(I338),"""", istext(I338),"""")"),1.0)</f>
        <v>1</v>
      </c>
      <c r="I338" s="23" t="str">
        <f>'3.5.raw'!R338</f>
        <v>Associated Sample PLc1055 and TURBID</v>
      </c>
    </row>
    <row r="339">
      <c r="A339" s="23" t="str">
        <f t="shared" si="4"/>
        <v>PLc1056</v>
      </c>
      <c r="B339" s="23" t="str">
        <f>'3.5.raw'!I339</f>
        <v>PLc1056</v>
      </c>
      <c r="C339" s="24">
        <f>datevalue(left('3.5.raw'!K339,10))</f>
        <v>43769</v>
      </c>
      <c r="D339" s="23">
        <f>'3.5.raw'!H339</f>
        <v>11</v>
      </c>
      <c r="E339" s="1">
        <v>3.5</v>
      </c>
      <c r="F339" s="23" t="b">
        <f>if(countif(Status!C:C,A339)=1,TRUE, FALSE)</f>
        <v>1</v>
      </c>
      <c r="H339" s="23" t="str">
        <f>IFERROR(__xludf.DUMMYFUNCTION("IFs(REGEXMATCH(I339, ""NOT""), 0, REGEXMATCH(I339, ""NO""), 0, REGEXMATCH(I339, ""TURBID""),1, COUNTBLANK(I339),"""", istext(I339),"""")"),"")</f>
        <v/>
      </c>
      <c r="I339" s="23" t="str">
        <f>'3.5.raw'!R339</f>
        <v/>
      </c>
    </row>
    <row r="340">
      <c r="A340" s="23" t="str">
        <f t="shared" si="4"/>
        <v>FB1101UP</v>
      </c>
      <c r="B340" s="23" t="str">
        <f>'3.5.raw'!I340</f>
        <v>FB1101 UP</v>
      </c>
      <c r="C340" s="24">
        <f>datevalue(left('3.5.raw'!K340,10))</f>
        <v>43769</v>
      </c>
      <c r="D340" s="23">
        <f>'3.5.raw'!H340</f>
        <v>99</v>
      </c>
      <c r="E340" s="1">
        <v>3.5</v>
      </c>
      <c r="F340" s="23" t="b">
        <f>if(countif(Status!C:C,A340)=1,TRUE, FALSE)</f>
        <v>1</v>
      </c>
      <c r="H340" s="23">
        <f>IFERROR(__xludf.DUMMYFUNCTION("IFs(REGEXMATCH(I340, ""NOT""), 0, REGEXMATCH(I340, ""NO""), 0, REGEXMATCH(I340, ""TURBID""),1, COUNTBLANK(I340),"""", istext(I340),"""")"),1.0)</f>
        <v>1</v>
      </c>
      <c r="I340" s="23" t="str">
        <f>'3.5.raw'!R340</f>
        <v>Associated Sample PLc1056 and TURBID</v>
      </c>
    </row>
    <row r="341">
      <c r="A341" s="23" t="str">
        <f t="shared" si="4"/>
        <v>PLc1057</v>
      </c>
      <c r="B341" s="23" t="str">
        <f>'3.5.raw'!I341</f>
        <v>PLc1057</v>
      </c>
      <c r="C341" s="24">
        <f>datevalue(left('3.5.raw'!K341,10))</f>
        <v>43769</v>
      </c>
      <c r="D341" s="23">
        <f>'3.5.raw'!H341</f>
        <v>11</v>
      </c>
      <c r="E341" s="1">
        <v>3.5</v>
      </c>
      <c r="F341" s="23" t="b">
        <f>if(countif(Status!C:C,A341)=1,TRUE, FALSE)</f>
        <v>1</v>
      </c>
      <c r="H341" s="23" t="str">
        <f>IFERROR(__xludf.DUMMYFUNCTION("IFs(REGEXMATCH(I341, ""NOT""), 0, REGEXMATCH(I341, ""NO""), 0, REGEXMATCH(I341, ""TURBID""),1, COUNTBLANK(I341),"""", istext(I341),"""")"),"")</f>
        <v/>
      </c>
      <c r="I341" s="23" t="str">
        <f>'3.5.raw'!R341</f>
        <v/>
      </c>
    </row>
    <row r="342">
      <c r="A342" s="23" t="str">
        <f t="shared" si="4"/>
        <v>FB1102UP</v>
      </c>
      <c r="B342" s="23" t="str">
        <f>'3.5.raw'!I342</f>
        <v>FB1102 UP</v>
      </c>
      <c r="C342" s="24">
        <f>datevalue(left('3.5.raw'!K342,10))</f>
        <v>43769</v>
      </c>
      <c r="D342" s="23">
        <f>'3.5.raw'!H342</f>
        <v>99</v>
      </c>
      <c r="E342" s="1">
        <v>3.5</v>
      </c>
      <c r="F342" s="23" t="b">
        <f>if(countif(Status!C:C,A342)=1,TRUE, FALSE)</f>
        <v>1</v>
      </c>
      <c r="H342" s="23">
        <f>IFERROR(__xludf.DUMMYFUNCTION("IFs(REGEXMATCH(I342, ""NOT""), 0, REGEXMATCH(I342, ""NO""), 0, REGEXMATCH(I342, ""TURBID""),1, COUNTBLANK(I342),"""", istext(I342),"""")"),0.0)</f>
        <v>0</v>
      </c>
      <c r="I342" s="23" t="str">
        <f>'3.5.raw'!R342</f>
        <v>Associated Sample PLc1057 and NOT TURBID</v>
      </c>
    </row>
    <row r="343">
      <c r="A343" s="23" t="str">
        <f t="shared" si="4"/>
        <v>PLc1058</v>
      </c>
      <c r="B343" s="23" t="str">
        <f>'3.5.raw'!I343</f>
        <v>PLc1058</v>
      </c>
      <c r="C343" s="24">
        <f>datevalue(left('3.5.raw'!K343,10))</f>
        <v>43769</v>
      </c>
      <c r="D343" s="23">
        <f>'3.5.raw'!H343</f>
        <v>11</v>
      </c>
      <c r="E343" s="1">
        <v>3.5</v>
      </c>
      <c r="F343" s="23" t="b">
        <f>if(countif(Status!C:C,A343)=1,TRUE, FALSE)</f>
        <v>1</v>
      </c>
      <c r="H343" s="23" t="str">
        <f>IFERROR(__xludf.DUMMYFUNCTION("IFs(REGEXMATCH(I343, ""NOT""), 0, REGEXMATCH(I343, ""NO""), 0, REGEXMATCH(I343, ""TURBID""),1, COUNTBLANK(I343),"""", istext(I343),"""")"),"")</f>
        <v/>
      </c>
      <c r="I343" s="23" t="str">
        <f>'3.5.raw'!R343</f>
        <v/>
      </c>
    </row>
    <row r="344">
      <c r="A344" s="23" t="str">
        <f t="shared" si="4"/>
        <v>FB1103UP</v>
      </c>
      <c r="B344" s="23" t="str">
        <f>'3.5.raw'!I344</f>
        <v>FB1103 UP</v>
      </c>
      <c r="C344" s="24">
        <f>datevalue(left('3.5.raw'!K344,10))</f>
        <v>43769</v>
      </c>
      <c r="D344" s="23">
        <f>'3.5.raw'!H344</f>
        <v>99</v>
      </c>
      <c r="E344" s="1">
        <v>3.5</v>
      </c>
      <c r="F344" s="23" t="b">
        <f>if(countif(Status!C:C,A344)=1,TRUE, FALSE)</f>
        <v>1</v>
      </c>
      <c r="H344" s="23">
        <f>IFERROR(__xludf.DUMMYFUNCTION("IFs(REGEXMATCH(I344, ""NOT""), 0, REGEXMATCH(I344, ""NO""), 0, REGEXMATCH(I344, ""TURBID""),1, COUNTBLANK(I344),"""", istext(I344),"""")"),1.0)</f>
        <v>1</v>
      </c>
      <c r="I344" s="23" t="str">
        <f>'3.5.raw'!R344</f>
        <v>Associated Sample PLc1058 and TURBID</v>
      </c>
    </row>
    <row r="345">
      <c r="A345" s="23" t="str">
        <f t="shared" si="4"/>
        <v>MO1110</v>
      </c>
      <c r="B345" s="23" t="str">
        <f>'3.5.raw'!I345</f>
        <v>MO1110</v>
      </c>
      <c r="C345" s="24">
        <f>datevalue(left('3.5.raw'!K345,10))</f>
        <v>43769</v>
      </c>
      <c r="D345" s="23">
        <f>'3.5.raw'!H345</f>
        <v>12</v>
      </c>
      <c r="E345" s="1">
        <v>3.5</v>
      </c>
      <c r="F345" s="23" t="b">
        <f>if(countif(Status!C:C,A345)=1,TRUE, FALSE)</f>
        <v>1</v>
      </c>
      <c r="H345" s="23" t="str">
        <f>IFERROR(__xludf.DUMMYFUNCTION("IFs(REGEXMATCH(I345, ""NOT""), 0, REGEXMATCH(I345, ""NO""), 0, REGEXMATCH(I345, ""TURBID""),1, COUNTBLANK(I345),"""", istext(I345),"""")"),"")</f>
        <v/>
      </c>
      <c r="I345" s="23" t="str">
        <f>'3.5.raw'!R345</f>
        <v/>
      </c>
    </row>
    <row r="346">
      <c r="A346" s="23" t="str">
        <f t="shared" si="4"/>
        <v>FB1105UP</v>
      </c>
      <c r="B346" s="23" t="str">
        <f>'3.5.raw'!I346</f>
        <v>FB1105 UP</v>
      </c>
      <c r="C346" s="24">
        <f>datevalue(left('3.5.raw'!K346,10))</f>
        <v>43769</v>
      </c>
      <c r="D346" s="23">
        <f>'3.5.raw'!H346</f>
        <v>99</v>
      </c>
      <c r="E346" s="1">
        <v>3.5</v>
      </c>
      <c r="F346" s="23" t="b">
        <f>if(countif(Status!C:C,A346)=1,TRUE, FALSE)</f>
        <v>1</v>
      </c>
      <c r="H346" s="23">
        <f>IFERROR(__xludf.DUMMYFUNCTION("IFs(REGEXMATCH(I346, ""NOT""), 0, REGEXMATCH(I346, ""NO""), 0, REGEXMATCH(I346, ""TURBID""),1, COUNTBLANK(I346),"""", istext(I346),"""")"),1.0)</f>
        <v>1</v>
      </c>
      <c r="I346" s="23" t="str">
        <f>'3.5.raw'!R346</f>
        <v>Associated Sample MO1110 and TURBID</v>
      </c>
    </row>
    <row r="347">
      <c r="A347" s="23" t="str">
        <f t="shared" si="4"/>
        <v>MO1111</v>
      </c>
      <c r="B347" s="23" t="str">
        <f>'3.5.raw'!I347</f>
        <v>MO1111</v>
      </c>
      <c r="C347" s="24">
        <f>datevalue(left('3.5.raw'!K347,10))</f>
        <v>43769</v>
      </c>
      <c r="D347" s="23">
        <f>'3.5.raw'!H347</f>
        <v>12</v>
      </c>
      <c r="E347" s="1">
        <v>3.5</v>
      </c>
      <c r="F347" s="23" t="b">
        <f>if(countif(Status!C:C,A347)=1,TRUE, FALSE)</f>
        <v>1</v>
      </c>
      <c r="H347" s="23" t="str">
        <f>IFERROR(__xludf.DUMMYFUNCTION("IFs(REGEXMATCH(I347, ""NOT""), 0, REGEXMATCH(I347, ""NO""), 0, REGEXMATCH(I347, ""TURBID""),1, COUNTBLANK(I347),"""", istext(I347),"""")"),"")</f>
        <v/>
      </c>
      <c r="I347" s="23" t="str">
        <f>'3.5.raw'!R347</f>
        <v/>
      </c>
    </row>
    <row r="348">
      <c r="A348" s="23" t="str">
        <f t="shared" si="4"/>
        <v>FB1104UP</v>
      </c>
      <c r="B348" s="23" t="str">
        <f>'3.5.raw'!I348</f>
        <v>FB1104 UP</v>
      </c>
      <c r="C348" s="24">
        <f>datevalue(left('3.5.raw'!K348,10))</f>
        <v>43769</v>
      </c>
      <c r="D348" s="23">
        <f>'3.5.raw'!H348</f>
        <v>99</v>
      </c>
      <c r="E348" s="1">
        <v>3.5</v>
      </c>
      <c r="F348" s="23" t="b">
        <f>if(countif(Status!C:C,A348)=1,TRUE, FALSE)</f>
        <v>1</v>
      </c>
      <c r="H348" s="23">
        <f>IFERROR(__xludf.DUMMYFUNCTION("IFs(REGEXMATCH(I348, ""NOT""), 0, REGEXMATCH(I348, ""NO""), 0, REGEXMATCH(I348, ""TURBID""),1, COUNTBLANK(I348),"""", istext(I348),"""")"),0.0)</f>
        <v>0</v>
      </c>
      <c r="I348" s="23" t="str">
        <f>'3.5.raw'!R348</f>
        <v>Associated Sample MO1111 and NOT TURBID</v>
      </c>
    </row>
    <row r="349">
      <c r="A349" s="23" t="str">
        <f t="shared" si="4"/>
        <v>UPNC40</v>
      </c>
      <c r="B349" s="23" t="str">
        <f>'3.5.raw'!I349</f>
        <v>UPNC40</v>
      </c>
      <c r="C349" s="24">
        <f>datevalue(left('3.5.raw'!K349,10))</f>
        <v>43769</v>
      </c>
      <c r="D349" s="23">
        <f>'3.5.raw'!H349</f>
        <v>98</v>
      </c>
      <c r="E349" s="1">
        <v>3.5</v>
      </c>
      <c r="F349" s="23" t="b">
        <f>if(countif(Status!C:C,A349)=1,TRUE, FALSE)</f>
        <v>1</v>
      </c>
      <c r="H349" s="23">
        <f>IFERROR(__xludf.DUMMYFUNCTION("IFs(REGEXMATCH(I349, ""NOT""), 0, REGEXMATCH(I349, ""NO""), 0, REGEXMATCH(I349, ""TURBID""),1, COUNTBLANK(I349),"""", istext(I349),"""")"),0.0)</f>
        <v>0</v>
      </c>
      <c r="I349" s="23" t="str">
        <f>'3.5.raw'!R349</f>
        <v>NOT TURBID</v>
      </c>
    </row>
    <row r="350">
      <c r="A350" s="23" t="str">
        <f t="shared" si="4"/>
        <v>FB1108UP</v>
      </c>
      <c r="B350" s="23" t="str">
        <f>'3.5.raw'!I350</f>
        <v>FB1108 UP</v>
      </c>
      <c r="C350" s="24">
        <f>datevalue(left('3.5.raw'!K350,10))</f>
        <v>43770</v>
      </c>
      <c r="D350" s="23">
        <f>'3.5.raw'!H350</f>
        <v>99</v>
      </c>
      <c r="E350" s="1">
        <v>3.5</v>
      </c>
      <c r="F350" s="23" t="b">
        <f>if(countif(Status!C:C,A350)=1,TRUE, FALSE)</f>
        <v>1</v>
      </c>
      <c r="H350" s="23">
        <f>IFERROR(__xludf.DUMMYFUNCTION("IFs(REGEXMATCH(I350, ""NOT""), 0, REGEXMATCH(I350, ""NO""), 0, REGEXMATCH(I350, ""TURBID""),1, COUNTBLANK(I350),"""", istext(I350),"""")"),0.0)</f>
        <v>0</v>
      </c>
      <c r="I350" s="23" t="str">
        <f>'3.5.raw'!R350</f>
        <v>Associated Sample COa1005, COb1014, COb1015, COb1016and NOT TURBID</v>
      </c>
    </row>
    <row r="351">
      <c r="A351" s="23" t="str">
        <f t="shared" si="4"/>
        <v>PLc1059</v>
      </c>
      <c r="B351" s="23" t="str">
        <f>'3.5.raw'!I351</f>
        <v>PLc1059</v>
      </c>
      <c r="C351" s="24">
        <f>datevalue(left('3.5.raw'!K351,10))</f>
        <v>43770</v>
      </c>
      <c r="D351" s="23">
        <f>'3.5.raw'!H351</f>
        <v>11</v>
      </c>
      <c r="E351" s="1">
        <v>3.5</v>
      </c>
      <c r="F351" s="23" t="b">
        <f>if(countif(Status!C:C,A351)=1,TRUE, FALSE)</f>
        <v>1</v>
      </c>
      <c r="H351" s="23" t="str">
        <f>IFERROR(__xludf.DUMMYFUNCTION("IFs(REGEXMATCH(I351, ""NOT""), 0, REGEXMATCH(I351, ""NO""), 0, REGEXMATCH(I351, ""TURBID""),1, COUNTBLANK(I351),"""", istext(I351),"""")"),"")</f>
        <v/>
      </c>
      <c r="I351" s="23" t="str">
        <f>'3.5.raw'!R351</f>
        <v/>
      </c>
    </row>
    <row r="352">
      <c r="A352" s="23" t="str">
        <f t="shared" si="4"/>
        <v>FB1106UP</v>
      </c>
      <c r="B352" s="23" t="str">
        <f>'3.5.raw'!I352</f>
        <v>FB1106 UP</v>
      </c>
      <c r="C352" s="24">
        <f>datevalue(left('3.5.raw'!K352,10))</f>
        <v>43770</v>
      </c>
      <c r="D352" s="23">
        <f>'3.5.raw'!H352</f>
        <v>99</v>
      </c>
      <c r="E352" s="1">
        <v>3.5</v>
      </c>
      <c r="F352" s="23" t="b">
        <f>if(countif(Status!C:C,A352)=1,TRUE, FALSE)</f>
        <v>1</v>
      </c>
      <c r="H352" s="23">
        <f>IFERROR(__xludf.DUMMYFUNCTION("IFs(REGEXMATCH(I352, ""NOT""), 0, REGEXMATCH(I352, ""NO""), 0, REGEXMATCH(I352, ""TURBID""),1, COUNTBLANK(I352),"""", istext(I352),"""")"),0.0)</f>
        <v>0</v>
      </c>
      <c r="I352" s="23" t="str">
        <f>'3.5.raw'!R352</f>
        <v>Associated Sample PLc1059 and NOT TURBID</v>
      </c>
    </row>
    <row r="353">
      <c r="A353" s="23" t="str">
        <f t="shared" si="4"/>
        <v>PLc1060</v>
      </c>
      <c r="B353" s="23" t="str">
        <f>'3.5.raw'!I353</f>
        <v>PLc1060</v>
      </c>
      <c r="C353" s="24">
        <f>datevalue(left('3.5.raw'!K353,10))</f>
        <v>43770</v>
      </c>
      <c r="D353" s="23">
        <f>'3.5.raw'!H353</f>
        <v>11</v>
      </c>
      <c r="E353" s="1">
        <v>3.5</v>
      </c>
      <c r="F353" s="23" t="b">
        <f>if(countif(Status!C:C,A353)=1,TRUE, FALSE)</f>
        <v>1</v>
      </c>
      <c r="H353" s="23" t="str">
        <f>IFERROR(__xludf.DUMMYFUNCTION("IFs(REGEXMATCH(I353, ""NOT""), 0, REGEXMATCH(I353, ""NO""), 0, REGEXMATCH(I353, ""TURBID""),1, COUNTBLANK(I353),"""", istext(I353),"""")"),"")</f>
        <v/>
      </c>
      <c r="I353" s="23" t="str">
        <f>'3.5.raw'!R353</f>
        <v/>
      </c>
    </row>
    <row r="354">
      <c r="A354" s="23" t="str">
        <f t="shared" si="4"/>
        <v>FB1107UP</v>
      </c>
      <c r="B354" s="23" t="str">
        <f>'3.5.raw'!I354</f>
        <v>FB1107 UP</v>
      </c>
      <c r="C354" s="24">
        <f>datevalue(left('3.5.raw'!K354,10))</f>
        <v>43770</v>
      </c>
      <c r="D354" s="23">
        <f>'3.5.raw'!H354</f>
        <v>99</v>
      </c>
      <c r="E354" s="1">
        <v>3.5</v>
      </c>
      <c r="F354" s="23" t="b">
        <f>if(countif(Status!C:C,A354)=1,TRUE, FALSE)</f>
        <v>1</v>
      </c>
      <c r="H354" s="23">
        <f>IFERROR(__xludf.DUMMYFUNCTION("IFs(REGEXMATCH(I354, ""NOT""), 0, REGEXMATCH(I354, ""NO""), 0, REGEXMATCH(I354, ""TURBID""),1, COUNTBLANK(I354),"""", istext(I354),"""")"),0.0)</f>
        <v>0</v>
      </c>
      <c r="I354" s="23" t="str">
        <f>'3.5.raw'!R354</f>
        <v>Associated Sample PLc1060 and NOT TURBID</v>
      </c>
    </row>
    <row r="355">
      <c r="A355" s="23" t="str">
        <f t="shared" si="4"/>
        <v>UPNC41</v>
      </c>
      <c r="B355" s="23" t="str">
        <f>'3.5.raw'!I355</f>
        <v>UPNC41</v>
      </c>
      <c r="C355" s="24">
        <f>datevalue(left('3.5.raw'!K355,10))</f>
        <v>43770</v>
      </c>
      <c r="D355" s="23">
        <f>'3.5.raw'!H355</f>
        <v>98</v>
      </c>
      <c r="E355" s="1">
        <v>3.5</v>
      </c>
      <c r="F355" s="23" t="b">
        <f>if(countif(Status!C:C,A355)=1,TRUE, FALSE)</f>
        <v>1</v>
      </c>
      <c r="H355" s="23">
        <f>IFERROR(__xludf.DUMMYFUNCTION("IFs(REGEXMATCH(I355, ""NOT""), 0, REGEXMATCH(I355, ""NO""), 0, REGEXMATCH(I355, ""TURBID""),1, COUNTBLANK(I355),"""", istext(I355),"""")"),0.0)</f>
        <v>0</v>
      </c>
      <c r="I355" s="23" t="str">
        <f>'3.5.raw'!R355</f>
        <v>NOT TURBID</v>
      </c>
    </row>
    <row r="356">
      <c r="A356" s="23" t="str">
        <f t="shared" si="4"/>
        <v>PLc1061</v>
      </c>
      <c r="B356" s="23" t="str">
        <f>'3.5.raw'!I356</f>
        <v>PLc1061</v>
      </c>
      <c r="C356" s="24">
        <f>datevalue(left('3.5.raw'!K356,10))</f>
        <v>43773</v>
      </c>
      <c r="D356" s="23">
        <f>'3.5.raw'!H356</f>
        <v>11</v>
      </c>
      <c r="E356" s="1">
        <v>3.5</v>
      </c>
      <c r="F356" s="23" t="b">
        <f>if(countif(Status!C:C,A356)=1,TRUE, FALSE)</f>
        <v>1</v>
      </c>
      <c r="H356" s="23" t="str">
        <f>IFERROR(__xludf.DUMMYFUNCTION("IFs(REGEXMATCH(I356, ""NOT""), 0, REGEXMATCH(I356, ""NO""), 0, REGEXMATCH(I356, ""TURBID""),1, COUNTBLANK(I356),"""", istext(I356),"""")"),"")</f>
        <v/>
      </c>
      <c r="I356" s="23" t="str">
        <f>'3.5.raw'!R356</f>
        <v/>
      </c>
    </row>
    <row r="357">
      <c r="A357" s="23" t="str">
        <f t="shared" si="4"/>
        <v>FB1109UP</v>
      </c>
      <c r="B357" s="23" t="str">
        <f>'3.5.raw'!I357</f>
        <v>FB1109UP</v>
      </c>
      <c r="C357" s="24">
        <f>datevalue(left('3.5.raw'!K357,10))</f>
        <v>43773</v>
      </c>
      <c r="D357" s="23">
        <f>'3.5.raw'!H357</f>
        <v>99</v>
      </c>
      <c r="E357" s="1">
        <v>3.5</v>
      </c>
      <c r="F357" s="23" t="b">
        <f>if(countif(Status!C:C,A357)=1,TRUE, FALSE)</f>
        <v>1</v>
      </c>
      <c r="H357" s="23">
        <f>IFERROR(__xludf.DUMMYFUNCTION("IFs(REGEXMATCH(I357, ""NOT""), 0, REGEXMATCH(I357, ""NO""), 0, REGEXMATCH(I357, ""TURBID""),1, COUNTBLANK(I357),"""", istext(I357),"""")"),0.0)</f>
        <v>0</v>
      </c>
      <c r="I357" s="23" t="str">
        <f>'3.5.raw'!R357</f>
        <v>Associated Sample PLc1061 and NOT TURBID</v>
      </c>
    </row>
    <row r="358">
      <c r="A358" s="23" t="str">
        <f t="shared" si="4"/>
        <v>PLc1062</v>
      </c>
      <c r="B358" s="23" t="str">
        <f>'3.5.raw'!I358</f>
        <v>PLc1062</v>
      </c>
      <c r="C358" s="24">
        <f>datevalue(left('3.5.raw'!K358,10))</f>
        <v>43773</v>
      </c>
      <c r="D358" s="23">
        <f>'3.5.raw'!H358</f>
        <v>11</v>
      </c>
      <c r="E358" s="1">
        <v>3.5</v>
      </c>
      <c r="F358" s="23" t="b">
        <f>if(countif(Status!C:C,A358)=1,TRUE, FALSE)</f>
        <v>1</v>
      </c>
      <c r="H358" s="23" t="str">
        <f>IFERROR(__xludf.DUMMYFUNCTION("IFs(REGEXMATCH(I358, ""NOT""), 0, REGEXMATCH(I358, ""NO""), 0, REGEXMATCH(I358, ""TURBID""),1, COUNTBLANK(I358),"""", istext(I358),"""")"),"")</f>
        <v/>
      </c>
      <c r="I358" s="23" t="str">
        <f>'3.5.raw'!R358</f>
        <v/>
      </c>
    </row>
    <row r="359">
      <c r="A359" s="23" t="str">
        <f t="shared" si="4"/>
        <v>FB1110UP</v>
      </c>
      <c r="B359" s="23" t="str">
        <f>'3.5.raw'!I359</f>
        <v>FB1110UP</v>
      </c>
      <c r="C359" s="24">
        <f>datevalue(left('3.5.raw'!K359,10))</f>
        <v>43773</v>
      </c>
      <c r="D359" s="23">
        <f>'3.5.raw'!H359</f>
        <v>99</v>
      </c>
      <c r="E359" s="1">
        <v>3.5</v>
      </c>
      <c r="F359" s="23" t="b">
        <f>if(countif(Status!C:C,A359)=1,TRUE, FALSE)</f>
        <v>1</v>
      </c>
      <c r="H359" s="23">
        <f>IFERROR(__xludf.DUMMYFUNCTION("IFs(REGEXMATCH(I359, ""NOT""), 0, REGEXMATCH(I359, ""NO""), 0, REGEXMATCH(I359, ""TURBID""),1, COUNTBLANK(I359),"""", istext(I359),"""")"),0.0)</f>
        <v>0</v>
      </c>
      <c r="I359" s="23" t="str">
        <f>'3.5.raw'!R359</f>
        <v>Associated Sample PLc1062 and NOT TURBID</v>
      </c>
    </row>
    <row r="360">
      <c r="A360" s="23" t="str">
        <f t="shared" si="4"/>
        <v>PLc1063</v>
      </c>
      <c r="B360" s="23" t="str">
        <f>'3.5.raw'!I360</f>
        <v>PLc1063</v>
      </c>
      <c r="C360" s="24">
        <f>datevalue(left('3.5.raw'!K360,10))</f>
        <v>43773</v>
      </c>
      <c r="D360" s="23">
        <f>'3.5.raw'!H360</f>
        <v>11</v>
      </c>
      <c r="E360" s="1">
        <v>3.5</v>
      </c>
      <c r="F360" s="23" t="b">
        <f>if(countif(Status!C:C,A360)=1,TRUE, FALSE)</f>
        <v>1</v>
      </c>
      <c r="H360" s="23" t="str">
        <f>IFERROR(__xludf.DUMMYFUNCTION("IFs(REGEXMATCH(I360, ""NOT""), 0, REGEXMATCH(I360, ""NO""), 0, REGEXMATCH(I360, ""TURBID""),1, COUNTBLANK(I360),"""", istext(I360),"""")"),"")</f>
        <v/>
      </c>
      <c r="I360" s="23" t="str">
        <f>'3.5.raw'!R360</f>
        <v/>
      </c>
    </row>
    <row r="361">
      <c r="A361" s="49" t="s">
        <v>272</v>
      </c>
      <c r="B361" s="23" t="str">
        <f>'3.5.raw'!I361</f>
        <v>FB111UP</v>
      </c>
      <c r="C361" s="24">
        <f>datevalue(left('3.5.raw'!K361,10))</f>
        <v>43773</v>
      </c>
      <c r="D361" s="23">
        <f>'3.5.raw'!H361</f>
        <v>99</v>
      </c>
      <c r="E361" s="1">
        <v>3.5</v>
      </c>
      <c r="F361" s="23" t="b">
        <f>if(countif(Status!C:C,A361)=1,TRUE, FALSE)</f>
        <v>1</v>
      </c>
      <c r="H361" s="23">
        <f>IFERROR(__xludf.DUMMYFUNCTION("IFs(REGEXMATCH(I361, ""NOT""), 0, REGEXMATCH(I361, ""NO""), 0, REGEXMATCH(I361, ""TURBID""),1, COUNTBLANK(I361),"""", istext(I361),"""")"),0.0)</f>
        <v>0</v>
      </c>
      <c r="I361" s="23" t="str">
        <f>'3.5.raw'!R361</f>
        <v>Associated Sample PLc1063 and NOT TURBID</v>
      </c>
    </row>
    <row r="362">
      <c r="A362" s="23" t="str">
        <f t="shared" ref="A362:A384" si="5">SUBSTITUTE(B362, " ", "")</f>
        <v>PLc1064</v>
      </c>
      <c r="B362" s="23" t="str">
        <f>'3.5.raw'!I362</f>
        <v>PLc1064</v>
      </c>
      <c r="C362" s="24">
        <f>datevalue(left('3.5.raw'!K362,10))</f>
        <v>43773</v>
      </c>
      <c r="D362" s="23">
        <f>'3.5.raw'!H362</f>
        <v>11</v>
      </c>
      <c r="E362" s="1">
        <v>3.5</v>
      </c>
      <c r="F362" s="23" t="b">
        <f>if(countif(Status!C:C,A362)=1,TRUE, FALSE)</f>
        <v>1</v>
      </c>
      <c r="H362" s="23" t="str">
        <f>IFERROR(__xludf.DUMMYFUNCTION("IFs(REGEXMATCH(I362, ""NOT""), 0, REGEXMATCH(I362, ""NO""), 0, REGEXMATCH(I362, ""TURBID""),1, COUNTBLANK(I362),"""", istext(I362),"""")"),"")</f>
        <v/>
      </c>
      <c r="I362" s="23" t="str">
        <f>'3.5.raw'!R362</f>
        <v/>
      </c>
    </row>
    <row r="363">
      <c r="A363" s="23" t="str">
        <f t="shared" si="5"/>
        <v>FB1112UP</v>
      </c>
      <c r="B363" s="23" t="str">
        <f>'3.5.raw'!I363</f>
        <v>FB1112UP</v>
      </c>
      <c r="C363" s="24">
        <f>datevalue(left('3.5.raw'!K363,10))</f>
        <v>43773</v>
      </c>
      <c r="D363" s="23">
        <f>'3.5.raw'!H363</f>
        <v>99</v>
      </c>
      <c r="E363" s="1">
        <v>3.5</v>
      </c>
      <c r="F363" s="23" t="b">
        <f>if(countif(Status!C:C,A363)=1,TRUE, FALSE)</f>
        <v>1</v>
      </c>
      <c r="H363" s="23">
        <f>IFERROR(__xludf.DUMMYFUNCTION("IFs(REGEXMATCH(I363, ""NOT""), 0, REGEXMATCH(I363, ""NO""), 0, REGEXMATCH(I363, ""TURBID""),1, COUNTBLANK(I363),"""", istext(I363),"""")"),0.0)</f>
        <v>0</v>
      </c>
      <c r="I363" s="23" t="str">
        <f>'3.5.raw'!R363</f>
        <v>Associated Sample PLc1064 and NOT TURBID</v>
      </c>
    </row>
    <row r="364">
      <c r="A364" s="23" t="str">
        <f t="shared" si="5"/>
        <v>PLc1065</v>
      </c>
      <c r="B364" s="23" t="str">
        <f>'3.5.raw'!I364</f>
        <v>PLc1065</v>
      </c>
      <c r="C364" s="24">
        <f>datevalue(left('3.5.raw'!K364,10))</f>
        <v>43773</v>
      </c>
      <c r="D364" s="23">
        <f>'3.5.raw'!H364</f>
        <v>11</v>
      </c>
      <c r="E364" s="1">
        <v>3.5</v>
      </c>
      <c r="F364" s="23" t="b">
        <f>if(countif(Status!C:C,A364)=1,TRUE, FALSE)</f>
        <v>1</v>
      </c>
      <c r="H364" s="23" t="str">
        <f>IFERROR(__xludf.DUMMYFUNCTION("IFs(REGEXMATCH(I364, ""NOT""), 0, REGEXMATCH(I364, ""NO""), 0, REGEXMATCH(I364, ""TURBID""),1, COUNTBLANK(I364),"""", istext(I364),"""")"),"")</f>
        <v/>
      </c>
      <c r="I364" s="23" t="str">
        <f>'3.5.raw'!R364</f>
        <v/>
      </c>
    </row>
    <row r="365">
      <c r="A365" s="23" t="str">
        <f t="shared" si="5"/>
        <v>FB1113UP</v>
      </c>
      <c r="B365" s="23" t="str">
        <f>'3.5.raw'!I365</f>
        <v>FB1113UP</v>
      </c>
      <c r="C365" s="24">
        <f>datevalue(left('3.5.raw'!K365,10))</f>
        <v>43773</v>
      </c>
      <c r="D365" s="23">
        <f>'3.5.raw'!H365</f>
        <v>99</v>
      </c>
      <c r="E365" s="1">
        <v>3.5</v>
      </c>
      <c r="F365" s="23" t="b">
        <f>if(countif(Status!C:C,A365)=1,TRUE, FALSE)</f>
        <v>1</v>
      </c>
      <c r="H365" s="23">
        <f>IFERROR(__xludf.DUMMYFUNCTION("IFs(REGEXMATCH(I365, ""NOT""), 0, REGEXMATCH(I365, ""NO""), 0, REGEXMATCH(I365, ""TURBID""),1, COUNTBLANK(I365),"""", istext(I365),"""")"),0.0)</f>
        <v>0</v>
      </c>
      <c r="I365" s="23" t="str">
        <f>'3.5.raw'!R365</f>
        <v>Associated Sample PLc1065 and TURBID/NOT TURBID</v>
      </c>
    </row>
    <row r="366">
      <c r="A366" s="23" t="str">
        <f t="shared" si="5"/>
        <v>UPNC42</v>
      </c>
      <c r="B366" s="23" t="str">
        <f>'3.5.raw'!I366</f>
        <v>UPNC42</v>
      </c>
      <c r="C366" s="24">
        <f>datevalue(left('3.5.raw'!K366,10))</f>
        <v>43773</v>
      </c>
      <c r="D366" s="23">
        <f>'3.5.raw'!H366</f>
        <v>98</v>
      </c>
      <c r="E366" s="1">
        <v>3.5</v>
      </c>
      <c r="F366" s="23" t="b">
        <f>if(countif(Status!C:C,A366)=1,TRUE, FALSE)</f>
        <v>1</v>
      </c>
      <c r="H366" s="23">
        <f>IFERROR(__xludf.DUMMYFUNCTION("IFs(REGEXMATCH(I366, ""NOT""), 0, REGEXMATCH(I366, ""NO""), 0, REGEXMATCH(I366, ""TURBID""),1, COUNTBLANK(I366),"""", istext(I366),"""")"),0.0)</f>
        <v>0</v>
      </c>
      <c r="I366" s="23" t="str">
        <f>'3.5.raw'!R366</f>
        <v>NOT TURBID</v>
      </c>
    </row>
    <row r="367">
      <c r="A367" s="23" t="str">
        <f t="shared" si="5"/>
        <v>PLc1066</v>
      </c>
      <c r="B367" s="23" t="str">
        <f>'3.5.raw'!I367</f>
        <v>PLc1066</v>
      </c>
      <c r="C367" s="24">
        <f>datevalue(left('3.5.raw'!K367,10))</f>
        <v>43774</v>
      </c>
      <c r="D367" s="23">
        <f>'3.5.raw'!H367</f>
        <v>11</v>
      </c>
      <c r="E367" s="1">
        <v>3.5</v>
      </c>
      <c r="F367" s="23" t="b">
        <f>if(countif(Status!C:C,A367)=1,TRUE, FALSE)</f>
        <v>1</v>
      </c>
      <c r="H367" s="23" t="str">
        <f>IFERROR(__xludf.DUMMYFUNCTION("IFs(REGEXMATCH(I367, ""NOT""), 0, REGEXMATCH(I367, ""NO""), 0, REGEXMATCH(I367, ""TURBID""),1, COUNTBLANK(I367),"""", istext(I367),"""")"),"")</f>
        <v/>
      </c>
      <c r="I367" s="23" t="str">
        <f>'3.5.raw'!R367</f>
        <v/>
      </c>
    </row>
    <row r="368">
      <c r="A368" s="23" t="str">
        <f t="shared" si="5"/>
        <v>FB1114UP</v>
      </c>
      <c r="B368" s="23" t="str">
        <f>'3.5.raw'!I368</f>
        <v>FB1114UP</v>
      </c>
      <c r="C368" s="24">
        <f>datevalue(left('3.5.raw'!K368,10))</f>
        <v>43774</v>
      </c>
      <c r="D368" s="23">
        <f>'3.5.raw'!H368</f>
        <v>99</v>
      </c>
      <c r="E368" s="1">
        <v>3.5</v>
      </c>
      <c r="F368" s="23" t="b">
        <f>if(countif(Status!C:C,A368)=1,TRUE, FALSE)</f>
        <v>1</v>
      </c>
      <c r="H368" s="23">
        <f>IFERROR(__xludf.DUMMYFUNCTION("IFs(REGEXMATCH(I368, ""NOT""), 0, REGEXMATCH(I368, ""NO""), 0, REGEXMATCH(I368, ""TURBID""),1, COUNTBLANK(I368),"""", istext(I368),"""")"),0.0)</f>
        <v>0</v>
      </c>
      <c r="I368" s="23" t="str">
        <f>'3.5.raw'!R368</f>
        <v>Associated Sample PLc1066 and TURBID/NOT TURBID</v>
      </c>
    </row>
    <row r="369">
      <c r="A369" s="23" t="str">
        <f t="shared" si="5"/>
        <v>PLc1067</v>
      </c>
      <c r="B369" s="23" t="str">
        <f>'3.5.raw'!I369</f>
        <v>PLc1067</v>
      </c>
      <c r="C369" s="24">
        <f>datevalue(left('3.5.raw'!K369,10))</f>
        <v>43774</v>
      </c>
      <c r="D369" s="23">
        <f>'3.5.raw'!H369</f>
        <v>11</v>
      </c>
      <c r="E369" s="1">
        <v>3.5</v>
      </c>
      <c r="F369" s="23" t="b">
        <f>if(countif(Status!C:C,A369)=1,TRUE, FALSE)</f>
        <v>1</v>
      </c>
      <c r="H369" s="23" t="str">
        <f>IFERROR(__xludf.DUMMYFUNCTION("IFs(REGEXMATCH(I369, ""NOT""), 0, REGEXMATCH(I369, ""NO""), 0, REGEXMATCH(I369, ""TURBID""),1, COUNTBLANK(I369),"""", istext(I369),"""")"),"")</f>
        <v/>
      </c>
      <c r="I369" s="23" t="str">
        <f>'3.5.raw'!R369</f>
        <v/>
      </c>
    </row>
    <row r="370">
      <c r="A370" s="23" t="str">
        <f t="shared" si="5"/>
        <v>FB1115UP</v>
      </c>
      <c r="B370" s="23" t="str">
        <f>'3.5.raw'!I370</f>
        <v>FB1115UP</v>
      </c>
      <c r="C370" s="24">
        <f>datevalue(left('3.5.raw'!K370,10))</f>
        <v>43774</v>
      </c>
      <c r="D370" s="23">
        <f>'3.5.raw'!H370</f>
        <v>99</v>
      </c>
      <c r="E370" s="1">
        <v>3.5</v>
      </c>
      <c r="F370" s="23" t="b">
        <f>if(countif(Status!C:C,A370)=1,TRUE, FALSE)</f>
        <v>1</v>
      </c>
      <c r="H370" s="23">
        <f>IFERROR(__xludf.DUMMYFUNCTION("IFs(REGEXMATCH(I370, ""NOT""), 0, REGEXMATCH(I370, ""NO""), 0, REGEXMATCH(I370, ""TURBID""),1, COUNTBLANK(I370),"""", istext(I370),"""")"),0.0)</f>
        <v>0</v>
      </c>
      <c r="I370" s="23" t="str">
        <f>'3.5.raw'!R370</f>
        <v>Associated Sample PLc1067 and TURBID/NOT TURBID</v>
      </c>
    </row>
    <row r="371">
      <c r="A371" s="23" t="str">
        <f t="shared" si="5"/>
        <v>MO1112</v>
      </c>
      <c r="B371" s="23" t="str">
        <f>'3.5.raw'!I371</f>
        <v>MO1112</v>
      </c>
      <c r="C371" s="24">
        <f>datevalue(left('3.5.raw'!K371,10))</f>
        <v>43774</v>
      </c>
      <c r="D371" s="23">
        <f>'3.5.raw'!H371</f>
        <v>12</v>
      </c>
      <c r="E371" s="1">
        <v>3.5</v>
      </c>
      <c r="F371" s="23" t="b">
        <f>if(countif(Status!C:C,A371)=1,TRUE, FALSE)</f>
        <v>1</v>
      </c>
      <c r="H371" s="23" t="str">
        <f>IFERROR(__xludf.DUMMYFUNCTION("IFs(REGEXMATCH(I371, ""NOT""), 0, REGEXMATCH(I371, ""NO""), 0, REGEXMATCH(I371, ""TURBID""),1, COUNTBLANK(I371),"""", istext(I371),"""")"),"")</f>
        <v/>
      </c>
      <c r="I371" s="23" t="str">
        <f>'3.5.raw'!R371</f>
        <v/>
      </c>
    </row>
    <row r="372">
      <c r="A372" s="23" t="str">
        <f t="shared" si="5"/>
        <v>FB1116UP</v>
      </c>
      <c r="B372" s="23" t="str">
        <f>'3.5.raw'!I372</f>
        <v>FB1116UP</v>
      </c>
      <c r="C372" s="24">
        <f>datevalue(left('3.5.raw'!K372,10))</f>
        <v>43774</v>
      </c>
      <c r="D372" s="23">
        <f>'3.5.raw'!H372</f>
        <v>99</v>
      </c>
      <c r="E372" s="1">
        <v>3.5</v>
      </c>
      <c r="F372" s="23" t="b">
        <f>if(countif(Status!C:C,A372)=1,TRUE, FALSE)</f>
        <v>1</v>
      </c>
      <c r="H372" s="23">
        <f>IFERROR(__xludf.DUMMYFUNCTION("IFs(REGEXMATCH(I372, ""NOT""), 0, REGEXMATCH(I372, ""NO""), 0, REGEXMATCH(I372, ""TURBID""),1, COUNTBLANK(I372),"""", istext(I372),"""")"),0.0)</f>
        <v>0</v>
      </c>
      <c r="I372" s="23" t="str">
        <f>'3.5.raw'!R372</f>
        <v>Associated Sample MO1112 and NOT TURBID</v>
      </c>
    </row>
    <row r="373">
      <c r="A373" s="23" t="str">
        <f t="shared" si="5"/>
        <v>MO1113</v>
      </c>
      <c r="B373" s="23" t="str">
        <f>'3.5.raw'!I373</f>
        <v>MO1113</v>
      </c>
      <c r="C373" s="24">
        <f>datevalue(left('3.5.raw'!K373,10))</f>
        <v>43774</v>
      </c>
      <c r="D373" s="23">
        <f>'3.5.raw'!H373</f>
        <v>12</v>
      </c>
      <c r="E373" s="1">
        <v>3.5</v>
      </c>
      <c r="F373" s="23" t="b">
        <f>if(countif(Status!C:C,A373)=1,TRUE, FALSE)</f>
        <v>1</v>
      </c>
      <c r="H373" s="23" t="str">
        <f>IFERROR(__xludf.DUMMYFUNCTION("IFs(REGEXMATCH(I373, ""NOT""), 0, REGEXMATCH(I373, ""NO""), 0, REGEXMATCH(I373, ""TURBID""),1, COUNTBLANK(I373),"""", istext(I373),"""")"),"")</f>
        <v/>
      </c>
      <c r="I373" s="23" t="str">
        <f>'3.5.raw'!R373</f>
        <v/>
      </c>
    </row>
    <row r="374">
      <c r="A374" s="23" t="str">
        <f t="shared" si="5"/>
        <v>FB1117UP</v>
      </c>
      <c r="B374" s="23" t="str">
        <f>'3.5.raw'!I374</f>
        <v>FB1117UP</v>
      </c>
      <c r="C374" s="24">
        <f>datevalue(left('3.5.raw'!K374,10))</f>
        <v>43774</v>
      </c>
      <c r="D374" s="23">
        <f>'3.5.raw'!H374</f>
        <v>99</v>
      </c>
      <c r="E374" s="1">
        <v>3.5</v>
      </c>
      <c r="F374" s="23" t="b">
        <f>if(countif(Status!C:C,A374)=1,TRUE, FALSE)</f>
        <v>1</v>
      </c>
      <c r="H374" s="23">
        <f>IFERROR(__xludf.DUMMYFUNCTION("IFs(REGEXMATCH(I374, ""NOT""), 0, REGEXMATCH(I374, ""NO""), 0, REGEXMATCH(I374, ""TURBID""),1, COUNTBLANK(I374),"""", istext(I374),"""")"),0.0)</f>
        <v>0</v>
      </c>
      <c r="I374" s="23" t="str">
        <f>'3.5.raw'!R374</f>
        <v>Associated Sample MO1113 and NOT TURBID</v>
      </c>
    </row>
    <row r="375">
      <c r="A375" s="23" t="str">
        <f t="shared" si="5"/>
        <v>UPNC43</v>
      </c>
      <c r="B375" s="23" t="str">
        <f>'3.5.raw'!I375</f>
        <v>UPNC43</v>
      </c>
      <c r="C375" s="24">
        <f>datevalue(left('3.5.raw'!K375,10))</f>
        <v>43774</v>
      </c>
      <c r="D375" s="23">
        <f>'3.5.raw'!H375</f>
        <v>98</v>
      </c>
      <c r="E375" s="1">
        <v>3.5</v>
      </c>
      <c r="F375" s="23" t="b">
        <f>if(countif(Status!C:C,A375)=1,TRUE, FALSE)</f>
        <v>1</v>
      </c>
      <c r="H375" s="23">
        <f>IFERROR(__xludf.DUMMYFUNCTION("IFs(REGEXMATCH(I375, ""NOT""), 0, REGEXMATCH(I375, ""NO""), 0, REGEXMATCH(I375, ""TURBID""),1, COUNTBLANK(I375),"""", istext(I375),"""")"),0.0)</f>
        <v>0</v>
      </c>
      <c r="I375" s="23" t="str">
        <f>'3.5.raw'!R375</f>
        <v>NOT TURBID</v>
      </c>
    </row>
    <row r="376">
      <c r="A376" s="23" t="str">
        <f t="shared" si="5"/>
        <v>FB1118UP</v>
      </c>
      <c r="B376" s="23" t="str">
        <f>'3.5.raw'!I376</f>
        <v>FB1118UP</v>
      </c>
      <c r="C376" s="24">
        <f>datevalue(left('3.5.raw'!K376,10))</f>
        <v>43775</v>
      </c>
      <c r="D376" s="23">
        <f>'3.5.raw'!H376</f>
        <v>99</v>
      </c>
      <c r="E376" s="1">
        <v>3.5</v>
      </c>
      <c r="F376" s="23" t="b">
        <f>if(countif(Status!C:C,A376)=1,TRUE, FALSE)</f>
        <v>1</v>
      </c>
      <c r="H376" s="23">
        <f>IFERROR(__xludf.DUMMYFUNCTION("IFs(REGEXMATCH(I376, ""NOT""), 0, REGEXMATCH(I376, ""NO""), 0, REGEXMATCH(I376, ""TURBID""),1, COUNTBLANK(I376),"""", istext(I376),"""")"),0.0)</f>
        <v>0</v>
      </c>
      <c r="I376" s="23" t="str">
        <f>'3.5.raw'!R376</f>
        <v>Associated Sample FPa1004, FPb1004, FPc1004, FPd1004, FPe1004 and NOT TURBID</v>
      </c>
    </row>
    <row r="377">
      <c r="A377" s="23" t="str">
        <f t="shared" si="5"/>
        <v>UPNC44</v>
      </c>
      <c r="B377" s="23" t="str">
        <f>'3.5.raw'!I377</f>
        <v>UPNC44</v>
      </c>
      <c r="C377" s="24">
        <f>datevalue(left('3.5.raw'!K377,10))</f>
        <v>43775</v>
      </c>
      <c r="D377" s="23">
        <f>'3.5.raw'!H377</f>
        <v>98</v>
      </c>
      <c r="E377" s="1">
        <v>3.5</v>
      </c>
      <c r="F377" s="23" t="b">
        <f>if(countif(Status!C:C,A377)=1,TRUE, FALSE)</f>
        <v>1</v>
      </c>
      <c r="H377" s="23">
        <f>IFERROR(__xludf.DUMMYFUNCTION("IFs(REGEXMATCH(I377, ""NOT""), 0, REGEXMATCH(I377, ""NO""), 0, REGEXMATCH(I377, ""TURBID""),1, COUNTBLANK(I377),"""", istext(I377),"""")"),0.0)</f>
        <v>0</v>
      </c>
      <c r="I377" s="23" t="str">
        <f>'3.5.raw'!R377</f>
        <v>NOT TURBID</v>
      </c>
    </row>
    <row r="378">
      <c r="A378" s="23" t="str">
        <f t="shared" si="5"/>
        <v>MO1114</v>
      </c>
      <c r="B378" s="23" t="str">
        <f>'3.5.raw'!I378</f>
        <v>MO1114</v>
      </c>
      <c r="C378" s="24">
        <f>datevalue(left('3.5.raw'!K378,10))</f>
        <v>43776</v>
      </c>
      <c r="D378" s="23">
        <f>'3.5.raw'!H378</f>
        <v>12</v>
      </c>
      <c r="E378" s="1">
        <v>3.5</v>
      </c>
      <c r="F378" s="23" t="b">
        <f>if(countif(Status!C:C,A378)=1,TRUE, FALSE)</f>
        <v>1</v>
      </c>
      <c r="H378" s="23" t="str">
        <f>IFERROR(__xludf.DUMMYFUNCTION("IFs(REGEXMATCH(I378, ""NOT""), 0, REGEXMATCH(I378, ""NO""), 0, REGEXMATCH(I378, ""TURBID""),1, COUNTBLANK(I378),"""", istext(I378),"""")"),"")</f>
        <v/>
      </c>
      <c r="I378" s="23" t="str">
        <f>'3.5.raw'!R378</f>
        <v/>
      </c>
    </row>
    <row r="379">
      <c r="A379" s="23" t="str">
        <f t="shared" si="5"/>
        <v>FB1125UP</v>
      </c>
      <c r="B379" s="23" t="str">
        <f>'3.5.raw'!I379</f>
        <v>FB1125UP</v>
      </c>
      <c r="C379" s="24">
        <f>datevalue(left('3.5.raw'!K379,10))</f>
        <v>43776</v>
      </c>
      <c r="D379" s="23">
        <f>'3.5.raw'!H379</f>
        <v>99</v>
      </c>
      <c r="E379" s="1">
        <v>3.5</v>
      </c>
      <c r="F379" s="23" t="b">
        <f>if(countif(Status!C:C,A379)=1,TRUE, FALSE)</f>
        <v>1</v>
      </c>
      <c r="H379" s="23">
        <f>IFERROR(__xludf.DUMMYFUNCTION("IFs(REGEXMATCH(I379, ""NOT""), 0, REGEXMATCH(I379, ""NO""), 0, REGEXMATCH(I379, ""TURBID""),1, COUNTBLANK(I379),"""", istext(I379),"""")"),0.0)</f>
        <v>0</v>
      </c>
      <c r="I379" s="23" t="str">
        <f>'3.5.raw'!R379</f>
        <v>Associated Sample MO1114 and NOT TURBID</v>
      </c>
    </row>
    <row r="380">
      <c r="A380" s="23" t="str">
        <f t="shared" si="5"/>
        <v>MO1115</v>
      </c>
      <c r="B380" s="23" t="str">
        <f>'3.5.raw'!I380</f>
        <v>MO1115</v>
      </c>
      <c r="C380" s="24">
        <f>datevalue(left('3.5.raw'!K380,10))</f>
        <v>43776</v>
      </c>
      <c r="D380" s="23">
        <f>'3.5.raw'!H380</f>
        <v>12</v>
      </c>
      <c r="E380" s="1">
        <v>3.5</v>
      </c>
      <c r="F380" s="23" t="b">
        <f>if(countif(Status!C:C,A380)=1,TRUE, FALSE)</f>
        <v>1</v>
      </c>
      <c r="H380" s="23" t="str">
        <f>IFERROR(__xludf.DUMMYFUNCTION("IFs(REGEXMATCH(I380, ""NOT""), 0, REGEXMATCH(I380, ""NO""), 0, REGEXMATCH(I380, ""TURBID""),1, COUNTBLANK(I380),"""", istext(I380),"""")"),"")</f>
        <v/>
      </c>
      <c r="I380" s="23" t="str">
        <f>'3.5.raw'!R380</f>
        <v/>
      </c>
    </row>
    <row r="381">
      <c r="A381" s="23" t="str">
        <f t="shared" si="5"/>
        <v>FB1124UP</v>
      </c>
      <c r="B381" s="23" t="str">
        <f>'3.5.raw'!I381</f>
        <v>FB1124UP</v>
      </c>
      <c r="C381" s="24">
        <f>datevalue(left('3.5.raw'!K381,10))</f>
        <v>43776</v>
      </c>
      <c r="D381" s="23">
        <f>'3.5.raw'!H381</f>
        <v>99</v>
      </c>
      <c r="E381" s="1">
        <v>3.5</v>
      </c>
      <c r="F381" s="23" t="b">
        <f>if(countif(Status!C:C,A381)=1,TRUE, FALSE)</f>
        <v>1</v>
      </c>
      <c r="H381" s="23">
        <f>IFERROR(__xludf.DUMMYFUNCTION("IFs(REGEXMATCH(I381, ""NOT""), 0, REGEXMATCH(I381, ""NO""), 0, REGEXMATCH(I381, ""TURBID""),1, COUNTBLANK(I381),"""", istext(I381),"""")"),0.0)</f>
        <v>0</v>
      </c>
      <c r="I381" s="23" t="str">
        <f>'3.5.raw'!R381</f>
        <v>Associated Sample MO1115 and NOT TURBID</v>
      </c>
    </row>
    <row r="382">
      <c r="A382" s="23" t="str">
        <f t="shared" si="5"/>
        <v>PLc1068</v>
      </c>
      <c r="B382" s="23" t="str">
        <f>'3.5.raw'!I382</f>
        <v>PLc1068</v>
      </c>
      <c r="C382" s="24">
        <f>datevalue(left('3.5.raw'!K382,10))</f>
        <v>43776</v>
      </c>
      <c r="D382" s="23">
        <f>'3.5.raw'!H382</f>
        <v>11</v>
      </c>
      <c r="E382" s="1">
        <v>3.5</v>
      </c>
      <c r="F382" s="23" t="b">
        <f>if(countif(Status!C:C,A382)=1,TRUE, FALSE)</f>
        <v>1</v>
      </c>
      <c r="H382" s="23" t="str">
        <f>IFERROR(__xludf.DUMMYFUNCTION("IFs(REGEXMATCH(I382, ""NOT""), 0, REGEXMATCH(I382, ""NO""), 0, REGEXMATCH(I382, ""TURBID""),1, COUNTBLANK(I382),"""", istext(I382),"""")"),"")</f>
        <v/>
      </c>
      <c r="I382" s="23" t="str">
        <f>'3.5.raw'!R382</f>
        <v/>
      </c>
    </row>
    <row r="383">
      <c r="A383" s="23" t="str">
        <f t="shared" si="5"/>
        <v>FB1119UP</v>
      </c>
      <c r="B383" s="23" t="str">
        <f>'3.5.raw'!I383</f>
        <v>FB1119UP</v>
      </c>
      <c r="C383" s="24">
        <f>datevalue(left('3.5.raw'!K383,10))</f>
        <v>43776</v>
      </c>
      <c r="D383" s="23">
        <f>'3.5.raw'!H383</f>
        <v>99</v>
      </c>
      <c r="E383" s="1">
        <v>3.5</v>
      </c>
      <c r="F383" s="23" t="b">
        <f>if(countif(Status!C:C,A383)=1,TRUE, FALSE)</f>
        <v>1</v>
      </c>
      <c r="H383" s="23">
        <f>IFERROR(__xludf.DUMMYFUNCTION("IFs(REGEXMATCH(I383, ""NOT""), 0, REGEXMATCH(I383, ""NO""), 0, REGEXMATCH(I383, ""TURBID""),1, COUNTBLANK(I383),"""", istext(I383),"""")"),1.0)</f>
        <v>1</v>
      </c>
      <c r="I383" s="23" t="str">
        <f>'3.5.raw'!R383</f>
        <v>Associated Sample PLc1068 and TURBID</v>
      </c>
    </row>
    <row r="384">
      <c r="A384" s="23" t="str">
        <f t="shared" si="5"/>
        <v>PLc1069</v>
      </c>
      <c r="B384" s="23" t="str">
        <f>'3.5.raw'!I384</f>
        <v>PLc1069</v>
      </c>
      <c r="C384" s="24">
        <f>datevalue(left('3.5.raw'!K384,10))</f>
        <v>43776</v>
      </c>
      <c r="D384" s="23">
        <f>'3.5.raw'!H384</f>
        <v>11</v>
      </c>
      <c r="E384" s="1">
        <v>3.5</v>
      </c>
      <c r="F384" s="23" t="b">
        <f>if(countif(Status!C:C,A384)=1,TRUE, FALSE)</f>
        <v>1</v>
      </c>
      <c r="H384" s="23" t="str">
        <f>IFERROR(__xludf.DUMMYFUNCTION("IFs(REGEXMATCH(I384, ""NOT""), 0, REGEXMATCH(I384, ""NO""), 0, REGEXMATCH(I384, ""TURBID""),1, COUNTBLANK(I384),"""", istext(I384),"""")"),"")</f>
        <v/>
      </c>
      <c r="I384" s="23" t="str">
        <f>'3.5.raw'!R384</f>
        <v/>
      </c>
    </row>
    <row r="385">
      <c r="A385" s="49" t="s">
        <v>274</v>
      </c>
      <c r="B385" s="23" t="str">
        <f>'3.5.raw'!I385</f>
        <v>FB1120</v>
      </c>
      <c r="C385" s="24">
        <f>datevalue(left('3.5.raw'!K385,10))</f>
        <v>43776</v>
      </c>
      <c r="D385" s="23">
        <f>'3.5.raw'!H385</f>
        <v>99</v>
      </c>
      <c r="E385" s="1">
        <v>3.5</v>
      </c>
      <c r="F385" s="23" t="b">
        <f>if(countif(Status!C:C,A385)=1,TRUE, FALSE)</f>
        <v>1</v>
      </c>
      <c r="H385" s="23">
        <f>IFERROR(__xludf.DUMMYFUNCTION("IFs(REGEXMATCH(I385, ""NOT""), 0, REGEXMATCH(I385, ""NO""), 0, REGEXMATCH(I385, ""TURBID""),1, COUNTBLANK(I385),"""", istext(I385),"""")"),1.0)</f>
        <v>1</v>
      </c>
      <c r="I385" s="23" t="str">
        <f>'3.5.raw'!R385</f>
        <v>Associated Sample PLc1069 and TURBID</v>
      </c>
    </row>
    <row r="386">
      <c r="A386" s="23" t="str">
        <f t="shared" ref="A386:A392" si="6">SUBSTITUTE(B386, " ", "")</f>
        <v>PLc1070</v>
      </c>
      <c r="B386" s="23" t="str">
        <f>'3.5.raw'!I386</f>
        <v>PLc1070</v>
      </c>
      <c r="C386" s="24">
        <f>datevalue(left('3.5.raw'!K386,10))</f>
        <v>43776</v>
      </c>
      <c r="D386" s="23">
        <f>'3.5.raw'!H386</f>
        <v>11</v>
      </c>
      <c r="E386" s="1">
        <v>3.5</v>
      </c>
      <c r="F386" s="23" t="b">
        <f>if(countif(Status!C:C,A386)=1,TRUE, FALSE)</f>
        <v>1</v>
      </c>
      <c r="H386" s="23" t="str">
        <f>IFERROR(__xludf.DUMMYFUNCTION("IFs(REGEXMATCH(I386, ""NOT""), 0, REGEXMATCH(I386, ""NO""), 0, REGEXMATCH(I386, ""TURBID""),1, COUNTBLANK(I386),"""", istext(I386),"""")"),"")</f>
        <v/>
      </c>
      <c r="I386" s="23" t="str">
        <f>'3.5.raw'!R386</f>
        <v/>
      </c>
    </row>
    <row r="387">
      <c r="A387" s="23" t="str">
        <f t="shared" si="6"/>
        <v>FB1121UP</v>
      </c>
      <c r="B387" s="23" t="str">
        <f>'3.5.raw'!I387</f>
        <v>FB1121UP</v>
      </c>
      <c r="C387" s="24">
        <f>datevalue(left('3.5.raw'!K387,10))</f>
        <v>43776</v>
      </c>
      <c r="D387" s="23">
        <f>'3.5.raw'!H387</f>
        <v>99</v>
      </c>
      <c r="E387" s="1">
        <v>3.5</v>
      </c>
      <c r="F387" s="23" t="b">
        <f>if(countif(Status!C:C,A387)=1,TRUE, FALSE)</f>
        <v>1</v>
      </c>
      <c r="H387" s="23">
        <f>IFERROR(__xludf.DUMMYFUNCTION("IFs(REGEXMATCH(I387, ""NOT""), 0, REGEXMATCH(I387, ""NO""), 0, REGEXMATCH(I387, ""TURBID""),1, COUNTBLANK(I387),"""", istext(I387),"""")"),1.0)</f>
        <v>1</v>
      </c>
      <c r="I387" s="23" t="str">
        <f>'3.5.raw'!R387</f>
        <v>Associated Sample PLc1070 and SLIGHTLY TURBID</v>
      </c>
    </row>
    <row r="388">
      <c r="A388" s="23" t="str">
        <f t="shared" si="6"/>
        <v>PLc1071</v>
      </c>
      <c r="B388" s="23" t="str">
        <f>'3.5.raw'!I388</f>
        <v>PLc1071</v>
      </c>
      <c r="C388" s="24">
        <f>datevalue(left('3.5.raw'!K388,10))</f>
        <v>43776</v>
      </c>
      <c r="D388" s="23">
        <f>'3.5.raw'!H388</f>
        <v>11</v>
      </c>
      <c r="E388" s="1">
        <v>3.5</v>
      </c>
      <c r="F388" s="23" t="b">
        <f>if(countif(Status!C:C,A388)=1,TRUE, FALSE)</f>
        <v>1</v>
      </c>
      <c r="H388" s="23" t="str">
        <f>IFERROR(__xludf.DUMMYFUNCTION("IFs(REGEXMATCH(I388, ""NOT""), 0, REGEXMATCH(I388, ""NO""), 0, REGEXMATCH(I388, ""TURBID""),1, COUNTBLANK(I388),"""", istext(I388),"""")"),"")</f>
        <v/>
      </c>
      <c r="I388" s="23" t="str">
        <f>'3.5.raw'!R388</f>
        <v/>
      </c>
    </row>
    <row r="389">
      <c r="A389" s="23" t="str">
        <f t="shared" si="6"/>
        <v>FB1122UP</v>
      </c>
      <c r="B389" s="23" t="str">
        <f>'3.5.raw'!I389</f>
        <v>FB1122UP</v>
      </c>
      <c r="C389" s="24">
        <f>datevalue(left('3.5.raw'!K389,10))</f>
        <v>43776</v>
      </c>
      <c r="D389" s="23">
        <f>'3.5.raw'!H389</f>
        <v>99</v>
      </c>
      <c r="E389" s="1">
        <v>3.5</v>
      </c>
      <c r="F389" s="23" t="b">
        <f>if(countif(Status!C:C,A389)=1,TRUE, FALSE)</f>
        <v>1</v>
      </c>
      <c r="H389" s="23">
        <f>IFERROR(__xludf.DUMMYFUNCTION("IFs(REGEXMATCH(I389, ""NOT""), 0, REGEXMATCH(I389, ""NO""), 0, REGEXMATCH(I389, ""TURBID""),1, COUNTBLANK(I389),"""", istext(I389),"""")"),0.0)</f>
        <v>0</v>
      </c>
      <c r="I389" s="23" t="str">
        <f>'3.5.raw'!R389</f>
        <v>Associated Sample PLc1071 and NOT TURBID</v>
      </c>
    </row>
    <row r="390">
      <c r="A390" s="23" t="str">
        <f t="shared" si="6"/>
        <v>PLc1072</v>
      </c>
      <c r="B390" s="23" t="str">
        <f>'3.5.raw'!I390</f>
        <v>PLc1072</v>
      </c>
      <c r="C390" s="24">
        <f>datevalue(left('3.5.raw'!K390,10))</f>
        <v>43776</v>
      </c>
      <c r="D390" s="23">
        <f>'3.5.raw'!H390</f>
        <v>11</v>
      </c>
      <c r="E390" s="1">
        <v>3.5</v>
      </c>
      <c r="F390" s="23" t="b">
        <f>if(countif(Status!C:C,A390)=1,TRUE, FALSE)</f>
        <v>1</v>
      </c>
      <c r="H390" s="23" t="str">
        <f>IFERROR(__xludf.DUMMYFUNCTION("IFs(REGEXMATCH(I390, ""NOT""), 0, REGEXMATCH(I390, ""NO""), 0, REGEXMATCH(I390, ""TURBID""),1, COUNTBLANK(I390),"""", istext(I390),"""")"),"")</f>
        <v/>
      </c>
      <c r="I390" s="23" t="str">
        <f>'3.5.raw'!R390</f>
        <v/>
      </c>
    </row>
    <row r="391">
      <c r="A391" s="23" t="str">
        <f t="shared" si="6"/>
        <v>FB1123UP</v>
      </c>
      <c r="B391" s="23" t="str">
        <f>'3.5.raw'!I391</f>
        <v>FB1123UP</v>
      </c>
      <c r="C391" s="24">
        <f>datevalue(left('3.5.raw'!K391,10))</f>
        <v>43776</v>
      </c>
      <c r="D391" s="23">
        <f>'3.5.raw'!H391</f>
        <v>99</v>
      </c>
      <c r="E391" s="1">
        <v>3.5</v>
      </c>
      <c r="F391" s="23" t="b">
        <f>if(countif(Status!C:C,A391)=1,TRUE, FALSE)</f>
        <v>1</v>
      </c>
      <c r="H391" s="23">
        <f>IFERROR(__xludf.DUMMYFUNCTION("IFs(REGEXMATCH(I391, ""NOT""), 0, REGEXMATCH(I391, ""NO""), 0, REGEXMATCH(I391, ""TURBID""),1, COUNTBLANK(I391),"""", istext(I391),"""")"),0.0)</f>
        <v>0</v>
      </c>
      <c r="I391" s="23" t="str">
        <f>'3.5.raw'!R391</f>
        <v>Associated Sample PLc1072 and NOT TURBID</v>
      </c>
    </row>
    <row r="392">
      <c r="A392" s="23" t="str">
        <f t="shared" si="6"/>
        <v>UPNC45</v>
      </c>
      <c r="B392" s="23" t="str">
        <f>'3.5.raw'!I392</f>
        <v>UPNC45</v>
      </c>
      <c r="C392" s="24">
        <f>datevalue(left('3.5.raw'!K392,10))</f>
        <v>43776</v>
      </c>
      <c r="D392" s="23">
        <f>'3.5.raw'!H392</f>
        <v>98</v>
      </c>
      <c r="E392" s="1">
        <v>3.5</v>
      </c>
      <c r="F392" s="23" t="b">
        <f>if(countif(Status!C:C,A392)=1,TRUE, FALSE)</f>
        <v>1</v>
      </c>
      <c r="H392" s="23">
        <f>IFERROR(__xludf.DUMMYFUNCTION("IFs(REGEXMATCH(I392, ""NOT""), 0, REGEXMATCH(I392, ""NO""), 0, REGEXMATCH(I392, ""TURBID""),1, COUNTBLANK(I392),"""", istext(I392),"""")"),0.0)</f>
        <v>0</v>
      </c>
      <c r="I392" s="23" t="str">
        <f>'3.5.raw'!R392</f>
        <v>NOTTURBID</v>
      </c>
    </row>
    <row r="393">
      <c r="A393" s="49" t="s">
        <v>276</v>
      </c>
      <c r="B393" s="23" t="str">
        <f>'3.5.raw'!I393</f>
        <v>FB1126</v>
      </c>
      <c r="C393" s="24">
        <f>datevalue(left('3.5.raw'!K393,10))</f>
        <v>43777</v>
      </c>
      <c r="D393" s="23">
        <f>'3.5.raw'!H393</f>
        <v>99</v>
      </c>
      <c r="E393" s="1">
        <v>3.5</v>
      </c>
      <c r="F393" s="23" t="b">
        <f>if(countif(Status!C:C,A393)=1,TRUE, FALSE)</f>
        <v>1</v>
      </c>
      <c r="H393" s="23">
        <f>IFERROR(__xludf.DUMMYFUNCTION("IFs(REGEXMATCH(I393, ""NOT""), 0, REGEXMATCH(I393, ""NO""), 0, REGEXMATCH(I393, ""TURBID""),1, COUNTBLANK(I393),"""", istext(I393),"""")"),0.0)</f>
        <v>0</v>
      </c>
      <c r="I393" s="23" t="str">
        <f>'3.5.raw'!R393</f>
        <v>Associated Sample COa1006, COb1017, COb1018, COb1019 and NOT TURBID</v>
      </c>
    </row>
    <row r="394">
      <c r="A394" s="23" t="str">
        <f>SUBSTITUTE(B394, " ", "")</f>
        <v>PLc1073</v>
      </c>
      <c r="B394" s="23" t="str">
        <f>'3.5.raw'!I394</f>
        <v>PLc1073</v>
      </c>
      <c r="C394" s="24">
        <f>datevalue(left('3.5.raw'!K394,10))</f>
        <v>43777</v>
      </c>
      <c r="D394" s="23">
        <f>'3.5.raw'!H394</f>
        <v>11</v>
      </c>
      <c r="E394" s="1">
        <v>3.5</v>
      </c>
      <c r="F394" s="23" t="b">
        <f>if(countif(Status!C:C,A394)=1,TRUE, FALSE)</f>
        <v>1</v>
      </c>
      <c r="H394" s="23" t="str">
        <f>IFERROR(__xludf.DUMMYFUNCTION("IFs(REGEXMATCH(I394, ""NOT""), 0, REGEXMATCH(I394, ""NO""), 0, REGEXMATCH(I394, ""TURBID""),1, COUNTBLANK(I394),"""", istext(I394),"""")"),"")</f>
        <v/>
      </c>
      <c r="I394" s="23" t="str">
        <f>'3.5.raw'!R394</f>
        <v/>
      </c>
    </row>
    <row r="395">
      <c r="A395" s="49" t="s">
        <v>278</v>
      </c>
      <c r="B395" s="23" t="str">
        <f>'3.5.raw'!I395</f>
        <v>FB1127</v>
      </c>
      <c r="C395" s="24">
        <f>datevalue(left('3.5.raw'!K395,10))</f>
        <v>43777</v>
      </c>
      <c r="D395" s="23">
        <f>'3.5.raw'!H395</f>
        <v>99</v>
      </c>
      <c r="E395" s="1">
        <v>3.5</v>
      </c>
      <c r="F395" s="23" t="b">
        <f>if(countif(Status!C:C,A395)=1,TRUE, FALSE)</f>
        <v>1</v>
      </c>
      <c r="H395" s="23">
        <f>IFERROR(__xludf.DUMMYFUNCTION("IFs(REGEXMATCH(I395, ""NOT""), 0, REGEXMATCH(I395, ""NO""), 0, REGEXMATCH(I395, ""TURBID""),1, COUNTBLANK(I395),"""", istext(I395),"""")"),0.0)</f>
        <v>0</v>
      </c>
      <c r="I395" s="23" t="str">
        <f>'3.5.raw'!R395</f>
        <v>Associated Sample PLc1073 and NOT TURBID</v>
      </c>
    </row>
    <row r="396">
      <c r="A396" s="23" t="str">
        <f t="shared" ref="A396:A398" si="7">SUBSTITUTE(B396, " ", "")</f>
        <v>PLc1074</v>
      </c>
      <c r="B396" s="23" t="str">
        <f>'3.5.raw'!I396</f>
        <v>PLc1074</v>
      </c>
      <c r="C396" s="24">
        <f>datevalue(left('3.5.raw'!K396,10))</f>
        <v>43777</v>
      </c>
      <c r="D396" s="23">
        <f>'3.5.raw'!H396</f>
        <v>11</v>
      </c>
      <c r="E396" s="1">
        <v>3.5</v>
      </c>
      <c r="F396" s="23" t="b">
        <f>if(countif(Status!C:C,A396)=1,TRUE, FALSE)</f>
        <v>1</v>
      </c>
      <c r="H396" s="23" t="str">
        <f>IFERROR(__xludf.DUMMYFUNCTION("IFs(REGEXMATCH(I396, ""NOT""), 0, REGEXMATCH(I396, ""NO""), 0, REGEXMATCH(I396, ""TURBID""),1, COUNTBLANK(I396),"""", istext(I396),"""")"),"")</f>
        <v/>
      </c>
      <c r="I396" s="23" t="str">
        <f>'3.5.raw'!R396</f>
        <v/>
      </c>
    </row>
    <row r="397">
      <c r="A397" s="23" t="str">
        <f t="shared" si="7"/>
        <v>FB1128UP</v>
      </c>
      <c r="B397" s="23" t="str">
        <f>'3.5.raw'!I397</f>
        <v>FB1128UP</v>
      </c>
      <c r="C397" s="24">
        <f>datevalue(left('3.5.raw'!K397,10))</f>
        <v>43777</v>
      </c>
      <c r="D397" s="23">
        <f>'3.5.raw'!H397</f>
        <v>99</v>
      </c>
      <c r="E397" s="1">
        <v>3.5</v>
      </c>
      <c r="F397" s="23" t="b">
        <f>if(countif(Status!C:C,A397)=1,TRUE, FALSE)</f>
        <v>1</v>
      </c>
      <c r="H397" s="23">
        <f>IFERROR(__xludf.DUMMYFUNCTION("IFs(REGEXMATCH(I397, ""NOT""), 0, REGEXMATCH(I397, ""NO""), 0, REGEXMATCH(I397, ""TURBID""),1, COUNTBLANK(I397),"""", istext(I397),"""")"),0.0)</f>
        <v>0</v>
      </c>
      <c r="I397" s="23" t="str">
        <f>'3.5.raw'!R397</f>
        <v>Associated Sample PLc1074 and NOT TURBID</v>
      </c>
    </row>
    <row r="398">
      <c r="A398" s="23" t="str">
        <f t="shared" si="7"/>
        <v>PLc1075</v>
      </c>
      <c r="B398" s="23" t="str">
        <f>'3.5.raw'!I398</f>
        <v>PLc1075</v>
      </c>
      <c r="C398" s="24">
        <f>datevalue(left('3.5.raw'!K398,10))</f>
        <v>43777</v>
      </c>
      <c r="D398" s="23">
        <f>'3.5.raw'!H398</f>
        <v>11</v>
      </c>
      <c r="E398" s="1">
        <v>3.5</v>
      </c>
      <c r="F398" s="23" t="b">
        <f>if(countif(Status!C:C,A398)=1,TRUE, FALSE)</f>
        <v>1</v>
      </c>
      <c r="H398" s="23" t="str">
        <f>IFERROR(__xludf.DUMMYFUNCTION("IFs(REGEXMATCH(I398, ""NOT""), 0, REGEXMATCH(I398, ""NO""), 0, REGEXMATCH(I398, ""TURBID""),1, COUNTBLANK(I398),"""", istext(I398),"""")"),"")</f>
        <v/>
      </c>
      <c r="I398" s="23" t="str">
        <f>'3.5.raw'!R398</f>
        <v/>
      </c>
    </row>
    <row r="399">
      <c r="A399" s="49" t="s">
        <v>281</v>
      </c>
      <c r="B399" s="23" t="str">
        <f>'3.5.raw'!I399</f>
        <v>FB1129</v>
      </c>
      <c r="C399" s="24">
        <f>datevalue(left('3.5.raw'!K399,10))</f>
        <v>43777</v>
      </c>
      <c r="D399" s="23">
        <f>'3.5.raw'!H399</f>
        <v>99</v>
      </c>
      <c r="E399" s="1">
        <v>3.5</v>
      </c>
      <c r="F399" s="23" t="b">
        <f>if(countif(Status!C:C,A399)=1,TRUE, FALSE)</f>
        <v>1</v>
      </c>
      <c r="H399" s="23">
        <f>IFERROR(__xludf.DUMMYFUNCTION("IFs(REGEXMATCH(I399, ""NOT""), 0, REGEXMATCH(I399, ""NO""), 0, REGEXMATCH(I399, ""TURBID""),1, COUNTBLANK(I399),"""", istext(I399),"""")"),0.0)</f>
        <v>0</v>
      </c>
      <c r="I399" s="23" t="str">
        <f>'3.5.raw'!R399</f>
        <v>Associated Sample PLc1075 and NOT TURBID</v>
      </c>
    </row>
    <row r="400">
      <c r="A400" s="23" t="str">
        <f t="shared" ref="A400:A415" si="8">SUBSTITUTE(B400, " ", "")</f>
        <v>UPNC46</v>
      </c>
      <c r="B400" s="23" t="str">
        <f>'3.5.raw'!I400</f>
        <v>UPNC46</v>
      </c>
      <c r="C400" s="24">
        <f>datevalue(left('3.5.raw'!K400,10))</f>
        <v>43777</v>
      </c>
      <c r="D400" s="23">
        <f>'3.5.raw'!H400</f>
        <v>98</v>
      </c>
      <c r="E400" s="1">
        <v>3.5</v>
      </c>
      <c r="F400" s="23" t="b">
        <f>if(countif(Status!C:C,A400)=1,TRUE, FALSE)</f>
        <v>1</v>
      </c>
      <c r="H400" s="23">
        <f>IFERROR(__xludf.DUMMYFUNCTION("IFs(REGEXMATCH(I400, ""NOT""), 0, REGEXMATCH(I400, ""NO""), 0, REGEXMATCH(I400, ""TURBID""),1, COUNTBLANK(I400),"""", istext(I400),"""")"),0.0)</f>
        <v>0</v>
      </c>
      <c r="I400" s="23" t="str">
        <f>'3.5.raw'!R400</f>
        <v>NOT TURBID</v>
      </c>
    </row>
    <row r="401">
      <c r="A401" s="23" t="str">
        <f t="shared" si="8"/>
        <v>UPNC47</v>
      </c>
      <c r="B401" s="23" t="str">
        <f>'3.5.raw'!I401</f>
        <v>UPNC47</v>
      </c>
      <c r="C401" s="24">
        <f>datevalue(left('3.5.raw'!K401,10))</f>
        <v>43783</v>
      </c>
      <c r="D401" s="23">
        <f>'3.5.raw'!H401</f>
        <v>98</v>
      </c>
      <c r="E401" s="1">
        <v>3.5</v>
      </c>
      <c r="F401" s="23" t="b">
        <f>if(countif(Status!C:C,A401)=1,TRUE, FALSE)</f>
        <v>1</v>
      </c>
      <c r="H401" s="23">
        <f>IFERROR(__xludf.DUMMYFUNCTION("IFs(REGEXMATCH(I401, ""NOT""), 0, REGEXMATCH(I401, ""NO""), 0, REGEXMATCH(I401, ""TURBID""),1, COUNTBLANK(I401),"""", istext(I401),"""")"),0.0)</f>
        <v>0</v>
      </c>
      <c r="I401" s="23" t="str">
        <f>'3.5.raw'!R401</f>
        <v>NOT TURBID</v>
      </c>
    </row>
    <row r="402">
      <c r="A402" s="23" t="str">
        <f t="shared" si="8"/>
        <v>MO1116</v>
      </c>
      <c r="B402" s="23" t="str">
        <f>'3.5.raw'!I402</f>
        <v>MO1116</v>
      </c>
      <c r="C402" s="24">
        <f>datevalue(left('3.5.raw'!K402,10))</f>
        <v>43783</v>
      </c>
      <c r="D402" s="23">
        <f>'3.5.raw'!H402</f>
        <v>12</v>
      </c>
      <c r="E402" s="1">
        <v>3.5</v>
      </c>
      <c r="F402" s="23" t="b">
        <f>if(countif(Status!C:C,A402)=1,TRUE, FALSE)</f>
        <v>1</v>
      </c>
      <c r="H402" s="23" t="str">
        <f>IFERROR(__xludf.DUMMYFUNCTION("IFs(REGEXMATCH(I402, ""NOT""), 0, REGEXMATCH(I402, ""NO""), 0, REGEXMATCH(I402, ""TURBID""),1, COUNTBLANK(I402),"""", istext(I402),"""")"),"")</f>
        <v/>
      </c>
      <c r="I402" s="23" t="str">
        <f>'3.5.raw'!R402</f>
        <v/>
      </c>
    </row>
    <row r="403">
      <c r="A403" s="23" t="str">
        <f t="shared" si="8"/>
        <v>MO1117</v>
      </c>
      <c r="B403" s="23" t="str">
        <f>'3.5.raw'!I403</f>
        <v>MO1117</v>
      </c>
      <c r="C403" s="24">
        <f>datevalue(left('3.5.raw'!K403,10))</f>
        <v>43783</v>
      </c>
      <c r="D403" s="23">
        <f>'3.5.raw'!H403</f>
        <v>12</v>
      </c>
      <c r="E403" s="1">
        <v>3.5</v>
      </c>
      <c r="F403" s="23" t="b">
        <f>if(countif(Status!C:C,A403)=1,TRUE, FALSE)</f>
        <v>1</v>
      </c>
      <c r="H403" s="23" t="str">
        <f>IFERROR(__xludf.DUMMYFUNCTION("IFs(REGEXMATCH(I403, ""NOT""), 0, REGEXMATCH(I403, ""NO""), 0, REGEXMATCH(I403, ""TURBID""),1, COUNTBLANK(I403),"""", istext(I403),"""")"),"")</f>
        <v/>
      </c>
      <c r="I403" s="23" t="str">
        <f>'3.5.raw'!R403</f>
        <v/>
      </c>
    </row>
    <row r="404">
      <c r="A404" s="23" t="str">
        <f t="shared" si="8"/>
        <v>FB1130UP</v>
      </c>
      <c r="B404" s="23" t="str">
        <f>'3.5.raw'!I404</f>
        <v>FB1130UP</v>
      </c>
      <c r="C404" s="24">
        <f>datevalue(left('3.5.raw'!K404,10))</f>
        <v>43783</v>
      </c>
      <c r="D404" s="23">
        <f>'3.5.raw'!H404</f>
        <v>99</v>
      </c>
      <c r="E404" s="1">
        <v>3.5</v>
      </c>
      <c r="F404" s="23" t="b">
        <f>if(countif(Status!C:C,A404)=1,TRUE, FALSE)</f>
        <v>1</v>
      </c>
      <c r="H404" s="23">
        <f>IFERROR(__xludf.DUMMYFUNCTION("IFs(REGEXMATCH(I404, ""NOT""), 0, REGEXMATCH(I404, ""NO""), 0, REGEXMATCH(I404, ""TURBID""),1, COUNTBLANK(I404),"""", istext(I404),"""")"),0.0)</f>
        <v>0</v>
      </c>
      <c r="I404" s="23" t="str">
        <f>'3.5.raw'!R404</f>
        <v>Associated Sample MO1116 and NOT TURBID</v>
      </c>
    </row>
    <row r="405">
      <c r="A405" s="23" t="str">
        <f t="shared" si="8"/>
        <v>FB1131UP</v>
      </c>
      <c r="B405" s="23" t="str">
        <f>'3.5.raw'!I405</f>
        <v>FB1131UP</v>
      </c>
      <c r="C405" s="24">
        <f>datevalue(left('3.5.raw'!K405,10))</f>
        <v>43783</v>
      </c>
      <c r="D405" s="23">
        <f>'3.5.raw'!H405</f>
        <v>99</v>
      </c>
      <c r="E405" s="1">
        <v>3.5</v>
      </c>
      <c r="F405" s="23" t="b">
        <f>if(countif(Status!C:C,A405)=1,TRUE, FALSE)</f>
        <v>1</v>
      </c>
      <c r="H405" s="23">
        <f>IFERROR(__xludf.DUMMYFUNCTION("IFs(REGEXMATCH(I405, ""NOT""), 0, REGEXMATCH(I405, ""NO""), 0, REGEXMATCH(I405, ""TURBID""),1, COUNTBLANK(I405),"""", istext(I405),"""")"),0.0)</f>
        <v>0</v>
      </c>
      <c r="I405" s="23" t="str">
        <f>'3.5.raw'!R405</f>
        <v>Associated Sample and NOT TURBID</v>
      </c>
    </row>
    <row r="406">
      <c r="A406" s="23" t="str">
        <f t="shared" si="8"/>
        <v>PLc1076</v>
      </c>
      <c r="B406" s="23" t="str">
        <f>'3.5.raw'!I406</f>
        <v>PLc1076</v>
      </c>
      <c r="C406" s="24">
        <f>datevalue(left('3.5.raw'!K406,10))</f>
        <v>43784</v>
      </c>
      <c r="D406" s="23">
        <f>'3.5.raw'!H406</f>
        <v>11</v>
      </c>
      <c r="E406" s="1">
        <v>3.5</v>
      </c>
      <c r="F406" s="23" t="b">
        <f>if(countif(Status!C:C,A406)=1,TRUE, FALSE)</f>
        <v>1</v>
      </c>
      <c r="H406" s="23" t="str">
        <f>IFERROR(__xludf.DUMMYFUNCTION("IFs(REGEXMATCH(I406, ""NOT""), 0, REGEXMATCH(I406, ""NO""), 0, REGEXMATCH(I406, ""TURBID""),1, COUNTBLANK(I406),"""", istext(I406),"""")"),"")</f>
        <v/>
      </c>
      <c r="I406" s="23" t="str">
        <f>'3.5.raw'!R406</f>
        <v/>
      </c>
    </row>
    <row r="407">
      <c r="A407" s="23" t="str">
        <f t="shared" si="8"/>
        <v>PLc1077</v>
      </c>
      <c r="B407" s="23" t="str">
        <f>'3.5.raw'!I407</f>
        <v>PLc1077</v>
      </c>
      <c r="C407" s="24">
        <f>datevalue(left('3.5.raw'!K407,10))</f>
        <v>43784</v>
      </c>
      <c r="D407" s="23">
        <f>'3.5.raw'!H407</f>
        <v>11</v>
      </c>
      <c r="E407" s="1">
        <v>3.5</v>
      </c>
      <c r="F407" s="23" t="b">
        <f>if(countif(Status!C:C,A407)=1,TRUE, FALSE)</f>
        <v>1</v>
      </c>
      <c r="H407" s="23" t="str">
        <f>IFERROR(__xludf.DUMMYFUNCTION("IFs(REGEXMATCH(I407, ""NOT""), 0, REGEXMATCH(I407, ""NO""), 0, REGEXMATCH(I407, ""TURBID""),1, COUNTBLANK(I407),"""", istext(I407),"""")"),"")</f>
        <v/>
      </c>
      <c r="I407" s="23" t="str">
        <f>'3.5.raw'!R407</f>
        <v/>
      </c>
    </row>
    <row r="408">
      <c r="A408" s="23" t="str">
        <f t="shared" si="8"/>
        <v>PLc1078</v>
      </c>
      <c r="B408" s="23" t="str">
        <f>'3.5.raw'!I408</f>
        <v>PLc1078</v>
      </c>
      <c r="C408" s="24">
        <f>datevalue(left('3.5.raw'!K408,10))</f>
        <v>43784</v>
      </c>
      <c r="D408" s="23">
        <f>'3.5.raw'!H408</f>
        <v>11</v>
      </c>
      <c r="E408" s="1">
        <v>3.5</v>
      </c>
      <c r="F408" s="23" t="b">
        <f>if(countif(Status!C:C,A408)=1,TRUE, FALSE)</f>
        <v>1</v>
      </c>
      <c r="H408" s="23" t="str">
        <f>IFERROR(__xludf.DUMMYFUNCTION("IFs(REGEXMATCH(I408, ""NOT""), 0, REGEXMATCH(I408, ""NO""), 0, REGEXMATCH(I408, ""TURBID""),1, COUNTBLANK(I408),"""", istext(I408),"""")"),"")</f>
        <v/>
      </c>
      <c r="I408" s="23" t="str">
        <f>'3.5.raw'!R408</f>
        <v/>
      </c>
    </row>
    <row r="409">
      <c r="A409" s="23" t="str">
        <f t="shared" si="8"/>
        <v>PLc1079</v>
      </c>
      <c r="B409" s="23" t="str">
        <f>'3.5.raw'!I409</f>
        <v>PLc1079</v>
      </c>
      <c r="C409" s="24">
        <f>datevalue(left('3.5.raw'!K409,10))</f>
        <v>43784</v>
      </c>
      <c r="D409" s="23">
        <f>'3.5.raw'!H409</f>
        <v>11</v>
      </c>
      <c r="E409" s="1">
        <v>3.5</v>
      </c>
      <c r="F409" s="23" t="b">
        <f>if(countif(Status!C:C,A409)=1,TRUE, FALSE)</f>
        <v>1</v>
      </c>
      <c r="H409" s="23" t="str">
        <f>IFERROR(__xludf.DUMMYFUNCTION("IFs(REGEXMATCH(I409, ""NOT""), 0, REGEXMATCH(I409, ""NO""), 0, REGEXMATCH(I409, ""TURBID""),1, COUNTBLANK(I409),"""", istext(I409),"""")"),"")</f>
        <v/>
      </c>
      <c r="I409" s="23" t="str">
        <f>'3.5.raw'!R409</f>
        <v/>
      </c>
    </row>
    <row r="410">
      <c r="A410" s="23" t="str">
        <f t="shared" si="8"/>
        <v>PLc1080</v>
      </c>
      <c r="B410" s="23" t="str">
        <f>'3.5.raw'!I410</f>
        <v>PLc1080</v>
      </c>
      <c r="C410" s="24">
        <f>datevalue(left('3.5.raw'!K410,10))</f>
        <v>43784</v>
      </c>
      <c r="D410" s="23">
        <f>'3.5.raw'!H410</f>
        <v>11</v>
      </c>
      <c r="E410" s="1">
        <v>3.5</v>
      </c>
      <c r="F410" s="23" t="b">
        <f>if(countif(Status!C:C,A410)=1,TRUE, FALSE)</f>
        <v>1</v>
      </c>
      <c r="H410" s="23" t="str">
        <f>IFERROR(__xludf.DUMMYFUNCTION("IFs(REGEXMATCH(I410, ""NOT""), 0, REGEXMATCH(I410, ""NO""), 0, REGEXMATCH(I410, ""TURBID""),1, COUNTBLANK(I410),"""", istext(I410),"""")"),"")</f>
        <v/>
      </c>
      <c r="I410" s="23" t="str">
        <f>'3.5.raw'!R410</f>
        <v/>
      </c>
    </row>
    <row r="411">
      <c r="A411" s="23" t="str">
        <f t="shared" si="8"/>
        <v>FB1132UP</v>
      </c>
      <c r="B411" s="23" t="str">
        <f>'3.5.raw'!I411</f>
        <v>FB1132UP</v>
      </c>
      <c r="C411" s="24">
        <f>datevalue(left('3.5.raw'!K411,10))</f>
        <v>43784</v>
      </c>
      <c r="D411" s="23">
        <f>'3.5.raw'!H411</f>
        <v>99</v>
      </c>
      <c r="E411" s="1">
        <v>3.5</v>
      </c>
      <c r="F411" s="23" t="b">
        <f>if(countif(Status!C:C,A411)=1,TRUE, FALSE)</f>
        <v>1</v>
      </c>
      <c r="H411" s="23">
        <f>IFERROR(__xludf.DUMMYFUNCTION("IFs(REGEXMATCH(I411, ""NOT""), 0, REGEXMATCH(I411, ""NO""), 0, REGEXMATCH(I411, ""TURBID""),1, COUNTBLANK(I411),"""", istext(I411),"""")"),0.0)</f>
        <v>0</v>
      </c>
      <c r="I411" s="23" t="str">
        <f>'3.5.raw'!R411</f>
        <v>Associated Sample PLc1076 and NOT TURBID</v>
      </c>
    </row>
    <row r="412">
      <c r="A412" s="23" t="str">
        <f t="shared" si="8"/>
        <v>FB1133UP</v>
      </c>
      <c r="B412" s="23" t="str">
        <f>'3.5.raw'!I412</f>
        <v>FB1133UP</v>
      </c>
      <c r="C412" s="24">
        <f>datevalue(left('3.5.raw'!K412,10))</f>
        <v>43784</v>
      </c>
      <c r="D412" s="23">
        <f>'3.5.raw'!H412</f>
        <v>99</v>
      </c>
      <c r="E412" s="1">
        <v>3.5</v>
      </c>
      <c r="F412" s="23" t="b">
        <f>if(countif(Status!C:C,A412)=1,TRUE, FALSE)</f>
        <v>1</v>
      </c>
      <c r="H412" s="23">
        <f>IFERROR(__xludf.DUMMYFUNCTION("IFs(REGEXMATCH(I412, ""NOT""), 0, REGEXMATCH(I412, ""NO""), 0, REGEXMATCH(I412, ""TURBID""),1, COUNTBLANK(I412),"""", istext(I412),"""")"),0.0)</f>
        <v>0</v>
      </c>
      <c r="I412" s="23" t="str">
        <f>'3.5.raw'!R412</f>
        <v>Associated Sample PLc1077 and NOT TURBID</v>
      </c>
    </row>
    <row r="413">
      <c r="A413" s="23" t="str">
        <f t="shared" si="8"/>
        <v>FB1134UP</v>
      </c>
      <c r="B413" s="23" t="str">
        <f>'3.5.raw'!I413</f>
        <v>FB1134UP</v>
      </c>
      <c r="C413" s="24">
        <f>datevalue(left('3.5.raw'!K413,10))</f>
        <v>43784</v>
      </c>
      <c r="D413" s="23">
        <f>'3.5.raw'!H413</f>
        <v>99</v>
      </c>
      <c r="E413" s="1">
        <v>3.5</v>
      </c>
      <c r="F413" s="23" t="b">
        <f>if(countif(Status!C:C,A413)=1,TRUE, FALSE)</f>
        <v>1</v>
      </c>
      <c r="H413" s="23">
        <f>IFERROR(__xludf.DUMMYFUNCTION("IFs(REGEXMATCH(I413, ""NOT""), 0, REGEXMATCH(I413, ""NO""), 0, REGEXMATCH(I413, ""TURBID""),1, COUNTBLANK(I413),"""", istext(I413),"""")"),0.0)</f>
        <v>0</v>
      </c>
      <c r="I413" s="23" t="str">
        <f>'3.5.raw'!R413</f>
        <v>Associated Sample PLc1078 and NOT TURBID</v>
      </c>
    </row>
    <row r="414">
      <c r="A414" s="23" t="str">
        <f t="shared" si="8"/>
        <v>FB1135UP</v>
      </c>
      <c r="B414" s="23" t="str">
        <f>'3.5.raw'!I414</f>
        <v>FB1135UP</v>
      </c>
      <c r="C414" s="24">
        <f>datevalue(left('3.5.raw'!K414,10))</f>
        <v>43784</v>
      </c>
      <c r="D414" s="23">
        <f>'3.5.raw'!H414</f>
        <v>99</v>
      </c>
      <c r="E414" s="1">
        <v>3.5</v>
      </c>
      <c r="F414" s="23" t="b">
        <f>if(countif(Status!C:C,A414)=1,TRUE, FALSE)</f>
        <v>1</v>
      </c>
      <c r="H414" s="23">
        <f>IFERROR(__xludf.DUMMYFUNCTION("IFs(REGEXMATCH(I414, ""NOT""), 0, REGEXMATCH(I414, ""NO""), 0, REGEXMATCH(I414, ""TURBID""),1, COUNTBLANK(I414),"""", istext(I414),"""")"),0.0)</f>
        <v>0</v>
      </c>
      <c r="I414" s="23" t="str">
        <f>'3.5.raw'!R414</f>
        <v>Associated Sample PLc1079 and NOT TURBID</v>
      </c>
    </row>
    <row r="415">
      <c r="A415" s="23" t="str">
        <f t="shared" si="8"/>
        <v>FB1136UP</v>
      </c>
      <c r="B415" s="23" t="str">
        <f>'3.5.raw'!I415</f>
        <v>FB1136UP</v>
      </c>
      <c r="C415" s="24">
        <f>datevalue(left('3.5.raw'!K415,10))</f>
        <v>43784</v>
      </c>
      <c r="D415" s="23">
        <f>'3.5.raw'!H415</f>
        <v>99</v>
      </c>
      <c r="E415" s="1">
        <v>3.5</v>
      </c>
      <c r="F415" s="23" t="b">
        <f>if(countif(Status!C:C,A415)=1,TRUE, FALSE)</f>
        <v>1</v>
      </c>
      <c r="H415" s="23">
        <f>IFERROR(__xludf.DUMMYFUNCTION("IFs(REGEXMATCH(I415, ""NOT""), 0, REGEXMATCH(I415, ""NO""), 0, REGEXMATCH(I415, ""TURBID""),1, COUNTBLANK(I415),"""", istext(I415),"""")"),0.0)</f>
        <v>0</v>
      </c>
      <c r="I415" s="23" t="str">
        <f>'3.5.raw'!R415</f>
        <v>Associated Sample PLc1080 and NOT TURBID</v>
      </c>
    </row>
    <row r="416">
      <c r="A416" s="49" t="s">
        <v>283</v>
      </c>
      <c r="B416" s="23" t="str">
        <f>'3.5.raw'!I416</f>
        <v>UPNC48</v>
      </c>
      <c r="C416" s="24">
        <f>datevalue(left('3.5.raw'!K416,10))</f>
        <v>43784</v>
      </c>
      <c r="D416" s="23">
        <f>'3.5.raw'!H416</f>
        <v>98</v>
      </c>
      <c r="E416" s="1">
        <v>3.5</v>
      </c>
      <c r="F416" s="23" t="b">
        <f>if(countif(Status!C:C,A416)=1,TRUE, FALSE)</f>
        <v>1</v>
      </c>
      <c r="H416" s="23">
        <f>IFERROR(__xludf.DUMMYFUNCTION("IFs(REGEXMATCH(I416, ""NOT""), 0, REGEXMATCH(I416, ""NO""), 0, REGEXMATCH(I416, ""TURBID""),1, COUNTBLANK(I416),"""", istext(I416),"""")"),0.0)</f>
        <v>0</v>
      </c>
      <c r="I416" s="23" t="str">
        <f>'3.5.raw'!R416</f>
        <v>NOT TURBID</v>
      </c>
    </row>
    <row r="417">
      <c r="A417" s="23" t="str">
        <f t="shared" ref="A417:A426" si="9">SUBSTITUTE(B417, " ", "")</f>
        <v>FB1137UP</v>
      </c>
      <c r="B417" s="23" t="str">
        <f>'3.5.raw'!I417</f>
        <v>FB1137UP</v>
      </c>
      <c r="C417" s="24">
        <f>datevalue(left('3.5.raw'!K417,10))</f>
        <v>43784</v>
      </c>
      <c r="D417" s="23">
        <f>'3.5.raw'!H417</f>
        <v>99</v>
      </c>
      <c r="E417" s="1">
        <v>3.5</v>
      </c>
      <c r="F417" s="23" t="b">
        <f>if(countif(Status!C:C,A417)=1,TRUE, FALSE)</f>
        <v>1</v>
      </c>
      <c r="H417" s="23">
        <f>IFERROR(__xludf.DUMMYFUNCTION("IFs(REGEXMATCH(I417, ""NOT""), 0, REGEXMATCH(I417, ""NO""), 0, REGEXMATCH(I417, ""TURBID""),1, COUNTBLANK(I417),"""", istext(I417),"""")"),0.0)</f>
        <v>0</v>
      </c>
      <c r="I417" s="23" t="str">
        <f>'3.5.raw'!R417</f>
        <v>Associated Sample FPd1005, FPb1005, FPc1005, FPa1005, FPe1005 and NOT TURBID</v>
      </c>
    </row>
    <row r="418">
      <c r="A418" s="23" t="str">
        <f t="shared" si="9"/>
        <v>PLc1081</v>
      </c>
      <c r="B418" s="23" t="str">
        <f>'3.5.raw'!I418</f>
        <v>PLc1081</v>
      </c>
      <c r="C418" s="24">
        <f>datevalue(left('3.5.raw'!K418,10))</f>
        <v>43787</v>
      </c>
      <c r="D418" s="23">
        <f>'3.5.raw'!H418</f>
        <v>11</v>
      </c>
      <c r="E418" s="1">
        <v>3.5</v>
      </c>
      <c r="F418" s="23" t="b">
        <f>if(countif(Status!C:C,A418)=1,TRUE, FALSE)</f>
        <v>1</v>
      </c>
      <c r="H418" s="23" t="str">
        <f>IFERROR(__xludf.DUMMYFUNCTION("IFs(REGEXMATCH(I418, ""NOT""), 0, REGEXMATCH(I418, ""NO""), 0, REGEXMATCH(I418, ""TURBID""),1, COUNTBLANK(I418),"""", istext(I418),"""")"),"")</f>
        <v/>
      </c>
      <c r="I418" s="23" t="str">
        <f>'3.5.raw'!R418</f>
        <v/>
      </c>
    </row>
    <row r="419">
      <c r="A419" s="23" t="str">
        <f t="shared" si="9"/>
        <v>FB1138UP</v>
      </c>
      <c r="B419" s="23" t="str">
        <f>'3.5.raw'!I419</f>
        <v>FB1138UP</v>
      </c>
      <c r="C419" s="24">
        <f>datevalue(left('3.5.raw'!K419,10))</f>
        <v>43787</v>
      </c>
      <c r="D419" s="23">
        <f>'3.5.raw'!H419</f>
        <v>99</v>
      </c>
      <c r="E419" s="1">
        <v>3.5</v>
      </c>
      <c r="F419" s="23" t="b">
        <f>if(countif(Status!C:C,A419)=1,TRUE, FALSE)</f>
        <v>1</v>
      </c>
      <c r="H419" s="23">
        <f>IFERROR(__xludf.DUMMYFUNCTION("IFs(REGEXMATCH(I419, ""NOT""), 0, REGEXMATCH(I419, ""NO""), 0, REGEXMATCH(I419, ""TURBID""),1, COUNTBLANK(I419),"""", istext(I419),"""")"),0.0)</f>
        <v>0</v>
      </c>
      <c r="I419" s="23" t="str">
        <f>'3.5.raw'!R419</f>
        <v>Associated Sample PLc1081 and NOT TURBID</v>
      </c>
    </row>
    <row r="420">
      <c r="A420" s="23" t="str">
        <f t="shared" si="9"/>
        <v>PLc1082</v>
      </c>
      <c r="B420" s="23" t="str">
        <f>'3.5.raw'!I420</f>
        <v>PLc1082</v>
      </c>
      <c r="C420" s="24">
        <f>datevalue(left('3.5.raw'!K420,10))</f>
        <v>43787</v>
      </c>
      <c r="D420" s="23">
        <f>'3.5.raw'!H420</f>
        <v>11</v>
      </c>
      <c r="E420" s="1">
        <v>3.5</v>
      </c>
      <c r="F420" s="23" t="b">
        <f>if(countif(Status!C:C,A420)=1,TRUE, FALSE)</f>
        <v>1</v>
      </c>
      <c r="H420" s="23" t="str">
        <f>IFERROR(__xludf.DUMMYFUNCTION("IFs(REGEXMATCH(I420, ""NOT""), 0, REGEXMATCH(I420, ""NO""), 0, REGEXMATCH(I420, ""TURBID""),1, COUNTBLANK(I420),"""", istext(I420),"""")"),"")</f>
        <v/>
      </c>
      <c r="I420" s="23" t="str">
        <f>'3.5.raw'!R420</f>
        <v/>
      </c>
    </row>
    <row r="421">
      <c r="A421" s="23" t="str">
        <f t="shared" si="9"/>
        <v>FB1139UP</v>
      </c>
      <c r="B421" s="23" t="str">
        <f>'3.5.raw'!I421</f>
        <v>FB1139UP</v>
      </c>
      <c r="C421" s="24">
        <f>datevalue(left('3.5.raw'!K421,10))</f>
        <v>43787</v>
      </c>
      <c r="D421" s="23">
        <f>'3.5.raw'!H421</f>
        <v>99</v>
      </c>
      <c r="E421" s="1">
        <v>3.5</v>
      </c>
      <c r="F421" s="23" t="b">
        <f>if(countif(Status!C:C,A421)=1,TRUE, FALSE)</f>
        <v>1</v>
      </c>
      <c r="H421" s="23">
        <f>IFERROR(__xludf.DUMMYFUNCTION("IFs(REGEXMATCH(I421, ""NOT""), 0, REGEXMATCH(I421, ""NO""), 0, REGEXMATCH(I421, ""TURBID""),1, COUNTBLANK(I421),"""", istext(I421),"""")"),0.0)</f>
        <v>0</v>
      </c>
      <c r="I421" s="23" t="str">
        <f>'3.5.raw'!R421</f>
        <v>Associated Sample PLc1082 and NOT TURBID</v>
      </c>
    </row>
    <row r="422">
      <c r="A422" s="23" t="str">
        <f t="shared" si="9"/>
        <v>PLc1083</v>
      </c>
      <c r="B422" s="23" t="str">
        <f>'3.5.raw'!I422</f>
        <v>PLc1083</v>
      </c>
      <c r="C422" s="24">
        <f>datevalue(left('3.5.raw'!K422,10))</f>
        <v>43787</v>
      </c>
      <c r="D422" s="23">
        <f>'3.5.raw'!H422</f>
        <v>11</v>
      </c>
      <c r="E422" s="1">
        <v>3.5</v>
      </c>
      <c r="F422" s="23" t="b">
        <f>if(countif(Status!C:C,A422)=1,TRUE, FALSE)</f>
        <v>1</v>
      </c>
      <c r="H422" s="23" t="str">
        <f>IFERROR(__xludf.DUMMYFUNCTION("IFs(REGEXMATCH(I422, ""NOT""), 0, REGEXMATCH(I422, ""NO""), 0, REGEXMATCH(I422, ""TURBID""),1, COUNTBLANK(I422),"""", istext(I422),"""")"),"")</f>
        <v/>
      </c>
      <c r="I422" s="23" t="str">
        <f>'3.5.raw'!R422</f>
        <v/>
      </c>
    </row>
    <row r="423">
      <c r="A423" s="23" t="str">
        <f t="shared" si="9"/>
        <v>FB1140UP</v>
      </c>
      <c r="B423" s="23" t="str">
        <f>'3.5.raw'!I423</f>
        <v>FB1140UP</v>
      </c>
      <c r="C423" s="24">
        <f>datevalue(left('3.5.raw'!K423,10))</f>
        <v>43787</v>
      </c>
      <c r="D423" s="23">
        <f>'3.5.raw'!H423</f>
        <v>99</v>
      </c>
      <c r="E423" s="1">
        <v>3.5</v>
      </c>
      <c r="F423" s="23" t="b">
        <f>if(countif(Status!C:C,A423)=1,TRUE, FALSE)</f>
        <v>1</v>
      </c>
      <c r="H423" s="23">
        <f>IFERROR(__xludf.DUMMYFUNCTION("IFs(REGEXMATCH(I423, ""NOT""), 0, REGEXMATCH(I423, ""NO""), 0, REGEXMATCH(I423, ""TURBID""),1, COUNTBLANK(I423),"""", istext(I423),"""")"),0.0)</f>
        <v>0</v>
      </c>
      <c r="I423" s="23" t="str">
        <f>'3.5.raw'!R423</f>
        <v>Associated Sample PLc1083 and NOT TURBID</v>
      </c>
    </row>
    <row r="424">
      <c r="A424" s="23" t="str">
        <f t="shared" si="9"/>
        <v>PLc1084</v>
      </c>
      <c r="B424" s="23" t="str">
        <f>'3.5.raw'!I424</f>
        <v>PLc1084</v>
      </c>
      <c r="C424" s="24">
        <f>datevalue(left('3.5.raw'!K424,10))</f>
        <v>43787</v>
      </c>
      <c r="D424" s="23">
        <f>'3.5.raw'!H424</f>
        <v>11</v>
      </c>
      <c r="E424" s="1">
        <v>3.5</v>
      </c>
      <c r="F424" s="23" t="b">
        <f>if(countif(Status!C:C,A424)=1,TRUE, FALSE)</f>
        <v>1</v>
      </c>
      <c r="H424" s="23" t="str">
        <f>IFERROR(__xludf.DUMMYFUNCTION("IFs(REGEXMATCH(I424, ""NOT""), 0, REGEXMATCH(I424, ""NO""), 0, REGEXMATCH(I424, ""TURBID""),1, COUNTBLANK(I424),"""", istext(I424),"""")"),"")</f>
        <v/>
      </c>
      <c r="I424" s="23" t="str">
        <f>'3.5.raw'!R424</f>
        <v/>
      </c>
    </row>
    <row r="425">
      <c r="A425" s="23" t="str">
        <f t="shared" si="9"/>
        <v>FB1141UP</v>
      </c>
      <c r="B425" s="23" t="str">
        <f>'3.5.raw'!I425</f>
        <v>FB1141UP</v>
      </c>
      <c r="C425" s="24">
        <f>datevalue(left('3.5.raw'!K425,10))</f>
        <v>43787</v>
      </c>
      <c r="D425" s="23">
        <f>'3.5.raw'!H425</f>
        <v>99</v>
      </c>
      <c r="E425" s="1">
        <v>3.5</v>
      </c>
      <c r="F425" s="23" t="b">
        <f>if(countif(Status!C:C,A425)=1,TRUE, FALSE)</f>
        <v>1</v>
      </c>
      <c r="H425" s="23">
        <f>IFERROR(__xludf.DUMMYFUNCTION("IFs(REGEXMATCH(I425, ""NOT""), 0, REGEXMATCH(I425, ""NO""), 0, REGEXMATCH(I425, ""TURBID""),1, COUNTBLANK(I425),"""", istext(I425),"""")"),0.0)</f>
        <v>0</v>
      </c>
      <c r="I425" s="23" t="str">
        <f>'3.5.raw'!R425</f>
        <v>Associated Sample PLc1084 and NOT TURBID</v>
      </c>
    </row>
    <row r="426">
      <c r="A426" s="23" t="str">
        <f t="shared" si="9"/>
        <v>PLc1085</v>
      </c>
      <c r="B426" s="23" t="str">
        <f>'3.5.raw'!I426</f>
        <v>PLc1085</v>
      </c>
      <c r="C426" s="24">
        <f>datevalue(left('3.5.raw'!K426,10))</f>
        <v>43788</v>
      </c>
      <c r="D426" s="23">
        <f>'3.5.raw'!H426</f>
        <v>11</v>
      </c>
      <c r="E426" s="1">
        <v>3.5</v>
      </c>
      <c r="F426" s="23" t="b">
        <f>if(countif(Status!C:C,A426)=1,TRUE, FALSE)</f>
        <v>1</v>
      </c>
      <c r="H426" s="23" t="str">
        <f>IFERROR(__xludf.DUMMYFUNCTION("IFs(REGEXMATCH(I426, ""NOT""), 0, REGEXMATCH(I426, ""NO""), 0, REGEXMATCH(I426, ""TURBID""),1, COUNTBLANK(I426),"""", istext(I426),"""")"),"")</f>
        <v/>
      </c>
      <c r="I426" s="23" t="str">
        <f>'3.5.raw'!R426</f>
        <v/>
      </c>
    </row>
    <row r="427">
      <c r="A427" s="49" t="s">
        <v>286</v>
      </c>
      <c r="B427" s="23" t="str">
        <f>'3.5.raw'!I427</f>
        <v>FB1142</v>
      </c>
      <c r="C427" s="24">
        <f>datevalue(left('3.5.raw'!K427,10))</f>
        <v>43788</v>
      </c>
      <c r="D427" s="23">
        <f>'3.5.raw'!H427</f>
        <v>99</v>
      </c>
      <c r="E427" s="1">
        <v>3.5</v>
      </c>
      <c r="F427" s="23" t="b">
        <f>if(countif(Status!C:C,A427)=1,TRUE, FALSE)</f>
        <v>1</v>
      </c>
      <c r="H427" s="23">
        <f>IFERROR(__xludf.DUMMYFUNCTION("IFs(REGEXMATCH(I427, ""NOT""), 0, REGEXMATCH(I427, ""NO""), 0, REGEXMATCH(I427, ""TURBID""),1, COUNTBLANK(I427),"""", istext(I427),"""")"),0.0)</f>
        <v>0</v>
      </c>
      <c r="I427" s="23" t="str">
        <f>'3.5.raw'!R427</f>
        <v>Associated Sample PLc1085 and NOT TURBID</v>
      </c>
    </row>
    <row r="428">
      <c r="A428" s="23" t="str">
        <f>SUBSTITUTE(B428, " ", "")</f>
        <v>PLc1086</v>
      </c>
      <c r="B428" s="23" t="str">
        <f>'3.5.raw'!I428</f>
        <v>PLc1086</v>
      </c>
      <c r="C428" s="24">
        <f>datevalue(left('3.5.raw'!K428,10))</f>
        <v>43788</v>
      </c>
      <c r="D428" s="23">
        <f>'3.5.raw'!H428</f>
        <v>11</v>
      </c>
      <c r="E428" s="1">
        <v>3.5</v>
      </c>
      <c r="F428" s="23" t="b">
        <f>if(countif(Status!C:C,A428)=1,TRUE, FALSE)</f>
        <v>1</v>
      </c>
      <c r="H428" s="23" t="str">
        <f>IFERROR(__xludf.DUMMYFUNCTION("IFs(REGEXMATCH(I428, ""NOT""), 0, REGEXMATCH(I428, ""NO""), 0, REGEXMATCH(I428, ""TURBID""),1, COUNTBLANK(I428),"""", istext(I428),"""")"),"")</f>
        <v/>
      </c>
      <c r="I428" s="23" t="str">
        <f>'3.5.raw'!R428</f>
        <v/>
      </c>
    </row>
    <row r="429">
      <c r="A429" s="49" t="s">
        <v>289</v>
      </c>
      <c r="B429" s="23" t="str">
        <f>'3.5.raw'!I429</f>
        <v>FB1143</v>
      </c>
      <c r="C429" s="24">
        <f>datevalue(left('3.5.raw'!K429,10))</f>
        <v>43788</v>
      </c>
      <c r="D429" s="23">
        <f>'3.5.raw'!H429</f>
        <v>99</v>
      </c>
      <c r="E429" s="1">
        <v>3.5</v>
      </c>
      <c r="F429" s="23" t="b">
        <f>if(countif(Status!C:C,A429)=1,TRUE, FALSE)</f>
        <v>1</v>
      </c>
      <c r="H429" s="23">
        <f>IFERROR(__xludf.DUMMYFUNCTION("IFs(REGEXMATCH(I429, ""NOT""), 0, REGEXMATCH(I429, ""NO""), 0, REGEXMATCH(I429, ""TURBID""),1, COUNTBLANK(I429),"""", istext(I429),"""")"),0.0)</f>
        <v>0</v>
      </c>
      <c r="I429" s="23" t="str">
        <f>'3.5.raw'!R429</f>
        <v>Associated Sample PLc1086 and NOT TURBID</v>
      </c>
    </row>
    <row r="430">
      <c r="A430" s="23" t="str">
        <f>SUBSTITUTE(B430, " ", "")</f>
        <v>PLc1087</v>
      </c>
      <c r="B430" s="23" t="str">
        <f>'3.5.raw'!I430</f>
        <v>PLc1087</v>
      </c>
      <c r="C430" s="24">
        <f>datevalue(left('3.5.raw'!K430,10))</f>
        <v>43788</v>
      </c>
      <c r="D430" s="23">
        <f>'3.5.raw'!H430</f>
        <v>11</v>
      </c>
      <c r="E430" s="1">
        <v>3.5</v>
      </c>
      <c r="F430" s="23" t="b">
        <f>if(countif(Status!C:C,A430)=1,TRUE, FALSE)</f>
        <v>1</v>
      </c>
      <c r="H430" s="23">
        <f>IFERROR(__xludf.DUMMYFUNCTION("IFs(REGEXMATCH(I430, ""NOT""), 0, REGEXMATCH(I430, ""NO""), 0, REGEXMATCH(I430, ""TURBID""),1, COUNTBLANK(I430),"""", istext(I430),"""")"),0.0)</f>
        <v>0</v>
      </c>
      <c r="I430" s="23" t="str">
        <f>'3.5.raw'!R430</f>
        <v>NOT TURBID</v>
      </c>
    </row>
    <row r="431">
      <c r="A431" s="49" t="s">
        <v>291</v>
      </c>
      <c r="B431" s="23" t="str">
        <f>'3.5.raw'!I431</f>
        <v>FB1144</v>
      </c>
      <c r="C431" s="24">
        <f>datevalue(left('3.5.raw'!K431,10))</f>
        <v>43788</v>
      </c>
      <c r="D431" s="23">
        <f>'3.5.raw'!H431</f>
        <v>99</v>
      </c>
      <c r="E431" s="1">
        <v>3.5</v>
      </c>
      <c r="F431" s="23" t="b">
        <f>if(countif(Status!C:C,A431)=1,TRUE, FALSE)</f>
        <v>1</v>
      </c>
      <c r="H431" s="23">
        <f>IFERROR(__xludf.DUMMYFUNCTION("IFs(REGEXMATCH(I431, ""NOT""), 0, REGEXMATCH(I431, ""NO""), 0, REGEXMATCH(I431, ""TURBID""),1, COUNTBLANK(I431),"""", istext(I431),"""")"),0.0)</f>
        <v>0</v>
      </c>
      <c r="I431" s="23" t="str">
        <f>'3.5.raw'!R431</f>
        <v>Associated Sample PLc1087 and NOT TURBID</v>
      </c>
    </row>
    <row r="432">
      <c r="A432" s="23" t="str">
        <f>SUBSTITUTE(B432, " ", "")</f>
        <v>MO1118</v>
      </c>
      <c r="B432" s="23" t="str">
        <f>'3.5.raw'!I432</f>
        <v>MO1118</v>
      </c>
      <c r="C432" s="24">
        <f>datevalue(left('3.5.raw'!K432,10))</f>
        <v>43788</v>
      </c>
      <c r="D432" s="23">
        <f>'3.5.raw'!H432</f>
        <v>12</v>
      </c>
      <c r="E432" s="1">
        <v>3.5</v>
      </c>
      <c r="F432" s="23" t="b">
        <f>if(countif(Status!C:C,A432)=1,TRUE, FALSE)</f>
        <v>1</v>
      </c>
      <c r="H432" s="23" t="str">
        <f>IFERROR(__xludf.DUMMYFUNCTION("IFs(REGEXMATCH(I432, ""NOT""), 0, REGEXMATCH(I432, ""NO""), 0, REGEXMATCH(I432, ""TURBID""),1, COUNTBLANK(I432),"""", istext(I432),"""")"),"")</f>
        <v/>
      </c>
      <c r="I432" s="23" t="str">
        <f>'3.5.raw'!R432</f>
        <v/>
      </c>
    </row>
    <row r="433">
      <c r="A433" s="49" t="s">
        <v>293</v>
      </c>
      <c r="B433" s="23" t="str">
        <f>'3.5.raw'!I433</f>
        <v>FB1145</v>
      </c>
      <c r="C433" s="24">
        <f>datevalue(left('3.5.raw'!K433,10))</f>
        <v>43788</v>
      </c>
      <c r="D433" s="23">
        <f>'3.5.raw'!H433</f>
        <v>99</v>
      </c>
      <c r="E433" s="1">
        <v>3.5</v>
      </c>
      <c r="F433" s="23" t="b">
        <f>if(countif(Status!C:C,A433)=1,TRUE, FALSE)</f>
        <v>1</v>
      </c>
      <c r="H433" s="23">
        <f>IFERROR(__xludf.DUMMYFUNCTION("IFs(REGEXMATCH(I433, ""NOT""), 0, REGEXMATCH(I433, ""NO""), 0, REGEXMATCH(I433, ""TURBID""),1, COUNTBLANK(I433),"""", istext(I433),"""")"),0.0)</f>
        <v>0</v>
      </c>
      <c r="I433" s="23" t="str">
        <f>'3.5.raw'!R433</f>
        <v>Associated Sample MO1118 and NOT TURBID</v>
      </c>
    </row>
    <row r="434">
      <c r="A434" s="23" t="str">
        <f>SUBSTITUTE(B434, " ", "")</f>
        <v>MO1119</v>
      </c>
      <c r="B434" s="23" t="str">
        <f>'3.5.raw'!I434</f>
        <v>MO1119</v>
      </c>
      <c r="C434" s="24">
        <f>datevalue(left('3.5.raw'!K434,10))</f>
        <v>43788</v>
      </c>
      <c r="D434" s="23">
        <f>'3.5.raw'!H434</f>
        <v>12</v>
      </c>
      <c r="E434" s="1">
        <v>3.5</v>
      </c>
      <c r="F434" s="23" t="b">
        <f>if(countif(Status!C:C,A434)=1,TRUE, FALSE)</f>
        <v>1</v>
      </c>
      <c r="H434" s="23" t="str">
        <f>IFERROR(__xludf.DUMMYFUNCTION("IFs(REGEXMATCH(I434, ""NOT""), 0, REGEXMATCH(I434, ""NO""), 0, REGEXMATCH(I434, ""TURBID""),1, COUNTBLANK(I434),"""", istext(I434),"""")"),"")</f>
        <v/>
      </c>
      <c r="I434" s="23" t="str">
        <f>'3.5.raw'!R434</f>
        <v/>
      </c>
    </row>
    <row r="435">
      <c r="A435" s="49" t="s">
        <v>295</v>
      </c>
      <c r="B435" s="23" t="str">
        <f>'3.5.raw'!I435</f>
        <v>FB1146</v>
      </c>
      <c r="C435" s="24">
        <f>datevalue(left('3.5.raw'!K435,10))</f>
        <v>43788</v>
      </c>
      <c r="D435" s="23">
        <f>'3.5.raw'!H435</f>
        <v>99</v>
      </c>
      <c r="E435" s="1">
        <v>3.5</v>
      </c>
      <c r="F435" s="23" t="b">
        <f>if(countif(Status!C:C,A435)=1,TRUE, FALSE)</f>
        <v>1</v>
      </c>
      <c r="H435" s="23">
        <f>IFERROR(__xludf.DUMMYFUNCTION("IFs(REGEXMATCH(I435, ""NOT""), 0, REGEXMATCH(I435, ""NO""), 0, REGEXMATCH(I435, ""TURBID""),1, COUNTBLANK(I435),"""", istext(I435),"""")"),0.0)</f>
        <v>0</v>
      </c>
      <c r="I435" s="23" t="str">
        <f>'3.5.raw'!R435</f>
        <v>Associated Sample MO1119 and NOT TURBID</v>
      </c>
    </row>
    <row r="436">
      <c r="A436" s="23" t="str">
        <f t="shared" ref="A436:A440" si="10">SUBSTITUTE(B436, " ", "")</f>
        <v>FB1147UP</v>
      </c>
      <c r="B436" s="23" t="str">
        <f>'3.5.raw'!I436</f>
        <v>FB1147UP</v>
      </c>
      <c r="C436" s="24">
        <f>datevalue(left('3.5.raw'!K436,10))</f>
        <v>43789</v>
      </c>
      <c r="D436" s="23">
        <f>'3.5.raw'!H436</f>
        <v>99</v>
      </c>
      <c r="E436" s="1">
        <v>3.5</v>
      </c>
      <c r="F436" s="23" t="b">
        <f>if(countif(Status!C:C,A436)=1,TRUE, FALSE)</f>
        <v>1</v>
      </c>
      <c r="H436" s="23">
        <f>IFERROR(__xludf.DUMMYFUNCTION("IFs(REGEXMATCH(I436, ""NOT""), 0, REGEXMATCH(I436, ""NO""), 0, REGEXMATCH(I436, ""TURBID""),1, COUNTBLANK(I436),"""", istext(I436),"""")"),1.0)</f>
        <v>1</v>
      </c>
      <c r="I436" s="23" t="str">
        <f>'3.5.raw'!R436</f>
        <v>Associated Sample COa1007, COb1020, COb1021, COb1022 and TURBID</v>
      </c>
    </row>
    <row r="437">
      <c r="A437" s="23" t="str">
        <f t="shared" si="10"/>
        <v>UPNC48</v>
      </c>
      <c r="B437" s="23" t="str">
        <f>'3.5.raw'!I437</f>
        <v>UPNC48</v>
      </c>
      <c r="C437" s="24">
        <f>datevalue(left('3.5.raw'!K437,10))</f>
        <v>43787</v>
      </c>
      <c r="D437" s="23">
        <f>'3.5.raw'!H437</f>
        <v>98</v>
      </c>
      <c r="E437" s="1">
        <v>3.5</v>
      </c>
      <c r="F437" s="23" t="b">
        <f>if(countif(Status!C:C,A437)=1,TRUE, FALSE)</f>
        <v>1</v>
      </c>
      <c r="H437" s="23">
        <f>IFERROR(__xludf.DUMMYFUNCTION("IFs(REGEXMATCH(I437, ""NOT""), 0, REGEXMATCH(I437, ""NO""), 0, REGEXMATCH(I437, ""TURBID""),1, COUNTBLANK(I437),"""", istext(I437),"""")"),0.0)</f>
        <v>0</v>
      </c>
      <c r="I437" s="23" t="str">
        <f>'3.5.raw'!R437</f>
        <v>NOT TURBID</v>
      </c>
    </row>
    <row r="438">
      <c r="A438" s="23" t="str">
        <f t="shared" si="10"/>
        <v>UPNC49</v>
      </c>
      <c r="B438" s="23" t="str">
        <f>'3.5.raw'!I438</f>
        <v>UPNC49</v>
      </c>
      <c r="C438" s="24">
        <f>datevalue(left('3.5.raw'!K438,10))</f>
        <v>43788</v>
      </c>
      <c r="D438" s="23">
        <f>'3.5.raw'!H438</f>
        <v>98</v>
      </c>
      <c r="E438" s="1">
        <v>3.5</v>
      </c>
      <c r="F438" s="23" t="b">
        <f>if(countif(Status!C:C,A438)=1,TRUE, FALSE)</f>
        <v>1</v>
      </c>
      <c r="H438" s="23">
        <f>IFERROR(__xludf.DUMMYFUNCTION("IFs(REGEXMATCH(I438, ""NOT""), 0, REGEXMATCH(I438, ""NO""), 0, REGEXMATCH(I438, ""TURBID""),1, COUNTBLANK(I438),"""", istext(I438),"""")"),0.0)</f>
        <v>0</v>
      </c>
      <c r="I438" s="23" t="str">
        <f>'3.5.raw'!R438</f>
        <v>NOT TURBID</v>
      </c>
    </row>
    <row r="439">
      <c r="A439" s="23" t="str">
        <f t="shared" si="10"/>
        <v>UPNC50</v>
      </c>
      <c r="B439" s="23" t="str">
        <f>'3.5.raw'!I439</f>
        <v>UPNC50</v>
      </c>
      <c r="C439" s="24">
        <f>datevalue(left('3.5.raw'!K439,10))</f>
        <v>43789</v>
      </c>
      <c r="D439" s="23">
        <f>'3.5.raw'!H439</f>
        <v>98</v>
      </c>
      <c r="E439" s="1">
        <v>3.5</v>
      </c>
      <c r="F439" s="23" t="b">
        <f>if(countif(Status!C:C,A439)=1,TRUE, FALSE)</f>
        <v>1</v>
      </c>
      <c r="H439" s="23">
        <f>IFERROR(__xludf.DUMMYFUNCTION("IFs(REGEXMATCH(I439, ""NOT""), 0, REGEXMATCH(I439, ""NO""), 0, REGEXMATCH(I439, ""TURBID""),1, COUNTBLANK(I439),"""", istext(I439),"""")"),0.0)</f>
        <v>0</v>
      </c>
      <c r="I439" s="23" t="str">
        <f>'3.5.raw'!R439</f>
        <v>NOT TURBID</v>
      </c>
    </row>
    <row r="440">
      <c r="A440" s="23" t="str">
        <f t="shared" si="10"/>
        <v>PLc1088</v>
      </c>
      <c r="B440" s="23" t="str">
        <f>'3.5.raw'!I440</f>
        <v>PLc1088</v>
      </c>
      <c r="C440" s="24">
        <f>datevalue(left('3.5.raw'!K440,10))</f>
        <v>43790</v>
      </c>
      <c r="D440" s="23">
        <f>'3.5.raw'!H440</f>
        <v>11</v>
      </c>
      <c r="E440" s="1">
        <v>3.5</v>
      </c>
      <c r="F440" s="23" t="b">
        <f>if(countif(Status!C:C,A440)=1,TRUE, FALSE)</f>
        <v>1</v>
      </c>
      <c r="H440" s="23" t="str">
        <f>IFERROR(__xludf.DUMMYFUNCTION("IFs(REGEXMATCH(I440, ""NOT""), 0, REGEXMATCH(I440, ""NO""), 0, REGEXMATCH(I440, ""TURBID""),1, COUNTBLANK(I440),"""", istext(I440),"""")"),"")</f>
        <v/>
      </c>
      <c r="I440" s="23" t="str">
        <f>'3.5.raw'!R440</f>
        <v/>
      </c>
    </row>
    <row r="441">
      <c r="A441" s="49" t="s">
        <v>297</v>
      </c>
      <c r="B441" s="23" t="str">
        <f>'3.5.raw'!I441</f>
        <v>FB1150</v>
      </c>
      <c r="C441" s="24">
        <f>datevalue(left('3.5.raw'!K441,10))</f>
        <v>43790</v>
      </c>
      <c r="D441" s="23">
        <f>'3.5.raw'!H441</f>
        <v>99</v>
      </c>
      <c r="E441" s="1">
        <v>3.5</v>
      </c>
      <c r="F441" s="23" t="b">
        <f>if(countif(Status!C:C,A441)=1,TRUE, FALSE)</f>
        <v>1</v>
      </c>
      <c r="H441" s="23">
        <f>IFERROR(__xludf.DUMMYFUNCTION("IFs(REGEXMATCH(I441, ""NOT""), 0, REGEXMATCH(I441, ""NO""), 0, REGEXMATCH(I441, ""TURBID""),1, COUNTBLANK(I441),"""", istext(I441),"""")"),1.0)</f>
        <v>1</v>
      </c>
      <c r="I441" s="23" t="str">
        <f>'3.5.raw'!R441</f>
        <v>Associated Sample PLc1088 and TURBID</v>
      </c>
    </row>
    <row r="442">
      <c r="A442" s="23" t="str">
        <f>SUBSTITUTE(B442, " ", "")</f>
        <v>PLc1089</v>
      </c>
      <c r="B442" s="23" t="str">
        <f>'3.5.raw'!I442</f>
        <v>PLc1089</v>
      </c>
      <c r="C442" s="24">
        <f>datevalue(left('3.5.raw'!K442,10))</f>
        <v>43790</v>
      </c>
      <c r="D442" s="23">
        <f>'3.5.raw'!H442</f>
        <v>11</v>
      </c>
      <c r="E442" s="1">
        <v>3.5</v>
      </c>
      <c r="F442" s="23" t="b">
        <f>if(countif(Status!C:C,A442)=1,TRUE, FALSE)</f>
        <v>1</v>
      </c>
      <c r="H442" s="23" t="str">
        <f>IFERROR(__xludf.DUMMYFUNCTION("IFs(REGEXMATCH(I442, ""NOT""), 0, REGEXMATCH(I442, ""NO""), 0, REGEXMATCH(I442, ""TURBID""),1, COUNTBLANK(I442),"""", istext(I442),"""")"),"")</f>
        <v/>
      </c>
      <c r="I442" s="23" t="str">
        <f>'3.5.raw'!R442</f>
        <v/>
      </c>
    </row>
    <row r="443">
      <c r="A443" s="49" t="s">
        <v>299</v>
      </c>
      <c r="B443" s="23" t="str">
        <f>'3.5.raw'!I443</f>
        <v>FB1151</v>
      </c>
      <c r="C443" s="24">
        <f>datevalue(left('3.5.raw'!K443,10))</f>
        <v>43790</v>
      </c>
      <c r="D443" s="23">
        <f>'3.5.raw'!H443</f>
        <v>99</v>
      </c>
      <c r="E443" s="1">
        <v>3.5</v>
      </c>
      <c r="F443" s="23" t="b">
        <f>if(countif(Status!C:C,A443)=1,TRUE, FALSE)</f>
        <v>1</v>
      </c>
      <c r="H443" s="23">
        <f>IFERROR(__xludf.DUMMYFUNCTION("IFs(REGEXMATCH(I443, ""NOT""), 0, REGEXMATCH(I443, ""NO""), 0, REGEXMATCH(I443, ""TURBID""),1, COUNTBLANK(I443),"""", istext(I443),"""")"),0.0)</f>
        <v>0</v>
      </c>
      <c r="I443" s="23" t="str">
        <f>'3.5.raw'!R443</f>
        <v>Associated Sample PLc1089 and NOT TURBID</v>
      </c>
    </row>
    <row r="444">
      <c r="A444" s="23" t="str">
        <f>SUBSTITUTE(B444, " ", "")</f>
        <v>PLc1090</v>
      </c>
      <c r="B444" s="23" t="str">
        <f>'3.5.raw'!I444</f>
        <v>PLc1090</v>
      </c>
      <c r="C444" s="24">
        <f>datevalue(left('3.5.raw'!K444,10))</f>
        <v>43790</v>
      </c>
      <c r="D444" s="23">
        <f>'3.5.raw'!H444</f>
        <v>11</v>
      </c>
      <c r="E444" s="1">
        <v>3.5</v>
      </c>
      <c r="F444" s="23" t="b">
        <f>if(countif(Status!C:C,A444)=1,TRUE, FALSE)</f>
        <v>1</v>
      </c>
      <c r="H444" s="23" t="str">
        <f>IFERROR(__xludf.DUMMYFUNCTION("IFs(REGEXMATCH(I444, ""NOT""), 0, REGEXMATCH(I444, ""NO""), 0, REGEXMATCH(I444, ""TURBID""),1, COUNTBLANK(I444),"""", istext(I444),"""")"),"")</f>
        <v/>
      </c>
      <c r="I444" s="23" t="str">
        <f>'3.5.raw'!R444</f>
        <v/>
      </c>
    </row>
    <row r="445">
      <c r="A445" s="49" t="s">
        <v>301</v>
      </c>
      <c r="B445" s="23" t="str">
        <f>'3.5.raw'!I445</f>
        <v>FB1152</v>
      </c>
      <c r="C445" s="24">
        <f>datevalue(left('3.5.raw'!K445,10))</f>
        <v>43790</v>
      </c>
      <c r="D445" s="23">
        <f>'3.5.raw'!H445</f>
        <v>99</v>
      </c>
      <c r="E445" s="1">
        <v>3.5</v>
      </c>
      <c r="F445" s="23" t="b">
        <f>if(countif(Status!C:C,A445)=1,TRUE, FALSE)</f>
        <v>1</v>
      </c>
      <c r="H445" s="23">
        <f>IFERROR(__xludf.DUMMYFUNCTION("IFs(REGEXMATCH(I445, ""NOT""), 0, REGEXMATCH(I445, ""NO""), 0, REGEXMATCH(I445, ""TURBID""),1, COUNTBLANK(I445),"""", istext(I445),"""")"),0.0)</f>
        <v>0</v>
      </c>
      <c r="I445" s="23" t="str">
        <f>'3.5.raw'!R445</f>
        <v>Associated Sample PLc1090 and NOT TURBID</v>
      </c>
    </row>
    <row r="446">
      <c r="A446" s="23" t="str">
        <f>SUBSTITUTE(B446, " ", "")</f>
        <v>PLc1091</v>
      </c>
      <c r="B446" s="23" t="str">
        <f>'3.5.raw'!I446</f>
        <v>PLc1091</v>
      </c>
      <c r="C446" s="24">
        <f>datevalue(left('3.5.raw'!K446,10))</f>
        <v>43790</v>
      </c>
      <c r="D446" s="23">
        <f>'3.5.raw'!H446</f>
        <v>11</v>
      </c>
      <c r="E446" s="1">
        <v>3.5</v>
      </c>
      <c r="F446" s="23" t="b">
        <f>if(countif(Status!C:C,A446)=1,TRUE, FALSE)</f>
        <v>1</v>
      </c>
      <c r="H446" s="23" t="str">
        <f>IFERROR(__xludf.DUMMYFUNCTION("IFs(REGEXMATCH(I446, ""NOT""), 0, REGEXMATCH(I446, ""NO""), 0, REGEXMATCH(I446, ""TURBID""),1, COUNTBLANK(I446),"""", istext(I446),"""")"),"")</f>
        <v/>
      </c>
      <c r="I446" s="23" t="str">
        <f>'3.5.raw'!R446</f>
        <v/>
      </c>
    </row>
    <row r="447">
      <c r="A447" s="49" t="s">
        <v>303</v>
      </c>
      <c r="B447" s="23" t="str">
        <f>'3.5.raw'!I447</f>
        <v>FB1153</v>
      </c>
      <c r="C447" s="24">
        <f>datevalue(left('3.5.raw'!K447,10))</f>
        <v>43790</v>
      </c>
      <c r="D447" s="23">
        <f>'3.5.raw'!H447</f>
        <v>99</v>
      </c>
      <c r="E447" s="1">
        <v>3.5</v>
      </c>
      <c r="F447" s="23" t="b">
        <f>if(countif(Status!C:C,A447)=1,TRUE, FALSE)</f>
        <v>1</v>
      </c>
      <c r="H447" s="23">
        <f>IFERROR(__xludf.DUMMYFUNCTION("IFs(REGEXMATCH(I447, ""NOT""), 0, REGEXMATCH(I447, ""NO""), 0, REGEXMATCH(I447, ""TURBID""),1, COUNTBLANK(I447),"""", istext(I447),"""")"),0.0)</f>
        <v>0</v>
      </c>
      <c r="I447" s="23" t="str">
        <f>'3.5.raw'!R447</f>
        <v>Associated Sample PLc1091 and NOT TURBID</v>
      </c>
    </row>
    <row r="448">
      <c r="A448" s="23" t="str">
        <f>SUBSTITUTE(B448, " ", "")</f>
        <v>MO1120</v>
      </c>
      <c r="B448" s="23" t="str">
        <f>'3.5.raw'!I448</f>
        <v>MO1120</v>
      </c>
      <c r="C448" s="24">
        <f>datevalue(left('3.5.raw'!K448,10))</f>
        <v>43790</v>
      </c>
      <c r="D448" s="23">
        <f>'3.5.raw'!H448</f>
        <v>12</v>
      </c>
      <c r="E448" s="1">
        <v>3.5</v>
      </c>
      <c r="F448" s="23" t="b">
        <f>if(countif(Status!C:C,A448)=1,TRUE, FALSE)</f>
        <v>1</v>
      </c>
      <c r="H448" s="23" t="str">
        <f>IFERROR(__xludf.DUMMYFUNCTION("IFs(REGEXMATCH(I448, ""NOT""), 0, REGEXMATCH(I448, ""NO""), 0, REGEXMATCH(I448, ""TURBID""),1, COUNTBLANK(I448),"""", istext(I448),"""")"),"")</f>
        <v/>
      </c>
      <c r="I448" s="23" t="str">
        <f>'3.5.raw'!R448</f>
        <v/>
      </c>
    </row>
    <row r="449">
      <c r="A449" s="49" t="s">
        <v>305</v>
      </c>
      <c r="B449" s="23" t="str">
        <f>'3.5.raw'!I449</f>
        <v>FB1148</v>
      </c>
      <c r="C449" s="24">
        <f>datevalue(left('3.5.raw'!K449,10))</f>
        <v>43790</v>
      </c>
      <c r="D449" s="23">
        <f>'3.5.raw'!H449</f>
        <v>99</v>
      </c>
      <c r="E449" s="1">
        <v>3.5</v>
      </c>
      <c r="F449" s="23" t="b">
        <f>if(countif(Status!C:C,A449)=1,TRUE, FALSE)</f>
        <v>1</v>
      </c>
      <c r="H449" s="23">
        <f>IFERROR(__xludf.DUMMYFUNCTION("IFs(REGEXMATCH(I449, ""NOT""), 0, REGEXMATCH(I449, ""NO""), 0, REGEXMATCH(I449, ""TURBID""),1, COUNTBLANK(I449),"""", istext(I449),"""")"),0.0)</f>
        <v>0</v>
      </c>
      <c r="I449" s="23" t="str">
        <f>'3.5.raw'!R449</f>
        <v>Associated Sample MO1120 and NOT TURBID</v>
      </c>
    </row>
    <row r="450">
      <c r="A450" s="23" t="str">
        <f t="shared" ref="A450:A451" si="11">SUBSTITUTE(B450, " ", "")</f>
        <v>UPNC51</v>
      </c>
      <c r="B450" s="23" t="str">
        <f>'3.5.raw'!I450</f>
        <v>UPNC51</v>
      </c>
      <c r="C450" s="24">
        <f>datevalue(left('3.5.raw'!K450,10))</f>
        <v>43790</v>
      </c>
      <c r="D450" s="23">
        <f>'3.5.raw'!H450</f>
        <v>98</v>
      </c>
      <c r="E450" s="1">
        <v>3.5</v>
      </c>
      <c r="F450" s="23" t="b">
        <f>if(countif(Status!C:C,A450)=1,TRUE, FALSE)</f>
        <v>1</v>
      </c>
      <c r="H450" s="23">
        <f>IFERROR(__xludf.DUMMYFUNCTION("IFs(REGEXMATCH(I450, ""NOT""), 0, REGEXMATCH(I450, ""NO""), 0, REGEXMATCH(I450, ""TURBID""),1, COUNTBLANK(I450),"""", istext(I450),"""")"),0.0)</f>
        <v>0</v>
      </c>
      <c r="I450" s="23" t="str">
        <f>'3.5.raw'!R450</f>
        <v>NOT TURBID</v>
      </c>
    </row>
    <row r="451">
      <c r="A451" s="23" t="str">
        <f t="shared" si="11"/>
        <v>PLc1092</v>
      </c>
      <c r="B451" s="23" t="str">
        <f>'3.5.raw'!I451</f>
        <v>PLc1092</v>
      </c>
      <c r="C451" s="24">
        <f>datevalue(left('3.5.raw'!K451,10))</f>
        <v>43791</v>
      </c>
      <c r="D451" s="23">
        <f>'3.5.raw'!H451</f>
        <v>11</v>
      </c>
      <c r="E451" s="1">
        <v>3.5</v>
      </c>
      <c r="F451" s="23" t="b">
        <f>if(countif(Status!C:C,A451)=1,TRUE, FALSE)</f>
        <v>1</v>
      </c>
      <c r="H451" s="23" t="str">
        <f>IFERROR(__xludf.DUMMYFUNCTION("IFs(REGEXMATCH(I451, ""NOT""), 0, REGEXMATCH(I451, ""NO""), 0, REGEXMATCH(I451, ""TURBID""),1, COUNTBLANK(I451),"""", istext(I451),"""")"),"")</f>
        <v/>
      </c>
      <c r="I451" s="23" t="str">
        <f>'3.5.raw'!R451</f>
        <v/>
      </c>
    </row>
    <row r="452">
      <c r="A452" s="49" t="s">
        <v>307</v>
      </c>
      <c r="B452" s="23" t="str">
        <f>'3.5.raw'!I452</f>
        <v>FB1154</v>
      </c>
      <c r="C452" s="24">
        <f>datevalue(left('3.5.raw'!K452,10))</f>
        <v>43791</v>
      </c>
      <c r="D452" s="23">
        <f>'3.5.raw'!H452</f>
        <v>99</v>
      </c>
      <c r="E452" s="1">
        <v>3.5</v>
      </c>
      <c r="F452" s="23" t="b">
        <f>if(countif(Status!C:C,A452)=1,TRUE, FALSE)</f>
        <v>1</v>
      </c>
      <c r="H452" s="23">
        <f>IFERROR(__xludf.DUMMYFUNCTION("IFs(REGEXMATCH(I452, ""NOT""), 0, REGEXMATCH(I452, ""NO""), 0, REGEXMATCH(I452, ""TURBID""),1, COUNTBLANK(I452),"""", istext(I452),"""")"),0.0)</f>
        <v>0</v>
      </c>
      <c r="I452" s="23" t="str">
        <f>'3.5.raw'!R452</f>
        <v>Associated Sample and NOT TURBID</v>
      </c>
    </row>
    <row r="453">
      <c r="A453" s="23" t="str">
        <f>SUBSTITUTE(B453, " ", "")</f>
        <v>PLc1093</v>
      </c>
      <c r="B453" s="23" t="str">
        <f>'3.5.raw'!I453</f>
        <v>PLc1093</v>
      </c>
      <c r="C453" s="24">
        <f>datevalue(left('3.5.raw'!K453,10))</f>
        <v>43791</v>
      </c>
      <c r="D453" s="23">
        <f>'3.5.raw'!H453</f>
        <v>11</v>
      </c>
      <c r="E453" s="1">
        <v>3.5</v>
      </c>
      <c r="F453" s="23" t="b">
        <f>if(countif(Status!C:C,A453)=1,TRUE, FALSE)</f>
        <v>1</v>
      </c>
      <c r="H453" s="23" t="str">
        <f>IFERROR(__xludf.DUMMYFUNCTION("IFs(REGEXMATCH(I453, ""NOT""), 0, REGEXMATCH(I453, ""NO""), 0, REGEXMATCH(I453, ""TURBID""),1, COUNTBLANK(I453),"""", istext(I453),"""")"),"")</f>
        <v/>
      </c>
      <c r="I453" s="23" t="str">
        <f>'3.5.raw'!R453</f>
        <v/>
      </c>
    </row>
    <row r="454">
      <c r="A454" s="49" t="s">
        <v>309</v>
      </c>
      <c r="B454" s="23" t="str">
        <f>'3.5.raw'!I454</f>
        <v>FB1155</v>
      </c>
      <c r="C454" s="24">
        <f>datevalue(left('3.5.raw'!K454,10))</f>
        <v>43791</v>
      </c>
      <c r="D454" s="23">
        <f>'3.5.raw'!H454</f>
        <v>99</v>
      </c>
      <c r="E454" s="1">
        <v>3.5</v>
      </c>
      <c r="F454" s="23" t="b">
        <f>if(countif(Status!C:C,A454)=1,TRUE, FALSE)</f>
        <v>1</v>
      </c>
      <c r="H454" s="23">
        <f>IFERROR(__xludf.DUMMYFUNCTION("IFs(REGEXMATCH(I454, ""NOT""), 0, REGEXMATCH(I454, ""NO""), 0, REGEXMATCH(I454, ""TURBID""),1, COUNTBLANK(I454),"""", istext(I454),"""")"),0.0)</f>
        <v>0</v>
      </c>
      <c r="I454" s="23" t="str">
        <f>'3.5.raw'!R454</f>
        <v>Associated Sample PLc1093 and NOT TURBID</v>
      </c>
    </row>
    <row r="455">
      <c r="A455" s="23" t="str">
        <f>SUBSTITUTE(B455, " ", "")</f>
        <v>PLc1094</v>
      </c>
      <c r="B455" s="23" t="str">
        <f>'3.5.raw'!I455</f>
        <v>PLc1094</v>
      </c>
      <c r="C455" s="24">
        <f>datevalue(left('3.5.raw'!K455,10))</f>
        <v>43791</v>
      </c>
      <c r="D455" s="23">
        <f>'3.5.raw'!H455</f>
        <v>11</v>
      </c>
      <c r="E455" s="1">
        <v>3.5</v>
      </c>
      <c r="F455" s="23" t="b">
        <f>if(countif(Status!C:C,A455)=1,TRUE, FALSE)</f>
        <v>1</v>
      </c>
      <c r="H455" s="23" t="str">
        <f>IFERROR(__xludf.DUMMYFUNCTION("IFs(REGEXMATCH(I455, ""NOT""), 0, REGEXMATCH(I455, ""NO""), 0, REGEXMATCH(I455, ""TURBID""),1, COUNTBLANK(I455),"""", istext(I455),"""")"),"")</f>
        <v/>
      </c>
      <c r="I455" s="23" t="str">
        <f>'3.5.raw'!R455</f>
        <v/>
      </c>
    </row>
    <row r="456">
      <c r="A456" s="49" t="s">
        <v>311</v>
      </c>
      <c r="B456" s="23" t="str">
        <f>'3.5.raw'!I456</f>
        <v>FB1156</v>
      </c>
      <c r="C456" s="24">
        <f>datevalue(left('3.5.raw'!K456,10))</f>
        <v>43791</v>
      </c>
      <c r="D456" s="23">
        <f>'3.5.raw'!H456</f>
        <v>99</v>
      </c>
      <c r="E456" s="1">
        <v>3.5</v>
      </c>
      <c r="F456" s="23" t="b">
        <f>if(countif(Status!C:C,A456)=1,TRUE, FALSE)</f>
        <v>1</v>
      </c>
      <c r="H456" s="23">
        <f>IFERROR(__xludf.DUMMYFUNCTION("IFs(REGEXMATCH(I456, ""NOT""), 0, REGEXMATCH(I456, ""NO""), 0, REGEXMATCH(I456, ""TURBID""),1, COUNTBLANK(I456),"""", istext(I456),"""")"),0.0)</f>
        <v>0</v>
      </c>
      <c r="I456" s="23" t="str">
        <f>'3.5.raw'!R456</f>
        <v>Associated Sample PLc1094 and NOT TURBID</v>
      </c>
    </row>
    <row r="457">
      <c r="A457" s="23" t="str">
        <f t="shared" ref="A457:A476" si="12">SUBSTITUTE(B457, " ", "")</f>
        <v>UPNC52</v>
      </c>
      <c r="B457" s="23" t="str">
        <f>'3.5.raw'!I457</f>
        <v>UPNC52</v>
      </c>
      <c r="C457" s="24">
        <f>datevalue(left('3.5.raw'!K457,10))</f>
        <v>43791</v>
      </c>
      <c r="D457" s="23">
        <f>'3.5.raw'!H457</f>
        <v>98</v>
      </c>
      <c r="E457" s="1">
        <v>3.5</v>
      </c>
      <c r="F457" s="23" t="b">
        <f>if(countif(Status!C:C,A457)=1,TRUE, FALSE)</f>
        <v>1</v>
      </c>
      <c r="H457" s="23">
        <f>IFERROR(__xludf.DUMMYFUNCTION("IFs(REGEXMATCH(I457, ""NOT""), 0, REGEXMATCH(I457, ""NO""), 0, REGEXMATCH(I457, ""TURBID""),1, COUNTBLANK(I457),"""", istext(I457),"""")"),0.0)</f>
        <v>0</v>
      </c>
      <c r="I457" s="23" t="str">
        <f>'3.5.raw'!R457</f>
        <v>NOT TURBID</v>
      </c>
    </row>
    <row r="458">
      <c r="A458" s="23" t="str">
        <f t="shared" si="12"/>
        <v>PLc1095</v>
      </c>
      <c r="B458" s="23" t="str">
        <f>'3.5.raw'!I458</f>
        <v>PLc1095</v>
      </c>
      <c r="C458" s="24">
        <f>datevalue(left('3.5.raw'!K458,10))</f>
        <v>43794</v>
      </c>
      <c r="D458" s="23">
        <f>'3.5.raw'!H458</f>
        <v>11</v>
      </c>
      <c r="E458" s="1">
        <v>3.5</v>
      </c>
      <c r="F458" s="23" t="b">
        <f>if(countif(Status!C:C,A458)=1,TRUE, FALSE)</f>
        <v>1</v>
      </c>
      <c r="H458" s="23" t="str">
        <f>IFERROR(__xludf.DUMMYFUNCTION("IFs(REGEXMATCH(I458, ""NOT""), 0, REGEXMATCH(I458, ""NO""), 0, REGEXMATCH(I458, ""TURBID""),1, COUNTBLANK(I458),"""", istext(I458),"""")"),"")</f>
        <v/>
      </c>
      <c r="I458" s="23" t="str">
        <f>'3.5.raw'!R458</f>
        <v/>
      </c>
    </row>
    <row r="459">
      <c r="A459" s="23" t="str">
        <f t="shared" si="12"/>
        <v>FB1157UP</v>
      </c>
      <c r="B459" s="23" t="str">
        <f>'3.5.raw'!I459</f>
        <v>FB1157UP</v>
      </c>
      <c r="C459" s="24">
        <f>datevalue(left('3.5.raw'!K459,10))</f>
        <v>43794</v>
      </c>
      <c r="D459" s="23">
        <f>'3.5.raw'!H459</f>
        <v>99</v>
      </c>
      <c r="E459" s="1">
        <v>3.5</v>
      </c>
      <c r="F459" s="23" t="b">
        <f>if(countif(Status!C:C,A459)=1,TRUE, FALSE)</f>
        <v>1</v>
      </c>
      <c r="H459" s="23">
        <f>IFERROR(__xludf.DUMMYFUNCTION("IFs(REGEXMATCH(I459, ""NOT""), 0, REGEXMATCH(I459, ""NO""), 0, REGEXMATCH(I459, ""TURBID""),1, COUNTBLANK(I459),"""", istext(I459),"""")"),0.0)</f>
        <v>0</v>
      </c>
      <c r="I459" s="23" t="str">
        <f>'3.5.raw'!R459</f>
        <v>Associated Sample PLc1095 and NOT TURBID</v>
      </c>
    </row>
    <row r="460">
      <c r="A460" s="23" t="str">
        <f t="shared" si="12"/>
        <v>PLc1096</v>
      </c>
      <c r="B460" s="23" t="str">
        <f>'3.5.raw'!I460</f>
        <v>PLc1096</v>
      </c>
      <c r="C460" s="24">
        <f>datevalue(left('3.5.raw'!K460,10))</f>
        <v>43794</v>
      </c>
      <c r="D460" s="23">
        <f>'3.5.raw'!H460</f>
        <v>11</v>
      </c>
      <c r="E460" s="1">
        <v>3.5</v>
      </c>
      <c r="F460" s="23" t="b">
        <f>if(countif(Status!C:C,A460)=1,TRUE, FALSE)</f>
        <v>1</v>
      </c>
      <c r="H460" s="23" t="str">
        <f>IFERROR(__xludf.DUMMYFUNCTION("IFs(REGEXMATCH(I460, ""NOT""), 0, REGEXMATCH(I460, ""NO""), 0, REGEXMATCH(I460, ""TURBID""),1, COUNTBLANK(I460),"""", istext(I460),"""")"),"")</f>
        <v/>
      </c>
      <c r="I460" s="23" t="str">
        <f>'3.5.raw'!R460</f>
        <v/>
      </c>
    </row>
    <row r="461">
      <c r="A461" s="23" t="str">
        <f t="shared" si="12"/>
        <v>FB1158UP</v>
      </c>
      <c r="B461" s="23" t="str">
        <f>'3.5.raw'!I461</f>
        <v>FB1158UP</v>
      </c>
      <c r="C461" s="24">
        <f>datevalue(left('3.5.raw'!K461,10))</f>
        <v>43794</v>
      </c>
      <c r="D461" s="23">
        <f>'3.5.raw'!H461</f>
        <v>99</v>
      </c>
      <c r="E461" s="1">
        <v>3.5</v>
      </c>
      <c r="F461" s="23" t="b">
        <f>if(countif(Status!C:C,A461)=1,TRUE, FALSE)</f>
        <v>1</v>
      </c>
      <c r="H461" s="23">
        <f>IFERROR(__xludf.DUMMYFUNCTION("IFs(REGEXMATCH(I461, ""NOT""), 0, REGEXMATCH(I461, ""NO""), 0, REGEXMATCH(I461, ""TURBID""),1, COUNTBLANK(I461),"""", istext(I461),"""")"),0.0)</f>
        <v>0</v>
      </c>
      <c r="I461" s="23" t="str">
        <f>'3.5.raw'!R461</f>
        <v>Associated Sample PLc1096 and NOT TURBID</v>
      </c>
    </row>
    <row r="462">
      <c r="A462" s="23" t="str">
        <f t="shared" si="12"/>
        <v>UPNC53</v>
      </c>
      <c r="B462" s="23" t="str">
        <f>'3.5.raw'!I462</f>
        <v>UPNC53</v>
      </c>
      <c r="C462" s="24">
        <f>datevalue(left('3.5.raw'!K462,10))</f>
        <v>43794</v>
      </c>
      <c r="D462" s="23">
        <f>'3.5.raw'!H462</f>
        <v>98</v>
      </c>
      <c r="E462" s="1">
        <v>3.5</v>
      </c>
      <c r="F462" s="23" t="b">
        <f>if(countif(Status!C:C,A462)=1,TRUE, FALSE)</f>
        <v>1</v>
      </c>
      <c r="H462" s="23">
        <f>IFERROR(__xludf.DUMMYFUNCTION("IFs(REGEXMATCH(I462, ""NOT""), 0, REGEXMATCH(I462, ""NO""), 0, REGEXMATCH(I462, ""TURBID""),1, COUNTBLANK(I462),"""", istext(I462),"""")"),0.0)</f>
        <v>0</v>
      </c>
      <c r="I462" s="23" t="str">
        <f>'3.5.raw'!R462</f>
        <v>NOT TURBID</v>
      </c>
    </row>
    <row r="463">
      <c r="A463" s="23" t="str">
        <f t="shared" si="12"/>
        <v>MO1122</v>
      </c>
      <c r="B463" s="23" t="str">
        <f>'3.5.raw'!I463</f>
        <v>MO1122</v>
      </c>
      <c r="C463" s="24">
        <f>datevalue(left('3.5.raw'!K463,10))</f>
        <v>43795</v>
      </c>
      <c r="D463" s="23">
        <f>'3.5.raw'!H463</f>
        <v>12</v>
      </c>
      <c r="E463" s="1">
        <v>3.5</v>
      </c>
      <c r="F463" s="23" t="b">
        <f>if(countif(Status!C:C,A463)=1,TRUE, FALSE)</f>
        <v>1</v>
      </c>
      <c r="H463" s="23" t="str">
        <f>IFERROR(__xludf.DUMMYFUNCTION("IFs(REGEXMATCH(I463, ""NOT""), 0, REGEXMATCH(I463, ""NO""), 0, REGEXMATCH(I463, ""TURBID""),1, COUNTBLANK(I463),"""", istext(I463),"""")"),"")</f>
        <v/>
      </c>
      <c r="I463" s="23" t="str">
        <f>'3.5.raw'!R463</f>
        <v/>
      </c>
    </row>
    <row r="464">
      <c r="A464" s="23" t="str">
        <f t="shared" si="12"/>
        <v>FB1162UP</v>
      </c>
      <c r="B464" s="23" t="str">
        <f>'3.5.raw'!I464</f>
        <v>FB1162UP</v>
      </c>
      <c r="C464" s="24">
        <f>datevalue(left('3.5.raw'!K464,10))</f>
        <v>43795</v>
      </c>
      <c r="D464" s="23">
        <f>'3.5.raw'!H464</f>
        <v>99</v>
      </c>
      <c r="E464" s="1">
        <v>3.5</v>
      </c>
      <c r="F464" s="23" t="b">
        <f>if(countif(Status!C:C,A464)=1,TRUE, FALSE)</f>
        <v>1</v>
      </c>
      <c r="H464" s="23">
        <f>IFERROR(__xludf.DUMMYFUNCTION("IFs(REGEXMATCH(I464, ""NOT""), 0, REGEXMATCH(I464, ""NO""), 0, REGEXMATCH(I464, ""TURBID""),1, COUNTBLANK(I464),"""", istext(I464),"""")"),0.0)</f>
        <v>0</v>
      </c>
      <c r="I464" s="23" t="str">
        <f>'3.5.raw'!R464</f>
        <v>Associated Sample MO1122 and NOT TURBID</v>
      </c>
    </row>
    <row r="465">
      <c r="A465" s="23" t="str">
        <f t="shared" si="12"/>
        <v>MO1123</v>
      </c>
      <c r="B465" s="23" t="str">
        <f>'3.5.raw'!I465</f>
        <v>MO1123</v>
      </c>
      <c r="C465" s="24">
        <f>datevalue(left('3.5.raw'!K465,10))</f>
        <v>43795</v>
      </c>
      <c r="D465" s="23">
        <f>'3.5.raw'!H465</f>
        <v>12</v>
      </c>
      <c r="E465" s="1">
        <v>3.5</v>
      </c>
      <c r="F465" s="23" t="b">
        <f>if(countif(Status!C:C,A465)=1,TRUE, FALSE)</f>
        <v>1</v>
      </c>
      <c r="H465" s="23" t="str">
        <f>IFERROR(__xludf.DUMMYFUNCTION("IFs(REGEXMATCH(I465, ""NOT""), 0, REGEXMATCH(I465, ""NO""), 0, REGEXMATCH(I465, ""TURBID""),1, COUNTBLANK(I465),"""", istext(I465),"""")"),"")</f>
        <v/>
      </c>
      <c r="I465" s="23" t="str">
        <f>'3.5.raw'!R465</f>
        <v/>
      </c>
    </row>
    <row r="466">
      <c r="A466" s="23" t="str">
        <f t="shared" si="12"/>
        <v>FB1163UP</v>
      </c>
      <c r="B466" s="23" t="str">
        <f>'3.5.raw'!I466</f>
        <v>FB1163UP</v>
      </c>
      <c r="C466" s="24">
        <f>datevalue(left('3.5.raw'!K466,10))</f>
        <v>43795</v>
      </c>
      <c r="D466" s="23">
        <f>'3.5.raw'!H466</f>
        <v>99</v>
      </c>
      <c r="E466" s="1">
        <v>3.5</v>
      </c>
      <c r="F466" s="23" t="b">
        <f>if(countif(Status!C:C,A466)=1,TRUE, FALSE)</f>
        <v>1</v>
      </c>
      <c r="H466" s="23">
        <f>IFERROR(__xludf.DUMMYFUNCTION("IFs(REGEXMATCH(I466, ""NOT""), 0, REGEXMATCH(I466, ""NO""), 0, REGEXMATCH(I466, ""TURBID""),1, COUNTBLANK(I466),"""", istext(I466),"""")"),0.0)</f>
        <v>0</v>
      </c>
      <c r="I466" s="23" t="str">
        <f>'3.5.raw'!R466</f>
        <v>Associated Sample MO1123 and NOT TURBID</v>
      </c>
    </row>
    <row r="467">
      <c r="A467" s="23" t="str">
        <f t="shared" si="12"/>
        <v>PLc1097</v>
      </c>
      <c r="B467" s="23" t="str">
        <f>'3.5.raw'!I467</f>
        <v>PLc1097</v>
      </c>
      <c r="C467" s="24">
        <f>datevalue(left('3.5.raw'!K467,10))</f>
        <v>43795</v>
      </c>
      <c r="D467" s="23">
        <f>'3.5.raw'!H467</f>
        <v>11</v>
      </c>
      <c r="E467" s="1">
        <v>3.5</v>
      </c>
      <c r="F467" s="23" t="b">
        <f>if(countif(Status!C:C,A467)=1,TRUE, FALSE)</f>
        <v>1</v>
      </c>
      <c r="H467" s="23" t="str">
        <f>IFERROR(__xludf.DUMMYFUNCTION("IFs(REGEXMATCH(I467, ""NOT""), 0, REGEXMATCH(I467, ""NO""), 0, REGEXMATCH(I467, ""TURBID""),1, COUNTBLANK(I467),"""", istext(I467),"""")"),"")</f>
        <v/>
      </c>
      <c r="I467" s="23" t="str">
        <f>'3.5.raw'!R467</f>
        <v/>
      </c>
    </row>
    <row r="468">
      <c r="A468" s="23" t="str">
        <f t="shared" si="12"/>
        <v>FB1159UP</v>
      </c>
      <c r="B468" s="23" t="str">
        <f>'3.5.raw'!I468</f>
        <v>FB1159UP</v>
      </c>
      <c r="C468" s="24">
        <f>datevalue(left('3.5.raw'!K468,10))</f>
        <v>43795</v>
      </c>
      <c r="D468" s="23">
        <f>'3.5.raw'!H468</f>
        <v>99</v>
      </c>
      <c r="E468" s="1">
        <v>3.5</v>
      </c>
      <c r="F468" s="23" t="b">
        <f>if(countif(Status!C:C,A468)=1,TRUE, FALSE)</f>
        <v>1</v>
      </c>
      <c r="H468" s="23">
        <f>IFERROR(__xludf.DUMMYFUNCTION("IFs(REGEXMATCH(I468, ""NOT""), 0, REGEXMATCH(I468, ""NO""), 0, REGEXMATCH(I468, ""TURBID""),1, COUNTBLANK(I468),"""", istext(I468),"""")"),0.0)</f>
        <v>0</v>
      </c>
      <c r="I468" s="23" t="str">
        <f>'3.5.raw'!R468</f>
        <v>Associated Sample PLc1097 and NOT TURBID</v>
      </c>
    </row>
    <row r="469">
      <c r="A469" s="23" t="str">
        <f t="shared" si="12"/>
        <v>PLc1098</v>
      </c>
      <c r="B469" s="23" t="str">
        <f>'3.5.raw'!I469</f>
        <v>PLc1098</v>
      </c>
      <c r="C469" s="24">
        <f>datevalue(left('3.5.raw'!K469,10))</f>
        <v>43795</v>
      </c>
      <c r="D469" s="23">
        <f>'3.5.raw'!H469</f>
        <v>11</v>
      </c>
      <c r="E469" s="1">
        <v>3.5</v>
      </c>
      <c r="F469" s="23" t="b">
        <f>if(countif(Status!C:C,A469)=1,TRUE, FALSE)</f>
        <v>1</v>
      </c>
      <c r="H469" s="23" t="str">
        <f>IFERROR(__xludf.DUMMYFUNCTION("IFs(REGEXMATCH(I469, ""NOT""), 0, REGEXMATCH(I469, ""NO""), 0, REGEXMATCH(I469, ""TURBID""),1, COUNTBLANK(I469),"""", istext(I469),"""")"),"")</f>
        <v/>
      </c>
      <c r="I469" s="23" t="str">
        <f>'3.5.raw'!R469</f>
        <v/>
      </c>
    </row>
    <row r="470">
      <c r="A470" s="23" t="str">
        <f t="shared" si="12"/>
        <v>FB1160UP</v>
      </c>
      <c r="B470" s="23" t="str">
        <f>'3.5.raw'!I470</f>
        <v>FB1160UP</v>
      </c>
      <c r="C470" s="24">
        <f>datevalue(left('3.5.raw'!K470,10))</f>
        <v>43795</v>
      </c>
      <c r="D470" s="23">
        <f>'3.5.raw'!H470</f>
        <v>99</v>
      </c>
      <c r="E470" s="1">
        <v>3.5</v>
      </c>
      <c r="F470" s="23" t="b">
        <f>if(countif(Status!C:C,A470)=1,TRUE, FALSE)</f>
        <v>1</v>
      </c>
      <c r="H470" s="23">
        <f>IFERROR(__xludf.DUMMYFUNCTION("IFs(REGEXMATCH(I470, ""NOT""), 0, REGEXMATCH(I470, ""NO""), 0, REGEXMATCH(I470, ""TURBID""),1, COUNTBLANK(I470),"""", istext(I470),"""")"),0.0)</f>
        <v>0</v>
      </c>
      <c r="I470" s="23" t="str">
        <f>'3.5.raw'!R470</f>
        <v>Associated Sample PLc1098 and NOT TURBID</v>
      </c>
    </row>
    <row r="471">
      <c r="A471" s="23" t="str">
        <f t="shared" si="12"/>
        <v>PLc1099</v>
      </c>
      <c r="B471" s="23" t="str">
        <f>'3.5.raw'!I471</f>
        <v>PLc1099</v>
      </c>
      <c r="C471" s="24">
        <f>datevalue(left('3.5.raw'!K471,10))</f>
        <v>43795</v>
      </c>
      <c r="D471" s="23">
        <f>'3.5.raw'!H471</f>
        <v>11</v>
      </c>
      <c r="E471" s="1">
        <v>3.5</v>
      </c>
      <c r="F471" s="23" t="b">
        <f>if(countif(Status!C:C,A471)=1,TRUE, FALSE)</f>
        <v>1</v>
      </c>
      <c r="H471" s="23" t="str">
        <f>IFERROR(__xludf.DUMMYFUNCTION("IFs(REGEXMATCH(I471, ""NOT""), 0, REGEXMATCH(I471, ""NO""), 0, REGEXMATCH(I471, ""TURBID""),1, COUNTBLANK(I471),"""", istext(I471),"""")"),"")</f>
        <v/>
      </c>
      <c r="I471" s="23" t="str">
        <f>'3.5.raw'!R471</f>
        <v/>
      </c>
    </row>
    <row r="472">
      <c r="A472" s="23" t="str">
        <f t="shared" si="12"/>
        <v>FB1161UP</v>
      </c>
      <c r="B472" s="23" t="str">
        <f>'3.5.raw'!I472</f>
        <v>FB1161UP</v>
      </c>
      <c r="C472" s="24">
        <f>datevalue(left('3.5.raw'!K472,10))</f>
        <v>43795</v>
      </c>
      <c r="D472" s="23">
        <f>'3.5.raw'!H472</f>
        <v>99</v>
      </c>
      <c r="E472" s="1">
        <v>3.5</v>
      </c>
      <c r="F472" s="23" t="b">
        <f>if(countif(Status!C:C,A472)=1,TRUE, FALSE)</f>
        <v>1</v>
      </c>
      <c r="H472" s="23">
        <f>IFERROR(__xludf.DUMMYFUNCTION("IFs(REGEXMATCH(I472, ""NOT""), 0, REGEXMATCH(I472, ""NO""), 0, REGEXMATCH(I472, ""TURBID""),1, COUNTBLANK(I472),"""", istext(I472),"""")"),0.0)</f>
        <v>0</v>
      </c>
      <c r="I472" s="23" t="str">
        <f>'3.5.raw'!R472</f>
        <v>Associated Sample PLc1099 and NOT TURBID</v>
      </c>
    </row>
    <row r="473">
      <c r="A473" s="23" t="str">
        <f t="shared" si="12"/>
        <v>UPNC54</v>
      </c>
      <c r="B473" s="23" t="str">
        <f>'3.5.raw'!I473</f>
        <v>UPNC54</v>
      </c>
      <c r="C473" s="24">
        <f>datevalue(left('3.5.raw'!K473,10))</f>
        <v>43795</v>
      </c>
      <c r="D473" s="23">
        <f>'3.5.raw'!H473</f>
        <v>98</v>
      </c>
      <c r="E473" s="1">
        <v>3.5</v>
      </c>
      <c r="F473" s="23" t="b">
        <f>if(countif(Status!C:C,A473)=1,TRUE, FALSE)</f>
        <v>1</v>
      </c>
      <c r="H473" s="23">
        <f>IFERROR(__xludf.DUMMYFUNCTION("IFs(REGEXMATCH(I473, ""NOT""), 0, REGEXMATCH(I473, ""NO""), 0, REGEXMATCH(I473, ""TURBID""),1, COUNTBLANK(I473),"""", istext(I473),"""")"),0.0)</f>
        <v>0</v>
      </c>
      <c r="I473" s="23" t="str">
        <f>'3.5.raw'!R473</f>
        <v>NOT TURBID</v>
      </c>
    </row>
    <row r="474">
      <c r="A474" s="23" t="str">
        <f t="shared" si="12"/>
        <v>FB1164UP</v>
      </c>
      <c r="B474" s="23" t="str">
        <f>'3.5.raw'!I474</f>
        <v>FB1164UP</v>
      </c>
      <c r="C474" s="24">
        <f>datevalue(left('3.5.raw'!K474,10))</f>
        <v>43796</v>
      </c>
      <c r="D474" s="23">
        <f>'3.5.raw'!H474</f>
        <v>99</v>
      </c>
      <c r="E474" s="1">
        <v>3.5</v>
      </c>
      <c r="F474" s="23" t="b">
        <f>if(countif(Status!C:C,A474)=1,TRUE, FALSE)</f>
        <v>1</v>
      </c>
      <c r="H474" s="23">
        <f>IFERROR(__xludf.DUMMYFUNCTION("IFs(REGEXMATCH(I474, ""NOT""), 0, REGEXMATCH(I474, ""NO""), 0, REGEXMATCH(I474, ""TURBID""),1, COUNTBLANK(I474),"""", istext(I474),"""")"),0.0)</f>
        <v>0</v>
      </c>
      <c r="I474" s="23" t="str">
        <f>'3.5.raw'!R474</f>
        <v>Associated Sample FPa1006, FPb1006, FPc1006, FPd1006, FPe1006and NOT TURBID</v>
      </c>
    </row>
    <row r="475">
      <c r="A475" s="23" t="str">
        <f t="shared" si="12"/>
        <v>UPNC55</v>
      </c>
      <c r="B475" s="23" t="str">
        <f>'3.5.raw'!I475</f>
        <v>UPNC55</v>
      </c>
      <c r="C475" s="24">
        <f>datevalue(left('3.5.raw'!K475,10))</f>
        <v>43796</v>
      </c>
      <c r="D475" s="23">
        <f>'3.5.raw'!H475</f>
        <v>98</v>
      </c>
      <c r="E475" s="1">
        <v>3.5</v>
      </c>
      <c r="F475" s="23" t="b">
        <f>if(countif(Status!C:C,A475)=1,TRUE, FALSE)</f>
        <v>1</v>
      </c>
      <c r="H475" s="23">
        <f>IFERROR(__xludf.DUMMYFUNCTION("IFs(REGEXMATCH(I475, ""NOT""), 0, REGEXMATCH(I475, ""NO""), 0, REGEXMATCH(I475, ""TURBID""),1, COUNTBLANK(I475),"""", istext(I475),"""")"),0.0)</f>
        <v>0</v>
      </c>
      <c r="I475" s="23" t="str">
        <f>'3.5.raw'!R475</f>
        <v>NOT TURBID</v>
      </c>
    </row>
    <row r="476">
      <c r="A476" s="23" t="str">
        <f t="shared" si="12"/>
        <v>PLc1100</v>
      </c>
      <c r="B476" s="23" t="str">
        <f>'3.5.raw'!I476</f>
        <v>PLc1100</v>
      </c>
      <c r="C476" s="24">
        <f>datevalue(left('3.5.raw'!K476,10))</f>
        <v>43797</v>
      </c>
      <c r="D476" s="23">
        <f>'3.5.raw'!H476</f>
        <v>11</v>
      </c>
      <c r="E476" s="1">
        <v>3.5</v>
      </c>
      <c r="F476" s="23" t="b">
        <f>if(countif(Status!C:C,A476)=1,TRUE, FALSE)</f>
        <v>1</v>
      </c>
      <c r="H476" s="23" t="str">
        <f>IFERROR(__xludf.DUMMYFUNCTION("IFs(REGEXMATCH(I476, ""NOT""), 0, REGEXMATCH(I476, ""NO""), 0, REGEXMATCH(I476, ""TURBID""),1, COUNTBLANK(I476),"""", istext(I476),"""")"),"")</f>
        <v/>
      </c>
      <c r="I476" s="23" t="str">
        <f>'3.5.raw'!R476</f>
        <v/>
      </c>
    </row>
    <row r="477">
      <c r="A477" s="49" t="s">
        <v>313</v>
      </c>
      <c r="B477" s="23" t="str">
        <f>'3.5.raw'!I477</f>
        <v>FB1165</v>
      </c>
      <c r="C477" s="24">
        <f>datevalue(left('3.5.raw'!K477,10))</f>
        <v>43797</v>
      </c>
      <c r="D477" s="23">
        <f>'3.5.raw'!H477</f>
        <v>99</v>
      </c>
      <c r="E477" s="1">
        <v>3.5</v>
      </c>
      <c r="F477" s="23" t="b">
        <f>if(countif(Status!C:C,A477)=1,TRUE, FALSE)</f>
        <v>1</v>
      </c>
      <c r="H477" s="23">
        <f>IFERROR(__xludf.DUMMYFUNCTION("IFs(REGEXMATCH(I477, ""NOT""), 0, REGEXMATCH(I477, ""NO""), 0, REGEXMATCH(I477, ""TURBID""),1, COUNTBLANK(I477),"""", istext(I477),"""")"),0.0)</f>
        <v>0</v>
      </c>
      <c r="I477" s="23" t="str">
        <f>'3.5.raw'!R477</f>
        <v>Associated Sample PLc1100 and NOT TURBID</v>
      </c>
    </row>
    <row r="478">
      <c r="A478" s="23" t="str">
        <f>SUBSTITUTE(B478, " ", "")</f>
        <v>PLc1101</v>
      </c>
      <c r="B478" s="23" t="str">
        <f>'3.5.raw'!I478</f>
        <v>PLc1101</v>
      </c>
      <c r="C478" s="24">
        <f>datevalue(left('3.5.raw'!K478,10))</f>
        <v>43797</v>
      </c>
      <c r="D478" s="23">
        <f>'3.5.raw'!H478</f>
        <v>11</v>
      </c>
      <c r="E478" s="1">
        <v>3.5</v>
      </c>
      <c r="F478" s="23" t="b">
        <f>if(countif(Status!C:C,A478)=1,TRUE, FALSE)</f>
        <v>1</v>
      </c>
      <c r="H478" s="23" t="str">
        <f>IFERROR(__xludf.DUMMYFUNCTION("IFs(REGEXMATCH(I478, ""NOT""), 0, REGEXMATCH(I478, ""NO""), 0, REGEXMATCH(I478, ""TURBID""),1, COUNTBLANK(I478),"""", istext(I478),"""")"),"")</f>
        <v/>
      </c>
      <c r="I478" s="23" t="str">
        <f>'3.5.raw'!R478</f>
        <v/>
      </c>
    </row>
    <row r="479">
      <c r="A479" s="49" t="s">
        <v>315</v>
      </c>
      <c r="B479" s="23" t="str">
        <f>'3.5.raw'!I479</f>
        <v>FB1166</v>
      </c>
      <c r="C479" s="24">
        <f>datevalue(left('3.5.raw'!K479,10))</f>
        <v>43797</v>
      </c>
      <c r="D479" s="23">
        <f>'3.5.raw'!H479</f>
        <v>99</v>
      </c>
      <c r="E479" s="1">
        <v>3.5</v>
      </c>
      <c r="F479" s="23" t="b">
        <f>if(countif(Status!C:C,A479)=1,TRUE, FALSE)</f>
        <v>1</v>
      </c>
      <c r="H479" s="23">
        <f>IFERROR(__xludf.DUMMYFUNCTION("IFs(REGEXMATCH(I479, ""NOT""), 0, REGEXMATCH(I479, ""NO""), 0, REGEXMATCH(I479, ""TURBID""),1, COUNTBLANK(I479),"""", istext(I479),"""")"),0.0)</f>
        <v>0</v>
      </c>
      <c r="I479" s="23" t="str">
        <f>'3.5.raw'!R479</f>
        <v>Associated Sample PLc1101 and NOT TURBID</v>
      </c>
    </row>
    <row r="480">
      <c r="A480" s="23" t="str">
        <f>SUBSTITUTE(B480, " ", "")</f>
        <v>MO1124</v>
      </c>
      <c r="B480" s="23" t="str">
        <f>'3.5.raw'!I480</f>
        <v>MO1124</v>
      </c>
      <c r="C480" s="24">
        <f>datevalue(left('3.5.raw'!K480,10))</f>
        <v>43797</v>
      </c>
      <c r="D480" s="23">
        <f>'3.5.raw'!H480</f>
        <v>12</v>
      </c>
      <c r="E480" s="1">
        <v>3.5</v>
      </c>
      <c r="F480" s="23" t="b">
        <f>if(countif(Status!C:C,A480)=1,TRUE, FALSE)</f>
        <v>1</v>
      </c>
      <c r="H480" s="23" t="str">
        <f>IFERROR(__xludf.DUMMYFUNCTION("IFs(REGEXMATCH(I480, ""NOT""), 0, REGEXMATCH(I480, ""NO""), 0, REGEXMATCH(I480, ""TURBID""),1, COUNTBLANK(I480),"""", istext(I480),"""")"),"")</f>
        <v/>
      </c>
      <c r="I480" s="23" t="str">
        <f>'3.5.raw'!R480</f>
        <v/>
      </c>
    </row>
    <row r="481">
      <c r="A481" s="49" t="s">
        <v>317</v>
      </c>
      <c r="B481" s="23" t="str">
        <f>'3.5.raw'!I481</f>
        <v>FB1167</v>
      </c>
      <c r="C481" s="24">
        <f>datevalue(left('3.5.raw'!K481,10))</f>
        <v>43797</v>
      </c>
      <c r="D481" s="23">
        <f>'3.5.raw'!H481</f>
        <v>99</v>
      </c>
      <c r="E481" s="1">
        <v>3.5</v>
      </c>
      <c r="F481" s="23" t="b">
        <f>if(countif(Status!C:C,A481)=1,TRUE, FALSE)</f>
        <v>1</v>
      </c>
      <c r="H481" s="23">
        <f>IFERROR(__xludf.DUMMYFUNCTION("IFs(REGEXMATCH(I481, ""NOT""), 0, REGEXMATCH(I481, ""NO""), 0, REGEXMATCH(I481, ""TURBID""),1, COUNTBLANK(I481),"""", istext(I481),"""")"),0.0)</f>
        <v>0</v>
      </c>
      <c r="I481" s="23" t="str">
        <f>'3.5.raw'!R481</f>
        <v>Associated Sample MO1124 and NOT TURBID</v>
      </c>
    </row>
    <row r="482">
      <c r="A482" s="23" t="str">
        <f>SUBSTITUTE(B482, " ", "")</f>
        <v>MO1125</v>
      </c>
      <c r="B482" s="23" t="str">
        <f>'3.5.raw'!I482</f>
        <v>MO1125</v>
      </c>
      <c r="C482" s="24">
        <f>datevalue(left('3.5.raw'!K482,10))</f>
        <v>43797</v>
      </c>
      <c r="D482" s="23">
        <f>'3.5.raw'!H482</f>
        <v>12</v>
      </c>
      <c r="E482" s="1">
        <v>3.5</v>
      </c>
      <c r="F482" s="23" t="b">
        <f>if(countif(Status!C:C,A482)=1,TRUE, FALSE)</f>
        <v>1</v>
      </c>
      <c r="H482" s="23" t="str">
        <f>IFERROR(__xludf.DUMMYFUNCTION("IFs(REGEXMATCH(I482, ""NOT""), 0, REGEXMATCH(I482, ""NO""), 0, REGEXMATCH(I482, ""TURBID""),1, COUNTBLANK(I482),"""", istext(I482),"""")"),"")</f>
        <v/>
      </c>
      <c r="I482" s="23" t="str">
        <f>'3.5.raw'!R482</f>
        <v/>
      </c>
    </row>
    <row r="483">
      <c r="A483" s="49" t="s">
        <v>319</v>
      </c>
      <c r="B483" s="23" t="str">
        <f>'3.5.raw'!I483</f>
        <v>FB1168</v>
      </c>
      <c r="C483" s="24">
        <f>datevalue(left('3.5.raw'!K483,10))</f>
        <v>43797</v>
      </c>
      <c r="D483" s="23">
        <f>'3.5.raw'!H483</f>
        <v>99</v>
      </c>
      <c r="E483" s="1">
        <v>3.5</v>
      </c>
      <c r="F483" s="23" t="b">
        <f>if(countif(Status!C:C,A483)=1,TRUE, FALSE)</f>
        <v>1</v>
      </c>
      <c r="H483" s="23">
        <f>IFERROR(__xludf.DUMMYFUNCTION("IFs(REGEXMATCH(I483, ""NOT""), 0, REGEXMATCH(I483, ""NO""), 0, REGEXMATCH(I483, ""TURBID""),1, COUNTBLANK(I483),"""", istext(I483),"""")"),0.0)</f>
        <v>0</v>
      </c>
      <c r="I483" s="23" t="str">
        <f>'3.5.raw'!R483</f>
        <v>Associated Sample MO1125 and NOT TURBID</v>
      </c>
    </row>
    <row r="484">
      <c r="A484" s="23" t="str">
        <f t="shared" ref="A484:A620" si="13">SUBSTITUTE(B484, " ", "")</f>
        <v>UPNC56</v>
      </c>
      <c r="B484" s="23" t="str">
        <f>'3.5.raw'!I484</f>
        <v>UPNC56</v>
      </c>
      <c r="C484" s="24">
        <f>datevalue(left('3.5.raw'!K484,10))</f>
        <v>43797</v>
      </c>
      <c r="D484" s="23">
        <f>'3.5.raw'!H484</f>
        <v>98</v>
      </c>
      <c r="E484" s="1">
        <v>3.5</v>
      </c>
      <c r="F484" s="23" t="b">
        <f>if(countif(Status!C:C,A484)=1,TRUE, FALSE)</f>
        <v>1</v>
      </c>
      <c r="H484" s="23" t="str">
        <f>IFERROR(__xludf.DUMMYFUNCTION("IFs(REGEXMATCH(I484, ""NOT""), 0, REGEXMATCH(I484, ""NO""), 0, REGEXMATCH(I484, ""TURBID""),1, COUNTBLANK(I484),"""", istext(I484),"""")"),"")</f>
        <v/>
      </c>
      <c r="I484" s="23" t="str">
        <f>'3.5.raw'!R484</f>
        <v/>
      </c>
    </row>
    <row r="485">
      <c r="A485" s="23" t="str">
        <f t="shared" si="13"/>
        <v>PLc1102</v>
      </c>
      <c r="B485" s="23" t="str">
        <f>'3.5.raw'!I485</f>
        <v>PLc1102</v>
      </c>
      <c r="C485" s="24">
        <f>datevalue(left('3.5.raw'!K485,10))</f>
        <v>43798</v>
      </c>
      <c r="D485" s="23">
        <f>'3.5.raw'!H485</f>
        <v>11</v>
      </c>
      <c r="E485" s="1">
        <v>3.5</v>
      </c>
      <c r="F485" s="23" t="b">
        <f>if(countif(Status!C:C,A485)=1,TRUE, FALSE)</f>
        <v>1</v>
      </c>
      <c r="H485" s="23" t="str">
        <f>IFERROR(__xludf.DUMMYFUNCTION("IFs(REGEXMATCH(I485, ""NOT""), 0, REGEXMATCH(I485, ""NO""), 0, REGEXMATCH(I485, ""TURBID""),1, COUNTBLANK(I485),"""", istext(I485),"""")"),"")</f>
        <v/>
      </c>
      <c r="I485" s="23" t="str">
        <f>'3.5.raw'!R485</f>
        <v/>
      </c>
    </row>
    <row r="486">
      <c r="A486" s="23" t="str">
        <f t="shared" si="13"/>
        <v>FB1169UP</v>
      </c>
      <c r="B486" s="23" t="str">
        <f>'3.5.raw'!I486</f>
        <v>FB1169UP</v>
      </c>
      <c r="C486" s="24">
        <f>datevalue(left('3.5.raw'!K486,10))</f>
        <v>43798</v>
      </c>
      <c r="D486" s="23">
        <f>'3.5.raw'!H486</f>
        <v>99</v>
      </c>
      <c r="E486" s="1">
        <v>3.5</v>
      </c>
      <c r="F486" s="23" t="b">
        <f>if(countif(Status!C:C,A486)=1,TRUE, FALSE)</f>
        <v>1</v>
      </c>
      <c r="H486" s="23">
        <f>IFERROR(__xludf.DUMMYFUNCTION("IFs(REGEXMATCH(I486, ""NOT""), 0, REGEXMATCH(I486, ""NO""), 0, REGEXMATCH(I486, ""TURBID""),1, COUNTBLANK(I486),"""", istext(I486),"""")"),0.0)</f>
        <v>0</v>
      </c>
      <c r="I486" s="23" t="str">
        <f>'3.5.raw'!R486</f>
        <v>Associated Sample PLc1102 and NOT TURBID</v>
      </c>
    </row>
    <row r="487">
      <c r="A487" s="23" t="str">
        <f t="shared" si="13"/>
        <v>PLc1103</v>
      </c>
      <c r="B487" s="23" t="str">
        <f>'3.5.raw'!I487</f>
        <v>PLc1103</v>
      </c>
      <c r="C487" s="24">
        <f>datevalue(left('3.5.raw'!K487,10))</f>
        <v>43798</v>
      </c>
      <c r="D487" s="23">
        <f>'3.5.raw'!H487</f>
        <v>11</v>
      </c>
      <c r="E487" s="1">
        <v>3.5</v>
      </c>
      <c r="F487" s="23" t="b">
        <f>if(countif(Status!C:C,A487)=1,TRUE, FALSE)</f>
        <v>1</v>
      </c>
      <c r="H487" s="23" t="str">
        <f>IFERROR(__xludf.DUMMYFUNCTION("IFs(REGEXMATCH(I487, ""NOT""), 0, REGEXMATCH(I487, ""NO""), 0, REGEXMATCH(I487, ""TURBID""),1, COUNTBLANK(I487),"""", istext(I487),"""")"),"")</f>
        <v/>
      </c>
      <c r="I487" s="23" t="str">
        <f>'3.5.raw'!R487</f>
        <v/>
      </c>
    </row>
    <row r="488">
      <c r="A488" s="23" t="str">
        <f t="shared" si="13"/>
        <v>FB1170UP</v>
      </c>
      <c r="B488" s="23" t="str">
        <f>'3.5.raw'!I488</f>
        <v>FB1170UP</v>
      </c>
      <c r="C488" s="24">
        <f>datevalue(left('3.5.raw'!K488,10))</f>
        <v>43798</v>
      </c>
      <c r="D488" s="23">
        <f>'3.5.raw'!H488</f>
        <v>99</v>
      </c>
      <c r="E488" s="1">
        <v>3.5</v>
      </c>
      <c r="F488" s="23" t="b">
        <f>if(countif(Status!C:C,A488)=1,TRUE, FALSE)</f>
        <v>1</v>
      </c>
      <c r="H488" s="23">
        <f>IFERROR(__xludf.DUMMYFUNCTION("IFs(REGEXMATCH(I488, ""NOT""), 0, REGEXMATCH(I488, ""NO""), 0, REGEXMATCH(I488, ""TURBID""),1, COUNTBLANK(I488),"""", istext(I488),"""")"),0.0)</f>
        <v>0</v>
      </c>
      <c r="I488" s="23" t="str">
        <f>'3.5.raw'!R488</f>
        <v>Associated Sample PLc1103 and NOT TURBID</v>
      </c>
    </row>
    <row r="489">
      <c r="A489" s="23" t="str">
        <f t="shared" si="13"/>
        <v>PLc1104</v>
      </c>
      <c r="B489" s="23" t="str">
        <f>'3.5.raw'!I489</f>
        <v>PLc1104</v>
      </c>
      <c r="C489" s="24">
        <f>datevalue(left('3.5.raw'!K489,10))</f>
        <v>43798</v>
      </c>
      <c r="D489" s="23">
        <f>'3.5.raw'!H489</f>
        <v>11</v>
      </c>
      <c r="E489" s="1">
        <v>3.5</v>
      </c>
      <c r="F489" s="23" t="b">
        <f>if(countif(Status!C:C,A489)=1,TRUE, FALSE)</f>
        <v>1</v>
      </c>
      <c r="H489" s="23" t="str">
        <f>IFERROR(__xludf.DUMMYFUNCTION("IFs(REGEXMATCH(I489, ""NOT""), 0, REGEXMATCH(I489, ""NO""), 0, REGEXMATCH(I489, ""TURBID""),1, COUNTBLANK(I489),"""", istext(I489),"""")"),"")</f>
        <v/>
      </c>
      <c r="I489" s="23" t="str">
        <f>'3.5.raw'!R489</f>
        <v/>
      </c>
    </row>
    <row r="490">
      <c r="A490" s="23" t="str">
        <f t="shared" si="13"/>
        <v>FB1171UP</v>
      </c>
      <c r="B490" s="23" t="str">
        <f>'3.5.raw'!I490</f>
        <v>FB1171UP</v>
      </c>
      <c r="C490" s="24">
        <f>datevalue(left('3.5.raw'!K490,10))</f>
        <v>43798</v>
      </c>
      <c r="D490" s="23">
        <f>'3.5.raw'!H490</f>
        <v>99</v>
      </c>
      <c r="E490" s="1">
        <v>3.5</v>
      </c>
      <c r="F490" s="23" t="b">
        <f>if(countif(Status!C:C,A490)=1,TRUE, FALSE)</f>
        <v>1</v>
      </c>
      <c r="H490" s="23">
        <f>IFERROR(__xludf.DUMMYFUNCTION("IFs(REGEXMATCH(I490, ""NOT""), 0, REGEXMATCH(I490, ""NO""), 0, REGEXMATCH(I490, ""TURBID""),1, COUNTBLANK(I490),"""", istext(I490),"""")"),0.0)</f>
        <v>0</v>
      </c>
      <c r="I490" s="23" t="str">
        <f>'3.5.raw'!R490</f>
        <v>Associated Sample PLc1104 and NOT TURBID</v>
      </c>
    </row>
    <row r="491">
      <c r="A491" s="23" t="str">
        <f t="shared" si="13"/>
        <v>UPNC57</v>
      </c>
      <c r="B491" s="23" t="str">
        <f>'3.5.raw'!I491</f>
        <v>UPNC57</v>
      </c>
      <c r="C491" s="24">
        <f>datevalue(left('3.5.raw'!K491,10))</f>
        <v>43798</v>
      </c>
      <c r="D491" s="23">
        <f>'3.5.raw'!H491</f>
        <v>98</v>
      </c>
      <c r="E491" s="1">
        <v>3.5</v>
      </c>
      <c r="F491" s="23" t="b">
        <f>if(countif(Status!C:C,A491)=1,TRUE, FALSE)</f>
        <v>1</v>
      </c>
      <c r="H491" s="23" t="str">
        <f>IFERROR(__xludf.DUMMYFUNCTION("IFs(REGEXMATCH(I491, ""NOT""), 0, REGEXMATCH(I491, ""NO""), 0, REGEXMATCH(I491, ""TURBID""),1, COUNTBLANK(I491),"""", istext(I491),"""")"),"")</f>
        <v/>
      </c>
      <c r="I491" s="23" t="str">
        <f>'3.5.raw'!R491</f>
        <v/>
      </c>
    </row>
    <row r="492">
      <c r="A492" s="23" t="str">
        <f t="shared" si="13"/>
        <v>PLc1105</v>
      </c>
      <c r="B492" s="23" t="str">
        <f>'3.5.raw'!I492</f>
        <v>PLc1105</v>
      </c>
      <c r="C492" s="24">
        <f>datevalue(left('3.5.raw'!K492,10))</f>
        <v>43801</v>
      </c>
      <c r="D492" s="23">
        <f>'3.5.raw'!H492</f>
        <v>11</v>
      </c>
      <c r="E492" s="1">
        <v>3.5</v>
      </c>
      <c r="F492" s="23" t="b">
        <f>if(countif(Status!C:C,A492)=1,TRUE, FALSE)</f>
        <v>1</v>
      </c>
      <c r="H492" s="23" t="str">
        <f>IFERROR(__xludf.DUMMYFUNCTION("IFs(REGEXMATCH(I492, ""NOT""), 0, REGEXMATCH(I492, ""NO""), 0, REGEXMATCH(I492, ""TURBID""),1, COUNTBLANK(I492),"""", istext(I492),"""")"),"")</f>
        <v/>
      </c>
      <c r="I492" s="23" t="str">
        <f>'3.5.raw'!R492</f>
        <v/>
      </c>
    </row>
    <row r="493">
      <c r="A493" s="23" t="str">
        <f t="shared" si="13"/>
        <v>FB1172UP</v>
      </c>
      <c r="B493" s="23" t="str">
        <f>'3.5.raw'!I493</f>
        <v>FB1172UP</v>
      </c>
      <c r="C493" s="24">
        <f>datevalue(left('3.5.raw'!K493,10))</f>
        <v>43801</v>
      </c>
      <c r="D493" s="23">
        <f>'3.5.raw'!H493</f>
        <v>99</v>
      </c>
      <c r="E493" s="1">
        <v>3.5</v>
      </c>
      <c r="F493" s="23" t="b">
        <f>if(countif(Status!C:C,A493)=1,TRUE, FALSE)</f>
        <v>1</v>
      </c>
      <c r="H493" s="23">
        <f>IFERROR(__xludf.DUMMYFUNCTION("IFs(REGEXMATCH(I493, ""NOT""), 0, REGEXMATCH(I493, ""NO""), 0, REGEXMATCH(I493, ""TURBID""),1, COUNTBLANK(I493),"""", istext(I493),"""")"),0.0)</f>
        <v>0</v>
      </c>
      <c r="I493" s="23" t="str">
        <f>'3.5.raw'!R493</f>
        <v>Associated Sample PLc1105 and NOT TURBID</v>
      </c>
    </row>
    <row r="494">
      <c r="A494" s="23" t="str">
        <f t="shared" si="13"/>
        <v>PLc1106</v>
      </c>
      <c r="B494" s="23" t="str">
        <f>'3.5.raw'!I494</f>
        <v>PLc1106</v>
      </c>
      <c r="C494" s="24">
        <f>datevalue(left('3.5.raw'!K494,10))</f>
        <v>43801</v>
      </c>
      <c r="D494" s="23">
        <f>'3.5.raw'!H494</f>
        <v>11</v>
      </c>
      <c r="E494" s="1">
        <v>3.5</v>
      </c>
      <c r="F494" s="23" t="b">
        <f>if(countif(Status!C:C,A494)=1,TRUE, FALSE)</f>
        <v>1</v>
      </c>
      <c r="H494" s="23" t="str">
        <f>IFERROR(__xludf.DUMMYFUNCTION("IFs(REGEXMATCH(I494, ""NOT""), 0, REGEXMATCH(I494, ""NO""), 0, REGEXMATCH(I494, ""TURBID""),1, COUNTBLANK(I494),"""", istext(I494),"""")"),"")</f>
        <v/>
      </c>
      <c r="I494" s="23" t="str">
        <f>'3.5.raw'!R494</f>
        <v/>
      </c>
    </row>
    <row r="495">
      <c r="A495" s="23" t="str">
        <f t="shared" si="13"/>
        <v>FB1173UP</v>
      </c>
      <c r="B495" s="23" t="str">
        <f>'3.5.raw'!I495</f>
        <v>FB1173UP</v>
      </c>
      <c r="C495" s="24">
        <f>datevalue(left('3.5.raw'!K495,10))</f>
        <v>43801</v>
      </c>
      <c r="D495" s="23">
        <f>'3.5.raw'!H495</f>
        <v>99</v>
      </c>
      <c r="E495" s="1">
        <v>3.5</v>
      </c>
      <c r="F495" s="23" t="b">
        <f>if(countif(Status!C:C,A495)=1,TRUE, FALSE)</f>
        <v>1</v>
      </c>
      <c r="H495" s="23">
        <f>IFERROR(__xludf.DUMMYFUNCTION("IFs(REGEXMATCH(I495, ""NOT""), 0, REGEXMATCH(I495, ""NO""), 0, REGEXMATCH(I495, ""TURBID""),1, COUNTBLANK(I495),"""", istext(I495),"""")"),0.0)</f>
        <v>0</v>
      </c>
      <c r="I495" s="23" t="str">
        <f>'3.5.raw'!R495</f>
        <v>Associated Sample PLc1106 and NOT TURBID</v>
      </c>
    </row>
    <row r="496">
      <c r="A496" s="23" t="str">
        <f t="shared" si="13"/>
        <v>UPNC58</v>
      </c>
      <c r="B496" s="23" t="str">
        <f>'3.5.raw'!I496</f>
        <v>UPNC58</v>
      </c>
      <c r="C496" s="24">
        <f>datevalue(left('3.5.raw'!K496,10))</f>
        <v>43801</v>
      </c>
      <c r="D496" s="23">
        <f>'3.5.raw'!H496</f>
        <v>98</v>
      </c>
      <c r="E496" s="1">
        <v>3.5</v>
      </c>
      <c r="F496" s="23" t="b">
        <f>if(countif(Status!C:C,A496)=1,TRUE, FALSE)</f>
        <v>1</v>
      </c>
      <c r="H496" s="23" t="str">
        <f>IFERROR(__xludf.DUMMYFUNCTION("IFs(REGEXMATCH(I496, ""NOT""), 0, REGEXMATCH(I496, ""NO""), 0, REGEXMATCH(I496, ""TURBID""),1, COUNTBLANK(I496),"""", istext(I496),"""")"),"")</f>
        <v/>
      </c>
      <c r="I496" s="23" t="str">
        <f>'3.5.raw'!R496</f>
        <v/>
      </c>
    </row>
    <row r="497">
      <c r="A497" s="23" t="str">
        <f t="shared" si="13"/>
        <v>MO1126</v>
      </c>
      <c r="B497" s="23" t="str">
        <f>'3.5.raw'!I497</f>
        <v>MO1126</v>
      </c>
      <c r="C497" s="24">
        <f>datevalue(left('3.5.raw'!K497,10))</f>
        <v>43802</v>
      </c>
      <c r="D497" s="23">
        <f>'3.5.raw'!H497</f>
        <v>12</v>
      </c>
      <c r="E497" s="1">
        <v>3.5</v>
      </c>
      <c r="F497" s="23" t="b">
        <f>if(countif(Status!C:C,A497)=1,TRUE, FALSE)</f>
        <v>1</v>
      </c>
      <c r="H497" s="23" t="str">
        <f>IFERROR(__xludf.DUMMYFUNCTION("IFs(REGEXMATCH(I497, ""NOT""), 0, REGEXMATCH(I497, ""NO""), 0, REGEXMATCH(I497, ""TURBID""),1, COUNTBLANK(I497),"""", istext(I497),"""")"),"")</f>
        <v/>
      </c>
      <c r="I497" s="23" t="str">
        <f>'3.5.raw'!R497</f>
        <v/>
      </c>
    </row>
    <row r="498">
      <c r="A498" s="23" t="str">
        <f t="shared" si="13"/>
        <v>FB1174UP</v>
      </c>
      <c r="B498" s="23" t="str">
        <f>'3.5.raw'!I498</f>
        <v>FB1174UP</v>
      </c>
      <c r="C498" s="24">
        <f>datevalue(left('3.5.raw'!K498,10))</f>
        <v>43802</v>
      </c>
      <c r="D498" s="23">
        <f>'3.5.raw'!H498</f>
        <v>99</v>
      </c>
      <c r="E498" s="1">
        <v>3.5</v>
      </c>
      <c r="F498" s="23" t="b">
        <f>if(countif(Status!C:C,A498)=1,TRUE, FALSE)</f>
        <v>1</v>
      </c>
      <c r="H498" s="23">
        <f>IFERROR(__xludf.DUMMYFUNCTION("IFs(REGEXMATCH(I498, ""NOT""), 0, REGEXMATCH(I498, ""NO""), 0, REGEXMATCH(I498, ""TURBID""),1, COUNTBLANK(I498),"""", istext(I498),"""")"),0.0)</f>
        <v>0</v>
      </c>
      <c r="I498" s="23" t="str">
        <f>'3.5.raw'!R498</f>
        <v>Associated Sample MO1126 and NOT TURBID</v>
      </c>
    </row>
    <row r="499">
      <c r="A499" s="23" t="str">
        <f t="shared" si="13"/>
        <v>MO1127</v>
      </c>
      <c r="B499" s="23" t="str">
        <f>'3.5.raw'!I499</f>
        <v>MO1127</v>
      </c>
      <c r="C499" s="24">
        <f>datevalue(left('3.5.raw'!K499,10))</f>
        <v>43802</v>
      </c>
      <c r="D499" s="23">
        <f>'3.5.raw'!H499</f>
        <v>12</v>
      </c>
      <c r="E499" s="1">
        <v>3.5</v>
      </c>
      <c r="F499" s="23" t="b">
        <f>if(countif(Status!C:C,A499)=1,TRUE, FALSE)</f>
        <v>1</v>
      </c>
      <c r="H499" s="23" t="str">
        <f>IFERROR(__xludf.DUMMYFUNCTION("IFs(REGEXMATCH(I499, ""NOT""), 0, REGEXMATCH(I499, ""NO""), 0, REGEXMATCH(I499, ""TURBID""),1, COUNTBLANK(I499),"""", istext(I499),"""")"),"")</f>
        <v/>
      </c>
      <c r="I499" s="23" t="str">
        <f>'3.5.raw'!R499</f>
        <v/>
      </c>
    </row>
    <row r="500">
      <c r="A500" s="23" t="str">
        <f t="shared" si="13"/>
        <v>FB1175UP</v>
      </c>
      <c r="B500" s="23" t="str">
        <f>'3.5.raw'!I500</f>
        <v>FB1175UP</v>
      </c>
      <c r="C500" s="24">
        <f>datevalue(left('3.5.raw'!K500,10))</f>
        <v>43802</v>
      </c>
      <c r="D500" s="23">
        <f>'3.5.raw'!H500</f>
        <v>99</v>
      </c>
      <c r="E500" s="1">
        <v>3.5</v>
      </c>
      <c r="F500" s="23" t="b">
        <f>if(countif(Status!C:C,A500)=1,TRUE, FALSE)</f>
        <v>1</v>
      </c>
      <c r="H500" s="23">
        <f>IFERROR(__xludf.DUMMYFUNCTION("IFs(REGEXMATCH(I500, ""NOT""), 0, REGEXMATCH(I500, ""NO""), 0, REGEXMATCH(I500, ""TURBID""),1, COUNTBLANK(I500),"""", istext(I500),"""")"),0.0)</f>
        <v>0</v>
      </c>
      <c r="I500" s="23" t="str">
        <f>'3.5.raw'!R500</f>
        <v>Associated Sample MO1127 and NOT TURBID</v>
      </c>
    </row>
    <row r="501">
      <c r="A501" s="23" t="str">
        <f t="shared" si="13"/>
        <v>PLc1107</v>
      </c>
      <c r="B501" s="23" t="str">
        <f>'3.5.raw'!I501</f>
        <v>PLc1107</v>
      </c>
      <c r="C501" s="24">
        <f>datevalue(left('3.5.raw'!K501,10))</f>
        <v>43802</v>
      </c>
      <c r="D501" s="23">
        <f>'3.5.raw'!H501</f>
        <v>11</v>
      </c>
      <c r="E501" s="1">
        <v>3.5</v>
      </c>
      <c r="F501" s="23" t="b">
        <f>if(countif(Status!C:C,A501)=1,TRUE, FALSE)</f>
        <v>1</v>
      </c>
      <c r="H501" s="23" t="str">
        <f>IFERROR(__xludf.DUMMYFUNCTION("IFs(REGEXMATCH(I501, ""NOT""), 0, REGEXMATCH(I501, ""NO""), 0, REGEXMATCH(I501, ""TURBID""),1, COUNTBLANK(I501),"""", istext(I501),"""")"),"")</f>
        <v/>
      </c>
      <c r="I501" s="23" t="str">
        <f>'3.5.raw'!R501</f>
        <v/>
      </c>
    </row>
    <row r="502">
      <c r="A502" s="23" t="str">
        <f t="shared" si="13"/>
        <v>FB1176UP</v>
      </c>
      <c r="B502" s="23" t="str">
        <f>'3.5.raw'!I502</f>
        <v>FB1176UP</v>
      </c>
      <c r="C502" s="24">
        <f>datevalue(left('3.5.raw'!K502,10))</f>
        <v>43802</v>
      </c>
      <c r="D502" s="23">
        <f>'3.5.raw'!H502</f>
        <v>99</v>
      </c>
      <c r="E502" s="1">
        <v>3.5</v>
      </c>
      <c r="F502" s="23" t="b">
        <f>if(countif(Status!C:C,A502)=1,TRUE, FALSE)</f>
        <v>1</v>
      </c>
      <c r="H502" s="23">
        <f>IFERROR(__xludf.DUMMYFUNCTION("IFs(REGEXMATCH(I502, ""NOT""), 0, REGEXMATCH(I502, ""NO""), 0, REGEXMATCH(I502, ""TURBID""),1, COUNTBLANK(I502),"""", istext(I502),"""")"),0.0)</f>
        <v>0</v>
      </c>
      <c r="I502" s="23" t="str">
        <f>'3.5.raw'!R502</f>
        <v>Associated Sample PLc1107 and NOT TURBID</v>
      </c>
    </row>
    <row r="503">
      <c r="A503" s="23" t="str">
        <f t="shared" si="13"/>
        <v>PLc1108</v>
      </c>
      <c r="B503" s="23" t="str">
        <f>'3.5.raw'!I503</f>
        <v>PLc1108</v>
      </c>
      <c r="C503" s="24">
        <f>datevalue(left('3.5.raw'!K503,10))</f>
        <v>43802</v>
      </c>
      <c r="D503" s="23">
        <f>'3.5.raw'!H503</f>
        <v>11</v>
      </c>
      <c r="E503" s="1">
        <v>3.5</v>
      </c>
      <c r="F503" s="23" t="b">
        <f>if(countif(Status!C:C,A503)=1,TRUE, FALSE)</f>
        <v>1</v>
      </c>
      <c r="H503" s="23" t="str">
        <f>IFERROR(__xludf.DUMMYFUNCTION("IFs(REGEXMATCH(I503, ""NOT""), 0, REGEXMATCH(I503, ""NO""), 0, REGEXMATCH(I503, ""TURBID""),1, COUNTBLANK(I503),"""", istext(I503),"""")"),"")</f>
        <v/>
      </c>
      <c r="I503" s="23" t="str">
        <f>'3.5.raw'!R503</f>
        <v/>
      </c>
    </row>
    <row r="504">
      <c r="A504" s="23" t="str">
        <f t="shared" si="13"/>
        <v>FB1177UP</v>
      </c>
      <c r="B504" s="23" t="str">
        <f>'3.5.raw'!I504</f>
        <v>FB1177UP</v>
      </c>
      <c r="C504" s="24">
        <f>datevalue(left('3.5.raw'!K504,10))</f>
        <v>43802</v>
      </c>
      <c r="D504" s="23">
        <f>'3.5.raw'!H504</f>
        <v>99</v>
      </c>
      <c r="E504" s="1">
        <v>3.5</v>
      </c>
      <c r="F504" s="23" t="b">
        <f>if(countif(Status!C:C,A504)=1,TRUE, FALSE)</f>
        <v>1</v>
      </c>
      <c r="H504" s="23">
        <f>IFERROR(__xludf.DUMMYFUNCTION("IFs(REGEXMATCH(I504, ""NOT""), 0, REGEXMATCH(I504, ""NO""), 0, REGEXMATCH(I504, ""TURBID""),1, COUNTBLANK(I504),"""", istext(I504),"""")"),0.0)</f>
        <v>0</v>
      </c>
      <c r="I504" s="23" t="str">
        <f>'3.5.raw'!R504</f>
        <v>Associated Sample PLc1108 and NOT TURBID</v>
      </c>
    </row>
    <row r="505">
      <c r="A505" s="23" t="str">
        <f t="shared" si="13"/>
        <v>PLc1109</v>
      </c>
      <c r="B505" s="23" t="str">
        <f>'3.5.raw'!I505</f>
        <v>PLc1109</v>
      </c>
      <c r="C505" s="24">
        <f>datevalue(left('3.5.raw'!K505,10))</f>
        <v>43802</v>
      </c>
      <c r="D505" s="23">
        <f>'3.5.raw'!H505</f>
        <v>11</v>
      </c>
      <c r="E505" s="1">
        <v>3.5</v>
      </c>
      <c r="F505" s="23" t="b">
        <f>if(countif(Status!C:C,A505)=1,TRUE, FALSE)</f>
        <v>1</v>
      </c>
      <c r="H505" s="23" t="str">
        <f>IFERROR(__xludf.DUMMYFUNCTION("IFs(REGEXMATCH(I505, ""NOT""), 0, REGEXMATCH(I505, ""NO""), 0, REGEXMATCH(I505, ""TURBID""),1, COUNTBLANK(I505),"""", istext(I505),"""")"),"")</f>
        <v/>
      </c>
      <c r="I505" s="23" t="str">
        <f>'3.5.raw'!R505</f>
        <v/>
      </c>
    </row>
    <row r="506">
      <c r="A506" s="23" t="str">
        <f t="shared" si="13"/>
        <v>FB1178</v>
      </c>
      <c r="B506" s="23" t="str">
        <f>'3.5.raw'!I506</f>
        <v>FB1178</v>
      </c>
      <c r="C506" s="24">
        <f>datevalue(left('3.5.raw'!K506,10))</f>
        <v>43802</v>
      </c>
      <c r="D506" s="23">
        <f>'3.5.raw'!H506</f>
        <v>99</v>
      </c>
      <c r="E506" s="1">
        <v>3.5</v>
      </c>
      <c r="F506" s="23" t="b">
        <f>if(countif(Status!C:C,A506)=1,TRUE, FALSE)</f>
        <v>1</v>
      </c>
      <c r="H506" s="23">
        <f>IFERROR(__xludf.DUMMYFUNCTION("IFs(REGEXMATCH(I506, ""NOT""), 0, REGEXMATCH(I506, ""NO""), 0, REGEXMATCH(I506, ""TURBID""),1, COUNTBLANK(I506),"""", istext(I506),"""")"),0.0)</f>
        <v>0</v>
      </c>
      <c r="I506" s="23" t="str">
        <f>'3.5.raw'!R506</f>
        <v>Associated Sample PLc1109 and NOT TURBID</v>
      </c>
    </row>
    <row r="507">
      <c r="A507" s="23" t="str">
        <f t="shared" si="13"/>
        <v>UPNC59</v>
      </c>
      <c r="B507" s="23" t="str">
        <f>'3.5.raw'!I507</f>
        <v>UPNC59</v>
      </c>
      <c r="C507" s="24">
        <f>datevalue(left('3.5.raw'!K507,10))</f>
        <v>43802</v>
      </c>
      <c r="D507" s="23">
        <f>'3.5.raw'!H507</f>
        <v>98</v>
      </c>
      <c r="E507" s="1">
        <v>3.5</v>
      </c>
      <c r="F507" s="23" t="b">
        <f>if(countif(Status!C:C,A507)=1,TRUE, FALSE)</f>
        <v>1</v>
      </c>
      <c r="H507" s="23">
        <f>IFERROR(__xludf.DUMMYFUNCTION("IFs(REGEXMATCH(I507, ""NOT""), 0, REGEXMATCH(I507, ""NO""), 0, REGEXMATCH(I507, ""TURBID""),1, COUNTBLANK(I507),"""", istext(I507),"""")"),0.0)</f>
        <v>0</v>
      </c>
      <c r="I507" s="23" t="str">
        <f>'3.5.raw'!R507</f>
        <v>NOT TURBID</v>
      </c>
    </row>
    <row r="508">
      <c r="A508" s="23" t="str">
        <f t="shared" si="13"/>
        <v>MO1128</v>
      </c>
      <c r="B508" s="23" t="str">
        <f>'3.5.raw'!I508</f>
        <v>MO1128</v>
      </c>
      <c r="C508" s="24">
        <f>datevalue(left('3.5.raw'!K508,10))</f>
        <v>43804</v>
      </c>
      <c r="D508" s="23">
        <f>'3.5.raw'!H508</f>
        <v>12</v>
      </c>
      <c r="E508" s="1">
        <v>3.5</v>
      </c>
      <c r="F508" s="23" t="b">
        <f>if(countif(Status!C:C,A508)=1,TRUE, FALSE)</f>
        <v>1</v>
      </c>
      <c r="H508" s="23" t="str">
        <f>IFERROR(__xludf.DUMMYFUNCTION("IFs(REGEXMATCH(I508, ""NOT""), 0, REGEXMATCH(I508, ""NO""), 0, REGEXMATCH(I508, ""TURBID""),1, COUNTBLANK(I508),"""", istext(I508),"""")"),"")</f>
        <v/>
      </c>
      <c r="I508" s="23" t="str">
        <f>'3.5.raw'!R508</f>
        <v/>
      </c>
    </row>
    <row r="509">
      <c r="A509" s="23" t="str">
        <f t="shared" si="13"/>
        <v>FB1179UP</v>
      </c>
      <c r="B509" s="23" t="str">
        <f>'3.5.raw'!I509</f>
        <v>FB1179UP</v>
      </c>
      <c r="C509" s="24">
        <f>datevalue(left('3.5.raw'!K509,10))</f>
        <v>43804</v>
      </c>
      <c r="D509" s="23">
        <f>'3.5.raw'!H509</f>
        <v>99</v>
      </c>
      <c r="E509" s="1">
        <v>3.5</v>
      </c>
      <c r="F509" s="23" t="b">
        <f>if(countif(Status!C:C,A509)=1,TRUE, FALSE)</f>
        <v>1</v>
      </c>
      <c r="H509" s="23">
        <f>IFERROR(__xludf.DUMMYFUNCTION("IFs(REGEXMATCH(I509, ""NOT""), 0, REGEXMATCH(I509, ""NO""), 0, REGEXMATCH(I509, ""TURBID""),1, COUNTBLANK(I509),"""", istext(I509),"""")"),0.0)</f>
        <v>0</v>
      </c>
      <c r="I509" s="23" t="str">
        <f>'3.5.raw'!R509</f>
        <v>Associated Sample MO1128 and NOT TURBID</v>
      </c>
    </row>
    <row r="510">
      <c r="A510" s="23" t="str">
        <f t="shared" si="13"/>
        <v>MO1129</v>
      </c>
      <c r="B510" s="23" t="str">
        <f>'3.5.raw'!I510</f>
        <v>MO1129</v>
      </c>
      <c r="C510" s="24">
        <f>datevalue(left('3.5.raw'!K510,10))</f>
        <v>43804</v>
      </c>
      <c r="D510" s="23">
        <f>'3.5.raw'!H510</f>
        <v>12</v>
      </c>
      <c r="E510" s="1">
        <v>3.5</v>
      </c>
      <c r="F510" s="23" t="b">
        <f>if(countif(Status!C:C,A510)=1,TRUE, FALSE)</f>
        <v>1</v>
      </c>
      <c r="H510" s="23" t="str">
        <f>IFERROR(__xludf.DUMMYFUNCTION("IFs(REGEXMATCH(I510, ""NOT""), 0, REGEXMATCH(I510, ""NO""), 0, REGEXMATCH(I510, ""TURBID""),1, COUNTBLANK(I510),"""", istext(I510),"""")"),"")</f>
        <v/>
      </c>
      <c r="I510" s="23" t="str">
        <f>'3.5.raw'!R510</f>
        <v/>
      </c>
    </row>
    <row r="511">
      <c r="A511" s="23" t="str">
        <f t="shared" si="13"/>
        <v>FB1180UP</v>
      </c>
      <c r="B511" s="23" t="str">
        <f>'3.5.raw'!I511</f>
        <v>FB1180UP</v>
      </c>
      <c r="C511" s="24">
        <f>datevalue(left('3.5.raw'!K511,10))</f>
        <v>43804</v>
      </c>
      <c r="D511" s="23">
        <f>'3.5.raw'!H511</f>
        <v>99</v>
      </c>
      <c r="E511" s="1">
        <v>3.5</v>
      </c>
      <c r="F511" s="23" t="b">
        <f>if(countif(Status!C:C,A511)=1,TRUE, FALSE)</f>
        <v>1</v>
      </c>
      <c r="H511" s="23">
        <f>IFERROR(__xludf.DUMMYFUNCTION("IFs(REGEXMATCH(I511, ""NOT""), 0, REGEXMATCH(I511, ""NO""), 0, REGEXMATCH(I511, ""TURBID""),1, COUNTBLANK(I511),"""", istext(I511),"""")"),0.0)</f>
        <v>0</v>
      </c>
      <c r="I511" s="23" t="str">
        <f>'3.5.raw'!R511</f>
        <v>Associated Sample MO1129 and NOT TURBID</v>
      </c>
    </row>
    <row r="512">
      <c r="A512" s="23" t="str">
        <f t="shared" si="13"/>
        <v>PLc1110</v>
      </c>
      <c r="B512" s="23" t="str">
        <f>'3.5.raw'!I512</f>
        <v>PLc1110</v>
      </c>
      <c r="C512" s="24">
        <f>datevalue(left('3.5.raw'!K512,10))</f>
        <v>43804</v>
      </c>
      <c r="D512" s="23">
        <f>'3.5.raw'!H512</f>
        <v>11</v>
      </c>
      <c r="E512" s="1">
        <v>3.5</v>
      </c>
      <c r="F512" s="23" t="b">
        <f>if(countif(Status!C:C,A512)=1,TRUE, FALSE)</f>
        <v>1</v>
      </c>
      <c r="H512" s="23" t="str">
        <f>IFERROR(__xludf.DUMMYFUNCTION("IFs(REGEXMATCH(I512, ""NOT""), 0, REGEXMATCH(I512, ""NO""), 0, REGEXMATCH(I512, ""TURBID""),1, COUNTBLANK(I512),"""", istext(I512),"""")"),"")</f>
        <v/>
      </c>
      <c r="I512" s="23" t="str">
        <f>'3.5.raw'!R512</f>
        <v/>
      </c>
    </row>
    <row r="513">
      <c r="A513" s="23" t="str">
        <f t="shared" si="13"/>
        <v>FB1181UP</v>
      </c>
      <c r="B513" s="23" t="str">
        <f>'3.5.raw'!I513</f>
        <v>FB1181UP</v>
      </c>
      <c r="C513" s="24">
        <f>datevalue(left('3.5.raw'!K513,10))</f>
        <v>43804</v>
      </c>
      <c r="D513" s="23">
        <f>'3.5.raw'!H513</f>
        <v>99</v>
      </c>
      <c r="E513" s="1">
        <v>3.5</v>
      </c>
      <c r="F513" s="23" t="b">
        <f>if(countif(Status!C:C,A513)=1,TRUE, FALSE)</f>
        <v>1</v>
      </c>
      <c r="H513" s="23">
        <f>IFERROR(__xludf.DUMMYFUNCTION("IFs(REGEXMATCH(I513, ""NOT""), 0, REGEXMATCH(I513, ""NO""), 0, REGEXMATCH(I513, ""TURBID""),1, COUNTBLANK(I513),"""", istext(I513),"""")"),0.0)</f>
        <v>0</v>
      </c>
      <c r="I513" s="23" t="str">
        <f>'3.5.raw'!R513</f>
        <v>Associated Sample PLc1110 and NOT TURBID</v>
      </c>
    </row>
    <row r="514">
      <c r="A514" s="23" t="str">
        <f t="shared" si="13"/>
        <v>PLc1111</v>
      </c>
      <c r="B514" s="23" t="str">
        <f>'3.5.raw'!I514</f>
        <v>PLc1111</v>
      </c>
      <c r="C514" s="24">
        <f>datevalue(left('3.5.raw'!K514,10))</f>
        <v>43804</v>
      </c>
      <c r="D514" s="23">
        <f>'3.5.raw'!H514</f>
        <v>11</v>
      </c>
      <c r="E514" s="1">
        <v>3.5</v>
      </c>
      <c r="F514" s="23" t="b">
        <f>if(countif(Status!C:C,A514)=1,TRUE, FALSE)</f>
        <v>1</v>
      </c>
      <c r="H514" s="23" t="str">
        <f>IFERROR(__xludf.DUMMYFUNCTION("IFs(REGEXMATCH(I514, ""NOT""), 0, REGEXMATCH(I514, ""NO""), 0, REGEXMATCH(I514, ""TURBID""),1, COUNTBLANK(I514),"""", istext(I514),"""")"),"")</f>
        <v/>
      </c>
      <c r="I514" s="23" t="str">
        <f>'3.5.raw'!R514</f>
        <v/>
      </c>
    </row>
    <row r="515">
      <c r="A515" s="23" t="str">
        <f t="shared" si="13"/>
        <v>FB1182UP</v>
      </c>
      <c r="B515" s="23" t="str">
        <f>'3.5.raw'!I515</f>
        <v>FB1182UP</v>
      </c>
      <c r="C515" s="24">
        <f>datevalue(left('3.5.raw'!K515,10))</f>
        <v>43804</v>
      </c>
      <c r="D515" s="23">
        <f>'3.5.raw'!H515</f>
        <v>99</v>
      </c>
      <c r="E515" s="1">
        <v>3.5</v>
      </c>
      <c r="F515" s="23" t="b">
        <f>if(countif(Status!C:C,A515)=1,TRUE, FALSE)</f>
        <v>1</v>
      </c>
      <c r="H515" s="23">
        <f>IFERROR(__xludf.DUMMYFUNCTION("IFs(REGEXMATCH(I515, ""NOT""), 0, REGEXMATCH(I515, ""NO""), 0, REGEXMATCH(I515, ""TURBID""),1, COUNTBLANK(I515),"""", istext(I515),"""")"),0.0)</f>
        <v>0</v>
      </c>
      <c r="I515" s="23" t="str">
        <f>'3.5.raw'!R515</f>
        <v>Associated Sample PLc1111 and NOT TURBID</v>
      </c>
    </row>
    <row r="516">
      <c r="A516" s="23" t="str">
        <f t="shared" si="13"/>
        <v>PLc1112</v>
      </c>
      <c r="B516" s="23" t="str">
        <f>'3.5.raw'!I516</f>
        <v>PLc1112</v>
      </c>
      <c r="C516" s="24">
        <f>datevalue(left('3.5.raw'!K516,10))</f>
        <v>43804</v>
      </c>
      <c r="D516" s="23">
        <f>'3.5.raw'!H516</f>
        <v>11</v>
      </c>
      <c r="E516" s="1">
        <v>3.5</v>
      </c>
      <c r="F516" s="23" t="b">
        <f>if(countif(Status!C:C,A516)=1,TRUE, FALSE)</f>
        <v>1</v>
      </c>
      <c r="H516" s="23" t="str">
        <f>IFERROR(__xludf.DUMMYFUNCTION("IFs(REGEXMATCH(I516, ""NOT""), 0, REGEXMATCH(I516, ""NO""), 0, REGEXMATCH(I516, ""TURBID""),1, COUNTBLANK(I516),"""", istext(I516),"""")"),"")</f>
        <v/>
      </c>
      <c r="I516" s="23" t="str">
        <f>'3.5.raw'!R516</f>
        <v/>
      </c>
    </row>
    <row r="517">
      <c r="A517" s="23" t="str">
        <f t="shared" si="13"/>
        <v>FB1183UP</v>
      </c>
      <c r="B517" s="23" t="str">
        <f>'3.5.raw'!I517</f>
        <v>FB1183UP</v>
      </c>
      <c r="C517" s="24">
        <f>datevalue(left('3.5.raw'!K517,10))</f>
        <v>43804</v>
      </c>
      <c r="D517" s="23">
        <f>'3.5.raw'!H517</f>
        <v>99</v>
      </c>
      <c r="E517" s="1">
        <v>3.5</v>
      </c>
      <c r="F517" s="23" t="b">
        <f>if(countif(Status!C:C,A517)=1,TRUE, FALSE)</f>
        <v>1</v>
      </c>
      <c r="H517" s="23">
        <f>IFERROR(__xludf.DUMMYFUNCTION("IFs(REGEXMATCH(I517, ""NOT""), 0, REGEXMATCH(I517, ""NO""), 0, REGEXMATCH(I517, ""TURBID""),1, COUNTBLANK(I517),"""", istext(I517),"""")"),0.0)</f>
        <v>0</v>
      </c>
      <c r="I517" s="23" t="str">
        <f>'3.5.raw'!R517</f>
        <v>Associated Sample PLc1112 and NOT TURBID</v>
      </c>
    </row>
    <row r="518">
      <c r="A518" s="23" t="str">
        <f t="shared" si="13"/>
        <v>PLc1113</v>
      </c>
      <c r="B518" s="23" t="str">
        <f>'3.5.raw'!I518</f>
        <v>PLc1113</v>
      </c>
      <c r="C518" s="24">
        <f>datevalue(left('3.5.raw'!K518,10))</f>
        <v>43804</v>
      </c>
      <c r="D518" s="23">
        <f>'3.5.raw'!H518</f>
        <v>11</v>
      </c>
      <c r="E518" s="1">
        <v>3.5</v>
      </c>
      <c r="F518" s="23" t="b">
        <f>if(countif(Status!C:C,A518)=1,TRUE, FALSE)</f>
        <v>1</v>
      </c>
      <c r="H518" s="23" t="str">
        <f>IFERROR(__xludf.DUMMYFUNCTION("IFs(REGEXMATCH(I518, ""NOT""), 0, REGEXMATCH(I518, ""NO""), 0, REGEXMATCH(I518, ""TURBID""),1, COUNTBLANK(I518),"""", istext(I518),"""")"),"")</f>
        <v/>
      </c>
      <c r="I518" s="23" t="str">
        <f>'3.5.raw'!R518</f>
        <v/>
      </c>
    </row>
    <row r="519">
      <c r="A519" s="23" t="str">
        <f t="shared" si="13"/>
        <v>FB1184UP</v>
      </c>
      <c r="B519" s="23" t="str">
        <f>'3.5.raw'!I519</f>
        <v>FB1184UP</v>
      </c>
      <c r="C519" s="24">
        <f>datevalue(left('3.5.raw'!K519,10))</f>
        <v>43804</v>
      </c>
      <c r="D519" s="23">
        <f>'3.5.raw'!H519</f>
        <v>99</v>
      </c>
      <c r="E519" s="1">
        <v>3.5</v>
      </c>
      <c r="F519" s="23" t="b">
        <f>if(countif(Status!C:C,A519)=1,TRUE, FALSE)</f>
        <v>1</v>
      </c>
      <c r="H519" s="23">
        <f>IFERROR(__xludf.DUMMYFUNCTION("IFs(REGEXMATCH(I519, ""NOT""), 0, REGEXMATCH(I519, ""NO""), 0, REGEXMATCH(I519, ""TURBID""),1, COUNTBLANK(I519),"""", istext(I519),"""")"),0.0)</f>
        <v>0</v>
      </c>
      <c r="I519" s="23" t="str">
        <f>'3.5.raw'!R519</f>
        <v>Associated Sample PLc1113 and NOT TURBID</v>
      </c>
    </row>
    <row r="520">
      <c r="A520" s="23" t="str">
        <f t="shared" si="13"/>
        <v>UPNC60</v>
      </c>
      <c r="B520" s="23" t="str">
        <f>'3.5.raw'!I520</f>
        <v>UPNC60</v>
      </c>
      <c r="C520" s="24">
        <f>datevalue(left('3.5.raw'!K520,10))</f>
        <v>43804</v>
      </c>
      <c r="D520" s="23">
        <f>'3.5.raw'!H520</f>
        <v>98</v>
      </c>
      <c r="E520" s="1">
        <v>3.5</v>
      </c>
      <c r="F520" s="23" t="b">
        <f>if(countif(Status!C:C,A520)=1,TRUE, FALSE)</f>
        <v>1</v>
      </c>
      <c r="H520" s="23">
        <f>IFERROR(__xludf.DUMMYFUNCTION("IFs(REGEXMATCH(I520, ""NOT""), 0, REGEXMATCH(I520, ""NO""), 0, REGEXMATCH(I520, ""TURBID""),1, COUNTBLANK(I520),"""", istext(I520),"""")"),0.0)</f>
        <v>0</v>
      </c>
      <c r="I520" s="23" t="str">
        <f>'3.5.raw'!R520</f>
        <v>NOT TURBID</v>
      </c>
    </row>
    <row r="521">
      <c r="A521" s="23" t="str">
        <f t="shared" si="13"/>
        <v>PLc1115</v>
      </c>
      <c r="B521" s="23" t="str">
        <f>'3.5.raw'!I521</f>
        <v>PLc1115</v>
      </c>
      <c r="C521" s="24">
        <f>datevalue(left('3.5.raw'!K521,10))</f>
        <v>43805</v>
      </c>
      <c r="D521" s="23">
        <f>'3.5.raw'!H521</f>
        <v>11</v>
      </c>
      <c r="E521" s="1">
        <v>3.5</v>
      </c>
      <c r="F521" s="23" t="b">
        <f>if(countif(Status!C:C,A521)=1,TRUE, FALSE)</f>
        <v>1</v>
      </c>
      <c r="H521" s="23" t="str">
        <f>IFERROR(__xludf.DUMMYFUNCTION("IFs(REGEXMATCH(I521, ""NOT""), 0, REGEXMATCH(I521, ""NO""), 0, REGEXMATCH(I521, ""TURBID""),1, COUNTBLANK(I521),"""", istext(I521),"""")"),"")</f>
        <v/>
      </c>
      <c r="I521" s="23" t="str">
        <f>'3.5.raw'!R521</f>
        <v/>
      </c>
    </row>
    <row r="522">
      <c r="A522" s="23" t="str">
        <f t="shared" si="13"/>
        <v>FB1186UP</v>
      </c>
      <c r="B522" s="23" t="str">
        <f>'3.5.raw'!I522</f>
        <v>FB1186UP</v>
      </c>
      <c r="C522" s="24">
        <f>datevalue(left('3.5.raw'!K522,10))</f>
        <v>43805</v>
      </c>
      <c r="D522" s="23">
        <f>'3.5.raw'!H522</f>
        <v>99</v>
      </c>
      <c r="E522" s="1">
        <v>3.5</v>
      </c>
      <c r="F522" s="23" t="b">
        <f>if(countif(Status!C:C,A522)=1,TRUE, FALSE)</f>
        <v>1</v>
      </c>
      <c r="H522" s="23">
        <f>IFERROR(__xludf.DUMMYFUNCTION("IFs(REGEXMATCH(I522, ""NOT""), 0, REGEXMATCH(I522, ""NO""), 0, REGEXMATCH(I522, ""TURBID""),1, COUNTBLANK(I522),"""", istext(I522),"""")"),0.0)</f>
        <v>0</v>
      </c>
      <c r="I522" s="23" t="str">
        <f>'3.5.raw'!R522</f>
        <v>Associated Sample PLc1115 and NOT TURBID</v>
      </c>
    </row>
    <row r="523">
      <c r="A523" s="23" t="str">
        <f t="shared" si="13"/>
        <v>PLc1116</v>
      </c>
      <c r="B523" s="23" t="str">
        <f>'3.5.raw'!I523</f>
        <v>PLc1116</v>
      </c>
      <c r="C523" s="24">
        <f>datevalue(left('3.5.raw'!K523,10))</f>
        <v>43805</v>
      </c>
      <c r="D523" s="23">
        <f>'3.5.raw'!H523</f>
        <v>11</v>
      </c>
      <c r="E523" s="1">
        <v>3.5</v>
      </c>
      <c r="F523" s="23" t="b">
        <f>if(countif(Status!C:C,A523)=1,TRUE, FALSE)</f>
        <v>1</v>
      </c>
      <c r="H523" s="23" t="str">
        <f>IFERROR(__xludf.DUMMYFUNCTION("IFs(REGEXMATCH(I523, ""NOT""), 0, REGEXMATCH(I523, ""NO""), 0, REGEXMATCH(I523, ""TURBID""),1, COUNTBLANK(I523),"""", istext(I523),"""")"),"")</f>
        <v/>
      </c>
      <c r="I523" s="23" t="str">
        <f>'3.5.raw'!R523</f>
        <v/>
      </c>
    </row>
    <row r="524">
      <c r="A524" s="23" t="str">
        <f t="shared" si="13"/>
        <v>FB1187UP</v>
      </c>
      <c r="B524" s="23" t="str">
        <f>'3.5.raw'!I524</f>
        <v>FB1187UP</v>
      </c>
      <c r="C524" s="24">
        <f>datevalue(left('3.5.raw'!K524,10))</f>
        <v>43805</v>
      </c>
      <c r="D524" s="23">
        <f>'3.5.raw'!H524</f>
        <v>99</v>
      </c>
      <c r="E524" s="1">
        <v>3.5</v>
      </c>
      <c r="F524" s="23" t="b">
        <f>if(countif(Status!C:C,A524)=1,TRUE, FALSE)</f>
        <v>1</v>
      </c>
      <c r="H524" s="23">
        <f>IFERROR(__xludf.DUMMYFUNCTION("IFs(REGEXMATCH(I524, ""NOT""), 0, REGEXMATCH(I524, ""NO""), 0, REGEXMATCH(I524, ""TURBID""),1, COUNTBLANK(I524),"""", istext(I524),"""")"),0.0)</f>
        <v>0</v>
      </c>
      <c r="I524" s="23" t="str">
        <f>'3.5.raw'!R524</f>
        <v>Associated Sample PLc1116 and NOT TURBID</v>
      </c>
    </row>
    <row r="525">
      <c r="A525" s="23" t="str">
        <f t="shared" si="13"/>
        <v>PLc1114</v>
      </c>
      <c r="B525" s="23" t="str">
        <f>'3.5.raw'!I525</f>
        <v>PLc1114</v>
      </c>
      <c r="C525" s="24">
        <f>datevalue(left('3.5.raw'!K525,10))</f>
        <v>43805</v>
      </c>
      <c r="D525" s="23">
        <f>'3.5.raw'!H525</f>
        <v>11</v>
      </c>
      <c r="E525" s="1">
        <v>3.5</v>
      </c>
      <c r="F525" s="23" t="b">
        <f>if(countif(Status!C:C,A525)=1,TRUE, FALSE)</f>
        <v>1</v>
      </c>
      <c r="H525" s="23" t="str">
        <f>IFERROR(__xludf.DUMMYFUNCTION("IFs(REGEXMATCH(I525, ""NOT""), 0, REGEXMATCH(I525, ""NO""), 0, REGEXMATCH(I525, ""TURBID""),1, COUNTBLANK(I525),"""", istext(I525),"""")"),"")</f>
        <v/>
      </c>
      <c r="I525" s="23" t="str">
        <f>'3.5.raw'!R525</f>
        <v/>
      </c>
    </row>
    <row r="526">
      <c r="A526" s="23" t="str">
        <f t="shared" si="13"/>
        <v>FB1185UP</v>
      </c>
      <c r="B526" s="23" t="str">
        <f>'3.5.raw'!I526</f>
        <v>FB1185UP</v>
      </c>
      <c r="C526" s="24">
        <f>datevalue(left('3.5.raw'!K526,10))</f>
        <v>43805</v>
      </c>
      <c r="D526" s="23">
        <f>'3.5.raw'!H526</f>
        <v>99</v>
      </c>
      <c r="E526" s="1">
        <v>3.5</v>
      </c>
      <c r="F526" s="23" t="b">
        <f>if(countif(Status!C:C,A526)=1,TRUE, FALSE)</f>
        <v>1</v>
      </c>
      <c r="H526" s="23">
        <f>IFERROR(__xludf.DUMMYFUNCTION("IFs(REGEXMATCH(I526, ""NOT""), 0, REGEXMATCH(I526, ""NO""), 0, REGEXMATCH(I526, ""TURBID""),1, COUNTBLANK(I526),"""", istext(I526),"""")"),0.0)</f>
        <v>0</v>
      </c>
      <c r="I526" s="23" t="str">
        <f>'3.5.raw'!R526</f>
        <v>Associated Sample PLc1114 and NOT TURBID</v>
      </c>
    </row>
    <row r="527">
      <c r="A527" s="23" t="str">
        <f t="shared" si="13"/>
        <v>PLc1117</v>
      </c>
      <c r="B527" s="23" t="str">
        <f>'3.5.raw'!I527</f>
        <v>PLc1117</v>
      </c>
      <c r="C527" s="24">
        <f>datevalue(left('3.5.raw'!K527,10))</f>
        <v>43805</v>
      </c>
      <c r="D527" s="23">
        <f>'3.5.raw'!H527</f>
        <v>11</v>
      </c>
      <c r="E527" s="1">
        <v>3.5</v>
      </c>
      <c r="F527" s="23" t="b">
        <f>if(countif(Status!C:C,A527)=1,TRUE, FALSE)</f>
        <v>1</v>
      </c>
      <c r="H527" s="23" t="str">
        <f>IFERROR(__xludf.DUMMYFUNCTION("IFs(REGEXMATCH(I527, ""NOT""), 0, REGEXMATCH(I527, ""NO""), 0, REGEXMATCH(I527, ""TURBID""),1, COUNTBLANK(I527),"""", istext(I527),"""")"),"")</f>
        <v/>
      </c>
      <c r="I527" s="23" t="str">
        <f>'3.5.raw'!R527</f>
        <v/>
      </c>
    </row>
    <row r="528">
      <c r="A528" s="23" t="str">
        <f t="shared" si="13"/>
        <v>FB1188UP</v>
      </c>
      <c r="B528" s="23" t="str">
        <f>'3.5.raw'!I528</f>
        <v>FB1188UP</v>
      </c>
      <c r="C528" s="24">
        <f>datevalue(left('3.5.raw'!K528,10))</f>
        <v>43805</v>
      </c>
      <c r="D528" s="23">
        <f>'3.5.raw'!H528</f>
        <v>99</v>
      </c>
      <c r="E528" s="1">
        <v>3.5</v>
      </c>
      <c r="F528" s="23" t="b">
        <f>if(countif(Status!C:C,A528)=1,TRUE, FALSE)</f>
        <v>1</v>
      </c>
      <c r="H528" s="23">
        <f>IFERROR(__xludf.DUMMYFUNCTION("IFs(REGEXMATCH(I528, ""NOT""), 0, REGEXMATCH(I528, ""NO""), 0, REGEXMATCH(I528, ""TURBID""),1, COUNTBLANK(I528),"""", istext(I528),"""")"),0.0)</f>
        <v>0</v>
      </c>
      <c r="I528" s="23" t="str">
        <f>'3.5.raw'!R528</f>
        <v>Associated Sample PLc1117 and NOT TURBID</v>
      </c>
    </row>
    <row r="529">
      <c r="A529" s="23" t="str">
        <f t="shared" si="13"/>
        <v>UPNC61</v>
      </c>
      <c r="B529" s="23" t="str">
        <f>'3.5.raw'!I529</f>
        <v>UPNC61</v>
      </c>
      <c r="C529" s="24">
        <f>datevalue(left('3.5.raw'!K529,10))</f>
        <v>43805</v>
      </c>
      <c r="D529" s="23">
        <f>'3.5.raw'!H529</f>
        <v>98</v>
      </c>
      <c r="E529" s="1">
        <v>3.5</v>
      </c>
      <c r="F529" s="23" t="b">
        <f>if(countif(Status!C:C,A529)=1,TRUE, FALSE)</f>
        <v>1</v>
      </c>
      <c r="H529" s="23">
        <f>IFERROR(__xludf.DUMMYFUNCTION("IFs(REGEXMATCH(I529, ""NOT""), 0, REGEXMATCH(I529, ""NO""), 0, REGEXMATCH(I529, ""TURBID""),1, COUNTBLANK(I529),"""", istext(I529),"""")"),0.0)</f>
        <v>0</v>
      </c>
      <c r="I529" s="23" t="str">
        <f>'3.5.raw'!R529</f>
        <v>NOT TURBID</v>
      </c>
    </row>
    <row r="530">
      <c r="A530" s="23" t="str">
        <f t="shared" si="13"/>
        <v>PLc1118</v>
      </c>
      <c r="B530" s="23" t="str">
        <f>'3.5.raw'!I530</f>
        <v>PLc1118</v>
      </c>
      <c r="C530" s="24">
        <f>datevalue(left('3.5.raw'!K530,10))</f>
        <v>43808</v>
      </c>
      <c r="D530" s="23">
        <f>'3.5.raw'!H530</f>
        <v>11</v>
      </c>
      <c r="E530" s="1">
        <v>3.5</v>
      </c>
      <c r="F530" s="23" t="b">
        <f>if(countif(Status!C:C,A530)=1,TRUE, FALSE)</f>
        <v>1</v>
      </c>
      <c r="H530" s="23" t="str">
        <f>IFERROR(__xludf.DUMMYFUNCTION("IFs(REGEXMATCH(I530, ""NOT""), 0, REGEXMATCH(I530, ""NO""), 0, REGEXMATCH(I530, ""TURBID""),1, COUNTBLANK(I530),"""", istext(I530),"""")"),"")</f>
        <v/>
      </c>
      <c r="I530" s="23" t="str">
        <f>'3.5.raw'!R530</f>
        <v/>
      </c>
    </row>
    <row r="531">
      <c r="A531" s="23" t="str">
        <f t="shared" si="13"/>
        <v>FB1189UP</v>
      </c>
      <c r="B531" s="23" t="str">
        <f>'3.5.raw'!I531</f>
        <v>FB1189UP</v>
      </c>
      <c r="C531" s="24">
        <f>datevalue(left('3.5.raw'!K531,10))</f>
        <v>43808</v>
      </c>
      <c r="D531" s="23">
        <f>'3.5.raw'!H531</f>
        <v>99</v>
      </c>
      <c r="E531" s="1">
        <v>3.5</v>
      </c>
      <c r="F531" s="23" t="b">
        <f>if(countif(Status!C:C,A531)=1,TRUE, FALSE)</f>
        <v>1</v>
      </c>
      <c r="H531" s="23">
        <f>IFERROR(__xludf.DUMMYFUNCTION("IFs(REGEXMATCH(I531, ""NOT""), 0, REGEXMATCH(I531, ""NO""), 0, REGEXMATCH(I531, ""TURBID""),1, COUNTBLANK(I531),"""", istext(I531),"""")"),0.0)</f>
        <v>0</v>
      </c>
      <c r="I531" s="23" t="str">
        <f>'3.5.raw'!R531</f>
        <v>Associated sample PLc1118 and NOT TURBID</v>
      </c>
    </row>
    <row r="532">
      <c r="A532" s="23" t="str">
        <f t="shared" si="13"/>
        <v>PLc1119</v>
      </c>
      <c r="B532" s="23" t="str">
        <f>'3.5.raw'!I532</f>
        <v>PLc1119</v>
      </c>
      <c r="C532" s="24">
        <f>datevalue(left('3.5.raw'!K532,10))</f>
        <v>43808</v>
      </c>
      <c r="D532" s="23">
        <f>'3.5.raw'!H532</f>
        <v>11</v>
      </c>
      <c r="E532" s="1">
        <v>3.5</v>
      </c>
      <c r="F532" s="23" t="b">
        <f>if(countif(Status!C:C,A532)=1,TRUE, FALSE)</f>
        <v>1</v>
      </c>
      <c r="H532" s="23" t="str">
        <f>IFERROR(__xludf.DUMMYFUNCTION("IFs(REGEXMATCH(I532, ""NOT""), 0, REGEXMATCH(I532, ""NO""), 0, REGEXMATCH(I532, ""TURBID""),1, COUNTBLANK(I532),"""", istext(I532),"""")"),"")</f>
        <v/>
      </c>
      <c r="I532" s="23" t="str">
        <f>'3.5.raw'!R532</f>
        <v/>
      </c>
    </row>
    <row r="533">
      <c r="A533" s="23" t="str">
        <f t="shared" si="13"/>
        <v>FB1190UP</v>
      </c>
      <c r="B533" s="23" t="str">
        <f>'3.5.raw'!I533</f>
        <v>FB1190UP</v>
      </c>
      <c r="C533" s="24">
        <f>datevalue(left('3.5.raw'!K533,10))</f>
        <v>43808</v>
      </c>
      <c r="D533" s="23">
        <f>'3.5.raw'!H533</f>
        <v>99</v>
      </c>
      <c r="E533" s="1">
        <v>3.5</v>
      </c>
      <c r="F533" s="23" t="b">
        <f>if(countif(Status!C:C,A533)=1,TRUE, FALSE)</f>
        <v>1</v>
      </c>
      <c r="H533" s="23">
        <f>IFERROR(__xludf.DUMMYFUNCTION("IFs(REGEXMATCH(I533, ""NOT""), 0, REGEXMATCH(I533, ""NO""), 0, REGEXMATCH(I533, ""TURBID""),1, COUNTBLANK(I533),"""", istext(I533),"""")"),0.0)</f>
        <v>0</v>
      </c>
      <c r="I533" s="23" t="str">
        <f>'3.5.raw'!R533</f>
        <v>Associated sample PLc1119 and NOT TURBID</v>
      </c>
    </row>
    <row r="534">
      <c r="A534" s="23" t="str">
        <f t="shared" si="13"/>
        <v>PLc1120</v>
      </c>
      <c r="B534" s="23" t="str">
        <f>'3.5.raw'!I534</f>
        <v>PLc1120</v>
      </c>
      <c r="C534" s="24">
        <f>datevalue(left('3.5.raw'!K534,10))</f>
        <v>43808</v>
      </c>
      <c r="D534" s="23">
        <f>'3.5.raw'!H534</f>
        <v>11</v>
      </c>
      <c r="E534" s="1">
        <v>3.5</v>
      </c>
      <c r="F534" s="23" t="b">
        <f>if(countif(Status!C:C,A534)=1,TRUE, FALSE)</f>
        <v>1</v>
      </c>
      <c r="H534" s="23" t="str">
        <f>IFERROR(__xludf.DUMMYFUNCTION("IFs(REGEXMATCH(I534, ""NOT""), 0, REGEXMATCH(I534, ""NO""), 0, REGEXMATCH(I534, ""TURBID""),1, COUNTBLANK(I534),"""", istext(I534),"""")"),"")</f>
        <v/>
      </c>
      <c r="I534" s="23" t="str">
        <f>'3.5.raw'!R534</f>
        <v/>
      </c>
    </row>
    <row r="535">
      <c r="A535" s="23" t="str">
        <f t="shared" si="13"/>
        <v>FB1191UP</v>
      </c>
      <c r="B535" s="23" t="str">
        <f>'3.5.raw'!I535</f>
        <v>FB1191UP</v>
      </c>
      <c r="C535" s="24">
        <f>datevalue(left('3.5.raw'!K535,10))</f>
        <v>43808</v>
      </c>
      <c r="D535" s="23">
        <f>'3.5.raw'!H535</f>
        <v>99</v>
      </c>
      <c r="E535" s="1">
        <v>3.5</v>
      </c>
      <c r="F535" s="23" t="b">
        <f>if(countif(Status!C:C,A535)=1,TRUE, FALSE)</f>
        <v>1</v>
      </c>
      <c r="H535" s="23">
        <f>IFERROR(__xludf.DUMMYFUNCTION("IFs(REGEXMATCH(I535, ""NOT""), 0, REGEXMATCH(I535, ""NO""), 0, REGEXMATCH(I535, ""TURBID""),1, COUNTBLANK(I535),"""", istext(I535),"""")"),0.0)</f>
        <v>0</v>
      </c>
      <c r="I535" s="23" t="str">
        <f>'3.5.raw'!R535</f>
        <v>Associated sample PLc1120 and NOT TURBID</v>
      </c>
    </row>
    <row r="536">
      <c r="A536" s="23" t="str">
        <f t="shared" si="13"/>
        <v>PLc1121</v>
      </c>
      <c r="B536" s="23" t="str">
        <f>'3.5.raw'!I536</f>
        <v>PLc1121</v>
      </c>
      <c r="C536" s="24">
        <f>datevalue(left('3.5.raw'!K536,10))</f>
        <v>43808</v>
      </c>
      <c r="D536" s="23">
        <f>'3.5.raw'!H536</f>
        <v>11</v>
      </c>
      <c r="E536" s="1">
        <v>3.5</v>
      </c>
      <c r="F536" s="23" t="b">
        <f>if(countif(Status!C:C,A536)=1,TRUE, FALSE)</f>
        <v>1</v>
      </c>
      <c r="H536" s="23" t="str">
        <f>IFERROR(__xludf.DUMMYFUNCTION("IFs(REGEXMATCH(I536, ""NOT""), 0, REGEXMATCH(I536, ""NO""), 0, REGEXMATCH(I536, ""TURBID""),1, COUNTBLANK(I536),"""", istext(I536),"""")"),"")</f>
        <v/>
      </c>
      <c r="I536" s="23" t="str">
        <f>'3.5.raw'!R536</f>
        <v/>
      </c>
    </row>
    <row r="537">
      <c r="A537" s="23" t="str">
        <f t="shared" si="13"/>
        <v>FB1192UP</v>
      </c>
      <c r="B537" s="23" t="str">
        <f>'3.5.raw'!I537</f>
        <v>FB1192UP</v>
      </c>
      <c r="C537" s="24">
        <f>datevalue(left('3.5.raw'!K537,10))</f>
        <v>43808</v>
      </c>
      <c r="D537" s="23">
        <f>'3.5.raw'!H537</f>
        <v>99</v>
      </c>
      <c r="E537" s="1">
        <v>3.5</v>
      </c>
      <c r="F537" s="23" t="b">
        <f>if(countif(Status!C:C,A537)=1,TRUE, FALSE)</f>
        <v>1</v>
      </c>
      <c r="H537" s="23">
        <f>IFERROR(__xludf.DUMMYFUNCTION("IFs(REGEXMATCH(I537, ""NOT""), 0, REGEXMATCH(I537, ""NO""), 0, REGEXMATCH(I537, ""TURBID""),1, COUNTBLANK(I537),"""", istext(I537),"""")"),0.0)</f>
        <v>0</v>
      </c>
      <c r="I537" s="23" t="str">
        <f>'3.5.raw'!R537</f>
        <v>Associated sample PLc1121 and NOT TURBID</v>
      </c>
    </row>
    <row r="538">
      <c r="A538" s="23" t="str">
        <f t="shared" si="13"/>
        <v>UPNC62</v>
      </c>
      <c r="B538" s="23" t="str">
        <f>'3.5.raw'!I538</f>
        <v>UPNC62</v>
      </c>
      <c r="C538" s="24">
        <f>datevalue(left('3.5.raw'!K538,10))</f>
        <v>43808</v>
      </c>
      <c r="D538" s="23">
        <f>'3.5.raw'!H538</f>
        <v>98</v>
      </c>
      <c r="E538" s="1">
        <v>3.5</v>
      </c>
      <c r="F538" s="23" t="b">
        <f>if(countif(Status!C:C,A538)=1,TRUE, FALSE)</f>
        <v>1</v>
      </c>
      <c r="H538" s="23">
        <f>IFERROR(__xludf.DUMMYFUNCTION("IFs(REGEXMATCH(I538, ""NOT""), 0, REGEXMATCH(I538, ""NO""), 0, REGEXMATCH(I538, ""TURBID""),1, COUNTBLANK(I538),"""", istext(I538),"""")"),0.0)</f>
        <v>0</v>
      </c>
      <c r="I538" s="23" t="str">
        <f>'3.5.raw'!R538</f>
        <v>NOT TURBID</v>
      </c>
    </row>
    <row r="539">
      <c r="A539" s="23" t="str">
        <f t="shared" si="13"/>
        <v>MO1130</v>
      </c>
      <c r="B539" s="23" t="str">
        <f>'3.5.raw'!I539</f>
        <v>MO1130</v>
      </c>
      <c r="C539" s="24">
        <f>datevalue(left('3.5.raw'!K539,10))</f>
        <v>43809</v>
      </c>
      <c r="D539" s="23">
        <f>'3.5.raw'!H539</f>
        <v>12</v>
      </c>
      <c r="E539" s="1">
        <v>3.5</v>
      </c>
      <c r="F539" s="23" t="b">
        <f>if(countif(Status!C:C,A539)=1,TRUE, FALSE)</f>
        <v>1</v>
      </c>
      <c r="H539" s="23" t="str">
        <f>IFERROR(__xludf.DUMMYFUNCTION("IFs(REGEXMATCH(I539, ""NOT""), 0, REGEXMATCH(I539, ""NO""), 0, REGEXMATCH(I539, ""TURBID""),1, COUNTBLANK(I539),"""", istext(I539),"""")"),"")</f>
        <v/>
      </c>
      <c r="I539" s="23" t="str">
        <f>'3.5.raw'!R539</f>
        <v/>
      </c>
    </row>
    <row r="540">
      <c r="A540" s="23" t="str">
        <f t="shared" si="13"/>
        <v>FB1197UP</v>
      </c>
      <c r="B540" s="23" t="str">
        <f>'3.5.raw'!I540</f>
        <v>FB1197UP</v>
      </c>
      <c r="C540" s="24">
        <f>datevalue(left('3.5.raw'!K540,10))</f>
        <v>43809</v>
      </c>
      <c r="D540" s="23">
        <f>'3.5.raw'!H540</f>
        <v>99</v>
      </c>
      <c r="E540" s="1">
        <v>3.5</v>
      </c>
      <c r="F540" s="23" t="b">
        <f>if(countif(Status!C:C,A540)=1,TRUE, FALSE)</f>
        <v>1</v>
      </c>
      <c r="H540" s="23">
        <f>IFERROR(__xludf.DUMMYFUNCTION("IFs(REGEXMATCH(I540, ""NOT""), 0, REGEXMATCH(I540, ""NO""), 0, REGEXMATCH(I540, ""TURBID""),1, COUNTBLANK(I540),"""", istext(I540),"""")"),0.0)</f>
        <v>0</v>
      </c>
      <c r="I540" s="23" t="str">
        <f>'3.5.raw'!R540</f>
        <v>Associated sample MO1130 and NOT TURBID</v>
      </c>
    </row>
    <row r="541">
      <c r="A541" s="23" t="str">
        <f t="shared" si="13"/>
        <v>MO1131</v>
      </c>
      <c r="B541" s="23" t="str">
        <f>'3.5.raw'!I541</f>
        <v>MO1131</v>
      </c>
      <c r="C541" s="24">
        <f>datevalue(left('3.5.raw'!K541,10))</f>
        <v>43809</v>
      </c>
      <c r="D541" s="23">
        <f>'3.5.raw'!H541</f>
        <v>12</v>
      </c>
      <c r="E541" s="1">
        <v>3.5</v>
      </c>
      <c r="F541" s="23" t="b">
        <f>if(countif(Status!C:C,A541)=1,TRUE, FALSE)</f>
        <v>1</v>
      </c>
      <c r="H541" s="23" t="str">
        <f>IFERROR(__xludf.DUMMYFUNCTION("IFs(REGEXMATCH(I541, ""NOT""), 0, REGEXMATCH(I541, ""NO""), 0, REGEXMATCH(I541, ""TURBID""),1, COUNTBLANK(I541),"""", istext(I541),"""")"),"")</f>
        <v/>
      </c>
      <c r="I541" s="23" t="str">
        <f>'3.5.raw'!R541</f>
        <v/>
      </c>
    </row>
    <row r="542">
      <c r="A542" s="23" t="str">
        <f t="shared" si="13"/>
        <v>FB1198UP</v>
      </c>
      <c r="B542" s="23" t="str">
        <f>'3.5.raw'!I542</f>
        <v>FB1198UP</v>
      </c>
      <c r="C542" s="24">
        <f>datevalue(left('3.5.raw'!K542,10))</f>
        <v>43809</v>
      </c>
      <c r="D542" s="23">
        <f>'3.5.raw'!H542</f>
        <v>99</v>
      </c>
      <c r="E542" s="1">
        <v>3.5</v>
      </c>
      <c r="F542" s="23" t="b">
        <f>if(countif(Status!C:C,A542)=1,TRUE, FALSE)</f>
        <v>1</v>
      </c>
      <c r="H542" s="23">
        <f>IFERROR(__xludf.DUMMYFUNCTION("IFs(REGEXMATCH(I542, ""NOT""), 0, REGEXMATCH(I542, ""NO""), 0, REGEXMATCH(I542, ""TURBID""),1, COUNTBLANK(I542),"""", istext(I542),"""")"),0.0)</f>
        <v>0</v>
      </c>
      <c r="I542" s="23" t="str">
        <f>'3.5.raw'!R542</f>
        <v>Associated sample MO1131 and NOT TURBID</v>
      </c>
    </row>
    <row r="543">
      <c r="A543" s="23" t="str">
        <f t="shared" si="13"/>
        <v>PLc8122</v>
      </c>
      <c r="B543" s="23" t="str">
        <f>'3.5.raw'!I543</f>
        <v>PLc8122</v>
      </c>
      <c r="C543" s="24">
        <f>datevalue(left('3.5.raw'!K543,10))</f>
        <v>43809</v>
      </c>
      <c r="D543" s="23">
        <f>'3.5.raw'!H543</f>
        <v>11</v>
      </c>
      <c r="E543" s="1">
        <v>3.5</v>
      </c>
      <c r="F543" s="23" t="b">
        <f>if(countif(Status!C:C,A543)=1,TRUE, FALSE)</f>
        <v>1</v>
      </c>
      <c r="H543" s="23" t="str">
        <f>IFERROR(__xludf.DUMMYFUNCTION("IFs(REGEXMATCH(I543, ""NOT""), 0, REGEXMATCH(I543, ""NO""), 0, REGEXMATCH(I543, ""TURBID""),1, COUNTBLANK(I543),"""", istext(I543),"""")"),"")</f>
        <v/>
      </c>
      <c r="I543" s="23" t="str">
        <f>'3.5.raw'!R543</f>
        <v/>
      </c>
    </row>
    <row r="544">
      <c r="A544" s="23" t="str">
        <f t="shared" si="13"/>
        <v>FB1193UP</v>
      </c>
      <c r="B544" s="23" t="str">
        <f>'3.5.raw'!I544</f>
        <v>FB1193UP</v>
      </c>
      <c r="C544" s="24">
        <f>datevalue(left('3.5.raw'!K544,10))</f>
        <v>43809</v>
      </c>
      <c r="D544" s="23">
        <f>'3.5.raw'!H544</f>
        <v>99</v>
      </c>
      <c r="E544" s="1">
        <v>3.5</v>
      </c>
      <c r="F544" s="23" t="b">
        <f>if(countif(Status!C:C,A544)=1,TRUE, FALSE)</f>
        <v>1</v>
      </c>
      <c r="H544" s="23">
        <f>IFERROR(__xludf.DUMMYFUNCTION("IFs(REGEXMATCH(I544, ""NOT""), 0, REGEXMATCH(I544, ""NO""), 0, REGEXMATCH(I544, ""TURBID""),1, COUNTBLANK(I544),"""", istext(I544),"""")"),0.0)</f>
        <v>0</v>
      </c>
      <c r="I544" s="23" t="str">
        <f>'3.5.raw'!R544</f>
        <v>Associated sample PLc1122 and NOT TURBID</v>
      </c>
    </row>
    <row r="545">
      <c r="A545" s="23" t="str">
        <f t="shared" si="13"/>
        <v>PLc8123</v>
      </c>
      <c r="B545" s="23" t="str">
        <f>'3.5.raw'!I545</f>
        <v>PLc8123</v>
      </c>
      <c r="C545" s="24">
        <f>datevalue(left('3.5.raw'!K545,10))</f>
        <v>43809</v>
      </c>
      <c r="D545" s="23">
        <f>'3.5.raw'!H545</f>
        <v>11</v>
      </c>
      <c r="E545" s="1">
        <v>3.5</v>
      </c>
      <c r="F545" s="23" t="b">
        <f>if(countif(Status!C:C,A545)=1,TRUE, FALSE)</f>
        <v>1</v>
      </c>
      <c r="H545" s="23" t="str">
        <f>IFERROR(__xludf.DUMMYFUNCTION("IFs(REGEXMATCH(I545, ""NOT""), 0, REGEXMATCH(I545, ""NO""), 0, REGEXMATCH(I545, ""TURBID""),1, COUNTBLANK(I545),"""", istext(I545),"""")"),"")</f>
        <v/>
      </c>
      <c r="I545" s="23" t="str">
        <f>'3.5.raw'!R545</f>
        <v/>
      </c>
    </row>
    <row r="546">
      <c r="A546" s="23" t="str">
        <f t="shared" si="13"/>
        <v>FB1194UP</v>
      </c>
      <c r="B546" s="23" t="str">
        <f>'3.5.raw'!I546</f>
        <v>FB1194UP</v>
      </c>
      <c r="C546" s="24">
        <f>datevalue(left('3.5.raw'!K546,10))</f>
        <v>43809</v>
      </c>
      <c r="D546" s="23">
        <f>'3.5.raw'!H546</f>
        <v>99</v>
      </c>
      <c r="E546" s="1">
        <v>3.5</v>
      </c>
      <c r="F546" s="23" t="b">
        <f>if(countif(Status!C:C,A546)=1,TRUE, FALSE)</f>
        <v>1</v>
      </c>
      <c r="H546" s="23">
        <f>IFERROR(__xludf.DUMMYFUNCTION("IFs(REGEXMATCH(I546, ""NOT""), 0, REGEXMATCH(I546, ""NO""), 0, REGEXMATCH(I546, ""TURBID""),1, COUNTBLANK(I546),"""", istext(I546),"""")"),0.0)</f>
        <v>0</v>
      </c>
      <c r="I546" s="23" t="str">
        <f>'3.5.raw'!R546</f>
        <v>Associated sample PLc1123 and NOT TURBID</v>
      </c>
    </row>
    <row r="547">
      <c r="A547" s="23" t="str">
        <f t="shared" si="13"/>
        <v>PLc1124</v>
      </c>
      <c r="B547" s="23" t="str">
        <f>'3.5.raw'!I547</f>
        <v>PLc1124</v>
      </c>
      <c r="C547" s="24">
        <f>datevalue(left('3.5.raw'!K547,10))</f>
        <v>43809</v>
      </c>
      <c r="D547" s="23">
        <f>'3.5.raw'!H547</f>
        <v>11</v>
      </c>
      <c r="E547" s="1">
        <v>3.5</v>
      </c>
      <c r="F547" s="23" t="b">
        <f>if(countif(Status!C:C,A547)=1,TRUE, FALSE)</f>
        <v>1</v>
      </c>
      <c r="H547" s="23" t="str">
        <f>IFERROR(__xludf.DUMMYFUNCTION("IFs(REGEXMATCH(I547, ""NOT""), 0, REGEXMATCH(I547, ""NO""), 0, REGEXMATCH(I547, ""TURBID""),1, COUNTBLANK(I547),"""", istext(I547),"""")"),"")</f>
        <v/>
      </c>
      <c r="I547" s="23" t="str">
        <f>'3.5.raw'!R547</f>
        <v/>
      </c>
    </row>
    <row r="548">
      <c r="A548" s="23" t="str">
        <f t="shared" si="13"/>
        <v>FB1195UP</v>
      </c>
      <c r="B548" s="23" t="str">
        <f>'3.5.raw'!I548</f>
        <v>FB1195UP</v>
      </c>
      <c r="C548" s="24">
        <f>datevalue(left('3.5.raw'!K548,10))</f>
        <v>43809</v>
      </c>
      <c r="D548" s="23">
        <f>'3.5.raw'!H548</f>
        <v>99</v>
      </c>
      <c r="E548" s="1">
        <v>3.5</v>
      </c>
      <c r="F548" s="23" t="b">
        <f>if(countif(Status!C:C,A548)=1,TRUE, FALSE)</f>
        <v>1</v>
      </c>
      <c r="H548" s="23">
        <f>IFERROR(__xludf.DUMMYFUNCTION("IFs(REGEXMATCH(I548, ""NOT""), 0, REGEXMATCH(I548, ""NO""), 0, REGEXMATCH(I548, ""TURBID""),1, COUNTBLANK(I548),"""", istext(I548),"""")"),0.0)</f>
        <v>0</v>
      </c>
      <c r="I548" s="23" t="str">
        <f>'3.5.raw'!R548</f>
        <v>Associated sample PLc1124 and NOT TURBID</v>
      </c>
    </row>
    <row r="549">
      <c r="A549" s="23" t="str">
        <f t="shared" si="13"/>
        <v>PLc1125</v>
      </c>
      <c r="B549" s="23" t="str">
        <f>'3.5.raw'!I549</f>
        <v>PLc1125</v>
      </c>
      <c r="C549" s="24">
        <f>datevalue(left('3.5.raw'!K549,10))</f>
        <v>43809</v>
      </c>
      <c r="D549" s="23">
        <f>'3.5.raw'!H549</f>
        <v>11</v>
      </c>
      <c r="E549" s="1">
        <v>3.5</v>
      </c>
      <c r="F549" s="23" t="b">
        <f>if(countif(Status!C:C,A549)=1,TRUE, FALSE)</f>
        <v>1</v>
      </c>
      <c r="H549" s="23" t="str">
        <f>IFERROR(__xludf.DUMMYFUNCTION("IFs(REGEXMATCH(I549, ""NOT""), 0, REGEXMATCH(I549, ""NO""), 0, REGEXMATCH(I549, ""TURBID""),1, COUNTBLANK(I549),"""", istext(I549),"""")"),"")</f>
        <v/>
      </c>
      <c r="I549" s="23" t="str">
        <f>'3.5.raw'!R549</f>
        <v/>
      </c>
    </row>
    <row r="550">
      <c r="A550" s="23" t="str">
        <f t="shared" si="13"/>
        <v>FB1196UP</v>
      </c>
      <c r="B550" s="23" t="str">
        <f>'3.5.raw'!I550</f>
        <v>FB1196UP</v>
      </c>
      <c r="C550" s="24">
        <f>datevalue(left('3.5.raw'!K550,10))</f>
        <v>43809</v>
      </c>
      <c r="D550" s="23">
        <f>'3.5.raw'!H550</f>
        <v>99</v>
      </c>
      <c r="E550" s="1">
        <v>3.5</v>
      </c>
      <c r="F550" s="23" t="b">
        <f>if(countif(Status!C:C,A550)=1,TRUE, FALSE)</f>
        <v>1</v>
      </c>
      <c r="H550" s="23">
        <f>IFERROR(__xludf.DUMMYFUNCTION("IFs(REGEXMATCH(I550, ""NOT""), 0, REGEXMATCH(I550, ""NO""), 0, REGEXMATCH(I550, ""TURBID""),1, COUNTBLANK(I550),"""", istext(I550),"""")"),0.0)</f>
        <v>0</v>
      </c>
      <c r="I550" s="23" t="str">
        <f>'3.5.raw'!R550</f>
        <v>Associated sample PLc1125 and NOT TURBID</v>
      </c>
    </row>
    <row r="551">
      <c r="A551" s="23" t="str">
        <f t="shared" si="13"/>
        <v>UPNC63</v>
      </c>
      <c r="B551" s="23" t="str">
        <f>'3.5.raw'!I551</f>
        <v>UPNC63</v>
      </c>
      <c r="C551" s="24">
        <f>datevalue(left('3.5.raw'!K551,10))</f>
        <v>43809</v>
      </c>
      <c r="D551" s="23">
        <f>'3.5.raw'!H551</f>
        <v>98</v>
      </c>
      <c r="E551" s="1">
        <v>3.5</v>
      </c>
      <c r="F551" s="23" t="b">
        <f>if(countif(Status!C:C,A551)=1,TRUE, FALSE)</f>
        <v>1</v>
      </c>
      <c r="H551" s="23">
        <f>IFERROR(__xludf.DUMMYFUNCTION("IFs(REGEXMATCH(I551, ""NOT""), 0, REGEXMATCH(I551, ""NO""), 0, REGEXMATCH(I551, ""TURBID""),1, COUNTBLANK(I551),"""", istext(I551),"""")"),0.0)</f>
        <v>0</v>
      </c>
      <c r="I551" s="23" t="str">
        <f>'3.5.raw'!R551</f>
        <v>NOT TURBID</v>
      </c>
    </row>
    <row r="552">
      <c r="A552" s="23" t="str">
        <f t="shared" si="13"/>
        <v>PLc1126</v>
      </c>
      <c r="B552" s="23" t="str">
        <f>'3.5.raw'!I552</f>
        <v>PLc1126</v>
      </c>
      <c r="C552" s="24">
        <f>datevalue(left('3.5.raw'!K552,10))</f>
        <v>43811</v>
      </c>
      <c r="D552" s="23">
        <f>'3.5.raw'!H552</f>
        <v>11</v>
      </c>
      <c r="E552" s="1">
        <v>3.5</v>
      </c>
      <c r="F552" s="23" t="b">
        <f>if(countif(Status!C:C,A552)=1,TRUE, FALSE)</f>
        <v>1</v>
      </c>
      <c r="H552" s="23" t="str">
        <f>IFERROR(__xludf.DUMMYFUNCTION("IFs(REGEXMATCH(I552, ""NOT""), 0, REGEXMATCH(I552, ""NO""), 0, REGEXMATCH(I552, ""TURBID""),1, COUNTBLANK(I552),"""", istext(I552),"""")"),"")</f>
        <v/>
      </c>
      <c r="I552" s="23" t="str">
        <f>'3.5.raw'!R552</f>
        <v/>
      </c>
    </row>
    <row r="553">
      <c r="A553" s="23" t="str">
        <f t="shared" si="13"/>
        <v>FB1201UP</v>
      </c>
      <c r="B553" s="23" t="str">
        <f>'3.5.raw'!I553</f>
        <v>FB1201UP</v>
      </c>
      <c r="C553" s="24">
        <f>datevalue(left('3.5.raw'!K553,10))</f>
        <v>43811</v>
      </c>
      <c r="D553" s="23">
        <f>'3.5.raw'!H553</f>
        <v>99</v>
      </c>
      <c r="E553" s="1">
        <v>3.5</v>
      </c>
      <c r="F553" s="23" t="b">
        <f>if(countif(Status!C:C,A553)=1,TRUE, FALSE)</f>
        <v>1</v>
      </c>
      <c r="H553" s="23" t="str">
        <f>IFERROR(__xludf.DUMMYFUNCTION("IFs(REGEXMATCH(I553, ""NOT""), 0, REGEXMATCH(I553, ""NO""), 0, REGEXMATCH(I553, ""TURBID""),1, COUNTBLANK(I553),"""", istext(I553),"""")"),"")</f>
        <v/>
      </c>
      <c r="I553" s="23" t="str">
        <f>'3.5.raw'!R553</f>
        <v/>
      </c>
    </row>
    <row r="554">
      <c r="A554" s="23" t="str">
        <f t="shared" si="13"/>
        <v>PLc1127</v>
      </c>
      <c r="B554" s="23" t="str">
        <f>'3.5.raw'!I554</f>
        <v>PLc1127</v>
      </c>
      <c r="C554" s="24">
        <f>datevalue(left('3.5.raw'!K554,10))</f>
        <v>43811</v>
      </c>
      <c r="D554" s="23">
        <f>'3.5.raw'!H554</f>
        <v>11</v>
      </c>
      <c r="E554" s="1">
        <v>3.5</v>
      </c>
      <c r="F554" s="23" t="b">
        <f>if(countif(Status!C:C,A554)=1,TRUE, FALSE)</f>
        <v>1</v>
      </c>
      <c r="H554" s="23" t="str">
        <f>IFERROR(__xludf.DUMMYFUNCTION("IFs(REGEXMATCH(I554, ""NOT""), 0, REGEXMATCH(I554, ""NO""), 0, REGEXMATCH(I554, ""TURBID""),1, COUNTBLANK(I554),"""", istext(I554),"""")"),"")</f>
        <v/>
      </c>
      <c r="I554" s="23" t="str">
        <f>'3.5.raw'!R554</f>
        <v/>
      </c>
    </row>
    <row r="555">
      <c r="A555" s="23" t="str">
        <f t="shared" si="13"/>
        <v>FB1202UP</v>
      </c>
      <c r="B555" s="23" t="str">
        <f>'3.5.raw'!I555</f>
        <v>FB1202UP</v>
      </c>
      <c r="C555" s="24">
        <f>datevalue(left('3.5.raw'!K555,10))</f>
        <v>43811</v>
      </c>
      <c r="D555" s="23">
        <f>'3.5.raw'!H555</f>
        <v>99</v>
      </c>
      <c r="E555" s="1">
        <v>3.5</v>
      </c>
      <c r="F555" s="23" t="b">
        <f>if(countif(Status!C:C,A555)=1,TRUE, FALSE)</f>
        <v>1</v>
      </c>
      <c r="H555" s="23" t="str">
        <f>IFERROR(__xludf.DUMMYFUNCTION("IFs(REGEXMATCH(I555, ""NOT""), 0, REGEXMATCH(I555, ""NO""), 0, REGEXMATCH(I555, ""TURBID""),1, COUNTBLANK(I555),"""", istext(I555),"""")"),"")</f>
        <v/>
      </c>
      <c r="I555" s="23" t="str">
        <f>'3.5.raw'!R555</f>
        <v>Associated sample PLc1127</v>
      </c>
    </row>
    <row r="556">
      <c r="A556" s="23" t="str">
        <f t="shared" si="13"/>
        <v>PLc1128</v>
      </c>
      <c r="B556" s="23" t="str">
        <f>'3.5.raw'!I556</f>
        <v>PLc1128</v>
      </c>
      <c r="C556" s="24">
        <f>datevalue(left('3.5.raw'!K556,10))</f>
        <v>43811</v>
      </c>
      <c r="D556" s="23">
        <f>'3.5.raw'!H556</f>
        <v>11</v>
      </c>
      <c r="E556" s="1">
        <v>3.5</v>
      </c>
      <c r="F556" s="23" t="b">
        <f>if(countif(Status!C:C,A556)=1,TRUE, FALSE)</f>
        <v>1</v>
      </c>
      <c r="H556" s="23" t="str">
        <f>IFERROR(__xludf.DUMMYFUNCTION("IFs(REGEXMATCH(I556, ""NOT""), 0, REGEXMATCH(I556, ""NO""), 0, REGEXMATCH(I556, ""TURBID""),1, COUNTBLANK(I556),"""", istext(I556),"""")"),"")</f>
        <v/>
      </c>
      <c r="I556" s="23" t="str">
        <f>'3.5.raw'!R556</f>
        <v/>
      </c>
    </row>
    <row r="557">
      <c r="A557" s="23" t="str">
        <f t="shared" si="13"/>
        <v>FB1203UP</v>
      </c>
      <c r="B557" s="23" t="str">
        <f>'3.5.raw'!I557</f>
        <v>FB1203UP</v>
      </c>
      <c r="C557" s="24">
        <f>datevalue(left('3.5.raw'!K557,10))</f>
        <v>43811</v>
      </c>
      <c r="D557" s="23">
        <f>'3.5.raw'!H557</f>
        <v>99</v>
      </c>
      <c r="E557" s="1">
        <v>3.5</v>
      </c>
      <c r="F557" s="23" t="b">
        <f>if(countif(Status!C:C,A557)=1,TRUE, FALSE)</f>
        <v>1</v>
      </c>
      <c r="H557" s="23">
        <f>IFERROR(__xludf.DUMMYFUNCTION("IFs(REGEXMATCH(I557, ""NOT""), 0, REGEXMATCH(I557, ""NO""), 0, REGEXMATCH(I557, ""TURBID""),1, COUNTBLANK(I557),"""", istext(I557),"""")"),0.0)</f>
        <v>0</v>
      </c>
      <c r="I557" s="23" t="str">
        <f>'3.5.raw'!R557</f>
        <v>Associated Sample PLc1128 and NOT TURBID</v>
      </c>
    </row>
    <row r="558">
      <c r="A558" s="23" t="str">
        <f t="shared" si="13"/>
        <v>PLc1129</v>
      </c>
      <c r="B558" s="23" t="str">
        <f>'3.5.raw'!I558</f>
        <v>PLc1129</v>
      </c>
      <c r="C558" s="24">
        <f>datevalue(left('3.5.raw'!K558,10))</f>
        <v>43811</v>
      </c>
      <c r="D558" s="23">
        <f>'3.5.raw'!H558</f>
        <v>11</v>
      </c>
      <c r="E558" s="1">
        <v>3.5</v>
      </c>
      <c r="F558" s="23" t="b">
        <f>if(countif(Status!C:C,A558)=1,TRUE, FALSE)</f>
        <v>1</v>
      </c>
      <c r="H558" s="23" t="str">
        <f>IFERROR(__xludf.DUMMYFUNCTION("IFs(REGEXMATCH(I558, ""NOT""), 0, REGEXMATCH(I558, ""NO""), 0, REGEXMATCH(I558, ""TURBID""),1, COUNTBLANK(I558),"""", istext(I558),"""")"),"")</f>
        <v/>
      </c>
      <c r="I558" s="23" t="str">
        <f>'3.5.raw'!R558</f>
        <v/>
      </c>
    </row>
    <row r="559">
      <c r="A559" s="23" t="str">
        <f t="shared" si="13"/>
        <v>FB1204UP</v>
      </c>
      <c r="B559" s="23" t="str">
        <f>'3.5.raw'!I559</f>
        <v>FB1204UP</v>
      </c>
      <c r="C559" s="24">
        <f>datevalue(left('3.5.raw'!K559,10))</f>
        <v>43811</v>
      </c>
      <c r="D559" s="23">
        <f>'3.5.raw'!H559</f>
        <v>99</v>
      </c>
      <c r="E559" s="1">
        <v>3.5</v>
      </c>
      <c r="F559" s="23" t="b">
        <f>if(countif(Status!C:C,A559)=1,TRUE, FALSE)</f>
        <v>1</v>
      </c>
      <c r="H559" s="23">
        <f>IFERROR(__xludf.DUMMYFUNCTION("IFs(REGEXMATCH(I559, ""NOT""), 0, REGEXMATCH(I559, ""NO""), 0, REGEXMATCH(I559, ""TURBID""),1, COUNTBLANK(I559),"""", istext(I559),"""")"),0.0)</f>
        <v>0</v>
      </c>
      <c r="I559" s="23" t="str">
        <f>'3.5.raw'!R559</f>
        <v>Associated Sample PLc1129 and NOT TURBID</v>
      </c>
    </row>
    <row r="560">
      <c r="A560" s="23" t="str">
        <f t="shared" si="13"/>
        <v>PLc1130</v>
      </c>
      <c r="B560" s="23" t="str">
        <f>'3.5.raw'!I560</f>
        <v>PLc1130</v>
      </c>
      <c r="C560" s="24">
        <f>datevalue(left('3.5.raw'!K560,10))</f>
        <v>43811</v>
      </c>
      <c r="D560" s="23">
        <f>'3.5.raw'!H560</f>
        <v>11</v>
      </c>
      <c r="E560" s="1">
        <v>3.5</v>
      </c>
      <c r="F560" s="23" t="b">
        <f>if(countif(Status!C:C,A560)=1,TRUE, FALSE)</f>
        <v>1</v>
      </c>
      <c r="H560" s="23" t="str">
        <f>IFERROR(__xludf.DUMMYFUNCTION("IFs(REGEXMATCH(I560, ""NOT""), 0, REGEXMATCH(I560, ""NO""), 0, REGEXMATCH(I560, ""TURBID""),1, COUNTBLANK(I560),"""", istext(I560),"""")"),"")</f>
        <v/>
      </c>
      <c r="I560" s="23" t="str">
        <f>'3.5.raw'!R560</f>
        <v/>
      </c>
    </row>
    <row r="561">
      <c r="A561" s="23" t="str">
        <f t="shared" si="13"/>
        <v>FB1205UP</v>
      </c>
      <c r="B561" s="23" t="str">
        <f>'3.5.raw'!I561</f>
        <v>FB1205UP</v>
      </c>
      <c r="C561" s="24">
        <f>datevalue(left('3.5.raw'!K561,10))</f>
        <v>43811</v>
      </c>
      <c r="D561" s="23">
        <f>'3.5.raw'!H561</f>
        <v>99</v>
      </c>
      <c r="E561" s="1">
        <v>3.5</v>
      </c>
      <c r="F561" s="23" t="b">
        <f>if(countif(Status!C:C,A561)=1,TRUE, FALSE)</f>
        <v>1</v>
      </c>
      <c r="H561" s="23">
        <f>IFERROR(__xludf.DUMMYFUNCTION("IFs(REGEXMATCH(I561, ""NOT""), 0, REGEXMATCH(I561, ""NO""), 0, REGEXMATCH(I561, ""TURBID""),1, COUNTBLANK(I561),"""", istext(I561),"""")"),0.0)</f>
        <v>0</v>
      </c>
      <c r="I561" s="23" t="str">
        <f>'3.5.raw'!R561</f>
        <v>Associated Sample PLc1130 and NOT TURBID</v>
      </c>
    </row>
    <row r="562">
      <c r="A562" s="23" t="str">
        <f t="shared" si="13"/>
        <v>MO1132</v>
      </c>
      <c r="B562" s="23" t="str">
        <f>'3.5.raw'!I562</f>
        <v>MO1132</v>
      </c>
      <c r="C562" s="24">
        <f>datevalue(left('3.5.raw'!K562,10))</f>
        <v>43811</v>
      </c>
      <c r="D562" s="23">
        <f>'3.5.raw'!H562</f>
        <v>12</v>
      </c>
      <c r="E562" s="1">
        <v>3.5</v>
      </c>
      <c r="F562" s="23" t="b">
        <f>if(countif(Status!C:C,A562)=1,TRUE, FALSE)</f>
        <v>1</v>
      </c>
      <c r="H562" s="23" t="str">
        <f>IFERROR(__xludf.DUMMYFUNCTION("IFs(REGEXMATCH(I562, ""NOT""), 0, REGEXMATCH(I562, ""NO""), 0, REGEXMATCH(I562, ""TURBID""),1, COUNTBLANK(I562),"""", istext(I562),"""")"),"")</f>
        <v/>
      </c>
      <c r="I562" s="23" t="str">
        <f>'3.5.raw'!R562</f>
        <v/>
      </c>
    </row>
    <row r="563">
      <c r="A563" s="23" t="str">
        <f t="shared" si="13"/>
        <v>FB1199UP</v>
      </c>
      <c r="B563" s="23" t="str">
        <f>'3.5.raw'!I563</f>
        <v>FB1199UP</v>
      </c>
      <c r="C563" s="24">
        <f>datevalue(left('3.5.raw'!K563,10))</f>
        <v>43811</v>
      </c>
      <c r="D563" s="23">
        <f>'3.5.raw'!H563</f>
        <v>99</v>
      </c>
      <c r="E563" s="1">
        <v>3.5</v>
      </c>
      <c r="F563" s="23" t="b">
        <f>if(countif(Status!C:C,A563)=1,TRUE, FALSE)</f>
        <v>1</v>
      </c>
      <c r="H563" s="23">
        <f>IFERROR(__xludf.DUMMYFUNCTION("IFs(REGEXMATCH(I563, ""NOT""), 0, REGEXMATCH(I563, ""NO""), 0, REGEXMATCH(I563, ""TURBID""),1, COUNTBLANK(I563),"""", istext(I563),"""")"),0.0)</f>
        <v>0</v>
      </c>
      <c r="I563" s="23" t="str">
        <f>'3.5.raw'!R563</f>
        <v>Associated Sample MO 1132 and NOT TURBID</v>
      </c>
    </row>
    <row r="564">
      <c r="A564" s="23" t="str">
        <f t="shared" si="13"/>
        <v>MO1133</v>
      </c>
      <c r="B564" s="23" t="str">
        <f>'3.5.raw'!I564</f>
        <v>MO1133</v>
      </c>
      <c r="C564" s="24">
        <f>datevalue(left('3.5.raw'!K564,10))</f>
        <v>43811</v>
      </c>
      <c r="D564" s="23">
        <f>'3.5.raw'!H564</f>
        <v>12</v>
      </c>
      <c r="E564" s="1">
        <v>3.5</v>
      </c>
      <c r="F564" s="23" t="b">
        <f>if(countif(Status!C:C,A564)=1,TRUE, FALSE)</f>
        <v>1</v>
      </c>
      <c r="H564" s="23" t="str">
        <f>IFERROR(__xludf.DUMMYFUNCTION("IFs(REGEXMATCH(I564, ""NOT""), 0, REGEXMATCH(I564, ""NO""), 0, REGEXMATCH(I564, ""TURBID""),1, COUNTBLANK(I564),"""", istext(I564),"""")"),"")</f>
        <v/>
      </c>
      <c r="I564" s="23" t="str">
        <f>'3.5.raw'!R564</f>
        <v/>
      </c>
    </row>
    <row r="565">
      <c r="A565" s="23" t="str">
        <f t="shared" si="13"/>
        <v>UPNC64</v>
      </c>
      <c r="B565" s="23" t="str">
        <f>'3.5.raw'!I565</f>
        <v>UPNC64</v>
      </c>
      <c r="C565" s="24">
        <f>datevalue(left('3.5.raw'!K565,10))</f>
        <v>43811</v>
      </c>
      <c r="D565" s="23">
        <f>'3.5.raw'!H565</f>
        <v>98</v>
      </c>
      <c r="E565" s="1">
        <v>3.5</v>
      </c>
      <c r="F565" s="23" t="b">
        <f>if(countif(Status!C:C,A565)=1,TRUE, FALSE)</f>
        <v>1</v>
      </c>
      <c r="H565" s="23">
        <f>IFERROR(__xludf.DUMMYFUNCTION("IFs(REGEXMATCH(I565, ""NOT""), 0, REGEXMATCH(I565, ""NO""), 0, REGEXMATCH(I565, ""TURBID""),1, COUNTBLANK(I565),"""", istext(I565),"""")"),0.0)</f>
        <v>0</v>
      </c>
      <c r="I565" s="23" t="str">
        <f>'3.5.raw'!R565</f>
        <v>NOT TURBID</v>
      </c>
    </row>
    <row r="566">
      <c r="A566" s="23" t="str">
        <f t="shared" si="13"/>
        <v>FB1200UP</v>
      </c>
      <c r="B566" s="23" t="str">
        <f>'3.5.raw'!I566</f>
        <v>FB1200UP</v>
      </c>
      <c r="C566" s="24">
        <f>datevalue(left('3.5.raw'!K566,10))</f>
        <v>43811</v>
      </c>
      <c r="D566" s="23">
        <f>'3.5.raw'!H566</f>
        <v>99</v>
      </c>
      <c r="E566" s="1">
        <v>3.5</v>
      </c>
      <c r="F566" s="23" t="b">
        <f>if(countif(Status!C:C,A566)=1,TRUE, FALSE)</f>
        <v>1</v>
      </c>
      <c r="H566" s="23">
        <f>IFERROR(__xludf.DUMMYFUNCTION("IFs(REGEXMATCH(I566, ""NOT""), 0, REGEXMATCH(I566, ""NO""), 0, REGEXMATCH(I566, ""TURBID""),1, COUNTBLANK(I566),"""", istext(I566),"""")"),0.0)</f>
        <v>0</v>
      </c>
      <c r="I566" s="23" t="str">
        <f>'3.5.raw'!R566</f>
        <v>Associated Sample MO1133 and NOT TURBID</v>
      </c>
    </row>
    <row r="567">
      <c r="A567" s="23" t="str">
        <f t="shared" si="13"/>
        <v>PLc1131</v>
      </c>
      <c r="B567" s="23" t="str">
        <f>'3.5.raw'!I567</f>
        <v>PLc1131</v>
      </c>
      <c r="C567" s="24">
        <f>datevalue(left('3.5.raw'!K567,10))</f>
        <v>43812</v>
      </c>
      <c r="D567" s="23">
        <f>'3.5.raw'!H567</f>
        <v>11</v>
      </c>
      <c r="E567" s="1">
        <v>3.5</v>
      </c>
      <c r="F567" s="23" t="b">
        <f>if(countif(Status!C:C,A567)=1,TRUE, FALSE)</f>
        <v>1</v>
      </c>
      <c r="H567" s="23" t="str">
        <f>IFERROR(__xludf.DUMMYFUNCTION("IFs(REGEXMATCH(I567, ""NOT""), 0, REGEXMATCH(I567, ""NO""), 0, REGEXMATCH(I567, ""TURBID""),1, COUNTBLANK(I567),"""", istext(I567),"""")"),"")</f>
        <v/>
      </c>
      <c r="I567" s="23" t="str">
        <f>'3.5.raw'!R567</f>
        <v/>
      </c>
    </row>
    <row r="568">
      <c r="A568" s="23" t="str">
        <f t="shared" si="13"/>
        <v>FB1206UP</v>
      </c>
      <c r="B568" s="23" t="str">
        <f>'3.5.raw'!I568</f>
        <v>FB1206UP</v>
      </c>
      <c r="C568" s="24">
        <f>datevalue(left('3.5.raw'!K568,10))</f>
        <v>43812</v>
      </c>
      <c r="D568" s="23">
        <f>'3.5.raw'!H568</f>
        <v>99</v>
      </c>
      <c r="E568" s="1">
        <v>3.5</v>
      </c>
      <c r="F568" s="23" t="b">
        <f>if(countif(Status!C:C,A568)=1,TRUE, FALSE)</f>
        <v>1</v>
      </c>
      <c r="H568" s="23">
        <f>IFERROR(__xludf.DUMMYFUNCTION("IFs(REGEXMATCH(I568, ""NOT""), 0, REGEXMATCH(I568, ""NO""), 0, REGEXMATCH(I568, ""TURBID""),1, COUNTBLANK(I568),"""", istext(I568),"""")"),0.0)</f>
        <v>0</v>
      </c>
      <c r="I568" s="23" t="str">
        <f>'3.5.raw'!R568</f>
        <v>Associated Sample PLc1131 and NOT TURBID</v>
      </c>
    </row>
    <row r="569">
      <c r="A569" s="23" t="str">
        <f t="shared" si="13"/>
        <v>PLc1132</v>
      </c>
      <c r="B569" s="23" t="str">
        <f>'3.5.raw'!I569</f>
        <v>PLc1132</v>
      </c>
      <c r="C569" s="24">
        <f>datevalue(left('3.5.raw'!K569,10))</f>
        <v>43812</v>
      </c>
      <c r="D569" s="23">
        <f>'3.5.raw'!H569</f>
        <v>11</v>
      </c>
      <c r="E569" s="1">
        <v>3.5</v>
      </c>
      <c r="F569" s="23" t="b">
        <f>if(countif(Status!C:C,A569)=1,TRUE, FALSE)</f>
        <v>1</v>
      </c>
      <c r="H569" s="23" t="str">
        <f>IFERROR(__xludf.DUMMYFUNCTION("IFs(REGEXMATCH(I569, ""NOT""), 0, REGEXMATCH(I569, ""NO""), 0, REGEXMATCH(I569, ""TURBID""),1, COUNTBLANK(I569),"""", istext(I569),"""")"),"")</f>
        <v/>
      </c>
      <c r="I569" s="23" t="str">
        <f>'3.5.raw'!R569</f>
        <v/>
      </c>
    </row>
    <row r="570">
      <c r="A570" s="23" t="str">
        <f t="shared" si="13"/>
        <v>FB1207UP</v>
      </c>
      <c r="B570" s="23" t="str">
        <f>'3.5.raw'!I570</f>
        <v>FB1207UP</v>
      </c>
      <c r="C570" s="24">
        <f>datevalue(left('3.5.raw'!K570,10))</f>
        <v>43812</v>
      </c>
      <c r="D570" s="23">
        <f>'3.5.raw'!H570</f>
        <v>99</v>
      </c>
      <c r="E570" s="1">
        <v>3.5</v>
      </c>
      <c r="F570" s="23" t="b">
        <f>if(countif(Status!C:C,A570)=1,TRUE, FALSE)</f>
        <v>1</v>
      </c>
      <c r="H570" s="23">
        <f>IFERROR(__xludf.DUMMYFUNCTION("IFs(REGEXMATCH(I570, ""NOT""), 0, REGEXMATCH(I570, ""NO""), 0, REGEXMATCH(I570, ""TURBID""),1, COUNTBLANK(I570),"""", istext(I570),"""")"),0.0)</f>
        <v>0</v>
      </c>
      <c r="I570" s="23" t="str">
        <f>'3.5.raw'!R570</f>
        <v>Associated Sample PLc1132 and NOT TURBID</v>
      </c>
    </row>
    <row r="571">
      <c r="A571" s="23" t="str">
        <f t="shared" si="13"/>
        <v>PLc1133</v>
      </c>
      <c r="B571" s="23" t="str">
        <f>'3.5.raw'!I571</f>
        <v>PLc1133</v>
      </c>
      <c r="C571" s="24">
        <f>datevalue(left('3.5.raw'!K571,10))</f>
        <v>43812</v>
      </c>
      <c r="D571" s="23">
        <f>'3.5.raw'!H571</f>
        <v>11</v>
      </c>
      <c r="E571" s="1">
        <v>3.5</v>
      </c>
      <c r="F571" s="23" t="b">
        <f>if(countif(Status!C:C,A571)=1,TRUE, FALSE)</f>
        <v>1</v>
      </c>
      <c r="H571" s="23" t="str">
        <f>IFERROR(__xludf.DUMMYFUNCTION("IFs(REGEXMATCH(I571, ""NOT""), 0, REGEXMATCH(I571, ""NO""), 0, REGEXMATCH(I571, ""TURBID""),1, COUNTBLANK(I571),"""", istext(I571),"""")"),"")</f>
        <v/>
      </c>
      <c r="I571" s="23" t="str">
        <f>'3.5.raw'!R571</f>
        <v/>
      </c>
    </row>
    <row r="572">
      <c r="A572" s="23" t="str">
        <f t="shared" si="13"/>
        <v>FB1208UP</v>
      </c>
      <c r="B572" s="23" t="str">
        <f>'3.5.raw'!I572</f>
        <v>FB1208UP</v>
      </c>
      <c r="C572" s="24">
        <f>datevalue(left('3.5.raw'!K572,10))</f>
        <v>43812</v>
      </c>
      <c r="D572" s="23">
        <f>'3.5.raw'!H572</f>
        <v>99</v>
      </c>
      <c r="E572" s="1">
        <v>3.5</v>
      </c>
      <c r="F572" s="23" t="b">
        <f>if(countif(Status!C:C,A572)=1,TRUE, FALSE)</f>
        <v>1</v>
      </c>
      <c r="H572" s="23">
        <f>IFERROR(__xludf.DUMMYFUNCTION("IFs(REGEXMATCH(I572, ""NOT""), 0, REGEXMATCH(I572, ""NO""), 0, REGEXMATCH(I572, ""TURBID""),1, COUNTBLANK(I572),"""", istext(I572),"""")"),0.0)</f>
        <v>0</v>
      </c>
      <c r="I572" s="23" t="str">
        <f>'3.5.raw'!R572</f>
        <v>Associated Sample PLc1133 and NOT TURBID</v>
      </c>
    </row>
    <row r="573">
      <c r="A573" s="23" t="str">
        <f t="shared" si="13"/>
        <v>PLc1134</v>
      </c>
      <c r="B573" s="23" t="str">
        <f>'3.5.raw'!I573</f>
        <v>PLc1134</v>
      </c>
      <c r="C573" s="24">
        <f>datevalue(left('3.5.raw'!K573,10))</f>
        <v>43812</v>
      </c>
      <c r="D573" s="23">
        <f>'3.5.raw'!H573</f>
        <v>11</v>
      </c>
      <c r="E573" s="1">
        <v>3.5</v>
      </c>
      <c r="F573" s="23" t="b">
        <f>if(countif(Status!C:C,A573)=1,TRUE, FALSE)</f>
        <v>1</v>
      </c>
      <c r="H573" s="23" t="str">
        <f>IFERROR(__xludf.DUMMYFUNCTION("IFs(REGEXMATCH(I573, ""NOT""), 0, REGEXMATCH(I573, ""NO""), 0, REGEXMATCH(I573, ""TURBID""),1, COUNTBLANK(I573),"""", istext(I573),"""")"),"")</f>
        <v/>
      </c>
      <c r="I573" s="23" t="str">
        <f>'3.5.raw'!R573</f>
        <v/>
      </c>
    </row>
    <row r="574">
      <c r="A574" s="23" t="str">
        <f t="shared" si="13"/>
        <v>FB1209UP</v>
      </c>
      <c r="B574" s="23" t="str">
        <f>'3.5.raw'!I574</f>
        <v>FB1209UP</v>
      </c>
      <c r="C574" s="24">
        <f>datevalue(left('3.5.raw'!K574,10))</f>
        <v>43812</v>
      </c>
      <c r="D574" s="23">
        <f>'3.5.raw'!H574</f>
        <v>99</v>
      </c>
      <c r="E574" s="1">
        <v>3.5</v>
      </c>
      <c r="F574" s="23" t="b">
        <f>if(countif(Status!C:C,A574)=1,TRUE, FALSE)</f>
        <v>1</v>
      </c>
      <c r="H574" s="23">
        <f>IFERROR(__xludf.DUMMYFUNCTION("IFs(REGEXMATCH(I574, ""NOT""), 0, REGEXMATCH(I574, ""NO""), 0, REGEXMATCH(I574, ""TURBID""),1, COUNTBLANK(I574),"""", istext(I574),"""")"),0.0)</f>
        <v>0</v>
      </c>
      <c r="I574" s="23" t="str">
        <f>'3.5.raw'!R574</f>
        <v>Associated Sample PLc1134 and NOT TURBID</v>
      </c>
    </row>
    <row r="575">
      <c r="A575" s="23" t="str">
        <f t="shared" si="13"/>
        <v>UPNC65</v>
      </c>
      <c r="B575" s="23" t="str">
        <f>'3.5.raw'!I575</f>
        <v>UPNC65</v>
      </c>
      <c r="C575" s="24">
        <f>datevalue(left('3.5.raw'!K575,10))</f>
        <v>43812</v>
      </c>
      <c r="D575" s="23">
        <f>'3.5.raw'!H575</f>
        <v>98</v>
      </c>
      <c r="E575" s="1">
        <v>3.5</v>
      </c>
      <c r="F575" s="23" t="b">
        <f>if(countif(Status!C:C,A575)=1,TRUE, FALSE)</f>
        <v>1</v>
      </c>
      <c r="H575" s="23">
        <f>IFERROR(__xludf.DUMMYFUNCTION("IFs(REGEXMATCH(I575, ""NOT""), 0, REGEXMATCH(I575, ""NO""), 0, REGEXMATCH(I575, ""TURBID""),1, COUNTBLANK(I575),"""", istext(I575),"""")"),0.0)</f>
        <v>0</v>
      </c>
      <c r="I575" s="23" t="str">
        <f>'3.5.raw'!R575</f>
        <v>NOT TURBID</v>
      </c>
    </row>
    <row r="576">
      <c r="A576" s="23" t="str">
        <f t="shared" si="13"/>
        <v>PLc1135</v>
      </c>
      <c r="B576" s="23" t="str">
        <f>'3.5.raw'!I576</f>
        <v>PLc1135</v>
      </c>
      <c r="C576" s="24">
        <f>datevalue(left('3.5.raw'!K576,10))</f>
        <v>43815</v>
      </c>
      <c r="D576" s="23">
        <f>'3.5.raw'!H576</f>
        <v>11</v>
      </c>
      <c r="E576" s="1">
        <v>3.5</v>
      </c>
      <c r="F576" s="23" t="b">
        <f>if(countif(Status!C:C,A576)=1,TRUE, FALSE)</f>
        <v>1</v>
      </c>
      <c r="H576" s="23" t="str">
        <f>IFERROR(__xludf.DUMMYFUNCTION("IFs(REGEXMATCH(I576, ""NOT""), 0, REGEXMATCH(I576, ""NO""), 0, REGEXMATCH(I576, ""TURBID""),1, COUNTBLANK(I576),"""", istext(I576),"""")"),"")</f>
        <v/>
      </c>
      <c r="I576" s="23" t="str">
        <f>'3.5.raw'!R576</f>
        <v/>
      </c>
    </row>
    <row r="577">
      <c r="A577" s="23" t="str">
        <f t="shared" si="13"/>
        <v>FB1210UP</v>
      </c>
      <c r="B577" s="23" t="str">
        <f>'3.5.raw'!I577</f>
        <v>FB1210UP</v>
      </c>
      <c r="C577" s="24">
        <f>datevalue(left('3.5.raw'!K577,10))</f>
        <v>43815</v>
      </c>
      <c r="D577" s="23">
        <f>'3.5.raw'!H577</f>
        <v>99</v>
      </c>
      <c r="E577" s="1">
        <v>3.5</v>
      </c>
      <c r="F577" s="23" t="b">
        <f>if(countif(Status!C:C,A577)=1,TRUE, FALSE)</f>
        <v>1</v>
      </c>
      <c r="H577" s="23">
        <f>IFERROR(__xludf.DUMMYFUNCTION("IFs(REGEXMATCH(I577, ""NOT""), 0, REGEXMATCH(I577, ""NO""), 0, REGEXMATCH(I577, ""TURBID""),1, COUNTBLANK(I577),"""", istext(I577),"""")"),0.0)</f>
        <v>0</v>
      </c>
      <c r="I577" s="23" t="str">
        <f>'3.5.raw'!R577</f>
        <v>Associated Sample PLc1135 and NOT TURBID</v>
      </c>
    </row>
    <row r="578">
      <c r="A578" s="23" t="str">
        <f t="shared" si="13"/>
        <v>PLc1136</v>
      </c>
      <c r="B578" s="23" t="str">
        <f>'3.5.raw'!I578</f>
        <v>PLc1136</v>
      </c>
      <c r="C578" s="24">
        <f>datevalue(left('3.5.raw'!K578,10))</f>
        <v>43815</v>
      </c>
      <c r="D578" s="23">
        <f>'3.5.raw'!H578</f>
        <v>11</v>
      </c>
      <c r="E578" s="1">
        <v>3.5</v>
      </c>
      <c r="F578" s="23" t="b">
        <f>if(countif(Status!C:C,A578)=1,TRUE, FALSE)</f>
        <v>1</v>
      </c>
      <c r="H578" s="23" t="str">
        <f>IFERROR(__xludf.DUMMYFUNCTION("IFs(REGEXMATCH(I578, ""NOT""), 0, REGEXMATCH(I578, ""NO""), 0, REGEXMATCH(I578, ""TURBID""),1, COUNTBLANK(I578),"""", istext(I578),"""")"),"")</f>
        <v/>
      </c>
      <c r="I578" s="23" t="str">
        <f>'3.5.raw'!R578</f>
        <v/>
      </c>
    </row>
    <row r="579">
      <c r="A579" s="23" t="str">
        <f t="shared" si="13"/>
        <v>FB1211UP</v>
      </c>
      <c r="B579" s="23" t="str">
        <f>'3.5.raw'!I579</f>
        <v>FB1211UP</v>
      </c>
      <c r="C579" s="24">
        <f>datevalue(left('3.5.raw'!K579,10))</f>
        <v>43815</v>
      </c>
      <c r="D579" s="23">
        <f>'3.5.raw'!H579</f>
        <v>99</v>
      </c>
      <c r="E579" s="1">
        <v>3.5</v>
      </c>
      <c r="F579" s="23" t="b">
        <f>if(countif(Status!C:C,A579)=1,TRUE, FALSE)</f>
        <v>1</v>
      </c>
      <c r="H579" s="23">
        <f>IFERROR(__xludf.DUMMYFUNCTION("IFs(REGEXMATCH(I579, ""NOT""), 0, REGEXMATCH(I579, ""NO""), 0, REGEXMATCH(I579, ""TURBID""),1, COUNTBLANK(I579),"""", istext(I579),"""")"),0.0)</f>
        <v>0</v>
      </c>
      <c r="I579" s="23" t="str">
        <f>'3.5.raw'!R579</f>
        <v>Associated Sample PLc1136 and NOT TURBID</v>
      </c>
    </row>
    <row r="580">
      <c r="A580" s="23" t="str">
        <f t="shared" si="13"/>
        <v>PLc1137</v>
      </c>
      <c r="B580" s="23" t="str">
        <f>'3.5.raw'!I580</f>
        <v>PLc1137</v>
      </c>
      <c r="C580" s="24">
        <f>datevalue(left('3.5.raw'!K580,10))</f>
        <v>43815</v>
      </c>
      <c r="D580" s="23">
        <f>'3.5.raw'!H580</f>
        <v>11</v>
      </c>
      <c r="E580" s="1">
        <v>3.5</v>
      </c>
      <c r="F580" s="23" t="b">
        <f>if(countif(Status!C:C,A580)=1,TRUE, FALSE)</f>
        <v>1</v>
      </c>
      <c r="H580" s="23" t="str">
        <f>IFERROR(__xludf.DUMMYFUNCTION("IFs(REGEXMATCH(I580, ""NOT""), 0, REGEXMATCH(I580, ""NO""), 0, REGEXMATCH(I580, ""TURBID""),1, COUNTBLANK(I580),"""", istext(I580),"""")"),"")</f>
        <v/>
      </c>
      <c r="I580" s="23" t="str">
        <f>'3.5.raw'!R580</f>
        <v/>
      </c>
    </row>
    <row r="581">
      <c r="A581" s="23" t="str">
        <f t="shared" si="13"/>
        <v>FB1212UP</v>
      </c>
      <c r="B581" s="23" t="str">
        <f>'3.5.raw'!I581</f>
        <v>FB1212UP</v>
      </c>
      <c r="C581" s="24">
        <f>datevalue(left('3.5.raw'!K581,10))</f>
        <v>43815</v>
      </c>
      <c r="D581" s="23">
        <f>'3.5.raw'!H581</f>
        <v>99</v>
      </c>
      <c r="E581" s="1">
        <v>3.5</v>
      </c>
      <c r="F581" s="23" t="b">
        <f>if(countif(Status!C:C,A581)=1,TRUE, FALSE)</f>
        <v>1</v>
      </c>
      <c r="H581" s="23">
        <f>IFERROR(__xludf.DUMMYFUNCTION("IFs(REGEXMATCH(I581, ""NOT""), 0, REGEXMATCH(I581, ""NO""), 0, REGEXMATCH(I581, ""TURBID""),1, COUNTBLANK(I581),"""", istext(I581),"""")"),0.0)</f>
        <v>0</v>
      </c>
      <c r="I581" s="23" t="str">
        <f>'3.5.raw'!R581</f>
        <v>Associated Sample PLc1137 and NOT TURBID</v>
      </c>
    </row>
    <row r="582">
      <c r="A582" s="23" t="str">
        <f t="shared" si="13"/>
        <v>PLc1138</v>
      </c>
      <c r="B582" s="23" t="str">
        <f>'3.5.raw'!I582</f>
        <v>PLc1138</v>
      </c>
      <c r="C582" s="24">
        <f>datevalue(left('3.5.raw'!K582,10))</f>
        <v>43815</v>
      </c>
      <c r="D582" s="23">
        <f>'3.5.raw'!H582</f>
        <v>11</v>
      </c>
      <c r="E582" s="1">
        <v>3.5</v>
      </c>
      <c r="F582" s="23" t="b">
        <f>if(countif(Status!C:C,A582)=1,TRUE, FALSE)</f>
        <v>1</v>
      </c>
      <c r="H582" s="23" t="str">
        <f>IFERROR(__xludf.DUMMYFUNCTION("IFs(REGEXMATCH(I582, ""NOT""), 0, REGEXMATCH(I582, ""NO""), 0, REGEXMATCH(I582, ""TURBID""),1, COUNTBLANK(I582),"""", istext(I582),"""")"),"")</f>
        <v/>
      </c>
      <c r="I582" s="23" t="str">
        <f>'3.5.raw'!R582</f>
        <v/>
      </c>
    </row>
    <row r="583">
      <c r="A583" s="23" t="str">
        <f t="shared" si="13"/>
        <v>FB1213UP</v>
      </c>
      <c r="B583" s="23" t="str">
        <f>'3.5.raw'!I583</f>
        <v>FB1213UP</v>
      </c>
      <c r="C583" s="24">
        <f>datevalue(left('3.5.raw'!K583,10))</f>
        <v>43815</v>
      </c>
      <c r="D583" s="23">
        <f>'3.5.raw'!H583</f>
        <v>99</v>
      </c>
      <c r="E583" s="1">
        <v>3.5</v>
      </c>
      <c r="F583" s="23" t="b">
        <f>if(countif(Status!C:C,A583)=1,TRUE, FALSE)</f>
        <v>1</v>
      </c>
      <c r="H583" s="23">
        <f>IFERROR(__xludf.DUMMYFUNCTION("IFs(REGEXMATCH(I583, ""NOT""), 0, REGEXMATCH(I583, ""NO""), 0, REGEXMATCH(I583, ""TURBID""),1, COUNTBLANK(I583),"""", istext(I583),"""")"),0.0)</f>
        <v>0</v>
      </c>
      <c r="I583" s="23" t="str">
        <f>'3.5.raw'!R583</f>
        <v>Associated Sample PLc1138 and NOT TURBID</v>
      </c>
    </row>
    <row r="584">
      <c r="A584" s="23" t="str">
        <f t="shared" si="13"/>
        <v>PLc1139</v>
      </c>
      <c r="B584" s="23" t="str">
        <f>'3.5.raw'!I584</f>
        <v>PLc1139</v>
      </c>
      <c r="C584" s="24">
        <f>datevalue(left('3.5.raw'!K584,10))</f>
        <v>43815</v>
      </c>
      <c r="D584" s="23">
        <f>'3.5.raw'!H584</f>
        <v>11</v>
      </c>
      <c r="E584" s="1">
        <v>3.5</v>
      </c>
      <c r="F584" s="23" t="b">
        <f>if(countif(Status!C:C,A584)=1,TRUE, FALSE)</f>
        <v>1</v>
      </c>
      <c r="H584" s="23" t="str">
        <f>IFERROR(__xludf.DUMMYFUNCTION("IFs(REGEXMATCH(I584, ""NOT""), 0, REGEXMATCH(I584, ""NO""), 0, REGEXMATCH(I584, ""TURBID""),1, COUNTBLANK(I584),"""", istext(I584),"""")"),"")</f>
        <v/>
      </c>
      <c r="I584" s="23" t="str">
        <f>'3.5.raw'!R584</f>
        <v/>
      </c>
    </row>
    <row r="585">
      <c r="A585" s="23" t="str">
        <f t="shared" si="13"/>
        <v>FB1214UP</v>
      </c>
      <c r="B585" s="23" t="str">
        <f>'3.5.raw'!I585</f>
        <v>FB1214UP</v>
      </c>
      <c r="C585" s="24">
        <f>datevalue(left('3.5.raw'!K585,10))</f>
        <v>43815</v>
      </c>
      <c r="D585" s="23">
        <f>'3.5.raw'!H585</f>
        <v>99</v>
      </c>
      <c r="E585" s="1">
        <v>3.5</v>
      </c>
      <c r="F585" s="23" t="b">
        <f>if(countif(Status!C:C,A585)=1,TRUE, FALSE)</f>
        <v>1</v>
      </c>
      <c r="H585" s="23">
        <f>IFERROR(__xludf.DUMMYFUNCTION("IFs(REGEXMATCH(I585, ""NOT""), 0, REGEXMATCH(I585, ""NO""), 0, REGEXMATCH(I585, ""TURBID""),1, COUNTBLANK(I585),"""", istext(I585),"""")"),0.0)</f>
        <v>0</v>
      </c>
      <c r="I585" s="23" t="str">
        <f>'3.5.raw'!R585</f>
        <v>Associated Sample PLc 1139 and NOT TURBID</v>
      </c>
    </row>
    <row r="586">
      <c r="A586" s="23" t="str">
        <f t="shared" si="13"/>
        <v>UPNC66</v>
      </c>
      <c r="B586" s="23" t="str">
        <f>'3.5.raw'!I586</f>
        <v>UPNC66</v>
      </c>
      <c r="C586" s="24">
        <f>datevalue(left('3.5.raw'!K586,10))</f>
        <v>43815</v>
      </c>
      <c r="D586" s="23">
        <f>'3.5.raw'!H586</f>
        <v>98</v>
      </c>
      <c r="E586" s="1">
        <v>3.5</v>
      </c>
      <c r="F586" s="23" t="b">
        <f>if(countif(Status!C:C,A586)=1,TRUE, FALSE)</f>
        <v>1</v>
      </c>
      <c r="H586" s="23">
        <f>IFERROR(__xludf.DUMMYFUNCTION("IFs(REGEXMATCH(I586, ""NOT""), 0, REGEXMATCH(I586, ""NO""), 0, REGEXMATCH(I586, ""TURBID""),1, COUNTBLANK(I586),"""", istext(I586),"""")"),0.0)</f>
        <v>0</v>
      </c>
      <c r="I586" s="23" t="str">
        <f>'3.5.raw'!R586</f>
        <v>NOT TURBID</v>
      </c>
    </row>
    <row r="587">
      <c r="A587" s="23" t="str">
        <f t="shared" si="13"/>
        <v>MO1134</v>
      </c>
      <c r="B587" s="23" t="str">
        <f>'3.5.raw'!I587</f>
        <v>MO1134</v>
      </c>
      <c r="C587" s="24">
        <f>datevalue(left('3.5.raw'!K587,10))</f>
        <v>43816</v>
      </c>
      <c r="D587" s="23">
        <f>'3.5.raw'!H587</f>
        <v>12</v>
      </c>
      <c r="E587" s="1">
        <v>3.5</v>
      </c>
      <c r="F587" s="23" t="b">
        <f>if(countif(Status!C:C,A587)=1,TRUE, FALSE)</f>
        <v>1</v>
      </c>
      <c r="H587" s="23" t="str">
        <f>IFERROR(__xludf.DUMMYFUNCTION("IFs(REGEXMATCH(I587, ""NOT""), 0, REGEXMATCH(I587, ""NO""), 0, REGEXMATCH(I587, ""TURBID""),1, COUNTBLANK(I587),"""", istext(I587),"""")"),"")</f>
        <v/>
      </c>
      <c r="I587" s="23" t="str">
        <f>'3.5.raw'!R587</f>
        <v/>
      </c>
    </row>
    <row r="588">
      <c r="A588" s="23" t="str">
        <f t="shared" si="13"/>
        <v>FB1215UP</v>
      </c>
      <c r="B588" s="23" t="str">
        <f>'3.5.raw'!I588</f>
        <v>FB1215UP</v>
      </c>
      <c r="C588" s="24">
        <f>datevalue(left('3.5.raw'!K588,10))</f>
        <v>43816</v>
      </c>
      <c r="D588" s="23">
        <f>'3.5.raw'!H588</f>
        <v>99</v>
      </c>
      <c r="E588" s="1">
        <v>3.5</v>
      </c>
      <c r="F588" s="23" t="b">
        <f>if(countif(Status!C:C,A588)=1,TRUE, FALSE)</f>
        <v>1</v>
      </c>
      <c r="H588" s="23">
        <f>IFERROR(__xludf.DUMMYFUNCTION("IFs(REGEXMATCH(I588, ""NOT""), 0, REGEXMATCH(I588, ""NO""), 0, REGEXMATCH(I588, ""TURBID""),1, COUNTBLANK(I588),"""", istext(I588),"""")"),1.0)</f>
        <v>1</v>
      </c>
      <c r="I588" s="23" t="str">
        <f>'3.5.raw'!R588</f>
        <v>Associated Sample MO1134 and TURBID</v>
      </c>
    </row>
    <row r="589">
      <c r="A589" s="23" t="str">
        <f t="shared" si="13"/>
        <v>MO1135</v>
      </c>
      <c r="B589" s="23" t="str">
        <f>'3.5.raw'!I589</f>
        <v>MO1135</v>
      </c>
      <c r="C589" s="24">
        <f>datevalue(left('3.5.raw'!K589,10))</f>
        <v>43816</v>
      </c>
      <c r="D589" s="23">
        <f>'3.5.raw'!H589</f>
        <v>12</v>
      </c>
      <c r="E589" s="1">
        <v>3.5</v>
      </c>
      <c r="F589" s="23" t="b">
        <f>if(countif(Status!C:C,A589)=1,TRUE, FALSE)</f>
        <v>1</v>
      </c>
      <c r="H589" s="23" t="str">
        <f>IFERROR(__xludf.DUMMYFUNCTION("IFs(REGEXMATCH(I589, ""NOT""), 0, REGEXMATCH(I589, ""NO""), 0, REGEXMATCH(I589, ""TURBID""),1, COUNTBLANK(I589),"""", istext(I589),"""")"),"")</f>
        <v/>
      </c>
      <c r="I589" s="23" t="str">
        <f>'3.5.raw'!R589</f>
        <v/>
      </c>
    </row>
    <row r="590">
      <c r="A590" s="23" t="str">
        <f t="shared" si="13"/>
        <v>FB1216UP</v>
      </c>
      <c r="B590" s="23" t="str">
        <f>'3.5.raw'!I590</f>
        <v>FB1216UP</v>
      </c>
      <c r="C590" s="24">
        <f>datevalue(left('3.5.raw'!K590,10))</f>
        <v>43816</v>
      </c>
      <c r="D590" s="23">
        <f>'3.5.raw'!H590</f>
        <v>99</v>
      </c>
      <c r="E590" s="1">
        <v>3.5</v>
      </c>
      <c r="F590" s="23" t="b">
        <f>if(countif(Status!C:C,A590)=1,TRUE, FALSE)</f>
        <v>1</v>
      </c>
      <c r="H590" s="23">
        <f>IFERROR(__xludf.DUMMYFUNCTION("IFs(REGEXMATCH(I590, ""NOT""), 0, REGEXMATCH(I590, ""NO""), 0, REGEXMATCH(I590, ""TURBID""),1, COUNTBLANK(I590),"""", istext(I590),"""")"),0.0)</f>
        <v>0</v>
      </c>
      <c r="I590" s="23" t="str">
        <f>'3.5.raw'!R590</f>
        <v>Associated Sample MO1135 and NOT TURBID</v>
      </c>
    </row>
    <row r="591">
      <c r="A591" s="23" t="str">
        <f t="shared" si="13"/>
        <v>PLc1142</v>
      </c>
      <c r="B591" s="23" t="str">
        <f>'3.5.raw'!I591</f>
        <v>PLc1142</v>
      </c>
      <c r="C591" s="24">
        <f>datevalue(left('3.5.raw'!K591,10))</f>
        <v>43816</v>
      </c>
      <c r="D591" s="23">
        <f>'3.5.raw'!H591</f>
        <v>11</v>
      </c>
      <c r="E591" s="1">
        <v>3.5</v>
      </c>
      <c r="F591" s="23" t="b">
        <f>if(countif(Status!C:C,A591)=1,TRUE, FALSE)</f>
        <v>1</v>
      </c>
      <c r="H591" s="23" t="str">
        <f>IFERROR(__xludf.DUMMYFUNCTION("IFs(REGEXMATCH(I591, ""NOT""), 0, REGEXMATCH(I591, ""NO""), 0, REGEXMATCH(I591, ""TURBID""),1, COUNTBLANK(I591),"""", istext(I591),"""")"),"")</f>
        <v/>
      </c>
      <c r="I591" s="23" t="str">
        <f>'3.5.raw'!R591</f>
        <v/>
      </c>
    </row>
    <row r="592">
      <c r="A592" s="23" t="str">
        <f t="shared" si="13"/>
        <v>FB1219UP</v>
      </c>
      <c r="B592" s="23" t="str">
        <f>'3.5.raw'!I592</f>
        <v>FB1219UP</v>
      </c>
      <c r="C592" s="24">
        <f>datevalue(left('3.5.raw'!K592,10))</f>
        <v>43816</v>
      </c>
      <c r="D592" s="23">
        <f>'3.5.raw'!H592</f>
        <v>99</v>
      </c>
      <c r="E592" s="1">
        <v>3.5</v>
      </c>
      <c r="F592" s="23" t="b">
        <f>if(countif(Status!C:C,A592)=1,TRUE, FALSE)</f>
        <v>1</v>
      </c>
      <c r="H592" s="23">
        <f>IFERROR(__xludf.DUMMYFUNCTION("IFs(REGEXMATCH(I592, ""NOT""), 0, REGEXMATCH(I592, ""NO""), 0, REGEXMATCH(I592, ""TURBID""),1, COUNTBLANK(I592),"""", istext(I592),"""")"),0.0)</f>
        <v>0</v>
      </c>
      <c r="I592" s="23" t="str">
        <f>'3.5.raw'!R592</f>
        <v>Associated Sample PLc1142 and NOT TURBID</v>
      </c>
    </row>
    <row r="593">
      <c r="A593" s="23" t="str">
        <f t="shared" si="13"/>
        <v>PLc1143</v>
      </c>
      <c r="B593" s="23" t="str">
        <f>'3.5.raw'!I593</f>
        <v>PLc1143</v>
      </c>
      <c r="C593" s="24">
        <f>datevalue(left('3.5.raw'!K593,10))</f>
        <v>43816</v>
      </c>
      <c r="D593" s="23">
        <f>'3.5.raw'!H593</f>
        <v>11</v>
      </c>
      <c r="E593" s="1">
        <v>3.5</v>
      </c>
      <c r="F593" s="23" t="b">
        <f>if(countif(Status!C:C,A593)=1,TRUE, FALSE)</f>
        <v>1</v>
      </c>
      <c r="H593" s="23" t="str">
        <f>IFERROR(__xludf.DUMMYFUNCTION("IFs(REGEXMATCH(I593, ""NOT""), 0, REGEXMATCH(I593, ""NO""), 0, REGEXMATCH(I593, ""TURBID""),1, COUNTBLANK(I593),"""", istext(I593),"""")"),"")</f>
        <v/>
      </c>
      <c r="I593" s="23" t="str">
        <f>'3.5.raw'!R593</f>
        <v/>
      </c>
    </row>
    <row r="594">
      <c r="A594" s="23" t="str">
        <f t="shared" si="13"/>
        <v>FB1220UP</v>
      </c>
      <c r="B594" s="23" t="str">
        <f>'3.5.raw'!I594</f>
        <v>FB1220UP</v>
      </c>
      <c r="C594" s="24">
        <f>datevalue(left('3.5.raw'!K594,10))</f>
        <v>43816</v>
      </c>
      <c r="D594" s="23">
        <f>'3.5.raw'!H594</f>
        <v>99</v>
      </c>
      <c r="E594" s="1">
        <v>3.5</v>
      </c>
      <c r="F594" s="23" t="b">
        <f>if(countif(Status!C:C,A594)=1,TRUE, FALSE)</f>
        <v>1</v>
      </c>
      <c r="H594" s="23">
        <f>IFERROR(__xludf.DUMMYFUNCTION("IFs(REGEXMATCH(I594, ""NOT""), 0, REGEXMATCH(I594, ""NO""), 0, REGEXMATCH(I594, ""TURBID""),1, COUNTBLANK(I594),"""", istext(I594),"""")"),0.0)</f>
        <v>0</v>
      </c>
      <c r="I594" s="23" t="str">
        <f>'3.5.raw'!R594</f>
        <v>Associated Sample PLc1143 and NOT TURBID</v>
      </c>
    </row>
    <row r="595">
      <c r="A595" s="23" t="str">
        <f t="shared" si="13"/>
        <v>UPNC67</v>
      </c>
      <c r="B595" s="23" t="str">
        <f>'3.5.raw'!I595</f>
        <v>UPNC67</v>
      </c>
      <c r="C595" s="24">
        <f>datevalue(left('3.5.raw'!K595,10))</f>
        <v>43816</v>
      </c>
      <c r="D595" s="23">
        <f>'3.5.raw'!H595</f>
        <v>98</v>
      </c>
      <c r="E595" s="1">
        <v>3.5</v>
      </c>
      <c r="F595" s="23" t="b">
        <f>if(countif(Status!C:C,A595)=1,TRUE, FALSE)</f>
        <v>1</v>
      </c>
      <c r="H595" s="23">
        <f>IFERROR(__xludf.DUMMYFUNCTION("IFs(REGEXMATCH(I595, ""NOT""), 0, REGEXMATCH(I595, ""NO""), 0, REGEXMATCH(I595, ""TURBID""),1, COUNTBLANK(I595),"""", istext(I595),"""")"),0.0)</f>
        <v>0</v>
      </c>
      <c r="I595" s="23" t="str">
        <f>'3.5.raw'!R595</f>
        <v>NOT TURBID</v>
      </c>
    </row>
    <row r="596">
      <c r="A596" s="23" t="str">
        <f t="shared" si="13"/>
        <v>MO1136</v>
      </c>
      <c r="B596" s="23" t="str">
        <f>'3.5.raw'!I596</f>
        <v>MO1136</v>
      </c>
      <c r="C596" s="24">
        <f>datevalue(left('3.5.raw'!K596,10))</f>
        <v>43818</v>
      </c>
      <c r="D596" s="23">
        <f>'3.5.raw'!H596</f>
        <v>12</v>
      </c>
      <c r="E596" s="1">
        <v>3.5</v>
      </c>
      <c r="F596" s="23" t="b">
        <f>if(countif(Status!C:C,A596)=1,TRUE, FALSE)</f>
        <v>1</v>
      </c>
      <c r="H596" s="23" t="str">
        <f>IFERROR(__xludf.DUMMYFUNCTION("IFs(REGEXMATCH(I596, ""NOT""), 0, REGEXMATCH(I596, ""NO""), 0, REGEXMATCH(I596, ""TURBID""),1, COUNTBLANK(I596),"""", istext(I596),"""")"),"")</f>
        <v/>
      </c>
      <c r="I596" s="23" t="str">
        <f>'3.5.raw'!R596</f>
        <v/>
      </c>
    </row>
    <row r="597">
      <c r="A597" s="23" t="str">
        <f t="shared" si="13"/>
        <v>FB1221UP</v>
      </c>
      <c r="B597" s="23" t="str">
        <f>'3.5.raw'!I597</f>
        <v>FB1221UP</v>
      </c>
      <c r="C597" s="24">
        <f>datevalue(left('3.5.raw'!K597,10))</f>
        <v>43818</v>
      </c>
      <c r="D597" s="23">
        <f>'3.5.raw'!H597</f>
        <v>99</v>
      </c>
      <c r="E597" s="1">
        <v>3.5</v>
      </c>
      <c r="F597" s="23" t="b">
        <f>if(countif(Status!C:C,A597)=1,TRUE, FALSE)</f>
        <v>1</v>
      </c>
      <c r="H597" s="23">
        <f>IFERROR(__xludf.DUMMYFUNCTION("IFs(REGEXMATCH(I597, ""NOT""), 0, REGEXMATCH(I597, ""NO""), 0, REGEXMATCH(I597, ""TURBID""),1, COUNTBLANK(I597),"""", istext(I597),"""")"),0.0)</f>
        <v>0</v>
      </c>
      <c r="I597" s="23" t="str">
        <f>'3.5.raw'!R597</f>
        <v>Associated sample MO1136 and NOT TURBID</v>
      </c>
    </row>
    <row r="598">
      <c r="A598" s="23" t="str">
        <f t="shared" si="13"/>
        <v>MO1137</v>
      </c>
      <c r="B598" s="23" t="str">
        <f>'3.5.raw'!I598</f>
        <v>MO1137</v>
      </c>
      <c r="C598" s="24">
        <f>datevalue(left('3.5.raw'!K598,10))</f>
        <v>43818</v>
      </c>
      <c r="D598" s="23">
        <f>'3.5.raw'!H598</f>
        <v>12</v>
      </c>
      <c r="E598" s="1">
        <v>3.5</v>
      </c>
      <c r="F598" s="23" t="b">
        <f>if(countif(Status!C:C,A598)=1,TRUE, FALSE)</f>
        <v>1</v>
      </c>
      <c r="H598" s="23" t="str">
        <f>IFERROR(__xludf.DUMMYFUNCTION("IFs(REGEXMATCH(I598, ""NOT""), 0, REGEXMATCH(I598, ""NO""), 0, REGEXMATCH(I598, ""TURBID""),1, COUNTBLANK(I598),"""", istext(I598),"""")"),"")</f>
        <v/>
      </c>
      <c r="I598" s="23" t="str">
        <f>'3.5.raw'!R598</f>
        <v/>
      </c>
    </row>
    <row r="599">
      <c r="A599" s="23" t="str">
        <f t="shared" si="13"/>
        <v>FB1222UP</v>
      </c>
      <c r="B599" s="23" t="str">
        <f>'3.5.raw'!I599</f>
        <v>FB1222UP</v>
      </c>
      <c r="C599" s="24">
        <f>datevalue(left('3.5.raw'!K599,10))</f>
        <v>43818</v>
      </c>
      <c r="D599" s="23">
        <f>'3.5.raw'!H599</f>
        <v>99</v>
      </c>
      <c r="E599" s="1">
        <v>3.5</v>
      </c>
      <c r="F599" s="23" t="b">
        <f>if(countif(Status!C:C,A599)=1,TRUE, FALSE)</f>
        <v>1</v>
      </c>
      <c r="H599" s="23">
        <f>IFERROR(__xludf.DUMMYFUNCTION("IFs(REGEXMATCH(I599, ""NOT""), 0, REGEXMATCH(I599, ""NO""), 0, REGEXMATCH(I599, ""TURBID""),1, COUNTBLANK(I599),"""", istext(I599),"""")"),0.0)</f>
        <v>0</v>
      </c>
      <c r="I599" s="23" t="str">
        <f>'3.5.raw'!R599</f>
        <v>Associated Sample MO1137 and NOT TURBID</v>
      </c>
    </row>
    <row r="600">
      <c r="A600" s="23" t="str">
        <f t="shared" si="13"/>
        <v>PLc1144</v>
      </c>
      <c r="B600" s="23" t="str">
        <f>'3.5.raw'!I600</f>
        <v>PLc1144</v>
      </c>
      <c r="C600" s="24">
        <f>datevalue(left('3.5.raw'!K600,10))</f>
        <v>43818</v>
      </c>
      <c r="D600" s="23">
        <f>'3.5.raw'!H600</f>
        <v>11</v>
      </c>
      <c r="E600" s="1">
        <v>3.5</v>
      </c>
      <c r="F600" s="23" t="b">
        <f>if(countif(Status!C:C,A600)=1,TRUE, FALSE)</f>
        <v>1</v>
      </c>
      <c r="H600" s="23" t="str">
        <f>IFERROR(__xludf.DUMMYFUNCTION("IFs(REGEXMATCH(I600, ""NOT""), 0, REGEXMATCH(I600, ""NO""), 0, REGEXMATCH(I600, ""TURBID""),1, COUNTBLANK(I600),"""", istext(I600),"""")"),"")</f>
        <v/>
      </c>
      <c r="I600" s="23" t="str">
        <f>'3.5.raw'!R600</f>
        <v/>
      </c>
    </row>
    <row r="601">
      <c r="A601" s="23" t="str">
        <f t="shared" si="13"/>
        <v>FB1223UP</v>
      </c>
      <c r="B601" s="23" t="str">
        <f>'3.5.raw'!I601</f>
        <v>FB1223UP</v>
      </c>
      <c r="C601" s="24">
        <f>datevalue(left('3.5.raw'!K601,10))</f>
        <v>43818</v>
      </c>
      <c r="D601" s="23">
        <f>'3.5.raw'!H601</f>
        <v>99</v>
      </c>
      <c r="E601" s="1">
        <v>3.5</v>
      </c>
      <c r="F601" s="23" t="b">
        <f>if(countif(Status!C:C,A601)=1,TRUE, FALSE)</f>
        <v>1</v>
      </c>
      <c r="H601" s="23">
        <f>IFERROR(__xludf.DUMMYFUNCTION("IFs(REGEXMATCH(I601, ""NOT""), 0, REGEXMATCH(I601, ""NO""), 0, REGEXMATCH(I601, ""TURBID""),1, COUNTBLANK(I601),"""", istext(I601),"""")"),0.0)</f>
        <v>0</v>
      </c>
      <c r="I601" s="23" t="str">
        <f>'3.5.raw'!R601</f>
        <v>Associated Sample PLc1144 and NOT TURBID</v>
      </c>
    </row>
    <row r="602">
      <c r="A602" s="23" t="str">
        <f t="shared" si="13"/>
        <v>PLc1145</v>
      </c>
      <c r="B602" s="23" t="str">
        <f>'3.5.raw'!I602</f>
        <v>PLc1145</v>
      </c>
      <c r="C602" s="24">
        <f>datevalue(left('3.5.raw'!K602,10))</f>
        <v>43818</v>
      </c>
      <c r="D602" s="23">
        <f>'3.5.raw'!H602</f>
        <v>11</v>
      </c>
      <c r="E602" s="1">
        <v>3.5</v>
      </c>
      <c r="F602" s="23" t="b">
        <f>if(countif(Status!C:C,A602)=1,TRUE, FALSE)</f>
        <v>1</v>
      </c>
      <c r="H602" s="23" t="str">
        <f>IFERROR(__xludf.DUMMYFUNCTION("IFs(REGEXMATCH(I602, ""NOT""), 0, REGEXMATCH(I602, ""NO""), 0, REGEXMATCH(I602, ""TURBID""),1, COUNTBLANK(I602),"""", istext(I602),"""")"),"")</f>
        <v/>
      </c>
      <c r="I602" s="23" t="str">
        <f>'3.5.raw'!R602</f>
        <v/>
      </c>
    </row>
    <row r="603">
      <c r="A603" s="23" t="str">
        <f t="shared" si="13"/>
        <v>FB1224UP</v>
      </c>
      <c r="B603" s="23" t="str">
        <f>'3.5.raw'!I603</f>
        <v>FB1224UP</v>
      </c>
      <c r="C603" s="24">
        <f>datevalue(left('3.5.raw'!K603,10))</f>
        <v>43818</v>
      </c>
      <c r="D603" s="23">
        <f>'3.5.raw'!H603</f>
        <v>99</v>
      </c>
      <c r="E603" s="1">
        <v>3.5</v>
      </c>
      <c r="F603" s="23" t="b">
        <f>if(countif(Status!C:C,A603)=1,TRUE, FALSE)</f>
        <v>1</v>
      </c>
      <c r="H603" s="23">
        <f>IFERROR(__xludf.DUMMYFUNCTION("IFs(REGEXMATCH(I603, ""NOT""), 0, REGEXMATCH(I603, ""NO""), 0, REGEXMATCH(I603, ""TURBID""),1, COUNTBLANK(I603),"""", istext(I603),"""")"),0.0)</f>
        <v>0</v>
      </c>
      <c r="I603" s="23" t="str">
        <f>'3.5.raw'!R603</f>
        <v>Associated Sample PLc1145 and NOT TURBID</v>
      </c>
    </row>
    <row r="604">
      <c r="A604" s="23" t="str">
        <f t="shared" si="13"/>
        <v>PLc1146</v>
      </c>
      <c r="B604" s="23" t="str">
        <f>'3.5.raw'!I604</f>
        <v>PLc1146</v>
      </c>
      <c r="C604" s="24">
        <f>datevalue(left('3.5.raw'!K604,10))</f>
        <v>43818</v>
      </c>
      <c r="D604" s="23">
        <f>'3.5.raw'!H604</f>
        <v>11</v>
      </c>
      <c r="E604" s="1">
        <v>3.5</v>
      </c>
      <c r="F604" s="23" t="b">
        <f>if(countif(Status!C:C,A604)=1,TRUE, FALSE)</f>
        <v>1</v>
      </c>
      <c r="H604" s="23" t="str">
        <f>IFERROR(__xludf.DUMMYFUNCTION("IFs(REGEXMATCH(I604, ""NOT""), 0, REGEXMATCH(I604, ""NO""), 0, REGEXMATCH(I604, ""TURBID""),1, COUNTBLANK(I604),"""", istext(I604),"""")"),"")</f>
        <v/>
      </c>
      <c r="I604" s="23" t="str">
        <f>'3.5.raw'!R604</f>
        <v/>
      </c>
    </row>
    <row r="605">
      <c r="A605" s="23" t="str">
        <f t="shared" si="13"/>
        <v>FB1225UP</v>
      </c>
      <c r="B605" s="23" t="str">
        <f>'3.5.raw'!I605</f>
        <v>FB1225UP</v>
      </c>
      <c r="C605" s="24">
        <f>datevalue(left('3.5.raw'!K605,10))</f>
        <v>43818</v>
      </c>
      <c r="D605" s="23">
        <f>'3.5.raw'!H605</f>
        <v>99</v>
      </c>
      <c r="E605" s="1">
        <v>3.5</v>
      </c>
      <c r="F605" s="23" t="b">
        <f>if(countif(Status!C:C,A605)=1,TRUE, FALSE)</f>
        <v>1</v>
      </c>
      <c r="H605" s="23">
        <f>IFERROR(__xludf.DUMMYFUNCTION("IFs(REGEXMATCH(I605, ""NOT""), 0, REGEXMATCH(I605, ""NO""), 0, REGEXMATCH(I605, ""TURBID""),1, COUNTBLANK(I605),"""", istext(I605),"""")"),0.0)</f>
        <v>0</v>
      </c>
      <c r="I605" s="23" t="str">
        <f>'3.5.raw'!R605</f>
        <v>Associated Sample PLc1146 and NOT TURBID</v>
      </c>
    </row>
    <row r="606">
      <c r="A606" s="23" t="str">
        <f t="shared" si="13"/>
        <v>PLc1147</v>
      </c>
      <c r="B606" s="23" t="str">
        <f>'3.5.raw'!I606</f>
        <v>PLc1147</v>
      </c>
      <c r="C606" s="24">
        <f>datevalue(left('3.5.raw'!K606,10))</f>
        <v>43818</v>
      </c>
      <c r="D606" s="23">
        <f>'3.5.raw'!H606</f>
        <v>11</v>
      </c>
      <c r="E606" s="1">
        <v>3.5</v>
      </c>
      <c r="F606" s="23" t="b">
        <f>if(countif(Status!C:C,A606)=1,TRUE, FALSE)</f>
        <v>1</v>
      </c>
      <c r="H606" s="23" t="str">
        <f>IFERROR(__xludf.DUMMYFUNCTION("IFs(REGEXMATCH(I606, ""NOT""), 0, REGEXMATCH(I606, ""NO""), 0, REGEXMATCH(I606, ""TURBID""),1, COUNTBLANK(I606),"""", istext(I606),"""")"),"")</f>
        <v/>
      </c>
      <c r="I606" s="23" t="str">
        <f>'3.5.raw'!R606</f>
        <v/>
      </c>
    </row>
    <row r="607">
      <c r="A607" s="23" t="str">
        <f t="shared" si="13"/>
        <v>FB1226UP</v>
      </c>
      <c r="B607" s="23" t="str">
        <f>'3.5.raw'!I607</f>
        <v>FB1226UP</v>
      </c>
      <c r="C607" s="24">
        <f>datevalue(left('3.5.raw'!K607,10))</f>
        <v>43818</v>
      </c>
      <c r="D607" s="23">
        <f>'3.5.raw'!H607</f>
        <v>99</v>
      </c>
      <c r="E607" s="1">
        <v>3.5</v>
      </c>
      <c r="F607" s="23" t="b">
        <f>if(countif(Status!C:C,A607)=1,TRUE, FALSE)</f>
        <v>1</v>
      </c>
      <c r="H607" s="23">
        <f>IFERROR(__xludf.DUMMYFUNCTION("IFs(REGEXMATCH(I607, ""NOT""), 0, REGEXMATCH(I607, ""NO""), 0, REGEXMATCH(I607, ""TURBID""),1, COUNTBLANK(I607),"""", istext(I607),"""")"),0.0)</f>
        <v>0</v>
      </c>
      <c r="I607" s="23" t="str">
        <f>'3.5.raw'!R607</f>
        <v>Associated Sample PLc1147 and NOT TURBID</v>
      </c>
    </row>
    <row r="608">
      <c r="A608" s="23" t="str">
        <f t="shared" si="13"/>
        <v>PLc1148</v>
      </c>
      <c r="B608" s="23" t="str">
        <f>'3.5.raw'!I608</f>
        <v>PLc1148</v>
      </c>
      <c r="C608" s="24">
        <f>datevalue(left('3.5.raw'!K608,10))</f>
        <v>43818</v>
      </c>
      <c r="D608" s="23">
        <f>'3.5.raw'!H608</f>
        <v>11</v>
      </c>
      <c r="E608" s="1">
        <v>3.5</v>
      </c>
      <c r="F608" s="23" t="b">
        <f>if(countif(Status!C:C,A608)=1,TRUE, FALSE)</f>
        <v>1</v>
      </c>
      <c r="H608" s="23" t="str">
        <f>IFERROR(__xludf.DUMMYFUNCTION("IFs(REGEXMATCH(I608, ""NOT""), 0, REGEXMATCH(I608, ""NO""), 0, REGEXMATCH(I608, ""TURBID""),1, COUNTBLANK(I608),"""", istext(I608),"""")"),"")</f>
        <v/>
      </c>
      <c r="I608" s="23" t="str">
        <f>'3.5.raw'!R608</f>
        <v/>
      </c>
    </row>
    <row r="609">
      <c r="A609" s="23" t="str">
        <f t="shared" si="13"/>
        <v>FB1227UP</v>
      </c>
      <c r="B609" s="23" t="str">
        <f>'3.5.raw'!I609</f>
        <v>FB1227UP</v>
      </c>
      <c r="C609" s="24">
        <f>datevalue(left('3.5.raw'!K609,10))</f>
        <v>43818</v>
      </c>
      <c r="D609" s="23">
        <f>'3.5.raw'!H609</f>
        <v>99</v>
      </c>
      <c r="E609" s="1">
        <v>3.5</v>
      </c>
      <c r="F609" s="23" t="b">
        <f>if(countif(Status!C:C,A609)=1,TRUE, FALSE)</f>
        <v>1</v>
      </c>
      <c r="H609" s="23">
        <f>IFERROR(__xludf.DUMMYFUNCTION("IFs(REGEXMATCH(I609, ""NOT""), 0, REGEXMATCH(I609, ""NO""), 0, REGEXMATCH(I609, ""TURBID""),1, COUNTBLANK(I609),"""", istext(I609),"""")"),0.0)</f>
        <v>0</v>
      </c>
      <c r="I609" s="23" t="str">
        <f>'3.5.raw'!R609</f>
        <v>Associated Sample PLc1148 and NOT TURBID</v>
      </c>
    </row>
    <row r="610">
      <c r="A610" s="23" t="str">
        <f t="shared" si="13"/>
        <v>PLc1149</v>
      </c>
      <c r="B610" s="23" t="str">
        <f>'3.5.raw'!I610</f>
        <v>PLc1149</v>
      </c>
      <c r="C610" s="24">
        <f>datevalue(left('3.5.raw'!K610,10))</f>
        <v>43818</v>
      </c>
      <c r="D610" s="23">
        <f>'3.5.raw'!H610</f>
        <v>11</v>
      </c>
      <c r="E610" s="1">
        <v>3.5</v>
      </c>
      <c r="F610" s="23" t="b">
        <f>if(countif(Status!C:C,A610)=1,TRUE, FALSE)</f>
        <v>1</v>
      </c>
      <c r="H610" s="23" t="str">
        <f>IFERROR(__xludf.DUMMYFUNCTION("IFs(REGEXMATCH(I610, ""NOT""), 0, REGEXMATCH(I610, ""NO""), 0, REGEXMATCH(I610, ""TURBID""),1, COUNTBLANK(I610),"""", istext(I610),"""")"),"")</f>
        <v/>
      </c>
      <c r="I610" s="23" t="str">
        <f>'3.5.raw'!R610</f>
        <v/>
      </c>
    </row>
    <row r="611">
      <c r="A611" s="23" t="str">
        <f t="shared" si="13"/>
        <v>FB1228UP</v>
      </c>
      <c r="B611" s="23" t="str">
        <f>'3.5.raw'!I611</f>
        <v>FB1228UP</v>
      </c>
      <c r="C611" s="24">
        <f>datevalue(left('3.5.raw'!K611,10))</f>
        <v>43818</v>
      </c>
      <c r="D611" s="23">
        <f>'3.5.raw'!H611</f>
        <v>99</v>
      </c>
      <c r="E611" s="1">
        <v>3.5</v>
      </c>
      <c r="F611" s="23" t="b">
        <f>if(countif(Status!C:C,A611)=1,TRUE, FALSE)</f>
        <v>1</v>
      </c>
      <c r="H611" s="23">
        <f>IFERROR(__xludf.DUMMYFUNCTION("IFs(REGEXMATCH(I611, ""NOT""), 0, REGEXMATCH(I611, ""NO""), 0, REGEXMATCH(I611, ""TURBID""),1, COUNTBLANK(I611),"""", istext(I611),"""")"),0.0)</f>
        <v>0</v>
      </c>
      <c r="I611" s="23" t="str">
        <f>'3.5.raw'!R611</f>
        <v>Associated Sample PLc1149 and NOT TURBID</v>
      </c>
    </row>
    <row r="612">
      <c r="A612" s="23" t="str">
        <f t="shared" si="13"/>
        <v>UPNC68</v>
      </c>
      <c r="B612" s="23" t="str">
        <f>'3.5.raw'!I612</f>
        <v>UPNC68</v>
      </c>
      <c r="C612" s="24">
        <f>datevalue(left('3.5.raw'!K612,10))</f>
        <v>43818</v>
      </c>
      <c r="D612" s="23">
        <f>'3.5.raw'!H612</f>
        <v>98</v>
      </c>
      <c r="E612" s="1">
        <v>3.5</v>
      </c>
      <c r="F612" s="23" t="b">
        <f>if(countif(Status!C:C,A612)=1,TRUE, FALSE)</f>
        <v>1</v>
      </c>
      <c r="H612" s="23">
        <f>IFERROR(__xludf.DUMMYFUNCTION("IFs(REGEXMATCH(I612, ""NOT""), 0, REGEXMATCH(I612, ""NO""), 0, REGEXMATCH(I612, ""TURBID""),1, COUNTBLANK(I612),"""", istext(I612),"""")"),0.0)</f>
        <v>0</v>
      </c>
      <c r="I612" s="23" t="str">
        <f>'3.5.raw'!R612</f>
        <v>NOT TURBID</v>
      </c>
    </row>
    <row r="613">
      <c r="A613" s="23" t="str">
        <f t="shared" si="13"/>
        <v>PLc1150</v>
      </c>
      <c r="B613" s="23" t="str">
        <f>'3.5.raw'!I613</f>
        <v>PLc1150</v>
      </c>
      <c r="C613" s="24">
        <f>datevalue(left('3.5.raw'!K613,10))</f>
        <v>43822</v>
      </c>
      <c r="D613" s="23">
        <f>'3.5.raw'!H613</f>
        <v>11</v>
      </c>
      <c r="E613" s="1">
        <v>3.5</v>
      </c>
      <c r="F613" s="23" t="b">
        <f>if(countif(Status!C:C,A613)=1,TRUE, FALSE)</f>
        <v>1</v>
      </c>
      <c r="H613" s="23" t="str">
        <f>IFERROR(__xludf.DUMMYFUNCTION("IFs(REGEXMATCH(I613, ""NOT""), 0, REGEXMATCH(I613, ""NO""), 0, REGEXMATCH(I613, ""TURBID""),1, COUNTBLANK(I613),"""", istext(I613),"""")"),"")</f>
        <v/>
      </c>
      <c r="I613" s="23" t="str">
        <f>'3.5.raw'!R613</f>
        <v/>
      </c>
    </row>
    <row r="614">
      <c r="A614" s="23" t="str">
        <f t="shared" si="13"/>
        <v>FB1229UP</v>
      </c>
      <c r="B614" s="23" t="str">
        <f>'3.5.raw'!I614</f>
        <v>FB1229UP</v>
      </c>
      <c r="C614" s="24">
        <f>datevalue(left('3.5.raw'!K614,10))</f>
        <v>43822</v>
      </c>
      <c r="D614" s="23">
        <f>'3.5.raw'!H614</f>
        <v>99</v>
      </c>
      <c r="E614" s="1">
        <v>3.5</v>
      </c>
      <c r="F614" s="23" t="b">
        <f>if(countif(Status!C:C,A614)=1,TRUE, FALSE)</f>
        <v>1</v>
      </c>
      <c r="H614" s="23">
        <f>IFERROR(__xludf.DUMMYFUNCTION("IFs(REGEXMATCH(I614, ""NOT""), 0, REGEXMATCH(I614, ""NO""), 0, REGEXMATCH(I614, ""TURBID""),1, COUNTBLANK(I614),"""", istext(I614),"""")"),0.0)</f>
        <v>0</v>
      </c>
      <c r="I614" s="23" t="str">
        <f>'3.5.raw'!R614</f>
        <v>Associated sample PLc1150 and NOT TURBID</v>
      </c>
    </row>
    <row r="615">
      <c r="A615" s="23" t="str">
        <f t="shared" si="13"/>
        <v>PLc1151</v>
      </c>
      <c r="B615" s="23" t="str">
        <f>'3.5.raw'!I615</f>
        <v>PLc1151</v>
      </c>
      <c r="C615" s="24">
        <f>datevalue(left('3.5.raw'!K615,10))</f>
        <v>43822</v>
      </c>
      <c r="D615" s="23">
        <f>'3.5.raw'!H615</f>
        <v>11</v>
      </c>
      <c r="E615" s="1">
        <v>3.5</v>
      </c>
      <c r="F615" s="23" t="b">
        <f>if(countif(Status!C:C,A615)=1,TRUE, FALSE)</f>
        <v>1</v>
      </c>
      <c r="H615" s="23" t="str">
        <f>IFERROR(__xludf.DUMMYFUNCTION("IFs(REGEXMATCH(I615, ""NOT""), 0, REGEXMATCH(I615, ""NO""), 0, REGEXMATCH(I615, ""TURBID""),1, COUNTBLANK(I615),"""", istext(I615),"""")"),"")</f>
        <v/>
      </c>
      <c r="I615" s="23" t="str">
        <f>'3.5.raw'!R615</f>
        <v/>
      </c>
    </row>
    <row r="616">
      <c r="A616" s="23" t="str">
        <f t="shared" si="13"/>
        <v>FB1230UP</v>
      </c>
      <c r="B616" s="23" t="str">
        <f>'3.5.raw'!I616</f>
        <v>FB1230UP</v>
      </c>
      <c r="C616" s="24">
        <f>datevalue(left('3.5.raw'!K616,10))</f>
        <v>43822</v>
      </c>
      <c r="D616" s="23">
        <f>'3.5.raw'!H616</f>
        <v>11</v>
      </c>
      <c r="E616" s="1">
        <v>3.5</v>
      </c>
      <c r="F616" s="23" t="b">
        <f>if(countif(Status!C:C,A616)=1,TRUE, FALSE)</f>
        <v>1</v>
      </c>
      <c r="H616" s="23">
        <f>IFERROR(__xludf.DUMMYFUNCTION("IFs(REGEXMATCH(I616, ""NOT""), 0, REGEXMATCH(I616, ""NO""), 0, REGEXMATCH(I616, ""TURBID""),1, COUNTBLANK(I616),"""", istext(I616),"""")"),0.0)</f>
        <v>0</v>
      </c>
      <c r="I616" s="23" t="str">
        <f>'3.5.raw'!R616</f>
        <v>Associated sample PLc1151 and NOT TURBID</v>
      </c>
    </row>
    <row r="617">
      <c r="A617" s="23" t="str">
        <f t="shared" si="13"/>
        <v>PLc1152</v>
      </c>
      <c r="B617" s="23" t="str">
        <f>'3.5.raw'!I617</f>
        <v>PLc1152</v>
      </c>
      <c r="C617" s="24">
        <f>datevalue(left('3.5.raw'!K617,10))</f>
        <v>43822</v>
      </c>
      <c r="D617" s="23">
        <f>'3.5.raw'!H617</f>
        <v>11</v>
      </c>
      <c r="E617" s="1">
        <v>3.5</v>
      </c>
      <c r="F617" s="23" t="b">
        <f>if(countif(Status!C:C,A617)=1,TRUE, FALSE)</f>
        <v>1</v>
      </c>
      <c r="H617" s="23" t="str">
        <f>IFERROR(__xludf.DUMMYFUNCTION("IFs(REGEXMATCH(I617, ""NOT""), 0, REGEXMATCH(I617, ""NO""), 0, REGEXMATCH(I617, ""TURBID""),1, COUNTBLANK(I617),"""", istext(I617),"""")"),"")</f>
        <v/>
      </c>
      <c r="I617" s="23" t="str">
        <f>'3.5.raw'!R617</f>
        <v/>
      </c>
    </row>
    <row r="618">
      <c r="A618" s="23" t="str">
        <f t="shared" si="13"/>
        <v>FB1231UP</v>
      </c>
      <c r="B618" s="23" t="str">
        <f>'3.5.raw'!I618</f>
        <v>FB1231UP</v>
      </c>
      <c r="C618" s="24">
        <f>datevalue(left('3.5.raw'!K618,10))</f>
        <v>43822</v>
      </c>
      <c r="D618" s="23">
        <f>'3.5.raw'!H618</f>
        <v>99</v>
      </c>
      <c r="E618" s="1">
        <v>3.5</v>
      </c>
      <c r="F618" s="23" t="b">
        <f>if(countif(Status!C:C,A618)=1,TRUE, FALSE)</f>
        <v>1</v>
      </c>
      <c r="H618" s="23">
        <f>IFERROR(__xludf.DUMMYFUNCTION("IFs(REGEXMATCH(I618, ""NOT""), 0, REGEXMATCH(I618, ""NO""), 0, REGEXMATCH(I618, ""TURBID""),1, COUNTBLANK(I618),"""", istext(I618),"""")"),0.0)</f>
        <v>0</v>
      </c>
      <c r="I618" s="23" t="str">
        <f>'3.5.raw'!R618</f>
        <v>Associated sample PLc1152 and NOT TURBID</v>
      </c>
    </row>
    <row r="619">
      <c r="A619" s="23" t="str">
        <f t="shared" si="13"/>
        <v>PLc1153</v>
      </c>
      <c r="B619" s="23" t="str">
        <f>'3.5.raw'!I619</f>
        <v>PLc1153</v>
      </c>
      <c r="C619" s="24">
        <f>datevalue(left('3.5.raw'!K619,10))</f>
        <v>43822</v>
      </c>
      <c r="D619" s="23">
        <f>'3.5.raw'!H619</f>
        <v>11</v>
      </c>
      <c r="E619" s="1">
        <v>3.5</v>
      </c>
      <c r="F619" s="23" t="b">
        <f>if(countif(Status!C:C,A619)=1,TRUE, FALSE)</f>
        <v>1</v>
      </c>
      <c r="H619" s="23" t="str">
        <f>IFERROR(__xludf.DUMMYFUNCTION("IFs(REGEXMATCH(I619, ""NOT""), 0, REGEXMATCH(I619, ""NO""), 0, REGEXMATCH(I619, ""TURBID""),1, COUNTBLANK(I619),"""", istext(I619),"""")"),"")</f>
        <v/>
      </c>
      <c r="I619" s="23" t="str">
        <f>'3.5.raw'!R619</f>
        <v/>
      </c>
    </row>
    <row r="620">
      <c r="A620" s="23" t="str">
        <f t="shared" si="13"/>
        <v>FB1232UP</v>
      </c>
      <c r="B620" s="23" t="str">
        <f>'3.5.raw'!I620</f>
        <v>FB1232UP</v>
      </c>
      <c r="C620" s="24">
        <f>datevalue(left('3.5.raw'!K620,10))</f>
        <v>43822</v>
      </c>
      <c r="D620" s="23">
        <f>'3.5.raw'!H620</f>
        <v>99</v>
      </c>
      <c r="E620" s="1">
        <v>3.5</v>
      </c>
      <c r="F620" s="23" t="b">
        <f>if(countif(Status!C:C,A620)=1,TRUE, FALSE)</f>
        <v>1</v>
      </c>
      <c r="H620" s="23">
        <f>IFERROR(__xludf.DUMMYFUNCTION("IFs(REGEXMATCH(I620, ""NOT""), 0, REGEXMATCH(I620, ""NO""), 0, REGEXMATCH(I620, ""TURBID""),1, COUNTBLANK(I620),"""", istext(I620),"""")"),0.0)</f>
        <v>0</v>
      </c>
      <c r="I620" s="23" t="str">
        <f>'3.5.raw'!R620</f>
        <v>Associated sample PLc1153 and NOT TURBID</v>
      </c>
    </row>
    <row r="621">
      <c r="A621" s="49" t="s">
        <v>1933</v>
      </c>
      <c r="B621" s="23" t="str">
        <f>'3.5.raw'!I621</f>
        <v>UPNC67</v>
      </c>
      <c r="C621" s="24">
        <f>datevalue(left('3.5.raw'!K621,10))</f>
        <v>43822</v>
      </c>
      <c r="D621" s="23">
        <f>'3.5.raw'!H621</f>
        <v>98</v>
      </c>
      <c r="E621" s="1">
        <v>3.5</v>
      </c>
      <c r="F621" s="23" t="b">
        <f>if(countif(Status!C:C,A621)=1,TRUE, FALSE)</f>
        <v>1</v>
      </c>
      <c r="H621" s="23">
        <f>IFERROR(__xludf.DUMMYFUNCTION("IFs(REGEXMATCH(I621, ""NOT""), 0, REGEXMATCH(I621, ""NO""), 0, REGEXMATCH(I621, ""TURBID""),1, COUNTBLANK(I621),"""", istext(I621),"""")"),0.0)</f>
        <v>0</v>
      </c>
      <c r="I621" s="23" t="str">
        <f>'3.5.raw'!R621</f>
        <v>NOT TURBID</v>
      </c>
    </row>
    <row r="622">
      <c r="A622" s="23" t="str">
        <f t="shared" ref="A622:A629" si="14">SUBSTITUTE(B622, " ", "")</f>
        <v>PLc1154</v>
      </c>
      <c r="B622" s="23" t="str">
        <f>'3.5.raw'!I622</f>
        <v>PLc1154</v>
      </c>
      <c r="C622" s="24">
        <f>datevalue(left('3.5.raw'!K622,10))</f>
        <v>43825</v>
      </c>
      <c r="D622" s="23">
        <f>'3.5.raw'!H622</f>
        <v>11</v>
      </c>
      <c r="E622" s="1">
        <v>3.5</v>
      </c>
      <c r="F622" s="23" t="b">
        <f>if(countif(Status!C:C,A622)=1,TRUE, FALSE)</f>
        <v>1</v>
      </c>
      <c r="H622" s="23" t="str">
        <f>IFERROR(__xludf.DUMMYFUNCTION("IFs(REGEXMATCH(I622, ""NOT""), 0, REGEXMATCH(I622, ""NO""), 0, REGEXMATCH(I622, ""TURBID""),1, COUNTBLANK(I622),"""", istext(I622),"""")"),"")</f>
        <v/>
      </c>
      <c r="I622" s="23" t="str">
        <f>'3.5.raw'!R622</f>
        <v/>
      </c>
    </row>
    <row r="623">
      <c r="A623" s="23" t="str">
        <f t="shared" si="14"/>
        <v>FB1233UP</v>
      </c>
      <c r="B623" s="23" t="str">
        <f>'3.5.raw'!I623</f>
        <v>FB1233UP</v>
      </c>
      <c r="C623" s="24">
        <f>datevalue(left('3.5.raw'!K623,10))</f>
        <v>43825</v>
      </c>
      <c r="D623" s="23">
        <f>'3.5.raw'!H623</f>
        <v>99</v>
      </c>
      <c r="E623" s="1">
        <v>3.5</v>
      </c>
      <c r="F623" s="23" t="b">
        <f>if(countif(Status!C:C,A623)=1,TRUE, FALSE)</f>
        <v>1</v>
      </c>
      <c r="H623" s="23">
        <f>IFERROR(__xludf.DUMMYFUNCTION("IFs(REGEXMATCH(I623, ""NOT""), 0, REGEXMATCH(I623, ""NO""), 0, REGEXMATCH(I623, ""TURBID""),1, COUNTBLANK(I623),"""", istext(I623),"""")"),0.0)</f>
        <v>0</v>
      </c>
      <c r="I623" s="23" t="str">
        <f>'3.5.raw'!R623</f>
        <v>Associated sample PLc1154 and NOT TURBID</v>
      </c>
    </row>
    <row r="624">
      <c r="A624" s="23" t="str">
        <f t="shared" si="14"/>
        <v>PLc1155</v>
      </c>
      <c r="B624" s="23" t="str">
        <f>'3.5.raw'!I624</f>
        <v>PLc1155</v>
      </c>
      <c r="C624" s="24">
        <f>datevalue(left('3.5.raw'!K624,10))</f>
        <v>43825</v>
      </c>
      <c r="D624" s="23">
        <f>'3.5.raw'!H624</f>
        <v>11</v>
      </c>
      <c r="E624" s="1">
        <v>3.5</v>
      </c>
      <c r="F624" s="23" t="b">
        <f>if(countif(Status!C:C,A624)=1,TRUE, FALSE)</f>
        <v>1</v>
      </c>
      <c r="H624" s="23" t="str">
        <f>IFERROR(__xludf.DUMMYFUNCTION("IFs(REGEXMATCH(I624, ""NOT""), 0, REGEXMATCH(I624, ""NO""), 0, REGEXMATCH(I624, ""TURBID""),1, COUNTBLANK(I624),"""", istext(I624),"""")"),"")</f>
        <v/>
      </c>
      <c r="I624" s="23" t="str">
        <f>'3.5.raw'!R624</f>
        <v/>
      </c>
    </row>
    <row r="625">
      <c r="A625" s="23" t="str">
        <f t="shared" si="14"/>
        <v>FB1234UP</v>
      </c>
      <c r="B625" s="23" t="str">
        <f>'3.5.raw'!I625</f>
        <v>FB1234UP</v>
      </c>
      <c r="C625" s="24">
        <f>datevalue(left('3.5.raw'!K625,10))</f>
        <v>43825</v>
      </c>
      <c r="D625" s="23">
        <f>'3.5.raw'!H625</f>
        <v>99</v>
      </c>
      <c r="E625" s="1">
        <v>3.5</v>
      </c>
      <c r="F625" s="23" t="b">
        <f>if(countif(Status!C:C,A625)=1,TRUE, FALSE)</f>
        <v>1</v>
      </c>
      <c r="H625" s="23">
        <f>IFERROR(__xludf.DUMMYFUNCTION("IFs(REGEXMATCH(I625, ""NOT""), 0, REGEXMATCH(I625, ""NO""), 0, REGEXMATCH(I625, ""TURBID""),1, COUNTBLANK(I625),"""", istext(I625),"""")"),0.0)</f>
        <v>0</v>
      </c>
      <c r="I625" s="23" t="str">
        <f>'3.5.raw'!R625</f>
        <v>Associated sample PLc1155 and NOT TURBID</v>
      </c>
    </row>
    <row r="626">
      <c r="A626" s="23" t="str">
        <f t="shared" si="14"/>
        <v>PLc1156</v>
      </c>
      <c r="B626" s="23" t="str">
        <f>'3.5.raw'!I626</f>
        <v>PLc1156</v>
      </c>
      <c r="C626" s="24">
        <f>datevalue(left('3.5.raw'!K626,10))</f>
        <v>43825</v>
      </c>
      <c r="D626" s="23">
        <f>'3.5.raw'!H626</f>
        <v>11</v>
      </c>
      <c r="E626" s="1">
        <v>3.5</v>
      </c>
      <c r="F626" s="23" t="b">
        <f>if(countif(Status!C:C,A626)=1,TRUE, FALSE)</f>
        <v>1</v>
      </c>
      <c r="H626" s="23" t="str">
        <f>IFERROR(__xludf.DUMMYFUNCTION("IFs(REGEXMATCH(I626, ""NOT""), 0, REGEXMATCH(I626, ""NO""), 0, REGEXMATCH(I626, ""TURBID""),1, COUNTBLANK(I626),"""", istext(I626),"""")"),"")</f>
        <v/>
      </c>
      <c r="I626" s="23" t="str">
        <f>'3.5.raw'!R626</f>
        <v/>
      </c>
    </row>
    <row r="627">
      <c r="A627" s="23" t="str">
        <f t="shared" si="14"/>
        <v>FB1235UP</v>
      </c>
      <c r="B627" s="23" t="str">
        <f>'3.5.raw'!I627</f>
        <v>FB1235UP</v>
      </c>
      <c r="C627" s="24">
        <f>datevalue(left('3.5.raw'!K627,10))</f>
        <v>43825</v>
      </c>
      <c r="D627" s="23">
        <f>'3.5.raw'!H627</f>
        <v>99</v>
      </c>
      <c r="E627" s="1">
        <v>3.5</v>
      </c>
      <c r="F627" s="23" t="b">
        <f>if(countif(Status!C:C,A627)=1,TRUE, FALSE)</f>
        <v>1</v>
      </c>
      <c r="H627" s="23">
        <f>IFERROR(__xludf.DUMMYFUNCTION("IFs(REGEXMATCH(I627, ""NOT""), 0, REGEXMATCH(I627, ""NO""), 0, REGEXMATCH(I627, ""TURBID""),1, COUNTBLANK(I627),"""", istext(I627),"""")"),0.0)</f>
        <v>0</v>
      </c>
      <c r="I627" s="23" t="str">
        <f>'3.5.raw'!R627</f>
        <v>Associated sample PLc1156 and NOT TURBID</v>
      </c>
    </row>
    <row r="628">
      <c r="A628" s="23" t="str">
        <f t="shared" si="14"/>
        <v>PLc1157</v>
      </c>
      <c r="B628" s="23" t="str">
        <f>'3.5.raw'!I628</f>
        <v>PLc1157</v>
      </c>
      <c r="C628" s="24">
        <f>datevalue(left('3.5.raw'!K628,10))</f>
        <v>43825</v>
      </c>
      <c r="D628" s="23">
        <f>'3.5.raw'!H628</f>
        <v>11</v>
      </c>
      <c r="E628" s="1">
        <v>3.5</v>
      </c>
      <c r="F628" s="23" t="b">
        <f>if(countif(Status!C:C,A628)=1,TRUE, FALSE)</f>
        <v>1</v>
      </c>
      <c r="H628" s="23" t="str">
        <f>IFERROR(__xludf.DUMMYFUNCTION("IFs(REGEXMATCH(I628, ""NOT""), 0, REGEXMATCH(I628, ""NO""), 0, REGEXMATCH(I628, ""TURBID""),1, COUNTBLANK(I628),"""", istext(I628),"""")"),"")</f>
        <v/>
      </c>
      <c r="I628" s="23" t="str">
        <f>'3.5.raw'!R628</f>
        <v/>
      </c>
    </row>
    <row r="629">
      <c r="A629" s="23" t="str">
        <f t="shared" si="14"/>
        <v>FB1236UP</v>
      </c>
      <c r="B629" s="23" t="str">
        <f>'3.5.raw'!I629</f>
        <v>FB1236UP</v>
      </c>
      <c r="C629" s="24">
        <f>datevalue(left('3.5.raw'!K629,10))</f>
        <v>43825</v>
      </c>
      <c r="D629" s="23">
        <f>'3.5.raw'!H629</f>
        <v>99</v>
      </c>
      <c r="E629" s="1">
        <v>3.5</v>
      </c>
      <c r="F629" s="23" t="b">
        <f>if(countif(Status!C:C,A629)=1,TRUE, FALSE)</f>
        <v>1</v>
      </c>
      <c r="H629" s="23">
        <f>IFERROR(__xludf.DUMMYFUNCTION("IFs(REGEXMATCH(I629, ""NOT""), 0, REGEXMATCH(I629, ""NO""), 0, REGEXMATCH(I629, ""TURBID""),1, COUNTBLANK(I629),"""", istext(I629),"""")"),0.0)</f>
        <v>0</v>
      </c>
      <c r="I629" s="23" t="str">
        <f>'3.5.raw'!R629</f>
        <v>Associated sample PLc1157 and NOT TURBID</v>
      </c>
    </row>
    <row r="630">
      <c r="A630" s="49" t="s">
        <v>1947</v>
      </c>
      <c r="B630" s="23" t="str">
        <f>'3.5.raw'!I630</f>
        <v>UPNC68</v>
      </c>
      <c r="C630" s="24">
        <f>datevalue(left('3.5.raw'!K630,10))</f>
        <v>43825</v>
      </c>
      <c r="D630" s="23">
        <f>'3.5.raw'!H630</f>
        <v>98</v>
      </c>
      <c r="E630" s="1">
        <v>3.5</v>
      </c>
      <c r="F630" s="23" t="b">
        <f>if(countif(Status!C:C,A630)=1,TRUE, FALSE)</f>
        <v>1</v>
      </c>
      <c r="H630" s="23">
        <f>IFERROR(__xludf.DUMMYFUNCTION("IFs(REGEXMATCH(I630, ""NOT""), 0, REGEXMATCH(I630, ""NO""), 0, REGEXMATCH(I630, ""TURBID""),1, COUNTBLANK(I630),"""", istext(I630),"""")"),0.0)</f>
        <v>0</v>
      </c>
      <c r="I630" s="23" t="str">
        <f>'3.5.raw'!R630</f>
        <v>NOT TURBID</v>
      </c>
    </row>
    <row r="631">
      <c r="A631" s="23" t="str">
        <f t="shared" ref="A631:A634" si="15">SUBSTITUTE(B631, " ", "")</f>
        <v>MO1138</v>
      </c>
      <c r="B631" s="23" t="str">
        <f>'3.5.raw'!I631</f>
        <v>MO1138</v>
      </c>
      <c r="C631" s="24">
        <f>datevalue(left('3.5.raw'!K631,10))</f>
        <v>43826</v>
      </c>
      <c r="D631" s="23">
        <f>'3.5.raw'!H631</f>
        <v>12</v>
      </c>
      <c r="E631" s="1">
        <v>3.5</v>
      </c>
      <c r="F631" s="23" t="b">
        <f>if(countif(Status!C:C,A631)=1,TRUE, FALSE)</f>
        <v>1</v>
      </c>
      <c r="H631" s="23" t="str">
        <f>IFERROR(__xludf.DUMMYFUNCTION("IFs(REGEXMATCH(I631, ""NOT""), 0, REGEXMATCH(I631, ""NO""), 0, REGEXMATCH(I631, ""TURBID""),1, COUNTBLANK(I631),"""", istext(I631),"""")"),"")</f>
        <v/>
      </c>
      <c r="I631" s="23" t="str">
        <f>'3.5.raw'!R631</f>
        <v/>
      </c>
    </row>
    <row r="632">
      <c r="A632" s="23" t="str">
        <f t="shared" si="15"/>
        <v>FB1237UP</v>
      </c>
      <c r="B632" s="23" t="str">
        <f>'3.5.raw'!I632</f>
        <v>FB1237UP</v>
      </c>
      <c r="C632" s="24">
        <f>datevalue(left('3.5.raw'!K632,10))</f>
        <v>43826</v>
      </c>
      <c r="D632" s="23">
        <f>'3.5.raw'!H632</f>
        <v>99</v>
      </c>
      <c r="E632" s="1">
        <v>3.5</v>
      </c>
      <c r="F632" s="23" t="b">
        <f>if(countif(Status!C:C,A632)=1,TRUE, FALSE)</f>
        <v>1</v>
      </c>
      <c r="H632" s="23">
        <f>IFERROR(__xludf.DUMMYFUNCTION("IFs(REGEXMATCH(I632, ""NOT""), 0, REGEXMATCH(I632, ""NO""), 0, REGEXMATCH(I632, ""TURBID""),1, COUNTBLANK(I632),"""", istext(I632),"""")"),0.0)</f>
        <v>0</v>
      </c>
      <c r="I632" s="23" t="str">
        <f>'3.5.raw'!R632</f>
        <v>Associated sample MO1138 and NOT TURBID</v>
      </c>
    </row>
    <row r="633">
      <c r="A633" s="23" t="str">
        <f t="shared" si="15"/>
        <v>MO1139</v>
      </c>
      <c r="B633" s="23" t="str">
        <f>'3.5.raw'!I633</f>
        <v>MO1139</v>
      </c>
      <c r="C633" s="24">
        <f>datevalue(left('3.5.raw'!K633,10))</f>
        <v>43826</v>
      </c>
      <c r="D633" s="23">
        <f>'3.5.raw'!H633</f>
        <v>12</v>
      </c>
      <c r="E633" s="1">
        <v>3.5</v>
      </c>
      <c r="F633" s="23" t="b">
        <f>if(countif(Status!C:C,A633)=1,TRUE, FALSE)</f>
        <v>1</v>
      </c>
      <c r="H633" s="23" t="str">
        <f>IFERROR(__xludf.DUMMYFUNCTION("IFs(REGEXMATCH(I633, ""NOT""), 0, REGEXMATCH(I633, ""NO""), 0, REGEXMATCH(I633, ""TURBID""),1, COUNTBLANK(I633),"""", istext(I633),"""")"),"")</f>
        <v/>
      </c>
      <c r="I633" s="23" t="str">
        <f>'3.5.raw'!R633</f>
        <v/>
      </c>
    </row>
    <row r="634">
      <c r="A634" s="23" t="str">
        <f t="shared" si="15"/>
        <v>FB1238UP</v>
      </c>
      <c r="B634" s="23" t="str">
        <f>'3.5.raw'!I634</f>
        <v>FB1238UP</v>
      </c>
      <c r="C634" s="24">
        <f>datevalue(left('3.5.raw'!K634,10))</f>
        <v>43826</v>
      </c>
      <c r="D634" s="23">
        <f>'3.5.raw'!H634</f>
        <v>99</v>
      </c>
      <c r="E634" s="1">
        <v>3.5</v>
      </c>
      <c r="F634" s="23" t="b">
        <f>if(countif(Status!C:C,A634)=1,TRUE, FALSE)</f>
        <v>1</v>
      </c>
      <c r="H634" s="23">
        <f>IFERROR(__xludf.DUMMYFUNCTION("IFs(REGEXMATCH(I634, ""NOT""), 0, REGEXMATCH(I634, ""NO""), 0, REGEXMATCH(I634, ""TURBID""),1, COUNTBLANK(I634),"""", istext(I634),"""")"),0.0)</f>
        <v>0</v>
      </c>
      <c r="I634" s="23" t="str">
        <f>'3.5.raw'!R634</f>
        <v>Associated sample MO1139 and NOT TURBID</v>
      </c>
    </row>
    <row r="635">
      <c r="A635" s="49" t="s">
        <v>334</v>
      </c>
      <c r="B635" s="23" t="str">
        <f>'3.5.raw'!I635</f>
        <v>PLc2258</v>
      </c>
      <c r="C635" s="24">
        <f>datevalue(left('3.5.raw'!K635,10))</f>
        <v>43826</v>
      </c>
      <c r="D635" s="23">
        <f>'3.5.raw'!H635</f>
        <v>11</v>
      </c>
      <c r="E635" s="1">
        <v>3.5</v>
      </c>
      <c r="F635" s="23" t="b">
        <f>if(countif(Status!C:C,A635)=1,TRUE, FALSE)</f>
        <v>1</v>
      </c>
      <c r="H635" s="23" t="str">
        <f>IFERROR(__xludf.DUMMYFUNCTION("IFs(REGEXMATCH(I635, ""NOT""), 0, REGEXMATCH(I635, ""NO""), 0, REGEXMATCH(I635, ""TURBID""),1, COUNTBLANK(I635),"""", istext(I635),"""")"),"")</f>
        <v/>
      </c>
      <c r="I635" s="23" t="str">
        <f>'3.5.raw'!R635</f>
        <v/>
      </c>
    </row>
    <row r="636">
      <c r="A636" s="23" t="str">
        <f t="shared" ref="A636:A690" si="16">SUBSTITUTE(B636, " ", "")</f>
        <v>FB1239UP</v>
      </c>
      <c r="B636" s="23" t="str">
        <f>'3.5.raw'!I636</f>
        <v>FB1239UP</v>
      </c>
      <c r="C636" s="24">
        <f>datevalue(left('3.5.raw'!K636,10))</f>
        <v>43826</v>
      </c>
      <c r="D636" s="23">
        <f>'3.5.raw'!H636</f>
        <v>99</v>
      </c>
      <c r="E636" s="1">
        <v>3.5</v>
      </c>
      <c r="F636" s="23" t="b">
        <f>if(countif(Status!C:C,A636)=1,TRUE, FALSE)</f>
        <v>1</v>
      </c>
      <c r="H636" s="23">
        <f>IFERROR(__xludf.DUMMYFUNCTION("IFs(REGEXMATCH(I636, ""NOT""), 0, REGEXMATCH(I636, ""NO""), 0, REGEXMATCH(I636, ""TURBID""),1, COUNTBLANK(I636),"""", istext(I636),"""")"),0.0)</f>
        <v>0</v>
      </c>
      <c r="I636" s="23" t="str">
        <f>'3.5.raw'!R636</f>
        <v>Associated sample PLc1158 and NOT TURBID</v>
      </c>
    </row>
    <row r="637">
      <c r="A637" s="23" t="str">
        <f t="shared" si="16"/>
        <v>PLc1159</v>
      </c>
      <c r="B637" s="23" t="str">
        <f>'3.5.raw'!I637</f>
        <v>PLc1159</v>
      </c>
      <c r="C637" s="24">
        <f>datevalue(left('3.5.raw'!K637,10))</f>
        <v>43826</v>
      </c>
      <c r="D637" s="23">
        <f>'3.5.raw'!H637</f>
        <v>11</v>
      </c>
      <c r="E637" s="1">
        <v>3.5</v>
      </c>
      <c r="F637" s="23" t="b">
        <f>if(countif(Status!C:C,A637)=1,TRUE, FALSE)</f>
        <v>1</v>
      </c>
      <c r="H637" s="23" t="str">
        <f>IFERROR(__xludf.DUMMYFUNCTION("IFs(REGEXMATCH(I637, ""NOT""), 0, REGEXMATCH(I637, ""NO""), 0, REGEXMATCH(I637, ""TURBID""),1, COUNTBLANK(I637),"""", istext(I637),"""")"),"")</f>
        <v/>
      </c>
      <c r="I637" s="23" t="str">
        <f>'3.5.raw'!R637</f>
        <v/>
      </c>
    </row>
    <row r="638">
      <c r="A638" s="23" t="str">
        <f t="shared" si="16"/>
        <v>FB1240UP</v>
      </c>
      <c r="B638" s="23" t="str">
        <f>'3.5.raw'!I638</f>
        <v>FB1240UP</v>
      </c>
      <c r="C638" s="24">
        <f>datevalue(left('3.5.raw'!K638,10))</f>
        <v>43826</v>
      </c>
      <c r="D638" s="23">
        <f>'3.5.raw'!H638</f>
        <v>99</v>
      </c>
      <c r="E638" s="1">
        <v>3.5</v>
      </c>
      <c r="F638" s="23" t="b">
        <f>if(countif(Status!C:C,A638)=1,TRUE, FALSE)</f>
        <v>1</v>
      </c>
      <c r="H638" s="23">
        <f>IFERROR(__xludf.DUMMYFUNCTION("IFs(REGEXMATCH(I638, ""NOT""), 0, REGEXMATCH(I638, ""NO""), 0, REGEXMATCH(I638, ""TURBID""),1, COUNTBLANK(I638),"""", istext(I638),"""")"),0.0)</f>
        <v>0</v>
      </c>
      <c r="I638" s="23" t="str">
        <f>'3.5.raw'!R638</f>
        <v>Associated sample PLc1159 and NOT TURBID</v>
      </c>
    </row>
    <row r="639">
      <c r="A639" s="23" t="str">
        <f t="shared" si="16"/>
        <v>UPNC69</v>
      </c>
      <c r="B639" s="23" t="str">
        <f>'3.5.raw'!I639</f>
        <v>UPNC69</v>
      </c>
      <c r="C639" s="24">
        <f>datevalue(left('3.5.raw'!K639,10))</f>
        <v>43826</v>
      </c>
      <c r="D639" s="23">
        <f>'3.5.raw'!H639</f>
        <v>98</v>
      </c>
      <c r="E639" s="1">
        <v>3.5</v>
      </c>
      <c r="F639" s="23" t="b">
        <f>if(countif(Status!C:C,A639)=1,TRUE, FALSE)</f>
        <v>1</v>
      </c>
      <c r="H639" s="23">
        <f>IFERROR(__xludf.DUMMYFUNCTION("IFs(REGEXMATCH(I639, ""NOT""), 0, REGEXMATCH(I639, ""NO""), 0, REGEXMATCH(I639, ""TURBID""),1, COUNTBLANK(I639),"""", istext(I639),"""")"),0.0)</f>
        <v>0</v>
      </c>
      <c r="I639" s="23" t="str">
        <f>'3.5.raw'!R639</f>
        <v>NOT TURBID</v>
      </c>
    </row>
    <row r="640">
      <c r="A640" s="23" t="str">
        <f t="shared" si="16"/>
        <v>PLc1160</v>
      </c>
      <c r="B640" s="23" t="str">
        <f>'3.5.raw'!I640</f>
        <v>PLc1160</v>
      </c>
      <c r="C640" s="24">
        <f>datevalue(left('3.5.raw'!K640,10))</f>
        <v>43829</v>
      </c>
      <c r="D640" s="23">
        <f>'3.5.raw'!H640</f>
        <v>11</v>
      </c>
      <c r="E640" s="1">
        <v>3.5</v>
      </c>
      <c r="F640" s="23" t="b">
        <f>if(countif(Status!C:C,A640)=1,TRUE, FALSE)</f>
        <v>1</v>
      </c>
      <c r="H640" s="23" t="str">
        <f>IFERROR(__xludf.DUMMYFUNCTION("IFs(REGEXMATCH(I640, ""NOT""), 0, REGEXMATCH(I640, ""NO""), 0, REGEXMATCH(I640, ""TURBID""),1, COUNTBLANK(I640),"""", istext(I640),"""")"),"")</f>
        <v/>
      </c>
      <c r="I640" s="23" t="str">
        <f>'3.5.raw'!R640</f>
        <v/>
      </c>
    </row>
    <row r="641">
      <c r="A641" s="23" t="str">
        <f t="shared" si="16"/>
        <v>FB1241UP</v>
      </c>
      <c r="B641" s="23" t="str">
        <f>'3.5.raw'!I641</f>
        <v>FB1241UP</v>
      </c>
      <c r="C641" s="24">
        <f>datevalue(left('3.5.raw'!K641,10))</f>
        <v>43829</v>
      </c>
      <c r="D641" s="23">
        <f>'3.5.raw'!H641</f>
        <v>99</v>
      </c>
      <c r="E641" s="1">
        <v>3.5</v>
      </c>
      <c r="F641" s="23" t="b">
        <f>if(countif(Status!C:C,A641)=1,TRUE, FALSE)</f>
        <v>1</v>
      </c>
      <c r="H641" s="23">
        <f>IFERROR(__xludf.DUMMYFUNCTION("IFs(REGEXMATCH(I641, ""NOT""), 0, REGEXMATCH(I641, ""NO""), 0, REGEXMATCH(I641, ""TURBID""),1, COUNTBLANK(I641),"""", istext(I641),"""")"),0.0)</f>
        <v>0</v>
      </c>
      <c r="I641" s="23" t="str">
        <f>'3.5.raw'!R641</f>
        <v>Associated Sample PLc1160 and NOT TURBID</v>
      </c>
    </row>
    <row r="642">
      <c r="A642" s="23" t="str">
        <f t="shared" si="16"/>
        <v>PLc1161</v>
      </c>
      <c r="B642" s="23" t="str">
        <f>'3.5.raw'!I642</f>
        <v>PLc1161</v>
      </c>
      <c r="C642" s="24">
        <f>datevalue(left('3.5.raw'!K642,10))</f>
        <v>43829</v>
      </c>
      <c r="D642" s="23">
        <f>'3.5.raw'!H642</f>
        <v>11</v>
      </c>
      <c r="E642" s="1">
        <v>3.5</v>
      </c>
      <c r="F642" s="23" t="b">
        <f>if(countif(Status!C:C,A642)=1,TRUE, FALSE)</f>
        <v>1</v>
      </c>
      <c r="H642" s="23" t="str">
        <f>IFERROR(__xludf.DUMMYFUNCTION("IFs(REGEXMATCH(I642, ""NOT""), 0, REGEXMATCH(I642, ""NO""), 0, REGEXMATCH(I642, ""TURBID""),1, COUNTBLANK(I642),"""", istext(I642),"""")"),"")</f>
        <v/>
      </c>
      <c r="I642" s="23" t="str">
        <f>'3.5.raw'!R642</f>
        <v/>
      </c>
    </row>
    <row r="643">
      <c r="A643" s="23" t="str">
        <f t="shared" si="16"/>
        <v>FB1242UP</v>
      </c>
      <c r="B643" s="23" t="str">
        <f>'3.5.raw'!I643</f>
        <v>FB1242UP</v>
      </c>
      <c r="C643" s="24">
        <f>datevalue(left('3.5.raw'!K643,10))</f>
        <v>43829</v>
      </c>
      <c r="D643" s="23">
        <f>'3.5.raw'!H643</f>
        <v>99</v>
      </c>
      <c r="E643" s="1">
        <v>3.5</v>
      </c>
      <c r="F643" s="23" t="b">
        <f>if(countif(Status!C:C,A643)=1,TRUE, FALSE)</f>
        <v>1</v>
      </c>
      <c r="H643" s="23">
        <f>IFERROR(__xludf.DUMMYFUNCTION("IFs(REGEXMATCH(I643, ""NOT""), 0, REGEXMATCH(I643, ""NO""), 0, REGEXMATCH(I643, ""TURBID""),1, COUNTBLANK(I643),"""", istext(I643),"""")"),0.0)</f>
        <v>0</v>
      </c>
      <c r="I643" s="23" t="str">
        <f>'3.5.raw'!R643</f>
        <v>Associated Sample PLc1161 and NOT TURBID</v>
      </c>
    </row>
    <row r="644">
      <c r="A644" s="23" t="str">
        <f t="shared" si="16"/>
        <v>PLc1162</v>
      </c>
      <c r="B644" s="23" t="str">
        <f>'3.5.raw'!I644</f>
        <v>PLc1162</v>
      </c>
      <c r="C644" s="24">
        <f>datevalue(left('3.5.raw'!K644,10))</f>
        <v>43829</v>
      </c>
      <c r="D644" s="23">
        <f>'3.5.raw'!H644</f>
        <v>11</v>
      </c>
      <c r="E644" s="1">
        <v>3.5</v>
      </c>
      <c r="F644" s="23" t="b">
        <f>if(countif(Status!C:C,A644)=1,TRUE, FALSE)</f>
        <v>1</v>
      </c>
      <c r="H644" s="23" t="str">
        <f>IFERROR(__xludf.DUMMYFUNCTION("IFs(REGEXMATCH(I644, ""NOT""), 0, REGEXMATCH(I644, ""NO""), 0, REGEXMATCH(I644, ""TURBID""),1, COUNTBLANK(I644),"""", istext(I644),"""")"),"")</f>
        <v/>
      </c>
      <c r="I644" s="23" t="str">
        <f>'3.5.raw'!R644</f>
        <v/>
      </c>
    </row>
    <row r="645">
      <c r="A645" s="23" t="str">
        <f t="shared" si="16"/>
        <v>FB1243UP</v>
      </c>
      <c r="B645" s="23" t="str">
        <f>'3.5.raw'!I645</f>
        <v>FB1243UP</v>
      </c>
      <c r="C645" s="24">
        <f>datevalue(left('3.5.raw'!K645,10))</f>
        <v>43829</v>
      </c>
      <c r="D645" s="23">
        <f>'3.5.raw'!H645</f>
        <v>99</v>
      </c>
      <c r="E645" s="1">
        <v>3.5</v>
      </c>
      <c r="F645" s="23" t="b">
        <f>if(countif(Status!C:C,A645)=1,TRUE, FALSE)</f>
        <v>1</v>
      </c>
      <c r="H645" s="23">
        <f>IFERROR(__xludf.DUMMYFUNCTION("IFs(REGEXMATCH(I645, ""NOT""), 0, REGEXMATCH(I645, ""NO""), 0, REGEXMATCH(I645, ""TURBID""),1, COUNTBLANK(I645),"""", istext(I645),"""")"),0.0)</f>
        <v>0</v>
      </c>
      <c r="I645" s="23" t="str">
        <f>'3.5.raw'!R645</f>
        <v>Associated Sample PLc1162 and NOT TURBID</v>
      </c>
    </row>
    <row r="646">
      <c r="A646" s="23" t="str">
        <f t="shared" si="16"/>
        <v>PLc1163</v>
      </c>
      <c r="B646" s="23" t="str">
        <f>'3.5.raw'!I646</f>
        <v>PLc1163</v>
      </c>
      <c r="C646" s="24">
        <f>datevalue(left('3.5.raw'!K646,10))</f>
        <v>43829</v>
      </c>
      <c r="D646" s="23">
        <f>'3.5.raw'!H646</f>
        <v>11</v>
      </c>
      <c r="E646" s="1">
        <v>3.5</v>
      </c>
      <c r="F646" s="23" t="b">
        <f>if(countif(Status!C:C,A646)=1,TRUE, FALSE)</f>
        <v>1</v>
      </c>
      <c r="H646" s="23" t="str">
        <f>IFERROR(__xludf.DUMMYFUNCTION("IFs(REGEXMATCH(I646, ""NOT""), 0, REGEXMATCH(I646, ""NO""), 0, REGEXMATCH(I646, ""TURBID""),1, COUNTBLANK(I646),"""", istext(I646),"""")"),"")</f>
        <v/>
      </c>
      <c r="I646" s="23" t="str">
        <f>'3.5.raw'!R646</f>
        <v/>
      </c>
    </row>
    <row r="647">
      <c r="A647" s="23" t="str">
        <f t="shared" si="16"/>
        <v>FB1244UP</v>
      </c>
      <c r="B647" s="23" t="str">
        <f>'3.5.raw'!I647</f>
        <v>FB1244UP</v>
      </c>
      <c r="C647" s="24">
        <f>datevalue(left('3.5.raw'!K647,10))</f>
        <v>43829</v>
      </c>
      <c r="D647" s="23">
        <f>'3.5.raw'!H647</f>
        <v>99</v>
      </c>
      <c r="E647" s="1">
        <v>3.5</v>
      </c>
      <c r="F647" s="23" t="b">
        <f>if(countif(Status!C:C,A647)=1,TRUE, FALSE)</f>
        <v>1</v>
      </c>
      <c r="H647" s="23">
        <f>IFERROR(__xludf.DUMMYFUNCTION("IFs(REGEXMATCH(I647, ""NOT""), 0, REGEXMATCH(I647, ""NO""), 0, REGEXMATCH(I647, ""TURBID""),1, COUNTBLANK(I647),"""", istext(I647),"""")"),0.0)</f>
        <v>0</v>
      </c>
      <c r="I647" s="23" t="str">
        <f>'3.5.raw'!R647</f>
        <v>Associated Sample PLc1163 and NOT TURBID</v>
      </c>
    </row>
    <row r="648">
      <c r="A648" s="23" t="str">
        <f t="shared" si="16"/>
        <v>UPNC70</v>
      </c>
      <c r="B648" s="23" t="str">
        <f>'3.5.raw'!I648</f>
        <v>UPNC70</v>
      </c>
      <c r="C648" s="24">
        <f>datevalue(left('3.5.raw'!K648,10))</f>
        <v>43829</v>
      </c>
      <c r="D648" s="23">
        <f>'3.5.raw'!H648</f>
        <v>98</v>
      </c>
      <c r="E648" s="1">
        <v>3.5</v>
      </c>
      <c r="F648" s="23" t="b">
        <f>if(countif(Status!C:C,A648)=1,TRUE, FALSE)</f>
        <v>1</v>
      </c>
      <c r="H648" s="23">
        <f>IFERROR(__xludf.DUMMYFUNCTION("IFs(REGEXMATCH(I648, ""NOT""), 0, REGEXMATCH(I648, ""NO""), 0, REGEXMATCH(I648, ""TURBID""),1, COUNTBLANK(I648),"""", istext(I648),"""")"),0.0)</f>
        <v>0</v>
      </c>
      <c r="I648" s="23" t="str">
        <f>'3.5.raw'!R648</f>
        <v>NOT TURBID</v>
      </c>
    </row>
    <row r="649">
      <c r="A649" s="23" t="str">
        <f t="shared" si="16"/>
        <v>MO1140</v>
      </c>
      <c r="B649" s="23" t="str">
        <f>'3.5.raw'!I649</f>
        <v>MO1140</v>
      </c>
      <c r="C649" s="24">
        <f>datevalue(left('3.5.raw'!K649,10))</f>
        <v>43830</v>
      </c>
      <c r="D649" s="23">
        <f>'3.5.raw'!H649</f>
        <v>12</v>
      </c>
      <c r="E649" s="1">
        <v>3.5</v>
      </c>
      <c r="F649" s="23" t="b">
        <f>if(countif(Status!C:C,A649)=1,TRUE, FALSE)</f>
        <v>1</v>
      </c>
      <c r="H649" s="23" t="str">
        <f>IFERROR(__xludf.DUMMYFUNCTION("IFs(REGEXMATCH(I649, ""NOT""), 0, REGEXMATCH(I649, ""NO""), 0, REGEXMATCH(I649, ""TURBID""),1, COUNTBLANK(I649),"""", istext(I649),"""")"),"")</f>
        <v/>
      </c>
      <c r="I649" s="23" t="str">
        <f>'3.5.raw'!R649</f>
        <v/>
      </c>
    </row>
    <row r="650">
      <c r="A650" s="23" t="str">
        <f t="shared" si="16"/>
        <v>FB1245UP</v>
      </c>
      <c r="B650" s="23" t="str">
        <f>'3.5.raw'!I650</f>
        <v>FB1245UP</v>
      </c>
      <c r="C650" s="24">
        <f>datevalue(left('3.5.raw'!K650,10))</f>
        <v>43830</v>
      </c>
      <c r="D650" s="23">
        <f>'3.5.raw'!H650</f>
        <v>99</v>
      </c>
      <c r="E650" s="1">
        <v>3.5</v>
      </c>
      <c r="F650" s="23" t="b">
        <f>if(countif(Status!C:C,A650)=1,TRUE, FALSE)</f>
        <v>1</v>
      </c>
      <c r="H650" s="23">
        <f>IFERROR(__xludf.DUMMYFUNCTION("IFs(REGEXMATCH(I650, ""NOT""), 0, REGEXMATCH(I650, ""NO""), 0, REGEXMATCH(I650, ""TURBID""),1, COUNTBLANK(I650),"""", istext(I650),"""")"),0.0)</f>
        <v>0</v>
      </c>
      <c r="I650" s="23" t="str">
        <f>'3.5.raw'!R650</f>
        <v>Associated Sample MO1140 and NOT TURBID</v>
      </c>
    </row>
    <row r="651">
      <c r="A651" s="23" t="str">
        <f t="shared" si="16"/>
        <v>MO1141</v>
      </c>
      <c r="B651" s="23" t="str">
        <f>'3.5.raw'!I651</f>
        <v>MO1141</v>
      </c>
      <c r="C651" s="24">
        <f>datevalue(left('3.5.raw'!K651,10))</f>
        <v>43830</v>
      </c>
      <c r="D651" s="23">
        <f>'3.5.raw'!H651</f>
        <v>12</v>
      </c>
      <c r="E651" s="1">
        <v>3.5</v>
      </c>
      <c r="F651" s="23" t="b">
        <f>if(countif(Status!C:C,A651)=1,TRUE, FALSE)</f>
        <v>1</v>
      </c>
      <c r="H651" s="23" t="str">
        <f>IFERROR(__xludf.DUMMYFUNCTION("IFs(REGEXMATCH(I651, ""NOT""), 0, REGEXMATCH(I651, ""NO""), 0, REGEXMATCH(I651, ""TURBID""),1, COUNTBLANK(I651),"""", istext(I651),"""")"),"")</f>
        <v/>
      </c>
      <c r="I651" s="23" t="str">
        <f>'3.5.raw'!R651</f>
        <v/>
      </c>
    </row>
    <row r="652">
      <c r="A652" s="23" t="str">
        <f t="shared" si="16"/>
        <v>FB1246UP</v>
      </c>
      <c r="B652" s="23" t="str">
        <f>'3.5.raw'!I652</f>
        <v>FB1246UP</v>
      </c>
      <c r="C652" s="24">
        <f>datevalue(left('3.5.raw'!K652,10))</f>
        <v>43830</v>
      </c>
      <c r="D652" s="23">
        <f>'3.5.raw'!H652</f>
        <v>99</v>
      </c>
      <c r="E652" s="1">
        <v>3.5</v>
      </c>
      <c r="F652" s="23" t="b">
        <f>if(countif(Status!C:C,A652)=1,TRUE, FALSE)</f>
        <v>1</v>
      </c>
      <c r="H652" s="23">
        <f>IFERROR(__xludf.DUMMYFUNCTION("IFs(REGEXMATCH(I652, ""NOT""), 0, REGEXMATCH(I652, ""NO""), 0, REGEXMATCH(I652, ""TURBID""),1, COUNTBLANK(I652),"""", istext(I652),"""")"),0.0)</f>
        <v>0</v>
      </c>
      <c r="I652" s="23" t="str">
        <f>'3.5.raw'!R652</f>
        <v>Associated Sample MO1141 and NOT TURBID</v>
      </c>
    </row>
    <row r="653">
      <c r="A653" s="23" t="str">
        <f t="shared" si="16"/>
        <v>MO1142</v>
      </c>
      <c r="B653" s="23" t="str">
        <f>'3.5.raw'!I653</f>
        <v>MO1142</v>
      </c>
      <c r="C653" s="24">
        <f>datevalue(left('3.5.raw'!K653,10))</f>
        <v>43830</v>
      </c>
      <c r="D653" s="23">
        <f>'3.5.raw'!H653</f>
        <v>12</v>
      </c>
      <c r="E653" s="1">
        <v>3.5</v>
      </c>
      <c r="F653" s="23" t="b">
        <f>if(countif(Status!C:C,A653)=1,TRUE, FALSE)</f>
        <v>1</v>
      </c>
      <c r="H653" s="23" t="str">
        <f>IFERROR(__xludf.DUMMYFUNCTION("IFs(REGEXMATCH(I653, ""NOT""), 0, REGEXMATCH(I653, ""NO""), 0, REGEXMATCH(I653, ""TURBID""),1, COUNTBLANK(I653),"""", istext(I653),"""")"),"")</f>
        <v/>
      </c>
      <c r="I653" s="23" t="str">
        <f>'3.5.raw'!R653</f>
        <v/>
      </c>
    </row>
    <row r="654">
      <c r="A654" s="23" t="str">
        <f t="shared" si="16"/>
        <v>FB1247UP</v>
      </c>
      <c r="B654" s="23" t="str">
        <f>'3.5.raw'!I654</f>
        <v>FB1247UP</v>
      </c>
      <c r="C654" s="24">
        <f>datevalue(left('3.5.raw'!K654,10))</f>
        <v>43830</v>
      </c>
      <c r="D654" s="23">
        <f>'3.5.raw'!H654</f>
        <v>99</v>
      </c>
      <c r="E654" s="1">
        <v>3.5</v>
      </c>
      <c r="F654" s="23" t="b">
        <f>if(countif(Status!C:C,A654)=1,TRUE, FALSE)</f>
        <v>1</v>
      </c>
      <c r="H654" s="23">
        <f>IFERROR(__xludf.DUMMYFUNCTION("IFs(REGEXMATCH(I654, ""NOT""), 0, REGEXMATCH(I654, ""NO""), 0, REGEXMATCH(I654, ""TURBID""),1, COUNTBLANK(I654),"""", istext(I654),"""")"),0.0)</f>
        <v>0</v>
      </c>
      <c r="I654" s="23" t="str">
        <f>'3.5.raw'!R654</f>
        <v>Associated Sample MO1142 and NOT TURBID</v>
      </c>
    </row>
    <row r="655">
      <c r="A655" s="23" t="str">
        <f t="shared" si="16"/>
        <v>UPNC71</v>
      </c>
      <c r="B655" s="23" t="str">
        <f>'3.5.raw'!I655</f>
        <v>UPNC71</v>
      </c>
      <c r="C655" s="24">
        <f>datevalue(left('3.5.raw'!K655,10))</f>
        <v>43830</v>
      </c>
      <c r="D655" s="23">
        <f>'3.5.raw'!H655</f>
        <v>98</v>
      </c>
      <c r="E655" s="1">
        <v>3.5</v>
      </c>
      <c r="F655" s="23" t="b">
        <f>if(countif(Status!C:C,A655)=1,TRUE, FALSE)</f>
        <v>1</v>
      </c>
      <c r="H655" s="23">
        <f>IFERROR(__xludf.DUMMYFUNCTION("IFs(REGEXMATCH(I655, ""NOT""), 0, REGEXMATCH(I655, ""NO""), 0, REGEXMATCH(I655, ""TURBID""),1, COUNTBLANK(I655),"""", istext(I655),"""")"),0.0)</f>
        <v>0</v>
      </c>
      <c r="I655" s="23" t="str">
        <f>'3.5.raw'!R655</f>
        <v>NOT TURBID</v>
      </c>
    </row>
    <row r="656">
      <c r="A656" s="23" t="str">
        <f t="shared" si="16"/>
        <v>UPNC72</v>
      </c>
      <c r="B656" s="23" t="str">
        <f>'3.5.raw'!I656</f>
        <v>UPNC72</v>
      </c>
      <c r="C656" s="24">
        <f>datevalue(left('3.5.raw'!K656,10))</f>
        <v>43831</v>
      </c>
      <c r="D656" s="23">
        <f>'3.5.raw'!H656</f>
        <v>98</v>
      </c>
      <c r="E656" s="1">
        <v>3.5</v>
      </c>
      <c r="F656" s="23" t="b">
        <f>if(countif(Status!C:C,A656)=1,TRUE, FALSE)</f>
        <v>1</v>
      </c>
      <c r="H656" s="23">
        <f>IFERROR(__xludf.DUMMYFUNCTION("IFs(REGEXMATCH(I656, ""NOT""), 0, REGEXMATCH(I656, ""NO""), 0, REGEXMATCH(I656, ""TURBID""),1, COUNTBLANK(I656),"""", istext(I656),"""")"),0.0)</f>
        <v>0</v>
      </c>
      <c r="I656" s="23" t="str">
        <f>'3.5.raw'!R656</f>
        <v>NOT TURBID</v>
      </c>
    </row>
    <row r="657">
      <c r="A657" s="23" t="str">
        <f t="shared" si="16"/>
        <v>MO1143</v>
      </c>
      <c r="B657" s="23" t="str">
        <f>'3.5.raw'!I657</f>
        <v>MO1143</v>
      </c>
      <c r="C657" s="24">
        <f>datevalue(left('3.5.raw'!K657,10))</f>
        <v>43832</v>
      </c>
      <c r="D657" s="23">
        <f>'3.5.raw'!H657</f>
        <v>12</v>
      </c>
      <c r="E657" s="1">
        <v>3.5</v>
      </c>
      <c r="F657" s="23" t="b">
        <f>if(countif(Status!C:C,A657)=1,TRUE, FALSE)</f>
        <v>1</v>
      </c>
      <c r="H657" s="23" t="str">
        <f>IFERROR(__xludf.DUMMYFUNCTION("IFs(REGEXMATCH(I657, ""NOT""), 0, REGEXMATCH(I657, ""NO""), 0, REGEXMATCH(I657, ""TURBID""),1, COUNTBLANK(I657),"""", istext(I657),"""")"),"")</f>
        <v/>
      </c>
      <c r="I657" s="23" t="str">
        <f>'3.5.raw'!R657</f>
        <v/>
      </c>
    </row>
    <row r="658">
      <c r="A658" s="23" t="str">
        <f t="shared" si="16"/>
        <v>FB1249UP</v>
      </c>
      <c r="B658" s="23" t="str">
        <f>'3.5.raw'!I658</f>
        <v>FB1249UP</v>
      </c>
      <c r="C658" s="24">
        <f>datevalue(left('3.5.raw'!K658,10))</f>
        <v>43832</v>
      </c>
      <c r="D658" s="23">
        <f>'3.5.raw'!H658</f>
        <v>99</v>
      </c>
      <c r="E658" s="1">
        <v>3.5</v>
      </c>
      <c r="F658" s="23" t="b">
        <f>if(countif(Status!C:C,A658)=1,TRUE, FALSE)</f>
        <v>1</v>
      </c>
      <c r="H658" s="23">
        <f>IFERROR(__xludf.DUMMYFUNCTION("IFs(REGEXMATCH(I658, ""NOT""), 0, REGEXMATCH(I658, ""NO""), 0, REGEXMATCH(I658, ""TURBID""),1, COUNTBLANK(I658),"""", istext(I658),"""")"),1.0)</f>
        <v>1</v>
      </c>
      <c r="I658" s="23" t="str">
        <f>'3.5.raw'!R658</f>
        <v>Associated Sample MO1143 and TURBID</v>
      </c>
    </row>
    <row r="659">
      <c r="A659" s="23" t="str">
        <f t="shared" si="16"/>
        <v>MO1144</v>
      </c>
      <c r="B659" s="23" t="str">
        <f>'3.5.raw'!I659</f>
        <v>MO1144</v>
      </c>
      <c r="C659" s="24">
        <f>datevalue(left('3.5.raw'!K659,10))</f>
        <v>43832</v>
      </c>
      <c r="D659" s="23">
        <f>'3.5.raw'!H659</f>
        <v>12</v>
      </c>
      <c r="E659" s="1">
        <v>3.5</v>
      </c>
      <c r="F659" s="23" t="b">
        <f>if(countif(Status!C:C,A659)=1,TRUE, FALSE)</f>
        <v>1</v>
      </c>
      <c r="H659" s="23" t="str">
        <f>IFERROR(__xludf.DUMMYFUNCTION("IFs(REGEXMATCH(I659, ""NOT""), 0, REGEXMATCH(I659, ""NO""), 0, REGEXMATCH(I659, ""TURBID""),1, COUNTBLANK(I659),"""", istext(I659),"""")"),"")</f>
        <v/>
      </c>
      <c r="I659" s="23" t="str">
        <f>'3.5.raw'!R659</f>
        <v/>
      </c>
    </row>
    <row r="660">
      <c r="A660" s="23" t="str">
        <f t="shared" si="16"/>
        <v>FB1250UP</v>
      </c>
      <c r="B660" s="23" t="str">
        <f>'3.5.raw'!I660</f>
        <v>FB1250UP</v>
      </c>
      <c r="C660" s="24">
        <f>datevalue(left('3.5.raw'!K660,10))</f>
        <v>43832</v>
      </c>
      <c r="D660" s="23">
        <f>'3.5.raw'!H660</f>
        <v>99</v>
      </c>
      <c r="E660" s="1">
        <v>3.5</v>
      </c>
      <c r="F660" s="23" t="b">
        <f>if(countif(Status!C:C,A660)=1,TRUE, FALSE)</f>
        <v>1</v>
      </c>
      <c r="H660" s="23">
        <f>IFERROR(__xludf.DUMMYFUNCTION("IFs(REGEXMATCH(I660, ""NOT""), 0, REGEXMATCH(I660, ""NO""), 0, REGEXMATCH(I660, ""TURBID""),1, COUNTBLANK(I660),"""", istext(I660),"""")"),0.0)</f>
        <v>0</v>
      </c>
      <c r="I660" s="23" t="str">
        <f>'3.5.raw'!R660</f>
        <v>Associated Sample MO1144 and NOT TURBID</v>
      </c>
    </row>
    <row r="661">
      <c r="A661" s="23" t="str">
        <f t="shared" si="16"/>
        <v>MO1145</v>
      </c>
      <c r="B661" s="23" t="str">
        <f>'3.5.raw'!I661</f>
        <v>MO1145</v>
      </c>
      <c r="C661" s="24">
        <f>datevalue(left('3.5.raw'!K661,10))</f>
        <v>43832</v>
      </c>
      <c r="D661" s="23">
        <f>'3.5.raw'!H661</f>
        <v>12</v>
      </c>
      <c r="E661" s="1">
        <v>3.5</v>
      </c>
      <c r="F661" s="23" t="b">
        <f>if(countif(Status!C:C,A661)=1,TRUE, FALSE)</f>
        <v>1</v>
      </c>
      <c r="H661" s="23" t="str">
        <f>IFERROR(__xludf.DUMMYFUNCTION("IFs(REGEXMATCH(I661, ""NOT""), 0, REGEXMATCH(I661, ""NO""), 0, REGEXMATCH(I661, ""TURBID""),1, COUNTBLANK(I661),"""", istext(I661),"""")"),"")</f>
        <v/>
      </c>
      <c r="I661" s="23" t="str">
        <f>'3.5.raw'!R661</f>
        <v/>
      </c>
    </row>
    <row r="662">
      <c r="A662" s="23" t="str">
        <f t="shared" si="16"/>
        <v>FB1251UP</v>
      </c>
      <c r="B662" s="23" t="str">
        <f>'3.5.raw'!I662</f>
        <v>FB1251UP</v>
      </c>
      <c r="C662" s="24">
        <f>datevalue(left('3.5.raw'!K662,10))</f>
        <v>43832</v>
      </c>
      <c r="D662" s="23">
        <f>'3.5.raw'!H662</f>
        <v>99</v>
      </c>
      <c r="E662" s="1">
        <v>3.5</v>
      </c>
      <c r="F662" s="23" t="b">
        <f>if(countif(Status!C:C,A662)=1,TRUE, FALSE)</f>
        <v>1</v>
      </c>
      <c r="H662" s="23">
        <f>IFERROR(__xludf.DUMMYFUNCTION("IFs(REGEXMATCH(I662, ""NOT""), 0, REGEXMATCH(I662, ""NO""), 0, REGEXMATCH(I662, ""TURBID""),1, COUNTBLANK(I662),"""", istext(I662),"""")"),0.0)</f>
        <v>0</v>
      </c>
      <c r="I662" s="23" t="str">
        <f>'3.5.raw'!R662</f>
        <v>Associated Sample MO1145 and NOT TURBID</v>
      </c>
    </row>
    <row r="663">
      <c r="A663" s="23" t="str">
        <f t="shared" si="16"/>
        <v>PLc1164</v>
      </c>
      <c r="B663" s="23" t="str">
        <f>'3.5.raw'!I663</f>
        <v>PLc1164</v>
      </c>
      <c r="C663" s="24">
        <f>datevalue(left('3.5.raw'!K663,10))</f>
        <v>43832</v>
      </c>
      <c r="D663" s="23">
        <f>'3.5.raw'!H663</f>
        <v>11</v>
      </c>
      <c r="E663" s="1">
        <v>3.5</v>
      </c>
      <c r="F663" s="23" t="b">
        <f>if(countif(Status!C:C,A663)=1,TRUE, FALSE)</f>
        <v>1</v>
      </c>
      <c r="H663" s="23" t="str">
        <f>IFERROR(__xludf.DUMMYFUNCTION("IFs(REGEXMATCH(I663, ""NOT""), 0, REGEXMATCH(I663, ""NO""), 0, REGEXMATCH(I663, ""TURBID""),1, COUNTBLANK(I663),"""", istext(I663),"""")"),"")</f>
        <v/>
      </c>
      <c r="I663" s="23" t="str">
        <f>'3.5.raw'!R663</f>
        <v/>
      </c>
    </row>
    <row r="664">
      <c r="A664" s="23" t="str">
        <f t="shared" si="16"/>
        <v>FB1252UP</v>
      </c>
      <c r="B664" s="23" t="str">
        <f>'3.5.raw'!I664</f>
        <v>FB1252UP</v>
      </c>
      <c r="C664" s="24">
        <f>datevalue(left('3.5.raw'!K664,10))</f>
        <v>43832</v>
      </c>
      <c r="D664" s="23">
        <f>'3.5.raw'!H664</f>
        <v>99</v>
      </c>
      <c r="E664" s="1">
        <v>3.5</v>
      </c>
      <c r="F664" s="23" t="b">
        <f>if(countif(Status!C:C,A664)=1,TRUE, FALSE)</f>
        <v>1</v>
      </c>
      <c r="H664" s="23">
        <f>IFERROR(__xludf.DUMMYFUNCTION("IFs(REGEXMATCH(I664, ""NOT""), 0, REGEXMATCH(I664, ""NO""), 0, REGEXMATCH(I664, ""TURBID""),1, COUNTBLANK(I664),"""", istext(I664),"""")"),0.0)</f>
        <v>0</v>
      </c>
      <c r="I664" s="23" t="str">
        <f>'3.5.raw'!R664</f>
        <v>Associated Sample PLc1164 and NOT TURBID</v>
      </c>
    </row>
    <row r="665">
      <c r="A665" s="23" t="str">
        <f t="shared" si="16"/>
        <v>PLc1165</v>
      </c>
      <c r="B665" s="23" t="str">
        <f>'3.5.raw'!I665</f>
        <v>PLc1165</v>
      </c>
      <c r="C665" s="24">
        <f>datevalue(left('3.5.raw'!K665,10))</f>
        <v>43832</v>
      </c>
      <c r="D665" s="23">
        <f>'3.5.raw'!H665</f>
        <v>11</v>
      </c>
      <c r="E665" s="1">
        <v>3.5</v>
      </c>
      <c r="F665" s="23" t="b">
        <f>if(countif(Status!C:C,A665)=1,TRUE, FALSE)</f>
        <v>1</v>
      </c>
      <c r="H665" s="23" t="str">
        <f>IFERROR(__xludf.DUMMYFUNCTION("IFs(REGEXMATCH(I665, ""NOT""), 0, REGEXMATCH(I665, ""NO""), 0, REGEXMATCH(I665, ""TURBID""),1, COUNTBLANK(I665),"""", istext(I665),"""")"),"")</f>
        <v/>
      </c>
      <c r="I665" s="23" t="str">
        <f>'3.5.raw'!R665</f>
        <v/>
      </c>
    </row>
    <row r="666">
      <c r="A666" s="23" t="str">
        <f t="shared" si="16"/>
        <v>FB1253UP</v>
      </c>
      <c r="B666" s="23" t="str">
        <f>'3.5.raw'!I666</f>
        <v>FB1253UP</v>
      </c>
      <c r="C666" s="24">
        <f>datevalue(left('3.5.raw'!K666,10))</f>
        <v>43832</v>
      </c>
      <c r="D666" s="23">
        <f>'3.5.raw'!H666</f>
        <v>99</v>
      </c>
      <c r="E666" s="1">
        <v>3.5</v>
      </c>
      <c r="F666" s="23" t="b">
        <f>if(countif(Status!C:C,A666)=1,TRUE, FALSE)</f>
        <v>1</v>
      </c>
      <c r="H666" s="23">
        <f>IFERROR(__xludf.DUMMYFUNCTION("IFs(REGEXMATCH(I666, ""NOT""), 0, REGEXMATCH(I666, ""NO""), 0, REGEXMATCH(I666, ""TURBID""),1, COUNTBLANK(I666),"""", istext(I666),"""")"),0.0)</f>
        <v>0</v>
      </c>
      <c r="I666" s="23" t="str">
        <f>'3.5.raw'!R666</f>
        <v>Associated Sample PLc1165 and NOT TURBID</v>
      </c>
    </row>
    <row r="667">
      <c r="A667" s="23" t="str">
        <f t="shared" si="16"/>
        <v>PLc1166</v>
      </c>
      <c r="B667" s="23" t="str">
        <f>'3.5.raw'!I667</f>
        <v>PLc1166</v>
      </c>
      <c r="C667" s="24">
        <f>datevalue(left('3.5.raw'!K667,10))</f>
        <v>43832</v>
      </c>
      <c r="D667" s="23">
        <f>'3.5.raw'!H667</f>
        <v>11</v>
      </c>
      <c r="E667" s="1">
        <v>3.5</v>
      </c>
      <c r="F667" s="23" t="b">
        <f>if(countif(Status!C:C,A667)=1,TRUE, FALSE)</f>
        <v>1</v>
      </c>
      <c r="H667" s="23" t="str">
        <f>IFERROR(__xludf.DUMMYFUNCTION("IFs(REGEXMATCH(I667, ""NOT""), 0, REGEXMATCH(I667, ""NO""), 0, REGEXMATCH(I667, ""TURBID""),1, COUNTBLANK(I667),"""", istext(I667),"""")"),"")</f>
        <v/>
      </c>
      <c r="I667" s="23" t="str">
        <f>'3.5.raw'!R667</f>
        <v/>
      </c>
    </row>
    <row r="668">
      <c r="A668" s="23" t="str">
        <f t="shared" si="16"/>
        <v>FB1254UP</v>
      </c>
      <c r="B668" s="23" t="str">
        <f>'3.5.raw'!I668</f>
        <v>FB1254UP</v>
      </c>
      <c r="C668" s="24">
        <f>datevalue(left('3.5.raw'!K668,10))</f>
        <v>43832</v>
      </c>
      <c r="D668" s="23">
        <f>'3.5.raw'!H668</f>
        <v>99</v>
      </c>
      <c r="E668" s="1">
        <v>3.5</v>
      </c>
      <c r="F668" s="23" t="b">
        <f>if(countif(Status!C:C,A668)=1,TRUE, FALSE)</f>
        <v>1</v>
      </c>
      <c r="H668" s="23">
        <f>IFERROR(__xludf.DUMMYFUNCTION("IFs(REGEXMATCH(I668, ""NOT""), 0, REGEXMATCH(I668, ""NO""), 0, REGEXMATCH(I668, ""TURBID""),1, COUNTBLANK(I668),"""", istext(I668),"""")"),0.0)</f>
        <v>0</v>
      </c>
      <c r="I668" s="23" t="str">
        <f>'3.5.raw'!R668</f>
        <v>Associated Sample PLc1166 and NOT TURBID</v>
      </c>
    </row>
    <row r="669">
      <c r="A669" s="23" t="str">
        <f t="shared" si="16"/>
        <v>PLc1167</v>
      </c>
      <c r="B669" s="23" t="str">
        <f>'3.5.raw'!I669</f>
        <v>PLc1167</v>
      </c>
      <c r="C669" s="24">
        <f>datevalue(left('3.5.raw'!K669,10))</f>
        <v>43832</v>
      </c>
      <c r="D669" s="23">
        <f>'3.5.raw'!H669</f>
        <v>11</v>
      </c>
      <c r="E669" s="1">
        <v>3.5</v>
      </c>
      <c r="F669" s="23" t="b">
        <f>if(countif(Status!C:C,A669)=1,TRUE, FALSE)</f>
        <v>1</v>
      </c>
      <c r="H669" s="23" t="str">
        <f>IFERROR(__xludf.DUMMYFUNCTION("IFs(REGEXMATCH(I669, ""NOT""), 0, REGEXMATCH(I669, ""NO""), 0, REGEXMATCH(I669, ""TURBID""),1, COUNTBLANK(I669),"""", istext(I669),"""")"),"")</f>
        <v/>
      </c>
      <c r="I669" s="23" t="str">
        <f>'3.5.raw'!R669</f>
        <v/>
      </c>
    </row>
    <row r="670">
      <c r="A670" s="23" t="str">
        <f t="shared" si="16"/>
        <v>FB1255UP</v>
      </c>
      <c r="B670" s="23" t="str">
        <f>'3.5.raw'!I670</f>
        <v>FB1255UP</v>
      </c>
      <c r="C670" s="24">
        <f>datevalue(left('3.5.raw'!K670,10))</f>
        <v>43832</v>
      </c>
      <c r="D670" s="23">
        <f>'3.5.raw'!H670</f>
        <v>99</v>
      </c>
      <c r="E670" s="1">
        <v>3.5</v>
      </c>
      <c r="F670" s="23" t="b">
        <f>if(countif(Status!C:C,A670)=1,TRUE, FALSE)</f>
        <v>1</v>
      </c>
      <c r="H670" s="23">
        <f>IFERROR(__xludf.DUMMYFUNCTION("IFs(REGEXMATCH(I670, ""NOT""), 0, REGEXMATCH(I670, ""NO""), 0, REGEXMATCH(I670, ""TURBID""),1, COUNTBLANK(I670),"""", istext(I670),"""")"),0.0)</f>
        <v>0</v>
      </c>
      <c r="I670" s="23" t="str">
        <f>'3.5.raw'!R670</f>
        <v>Associated Sample PLc1167 and NOT TURBID</v>
      </c>
    </row>
    <row r="671">
      <c r="A671" s="23" t="str">
        <f t="shared" si="16"/>
        <v>PLc1168</v>
      </c>
      <c r="B671" s="23" t="str">
        <f>'3.5.raw'!I671</f>
        <v>PLc1168</v>
      </c>
      <c r="C671" s="24">
        <f>datevalue(left('3.5.raw'!K671,10))</f>
        <v>43832</v>
      </c>
      <c r="D671" s="23">
        <f>'3.5.raw'!H671</f>
        <v>11</v>
      </c>
      <c r="E671" s="1">
        <v>3.5</v>
      </c>
      <c r="F671" s="23" t="b">
        <f>if(countif(Status!C:C,A671)=1,TRUE, FALSE)</f>
        <v>1</v>
      </c>
      <c r="H671" s="23" t="str">
        <f>IFERROR(__xludf.DUMMYFUNCTION("IFs(REGEXMATCH(I671, ""NOT""), 0, REGEXMATCH(I671, ""NO""), 0, REGEXMATCH(I671, ""TURBID""),1, COUNTBLANK(I671),"""", istext(I671),"""")"),"")</f>
        <v/>
      </c>
      <c r="I671" s="23" t="str">
        <f>'3.5.raw'!R671</f>
        <v/>
      </c>
    </row>
    <row r="672">
      <c r="A672" s="23" t="str">
        <f t="shared" si="16"/>
        <v>FB1256UP</v>
      </c>
      <c r="B672" s="23" t="str">
        <f>'3.5.raw'!I672</f>
        <v>FB1256UP</v>
      </c>
      <c r="C672" s="24">
        <f>datevalue(left('3.5.raw'!K672,10))</f>
        <v>43832</v>
      </c>
      <c r="D672" s="23">
        <f>'3.5.raw'!H672</f>
        <v>99</v>
      </c>
      <c r="E672" s="1">
        <v>3.5</v>
      </c>
      <c r="F672" s="23" t="b">
        <f>if(countif(Status!C:C,A672)=1,TRUE, FALSE)</f>
        <v>1</v>
      </c>
      <c r="H672" s="23">
        <f>IFERROR(__xludf.DUMMYFUNCTION("IFs(REGEXMATCH(I672, ""NOT""), 0, REGEXMATCH(I672, ""NO""), 0, REGEXMATCH(I672, ""TURBID""),1, COUNTBLANK(I672),"""", istext(I672),"""")"),0.0)</f>
        <v>0</v>
      </c>
      <c r="I672" s="23" t="str">
        <f>'3.5.raw'!R672</f>
        <v>Associated Sample PLc1168 and NOT TURBID</v>
      </c>
    </row>
    <row r="673">
      <c r="A673" s="23" t="str">
        <f t="shared" si="16"/>
        <v>UPNC73</v>
      </c>
      <c r="B673" s="23" t="str">
        <f>'3.5.raw'!I673</f>
        <v>UPNC73</v>
      </c>
      <c r="C673" s="24">
        <f>datevalue(left('3.5.raw'!K673,10))</f>
        <v>43832</v>
      </c>
      <c r="D673" s="23">
        <f>'3.5.raw'!H673</f>
        <v>98</v>
      </c>
      <c r="E673" s="1">
        <v>3.5</v>
      </c>
      <c r="F673" s="23" t="b">
        <f>if(countif(Status!C:C,A673)=1,TRUE, FALSE)</f>
        <v>1</v>
      </c>
      <c r="H673" s="23">
        <f>IFERROR(__xludf.DUMMYFUNCTION("IFs(REGEXMATCH(I673, ""NOT""), 0, REGEXMATCH(I673, ""NO""), 0, REGEXMATCH(I673, ""TURBID""),1, COUNTBLANK(I673),"""", istext(I673),"""")"),0.0)</f>
        <v>0</v>
      </c>
      <c r="I673" s="23" t="str">
        <f>'3.5.raw'!R673</f>
        <v>NOT TURBID</v>
      </c>
    </row>
    <row r="674">
      <c r="A674" s="23" t="str">
        <f t="shared" si="16"/>
        <v>PLc1169</v>
      </c>
      <c r="B674" s="23" t="str">
        <f>'3.5.raw'!I674</f>
        <v>PLc1169</v>
      </c>
      <c r="C674" s="24">
        <f>datevalue(left('3.5.raw'!K674,10))</f>
        <v>43836</v>
      </c>
      <c r="D674" s="23">
        <f>'3.5.raw'!H674</f>
        <v>11</v>
      </c>
      <c r="E674" s="1">
        <v>3.5</v>
      </c>
      <c r="F674" s="23" t="b">
        <f>if(countif(Status!C:C,A674)=1,TRUE, FALSE)</f>
        <v>1</v>
      </c>
      <c r="H674" s="23" t="str">
        <f>IFERROR(__xludf.DUMMYFUNCTION("IFs(REGEXMATCH(I674, ""NOT""), 0, REGEXMATCH(I674, ""NO""), 0, REGEXMATCH(I674, ""TURBID""),1, COUNTBLANK(I674),"""", istext(I674),"""")"),"")</f>
        <v/>
      </c>
      <c r="I674" s="23" t="str">
        <f>'3.5.raw'!R674</f>
        <v/>
      </c>
    </row>
    <row r="675">
      <c r="A675" s="23" t="str">
        <f t="shared" si="16"/>
        <v>FB1257UP</v>
      </c>
      <c r="B675" s="23" t="str">
        <f>'3.5.raw'!I675</f>
        <v>FB1257UP</v>
      </c>
      <c r="C675" s="24">
        <f>datevalue(left('3.5.raw'!K675,10))</f>
        <v>43836</v>
      </c>
      <c r="D675" s="23">
        <f>'3.5.raw'!H675</f>
        <v>99</v>
      </c>
      <c r="E675" s="1">
        <v>3.5</v>
      </c>
      <c r="F675" s="23" t="b">
        <f>if(countif(Status!C:C,A675)=1,TRUE, FALSE)</f>
        <v>1</v>
      </c>
      <c r="H675" s="23">
        <f>IFERROR(__xludf.DUMMYFUNCTION("IFs(REGEXMATCH(I675, ""NOT""), 0, REGEXMATCH(I675, ""NO""), 0, REGEXMATCH(I675, ""TURBID""),1, COUNTBLANK(I675),"""", istext(I675),"""")"),0.0)</f>
        <v>0</v>
      </c>
      <c r="I675" s="23" t="str">
        <f>'3.5.raw'!R675</f>
        <v>Associated sample PLc1169 and NOT TURBID</v>
      </c>
    </row>
    <row r="676">
      <c r="A676" s="23" t="str">
        <f t="shared" si="16"/>
        <v>PLc1170</v>
      </c>
      <c r="B676" s="23" t="str">
        <f>'3.5.raw'!I676</f>
        <v>PLc1170</v>
      </c>
      <c r="C676" s="24">
        <f>datevalue(left('3.5.raw'!K676,10))</f>
        <v>43836</v>
      </c>
      <c r="D676" s="23">
        <f>'3.5.raw'!H676</f>
        <v>11</v>
      </c>
      <c r="E676" s="1">
        <v>3.5</v>
      </c>
      <c r="F676" s="23" t="b">
        <f>if(countif(Status!C:C,A676)=1,TRUE, FALSE)</f>
        <v>1</v>
      </c>
      <c r="H676" s="23" t="str">
        <f>IFERROR(__xludf.DUMMYFUNCTION("IFs(REGEXMATCH(I676, ""NOT""), 0, REGEXMATCH(I676, ""NO""), 0, REGEXMATCH(I676, ""TURBID""),1, COUNTBLANK(I676),"""", istext(I676),"""")"),"")</f>
        <v/>
      </c>
      <c r="I676" s="23" t="str">
        <f>'3.5.raw'!R676</f>
        <v/>
      </c>
    </row>
    <row r="677">
      <c r="A677" s="23" t="str">
        <f t="shared" si="16"/>
        <v>FB1258UP</v>
      </c>
      <c r="B677" s="23" t="str">
        <f>'3.5.raw'!I677</f>
        <v>FB1258UP</v>
      </c>
      <c r="C677" s="24">
        <f>datevalue(left('3.5.raw'!K677,10))</f>
        <v>43836</v>
      </c>
      <c r="D677" s="23">
        <f>'3.5.raw'!H677</f>
        <v>99</v>
      </c>
      <c r="E677" s="1">
        <v>3.5</v>
      </c>
      <c r="F677" s="23" t="b">
        <f>if(countif(Status!C:C,A677)=1,TRUE, FALSE)</f>
        <v>1</v>
      </c>
      <c r="H677" s="23">
        <f>IFERROR(__xludf.DUMMYFUNCTION("IFs(REGEXMATCH(I677, ""NOT""), 0, REGEXMATCH(I677, ""NO""), 0, REGEXMATCH(I677, ""TURBID""),1, COUNTBLANK(I677),"""", istext(I677),"""")"),0.0)</f>
        <v>0</v>
      </c>
      <c r="I677" s="23" t="str">
        <f>'3.5.raw'!R677</f>
        <v>Associated sample PLc1170 and NOT TURBID</v>
      </c>
    </row>
    <row r="678">
      <c r="A678" s="23" t="str">
        <f t="shared" si="16"/>
        <v>PLc1171</v>
      </c>
      <c r="B678" s="23" t="str">
        <f>'3.5.raw'!I678</f>
        <v>PLc1171</v>
      </c>
      <c r="C678" s="24">
        <f>datevalue(left('3.5.raw'!K678,10))</f>
        <v>43836</v>
      </c>
      <c r="D678" s="23">
        <f>'3.5.raw'!H678</f>
        <v>11</v>
      </c>
      <c r="E678" s="1">
        <v>3.5</v>
      </c>
      <c r="F678" s="23" t="b">
        <f>if(countif(Status!C:C,A678)=1,TRUE, FALSE)</f>
        <v>1</v>
      </c>
      <c r="H678" s="23" t="str">
        <f>IFERROR(__xludf.DUMMYFUNCTION("IFs(REGEXMATCH(I678, ""NOT""), 0, REGEXMATCH(I678, ""NO""), 0, REGEXMATCH(I678, ""TURBID""),1, COUNTBLANK(I678),"""", istext(I678),"""")"),"")</f>
        <v/>
      </c>
      <c r="I678" s="23" t="str">
        <f>'3.5.raw'!R678</f>
        <v/>
      </c>
    </row>
    <row r="679">
      <c r="A679" s="23" t="str">
        <f t="shared" si="16"/>
        <v>FB1259UP</v>
      </c>
      <c r="B679" s="23" t="str">
        <f>'3.5.raw'!I679</f>
        <v>FB1259UP</v>
      </c>
      <c r="C679" s="24">
        <f>datevalue(left('3.5.raw'!K679,10))</f>
        <v>43836</v>
      </c>
      <c r="D679" s="23">
        <f>'3.5.raw'!H679</f>
        <v>99</v>
      </c>
      <c r="E679" s="1">
        <v>3.5</v>
      </c>
      <c r="F679" s="23" t="b">
        <f>if(countif(Status!C:C,A679)=1,TRUE, FALSE)</f>
        <v>1</v>
      </c>
      <c r="H679" s="23">
        <f>IFERROR(__xludf.DUMMYFUNCTION("IFs(REGEXMATCH(I679, ""NOT""), 0, REGEXMATCH(I679, ""NO""), 0, REGEXMATCH(I679, ""TURBID""),1, COUNTBLANK(I679),"""", istext(I679),"""")"),0.0)</f>
        <v>0</v>
      </c>
      <c r="I679" s="23" t="str">
        <f>'3.5.raw'!R679</f>
        <v>Associated sample PLc1171 and NOT TURBID</v>
      </c>
    </row>
    <row r="680">
      <c r="A680" s="23" t="str">
        <f t="shared" si="16"/>
        <v>PLc1172</v>
      </c>
      <c r="B680" s="23" t="str">
        <f>'3.5.raw'!I680</f>
        <v>PLc1172</v>
      </c>
      <c r="C680" s="24">
        <f>datevalue(left('3.5.raw'!K680,10))</f>
        <v>43836</v>
      </c>
      <c r="D680" s="23">
        <f>'3.5.raw'!H680</f>
        <v>11</v>
      </c>
      <c r="E680" s="1">
        <v>3.5</v>
      </c>
      <c r="F680" s="23" t="b">
        <f>if(countif(Status!C:C,A680)=1,TRUE, FALSE)</f>
        <v>1</v>
      </c>
      <c r="H680" s="23" t="str">
        <f>IFERROR(__xludf.DUMMYFUNCTION("IFs(REGEXMATCH(I680, ""NOT""), 0, REGEXMATCH(I680, ""NO""), 0, REGEXMATCH(I680, ""TURBID""),1, COUNTBLANK(I680),"""", istext(I680),"""")"),"")</f>
        <v/>
      </c>
      <c r="I680" s="23" t="str">
        <f>'3.5.raw'!R680</f>
        <v/>
      </c>
    </row>
    <row r="681">
      <c r="A681" s="23" t="str">
        <f t="shared" si="16"/>
        <v>FB1260UP</v>
      </c>
      <c r="B681" s="23" t="str">
        <f>'3.5.raw'!I681</f>
        <v>FB1260UP</v>
      </c>
      <c r="C681" s="24">
        <f>datevalue(left('3.5.raw'!K681,10))</f>
        <v>43836</v>
      </c>
      <c r="D681" s="23">
        <f>'3.5.raw'!H681</f>
        <v>99</v>
      </c>
      <c r="E681" s="1">
        <v>3.5</v>
      </c>
      <c r="F681" s="23" t="b">
        <f>if(countif(Status!C:C,A681)=1,TRUE, FALSE)</f>
        <v>1</v>
      </c>
      <c r="H681" s="23">
        <f>IFERROR(__xludf.DUMMYFUNCTION("IFs(REGEXMATCH(I681, ""NOT""), 0, REGEXMATCH(I681, ""NO""), 0, REGEXMATCH(I681, ""TURBID""),1, COUNTBLANK(I681),"""", istext(I681),"""")"),0.0)</f>
        <v>0</v>
      </c>
      <c r="I681" s="23" t="str">
        <f>'3.5.raw'!R681</f>
        <v>Associated sample PLc1172 and NOT TURBID</v>
      </c>
    </row>
    <row r="682">
      <c r="A682" s="23" t="str">
        <f t="shared" si="16"/>
        <v>UPNC74</v>
      </c>
      <c r="B682" s="23" t="str">
        <f>'3.5.raw'!I682</f>
        <v>UPNC74</v>
      </c>
      <c r="C682" s="24">
        <f>datevalue(left('3.5.raw'!K682,10))</f>
        <v>43836</v>
      </c>
      <c r="D682" s="23">
        <f>'3.5.raw'!H682</f>
        <v>98</v>
      </c>
      <c r="E682" s="1">
        <v>3.5</v>
      </c>
      <c r="F682" s="23" t="b">
        <f>if(countif(Status!C:C,A682)=1,TRUE, FALSE)</f>
        <v>1</v>
      </c>
      <c r="H682" s="23">
        <f>IFERROR(__xludf.DUMMYFUNCTION("IFs(REGEXMATCH(I682, ""NOT""), 0, REGEXMATCH(I682, ""NO""), 0, REGEXMATCH(I682, ""TURBID""),1, COUNTBLANK(I682),"""", istext(I682),"""")"),0.0)</f>
        <v>0</v>
      </c>
      <c r="I682" s="23" t="str">
        <f>'3.5.raw'!R682</f>
        <v>NOT TURBID</v>
      </c>
    </row>
    <row r="683">
      <c r="A683" s="23" t="str">
        <f t="shared" si="16"/>
        <v>MO1146</v>
      </c>
      <c r="B683" s="23" t="str">
        <f>'3.5.raw'!I683</f>
        <v>MO1146</v>
      </c>
      <c r="C683" s="24">
        <f>datevalue(left('3.5.raw'!K683,10))</f>
        <v>43837</v>
      </c>
      <c r="D683" s="23">
        <f>'3.5.raw'!H683</f>
        <v>12</v>
      </c>
      <c r="E683" s="1">
        <v>3.5</v>
      </c>
      <c r="F683" s="23" t="b">
        <f>if(countif(Status!C:C,A683)=1,TRUE, FALSE)</f>
        <v>1</v>
      </c>
      <c r="H683" s="23" t="str">
        <f>IFERROR(__xludf.DUMMYFUNCTION("IFs(REGEXMATCH(I683, ""NOT""), 0, REGEXMATCH(I683, ""NO""), 0, REGEXMATCH(I683, ""TURBID""),1, COUNTBLANK(I683),"""", istext(I683),"""")"),"")</f>
        <v/>
      </c>
      <c r="I683" s="23" t="str">
        <f>'3.5.raw'!R683</f>
        <v/>
      </c>
    </row>
    <row r="684">
      <c r="A684" s="23" t="str">
        <f t="shared" si="16"/>
        <v>FB1261UP</v>
      </c>
      <c r="B684" s="23" t="str">
        <f>'3.5.raw'!I684</f>
        <v>FB1261UP</v>
      </c>
      <c r="C684" s="24">
        <f>datevalue(left('3.5.raw'!K684,10))</f>
        <v>43837</v>
      </c>
      <c r="D684" s="23">
        <f>'3.5.raw'!H684</f>
        <v>99</v>
      </c>
      <c r="E684" s="1">
        <v>3.5</v>
      </c>
      <c r="F684" s="23" t="b">
        <f>if(countif(Status!C:C,A684)=1,TRUE, FALSE)</f>
        <v>1</v>
      </c>
      <c r="H684" s="23">
        <f>IFERROR(__xludf.DUMMYFUNCTION("IFs(REGEXMATCH(I684, ""NOT""), 0, REGEXMATCH(I684, ""NO""), 0, REGEXMATCH(I684, ""TURBID""),1, COUNTBLANK(I684),"""", istext(I684),"""")"),0.0)</f>
        <v>0</v>
      </c>
      <c r="I684" s="23" t="str">
        <f>'3.5.raw'!R684</f>
        <v>Associated sample MO1146 and NOT TURBID</v>
      </c>
    </row>
    <row r="685">
      <c r="A685" s="23" t="str">
        <f t="shared" si="16"/>
        <v>MO1147</v>
      </c>
      <c r="B685" s="23" t="str">
        <f>'3.5.raw'!I685</f>
        <v>MO1147</v>
      </c>
      <c r="C685" s="24">
        <f>datevalue(left('3.5.raw'!K685,10))</f>
        <v>43837</v>
      </c>
      <c r="D685" s="23">
        <f>'3.5.raw'!H685</f>
        <v>12</v>
      </c>
      <c r="E685" s="1">
        <v>3.5</v>
      </c>
      <c r="F685" s="23" t="b">
        <f>if(countif(Status!C:C,A685)=1,TRUE, FALSE)</f>
        <v>1</v>
      </c>
      <c r="H685" s="23" t="str">
        <f>IFERROR(__xludf.DUMMYFUNCTION("IFs(REGEXMATCH(I685, ""NOT""), 0, REGEXMATCH(I685, ""NO""), 0, REGEXMATCH(I685, ""TURBID""),1, COUNTBLANK(I685),"""", istext(I685),"""")"),"")</f>
        <v/>
      </c>
      <c r="I685" s="23" t="str">
        <f>'3.5.raw'!R685</f>
        <v/>
      </c>
    </row>
    <row r="686">
      <c r="A686" s="23" t="str">
        <f t="shared" si="16"/>
        <v>FB1262UP</v>
      </c>
      <c r="B686" s="23" t="str">
        <f>'3.5.raw'!I686</f>
        <v>FB1262UP</v>
      </c>
      <c r="C686" s="24">
        <f>datevalue(left('3.5.raw'!K686,10))</f>
        <v>43837</v>
      </c>
      <c r="D686" s="23">
        <f>'3.5.raw'!H686</f>
        <v>99</v>
      </c>
      <c r="E686" s="1">
        <v>3.5</v>
      </c>
      <c r="F686" s="23" t="b">
        <f>if(countif(Status!C:C,A686)=1,TRUE, FALSE)</f>
        <v>1</v>
      </c>
      <c r="H686" s="23">
        <f>IFERROR(__xludf.DUMMYFUNCTION("IFs(REGEXMATCH(I686, ""NOT""), 0, REGEXMATCH(I686, ""NO""), 0, REGEXMATCH(I686, ""TURBID""),1, COUNTBLANK(I686),"""", istext(I686),"""")"),0.0)</f>
        <v>0</v>
      </c>
      <c r="I686" s="23" t="str">
        <f>'3.5.raw'!R686</f>
        <v>Associated sample MO1147 and NOT TURBID</v>
      </c>
    </row>
    <row r="687">
      <c r="A687" s="23" t="str">
        <f t="shared" si="16"/>
        <v>MO1148</v>
      </c>
      <c r="B687" s="23" t="str">
        <f>'3.5.raw'!I687</f>
        <v>MO1148</v>
      </c>
      <c r="C687" s="24">
        <f>datevalue(left('3.5.raw'!K687,10))</f>
        <v>43837</v>
      </c>
      <c r="D687" s="23">
        <f>'3.5.raw'!H687</f>
        <v>12</v>
      </c>
      <c r="E687" s="1">
        <v>3.5</v>
      </c>
      <c r="F687" s="23" t="b">
        <f>if(countif(Status!C:C,A687)=1,TRUE, FALSE)</f>
        <v>1</v>
      </c>
      <c r="H687" s="23" t="str">
        <f>IFERROR(__xludf.DUMMYFUNCTION("IFs(REGEXMATCH(I687, ""NOT""), 0, REGEXMATCH(I687, ""NO""), 0, REGEXMATCH(I687, ""TURBID""),1, COUNTBLANK(I687),"""", istext(I687),"""")"),"")</f>
        <v/>
      </c>
      <c r="I687" s="23" t="str">
        <f>'3.5.raw'!R687</f>
        <v/>
      </c>
    </row>
    <row r="688">
      <c r="A688" s="23" t="str">
        <f t="shared" si="16"/>
        <v>FB1263UP</v>
      </c>
      <c r="B688" s="23" t="str">
        <f>'3.5.raw'!I688</f>
        <v>FB1263UP</v>
      </c>
      <c r="C688" s="24">
        <f>datevalue(left('3.5.raw'!K688,10))</f>
        <v>43837</v>
      </c>
      <c r="D688" s="23">
        <f>'3.5.raw'!H688</f>
        <v>99</v>
      </c>
      <c r="E688" s="1">
        <v>3.5</v>
      </c>
      <c r="F688" s="23" t="b">
        <f>if(countif(Status!C:C,A688)=1,TRUE, FALSE)</f>
        <v>1</v>
      </c>
      <c r="H688" s="23">
        <f>IFERROR(__xludf.DUMMYFUNCTION("IFs(REGEXMATCH(I688, ""NOT""), 0, REGEXMATCH(I688, ""NO""), 0, REGEXMATCH(I688, ""TURBID""),1, COUNTBLANK(I688),"""", istext(I688),"""")"),0.0)</f>
        <v>0</v>
      </c>
      <c r="I688" s="23" t="str">
        <f>'3.5.raw'!R688</f>
        <v>Associated sample MO1148 and NOT TURBID</v>
      </c>
    </row>
    <row r="689">
      <c r="A689" s="23" t="str">
        <f t="shared" si="16"/>
        <v>UPNC75</v>
      </c>
      <c r="B689" s="23" t="str">
        <f>'3.5.raw'!I689</f>
        <v>UPNC75</v>
      </c>
      <c r="C689" s="24">
        <f>datevalue(left('3.5.raw'!K689,10))</f>
        <v>43837</v>
      </c>
      <c r="D689" s="23">
        <f>'3.5.raw'!H689</f>
        <v>98</v>
      </c>
      <c r="E689" s="1">
        <v>3.5</v>
      </c>
      <c r="F689" s="23" t="b">
        <f>if(countif(Status!C:C,A689)=1,TRUE, FALSE)</f>
        <v>1</v>
      </c>
      <c r="H689" s="23">
        <f>IFERROR(__xludf.DUMMYFUNCTION("IFs(REGEXMATCH(I689, ""NOT""), 0, REGEXMATCH(I689, ""NO""), 0, REGEXMATCH(I689, ""TURBID""),1, COUNTBLANK(I689),"""", istext(I689),"""")"),0.0)</f>
        <v>0</v>
      </c>
      <c r="I689" s="23" t="str">
        <f>'3.5.raw'!R689</f>
        <v>NOT TURBID</v>
      </c>
    </row>
    <row r="690">
      <c r="A690" s="23" t="str">
        <f t="shared" si="16"/>
        <v>FB1264UP</v>
      </c>
      <c r="B690" s="23" t="str">
        <f>'3.5.raw'!I690</f>
        <v>FB1264UP</v>
      </c>
      <c r="C690" s="24">
        <f>datevalue(left('3.5.raw'!K690,10))</f>
        <v>43838</v>
      </c>
      <c r="D690" s="23">
        <f>'3.5.raw'!H690</f>
        <v>99</v>
      </c>
      <c r="E690" s="1">
        <v>3.5</v>
      </c>
      <c r="F690" s="23" t="b">
        <f>if(countif(Status!C:C,A690)=1,TRUE, FALSE)</f>
        <v>1</v>
      </c>
      <c r="H690" s="23">
        <f>IFERROR(__xludf.DUMMYFUNCTION("IFs(REGEXMATCH(I690, ""NOT""), 0, REGEXMATCH(I690, ""NO""), 0, REGEXMATCH(I690, ""TURBID""),1, COUNTBLANK(I690),"""", istext(I690),"""")"),0.0)</f>
        <v>0</v>
      </c>
      <c r="I690" s="23" t="str">
        <f>'3.5.raw'!R690</f>
        <v>Associated Sample DWa1004uf and NOT TURBID</v>
      </c>
    </row>
    <row r="691">
      <c r="A691" s="132" t="s">
        <v>2049</v>
      </c>
      <c r="B691" s="23" t="str">
        <f>'3.5.raw'!I691</f>
        <v>UPNC75</v>
      </c>
      <c r="C691" s="24">
        <f>datevalue(left('3.5.raw'!K691,10))</f>
        <v>43838</v>
      </c>
      <c r="D691" s="23">
        <f>'3.5.raw'!H691</f>
        <v>98</v>
      </c>
      <c r="E691" s="1">
        <v>3.5</v>
      </c>
      <c r="F691" s="23" t="b">
        <f>if(countif(Status!C:C,A691)=1,TRUE, FALSE)</f>
        <v>1</v>
      </c>
      <c r="H691" s="23">
        <f>IFERROR(__xludf.DUMMYFUNCTION("IFs(REGEXMATCH(I691, ""NOT""), 0, REGEXMATCH(I691, ""NO""), 0, REGEXMATCH(I691, ""TURBID""),1, COUNTBLANK(I691),"""", istext(I691),"""")"),0.0)</f>
        <v>0</v>
      </c>
      <c r="I691" s="23" t="str">
        <f>'3.5.raw'!R691</f>
        <v>NOT TURBID</v>
      </c>
    </row>
    <row r="692">
      <c r="A692" s="23" t="str">
        <f t="shared" ref="A692:A774" si="17">SUBSTITUTE(B692, " ", "")</f>
        <v>MO1149</v>
      </c>
      <c r="B692" s="23" t="str">
        <f>'3.5.raw'!I692</f>
        <v>MO1149</v>
      </c>
      <c r="C692" s="24">
        <f>datevalue(left('3.5.raw'!K692,10))</f>
        <v>43839</v>
      </c>
      <c r="D692" s="23">
        <f>'3.5.raw'!H692</f>
        <v>12</v>
      </c>
      <c r="E692" s="1">
        <v>3.5</v>
      </c>
      <c r="F692" s="23" t="b">
        <f>if(countif(Status!C:C,A692)=1,TRUE, FALSE)</f>
        <v>1</v>
      </c>
      <c r="H692" s="23" t="str">
        <f>IFERROR(__xludf.DUMMYFUNCTION("IFs(REGEXMATCH(I692, ""NOT""), 0, REGEXMATCH(I692, ""NO""), 0, REGEXMATCH(I692, ""TURBID""),1, COUNTBLANK(I692),"""", istext(I692),"""")"),"")</f>
        <v/>
      </c>
      <c r="I692" s="23" t="str">
        <f>'3.5.raw'!R692</f>
        <v/>
      </c>
    </row>
    <row r="693">
      <c r="A693" s="23" t="str">
        <f t="shared" si="17"/>
        <v>FB1265UP</v>
      </c>
      <c r="B693" s="23" t="str">
        <f>'3.5.raw'!I693</f>
        <v>FB1265UP</v>
      </c>
      <c r="C693" s="24">
        <f>datevalue(left('3.5.raw'!K693,10))</f>
        <v>43839</v>
      </c>
      <c r="D693" s="23">
        <f>'3.5.raw'!H693</f>
        <v>99</v>
      </c>
      <c r="E693" s="1">
        <v>3.5</v>
      </c>
      <c r="F693" s="23" t="b">
        <f>if(countif(Status!C:C,A693)=1,TRUE, FALSE)</f>
        <v>1</v>
      </c>
      <c r="H693" s="23">
        <f>IFERROR(__xludf.DUMMYFUNCTION("IFs(REGEXMATCH(I693, ""NOT""), 0, REGEXMATCH(I693, ""NO""), 0, REGEXMATCH(I693, ""TURBID""),1, COUNTBLANK(I693),"""", istext(I693),"""")"),0.0)</f>
        <v>0</v>
      </c>
      <c r="I693" s="23" t="str">
        <f>'3.5.raw'!R693</f>
        <v>Associated Sample MO1149 and NOT TURBID</v>
      </c>
    </row>
    <row r="694">
      <c r="A694" s="23" t="str">
        <f t="shared" si="17"/>
        <v>MO1150</v>
      </c>
      <c r="B694" s="23" t="str">
        <f>'3.5.raw'!I694</f>
        <v>MO1150</v>
      </c>
      <c r="C694" s="24">
        <f>datevalue(left('3.5.raw'!K694,10))</f>
        <v>43839</v>
      </c>
      <c r="D694" s="23">
        <f>'3.5.raw'!H694</f>
        <v>12</v>
      </c>
      <c r="E694" s="1">
        <v>3.5</v>
      </c>
      <c r="F694" s="23" t="b">
        <f>if(countif(Status!C:C,A694)=1,TRUE, FALSE)</f>
        <v>1</v>
      </c>
      <c r="H694" s="23" t="str">
        <f>IFERROR(__xludf.DUMMYFUNCTION("IFs(REGEXMATCH(I694, ""NOT""), 0, REGEXMATCH(I694, ""NO""), 0, REGEXMATCH(I694, ""TURBID""),1, COUNTBLANK(I694),"""", istext(I694),"""")"),"")</f>
        <v/>
      </c>
      <c r="I694" s="23" t="str">
        <f>'3.5.raw'!R694</f>
        <v/>
      </c>
    </row>
    <row r="695">
      <c r="A695" s="23" t="str">
        <f t="shared" si="17"/>
        <v>FB1266UP</v>
      </c>
      <c r="B695" s="23" t="str">
        <f>'3.5.raw'!I695</f>
        <v>FB1266UP</v>
      </c>
      <c r="C695" s="24">
        <f>datevalue(left('3.5.raw'!K695,10))</f>
        <v>43839</v>
      </c>
      <c r="D695" s="23">
        <f>'3.5.raw'!H695</f>
        <v>99</v>
      </c>
      <c r="E695" s="1">
        <v>3.5</v>
      </c>
      <c r="F695" s="23" t="b">
        <f>if(countif(Status!C:C,A695)=1,TRUE, FALSE)</f>
        <v>1</v>
      </c>
      <c r="H695" s="23">
        <f>IFERROR(__xludf.DUMMYFUNCTION("IFs(REGEXMATCH(I695, ""NOT""), 0, REGEXMATCH(I695, ""NO""), 0, REGEXMATCH(I695, ""TURBID""),1, COUNTBLANK(I695),"""", istext(I695),"""")"),0.0)</f>
        <v>0</v>
      </c>
      <c r="I695" s="23" t="str">
        <f>'3.5.raw'!R695</f>
        <v>Associated Sample MO1150 and NOT TURBID</v>
      </c>
    </row>
    <row r="696">
      <c r="A696" s="23" t="str">
        <f t="shared" si="17"/>
        <v>PLc1173</v>
      </c>
      <c r="B696" s="23" t="str">
        <f>'3.5.raw'!I696</f>
        <v>PLc1173</v>
      </c>
      <c r="C696" s="24">
        <f>datevalue(left('3.5.raw'!K696,10))</f>
        <v>43839</v>
      </c>
      <c r="D696" s="23">
        <f>'3.5.raw'!H696</f>
        <v>11</v>
      </c>
      <c r="E696" s="1">
        <v>3.5</v>
      </c>
      <c r="F696" s="23" t="b">
        <f>if(countif(Status!C:C,A696)=1,TRUE, FALSE)</f>
        <v>1</v>
      </c>
      <c r="H696" s="23" t="str">
        <f>IFERROR(__xludf.DUMMYFUNCTION("IFs(REGEXMATCH(I696, ""NOT""), 0, REGEXMATCH(I696, ""NO""), 0, REGEXMATCH(I696, ""TURBID""),1, COUNTBLANK(I696),"""", istext(I696),"""")"),"")</f>
        <v/>
      </c>
      <c r="I696" s="23" t="str">
        <f>'3.5.raw'!R696</f>
        <v/>
      </c>
    </row>
    <row r="697">
      <c r="A697" s="23" t="str">
        <f t="shared" si="17"/>
        <v>FB1267UP</v>
      </c>
      <c r="B697" s="23" t="str">
        <f>'3.5.raw'!I697</f>
        <v>FB1267UP</v>
      </c>
      <c r="C697" s="24">
        <f>datevalue(left('3.5.raw'!K697,10))</f>
        <v>43839</v>
      </c>
      <c r="D697" s="23">
        <f>'3.5.raw'!H697</f>
        <v>99</v>
      </c>
      <c r="E697" s="1">
        <v>3.5</v>
      </c>
      <c r="F697" s="23" t="b">
        <f>if(countif(Status!C:C,A697)=1,TRUE, FALSE)</f>
        <v>1</v>
      </c>
      <c r="H697" s="23">
        <f>IFERROR(__xludf.DUMMYFUNCTION("IFs(REGEXMATCH(I697, ""NOT""), 0, REGEXMATCH(I697, ""NO""), 0, REGEXMATCH(I697, ""TURBID""),1, COUNTBLANK(I697),"""", istext(I697),"""")"),0.0)</f>
        <v>0</v>
      </c>
      <c r="I697" s="23" t="str">
        <f>'3.5.raw'!R697</f>
        <v>Associated Sample PLc1173 and NOT TURBID</v>
      </c>
    </row>
    <row r="698">
      <c r="A698" s="23" t="str">
        <f t="shared" si="17"/>
        <v>UPNC76</v>
      </c>
      <c r="B698" s="23" t="str">
        <f>'3.5.raw'!I698</f>
        <v>UPNC76</v>
      </c>
      <c r="C698" s="24">
        <f>datevalue(left('3.5.raw'!K698,10))</f>
        <v>43839</v>
      </c>
      <c r="D698" s="23">
        <f>'3.5.raw'!H698</f>
        <v>98</v>
      </c>
      <c r="E698" s="1">
        <v>3.5</v>
      </c>
      <c r="F698" s="23" t="b">
        <f>if(countif(Status!C:C,A698)=1,TRUE, FALSE)</f>
        <v>1</v>
      </c>
      <c r="H698" s="23">
        <f>IFERROR(__xludf.DUMMYFUNCTION("IFs(REGEXMATCH(I698, ""NOT""), 0, REGEXMATCH(I698, ""NO""), 0, REGEXMATCH(I698, ""TURBID""),1, COUNTBLANK(I698),"""", istext(I698),"""")"),0.0)</f>
        <v>0</v>
      </c>
      <c r="I698" s="23" t="str">
        <f>'3.5.raw'!R698</f>
        <v>NOT TURBID</v>
      </c>
    </row>
    <row r="699">
      <c r="A699" s="23" t="str">
        <f t="shared" si="17"/>
        <v>PLc1174</v>
      </c>
      <c r="B699" s="23" t="str">
        <f>'3.5.raw'!I699</f>
        <v>PLc1174</v>
      </c>
      <c r="C699" s="24">
        <f>datevalue(left('3.5.raw'!K699,10))</f>
        <v>43843</v>
      </c>
      <c r="D699" s="23">
        <f>'3.5.raw'!H699</f>
        <v>11</v>
      </c>
      <c r="E699" s="1">
        <v>3.5</v>
      </c>
      <c r="F699" s="23" t="b">
        <f>if(countif(Status!C:C,A699)=1,TRUE, FALSE)</f>
        <v>1</v>
      </c>
      <c r="H699" s="23" t="str">
        <f>IFERROR(__xludf.DUMMYFUNCTION("IFs(REGEXMATCH(I699, ""NOT""), 0, REGEXMATCH(I699, ""NO""), 0, REGEXMATCH(I699, ""TURBID""),1, COUNTBLANK(I699),"""", istext(I699),"""")"),"")</f>
        <v/>
      </c>
      <c r="I699" s="23" t="str">
        <f>'3.5.raw'!R699</f>
        <v/>
      </c>
    </row>
    <row r="700">
      <c r="A700" s="23" t="str">
        <f t="shared" si="17"/>
        <v>FB1268UP</v>
      </c>
      <c r="B700" s="23" t="str">
        <f>'3.5.raw'!I700</f>
        <v>FB1268UP</v>
      </c>
      <c r="C700" s="24">
        <f>datevalue(left('3.5.raw'!K700,10))</f>
        <v>43843</v>
      </c>
      <c r="D700" s="23">
        <f>'3.5.raw'!H700</f>
        <v>99</v>
      </c>
      <c r="E700" s="1">
        <v>3.5</v>
      </c>
      <c r="F700" s="23" t="b">
        <f>if(countif(Status!C:C,A700)=1,TRUE, FALSE)</f>
        <v>1</v>
      </c>
      <c r="H700" s="23">
        <f>IFERROR(__xludf.DUMMYFUNCTION("IFs(REGEXMATCH(I700, ""NOT""), 0, REGEXMATCH(I700, ""NO""), 0, REGEXMATCH(I700, ""TURBID""),1, COUNTBLANK(I700),"""", istext(I700),"""")"),0.0)</f>
        <v>0</v>
      </c>
      <c r="I700" s="23" t="str">
        <f>'3.5.raw'!R700</f>
        <v>Associated Sample PLc1174 and NOT TURBID</v>
      </c>
    </row>
    <row r="701">
      <c r="A701" s="23" t="str">
        <f t="shared" si="17"/>
        <v>PLc1175</v>
      </c>
      <c r="B701" s="23" t="str">
        <f>'3.5.raw'!I701</f>
        <v>PLc1175</v>
      </c>
      <c r="C701" s="24">
        <f>datevalue(left('3.5.raw'!K701,10))</f>
        <v>43843</v>
      </c>
      <c r="D701" s="23">
        <f>'3.5.raw'!H701</f>
        <v>11</v>
      </c>
      <c r="E701" s="1">
        <v>3.5</v>
      </c>
      <c r="F701" s="23" t="b">
        <f>if(countif(Status!C:C,A701)=1,TRUE, FALSE)</f>
        <v>1</v>
      </c>
      <c r="H701" s="23" t="str">
        <f>IFERROR(__xludf.DUMMYFUNCTION("IFs(REGEXMATCH(I701, ""NOT""), 0, REGEXMATCH(I701, ""NO""), 0, REGEXMATCH(I701, ""TURBID""),1, COUNTBLANK(I701),"""", istext(I701),"""")"),"")</f>
        <v/>
      </c>
      <c r="I701" s="23" t="str">
        <f>'3.5.raw'!R701</f>
        <v/>
      </c>
    </row>
    <row r="702">
      <c r="A702" s="23" t="str">
        <f t="shared" si="17"/>
        <v>FB1269UP</v>
      </c>
      <c r="B702" s="23" t="str">
        <f>'3.5.raw'!I702</f>
        <v>FB1269UP</v>
      </c>
      <c r="C702" s="24">
        <f>datevalue(left('3.5.raw'!K702,10))</f>
        <v>43843</v>
      </c>
      <c r="D702" s="23">
        <f>'3.5.raw'!H702</f>
        <v>99</v>
      </c>
      <c r="E702" s="1">
        <v>3.5</v>
      </c>
      <c r="F702" s="23" t="b">
        <f>if(countif(Status!C:C,A702)=1,TRUE, FALSE)</f>
        <v>1</v>
      </c>
      <c r="H702" s="23">
        <f>IFERROR(__xludf.DUMMYFUNCTION("IFs(REGEXMATCH(I702, ""NOT""), 0, REGEXMATCH(I702, ""NO""), 0, REGEXMATCH(I702, ""TURBID""),1, COUNTBLANK(I702),"""", istext(I702),"""")"),0.0)</f>
        <v>0</v>
      </c>
      <c r="I702" s="23" t="str">
        <f>'3.5.raw'!R702</f>
        <v>Associated Sample PLc1175 and NOT TURBID</v>
      </c>
    </row>
    <row r="703">
      <c r="A703" s="23" t="str">
        <f t="shared" si="17"/>
        <v>PLc1176</v>
      </c>
      <c r="B703" s="23" t="str">
        <f>'3.5.raw'!I703</f>
        <v>PLc1176</v>
      </c>
      <c r="C703" s="24">
        <f>datevalue(left('3.5.raw'!K703,10))</f>
        <v>43843</v>
      </c>
      <c r="D703" s="23">
        <f>'3.5.raw'!H703</f>
        <v>11</v>
      </c>
      <c r="E703" s="1">
        <v>3.5</v>
      </c>
      <c r="F703" s="23" t="b">
        <f>if(countif(Status!C:C,A703)=1,TRUE, FALSE)</f>
        <v>1</v>
      </c>
      <c r="H703" s="23" t="str">
        <f>IFERROR(__xludf.DUMMYFUNCTION("IFs(REGEXMATCH(I703, ""NOT""), 0, REGEXMATCH(I703, ""NO""), 0, REGEXMATCH(I703, ""TURBID""),1, COUNTBLANK(I703),"""", istext(I703),"""")"),"")</f>
        <v/>
      </c>
      <c r="I703" s="23" t="str">
        <f>'3.5.raw'!R703</f>
        <v/>
      </c>
    </row>
    <row r="704">
      <c r="A704" s="23" t="str">
        <f t="shared" si="17"/>
        <v>FB1270UP</v>
      </c>
      <c r="B704" s="23" t="str">
        <f>'3.5.raw'!I704</f>
        <v>FB1270UP</v>
      </c>
      <c r="C704" s="24">
        <f>datevalue(left('3.5.raw'!K704,10))</f>
        <v>43843</v>
      </c>
      <c r="D704" s="23">
        <f>'3.5.raw'!H704</f>
        <v>99</v>
      </c>
      <c r="E704" s="1">
        <v>3.5</v>
      </c>
      <c r="F704" s="23" t="b">
        <f>if(countif(Status!C:C,A704)=1,TRUE, FALSE)</f>
        <v>1</v>
      </c>
      <c r="H704" s="23">
        <f>IFERROR(__xludf.DUMMYFUNCTION("IFs(REGEXMATCH(I704, ""NOT""), 0, REGEXMATCH(I704, ""NO""), 0, REGEXMATCH(I704, ""TURBID""),1, COUNTBLANK(I704),"""", istext(I704),"""")"),0.0)</f>
        <v>0</v>
      </c>
      <c r="I704" s="23" t="str">
        <f>'3.5.raw'!R704</f>
        <v>Associated Sample PLc1176 and NOT TURBID</v>
      </c>
    </row>
    <row r="705">
      <c r="A705" s="23" t="str">
        <f t="shared" si="17"/>
        <v>PLc1177</v>
      </c>
      <c r="B705" s="23" t="str">
        <f>'3.5.raw'!I705</f>
        <v>PLc1177</v>
      </c>
      <c r="C705" s="24">
        <f>datevalue(left('3.5.raw'!K705,10))</f>
        <v>43843</v>
      </c>
      <c r="D705" s="23">
        <f>'3.5.raw'!H705</f>
        <v>11</v>
      </c>
      <c r="E705" s="1">
        <v>3.5</v>
      </c>
      <c r="F705" s="23" t="b">
        <f>if(countif(Status!C:C,A705)=1,TRUE, FALSE)</f>
        <v>1</v>
      </c>
      <c r="H705" s="23" t="str">
        <f>IFERROR(__xludf.DUMMYFUNCTION("IFs(REGEXMATCH(I705, ""NOT""), 0, REGEXMATCH(I705, ""NO""), 0, REGEXMATCH(I705, ""TURBID""),1, COUNTBLANK(I705),"""", istext(I705),"""")"),"")</f>
        <v/>
      </c>
      <c r="I705" s="23" t="str">
        <f>'3.5.raw'!R705</f>
        <v/>
      </c>
    </row>
    <row r="706">
      <c r="A706" s="23" t="str">
        <f t="shared" si="17"/>
        <v>FB1271UP</v>
      </c>
      <c r="B706" s="23" t="str">
        <f>'3.5.raw'!I706</f>
        <v>FB1271UP</v>
      </c>
      <c r="C706" s="24">
        <f>datevalue(left('3.5.raw'!K706,10))</f>
        <v>43843</v>
      </c>
      <c r="D706" s="23">
        <f>'3.5.raw'!H706</f>
        <v>99</v>
      </c>
      <c r="E706" s="1">
        <v>3.5</v>
      </c>
      <c r="F706" s="23" t="b">
        <f>if(countif(Status!C:C,A706)=1,TRUE, FALSE)</f>
        <v>1</v>
      </c>
      <c r="H706" s="23">
        <f>IFERROR(__xludf.DUMMYFUNCTION("IFs(REGEXMATCH(I706, ""NOT""), 0, REGEXMATCH(I706, ""NO""), 0, REGEXMATCH(I706, ""TURBID""),1, COUNTBLANK(I706),"""", istext(I706),"""")"),0.0)</f>
        <v>0</v>
      </c>
      <c r="I706" s="23" t="str">
        <f>'3.5.raw'!R706</f>
        <v>Associated Sample PLc1177 and NOT TURBID</v>
      </c>
    </row>
    <row r="707">
      <c r="A707" s="23" t="str">
        <f t="shared" si="17"/>
        <v>UPNC77</v>
      </c>
      <c r="B707" s="23" t="str">
        <f>'3.5.raw'!I707</f>
        <v>UPNC77</v>
      </c>
      <c r="C707" s="24">
        <f>datevalue(left('3.5.raw'!K707,10))</f>
        <v>43843</v>
      </c>
      <c r="D707" s="23">
        <f>'3.5.raw'!H707</f>
        <v>98</v>
      </c>
      <c r="E707" s="1">
        <v>3.5</v>
      </c>
      <c r="F707" s="23" t="b">
        <f>if(countif(Status!C:C,A707)=1,TRUE, FALSE)</f>
        <v>1</v>
      </c>
      <c r="H707" s="23">
        <f>IFERROR(__xludf.DUMMYFUNCTION("IFs(REGEXMATCH(I707, ""NOT""), 0, REGEXMATCH(I707, ""NO""), 0, REGEXMATCH(I707, ""TURBID""),1, COUNTBLANK(I707),"""", istext(I707),"""")"),0.0)</f>
        <v>0</v>
      </c>
      <c r="I707" s="23" t="str">
        <f>'3.5.raw'!R707</f>
        <v>NOT TURBID</v>
      </c>
    </row>
    <row r="708">
      <c r="A708" s="23" t="str">
        <f t="shared" si="17"/>
        <v>MO1152</v>
      </c>
      <c r="B708" s="23" t="str">
        <f>'3.5.raw'!I708</f>
        <v>MO1152</v>
      </c>
      <c r="C708" s="24">
        <f>datevalue(left('3.5.raw'!K708,10))</f>
        <v>43844</v>
      </c>
      <c r="D708" s="23">
        <f>'3.5.raw'!H708</f>
        <v>12</v>
      </c>
      <c r="E708" s="1">
        <v>3.5</v>
      </c>
      <c r="F708" s="23" t="b">
        <f>if(countif(Status!C:C,A708)=1,TRUE, FALSE)</f>
        <v>1</v>
      </c>
      <c r="H708" s="23" t="str">
        <f>IFERROR(__xludf.DUMMYFUNCTION("IFs(REGEXMATCH(I708, ""NOT""), 0, REGEXMATCH(I708, ""NO""), 0, REGEXMATCH(I708, ""TURBID""),1, COUNTBLANK(I708),"""", istext(I708),"""")"),"")</f>
        <v/>
      </c>
      <c r="I708" s="23" t="str">
        <f>'3.5.raw'!R708</f>
        <v/>
      </c>
    </row>
    <row r="709">
      <c r="A709" s="23" t="str">
        <f t="shared" si="17"/>
        <v>FB1273UP</v>
      </c>
      <c r="B709" s="23" t="str">
        <f>'3.5.raw'!I709</f>
        <v>FB1273UP</v>
      </c>
      <c r="C709" s="24">
        <f>datevalue(left('3.5.raw'!K709,10))</f>
        <v>43844</v>
      </c>
      <c r="D709" s="23">
        <f>'3.5.raw'!H709</f>
        <v>99</v>
      </c>
      <c r="E709" s="1">
        <v>3.5</v>
      </c>
      <c r="F709" s="23" t="b">
        <f>if(countif(Status!C:C,A709)=1,TRUE, FALSE)</f>
        <v>1</v>
      </c>
      <c r="H709" s="23">
        <f>IFERROR(__xludf.DUMMYFUNCTION("IFs(REGEXMATCH(I709, ""NOT""), 0, REGEXMATCH(I709, ""NO""), 0, REGEXMATCH(I709, ""TURBID""),1, COUNTBLANK(I709),"""", istext(I709),"""")"),0.0)</f>
        <v>0</v>
      </c>
      <c r="I709" s="23" t="str">
        <f>'3.5.raw'!R709</f>
        <v>Associated Sample MO1152 and NOT TURBID</v>
      </c>
    </row>
    <row r="710">
      <c r="A710" s="23" t="str">
        <f t="shared" si="17"/>
        <v>MO1153</v>
      </c>
      <c r="B710" s="23" t="str">
        <f>'3.5.raw'!I710</f>
        <v>MO1153</v>
      </c>
      <c r="C710" s="24">
        <f>datevalue(left('3.5.raw'!K710,10))</f>
        <v>43844</v>
      </c>
      <c r="D710" s="23">
        <f>'3.5.raw'!H710</f>
        <v>12</v>
      </c>
      <c r="E710" s="1">
        <v>3.5</v>
      </c>
      <c r="F710" s="23" t="b">
        <f>if(countif(Status!C:C,A710)=1,TRUE, FALSE)</f>
        <v>1</v>
      </c>
      <c r="H710" s="23" t="str">
        <f>IFERROR(__xludf.DUMMYFUNCTION("IFs(REGEXMATCH(I710, ""NOT""), 0, REGEXMATCH(I710, ""NO""), 0, REGEXMATCH(I710, ""TURBID""),1, COUNTBLANK(I710),"""", istext(I710),"""")"),"")</f>
        <v/>
      </c>
      <c r="I710" s="23" t="str">
        <f>'3.5.raw'!R710</f>
        <v/>
      </c>
    </row>
    <row r="711">
      <c r="A711" s="23" t="str">
        <f t="shared" si="17"/>
        <v>FB1274</v>
      </c>
      <c r="B711" s="23" t="str">
        <f>'3.5.raw'!I711</f>
        <v>FB1274</v>
      </c>
      <c r="C711" s="24">
        <f>datevalue(left('3.5.raw'!K711,10))</f>
        <v>43844</v>
      </c>
      <c r="D711" s="23">
        <f>'3.5.raw'!H711</f>
        <v>99</v>
      </c>
      <c r="E711" s="1">
        <v>3.5</v>
      </c>
      <c r="F711" s="23" t="b">
        <f>if(countif(Status!C:C,A711)=1,TRUE, FALSE)</f>
        <v>1</v>
      </c>
      <c r="H711" s="23">
        <f>IFERROR(__xludf.DUMMYFUNCTION("IFs(REGEXMATCH(I711, ""NOT""), 0, REGEXMATCH(I711, ""NO""), 0, REGEXMATCH(I711, ""TURBID""),1, COUNTBLANK(I711),"""", istext(I711),"""")"),0.0)</f>
        <v>0</v>
      </c>
      <c r="I711" s="23" t="str">
        <f>'3.5.raw'!R711</f>
        <v>Associated Sample MO1153 and NOT TURBID</v>
      </c>
    </row>
    <row r="712">
      <c r="A712" s="23" t="str">
        <f t="shared" si="17"/>
        <v>MO1154</v>
      </c>
      <c r="B712" s="23" t="str">
        <f>'3.5.raw'!I712</f>
        <v>MO1154</v>
      </c>
      <c r="C712" s="24">
        <f>datevalue(left('3.5.raw'!K712,10))</f>
        <v>43844</v>
      </c>
      <c r="D712" s="23">
        <f>'3.5.raw'!H712</f>
        <v>12</v>
      </c>
      <c r="E712" s="1">
        <v>3.5</v>
      </c>
      <c r="F712" s="23" t="b">
        <f>if(countif(Status!C:C,A712)=1,TRUE, FALSE)</f>
        <v>1</v>
      </c>
      <c r="H712" s="23" t="str">
        <f>IFERROR(__xludf.DUMMYFUNCTION("IFs(REGEXMATCH(I712, ""NOT""), 0, REGEXMATCH(I712, ""NO""), 0, REGEXMATCH(I712, ""TURBID""),1, COUNTBLANK(I712),"""", istext(I712),"""")"),"")</f>
        <v/>
      </c>
      <c r="I712" s="23" t="str">
        <f>'3.5.raw'!R712</f>
        <v/>
      </c>
    </row>
    <row r="713">
      <c r="A713" s="23" t="str">
        <f t="shared" si="17"/>
        <v>FB1272UP</v>
      </c>
      <c r="B713" s="23" t="str">
        <f>'3.5.raw'!I713</f>
        <v>FB1272UP</v>
      </c>
      <c r="C713" s="24">
        <f>datevalue(left('3.5.raw'!K713,10))</f>
        <v>43844</v>
      </c>
      <c r="D713" s="23">
        <f>'3.5.raw'!H713</f>
        <v>99</v>
      </c>
      <c r="E713" s="1">
        <v>3.5</v>
      </c>
      <c r="F713" s="23" t="b">
        <f>if(countif(Status!C:C,A713)=1,TRUE, FALSE)</f>
        <v>1</v>
      </c>
      <c r="H713" s="23">
        <f>IFERROR(__xludf.DUMMYFUNCTION("IFs(REGEXMATCH(I713, ""NOT""), 0, REGEXMATCH(I713, ""NO""), 0, REGEXMATCH(I713, ""TURBID""),1, COUNTBLANK(I713),"""", istext(I713),"""")"),0.0)</f>
        <v>0</v>
      </c>
      <c r="I713" s="23" t="str">
        <f>'3.5.raw'!R713</f>
        <v>Associated Sample MO1154 and NOT TURBID</v>
      </c>
    </row>
    <row r="714">
      <c r="A714" s="23" t="str">
        <f t="shared" si="17"/>
        <v>UPNC78</v>
      </c>
      <c r="B714" s="23" t="str">
        <f>'3.5.raw'!I714</f>
        <v>UPNC78</v>
      </c>
      <c r="C714" s="24">
        <f>datevalue(left('3.5.raw'!K714,10))</f>
        <v>43844</v>
      </c>
      <c r="D714" s="23">
        <f>'3.5.raw'!H714</f>
        <v>98</v>
      </c>
      <c r="E714" s="1">
        <v>3.5</v>
      </c>
      <c r="F714" s="23" t="b">
        <f>if(countif(Status!C:C,A714)=1,TRUE, FALSE)</f>
        <v>1</v>
      </c>
      <c r="H714" s="23">
        <f>IFERROR(__xludf.DUMMYFUNCTION("IFs(REGEXMATCH(I714, ""NOT""), 0, REGEXMATCH(I714, ""NO""), 0, REGEXMATCH(I714, ""TURBID""),1, COUNTBLANK(I714),"""", istext(I714),"""")"),0.0)</f>
        <v>0</v>
      </c>
      <c r="I714" s="23" t="str">
        <f>'3.5.raw'!R714</f>
        <v>NOT TURBID</v>
      </c>
    </row>
    <row r="715">
      <c r="A715" s="23" t="str">
        <f t="shared" si="17"/>
        <v>FB1275UP</v>
      </c>
      <c r="B715" s="23" t="str">
        <f>'3.5.raw'!I715</f>
        <v>FB1275UP</v>
      </c>
      <c r="C715" s="24">
        <f>datevalue(left('3.5.raw'!K715,10))</f>
        <v>43845</v>
      </c>
      <c r="D715" s="23">
        <f>'3.5.raw'!H715</f>
        <v>99</v>
      </c>
      <c r="E715" s="1">
        <v>3.5</v>
      </c>
      <c r="F715" s="23" t="b">
        <f>if(countif(Status!C:C,A715)=1,TRUE, FALSE)</f>
        <v>1</v>
      </c>
      <c r="H715" s="23">
        <f>IFERROR(__xludf.DUMMYFUNCTION("IFs(REGEXMATCH(I715, ""NOT""), 0, REGEXMATCH(I715, ""NO""), 0, REGEXMATCH(I715, ""TURBID""),1, COUNTBLANK(I715),"""", istext(I715),"""")"),0.0)</f>
        <v>0</v>
      </c>
      <c r="I715" s="23" t="str">
        <f>'3.5.raw'!R715</f>
        <v>Associated Sample COa2001, COb2001, COb2002, COb2003 and NOT TURBID</v>
      </c>
    </row>
    <row r="716">
      <c r="A716" s="23" t="str">
        <f t="shared" si="17"/>
        <v>FB1276UP</v>
      </c>
      <c r="B716" s="23" t="str">
        <f>'3.5.raw'!I716</f>
        <v>FB1276UP</v>
      </c>
      <c r="C716" s="24">
        <f>datevalue(left('3.5.raw'!K716,10))</f>
        <v>43845</v>
      </c>
      <c r="D716" s="23">
        <f>'3.5.raw'!H716</f>
        <v>99</v>
      </c>
      <c r="E716" s="1">
        <v>3.5</v>
      </c>
      <c r="F716" s="23" t="b">
        <f>if(countif(Status!C:C,A716)=1,TRUE, FALSE)</f>
        <v>1</v>
      </c>
      <c r="H716" s="23">
        <f>IFERROR(__xludf.DUMMYFUNCTION("IFs(REGEXMATCH(I716, ""NOT""), 0, REGEXMATCH(I716, ""NO""), 0, REGEXMATCH(I716, ""TURBID""),1, COUNTBLANK(I716),"""", istext(I716),"""")"),0.0)</f>
        <v>0</v>
      </c>
      <c r="I716" s="23" t="str">
        <f>'3.5.raw'!R716</f>
        <v>Associated Sample COa2002, COb2004, COb2005, COb2006 and NOT TURBID</v>
      </c>
    </row>
    <row r="717">
      <c r="A717" s="23" t="str">
        <f t="shared" si="17"/>
        <v>FB1277UP</v>
      </c>
      <c r="B717" s="23" t="str">
        <f>'3.5.raw'!I717</f>
        <v>FB1277UP</v>
      </c>
      <c r="C717" s="24">
        <f>datevalue(left('3.5.raw'!K717,10))</f>
        <v>43845</v>
      </c>
      <c r="D717" s="23">
        <f>'3.5.raw'!H717</f>
        <v>99</v>
      </c>
      <c r="E717" s="1">
        <v>3.5</v>
      </c>
      <c r="F717" s="23" t="b">
        <f>if(countif(Status!C:C,A717)=1,TRUE, FALSE)</f>
        <v>1</v>
      </c>
      <c r="H717" s="23">
        <f>IFERROR(__xludf.DUMMYFUNCTION("IFs(REGEXMATCH(I717, ""NOT""), 0, REGEXMATCH(I717, ""NO""), 0, REGEXMATCH(I717, ""TURBID""),1, COUNTBLANK(I717),"""", istext(I717),"""")"),0.0)</f>
        <v>0</v>
      </c>
      <c r="I717" s="23" t="str">
        <f>'3.5.raw'!R717</f>
        <v>Associated Sample RP2001 and NOT TURBID</v>
      </c>
    </row>
    <row r="718">
      <c r="A718" s="23" t="str">
        <f t="shared" si="17"/>
        <v>FB1278UP</v>
      </c>
      <c r="B718" s="23" t="str">
        <f>'3.5.raw'!I718</f>
        <v>FB1278UP</v>
      </c>
      <c r="C718" s="24">
        <f>datevalue(left('3.5.raw'!K718,10))</f>
        <v>43845</v>
      </c>
      <c r="D718" s="23">
        <f>'3.5.raw'!H718</f>
        <v>99</v>
      </c>
      <c r="E718" s="1">
        <v>3.5</v>
      </c>
      <c r="F718" s="23" t="b">
        <f>if(countif(Status!C:C,A718)=1,TRUE, FALSE)</f>
        <v>1</v>
      </c>
      <c r="H718" s="23">
        <f>IFERROR(__xludf.DUMMYFUNCTION("IFs(REGEXMATCH(I718, ""NOT""), 0, REGEXMATCH(I718, ""NO""), 0, REGEXMATCH(I718, ""TURBID""),1, COUNTBLANK(I718),"""", istext(I718),"""")"),0.0)</f>
        <v>0</v>
      </c>
      <c r="I718" s="23" t="str">
        <f>'3.5.raw'!R718</f>
        <v>Associated Sample SL2001 and NOT TURBID</v>
      </c>
    </row>
    <row r="719">
      <c r="A719" s="23" t="str">
        <f t="shared" si="17"/>
        <v>UPNC79</v>
      </c>
      <c r="B719" s="23" t="str">
        <f>'3.5.raw'!I719</f>
        <v>UPNC79</v>
      </c>
      <c r="C719" s="24">
        <f>datevalue(left('3.5.raw'!K719,10))</f>
        <v>43845</v>
      </c>
      <c r="D719" s="23">
        <f>'3.5.raw'!H719</f>
        <v>98</v>
      </c>
      <c r="E719" s="1">
        <v>3.5</v>
      </c>
      <c r="F719" s="23" t="b">
        <f>if(countif(Status!C:C,A719)=1,TRUE, FALSE)</f>
        <v>1</v>
      </c>
      <c r="H719" s="23">
        <f>IFERROR(__xludf.DUMMYFUNCTION("IFs(REGEXMATCH(I719, ""NOT""), 0, REGEXMATCH(I719, ""NO""), 0, REGEXMATCH(I719, ""TURBID""),1, COUNTBLANK(I719),"""", istext(I719),"""")"),0.0)</f>
        <v>0</v>
      </c>
      <c r="I719" s="23" t="str">
        <f>'3.5.raw'!R719</f>
        <v>NOT TURBID</v>
      </c>
    </row>
    <row r="720">
      <c r="A720" s="23" t="str">
        <f t="shared" si="17"/>
        <v>PLc1178</v>
      </c>
      <c r="B720" s="23" t="str">
        <f>'3.5.raw'!I720</f>
        <v>PLc1178</v>
      </c>
      <c r="C720" s="24">
        <f>datevalue(left('3.5.raw'!K720,10))</f>
        <v>43846</v>
      </c>
      <c r="D720" s="23">
        <f>'3.5.raw'!H720</f>
        <v>11</v>
      </c>
      <c r="E720" s="1">
        <v>3.5</v>
      </c>
      <c r="F720" s="23" t="b">
        <f>if(countif(Status!C:C,A720)=1,TRUE, FALSE)</f>
        <v>1</v>
      </c>
      <c r="H720" s="23" t="str">
        <f>IFERROR(__xludf.DUMMYFUNCTION("IFs(REGEXMATCH(I720, ""NOT""), 0, REGEXMATCH(I720, ""NO""), 0, REGEXMATCH(I720, ""TURBID""),1, COUNTBLANK(I720),"""", istext(I720),"""")"),"")</f>
        <v/>
      </c>
      <c r="I720" s="23" t="str">
        <f>'3.5.raw'!R720</f>
        <v/>
      </c>
    </row>
    <row r="721">
      <c r="A721" s="23" t="str">
        <f t="shared" si="17"/>
        <v>FB1280UP</v>
      </c>
      <c r="B721" s="23" t="str">
        <f>'3.5.raw'!I721</f>
        <v>FB1280UP</v>
      </c>
      <c r="C721" s="24">
        <f>datevalue(left('3.5.raw'!K721,10))</f>
        <v>43846</v>
      </c>
      <c r="D721" s="23">
        <f>'3.5.raw'!H721</f>
        <v>99</v>
      </c>
      <c r="E721" s="1">
        <v>3.5</v>
      </c>
      <c r="F721" s="23" t="b">
        <f>if(countif(Status!C:C,A721)=1,TRUE, FALSE)</f>
        <v>1</v>
      </c>
      <c r="H721" s="23">
        <f>IFERROR(__xludf.DUMMYFUNCTION("IFs(REGEXMATCH(I721, ""NOT""), 0, REGEXMATCH(I721, ""NO""), 0, REGEXMATCH(I721, ""TURBID""),1, COUNTBLANK(I721),"""", istext(I721),"""")"),0.0)</f>
        <v>0</v>
      </c>
      <c r="I721" s="23" t="str">
        <f>'3.5.raw'!R721</f>
        <v>Associated Sample PLc1178 and NOT TURBID</v>
      </c>
    </row>
    <row r="722">
      <c r="A722" s="23" t="str">
        <f t="shared" si="17"/>
        <v>PLc1179</v>
      </c>
      <c r="B722" s="23" t="str">
        <f>'3.5.raw'!I722</f>
        <v>PLc1179</v>
      </c>
      <c r="C722" s="24">
        <f>datevalue(left('3.5.raw'!K722,10))</f>
        <v>43846</v>
      </c>
      <c r="D722" s="23">
        <f>'3.5.raw'!H722</f>
        <v>11</v>
      </c>
      <c r="E722" s="1">
        <v>3.5</v>
      </c>
      <c r="F722" s="23" t="b">
        <f>if(countif(Status!C:C,A722)=1,TRUE, FALSE)</f>
        <v>1</v>
      </c>
      <c r="H722" s="23" t="str">
        <f>IFERROR(__xludf.DUMMYFUNCTION("IFs(REGEXMATCH(I722, ""NOT""), 0, REGEXMATCH(I722, ""NO""), 0, REGEXMATCH(I722, ""TURBID""),1, COUNTBLANK(I722),"""", istext(I722),"""")"),"")</f>
        <v/>
      </c>
      <c r="I722" s="23" t="str">
        <f>'3.5.raw'!R722</f>
        <v/>
      </c>
    </row>
    <row r="723">
      <c r="A723" s="23" t="str">
        <f t="shared" si="17"/>
        <v>FB1281UP</v>
      </c>
      <c r="B723" s="23" t="str">
        <f>'3.5.raw'!I723</f>
        <v>FB1281UP</v>
      </c>
      <c r="C723" s="24">
        <f>datevalue(left('3.5.raw'!K723,10))</f>
        <v>43846</v>
      </c>
      <c r="D723" s="23">
        <f>'3.5.raw'!H723</f>
        <v>99</v>
      </c>
      <c r="E723" s="1">
        <v>3.5</v>
      </c>
      <c r="F723" s="23" t="b">
        <f>if(countif(Status!C:C,A723)=1,TRUE, FALSE)</f>
        <v>1</v>
      </c>
      <c r="H723" s="23">
        <f>IFERROR(__xludf.DUMMYFUNCTION("IFs(REGEXMATCH(I723, ""NOT""), 0, REGEXMATCH(I723, ""NO""), 0, REGEXMATCH(I723, ""TURBID""),1, COUNTBLANK(I723),"""", istext(I723),"""")"),0.0)</f>
        <v>0</v>
      </c>
      <c r="I723" s="23" t="str">
        <f>'3.5.raw'!R723</f>
        <v>Associated Sample PLc1179 and NOT TURBID</v>
      </c>
    </row>
    <row r="724">
      <c r="A724" s="23" t="str">
        <f t="shared" si="17"/>
        <v>FB1279UP</v>
      </c>
      <c r="B724" s="23" t="str">
        <f>'3.5.raw'!I724</f>
        <v>FB1279UP</v>
      </c>
      <c r="C724" s="24">
        <f>datevalue(left('3.5.raw'!K724,10))</f>
        <v>43846</v>
      </c>
      <c r="D724" s="23">
        <f>'3.5.raw'!H724</f>
        <v>99</v>
      </c>
      <c r="E724" s="1">
        <v>3.5</v>
      </c>
      <c r="F724" s="23" t="b">
        <f>if(countif(Status!C:C,A724)=1,TRUE, FALSE)</f>
        <v>1</v>
      </c>
      <c r="H724" s="23">
        <f>IFERROR(__xludf.DUMMYFUNCTION("IFs(REGEXMATCH(I724, ""NOT""), 0, REGEXMATCH(I724, ""NO""), 0, REGEXMATCH(I724, ""TURBID""),1, COUNTBLANK(I724),"""", istext(I724),"""")"),0.0)</f>
        <v>0</v>
      </c>
      <c r="I724" s="23" t="str">
        <f>'3.5.raw'!R724</f>
        <v>Associated Sample DWa1005uf and NOT TURBID</v>
      </c>
    </row>
    <row r="725">
      <c r="A725" s="23" t="str">
        <f t="shared" si="17"/>
        <v>MO1155</v>
      </c>
      <c r="B725" s="23" t="str">
        <f>'3.5.raw'!I725</f>
        <v>MO1155</v>
      </c>
      <c r="C725" s="24">
        <f>datevalue(left('3.5.raw'!K725,10))</f>
        <v>43846</v>
      </c>
      <c r="D725" s="23">
        <f>'3.5.raw'!H725</f>
        <v>12</v>
      </c>
      <c r="E725" s="1">
        <v>3.5</v>
      </c>
      <c r="F725" s="23" t="b">
        <f>if(countif(Status!C:C,A725)=1,TRUE, FALSE)</f>
        <v>1</v>
      </c>
      <c r="H725" s="23" t="str">
        <f>IFERROR(__xludf.DUMMYFUNCTION("IFs(REGEXMATCH(I725, ""NOT""), 0, REGEXMATCH(I725, ""NO""), 0, REGEXMATCH(I725, ""TURBID""),1, COUNTBLANK(I725),"""", istext(I725),"""")"),"")</f>
        <v/>
      </c>
      <c r="I725" s="23" t="str">
        <f>'3.5.raw'!R725</f>
        <v/>
      </c>
    </row>
    <row r="726">
      <c r="A726" s="23" t="str">
        <f t="shared" si="17"/>
        <v>FB1282UP</v>
      </c>
      <c r="B726" s="23" t="str">
        <f>'3.5.raw'!I726</f>
        <v>FB1282UP</v>
      </c>
      <c r="C726" s="24">
        <f>datevalue(left('3.5.raw'!K726,10))</f>
        <v>43846</v>
      </c>
      <c r="D726" s="23">
        <f>'3.5.raw'!H726</f>
        <v>99</v>
      </c>
      <c r="E726" s="1">
        <v>3.5</v>
      </c>
      <c r="F726" s="23" t="b">
        <f>if(countif(Status!C:C,A726)=1,TRUE, FALSE)</f>
        <v>1</v>
      </c>
      <c r="H726" s="23">
        <f>IFERROR(__xludf.DUMMYFUNCTION("IFs(REGEXMATCH(I726, ""NOT""), 0, REGEXMATCH(I726, ""NO""), 0, REGEXMATCH(I726, ""TURBID""),1, COUNTBLANK(I726),"""", istext(I726),"""")"),0.0)</f>
        <v>0</v>
      </c>
      <c r="I726" s="23" t="str">
        <f>'3.5.raw'!R726</f>
        <v>Associated Sample MO1155 and NOT TURBID</v>
      </c>
    </row>
    <row r="727">
      <c r="A727" s="23" t="str">
        <f t="shared" si="17"/>
        <v>MO1156</v>
      </c>
      <c r="B727" s="23" t="str">
        <f>'3.5.raw'!I727</f>
        <v>MO1156</v>
      </c>
      <c r="C727" s="24">
        <f>datevalue(left('3.5.raw'!K727,10))</f>
        <v>43846</v>
      </c>
      <c r="D727" s="23">
        <f>'3.5.raw'!H727</f>
        <v>12</v>
      </c>
      <c r="E727" s="1">
        <v>3.5</v>
      </c>
      <c r="F727" s="23" t="b">
        <f>if(countif(Status!C:C,A727)=1,TRUE, FALSE)</f>
        <v>1</v>
      </c>
      <c r="H727" s="23" t="str">
        <f>IFERROR(__xludf.DUMMYFUNCTION("IFs(REGEXMATCH(I727, ""NOT""), 0, REGEXMATCH(I727, ""NO""), 0, REGEXMATCH(I727, ""TURBID""),1, COUNTBLANK(I727),"""", istext(I727),"""")"),"")</f>
        <v/>
      </c>
      <c r="I727" s="23" t="str">
        <f>'3.5.raw'!R727</f>
        <v/>
      </c>
    </row>
    <row r="728">
      <c r="A728" s="23" t="str">
        <f t="shared" si="17"/>
        <v>FB1283UP</v>
      </c>
      <c r="B728" s="23" t="str">
        <f>'3.5.raw'!I728</f>
        <v>FB1283UP</v>
      </c>
      <c r="C728" s="24">
        <f>datevalue(left('3.5.raw'!K728,10))</f>
        <v>43846</v>
      </c>
      <c r="D728" s="23">
        <f>'3.5.raw'!H728</f>
        <v>99</v>
      </c>
      <c r="E728" s="1">
        <v>3.5</v>
      </c>
      <c r="F728" s="23" t="b">
        <f>if(countif(Status!C:C,A728)=1,TRUE, FALSE)</f>
        <v>1</v>
      </c>
      <c r="H728" s="23">
        <f>IFERROR(__xludf.DUMMYFUNCTION("IFs(REGEXMATCH(I728, ""NOT""), 0, REGEXMATCH(I728, ""NO""), 0, REGEXMATCH(I728, ""TURBID""),1, COUNTBLANK(I728),"""", istext(I728),"""")"),1.0)</f>
        <v>1</v>
      </c>
      <c r="I728" s="23" t="str">
        <f>'3.5.raw'!R728</f>
        <v>Associated Sample MO1156 and TURBID</v>
      </c>
    </row>
    <row r="729">
      <c r="A729" s="23" t="str">
        <f t="shared" si="17"/>
        <v>UPNC80</v>
      </c>
      <c r="B729" s="23" t="str">
        <f>'3.5.raw'!I729</f>
        <v>UPNC80</v>
      </c>
      <c r="C729" s="24">
        <f>datevalue(left('3.5.raw'!K729,10))</f>
        <v>43846</v>
      </c>
      <c r="D729" s="23">
        <f>'3.5.raw'!H729</f>
        <v>98</v>
      </c>
      <c r="E729" s="1">
        <v>3.5</v>
      </c>
      <c r="F729" s="23" t="b">
        <f>if(countif(Status!C:C,A729)=1,TRUE, FALSE)</f>
        <v>1</v>
      </c>
      <c r="H729" s="23">
        <f>IFERROR(__xludf.DUMMYFUNCTION("IFs(REGEXMATCH(I729, ""NOT""), 0, REGEXMATCH(I729, ""NO""), 0, REGEXMATCH(I729, ""TURBID""),1, COUNTBLANK(I729),"""", istext(I729),"""")"),0.0)</f>
        <v>0</v>
      </c>
      <c r="I729" s="23" t="str">
        <f>'3.5.raw'!R729</f>
        <v>NOT TURBID</v>
      </c>
    </row>
    <row r="730">
      <c r="A730" s="23" t="str">
        <f t="shared" si="17"/>
        <v>PLc1180</v>
      </c>
      <c r="B730" s="23" t="str">
        <f>'3.5.raw'!I730</f>
        <v>PLc1180</v>
      </c>
      <c r="C730" s="24">
        <f>datevalue(left('3.5.raw'!K730,10))</f>
        <v>43850</v>
      </c>
      <c r="D730" s="23">
        <f>'3.5.raw'!H730</f>
        <v>11</v>
      </c>
      <c r="E730" s="1">
        <v>3.5</v>
      </c>
      <c r="F730" s="23" t="b">
        <f>if(countif(Status!C:C,A730)=1,TRUE, FALSE)</f>
        <v>1</v>
      </c>
      <c r="H730" s="23" t="str">
        <f>IFERROR(__xludf.DUMMYFUNCTION("IFs(REGEXMATCH(I730, ""NOT""), 0, REGEXMATCH(I730, ""NO""), 0, REGEXMATCH(I730, ""TURBID""),1, COUNTBLANK(I730),"""", istext(I730),"""")"),"")</f>
        <v/>
      </c>
      <c r="I730" s="23" t="str">
        <f>'3.5.raw'!R730</f>
        <v/>
      </c>
    </row>
    <row r="731">
      <c r="A731" s="23" t="str">
        <f t="shared" si="17"/>
        <v>FB1284UP</v>
      </c>
      <c r="B731" s="23" t="str">
        <f>'3.5.raw'!I731</f>
        <v>FB1284UP</v>
      </c>
      <c r="C731" s="24">
        <f>datevalue(left('3.5.raw'!K731,10))</f>
        <v>43850</v>
      </c>
      <c r="D731" s="23">
        <f>'3.5.raw'!H731</f>
        <v>99</v>
      </c>
      <c r="E731" s="1">
        <v>3.5</v>
      </c>
      <c r="F731" s="23" t="b">
        <f>if(countif(Status!C:C,A731)=1,TRUE, FALSE)</f>
        <v>1</v>
      </c>
      <c r="H731" s="23">
        <f>IFERROR(__xludf.DUMMYFUNCTION("IFs(REGEXMATCH(I731, ""NOT""), 0, REGEXMATCH(I731, ""NO""), 0, REGEXMATCH(I731, ""TURBID""),1, COUNTBLANK(I731),"""", istext(I731),"""")"),0.0)</f>
        <v>0</v>
      </c>
      <c r="I731" s="23" t="str">
        <f>'3.5.raw'!R731</f>
        <v>Associated Sample PLc1180 and NOT TURBID</v>
      </c>
    </row>
    <row r="732">
      <c r="A732" s="23" t="str">
        <f t="shared" si="17"/>
        <v>PLc1181</v>
      </c>
      <c r="B732" s="23" t="str">
        <f>'3.5.raw'!I732</f>
        <v>PLc1181</v>
      </c>
      <c r="C732" s="24">
        <f>datevalue(left('3.5.raw'!K732,10))</f>
        <v>43850</v>
      </c>
      <c r="D732" s="23">
        <f>'3.5.raw'!H732</f>
        <v>11</v>
      </c>
      <c r="E732" s="1">
        <v>3.5</v>
      </c>
      <c r="F732" s="23" t="b">
        <f>if(countif(Status!C:C,A732)=1,TRUE, FALSE)</f>
        <v>1</v>
      </c>
      <c r="H732" s="23" t="str">
        <f>IFERROR(__xludf.DUMMYFUNCTION("IFs(REGEXMATCH(I732, ""NOT""), 0, REGEXMATCH(I732, ""NO""), 0, REGEXMATCH(I732, ""TURBID""),1, COUNTBLANK(I732),"""", istext(I732),"""")"),"")</f>
        <v/>
      </c>
      <c r="I732" s="23" t="str">
        <f>'3.5.raw'!R732</f>
        <v/>
      </c>
    </row>
    <row r="733">
      <c r="A733" s="23" t="str">
        <f t="shared" si="17"/>
        <v>FB1285UP</v>
      </c>
      <c r="B733" s="23" t="str">
        <f>'3.5.raw'!I733</f>
        <v>FB1285UP</v>
      </c>
      <c r="C733" s="24">
        <f>datevalue(left('3.5.raw'!K733,10))</f>
        <v>43850</v>
      </c>
      <c r="D733" s="23">
        <f>'3.5.raw'!H733</f>
        <v>99</v>
      </c>
      <c r="E733" s="1">
        <v>3.5</v>
      </c>
      <c r="F733" s="23" t="b">
        <f>if(countif(Status!C:C,A733)=1,TRUE, FALSE)</f>
        <v>1</v>
      </c>
      <c r="H733" s="23">
        <f>IFERROR(__xludf.DUMMYFUNCTION("IFs(REGEXMATCH(I733, ""NOT""), 0, REGEXMATCH(I733, ""NO""), 0, REGEXMATCH(I733, ""TURBID""),1, COUNTBLANK(I733),"""", istext(I733),"""")"),0.0)</f>
        <v>0</v>
      </c>
      <c r="I733" s="23" t="str">
        <f>'3.5.raw'!R733</f>
        <v>Associated Sample PLc1181 and NOT TURBID</v>
      </c>
    </row>
    <row r="734">
      <c r="A734" s="23" t="str">
        <f t="shared" si="17"/>
        <v>PLc1182</v>
      </c>
      <c r="B734" s="23" t="str">
        <f>'3.5.raw'!I734</f>
        <v>PLc1182</v>
      </c>
      <c r="C734" s="24">
        <f>datevalue(left('3.5.raw'!K734,10))</f>
        <v>43850</v>
      </c>
      <c r="D734" s="23">
        <f>'3.5.raw'!H734</f>
        <v>11</v>
      </c>
      <c r="E734" s="1">
        <v>3.5</v>
      </c>
      <c r="F734" s="23" t="b">
        <f>if(countif(Status!C:C,A734)=1,TRUE, FALSE)</f>
        <v>1</v>
      </c>
      <c r="H734" s="23" t="str">
        <f>IFERROR(__xludf.DUMMYFUNCTION("IFs(REGEXMATCH(I734, ""NOT""), 0, REGEXMATCH(I734, ""NO""), 0, REGEXMATCH(I734, ""TURBID""),1, COUNTBLANK(I734),"""", istext(I734),"""")"),"")</f>
        <v/>
      </c>
      <c r="I734" s="23" t="str">
        <f>'3.5.raw'!R734</f>
        <v/>
      </c>
    </row>
    <row r="735">
      <c r="A735" s="23" t="str">
        <f t="shared" si="17"/>
        <v>FB1286UP</v>
      </c>
      <c r="B735" s="23" t="str">
        <f>'3.5.raw'!I735</f>
        <v>FB1286UP</v>
      </c>
      <c r="C735" s="24">
        <f>datevalue(left('3.5.raw'!K735,10))</f>
        <v>43850</v>
      </c>
      <c r="D735" s="23">
        <f>'3.5.raw'!H735</f>
        <v>99</v>
      </c>
      <c r="E735" s="1">
        <v>3.5</v>
      </c>
      <c r="F735" s="23" t="b">
        <f>if(countif(Status!C:C,A735)=1,TRUE, FALSE)</f>
        <v>1</v>
      </c>
      <c r="H735" s="23">
        <f>IFERROR(__xludf.DUMMYFUNCTION("IFs(REGEXMATCH(I735, ""NOT""), 0, REGEXMATCH(I735, ""NO""), 0, REGEXMATCH(I735, ""TURBID""),1, COUNTBLANK(I735),"""", istext(I735),"""")"),0.0)</f>
        <v>0</v>
      </c>
      <c r="I735" s="23" t="str">
        <f>'3.5.raw'!R735</f>
        <v>Associated Sample PLc1182 and NOT TURBID</v>
      </c>
    </row>
    <row r="736">
      <c r="A736" s="23" t="str">
        <f t="shared" si="17"/>
        <v>UPNC81</v>
      </c>
      <c r="B736" s="23" t="str">
        <f>'3.5.raw'!I736</f>
        <v>UPNC81</v>
      </c>
      <c r="C736" s="24">
        <f>datevalue(left('3.5.raw'!K736,10))</f>
        <v>43850</v>
      </c>
      <c r="D736" s="23">
        <f>'3.5.raw'!H736</f>
        <v>98</v>
      </c>
      <c r="E736" s="1">
        <v>3.5</v>
      </c>
      <c r="F736" s="23" t="b">
        <f>if(countif(Status!C:C,A736)=1,TRUE, FALSE)</f>
        <v>1</v>
      </c>
      <c r="H736" s="23">
        <f>IFERROR(__xludf.DUMMYFUNCTION("IFs(REGEXMATCH(I736, ""NOT""), 0, REGEXMATCH(I736, ""NO""), 0, REGEXMATCH(I736, ""TURBID""),1, COUNTBLANK(I736),"""", istext(I736),"""")"),0.0)</f>
        <v>0</v>
      </c>
      <c r="I736" s="23" t="str">
        <f>'3.5.raw'!R736</f>
        <v>NOT TURBID</v>
      </c>
    </row>
    <row r="737">
      <c r="A737" s="23" t="str">
        <f t="shared" si="17"/>
        <v>MO1157</v>
      </c>
      <c r="B737" s="23" t="str">
        <f>'3.5.raw'!I737</f>
        <v>MO1157</v>
      </c>
      <c r="C737" s="24">
        <f>datevalue(left('3.5.raw'!K737,10))</f>
        <v>43851</v>
      </c>
      <c r="D737" s="23">
        <f>'3.5.raw'!H737</f>
        <v>12</v>
      </c>
      <c r="E737" s="1">
        <v>3.5</v>
      </c>
      <c r="F737" s="23" t="b">
        <f>if(countif(Status!C:C,A737)=1,TRUE, FALSE)</f>
        <v>1</v>
      </c>
      <c r="H737" s="23" t="str">
        <f>IFERROR(__xludf.DUMMYFUNCTION("IFs(REGEXMATCH(I737, ""NOT""), 0, REGEXMATCH(I737, ""NO""), 0, REGEXMATCH(I737, ""TURBID""),1, COUNTBLANK(I737),"""", istext(I737),"""")"),"")</f>
        <v/>
      </c>
      <c r="I737" s="23" t="str">
        <f>'3.5.raw'!R737</f>
        <v/>
      </c>
    </row>
    <row r="738">
      <c r="A738" s="23" t="str">
        <f t="shared" si="17"/>
        <v>FB1289UP</v>
      </c>
      <c r="B738" s="23" t="str">
        <f>'3.5.raw'!I738</f>
        <v>FB1289UP</v>
      </c>
      <c r="C738" s="24">
        <f>datevalue(left('3.5.raw'!K738,10))</f>
        <v>43851</v>
      </c>
      <c r="D738" s="23">
        <f>'3.5.raw'!H738</f>
        <v>99</v>
      </c>
      <c r="E738" s="1">
        <v>3.5</v>
      </c>
      <c r="F738" s="23" t="b">
        <f>if(countif(Status!C:C,A738)=1,TRUE, FALSE)</f>
        <v>1</v>
      </c>
      <c r="H738" s="23">
        <f>IFERROR(__xludf.DUMMYFUNCTION("IFs(REGEXMATCH(I738, ""NOT""), 0, REGEXMATCH(I738, ""NO""), 0, REGEXMATCH(I738, ""TURBID""),1, COUNTBLANK(I738),"""", istext(I738),"""")"),0.0)</f>
        <v>0</v>
      </c>
      <c r="I738" s="23" t="str">
        <f>'3.5.raw'!R738</f>
        <v>Associated Sample MO1157 and NOT TURBID</v>
      </c>
    </row>
    <row r="739">
      <c r="A739" s="23" t="str">
        <f t="shared" si="17"/>
        <v>MO1158</v>
      </c>
      <c r="B739" s="23" t="str">
        <f>'3.5.raw'!I739</f>
        <v>MO1158</v>
      </c>
      <c r="C739" s="24">
        <f>datevalue(left('3.5.raw'!K739,10))</f>
        <v>43851</v>
      </c>
      <c r="D739" s="23">
        <f>'3.5.raw'!H739</f>
        <v>12</v>
      </c>
      <c r="E739" s="1">
        <v>3.5</v>
      </c>
      <c r="F739" s="23" t="b">
        <f>if(countif(Status!C:C,A739)=1,TRUE, FALSE)</f>
        <v>1</v>
      </c>
      <c r="H739" s="23" t="str">
        <f>IFERROR(__xludf.DUMMYFUNCTION("IFs(REGEXMATCH(I739, ""NOT""), 0, REGEXMATCH(I739, ""NO""), 0, REGEXMATCH(I739, ""TURBID""),1, COUNTBLANK(I739),"""", istext(I739),"""")"),"")</f>
        <v/>
      </c>
      <c r="I739" s="23" t="str">
        <f>'3.5.raw'!R739</f>
        <v/>
      </c>
    </row>
    <row r="740">
      <c r="A740" s="23" t="str">
        <f t="shared" si="17"/>
        <v>FB1288UP</v>
      </c>
      <c r="B740" s="23" t="str">
        <f>'3.5.raw'!I740</f>
        <v>FB1288UP</v>
      </c>
      <c r="C740" s="24">
        <f>datevalue(left('3.5.raw'!K740,10))</f>
        <v>43851</v>
      </c>
      <c r="D740" s="23">
        <f>'3.5.raw'!H740</f>
        <v>99</v>
      </c>
      <c r="E740" s="1">
        <v>3.5</v>
      </c>
      <c r="F740" s="23" t="b">
        <f>if(countif(Status!C:C,A740)=1,TRUE, FALSE)</f>
        <v>1</v>
      </c>
      <c r="H740" s="23">
        <f>IFERROR(__xludf.DUMMYFUNCTION("IFs(REGEXMATCH(I740, ""NOT""), 0, REGEXMATCH(I740, ""NO""), 0, REGEXMATCH(I740, ""TURBID""),1, COUNTBLANK(I740),"""", istext(I740),"""")"),0.0)</f>
        <v>0</v>
      </c>
      <c r="I740" s="23" t="str">
        <f>'3.5.raw'!R740</f>
        <v>Associated Sample MO1158 and NOT TURBID</v>
      </c>
    </row>
    <row r="741">
      <c r="A741" s="23" t="str">
        <f t="shared" si="17"/>
        <v>MO1159</v>
      </c>
      <c r="B741" s="23" t="str">
        <f>'3.5.raw'!I741</f>
        <v>MO1159</v>
      </c>
      <c r="C741" s="24">
        <f>datevalue(left('3.5.raw'!K741,10))</f>
        <v>43851</v>
      </c>
      <c r="D741" s="23">
        <f>'3.5.raw'!H741</f>
        <v>12</v>
      </c>
      <c r="E741" s="1">
        <v>3.5</v>
      </c>
      <c r="F741" s="23" t="b">
        <f>if(countif(Status!C:C,A741)=1,TRUE, FALSE)</f>
        <v>1</v>
      </c>
      <c r="H741" s="23" t="str">
        <f>IFERROR(__xludf.DUMMYFUNCTION("IFs(REGEXMATCH(I741, ""NOT""), 0, REGEXMATCH(I741, ""NO""), 0, REGEXMATCH(I741, ""TURBID""),1, COUNTBLANK(I741),"""", istext(I741),"""")"),"")</f>
        <v/>
      </c>
      <c r="I741" s="23" t="str">
        <f>'3.5.raw'!R741</f>
        <v/>
      </c>
    </row>
    <row r="742">
      <c r="A742" s="23" t="str">
        <f t="shared" si="17"/>
        <v>FB1287UP</v>
      </c>
      <c r="B742" s="23" t="str">
        <f>'3.5.raw'!I742</f>
        <v>FB1287UP</v>
      </c>
      <c r="C742" s="24">
        <f>datevalue(left('3.5.raw'!K742,10))</f>
        <v>43851</v>
      </c>
      <c r="D742" s="23">
        <f>'3.5.raw'!H742</f>
        <v>99</v>
      </c>
      <c r="E742" s="1">
        <v>3.5</v>
      </c>
      <c r="F742" s="23" t="b">
        <f>if(countif(Status!C:C,A742)=1,TRUE, FALSE)</f>
        <v>1</v>
      </c>
      <c r="H742" s="23">
        <f>IFERROR(__xludf.DUMMYFUNCTION("IFs(REGEXMATCH(I742, ""NOT""), 0, REGEXMATCH(I742, ""NO""), 0, REGEXMATCH(I742, ""TURBID""),1, COUNTBLANK(I742),"""", istext(I742),"""")"),0.0)</f>
        <v>0</v>
      </c>
      <c r="I742" s="23" t="str">
        <f>'3.5.raw'!R742</f>
        <v>Associated Sample MO1159 and NOT TURBID</v>
      </c>
    </row>
    <row r="743">
      <c r="A743" s="23" t="str">
        <f t="shared" si="17"/>
        <v>UPNC82</v>
      </c>
      <c r="B743" s="23" t="str">
        <f>'3.5.raw'!I743</f>
        <v>UPNC82</v>
      </c>
      <c r="C743" s="24">
        <f>datevalue(left('3.5.raw'!K743,10))</f>
        <v>43851</v>
      </c>
      <c r="D743" s="23">
        <f>'3.5.raw'!H743</f>
        <v>98</v>
      </c>
      <c r="E743" s="1">
        <v>3.5</v>
      </c>
      <c r="F743" s="23" t="b">
        <f>if(countif(Status!C:C,A743)=1,TRUE, FALSE)</f>
        <v>1</v>
      </c>
      <c r="H743" s="23">
        <f>IFERROR(__xludf.DUMMYFUNCTION("IFs(REGEXMATCH(I743, ""NOT""), 0, REGEXMATCH(I743, ""NO""), 0, REGEXMATCH(I743, ""TURBID""),1, COUNTBLANK(I743),"""", istext(I743),"""")"),0.0)</f>
        <v>0</v>
      </c>
      <c r="I743" s="23" t="str">
        <f>'3.5.raw'!R743</f>
        <v>NOT TURBID</v>
      </c>
    </row>
    <row r="744">
      <c r="A744" s="23" t="str">
        <f t="shared" si="17"/>
        <v>MO1160</v>
      </c>
      <c r="B744" s="23" t="str">
        <f>'3.5.raw'!I744</f>
        <v>MO1160</v>
      </c>
      <c r="C744" s="24">
        <f>datevalue(left('3.5.raw'!K744,10))</f>
        <v>43852</v>
      </c>
      <c r="D744" s="23">
        <f>'3.5.raw'!H744</f>
        <v>12</v>
      </c>
      <c r="E744" s="1">
        <v>3.5</v>
      </c>
      <c r="F744" s="23" t="b">
        <f>if(countif(Status!C:C,A744)=1,TRUE, FALSE)</f>
        <v>1</v>
      </c>
      <c r="H744" s="23" t="str">
        <f>IFERROR(__xludf.DUMMYFUNCTION("IFs(REGEXMATCH(I744, ""NOT""), 0, REGEXMATCH(I744, ""NO""), 0, REGEXMATCH(I744, ""TURBID""),1, COUNTBLANK(I744),"""", istext(I744),"""")"),"")</f>
        <v/>
      </c>
      <c r="I744" s="23" t="str">
        <f>'3.5.raw'!R744</f>
        <v/>
      </c>
    </row>
    <row r="745">
      <c r="A745" s="23" t="str">
        <f t="shared" si="17"/>
        <v>FB1293UP</v>
      </c>
      <c r="B745" s="23" t="str">
        <f>'3.5.raw'!I745</f>
        <v>FB1293UP</v>
      </c>
      <c r="C745" s="24">
        <f>datevalue(left('3.5.raw'!K745,10))</f>
        <v>43852</v>
      </c>
      <c r="D745" s="23">
        <f>'3.5.raw'!H745</f>
        <v>99</v>
      </c>
      <c r="E745" s="1">
        <v>3.5</v>
      </c>
      <c r="F745" s="23" t="b">
        <f>if(countif(Status!C:C,A745)=1,TRUE, FALSE)</f>
        <v>1</v>
      </c>
      <c r="H745" s="23">
        <f>IFERROR(__xludf.DUMMYFUNCTION("IFs(REGEXMATCH(I745, ""NOT""), 0, REGEXMATCH(I745, ""NO""), 0, REGEXMATCH(I745, ""TURBID""),1, COUNTBLANK(I745),"""", istext(I745),"""")"),0.0)</f>
        <v>0</v>
      </c>
      <c r="I745" s="23" t="str">
        <f>'3.5.raw'!R745</f>
        <v>Associated Sample MO1160 and NOT TURBID</v>
      </c>
    </row>
    <row r="746">
      <c r="A746" s="23" t="str">
        <f t="shared" si="17"/>
        <v>MO1161</v>
      </c>
      <c r="B746" s="23" t="str">
        <f>'3.5.raw'!I746</f>
        <v>MO1161</v>
      </c>
      <c r="C746" s="24">
        <f>datevalue(left('3.5.raw'!K746,10))</f>
        <v>43852</v>
      </c>
      <c r="D746" s="23">
        <f>'3.5.raw'!H746</f>
        <v>12</v>
      </c>
      <c r="E746" s="1">
        <v>3.5</v>
      </c>
      <c r="F746" s="23" t="b">
        <f>if(countif(Status!C:C,A746)=1,TRUE, FALSE)</f>
        <v>1</v>
      </c>
      <c r="H746" s="23" t="str">
        <f>IFERROR(__xludf.DUMMYFUNCTION("IFs(REGEXMATCH(I746, ""NOT""), 0, REGEXMATCH(I746, ""NO""), 0, REGEXMATCH(I746, ""TURBID""),1, COUNTBLANK(I746),"""", istext(I746),"""")"),"")</f>
        <v/>
      </c>
      <c r="I746" s="23" t="str">
        <f>'3.5.raw'!R746</f>
        <v/>
      </c>
    </row>
    <row r="747">
      <c r="A747" s="23" t="str">
        <f t="shared" si="17"/>
        <v>FB1294UP</v>
      </c>
      <c r="B747" s="23" t="str">
        <f>'3.5.raw'!I747</f>
        <v>FB1294UP</v>
      </c>
      <c r="C747" s="24">
        <f>datevalue(left('3.5.raw'!K747,10))</f>
        <v>43852</v>
      </c>
      <c r="D747" s="23">
        <f>'3.5.raw'!H747</f>
        <v>99</v>
      </c>
      <c r="E747" s="1">
        <v>3.5</v>
      </c>
      <c r="F747" s="23" t="b">
        <f>if(countif(Status!C:C,A747)=1,TRUE, FALSE)</f>
        <v>1</v>
      </c>
      <c r="H747" s="23">
        <f>IFERROR(__xludf.DUMMYFUNCTION("IFs(REGEXMATCH(I747, ""NOT""), 0, REGEXMATCH(I747, ""NO""), 0, REGEXMATCH(I747, ""TURBID""),1, COUNTBLANK(I747),"""", istext(I747),"""")"),0.0)</f>
        <v>0</v>
      </c>
      <c r="I747" s="23" t="str">
        <f>'3.5.raw'!R747</f>
        <v>Associated Sample MO1161 and NOT TURBID</v>
      </c>
    </row>
    <row r="748">
      <c r="A748" s="23" t="str">
        <f t="shared" si="17"/>
        <v>MO1162</v>
      </c>
      <c r="B748" s="23" t="str">
        <f>'3.5.raw'!I748</f>
        <v>MO1162</v>
      </c>
      <c r="C748" s="24">
        <f>datevalue(left('3.5.raw'!K748,10))</f>
        <v>43852</v>
      </c>
      <c r="D748" s="23">
        <f>'3.5.raw'!H748</f>
        <v>12</v>
      </c>
      <c r="E748" s="1">
        <v>3.5</v>
      </c>
      <c r="F748" s="23" t="b">
        <f>if(countif(Status!C:C,A748)=1,TRUE, FALSE)</f>
        <v>1</v>
      </c>
      <c r="H748" s="23" t="str">
        <f>IFERROR(__xludf.DUMMYFUNCTION("IFs(REGEXMATCH(I748, ""NOT""), 0, REGEXMATCH(I748, ""NO""), 0, REGEXMATCH(I748, ""TURBID""),1, COUNTBLANK(I748),"""", istext(I748),"""")"),"")</f>
        <v/>
      </c>
      <c r="I748" s="23" t="str">
        <f>'3.5.raw'!R748</f>
        <v/>
      </c>
    </row>
    <row r="749">
      <c r="A749" s="23" t="str">
        <f t="shared" si="17"/>
        <v>FB1295UP</v>
      </c>
      <c r="B749" s="23" t="str">
        <f>'3.5.raw'!I749</f>
        <v>FB1295UP</v>
      </c>
      <c r="C749" s="24">
        <f>datevalue(left('3.5.raw'!K749,10))</f>
        <v>43852</v>
      </c>
      <c r="D749" s="23">
        <f>'3.5.raw'!H749</f>
        <v>99</v>
      </c>
      <c r="E749" s="1">
        <v>3.5</v>
      </c>
      <c r="F749" s="23" t="b">
        <f>if(countif(Status!C:C,A749)=1,TRUE, FALSE)</f>
        <v>1</v>
      </c>
      <c r="H749" s="23">
        <f>IFERROR(__xludf.DUMMYFUNCTION("IFs(REGEXMATCH(I749, ""NOT""), 0, REGEXMATCH(I749, ""NO""), 0, REGEXMATCH(I749, ""TURBID""),1, COUNTBLANK(I749),"""", istext(I749),"""")"),0.0)</f>
        <v>0</v>
      </c>
      <c r="I749" s="23" t="str">
        <f>'3.5.raw'!R749</f>
        <v>Associated Sample MO1162 and NOT TURBID</v>
      </c>
    </row>
    <row r="750">
      <c r="A750" s="23" t="str">
        <f t="shared" si="17"/>
        <v>FB1290UP</v>
      </c>
      <c r="B750" s="23" t="str">
        <f>'3.5.raw'!I750</f>
        <v>FB1290UP</v>
      </c>
      <c r="C750" s="24">
        <f>datevalue(left('3.5.raw'!K750,10))</f>
        <v>43852</v>
      </c>
      <c r="D750" s="23">
        <f>'3.5.raw'!H750</f>
        <v>99</v>
      </c>
      <c r="E750" s="1">
        <v>3.5</v>
      </c>
      <c r="F750" s="23" t="b">
        <f>if(countif(Status!C:C,A750)=1,TRUE, FALSE)</f>
        <v>1</v>
      </c>
      <c r="H750" s="23">
        <f>IFERROR(__xludf.DUMMYFUNCTION("IFs(REGEXMATCH(I750, ""NOT""), 0, REGEXMATCH(I750, ""NO""), 0, REGEXMATCH(I750, ""TURBID""),1, COUNTBLANK(I750),"""", istext(I750),"""")"),0.0)</f>
        <v>0</v>
      </c>
      <c r="I750" s="23" t="str">
        <f>'3.5.raw'!R750</f>
        <v>Associated Sample FPb2001, FPa2001, FPc2001, FPd2001, FPe2001 and NOT TURBID</v>
      </c>
    </row>
    <row r="751">
      <c r="A751" s="23" t="str">
        <f t="shared" si="17"/>
        <v>FB1291UP</v>
      </c>
      <c r="B751" s="23" t="str">
        <f>'3.5.raw'!I751</f>
        <v>FB1291UP</v>
      </c>
      <c r="C751" s="24">
        <f>datevalue(left('3.5.raw'!K751,10))</f>
        <v>43852</v>
      </c>
      <c r="D751" s="23">
        <f>'3.5.raw'!H751</f>
        <v>99</v>
      </c>
      <c r="E751" s="1">
        <v>3.5</v>
      </c>
      <c r="F751" s="23" t="b">
        <f>if(countif(Status!C:C,A751)=1,TRUE, FALSE)</f>
        <v>1</v>
      </c>
      <c r="H751" s="23">
        <f>IFERROR(__xludf.DUMMYFUNCTION("IFs(REGEXMATCH(I751, ""NOT""), 0, REGEXMATCH(I751, ""NO""), 0, REGEXMATCH(I751, ""TURBID""),1, COUNTBLANK(I751),"""", istext(I751),"""")"),0.0)</f>
        <v>0</v>
      </c>
      <c r="I751" s="23" t="str">
        <f>'3.5.raw'!R751</f>
        <v>Associated Sample SW2001 and NOT TURBID</v>
      </c>
    </row>
    <row r="752">
      <c r="A752" s="23" t="str">
        <f t="shared" si="17"/>
        <v>SF2001</v>
      </c>
      <c r="B752" s="23" t="str">
        <f>'3.5.raw'!I752</f>
        <v>SF2001</v>
      </c>
      <c r="C752" s="24">
        <f>datevalue(left('3.5.raw'!K752,10))</f>
        <v>43852</v>
      </c>
      <c r="D752" s="23">
        <f>'3.5.raw'!H752</f>
        <v>10</v>
      </c>
      <c r="E752" s="1">
        <v>3.5</v>
      </c>
      <c r="F752" s="23" t="b">
        <f>if(countif(Status!C:C,A752)=1,TRUE, FALSE)</f>
        <v>1</v>
      </c>
      <c r="H752" s="23" t="str">
        <f>IFERROR(__xludf.DUMMYFUNCTION("IFs(REGEXMATCH(I752, ""NOT""), 0, REGEXMATCH(I752, ""NO""), 0, REGEXMATCH(I752, ""TURBID""),1, COUNTBLANK(I752),"""", istext(I752),"""")"),"")</f>
        <v/>
      </c>
      <c r="I752" s="23" t="str">
        <f>'3.5.raw'!R752</f>
        <v/>
      </c>
    </row>
    <row r="753">
      <c r="A753" s="23" t="str">
        <f t="shared" si="17"/>
        <v>FB1292UP</v>
      </c>
      <c r="B753" s="23" t="str">
        <f>'3.5.raw'!I753</f>
        <v>FB1292UP</v>
      </c>
      <c r="C753" s="24">
        <f>datevalue(left('3.5.raw'!K753,10))</f>
        <v>43852</v>
      </c>
      <c r="D753" s="23">
        <f>'3.5.raw'!H753</f>
        <v>99</v>
      </c>
      <c r="E753" s="1">
        <v>3.5</v>
      </c>
      <c r="F753" s="23" t="b">
        <f>if(countif(Status!C:C,A753)=1,TRUE, FALSE)</f>
        <v>1</v>
      </c>
      <c r="H753" s="23">
        <f>IFERROR(__xludf.DUMMYFUNCTION("IFs(REGEXMATCH(I753, ""NOT""), 0, REGEXMATCH(I753, ""NO""), 0, REGEXMATCH(I753, ""TURBID""),1, COUNTBLANK(I753),"""", istext(I753),"""")"),0.0)</f>
        <v>0</v>
      </c>
      <c r="I753" s="23" t="str">
        <f>'3.5.raw'!R753</f>
        <v>Associated Sample SF2001 and NOT TURBID</v>
      </c>
    </row>
    <row r="754">
      <c r="A754" s="23" t="str">
        <f t="shared" si="17"/>
        <v>UPNC83</v>
      </c>
      <c r="B754" s="23" t="str">
        <f>'3.5.raw'!I754</f>
        <v>UPNC83</v>
      </c>
      <c r="C754" s="24">
        <f>datevalue(left('3.5.raw'!K754,10))</f>
        <v>43852</v>
      </c>
      <c r="D754" s="23">
        <f>'3.5.raw'!H754</f>
        <v>98</v>
      </c>
      <c r="E754" s="1">
        <v>3.5</v>
      </c>
      <c r="F754" s="23" t="b">
        <f>if(countif(Status!C:C,A754)=1,TRUE, FALSE)</f>
        <v>1</v>
      </c>
      <c r="H754" s="23">
        <f>IFERROR(__xludf.DUMMYFUNCTION("IFs(REGEXMATCH(I754, ""NOT""), 0, REGEXMATCH(I754, ""NO""), 0, REGEXMATCH(I754, ""TURBID""),1, COUNTBLANK(I754),"""", istext(I754),"""")"),0.0)</f>
        <v>0</v>
      </c>
      <c r="I754" s="23" t="str">
        <f>'3.5.raw'!R754</f>
        <v>NOT TURBID</v>
      </c>
    </row>
    <row r="755">
      <c r="A755" s="23" t="str">
        <f t="shared" si="17"/>
        <v>PLc1183</v>
      </c>
      <c r="B755" s="23" t="str">
        <f>'3.5.raw'!I755</f>
        <v>PLc1183</v>
      </c>
      <c r="C755" s="24">
        <f>datevalue(left('3.5.raw'!K755,10))</f>
        <v>43857</v>
      </c>
      <c r="D755" s="23">
        <f>'3.5.raw'!H755</f>
        <v>11</v>
      </c>
      <c r="E755" s="1">
        <v>3.5</v>
      </c>
      <c r="F755" s="23" t="b">
        <f>if(countif(Status!C:C,A755)=1,TRUE, FALSE)</f>
        <v>1</v>
      </c>
      <c r="H755" s="23" t="str">
        <f>IFERROR(__xludf.DUMMYFUNCTION("IFs(REGEXMATCH(I755, ""NOT""), 0, REGEXMATCH(I755, ""NO""), 0, REGEXMATCH(I755, ""TURBID""),1, COUNTBLANK(I755),"""", istext(I755),"""")"),"")</f>
        <v/>
      </c>
      <c r="I755" s="23" t="str">
        <f>'3.5.raw'!R755</f>
        <v/>
      </c>
    </row>
    <row r="756">
      <c r="A756" s="23" t="str">
        <f t="shared" si="17"/>
        <v>FB1298UP</v>
      </c>
      <c r="B756" s="23" t="str">
        <f>'3.5.raw'!I756</f>
        <v>FB1298UP</v>
      </c>
      <c r="C756" s="24">
        <f>datevalue(left('3.5.raw'!K756,10))</f>
        <v>43857</v>
      </c>
      <c r="D756" s="23">
        <f>'3.5.raw'!H756</f>
        <v>99</v>
      </c>
      <c r="E756" s="1">
        <v>3.5</v>
      </c>
      <c r="F756" s="23" t="b">
        <f>if(countif(Status!C:C,A756)=1,TRUE, FALSE)</f>
        <v>1</v>
      </c>
      <c r="H756" s="23">
        <f>IFERROR(__xludf.DUMMYFUNCTION("IFs(REGEXMATCH(I756, ""NOT""), 0, REGEXMATCH(I756, ""NO""), 0, REGEXMATCH(I756, ""TURBID""),1, COUNTBLANK(I756),"""", istext(I756),"""")"),0.0)</f>
        <v>0</v>
      </c>
      <c r="I756" s="23" t="str">
        <f>'3.5.raw'!R756</f>
        <v>Associated Sample PLc1183 and NOT TURBID</v>
      </c>
    </row>
    <row r="757">
      <c r="A757" s="23" t="str">
        <f t="shared" si="17"/>
        <v>FB1296UP</v>
      </c>
      <c r="B757" s="23" t="str">
        <f>'3.5.raw'!I757</f>
        <v>FB1296UP</v>
      </c>
      <c r="C757" s="24">
        <f>datevalue(left('3.5.raw'!K757,10))</f>
        <v>43857</v>
      </c>
      <c r="D757" s="23">
        <f>'3.5.raw'!H757</f>
        <v>99</v>
      </c>
      <c r="E757" s="1">
        <v>3.5</v>
      </c>
      <c r="F757" s="23" t="b">
        <f>if(countif(Status!C:C,A757)=1,TRUE, FALSE)</f>
        <v>1</v>
      </c>
      <c r="H757" s="23">
        <f>IFERROR(__xludf.DUMMYFUNCTION("IFs(REGEXMATCH(I757, ""NOT""), 0, REGEXMATCH(I757, ""NO""), 0, REGEXMATCH(I757, ""TURBID""),1, COUNTBLANK(I757),"""", istext(I757),"""")"),0.0)</f>
        <v>0</v>
      </c>
      <c r="I757" s="23" t="str">
        <f>'3.5.raw'!R757</f>
        <v>Associated Sample BW2001 and NOT TURBID</v>
      </c>
    </row>
    <row r="758">
      <c r="A758" s="23" t="str">
        <f t="shared" si="17"/>
        <v>FB1297UP</v>
      </c>
      <c r="B758" s="23" t="str">
        <f>'3.5.raw'!I758</f>
        <v>FB1297UP</v>
      </c>
      <c r="C758" s="24">
        <f>datevalue(left('3.5.raw'!K758,10))</f>
        <v>43857</v>
      </c>
      <c r="D758" s="23">
        <f>'3.5.raw'!H758</f>
        <v>99</v>
      </c>
      <c r="E758" s="1">
        <v>3.5</v>
      </c>
      <c r="F758" s="23" t="b">
        <f>if(countif(Status!C:C,A758)=1,TRUE, FALSE)</f>
        <v>1</v>
      </c>
      <c r="H758" s="23">
        <f>IFERROR(__xludf.DUMMYFUNCTION("IFs(REGEXMATCH(I758, ""NOT""), 0, REGEXMATCH(I758, ""NO""), 0, REGEXMATCH(I758, ""TURBID""),1, COUNTBLANK(I758),"""", istext(I758),"""")"),0.0)</f>
        <v>0</v>
      </c>
      <c r="I758" s="23" t="str">
        <f>'3.5.raw'!R758</f>
        <v>Associated Sample SL2002 and NOT TURBID</v>
      </c>
    </row>
    <row r="759">
      <c r="A759" s="23" t="str">
        <f t="shared" si="17"/>
        <v>UPNC84</v>
      </c>
      <c r="B759" s="23" t="str">
        <f>'3.5.raw'!I759</f>
        <v>UPNC84</v>
      </c>
      <c r="C759" s="24">
        <f>datevalue(left('3.5.raw'!K759,10))</f>
        <v>43857</v>
      </c>
      <c r="D759" s="23">
        <f>'3.5.raw'!H759</f>
        <v>98</v>
      </c>
      <c r="E759" s="1">
        <v>3.5</v>
      </c>
      <c r="F759" s="23" t="b">
        <f>if(countif(Status!C:C,A759)=1,TRUE, FALSE)</f>
        <v>1</v>
      </c>
      <c r="H759" s="23">
        <f>IFERROR(__xludf.DUMMYFUNCTION("IFs(REGEXMATCH(I759, ""NOT""), 0, REGEXMATCH(I759, ""NO""), 0, REGEXMATCH(I759, ""TURBID""),1, COUNTBLANK(I759),"""", istext(I759),"""")"),0.0)</f>
        <v>0</v>
      </c>
      <c r="I759" s="23" t="str">
        <f>'3.5.raw'!R759</f>
        <v>NOT TURBID</v>
      </c>
    </row>
    <row r="760">
      <c r="A760" s="23" t="str">
        <f t="shared" si="17"/>
        <v>MO1163</v>
      </c>
      <c r="B760" s="23" t="str">
        <f>'3.5.raw'!I760</f>
        <v>MO1163</v>
      </c>
      <c r="C760" s="24">
        <f>datevalue(left('3.5.raw'!K760,10))</f>
        <v>43858</v>
      </c>
      <c r="D760" s="23">
        <f>'3.5.raw'!H760</f>
        <v>12</v>
      </c>
      <c r="E760" s="1">
        <v>3.5</v>
      </c>
      <c r="F760" s="23" t="b">
        <f>if(countif(Status!C:C,A760)=1,TRUE, FALSE)</f>
        <v>1</v>
      </c>
      <c r="H760" s="23" t="str">
        <f>IFERROR(__xludf.DUMMYFUNCTION("IFs(REGEXMATCH(I760, ""NOT""), 0, REGEXMATCH(I760, ""NO""), 0, REGEXMATCH(I760, ""TURBID""),1, COUNTBLANK(I760),"""", istext(I760),"""")"),"")</f>
        <v/>
      </c>
      <c r="I760" s="23" t="str">
        <f>'3.5.raw'!R760</f>
        <v/>
      </c>
    </row>
    <row r="761">
      <c r="A761" s="23" t="str">
        <f t="shared" si="17"/>
        <v>FB1299UP</v>
      </c>
      <c r="B761" s="23" t="str">
        <f>'3.5.raw'!I761</f>
        <v>FB1299UP</v>
      </c>
      <c r="C761" s="24">
        <f>datevalue(left('3.5.raw'!K761,10))</f>
        <v>43858</v>
      </c>
      <c r="D761" s="23">
        <f>'3.5.raw'!H761</f>
        <v>99</v>
      </c>
      <c r="E761" s="1">
        <v>3.5</v>
      </c>
      <c r="F761" s="23" t="b">
        <f>if(countif(Status!C:C,A761)=1,TRUE, FALSE)</f>
        <v>1</v>
      </c>
      <c r="H761" s="23">
        <f>IFERROR(__xludf.DUMMYFUNCTION("IFs(REGEXMATCH(I761, ""NOT""), 0, REGEXMATCH(I761, ""NO""), 0, REGEXMATCH(I761, ""TURBID""),1, COUNTBLANK(I761),"""", istext(I761),"""")"),0.0)</f>
        <v>0</v>
      </c>
      <c r="I761" s="23" t="str">
        <f>'3.5.raw'!R761</f>
        <v>Associated Sample MO1163 and NOT TURBID</v>
      </c>
    </row>
    <row r="762">
      <c r="A762" s="23" t="str">
        <f t="shared" si="17"/>
        <v>MO1164</v>
      </c>
      <c r="B762" s="23" t="str">
        <f>'3.5.raw'!I762</f>
        <v>MO1164</v>
      </c>
      <c r="C762" s="24">
        <f>datevalue(left('3.5.raw'!K762,10))</f>
        <v>43858</v>
      </c>
      <c r="D762" s="23">
        <f>'3.5.raw'!H762</f>
        <v>12</v>
      </c>
      <c r="E762" s="1">
        <v>3.5</v>
      </c>
      <c r="F762" s="23" t="b">
        <f>if(countif(Status!C:C,A762)=1,TRUE, FALSE)</f>
        <v>1</v>
      </c>
      <c r="H762" s="23" t="str">
        <f>IFERROR(__xludf.DUMMYFUNCTION("IFs(REGEXMATCH(I762, ""NOT""), 0, REGEXMATCH(I762, ""NO""), 0, REGEXMATCH(I762, ""TURBID""),1, COUNTBLANK(I762),"""", istext(I762),"""")"),"")</f>
        <v/>
      </c>
      <c r="I762" s="23" t="str">
        <f>'3.5.raw'!R762</f>
        <v/>
      </c>
    </row>
    <row r="763">
      <c r="A763" s="23" t="str">
        <f t="shared" si="17"/>
        <v>FB1300UP</v>
      </c>
      <c r="B763" s="23" t="str">
        <f>'3.5.raw'!I763</f>
        <v>FB1300UP</v>
      </c>
      <c r="C763" s="24">
        <f>datevalue(left('3.5.raw'!K763,10))</f>
        <v>43858</v>
      </c>
      <c r="D763" s="23">
        <f>'3.5.raw'!H763</f>
        <v>99</v>
      </c>
      <c r="E763" s="1">
        <v>3.5</v>
      </c>
      <c r="F763" s="23" t="b">
        <f>if(countif(Status!C:C,A763)=1,TRUE, FALSE)</f>
        <v>1</v>
      </c>
      <c r="H763" s="23">
        <f>IFERROR(__xludf.DUMMYFUNCTION("IFs(REGEXMATCH(I763, ""NOT""), 0, REGEXMATCH(I763, ""NO""), 0, REGEXMATCH(I763, ""TURBID""),1, COUNTBLANK(I763),"""", istext(I763),"""")"),0.0)</f>
        <v>0</v>
      </c>
      <c r="I763" s="23" t="str">
        <f>'3.5.raw'!R763</f>
        <v>Associated Sample MO1164 and NOT TURBID</v>
      </c>
    </row>
    <row r="764">
      <c r="A764" s="23" t="str">
        <f t="shared" si="17"/>
        <v>MO1165</v>
      </c>
      <c r="B764" s="23" t="str">
        <f>'3.5.raw'!I764</f>
        <v>MO1165</v>
      </c>
      <c r="C764" s="24">
        <f>datevalue(left('3.5.raw'!K764,10))</f>
        <v>43858</v>
      </c>
      <c r="D764" s="23">
        <f>'3.5.raw'!H764</f>
        <v>12</v>
      </c>
      <c r="E764" s="1">
        <v>3.5</v>
      </c>
      <c r="F764" s="23" t="b">
        <f>if(countif(Status!C:C,A764)=1,TRUE, FALSE)</f>
        <v>1</v>
      </c>
      <c r="H764" s="23" t="str">
        <f>IFERROR(__xludf.DUMMYFUNCTION("IFs(REGEXMATCH(I764, ""NOT""), 0, REGEXMATCH(I764, ""NO""), 0, REGEXMATCH(I764, ""TURBID""),1, COUNTBLANK(I764),"""", istext(I764),"""")"),"")</f>
        <v/>
      </c>
      <c r="I764" s="23" t="str">
        <f>'3.5.raw'!R764</f>
        <v/>
      </c>
    </row>
    <row r="765">
      <c r="A765" s="23" t="str">
        <f t="shared" si="17"/>
        <v>FB1301UP</v>
      </c>
      <c r="B765" s="23" t="str">
        <f>'3.5.raw'!I765</f>
        <v>FB1301UP</v>
      </c>
      <c r="C765" s="24">
        <f>datevalue(left('3.5.raw'!K765,10))</f>
        <v>43858</v>
      </c>
      <c r="D765" s="23">
        <f>'3.5.raw'!H765</f>
        <v>99</v>
      </c>
      <c r="E765" s="1">
        <v>3.5</v>
      </c>
      <c r="F765" s="23" t="b">
        <f>if(countif(Status!C:C,A765)=1,TRUE, FALSE)</f>
        <v>1</v>
      </c>
      <c r="H765" s="23">
        <f>IFERROR(__xludf.DUMMYFUNCTION("IFs(REGEXMATCH(I765, ""NOT""), 0, REGEXMATCH(I765, ""NO""), 0, REGEXMATCH(I765, ""TURBID""),1, COUNTBLANK(I765),"""", istext(I765),"""")"),0.0)</f>
        <v>0</v>
      </c>
      <c r="I765" s="23" t="str">
        <f>'3.5.raw'!R765</f>
        <v>Associated Sample MO1165 and NOT TURBID</v>
      </c>
    </row>
    <row r="766">
      <c r="A766" s="23" t="str">
        <f t="shared" si="17"/>
        <v>UPNC85</v>
      </c>
      <c r="B766" s="23" t="str">
        <f>'3.5.raw'!I766</f>
        <v>UPNC85</v>
      </c>
      <c r="C766" s="24">
        <f>datevalue(left('3.5.raw'!K766,10))</f>
        <v>43858</v>
      </c>
      <c r="D766" s="23">
        <f>'3.5.raw'!H766</f>
        <v>98</v>
      </c>
      <c r="E766" s="1">
        <v>3.5</v>
      </c>
      <c r="F766" s="23" t="b">
        <f>if(countif(Status!C:C,A766)=1,TRUE, FALSE)</f>
        <v>1</v>
      </c>
      <c r="H766" s="23">
        <f>IFERROR(__xludf.DUMMYFUNCTION("IFs(REGEXMATCH(I766, ""NOT""), 0, REGEXMATCH(I766, ""NO""), 0, REGEXMATCH(I766, ""TURBID""),1, COUNTBLANK(I766),"""", istext(I766),"""")"),0.0)</f>
        <v>0</v>
      </c>
      <c r="I766" s="23" t="str">
        <f>'3.5.raw'!R766</f>
        <v>NOT TURBID</v>
      </c>
    </row>
    <row r="767">
      <c r="A767" s="23" t="str">
        <f t="shared" si="17"/>
        <v>PLc1184</v>
      </c>
      <c r="B767" s="23" t="str">
        <f>'3.5.raw'!I767</f>
        <v>PLc1184</v>
      </c>
      <c r="C767" s="24">
        <f>datevalue(left('3.5.raw'!K767,10))</f>
        <v>43864</v>
      </c>
      <c r="D767" s="23">
        <f>'3.5.raw'!H767</f>
        <v>11</v>
      </c>
      <c r="E767" s="1">
        <v>3.5</v>
      </c>
      <c r="F767" s="23" t="b">
        <f>if(countif(Status!C:C,A767)=1,TRUE, FALSE)</f>
        <v>1</v>
      </c>
      <c r="H767" s="23" t="str">
        <f>IFERROR(__xludf.DUMMYFUNCTION("IFs(REGEXMATCH(I767, ""NOT""), 0, REGEXMATCH(I767, ""NO""), 0, REGEXMATCH(I767, ""TURBID""),1, COUNTBLANK(I767),"""", istext(I767),"""")"),"")</f>
        <v/>
      </c>
      <c r="I767" s="23" t="str">
        <f>'3.5.raw'!R767</f>
        <v/>
      </c>
    </row>
    <row r="768">
      <c r="A768" s="23" t="str">
        <f t="shared" si="17"/>
        <v>FB1302UP</v>
      </c>
      <c r="B768" s="23" t="str">
        <f>'3.5.raw'!I768</f>
        <v>FB1302UP</v>
      </c>
      <c r="C768" s="24">
        <f>datevalue(left('3.5.raw'!K768,10))</f>
        <v>43864</v>
      </c>
      <c r="D768" s="23">
        <f>'3.5.raw'!H768</f>
        <v>99</v>
      </c>
      <c r="E768" s="1">
        <v>3.5</v>
      </c>
      <c r="F768" s="23" t="b">
        <f>if(countif(Status!C:C,A768)=1,TRUE, FALSE)</f>
        <v>1</v>
      </c>
      <c r="H768" s="23">
        <f>IFERROR(__xludf.DUMMYFUNCTION("IFs(REGEXMATCH(I768, ""NOT""), 0, REGEXMATCH(I768, ""NO""), 0, REGEXMATCH(I768, ""TURBID""),1, COUNTBLANK(I768),"""", istext(I768),"""")"),0.0)</f>
        <v>0</v>
      </c>
      <c r="I768" s="23" t="str">
        <f>'3.5.raw'!R768</f>
        <v>Associated Sample PLc1184 and NOT TURBID</v>
      </c>
    </row>
    <row r="769">
      <c r="A769" s="23" t="str">
        <f t="shared" si="17"/>
        <v>PLc1185</v>
      </c>
      <c r="B769" s="23" t="str">
        <f>'3.5.raw'!I769</f>
        <v>PLc1185</v>
      </c>
      <c r="C769" s="24">
        <f>datevalue(left('3.5.raw'!K769,10))</f>
        <v>43864</v>
      </c>
      <c r="D769" s="23">
        <f>'3.5.raw'!H769</f>
        <v>11</v>
      </c>
      <c r="E769" s="1">
        <v>3.5</v>
      </c>
      <c r="F769" s="23" t="b">
        <f>if(countif(Status!C:C,A769)=1,TRUE, FALSE)</f>
        <v>1</v>
      </c>
      <c r="H769" s="23" t="str">
        <f>IFERROR(__xludf.DUMMYFUNCTION("IFs(REGEXMATCH(I769, ""NOT""), 0, REGEXMATCH(I769, ""NO""), 0, REGEXMATCH(I769, ""TURBID""),1, COUNTBLANK(I769),"""", istext(I769),"""")"),"")</f>
        <v/>
      </c>
      <c r="I769" s="23" t="str">
        <f>'3.5.raw'!R769</f>
        <v/>
      </c>
    </row>
    <row r="770">
      <c r="A770" s="23" t="str">
        <f t="shared" si="17"/>
        <v>FB1303UP</v>
      </c>
      <c r="B770" s="23" t="str">
        <f>'3.5.raw'!I770</f>
        <v>FB1303UP</v>
      </c>
      <c r="C770" s="24">
        <f>datevalue(left('3.5.raw'!K770,10))</f>
        <v>43864</v>
      </c>
      <c r="D770" s="23">
        <f>'3.5.raw'!H770</f>
        <v>11</v>
      </c>
      <c r="E770" s="1">
        <v>3.5</v>
      </c>
      <c r="F770" s="23" t="b">
        <f>if(countif(Status!C:C,A770)=1,TRUE, FALSE)</f>
        <v>1</v>
      </c>
      <c r="H770" s="23">
        <f>IFERROR(__xludf.DUMMYFUNCTION("IFs(REGEXMATCH(I770, ""NOT""), 0, REGEXMATCH(I770, ""NO""), 0, REGEXMATCH(I770, ""TURBID""),1, COUNTBLANK(I770),"""", istext(I770),"""")"),0.0)</f>
        <v>0</v>
      </c>
      <c r="I770" s="23" t="str">
        <f>'3.5.raw'!R770</f>
        <v>Associated Sample PLc1185 and NOT TURBID</v>
      </c>
    </row>
    <row r="771">
      <c r="A771" s="23" t="str">
        <f t="shared" si="17"/>
        <v>PLc1186</v>
      </c>
      <c r="B771" s="23" t="str">
        <f>'3.5.raw'!I771</f>
        <v>PLc1186</v>
      </c>
      <c r="C771" s="24">
        <f>datevalue(left('3.5.raw'!K771,10))</f>
        <v>43864</v>
      </c>
      <c r="D771" s="23">
        <f>'3.5.raw'!H771</f>
        <v>11</v>
      </c>
      <c r="E771" s="1">
        <v>3.5</v>
      </c>
      <c r="F771" s="23" t="b">
        <f>if(countif(Status!C:C,A771)=1,TRUE, FALSE)</f>
        <v>1</v>
      </c>
      <c r="H771" s="23" t="str">
        <f>IFERROR(__xludf.DUMMYFUNCTION("IFs(REGEXMATCH(I771, ""NOT""), 0, REGEXMATCH(I771, ""NO""), 0, REGEXMATCH(I771, ""TURBID""),1, COUNTBLANK(I771),"""", istext(I771),"""")"),"")</f>
        <v/>
      </c>
      <c r="I771" s="23" t="str">
        <f>'3.5.raw'!R771</f>
        <v/>
      </c>
    </row>
    <row r="772">
      <c r="A772" s="23" t="str">
        <f t="shared" si="17"/>
        <v>FB1304UP</v>
      </c>
      <c r="B772" s="23" t="str">
        <f>'3.5.raw'!I772</f>
        <v>FB1304UP</v>
      </c>
      <c r="C772" s="24">
        <f>datevalue(left('3.5.raw'!K772,10))</f>
        <v>43864</v>
      </c>
      <c r="D772" s="23">
        <f>'3.5.raw'!H772</f>
        <v>99</v>
      </c>
      <c r="E772" s="1">
        <v>3.5</v>
      </c>
      <c r="F772" s="23" t="b">
        <f>if(countif(Status!C:C,A772)=1,TRUE, FALSE)</f>
        <v>1</v>
      </c>
      <c r="H772" s="23">
        <f>IFERROR(__xludf.DUMMYFUNCTION("IFs(REGEXMATCH(I772, ""NOT""), 0, REGEXMATCH(I772, ""NO""), 0, REGEXMATCH(I772, ""TURBID""),1, COUNTBLANK(I772),"""", istext(I772),"""")"),0.0)</f>
        <v>0</v>
      </c>
      <c r="I772" s="23" t="str">
        <f>'3.5.raw'!R772</f>
        <v>Associated Sample PLc1186 and NOT TURBID</v>
      </c>
    </row>
    <row r="773">
      <c r="A773" s="23" t="str">
        <f t="shared" si="17"/>
        <v>UPNC86</v>
      </c>
      <c r="B773" s="23" t="str">
        <f>'3.5.raw'!I773</f>
        <v>UPNC86</v>
      </c>
      <c r="C773" s="24">
        <f>datevalue(left('3.5.raw'!K773,10))</f>
        <v>43864</v>
      </c>
      <c r="D773" s="23">
        <f>'3.5.raw'!H773</f>
        <v>98</v>
      </c>
      <c r="E773" s="1">
        <v>3.5</v>
      </c>
      <c r="F773" s="23" t="b">
        <f>if(countif(Status!C:C,A773)=1,TRUE, FALSE)</f>
        <v>1</v>
      </c>
      <c r="H773" s="23">
        <f>IFERROR(__xludf.DUMMYFUNCTION("IFs(REGEXMATCH(I773, ""NOT""), 0, REGEXMATCH(I773, ""NO""), 0, REGEXMATCH(I773, ""TURBID""),1, COUNTBLANK(I773),"""", istext(I773),"""")"),0.0)</f>
        <v>0</v>
      </c>
      <c r="I773" s="23" t="str">
        <f>'3.5.raw'!R773</f>
        <v>NOT TURBID</v>
      </c>
    </row>
    <row r="774">
      <c r="A774" s="23" t="str">
        <f t="shared" si="17"/>
        <v>MO1166</v>
      </c>
      <c r="B774" s="23" t="str">
        <f>'3.5.raw'!I774</f>
        <v>MO1166</v>
      </c>
      <c r="C774" s="24">
        <f>datevalue(left('3.5.raw'!K774,10))</f>
        <v>43865</v>
      </c>
      <c r="D774" s="23">
        <f>'3.5.raw'!H774</f>
        <v>12</v>
      </c>
      <c r="E774" s="1">
        <v>3.5</v>
      </c>
      <c r="F774" s="23" t="b">
        <f>if(countif(Status!C:C,A774)=1,TRUE, FALSE)</f>
        <v>1</v>
      </c>
      <c r="H774" s="23" t="str">
        <f>IFERROR(__xludf.DUMMYFUNCTION("IFs(REGEXMATCH(I774, ""NOT""), 0, REGEXMATCH(I774, ""NO""), 0, REGEXMATCH(I774, ""TURBID""),1, COUNTBLANK(I774),"""", istext(I774),"""")"),"")</f>
        <v/>
      </c>
      <c r="I774" s="23" t="str">
        <f>'3.5.raw'!R774</f>
        <v>Enrichment done for 18 hrs.</v>
      </c>
    </row>
    <row r="775">
      <c r="A775" s="49" t="s">
        <v>2773</v>
      </c>
      <c r="B775" s="23" t="str">
        <f>'3.5.raw'!I775</f>
        <v>FB1303UP</v>
      </c>
      <c r="C775" s="24">
        <f>datevalue(left('3.5.raw'!K775,10))</f>
        <v>43865</v>
      </c>
      <c r="D775" s="23">
        <f>'3.5.raw'!H775</f>
        <v>99</v>
      </c>
      <c r="E775" s="1">
        <v>3.5</v>
      </c>
      <c r="F775" s="23" t="b">
        <f>if(countif(Status!C:C,A775)=1,TRUE, FALSE)</f>
        <v>1</v>
      </c>
      <c r="H775" s="23" t="str">
        <f>IFERROR(__xludf.DUMMYFUNCTION("IFs(REGEXMATCH(I775, ""NOT""), 0, REGEXMATCH(I775, ""NO""), 0, REGEXMATCH(I775, ""TURBID""),1, COUNTBLANK(I775),"""", istext(I775),"""")"),"")</f>
        <v/>
      </c>
      <c r="I775" s="23" t="str">
        <f>'3.5.raw'!R775</f>
        <v>Enrichment done for 18 hrs.</v>
      </c>
    </row>
    <row r="776">
      <c r="A776" s="23" t="str">
        <f t="shared" ref="A776:A782" si="18">SUBSTITUTE(B776, " ", "")</f>
        <v>MO1167</v>
      </c>
      <c r="B776" s="23" t="str">
        <f>'3.5.raw'!I776</f>
        <v>MO1167</v>
      </c>
      <c r="C776" s="24">
        <f>datevalue(left('3.5.raw'!K776,10))</f>
        <v>43865</v>
      </c>
      <c r="D776" s="23">
        <f>'3.5.raw'!H776</f>
        <v>12</v>
      </c>
      <c r="E776" s="1">
        <v>3.5</v>
      </c>
      <c r="F776" s="23" t="b">
        <f>if(countif(Status!C:C,A776)=1,TRUE, FALSE)</f>
        <v>1</v>
      </c>
      <c r="H776" s="23" t="str">
        <f>IFERROR(__xludf.DUMMYFUNCTION("IFs(REGEXMATCH(I776, ""NOT""), 0, REGEXMATCH(I776, ""NO""), 0, REGEXMATCH(I776, ""TURBID""),1, COUNTBLANK(I776),"""", istext(I776),"""")"),"")</f>
        <v/>
      </c>
      <c r="I776" s="23" t="str">
        <f>'3.5.raw'!R776</f>
        <v>Enrichment done for 18 hrs</v>
      </c>
    </row>
    <row r="777">
      <c r="A777" s="23" t="str">
        <f t="shared" si="18"/>
        <v>FB1307UP</v>
      </c>
      <c r="B777" s="23" t="str">
        <f>'3.5.raw'!I777</f>
        <v>FB1307UP</v>
      </c>
      <c r="C777" s="24">
        <f>datevalue(left('3.5.raw'!K777,10))</f>
        <v>43865</v>
      </c>
      <c r="D777" s="23">
        <f>'3.5.raw'!H777</f>
        <v>99</v>
      </c>
      <c r="E777" s="1">
        <v>3.5</v>
      </c>
      <c r="F777" s="23" t="b">
        <f>if(countif(Status!C:C,A777)=1,TRUE, FALSE)</f>
        <v>1</v>
      </c>
      <c r="H777" s="23">
        <f>IFERROR(__xludf.DUMMYFUNCTION("IFs(REGEXMATCH(I777, ""NOT""), 0, REGEXMATCH(I777, ""NO""), 0, REGEXMATCH(I777, ""TURBID""),1, COUNTBLANK(I777),"""", istext(I777),"""")"),0.0)</f>
        <v>0</v>
      </c>
      <c r="I777" s="23" t="str">
        <f>'3.5.raw'!R777</f>
        <v>Associated Sample MO1167 and NOT TURBID, Enrichment done for 18 hrs.</v>
      </c>
    </row>
    <row r="778">
      <c r="A778" s="23" t="str">
        <f t="shared" si="18"/>
        <v>MO1168</v>
      </c>
      <c r="B778" s="23" t="str">
        <f>'3.5.raw'!I778</f>
        <v>MO1168</v>
      </c>
      <c r="C778" s="24">
        <f>datevalue(left('3.5.raw'!K778,10))</f>
        <v>43865</v>
      </c>
      <c r="D778" s="23">
        <f>'3.5.raw'!H778</f>
        <v>12</v>
      </c>
      <c r="E778" s="1">
        <v>3.5</v>
      </c>
      <c r="F778" s="23" t="b">
        <f>if(countif(Status!C:C,A778)=1,TRUE, FALSE)</f>
        <v>1</v>
      </c>
      <c r="H778" s="23" t="str">
        <f>IFERROR(__xludf.DUMMYFUNCTION("IFs(REGEXMATCH(I778, ""NOT""), 0, REGEXMATCH(I778, ""NO""), 0, REGEXMATCH(I778, ""TURBID""),1, COUNTBLANK(I778),"""", istext(I778),"""")"),"")</f>
        <v/>
      </c>
      <c r="I778" s="23" t="str">
        <f>'3.5.raw'!R778</f>
        <v>Enrichment done for 18 hrs.</v>
      </c>
    </row>
    <row r="779">
      <c r="A779" s="23" t="str">
        <f t="shared" si="18"/>
        <v>FB1306UP</v>
      </c>
      <c r="B779" s="23" t="str">
        <f>'3.5.raw'!I779</f>
        <v>FB1306UP</v>
      </c>
      <c r="C779" s="24">
        <f>datevalue(left('3.5.raw'!K779,10))</f>
        <v>43865</v>
      </c>
      <c r="D779" s="23">
        <f>'3.5.raw'!H779</f>
        <v>99</v>
      </c>
      <c r="E779" s="1">
        <v>3.5</v>
      </c>
      <c r="F779" s="23" t="b">
        <f>if(countif(Status!C:C,A779)=1,TRUE, FALSE)</f>
        <v>1</v>
      </c>
      <c r="H779" s="23">
        <f>IFERROR(__xludf.DUMMYFUNCTION("IFs(REGEXMATCH(I779, ""NOT""), 0, REGEXMATCH(I779, ""NO""), 0, REGEXMATCH(I779, ""TURBID""),1, COUNTBLANK(I779),"""", istext(I779),"""")"),0.0)</f>
        <v>0</v>
      </c>
      <c r="I779" s="23" t="str">
        <f>'3.5.raw'!R779</f>
        <v>Associated Sample MO1166 and NOT TURBID, Enrichment done for 18 hrs.</v>
      </c>
    </row>
    <row r="780">
      <c r="A780" s="23" t="str">
        <f t="shared" si="18"/>
        <v>FB1308UP</v>
      </c>
      <c r="B780" s="23" t="str">
        <f>'3.5.raw'!I780</f>
        <v>FB1308UP</v>
      </c>
      <c r="C780" s="24">
        <f>datevalue(left('3.5.raw'!K780,10))</f>
        <v>43865</v>
      </c>
      <c r="D780" s="23">
        <f>'3.5.raw'!H780</f>
        <v>99</v>
      </c>
      <c r="E780" s="1">
        <v>3.5</v>
      </c>
      <c r="F780" s="23" t="b">
        <f>if(countif(Status!C:C,A780)=1,TRUE, FALSE)</f>
        <v>1</v>
      </c>
      <c r="H780" s="23">
        <f>IFERROR(__xludf.DUMMYFUNCTION("IFs(REGEXMATCH(I780, ""NOT""), 0, REGEXMATCH(I780, ""NO""), 0, REGEXMATCH(I780, ""TURBID""),1, COUNTBLANK(I780),"""", istext(I780),"""")"),0.0)</f>
        <v>0</v>
      </c>
      <c r="I780" s="23" t="str">
        <f>'3.5.raw'!R780</f>
        <v>Associated Sample MO1168 and NOT TURBID, Enrichment done for 18 hrs.</v>
      </c>
    </row>
    <row r="781">
      <c r="A781" s="23" t="str">
        <f t="shared" si="18"/>
        <v>FB1305UP</v>
      </c>
      <c r="B781" s="23" t="str">
        <f>'3.5.raw'!I781</f>
        <v>FB1305UP</v>
      </c>
      <c r="C781" s="24">
        <f>datevalue(left('3.5.raw'!K781,10))</f>
        <v>43865</v>
      </c>
      <c r="D781" s="23">
        <f>'3.5.raw'!H781</f>
        <v>99</v>
      </c>
      <c r="E781" s="1">
        <v>3.5</v>
      </c>
      <c r="F781" s="23" t="b">
        <f>if(countif(Status!C:C,A781)=1,TRUE, FALSE)</f>
        <v>1</v>
      </c>
      <c r="H781" s="23">
        <f>IFERROR(__xludf.DUMMYFUNCTION("IFs(REGEXMATCH(I781, ""NOT""), 0, REGEXMATCH(I781, ""NO""), 0, REGEXMATCH(I781, ""TURBID""),1, COUNTBLANK(I781),"""", istext(I781),"""")"),0.0)</f>
        <v>0</v>
      </c>
      <c r="I781" s="23" t="str">
        <f>'3.5.raw'!R781</f>
        <v>Associated Sample LS2001 and NOT TURBID, Enrichment done for 18 hrs.</v>
      </c>
    </row>
    <row r="782">
      <c r="A782" s="23" t="str">
        <f t="shared" si="18"/>
        <v>PLc1187</v>
      </c>
      <c r="B782" s="23" t="str">
        <f>'3.5.raw'!I782</f>
        <v>PLc1187</v>
      </c>
      <c r="C782" s="24">
        <f>datevalue(left('3.5.raw'!K782,10))</f>
        <v>43865</v>
      </c>
      <c r="D782" s="23">
        <f>'3.5.raw'!H782</f>
        <v>11</v>
      </c>
      <c r="E782" s="1">
        <v>3.5</v>
      </c>
      <c r="F782" s="23" t="b">
        <f>if(countif(Status!C:C,A782)=1,TRUE, FALSE)</f>
        <v>1</v>
      </c>
      <c r="H782" s="23" t="str">
        <f>IFERROR(__xludf.DUMMYFUNCTION("IFs(REGEXMATCH(I782, ""NOT""), 0, REGEXMATCH(I782, ""NO""), 0, REGEXMATCH(I782, ""TURBID""),1, COUNTBLANK(I782),"""", istext(I782),"""")"),"")</f>
        <v/>
      </c>
      <c r="I782" s="23" t="str">
        <f>'3.5.raw'!R782</f>
        <v>Enrichment done for 18 hrs.</v>
      </c>
    </row>
    <row r="783">
      <c r="A783" s="49" t="s">
        <v>342</v>
      </c>
      <c r="B783" s="23" t="str">
        <f>'3.5.raw'!I783</f>
        <v>FB1301UP</v>
      </c>
      <c r="C783" s="24">
        <f>datevalue(left('3.5.raw'!K783,10))</f>
        <v>43865</v>
      </c>
      <c r="D783" s="23">
        <f>'3.5.raw'!H783</f>
        <v>99</v>
      </c>
      <c r="E783" s="1">
        <v>3.5</v>
      </c>
      <c r="F783" s="23" t="b">
        <f>if(countif(Status!C:C,A783)=1,TRUE, FALSE)</f>
        <v>1</v>
      </c>
      <c r="H783" s="23">
        <f>IFERROR(__xludf.DUMMYFUNCTION("IFs(REGEXMATCH(I783, ""NOT""), 0, REGEXMATCH(I783, ""NO""), 0, REGEXMATCH(I783, ""TURBID""),1, COUNTBLANK(I783),"""", istext(I783),"""")"),0.0)</f>
        <v>0</v>
      </c>
      <c r="I783" s="23" t="str">
        <f>'3.5.raw'!R783</f>
        <v>Associated Sample PLc1187 and NOT TURBID, Enrichment done for 18 hrs.</v>
      </c>
    </row>
    <row r="784">
      <c r="A784" s="23" t="str">
        <f t="shared" ref="A784:A785" si="19">SUBSTITUTE(B784, " ", "")</f>
        <v>UPNC87</v>
      </c>
      <c r="B784" s="23" t="str">
        <f>'3.5.raw'!I784</f>
        <v>UPNC87</v>
      </c>
      <c r="C784" s="24">
        <f>datevalue(left('3.5.raw'!K784,10))</f>
        <v>43865</v>
      </c>
      <c r="D784" s="23">
        <f>'3.5.raw'!H784</f>
        <v>98</v>
      </c>
      <c r="E784" s="1">
        <v>3.5</v>
      </c>
      <c r="F784" s="23" t="b">
        <f>if(countif(Status!C:C,A784)=1,TRUE, FALSE)</f>
        <v>1</v>
      </c>
      <c r="H784" s="23">
        <f>IFERROR(__xludf.DUMMYFUNCTION("IFs(REGEXMATCH(I784, ""NOT""), 0, REGEXMATCH(I784, ""NO""), 0, REGEXMATCH(I784, ""TURBID""),1, COUNTBLANK(I784),"""", istext(I784),"""")"),0.0)</f>
        <v>0</v>
      </c>
      <c r="I784" s="23" t="str">
        <f>'3.5.raw'!R784</f>
        <v>NOT TURBID, Enrichment done for 18 hrs.</v>
      </c>
    </row>
    <row r="785">
      <c r="A785" s="23" t="str">
        <f t="shared" si="19"/>
        <v>FB1309UP</v>
      </c>
      <c r="B785" s="23" t="str">
        <f>'3.5.raw'!I785</f>
        <v>FB1309UP</v>
      </c>
      <c r="C785" s="24">
        <f>datevalue(left('3.5.raw'!K785,10))</f>
        <v>43866</v>
      </c>
      <c r="D785" s="23">
        <f>'3.5.raw'!H785</f>
        <v>99</v>
      </c>
      <c r="E785" s="1">
        <v>3.5</v>
      </c>
      <c r="F785" s="23" t="b">
        <f>if(countif(Status!C:C,A785)=1,TRUE, FALSE)</f>
        <v>1</v>
      </c>
      <c r="H785" s="23">
        <f>IFERROR(__xludf.DUMMYFUNCTION("IFs(REGEXMATCH(I785, ""NOT""), 0, REGEXMATCH(I785, ""NO""), 0, REGEXMATCH(I785, ""TURBID""),1, COUNTBLANK(I785),"""", istext(I785),"""")"),0.0)</f>
        <v>0</v>
      </c>
      <c r="I785" s="23" t="str">
        <f>'3.5.raw'!R785</f>
        <v>Associated Sample COa2003, COb2007, COb2008, COb2009 and NOT TURBID, Enrichment done for 18 hrs.</v>
      </c>
    </row>
    <row r="786">
      <c r="A786" s="143" t="s">
        <v>340</v>
      </c>
      <c r="B786" s="23" t="str">
        <f>'3.5.raw'!I786</f>
        <v>FB1131UP</v>
      </c>
      <c r="C786" s="24">
        <f>datevalue(left('3.5.raw'!K786,10))</f>
        <v>43866</v>
      </c>
      <c r="D786" s="23">
        <f>'3.5.raw'!H786</f>
        <v>99</v>
      </c>
      <c r="E786" s="1">
        <v>3.5</v>
      </c>
      <c r="F786" s="23" t="b">
        <f>if(countif(Status!C:C,A786)=1,TRUE, FALSE)</f>
        <v>1</v>
      </c>
      <c r="H786" s="23">
        <f>IFERROR(__xludf.DUMMYFUNCTION("IFs(REGEXMATCH(I786, ""NOT""), 0, REGEXMATCH(I786, ""NO""), 0, REGEXMATCH(I786, ""TURBID""),1, COUNTBLANK(I786),"""", istext(I786),"""")"),0.0)</f>
        <v>0</v>
      </c>
      <c r="I786" s="23" t="str">
        <f>'3.5.raw'!R786</f>
        <v>Associated Sample COa2004, COb2010, COb2011, COb2012 and NOT TURBID, Enrichment done for 18 hrs.</v>
      </c>
    </row>
    <row r="787">
      <c r="A787" s="23" t="str">
        <f t="shared" ref="A787:A795" si="20">SUBSTITUTE(B787, " ", "")</f>
        <v>UPNC88</v>
      </c>
      <c r="B787" s="23" t="str">
        <f>'3.5.raw'!I787</f>
        <v>UPNC88</v>
      </c>
      <c r="C787" s="24">
        <f>datevalue(left('3.5.raw'!K787,10))</f>
        <v>43866</v>
      </c>
      <c r="D787" s="23">
        <f>'3.5.raw'!H787</f>
        <v>98</v>
      </c>
      <c r="E787" s="1">
        <v>3.5</v>
      </c>
      <c r="F787" s="23" t="b">
        <f>if(countif(Status!C:C,A787)=1,TRUE, FALSE)</f>
        <v>1</v>
      </c>
      <c r="H787" s="23">
        <f>IFERROR(__xludf.DUMMYFUNCTION("IFs(REGEXMATCH(I787, ""NOT""), 0, REGEXMATCH(I787, ""NO""), 0, REGEXMATCH(I787, ""TURBID""),1, COUNTBLANK(I787),"""", istext(I787),"""")"),0.0)</f>
        <v>0</v>
      </c>
      <c r="I787" s="23" t="str">
        <f>'3.5.raw'!R787</f>
        <v>NOT TURBID, Enrichment done for 18 hrs.</v>
      </c>
    </row>
    <row r="788">
      <c r="A788" s="23" t="str">
        <f t="shared" si="20"/>
        <v>MO1169</v>
      </c>
      <c r="B788" s="23" t="str">
        <f>'3.5.raw'!I788</f>
        <v>MO1169</v>
      </c>
      <c r="C788" s="24">
        <f>datevalue(left('3.5.raw'!K788,10))</f>
        <v>43867</v>
      </c>
      <c r="D788" s="23">
        <f>'3.5.raw'!H788</f>
        <v>12</v>
      </c>
      <c r="E788" s="1">
        <v>3.5</v>
      </c>
      <c r="F788" s="23" t="b">
        <f>if(countif(Status!C:C,A788)=1,TRUE, FALSE)</f>
        <v>1</v>
      </c>
      <c r="H788" s="23" t="str">
        <f>IFERROR(__xludf.DUMMYFUNCTION("IFs(REGEXMATCH(I788, ""NOT""), 0, REGEXMATCH(I788, ""NO""), 0, REGEXMATCH(I788, ""TURBID""),1, COUNTBLANK(I788),"""", istext(I788),"""")"),"")</f>
        <v/>
      </c>
      <c r="I788" s="23" t="str">
        <f>'3.5.raw'!R788</f>
        <v>Enrichment done for 18 hrs.</v>
      </c>
    </row>
    <row r="789">
      <c r="A789" s="23" t="str">
        <f t="shared" si="20"/>
        <v>MO1170</v>
      </c>
      <c r="B789" s="23" t="str">
        <f>'3.5.raw'!I789</f>
        <v>MO1170</v>
      </c>
      <c r="C789" s="24">
        <f>datevalue(left('3.5.raw'!K789,10))</f>
        <v>43867</v>
      </c>
      <c r="D789" s="23">
        <f>'3.5.raw'!H789</f>
        <v>12</v>
      </c>
      <c r="E789" s="1">
        <v>3.5</v>
      </c>
      <c r="F789" s="23" t="b">
        <f>if(countif(Status!C:C,A789)=1,TRUE, FALSE)</f>
        <v>1</v>
      </c>
      <c r="H789" s="23" t="str">
        <f>IFERROR(__xludf.DUMMYFUNCTION("IFs(REGEXMATCH(I789, ""NOT""), 0, REGEXMATCH(I789, ""NO""), 0, REGEXMATCH(I789, ""TURBID""),1, COUNTBLANK(I789),"""", istext(I789),"""")"),"")</f>
        <v/>
      </c>
      <c r="I789" s="23" t="str">
        <f>'3.5.raw'!R789</f>
        <v>Enrichment done for 18 hrs.</v>
      </c>
    </row>
    <row r="790">
      <c r="A790" s="23" t="str">
        <f t="shared" si="20"/>
        <v>MO1171</v>
      </c>
      <c r="B790" s="23" t="str">
        <f>'3.5.raw'!I790</f>
        <v>MO1171</v>
      </c>
      <c r="C790" s="24">
        <f>datevalue(left('3.5.raw'!K790,10))</f>
        <v>43867</v>
      </c>
      <c r="D790" s="23">
        <f>'3.5.raw'!H790</f>
        <v>12</v>
      </c>
      <c r="E790" s="1">
        <v>3.5</v>
      </c>
      <c r="F790" s="23" t="b">
        <f>if(countif(Status!C:C,A790)=1,TRUE, FALSE)</f>
        <v>1</v>
      </c>
      <c r="H790" s="23" t="str">
        <f>IFERROR(__xludf.DUMMYFUNCTION("IFs(REGEXMATCH(I790, ""NOT""), 0, REGEXMATCH(I790, ""NO""), 0, REGEXMATCH(I790, ""TURBID""),1, COUNTBLANK(I790),"""", istext(I790),"""")"),"")</f>
        <v/>
      </c>
      <c r="I790" s="23" t="str">
        <f>'3.5.raw'!R790</f>
        <v>Enrichment done for 18 hrs.</v>
      </c>
    </row>
    <row r="791">
      <c r="A791" s="23" t="str">
        <f t="shared" si="20"/>
        <v>FB1312UP</v>
      </c>
      <c r="B791" s="23" t="str">
        <f>'3.5.raw'!I791</f>
        <v>FB1312UP</v>
      </c>
      <c r="C791" s="24">
        <f>datevalue(left('3.5.raw'!K791,10))</f>
        <v>43867</v>
      </c>
      <c r="D791" s="23">
        <f>'3.5.raw'!H791</f>
        <v>99</v>
      </c>
      <c r="E791" s="1">
        <v>3.5</v>
      </c>
      <c r="F791" s="23" t="b">
        <f>if(countif(Status!C:C,A791)=1,TRUE, FALSE)</f>
        <v>1</v>
      </c>
      <c r="H791" s="23">
        <f>IFERROR(__xludf.DUMMYFUNCTION("IFs(REGEXMATCH(I791, ""NOT""), 0, REGEXMATCH(I791, ""NO""), 0, REGEXMATCH(I791, ""TURBID""),1, COUNTBLANK(I791),"""", istext(I791),"""")"),0.0)</f>
        <v>0</v>
      </c>
      <c r="I791" s="23" t="str">
        <f>'3.5.raw'!R791</f>
        <v>Associated Sample MO1169 and NOT TURBID, Enrichment done for 18 hrs.</v>
      </c>
    </row>
    <row r="792">
      <c r="A792" s="23" t="str">
        <f t="shared" si="20"/>
        <v>FB1313UP</v>
      </c>
      <c r="B792" s="23" t="str">
        <f>'3.5.raw'!I792</f>
        <v>FB1313UP</v>
      </c>
      <c r="C792" s="24">
        <f>datevalue(left('3.5.raw'!K792,10))</f>
        <v>43867</v>
      </c>
      <c r="D792" s="23">
        <f>'3.5.raw'!H792</f>
        <v>99</v>
      </c>
      <c r="E792" s="1">
        <v>3.5</v>
      </c>
      <c r="F792" s="23" t="b">
        <f>if(countif(Status!C:C,A792)=1,TRUE, FALSE)</f>
        <v>1</v>
      </c>
      <c r="H792" s="23">
        <f>IFERROR(__xludf.DUMMYFUNCTION("IFs(REGEXMATCH(I792, ""NOT""), 0, REGEXMATCH(I792, ""NO""), 0, REGEXMATCH(I792, ""TURBID""),1, COUNTBLANK(I792),"""", istext(I792),"""")"),0.0)</f>
        <v>0</v>
      </c>
      <c r="I792" s="23" t="str">
        <f>'3.5.raw'!R792</f>
        <v>Associated Sample MO1170 and NOT TURBID, Enrichment done for 18 hrs.</v>
      </c>
    </row>
    <row r="793">
      <c r="A793" s="23" t="str">
        <f t="shared" si="20"/>
        <v>FB1316UP</v>
      </c>
      <c r="B793" s="23" t="str">
        <f>'3.5.raw'!I793</f>
        <v>FB1316UP</v>
      </c>
      <c r="C793" s="24">
        <f>datevalue(left('3.5.raw'!K793,10))</f>
        <v>43867</v>
      </c>
      <c r="D793" s="23">
        <f>'3.5.raw'!H793</f>
        <v>99</v>
      </c>
      <c r="E793" s="1">
        <v>3.5</v>
      </c>
      <c r="F793" s="23" t="b">
        <f>if(countif(Status!C:C,A793)=1,TRUE, FALSE)</f>
        <v>1</v>
      </c>
      <c r="H793" s="23">
        <f>IFERROR(__xludf.DUMMYFUNCTION("IFs(REGEXMATCH(I793, ""NOT""), 0, REGEXMATCH(I793, ""NO""), 0, REGEXMATCH(I793, ""TURBID""),1, COUNTBLANK(I793),"""", istext(I793),"""")"),0.0)</f>
        <v>0</v>
      </c>
      <c r="I793" s="23" t="str">
        <f>'3.5.raw'!R793</f>
        <v>Associated Sample MO1171 and NOT TURBID, Enrichment done for 18 hrs.</v>
      </c>
    </row>
    <row r="794">
      <c r="A794" s="23" t="str">
        <f t="shared" si="20"/>
        <v>FB1317UP</v>
      </c>
      <c r="B794" s="23" t="str">
        <f>'3.5.raw'!I794</f>
        <v>FB1317UP</v>
      </c>
      <c r="C794" s="24">
        <f>datevalue(left('3.5.raw'!K794,10))</f>
        <v>43867</v>
      </c>
      <c r="D794" s="23">
        <f>'3.5.raw'!H794</f>
        <v>99</v>
      </c>
      <c r="E794" s="1">
        <v>3.5</v>
      </c>
      <c r="F794" s="23" t="b">
        <f>if(countif(Status!C:C,A794)=1,TRUE, FALSE)</f>
        <v>1</v>
      </c>
      <c r="H794" s="23">
        <f>IFERROR(__xludf.DUMMYFUNCTION("IFs(REGEXMATCH(I794, ""NOT""), 0, REGEXMATCH(I794, ""NO""), 0, REGEXMATCH(I794, ""TURBID""),1, COUNTBLANK(I794),"""", istext(I794),"""")"),1.0)</f>
        <v>1</v>
      </c>
      <c r="I794" s="23" t="str">
        <f>'3.5.raw'!R794</f>
        <v>Associated Sample PLc1188 and TURBID, Enrichment done for 18 hrs.</v>
      </c>
    </row>
    <row r="795">
      <c r="A795" s="23" t="str">
        <f t="shared" si="20"/>
        <v>FB1314UP</v>
      </c>
      <c r="B795" s="23" t="str">
        <f>'3.5.raw'!I795</f>
        <v>FB1314UP</v>
      </c>
      <c r="C795" s="24">
        <f>datevalue(left('3.5.raw'!K795,10))</f>
        <v>43867</v>
      </c>
      <c r="D795" s="23">
        <f>'3.5.raw'!H795</f>
        <v>99</v>
      </c>
      <c r="E795" s="1">
        <v>3.5</v>
      </c>
      <c r="F795" s="23" t="b">
        <f>if(countif(Status!C:C,A795)=1,TRUE, FALSE)</f>
        <v>1</v>
      </c>
      <c r="H795" s="23">
        <f>IFERROR(__xludf.DUMMYFUNCTION("IFs(REGEXMATCH(I795, ""NOT""), 0, REGEXMATCH(I795, ""NO""), 0, REGEXMATCH(I795, ""TURBID""),1, COUNTBLANK(I795),"""", istext(I795),"""")"),0.0)</f>
        <v>0</v>
      </c>
      <c r="I795" s="23" t="str">
        <f>'3.5.raw'!R795</f>
        <v>Associated Sample COa2005, COb2013, COb2014, COb2015 and NOT TURBID, Enrichment done for 18 hrs.</v>
      </c>
    </row>
    <row r="796">
      <c r="A796" s="49" t="s">
        <v>336</v>
      </c>
      <c r="B796" s="23" t="str">
        <f>'3.5.raw'!I796</f>
        <v>FB1215UP</v>
      </c>
      <c r="C796" s="24">
        <f>datevalue(left('3.5.raw'!K796,10))</f>
        <v>43867</v>
      </c>
      <c r="D796" s="23">
        <f>'3.5.raw'!H796</f>
        <v>99</v>
      </c>
      <c r="E796" s="1">
        <v>3.5</v>
      </c>
      <c r="F796" s="23" t="b">
        <f>if(countif(Status!C:C,A796)=1,TRUE, FALSE)</f>
        <v>1</v>
      </c>
      <c r="H796" s="23">
        <f>IFERROR(__xludf.DUMMYFUNCTION("IFs(REGEXMATCH(I796, ""NOT""), 0, REGEXMATCH(I796, ""NO""), 0, REGEXMATCH(I796, ""TURBID""),1, COUNTBLANK(I796),"""", istext(I796),"""")"),0.0)</f>
        <v>0</v>
      </c>
      <c r="I796" s="23" t="str">
        <f>'3.5.raw'!R796</f>
        <v>Associated Sample COa2006, COb2016, COb2017, COb2018 and NOT TURBID, Enrichment done for 18 hrs.</v>
      </c>
    </row>
    <row r="797">
      <c r="A797" s="49" t="s">
        <v>338</v>
      </c>
      <c r="B797" s="23" t="str">
        <f>'3.5.raw'!I797</f>
        <v>UPNC88</v>
      </c>
      <c r="C797" s="24">
        <f>datevalue(left('3.5.raw'!K797,10))</f>
        <v>43867</v>
      </c>
      <c r="D797" s="23">
        <f>'3.5.raw'!H797</f>
        <v>98</v>
      </c>
      <c r="E797" s="1">
        <v>3.5</v>
      </c>
      <c r="F797" s="23" t="b">
        <f>if(countif(Status!C:C,A797)=1,TRUE, FALSE)</f>
        <v>1</v>
      </c>
      <c r="H797" s="23">
        <f>IFERROR(__xludf.DUMMYFUNCTION("IFs(REGEXMATCH(I797, ""NOT""), 0, REGEXMATCH(I797, ""NO""), 0, REGEXMATCH(I797, ""TURBID""),1, COUNTBLANK(I797),"""", istext(I797),"""")"),0.0)</f>
        <v>0</v>
      </c>
      <c r="I797" s="23" t="str">
        <f>'3.5.raw'!R797</f>
        <v>NOT TURBID, Enrichment done for 18 hrs.</v>
      </c>
    </row>
    <row r="798">
      <c r="A798" s="23" t="str">
        <f t="shared" ref="A798:A992" si="21">SUBSTITUTE(B798, " ", "")</f>
        <v>PLc1188</v>
      </c>
      <c r="B798" s="23" t="str">
        <f>'3.5.raw'!I798</f>
        <v>PLc1188</v>
      </c>
      <c r="C798" s="24">
        <f>datevalue(left('3.5.raw'!K798,10))</f>
        <v>43867</v>
      </c>
      <c r="D798" s="23">
        <f>'3.5.raw'!H798</f>
        <v>11</v>
      </c>
      <c r="E798" s="1">
        <v>3.5</v>
      </c>
      <c r="F798" s="23" t="b">
        <f>if(countif(Status!C:C,A798)=1,TRUE, FALSE)</f>
        <v>1</v>
      </c>
      <c r="H798" s="23" t="str">
        <f>IFERROR(__xludf.DUMMYFUNCTION("IFs(REGEXMATCH(I798, ""NOT""), 0, REGEXMATCH(I798, ""NO""), 0, REGEXMATCH(I798, ""TURBID""),1, COUNTBLANK(I798),"""", istext(I798),"""")"),"")</f>
        <v/>
      </c>
      <c r="I798" s="23" t="str">
        <f>'3.5.raw'!R798</f>
        <v>Enrichment done for 18 hrs.</v>
      </c>
    </row>
    <row r="799">
      <c r="A799" s="23" t="str">
        <f t="shared" si="21"/>
        <v>PLc1189</v>
      </c>
      <c r="B799" s="23" t="str">
        <f>'3.5.raw'!I799</f>
        <v>PLc1189</v>
      </c>
      <c r="C799" s="24">
        <f>datevalue(left('3.5.raw'!K799,10))</f>
        <v>43868</v>
      </c>
      <c r="D799" s="23">
        <f>'3.5.raw'!H799</f>
        <v>11</v>
      </c>
      <c r="E799" s="1">
        <v>3.5</v>
      </c>
      <c r="F799" s="23" t="b">
        <f>if(countif(Status!C:C,A799)=1,TRUE, FALSE)</f>
        <v>1</v>
      </c>
      <c r="H799" s="23" t="str">
        <f>IFERROR(__xludf.DUMMYFUNCTION("IFs(REGEXMATCH(I799, ""NOT""), 0, REGEXMATCH(I799, ""NO""), 0, REGEXMATCH(I799, ""TURBID""),1, COUNTBLANK(I799),"""", istext(I799),"""")"),"")</f>
        <v/>
      </c>
      <c r="I799" s="23" t="str">
        <f>'3.5.raw'!R799</f>
        <v/>
      </c>
    </row>
    <row r="800">
      <c r="A800" s="23" t="str">
        <f t="shared" si="21"/>
        <v>FB1318UP</v>
      </c>
      <c r="B800" s="23" t="str">
        <f>'3.5.raw'!I800</f>
        <v>FB1318UP</v>
      </c>
      <c r="C800" s="24">
        <f>datevalue(left('3.5.raw'!K800,10))</f>
        <v>43868</v>
      </c>
      <c r="D800" s="23">
        <f>'3.5.raw'!H800</f>
        <v>99</v>
      </c>
      <c r="E800" s="1">
        <v>3.5</v>
      </c>
      <c r="F800" s="23" t="b">
        <f>if(countif(Status!C:C,A800)=1,TRUE, FALSE)</f>
        <v>1</v>
      </c>
      <c r="H800" s="23">
        <f>IFERROR(__xludf.DUMMYFUNCTION("IFs(REGEXMATCH(I800, ""NOT""), 0, REGEXMATCH(I800, ""NO""), 0, REGEXMATCH(I800, ""TURBID""),1, COUNTBLANK(I800),"""", istext(I800),"""")"),0.0)</f>
        <v>0</v>
      </c>
      <c r="I800" s="23" t="str">
        <f>'3.5.raw'!R800</f>
        <v>Associated Sample and NOT TURBID, Enrichment done for 18 hrs.</v>
      </c>
    </row>
    <row r="801">
      <c r="A801" s="23" t="str">
        <f t="shared" si="21"/>
        <v>PLc1190</v>
      </c>
      <c r="B801" s="23" t="str">
        <f>'3.5.raw'!I801</f>
        <v>PLc1190</v>
      </c>
      <c r="C801" s="24">
        <f>datevalue(left('3.5.raw'!K801,10))</f>
        <v>43868</v>
      </c>
      <c r="D801" s="23">
        <f>'3.5.raw'!H801</f>
        <v>11</v>
      </c>
      <c r="E801" s="1">
        <v>3.5</v>
      </c>
      <c r="F801" s="23" t="b">
        <f>if(countif(Status!C:C,A801)=1,TRUE, FALSE)</f>
        <v>1</v>
      </c>
      <c r="H801" s="23" t="str">
        <f>IFERROR(__xludf.DUMMYFUNCTION("IFs(REGEXMATCH(I801, ""NOT""), 0, REGEXMATCH(I801, ""NO""), 0, REGEXMATCH(I801, ""TURBID""),1, COUNTBLANK(I801),"""", istext(I801),"""")"),"")</f>
        <v/>
      </c>
      <c r="I801" s="23" t="str">
        <f>'3.5.raw'!R801</f>
        <v>Enrichment done for 18 hrs.</v>
      </c>
    </row>
    <row r="802">
      <c r="A802" s="23" t="str">
        <f t="shared" si="21"/>
        <v>FB1319UP</v>
      </c>
      <c r="B802" s="23" t="str">
        <f>'3.5.raw'!I802</f>
        <v>FB1319UP</v>
      </c>
      <c r="C802" s="24">
        <f>datevalue(left('3.5.raw'!K802,10))</f>
        <v>43868</v>
      </c>
      <c r="D802" s="23">
        <f>'3.5.raw'!H802</f>
        <v>99</v>
      </c>
      <c r="E802" s="1">
        <v>3.5</v>
      </c>
      <c r="F802" s="23" t="b">
        <f>if(countif(Status!C:C,A802)=1,TRUE, FALSE)</f>
        <v>1</v>
      </c>
      <c r="H802" s="23">
        <f>IFERROR(__xludf.DUMMYFUNCTION("IFs(REGEXMATCH(I802, ""NOT""), 0, REGEXMATCH(I802, ""NO""), 0, REGEXMATCH(I802, ""TURBID""),1, COUNTBLANK(I802),"""", istext(I802),"""")"),0.0)</f>
        <v>0</v>
      </c>
      <c r="I802" s="23" t="str">
        <f>'3.5.raw'!R802</f>
        <v>Associated Sample PLc1190 and NOT TURBID, Enrichment done for 18 hrs.</v>
      </c>
    </row>
    <row r="803">
      <c r="A803" s="23" t="str">
        <f t="shared" si="21"/>
        <v>PLc1191</v>
      </c>
      <c r="B803" s="23" t="str">
        <f>'3.5.raw'!I803</f>
        <v>PLc1191</v>
      </c>
      <c r="C803" s="24">
        <f>datevalue(left('3.5.raw'!K803,10))</f>
        <v>43871</v>
      </c>
      <c r="D803" s="23">
        <f>'3.5.raw'!H803</f>
        <v>11</v>
      </c>
      <c r="E803" s="1">
        <v>3.5</v>
      </c>
      <c r="F803" s="23" t="b">
        <f>if(countif(Status!C:C,A803)=1,TRUE, FALSE)</f>
        <v>1</v>
      </c>
      <c r="H803" s="23" t="str">
        <f>IFERROR(__xludf.DUMMYFUNCTION("IFs(REGEXMATCH(I803, ""NOT""), 0, REGEXMATCH(I803, ""NO""), 0, REGEXMATCH(I803, ""TURBID""),1, COUNTBLANK(I803),"""", istext(I803),"""")"),"")</f>
        <v/>
      </c>
      <c r="I803" s="23" t="str">
        <f>'3.5.raw'!R803</f>
        <v>Enrichment done for 18 hrs.</v>
      </c>
    </row>
    <row r="804">
      <c r="A804" s="23" t="str">
        <f t="shared" si="21"/>
        <v>FB1320UP</v>
      </c>
      <c r="B804" s="23" t="str">
        <f>'3.5.raw'!I804</f>
        <v>FB1320UP</v>
      </c>
      <c r="C804" s="24">
        <f>datevalue(left('3.5.raw'!K804,10))</f>
        <v>43871</v>
      </c>
      <c r="D804" s="23">
        <f>'3.5.raw'!H804</f>
        <v>99</v>
      </c>
      <c r="E804" s="1">
        <v>3.5</v>
      </c>
      <c r="F804" s="23" t="b">
        <f>if(countif(Status!C:C,A804)=1,TRUE, FALSE)</f>
        <v>1</v>
      </c>
      <c r="H804" s="23">
        <f>IFERROR(__xludf.DUMMYFUNCTION("IFs(REGEXMATCH(I804, ""NOT""), 0, REGEXMATCH(I804, ""NO""), 0, REGEXMATCH(I804, ""TURBID""),1, COUNTBLANK(I804),"""", istext(I804),"""")"),0.0)</f>
        <v>0</v>
      </c>
      <c r="I804" s="23" t="str">
        <f>'3.5.raw'!R804</f>
        <v>Associated Sample PLc1191 and NOT TURBID, Enrichment done for 18 hrs.</v>
      </c>
    </row>
    <row r="805">
      <c r="A805" s="23" t="str">
        <f t="shared" si="21"/>
        <v>PLc1192</v>
      </c>
      <c r="B805" s="23" t="str">
        <f>'3.5.raw'!I805</f>
        <v>PLc1192</v>
      </c>
      <c r="C805" s="24">
        <f>datevalue(left('3.5.raw'!K805,10))</f>
        <v>43871</v>
      </c>
      <c r="D805" s="23">
        <f>'3.5.raw'!H805</f>
        <v>11</v>
      </c>
      <c r="E805" s="1">
        <v>3.5</v>
      </c>
      <c r="F805" s="23" t="b">
        <f>if(countif(Status!C:C,A805)=1,TRUE, FALSE)</f>
        <v>1</v>
      </c>
      <c r="H805" s="23" t="str">
        <f>IFERROR(__xludf.DUMMYFUNCTION("IFs(REGEXMATCH(I805, ""NOT""), 0, REGEXMATCH(I805, ""NO""), 0, REGEXMATCH(I805, ""TURBID""),1, COUNTBLANK(I805),"""", istext(I805),"""")"),"")</f>
        <v/>
      </c>
      <c r="I805" s="23" t="str">
        <f>'3.5.raw'!R805</f>
        <v>Enrichment done for 18 hrs.</v>
      </c>
    </row>
    <row r="806">
      <c r="A806" s="23" t="str">
        <f t="shared" si="21"/>
        <v>FB1321UP</v>
      </c>
      <c r="B806" s="23" t="str">
        <f>'3.5.raw'!I806</f>
        <v>FB1321UP</v>
      </c>
      <c r="C806" s="24">
        <f>datevalue(left('3.5.raw'!K806,10))</f>
        <v>43871</v>
      </c>
      <c r="D806" s="23">
        <f>'3.5.raw'!H806</f>
        <v>99</v>
      </c>
      <c r="E806" s="1">
        <v>3.5</v>
      </c>
      <c r="F806" s="23" t="b">
        <f>if(countif(Status!C:C,A806)=1,TRUE, FALSE)</f>
        <v>1</v>
      </c>
      <c r="H806" s="23">
        <f>IFERROR(__xludf.DUMMYFUNCTION("IFs(REGEXMATCH(I806, ""NOT""), 0, REGEXMATCH(I806, ""NO""), 0, REGEXMATCH(I806, ""TURBID""),1, COUNTBLANK(I806),"""", istext(I806),"""")"),0.0)</f>
        <v>0</v>
      </c>
      <c r="I806" s="23" t="str">
        <f>'3.5.raw'!R806</f>
        <v>Associated Sample PLc1192 and NOT TURBID, Enrichment done for 18 hrs.</v>
      </c>
    </row>
    <row r="807">
      <c r="A807" s="23" t="str">
        <f t="shared" si="21"/>
        <v>PLc1193</v>
      </c>
      <c r="B807" s="23" t="str">
        <f>'3.5.raw'!I807</f>
        <v>PLc1193</v>
      </c>
      <c r="C807" s="24">
        <f>datevalue(left('3.5.raw'!K807,10))</f>
        <v>43871</v>
      </c>
      <c r="D807" s="23">
        <f>'3.5.raw'!H807</f>
        <v>11</v>
      </c>
      <c r="E807" s="1">
        <v>3.5</v>
      </c>
      <c r="F807" s="23" t="b">
        <f>if(countif(Status!C:C,A807)=1,TRUE, FALSE)</f>
        <v>1</v>
      </c>
      <c r="H807" s="23" t="str">
        <f>IFERROR(__xludf.DUMMYFUNCTION("IFs(REGEXMATCH(I807, ""NOT""), 0, REGEXMATCH(I807, ""NO""), 0, REGEXMATCH(I807, ""TURBID""),1, COUNTBLANK(I807),"""", istext(I807),"""")"),"")</f>
        <v/>
      </c>
      <c r="I807" s="23" t="str">
        <f>'3.5.raw'!R807</f>
        <v>Enrichment done for 18 hrs.</v>
      </c>
    </row>
    <row r="808">
      <c r="A808" s="23" t="str">
        <f t="shared" si="21"/>
        <v>FB1322UP</v>
      </c>
      <c r="B808" s="23" t="str">
        <f>'3.5.raw'!I808</f>
        <v>FB1322UP</v>
      </c>
      <c r="C808" s="24">
        <f>datevalue(left('3.5.raw'!K808,10))</f>
        <v>43871</v>
      </c>
      <c r="D808" s="23">
        <f>'3.5.raw'!H808</f>
        <v>99</v>
      </c>
      <c r="E808" s="1">
        <v>3.5</v>
      </c>
      <c r="F808" s="23" t="b">
        <f>if(countif(Status!C:C,A808)=1,TRUE, FALSE)</f>
        <v>1</v>
      </c>
      <c r="H808" s="23">
        <f>IFERROR(__xludf.DUMMYFUNCTION("IFs(REGEXMATCH(I808, ""NOT""), 0, REGEXMATCH(I808, ""NO""), 0, REGEXMATCH(I808, ""TURBID""),1, COUNTBLANK(I808),"""", istext(I808),"""")"),0.0)</f>
        <v>0</v>
      </c>
      <c r="I808" s="23" t="str">
        <f>'3.5.raw'!R808</f>
        <v>Associated Sample PLc1193 and NOT TURBID, Enrichment done for 18 hrs.</v>
      </c>
    </row>
    <row r="809">
      <c r="A809" s="23" t="str">
        <f t="shared" si="21"/>
        <v>PLc1194</v>
      </c>
      <c r="B809" s="23" t="str">
        <f>'3.5.raw'!I809</f>
        <v>PLc1194</v>
      </c>
      <c r="C809" s="24">
        <f>datevalue(left('3.5.raw'!K809,10))</f>
        <v>43871</v>
      </c>
      <c r="D809" s="23">
        <f>'3.5.raw'!H809</f>
        <v>11</v>
      </c>
      <c r="E809" s="1">
        <v>3.5</v>
      </c>
      <c r="F809" s="23" t="b">
        <f>if(countif(Status!C:C,A809)=1,TRUE, FALSE)</f>
        <v>1</v>
      </c>
      <c r="H809" s="23" t="str">
        <f>IFERROR(__xludf.DUMMYFUNCTION("IFs(REGEXMATCH(I809, ""NOT""), 0, REGEXMATCH(I809, ""NO""), 0, REGEXMATCH(I809, ""TURBID""),1, COUNTBLANK(I809),"""", istext(I809),"""")"),"")</f>
        <v/>
      </c>
      <c r="I809" s="23" t="str">
        <f>'3.5.raw'!R809</f>
        <v>Enrichment done for 18 hrs.</v>
      </c>
    </row>
    <row r="810">
      <c r="A810" s="23" t="str">
        <f t="shared" si="21"/>
        <v>FB1323UP</v>
      </c>
      <c r="B810" s="23" t="str">
        <f>'3.5.raw'!I810</f>
        <v>FB1323UP</v>
      </c>
      <c r="C810" s="24">
        <f>datevalue(left('3.5.raw'!K810,10))</f>
        <v>43871</v>
      </c>
      <c r="D810" s="23">
        <f>'3.5.raw'!H810</f>
        <v>99</v>
      </c>
      <c r="E810" s="1">
        <v>3.5</v>
      </c>
      <c r="F810" s="23" t="b">
        <f>if(countif(Status!C:C,A810)=1,TRUE, FALSE)</f>
        <v>1</v>
      </c>
      <c r="H810" s="23">
        <f>IFERROR(__xludf.DUMMYFUNCTION("IFs(REGEXMATCH(I810, ""NOT""), 0, REGEXMATCH(I810, ""NO""), 0, REGEXMATCH(I810, ""TURBID""),1, COUNTBLANK(I810),"""", istext(I810),"""")"),0.0)</f>
        <v>0</v>
      </c>
      <c r="I810" s="23" t="str">
        <f>'3.5.raw'!R810</f>
        <v>Associated Sample PLc1194 and NOT TURBID, Enrichment done for 18 hrs.</v>
      </c>
    </row>
    <row r="811">
      <c r="A811" s="23" t="str">
        <f t="shared" si="21"/>
        <v>PLc1195</v>
      </c>
      <c r="B811" s="23" t="str">
        <f>'3.5.raw'!I811</f>
        <v>PLc1195</v>
      </c>
      <c r="C811" s="24">
        <f>datevalue(left('3.5.raw'!K811,10))</f>
        <v>43871</v>
      </c>
      <c r="D811" s="23">
        <f>'3.5.raw'!H811</f>
        <v>11</v>
      </c>
      <c r="E811" s="1">
        <v>3.5</v>
      </c>
      <c r="F811" s="23" t="b">
        <f>if(countif(Status!C:C,A811)=1,TRUE, FALSE)</f>
        <v>1</v>
      </c>
      <c r="H811" s="23" t="str">
        <f>IFERROR(__xludf.DUMMYFUNCTION("IFs(REGEXMATCH(I811, ""NOT""), 0, REGEXMATCH(I811, ""NO""), 0, REGEXMATCH(I811, ""TURBID""),1, COUNTBLANK(I811),"""", istext(I811),"""")"),"")</f>
        <v/>
      </c>
      <c r="I811" s="23" t="str">
        <f>'3.5.raw'!R811</f>
        <v>Enrichment done for 18 hrs.</v>
      </c>
    </row>
    <row r="812">
      <c r="A812" s="23" t="str">
        <f t="shared" si="21"/>
        <v>FB1324UP</v>
      </c>
      <c r="B812" s="23" t="str">
        <f>'3.5.raw'!I812</f>
        <v>FB1324UP</v>
      </c>
      <c r="C812" s="24">
        <f>datevalue(left('3.5.raw'!K812,10))</f>
        <v>43871</v>
      </c>
      <c r="D812" s="23">
        <f>'3.5.raw'!H812</f>
        <v>99</v>
      </c>
      <c r="E812" s="1">
        <v>3.5</v>
      </c>
      <c r="F812" s="23" t="b">
        <f>if(countif(Status!C:C,A812)=1,TRUE, FALSE)</f>
        <v>1</v>
      </c>
      <c r="H812" s="23">
        <f>IFERROR(__xludf.DUMMYFUNCTION("IFs(REGEXMATCH(I812, ""NOT""), 0, REGEXMATCH(I812, ""NO""), 0, REGEXMATCH(I812, ""TURBID""),1, COUNTBLANK(I812),"""", istext(I812),"""")"),0.0)</f>
        <v>0</v>
      </c>
      <c r="I812" s="23" t="str">
        <f>'3.5.raw'!R812</f>
        <v>Associated Sample PLc1195 and NOT TURBID, Enrichment done for 18 hrs.</v>
      </c>
    </row>
    <row r="813">
      <c r="A813" s="23" t="str">
        <f t="shared" si="21"/>
        <v>UPNC89</v>
      </c>
      <c r="B813" s="23" t="str">
        <f>'3.5.raw'!I813</f>
        <v>UPNC89</v>
      </c>
      <c r="C813" s="24">
        <f>datevalue(left('3.5.raw'!K813,10))</f>
        <v>43871</v>
      </c>
      <c r="D813" s="23">
        <f>'3.5.raw'!H813</f>
        <v>98</v>
      </c>
      <c r="E813" s="1">
        <v>3.5</v>
      </c>
      <c r="F813" s="23" t="b">
        <f>if(countif(Status!C:C,A813)=1,TRUE, FALSE)</f>
        <v>1</v>
      </c>
      <c r="H813" s="23">
        <f>IFERROR(__xludf.DUMMYFUNCTION("IFs(REGEXMATCH(I813, ""NOT""), 0, REGEXMATCH(I813, ""NO""), 0, REGEXMATCH(I813, ""TURBID""),1, COUNTBLANK(I813),"""", istext(I813),"""")"),0.0)</f>
        <v>0</v>
      </c>
      <c r="I813" s="23" t="str">
        <f>'3.5.raw'!R813</f>
        <v>Enrichment done for 18 hrs. NOT TURBID</v>
      </c>
    </row>
    <row r="814">
      <c r="A814" s="23" t="str">
        <f t="shared" si="21"/>
        <v>MO1172</v>
      </c>
      <c r="B814" s="23" t="str">
        <f>'3.5.raw'!I814</f>
        <v>MO1172</v>
      </c>
      <c r="C814" s="24">
        <f>datevalue(left('3.5.raw'!K814,10))</f>
        <v>43872</v>
      </c>
      <c r="D814" s="23">
        <f>'3.5.raw'!H814</f>
        <v>12</v>
      </c>
      <c r="E814" s="1">
        <v>3.5</v>
      </c>
      <c r="F814" s="23" t="b">
        <f>if(countif(Status!C:C,A814)=1,TRUE, FALSE)</f>
        <v>1</v>
      </c>
      <c r="H814" s="23" t="str">
        <f>IFERROR(__xludf.DUMMYFUNCTION("IFs(REGEXMATCH(I814, ""NOT""), 0, REGEXMATCH(I814, ""NO""), 0, REGEXMATCH(I814, ""TURBID""),1, COUNTBLANK(I814),"""", istext(I814),"""")"),"")</f>
        <v/>
      </c>
      <c r="I814" s="23" t="str">
        <f>'3.5.raw'!R814</f>
        <v>Enrichment done for 18 hrs.</v>
      </c>
    </row>
    <row r="815">
      <c r="A815" s="23" t="str">
        <f t="shared" si="21"/>
        <v>FB1328UP</v>
      </c>
      <c r="B815" s="23" t="str">
        <f>'3.5.raw'!I815</f>
        <v>FB1328UP</v>
      </c>
      <c r="C815" s="24">
        <f>datevalue(left('3.5.raw'!K815,10))</f>
        <v>43872</v>
      </c>
      <c r="D815" s="23">
        <f>'3.5.raw'!H815</f>
        <v>99</v>
      </c>
      <c r="E815" s="1">
        <v>3.5</v>
      </c>
      <c r="F815" s="23" t="b">
        <f>if(countif(Status!C:C,A815)=1,TRUE, FALSE)</f>
        <v>1</v>
      </c>
      <c r="H815" s="23">
        <f>IFERROR(__xludf.DUMMYFUNCTION("IFs(REGEXMATCH(I815, ""NOT""), 0, REGEXMATCH(I815, ""NO""), 0, REGEXMATCH(I815, ""TURBID""),1, COUNTBLANK(I815),"""", istext(I815),"""")"),0.0)</f>
        <v>0</v>
      </c>
      <c r="I815" s="23" t="str">
        <f>'3.5.raw'!R815</f>
        <v>Associated Sample MO1172 and NOT TURBID, Enrichment done for 18 hrs.</v>
      </c>
    </row>
    <row r="816">
      <c r="A816" s="23" t="str">
        <f t="shared" si="21"/>
        <v>MO1173</v>
      </c>
      <c r="B816" s="23" t="str">
        <f>'3.5.raw'!I816</f>
        <v>MO1173</v>
      </c>
      <c r="C816" s="24">
        <f>datevalue(left('3.5.raw'!K816,10))</f>
        <v>43872</v>
      </c>
      <c r="D816" s="23">
        <f>'3.5.raw'!H816</f>
        <v>12</v>
      </c>
      <c r="E816" s="1">
        <v>3.5</v>
      </c>
      <c r="F816" s="23" t="b">
        <f>if(countif(Status!C:C,A816)=1,TRUE, FALSE)</f>
        <v>1</v>
      </c>
      <c r="H816" s="23" t="str">
        <f>IFERROR(__xludf.DUMMYFUNCTION("IFs(REGEXMATCH(I816, ""NOT""), 0, REGEXMATCH(I816, ""NO""), 0, REGEXMATCH(I816, ""TURBID""),1, COUNTBLANK(I816),"""", istext(I816),"""")"),"")</f>
        <v/>
      </c>
      <c r="I816" s="23" t="str">
        <f>'3.5.raw'!R816</f>
        <v>Enrichment done for 18 hrs.</v>
      </c>
    </row>
    <row r="817">
      <c r="A817" s="23" t="str">
        <f t="shared" si="21"/>
        <v>FB1327UP</v>
      </c>
      <c r="B817" s="23" t="str">
        <f>'3.5.raw'!I817</f>
        <v>FB1327UP</v>
      </c>
      <c r="C817" s="24">
        <f>datevalue(left('3.5.raw'!K817,10))</f>
        <v>43872</v>
      </c>
      <c r="D817" s="23">
        <f>'3.5.raw'!H817</f>
        <v>99</v>
      </c>
      <c r="E817" s="1">
        <v>3.5</v>
      </c>
      <c r="F817" s="23" t="b">
        <f>if(countif(Status!C:C,A817)=1,TRUE, FALSE)</f>
        <v>1</v>
      </c>
      <c r="H817" s="23">
        <f>IFERROR(__xludf.DUMMYFUNCTION("IFs(REGEXMATCH(I817, ""NOT""), 0, REGEXMATCH(I817, ""NO""), 0, REGEXMATCH(I817, ""TURBID""),1, COUNTBLANK(I817),"""", istext(I817),"""")"),0.0)</f>
        <v>0</v>
      </c>
      <c r="I817" s="23" t="str">
        <f>'3.5.raw'!R817</f>
        <v>Associated Sample MO1173 and NOT TURBID, Enrichment done for 18 hrs.</v>
      </c>
    </row>
    <row r="818">
      <c r="A818" s="23" t="str">
        <f t="shared" si="21"/>
        <v>MO1174</v>
      </c>
      <c r="B818" s="23" t="str">
        <f>'3.5.raw'!I818</f>
        <v>MO1174</v>
      </c>
      <c r="C818" s="24">
        <f>datevalue(left('3.5.raw'!K818,10))</f>
        <v>43872</v>
      </c>
      <c r="D818" s="23">
        <f>'3.5.raw'!H818</f>
        <v>12</v>
      </c>
      <c r="E818" s="1">
        <v>3.5</v>
      </c>
      <c r="F818" s="23" t="b">
        <f>if(countif(Status!C:C,A818)=1,TRUE, FALSE)</f>
        <v>1</v>
      </c>
      <c r="H818" s="23" t="str">
        <f>IFERROR(__xludf.DUMMYFUNCTION("IFs(REGEXMATCH(I818, ""NOT""), 0, REGEXMATCH(I818, ""NO""), 0, REGEXMATCH(I818, ""TURBID""),1, COUNTBLANK(I818),"""", istext(I818),"""")"),"")</f>
        <v/>
      </c>
      <c r="I818" s="23" t="str">
        <f>'3.5.raw'!R818</f>
        <v>Enrichment done for 18 hrs.</v>
      </c>
    </row>
    <row r="819">
      <c r="A819" s="23" t="str">
        <f t="shared" si="21"/>
        <v>FB1326UP</v>
      </c>
      <c r="B819" s="23" t="str">
        <f>'3.5.raw'!I819</f>
        <v>FB1326UP</v>
      </c>
      <c r="C819" s="24">
        <f>datevalue(left('3.5.raw'!K819,10))</f>
        <v>43872</v>
      </c>
      <c r="D819" s="23">
        <f>'3.5.raw'!H819</f>
        <v>99</v>
      </c>
      <c r="E819" s="1">
        <v>3.5</v>
      </c>
      <c r="F819" s="23" t="b">
        <f>if(countif(Status!C:C,A819)=1,TRUE, FALSE)</f>
        <v>1</v>
      </c>
      <c r="H819" s="23">
        <f>IFERROR(__xludf.DUMMYFUNCTION("IFs(REGEXMATCH(I819, ""NOT""), 0, REGEXMATCH(I819, ""NO""), 0, REGEXMATCH(I819, ""TURBID""),1, COUNTBLANK(I819),"""", istext(I819),"""")"),0.0)</f>
        <v>0</v>
      </c>
      <c r="I819" s="23" t="str">
        <f>'3.5.raw'!R819</f>
        <v>Associated Sample MO1174 and NOT TURBID, Enrichment done for 18 hrs.</v>
      </c>
    </row>
    <row r="820">
      <c r="A820" s="23" t="str">
        <f t="shared" si="21"/>
        <v>MO1175</v>
      </c>
      <c r="B820" s="23" t="str">
        <f>'3.5.raw'!I820</f>
        <v>MO1175</v>
      </c>
      <c r="C820" s="24">
        <f>datevalue(left('3.5.raw'!K820,10))</f>
        <v>43872</v>
      </c>
      <c r="D820" s="23">
        <f>'3.5.raw'!H820</f>
        <v>12</v>
      </c>
      <c r="E820" s="1">
        <v>3.5</v>
      </c>
      <c r="F820" s="23" t="b">
        <f>if(countif(Status!C:C,A820)=1,TRUE, FALSE)</f>
        <v>1</v>
      </c>
      <c r="H820" s="23" t="str">
        <f>IFERROR(__xludf.DUMMYFUNCTION("IFs(REGEXMATCH(I820, ""NOT""), 0, REGEXMATCH(I820, ""NO""), 0, REGEXMATCH(I820, ""TURBID""),1, COUNTBLANK(I820),"""", istext(I820),"""")"),"")</f>
        <v/>
      </c>
      <c r="I820" s="23" t="str">
        <f>'3.5.raw'!R820</f>
        <v>Enrichment done for 18 hrs.</v>
      </c>
    </row>
    <row r="821">
      <c r="A821" s="23" t="str">
        <f t="shared" si="21"/>
        <v>FB1325UP</v>
      </c>
      <c r="B821" s="23" t="str">
        <f>'3.5.raw'!I821</f>
        <v>FB1325UP</v>
      </c>
      <c r="C821" s="24">
        <f>datevalue(left('3.5.raw'!K821,10))</f>
        <v>43872</v>
      </c>
      <c r="D821" s="23">
        <f>'3.5.raw'!H821</f>
        <v>99</v>
      </c>
      <c r="E821" s="1">
        <v>3.5</v>
      </c>
      <c r="F821" s="23" t="b">
        <f>if(countif(Status!C:C,A821)=1,TRUE, FALSE)</f>
        <v>1</v>
      </c>
      <c r="H821" s="23">
        <f>IFERROR(__xludf.DUMMYFUNCTION("IFs(REGEXMATCH(I821, ""NOT""), 0, REGEXMATCH(I821, ""NO""), 0, REGEXMATCH(I821, ""TURBID""),1, COUNTBLANK(I821),"""", istext(I821),"""")"),0.0)</f>
        <v>0</v>
      </c>
      <c r="I821" s="23" t="str">
        <f>'3.5.raw'!R821</f>
        <v>Associated Sample MO1175 and NOT TURBID, Enrichment done for 18 hrs.</v>
      </c>
    </row>
    <row r="822">
      <c r="A822" s="23" t="str">
        <f t="shared" si="21"/>
        <v>FB1329UP</v>
      </c>
      <c r="B822" s="23" t="str">
        <f>'3.5.raw'!I822</f>
        <v>FB1329UP</v>
      </c>
      <c r="C822" s="24">
        <f>datevalue(left('3.5.raw'!K822,10))</f>
        <v>43872</v>
      </c>
      <c r="D822" s="23">
        <f>'3.5.raw'!H822</f>
        <v>99</v>
      </c>
      <c r="E822" s="1">
        <v>3.5</v>
      </c>
      <c r="F822" s="23" t="b">
        <f>if(countif(Status!C:C,A822)=1,TRUE, FALSE)</f>
        <v>1</v>
      </c>
      <c r="H822" s="23">
        <f>IFERROR(__xludf.DUMMYFUNCTION("IFs(REGEXMATCH(I822, ""NOT""), 0, REGEXMATCH(I822, ""NO""), 0, REGEXMATCH(I822, ""TURBID""),1, COUNTBLANK(I822),"""", istext(I822),"""")"),0.0)</f>
        <v>0</v>
      </c>
      <c r="I822" s="23" t="str">
        <f>'3.5.raw'!R822</f>
        <v>Associated Sample RP2002 and NOT TURBID, Enrichment done for 18 hrs.</v>
      </c>
    </row>
    <row r="823">
      <c r="A823" s="23" t="str">
        <f t="shared" si="21"/>
        <v>SF2002</v>
      </c>
      <c r="B823" s="23" t="str">
        <f>'3.5.raw'!I823</f>
        <v>SF2002</v>
      </c>
      <c r="C823" s="24">
        <f>datevalue(left('3.5.raw'!K823,10))</f>
        <v>43872</v>
      </c>
      <c r="D823" s="23">
        <f>'3.5.raw'!H823</f>
        <v>10</v>
      </c>
      <c r="E823" s="1">
        <v>3.5</v>
      </c>
      <c r="F823" s="23" t="b">
        <f>if(countif(Status!C:C,A823)=1,TRUE, FALSE)</f>
        <v>1</v>
      </c>
      <c r="H823" s="23" t="str">
        <f>IFERROR(__xludf.DUMMYFUNCTION("IFs(REGEXMATCH(I823, ""NOT""), 0, REGEXMATCH(I823, ""NO""), 0, REGEXMATCH(I823, ""TURBID""),1, COUNTBLANK(I823),"""", istext(I823),"""")"),"")</f>
        <v/>
      </c>
      <c r="I823" s="23" t="str">
        <f>'3.5.raw'!R823</f>
        <v>Enrichment done for 18 hrs.</v>
      </c>
    </row>
    <row r="824">
      <c r="A824" s="23" t="str">
        <f t="shared" si="21"/>
        <v>FB1330UP</v>
      </c>
      <c r="B824" s="23" t="str">
        <f>'3.5.raw'!I824</f>
        <v>FB1330UP</v>
      </c>
      <c r="C824" s="24">
        <f>datevalue(left('3.5.raw'!K824,10))</f>
        <v>43872</v>
      </c>
      <c r="D824" s="23">
        <f>'3.5.raw'!H824</f>
        <v>99</v>
      </c>
      <c r="E824" s="1">
        <v>3.5</v>
      </c>
      <c r="F824" s="23" t="b">
        <f>if(countif(Status!C:C,A824)=1,TRUE, FALSE)</f>
        <v>1</v>
      </c>
      <c r="H824" s="23">
        <f>IFERROR(__xludf.DUMMYFUNCTION("IFs(REGEXMATCH(I824, ""NOT""), 0, REGEXMATCH(I824, ""NO""), 0, REGEXMATCH(I824, ""TURBID""),1, COUNTBLANK(I824),"""", istext(I824),"""")"),0.0)</f>
        <v>0</v>
      </c>
      <c r="I824" s="23" t="str">
        <f>'3.5.raw'!R824</f>
        <v>Associated Sample SF2002 and NOT TURBID, Enrichment done for 18 hrs.</v>
      </c>
    </row>
    <row r="825">
      <c r="A825" s="23" t="str">
        <f t="shared" si="21"/>
        <v>UPNC90</v>
      </c>
      <c r="B825" s="23" t="str">
        <f>'3.5.raw'!I825</f>
        <v>UPNC90</v>
      </c>
      <c r="C825" s="24">
        <f>datevalue(left('3.5.raw'!K825,10))</f>
        <v>43872</v>
      </c>
      <c r="D825" s="23">
        <f>'3.5.raw'!H825</f>
        <v>98</v>
      </c>
      <c r="E825" s="1">
        <v>3.5</v>
      </c>
      <c r="F825" s="23" t="b">
        <f>if(countif(Status!C:C,A825)=1,TRUE, FALSE)</f>
        <v>1</v>
      </c>
      <c r="H825" s="23">
        <f>IFERROR(__xludf.DUMMYFUNCTION("IFs(REGEXMATCH(I825, ""NOT""), 0, REGEXMATCH(I825, ""NO""), 0, REGEXMATCH(I825, ""TURBID""),1, COUNTBLANK(I825),"""", istext(I825),"""")"),0.0)</f>
        <v>0</v>
      </c>
      <c r="I825" s="23" t="str">
        <f>'3.5.raw'!R825</f>
        <v>Enrichment done for 18 hrs. NOT TURBID</v>
      </c>
    </row>
    <row r="826">
      <c r="A826" s="23" t="str">
        <f t="shared" si="21"/>
        <v>MO1176</v>
      </c>
      <c r="B826" s="23" t="str">
        <f>'3.5.raw'!I826</f>
        <v>MO1176</v>
      </c>
      <c r="C826" s="24">
        <f>datevalue(left('3.5.raw'!K826,10))</f>
        <v>43873</v>
      </c>
      <c r="D826" s="23">
        <f>'3.5.raw'!H826</f>
        <v>12</v>
      </c>
      <c r="E826" s="1">
        <v>3.5</v>
      </c>
      <c r="F826" s="23" t="b">
        <f>if(countif(Status!C:C,A826)=1,TRUE, FALSE)</f>
        <v>1</v>
      </c>
      <c r="H826" s="23" t="str">
        <f>IFERROR(__xludf.DUMMYFUNCTION("IFs(REGEXMATCH(I826, ""NOT""), 0, REGEXMATCH(I826, ""NO""), 0, REGEXMATCH(I826, ""TURBID""),1, COUNTBLANK(I826),"""", istext(I826),"""")"),"")</f>
        <v/>
      </c>
      <c r="I826" s="23" t="str">
        <f>'3.5.raw'!R826</f>
        <v>Enrichment done for 18 hrs.</v>
      </c>
    </row>
    <row r="827">
      <c r="A827" s="23" t="str">
        <f t="shared" si="21"/>
        <v>FB1331UP</v>
      </c>
      <c r="B827" s="23" t="str">
        <f>'3.5.raw'!I827</f>
        <v>FB1331UP</v>
      </c>
      <c r="C827" s="24">
        <f>datevalue(left('3.5.raw'!K827,10))</f>
        <v>43873</v>
      </c>
      <c r="D827" s="23">
        <f>'3.5.raw'!H827</f>
        <v>99</v>
      </c>
      <c r="E827" s="1">
        <v>3.5</v>
      </c>
      <c r="F827" s="23" t="b">
        <f>if(countif(Status!C:C,A827)=1,TRUE, FALSE)</f>
        <v>1</v>
      </c>
      <c r="H827" s="23">
        <f>IFERROR(__xludf.DUMMYFUNCTION("IFs(REGEXMATCH(I827, ""NOT""), 0, REGEXMATCH(I827, ""NO""), 0, REGEXMATCH(I827, ""TURBID""),1, COUNTBLANK(I827),"""", istext(I827),"""")"),0.0)</f>
        <v>0</v>
      </c>
      <c r="I827" s="23" t="str">
        <f>'3.5.raw'!R827</f>
        <v>Associated Sample MO1176 and NOT TURBID, Enrichment done for 18 hrs.</v>
      </c>
    </row>
    <row r="828">
      <c r="A828" s="23" t="str">
        <f t="shared" si="21"/>
        <v>MO1177</v>
      </c>
      <c r="B828" s="23" t="str">
        <f>'3.5.raw'!I828</f>
        <v>MO1177</v>
      </c>
      <c r="C828" s="24">
        <f>datevalue(left('3.5.raw'!K828,10))</f>
        <v>43873</v>
      </c>
      <c r="D828" s="23">
        <f>'3.5.raw'!H828</f>
        <v>12</v>
      </c>
      <c r="E828" s="1">
        <v>3.5</v>
      </c>
      <c r="F828" s="23" t="b">
        <f>if(countif(Status!C:C,A828)=1,TRUE, FALSE)</f>
        <v>1</v>
      </c>
      <c r="H828" s="23" t="str">
        <f>IFERROR(__xludf.DUMMYFUNCTION("IFs(REGEXMATCH(I828, ""NOT""), 0, REGEXMATCH(I828, ""NO""), 0, REGEXMATCH(I828, ""TURBID""),1, COUNTBLANK(I828),"""", istext(I828),"""")"),"")</f>
        <v/>
      </c>
      <c r="I828" s="23" t="str">
        <f>'3.5.raw'!R828</f>
        <v>Enrichment done for 18 hrs.</v>
      </c>
    </row>
    <row r="829">
      <c r="A829" s="23" t="str">
        <f t="shared" si="21"/>
        <v>FB1332UP</v>
      </c>
      <c r="B829" s="23" t="str">
        <f>'3.5.raw'!I829</f>
        <v>FB1332UP</v>
      </c>
      <c r="C829" s="24">
        <f>datevalue(left('3.5.raw'!K829,10))</f>
        <v>43873</v>
      </c>
      <c r="D829" s="23">
        <f>'3.5.raw'!H829</f>
        <v>99</v>
      </c>
      <c r="E829" s="1">
        <v>3.5</v>
      </c>
      <c r="F829" s="23" t="b">
        <f>if(countif(Status!C:C,A829)=1,TRUE, FALSE)</f>
        <v>1</v>
      </c>
      <c r="H829" s="23">
        <f>IFERROR(__xludf.DUMMYFUNCTION("IFs(REGEXMATCH(I829, ""NOT""), 0, REGEXMATCH(I829, ""NO""), 0, REGEXMATCH(I829, ""TURBID""),1, COUNTBLANK(I829),"""", istext(I829),"""")"),0.0)</f>
        <v>0</v>
      </c>
      <c r="I829" s="23" t="str">
        <f>'3.5.raw'!R829</f>
        <v>Associated Sample MO1177 and NOT TURBID, Enrichment done for 18 hrs.</v>
      </c>
    </row>
    <row r="830">
      <c r="A830" s="23" t="str">
        <f t="shared" si="21"/>
        <v>PL1024</v>
      </c>
      <c r="B830" s="23" t="str">
        <f>'3.5.raw'!I830</f>
        <v>PL1024</v>
      </c>
      <c r="C830" s="24">
        <f>datevalue(left('3.5.raw'!K830,10))</f>
        <v>43873</v>
      </c>
      <c r="D830" s="23">
        <f>'3.5.raw'!H830</f>
        <v>11</v>
      </c>
      <c r="E830" s="1">
        <v>3.5</v>
      </c>
      <c r="F830" s="23" t="b">
        <f>if(countif(Status!C:C,A830)=1,TRUE, FALSE)</f>
        <v>1</v>
      </c>
      <c r="H830" s="23" t="str">
        <f>IFERROR(__xludf.DUMMYFUNCTION("IFs(REGEXMATCH(I830, ""NOT""), 0, REGEXMATCH(I830, ""NO""), 0, REGEXMATCH(I830, ""TURBID""),1, COUNTBLANK(I830),"""", istext(I830),"""")"),"")</f>
        <v/>
      </c>
      <c r="I830" s="23" t="str">
        <f>'3.5.raw'!R830</f>
        <v>Enrichment done for 18 hrs.</v>
      </c>
    </row>
    <row r="831">
      <c r="A831" s="23" t="str">
        <f t="shared" si="21"/>
        <v>FB1333UP</v>
      </c>
      <c r="B831" s="23" t="str">
        <f>'3.5.raw'!I831</f>
        <v>FB1333UP</v>
      </c>
      <c r="C831" s="24">
        <f>datevalue(left('3.5.raw'!K831,10))</f>
        <v>43873</v>
      </c>
      <c r="D831" s="23">
        <f>'3.5.raw'!H831</f>
        <v>99</v>
      </c>
      <c r="E831" s="1">
        <v>3.5</v>
      </c>
      <c r="F831" s="23" t="b">
        <f>if(countif(Status!C:C,A831)=1,TRUE, FALSE)</f>
        <v>1</v>
      </c>
      <c r="H831" s="23">
        <f>IFERROR(__xludf.DUMMYFUNCTION("IFs(REGEXMATCH(I831, ""NOT""), 0, REGEXMATCH(I831, ""NO""), 0, REGEXMATCH(I831, ""TURBID""),1, COUNTBLANK(I831),"""", istext(I831),"""")"),0.0)</f>
        <v>0</v>
      </c>
      <c r="I831" s="23" t="str">
        <f>'3.5.raw'!R831</f>
        <v>Associated Sample PL1024 and NOT TURBID, Enrichment done for 18 hrs.</v>
      </c>
    </row>
    <row r="832">
      <c r="A832" s="23" t="str">
        <f t="shared" si="21"/>
        <v>PL1025</v>
      </c>
      <c r="B832" s="23" t="str">
        <f>'3.5.raw'!I832</f>
        <v>PL1025</v>
      </c>
      <c r="C832" s="24">
        <f>datevalue(left('3.5.raw'!K832,10))</f>
        <v>43873</v>
      </c>
      <c r="D832" s="23">
        <f>'3.5.raw'!H832</f>
        <v>11</v>
      </c>
      <c r="E832" s="1">
        <v>3.5</v>
      </c>
      <c r="F832" s="23" t="b">
        <f>if(countif(Status!C:C,A832)=1,TRUE, FALSE)</f>
        <v>1</v>
      </c>
      <c r="H832" s="23" t="str">
        <f>IFERROR(__xludf.DUMMYFUNCTION("IFs(REGEXMATCH(I832, ""NOT""), 0, REGEXMATCH(I832, ""NO""), 0, REGEXMATCH(I832, ""TURBID""),1, COUNTBLANK(I832),"""", istext(I832),"""")"),"")</f>
        <v/>
      </c>
      <c r="I832" s="23" t="str">
        <f>'3.5.raw'!R832</f>
        <v>Enrichment done for 18 hrs.</v>
      </c>
    </row>
    <row r="833">
      <c r="A833" s="23" t="str">
        <f t="shared" si="21"/>
        <v>FB1334UP</v>
      </c>
      <c r="B833" s="23" t="str">
        <f>'3.5.raw'!I833</f>
        <v>FB1334UP</v>
      </c>
      <c r="C833" s="24">
        <f>datevalue(left('3.5.raw'!K833,10))</f>
        <v>43873</v>
      </c>
      <c r="D833" s="23">
        <f>'3.5.raw'!H833</f>
        <v>99</v>
      </c>
      <c r="E833" s="1">
        <v>3.5</v>
      </c>
      <c r="F833" s="23" t="b">
        <f>if(countif(Status!C:C,A833)=1,TRUE, FALSE)</f>
        <v>1</v>
      </c>
      <c r="H833" s="23">
        <f>IFERROR(__xludf.DUMMYFUNCTION("IFs(REGEXMATCH(I833, ""NOT""), 0, REGEXMATCH(I833, ""NO""), 0, REGEXMATCH(I833, ""TURBID""),1, COUNTBLANK(I833),"""", istext(I833),"""")"),0.0)</f>
        <v>0</v>
      </c>
      <c r="I833" s="23" t="str">
        <f>'3.5.raw'!R833</f>
        <v>Associated Sample PL1025 and NOT TURBID, Enrichment done for 18 hrs.</v>
      </c>
    </row>
    <row r="834">
      <c r="A834" s="23" t="str">
        <f t="shared" si="21"/>
        <v>UPNC91</v>
      </c>
      <c r="B834" s="23" t="str">
        <f>'3.5.raw'!I834</f>
        <v>UPNC91</v>
      </c>
      <c r="C834" s="24">
        <f>datevalue(left('3.5.raw'!K834,10))</f>
        <v>43873</v>
      </c>
      <c r="D834" s="23">
        <f>'3.5.raw'!H834</f>
        <v>98</v>
      </c>
      <c r="E834" s="1">
        <v>3.5</v>
      </c>
      <c r="F834" s="23" t="b">
        <f>if(countif(Status!C:C,A834)=1,TRUE, FALSE)</f>
        <v>1</v>
      </c>
      <c r="H834" s="23">
        <f>IFERROR(__xludf.DUMMYFUNCTION("IFs(REGEXMATCH(I834, ""NOT""), 0, REGEXMATCH(I834, ""NO""), 0, REGEXMATCH(I834, ""TURBID""),1, COUNTBLANK(I834),"""", istext(I834),"""")"),0.0)</f>
        <v>0</v>
      </c>
      <c r="I834" s="23" t="str">
        <f>'3.5.raw'!R834</f>
        <v>Enrichment done for 18 hrs. NOT TURBID</v>
      </c>
    </row>
    <row r="835">
      <c r="A835" s="23" t="str">
        <f t="shared" si="21"/>
        <v>PLc1196</v>
      </c>
      <c r="B835" s="23" t="str">
        <f>'3.5.raw'!I835</f>
        <v>PLc1196</v>
      </c>
      <c r="C835" s="24">
        <f>datevalue(left('3.5.raw'!K835,10))</f>
        <v>43874</v>
      </c>
      <c r="D835" s="23">
        <f>'3.5.raw'!H835</f>
        <v>11</v>
      </c>
      <c r="E835" s="1">
        <v>3.5</v>
      </c>
      <c r="F835" s="23" t="b">
        <f>if(countif(Status!C:C,A835)=1,TRUE, FALSE)</f>
        <v>1</v>
      </c>
      <c r="H835" s="23" t="str">
        <f>IFERROR(__xludf.DUMMYFUNCTION("IFs(REGEXMATCH(I835, ""NOT""), 0, REGEXMATCH(I835, ""NO""), 0, REGEXMATCH(I835, ""TURBID""),1, COUNTBLANK(I835),"""", istext(I835),"""")"),"")</f>
        <v/>
      </c>
      <c r="I835" s="23" t="str">
        <f>'3.5.raw'!R835</f>
        <v>Enrichment done for 18 hrs.</v>
      </c>
    </row>
    <row r="836">
      <c r="A836" s="23" t="str">
        <f t="shared" si="21"/>
        <v>FB1341UP</v>
      </c>
      <c r="B836" s="23" t="str">
        <f>'3.5.raw'!I836</f>
        <v>FB1341UP</v>
      </c>
      <c r="C836" s="24">
        <f>datevalue(left('3.5.raw'!K836,10))</f>
        <v>43874</v>
      </c>
      <c r="D836" s="23">
        <f>'3.5.raw'!H836</f>
        <v>99</v>
      </c>
      <c r="E836" s="1">
        <v>3.5</v>
      </c>
      <c r="F836" s="23" t="b">
        <f>if(countif(Status!C:C,A836)=1,TRUE, FALSE)</f>
        <v>1</v>
      </c>
      <c r="H836" s="23">
        <f>IFERROR(__xludf.DUMMYFUNCTION("IFs(REGEXMATCH(I836, ""NOT""), 0, REGEXMATCH(I836, ""NO""), 0, REGEXMATCH(I836, ""TURBID""),1, COUNTBLANK(I836),"""", istext(I836),"""")"),0.0)</f>
        <v>0</v>
      </c>
      <c r="I836" s="23" t="str">
        <f>'3.5.raw'!R836</f>
        <v>Associated Sample PLc1196 and NOT TURBID, Enrichment done for 18 hrs.</v>
      </c>
    </row>
    <row r="837">
      <c r="A837" s="23" t="str">
        <f t="shared" si="21"/>
        <v>PLc1197</v>
      </c>
      <c r="B837" s="23" t="str">
        <f>'3.5.raw'!I837</f>
        <v>PLc1197</v>
      </c>
      <c r="C837" s="24">
        <f>datevalue(left('3.5.raw'!K837,10))</f>
        <v>43874</v>
      </c>
      <c r="D837" s="23">
        <f>'3.5.raw'!H837</f>
        <v>11</v>
      </c>
      <c r="E837" s="1">
        <v>3.5</v>
      </c>
      <c r="F837" s="23" t="b">
        <f>if(countif(Status!C:C,A837)=1,TRUE, FALSE)</f>
        <v>1</v>
      </c>
      <c r="H837" s="23" t="str">
        <f>IFERROR(__xludf.DUMMYFUNCTION("IFs(REGEXMATCH(I837, ""NOT""), 0, REGEXMATCH(I837, ""NO""), 0, REGEXMATCH(I837, ""TURBID""),1, COUNTBLANK(I837),"""", istext(I837),"""")"),"")</f>
        <v/>
      </c>
      <c r="I837" s="23" t="str">
        <f>'3.5.raw'!R837</f>
        <v>Enrichment done for 18 hrs.</v>
      </c>
    </row>
    <row r="838">
      <c r="A838" s="23" t="str">
        <f t="shared" si="21"/>
        <v>FB1342UP</v>
      </c>
      <c r="B838" s="23" t="str">
        <f>'3.5.raw'!I838</f>
        <v>FB1342UP</v>
      </c>
      <c r="C838" s="24">
        <f>datevalue(left('3.5.raw'!K838,10))</f>
        <v>43874</v>
      </c>
      <c r="D838" s="23">
        <f>'3.5.raw'!H838</f>
        <v>99</v>
      </c>
      <c r="E838" s="1">
        <v>3.5</v>
      </c>
      <c r="F838" s="23" t="b">
        <f>if(countif(Status!C:C,A838)=1,TRUE, FALSE)</f>
        <v>1</v>
      </c>
      <c r="H838" s="23">
        <f>IFERROR(__xludf.DUMMYFUNCTION("IFs(REGEXMATCH(I838, ""NOT""), 0, REGEXMATCH(I838, ""NO""), 0, REGEXMATCH(I838, ""TURBID""),1, COUNTBLANK(I838),"""", istext(I838),"""")"),0.0)</f>
        <v>0</v>
      </c>
      <c r="I838" s="23" t="str">
        <f>'3.5.raw'!R838</f>
        <v>Associated Sample PLc1197 and NOT TURBID, Enrichment done for 18 hrs.</v>
      </c>
    </row>
    <row r="839">
      <c r="A839" s="23" t="str">
        <f t="shared" si="21"/>
        <v>PLc1198</v>
      </c>
      <c r="B839" s="23" t="str">
        <f>'3.5.raw'!I839</f>
        <v>PLc1198</v>
      </c>
      <c r="C839" s="24">
        <f>datevalue(left('3.5.raw'!K839,10))</f>
        <v>43874</v>
      </c>
      <c r="D839" s="23">
        <f>'3.5.raw'!H839</f>
        <v>11</v>
      </c>
      <c r="E839" s="1">
        <v>3.5</v>
      </c>
      <c r="F839" s="23" t="b">
        <f>if(countif(Status!C:C,A839)=1,TRUE, FALSE)</f>
        <v>1</v>
      </c>
      <c r="H839" s="23" t="str">
        <f>IFERROR(__xludf.DUMMYFUNCTION("IFs(REGEXMATCH(I839, ""NOT""), 0, REGEXMATCH(I839, ""NO""), 0, REGEXMATCH(I839, ""TURBID""),1, COUNTBLANK(I839),"""", istext(I839),"""")"),"")</f>
        <v/>
      </c>
      <c r="I839" s="23" t="str">
        <f>'3.5.raw'!R839</f>
        <v>Enrichment done for 18 hrs.</v>
      </c>
    </row>
    <row r="840">
      <c r="A840" s="23" t="str">
        <f t="shared" si="21"/>
        <v>FB1343UP</v>
      </c>
      <c r="B840" s="23" t="str">
        <f>'3.5.raw'!I840</f>
        <v>FB1343UP</v>
      </c>
      <c r="C840" s="24">
        <f>datevalue(left('3.5.raw'!K840,10))</f>
        <v>43874</v>
      </c>
      <c r="D840" s="23">
        <f>'3.5.raw'!H840</f>
        <v>99</v>
      </c>
      <c r="E840" s="1">
        <v>3.5</v>
      </c>
      <c r="F840" s="23" t="b">
        <f>if(countif(Status!C:C,A840)=1,TRUE, FALSE)</f>
        <v>1</v>
      </c>
      <c r="H840" s="23">
        <f>IFERROR(__xludf.DUMMYFUNCTION("IFs(REGEXMATCH(I840, ""NOT""), 0, REGEXMATCH(I840, ""NO""), 0, REGEXMATCH(I840, ""TURBID""),1, COUNTBLANK(I840),"""", istext(I840),"""")"),0.0)</f>
        <v>0</v>
      </c>
      <c r="I840" s="23" t="str">
        <f>'3.5.raw'!R840</f>
        <v>Associated Sample PLc1198 and NOT TURBID, Enrichment done for 18 hrs.</v>
      </c>
    </row>
    <row r="841">
      <c r="A841" s="23" t="str">
        <f t="shared" si="21"/>
        <v>MO1178</v>
      </c>
      <c r="B841" s="23" t="str">
        <f>'3.5.raw'!I841</f>
        <v>MO1178</v>
      </c>
      <c r="C841" s="24">
        <f>datevalue(left('3.5.raw'!K841,10))</f>
        <v>43874</v>
      </c>
      <c r="D841" s="23">
        <f>'3.5.raw'!H841</f>
        <v>12</v>
      </c>
      <c r="E841" s="1">
        <v>3.5</v>
      </c>
      <c r="F841" s="23" t="b">
        <f>if(countif(Status!C:C,A841)=1,TRUE, FALSE)</f>
        <v>1</v>
      </c>
      <c r="H841" s="23" t="str">
        <f>IFERROR(__xludf.DUMMYFUNCTION("IFs(REGEXMATCH(I841, ""NOT""), 0, REGEXMATCH(I841, ""NO""), 0, REGEXMATCH(I841, ""TURBID""),1, COUNTBLANK(I841),"""", istext(I841),"""")"),"")</f>
        <v/>
      </c>
      <c r="I841" s="23" t="str">
        <f>'3.5.raw'!R841</f>
        <v>Enrichment done for 18 hrs</v>
      </c>
    </row>
    <row r="842">
      <c r="A842" s="23" t="str">
        <f t="shared" si="21"/>
        <v>FB1338UP</v>
      </c>
      <c r="B842" s="23" t="str">
        <f>'3.5.raw'!I842</f>
        <v>FB1338UP</v>
      </c>
      <c r="C842" s="24">
        <f>datevalue(left('3.5.raw'!K842,10))</f>
        <v>43874</v>
      </c>
      <c r="D842" s="23">
        <f>'3.5.raw'!H842</f>
        <v>99</v>
      </c>
      <c r="E842" s="1">
        <v>3.5</v>
      </c>
      <c r="F842" s="23" t="b">
        <f>if(countif(Status!C:C,A842)=1,TRUE, FALSE)</f>
        <v>1</v>
      </c>
      <c r="H842" s="23">
        <f>IFERROR(__xludf.DUMMYFUNCTION("IFs(REGEXMATCH(I842, ""NOT""), 0, REGEXMATCH(I842, ""NO""), 0, REGEXMATCH(I842, ""TURBID""),1, COUNTBLANK(I842),"""", istext(I842),"""")"),0.0)</f>
        <v>0</v>
      </c>
      <c r="I842" s="23" t="str">
        <f>'3.5.raw'!R842</f>
        <v>Associated Sample MO1178 and NOT TURBID, Enrichment done for 18 hrs.</v>
      </c>
    </row>
    <row r="843">
      <c r="A843" s="23" t="str">
        <f t="shared" si="21"/>
        <v>MO1179</v>
      </c>
      <c r="B843" s="23" t="str">
        <f>'3.5.raw'!I843</f>
        <v>MO1179</v>
      </c>
      <c r="C843" s="24">
        <f>datevalue(left('3.5.raw'!K843,10))</f>
        <v>43874</v>
      </c>
      <c r="D843" s="23">
        <f>'3.5.raw'!H843</f>
        <v>12</v>
      </c>
      <c r="E843" s="1">
        <v>3.5</v>
      </c>
      <c r="F843" s="23" t="b">
        <f>if(countif(Status!C:C,A843)=1,TRUE, FALSE)</f>
        <v>1</v>
      </c>
      <c r="H843" s="23" t="str">
        <f>IFERROR(__xludf.DUMMYFUNCTION("IFs(REGEXMATCH(I843, ""NOT""), 0, REGEXMATCH(I843, ""NO""), 0, REGEXMATCH(I843, ""TURBID""),1, COUNTBLANK(I843),"""", istext(I843),"""")"),"")</f>
        <v/>
      </c>
      <c r="I843" s="23" t="str">
        <f>'3.5.raw'!R843</f>
        <v>Enrichment done for 18 hrs.</v>
      </c>
    </row>
    <row r="844">
      <c r="A844" s="23" t="str">
        <f t="shared" si="21"/>
        <v>FB1339UP</v>
      </c>
      <c r="B844" s="23" t="str">
        <f>'3.5.raw'!I844</f>
        <v>FB1339UP</v>
      </c>
      <c r="C844" s="24">
        <f>datevalue(left('3.5.raw'!K844,10))</f>
        <v>43874</v>
      </c>
      <c r="D844" s="23">
        <f>'3.5.raw'!H844</f>
        <v>99</v>
      </c>
      <c r="E844" s="1">
        <v>3.5</v>
      </c>
      <c r="F844" s="23" t="b">
        <f>if(countif(Status!C:C,A844)=1,TRUE, FALSE)</f>
        <v>1</v>
      </c>
      <c r="H844" s="23">
        <f>IFERROR(__xludf.DUMMYFUNCTION("IFs(REGEXMATCH(I844, ""NOT""), 0, REGEXMATCH(I844, ""NO""), 0, REGEXMATCH(I844, ""TURBID""),1, COUNTBLANK(I844),"""", istext(I844),"""")"),0.0)</f>
        <v>0</v>
      </c>
      <c r="I844" s="23" t="str">
        <f>'3.5.raw'!R844</f>
        <v>Associated Sample MO1179 and NOT TURBID, Enrichment done for 18 hrs.</v>
      </c>
    </row>
    <row r="845">
      <c r="A845" s="23" t="str">
        <f t="shared" si="21"/>
        <v>MO1180</v>
      </c>
      <c r="B845" s="23" t="str">
        <f>'3.5.raw'!I845</f>
        <v>MO1180</v>
      </c>
      <c r="C845" s="24">
        <f>datevalue(left('3.5.raw'!K845,10))</f>
        <v>43874</v>
      </c>
      <c r="D845" s="23">
        <f>'3.5.raw'!H845</f>
        <v>12</v>
      </c>
      <c r="E845" s="1">
        <v>3.5</v>
      </c>
      <c r="F845" s="23" t="b">
        <f>if(countif(Status!C:C,A845)=1,TRUE, FALSE)</f>
        <v>1</v>
      </c>
      <c r="H845" s="23" t="str">
        <f>IFERROR(__xludf.DUMMYFUNCTION("IFs(REGEXMATCH(I845, ""NOT""), 0, REGEXMATCH(I845, ""NO""), 0, REGEXMATCH(I845, ""TURBID""),1, COUNTBLANK(I845),"""", istext(I845),"""")"),"")</f>
        <v/>
      </c>
      <c r="I845" s="23" t="str">
        <f>'3.5.raw'!R845</f>
        <v>Enrichment done for 18 hrs.</v>
      </c>
    </row>
    <row r="846">
      <c r="A846" s="23" t="str">
        <f t="shared" si="21"/>
        <v>FB1340UP</v>
      </c>
      <c r="B846" s="23" t="str">
        <f>'3.5.raw'!I846</f>
        <v>FB1340UP</v>
      </c>
      <c r="C846" s="24">
        <f>datevalue(left('3.5.raw'!K846,10))</f>
        <v>43874</v>
      </c>
      <c r="D846" s="23">
        <f>'3.5.raw'!H846</f>
        <v>99</v>
      </c>
      <c r="E846" s="1">
        <v>3.5</v>
      </c>
      <c r="F846" s="23" t="b">
        <f>if(countif(Status!C:C,A846)=1,TRUE, FALSE)</f>
        <v>1</v>
      </c>
      <c r="H846" s="23">
        <f>IFERROR(__xludf.DUMMYFUNCTION("IFs(REGEXMATCH(I846, ""NOT""), 0, REGEXMATCH(I846, ""NO""), 0, REGEXMATCH(I846, ""TURBID""),1, COUNTBLANK(I846),"""", istext(I846),"""")"),0.0)</f>
        <v>0</v>
      </c>
      <c r="I846" s="23" t="str">
        <f>'3.5.raw'!R846</f>
        <v>Associated Sample MO1180 and NOT TURBID, Enrichment done for 18 hrs.</v>
      </c>
    </row>
    <row r="847">
      <c r="A847" s="23" t="str">
        <f t="shared" si="21"/>
        <v>UPNC92</v>
      </c>
      <c r="B847" s="23" t="str">
        <f>'3.5.raw'!I847</f>
        <v>UPNC92</v>
      </c>
      <c r="C847" s="24">
        <f>datevalue(left('3.5.raw'!K847,10))</f>
        <v>43874</v>
      </c>
      <c r="D847" s="23">
        <f>'3.5.raw'!H847</f>
        <v>98</v>
      </c>
      <c r="E847" s="1">
        <v>3.5</v>
      </c>
      <c r="F847" s="23" t="b">
        <f>if(countif(Status!C:C,A847)=1,TRUE, FALSE)</f>
        <v>1</v>
      </c>
      <c r="H847" s="23">
        <f>IFERROR(__xludf.DUMMYFUNCTION("IFs(REGEXMATCH(I847, ""NOT""), 0, REGEXMATCH(I847, ""NO""), 0, REGEXMATCH(I847, ""TURBID""),1, COUNTBLANK(I847),"""", istext(I847),"""")"),0.0)</f>
        <v>0</v>
      </c>
      <c r="I847" s="23" t="str">
        <f>'3.5.raw'!R847</f>
        <v>Enrichment done for 18 hrs. NOT TURBID</v>
      </c>
    </row>
    <row r="848">
      <c r="A848" s="23" t="str">
        <f t="shared" si="21"/>
        <v>PLc1199</v>
      </c>
      <c r="B848" s="23" t="str">
        <f>'3.5.raw'!I848</f>
        <v>PLc1199</v>
      </c>
      <c r="C848" s="24">
        <f>datevalue(left('3.5.raw'!K848,10))</f>
        <v>43878</v>
      </c>
      <c r="D848" s="23">
        <f>'3.5.raw'!H848</f>
        <v>11</v>
      </c>
      <c r="E848" s="1">
        <v>3.5</v>
      </c>
      <c r="F848" s="23" t="b">
        <f>if(countif(Status!C:C,A848)=1,TRUE, FALSE)</f>
        <v>1</v>
      </c>
      <c r="H848" s="23" t="str">
        <f>IFERROR(__xludf.DUMMYFUNCTION("IFs(REGEXMATCH(I848, ""NOT""), 0, REGEXMATCH(I848, ""NO""), 0, REGEXMATCH(I848, ""TURBID""),1, COUNTBLANK(I848),"""", istext(I848),"""")"),"")</f>
        <v/>
      </c>
      <c r="I848" s="23" t="str">
        <f>'3.5.raw'!R848</f>
        <v>Enrichment done for 18 hrs.</v>
      </c>
    </row>
    <row r="849">
      <c r="A849" s="23" t="str">
        <f t="shared" si="21"/>
        <v>FB1344UP</v>
      </c>
      <c r="B849" s="23" t="str">
        <f>'3.5.raw'!I849</f>
        <v>FB1344UP</v>
      </c>
      <c r="C849" s="24">
        <f>datevalue(left('3.5.raw'!K849,10))</f>
        <v>43878</v>
      </c>
      <c r="D849" s="23">
        <f>'3.5.raw'!H849</f>
        <v>99</v>
      </c>
      <c r="E849" s="1">
        <v>3.5</v>
      </c>
      <c r="F849" s="23" t="b">
        <f>if(countif(Status!C:C,A849)=1,TRUE, FALSE)</f>
        <v>1</v>
      </c>
      <c r="H849" s="23">
        <f>IFERROR(__xludf.DUMMYFUNCTION("IFs(REGEXMATCH(I849, ""NOT""), 0, REGEXMATCH(I849, ""NO""), 0, REGEXMATCH(I849, ""TURBID""),1, COUNTBLANK(I849),"""", istext(I849),"""")"),0.0)</f>
        <v>0</v>
      </c>
      <c r="I849" s="23" t="str">
        <f>'3.5.raw'!R849</f>
        <v>Associated Sample PLc1199 and NOT TURBID, Enrichment done for 18 hrs.</v>
      </c>
    </row>
    <row r="850">
      <c r="A850" s="23" t="str">
        <f t="shared" si="21"/>
        <v>PLc1200</v>
      </c>
      <c r="B850" s="23" t="str">
        <f>'3.5.raw'!I850</f>
        <v>PLc1200</v>
      </c>
      <c r="C850" s="24">
        <f>datevalue(left('3.5.raw'!K850,10))</f>
        <v>43878</v>
      </c>
      <c r="D850" s="23">
        <f>'3.5.raw'!H850</f>
        <v>11</v>
      </c>
      <c r="E850" s="1">
        <v>3.5</v>
      </c>
      <c r="F850" s="23" t="b">
        <f>if(countif(Status!C:C,A850)=1,TRUE, FALSE)</f>
        <v>1</v>
      </c>
      <c r="H850" s="23" t="str">
        <f>IFERROR(__xludf.DUMMYFUNCTION("IFs(REGEXMATCH(I850, ""NOT""), 0, REGEXMATCH(I850, ""NO""), 0, REGEXMATCH(I850, ""TURBID""),1, COUNTBLANK(I850),"""", istext(I850),"""")"),"")</f>
        <v/>
      </c>
      <c r="I850" s="23" t="str">
        <f>'3.5.raw'!R850</f>
        <v>Enrichment done for 18 hrs.</v>
      </c>
    </row>
    <row r="851">
      <c r="A851" s="23" t="str">
        <f t="shared" si="21"/>
        <v>FB1345UP</v>
      </c>
      <c r="B851" s="23" t="str">
        <f>'3.5.raw'!I851</f>
        <v>FB1345UP</v>
      </c>
      <c r="C851" s="24">
        <f>datevalue(left('3.5.raw'!K851,10))</f>
        <v>43878</v>
      </c>
      <c r="D851" s="23">
        <f>'3.5.raw'!H851</f>
        <v>99</v>
      </c>
      <c r="E851" s="1">
        <v>3.5</v>
      </c>
      <c r="F851" s="23" t="b">
        <f>if(countif(Status!C:C,A851)=1,TRUE, FALSE)</f>
        <v>1</v>
      </c>
      <c r="H851" s="23">
        <f>IFERROR(__xludf.DUMMYFUNCTION("IFs(REGEXMATCH(I851, ""NOT""), 0, REGEXMATCH(I851, ""NO""), 0, REGEXMATCH(I851, ""TURBID""),1, COUNTBLANK(I851),"""", istext(I851),"""")"),0.0)</f>
        <v>0</v>
      </c>
      <c r="I851" s="23" t="str">
        <f>'3.5.raw'!R851</f>
        <v>Associated Sample PLc1200 and NOT TURBID, Enrichment done for 18 hrs.</v>
      </c>
    </row>
    <row r="852">
      <c r="A852" s="23" t="str">
        <f t="shared" si="21"/>
        <v>PLc1201</v>
      </c>
      <c r="B852" s="23" t="str">
        <f>'3.5.raw'!I852</f>
        <v>PLc1201</v>
      </c>
      <c r="C852" s="24">
        <f>datevalue(left('3.5.raw'!K852,10))</f>
        <v>43878</v>
      </c>
      <c r="D852" s="23">
        <f>'3.5.raw'!H852</f>
        <v>11</v>
      </c>
      <c r="E852" s="1">
        <v>3.5</v>
      </c>
      <c r="F852" s="23" t="b">
        <f>if(countif(Status!C:C,A852)=1,TRUE, FALSE)</f>
        <v>1</v>
      </c>
      <c r="H852" s="23" t="str">
        <f>IFERROR(__xludf.DUMMYFUNCTION("IFs(REGEXMATCH(I852, ""NOT""), 0, REGEXMATCH(I852, ""NO""), 0, REGEXMATCH(I852, ""TURBID""),1, COUNTBLANK(I852),"""", istext(I852),"""")"),"")</f>
        <v/>
      </c>
      <c r="I852" s="23" t="str">
        <f>'3.5.raw'!R852</f>
        <v>Enrichment done for 18 hrs.</v>
      </c>
    </row>
    <row r="853">
      <c r="A853" s="23" t="str">
        <f t="shared" si="21"/>
        <v>FB1346UP</v>
      </c>
      <c r="B853" s="23" t="str">
        <f>'3.5.raw'!I853</f>
        <v>FB1346UP</v>
      </c>
      <c r="C853" s="24">
        <f>datevalue(left('3.5.raw'!K853,10))</f>
        <v>43878</v>
      </c>
      <c r="D853" s="23">
        <f>'3.5.raw'!H853</f>
        <v>99</v>
      </c>
      <c r="E853" s="1">
        <v>3.5</v>
      </c>
      <c r="F853" s="23" t="b">
        <f>if(countif(Status!C:C,A853)=1,TRUE, FALSE)</f>
        <v>1</v>
      </c>
      <c r="H853" s="23">
        <f>IFERROR(__xludf.DUMMYFUNCTION("IFs(REGEXMATCH(I853, ""NOT""), 0, REGEXMATCH(I853, ""NO""), 0, REGEXMATCH(I853, ""TURBID""),1, COUNTBLANK(I853),"""", istext(I853),"""")"),0.0)</f>
        <v>0</v>
      </c>
      <c r="I853" s="23" t="str">
        <f>'3.5.raw'!R853</f>
        <v>Associated Sample PLc1201 and NOT TURBID, Enrichment done for 18 hrs.</v>
      </c>
    </row>
    <row r="854">
      <c r="A854" s="23" t="str">
        <f t="shared" si="21"/>
        <v>PLc1202</v>
      </c>
      <c r="B854" s="23" t="str">
        <f>'3.5.raw'!I854</f>
        <v>PLc1202</v>
      </c>
      <c r="C854" s="24">
        <f>datevalue(left('3.5.raw'!K854,10))</f>
        <v>43878</v>
      </c>
      <c r="D854" s="23">
        <f>'3.5.raw'!H854</f>
        <v>11</v>
      </c>
      <c r="E854" s="1">
        <v>3.5</v>
      </c>
      <c r="F854" s="23" t="b">
        <f>if(countif(Status!C:C,A854)=1,TRUE, FALSE)</f>
        <v>1</v>
      </c>
      <c r="H854" s="23" t="str">
        <f>IFERROR(__xludf.DUMMYFUNCTION("IFs(REGEXMATCH(I854, ""NOT""), 0, REGEXMATCH(I854, ""NO""), 0, REGEXMATCH(I854, ""TURBID""),1, COUNTBLANK(I854),"""", istext(I854),"""")"),"")</f>
        <v/>
      </c>
      <c r="I854" s="23" t="str">
        <f>'3.5.raw'!R854</f>
        <v>Enrichment done for 18 hrs.</v>
      </c>
    </row>
    <row r="855">
      <c r="A855" s="23" t="str">
        <f t="shared" si="21"/>
        <v>FB1347UP</v>
      </c>
      <c r="B855" s="23" t="str">
        <f>'3.5.raw'!I855</f>
        <v>FB1347UP</v>
      </c>
      <c r="C855" s="24">
        <f>datevalue(left('3.5.raw'!K855,10))</f>
        <v>43878</v>
      </c>
      <c r="D855" s="23">
        <f>'3.5.raw'!H855</f>
        <v>11</v>
      </c>
      <c r="E855" s="1">
        <v>3.5</v>
      </c>
      <c r="F855" s="23" t="b">
        <f>if(countif(Status!C:C,A855)=1,TRUE, FALSE)</f>
        <v>1</v>
      </c>
      <c r="H855" s="23">
        <f>IFERROR(__xludf.DUMMYFUNCTION("IFs(REGEXMATCH(I855, ""NOT""), 0, REGEXMATCH(I855, ""NO""), 0, REGEXMATCH(I855, ""TURBID""),1, COUNTBLANK(I855),"""", istext(I855),"""")"),0.0)</f>
        <v>0</v>
      </c>
      <c r="I855" s="23" t="str">
        <f>'3.5.raw'!R855</f>
        <v>Associated Sample PLc1202 and NOT TURBID, Enrichment done for 18 hrs.</v>
      </c>
    </row>
    <row r="856">
      <c r="A856" s="23" t="str">
        <f t="shared" si="21"/>
        <v>PLc1203</v>
      </c>
      <c r="B856" s="23" t="str">
        <f>'3.5.raw'!I856</f>
        <v>PLc1203</v>
      </c>
      <c r="C856" s="24">
        <f>datevalue(left('3.5.raw'!K856,10))</f>
        <v>43878</v>
      </c>
      <c r="D856" s="23">
        <f>'3.5.raw'!H856</f>
        <v>11</v>
      </c>
      <c r="E856" s="1">
        <v>3.5</v>
      </c>
      <c r="F856" s="23" t="b">
        <f>if(countif(Status!C:C,A856)=1,TRUE, FALSE)</f>
        <v>1</v>
      </c>
      <c r="H856" s="23" t="str">
        <f>IFERROR(__xludf.DUMMYFUNCTION("IFs(REGEXMATCH(I856, ""NOT""), 0, REGEXMATCH(I856, ""NO""), 0, REGEXMATCH(I856, ""TURBID""),1, COUNTBLANK(I856),"""", istext(I856),"""")"),"")</f>
        <v/>
      </c>
      <c r="I856" s="23" t="str">
        <f>'3.5.raw'!R856</f>
        <v>Enrichment done for 18 hrs.</v>
      </c>
    </row>
    <row r="857">
      <c r="A857" s="23" t="str">
        <f t="shared" si="21"/>
        <v>FB1348UP</v>
      </c>
      <c r="B857" s="23" t="str">
        <f>'3.5.raw'!I857</f>
        <v>FB1348UP</v>
      </c>
      <c r="C857" s="24">
        <f>datevalue(left('3.5.raw'!K857,10))</f>
        <v>43878</v>
      </c>
      <c r="D857" s="23">
        <f>'3.5.raw'!H857</f>
        <v>99</v>
      </c>
      <c r="E857" s="1">
        <v>3.5</v>
      </c>
      <c r="F857" s="23" t="b">
        <f>if(countif(Status!C:C,A857)=1,TRUE, FALSE)</f>
        <v>1</v>
      </c>
      <c r="H857" s="23">
        <f>IFERROR(__xludf.DUMMYFUNCTION("IFs(REGEXMATCH(I857, ""NOT""), 0, REGEXMATCH(I857, ""NO""), 0, REGEXMATCH(I857, ""TURBID""),1, COUNTBLANK(I857),"""", istext(I857),"""")"),0.0)</f>
        <v>0</v>
      </c>
      <c r="I857" s="23" t="str">
        <f>'3.5.raw'!R857</f>
        <v>Associated Sample PLc1203 and NOT TURBID, Enrichment done for 18 hrs.</v>
      </c>
    </row>
    <row r="858">
      <c r="A858" s="23" t="str">
        <f t="shared" si="21"/>
        <v>UPNC93</v>
      </c>
      <c r="B858" s="23" t="str">
        <f>'3.5.raw'!I858</f>
        <v>UPNC93</v>
      </c>
      <c r="C858" s="24">
        <f>datevalue(left('3.5.raw'!K858,10))</f>
        <v>43878</v>
      </c>
      <c r="D858" s="23">
        <f>'3.5.raw'!H858</f>
        <v>98</v>
      </c>
      <c r="E858" s="1">
        <v>3.5</v>
      </c>
      <c r="F858" s="23" t="b">
        <f>if(countif(Status!C:C,A858)=1,TRUE, FALSE)</f>
        <v>1</v>
      </c>
      <c r="H858" s="23">
        <f>IFERROR(__xludf.DUMMYFUNCTION("IFs(REGEXMATCH(I858, ""NOT""), 0, REGEXMATCH(I858, ""NO""), 0, REGEXMATCH(I858, ""TURBID""),1, COUNTBLANK(I858),"""", istext(I858),"""")"),0.0)</f>
        <v>0</v>
      </c>
      <c r="I858" s="23" t="str">
        <f>'3.5.raw'!R858</f>
        <v>Enrichment done for 18 hrs. NOT TURBID</v>
      </c>
    </row>
    <row r="859">
      <c r="A859" s="23" t="str">
        <f t="shared" si="21"/>
        <v>MO1181</v>
      </c>
      <c r="B859" s="23" t="str">
        <f>'3.5.raw'!I859</f>
        <v>MO1181</v>
      </c>
      <c r="C859" s="24">
        <f>datevalue(left('3.5.raw'!K859,10))</f>
        <v>43879</v>
      </c>
      <c r="D859" s="23">
        <f>'3.5.raw'!H859</f>
        <v>12</v>
      </c>
      <c r="E859" s="1">
        <v>3.5</v>
      </c>
      <c r="F859" s="23" t="b">
        <f>if(countif(Status!C:C,A859)=1,TRUE, FALSE)</f>
        <v>1</v>
      </c>
      <c r="H859" s="23" t="str">
        <f>IFERROR(__xludf.DUMMYFUNCTION("IFs(REGEXMATCH(I859, ""NOT""), 0, REGEXMATCH(I859, ""NO""), 0, REGEXMATCH(I859, ""TURBID""),1, COUNTBLANK(I859),"""", istext(I859),"""")"),"")</f>
        <v/>
      </c>
      <c r="I859" s="23" t="str">
        <f>'3.5.raw'!R859</f>
        <v>Enrichment done for 18 hrs.</v>
      </c>
    </row>
    <row r="860">
      <c r="A860" s="23" t="str">
        <f t="shared" si="21"/>
        <v>FB1351UP</v>
      </c>
      <c r="B860" s="23" t="str">
        <f>'3.5.raw'!I860</f>
        <v>FB1351UP</v>
      </c>
      <c r="C860" s="24">
        <f>datevalue(left('3.5.raw'!K860,10))</f>
        <v>43879</v>
      </c>
      <c r="D860" s="23">
        <f>'3.5.raw'!H860</f>
        <v>99</v>
      </c>
      <c r="E860" s="1">
        <v>3.5</v>
      </c>
      <c r="F860" s="23" t="b">
        <f>if(countif(Status!C:C,A860)=1,TRUE, FALSE)</f>
        <v>1</v>
      </c>
      <c r="H860" s="23">
        <f>IFERROR(__xludf.DUMMYFUNCTION("IFs(REGEXMATCH(I860, ""NOT""), 0, REGEXMATCH(I860, ""NO""), 0, REGEXMATCH(I860, ""TURBID""),1, COUNTBLANK(I860),"""", istext(I860),"""")"),0.0)</f>
        <v>0</v>
      </c>
      <c r="I860" s="23" t="str">
        <f>'3.5.raw'!R860</f>
        <v>Associated Sample MO1181 and NOT TURBID, Enrichment done for 18 hrs.</v>
      </c>
    </row>
    <row r="861">
      <c r="A861" s="23" t="str">
        <f t="shared" si="21"/>
        <v>MO1182</v>
      </c>
      <c r="B861" s="23" t="str">
        <f>'3.5.raw'!I861</f>
        <v>MO1182</v>
      </c>
      <c r="C861" s="24">
        <f>datevalue(left('3.5.raw'!K861,10))</f>
        <v>43879</v>
      </c>
      <c r="D861" s="23">
        <f>'3.5.raw'!H861</f>
        <v>12</v>
      </c>
      <c r="E861" s="1">
        <v>3.5</v>
      </c>
      <c r="F861" s="23" t="b">
        <f>if(countif(Status!C:C,A861)=1,TRUE, FALSE)</f>
        <v>1</v>
      </c>
      <c r="H861" s="23" t="str">
        <f>IFERROR(__xludf.DUMMYFUNCTION("IFs(REGEXMATCH(I861, ""NOT""), 0, REGEXMATCH(I861, ""NO""), 0, REGEXMATCH(I861, ""TURBID""),1, COUNTBLANK(I861),"""", istext(I861),"""")"),"")</f>
        <v/>
      </c>
      <c r="I861" s="23" t="str">
        <f>'3.5.raw'!R861</f>
        <v>Enrichment done for 18 hrs.</v>
      </c>
    </row>
    <row r="862">
      <c r="A862" s="23" t="str">
        <f t="shared" si="21"/>
        <v>FB1352UP</v>
      </c>
      <c r="B862" s="23" t="str">
        <f>'3.5.raw'!I862</f>
        <v>FB1352UP</v>
      </c>
      <c r="C862" s="24">
        <f>datevalue(left('3.5.raw'!K862,10))</f>
        <v>43879</v>
      </c>
      <c r="D862" s="23">
        <f>'3.5.raw'!H862</f>
        <v>99</v>
      </c>
      <c r="E862" s="1">
        <v>3.5</v>
      </c>
      <c r="F862" s="23" t="b">
        <f>if(countif(Status!C:C,A862)=1,TRUE, FALSE)</f>
        <v>1</v>
      </c>
      <c r="H862" s="23">
        <f>IFERROR(__xludf.DUMMYFUNCTION("IFs(REGEXMATCH(I862, ""NOT""), 0, REGEXMATCH(I862, ""NO""), 0, REGEXMATCH(I862, ""TURBID""),1, COUNTBLANK(I862),"""", istext(I862),"""")"),0.0)</f>
        <v>0</v>
      </c>
      <c r="I862" s="23" t="str">
        <f>'3.5.raw'!R862</f>
        <v>Associated Sample MO1182 and NOT TURBID, Enrichment done for 18 hrs.</v>
      </c>
    </row>
    <row r="863">
      <c r="A863" s="23" t="str">
        <f t="shared" si="21"/>
        <v>MO1183</v>
      </c>
      <c r="B863" s="23" t="str">
        <f>'3.5.raw'!I863</f>
        <v>MO1183</v>
      </c>
      <c r="C863" s="24">
        <f>datevalue(left('3.5.raw'!K863,10))</f>
        <v>43879</v>
      </c>
      <c r="D863" s="23">
        <f>'3.5.raw'!H863</f>
        <v>12</v>
      </c>
      <c r="E863" s="1">
        <v>3.5</v>
      </c>
      <c r="F863" s="23" t="b">
        <f>if(countif(Status!C:C,A863)=1,TRUE, FALSE)</f>
        <v>1</v>
      </c>
      <c r="H863" s="23" t="str">
        <f>IFERROR(__xludf.DUMMYFUNCTION("IFs(REGEXMATCH(I863, ""NOT""), 0, REGEXMATCH(I863, ""NO""), 0, REGEXMATCH(I863, ""TURBID""),1, COUNTBLANK(I863),"""", istext(I863),"""")"),"")</f>
        <v/>
      </c>
      <c r="I863" s="23" t="str">
        <f>'3.5.raw'!R863</f>
        <v>Enrichment done for 18 hrs.</v>
      </c>
    </row>
    <row r="864">
      <c r="A864" s="23" t="str">
        <f t="shared" si="21"/>
        <v>FB1353UP</v>
      </c>
      <c r="B864" s="23" t="str">
        <f>'3.5.raw'!I864</f>
        <v>FB1353UP</v>
      </c>
      <c r="C864" s="24">
        <f>datevalue(left('3.5.raw'!K864,10))</f>
        <v>43879</v>
      </c>
      <c r="D864" s="23">
        <f>'3.5.raw'!H864</f>
        <v>99</v>
      </c>
      <c r="E864" s="1">
        <v>3.5</v>
      </c>
      <c r="F864" s="23" t="b">
        <f>if(countif(Status!C:C,A864)=1,TRUE, FALSE)</f>
        <v>1</v>
      </c>
      <c r="H864" s="23">
        <f>IFERROR(__xludf.DUMMYFUNCTION("IFs(REGEXMATCH(I864, ""NOT""), 0, REGEXMATCH(I864, ""NO""), 0, REGEXMATCH(I864, ""TURBID""),1, COUNTBLANK(I864),"""", istext(I864),"""")"),0.0)</f>
        <v>0</v>
      </c>
      <c r="I864" s="23" t="str">
        <f>'3.5.raw'!R864</f>
        <v>Associated Sample MO1183 and NOT TURBID, Enrichment done for 18 hrs.</v>
      </c>
    </row>
    <row r="865">
      <c r="A865" s="23" t="str">
        <f t="shared" si="21"/>
        <v>MO1184</v>
      </c>
      <c r="B865" s="23" t="str">
        <f>'3.5.raw'!I865</f>
        <v>MO1184</v>
      </c>
      <c r="C865" s="24">
        <f>datevalue(left('3.5.raw'!K865,10))</f>
        <v>43879</v>
      </c>
      <c r="D865" s="23">
        <f>'3.5.raw'!H865</f>
        <v>12</v>
      </c>
      <c r="E865" s="1">
        <v>3.5</v>
      </c>
      <c r="F865" s="23" t="b">
        <f>if(countif(Status!C:C,A865)=1,TRUE, FALSE)</f>
        <v>1</v>
      </c>
      <c r="H865" s="23" t="str">
        <f>IFERROR(__xludf.DUMMYFUNCTION("IFs(REGEXMATCH(I865, ""NOT""), 0, REGEXMATCH(I865, ""NO""), 0, REGEXMATCH(I865, ""TURBID""),1, COUNTBLANK(I865),"""", istext(I865),"""")"),"")</f>
        <v/>
      </c>
      <c r="I865" s="23" t="str">
        <f>'3.5.raw'!R865</f>
        <v>Enrichment done for 18 hrs.</v>
      </c>
    </row>
    <row r="866">
      <c r="A866" s="23" t="str">
        <f t="shared" si="21"/>
        <v>FB1354UP</v>
      </c>
      <c r="B866" s="23" t="str">
        <f>'3.5.raw'!I866</f>
        <v>FB1354UP</v>
      </c>
      <c r="C866" s="24">
        <f>datevalue(left('3.5.raw'!K866,10))</f>
        <v>43879</v>
      </c>
      <c r="D866" s="23">
        <f>'3.5.raw'!H866</f>
        <v>99</v>
      </c>
      <c r="E866" s="1">
        <v>3.5</v>
      </c>
      <c r="F866" s="23" t="b">
        <f>if(countif(Status!C:C,A866)=1,TRUE, FALSE)</f>
        <v>1</v>
      </c>
      <c r="H866" s="23">
        <f>IFERROR(__xludf.DUMMYFUNCTION("IFs(REGEXMATCH(I866, ""NOT""), 0, REGEXMATCH(I866, ""NO""), 0, REGEXMATCH(I866, ""TURBID""),1, COUNTBLANK(I866),"""", istext(I866),"""")"),0.0)</f>
        <v>0</v>
      </c>
      <c r="I866" s="23" t="str">
        <f>'3.5.raw'!R866</f>
        <v>Associated Sample MO1184 and NOT TURBID, Enrichment done for 18 hrs.</v>
      </c>
    </row>
    <row r="867">
      <c r="A867" s="23" t="str">
        <f t="shared" si="21"/>
        <v>UPNC94</v>
      </c>
      <c r="B867" s="23" t="str">
        <f>'3.5.raw'!I867</f>
        <v>UPNC94</v>
      </c>
      <c r="C867" s="24">
        <f>datevalue(left('3.5.raw'!K867,10))</f>
        <v>43879</v>
      </c>
      <c r="D867" s="23">
        <f>'3.5.raw'!H867</f>
        <v>98</v>
      </c>
      <c r="E867" s="1">
        <v>3.5</v>
      </c>
      <c r="F867" s="23" t="b">
        <f>if(countif(Status!C:C,A867)=1,TRUE, FALSE)</f>
        <v>1</v>
      </c>
      <c r="H867" s="23">
        <f>IFERROR(__xludf.DUMMYFUNCTION("IFs(REGEXMATCH(I867, ""NOT""), 0, REGEXMATCH(I867, ""NO""), 0, REGEXMATCH(I867, ""TURBID""),1, COUNTBLANK(I867),"""", istext(I867),"""")"),0.0)</f>
        <v>0</v>
      </c>
      <c r="I867" s="23" t="str">
        <f>'3.5.raw'!R867</f>
        <v>Enrichment done for 18 hrs. NOT TURBID</v>
      </c>
    </row>
    <row r="868">
      <c r="A868" s="23" t="str">
        <f t="shared" si="21"/>
        <v>MO1185</v>
      </c>
      <c r="B868" s="23" t="str">
        <f>'3.5.raw'!I868</f>
        <v>MO1185</v>
      </c>
      <c r="C868" s="24">
        <f>datevalue(left('3.5.raw'!K868,10))</f>
        <v>43880</v>
      </c>
      <c r="D868" s="23">
        <f>'3.5.raw'!H868</f>
        <v>12</v>
      </c>
      <c r="E868" s="1">
        <v>3.5</v>
      </c>
      <c r="F868" s="23" t="b">
        <f>if(countif(Status!C:C,A868)=1,TRUE, FALSE)</f>
        <v>1</v>
      </c>
      <c r="H868" s="23" t="str">
        <f>IFERROR(__xludf.DUMMYFUNCTION("IFs(REGEXMATCH(I868, ""NOT""), 0, REGEXMATCH(I868, ""NO""), 0, REGEXMATCH(I868, ""TURBID""),1, COUNTBLANK(I868),"""", istext(I868),"""")"),"")</f>
        <v/>
      </c>
      <c r="I868" s="23" t="str">
        <f>'3.5.raw'!R868</f>
        <v>Enrichment done for 18 hrs.</v>
      </c>
    </row>
    <row r="869">
      <c r="A869" s="23" t="str">
        <f t="shared" si="21"/>
        <v>FB1357UP</v>
      </c>
      <c r="B869" s="23" t="str">
        <f>'3.5.raw'!I869</f>
        <v>FB1357UP</v>
      </c>
      <c r="C869" s="24">
        <f>datevalue(left('3.5.raw'!K869,10))</f>
        <v>43880</v>
      </c>
      <c r="D869" s="23">
        <f>'3.5.raw'!H869</f>
        <v>99</v>
      </c>
      <c r="E869" s="1">
        <v>3.5</v>
      </c>
      <c r="F869" s="23" t="b">
        <f>if(countif(Status!C:C,A869)=1,TRUE, FALSE)</f>
        <v>1</v>
      </c>
      <c r="H869" s="23">
        <f>IFERROR(__xludf.DUMMYFUNCTION("IFs(REGEXMATCH(I869, ""NOT""), 0, REGEXMATCH(I869, ""NO""), 0, REGEXMATCH(I869, ""TURBID""),1, COUNTBLANK(I869),"""", istext(I869),"""")"),0.0)</f>
        <v>0</v>
      </c>
      <c r="I869" s="23" t="str">
        <f>'3.5.raw'!R869</f>
        <v>Associated Sample MO1185 and NOT TURBID, Enrichment done for 18 hrs.</v>
      </c>
    </row>
    <row r="870">
      <c r="A870" s="23" t="str">
        <f t="shared" si="21"/>
        <v>MO1186</v>
      </c>
      <c r="B870" s="23" t="str">
        <f>'3.5.raw'!I870</f>
        <v>MO1186</v>
      </c>
      <c r="C870" s="24">
        <f>datevalue(left('3.5.raw'!K870,10))</f>
        <v>43880</v>
      </c>
      <c r="D870" s="23">
        <f>'3.5.raw'!H870</f>
        <v>12</v>
      </c>
      <c r="E870" s="1">
        <v>3.5</v>
      </c>
      <c r="F870" s="23" t="b">
        <f>if(countif(Status!C:C,A870)=1,TRUE, FALSE)</f>
        <v>1</v>
      </c>
      <c r="H870" s="23" t="str">
        <f>IFERROR(__xludf.DUMMYFUNCTION("IFs(REGEXMATCH(I870, ""NOT""), 0, REGEXMATCH(I870, ""NO""), 0, REGEXMATCH(I870, ""TURBID""),1, COUNTBLANK(I870),"""", istext(I870),"""")"),"")</f>
        <v/>
      </c>
      <c r="I870" s="23" t="str">
        <f>'3.5.raw'!R870</f>
        <v>Enrichment done for 18 hrs.</v>
      </c>
    </row>
    <row r="871">
      <c r="A871" s="23" t="str">
        <f t="shared" si="21"/>
        <v>FB1358UP</v>
      </c>
      <c r="B871" s="23" t="str">
        <f>'3.5.raw'!I871</f>
        <v>FB1358UP</v>
      </c>
      <c r="C871" s="24">
        <f>datevalue(left('3.5.raw'!K871,10))</f>
        <v>43880</v>
      </c>
      <c r="D871" s="23">
        <f>'3.5.raw'!H871</f>
        <v>99</v>
      </c>
      <c r="E871" s="1">
        <v>3.5</v>
      </c>
      <c r="F871" s="23" t="b">
        <f>if(countif(Status!C:C,A871)=1,TRUE, FALSE)</f>
        <v>1</v>
      </c>
      <c r="H871" s="23">
        <f>IFERROR(__xludf.DUMMYFUNCTION("IFs(REGEXMATCH(I871, ""NOT""), 0, REGEXMATCH(I871, ""NO""), 0, REGEXMATCH(I871, ""TURBID""),1, COUNTBLANK(I871),"""", istext(I871),"""")"),0.0)</f>
        <v>0</v>
      </c>
      <c r="I871" s="23" t="str">
        <f>'3.5.raw'!R871</f>
        <v>Associated Sample MO1186 and NOT TURBID, Enrichment done for 18 hrs.</v>
      </c>
    </row>
    <row r="872">
      <c r="A872" s="23" t="str">
        <f t="shared" si="21"/>
        <v>MO1187</v>
      </c>
      <c r="B872" s="23" t="str">
        <f>'3.5.raw'!I872</f>
        <v>MO1187</v>
      </c>
      <c r="C872" s="24">
        <f>datevalue(left('3.5.raw'!K872,10))</f>
        <v>43880</v>
      </c>
      <c r="D872" s="23">
        <f>'3.5.raw'!H872</f>
        <v>12</v>
      </c>
      <c r="E872" s="1">
        <v>3.5</v>
      </c>
      <c r="F872" s="23" t="b">
        <f>if(countif(Status!C:C,A872)=1,TRUE, FALSE)</f>
        <v>1</v>
      </c>
      <c r="H872" s="23" t="str">
        <f>IFERROR(__xludf.DUMMYFUNCTION("IFs(REGEXMATCH(I872, ""NOT""), 0, REGEXMATCH(I872, ""NO""), 0, REGEXMATCH(I872, ""TURBID""),1, COUNTBLANK(I872),"""", istext(I872),"""")"),"")</f>
        <v/>
      </c>
      <c r="I872" s="23" t="str">
        <f>'3.5.raw'!R872</f>
        <v>Enrichment done for 18 hrs.</v>
      </c>
    </row>
    <row r="873">
      <c r="A873" s="23" t="str">
        <f t="shared" si="21"/>
        <v>FB1359UP</v>
      </c>
      <c r="B873" s="23" t="str">
        <f>'3.5.raw'!I873</f>
        <v>FB1359UP</v>
      </c>
      <c r="C873" s="24">
        <f>datevalue(left('3.5.raw'!K873,10))</f>
        <v>43880</v>
      </c>
      <c r="D873" s="23">
        <f>'3.5.raw'!H873</f>
        <v>99</v>
      </c>
      <c r="E873" s="1">
        <v>3.5</v>
      </c>
      <c r="F873" s="23" t="b">
        <f>if(countif(Status!C:C,A873)=1,TRUE, FALSE)</f>
        <v>1</v>
      </c>
      <c r="H873" s="23">
        <f>IFERROR(__xludf.DUMMYFUNCTION("IFs(REGEXMATCH(I873, ""NOT""), 0, REGEXMATCH(I873, ""NO""), 0, REGEXMATCH(I873, ""TURBID""),1, COUNTBLANK(I873),"""", istext(I873),"""")"),0.0)</f>
        <v>0</v>
      </c>
      <c r="I873" s="23" t="str">
        <f>'3.5.raw'!R873</f>
        <v>Associated Sample MO1187 and NOT TURBID, Enrichment done for 18 hrs.</v>
      </c>
    </row>
    <row r="874">
      <c r="A874" s="23" t="str">
        <f t="shared" si="21"/>
        <v>PL1026</v>
      </c>
      <c r="B874" s="23" t="str">
        <f>'3.5.raw'!I874</f>
        <v>PL1026</v>
      </c>
      <c r="C874" s="24">
        <f>datevalue(left('3.5.raw'!K874,10))</f>
        <v>43880</v>
      </c>
      <c r="D874" s="23">
        <f>'3.5.raw'!H874</f>
        <v>11</v>
      </c>
      <c r="E874" s="1">
        <v>3.5</v>
      </c>
      <c r="F874" s="23" t="b">
        <f>if(countif(Status!C:C,A874)=1,TRUE, FALSE)</f>
        <v>1</v>
      </c>
      <c r="H874" s="23" t="str">
        <f>IFERROR(__xludf.DUMMYFUNCTION("IFs(REGEXMATCH(I874, ""NOT""), 0, REGEXMATCH(I874, ""NO""), 0, REGEXMATCH(I874, ""TURBID""),1, COUNTBLANK(I874),"""", istext(I874),"""")"),"")</f>
        <v/>
      </c>
      <c r="I874" s="23" t="str">
        <f>'3.5.raw'!R874</f>
        <v>Enrichment done for 18 hrs.</v>
      </c>
    </row>
    <row r="875">
      <c r="A875" s="23" t="str">
        <f t="shared" si="21"/>
        <v>FB1355UP</v>
      </c>
      <c r="B875" s="23" t="str">
        <f>'3.5.raw'!I875</f>
        <v>FB1355UP</v>
      </c>
      <c r="C875" s="24">
        <f>datevalue(left('3.5.raw'!K875,10))</f>
        <v>43880</v>
      </c>
      <c r="D875" s="23">
        <f>'3.5.raw'!H875</f>
        <v>99</v>
      </c>
      <c r="E875" s="1">
        <v>3.5</v>
      </c>
      <c r="F875" s="23" t="b">
        <f>if(countif(Status!C:C,A875)=1,TRUE, FALSE)</f>
        <v>1</v>
      </c>
      <c r="H875" s="23">
        <f>IFERROR(__xludf.DUMMYFUNCTION("IFs(REGEXMATCH(I875, ""NOT""), 0, REGEXMATCH(I875, ""NO""), 0, REGEXMATCH(I875, ""TURBID""),1, COUNTBLANK(I875),"""", istext(I875),"""")"),0.0)</f>
        <v>0</v>
      </c>
      <c r="I875" s="23" t="str">
        <f>'3.5.raw'!R875</f>
        <v>Associated Sample PL1026 and NOT TURBID, Enrichment done for 18 hrs.</v>
      </c>
    </row>
    <row r="876">
      <c r="A876" s="23" t="str">
        <f t="shared" si="21"/>
        <v>PL1027</v>
      </c>
      <c r="B876" s="23" t="str">
        <f>'3.5.raw'!I876</f>
        <v>PL1027</v>
      </c>
      <c r="C876" s="24">
        <f>datevalue(left('3.5.raw'!K876,10))</f>
        <v>43880</v>
      </c>
      <c r="D876" s="23">
        <f>'3.5.raw'!H876</f>
        <v>11</v>
      </c>
      <c r="E876" s="1">
        <v>3.5</v>
      </c>
      <c r="F876" s="23" t="b">
        <f>if(countif(Status!C:C,A876)=1,TRUE, FALSE)</f>
        <v>1</v>
      </c>
      <c r="H876" s="23" t="str">
        <f>IFERROR(__xludf.DUMMYFUNCTION("IFs(REGEXMATCH(I876, ""NOT""), 0, REGEXMATCH(I876, ""NO""), 0, REGEXMATCH(I876, ""TURBID""),1, COUNTBLANK(I876),"""", istext(I876),"""")"),"")</f>
        <v/>
      </c>
      <c r="I876" s="23" t="str">
        <f>'3.5.raw'!R876</f>
        <v>Enrichment done for 18 hrs.</v>
      </c>
    </row>
    <row r="877">
      <c r="A877" s="23" t="str">
        <f t="shared" si="21"/>
        <v>FB1356UP</v>
      </c>
      <c r="B877" s="23" t="str">
        <f>'3.5.raw'!I877</f>
        <v>FB1356UP</v>
      </c>
      <c r="C877" s="24">
        <f>datevalue(left('3.5.raw'!K877,10))</f>
        <v>43880</v>
      </c>
      <c r="D877" s="23">
        <f>'3.5.raw'!H877</f>
        <v>99</v>
      </c>
      <c r="E877" s="1">
        <v>3.5</v>
      </c>
      <c r="F877" s="23" t="b">
        <f>if(countif(Status!C:C,A877)=1,TRUE, FALSE)</f>
        <v>1</v>
      </c>
      <c r="H877" s="23">
        <f>IFERROR(__xludf.DUMMYFUNCTION("IFs(REGEXMATCH(I877, ""NOT""), 0, REGEXMATCH(I877, ""NO""), 0, REGEXMATCH(I877, ""TURBID""),1, COUNTBLANK(I877),"""", istext(I877),"""")"),0.0)</f>
        <v>0</v>
      </c>
      <c r="I877" s="23" t="str">
        <f>'3.5.raw'!R877</f>
        <v>Associated Sample PL1027 and NOT TURBID, Enrichment done for 18 hrs.</v>
      </c>
    </row>
    <row r="878">
      <c r="A878" s="23" t="str">
        <f t="shared" si="21"/>
        <v>UPNC95</v>
      </c>
      <c r="B878" s="23" t="str">
        <f>'3.5.raw'!I878</f>
        <v>UPNC95</v>
      </c>
      <c r="C878" s="24">
        <f>datevalue(left('3.5.raw'!K878,10))</f>
        <v>43880</v>
      </c>
      <c r="D878" s="23">
        <f>'3.5.raw'!H878</f>
        <v>98</v>
      </c>
      <c r="E878" s="1">
        <v>3.5</v>
      </c>
      <c r="F878" s="23" t="b">
        <f>if(countif(Status!C:C,A878)=1,TRUE, FALSE)</f>
        <v>1</v>
      </c>
      <c r="H878" s="23">
        <f>IFERROR(__xludf.DUMMYFUNCTION("IFs(REGEXMATCH(I878, ""NOT""), 0, REGEXMATCH(I878, ""NO""), 0, REGEXMATCH(I878, ""TURBID""),1, COUNTBLANK(I878),"""", istext(I878),"""")"),0.0)</f>
        <v>0</v>
      </c>
      <c r="I878" s="23" t="str">
        <f>'3.5.raw'!R878</f>
        <v>Enrichment done for 18 hrs. NOT TURBID</v>
      </c>
    </row>
    <row r="879">
      <c r="A879" s="23" t="str">
        <f t="shared" si="21"/>
        <v>PLc1204</v>
      </c>
      <c r="B879" s="23" t="str">
        <f>'3.5.raw'!I879</f>
        <v>PLc1204</v>
      </c>
      <c r="C879" s="24">
        <f>datevalue(left('3.5.raw'!K879,10))</f>
        <v>43881</v>
      </c>
      <c r="D879" s="23">
        <f>'3.5.raw'!H879</f>
        <v>11</v>
      </c>
      <c r="E879" s="1">
        <v>3.5</v>
      </c>
      <c r="F879" s="23" t="b">
        <f>if(countif(Status!C:C,A879)=1,TRUE, FALSE)</f>
        <v>1</v>
      </c>
      <c r="H879" s="23" t="str">
        <f>IFERROR(__xludf.DUMMYFUNCTION("IFs(REGEXMATCH(I879, ""NOT""), 0, REGEXMATCH(I879, ""NO""), 0, REGEXMATCH(I879, ""TURBID""),1, COUNTBLANK(I879),"""", istext(I879),"""")"),"")</f>
        <v/>
      </c>
      <c r="I879" s="23" t="str">
        <f>'3.5.raw'!R879</f>
        <v>Enrichment done for 18 hrs.</v>
      </c>
    </row>
    <row r="880">
      <c r="A880" s="23" t="str">
        <f t="shared" si="21"/>
        <v>FB1366UP</v>
      </c>
      <c r="B880" s="23" t="str">
        <f>'3.5.raw'!I880</f>
        <v>FB1366UP</v>
      </c>
      <c r="C880" s="24">
        <f>datevalue(left('3.5.raw'!K880,10))</f>
        <v>43881</v>
      </c>
      <c r="D880" s="23">
        <f>'3.5.raw'!H880</f>
        <v>99</v>
      </c>
      <c r="E880" s="1">
        <v>3.5</v>
      </c>
      <c r="F880" s="23" t="b">
        <f>if(countif(Status!C:C,A880)=1,TRUE, FALSE)</f>
        <v>1</v>
      </c>
      <c r="H880" s="23">
        <f>IFERROR(__xludf.DUMMYFUNCTION("IFs(REGEXMATCH(I880, ""NOT""), 0, REGEXMATCH(I880, ""NO""), 0, REGEXMATCH(I880, ""TURBID""),1, COUNTBLANK(I880),"""", istext(I880),"""")"),0.0)</f>
        <v>0</v>
      </c>
      <c r="I880" s="23" t="str">
        <f>'3.5.raw'!R880</f>
        <v>Associated Sample PLc1204 and NOT TURBID</v>
      </c>
    </row>
    <row r="881">
      <c r="A881" s="23" t="str">
        <f t="shared" si="21"/>
        <v>PLc1205</v>
      </c>
      <c r="B881" s="23" t="str">
        <f>'3.5.raw'!I881</f>
        <v>PLc1205</v>
      </c>
      <c r="C881" s="24">
        <f>datevalue(left('3.5.raw'!K881,10))</f>
        <v>43881</v>
      </c>
      <c r="D881" s="23">
        <f>'3.5.raw'!H881</f>
        <v>11</v>
      </c>
      <c r="E881" s="1">
        <v>3.5</v>
      </c>
      <c r="F881" s="23" t="b">
        <f>if(countif(Status!C:C,A881)=1,TRUE, FALSE)</f>
        <v>1</v>
      </c>
      <c r="H881" s="23" t="str">
        <f>IFERROR(__xludf.DUMMYFUNCTION("IFs(REGEXMATCH(I881, ""NOT""), 0, REGEXMATCH(I881, ""NO""), 0, REGEXMATCH(I881, ""TURBID""),1, COUNTBLANK(I881),"""", istext(I881),"""")"),"")</f>
        <v/>
      </c>
      <c r="I881" s="23" t="str">
        <f>'3.5.raw'!R881</f>
        <v>Enrichment done for 18 hrs.</v>
      </c>
    </row>
    <row r="882">
      <c r="A882" s="23" t="str">
        <f t="shared" si="21"/>
        <v>FB1367UP</v>
      </c>
      <c r="B882" s="23" t="str">
        <f>'3.5.raw'!I882</f>
        <v>FB1367UP</v>
      </c>
      <c r="C882" s="24">
        <f>datevalue(left('3.5.raw'!K882,10))</f>
        <v>43881</v>
      </c>
      <c r="D882" s="23">
        <f>'3.5.raw'!H882</f>
        <v>99</v>
      </c>
      <c r="E882" s="1">
        <v>3.5</v>
      </c>
      <c r="F882" s="23" t="b">
        <f>if(countif(Status!C:C,A882)=1,TRUE, FALSE)</f>
        <v>1</v>
      </c>
      <c r="H882" s="23">
        <f>IFERROR(__xludf.DUMMYFUNCTION("IFs(REGEXMATCH(I882, ""NOT""), 0, REGEXMATCH(I882, ""NO""), 0, REGEXMATCH(I882, ""TURBID""),1, COUNTBLANK(I882),"""", istext(I882),"""")"),0.0)</f>
        <v>0</v>
      </c>
      <c r="I882" s="23" t="str">
        <f>'3.5.raw'!R882</f>
        <v>Associated Sample PLc1205 and NOT TURBID</v>
      </c>
    </row>
    <row r="883">
      <c r="A883" s="23" t="str">
        <f t="shared" si="21"/>
        <v>PLc1206</v>
      </c>
      <c r="B883" s="23" t="str">
        <f>'3.5.raw'!I883</f>
        <v>PLc1206</v>
      </c>
      <c r="C883" s="24">
        <f>datevalue(left('3.5.raw'!K883,10))</f>
        <v>43881</v>
      </c>
      <c r="D883" s="23">
        <f>'3.5.raw'!H883</f>
        <v>11</v>
      </c>
      <c r="E883" s="1">
        <v>3.5</v>
      </c>
      <c r="F883" s="23" t="b">
        <f>if(countif(Status!C:C,A883)=1,TRUE, FALSE)</f>
        <v>1</v>
      </c>
      <c r="H883" s="23" t="str">
        <f>IFERROR(__xludf.DUMMYFUNCTION("IFs(REGEXMATCH(I883, ""NOT""), 0, REGEXMATCH(I883, ""NO""), 0, REGEXMATCH(I883, ""TURBID""),1, COUNTBLANK(I883),"""", istext(I883),"""")"),"")</f>
        <v/>
      </c>
      <c r="I883" s="23" t="str">
        <f>'3.5.raw'!R883</f>
        <v>Enrichment done for 18 hrs.</v>
      </c>
    </row>
    <row r="884">
      <c r="A884" s="23" t="str">
        <f t="shared" si="21"/>
        <v>FB1368UP</v>
      </c>
      <c r="B884" s="23" t="str">
        <f>'3.5.raw'!I884</f>
        <v>FB1368UP</v>
      </c>
      <c r="C884" s="24">
        <f>datevalue(left('3.5.raw'!K884,10))</f>
        <v>43881</v>
      </c>
      <c r="D884" s="23">
        <f>'3.5.raw'!H884</f>
        <v>99</v>
      </c>
      <c r="E884" s="1">
        <v>3.5</v>
      </c>
      <c r="F884" s="23" t="b">
        <f>if(countif(Status!C:C,A884)=1,TRUE, FALSE)</f>
        <v>1</v>
      </c>
      <c r="H884" s="23">
        <f>IFERROR(__xludf.DUMMYFUNCTION("IFs(REGEXMATCH(I884, ""NOT""), 0, REGEXMATCH(I884, ""NO""), 0, REGEXMATCH(I884, ""TURBID""),1, COUNTBLANK(I884),"""", istext(I884),"""")"),0.0)</f>
        <v>0</v>
      </c>
      <c r="I884" s="23" t="str">
        <f>'3.5.raw'!R884</f>
        <v>Associated Sample PLc1206 and NOT TURBID, Enrichment done for 18 hrs.</v>
      </c>
    </row>
    <row r="885">
      <c r="A885" s="23" t="str">
        <f t="shared" si="21"/>
        <v>MO1188</v>
      </c>
      <c r="B885" s="23" t="str">
        <f>'3.5.raw'!I885</f>
        <v>MO1188</v>
      </c>
      <c r="C885" s="24">
        <f>datevalue(left('3.5.raw'!K885,10))</f>
        <v>43881</v>
      </c>
      <c r="D885" s="23">
        <f>'3.5.raw'!H885</f>
        <v>12</v>
      </c>
      <c r="E885" s="1">
        <v>3.5</v>
      </c>
      <c r="F885" s="23" t="b">
        <f>if(countif(Status!C:C,A885)=1,TRUE, FALSE)</f>
        <v>1</v>
      </c>
      <c r="H885" s="23" t="str">
        <f>IFERROR(__xludf.DUMMYFUNCTION("IFs(REGEXMATCH(I885, ""NOT""), 0, REGEXMATCH(I885, ""NO""), 0, REGEXMATCH(I885, ""TURBID""),1, COUNTBLANK(I885),"""", istext(I885),"""")"),"")</f>
        <v/>
      </c>
      <c r="I885" s="23" t="str">
        <f>'3.5.raw'!R885</f>
        <v>Enrichment done for 18 hrs.</v>
      </c>
    </row>
    <row r="886">
      <c r="A886" s="23" t="str">
        <f t="shared" si="21"/>
        <v>MO1189</v>
      </c>
      <c r="B886" s="23" t="str">
        <f>'3.5.raw'!I886</f>
        <v>MO1189</v>
      </c>
      <c r="C886" s="24">
        <f>datevalue(left('3.5.raw'!K886,10))</f>
        <v>43881</v>
      </c>
      <c r="D886" s="23">
        <f>'3.5.raw'!H886</f>
        <v>12</v>
      </c>
      <c r="E886" s="1">
        <v>3.5</v>
      </c>
      <c r="F886" s="23" t="b">
        <f>if(countif(Status!C:C,A886)=1,TRUE, FALSE)</f>
        <v>1</v>
      </c>
      <c r="H886" s="23" t="str">
        <f>IFERROR(__xludf.DUMMYFUNCTION("IFs(REGEXMATCH(I886, ""NOT""), 0, REGEXMATCH(I886, ""NO""), 0, REGEXMATCH(I886, ""TURBID""),1, COUNTBLANK(I886),"""", istext(I886),"""")"),"")</f>
        <v/>
      </c>
      <c r="I886" s="23" t="str">
        <f>'3.5.raw'!R886</f>
        <v>Enrichment done for 18 hrs.</v>
      </c>
    </row>
    <row r="887">
      <c r="A887" s="23" t="str">
        <f t="shared" si="21"/>
        <v>MO1190</v>
      </c>
      <c r="B887" s="23" t="str">
        <f>'3.5.raw'!I887</f>
        <v>MO1190</v>
      </c>
      <c r="C887" s="24">
        <f>datevalue(left('3.5.raw'!K887,10))</f>
        <v>43881</v>
      </c>
      <c r="D887" s="23">
        <f>'3.5.raw'!H887</f>
        <v>12</v>
      </c>
      <c r="E887" s="1">
        <v>3.5</v>
      </c>
      <c r="F887" s="23" t="b">
        <f>if(countif(Status!C:C,A887)=1,TRUE, FALSE)</f>
        <v>1</v>
      </c>
      <c r="H887" s="23" t="str">
        <f>IFERROR(__xludf.DUMMYFUNCTION("IFs(REGEXMATCH(I887, ""NOT""), 0, REGEXMATCH(I887, ""NO""), 0, REGEXMATCH(I887, ""TURBID""),1, COUNTBLANK(I887),"""", istext(I887),"""")"),"")</f>
        <v/>
      </c>
      <c r="I887" s="23" t="str">
        <f>'3.5.raw'!R887</f>
        <v>Enrichment done for 18 hrs.</v>
      </c>
    </row>
    <row r="888">
      <c r="A888" s="23" t="str">
        <f t="shared" si="21"/>
        <v>MO1191</v>
      </c>
      <c r="B888" s="23" t="str">
        <f>'3.5.raw'!I888</f>
        <v>MO1191</v>
      </c>
      <c r="C888" s="24">
        <f>datevalue(left('3.5.raw'!K888,10))</f>
        <v>43881</v>
      </c>
      <c r="D888" s="23">
        <f>'3.5.raw'!H888</f>
        <v>12</v>
      </c>
      <c r="E888" s="1">
        <v>3.5</v>
      </c>
      <c r="F888" s="23" t="b">
        <f>if(countif(Status!C:C,A888)=1,TRUE, FALSE)</f>
        <v>1</v>
      </c>
      <c r="H888" s="23" t="str">
        <f>IFERROR(__xludf.DUMMYFUNCTION("IFs(REGEXMATCH(I888, ""NOT""), 0, REGEXMATCH(I888, ""NO""), 0, REGEXMATCH(I888, ""TURBID""),1, COUNTBLANK(I888),"""", istext(I888),"""")"),"")</f>
        <v/>
      </c>
      <c r="I888" s="23" t="str">
        <f>'3.5.raw'!R888</f>
        <v>Enrichment done for 18 hrs.</v>
      </c>
    </row>
    <row r="889">
      <c r="A889" s="23" t="str">
        <f t="shared" si="21"/>
        <v>MO1192</v>
      </c>
      <c r="B889" s="23" t="str">
        <f>'3.5.raw'!I889</f>
        <v>MO1192</v>
      </c>
      <c r="C889" s="24">
        <f>datevalue(left('3.5.raw'!K889,10))</f>
        <v>43881</v>
      </c>
      <c r="D889" s="23">
        <f>'3.5.raw'!H889</f>
        <v>12</v>
      </c>
      <c r="E889" s="1">
        <v>3.5</v>
      </c>
      <c r="F889" s="23" t="b">
        <f>if(countif(Status!C:C,A889)=1,TRUE, FALSE)</f>
        <v>1</v>
      </c>
      <c r="H889" s="23" t="str">
        <f>IFERROR(__xludf.DUMMYFUNCTION("IFs(REGEXMATCH(I889, ""NOT""), 0, REGEXMATCH(I889, ""NO""), 0, REGEXMATCH(I889, ""TURBID""),1, COUNTBLANK(I889),"""", istext(I889),"""")"),"")</f>
        <v/>
      </c>
      <c r="I889" s="23" t="str">
        <f>'3.5.raw'!R889</f>
        <v>Enrichment done for 18 hrs.</v>
      </c>
    </row>
    <row r="890">
      <c r="A890" s="23" t="str">
        <f t="shared" si="21"/>
        <v>FB1361UP</v>
      </c>
      <c r="B890" s="23" t="str">
        <f>'3.5.raw'!I890</f>
        <v>FB1361UP</v>
      </c>
      <c r="C890" s="24">
        <f>datevalue(left('3.5.raw'!K890,10))</f>
        <v>43881</v>
      </c>
      <c r="D890" s="23">
        <f>'3.5.raw'!H890</f>
        <v>99</v>
      </c>
      <c r="E890" s="1">
        <v>3.5</v>
      </c>
      <c r="F890" s="23" t="b">
        <f>if(countif(Status!C:C,A890)=1,TRUE, FALSE)</f>
        <v>1</v>
      </c>
      <c r="H890" s="23">
        <f>IFERROR(__xludf.DUMMYFUNCTION("IFs(REGEXMATCH(I890, ""NOT""), 0, REGEXMATCH(I890, ""NO""), 0, REGEXMATCH(I890, ""TURBID""),1, COUNTBLANK(I890),"""", istext(I890),"""")"),0.0)</f>
        <v>0</v>
      </c>
      <c r="I890" s="23" t="str">
        <f>'3.5.raw'!R890</f>
        <v>Associated Sample MO1189 and NOT TURBID, Enrichment done for 18 hrs.</v>
      </c>
    </row>
    <row r="891">
      <c r="A891" s="23" t="str">
        <f t="shared" si="21"/>
        <v>FB1360UP</v>
      </c>
      <c r="B891" s="23" t="str">
        <f>'3.5.raw'!I891</f>
        <v>FB1360UP</v>
      </c>
      <c r="C891" s="24">
        <f>datevalue(left('3.5.raw'!K891,10))</f>
        <v>43881</v>
      </c>
      <c r="D891" s="23">
        <f>'3.5.raw'!H891</f>
        <v>99</v>
      </c>
      <c r="E891" s="1">
        <v>3.5</v>
      </c>
      <c r="F891" s="23" t="b">
        <f>if(countif(Status!C:C,A891)=1,TRUE, FALSE)</f>
        <v>1</v>
      </c>
      <c r="H891" s="23">
        <f>IFERROR(__xludf.DUMMYFUNCTION("IFs(REGEXMATCH(I891, ""NOT""), 0, REGEXMATCH(I891, ""NO""), 0, REGEXMATCH(I891, ""TURBID""),1, COUNTBLANK(I891),"""", istext(I891),"""")"),0.0)</f>
        <v>0</v>
      </c>
      <c r="I891" s="23" t="str">
        <f>'3.5.raw'!R891</f>
        <v>Associated Sample MO1188 and NOT TURBID, Enrichment done for 18 hrs.</v>
      </c>
    </row>
    <row r="892">
      <c r="A892" s="23" t="str">
        <f t="shared" si="21"/>
        <v>FB1362UP</v>
      </c>
      <c r="B892" s="23" t="str">
        <f>'3.5.raw'!I892</f>
        <v>FB1362UP</v>
      </c>
      <c r="C892" s="24">
        <f>datevalue(left('3.5.raw'!K892,10))</f>
        <v>43881</v>
      </c>
      <c r="D892" s="23">
        <f>'3.5.raw'!H892</f>
        <v>99</v>
      </c>
      <c r="E892" s="1">
        <v>3.5</v>
      </c>
      <c r="F892" s="23" t="b">
        <f>if(countif(Status!C:C,A892)=1,TRUE, FALSE)</f>
        <v>1</v>
      </c>
      <c r="H892" s="23">
        <f>IFERROR(__xludf.DUMMYFUNCTION("IFs(REGEXMATCH(I892, ""NOT""), 0, REGEXMATCH(I892, ""NO""), 0, REGEXMATCH(I892, ""TURBID""),1, COUNTBLANK(I892),"""", istext(I892),"""")"),0.0)</f>
        <v>0</v>
      </c>
      <c r="I892" s="23" t="str">
        <f>'3.5.raw'!R892</f>
        <v>Associated Sample MO1190 and NOT TURBID, Enrichment done for 18 hrs.</v>
      </c>
    </row>
    <row r="893">
      <c r="A893" s="23" t="str">
        <f t="shared" si="21"/>
        <v>FB1363UP</v>
      </c>
      <c r="B893" s="23" t="str">
        <f>'3.5.raw'!I893</f>
        <v>FB1363UP</v>
      </c>
      <c r="C893" s="24">
        <f>datevalue(left('3.5.raw'!K893,10))</f>
        <v>43881</v>
      </c>
      <c r="D893" s="23">
        <f>'3.5.raw'!H893</f>
        <v>99</v>
      </c>
      <c r="E893" s="1">
        <v>3.5</v>
      </c>
      <c r="F893" s="23" t="b">
        <f>if(countif(Status!C:C,A893)=1,TRUE, FALSE)</f>
        <v>1</v>
      </c>
      <c r="H893" s="23">
        <f>IFERROR(__xludf.DUMMYFUNCTION("IFs(REGEXMATCH(I893, ""NOT""), 0, REGEXMATCH(I893, ""NO""), 0, REGEXMATCH(I893, ""TURBID""),1, COUNTBLANK(I893),"""", istext(I893),"""")"),0.0)</f>
        <v>0</v>
      </c>
      <c r="I893" s="23" t="str">
        <f>'3.5.raw'!R893</f>
        <v>Associated Sample MO1191 and NOT TURBID, Enrichment done for 18 hrs.</v>
      </c>
    </row>
    <row r="894">
      <c r="A894" s="23" t="str">
        <f t="shared" si="21"/>
        <v>FB1364UP</v>
      </c>
      <c r="B894" s="23" t="str">
        <f>'3.5.raw'!I894</f>
        <v>FB1364UP</v>
      </c>
      <c r="C894" s="24">
        <f>datevalue(left('3.5.raw'!K894,10))</f>
        <v>43881</v>
      </c>
      <c r="D894" s="23">
        <f>'3.5.raw'!H894</f>
        <v>99</v>
      </c>
      <c r="E894" s="1">
        <v>3.5</v>
      </c>
      <c r="F894" s="23" t="b">
        <f>if(countif(Status!C:C,A894)=1,TRUE, FALSE)</f>
        <v>1</v>
      </c>
      <c r="H894" s="23">
        <f>IFERROR(__xludf.DUMMYFUNCTION("IFs(REGEXMATCH(I894, ""NOT""), 0, REGEXMATCH(I894, ""NO""), 0, REGEXMATCH(I894, ""TURBID""),1, COUNTBLANK(I894),"""", istext(I894),"""")"),0.0)</f>
        <v>0</v>
      </c>
      <c r="I894" s="23" t="str">
        <f>'3.5.raw'!R894</f>
        <v>Associated Sample MO1192 and NOT TURBID, Enrichment done for 18 hrs.</v>
      </c>
    </row>
    <row r="895">
      <c r="A895" s="23" t="str">
        <f t="shared" si="21"/>
        <v>UPNC96</v>
      </c>
      <c r="B895" s="23" t="str">
        <f>'3.5.raw'!I895</f>
        <v>UPNC96</v>
      </c>
      <c r="C895" s="24">
        <f>datevalue(left('3.5.raw'!K895,10))</f>
        <v>43881</v>
      </c>
      <c r="D895" s="23">
        <f>'3.5.raw'!H895</f>
        <v>98</v>
      </c>
      <c r="E895" s="1">
        <v>3.5</v>
      </c>
      <c r="F895" s="23" t="b">
        <f>if(countif(Status!C:C,A895)=1,TRUE, FALSE)</f>
        <v>1</v>
      </c>
      <c r="H895" s="23">
        <f>IFERROR(__xludf.DUMMYFUNCTION("IFs(REGEXMATCH(I895, ""NOT""), 0, REGEXMATCH(I895, ""NO""), 0, REGEXMATCH(I895, ""TURBID""),1, COUNTBLANK(I895),"""", istext(I895),"""")"),0.0)</f>
        <v>0</v>
      </c>
      <c r="I895" s="23" t="str">
        <f>'3.5.raw'!R895</f>
        <v>NOT TURBID, Enrichment done for 18 hrs.</v>
      </c>
    </row>
    <row r="896">
      <c r="A896" s="23" t="str">
        <f t="shared" si="21"/>
        <v>PLc1207</v>
      </c>
      <c r="B896" s="23" t="str">
        <f>'3.5.raw'!I896</f>
        <v>PLc1207</v>
      </c>
      <c r="C896" s="24">
        <f>datevalue(left('3.5.raw'!K896,10))</f>
        <v>43885</v>
      </c>
      <c r="D896" s="23">
        <f>'3.5.raw'!H896</f>
        <v>11</v>
      </c>
      <c r="E896" s="1">
        <v>3.5</v>
      </c>
      <c r="F896" s="23" t="b">
        <f>if(countif(Status!C:C,A896)=1,TRUE, FALSE)</f>
        <v>1</v>
      </c>
      <c r="H896" s="23" t="str">
        <f>IFERROR(__xludf.DUMMYFUNCTION("IFs(REGEXMATCH(I896, ""NOT""), 0, REGEXMATCH(I896, ""NO""), 0, REGEXMATCH(I896, ""TURBID""),1, COUNTBLANK(I896),"""", istext(I896),"""")"),"")</f>
        <v/>
      </c>
      <c r="I896" s="23" t="str">
        <f>'3.5.raw'!R896</f>
        <v>Enrichment done for 18 hrs.</v>
      </c>
    </row>
    <row r="897">
      <c r="A897" s="23" t="str">
        <f t="shared" si="21"/>
        <v>PLc1208</v>
      </c>
      <c r="B897" s="23" t="str">
        <f>'3.5.raw'!I897</f>
        <v>PLc1208</v>
      </c>
      <c r="C897" s="24">
        <f>datevalue(left('3.5.raw'!K897,10))</f>
        <v>43885</v>
      </c>
      <c r="D897" s="23">
        <f>'3.5.raw'!H897</f>
        <v>11</v>
      </c>
      <c r="E897" s="1">
        <v>3.5</v>
      </c>
      <c r="F897" s="23" t="b">
        <f>if(countif(Status!C:C,A897)=1,TRUE, FALSE)</f>
        <v>1</v>
      </c>
      <c r="H897" s="23" t="str">
        <f>IFERROR(__xludf.DUMMYFUNCTION("IFs(REGEXMATCH(I897, ""NOT""), 0, REGEXMATCH(I897, ""NO""), 0, REGEXMATCH(I897, ""TURBID""),1, COUNTBLANK(I897),"""", istext(I897),"""")"),"")</f>
        <v/>
      </c>
      <c r="I897" s="23" t="str">
        <f>'3.5.raw'!R897</f>
        <v>Enrichment done for 18 hrs.</v>
      </c>
    </row>
    <row r="898">
      <c r="A898" s="23" t="str">
        <f t="shared" si="21"/>
        <v>PLc1209</v>
      </c>
      <c r="B898" s="23" t="str">
        <f>'3.5.raw'!I898</f>
        <v>PLc1209</v>
      </c>
      <c r="C898" s="24">
        <f>datevalue(left('3.5.raw'!K898,10))</f>
        <v>43885</v>
      </c>
      <c r="D898" s="23">
        <f>'3.5.raw'!H898</f>
        <v>11</v>
      </c>
      <c r="E898" s="1">
        <v>3.5</v>
      </c>
      <c r="F898" s="23" t="b">
        <f>if(countif(Status!C:C,A898)=1,TRUE, FALSE)</f>
        <v>1</v>
      </c>
      <c r="H898" s="23" t="str">
        <f>IFERROR(__xludf.DUMMYFUNCTION("IFs(REGEXMATCH(I898, ""NOT""), 0, REGEXMATCH(I898, ""NO""), 0, REGEXMATCH(I898, ""TURBID""),1, COUNTBLANK(I898),"""", istext(I898),"""")"),"")</f>
        <v/>
      </c>
      <c r="I898" s="23" t="str">
        <f>'3.5.raw'!R898</f>
        <v>Enrichment done for 18 hrs.</v>
      </c>
    </row>
    <row r="899">
      <c r="A899" s="23" t="str">
        <f t="shared" si="21"/>
        <v>PLc1210</v>
      </c>
      <c r="B899" s="23" t="str">
        <f>'3.5.raw'!I899</f>
        <v>PLc1210</v>
      </c>
      <c r="C899" s="24">
        <f>datevalue(left('3.5.raw'!K899,10))</f>
        <v>43885</v>
      </c>
      <c r="D899" s="23">
        <f>'3.5.raw'!H899</f>
        <v>11</v>
      </c>
      <c r="E899" s="1">
        <v>3.5</v>
      </c>
      <c r="F899" s="23" t="b">
        <f>if(countif(Status!C:C,A899)=1,TRUE, FALSE)</f>
        <v>1</v>
      </c>
      <c r="H899" s="23" t="str">
        <f>IFERROR(__xludf.DUMMYFUNCTION("IFs(REGEXMATCH(I899, ""NOT""), 0, REGEXMATCH(I899, ""NO""), 0, REGEXMATCH(I899, ""TURBID""),1, COUNTBLANK(I899),"""", istext(I899),"""")"),"")</f>
        <v/>
      </c>
      <c r="I899" s="23" t="str">
        <f>'3.5.raw'!R899</f>
        <v>Enrichment done for 18 hrs.</v>
      </c>
    </row>
    <row r="900">
      <c r="A900" s="23" t="str">
        <f t="shared" si="21"/>
        <v>PLc1211</v>
      </c>
      <c r="B900" s="23" t="str">
        <f>'3.5.raw'!I900</f>
        <v>PLc1211</v>
      </c>
      <c r="C900" s="24">
        <f>datevalue(left('3.5.raw'!K900,10))</f>
        <v>43885</v>
      </c>
      <c r="D900" s="23">
        <f>'3.5.raw'!H900</f>
        <v>11</v>
      </c>
      <c r="E900" s="1">
        <v>3.5</v>
      </c>
      <c r="F900" s="23" t="b">
        <f>if(countif(Status!C:C,A900)=1,TRUE, FALSE)</f>
        <v>1</v>
      </c>
      <c r="H900" s="23" t="str">
        <f>IFERROR(__xludf.DUMMYFUNCTION("IFs(REGEXMATCH(I900, ""NOT""), 0, REGEXMATCH(I900, ""NO""), 0, REGEXMATCH(I900, ""TURBID""),1, COUNTBLANK(I900),"""", istext(I900),"""")"),"")</f>
        <v/>
      </c>
      <c r="I900" s="23" t="str">
        <f>'3.5.raw'!R900</f>
        <v>Enrichment done for 18 hrs.</v>
      </c>
    </row>
    <row r="901">
      <c r="A901" s="23" t="str">
        <f t="shared" si="21"/>
        <v>FB1369UP</v>
      </c>
      <c r="B901" s="23" t="str">
        <f>'3.5.raw'!I901</f>
        <v>FB1369UP</v>
      </c>
      <c r="C901" s="24">
        <f>datevalue(left('3.5.raw'!K901,10))</f>
        <v>43885</v>
      </c>
      <c r="D901" s="23">
        <f>'3.5.raw'!H901</f>
        <v>99</v>
      </c>
      <c r="E901" s="1">
        <v>3.5</v>
      </c>
      <c r="F901" s="23" t="b">
        <f>if(countif(Status!C:C,A901)=1,TRUE, FALSE)</f>
        <v>1</v>
      </c>
      <c r="H901" s="23">
        <f>IFERROR(__xludf.DUMMYFUNCTION("IFs(REGEXMATCH(I901, ""NOT""), 0, REGEXMATCH(I901, ""NO""), 0, REGEXMATCH(I901, ""TURBID""),1, COUNTBLANK(I901),"""", istext(I901),"""")"),0.0)</f>
        <v>0</v>
      </c>
      <c r="I901" s="23" t="str">
        <f>'3.5.raw'!R901</f>
        <v>Associated Sample PLc1207 and TURBID/NOT TURBID, Enrichment done for 18 hrs.</v>
      </c>
    </row>
    <row r="902">
      <c r="A902" s="23" t="str">
        <f t="shared" si="21"/>
        <v>FB1370UP</v>
      </c>
      <c r="B902" s="23" t="str">
        <f>'3.5.raw'!I902</f>
        <v>FB1370UP</v>
      </c>
      <c r="C902" s="24">
        <f>datevalue(left('3.5.raw'!K902,10))</f>
        <v>43885</v>
      </c>
      <c r="D902" s="23">
        <f>'3.5.raw'!H902</f>
        <v>99</v>
      </c>
      <c r="E902" s="1">
        <v>3.5</v>
      </c>
      <c r="F902" s="23" t="b">
        <f>if(countif(Status!C:C,A902)=1,TRUE, FALSE)</f>
        <v>1</v>
      </c>
      <c r="H902" s="23">
        <f>IFERROR(__xludf.DUMMYFUNCTION("IFs(REGEXMATCH(I902, ""NOT""), 0, REGEXMATCH(I902, ""NO""), 0, REGEXMATCH(I902, ""TURBID""),1, COUNTBLANK(I902),"""", istext(I902),"""")"),0.0)</f>
        <v>0</v>
      </c>
      <c r="I902" s="23" t="str">
        <f>'3.5.raw'!R902</f>
        <v>Associated Sample PLc1208 and NOT TURBID, Enrichment done for 18 hrs.</v>
      </c>
    </row>
    <row r="903">
      <c r="A903" s="23" t="str">
        <f t="shared" si="21"/>
        <v>FB1371UP</v>
      </c>
      <c r="B903" s="23" t="str">
        <f>'3.5.raw'!I903</f>
        <v>FB1371UP</v>
      </c>
      <c r="C903" s="24">
        <f>datevalue(left('3.5.raw'!K903,10))</f>
        <v>43885</v>
      </c>
      <c r="D903" s="23">
        <f>'3.5.raw'!H903</f>
        <v>99</v>
      </c>
      <c r="E903" s="1">
        <v>3.5</v>
      </c>
      <c r="F903" s="23" t="b">
        <f>if(countif(Status!C:C,A903)=1,TRUE, FALSE)</f>
        <v>1</v>
      </c>
      <c r="H903" s="23">
        <f>IFERROR(__xludf.DUMMYFUNCTION("IFs(REGEXMATCH(I903, ""NOT""), 0, REGEXMATCH(I903, ""NO""), 0, REGEXMATCH(I903, ""TURBID""),1, COUNTBLANK(I903),"""", istext(I903),"""")"),0.0)</f>
        <v>0</v>
      </c>
      <c r="I903" s="23" t="str">
        <f>'3.5.raw'!R903</f>
        <v>Associated Sample PLc1209 and NOT TURBID, Enrichment done for 18 hrs.</v>
      </c>
    </row>
    <row r="904">
      <c r="A904" s="23" t="str">
        <f t="shared" si="21"/>
        <v>FB1372UP</v>
      </c>
      <c r="B904" s="23" t="str">
        <f>'3.5.raw'!I904</f>
        <v>FB1372UP</v>
      </c>
      <c r="C904" s="24">
        <f>datevalue(left('3.5.raw'!K904,10))</f>
        <v>43885</v>
      </c>
      <c r="D904" s="23">
        <f>'3.5.raw'!H904</f>
        <v>99</v>
      </c>
      <c r="E904" s="1">
        <v>3.5</v>
      </c>
      <c r="F904" s="23" t="b">
        <f>if(countif(Status!C:C,A904)=1,TRUE, FALSE)</f>
        <v>1</v>
      </c>
      <c r="H904" s="23">
        <f>IFERROR(__xludf.DUMMYFUNCTION("IFs(REGEXMATCH(I904, ""NOT""), 0, REGEXMATCH(I904, ""NO""), 0, REGEXMATCH(I904, ""TURBID""),1, COUNTBLANK(I904),"""", istext(I904),"""")"),0.0)</f>
        <v>0</v>
      </c>
      <c r="I904" s="23" t="str">
        <f>'3.5.raw'!R904</f>
        <v>Associated Sample PLc1210 and NOT TURBID, Enrichment done for 18 hrs.</v>
      </c>
    </row>
    <row r="905">
      <c r="A905" s="23" t="str">
        <f t="shared" si="21"/>
        <v>FB1373UP</v>
      </c>
      <c r="B905" s="23" t="str">
        <f>'3.5.raw'!I905</f>
        <v>FB1373UP</v>
      </c>
      <c r="C905" s="24">
        <f>datevalue(left('3.5.raw'!K905,10))</f>
        <v>43885</v>
      </c>
      <c r="D905" s="23">
        <f>'3.5.raw'!H905</f>
        <v>99</v>
      </c>
      <c r="E905" s="1">
        <v>3.5</v>
      </c>
      <c r="F905" s="23" t="b">
        <f>if(countif(Status!C:C,A905)=1,TRUE, FALSE)</f>
        <v>1</v>
      </c>
      <c r="H905" s="23">
        <f>IFERROR(__xludf.DUMMYFUNCTION("IFs(REGEXMATCH(I905, ""NOT""), 0, REGEXMATCH(I905, ""NO""), 0, REGEXMATCH(I905, ""TURBID""),1, COUNTBLANK(I905),"""", istext(I905),"""")"),0.0)</f>
        <v>0</v>
      </c>
      <c r="I905" s="23" t="str">
        <f>'3.5.raw'!R905</f>
        <v>Associated Sample PLc1211 and NOT TURBID, Enrichment done for 18 hrs.</v>
      </c>
    </row>
    <row r="906">
      <c r="A906" s="23" t="str">
        <f t="shared" si="21"/>
        <v>UPNC97</v>
      </c>
      <c r="B906" s="23" t="str">
        <f>'3.5.raw'!I906</f>
        <v>UPNC97</v>
      </c>
      <c r="C906" s="24">
        <f>datevalue(left('3.5.raw'!K906,10))</f>
        <v>43885</v>
      </c>
      <c r="D906" s="23">
        <f>'3.5.raw'!H906</f>
        <v>98</v>
      </c>
      <c r="E906" s="1">
        <v>3.5</v>
      </c>
      <c r="F906" s="23" t="b">
        <f>if(countif(Status!C:C,A906)=1,TRUE, FALSE)</f>
        <v>1</v>
      </c>
      <c r="H906" s="23">
        <f>IFERROR(__xludf.DUMMYFUNCTION("IFs(REGEXMATCH(I906, ""NOT""), 0, REGEXMATCH(I906, ""NO""), 0, REGEXMATCH(I906, ""TURBID""),1, COUNTBLANK(I906),"""", istext(I906),"""")"),0.0)</f>
        <v>0</v>
      </c>
      <c r="I906" s="23" t="str">
        <f>'3.5.raw'!R906</f>
        <v>NOT TURBID, Enrichment done for 18 hrs.</v>
      </c>
    </row>
    <row r="907">
      <c r="A907" s="23" t="str">
        <f t="shared" si="21"/>
        <v>MO1193</v>
      </c>
      <c r="B907" s="23" t="str">
        <f>'3.5.raw'!I907</f>
        <v>MO1193</v>
      </c>
      <c r="C907" s="24">
        <f>datevalue(left('3.5.raw'!K907,10))</f>
        <v>43886</v>
      </c>
      <c r="D907" s="23">
        <f>'3.5.raw'!H907</f>
        <v>12</v>
      </c>
      <c r="E907" s="1">
        <v>3.5</v>
      </c>
      <c r="F907" s="23" t="b">
        <f>if(countif(Status!C:C,A907)=1,TRUE, FALSE)</f>
        <v>1</v>
      </c>
      <c r="H907" s="23" t="str">
        <f>IFERROR(__xludf.DUMMYFUNCTION("IFs(REGEXMATCH(I907, ""NOT""), 0, REGEXMATCH(I907, ""NO""), 0, REGEXMATCH(I907, ""TURBID""),1, COUNTBLANK(I907),"""", istext(I907),"""")"),"")</f>
        <v/>
      </c>
      <c r="I907" s="23" t="str">
        <f>'3.5.raw'!R907</f>
        <v>Enrichment done for 18 hrs.</v>
      </c>
    </row>
    <row r="908">
      <c r="A908" s="23" t="str">
        <f t="shared" si="21"/>
        <v>MO1194</v>
      </c>
      <c r="B908" s="23" t="str">
        <f>'3.5.raw'!I908</f>
        <v>MO1194</v>
      </c>
      <c r="C908" s="24">
        <f>datevalue(left('3.5.raw'!K908,10))</f>
        <v>43886</v>
      </c>
      <c r="D908" s="23">
        <f>'3.5.raw'!H908</f>
        <v>12</v>
      </c>
      <c r="E908" s="1">
        <v>3.5</v>
      </c>
      <c r="F908" s="23" t="b">
        <f>if(countif(Status!C:C,A908)=1,TRUE, FALSE)</f>
        <v>1</v>
      </c>
      <c r="H908" s="23" t="str">
        <f>IFERROR(__xludf.DUMMYFUNCTION("IFs(REGEXMATCH(I908, ""NOT""), 0, REGEXMATCH(I908, ""NO""), 0, REGEXMATCH(I908, ""TURBID""),1, COUNTBLANK(I908),"""", istext(I908),"""")"),"")</f>
        <v/>
      </c>
      <c r="I908" s="23" t="str">
        <f>'3.5.raw'!R908</f>
        <v>Enrichment done for 18 hrs.</v>
      </c>
    </row>
    <row r="909">
      <c r="A909" s="23" t="str">
        <f t="shared" si="21"/>
        <v>MO1195</v>
      </c>
      <c r="B909" s="23" t="str">
        <f>'3.5.raw'!I909</f>
        <v>MO1195</v>
      </c>
      <c r="C909" s="24">
        <f>datevalue(left('3.5.raw'!K909,10))</f>
        <v>43886</v>
      </c>
      <c r="D909" s="23">
        <f>'3.5.raw'!H909</f>
        <v>12</v>
      </c>
      <c r="E909" s="1">
        <v>3.5</v>
      </c>
      <c r="F909" s="23" t="b">
        <f>if(countif(Status!C:C,A909)=1,TRUE, FALSE)</f>
        <v>1</v>
      </c>
      <c r="H909" s="23" t="str">
        <f>IFERROR(__xludf.DUMMYFUNCTION("IFs(REGEXMATCH(I909, ""NOT""), 0, REGEXMATCH(I909, ""NO""), 0, REGEXMATCH(I909, ""TURBID""),1, COUNTBLANK(I909),"""", istext(I909),"""")"),"")</f>
        <v/>
      </c>
      <c r="I909" s="23" t="str">
        <f>'3.5.raw'!R909</f>
        <v>Enrichment done for 18 hrs.</v>
      </c>
    </row>
    <row r="910">
      <c r="A910" s="23" t="str">
        <f t="shared" si="21"/>
        <v>MO1196</v>
      </c>
      <c r="B910" s="23" t="str">
        <f>'3.5.raw'!I910</f>
        <v>MO1196</v>
      </c>
      <c r="C910" s="24">
        <f>datevalue(left('3.5.raw'!K910,10))</f>
        <v>43886</v>
      </c>
      <c r="D910" s="23">
        <f>'3.5.raw'!H910</f>
        <v>12</v>
      </c>
      <c r="E910" s="1">
        <v>3.5</v>
      </c>
      <c r="F910" s="23" t="b">
        <f>if(countif(Status!C:C,A910)=1,TRUE, FALSE)</f>
        <v>1</v>
      </c>
      <c r="H910" s="23" t="str">
        <f>IFERROR(__xludf.DUMMYFUNCTION("IFs(REGEXMATCH(I910, ""NOT""), 0, REGEXMATCH(I910, ""NO""), 0, REGEXMATCH(I910, ""TURBID""),1, COUNTBLANK(I910),"""", istext(I910),"""")"),"")</f>
        <v/>
      </c>
      <c r="I910" s="23" t="str">
        <f>'3.5.raw'!R910</f>
        <v>Enrichment done for 18 hrs.</v>
      </c>
    </row>
    <row r="911">
      <c r="A911" s="23" t="str">
        <f t="shared" si="21"/>
        <v>FB1374UP</v>
      </c>
      <c r="B911" s="23" t="str">
        <f>'3.5.raw'!I911</f>
        <v>FB1374UP</v>
      </c>
      <c r="C911" s="24">
        <f>datevalue(left('3.5.raw'!K911,10))</f>
        <v>43886</v>
      </c>
      <c r="D911" s="23">
        <f>'3.5.raw'!H911</f>
        <v>99</v>
      </c>
      <c r="E911" s="1">
        <v>3.5</v>
      </c>
      <c r="F911" s="23" t="b">
        <f>if(countif(Status!C:C,A911)=1,TRUE, FALSE)</f>
        <v>1</v>
      </c>
      <c r="H911" s="23">
        <f>IFERROR(__xludf.DUMMYFUNCTION("IFs(REGEXMATCH(I911, ""NOT""), 0, REGEXMATCH(I911, ""NO""), 0, REGEXMATCH(I911, ""TURBID""),1, COUNTBLANK(I911),"""", istext(I911),"""")"),0.0)</f>
        <v>0</v>
      </c>
      <c r="I911" s="23" t="str">
        <f>'3.5.raw'!R911</f>
        <v>Associated Sample MO1193 and NOT TURBID, Enrichment done for 18 hrs.</v>
      </c>
    </row>
    <row r="912">
      <c r="A912" s="23" t="str">
        <f t="shared" si="21"/>
        <v>FB1375UP</v>
      </c>
      <c r="B912" s="23" t="str">
        <f>'3.5.raw'!I912</f>
        <v>FB1375UP</v>
      </c>
      <c r="C912" s="24">
        <f>datevalue(left('3.5.raw'!K912,10))</f>
        <v>43886</v>
      </c>
      <c r="D912" s="23">
        <f>'3.5.raw'!H912</f>
        <v>99</v>
      </c>
      <c r="E912" s="1">
        <v>3.5</v>
      </c>
      <c r="F912" s="23" t="b">
        <f>if(countif(Status!C:C,A912)=1,TRUE, FALSE)</f>
        <v>1</v>
      </c>
      <c r="H912" s="23">
        <f>IFERROR(__xludf.DUMMYFUNCTION("IFs(REGEXMATCH(I912, ""NOT""), 0, REGEXMATCH(I912, ""NO""), 0, REGEXMATCH(I912, ""TURBID""),1, COUNTBLANK(I912),"""", istext(I912),"""")"),0.0)</f>
        <v>0</v>
      </c>
      <c r="I912" s="23" t="str">
        <f>'3.5.raw'!R912</f>
        <v>Associated Sample MO1194 and NOT TURBID, Enrichment done for 18 hrs.</v>
      </c>
    </row>
    <row r="913">
      <c r="A913" s="23" t="str">
        <f t="shared" si="21"/>
        <v>FB1376UP</v>
      </c>
      <c r="B913" s="23" t="str">
        <f>'3.5.raw'!I913</f>
        <v>FB1376UP</v>
      </c>
      <c r="C913" s="24">
        <f>datevalue(left('3.5.raw'!K913,10))</f>
        <v>43886</v>
      </c>
      <c r="D913" s="23">
        <f>'3.5.raw'!H913</f>
        <v>99</v>
      </c>
      <c r="E913" s="1">
        <v>3.5</v>
      </c>
      <c r="F913" s="23" t="b">
        <f>if(countif(Status!C:C,A913)=1,TRUE, FALSE)</f>
        <v>1</v>
      </c>
      <c r="H913" s="23">
        <f>IFERROR(__xludf.DUMMYFUNCTION("IFs(REGEXMATCH(I913, ""NOT""), 0, REGEXMATCH(I913, ""NO""), 0, REGEXMATCH(I913, ""TURBID""),1, COUNTBLANK(I913),"""", istext(I913),"""")"),0.0)</f>
        <v>0</v>
      </c>
      <c r="I913" s="23" t="str">
        <f>'3.5.raw'!R913</f>
        <v>Associated Sample MO1195 and NOT TURBID, Enrichment done for 18 hrs.</v>
      </c>
    </row>
    <row r="914">
      <c r="A914" s="23" t="str">
        <f t="shared" si="21"/>
        <v>FB1377UP</v>
      </c>
      <c r="B914" s="23" t="str">
        <f>'3.5.raw'!I914</f>
        <v>FB1377UP</v>
      </c>
      <c r="C914" s="24">
        <f>datevalue(left('3.5.raw'!K914,10))</f>
        <v>43886</v>
      </c>
      <c r="D914" s="23">
        <f>'3.5.raw'!H914</f>
        <v>99</v>
      </c>
      <c r="E914" s="1">
        <v>3.5</v>
      </c>
      <c r="F914" s="23" t="b">
        <f>if(countif(Status!C:C,A914)=1,TRUE, FALSE)</f>
        <v>1</v>
      </c>
      <c r="H914" s="23">
        <f>IFERROR(__xludf.DUMMYFUNCTION("IFs(REGEXMATCH(I914, ""NOT""), 0, REGEXMATCH(I914, ""NO""), 0, REGEXMATCH(I914, ""TURBID""),1, COUNTBLANK(I914),"""", istext(I914),"""")"),0.0)</f>
        <v>0</v>
      </c>
      <c r="I914" s="23" t="str">
        <f>'3.5.raw'!R914</f>
        <v>Associated Sample MO1196 and NOT TURBID, Enrichment done for 18 hrs.</v>
      </c>
    </row>
    <row r="915">
      <c r="A915" s="23" t="str">
        <f t="shared" si="21"/>
        <v>UPNC98</v>
      </c>
      <c r="B915" s="23" t="str">
        <f>'3.5.raw'!I915</f>
        <v>UPNC98</v>
      </c>
      <c r="C915" s="24">
        <f>datevalue(left('3.5.raw'!K915,10))</f>
        <v>43886</v>
      </c>
      <c r="D915" s="23">
        <f>'3.5.raw'!H915</f>
        <v>98</v>
      </c>
      <c r="E915" s="1">
        <v>3.5</v>
      </c>
      <c r="F915" s="23" t="b">
        <f>if(countif(Status!C:C,A915)=1,TRUE, FALSE)</f>
        <v>1</v>
      </c>
      <c r="H915" s="23">
        <f>IFERROR(__xludf.DUMMYFUNCTION("IFs(REGEXMATCH(I915, ""NOT""), 0, REGEXMATCH(I915, ""NO""), 0, REGEXMATCH(I915, ""TURBID""),1, COUNTBLANK(I915),"""", istext(I915),"""")"),0.0)</f>
        <v>0</v>
      </c>
      <c r="I915" s="23" t="str">
        <f>'3.5.raw'!R915</f>
        <v>NOT TURBID, Enrichment done for 18 hrs.</v>
      </c>
    </row>
    <row r="916">
      <c r="A916" s="23" t="str">
        <f t="shared" si="21"/>
        <v>SF2003</v>
      </c>
      <c r="B916" s="23" t="str">
        <f>'3.5.raw'!I916</f>
        <v>SF2003</v>
      </c>
      <c r="C916" s="24">
        <f>datevalue(left('3.5.raw'!K916,10))</f>
        <v>43886</v>
      </c>
      <c r="D916" s="23">
        <f>'3.5.raw'!H916</f>
        <v>10</v>
      </c>
      <c r="E916" s="1">
        <v>3.5</v>
      </c>
      <c r="F916" s="23" t="b">
        <f>if(countif(Status!C:C,A916)=1,TRUE, FALSE)</f>
        <v>1</v>
      </c>
      <c r="H916" s="23" t="str">
        <f>IFERROR(__xludf.DUMMYFUNCTION("IFs(REGEXMATCH(I916, ""NOT""), 0, REGEXMATCH(I916, ""NO""), 0, REGEXMATCH(I916, ""TURBID""),1, COUNTBLANK(I916),"""", istext(I916),"""")"),"")</f>
        <v/>
      </c>
      <c r="I916" s="23" t="str">
        <f>'3.5.raw'!R916</f>
        <v>Enrichment done for 18 hrs.</v>
      </c>
    </row>
    <row r="917">
      <c r="A917" s="23" t="str">
        <f t="shared" si="21"/>
        <v>MO1197</v>
      </c>
      <c r="B917" s="23" t="str">
        <f>'3.5.raw'!I917</f>
        <v>MO1197</v>
      </c>
      <c r="C917" s="24">
        <f>datevalue(left('3.5.raw'!K917,10))</f>
        <v>43887</v>
      </c>
      <c r="D917" s="23">
        <f>'3.5.raw'!H917</f>
        <v>12</v>
      </c>
      <c r="E917" s="1">
        <v>3.5</v>
      </c>
      <c r="F917" s="23" t="b">
        <f>if(countif(Status!C:C,A917)=1,TRUE, FALSE)</f>
        <v>1</v>
      </c>
      <c r="H917" s="23" t="str">
        <f>IFERROR(__xludf.DUMMYFUNCTION("IFs(REGEXMATCH(I917, ""NOT""), 0, REGEXMATCH(I917, ""NO""), 0, REGEXMATCH(I917, ""TURBID""),1, COUNTBLANK(I917),"""", istext(I917),"""")"),"")</f>
        <v/>
      </c>
      <c r="I917" s="23" t="str">
        <f>'3.5.raw'!R917</f>
        <v>Enrichment done for 18 hrs.</v>
      </c>
    </row>
    <row r="918">
      <c r="A918" s="23" t="str">
        <f t="shared" si="21"/>
        <v>FB1382UP</v>
      </c>
      <c r="B918" s="23" t="str">
        <f>'3.5.raw'!I918</f>
        <v>FB1382UP</v>
      </c>
      <c r="C918" s="24">
        <f>datevalue(left('3.5.raw'!K918,10))</f>
        <v>43887</v>
      </c>
      <c r="D918" s="23">
        <f>'3.5.raw'!H918</f>
        <v>99</v>
      </c>
      <c r="E918" s="1">
        <v>3.5</v>
      </c>
      <c r="F918" s="23" t="b">
        <f>if(countif(Status!C:C,A918)=1,TRUE, FALSE)</f>
        <v>1</v>
      </c>
      <c r="H918" s="23">
        <f>IFERROR(__xludf.DUMMYFUNCTION("IFs(REGEXMATCH(I918, ""NOT""), 0, REGEXMATCH(I918, ""NO""), 0, REGEXMATCH(I918, ""TURBID""),1, COUNTBLANK(I918),"""", istext(I918),"""")"),0.0)</f>
        <v>0</v>
      </c>
      <c r="I918" s="23" t="str">
        <f>'3.5.raw'!R918</f>
        <v>Associated Sample MO1197 and NOT TURBID, Enrichment done for 18 hrs.</v>
      </c>
    </row>
    <row r="919">
      <c r="A919" s="23" t="str">
        <f t="shared" si="21"/>
        <v>MO1198</v>
      </c>
      <c r="B919" s="23" t="str">
        <f>'3.5.raw'!I919</f>
        <v>MO1198</v>
      </c>
      <c r="C919" s="24">
        <f>datevalue(left('3.5.raw'!K919,10))</f>
        <v>43887</v>
      </c>
      <c r="D919" s="23">
        <f>'3.5.raw'!H919</f>
        <v>12</v>
      </c>
      <c r="E919" s="1">
        <v>3.5</v>
      </c>
      <c r="F919" s="23" t="b">
        <f>if(countif(Status!C:C,A919)=1,TRUE, FALSE)</f>
        <v>1</v>
      </c>
      <c r="H919" s="23" t="str">
        <f>IFERROR(__xludf.DUMMYFUNCTION("IFs(REGEXMATCH(I919, ""NOT""), 0, REGEXMATCH(I919, ""NO""), 0, REGEXMATCH(I919, ""TURBID""),1, COUNTBLANK(I919),"""", istext(I919),"""")"),"")</f>
        <v/>
      </c>
      <c r="I919" s="23" t="str">
        <f>'3.5.raw'!R919</f>
        <v>Enrichment done for 18 hrs.</v>
      </c>
    </row>
    <row r="920">
      <c r="A920" s="23" t="str">
        <f t="shared" si="21"/>
        <v>FB1383UP</v>
      </c>
      <c r="B920" s="23" t="str">
        <f>'3.5.raw'!I920</f>
        <v>FB1383UP</v>
      </c>
      <c r="C920" s="24">
        <f>datevalue(left('3.5.raw'!K920,10))</f>
        <v>43887</v>
      </c>
      <c r="D920" s="23">
        <f>'3.5.raw'!H920</f>
        <v>99</v>
      </c>
      <c r="E920" s="1">
        <v>3.5</v>
      </c>
      <c r="F920" s="23" t="b">
        <f>if(countif(Status!C:C,A920)=1,TRUE, FALSE)</f>
        <v>1</v>
      </c>
      <c r="H920" s="23">
        <f>IFERROR(__xludf.DUMMYFUNCTION("IFs(REGEXMATCH(I920, ""NOT""), 0, REGEXMATCH(I920, ""NO""), 0, REGEXMATCH(I920, ""TURBID""),1, COUNTBLANK(I920),"""", istext(I920),"""")"),0.0)</f>
        <v>0</v>
      </c>
      <c r="I920" s="23" t="str">
        <f>'3.5.raw'!R920</f>
        <v>Associated Sample MO1198 and NOT TURBID, Enrichment done for 18 hrs.</v>
      </c>
    </row>
    <row r="921">
      <c r="A921" s="23" t="str">
        <f t="shared" si="21"/>
        <v>MO1199</v>
      </c>
      <c r="B921" s="23" t="str">
        <f>'3.5.raw'!I921</f>
        <v>MO1199</v>
      </c>
      <c r="C921" s="24">
        <f>datevalue(left('3.5.raw'!K921,10))</f>
        <v>43887</v>
      </c>
      <c r="D921" s="23">
        <f>'3.5.raw'!H921</f>
        <v>12</v>
      </c>
      <c r="E921" s="1">
        <v>3.5</v>
      </c>
      <c r="F921" s="23" t="b">
        <f>if(countif(Status!C:C,A921)=1,TRUE, FALSE)</f>
        <v>1</v>
      </c>
      <c r="H921" s="23" t="str">
        <f>IFERROR(__xludf.DUMMYFUNCTION("IFs(REGEXMATCH(I921, ""NOT""), 0, REGEXMATCH(I921, ""NO""), 0, REGEXMATCH(I921, ""TURBID""),1, COUNTBLANK(I921),"""", istext(I921),"""")"),"")</f>
        <v/>
      </c>
      <c r="I921" s="23" t="str">
        <f>'3.5.raw'!R921</f>
        <v>Enrichment done for 18 hrs.</v>
      </c>
    </row>
    <row r="922">
      <c r="A922" s="23" t="str">
        <f t="shared" si="21"/>
        <v>FB1384UP</v>
      </c>
      <c r="B922" s="23" t="str">
        <f>'3.5.raw'!I922</f>
        <v>FB1384UP</v>
      </c>
      <c r="C922" s="24">
        <f>datevalue(left('3.5.raw'!K922,10))</f>
        <v>43887</v>
      </c>
      <c r="D922" s="23">
        <f>'3.5.raw'!H922</f>
        <v>99</v>
      </c>
      <c r="E922" s="1">
        <v>3.5</v>
      </c>
      <c r="F922" s="23" t="b">
        <f>if(countif(Status!C:C,A922)=1,TRUE, FALSE)</f>
        <v>1</v>
      </c>
      <c r="H922" s="23">
        <f>IFERROR(__xludf.DUMMYFUNCTION("IFs(REGEXMATCH(I922, ""NOT""), 0, REGEXMATCH(I922, ""NO""), 0, REGEXMATCH(I922, ""TURBID""),1, COUNTBLANK(I922),"""", istext(I922),"""")"),0.0)</f>
        <v>0</v>
      </c>
      <c r="I922" s="23" t="str">
        <f>'3.5.raw'!R922</f>
        <v>Associated Sample MO1199 and NOT TURBID, Enrichment done for 18 hrs.</v>
      </c>
    </row>
    <row r="923">
      <c r="A923" s="23" t="str">
        <f t="shared" si="21"/>
        <v>PL1028</v>
      </c>
      <c r="B923" s="23" t="str">
        <f>'3.5.raw'!I923</f>
        <v>PL1028</v>
      </c>
      <c r="C923" s="24">
        <f>datevalue(left('3.5.raw'!K923,10))</f>
        <v>43887</v>
      </c>
      <c r="D923" s="23">
        <f>'3.5.raw'!H923</f>
        <v>11</v>
      </c>
      <c r="E923" s="1">
        <v>3.5</v>
      </c>
      <c r="F923" s="23" t="b">
        <f>if(countif(Status!C:C,A923)=1,TRUE, FALSE)</f>
        <v>1</v>
      </c>
      <c r="H923" s="23" t="str">
        <f>IFERROR(__xludf.DUMMYFUNCTION("IFs(REGEXMATCH(I923, ""NOT""), 0, REGEXMATCH(I923, ""NO""), 0, REGEXMATCH(I923, ""TURBID""),1, COUNTBLANK(I923),"""", istext(I923),"""")"),"")</f>
        <v/>
      </c>
      <c r="I923" s="23" t="str">
        <f>'3.5.raw'!R923</f>
        <v>Enrichment done for 18 hrs.</v>
      </c>
    </row>
    <row r="924">
      <c r="A924" s="23" t="str">
        <f t="shared" si="21"/>
        <v>FB1380UP</v>
      </c>
      <c r="B924" s="23" t="str">
        <f>'3.5.raw'!I924</f>
        <v>FB1380UP</v>
      </c>
      <c r="C924" s="24">
        <f>datevalue(left('3.5.raw'!K924,10))</f>
        <v>43887</v>
      </c>
      <c r="D924" s="23">
        <f>'3.5.raw'!H924</f>
        <v>99</v>
      </c>
      <c r="E924" s="1">
        <v>3.5</v>
      </c>
      <c r="F924" s="23" t="b">
        <f>if(countif(Status!C:C,A924)=1,TRUE, FALSE)</f>
        <v>1</v>
      </c>
      <c r="H924" s="23">
        <f>IFERROR(__xludf.DUMMYFUNCTION("IFs(REGEXMATCH(I924, ""NOT""), 0, REGEXMATCH(I924, ""NO""), 0, REGEXMATCH(I924, ""TURBID""),1, COUNTBLANK(I924),"""", istext(I924),"""")"),0.0)</f>
        <v>0</v>
      </c>
      <c r="I924" s="23" t="str">
        <f>'3.5.raw'!R924</f>
        <v>Associated Sample PL1028 and NOT TURBID, Enrichment done for 18 hrs.</v>
      </c>
    </row>
    <row r="925">
      <c r="A925" s="23" t="str">
        <f t="shared" si="21"/>
        <v>PL1029</v>
      </c>
      <c r="B925" s="23" t="str">
        <f>'3.5.raw'!I925</f>
        <v>PL1029</v>
      </c>
      <c r="C925" s="24">
        <f>datevalue(left('3.5.raw'!K925,10))</f>
        <v>43887</v>
      </c>
      <c r="D925" s="23">
        <f>'3.5.raw'!H925</f>
        <v>11</v>
      </c>
      <c r="E925" s="1">
        <v>3.5</v>
      </c>
      <c r="F925" s="23" t="b">
        <f>if(countif(Status!C:C,A925)=1,TRUE, FALSE)</f>
        <v>1</v>
      </c>
      <c r="H925" s="23" t="str">
        <f>IFERROR(__xludf.DUMMYFUNCTION("IFs(REGEXMATCH(I925, ""NOT""), 0, REGEXMATCH(I925, ""NO""), 0, REGEXMATCH(I925, ""TURBID""),1, COUNTBLANK(I925),"""", istext(I925),"""")"),"")</f>
        <v/>
      </c>
      <c r="I925" s="23" t="str">
        <f>'3.5.raw'!R925</f>
        <v>Enrichment done for 18 hrs.</v>
      </c>
    </row>
    <row r="926">
      <c r="A926" s="23" t="str">
        <f t="shared" si="21"/>
        <v>FB1381UP</v>
      </c>
      <c r="B926" s="23" t="str">
        <f>'3.5.raw'!I926</f>
        <v>FB1381UP</v>
      </c>
      <c r="C926" s="24">
        <f>datevalue(left('3.5.raw'!K926,10))</f>
        <v>43887</v>
      </c>
      <c r="D926" s="23">
        <f>'3.5.raw'!H926</f>
        <v>99</v>
      </c>
      <c r="E926" s="1">
        <v>3.5</v>
      </c>
      <c r="F926" s="23" t="b">
        <f>if(countif(Status!C:C,A926)=1,TRUE, FALSE)</f>
        <v>1</v>
      </c>
      <c r="H926" s="23">
        <f>IFERROR(__xludf.DUMMYFUNCTION("IFs(REGEXMATCH(I926, ""NOT""), 0, REGEXMATCH(I926, ""NO""), 0, REGEXMATCH(I926, ""TURBID""),1, COUNTBLANK(I926),"""", istext(I926),"""")"),0.0)</f>
        <v>0</v>
      </c>
      <c r="I926" s="23" t="str">
        <f>'3.5.raw'!R926</f>
        <v>Associated Sample PL1029 and NOT TURBID, Enrichment done for 18 hrs.</v>
      </c>
    </row>
    <row r="927">
      <c r="A927" s="23" t="str">
        <f t="shared" si="21"/>
        <v>UPNC99</v>
      </c>
      <c r="B927" s="23" t="str">
        <f>'3.5.raw'!I927</f>
        <v>UPNC99</v>
      </c>
      <c r="C927" s="24">
        <f>datevalue(left('3.5.raw'!K927,10))</f>
        <v>43887</v>
      </c>
      <c r="D927" s="23">
        <f>'3.5.raw'!H927</f>
        <v>98</v>
      </c>
      <c r="E927" s="1">
        <v>3.5</v>
      </c>
      <c r="F927" s="23" t="b">
        <f>if(countif(Status!C:C,A927)=1,TRUE, FALSE)</f>
        <v>1</v>
      </c>
      <c r="H927" s="23">
        <f>IFERROR(__xludf.DUMMYFUNCTION("IFs(REGEXMATCH(I927, ""NOT""), 0, REGEXMATCH(I927, ""NO""), 0, REGEXMATCH(I927, ""TURBID""),1, COUNTBLANK(I927),"""", istext(I927),"""")"),0.0)</f>
        <v>0</v>
      </c>
      <c r="I927" s="23" t="str">
        <f>'3.5.raw'!R927</f>
        <v>NOT TURBID, Enrichment done for 18 hrs.</v>
      </c>
    </row>
    <row r="928">
      <c r="A928" s="23" t="str">
        <f t="shared" si="21"/>
        <v>MO1200</v>
      </c>
      <c r="B928" s="23" t="str">
        <f>'3.5.raw'!I928</f>
        <v>MO1200</v>
      </c>
      <c r="C928" s="24">
        <f>datevalue(left('3.5.raw'!K928,10))</f>
        <v>43888</v>
      </c>
      <c r="D928" s="23">
        <f>'3.5.raw'!H928</f>
        <v>12</v>
      </c>
      <c r="E928" s="1">
        <v>3.5</v>
      </c>
      <c r="F928" s="23" t="b">
        <f>if(countif(Status!C:C,A928)=1,TRUE, FALSE)</f>
        <v>1</v>
      </c>
      <c r="H928" s="23" t="str">
        <f>IFERROR(__xludf.DUMMYFUNCTION("IFs(REGEXMATCH(I928, ""NOT""), 0, REGEXMATCH(I928, ""NO""), 0, REGEXMATCH(I928, ""TURBID""),1, COUNTBLANK(I928),"""", istext(I928),"""")"),"")</f>
        <v/>
      </c>
      <c r="I928" s="23" t="str">
        <f>'3.5.raw'!R928</f>
        <v>Enrichment done for 18 hrs.</v>
      </c>
    </row>
    <row r="929">
      <c r="A929" s="23" t="str">
        <f t="shared" si="21"/>
        <v>MO1201</v>
      </c>
      <c r="B929" s="23" t="str">
        <f>'3.5.raw'!I929</f>
        <v>MO1201</v>
      </c>
      <c r="C929" s="24">
        <f>datevalue(left('3.5.raw'!K929,10))</f>
        <v>43888</v>
      </c>
      <c r="D929" s="23">
        <f>'3.5.raw'!H929</f>
        <v>12</v>
      </c>
      <c r="E929" s="1">
        <v>3.5</v>
      </c>
      <c r="F929" s="23" t="b">
        <f>if(countif(Status!C:C,A929)=1,TRUE, FALSE)</f>
        <v>1</v>
      </c>
      <c r="H929" s="23" t="str">
        <f>IFERROR(__xludf.DUMMYFUNCTION("IFs(REGEXMATCH(I929, ""NOT""), 0, REGEXMATCH(I929, ""NO""), 0, REGEXMATCH(I929, ""TURBID""),1, COUNTBLANK(I929),"""", istext(I929),"""")"),"")</f>
        <v/>
      </c>
      <c r="I929" s="23" t="str">
        <f>'3.5.raw'!R929</f>
        <v>Enrichment done for 18 hrs.</v>
      </c>
    </row>
    <row r="930">
      <c r="A930" s="23" t="str">
        <f t="shared" si="21"/>
        <v>MO1202</v>
      </c>
      <c r="B930" s="23" t="str">
        <f>'3.5.raw'!I930</f>
        <v>MO1202</v>
      </c>
      <c r="C930" s="24">
        <f>datevalue(left('3.5.raw'!K930,10))</f>
        <v>43888</v>
      </c>
      <c r="D930" s="23">
        <f>'3.5.raw'!H930</f>
        <v>12</v>
      </c>
      <c r="E930" s="1">
        <v>3.5</v>
      </c>
      <c r="F930" s="23" t="b">
        <f>if(countif(Status!C:C,A930)=1,TRUE, FALSE)</f>
        <v>1</v>
      </c>
      <c r="H930" s="23" t="str">
        <f>IFERROR(__xludf.DUMMYFUNCTION("IFs(REGEXMATCH(I930, ""NOT""), 0, REGEXMATCH(I930, ""NO""), 0, REGEXMATCH(I930, ""TURBID""),1, COUNTBLANK(I930),"""", istext(I930),"""")"),"")</f>
        <v/>
      </c>
      <c r="I930" s="23" t="str">
        <f>'3.5.raw'!R930</f>
        <v>Enrichment done for 18 hrs.</v>
      </c>
    </row>
    <row r="931">
      <c r="A931" s="23" t="str">
        <f t="shared" si="21"/>
        <v>MO1203</v>
      </c>
      <c r="B931" s="23" t="str">
        <f>'3.5.raw'!I931</f>
        <v>MO1203</v>
      </c>
      <c r="C931" s="24">
        <f>datevalue(left('3.5.raw'!K931,10))</f>
        <v>43888</v>
      </c>
      <c r="D931" s="23">
        <f>'3.5.raw'!H931</f>
        <v>12</v>
      </c>
      <c r="E931" s="1">
        <v>3.5</v>
      </c>
      <c r="F931" s="23" t="b">
        <f>if(countif(Status!C:C,A931)=1,TRUE, FALSE)</f>
        <v>1</v>
      </c>
      <c r="H931" s="23" t="str">
        <f>IFERROR(__xludf.DUMMYFUNCTION("IFs(REGEXMATCH(I931, ""NOT""), 0, REGEXMATCH(I931, ""NO""), 0, REGEXMATCH(I931, ""TURBID""),1, COUNTBLANK(I931),"""", istext(I931),"""")"),"")</f>
        <v/>
      </c>
      <c r="I931" s="23" t="str">
        <f>'3.5.raw'!R931</f>
        <v>Enrichment done for 18 hrs.</v>
      </c>
    </row>
    <row r="932">
      <c r="A932" s="23" t="str">
        <f t="shared" si="21"/>
        <v>MO1204</v>
      </c>
      <c r="B932" s="23" t="str">
        <f>'3.5.raw'!I932</f>
        <v>MO1204</v>
      </c>
      <c r="C932" s="24">
        <f>datevalue(left('3.5.raw'!K932,10))</f>
        <v>43888</v>
      </c>
      <c r="D932" s="23">
        <f>'3.5.raw'!H932</f>
        <v>12</v>
      </c>
      <c r="E932" s="1">
        <v>3.5</v>
      </c>
      <c r="F932" s="23" t="b">
        <f>if(countif(Status!C:C,A932)=1,TRUE, FALSE)</f>
        <v>1</v>
      </c>
      <c r="H932" s="23" t="str">
        <f>IFERROR(__xludf.DUMMYFUNCTION("IFs(REGEXMATCH(I932, ""NOT""), 0, REGEXMATCH(I932, ""NO""), 0, REGEXMATCH(I932, ""TURBID""),1, COUNTBLANK(I932),"""", istext(I932),"""")"),"")</f>
        <v/>
      </c>
      <c r="I932" s="23" t="str">
        <f>'3.5.raw'!R932</f>
        <v>Enrichment done for 18 hrs.</v>
      </c>
    </row>
    <row r="933">
      <c r="A933" s="23" t="str">
        <f t="shared" si="21"/>
        <v>FB1389UP</v>
      </c>
      <c r="B933" s="23" t="str">
        <f>'3.5.raw'!I933</f>
        <v>FB1389UP</v>
      </c>
      <c r="C933" s="24">
        <f>datevalue(left('3.5.raw'!K933,10))</f>
        <v>43888</v>
      </c>
      <c r="D933" s="23">
        <f>'3.5.raw'!H933</f>
        <v>99</v>
      </c>
      <c r="E933" s="1">
        <v>3.5</v>
      </c>
      <c r="F933" s="23" t="b">
        <f>if(countif(Status!C:C,A933)=1,TRUE, FALSE)</f>
        <v>1</v>
      </c>
      <c r="H933" s="23">
        <f>IFERROR(__xludf.DUMMYFUNCTION("IFs(REGEXMATCH(I933, ""NOT""), 0, REGEXMATCH(I933, ""NO""), 0, REGEXMATCH(I933, ""TURBID""),1, COUNTBLANK(I933),"""", istext(I933),"""")"),0.0)</f>
        <v>0</v>
      </c>
      <c r="I933" s="23" t="str">
        <f>'3.5.raw'!R933</f>
        <v>Associated Sample MO1200 and NOT TURBID, Enrichment done for 18 hrs.</v>
      </c>
    </row>
    <row r="934">
      <c r="A934" s="23" t="str">
        <f t="shared" si="21"/>
        <v>FB1390UP</v>
      </c>
      <c r="B934" s="23" t="str">
        <f>'3.5.raw'!I934</f>
        <v>FB1390UP</v>
      </c>
      <c r="C934" s="24">
        <f>datevalue(left('3.5.raw'!K934,10))</f>
        <v>43888</v>
      </c>
      <c r="D934" s="23">
        <f>'3.5.raw'!H934</f>
        <v>99</v>
      </c>
      <c r="E934" s="1">
        <v>3.5</v>
      </c>
      <c r="F934" s="23" t="b">
        <f>if(countif(Status!C:C,A934)=1,TRUE, FALSE)</f>
        <v>1</v>
      </c>
      <c r="H934" s="23">
        <f>IFERROR(__xludf.DUMMYFUNCTION("IFs(REGEXMATCH(I934, ""NOT""), 0, REGEXMATCH(I934, ""NO""), 0, REGEXMATCH(I934, ""TURBID""),1, COUNTBLANK(I934),"""", istext(I934),"""")"),0.0)</f>
        <v>0</v>
      </c>
      <c r="I934" s="23" t="str">
        <f>'3.5.raw'!R934</f>
        <v>Associated Sample MO1201 and NOT TURBID, Enrichment done for 18 hrs.</v>
      </c>
    </row>
    <row r="935">
      <c r="A935" s="23" t="str">
        <f t="shared" si="21"/>
        <v>FB1391UP</v>
      </c>
      <c r="B935" s="23" t="str">
        <f>'3.5.raw'!I935</f>
        <v>FB1391UP</v>
      </c>
      <c r="C935" s="24">
        <f>datevalue(left('3.5.raw'!K935,10))</f>
        <v>43888</v>
      </c>
      <c r="D935" s="23">
        <f>'3.5.raw'!H935</f>
        <v>99</v>
      </c>
      <c r="E935" s="1">
        <v>3.5</v>
      </c>
      <c r="F935" s="23" t="b">
        <f>if(countif(Status!C:C,A935)=1,TRUE, FALSE)</f>
        <v>1</v>
      </c>
      <c r="H935" s="23">
        <f>IFERROR(__xludf.DUMMYFUNCTION("IFs(REGEXMATCH(I935, ""NOT""), 0, REGEXMATCH(I935, ""NO""), 0, REGEXMATCH(I935, ""TURBID""),1, COUNTBLANK(I935),"""", istext(I935),"""")"),0.0)</f>
        <v>0</v>
      </c>
      <c r="I935" s="23" t="str">
        <f>'3.5.raw'!R935</f>
        <v>Associated Sample MO1202 and NOT TURBID, Enrichment done for 18 hrs.</v>
      </c>
    </row>
    <row r="936">
      <c r="A936" s="23" t="str">
        <f t="shared" si="21"/>
        <v>FB1392UP</v>
      </c>
      <c r="B936" s="23" t="str">
        <f>'3.5.raw'!I936</f>
        <v>FB1392UP</v>
      </c>
      <c r="C936" s="24">
        <f>datevalue(left('3.5.raw'!K936,10))</f>
        <v>43888</v>
      </c>
      <c r="D936" s="23">
        <f>'3.5.raw'!H936</f>
        <v>99</v>
      </c>
      <c r="E936" s="1">
        <v>3.5</v>
      </c>
      <c r="F936" s="23" t="b">
        <f>if(countif(Status!C:C,A936)=1,TRUE, FALSE)</f>
        <v>1</v>
      </c>
      <c r="H936" s="23">
        <f>IFERROR(__xludf.DUMMYFUNCTION("IFs(REGEXMATCH(I936, ""NOT""), 0, REGEXMATCH(I936, ""NO""), 0, REGEXMATCH(I936, ""TURBID""),1, COUNTBLANK(I936),"""", istext(I936),"""")"),0.0)</f>
        <v>0</v>
      </c>
      <c r="I936" s="23" t="str">
        <f>'3.5.raw'!R936</f>
        <v>Associated Sample MO1203 and NOT TURBID, Enrichment done for 18 hrs.</v>
      </c>
    </row>
    <row r="937">
      <c r="A937" s="23" t="str">
        <f t="shared" si="21"/>
        <v>FB1393UP</v>
      </c>
      <c r="B937" s="23" t="str">
        <f>'3.5.raw'!I937</f>
        <v>FB1393UP</v>
      </c>
      <c r="C937" s="24">
        <f>datevalue(left('3.5.raw'!K937,10))</f>
        <v>43888</v>
      </c>
      <c r="D937" s="23">
        <f>'3.5.raw'!H937</f>
        <v>99</v>
      </c>
      <c r="E937" s="1">
        <v>3.5</v>
      </c>
      <c r="F937" s="23" t="b">
        <f>if(countif(Status!C:C,A937)=1,TRUE, FALSE)</f>
        <v>1</v>
      </c>
      <c r="H937" s="23">
        <f>IFERROR(__xludf.DUMMYFUNCTION("IFs(REGEXMATCH(I937, ""NOT""), 0, REGEXMATCH(I937, ""NO""), 0, REGEXMATCH(I937, ""TURBID""),1, COUNTBLANK(I937),"""", istext(I937),"""")"),0.0)</f>
        <v>0</v>
      </c>
      <c r="I937" s="23" t="str">
        <f>'3.5.raw'!R937</f>
        <v>Associated Sample MO1204 and NOT TURBID, Enrichment done for 18 hrs.</v>
      </c>
    </row>
    <row r="938">
      <c r="A938" s="23" t="str">
        <f t="shared" si="21"/>
        <v>PLc1212</v>
      </c>
      <c r="B938" s="23" t="str">
        <f>'3.5.raw'!I938</f>
        <v>PLc1212</v>
      </c>
      <c r="C938" s="24">
        <f>datevalue(left('3.5.raw'!K938,10))</f>
        <v>43888</v>
      </c>
      <c r="D938" s="23">
        <f>'3.5.raw'!H938</f>
        <v>11</v>
      </c>
      <c r="E938" s="1">
        <v>3.5</v>
      </c>
      <c r="F938" s="23" t="b">
        <f>if(countif(Status!C:C,A938)=1,TRUE, FALSE)</f>
        <v>1</v>
      </c>
      <c r="H938" s="23" t="str">
        <f>IFERROR(__xludf.DUMMYFUNCTION("IFs(REGEXMATCH(I938, ""NOT""), 0, REGEXMATCH(I938, ""NO""), 0, REGEXMATCH(I938, ""TURBID""),1, COUNTBLANK(I938),"""", istext(I938),"""")"),"")</f>
        <v/>
      </c>
      <c r="I938" s="23" t="str">
        <f>'3.5.raw'!R938</f>
        <v>Enrichment done for 18 hrs.</v>
      </c>
    </row>
    <row r="939">
      <c r="A939" s="23" t="str">
        <f t="shared" si="21"/>
        <v>FB1386UP</v>
      </c>
      <c r="B939" s="23" t="str">
        <f>'3.5.raw'!I939</f>
        <v>FB1386UP</v>
      </c>
      <c r="C939" s="24">
        <f>datevalue(left('3.5.raw'!K939,10))</f>
        <v>43888</v>
      </c>
      <c r="D939" s="23">
        <f>'3.5.raw'!H939</f>
        <v>99</v>
      </c>
      <c r="E939" s="1">
        <v>3.5</v>
      </c>
      <c r="F939" s="23" t="b">
        <f>if(countif(Status!C:C,A939)=1,TRUE, FALSE)</f>
        <v>1</v>
      </c>
      <c r="H939" s="23">
        <f>IFERROR(__xludf.DUMMYFUNCTION("IFs(REGEXMATCH(I939, ""NOT""), 0, REGEXMATCH(I939, ""NO""), 0, REGEXMATCH(I939, ""TURBID""),1, COUNTBLANK(I939),"""", istext(I939),"""")"),0.0)</f>
        <v>0</v>
      </c>
      <c r="I939" s="23" t="str">
        <f>'3.5.raw'!R939</f>
        <v>Associated Sample PLc1212 and NOT TURBID, Enrichment done for 18 hrs.</v>
      </c>
    </row>
    <row r="940">
      <c r="A940" s="23" t="str">
        <f t="shared" si="21"/>
        <v>PLc1213</v>
      </c>
      <c r="B940" s="23" t="str">
        <f>'3.5.raw'!I940</f>
        <v>PLc1213</v>
      </c>
      <c r="C940" s="24">
        <f>datevalue(left('3.5.raw'!K940,10))</f>
        <v>43888</v>
      </c>
      <c r="D940" s="23">
        <f>'3.5.raw'!H940</f>
        <v>11</v>
      </c>
      <c r="E940" s="1">
        <v>3.5</v>
      </c>
      <c r="F940" s="23" t="b">
        <f>if(countif(Status!C:C,A940)=1,TRUE, FALSE)</f>
        <v>1</v>
      </c>
      <c r="H940" s="23" t="str">
        <f>IFERROR(__xludf.DUMMYFUNCTION("IFs(REGEXMATCH(I940, ""NOT""), 0, REGEXMATCH(I940, ""NO""), 0, REGEXMATCH(I940, ""TURBID""),1, COUNTBLANK(I940),"""", istext(I940),"""")"),"")</f>
        <v/>
      </c>
      <c r="I940" s="23" t="str">
        <f>'3.5.raw'!R940</f>
        <v>Enrichment done for 18 hrs.</v>
      </c>
    </row>
    <row r="941">
      <c r="A941" s="23" t="str">
        <f t="shared" si="21"/>
        <v>FB1387UP</v>
      </c>
      <c r="B941" s="23" t="str">
        <f>'3.5.raw'!I941</f>
        <v>FB1387UP</v>
      </c>
      <c r="C941" s="24">
        <f>datevalue(left('3.5.raw'!K941,10))</f>
        <v>43888</v>
      </c>
      <c r="D941" s="23">
        <f>'3.5.raw'!H941</f>
        <v>99</v>
      </c>
      <c r="E941" s="1">
        <v>3.5</v>
      </c>
      <c r="F941" s="23" t="b">
        <f>if(countif(Status!C:C,A941)=1,TRUE, FALSE)</f>
        <v>1</v>
      </c>
      <c r="H941" s="23">
        <f>IFERROR(__xludf.DUMMYFUNCTION("IFs(REGEXMATCH(I941, ""NOT""), 0, REGEXMATCH(I941, ""NO""), 0, REGEXMATCH(I941, ""TURBID""),1, COUNTBLANK(I941),"""", istext(I941),"""")"),0.0)</f>
        <v>0</v>
      </c>
      <c r="I941" s="23" t="str">
        <f>'3.5.raw'!R941</f>
        <v>Associated Sample PLc1213 and NOT TURBID, Enrichment done for 18 hrs.</v>
      </c>
    </row>
    <row r="942">
      <c r="A942" s="23" t="str">
        <f t="shared" si="21"/>
        <v>PLc1214</v>
      </c>
      <c r="B942" s="23" t="str">
        <f>'3.5.raw'!I942</f>
        <v>PLc1214</v>
      </c>
      <c r="C942" s="24">
        <f>datevalue(left('3.5.raw'!K942,10))</f>
        <v>43888</v>
      </c>
      <c r="D942" s="23">
        <f>'3.5.raw'!H942</f>
        <v>11</v>
      </c>
      <c r="E942" s="1">
        <v>3.5</v>
      </c>
      <c r="F942" s="23" t="b">
        <f>if(countif(Status!C:C,A942)=1,TRUE, FALSE)</f>
        <v>1</v>
      </c>
      <c r="H942" s="23" t="str">
        <f>IFERROR(__xludf.DUMMYFUNCTION("IFs(REGEXMATCH(I942, ""NOT""), 0, REGEXMATCH(I942, ""NO""), 0, REGEXMATCH(I942, ""TURBID""),1, COUNTBLANK(I942),"""", istext(I942),"""")"),"")</f>
        <v/>
      </c>
      <c r="I942" s="23" t="str">
        <f>'3.5.raw'!R942</f>
        <v>Enrichment done for 18 hrs.</v>
      </c>
    </row>
    <row r="943">
      <c r="A943" s="23" t="str">
        <f t="shared" si="21"/>
        <v>FB1388UP</v>
      </c>
      <c r="B943" s="23" t="str">
        <f>'3.5.raw'!I943</f>
        <v>FB1388UP</v>
      </c>
      <c r="C943" s="24">
        <f>datevalue(left('3.5.raw'!K943,10))</f>
        <v>43888</v>
      </c>
      <c r="D943" s="23">
        <f>'3.5.raw'!H943</f>
        <v>99</v>
      </c>
      <c r="E943" s="1">
        <v>3.5</v>
      </c>
      <c r="F943" s="23" t="b">
        <f>if(countif(Status!C:C,A943)=1,TRUE, FALSE)</f>
        <v>1</v>
      </c>
      <c r="H943" s="23">
        <f>IFERROR(__xludf.DUMMYFUNCTION("IFs(REGEXMATCH(I943, ""NOT""), 0, REGEXMATCH(I943, ""NO""), 0, REGEXMATCH(I943, ""TURBID""),1, COUNTBLANK(I943),"""", istext(I943),"""")"),0.0)</f>
        <v>0</v>
      </c>
      <c r="I943" s="23" t="str">
        <f>'3.5.raw'!R943</f>
        <v>Associated Sample PLc1214 and NOT TURBID, Enrichment done for 18 hrs.</v>
      </c>
    </row>
    <row r="944">
      <c r="A944" s="23" t="str">
        <f t="shared" si="21"/>
        <v>FB1385UP</v>
      </c>
      <c r="B944" s="23" t="str">
        <f>'3.5.raw'!I944</f>
        <v>FB1385UP</v>
      </c>
      <c r="C944" s="24">
        <f>datevalue(left('3.5.raw'!K944,10))</f>
        <v>43888</v>
      </c>
      <c r="D944" s="23">
        <f>'3.5.raw'!H944</f>
        <v>99</v>
      </c>
      <c r="E944" s="1">
        <v>3.5</v>
      </c>
      <c r="F944" s="23" t="b">
        <f>if(countif(Status!C:C,A944)=1,TRUE, FALSE)</f>
        <v>1</v>
      </c>
      <c r="H944" s="23">
        <f>IFERROR(__xludf.DUMMYFUNCTION("IFs(REGEXMATCH(I944, ""NOT""), 0, REGEXMATCH(I944, ""NO""), 0, REGEXMATCH(I944, ""TURBID""),1, COUNTBLANK(I944),"""", istext(I944),"""")"),0.0)</f>
        <v>0</v>
      </c>
      <c r="I944" s="23" t="str">
        <f>'3.5.raw'!R944</f>
        <v>Associated Sample FPa2005, FPb2005, FPc2005, FPd2005, FPe2005 and NOT TURBID, Enrichment done for 18 hrs.</v>
      </c>
    </row>
    <row r="945">
      <c r="A945" s="23" t="str">
        <f t="shared" si="21"/>
        <v>UPNC100</v>
      </c>
      <c r="B945" s="23" t="str">
        <f>'3.5.raw'!I945</f>
        <v>UPNC100</v>
      </c>
      <c r="C945" s="24">
        <f>datevalue(left('3.5.raw'!K945,10))</f>
        <v>43888</v>
      </c>
      <c r="D945" s="23">
        <f>'3.5.raw'!H945</f>
        <v>98</v>
      </c>
      <c r="E945" s="1">
        <v>3.5</v>
      </c>
      <c r="F945" s="23" t="b">
        <f>if(countif(Status!C:C,A945)=1,TRUE, FALSE)</f>
        <v>1</v>
      </c>
      <c r="H945" s="23">
        <f>IFERROR(__xludf.DUMMYFUNCTION("IFs(REGEXMATCH(I945, ""NOT""), 0, REGEXMATCH(I945, ""NO""), 0, REGEXMATCH(I945, ""TURBID""),1, COUNTBLANK(I945),"""", istext(I945),"""")"),0.0)</f>
        <v>0</v>
      </c>
      <c r="I945" s="23" t="str">
        <f>'3.5.raw'!R945</f>
        <v>NOT TURBID, Enrichment done for 18 hrs.</v>
      </c>
    </row>
    <row r="946">
      <c r="A946" s="23" t="str">
        <f t="shared" si="21"/>
        <v/>
      </c>
      <c r="B946" s="23" t="str">
        <f>'3.5.raw'!I946</f>
        <v/>
      </c>
      <c r="C946" s="24" t="str">
        <f>datevalue(left('3.5.raw'!K946,10))</f>
        <v>#VALUE!</v>
      </c>
      <c r="D946" s="23" t="str">
        <f>'3.5.raw'!H946</f>
        <v/>
      </c>
      <c r="E946" s="1">
        <v>3.5</v>
      </c>
      <c r="F946" s="23" t="b">
        <f>if(countif(Status!C:C,A946)=1,TRUE, FALSE)</f>
        <v>0</v>
      </c>
      <c r="H946" s="23" t="str">
        <f>IFERROR(__xludf.DUMMYFUNCTION("IFs(REGEXMATCH(I946, ""NOT""), 0, REGEXMATCH(I946, ""NO""), 0, REGEXMATCH(I946, ""TURBID""),1, COUNTBLANK(I946),"""", istext(I946),"""")"),"")</f>
        <v/>
      </c>
      <c r="I946" s="23" t="str">
        <f>'3.5.raw'!R946</f>
        <v/>
      </c>
    </row>
    <row r="947">
      <c r="A947" s="23" t="str">
        <f t="shared" si="21"/>
        <v/>
      </c>
      <c r="B947" s="23" t="str">
        <f>'3.5.raw'!I947</f>
        <v/>
      </c>
      <c r="C947" s="24" t="str">
        <f>datevalue(left('3.5.raw'!K947,10))</f>
        <v>#VALUE!</v>
      </c>
      <c r="D947" s="23" t="str">
        <f>'3.5.raw'!H947</f>
        <v/>
      </c>
      <c r="E947" s="1">
        <v>3.5</v>
      </c>
      <c r="F947" s="23" t="b">
        <f>if(countif(Status!C:C,A947)=1,TRUE, FALSE)</f>
        <v>0</v>
      </c>
      <c r="H947" s="23" t="str">
        <f>IFERROR(__xludf.DUMMYFUNCTION("IFs(REGEXMATCH(I947, ""NOT""), 0, REGEXMATCH(I947, ""NO""), 0, REGEXMATCH(I947, ""TURBID""),1, COUNTBLANK(I947),"""", istext(I947),"""")"),"")</f>
        <v/>
      </c>
      <c r="I947" s="23" t="str">
        <f>'3.5.raw'!R947</f>
        <v/>
      </c>
    </row>
    <row r="948">
      <c r="A948" s="23" t="str">
        <f t="shared" si="21"/>
        <v/>
      </c>
      <c r="B948" s="23" t="str">
        <f>'3.5.raw'!I948</f>
        <v/>
      </c>
      <c r="C948" s="24" t="str">
        <f>datevalue(left('3.5.raw'!K948,10))</f>
        <v>#VALUE!</v>
      </c>
      <c r="D948" s="23" t="str">
        <f>'3.5.raw'!H948</f>
        <v/>
      </c>
      <c r="E948" s="1">
        <v>3.5</v>
      </c>
      <c r="F948" s="23" t="b">
        <f>if(countif(Status!C:C,A948)=1,TRUE, FALSE)</f>
        <v>0</v>
      </c>
      <c r="H948" s="23" t="str">
        <f>IFERROR(__xludf.DUMMYFUNCTION("IFs(REGEXMATCH(I948, ""NOT""), 0, REGEXMATCH(I948, ""NO""), 0, REGEXMATCH(I948, ""TURBID""),1, COUNTBLANK(I948),"""", istext(I948),"""")"),"")</f>
        <v/>
      </c>
      <c r="I948" s="23" t="str">
        <f>'3.5.raw'!R948</f>
        <v/>
      </c>
    </row>
    <row r="949">
      <c r="A949" s="23" t="str">
        <f t="shared" si="21"/>
        <v/>
      </c>
      <c r="B949" s="23" t="str">
        <f>'3.5.raw'!I949</f>
        <v/>
      </c>
      <c r="C949" s="24" t="str">
        <f>datevalue(left('3.5.raw'!K949,10))</f>
        <v>#VALUE!</v>
      </c>
      <c r="D949" s="23" t="str">
        <f>'3.5.raw'!H949</f>
        <v/>
      </c>
      <c r="E949" s="1">
        <v>3.5</v>
      </c>
      <c r="F949" s="23" t="b">
        <f>if(countif(Status!C:C,A949)=1,TRUE, FALSE)</f>
        <v>0</v>
      </c>
      <c r="H949" s="23" t="str">
        <f>IFERROR(__xludf.DUMMYFUNCTION("IFs(REGEXMATCH(I949, ""NOT""), 0, REGEXMATCH(I949, ""NO""), 0, REGEXMATCH(I949, ""TURBID""),1, COUNTBLANK(I949),"""", istext(I949),"""")"),"")</f>
        <v/>
      </c>
      <c r="I949" s="23" t="str">
        <f>'3.5.raw'!R949</f>
        <v/>
      </c>
    </row>
    <row r="950">
      <c r="A950" s="23" t="str">
        <f t="shared" si="21"/>
        <v/>
      </c>
      <c r="B950" s="23" t="str">
        <f>'3.5.raw'!I950</f>
        <v/>
      </c>
      <c r="C950" s="24" t="str">
        <f>datevalue(left('3.5.raw'!K950,10))</f>
        <v>#VALUE!</v>
      </c>
      <c r="D950" s="23" t="str">
        <f>'3.5.raw'!H950</f>
        <v/>
      </c>
      <c r="E950" s="1">
        <v>3.5</v>
      </c>
      <c r="F950" s="23" t="b">
        <f>if(countif(Status!C:C,A950)=1,TRUE, FALSE)</f>
        <v>0</v>
      </c>
      <c r="H950" s="23" t="str">
        <f>IFERROR(__xludf.DUMMYFUNCTION("IFs(REGEXMATCH(I950, ""NOT""), 0, REGEXMATCH(I950, ""NO""), 0, REGEXMATCH(I950, ""TURBID""),1, COUNTBLANK(I950),"""", istext(I950),"""")"),"")</f>
        <v/>
      </c>
      <c r="I950" s="23" t="str">
        <f>'3.5.raw'!R950</f>
        <v/>
      </c>
    </row>
    <row r="951">
      <c r="A951" s="23" t="str">
        <f t="shared" si="21"/>
        <v/>
      </c>
      <c r="B951" s="23" t="str">
        <f>'3.5.raw'!I951</f>
        <v/>
      </c>
      <c r="C951" s="24" t="str">
        <f>datevalue(left('3.5.raw'!K951,10))</f>
        <v>#VALUE!</v>
      </c>
      <c r="D951" s="23" t="str">
        <f>'3.5.raw'!H951</f>
        <v/>
      </c>
      <c r="E951" s="1">
        <v>3.5</v>
      </c>
      <c r="F951" s="23" t="b">
        <f>if(countif(Status!C:C,A951)=1,TRUE, FALSE)</f>
        <v>0</v>
      </c>
      <c r="H951" s="23" t="str">
        <f>IFERROR(__xludf.DUMMYFUNCTION("IFs(REGEXMATCH(I951, ""NOT""), 0, REGEXMATCH(I951, ""NO""), 0, REGEXMATCH(I951, ""TURBID""),1, COUNTBLANK(I951),"""", istext(I951),"""")"),"")</f>
        <v/>
      </c>
      <c r="I951" s="23" t="str">
        <f>'3.5.raw'!R951</f>
        <v/>
      </c>
    </row>
    <row r="952">
      <c r="A952" s="23" t="str">
        <f t="shared" si="21"/>
        <v/>
      </c>
      <c r="B952" s="23" t="str">
        <f>'3.5.raw'!I952</f>
        <v/>
      </c>
      <c r="C952" s="24" t="str">
        <f>datevalue(left('3.5.raw'!K952,10))</f>
        <v>#VALUE!</v>
      </c>
      <c r="D952" s="23" t="str">
        <f>'3.5.raw'!H952</f>
        <v/>
      </c>
      <c r="E952" s="1">
        <v>3.5</v>
      </c>
      <c r="F952" s="23" t="b">
        <f>if(countif(Status!C:C,A952)=1,TRUE, FALSE)</f>
        <v>0</v>
      </c>
      <c r="H952" s="23" t="str">
        <f>IFERROR(__xludf.DUMMYFUNCTION("IFs(REGEXMATCH(I952, ""NOT""), 0, REGEXMATCH(I952, ""NO""), 0, REGEXMATCH(I952, ""TURBID""),1, COUNTBLANK(I952),"""", istext(I952),"""")"),"")</f>
        <v/>
      </c>
      <c r="I952" s="23" t="str">
        <f>'3.5.raw'!R952</f>
        <v/>
      </c>
    </row>
    <row r="953">
      <c r="A953" s="23" t="str">
        <f t="shared" si="21"/>
        <v/>
      </c>
      <c r="B953" s="23" t="str">
        <f>'3.5.raw'!I953</f>
        <v/>
      </c>
      <c r="C953" s="24" t="str">
        <f>datevalue(left('3.5.raw'!K953,10))</f>
        <v>#VALUE!</v>
      </c>
      <c r="D953" s="23" t="str">
        <f>'3.5.raw'!H953</f>
        <v/>
      </c>
      <c r="E953" s="1">
        <v>3.5</v>
      </c>
      <c r="F953" s="23" t="b">
        <f>if(countif(Status!C:C,A953)=1,TRUE, FALSE)</f>
        <v>0</v>
      </c>
      <c r="H953" s="23" t="str">
        <f>IFERROR(__xludf.DUMMYFUNCTION("IFs(REGEXMATCH(I953, ""NOT""), 0, REGEXMATCH(I953, ""NO""), 0, REGEXMATCH(I953, ""TURBID""),1, COUNTBLANK(I953),"""", istext(I953),"""")"),"")</f>
        <v/>
      </c>
      <c r="I953" s="23" t="str">
        <f>'3.5.raw'!R953</f>
        <v/>
      </c>
    </row>
    <row r="954">
      <c r="A954" s="23" t="str">
        <f t="shared" si="21"/>
        <v/>
      </c>
      <c r="B954" s="23" t="str">
        <f>'3.5.raw'!I954</f>
        <v/>
      </c>
      <c r="C954" s="24" t="str">
        <f>datevalue(left('3.5.raw'!K954,10))</f>
        <v>#VALUE!</v>
      </c>
      <c r="D954" s="23" t="str">
        <f>'3.5.raw'!H954</f>
        <v/>
      </c>
      <c r="E954" s="1">
        <v>3.5</v>
      </c>
      <c r="F954" s="23" t="b">
        <f>if(countif(Status!C:C,A954)=1,TRUE, FALSE)</f>
        <v>0</v>
      </c>
      <c r="H954" s="23" t="str">
        <f>IFERROR(__xludf.DUMMYFUNCTION("IFs(REGEXMATCH(I954, ""NOT""), 0, REGEXMATCH(I954, ""NO""), 0, REGEXMATCH(I954, ""TURBID""),1, COUNTBLANK(I954),"""", istext(I954),"""")"),"")</f>
        <v/>
      </c>
      <c r="I954" s="23" t="str">
        <f>'3.5.raw'!R954</f>
        <v/>
      </c>
    </row>
    <row r="955">
      <c r="A955" s="23" t="str">
        <f t="shared" si="21"/>
        <v/>
      </c>
      <c r="B955" s="23" t="str">
        <f>'3.5.raw'!I955</f>
        <v/>
      </c>
      <c r="C955" s="24" t="str">
        <f>datevalue(left('3.5.raw'!K955,10))</f>
        <v>#VALUE!</v>
      </c>
      <c r="D955" s="23" t="str">
        <f>'3.5.raw'!H955</f>
        <v/>
      </c>
      <c r="E955" s="1">
        <v>3.5</v>
      </c>
      <c r="F955" s="23" t="b">
        <f>if(countif(Status!C:C,A955)=1,TRUE, FALSE)</f>
        <v>0</v>
      </c>
      <c r="H955" s="23" t="str">
        <f>IFERROR(__xludf.DUMMYFUNCTION("IFs(REGEXMATCH(I955, ""NOT""), 0, REGEXMATCH(I955, ""NO""), 0, REGEXMATCH(I955, ""TURBID""),1, COUNTBLANK(I955),"""", istext(I955),"""")"),"")</f>
        <v/>
      </c>
      <c r="I955" s="23" t="str">
        <f>'3.5.raw'!R955</f>
        <v/>
      </c>
    </row>
    <row r="956">
      <c r="A956" s="23" t="str">
        <f t="shared" si="21"/>
        <v/>
      </c>
      <c r="B956" s="23" t="str">
        <f>'3.5.raw'!I956</f>
        <v/>
      </c>
      <c r="C956" s="24" t="str">
        <f>datevalue(left('3.5.raw'!K956,10))</f>
        <v>#VALUE!</v>
      </c>
      <c r="D956" s="23" t="str">
        <f>'3.5.raw'!H956</f>
        <v/>
      </c>
      <c r="E956" s="1">
        <v>3.5</v>
      </c>
      <c r="F956" s="23" t="b">
        <f>if(countif(Status!C:C,A956)=1,TRUE, FALSE)</f>
        <v>0</v>
      </c>
      <c r="H956" s="23" t="str">
        <f>IFERROR(__xludf.DUMMYFUNCTION("IFs(REGEXMATCH(I956, ""NOT""), 0, REGEXMATCH(I956, ""NO""), 0, REGEXMATCH(I956, ""TURBID""),1, COUNTBLANK(I956),"""", istext(I956),"""")"),"")</f>
        <v/>
      </c>
      <c r="I956" s="23" t="str">
        <f>'3.5.raw'!R956</f>
        <v/>
      </c>
    </row>
    <row r="957">
      <c r="A957" s="23" t="str">
        <f t="shared" si="21"/>
        <v/>
      </c>
      <c r="B957" s="23" t="str">
        <f>'3.5.raw'!I957</f>
        <v/>
      </c>
      <c r="C957" s="24" t="str">
        <f>datevalue(left('3.5.raw'!K957,10))</f>
        <v>#VALUE!</v>
      </c>
      <c r="D957" s="23" t="str">
        <f>'3.5.raw'!H957</f>
        <v/>
      </c>
      <c r="E957" s="1">
        <v>3.5</v>
      </c>
      <c r="F957" s="23" t="b">
        <f>if(countif(Status!C:C,A957)=1,TRUE, FALSE)</f>
        <v>0</v>
      </c>
      <c r="H957" s="23" t="str">
        <f>IFERROR(__xludf.DUMMYFUNCTION("IFs(REGEXMATCH(I957, ""NOT""), 0, REGEXMATCH(I957, ""NO""), 0, REGEXMATCH(I957, ""TURBID""),1, COUNTBLANK(I957),"""", istext(I957),"""")"),"")</f>
        <v/>
      </c>
      <c r="I957" s="23" t="str">
        <f>'3.5.raw'!R957</f>
        <v/>
      </c>
    </row>
    <row r="958">
      <c r="A958" s="23" t="str">
        <f t="shared" si="21"/>
        <v/>
      </c>
      <c r="B958" s="23" t="str">
        <f>'3.5.raw'!I958</f>
        <v/>
      </c>
      <c r="C958" s="24" t="str">
        <f>datevalue(left('3.5.raw'!K958,10))</f>
        <v>#VALUE!</v>
      </c>
      <c r="D958" s="23" t="str">
        <f>'3.5.raw'!H958</f>
        <v/>
      </c>
      <c r="E958" s="1">
        <v>3.5</v>
      </c>
      <c r="F958" s="23" t="b">
        <f>if(countif(Status!C:C,A958)=1,TRUE, FALSE)</f>
        <v>0</v>
      </c>
      <c r="H958" s="23" t="str">
        <f>IFERROR(__xludf.DUMMYFUNCTION("IFs(REGEXMATCH(I958, ""NOT""), 0, REGEXMATCH(I958, ""NO""), 0, REGEXMATCH(I958, ""TURBID""),1, COUNTBLANK(I958),"""", istext(I958),"""")"),"")</f>
        <v/>
      </c>
      <c r="I958" s="23" t="str">
        <f>'3.5.raw'!R958</f>
        <v/>
      </c>
    </row>
    <row r="959">
      <c r="A959" s="23" t="str">
        <f t="shared" si="21"/>
        <v/>
      </c>
      <c r="B959" s="23" t="str">
        <f>'3.5.raw'!I959</f>
        <v/>
      </c>
      <c r="C959" s="24" t="str">
        <f>datevalue(left('3.5.raw'!K959,10))</f>
        <v>#VALUE!</v>
      </c>
      <c r="D959" s="23" t="str">
        <f>'3.5.raw'!H959</f>
        <v/>
      </c>
      <c r="E959" s="1">
        <v>3.5</v>
      </c>
      <c r="F959" s="23" t="b">
        <f>if(countif(Status!C:C,A959)=1,TRUE, FALSE)</f>
        <v>0</v>
      </c>
      <c r="H959" s="23" t="str">
        <f>IFERROR(__xludf.DUMMYFUNCTION("IFs(REGEXMATCH(I959, ""NOT""), 0, REGEXMATCH(I959, ""NO""), 0, REGEXMATCH(I959, ""TURBID""),1, COUNTBLANK(I959),"""", istext(I959),"""")"),"")</f>
        <v/>
      </c>
      <c r="I959" s="23" t="str">
        <f>'3.5.raw'!R959</f>
        <v/>
      </c>
    </row>
    <row r="960">
      <c r="A960" s="23" t="str">
        <f t="shared" si="21"/>
        <v/>
      </c>
      <c r="B960" s="23" t="str">
        <f>'3.5.raw'!I960</f>
        <v/>
      </c>
      <c r="C960" s="24" t="str">
        <f>datevalue(left('3.5.raw'!K960,10))</f>
        <v>#VALUE!</v>
      </c>
      <c r="D960" s="23" t="str">
        <f>'3.5.raw'!H960</f>
        <v/>
      </c>
      <c r="E960" s="1">
        <v>3.5</v>
      </c>
      <c r="F960" s="23" t="b">
        <f>if(countif(Status!C:C,A960)=1,TRUE, FALSE)</f>
        <v>0</v>
      </c>
      <c r="H960" s="23" t="str">
        <f>IFERROR(__xludf.DUMMYFUNCTION("IFs(REGEXMATCH(I960, ""NOT""), 0, REGEXMATCH(I960, ""NO""), 0, REGEXMATCH(I960, ""TURBID""),1, COUNTBLANK(I960),"""", istext(I960),"""")"),"")</f>
        <v/>
      </c>
      <c r="I960" s="23" t="str">
        <f>'3.5.raw'!R960</f>
        <v/>
      </c>
    </row>
    <row r="961">
      <c r="A961" s="23" t="str">
        <f t="shared" si="21"/>
        <v/>
      </c>
      <c r="B961" s="23" t="str">
        <f>'3.5.raw'!I961</f>
        <v/>
      </c>
      <c r="C961" s="24" t="str">
        <f>datevalue(left('3.5.raw'!K961,10))</f>
        <v>#VALUE!</v>
      </c>
      <c r="D961" s="23" t="str">
        <f>'3.5.raw'!H961</f>
        <v/>
      </c>
      <c r="E961" s="1">
        <v>3.5</v>
      </c>
      <c r="F961" s="23" t="b">
        <f>if(countif(Status!C:C,A961)=1,TRUE, FALSE)</f>
        <v>0</v>
      </c>
      <c r="H961" s="23" t="str">
        <f>IFERROR(__xludf.DUMMYFUNCTION("IFs(REGEXMATCH(I961, ""NOT""), 0, REGEXMATCH(I961, ""NO""), 0, REGEXMATCH(I961, ""TURBID""),1, COUNTBLANK(I961),"""", istext(I961),"""")"),"")</f>
        <v/>
      </c>
      <c r="I961" s="23" t="str">
        <f>'3.5.raw'!R961</f>
        <v/>
      </c>
    </row>
    <row r="962">
      <c r="A962" s="23" t="str">
        <f t="shared" si="21"/>
        <v/>
      </c>
      <c r="B962" s="23" t="str">
        <f>'3.5.raw'!I962</f>
        <v/>
      </c>
      <c r="C962" s="24" t="str">
        <f>datevalue(left('3.5.raw'!K962,10))</f>
        <v>#VALUE!</v>
      </c>
      <c r="D962" s="23" t="str">
        <f>'3.5.raw'!H962</f>
        <v/>
      </c>
      <c r="E962" s="1">
        <v>3.5</v>
      </c>
      <c r="F962" s="23" t="b">
        <f>if(countif(Status!C:C,A962)=1,TRUE, FALSE)</f>
        <v>0</v>
      </c>
      <c r="H962" s="23" t="str">
        <f>IFERROR(__xludf.DUMMYFUNCTION("IFs(REGEXMATCH(I962, ""NOT""), 0, REGEXMATCH(I962, ""NO""), 0, REGEXMATCH(I962, ""TURBID""),1, COUNTBLANK(I962),"""", istext(I962),"""")"),"")</f>
        <v/>
      </c>
      <c r="I962" s="23" t="str">
        <f>'3.5.raw'!R962</f>
        <v/>
      </c>
    </row>
    <row r="963">
      <c r="A963" s="23" t="str">
        <f t="shared" si="21"/>
        <v/>
      </c>
      <c r="B963" s="23" t="str">
        <f>'3.5.raw'!I963</f>
        <v/>
      </c>
      <c r="C963" s="24" t="str">
        <f>datevalue(left('3.5.raw'!K963,10))</f>
        <v>#VALUE!</v>
      </c>
      <c r="D963" s="23" t="str">
        <f>'3.5.raw'!H963</f>
        <v/>
      </c>
      <c r="E963" s="1">
        <v>3.5</v>
      </c>
      <c r="F963" s="23" t="b">
        <f>if(countif(Status!C:C,A963)=1,TRUE, FALSE)</f>
        <v>0</v>
      </c>
      <c r="H963" s="23" t="str">
        <f>IFERROR(__xludf.DUMMYFUNCTION("IFs(REGEXMATCH(I963, ""NOT""), 0, REGEXMATCH(I963, ""NO""), 0, REGEXMATCH(I963, ""TURBID""),1, COUNTBLANK(I963),"""", istext(I963),"""")"),"")</f>
        <v/>
      </c>
      <c r="I963" s="23" t="str">
        <f>'3.5.raw'!R963</f>
        <v/>
      </c>
    </row>
    <row r="964">
      <c r="A964" s="23" t="str">
        <f t="shared" si="21"/>
        <v/>
      </c>
      <c r="B964" s="23" t="str">
        <f>'3.5.raw'!I964</f>
        <v/>
      </c>
      <c r="C964" s="24" t="str">
        <f>datevalue(left('3.5.raw'!K964,10))</f>
        <v>#VALUE!</v>
      </c>
      <c r="D964" s="23" t="str">
        <f>'3.5.raw'!H964</f>
        <v/>
      </c>
      <c r="E964" s="1">
        <v>3.5</v>
      </c>
      <c r="F964" s="23" t="b">
        <f>if(countif(Status!C:C,A964)=1,TRUE, FALSE)</f>
        <v>0</v>
      </c>
      <c r="H964" s="23" t="str">
        <f>IFERROR(__xludf.DUMMYFUNCTION("IFs(REGEXMATCH(I964, ""NOT""), 0, REGEXMATCH(I964, ""NO""), 0, REGEXMATCH(I964, ""TURBID""),1, COUNTBLANK(I964),"""", istext(I964),"""")"),"")</f>
        <v/>
      </c>
      <c r="I964" s="23" t="str">
        <f>'3.5.raw'!R964</f>
        <v/>
      </c>
    </row>
    <row r="965">
      <c r="A965" s="23" t="str">
        <f t="shared" si="21"/>
        <v/>
      </c>
      <c r="B965" s="23" t="str">
        <f>'3.5.raw'!I965</f>
        <v/>
      </c>
      <c r="C965" s="24" t="str">
        <f>datevalue(left('3.5.raw'!K965,10))</f>
        <v>#VALUE!</v>
      </c>
      <c r="D965" s="23" t="str">
        <f>'3.5.raw'!H965</f>
        <v/>
      </c>
      <c r="E965" s="1">
        <v>3.5</v>
      </c>
      <c r="F965" s="23" t="b">
        <f>if(countif(Status!C:C,A965)=1,TRUE, FALSE)</f>
        <v>0</v>
      </c>
      <c r="H965" s="23" t="str">
        <f>IFERROR(__xludf.DUMMYFUNCTION("IFs(REGEXMATCH(I965, ""NOT""), 0, REGEXMATCH(I965, ""NO""), 0, REGEXMATCH(I965, ""TURBID""),1, COUNTBLANK(I965),"""", istext(I965),"""")"),"")</f>
        <v/>
      </c>
      <c r="I965" s="23" t="str">
        <f>'3.5.raw'!R965</f>
        <v/>
      </c>
    </row>
    <row r="966">
      <c r="A966" s="23" t="str">
        <f t="shared" si="21"/>
        <v/>
      </c>
      <c r="B966" s="23" t="str">
        <f>'3.5.raw'!I966</f>
        <v/>
      </c>
      <c r="C966" s="24" t="str">
        <f>datevalue(left('3.5.raw'!K966,10))</f>
        <v>#VALUE!</v>
      </c>
      <c r="D966" s="23" t="str">
        <f>'3.5.raw'!H966</f>
        <v/>
      </c>
      <c r="E966" s="1">
        <v>3.5</v>
      </c>
      <c r="F966" s="23" t="b">
        <f>if(countif(Status!C:C,A966)=1,TRUE, FALSE)</f>
        <v>0</v>
      </c>
      <c r="H966" s="23" t="str">
        <f>IFERROR(__xludf.DUMMYFUNCTION("IFs(REGEXMATCH(I966, ""NOT""), 0, REGEXMATCH(I966, ""NO""), 0, REGEXMATCH(I966, ""TURBID""),1, COUNTBLANK(I966),"""", istext(I966),"""")"),"")</f>
        <v/>
      </c>
      <c r="I966" s="23" t="str">
        <f>'3.5.raw'!R966</f>
        <v/>
      </c>
    </row>
    <row r="967">
      <c r="A967" s="23" t="str">
        <f t="shared" si="21"/>
        <v/>
      </c>
      <c r="B967" s="23" t="str">
        <f>'3.5.raw'!I967</f>
        <v/>
      </c>
      <c r="C967" s="24" t="str">
        <f>datevalue(left('3.5.raw'!K967,10))</f>
        <v>#VALUE!</v>
      </c>
      <c r="D967" s="23" t="str">
        <f>'3.5.raw'!H967</f>
        <v/>
      </c>
      <c r="E967" s="1">
        <v>3.5</v>
      </c>
      <c r="F967" s="23" t="b">
        <f>if(countif(Status!C:C,A967)=1,TRUE, FALSE)</f>
        <v>0</v>
      </c>
      <c r="H967" s="23" t="str">
        <f>IFERROR(__xludf.DUMMYFUNCTION("IFs(REGEXMATCH(I967, ""NOT""), 0, REGEXMATCH(I967, ""NO""), 0, REGEXMATCH(I967, ""TURBID""),1, COUNTBLANK(I967),"""", istext(I967),"""")"),"")</f>
        <v/>
      </c>
      <c r="I967" s="23" t="str">
        <f>'3.5.raw'!R967</f>
        <v/>
      </c>
    </row>
    <row r="968">
      <c r="A968" s="23" t="str">
        <f t="shared" si="21"/>
        <v/>
      </c>
      <c r="B968" s="23" t="str">
        <f>'3.5.raw'!I968</f>
        <v/>
      </c>
      <c r="C968" s="24" t="str">
        <f>datevalue(left('3.5.raw'!K968,10))</f>
        <v>#VALUE!</v>
      </c>
      <c r="D968" s="23" t="str">
        <f>'3.5.raw'!H968</f>
        <v/>
      </c>
      <c r="E968" s="1">
        <v>3.5</v>
      </c>
      <c r="F968" s="23" t="b">
        <f>if(countif(Status!C:C,A968)=1,TRUE, FALSE)</f>
        <v>0</v>
      </c>
      <c r="H968" s="23" t="str">
        <f>IFERROR(__xludf.DUMMYFUNCTION("IFs(REGEXMATCH(I968, ""NOT""), 0, REGEXMATCH(I968, ""NO""), 0, REGEXMATCH(I968, ""TURBID""),1, COUNTBLANK(I968),"""", istext(I968),"""")"),"")</f>
        <v/>
      </c>
      <c r="I968" s="23" t="str">
        <f>'3.5.raw'!R968</f>
        <v/>
      </c>
    </row>
    <row r="969">
      <c r="A969" s="23" t="str">
        <f t="shared" si="21"/>
        <v/>
      </c>
      <c r="B969" s="23" t="str">
        <f>'3.5.raw'!I969</f>
        <v/>
      </c>
      <c r="C969" s="24" t="str">
        <f>datevalue(left('3.5.raw'!K969,10))</f>
        <v>#VALUE!</v>
      </c>
      <c r="D969" s="23" t="str">
        <f>'3.5.raw'!H969</f>
        <v/>
      </c>
      <c r="E969" s="1">
        <v>3.5</v>
      </c>
      <c r="F969" s="23" t="b">
        <f>if(countif(Status!C:C,A969)=1,TRUE, FALSE)</f>
        <v>0</v>
      </c>
      <c r="H969" s="23" t="str">
        <f>IFERROR(__xludf.DUMMYFUNCTION("IFs(REGEXMATCH(I969, ""NOT""), 0, REGEXMATCH(I969, ""NO""), 0, REGEXMATCH(I969, ""TURBID""),1, COUNTBLANK(I969),"""", istext(I969),"""")"),"")</f>
        <v/>
      </c>
      <c r="I969" s="23" t="str">
        <f>'3.5.raw'!R969</f>
        <v/>
      </c>
    </row>
    <row r="970">
      <c r="A970" s="23" t="str">
        <f t="shared" si="21"/>
        <v/>
      </c>
      <c r="B970" s="23" t="str">
        <f>'3.5.raw'!I970</f>
        <v/>
      </c>
      <c r="C970" s="24" t="str">
        <f>datevalue(left('3.5.raw'!K970,10))</f>
        <v>#VALUE!</v>
      </c>
      <c r="D970" s="23" t="str">
        <f>'3.5.raw'!H970</f>
        <v/>
      </c>
      <c r="E970" s="1">
        <v>3.5</v>
      </c>
      <c r="F970" s="23" t="b">
        <f>if(countif(Status!C:C,A970)=1,TRUE, FALSE)</f>
        <v>0</v>
      </c>
      <c r="H970" s="23" t="str">
        <f>IFERROR(__xludf.DUMMYFUNCTION("IFs(REGEXMATCH(I970, ""NOT""), 0, REGEXMATCH(I970, ""NO""), 0, REGEXMATCH(I970, ""TURBID""),1, COUNTBLANK(I970),"""", istext(I970),"""")"),"")</f>
        <v/>
      </c>
      <c r="I970" s="23" t="str">
        <f>'3.5.raw'!R970</f>
        <v/>
      </c>
    </row>
    <row r="971">
      <c r="A971" s="23" t="str">
        <f t="shared" si="21"/>
        <v/>
      </c>
      <c r="B971" s="23" t="str">
        <f>'3.5.raw'!I971</f>
        <v/>
      </c>
      <c r="C971" s="24" t="str">
        <f>datevalue(left('3.5.raw'!K971,10))</f>
        <v>#VALUE!</v>
      </c>
      <c r="D971" s="23" t="str">
        <f>'3.5.raw'!H971</f>
        <v/>
      </c>
      <c r="E971" s="1">
        <v>3.5</v>
      </c>
      <c r="F971" s="23" t="b">
        <f>if(countif(Status!C:C,A971)=1,TRUE, FALSE)</f>
        <v>0</v>
      </c>
      <c r="H971" s="23" t="str">
        <f>IFERROR(__xludf.DUMMYFUNCTION("IFs(REGEXMATCH(I971, ""NOT""), 0, REGEXMATCH(I971, ""NO""), 0, REGEXMATCH(I971, ""TURBID""),1, COUNTBLANK(I971),"""", istext(I971),"""")"),"")</f>
        <v/>
      </c>
      <c r="I971" s="23" t="str">
        <f>'3.5.raw'!R971</f>
        <v/>
      </c>
    </row>
    <row r="972">
      <c r="A972" s="23" t="str">
        <f t="shared" si="21"/>
        <v/>
      </c>
      <c r="B972" s="23" t="str">
        <f>'3.5.raw'!I972</f>
        <v/>
      </c>
      <c r="C972" s="24" t="str">
        <f>datevalue(left('3.5.raw'!K972,10))</f>
        <v>#VALUE!</v>
      </c>
      <c r="D972" s="23" t="str">
        <f>'3.5.raw'!H972</f>
        <v/>
      </c>
      <c r="E972" s="1">
        <v>3.5</v>
      </c>
      <c r="F972" s="23" t="b">
        <f>if(countif(Status!C:C,A972)=1,TRUE, FALSE)</f>
        <v>0</v>
      </c>
      <c r="H972" s="23" t="str">
        <f>IFERROR(__xludf.DUMMYFUNCTION("IFs(REGEXMATCH(I972, ""NOT""), 0, REGEXMATCH(I972, ""NO""), 0, REGEXMATCH(I972, ""TURBID""),1, COUNTBLANK(I972),"""", istext(I972),"""")"),"")</f>
        <v/>
      </c>
      <c r="I972" s="23" t="str">
        <f>'3.5.raw'!R972</f>
        <v/>
      </c>
    </row>
    <row r="973">
      <c r="A973" s="23" t="str">
        <f t="shared" si="21"/>
        <v/>
      </c>
      <c r="B973" s="23" t="str">
        <f>'3.5.raw'!I973</f>
        <v/>
      </c>
      <c r="C973" s="24" t="str">
        <f>datevalue(left('3.5.raw'!K973,10))</f>
        <v>#VALUE!</v>
      </c>
      <c r="D973" s="23" t="str">
        <f>'3.5.raw'!H973</f>
        <v/>
      </c>
      <c r="E973" s="1">
        <v>3.5</v>
      </c>
      <c r="F973" s="23" t="b">
        <f>if(countif(Status!C:C,A973)=1,TRUE, FALSE)</f>
        <v>0</v>
      </c>
      <c r="H973" s="23" t="str">
        <f>IFERROR(__xludf.DUMMYFUNCTION("IFs(REGEXMATCH(I973, ""NOT""), 0, REGEXMATCH(I973, ""NO""), 0, REGEXMATCH(I973, ""TURBID""),1, COUNTBLANK(I973),"""", istext(I973),"""")"),"")</f>
        <v/>
      </c>
      <c r="I973" s="23" t="str">
        <f>'3.5.raw'!R973</f>
        <v/>
      </c>
    </row>
    <row r="974">
      <c r="A974" s="23" t="str">
        <f t="shared" si="21"/>
        <v/>
      </c>
      <c r="B974" s="23" t="str">
        <f>'3.5.raw'!I974</f>
        <v/>
      </c>
      <c r="C974" s="24" t="str">
        <f>datevalue(left('3.5.raw'!K974,10))</f>
        <v>#VALUE!</v>
      </c>
      <c r="D974" s="23" t="str">
        <f>'3.5.raw'!H974</f>
        <v/>
      </c>
      <c r="E974" s="1">
        <v>3.5</v>
      </c>
      <c r="F974" s="23" t="b">
        <f>if(countif(Status!C:C,A974)=1,TRUE, FALSE)</f>
        <v>0</v>
      </c>
      <c r="H974" s="23" t="str">
        <f>IFERROR(__xludf.DUMMYFUNCTION("IFs(REGEXMATCH(I974, ""NOT""), 0, REGEXMATCH(I974, ""NO""), 0, REGEXMATCH(I974, ""TURBID""),1, COUNTBLANK(I974),"""", istext(I974),"""")"),"")</f>
        <v/>
      </c>
      <c r="I974" s="23" t="str">
        <f>'3.5.raw'!R974</f>
        <v/>
      </c>
    </row>
    <row r="975">
      <c r="A975" s="23" t="str">
        <f t="shared" si="21"/>
        <v/>
      </c>
      <c r="B975" s="23" t="str">
        <f>'3.5.raw'!I975</f>
        <v/>
      </c>
      <c r="C975" s="24" t="str">
        <f>datevalue(left('3.5.raw'!K975,10))</f>
        <v>#VALUE!</v>
      </c>
      <c r="D975" s="23" t="str">
        <f>'3.5.raw'!H975</f>
        <v/>
      </c>
      <c r="E975" s="1">
        <v>3.5</v>
      </c>
      <c r="F975" s="23" t="b">
        <f>if(countif(Status!C:C,A975)=1,TRUE, FALSE)</f>
        <v>0</v>
      </c>
      <c r="H975" s="23" t="str">
        <f>IFERROR(__xludf.DUMMYFUNCTION("IFs(REGEXMATCH(I975, ""NOT""), 0, REGEXMATCH(I975, ""NO""), 0, REGEXMATCH(I975, ""TURBID""),1, COUNTBLANK(I975),"""", istext(I975),"""")"),"")</f>
        <v/>
      </c>
      <c r="I975" s="23" t="str">
        <f>'3.5.raw'!R975</f>
        <v/>
      </c>
    </row>
    <row r="976">
      <c r="A976" s="23" t="str">
        <f t="shared" si="21"/>
        <v/>
      </c>
      <c r="B976" s="23" t="str">
        <f>'3.5.raw'!I976</f>
        <v/>
      </c>
      <c r="C976" s="24" t="str">
        <f>datevalue(left('3.5.raw'!K976,10))</f>
        <v>#VALUE!</v>
      </c>
      <c r="D976" s="23" t="str">
        <f>'3.5.raw'!H976</f>
        <v/>
      </c>
      <c r="E976" s="1">
        <v>3.5</v>
      </c>
      <c r="F976" s="23" t="b">
        <f>if(countif(Status!C:C,A976)=1,TRUE, FALSE)</f>
        <v>0</v>
      </c>
      <c r="H976" s="23" t="str">
        <f>IFERROR(__xludf.DUMMYFUNCTION("IFs(REGEXMATCH(I976, ""NOT""), 0, REGEXMATCH(I976, ""NO""), 0, REGEXMATCH(I976, ""TURBID""),1, COUNTBLANK(I976),"""", istext(I976),"""")"),"")</f>
        <v/>
      </c>
      <c r="I976" s="23" t="str">
        <f>'3.5.raw'!R976</f>
        <v/>
      </c>
    </row>
    <row r="977">
      <c r="A977" s="23" t="str">
        <f t="shared" si="21"/>
        <v/>
      </c>
      <c r="B977" s="23" t="str">
        <f>'3.5.raw'!I977</f>
        <v/>
      </c>
      <c r="C977" s="24" t="str">
        <f>datevalue(left('3.5.raw'!K977,10))</f>
        <v>#VALUE!</v>
      </c>
      <c r="D977" s="23" t="str">
        <f>'3.5.raw'!H977</f>
        <v/>
      </c>
      <c r="E977" s="1">
        <v>3.5</v>
      </c>
      <c r="F977" s="23" t="b">
        <f>if(countif(Status!C:C,A977)=1,TRUE, FALSE)</f>
        <v>0</v>
      </c>
      <c r="H977" s="23" t="str">
        <f>IFERROR(__xludf.DUMMYFUNCTION("IFs(REGEXMATCH(I977, ""NOT""), 0, REGEXMATCH(I977, ""NO""), 0, REGEXMATCH(I977, ""TURBID""),1, COUNTBLANK(I977),"""", istext(I977),"""")"),"")</f>
        <v/>
      </c>
      <c r="I977" s="23" t="str">
        <f>'3.5.raw'!R977</f>
        <v/>
      </c>
    </row>
    <row r="978">
      <c r="A978" s="23" t="str">
        <f t="shared" si="21"/>
        <v/>
      </c>
      <c r="B978" s="23" t="str">
        <f>'3.5.raw'!I978</f>
        <v/>
      </c>
      <c r="C978" s="24" t="str">
        <f>datevalue(left('3.5.raw'!K978,10))</f>
        <v>#VALUE!</v>
      </c>
      <c r="D978" s="23" t="str">
        <f>'3.5.raw'!H978</f>
        <v/>
      </c>
      <c r="E978" s="1">
        <v>3.5</v>
      </c>
      <c r="F978" s="23" t="b">
        <f>if(countif(Status!C:C,A978)=1,TRUE, FALSE)</f>
        <v>0</v>
      </c>
      <c r="H978" s="23" t="str">
        <f>IFERROR(__xludf.DUMMYFUNCTION("IFs(REGEXMATCH(I978, ""NOT""), 0, REGEXMATCH(I978, ""NO""), 0, REGEXMATCH(I978, ""TURBID""),1, COUNTBLANK(I978),"""", istext(I978),"""")"),"")</f>
        <v/>
      </c>
      <c r="I978" s="23" t="str">
        <f>'3.5.raw'!R978</f>
        <v/>
      </c>
    </row>
    <row r="979">
      <c r="A979" s="23" t="str">
        <f t="shared" si="21"/>
        <v/>
      </c>
      <c r="B979" s="23" t="str">
        <f>'3.5.raw'!I979</f>
        <v/>
      </c>
      <c r="C979" s="24" t="str">
        <f>datevalue(left('3.5.raw'!K979,10))</f>
        <v>#VALUE!</v>
      </c>
      <c r="D979" s="23" t="str">
        <f>'3.5.raw'!H979</f>
        <v/>
      </c>
      <c r="E979" s="1">
        <v>3.5</v>
      </c>
      <c r="F979" s="23" t="b">
        <f>if(countif(Status!C:C,A979)=1,TRUE, FALSE)</f>
        <v>0</v>
      </c>
      <c r="H979" s="23" t="str">
        <f>IFERROR(__xludf.DUMMYFUNCTION("IFs(REGEXMATCH(I979, ""NOT""), 0, REGEXMATCH(I979, ""NO""), 0, REGEXMATCH(I979, ""TURBID""),1, COUNTBLANK(I979),"""", istext(I979),"""")"),"")</f>
        <v/>
      </c>
      <c r="I979" s="23" t="str">
        <f>'3.5.raw'!R979</f>
        <v/>
      </c>
    </row>
    <row r="980">
      <c r="A980" s="23" t="str">
        <f t="shared" si="21"/>
        <v/>
      </c>
      <c r="B980" s="23" t="str">
        <f>'3.5.raw'!I980</f>
        <v/>
      </c>
      <c r="C980" s="24" t="str">
        <f>datevalue(left('3.5.raw'!K980,10))</f>
        <v>#VALUE!</v>
      </c>
      <c r="D980" s="23" t="str">
        <f>'3.5.raw'!H980</f>
        <v/>
      </c>
      <c r="E980" s="1">
        <v>3.5</v>
      </c>
      <c r="F980" s="23" t="b">
        <f>if(countif(Status!C:C,A980)=1,TRUE, FALSE)</f>
        <v>0</v>
      </c>
      <c r="H980" s="23" t="str">
        <f>IFERROR(__xludf.DUMMYFUNCTION("IFs(REGEXMATCH(I980, ""NOT""), 0, REGEXMATCH(I980, ""NO""), 0, REGEXMATCH(I980, ""TURBID""),1, COUNTBLANK(I980),"""", istext(I980),"""")"),"")</f>
        <v/>
      </c>
      <c r="I980" s="23" t="str">
        <f>'3.5.raw'!R980</f>
        <v/>
      </c>
    </row>
    <row r="981">
      <c r="A981" s="23" t="str">
        <f t="shared" si="21"/>
        <v/>
      </c>
      <c r="B981" s="23" t="str">
        <f>'3.5.raw'!I981</f>
        <v/>
      </c>
      <c r="C981" s="24" t="str">
        <f>datevalue(left('3.5.raw'!K981,10))</f>
        <v>#VALUE!</v>
      </c>
      <c r="D981" s="23" t="str">
        <f>'3.5.raw'!H981</f>
        <v/>
      </c>
      <c r="E981" s="1">
        <v>3.5</v>
      </c>
      <c r="F981" s="23" t="b">
        <f>if(countif(Status!C:C,A981)=1,TRUE, FALSE)</f>
        <v>0</v>
      </c>
      <c r="H981" s="23" t="str">
        <f>IFERROR(__xludf.DUMMYFUNCTION("IFs(REGEXMATCH(I981, ""NOT""), 0, REGEXMATCH(I981, ""NO""), 0, REGEXMATCH(I981, ""TURBID""),1, COUNTBLANK(I981),"""", istext(I981),"""")"),"")</f>
        <v/>
      </c>
      <c r="I981" s="23" t="str">
        <f>'3.5.raw'!R981</f>
        <v/>
      </c>
    </row>
    <row r="982">
      <c r="A982" s="23" t="str">
        <f t="shared" si="21"/>
        <v/>
      </c>
      <c r="B982" s="23" t="str">
        <f>'3.5.raw'!I982</f>
        <v/>
      </c>
      <c r="C982" s="24" t="str">
        <f>datevalue(left('3.5.raw'!K982,10))</f>
        <v>#VALUE!</v>
      </c>
      <c r="D982" s="23" t="str">
        <f>'3.5.raw'!H982</f>
        <v/>
      </c>
      <c r="E982" s="1">
        <v>3.5</v>
      </c>
      <c r="F982" s="23" t="b">
        <f>if(countif(Status!C:C,A982)=1,TRUE, FALSE)</f>
        <v>0</v>
      </c>
      <c r="H982" s="23" t="str">
        <f>IFERROR(__xludf.DUMMYFUNCTION("IFs(REGEXMATCH(I982, ""NOT""), 0, REGEXMATCH(I982, ""NO""), 0, REGEXMATCH(I982, ""TURBID""),1, COUNTBLANK(I982),"""", istext(I982),"""")"),"")</f>
        <v/>
      </c>
      <c r="I982" s="23" t="str">
        <f>'3.5.raw'!R982</f>
        <v/>
      </c>
    </row>
    <row r="983">
      <c r="A983" s="23" t="str">
        <f t="shared" si="21"/>
        <v/>
      </c>
      <c r="B983" s="23" t="str">
        <f>'3.5.raw'!I983</f>
        <v/>
      </c>
      <c r="C983" s="24" t="str">
        <f>datevalue(left('3.5.raw'!K983,10))</f>
        <v>#VALUE!</v>
      </c>
      <c r="D983" s="23" t="str">
        <f>'3.5.raw'!H983</f>
        <v/>
      </c>
      <c r="E983" s="1">
        <v>3.5</v>
      </c>
      <c r="F983" s="23" t="b">
        <f>if(countif(Status!C:C,A983)=1,TRUE, FALSE)</f>
        <v>0</v>
      </c>
      <c r="H983" s="23" t="str">
        <f>IFERROR(__xludf.DUMMYFUNCTION("IFs(REGEXMATCH(I983, ""NOT""), 0, REGEXMATCH(I983, ""NO""), 0, REGEXMATCH(I983, ""TURBID""),1, COUNTBLANK(I983),"""", istext(I983),"""")"),"")</f>
        <v/>
      </c>
      <c r="I983" s="23" t="str">
        <f>'3.5.raw'!R983</f>
        <v/>
      </c>
    </row>
    <row r="984">
      <c r="A984" s="23" t="str">
        <f t="shared" si="21"/>
        <v/>
      </c>
      <c r="B984" s="23" t="str">
        <f>'3.5.raw'!I984</f>
        <v/>
      </c>
      <c r="C984" s="24" t="str">
        <f>datevalue(left('3.5.raw'!K984,10))</f>
        <v>#VALUE!</v>
      </c>
      <c r="D984" s="23" t="str">
        <f>'3.5.raw'!H984</f>
        <v/>
      </c>
      <c r="E984" s="1">
        <v>3.5</v>
      </c>
      <c r="F984" s="23" t="b">
        <f>if(countif(Status!C:C,A984)=1,TRUE, FALSE)</f>
        <v>0</v>
      </c>
      <c r="H984" s="23" t="str">
        <f>IFERROR(__xludf.DUMMYFUNCTION("IFs(REGEXMATCH(I984, ""NOT""), 0, REGEXMATCH(I984, ""NO""), 0, REGEXMATCH(I984, ""TURBID""),1, COUNTBLANK(I984),"""", istext(I984),"""")"),"")</f>
        <v/>
      </c>
      <c r="I984" s="23" t="str">
        <f>'3.5.raw'!R984</f>
        <v/>
      </c>
    </row>
    <row r="985">
      <c r="A985" s="23" t="str">
        <f t="shared" si="21"/>
        <v/>
      </c>
      <c r="B985" s="23" t="str">
        <f>'3.5.raw'!I985</f>
        <v/>
      </c>
      <c r="C985" s="24" t="str">
        <f>datevalue(left('3.5.raw'!K985,10))</f>
        <v>#VALUE!</v>
      </c>
      <c r="D985" s="23" t="str">
        <f>'3.5.raw'!H985</f>
        <v/>
      </c>
      <c r="E985" s="1">
        <v>3.5</v>
      </c>
      <c r="F985" s="23" t="b">
        <f>if(countif(Status!C:C,A985)=1,TRUE, FALSE)</f>
        <v>0</v>
      </c>
      <c r="H985" s="23" t="str">
        <f>IFERROR(__xludf.DUMMYFUNCTION("IFs(REGEXMATCH(I985, ""NOT""), 0, REGEXMATCH(I985, ""NO""), 0, REGEXMATCH(I985, ""TURBID""),1, COUNTBLANK(I985),"""", istext(I985),"""")"),"")</f>
        <v/>
      </c>
      <c r="I985" s="23" t="str">
        <f>'3.5.raw'!R985</f>
        <v/>
      </c>
    </row>
    <row r="986">
      <c r="A986" s="23" t="str">
        <f t="shared" si="21"/>
        <v/>
      </c>
      <c r="B986" s="23" t="str">
        <f>'3.5.raw'!I986</f>
        <v/>
      </c>
      <c r="C986" s="24" t="str">
        <f>datevalue(left('3.5.raw'!K986,10))</f>
        <v>#VALUE!</v>
      </c>
      <c r="D986" s="23" t="str">
        <f>'3.5.raw'!H986</f>
        <v/>
      </c>
      <c r="E986" s="1">
        <v>3.5</v>
      </c>
      <c r="F986" s="23" t="b">
        <f>if(countif(Status!C:C,A986)=1,TRUE, FALSE)</f>
        <v>0</v>
      </c>
      <c r="H986" s="23" t="str">
        <f>IFERROR(__xludf.DUMMYFUNCTION("IFs(REGEXMATCH(I986, ""NOT""), 0, REGEXMATCH(I986, ""NO""), 0, REGEXMATCH(I986, ""TURBID""),1, COUNTBLANK(I986),"""", istext(I986),"""")"),"")</f>
        <v/>
      </c>
      <c r="I986" s="23" t="str">
        <f>'3.5.raw'!R986</f>
        <v/>
      </c>
    </row>
    <row r="987">
      <c r="A987" s="23" t="str">
        <f t="shared" si="21"/>
        <v/>
      </c>
      <c r="B987" s="23" t="str">
        <f>'3.5.raw'!I987</f>
        <v/>
      </c>
      <c r="C987" s="24" t="str">
        <f>datevalue(left('3.5.raw'!K987,10))</f>
        <v>#VALUE!</v>
      </c>
      <c r="D987" s="23" t="str">
        <f>'3.5.raw'!H987</f>
        <v/>
      </c>
      <c r="E987" s="1">
        <v>3.5</v>
      </c>
      <c r="F987" s="23" t="b">
        <f>if(countif(Status!C:C,A987)=1,TRUE, FALSE)</f>
        <v>0</v>
      </c>
      <c r="H987" s="23" t="str">
        <f>IFERROR(__xludf.DUMMYFUNCTION("IFs(REGEXMATCH(I987, ""NOT""), 0, REGEXMATCH(I987, ""NO""), 0, REGEXMATCH(I987, ""TURBID""),1, COUNTBLANK(I987),"""", istext(I987),"""")"),"")</f>
        <v/>
      </c>
      <c r="I987" s="23" t="str">
        <f>'3.5.raw'!R987</f>
        <v/>
      </c>
    </row>
    <row r="988">
      <c r="A988" s="23" t="str">
        <f t="shared" si="21"/>
        <v/>
      </c>
      <c r="B988" s="23" t="str">
        <f>'3.5.raw'!I988</f>
        <v/>
      </c>
      <c r="C988" s="24" t="str">
        <f>datevalue(left('3.5.raw'!K988,10))</f>
        <v>#VALUE!</v>
      </c>
      <c r="D988" s="23" t="str">
        <f>'3.5.raw'!H988</f>
        <v/>
      </c>
      <c r="E988" s="1">
        <v>3.5</v>
      </c>
      <c r="F988" s="23" t="b">
        <f>if(countif(Status!C:C,A988)=1,TRUE, FALSE)</f>
        <v>0</v>
      </c>
      <c r="H988" s="23" t="str">
        <f>IFERROR(__xludf.DUMMYFUNCTION("IFs(REGEXMATCH(I988, ""NOT""), 0, REGEXMATCH(I988, ""NO""), 0, REGEXMATCH(I988, ""TURBID""),1, COUNTBLANK(I988),"""", istext(I988),"""")"),"")</f>
        <v/>
      </c>
      <c r="I988" s="23" t="str">
        <f>'3.5.raw'!R988</f>
        <v/>
      </c>
    </row>
    <row r="989">
      <c r="A989" s="23" t="str">
        <f t="shared" si="21"/>
        <v/>
      </c>
      <c r="B989" s="23" t="str">
        <f>'3.5.raw'!I989</f>
        <v/>
      </c>
      <c r="C989" s="24" t="str">
        <f>datevalue(left('3.5.raw'!K989,10))</f>
        <v>#VALUE!</v>
      </c>
      <c r="D989" s="23" t="str">
        <f>'3.5.raw'!H989</f>
        <v/>
      </c>
      <c r="E989" s="1">
        <v>3.5</v>
      </c>
      <c r="F989" s="23" t="b">
        <f>if(countif(Status!C:C,A989)=1,TRUE, FALSE)</f>
        <v>0</v>
      </c>
      <c r="H989" s="23" t="str">
        <f>IFERROR(__xludf.DUMMYFUNCTION("IFs(REGEXMATCH(I989, ""NOT""), 0, REGEXMATCH(I989, ""NO""), 0, REGEXMATCH(I989, ""TURBID""),1, COUNTBLANK(I989),"""", istext(I989),"""")"),"")</f>
        <v/>
      </c>
      <c r="I989" s="23" t="str">
        <f>'3.5.raw'!R989</f>
        <v/>
      </c>
    </row>
    <row r="990">
      <c r="A990" s="23" t="str">
        <f t="shared" si="21"/>
        <v/>
      </c>
      <c r="B990" s="23" t="str">
        <f>'3.5.raw'!I990</f>
        <v/>
      </c>
      <c r="C990" s="24" t="str">
        <f>datevalue(left('3.5.raw'!K990,10))</f>
        <v>#VALUE!</v>
      </c>
      <c r="D990" s="23" t="str">
        <f>'3.5.raw'!H990</f>
        <v/>
      </c>
      <c r="E990" s="1">
        <v>3.5</v>
      </c>
      <c r="F990" s="23" t="b">
        <f>if(countif(Status!C:C,A990)=1,TRUE, FALSE)</f>
        <v>0</v>
      </c>
      <c r="H990" s="23" t="str">
        <f>IFERROR(__xludf.DUMMYFUNCTION("IFs(REGEXMATCH(I990, ""NOT""), 0, REGEXMATCH(I990, ""NO""), 0, REGEXMATCH(I990, ""TURBID""),1, COUNTBLANK(I990),"""", istext(I990),"""")"),"")</f>
        <v/>
      </c>
      <c r="I990" s="23" t="str">
        <f>'3.5.raw'!R990</f>
        <v/>
      </c>
    </row>
    <row r="991">
      <c r="A991" s="23" t="str">
        <f t="shared" si="21"/>
        <v/>
      </c>
      <c r="B991" s="23" t="str">
        <f>'3.5.raw'!I991</f>
        <v/>
      </c>
      <c r="C991" s="24" t="str">
        <f>datevalue(left('3.5.raw'!K991,10))</f>
        <v>#VALUE!</v>
      </c>
      <c r="D991" s="23" t="str">
        <f>'3.5.raw'!H991</f>
        <v/>
      </c>
      <c r="E991" s="1">
        <v>3.5</v>
      </c>
      <c r="F991" s="23" t="b">
        <f>if(countif(Status!C:C,A991)=1,TRUE, FALSE)</f>
        <v>0</v>
      </c>
      <c r="H991" s="23" t="str">
        <f>IFERROR(__xludf.DUMMYFUNCTION("IFs(REGEXMATCH(I991, ""NOT""), 0, REGEXMATCH(I991, ""NO""), 0, REGEXMATCH(I991, ""TURBID""),1, COUNTBLANK(I991),"""", istext(I991),"""")"),"")</f>
        <v/>
      </c>
      <c r="I991" s="23" t="str">
        <f>'3.5.raw'!R991</f>
        <v/>
      </c>
    </row>
    <row r="992">
      <c r="A992" s="23" t="str">
        <f t="shared" si="21"/>
        <v/>
      </c>
      <c r="B992" s="23" t="str">
        <f>'3.5.raw'!I992</f>
        <v/>
      </c>
      <c r="C992" s="24" t="str">
        <f>datevalue(left('3.5.raw'!K992,10))</f>
        <v>#VALUE!</v>
      </c>
      <c r="D992" s="23" t="str">
        <f>'3.5.raw'!H992</f>
        <v/>
      </c>
      <c r="E992" s="1">
        <v>3.5</v>
      </c>
      <c r="F992" s="23" t="b">
        <f>if(countif(Status!C:C,A992)=1,TRUE, FALSE)</f>
        <v>0</v>
      </c>
      <c r="H992" s="23" t="str">
        <f>IFERROR(__xludf.DUMMYFUNCTION("IFs(REGEXMATCH(I992, ""NOT""), 0, REGEXMATCH(I992, ""NO""), 0, REGEXMATCH(I992, ""TURBID""),1, COUNTBLANK(I992),"""", istext(I992),"""")"),"")</f>
        <v/>
      </c>
      <c r="I992" s="23" t="str">
        <f>'3.5.raw'!R992</f>
        <v/>
      </c>
    </row>
    <row r="993">
      <c r="C993" s="24"/>
      <c r="E993" s="1"/>
      <c r="F993" s="23" t="b">
        <v>0</v>
      </c>
    </row>
    <row r="994">
      <c r="C994" s="24"/>
      <c r="E994" s="1"/>
      <c r="F994" s="23" t="b">
        <v>0</v>
      </c>
    </row>
    <row r="995">
      <c r="C995" s="24"/>
      <c r="E995" s="1"/>
      <c r="F995" s="23" t="b">
        <v>0</v>
      </c>
    </row>
    <row r="996">
      <c r="C996" s="24"/>
      <c r="E996" s="1"/>
      <c r="F996" s="23" t="b">
        <v>0</v>
      </c>
    </row>
    <row r="997">
      <c r="C997" s="24"/>
      <c r="E997" s="1"/>
      <c r="F997" s="23" t="b">
        <v>0</v>
      </c>
    </row>
    <row r="998">
      <c r="C998" s="24"/>
      <c r="E998" s="1"/>
      <c r="F998" s="23" t="b">
        <v>0</v>
      </c>
    </row>
    <row r="999">
      <c r="C999" s="24"/>
      <c r="E999" s="1"/>
      <c r="F999" s="23" t="b">
        <v>0</v>
      </c>
    </row>
    <row r="1000">
      <c r="C1000" s="24"/>
      <c r="E1000" s="1"/>
      <c r="F1000" s="23" t="b">
        <v>0</v>
      </c>
    </row>
    <row r="1001">
      <c r="C1001" s="24"/>
      <c r="E1001" s="1"/>
      <c r="F1001" s="23" t="b">
        <v>0</v>
      </c>
    </row>
    <row r="1002">
      <c r="C1002" s="24"/>
      <c r="E1002" s="1"/>
      <c r="F1002" s="23" t="b">
        <v>0</v>
      </c>
    </row>
    <row r="1003">
      <c r="C1003" s="24"/>
      <c r="E1003" s="1"/>
      <c r="F1003" s="23" t="b">
        <v>0</v>
      </c>
    </row>
    <row r="1004">
      <c r="C1004" s="24"/>
      <c r="E1004" s="1"/>
      <c r="F1004" s="23" t="b">
        <v>0</v>
      </c>
    </row>
    <row r="1005">
      <c r="C1005" s="24"/>
      <c r="E1005" s="1"/>
      <c r="F1005" s="23" t="b">
        <v>0</v>
      </c>
    </row>
    <row r="1006">
      <c r="C1006" s="24"/>
      <c r="E1006" s="1"/>
      <c r="F1006" s="23" t="b">
        <v>0</v>
      </c>
    </row>
    <row r="1007">
      <c r="C1007" s="24"/>
      <c r="E1007" s="1"/>
      <c r="F1007" s="23" t="b">
        <v>0</v>
      </c>
    </row>
    <row r="1008">
      <c r="C1008" s="24"/>
      <c r="E1008" s="1"/>
      <c r="F1008" s="23" t="b">
        <v>0</v>
      </c>
    </row>
    <row r="1009">
      <c r="C1009" s="24"/>
      <c r="E1009" s="1"/>
      <c r="F1009" s="23" t="b">
        <v>0</v>
      </c>
    </row>
    <row r="1010">
      <c r="C1010" s="24"/>
      <c r="E1010" s="1"/>
      <c r="F1010" s="23" t="b">
        <v>0</v>
      </c>
    </row>
    <row r="1011">
      <c r="C1011" s="24"/>
      <c r="E1011" s="1"/>
      <c r="F1011" s="23" t="b">
        <v>0</v>
      </c>
    </row>
    <row r="1012">
      <c r="C1012" s="24"/>
      <c r="E1012" s="1"/>
      <c r="F1012" s="23" t="b">
        <v>0</v>
      </c>
    </row>
    <row r="1013">
      <c r="C1013" s="24"/>
      <c r="E1013" s="1"/>
      <c r="F1013" s="23" t="b">
        <v>0</v>
      </c>
    </row>
    <row r="1014">
      <c r="C1014" s="24"/>
      <c r="E1014" s="1"/>
      <c r="F1014" s="23" t="b">
        <v>0</v>
      </c>
    </row>
    <row r="1015">
      <c r="C1015" s="24"/>
      <c r="E1015" s="1"/>
      <c r="F1015" s="23" t="b">
        <v>0</v>
      </c>
    </row>
    <row r="1016">
      <c r="C1016" s="24"/>
      <c r="E1016" s="1"/>
      <c r="F1016" s="23" t="b">
        <v>0</v>
      </c>
    </row>
    <row r="1017">
      <c r="C1017" s="24"/>
      <c r="E1017" s="1"/>
      <c r="F1017" s="23" t="b">
        <v>0</v>
      </c>
    </row>
    <row r="1018">
      <c r="C1018" s="24"/>
      <c r="E1018" s="1"/>
      <c r="F1018" s="23" t="b">
        <v>0</v>
      </c>
    </row>
    <row r="1019">
      <c r="C1019" s="24"/>
      <c r="E1019" s="1"/>
      <c r="F1019" s="23" t="b">
        <v>0</v>
      </c>
    </row>
    <row r="1020">
      <c r="C1020" s="24"/>
      <c r="E1020" s="1"/>
      <c r="F1020" s="23" t="b">
        <v>0</v>
      </c>
    </row>
    <row r="1021">
      <c r="C1021" s="24"/>
      <c r="E1021" s="1"/>
      <c r="F1021" s="23" t="b">
        <v>0</v>
      </c>
    </row>
    <row r="1022">
      <c r="C1022" s="24"/>
      <c r="E1022" s="1"/>
      <c r="F1022" s="23" t="b">
        <v>0</v>
      </c>
    </row>
    <row r="1023">
      <c r="C1023" s="24"/>
      <c r="E1023" s="1"/>
      <c r="F1023" s="23" t="b">
        <v>0</v>
      </c>
    </row>
    <row r="1024">
      <c r="C1024" s="24"/>
      <c r="E1024" s="1"/>
      <c r="F1024" s="23" t="b">
        <v>0</v>
      </c>
    </row>
    <row r="1025">
      <c r="C1025" s="24"/>
      <c r="E1025" s="1"/>
      <c r="F1025" s="23" t="b">
        <v>0</v>
      </c>
    </row>
    <row r="1026">
      <c r="C1026" s="24"/>
      <c r="E1026" s="1"/>
      <c r="F1026" s="23" t="b">
        <v>0</v>
      </c>
    </row>
    <row r="1027">
      <c r="C1027" s="24"/>
      <c r="E1027" s="1"/>
      <c r="F1027" s="23" t="b">
        <v>0</v>
      </c>
    </row>
    <row r="1028">
      <c r="C1028" s="24"/>
      <c r="E1028" s="1"/>
      <c r="F1028" s="23" t="b">
        <v>0</v>
      </c>
    </row>
    <row r="1029">
      <c r="C1029" s="24"/>
      <c r="E1029" s="1"/>
      <c r="F1029" s="23" t="b">
        <v>0</v>
      </c>
    </row>
    <row r="1030">
      <c r="C1030" s="24"/>
      <c r="E1030" s="1"/>
      <c r="F1030" s="23" t="b">
        <v>0</v>
      </c>
    </row>
    <row r="1031">
      <c r="C1031" s="24"/>
      <c r="E1031" s="1"/>
      <c r="F1031" s="23" t="b">
        <v>0</v>
      </c>
    </row>
    <row r="1032">
      <c r="C1032" s="24"/>
      <c r="E1032" s="1"/>
      <c r="F1032" s="23" t="b">
        <v>0</v>
      </c>
    </row>
    <row r="1033">
      <c r="C1033" s="24"/>
      <c r="E1033" s="1"/>
      <c r="F1033" s="23" t="b">
        <v>0</v>
      </c>
    </row>
    <row r="1034">
      <c r="C1034" s="24"/>
      <c r="E1034" s="1"/>
      <c r="F1034" s="23" t="b">
        <v>0</v>
      </c>
    </row>
    <row r="1035">
      <c r="C1035" s="24"/>
      <c r="E1035" s="1"/>
      <c r="F1035" s="23" t="b">
        <v>0</v>
      </c>
    </row>
    <row r="1036">
      <c r="C1036" s="24"/>
      <c r="E1036" s="1"/>
      <c r="F1036" s="23" t="b">
        <v>0</v>
      </c>
    </row>
    <row r="1037">
      <c r="C1037" s="24"/>
      <c r="E1037" s="1"/>
      <c r="F1037" s="23" t="b">
        <v>0</v>
      </c>
    </row>
    <row r="1038">
      <c r="C1038" s="24"/>
      <c r="E1038" s="1"/>
      <c r="F1038" s="23" t="b">
        <v>0</v>
      </c>
    </row>
    <row r="1039">
      <c r="C1039" s="24"/>
      <c r="E1039" s="1"/>
      <c r="F1039" s="23" t="b">
        <v>0</v>
      </c>
    </row>
    <row r="1040">
      <c r="C1040" s="24"/>
      <c r="E1040" s="1"/>
      <c r="F1040" s="23" t="b">
        <v>0</v>
      </c>
    </row>
    <row r="1041">
      <c r="C1041" s="24"/>
      <c r="E1041" s="1"/>
      <c r="F1041" s="23" t="b">
        <v>0</v>
      </c>
    </row>
    <row r="1042">
      <c r="C1042" s="24"/>
      <c r="E1042" s="1"/>
      <c r="F1042" s="23" t="b">
        <v>0</v>
      </c>
    </row>
    <row r="1043">
      <c r="C1043" s="24"/>
      <c r="E1043" s="1"/>
      <c r="F1043" s="23" t="b">
        <v>0</v>
      </c>
    </row>
    <row r="1044">
      <c r="C1044" s="24"/>
      <c r="E1044" s="1"/>
      <c r="F1044" s="23" t="b">
        <v>0</v>
      </c>
    </row>
    <row r="1045">
      <c r="C1045" s="24"/>
      <c r="E1045" s="1"/>
      <c r="F1045" s="23" t="b">
        <v>0</v>
      </c>
    </row>
    <row r="1046">
      <c r="C1046" s="24"/>
      <c r="E1046" s="1"/>
      <c r="F1046" s="23" t="b">
        <v>0</v>
      </c>
    </row>
    <row r="1047">
      <c r="C1047" s="24"/>
      <c r="E1047" s="1"/>
      <c r="F1047" s="23" t="b">
        <v>0</v>
      </c>
    </row>
    <row r="1048">
      <c r="C1048" s="24"/>
      <c r="E1048" s="1"/>
      <c r="F1048" s="23" t="b">
        <v>0</v>
      </c>
    </row>
    <row r="1049">
      <c r="C1049" s="24"/>
      <c r="E1049" s="1"/>
      <c r="F1049" s="23" t="b">
        <v>0</v>
      </c>
    </row>
    <row r="1050">
      <c r="C1050" s="24"/>
      <c r="E1050" s="1"/>
      <c r="F1050" s="23" t="b">
        <v>0</v>
      </c>
    </row>
    <row r="1051">
      <c r="C1051" s="24"/>
      <c r="E1051" s="1"/>
      <c r="F1051" s="23" t="b">
        <v>0</v>
      </c>
    </row>
    <row r="1052">
      <c r="C1052" s="24"/>
      <c r="E1052" s="1"/>
      <c r="F1052" s="23" t="b">
        <v>0</v>
      </c>
    </row>
    <row r="1053">
      <c r="C1053" s="24"/>
      <c r="E1053" s="1"/>
      <c r="F1053" s="23" t="b">
        <v>0</v>
      </c>
    </row>
    <row r="1054">
      <c r="C1054" s="24"/>
      <c r="E1054" s="1"/>
      <c r="F1054" s="23" t="b">
        <v>0</v>
      </c>
    </row>
    <row r="1055">
      <c r="C1055" s="24"/>
      <c r="E1055" s="1"/>
      <c r="F1055" s="23" t="b">
        <v>0</v>
      </c>
    </row>
    <row r="1056">
      <c r="C1056" s="24"/>
      <c r="E1056" s="1"/>
      <c r="F1056" s="23" t="b">
        <v>0</v>
      </c>
    </row>
    <row r="1057">
      <c r="C1057" s="24"/>
      <c r="E1057" s="1"/>
      <c r="F1057" s="23" t="b">
        <v>0</v>
      </c>
    </row>
    <row r="1058">
      <c r="C1058" s="24"/>
      <c r="E1058" s="1"/>
      <c r="F1058" s="23" t="b">
        <v>0</v>
      </c>
    </row>
    <row r="1059">
      <c r="C1059" s="24"/>
      <c r="E1059" s="1"/>
      <c r="F1059" s="23" t="b">
        <v>0</v>
      </c>
    </row>
    <row r="1060">
      <c r="C1060" s="24"/>
      <c r="E1060" s="1"/>
      <c r="F1060" s="23" t="b">
        <v>0</v>
      </c>
    </row>
    <row r="1061">
      <c r="C1061" s="24"/>
      <c r="E1061" s="1"/>
      <c r="F1061" s="23" t="b">
        <v>0</v>
      </c>
    </row>
    <row r="1062">
      <c r="C1062" s="24"/>
      <c r="E1062" s="1"/>
      <c r="F1062" s="23" t="b">
        <v>0</v>
      </c>
    </row>
    <row r="1063">
      <c r="C1063" s="24"/>
      <c r="E1063" s="1"/>
      <c r="F1063" s="23" t="b">
        <v>0</v>
      </c>
    </row>
    <row r="1064">
      <c r="C1064" s="24"/>
      <c r="E1064" s="1"/>
      <c r="F1064" s="23" t="b">
        <v>0</v>
      </c>
    </row>
    <row r="1065">
      <c r="C1065" s="24"/>
      <c r="E1065" s="1"/>
      <c r="F1065" s="23" t="b">
        <v>0</v>
      </c>
    </row>
    <row r="1066">
      <c r="C1066" s="24"/>
      <c r="E1066" s="1"/>
      <c r="F1066" s="23" t="b">
        <v>0</v>
      </c>
    </row>
    <row r="1067">
      <c r="C1067" s="24"/>
      <c r="E1067" s="1"/>
      <c r="F1067" s="23" t="b">
        <v>0</v>
      </c>
    </row>
    <row r="1068">
      <c r="C1068" s="24"/>
      <c r="E1068" s="1"/>
      <c r="F1068" s="23" t="b">
        <v>0</v>
      </c>
    </row>
    <row r="1069">
      <c r="C1069" s="24"/>
      <c r="E1069" s="1"/>
      <c r="F1069" s="23" t="b">
        <v>0</v>
      </c>
    </row>
    <row r="1070">
      <c r="C1070" s="24"/>
      <c r="E1070" s="1"/>
      <c r="F1070" s="23" t="b">
        <v>0</v>
      </c>
    </row>
    <row r="1071">
      <c r="C1071" s="24"/>
      <c r="E1071" s="1"/>
      <c r="F1071" s="23" t="b">
        <v>0</v>
      </c>
    </row>
    <row r="1072">
      <c r="C1072" s="24"/>
      <c r="E1072" s="1"/>
      <c r="F1072" s="23" t="b">
        <v>0</v>
      </c>
    </row>
    <row r="1073">
      <c r="C1073" s="24"/>
      <c r="E1073" s="1"/>
      <c r="F1073" s="23" t="b">
        <v>0</v>
      </c>
    </row>
    <row r="1074">
      <c r="C1074" s="24"/>
      <c r="E1074" s="1"/>
      <c r="F1074" s="23" t="b">
        <v>0</v>
      </c>
    </row>
    <row r="1075">
      <c r="C1075" s="24"/>
      <c r="E1075" s="1"/>
      <c r="F1075" s="23" t="b">
        <v>0</v>
      </c>
    </row>
    <row r="1076">
      <c r="C1076" s="24"/>
      <c r="E1076" s="1"/>
      <c r="F1076" s="23" t="b">
        <v>0</v>
      </c>
    </row>
    <row r="1077">
      <c r="C1077" s="24"/>
      <c r="E1077" s="1"/>
      <c r="F1077" s="23" t="b">
        <v>0</v>
      </c>
    </row>
    <row r="1078">
      <c r="C1078" s="24"/>
      <c r="E1078" s="1"/>
      <c r="F1078" s="23" t="b">
        <v>0</v>
      </c>
    </row>
    <row r="1079">
      <c r="C1079" s="24"/>
      <c r="E1079" s="1"/>
      <c r="F1079" s="23" t="b">
        <v>0</v>
      </c>
    </row>
    <row r="1080">
      <c r="C1080" s="24"/>
      <c r="E1080" s="1"/>
      <c r="F1080" s="23" t="b">
        <v>0</v>
      </c>
    </row>
    <row r="1081">
      <c r="C1081" s="24"/>
      <c r="E1081" s="1"/>
      <c r="F1081" s="23" t="b">
        <v>0</v>
      </c>
    </row>
    <row r="1082">
      <c r="C1082" s="24"/>
      <c r="E1082" s="1"/>
      <c r="F1082" s="23" t="b">
        <v>0</v>
      </c>
    </row>
    <row r="1083">
      <c r="C1083" s="24"/>
      <c r="E1083" s="1"/>
      <c r="F1083" s="23" t="b">
        <v>0</v>
      </c>
    </row>
    <row r="1084">
      <c r="C1084" s="24"/>
      <c r="E1084" s="1"/>
      <c r="F1084" s="23" t="b">
        <v>0</v>
      </c>
    </row>
    <row r="1085">
      <c r="C1085" s="24"/>
      <c r="E1085" s="1"/>
      <c r="F1085" s="23" t="b">
        <v>0</v>
      </c>
    </row>
    <row r="1086">
      <c r="C1086" s="24"/>
      <c r="E1086" s="1"/>
      <c r="F1086" s="23" t="b">
        <v>0</v>
      </c>
    </row>
    <row r="1087">
      <c r="C1087" s="24"/>
      <c r="E1087" s="1"/>
      <c r="F1087" s="23" t="b">
        <v>0</v>
      </c>
    </row>
    <row r="1088">
      <c r="C1088" s="24"/>
      <c r="E1088" s="1"/>
      <c r="F1088" s="23" t="b">
        <v>0</v>
      </c>
    </row>
    <row r="1089">
      <c r="C1089" s="24"/>
      <c r="E1089" s="1"/>
      <c r="F1089" s="23" t="b">
        <v>0</v>
      </c>
    </row>
    <row r="1090">
      <c r="C1090" s="24"/>
      <c r="E1090" s="1"/>
      <c r="F1090" s="23" t="b">
        <v>0</v>
      </c>
    </row>
    <row r="1091">
      <c r="C1091" s="24"/>
      <c r="E1091" s="1"/>
      <c r="F1091" s="23" t="b">
        <v>0</v>
      </c>
    </row>
    <row r="1092">
      <c r="C1092" s="24"/>
      <c r="E1092" s="1"/>
      <c r="F1092" s="23" t="b">
        <v>0</v>
      </c>
    </row>
    <row r="1093">
      <c r="C1093" s="24"/>
      <c r="E1093" s="1"/>
      <c r="F1093" s="23" t="b">
        <v>0</v>
      </c>
    </row>
    <row r="1094">
      <c r="C1094" s="24"/>
      <c r="E1094" s="1"/>
      <c r="F1094" s="23" t="b">
        <v>0</v>
      </c>
    </row>
    <row r="1095">
      <c r="C1095" s="24"/>
      <c r="E1095" s="1"/>
      <c r="F1095" s="23" t="b">
        <v>0</v>
      </c>
    </row>
    <row r="1096">
      <c r="C1096" s="24"/>
      <c r="E1096" s="1"/>
      <c r="F1096" s="23" t="b">
        <v>0</v>
      </c>
    </row>
    <row r="1097">
      <c r="C1097" s="24"/>
      <c r="E1097" s="1"/>
      <c r="F1097" s="23" t="b">
        <v>0</v>
      </c>
    </row>
    <row r="1098">
      <c r="C1098" s="24"/>
      <c r="E1098" s="1"/>
      <c r="F1098" s="23" t="b">
        <v>0</v>
      </c>
    </row>
    <row r="1099">
      <c r="C1099" s="24"/>
      <c r="E1099" s="1"/>
      <c r="F1099" s="23" t="b">
        <v>0</v>
      </c>
    </row>
    <row r="1100">
      <c r="C1100" s="24"/>
      <c r="E1100" s="1"/>
      <c r="F1100" s="23" t="b">
        <v>0</v>
      </c>
    </row>
    <row r="1101">
      <c r="C1101" s="24"/>
      <c r="E1101" s="1"/>
      <c r="F1101" s="23" t="b">
        <v>0</v>
      </c>
    </row>
    <row r="1102">
      <c r="C1102" s="24"/>
      <c r="E1102" s="1"/>
      <c r="F1102" s="23" t="b">
        <v>0</v>
      </c>
    </row>
    <row r="1103">
      <c r="C1103" s="24"/>
      <c r="E1103" s="1"/>
      <c r="F1103" s="23" t="b">
        <v>0</v>
      </c>
    </row>
    <row r="1104">
      <c r="C1104" s="24"/>
      <c r="E1104" s="1"/>
      <c r="F1104" s="23" t="b">
        <v>0</v>
      </c>
    </row>
    <row r="1105">
      <c r="C1105" s="24"/>
      <c r="E1105" s="1"/>
      <c r="F1105" s="23" t="b">
        <v>0</v>
      </c>
    </row>
    <row r="1106">
      <c r="C1106" s="24"/>
      <c r="E1106" s="1"/>
      <c r="F1106" s="23" t="b">
        <v>0</v>
      </c>
    </row>
    <row r="1107">
      <c r="C1107" s="24"/>
      <c r="E1107" s="1"/>
      <c r="F1107" s="23" t="b">
        <v>0</v>
      </c>
    </row>
    <row r="1108">
      <c r="C1108" s="24"/>
      <c r="E1108" s="1"/>
      <c r="F1108" s="23" t="b">
        <v>0</v>
      </c>
    </row>
    <row r="1109">
      <c r="C1109" s="24"/>
      <c r="E1109" s="1"/>
      <c r="F1109" s="23" t="b">
        <v>0</v>
      </c>
    </row>
    <row r="1110">
      <c r="C1110" s="24"/>
      <c r="E1110" s="1"/>
      <c r="F1110" s="23" t="b">
        <v>0</v>
      </c>
    </row>
    <row r="1111">
      <c r="C1111" s="24"/>
      <c r="E1111" s="1"/>
      <c r="F1111" s="23" t="b">
        <v>0</v>
      </c>
    </row>
    <row r="1112">
      <c r="C1112" s="24"/>
      <c r="E1112" s="1"/>
      <c r="F1112" s="23" t="b">
        <v>0</v>
      </c>
    </row>
    <row r="1113">
      <c r="C1113" s="24"/>
      <c r="E1113" s="1"/>
      <c r="F1113" s="23" t="b">
        <v>0</v>
      </c>
    </row>
    <row r="1114">
      <c r="C1114" s="24"/>
      <c r="E1114" s="1"/>
      <c r="F1114" s="23" t="b">
        <v>0</v>
      </c>
    </row>
    <row r="1115">
      <c r="C1115" s="24"/>
      <c r="E1115" s="1"/>
      <c r="F1115" s="23" t="b">
        <v>0</v>
      </c>
    </row>
    <row r="1116">
      <c r="C1116" s="24"/>
      <c r="E1116" s="1"/>
      <c r="F1116" s="23" t="b">
        <v>0</v>
      </c>
    </row>
    <row r="1117">
      <c r="C1117" s="24"/>
      <c r="E1117" s="1"/>
      <c r="F1117" s="23" t="b">
        <v>0</v>
      </c>
    </row>
    <row r="1118">
      <c r="C1118" s="24"/>
      <c r="E1118" s="1"/>
      <c r="F1118" s="23" t="b">
        <v>0</v>
      </c>
    </row>
    <row r="1119">
      <c r="C1119" s="24"/>
      <c r="E1119" s="1"/>
      <c r="F1119" s="23" t="b">
        <v>0</v>
      </c>
    </row>
    <row r="1120">
      <c r="C1120" s="24"/>
      <c r="E1120" s="1"/>
      <c r="F1120" s="23" t="b">
        <v>0</v>
      </c>
    </row>
    <row r="1121">
      <c r="C1121" s="24"/>
      <c r="E1121" s="1"/>
      <c r="F1121" s="23" t="b">
        <v>0</v>
      </c>
    </row>
    <row r="1122">
      <c r="C1122" s="24"/>
      <c r="E1122" s="1"/>
      <c r="F1122" s="23" t="b">
        <v>0</v>
      </c>
    </row>
    <row r="1123">
      <c r="C1123" s="24"/>
      <c r="E1123" s="1"/>
      <c r="F1123" s="23" t="b">
        <v>0</v>
      </c>
    </row>
    <row r="1124">
      <c r="C1124" s="24"/>
      <c r="E1124" s="1"/>
      <c r="F1124" s="23" t="b">
        <v>0</v>
      </c>
    </row>
    <row r="1125">
      <c r="C1125" s="24"/>
      <c r="E1125" s="1"/>
      <c r="F1125" s="23" t="b">
        <v>0</v>
      </c>
    </row>
    <row r="1126">
      <c r="C1126" s="24"/>
      <c r="E1126" s="1"/>
      <c r="F1126" s="23" t="b">
        <v>0</v>
      </c>
    </row>
    <row r="1127">
      <c r="C1127" s="24"/>
      <c r="E1127" s="1"/>
      <c r="F1127" s="23" t="b">
        <v>0</v>
      </c>
    </row>
    <row r="1128">
      <c r="C1128" s="24"/>
      <c r="E1128" s="1"/>
      <c r="F1128" s="23" t="b">
        <v>0</v>
      </c>
    </row>
    <row r="1129">
      <c r="C1129" s="24"/>
      <c r="E1129" s="1"/>
      <c r="F1129" s="23" t="b">
        <v>0</v>
      </c>
    </row>
    <row r="1130">
      <c r="C1130" s="24"/>
      <c r="E1130" s="1"/>
      <c r="F1130" s="23" t="b">
        <v>0</v>
      </c>
    </row>
    <row r="1131">
      <c r="C1131" s="24"/>
      <c r="E1131" s="1"/>
      <c r="F1131" s="23" t="b">
        <v>0</v>
      </c>
    </row>
    <row r="1132">
      <c r="C1132" s="24"/>
      <c r="E1132" s="1"/>
      <c r="F1132" s="23" t="b">
        <v>0</v>
      </c>
    </row>
    <row r="1133">
      <c r="C1133" s="24"/>
      <c r="E1133" s="1"/>
      <c r="F1133" s="23" t="b">
        <v>0</v>
      </c>
    </row>
    <row r="1134">
      <c r="C1134" s="24"/>
      <c r="E1134" s="1"/>
      <c r="F1134" s="23" t="b">
        <v>0</v>
      </c>
    </row>
    <row r="1135">
      <c r="C1135" s="24"/>
      <c r="E1135" s="1"/>
      <c r="F1135" s="23" t="b">
        <v>0</v>
      </c>
    </row>
    <row r="1136">
      <c r="C1136" s="24"/>
      <c r="E1136" s="1"/>
      <c r="F1136" s="23" t="b">
        <v>0</v>
      </c>
    </row>
    <row r="1137">
      <c r="C1137" s="24"/>
      <c r="E1137" s="1"/>
      <c r="F1137" s="23" t="b">
        <v>0</v>
      </c>
    </row>
    <row r="1138">
      <c r="C1138" s="24"/>
      <c r="E1138" s="1"/>
      <c r="F1138" s="23" t="b">
        <v>0</v>
      </c>
    </row>
    <row r="1139">
      <c r="C1139" s="24"/>
      <c r="E1139" s="1"/>
      <c r="F1139" s="23" t="b">
        <v>0</v>
      </c>
    </row>
    <row r="1140">
      <c r="C1140" s="24"/>
      <c r="E1140" s="1"/>
      <c r="F1140" s="23" t="b">
        <v>0</v>
      </c>
    </row>
    <row r="1141">
      <c r="C1141" s="24"/>
      <c r="E1141" s="1"/>
      <c r="F1141" s="23" t="b">
        <v>0</v>
      </c>
    </row>
    <row r="1142">
      <c r="C1142" s="24"/>
      <c r="E1142" s="1"/>
      <c r="F1142" s="23" t="b">
        <v>0</v>
      </c>
    </row>
    <row r="1143">
      <c r="C1143" s="24"/>
      <c r="E1143" s="1"/>
      <c r="F1143" s="23" t="b">
        <v>0</v>
      </c>
    </row>
    <row r="1144">
      <c r="C1144" s="24"/>
      <c r="E1144" s="1"/>
      <c r="F1144" s="23" t="b">
        <v>0</v>
      </c>
    </row>
    <row r="1145">
      <c r="C1145" s="24"/>
      <c r="E1145" s="1"/>
      <c r="F1145" s="23" t="b">
        <v>0</v>
      </c>
    </row>
    <row r="1146">
      <c r="C1146" s="24"/>
      <c r="E1146" s="1"/>
      <c r="F1146" s="23" t="b">
        <v>0</v>
      </c>
    </row>
    <row r="1147">
      <c r="C1147" s="24"/>
      <c r="E1147" s="1"/>
      <c r="F1147" s="23" t="b">
        <v>0</v>
      </c>
    </row>
    <row r="1148">
      <c r="C1148" s="24"/>
      <c r="E1148" s="1"/>
      <c r="F1148" s="23" t="b">
        <v>0</v>
      </c>
    </row>
    <row r="1149">
      <c r="C1149" s="24"/>
      <c r="E1149" s="1"/>
      <c r="F1149" s="23" t="b">
        <v>0</v>
      </c>
    </row>
    <row r="1150">
      <c r="C1150" s="24"/>
      <c r="E1150" s="1"/>
      <c r="F1150" s="23" t="b">
        <v>0</v>
      </c>
    </row>
    <row r="1151">
      <c r="C1151" s="24"/>
      <c r="E1151" s="1"/>
      <c r="F1151" s="23" t="b">
        <v>0</v>
      </c>
    </row>
    <row r="1152">
      <c r="C1152" s="24"/>
      <c r="E1152" s="1"/>
      <c r="F1152" s="23" t="b">
        <v>0</v>
      </c>
    </row>
    <row r="1153">
      <c r="C1153" s="24"/>
      <c r="E1153" s="1"/>
      <c r="F1153" s="23" t="b">
        <v>0</v>
      </c>
    </row>
    <row r="1154">
      <c r="C1154" s="24"/>
      <c r="E1154" s="1"/>
      <c r="F1154" s="23" t="b">
        <v>0</v>
      </c>
    </row>
    <row r="1155">
      <c r="C1155" s="24"/>
      <c r="E1155" s="1"/>
      <c r="F1155" s="23" t="b">
        <v>0</v>
      </c>
    </row>
    <row r="1156">
      <c r="C1156" s="24"/>
      <c r="E1156" s="1"/>
      <c r="F1156" s="23" t="b">
        <v>0</v>
      </c>
    </row>
    <row r="1157">
      <c r="C1157" s="24"/>
      <c r="E1157" s="1"/>
      <c r="F1157" s="23" t="b">
        <v>0</v>
      </c>
    </row>
    <row r="1158">
      <c r="C1158" s="24"/>
      <c r="E1158" s="1"/>
      <c r="F1158" s="23" t="b">
        <v>0</v>
      </c>
    </row>
    <row r="1159">
      <c r="C1159" s="24"/>
      <c r="E1159" s="1"/>
      <c r="F1159" s="23" t="b">
        <v>0</v>
      </c>
    </row>
    <row r="1160">
      <c r="C1160" s="24"/>
      <c r="E1160" s="1"/>
      <c r="F1160" s="23" t="b">
        <v>0</v>
      </c>
    </row>
    <row r="1161">
      <c r="C1161" s="24"/>
      <c r="E1161" s="1"/>
      <c r="F1161" s="23" t="b">
        <v>0</v>
      </c>
    </row>
    <row r="1162">
      <c r="C1162" s="24"/>
      <c r="E1162" s="1"/>
      <c r="F1162" s="23" t="b">
        <v>0</v>
      </c>
    </row>
    <row r="1163">
      <c r="C1163" s="24"/>
      <c r="E1163" s="1"/>
      <c r="F1163" s="23" t="b">
        <v>0</v>
      </c>
    </row>
    <row r="1164">
      <c r="C1164" s="24"/>
      <c r="E1164" s="1"/>
      <c r="F1164" s="23" t="b">
        <v>0</v>
      </c>
    </row>
    <row r="1165">
      <c r="C1165" s="24"/>
      <c r="E1165" s="1"/>
      <c r="F1165" s="23" t="b">
        <v>0</v>
      </c>
    </row>
    <row r="1166">
      <c r="C1166" s="24"/>
      <c r="E1166" s="1"/>
      <c r="F1166" s="23" t="b">
        <v>0</v>
      </c>
    </row>
    <row r="1167">
      <c r="C1167" s="24"/>
      <c r="E1167" s="1"/>
      <c r="F1167" s="23" t="b">
        <v>0</v>
      </c>
    </row>
    <row r="1168">
      <c r="C1168" s="24"/>
      <c r="E1168" s="1"/>
      <c r="F1168" s="23" t="b">
        <v>0</v>
      </c>
    </row>
    <row r="1169">
      <c r="C1169" s="24"/>
      <c r="E1169" s="1"/>
      <c r="F1169" s="23" t="b">
        <v>0</v>
      </c>
    </row>
    <row r="1170">
      <c r="C1170" s="24"/>
      <c r="E1170" s="1"/>
      <c r="F1170" s="23" t="b">
        <v>0</v>
      </c>
    </row>
    <row r="1171">
      <c r="C1171" s="24"/>
      <c r="E1171" s="1"/>
      <c r="F1171" s="23" t="b">
        <v>0</v>
      </c>
    </row>
    <row r="1172">
      <c r="C1172" s="24"/>
      <c r="E1172" s="1"/>
      <c r="F1172" s="23" t="b">
        <v>0</v>
      </c>
    </row>
    <row r="1173">
      <c r="C1173" s="24"/>
      <c r="E1173" s="1"/>
      <c r="F1173" s="23" t="b">
        <v>0</v>
      </c>
    </row>
    <row r="1174">
      <c r="C1174" s="24"/>
      <c r="E1174" s="1"/>
      <c r="F1174" s="23" t="b">
        <v>0</v>
      </c>
    </row>
    <row r="1175">
      <c r="C1175" s="24"/>
      <c r="E1175" s="1"/>
      <c r="F1175" s="23" t="b">
        <v>0</v>
      </c>
    </row>
    <row r="1176">
      <c r="C1176" s="24"/>
      <c r="E1176" s="1"/>
      <c r="F1176" s="23" t="b">
        <v>0</v>
      </c>
    </row>
    <row r="1177">
      <c r="C1177" s="24"/>
      <c r="E1177" s="1"/>
      <c r="F1177" s="23" t="b">
        <v>0</v>
      </c>
    </row>
    <row r="1178">
      <c r="C1178" s="24"/>
      <c r="E1178" s="1"/>
      <c r="F1178" s="23" t="b">
        <v>0</v>
      </c>
    </row>
    <row r="1179">
      <c r="C1179" s="24"/>
      <c r="E1179" s="1"/>
      <c r="F1179" s="23" t="b">
        <v>0</v>
      </c>
    </row>
    <row r="1180">
      <c r="C1180" s="24"/>
      <c r="E1180" s="1"/>
      <c r="F1180" s="23" t="b">
        <v>0</v>
      </c>
    </row>
    <row r="1181">
      <c r="C1181" s="24"/>
      <c r="E1181" s="1"/>
      <c r="F1181" s="23" t="b">
        <v>0</v>
      </c>
    </row>
    <row r="1182">
      <c r="C1182" s="24"/>
      <c r="E1182" s="1"/>
      <c r="F1182" s="23" t="b">
        <v>0</v>
      </c>
    </row>
    <row r="1183">
      <c r="C1183" s="24"/>
      <c r="E1183" s="1"/>
      <c r="F1183" s="23" t="b">
        <v>0</v>
      </c>
    </row>
    <row r="1184">
      <c r="C1184" s="24"/>
      <c r="E1184" s="1"/>
      <c r="F1184" s="23" t="b">
        <v>0</v>
      </c>
    </row>
    <row r="1185">
      <c r="C1185" s="24"/>
      <c r="E1185" s="1"/>
      <c r="F1185" s="23" t="b">
        <v>0</v>
      </c>
    </row>
    <row r="1186">
      <c r="C1186" s="24"/>
      <c r="E1186" s="1"/>
      <c r="F1186" s="23" t="b">
        <v>0</v>
      </c>
    </row>
    <row r="1187">
      <c r="C1187" s="24"/>
      <c r="E1187" s="1"/>
      <c r="F1187" s="23" t="b">
        <v>0</v>
      </c>
    </row>
    <row r="1188">
      <c r="C1188" s="24"/>
      <c r="E1188" s="1"/>
      <c r="F1188" s="23" t="b">
        <v>0</v>
      </c>
    </row>
    <row r="1189">
      <c r="C1189" s="24"/>
      <c r="E1189" s="1"/>
      <c r="F1189" s="23" t="b">
        <v>0</v>
      </c>
    </row>
    <row r="1190">
      <c r="C1190" s="24"/>
      <c r="E1190" s="1"/>
      <c r="F1190" s="23" t="b">
        <v>0</v>
      </c>
    </row>
    <row r="1191">
      <c r="C1191" s="24"/>
      <c r="E1191" s="1"/>
      <c r="F1191" s="23" t="b">
        <v>0</v>
      </c>
    </row>
    <row r="1192">
      <c r="C1192" s="24"/>
      <c r="E1192" s="1"/>
      <c r="F1192" s="23" t="b">
        <v>0</v>
      </c>
    </row>
    <row r="1193">
      <c r="C1193" s="24"/>
      <c r="E1193" s="1"/>
      <c r="F1193" s="23" t="b">
        <v>0</v>
      </c>
    </row>
    <row r="1194">
      <c r="C1194" s="24"/>
      <c r="E1194" s="1"/>
      <c r="F1194" s="23" t="b">
        <v>0</v>
      </c>
    </row>
    <row r="1195">
      <c r="C1195" s="24"/>
      <c r="E1195" s="1"/>
      <c r="F1195" s="23" t="b">
        <v>0</v>
      </c>
    </row>
    <row r="1196">
      <c r="C1196" s="24"/>
      <c r="E1196" s="1"/>
      <c r="F1196" s="23" t="b">
        <v>0</v>
      </c>
    </row>
    <row r="1197">
      <c r="C1197" s="24"/>
      <c r="E1197" s="1"/>
      <c r="F1197" s="23" t="b">
        <v>0</v>
      </c>
    </row>
    <row r="1198">
      <c r="C1198" s="24"/>
      <c r="E1198" s="1"/>
      <c r="F1198" s="23" t="b">
        <v>0</v>
      </c>
    </row>
    <row r="1199">
      <c r="C1199" s="24"/>
      <c r="E1199" s="1"/>
      <c r="F1199" s="23" t="b">
        <v>0</v>
      </c>
    </row>
    <row r="1200">
      <c r="C1200" s="24"/>
      <c r="E1200" s="1"/>
      <c r="F1200" s="23" t="b">
        <v>0</v>
      </c>
    </row>
    <row r="1201">
      <c r="C1201" s="24"/>
      <c r="E1201" s="1"/>
      <c r="F1201" s="23" t="b">
        <v>0</v>
      </c>
    </row>
    <row r="1202">
      <c r="C1202" s="24"/>
      <c r="E1202" s="1"/>
      <c r="F1202" s="23" t="b">
        <v>0</v>
      </c>
    </row>
    <row r="1203">
      <c r="C1203" s="24"/>
      <c r="E1203" s="1"/>
      <c r="F1203" s="23" t="b">
        <v>0</v>
      </c>
    </row>
    <row r="1204">
      <c r="C1204" s="24"/>
      <c r="E1204" s="1"/>
      <c r="F1204" s="23" t="b">
        <v>0</v>
      </c>
    </row>
    <row r="1205">
      <c r="C1205" s="24"/>
      <c r="E1205" s="1"/>
      <c r="F1205" s="23" t="b">
        <v>0</v>
      </c>
    </row>
    <row r="1206">
      <c r="C1206" s="24"/>
      <c r="E1206" s="1"/>
      <c r="F1206" s="23" t="b">
        <v>0</v>
      </c>
    </row>
    <row r="1207">
      <c r="C1207" s="24"/>
      <c r="E1207" s="1"/>
      <c r="F1207" s="23" t="b">
        <v>0</v>
      </c>
    </row>
    <row r="1208">
      <c r="C1208" s="24"/>
      <c r="E1208" s="1"/>
      <c r="F1208" s="23" t="b">
        <v>0</v>
      </c>
    </row>
    <row r="1209">
      <c r="C1209" s="24"/>
      <c r="E1209" s="1"/>
      <c r="F1209" s="23" t="b">
        <v>0</v>
      </c>
    </row>
    <row r="1210">
      <c r="C1210" s="24"/>
      <c r="E1210" s="1"/>
      <c r="F1210" s="23" t="b">
        <v>0</v>
      </c>
    </row>
    <row r="1211">
      <c r="C1211" s="24"/>
      <c r="E1211" s="1"/>
      <c r="F1211" s="23" t="b">
        <v>0</v>
      </c>
    </row>
    <row r="1212">
      <c r="C1212" s="24"/>
      <c r="E1212" s="1"/>
      <c r="F1212" s="23" t="b">
        <v>0</v>
      </c>
    </row>
    <row r="1213">
      <c r="C1213" s="24"/>
      <c r="E1213" s="1"/>
      <c r="F1213" s="23" t="b">
        <v>0</v>
      </c>
    </row>
    <row r="1214">
      <c r="C1214" s="24"/>
      <c r="E1214" s="1"/>
      <c r="F1214" s="23" t="b">
        <v>0</v>
      </c>
    </row>
    <row r="1215">
      <c r="C1215" s="24"/>
      <c r="E1215" s="1"/>
      <c r="F1215" s="23" t="b">
        <v>0</v>
      </c>
    </row>
    <row r="1216">
      <c r="C1216" s="24"/>
      <c r="E1216" s="1"/>
      <c r="F1216" s="23" t="b">
        <v>0</v>
      </c>
    </row>
    <row r="1217">
      <c r="C1217" s="24"/>
      <c r="E1217" s="1"/>
      <c r="F1217" s="23" t="b">
        <v>0</v>
      </c>
    </row>
    <row r="1218">
      <c r="C1218" s="24"/>
      <c r="E1218" s="1"/>
      <c r="F1218" s="23" t="b">
        <v>0</v>
      </c>
    </row>
    <row r="1219">
      <c r="C1219" s="24"/>
      <c r="E1219" s="1"/>
      <c r="F1219" s="23" t="b">
        <v>0</v>
      </c>
    </row>
    <row r="1220">
      <c r="C1220" s="24"/>
      <c r="E1220" s="1"/>
      <c r="F1220" s="23" t="b">
        <v>0</v>
      </c>
    </row>
    <row r="1221">
      <c r="C1221" s="24"/>
      <c r="E1221" s="1"/>
      <c r="F1221" s="23" t="b">
        <v>0</v>
      </c>
    </row>
    <row r="1222">
      <c r="C1222" s="24"/>
      <c r="E1222" s="1"/>
      <c r="F1222" s="23" t="b">
        <v>0</v>
      </c>
    </row>
    <row r="1223">
      <c r="C1223" s="24"/>
      <c r="E1223" s="1"/>
      <c r="F1223" s="23" t="b">
        <v>0</v>
      </c>
    </row>
    <row r="1224">
      <c r="C1224" s="24"/>
      <c r="E1224" s="1"/>
      <c r="F1224" s="23" t="b">
        <v>0</v>
      </c>
    </row>
    <row r="1225">
      <c r="C1225" s="24"/>
      <c r="E1225" s="1"/>
      <c r="F1225" s="23" t="b">
        <v>0</v>
      </c>
    </row>
    <row r="1226">
      <c r="C1226" s="24"/>
      <c r="E1226" s="1"/>
      <c r="F1226" s="23" t="b">
        <v>0</v>
      </c>
    </row>
    <row r="1227">
      <c r="C1227" s="24"/>
      <c r="E1227" s="1"/>
      <c r="F1227" s="23" t="b">
        <v>0</v>
      </c>
    </row>
    <row r="1228">
      <c r="C1228" s="24"/>
      <c r="E1228" s="1"/>
      <c r="F1228" s="23" t="b">
        <v>0</v>
      </c>
    </row>
    <row r="1229">
      <c r="C1229" s="24"/>
      <c r="E1229" s="1"/>
      <c r="F1229" s="23" t="b">
        <v>0</v>
      </c>
    </row>
    <row r="1230">
      <c r="C1230" s="24"/>
      <c r="E1230" s="1"/>
      <c r="F1230" s="23" t="b">
        <v>0</v>
      </c>
    </row>
    <row r="1231">
      <c r="C1231" s="24"/>
      <c r="E1231" s="1"/>
      <c r="F1231" s="23" t="b">
        <v>0</v>
      </c>
    </row>
    <row r="1232">
      <c r="C1232" s="24"/>
      <c r="E1232" s="1"/>
      <c r="F1232" s="23" t="b">
        <v>0</v>
      </c>
    </row>
    <row r="1233">
      <c r="C1233" s="24"/>
      <c r="E1233" s="1"/>
      <c r="F1233" s="23" t="b">
        <v>0</v>
      </c>
    </row>
    <row r="1234">
      <c r="C1234" s="24"/>
      <c r="E1234" s="1"/>
      <c r="F1234" s="23" t="b">
        <v>0</v>
      </c>
    </row>
    <row r="1235">
      <c r="C1235" s="24"/>
      <c r="E1235" s="1"/>
      <c r="F1235" s="23" t="b">
        <v>0</v>
      </c>
    </row>
    <row r="1236">
      <c r="C1236" s="24"/>
      <c r="E1236" s="1"/>
      <c r="F1236" s="23" t="b">
        <v>0</v>
      </c>
    </row>
    <row r="1237">
      <c r="C1237" s="24"/>
      <c r="E1237" s="1"/>
      <c r="F1237" s="23" t="b">
        <v>0</v>
      </c>
    </row>
    <row r="1238">
      <c r="C1238" s="24"/>
      <c r="E1238" s="1"/>
      <c r="F1238" s="23" t="b">
        <v>0</v>
      </c>
    </row>
    <row r="1239">
      <c r="C1239" s="24"/>
      <c r="E1239" s="1"/>
      <c r="F1239" s="23" t="b">
        <v>0</v>
      </c>
    </row>
    <row r="1240">
      <c r="C1240" s="24"/>
      <c r="E1240" s="1"/>
      <c r="F1240" s="23" t="b">
        <v>0</v>
      </c>
    </row>
    <row r="1241">
      <c r="C1241" s="24"/>
      <c r="E1241" s="1"/>
      <c r="F1241" s="23" t="b">
        <v>0</v>
      </c>
    </row>
    <row r="1242">
      <c r="C1242" s="24"/>
      <c r="E1242" s="1"/>
      <c r="F1242" s="23" t="b">
        <v>0</v>
      </c>
    </row>
    <row r="1243">
      <c r="C1243" s="24"/>
      <c r="E1243" s="1"/>
      <c r="F1243" s="23" t="b">
        <v>0</v>
      </c>
    </row>
    <row r="1244">
      <c r="C1244" s="24"/>
      <c r="E1244" s="1"/>
      <c r="F1244" s="23" t="b">
        <v>0</v>
      </c>
    </row>
    <row r="1245">
      <c r="C1245" s="24"/>
      <c r="E1245" s="1"/>
      <c r="F1245" s="23" t="b">
        <v>0</v>
      </c>
    </row>
    <row r="1246">
      <c r="C1246" s="24"/>
      <c r="E1246" s="1"/>
      <c r="F1246" s="23" t="b">
        <v>0</v>
      </c>
    </row>
    <row r="1247">
      <c r="C1247" s="24"/>
      <c r="E1247" s="1"/>
      <c r="F1247" s="23" t="b">
        <v>0</v>
      </c>
    </row>
    <row r="1248">
      <c r="C1248" s="24"/>
      <c r="E1248" s="1"/>
      <c r="F1248" s="23" t="b">
        <v>0</v>
      </c>
    </row>
    <row r="1249">
      <c r="C1249" s="24"/>
      <c r="E1249" s="1"/>
      <c r="F1249" s="23" t="b">
        <v>0</v>
      </c>
    </row>
    <row r="1250">
      <c r="C1250" s="24"/>
      <c r="E1250" s="1"/>
      <c r="F1250" s="23" t="b">
        <v>0</v>
      </c>
    </row>
    <row r="1251">
      <c r="C1251" s="24"/>
      <c r="E1251" s="1"/>
      <c r="F1251" s="23" t="b">
        <v>0</v>
      </c>
    </row>
    <row r="1252">
      <c r="C1252" s="24"/>
      <c r="E1252" s="1"/>
      <c r="F1252" s="23" t="b">
        <v>0</v>
      </c>
    </row>
    <row r="1253">
      <c r="C1253" s="24"/>
      <c r="E1253" s="1"/>
      <c r="F1253" s="23" t="b">
        <v>0</v>
      </c>
    </row>
    <row r="1254">
      <c r="C1254" s="24"/>
      <c r="E1254" s="1"/>
      <c r="F1254" s="23" t="b">
        <v>0</v>
      </c>
    </row>
    <row r="1255">
      <c r="C1255" s="24"/>
      <c r="E1255" s="1"/>
      <c r="F1255" s="23" t="b">
        <v>0</v>
      </c>
    </row>
    <row r="1256">
      <c r="C1256" s="24"/>
      <c r="E1256" s="1"/>
      <c r="F1256" s="23" t="b">
        <v>0</v>
      </c>
    </row>
    <row r="1257">
      <c r="C1257" s="24"/>
      <c r="E1257" s="1"/>
      <c r="F1257" s="23" t="b">
        <v>0</v>
      </c>
    </row>
    <row r="1258">
      <c r="C1258" s="24"/>
      <c r="E1258" s="1"/>
      <c r="F1258" s="23" t="b">
        <v>0</v>
      </c>
    </row>
    <row r="1259">
      <c r="C1259" s="24"/>
      <c r="E1259" s="1"/>
      <c r="F1259" s="23" t="b">
        <v>0</v>
      </c>
    </row>
    <row r="1260">
      <c r="C1260" s="24"/>
      <c r="E1260" s="1"/>
      <c r="F1260" s="23" t="b">
        <v>0</v>
      </c>
    </row>
    <row r="1261">
      <c r="C1261" s="24"/>
      <c r="E1261" s="1"/>
      <c r="F1261" s="23" t="b">
        <v>0</v>
      </c>
    </row>
    <row r="1262">
      <c r="C1262" s="24"/>
      <c r="E1262" s="1"/>
      <c r="F1262" s="23" t="b">
        <v>0</v>
      </c>
    </row>
    <row r="1263">
      <c r="C1263" s="24"/>
      <c r="E1263" s="1"/>
      <c r="F1263" s="23" t="b">
        <v>0</v>
      </c>
    </row>
    <row r="1264">
      <c r="C1264" s="24"/>
      <c r="E1264" s="1"/>
      <c r="F1264" s="23" t="b">
        <v>0</v>
      </c>
    </row>
    <row r="1265">
      <c r="C1265" s="24"/>
      <c r="E1265" s="1"/>
      <c r="F1265" s="23" t="b">
        <v>0</v>
      </c>
    </row>
    <row r="1266">
      <c r="C1266" s="24"/>
      <c r="E1266" s="1"/>
      <c r="F1266" s="23" t="b">
        <v>0</v>
      </c>
    </row>
    <row r="1267">
      <c r="C1267" s="24"/>
      <c r="E1267" s="1"/>
      <c r="F1267" s="23" t="b">
        <v>0</v>
      </c>
    </row>
    <row r="1268">
      <c r="C1268" s="24"/>
      <c r="E1268" s="1"/>
      <c r="F1268" s="23" t="b">
        <v>0</v>
      </c>
    </row>
    <row r="1269">
      <c r="C1269" s="24"/>
      <c r="E1269" s="1"/>
      <c r="F1269" s="23" t="b">
        <v>0</v>
      </c>
    </row>
    <row r="1270">
      <c r="C1270" s="24"/>
      <c r="E1270" s="1"/>
      <c r="F1270" s="23" t="b">
        <v>0</v>
      </c>
    </row>
    <row r="1271">
      <c r="C1271" s="24"/>
      <c r="E1271" s="1"/>
      <c r="F1271" s="23" t="b">
        <v>0</v>
      </c>
    </row>
    <row r="1272">
      <c r="C1272" s="24"/>
      <c r="E1272" s="1"/>
      <c r="F1272" s="23" t="b">
        <v>0</v>
      </c>
    </row>
    <row r="1273">
      <c r="C1273" s="24"/>
      <c r="E1273" s="1"/>
      <c r="F1273" s="23" t="b">
        <v>0</v>
      </c>
    </row>
    <row r="1274">
      <c r="C1274" s="24"/>
      <c r="E1274" s="1"/>
      <c r="F1274" s="23" t="b">
        <v>0</v>
      </c>
    </row>
    <row r="1275">
      <c r="C1275" s="24"/>
      <c r="E1275" s="1"/>
      <c r="F1275" s="23" t="b">
        <v>0</v>
      </c>
    </row>
    <row r="1276">
      <c r="C1276" s="24"/>
      <c r="E1276" s="1"/>
      <c r="F1276" s="23" t="b">
        <v>0</v>
      </c>
    </row>
    <row r="1277">
      <c r="C1277" s="24"/>
      <c r="E1277" s="1"/>
      <c r="F1277" s="23" t="b">
        <v>0</v>
      </c>
    </row>
    <row r="1278">
      <c r="C1278" s="24"/>
      <c r="E1278" s="1"/>
      <c r="F1278" s="23" t="b">
        <v>0</v>
      </c>
    </row>
    <row r="1279">
      <c r="C1279" s="24"/>
      <c r="E1279" s="1"/>
      <c r="F1279" s="23" t="b">
        <v>0</v>
      </c>
    </row>
    <row r="1280">
      <c r="C1280" s="24"/>
      <c r="E1280" s="1"/>
      <c r="F1280" s="23" t="b">
        <v>0</v>
      </c>
    </row>
    <row r="1281">
      <c r="C1281" s="24"/>
      <c r="E1281" s="1"/>
      <c r="F1281" s="23" t="b">
        <v>0</v>
      </c>
    </row>
    <row r="1282">
      <c r="C1282" s="24"/>
      <c r="E1282" s="1"/>
      <c r="F1282" s="23" t="b">
        <v>0</v>
      </c>
    </row>
    <row r="1283">
      <c r="C1283" s="24"/>
      <c r="E1283" s="1"/>
      <c r="F1283" s="23" t="b">
        <v>0</v>
      </c>
    </row>
    <row r="1284">
      <c r="C1284" s="24"/>
      <c r="E1284" s="1"/>
      <c r="F1284" s="23" t="b">
        <v>0</v>
      </c>
    </row>
    <row r="1285">
      <c r="C1285" s="24"/>
      <c r="E1285" s="1"/>
      <c r="F1285" s="23" t="b">
        <v>0</v>
      </c>
    </row>
    <row r="1286">
      <c r="C1286" s="24"/>
      <c r="E1286" s="1"/>
      <c r="F1286" s="23" t="b">
        <v>0</v>
      </c>
    </row>
    <row r="1287">
      <c r="C1287" s="24"/>
      <c r="E1287" s="1"/>
      <c r="F1287" s="23" t="b">
        <v>0</v>
      </c>
    </row>
    <row r="1288">
      <c r="C1288" s="24"/>
      <c r="E1288" s="1"/>
      <c r="F1288" s="23" t="b">
        <v>0</v>
      </c>
    </row>
    <row r="1289">
      <c r="C1289" s="24"/>
      <c r="E1289" s="1"/>
      <c r="F1289" s="23" t="b">
        <v>0</v>
      </c>
    </row>
    <row r="1290">
      <c r="C1290" s="24"/>
      <c r="E1290" s="1"/>
      <c r="F1290" s="23" t="b">
        <v>0</v>
      </c>
    </row>
    <row r="1291">
      <c r="C1291" s="24"/>
      <c r="E1291" s="1"/>
      <c r="F1291" s="23" t="b">
        <v>0</v>
      </c>
    </row>
    <row r="1292">
      <c r="C1292" s="24"/>
      <c r="E1292" s="1"/>
      <c r="F1292" s="23" t="b">
        <v>0</v>
      </c>
    </row>
    <row r="1293">
      <c r="C1293" s="24"/>
      <c r="E1293" s="1"/>
      <c r="F1293" s="23" t="b">
        <v>0</v>
      </c>
    </row>
    <row r="1294">
      <c r="C1294" s="24"/>
      <c r="E1294" s="1"/>
      <c r="F1294" s="23" t="b">
        <v>0</v>
      </c>
    </row>
    <row r="1295">
      <c r="C1295" s="24"/>
      <c r="E1295" s="1"/>
      <c r="F1295" s="23" t="b">
        <v>0</v>
      </c>
    </row>
    <row r="1296">
      <c r="C1296" s="24"/>
      <c r="E1296" s="1"/>
      <c r="F1296" s="23" t="b">
        <v>0</v>
      </c>
    </row>
    <row r="1297">
      <c r="C1297" s="24"/>
      <c r="E1297" s="1"/>
      <c r="F1297" s="23" t="b">
        <v>0</v>
      </c>
    </row>
    <row r="1298">
      <c r="C1298" s="24"/>
      <c r="E1298" s="1"/>
      <c r="F1298" s="23" t="b">
        <v>0</v>
      </c>
    </row>
    <row r="1299">
      <c r="C1299" s="24"/>
      <c r="E1299" s="1"/>
      <c r="F1299" s="23" t="b">
        <v>0</v>
      </c>
    </row>
    <row r="1300">
      <c r="C1300" s="24"/>
      <c r="E1300" s="1"/>
      <c r="F1300" s="23" t="b">
        <v>0</v>
      </c>
    </row>
    <row r="1301">
      <c r="C1301" s="24"/>
      <c r="E1301" s="1"/>
      <c r="F1301" s="23" t="b">
        <v>0</v>
      </c>
    </row>
    <row r="1302">
      <c r="C1302" s="24"/>
      <c r="E1302" s="1"/>
      <c r="F1302" s="23" t="b">
        <v>0</v>
      </c>
    </row>
    <row r="1303">
      <c r="C1303" s="24"/>
      <c r="E1303" s="1"/>
      <c r="F1303" s="23" t="b">
        <v>0</v>
      </c>
    </row>
    <row r="1304">
      <c r="C1304" s="24"/>
      <c r="E1304" s="1"/>
      <c r="F1304" s="23" t="b">
        <v>0</v>
      </c>
    </row>
    <row r="1305">
      <c r="C1305" s="24"/>
      <c r="E1305" s="1"/>
      <c r="F1305" s="23" t="b">
        <v>0</v>
      </c>
    </row>
    <row r="1306">
      <c r="C1306" s="24"/>
      <c r="E1306" s="1"/>
      <c r="F1306" s="23" t="b">
        <v>0</v>
      </c>
    </row>
    <row r="1307">
      <c r="C1307" s="24"/>
      <c r="E1307" s="1"/>
      <c r="F1307" s="23" t="b">
        <v>0</v>
      </c>
    </row>
    <row r="1308">
      <c r="C1308" s="24"/>
      <c r="E1308" s="1"/>
      <c r="F1308" s="23" t="b">
        <v>0</v>
      </c>
    </row>
    <row r="1309">
      <c r="C1309" s="24"/>
      <c r="E1309" s="1"/>
      <c r="F1309" s="23" t="b">
        <v>0</v>
      </c>
    </row>
    <row r="1310">
      <c r="C1310" s="24"/>
      <c r="E1310" s="1"/>
      <c r="F1310" s="23" t="b">
        <v>0</v>
      </c>
    </row>
    <row r="1311">
      <c r="C1311" s="24"/>
      <c r="E1311" s="1"/>
      <c r="F1311" s="23" t="b">
        <v>0</v>
      </c>
    </row>
    <row r="1312">
      <c r="C1312" s="24"/>
      <c r="E1312" s="1"/>
      <c r="F1312" s="23" t="b">
        <v>0</v>
      </c>
    </row>
    <row r="1313">
      <c r="C1313" s="24"/>
      <c r="E1313" s="1"/>
      <c r="F1313" s="23" t="b">
        <v>0</v>
      </c>
    </row>
    <row r="1314">
      <c r="C1314" s="24"/>
      <c r="E1314" s="1"/>
      <c r="F1314" s="23" t="b">
        <v>0</v>
      </c>
    </row>
    <row r="1315">
      <c r="C1315" s="24"/>
      <c r="E1315" s="1"/>
      <c r="F1315" s="23" t="b">
        <v>0</v>
      </c>
    </row>
    <row r="1316">
      <c r="C1316" s="24"/>
      <c r="E1316" s="1"/>
      <c r="F1316" s="23" t="b">
        <v>0</v>
      </c>
    </row>
    <row r="1317">
      <c r="C1317" s="24"/>
      <c r="E1317" s="1"/>
      <c r="F1317" s="23" t="b">
        <v>0</v>
      </c>
    </row>
    <row r="1318">
      <c r="C1318" s="24"/>
      <c r="E1318" s="1"/>
      <c r="F1318" s="23" t="b">
        <v>0</v>
      </c>
    </row>
    <row r="1319">
      <c r="C1319" s="24"/>
      <c r="E1319" s="1"/>
      <c r="F1319" s="23" t="b">
        <v>0</v>
      </c>
    </row>
    <row r="1320">
      <c r="C1320" s="24"/>
      <c r="E1320" s="1"/>
      <c r="F1320" s="23" t="b">
        <v>0</v>
      </c>
    </row>
    <row r="1321">
      <c r="C1321" s="24"/>
      <c r="E1321" s="1"/>
      <c r="F1321" s="23" t="b">
        <v>0</v>
      </c>
    </row>
    <row r="1322">
      <c r="C1322" s="24"/>
      <c r="E1322" s="1"/>
      <c r="F1322" s="23" t="b">
        <v>0</v>
      </c>
    </row>
    <row r="1323">
      <c r="C1323" s="24"/>
      <c r="E1323" s="1"/>
      <c r="F1323" s="23" t="b">
        <v>0</v>
      </c>
    </row>
    <row r="1324">
      <c r="C1324" s="24"/>
      <c r="E1324" s="1"/>
      <c r="F1324" s="23" t="b">
        <v>0</v>
      </c>
    </row>
    <row r="1325">
      <c r="C1325" s="24"/>
      <c r="E1325" s="1"/>
      <c r="F1325" s="23" t="b">
        <v>0</v>
      </c>
    </row>
    <row r="1326">
      <c r="C1326" s="24"/>
      <c r="E1326" s="1"/>
      <c r="F1326" s="23" t="b">
        <v>0</v>
      </c>
    </row>
    <row r="1327">
      <c r="C1327" s="24"/>
      <c r="E1327" s="1"/>
      <c r="F1327" s="23" t="b">
        <v>0</v>
      </c>
    </row>
    <row r="1328">
      <c r="C1328" s="24"/>
      <c r="E1328" s="1"/>
      <c r="F1328" s="23" t="b">
        <v>0</v>
      </c>
    </row>
    <row r="1329">
      <c r="C1329" s="24"/>
      <c r="E1329" s="1"/>
      <c r="F1329" s="23" t="b">
        <v>0</v>
      </c>
    </row>
    <row r="1330">
      <c r="C1330" s="24"/>
      <c r="E1330" s="1"/>
      <c r="F1330" s="23" t="b">
        <v>0</v>
      </c>
    </row>
    <row r="1331">
      <c r="C1331" s="24"/>
      <c r="E1331" s="1"/>
      <c r="F1331" s="23" t="b">
        <v>0</v>
      </c>
    </row>
    <row r="1332">
      <c r="C1332" s="24"/>
      <c r="E1332" s="1"/>
      <c r="F1332" s="23" t="b">
        <v>0</v>
      </c>
    </row>
    <row r="1333">
      <c r="C1333" s="24"/>
      <c r="E1333" s="1"/>
      <c r="F1333" s="23" t="b">
        <v>0</v>
      </c>
    </row>
    <row r="1334">
      <c r="C1334" s="24"/>
      <c r="E1334" s="1"/>
      <c r="F1334" s="23" t="b">
        <v>0</v>
      </c>
    </row>
    <row r="1335">
      <c r="C1335" s="24"/>
      <c r="E1335" s="1"/>
      <c r="F1335" s="23" t="b">
        <v>0</v>
      </c>
    </row>
    <row r="1336">
      <c r="C1336" s="24"/>
      <c r="E1336" s="1"/>
      <c r="F1336" s="23" t="b">
        <v>0</v>
      </c>
    </row>
    <row r="1337">
      <c r="C1337" s="24"/>
      <c r="E1337" s="1"/>
      <c r="F1337" s="23" t="b">
        <v>0</v>
      </c>
    </row>
    <row r="1338">
      <c r="C1338" s="24"/>
      <c r="E1338" s="1"/>
      <c r="F1338" s="23" t="b">
        <v>0</v>
      </c>
    </row>
    <row r="1339">
      <c r="C1339" s="24"/>
      <c r="E1339" s="1"/>
      <c r="F1339" s="23" t="b">
        <v>0</v>
      </c>
    </row>
    <row r="1340">
      <c r="C1340" s="24"/>
      <c r="E1340" s="1"/>
      <c r="F1340" s="23" t="b">
        <v>0</v>
      </c>
    </row>
    <row r="1341">
      <c r="C1341" s="24"/>
      <c r="E1341" s="1"/>
      <c r="F1341" s="23" t="b">
        <v>0</v>
      </c>
    </row>
    <row r="1342">
      <c r="C1342" s="24"/>
      <c r="E1342" s="1"/>
      <c r="F1342" s="23" t="b">
        <v>0</v>
      </c>
    </row>
    <row r="1343">
      <c r="C1343" s="24"/>
      <c r="E1343" s="1"/>
      <c r="F1343" s="23" t="b">
        <v>0</v>
      </c>
    </row>
    <row r="1344">
      <c r="C1344" s="24"/>
      <c r="E1344" s="1"/>
      <c r="F1344" s="23" t="b">
        <v>0</v>
      </c>
    </row>
    <row r="1345">
      <c r="C1345" s="24"/>
      <c r="E1345" s="1"/>
      <c r="F1345" s="23" t="b">
        <v>0</v>
      </c>
    </row>
    <row r="1346">
      <c r="C1346" s="24"/>
      <c r="E1346" s="1"/>
      <c r="F1346" s="23" t="b">
        <v>0</v>
      </c>
    </row>
    <row r="1347">
      <c r="C1347" s="24"/>
      <c r="E1347" s="1"/>
      <c r="F1347" s="23" t="b">
        <v>0</v>
      </c>
    </row>
    <row r="1348">
      <c r="C1348" s="24"/>
      <c r="E1348" s="1"/>
      <c r="F1348" s="23" t="b">
        <v>0</v>
      </c>
    </row>
    <row r="1349">
      <c r="C1349" s="24"/>
      <c r="E1349" s="1"/>
      <c r="F1349" s="23" t="b">
        <v>0</v>
      </c>
    </row>
    <row r="1350">
      <c r="C1350" s="24"/>
      <c r="E1350" s="1"/>
      <c r="F1350" s="23" t="b">
        <v>0</v>
      </c>
    </row>
    <row r="1351">
      <c r="C1351" s="24"/>
      <c r="E1351" s="1"/>
      <c r="F1351" s="23" t="b">
        <v>0</v>
      </c>
    </row>
    <row r="1352">
      <c r="C1352" s="24"/>
      <c r="E1352" s="1"/>
      <c r="F1352" s="23" t="b">
        <v>0</v>
      </c>
    </row>
    <row r="1353">
      <c r="C1353" s="24"/>
      <c r="E1353" s="1"/>
      <c r="F1353" s="23" t="b">
        <v>0</v>
      </c>
    </row>
    <row r="1354">
      <c r="C1354" s="24"/>
      <c r="E1354" s="1"/>
      <c r="F1354" s="23" t="b">
        <v>0</v>
      </c>
    </row>
    <row r="1355">
      <c r="C1355" s="24"/>
      <c r="E1355" s="1"/>
      <c r="F1355" s="23" t="b">
        <v>0</v>
      </c>
    </row>
    <row r="1356">
      <c r="C1356" s="24"/>
      <c r="E1356" s="1"/>
      <c r="F1356" s="23" t="b">
        <v>0</v>
      </c>
    </row>
    <row r="1357">
      <c r="C1357" s="24"/>
      <c r="E1357" s="1"/>
      <c r="F1357" s="23" t="b">
        <v>0</v>
      </c>
    </row>
    <row r="1358">
      <c r="C1358" s="24"/>
      <c r="E1358" s="1"/>
      <c r="F1358" s="23" t="b">
        <v>0</v>
      </c>
    </row>
    <row r="1359">
      <c r="C1359" s="24"/>
      <c r="E1359" s="1"/>
      <c r="F1359" s="23" t="b">
        <v>0</v>
      </c>
    </row>
    <row r="1360">
      <c r="C1360" s="24"/>
      <c r="E1360" s="1"/>
      <c r="F1360" s="23" t="b">
        <v>0</v>
      </c>
    </row>
    <row r="1361">
      <c r="C1361" s="24"/>
      <c r="E1361" s="1"/>
      <c r="F1361" s="23" t="b">
        <v>0</v>
      </c>
    </row>
    <row r="1362">
      <c r="C1362" s="24"/>
      <c r="E1362" s="1"/>
      <c r="F1362" s="23" t="b">
        <v>0</v>
      </c>
    </row>
    <row r="1363">
      <c r="C1363" s="24"/>
      <c r="E1363" s="1"/>
      <c r="F1363" s="23" t="b">
        <v>0</v>
      </c>
    </row>
    <row r="1364">
      <c r="C1364" s="24"/>
      <c r="E1364" s="1"/>
      <c r="F1364" s="23" t="b">
        <v>0</v>
      </c>
    </row>
    <row r="1365">
      <c r="C1365" s="24"/>
      <c r="E1365" s="1"/>
      <c r="F1365" s="23" t="b">
        <v>0</v>
      </c>
    </row>
    <row r="1366">
      <c r="C1366" s="24"/>
      <c r="E1366" s="1"/>
      <c r="F1366" s="23" t="b">
        <v>0</v>
      </c>
    </row>
    <row r="1367">
      <c r="C1367" s="24"/>
      <c r="E1367" s="1"/>
      <c r="F1367" s="23" t="b">
        <v>0</v>
      </c>
    </row>
    <row r="1368">
      <c r="C1368" s="24"/>
      <c r="E1368" s="1"/>
      <c r="F1368" s="23" t="b">
        <v>0</v>
      </c>
    </row>
    <row r="1369">
      <c r="C1369" s="24"/>
      <c r="E1369" s="1"/>
      <c r="F1369" s="23" t="b">
        <v>0</v>
      </c>
    </row>
    <row r="1370">
      <c r="C1370" s="24"/>
      <c r="E1370" s="1"/>
      <c r="F1370" s="23" t="b">
        <v>0</v>
      </c>
    </row>
    <row r="1371">
      <c r="C1371" s="24"/>
      <c r="E1371" s="1"/>
      <c r="F1371" s="23" t="b">
        <v>0</v>
      </c>
    </row>
    <row r="1372">
      <c r="C1372" s="24"/>
      <c r="E1372" s="1"/>
      <c r="F1372" s="23" t="b">
        <v>0</v>
      </c>
    </row>
    <row r="1373">
      <c r="C1373" s="24"/>
      <c r="E1373" s="1"/>
      <c r="F1373" s="23" t="b">
        <v>0</v>
      </c>
    </row>
    <row r="1374">
      <c r="C1374" s="24"/>
      <c r="E1374" s="1"/>
      <c r="F1374" s="23" t="b">
        <v>0</v>
      </c>
    </row>
    <row r="1375">
      <c r="C1375" s="24"/>
      <c r="E1375" s="1"/>
      <c r="F1375" s="23" t="b">
        <v>0</v>
      </c>
    </row>
    <row r="1376">
      <c r="C1376" s="24"/>
      <c r="E1376" s="1"/>
      <c r="F1376" s="23" t="b">
        <v>0</v>
      </c>
    </row>
    <row r="1377">
      <c r="C1377" s="24"/>
      <c r="E1377" s="1"/>
      <c r="F1377" s="23" t="b">
        <v>0</v>
      </c>
    </row>
    <row r="1378">
      <c r="C1378" s="24"/>
      <c r="E1378" s="1"/>
      <c r="F1378" s="23" t="b">
        <v>0</v>
      </c>
    </row>
    <row r="1379">
      <c r="C1379" s="24"/>
      <c r="E1379" s="1"/>
      <c r="F1379" s="23" t="b">
        <v>0</v>
      </c>
    </row>
    <row r="1380">
      <c r="C1380" s="24"/>
      <c r="E1380" s="1"/>
      <c r="F1380" s="23" t="b">
        <v>0</v>
      </c>
    </row>
    <row r="1381">
      <c r="C1381" s="24"/>
      <c r="E1381" s="1"/>
      <c r="F1381" s="23" t="b">
        <v>0</v>
      </c>
    </row>
    <row r="1382">
      <c r="C1382" s="24"/>
      <c r="E1382" s="1"/>
      <c r="F1382" s="23" t="b">
        <v>0</v>
      </c>
    </row>
    <row r="1383">
      <c r="C1383" s="24"/>
      <c r="E1383" s="1"/>
      <c r="F1383" s="23" t="b">
        <v>0</v>
      </c>
    </row>
    <row r="1384">
      <c r="C1384" s="24"/>
      <c r="E1384" s="1"/>
      <c r="F1384" s="23" t="b">
        <v>0</v>
      </c>
    </row>
    <row r="1385">
      <c r="C1385" s="24"/>
      <c r="E1385" s="1"/>
      <c r="F1385" s="23" t="b">
        <v>0</v>
      </c>
    </row>
    <row r="1386">
      <c r="C1386" s="24"/>
      <c r="E1386" s="1"/>
      <c r="F1386" s="23" t="b">
        <v>0</v>
      </c>
    </row>
    <row r="1387">
      <c r="C1387" s="24"/>
      <c r="E1387" s="1"/>
      <c r="F1387" s="23" t="b">
        <v>0</v>
      </c>
    </row>
    <row r="1388">
      <c r="C1388" s="24"/>
      <c r="E1388" s="1"/>
      <c r="F1388" s="23" t="b">
        <v>0</v>
      </c>
    </row>
    <row r="1389">
      <c r="C1389" s="24"/>
      <c r="E1389" s="1"/>
      <c r="F1389" s="23" t="b">
        <v>0</v>
      </c>
    </row>
    <row r="1390">
      <c r="C1390" s="24"/>
      <c r="E1390" s="1"/>
      <c r="F1390" s="23" t="b">
        <v>0</v>
      </c>
    </row>
    <row r="1391">
      <c r="C1391" s="24"/>
      <c r="E1391" s="1"/>
      <c r="F1391" s="23" t="b">
        <v>0</v>
      </c>
    </row>
    <row r="1392">
      <c r="C1392" s="24"/>
      <c r="E1392" s="1"/>
      <c r="F1392" s="23" t="b">
        <v>0</v>
      </c>
    </row>
    <row r="1393">
      <c r="C1393" s="24"/>
      <c r="E1393" s="1"/>
      <c r="F1393" s="23" t="b">
        <v>0</v>
      </c>
    </row>
    <row r="1394">
      <c r="C1394" s="24"/>
      <c r="E1394" s="1"/>
      <c r="F1394" s="23" t="b">
        <v>0</v>
      </c>
    </row>
    <row r="1395">
      <c r="C1395" s="24"/>
      <c r="E1395" s="1"/>
      <c r="F1395" s="23" t="b">
        <v>0</v>
      </c>
    </row>
    <row r="1396">
      <c r="C1396" s="24"/>
      <c r="E1396" s="1"/>
      <c r="F1396" s="23" t="b">
        <v>0</v>
      </c>
    </row>
    <row r="1397">
      <c r="C1397" s="24"/>
      <c r="E1397" s="1"/>
      <c r="F1397" s="23" t="b">
        <v>0</v>
      </c>
    </row>
    <row r="1398">
      <c r="C1398" s="24"/>
      <c r="E1398" s="1"/>
      <c r="F1398" s="23" t="b">
        <v>0</v>
      </c>
    </row>
    <row r="1399">
      <c r="C1399" s="24"/>
      <c r="E1399" s="1"/>
      <c r="F1399" s="23" t="b">
        <v>0</v>
      </c>
    </row>
    <row r="1400">
      <c r="C1400" s="24"/>
      <c r="E1400" s="1"/>
      <c r="F1400" s="23" t="b">
        <v>0</v>
      </c>
    </row>
    <row r="1401">
      <c r="C1401" s="24"/>
      <c r="E1401" s="1"/>
      <c r="F1401" s="23" t="b">
        <v>0</v>
      </c>
    </row>
    <row r="1402">
      <c r="C1402" s="24"/>
      <c r="E1402" s="1"/>
      <c r="F1402" s="23" t="b">
        <v>0</v>
      </c>
    </row>
    <row r="1403">
      <c r="C1403" s="24"/>
      <c r="E1403" s="1"/>
      <c r="F1403" s="23" t="b">
        <v>0</v>
      </c>
    </row>
    <row r="1404">
      <c r="C1404" s="24"/>
      <c r="E1404" s="1"/>
      <c r="F1404" s="23" t="b">
        <v>0</v>
      </c>
    </row>
    <row r="1405">
      <c r="C1405" s="24"/>
      <c r="E1405" s="1"/>
      <c r="F1405" s="23" t="b">
        <v>0</v>
      </c>
    </row>
    <row r="1406">
      <c r="C1406" s="24"/>
      <c r="E1406" s="1"/>
      <c r="F1406" s="23" t="b">
        <v>0</v>
      </c>
    </row>
    <row r="1407">
      <c r="C1407" s="24"/>
      <c r="E1407" s="1"/>
      <c r="F1407" s="23" t="b">
        <v>0</v>
      </c>
    </row>
    <row r="1408">
      <c r="C1408" s="24"/>
      <c r="E1408" s="1"/>
      <c r="F1408" s="23" t="b">
        <v>0</v>
      </c>
    </row>
    <row r="1409">
      <c r="C1409" s="24"/>
      <c r="E1409" s="1"/>
      <c r="F1409" s="23" t="b">
        <v>0</v>
      </c>
    </row>
    <row r="1410">
      <c r="C1410" s="24"/>
      <c r="E1410" s="1"/>
      <c r="F1410" s="23" t="b">
        <v>0</v>
      </c>
    </row>
    <row r="1411">
      <c r="C1411" s="24"/>
      <c r="E1411" s="1"/>
      <c r="F1411" s="23" t="b">
        <v>0</v>
      </c>
    </row>
    <row r="1412">
      <c r="C1412" s="24"/>
      <c r="E1412" s="1"/>
      <c r="F1412" s="23" t="b">
        <v>0</v>
      </c>
    </row>
    <row r="1413">
      <c r="C1413" s="24"/>
      <c r="E1413" s="1"/>
      <c r="F1413" s="23" t="b">
        <v>0</v>
      </c>
    </row>
    <row r="1414">
      <c r="C1414" s="24"/>
      <c r="E1414" s="1"/>
      <c r="F1414" s="23" t="b">
        <v>0</v>
      </c>
    </row>
    <row r="1415">
      <c r="C1415" s="24"/>
      <c r="E1415" s="1"/>
      <c r="F1415" s="23" t="b">
        <v>0</v>
      </c>
    </row>
    <row r="1416">
      <c r="C1416" s="24"/>
      <c r="E1416" s="1"/>
      <c r="F1416" s="23" t="b">
        <v>0</v>
      </c>
    </row>
    <row r="1417">
      <c r="C1417" s="24"/>
      <c r="E1417" s="1"/>
      <c r="F1417" s="23" t="b">
        <v>0</v>
      </c>
    </row>
    <row r="1418">
      <c r="C1418" s="24"/>
      <c r="E1418" s="1"/>
      <c r="F1418" s="23" t="b">
        <v>0</v>
      </c>
    </row>
    <row r="1419">
      <c r="C1419" s="24"/>
      <c r="E1419" s="1"/>
      <c r="F1419" s="23" t="b">
        <v>0</v>
      </c>
    </row>
    <row r="1420">
      <c r="C1420" s="24"/>
      <c r="E1420" s="1"/>
      <c r="F1420" s="23" t="b">
        <v>0</v>
      </c>
    </row>
    <row r="1421">
      <c r="C1421" s="24"/>
      <c r="E1421" s="1"/>
      <c r="F1421" s="23" t="b">
        <v>0</v>
      </c>
    </row>
    <row r="1422">
      <c r="C1422" s="24"/>
      <c r="E1422" s="1"/>
      <c r="F1422" s="23" t="b">
        <v>0</v>
      </c>
    </row>
    <row r="1423">
      <c r="C1423" s="24"/>
      <c r="E1423" s="1"/>
      <c r="F1423" s="23" t="b">
        <v>0</v>
      </c>
    </row>
    <row r="1424">
      <c r="C1424" s="24"/>
      <c r="E1424" s="1"/>
      <c r="F1424" s="23" t="b">
        <v>0</v>
      </c>
    </row>
    <row r="1425">
      <c r="C1425" s="24"/>
      <c r="E1425" s="1"/>
      <c r="F1425" s="23" t="b">
        <v>0</v>
      </c>
    </row>
    <row r="1426">
      <c r="C1426" s="24"/>
      <c r="E1426" s="1"/>
      <c r="F1426" s="23" t="b">
        <v>0</v>
      </c>
    </row>
    <row r="1427">
      <c r="C1427" s="24"/>
      <c r="E1427" s="1"/>
      <c r="F1427" s="23" t="b">
        <v>0</v>
      </c>
    </row>
    <row r="1428">
      <c r="C1428" s="24"/>
      <c r="E1428" s="1"/>
      <c r="F1428" s="23" t="b">
        <v>0</v>
      </c>
    </row>
    <row r="1429">
      <c r="C1429" s="24"/>
      <c r="E1429" s="1"/>
      <c r="F1429" s="23" t="b">
        <v>0</v>
      </c>
    </row>
    <row r="1430">
      <c r="C1430" s="24"/>
      <c r="E1430" s="1"/>
      <c r="F1430" s="23" t="b">
        <v>0</v>
      </c>
    </row>
    <row r="1431">
      <c r="C1431" s="24"/>
      <c r="E1431" s="1"/>
      <c r="F1431" s="23" t="b">
        <v>0</v>
      </c>
    </row>
    <row r="1432">
      <c r="C1432" s="24"/>
      <c r="E1432" s="1"/>
      <c r="F1432" s="23" t="b">
        <v>0</v>
      </c>
    </row>
    <row r="1433">
      <c r="C1433" s="24"/>
      <c r="E1433" s="1"/>
      <c r="F1433" s="23" t="b">
        <v>0</v>
      </c>
    </row>
    <row r="1434">
      <c r="C1434" s="24"/>
      <c r="E1434" s="1"/>
      <c r="F1434" s="23" t="b">
        <v>0</v>
      </c>
    </row>
    <row r="1435">
      <c r="C1435" s="24"/>
      <c r="E1435" s="1"/>
      <c r="F1435" s="23" t="b">
        <v>0</v>
      </c>
    </row>
    <row r="1436">
      <c r="C1436" s="24"/>
      <c r="E1436" s="1"/>
      <c r="F1436" s="23" t="b">
        <v>0</v>
      </c>
    </row>
    <row r="1437">
      <c r="C1437" s="24"/>
      <c r="E1437" s="1"/>
      <c r="F1437" s="23" t="b">
        <v>0</v>
      </c>
    </row>
    <row r="1438">
      <c r="C1438" s="24"/>
      <c r="E1438" s="1"/>
      <c r="F1438" s="23" t="b">
        <v>0</v>
      </c>
    </row>
    <row r="1439">
      <c r="C1439" s="24"/>
      <c r="E1439" s="1"/>
      <c r="F1439" s="23" t="b">
        <v>0</v>
      </c>
    </row>
    <row r="1440">
      <c r="C1440" s="24"/>
      <c r="E1440" s="1"/>
      <c r="F1440" s="23" t="b">
        <v>0</v>
      </c>
    </row>
    <row r="1441">
      <c r="C1441" s="24"/>
      <c r="E1441" s="1"/>
      <c r="F1441" s="23" t="b">
        <v>0</v>
      </c>
    </row>
    <row r="1442">
      <c r="C1442" s="24"/>
      <c r="E1442" s="1"/>
      <c r="F1442" s="23" t="b">
        <v>0</v>
      </c>
    </row>
    <row r="1443">
      <c r="C1443" s="24"/>
      <c r="E1443" s="1"/>
      <c r="F1443" s="23" t="b">
        <v>0</v>
      </c>
    </row>
    <row r="1444">
      <c r="C1444" s="24"/>
      <c r="E1444" s="1"/>
      <c r="F1444" s="23" t="b">
        <v>0</v>
      </c>
    </row>
    <row r="1445">
      <c r="C1445" s="24"/>
      <c r="E1445" s="1"/>
      <c r="F1445" s="23" t="b">
        <v>0</v>
      </c>
    </row>
    <row r="1446">
      <c r="C1446" s="24"/>
      <c r="E1446" s="1"/>
      <c r="F1446" s="23" t="b">
        <v>0</v>
      </c>
    </row>
    <row r="1447">
      <c r="C1447" s="24"/>
      <c r="E1447" s="1"/>
      <c r="F1447" s="23" t="b">
        <v>0</v>
      </c>
    </row>
    <row r="1448">
      <c r="C1448" s="24"/>
      <c r="E1448" s="1"/>
      <c r="F1448" s="23" t="b">
        <v>0</v>
      </c>
    </row>
    <row r="1449">
      <c r="C1449" s="24"/>
      <c r="E1449" s="1"/>
      <c r="F1449" s="23" t="b">
        <v>0</v>
      </c>
    </row>
    <row r="1450">
      <c r="C1450" s="24"/>
      <c r="E1450" s="1"/>
      <c r="F1450" s="23" t="b">
        <v>0</v>
      </c>
    </row>
    <row r="1451">
      <c r="C1451" s="24"/>
      <c r="E1451" s="1"/>
      <c r="F1451" s="23" t="b">
        <v>0</v>
      </c>
    </row>
    <row r="1452">
      <c r="C1452" s="24"/>
      <c r="E1452" s="1"/>
      <c r="F1452" s="23" t="b">
        <v>0</v>
      </c>
    </row>
    <row r="1453">
      <c r="C1453" s="24"/>
      <c r="E1453" s="1"/>
      <c r="F1453" s="23" t="b">
        <v>0</v>
      </c>
    </row>
    <row r="1454">
      <c r="C1454" s="24"/>
      <c r="E1454" s="1"/>
      <c r="F1454" s="23" t="b">
        <v>0</v>
      </c>
    </row>
    <row r="1455">
      <c r="C1455" s="24"/>
      <c r="E1455" s="1"/>
      <c r="F1455" s="23" t="b">
        <v>0</v>
      </c>
    </row>
    <row r="1456">
      <c r="C1456" s="24"/>
      <c r="E1456" s="1"/>
      <c r="F1456" s="23" t="b">
        <v>0</v>
      </c>
    </row>
    <row r="1457">
      <c r="C1457" s="24"/>
      <c r="E1457" s="1"/>
      <c r="F1457" s="23" t="b">
        <v>0</v>
      </c>
    </row>
    <row r="1458">
      <c r="C1458" s="24"/>
      <c r="E1458" s="1"/>
      <c r="F1458" s="23" t="b">
        <v>0</v>
      </c>
    </row>
    <row r="1459">
      <c r="C1459" s="24"/>
      <c r="E1459" s="1"/>
      <c r="F1459" s="23" t="b">
        <v>0</v>
      </c>
    </row>
    <row r="1460">
      <c r="C1460" s="24"/>
      <c r="E1460" s="1"/>
      <c r="F1460" s="23" t="b">
        <v>0</v>
      </c>
    </row>
    <row r="1461">
      <c r="C1461" s="24"/>
      <c r="E1461" s="1"/>
      <c r="F1461" s="23" t="b">
        <v>0</v>
      </c>
    </row>
    <row r="1462">
      <c r="C1462" s="24"/>
      <c r="E1462" s="1"/>
      <c r="F1462" s="23" t="b">
        <v>0</v>
      </c>
    </row>
    <row r="1463">
      <c r="C1463" s="24"/>
      <c r="E1463" s="1"/>
      <c r="F1463" s="23" t="b">
        <v>0</v>
      </c>
    </row>
    <row r="1464">
      <c r="C1464" s="24"/>
      <c r="E1464" s="1"/>
      <c r="F1464" s="23" t="b">
        <v>0</v>
      </c>
    </row>
    <row r="1465">
      <c r="C1465" s="24"/>
      <c r="E1465" s="1"/>
      <c r="F1465" s="23" t="b">
        <v>0</v>
      </c>
    </row>
    <row r="1466">
      <c r="C1466" s="24"/>
      <c r="E1466" s="1"/>
      <c r="F1466" s="23" t="b">
        <v>0</v>
      </c>
    </row>
    <row r="1467">
      <c r="C1467" s="24"/>
      <c r="E1467" s="1"/>
      <c r="F1467" s="23" t="b">
        <v>0</v>
      </c>
    </row>
    <row r="1468">
      <c r="C1468" s="24"/>
      <c r="E1468" s="1"/>
      <c r="F1468" s="23" t="b">
        <v>0</v>
      </c>
    </row>
    <row r="1469">
      <c r="C1469" s="24"/>
      <c r="E1469" s="1"/>
      <c r="F1469" s="23" t="b">
        <v>0</v>
      </c>
    </row>
    <row r="1470">
      <c r="C1470" s="24"/>
      <c r="E1470" s="1"/>
      <c r="F1470" s="23" t="b">
        <v>0</v>
      </c>
    </row>
    <row r="1471">
      <c r="C1471" s="24"/>
      <c r="E1471" s="1"/>
      <c r="F1471" s="23" t="b">
        <v>0</v>
      </c>
    </row>
    <row r="1472">
      <c r="C1472" s="24"/>
      <c r="E1472" s="1"/>
      <c r="F1472" s="23" t="b">
        <v>0</v>
      </c>
    </row>
    <row r="1473">
      <c r="C1473" s="24"/>
      <c r="E1473" s="1"/>
      <c r="F1473" s="23" t="b">
        <v>0</v>
      </c>
    </row>
    <row r="1474">
      <c r="C1474" s="24"/>
      <c r="E1474" s="1"/>
      <c r="F1474" s="23" t="b">
        <v>0</v>
      </c>
    </row>
    <row r="1475">
      <c r="C1475" s="24"/>
      <c r="E1475" s="1"/>
      <c r="F1475" s="23" t="b">
        <v>0</v>
      </c>
    </row>
    <row r="1476">
      <c r="C1476" s="24"/>
      <c r="E1476" s="1"/>
      <c r="F1476" s="23" t="b">
        <v>0</v>
      </c>
    </row>
    <row r="1477">
      <c r="C1477" s="24"/>
      <c r="E1477" s="1"/>
      <c r="F1477" s="23" t="b">
        <v>0</v>
      </c>
    </row>
    <row r="1478">
      <c r="C1478" s="24"/>
      <c r="E1478" s="1"/>
      <c r="F1478" s="23" t="b">
        <v>0</v>
      </c>
    </row>
    <row r="1479">
      <c r="C1479" s="24"/>
      <c r="E1479" s="1"/>
      <c r="F1479" s="23" t="b">
        <v>0</v>
      </c>
    </row>
    <row r="1480">
      <c r="C1480" s="24"/>
      <c r="E1480" s="1"/>
      <c r="F1480" s="23" t="b">
        <v>0</v>
      </c>
    </row>
    <row r="1481">
      <c r="C1481" s="24"/>
      <c r="E1481" s="1"/>
      <c r="F1481" s="23" t="b">
        <v>0</v>
      </c>
    </row>
    <row r="1482">
      <c r="C1482" s="24"/>
      <c r="E1482" s="1"/>
      <c r="F1482" s="23" t="b">
        <v>0</v>
      </c>
    </row>
    <row r="1483">
      <c r="C1483" s="24"/>
      <c r="E1483" s="1"/>
      <c r="F1483" s="23" t="b">
        <v>0</v>
      </c>
    </row>
    <row r="1484">
      <c r="C1484" s="24"/>
      <c r="E1484" s="1"/>
      <c r="F1484" s="23" t="b">
        <v>0</v>
      </c>
    </row>
    <row r="1485">
      <c r="C1485" s="24"/>
      <c r="E1485" s="1"/>
      <c r="F1485" s="23" t="b">
        <v>0</v>
      </c>
    </row>
    <row r="1486">
      <c r="C1486" s="24"/>
      <c r="E1486" s="1"/>
      <c r="F1486" s="23" t="b">
        <v>0</v>
      </c>
    </row>
    <row r="1487">
      <c r="C1487" s="24"/>
      <c r="E1487" s="1"/>
      <c r="F1487" s="23" t="b">
        <v>0</v>
      </c>
    </row>
    <row r="1488">
      <c r="C1488" s="24"/>
      <c r="E1488" s="1"/>
      <c r="F1488" s="23" t="b">
        <v>0</v>
      </c>
    </row>
    <row r="1489">
      <c r="C1489" s="24"/>
      <c r="E1489" s="1"/>
      <c r="F1489" s="23" t="b">
        <v>0</v>
      </c>
    </row>
    <row r="1490">
      <c r="C1490" s="24"/>
      <c r="E1490" s="1"/>
      <c r="F1490" s="23" t="b">
        <v>0</v>
      </c>
    </row>
    <row r="1491">
      <c r="C1491" s="24"/>
      <c r="E1491" s="1"/>
      <c r="F1491" s="23" t="b">
        <v>0</v>
      </c>
    </row>
    <row r="1492">
      <c r="C1492" s="24"/>
      <c r="E1492" s="1"/>
      <c r="F1492" s="23" t="b">
        <v>0</v>
      </c>
    </row>
    <row r="1493">
      <c r="C1493" s="24"/>
      <c r="E1493" s="1"/>
      <c r="F1493" s="23" t="b">
        <v>0</v>
      </c>
    </row>
    <row r="1494">
      <c r="C1494" s="24"/>
      <c r="E1494" s="1"/>
      <c r="F1494" s="23" t="b">
        <v>0</v>
      </c>
    </row>
    <row r="1495">
      <c r="C1495" s="24"/>
      <c r="E1495" s="1"/>
      <c r="F1495" s="23" t="b">
        <v>0</v>
      </c>
    </row>
    <row r="1496">
      <c r="C1496" s="24"/>
      <c r="E1496" s="1"/>
      <c r="F1496" s="23" t="b">
        <v>0</v>
      </c>
    </row>
    <row r="1497">
      <c r="C1497" s="24"/>
      <c r="E1497" s="1"/>
      <c r="F1497" s="23" t="b">
        <v>0</v>
      </c>
    </row>
    <row r="1498">
      <c r="C1498" s="24"/>
      <c r="E1498" s="1"/>
      <c r="F1498" s="23" t="b">
        <v>0</v>
      </c>
    </row>
    <row r="1499">
      <c r="C1499" s="24"/>
      <c r="E1499" s="1"/>
      <c r="F1499" s="23" t="b">
        <v>0</v>
      </c>
    </row>
    <row r="1500">
      <c r="C1500" s="24"/>
      <c r="E1500" s="1"/>
      <c r="F1500" s="23" t="b">
        <v>0</v>
      </c>
    </row>
    <row r="1501">
      <c r="C1501" s="24"/>
      <c r="E1501" s="1"/>
      <c r="F1501" s="23" t="b">
        <v>0</v>
      </c>
    </row>
    <row r="1502">
      <c r="C1502" s="24"/>
      <c r="E1502" s="1"/>
      <c r="F1502" s="23" t="b">
        <v>0</v>
      </c>
    </row>
    <row r="1503">
      <c r="C1503" s="24"/>
      <c r="E1503" s="1"/>
      <c r="F1503" s="23" t="b">
        <v>0</v>
      </c>
    </row>
    <row r="1504">
      <c r="C1504" s="24"/>
      <c r="E1504" s="1"/>
      <c r="F1504" s="23" t="b">
        <v>0</v>
      </c>
    </row>
    <row r="1505">
      <c r="C1505" s="24"/>
      <c r="E1505" s="1"/>
      <c r="F1505" s="23" t="b">
        <v>0</v>
      </c>
    </row>
    <row r="1506">
      <c r="C1506" s="24"/>
      <c r="E1506" s="1"/>
      <c r="F1506" s="23" t="b">
        <v>0</v>
      </c>
    </row>
    <row r="1507">
      <c r="C1507" s="24"/>
      <c r="E1507" s="1"/>
      <c r="F1507" s="23" t="b">
        <v>0</v>
      </c>
    </row>
    <row r="1508">
      <c r="C1508" s="24"/>
      <c r="E1508" s="1"/>
      <c r="F1508" s="23" t="b">
        <v>0</v>
      </c>
    </row>
    <row r="1509">
      <c r="C1509" s="24"/>
      <c r="E1509" s="1"/>
      <c r="F1509" s="23" t="b">
        <v>0</v>
      </c>
    </row>
    <row r="1510">
      <c r="C1510" s="24"/>
      <c r="E1510" s="1"/>
      <c r="F1510" s="23" t="b">
        <v>0</v>
      </c>
    </row>
    <row r="1511">
      <c r="C1511" s="24"/>
      <c r="E1511" s="1"/>
      <c r="F1511" s="23" t="b">
        <v>0</v>
      </c>
    </row>
    <row r="1512">
      <c r="C1512" s="24"/>
      <c r="E1512" s="1"/>
      <c r="F1512" s="23" t="b">
        <v>0</v>
      </c>
    </row>
    <row r="1513">
      <c r="C1513" s="24"/>
      <c r="E1513" s="1"/>
      <c r="F1513" s="23" t="b">
        <v>0</v>
      </c>
    </row>
    <row r="1514">
      <c r="C1514" s="24"/>
      <c r="E1514" s="1"/>
      <c r="F1514" s="23" t="b">
        <v>0</v>
      </c>
    </row>
    <row r="1515">
      <c r="C1515" s="24"/>
      <c r="E1515" s="1"/>
      <c r="F1515" s="23" t="b">
        <v>0</v>
      </c>
    </row>
    <row r="1516">
      <c r="C1516" s="24"/>
      <c r="E1516" s="1"/>
      <c r="F1516" s="23" t="b">
        <v>0</v>
      </c>
    </row>
    <row r="1517">
      <c r="C1517" s="24"/>
      <c r="E1517" s="1"/>
      <c r="F1517" s="23" t="b">
        <v>0</v>
      </c>
    </row>
    <row r="1518">
      <c r="C1518" s="24"/>
      <c r="E1518" s="1"/>
      <c r="F1518" s="23" t="b">
        <v>0</v>
      </c>
    </row>
    <row r="1519">
      <c r="C1519" s="24"/>
      <c r="E1519" s="1"/>
      <c r="F1519" s="23" t="b">
        <v>0</v>
      </c>
    </row>
    <row r="1520">
      <c r="C1520" s="24"/>
      <c r="E1520" s="1"/>
      <c r="F1520" s="23" t="b">
        <v>0</v>
      </c>
    </row>
    <row r="1521">
      <c r="C1521" s="24"/>
      <c r="E1521" s="1"/>
      <c r="F1521" s="23" t="b">
        <v>0</v>
      </c>
    </row>
    <row r="1522">
      <c r="C1522" s="24"/>
      <c r="E1522" s="1"/>
      <c r="F1522" s="23" t="b">
        <v>0</v>
      </c>
    </row>
    <row r="1523">
      <c r="C1523" s="24"/>
      <c r="E1523" s="1"/>
      <c r="F1523" s="23" t="b">
        <v>0</v>
      </c>
    </row>
    <row r="1524">
      <c r="C1524" s="24"/>
      <c r="E1524" s="1"/>
      <c r="F1524" s="23" t="b">
        <v>0</v>
      </c>
    </row>
    <row r="1525">
      <c r="C1525" s="24"/>
      <c r="E1525" s="1"/>
      <c r="F1525" s="23" t="b">
        <v>0</v>
      </c>
    </row>
    <row r="1526">
      <c r="C1526" s="24"/>
      <c r="E1526" s="1"/>
      <c r="F1526" s="23" t="b">
        <v>0</v>
      </c>
    </row>
    <row r="1527">
      <c r="C1527" s="24"/>
      <c r="E1527" s="1"/>
      <c r="F1527" s="23" t="b">
        <v>0</v>
      </c>
    </row>
    <row r="1528">
      <c r="C1528" s="24"/>
      <c r="E1528" s="1"/>
      <c r="F1528" s="23" t="b">
        <v>0</v>
      </c>
    </row>
    <row r="1529">
      <c r="C1529" s="24"/>
      <c r="E1529" s="1"/>
      <c r="F1529" s="23" t="b">
        <v>0</v>
      </c>
    </row>
    <row r="1530">
      <c r="C1530" s="24"/>
      <c r="E1530" s="1"/>
      <c r="F1530" s="23" t="b">
        <v>0</v>
      </c>
    </row>
    <row r="1531">
      <c r="C1531" s="24"/>
      <c r="E1531" s="1"/>
      <c r="F1531" s="23" t="b">
        <v>0</v>
      </c>
    </row>
    <row r="1532">
      <c r="C1532" s="24"/>
      <c r="E1532" s="1"/>
      <c r="F1532" s="23" t="b">
        <v>0</v>
      </c>
    </row>
    <row r="1533">
      <c r="C1533" s="24"/>
      <c r="E1533" s="1"/>
      <c r="F1533" s="23" t="b">
        <v>0</v>
      </c>
    </row>
    <row r="1534">
      <c r="C1534" s="24"/>
      <c r="E1534" s="1"/>
      <c r="F1534" s="23" t="b">
        <v>0</v>
      </c>
    </row>
    <row r="1535">
      <c r="C1535" s="24"/>
      <c r="E1535" s="1"/>
      <c r="F1535" s="23" t="b">
        <v>0</v>
      </c>
    </row>
    <row r="1536">
      <c r="C1536" s="24"/>
      <c r="E1536" s="1"/>
      <c r="F1536" s="23" t="b">
        <v>0</v>
      </c>
    </row>
    <row r="1537">
      <c r="C1537" s="24"/>
      <c r="E1537" s="1"/>
      <c r="F1537" s="23" t="b">
        <v>0</v>
      </c>
    </row>
    <row r="1538">
      <c r="C1538" s="24"/>
      <c r="E1538" s="1"/>
      <c r="F1538" s="23" t="b">
        <v>0</v>
      </c>
    </row>
    <row r="1539">
      <c r="C1539" s="24"/>
      <c r="E1539" s="1"/>
      <c r="F1539" s="23" t="b">
        <v>0</v>
      </c>
    </row>
    <row r="1540">
      <c r="C1540" s="24"/>
      <c r="E1540" s="1"/>
      <c r="F1540" s="23" t="b">
        <v>0</v>
      </c>
    </row>
    <row r="1541">
      <c r="C1541" s="24"/>
      <c r="E1541" s="1"/>
      <c r="F1541" s="23" t="b">
        <v>0</v>
      </c>
    </row>
    <row r="1542">
      <c r="C1542" s="24"/>
      <c r="E1542" s="1"/>
      <c r="F1542" s="23" t="b">
        <v>0</v>
      </c>
    </row>
    <row r="1543">
      <c r="C1543" s="24"/>
      <c r="E1543" s="1"/>
      <c r="F1543" s="23" t="b">
        <v>0</v>
      </c>
    </row>
    <row r="1544">
      <c r="C1544" s="24"/>
      <c r="E1544" s="1"/>
      <c r="F1544" s="23" t="b">
        <v>0</v>
      </c>
    </row>
    <row r="1545">
      <c r="C1545" s="24"/>
      <c r="E1545" s="1"/>
      <c r="F1545" s="23" t="b">
        <v>0</v>
      </c>
    </row>
    <row r="1546">
      <c r="C1546" s="24"/>
      <c r="E1546" s="1"/>
      <c r="F1546" s="23" t="b">
        <v>0</v>
      </c>
    </row>
    <row r="1547">
      <c r="C1547" s="24"/>
      <c r="E1547" s="1"/>
      <c r="F1547" s="23" t="b">
        <v>0</v>
      </c>
    </row>
    <row r="1548">
      <c r="C1548" s="24"/>
      <c r="E1548" s="1"/>
      <c r="F1548" s="23" t="b">
        <v>0</v>
      </c>
    </row>
    <row r="1549">
      <c r="C1549" s="24"/>
      <c r="E1549" s="1"/>
      <c r="F1549" s="23" t="b">
        <v>0</v>
      </c>
    </row>
    <row r="1550">
      <c r="C1550" s="24"/>
      <c r="E1550" s="1"/>
      <c r="F1550" s="23" t="b">
        <v>0</v>
      </c>
    </row>
    <row r="1551">
      <c r="C1551" s="24"/>
      <c r="E1551" s="1"/>
      <c r="F1551" s="23" t="b">
        <v>0</v>
      </c>
    </row>
    <row r="1552">
      <c r="C1552" s="24"/>
      <c r="E1552" s="1"/>
      <c r="F1552" s="23" t="b">
        <v>0</v>
      </c>
    </row>
    <row r="1553">
      <c r="C1553" s="24"/>
      <c r="E1553" s="1"/>
      <c r="F1553" s="23" t="b">
        <v>0</v>
      </c>
    </row>
    <row r="1554">
      <c r="C1554" s="24"/>
      <c r="E1554" s="1"/>
      <c r="F1554" s="23" t="b">
        <v>0</v>
      </c>
    </row>
    <row r="1555">
      <c r="C1555" s="24"/>
      <c r="E1555" s="1"/>
      <c r="F1555" s="23" t="b">
        <v>0</v>
      </c>
    </row>
    <row r="1556">
      <c r="C1556" s="24"/>
      <c r="E1556" s="1"/>
      <c r="F1556" s="23" t="b">
        <v>0</v>
      </c>
    </row>
    <row r="1557">
      <c r="C1557" s="24"/>
      <c r="E1557" s="1"/>
      <c r="F1557" s="23" t="b">
        <v>0</v>
      </c>
    </row>
    <row r="1558">
      <c r="C1558" s="24"/>
      <c r="E1558" s="1"/>
      <c r="F1558" s="23" t="b">
        <v>0</v>
      </c>
    </row>
    <row r="1559">
      <c r="C1559" s="24"/>
      <c r="E1559" s="1"/>
      <c r="F1559" s="23" t="b">
        <v>0</v>
      </c>
    </row>
    <row r="1560">
      <c r="C1560" s="24"/>
      <c r="E1560" s="1"/>
      <c r="F1560" s="23" t="b">
        <v>0</v>
      </c>
    </row>
    <row r="1561">
      <c r="C1561" s="24"/>
      <c r="E1561" s="1"/>
      <c r="F1561" s="23" t="b">
        <v>0</v>
      </c>
    </row>
    <row r="1562">
      <c r="C1562" s="24"/>
      <c r="E1562" s="1"/>
      <c r="F1562" s="23" t="b">
        <v>0</v>
      </c>
    </row>
    <row r="1563">
      <c r="C1563" s="24"/>
      <c r="E1563" s="1"/>
      <c r="F1563" s="23" t="b">
        <v>0</v>
      </c>
    </row>
    <row r="1564">
      <c r="C1564" s="24"/>
      <c r="E1564" s="1"/>
      <c r="F1564" s="23" t="b">
        <v>0</v>
      </c>
    </row>
    <row r="1565">
      <c r="C1565" s="24"/>
      <c r="E1565" s="1"/>
      <c r="F1565" s="23" t="b">
        <v>0</v>
      </c>
    </row>
    <row r="1566">
      <c r="C1566" s="24"/>
      <c r="E1566" s="1"/>
      <c r="F1566" s="23" t="b">
        <v>0</v>
      </c>
    </row>
    <row r="1567">
      <c r="C1567" s="24"/>
      <c r="E1567" s="1"/>
      <c r="F1567" s="23" t="b">
        <v>0</v>
      </c>
    </row>
    <row r="1568">
      <c r="C1568" s="24"/>
      <c r="E1568" s="1"/>
      <c r="F1568" s="23" t="b">
        <v>0</v>
      </c>
    </row>
    <row r="1569">
      <c r="C1569" s="24"/>
      <c r="E1569" s="1"/>
      <c r="F1569" s="23" t="b">
        <v>0</v>
      </c>
    </row>
    <row r="1570">
      <c r="C1570" s="24"/>
      <c r="E1570" s="1"/>
      <c r="F1570" s="23" t="b">
        <v>0</v>
      </c>
    </row>
    <row r="1571">
      <c r="C1571" s="24"/>
      <c r="E1571" s="1"/>
      <c r="F1571" s="23" t="b">
        <v>0</v>
      </c>
    </row>
    <row r="1572">
      <c r="C1572" s="24"/>
      <c r="E1572" s="1"/>
      <c r="F1572" s="23" t="b">
        <v>0</v>
      </c>
    </row>
    <row r="1573">
      <c r="C1573" s="24"/>
      <c r="E1573" s="1"/>
      <c r="F1573" s="23" t="b">
        <v>0</v>
      </c>
    </row>
    <row r="1574">
      <c r="C1574" s="24"/>
      <c r="E1574" s="1"/>
      <c r="F1574" s="23" t="b">
        <v>0</v>
      </c>
    </row>
    <row r="1575">
      <c r="C1575" s="24"/>
      <c r="E1575" s="1"/>
      <c r="F1575" s="23" t="b">
        <v>0</v>
      </c>
    </row>
    <row r="1576">
      <c r="C1576" s="24"/>
      <c r="E1576" s="1"/>
      <c r="F1576" s="23" t="b">
        <v>0</v>
      </c>
    </row>
    <row r="1577">
      <c r="C1577" s="24"/>
      <c r="E1577" s="1"/>
      <c r="F1577" s="23" t="b">
        <v>0</v>
      </c>
    </row>
    <row r="1578">
      <c r="C1578" s="24"/>
      <c r="E1578" s="1"/>
      <c r="F1578" s="23" t="b">
        <v>0</v>
      </c>
    </row>
    <row r="1579">
      <c r="C1579" s="24"/>
      <c r="E1579" s="1"/>
      <c r="F1579" s="23" t="b">
        <v>0</v>
      </c>
    </row>
    <row r="1580">
      <c r="C1580" s="24"/>
      <c r="E1580" s="1"/>
      <c r="F1580" s="23" t="b">
        <v>0</v>
      </c>
    </row>
    <row r="1581">
      <c r="C1581" s="24"/>
      <c r="E1581" s="1"/>
      <c r="F1581" s="23" t="b">
        <v>0</v>
      </c>
    </row>
    <row r="1582">
      <c r="C1582" s="24"/>
      <c r="E1582" s="1"/>
      <c r="F1582" s="23" t="b">
        <v>0</v>
      </c>
    </row>
    <row r="1583">
      <c r="C1583" s="24"/>
      <c r="E1583" s="1"/>
      <c r="F1583" s="23" t="b">
        <v>0</v>
      </c>
    </row>
    <row r="1584">
      <c r="C1584" s="24"/>
      <c r="E1584" s="1"/>
      <c r="F1584" s="23" t="b">
        <v>0</v>
      </c>
    </row>
    <row r="1585">
      <c r="C1585" s="24"/>
      <c r="E1585" s="1"/>
      <c r="F1585" s="23" t="b">
        <v>0</v>
      </c>
    </row>
    <row r="1586">
      <c r="C1586" s="24"/>
      <c r="E1586" s="1"/>
      <c r="F1586" s="23" t="b">
        <v>0</v>
      </c>
    </row>
    <row r="1587">
      <c r="C1587" s="24"/>
      <c r="E1587" s="1"/>
      <c r="F1587" s="23" t="b">
        <v>0</v>
      </c>
    </row>
    <row r="1588">
      <c r="C1588" s="24"/>
      <c r="E1588" s="1"/>
      <c r="F1588" s="23" t="b">
        <v>0</v>
      </c>
    </row>
    <row r="1589">
      <c r="C1589" s="24"/>
      <c r="E1589" s="1"/>
      <c r="F1589" s="23" t="b">
        <v>0</v>
      </c>
    </row>
    <row r="1590">
      <c r="C1590" s="24"/>
      <c r="E1590" s="1"/>
      <c r="F1590" s="23" t="b">
        <v>0</v>
      </c>
    </row>
    <row r="1591">
      <c r="C1591" s="24"/>
      <c r="E1591" s="1"/>
      <c r="F1591" s="23" t="b">
        <v>0</v>
      </c>
    </row>
    <row r="1592">
      <c r="C1592" s="24"/>
      <c r="E1592" s="1"/>
      <c r="F1592" s="23" t="b">
        <v>0</v>
      </c>
    </row>
    <row r="1593">
      <c r="C1593" s="24"/>
      <c r="E1593" s="1"/>
      <c r="F1593" s="23" t="b">
        <v>0</v>
      </c>
    </row>
    <row r="1594">
      <c r="C1594" s="24"/>
      <c r="E1594" s="1"/>
      <c r="F1594" s="23" t="b">
        <v>0</v>
      </c>
    </row>
    <row r="1595">
      <c r="C1595" s="24"/>
      <c r="E1595" s="1"/>
      <c r="F1595" s="23" t="b">
        <v>0</v>
      </c>
    </row>
    <row r="1596">
      <c r="C1596" s="24"/>
      <c r="E1596" s="1"/>
      <c r="F1596" s="23" t="b">
        <v>0</v>
      </c>
    </row>
    <row r="1597">
      <c r="C1597" s="24"/>
      <c r="E1597" s="1"/>
      <c r="F1597" s="23" t="b">
        <v>0</v>
      </c>
    </row>
    <row r="1598">
      <c r="C1598" s="24"/>
      <c r="E1598" s="1"/>
      <c r="F1598" s="23" t="b">
        <v>0</v>
      </c>
    </row>
    <row r="1599">
      <c r="C1599" s="24"/>
      <c r="E1599" s="1"/>
      <c r="F1599" s="23" t="b">
        <v>0</v>
      </c>
    </row>
    <row r="1600">
      <c r="C1600" s="24"/>
      <c r="E1600" s="1"/>
      <c r="F1600" s="23" t="b">
        <v>0</v>
      </c>
    </row>
    <row r="1601">
      <c r="C1601" s="24"/>
      <c r="E1601" s="1"/>
      <c r="F1601" s="23" t="b">
        <v>0</v>
      </c>
    </row>
    <row r="1602">
      <c r="C1602" s="24"/>
      <c r="E1602" s="1"/>
      <c r="F1602" s="23" t="b">
        <v>0</v>
      </c>
    </row>
    <row r="1603">
      <c r="C1603" s="24"/>
      <c r="E1603" s="1"/>
      <c r="F1603" s="23" t="b">
        <v>0</v>
      </c>
    </row>
    <row r="1604">
      <c r="C1604" s="24"/>
      <c r="E1604" s="1"/>
      <c r="F1604" s="23" t="b">
        <v>0</v>
      </c>
    </row>
    <row r="1605">
      <c r="C1605" s="24"/>
      <c r="E1605" s="1"/>
      <c r="F1605" s="23" t="b">
        <v>0</v>
      </c>
    </row>
    <row r="1606">
      <c r="C1606" s="24"/>
      <c r="E1606" s="1"/>
      <c r="F1606" s="23" t="b">
        <v>0</v>
      </c>
    </row>
    <row r="1607">
      <c r="C1607" s="24"/>
      <c r="E1607" s="1"/>
      <c r="F1607" s="23" t="b">
        <v>0</v>
      </c>
    </row>
    <row r="1608">
      <c r="C1608" s="24"/>
      <c r="E1608" s="1"/>
      <c r="F1608" s="23" t="b">
        <v>0</v>
      </c>
    </row>
    <row r="1609">
      <c r="C1609" s="24"/>
      <c r="E1609" s="1"/>
      <c r="F1609" s="23" t="b">
        <v>0</v>
      </c>
    </row>
    <row r="1610">
      <c r="C1610" s="24"/>
      <c r="E1610" s="1"/>
      <c r="F1610" s="23" t="b">
        <v>0</v>
      </c>
    </row>
    <row r="1611">
      <c r="C1611" s="24"/>
      <c r="E1611" s="1"/>
      <c r="F1611" s="23" t="b">
        <v>0</v>
      </c>
    </row>
    <row r="1612">
      <c r="C1612" s="24"/>
      <c r="E1612" s="1"/>
      <c r="F1612" s="23" t="b">
        <v>0</v>
      </c>
    </row>
    <row r="1613">
      <c r="C1613" s="24"/>
      <c r="E1613" s="1"/>
      <c r="F1613" s="23" t="b">
        <v>0</v>
      </c>
    </row>
    <row r="1614">
      <c r="C1614" s="24"/>
      <c r="E1614" s="1"/>
      <c r="F1614" s="23" t="b">
        <v>0</v>
      </c>
    </row>
    <row r="1615">
      <c r="C1615" s="24"/>
      <c r="E1615" s="1"/>
      <c r="F1615" s="23" t="b">
        <v>0</v>
      </c>
    </row>
    <row r="1616">
      <c r="C1616" s="24"/>
      <c r="E1616" s="1"/>
      <c r="F1616" s="23" t="b">
        <v>0</v>
      </c>
    </row>
    <row r="1617">
      <c r="C1617" s="24"/>
      <c r="E1617" s="1"/>
      <c r="F1617" s="23" t="b">
        <v>0</v>
      </c>
    </row>
    <row r="1618">
      <c r="C1618" s="24"/>
      <c r="E1618" s="1"/>
      <c r="F1618" s="23" t="b">
        <v>0</v>
      </c>
    </row>
    <row r="1619">
      <c r="C1619" s="24"/>
      <c r="E1619" s="1"/>
      <c r="F1619" s="23" t="b">
        <v>0</v>
      </c>
    </row>
    <row r="1620">
      <c r="C1620" s="24"/>
      <c r="E1620" s="1"/>
      <c r="F1620" s="23" t="b">
        <v>0</v>
      </c>
    </row>
    <row r="1621">
      <c r="C1621" s="24"/>
      <c r="E1621" s="1"/>
      <c r="F1621" s="23" t="b">
        <v>0</v>
      </c>
    </row>
    <row r="1622">
      <c r="C1622" s="24"/>
      <c r="E1622" s="1"/>
      <c r="F1622" s="23" t="b">
        <v>0</v>
      </c>
    </row>
    <row r="1623">
      <c r="C1623" s="24"/>
      <c r="E1623" s="1"/>
      <c r="F1623" s="23" t="b">
        <v>0</v>
      </c>
    </row>
    <row r="1624">
      <c r="C1624" s="24"/>
      <c r="E1624" s="1"/>
      <c r="F1624" s="23" t="b">
        <v>0</v>
      </c>
    </row>
    <row r="1625">
      <c r="C1625" s="24"/>
      <c r="E1625" s="1"/>
      <c r="F1625" s="23" t="b">
        <v>0</v>
      </c>
    </row>
    <row r="1626">
      <c r="C1626" s="24"/>
      <c r="E1626" s="1"/>
      <c r="F1626" s="23" t="b">
        <v>0</v>
      </c>
    </row>
    <row r="1627">
      <c r="C1627" s="24"/>
      <c r="E1627" s="1"/>
      <c r="F1627" s="23" t="b">
        <v>0</v>
      </c>
    </row>
    <row r="1628">
      <c r="C1628" s="24"/>
      <c r="E1628" s="1"/>
      <c r="F1628" s="23" t="b">
        <v>0</v>
      </c>
    </row>
    <row r="1629">
      <c r="C1629" s="24"/>
      <c r="E1629" s="1"/>
      <c r="F1629" s="23" t="b">
        <v>0</v>
      </c>
    </row>
    <row r="1630">
      <c r="C1630" s="24"/>
      <c r="E1630" s="1"/>
      <c r="F1630" s="23" t="b">
        <v>0</v>
      </c>
    </row>
    <row r="1631">
      <c r="C1631" s="24"/>
      <c r="E1631" s="1"/>
      <c r="F1631" s="23" t="b">
        <v>0</v>
      </c>
    </row>
    <row r="1632">
      <c r="C1632" s="24"/>
      <c r="E1632" s="1"/>
      <c r="F1632" s="23" t="b">
        <v>0</v>
      </c>
    </row>
    <row r="1633">
      <c r="C1633" s="24"/>
      <c r="E1633" s="1"/>
      <c r="F1633" s="23" t="b">
        <v>0</v>
      </c>
    </row>
    <row r="1634">
      <c r="C1634" s="24"/>
      <c r="E1634" s="1"/>
      <c r="F1634" s="23" t="b">
        <v>0</v>
      </c>
    </row>
    <row r="1635">
      <c r="C1635" s="24"/>
      <c r="E1635" s="1"/>
      <c r="F1635" s="23" t="b">
        <v>0</v>
      </c>
    </row>
    <row r="1636">
      <c r="C1636" s="24"/>
      <c r="E1636" s="1"/>
      <c r="F1636" s="23" t="b">
        <v>0</v>
      </c>
    </row>
    <row r="1637">
      <c r="C1637" s="24"/>
      <c r="E1637" s="1"/>
      <c r="F1637" s="23" t="b">
        <v>0</v>
      </c>
    </row>
    <row r="1638">
      <c r="C1638" s="24"/>
      <c r="E1638" s="1"/>
      <c r="F1638" s="23" t="b">
        <v>0</v>
      </c>
    </row>
    <row r="1639">
      <c r="C1639" s="24"/>
      <c r="E1639" s="1"/>
      <c r="F1639" s="23" t="b">
        <v>0</v>
      </c>
    </row>
    <row r="1640">
      <c r="C1640" s="24"/>
      <c r="E1640" s="1"/>
      <c r="F1640" s="23" t="b">
        <v>0</v>
      </c>
    </row>
    <row r="1641">
      <c r="C1641" s="24"/>
      <c r="E1641" s="1"/>
      <c r="F1641" s="23" t="b">
        <v>0</v>
      </c>
    </row>
    <row r="1642">
      <c r="C1642" s="24"/>
      <c r="E1642" s="1"/>
      <c r="F1642" s="23" t="b">
        <v>0</v>
      </c>
    </row>
    <row r="1643">
      <c r="C1643" s="24"/>
      <c r="E1643" s="1"/>
      <c r="F1643" s="23" t="b">
        <v>0</v>
      </c>
    </row>
    <row r="1644">
      <c r="C1644" s="24"/>
      <c r="E1644" s="1"/>
      <c r="F1644" s="23" t="b">
        <v>0</v>
      </c>
    </row>
    <row r="1645">
      <c r="C1645" s="24"/>
      <c r="E1645" s="1"/>
      <c r="F1645" s="23" t="b">
        <v>0</v>
      </c>
    </row>
    <row r="1646">
      <c r="C1646" s="24"/>
      <c r="E1646" s="1"/>
      <c r="F1646" s="23" t="b">
        <v>0</v>
      </c>
    </row>
    <row r="1647">
      <c r="C1647" s="24"/>
      <c r="E1647" s="1"/>
      <c r="F1647" s="23" t="b">
        <v>0</v>
      </c>
    </row>
    <row r="1648">
      <c r="C1648" s="24"/>
      <c r="E1648" s="1"/>
      <c r="F1648" s="23" t="b">
        <v>0</v>
      </c>
    </row>
    <row r="1649">
      <c r="C1649" s="24"/>
      <c r="E1649" s="1"/>
      <c r="F1649" s="23" t="b">
        <v>0</v>
      </c>
    </row>
    <row r="1650">
      <c r="C1650" s="24"/>
      <c r="E1650" s="1"/>
      <c r="F1650" s="23" t="b">
        <v>0</v>
      </c>
    </row>
    <row r="1651">
      <c r="C1651" s="24"/>
      <c r="E1651" s="1"/>
      <c r="F1651" s="23" t="b">
        <v>0</v>
      </c>
    </row>
    <row r="1652">
      <c r="C1652" s="24"/>
      <c r="E1652" s="1"/>
      <c r="F1652" s="23" t="b">
        <v>0</v>
      </c>
    </row>
    <row r="1653">
      <c r="C1653" s="24"/>
      <c r="E1653" s="1"/>
      <c r="F1653" s="23" t="b">
        <v>0</v>
      </c>
    </row>
    <row r="1654">
      <c r="C1654" s="24"/>
      <c r="E1654" s="1"/>
      <c r="F1654" s="23" t="b">
        <v>0</v>
      </c>
    </row>
    <row r="1655">
      <c r="C1655" s="24"/>
      <c r="E1655" s="1"/>
      <c r="F1655" s="23" t="b">
        <v>0</v>
      </c>
    </row>
    <row r="1656">
      <c r="C1656" s="24"/>
      <c r="E1656" s="1"/>
      <c r="F1656" s="23" t="b">
        <v>0</v>
      </c>
    </row>
    <row r="1657">
      <c r="C1657" s="24"/>
      <c r="E1657" s="1"/>
      <c r="F1657" s="23" t="b">
        <v>0</v>
      </c>
    </row>
    <row r="1658">
      <c r="C1658" s="24"/>
      <c r="E1658" s="1"/>
      <c r="F1658" s="23" t="b">
        <v>0</v>
      </c>
    </row>
    <row r="1659">
      <c r="C1659" s="24"/>
      <c r="E1659" s="1"/>
      <c r="F1659" s="23" t="b">
        <v>0</v>
      </c>
    </row>
    <row r="1660">
      <c r="C1660" s="24"/>
      <c r="E1660" s="1"/>
      <c r="F1660" s="23" t="b">
        <v>0</v>
      </c>
    </row>
    <row r="1661">
      <c r="C1661" s="24"/>
      <c r="E1661" s="1"/>
      <c r="F1661" s="23" t="b">
        <v>0</v>
      </c>
    </row>
    <row r="1662">
      <c r="C1662" s="24"/>
      <c r="E1662" s="1"/>
      <c r="F1662" s="23" t="b">
        <v>0</v>
      </c>
    </row>
    <row r="1663">
      <c r="C1663" s="24"/>
      <c r="E1663" s="1"/>
      <c r="F1663" s="23" t="b">
        <v>0</v>
      </c>
    </row>
    <row r="1664">
      <c r="C1664" s="24"/>
      <c r="E1664" s="1"/>
      <c r="F1664" s="23" t="b">
        <v>0</v>
      </c>
    </row>
    <row r="1665">
      <c r="C1665" s="24"/>
      <c r="E1665" s="1"/>
      <c r="F1665" s="23" t="b">
        <v>0</v>
      </c>
    </row>
    <row r="1666">
      <c r="C1666" s="24"/>
      <c r="E1666" s="1"/>
      <c r="F1666" s="23" t="b">
        <v>0</v>
      </c>
    </row>
    <row r="1667">
      <c r="C1667" s="24"/>
      <c r="E1667" s="1"/>
      <c r="F1667" s="23" t="b">
        <v>0</v>
      </c>
    </row>
    <row r="1668">
      <c r="C1668" s="24"/>
      <c r="E1668" s="1"/>
      <c r="F1668" s="23" t="b">
        <v>0</v>
      </c>
    </row>
    <row r="1669">
      <c r="C1669" s="24"/>
      <c r="E1669" s="1"/>
      <c r="F1669" s="23" t="b">
        <v>0</v>
      </c>
    </row>
    <row r="1670">
      <c r="C1670" s="24"/>
      <c r="E1670" s="1"/>
      <c r="F1670" s="23" t="b">
        <v>0</v>
      </c>
    </row>
    <row r="1671">
      <c r="C1671" s="24"/>
      <c r="E1671" s="1"/>
      <c r="F1671" s="23" t="b">
        <v>0</v>
      </c>
    </row>
    <row r="1672">
      <c r="C1672" s="24"/>
      <c r="E1672" s="1"/>
      <c r="F1672" s="23" t="b">
        <v>0</v>
      </c>
    </row>
    <row r="1673">
      <c r="C1673" s="24"/>
      <c r="E1673" s="1"/>
      <c r="F1673" s="23" t="b">
        <v>0</v>
      </c>
    </row>
    <row r="1674">
      <c r="C1674" s="24"/>
      <c r="E1674" s="1"/>
      <c r="F1674" s="23" t="b">
        <v>0</v>
      </c>
    </row>
    <row r="1675">
      <c r="C1675" s="24"/>
      <c r="E1675" s="1"/>
      <c r="F1675" s="23" t="b">
        <v>0</v>
      </c>
    </row>
    <row r="1676">
      <c r="C1676" s="24"/>
      <c r="E1676" s="1"/>
      <c r="F1676" s="23" t="b">
        <v>0</v>
      </c>
    </row>
    <row r="1677">
      <c r="C1677" s="24"/>
      <c r="E1677" s="1"/>
      <c r="F1677" s="23" t="b">
        <v>0</v>
      </c>
    </row>
    <row r="1678">
      <c r="C1678" s="24"/>
      <c r="E1678" s="1"/>
      <c r="F1678" s="23" t="b">
        <v>0</v>
      </c>
    </row>
    <row r="1679">
      <c r="C1679" s="24"/>
      <c r="E1679" s="1"/>
      <c r="F1679" s="23" t="b">
        <v>0</v>
      </c>
    </row>
    <row r="1680">
      <c r="C1680" s="24"/>
      <c r="E1680" s="1"/>
      <c r="F1680" s="23" t="b">
        <v>0</v>
      </c>
    </row>
    <row r="1681">
      <c r="C1681" s="24"/>
      <c r="E1681" s="1"/>
      <c r="F1681" s="23" t="b">
        <v>0</v>
      </c>
    </row>
    <row r="1682">
      <c r="C1682" s="24"/>
      <c r="E1682" s="1"/>
      <c r="F1682" s="23" t="b">
        <v>0</v>
      </c>
    </row>
    <row r="1683">
      <c r="C1683" s="24"/>
      <c r="E1683" s="1"/>
      <c r="F1683" s="23" t="b">
        <v>0</v>
      </c>
    </row>
    <row r="1684">
      <c r="C1684" s="24"/>
      <c r="E1684" s="1"/>
      <c r="F1684" s="23" t="b">
        <v>0</v>
      </c>
    </row>
    <row r="1685">
      <c r="C1685" s="24"/>
      <c r="E1685" s="1"/>
      <c r="F1685" s="23" t="b">
        <v>0</v>
      </c>
    </row>
    <row r="1686">
      <c r="C1686" s="24"/>
      <c r="E1686" s="1"/>
      <c r="F1686" s="23" t="b">
        <v>0</v>
      </c>
    </row>
    <row r="1687">
      <c r="C1687" s="24"/>
      <c r="E1687" s="1"/>
      <c r="F1687" s="23" t="b">
        <v>0</v>
      </c>
    </row>
    <row r="1688">
      <c r="C1688" s="24"/>
      <c r="E1688" s="1"/>
      <c r="F1688" s="23" t="b">
        <v>0</v>
      </c>
    </row>
    <row r="1689">
      <c r="C1689" s="24"/>
      <c r="E1689" s="1"/>
      <c r="F1689" s="23" t="b">
        <v>0</v>
      </c>
    </row>
    <row r="1690">
      <c r="C1690" s="24"/>
      <c r="E1690" s="1"/>
      <c r="F1690" s="23" t="b">
        <v>0</v>
      </c>
    </row>
    <row r="1691">
      <c r="C1691" s="24"/>
      <c r="E1691" s="1"/>
      <c r="F1691" s="23" t="b">
        <v>0</v>
      </c>
    </row>
    <row r="1692">
      <c r="C1692" s="24"/>
      <c r="E1692" s="1"/>
      <c r="F1692" s="23" t="b">
        <v>0</v>
      </c>
    </row>
    <row r="1693">
      <c r="C1693" s="24"/>
      <c r="E1693" s="1"/>
      <c r="F1693" s="23" t="b">
        <v>0</v>
      </c>
    </row>
    <row r="1694">
      <c r="C1694" s="24"/>
      <c r="E1694" s="1"/>
      <c r="F1694" s="23" t="b">
        <v>0</v>
      </c>
    </row>
    <row r="1695">
      <c r="C1695" s="24"/>
      <c r="E1695" s="1"/>
      <c r="F1695" s="23" t="b">
        <v>0</v>
      </c>
    </row>
    <row r="1696">
      <c r="C1696" s="24"/>
      <c r="E1696" s="1"/>
      <c r="F1696" s="23" t="b">
        <v>0</v>
      </c>
    </row>
    <row r="1697">
      <c r="C1697" s="24"/>
      <c r="E1697" s="1"/>
      <c r="F1697" s="23" t="b">
        <v>0</v>
      </c>
    </row>
    <row r="1698">
      <c r="C1698" s="24"/>
      <c r="E1698" s="1"/>
      <c r="F1698" s="23" t="b">
        <v>0</v>
      </c>
    </row>
    <row r="1699">
      <c r="C1699" s="24"/>
      <c r="E1699" s="1"/>
      <c r="F1699" s="23" t="b">
        <v>0</v>
      </c>
    </row>
    <row r="1700">
      <c r="C1700" s="24"/>
      <c r="E1700" s="1"/>
      <c r="F1700" s="23" t="b">
        <v>0</v>
      </c>
    </row>
    <row r="1701">
      <c r="C1701" s="24"/>
      <c r="E1701" s="1"/>
      <c r="F1701" s="23" t="b">
        <v>0</v>
      </c>
    </row>
    <row r="1702">
      <c r="C1702" s="24"/>
      <c r="E1702" s="1"/>
      <c r="F1702" s="23" t="b">
        <v>0</v>
      </c>
    </row>
    <row r="1703">
      <c r="C1703" s="24"/>
      <c r="E1703" s="1"/>
      <c r="F1703" s="23" t="b">
        <v>0</v>
      </c>
    </row>
    <row r="1704">
      <c r="C1704" s="24"/>
      <c r="E1704" s="1"/>
      <c r="F1704" s="23" t="b">
        <v>0</v>
      </c>
    </row>
    <row r="1705">
      <c r="C1705" s="24"/>
      <c r="E1705" s="1"/>
      <c r="F1705" s="23" t="b">
        <v>0</v>
      </c>
    </row>
    <row r="1706">
      <c r="C1706" s="24"/>
      <c r="E1706" s="1"/>
      <c r="F1706" s="23" t="b">
        <v>0</v>
      </c>
    </row>
    <row r="1707">
      <c r="C1707" s="24"/>
      <c r="E1707" s="1"/>
      <c r="F1707" s="23" t="b">
        <v>0</v>
      </c>
    </row>
    <row r="1708">
      <c r="C1708" s="24"/>
      <c r="E1708" s="1"/>
      <c r="F1708" s="23" t="b">
        <v>0</v>
      </c>
    </row>
    <row r="1709">
      <c r="C1709" s="24"/>
      <c r="E1709" s="1"/>
      <c r="F1709" s="23" t="b">
        <v>0</v>
      </c>
    </row>
    <row r="1710">
      <c r="C1710" s="24"/>
      <c r="E1710" s="1"/>
      <c r="F1710" s="23" t="b">
        <v>0</v>
      </c>
    </row>
    <row r="1711">
      <c r="C1711" s="24"/>
      <c r="E1711" s="1"/>
      <c r="F1711" s="23" t="b">
        <v>0</v>
      </c>
    </row>
    <row r="1712">
      <c r="C1712" s="24"/>
      <c r="E1712" s="1"/>
      <c r="F1712" s="23" t="b">
        <v>0</v>
      </c>
    </row>
    <row r="1713">
      <c r="C1713" s="24"/>
      <c r="E1713" s="1"/>
      <c r="F1713" s="23" t="b">
        <v>0</v>
      </c>
    </row>
    <row r="1714">
      <c r="C1714" s="24"/>
      <c r="E1714" s="1"/>
      <c r="F1714" s="23" t="b">
        <v>0</v>
      </c>
    </row>
    <row r="1715">
      <c r="C1715" s="24"/>
      <c r="E1715" s="1"/>
      <c r="F1715" s="23" t="b">
        <v>0</v>
      </c>
    </row>
    <row r="1716">
      <c r="C1716" s="24"/>
      <c r="E1716" s="1"/>
      <c r="F1716" s="23" t="b">
        <v>0</v>
      </c>
    </row>
    <row r="1717">
      <c r="C1717" s="24"/>
      <c r="E1717" s="1"/>
      <c r="F1717" s="23" t="b">
        <v>0</v>
      </c>
    </row>
    <row r="1718">
      <c r="C1718" s="24"/>
      <c r="E1718" s="1"/>
      <c r="F1718" s="23" t="b">
        <v>0</v>
      </c>
    </row>
    <row r="1719">
      <c r="C1719" s="24"/>
      <c r="E1719" s="1"/>
      <c r="F1719" s="23" t="b">
        <v>0</v>
      </c>
    </row>
    <row r="1720">
      <c r="C1720" s="24"/>
      <c r="E1720" s="1"/>
      <c r="F1720" s="23" t="b">
        <v>0</v>
      </c>
    </row>
    <row r="1721">
      <c r="C1721" s="24"/>
      <c r="E1721" s="1"/>
      <c r="F1721" s="23" t="b">
        <v>0</v>
      </c>
    </row>
    <row r="1722">
      <c r="C1722" s="24"/>
      <c r="E1722" s="1"/>
      <c r="F1722" s="23" t="b">
        <v>0</v>
      </c>
    </row>
    <row r="1723">
      <c r="C1723" s="24"/>
      <c r="E1723" s="1"/>
      <c r="F1723" s="23" t="b">
        <v>0</v>
      </c>
    </row>
    <row r="1724">
      <c r="C1724" s="24"/>
      <c r="E1724" s="1"/>
      <c r="F1724" s="23" t="b">
        <v>0</v>
      </c>
    </row>
    <row r="1725">
      <c r="C1725" s="24"/>
      <c r="E1725" s="1"/>
      <c r="F1725" s="23" t="b">
        <v>0</v>
      </c>
    </row>
    <row r="1726">
      <c r="C1726" s="24"/>
      <c r="E1726" s="1"/>
      <c r="F1726" s="23" t="b">
        <v>0</v>
      </c>
    </row>
    <row r="1727">
      <c r="C1727" s="24"/>
      <c r="E1727" s="1"/>
      <c r="F1727" s="23" t="b">
        <v>0</v>
      </c>
    </row>
    <row r="1728">
      <c r="C1728" s="24"/>
      <c r="E1728" s="1"/>
      <c r="F1728" s="23" t="b">
        <v>0</v>
      </c>
    </row>
    <row r="1729">
      <c r="C1729" s="24"/>
      <c r="E1729" s="1"/>
      <c r="F1729" s="23" t="b">
        <v>0</v>
      </c>
    </row>
    <row r="1730">
      <c r="C1730" s="24"/>
      <c r="E1730" s="1"/>
      <c r="F1730" s="23" t="b">
        <v>0</v>
      </c>
    </row>
    <row r="1731">
      <c r="C1731" s="24"/>
      <c r="E1731" s="1"/>
      <c r="F1731" s="23" t="b">
        <v>0</v>
      </c>
    </row>
    <row r="1732">
      <c r="C1732" s="24"/>
      <c r="E1732" s="1"/>
      <c r="F1732" s="23" t="b">
        <v>0</v>
      </c>
    </row>
    <row r="1733">
      <c r="C1733" s="24"/>
      <c r="E1733" s="1"/>
      <c r="F1733" s="23" t="b">
        <v>0</v>
      </c>
    </row>
    <row r="1734">
      <c r="C1734" s="24"/>
      <c r="E1734" s="1"/>
      <c r="F1734" s="23" t="b">
        <v>0</v>
      </c>
    </row>
    <row r="1735">
      <c r="C1735" s="24"/>
      <c r="E1735" s="1"/>
      <c r="F1735" s="23" t="b">
        <v>0</v>
      </c>
    </row>
    <row r="1736">
      <c r="C1736" s="24"/>
      <c r="E1736" s="1"/>
      <c r="F1736" s="23" t="b">
        <v>0</v>
      </c>
    </row>
    <row r="1737">
      <c r="C1737" s="24"/>
      <c r="E1737" s="1"/>
      <c r="F1737" s="23" t="b">
        <v>0</v>
      </c>
    </row>
    <row r="1738">
      <c r="C1738" s="24"/>
      <c r="E1738" s="1"/>
      <c r="F1738" s="23" t="b">
        <v>0</v>
      </c>
    </row>
    <row r="1739">
      <c r="C1739" s="24"/>
      <c r="E1739" s="1"/>
      <c r="F1739" s="23" t="b">
        <v>0</v>
      </c>
    </row>
    <row r="1740">
      <c r="C1740" s="24"/>
      <c r="E1740" s="1"/>
      <c r="F1740" s="23" t="b">
        <v>0</v>
      </c>
    </row>
    <row r="1741">
      <c r="C1741" s="24"/>
      <c r="E1741" s="1"/>
      <c r="F1741" s="23" t="b">
        <v>0</v>
      </c>
    </row>
    <row r="1742">
      <c r="C1742" s="24"/>
      <c r="E1742" s="1"/>
      <c r="F1742" s="23" t="b">
        <v>0</v>
      </c>
    </row>
    <row r="1743">
      <c r="C1743" s="24"/>
      <c r="E1743" s="1"/>
      <c r="F1743" s="23" t="b">
        <v>0</v>
      </c>
    </row>
    <row r="1744">
      <c r="C1744" s="24"/>
      <c r="E1744" s="1"/>
      <c r="F1744" s="23" t="b">
        <v>0</v>
      </c>
    </row>
    <row r="1745">
      <c r="C1745" s="24"/>
      <c r="E1745" s="1"/>
      <c r="F1745" s="23" t="b">
        <v>0</v>
      </c>
    </row>
    <row r="1746">
      <c r="C1746" s="24"/>
      <c r="E1746" s="1"/>
      <c r="F1746" s="23" t="b">
        <v>0</v>
      </c>
    </row>
    <row r="1747">
      <c r="C1747" s="24"/>
      <c r="E1747" s="1"/>
      <c r="F1747" s="23" t="b">
        <v>0</v>
      </c>
    </row>
    <row r="1748">
      <c r="C1748" s="24"/>
      <c r="E1748" s="1"/>
      <c r="F1748" s="23" t="b">
        <v>0</v>
      </c>
    </row>
    <row r="1749">
      <c r="C1749" s="24"/>
      <c r="E1749" s="1"/>
      <c r="F1749" s="23" t="b">
        <v>0</v>
      </c>
    </row>
    <row r="1750">
      <c r="C1750" s="24"/>
      <c r="E1750" s="1"/>
      <c r="F1750" s="23" t="b">
        <v>0</v>
      </c>
    </row>
    <row r="1751">
      <c r="C1751" s="24"/>
      <c r="E1751" s="1"/>
      <c r="F1751" s="23" t="b">
        <v>0</v>
      </c>
    </row>
    <row r="1752">
      <c r="C1752" s="24"/>
      <c r="E1752" s="1"/>
      <c r="F1752" s="23" t="b">
        <v>0</v>
      </c>
    </row>
    <row r="1753">
      <c r="C1753" s="24"/>
      <c r="E1753" s="1"/>
      <c r="F1753" s="23" t="b">
        <v>0</v>
      </c>
    </row>
    <row r="1754">
      <c r="C1754" s="24"/>
      <c r="E1754" s="1"/>
      <c r="F1754" s="23" t="b">
        <v>0</v>
      </c>
    </row>
    <row r="1755">
      <c r="C1755" s="24"/>
      <c r="E1755" s="1"/>
      <c r="F1755" s="23" t="b">
        <v>0</v>
      </c>
    </row>
    <row r="1756">
      <c r="C1756" s="24"/>
      <c r="E1756" s="1"/>
      <c r="F1756" s="23" t="b">
        <v>0</v>
      </c>
    </row>
    <row r="1757">
      <c r="C1757" s="24"/>
      <c r="E1757" s="1"/>
      <c r="F1757" s="23" t="b">
        <v>0</v>
      </c>
    </row>
    <row r="1758">
      <c r="C1758" s="24"/>
      <c r="E1758" s="1"/>
      <c r="F1758" s="23" t="b">
        <v>0</v>
      </c>
    </row>
    <row r="1759">
      <c r="C1759" s="24"/>
      <c r="E1759" s="1"/>
      <c r="F1759" s="23" t="b">
        <v>0</v>
      </c>
    </row>
    <row r="1760">
      <c r="C1760" s="24"/>
      <c r="E1760" s="1"/>
      <c r="F1760" s="23" t="b">
        <v>0</v>
      </c>
    </row>
    <row r="1761">
      <c r="C1761" s="24"/>
      <c r="E1761" s="1"/>
      <c r="F1761" s="23" t="b">
        <v>0</v>
      </c>
    </row>
    <row r="1762">
      <c r="C1762" s="24"/>
      <c r="E1762" s="1"/>
      <c r="F1762" s="23" t="b">
        <v>0</v>
      </c>
    </row>
    <row r="1763">
      <c r="C1763" s="24"/>
      <c r="E1763" s="1"/>
      <c r="F1763" s="23" t="b">
        <v>0</v>
      </c>
    </row>
    <row r="1764">
      <c r="C1764" s="24"/>
      <c r="E1764" s="1"/>
      <c r="F1764" s="23" t="b">
        <v>0</v>
      </c>
    </row>
    <row r="1765">
      <c r="C1765" s="24"/>
      <c r="E1765" s="1"/>
      <c r="F1765" s="23" t="b">
        <v>0</v>
      </c>
    </row>
    <row r="1766">
      <c r="C1766" s="24"/>
      <c r="E1766" s="1"/>
      <c r="F1766" s="23" t="b">
        <v>0</v>
      </c>
    </row>
    <row r="1767">
      <c r="C1767" s="24"/>
      <c r="E1767" s="1"/>
      <c r="F1767" s="23" t="b">
        <v>0</v>
      </c>
    </row>
    <row r="1768">
      <c r="C1768" s="24"/>
      <c r="E1768" s="1"/>
      <c r="F1768" s="23" t="b">
        <v>0</v>
      </c>
    </row>
    <row r="1769">
      <c r="C1769" s="24"/>
      <c r="E1769" s="1"/>
      <c r="F1769" s="23" t="b">
        <v>0</v>
      </c>
    </row>
    <row r="1770">
      <c r="C1770" s="24"/>
      <c r="E1770" s="1"/>
      <c r="F1770" s="23" t="b">
        <v>0</v>
      </c>
    </row>
    <row r="1771">
      <c r="C1771" s="24"/>
      <c r="E1771" s="1"/>
      <c r="F1771" s="23" t="b">
        <v>0</v>
      </c>
    </row>
    <row r="1772">
      <c r="C1772" s="24"/>
      <c r="E1772" s="1"/>
      <c r="F1772" s="23" t="b">
        <v>0</v>
      </c>
    </row>
    <row r="1773">
      <c r="C1773" s="24"/>
      <c r="E1773" s="1"/>
      <c r="F1773" s="23" t="b">
        <v>0</v>
      </c>
    </row>
    <row r="1774">
      <c r="C1774" s="24"/>
      <c r="E1774" s="1"/>
      <c r="F1774" s="23" t="b">
        <v>0</v>
      </c>
    </row>
    <row r="1775">
      <c r="C1775" s="24"/>
      <c r="E1775" s="1"/>
      <c r="F1775" s="23" t="b">
        <v>0</v>
      </c>
    </row>
    <row r="1776">
      <c r="C1776" s="24"/>
      <c r="E1776" s="1"/>
      <c r="F1776" s="23" t="b">
        <v>0</v>
      </c>
    </row>
    <row r="1777">
      <c r="C1777" s="24"/>
      <c r="E1777" s="1"/>
      <c r="F1777" s="23" t="b">
        <v>0</v>
      </c>
    </row>
    <row r="1778">
      <c r="C1778" s="24"/>
      <c r="E1778" s="1"/>
      <c r="F1778" s="23" t="b">
        <v>0</v>
      </c>
    </row>
    <row r="1779">
      <c r="C1779" s="24"/>
      <c r="E1779" s="1"/>
      <c r="F1779" s="23" t="b">
        <v>0</v>
      </c>
    </row>
    <row r="1780">
      <c r="C1780" s="24"/>
      <c r="E1780" s="1"/>
      <c r="F1780" s="23" t="b">
        <v>0</v>
      </c>
    </row>
    <row r="1781">
      <c r="C1781" s="24"/>
      <c r="E1781" s="1"/>
      <c r="F1781" s="23" t="b">
        <v>0</v>
      </c>
    </row>
    <row r="1782">
      <c r="C1782" s="24"/>
      <c r="E1782" s="1"/>
      <c r="F1782" s="23" t="b">
        <v>0</v>
      </c>
    </row>
    <row r="1783">
      <c r="C1783" s="24"/>
      <c r="E1783" s="1"/>
      <c r="F1783" s="23" t="b">
        <v>0</v>
      </c>
    </row>
    <row r="1784">
      <c r="C1784" s="24"/>
      <c r="E1784" s="1"/>
      <c r="F1784" s="23" t="b">
        <v>0</v>
      </c>
    </row>
    <row r="1785">
      <c r="C1785" s="24"/>
      <c r="E1785" s="1"/>
      <c r="F1785" s="23" t="b">
        <v>0</v>
      </c>
    </row>
    <row r="1786">
      <c r="C1786" s="24"/>
      <c r="E1786" s="1"/>
      <c r="F1786" s="23" t="b">
        <v>0</v>
      </c>
    </row>
    <row r="1787">
      <c r="C1787" s="24"/>
      <c r="E1787" s="1"/>
      <c r="F1787" s="23" t="b">
        <v>0</v>
      </c>
    </row>
    <row r="1788">
      <c r="C1788" s="24"/>
      <c r="E1788" s="1"/>
      <c r="F1788" s="23" t="b">
        <v>0</v>
      </c>
    </row>
    <row r="1789">
      <c r="C1789" s="24"/>
      <c r="E1789" s="1"/>
      <c r="F1789" s="23" t="b">
        <v>0</v>
      </c>
    </row>
    <row r="1790">
      <c r="C1790" s="24"/>
      <c r="E1790" s="1"/>
      <c r="F1790" s="23" t="b">
        <v>0</v>
      </c>
    </row>
    <row r="1791">
      <c r="C1791" s="24"/>
      <c r="E1791" s="1"/>
      <c r="F1791" s="23" t="b">
        <v>0</v>
      </c>
    </row>
    <row r="1792">
      <c r="C1792" s="24"/>
      <c r="E1792" s="1"/>
      <c r="F1792" s="23" t="b">
        <v>0</v>
      </c>
    </row>
    <row r="1793">
      <c r="C1793" s="24"/>
      <c r="E1793" s="1"/>
      <c r="F1793" s="23" t="b">
        <v>0</v>
      </c>
    </row>
    <row r="1794">
      <c r="C1794" s="24"/>
      <c r="E1794" s="1"/>
      <c r="F1794" s="23" t="b">
        <v>0</v>
      </c>
    </row>
    <row r="1795">
      <c r="C1795" s="24"/>
      <c r="E1795" s="1"/>
      <c r="F1795" s="23" t="b">
        <v>0</v>
      </c>
    </row>
    <row r="1796">
      <c r="C1796" s="24"/>
      <c r="E1796" s="1"/>
      <c r="F1796" s="23" t="b">
        <v>0</v>
      </c>
    </row>
    <row r="1797">
      <c r="C1797" s="24"/>
      <c r="E1797" s="1"/>
      <c r="F1797" s="23" t="b">
        <v>0</v>
      </c>
    </row>
    <row r="1798">
      <c r="C1798" s="24"/>
      <c r="E1798" s="1"/>
      <c r="F1798" s="23" t="b">
        <v>0</v>
      </c>
    </row>
    <row r="1799">
      <c r="C1799" s="24"/>
      <c r="E1799" s="1"/>
      <c r="F1799" s="23" t="b">
        <v>0</v>
      </c>
    </row>
    <row r="1800">
      <c r="C1800" s="24"/>
      <c r="E1800" s="1"/>
      <c r="F1800" s="23" t="b">
        <v>0</v>
      </c>
    </row>
    <row r="1801">
      <c r="C1801" s="24"/>
      <c r="E1801" s="1"/>
      <c r="F1801" s="23" t="b">
        <v>0</v>
      </c>
    </row>
    <row r="1802">
      <c r="C1802" s="24"/>
      <c r="E1802" s="1"/>
      <c r="F1802" s="23" t="b">
        <v>0</v>
      </c>
    </row>
    <row r="1803">
      <c r="C1803" s="24"/>
      <c r="E1803" s="1"/>
      <c r="F1803" s="23" t="b">
        <v>0</v>
      </c>
    </row>
    <row r="1804">
      <c r="C1804" s="24"/>
      <c r="E1804" s="1"/>
      <c r="F1804" s="23" t="b">
        <v>0</v>
      </c>
    </row>
    <row r="1805">
      <c r="C1805" s="24"/>
      <c r="E1805" s="1"/>
      <c r="F1805" s="23" t="b">
        <v>0</v>
      </c>
    </row>
    <row r="1806">
      <c r="C1806" s="24"/>
      <c r="E1806" s="1"/>
      <c r="F1806" s="23" t="b">
        <v>0</v>
      </c>
    </row>
    <row r="1807">
      <c r="C1807" s="24"/>
      <c r="E1807" s="1"/>
      <c r="F1807" s="23" t="b">
        <v>0</v>
      </c>
    </row>
    <row r="1808">
      <c r="C1808" s="24"/>
      <c r="E1808" s="1"/>
      <c r="F1808" s="23" t="b">
        <v>0</v>
      </c>
    </row>
    <row r="1809">
      <c r="C1809" s="24"/>
      <c r="E1809" s="1"/>
      <c r="F1809" s="23" t="b">
        <v>0</v>
      </c>
    </row>
    <row r="1810">
      <c r="C1810" s="24"/>
      <c r="E1810" s="1"/>
      <c r="F1810" s="23" t="b">
        <v>0</v>
      </c>
    </row>
    <row r="1811">
      <c r="C1811" s="24"/>
      <c r="E1811" s="1"/>
      <c r="F1811" s="23" t="b">
        <v>0</v>
      </c>
    </row>
    <row r="1812">
      <c r="C1812" s="24"/>
      <c r="E1812" s="1"/>
      <c r="F1812" s="23" t="b">
        <v>0</v>
      </c>
    </row>
    <row r="1813">
      <c r="C1813" s="24"/>
      <c r="E1813" s="1"/>
      <c r="F1813" s="23" t="b">
        <v>0</v>
      </c>
    </row>
    <row r="1814">
      <c r="C1814" s="24"/>
      <c r="E1814" s="1"/>
      <c r="F1814" s="23" t="b">
        <v>0</v>
      </c>
    </row>
    <row r="1815">
      <c r="C1815" s="24"/>
      <c r="E1815" s="1"/>
      <c r="F1815" s="23" t="b">
        <v>0</v>
      </c>
    </row>
    <row r="1816">
      <c r="C1816" s="24"/>
      <c r="E1816" s="1"/>
      <c r="F1816" s="23" t="b">
        <v>0</v>
      </c>
    </row>
    <row r="1817">
      <c r="C1817" s="24"/>
      <c r="E1817" s="1"/>
      <c r="F1817" s="23" t="b">
        <v>0</v>
      </c>
    </row>
    <row r="1818">
      <c r="C1818" s="24"/>
      <c r="E1818" s="1"/>
      <c r="F1818" s="23" t="b">
        <v>0</v>
      </c>
    </row>
    <row r="1819">
      <c r="C1819" s="24"/>
      <c r="E1819" s="1"/>
      <c r="F1819" s="23" t="b">
        <v>0</v>
      </c>
    </row>
    <row r="1820">
      <c r="C1820" s="24"/>
      <c r="E1820" s="1"/>
      <c r="F1820" s="23" t="b">
        <v>0</v>
      </c>
    </row>
    <row r="1821">
      <c r="C1821" s="24"/>
      <c r="E1821" s="1"/>
      <c r="F1821" s="23" t="b">
        <v>0</v>
      </c>
    </row>
    <row r="1822">
      <c r="C1822" s="24"/>
      <c r="E1822" s="1"/>
      <c r="F1822" s="23" t="b">
        <v>0</v>
      </c>
    </row>
    <row r="1823">
      <c r="C1823" s="24"/>
      <c r="E1823" s="1"/>
      <c r="F1823" s="23" t="b">
        <v>0</v>
      </c>
    </row>
    <row r="1824">
      <c r="C1824" s="24"/>
      <c r="E1824" s="1"/>
      <c r="F1824" s="23" t="b">
        <v>0</v>
      </c>
    </row>
    <row r="1825">
      <c r="C1825" s="24"/>
      <c r="E1825" s="1"/>
      <c r="F1825" s="23" t="b">
        <v>0</v>
      </c>
    </row>
    <row r="1826">
      <c r="C1826" s="24"/>
      <c r="E1826" s="1"/>
      <c r="F1826" s="23" t="b">
        <v>0</v>
      </c>
    </row>
    <row r="1827">
      <c r="C1827" s="24"/>
      <c r="E1827" s="1"/>
      <c r="F1827" s="23" t="b">
        <v>0</v>
      </c>
    </row>
    <row r="1828">
      <c r="C1828" s="24"/>
      <c r="E1828" s="1"/>
      <c r="F1828" s="23" t="b">
        <v>0</v>
      </c>
    </row>
    <row r="1829">
      <c r="C1829" s="24"/>
      <c r="E1829" s="1"/>
      <c r="F1829" s="23" t="b">
        <v>0</v>
      </c>
    </row>
    <row r="1830">
      <c r="C1830" s="24"/>
      <c r="E1830" s="1"/>
      <c r="F1830" s="23" t="b">
        <v>0</v>
      </c>
    </row>
    <row r="1831">
      <c r="C1831" s="24"/>
      <c r="E1831" s="1"/>
      <c r="F1831" s="23" t="b">
        <v>0</v>
      </c>
    </row>
    <row r="1832">
      <c r="C1832" s="24"/>
      <c r="E1832" s="1"/>
      <c r="F1832" s="23" t="b">
        <v>0</v>
      </c>
    </row>
    <row r="1833">
      <c r="C1833" s="24"/>
      <c r="E1833" s="1"/>
      <c r="F1833" s="23" t="b">
        <v>0</v>
      </c>
    </row>
    <row r="1834">
      <c r="C1834" s="24"/>
      <c r="E1834" s="1"/>
      <c r="F1834" s="23" t="b">
        <v>0</v>
      </c>
    </row>
    <row r="1835">
      <c r="C1835" s="24"/>
      <c r="E1835" s="1"/>
      <c r="F1835" s="23" t="b">
        <v>0</v>
      </c>
    </row>
    <row r="1836">
      <c r="C1836" s="24"/>
      <c r="E1836" s="1"/>
      <c r="F1836" s="23" t="b">
        <v>0</v>
      </c>
    </row>
    <row r="1837">
      <c r="C1837" s="24"/>
      <c r="E1837" s="1"/>
      <c r="F1837" s="23" t="b">
        <v>0</v>
      </c>
    </row>
    <row r="1838">
      <c r="C1838" s="24"/>
      <c r="E1838" s="1"/>
      <c r="F1838" s="23" t="b">
        <v>0</v>
      </c>
    </row>
    <row r="1839">
      <c r="C1839" s="24"/>
      <c r="E1839" s="1"/>
      <c r="F1839" s="23" t="b">
        <v>0</v>
      </c>
    </row>
    <row r="1840">
      <c r="C1840" s="24"/>
      <c r="E1840" s="1"/>
      <c r="F1840" s="23" t="b">
        <v>0</v>
      </c>
    </row>
    <row r="1841">
      <c r="C1841" s="24"/>
      <c r="E1841" s="1"/>
      <c r="F1841" s="23" t="b">
        <v>0</v>
      </c>
    </row>
    <row r="1842">
      <c r="C1842" s="24"/>
      <c r="E1842" s="1"/>
      <c r="F1842" s="23" t="b">
        <v>0</v>
      </c>
    </row>
    <row r="1843">
      <c r="C1843" s="24"/>
      <c r="E1843" s="1"/>
      <c r="F1843" s="23" t="b">
        <v>0</v>
      </c>
    </row>
    <row r="1844">
      <c r="C1844" s="24"/>
      <c r="E1844" s="1"/>
      <c r="F1844" s="23" t="b">
        <v>0</v>
      </c>
    </row>
    <row r="1845">
      <c r="C1845" s="24"/>
      <c r="E1845" s="1"/>
      <c r="F1845" s="23" t="b">
        <v>0</v>
      </c>
    </row>
    <row r="1846">
      <c r="C1846" s="24"/>
      <c r="E1846" s="1"/>
      <c r="F1846" s="23" t="b">
        <v>0</v>
      </c>
    </row>
    <row r="1847">
      <c r="C1847" s="24"/>
      <c r="E1847" s="1"/>
      <c r="F1847" s="23" t="b">
        <v>0</v>
      </c>
    </row>
    <row r="1848">
      <c r="C1848" s="24"/>
      <c r="E1848" s="1"/>
      <c r="F1848" s="23" t="b">
        <v>0</v>
      </c>
    </row>
    <row r="1849">
      <c r="C1849" s="24"/>
      <c r="E1849" s="1"/>
      <c r="F1849" s="23" t="b">
        <v>0</v>
      </c>
    </row>
    <row r="1850">
      <c r="C1850" s="24"/>
      <c r="E1850" s="1"/>
      <c r="F1850" s="23" t="b">
        <v>0</v>
      </c>
    </row>
    <row r="1851">
      <c r="C1851" s="24"/>
      <c r="E1851" s="1"/>
      <c r="F1851" s="23" t="b">
        <v>0</v>
      </c>
    </row>
    <row r="1852">
      <c r="C1852" s="24"/>
      <c r="E1852" s="1"/>
      <c r="F1852" s="23" t="b">
        <v>0</v>
      </c>
    </row>
    <row r="1853">
      <c r="C1853" s="24"/>
      <c r="E1853" s="1"/>
      <c r="F1853" s="23" t="b">
        <v>0</v>
      </c>
    </row>
    <row r="1854">
      <c r="C1854" s="24"/>
      <c r="E1854" s="1"/>
      <c r="F1854" s="23" t="b">
        <v>0</v>
      </c>
    </row>
    <row r="1855">
      <c r="C1855" s="24"/>
      <c r="E1855" s="1"/>
      <c r="F1855" s="23" t="b">
        <v>0</v>
      </c>
    </row>
    <row r="1856">
      <c r="C1856" s="24"/>
      <c r="E1856" s="1"/>
      <c r="F1856" s="23" t="b">
        <v>0</v>
      </c>
    </row>
    <row r="1857">
      <c r="C1857" s="24"/>
      <c r="E1857" s="1"/>
      <c r="F1857" s="23" t="b">
        <v>0</v>
      </c>
    </row>
    <row r="1858">
      <c r="C1858" s="24"/>
      <c r="E1858" s="1"/>
      <c r="F1858" s="23" t="b">
        <v>0</v>
      </c>
    </row>
    <row r="1859">
      <c r="C1859" s="24"/>
      <c r="E1859" s="1"/>
      <c r="F1859" s="23" t="b">
        <v>0</v>
      </c>
    </row>
    <row r="1860">
      <c r="C1860" s="24"/>
      <c r="E1860" s="1"/>
      <c r="F1860" s="23" t="b">
        <v>0</v>
      </c>
    </row>
    <row r="1861">
      <c r="C1861" s="24"/>
      <c r="E1861" s="1"/>
      <c r="F1861" s="23" t="b">
        <v>0</v>
      </c>
    </row>
    <row r="1862">
      <c r="C1862" s="24"/>
      <c r="E1862" s="1"/>
      <c r="F1862" s="23" t="b">
        <v>0</v>
      </c>
    </row>
    <row r="1863">
      <c r="C1863" s="24"/>
      <c r="E1863" s="1"/>
      <c r="F1863" s="23" t="b">
        <v>0</v>
      </c>
    </row>
    <row r="1864">
      <c r="C1864" s="24"/>
      <c r="E1864" s="1"/>
      <c r="F1864" s="23" t="b">
        <v>0</v>
      </c>
    </row>
    <row r="1865">
      <c r="C1865" s="24"/>
      <c r="E1865" s="1"/>
      <c r="F1865" s="23" t="b">
        <v>0</v>
      </c>
    </row>
    <row r="1866">
      <c r="C1866" s="24"/>
      <c r="E1866" s="1"/>
      <c r="F1866" s="23" t="b">
        <v>0</v>
      </c>
    </row>
    <row r="1867">
      <c r="C1867" s="24"/>
      <c r="E1867" s="1"/>
      <c r="F1867" s="23" t="b">
        <v>0</v>
      </c>
    </row>
    <row r="1868">
      <c r="C1868" s="24"/>
      <c r="E1868" s="1"/>
      <c r="F1868" s="23" t="b">
        <v>0</v>
      </c>
    </row>
    <row r="1869">
      <c r="C1869" s="24"/>
      <c r="E1869" s="1"/>
      <c r="F1869" s="23" t="b">
        <v>0</v>
      </c>
    </row>
    <row r="1870">
      <c r="C1870" s="24"/>
      <c r="E1870" s="1"/>
      <c r="F1870" s="23" t="b">
        <v>0</v>
      </c>
    </row>
    <row r="1871">
      <c r="C1871" s="24"/>
      <c r="E1871" s="1"/>
      <c r="F1871" s="23" t="b">
        <v>0</v>
      </c>
    </row>
    <row r="1872">
      <c r="C1872" s="24"/>
      <c r="E1872" s="1"/>
      <c r="F1872" s="23" t="b">
        <v>0</v>
      </c>
    </row>
    <row r="1873">
      <c r="C1873" s="24"/>
      <c r="E1873" s="1"/>
      <c r="F1873" s="23" t="b">
        <v>0</v>
      </c>
    </row>
    <row r="1874">
      <c r="C1874" s="24"/>
      <c r="E1874" s="1"/>
      <c r="F1874" s="23" t="b">
        <v>0</v>
      </c>
    </row>
    <row r="1875">
      <c r="C1875" s="24"/>
      <c r="E1875" s="1"/>
      <c r="F1875" s="23" t="b">
        <v>0</v>
      </c>
    </row>
    <row r="1876">
      <c r="C1876" s="24"/>
      <c r="E1876" s="1"/>
      <c r="F1876" s="23" t="b">
        <v>0</v>
      </c>
    </row>
    <row r="1877">
      <c r="C1877" s="24"/>
      <c r="E1877" s="1"/>
      <c r="F1877" s="23" t="b">
        <v>0</v>
      </c>
    </row>
    <row r="1878">
      <c r="C1878" s="24"/>
      <c r="E1878" s="1"/>
      <c r="F1878" s="23" t="b">
        <v>0</v>
      </c>
    </row>
    <row r="1879">
      <c r="C1879" s="24"/>
      <c r="E1879" s="1"/>
      <c r="F1879" s="23" t="b">
        <v>0</v>
      </c>
    </row>
    <row r="1880">
      <c r="C1880" s="24"/>
      <c r="E1880" s="1"/>
      <c r="F1880" s="23" t="b">
        <v>0</v>
      </c>
    </row>
    <row r="1881">
      <c r="C1881" s="24"/>
      <c r="E1881" s="1"/>
      <c r="F1881" s="23" t="b">
        <v>0</v>
      </c>
    </row>
    <row r="1882">
      <c r="C1882" s="24"/>
      <c r="E1882" s="1"/>
      <c r="F1882" s="23" t="b">
        <v>0</v>
      </c>
    </row>
    <row r="1883">
      <c r="C1883" s="24"/>
      <c r="E1883" s="1"/>
      <c r="F1883" s="23" t="b">
        <v>0</v>
      </c>
    </row>
    <row r="1884">
      <c r="C1884" s="24"/>
      <c r="E1884" s="1"/>
      <c r="F1884" s="23" t="b">
        <v>0</v>
      </c>
    </row>
    <row r="1885">
      <c r="C1885" s="24"/>
      <c r="E1885" s="1"/>
      <c r="F1885" s="23" t="b">
        <v>0</v>
      </c>
    </row>
    <row r="1886">
      <c r="C1886" s="24"/>
      <c r="E1886" s="1"/>
      <c r="F1886" s="23" t="b">
        <v>0</v>
      </c>
    </row>
    <row r="1887">
      <c r="C1887" s="24"/>
      <c r="E1887" s="1"/>
      <c r="F1887" s="23" t="b">
        <v>0</v>
      </c>
    </row>
    <row r="1888">
      <c r="C1888" s="24"/>
      <c r="E1888" s="1"/>
      <c r="F1888" s="23" t="b">
        <v>0</v>
      </c>
    </row>
    <row r="1889">
      <c r="C1889" s="24"/>
      <c r="E1889" s="1"/>
      <c r="F1889" s="23" t="b">
        <v>0</v>
      </c>
    </row>
    <row r="1890">
      <c r="C1890" s="24"/>
      <c r="E1890" s="1"/>
      <c r="F1890" s="23" t="b">
        <v>0</v>
      </c>
    </row>
    <row r="1891">
      <c r="C1891" s="24"/>
      <c r="E1891" s="1"/>
      <c r="F1891" s="23" t="b">
        <v>0</v>
      </c>
    </row>
    <row r="1892">
      <c r="C1892" s="24"/>
      <c r="E1892" s="1"/>
      <c r="F1892" s="23" t="b">
        <v>0</v>
      </c>
    </row>
    <row r="1893">
      <c r="C1893" s="24"/>
      <c r="E1893" s="1"/>
      <c r="F1893" s="23" t="b">
        <v>0</v>
      </c>
    </row>
    <row r="1894">
      <c r="C1894" s="24"/>
      <c r="E1894" s="1"/>
      <c r="F1894" s="23" t="b">
        <v>0</v>
      </c>
    </row>
    <row r="1895">
      <c r="C1895" s="24"/>
      <c r="E1895" s="1"/>
      <c r="F1895" s="23" t="b">
        <v>0</v>
      </c>
    </row>
    <row r="1896">
      <c r="C1896" s="24"/>
      <c r="E1896" s="1"/>
      <c r="F1896" s="23" t="b">
        <v>0</v>
      </c>
    </row>
    <row r="1897">
      <c r="C1897" s="24"/>
      <c r="E1897" s="1"/>
      <c r="F1897" s="23" t="b">
        <v>0</v>
      </c>
    </row>
    <row r="1898">
      <c r="C1898" s="24"/>
      <c r="E1898" s="1"/>
      <c r="F1898" s="23" t="b">
        <v>0</v>
      </c>
    </row>
    <row r="1899">
      <c r="C1899" s="24"/>
      <c r="E1899" s="1"/>
      <c r="F1899" s="23" t="b">
        <v>0</v>
      </c>
    </row>
    <row r="1900">
      <c r="C1900" s="24"/>
      <c r="E1900" s="1"/>
      <c r="F1900" s="23" t="b">
        <v>0</v>
      </c>
    </row>
    <row r="1901">
      <c r="C1901" s="24"/>
      <c r="E1901" s="1"/>
      <c r="F1901" s="23" t="b">
        <v>0</v>
      </c>
    </row>
    <row r="1902">
      <c r="C1902" s="24"/>
      <c r="E1902" s="1"/>
      <c r="F1902" s="23" t="b">
        <v>0</v>
      </c>
    </row>
    <row r="1903">
      <c r="C1903" s="24"/>
      <c r="E1903" s="1"/>
      <c r="F1903" s="23" t="b">
        <v>0</v>
      </c>
    </row>
    <row r="1904">
      <c r="C1904" s="24"/>
      <c r="E1904" s="1"/>
      <c r="F1904" s="23" t="b">
        <v>0</v>
      </c>
    </row>
    <row r="1905">
      <c r="C1905" s="24"/>
      <c r="E1905" s="1"/>
      <c r="F1905" s="23" t="b">
        <v>0</v>
      </c>
    </row>
    <row r="1906">
      <c r="C1906" s="24"/>
      <c r="E1906" s="1"/>
      <c r="F1906" s="23" t="b">
        <v>0</v>
      </c>
    </row>
    <row r="1907">
      <c r="C1907" s="24"/>
      <c r="E1907" s="1"/>
      <c r="F1907" s="23" t="b">
        <v>0</v>
      </c>
    </row>
    <row r="1908">
      <c r="C1908" s="24"/>
      <c r="E1908" s="1"/>
      <c r="F1908" s="23" t="b">
        <v>0</v>
      </c>
    </row>
    <row r="1909">
      <c r="C1909" s="24"/>
      <c r="E1909" s="1"/>
      <c r="F1909" s="23" t="b">
        <v>0</v>
      </c>
    </row>
    <row r="1910">
      <c r="C1910" s="24"/>
      <c r="E1910" s="1"/>
      <c r="F1910" s="23" t="b">
        <v>0</v>
      </c>
    </row>
    <row r="1911">
      <c r="C1911" s="24"/>
      <c r="E1911" s="1"/>
      <c r="F1911" s="23" t="b">
        <v>0</v>
      </c>
    </row>
    <row r="1912">
      <c r="C1912" s="24"/>
      <c r="E1912" s="1"/>
      <c r="F1912" s="23" t="b">
        <v>0</v>
      </c>
    </row>
    <row r="1913">
      <c r="C1913" s="24"/>
      <c r="E1913" s="1"/>
      <c r="F1913" s="23" t="b">
        <v>0</v>
      </c>
    </row>
    <row r="1914">
      <c r="C1914" s="24"/>
      <c r="E1914" s="1"/>
      <c r="F1914" s="23" t="b">
        <v>0</v>
      </c>
    </row>
    <row r="1915">
      <c r="C1915" s="24"/>
      <c r="E1915" s="1"/>
      <c r="F1915" s="23" t="b">
        <v>0</v>
      </c>
    </row>
    <row r="1916">
      <c r="C1916" s="24"/>
      <c r="E1916" s="1"/>
      <c r="F1916" s="23" t="b">
        <v>0</v>
      </c>
    </row>
    <row r="1917">
      <c r="C1917" s="24"/>
      <c r="E1917" s="1"/>
      <c r="F1917" s="23" t="b">
        <v>0</v>
      </c>
    </row>
    <row r="1918">
      <c r="C1918" s="24"/>
      <c r="E1918" s="1"/>
      <c r="F1918" s="23" t="b">
        <v>0</v>
      </c>
    </row>
    <row r="1919">
      <c r="C1919" s="24"/>
      <c r="E1919" s="1"/>
      <c r="F1919" s="23" t="b">
        <v>0</v>
      </c>
    </row>
    <row r="1920">
      <c r="C1920" s="24"/>
      <c r="E1920" s="1"/>
      <c r="F1920" s="23" t="b">
        <v>0</v>
      </c>
    </row>
    <row r="1921">
      <c r="C1921" s="24"/>
      <c r="E1921" s="1"/>
      <c r="F1921" s="23" t="b">
        <v>0</v>
      </c>
    </row>
    <row r="1922">
      <c r="C1922" s="24"/>
      <c r="E1922" s="1"/>
      <c r="F1922" s="23" t="b">
        <v>0</v>
      </c>
    </row>
    <row r="1923">
      <c r="C1923" s="24"/>
      <c r="E1923" s="1"/>
      <c r="F1923" s="23" t="b">
        <v>0</v>
      </c>
    </row>
    <row r="1924">
      <c r="C1924" s="24"/>
      <c r="E1924" s="1"/>
      <c r="F1924" s="23" t="b">
        <v>0</v>
      </c>
    </row>
    <row r="1925">
      <c r="C1925" s="24"/>
      <c r="E1925" s="1"/>
      <c r="F1925" s="23" t="b">
        <v>0</v>
      </c>
    </row>
    <row r="1926">
      <c r="C1926" s="24"/>
      <c r="E1926" s="1"/>
      <c r="F1926" s="23" t="b">
        <v>0</v>
      </c>
    </row>
    <row r="1927">
      <c r="C1927" s="24"/>
      <c r="E1927" s="1"/>
      <c r="F1927" s="23" t="b">
        <v>0</v>
      </c>
    </row>
    <row r="1928">
      <c r="C1928" s="24"/>
      <c r="E1928" s="1"/>
      <c r="F1928" s="23" t="b">
        <v>0</v>
      </c>
    </row>
    <row r="1929">
      <c r="C1929" s="24"/>
      <c r="E1929" s="1"/>
      <c r="F1929" s="23" t="b">
        <v>0</v>
      </c>
    </row>
    <row r="1930">
      <c r="C1930" s="24"/>
      <c r="E1930" s="1"/>
      <c r="F1930" s="23" t="b">
        <v>0</v>
      </c>
    </row>
    <row r="1931">
      <c r="C1931" s="24"/>
      <c r="E1931" s="1"/>
      <c r="F1931" s="23" t="b">
        <v>0</v>
      </c>
    </row>
    <row r="1932">
      <c r="C1932" s="24"/>
      <c r="E1932" s="1"/>
      <c r="F1932" s="23" t="b">
        <v>0</v>
      </c>
    </row>
    <row r="1933">
      <c r="C1933" s="24"/>
      <c r="E1933" s="1"/>
      <c r="F1933" s="23" t="b">
        <v>0</v>
      </c>
    </row>
    <row r="1934">
      <c r="C1934" s="24"/>
      <c r="E1934" s="1"/>
      <c r="F1934" s="23" t="b">
        <v>0</v>
      </c>
    </row>
    <row r="1935">
      <c r="C1935" s="24"/>
      <c r="E1935" s="1"/>
      <c r="F1935" s="23" t="b">
        <v>0</v>
      </c>
    </row>
    <row r="1936">
      <c r="C1936" s="24"/>
      <c r="E1936" s="1"/>
      <c r="F1936" s="23" t="b">
        <v>0</v>
      </c>
    </row>
    <row r="1937">
      <c r="C1937" s="24"/>
      <c r="E1937" s="1"/>
      <c r="F1937" s="23" t="b">
        <v>0</v>
      </c>
    </row>
    <row r="1938">
      <c r="C1938" s="24"/>
      <c r="E1938" s="1"/>
      <c r="F1938" s="23" t="b">
        <v>0</v>
      </c>
    </row>
    <row r="1939">
      <c r="C1939" s="24"/>
      <c r="E1939" s="1"/>
      <c r="F1939" s="23" t="b">
        <v>0</v>
      </c>
    </row>
    <row r="1940">
      <c r="C1940" s="24"/>
      <c r="E1940" s="1"/>
      <c r="F1940" s="23" t="b">
        <v>0</v>
      </c>
    </row>
    <row r="1941">
      <c r="C1941" s="24"/>
      <c r="E1941" s="1"/>
      <c r="F1941" s="23" t="b">
        <v>0</v>
      </c>
    </row>
    <row r="1942">
      <c r="C1942" s="24"/>
      <c r="E1942" s="1"/>
      <c r="F1942" s="23" t="b">
        <v>0</v>
      </c>
    </row>
    <row r="1943">
      <c r="C1943" s="24"/>
      <c r="E1943" s="1"/>
      <c r="F1943" s="23" t="b">
        <v>0</v>
      </c>
    </row>
    <row r="1944">
      <c r="C1944" s="24"/>
      <c r="E1944" s="1"/>
      <c r="F1944" s="23" t="b">
        <v>0</v>
      </c>
    </row>
    <row r="1945">
      <c r="C1945" s="24"/>
      <c r="E1945" s="1"/>
      <c r="F1945" s="23" t="b">
        <v>0</v>
      </c>
    </row>
    <row r="1946">
      <c r="C1946" s="24"/>
      <c r="E1946" s="1"/>
      <c r="F1946" s="23" t="b">
        <v>0</v>
      </c>
    </row>
    <row r="1947">
      <c r="C1947" s="24"/>
      <c r="E1947" s="1"/>
      <c r="F1947" s="23" t="b">
        <v>0</v>
      </c>
    </row>
    <row r="1948">
      <c r="C1948" s="24"/>
      <c r="E1948" s="1"/>
      <c r="F1948" s="23" t="b">
        <v>0</v>
      </c>
    </row>
    <row r="1949">
      <c r="C1949" s="24"/>
      <c r="E1949" s="1"/>
      <c r="F1949" s="23" t="b">
        <v>0</v>
      </c>
    </row>
    <row r="1950">
      <c r="C1950" s="24"/>
      <c r="E1950" s="1"/>
      <c r="F1950" s="23" t="b">
        <v>0</v>
      </c>
    </row>
    <row r="1951">
      <c r="C1951" s="24"/>
      <c r="E1951" s="1"/>
      <c r="F1951" s="23" t="b">
        <v>0</v>
      </c>
    </row>
    <row r="1952">
      <c r="C1952" s="24"/>
      <c r="E1952" s="1"/>
      <c r="F1952" s="23" t="b">
        <v>0</v>
      </c>
    </row>
    <row r="1953">
      <c r="C1953" s="24"/>
      <c r="E1953" s="1"/>
      <c r="F1953" s="23" t="b">
        <v>0</v>
      </c>
    </row>
    <row r="1954">
      <c r="C1954" s="24"/>
      <c r="E1954" s="1"/>
      <c r="F1954" s="23" t="b">
        <v>0</v>
      </c>
    </row>
    <row r="1955">
      <c r="C1955" s="24"/>
      <c r="E1955" s="1"/>
      <c r="F1955" s="23" t="b">
        <v>0</v>
      </c>
    </row>
    <row r="1956">
      <c r="C1956" s="24"/>
      <c r="E1956" s="1"/>
      <c r="F1956" s="23" t="b">
        <v>0</v>
      </c>
    </row>
    <row r="1957">
      <c r="C1957" s="24"/>
      <c r="E1957" s="1"/>
      <c r="F1957" s="23" t="b">
        <v>0</v>
      </c>
    </row>
    <row r="1958">
      <c r="C1958" s="24"/>
      <c r="E1958" s="1"/>
      <c r="F1958" s="23" t="b">
        <v>0</v>
      </c>
    </row>
    <row r="1959">
      <c r="C1959" s="24"/>
      <c r="E1959" s="1"/>
      <c r="F1959" s="23" t="b">
        <v>0</v>
      </c>
    </row>
    <row r="1960">
      <c r="C1960" s="24"/>
      <c r="E1960" s="1"/>
      <c r="F1960" s="23" t="b">
        <v>0</v>
      </c>
    </row>
    <row r="1961">
      <c r="C1961" s="24"/>
      <c r="E1961" s="1"/>
      <c r="F1961" s="23" t="b">
        <v>0</v>
      </c>
    </row>
    <row r="1962">
      <c r="C1962" s="24"/>
      <c r="E1962" s="1"/>
      <c r="F1962" s="23" t="b">
        <v>0</v>
      </c>
    </row>
    <row r="1963">
      <c r="C1963" s="24"/>
      <c r="E1963" s="1"/>
      <c r="F1963" s="23" t="b">
        <v>0</v>
      </c>
    </row>
    <row r="1964">
      <c r="C1964" s="24"/>
      <c r="E1964" s="1"/>
      <c r="F1964" s="23" t="b">
        <v>0</v>
      </c>
    </row>
    <row r="1965">
      <c r="C1965" s="24"/>
      <c r="E1965" s="1"/>
      <c r="F1965" s="23" t="b">
        <v>0</v>
      </c>
    </row>
    <row r="1966">
      <c r="C1966" s="24"/>
      <c r="E1966" s="1"/>
      <c r="F1966" s="23" t="b">
        <v>0</v>
      </c>
    </row>
    <row r="1967">
      <c r="C1967" s="24"/>
      <c r="E1967" s="1"/>
      <c r="F1967" s="23" t="b">
        <v>0</v>
      </c>
    </row>
    <row r="1968">
      <c r="C1968" s="24"/>
      <c r="E1968" s="1"/>
      <c r="F1968" s="23" t="b">
        <v>0</v>
      </c>
    </row>
    <row r="1969">
      <c r="C1969" s="24"/>
      <c r="E1969" s="1"/>
      <c r="F1969" s="23" t="b">
        <v>0</v>
      </c>
    </row>
    <row r="1970">
      <c r="C1970" s="24"/>
      <c r="E1970" s="1"/>
      <c r="F1970" s="23" t="b">
        <v>0</v>
      </c>
    </row>
    <row r="1971">
      <c r="C1971" s="24"/>
      <c r="E1971" s="1"/>
      <c r="F1971" s="23" t="b">
        <v>0</v>
      </c>
    </row>
    <row r="1972">
      <c r="C1972" s="24"/>
      <c r="E1972" s="1"/>
      <c r="F1972" s="23" t="b">
        <v>0</v>
      </c>
    </row>
    <row r="1973">
      <c r="C1973" s="24"/>
      <c r="E1973" s="1"/>
      <c r="F1973" s="23" t="b">
        <v>0</v>
      </c>
    </row>
    <row r="1974">
      <c r="C1974" s="24"/>
      <c r="E1974" s="1"/>
      <c r="F1974" s="23" t="b">
        <v>0</v>
      </c>
    </row>
    <row r="1975">
      <c r="C1975" s="24"/>
      <c r="E1975" s="1"/>
      <c r="F1975" s="23" t="b">
        <v>0</v>
      </c>
    </row>
    <row r="1976">
      <c r="C1976" s="24"/>
      <c r="E1976" s="1"/>
      <c r="F1976" s="23" t="b">
        <v>0</v>
      </c>
    </row>
    <row r="1977">
      <c r="C1977" s="24"/>
      <c r="E1977" s="1"/>
      <c r="F1977" s="23" t="b">
        <v>0</v>
      </c>
    </row>
    <row r="1978">
      <c r="C1978" s="24"/>
      <c r="E1978" s="1"/>
      <c r="F1978" s="23" t="b">
        <v>0</v>
      </c>
    </row>
    <row r="1979">
      <c r="C1979" s="24"/>
      <c r="E1979" s="1"/>
      <c r="F1979" s="23" t="b">
        <v>0</v>
      </c>
    </row>
    <row r="1980">
      <c r="C1980" s="24"/>
      <c r="E1980" s="1"/>
      <c r="F1980" s="23" t="b">
        <v>0</v>
      </c>
    </row>
    <row r="1981">
      <c r="C1981" s="24"/>
      <c r="E1981" s="1"/>
      <c r="F1981" s="23" t="b">
        <v>0</v>
      </c>
    </row>
    <row r="1982">
      <c r="C1982" s="24"/>
      <c r="E1982" s="1"/>
      <c r="F1982" s="23" t="b">
        <v>0</v>
      </c>
    </row>
    <row r="1983">
      <c r="C1983" s="24"/>
      <c r="E1983" s="1"/>
      <c r="F1983" s="23" t="b">
        <v>0</v>
      </c>
    </row>
    <row r="1984">
      <c r="C1984" s="24"/>
      <c r="E1984" s="1"/>
      <c r="F1984" s="23" t="b">
        <v>0</v>
      </c>
    </row>
    <row r="1985">
      <c r="C1985" s="24"/>
      <c r="E1985" s="1"/>
      <c r="F1985" s="23" t="b">
        <v>0</v>
      </c>
    </row>
    <row r="1986">
      <c r="C1986" s="24"/>
      <c r="E1986" s="1"/>
      <c r="F1986" s="23" t="b">
        <v>0</v>
      </c>
    </row>
    <row r="1987">
      <c r="C1987" s="24"/>
      <c r="E1987" s="1"/>
      <c r="F1987" s="23" t="b">
        <v>0</v>
      </c>
    </row>
    <row r="1988">
      <c r="C1988" s="24"/>
      <c r="E1988" s="1"/>
      <c r="F1988" s="23" t="b">
        <v>0</v>
      </c>
    </row>
    <row r="1989">
      <c r="C1989" s="24"/>
      <c r="E1989" s="1"/>
      <c r="F1989" s="23" t="b">
        <v>0</v>
      </c>
    </row>
    <row r="1990">
      <c r="C1990" s="24"/>
      <c r="E1990" s="1"/>
      <c r="F1990" s="23" t="b">
        <v>0</v>
      </c>
    </row>
    <row r="1991">
      <c r="C1991" s="24"/>
      <c r="E1991" s="1"/>
      <c r="F1991" s="23" t="b">
        <v>0</v>
      </c>
    </row>
    <row r="1992">
      <c r="C1992" s="24"/>
      <c r="E1992" s="1"/>
      <c r="F1992" s="23" t="b">
        <v>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9" max="9" width="41.86"/>
  </cols>
  <sheetData>
    <row r="1">
      <c r="A1" s="1" t="s">
        <v>8</v>
      </c>
      <c r="B1" s="10" t="s">
        <v>10</v>
      </c>
      <c r="C1" s="105"/>
      <c r="D1" s="10" t="s">
        <v>1</v>
      </c>
      <c r="E1" s="10" t="s">
        <v>47</v>
      </c>
      <c r="F1" s="10" t="s">
        <v>2095</v>
      </c>
      <c r="G1" s="106" t="s">
        <v>2096</v>
      </c>
      <c r="I1" s="107" t="s">
        <v>2097</v>
      </c>
    </row>
    <row r="2">
      <c r="A2" s="108" t="s">
        <v>2098</v>
      </c>
      <c r="B2" s="109">
        <v>43662.0</v>
      </c>
      <c r="C2" s="105"/>
      <c r="D2" s="10">
        <v>3.4</v>
      </c>
      <c r="E2" s="10"/>
      <c r="F2" s="105" t="b">
        <f>if(countif(Status!C:C,A2)=1,TRUE, FALSE)</f>
        <v>0</v>
      </c>
      <c r="G2" s="110" t="str">
        <f>IFERROR(__xludf.DUMMYFUNCTION("if(filter(Status!P:P,Status!C:C=A2)=TRUE,TRUE,FALSE)"),"#N/A")</f>
        <v>#N/A</v>
      </c>
    </row>
    <row r="3">
      <c r="A3" s="108" t="s">
        <v>399</v>
      </c>
      <c r="B3" s="109">
        <v>43654.0</v>
      </c>
      <c r="C3" s="105"/>
      <c r="D3" s="10">
        <v>3.4</v>
      </c>
      <c r="E3" s="105"/>
      <c r="F3" s="105" t="b">
        <f>if(countif(Status!C:C,A3)=1,TRUE, FALSE)</f>
        <v>1</v>
      </c>
      <c r="G3" s="110" t="b">
        <f>IFERROR(__xludf.DUMMYFUNCTION("if(filter(Status!P:P,Status!C:C=A3)=TRUE,TRUE,FALSE)"),TRUE)</f>
        <v>1</v>
      </c>
    </row>
    <row r="4">
      <c r="A4" s="108" t="s">
        <v>410</v>
      </c>
      <c r="B4" s="109">
        <v>43654.0</v>
      </c>
      <c r="C4" s="105"/>
      <c r="D4" s="10">
        <v>3.4</v>
      </c>
      <c r="E4" s="105"/>
      <c r="F4" s="105" t="b">
        <f>if(countif(Status!C:C,A4)=1,TRUE, FALSE)</f>
        <v>1</v>
      </c>
      <c r="G4" s="110" t="b">
        <f>IFERROR(__xludf.DUMMYFUNCTION("if(filter(Status!P:P,Status!C:C=A4)=TRUE,TRUE,FALSE)"),TRUE)</f>
        <v>1</v>
      </c>
    </row>
    <row r="5">
      <c r="A5" s="108" t="s">
        <v>485</v>
      </c>
      <c r="B5" s="109">
        <v>43654.0</v>
      </c>
      <c r="C5" s="105"/>
      <c r="D5" s="10">
        <v>3.4</v>
      </c>
      <c r="E5" s="105"/>
      <c r="F5" s="105" t="b">
        <f>if(countif(Status!C:C,A5)=1,TRUE, FALSE)</f>
        <v>1</v>
      </c>
      <c r="G5" s="110" t="b">
        <f>IFERROR(__xludf.DUMMYFUNCTION("if(filter(Status!P:P,Status!C:C=A5)=TRUE,TRUE,FALSE)"),TRUE)</f>
        <v>1</v>
      </c>
    </row>
    <row r="6">
      <c r="A6" s="108" t="s">
        <v>851</v>
      </c>
      <c r="B6" s="109">
        <v>43684.0</v>
      </c>
      <c r="C6" s="105"/>
      <c r="D6" s="10">
        <v>3.4</v>
      </c>
      <c r="E6" s="105"/>
      <c r="F6" s="105" t="b">
        <f>if(countif(Status!C:C,A6)=1,TRUE, FALSE)</f>
        <v>1</v>
      </c>
      <c r="G6" s="110" t="b">
        <f>IFERROR(__xludf.DUMMYFUNCTION("if(filter(Status!P:P,Status!C:C=A6)=TRUE,TRUE,FALSE)"),FALSE)</f>
        <v>0</v>
      </c>
    </row>
    <row r="7">
      <c r="A7" s="108" t="s">
        <v>853</v>
      </c>
      <c r="B7" s="109">
        <v>43684.0</v>
      </c>
      <c r="C7" s="105"/>
      <c r="D7" s="10">
        <v>3.4</v>
      </c>
      <c r="E7" s="105"/>
      <c r="F7" s="105" t="b">
        <f>if(countif(Status!C:C,A7)=1,TRUE, FALSE)</f>
        <v>1</v>
      </c>
      <c r="G7" s="110" t="b">
        <f>IFERROR(__xludf.DUMMYFUNCTION("if(filter(Status!P:P,Status!C:C=A7)=TRUE,TRUE,FALSE)"),TRUE)</f>
        <v>1</v>
      </c>
    </row>
    <row r="8">
      <c r="A8" s="108" t="s">
        <v>858</v>
      </c>
      <c r="B8" s="109">
        <v>43684.0</v>
      </c>
      <c r="C8" s="105"/>
      <c r="D8" s="10">
        <v>3.4</v>
      </c>
      <c r="E8" s="105"/>
      <c r="F8" s="105" t="b">
        <f>if(countif(Status!C:C,A8)=1,TRUE, FALSE)</f>
        <v>1</v>
      </c>
      <c r="G8" s="110" t="b">
        <f>IFERROR(__xludf.DUMMYFUNCTION("if(filter(Status!P:P,Status!C:C=A8)=TRUE,TRUE,FALSE)"),FALSE)</f>
        <v>0</v>
      </c>
    </row>
    <row r="9">
      <c r="A9" s="108" t="s">
        <v>861</v>
      </c>
      <c r="B9" s="109">
        <v>43684.0</v>
      </c>
      <c r="C9" s="105"/>
      <c r="D9" s="10">
        <v>3.4</v>
      </c>
      <c r="E9" s="105"/>
      <c r="F9" s="105" t="b">
        <f>if(countif(Status!C:C,A9)=1,TRUE, FALSE)</f>
        <v>1</v>
      </c>
      <c r="G9" s="110" t="b">
        <f>IFERROR(__xludf.DUMMYFUNCTION("if(filter(Status!P:P,Status!C:C=A9)=TRUE,TRUE,FALSE)"),TRUE)</f>
        <v>1</v>
      </c>
    </row>
    <row r="10">
      <c r="A10" s="108" t="s">
        <v>898</v>
      </c>
      <c r="B10" s="109">
        <v>43684.0</v>
      </c>
      <c r="C10" s="105"/>
      <c r="D10" s="10">
        <v>3.4</v>
      </c>
      <c r="E10" s="105"/>
      <c r="F10" s="105" t="b">
        <f>if(countif(Status!C:C,A10)=1,TRUE, FALSE)</f>
        <v>1</v>
      </c>
      <c r="G10" s="110" t="b">
        <f>IFERROR(__xludf.DUMMYFUNCTION("if(filter(Status!P:P,Status!C:C=A10)=TRUE,TRUE,FALSE)"),FALSE)</f>
        <v>0</v>
      </c>
    </row>
    <row r="11">
      <c r="A11" s="108" t="s">
        <v>901</v>
      </c>
      <c r="B11" s="109">
        <v>43684.0</v>
      </c>
      <c r="C11" s="105"/>
      <c r="D11" s="10">
        <v>3.4</v>
      </c>
      <c r="E11" s="105"/>
      <c r="F11" s="105" t="b">
        <f>if(countif(Status!C:C,A11)=1,TRUE, FALSE)</f>
        <v>1</v>
      </c>
      <c r="G11" s="110" t="b">
        <f>IFERROR(__xludf.DUMMYFUNCTION("if(filter(Status!P:P,Status!C:C=A11)=TRUE,TRUE,FALSE)"),TRUE)</f>
        <v>1</v>
      </c>
    </row>
    <row r="12">
      <c r="A12" s="108" t="s">
        <v>910</v>
      </c>
      <c r="B12" s="109">
        <v>43684.0</v>
      </c>
      <c r="C12" s="105"/>
      <c r="D12" s="10">
        <v>3.4</v>
      </c>
      <c r="E12" s="105"/>
      <c r="F12" s="105" t="b">
        <f>if(countif(Status!C:C,A12)=1,TRUE, FALSE)</f>
        <v>1</v>
      </c>
      <c r="G12" s="110" t="b">
        <f>IFERROR(__xludf.DUMMYFUNCTION("if(filter(Status!P:P,Status!C:C=A12)=TRUE,TRUE,FALSE)"),FALSE)</f>
        <v>0</v>
      </c>
    </row>
    <row r="13">
      <c r="A13" s="108" t="s">
        <v>912</v>
      </c>
      <c r="B13" s="109">
        <v>43684.0</v>
      </c>
      <c r="C13" s="105"/>
      <c r="D13" s="10">
        <v>3.4</v>
      </c>
      <c r="E13" s="105"/>
      <c r="F13" s="105" t="b">
        <f>if(countif(Status!C:C,A13)=1,TRUE, FALSE)</f>
        <v>1</v>
      </c>
      <c r="G13" s="110" t="b">
        <f>IFERROR(__xludf.DUMMYFUNCTION("if(filter(Status!P:P,Status!C:C=A13)=TRUE,TRUE,FALSE)"),TRUE)</f>
        <v>1</v>
      </c>
    </row>
    <row r="14">
      <c r="A14" s="108" t="s">
        <v>939</v>
      </c>
      <c r="B14" s="109">
        <v>43684.0</v>
      </c>
      <c r="C14" s="105"/>
      <c r="D14" s="10">
        <v>3.4</v>
      </c>
      <c r="E14" s="105"/>
      <c r="F14" s="105" t="b">
        <f>if(countif(Status!C:C,A14)=1,TRUE, FALSE)</f>
        <v>1</v>
      </c>
      <c r="G14" s="110" t="b">
        <f>IFERROR(__xludf.DUMMYFUNCTION("if(filter(Status!P:P,Status!C:C=A14)=TRUE,TRUE,FALSE)"),FALSE)</f>
        <v>0</v>
      </c>
    </row>
    <row r="15">
      <c r="A15" s="108" t="s">
        <v>941</v>
      </c>
      <c r="B15" s="109">
        <v>43684.0</v>
      </c>
      <c r="C15" s="105"/>
      <c r="D15" s="10">
        <v>3.4</v>
      </c>
      <c r="E15" s="105"/>
      <c r="F15" s="105" t="b">
        <f>if(countif(Status!C:C,A15)=1,TRUE, FALSE)</f>
        <v>1</v>
      </c>
      <c r="G15" s="110" t="b">
        <f>IFERROR(__xludf.DUMMYFUNCTION("if(filter(Status!P:P,Status!C:C=A15)=TRUE,TRUE,FALSE)"),TRUE)</f>
        <v>1</v>
      </c>
    </row>
    <row r="16">
      <c r="A16" s="108" t="s">
        <v>955</v>
      </c>
      <c r="B16" s="109">
        <v>43684.0</v>
      </c>
      <c r="C16" s="105"/>
      <c r="D16" s="10">
        <v>3.4</v>
      </c>
      <c r="E16" s="105"/>
      <c r="F16" s="105" t="b">
        <f>if(countif(Status!C:C,A16)=1,TRUE, FALSE)</f>
        <v>1</v>
      </c>
      <c r="G16" s="110" t="b">
        <f>IFERROR(__xludf.DUMMYFUNCTION("if(filter(Status!P:P,Status!C:C=A16)=TRUE,TRUE,FALSE)"),FALSE)</f>
        <v>0</v>
      </c>
      <c r="H16" s="23" t="str">
        <f>'3.4.raw'!AD326</f>
        <v/>
      </c>
    </row>
    <row r="17">
      <c r="A17" s="108" t="s">
        <v>957</v>
      </c>
      <c r="B17" s="109">
        <v>43684.0</v>
      </c>
      <c r="C17" s="105"/>
      <c r="D17" s="10">
        <v>3.4</v>
      </c>
      <c r="E17" s="105"/>
      <c r="F17" s="105" t="b">
        <f>if(countif(Status!C:C,A17)=1,TRUE, FALSE)</f>
        <v>1</v>
      </c>
      <c r="G17" s="110" t="b">
        <f>IFERROR(__xludf.DUMMYFUNCTION("if(filter(Status!P:P,Status!C:C=A17)=TRUE,TRUE,FALSE)"),TRUE)</f>
        <v>1</v>
      </c>
      <c r="H17" s="23" t="str">
        <f>'3.4.raw'!AD327</f>
        <v/>
      </c>
    </row>
    <row r="18">
      <c r="A18" s="108" t="s">
        <v>1030</v>
      </c>
      <c r="B18" s="109">
        <v>43684.0</v>
      </c>
      <c r="C18" s="105"/>
      <c r="D18" s="10">
        <v>3.4</v>
      </c>
      <c r="E18" s="105"/>
      <c r="F18" s="105" t="b">
        <f>if(countif(Status!C:C,A18)=1,TRUE, FALSE)</f>
        <v>1</v>
      </c>
      <c r="G18" s="110" t="b">
        <f>IFERROR(__xludf.DUMMYFUNCTION("if(filter(Status!P:P,Status!C:C=A18)=TRUE,TRUE,FALSE)"),FALSE)</f>
        <v>0</v>
      </c>
      <c r="H18" s="23" t="str">
        <f>'3.4.raw'!AD328</f>
        <v>Associated sample PL1020</v>
      </c>
    </row>
    <row r="19">
      <c r="A19" s="108" t="s">
        <v>1032</v>
      </c>
      <c r="B19" s="109">
        <v>43684.0</v>
      </c>
      <c r="C19" s="105"/>
      <c r="D19" s="10">
        <v>3.4</v>
      </c>
      <c r="E19" s="105"/>
      <c r="F19" s="105" t="b">
        <f>if(countif(Status!C:C,A19)=1,TRUE, FALSE)</f>
        <v>1</v>
      </c>
      <c r="G19" s="110" t="b">
        <f>IFERROR(__xludf.DUMMYFUNCTION("if(filter(Status!P:P,Status!C:C=A19)=TRUE,TRUE,FALSE)"),TRUE)</f>
        <v>1</v>
      </c>
      <c r="H19" s="23" t="str">
        <f>'3.4.raw'!AD329</f>
        <v/>
      </c>
    </row>
    <row r="20">
      <c r="A20" s="108" t="s">
        <v>425</v>
      </c>
      <c r="B20" s="109">
        <v>43654.0</v>
      </c>
      <c r="C20" s="105"/>
      <c r="D20" s="10">
        <v>3.4</v>
      </c>
      <c r="E20" s="105"/>
      <c r="F20" s="105" t="b">
        <f>if(countif(Status!C:C,A20)=1,TRUE, FALSE)</f>
        <v>1</v>
      </c>
      <c r="G20" s="110" t="b">
        <f>IFERROR(__xludf.DUMMYFUNCTION("if(filter(Status!P:P,Status!C:C=A20)=TRUE,TRUE,FALSE)"),TRUE)</f>
        <v>1</v>
      </c>
      <c r="H20" s="23" t="str">
        <f>'3.4.raw'!AD330</f>
        <v>Associated sample MO1091</v>
      </c>
    </row>
    <row r="21">
      <c r="A21" s="108" t="s">
        <v>427</v>
      </c>
      <c r="B21" s="109">
        <v>43654.0</v>
      </c>
      <c r="C21" s="105"/>
      <c r="D21" s="10">
        <v>3.4</v>
      </c>
      <c r="E21" s="105"/>
      <c r="F21" s="105" t="b">
        <f>if(countif(Status!C:C,A21)=1,TRUE, FALSE)</f>
        <v>1</v>
      </c>
      <c r="G21" s="110" t="b">
        <f>IFERROR(__xludf.DUMMYFUNCTION("if(filter(Status!P:P,Status!C:C=A21)=TRUE,TRUE,FALSE)"),TRUE)</f>
        <v>1</v>
      </c>
      <c r="H21" s="23" t="str">
        <f>'3.4.raw'!AD331</f>
        <v/>
      </c>
    </row>
    <row r="22">
      <c r="A22" s="108" t="s">
        <v>428</v>
      </c>
      <c r="B22" s="109">
        <v>43654.0</v>
      </c>
      <c r="C22" s="105"/>
      <c r="D22" s="10">
        <v>3.4</v>
      </c>
      <c r="E22" s="105"/>
      <c r="F22" s="105" t="b">
        <f>if(countif(Status!C:C,A22)=1,TRUE, FALSE)</f>
        <v>1</v>
      </c>
      <c r="G22" s="110" t="b">
        <f>IFERROR(__xludf.DUMMYFUNCTION("if(filter(Status!P:P,Status!C:C=A22)=TRUE,TRUE,FALSE)"),TRUE)</f>
        <v>1</v>
      </c>
      <c r="H22" s="23" t="str">
        <f>'3.4.raw'!AD332</f>
        <v>Associated sample SF1011</v>
      </c>
    </row>
    <row r="23">
      <c r="A23" s="108" t="s">
        <v>456</v>
      </c>
      <c r="B23" s="109">
        <v>43654.0</v>
      </c>
      <c r="C23" s="105"/>
      <c r="D23" s="10">
        <v>3.4</v>
      </c>
      <c r="E23" s="105"/>
      <c r="F23" s="105" t="b">
        <f>if(countif(Status!C:C,A23)=1,TRUE, FALSE)</f>
        <v>1</v>
      </c>
      <c r="G23" s="110" t="b">
        <f>IFERROR(__xludf.DUMMYFUNCTION("if(filter(Status!P:P,Status!C:C=A23)=TRUE,TRUE,FALSE)"),TRUE)</f>
        <v>1</v>
      </c>
      <c r="H23" s="23" t="str">
        <f>'3.4.raw'!AD333</f>
        <v/>
      </c>
    </row>
    <row r="24">
      <c r="A24" s="108" t="s">
        <v>442</v>
      </c>
      <c r="B24" s="109">
        <v>43654.0</v>
      </c>
      <c r="C24" s="105"/>
      <c r="D24" s="10">
        <v>3.4</v>
      </c>
      <c r="E24" s="105"/>
      <c r="F24" s="105" t="b">
        <f>if(countif(Status!C:C,A24)=1,TRUE, FALSE)</f>
        <v>1</v>
      </c>
      <c r="G24" s="110" t="b">
        <f>IFERROR(__xludf.DUMMYFUNCTION("if(filter(Status!P:P,Status!C:C=A24)=TRUE,TRUE,FALSE)"),TRUE)</f>
        <v>1</v>
      </c>
      <c r="H24" s="23" t="str">
        <f>'3.4.raw'!AD334</f>
        <v/>
      </c>
    </row>
    <row r="25">
      <c r="A25" s="108" t="s">
        <v>444</v>
      </c>
      <c r="B25" s="109">
        <v>43654.0</v>
      </c>
      <c r="C25" s="105"/>
      <c r="D25" s="10">
        <v>3.4</v>
      </c>
      <c r="E25" s="105"/>
      <c r="F25" s="105" t="b">
        <f>if(countif(Status!C:C,A25)=1,TRUE, FALSE)</f>
        <v>1</v>
      </c>
      <c r="G25" s="110" t="b">
        <f>IFERROR(__xludf.DUMMYFUNCTION("if(filter(Status!P:P,Status!C:C=A25)=TRUE,TRUE,FALSE)"),TRUE)</f>
        <v>1</v>
      </c>
      <c r="H25" s="23" t="str">
        <f>'3.4.raw'!AD335</f>
        <v/>
      </c>
    </row>
    <row r="26">
      <c r="A26" s="108" t="s">
        <v>461</v>
      </c>
      <c r="B26" s="109">
        <v>43654.0</v>
      </c>
      <c r="C26" s="105"/>
      <c r="D26" s="10">
        <v>3.4</v>
      </c>
      <c r="E26" s="105"/>
      <c r="F26" s="105" t="b">
        <f>if(countif(Status!C:C,A26)=1,TRUE, FALSE)</f>
        <v>1</v>
      </c>
      <c r="G26" s="110" t="b">
        <f>IFERROR(__xludf.DUMMYFUNCTION("if(filter(Status!P:P,Status!C:C=A26)=TRUE,TRUE,FALSE)"),TRUE)</f>
        <v>1</v>
      </c>
      <c r="H26" s="23" t="str">
        <f>'3.4.raw'!AD336</f>
        <v>Associated sample SL1011</v>
      </c>
    </row>
    <row r="27">
      <c r="A27" s="108" t="s">
        <v>462</v>
      </c>
      <c r="B27" s="109">
        <v>43654.0</v>
      </c>
      <c r="C27" s="105"/>
      <c r="D27" s="10">
        <v>3.4</v>
      </c>
      <c r="E27" s="105"/>
      <c r="F27" s="105" t="b">
        <f>if(countif(Status!C:C,A27)=1,TRUE, FALSE)</f>
        <v>1</v>
      </c>
      <c r="G27" s="110" t="b">
        <f>IFERROR(__xludf.DUMMYFUNCTION("if(filter(Status!P:P,Status!C:C=A27)=TRUE,TRUE,FALSE)"),TRUE)</f>
        <v>1</v>
      </c>
      <c r="H27" s="23" t="str">
        <f>'3.4.raw'!AD337</f>
        <v/>
      </c>
    </row>
    <row r="28">
      <c r="A28" s="108" t="s">
        <v>511</v>
      </c>
      <c r="B28" s="109">
        <v>43662.0</v>
      </c>
      <c r="C28" s="105"/>
      <c r="D28" s="10">
        <v>3.4</v>
      </c>
      <c r="E28" s="105"/>
      <c r="F28" s="105" t="b">
        <f>if(countif(Status!C:C,A28)=1,TRUE, FALSE)</f>
        <v>1</v>
      </c>
      <c r="G28" s="110" t="b">
        <f>IFERROR(__xludf.DUMMYFUNCTION("if(filter(Status!P:P,Status!C:C=A28)=TRUE,TRUE,FALSE)"),TRUE)</f>
        <v>1</v>
      </c>
      <c r="H28" s="23" t="str">
        <f>'3.4.raw'!AD338</f>
        <v>Associated sample DWa1004</v>
      </c>
    </row>
    <row r="29">
      <c r="A29" s="108" t="s">
        <v>512</v>
      </c>
      <c r="B29" s="109">
        <v>43662.0</v>
      </c>
      <c r="C29" s="105"/>
      <c r="D29" s="10">
        <v>3.4</v>
      </c>
      <c r="E29" s="105"/>
      <c r="F29" s="105" t="b">
        <f>if(countif(Status!C:C,A29)=1,TRUE, FALSE)</f>
        <v>1</v>
      </c>
      <c r="G29" s="110" t="b">
        <f>IFERROR(__xludf.DUMMYFUNCTION("if(filter(Status!P:P,Status!C:C=A29)=TRUE,TRUE,FALSE)"),FALSE)</f>
        <v>0</v>
      </c>
      <c r="H29" s="23" t="str">
        <f>'3.4.raw'!AD339</f>
        <v/>
      </c>
    </row>
    <row r="30">
      <c r="A30" s="108" t="s">
        <v>515</v>
      </c>
      <c r="B30" s="109">
        <v>43662.0</v>
      </c>
      <c r="C30" s="105"/>
      <c r="D30" s="10">
        <v>3.4</v>
      </c>
      <c r="E30" s="105"/>
      <c r="F30" s="105" t="b">
        <f>if(countif(Status!C:C,A30)=1,TRUE, FALSE)</f>
        <v>1</v>
      </c>
      <c r="G30" s="110" t="b">
        <f>IFERROR(__xludf.DUMMYFUNCTION("if(filter(Status!P:P,Status!C:C=A30)=TRUE,TRUE,FALSE)"),TRUE)</f>
        <v>1</v>
      </c>
      <c r="H30" s="23" t="str">
        <f>'3.4.raw'!AD340</f>
        <v>Associated sample SL1012</v>
      </c>
    </row>
    <row r="31">
      <c r="A31" s="108" t="s">
        <v>516</v>
      </c>
      <c r="B31" s="109">
        <v>43662.0</v>
      </c>
      <c r="C31" s="105"/>
      <c r="D31" s="10">
        <v>3.4</v>
      </c>
      <c r="E31" s="105"/>
      <c r="F31" s="105" t="b">
        <f>if(countif(Status!C:C,A31)=1,TRUE, FALSE)</f>
        <v>1</v>
      </c>
      <c r="G31" s="110" t="b">
        <f>IFERROR(__xludf.DUMMYFUNCTION("if(filter(Status!P:P,Status!C:C=A31)=TRUE,TRUE,FALSE)"),FALSE)</f>
        <v>0</v>
      </c>
      <c r="H31" s="23" t="str">
        <f>'3.4.raw'!AD341</f>
        <v>Associated sample SL1012</v>
      </c>
    </row>
    <row r="32">
      <c r="A32" s="108" t="s">
        <v>518</v>
      </c>
      <c r="B32" s="109">
        <v>43662.0</v>
      </c>
      <c r="C32" s="105"/>
      <c r="D32" s="10">
        <v>3.4</v>
      </c>
      <c r="E32" s="105"/>
      <c r="F32" s="105" t="b">
        <f>if(countif(Status!C:C,A32)=1,TRUE, FALSE)</f>
        <v>1</v>
      </c>
      <c r="G32" s="110" t="b">
        <f>IFERROR(__xludf.DUMMYFUNCTION("if(filter(Status!P:P,Status!C:C=A32)=TRUE,TRUE,FALSE)"),TRUE)</f>
        <v>1</v>
      </c>
      <c r="H32" s="23" t="str">
        <f>'3.4.raw'!AD342</f>
        <v>Associated sample SF1011</v>
      </c>
    </row>
    <row r="33">
      <c r="A33" s="108" t="s">
        <v>520</v>
      </c>
      <c r="B33" s="109">
        <v>43662.0</v>
      </c>
      <c r="C33" s="105"/>
      <c r="D33" s="10">
        <v>3.4</v>
      </c>
      <c r="E33" s="105"/>
      <c r="F33" s="105" t="b">
        <f>if(countif(Status!C:C,A33)=1,TRUE, FALSE)</f>
        <v>1</v>
      </c>
      <c r="G33" s="110" t="b">
        <f>IFERROR(__xludf.DUMMYFUNCTION("if(filter(Status!P:P,Status!C:C=A33)=TRUE,TRUE,FALSE)"),FALSE)</f>
        <v>0</v>
      </c>
      <c r="H33" s="23" t="str">
        <f>'3.4.raw'!AD343</f>
        <v>Associated sample SL1011</v>
      </c>
    </row>
    <row r="34">
      <c r="A34" s="108" t="s">
        <v>534</v>
      </c>
      <c r="B34" s="109">
        <v>43662.0</v>
      </c>
      <c r="C34" s="105"/>
      <c r="D34" s="10">
        <v>3.4</v>
      </c>
      <c r="E34" s="105"/>
      <c r="F34" s="105" t="b">
        <f>if(countif(Status!C:C,A34)=1,TRUE, FALSE)</f>
        <v>1</v>
      </c>
      <c r="G34" s="110" t="b">
        <f>IFERROR(__xludf.DUMMYFUNCTION("if(filter(Status!P:P,Status!C:C=A34)=TRUE,TRUE,FALSE)"),TRUE)</f>
        <v>1</v>
      </c>
      <c r="H34" s="23" t="str">
        <f>'3.4.raw'!AD344</f>
        <v>Associated sample DWa1004</v>
      </c>
    </row>
    <row r="35">
      <c r="A35" s="108" t="s">
        <v>540</v>
      </c>
      <c r="B35" s="109">
        <v>43662.0</v>
      </c>
      <c r="C35" s="105"/>
      <c r="D35" s="10">
        <v>3.4</v>
      </c>
      <c r="E35" s="105"/>
      <c r="F35" s="105" t="b">
        <f>if(countif(Status!C:C,A35)=1,TRUE, FALSE)</f>
        <v>1</v>
      </c>
      <c r="G35" s="110" t="b">
        <f>IFERROR(__xludf.DUMMYFUNCTION("if(filter(Status!P:P,Status!C:C=A35)=TRUE,TRUE,FALSE)"),FALSE)</f>
        <v>0</v>
      </c>
      <c r="H35" s="23" t="str">
        <f>'3.4.raw'!AD345</f>
        <v/>
      </c>
    </row>
    <row r="36">
      <c r="A36" s="108" t="s">
        <v>550</v>
      </c>
      <c r="B36" s="109">
        <v>43662.0</v>
      </c>
      <c r="C36" s="105"/>
      <c r="D36" s="10">
        <v>3.4</v>
      </c>
      <c r="E36" s="105"/>
      <c r="F36" s="105" t="b">
        <f>if(countif(Status!C:C,A36)=1,TRUE, FALSE)</f>
        <v>1</v>
      </c>
      <c r="G36" s="110" t="b">
        <f>IFERROR(__xludf.DUMMYFUNCTION("if(filter(Status!P:P,Status!C:C=A36)=TRUE,TRUE,FALSE)"),TRUE)</f>
        <v>1</v>
      </c>
      <c r="H36" s="23" t="str">
        <f>'3.4.raw'!AD346</f>
        <v/>
      </c>
    </row>
    <row r="37">
      <c r="A37" s="108" t="s">
        <v>554</v>
      </c>
      <c r="B37" s="109">
        <v>43662.0</v>
      </c>
      <c r="C37" s="105"/>
      <c r="D37" s="10">
        <v>3.4</v>
      </c>
      <c r="E37" s="105"/>
      <c r="F37" s="105" t="b">
        <f>if(countif(Status!C:C,A37)=1,TRUE, FALSE)</f>
        <v>1</v>
      </c>
      <c r="G37" s="110" t="b">
        <f>IFERROR(__xludf.DUMMYFUNCTION("if(filter(Status!P:P,Status!C:C=A37)=TRUE,TRUE,FALSE)"),FALSE)</f>
        <v>0</v>
      </c>
      <c r="H37" s="23" t="str">
        <f>'3.4.raw'!AD347</f>
        <v>Associated sample SW1009</v>
      </c>
    </row>
    <row r="38">
      <c r="A38" s="108" t="s">
        <v>564</v>
      </c>
      <c r="B38" s="109">
        <v>43662.0</v>
      </c>
      <c r="C38" s="105"/>
      <c r="D38" s="10">
        <v>3.4</v>
      </c>
      <c r="E38" s="105"/>
      <c r="F38" s="105" t="b">
        <f>if(countif(Status!C:C,A38)=1,TRUE, FALSE)</f>
        <v>1</v>
      </c>
      <c r="G38" s="110" t="b">
        <f>IFERROR(__xludf.DUMMYFUNCTION("if(filter(Status!P:P,Status!C:C=A38)=TRUE,TRUE,FALSE)"),TRUE)</f>
        <v>1</v>
      </c>
      <c r="H38" s="23" t="str">
        <f>'3.4.raw'!AD348</f>
        <v>Associated sample SW1009</v>
      </c>
    </row>
    <row r="39">
      <c r="A39" s="108" t="s">
        <v>570</v>
      </c>
      <c r="B39" s="109">
        <v>43662.0</v>
      </c>
      <c r="C39" s="105"/>
      <c r="D39" s="10">
        <v>3.4</v>
      </c>
      <c r="E39" s="105"/>
      <c r="F39" s="105" t="b">
        <f>if(countif(Status!C:C,A39)=1,TRUE, FALSE)</f>
        <v>1</v>
      </c>
      <c r="G39" s="110" t="b">
        <f>IFERROR(__xludf.DUMMYFUNCTION("if(filter(Status!P:P,Status!C:C=A39)=TRUE,TRUE,FALSE)"),FALSE)</f>
        <v>0</v>
      </c>
      <c r="H39" s="23" t="str">
        <f>'3.4.raw'!AD349</f>
        <v/>
      </c>
    </row>
    <row r="40">
      <c r="A40" s="108" t="s">
        <v>576</v>
      </c>
      <c r="B40" s="109">
        <v>43662.0</v>
      </c>
      <c r="C40" s="105"/>
      <c r="D40" s="10">
        <v>3.4</v>
      </c>
      <c r="E40" s="105"/>
      <c r="F40" s="105" t="b">
        <f>if(countif(Status!C:C,A40)=1,TRUE, FALSE)</f>
        <v>1</v>
      </c>
      <c r="G40" s="110" t="b">
        <f>IFERROR(__xludf.DUMMYFUNCTION("if(filter(Status!P:P,Status!C:C=A40)=TRUE,TRUE,FALSE)"),TRUE)</f>
        <v>1</v>
      </c>
      <c r="H40" s="23" t="str">
        <f>'3.4.raw'!AD350</f>
        <v/>
      </c>
    </row>
    <row r="41">
      <c r="A41" s="108" t="s">
        <v>581</v>
      </c>
      <c r="B41" s="109">
        <v>43662.0</v>
      </c>
      <c r="C41" s="105"/>
      <c r="D41" s="10">
        <v>3.4</v>
      </c>
      <c r="E41" s="105"/>
      <c r="F41" s="105" t="b">
        <f>if(countif(Status!C:C,A41)=1,TRUE, FALSE)</f>
        <v>1</v>
      </c>
      <c r="G41" s="110" t="b">
        <f>IFERROR(__xludf.DUMMYFUNCTION("if(filter(Status!P:P,Status!C:C=A41)=TRUE,TRUE,FALSE)"),FALSE)</f>
        <v>0</v>
      </c>
      <c r="H41" s="23" t="str">
        <f>'3.4.raw'!AD351</f>
        <v>Associated sample MO1092</v>
      </c>
    </row>
    <row r="42">
      <c r="A42" s="108" t="s">
        <v>846</v>
      </c>
      <c r="B42" s="109">
        <v>43684.0</v>
      </c>
      <c r="C42" s="105"/>
      <c r="D42" s="10">
        <v>3.4</v>
      </c>
      <c r="E42" s="105"/>
      <c r="F42" s="105" t="b">
        <f>if(countif(Status!C:C,A42)=1,TRUE, FALSE)</f>
        <v>1</v>
      </c>
      <c r="G42" s="110" t="b">
        <f>IFERROR(__xludf.DUMMYFUNCTION("if(filter(Status!P:P,Status!C:C=A42)=TRUE,TRUE,FALSE)"),TRUE)</f>
        <v>1</v>
      </c>
      <c r="H42" s="23" t="str">
        <f>'3.4.raw'!AD352</f>
        <v/>
      </c>
    </row>
    <row r="43">
      <c r="A43" s="108" t="s">
        <v>847</v>
      </c>
      <c r="B43" s="109">
        <v>43684.0</v>
      </c>
      <c r="C43" s="105"/>
      <c r="D43" s="10">
        <v>3.4</v>
      </c>
      <c r="E43" s="105"/>
      <c r="F43" s="105" t="b">
        <f>if(countif(Status!C:C,A43)=1,TRUE, FALSE)</f>
        <v>1</v>
      </c>
      <c r="G43" s="110" t="b">
        <f>IFERROR(__xludf.DUMMYFUNCTION("if(filter(Status!P:P,Status!C:C=A43)=TRUE,TRUE,FALSE)"),FALSE)</f>
        <v>0</v>
      </c>
      <c r="H43" s="23" t="str">
        <f>'3.4.raw'!AD353</f>
        <v/>
      </c>
    </row>
    <row r="44">
      <c r="A44" s="108" t="s">
        <v>849</v>
      </c>
      <c r="B44" s="109">
        <v>43684.0</v>
      </c>
      <c r="C44" s="105"/>
      <c r="D44" s="10">
        <v>3.4</v>
      </c>
      <c r="E44" s="105"/>
      <c r="F44" s="105" t="b">
        <f>if(countif(Status!C:C,A44)=1,TRUE, FALSE)</f>
        <v>1</v>
      </c>
      <c r="G44" s="110" t="b">
        <f>IFERROR(__xludf.DUMMYFUNCTION("if(filter(Status!P:P,Status!C:C=A44)=TRUE,TRUE,FALSE)"),TRUE)</f>
        <v>1</v>
      </c>
      <c r="H44" s="23" t="str">
        <f>'3.4.raw'!AD354</f>
        <v/>
      </c>
    </row>
    <row r="45">
      <c r="A45" s="108" t="s">
        <v>850</v>
      </c>
      <c r="B45" s="109">
        <v>43684.0</v>
      </c>
      <c r="C45" s="105"/>
      <c r="D45" s="10">
        <v>3.4</v>
      </c>
      <c r="E45" s="105"/>
      <c r="F45" s="105" t="b">
        <f>if(countif(Status!C:C,A45)=1,TRUE, FALSE)</f>
        <v>1</v>
      </c>
      <c r="G45" s="110" t="b">
        <f>IFERROR(__xludf.DUMMYFUNCTION("if(filter(Status!P:P,Status!C:C=A45)=TRUE,TRUE,FALSE)"),TRUE)</f>
        <v>1</v>
      </c>
      <c r="H45" s="23" t="str">
        <f>'3.4.raw'!AD355</f>
        <v>Associated sample PL1022</v>
      </c>
    </row>
    <row r="46">
      <c r="A46" s="108" t="s">
        <v>867</v>
      </c>
      <c r="B46" s="109">
        <v>43684.0</v>
      </c>
      <c r="C46" s="105"/>
      <c r="D46" s="10">
        <v>3.4</v>
      </c>
      <c r="E46" s="105"/>
      <c r="F46" s="105" t="b">
        <f>if(countif(Status!C:C,A46)=1,TRUE, FALSE)</f>
        <v>1</v>
      </c>
      <c r="G46" s="110" t="b">
        <f>IFERROR(__xludf.DUMMYFUNCTION("if(filter(Status!P:P,Status!C:C=A46)=TRUE,TRUE,FALSE)"),TRUE)</f>
        <v>1</v>
      </c>
      <c r="H46" s="23" t="str">
        <f>'3.4.raw'!AD356</f>
        <v/>
      </c>
    </row>
    <row r="47">
      <c r="A47" s="108" t="s">
        <v>868</v>
      </c>
      <c r="B47" s="109">
        <v>43684.0</v>
      </c>
      <c r="C47" s="105"/>
      <c r="D47" s="10">
        <v>3.4</v>
      </c>
      <c r="E47" s="105"/>
      <c r="F47" s="105" t="b">
        <f>if(countif(Status!C:C,A47)=1,TRUE, FALSE)</f>
        <v>1</v>
      </c>
      <c r="G47" s="110" t="b">
        <f>IFERROR(__xludf.DUMMYFUNCTION("if(filter(Status!P:P,Status!C:C=A47)=TRUE,TRUE,FALSE)"),FALSE)</f>
        <v>0</v>
      </c>
      <c r="H47" s="23" t="str">
        <f>'3.4.raw'!AD357</f>
        <v/>
      </c>
    </row>
    <row r="48">
      <c r="A48" s="108" t="s">
        <v>869</v>
      </c>
      <c r="B48" s="109">
        <v>43684.0</v>
      </c>
      <c r="C48" s="105"/>
      <c r="D48" s="10">
        <v>3.4</v>
      </c>
      <c r="E48" s="105"/>
      <c r="F48" s="105" t="b">
        <f>if(countif(Status!C:C,A48)=1,TRUE, FALSE)</f>
        <v>1</v>
      </c>
      <c r="G48" s="110" t="b">
        <f>IFERROR(__xludf.DUMMYFUNCTION("if(filter(Status!P:P,Status!C:C=A48)=TRUE,TRUE,FALSE)"),TRUE)</f>
        <v>1</v>
      </c>
      <c r="H48" s="23" t="str">
        <f>'3.4.raw'!AD358</f>
        <v>Associated sample RP1012</v>
      </c>
    </row>
    <row r="49">
      <c r="A49" s="108" t="s">
        <v>871</v>
      </c>
      <c r="B49" s="109">
        <v>43684.0</v>
      </c>
      <c r="C49" s="105"/>
      <c r="D49" s="10">
        <v>3.4</v>
      </c>
      <c r="E49" s="105"/>
      <c r="F49" s="105" t="b">
        <f>if(countif(Status!C:C,A49)=1,TRUE, FALSE)</f>
        <v>1</v>
      </c>
      <c r="G49" s="110" t="b">
        <f>IFERROR(__xludf.DUMMYFUNCTION("if(filter(Status!P:P,Status!C:C=A49)=TRUE,TRUE,FALSE)"),FALSE)</f>
        <v>0</v>
      </c>
      <c r="H49" s="23" t="str">
        <f>'3.4.raw'!AD359</f>
        <v>Associated sample RP1012</v>
      </c>
    </row>
    <row r="50">
      <c r="A50" s="108" t="s">
        <v>872</v>
      </c>
      <c r="B50" s="109">
        <v>43684.0</v>
      </c>
      <c r="C50" s="105"/>
      <c r="D50" s="10">
        <v>3.4</v>
      </c>
      <c r="E50" s="105"/>
      <c r="F50" s="105" t="b">
        <f>if(countif(Status!C:C,A50)=1,TRUE, FALSE)</f>
        <v>1</v>
      </c>
      <c r="G50" s="110" t="b">
        <f>IFERROR(__xludf.DUMMYFUNCTION("if(filter(Status!P:P,Status!C:C=A50)=TRUE,TRUE,FALSE)"),TRUE)</f>
        <v>1</v>
      </c>
      <c r="H50" s="23" t="str">
        <f>'3.4.raw'!AD360</f>
        <v/>
      </c>
    </row>
    <row r="51">
      <c r="A51" s="108" t="s">
        <v>873</v>
      </c>
      <c r="B51" s="109">
        <v>43684.0</v>
      </c>
      <c r="C51" s="105"/>
      <c r="D51" s="10">
        <v>3.4</v>
      </c>
      <c r="E51" s="105"/>
      <c r="F51" s="105" t="b">
        <f>if(countif(Status!C:C,A51)=1,TRUE, FALSE)</f>
        <v>1</v>
      </c>
      <c r="G51" s="110" t="b">
        <f>IFERROR(__xludf.DUMMYFUNCTION("if(filter(Status!P:P,Status!C:C=A51)=TRUE,TRUE,FALSE)"),FALSE)</f>
        <v>0</v>
      </c>
      <c r="H51" s="23" t="str">
        <f>'3.4.raw'!AD361</f>
        <v>Associated sample SF1013</v>
      </c>
    </row>
    <row r="52">
      <c r="A52" s="108" t="s">
        <v>875</v>
      </c>
      <c r="B52" s="109">
        <v>43684.0</v>
      </c>
      <c r="C52" s="105"/>
      <c r="D52" s="10">
        <v>3.4</v>
      </c>
      <c r="E52" s="105"/>
      <c r="F52" s="105" t="b">
        <f>if(countif(Status!C:C,A52)=1,TRUE, FALSE)</f>
        <v>1</v>
      </c>
      <c r="G52" s="110" t="b">
        <f>IFERROR(__xludf.DUMMYFUNCTION("if(filter(Status!P:P,Status!C:C=A52)=TRUE,TRUE,FALSE)"),TRUE)</f>
        <v>1</v>
      </c>
      <c r="H52" s="23" t="str">
        <f>'3.4.raw'!AD362</f>
        <v>Associated sample SF1013</v>
      </c>
    </row>
    <row r="53">
      <c r="A53" s="108" t="s">
        <v>876</v>
      </c>
      <c r="B53" s="109">
        <v>43684.0</v>
      </c>
      <c r="C53" s="105"/>
      <c r="D53" s="10">
        <v>3.4</v>
      </c>
      <c r="E53" s="105"/>
      <c r="F53" s="105" t="b">
        <f>if(countif(Status!C:C,A53)=1,TRUE, FALSE)</f>
        <v>1</v>
      </c>
      <c r="G53" s="110" t="b">
        <f>IFERROR(__xludf.DUMMYFUNCTION("if(filter(Status!P:P,Status!C:C=A53)=TRUE,TRUE,FALSE)"),FALSE)</f>
        <v>0</v>
      </c>
      <c r="H53" s="23" t="str">
        <f>'3.4.raw'!AD363</f>
        <v/>
      </c>
    </row>
    <row r="54">
      <c r="A54" s="108" t="s">
        <v>889</v>
      </c>
      <c r="B54" s="109">
        <v>43684.0</v>
      </c>
      <c r="C54" s="105"/>
      <c r="D54" s="10">
        <v>3.4</v>
      </c>
      <c r="E54" s="105"/>
      <c r="F54" s="105" t="b">
        <f>if(countif(Status!C:C,A54)=1,TRUE, FALSE)</f>
        <v>1</v>
      </c>
      <c r="G54" s="110" t="b">
        <f>IFERROR(__xludf.DUMMYFUNCTION("if(filter(Status!P:P,Status!C:C=A54)=TRUE,TRUE,FALSE)"),TRUE)</f>
        <v>1</v>
      </c>
      <c r="H54" s="23" t="str">
        <f>'3.4.raw'!AD364</f>
        <v/>
      </c>
    </row>
    <row r="55">
      <c r="A55" s="108" t="s">
        <v>890</v>
      </c>
      <c r="B55" s="109">
        <v>43684.0</v>
      </c>
      <c r="C55" s="105"/>
      <c r="D55" s="10">
        <v>3.4</v>
      </c>
      <c r="E55" s="105"/>
      <c r="F55" s="105" t="b">
        <f>if(countif(Status!C:C,A55)=1,TRUE, FALSE)</f>
        <v>1</v>
      </c>
      <c r="G55" s="110" t="b">
        <f>IFERROR(__xludf.DUMMYFUNCTION("if(filter(Status!P:P,Status!C:C=A55)=TRUE,TRUE,FALSE)"),FALSE)</f>
        <v>0</v>
      </c>
      <c r="H55" s="23" t="str">
        <f>'3.4.raw'!AD365</f>
        <v/>
      </c>
    </row>
    <row r="56">
      <c r="A56" s="108" t="s">
        <v>892</v>
      </c>
      <c r="B56" s="109">
        <v>43684.0</v>
      </c>
      <c r="C56" s="105"/>
      <c r="D56" s="10">
        <v>3.4</v>
      </c>
      <c r="E56" s="105"/>
      <c r="F56" s="105" t="b">
        <f>if(countif(Status!C:C,A56)=1,TRUE, FALSE)</f>
        <v>1</v>
      </c>
      <c r="G56" s="110" t="b">
        <f>IFERROR(__xludf.DUMMYFUNCTION("if(filter(Status!P:P,Status!C:C=A56)=TRUE,TRUE,FALSE)"),TRUE)</f>
        <v>1</v>
      </c>
      <c r="H56" s="23" t="str">
        <f>'3.4.raw'!AD366</f>
        <v>Associated sample PLc1124</v>
      </c>
    </row>
    <row r="57">
      <c r="A57" s="108" t="s">
        <v>893</v>
      </c>
      <c r="B57" s="109">
        <v>43684.0</v>
      </c>
      <c r="C57" s="105"/>
      <c r="D57" s="10">
        <v>3.4</v>
      </c>
      <c r="E57" s="105"/>
      <c r="F57" s="105" t="b">
        <f>if(countif(Status!C:C,A57)=1,TRUE, FALSE)</f>
        <v>1</v>
      </c>
      <c r="G57" s="110" t="b">
        <f>IFERROR(__xludf.DUMMYFUNCTION("if(filter(Status!P:P,Status!C:C=A57)=TRUE,TRUE,FALSE)"),FALSE)</f>
        <v>0</v>
      </c>
      <c r="H57" s="23" t="str">
        <f>'3.4.raw'!AD367</f>
        <v/>
      </c>
    </row>
    <row r="58">
      <c r="A58" s="108" t="s">
        <v>894</v>
      </c>
      <c r="B58" s="109">
        <v>43684.0</v>
      </c>
      <c r="C58" s="105"/>
      <c r="D58" s="10">
        <v>3.4</v>
      </c>
      <c r="E58" s="105"/>
      <c r="F58" s="105" t="b">
        <f>if(countif(Status!C:C,A58)=1,TRUE, FALSE)</f>
        <v>1</v>
      </c>
      <c r="G58" s="110" t="b">
        <f>IFERROR(__xludf.DUMMYFUNCTION("if(filter(Status!P:P,Status!C:C=A58)=TRUE,TRUE,FALSE)"),TRUE)</f>
        <v>1</v>
      </c>
      <c r="H58" s="23" t="str">
        <f>'3.4.raw'!AD368</f>
        <v/>
      </c>
    </row>
    <row r="59">
      <c r="A59" s="108" t="s">
        <v>895</v>
      </c>
      <c r="B59" s="109">
        <v>43684.0</v>
      </c>
      <c r="C59" s="105"/>
      <c r="D59" s="10">
        <v>3.4</v>
      </c>
      <c r="E59" s="105"/>
      <c r="F59" s="105" t="b">
        <f>if(countif(Status!C:C,A59)=1,TRUE, FALSE)</f>
        <v>1</v>
      </c>
      <c r="G59" s="110" t="b">
        <f>IFERROR(__xludf.DUMMYFUNCTION("if(filter(Status!P:P,Status!C:C=A59)=TRUE,TRUE,FALSE)"),FALSE)</f>
        <v>0</v>
      </c>
      <c r="H59" s="23" t="str">
        <f>'3.4.raw'!AD369</f>
        <v/>
      </c>
    </row>
    <row r="60">
      <c r="A60" s="108" t="s">
        <v>897</v>
      </c>
      <c r="B60" s="109">
        <v>43684.0</v>
      </c>
      <c r="C60" s="105"/>
      <c r="D60" s="10">
        <v>3.4</v>
      </c>
      <c r="E60" s="105"/>
      <c r="F60" s="105" t="b">
        <f>if(countif(Status!C:C,A60)=1,TRUE, FALSE)</f>
        <v>1</v>
      </c>
      <c r="G60" s="110" t="b">
        <f>IFERROR(__xludf.DUMMYFUNCTION("if(filter(Status!P:P,Status!C:C=A60)=TRUE,TRUE,FALSE)"),TRUE)</f>
        <v>1</v>
      </c>
      <c r="H60" s="23" t="str">
        <f>'3.4.raw'!AD370</f>
        <v/>
      </c>
    </row>
    <row r="61">
      <c r="A61" s="108" t="s">
        <v>916</v>
      </c>
      <c r="B61" s="109">
        <v>43684.0</v>
      </c>
      <c r="C61" s="105"/>
      <c r="D61" s="10">
        <v>3.4</v>
      </c>
      <c r="E61" s="105"/>
      <c r="F61" s="105" t="b">
        <f>if(countif(Status!C:C,A61)=1,TRUE, FALSE)</f>
        <v>1</v>
      </c>
      <c r="G61" s="110" t="b">
        <f>IFERROR(__xludf.DUMMYFUNCTION("if(filter(Status!P:P,Status!C:C=A61)=TRUE,TRUE,FALSE)"),TRUE)</f>
        <v>1</v>
      </c>
      <c r="H61" s="23" t="str">
        <f>'3.4.raw'!AD371</f>
        <v/>
      </c>
    </row>
    <row r="62">
      <c r="A62" s="108" t="s">
        <v>918</v>
      </c>
      <c r="B62" s="109">
        <v>43684.0</v>
      </c>
      <c r="C62" s="105"/>
      <c r="D62" s="10">
        <v>3.4</v>
      </c>
      <c r="E62" s="105"/>
      <c r="F62" s="105" t="b">
        <f>if(countif(Status!C:C,A62)=1,TRUE, FALSE)</f>
        <v>1</v>
      </c>
      <c r="G62" s="110" t="b">
        <f>IFERROR(__xludf.DUMMYFUNCTION("if(filter(Status!P:P,Status!C:C=A62)=TRUE,TRUE,FALSE)"),TRUE)</f>
        <v>1</v>
      </c>
      <c r="H62" s="23" t="str">
        <f>'3.4.raw'!AD372</f>
        <v/>
      </c>
    </row>
    <row r="63">
      <c r="A63" s="108" t="s">
        <v>920</v>
      </c>
      <c r="B63" s="109">
        <v>43684.0</v>
      </c>
      <c r="C63" s="105"/>
      <c r="D63" s="10">
        <v>3.4</v>
      </c>
      <c r="E63" s="105"/>
      <c r="F63" s="105" t="b">
        <f>if(countif(Status!C:C,A63)=1,TRUE, FALSE)</f>
        <v>1</v>
      </c>
      <c r="G63" s="110" t="b">
        <f>IFERROR(__xludf.DUMMYFUNCTION("if(filter(Status!P:P,Status!C:C=A63)=TRUE,TRUE,FALSE)"),TRUE)</f>
        <v>1</v>
      </c>
      <c r="H63" s="23" t="str">
        <f>'3.4.raw'!AD373</f>
        <v/>
      </c>
    </row>
    <row r="64">
      <c r="A64" s="108" t="s">
        <v>921</v>
      </c>
      <c r="B64" s="109">
        <v>43684.0</v>
      </c>
      <c r="C64" s="105"/>
      <c r="D64" s="10">
        <v>3.4</v>
      </c>
      <c r="E64" s="105"/>
      <c r="F64" s="105" t="b">
        <f>if(countif(Status!C:C,A64)=1,TRUE, FALSE)</f>
        <v>1</v>
      </c>
      <c r="G64" s="110" t="b">
        <f>IFERROR(__xludf.DUMMYFUNCTION("if(filter(Status!P:P,Status!C:C=A64)=TRUE,TRUE,FALSE)"),TRUE)</f>
        <v>1</v>
      </c>
      <c r="H64" s="23" t="str">
        <f>'3.4.raw'!AD374</f>
        <v/>
      </c>
    </row>
    <row r="65">
      <c r="A65" s="108" t="s">
        <v>929</v>
      </c>
      <c r="B65" s="109">
        <v>43684.0</v>
      </c>
      <c r="C65" s="105"/>
      <c r="D65" s="10">
        <v>3.4</v>
      </c>
      <c r="E65" s="105"/>
      <c r="F65" s="105" t="b">
        <f>if(countif(Status!C:C,A65)=1,TRUE, FALSE)</f>
        <v>1</v>
      </c>
      <c r="G65" s="110" t="b">
        <f>IFERROR(__xludf.DUMMYFUNCTION("if(filter(Status!P:P,Status!C:C=A65)=TRUE,TRUE,FALSE)"),TRUE)</f>
        <v>1</v>
      </c>
      <c r="H65" s="23" t="str">
        <f>'3.4.raw'!AD375</f>
        <v/>
      </c>
    </row>
    <row r="66">
      <c r="A66" s="108" t="s">
        <v>930</v>
      </c>
      <c r="B66" s="109">
        <v>43684.0</v>
      </c>
      <c r="C66" s="105"/>
      <c r="D66" s="10">
        <v>3.4</v>
      </c>
      <c r="E66" s="105"/>
      <c r="F66" s="105" t="b">
        <f>if(countif(Status!C:C,A66)=1,TRUE, FALSE)</f>
        <v>1</v>
      </c>
      <c r="G66" s="110" t="b">
        <f>IFERROR(__xludf.DUMMYFUNCTION("if(filter(Status!P:P,Status!C:C=A66)=TRUE,TRUE,FALSE)"),FALSE)</f>
        <v>0</v>
      </c>
      <c r="H66" s="23" t="str">
        <f>'3.4.raw'!AD376</f>
        <v>Associated sample PLc1130</v>
      </c>
    </row>
    <row r="67">
      <c r="A67" s="108" t="s">
        <v>931</v>
      </c>
      <c r="B67" s="109">
        <v>43684.0</v>
      </c>
      <c r="C67" s="105"/>
      <c r="D67" s="10">
        <v>3.4</v>
      </c>
      <c r="E67" s="105"/>
      <c r="F67" s="105" t="b">
        <f>if(countif(Status!C:C,A67)=1,TRUE, FALSE)</f>
        <v>1</v>
      </c>
      <c r="G67" s="110" t="b">
        <f>IFERROR(__xludf.DUMMYFUNCTION("if(filter(Status!P:P,Status!C:C=A67)=TRUE,TRUE,FALSE)"),TRUE)</f>
        <v>1</v>
      </c>
      <c r="H67" s="23" t="str">
        <f>'3.4.raw'!AD377</f>
        <v/>
      </c>
    </row>
    <row r="68">
      <c r="A68" s="108" t="s">
        <v>933</v>
      </c>
      <c r="B68" s="109">
        <v>43684.0</v>
      </c>
      <c r="C68" s="105"/>
      <c r="D68" s="10">
        <v>3.4</v>
      </c>
      <c r="E68" s="105"/>
      <c r="F68" s="105" t="b">
        <f>if(countif(Status!C:C,A68)=1,TRUE, FALSE)</f>
        <v>1</v>
      </c>
      <c r="G68" s="110" t="b">
        <f>IFERROR(__xludf.DUMMYFUNCTION("if(filter(Status!P:P,Status!C:C=A68)=TRUE,TRUE,FALSE)"),FALSE)</f>
        <v>0</v>
      </c>
      <c r="H68" s="23" t="str">
        <f>'3.4.raw'!AD378</f>
        <v/>
      </c>
    </row>
    <row r="69">
      <c r="A69" s="108" t="s">
        <v>934</v>
      </c>
      <c r="B69" s="109">
        <v>43684.0</v>
      </c>
      <c r="C69" s="105"/>
      <c r="D69" s="10">
        <v>3.4</v>
      </c>
      <c r="E69" s="105"/>
      <c r="F69" s="105" t="b">
        <f>if(countif(Status!C:C,A69)=1,TRUE, FALSE)</f>
        <v>1</v>
      </c>
      <c r="G69" s="110" t="b">
        <f>IFERROR(__xludf.DUMMYFUNCTION("if(filter(Status!P:P,Status!C:C=A69)=TRUE,TRUE,FALSE)"),TRUE)</f>
        <v>1</v>
      </c>
      <c r="H69" s="23" t="str">
        <f>'3.4.raw'!AD379</f>
        <v/>
      </c>
    </row>
    <row r="70">
      <c r="A70" s="108" t="s">
        <v>935</v>
      </c>
      <c r="B70" s="109">
        <v>43684.0</v>
      </c>
      <c r="C70" s="105"/>
      <c r="D70" s="10">
        <v>3.4</v>
      </c>
      <c r="E70" s="105"/>
      <c r="F70" s="105" t="b">
        <f>if(countif(Status!C:C,A70)=1,TRUE, FALSE)</f>
        <v>1</v>
      </c>
      <c r="G70" s="110" t="b">
        <f>IFERROR(__xludf.DUMMYFUNCTION("if(filter(Status!P:P,Status!C:C=A70)=TRUE,TRUE,FALSE)"),FALSE)</f>
        <v>0</v>
      </c>
      <c r="H70" s="23" t="str">
        <f>'3.4.raw'!AD380</f>
        <v>Associated sample PLc1131</v>
      </c>
    </row>
    <row r="71">
      <c r="A71" s="108" t="s">
        <v>937</v>
      </c>
      <c r="B71" s="109">
        <v>43684.0</v>
      </c>
      <c r="C71" s="105"/>
      <c r="D71" s="10">
        <v>3.4</v>
      </c>
      <c r="E71" s="105"/>
      <c r="F71" s="105" t="b">
        <f>if(countif(Status!C:C,A71)=1,TRUE, FALSE)</f>
        <v>1</v>
      </c>
      <c r="G71" s="110" t="b">
        <f>IFERROR(__xludf.DUMMYFUNCTION("if(filter(Status!P:P,Status!C:C=A71)=TRUE,TRUE,FALSE)"),TRUE)</f>
        <v>1</v>
      </c>
      <c r="H71" s="23" t="str">
        <f>'3.4.raw'!AD381</f>
        <v/>
      </c>
    </row>
    <row r="72">
      <c r="A72" s="108" t="s">
        <v>938</v>
      </c>
      <c r="B72" s="109">
        <v>43684.0</v>
      </c>
      <c r="C72" s="105"/>
      <c r="D72" s="10">
        <v>3.4</v>
      </c>
      <c r="E72" s="105"/>
      <c r="F72" s="105" t="b">
        <f>if(countif(Status!C:C,A72)=1,TRUE, FALSE)</f>
        <v>1</v>
      </c>
      <c r="G72" s="110" t="b">
        <f>IFERROR(__xludf.DUMMYFUNCTION("if(filter(Status!P:P,Status!C:C=A72)=TRUE,TRUE,FALSE)"),FALSE)</f>
        <v>0</v>
      </c>
      <c r="H72" s="23" t="str">
        <f>'3.4.raw'!AD382</f>
        <v/>
      </c>
    </row>
    <row r="73">
      <c r="A73" s="108" t="s">
        <v>966</v>
      </c>
      <c r="B73" s="109">
        <v>43684.0</v>
      </c>
      <c r="C73" s="105"/>
      <c r="D73" s="10">
        <v>3.4</v>
      </c>
      <c r="E73" s="105"/>
      <c r="F73" s="105" t="b">
        <f>if(countif(Status!C:C,A73)=1,TRUE, FALSE)</f>
        <v>1</v>
      </c>
      <c r="G73" s="110" t="b">
        <f>IFERROR(__xludf.DUMMYFUNCTION("if(filter(Status!P:P,Status!C:C=A73)=TRUE,TRUE,FALSE)"),TRUE)</f>
        <v>1</v>
      </c>
      <c r="H73" s="23" t="str">
        <f>'3.4.raw'!AD383</f>
        <v/>
      </c>
    </row>
    <row r="74">
      <c r="A74" s="108" t="s">
        <v>967</v>
      </c>
      <c r="B74" s="109">
        <v>43684.0</v>
      </c>
      <c r="C74" s="105"/>
      <c r="D74" s="10">
        <v>3.4</v>
      </c>
      <c r="E74" s="105"/>
      <c r="F74" s="105" t="b">
        <f>if(countif(Status!C:C,A74)=1,TRUE, FALSE)</f>
        <v>1</v>
      </c>
      <c r="G74" s="110" t="b">
        <f>IFERROR(__xludf.DUMMYFUNCTION("if(filter(Status!P:P,Status!C:C=A74)=TRUE,TRUE,FALSE)"),TRUE)</f>
        <v>1</v>
      </c>
      <c r="H74" s="23" t="str">
        <f>'3.4.raw'!AD384</f>
        <v/>
      </c>
    </row>
    <row r="75">
      <c r="A75" s="108" t="s">
        <v>969</v>
      </c>
      <c r="B75" s="109">
        <v>43684.0</v>
      </c>
      <c r="C75" s="105"/>
      <c r="D75" s="10">
        <v>3.4</v>
      </c>
      <c r="E75" s="105"/>
      <c r="F75" s="105" t="b">
        <f>if(countif(Status!C:C,A75)=1,TRUE, FALSE)</f>
        <v>1</v>
      </c>
      <c r="G75" s="110" t="b">
        <f>IFERROR(__xludf.DUMMYFUNCTION("if(filter(Status!P:P,Status!C:C=A75)=TRUE,TRUE,FALSE)"),TRUE)</f>
        <v>1</v>
      </c>
      <c r="H75" s="23" t="str">
        <f>'3.4.raw'!AD385</f>
        <v/>
      </c>
    </row>
    <row r="76">
      <c r="A76" s="108" t="s">
        <v>970</v>
      </c>
      <c r="B76" s="109">
        <v>43684.0</v>
      </c>
      <c r="C76" s="105"/>
      <c r="D76" s="10">
        <v>3.4</v>
      </c>
      <c r="E76" s="105"/>
      <c r="F76" s="105" t="b">
        <f>if(countif(Status!C:C,A76)=1,TRUE, FALSE)</f>
        <v>1</v>
      </c>
      <c r="G76" s="110" t="b">
        <f>IFERROR(__xludf.DUMMYFUNCTION("if(filter(Status!P:P,Status!C:C=A76)=TRUE,TRUE,FALSE)"),TRUE)</f>
        <v>1</v>
      </c>
      <c r="H76" s="23" t="str">
        <f>'3.4.raw'!AD386</f>
        <v>Associated sample PLc1136</v>
      </c>
    </row>
    <row r="77">
      <c r="A77" s="108" t="s">
        <v>1012</v>
      </c>
      <c r="B77" s="109">
        <v>43684.0</v>
      </c>
      <c r="C77" s="105"/>
      <c r="D77" s="10">
        <v>3.4</v>
      </c>
      <c r="E77" s="105"/>
      <c r="F77" s="105" t="b">
        <f>if(countif(Status!C:C,A77)=1,TRUE, FALSE)</f>
        <v>1</v>
      </c>
      <c r="G77" s="110" t="b">
        <f>IFERROR(__xludf.DUMMYFUNCTION("if(filter(Status!P:P,Status!C:C=A77)=TRUE,TRUE,FALSE)"),TRUE)</f>
        <v>1</v>
      </c>
      <c r="H77" s="23" t="str">
        <f>'3.4.raw'!AD387</f>
        <v/>
      </c>
    </row>
    <row r="78">
      <c r="A78" s="108" t="s">
        <v>1013</v>
      </c>
      <c r="B78" s="109">
        <v>43684.0</v>
      </c>
      <c r="C78" s="105"/>
      <c r="D78" s="10">
        <v>3.4</v>
      </c>
      <c r="E78" s="105"/>
      <c r="F78" s="105" t="b">
        <f>if(countif(Status!C:C,A78)=1,TRUE, FALSE)</f>
        <v>1</v>
      </c>
      <c r="G78" s="110" t="b">
        <f>IFERROR(__xludf.DUMMYFUNCTION("if(filter(Status!P:P,Status!C:C=A78)=TRUE,TRUE,FALSE)"),TRUE)</f>
        <v>1</v>
      </c>
      <c r="H78" s="23" t="str">
        <f>'3.4.raw'!AD388</f>
        <v/>
      </c>
    </row>
    <row r="79">
      <c r="A79" s="108" t="s">
        <v>1014</v>
      </c>
      <c r="B79" s="109">
        <v>43684.0</v>
      </c>
      <c r="C79" s="105"/>
      <c r="D79" s="10">
        <v>3.4</v>
      </c>
      <c r="E79" s="105"/>
      <c r="F79" s="105" t="b">
        <f>if(countif(Status!C:C,A79)=1,TRUE, FALSE)</f>
        <v>1</v>
      </c>
      <c r="G79" s="110" t="b">
        <f>IFERROR(__xludf.DUMMYFUNCTION("if(filter(Status!P:P,Status!C:C=A79)=TRUE,TRUE,FALSE)"),TRUE)</f>
        <v>1</v>
      </c>
      <c r="H79" s="23" t="str">
        <f>'3.4.raw'!AD389</f>
        <v/>
      </c>
    </row>
    <row r="80">
      <c r="A80" s="108" t="s">
        <v>1016</v>
      </c>
      <c r="B80" s="109">
        <v>43684.0</v>
      </c>
      <c r="C80" s="105"/>
      <c r="D80" s="10">
        <v>3.4</v>
      </c>
      <c r="E80" s="105"/>
      <c r="F80" s="105" t="b">
        <f>if(countif(Status!C:C,A80)=1,TRUE, FALSE)</f>
        <v>1</v>
      </c>
      <c r="G80" s="110" t="b">
        <f>IFERROR(__xludf.DUMMYFUNCTION("if(filter(Status!P:P,Status!C:C=A80)=TRUE,TRUE,FALSE)"),TRUE)</f>
        <v>1</v>
      </c>
      <c r="H80" s="23" t="str">
        <f>'3.4.raw'!AD390</f>
        <v/>
      </c>
    </row>
    <row r="81">
      <c r="A81" s="108" t="s">
        <v>411</v>
      </c>
      <c r="B81" s="109">
        <v>43654.0</v>
      </c>
      <c r="C81" s="105"/>
      <c r="D81" s="10">
        <v>3.4</v>
      </c>
      <c r="E81" s="105"/>
      <c r="F81" s="105" t="b">
        <f>if(countif(Status!C:C,A81)=1,TRUE, FALSE)</f>
        <v>1</v>
      </c>
      <c r="G81" s="110" t="b">
        <f>IFERROR(__xludf.DUMMYFUNCTION("if(filter(Status!P:P,Status!C:C=A81)=TRUE,TRUE,FALSE)"),TRUE)</f>
        <v>1</v>
      </c>
      <c r="H81" s="23" t="str">
        <f>'3.4.raw'!AD391</f>
        <v/>
      </c>
    </row>
    <row r="82">
      <c r="A82" s="108" t="s">
        <v>411</v>
      </c>
      <c r="B82" s="109">
        <v>43662.0</v>
      </c>
      <c r="C82" s="105"/>
      <c r="D82" s="10">
        <v>3.4</v>
      </c>
      <c r="E82" s="105"/>
      <c r="F82" s="105" t="b">
        <f>if(countif(Status!C:C,A82)=1,TRUE, FALSE)</f>
        <v>1</v>
      </c>
      <c r="G82" s="110" t="b">
        <f>IFERROR(__xludf.DUMMYFUNCTION("if(filter(Status!P:P,Status!C:C=A82)=TRUE,TRUE,FALSE)"),TRUE)</f>
        <v>1</v>
      </c>
      <c r="H82" s="23" t="str">
        <f>'3.4.raw'!AD392</f>
        <v/>
      </c>
    </row>
    <row r="83">
      <c r="A83" s="108" t="s">
        <v>486</v>
      </c>
      <c r="B83" s="109">
        <v>43654.0</v>
      </c>
      <c r="C83" s="105"/>
      <c r="D83" s="10">
        <v>3.4</v>
      </c>
      <c r="E83" s="105"/>
      <c r="F83" s="105" t="b">
        <f>if(countif(Status!C:C,A83)=1,TRUE, FALSE)</f>
        <v>1</v>
      </c>
      <c r="G83" s="110" t="b">
        <f>IFERROR(__xludf.DUMMYFUNCTION("if(filter(Status!P:P,Status!C:C=A83)=TRUE,TRUE,FALSE)"),TRUE)</f>
        <v>1</v>
      </c>
      <c r="H83" s="23" t="str">
        <f>'3.4.raw'!AD393</f>
        <v/>
      </c>
    </row>
    <row r="84">
      <c r="A84" s="108" t="s">
        <v>419</v>
      </c>
      <c r="B84" s="109">
        <v>43654.0</v>
      </c>
      <c r="C84" s="105"/>
      <c r="D84" s="10">
        <v>3.4</v>
      </c>
      <c r="E84" s="105"/>
      <c r="F84" s="105" t="b">
        <f>if(countif(Status!C:C,A84)=1,TRUE, FALSE)</f>
        <v>1</v>
      </c>
      <c r="G84" s="110" t="b">
        <f>IFERROR(__xludf.DUMMYFUNCTION("if(filter(Status!P:P,Status!C:C=A84)=TRUE,TRUE,FALSE)"),TRUE)</f>
        <v>1</v>
      </c>
      <c r="H84" s="23" t="str">
        <f>'3.4.raw'!AD394</f>
        <v/>
      </c>
    </row>
    <row r="85">
      <c r="A85" s="108" t="s">
        <v>431</v>
      </c>
      <c r="B85" s="109">
        <v>43654.0</v>
      </c>
      <c r="C85" s="105"/>
      <c r="D85" s="10">
        <v>3.4</v>
      </c>
      <c r="E85" s="105"/>
      <c r="F85" s="105" t="b">
        <f>if(countif(Status!C:C,A85)=1,TRUE, FALSE)</f>
        <v>1</v>
      </c>
      <c r="G85" s="110" t="b">
        <f>IFERROR(__xludf.DUMMYFUNCTION("if(filter(Status!P:P,Status!C:C=A85)=TRUE,TRUE,FALSE)"),TRUE)</f>
        <v>1</v>
      </c>
      <c r="H85" s="23" t="str">
        <f>'3.4.raw'!AD395</f>
        <v/>
      </c>
    </row>
    <row r="86">
      <c r="A86" s="108" t="s">
        <v>468</v>
      </c>
      <c r="B86" s="109">
        <v>43654.0</v>
      </c>
      <c r="C86" s="105"/>
      <c r="D86" s="10">
        <v>3.4</v>
      </c>
      <c r="E86" s="105"/>
      <c r="F86" s="105" t="b">
        <f>if(countif(Status!C:C,A86)=1,TRUE, FALSE)</f>
        <v>1</v>
      </c>
      <c r="G86" s="110" t="b">
        <f>IFERROR(__xludf.DUMMYFUNCTION("if(filter(Status!P:P,Status!C:C=A86)=TRUE,TRUE,FALSE)"),TRUE)</f>
        <v>1</v>
      </c>
      <c r="H86" s="23" t="str">
        <f>'3.4.raw'!AD396</f>
        <v>Associated sample PLc1143</v>
      </c>
    </row>
    <row r="87">
      <c r="A87" s="108" t="s">
        <v>499</v>
      </c>
      <c r="B87" s="109">
        <v>43662.0</v>
      </c>
      <c r="C87" s="105"/>
      <c r="D87" s="10">
        <v>3.4</v>
      </c>
      <c r="E87" s="105"/>
      <c r="F87" s="105" t="b">
        <f>if(countif(Status!C:C,A87)=1,TRUE, FALSE)</f>
        <v>1</v>
      </c>
      <c r="G87" s="110" t="b">
        <f>IFERROR(__xludf.DUMMYFUNCTION("if(filter(Status!P:P,Status!C:C=A87)=TRUE,TRUE,FALSE)"),TRUE)</f>
        <v>1</v>
      </c>
      <c r="H87" s="23" t="str">
        <f>'3.4.raw'!AD397</f>
        <v/>
      </c>
    </row>
    <row r="88">
      <c r="A88" s="108" t="s">
        <v>501</v>
      </c>
      <c r="B88" s="109">
        <v>43662.0</v>
      </c>
      <c r="C88" s="105"/>
      <c r="D88" s="10">
        <v>3.4</v>
      </c>
      <c r="E88" s="105"/>
      <c r="F88" s="105" t="b">
        <f>if(countif(Status!C:C,A88)=1,TRUE, FALSE)</f>
        <v>1</v>
      </c>
      <c r="G88" s="110" t="b">
        <f>IFERROR(__xludf.DUMMYFUNCTION("if(filter(Status!P:P,Status!C:C=A88)=TRUE,TRUE,FALSE)"),FALSE)</f>
        <v>0</v>
      </c>
      <c r="H88" s="23" t="str">
        <f>'3.4.raw'!AD398</f>
        <v/>
      </c>
    </row>
    <row r="89">
      <c r="A89" s="108" t="s">
        <v>522</v>
      </c>
      <c r="B89" s="109">
        <v>43662.0</v>
      </c>
      <c r="C89" s="105"/>
      <c r="D89" s="10">
        <v>3.4</v>
      </c>
      <c r="E89" s="105"/>
      <c r="F89" s="105" t="b">
        <f>if(countif(Status!C:C,A89)=1,TRUE, FALSE)</f>
        <v>1</v>
      </c>
      <c r="G89" s="110" t="b">
        <f>IFERROR(__xludf.DUMMYFUNCTION("if(filter(Status!P:P,Status!C:C=A89)=TRUE,TRUE,FALSE)"),TRUE)</f>
        <v>1</v>
      </c>
      <c r="H89" s="23" t="str">
        <f>'3.4.raw'!AD399</f>
        <v/>
      </c>
    </row>
    <row r="90">
      <c r="A90" s="108" t="s">
        <v>529</v>
      </c>
      <c r="B90" s="109">
        <v>43662.0</v>
      </c>
      <c r="C90" s="105"/>
      <c r="D90" s="10">
        <v>3.4</v>
      </c>
      <c r="E90" s="105"/>
      <c r="F90" s="105" t="b">
        <f>if(countif(Status!C:C,A90)=1,TRUE, FALSE)</f>
        <v>1</v>
      </c>
      <c r="G90" s="110" t="b">
        <f>IFERROR(__xludf.DUMMYFUNCTION("if(filter(Status!P:P,Status!C:C=A90)=TRUE,TRUE,FALSE)"),FALSE)</f>
        <v>0</v>
      </c>
      <c r="H90" s="23" t="str">
        <f>'3.4.raw'!AD400</f>
        <v/>
      </c>
    </row>
    <row r="91">
      <c r="A91" s="108" t="s">
        <v>855</v>
      </c>
      <c r="B91" s="109">
        <v>43684.0</v>
      </c>
      <c r="C91" s="105"/>
      <c r="D91" s="10">
        <v>3.4</v>
      </c>
      <c r="E91" s="105"/>
      <c r="F91" s="105" t="b">
        <f>if(countif(Status!C:C,A91)=1,TRUE, FALSE)</f>
        <v>1</v>
      </c>
      <c r="G91" s="110" t="b">
        <f>IFERROR(__xludf.DUMMYFUNCTION("if(filter(Status!P:P,Status!C:C=A91)=TRUE,TRUE,FALSE)"),TRUE)</f>
        <v>1</v>
      </c>
      <c r="H91" s="23" t="str">
        <f>'3.4.raw'!AD401</f>
        <v/>
      </c>
    </row>
    <row r="92">
      <c r="A92" s="108" t="s">
        <v>857</v>
      </c>
      <c r="B92" s="109">
        <v>43684.0</v>
      </c>
      <c r="C92" s="105"/>
      <c r="D92" s="10">
        <v>3.4</v>
      </c>
      <c r="E92" s="105"/>
      <c r="F92" s="105" t="b">
        <f>if(countif(Status!C:C,A92)=1,TRUE, FALSE)</f>
        <v>1</v>
      </c>
      <c r="G92" s="110" t="b">
        <f>IFERROR(__xludf.DUMMYFUNCTION("if(filter(Status!P:P,Status!C:C=A92)=TRUE,TRUE,FALSE)"),FALSE)</f>
        <v>0</v>
      </c>
      <c r="H92" s="23" t="str">
        <f>'3.4.raw'!AD402</f>
        <v/>
      </c>
    </row>
    <row r="93">
      <c r="A93" s="108" t="s">
        <v>884</v>
      </c>
      <c r="B93" s="109">
        <v>43684.0</v>
      </c>
      <c r="C93" s="105"/>
      <c r="D93" s="10">
        <v>3.4</v>
      </c>
      <c r="E93" s="105"/>
      <c r="F93" s="105" t="b">
        <f>if(countif(Status!C:C,A93)=1,TRUE, FALSE)</f>
        <v>1</v>
      </c>
      <c r="G93" s="110" t="b">
        <f>IFERROR(__xludf.DUMMYFUNCTION("if(filter(Status!P:P,Status!C:C=A93)=TRUE,TRUE,FALSE)"),TRUE)</f>
        <v>1</v>
      </c>
      <c r="H93" s="23" t="str">
        <f>'3.4.raw'!AD403</f>
        <v/>
      </c>
    </row>
    <row r="94">
      <c r="A94" s="108" t="s">
        <v>885</v>
      </c>
      <c r="B94" s="109">
        <v>43684.0</v>
      </c>
      <c r="C94" s="105"/>
      <c r="D94" s="10">
        <v>3.4</v>
      </c>
      <c r="E94" s="105"/>
      <c r="F94" s="105" t="b">
        <f>if(countif(Status!C:C,A94)=1,TRUE, FALSE)</f>
        <v>1</v>
      </c>
      <c r="G94" s="110" t="b">
        <f>IFERROR(__xludf.DUMMYFUNCTION("if(filter(Status!P:P,Status!C:C=A94)=TRUE,TRUE,FALSE)"),TRUE)</f>
        <v>1</v>
      </c>
      <c r="H94" s="23" t="str">
        <f>'3.4.raw'!AD404</f>
        <v/>
      </c>
    </row>
    <row r="95">
      <c r="A95" s="108" t="s">
        <v>907</v>
      </c>
      <c r="B95" s="109">
        <v>43684.0</v>
      </c>
      <c r="C95" s="105"/>
      <c r="D95" s="10">
        <v>3.4</v>
      </c>
      <c r="E95" s="105"/>
      <c r="F95" s="105" t="b">
        <f>if(countif(Status!C:C,A95)=1,TRUE, FALSE)</f>
        <v>1</v>
      </c>
      <c r="G95" s="110" t="b">
        <f>IFERROR(__xludf.DUMMYFUNCTION("if(filter(Status!P:P,Status!C:C=A95)=TRUE,TRUE,FALSE)"),TRUE)</f>
        <v>1</v>
      </c>
      <c r="H95" s="23" t="str">
        <f>'3.4.raw'!AD405</f>
        <v/>
      </c>
    </row>
    <row r="96">
      <c r="A96" s="108" t="s">
        <v>909</v>
      </c>
      <c r="B96" s="109">
        <v>43684.0</v>
      </c>
      <c r="C96" s="105"/>
      <c r="D96" s="10">
        <v>3.4</v>
      </c>
      <c r="E96" s="105"/>
      <c r="F96" s="105" t="b">
        <f>if(countif(Status!C:C,A96)=1,TRUE, FALSE)</f>
        <v>1</v>
      </c>
      <c r="G96" s="110" t="b">
        <f>IFERROR(__xludf.DUMMYFUNCTION("if(filter(Status!P:P,Status!C:C=A96)=TRUE,TRUE,FALSE)"),TRUE)</f>
        <v>1</v>
      </c>
      <c r="H96" s="23" t="str">
        <f>'3.4.raw'!AD406</f>
        <v/>
      </c>
    </row>
    <row r="97">
      <c r="A97" s="108" t="s">
        <v>924</v>
      </c>
      <c r="B97" s="109">
        <v>43684.0</v>
      </c>
      <c r="C97" s="105"/>
      <c r="D97" s="10">
        <v>3.4</v>
      </c>
      <c r="E97" s="105"/>
      <c r="F97" s="105" t="b">
        <f>if(countif(Status!C:C,A97)=1,TRUE, FALSE)</f>
        <v>1</v>
      </c>
      <c r="G97" s="110" t="b">
        <f>IFERROR(__xludf.DUMMYFUNCTION("if(filter(Status!P:P,Status!C:C=A97)=TRUE,TRUE,FALSE)"),TRUE)</f>
        <v>1</v>
      </c>
      <c r="H97" s="23" t="str">
        <f>'3.4.raw'!AD407</f>
        <v>Associated sample MO1084</v>
      </c>
    </row>
    <row r="98">
      <c r="A98" s="108" t="s">
        <v>925</v>
      </c>
      <c r="B98" s="109">
        <v>43684.0</v>
      </c>
      <c r="C98" s="105"/>
      <c r="D98" s="10">
        <v>3.4</v>
      </c>
      <c r="E98" s="105"/>
      <c r="F98" s="105" t="b">
        <f>if(countif(Status!C:C,A98)=1,TRUE, FALSE)</f>
        <v>1</v>
      </c>
      <c r="G98" s="110" t="b">
        <f>IFERROR(__xludf.DUMMYFUNCTION("if(filter(Status!P:P,Status!C:C=A98)=TRUE,TRUE,FALSE)"),TRUE)</f>
        <v>1</v>
      </c>
      <c r="H98" s="23" t="str">
        <f>'3.4.raw'!AD408</f>
        <v/>
      </c>
    </row>
    <row r="99">
      <c r="A99" s="108" t="s">
        <v>953</v>
      </c>
      <c r="B99" s="109">
        <v>43684.0</v>
      </c>
      <c r="C99" s="105"/>
      <c r="D99" s="10">
        <v>3.4</v>
      </c>
      <c r="E99" s="105"/>
      <c r="F99" s="105" t="b">
        <f>if(countif(Status!C:C,A99)=1,TRUE, FALSE)</f>
        <v>1</v>
      </c>
      <c r="G99" s="110" t="b">
        <f>IFERROR(__xludf.DUMMYFUNCTION("if(filter(Status!P:P,Status!C:C=A99)=TRUE,TRUE,FALSE)"),TRUE)</f>
        <v>1</v>
      </c>
      <c r="H99" s="23" t="str">
        <f>'3.4.raw'!AD409</f>
        <v/>
      </c>
    </row>
    <row r="100">
      <c r="A100" s="108" t="s">
        <v>1028</v>
      </c>
      <c r="B100" s="109">
        <v>43684.0</v>
      </c>
      <c r="C100" s="105"/>
      <c r="D100" s="10">
        <v>3.4</v>
      </c>
      <c r="E100" s="105"/>
      <c r="F100" s="105" t="b">
        <f>if(countif(Status!C:C,A100)=1,TRUE, FALSE)</f>
        <v>1</v>
      </c>
      <c r="G100" s="110" t="b">
        <f>IFERROR(__xludf.DUMMYFUNCTION("if(filter(Status!P:P,Status!C:C=A100)=TRUE,TRUE,FALSE)"),TRUE)</f>
        <v>1</v>
      </c>
      <c r="H100" s="23" t="str">
        <f>'3.4.raw'!AD410</f>
        <v/>
      </c>
    </row>
    <row r="101">
      <c r="A101" s="108" t="s">
        <v>1029</v>
      </c>
      <c r="B101" s="109">
        <v>43684.0</v>
      </c>
      <c r="C101" s="105"/>
      <c r="D101" s="10">
        <v>3.4</v>
      </c>
      <c r="E101" s="105"/>
      <c r="F101" s="105" t="b">
        <f>if(countif(Status!C:C,A101)=1,TRUE, FALSE)</f>
        <v>1</v>
      </c>
      <c r="G101" s="110" t="b">
        <f>IFERROR(__xludf.DUMMYFUNCTION("if(filter(Status!P:P,Status!C:C=A101)=TRUE,TRUE,FALSE)"),TRUE)</f>
        <v>1</v>
      </c>
      <c r="H101" s="23" t="str">
        <f>'3.4.raw'!AD411</f>
        <v>Associated sample FW1001, OD1004, OD1005</v>
      </c>
    </row>
    <row r="102">
      <c r="A102" s="108" t="s">
        <v>381</v>
      </c>
      <c r="B102" s="109">
        <v>43654.0</v>
      </c>
      <c r="C102" s="105"/>
      <c r="D102" s="10">
        <v>3.4</v>
      </c>
      <c r="E102" s="105"/>
      <c r="F102" s="105" t="b">
        <f>if(countif(Status!C:C,A102)=1,TRUE, FALSE)</f>
        <v>1</v>
      </c>
      <c r="G102" s="110" t="b">
        <f>IFERROR(__xludf.DUMMYFUNCTION("if(filter(Status!P:P,Status!C:C=A102)=TRUE,TRUE,FALSE)"),TRUE)</f>
        <v>1</v>
      </c>
      <c r="H102" s="23" t="str">
        <f>'3.4.raw'!AD412</f>
        <v/>
      </c>
    </row>
    <row r="103">
      <c r="A103" s="108" t="s">
        <v>409</v>
      </c>
      <c r="B103" s="109">
        <v>43654.0</v>
      </c>
      <c r="C103" s="105"/>
      <c r="D103" s="10">
        <v>3.4</v>
      </c>
      <c r="E103" s="105"/>
      <c r="F103" s="105" t="b">
        <f>if(countif(Status!C:C,A103)=1,TRUE, FALSE)</f>
        <v>1</v>
      </c>
      <c r="G103" s="110" t="b">
        <f>IFERROR(__xludf.DUMMYFUNCTION("if(filter(Status!P:P,Status!C:C=A103)=TRUE,TRUE,FALSE)"),TRUE)</f>
        <v>1</v>
      </c>
      <c r="H103" s="23" t="str">
        <f>'3.4.raw'!AD413</f>
        <v/>
      </c>
    </row>
    <row r="104">
      <c r="A104" s="108" t="s">
        <v>429</v>
      </c>
      <c r="B104" s="109">
        <v>43654.0</v>
      </c>
      <c r="C104" s="105"/>
      <c r="D104" s="10">
        <v>3.4</v>
      </c>
      <c r="E104" s="105"/>
      <c r="F104" s="105" t="b">
        <f>if(countif(Status!C:C,A104)=1,TRUE, FALSE)</f>
        <v>1</v>
      </c>
      <c r="G104" s="110" t="b">
        <f>IFERROR(__xludf.DUMMYFUNCTION("if(filter(Status!P:P,Status!C:C=A104)=TRUE,TRUE,FALSE)"),TRUE)</f>
        <v>1</v>
      </c>
      <c r="H104" s="23" t="str">
        <f>'3.4.raw'!AD414</f>
        <v>Associated sample PL1018</v>
      </c>
    </row>
    <row r="105">
      <c r="A105" s="108" t="s">
        <v>504</v>
      </c>
      <c r="B105" s="109">
        <v>43662.0</v>
      </c>
      <c r="C105" s="105"/>
      <c r="D105" s="10">
        <v>3.4</v>
      </c>
      <c r="E105" s="105"/>
      <c r="F105" s="105" t="b">
        <f>if(countif(Status!C:C,A105)=1,TRUE, FALSE)</f>
        <v>1</v>
      </c>
      <c r="G105" s="110" t="b">
        <f>IFERROR(__xludf.DUMMYFUNCTION("if(filter(Status!P:P,Status!C:C=A105)=TRUE,TRUE,FALSE)"),TRUE)</f>
        <v>1</v>
      </c>
      <c r="H105" s="23" t="str">
        <f>'3.4.raw'!AD415</f>
        <v/>
      </c>
    </row>
    <row r="106">
      <c r="A106" s="108" t="s">
        <v>505</v>
      </c>
      <c r="B106" s="109">
        <v>43662.0</v>
      </c>
      <c r="C106" s="105"/>
      <c r="D106" s="10">
        <v>3.4</v>
      </c>
      <c r="E106" s="105"/>
      <c r="F106" s="105" t="b">
        <f>if(countif(Status!C:C,A106)=1,TRUE, FALSE)</f>
        <v>1</v>
      </c>
      <c r="G106" s="110" t="b">
        <f>IFERROR(__xludf.DUMMYFUNCTION("if(filter(Status!P:P,Status!C:C=A106)=TRUE,TRUE,FALSE)"),FALSE)</f>
        <v>0</v>
      </c>
      <c r="H106" s="23" t="str">
        <f>'3.4.raw'!AD416</f>
        <v/>
      </c>
    </row>
    <row r="107">
      <c r="A107" s="108" t="s">
        <v>586</v>
      </c>
      <c r="B107" s="109">
        <v>43662.0</v>
      </c>
      <c r="C107" s="105"/>
      <c r="D107" s="10">
        <v>3.4</v>
      </c>
      <c r="E107" s="105"/>
      <c r="F107" s="105" t="b">
        <f>if(countif(Status!C:C,A107)=1,TRUE, FALSE)</f>
        <v>1</v>
      </c>
      <c r="G107" s="110" t="b">
        <f>IFERROR(__xludf.DUMMYFUNCTION("if(filter(Status!P:P,Status!C:C=A107)=TRUE,TRUE,FALSE)"),TRUE)</f>
        <v>1</v>
      </c>
      <c r="H107" s="23" t="str">
        <f>'3.4.raw'!AD417</f>
        <v/>
      </c>
    </row>
    <row r="108">
      <c r="A108" s="108" t="s">
        <v>596</v>
      </c>
      <c r="B108" s="109">
        <v>43662.0</v>
      </c>
      <c r="C108" s="105"/>
      <c r="D108" s="10">
        <v>3.4</v>
      </c>
      <c r="E108" s="105"/>
      <c r="F108" s="105" t="b">
        <f>if(countif(Status!C:C,A108)=1,TRUE, FALSE)</f>
        <v>1</v>
      </c>
      <c r="G108" s="110" t="b">
        <f>IFERROR(__xludf.DUMMYFUNCTION("if(filter(Status!P:P,Status!C:C=A108)=TRUE,TRUE,FALSE)"),FALSE)</f>
        <v>0</v>
      </c>
      <c r="H108" s="23" t="str">
        <f>'3.4.raw'!AD418</f>
        <v/>
      </c>
    </row>
    <row r="109">
      <c r="A109" s="108" t="s">
        <v>607</v>
      </c>
      <c r="B109" s="109">
        <v>43662.0</v>
      </c>
      <c r="C109" s="105"/>
      <c r="D109" s="10">
        <v>3.4</v>
      </c>
      <c r="E109" s="105"/>
      <c r="F109" s="105" t="b">
        <f>if(countif(Status!C:C,A109)=1,TRUE, FALSE)</f>
        <v>1</v>
      </c>
      <c r="G109" s="110" t="b">
        <f>IFERROR(__xludf.DUMMYFUNCTION("if(filter(Status!P:P,Status!C:C=A109)=TRUE,TRUE,FALSE)"),TRUE)</f>
        <v>1</v>
      </c>
      <c r="H109" s="23" t="str">
        <f>'3.4.raw'!AD419</f>
        <v/>
      </c>
    </row>
    <row r="110">
      <c r="A110" s="108" t="s">
        <v>611</v>
      </c>
      <c r="B110" s="109">
        <v>43662.0</v>
      </c>
      <c r="C110" s="105"/>
      <c r="D110" s="10">
        <v>3.4</v>
      </c>
      <c r="E110" s="105"/>
      <c r="F110" s="105" t="b">
        <f>if(countif(Status!C:C,A110)=1,TRUE, FALSE)</f>
        <v>1</v>
      </c>
      <c r="G110" s="110" t="b">
        <f>IFERROR(__xludf.DUMMYFUNCTION("if(filter(Status!P:P,Status!C:C=A110)=TRUE,TRUE,FALSE)"),FALSE)</f>
        <v>0</v>
      </c>
      <c r="H110" s="23" t="str">
        <f>'3.4.raw'!AD420</f>
        <v/>
      </c>
    </row>
    <row r="111">
      <c r="A111" s="108" t="s">
        <v>622</v>
      </c>
      <c r="B111" s="109">
        <v>43662.0</v>
      </c>
      <c r="C111" s="105"/>
      <c r="D111" s="10">
        <v>3.4</v>
      </c>
      <c r="E111" s="105"/>
      <c r="F111" s="105" t="b">
        <f>if(countif(Status!C:C,A111)=1,TRUE, FALSE)</f>
        <v>1</v>
      </c>
      <c r="G111" s="110" t="b">
        <f>IFERROR(__xludf.DUMMYFUNCTION("if(filter(Status!P:P,Status!C:C=A111)=TRUE,TRUE,FALSE)"),TRUE)</f>
        <v>1</v>
      </c>
      <c r="H111" s="23" t="str">
        <f>'3.4.raw'!AD421</f>
        <v/>
      </c>
    </row>
    <row r="112">
      <c r="A112" s="108" t="s">
        <v>626</v>
      </c>
      <c r="B112" s="109">
        <v>43662.0</v>
      </c>
      <c r="C112" s="105"/>
      <c r="D112" s="10">
        <v>3.4</v>
      </c>
      <c r="E112" s="105"/>
      <c r="F112" s="105" t="b">
        <f>if(countif(Status!C:C,A112)=1,TRUE, FALSE)</f>
        <v>1</v>
      </c>
      <c r="G112" s="110" t="b">
        <f>IFERROR(__xludf.DUMMYFUNCTION("if(filter(Status!P:P,Status!C:C=A112)=TRUE,TRUE,FALSE)"),FALSE)</f>
        <v>0</v>
      </c>
      <c r="H112" s="23" t="str">
        <f>'3.4.raw'!AD422</f>
        <v/>
      </c>
    </row>
    <row r="113">
      <c r="A113" s="108" t="s">
        <v>632</v>
      </c>
      <c r="B113" s="109">
        <v>43662.0</v>
      </c>
      <c r="C113" s="105"/>
      <c r="D113" s="10">
        <v>3.4</v>
      </c>
      <c r="E113" s="105"/>
      <c r="F113" s="105" t="b">
        <f>if(countif(Status!C:C,A113)=1,TRUE, FALSE)</f>
        <v>1</v>
      </c>
      <c r="G113" s="110" t="b">
        <f>IFERROR(__xludf.DUMMYFUNCTION("if(filter(Status!P:P,Status!C:C=A113)=TRUE,TRUE,FALSE)"),TRUE)</f>
        <v>1</v>
      </c>
      <c r="H113" s="23" t="str">
        <f>'3.4.raw'!AD423</f>
        <v>Associated sample MO1090</v>
      </c>
    </row>
    <row r="114">
      <c r="A114" s="108" t="s">
        <v>637</v>
      </c>
      <c r="B114" s="109">
        <v>43662.0</v>
      </c>
      <c r="C114" s="105"/>
      <c r="D114" s="10">
        <v>3.4</v>
      </c>
      <c r="E114" s="105"/>
      <c r="F114" s="105" t="b">
        <f>if(countif(Status!C:C,A114)=1,TRUE, FALSE)</f>
        <v>1</v>
      </c>
      <c r="G114" s="110" t="b">
        <f>IFERROR(__xludf.DUMMYFUNCTION("if(filter(Status!P:P,Status!C:C=A114)=TRUE,TRUE,FALSE)"),TRUE)</f>
        <v>1</v>
      </c>
      <c r="H114" s="23" t="str">
        <f>'3.4.raw'!AD424</f>
        <v/>
      </c>
    </row>
    <row r="115">
      <c r="A115" s="108" t="s">
        <v>642</v>
      </c>
      <c r="B115" s="109">
        <v>43662.0</v>
      </c>
      <c r="C115" s="105"/>
      <c r="D115" s="10">
        <v>3.4</v>
      </c>
      <c r="E115" s="108" t="s">
        <v>2129</v>
      </c>
      <c r="F115" s="105" t="b">
        <f>if(countif(Status!C:C,A115)=1,TRUE, FALSE)</f>
        <v>1</v>
      </c>
      <c r="G115" s="110" t="b">
        <f>IFERROR(__xludf.DUMMYFUNCTION("if(filter(Status!P:P,Status!C:C=A115)=TRUE,TRUE,FALSE)"),TRUE)</f>
        <v>1</v>
      </c>
      <c r="H115" s="23" t="str">
        <f>'3.4.raw'!AD425</f>
        <v/>
      </c>
    </row>
    <row r="116">
      <c r="A116" s="108" t="s">
        <v>435</v>
      </c>
      <c r="B116" s="109">
        <v>43654.0</v>
      </c>
      <c r="C116" s="105"/>
      <c r="D116" s="10">
        <v>3.4</v>
      </c>
      <c r="E116" s="105"/>
      <c r="F116" s="105" t="b">
        <f>if(countif(Status!C:C,A116)=1,TRUE, FALSE)</f>
        <v>1</v>
      </c>
      <c r="G116" s="110" t="b">
        <f>IFERROR(__xludf.DUMMYFUNCTION("if(filter(Status!P:P,Status!C:C=A116)=TRUE,TRUE,FALSE)"),TRUE)</f>
        <v>1</v>
      </c>
      <c r="H116" s="23" t="str">
        <f>'3.4.raw'!AD426</f>
        <v/>
      </c>
    </row>
    <row r="117">
      <c r="A117" s="108" t="s">
        <v>470</v>
      </c>
      <c r="B117" s="109">
        <v>43654.0</v>
      </c>
      <c r="C117" s="105"/>
      <c r="D117" s="10">
        <v>3.4</v>
      </c>
      <c r="E117" s="105"/>
      <c r="F117" s="105" t="b">
        <f>if(countif(Status!C:C,A117)=1,TRUE, FALSE)</f>
        <v>1</v>
      </c>
      <c r="G117" s="110" t="b">
        <f>IFERROR(__xludf.DUMMYFUNCTION("if(filter(Status!P:P,Status!C:C=A117)=TRUE,TRUE,FALSE)"),TRUE)</f>
        <v>1</v>
      </c>
      <c r="H117" s="23" t="str">
        <f>'3.4.raw'!AD427</f>
        <v/>
      </c>
    </row>
    <row r="118">
      <c r="A118" s="108" t="s">
        <v>471</v>
      </c>
      <c r="B118" s="109">
        <v>43654.0</v>
      </c>
      <c r="C118" s="105"/>
      <c r="D118" s="10">
        <v>3.4</v>
      </c>
      <c r="E118" s="105"/>
      <c r="F118" s="105" t="b">
        <f>if(countif(Status!C:C,A118)=1,TRUE, FALSE)</f>
        <v>1</v>
      </c>
      <c r="G118" s="110" t="b">
        <f>IFERROR(__xludf.DUMMYFUNCTION("if(filter(Status!P:P,Status!C:C=A118)=TRUE,TRUE,FALSE)"),TRUE)</f>
        <v>1</v>
      </c>
      <c r="H118" s="23" t="str">
        <f>'3.4.raw'!AD428</f>
        <v/>
      </c>
    </row>
    <row r="119">
      <c r="A119" s="108" t="s">
        <v>978</v>
      </c>
      <c r="B119" s="109">
        <v>43684.0</v>
      </c>
      <c r="C119" s="105"/>
      <c r="D119" s="10">
        <v>3.4</v>
      </c>
      <c r="E119" s="105"/>
      <c r="F119" s="105" t="b">
        <f>if(countif(Status!C:C,A119)=1,TRUE, FALSE)</f>
        <v>1</v>
      </c>
      <c r="G119" s="110" t="b">
        <f>IFERROR(__xludf.DUMMYFUNCTION("if(filter(Status!P:P,Status!C:C=A119)=TRUE,TRUE,FALSE)"),TRUE)</f>
        <v>1</v>
      </c>
      <c r="H119" s="23" t="str">
        <f>'3.4.raw'!AD429</f>
        <v/>
      </c>
    </row>
    <row r="120">
      <c r="A120" s="108" t="s">
        <v>979</v>
      </c>
      <c r="B120" s="109">
        <v>43684.0</v>
      </c>
      <c r="C120" s="105"/>
      <c r="D120" s="10">
        <v>3.4</v>
      </c>
      <c r="E120" s="105"/>
      <c r="F120" s="105" t="b">
        <f>if(countif(Status!C:C,A120)=1,TRUE, FALSE)</f>
        <v>1</v>
      </c>
      <c r="G120" s="110" t="b">
        <f>IFERROR(__xludf.DUMMYFUNCTION("if(filter(Status!P:P,Status!C:C=A120)=TRUE,TRUE,FALSE)"),TRUE)</f>
        <v>1</v>
      </c>
      <c r="H120" s="23" t="str">
        <f>'3.4.raw'!AD430</f>
        <v/>
      </c>
    </row>
    <row r="121">
      <c r="A121" s="108" t="s">
        <v>981</v>
      </c>
      <c r="B121" s="109">
        <v>43684.0</v>
      </c>
      <c r="C121" s="105"/>
      <c r="D121" s="10">
        <v>3.4</v>
      </c>
      <c r="E121" s="105"/>
      <c r="F121" s="105" t="b">
        <f>if(countif(Status!C:C,A121)=1,TRUE, FALSE)</f>
        <v>1</v>
      </c>
      <c r="G121" s="110" t="b">
        <f>IFERROR(__xludf.DUMMYFUNCTION("if(filter(Status!P:P,Status!C:C=A121)=TRUE,TRUE,FALSE)"),TRUE)</f>
        <v>1</v>
      </c>
      <c r="H121" s="23" t="str">
        <f>'3.4.raw'!AD431</f>
        <v/>
      </c>
    </row>
    <row r="122">
      <c r="A122" s="108" t="s">
        <v>448</v>
      </c>
      <c r="B122" s="109">
        <v>43654.0</v>
      </c>
      <c r="C122" s="105"/>
      <c r="D122" s="10">
        <v>3.4</v>
      </c>
      <c r="E122" s="105"/>
      <c r="F122" s="105" t="b">
        <f>if(countif(Status!C:C,A122)=1,TRUE, FALSE)</f>
        <v>1</v>
      </c>
      <c r="G122" s="110" t="b">
        <f>IFERROR(__xludf.DUMMYFUNCTION("if(filter(Status!P:P,Status!C:C=A122)=TRUE,TRUE,FALSE)"),TRUE)</f>
        <v>1</v>
      </c>
      <c r="H122" s="23" t="str">
        <f>'3.4.raw'!AD432</f>
        <v/>
      </c>
    </row>
    <row r="123">
      <c r="A123" s="108" t="s">
        <v>449</v>
      </c>
      <c r="B123" s="109">
        <v>43654.0</v>
      </c>
      <c r="C123" s="105"/>
      <c r="D123" s="10">
        <v>3.4</v>
      </c>
      <c r="E123" s="105"/>
      <c r="F123" s="105" t="b">
        <f>if(countif(Status!C:C,A123)=1,TRUE, FALSE)</f>
        <v>1</v>
      </c>
      <c r="G123" s="110" t="b">
        <f>IFERROR(__xludf.DUMMYFUNCTION("if(filter(Status!P:P,Status!C:C=A123)=TRUE,TRUE,FALSE)"),TRUE)</f>
        <v>1</v>
      </c>
      <c r="H123" s="23" t="str">
        <f>'3.4.raw'!AD433</f>
        <v>Associated sample FPa9901, FPc9901, FPd9901, FPe9901, FPc9901</v>
      </c>
    </row>
    <row r="124">
      <c r="A124" s="108" t="s">
        <v>958</v>
      </c>
      <c r="B124" s="109">
        <v>43684.0</v>
      </c>
      <c r="C124" s="105"/>
      <c r="D124" s="10">
        <v>3.4</v>
      </c>
      <c r="E124" s="105"/>
      <c r="F124" s="105" t="b">
        <f>if(countif(Status!C:C,A124)=1,TRUE, FALSE)</f>
        <v>1</v>
      </c>
      <c r="G124" s="110" t="b">
        <f>IFERROR(__xludf.DUMMYFUNCTION("if(filter(Status!P:P,Status!C:C=A124)=TRUE,TRUE,FALSE)"),TRUE)</f>
        <v>1</v>
      </c>
      <c r="H124" s="23" t="str">
        <f>'3.4.raw'!AD434</f>
        <v/>
      </c>
    </row>
    <row r="125">
      <c r="A125" s="108" t="s">
        <v>959</v>
      </c>
      <c r="B125" s="109">
        <v>43684.0</v>
      </c>
      <c r="C125" s="105"/>
      <c r="D125" s="10">
        <v>3.4</v>
      </c>
      <c r="E125" s="105"/>
      <c r="F125" s="105" t="b">
        <f>if(countif(Status!C:C,A125)=1,TRUE, FALSE)</f>
        <v>1</v>
      </c>
      <c r="G125" s="110" t="b">
        <f>IFERROR(__xludf.DUMMYFUNCTION("if(filter(Status!P:P,Status!C:C=A125)=TRUE,TRUE,FALSE)"),TRUE)</f>
        <v>1</v>
      </c>
      <c r="H125" s="23" t="str">
        <f>'3.4.raw'!AD435</f>
        <v/>
      </c>
    </row>
    <row r="126">
      <c r="A126" s="108" t="s">
        <v>473</v>
      </c>
      <c r="B126" s="109">
        <v>43654.0</v>
      </c>
      <c r="C126" s="105"/>
      <c r="D126" s="10">
        <v>3.4</v>
      </c>
      <c r="E126" s="105"/>
      <c r="F126" s="105" t="b">
        <f>if(countif(Status!C:C,A126)=1,TRUE, FALSE)</f>
        <v>1</v>
      </c>
      <c r="G126" s="110" t="b">
        <f>IFERROR(__xludf.DUMMYFUNCTION("if(filter(Status!P:P,Status!C:C=A126)=TRUE,TRUE,FALSE)"),TRUE)</f>
        <v>1</v>
      </c>
      <c r="H126" s="23" t="str">
        <f>'3.4.raw'!AD436</f>
        <v>Associated sample SL1010</v>
      </c>
    </row>
    <row r="127">
      <c r="A127" s="108" t="s">
        <v>475</v>
      </c>
      <c r="B127" s="109">
        <v>43654.0</v>
      </c>
      <c r="C127" s="105"/>
      <c r="D127" s="10">
        <v>3.4</v>
      </c>
      <c r="E127" s="105"/>
      <c r="F127" s="105" t="b">
        <f>if(countif(Status!C:C,A127)=1,TRUE, FALSE)</f>
        <v>1</v>
      </c>
      <c r="G127" s="110" t="b">
        <f>IFERROR(__xludf.DUMMYFUNCTION("if(filter(Status!P:P,Status!C:C=A127)=TRUE,TRUE,FALSE)"),TRUE)</f>
        <v>1</v>
      </c>
      <c r="H127" s="23" t="str">
        <f>'3.4.raw'!AD437</f>
        <v/>
      </c>
    </row>
    <row r="128">
      <c r="A128" s="108" t="s">
        <v>942</v>
      </c>
      <c r="B128" s="109">
        <v>43684.0</v>
      </c>
      <c r="C128" s="105"/>
      <c r="D128" s="10">
        <v>3.4</v>
      </c>
      <c r="E128" s="105"/>
      <c r="F128" s="105" t="b">
        <f>if(countif(Status!C:C,A128)=1,TRUE, FALSE)</f>
        <v>1</v>
      </c>
      <c r="G128" s="110" t="b">
        <f>IFERROR(__xludf.DUMMYFUNCTION("if(filter(Status!P:P,Status!C:C=A128)=TRUE,TRUE,FALSE)"),TRUE)</f>
        <v>1</v>
      </c>
      <c r="H128" s="23" t="str">
        <f>'3.4.raw'!AD438</f>
        <v>Associated sample PL1019</v>
      </c>
    </row>
    <row r="129">
      <c r="A129" s="108" t="s">
        <v>944</v>
      </c>
      <c r="B129" s="109">
        <v>43684.0</v>
      </c>
      <c r="C129" s="105"/>
      <c r="D129" s="10">
        <v>3.4</v>
      </c>
      <c r="E129" s="105"/>
      <c r="F129" s="105" t="b">
        <f>if(countif(Status!C:C,A129)=1,TRUE, FALSE)</f>
        <v>1</v>
      </c>
      <c r="G129" s="110" t="b">
        <f>IFERROR(__xludf.DUMMYFUNCTION("if(filter(Status!P:P,Status!C:C=A129)=TRUE,TRUE,FALSE)"),TRUE)</f>
        <v>1</v>
      </c>
      <c r="H129" s="23" t="str">
        <f>'3.4.raw'!AD439</f>
        <v/>
      </c>
    </row>
    <row r="130">
      <c r="A130" s="108" t="s">
        <v>1033</v>
      </c>
      <c r="B130" s="109">
        <v>43684.0</v>
      </c>
      <c r="C130" s="105"/>
      <c r="D130" s="10">
        <v>3.4</v>
      </c>
      <c r="E130" s="105"/>
      <c r="F130" s="105" t="b">
        <f>if(countif(Status!C:C,A130)=1,TRUE, FALSE)</f>
        <v>1</v>
      </c>
      <c r="G130" s="110" t="b">
        <f>IFERROR(__xludf.DUMMYFUNCTION("if(filter(Status!P:P,Status!C:C=A130)=TRUE,TRUE,FALSE)"),TRUE)</f>
        <v>1</v>
      </c>
      <c r="H130" s="23" t="str">
        <f>'3.4.raw'!AD440</f>
        <v/>
      </c>
    </row>
    <row r="131">
      <c r="A131" s="108" t="s">
        <v>330</v>
      </c>
      <c r="B131" s="109">
        <v>43662.0</v>
      </c>
      <c r="C131" s="105"/>
      <c r="D131" s="10">
        <v>3.4</v>
      </c>
      <c r="E131" s="105"/>
      <c r="F131" s="105" t="b">
        <f>if(countif(Status!C:C,A131)=1,TRUE, FALSE)</f>
        <v>1</v>
      </c>
      <c r="G131" s="110" t="b">
        <f>IFERROR(__xludf.DUMMYFUNCTION("if(filter(Status!P:P,Status!C:C=A131)=TRUE,TRUE,FALSE)"),TRUE)</f>
        <v>1</v>
      </c>
      <c r="H131" s="23" t="str">
        <f>'3.4.raw'!AD441</f>
        <v/>
      </c>
    </row>
    <row r="132">
      <c r="A132" s="108" t="s">
        <v>394</v>
      </c>
      <c r="B132" s="109">
        <v>43654.0</v>
      </c>
      <c r="C132" s="105"/>
      <c r="D132" s="10">
        <v>3.4</v>
      </c>
      <c r="E132" s="105"/>
      <c r="F132" s="105" t="b">
        <f>if(countif(Status!C:C,A132)=1,TRUE, FALSE)</f>
        <v>1</v>
      </c>
      <c r="G132" s="110" t="b">
        <f>IFERROR(__xludf.DUMMYFUNCTION("if(filter(Status!P:P,Status!C:C=A132)=TRUE,TRUE,FALSE)"),TRUE)</f>
        <v>1</v>
      </c>
      <c r="H132" s="23" t="str">
        <f>'3.4.raw'!AD442</f>
        <v/>
      </c>
    </row>
    <row r="133">
      <c r="A133" s="108" t="s">
        <v>418</v>
      </c>
      <c r="B133" s="109">
        <v>43654.0</v>
      </c>
      <c r="C133" s="105"/>
      <c r="D133" s="10">
        <v>3.4</v>
      </c>
      <c r="E133" s="105"/>
      <c r="F133" s="105" t="b">
        <f>if(countif(Status!C:C,A133)=1,TRUE, FALSE)</f>
        <v>1</v>
      </c>
      <c r="G133" s="110" t="b">
        <f>IFERROR(__xludf.DUMMYFUNCTION("if(filter(Status!P:P,Status!C:C=A133)=TRUE,TRUE,FALSE)"),TRUE)</f>
        <v>1</v>
      </c>
      <c r="H133" s="23" t="str">
        <f>'3.4.raw'!AD443</f>
        <v/>
      </c>
    </row>
    <row r="134">
      <c r="A134" s="108" t="s">
        <v>450</v>
      </c>
      <c r="B134" s="109">
        <v>43654.0</v>
      </c>
      <c r="C134" s="105"/>
      <c r="D134" s="10">
        <v>3.4</v>
      </c>
      <c r="E134" s="105"/>
      <c r="F134" s="105" t="b">
        <f>if(countif(Status!C:C,A134)=1,TRUE, FALSE)</f>
        <v>1</v>
      </c>
      <c r="G134" s="110" t="b">
        <f>IFERROR(__xludf.DUMMYFUNCTION("if(filter(Status!P:P,Status!C:C=A134)=TRUE,TRUE,FALSE)"),TRUE)</f>
        <v>1</v>
      </c>
      <c r="H134" s="23" t="str">
        <f>'3.4.raw'!AD444</f>
        <v>Associated sample FPa1001, FPb1001, FPc1001, FPd1001, FPe1001</v>
      </c>
    </row>
    <row r="135">
      <c r="A135" s="108" t="s">
        <v>493</v>
      </c>
      <c r="B135" s="109">
        <v>43654.0</v>
      </c>
      <c r="C135" s="105"/>
      <c r="D135" s="10">
        <v>3.4</v>
      </c>
      <c r="E135" s="105"/>
      <c r="F135" s="105" t="b">
        <f>if(countif(Status!C:C,A135)=1,TRUE, FALSE)</f>
        <v>1</v>
      </c>
      <c r="G135" s="110" t="b">
        <f>IFERROR(__xludf.DUMMYFUNCTION("if(filter(Status!P:P,Status!C:C=A135)=TRUE,TRUE,FALSE)"),FALSE)</f>
        <v>0</v>
      </c>
      <c r="H135" s="23" t="str">
        <f>'3.4.raw'!AD445</f>
        <v/>
      </c>
    </row>
    <row r="136">
      <c r="A136" s="108" t="s">
        <v>902</v>
      </c>
      <c r="B136" s="109">
        <v>43684.0</v>
      </c>
      <c r="C136" s="105"/>
      <c r="D136" s="10">
        <v>3.4</v>
      </c>
      <c r="E136" s="105"/>
      <c r="F136" s="105" t="b">
        <f>if(countif(Status!C:C,A136)=1,TRUE, FALSE)</f>
        <v>1</v>
      </c>
      <c r="G136" s="110" t="b">
        <f>IFERROR(__xludf.DUMMYFUNCTION("if(filter(Status!P:P,Status!C:C=A136)=TRUE,TRUE,FALSE)"),FALSE)</f>
        <v>0</v>
      </c>
      <c r="H136" s="23" t="str">
        <f>'3.4.raw'!AD446</f>
        <v/>
      </c>
    </row>
    <row r="137">
      <c r="A137" s="108" t="s">
        <v>914</v>
      </c>
      <c r="B137" s="109">
        <v>43684.0</v>
      </c>
      <c r="C137" s="105"/>
      <c r="D137" s="10">
        <v>3.4</v>
      </c>
      <c r="E137" s="105"/>
      <c r="F137" s="105" t="b">
        <f>if(countif(Status!C:C,A137)=1,TRUE, FALSE)</f>
        <v>1</v>
      </c>
      <c r="G137" s="110" t="b">
        <f>IFERROR(__xludf.DUMMYFUNCTION("if(filter(Status!P:P,Status!C:C=A137)=TRUE,TRUE,FALSE)"),FALSE)</f>
        <v>0</v>
      </c>
      <c r="H137" s="23" t="str">
        <f>'3.4.raw'!AD447</f>
        <v/>
      </c>
    </row>
    <row r="138">
      <c r="A138" s="108" t="s">
        <v>922</v>
      </c>
      <c r="B138" s="109">
        <v>43684.0</v>
      </c>
      <c r="C138" s="105"/>
      <c r="D138" s="10">
        <v>3.4</v>
      </c>
      <c r="E138" s="105"/>
      <c r="F138" s="105" t="b">
        <f>if(countif(Status!C:C,A138)=1,TRUE, FALSE)</f>
        <v>1</v>
      </c>
      <c r="G138" s="110" t="b">
        <f>IFERROR(__xludf.DUMMYFUNCTION("if(filter(Status!P:P,Status!C:C=A138)=TRUE,TRUE,FALSE)"),FALSE)</f>
        <v>0</v>
      </c>
      <c r="H138" s="23" t="str">
        <f>'3.4.raw'!AD448</f>
        <v/>
      </c>
    </row>
    <row r="139">
      <c r="A139" s="108" t="s">
        <v>928</v>
      </c>
      <c r="B139" s="109">
        <v>43684.0</v>
      </c>
      <c r="C139" s="105"/>
      <c r="D139" s="10">
        <v>3.4</v>
      </c>
      <c r="E139" s="105"/>
      <c r="F139" s="105" t="b">
        <f>if(countif(Status!C:C,A139)=1,TRUE, FALSE)</f>
        <v>1</v>
      </c>
      <c r="G139" s="110" t="b">
        <f>IFERROR(__xludf.DUMMYFUNCTION("if(filter(Status!P:P,Status!C:C=A139)=TRUE,TRUE,FALSE)"),FALSE)</f>
        <v>0</v>
      </c>
      <c r="H139" s="23" t="str">
        <f>'3.4.raw'!AD449</f>
        <v/>
      </c>
    </row>
    <row r="140">
      <c r="A140" s="108" t="s">
        <v>945</v>
      </c>
      <c r="B140" s="109">
        <v>43684.0</v>
      </c>
      <c r="C140" s="105"/>
      <c r="D140" s="10">
        <v>3.4</v>
      </c>
      <c r="E140" s="105"/>
      <c r="F140" s="105" t="b">
        <f>if(countif(Status!C:C,A140)=1,TRUE, FALSE)</f>
        <v>1</v>
      </c>
      <c r="G140" s="110" t="b">
        <f>IFERROR(__xludf.DUMMYFUNCTION("if(filter(Status!P:P,Status!C:C=A140)=TRUE,TRUE,FALSE)"),FALSE)</f>
        <v>0</v>
      </c>
      <c r="H140" s="23" t="str">
        <f>'3.4.raw'!AD450</f>
        <v>Associated sample COa1001, COb1001, COb1002, COb1003</v>
      </c>
    </row>
    <row r="141">
      <c r="A141" s="108" t="s">
        <v>962</v>
      </c>
      <c r="B141" s="109">
        <v>43684.0</v>
      </c>
      <c r="C141" s="105"/>
      <c r="D141" s="10">
        <v>3.4</v>
      </c>
      <c r="E141" s="105"/>
      <c r="F141" s="105" t="b">
        <f>if(countif(Status!C:C,A141)=1,TRUE, FALSE)</f>
        <v>1</v>
      </c>
      <c r="G141" s="110" t="b">
        <f>IFERROR(__xludf.DUMMYFUNCTION("if(filter(Status!P:P,Status!C:C=A141)=TRUE,TRUE,FALSE)"),FALSE)</f>
        <v>0</v>
      </c>
      <c r="H141" s="23" t="str">
        <f>'3.4.raw'!AD451</f>
        <v/>
      </c>
    </row>
    <row r="142">
      <c r="A142" s="108" t="s">
        <v>972</v>
      </c>
      <c r="B142" s="109">
        <v>43684.0</v>
      </c>
      <c r="C142" s="105"/>
      <c r="D142" s="10">
        <v>3.4</v>
      </c>
      <c r="E142" s="105"/>
      <c r="F142" s="105" t="b">
        <f>if(countif(Status!C:C,A142)=1,TRUE, FALSE)</f>
        <v>1</v>
      </c>
      <c r="G142" s="110" t="b">
        <f>IFERROR(__xludf.DUMMYFUNCTION("if(filter(Status!P:P,Status!C:C=A142)=TRUE,TRUE,FALSE)"),FALSE)</f>
        <v>0</v>
      </c>
      <c r="H142" s="23" t="str">
        <f>'3.4.raw'!AD452</f>
        <v/>
      </c>
    </row>
    <row r="143">
      <c r="A143" s="108" t="s">
        <v>1021</v>
      </c>
      <c r="B143" s="109">
        <v>43684.0</v>
      </c>
      <c r="C143" s="105"/>
      <c r="D143" s="10">
        <v>3.4</v>
      </c>
      <c r="E143" s="105"/>
      <c r="F143" s="105" t="b">
        <f>if(countif(Status!C:C,A143)=1,TRUE, FALSE)</f>
        <v>1</v>
      </c>
      <c r="G143" s="110" t="b">
        <f>IFERROR(__xludf.DUMMYFUNCTION("if(filter(Status!P:P,Status!C:C=A143)=TRUE,TRUE,FALSE)"),FALSE)</f>
        <v>0</v>
      </c>
      <c r="H143" s="23" t="str">
        <f>'3.4.raw'!AD453</f>
        <v/>
      </c>
    </row>
    <row r="144">
      <c r="A144" s="108" t="s">
        <v>551</v>
      </c>
      <c r="B144" s="109">
        <v>76596.0</v>
      </c>
      <c r="C144" s="105"/>
      <c r="D144" s="10">
        <v>3.4</v>
      </c>
      <c r="E144" s="105"/>
      <c r="F144" s="105" t="b">
        <f>if(countif(Status!C:C,A144)=1,TRUE, FALSE)</f>
        <v>1</v>
      </c>
      <c r="G144" s="110" t="b">
        <f>IFERROR(__xludf.DUMMYFUNCTION("if(filter(Status!P:P,Status!C:C=A144)=TRUE,TRUE,FALSE)"),TRUE)</f>
        <v>1</v>
      </c>
      <c r="H144" s="23" t="str">
        <f>'3.4.raw'!AD454</f>
        <v/>
      </c>
    </row>
    <row r="145">
      <c r="A145" s="108" t="s">
        <v>553</v>
      </c>
      <c r="B145" s="109">
        <v>76596.0</v>
      </c>
      <c r="C145" s="105"/>
      <c r="D145" s="10">
        <v>3.4</v>
      </c>
      <c r="E145" s="105"/>
      <c r="F145" s="105" t="b">
        <f>if(countif(Status!C:C,A145)=1,TRUE, FALSE)</f>
        <v>1</v>
      </c>
      <c r="G145" s="110" t="b">
        <f>IFERROR(__xludf.DUMMYFUNCTION("if(filter(Status!P:P,Status!C:C=A145)=TRUE,TRUE,FALSE)"),TRUE)</f>
        <v>1</v>
      </c>
      <c r="H145" s="23" t="str">
        <f>'3.4.raw'!AD455</f>
        <v/>
      </c>
    </row>
    <row r="146">
      <c r="A146" s="108" t="s">
        <v>2138</v>
      </c>
      <c r="B146" s="109">
        <v>43721.0</v>
      </c>
      <c r="C146" s="105"/>
      <c r="D146" s="10">
        <v>3.4</v>
      </c>
      <c r="E146" s="105"/>
      <c r="F146" s="105" t="b">
        <f>if(countif(Status!C:C,A146)=1,TRUE, FALSE)</f>
        <v>0</v>
      </c>
      <c r="G146" s="110" t="str">
        <f>IFERROR(__xludf.DUMMYFUNCTION("if(filter(Status!P:P,Status!C:C=A146)=TRUE,TRUE,FALSE)"),"#N/A")</f>
        <v>#N/A</v>
      </c>
      <c r="H146" s="23" t="str">
        <f>'3.4.raw'!AD456</f>
        <v/>
      </c>
    </row>
    <row r="147">
      <c r="A147" s="108" t="s">
        <v>2139</v>
      </c>
      <c r="B147" s="109">
        <v>43721.0</v>
      </c>
      <c r="C147" s="105"/>
      <c r="D147" s="10">
        <v>3.4</v>
      </c>
      <c r="E147" s="105"/>
      <c r="F147" s="105" t="b">
        <f>if(countif(Status!C:C,A147)=1,TRUE, FALSE)</f>
        <v>0</v>
      </c>
      <c r="G147" s="110" t="str">
        <f>IFERROR(__xludf.DUMMYFUNCTION("if(filter(Status!P:P,Status!C:C=A147)=TRUE,TRUE,FALSE)"),"#N/A")</f>
        <v>#N/A</v>
      </c>
      <c r="H147" s="23" t="str">
        <f>'3.4.raw'!AD457</f>
        <v>Associated sample OD1006</v>
      </c>
    </row>
    <row r="148">
      <c r="A148" s="108" t="s">
        <v>556</v>
      </c>
      <c r="B148" s="109">
        <v>76596.0</v>
      </c>
      <c r="C148" s="105"/>
      <c r="D148" s="10">
        <v>3.4</v>
      </c>
      <c r="E148" s="105"/>
      <c r="F148" s="105" t="b">
        <f>if(countif(Status!C:C,A148)=1,TRUE, FALSE)</f>
        <v>1</v>
      </c>
      <c r="G148" s="110" t="b">
        <f>IFERROR(__xludf.DUMMYFUNCTION("if(filter(Status!P:P,Status!C:C=A148)=TRUE,TRUE,FALSE)"),TRUE)</f>
        <v>1</v>
      </c>
      <c r="H148" s="23" t="str">
        <f>'3.4.raw'!AD458</f>
        <v/>
      </c>
    </row>
    <row r="149">
      <c r="A149" s="108" t="s">
        <v>558</v>
      </c>
      <c r="B149" s="109">
        <v>76596.0</v>
      </c>
      <c r="C149" s="105"/>
      <c r="D149" s="10">
        <v>3.4</v>
      </c>
      <c r="E149" s="105"/>
      <c r="F149" s="105" t="b">
        <f>if(countif(Status!C:C,A149)=1,TRUE, FALSE)</f>
        <v>1</v>
      </c>
      <c r="G149" s="110" t="b">
        <f>IFERROR(__xludf.DUMMYFUNCTION("if(filter(Status!P:P,Status!C:C=A149)=TRUE,TRUE,FALSE)"),TRUE)</f>
        <v>1</v>
      </c>
      <c r="H149" s="23" t="str">
        <f>'3.4.raw'!AD459</f>
        <v>Associated sample RP1010</v>
      </c>
    </row>
    <row r="150">
      <c r="A150" s="108" t="s">
        <v>215</v>
      </c>
      <c r="B150" s="109">
        <v>76596.0</v>
      </c>
      <c r="C150" s="105"/>
      <c r="D150" s="10">
        <v>3.4</v>
      </c>
      <c r="E150" s="105"/>
      <c r="F150" s="105" t="b">
        <f>if(countif(Status!C:C,A150)=1,TRUE, FALSE)</f>
        <v>1</v>
      </c>
      <c r="G150" s="110" t="b">
        <f>IFERROR(__xludf.DUMMYFUNCTION("if(filter(Status!P:P,Status!C:C=A150)=TRUE,TRUE,FALSE)"),TRUE)</f>
        <v>1</v>
      </c>
      <c r="H150" s="23" t="str">
        <f>'3.4.raw'!AD460</f>
        <v/>
      </c>
    </row>
    <row r="151">
      <c r="A151" s="108" t="s">
        <v>562</v>
      </c>
      <c r="B151" s="109">
        <v>76596.0</v>
      </c>
      <c r="C151" s="105"/>
      <c r="D151" s="10">
        <v>3.4</v>
      </c>
      <c r="E151" s="105"/>
      <c r="F151" s="105" t="b">
        <f>if(countif(Status!C:C,A151)=1,TRUE, FALSE)</f>
        <v>1</v>
      </c>
      <c r="G151" s="110" t="b">
        <f>IFERROR(__xludf.DUMMYFUNCTION("if(filter(Status!P:P,Status!C:C=A151)=TRUE,TRUE,FALSE)"),TRUE)</f>
        <v>1</v>
      </c>
      <c r="H151" s="23" t="str">
        <f>'3.4.raw'!AD461</f>
        <v>Associated sample DWa1003</v>
      </c>
    </row>
    <row r="152">
      <c r="A152" s="108" t="s">
        <v>565</v>
      </c>
      <c r="B152" s="109">
        <v>76596.0</v>
      </c>
      <c r="C152" s="105"/>
      <c r="D152" s="10">
        <v>3.4</v>
      </c>
      <c r="E152" s="105"/>
      <c r="F152" s="105" t="b">
        <f>if(countif(Status!C:C,A152)=1,TRUE, FALSE)</f>
        <v>1</v>
      </c>
      <c r="G152" s="110" t="b">
        <f>IFERROR(__xludf.DUMMYFUNCTION("if(filter(Status!P:P,Status!C:C=A152)=TRUE,TRUE,FALSE)"),TRUE)</f>
        <v>1</v>
      </c>
      <c r="H152" s="23" t="str">
        <f>'3.4.raw'!AD462</f>
        <v/>
      </c>
    </row>
    <row r="153">
      <c r="A153" s="108" t="s">
        <v>567</v>
      </c>
      <c r="B153" s="109">
        <v>76596.0</v>
      </c>
      <c r="C153" s="105"/>
      <c r="D153" s="10">
        <v>3.4</v>
      </c>
      <c r="E153" s="105"/>
      <c r="F153" s="105" t="b">
        <f>if(countif(Status!C:C,A153)=1,TRUE, FALSE)</f>
        <v>1</v>
      </c>
      <c r="G153" s="110" t="b">
        <f>IFERROR(__xludf.DUMMYFUNCTION("if(filter(Status!P:P,Status!C:C=A153)=TRUE,TRUE,FALSE)"),TRUE)</f>
        <v>1</v>
      </c>
      <c r="H153" s="23" t="str">
        <f>'3.4.raw'!AD463</f>
        <v/>
      </c>
    </row>
    <row r="154">
      <c r="A154" s="108" t="s">
        <v>2142</v>
      </c>
      <c r="B154" s="109">
        <v>43721.0</v>
      </c>
      <c r="C154" s="105"/>
      <c r="D154" s="10">
        <v>3.4</v>
      </c>
      <c r="E154" s="105"/>
      <c r="F154" s="105" t="b">
        <f>if(countif(Status!C:C,A154)=1,TRUE, FALSE)</f>
        <v>0</v>
      </c>
      <c r="G154" s="110" t="str">
        <f>IFERROR(__xludf.DUMMYFUNCTION("if(filter(Status!P:P,Status!C:C=A154)=TRUE,TRUE,FALSE)"),"#N/A")</f>
        <v>#N/A</v>
      </c>
      <c r="H154" s="23" t="str">
        <f>'3.4.raw'!AD464</f>
        <v/>
      </c>
    </row>
    <row r="155">
      <c r="A155" s="108" t="s">
        <v>2143</v>
      </c>
      <c r="B155" s="109">
        <v>43721.0</v>
      </c>
      <c r="C155" s="105"/>
      <c r="D155" s="10">
        <v>3.4</v>
      </c>
      <c r="E155" s="105"/>
      <c r="F155" s="105" t="b">
        <f>if(countif(Status!C:C,A155)=1,TRUE, FALSE)</f>
        <v>0</v>
      </c>
      <c r="G155" s="110" t="str">
        <f>IFERROR(__xludf.DUMMYFUNCTION("if(filter(Status!P:P,Status!C:C=A155)=TRUE,TRUE,FALSE)"),"#N/A")</f>
        <v>#N/A</v>
      </c>
      <c r="H155" s="23" t="str">
        <f>'3.4.raw'!AD465</f>
        <v/>
      </c>
    </row>
    <row r="156">
      <c r="A156" s="108" t="s">
        <v>2145</v>
      </c>
      <c r="B156" s="109">
        <v>43712.0</v>
      </c>
      <c r="C156" s="105"/>
      <c r="D156" s="10">
        <v>3.4</v>
      </c>
      <c r="E156" s="105"/>
      <c r="F156" s="105" t="b">
        <f>if(countif(Status!C:C,A156)=1,TRUE, FALSE)</f>
        <v>0</v>
      </c>
      <c r="G156" s="110" t="str">
        <f>IFERROR(__xludf.DUMMYFUNCTION("if(filter(Status!P:P,Status!C:C=A156)=TRUE,TRUE,FALSE)"),"#N/A")</f>
        <v>#N/A</v>
      </c>
      <c r="H156" s="23" t="str">
        <f>'3.4.raw'!AD466</f>
        <v/>
      </c>
    </row>
    <row r="157">
      <c r="A157" s="108" t="s">
        <v>1132</v>
      </c>
      <c r="B157" s="109">
        <v>76596.0</v>
      </c>
      <c r="C157" s="105"/>
      <c r="D157" s="10">
        <v>3.4</v>
      </c>
      <c r="E157" s="105"/>
      <c r="F157" s="105" t="b">
        <f>if(countif(Status!C:C,A157)=1,TRUE, FALSE)</f>
        <v>1</v>
      </c>
      <c r="G157" s="110" t="b">
        <f>IFERROR(__xludf.DUMMYFUNCTION("if(filter(Status!P:P,Status!C:C=A157)=TRUE,TRUE,FALSE)"),TRUE)</f>
        <v>1</v>
      </c>
      <c r="H157" s="23" t="str">
        <f>'3.4.raw'!AD467</f>
        <v/>
      </c>
    </row>
    <row r="158">
      <c r="A158" s="108" t="s">
        <v>399</v>
      </c>
      <c r="B158" s="109">
        <v>43710.0</v>
      </c>
      <c r="C158" s="105"/>
      <c r="D158" s="10">
        <v>3.4</v>
      </c>
      <c r="E158" s="105"/>
      <c r="F158" s="105" t="b">
        <f>if(countif(Status!C:C,A158)=1,TRUE, FALSE)</f>
        <v>1</v>
      </c>
      <c r="G158" s="110" t="b">
        <f>IFERROR(__xludf.DUMMYFUNCTION("if(filter(Status!P:P,Status!C:C=A158)=TRUE,TRUE,FALSE)"),TRUE)</f>
        <v>1</v>
      </c>
      <c r="H158" s="23" t="str">
        <f>'3.4.raw'!AD468</f>
        <v>Associated sample PLc1147</v>
      </c>
    </row>
    <row r="159">
      <c r="A159" s="108" t="s">
        <v>31</v>
      </c>
      <c r="B159" s="109">
        <v>43710.0</v>
      </c>
      <c r="C159" s="105"/>
      <c r="D159" s="10">
        <v>3.4</v>
      </c>
      <c r="E159" s="105"/>
      <c r="F159" s="105" t="b">
        <f>if(countif(Status!C:C,A159)=1,TRUE, FALSE)</f>
        <v>0</v>
      </c>
      <c r="G159" s="110" t="b">
        <f>IFERROR(__xludf.DUMMYFUNCTION("if(filter(Status!P:P,Status!C:C=A159)=TRUE,TRUE,FALSE)"),TRUE)</f>
        <v>1</v>
      </c>
      <c r="H159" s="1" t="s">
        <v>422</v>
      </c>
    </row>
    <row r="160">
      <c r="A160" s="108" t="s">
        <v>31</v>
      </c>
      <c r="B160" s="109">
        <v>43712.0</v>
      </c>
      <c r="C160" s="105"/>
      <c r="D160" s="10">
        <v>3.4</v>
      </c>
      <c r="E160" s="105"/>
      <c r="F160" s="105" t="b">
        <f>if(countif(Status!C:C,A160)=1,TRUE, FALSE)</f>
        <v>0</v>
      </c>
      <c r="G160" s="110" t="b">
        <f>IFERROR(__xludf.DUMMYFUNCTION("if(filter(Status!P:P,Status!C:C=A160)=TRUE,TRUE,FALSE)"),TRUE)</f>
        <v>1</v>
      </c>
      <c r="H160" s="1" t="s">
        <v>422</v>
      </c>
    </row>
    <row r="161">
      <c r="A161" s="108" t="s">
        <v>31</v>
      </c>
      <c r="B161" s="109">
        <v>43713.0</v>
      </c>
      <c r="C161" s="105"/>
      <c r="D161" s="10">
        <v>3.4</v>
      </c>
      <c r="E161" s="105"/>
      <c r="F161" s="105" t="b">
        <f>if(countif(Status!C:C,A161)=1,TRUE, FALSE)</f>
        <v>0</v>
      </c>
      <c r="G161" s="110" t="b">
        <f>IFERROR(__xludf.DUMMYFUNCTION("if(filter(Status!P:P,Status!C:C=A161)=TRUE,TRUE,FALSE)"),TRUE)</f>
        <v>1</v>
      </c>
      <c r="H161" s="1" t="s">
        <v>422</v>
      </c>
    </row>
    <row r="162">
      <c r="A162" s="108" t="s">
        <v>31</v>
      </c>
      <c r="B162" s="109">
        <v>76596.0</v>
      </c>
      <c r="C162" s="105"/>
      <c r="D162" s="10">
        <v>3.4</v>
      </c>
      <c r="E162" s="105"/>
      <c r="F162" s="105" t="b">
        <f>if(countif(Status!C:C,A162)=1,TRUE, FALSE)</f>
        <v>0</v>
      </c>
      <c r="G162" s="110" t="b">
        <f>IFERROR(__xludf.DUMMYFUNCTION("if(filter(Status!P:P,Status!C:C=A162)=TRUE,TRUE,FALSE)"),TRUE)</f>
        <v>1</v>
      </c>
      <c r="H162" s="1" t="s">
        <v>422</v>
      </c>
    </row>
    <row r="163">
      <c r="A163" s="108" t="s">
        <v>813</v>
      </c>
      <c r="B163" s="109">
        <v>43705.0</v>
      </c>
      <c r="C163" s="105"/>
      <c r="D163" s="10">
        <v>3.4</v>
      </c>
      <c r="E163" s="105"/>
      <c r="F163" s="105" t="b">
        <f>if(countif(Status!C:C,A163)=1,TRUE, FALSE)</f>
        <v>1</v>
      </c>
      <c r="G163" s="110" t="b">
        <f>IFERROR(__xludf.DUMMYFUNCTION("if(filter(Status!P:P,Status!C:C=A163)=TRUE,TRUE,FALSE)"),FALSE)</f>
        <v>0</v>
      </c>
    </row>
    <row r="164">
      <c r="A164" s="108" t="s">
        <v>830</v>
      </c>
      <c r="B164" s="109">
        <v>43705.0</v>
      </c>
      <c r="C164" s="105"/>
      <c r="D164" s="10">
        <v>3.4</v>
      </c>
      <c r="E164" s="105"/>
      <c r="F164" s="105" t="b">
        <f>if(countif(Status!C:C,A164)=1,TRUE, FALSE)</f>
        <v>1</v>
      </c>
      <c r="G164" s="110" t="b">
        <f>IFERROR(__xludf.DUMMYFUNCTION("if(filter(Status!P:P,Status!C:C=A164)=TRUE,TRUE,FALSE)"),FALSE)</f>
        <v>0</v>
      </c>
    </row>
    <row r="165">
      <c r="A165" s="108" t="s">
        <v>1057</v>
      </c>
      <c r="B165" s="109">
        <v>43721.0</v>
      </c>
      <c r="C165" s="105"/>
      <c r="D165" s="10">
        <v>3.4</v>
      </c>
      <c r="E165" s="105"/>
      <c r="F165" s="105" t="b">
        <f>if(countif(Status!C:C,A165)=1,TRUE, FALSE)</f>
        <v>1</v>
      </c>
      <c r="G165" s="110" t="b">
        <f>IFERROR(__xludf.DUMMYFUNCTION("if(filter(Status!P:P,Status!C:C=A165)=TRUE,TRUE,FALSE)"),FALSE)</f>
        <v>0</v>
      </c>
    </row>
    <row r="166">
      <c r="A166" s="108" t="s">
        <v>1071</v>
      </c>
      <c r="B166" s="109">
        <v>43721.0</v>
      </c>
      <c r="C166" s="105"/>
      <c r="D166" s="10">
        <v>3.4</v>
      </c>
      <c r="E166" s="105"/>
      <c r="F166" s="105" t="b">
        <f>if(countif(Status!C:C,A166)=1,TRUE, FALSE)</f>
        <v>1</v>
      </c>
      <c r="G166" s="110" t="b">
        <f>IFERROR(__xludf.DUMMYFUNCTION("if(filter(Status!P:P,Status!C:C=A166)=TRUE,TRUE,FALSE)"),FALSE)</f>
        <v>0</v>
      </c>
    </row>
    <row r="167">
      <c r="A167" s="108" t="s">
        <v>1073</v>
      </c>
      <c r="B167" s="109">
        <v>43721.0</v>
      </c>
      <c r="C167" s="105"/>
      <c r="D167" s="10">
        <v>3.4</v>
      </c>
      <c r="E167" s="105"/>
      <c r="F167" s="105" t="b">
        <f>if(countif(Status!C:C,A167)=1,TRUE, FALSE)</f>
        <v>1</v>
      </c>
      <c r="G167" s="110" t="b">
        <f>IFERROR(__xludf.DUMMYFUNCTION("if(filter(Status!P:P,Status!C:C=A167)=TRUE,TRUE,FALSE)"),TRUE)</f>
        <v>1</v>
      </c>
    </row>
    <row r="168">
      <c r="A168" s="108" t="s">
        <v>1080</v>
      </c>
      <c r="B168" s="109">
        <v>43721.0</v>
      </c>
      <c r="C168" s="105"/>
      <c r="D168" s="10">
        <v>3.4</v>
      </c>
      <c r="E168" s="105"/>
      <c r="F168" s="105" t="b">
        <f>if(countif(Status!C:C,A168)=1,TRUE, FALSE)</f>
        <v>1</v>
      </c>
      <c r="G168" s="110" t="b">
        <f>IFERROR(__xludf.DUMMYFUNCTION("if(filter(Status!P:P,Status!C:C=A168)=TRUE,TRUE,FALSE)"),FALSE)</f>
        <v>0</v>
      </c>
    </row>
    <row r="169">
      <c r="A169" s="108" t="s">
        <v>1081</v>
      </c>
      <c r="B169" s="109">
        <v>43721.0</v>
      </c>
      <c r="C169" s="105"/>
      <c r="D169" s="10">
        <v>3.4</v>
      </c>
      <c r="E169" s="105"/>
      <c r="F169" s="105" t="b">
        <f>if(countif(Status!C:C,A169)=1,TRUE, FALSE)</f>
        <v>1</v>
      </c>
      <c r="G169" s="110" t="b">
        <f>IFERROR(__xludf.DUMMYFUNCTION("if(filter(Status!P:P,Status!C:C=A169)=TRUE,TRUE,FALSE)"),TRUE)</f>
        <v>1</v>
      </c>
    </row>
    <row r="170">
      <c r="A170" s="108" t="s">
        <v>1088</v>
      </c>
      <c r="B170" s="109">
        <v>76596.0</v>
      </c>
      <c r="C170" s="105"/>
      <c r="D170" s="10">
        <v>3.4</v>
      </c>
      <c r="E170" s="105"/>
      <c r="F170" s="105" t="b">
        <f>if(countif(Status!C:C,A170)=1,TRUE, FALSE)</f>
        <v>1</v>
      </c>
      <c r="G170" s="110" t="b">
        <f>IFERROR(__xludf.DUMMYFUNCTION("if(filter(Status!P:P,Status!C:C=A170)=TRUE,TRUE,FALSE)"),FALSE)</f>
        <v>0</v>
      </c>
    </row>
    <row r="171">
      <c r="A171" s="108" t="s">
        <v>1090</v>
      </c>
      <c r="B171" s="109">
        <v>76596.0</v>
      </c>
      <c r="C171" s="105"/>
      <c r="D171" s="10">
        <v>3.4</v>
      </c>
      <c r="E171" s="105"/>
      <c r="F171" s="105" t="b">
        <f>if(countif(Status!C:C,A171)=1,TRUE, FALSE)</f>
        <v>1</v>
      </c>
      <c r="G171" s="110" t="b">
        <f>IFERROR(__xludf.DUMMYFUNCTION("if(filter(Status!P:P,Status!C:C=A171)=TRUE,TRUE,FALSE)"),TRUE)</f>
        <v>1</v>
      </c>
    </row>
    <row r="172">
      <c r="A172" s="108" t="s">
        <v>1094</v>
      </c>
      <c r="B172" s="109">
        <v>43721.0</v>
      </c>
      <c r="C172" s="105"/>
      <c r="D172" s="10">
        <v>3.4</v>
      </c>
      <c r="E172" s="105"/>
      <c r="F172" s="105" t="b">
        <f>if(countif(Status!C:C,A172)=1,TRUE, FALSE)</f>
        <v>1</v>
      </c>
      <c r="G172" s="110" t="b">
        <f>IFERROR(__xludf.DUMMYFUNCTION("if(filter(Status!P:P,Status!C:C=A172)=TRUE,TRUE,FALSE)"),FALSE)</f>
        <v>0</v>
      </c>
    </row>
    <row r="173">
      <c r="A173" s="108" t="s">
        <v>1096</v>
      </c>
      <c r="B173" s="109">
        <v>43721.0</v>
      </c>
      <c r="C173" s="105"/>
      <c r="D173" s="10">
        <v>3.4</v>
      </c>
      <c r="E173" s="105"/>
      <c r="F173" s="105" t="b">
        <f>if(countif(Status!C:C,A173)=1,TRUE, FALSE)</f>
        <v>1</v>
      </c>
      <c r="G173" s="110" t="b">
        <f>IFERROR(__xludf.DUMMYFUNCTION("if(filter(Status!P:P,Status!C:C=A173)=TRUE,TRUE,FALSE)"),TRUE)</f>
        <v>1</v>
      </c>
    </row>
    <row r="174">
      <c r="A174" s="108" t="s">
        <v>1100</v>
      </c>
      <c r="B174" s="109">
        <v>76596.0</v>
      </c>
      <c r="C174" s="105"/>
      <c r="D174" s="10">
        <v>3.4</v>
      </c>
      <c r="E174" s="105"/>
      <c r="F174" s="105" t="b">
        <f>if(countif(Status!C:C,A174)=1,TRUE, FALSE)</f>
        <v>1</v>
      </c>
      <c r="G174" s="110" t="b">
        <f>IFERROR(__xludf.DUMMYFUNCTION("if(filter(Status!P:P,Status!C:C=A174)=TRUE,TRUE,FALSE)"),FALSE)</f>
        <v>0</v>
      </c>
    </row>
    <row r="175">
      <c r="A175" s="108" t="s">
        <v>1103</v>
      </c>
      <c r="B175" s="109">
        <v>76596.0</v>
      </c>
      <c r="C175" s="105"/>
      <c r="D175" s="10">
        <v>3.4</v>
      </c>
      <c r="E175" s="105"/>
      <c r="F175" s="105" t="b">
        <f>if(countif(Status!C:C,A175)=1,TRUE, FALSE)</f>
        <v>1</v>
      </c>
      <c r="G175" s="110" t="b">
        <f>IFERROR(__xludf.DUMMYFUNCTION("if(filter(Status!P:P,Status!C:C=A175)=TRUE,TRUE,FALSE)"),TRUE)</f>
        <v>1</v>
      </c>
    </row>
    <row r="176">
      <c r="A176" s="108" t="s">
        <v>1104</v>
      </c>
      <c r="B176" s="109">
        <v>76596.0</v>
      </c>
      <c r="C176" s="105"/>
      <c r="D176" s="10">
        <v>3.4</v>
      </c>
      <c r="E176" s="105"/>
      <c r="F176" s="105" t="b">
        <f>if(countif(Status!C:C,A176)=1,TRUE, FALSE)</f>
        <v>1</v>
      </c>
      <c r="G176" s="110" t="b">
        <f>IFERROR(__xludf.DUMMYFUNCTION("if(filter(Status!P:P,Status!C:C=A176)=TRUE,TRUE,FALSE)"),FALSE)</f>
        <v>0</v>
      </c>
    </row>
    <row r="177">
      <c r="A177" s="108" t="s">
        <v>1105</v>
      </c>
      <c r="B177" s="109">
        <v>76596.0</v>
      </c>
      <c r="C177" s="105"/>
      <c r="D177" s="10">
        <v>3.4</v>
      </c>
      <c r="E177" s="105"/>
      <c r="F177" s="105" t="b">
        <f>if(countif(Status!C:C,A177)=1,TRUE, FALSE)</f>
        <v>1</v>
      </c>
      <c r="G177" s="110" t="b">
        <f>IFERROR(__xludf.DUMMYFUNCTION("if(filter(Status!P:P,Status!C:C=A177)=TRUE,TRUE,FALSE)"),TRUE)</f>
        <v>1</v>
      </c>
    </row>
    <row r="178">
      <c r="A178" s="108" t="s">
        <v>1114</v>
      </c>
      <c r="B178" s="109">
        <v>76596.0</v>
      </c>
      <c r="C178" s="105"/>
      <c r="D178" s="10">
        <v>3.4</v>
      </c>
      <c r="E178" s="105"/>
      <c r="F178" s="105" t="b">
        <f>if(countif(Status!C:C,A178)=1,TRUE, FALSE)</f>
        <v>1</v>
      </c>
      <c r="G178" s="110" t="b">
        <f>IFERROR(__xludf.DUMMYFUNCTION("if(filter(Status!P:P,Status!C:C=A178)=TRUE,TRUE,FALSE)"),FALSE)</f>
        <v>0</v>
      </c>
    </row>
    <row r="179">
      <c r="A179" s="108" t="s">
        <v>1116</v>
      </c>
      <c r="B179" s="109">
        <v>76596.0</v>
      </c>
      <c r="C179" s="105"/>
      <c r="D179" s="10">
        <v>3.4</v>
      </c>
      <c r="E179" s="105"/>
      <c r="F179" s="105" t="b">
        <f>if(countif(Status!C:C,A179)=1,TRUE, FALSE)</f>
        <v>1</v>
      </c>
      <c r="G179" s="110" t="b">
        <f>IFERROR(__xludf.DUMMYFUNCTION("if(filter(Status!P:P,Status!C:C=A179)=TRUE,TRUE,FALSE)"),TRUE)</f>
        <v>1</v>
      </c>
    </row>
    <row r="180">
      <c r="A180" s="108" t="s">
        <v>1120</v>
      </c>
      <c r="B180" s="109">
        <v>76596.0</v>
      </c>
      <c r="C180" s="105"/>
      <c r="D180" s="10">
        <v>3.4</v>
      </c>
      <c r="E180" s="105"/>
      <c r="F180" s="105" t="b">
        <f>if(countif(Status!C:C,A180)=1,TRUE, FALSE)</f>
        <v>1</v>
      </c>
      <c r="G180" s="110" t="b">
        <f>IFERROR(__xludf.DUMMYFUNCTION("if(filter(Status!P:P,Status!C:C=A180)=TRUE,TRUE,FALSE)"),TRUE)</f>
        <v>1</v>
      </c>
    </row>
    <row r="181">
      <c r="A181" s="108" t="s">
        <v>1125</v>
      </c>
      <c r="B181" s="109">
        <v>76596.0</v>
      </c>
      <c r="C181" s="105"/>
      <c r="D181" s="10">
        <v>3.4</v>
      </c>
      <c r="E181" s="105"/>
      <c r="F181" s="105" t="b">
        <f>if(countif(Status!C:C,A181)=1,TRUE, FALSE)</f>
        <v>1</v>
      </c>
      <c r="G181" s="110" t="b">
        <f>IFERROR(__xludf.DUMMYFUNCTION("if(filter(Status!P:P,Status!C:C=A181)=TRUE,TRUE,FALSE)"),FALSE)</f>
        <v>0</v>
      </c>
    </row>
    <row r="182">
      <c r="A182" s="108" t="s">
        <v>1126</v>
      </c>
      <c r="B182" s="109">
        <v>76596.0</v>
      </c>
      <c r="C182" s="105"/>
      <c r="D182" s="10">
        <v>3.4</v>
      </c>
      <c r="E182" s="105"/>
      <c r="F182" s="105" t="b">
        <f>if(countif(Status!C:C,A182)=1,TRUE, FALSE)</f>
        <v>1</v>
      </c>
      <c r="G182" s="110" t="b">
        <f>IFERROR(__xludf.DUMMYFUNCTION("if(filter(Status!P:P,Status!C:C=A182)=TRUE,TRUE,FALSE)"),TRUE)</f>
        <v>1</v>
      </c>
    </row>
    <row r="183">
      <c r="A183" s="108" t="s">
        <v>1129</v>
      </c>
      <c r="B183" s="109">
        <v>76596.0</v>
      </c>
      <c r="C183" s="105"/>
      <c r="D183" s="10">
        <v>3.4</v>
      </c>
      <c r="E183" s="105"/>
      <c r="F183" s="105" t="b">
        <f>if(countif(Status!C:C,A183)=1,TRUE, FALSE)</f>
        <v>1</v>
      </c>
      <c r="G183" s="110" t="b">
        <f>IFERROR(__xludf.DUMMYFUNCTION("if(filter(Status!P:P,Status!C:C=A183)=TRUE,TRUE,FALSE)"),FALSE)</f>
        <v>0</v>
      </c>
    </row>
    <row r="184">
      <c r="A184" s="108" t="s">
        <v>1131</v>
      </c>
      <c r="B184" s="109">
        <v>76596.0</v>
      </c>
      <c r="C184" s="105"/>
      <c r="D184" s="10">
        <v>3.4</v>
      </c>
      <c r="E184" s="105"/>
      <c r="F184" s="105" t="b">
        <f>if(countif(Status!C:C,A184)=1,TRUE, FALSE)</f>
        <v>1</v>
      </c>
      <c r="G184" s="110" t="b">
        <f>IFERROR(__xludf.DUMMYFUNCTION("if(filter(Status!P:P,Status!C:C=A184)=TRUE,TRUE,FALSE)"),TRUE)</f>
        <v>1</v>
      </c>
    </row>
    <row r="185">
      <c r="A185" s="108" t="s">
        <v>1134</v>
      </c>
      <c r="B185" s="109">
        <v>76596.0</v>
      </c>
      <c r="C185" s="105"/>
      <c r="D185" s="10">
        <v>3.4</v>
      </c>
      <c r="E185" s="105"/>
      <c r="F185" s="105" t="b">
        <f>if(countif(Status!C:C,A185)=1,TRUE, FALSE)</f>
        <v>1</v>
      </c>
      <c r="G185" s="110" t="b">
        <f>IFERROR(__xludf.DUMMYFUNCTION("if(filter(Status!P:P,Status!C:C=A185)=TRUE,TRUE,FALSE)"),FALSE)</f>
        <v>0</v>
      </c>
    </row>
    <row r="186">
      <c r="A186" s="108" t="s">
        <v>1136</v>
      </c>
      <c r="B186" s="109">
        <v>76596.0</v>
      </c>
      <c r="C186" s="105"/>
      <c r="D186" s="10">
        <v>3.4</v>
      </c>
      <c r="E186" s="105"/>
      <c r="F186" s="105" t="b">
        <f>if(countif(Status!C:C,A186)=1,TRUE, FALSE)</f>
        <v>1</v>
      </c>
      <c r="G186" s="110" t="b">
        <f>IFERROR(__xludf.DUMMYFUNCTION("if(filter(Status!P:P,Status!C:C=A186)=TRUE,TRUE,FALSE)"),TRUE)</f>
        <v>1</v>
      </c>
    </row>
    <row r="187">
      <c r="A187" s="108" t="s">
        <v>1147</v>
      </c>
      <c r="B187" s="109">
        <v>43712.0</v>
      </c>
      <c r="C187" s="105"/>
      <c r="D187" s="10">
        <v>3.4</v>
      </c>
      <c r="E187" s="105"/>
      <c r="F187" s="105" t="b">
        <f>if(countif(Status!C:C,A187)=1,TRUE, FALSE)</f>
        <v>1</v>
      </c>
      <c r="G187" s="110" t="b">
        <f>IFERROR(__xludf.DUMMYFUNCTION("if(filter(Status!P:P,Status!C:C=A187)=TRUE,TRUE,FALSE)"),FALSE)</f>
        <v>0</v>
      </c>
    </row>
    <row r="188">
      <c r="A188" s="108" t="s">
        <v>1141</v>
      </c>
      <c r="B188" s="109">
        <v>43712.0</v>
      </c>
      <c r="C188" s="105"/>
      <c r="D188" s="10">
        <v>3.4</v>
      </c>
      <c r="E188" s="105"/>
      <c r="F188" s="105" t="b">
        <f>if(countif(Status!C:C,A188)=1,TRUE, FALSE)</f>
        <v>1</v>
      </c>
      <c r="G188" s="110" t="b">
        <f>IFERROR(__xludf.DUMMYFUNCTION("if(filter(Status!P:P,Status!C:C=A188)=TRUE,TRUE,FALSE)"),FALSE)</f>
        <v>0</v>
      </c>
    </row>
    <row r="189">
      <c r="A189" s="108" t="s">
        <v>1155</v>
      </c>
      <c r="B189" s="109">
        <v>43712.0</v>
      </c>
      <c r="C189" s="105"/>
      <c r="D189" s="10">
        <v>3.4</v>
      </c>
      <c r="E189" s="105"/>
      <c r="F189" s="105" t="b">
        <f>if(countif(Status!C:C,A189)=1,TRUE, FALSE)</f>
        <v>1</v>
      </c>
      <c r="G189" s="110" t="b">
        <f>IFERROR(__xludf.DUMMYFUNCTION("if(filter(Status!P:P,Status!C:C=A189)=TRUE,TRUE,FALSE)"),TRUE)</f>
        <v>1</v>
      </c>
    </row>
    <row r="190">
      <c r="A190" s="108" t="s">
        <v>1156</v>
      </c>
      <c r="B190" s="109">
        <v>43712.0</v>
      </c>
      <c r="C190" s="105"/>
      <c r="D190" s="10">
        <v>3.4</v>
      </c>
      <c r="E190" s="105"/>
      <c r="F190" s="105" t="b">
        <f>if(countif(Status!C:C,A190)=1,TRUE, FALSE)</f>
        <v>1</v>
      </c>
      <c r="G190" s="110" t="b">
        <f>IFERROR(__xludf.DUMMYFUNCTION("if(filter(Status!P:P,Status!C:C=A190)=TRUE,TRUE,FALSE)"),TRUE)</f>
        <v>1</v>
      </c>
    </row>
    <row r="191">
      <c r="A191" s="108" t="s">
        <v>1164</v>
      </c>
      <c r="B191" s="109">
        <v>43712.0</v>
      </c>
      <c r="C191" s="105"/>
      <c r="D191" s="10">
        <v>3.4</v>
      </c>
      <c r="E191" s="105"/>
      <c r="F191" s="105" t="b">
        <f>if(countif(Status!C:C,A191)=1,TRUE, FALSE)</f>
        <v>1</v>
      </c>
      <c r="G191" s="110" t="b">
        <f>IFERROR(__xludf.DUMMYFUNCTION("if(filter(Status!P:P,Status!C:C=A191)=TRUE,TRUE,FALSE)"),TRUE)</f>
        <v>1</v>
      </c>
    </row>
    <row r="192">
      <c r="A192" s="108" t="s">
        <v>1169</v>
      </c>
      <c r="B192" s="109">
        <v>43712.0</v>
      </c>
      <c r="C192" s="105"/>
      <c r="D192" s="10">
        <v>3.4</v>
      </c>
      <c r="E192" s="105"/>
      <c r="F192" s="105" t="b">
        <f>if(countif(Status!C:C,A192)=1,TRUE, FALSE)</f>
        <v>1</v>
      </c>
      <c r="G192" s="110" t="b">
        <f>IFERROR(__xludf.DUMMYFUNCTION("if(filter(Status!P:P,Status!C:C=A192)=TRUE,TRUE,FALSE)"),TRUE)</f>
        <v>1</v>
      </c>
    </row>
    <row r="193">
      <c r="A193" s="10" t="s">
        <v>1171</v>
      </c>
      <c r="B193" s="109">
        <v>43717.0</v>
      </c>
      <c r="C193" s="105"/>
      <c r="D193" s="10">
        <v>3.4</v>
      </c>
      <c r="E193" s="105"/>
      <c r="F193" s="105" t="b">
        <f>if(countif(Status!C:C,A193)=1,TRUE, FALSE)</f>
        <v>1</v>
      </c>
      <c r="G193" s="110" t="b">
        <f>IFERROR(__xludf.DUMMYFUNCTION("if(filter(Status!P:P,Status!C:C=A193)=TRUE,TRUE,FALSE)"),FALSE)</f>
        <v>0</v>
      </c>
      <c r="H193" s="1" t="s">
        <v>288</v>
      </c>
    </row>
    <row r="194">
      <c r="A194" s="108" t="s">
        <v>1174</v>
      </c>
      <c r="B194" s="109">
        <v>43712.0</v>
      </c>
      <c r="C194" s="105"/>
      <c r="D194" s="10">
        <v>3.4</v>
      </c>
      <c r="E194" s="105"/>
      <c r="F194" s="105" t="b">
        <f>if(countif(Status!C:C,A194)=1,TRUE, FALSE)</f>
        <v>1</v>
      </c>
      <c r="G194" s="110" t="b">
        <f>IFERROR(__xludf.DUMMYFUNCTION("if(filter(Status!P:P,Status!C:C=A194)=TRUE,TRUE,FALSE)"),TRUE)</f>
        <v>1</v>
      </c>
    </row>
    <row r="195">
      <c r="A195" s="108" t="s">
        <v>1175</v>
      </c>
      <c r="B195" s="109">
        <v>43717.0</v>
      </c>
      <c r="C195" s="105"/>
      <c r="D195" s="10">
        <v>3.4</v>
      </c>
      <c r="E195" s="105"/>
      <c r="F195" s="105" t="b">
        <f>if(countif(Status!C:C,A195)=1,TRUE, FALSE)</f>
        <v>1</v>
      </c>
      <c r="G195" s="110" t="b">
        <f>IFERROR(__xludf.DUMMYFUNCTION("if(filter(Status!P:P,Status!C:C=A195)=TRUE,TRUE,FALSE)"),TRUE)</f>
        <v>1</v>
      </c>
    </row>
    <row r="196">
      <c r="A196" s="108" t="s">
        <v>1178</v>
      </c>
      <c r="B196" s="109">
        <v>43712.0</v>
      </c>
      <c r="C196" s="105"/>
      <c r="D196" s="10">
        <v>3.4</v>
      </c>
      <c r="E196" s="105"/>
      <c r="F196" s="105" t="b">
        <f>if(countif(Status!C:C,A196)=1,TRUE, FALSE)</f>
        <v>1</v>
      </c>
      <c r="G196" s="110" t="b">
        <f>IFERROR(__xludf.DUMMYFUNCTION("if(filter(Status!P:P,Status!C:C=A196)=TRUE,TRUE,FALSE)"),TRUE)</f>
        <v>1</v>
      </c>
    </row>
    <row r="197">
      <c r="A197" s="108" t="s">
        <v>1180</v>
      </c>
      <c r="B197" s="109">
        <v>43717.0</v>
      </c>
      <c r="C197" s="105"/>
      <c r="D197" s="10">
        <v>3.4</v>
      </c>
      <c r="E197" s="105"/>
      <c r="F197" s="105" t="b">
        <f>if(countif(Status!C:C,A197)=1,TRUE, FALSE)</f>
        <v>1</v>
      </c>
      <c r="G197" s="110" t="b">
        <f>IFERROR(__xludf.DUMMYFUNCTION("if(filter(Status!P:P,Status!C:C=A197)=TRUE,TRUE,FALSE)"),TRUE)</f>
        <v>1</v>
      </c>
    </row>
    <row r="198">
      <c r="A198" s="108" t="s">
        <v>1186</v>
      </c>
      <c r="B198" s="109">
        <v>43712.0</v>
      </c>
      <c r="C198" s="105"/>
      <c r="D198" s="10">
        <v>3.4</v>
      </c>
      <c r="E198" s="105"/>
      <c r="F198" s="105" t="b">
        <f>if(countif(Status!C:C,A198)=1,TRUE, FALSE)</f>
        <v>1</v>
      </c>
      <c r="G198" s="110" t="b">
        <f>IFERROR(__xludf.DUMMYFUNCTION("if(filter(Status!P:P,Status!C:C=A198)=TRUE,TRUE,FALSE)"),FALSE)</f>
        <v>0</v>
      </c>
    </row>
    <row r="199">
      <c r="A199" s="108" t="s">
        <v>1200</v>
      </c>
      <c r="B199" s="109">
        <v>43717.0</v>
      </c>
      <c r="C199" s="105"/>
      <c r="D199" s="10">
        <v>3.4</v>
      </c>
      <c r="E199" s="105"/>
      <c r="F199" s="105" t="b">
        <f>if(countif(Status!C:C,A199)=1,TRUE, FALSE)</f>
        <v>1</v>
      </c>
      <c r="G199" s="110" t="b">
        <f>IFERROR(__xludf.DUMMYFUNCTION("if(filter(Status!P:P,Status!C:C=A199)=TRUE,TRUE,FALSE)"),FALSE)</f>
        <v>0</v>
      </c>
    </row>
    <row r="200">
      <c r="A200" s="108" t="s">
        <v>1202</v>
      </c>
      <c r="B200" s="109">
        <v>43717.0</v>
      </c>
      <c r="C200" s="105"/>
      <c r="D200" s="10">
        <v>3.4</v>
      </c>
      <c r="E200" s="105"/>
      <c r="F200" s="105" t="b">
        <f>if(countif(Status!C:C,A200)=1,TRUE, FALSE)</f>
        <v>1</v>
      </c>
      <c r="G200" s="110" t="b">
        <f>IFERROR(__xludf.DUMMYFUNCTION("if(filter(Status!P:P,Status!C:C=A200)=TRUE,TRUE,FALSE)"),TRUE)</f>
        <v>1</v>
      </c>
    </row>
    <row r="201">
      <c r="A201" s="108" t="s">
        <v>1195</v>
      </c>
      <c r="B201" s="109">
        <v>43717.0</v>
      </c>
      <c r="C201" s="105"/>
      <c r="D201" s="10">
        <v>3.4</v>
      </c>
      <c r="E201" s="105"/>
      <c r="F201" s="105" t="b">
        <f>if(countif(Status!C:C,A201)=1,TRUE, FALSE)</f>
        <v>1</v>
      </c>
      <c r="G201" s="110" t="b">
        <f>IFERROR(__xludf.DUMMYFUNCTION("if(filter(Status!P:P,Status!C:C=A201)=TRUE,TRUE,FALSE)"),FALSE)</f>
        <v>0</v>
      </c>
    </row>
    <row r="202">
      <c r="A202" s="108" t="s">
        <v>1196</v>
      </c>
      <c r="B202" s="109">
        <v>43717.0</v>
      </c>
      <c r="C202" s="105"/>
      <c r="D202" s="10">
        <v>3.4</v>
      </c>
      <c r="E202" s="105"/>
      <c r="F202" s="105" t="b">
        <f>if(countif(Status!C:C,A202)=1,TRUE, FALSE)</f>
        <v>1</v>
      </c>
      <c r="G202" s="110" t="b">
        <f>IFERROR(__xludf.DUMMYFUNCTION("if(filter(Status!P:P,Status!C:C=A202)=TRUE,TRUE,FALSE)"),TRUE)</f>
        <v>1</v>
      </c>
    </row>
    <row r="203">
      <c r="A203" s="108" t="s">
        <v>1212</v>
      </c>
      <c r="B203" s="109">
        <v>43717.0</v>
      </c>
      <c r="C203" s="105"/>
      <c r="D203" s="10">
        <v>3.4</v>
      </c>
      <c r="E203" s="105"/>
      <c r="F203" s="105" t="b">
        <f>if(countif(Status!C:C,A203)=1,TRUE, FALSE)</f>
        <v>1</v>
      </c>
      <c r="G203" s="110" t="b">
        <f>IFERROR(__xludf.DUMMYFUNCTION("if(filter(Status!P:P,Status!C:C=A203)=TRUE,TRUE,FALSE)"),FALSE)</f>
        <v>0</v>
      </c>
    </row>
    <row r="204">
      <c r="A204" s="108" t="s">
        <v>1214</v>
      </c>
      <c r="B204" s="109">
        <v>43717.0</v>
      </c>
      <c r="C204" s="105"/>
      <c r="D204" s="10">
        <v>3.4</v>
      </c>
      <c r="E204" s="105"/>
      <c r="F204" s="105" t="b">
        <f>if(countif(Status!C:C,A204)=1,TRUE, FALSE)</f>
        <v>1</v>
      </c>
      <c r="G204" s="110" t="b">
        <f>IFERROR(__xludf.DUMMYFUNCTION("if(filter(Status!P:P,Status!C:C=A204)=TRUE,TRUE,FALSE)"),TRUE)</f>
        <v>1</v>
      </c>
    </row>
    <row r="205">
      <c r="A205" s="108" t="s">
        <v>1217</v>
      </c>
      <c r="B205" s="109">
        <v>43717.0</v>
      </c>
      <c r="C205" s="105"/>
      <c r="D205" s="10">
        <v>3.4</v>
      </c>
      <c r="E205" s="105"/>
      <c r="F205" s="105" t="b">
        <f>if(countif(Status!C:C,A205)=1,TRUE, FALSE)</f>
        <v>1</v>
      </c>
      <c r="G205" s="110" t="b">
        <f>IFERROR(__xludf.DUMMYFUNCTION("if(filter(Status!P:P,Status!C:C=A205)=TRUE,TRUE,FALSE)"),TRUE)</f>
        <v>1</v>
      </c>
    </row>
    <row r="206">
      <c r="A206" s="108" t="s">
        <v>1218</v>
      </c>
      <c r="B206" s="109">
        <v>43717.0</v>
      </c>
      <c r="C206" s="105"/>
      <c r="D206" s="10">
        <v>3.4</v>
      </c>
      <c r="E206" s="105"/>
      <c r="F206" s="105" t="b">
        <f>if(countif(Status!C:C,A206)=1,TRUE, FALSE)</f>
        <v>1</v>
      </c>
      <c r="G206" s="110" t="b">
        <f>IFERROR(__xludf.DUMMYFUNCTION("if(filter(Status!P:P,Status!C:C=A206)=TRUE,TRUE,FALSE)"),TRUE)</f>
        <v>1</v>
      </c>
    </row>
    <row r="207">
      <c r="A207" s="108" t="s">
        <v>1222</v>
      </c>
      <c r="B207" s="109">
        <v>43717.0</v>
      </c>
      <c r="C207" s="105"/>
      <c r="D207" s="10">
        <v>3.4</v>
      </c>
      <c r="E207" s="105"/>
      <c r="F207" s="105" t="b">
        <f>if(countif(Status!C:C,A207)=1,TRUE, FALSE)</f>
        <v>1</v>
      </c>
      <c r="G207" s="110" t="b">
        <f>IFERROR(__xludf.DUMMYFUNCTION("if(filter(Status!P:P,Status!C:C=A207)=TRUE,TRUE,FALSE)"),TRUE)</f>
        <v>1</v>
      </c>
    </row>
    <row r="208">
      <c r="A208" s="108" t="s">
        <v>1224</v>
      </c>
      <c r="B208" s="109">
        <v>43717.0</v>
      </c>
      <c r="C208" s="105"/>
      <c r="D208" s="10">
        <v>3.4</v>
      </c>
      <c r="E208" s="105"/>
      <c r="F208" s="105" t="b">
        <f>if(countif(Status!C:C,A208)=1,TRUE, FALSE)</f>
        <v>1</v>
      </c>
      <c r="G208" s="110" t="b">
        <f>IFERROR(__xludf.DUMMYFUNCTION("if(filter(Status!P:P,Status!C:C=A208)=TRUE,TRUE,FALSE)"),TRUE)</f>
        <v>1</v>
      </c>
    </row>
    <row r="209">
      <c r="A209" s="10" t="s">
        <v>1208</v>
      </c>
      <c r="B209" s="109">
        <v>43717.0</v>
      </c>
      <c r="C209" s="105"/>
      <c r="D209" s="10">
        <v>3.4</v>
      </c>
      <c r="E209" s="105"/>
      <c r="F209" s="105" t="b">
        <f>if(countif(Status!C:C,A209)=1,TRUE, FALSE)</f>
        <v>1</v>
      </c>
      <c r="G209" s="110" t="b">
        <f>IFERROR(__xludf.DUMMYFUNCTION("if(filter(Status!P:P,Status!C:C=A209)=TRUE,TRUE,FALSE)"),FALSE)</f>
        <v>0</v>
      </c>
      <c r="H209" s="1" t="s">
        <v>288</v>
      </c>
    </row>
    <row r="210">
      <c r="A210" s="108" t="s">
        <v>1209</v>
      </c>
      <c r="B210" s="109">
        <v>43717.0</v>
      </c>
      <c r="C210" s="105"/>
      <c r="D210" s="10">
        <v>3.4</v>
      </c>
      <c r="E210" s="105"/>
      <c r="F210" s="105" t="b">
        <f>if(countif(Status!C:C,A210)=1,TRUE, FALSE)</f>
        <v>1</v>
      </c>
      <c r="G210" s="110" t="b">
        <f>IFERROR(__xludf.DUMMYFUNCTION("if(filter(Status!P:P,Status!C:C=A210)=TRUE,TRUE,FALSE)"),TRUE)</f>
        <v>1</v>
      </c>
    </row>
    <row r="211">
      <c r="A211" s="108" t="s">
        <v>1239</v>
      </c>
      <c r="B211" s="109">
        <v>76596.0</v>
      </c>
      <c r="C211" s="105"/>
      <c r="D211" s="10">
        <v>3.4</v>
      </c>
      <c r="E211" s="105"/>
      <c r="F211" s="105" t="b">
        <f>if(countif(Status!C:C,A211)=1,TRUE, FALSE)</f>
        <v>1</v>
      </c>
      <c r="G211" s="110" t="b">
        <f>IFERROR(__xludf.DUMMYFUNCTION("if(filter(Status!P:P,Status!C:C=A211)=TRUE,TRUE,FALSE)"),FALSE)</f>
        <v>0</v>
      </c>
    </row>
    <row r="212">
      <c r="A212" s="108" t="s">
        <v>1234</v>
      </c>
      <c r="B212" s="109">
        <v>76596.0</v>
      </c>
      <c r="C212" s="105"/>
      <c r="D212" s="10">
        <v>3.4</v>
      </c>
      <c r="E212" s="105"/>
      <c r="F212" s="105" t="b">
        <f>if(countif(Status!C:C,A212)=1,TRUE, FALSE)</f>
        <v>1</v>
      </c>
      <c r="G212" s="110" t="b">
        <f>IFERROR(__xludf.DUMMYFUNCTION("if(filter(Status!P:P,Status!C:C=A212)=TRUE,TRUE,FALSE)"),FALSE)</f>
        <v>0</v>
      </c>
    </row>
    <row r="213">
      <c r="A213" s="108" t="s">
        <v>1236</v>
      </c>
      <c r="B213" s="109">
        <v>76596.0</v>
      </c>
      <c r="C213" s="105"/>
      <c r="D213" s="10">
        <v>3.4</v>
      </c>
      <c r="E213" s="105"/>
      <c r="F213" s="105" t="b">
        <f>if(countif(Status!C:C,A213)=1,TRUE, FALSE)</f>
        <v>1</v>
      </c>
      <c r="G213" s="110" t="b">
        <f>IFERROR(__xludf.DUMMYFUNCTION("if(filter(Status!P:P,Status!C:C=A213)=TRUE,TRUE,FALSE)"),TRUE)</f>
        <v>1</v>
      </c>
    </row>
    <row r="214">
      <c r="A214" s="108" t="s">
        <v>1246</v>
      </c>
      <c r="B214" s="109">
        <v>76596.0</v>
      </c>
      <c r="C214" s="105"/>
      <c r="D214" s="10">
        <v>3.4</v>
      </c>
      <c r="E214" s="105"/>
      <c r="F214" s="105" t="b">
        <f>if(countif(Status!C:C,A214)=1,TRUE, FALSE)</f>
        <v>1</v>
      </c>
      <c r="G214" s="110" t="b">
        <f>IFERROR(__xludf.DUMMYFUNCTION("if(filter(Status!P:P,Status!C:C=A214)=TRUE,TRUE,FALSE)"),FALSE)</f>
        <v>0</v>
      </c>
    </row>
    <row r="215">
      <c r="A215" s="108" t="s">
        <v>1248</v>
      </c>
      <c r="B215" s="109">
        <v>76596.0</v>
      </c>
      <c r="C215" s="105"/>
      <c r="D215" s="10">
        <v>3.4</v>
      </c>
      <c r="E215" s="105"/>
      <c r="F215" s="105" t="b">
        <f>if(countif(Status!C:C,A215)=1,TRUE, FALSE)</f>
        <v>1</v>
      </c>
      <c r="G215" s="110" t="b">
        <f>IFERROR(__xludf.DUMMYFUNCTION("if(filter(Status!P:P,Status!C:C=A215)=TRUE,TRUE,FALSE)"),TRUE)</f>
        <v>1</v>
      </c>
    </row>
    <row r="216">
      <c r="A216" s="10" t="s">
        <v>1058</v>
      </c>
      <c r="B216" s="109">
        <v>43721.0</v>
      </c>
      <c r="C216" s="105"/>
      <c r="D216" s="10">
        <v>3.4</v>
      </c>
      <c r="E216" s="105"/>
      <c r="F216" s="105" t="b">
        <f>if(countif(Status!C:C,A216)=1,TRUE, FALSE)</f>
        <v>1</v>
      </c>
      <c r="G216" s="110" t="b">
        <f>IFERROR(__xludf.DUMMYFUNCTION("if(filter(Status!P:P,Status!C:C=A216)=TRUE,TRUE,FALSE)"),TRUE)</f>
        <v>1</v>
      </c>
      <c r="H216" s="1" t="s">
        <v>2161</v>
      </c>
    </row>
    <row r="217">
      <c r="A217" s="10" t="s">
        <v>1187</v>
      </c>
      <c r="B217" s="109">
        <v>43717.0</v>
      </c>
      <c r="C217" s="105"/>
      <c r="D217" s="10">
        <v>3.4</v>
      </c>
      <c r="E217" s="105"/>
      <c r="F217" s="105" t="b">
        <f>if(countif(Status!C:C,A217)=1,TRUE, FALSE)</f>
        <v>1</v>
      </c>
      <c r="G217" s="110" t="b">
        <f>IFERROR(__xludf.DUMMYFUNCTION("if(filter(Status!P:P,Status!C:C=A217)=TRUE,TRUE,FALSE)"),FALSE)</f>
        <v>0</v>
      </c>
      <c r="H217" s="1" t="s">
        <v>2161</v>
      </c>
    </row>
    <row r="218">
      <c r="A218" s="108" t="s">
        <v>537</v>
      </c>
      <c r="B218" s="109">
        <v>76596.0</v>
      </c>
      <c r="C218" s="105"/>
      <c r="D218" s="10">
        <v>3.4</v>
      </c>
      <c r="E218" s="105"/>
      <c r="F218" s="105" t="b">
        <f>if(countif(Status!C:C,A218)=1,TRUE, FALSE)</f>
        <v>1</v>
      </c>
      <c r="G218" s="110" t="b">
        <f>IFERROR(__xludf.DUMMYFUNCTION("if(filter(Status!P:P,Status!C:C=A218)=TRUE,TRUE,FALSE)"),TRUE)</f>
        <v>1</v>
      </c>
    </row>
    <row r="219">
      <c r="A219" s="108" t="s">
        <v>2162</v>
      </c>
      <c r="B219" s="109">
        <v>43721.0</v>
      </c>
      <c r="C219" s="105"/>
      <c r="D219" s="10">
        <v>3.4</v>
      </c>
      <c r="E219" s="105"/>
      <c r="F219" s="105" t="b">
        <f>if(countif(Status!C:C,A219)=1,TRUE, FALSE)</f>
        <v>0</v>
      </c>
      <c r="G219" s="110" t="str">
        <f>IFERROR(__xludf.DUMMYFUNCTION("if(filter(Status!P:P,Status!C:C=A219)=TRUE,TRUE,FALSE)"),"#N/A")</f>
        <v>#N/A</v>
      </c>
    </row>
    <row r="220">
      <c r="A220" s="108" t="s">
        <v>539</v>
      </c>
      <c r="B220" s="109">
        <v>76596.0</v>
      </c>
      <c r="C220" s="105"/>
      <c r="D220" s="10">
        <v>3.4</v>
      </c>
      <c r="E220" s="105"/>
      <c r="F220" s="105" t="b">
        <f>if(countif(Status!C:C,A220)=1,TRUE, FALSE)</f>
        <v>1</v>
      </c>
      <c r="G220" s="110" t="b">
        <f>IFERROR(__xludf.DUMMYFUNCTION("if(filter(Status!P:P,Status!C:C=A220)=TRUE,TRUE,FALSE)"),TRUE)</f>
        <v>1</v>
      </c>
    </row>
    <row r="221">
      <c r="A221" s="108" t="s">
        <v>2164</v>
      </c>
      <c r="B221" s="109">
        <v>43721.0</v>
      </c>
      <c r="C221" s="105"/>
      <c r="D221" s="10">
        <v>3.4</v>
      </c>
      <c r="E221" s="105"/>
      <c r="F221" s="105" t="b">
        <f>if(countif(Status!C:C,A221)=1,TRUE, FALSE)</f>
        <v>0</v>
      </c>
      <c r="G221" s="110" t="str">
        <f>IFERROR(__xludf.DUMMYFUNCTION("if(filter(Status!P:P,Status!C:C=A221)=TRUE,TRUE,FALSE)"),"#N/A")</f>
        <v>#N/A</v>
      </c>
    </row>
    <row r="222">
      <c r="A222" s="108" t="s">
        <v>543</v>
      </c>
      <c r="B222" s="109">
        <v>76596.0</v>
      </c>
      <c r="C222" s="105"/>
      <c r="D222" s="10">
        <v>3.4</v>
      </c>
      <c r="E222" s="105"/>
      <c r="F222" s="105" t="b">
        <f>if(countif(Status!C:C,A222)=1,TRUE, FALSE)</f>
        <v>1</v>
      </c>
      <c r="G222" s="110" t="b">
        <f>IFERROR(__xludf.DUMMYFUNCTION("if(filter(Status!P:P,Status!C:C=A222)=TRUE,TRUE,FALSE)"),TRUE)</f>
        <v>1</v>
      </c>
    </row>
    <row r="223">
      <c r="A223" s="108" t="s">
        <v>2165</v>
      </c>
      <c r="B223" s="109">
        <v>43721.0</v>
      </c>
      <c r="C223" s="105"/>
      <c r="D223" s="10">
        <v>3.4</v>
      </c>
      <c r="E223" s="105"/>
      <c r="F223" s="105" t="b">
        <f>if(countif(Status!C:C,A223)=1,TRUE, FALSE)</f>
        <v>0</v>
      </c>
      <c r="G223" s="110" t="str">
        <f>IFERROR(__xludf.DUMMYFUNCTION("if(filter(Status!P:P,Status!C:C=A223)=TRUE,TRUE,FALSE)"),"#N/A")</f>
        <v>#N/A</v>
      </c>
    </row>
    <row r="224">
      <c r="A224" s="108" t="s">
        <v>2166</v>
      </c>
      <c r="B224" s="109">
        <v>43721.0</v>
      </c>
      <c r="C224" s="105"/>
      <c r="D224" s="10">
        <v>3.4</v>
      </c>
      <c r="E224" s="105"/>
      <c r="F224" s="105" t="b">
        <f>if(countif(Status!C:C,A224)=1,TRUE, FALSE)</f>
        <v>0</v>
      </c>
      <c r="G224" s="110" t="str">
        <f>IFERROR(__xludf.DUMMYFUNCTION("if(filter(Status!P:P,Status!C:C=A224)=TRUE,TRUE,FALSE)"),"#N/A")</f>
        <v>#N/A</v>
      </c>
    </row>
    <row r="225">
      <c r="A225" s="108" t="s">
        <v>545</v>
      </c>
      <c r="B225" s="109">
        <v>76596.0</v>
      </c>
      <c r="C225" s="105"/>
      <c r="D225" s="10">
        <v>3.4</v>
      </c>
      <c r="E225" s="105"/>
      <c r="F225" s="105" t="b">
        <f>if(countif(Status!C:C,A225)=1,TRUE, FALSE)</f>
        <v>1</v>
      </c>
      <c r="G225" s="110" t="b">
        <f>IFERROR(__xludf.DUMMYFUNCTION("if(filter(Status!P:P,Status!C:C=A225)=TRUE,TRUE,FALSE)"),TRUE)</f>
        <v>1</v>
      </c>
    </row>
    <row r="226">
      <c r="A226" s="108" t="s">
        <v>2168</v>
      </c>
      <c r="B226" s="109">
        <v>43721.0</v>
      </c>
      <c r="C226" s="105"/>
      <c r="D226" s="10">
        <v>3.4</v>
      </c>
      <c r="E226" s="105"/>
      <c r="F226" s="105" t="b">
        <f>if(countif(Status!C:C,A226)=1,TRUE, FALSE)</f>
        <v>0</v>
      </c>
      <c r="G226" s="110" t="str">
        <f>IFERROR(__xludf.DUMMYFUNCTION("if(filter(Status!P:P,Status!C:C=A226)=TRUE,TRUE,FALSE)"),"#N/A")</f>
        <v>#N/A</v>
      </c>
    </row>
    <row r="227">
      <c r="A227" s="108" t="s">
        <v>548</v>
      </c>
      <c r="B227" s="109">
        <v>76596.0</v>
      </c>
      <c r="C227" s="105"/>
      <c r="D227" s="10">
        <v>3.4</v>
      </c>
      <c r="E227" s="105"/>
      <c r="F227" s="105" t="b">
        <f>if(countif(Status!C:C,A227)=1,TRUE, FALSE)</f>
        <v>1</v>
      </c>
      <c r="G227" s="110" t="b">
        <f>IFERROR(__xludf.DUMMYFUNCTION("if(filter(Status!P:P,Status!C:C=A227)=TRUE,TRUE,FALSE)"),TRUE)</f>
        <v>1</v>
      </c>
    </row>
    <row r="228">
      <c r="A228" s="108" t="s">
        <v>2169</v>
      </c>
      <c r="B228" s="109">
        <v>43721.0</v>
      </c>
      <c r="C228" s="105"/>
      <c r="D228" s="10">
        <v>3.4</v>
      </c>
      <c r="E228" s="105"/>
      <c r="F228" s="105" t="b">
        <f>if(countif(Status!C:C,A228)=1,TRUE, FALSE)</f>
        <v>0</v>
      </c>
      <c r="G228" s="110" t="str">
        <f>IFERROR(__xludf.DUMMYFUNCTION("if(filter(Status!P:P,Status!C:C=A228)=TRUE,TRUE,FALSE)"),"#N/A")</f>
        <v>#N/A</v>
      </c>
    </row>
    <row r="229">
      <c r="A229" s="108" t="s">
        <v>1048</v>
      </c>
      <c r="B229" s="109">
        <v>43721.0</v>
      </c>
      <c r="C229" s="105"/>
      <c r="D229" s="10">
        <v>3.4</v>
      </c>
      <c r="E229" s="105"/>
      <c r="F229" s="105" t="b">
        <f>if(countif(Status!C:C,A229)=1,TRUE, FALSE)</f>
        <v>1</v>
      </c>
      <c r="G229" s="110" t="b">
        <f>IFERROR(__xludf.DUMMYFUNCTION("if(filter(Status!P:P,Status!C:C=A229)=TRUE,TRUE,FALSE)"),TRUE)</f>
        <v>1</v>
      </c>
    </row>
    <row r="230">
      <c r="A230" s="108" t="s">
        <v>1074</v>
      </c>
      <c r="B230" s="109">
        <v>43721.0</v>
      </c>
      <c r="C230" s="105"/>
      <c r="D230" s="10">
        <v>3.4</v>
      </c>
      <c r="E230" s="105"/>
      <c r="F230" s="105" t="b">
        <f>if(countif(Status!C:C,A230)=1,TRUE, FALSE)</f>
        <v>1</v>
      </c>
      <c r="G230" s="110" t="b">
        <f>IFERROR(__xludf.DUMMYFUNCTION("if(filter(Status!P:P,Status!C:C=A230)=TRUE,TRUE,FALSE)"),TRUE)</f>
        <v>1</v>
      </c>
    </row>
    <row r="231">
      <c r="A231" s="108" t="s">
        <v>456</v>
      </c>
      <c r="B231" s="109">
        <v>43710.0</v>
      </c>
      <c r="C231" s="105"/>
      <c r="D231" s="10">
        <v>3.4</v>
      </c>
      <c r="E231" s="105"/>
      <c r="F231" s="105" t="b">
        <f>if(countif(Status!C:C,A231)=1,TRUE, FALSE)</f>
        <v>1</v>
      </c>
      <c r="G231" s="110" t="b">
        <f>IFERROR(__xludf.DUMMYFUNCTION("if(filter(Status!P:P,Status!C:C=A231)=TRUE,TRUE,FALSE)"),TRUE)</f>
        <v>1</v>
      </c>
    </row>
    <row r="232">
      <c r="A232" s="108" t="s">
        <v>1183</v>
      </c>
      <c r="B232" s="109">
        <v>43712.0</v>
      </c>
      <c r="C232" s="105"/>
      <c r="D232" s="10">
        <v>3.4</v>
      </c>
      <c r="E232" s="105"/>
      <c r="F232" s="105" t="b">
        <f>if(countif(Status!C:C,A232)=1,TRUE, FALSE)</f>
        <v>1</v>
      </c>
      <c r="G232" s="110" t="b">
        <f>IFERROR(__xludf.DUMMYFUNCTION("if(filter(Status!P:P,Status!C:C=A232)=TRUE,TRUE,FALSE)"),FALSE)</f>
        <v>0</v>
      </c>
    </row>
    <row r="233">
      <c r="A233" s="108" t="s">
        <v>1183</v>
      </c>
      <c r="B233" s="109">
        <v>43713.0</v>
      </c>
      <c r="C233" s="105"/>
      <c r="D233" s="10">
        <v>3.4</v>
      </c>
      <c r="E233" s="105"/>
      <c r="F233" s="105" t="b">
        <f>if(countif(Status!C:C,A233)=1,TRUE, FALSE)</f>
        <v>1</v>
      </c>
      <c r="G233" s="110" t="b">
        <f>IFERROR(__xludf.DUMMYFUNCTION("if(filter(Status!P:P,Status!C:C=A233)=TRUE,TRUE,FALSE)"),FALSE)</f>
        <v>0</v>
      </c>
    </row>
    <row r="234">
      <c r="A234" s="108" t="s">
        <v>1184</v>
      </c>
      <c r="B234" s="109">
        <v>43712.0</v>
      </c>
      <c r="C234" s="105"/>
      <c r="D234" s="10">
        <v>3.4</v>
      </c>
      <c r="E234" s="105"/>
      <c r="F234" s="105" t="b">
        <f>if(countif(Status!C:C,A234)=1,TRUE, FALSE)</f>
        <v>1</v>
      </c>
      <c r="G234" s="110" t="b">
        <f>IFERROR(__xludf.DUMMYFUNCTION("if(filter(Status!P:P,Status!C:C=A234)=TRUE,TRUE,FALSE)"),FALSE)</f>
        <v>0</v>
      </c>
    </row>
    <row r="235">
      <c r="A235" s="108" t="s">
        <v>1050</v>
      </c>
      <c r="B235" s="109">
        <v>43721.0</v>
      </c>
      <c r="C235" s="105"/>
      <c r="D235" s="10">
        <v>3.4</v>
      </c>
      <c r="E235" s="105"/>
      <c r="F235" s="105" t="b">
        <f>if(countif(Status!C:C,A235)=1,TRUE, FALSE)</f>
        <v>1</v>
      </c>
      <c r="G235" s="110" t="b">
        <f>IFERROR(__xludf.DUMMYFUNCTION("if(filter(Status!P:P,Status!C:C=A235)=TRUE,TRUE,FALSE)"),TRUE)</f>
        <v>1</v>
      </c>
    </row>
    <row r="236">
      <c r="A236" s="108" t="s">
        <v>1051</v>
      </c>
      <c r="B236" s="109">
        <v>43721.0</v>
      </c>
      <c r="C236" s="105"/>
      <c r="D236" s="10">
        <v>3.4</v>
      </c>
      <c r="E236" s="105"/>
      <c r="F236" s="105" t="b">
        <f>if(countif(Status!C:C,A236)=1,TRUE, FALSE)</f>
        <v>1</v>
      </c>
      <c r="G236" s="110" t="b">
        <f>IFERROR(__xludf.DUMMYFUNCTION("if(filter(Status!P:P,Status!C:C=A236)=TRUE,TRUE,FALSE)"),TRUE)</f>
        <v>1</v>
      </c>
    </row>
    <row r="237">
      <c r="A237" s="108" t="s">
        <v>1123</v>
      </c>
      <c r="B237" s="109">
        <v>76596.0</v>
      </c>
      <c r="C237" s="105"/>
      <c r="D237" s="10">
        <v>3.4</v>
      </c>
      <c r="E237" s="105"/>
      <c r="F237" s="105" t="b">
        <f>if(countif(Status!C:C,A237)=1,TRUE, FALSE)</f>
        <v>1</v>
      </c>
      <c r="G237" s="110" t="b">
        <f>IFERROR(__xludf.DUMMYFUNCTION("if(filter(Status!P:P,Status!C:C=A237)=TRUE,TRUE,FALSE)"),TRUE)</f>
        <v>1</v>
      </c>
    </row>
    <row r="238">
      <c r="A238" s="108" t="s">
        <v>907</v>
      </c>
      <c r="B238" s="109">
        <v>43712.0</v>
      </c>
      <c r="C238" s="105"/>
      <c r="D238" s="10">
        <v>3.4</v>
      </c>
      <c r="E238" s="105"/>
      <c r="F238" s="105" t="b">
        <f>if(countif(Status!C:C,A238)=1,TRUE, FALSE)</f>
        <v>1</v>
      </c>
      <c r="G238" s="110" t="b">
        <f>IFERROR(__xludf.DUMMYFUNCTION("if(filter(Status!P:P,Status!C:C=A238)=TRUE,TRUE,FALSE)"),TRUE)</f>
        <v>1</v>
      </c>
    </row>
    <row r="239">
      <c r="A239" s="108" t="s">
        <v>907</v>
      </c>
      <c r="B239" s="109">
        <v>43713.0</v>
      </c>
      <c r="C239" s="105"/>
      <c r="D239" s="10">
        <v>3.4</v>
      </c>
      <c r="E239" s="105"/>
      <c r="F239" s="105" t="b">
        <f>if(countif(Status!C:C,A239)=1,TRUE, FALSE)</f>
        <v>1</v>
      </c>
      <c r="G239" s="110" t="b">
        <f>IFERROR(__xludf.DUMMYFUNCTION("if(filter(Status!P:P,Status!C:C=A239)=TRUE,TRUE,FALSE)"),TRUE)</f>
        <v>1</v>
      </c>
    </row>
    <row r="240">
      <c r="A240" s="108" t="s">
        <v>909</v>
      </c>
      <c r="B240" s="109">
        <v>43712.0</v>
      </c>
      <c r="C240" s="105"/>
      <c r="D240" s="10">
        <v>3.4</v>
      </c>
      <c r="E240" s="105"/>
      <c r="F240" s="105" t="b">
        <f>if(countif(Status!C:C,A240)=1,TRUE, FALSE)</f>
        <v>1</v>
      </c>
      <c r="G240" s="110" t="b">
        <f>IFERROR(__xludf.DUMMYFUNCTION("if(filter(Status!P:P,Status!C:C=A240)=TRUE,TRUE,FALSE)"),TRUE)</f>
        <v>1</v>
      </c>
    </row>
    <row r="241">
      <c r="A241" s="108" t="s">
        <v>909</v>
      </c>
      <c r="B241" s="109">
        <v>43713.0</v>
      </c>
      <c r="C241" s="105"/>
      <c r="D241" s="10">
        <v>3.4</v>
      </c>
      <c r="E241" s="105"/>
      <c r="F241" s="105" t="b">
        <f>if(countif(Status!C:C,A241)=1,TRUE, FALSE)</f>
        <v>1</v>
      </c>
      <c r="G241" s="110" t="b">
        <f>IFERROR(__xludf.DUMMYFUNCTION("if(filter(Status!P:P,Status!C:C=A241)=TRUE,TRUE,FALSE)"),TRUE)</f>
        <v>1</v>
      </c>
    </row>
    <row r="242">
      <c r="A242" s="108" t="s">
        <v>953</v>
      </c>
      <c r="B242" s="109">
        <v>43712.0</v>
      </c>
      <c r="C242" s="105"/>
      <c r="D242" s="10">
        <v>3.4</v>
      </c>
      <c r="E242" s="105"/>
      <c r="F242" s="105" t="b">
        <f>if(countif(Status!C:C,A242)=1,TRUE, FALSE)</f>
        <v>1</v>
      </c>
      <c r="G242" s="110" t="b">
        <f>IFERROR(__xludf.DUMMYFUNCTION("if(filter(Status!P:P,Status!C:C=A242)=TRUE,TRUE,FALSE)"),TRUE)</f>
        <v>1</v>
      </c>
    </row>
    <row r="243">
      <c r="A243" s="108" t="s">
        <v>1087</v>
      </c>
      <c r="B243" s="109">
        <v>76596.0</v>
      </c>
      <c r="C243" s="105"/>
      <c r="D243" s="10">
        <v>3.4</v>
      </c>
      <c r="E243" s="105"/>
      <c r="F243" s="105" t="b">
        <f>if(countif(Status!C:C,A243)=1,TRUE, FALSE)</f>
        <v>1</v>
      </c>
      <c r="G243" s="110" t="b">
        <f>IFERROR(__xludf.DUMMYFUNCTION("if(filter(Status!P:P,Status!C:C=A243)=TRUE,TRUE,FALSE)"),TRUE)</f>
        <v>1</v>
      </c>
    </row>
    <row r="244">
      <c r="A244" s="108" t="s">
        <v>1144</v>
      </c>
      <c r="B244" s="109">
        <v>43705.0</v>
      </c>
      <c r="C244" s="105"/>
      <c r="D244" s="10">
        <v>3.4</v>
      </c>
      <c r="E244" s="105"/>
      <c r="F244" s="105" t="b">
        <f>if(countif(Status!C:C,A244)=1,TRUE, FALSE)</f>
        <v>1</v>
      </c>
      <c r="G244" s="110" t="b">
        <f>IFERROR(__xludf.DUMMYFUNCTION("if(filter(Status!P:P,Status!C:C=A244)=TRUE,TRUE,FALSE)"),FALSE)</f>
        <v>0</v>
      </c>
    </row>
    <row r="245">
      <c r="A245" s="108" t="s">
        <v>1146</v>
      </c>
      <c r="B245" s="109">
        <v>43705.0</v>
      </c>
      <c r="C245" s="105"/>
      <c r="D245" s="10">
        <v>3.4</v>
      </c>
      <c r="E245" s="105"/>
      <c r="F245" s="105" t="b">
        <f>if(countif(Status!C:C,A245)=1,TRUE, FALSE)</f>
        <v>1</v>
      </c>
      <c r="G245" s="110" t="b">
        <f>IFERROR(__xludf.DUMMYFUNCTION("if(filter(Status!P:P,Status!C:C=A245)=TRUE,TRUE,FALSE)"),FALSE)</f>
        <v>0</v>
      </c>
    </row>
    <row r="246">
      <c r="A246" s="108" t="s">
        <v>1198</v>
      </c>
      <c r="B246" s="109">
        <v>43717.0</v>
      </c>
      <c r="C246" s="105"/>
      <c r="D246" s="10">
        <v>3.4</v>
      </c>
      <c r="E246" s="105"/>
      <c r="F246" s="105" t="b">
        <f>if(countif(Status!C:C,A246)=1,TRUE, FALSE)</f>
        <v>1</v>
      </c>
      <c r="G246" s="110" t="b">
        <f>IFERROR(__xludf.DUMMYFUNCTION("if(filter(Status!P:P,Status!C:C=A246)=TRUE,TRUE,FALSE)"),TRUE)</f>
        <v>1</v>
      </c>
    </row>
    <row r="247">
      <c r="A247" s="108" t="s">
        <v>1199</v>
      </c>
      <c r="B247" s="109">
        <v>43717.0</v>
      </c>
      <c r="C247" s="105"/>
      <c r="D247" s="10">
        <v>3.4</v>
      </c>
      <c r="E247" s="105"/>
      <c r="F247" s="105" t="b">
        <f>if(countif(Status!C:C,A247)=1,TRUE, FALSE)</f>
        <v>1</v>
      </c>
      <c r="G247" s="110" t="b">
        <f>IFERROR(__xludf.DUMMYFUNCTION("if(filter(Status!P:P,Status!C:C=A247)=TRUE,TRUE,FALSE)"),TRUE)</f>
        <v>1</v>
      </c>
    </row>
    <row r="248">
      <c r="A248" s="108" t="s">
        <v>1211</v>
      </c>
      <c r="B248" s="109">
        <v>43717.0</v>
      </c>
      <c r="C248" s="105"/>
      <c r="D248" s="10">
        <v>3.4</v>
      </c>
      <c r="E248" s="105"/>
      <c r="F248" s="105" t="b">
        <f>if(countif(Status!C:C,A248)=1,TRUE, FALSE)</f>
        <v>1</v>
      </c>
      <c r="G248" s="110" t="b">
        <f>IFERROR(__xludf.DUMMYFUNCTION("if(filter(Status!P:P,Status!C:C=A248)=TRUE,TRUE,FALSE)"),FALSE)</f>
        <v>0</v>
      </c>
    </row>
    <row r="249">
      <c r="A249" s="111" t="s">
        <v>1055</v>
      </c>
      <c r="B249" s="109">
        <v>43721.0</v>
      </c>
      <c r="C249" s="105"/>
      <c r="D249" s="10">
        <v>3.4</v>
      </c>
      <c r="E249" s="105"/>
      <c r="F249" s="105" t="b">
        <f>if(countif(Status!C:C,A249)=1,TRUE, FALSE)</f>
        <v>1</v>
      </c>
      <c r="G249" s="110" t="b">
        <f>IFERROR(__xludf.DUMMYFUNCTION("if(filter(Status!P:P,Status!C:C=A249)=TRUE,TRUE,FALSE)"),TRUE)</f>
        <v>1</v>
      </c>
      <c r="H249" s="1" t="s">
        <v>288</v>
      </c>
    </row>
    <row r="250">
      <c r="A250" s="108" t="s">
        <v>409</v>
      </c>
      <c r="B250" s="109">
        <v>43712.0</v>
      </c>
      <c r="C250" s="105"/>
      <c r="D250" s="10">
        <v>3.4</v>
      </c>
      <c r="E250" s="105"/>
      <c r="F250" s="105" t="b">
        <f>if(countif(Status!C:C,A250)=1,TRUE, FALSE)</f>
        <v>1</v>
      </c>
      <c r="G250" s="110" t="b">
        <f>IFERROR(__xludf.DUMMYFUNCTION("if(filter(Status!P:P,Status!C:C=A250)=TRUE,TRUE,FALSE)"),TRUE)</f>
        <v>1</v>
      </c>
    </row>
    <row r="251">
      <c r="A251" s="108" t="s">
        <v>409</v>
      </c>
      <c r="B251" s="109">
        <v>43713.0</v>
      </c>
      <c r="C251" s="105"/>
      <c r="D251" s="10">
        <v>3.4</v>
      </c>
      <c r="E251" s="105"/>
      <c r="F251" s="105" t="b">
        <f>if(countif(Status!C:C,A251)=1,TRUE, FALSE)</f>
        <v>1</v>
      </c>
      <c r="G251" s="110" t="b">
        <f>IFERROR(__xludf.DUMMYFUNCTION("if(filter(Status!P:P,Status!C:C=A251)=TRUE,TRUE,FALSE)"),TRUE)</f>
        <v>1</v>
      </c>
    </row>
    <row r="252">
      <c r="A252" s="108" t="s">
        <v>507</v>
      </c>
      <c r="B252" s="109">
        <v>43712.0</v>
      </c>
      <c r="C252" s="105"/>
      <c r="D252" s="10">
        <v>3.4</v>
      </c>
      <c r="E252" s="105"/>
      <c r="F252" s="105" t="b">
        <f>if(countif(Status!C:C,A252)=1,TRUE, FALSE)</f>
        <v>1</v>
      </c>
      <c r="G252" s="110" t="b">
        <f>IFERROR(__xludf.DUMMYFUNCTION("if(filter(Status!P:P,Status!C:C=A252)=TRUE,TRUE,FALSE)"),FALSE)</f>
        <v>0</v>
      </c>
    </row>
    <row r="253">
      <c r="A253" s="108" t="s">
        <v>599</v>
      </c>
      <c r="B253" s="109">
        <v>43712.0</v>
      </c>
      <c r="C253" s="105"/>
      <c r="D253" s="10">
        <v>3.4</v>
      </c>
      <c r="E253" s="105"/>
      <c r="F253" s="105" t="b">
        <f>if(countif(Status!C:C,A253)=1,TRUE, FALSE)</f>
        <v>1</v>
      </c>
      <c r="G253" s="110" t="b">
        <f>IFERROR(__xludf.DUMMYFUNCTION("if(filter(Status!P:P,Status!C:C=A253)=TRUE,TRUE,FALSE)"),FALSE)</f>
        <v>0</v>
      </c>
    </row>
    <row r="254">
      <c r="A254" s="108" t="s">
        <v>615</v>
      </c>
      <c r="B254" s="109">
        <v>43712.0</v>
      </c>
      <c r="C254" s="105"/>
      <c r="D254" s="10">
        <v>3.4</v>
      </c>
      <c r="E254" s="105"/>
      <c r="F254" s="105" t="b">
        <f>if(countif(Status!C:C,A254)=1,TRUE, FALSE)</f>
        <v>1</v>
      </c>
      <c r="G254" s="110" t="b">
        <f>IFERROR(__xludf.DUMMYFUNCTION("if(filter(Status!P:P,Status!C:C=A254)=TRUE,TRUE,FALSE)"),FALSE)</f>
        <v>0</v>
      </c>
    </row>
    <row r="255">
      <c r="A255" s="108" t="s">
        <v>632</v>
      </c>
      <c r="B255" s="109">
        <v>43712.0</v>
      </c>
      <c r="C255" s="105"/>
      <c r="D255" s="10">
        <v>3.4</v>
      </c>
      <c r="E255" s="105"/>
      <c r="F255" s="105" t="b">
        <f>if(countif(Status!C:C,A255)=1,TRUE, FALSE)</f>
        <v>1</v>
      </c>
      <c r="G255" s="110" t="b">
        <f>IFERROR(__xludf.DUMMYFUNCTION("if(filter(Status!P:P,Status!C:C=A255)=TRUE,TRUE,FALSE)"),TRUE)</f>
        <v>1</v>
      </c>
    </row>
    <row r="256">
      <c r="A256" s="108" t="s">
        <v>1128</v>
      </c>
      <c r="B256" s="109">
        <v>76596.0</v>
      </c>
      <c r="C256" s="105"/>
      <c r="D256" s="10">
        <v>3.4</v>
      </c>
      <c r="E256" s="105"/>
      <c r="F256" s="105" t="b">
        <f>if(countif(Status!C:C,A256)=1,TRUE, FALSE)</f>
        <v>1</v>
      </c>
      <c r="G256" s="110" t="b">
        <f>IFERROR(__xludf.DUMMYFUNCTION("if(filter(Status!P:P,Status!C:C=A256)=TRUE,TRUE,FALSE)"),TRUE)</f>
        <v>1</v>
      </c>
    </row>
    <row r="257">
      <c r="A257" s="108" t="s">
        <v>1219</v>
      </c>
      <c r="B257" s="109">
        <v>43717.0</v>
      </c>
      <c r="C257" s="105"/>
      <c r="D257" s="10">
        <v>3.4</v>
      </c>
      <c r="E257" s="105"/>
      <c r="F257" s="105" t="b">
        <f>if(countif(Status!C:C,A257)=1,TRUE, FALSE)</f>
        <v>1</v>
      </c>
      <c r="G257" s="110" t="b">
        <f>IFERROR(__xludf.DUMMYFUNCTION("if(filter(Status!P:P,Status!C:C=A257)=TRUE,TRUE,FALSE)"),TRUE)</f>
        <v>1</v>
      </c>
    </row>
    <row r="258">
      <c r="A258" s="108" t="s">
        <v>1221</v>
      </c>
      <c r="B258" s="109">
        <v>43717.0</v>
      </c>
      <c r="C258" s="105"/>
      <c r="D258" s="10">
        <v>3.4</v>
      </c>
      <c r="E258" s="105"/>
      <c r="F258" s="105" t="b">
        <f>if(countif(Status!C:C,A258)=1,TRUE, FALSE)</f>
        <v>1</v>
      </c>
      <c r="G258" s="110" t="b">
        <f>IFERROR(__xludf.DUMMYFUNCTION("if(filter(Status!P:P,Status!C:C=A258)=TRUE,TRUE,FALSE)"),TRUE)</f>
        <v>1</v>
      </c>
    </row>
    <row r="259">
      <c r="A259" s="108" t="s">
        <v>415</v>
      </c>
      <c r="B259" s="109">
        <v>43712.0</v>
      </c>
      <c r="C259" s="105"/>
      <c r="D259" s="10">
        <v>3.4</v>
      </c>
      <c r="E259" s="105"/>
      <c r="F259" s="105" t="b">
        <f>if(countif(Status!C:C,A259)=1,TRUE, FALSE)</f>
        <v>1</v>
      </c>
      <c r="G259" s="110" t="b">
        <f>IFERROR(__xludf.DUMMYFUNCTION("if(filter(Status!P:P,Status!C:C=A259)=TRUE,TRUE,FALSE)"),TRUE)</f>
        <v>1</v>
      </c>
    </row>
    <row r="260">
      <c r="A260" s="108" t="s">
        <v>448</v>
      </c>
      <c r="B260" s="109">
        <v>43712.0</v>
      </c>
      <c r="C260" s="105"/>
      <c r="D260" s="10">
        <v>3.4</v>
      </c>
      <c r="E260" s="105"/>
      <c r="F260" s="105" t="b">
        <f>if(countif(Status!C:C,A260)=1,TRUE, FALSE)</f>
        <v>1</v>
      </c>
      <c r="G260" s="110" t="b">
        <f>IFERROR(__xludf.DUMMYFUNCTION("if(filter(Status!P:P,Status!C:C=A260)=TRUE,TRUE,FALSE)"),TRUE)</f>
        <v>1</v>
      </c>
    </row>
    <row r="261">
      <c r="A261" s="108" t="s">
        <v>488</v>
      </c>
      <c r="B261" s="109">
        <v>43717.0</v>
      </c>
      <c r="C261" s="105"/>
      <c r="D261" s="10">
        <v>3.4</v>
      </c>
      <c r="E261" s="105"/>
      <c r="F261" s="105" t="b">
        <f>if(countif(Status!C:C,A261)=1,TRUE, FALSE)</f>
        <v>1</v>
      </c>
      <c r="G261" s="110" t="b">
        <f>IFERROR(__xludf.DUMMYFUNCTION("if(filter(Status!P:P,Status!C:C=A261)=TRUE,TRUE,FALSE)"),TRUE)</f>
        <v>1</v>
      </c>
    </row>
    <row r="262">
      <c r="A262" s="108" t="s">
        <v>489</v>
      </c>
      <c r="B262" s="109">
        <v>43717.0</v>
      </c>
      <c r="C262" s="105"/>
      <c r="D262" s="10">
        <v>3.4</v>
      </c>
      <c r="E262" s="105"/>
      <c r="F262" s="105" t="b">
        <f>if(countif(Status!C:C,A262)=1,TRUE, FALSE)</f>
        <v>1</v>
      </c>
      <c r="G262" s="110" t="b">
        <f>IFERROR(__xludf.DUMMYFUNCTION("if(filter(Status!P:P,Status!C:C=A262)=TRUE,TRUE,FALSE)"),FALSE)</f>
        <v>0</v>
      </c>
    </row>
    <row r="263">
      <c r="A263" s="108" t="s">
        <v>1159</v>
      </c>
      <c r="B263" s="109">
        <v>43712.0</v>
      </c>
      <c r="C263" s="105"/>
      <c r="D263" s="10">
        <v>3.4</v>
      </c>
      <c r="E263" s="105"/>
      <c r="F263" s="105" t="b">
        <f>if(countif(Status!C:C,A263)=1,TRUE, FALSE)</f>
        <v>1</v>
      </c>
      <c r="G263" s="110" t="b">
        <f>IFERROR(__xludf.DUMMYFUNCTION("if(filter(Status!P:P,Status!C:C=A263)=TRUE,TRUE,FALSE)"),TRUE)</f>
        <v>1</v>
      </c>
    </row>
    <row r="264">
      <c r="A264" s="108" t="s">
        <v>1159</v>
      </c>
      <c r="B264" s="109">
        <v>43713.0</v>
      </c>
      <c r="C264" s="105"/>
      <c r="D264" s="10">
        <v>3.4</v>
      </c>
      <c r="E264" s="105"/>
      <c r="F264" s="105" t="b">
        <f>if(countif(Status!C:C,A264)=1,TRUE, FALSE)</f>
        <v>1</v>
      </c>
      <c r="G264" s="110" t="b">
        <f>IFERROR(__xludf.DUMMYFUNCTION("if(filter(Status!P:P,Status!C:C=A264)=TRUE,TRUE,FALSE)"),TRUE)</f>
        <v>1</v>
      </c>
    </row>
    <row r="265">
      <c r="A265" s="108" t="s">
        <v>1225</v>
      </c>
      <c r="B265" s="109">
        <v>76596.0</v>
      </c>
      <c r="C265" s="105"/>
      <c r="D265" s="10">
        <v>3.4</v>
      </c>
      <c r="E265" s="105"/>
      <c r="F265" s="105" t="b">
        <f>if(countif(Status!C:C,A265)=1,TRUE, FALSE)</f>
        <v>1</v>
      </c>
      <c r="G265" s="110" t="b">
        <f>IFERROR(__xludf.DUMMYFUNCTION("if(filter(Status!P:P,Status!C:C=A265)=TRUE,TRUE,FALSE)"),TRUE)</f>
        <v>1</v>
      </c>
    </row>
    <row r="266">
      <c r="A266" s="108" t="s">
        <v>1227</v>
      </c>
      <c r="B266" s="109">
        <v>76596.0</v>
      </c>
      <c r="C266" s="105"/>
      <c r="D266" s="10">
        <v>3.4</v>
      </c>
      <c r="E266" s="105"/>
      <c r="F266" s="105" t="b">
        <f>if(countif(Status!C:C,A266)=1,TRUE, FALSE)</f>
        <v>1</v>
      </c>
      <c r="G266" s="110" t="b">
        <f>IFERROR(__xludf.DUMMYFUNCTION("if(filter(Status!P:P,Status!C:C=A266)=TRUE,TRUE,FALSE)"),FALSE)</f>
        <v>0</v>
      </c>
    </row>
    <row r="267">
      <c r="A267" s="108" t="s">
        <v>1228</v>
      </c>
      <c r="B267" s="109">
        <v>43717.0</v>
      </c>
      <c r="C267" s="105"/>
      <c r="D267" s="10">
        <v>3.4</v>
      </c>
      <c r="E267" s="105"/>
      <c r="F267" s="105" t="b">
        <f>if(countif(Status!C:C,A267)=1,TRUE, FALSE)</f>
        <v>1</v>
      </c>
      <c r="G267" s="110" t="b">
        <f>IFERROR(__xludf.DUMMYFUNCTION("if(filter(Status!P:P,Status!C:C=A267)=TRUE,TRUE,FALSE)"),FALSE)</f>
        <v>0</v>
      </c>
    </row>
    <row r="268">
      <c r="A268" s="108" t="s">
        <v>1006</v>
      </c>
      <c r="B268" s="109">
        <v>76596.0</v>
      </c>
      <c r="C268" s="105"/>
      <c r="D268" s="10">
        <v>3.4</v>
      </c>
      <c r="E268" s="105"/>
      <c r="F268" s="105" t="b">
        <f>if(countif(Status!C:C,A268)=1,TRUE, FALSE)</f>
        <v>1</v>
      </c>
      <c r="G268" s="110" t="b">
        <f>IFERROR(__xludf.DUMMYFUNCTION("if(filter(Status!P:P,Status!C:C=A268)=TRUE,TRUE,FALSE)"),FALSE)</f>
        <v>0</v>
      </c>
    </row>
    <row r="269">
      <c r="A269" s="108" t="s">
        <v>1008</v>
      </c>
      <c r="B269" s="109">
        <v>76596.0</v>
      </c>
      <c r="C269" s="105"/>
      <c r="D269" s="10">
        <v>3.4</v>
      </c>
      <c r="E269" s="105"/>
      <c r="F269" s="105" t="b">
        <f>if(countif(Status!C:C,A269)=1,TRUE, FALSE)</f>
        <v>1</v>
      </c>
      <c r="G269" s="110" t="b">
        <f>IFERROR(__xludf.DUMMYFUNCTION("if(filter(Status!P:P,Status!C:C=A269)=TRUE,TRUE,FALSE)"),FALSE)</f>
        <v>0</v>
      </c>
    </row>
    <row r="270">
      <c r="A270" s="108" t="s">
        <v>1092</v>
      </c>
      <c r="B270" s="109">
        <v>43721.0</v>
      </c>
      <c r="C270" s="105"/>
      <c r="D270" s="10">
        <v>3.4</v>
      </c>
      <c r="E270" s="105"/>
      <c r="F270" s="105" t="b">
        <f>if(countif(Status!C:C,A270)=1,TRUE, FALSE)</f>
        <v>1</v>
      </c>
      <c r="G270" s="110" t="b">
        <f>IFERROR(__xludf.DUMMYFUNCTION("if(filter(Status!P:P,Status!C:C=A270)=TRUE,TRUE,FALSE)"),TRUE)</f>
        <v>1</v>
      </c>
    </row>
    <row r="271">
      <c r="A271" s="108" t="s">
        <v>1172</v>
      </c>
      <c r="B271" s="109">
        <v>43712.0</v>
      </c>
      <c r="C271" s="105"/>
      <c r="D271" s="10">
        <v>3.4</v>
      </c>
      <c r="E271" s="105"/>
      <c r="F271" s="105" t="b">
        <f>if(countif(Status!C:C,A271)=1,TRUE, FALSE)</f>
        <v>1</v>
      </c>
      <c r="G271" s="110" t="b">
        <f>IFERROR(__xludf.DUMMYFUNCTION("if(filter(Status!P:P,Status!C:C=A271)=TRUE,TRUE,FALSE)"),TRUE)</f>
        <v>1</v>
      </c>
    </row>
    <row r="272">
      <c r="A272" s="108" t="s">
        <v>450</v>
      </c>
      <c r="B272" s="109">
        <v>43713.0</v>
      </c>
      <c r="C272" s="105"/>
      <c r="D272" s="10">
        <v>3.4</v>
      </c>
      <c r="E272" s="105"/>
      <c r="F272" s="105" t="b">
        <f>if(countif(Status!C:C,A272)=1,TRUE, FALSE)</f>
        <v>1</v>
      </c>
      <c r="G272" s="110" t="b">
        <f>IFERROR(__xludf.DUMMYFUNCTION("if(filter(Status!P:P,Status!C:C=A272)=TRUE,TRUE,FALSE)"),TRUE)</f>
        <v>1</v>
      </c>
    </row>
    <row r="273">
      <c r="A273" s="108" t="s">
        <v>493</v>
      </c>
      <c r="B273" s="109">
        <v>43717.0</v>
      </c>
      <c r="C273" s="105"/>
      <c r="D273" s="10">
        <v>3.4</v>
      </c>
      <c r="E273" s="105"/>
      <c r="F273" s="105" t="b">
        <f>if(countif(Status!C:C,A273)=1,TRUE, FALSE)</f>
        <v>1</v>
      </c>
      <c r="G273" s="110" t="b">
        <f>IFERROR(__xludf.DUMMYFUNCTION("if(filter(Status!P:P,Status!C:C=A273)=TRUE,TRUE,FALSE)"),FALSE)</f>
        <v>0</v>
      </c>
    </row>
    <row r="274">
      <c r="A274" s="108" t="s">
        <v>1093</v>
      </c>
      <c r="B274" s="109">
        <v>43721.0</v>
      </c>
      <c r="C274" s="105"/>
      <c r="D274" s="10">
        <v>3.4</v>
      </c>
      <c r="E274" s="105"/>
      <c r="F274" s="105" t="b">
        <f>if(countif(Status!C:C,A274)=1,TRUE, FALSE)</f>
        <v>1</v>
      </c>
      <c r="G274" s="110" t="b">
        <f>IFERROR(__xludf.DUMMYFUNCTION("if(filter(Status!P:P,Status!C:C=A274)=TRUE,TRUE,FALSE)"),TRUE)</f>
        <v>1</v>
      </c>
    </row>
    <row r="275">
      <c r="A275" s="108" t="s">
        <v>1137</v>
      </c>
      <c r="B275" s="109">
        <v>43705.0</v>
      </c>
      <c r="C275" s="105"/>
      <c r="D275" s="10">
        <v>3.4</v>
      </c>
      <c r="E275" s="105"/>
      <c r="F275" s="105" t="b">
        <f>if(countif(Status!C:C,A275)=1,TRUE, FALSE)</f>
        <v>1</v>
      </c>
      <c r="G275" s="110" t="b">
        <f>IFERROR(__xludf.DUMMYFUNCTION("if(filter(Status!P:P,Status!C:C=A275)=TRUE,TRUE,FALSE)"),FALSE)</f>
        <v>0</v>
      </c>
    </row>
    <row r="276">
      <c r="A276" s="108" t="s">
        <v>1137</v>
      </c>
      <c r="B276" s="109">
        <v>43710.0</v>
      </c>
      <c r="C276" s="105"/>
      <c r="D276" s="10">
        <v>3.4</v>
      </c>
      <c r="E276" s="105"/>
      <c r="F276" s="105" t="b">
        <f>if(countif(Status!C:C,A276)=1,TRUE, FALSE)</f>
        <v>1</v>
      </c>
      <c r="G276" s="110" t="b">
        <f>IFERROR(__xludf.DUMMYFUNCTION("if(filter(Status!P:P,Status!C:C=A276)=TRUE,TRUE,FALSE)"),FALSE)</f>
        <v>0</v>
      </c>
    </row>
    <row r="277">
      <c r="A277" s="108" t="s">
        <v>1150</v>
      </c>
      <c r="B277" s="109">
        <v>43710.0</v>
      </c>
      <c r="C277" s="105"/>
      <c r="D277" s="10">
        <v>3.4</v>
      </c>
      <c r="E277" s="105"/>
      <c r="F277" s="105" t="b">
        <f>if(countif(Status!C:C,A277)=1,TRUE, FALSE)</f>
        <v>1</v>
      </c>
      <c r="G277" s="110" t="b">
        <f>IFERROR(__xludf.DUMMYFUNCTION("if(filter(Status!P:P,Status!C:C=A277)=TRUE,TRUE,FALSE)"),FALSE)</f>
        <v>0</v>
      </c>
    </row>
    <row r="278">
      <c r="A278" s="108" t="s">
        <v>1189</v>
      </c>
      <c r="B278" s="109">
        <v>43713.0</v>
      </c>
      <c r="C278" s="105"/>
      <c r="D278" s="10">
        <v>3.4</v>
      </c>
      <c r="E278" s="105"/>
      <c r="F278" s="105" t="b">
        <f>if(countif(Status!C:C,A278)=1,TRUE, FALSE)</f>
        <v>1</v>
      </c>
      <c r="G278" s="110" t="b">
        <f>IFERROR(__xludf.DUMMYFUNCTION("if(filter(Status!P:P,Status!C:C=A278)=TRUE,TRUE,FALSE)"),TRUE)</f>
        <v>1</v>
      </c>
    </row>
    <row r="279">
      <c r="A279" s="108" t="s">
        <v>1203</v>
      </c>
      <c r="B279" s="109">
        <v>43717.0</v>
      </c>
      <c r="C279" s="105"/>
      <c r="D279" s="10">
        <v>3.4</v>
      </c>
      <c r="E279" s="105"/>
      <c r="F279" s="105" t="b">
        <f>if(countif(Status!C:C,A279)=1,TRUE, FALSE)</f>
        <v>1</v>
      </c>
      <c r="G279" s="110" t="b">
        <f>IFERROR(__xludf.DUMMYFUNCTION("if(filter(Status!P:P,Status!C:C=A279)=TRUE,TRUE,FALSE)"),TRUE)</f>
        <v>1</v>
      </c>
    </row>
    <row r="280">
      <c r="A280" s="108" t="s">
        <v>827</v>
      </c>
      <c r="B280" s="109">
        <v>43717.0</v>
      </c>
      <c r="C280" s="105"/>
      <c r="D280" s="10">
        <v>3.4</v>
      </c>
      <c r="E280" s="105"/>
      <c r="F280" s="105" t="b">
        <f>if(countif(Status!C:C,A280)=1,TRUE, FALSE)</f>
        <v>1</v>
      </c>
      <c r="G280" s="110" t="b">
        <f>IFERROR(__xludf.DUMMYFUNCTION("if(filter(Status!P:P,Status!C:C=A280)=TRUE,TRUE,FALSE)"),FALSE)</f>
        <v>0</v>
      </c>
    </row>
    <row r="281">
      <c r="A281" s="108" t="s">
        <v>839</v>
      </c>
      <c r="B281" s="109">
        <v>43717.0</v>
      </c>
      <c r="C281" s="105"/>
      <c r="D281" s="10">
        <v>3.4</v>
      </c>
      <c r="E281" s="105"/>
      <c r="F281" s="105" t="b">
        <f>if(countif(Status!C:C,A281)=1,TRUE, FALSE)</f>
        <v>1</v>
      </c>
      <c r="G281" s="110" t="b">
        <f>IFERROR(__xludf.DUMMYFUNCTION("if(filter(Status!P:P,Status!C:C=A281)=TRUE,TRUE,FALSE)"),FALSE)</f>
        <v>0</v>
      </c>
    </row>
    <row r="282">
      <c r="A282" s="108" t="s">
        <v>843</v>
      </c>
      <c r="B282" s="109">
        <v>43717.0</v>
      </c>
      <c r="C282" s="105"/>
      <c r="D282" s="10">
        <v>3.4</v>
      </c>
      <c r="E282" s="105"/>
      <c r="F282" s="105" t="b">
        <f>if(countif(Status!C:C,A282)=1,TRUE, FALSE)</f>
        <v>1</v>
      </c>
      <c r="G282" s="110" t="b">
        <f>IFERROR(__xludf.DUMMYFUNCTION("if(filter(Status!P:P,Status!C:C=A282)=TRUE,TRUE,FALSE)"),FALSE)</f>
        <v>0</v>
      </c>
    </row>
    <row r="283">
      <c r="A283" s="108" t="s">
        <v>854</v>
      </c>
      <c r="B283" s="109">
        <v>43717.0</v>
      </c>
      <c r="C283" s="105"/>
      <c r="D283" s="10">
        <v>3.4</v>
      </c>
      <c r="E283" s="105"/>
      <c r="F283" s="105" t="b">
        <f>if(countif(Status!C:C,A283)=1,TRUE, FALSE)</f>
        <v>1</v>
      </c>
      <c r="G283" s="110" t="b">
        <f>IFERROR(__xludf.DUMMYFUNCTION("if(filter(Status!P:P,Status!C:C=A283)=TRUE,TRUE,FALSE)"),FALSE)</f>
        <v>0</v>
      </c>
    </row>
    <row r="284">
      <c r="A284" s="108" t="s">
        <v>864</v>
      </c>
      <c r="B284" s="109">
        <v>43717.0</v>
      </c>
      <c r="C284" s="105"/>
      <c r="D284" s="10">
        <v>3.4</v>
      </c>
      <c r="E284" s="105"/>
      <c r="F284" s="105" t="b">
        <f>if(countif(Status!C:C,A284)=1,TRUE, FALSE)</f>
        <v>1</v>
      </c>
      <c r="G284" s="110" t="b">
        <f>IFERROR(__xludf.DUMMYFUNCTION("if(filter(Status!P:P,Status!C:C=A284)=TRUE,TRUE,FALSE)"),FALSE)</f>
        <v>0</v>
      </c>
    </row>
    <row r="285">
      <c r="A285" s="108" t="s">
        <v>877</v>
      </c>
      <c r="B285" s="109">
        <v>43717.0</v>
      </c>
      <c r="C285" s="105"/>
      <c r="D285" s="10">
        <v>3.4</v>
      </c>
      <c r="E285" s="105"/>
      <c r="F285" s="105" t="b">
        <f>if(countif(Status!C:C,A285)=1,TRUE, FALSE)</f>
        <v>1</v>
      </c>
      <c r="G285" s="110" t="b">
        <f>IFERROR(__xludf.DUMMYFUNCTION("if(filter(Status!P:P,Status!C:C=A285)=TRUE,TRUE,FALSE)"),FALSE)</f>
        <v>0</v>
      </c>
    </row>
    <row r="286">
      <c r="A286" s="108" t="s">
        <v>888</v>
      </c>
      <c r="B286" s="109">
        <v>43717.0</v>
      </c>
      <c r="C286" s="105"/>
      <c r="D286" s="10">
        <v>3.4</v>
      </c>
      <c r="E286" s="105"/>
      <c r="F286" s="105" t="b">
        <f>if(countif(Status!C:C,A286)=1,TRUE, FALSE)</f>
        <v>1</v>
      </c>
      <c r="G286" s="110" t="b">
        <f>IFERROR(__xludf.DUMMYFUNCTION("if(filter(Status!P:P,Status!C:C=A286)=TRUE,TRUE,FALSE)"),FALSE)</f>
        <v>0</v>
      </c>
    </row>
    <row r="287">
      <c r="A287" s="108" t="s">
        <v>1065</v>
      </c>
      <c r="B287" s="109">
        <v>43721.0</v>
      </c>
      <c r="C287" s="105"/>
      <c r="D287" s="10">
        <v>3.4</v>
      </c>
      <c r="E287" s="105"/>
      <c r="F287" s="105" t="b">
        <f>if(countif(Status!C:C,A287)=1,TRUE, FALSE)</f>
        <v>1</v>
      </c>
      <c r="G287" s="110" t="b">
        <f>IFERROR(__xludf.DUMMYFUNCTION("if(filter(Status!P:P,Status!C:C=A287)=TRUE,TRUE,FALSE)"),FALSE)</f>
        <v>0</v>
      </c>
    </row>
    <row r="288">
      <c r="A288" s="112" t="s">
        <v>442</v>
      </c>
      <c r="B288" s="109">
        <v>43710.0</v>
      </c>
      <c r="C288" s="105"/>
      <c r="D288" s="10">
        <v>3.4</v>
      </c>
      <c r="E288" s="105"/>
      <c r="F288" s="105" t="b">
        <f>if(countif(Status!C:C,A288)=1,TRUE, FALSE)</f>
        <v>1</v>
      </c>
      <c r="G288" s="110" t="b">
        <f>IFERROR(__xludf.DUMMYFUNCTION("if(filter(Status!P:P,Status!C:C=A288)=TRUE,TRUE,FALSE)"),TRUE)</f>
        <v>1</v>
      </c>
    </row>
    <row r="289">
      <c r="A289" s="112" t="s">
        <v>462</v>
      </c>
      <c r="B289" s="109">
        <v>43710.0</v>
      </c>
      <c r="C289" s="105"/>
      <c r="D289" s="10">
        <v>3.4</v>
      </c>
      <c r="E289" s="105"/>
      <c r="F289" s="105" t="b">
        <f>if(countif(Status!C:C,A289)=1,TRUE, FALSE)</f>
        <v>1</v>
      </c>
      <c r="G289" s="110" t="b">
        <f>IFERROR(__xludf.DUMMYFUNCTION("if(filter(Status!P:P,Status!C:C=A289)=TRUE,TRUE,FALSE)"),TRUE)</f>
        <v>1</v>
      </c>
    </row>
    <row r="290">
      <c r="A290" s="113" t="s">
        <v>494</v>
      </c>
      <c r="B290" s="109">
        <v>43717.0</v>
      </c>
      <c r="C290" s="105"/>
      <c r="D290" s="10">
        <v>3.4</v>
      </c>
      <c r="E290" s="105"/>
      <c r="F290" s="105" t="b">
        <f>if(countif(Status!C:C,A290)=1,TRUE, FALSE)</f>
        <v>1</v>
      </c>
      <c r="G290" s="110" t="b">
        <f>IFERROR(__xludf.DUMMYFUNCTION("if(filter(Status!P:P,Status!C:C=A290)=TRUE,TRUE,FALSE)"),TRUE)</f>
        <v>1</v>
      </c>
    </row>
    <row r="291">
      <c r="A291" s="113" t="s">
        <v>496</v>
      </c>
      <c r="B291" s="109">
        <v>43717.0</v>
      </c>
      <c r="C291" s="105"/>
      <c r="D291" s="10">
        <v>3.4</v>
      </c>
      <c r="E291" s="105"/>
      <c r="F291" s="105" t="b">
        <f>if(countif(Status!C:C,A291)=1,TRUE, FALSE)</f>
        <v>1</v>
      </c>
      <c r="G291" s="110" t="b">
        <f>IFERROR(__xludf.DUMMYFUNCTION("if(filter(Status!P:P,Status!C:C=A291)=TRUE,TRUE,FALSE)"),TRUE)</f>
        <v>1</v>
      </c>
    </row>
    <row r="292">
      <c r="A292" s="114" t="s">
        <v>498</v>
      </c>
      <c r="B292" s="109">
        <v>43717.0</v>
      </c>
      <c r="C292" s="105"/>
      <c r="D292" s="10">
        <v>3.4</v>
      </c>
      <c r="E292" s="105"/>
      <c r="F292" s="105" t="b">
        <f>if(countif(Status!C:C,A292)=1,TRUE, FALSE)</f>
        <v>1</v>
      </c>
      <c r="G292" s="110" t="b">
        <f>IFERROR(__xludf.DUMMYFUNCTION("if(filter(Status!P:P,Status!C:C=A292)=TRUE,TRUE,FALSE)"),FALSE)</f>
        <v>0</v>
      </c>
    </row>
    <row r="293">
      <c r="A293" s="112" t="s">
        <v>511</v>
      </c>
      <c r="B293" s="109">
        <v>43710.0</v>
      </c>
      <c r="C293" s="105"/>
      <c r="D293" s="10">
        <v>3.4</v>
      </c>
      <c r="E293" s="105"/>
      <c r="F293" s="105" t="b">
        <f>if(countif(Status!C:C,A293)=1,TRUE, FALSE)</f>
        <v>1</v>
      </c>
      <c r="G293" s="110" t="b">
        <f>IFERROR(__xludf.DUMMYFUNCTION("if(filter(Status!P:P,Status!C:C=A293)=TRUE,TRUE,FALSE)"),TRUE)</f>
        <v>1</v>
      </c>
    </row>
    <row r="294">
      <c r="A294" s="115" t="s">
        <v>515</v>
      </c>
      <c r="B294" s="109">
        <v>43710.0</v>
      </c>
      <c r="C294" s="105"/>
      <c r="D294" s="10">
        <v>3.4</v>
      </c>
      <c r="E294" s="105"/>
      <c r="F294" s="105" t="b">
        <f>if(countif(Status!C:C,A294)=1,TRUE, FALSE)</f>
        <v>1</v>
      </c>
      <c r="G294" s="110" t="b">
        <f>IFERROR(__xludf.DUMMYFUNCTION("if(filter(Status!P:P,Status!C:C=A294)=TRUE,TRUE,FALSE)"),TRUE)</f>
        <v>1</v>
      </c>
    </row>
    <row r="295">
      <c r="A295" s="112" t="s">
        <v>515</v>
      </c>
      <c r="B295" s="109">
        <v>43713.0</v>
      </c>
      <c r="C295" s="105"/>
      <c r="D295" s="10">
        <v>3.4</v>
      </c>
      <c r="E295" s="105"/>
      <c r="F295" s="105" t="b">
        <f>if(countif(Status!C:C,A295)=1,TRUE, FALSE)</f>
        <v>1</v>
      </c>
      <c r="G295" s="110" t="b">
        <f>IFERROR(__xludf.DUMMYFUNCTION("if(filter(Status!P:P,Status!C:C=A295)=TRUE,TRUE,FALSE)"),TRUE)</f>
        <v>1</v>
      </c>
    </row>
    <row r="296">
      <c r="A296" s="112" t="s">
        <v>518</v>
      </c>
      <c r="B296" s="109">
        <v>43710.0</v>
      </c>
      <c r="C296" s="105"/>
      <c r="D296" s="10">
        <v>3.4</v>
      </c>
      <c r="E296" s="105"/>
      <c r="F296" s="105" t="b">
        <f>if(countif(Status!C:C,A296)=1,TRUE, FALSE)</f>
        <v>1</v>
      </c>
      <c r="G296" s="110" t="b">
        <f>IFERROR(__xludf.DUMMYFUNCTION("if(filter(Status!P:P,Status!C:C=A296)=TRUE,TRUE,FALSE)"),TRUE)</f>
        <v>1</v>
      </c>
    </row>
    <row r="297">
      <c r="A297" s="112" t="s">
        <v>534</v>
      </c>
      <c r="B297" s="109">
        <v>43710.0</v>
      </c>
      <c r="C297" s="105"/>
      <c r="D297" s="10">
        <v>3.4</v>
      </c>
      <c r="E297" s="105"/>
      <c r="F297" s="105" t="b">
        <f>if(countif(Status!C:C,A297)=1,TRUE, FALSE)</f>
        <v>1</v>
      </c>
      <c r="G297" s="110" t="b">
        <f>IFERROR(__xludf.DUMMYFUNCTION("if(filter(Status!P:P,Status!C:C=A297)=TRUE,TRUE,FALSE)"),TRUE)</f>
        <v>1</v>
      </c>
    </row>
    <row r="298">
      <c r="A298" s="112" t="s">
        <v>550</v>
      </c>
      <c r="B298" s="109">
        <v>43710.0</v>
      </c>
      <c r="C298" s="105"/>
      <c r="D298" s="10">
        <v>3.4</v>
      </c>
      <c r="E298" s="105"/>
      <c r="F298" s="105" t="b">
        <f>if(countif(Status!C:C,A298)=1,TRUE, FALSE)</f>
        <v>1</v>
      </c>
      <c r="G298" s="110" t="b">
        <f>IFERROR(__xludf.DUMMYFUNCTION("if(filter(Status!P:P,Status!C:C=A298)=TRUE,TRUE,FALSE)"),TRUE)</f>
        <v>1</v>
      </c>
    </row>
    <row r="299">
      <c r="A299" s="112" t="s">
        <v>559</v>
      </c>
      <c r="B299" s="109">
        <v>43710.0</v>
      </c>
      <c r="C299" s="105"/>
      <c r="D299" s="10">
        <v>3.4</v>
      </c>
      <c r="E299" s="105"/>
      <c r="F299" s="105" t="b">
        <f>if(countif(Status!C:C,A299)=1,TRUE, FALSE)</f>
        <v>1</v>
      </c>
      <c r="G299" s="110" t="b">
        <f>IFERROR(__xludf.DUMMYFUNCTION("if(filter(Status!P:P,Status!C:C=A299)=TRUE,TRUE,FALSE)"),TRUE)</f>
        <v>1</v>
      </c>
    </row>
    <row r="300">
      <c r="G300" s="110" t="b">
        <f>IFERROR(__xludf.DUMMYFUNCTION("if(filter(Status!P:P,Status!C:C=A300)=TRUE,TRUE,FALSE)"),FALSE)</f>
        <v>0</v>
      </c>
    </row>
    <row r="301">
      <c r="G301" s="110" t="b">
        <f>IFERROR(__xludf.DUMMYFUNCTION("if(filter(Status!P:P,Status!C:C=A301)=TRUE,TRUE,FALSE)"),FALSE)</f>
        <v>0</v>
      </c>
    </row>
    <row r="302">
      <c r="G302" s="110" t="b">
        <f>IFERROR(__xludf.DUMMYFUNCTION("if(filter(Status!P:P,Status!C:C=A302)=TRUE,TRUE,FALSE)"),FALSE)</f>
        <v>0</v>
      </c>
    </row>
    <row r="303">
      <c r="G303" s="110" t="b">
        <f>IFERROR(__xludf.DUMMYFUNCTION("if(filter(Status!P:P,Status!C:C=A303)=TRUE,TRUE,FALSE)"),FALSE)</f>
        <v>0</v>
      </c>
    </row>
    <row r="304">
      <c r="G304" s="110" t="b">
        <f>IFERROR(__xludf.DUMMYFUNCTION("if(filter(Status!P:P,Status!C:C=A304)=TRUE,TRUE,FALSE)"),FALSE)</f>
        <v>0</v>
      </c>
    </row>
    <row r="305">
      <c r="G305" s="110" t="b">
        <f>IFERROR(__xludf.DUMMYFUNCTION("if(filter(Status!P:P,Status!C:C=A305)=TRUE,TRUE,FALSE)"),FALSE)</f>
        <v>0</v>
      </c>
    </row>
    <row r="306">
      <c r="G306" s="110" t="b">
        <f>IFERROR(__xludf.DUMMYFUNCTION("if(filter(Status!P:P,Status!C:C=A306)=TRUE,TRUE,FALSE)"),FALSE)</f>
        <v>0</v>
      </c>
    </row>
    <row r="307">
      <c r="G307" s="110" t="b">
        <f>IFERROR(__xludf.DUMMYFUNCTION("if(filter(Status!P:P,Status!C:C=A307)=TRUE,TRUE,FALSE)"),FALSE)</f>
        <v>0</v>
      </c>
    </row>
    <row r="308">
      <c r="G308" s="110" t="b">
        <f>IFERROR(__xludf.DUMMYFUNCTION("if(filter(Status!P:P,Status!C:C=A308)=TRUE,TRUE,FALSE)"),FALSE)</f>
        <v>0</v>
      </c>
    </row>
    <row r="309">
      <c r="G309" s="110" t="b">
        <f>IFERROR(__xludf.DUMMYFUNCTION("if(filter(Status!P:P,Status!C:C=A309)=TRUE,TRUE,FALSE)"),FALSE)</f>
        <v>0</v>
      </c>
    </row>
    <row r="310">
      <c r="G310" s="110" t="b">
        <f>IFERROR(__xludf.DUMMYFUNCTION("if(filter(Status!P:P,Status!C:C=A310)=TRUE,TRUE,FALSE)"),FALSE)</f>
        <v>0</v>
      </c>
    </row>
    <row r="311">
      <c r="G311" s="110" t="b">
        <f>IFERROR(__xludf.DUMMYFUNCTION("if(filter(Status!P:P,Status!C:C=A311)=TRUE,TRUE,FALSE)"),FALSE)</f>
        <v>0</v>
      </c>
    </row>
    <row r="312">
      <c r="G312" s="110" t="b">
        <f>IFERROR(__xludf.DUMMYFUNCTION("if(filter(Status!P:P,Status!C:C=A312)=TRUE,TRUE,FALSE)"),FALSE)</f>
        <v>0</v>
      </c>
    </row>
    <row r="313">
      <c r="G313" s="110" t="b">
        <f>IFERROR(__xludf.DUMMYFUNCTION("if(filter(Status!P:P,Status!C:C=A313)=TRUE,TRUE,FALSE)"),FALSE)</f>
        <v>0</v>
      </c>
    </row>
    <row r="314">
      <c r="G314" s="110" t="b">
        <f>IFERROR(__xludf.DUMMYFUNCTION("if(filter(Status!P:P,Status!C:C=A314)=TRUE,TRUE,FALSE)"),FALSE)</f>
        <v>0</v>
      </c>
    </row>
    <row r="315">
      <c r="G315" s="110" t="b">
        <f>IFERROR(__xludf.DUMMYFUNCTION("if(filter(Status!P:P,Status!C:C=A315)=TRUE,TRUE,FALSE)"),FALSE)</f>
        <v>0</v>
      </c>
    </row>
    <row r="316">
      <c r="G316" s="110" t="b">
        <f>IFERROR(__xludf.DUMMYFUNCTION("if(filter(Status!P:P,Status!C:C=A316)=TRUE,TRUE,FALSE)"),FALSE)</f>
        <v>0</v>
      </c>
    </row>
    <row r="317">
      <c r="G317" s="110" t="b">
        <f>IFERROR(__xludf.DUMMYFUNCTION("if(filter(Status!P:P,Status!C:C=A317)=TRUE,TRUE,FALSE)"),FALSE)</f>
        <v>0</v>
      </c>
    </row>
    <row r="318">
      <c r="G318" s="110" t="b">
        <f>IFERROR(__xludf.DUMMYFUNCTION("if(filter(Status!P:P,Status!C:C=A318)=TRUE,TRUE,FALSE)"),FALSE)</f>
        <v>0</v>
      </c>
    </row>
    <row r="319">
      <c r="G319" s="110" t="b">
        <f>IFERROR(__xludf.DUMMYFUNCTION("if(filter(Status!P:P,Status!C:C=A319)=TRUE,TRUE,FALSE)"),FALSE)</f>
        <v>0</v>
      </c>
    </row>
    <row r="320">
      <c r="G320" s="110" t="b">
        <f>IFERROR(__xludf.DUMMYFUNCTION("if(filter(Status!P:P,Status!C:C=A320)=TRUE,TRUE,FALSE)"),FALSE)</f>
        <v>0</v>
      </c>
    </row>
    <row r="321">
      <c r="G321" s="110" t="b">
        <f>IFERROR(__xludf.DUMMYFUNCTION("if(filter(Status!P:P,Status!C:C=A321)=TRUE,TRUE,FALSE)"),FALSE)</f>
        <v>0</v>
      </c>
    </row>
    <row r="322">
      <c r="G322" s="110" t="b">
        <f>IFERROR(__xludf.DUMMYFUNCTION("if(filter(Status!P:P,Status!C:C=A322)=TRUE,TRUE,FALSE)"),FALSE)</f>
        <v>0</v>
      </c>
    </row>
    <row r="323">
      <c r="G323" s="110" t="b">
        <f>IFERROR(__xludf.DUMMYFUNCTION("if(filter(Status!P:P,Status!C:C=A323)=TRUE,TRUE,FALSE)"),FALSE)</f>
        <v>0</v>
      </c>
    </row>
    <row r="324">
      <c r="G324" s="110" t="b">
        <f>IFERROR(__xludf.DUMMYFUNCTION("if(filter(Status!P:P,Status!C:C=A324)=TRUE,TRUE,FALSE)"),FALSE)</f>
        <v>0</v>
      </c>
    </row>
    <row r="325">
      <c r="G325" s="110" t="b">
        <f>IFERROR(__xludf.DUMMYFUNCTION("if(filter(Status!P:P,Status!C:C=A325)=TRUE,TRUE,FALSE)"),FALSE)</f>
        <v>0</v>
      </c>
    </row>
    <row r="326">
      <c r="G326" s="110" t="b">
        <f>IFERROR(__xludf.DUMMYFUNCTION("if(filter(Status!P:P,Status!C:C=A326)=TRUE,TRUE,FALSE)"),FALSE)</f>
        <v>0</v>
      </c>
    </row>
    <row r="327">
      <c r="G327" s="110" t="b">
        <f>IFERROR(__xludf.DUMMYFUNCTION("if(filter(Status!P:P,Status!C:C=A327)=TRUE,TRUE,FALSE)"),FALSE)</f>
        <v>0</v>
      </c>
    </row>
    <row r="328">
      <c r="G328" s="110" t="b">
        <f>IFERROR(__xludf.DUMMYFUNCTION("if(filter(Status!P:P,Status!C:C=A328)=TRUE,TRUE,FALSE)"),FALSE)</f>
        <v>0</v>
      </c>
    </row>
    <row r="329">
      <c r="G329" s="110" t="b">
        <f>IFERROR(__xludf.DUMMYFUNCTION("if(filter(Status!P:P,Status!C:C=A329)=TRUE,TRUE,FALSE)"),FALSE)</f>
        <v>0</v>
      </c>
    </row>
    <row r="330">
      <c r="G330" s="110" t="b">
        <f>IFERROR(__xludf.DUMMYFUNCTION("if(filter(Status!P:P,Status!C:C=A330)=TRUE,TRUE,FALSE)"),FALSE)</f>
        <v>0</v>
      </c>
    </row>
    <row r="331">
      <c r="G331" s="110" t="b">
        <f>IFERROR(__xludf.DUMMYFUNCTION("if(filter(Status!P:P,Status!C:C=A331)=TRUE,TRUE,FALSE)"),FALSE)</f>
        <v>0</v>
      </c>
    </row>
    <row r="332">
      <c r="G332" s="110" t="b">
        <f>IFERROR(__xludf.DUMMYFUNCTION("if(filter(Status!P:P,Status!C:C=A332)=TRUE,TRUE,FALSE)"),FALSE)</f>
        <v>0</v>
      </c>
    </row>
    <row r="333">
      <c r="G333" s="110" t="b">
        <f>IFERROR(__xludf.DUMMYFUNCTION("if(filter(Status!P:P,Status!C:C=A333)=TRUE,TRUE,FALSE)"),FALSE)</f>
        <v>0</v>
      </c>
    </row>
    <row r="334">
      <c r="G334" s="110" t="b">
        <f>IFERROR(__xludf.DUMMYFUNCTION("if(filter(Status!P:P,Status!C:C=A334)=TRUE,TRUE,FALSE)"),FALSE)</f>
        <v>0</v>
      </c>
    </row>
    <row r="335">
      <c r="G335" s="110" t="b">
        <f>IFERROR(__xludf.DUMMYFUNCTION("if(filter(Status!P:P,Status!C:C=A335)=TRUE,TRUE,FALSE)"),FALSE)</f>
        <v>0</v>
      </c>
    </row>
    <row r="336">
      <c r="G336" s="110" t="b">
        <f>IFERROR(__xludf.DUMMYFUNCTION("if(filter(Status!P:P,Status!C:C=A336)=TRUE,TRUE,FALSE)"),FALSE)</f>
        <v>0</v>
      </c>
    </row>
    <row r="337">
      <c r="G337" s="110" t="b">
        <f>IFERROR(__xludf.DUMMYFUNCTION("if(filter(Status!P:P,Status!C:C=A337)=TRUE,TRUE,FALSE)"),FALSE)</f>
        <v>0</v>
      </c>
    </row>
    <row r="338">
      <c r="G338" s="110" t="b">
        <f>IFERROR(__xludf.DUMMYFUNCTION("if(filter(Status!P:P,Status!C:C=A338)=TRUE,TRUE,FALSE)"),FALSE)</f>
        <v>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28.29"/>
  </cols>
  <sheetData>
    <row r="1">
      <c r="A1" s="50" t="s">
        <v>2185</v>
      </c>
      <c r="B1" s="50" t="s">
        <v>2186</v>
      </c>
      <c r="C1" s="50" t="s">
        <v>2187</v>
      </c>
      <c r="D1" s="50" t="s">
        <v>2188</v>
      </c>
      <c r="E1" s="50" t="s">
        <v>2189</v>
      </c>
      <c r="F1" s="50" t="s">
        <v>2190</v>
      </c>
      <c r="G1" s="50" t="s">
        <v>2191</v>
      </c>
      <c r="H1" s="50" t="s">
        <v>369</v>
      </c>
      <c r="I1" s="50" t="s">
        <v>368</v>
      </c>
      <c r="J1" s="50" t="s">
        <v>2192</v>
      </c>
      <c r="K1" s="50" t="s">
        <v>2193</v>
      </c>
      <c r="L1" s="50" t="s">
        <v>2194</v>
      </c>
      <c r="M1" s="50" t="s">
        <v>2195</v>
      </c>
      <c r="N1" s="50" t="s">
        <v>2196</v>
      </c>
      <c r="O1" s="50" t="s">
        <v>2197</v>
      </c>
      <c r="P1" s="50" t="s">
        <v>2198</v>
      </c>
      <c r="Q1" s="50" t="s">
        <v>2199</v>
      </c>
      <c r="R1" s="50" t="s">
        <v>2200</v>
      </c>
      <c r="S1" s="50" t="s">
        <v>2201</v>
      </c>
      <c r="T1" s="50" t="s">
        <v>2202</v>
      </c>
      <c r="U1" s="50" t="s">
        <v>2203</v>
      </c>
      <c r="V1" s="50" t="s">
        <v>2204</v>
      </c>
      <c r="W1" s="50" t="s">
        <v>2205</v>
      </c>
      <c r="X1" s="50" t="s">
        <v>2206</v>
      </c>
      <c r="Y1" s="50" t="s">
        <v>2207</v>
      </c>
      <c r="Z1" s="50" t="s">
        <v>2208</v>
      </c>
      <c r="AA1" s="50" t="s">
        <v>2209</v>
      </c>
      <c r="AB1" s="50" t="s">
        <v>2210</v>
      </c>
      <c r="AC1" s="50" t="s">
        <v>2211</v>
      </c>
      <c r="AD1" s="50" t="s">
        <v>2212</v>
      </c>
      <c r="AE1" s="50" t="s">
        <v>2213</v>
      </c>
      <c r="AF1" s="50" t="s">
        <v>2214</v>
      </c>
      <c r="AG1" s="50" t="s">
        <v>2215</v>
      </c>
      <c r="AH1" s="50" t="s">
        <v>2216</v>
      </c>
      <c r="AI1" s="50" t="s">
        <v>2217</v>
      </c>
      <c r="AJ1" s="50" t="s">
        <v>2218</v>
      </c>
      <c r="AK1" s="50" t="s">
        <v>2219</v>
      </c>
      <c r="AL1" s="50" t="s">
        <v>2220</v>
      </c>
      <c r="AM1" s="50" t="s">
        <v>2221</v>
      </c>
      <c r="AN1" s="50" t="s">
        <v>2222</v>
      </c>
      <c r="AO1" s="50" t="s">
        <v>2223</v>
      </c>
      <c r="AP1" s="50" t="s">
        <v>2224</v>
      </c>
      <c r="AQ1" s="50" t="s">
        <v>2225</v>
      </c>
      <c r="AR1" s="50" t="s">
        <v>2226</v>
      </c>
      <c r="AS1" s="50" t="s">
        <v>2227</v>
      </c>
      <c r="AT1" s="50" t="s">
        <v>2228</v>
      </c>
      <c r="AU1" s="50" t="s">
        <v>2229</v>
      </c>
      <c r="AV1" s="50" t="s">
        <v>2230</v>
      </c>
      <c r="AW1" s="50" t="s">
        <v>2231</v>
      </c>
      <c r="AX1" s="50" t="s">
        <v>2232</v>
      </c>
      <c r="AY1" s="50" t="s">
        <v>2233</v>
      </c>
      <c r="AZ1" s="50" t="s">
        <v>2234</v>
      </c>
      <c r="BA1" s="50" t="s">
        <v>2235</v>
      </c>
      <c r="BB1" s="50" t="s">
        <v>2236</v>
      </c>
      <c r="BC1" s="50" t="s">
        <v>2237</v>
      </c>
      <c r="BD1" s="50" t="s">
        <v>2238</v>
      </c>
      <c r="BE1" s="50" t="s">
        <v>2239</v>
      </c>
      <c r="BF1" s="50" t="s">
        <v>2240</v>
      </c>
      <c r="BG1" s="50" t="s">
        <v>2241</v>
      </c>
      <c r="BH1" s="50" t="s">
        <v>2243</v>
      </c>
      <c r="BI1" s="50" t="s">
        <v>2244</v>
      </c>
      <c r="BJ1" s="50" t="s">
        <v>2245</v>
      </c>
      <c r="BK1" s="50" t="s">
        <v>2246</v>
      </c>
      <c r="BL1" s="50" t="s">
        <v>2247</v>
      </c>
      <c r="BM1" s="50" t="s">
        <v>2248</v>
      </c>
      <c r="BN1" s="50" t="s">
        <v>2249</v>
      </c>
      <c r="BO1" s="50" t="s">
        <v>2250</v>
      </c>
      <c r="BP1" s="50" t="s">
        <v>2251</v>
      </c>
      <c r="BQ1" s="50" t="s">
        <v>2252</v>
      </c>
      <c r="BR1" s="50" t="s">
        <v>2253</v>
      </c>
      <c r="BS1" s="50" t="s">
        <v>2254</v>
      </c>
      <c r="BT1" s="50" t="s">
        <v>2255</v>
      </c>
      <c r="BU1" s="50" t="s">
        <v>2256</v>
      </c>
      <c r="BV1" s="50" t="s">
        <v>2257</v>
      </c>
      <c r="BW1" s="50" t="s">
        <v>2258</v>
      </c>
      <c r="BX1" s="50" t="s">
        <v>2259</v>
      </c>
      <c r="BY1" s="50" t="s">
        <v>2260</v>
      </c>
      <c r="BZ1" s="50" t="s">
        <v>2261</v>
      </c>
      <c r="CA1" s="50" t="s">
        <v>2262</v>
      </c>
      <c r="CB1" s="50" t="s">
        <v>2263</v>
      </c>
      <c r="CC1" s="50" t="s">
        <v>2264</v>
      </c>
      <c r="CD1" s="50" t="s">
        <v>2265</v>
      </c>
      <c r="CE1" s="50" t="s">
        <v>2266</v>
      </c>
      <c r="CF1" s="50" t="s">
        <v>2267</v>
      </c>
      <c r="CG1" s="50" t="s">
        <v>2268</v>
      </c>
      <c r="CH1" s="50" t="s">
        <v>2269</v>
      </c>
      <c r="CI1" s="50" t="s">
        <v>2270</v>
      </c>
      <c r="CJ1" s="50" t="s">
        <v>2271</v>
      </c>
    </row>
    <row r="2">
      <c r="A2" s="50" t="s">
        <v>2272</v>
      </c>
      <c r="B2" s="50" t="s">
        <v>2273</v>
      </c>
      <c r="C2" s="116"/>
      <c r="D2" s="116"/>
      <c r="E2" s="50">
        <v>3.5215509147374E14</v>
      </c>
      <c r="F2" s="50">
        <v>58.0</v>
      </c>
      <c r="G2" s="50">
        <v>1.0</v>
      </c>
      <c r="H2" s="50">
        <v>7.0</v>
      </c>
      <c r="I2" s="50" t="s">
        <v>2274</v>
      </c>
      <c r="J2" s="50" t="s">
        <v>2274</v>
      </c>
      <c r="K2" s="50" t="s">
        <v>2275</v>
      </c>
      <c r="L2" s="50" t="s">
        <v>2276</v>
      </c>
      <c r="M2" s="50">
        <v>22.5538005</v>
      </c>
      <c r="N2" s="50">
        <v>88.397343</v>
      </c>
      <c r="O2" s="50">
        <v>-46.9000015258789</v>
      </c>
      <c r="P2" s="50">
        <v>4.5</v>
      </c>
      <c r="Q2" s="50">
        <v>1.0</v>
      </c>
      <c r="R2" s="50">
        <v>0.0</v>
      </c>
      <c r="S2" s="50">
        <v>0.0</v>
      </c>
      <c r="T2" s="50">
        <v>1.0</v>
      </c>
      <c r="U2" s="116"/>
      <c r="V2" s="116"/>
      <c r="W2" s="116"/>
      <c r="X2" s="116"/>
      <c r="Y2" s="116"/>
      <c r="Z2" s="116"/>
      <c r="AA2" s="116"/>
      <c r="AB2" s="116"/>
      <c r="AC2" s="116"/>
      <c r="AD2" s="116"/>
      <c r="AE2" s="116"/>
      <c r="AF2" s="116"/>
      <c r="AG2" s="116"/>
      <c r="AH2" s="116"/>
      <c r="AI2" s="116"/>
      <c r="AJ2" s="116"/>
      <c r="AK2" s="116"/>
      <c r="AL2" s="116"/>
      <c r="AM2" s="116"/>
      <c r="AN2" s="116"/>
      <c r="AO2" s="116"/>
      <c r="AP2" s="116"/>
      <c r="AQ2" s="116"/>
      <c r="AR2" s="116"/>
      <c r="AS2" s="116"/>
      <c r="AT2" s="116"/>
      <c r="AU2" s="116"/>
      <c r="AV2" s="116"/>
      <c r="AW2" s="50">
        <v>2.0</v>
      </c>
      <c r="AX2" s="116"/>
      <c r="AY2" s="50">
        <v>20.0</v>
      </c>
      <c r="AZ2" s="50">
        <v>0.0</v>
      </c>
      <c r="BA2" s="50">
        <v>25.0</v>
      </c>
      <c r="BB2" s="50">
        <v>1.0</v>
      </c>
      <c r="BC2" s="116"/>
      <c r="BD2" s="116"/>
      <c r="BE2" s="116"/>
      <c r="BF2" s="116"/>
      <c r="BG2" s="116"/>
      <c r="BH2" s="116"/>
      <c r="BI2" s="116"/>
      <c r="BJ2" s="116"/>
      <c r="BK2" s="116"/>
      <c r="BL2" s="116"/>
      <c r="BM2" s="116"/>
      <c r="BN2" s="116"/>
      <c r="BO2" s="116"/>
      <c r="BP2" s="116"/>
      <c r="BQ2" s="116"/>
      <c r="BR2" s="116"/>
      <c r="BS2" s="116"/>
      <c r="BT2" s="116"/>
      <c r="BU2" s="116"/>
      <c r="BV2" s="116"/>
      <c r="BW2" s="116"/>
      <c r="BX2" s="116"/>
      <c r="BY2" s="116"/>
      <c r="BZ2" s="116"/>
      <c r="CA2" s="116"/>
      <c r="CB2" s="116"/>
      <c r="CC2" s="116"/>
      <c r="CD2" s="50" t="s">
        <v>2278</v>
      </c>
      <c r="CE2" s="50">
        <v>1.0</v>
      </c>
      <c r="CF2" s="50" t="s">
        <v>2279</v>
      </c>
      <c r="CG2" s="117">
        <v>2745.0</v>
      </c>
      <c r="CH2" s="50" t="s">
        <v>2280</v>
      </c>
      <c r="CI2" s="50" t="s">
        <v>2281</v>
      </c>
      <c r="CJ2" s="117">
        <v>1.0</v>
      </c>
    </row>
    <row r="3">
      <c r="A3" s="50" t="s">
        <v>2282</v>
      </c>
      <c r="B3" s="50" t="s">
        <v>2283</v>
      </c>
      <c r="C3" s="116"/>
      <c r="D3" s="116"/>
      <c r="E3" s="50">
        <v>3.5215509147374E14</v>
      </c>
      <c r="F3" s="50">
        <v>58.0</v>
      </c>
      <c r="G3" s="50">
        <v>2.0</v>
      </c>
      <c r="H3" s="50">
        <v>2.0</v>
      </c>
      <c r="I3" s="51" t="s">
        <v>140</v>
      </c>
      <c r="J3" s="50" t="s">
        <v>333</v>
      </c>
      <c r="K3" s="50" t="s">
        <v>2284</v>
      </c>
      <c r="L3" s="50" t="s">
        <v>2285</v>
      </c>
      <c r="M3" s="50">
        <v>22.5494298</v>
      </c>
      <c r="N3" s="50">
        <v>88.3970872</v>
      </c>
      <c r="O3" s="50">
        <v>-41.2999992370605</v>
      </c>
      <c r="P3" s="50">
        <v>5.0</v>
      </c>
      <c r="Q3" s="50">
        <v>1.0</v>
      </c>
      <c r="R3" s="50">
        <v>0.0</v>
      </c>
      <c r="S3" s="50">
        <v>1.0</v>
      </c>
      <c r="T3" s="116"/>
      <c r="U3" s="116"/>
      <c r="V3" s="116"/>
      <c r="W3" s="116"/>
      <c r="X3" s="116"/>
      <c r="Y3" s="116"/>
      <c r="Z3" s="116"/>
      <c r="AA3" s="116"/>
      <c r="AB3" s="116"/>
      <c r="AC3" s="116"/>
      <c r="AD3" s="116"/>
      <c r="AE3" s="116"/>
      <c r="AF3" s="116"/>
      <c r="AG3" s="116"/>
      <c r="AH3" s="116"/>
      <c r="AI3" s="116"/>
      <c r="AJ3" s="50">
        <v>1.0</v>
      </c>
      <c r="AK3" s="116"/>
      <c r="AL3" s="116"/>
      <c r="AM3" s="50">
        <v>2.0</v>
      </c>
      <c r="AN3" s="116"/>
      <c r="AO3" s="116"/>
      <c r="AP3" s="116"/>
      <c r="AQ3" s="116"/>
      <c r="AR3" s="116"/>
      <c r="AS3" s="116"/>
      <c r="AT3" s="116"/>
      <c r="AU3" s="116"/>
      <c r="AV3" s="116"/>
      <c r="AW3" s="116"/>
      <c r="AX3" s="116"/>
      <c r="AY3" s="116"/>
      <c r="AZ3" s="116"/>
      <c r="BA3" s="116"/>
      <c r="BB3" s="116"/>
      <c r="BC3" s="116"/>
      <c r="BD3" s="116"/>
      <c r="BE3" s="116"/>
      <c r="BF3" s="116"/>
      <c r="BG3" s="116"/>
      <c r="BH3" s="116"/>
      <c r="BI3" s="116"/>
      <c r="BJ3" s="116"/>
      <c r="BK3" s="116"/>
      <c r="BL3" s="116"/>
      <c r="BM3" s="116"/>
      <c r="BN3" s="116"/>
      <c r="BO3" s="116"/>
      <c r="BP3" s="116"/>
      <c r="BQ3" s="116"/>
      <c r="BR3" s="116"/>
      <c r="BS3" s="116"/>
      <c r="BT3" s="116"/>
      <c r="BU3" s="116"/>
      <c r="BV3" s="116"/>
      <c r="BW3" s="116"/>
      <c r="BX3" s="116"/>
      <c r="BY3" s="116"/>
      <c r="BZ3" s="116"/>
      <c r="CA3" s="116"/>
      <c r="CB3" s="116"/>
      <c r="CC3" s="116"/>
      <c r="CD3" s="50" t="s">
        <v>2286</v>
      </c>
      <c r="CE3" s="50">
        <v>1.0</v>
      </c>
      <c r="CF3" s="50" t="s">
        <v>2279</v>
      </c>
      <c r="CG3" s="117">
        <v>2758.0</v>
      </c>
      <c r="CH3" s="50" t="s">
        <v>2287</v>
      </c>
      <c r="CI3" s="50" t="s">
        <v>2288</v>
      </c>
      <c r="CJ3" s="117">
        <v>2.0</v>
      </c>
    </row>
    <row r="4">
      <c r="A4" s="50" t="s">
        <v>2289</v>
      </c>
      <c r="B4" s="50" t="s">
        <v>2290</v>
      </c>
      <c r="C4" s="116"/>
      <c r="D4" s="116"/>
      <c r="E4" s="50">
        <v>3.5215509147374E14</v>
      </c>
      <c r="F4" s="50">
        <v>58.0</v>
      </c>
      <c r="G4" s="50">
        <v>2.0</v>
      </c>
      <c r="H4" s="50">
        <v>2.0</v>
      </c>
      <c r="I4" s="51" t="s">
        <v>178</v>
      </c>
      <c r="J4" s="50" t="s">
        <v>349</v>
      </c>
      <c r="K4" s="50" t="s">
        <v>2292</v>
      </c>
      <c r="L4" s="50" t="s">
        <v>2293</v>
      </c>
      <c r="M4" s="50">
        <v>22.5494469</v>
      </c>
      <c r="N4" s="50">
        <v>88.3970871</v>
      </c>
      <c r="O4" s="50">
        <v>-52.599998474121</v>
      </c>
      <c r="P4" s="50">
        <v>5.0</v>
      </c>
      <c r="Q4" s="50">
        <v>1.0</v>
      </c>
      <c r="R4" s="50">
        <v>0.0</v>
      </c>
      <c r="S4" s="50">
        <v>1.0</v>
      </c>
      <c r="T4" s="116"/>
      <c r="U4" s="116"/>
      <c r="V4" s="116"/>
      <c r="W4" s="116"/>
      <c r="X4" s="116"/>
      <c r="Y4" s="116"/>
      <c r="Z4" s="116"/>
      <c r="AA4" s="116"/>
      <c r="AB4" s="116"/>
      <c r="AC4" s="116"/>
      <c r="AD4" s="116"/>
      <c r="AE4" s="116"/>
      <c r="AF4" s="116"/>
      <c r="AG4" s="116"/>
      <c r="AH4" s="116"/>
      <c r="AI4" s="116"/>
      <c r="AJ4" s="50">
        <v>2.0</v>
      </c>
      <c r="AK4" s="116"/>
      <c r="AL4" s="116"/>
      <c r="AM4" s="50">
        <v>1.0</v>
      </c>
      <c r="AN4" s="116"/>
      <c r="AO4" s="116"/>
      <c r="AP4" s="116"/>
      <c r="AQ4" s="116"/>
      <c r="AR4" s="116"/>
      <c r="AS4" s="116"/>
      <c r="AT4" s="116"/>
      <c r="AU4" s="116"/>
      <c r="AV4" s="116"/>
      <c r="AW4" s="116"/>
      <c r="AX4" s="116"/>
      <c r="AY4" s="116"/>
      <c r="AZ4" s="116"/>
      <c r="BA4" s="116"/>
      <c r="BB4" s="116"/>
      <c r="BC4" s="116"/>
      <c r="BD4" s="116"/>
      <c r="BE4" s="116"/>
      <c r="BF4" s="116"/>
      <c r="BG4" s="116"/>
      <c r="BH4" s="116"/>
      <c r="BI4" s="116"/>
      <c r="BJ4" s="116"/>
      <c r="BK4" s="116"/>
      <c r="BL4" s="116"/>
      <c r="BM4" s="116"/>
      <c r="BN4" s="116"/>
      <c r="BO4" s="116"/>
      <c r="BP4" s="116"/>
      <c r="BQ4" s="116"/>
      <c r="BR4" s="116"/>
      <c r="BS4" s="116"/>
      <c r="BT4" s="116"/>
      <c r="BU4" s="116"/>
      <c r="BV4" s="116"/>
      <c r="BW4" s="116"/>
      <c r="BX4" s="116"/>
      <c r="BY4" s="116"/>
      <c r="BZ4" s="116"/>
      <c r="CA4" s="116"/>
      <c r="CB4" s="116"/>
      <c r="CC4" s="116"/>
      <c r="CD4" s="50" t="s">
        <v>2286</v>
      </c>
      <c r="CE4" s="50">
        <v>0.0</v>
      </c>
      <c r="CF4" s="50" t="s">
        <v>2279</v>
      </c>
      <c r="CG4" s="117">
        <v>2759.0</v>
      </c>
      <c r="CH4" s="50" t="s">
        <v>2294</v>
      </c>
      <c r="CI4" s="50" t="s">
        <v>2295</v>
      </c>
      <c r="CJ4" s="117">
        <v>3.0</v>
      </c>
    </row>
    <row r="5">
      <c r="A5" s="50" t="s">
        <v>2296</v>
      </c>
      <c r="B5" s="50" t="s">
        <v>2297</v>
      </c>
      <c r="C5" s="116"/>
      <c r="D5" s="116"/>
      <c r="E5" s="50">
        <v>3.5215509147374E14</v>
      </c>
      <c r="F5" s="50">
        <v>58.0</v>
      </c>
      <c r="G5" s="50">
        <v>2.0</v>
      </c>
      <c r="H5" s="50">
        <v>2.0</v>
      </c>
      <c r="I5" s="51" t="s">
        <v>346</v>
      </c>
      <c r="J5" s="50" t="s">
        <v>2298</v>
      </c>
      <c r="K5" s="50" t="s">
        <v>2299</v>
      </c>
      <c r="L5" s="50" t="s">
        <v>2300</v>
      </c>
      <c r="M5" s="50">
        <v>22.5493661</v>
      </c>
      <c r="N5" s="50">
        <v>88.3968868</v>
      </c>
      <c r="O5" s="50">
        <v>-40.099998474121</v>
      </c>
      <c r="P5" s="50">
        <v>4.5</v>
      </c>
      <c r="Q5" s="50">
        <v>1.0</v>
      </c>
      <c r="R5" s="50">
        <v>0.0</v>
      </c>
      <c r="S5" s="50">
        <v>0.0</v>
      </c>
      <c r="T5" s="50">
        <v>1.0</v>
      </c>
      <c r="U5" s="116"/>
      <c r="V5" s="116"/>
      <c r="W5" s="116"/>
      <c r="X5" s="116"/>
      <c r="Y5" s="116"/>
      <c r="Z5" s="116"/>
      <c r="AA5" s="116"/>
      <c r="AB5" s="116"/>
      <c r="AC5" s="116"/>
      <c r="AD5" s="116"/>
      <c r="AE5" s="116"/>
      <c r="AF5" s="116"/>
      <c r="AG5" s="116"/>
      <c r="AH5" s="116"/>
      <c r="AI5" s="116"/>
      <c r="AJ5" s="50">
        <v>1.0</v>
      </c>
      <c r="AK5" s="116"/>
      <c r="AL5" s="116"/>
      <c r="AM5" s="50">
        <v>1.0</v>
      </c>
      <c r="AN5" s="116"/>
      <c r="AO5" s="116"/>
      <c r="AP5" s="116"/>
      <c r="AQ5" s="116"/>
      <c r="AR5" s="116"/>
      <c r="AS5" s="116"/>
      <c r="AT5" s="116"/>
      <c r="AU5" s="116"/>
      <c r="AV5" s="116"/>
      <c r="AW5" s="116"/>
      <c r="AX5" s="116"/>
      <c r="AY5" s="116"/>
      <c r="AZ5" s="116"/>
      <c r="BA5" s="116"/>
      <c r="BB5" s="116"/>
      <c r="BC5" s="116"/>
      <c r="BD5" s="116"/>
      <c r="BE5" s="116"/>
      <c r="BF5" s="116"/>
      <c r="BG5" s="116"/>
      <c r="BH5" s="116"/>
      <c r="BI5" s="116"/>
      <c r="BJ5" s="116"/>
      <c r="BK5" s="116"/>
      <c r="BL5" s="116"/>
      <c r="BM5" s="116"/>
      <c r="BN5" s="116"/>
      <c r="BO5" s="116"/>
      <c r="BP5" s="116"/>
      <c r="BQ5" s="116"/>
      <c r="BR5" s="116"/>
      <c r="BS5" s="116"/>
      <c r="BT5" s="116"/>
      <c r="BU5" s="116"/>
      <c r="BV5" s="116"/>
      <c r="BW5" s="116"/>
      <c r="BX5" s="116"/>
      <c r="BY5" s="116"/>
      <c r="BZ5" s="116"/>
      <c r="CA5" s="116"/>
      <c r="CB5" s="116"/>
      <c r="CC5" s="116"/>
      <c r="CD5" s="50" t="s">
        <v>2302</v>
      </c>
      <c r="CE5" s="50">
        <v>1.0</v>
      </c>
      <c r="CF5" s="50" t="s">
        <v>2279</v>
      </c>
      <c r="CG5" s="117">
        <v>2760.0</v>
      </c>
      <c r="CH5" s="50" t="s">
        <v>2303</v>
      </c>
      <c r="CI5" s="50" t="s">
        <v>2304</v>
      </c>
      <c r="CJ5" s="117">
        <v>4.0</v>
      </c>
    </row>
    <row r="6">
      <c r="A6" s="50" t="s">
        <v>2305</v>
      </c>
      <c r="B6" s="50" t="s">
        <v>2306</v>
      </c>
      <c r="C6" s="116"/>
      <c r="D6" s="116"/>
      <c r="E6" s="50">
        <v>3.5215509147374E14</v>
      </c>
      <c r="F6" s="50">
        <v>58.0</v>
      </c>
      <c r="G6" s="50">
        <v>2.0</v>
      </c>
      <c r="H6" s="50">
        <v>8.0</v>
      </c>
      <c r="I6" s="51" t="s">
        <v>197</v>
      </c>
      <c r="J6" s="50" t="s">
        <v>330</v>
      </c>
      <c r="K6" s="50" t="s">
        <v>2307</v>
      </c>
      <c r="L6" s="50" t="s">
        <v>2308</v>
      </c>
      <c r="M6" s="50">
        <v>22.5491531</v>
      </c>
      <c r="N6" s="50">
        <v>88.3971487</v>
      </c>
      <c r="O6" s="50">
        <v>-47.5</v>
      </c>
      <c r="P6" s="50">
        <v>5.0</v>
      </c>
      <c r="Q6" s="50">
        <v>1.0</v>
      </c>
      <c r="R6" s="50">
        <v>0.0</v>
      </c>
      <c r="S6" s="50">
        <v>1.0</v>
      </c>
      <c r="T6" s="116"/>
      <c r="U6" s="116"/>
      <c r="V6" s="50">
        <v>2.0</v>
      </c>
      <c r="W6" s="50">
        <v>1.0</v>
      </c>
      <c r="X6" s="116"/>
      <c r="Y6" s="50">
        <v>10.0</v>
      </c>
      <c r="Z6" s="116"/>
      <c r="AA6" s="116"/>
      <c r="AB6" s="116"/>
      <c r="AC6" s="116"/>
      <c r="AD6" s="116"/>
      <c r="AE6" s="116"/>
      <c r="AF6" s="116"/>
      <c r="AG6" s="116"/>
      <c r="AH6" s="116"/>
      <c r="AI6" s="116"/>
      <c r="AJ6" s="116"/>
      <c r="AK6" s="116"/>
      <c r="AL6" s="116"/>
      <c r="AM6" s="116"/>
      <c r="AN6" s="116"/>
      <c r="AO6" s="116"/>
      <c r="AP6" s="116"/>
      <c r="AQ6" s="116"/>
      <c r="AR6" s="116"/>
      <c r="AS6" s="116"/>
      <c r="AT6" s="116"/>
      <c r="AU6" s="116"/>
      <c r="AV6" s="116"/>
      <c r="AW6" s="116"/>
      <c r="AX6" s="116"/>
      <c r="AY6" s="116"/>
      <c r="AZ6" s="116"/>
      <c r="BA6" s="116"/>
      <c r="BB6" s="116"/>
      <c r="BC6" s="116"/>
      <c r="BD6" s="116"/>
      <c r="BE6" s="116"/>
      <c r="BF6" s="116"/>
      <c r="BG6" s="116"/>
      <c r="BH6" s="116"/>
      <c r="BI6" s="116"/>
      <c r="BJ6" s="116"/>
      <c r="BK6" s="116"/>
      <c r="BL6" s="116"/>
      <c r="BM6" s="116"/>
      <c r="BN6" s="116"/>
      <c r="BO6" s="116"/>
      <c r="BP6" s="116"/>
      <c r="BQ6" s="116"/>
      <c r="BR6" s="116"/>
      <c r="BS6" s="116"/>
      <c r="BT6" s="116"/>
      <c r="BU6" s="116"/>
      <c r="BV6" s="116"/>
      <c r="BW6" s="116"/>
      <c r="BX6" s="116"/>
      <c r="BY6" s="116"/>
      <c r="BZ6" s="116"/>
      <c r="CA6" s="116"/>
      <c r="CB6" s="116"/>
      <c r="CC6" s="50" t="s">
        <v>2309</v>
      </c>
      <c r="CD6" s="50" t="s">
        <v>2310</v>
      </c>
      <c r="CE6" s="50">
        <v>1.0</v>
      </c>
      <c r="CF6" s="50" t="s">
        <v>2279</v>
      </c>
      <c r="CG6" s="117">
        <v>2762.0</v>
      </c>
      <c r="CH6" s="50" t="s">
        <v>2311</v>
      </c>
      <c r="CI6" s="50" t="s">
        <v>2312</v>
      </c>
      <c r="CJ6" s="117">
        <v>5.0</v>
      </c>
    </row>
    <row r="7">
      <c r="A7" s="50" t="s">
        <v>2313</v>
      </c>
      <c r="B7" s="50" t="s">
        <v>2314</v>
      </c>
      <c r="C7" s="116"/>
      <c r="D7" s="116"/>
      <c r="E7" s="50">
        <v>3.5215509147374E14</v>
      </c>
      <c r="F7" s="50">
        <v>58.0</v>
      </c>
      <c r="G7" s="50">
        <v>2.0</v>
      </c>
      <c r="H7" s="50">
        <v>8.0</v>
      </c>
      <c r="I7" s="51" t="s">
        <v>210</v>
      </c>
      <c r="J7" s="50" t="s">
        <v>2183</v>
      </c>
      <c r="K7" s="50" t="s">
        <v>2315</v>
      </c>
      <c r="L7" s="50" t="s">
        <v>2316</v>
      </c>
      <c r="M7" s="50">
        <v>22.5491209</v>
      </c>
      <c r="N7" s="50">
        <v>88.3971315</v>
      </c>
      <c r="O7" s="50">
        <v>-33.4000015258789</v>
      </c>
      <c r="P7" s="50">
        <v>5.0</v>
      </c>
      <c r="Q7" s="50">
        <v>1.0</v>
      </c>
      <c r="R7" s="50">
        <v>0.0</v>
      </c>
      <c r="S7" s="50">
        <v>1.0</v>
      </c>
      <c r="T7" s="116"/>
      <c r="U7" s="116"/>
      <c r="V7" s="50">
        <v>2.0</v>
      </c>
      <c r="W7" s="50">
        <v>1.0</v>
      </c>
      <c r="X7" s="116"/>
      <c r="Y7" s="50">
        <v>6.0</v>
      </c>
      <c r="Z7" s="116"/>
      <c r="AA7" s="116"/>
      <c r="AB7" s="116"/>
      <c r="AC7" s="116"/>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c r="BT7" s="116"/>
      <c r="BU7" s="116"/>
      <c r="BV7" s="116"/>
      <c r="BW7" s="116"/>
      <c r="BX7" s="116"/>
      <c r="BY7" s="116"/>
      <c r="BZ7" s="116"/>
      <c r="CA7" s="116"/>
      <c r="CB7" s="116"/>
      <c r="CC7" s="116"/>
      <c r="CD7" s="50" t="s">
        <v>2318</v>
      </c>
      <c r="CE7" s="50">
        <v>1.0</v>
      </c>
      <c r="CF7" s="50" t="s">
        <v>2279</v>
      </c>
      <c r="CG7" s="117">
        <v>2763.0</v>
      </c>
      <c r="CH7" s="50" t="s">
        <v>2319</v>
      </c>
      <c r="CI7" s="50" t="s">
        <v>2320</v>
      </c>
      <c r="CJ7" s="117">
        <v>6.0</v>
      </c>
    </row>
    <row r="8">
      <c r="A8" s="50" t="s">
        <v>2321</v>
      </c>
      <c r="B8" s="50" t="s">
        <v>2322</v>
      </c>
      <c r="C8" s="116"/>
      <c r="D8" s="116"/>
      <c r="E8" s="50">
        <v>3.5215509147374E14</v>
      </c>
      <c r="F8" s="50">
        <v>58.0</v>
      </c>
      <c r="G8" s="50">
        <v>2.0</v>
      </c>
      <c r="H8" s="50">
        <v>9.0</v>
      </c>
      <c r="I8" s="50" t="s">
        <v>2323</v>
      </c>
      <c r="J8" s="50" t="s">
        <v>2323</v>
      </c>
      <c r="K8" s="50" t="s">
        <v>2324</v>
      </c>
      <c r="L8" s="50" t="s">
        <v>2325</v>
      </c>
      <c r="M8" s="50">
        <v>22.5500434</v>
      </c>
      <c r="N8" s="50">
        <v>88.3966413</v>
      </c>
      <c r="O8" s="50">
        <v>-52.7000007629394</v>
      </c>
      <c r="P8" s="50">
        <v>5.0</v>
      </c>
      <c r="Q8" s="50">
        <v>1.0</v>
      </c>
      <c r="R8" s="50">
        <v>0.0</v>
      </c>
      <c r="S8" s="50">
        <v>1.0</v>
      </c>
      <c r="T8" s="116"/>
      <c r="U8" s="116"/>
      <c r="V8" s="116"/>
      <c r="W8" s="116"/>
      <c r="X8" s="116"/>
      <c r="Y8" s="116"/>
      <c r="Z8" s="116"/>
      <c r="AA8" s="50">
        <v>3.0</v>
      </c>
      <c r="AB8" s="116"/>
      <c r="AC8" s="50">
        <v>1.0</v>
      </c>
      <c r="AD8" s="50">
        <v>1.0</v>
      </c>
      <c r="AE8" s="116"/>
      <c r="AF8" s="116"/>
      <c r="AG8" s="116"/>
      <c r="AH8" s="116"/>
      <c r="AI8" s="116"/>
      <c r="AJ8" s="116"/>
      <c r="AK8" s="116"/>
      <c r="AL8" s="116"/>
      <c r="AM8" s="116"/>
      <c r="AN8" s="116"/>
      <c r="AO8" s="116"/>
      <c r="AP8" s="116"/>
      <c r="AQ8" s="116"/>
      <c r="AR8" s="116"/>
      <c r="AS8" s="116"/>
      <c r="AT8" s="116"/>
      <c r="AU8" s="116"/>
      <c r="AV8" s="116"/>
      <c r="AW8" s="116"/>
      <c r="AX8" s="116"/>
      <c r="AY8" s="116"/>
      <c r="AZ8" s="116"/>
      <c r="BA8" s="116"/>
      <c r="BB8" s="116"/>
      <c r="BC8" s="116"/>
      <c r="BD8" s="116"/>
      <c r="BE8" s="116"/>
      <c r="BF8" s="116"/>
      <c r="BG8" s="116"/>
      <c r="BH8" s="116"/>
      <c r="BI8" s="116"/>
      <c r="BJ8" s="116"/>
      <c r="BK8" s="116"/>
      <c r="BL8" s="116"/>
      <c r="BM8" s="116"/>
      <c r="BN8" s="116"/>
      <c r="BO8" s="116"/>
      <c r="BP8" s="116"/>
      <c r="BQ8" s="116"/>
      <c r="BR8" s="116"/>
      <c r="BS8" s="116"/>
      <c r="BT8" s="116"/>
      <c r="BU8" s="116"/>
      <c r="BV8" s="116"/>
      <c r="BW8" s="116"/>
      <c r="BX8" s="116"/>
      <c r="BY8" s="116"/>
      <c r="BZ8" s="116"/>
      <c r="CA8" s="116"/>
      <c r="CB8" s="116"/>
      <c r="CC8" s="116"/>
      <c r="CD8" s="50" t="s">
        <v>2327</v>
      </c>
      <c r="CE8" s="50">
        <v>1.0</v>
      </c>
      <c r="CF8" s="50" t="s">
        <v>2279</v>
      </c>
      <c r="CG8" s="117">
        <v>2773.0</v>
      </c>
      <c r="CH8" s="50" t="s">
        <v>2328</v>
      </c>
      <c r="CI8" s="50" t="s">
        <v>2329</v>
      </c>
      <c r="CJ8" s="117">
        <v>7.0</v>
      </c>
    </row>
    <row r="9">
      <c r="A9" s="50" t="s">
        <v>2330</v>
      </c>
      <c r="B9" s="50" t="s">
        <v>2331</v>
      </c>
      <c r="C9" s="116"/>
      <c r="D9" s="116"/>
      <c r="E9" s="50">
        <v>3.5215509147374E14</v>
      </c>
      <c r="F9" s="50">
        <v>58.0</v>
      </c>
      <c r="G9" s="50">
        <v>2.0</v>
      </c>
      <c r="H9" s="50">
        <v>3.0</v>
      </c>
      <c r="I9" s="51" t="s">
        <v>355</v>
      </c>
      <c r="J9" s="51" t="s">
        <v>355</v>
      </c>
      <c r="K9" s="50" t="s">
        <v>2332</v>
      </c>
      <c r="L9" s="50" t="s">
        <v>2333</v>
      </c>
      <c r="M9" s="50">
        <v>22.5500758</v>
      </c>
      <c r="N9" s="50">
        <v>88.3965813</v>
      </c>
      <c r="O9" s="50">
        <v>-31.8999996185302</v>
      </c>
      <c r="P9" s="50">
        <v>5.0</v>
      </c>
      <c r="Q9" s="50">
        <v>1.0</v>
      </c>
      <c r="R9" s="50">
        <v>0.0</v>
      </c>
      <c r="S9" s="50">
        <v>1.0</v>
      </c>
      <c r="T9" s="116"/>
      <c r="U9" s="116"/>
      <c r="V9" s="116"/>
      <c r="W9" s="116"/>
      <c r="X9" s="116"/>
      <c r="Y9" s="116"/>
      <c r="Z9" s="116"/>
      <c r="AA9" s="116"/>
      <c r="AB9" s="116"/>
      <c r="AC9" s="116"/>
      <c r="AD9" s="116"/>
      <c r="AE9" s="116"/>
      <c r="AF9" s="116"/>
      <c r="AG9" s="116"/>
      <c r="AH9" s="116"/>
      <c r="AI9" s="116"/>
      <c r="AJ9" s="116"/>
      <c r="AK9" s="116"/>
      <c r="AL9" s="116"/>
      <c r="AM9" s="116"/>
      <c r="AN9" s="116"/>
      <c r="AO9" s="50">
        <v>3.0</v>
      </c>
      <c r="AP9" s="116"/>
      <c r="AQ9" s="50">
        <v>0.0</v>
      </c>
      <c r="AR9" s="116"/>
      <c r="AS9" s="116"/>
      <c r="AT9" s="116"/>
      <c r="AU9" s="116"/>
      <c r="AV9" s="116"/>
      <c r="AW9" s="116"/>
      <c r="AX9" s="116"/>
      <c r="AY9" s="116"/>
      <c r="AZ9" s="116"/>
      <c r="BA9" s="116"/>
      <c r="BB9" s="116"/>
      <c r="BC9" s="116"/>
      <c r="BD9" s="116"/>
      <c r="BE9" s="116"/>
      <c r="BF9" s="116"/>
      <c r="BG9" s="116"/>
      <c r="BH9" s="116"/>
      <c r="BI9" s="116"/>
      <c r="BJ9" s="116"/>
      <c r="BK9" s="116"/>
      <c r="BL9" s="116"/>
      <c r="BM9" s="116"/>
      <c r="BN9" s="116"/>
      <c r="BO9" s="116"/>
      <c r="BP9" s="116"/>
      <c r="BQ9" s="116"/>
      <c r="BR9" s="116"/>
      <c r="BS9" s="116"/>
      <c r="BT9" s="116"/>
      <c r="BU9" s="116"/>
      <c r="BV9" s="116"/>
      <c r="BW9" s="116"/>
      <c r="BX9" s="116"/>
      <c r="BY9" s="116"/>
      <c r="BZ9" s="116"/>
      <c r="CA9" s="116"/>
      <c r="CB9" s="116"/>
      <c r="CC9" s="116"/>
      <c r="CD9" s="50" t="s">
        <v>2327</v>
      </c>
      <c r="CE9" s="50">
        <v>1.0</v>
      </c>
      <c r="CF9" s="50" t="s">
        <v>2279</v>
      </c>
      <c r="CG9" s="117">
        <v>2775.0</v>
      </c>
      <c r="CH9" s="50" t="s">
        <v>2335</v>
      </c>
      <c r="CI9" s="50" t="s">
        <v>2336</v>
      </c>
      <c r="CJ9" s="117">
        <v>8.0</v>
      </c>
    </row>
    <row r="10">
      <c r="A10" s="50" t="s">
        <v>2337</v>
      </c>
      <c r="B10" s="50" t="s">
        <v>2338</v>
      </c>
      <c r="C10" s="116"/>
      <c r="D10" s="116"/>
      <c r="E10" s="50">
        <v>3.5215509147374E14</v>
      </c>
      <c r="F10" s="50">
        <v>58.0</v>
      </c>
      <c r="G10" s="50">
        <v>2.0</v>
      </c>
      <c r="H10" s="50">
        <v>3.0</v>
      </c>
      <c r="I10" s="50" t="s">
        <v>2339</v>
      </c>
      <c r="J10" s="50" t="s">
        <v>2339</v>
      </c>
      <c r="K10" s="50" t="s">
        <v>2340</v>
      </c>
      <c r="L10" s="50" t="s">
        <v>2341</v>
      </c>
      <c r="M10" s="50">
        <v>22.5499108</v>
      </c>
      <c r="N10" s="50">
        <v>88.396909</v>
      </c>
      <c r="O10" s="50">
        <v>-50.599998474121</v>
      </c>
      <c r="P10" s="50">
        <v>5.0</v>
      </c>
      <c r="Q10" s="50">
        <v>1.0</v>
      </c>
      <c r="R10" s="50">
        <v>0.0</v>
      </c>
      <c r="S10" s="50">
        <v>1.0</v>
      </c>
      <c r="T10" s="116"/>
      <c r="U10" s="116"/>
      <c r="V10" s="116"/>
      <c r="W10" s="116"/>
      <c r="X10" s="116"/>
      <c r="Y10" s="116"/>
      <c r="Z10" s="116"/>
      <c r="AA10" s="116"/>
      <c r="AB10" s="116"/>
      <c r="AC10" s="116"/>
      <c r="AD10" s="116"/>
      <c r="AE10" s="116"/>
      <c r="AF10" s="116"/>
      <c r="AG10" s="116"/>
      <c r="AH10" s="116"/>
      <c r="AI10" s="116"/>
      <c r="AJ10" s="116"/>
      <c r="AK10" s="116"/>
      <c r="AL10" s="116"/>
      <c r="AM10" s="116"/>
      <c r="AN10" s="116"/>
      <c r="AO10" s="50">
        <v>4.0</v>
      </c>
      <c r="AP10" s="116"/>
      <c r="AQ10" s="50">
        <v>0.0</v>
      </c>
      <c r="AR10" s="116"/>
      <c r="AS10" s="116"/>
      <c r="AT10" s="116"/>
      <c r="AU10" s="116"/>
      <c r="AV10" s="116"/>
      <c r="AW10" s="116"/>
      <c r="AX10" s="116"/>
      <c r="AY10" s="116"/>
      <c r="AZ10" s="116"/>
      <c r="BA10" s="116"/>
      <c r="BB10" s="116"/>
      <c r="BC10" s="116"/>
      <c r="BD10" s="116"/>
      <c r="BE10" s="116"/>
      <c r="BF10" s="116"/>
      <c r="BG10" s="116"/>
      <c r="BH10" s="116"/>
      <c r="BI10" s="116"/>
      <c r="BJ10" s="116"/>
      <c r="BK10" s="116"/>
      <c r="BL10" s="116"/>
      <c r="BM10" s="116"/>
      <c r="BN10" s="116"/>
      <c r="BO10" s="116"/>
      <c r="BP10" s="116"/>
      <c r="BQ10" s="116"/>
      <c r="BR10" s="116"/>
      <c r="BS10" s="116"/>
      <c r="BT10" s="116"/>
      <c r="BU10" s="116"/>
      <c r="BV10" s="116"/>
      <c r="BW10" s="116"/>
      <c r="BX10" s="116"/>
      <c r="BY10" s="116"/>
      <c r="BZ10" s="116"/>
      <c r="CA10" s="116"/>
      <c r="CB10" s="116"/>
      <c r="CC10" s="50" t="s">
        <v>2342</v>
      </c>
      <c r="CD10" s="50" t="s">
        <v>2318</v>
      </c>
      <c r="CE10" s="50">
        <v>1.0</v>
      </c>
      <c r="CF10" s="50" t="s">
        <v>2279</v>
      </c>
      <c r="CG10" s="117">
        <v>2776.0</v>
      </c>
      <c r="CH10" s="50" t="s">
        <v>2343</v>
      </c>
      <c r="CI10" s="50" t="s">
        <v>2344</v>
      </c>
      <c r="CJ10" s="117">
        <v>9.0</v>
      </c>
    </row>
    <row r="11">
      <c r="A11" s="50" t="s">
        <v>2345</v>
      </c>
      <c r="B11" s="50" t="s">
        <v>2346</v>
      </c>
      <c r="C11" s="116"/>
      <c r="D11" s="116"/>
      <c r="E11" s="50">
        <v>3.5215509147374E14</v>
      </c>
      <c r="F11" s="50">
        <v>58.0</v>
      </c>
      <c r="G11" s="50">
        <v>2.0</v>
      </c>
      <c r="H11" s="50">
        <v>10.0</v>
      </c>
      <c r="I11" s="51" t="s">
        <v>366</v>
      </c>
      <c r="J11" s="51" t="s">
        <v>366</v>
      </c>
      <c r="K11" s="50" t="s">
        <v>2348</v>
      </c>
      <c r="L11" s="50" t="s">
        <v>2349</v>
      </c>
      <c r="M11" s="50">
        <v>22.5514256</v>
      </c>
      <c r="N11" s="50">
        <v>88.3959025</v>
      </c>
      <c r="O11" s="50">
        <v>-69.5</v>
      </c>
      <c r="P11" s="50">
        <v>4.5</v>
      </c>
      <c r="Q11" s="50">
        <v>1.0</v>
      </c>
      <c r="R11" s="50">
        <v>0.0</v>
      </c>
      <c r="S11" s="50">
        <v>1.0</v>
      </c>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50">
        <v>88.0</v>
      </c>
      <c r="BW11" s="50" t="s">
        <v>2350</v>
      </c>
      <c r="BX11" s="116"/>
      <c r="BY11" s="116"/>
      <c r="BZ11" s="116"/>
      <c r="CA11" s="116"/>
      <c r="CB11" s="116"/>
      <c r="CC11" s="116"/>
      <c r="CD11" s="50" t="s">
        <v>2302</v>
      </c>
      <c r="CE11" s="50">
        <v>1.0</v>
      </c>
      <c r="CF11" s="50" t="s">
        <v>2279</v>
      </c>
      <c r="CG11" s="117">
        <v>2778.0</v>
      </c>
      <c r="CH11" s="50" t="s">
        <v>2351</v>
      </c>
      <c r="CI11" s="50" t="s">
        <v>2352</v>
      </c>
      <c r="CJ11" s="117">
        <v>10.0</v>
      </c>
    </row>
    <row r="12">
      <c r="A12" s="50" t="s">
        <v>2353</v>
      </c>
      <c r="B12" s="50" t="s">
        <v>2354</v>
      </c>
      <c r="C12" s="116"/>
      <c r="D12" s="116"/>
      <c r="E12" s="50">
        <v>3.5215509147374E14</v>
      </c>
      <c r="F12" s="50">
        <v>58.0</v>
      </c>
      <c r="G12" s="50">
        <v>2.0</v>
      </c>
      <c r="H12" s="50">
        <v>5.0</v>
      </c>
      <c r="I12" s="50" t="s">
        <v>2355</v>
      </c>
      <c r="J12" s="50" t="s">
        <v>2355</v>
      </c>
      <c r="K12" s="50" t="s">
        <v>2356</v>
      </c>
      <c r="L12" s="50" t="s">
        <v>2357</v>
      </c>
      <c r="M12" s="50">
        <v>22.5472498</v>
      </c>
      <c r="N12" s="50">
        <v>88.3964645</v>
      </c>
      <c r="O12" s="50">
        <v>-57.7999992370605</v>
      </c>
      <c r="P12" s="50">
        <v>5.0</v>
      </c>
      <c r="Q12" s="50">
        <v>1.0</v>
      </c>
      <c r="R12" s="50">
        <v>0.0</v>
      </c>
      <c r="S12" s="50">
        <v>1.0</v>
      </c>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50">
        <v>2.0</v>
      </c>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50" t="s">
        <v>2359</v>
      </c>
      <c r="CD12" s="50" t="s">
        <v>2327</v>
      </c>
      <c r="CE12" s="50">
        <v>1.0</v>
      </c>
      <c r="CF12" s="50" t="s">
        <v>2279</v>
      </c>
      <c r="CG12" s="117">
        <v>2779.0</v>
      </c>
      <c r="CH12" s="50" t="s">
        <v>2360</v>
      </c>
      <c r="CI12" s="50" t="s">
        <v>2361</v>
      </c>
      <c r="CJ12" s="117">
        <v>11.0</v>
      </c>
    </row>
    <row r="13">
      <c r="A13" s="50" t="s">
        <v>2362</v>
      </c>
      <c r="B13" s="50" t="s">
        <v>2363</v>
      </c>
      <c r="C13" s="116"/>
      <c r="D13" s="116"/>
      <c r="E13" s="50">
        <v>3.5215509147374E14</v>
      </c>
      <c r="F13" s="50">
        <v>58.0</v>
      </c>
      <c r="G13" s="50">
        <v>2.0</v>
      </c>
      <c r="H13" s="50">
        <v>7.0</v>
      </c>
      <c r="I13" s="49" t="s">
        <v>375</v>
      </c>
      <c r="J13" s="49" t="s">
        <v>375</v>
      </c>
      <c r="K13" s="50" t="s">
        <v>2364</v>
      </c>
      <c r="L13" s="50" t="s">
        <v>2365</v>
      </c>
      <c r="M13" s="50">
        <v>22.5491881</v>
      </c>
      <c r="N13" s="50">
        <v>88.3977246</v>
      </c>
      <c r="O13" s="50">
        <v>-14.5</v>
      </c>
      <c r="P13" s="50">
        <v>5.0</v>
      </c>
      <c r="Q13" s="50">
        <v>1.0</v>
      </c>
      <c r="R13" s="50">
        <v>0.0</v>
      </c>
      <c r="S13" s="50">
        <v>1.0</v>
      </c>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50">
        <v>3.0</v>
      </c>
      <c r="AX13" s="116"/>
      <c r="AY13" s="50">
        <v>20.0</v>
      </c>
      <c r="AZ13" s="50">
        <v>0.0</v>
      </c>
      <c r="BA13" s="50">
        <v>4.0</v>
      </c>
      <c r="BB13" s="50">
        <v>0.0</v>
      </c>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50" t="s">
        <v>2278</v>
      </c>
      <c r="CE13" s="50">
        <v>1.0</v>
      </c>
      <c r="CF13" s="50" t="s">
        <v>2279</v>
      </c>
      <c r="CG13" s="117">
        <v>2783.0</v>
      </c>
      <c r="CH13" s="50" t="s">
        <v>2366</v>
      </c>
      <c r="CI13" s="50" t="s">
        <v>2368</v>
      </c>
      <c r="CJ13" s="117">
        <v>12.0</v>
      </c>
    </row>
    <row r="14">
      <c r="A14" s="50" t="s">
        <v>2369</v>
      </c>
      <c r="B14" s="50" t="s">
        <v>2370</v>
      </c>
      <c r="C14" s="116"/>
      <c r="D14" s="116"/>
      <c r="E14" s="50">
        <v>3.5215509147374E14</v>
      </c>
      <c r="F14" s="50">
        <v>58.0</v>
      </c>
      <c r="G14" s="50">
        <v>2.0</v>
      </c>
      <c r="H14" s="50">
        <v>3.0</v>
      </c>
      <c r="I14" s="50" t="s">
        <v>2098</v>
      </c>
      <c r="J14" s="50" t="s">
        <v>2098</v>
      </c>
      <c r="K14" s="50" t="s">
        <v>2371</v>
      </c>
      <c r="L14" s="50" t="s">
        <v>2372</v>
      </c>
      <c r="M14" s="50">
        <v>22.5496374</v>
      </c>
      <c r="N14" s="50">
        <v>88.3968076</v>
      </c>
      <c r="O14" s="50">
        <v>-67.0</v>
      </c>
      <c r="P14" s="50">
        <v>5.0</v>
      </c>
      <c r="Q14" s="50">
        <v>1.0</v>
      </c>
      <c r="R14" s="50">
        <v>0.0</v>
      </c>
      <c r="S14" s="50">
        <v>0.0</v>
      </c>
      <c r="T14" s="50">
        <v>1.0</v>
      </c>
      <c r="U14" s="116"/>
      <c r="V14" s="116"/>
      <c r="W14" s="116"/>
      <c r="X14" s="116"/>
      <c r="Y14" s="116"/>
      <c r="Z14" s="116"/>
      <c r="AA14" s="116"/>
      <c r="AB14" s="116"/>
      <c r="AC14" s="116"/>
      <c r="AD14" s="116"/>
      <c r="AE14" s="116"/>
      <c r="AF14" s="116"/>
      <c r="AG14" s="116"/>
      <c r="AH14" s="116"/>
      <c r="AI14" s="116"/>
      <c r="AJ14" s="116"/>
      <c r="AK14" s="116"/>
      <c r="AL14" s="116"/>
      <c r="AM14" s="116"/>
      <c r="AN14" s="116"/>
      <c r="AO14" s="50">
        <v>3.0</v>
      </c>
      <c r="AP14" s="116"/>
      <c r="AQ14" s="50">
        <v>0.0</v>
      </c>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50" t="s">
        <v>2302</v>
      </c>
      <c r="CE14" s="50">
        <v>1.0</v>
      </c>
      <c r="CF14" s="50" t="s">
        <v>2279</v>
      </c>
      <c r="CG14" s="117">
        <v>2784.0</v>
      </c>
      <c r="CH14" s="50" t="s">
        <v>2373</v>
      </c>
      <c r="CI14" s="50" t="s">
        <v>2374</v>
      </c>
      <c r="CJ14" s="117">
        <v>13.0</v>
      </c>
    </row>
    <row r="15">
      <c r="A15" s="50" t="s">
        <v>2375</v>
      </c>
      <c r="B15" s="50" t="s">
        <v>2376</v>
      </c>
      <c r="C15" s="116"/>
      <c r="D15" s="116"/>
      <c r="E15" s="50">
        <v>3.5215509147374E14</v>
      </c>
      <c r="F15" s="50">
        <v>58.0</v>
      </c>
      <c r="G15" s="50">
        <v>2.0</v>
      </c>
      <c r="H15" s="50">
        <v>2.0</v>
      </c>
      <c r="I15" s="51" t="s">
        <v>357</v>
      </c>
      <c r="J15" s="51" t="s">
        <v>357</v>
      </c>
      <c r="K15" s="50" t="s">
        <v>2377</v>
      </c>
      <c r="L15" s="50" t="s">
        <v>2378</v>
      </c>
      <c r="M15" s="50">
        <v>22.5493671</v>
      </c>
      <c r="N15" s="50">
        <v>88.3968905</v>
      </c>
      <c r="O15" s="50">
        <v>-42.0</v>
      </c>
      <c r="P15" s="50">
        <v>5.0</v>
      </c>
      <c r="Q15" s="50">
        <v>1.0</v>
      </c>
      <c r="R15" s="50">
        <v>0.0</v>
      </c>
      <c r="S15" s="50">
        <v>0.0</v>
      </c>
      <c r="T15" s="50">
        <v>1.0</v>
      </c>
      <c r="U15" s="116"/>
      <c r="V15" s="116"/>
      <c r="W15" s="116"/>
      <c r="X15" s="116"/>
      <c r="Y15" s="116"/>
      <c r="Z15" s="116"/>
      <c r="AA15" s="116"/>
      <c r="AB15" s="116"/>
      <c r="AC15" s="116"/>
      <c r="AD15" s="116"/>
      <c r="AE15" s="116"/>
      <c r="AF15" s="116"/>
      <c r="AG15" s="116"/>
      <c r="AH15" s="116"/>
      <c r="AI15" s="116"/>
      <c r="AJ15" s="50">
        <v>2.0</v>
      </c>
      <c r="AK15" s="116"/>
      <c r="AL15" s="116"/>
      <c r="AM15" s="50">
        <v>1.0</v>
      </c>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50" t="s">
        <v>2327</v>
      </c>
      <c r="CE15" s="50">
        <v>1.0</v>
      </c>
      <c r="CF15" s="50" t="s">
        <v>2279</v>
      </c>
      <c r="CG15" s="117">
        <v>2785.0</v>
      </c>
      <c r="CH15" s="50" t="s">
        <v>2380</v>
      </c>
      <c r="CI15" s="50" t="s">
        <v>2381</v>
      </c>
      <c r="CJ15" s="117">
        <v>14.0</v>
      </c>
    </row>
    <row r="16">
      <c r="A16" s="50" t="s">
        <v>2382</v>
      </c>
      <c r="B16" s="50" t="s">
        <v>2383</v>
      </c>
      <c r="C16" s="116"/>
      <c r="D16" s="116"/>
      <c r="E16" s="50">
        <v>3.5215509147374E14</v>
      </c>
      <c r="F16" s="50">
        <v>58.0</v>
      </c>
      <c r="G16" s="50">
        <v>2.0</v>
      </c>
      <c r="H16" s="50">
        <v>8.0</v>
      </c>
      <c r="I16" s="50" t="s">
        <v>2384</v>
      </c>
      <c r="J16" s="50" t="s">
        <v>2384</v>
      </c>
      <c r="K16" s="50" t="s">
        <v>2385</v>
      </c>
      <c r="L16" s="50" t="s">
        <v>2386</v>
      </c>
      <c r="M16" s="50">
        <v>22.5508444</v>
      </c>
      <c r="N16" s="50">
        <v>88.3957485</v>
      </c>
      <c r="O16" s="50">
        <v>-42.599998474121</v>
      </c>
      <c r="P16" s="50">
        <v>4.5</v>
      </c>
      <c r="Q16" s="50">
        <v>1.0</v>
      </c>
      <c r="R16" s="50">
        <v>0.0</v>
      </c>
      <c r="S16" s="50">
        <v>0.0</v>
      </c>
      <c r="T16" s="50">
        <v>1.0</v>
      </c>
      <c r="U16" s="116"/>
      <c r="V16" s="50">
        <v>2.0</v>
      </c>
      <c r="W16" s="50">
        <v>1.0</v>
      </c>
      <c r="X16" s="116"/>
      <c r="Y16" s="50">
        <v>15.0</v>
      </c>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50" t="s">
        <v>2388</v>
      </c>
      <c r="CD16" s="50" t="s">
        <v>2302</v>
      </c>
      <c r="CE16" s="50">
        <v>1.0</v>
      </c>
      <c r="CF16" s="50" t="s">
        <v>2279</v>
      </c>
      <c r="CG16" s="117">
        <v>2786.0</v>
      </c>
      <c r="CH16" s="50" t="s">
        <v>2389</v>
      </c>
      <c r="CI16" s="50" t="s">
        <v>2390</v>
      </c>
      <c r="CJ16" s="117">
        <v>15.0</v>
      </c>
    </row>
    <row r="17">
      <c r="A17" s="50" t="s">
        <v>2391</v>
      </c>
      <c r="B17" s="50" t="s">
        <v>2392</v>
      </c>
      <c r="C17" s="116"/>
      <c r="D17" s="116"/>
      <c r="E17" s="50">
        <v>3.5215509147374E14</v>
      </c>
      <c r="F17" s="50">
        <v>58.0</v>
      </c>
      <c r="G17" s="50">
        <v>2.0</v>
      </c>
      <c r="H17" s="50">
        <v>8.0</v>
      </c>
      <c r="I17" s="51" t="s">
        <v>353</v>
      </c>
      <c r="J17" s="51" t="s">
        <v>353</v>
      </c>
      <c r="K17" s="50" t="s">
        <v>2393</v>
      </c>
      <c r="L17" s="50" t="s">
        <v>2394</v>
      </c>
      <c r="M17" s="50">
        <v>22.5508748</v>
      </c>
      <c r="N17" s="50">
        <v>88.3957038</v>
      </c>
      <c r="O17" s="50">
        <v>-49.2999992370605</v>
      </c>
      <c r="P17" s="50">
        <v>5.0</v>
      </c>
      <c r="Q17" s="50">
        <v>1.0</v>
      </c>
      <c r="R17" s="50">
        <v>0.0</v>
      </c>
      <c r="S17" s="50">
        <v>0.0</v>
      </c>
      <c r="T17" s="50">
        <v>1.0</v>
      </c>
      <c r="U17" s="116"/>
      <c r="V17" s="50">
        <v>2.0</v>
      </c>
      <c r="W17" s="50">
        <v>1.0</v>
      </c>
      <c r="X17" s="116"/>
      <c r="Y17" s="50">
        <v>20.0</v>
      </c>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50" t="s">
        <v>2302</v>
      </c>
      <c r="CE17" s="50">
        <v>1.0</v>
      </c>
      <c r="CF17" s="50" t="s">
        <v>2279</v>
      </c>
      <c r="CG17" s="117">
        <v>2787.0</v>
      </c>
      <c r="CH17" s="50" t="s">
        <v>2395</v>
      </c>
      <c r="CI17" s="50" t="s">
        <v>2396</v>
      </c>
      <c r="CJ17" s="117">
        <v>16.0</v>
      </c>
    </row>
    <row r="18">
      <c r="A18" s="50" t="s">
        <v>2397</v>
      </c>
      <c r="B18" s="50" t="s">
        <v>2398</v>
      </c>
      <c r="C18" s="116"/>
      <c r="D18" s="116"/>
      <c r="E18" s="50">
        <v>3.5215509147374E14</v>
      </c>
      <c r="F18" s="50">
        <v>58.0</v>
      </c>
      <c r="G18" s="50">
        <v>1.0</v>
      </c>
      <c r="H18" s="50">
        <v>3.0</v>
      </c>
      <c r="I18" s="50" t="s">
        <v>385</v>
      </c>
      <c r="J18" s="50" t="s">
        <v>385</v>
      </c>
      <c r="K18" s="50" t="s">
        <v>2400</v>
      </c>
      <c r="L18" s="50" t="s">
        <v>2401</v>
      </c>
      <c r="M18" s="50">
        <v>22.5538041</v>
      </c>
      <c r="N18" s="50">
        <v>88.3973965</v>
      </c>
      <c r="O18" s="50">
        <v>-7.40000009536743</v>
      </c>
      <c r="P18" s="50">
        <v>4.5</v>
      </c>
      <c r="Q18" s="50">
        <v>1.0</v>
      </c>
      <c r="R18" s="50">
        <v>1.0</v>
      </c>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50">
        <v>4.0</v>
      </c>
      <c r="AP18" s="116"/>
      <c r="AQ18" s="50">
        <v>1.0</v>
      </c>
      <c r="AR18" s="50">
        <v>1.0</v>
      </c>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50" t="s">
        <v>2286</v>
      </c>
      <c r="CE18" s="50">
        <v>1.0</v>
      </c>
      <c r="CF18" s="50" t="s">
        <v>2279</v>
      </c>
      <c r="CG18" s="117">
        <v>2809.0</v>
      </c>
      <c r="CH18" s="50" t="s">
        <v>2402</v>
      </c>
      <c r="CI18" s="50" t="s">
        <v>2403</v>
      </c>
      <c r="CJ18" s="117">
        <v>17.0</v>
      </c>
    </row>
    <row r="19">
      <c r="A19" s="50" t="s">
        <v>2404</v>
      </c>
      <c r="B19" s="50" t="s">
        <v>2405</v>
      </c>
      <c r="C19" s="116"/>
      <c r="D19" s="116"/>
      <c r="E19" s="50">
        <v>3.5215509147374E14</v>
      </c>
      <c r="F19" s="50">
        <v>58.0</v>
      </c>
      <c r="G19" s="50">
        <v>1.0</v>
      </c>
      <c r="H19" s="50">
        <v>10.0</v>
      </c>
      <c r="I19" s="50" t="s">
        <v>325</v>
      </c>
      <c r="J19" s="50" t="s">
        <v>325</v>
      </c>
      <c r="K19" s="50" t="s">
        <v>2406</v>
      </c>
      <c r="L19" s="50" t="s">
        <v>2407</v>
      </c>
      <c r="M19" s="50">
        <v>22.5536256</v>
      </c>
      <c r="N19" s="50">
        <v>88.3979549</v>
      </c>
      <c r="O19" s="50">
        <v>-48.4000015258789</v>
      </c>
      <c r="P19" s="50">
        <v>5.0</v>
      </c>
      <c r="Q19" s="50">
        <v>1.0</v>
      </c>
      <c r="R19" s="50">
        <v>1.0</v>
      </c>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50">
        <v>88.0</v>
      </c>
      <c r="BW19" s="50" t="s">
        <v>2350</v>
      </c>
      <c r="BX19" s="116"/>
      <c r="BY19" s="116"/>
      <c r="BZ19" s="116"/>
      <c r="CA19" s="116"/>
      <c r="CB19" s="116"/>
      <c r="CC19" s="116"/>
      <c r="CD19" s="50" t="s">
        <v>2302</v>
      </c>
      <c r="CE19" s="50">
        <v>0.0</v>
      </c>
      <c r="CF19" s="50" t="s">
        <v>2279</v>
      </c>
      <c r="CG19" s="117">
        <v>2810.0</v>
      </c>
      <c r="CH19" s="50" t="s">
        <v>2409</v>
      </c>
      <c r="CI19" s="50" t="s">
        <v>2410</v>
      </c>
      <c r="CJ19" s="117">
        <v>18.0</v>
      </c>
    </row>
    <row r="20">
      <c r="A20" s="50" t="s">
        <v>2411</v>
      </c>
      <c r="B20" s="50" t="s">
        <v>2412</v>
      </c>
      <c r="C20" s="116"/>
      <c r="D20" s="116"/>
      <c r="E20" s="50">
        <v>3.5215509147374E14</v>
      </c>
      <c r="F20" s="50">
        <v>58.0</v>
      </c>
      <c r="G20" s="50">
        <v>1.0</v>
      </c>
      <c r="H20" s="50">
        <v>10.0</v>
      </c>
      <c r="I20" s="50" t="s">
        <v>392</v>
      </c>
      <c r="J20" s="50" t="s">
        <v>392</v>
      </c>
      <c r="K20" s="50" t="s">
        <v>2413</v>
      </c>
      <c r="L20" s="50" t="s">
        <v>2414</v>
      </c>
      <c r="M20" s="50">
        <v>22.5535655</v>
      </c>
      <c r="N20" s="50">
        <v>88.397867</v>
      </c>
      <c r="O20" s="50">
        <v>-41.2999992370605</v>
      </c>
      <c r="P20" s="50">
        <v>5.0</v>
      </c>
      <c r="Q20" s="50">
        <v>1.0</v>
      </c>
      <c r="R20" s="50">
        <v>1.0</v>
      </c>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50">
        <v>88.0</v>
      </c>
      <c r="BW20" s="50" t="s">
        <v>2416</v>
      </c>
      <c r="BX20" s="116"/>
      <c r="BY20" s="116"/>
      <c r="BZ20" s="116"/>
      <c r="CA20" s="116"/>
      <c r="CB20" s="116"/>
      <c r="CC20" s="116"/>
      <c r="CD20" s="50" t="s">
        <v>2286</v>
      </c>
      <c r="CE20" s="50">
        <v>1.0</v>
      </c>
      <c r="CF20" s="50" t="s">
        <v>2279</v>
      </c>
      <c r="CG20" s="117">
        <v>2811.0</v>
      </c>
      <c r="CH20" s="50" t="s">
        <v>2417</v>
      </c>
      <c r="CI20" s="50" t="s">
        <v>2418</v>
      </c>
      <c r="CJ20" s="117">
        <v>19.0</v>
      </c>
    </row>
    <row r="21">
      <c r="A21" s="50" t="s">
        <v>2419</v>
      </c>
      <c r="B21" s="50" t="s">
        <v>2420</v>
      </c>
      <c r="C21" s="116"/>
      <c r="D21" s="116"/>
      <c r="E21" s="50">
        <v>3.5215509147374E14</v>
      </c>
      <c r="F21" s="50">
        <v>58.0</v>
      </c>
      <c r="G21" s="50">
        <v>1.0</v>
      </c>
      <c r="H21" s="50">
        <v>1.0</v>
      </c>
      <c r="I21" s="50" t="s">
        <v>389</v>
      </c>
      <c r="J21" s="50" t="s">
        <v>389</v>
      </c>
      <c r="K21" s="50" t="s">
        <v>2421</v>
      </c>
      <c r="L21" s="50" t="s">
        <v>2422</v>
      </c>
      <c r="M21" s="50">
        <v>22.553719</v>
      </c>
      <c r="N21" s="50">
        <v>88.3973382</v>
      </c>
      <c r="O21" s="50">
        <v>-39.2000007629394</v>
      </c>
      <c r="P21" s="50">
        <v>4.5</v>
      </c>
      <c r="Q21" s="50">
        <v>1.0</v>
      </c>
      <c r="R21" s="50">
        <v>1.0</v>
      </c>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50">
        <v>3.0</v>
      </c>
      <c r="BH21" s="50">
        <v>1.0</v>
      </c>
      <c r="BI21" s="50">
        <v>2.0</v>
      </c>
      <c r="BJ21" s="50">
        <v>1.0</v>
      </c>
      <c r="BK21" s="116"/>
      <c r="BL21" s="116"/>
      <c r="BM21" s="50">
        <v>0.0</v>
      </c>
      <c r="BN21" s="50">
        <v>0.0</v>
      </c>
      <c r="BO21" s="50">
        <v>0.0</v>
      </c>
      <c r="BP21" s="50">
        <v>0.0</v>
      </c>
      <c r="BQ21" s="50">
        <v>0.0</v>
      </c>
      <c r="BR21" s="50">
        <v>0.0</v>
      </c>
      <c r="BS21" s="50">
        <v>1.0</v>
      </c>
      <c r="BT21" s="50">
        <v>1.0</v>
      </c>
      <c r="BU21" s="50">
        <v>5.0</v>
      </c>
      <c r="BV21" s="116"/>
      <c r="BW21" s="116"/>
      <c r="BX21" s="116"/>
      <c r="BY21" s="116"/>
      <c r="BZ21" s="116"/>
      <c r="CA21" s="116"/>
      <c r="CB21" s="116"/>
      <c r="CC21" s="116"/>
      <c r="CD21" s="50" t="s">
        <v>2286</v>
      </c>
      <c r="CE21" s="50">
        <v>1.0</v>
      </c>
      <c r="CF21" s="50" t="s">
        <v>2279</v>
      </c>
      <c r="CG21" s="117">
        <v>2812.0</v>
      </c>
      <c r="CH21" s="50" t="s">
        <v>2423</v>
      </c>
      <c r="CI21" s="50" t="s">
        <v>2424</v>
      </c>
      <c r="CJ21" s="117">
        <v>20.0</v>
      </c>
    </row>
    <row r="22">
      <c r="A22" s="50" t="s">
        <v>2425</v>
      </c>
      <c r="B22" s="50" t="s">
        <v>2426</v>
      </c>
      <c r="C22" s="116"/>
      <c r="D22" s="116"/>
      <c r="E22" s="50">
        <v>3.5215509147374E14</v>
      </c>
      <c r="F22" s="50">
        <v>58.0</v>
      </c>
      <c r="G22" s="50">
        <v>1.0</v>
      </c>
      <c r="H22" s="50">
        <v>5.0</v>
      </c>
      <c r="I22" s="50" t="s">
        <v>394</v>
      </c>
      <c r="J22" s="50" t="s">
        <v>394</v>
      </c>
      <c r="K22" s="50" t="s">
        <v>2427</v>
      </c>
      <c r="L22" s="50" t="s">
        <v>2428</v>
      </c>
      <c r="M22" s="50">
        <v>22.5540082</v>
      </c>
      <c r="N22" s="50">
        <v>88.3953089</v>
      </c>
      <c r="O22" s="50">
        <v>-44.5</v>
      </c>
      <c r="P22" s="50">
        <v>4.5</v>
      </c>
      <c r="Q22" s="50">
        <v>1.0</v>
      </c>
      <c r="R22" s="50">
        <v>1.0</v>
      </c>
      <c r="S22" s="116"/>
      <c r="T22" s="116"/>
      <c r="U22" s="116"/>
      <c r="V22" s="116"/>
      <c r="W22" s="116"/>
      <c r="X22" s="116"/>
      <c r="Y22" s="116"/>
      <c r="Z22" s="116"/>
      <c r="AA22" s="116"/>
      <c r="AB22" s="116"/>
      <c r="AC22" s="116"/>
      <c r="AD22" s="116"/>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50">
        <v>2.0</v>
      </c>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50" t="s">
        <v>2286</v>
      </c>
      <c r="CE22" s="50">
        <v>1.0</v>
      </c>
      <c r="CF22" s="50" t="s">
        <v>2279</v>
      </c>
      <c r="CG22" s="117">
        <v>2813.0</v>
      </c>
      <c r="CH22" s="50" t="s">
        <v>2429</v>
      </c>
      <c r="CI22" s="50" t="s">
        <v>2430</v>
      </c>
      <c r="CJ22" s="117">
        <v>21.0</v>
      </c>
    </row>
    <row r="23">
      <c r="A23" s="50" t="s">
        <v>2431</v>
      </c>
      <c r="B23" s="50" t="s">
        <v>2432</v>
      </c>
      <c r="C23" s="116"/>
      <c r="D23" s="116"/>
      <c r="E23" s="50">
        <v>3.5215509147374E14</v>
      </c>
      <c r="F23" s="50">
        <v>58.0</v>
      </c>
      <c r="G23" s="50">
        <v>2.0</v>
      </c>
      <c r="H23" s="50">
        <v>3.0</v>
      </c>
      <c r="I23" s="50" t="s">
        <v>399</v>
      </c>
      <c r="J23" s="50" t="s">
        <v>399</v>
      </c>
      <c r="K23" s="50" t="s">
        <v>2433</v>
      </c>
      <c r="L23" s="50" t="s">
        <v>2434</v>
      </c>
      <c r="M23" s="50">
        <v>22.5504867</v>
      </c>
      <c r="N23" s="50">
        <v>88.3968648</v>
      </c>
      <c r="O23" s="50">
        <v>-49.5</v>
      </c>
      <c r="P23" s="50">
        <v>5.0</v>
      </c>
      <c r="Q23" s="50">
        <v>1.0</v>
      </c>
      <c r="R23" s="50">
        <v>1.0</v>
      </c>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50">
        <v>4.0</v>
      </c>
      <c r="AP23" s="116"/>
      <c r="AQ23" s="50">
        <v>0.0</v>
      </c>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50" t="s">
        <v>2436</v>
      </c>
      <c r="CD23" s="50" t="s">
        <v>2286</v>
      </c>
      <c r="CE23" s="50">
        <v>1.0</v>
      </c>
      <c r="CF23" s="50" t="s">
        <v>2279</v>
      </c>
      <c r="CG23" s="117">
        <v>2828.0</v>
      </c>
      <c r="CH23" s="50" t="s">
        <v>2437</v>
      </c>
      <c r="CI23" s="50" t="s">
        <v>2438</v>
      </c>
      <c r="CJ23" s="117">
        <v>22.0</v>
      </c>
    </row>
    <row r="24">
      <c r="A24" s="50" t="s">
        <v>2439</v>
      </c>
      <c r="B24" s="50" t="s">
        <v>2440</v>
      </c>
      <c r="C24" s="116"/>
      <c r="D24" s="116"/>
      <c r="E24" s="50">
        <v>3.5215509147374E14</v>
      </c>
      <c r="F24" s="50">
        <v>58.0</v>
      </c>
      <c r="G24" s="50">
        <v>1.0</v>
      </c>
      <c r="H24" s="50">
        <v>7.0</v>
      </c>
      <c r="I24" s="50" t="s">
        <v>400</v>
      </c>
      <c r="J24" s="50" t="s">
        <v>400</v>
      </c>
      <c r="K24" s="50" t="s">
        <v>2441</v>
      </c>
      <c r="L24" s="50" t="s">
        <v>2442</v>
      </c>
      <c r="M24" s="50">
        <v>22.5531633</v>
      </c>
      <c r="N24" s="50">
        <v>88.3982627</v>
      </c>
      <c r="O24" s="50">
        <v>-44.9000015258789</v>
      </c>
      <c r="P24" s="50">
        <v>5.0</v>
      </c>
      <c r="Q24" s="50">
        <v>1.0</v>
      </c>
      <c r="R24" s="50">
        <v>1.0</v>
      </c>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50">
        <v>2.0</v>
      </c>
      <c r="AX24" s="116"/>
      <c r="AY24" s="50">
        <v>2.0</v>
      </c>
      <c r="AZ24" s="50">
        <v>0.0</v>
      </c>
      <c r="BA24" s="50">
        <v>30.0</v>
      </c>
      <c r="BB24" s="50">
        <v>0.0</v>
      </c>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50" t="s">
        <v>2302</v>
      </c>
      <c r="CE24" s="50">
        <v>1.0</v>
      </c>
      <c r="CF24" s="50" t="s">
        <v>2279</v>
      </c>
      <c r="CG24" s="117">
        <v>2829.0</v>
      </c>
      <c r="CH24" s="50" t="s">
        <v>2443</v>
      </c>
      <c r="CI24" s="50" t="s">
        <v>2444</v>
      </c>
      <c r="CJ24" s="117">
        <v>23.0</v>
      </c>
    </row>
    <row r="25">
      <c r="A25" s="50" t="s">
        <v>2445</v>
      </c>
      <c r="B25" s="50" t="s">
        <v>2446</v>
      </c>
      <c r="C25" s="116"/>
      <c r="D25" s="116"/>
      <c r="E25" s="50">
        <v>3.5215509147374E14</v>
      </c>
      <c r="F25" s="50">
        <v>58.0</v>
      </c>
      <c r="G25" s="50">
        <v>1.0</v>
      </c>
      <c r="H25" s="50">
        <v>7.0</v>
      </c>
      <c r="I25" s="50" t="s">
        <v>401</v>
      </c>
      <c r="J25" s="50" t="s">
        <v>401</v>
      </c>
      <c r="K25" s="50" t="s">
        <v>2447</v>
      </c>
      <c r="L25" s="50" t="s">
        <v>2449</v>
      </c>
      <c r="M25" s="50">
        <v>22.5535471</v>
      </c>
      <c r="N25" s="50">
        <v>88.3980474</v>
      </c>
      <c r="O25" s="50">
        <v>-46.7000007629394</v>
      </c>
      <c r="P25" s="50">
        <v>5.0</v>
      </c>
      <c r="Q25" s="50">
        <v>1.0</v>
      </c>
      <c r="R25" s="50">
        <v>1.0</v>
      </c>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50">
        <v>3.0</v>
      </c>
      <c r="AX25" s="116"/>
      <c r="AY25" s="50">
        <v>5.0</v>
      </c>
      <c r="AZ25" s="50">
        <v>0.0</v>
      </c>
      <c r="BA25" s="50">
        <v>6.0</v>
      </c>
      <c r="BB25" s="50">
        <v>0.0</v>
      </c>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50" t="s">
        <v>2302</v>
      </c>
      <c r="CE25" s="50">
        <v>1.0</v>
      </c>
      <c r="CF25" s="50" t="s">
        <v>2279</v>
      </c>
      <c r="CG25" s="117">
        <v>2830.0</v>
      </c>
      <c r="CH25" s="50" t="s">
        <v>2450</v>
      </c>
      <c r="CI25" s="50" t="s">
        <v>2451</v>
      </c>
      <c r="CJ25" s="117">
        <v>24.0</v>
      </c>
    </row>
    <row r="26">
      <c r="A26" s="50" t="s">
        <v>2452</v>
      </c>
      <c r="B26" s="50" t="s">
        <v>2453</v>
      </c>
      <c r="C26" s="116"/>
      <c r="D26" s="116"/>
      <c r="E26" s="50">
        <v>3.5215509147374E14</v>
      </c>
      <c r="F26" s="50">
        <v>58.0</v>
      </c>
      <c r="G26" s="50">
        <v>1.0</v>
      </c>
      <c r="H26" s="50">
        <v>7.0</v>
      </c>
      <c r="I26" s="50" t="s">
        <v>403</v>
      </c>
      <c r="J26" s="50" t="s">
        <v>403</v>
      </c>
      <c r="K26" s="50" t="s">
        <v>2454</v>
      </c>
      <c r="L26" s="50" t="s">
        <v>2455</v>
      </c>
      <c r="M26" s="50">
        <v>22.5538131</v>
      </c>
      <c r="N26" s="50">
        <v>88.3977158</v>
      </c>
      <c r="O26" s="50">
        <v>-47.9000015258789</v>
      </c>
      <c r="P26" s="50">
        <v>5.0</v>
      </c>
      <c r="Q26" s="50">
        <v>1.0</v>
      </c>
      <c r="R26" s="50">
        <v>1.0</v>
      </c>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16"/>
      <c r="AP26" s="116"/>
      <c r="AQ26" s="116"/>
      <c r="AR26" s="116"/>
      <c r="AS26" s="116"/>
      <c r="AT26" s="116"/>
      <c r="AU26" s="116"/>
      <c r="AV26" s="116"/>
      <c r="AW26" s="50">
        <v>3.0</v>
      </c>
      <c r="AX26" s="116"/>
      <c r="AY26" s="50">
        <v>10.0</v>
      </c>
      <c r="AZ26" s="50">
        <v>0.0</v>
      </c>
      <c r="BA26" s="50">
        <v>4.0</v>
      </c>
      <c r="BB26" s="50">
        <v>0.0</v>
      </c>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50" t="s">
        <v>2457</v>
      </c>
      <c r="CD26" s="50" t="s">
        <v>2302</v>
      </c>
      <c r="CE26" s="50">
        <v>1.0</v>
      </c>
      <c r="CF26" s="50" t="s">
        <v>2279</v>
      </c>
      <c r="CG26" s="117">
        <v>2831.0</v>
      </c>
      <c r="CH26" s="50" t="s">
        <v>2458</v>
      </c>
      <c r="CI26" s="50" t="s">
        <v>2459</v>
      </c>
      <c r="CJ26" s="117">
        <v>25.0</v>
      </c>
    </row>
    <row r="27">
      <c r="A27" s="50" t="s">
        <v>2460</v>
      </c>
      <c r="B27" s="50" t="s">
        <v>2461</v>
      </c>
      <c r="C27" s="116"/>
      <c r="D27" s="116"/>
      <c r="E27" s="50">
        <v>3.5215509147374E14</v>
      </c>
      <c r="F27" s="50">
        <v>58.0</v>
      </c>
      <c r="G27" s="50">
        <v>1.0</v>
      </c>
      <c r="H27" s="50">
        <v>3.0</v>
      </c>
      <c r="I27" s="50" t="s">
        <v>410</v>
      </c>
      <c r="J27" s="50" t="s">
        <v>410</v>
      </c>
      <c r="K27" s="50" t="s">
        <v>2462</v>
      </c>
      <c r="L27" s="50" t="s">
        <v>2463</v>
      </c>
      <c r="M27" s="50">
        <v>22.5536147</v>
      </c>
      <c r="N27" s="50">
        <v>88.397833</v>
      </c>
      <c r="O27" s="50">
        <v>-67.3000030517578</v>
      </c>
      <c r="P27" s="50">
        <v>5.0</v>
      </c>
      <c r="Q27" s="50">
        <v>1.0</v>
      </c>
      <c r="R27" s="50">
        <v>0.0</v>
      </c>
      <c r="S27" s="50">
        <v>1.0</v>
      </c>
      <c r="T27" s="116"/>
      <c r="U27" s="116"/>
      <c r="V27" s="116"/>
      <c r="W27" s="116"/>
      <c r="X27" s="116"/>
      <c r="Y27" s="116"/>
      <c r="Z27" s="116"/>
      <c r="AA27" s="116"/>
      <c r="AB27" s="116"/>
      <c r="AC27" s="116"/>
      <c r="AD27" s="116"/>
      <c r="AE27" s="116"/>
      <c r="AF27" s="116"/>
      <c r="AG27" s="116"/>
      <c r="AH27" s="116"/>
      <c r="AI27" s="116"/>
      <c r="AJ27" s="116"/>
      <c r="AK27" s="116"/>
      <c r="AL27" s="116"/>
      <c r="AM27" s="116"/>
      <c r="AN27" s="116"/>
      <c r="AO27" s="50">
        <v>4.0</v>
      </c>
      <c r="AP27" s="116"/>
      <c r="AQ27" s="50">
        <v>1.0</v>
      </c>
      <c r="AR27" s="50">
        <v>1.0</v>
      </c>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50" t="s">
        <v>2302</v>
      </c>
      <c r="CE27" s="50">
        <v>1.0</v>
      </c>
      <c r="CF27" s="50" t="s">
        <v>2279</v>
      </c>
      <c r="CG27" s="117">
        <v>2878.0</v>
      </c>
      <c r="CH27" s="50" t="s">
        <v>2465</v>
      </c>
      <c r="CI27" s="50" t="s">
        <v>2466</v>
      </c>
      <c r="CJ27" s="117">
        <v>26.0</v>
      </c>
    </row>
    <row r="28">
      <c r="A28" s="50" t="s">
        <v>2467</v>
      </c>
      <c r="B28" s="50" t="s">
        <v>2468</v>
      </c>
      <c r="C28" s="116"/>
      <c r="D28" s="116"/>
      <c r="E28" s="50">
        <v>3.5215509147374E14</v>
      </c>
      <c r="F28" s="50">
        <v>58.0</v>
      </c>
      <c r="G28" s="50">
        <v>1.0</v>
      </c>
      <c r="H28" s="50">
        <v>1.0</v>
      </c>
      <c r="I28" s="50" t="s">
        <v>411</v>
      </c>
      <c r="J28" s="50" t="s">
        <v>411</v>
      </c>
      <c r="K28" s="50" t="s">
        <v>2469</v>
      </c>
      <c r="L28" s="50" t="s">
        <v>2470</v>
      </c>
      <c r="M28" s="50">
        <v>22.5535533</v>
      </c>
      <c r="N28" s="50">
        <v>88.3978297</v>
      </c>
      <c r="O28" s="50">
        <v>-23.6000003814697</v>
      </c>
      <c r="P28" s="50">
        <v>5.0</v>
      </c>
      <c r="Q28" s="50">
        <v>1.0</v>
      </c>
      <c r="R28" s="50">
        <v>0.0</v>
      </c>
      <c r="S28" s="50">
        <v>1.0</v>
      </c>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50">
        <v>1.0</v>
      </c>
      <c r="BH28" s="50">
        <v>1.0</v>
      </c>
      <c r="BI28" s="50">
        <v>1.0</v>
      </c>
      <c r="BJ28" s="50">
        <v>2.0</v>
      </c>
      <c r="BK28" s="116"/>
      <c r="BL28" s="116"/>
      <c r="BM28" s="50">
        <v>0.0</v>
      </c>
      <c r="BN28" s="50">
        <v>0.0</v>
      </c>
      <c r="BO28" s="50">
        <v>0.0</v>
      </c>
      <c r="BP28" s="50">
        <v>0.0</v>
      </c>
      <c r="BQ28" s="50">
        <v>0.0</v>
      </c>
      <c r="BR28" s="50">
        <v>0.0</v>
      </c>
      <c r="BS28" s="50">
        <v>0.0</v>
      </c>
      <c r="BT28" s="50">
        <v>1.0</v>
      </c>
      <c r="BU28" s="50">
        <v>7.0</v>
      </c>
      <c r="BV28" s="116"/>
      <c r="BW28" s="116"/>
      <c r="BX28" s="116"/>
      <c r="BY28" s="116"/>
      <c r="BZ28" s="116"/>
      <c r="CA28" s="116"/>
      <c r="CB28" s="116"/>
      <c r="CC28" s="116"/>
      <c r="CD28" s="50" t="s">
        <v>2472</v>
      </c>
      <c r="CE28" s="50">
        <v>1.0</v>
      </c>
      <c r="CF28" s="50" t="s">
        <v>2279</v>
      </c>
      <c r="CG28" s="117">
        <v>2879.0</v>
      </c>
      <c r="CH28" s="50" t="s">
        <v>2473</v>
      </c>
      <c r="CI28" s="50" t="s">
        <v>2474</v>
      </c>
      <c r="CJ28" s="117">
        <v>27.0</v>
      </c>
    </row>
    <row r="29">
      <c r="A29" s="50" t="s">
        <v>2475</v>
      </c>
      <c r="B29" s="50" t="s">
        <v>2476</v>
      </c>
      <c r="C29" s="116"/>
      <c r="D29" s="116"/>
      <c r="E29" s="50">
        <v>3.5215509147374E14</v>
      </c>
      <c r="F29" s="50">
        <v>58.0</v>
      </c>
      <c r="G29" s="50">
        <v>1.0</v>
      </c>
      <c r="H29" s="50">
        <v>2.0</v>
      </c>
      <c r="I29" s="50" t="s">
        <v>413</v>
      </c>
      <c r="J29" s="50" t="s">
        <v>413</v>
      </c>
      <c r="K29" s="50" t="s">
        <v>2477</v>
      </c>
      <c r="L29" s="50" t="s">
        <v>2478</v>
      </c>
      <c r="M29" s="50">
        <v>22.5536622</v>
      </c>
      <c r="N29" s="50">
        <v>88.3977933</v>
      </c>
      <c r="O29" s="50">
        <v>-49.599998474121</v>
      </c>
      <c r="P29" s="50">
        <v>5.0</v>
      </c>
      <c r="Q29" s="50">
        <v>1.0</v>
      </c>
      <c r="R29" s="50">
        <v>0.0</v>
      </c>
      <c r="S29" s="50">
        <v>1.0</v>
      </c>
      <c r="T29" s="116"/>
      <c r="U29" s="116"/>
      <c r="V29" s="116"/>
      <c r="W29" s="116"/>
      <c r="X29" s="116"/>
      <c r="Y29" s="116"/>
      <c r="Z29" s="116"/>
      <c r="AA29" s="116"/>
      <c r="AB29" s="116"/>
      <c r="AC29" s="116"/>
      <c r="AD29" s="116"/>
      <c r="AE29" s="116"/>
      <c r="AF29" s="116"/>
      <c r="AG29" s="116"/>
      <c r="AH29" s="116"/>
      <c r="AI29" s="116"/>
      <c r="AJ29" s="50">
        <v>1.0</v>
      </c>
      <c r="AK29" s="116"/>
      <c r="AL29" s="116"/>
      <c r="AM29" s="50">
        <v>1.0</v>
      </c>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50" t="s">
        <v>2278</v>
      </c>
      <c r="CE29" s="50">
        <v>1.0</v>
      </c>
      <c r="CF29" s="50" t="s">
        <v>2279</v>
      </c>
      <c r="CG29" s="117">
        <v>2880.0</v>
      </c>
      <c r="CH29" s="50" t="s">
        <v>2479</v>
      </c>
      <c r="CI29" s="50" t="s">
        <v>2480</v>
      </c>
      <c r="CJ29" s="117">
        <v>28.0</v>
      </c>
    </row>
    <row r="30">
      <c r="A30" s="50" t="s">
        <v>2481</v>
      </c>
      <c r="B30" s="50" t="s">
        <v>2482</v>
      </c>
      <c r="C30" s="116"/>
      <c r="D30" s="116"/>
      <c r="E30" s="50">
        <v>3.5215509147374E14</v>
      </c>
      <c r="F30" s="50">
        <v>58.0</v>
      </c>
      <c r="G30" s="50">
        <v>1.0</v>
      </c>
      <c r="H30" s="50">
        <v>2.0</v>
      </c>
      <c r="I30" s="50" t="s">
        <v>414</v>
      </c>
      <c r="J30" s="50" t="s">
        <v>414</v>
      </c>
      <c r="K30" s="50" t="s">
        <v>2483</v>
      </c>
      <c r="L30" s="50" t="s">
        <v>2484</v>
      </c>
      <c r="M30" s="50">
        <v>22.5536509</v>
      </c>
      <c r="N30" s="50">
        <v>88.3977911</v>
      </c>
      <c r="O30" s="50">
        <v>-45.7000007629394</v>
      </c>
      <c r="P30" s="50">
        <v>4.5</v>
      </c>
      <c r="Q30" s="50">
        <v>1.0</v>
      </c>
      <c r="R30" s="50">
        <v>0.0</v>
      </c>
      <c r="S30" s="50">
        <v>1.0</v>
      </c>
      <c r="T30" s="116"/>
      <c r="U30" s="116"/>
      <c r="V30" s="116"/>
      <c r="W30" s="116"/>
      <c r="X30" s="116"/>
      <c r="Y30" s="116"/>
      <c r="Z30" s="116"/>
      <c r="AA30" s="116"/>
      <c r="AB30" s="116"/>
      <c r="AC30" s="116"/>
      <c r="AD30" s="116"/>
      <c r="AE30" s="116"/>
      <c r="AF30" s="116"/>
      <c r="AG30" s="116"/>
      <c r="AH30" s="116"/>
      <c r="AI30" s="116"/>
      <c r="AJ30" s="50">
        <v>2.0</v>
      </c>
      <c r="AK30" s="116"/>
      <c r="AL30" s="116"/>
      <c r="AM30" s="50">
        <v>1.0</v>
      </c>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50" t="s">
        <v>2286</v>
      </c>
      <c r="CE30" s="50">
        <v>0.0</v>
      </c>
      <c r="CF30" s="50" t="s">
        <v>2279</v>
      </c>
      <c r="CG30" s="117">
        <v>2881.0</v>
      </c>
      <c r="CH30" s="50" t="s">
        <v>2486</v>
      </c>
      <c r="CI30" s="50" t="s">
        <v>2487</v>
      </c>
      <c r="CJ30" s="117">
        <v>29.0</v>
      </c>
    </row>
    <row r="31">
      <c r="A31" s="50" t="s">
        <v>2488</v>
      </c>
      <c r="B31" s="50" t="s">
        <v>2489</v>
      </c>
      <c r="C31" s="116"/>
      <c r="D31" s="116"/>
      <c r="E31" s="50">
        <v>3.5215509147374E14</v>
      </c>
      <c r="F31" s="50">
        <v>58.0</v>
      </c>
      <c r="G31" s="50">
        <v>1.0</v>
      </c>
      <c r="H31" s="50">
        <v>10.0</v>
      </c>
      <c r="I31" s="50" t="s">
        <v>415</v>
      </c>
      <c r="J31" s="50" t="s">
        <v>415</v>
      </c>
      <c r="K31" s="50" t="s">
        <v>2491</v>
      </c>
      <c r="L31" s="50" t="s">
        <v>2492</v>
      </c>
      <c r="M31" s="50">
        <v>22.5536053</v>
      </c>
      <c r="N31" s="50">
        <v>88.397933</v>
      </c>
      <c r="O31" s="50">
        <v>-37.9000015258789</v>
      </c>
      <c r="P31" s="50">
        <v>5.0</v>
      </c>
      <c r="Q31" s="50">
        <v>2.0</v>
      </c>
      <c r="R31" s="50">
        <v>0.0</v>
      </c>
      <c r="S31" s="50">
        <v>1.0</v>
      </c>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50">
        <v>88.0</v>
      </c>
      <c r="BW31" s="50" t="s">
        <v>2493</v>
      </c>
      <c r="BX31" s="116"/>
      <c r="BY31" s="116"/>
      <c r="BZ31" s="116"/>
      <c r="CA31" s="116"/>
      <c r="CB31" s="116"/>
      <c r="CC31" s="116"/>
      <c r="CD31" s="50" t="s">
        <v>2494</v>
      </c>
      <c r="CE31" s="50">
        <v>1.0</v>
      </c>
      <c r="CF31" s="50" t="s">
        <v>2279</v>
      </c>
      <c r="CG31" s="117">
        <v>2882.0</v>
      </c>
      <c r="CH31" s="50" t="s">
        <v>2495</v>
      </c>
      <c r="CI31" s="50" t="s">
        <v>2496</v>
      </c>
      <c r="CJ31" s="117">
        <v>30.0</v>
      </c>
    </row>
    <row r="32">
      <c r="A32" s="50" t="s">
        <v>2497</v>
      </c>
      <c r="B32" s="50" t="s">
        <v>2498</v>
      </c>
      <c r="C32" s="116"/>
      <c r="D32" s="116"/>
      <c r="E32" s="50">
        <v>3.5215509147374E14</v>
      </c>
      <c r="F32" s="50">
        <v>58.0</v>
      </c>
      <c r="G32" s="50">
        <v>1.0</v>
      </c>
      <c r="H32" s="50">
        <v>10.0</v>
      </c>
      <c r="I32" s="50" t="s">
        <v>417</v>
      </c>
      <c r="J32" s="50" t="s">
        <v>417</v>
      </c>
      <c r="K32" s="50" t="s">
        <v>2499</v>
      </c>
      <c r="L32" s="50" t="s">
        <v>2500</v>
      </c>
      <c r="M32" s="50">
        <v>22.5535582</v>
      </c>
      <c r="N32" s="50">
        <v>88.3972241</v>
      </c>
      <c r="O32" s="50">
        <v>-13.6000003814697</v>
      </c>
      <c r="P32" s="50">
        <v>5.0</v>
      </c>
      <c r="Q32" s="50">
        <v>1.0</v>
      </c>
      <c r="R32" s="50">
        <v>0.0</v>
      </c>
      <c r="S32" s="50">
        <v>1.0</v>
      </c>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50">
        <v>1.0</v>
      </c>
      <c r="BW32" s="116"/>
      <c r="BX32" s="116"/>
      <c r="BY32" s="116"/>
      <c r="BZ32" s="116"/>
      <c r="CA32" s="116"/>
      <c r="CB32" s="116"/>
      <c r="CC32" s="116"/>
      <c r="CD32" s="50" t="s">
        <v>2302</v>
      </c>
      <c r="CE32" s="50">
        <v>1.0</v>
      </c>
      <c r="CF32" s="50" t="s">
        <v>2279</v>
      </c>
      <c r="CG32" s="117">
        <v>2883.0</v>
      </c>
      <c r="CH32" s="50" t="s">
        <v>2502</v>
      </c>
      <c r="CI32" s="50" t="s">
        <v>2503</v>
      </c>
      <c r="CJ32" s="117">
        <v>31.0</v>
      </c>
    </row>
    <row r="33">
      <c r="A33" s="50" t="s">
        <v>2504</v>
      </c>
      <c r="B33" s="50" t="s">
        <v>2505</v>
      </c>
      <c r="C33" s="116"/>
      <c r="D33" s="116"/>
      <c r="E33" s="50">
        <v>3.5215509147374E14</v>
      </c>
      <c r="F33" s="50">
        <v>58.0</v>
      </c>
      <c r="G33" s="50">
        <v>1.0</v>
      </c>
      <c r="H33" s="50">
        <v>5.0</v>
      </c>
      <c r="I33" s="50" t="s">
        <v>418</v>
      </c>
      <c r="J33" s="50" t="s">
        <v>418</v>
      </c>
      <c r="K33" s="50" t="s">
        <v>2506</v>
      </c>
      <c r="L33" s="50" t="s">
        <v>2507</v>
      </c>
      <c r="M33" s="50">
        <v>22.553249</v>
      </c>
      <c r="N33" s="50">
        <v>88.3997622</v>
      </c>
      <c r="O33" s="50">
        <v>-54.2999992370605</v>
      </c>
      <c r="P33" s="50">
        <v>5.0</v>
      </c>
      <c r="Q33" s="50">
        <v>2.0</v>
      </c>
      <c r="R33" s="50">
        <v>0.0</v>
      </c>
      <c r="S33" s="50">
        <v>1.0</v>
      </c>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50">
        <v>88.0</v>
      </c>
      <c r="BE33" s="50" t="s">
        <v>2508</v>
      </c>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50" t="s">
        <v>2278</v>
      </c>
      <c r="CE33" s="50">
        <v>1.0</v>
      </c>
      <c r="CF33" s="50" t="s">
        <v>2279</v>
      </c>
      <c r="CG33" s="117">
        <v>2884.0</v>
      </c>
      <c r="CH33" s="50" t="s">
        <v>2509</v>
      </c>
      <c r="CI33" s="50" t="s">
        <v>2510</v>
      </c>
      <c r="CJ33" s="117">
        <v>32.0</v>
      </c>
    </row>
    <row r="34">
      <c r="A34" s="50" t="s">
        <v>2511</v>
      </c>
      <c r="B34" s="50" t="s">
        <v>2512</v>
      </c>
      <c r="C34" s="116"/>
      <c r="D34" s="116"/>
      <c r="E34" s="50">
        <v>3.5215509147374E14</v>
      </c>
      <c r="F34" s="50">
        <v>58.0</v>
      </c>
      <c r="G34" s="50">
        <v>1.0</v>
      </c>
      <c r="H34" s="50">
        <v>3.0</v>
      </c>
      <c r="I34" s="50" t="s">
        <v>424</v>
      </c>
      <c r="J34" s="50" t="s">
        <v>424</v>
      </c>
      <c r="K34" s="50" t="s">
        <v>2513</v>
      </c>
      <c r="L34" s="50" t="s">
        <v>2514</v>
      </c>
      <c r="M34" s="50">
        <v>22.5535377</v>
      </c>
      <c r="N34" s="50">
        <v>88.3971777</v>
      </c>
      <c r="O34" s="50">
        <v>-53.0</v>
      </c>
      <c r="P34" s="50">
        <v>4.5</v>
      </c>
      <c r="Q34" s="50">
        <v>1.0</v>
      </c>
      <c r="R34" s="50">
        <v>0.0</v>
      </c>
      <c r="S34" s="50">
        <v>1.0</v>
      </c>
      <c r="T34" s="116"/>
      <c r="U34" s="116"/>
      <c r="V34" s="116"/>
      <c r="W34" s="116"/>
      <c r="X34" s="116"/>
      <c r="Y34" s="116"/>
      <c r="Z34" s="116"/>
      <c r="AA34" s="116"/>
      <c r="AB34" s="116"/>
      <c r="AC34" s="116"/>
      <c r="AD34" s="116"/>
      <c r="AE34" s="116"/>
      <c r="AF34" s="116"/>
      <c r="AG34" s="116"/>
      <c r="AH34" s="116"/>
      <c r="AI34" s="116"/>
      <c r="AJ34" s="116"/>
      <c r="AK34" s="116"/>
      <c r="AL34" s="116"/>
      <c r="AM34" s="116"/>
      <c r="AN34" s="116"/>
      <c r="AO34" s="50">
        <v>4.0</v>
      </c>
      <c r="AP34" s="116"/>
      <c r="AQ34" s="50">
        <v>0.0</v>
      </c>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50" t="s">
        <v>2436</v>
      </c>
      <c r="CD34" s="50" t="s">
        <v>2278</v>
      </c>
      <c r="CE34" s="50">
        <v>1.0</v>
      </c>
      <c r="CF34" s="50" t="s">
        <v>2279</v>
      </c>
      <c r="CG34" s="117">
        <v>2893.0</v>
      </c>
      <c r="CH34" s="50" t="s">
        <v>2516</v>
      </c>
      <c r="CI34" s="50" t="s">
        <v>2517</v>
      </c>
      <c r="CJ34" s="117">
        <v>33.0</v>
      </c>
    </row>
    <row r="35">
      <c r="A35" s="50" t="s">
        <v>2518</v>
      </c>
      <c r="B35" s="50" t="s">
        <v>2519</v>
      </c>
      <c r="C35" s="116"/>
      <c r="D35" s="116"/>
      <c r="E35" s="50">
        <v>3.5215509147374E14</v>
      </c>
      <c r="F35" s="50">
        <v>58.0</v>
      </c>
      <c r="G35" s="50">
        <v>1.0</v>
      </c>
      <c r="H35" s="50">
        <v>3.0</v>
      </c>
      <c r="I35" s="50" t="s">
        <v>421</v>
      </c>
      <c r="J35" s="50" t="s">
        <v>421</v>
      </c>
      <c r="K35" s="50" t="s">
        <v>2520</v>
      </c>
      <c r="L35" s="50" t="s">
        <v>2521</v>
      </c>
      <c r="M35" s="50">
        <v>22.5535795</v>
      </c>
      <c r="N35" s="50">
        <v>88.3972626</v>
      </c>
      <c r="O35" s="50">
        <v>-49.0</v>
      </c>
      <c r="P35" s="50">
        <v>5.0</v>
      </c>
      <c r="Q35" s="50">
        <v>1.0</v>
      </c>
      <c r="R35" s="50">
        <v>0.0</v>
      </c>
      <c r="S35" s="50">
        <v>1.0</v>
      </c>
      <c r="T35" s="116"/>
      <c r="U35" s="116"/>
      <c r="V35" s="116"/>
      <c r="W35" s="116"/>
      <c r="X35" s="116"/>
      <c r="Y35" s="116"/>
      <c r="Z35" s="116"/>
      <c r="AA35" s="116"/>
      <c r="AB35" s="116"/>
      <c r="AC35" s="116"/>
      <c r="AD35" s="116"/>
      <c r="AE35" s="116"/>
      <c r="AF35" s="116"/>
      <c r="AG35" s="116"/>
      <c r="AH35" s="116"/>
      <c r="AI35" s="116"/>
      <c r="AJ35" s="116"/>
      <c r="AK35" s="116"/>
      <c r="AL35" s="116"/>
      <c r="AM35" s="116"/>
      <c r="AN35" s="116"/>
      <c r="AO35" s="50">
        <v>4.0</v>
      </c>
      <c r="AP35" s="116"/>
      <c r="AQ35" s="50">
        <v>0.0</v>
      </c>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50" t="s">
        <v>2286</v>
      </c>
      <c r="CE35" s="50">
        <v>0.0</v>
      </c>
      <c r="CF35" s="50" t="s">
        <v>2279</v>
      </c>
      <c r="CG35" s="117">
        <v>2894.0</v>
      </c>
      <c r="CH35" s="50" t="s">
        <v>2523</v>
      </c>
      <c r="CI35" s="50" t="s">
        <v>2524</v>
      </c>
      <c r="CJ35" s="117">
        <v>34.0</v>
      </c>
    </row>
    <row r="36">
      <c r="A36" s="50" t="s">
        <v>2525</v>
      </c>
      <c r="B36" s="50" t="s">
        <v>2526</v>
      </c>
      <c r="C36" s="116"/>
      <c r="D36" s="116"/>
      <c r="E36" s="50">
        <v>3.5215509147374E14</v>
      </c>
      <c r="F36" s="50">
        <v>58.0</v>
      </c>
      <c r="G36" s="50">
        <v>1.0</v>
      </c>
      <c r="H36" s="50">
        <v>7.0</v>
      </c>
      <c r="I36" s="50" t="s">
        <v>425</v>
      </c>
      <c r="J36" s="50" t="s">
        <v>425</v>
      </c>
      <c r="K36" s="50" t="s">
        <v>2527</v>
      </c>
      <c r="L36" s="50" t="s">
        <v>2528</v>
      </c>
      <c r="M36" s="50">
        <v>22.5532585</v>
      </c>
      <c r="N36" s="50">
        <v>88.4001923</v>
      </c>
      <c r="O36" s="50">
        <v>-49.2999992370605</v>
      </c>
      <c r="P36" s="50">
        <v>5.0</v>
      </c>
      <c r="Q36" s="50">
        <v>1.0</v>
      </c>
      <c r="R36" s="50">
        <v>0.0</v>
      </c>
      <c r="S36" s="50">
        <v>1.0</v>
      </c>
      <c r="T36" s="116"/>
      <c r="U36" s="116"/>
      <c r="V36" s="116"/>
      <c r="W36" s="116"/>
      <c r="X36" s="116"/>
      <c r="Y36" s="116"/>
      <c r="Z36" s="116"/>
      <c r="AA36" s="116"/>
      <c r="AB36" s="116"/>
      <c r="AC36" s="116"/>
      <c r="AD36" s="116"/>
      <c r="AE36" s="116"/>
      <c r="AF36" s="116"/>
      <c r="AG36" s="116"/>
      <c r="AH36" s="116"/>
      <c r="AI36" s="116"/>
      <c r="AJ36" s="116"/>
      <c r="AK36" s="116"/>
      <c r="AL36" s="116"/>
      <c r="AM36" s="116"/>
      <c r="AN36" s="116"/>
      <c r="AO36" s="116"/>
      <c r="AP36" s="116"/>
      <c r="AQ36" s="116"/>
      <c r="AR36" s="116"/>
      <c r="AS36" s="116"/>
      <c r="AT36" s="116"/>
      <c r="AU36" s="116"/>
      <c r="AV36" s="116"/>
      <c r="AW36" s="50">
        <v>5.0</v>
      </c>
      <c r="AX36" s="116"/>
      <c r="AY36" s="50">
        <v>2.0</v>
      </c>
      <c r="AZ36" s="116"/>
      <c r="BA36" s="50">
        <v>20.0</v>
      </c>
      <c r="BB36" s="50">
        <v>0.0</v>
      </c>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50" t="s">
        <v>2302</v>
      </c>
      <c r="CE36" s="50">
        <v>1.0</v>
      </c>
      <c r="CF36" s="50" t="s">
        <v>2279</v>
      </c>
      <c r="CG36" s="117">
        <v>2895.0</v>
      </c>
      <c r="CH36" s="50" t="s">
        <v>2530</v>
      </c>
      <c r="CI36" s="50" t="s">
        <v>2531</v>
      </c>
      <c r="CJ36" s="117">
        <v>35.0</v>
      </c>
    </row>
    <row r="37">
      <c r="A37" s="50" t="s">
        <v>2532</v>
      </c>
      <c r="B37" s="50" t="s">
        <v>2533</v>
      </c>
      <c r="C37" s="116"/>
      <c r="D37" s="116"/>
      <c r="E37" s="50">
        <v>3.5215509147374E14</v>
      </c>
      <c r="F37" s="50">
        <v>58.0</v>
      </c>
      <c r="G37" s="50">
        <v>1.0</v>
      </c>
      <c r="H37" s="50">
        <v>7.0</v>
      </c>
      <c r="I37" s="50" t="s">
        <v>427</v>
      </c>
      <c r="J37" s="50" t="s">
        <v>427</v>
      </c>
      <c r="K37" s="50" t="s">
        <v>2534</v>
      </c>
      <c r="L37" s="50" t="s">
        <v>2535</v>
      </c>
      <c r="M37" s="50">
        <v>22.552978</v>
      </c>
      <c r="N37" s="50">
        <v>88.3999784</v>
      </c>
      <c r="O37" s="50">
        <v>-101.900001525878</v>
      </c>
      <c r="P37" s="50">
        <v>5.0</v>
      </c>
      <c r="Q37" s="50">
        <v>1.0</v>
      </c>
      <c r="R37" s="50">
        <v>0.0</v>
      </c>
      <c r="S37" s="50">
        <v>1.0</v>
      </c>
      <c r="T37" s="116"/>
      <c r="U37" s="116"/>
      <c r="V37" s="116"/>
      <c r="W37" s="116"/>
      <c r="X37" s="116"/>
      <c r="Y37" s="116"/>
      <c r="Z37" s="116"/>
      <c r="AA37" s="116"/>
      <c r="AB37" s="116"/>
      <c r="AC37" s="116"/>
      <c r="AD37" s="116"/>
      <c r="AE37" s="116"/>
      <c r="AF37" s="116"/>
      <c r="AG37" s="116"/>
      <c r="AH37" s="116"/>
      <c r="AI37" s="116"/>
      <c r="AJ37" s="116"/>
      <c r="AK37" s="116"/>
      <c r="AL37" s="116"/>
      <c r="AM37" s="116"/>
      <c r="AN37" s="116"/>
      <c r="AO37" s="116"/>
      <c r="AP37" s="116"/>
      <c r="AQ37" s="116"/>
      <c r="AR37" s="116"/>
      <c r="AS37" s="116"/>
      <c r="AT37" s="116"/>
      <c r="AU37" s="116"/>
      <c r="AV37" s="116"/>
      <c r="AW37" s="50">
        <v>5.0</v>
      </c>
      <c r="AX37" s="116"/>
      <c r="AY37" s="50">
        <v>1.0</v>
      </c>
      <c r="AZ37" s="50">
        <v>1.0</v>
      </c>
      <c r="BA37" s="50">
        <v>18.0</v>
      </c>
      <c r="BB37" s="50">
        <v>0.0</v>
      </c>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50" t="s">
        <v>2302</v>
      </c>
      <c r="CE37" s="50">
        <v>1.0</v>
      </c>
      <c r="CF37" s="50" t="s">
        <v>2279</v>
      </c>
      <c r="CG37" s="117">
        <v>2896.0</v>
      </c>
      <c r="CH37" s="50" t="s">
        <v>2536</v>
      </c>
      <c r="CI37" s="50" t="s">
        <v>2537</v>
      </c>
      <c r="CJ37" s="117">
        <v>36.0</v>
      </c>
    </row>
    <row r="38">
      <c r="A38" s="50" t="s">
        <v>2538</v>
      </c>
      <c r="B38" s="50" t="s">
        <v>2539</v>
      </c>
      <c r="C38" s="116"/>
      <c r="D38" s="116"/>
      <c r="E38" s="50">
        <v>3.5215509147374E14</v>
      </c>
      <c r="F38" s="50">
        <v>58.0</v>
      </c>
      <c r="G38" s="50">
        <v>1.0</v>
      </c>
      <c r="H38" s="50">
        <v>7.0</v>
      </c>
      <c r="I38" s="50" t="s">
        <v>428</v>
      </c>
      <c r="J38" s="50" t="s">
        <v>428</v>
      </c>
      <c r="K38" s="50" t="s">
        <v>2540</v>
      </c>
      <c r="L38" s="50" t="s">
        <v>2541</v>
      </c>
      <c r="M38" s="50">
        <v>22.5526557</v>
      </c>
      <c r="N38" s="50">
        <v>88.3995038</v>
      </c>
      <c r="O38" s="50">
        <v>-50.4000015258789</v>
      </c>
      <c r="P38" s="50">
        <v>4.5</v>
      </c>
      <c r="Q38" s="50">
        <v>1.0</v>
      </c>
      <c r="R38" s="50">
        <v>0.0</v>
      </c>
      <c r="S38" s="50">
        <v>1.0</v>
      </c>
      <c r="T38" s="116"/>
      <c r="U38" s="116"/>
      <c r="V38" s="116"/>
      <c r="W38" s="116"/>
      <c r="X38" s="116"/>
      <c r="Y38" s="116"/>
      <c r="Z38" s="116"/>
      <c r="AA38" s="116"/>
      <c r="AB38" s="116"/>
      <c r="AC38" s="116"/>
      <c r="AD38" s="116"/>
      <c r="AE38" s="116"/>
      <c r="AF38" s="116"/>
      <c r="AG38" s="116"/>
      <c r="AH38" s="116"/>
      <c r="AI38" s="116"/>
      <c r="AJ38" s="116"/>
      <c r="AK38" s="116"/>
      <c r="AL38" s="116"/>
      <c r="AM38" s="116"/>
      <c r="AN38" s="116"/>
      <c r="AO38" s="116"/>
      <c r="AP38" s="116"/>
      <c r="AQ38" s="116"/>
      <c r="AR38" s="116"/>
      <c r="AS38" s="116"/>
      <c r="AT38" s="116"/>
      <c r="AU38" s="116"/>
      <c r="AV38" s="116"/>
      <c r="AW38" s="50">
        <v>5.0</v>
      </c>
      <c r="AX38" s="116"/>
      <c r="AY38" s="50">
        <v>1.0</v>
      </c>
      <c r="AZ38" s="116"/>
      <c r="BA38" s="50">
        <v>6.0</v>
      </c>
      <c r="BB38" s="50">
        <v>0.0</v>
      </c>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50" t="s">
        <v>2302</v>
      </c>
      <c r="CE38" s="50">
        <v>1.0</v>
      </c>
      <c r="CF38" s="50" t="s">
        <v>2279</v>
      </c>
      <c r="CG38" s="117">
        <v>2897.0</v>
      </c>
      <c r="CH38" s="50" t="s">
        <v>2543</v>
      </c>
      <c r="CI38" s="50" t="s">
        <v>2544</v>
      </c>
      <c r="CJ38" s="117">
        <v>37.0</v>
      </c>
    </row>
    <row r="39">
      <c r="A39" s="50" t="s">
        <v>2545</v>
      </c>
      <c r="B39" s="50" t="s">
        <v>2546</v>
      </c>
      <c r="C39" s="116"/>
      <c r="D39" s="116"/>
      <c r="E39" s="50">
        <v>3.5215509147374E14</v>
      </c>
      <c r="F39" s="50">
        <v>58.0</v>
      </c>
      <c r="G39" s="50">
        <v>1.0</v>
      </c>
      <c r="H39" s="50">
        <v>2.0</v>
      </c>
      <c r="I39" s="50" t="s">
        <v>433</v>
      </c>
      <c r="J39" s="50" t="s">
        <v>433</v>
      </c>
      <c r="K39" s="50" t="s">
        <v>2547</v>
      </c>
      <c r="L39" s="50" t="s">
        <v>2548</v>
      </c>
      <c r="M39" s="50">
        <v>22.5536485</v>
      </c>
      <c r="N39" s="50">
        <v>88.3980518</v>
      </c>
      <c r="O39" s="50">
        <v>-54.2000007629394</v>
      </c>
      <c r="P39" s="50">
        <v>5.0</v>
      </c>
      <c r="Q39" s="50">
        <v>1.0</v>
      </c>
      <c r="R39" s="50">
        <v>0.0</v>
      </c>
      <c r="S39" s="50">
        <v>1.0</v>
      </c>
      <c r="T39" s="116"/>
      <c r="U39" s="116"/>
      <c r="V39" s="116"/>
      <c r="W39" s="116"/>
      <c r="X39" s="116"/>
      <c r="Y39" s="116"/>
      <c r="Z39" s="116"/>
      <c r="AA39" s="116"/>
      <c r="AB39" s="116"/>
      <c r="AC39" s="116"/>
      <c r="AD39" s="116"/>
      <c r="AE39" s="116"/>
      <c r="AF39" s="116"/>
      <c r="AG39" s="116"/>
      <c r="AH39" s="116"/>
      <c r="AI39" s="116"/>
      <c r="AJ39" s="50">
        <v>1.0</v>
      </c>
      <c r="AK39" s="116"/>
      <c r="AL39" s="116"/>
      <c r="AM39" s="50">
        <v>2.0</v>
      </c>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50" t="s">
        <v>2550</v>
      </c>
      <c r="CD39" s="50" t="s">
        <v>2286</v>
      </c>
      <c r="CE39" s="50">
        <v>1.0</v>
      </c>
      <c r="CF39" s="50" t="s">
        <v>2279</v>
      </c>
      <c r="CG39" s="117">
        <v>2955.0</v>
      </c>
      <c r="CH39" s="50" t="s">
        <v>2551</v>
      </c>
      <c r="CI39" s="50" t="s">
        <v>2552</v>
      </c>
      <c r="CJ39" s="117">
        <v>38.0</v>
      </c>
    </row>
    <row r="40">
      <c r="A40" s="50" t="s">
        <v>2553</v>
      </c>
      <c r="B40" s="50" t="s">
        <v>2554</v>
      </c>
      <c r="C40" s="116"/>
      <c r="D40" s="116"/>
      <c r="E40" s="50">
        <v>3.5215509147374E14</v>
      </c>
      <c r="F40" s="50">
        <v>58.0</v>
      </c>
      <c r="G40" s="50">
        <v>1.0</v>
      </c>
      <c r="H40" s="50">
        <v>2.0</v>
      </c>
      <c r="I40" s="50" t="s">
        <v>435</v>
      </c>
      <c r="J40" s="50" t="s">
        <v>435</v>
      </c>
      <c r="K40" s="50" t="s">
        <v>2555</v>
      </c>
      <c r="L40" s="50" t="s">
        <v>2556</v>
      </c>
      <c r="M40" s="50">
        <v>22.5537083</v>
      </c>
      <c r="N40" s="50">
        <v>88.3980373</v>
      </c>
      <c r="O40" s="50">
        <v>-53.2000007629394</v>
      </c>
      <c r="P40" s="50">
        <v>5.0</v>
      </c>
      <c r="Q40" s="50">
        <v>1.0</v>
      </c>
      <c r="R40" s="50">
        <v>0.0</v>
      </c>
      <c r="S40" s="50">
        <v>1.0</v>
      </c>
      <c r="T40" s="116"/>
      <c r="U40" s="116"/>
      <c r="V40" s="116"/>
      <c r="W40" s="116"/>
      <c r="X40" s="116"/>
      <c r="Y40" s="116"/>
      <c r="Z40" s="116"/>
      <c r="AA40" s="116"/>
      <c r="AB40" s="116"/>
      <c r="AC40" s="116"/>
      <c r="AD40" s="116"/>
      <c r="AE40" s="116"/>
      <c r="AF40" s="116"/>
      <c r="AG40" s="116"/>
      <c r="AH40" s="116"/>
      <c r="AI40" s="116"/>
      <c r="AJ40" s="50">
        <v>2.0</v>
      </c>
      <c r="AK40" s="116"/>
      <c r="AL40" s="116"/>
      <c r="AM40" s="50">
        <v>1.0</v>
      </c>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50" t="s">
        <v>2558</v>
      </c>
      <c r="CD40" s="50" t="s">
        <v>2278</v>
      </c>
      <c r="CE40" s="50">
        <v>0.0</v>
      </c>
      <c r="CF40" s="50" t="s">
        <v>2279</v>
      </c>
      <c r="CG40" s="117">
        <v>2956.0</v>
      </c>
      <c r="CH40" s="50" t="s">
        <v>2559</v>
      </c>
      <c r="CI40" s="50" t="s">
        <v>2560</v>
      </c>
      <c r="CJ40" s="117">
        <v>39.0</v>
      </c>
    </row>
    <row r="41">
      <c r="A41" s="50" t="s">
        <v>2561</v>
      </c>
      <c r="B41" s="50" t="s">
        <v>2563</v>
      </c>
      <c r="C41" s="116"/>
      <c r="D41" s="116"/>
      <c r="E41" s="50">
        <v>3.5215509147374E14</v>
      </c>
      <c r="F41" s="50">
        <v>58.0</v>
      </c>
      <c r="G41" s="50">
        <v>1.0</v>
      </c>
      <c r="H41" s="50">
        <v>8.0</v>
      </c>
      <c r="I41" s="50" t="s">
        <v>436</v>
      </c>
      <c r="J41" s="50" t="s">
        <v>436</v>
      </c>
      <c r="K41" s="50" t="s">
        <v>2564</v>
      </c>
      <c r="L41" s="50" t="s">
        <v>2565</v>
      </c>
      <c r="M41" s="50">
        <v>22.5536818</v>
      </c>
      <c r="N41" s="50">
        <v>88.3980723</v>
      </c>
      <c r="O41" s="50">
        <v>-52.599998474121</v>
      </c>
      <c r="P41" s="50">
        <v>5.0</v>
      </c>
      <c r="Q41" s="50">
        <v>1.0</v>
      </c>
      <c r="R41" s="50">
        <v>0.0</v>
      </c>
      <c r="S41" s="50">
        <v>1.0</v>
      </c>
      <c r="T41" s="116"/>
      <c r="U41" s="116"/>
      <c r="V41" s="50">
        <v>2.0</v>
      </c>
      <c r="W41" s="50">
        <v>1.0</v>
      </c>
      <c r="X41" s="116"/>
      <c r="Y41" s="50">
        <v>7.0</v>
      </c>
      <c r="Z41" s="116"/>
      <c r="AA41" s="116"/>
      <c r="AB41" s="116"/>
      <c r="AC41" s="116"/>
      <c r="AD41" s="116"/>
      <c r="AE41" s="116"/>
      <c r="AF41" s="116"/>
      <c r="AG41" s="116"/>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50" t="s">
        <v>2566</v>
      </c>
      <c r="CD41" s="50" t="s">
        <v>2472</v>
      </c>
      <c r="CE41" s="50">
        <v>1.0</v>
      </c>
      <c r="CF41" s="50" t="s">
        <v>2279</v>
      </c>
      <c r="CG41" s="117">
        <v>2957.0</v>
      </c>
      <c r="CH41" s="50" t="s">
        <v>2568</v>
      </c>
      <c r="CI41" s="50" t="s">
        <v>2569</v>
      </c>
      <c r="CJ41" s="117">
        <v>40.0</v>
      </c>
    </row>
    <row r="42">
      <c r="A42" s="50" t="s">
        <v>2570</v>
      </c>
      <c r="B42" s="50" t="s">
        <v>2571</v>
      </c>
      <c r="C42" s="116"/>
      <c r="D42" s="116"/>
      <c r="E42" s="50">
        <v>3.5215509147374E14</v>
      </c>
      <c r="F42" s="50">
        <v>58.0</v>
      </c>
      <c r="G42" s="50">
        <v>1.0</v>
      </c>
      <c r="H42" s="50">
        <v>8.0</v>
      </c>
      <c r="I42" s="50" t="s">
        <v>440</v>
      </c>
      <c r="J42" s="50" t="s">
        <v>440</v>
      </c>
      <c r="K42" s="50" t="s">
        <v>2572</v>
      </c>
      <c r="L42" s="50" t="s">
        <v>2573</v>
      </c>
      <c r="M42" s="50">
        <v>22.5536715</v>
      </c>
      <c r="N42" s="50">
        <v>88.3982788</v>
      </c>
      <c r="O42" s="50">
        <v>-47.7000007629394</v>
      </c>
      <c r="P42" s="50">
        <v>5.0</v>
      </c>
      <c r="Q42" s="50">
        <v>1.0</v>
      </c>
      <c r="R42" s="50">
        <v>0.0</v>
      </c>
      <c r="S42" s="50">
        <v>1.0</v>
      </c>
      <c r="T42" s="116"/>
      <c r="U42" s="116"/>
      <c r="V42" s="50">
        <v>2.0</v>
      </c>
      <c r="W42" s="50">
        <v>3.0</v>
      </c>
      <c r="X42" s="116"/>
      <c r="Y42" s="50">
        <v>5.0</v>
      </c>
      <c r="Z42" s="116"/>
      <c r="AA42" s="116"/>
      <c r="AB42" s="116"/>
      <c r="AC42" s="116"/>
      <c r="AD42" s="116"/>
      <c r="AE42" s="116"/>
      <c r="AF42" s="116"/>
      <c r="AG42" s="116"/>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50" t="s">
        <v>2575</v>
      </c>
      <c r="CD42" s="50" t="s">
        <v>2302</v>
      </c>
      <c r="CE42" s="50">
        <v>1.0</v>
      </c>
      <c r="CF42" s="50" t="s">
        <v>2279</v>
      </c>
      <c r="CG42" s="117">
        <v>2958.0</v>
      </c>
      <c r="CH42" s="50" t="s">
        <v>2576</v>
      </c>
      <c r="CI42" s="50" t="s">
        <v>2577</v>
      </c>
      <c r="CJ42" s="117">
        <v>41.0</v>
      </c>
    </row>
    <row r="43">
      <c r="A43" s="50" t="s">
        <v>2578</v>
      </c>
      <c r="B43" s="50" t="s">
        <v>2579</v>
      </c>
      <c r="C43" s="116"/>
      <c r="D43" s="116"/>
      <c r="E43" s="50">
        <v>3.5215509147374E14</v>
      </c>
      <c r="F43" s="50">
        <v>58.0</v>
      </c>
      <c r="G43" s="50">
        <v>1.0</v>
      </c>
      <c r="H43" s="50">
        <v>5.0</v>
      </c>
      <c r="I43" s="50" t="s">
        <v>450</v>
      </c>
      <c r="J43" s="50" t="s">
        <v>450</v>
      </c>
      <c r="K43" s="50" t="s">
        <v>2580</v>
      </c>
      <c r="L43" s="50" t="s">
        <v>2581</v>
      </c>
      <c r="M43" s="50">
        <v>22.5536805</v>
      </c>
      <c r="N43" s="50">
        <v>88.3983293</v>
      </c>
      <c r="O43" s="50">
        <v>-53.7999992370605</v>
      </c>
      <c r="P43" s="50">
        <v>5.0</v>
      </c>
      <c r="Q43" s="50">
        <v>1.0</v>
      </c>
      <c r="R43" s="50">
        <v>0.0</v>
      </c>
      <c r="S43" s="50">
        <v>1.0</v>
      </c>
      <c r="T43" s="116"/>
      <c r="U43" s="116"/>
      <c r="V43" s="116"/>
      <c r="W43" s="116"/>
      <c r="X43" s="116"/>
      <c r="Y43" s="116"/>
      <c r="Z43" s="116"/>
      <c r="AA43" s="116"/>
      <c r="AB43" s="116"/>
      <c r="AC43" s="116"/>
      <c r="AD43" s="116"/>
      <c r="AE43" s="116"/>
      <c r="AF43" s="116"/>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50">
        <v>88.0</v>
      </c>
      <c r="BE43" s="50" t="s">
        <v>2583</v>
      </c>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50" t="s">
        <v>2472</v>
      </c>
      <c r="CE43" s="50">
        <v>1.0</v>
      </c>
      <c r="CF43" s="50" t="s">
        <v>2279</v>
      </c>
      <c r="CG43" s="117">
        <v>2991.0</v>
      </c>
      <c r="CH43" s="50" t="s">
        <v>2584</v>
      </c>
      <c r="CI43" s="50" t="s">
        <v>2585</v>
      </c>
      <c r="CJ43" s="117">
        <v>42.0</v>
      </c>
    </row>
    <row r="44">
      <c r="A44" s="50" t="s">
        <v>2586</v>
      </c>
      <c r="B44" s="50" t="s">
        <v>2587</v>
      </c>
      <c r="C44" s="116"/>
      <c r="D44" s="116"/>
      <c r="E44" s="50">
        <v>3.5215509147374E14</v>
      </c>
      <c r="F44" s="50">
        <v>58.0</v>
      </c>
      <c r="G44" s="50">
        <v>1.0</v>
      </c>
      <c r="H44" s="50">
        <v>9.0</v>
      </c>
      <c r="I44" s="50" t="s">
        <v>445</v>
      </c>
      <c r="J44" s="50" t="s">
        <v>445</v>
      </c>
      <c r="K44" s="50" t="s">
        <v>2588</v>
      </c>
      <c r="L44" s="50" t="s">
        <v>2589</v>
      </c>
      <c r="M44" s="50">
        <v>22.5535868</v>
      </c>
      <c r="N44" s="50">
        <v>88.3983759</v>
      </c>
      <c r="O44" s="50">
        <v>-22.1000003814697</v>
      </c>
      <c r="P44" s="50">
        <v>5.0</v>
      </c>
      <c r="Q44" s="50">
        <v>1.0</v>
      </c>
      <c r="R44" s="50">
        <v>0.0</v>
      </c>
      <c r="S44" s="50">
        <v>1.0</v>
      </c>
      <c r="T44" s="116"/>
      <c r="U44" s="116"/>
      <c r="V44" s="116"/>
      <c r="W44" s="116"/>
      <c r="X44" s="116"/>
      <c r="Y44" s="116"/>
      <c r="Z44" s="116"/>
      <c r="AA44" s="50">
        <v>3.0</v>
      </c>
      <c r="AB44" s="116"/>
      <c r="AC44" s="50">
        <v>0.0</v>
      </c>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50" t="s">
        <v>2278</v>
      </c>
      <c r="CE44" s="50">
        <v>1.0</v>
      </c>
      <c r="CF44" s="50" t="s">
        <v>2279</v>
      </c>
      <c r="CG44" s="117">
        <v>2992.0</v>
      </c>
      <c r="CH44" s="50" t="s">
        <v>2591</v>
      </c>
      <c r="CI44" s="50" t="s">
        <v>2592</v>
      </c>
      <c r="CJ44" s="117">
        <v>43.0</v>
      </c>
    </row>
    <row r="45">
      <c r="A45" s="50" t="s">
        <v>2593</v>
      </c>
      <c r="B45" s="50" t="s">
        <v>2594</v>
      </c>
      <c r="C45" s="116"/>
      <c r="D45" s="116"/>
      <c r="E45" s="50">
        <v>3.5215509147374E14</v>
      </c>
      <c r="F45" s="50">
        <v>58.0</v>
      </c>
      <c r="G45" s="50">
        <v>1.0</v>
      </c>
      <c r="H45" s="50">
        <v>3.0</v>
      </c>
      <c r="I45" s="50" t="s">
        <v>446</v>
      </c>
      <c r="J45" s="50" t="s">
        <v>446</v>
      </c>
      <c r="K45" s="50" t="s">
        <v>2595</v>
      </c>
      <c r="L45" s="50" t="s">
        <v>2596</v>
      </c>
      <c r="M45" s="50">
        <v>22.5535172</v>
      </c>
      <c r="N45" s="50">
        <v>88.3984525</v>
      </c>
      <c r="O45" s="50">
        <v>-27.2000007629394</v>
      </c>
      <c r="P45" s="50">
        <v>5.0</v>
      </c>
      <c r="Q45" s="50">
        <v>1.0</v>
      </c>
      <c r="R45" s="50">
        <v>0.0</v>
      </c>
      <c r="S45" s="50">
        <v>1.0</v>
      </c>
      <c r="T45" s="116"/>
      <c r="U45" s="116"/>
      <c r="V45" s="116"/>
      <c r="W45" s="116"/>
      <c r="X45" s="116"/>
      <c r="Y45" s="116"/>
      <c r="Z45" s="116"/>
      <c r="AA45" s="116"/>
      <c r="AB45" s="116"/>
      <c r="AC45" s="116"/>
      <c r="AD45" s="116"/>
      <c r="AE45" s="116"/>
      <c r="AF45" s="116"/>
      <c r="AG45" s="116"/>
      <c r="AH45" s="116"/>
      <c r="AI45" s="116"/>
      <c r="AJ45" s="116"/>
      <c r="AK45" s="116"/>
      <c r="AL45" s="116"/>
      <c r="AM45" s="116"/>
      <c r="AN45" s="116"/>
      <c r="AO45" s="50">
        <v>4.0</v>
      </c>
      <c r="AP45" s="116"/>
      <c r="AQ45" s="50">
        <v>1.0</v>
      </c>
      <c r="AR45" s="50">
        <v>1.0</v>
      </c>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50" t="s">
        <v>2597</v>
      </c>
      <c r="CE45" s="50">
        <v>1.0</v>
      </c>
      <c r="CF45" s="50" t="s">
        <v>2279</v>
      </c>
      <c r="CG45" s="117">
        <v>2993.0</v>
      </c>
      <c r="CH45" s="50" t="s">
        <v>2598</v>
      </c>
      <c r="CI45" s="50" t="s">
        <v>2599</v>
      </c>
      <c r="CJ45" s="117">
        <v>44.0</v>
      </c>
    </row>
    <row r="46">
      <c r="A46" s="50" t="s">
        <v>2601</v>
      </c>
      <c r="B46" s="50" t="s">
        <v>2602</v>
      </c>
      <c r="C46" s="116"/>
      <c r="D46" s="116"/>
      <c r="E46" s="50">
        <v>3.5215509147374E14</v>
      </c>
      <c r="F46" s="50">
        <v>58.0</v>
      </c>
      <c r="G46" s="50">
        <v>1.0</v>
      </c>
      <c r="H46" s="50">
        <v>10.0</v>
      </c>
      <c r="I46" s="50" t="s">
        <v>448</v>
      </c>
      <c r="J46" s="50" t="s">
        <v>448</v>
      </c>
      <c r="K46" s="50" t="s">
        <v>2603</v>
      </c>
      <c r="L46" s="50" t="s">
        <v>2604</v>
      </c>
      <c r="M46" s="50">
        <v>22.5535785</v>
      </c>
      <c r="N46" s="50">
        <v>88.3978338</v>
      </c>
      <c r="O46" s="50">
        <v>-60.4000015258789</v>
      </c>
      <c r="P46" s="50">
        <v>5.0</v>
      </c>
      <c r="Q46" s="50">
        <v>1.0</v>
      </c>
      <c r="R46" s="50">
        <v>0.0</v>
      </c>
      <c r="S46" s="50">
        <v>1.0</v>
      </c>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50">
        <v>1.0</v>
      </c>
      <c r="BW46" s="116"/>
      <c r="BX46" s="116"/>
      <c r="BY46" s="116"/>
      <c r="BZ46" s="116"/>
      <c r="CA46" s="116"/>
      <c r="CB46" s="116"/>
      <c r="CC46" s="50" t="s">
        <v>2605</v>
      </c>
      <c r="CD46" s="50" t="s">
        <v>2302</v>
      </c>
      <c r="CE46" s="50">
        <v>0.0</v>
      </c>
      <c r="CF46" s="50" t="s">
        <v>2279</v>
      </c>
      <c r="CG46" s="117">
        <v>2994.0</v>
      </c>
      <c r="CH46" s="50" t="s">
        <v>2606</v>
      </c>
      <c r="CI46" s="50" t="s">
        <v>2608</v>
      </c>
      <c r="CJ46" s="117">
        <v>45.0</v>
      </c>
    </row>
    <row r="47">
      <c r="A47" s="50" t="s">
        <v>2609</v>
      </c>
      <c r="B47" s="50" t="s">
        <v>2610</v>
      </c>
      <c r="C47" s="116"/>
      <c r="D47" s="116"/>
      <c r="E47" s="50">
        <v>3.5215509147374E14</v>
      </c>
      <c r="F47" s="50">
        <v>58.0</v>
      </c>
      <c r="G47" s="50">
        <v>1.0</v>
      </c>
      <c r="H47" s="50">
        <v>10.0</v>
      </c>
      <c r="I47" s="50" t="s">
        <v>449</v>
      </c>
      <c r="J47" s="50" t="s">
        <v>449</v>
      </c>
      <c r="K47" s="50" t="s">
        <v>2611</v>
      </c>
      <c r="L47" s="50" t="s">
        <v>2612</v>
      </c>
      <c r="M47" s="50">
        <v>22.5535186</v>
      </c>
      <c r="N47" s="50">
        <v>88.3972298</v>
      </c>
      <c r="O47" s="50">
        <v>-19.7999992370605</v>
      </c>
      <c r="P47" s="50">
        <v>5.0</v>
      </c>
      <c r="Q47" s="50">
        <v>1.0</v>
      </c>
      <c r="R47" s="50">
        <v>0.0</v>
      </c>
      <c r="S47" s="50">
        <v>1.0</v>
      </c>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50">
        <v>2.0</v>
      </c>
      <c r="BW47" s="116"/>
      <c r="BX47" s="116"/>
      <c r="BY47" s="116"/>
      <c r="BZ47" s="116"/>
      <c r="CA47" s="116"/>
      <c r="CB47" s="116"/>
      <c r="CC47" s="116"/>
      <c r="CD47" s="50" t="s">
        <v>2286</v>
      </c>
      <c r="CE47" s="50">
        <v>0.0</v>
      </c>
      <c r="CF47" s="50" t="s">
        <v>2279</v>
      </c>
      <c r="CG47" s="117">
        <v>2995.0</v>
      </c>
      <c r="CH47" s="50" t="s">
        <v>2613</v>
      </c>
      <c r="CI47" s="50" t="s">
        <v>2614</v>
      </c>
      <c r="CJ47" s="117">
        <v>46.0</v>
      </c>
    </row>
    <row r="48">
      <c r="A48" s="50" t="s">
        <v>2615</v>
      </c>
      <c r="B48" s="50" t="s">
        <v>2616</v>
      </c>
      <c r="C48" s="116"/>
      <c r="D48" s="116"/>
      <c r="E48" s="50">
        <v>3.5215509147374E14</v>
      </c>
      <c r="F48" s="50">
        <v>58.0</v>
      </c>
      <c r="G48" s="50">
        <v>1.0</v>
      </c>
      <c r="H48" s="50">
        <v>3.0</v>
      </c>
      <c r="I48" s="50" t="s">
        <v>453</v>
      </c>
      <c r="J48" s="50" t="s">
        <v>453</v>
      </c>
      <c r="K48" s="50" t="s">
        <v>2617</v>
      </c>
      <c r="L48" s="50" t="s">
        <v>2618</v>
      </c>
      <c r="M48" s="50">
        <v>22.5538048</v>
      </c>
      <c r="N48" s="50">
        <v>88.3969145</v>
      </c>
      <c r="O48" s="50">
        <v>-40.4000015258789</v>
      </c>
      <c r="P48" s="50">
        <v>4.5</v>
      </c>
      <c r="Q48" s="50">
        <v>1.0</v>
      </c>
      <c r="R48" s="50">
        <v>0.0</v>
      </c>
      <c r="S48" s="50">
        <v>1.0</v>
      </c>
      <c r="T48" s="116"/>
      <c r="U48" s="116"/>
      <c r="V48" s="116"/>
      <c r="W48" s="116"/>
      <c r="X48" s="116"/>
      <c r="Y48" s="116"/>
      <c r="Z48" s="116"/>
      <c r="AA48" s="116"/>
      <c r="AB48" s="116"/>
      <c r="AC48" s="116"/>
      <c r="AD48" s="116"/>
      <c r="AE48" s="116"/>
      <c r="AF48" s="116"/>
      <c r="AG48" s="116"/>
      <c r="AH48" s="116"/>
      <c r="AI48" s="116"/>
      <c r="AJ48" s="116"/>
      <c r="AK48" s="116"/>
      <c r="AL48" s="116"/>
      <c r="AM48" s="116"/>
      <c r="AN48" s="116"/>
      <c r="AO48" s="50">
        <v>4.0</v>
      </c>
      <c r="AP48" s="116"/>
      <c r="AQ48" s="50">
        <v>0.0</v>
      </c>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50" t="s">
        <v>2286</v>
      </c>
      <c r="CE48" s="50">
        <v>1.0</v>
      </c>
      <c r="CF48" s="50" t="s">
        <v>2279</v>
      </c>
      <c r="CG48" s="117">
        <v>2998.0</v>
      </c>
      <c r="CH48" s="50" t="s">
        <v>2619</v>
      </c>
      <c r="CI48" s="50" t="s">
        <v>2620</v>
      </c>
      <c r="CJ48" s="117">
        <v>47.0</v>
      </c>
    </row>
    <row r="49">
      <c r="A49" s="50" t="s">
        <v>2621</v>
      </c>
      <c r="B49" s="50" t="s">
        <v>2622</v>
      </c>
      <c r="C49" s="116"/>
      <c r="D49" s="116"/>
      <c r="E49" s="50">
        <v>3.5215509147374E14</v>
      </c>
      <c r="F49" s="50">
        <v>58.0</v>
      </c>
      <c r="G49" s="50">
        <v>1.0</v>
      </c>
      <c r="H49" s="50">
        <v>3.0</v>
      </c>
      <c r="I49" s="50" t="s">
        <v>454</v>
      </c>
      <c r="J49" s="50" t="s">
        <v>454</v>
      </c>
      <c r="K49" s="50" t="s">
        <v>2623</v>
      </c>
      <c r="L49" s="50" t="s">
        <v>2624</v>
      </c>
      <c r="M49" s="50">
        <v>22.5538356</v>
      </c>
      <c r="N49" s="50">
        <v>88.3970368</v>
      </c>
      <c r="O49" s="50">
        <v>-56.599998474121</v>
      </c>
      <c r="P49" s="50">
        <v>5.0</v>
      </c>
      <c r="Q49" s="50">
        <v>1.0</v>
      </c>
      <c r="R49" s="50">
        <v>0.0</v>
      </c>
      <c r="S49" s="50">
        <v>1.0</v>
      </c>
      <c r="T49" s="116"/>
      <c r="U49" s="116"/>
      <c r="V49" s="116"/>
      <c r="W49" s="116"/>
      <c r="X49" s="116"/>
      <c r="Y49" s="116"/>
      <c r="Z49" s="116"/>
      <c r="AA49" s="116"/>
      <c r="AB49" s="116"/>
      <c r="AC49" s="116"/>
      <c r="AD49" s="116"/>
      <c r="AE49" s="116"/>
      <c r="AF49" s="116"/>
      <c r="AG49" s="116"/>
      <c r="AH49" s="116"/>
      <c r="AI49" s="116"/>
      <c r="AJ49" s="116"/>
      <c r="AK49" s="116"/>
      <c r="AL49" s="116"/>
      <c r="AM49" s="116"/>
      <c r="AN49" s="116"/>
      <c r="AO49" s="50">
        <v>4.0</v>
      </c>
      <c r="AP49" s="116"/>
      <c r="AQ49" s="50">
        <v>0.0</v>
      </c>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50" t="s">
        <v>2436</v>
      </c>
      <c r="CD49" s="50" t="s">
        <v>2472</v>
      </c>
      <c r="CE49" s="50">
        <v>1.0</v>
      </c>
      <c r="CF49" s="50" t="s">
        <v>2279</v>
      </c>
      <c r="CG49" s="117">
        <v>2999.0</v>
      </c>
      <c r="CH49" s="50" t="s">
        <v>2626</v>
      </c>
      <c r="CI49" s="50" t="s">
        <v>2627</v>
      </c>
      <c r="CJ49" s="117">
        <v>48.0</v>
      </c>
    </row>
    <row r="50">
      <c r="A50" s="50" t="s">
        <v>2628</v>
      </c>
      <c r="B50" s="50" t="s">
        <v>2629</v>
      </c>
      <c r="C50" s="116"/>
      <c r="D50" s="116"/>
      <c r="E50" s="50">
        <v>3.5215509147374E14</v>
      </c>
      <c r="F50" s="50">
        <v>58.0</v>
      </c>
      <c r="G50" s="50">
        <v>1.0</v>
      </c>
      <c r="H50" s="50">
        <v>7.0</v>
      </c>
      <c r="I50" s="50" t="s">
        <v>456</v>
      </c>
      <c r="J50" s="50" t="s">
        <v>456</v>
      </c>
      <c r="K50" s="50" t="s">
        <v>2630</v>
      </c>
      <c r="L50" s="50" t="s">
        <v>2631</v>
      </c>
      <c r="M50" s="50">
        <v>22.552936</v>
      </c>
      <c r="N50" s="50">
        <v>88.3989422</v>
      </c>
      <c r="O50" s="50">
        <v>-21.2999992370605</v>
      </c>
      <c r="P50" s="50">
        <v>5.0</v>
      </c>
      <c r="Q50" s="50">
        <v>1.0</v>
      </c>
      <c r="R50" s="50">
        <v>0.0</v>
      </c>
      <c r="S50" s="50">
        <v>1.0</v>
      </c>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50">
        <v>2.0</v>
      </c>
      <c r="AX50" s="116"/>
      <c r="AY50" s="50">
        <v>1.0</v>
      </c>
      <c r="AZ50" s="50">
        <v>0.0</v>
      </c>
      <c r="BA50" s="50">
        <v>100.0</v>
      </c>
      <c r="BB50" s="50">
        <v>0.0</v>
      </c>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50" t="s">
        <v>2327</v>
      </c>
      <c r="CE50" s="50">
        <v>1.0</v>
      </c>
      <c r="CF50" s="50" t="s">
        <v>2279</v>
      </c>
      <c r="CG50" s="117">
        <v>3000.0</v>
      </c>
      <c r="CH50" s="50" t="s">
        <v>2633</v>
      </c>
      <c r="CI50" s="50" t="s">
        <v>2634</v>
      </c>
      <c r="CJ50" s="117">
        <v>49.0</v>
      </c>
    </row>
    <row r="51">
      <c r="A51" s="50" t="s">
        <v>2635</v>
      </c>
      <c r="B51" s="50" t="s">
        <v>2636</v>
      </c>
      <c r="C51" s="116"/>
      <c r="D51" s="116"/>
      <c r="E51" s="50">
        <v>3.5215509147374E14</v>
      </c>
      <c r="F51" s="50">
        <v>58.0</v>
      </c>
      <c r="G51" s="50">
        <v>1.0</v>
      </c>
      <c r="H51" s="50">
        <v>7.0</v>
      </c>
      <c r="I51" s="50" t="s">
        <v>457</v>
      </c>
      <c r="J51" s="50" t="s">
        <v>457</v>
      </c>
      <c r="K51" s="50" t="s">
        <v>2637</v>
      </c>
      <c r="L51" s="50" t="s">
        <v>2638</v>
      </c>
      <c r="M51" s="50">
        <v>22.5523529</v>
      </c>
      <c r="N51" s="50">
        <v>88.3988441</v>
      </c>
      <c r="O51" s="50">
        <v>-46.7999992370605</v>
      </c>
      <c r="P51" s="50">
        <v>5.0</v>
      </c>
      <c r="Q51" s="50">
        <v>1.0</v>
      </c>
      <c r="R51" s="50">
        <v>0.0</v>
      </c>
      <c r="S51" s="50">
        <v>1.0</v>
      </c>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50">
        <v>2.0</v>
      </c>
      <c r="AX51" s="116"/>
      <c r="AY51" s="50">
        <v>5.0</v>
      </c>
      <c r="AZ51" s="50">
        <v>0.0</v>
      </c>
      <c r="BA51" s="50">
        <v>40.0</v>
      </c>
      <c r="BB51" s="50">
        <v>0.0</v>
      </c>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50" t="s">
        <v>2472</v>
      </c>
      <c r="CE51" s="50">
        <v>1.0</v>
      </c>
      <c r="CF51" s="50" t="s">
        <v>2279</v>
      </c>
      <c r="CG51" s="117">
        <v>3001.0</v>
      </c>
      <c r="CH51" s="50" t="s">
        <v>2639</v>
      </c>
      <c r="CI51" s="50" t="s">
        <v>2640</v>
      </c>
      <c r="CJ51" s="117">
        <v>50.0</v>
      </c>
    </row>
    <row r="52">
      <c r="A52" s="50" t="s">
        <v>2641</v>
      </c>
      <c r="B52" s="50" t="s">
        <v>2642</v>
      </c>
      <c r="C52" s="116"/>
      <c r="D52" s="116"/>
      <c r="E52" s="50">
        <v>3.5215509147374E14</v>
      </c>
      <c r="F52" s="50">
        <v>58.0</v>
      </c>
      <c r="G52" s="50">
        <v>1.0</v>
      </c>
      <c r="H52" s="50">
        <v>2.0</v>
      </c>
      <c r="I52" s="50" t="s">
        <v>470</v>
      </c>
      <c r="J52" s="50" t="s">
        <v>470</v>
      </c>
      <c r="K52" s="50" t="s">
        <v>2643</v>
      </c>
      <c r="L52" s="50" t="s">
        <v>2644</v>
      </c>
      <c r="M52" s="50">
        <v>22.5520671</v>
      </c>
      <c r="N52" s="50">
        <v>88.3998121</v>
      </c>
      <c r="O52" s="50">
        <v>-35.7999992370605</v>
      </c>
      <c r="P52" s="50">
        <v>4.5</v>
      </c>
      <c r="Q52" s="50">
        <v>1.0</v>
      </c>
      <c r="R52" s="50">
        <v>1.0</v>
      </c>
      <c r="S52" s="116"/>
      <c r="T52" s="116"/>
      <c r="U52" s="116"/>
      <c r="V52" s="116"/>
      <c r="W52" s="116"/>
      <c r="X52" s="116"/>
      <c r="Y52" s="116"/>
      <c r="Z52" s="116"/>
      <c r="AA52" s="116"/>
      <c r="AB52" s="116"/>
      <c r="AC52" s="116"/>
      <c r="AD52" s="116"/>
      <c r="AE52" s="116"/>
      <c r="AF52" s="116"/>
      <c r="AG52" s="116"/>
      <c r="AH52" s="116"/>
      <c r="AI52" s="116"/>
      <c r="AJ52" s="50">
        <v>1.0</v>
      </c>
      <c r="AK52" s="116"/>
      <c r="AL52" s="116"/>
      <c r="AM52" s="50">
        <v>1.0</v>
      </c>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50" t="s">
        <v>2646</v>
      </c>
      <c r="CD52" s="50" t="s">
        <v>2286</v>
      </c>
      <c r="CE52" s="50">
        <v>1.0</v>
      </c>
      <c r="CF52" s="50" t="s">
        <v>2279</v>
      </c>
      <c r="CG52" s="117">
        <v>3039.0</v>
      </c>
      <c r="CH52" s="50" t="s">
        <v>2647</v>
      </c>
      <c r="CI52" s="50" t="s">
        <v>2648</v>
      </c>
      <c r="CJ52" s="117">
        <v>51.0</v>
      </c>
    </row>
    <row r="53">
      <c r="A53" s="50" t="s">
        <v>2649</v>
      </c>
      <c r="B53" s="50" t="s">
        <v>2650</v>
      </c>
      <c r="C53" s="116"/>
      <c r="D53" s="116"/>
      <c r="E53" s="50">
        <v>3.5215509147374E14</v>
      </c>
      <c r="F53" s="50">
        <v>58.0</v>
      </c>
      <c r="G53" s="50">
        <v>1.0</v>
      </c>
      <c r="H53" s="50">
        <v>2.0</v>
      </c>
      <c r="I53" s="50" t="s">
        <v>471</v>
      </c>
      <c r="J53" s="50" t="s">
        <v>471</v>
      </c>
      <c r="K53" s="50" t="s">
        <v>2651</v>
      </c>
      <c r="L53" s="50" t="s">
        <v>2652</v>
      </c>
      <c r="M53" s="50">
        <v>22.5536275</v>
      </c>
      <c r="N53" s="50">
        <v>88.3981761</v>
      </c>
      <c r="O53" s="50">
        <v>-66.9000015258789</v>
      </c>
      <c r="P53" s="50">
        <v>5.0</v>
      </c>
      <c r="Q53" s="50">
        <v>1.0</v>
      </c>
      <c r="R53" s="50">
        <v>1.0</v>
      </c>
      <c r="S53" s="116"/>
      <c r="T53" s="116"/>
      <c r="U53" s="116"/>
      <c r="V53" s="116"/>
      <c r="W53" s="116"/>
      <c r="X53" s="116"/>
      <c r="Y53" s="116"/>
      <c r="Z53" s="116"/>
      <c r="AA53" s="116"/>
      <c r="AB53" s="116"/>
      <c r="AC53" s="116"/>
      <c r="AD53" s="116"/>
      <c r="AE53" s="116"/>
      <c r="AF53" s="116"/>
      <c r="AG53" s="116"/>
      <c r="AH53" s="116"/>
      <c r="AI53" s="116"/>
      <c r="AJ53" s="50">
        <v>2.0</v>
      </c>
      <c r="AK53" s="116"/>
      <c r="AL53" s="116"/>
      <c r="AM53" s="50">
        <v>1.0</v>
      </c>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50" t="s">
        <v>2654</v>
      </c>
      <c r="CD53" s="50" t="s">
        <v>2302</v>
      </c>
      <c r="CE53" s="50">
        <v>1.0</v>
      </c>
      <c r="CF53" s="50" t="s">
        <v>2279</v>
      </c>
      <c r="CG53" s="117">
        <v>3040.0</v>
      </c>
      <c r="CH53" s="50" t="s">
        <v>2655</v>
      </c>
      <c r="CI53" s="50" t="s">
        <v>2656</v>
      </c>
      <c r="CJ53" s="117">
        <v>52.0</v>
      </c>
    </row>
    <row r="54">
      <c r="A54" s="50" t="s">
        <v>2657</v>
      </c>
      <c r="B54" s="50" t="s">
        <v>2658</v>
      </c>
      <c r="C54" s="116"/>
      <c r="D54" s="116"/>
      <c r="E54" s="50">
        <v>3.5215509147374E14</v>
      </c>
      <c r="F54" s="50">
        <v>58.0</v>
      </c>
      <c r="G54" s="50">
        <v>1.0</v>
      </c>
      <c r="H54" s="50">
        <v>8.0</v>
      </c>
      <c r="I54" s="50" t="s">
        <v>473</v>
      </c>
      <c r="J54" s="50" t="s">
        <v>473</v>
      </c>
      <c r="K54" s="50" t="s">
        <v>2659</v>
      </c>
      <c r="L54" s="50" t="s">
        <v>2660</v>
      </c>
      <c r="M54" s="50">
        <v>22.5519591</v>
      </c>
      <c r="N54" s="50">
        <v>88.4002217</v>
      </c>
      <c r="O54" s="50">
        <v>-7.0</v>
      </c>
      <c r="P54" s="50">
        <v>5.0</v>
      </c>
      <c r="Q54" s="50">
        <v>1.0</v>
      </c>
      <c r="R54" s="50">
        <v>1.0</v>
      </c>
      <c r="S54" s="116"/>
      <c r="T54" s="116"/>
      <c r="U54" s="116"/>
      <c r="V54" s="50">
        <v>2.0</v>
      </c>
      <c r="W54" s="50">
        <v>1.0</v>
      </c>
      <c r="X54" s="116"/>
      <c r="Y54" s="50">
        <v>10.0</v>
      </c>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50" t="s">
        <v>2662</v>
      </c>
      <c r="CD54" s="50" t="s">
        <v>2472</v>
      </c>
      <c r="CE54" s="50">
        <v>1.0</v>
      </c>
      <c r="CF54" s="50" t="s">
        <v>2279</v>
      </c>
      <c r="CG54" s="117">
        <v>3041.0</v>
      </c>
      <c r="CH54" s="50" t="s">
        <v>2663</v>
      </c>
      <c r="CI54" s="50" t="s">
        <v>2664</v>
      </c>
      <c r="CJ54" s="117">
        <v>53.0</v>
      </c>
    </row>
    <row r="55">
      <c r="A55" s="50" t="s">
        <v>2665</v>
      </c>
      <c r="B55" s="50" t="s">
        <v>2666</v>
      </c>
      <c r="C55" s="116"/>
      <c r="D55" s="116"/>
      <c r="E55" s="50">
        <v>3.5215509147374E14</v>
      </c>
      <c r="F55" s="50">
        <v>58.0</v>
      </c>
      <c r="G55" s="50">
        <v>1.0</v>
      </c>
      <c r="H55" s="50">
        <v>8.0</v>
      </c>
      <c r="I55" s="50" t="s">
        <v>475</v>
      </c>
      <c r="J55" s="50" t="s">
        <v>475</v>
      </c>
      <c r="K55" s="50" t="s">
        <v>2667</v>
      </c>
      <c r="L55" s="50" t="s">
        <v>2668</v>
      </c>
      <c r="M55" s="50">
        <v>22.5536815</v>
      </c>
      <c r="N55" s="50">
        <v>88.3980886</v>
      </c>
      <c r="O55" s="50">
        <v>-46.0</v>
      </c>
      <c r="P55" s="50">
        <v>5.0</v>
      </c>
      <c r="Q55" s="50">
        <v>1.0</v>
      </c>
      <c r="R55" s="50">
        <v>1.0</v>
      </c>
      <c r="S55" s="116"/>
      <c r="T55" s="116"/>
      <c r="U55" s="116"/>
      <c r="V55" s="50">
        <v>2.0</v>
      </c>
      <c r="W55" s="50">
        <v>3.0</v>
      </c>
      <c r="X55" s="116"/>
      <c r="Y55" s="50">
        <v>5.0</v>
      </c>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16"/>
      <c r="AY55" s="116"/>
      <c r="AZ55" s="116"/>
      <c r="BA55" s="116"/>
      <c r="BB55" s="116"/>
      <c r="BC55" s="116"/>
      <c r="BD55" s="116"/>
      <c r="BE55" s="116"/>
      <c r="BF55" s="116"/>
      <c r="BG55" s="116"/>
      <c r="BH55" s="116"/>
      <c r="BI55" s="116"/>
      <c r="BJ55" s="116"/>
      <c r="BK55" s="116"/>
      <c r="BL55" s="116"/>
      <c r="BM55" s="116"/>
      <c r="BN55" s="116"/>
      <c r="BO55" s="116"/>
      <c r="BP55" s="116"/>
      <c r="BQ55" s="116"/>
      <c r="BR55" s="116"/>
      <c r="BS55" s="116"/>
      <c r="BT55" s="116"/>
      <c r="BU55" s="116"/>
      <c r="BV55" s="116"/>
      <c r="BW55" s="116"/>
      <c r="BX55" s="116"/>
      <c r="BY55" s="116"/>
      <c r="BZ55" s="116"/>
      <c r="CA55" s="116"/>
      <c r="CB55" s="116"/>
      <c r="CC55" s="50" t="s">
        <v>2669</v>
      </c>
      <c r="CD55" s="50" t="s">
        <v>2327</v>
      </c>
      <c r="CE55" s="50">
        <v>1.0</v>
      </c>
      <c r="CF55" s="50" t="s">
        <v>2279</v>
      </c>
      <c r="CG55" s="117">
        <v>3042.0</v>
      </c>
      <c r="CH55" s="50" t="s">
        <v>2670</v>
      </c>
      <c r="CI55" s="50" t="s">
        <v>2671</v>
      </c>
      <c r="CJ55" s="117">
        <v>54.0</v>
      </c>
    </row>
    <row r="56">
      <c r="A56" s="50" t="s">
        <v>2672</v>
      </c>
      <c r="B56" s="50" t="s">
        <v>2673</v>
      </c>
      <c r="C56" s="116"/>
      <c r="D56" s="116"/>
      <c r="E56" s="50">
        <v>3.5215509147374E14</v>
      </c>
      <c r="F56" s="50">
        <v>58.0</v>
      </c>
      <c r="G56" s="50">
        <v>1.0</v>
      </c>
      <c r="H56" s="50">
        <v>99.0</v>
      </c>
      <c r="I56" s="50" t="s">
        <v>467</v>
      </c>
      <c r="J56" s="50" t="s">
        <v>467</v>
      </c>
      <c r="K56" s="116"/>
      <c r="L56" s="116"/>
      <c r="M56" s="116"/>
      <c r="N56" s="116"/>
      <c r="O56" s="116"/>
      <c r="P56" s="116"/>
      <c r="Q56" s="116"/>
      <c r="R56" s="116"/>
      <c r="S56" s="116"/>
      <c r="T56" s="11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50" t="s">
        <v>2472</v>
      </c>
      <c r="CE56" s="116"/>
      <c r="CF56" s="50" t="s">
        <v>2279</v>
      </c>
      <c r="CG56" s="117">
        <v>3043.0</v>
      </c>
      <c r="CH56" s="50" t="s">
        <v>2675</v>
      </c>
      <c r="CI56" s="50" t="s">
        <v>2676</v>
      </c>
      <c r="CJ56" s="117">
        <v>55.0</v>
      </c>
    </row>
    <row r="57">
      <c r="A57" s="50" t="s">
        <v>2677</v>
      </c>
      <c r="B57" s="50" t="s">
        <v>2678</v>
      </c>
      <c r="C57" s="116"/>
      <c r="D57" s="116"/>
      <c r="E57" s="50">
        <v>3.5215509147374E14</v>
      </c>
      <c r="F57" s="50">
        <v>58.0</v>
      </c>
      <c r="G57" s="50">
        <v>1.0</v>
      </c>
      <c r="H57" s="50">
        <v>3.0</v>
      </c>
      <c r="I57" s="50" t="s">
        <v>485</v>
      </c>
      <c r="J57" s="50" t="s">
        <v>485</v>
      </c>
      <c r="K57" s="50" t="s">
        <v>2679</v>
      </c>
      <c r="L57" s="50" t="s">
        <v>2680</v>
      </c>
      <c r="M57" s="50">
        <v>22.5521384</v>
      </c>
      <c r="N57" s="50">
        <v>88.3997316</v>
      </c>
      <c r="O57" s="50">
        <v>-47.9000015258789</v>
      </c>
      <c r="P57" s="50">
        <v>5.0</v>
      </c>
      <c r="Q57" s="50">
        <v>1.0</v>
      </c>
      <c r="R57" s="50">
        <v>0.0</v>
      </c>
      <c r="S57" s="50">
        <v>1.0</v>
      </c>
      <c r="T57" s="116"/>
      <c r="U57" s="116"/>
      <c r="V57" s="116"/>
      <c r="W57" s="116"/>
      <c r="X57" s="116"/>
      <c r="Y57" s="116"/>
      <c r="Z57" s="116"/>
      <c r="AA57" s="116"/>
      <c r="AB57" s="116"/>
      <c r="AC57" s="116"/>
      <c r="AD57" s="116"/>
      <c r="AE57" s="116"/>
      <c r="AF57" s="116"/>
      <c r="AG57" s="116"/>
      <c r="AH57" s="116"/>
      <c r="AI57" s="116"/>
      <c r="AJ57" s="116"/>
      <c r="AK57" s="116"/>
      <c r="AL57" s="116"/>
      <c r="AM57" s="116"/>
      <c r="AN57" s="116"/>
      <c r="AO57" s="50">
        <v>4.0</v>
      </c>
      <c r="AP57" s="116"/>
      <c r="AQ57" s="50">
        <v>1.0</v>
      </c>
      <c r="AR57" s="50">
        <v>1.0</v>
      </c>
      <c r="AS57" s="116"/>
      <c r="AT57" s="116"/>
      <c r="AU57" s="116"/>
      <c r="AV57" s="116"/>
      <c r="AW57" s="116"/>
      <c r="AX57" s="116"/>
      <c r="AY57" s="116"/>
      <c r="AZ57" s="116"/>
      <c r="BA57" s="116"/>
      <c r="BB57" s="116"/>
      <c r="BC57" s="116"/>
      <c r="BD57" s="116"/>
      <c r="BE57" s="116"/>
      <c r="BF57" s="116"/>
      <c r="BG57" s="116"/>
      <c r="BH57" s="116"/>
      <c r="BI57" s="116"/>
      <c r="BJ57" s="116"/>
      <c r="BK57" s="116"/>
      <c r="BL57" s="116"/>
      <c r="BM57" s="116"/>
      <c r="BN57" s="116"/>
      <c r="BO57" s="116"/>
      <c r="BP57" s="116"/>
      <c r="BQ57" s="116"/>
      <c r="BR57" s="116"/>
      <c r="BS57" s="116"/>
      <c r="BT57" s="116"/>
      <c r="BU57" s="116"/>
      <c r="BV57" s="116"/>
      <c r="BW57" s="116"/>
      <c r="BX57" s="116"/>
      <c r="BY57" s="116"/>
      <c r="BZ57" s="116"/>
      <c r="CA57" s="116"/>
      <c r="CB57" s="116"/>
      <c r="CC57" s="116"/>
      <c r="CD57" s="50" t="s">
        <v>2286</v>
      </c>
      <c r="CE57" s="50">
        <v>1.0</v>
      </c>
      <c r="CF57" s="50" t="s">
        <v>2279</v>
      </c>
      <c r="CG57" s="117">
        <v>3059.0</v>
      </c>
      <c r="CH57" s="50" t="s">
        <v>2682</v>
      </c>
      <c r="CI57" s="50" t="s">
        <v>2683</v>
      </c>
      <c r="CJ57" s="117">
        <v>56.0</v>
      </c>
    </row>
    <row r="58">
      <c r="A58" s="50" t="s">
        <v>2684</v>
      </c>
      <c r="B58" s="50" t="s">
        <v>2685</v>
      </c>
      <c r="C58" s="116"/>
      <c r="D58" s="116"/>
      <c r="E58" s="50">
        <v>3.5215509147374E14</v>
      </c>
      <c r="F58" s="50">
        <v>58.0</v>
      </c>
      <c r="G58" s="50">
        <v>1.0</v>
      </c>
      <c r="H58" s="50">
        <v>1.0</v>
      </c>
      <c r="I58" s="50" t="s">
        <v>486</v>
      </c>
      <c r="J58" s="50" t="s">
        <v>486</v>
      </c>
      <c r="K58" s="50" t="s">
        <v>2686</v>
      </c>
      <c r="L58" s="50" t="s">
        <v>2687</v>
      </c>
      <c r="M58" s="50">
        <v>22.5521335</v>
      </c>
      <c r="N58" s="50">
        <v>88.399686</v>
      </c>
      <c r="O58" s="50">
        <v>-47.2999992370605</v>
      </c>
      <c r="P58" s="50">
        <v>5.0</v>
      </c>
      <c r="Q58" s="50">
        <v>1.0</v>
      </c>
      <c r="R58" s="50">
        <v>0.0</v>
      </c>
      <c r="S58" s="50">
        <v>1.0</v>
      </c>
      <c r="T58" s="11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16"/>
      <c r="AY58" s="116"/>
      <c r="AZ58" s="116"/>
      <c r="BA58" s="116"/>
      <c r="BB58" s="116"/>
      <c r="BC58" s="116"/>
      <c r="BD58" s="116"/>
      <c r="BE58" s="116"/>
      <c r="BF58" s="116"/>
      <c r="BG58" s="50">
        <v>1.0</v>
      </c>
      <c r="BH58" s="50">
        <v>2.0</v>
      </c>
      <c r="BI58" s="50">
        <v>1.0</v>
      </c>
      <c r="BJ58" s="50">
        <v>1.0</v>
      </c>
      <c r="BK58" s="116"/>
      <c r="BL58" s="116"/>
      <c r="BM58" s="50">
        <v>0.0</v>
      </c>
      <c r="BN58" s="50">
        <v>0.0</v>
      </c>
      <c r="BO58" s="50">
        <v>0.0</v>
      </c>
      <c r="BP58" s="50">
        <v>0.0</v>
      </c>
      <c r="BQ58" s="50">
        <v>0.0</v>
      </c>
      <c r="BR58" s="50">
        <v>0.0</v>
      </c>
      <c r="BS58" s="50">
        <v>1.0</v>
      </c>
      <c r="BT58" s="50">
        <v>1.0</v>
      </c>
      <c r="BU58" s="50">
        <v>6.0</v>
      </c>
      <c r="BV58" s="116"/>
      <c r="BW58" s="116"/>
      <c r="BX58" s="116"/>
      <c r="BY58" s="116"/>
      <c r="BZ58" s="116"/>
      <c r="CA58" s="116"/>
      <c r="CB58" s="116"/>
      <c r="CC58" s="116"/>
      <c r="CD58" s="50" t="s">
        <v>2472</v>
      </c>
      <c r="CE58" s="50">
        <v>1.0</v>
      </c>
      <c r="CF58" s="50" t="s">
        <v>2279</v>
      </c>
      <c r="CG58" s="117">
        <v>3060.0</v>
      </c>
      <c r="CH58" s="50" t="s">
        <v>2689</v>
      </c>
      <c r="CI58" s="50" t="s">
        <v>2690</v>
      </c>
      <c r="CJ58" s="117">
        <v>57.0</v>
      </c>
    </row>
    <row r="59">
      <c r="A59" s="50" t="s">
        <v>2691</v>
      </c>
      <c r="B59" s="50" t="s">
        <v>2692</v>
      </c>
      <c r="C59" s="116"/>
      <c r="D59" s="116"/>
      <c r="E59" s="50">
        <v>3.5215509147374E14</v>
      </c>
      <c r="F59" s="50">
        <v>58.0</v>
      </c>
      <c r="G59" s="50">
        <v>1.0</v>
      </c>
      <c r="H59" s="50">
        <v>5.0</v>
      </c>
      <c r="I59" s="50" t="s">
        <v>493</v>
      </c>
      <c r="J59" s="50" t="s">
        <v>493</v>
      </c>
      <c r="K59" s="50" t="s">
        <v>2693</v>
      </c>
      <c r="L59" s="50" t="s">
        <v>2694</v>
      </c>
      <c r="M59" s="50">
        <v>22.5533324</v>
      </c>
      <c r="N59" s="50">
        <v>88.4011386</v>
      </c>
      <c r="O59" s="50">
        <v>-49.2000007629394</v>
      </c>
      <c r="P59" s="50">
        <v>5.0</v>
      </c>
      <c r="Q59" s="50">
        <v>2.0</v>
      </c>
      <c r="R59" s="50">
        <v>0.0</v>
      </c>
      <c r="S59" s="50">
        <v>1.0</v>
      </c>
      <c r="T59" s="11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16"/>
      <c r="AY59" s="116"/>
      <c r="AZ59" s="116"/>
      <c r="BA59" s="116"/>
      <c r="BB59" s="116"/>
      <c r="BC59" s="116"/>
      <c r="BD59" s="50">
        <v>88.0</v>
      </c>
      <c r="BE59" s="50" t="s">
        <v>2583</v>
      </c>
      <c r="BF59" s="116"/>
      <c r="BG59" s="116"/>
      <c r="BH59" s="116"/>
      <c r="BI59" s="116"/>
      <c r="BJ59" s="116"/>
      <c r="BK59" s="116"/>
      <c r="BL59" s="116"/>
      <c r="BM59" s="116"/>
      <c r="BN59" s="116"/>
      <c r="BO59" s="116"/>
      <c r="BP59" s="116"/>
      <c r="BQ59" s="116"/>
      <c r="BR59" s="116"/>
      <c r="BS59" s="116"/>
      <c r="BT59" s="116"/>
      <c r="BU59" s="116"/>
      <c r="BV59" s="116"/>
      <c r="BW59" s="116"/>
      <c r="BX59" s="116"/>
      <c r="BY59" s="116"/>
      <c r="BZ59" s="116"/>
      <c r="CA59" s="116"/>
      <c r="CB59" s="116"/>
      <c r="CC59" s="50" t="s">
        <v>2695</v>
      </c>
      <c r="CD59" s="50" t="s">
        <v>2696</v>
      </c>
      <c r="CE59" s="50">
        <v>1.0</v>
      </c>
      <c r="CF59" s="50" t="s">
        <v>2279</v>
      </c>
      <c r="CG59" s="117">
        <v>3061.0</v>
      </c>
      <c r="CH59" s="50" t="s">
        <v>2697</v>
      </c>
      <c r="CI59" s="50" t="s">
        <v>2698</v>
      </c>
      <c r="CJ59" s="117">
        <v>58.0</v>
      </c>
    </row>
    <row r="60">
      <c r="A60" s="50" t="s">
        <v>2699</v>
      </c>
      <c r="B60" s="50" t="s">
        <v>2700</v>
      </c>
      <c r="C60" s="116"/>
      <c r="D60" s="116"/>
      <c r="E60" s="50">
        <v>3.5215509147374E14</v>
      </c>
      <c r="F60" s="50">
        <v>58.0</v>
      </c>
      <c r="G60" s="50">
        <v>1.0</v>
      </c>
      <c r="H60" s="50">
        <v>10.0</v>
      </c>
      <c r="I60" s="50" t="s">
        <v>488</v>
      </c>
      <c r="J60" s="50" t="s">
        <v>488</v>
      </c>
      <c r="K60" s="50" t="s">
        <v>2702</v>
      </c>
      <c r="L60" s="50" t="s">
        <v>2703</v>
      </c>
      <c r="M60" s="50">
        <v>22.5535632</v>
      </c>
      <c r="N60" s="50">
        <v>88.3990572</v>
      </c>
      <c r="O60" s="50">
        <v>-27.7000007629394</v>
      </c>
      <c r="P60" s="50">
        <v>5.0</v>
      </c>
      <c r="Q60" s="50">
        <v>1.0</v>
      </c>
      <c r="R60" s="50">
        <v>0.0</v>
      </c>
      <c r="S60" s="50">
        <v>1.0</v>
      </c>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16"/>
      <c r="AY60" s="116"/>
      <c r="AZ60" s="116"/>
      <c r="BA60" s="116"/>
      <c r="BB60" s="116"/>
      <c r="BC60" s="116"/>
      <c r="BD60" s="116"/>
      <c r="BE60" s="116"/>
      <c r="BF60" s="116"/>
      <c r="BG60" s="116"/>
      <c r="BH60" s="116"/>
      <c r="BI60" s="116"/>
      <c r="BJ60" s="116"/>
      <c r="BK60" s="116"/>
      <c r="BL60" s="116"/>
      <c r="BM60" s="116"/>
      <c r="BN60" s="116"/>
      <c r="BO60" s="116"/>
      <c r="BP60" s="116"/>
      <c r="BQ60" s="116"/>
      <c r="BR60" s="116"/>
      <c r="BS60" s="116"/>
      <c r="BT60" s="116"/>
      <c r="BU60" s="116"/>
      <c r="BV60" s="50">
        <v>88.0</v>
      </c>
      <c r="BW60" s="50" t="s">
        <v>2605</v>
      </c>
      <c r="BX60" s="116"/>
      <c r="BY60" s="116"/>
      <c r="BZ60" s="116"/>
      <c r="CA60" s="116"/>
      <c r="CB60" s="116"/>
      <c r="CC60" s="116"/>
      <c r="CD60" s="50" t="s">
        <v>2278</v>
      </c>
      <c r="CE60" s="50">
        <v>0.0</v>
      </c>
      <c r="CF60" s="50" t="s">
        <v>2279</v>
      </c>
      <c r="CG60" s="117">
        <v>3062.0</v>
      </c>
      <c r="CH60" s="50" t="s">
        <v>2704</v>
      </c>
      <c r="CI60" s="50" t="s">
        <v>2705</v>
      </c>
      <c r="CJ60" s="117">
        <v>59.0</v>
      </c>
    </row>
    <row r="61">
      <c r="A61" s="50" t="s">
        <v>2706</v>
      </c>
      <c r="B61" s="50" t="s">
        <v>2707</v>
      </c>
      <c r="C61" s="116"/>
      <c r="D61" s="116"/>
      <c r="E61" s="50">
        <v>3.5215509147374E14</v>
      </c>
      <c r="F61" s="50">
        <v>58.0</v>
      </c>
      <c r="G61" s="50">
        <v>1.0</v>
      </c>
      <c r="H61" s="50">
        <v>10.0</v>
      </c>
      <c r="I61" s="50" t="s">
        <v>489</v>
      </c>
      <c r="J61" s="50" t="s">
        <v>489</v>
      </c>
      <c r="K61" s="50" t="s">
        <v>2709</v>
      </c>
      <c r="L61" s="50" t="s">
        <v>2710</v>
      </c>
      <c r="M61" s="50">
        <v>22.5526713</v>
      </c>
      <c r="N61" s="50">
        <v>88.397331</v>
      </c>
      <c r="O61" s="50">
        <v>-31.2999992370605</v>
      </c>
      <c r="P61" s="50">
        <v>5.0</v>
      </c>
      <c r="Q61" s="50">
        <v>1.0</v>
      </c>
      <c r="R61" s="50">
        <v>0.0</v>
      </c>
      <c r="S61" s="50">
        <v>1.0</v>
      </c>
      <c r="T61" s="116"/>
      <c r="U61" s="116"/>
      <c r="V61" s="116"/>
      <c r="W61" s="116"/>
      <c r="X61" s="116"/>
      <c r="Y61" s="116"/>
      <c r="Z61" s="116"/>
      <c r="AA61" s="116"/>
      <c r="AB61" s="116"/>
      <c r="AC61" s="116"/>
      <c r="AD61" s="116"/>
      <c r="AE61" s="116"/>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50">
        <v>1.0</v>
      </c>
      <c r="BW61" s="116"/>
      <c r="BX61" s="116"/>
      <c r="BY61" s="116"/>
      <c r="BZ61" s="116"/>
      <c r="CA61" s="116"/>
      <c r="CB61" s="116"/>
      <c r="CC61" s="116"/>
      <c r="CD61" s="50" t="s">
        <v>2327</v>
      </c>
      <c r="CE61" s="50">
        <v>0.0</v>
      </c>
      <c r="CF61" s="50" t="s">
        <v>2279</v>
      </c>
      <c r="CG61" s="117">
        <v>3063.0</v>
      </c>
      <c r="CH61" s="50" t="s">
        <v>2711</v>
      </c>
      <c r="CI61" s="50" t="s">
        <v>2712</v>
      </c>
      <c r="CJ61" s="117">
        <v>60.0</v>
      </c>
    </row>
    <row r="62">
      <c r="A62" s="50" t="s">
        <v>2713</v>
      </c>
      <c r="B62" s="50" t="s">
        <v>2714</v>
      </c>
      <c r="C62" s="116"/>
      <c r="D62" s="116"/>
      <c r="E62" s="50">
        <v>3.52155090281144E14</v>
      </c>
      <c r="F62" s="50">
        <v>57.0</v>
      </c>
      <c r="G62" s="50">
        <v>1.0</v>
      </c>
      <c r="H62" s="50">
        <v>99.0</v>
      </c>
      <c r="I62" s="50" t="s">
        <v>467</v>
      </c>
      <c r="J62" s="50" t="s">
        <v>467</v>
      </c>
      <c r="K62" s="116"/>
      <c r="L62" s="116"/>
      <c r="M62" s="116"/>
      <c r="N62" s="116"/>
      <c r="O62" s="116"/>
      <c r="P62" s="116"/>
      <c r="Q62" s="116"/>
      <c r="R62" s="116"/>
      <c r="S62" s="116"/>
      <c r="T62" s="116"/>
      <c r="U62" s="116"/>
      <c r="V62" s="116"/>
      <c r="W62" s="116"/>
      <c r="X62" s="116"/>
      <c r="Y62" s="116"/>
      <c r="Z62" s="116"/>
      <c r="AA62" s="116"/>
      <c r="AB62" s="116"/>
      <c r="AC62" s="116"/>
      <c r="AD62" s="116"/>
      <c r="AE62" s="116"/>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50" t="s">
        <v>2302</v>
      </c>
      <c r="CE62" s="116"/>
      <c r="CF62" s="50" t="s">
        <v>2716</v>
      </c>
      <c r="CG62" s="117">
        <v>3251.0</v>
      </c>
      <c r="CH62" s="50" t="s">
        <v>2717</v>
      </c>
      <c r="CI62" s="50" t="s">
        <v>2718</v>
      </c>
      <c r="CJ62" s="117">
        <v>61.0</v>
      </c>
    </row>
    <row r="63">
      <c r="A63" s="50" t="s">
        <v>2719</v>
      </c>
      <c r="B63" s="50" t="s">
        <v>2720</v>
      </c>
      <c r="C63" s="116"/>
      <c r="D63" s="116"/>
      <c r="E63" s="50">
        <v>3.52155090281144E14</v>
      </c>
      <c r="F63" s="50">
        <v>58.0</v>
      </c>
      <c r="G63" s="50">
        <v>1.0</v>
      </c>
      <c r="H63" s="50">
        <v>99.0</v>
      </c>
      <c r="I63" s="50" t="s">
        <v>744</v>
      </c>
      <c r="J63" s="50" t="s">
        <v>744</v>
      </c>
      <c r="K63" s="116"/>
      <c r="L63" s="116"/>
      <c r="M63" s="116"/>
      <c r="N63" s="116"/>
      <c r="O63" s="116"/>
      <c r="P63" s="116"/>
      <c r="Q63" s="116"/>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50" t="s">
        <v>2302</v>
      </c>
      <c r="CE63" s="116"/>
      <c r="CF63" s="50" t="s">
        <v>2716</v>
      </c>
      <c r="CG63" s="117">
        <v>3303.0</v>
      </c>
      <c r="CH63" s="50" t="s">
        <v>2721</v>
      </c>
      <c r="CI63" s="50" t="s">
        <v>2722</v>
      </c>
      <c r="CJ63" s="117">
        <v>62.0</v>
      </c>
    </row>
    <row r="64">
      <c r="A64" s="50" t="s">
        <v>2723</v>
      </c>
      <c r="B64" s="50" t="s">
        <v>2725</v>
      </c>
      <c r="C64" s="116"/>
      <c r="D64" s="116"/>
      <c r="E64" s="50">
        <v>3.52155090281144E14</v>
      </c>
      <c r="F64" s="50">
        <v>58.0</v>
      </c>
      <c r="G64" s="50">
        <v>1.0</v>
      </c>
      <c r="H64" s="50">
        <v>99.0</v>
      </c>
      <c r="I64" s="50" t="s">
        <v>813</v>
      </c>
      <c r="J64" s="50" t="s">
        <v>813</v>
      </c>
      <c r="K64" s="116"/>
      <c r="L64" s="116"/>
      <c r="M64" s="116"/>
      <c r="N64" s="116"/>
      <c r="O64" s="116"/>
      <c r="P64" s="116"/>
      <c r="Q64" s="116"/>
      <c r="R64" s="116"/>
      <c r="S64" s="116"/>
      <c r="T64" s="116"/>
      <c r="U64" s="116"/>
      <c r="V64" s="116"/>
      <c r="W64" s="116"/>
      <c r="X64" s="116"/>
      <c r="Y64" s="116"/>
      <c r="Z64" s="116"/>
      <c r="AA64" s="116"/>
      <c r="AB64" s="116"/>
      <c r="AC64" s="116"/>
      <c r="AD64" s="116"/>
      <c r="AE64" s="116"/>
      <c r="AF64" s="116"/>
      <c r="AG64" s="116"/>
      <c r="AH64" s="116"/>
      <c r="AI64" s="116"/>
      <c r="AJ64" s="116"/>
      <c r="AK64" s="116"/>
      <c r="AL64" s="116"/>
      <c r="AM64" s="116"/>
      <c r="AN64" s="116"/>
      <c r="AO64" s="116"/>
      <c r="AP64" s="116"/>
      <c r="AQ64" s="116"/>
      <c r="AR64" s="116"/>
      <c r="AS64" s="116"/>
      <c r="AT64" s="116"/>
      <c r="AU64" s="116"/>
      <c r="AV64" s="116"/>
      <c r="AW64" s="116"/>
      <c r="AX64" s="116"/>
      <c r="AY64" s="116"/>
      <c r="AZ64" s="116"/>
      <c r="BA64" s="116"/>
      <c r="BB64" s="116"/>
      <c r="BC64" s="116"/>
      <c r="BD64" s="116"/>
      <c r="BE64" s="116"/>
      <c r="BF64" s="116"/>
      <c r="BG64" s="116"/>
      <c r="BH64" s="116"/>
      <c r="BI64" s="116"/>
      <c r="BJ64" s="116"/>
      <c r="BK64" s="116"/>
      <c r="BL64" s="116"/>
      <c r="BM64" s="116"/>
      <c r="BN64" s="116"/>
      <c r="BO64" s="116"/>
      <c r="BP64" s="116"/>
      <c r="BQ64" s="116"/>
      <c r="BR64" s="116"/>
      <c r="BS64" s="116"/>
      <c r="BT64" s="116"/>
      <c r="BU64" s="116"/>
      <c r="BV64" s="116"/>
      <c r="BW64" s="116"/>
      <c r="BX64" s="116"/>
      <c r="BY64" s="116"/>
      <c r="BZ64" s="116"/>
      <c r="CA64" s="116"/>
      <c r="CB64" s="116"/>
      <c r="CC64" s="116"/>
      <c r="CD64" s="50" t="s">
        <v>2302</v>
      </c>
      <c r="CE64" s="116"/>
      <c r="CF64" s="50" t="s">
        <v>2716</v>
      </c>
      <c r="CG64" s="117">
        <v>3348.0</v>
      </c>
      <c r="CH64" s="50" t="s">
        <v>2726</v>
      </c>
      <c r="CI64" s="50" t="s">
        <v>2727</v>
      </c>
      <c r="CJ64" s="117">
        <v>63.0</v>
      </c>
    </row>
    <row r="65">
      <c r="A65" s="50" t="s">
        <v>2728</v>
      </c>
      <c r="B65" s="50" t="s">
        <v>2729</v>
      </c>
      <c r="C65" s="116"/>
      <c r="D65" s="116"/>
      <c r="E65" s="50">
        <v>3.52155090281144E14</v>
      </c>
      <c r="F65" s="50">
        <v>58.0</v>
      </c>
      <c r="G65" s="50">
        <v>1.0</v>
      </c>
      <c r="H65" s="50">
        <v>99.0</v>
      </c>
      <c r="I65" s="50" t="s">
        <v>830</v>
      </c>
      <c r="J65" s="50" t="s">
        <v>830</v>
      </c>
      <c r="K65" s="116"/>
      <c r="L65" s="116"/>
      <c r="M65" s="116"/>
      <c r="N65" s="116"/>
      <c r="O65" s="116"/>
      <c r="P65" s="116"/>
      <c r="Q65" s="116"/>
      <c r="R65" s="116"/>
      <c r="S65" s="116"/>
      <c r="T65" s="116"/>
      <c r="U65" s="116"/>
      <c r="V65" s="116"/>
      <c r="W65" s="116"/>
      <c r="X65" s="116"/>
      <c r="Y65" s="116"/>
      <c r="Z65" s="116"/>
      <c r="AA65" s="116"/>
      <c r="AB65" s="116"/>
      <c r="AC65" s="116"/>
      <c r="AD65" s="116"/>
      <c r="AE65" s="116"/>
      <c r="AF65" s="116"/>
      <c r="AG65" s="116"/>
      <c r="AH65" s="116"/>
      <c r="AI65" s="116"/>
      <c r="AJ65" s="116"/>
      <c r="AK65" s="116"/>
      <c r="AL65" s="116"/>
      <c r="AM65" s="116"/>
      <c r="AN65" s="116"/>
      <c r="AO65" s="116"/>
      <c r="AP65" s="116"/>
      <c r="AQ65" s="116"/>
      <c r="AR65" s="116"/>
      <c r="AS65" s="116"/>
      <c r="AT65" s="116"/>
      <c r="AU65" s="116"/>
      <c r="AV65" s="116"/>
      <c r="AW65" s="116"/>
      <c r="AX65" s="116"/>
      <c r="AY65" s="116"/>
      <c r="AZ65" s="116"/>
      <c r="BA65" s="116"/>
      <c r="BB65" s="116"/>
      <c r="BC65" s="116"/>
      <c r="BD65" s="116"/>
      <c r="BE65" s="116"/>
      <c r="BF65" s="116"/>
      <c r="BG65" s="116"/>
      <c r="BH65" s="116"/>
      <c r="BI65" s="116"/>
      <c r="BJ65" s="116"/>
      <c r="BK65" s="116"/>
      <c r="BL65" s="116"/>
      <c r="BM65" s="116"/>
      <c r="BN65" s="116"/>
      <c r="BO65" s="116"/>
      <c r="BP65" s="116"/>
      <c r="BQ65" s="116"/>
      <c r="BR65" s="116"/>
      <c r="BS65" s="116"/>
      <c r="BT65" s="116"/>
      <c r="BU65" s="116"/>
      <c r="BV65" s="116"/>
      <c r="BW65" s="116"/>
      <c r="BX65" s="116"/>
      <c r="BY65" s="116"/>
      <c r="BZ65" s="116"/>
      <c r="CA65" s="116"/>
      <c r="CB65" s="116"/>
      <c r="CC65" s="116"/>
      <c r="CD65" s="50" t="s">
        <v>2286</v>
      </c>
      <c r="CE65" s="116"/>
      <c r="CF65" s="50" t="s">
        <v>2716</v>
      </c>
      <c r="CG65" s="117">
        <v>3388.0</v>
      </c>
      <c r="CH65" s="50" t="s">
        <v>2731</v>
      </c>
      <c r="CI65" s="50" t="s">
        <v>2732</v>
      </c>
      <c r="CJ65" s="117">
        <v>64.0</v>
      </c>
    </row>
    <row r="66">
      <c r="A66" s="50" t="s">
        <v>2733</v>
      </c>
      <c r="B66" s="50" t="s">
        <v>2734</v>
      </c>
      <c r="C66" s="116"/>
      <c r="D66" s="116"/>
      <c r="E66" s="50">
        <v>3.5215509147374E14</v>
      </c>
      <c r="F66" s="50">
        <v>58.0</v>
      </c>
      <c r="G66" s="50">
        <v>1.0</v>
      </c>
      <c r="H66" s="50">
        <v>8.0</v>
      </c>
      <c r="I66" s="50" t="s">
        <v>942</v>
      </c>
      <c r="J66" s="50" t="s">
        <v>942</v>
      </c>
      <c r="K66" s="50" t="s">
        <v>2735</v>
      </c>
      <c r="L66" s="50" t="s">
        <v>2736</v>
      </c>
      <c r="M66" s="50">
        <v>22.5519546</v>
      </c>
      <c r="N66" s="50">
        <v>88.4000336</v>
      </c>
      <c r="O66" s="50">
        <v>-59.9000015258789</v>
      </c>
      <c r="P66" s="50">
        <v>5.0</v>
      </c>
      <c r="Q66" s="50">
        <v>1.0</v>
      </c>
      <c r="R66" s="50">
        <v>0.0</v>
      </c>
      <c r="S66" s="50">
        <v>1.0</v>
      </c>
      <c r="T66" s="116"/>
      <c r="U66" s="116"/>
      <c r="V66" s="50">
        <v>2.0</v>
      </c>
      <c r="W66" s="50">
        <v>3.0</v>
      </c>
      <c r="X66" s="116"/>
      <c r="Y66" s="50">
        <v>10.0</v>
      </c>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16"/>
      <c r="AY66" s="116"/>
      <c r="AZ66" s="116"/>
      <c r="BA66" s="116"/>
      <c r="BB66" s="116"/>
      <c r="BC66" s="116"/>
      <c r="BD66" s="116"/>
      <c r="BE66" s="116"/>
      <c r="BF66" s="116"/>
      <c r="BG66" s="116"/>
      <c r="BH66" s="116"/>
      <c r="BI66" s="116"/>
      <c r="BJ66" s="116"/>
      <c r="BK66" s="116"/>
      <c r="BL66" s="116"/>
      <c r="BM66" s="116"/>
      <c r="BN66" s="116"/>
      <c r="BO66" s="116"/>
      <c r="BP66" s="116"/>
      <c r="BQ66" s="116"/>
      <c r="BR66" s="116"/>
      <c r="BS66" s="116"/>
      <c r="BT66" s="116"/>
      <c r="BU66" s="116"/>
      <c r="BV66" s="116"/>
      <c r="BW66" s="116"/>
      <c r="BX66" s="116"/>
      <c r="BY66" s="116"/>
      <c r="BZ66" s="116"/>
      <c r="CA66" s="116"/>
      <c r="CB66" s="116"/>
      <c r="CC66" s="50" t="s">
        <v>2737</v>
      </c>
      <c r="CD66" s="50" t="s">
        <v>2302</v>
      </c>
      <c r="CE66" s="50">
        <v>1.0</v>
      </c>
      <c r="CF66" s="50" t="s">
        <v>2716</v>
      </c>
      <c r="CG66" s="117">
        <v>3582.0</v>
      </c>
      <c r="CH66" s="50" t="s">
        <v>2739</v>
      </c>
      <c r="CI66" s="50" t="s">
        <v>2740</v>
      </c>
      <c r="CJ66" s="117">
        <v>65.0</v>
      </c>
    </row>
    <row r="67">
      <c r="A67" s="50" t="s">
        <v>2741</v>
      </c>
      <c r="B67" s="50" t="s">
        <v>2742</v>
      </c>
      <c r="C67" s="116"/>
      <c r="D67" s="116"/>
      <c r="E67" s="50">
        <v>3.5215509147374E14</v>
      </c>
      <c r="F67" s="50">
        <v>58.0</v>
      </c>
      <c r="G67" s="50">
        <v>1.0</v>
      </c>
      <c r="H67" s="50">
        <v>8.0</v>
      </c>
      <c r="I67" s="50" t="s">
        <v>944</v>
      </c>
      <c r="J67" s="50" t="s">
        <v>944</v>
      </c>
      <c r="K67" s="50" t="s">
        <v>2743</v>
      </c>
      <c r="L67" s="50" t="s">
        <v>2744</v>
      </c>
      <c r="M67" s="50">
        <v>22.551636</v>
      </c>
      <c r="N67" s="50">
        <v>88.3985388</v>
      </c>
      <c r="O67" s="50">
        <v>-48.4000015258789</v>
      </c>
      <c r="P67" s="50">
        <v>5.0</v>
      </c>
      <c r="Q67" s="50">
        <v>1.0</v>
      </c>
      <c r="R67" s="50">
        <v>0.0</v>
      </c>
      <c r="S67" s="50">
        <v>1.0</v>
      </c>
      <c r="T67" s="116"/>
      <c r="U67" s="116"/>
      <c r="V67" s="50">
        <v>2.0</v>
      </c>
      <c r="W67" s="50">
        <v>3.0</v>
      </c>
      <c r="X67" s="116"/>
      <c r="Y67" s="50">
        <v>20.0</v>
      </c>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16"/>
      <c r="AY67" s="116"/>
      <c r="AZ67" s="116"/>
      <c r="BA67" s="116"/>
      <c r="BB67" s="116"/>
      <c r="BC67" s="116"/>
      <c r="BD67" s="116"/>
      <c r="BE67" s="116"/>
      <c r="BF67" s="116"/>
      <c r="BG67" s="116"/>
      <c r="BH67" s="116"/>
      <c r="BI67" s="116"/>
      <c r="BJ67" s="116"/>
      <c r="BK67" s="116"/>
      <c r="BL67" s="116"/>
      <c r="BM67" s="116"/>
      <c r="BN67" s="116"/>
      <c r="BO67" s="116"/>
      <c r="BP67" s="116"/>
      <c r="BQ67" s="116"/>
      <c r="BR67" s="116"/>
      <c r="BS67" s="116"/>
      <c r="BT67" s="116"/>
      <c r="BU67" s="116"/>
      <c r="BV67" s="116"/>
      <c r="BW67" s="116"/>
      <c r="BX67" s="116"/>
      <c r="BY67" s="116"/>
      <c r="BZ67" s="116"/>
      <c r="CA67" s="116"/>
      <c r="CB67" s="116"/>
      <c r="CC67" s="50" t="s">
        <v>2745</v>
      </c>
      <c r="CD67" s="50" t="s">
        <v>2286</v>
      </c>
      <c r="CE67" s="50">
        <v>1.0</v>
      </c>
      <c r="CF67" s="50" t="s">
        <v>2716</v>
      </c>
      <c r="CG67" s="117">
        <v>3583.0</v>
      </c>
      <c r="CH67" s="50" t="s">
        <v>2746</v>
      </c>
      <c r="CI67" s="50" t="s">
        <v>2747</v>
      </c>
      <c r="CJ67" s="117">
        <v>66.0</v>
      </c>
    </row>
    <row r="68">
      <c r="A68" s="50" t="s">
        <v>2748</v>
      </c>
      <c r="B68" s="50" t="s">
        <v>2750</v>
      </c>
      <c r="C68" s="116"/>
      <c r="D68" s="116"/>
      <c r="E68" s="50">
        <v>3.5215509147374E14</v>
      </c>
      <c r="F68" s="50">
        <v>58.0</v>
      </c>
      <c r="G68" s="50">
        <v>1.0</v>
      </c>
      <c r="H68" s="50">
        <v>10.0</v>
      </c>
      <c r="I68" s="50" t="s">
        <v>958</v>
      </c>
      <c r="J68" s="50" t="s">
        <v>958</v>
      </c>
      <c r="K68" s="50" t="s">
        <v>2751</v>
      </c>
      <c r="L68" s="50" t="s">
        <v>2752</v>
      </c>
      <c r="M68" s="50">
        <v>22.5535205</v>
      </c>
      <c r="N68" s="50">
        <v>88.3972171</v>
      </c>
      <c r="O68" s="50">
        <v>-65.0</v>
      </c>
      <c r="P68" s="50">
        <v>5.0</v>
      </c>
      <c r="Q68" s="50">
        <v>1.0</v>
      </c>
      <c r="R68" s="50">
        <v>0.0</v>
      </c>
      <c r="S68" s="50">
        <v>1.0</v>
      </c>
      <c r="T68" s="116"/>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16"/>
      <c r="AY68" s="116"/>
      <c r="AZ68" s="116"/>
      <c r="BA68" s="116"/>
      <c r="BB68" s="116"/>
      <c r="BC68" s="116"/>
      <c r="BD68" s="116"/>
      <c r="BE68" s="116"/>
      <c r="BF68" s="116"/>
      <c r="BG68" s="116"/>
      <c r="BH68" s="116"/>
      <c r="BI68" s="116"/>
      <c r="BJ68" s="116"/>
      <c r="BK68" s="116"/>
      <c r="BL68" s="116"/>
      <c r="BM68" s="116"/>
      <c r="BN68" s="116"/>
      <c r="BO68" s="116"/>
      <c r="BP68" s="116"/>
      <c r="BQ68" s="116"/>
      <c r="BR68" s="116"/>
      <c r="BS68" s="116"/>
      <c r="BT68" s="116"/>
      <c r="BU68" s="116"/>
      <c r="BV68" s="50">
        <v>1.0</v>
      </c>
      <c r="BW68" s="116"/>
      <c r="BX68" s="116"/>
      <c r="BY68" s="116"/>
      <c r="BZ68" s="116"/>
      <c r="CA68" s="116"/>
      <c r="CB68" s="116"/>
      <c r="CC68" s="116"/>
      <c r="CD68" s="50" t="s">
        <v>2278</v>
      </c>
      <c r="CE68" s="50">
        <v>1.0</v>
      </c>
      <c r="CF68" s="50" t="s">
        <v>2716</v>
      </c>
      <c r="CG68" s="117">
        <v>3608.0</v>
      </c>
      <c r="CH68" s="50" t="s">
        <v>2753</v>
      </c>
      <c r="CI68" s="50" t="s">
        <v>2754</v>
      </c>
      <c r="CJ68" s="117">
        <v>67.0</v>
      </c>
    </row>
    <row r="69">
      <c r="A69" s="50" t="s">
        <v>2755</v>
      </c>
      <c r="B69" s="50" t="s">
        <v>2756</v>
      </c>
      <c r="C69" s="116"/>
      <c r="D69" s="116"/>
      <c r="E69" s="50">
        <v>3.5215509147374E14</v>
      </c>
      <c r="F69" s="50">
        <v>58.0</v>
      </c>
      <c r="G69" s="50">
        <v>1.0</v>
      </c>
      <c r="H69" s="50">
        <v>10.0</v>
      </c>
      <c r="I69" s="50" t="s">
        <v>959</v>
      </c>
      <c r="J69" s="50" t="s">
        <v>959</v>
      </c>
      <c r="K69" s="50" t="s">
        <v>2758</v>
      </c>
      <c r="L69" s="50" t="s">
        <v>2759</v>
      </c>
      <c r="M69" s="50">
        <v>22.5536762</v>
      </c>
      <c r="N69" s="50">
        <v>88.39836</v>
      </c>
      <c r="O69" s="50">
        <v>-30.7999992370605</v>
      </c>
      <c r="P69" s="50">
        <v>5.0</v>
      </c>
      <c r="Q69" s="50">
        <v>1.0</v>
      </c>
      <c r="R69" s="50">
        <v>0.0</v>
      </c>
      <c r="S69" s="50">
        <v>1.0</v>
      </c>
      <c r="T69" s="116"/>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16"/>
      <c r="AY69" s="116"/>
      <c r="AZ69" s="116"/>
      <c r="BA69" s="116"/>
      <c r="BB69" s="116"/>
      <c r="BC69" s="116"/>
      <c r="BD69" s="116"/>
      <c r="BE69" s="116"/>
      <c r="BF69" s="116"/>
      <c r="BG69" s="116"/>
      <c r="BH69" s="116"/>
      <c r="BI69" s="116"/>
      <c r="BJ69" s="116"/>
      <c r="BK69" s="116"/>
      <c r="BL69" s="116"/>
      <c r="BM69" s="116"/>
      <c r="BN69" s="116"/>
      <c r="BO69" s="116"/>
      <c r="BP69" s="116"/>
      <c r="BQ69" s="116"/>
      <c r="BR69" s="116"/>
      <c r="BS69" s="116"/>
      <c r="BT69" s="116"/>
      <c r="BU69" s="116"/>
      <c r="BV69" s="50">
        <v>2.0</v>
      </c>
      <c r="BW69" s="116"/>
      <c r="BX69" s="116"/>
      <c r="BY69" s="116"/>
      <c r="BZ69" s="116"/>
      <c r="CA69" s="116"/>
      <c r="CB69" s="116"/>
      <c r="CC69" s="116"/>
      <c r="CD69" s="50" t="s">
        <v>2472</v>
      </c>
      <c r="CE69" s="50">
        <v>1.0</v>
      </c>
      <c r="CF69" s="50" t="s">
        <v>2716</v>
      </c>
      <c r="CG69" s="117">
        <v>3609.0</v>
      </c>
      <c r="CH69" s="50" t="s">
        <v>2760</v>
      </c>
      <c r="CI69" s="50" t="s">
        <v>2761</v>
      </c>
      <c r="CJ69" s="117">
        <v>68.0</v>
      </c>
    </row>
    <row r="70">
      <c r="A70" s="50" t="s">
        <v>2762</v>
      </c>
      <c r="B70" s="50" t="s">
        <v>2763</v>
      </c>
      <c r="C70" s="116"/>
      <c r="D70" s="116"/>
      <c r="E70" s="50">
        <v>3.5215509147374E14</v>
      </c>
      <c r="F70" s="50">
        <v>58.0</v>
      </c>
      <c r="G70" s="50">
        <v>1.0</v>
      </c>
      <c r="H70" s="50">
        <v>2.0</v>
      </c>
      <c r="I70" s="50" t="s">
        <v>978</v>
      </c>
      <c r="J70" s="50" t="s">
        <v>978</v>
      </c>
      <c r="K70" s="50" t="s">
        <v>2764</v>
      </c>
      <c r="L70" s="50" t="s">
        <v>2765</v>
      </c>
      <c r="M70" s="50">
        <v>22.5536632</v>
      </c>
      <c r="N70" s="50">
        <v>88.3975398</v>
      </c>
      <c r="O70" s="50">
        <v>-30.7999992370605</v>
      </c>
      <c r="P70" s="50">
        <v>5.0</v>
      </c>
      <c r="Q70" s="50">
        <v>3.0</v>
      </c>
      <c r="R70" s="50">
        <v>1.0</v>
      </c>
      <c r="S70" s="116"/>
      <c r="T70" s="116"/>
      <c r="U70" s="116"/>
      <c r="V70" s="116"/>
      <c r="W70" s="116"/>
      <c r="X70" s="116"/>
      <c r="Y70" s="116"/>
      <c r="Z70" s="116"/>
      <c r="AA70" s="116"/>
      <c r="AB70" s="116"/>
      <c r="AC70" s="116"/>
      <c r="AD70" s="116"/>
      <c r="AE70" s="116"/>
      <c r="AF70" s="116"/>
      <c r="AG70" s="116"/>
      <c r="AH70" s="116"/>
      <c r="AI70" s="116"/>
      <c r="AJ70" s="50">
        <v>2.0</v>
      </c>
      <c r="AK70" s="116"/>
      <c r="AL70" s="116"/>
      <c r="AM70" s="50">
        <v>1.0</v>
      </c>
      <c r="AN70" s="116"/>
      <c r="AO70" s="116"/>
      <c r="AP70" s="116"/>
      <c r="AQ70" s="116"/>
      <c r="AR70" s="116"/>
      <c r="AS70" s="116"/>
      <c r="AT70" s="116"/>
      <c r="AU70" s="116"/>
      <c r="AV70" s="116"/>
      <c r="AW70" s="116"/>
      <c r="AX70" s="116"/>
      <c r="AY70" s="116"/>
      <c r="AZ70" s="116"/>
      <c r="BA70" s="116"/>
      <c r="BB70" s="116"/>
      <c r="BC70" s="116"/>
      <c r="BD70" s="116"/>
      <c r="BE70" s="116"/>
      <c r="BF70" s="116"/>
      <c r="BG70" s="116"/>
      <c r="BH70" s="116"/>
      <c r="BI70" s="116"/>
      <c r="BJ70" s="116"/>
      <c r="BK70" s="116"/>
      <c r="BL70" s="116"/>
      <c r="BM70" s="116"/>
      <c r="BN70" s="116"/>
      <c r="BO70" s="116"/>
      <c r="BP70" s="116"/>
      <c r="BQ70" s="116"/>
      <c r="BR70" s="116"/>
      <c r="BS70" s="116"/>
      <c r="BT70" s="116"/>
      <c r="BU70" s="116"/>
      <c r="BV70" s="116"/>
      <c r="BW70" s="116"/>
      <c r="BX70" s="116"/>
      <c r="BY70" s="116"/>
      <c r="BZ70" s="116"/>
      <c r="CA70" s="116"/>
      <c r="CB70" s="116"/>
      <c r="CC70" s="116"/>
      <c r="CD70" s="50" t="s">
        <v>2286</v>
      </c>
      <c r="CE70" s="50">
        <v>1.0</v>
      </c>
      <c r="CF70" s="50" t="s">
        <v>2716</v>
      </c>
      <c r="CG70" s="117">
        <v>3681.0</v>
      </c>
      <c r="CH70" s="50" t="s">
        <v>2767</v>
      </c>
      <c r="CI70" s="50" t="s">
        <v>2768</v>
      </c>
      <c r="CJ70" s="117">
        <v>69.0</v>
      </c>
    </row>
    <row r="71">
      <c r="A71" s="50" t="s">
        <v>2769</v>
      </c>
      <c r="B71" s="50" t="s">
        <v>2770</v>
      </c>
      <c r="C71" s="116"/>
      <c r="D71" s="116"/>
      <c r="E71" s="50">
        <v>3.5215509147374E14</v>
      </c>
      <c r="F71" s="50">
        <v>58.0</v>
      </c>
      <c r="G71" s="50">
        <v>1.0</v>
      </c>
      <c r="H71" s="50">
        <v>2.0</v>
      </c>
      <c r="I71" s="50" t="s">
        <v>979</v>
      </c>
      <c r="J71" s="50" t="s">
        <v>979</v>
      </c>
      <c r="K71" s="50" t="s">
        <v>2771</v>
      </c>
      <c r="L71" s="50" t="s">
        <v>2772</v>
      </c>
      <c r="M71" s="50">
        <v>22.5536741</v>
      </c>
      <c r="N71" s="50">
        <v>88.3975039</v>
      </c>
      <c r="O71" s="50">
        <v>-47.4000015258789</v>
      </c>
      <c r="P71" s="50">
        <v>5.0</v>
      </c>
      <c r="Q71" s="50">
        <v>3.0</v>
      </c>
      <c r="R71" s="50">
        <v>1.0</v>
      </c>
      <c r="S71" s="116"/>
      <c r="T71" s="116"/>
      <c r="U71" s="116"/>
      <c r="V71" s="116"/>
      <c r="W71" s="116"/>
      <c r="X71" s="116"/>
      <c r="Y71" s="116"/>
      <c r="Z71" s="116"/>
      <c r="AA71" s="116"/>
      <c r="AB71" s="116"/>
      <c r="AC71" s="116"/>
      <c r="AD71" s="116"/>
      <c r="AE71" s="116"/>
      <c r="AF71" s="116"/>
      <c r="AG71" s="116"/>
      <c r="AH71" s="116"/>
      <c r="AI71" s="116"/>
      <c r="AJ71" s="50">
        <v>1.0</v>
      </c>
      <c r="AK71" s="116"/>
      <c r="AL71" s="116"/>
      <c r="AM71" s="50">
        <v>1.0</v>
      </c>
      <c r="AN71" s="116"/>
      <c r="AO71" s="116"/>
      <c r="AP71" s="116"/>
      <c r="AQ71" s="116"/>
      <c r="AR71" s="116"/>
      <c r="AS71" s="116"/>
      <c r="AT71" s="116"/>
      <c r="AU71" s="116"/>
      <c r="AV71" s="116"/>
      <c r="AW71" s="116"/>
      <c r="AX71" s="116"/>
      <c r="AY71" s="116"/>
      <c r="AZ71" s="116"/>
      <c r="BA71" s="116"/>
      <c r="BB71" s="116"/>
      <c r="BC71" s="116"/>
      <c r="BD71" s="116"/>
      <c r="BE71" s="116"/>
      <c r="BF71" s="116"/>
      <c r="BG71" s="116"/>
      <c r="BH71" s="116"/>
      <c r="BI71" s="116"/>
      <c r="BJ71" s="116"/>
      <c r="BK71" s="116"/>
      <c r="BL71" s="116"/>
      <c r="BM71" s="116"/>
      <c r="BN71" s="116"/>
      <c r="BO71" s="116"/>
      <c r="BP71" s="116"/>
      <c r="BQ71" s="116"/>
      <c r="BR71" s="116"/>
      <c r="BS71" s="116"/>
      <c r="BT71" s="116"/>
      <c r="BU71" s="116"/>
      <c r="BV71" s="116"/>
      <c r="BW71" s="116"/>
      <c r="BX71" s="116"/>
      <c r="BY71" s="116"/>
      <c r="BZ71" s="116"/>
      <c r="CA71" s="116"/>
      <c r="CB71" s="116"/>
      <c r="CC71" s="116"/>
      <c r="CD71" s="50" t="s">
        <v>2278</v>
      </c>
      <c r="CE71" s="50">
        <v>0.0</v>
      </c>
      <c r="CF71" s="50" t="s">
        <v>2716</v>
      </c>
      <c r="CG71" s="117">
        <v>3682.0</v>
      </c>
      <c r="CH71" s="50" t="s">
        <v>2774</v>
      </c>
      <c r="CI71" s="50" t="s">
        <v>2775</v>
      </c>
      <c r="CJ71" s="117">
        <v>70.0</v>
      </c>
    </row>
    <row r="72">
      <c r="A72" s="50" t="s">
        <v>2776</v>
      </c>
      <c r="B72" s="50" t="s">
        <v>2777</v>
      </c>
      <c r="C72" s="116"/>
      <c r="D72" s="116"/>
      <c r="E72" s="50">
        <v>3.5215509147374E14</v>
      </c>
      <c r="F72" s="50">
        <v>58.0</v>
      </c>
      <c r="G72" s="50">
        <v>1.0</v>
      </c>
      <c r="H72" s="50">
        <v>2.0</v>
      </c>
      <c r="I72" s="50" t="s">
        <v>981</v>
      </c>
      <c r="J72" s="50" t="s">
        <v>981</v>
      </c>
      <c r="K72" s="50" t="s">
        <v>2778</v>
      </c>
      <c r="L72" s="50" t="s">
        <v>2779</v>
      </c>
      <c r="M72" s="50">
        <v>22.5536837</v>
      </c>
      <c r="N72" s="50">
        <v>88.3980461</v>
      </c>
      <c r="O72" s="50">
        <v>-38.9000015258789</v>
      </c>
      <c r="P72" s="50">
        <v>5.0</v>
      </c>
      <c r="Q72" s="50">
        <v>3.0</v>
      </c>
      <c r="R72" s="50">
        <v>1.0</v>
      </c>
      <c r="S72" s="116"/>
      <c r="T72" s="116"/>
      <c r="U72" s="116"/>
      <c r="V72" s="116"/>
      <c r="W72" s="116"/>
      <c r="X72" s="116"/>
      <c r="Y72" s="116"/>
      <c r="Z72" s="116"/>
      <c r="AA72" s="116"/>
      <c r="AB72" s="116"/>
      <c r="AC72" s="116"/>
      <c r="AD72" s="116"/>
      <c r="AE72" s="116"/>
      <c r="AF72" s="116"/>
      <c r="AG72" s="116"/>
      <c r="AH72" s="116"/>
      <c r="AI72" s="116"/>
      <c r="AJ72" s="50">
        <v>3.0</v>
      </c>
      <c r="AK72" s="116"/>
      <c r="AL72" s="116"/>
      <c r="AM72" s="50">
        <v>1.0</v>
      </c>
      <c r="AN72" s="116"/>
      <c r="AO72" s="116"/>
      <c r="AP72" s="116"/>
      <c r="AQ72" s="116"/>
      <c r="AR72" s="116"/>
      <c r="AS72" s="116"/>
      <c r="AT72" s="116"/>
      <c r="AU72" s="116"/>
      <c r="AV72" s="116"/>
      <c r="AW72" s="116"/>
      <c r="AX72" s="116"/>
      <c r="AY72" s="116"/>
      <c r="AZ72" s="116"/>
      <c r="BA72" s="116"/>
      <c r="BB72" s="116"/>
      <c r="BC72" s="116"/>
      <c r="BD72" s="116"/>
      <c r="BE72" s="116"/>
      <c r="BF72" s="116"/>
      <c r="BG72" s="116"/>
      <c r="BH72" s="116"/>
      <c r="BI72" s="116"/>
      <c r="BJ72" s="116"/>
      <c r="BK72" s="116"/>
      <c r="BL72" s="116"/>
      <c r="BM72" s="116"/>
      <c r="BN72" s="116"/>
      <c r="BO72" s="116"/>
      <c r="BP72" s="116"/>
      <c r="BQ72" s="116"/>
      <c r="BR72" s="116"/>
      <c r="BS72" s="116"/>
      <c r="BT72" s="116"/>
      <c r="BU72" s="116"/>
      <c r="BV72" s="116"/>
      <c r="BW72" s="116"/>
      <c r="BX72" s="116"/>
      <c r="BY72" s="116"/>
      <c r="BZ72" s="116"/>
      <c r="CA72" s="116"/>
      <c r="CB72" s="116"/>
      <c r="CC72" s="116"/>
      <c r="CD72" s="50" t="s">
        <v>2472</v>
      </c>
      <c r="CE72" s="50">
        <v>1.0</v>
      </c>
      <c r="CF72" s="50" t="s">
        <v>2716</v>
      </c>
      <c r="CG72" s="117">
        <v>3683.0</v>
      </c>
      <c r="CH72" s="50" t="s">
        <v>2780</v>
      </c>
      <c r="CI72" s="50" t="s">
        <v>2781</v>
      </c>
      <c r="CJ72" s="117">
        <v>71.0</v>
      </c>
    </row>
    <row r="73">
      <c r="A73" s="50" t="s">
        <v>2782</v>
      </c>
      <c r="B73" s="50" t="s">
        <v>2783</v>
      </c>
      <c r="C73" s="116"/>
      <c r="D73" s="116"/>
      <c r="E73" s="50">
        <v>3.5215509147374E14</v>
      </c>
      <c r="F73" s="50">
        <v>58.0</v>
      </c>
      <c r="G73" s="50">
        <v>1.0</v>
      </c>
      <c r="H73" s="50">
        <v>5.0</v>
      </c>
      <c r="I73" s="50" t="s">
        <v>998</v>
      </c>
      <c r="J73" s="50" t="s">
        <v>998</v>
      </c>
      <c r="K73" s="50" t="s">
        <v>2784</v>
      </c>
      <c r="L73" s="50" t="s">
        <v>2785</v>
      </c>
      <c r="M73" s="50">
        <v>22.5543512</v>
      </c>
      <c r="N73" s="50">
        <v>88.3969368</v>
      </c>
      <c r="O73" s="50">
        <v>-46.599998474121</v>
      </c>
      <c r="P73" s="50">
        <v>4.5</v>
      </c>
      <c r="Q73" s="50">
        <v>1.0</v>
      </c>
      <c r="R73" s="50">
        <v>1.0</v>
      </c>
      <c r="S73" s="116"/>
      <c r="T73" s="116"/>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16"/>
      <c r="AY73" s="116"/>
      <c r="AZ73" s="116"/>
      <c r="BA73" s="116"/>
      <c r="BB73" s="116"/>
      <c r="BC73" s="116"/>
      <c r="BD73" s="50">
        <v>88.0</v>
      </c>
      <c r="BE73" s="50" t="s">
        <v>2583</v>
      </c>
      <c r="BF73" s="116"/>
      <c r="BG73" s="116"/>
      <c r="BH73" s="116"/>
      <c r="BI73" s="116"/>
      <c r="BJ73" s="116"/>
      <c r="BK73" s="116"/>
      <c r="BL73" s="116"/>
      <c r="BM73" s="116"/>
      <c r="BN73" s="116"/>
      <c r="BO73" s="116"/>
      <c r="BP73" s="116"/>
      <c r="BQ73" s="116"/>
      <c r="BR73" s="116"/>
      <c r="BS73" s="116"/>
      <c r="BT73" s="116"/>
      <c r="BU73" s="116"/>
      <c r="BV73" s="116"/>
      <c r="BW73" s="116"/>
      <c r="BX73" s="116"/>
      <c r="BY73" s="116"/>
      <c r="BZ73" s="116"/>
      <c r="CA73" s="116"/>
      <c r="CB73" s="116"/>
      <c r="CC73" s="116"/>
      <c r="CD73" s="50" t="s">
        <v>2327</v>
      </c>
      <c r="CE73" s="50">
        <v>1.0</v>
      </c>
      <c r="CF73" s="50" t="s">
        <v>2716</v>
      </c>
      <c r="CG73" s="117">
        <v>3684.0</v>
      </c>
      <c r="CH73" s="50" t="s">
        <v>2786</v>
      </c>
      <c r="CI73" s="50" t="s">
        <v>2787</v>
      </c>
      <c r="CJ73" s="117">
        <v>72.0</v>
      </c>
    </row>
    <row r="74">
      <c r="A74" s="50" t="s">
        <v>2788</v>
      </c>
      <c r="B74" s="50" t="s">
        <v>2789</v>
      </c>
      <c r="C74" s="116"/>
      <c r="D74" s="116"/>
      <c r="E74" s="50">
        <v>3.5215509147374E14</v>
      </c>
      <c r="F74" s="50">
        <v>58.0</v>
      </c>
      <c r="G74" s="50">
        <v>1.0</v>
      </c>
      <c r="H74" s="50">
        <v>5.0</v>
      </c>
      <c r="I74" s="50" t="s">
        <v>999</v>
      </c>
      <c r="J74" s="50" t="s">
        <v>999</v>
      </c>
      <c r="K74" s="50" t="s">
        <v>2790</v>
      </c>
      <c r="L74" s="50" t="s">
        <v>2791</v>
      </c>
      <c r="M74" s="50">
        <v>22.5533632</v>
      </c>
      <c r="N74" s="50">
        <v>88.4008363</v>
      </c>
      <c r="O74" s="50">
        <v>-51.7000007629394</v>
      </c>
      <c r="P74" s="50">
        <v>5.0</v>
      </c>
      <c r="Q74" s="50">
        <v>2.0</v>
      </c>
      <c r="R74" s="50">
        <v>1.0</v>
      </c>
      <c r="S74" s="116"/>
      <c r="T74" s="116"/>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16"/>
      <c r="AY74" s="116"/>
      <c r="AZ74" s="116"/>
      <c r="BA74" s="116"/>
      <c r="BB74" s="116"/>
      <c r="BC74" s="116"/>
      <c r="BD74" s="50">
        <v>88.0</v>
      </c>
      <c r="BE74" s="50" t="s">
        <v>2583</v>
      </c>
      <c r="BF74" s="116"/>
      <c r="BG74" s="116"/>
      <c r="BH74" s="116"/>
      <c r="BI74" s="116"/>
      <c r="BJ74" s="116"/>
      <c r="BK74" s="116"/>
      <c r="BL74" s="116"/>
      <c r="BM74" s="116"/>
      <c r="BN74" s="116"/>
      <c r="BO74" s="116"/>
      <c r="BP74" s="116"/>
      <c r="BQ74" s="116"/>
      <c r="BR74" s="116"/>
      <c r="BS74" s="116"/>
      <c r="BT74" s="116"/>
      <c r="BU74" s="116"/>
      <c r="BV74" s="116"/>
      <c r="BW74" s="116"/>
      <c r="BX74" s="116"/>
      <c r="BY74" s="116"/>
      <c r="BZ74" s="116"/>
      <c r="CA74" s="116"/>
      <c r="CB74" s="116"/>
      <c r="CC74" s="116"/>
      <c r="CD74" s="50" t="s">
        <v>2472</v>
      </c>
      <c r="CE74" s="50">
        <v>1.0</v>
      </c>
      <c r="CF74" s="50" t="s">
        <v>2716</v>
      </c>
      <c r="CG74" s="117">
        <v>3685.0</v>
      </c>
      <c r="CH74" s="50" t="s">
        <v>2792</v>
      </c>
      <c r="CI74" s="50" t="s">
        <v>2793</v>
      </c>
      <c r="CJ74" s="117">
        <v>73.0</v>
      </c>
    </row>
    <row r="75">
      <c r="A75" s="50" t="s">
        <v>2794</v>
      </c>
      <c r="B75" s="50" t="s">
        <v>2795</v>
      </c>
      <c r="C75" s="116"/>
      <c r="D75" s="116"/>
      <c r="E75" s="50">
        <v>3.5215509147374E14</v>
      </c>
      <c r="F75" s="50">
        <v>58.0</v>
      </c>
      <c r="G75" s="50">
        <v>1.0</v>
      </c>
      <c r="H75" s="50">
        <v>99.0</v>
      </c>
      <c r="I75" s="50" t="s">
        <v>987</v>
      </c>
      <c r="J75" s="50" t="s">
        <v>987</v>
      </c>
      <c r="K75" s="116"/>
      <c r="L75" s="116"/>
      <c r="M75" s="116"/>
      <c r="N75" s="116"/>
      <c r="O75" s="116"/>
      <c r="P75" s="116"/>
      <c r="Q75" s="116"/>
      <c r="R75" s="116"/>
      <c r="S75" s="116"/>
      <c r="T75" s="116"/>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16"/>
      <c r="AY75" s="116"/>
      <c r="AZ75" s="116"/>
      <c r="BA75" s="116"/>
      <c r="BB75" s="116"/>
      <c r="BC75" s="116"/>
      <c r="BD75" s="116"/>
      <c r="BE75" s="116"/>
      <c r="BF75" s="116"/>
      <c r="BG75" s="116"/>
      <c r="BH75" s="116"/>
      <c r="BI75" s="116"/>
      <c r="BJ75" s="116"/>
      <c r="BK75" s="116"/>
      <c r="BL75" s="116"/>
      <c r="BM75" s="116"/>
      <c r="BN75" s="116"/>
      <c r="BO75" s="116"/>
      <c r="BP75" s="116"/>
      <c r="BQ75" s="116"/>
      <c r="BR75" s="116"/>
      <c r="BS75" s="116"/>
      <c r="BT75" s="116"/>
      <c r="BU75" s="116"/>
      <c r="BV75" s="116"/>
      <c r="BW75" s="116"/>
      <c r="BX75" s="116"/>
      <c r="BY75" s="116"/>
      <c r="BZ75" s="116"/>
      <c r="CA75" s="116"/>
      <c r="CB75" s="116"/>
      <c r="CC75" s="50" t="s">
        <v>2796</v>
      </c>
      <c r="CD75" s="50" t="s">
        <v>2278</v>
      </c>
      <c r="CE75" s="116"/>
      <c r="CF75" s="50" t="s">
        <v>2716</v>
      </c>
      <c r="CG75" s="117">
        <v>3686.0</v>
      </c>
      <c r="CH75" s="50" t="s">
        <v>2797</v>
      </c>
      <c r="CI75" s="50" t="s">
        <v>2798</v>
      </c>
      <c r="CJ75" s="117">
        <v>74.0</v>
      </c>
    </row>
    <row r="76">
      <c r="A76" s="50" t="s">
        <v>2799</v>
      </c>
      <c r="B76" s="50" t="s">
        <v>2800</v>
      </c>
      <c r="C76" s="116"/>
      <c r="D76" s="116"/>
      <c r="E76" s="50">
        <v>3.5215509147374E14</v>
      </c>
      <c r="F76" s="50">
        <v>58.0</v>
      </c>
      <c r="G76" s="50">
        <v>1.0</v>
      </c>
      <c r="H76" s="50">
        <v>8.0</v>
      </c>
      <c r="I76" s="50" t="s">
        <v>1006</v>
      </c>
      <c r="J76" s="50" t="s">
        <v>1006</v>
      </c>
      <c r="K76" s="50" t="s">
        <v>2801</v>
      </c>
      <c r="L76" s="50" t="s">
        <v>2802</v>
      </c>
      <c r="M76" s="50">
        <v>22.5538502</v>
      </c>
      <c r="N76" s="50">
        <v>88.3977902</v>
      </c>
      <c r="O76" s="50">
        <v>-93.6999969482421</v>
      </c>
      <c r="P76" s="50">
        <v>5.0</v>
      </c>
      <c r="Q76" s="50">
        <v>2.0</v>
      </c>
      <c r="R76" s="50">
        <v>1.0</v>
      </c>
      <c r="S76" s="116"/>
      <c r="T76" s="116"/>
      <c r="U76" s="116"/>
      <c r="V76" s="50">
        <v>2.0</v>
      </c>
      <c r="W76" s="50">
        <v>3.0</v>
      </c>
      <c r="X76" s="116"/>
      <c r="Y76" s="50">
        <v>5.0</v>
      </c>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16"/>
      <c r="AY76" s="116"/>
      <c r="AZ76" s="116"/>
      <c r="BA76" s="116"/>
      <c r="BB76" s="116"/>
      <c r="BC76" s="116"/>
      <c r="BD76" s="116"/>
      <c r="BE76" s="116"/>
      <c r="BF76" s="116"/>
      <c r="BG76" s="116"/>
      <c r="BH76" s="116"/>
      <c r="BI76" s="116"/>
      <c r="BJ76" s="116"/>
      <c r="BK76" s="116"/>
      <c r="BL76" s="116"/>
      <c r="BM76" s="116"/>
      <c r="BN76" s="116"/>
      <c r="BO76" s="116"/>
      <c r="BP76" s="116"/>
      <c r="BQ76" s="116"/>
      <c r="BR76" s="116"/>
      <c r="BS76" s="116"/>
      <c r="BT76" s="116"/>
      <c r="BU76" s="116"/>
      <c r="BV76" s="116"/>
      <c r="BW76" s="116"/>
      <c r="BX76" s="116"/>
      <c r="BY76" s="116"/>
      <c r="BZ76" s="116"/>
      <c r="CA76" s="116"/>
      <c r="CB76" s="116"/>
      <c r="CC76" s="116"/>
      <c r="CD76" s="50" t="s">
        <v>2286</v>
      </c>
      <c r="CE76" s="50">
        <v>1.0</v>
      </c>
      <c r="CF76" s="50" t="s">
        <v>2716</v>
      </c>
      <c r="CG76" s="117">
        <v>3696.0</v>
      </c>
      <c r="CH76" s="50" t="s">
        <v>2803</v>
      </c>
      <c r="CI76" s="50" t="s">
        <v>2804</v>
      </c>
      <c r="CJ76" s="117">
        <v>75.0</v>
      </c>
    </row>
    <row r="77">
      <c r="A77" s="50" t="s">
        <v>2805</v>
      </c>
      <c r="B77" s="50" t="s">
        <v>2806</v>
      </c>
      <c r="C77" s="116"/>
      <c r="D77" s="116"/>
      <c r="E77" s="50">
        <v>3.5215509147374E14</v>
      </c>
      <c r="F77" s="50">
        <v>58.0</v>
      </c>
      <c r="G77" s="50">
        <v>1.0</v>
      </c>
      <c r="H77" s="50">
        <v>8.0</v>
      </c>
      <c r="I77" s="50" t="s">
        <v>1008</v>
      </c>
      <c r="J77" s="50" t="s">
        <v>1008</v>
      </c>
      <c r="K77" s="50" t="s">
        <v>2807</v>
      </c>
      <c r="L77" s="50" t="s">
        <v>2808</v>
      </c>
      <c r="M77" s="50">
        <v>22.5536089</v>
      </c>
      <c r="N77" s="50">
        <v>88.3982576</v>
      </c>
      <c r="O77" s="50">
        <v>-29.7999992370605</v>
      </c>
      <c r="P77" s="50">
        <v>4.5</v>
      </c>
      <c r="Q77" s="50">
        <v>2.0</v>
      </c>
      <c r="R77" s="50">
        <v>1.0</v>
      </c>
      <c r="S77" s="116"/>
      <c r="T77" s="116"/>
      <c r="U77" s="116"/>
      <c r="V77" s="50">
        <v>2.0</v>
      </c>
      <c r="W77" s="50">
        <v>3.0</v>
      </c>
      <c r="X77" s="116"/>
      <c r="Y77" s="50">
        <v>10.0</v>
      </c>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16"/>
      <c r="AY77" s="116"/>
      <c r="AZ77" s="116"/>
      <c r="BA77" s="116"/>
      <c r="BB77" s="116"/>
      <c r="BC77" s="116"/>
      <c r="BD77" s="116"/>
      <c r="BE77" s="116"/>
      <c r="BF77" s="116"/>
      <c r="BG77" s="116"/>
      <c r="BH77" s="116"/>
      <c r="BI77" s="116"/>
      <c r="BJ77" s="116"/>
      <c r="BK77" s="116"/>
      <c r="BL77" s="116"/>
      <c r="BM77" s="116"/>
      <c r="BN77" s="116"/>
      <c r="BO77" s="116"/>
      <c r="BP77" s="116"/>
      <c r="BQ77" s="116"/>
      <c r="BR77" s="116"/>
      <c r="BS77" s="116"/>
      <c r="BT77" s="116"/>
      <c r="BU77" s="116"/>
      <c r="BV77" s="116"/>
      <c r="BW77" s="116"/>
      <c r="BX77" s="116"/>
      <c r="BY77" s="116"/>
      <c r="BZ77" s="116"/>
      <c r="CA77" s="116"/>
      <c r="CB77" s="116"/>
      <c r="CC77" s="116"/>
      <c r="CD77" s="50" t="s">
        <v>2302</v>
      </c>
      <c r="CE77" s="50">
        <v>1.0</v>
      </c>
      <c r="CF77" s="50" t="s">
        <v>2716</v>
      </c>
      <c r="CG77" s="117">
        <v>3697.0</v>
      </c>
      <c r="CH77" s="50" t="s">
        <v>2809</v>
      </c>
      <c r="CI77" s="50" t="s">
        <v>2810</v>
      </c>
      <c r="CJ77" s="117">
        <v>76.0</v>
      </c>
    </row>
    <row r="78">
      <c r="A78" s="50" t="s">
        <v>2811</v>
      </c>
      <c r="B78" s="50" t="s">
        <v>2812</v>
      </c>
      <c r="C78" s="116"/>
      <c r="D78" s="116"/>
      <c r="E78" s="50">
        <v>3.5215509147374E14</v>
      </c>
      <c r="F78" s="50">
        <v>58.0</v>
      </c>
      <c r="G78" s="50">
        <v>1.0</v>
      </c>
      <c r="H78" s="50">
        <v>8.0</v>
      </c>
      <c r="I78" s="50" t="s">
        <v>1033</v>
      </c>
      <c r="J78" s="50" t="s">
        <v>1033</v>
      </c>
      <c r="K78" s="50" t="s">
        <v>2813</v>
      </c>
      <c r="L78" s="50" t="s">
        <v>2814</v>
      </c>
      <c r="M78" s="50">
        <v>22.553668</v>
      </c>
      <c r="N78" s="50">
        <v>88.3978611</v>
      </c>
      <c r="O78" s="50">
        <v>-50.599998474121</v>
      </c>
      <c r="P78" s="50">
        <v>4.5</v>
      </c>
      <c r="Q78" s="50">
        <v>1.0</v>
      </c>
      <c r="R78" s="50">
        <v>1.0</v>
      </c>
      <c r="S78" s="116"/>
      <c r="T78" s="116"/>
      <c r="U78" s="116"/>
      <c r="V78" s="50">
        <v>2.0</v>
      </c>
      <c r="W78" s="50">
        <v>3.0</v>
      </c>
      <c r="X78" s="116"/>
      <c r="Y78" s="50">
        <v>10.0</v>
      </c>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16"/>
      <c r="AY78" s="116"/>
      <c r="AZ78" s="116"/>
      <c r="BA78" s="116"/>
      <c r="BB78" s="116"/>
      <c r="BC78" s="116"/>
      <c r="BD78" s="116"/>
      <c r="BE78" s="116"/>
      <c r="BF78" s="116"/>
      <c r="BG78" s="116"/>
      <c r="BH78" s="116"/>
      <c r="BI78" s="116"/>
      <c r="BJ78" s="116"/>
      <c r="BK78" s="116"/>
      <c r="BL78" s="116"/>
      <c r="BM78" s="116"/>
      <c r="BN78" s="116"/>
      <c r="BO78" s="116"/>
      <c r="BP78" s="116"/>
      <c r="BQ78" s="116"/>
      <c r="BR78" s="116"/>
      <c r="BS78" s="116"/>
      <c r="BT78" s="116"/>
      <c r="BU78" s="116"/>
      <c r="BV78" s="116"/>
      <c r="BW78" s="116"/>
      <c r="BX78" s="116"/>
      <c r="BY78" s="116"/>
      <c r="BZ78" s="116"/>
      <c r="CA78" s="116"/>
      <c r="CB78" s="116"/>
      <c r="CC78" s="116"/>
      <c r="CD78" s="50" t="s">
        <v>2327</v>
      </c>
      <c r="CE78" s="50">
        <v>1.0</v>
      </c>
      <c r="CF78" s="50" t="s">
        <v>2716</v>
      </c>
      <c r="CG78" s="117">
        <v>3760.0</v>
      </c>
      <c r="CH78" s="50" t="s">
        <v>2815</v>
      </c>
      <c r="CI78" s="50" t="s">
        <v>2816</v>
      </c>
      <c r="CJ78" s="117">
        <v>77.0</v>
      </c>
    </row>
    <row r="79">
      <c r="A79" s="50" t="s">
        <v>2817</v>
      </c>
      <c r="B79" s="50" t="s">
        <v>2818</v>
      </c>
      <c r="C79" s="116"/>
      <c r="D79" s="116"/>
      <c r="E79" s="50">
        <v>3.5215509147374E14</v>
      </c>
      <c r="F79" s="50">
        <v>58.0</v>
      </c>
      <c r="G79" s="50">
        <v>1.0</v>
      </c>
      <c r="H79" s="50">
        <v>99.0</v>
      </c>
      <c r="I79" s="50" t="s">
        <v>1025</v>
      </c>
      <c r="J79" s="50" t="s">
        <v>1025</v>
      </c>
      <c r="K79" s="116"/>
      <c r="L79" s="116"/>
      <c r="M79" s="116"/>
      <c r="N79" s="116"/>
      <c r="O79" s="116"/>
      <c r="P79" s="116"/>
      <c r="Q79" s="116"/>
      <c r="R79" s="116"/>
      <c r="S79" s="116"/>
      <c r="T79" s="116"/>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16"/>
      <c r="AY79" s="116"/>
      <c r="AZ79" s="116"/>
      <c r="BA79" s="116"/>
      <c r="BB79" s="116"/>
      <c r="BC79" s="116"/>
      <c r="BD79" s="116"/>
      <c r="BE79" s="116"/>
      <c r="BF79" s="116"/>
      <c r="BG79" s="116"/>
      <c r="BH79" s="116"/>
      <c r="BI79" s="116"/>
      <c r="BJ79" s="116"/>
      <c r="BK79" s="116"/>
      <c r="BL79" s="116"/>
      <c r="BM79" s="116"/>
      <c r="BN79" s="116"/>
      <c r="BO79" s="116"/>
      <c r="BP79" s="116"/>
      <c r="BQ79" s="116"/>
      <c r="BR79" s="116"/>
      <c r="BS79" s="116"/>
      <c r="BT79" s="116"/>
      <c r="BU79" s="116"/>
      <c r="BV79" s="116"/>
      <c r="BW79" s="116"/>
      <c r="BX79" s="116"/>
      <c r="BY79" s="116"/>
      <c r="BZ79" s="116"/>
      <c r="CA79" s="116"/>
      <c r="CB79" s="116"/>
      <c r="CC79" s="50" t="s">
        <v>2796</v>
      </c>
      <c r="CD79" s="50" t="s">
        <v>2472</v>
      </c>
      <c r="CE79" s="116"/>
      <c r="CF79" s="50" t="s">
        <v>2716</v>
      </c>
      <c r="CG79" s="117">
        <v>3763.0</v>
      </c>
      <c r="CH79" s="50" t="s">
        <v>2820</v>
      </c>
      <c r="CI79" s="50" t="s">
        <v>2821</v>
      </c>
      <c r="CJ79" s="117">
        <v>78.0</v>
      </c>
    </row>
    <row r="80">
      <c r="A80" s="50" t="s">
        <v>2822</v>
      </c>
      <c r="B80" s="50" t="s">
        <v>2823</v>
      </c>
      <c r="C80" s="116"/>
      <c r="D80" s="116"/>
      <c r="E80" s="50">
        <v>3.5215509147374E14</v>
      </c>
      <c r="F80" s="50">
        <v>58.0</v>
      </c>
      <c r="G80" s="50">
        <v>1.0</v>
      </c>
      <c r="H80" s="50">
        <v>5.0</v>
      </c>
      <c r="I80" s="50" t="s">
        <v>1023</v>
      </c>
      <c r="J80" s="50" t="s">
        <v>1023</v>
      </c>
      <c r="K80" s="50" t="s">
        <v>2824</v>
      </c>
      <c r="L80" s="50" t="s">
        <v>2825</v>
      </c>
      <c r="M80" s="50">
        <v>22.5536366</v>
      </c>
      <c r="N80" s="50">
        <v>88.3987074</v>
      </c>
      <c r="O80" s="50">
        <v>-43.7999992370605</v>
      </c>
      <c r="P80" s="50">
        <v>5.0</v>
      </c>
      <c r="Q80" s="50">
        <v>1.0</v>
      </c>
      <c r="R80" s="50">
        <v>1.0</v>
      </c>
      <c r="S80" s="116"/>
      <c r="T80" s="116"/>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16"/>
      <c r="AY80" s="116"/>
      <c r="AZ80" s="116"/>
      <c r="BA80" s="116"/>
      <c r="BB80" s="116"/>
      <c r="BC80" s="116"/>
      <c r="BD80" s="50">
        <v>88.0</v>
      </c>
      <c r="BE80" s="50" t="s">
        <v>2583</v>
      </c>
      <c r="BF80" s="116"/>
      <c r="BG80" s="116"/>
      <c r="BH80" s="116"/>
      <c r="BI80" s="116"/>
      <c r="BJ80" s="116"/>
      <c r="BK80" s="116"/>
      <c r="BL80" s="116"/>
      <c r="BM80" s="116"/>
      <c r="BN80" s="116"/>
      <c r="BO80" s="116"/>
      <c r="BP80" s="116"/>
      <c r="BQ80" s="116"/>
      <c r="BR80" s="116"/>
      <c r="BS80" s="116"/>
      <c r="BT80" s="116"/>
      <c r="BU80" s="116"/>
      <c r="BV80" s="116"/>
      <c r="BW80" s="116"/>
      <c r="BX80" s="116"/>
      <c r="BY80" s="116"/>
      <c r="BZ80" s="116"/>
      <c r="CA80" s="116"/>
      <c r="CB80" s="116"/>
      <c r="CC80" s="116"/>
      <c r="CD80" s="50" t="s">
        <v>2826</v>
      </c>
      <c r="CE80" s="50">
        <v>1.0</v>
      </c>
      <c r="CF80" s="50" t="s">
        <v>2716</v>
      </c>
      <c r="CG80" s="117">
        <v>3764.0</v>
      </c>
      <c r="CH80" s="50" t="s">
        <v>2827</v>
      </c>
      <c r="CI80" s="50" t="s">
        <v>2828</v>
      </c>
      <c r="CJ80" s="117">
        <v>79.0</v>
      </c>
    </row>
    <row r="81">
      <c r="A81" s="50" t="s">
        <v>2829</v>
      </c>
      <c r="B81" s="50" t="s">
        <v>2830</v>
      </c>
      <c r="C81" s="116"/>
      <c r="D81" s="116"/>
      <c r="E81" s="50">
        <v>3.5215509147374E14</v>
      </c>
      <c r="F81" s="50">
        <v>58.0</v>
      </c>
      <c r="G81" s="50">
        <v>1.0</v>
      </c>
      <c r="H81" s="50">
        <v>1.0</v>
      </c>
      <c r="I81" s="50" t="s">
        <v>1050</v>
      </c>
      <c r="J81" s="50" t="s">
        <v>1050</v>
      </c>
      <c r="K81" s="50" t="s">
        <v>2831</v>
      </c>
      <c r="L81" s="50" t="s">
        <v>2832</v>
      </c>
      <c r="M81" s="50">
        <v>22.5522829</v>
      </c>
      <c r="N81" s="50">
        <v>88.3994065</v>
      </c>
      <c r="O81" s="50">
        <v>-59.7999992370605</v>
      </c>
      <c r="P81" s="50">
        <v>5.0</v>
      </c>
      <c r="Q81" s="50">
        <v>1.0</v>
      </c>
      <c r="R81" s="50">
        <v>1.0</v>
      </c>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50">
        <v>1.0</v>
      </c>
      <c r="BH81" s="50">
        <v>1.0</v>
      </c>
      <c r="BI81" s="50">
        <v>1.0</v>
      </c>
      <c r="BJ81" s="50">
        <v>4.0</v>
      </c>
      <c r="BK81" s="116"/>
      <c r="BL81" s="116"/>
      <c r="BM81" s="50">
        <v>0.0</v>
      </c>
      <c r="BN81" s="50">
        <v>1.0</v>
      </c>
      <c r="BO81" s="50">
        <v>0.0</v>
      </c>
      <c r="BP81" s="50">
        <v>0.0</v>
      </c>
      <c r="BQ81" s="50">
        <v>0.0</v>
      </c>
      <c r="BR81" s="50">
        <v>1.0</v>
      </c>
      <c r="BS81" s="50">
        <v>1.0</v>
      </c>
      <c r="BT81" s="50">
        <v>1.0</v>
      </c>
      <c r="BU81" s="50">
        <v>10.0</v>
      </c>
      <c r="BV81" s="116"/>
      <c r="BW81" s="116"/>
      <c r="BX81" s="116"/>
      <c r="BY81" s="116"/>
      <c r="BZ81" s="116"/>
      <c r="CA81" s="116"/>
      <c r="CB81" s="116"/>
      <c r="CC81" s="116"/>
      <c r="CD81" s="50" t="s">
        <v>2826</v>
      </c>
      <c r="CE81" s="50">
        <v>1.0</v>
      </c>
      <c r="CF81" s="50" t="s">
        <v>2716</v>
      </c>
      <c r="CG81" s="117">
        <v>3765.0</v>
      </c>
      <c r="CH81" s="50" t="s">
        <v>2833</v>
      </c>
      <c r="CI81" s="50" t="s">
        <v>2834</v>
      </c>
      <c r="CJ81" s="117">
        <v>80.0</v>
      </c>
    </row>
    <row r="82">
      <c r="A82" s="50" t="s">
        <v>2835</v>
      </c>
      <c r="B82" s="50" t="s">
        <v>2836</v>
      </c>
      <c r="C82" s="116"/>
      <c r="D82" s="116"/>
      <c r="E82" s="50">
        <v>3.5215509147374E14</v>
      </c>
      <c r="F82" s="50">
        <v>58.0</v>
      </c>
      <c r="G82" s="50">
        <v>1.0</v>
      </c>
      <c r="H82" s="50">
        <v>6.0</v>
      </c>
      <c r="I82" s="50" t="s">
        <v>1048</v>
      </c>
      <c r="J82" s="50" t="s">
        <v>1048</v>
      </c>
      <c r="K82" s="50" t="s">
        <v>2837</v>
      </c>
      <c r="L82" s="50" t="s">
        <v>2838</v>
      </c>
      <c r="M82" s="50">
        <v>22.5525751</v>
      </c>
      <c r="N82" s="50">
        <v>88.399036</v>
      </c>
      <c r="O82" s="50">
        <v>-49.9000015258789</v>
      </c>
      <c r="P82" s="50">
        <v>5.0</v>
      </c>
      <c r="Q82" s="50">
        <v>1.0</v>
      </c>
      <c r="R82" s="50">
        <v>1.0</v>
      </c>
      <c r="S82" s="116"/>
      <c r="T82" s="116"/>
      <c r="U82" s="116"/>
      <c r="V82" s="116"/>
      <c r="W82" s="116"/>
      <c r="X82" s="116"/>
      <c r="Y82" s="116"/>
      <c r="Z82" s="116"/>
      <c r="AA82" s="116"/>
      <c r="AB82" s="116"/>
      <c r="AC82" s="116"/>
      <c r="AD82" s="116"/>
      <c r="AE82" s="116"/>
      <c r="AF82" s="116"/>
      <c r="AG82" s="116"/>
      <c r="AH82" s="50">
        <v>10.0</v>
      </c>
      <c r="AI82" s="116"/>
      <c r="AJ82" s="116"/>
      <c r="AK82" s="116"/>
      <c r="AL82" s="116"/>
      <c r="AM82" s="116"/>
      <c r="AN82" s="116"/>
      <c r="AO82" s="116"/>
      <c r="AP82" s="116"/>
      <c r="AQ82" s="116"/>
      <c r="AR82" s="116"/>
      <c r="AS82" s="116"/>
      <c r="AT82" s="116"/>
      <c r="AU82" s="116"/>
      <c r="AV82" s="116"/>
      <c r="AW82" s="116"/>
      <c r="AX82" s="116"/>
      <c r="AY82" s="116"/>
      <c r="AZ82" s="116"/>
      <c r="BA82" s="116"/>
      <c r="BB82" s="116"/>
      <c r="BC82" s="116"/>
      <c r="BD82" s="116"/>
      <c r="BE82" s="116"/>
      <c r="BF82" s="116"/>
      <c r="BG82" s="116"/>
      <c r="BH82" s="116"/>
      <c r="BI82" s="116"/>
      <c r="BJ82" s="116"/>
      <c r="BK82" s="116"/>
      <c r="BL82" s="116"/>
      <c r="BM82" s="116"/>
      <c r="BN82" s="116"/>
      <c r="BO82" s="116"/>
      <c r="BP82" s="116"/>
      <c r="BQ82" s="116"/>
      <c r="BR82" s="116"/>
      <c r="BS82" s="116"/>
      <c r="BT82" s="116"/>
      <c r="BU82" s="116"/>
      <c r="BV82" s="116"/>
      <c r="BW82" s="116"/>
      <c r="BX82" s="116"/>
      <c r="BY82" s="116"/>
      <c r="BZ82" s="116"/>
      <c r="CA82" s="116"/>
      <c r="CB82" s="116"/>
      <c r="CC82" s="116"/>
      <c r="CD82" s="50" t="s">
        <v>2494</v>
      </c>
      <c r="CE82" s="50">
        <v>1.0</v>
      </c>
      <c r="CF82" s="50" t="s">
        <v>2716</v>
      </c>
      <c r="CG82" s="117">
        <v>3766.0</v>
      </c>
      <c r="CH82" s="50" t="s">
        <v>2839</v>
      </c>
      <c r="CI82" s="50" t="s">
        <v>2840</v>
      </c>
      <c r="CJ82" s="117">
        <v>81.0</v>
      </c>
    </row>
    <row r="83">
      <c r="A83" s="50" t="s">
        <v>2841</v>
      </c>
      <c r="B83" s="50" t="s">
        <v>2842</v>
      </c>
      <c r="C83" s="116"/>
      <c r="D83" s="116"/>
      <c r="E83" s="50">
        <v>3.5215509147374E14</v>
      </c>
      <c r="F83" s="50">
        <v>58.0</v>
      </c>
      <c r="G83" s="50">
        <v>1.0</v>
      </c>
      <c r="H83" s="50">
        <v>1.0</v>
      </c>
      <c r="I83" s="50" t="s">
        <v>1051</v>
      </c>
      <c r="J83" s="50" t="s">
        <v>1051</v>
      </c>
      <c r="K83" s="50" t="s">
        <v>2843</v>
      </c>
      <c r="L83" s="50" t="s">
        <v>2844</v>
      </c>
      <c r="M83" s="50">
        <v>22.5522215</v>
      </c>
      <c r="N83" s="50">
        <v>88.3998342</v>
      </c>
      <c r="O83" s="50">
        <v>-55.5</v>
      </c>
      <c r="P83" s="50">
        <v>5.0</v>
      </c>
      <c r="Q83" s="50">
        <v>1.0</v>
      </c>
      <c r="R83" s="50">
        <v>1.0</v>
      </c>
      <c r="S83" s="116"/>
      <c r="T83" s="116"/>
      <c r="U83" s="116"/>
      <c r="V83" s="116"/>
      <c r="W83" s="116"/>
      <c r="X83" s="116"/>
      <c r="Y83" s="116"/>
      <c r="Z83" s="116"/>
      <c r="AA83" s="116"/>
      <c r="AB83" s="116"/>
      <c r="AC83" s="116"/>
      <c r="AD83" s="116"/>
      <c r="AE83" s="116"/>
      <c r="AF83" s="116"/>
      <c r="AG83" s="116"/>
      <c r="AH83" s="116"/>
      <c r="AI83" s="116"/>
      <c r="AJ83" s="116"/>
      <c r="AK83" s="116"/>
      <c r="AL83" s="116"/>
      <c r="AM83" s="116"/>
      <c r="AN83" s="116"/>
      <c r="AO83" s="116"/>
      <c r="AP83" s="116"/>
      <c r="AQ83" s="116"/>
      <c r="AR83" s="116"/>
      <c r="AS83" s="116"/>
      <c r="AT83" s="116"/>
      <c r="AU83" s="116"/>
      <c r="AV83" s="116"/>
      <c r="AW83" s="116"/>
      <c r="AX83" s="116"/>
      <c r="AY83" s="116"/>
      <c r="AZ83" s="116"/>
      <c r="BA83" s="116"/>
      <c r="BB83" s="116"/>
      <c r="BC83" s="116"/>
      <c r="BD83" s="116"/>
      <c r="BE83" s="116"/>
      <c r="BF83" s="116"/>
      <c r="BG83" s="50">
        <v>1.0</v>
      </c>
      <c r="BH83" s="50">
        <v>1.0</v>
      </c>
      <c r="BI83" s="50">
        <v>1.0</v>
      </c>
      <c r="BJ83" s="50">
        <v>2.0</v>
      </c>
      <c r="BK83" s="116"/>
      <c r="BL83" s="116"/>
      <c r="BM83" s="50">
        <v>0.0</v>
      </c>
      <c r="BN83" s="50">
        <v>0.0</v>
      </c>
      <c r="BO83" s="50">
        <v>0.0</v>
      </c>
      <c r="BP83" s="50">
        <v>0.0</v>
      </c>
      <c r="BQ83" s="50">
        <v>1.0</v>
      </c>
      <c r="BR83" s="50">
        <v>1.0</v>
      </c>
      <c r="BS83" s="50">
        <v>0.0</v>
      </c>
      <c r="BT83" s="50">
        <v>1.0</v>
      </c>
      <c r="BU83" s="50">
        <v>10.0</v>
      </c>
      <c r="BV83" s="116"/>
      <c r="BW83" s="116"/>
      <c r="BX83" s="116"/>
      <c r="BY83" s="116"/>
      <c r="BZ83" s="116"/>
      <c r="CA83" s="116"/>
      <c r="CB83" s="116"/>
      <c r="CC83" s="116"/>
      <c r="CD83" s="50" t="s">
        <v>2286</v>
      </c>
      <c r="CE83" s="50">
        <v>1.0</v>
      </c>
      <c r="CF83" s="50" t="s">
        <v>2716</v>
      </c>
      <c r="CG83" s="117">
        <v>3767.0</v>
      </c>
      <c r="CH83" s="50" t="s">
        <v>2845</v>
      </c>
      <c r="CI83" s="50" t="s">
        <v>2846</v>
      </c>
      <c r="CJ83" s="117">
        <v>82.0</v>
      </c>
    </row>
    <row r="84">
      <c r="A84" s="50" t="s">
        <v>2847</v>
      </c>
      <c r="B84" s="50" t="s">
        <v>2848</v>
      </c>
      <c r="C84" s="116"/>
      <c r="D84" s="116"/>
      <c r="E84" s="50">
        <v>3.52155090281144E14</v>
      </c>
      <c r="F84" s="50">
        <v>58.0</v>
      </c>
      <c r="G84" s="50">
        <v>1.0</v>
      </c>
      <c r="H84" s="50">
        <v>6.0</v>
      </c>
      <c r="I84" s="50" t="s">
        <v>1074</v>
      </c>
      <c r="J84" s="50" t="s">
        <v>1074</v>
      </c>
      <c r="K84" s="50" t="s">
        <v>2849</v>
      </c>
      <c r="L84" s="50" t="s">
        <v>2850</v>
      </c>
      <c r="M84" s="50">
        <v>22.553486</v>
      </c>
      <c r="N84" s="50">
        <v>88.3985921</v>
      </c>
      <c r="O84" s="50">
        <v>-42.7000007629394</v>
      </c>
      <c r="P84" s="50">
        <v>5.0</v>
      </c>
      <c r="Q84" s="50">
        <v>3.0</v>
      </c>
      <c r="R84" s="50">
        <v>1.0</v>
      </c>
      <c r="S84" s="116"/>
      <c r="T84" s="116"/>
      <c r="U84" s="116"/>
      <c r="V84" s="116"/>
      <c r="W84" s="116"/>
      <c r="X84" s="116"/>
      <c r="Y84" s="116"/>
      <c r="Z84" s="116"/>
      <c r="AA84" s="116"/>
      <c r="AB84" s="116"/>
      <c r="AC84" s="116"/>
      <c r="AD84" s="116"/>
      <c r="AE84" s="116"/>
      <c r="AF84" s="116"/>
      <c r="AG84" s="116"/>
      <c r="AH84" s="50">
        <v>17.0</v>
      </c>
      <c r="AI84" s="116"/>
      <c r="AJ84" s="116"/>
      <c r="AK84" s="116"/>
      <c r="AL84" s="116"/>
      <c r="AM84" s="116"/>
      <c r="AN84" s="116"/>
      <c r="AO84" s="116"/>
      <c r="AP84" s="116"/>
      <c r="AQ84" s="116"/>
      <c r="AR84" s="116"/>
      <c r="AS84" s="116"/>
      <c r="AT84" s="116"/>
      <c r="AU84" s="116"/>
      <c r="AV84" s="116"/>
      <c r="AW84" s="116"/>
      <c r="AX84" s="116"/>
      <c r="AY84" s="116"/>
      <c r="AZ84" s="116"/>
      <c r="BA84" s="116"/>
      <c r="BB84" s="116"/>
      <c r="BC84" s="116"/>
      <c r="BD84" s="116"/>
      <c r="BE84" s="116"/>
      <c r="BF84" s="116"/>
      <c r="BG84" s="116"/>
      <c r="BH84" s="116"/>
      <c r="BI84" s="116"/>
      <c r="BJ84" s="116"/>
      <c r="BK84" s="116"/>
      <c r="BL84" s="116"/>
      <c r="BM84" s="116"/>
      <c r="BN84" s="116"/>
      <c r="BO84" s="116"/>
      <c r="BP84" s="116"/>
      <c r="BQ84" s="116"/>
      <c r="BR84" s="116"/>
      <c r="BS84" s="116"/>
      <c r="BT84" s="116"/>
      <c r="BU84" s="116"/>
      <c r="BV84" s="116"/>
      <c r="BW84" s="116"/>
      <c r="BX84" s="116"/>
      <c r="BY84" s="116"/>
      <c r="BZ84" s="116"/>
      <c r="CA84" s="116"/>
      <c r="CB84" s="116"/>
      <c r="CC84" s="116"/>
      <c r="CD84" s="50" t="s">
        <v>2472</v>
      </c>
      <c r="CE84" s="50">
        <v>1.0</v>
      </c>
      <c r="CF84" s="50" t="s">
        <v>2716</v>
      </c>
      <c r="CG84" s="117">
        <v>3804.0</v>
      </c>
      <c r="CH84" s="50" t="s">
        <v>2851</v>
      </c>
      <c r="CI84" s="50" t="s">
        <v>2852</v>
      </c>
      <c r="CJ84" s="117">
        <v>83.0</v>
      </c>
    </row>
    <row r="85">
      <c r="A85" s="50" t="s">
        <v>2853</v>
      </c>
      <c r="B85" s="50" t="s">
        <v>2854</v>
      </c>
      <c r="C85" s="116"/>
      <c r="D85" s="116"/>
      <c r="E85" s="50">
        <v>3.5215509147374E14</v>
      </c>
      <c r="F85" s="50">
        <v>58.0</v>
      </c>
      <c r="G85" s="50">
        <v>1.0</v>
      </c>
      <c r="H85" s="50">
        <v>6.0</v>
      </c>
      <c r="I85" s="50" t="s">
        <v>1059</v>
      </c>
      <c r="J85" s="50" t="s">
        <v>1059</v>
      </c>
      <c r="K85" s="50" t="s">
        <v>2855</v>
      </c>
      <c r="L85" s="50" t="s">
        <v>2856</v>
      </c>
      <c r="M85" s="50">
        <v>22.5529452</v>
      </c>
      <c r="N85" s="50">
        <v>88.3988671</v>
      </c>
      <c r="O85" s="50">
        <v>-55.7000007629394</v>
      </c>
      <c r="P85" s="50">
        <v>5.0</v>
      </c>
      <c r="Q85" s="50">
        <v>3.0</v>
      </c>
      <c r="R85" s="50">
        <v>1.0</v>
      </c>
      <c r="S85" s="116"/>
      <c r="T85" s="116"/>
      <c r="U85" s="116"/>
      <c r="V85" s="116"/>
      <c r="W85" s="116"/>
      <c r="X85" s="116"/>
      <c r="Y85" s="116"/>
      <c r="Z85" s="116"/>
      <c r="AA85" s="116"/>
      <c r="AB85" s="116"/>
      <c r="AC85" s="116"/>
      <c r="AD85" s="116"/>
      <c r="AE85" s="116"/>
      <c r="AF85" s="116"/>
      <c r="AG85" s="116"/>
      <c r="AH85" s="50">
        <v>15.0</v>
      </c>
      <c r="AI85" s="116"/>
      <c r="AJ85" s="116"/>
      <c r="AK85" s="116"/>
      <c r="AL85" s="116"/>
      <c r="AM85" s="116"/>
      <c r="AN85" s="116"/>
      <c r="AO85" s="116"/>
      <c r="AP85" s="116"/>
      <c r="AQ85" s="116"/>
      <c r="AR85" s="116"/>
      <c r="AS85" s="116"/>
      <c r="AT85" s="116"/>
      <c r="AU85" s="116"/>
      <c r="AV85" s="116"/>
      <c r="AW85" s="116"/>
      <c r="AX85" s="116"/>
      <c r="AY85" s="116"/>
      <c r="AZ85" s="116"/>
      <c r="BA85" s="116"/>
      <c r="BB85" s="116"/>
      <c r="BC85" s="116"/>
      <c r="BD85" s="116"/>
      <c r="BE85" s="116"/>
      <c r="BF85" s="116"/>
      <c r="BG85" s="116"/>
      <c r="BH85" s="116"/>
      <c r="BI85" s="116"/>
      <c r="BJ85" s="116"/>
      <c r="BK85" s="116"/>
      <c r="BL85" s="116"/>
      <c r="BM85" s="116"/>
      <c r="BN85" s="116"/>
      <c r="BO85" s="116"/>
      <c r="BP85" s="116"/>
      <c r="BQ85" s="116"/>
      <c r="BR85" s="116"/>
      <c r="BS85" s="116"/>
      <c r="BT85" s="116"/>
      <c r="BU85" s="116"/>
      <c r="BV85" s="116"/>
      <c r="BW85" s="116"/>
      <c r="BX85" s="116"/>
      <c r="BY85" s="116"/>
      <c r="BZ85" s="116"/>
      <c r="CA85" s="116"/>
      <c r="CB85" s="116"/>
      <c r="CC85" s="116"/>
      <c r="CD85" s="50" t="s">
        <v>2472</v>
      </c>
      <c r="CE85" s="50">
        <v>1.0</v>
      </c>
      <c r="CF85" s="50" t="s">
        <v>2716</v>
      </c>
      <c r="CG85" s="117">
        <v>3805.0</v>
      </c>
      <c r="CH85" s="50" t="s">
        <v>2857</v>
      </c>
      <c r="CI85" s="50" t="s">
        <v>2858</v>
      </c>
      <c r="CJ85" s="117">
        <v>84.0</v>
      </c>
    </row>
    <row r="86">
      <c r="A86" s="50" t="s">
        <v>2859</v>
      </c>
      <c r="B86" s="50" t="s">
        <v>2860</v>
      </c>
      <c r="C86" s="116"/>
      <c r="D86" s="116"/>
      <c r="E86" s="50">
        <v>3.5215509147374E14</v>
      </c>
      <c r="F86" s="50">
        <v>58.0</v>
      </c>
      <c r="G86" s="50">
        <v>1.0</v>
      </c>
      <c r="H86" s="50">
        <v>99.0</v>
      </c>
      <c r="I86" s="50" t="s">
        <v>1061</v>
      </c>
      <c r="J86" s="50" t="s">
        <v>1061</v>
      </c>
      <c r="K86" s="116"/>
      <c r="L86" s="116"/>
      <c r="M86" s="116"/>
      <c r="N86" s="116"/>
      <c r="O86" s="116"/>
      <c r="P86" s="116"/>
      <c r="Q86" s="116"/>
      <c r="R86" s="116"/>
      <c r="S86" s="116"/>
      <c r="T86" s="116"/>
      <c r="U86" s="116"/>
      <c r="V86" s="116"/>
      <c r="W86" s="116"/>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c r="AU86" s="116"/>
      <c r="AV86" s="116"/>
      <c r="AW86" s="116"/>
      <c r="AX86" s="116"/>
      <c r="AY86" s="116"/>
      <c r="AZ86" s="116"/>
      <c r="BA86" s="116"/>
      <c r="BB86" s="116"/>
      <c r="BC86" s="116"/>
      <c r="BD86" s="116"/>
      <c r="BE86" s="116"/>
      <c r="BF86" s="116"/>
      <c r="BG86" s="11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50" t="s">
        <v>2861</v>
      </c>
      <c r="CD86" s="50" t="s">
        <v>2286</v>
      </c>
      <c r="CE86" s="116"/>
      <c r="CF86" s="50" t="s">
        <v>2716</v>
      </c>
      <c r="CG86" s="117">
        <v>3810.0</v>
      </c>
      <c r="CH86" s="50" t="s">
        <v>2862</v>
      </c>
      <c r="CI86" s="50" t="s">
        <v>2863</v>
      </c>
      <c r="CJ86" s="117">
        <v>85.0</v>
      </c>
    </row>
    <row r="87">
      <c r="A87" s="50" t="s">
        <v>2864</v>
      </c>
      <c r="B87" s="50" t="s">
        <v>2865</v>
      </c>
      <c r="C87" s="116"/>
      <c r="D87" s="116"/>
      <c r="E87" s="50">
        <v>3.5215509147374E14</v>
      </c>
      <c r="F87" s="50">
        <v>58.0</v>
      </c>
      <c r="G87" s="50">
        <v>1.0</v>
      </c>
      <c r="H87" s="50">
        <v>5.0</v>
      </c>
      <c r="I87" s="50" t="s">
        <v>1093</v>
      </c>
      <c r="J87" s="50" t="s">
        <v>1093</v>
      </c>
      <c r="K87" s="50" t="s">
        <v>2866</v>
      </c>
      <c r="L87" s="50" t="s">
        <v>2867</v>
      </c>
      <c r="M87" s="50">
        <v>22.5535834</v>
      </c>
      <c r="N87" s="50">
        <v>88.3987553</v>
      </c>
      <c r="O87" s="50">
        <v>-22.6000003814697</v>
      </c>
      <c r="P87" s="50">
        <v>4.5</v>
      </c>
      <c r="Q87" s="50">
        <v>2.0</v>
      </c>
      <c r="R87" s="50">
        <v>0.0</v>
      </c>
      <c r="S87" s="50">
        <v>1.0</v>
      </c>
      <c r="T87" s="116"/>
      <c r="U87" s="116"/>
      <c r="V87" s="116"/>
      <c r="W87" s="116"/>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c r="AU87" s="116"/>
      <c r="AV87" s="116"/>
      <c r="AW87" s="116"/>
      <c r="AX87" s="116"/>
      <c r="AY87" s="116"/>
      <c r="AZ87" s="116"/>
      <c r="BA87" s="116"/>
      <c r="BB87" s="116"/>
      <c r="BC87" s="116"/>
      <c r="BD87" s="50">
        <v>88.0</v>
      </c>
      <c r="BE87" s="50" t="s">
        <v>2583</v>
      </c>
      <c r="BF87" s="116"/>
      <c r="BG87" s="116"/>
      <c r="BH87" s="116"/>
      <c r="BI87" s="116"/>
      <c r="BJ87" s="116"/>
      <c r="BK87" s="116"/>
      <c r="BL87" s="116"/>
      <c r="BM87" s="116"/>
      <c r="BN87" s="116"/>
      <c r="BO87" s="116"/>
      <c r="BP87" s="116"/>
      <c r="BQ87" s="116"/>
      <c r="BR87" s="116"/>
      <c r="BS87" s="116"/>
      <c r="BT87" s="116"/>
      <c r="BU87" s="116"/>
      <c r="BV87" s="116"/>
      <c r="BW87" s="116"/>
      <c r="BX87" s="116"/>
      <c r="BY87" s="116"/>
      <c r="BZ87" s="116"/>
      <c r="CA87" s="116"/>
      <c r="CB87" s="116"/>
      <c r="CC87" s="50" t="s">
        <v>2868</v>
      </c>
      <c r="CD87" s="50" t="s">
        <v>2278</v>
      </c>
      <c r="CE87" s="50">
        <v>1.0</v>
      </c>
      <c r="CF87" s="50" t="s">
        <v>2869</v>
      </c>
      <c r="CG87" s="117">
        <v>3926.0</v>
      </c>
      <c r="CH87" s="50" t="s">
        <v>2870</v>
      </c>
      <c r="CI87" s="50" t="s">
        <v>2871</v>
      </c>
      <c r="CJ87" s="117">
        <v>86.0</v>
      </c>
    </row>
    <row r="88">
      <c r="A88" s="50" t="s">
        <v>2872</v>
      </c>
      <c r="B88" s="50" t="s">
        <v>2873</v>
      </c>
      <c r="C88" s="116"/>
      <c r="D88" s="116"/>
      <c r="E88" s="50">
        <v>3.5215509147374E14</v>
      </c>
      <c r="F88" s="50">
        <v>58.0</v>
      </c>
      <c r="G88" s="50">
        <v>1.0</v>
      </c>
      <c r="H88" s="50">
        <v>99.0</v>
      </c>
      <c r="I88" s="50" t="s">
        <v>1094</v>
      </c>
      <c r="J88" s="50" t="s">
        <v>1094</v>
      </c>
      <c r="K88" s="50" t="s">
        <v>2874</v>
      </c>
      <c r="L88" s="50" t="s">
        <v>2875</v>
      </c>
      <c r="M88" s="50">
        <v>22.5535948</v>
      </c>
      <c r="N88" s="50">
        <v>88.3986593</v>
      </c>
      <c r="O88" s="50">
        <v>-61.4000015258789</v>
      </c>
      <c r="P88" s="50">
        <v>4.5</v>
      </c>
      <c r="Q88" s="50">
        <v>2.0</v>
      </c>
      <c r="R88" s="50">
        <v>0.0</v>
      </c>
      <c r="S88" s="50">
        <v>1.0</v>
      </c>
      <c r="T88" s="116"/>
      <c r="U88" s="116"/>
      <c r="V88" s="116"/>
      <c r="W88" s="116"/>
      <c r="X88" s="116"/>
      <c r="Y88" s="116"/>
      <c r="Z88" s="116"/>
      <c r="AA88" s="116"/>
      <c r="AB88" s="116"/>
      <c r="AC88" s="116"/>
      <c r="AD88" s="116"/>
      <c r="AE88" s="116"/>
      <c r="AF88" s="116"/>
      <c r="AG88" s="116"/>
      <c r="AH88" s="116"/>
      <c r="AI88" s="116"/>
      <c r="AJ88" s="116"/>
      <c r="AK88" s="116"/>
      <c r="AL88" s="116"/>
      <c r="AM88" s="116"/>
      <c r="AN88" s="116"/>
      <c r="AO88" s="116"/>
      <c r="AP88" s="116"/>
      <c r="AQ88" s="116"/>
      <c r="AR88" s="116"/>
      <c r="AS88" s="116"/>
      <c r="AT88" s="116"/>
      <c r="AU88" s="116"/>
      <c r="AV88" s="116"/>
      <c r="AW88" s="116"/>
      <c r="AX88" s="116"/>
      <c r="AY88" s="116"/>
      <c r="AZ88" s="116"/>
      <c r="BA88" s="116"/>
      <c r="BB88" s="116"/>
      <c r="BC88" s="116"/>
      <c r="BD88" s="116"/>
      <c r="BE88" s="116"/>
      <c r="BF88" s="116"/>
      <c r="BG88" s="116"/>
      <c r="BH88" s="116"/>
      <c r="BI88" s="116"/>
      <c r="BJ88" s="116"/>
      <c r="BK88" s="116"/>
      <c r="BL88" s="116"/>
      <c r="BM88" s="116"/>
      <c r="BN88" s="116"/>
      <c r="BO88" s="116"/>
      <c r="BP88" s="116"/>
      <c r="BQ88" s="116"/>
      <c r="BR88" s="116"/>
      <c r="BS88" s="116"/>
      <c r="BT88" s="116"/>
      <c r="BU88" s="116"/>
      <c r="BV88" s="116"/>
      <c r="BW88" s="116"/>
      <c r="BX88" s="116"/>
      <c r="BY88" s="116"/>
      <c r="BZ88" s="116"/>
      <c r="CA88" s="116"/>
      <c r="CB88" s="116"/>
      <c r="CC88" s="50" t="s">
        <v>2876</v>
      </c>
      <c r="CD88" s="50" t="s">
        <v>2286</v>
      </c>
      <c r="CE88" s="116"/>
      <c r="CF88" s="50" t="s">
        <v>2869</v>
      </c>
      <c r="CG88" s="117">
        <v>3927.0</v>
      </c>
      <c r="CH88" s="50" t="s">
        <v>2877</v>
      </c>
      <c r="CI88" s="50" t="s">
        <v>2878</v>
      </c>
      <c r="CJ88" s="117">
        <v>87.0</v>
      </c>
    </row>
    <row r="89">
      <c r="A89" s="50" t="s">
        <v>2879</v>
      </c>
      <c r="B89" s="50" t="s">
        <v>2880</v>
      </c>
      <c r="C89" s="116"/>
      <c r="D89" s="116"/>
      <c r="E89" s="50">
        <v>3.5215509147374E14</v>
      </c>
      <c r="F89" s="50">
        <v>58.0</v>
      </c>
      <c r="G89" s="50">
        <v>1.0</v>
      </c>
      <c r="H89" s="50">
        <v>8.0</v>
      </c>
      <c r="I89" s="50" t="s">
        <v>1092</v>
      </c>
      <c r="J89" s="50" t="s">
        <v>1092</v>
      </c>
      <c r="K89" s="50" t="s">
        <v>2881</v>
      </c>
      <c r="L89" s="50" t="s">
        <v>2882</v>
      </c>
      <c r="M89" s="50">
        <v>22.5536098</v>
      </c>
      <c r="N89" s="50">
        <v>88.39807</v>
      </c>
      <c r="O89" s="50">
        <v>-58.099998474121</v>
      </c>
      <c r="P89" s="50">
        <v>5.0</v>
      </c>
      <c r="Q89" s="50">
        <v>2.0</v>
      </c>
      <c r="R89" s="50">
        <v>0.0</v>
      </c>
      <c r="S89" s="50">
        <v>1.0</v>
      </c>
      <c r="T89" s="116"/>
      <c r="U89" s="116"/>
      <c r="V89" s="50">
        <v>2.0</v>
      </c>
      <c r="W89" s="50">
        <v>3.0</v>
      </c>
      <c r="X89" s="116"/>
      <c r="Y89" s="50">
        <v>5.0</v>
      </c>
      <c r="Z89" s="116"/>
      <c r="AA89" s="116"/>
      <c r="AB89" s="116"/>
      <c r="AC89" s="116"/>
      <c r="AD89" s="116"/>
      <c r="AE89" s="116"/>
      <c r="AF89" s="116"/>
      <c r="AG89" s="116"/>
      <c r="AH89" s="116"/>
      <c r="AI89" s="116"/>
      <c r="AJ89" s="116"/>
      <c r="AK89" s="116"/>
      <c r="AL89" s="116"/>
      <c r="AM89" s="116"/>
      <c r="AN89" s="116"/>
      <c r="AO89" s="116"/>
      <c r="AP89" s="116"/>
      <c r="AQ89" s="116"/>
      <c r="AR89" s="116"/>
      <c r="AS89" s="116"/>
      <c r="AT89" s="116"/>
      <c r="AU89" s="116"/>
      <c r="AV89" s="116"/>
      <c r="AW89" s="116"/>
      <c r="AX89" s="116"/>
      <c r="AY89" s="116"/>
      <c r="AZ89" s="116"/>
      <c r="BA89" s="116"/>
      <c r="BB89" s="116"/>
      <c r="BC89" s="116"/>
      <c r="BD89" s="116"/>
      <c r="BE89" s="116"/>
      <c r="BF89" s="116"/>
      <c r="BG89" s="116"/>
      <c r="BH89" s="116"/>
      <c r="BI89" s="116"/>
      <c r="BJ89" s="116"/>
      <c r="BK89" s="116"/>
      <c r="BL89" s="116"/>
      <c r="BM89" s="116"/>
      <c r="BN89" s="116"/>
      <c r="BO89" s="116"/>
      <c r="BP89" s="116"/>
      <c r="BQ89" s="116"/>
      <c r="BR89" s="116"/>
      <c r="BS89" s="116"/>
      <c r="BT89" s="116"/>
      <c r="BU89" s="116"/>
      <c r="BV89" s="116"/>
      <c r="BW89" s="116"/>
      <c r="BX89" s="116"/>
      <c r="BY89" s="116"/>
      <c r="BZ89" s="116"/>
      <c r="CA89" s="116"/>
      <c r="CB89" s="116"/>
      <c r="CC89" s="50" t="s">
        <v>2883</v>
      </c>
      <c r="CD89" s="50" t="s">
        <v>2472</v>
      </c>
      <c r="CE89" s="50">
        <v>1.0</v>
      </c>
      <c r="CF89" s="50" t="s">
        <v>2869</v>
      </c>
      <c r="CG89" s="117">
        <v>3928.0</v>
      </c>
      <c r="CH89" s="50" t="s">
        <v>2884</v>
      </c>
      <c r="CI89" s="50" t="s">
        <v>2885</v>
      </c>
      <c r="CJ89" s="117">
        <v>88.0</v>
      </c>
    </row>
    <row r="90">
      <c r="A90" s="50" t="s">
        <v>2886</v>
      </c>
      <c r="B90" s="50" t="s">
        <v>2887</v>
      </c>
      <c r="C90" s="116"/>
      <c r="D90" s="116"/>
      <c r="E90" s="50">
        <v>3.5215509147374E14</v>
      </c>
      <c r="F90" s="50">
        <v>58.0</v>
      </c>
      <c r="G90" s="50">
        <v>1.0</v>
      </c>
      <c r="H90" s="50">
        <v>99.0</v>
      </c>
      <c r="I90" s="50" t="s">
        <v>1100</v>
      </c>
      <c r="J90" s="50" t="s">
        <v>1100</v>
      </c>
      <c r="K90" s="50" t="s">
        <v>2888</v>
      </c>
      <c r="L90" s="50" t="s">
        <v>2889</v>
      </c>
      <c r="M90" s="50">
        <v>22.553318</v>
      </c>
      <c r="N90" s="50">
        <v>88.3984337</v>
      </c>
      <c r="O90" s="50">
        <v>-29.8999996185302</v>
      </c>
      <c r="P90" s="50">
        <v>5.0</v>
      </c>
      <c r="Q90" s="50">
        <v>1.0</v>
      </c>
      <c r="R90" s="50">
        <v>0.0</v>
      </c>
      <c r="S90" s="50">
        <v>1.0</v>
      </c>
      <c r="T90" s="116"/>
      <c r="U90" s="116"/>
      <c r="V90" s="116"/>
      <c r="W90" s="116"/>
      <c r="X90" s="116"/>
      <c r="Y90" s="116"/>
      <c r="Z90" s="116"/>
      <c r="AA90" s="116"/>
      <c r="AB90" s="116"/>
      <c r="AC90" s="116"/>
      <c r="AD90" s="116"/>
      <c r="AE90" s="116"/>
      <c r="AF90" s="116"/>
      <c r="AG90" s="116"/>
      <c r="AH90" s="116"/>
      <c r="AI90" s="116"/>
      <c r="AJ90" s="116"/>
      <c r="AK90" s="116"/>
      <c r="AL90" s="116"/>
      <c r="AM90" s="116"/>
      <c r="AN90" s="116"/>
      <c r="AO90" s="116"/>
      <c r="AP90" s="116"/>
      <c r="AQ90" s="116"/>
      <c r="AR90" s="116"/>
      <c r="AS90" s="116"/>
      <c r="AT90" s="116"/>
      <c r="AU90" s="116"/>
      <c r="AV90" s="116"/>
      <c r="AW90" s="116"/>
      <c r="AX90" s="116"/>
      <c r="AY90" s="116"/>
      <c r="AZ90" s="116"/>
      <c r="BA90" s="116"/>
      <c r="BB90" s="116"/>
      <c r="BC90" s="116"/>
      <c r="BD90" s="116"/>
      <c r="BE90" s="116"/>
      <c r="BF90" s="116"/>
      <c r="BG90" s="116"/>
      <c r="BH90" s="116"/>
      <c r="BI90" s="116"/>
      <c r="BJ90" s="116"/>
      <c r="BK90" s="116"/>
      <c r="BL90" s="116"/>
      <c r="BM90" s="116"/>
      <c r="BN90" s="116"/>
      <c r="BO90" s="116"/>
      <c r="BP90" s="116"/>
      <c r="BQ90" s="116"/>
      <c r="BR90" s="116"/>
      <c r="BS90" s="116"/>
      <c r="BT90" s="116"/>
      <c r="BU90" s="116"/>
      <c r="BV90" s="116"/>
      <c r="BW90" s="116"/>
      <c r="BX90" s="116"/>
      <c r="BY90" s="116"/>
      <c r="BZ90" s="116"/>
      <c r="CA90" s="116"/>
      <c r="CB90" s="116"/>
      <c r="CC90" s="50" t="s">
        <v>2890</v>
      </c>
      <c r="CD90" s="50" t="s">
        <v>2494</v>
      </c>
      <c r="CE90" s="116"/>
      <c r="CF90" s="50" t="s">
        <v>2869</v>
      </c>
      <c r="CG90" s="117">
        <v>3937.0</v>
      </c>
      <c r="CH90" s="50" t="s">
        <v>2891</v>
      </c>
      <c r="CI90" s="50" t="s">
        <v>2892</v>
      </c>
      <c r="CJ90" s="117">
        <v>89.0</v>
      </c>
    </row>
    <row r="91">
      <c r="A91" s="50" t="s">
        <v>2893</v>
      </c>
      <c r="B91" s="50" t="s">
        <v>2894</v>
      </c>
      <c r="C91" s="116"/>
      <c r="D91" s="116"/>
      <c r="E91" s="50">
        <v>3.5215509147374E14</v>
      </c>
      <c r="F91" s="50">
        <v>58.0</v>
      </c>
      <c r="G91" s="50">
        <v>1.0</v>
      </c>
      <c r="H91" s="50">
        <v>99.0</v>
      </c>
      <c r="I91" s="50" t="s">
        <v>1104</v>
      </c>
      <c r="J91" s="50" t="s">
        <v>1104</v>
      </c>
      <c r="K91" s="50" t="s">
        <v>2896</v>
      </c>
      <c r="L91" s="50" t="s">
        <v>2897</v>
      </c>
      <c r="M91" s="50">
        <v>22.5533723</v>
      </c>
      <c r="N91" s="50">
        <v>88.398392</v>
      </c>
      <c r="O91" s="50">
        <v>-33.0</v>
      </c>
      <c r="P91" s="50">
        <v>5.0</v>
      </c>
      <c r="Q91" s="50">
        <v>1.0</v>
      </c>
      <c r="R91" s="50">
        <v>0.0</v>
      </c>
      <c r="S91" s="50">
        <v>1.0</v>
      </c>
      <c r="T91" s="116"/>
      <c r="U91" s="116"/>
      <c r="V91" s="116"/>
      <c r="W91" s="116"/>
      <c r="X91" s="116"/>
      <c r="Y91" s="116"/>
      <c r="Z91" s="116"/>
      <c r="AA91" s="116"/>
      <c r="AB91" s="116"/>
      <c r="AC91" s="116"/>
      <c r="AD91" s="116"/>
      <c r="AE91" s="116"/>
      <c r="AF91" s="116"/>
      <c r="AG91" s="116"/>
      <c r="AH91" s="116"/>
      <c r="AI91" s="116"/>
      <c r="AJ91" s="116"/>
      <c r="AK91" s="116"/>
      <c r="AL91" s="116"/>
      <c r="AM91" s="116"/>
      <c r="AN91" s="116"/>
      <c r="AO91" s="116"/>
      <c r="AP91" s="116"/>
      <c r="AQ91" s="116"/>
      <c r="AR91" s="116"/>
      <c r="AS91" s="116"/>
      <c r="AT91" s="116"/>
      <c r="AU91" s="116"/>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50" t="s">
        <v>2898</v>
      </c>
      <c r="CD91" s="50" t="s">
        <v>2899</v>
      </c>
      <c r="CE91" s="116"/>
      <c r="CF91" s="50" t="s">
        <v>2869</v>
      </c>
      <c r="CG91" s="117">
        <v>3938.0</v>
      </c>
      <c r="CH91" s="50" t="s">
        <v>2900</v>
      </c>
      <c r="CI91" s="50" t="s">
        <v>2901</v>
      </c>
      <c r="CJ91" s="117">
        <v>90.0</v>
      </c>
    </row>
    <row r="92">
      <c r="A92" s="50" t="s">
        <v>2902</v>
      </c>
      <c r="B92" s="50" t="s">
        <v>2903</v>
      </c>
      <c r="C92" s="116"/>
      <c r="D92" s="116"/>
      <c r="E92" s="50">
        <v>3.5215509147374E14</v>
      </c>
      <c r="F92" s="50">
        <v>58.0</v>
      </c>
      <c r="G92" s="50">
        <v>1.0</v>
      </c>
      <c r="H92" s="50">
        <v>99.0</v>
      </c>
      <c r="I92" s="50" t="s">
        <v>1080</v>
      </c>
      <c r="J92" s="50" t="s">
        <v>1080</v>
      </c>
      <c r="K92" s="50" t="s">
        <v>2904</v>
      </c>
      <c r="L92" s="50" t="s">
        <v>2905</v>
      </c>
      <c r="M92" s="50">
        <v>22.5535999</v>
      </c>
      <c r="N92" s="50">
        <v>88.3971825</v>
      </c>
      <c r="O92" s="50">
        <v>-44.4000015258789</v>
      </c>
      <c r="P92" s="50">
        <v>5.0</v>
      </c>
      <c r="Q92" s="50">
        <v>1.0</v>
      </c>
      <c r="R92" s="50">
        <v>1.0</v>
      </c>
      <c r="S92" s="116"/>
      <c r="T92" s="116"/>
      <c r="U92" s="116"/>
      <c r="V92" s="116"/>
      <c r="W92" s="116"/>
      <c r="X92" s="116"/>
      <c r="Y92" s="116"/>
      <c r="Z92" s="116"/>
      <c r="AA92" s="116"/>
      <c r="AB92" s="116"/>
      <c r="AC92" s="116"/>
      <c r="AD92" s="116"/>
      <c r="AE92" s="116"/>
      <c r="AF92" s="116"/>
      <c r="AG92" s="116"/>
      <c r="AH92" s="116"/>
      <c r="AI92" s="116"/>
      <c r="AJ92" s="116"/>
      <c r="AK92" s="116"/>
      <c r="AL92" s="116"/>
      <c r="AM92" s="116"/>
      <c r="AN92" s="116"/>
      <c r="AO92" s="116"/>
      <c r="AP92" s="116"/>
      <c r="AQ92" s="116"/>
      <c r="AR92" s="116"/>
      <c r="AS92" s="116"/>
      <c r="AT92" s="116"/>
      <c r="AU92" s="116"/>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50" t="s">
        <v>2907</v>
      </c>
      <c r="CD92" s="50" t="s">
        <v>2908</v>
      </c>
      <c r="CE92" s="116"/>
      <c r="CF92" s="50" t="s">
        <v>2869</v>
      </c>
      <c r="CG92" s="117">
        <v>3939.0</v>
      </c>
      <c r="CH92" s="50" t="s">
        <v>2909</v>
      </c>
      <c r="CI92" s="50" t="s">
        <v>2910</v>
      </c>
      <c r="CJ92" s="117">
        <v>91.0</v>
      </c>
    </row>
    <row r="93">
      <c r="A93" s="50" t="s">
        <v>2911</v>
      </c>
      <c r="B93" s="50" t="s">
        <v>2912</v>
      </c>
      <c r="C93" s="116"/>
      <c r="D93" s="116"/>
      <c r="E93" s="50">
        <v>3.5215509147374E14</v>
      </c>
      <c r="F93" s="50">
        <v>58.0</v>
      </c>
      <c r="G93" s="50">
        <v>1.0</v>
      </c>
      <c r="H93" s="50">
        <v>99.0</v>
      </c>
      <c r="I93" s="50" t="s">
        <v>1114</v>
      </c>
      <c r="J93" s="50" t="s">
        <v>1114</v>
      </c>
      <c r="K93" s="50" t="s">
        <v>2913</v>
      </c>
      <c r="L93" s="50" t="s">
        <v>2914</v>
      </c>
      <c r="M93" s="50">
        <v>22.5526645</v>
      </c>
      <c r="N93" s="50">
        <v>88.3987237</v>
      </c>
      <c r="O93" s="50">
        <v>-71.3000030517578</v>
      </c>
      <c r="P93" s="50">
        <v>5.0</v>
      </c>
      <c r="Q93" s="50">
        <v>1.0</v>
      </c>
      <c r="R93" s="50">
        <v>0.0</v>
      </c>
      <c r="S93" s="50">
        <v>1.0</v>
      </c>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116"/>
      <c r="AS93" s="116"/>
      <c r="AT93" s="116"/>
      <c r="AU93" s="116"/>
      <c r="AV93" s="116"/>
      <c r="AW93" s="116"/>
      <c r="AX93" s="116"/>
      <c r="AY93" s="116"/>
      <c r="AZ93" s="116"/>
      <c r="BA93" s="116"/>
      <c r="BB93" s="116"/>
      <c r="BC93" s="116"/>
      <c r="BD93" s="116"/>
      <c r="BE93" s="116"/>
      <c r="BF93" s="116"/>
      <c r="BG93" s="116"/>
      <c r="BH93" s="116"/>
      <c r="BI93" s="116"/>
      <c r="BJ93" s="116"/>
      <c r="BK93" s="116"/>
      <c r="BL93" s="116"/>
      <c r="BM93" s="116"/>
      <c r="BN93" s="116"/>
      <c r="BO93" s="116"/>
      <c r="BP93" s="116"/>
      <c r="BQ93" s="116"/>
      <c r="BR93" s="116"/>
      <c r="BS93" s="116"/>
      <c r="BT93" s="116"/>
      <c r="BU93" s="116"/>
      <c r="BV93" s="116"/>
      <c r="BW93" s="116"/>
      <c r="BX93" s="116"/>
      <c r="BY93" s="116"/>
      <c r="BZ93" s="116"/>
      <c r="CA93" s="116"/>
      <c r="CB93" s="116"/>
      <c r="CC93" s="50" t="s">
        <v>2915</v>
      </c>
      <c r="CD93" s="50" t="s">
        <v>2916</v>
      </c>
      <c r="CE93" s="116"/>
      <c r="CF93" s="50" t="s">
        <v>2869</v>
      </c>
      <c r="CG93" s="117">
        <v>4004.0</v>
      </c>
      <c r="CH93" s="50" t="s">
        <v>2917</v>
      </c>
      <c r="CI93" s="50" t="s">
        <v>2918</v>
      </c>
      <c r="CJ93" s="117">
        <v>92.0</v>
      </c>
    </row>
    <row r="94">
      <c r="A94" s="50" t="s">
        <v>2919</v>
      </c>
      <c r="B94" s="50" t="s">
        <v>2920</v>
      </c>
      <c r="C94" s="116"/>
      <c r="D94" s="116"/>
      <c r="E94" s="50">
        <v>3.5215509147374E14</v>
      </c>
      <c r="F94" s="50">
        <v>58.0</v>
      </c>
      <c r="G94" s="50">
        <v>1.0</v>
      </c>
      <c r="H94" s="50">
        <v>99.0</v>
      </c>
      <c r="I94" s="50" t="s">
        <v>1119</v>
      </c>
      <c r="J94" s="50" t="s">
        <v>1119</v>
      </c>
      <c r="K94" s="50" t="s">
        <v>2921</v>
      </c>
      <c r="L94" s="50" t="s">
        <v>2922</v>
      </c>
      <c r="M94" s="50">
        <v>22.5521487</v>
      </c>
      <c r="N94" s="50">
        <v>88.3999061</v>
      </c>
      <c r="O94" s="50">
        <v>-27.8999996185302</v>
      </c>
      <c r="P94" s="50">
        <v>5.0</v>
      </c>
      <c r="Q94" s="50">
        <v>1.0</v>
      </c>
      <c r="R94" s="50">
        <v>0.0</v>
      </c>
      <c r="S94" s="50">
        <v>1.0</v>
      </c>
      <c r="T94" s="116"/>
      <c r="U94" s="116"/>
      <c r="V94" s="116"/>
      <c r="W94" s="116"/>
      <c r="X94" s="116"/>
      <c r="Y94" s="116"/>
      <c r="Z94" s="116"/>
      <c r="AA94" s="116"/>
      <c r="AB94" s="116"/>
      <c r="AC94" s="116"/>
      <c r="AD94" s="116"/>
      <c r="AE94" s="116"/>
      <c r="AF94" s="116"/>
      <c r="AG94" s="116"/>
      <c r="AH94" s="116"/>
      <c r="AI94" s="116"/>
      <c r="AJ94" s="116"/>
      <c r="AK94" s="116"/>
      <c r="AL94" s="116"/>
      <c r="AM94" s="116"/>
      <c r="AN94" s="116"/>
      <c r="AO94" s="116"/>
      <c r="AP94" s="116"/>
      <c r="AQ94" s="116"/>
      <c r="AR94" s="116"/>
      <c r="AS94" s="116"/>
      <c r="AT94" s="116"/>
      <c r="AU94" s="116"/>
      <c r="AV94" s="116"/>
      <c r="AW94" s="116"/>
      <c r="AX94" s="116"/>
      <c r="AY94" s="116"/>
      <c r="AZ94" s="116"/>
      <c r="BA94" s="116"/>
      <c r="BB94" s="116"/>
      <c r="BC94" s="116"/>
      <c r="BD94" s="116"/>
      <c r="BE94" s="116"/>
      <c r="BF94" s="116"/>
      <c r="BG94" s="116"/>
      <c r="BH94" s="116"/>
      <c r="BI94" s="116"/>
      <c r="BJ94" s="116"/>
      <c r="BK94" s="116"/>
      <c r="BL94" s="116"/>
      <c r="BM94" s="116"/>
      <c r="BN94" s="116"/>
      <c r="BO94" s="116"/>
      <c r="BP94" s="116"/>
      <c r="BQ94" s="116"/>
      <c r="BR94" s="116"/>
      <c r="BS94" s="116"/>
      <c r="BT94" s="116"/>
      <c r="BU94" s="116"/>
      <c r="BV94" s="116"/>
      <c r="BW94" s="116"/>
      <c r="BX94" s="116"/>
      <c r="BY94" s="116"/>
      <c r="BZ94" s="116"/>
      <c r="CA94" s="116"/>
      <c r="CB94" s="116"/>
      <c r="CC94" s="50" t="s">
        <v>2923</v>
      </c>
      <c r="CD94" s="50" t="s">
        <v>2924</v>
      </c>
      <c r="CE94" s="116"/>
      <c r="CF94" s="50" t="s">
        <v>2869</v>
      </c>
      <c r="CG94" s="117">
        <v>4009.0</v>
      </c>
      <c r="CH94" s="50" t="s">
        <v>2925</v>
      </c>
      <c r="CI94" s="50" t="s">
        <v>2926</v>
      </c>
      <c r="CJ94" s="117">
        <v>93.0</v>
      </c>
    </row>
    <row r="95">
      <c r="A95" s="50" t="s">
        <v>2927</v>
      </c>
      <c r="B95" s="50" t="s">
        <v>2928</v>
      </c>
      <c r="C95" s="116"/>
      <c r="D95" s="116"/>
      <c r="E95" s="50">
        <v>3.5215509147374E14</v>
      </c>
      <c r="F95" s="50">
        <v>58.0</v>
      </c>
      <c r="G95" s="50">
        <v>1.0</v>
      </c>
      <c r="H95" s="50">
        <v>2.0</v>
      </c>
      <c r="I95" s="50" t="s">
        <v>1128</v>
      </c>
      <c r="J95" s="50" t="s">
        <v>1128</v>
      </c>
      <c r="K95" s="50" t="s">
        <v>2929</v>
      </c>
      <c r="L95" s="50" t="s">
        <v>2930</v>
      </c>
      <c r="M95" s="50">
        <v>22.5534746</v>
      </c>
      <c r="N95" s="50">
        <v>88.3981469</v>
      </c>
      <c r="O95" s="50">
        <v>-62.599998474121</v>
      </c>
      <c r="P95" s="50">
        <v>5.0</v>
      </c>
      <c r="Q95" s="50">
        <v>2.0</v>
      </c>
      <c r="R95" s="50">
        <v>1.0</v>
      </c>
      <c r="S95" s="116"/>
      <c r="T95" s="116"/>
      <c r="U95" s="116"/>
      <c r="V95" s="116"/>
      <c r="W95" s="116"/>
      <c r="X95" s="116"/>
      <c r="Y95" s="116"/>
      <c r="Z95" s="116"/>
      <c r="AA95" s="116"/>
      <c r="AB95" s="116"/>
      <c r="AC95" s="116"/>
      <c r="AD95" s="116"/>
      <c r="AE95" s="116"/>
      <c r="AF95" s="116"/>
      <c r="AG95" s="116"/>
      <c r="AH95" s="116"/>
      <c r="AI95" s="116"/>
      <c r="AJ95" s="50">
        <v>2.0</v>
      </c>
      <c r="AK95" s="116"/>
      <c r="AL95" s="116"/>
      <c r="AM95" s="50">
        <v>1.0</v>
      </c>
      <c r="AN95" s="116"/>
      <c r="AO95" s="116"/>
      <c r="AP95" s="116"/>
      <c r="AQ95" s="116"/>
      <c r="AR95" s="116"/>
      <c r="AS95" s="116"/>
      <c r="AT95" s="116"/>
      <c r="AU95" s="116"/>
      <c r="AV95" s="116"/>
      <c r="AW95" s="116"/>
      <c r="AX95" s="116"/>
      <c r="AY95" s="116"/>
      <c r="AZ95" s="116"/>
      <c r="BA95" s="116"/>
      <c r="BB95" s="116"/>
      <c r="BC95" s="116"/>
      <c r="BD95" s="116"/>
      <c r="BE95" s="116"/>
      <c r="BF95" s="116"/>
      <c r="BG95" s="116"/>
      <c r="BH95" s="116"/>
      <c r="BI95" s="116"/>
      <c r="BJ95" s="116"/>
      <c r="BK95" s="116"/>
      <c r="BL95" s="116"/>
      <c r="BM95" s="116"/>
      <c r="BN95" s="116"/>
      <c r="BO95" s="116"/>
      <c r="BP95" s="116"/>
      <c r="BQ95" s="116"/>
      <c r="BR95" s="116"/>
      <c r="BS95" s="116"/>
      <c r="BT95" s="116"/>
      <c r="BU95" s="116"/>
      <c r="BV95" s="116"/>
      <c r="BW95" s="116"/>
      <c r="BX95" s="116"/>
      <c r="BY95" s="116"/>
      <c r="BZ95" s="116"/>
      <c r="CA95" s="116"/>
      <c r="CB95" s="116"/>
      <c r="CC95" s="50" t="s">
        <v>2932</v>
      </c>
      <c r="CD95" s="50" t="s">
        <v>2472</v>
      </c>
      <c r="CE95" s="50">
        <v>1.0</v>
      </c>
      <c r="CF95" s="50" t="s">
        <v>2869</v>
      </c>
      <c r="CG95" s="117">
        <v>4010.0</v>
      </c>
      <c r="CH95" s="50" t="s">
        <v>2933</v>
      </c>
      <c r="CI95" s="50" t="s">
        <v>2934</v>
      </c>
      <c r="CJ95" s="117">
        <v>94.0</v>
      </c>
    </row>
    <row r="96">
      <c r="A96" s="50" t="s">
        <v>2935</v>
      </c>
      <c r="B96" s="50" t="s">
        <v>2936</v>
      </c>
      <c r="C96" s="116"/>
      <c r="D96" s="116"/>
      <c r="E96" s="50">
        <v>3.5215509147374E14</v>
      </c>
      <c r="F96" s="50">
        <v>58.0</v>
      </c>
      <c r="G96" s="50">
        <v>1.0</v>
      </c>
      <c r="H96" s="50">
        <v>99.0</v>
      </c>
      <c r="I96" s="50" t="s">
        <v>1125</v>
      </c>
      <c r="J96" s="50" t="s">
        <v>1125</v>
      </c>
      <c r="K96" s="50" t="s">
        <v>2937</v>
      </c>
      <c r="L96" s="50" t="s">
        <v>2938</v>
      </c>
      <c r="M96" s="50">
        <v>22.5535606</v>
      </c>
      <c r="N96" s="50">
        <v>88.3980567</v>
      </c>
      <c r="O96" s="50">
        <v>-43.9000015258789</v>
      </c>
      <c r="P96" s="50">
        <v>5.0</v>
      </c>
      <c r="Q96" s="50">
        <v>2.0</v>
      </c>
      <c r="R96" s="50">
        <v>1.0</v>
      </c>
      <c r="S96" s="116"/>
      <c r="T96" s="116"/>
      <c r="U96" s="116"/>
      <c r="V96" s="116"/>
      <c r="W96" s="116"/>
      <c r="X96" s="116"/>
      <c r="Y96" s="116"/>
      <c r="Z96" s="116"/>
      <c r="AA96" s="116"/>
      <c r="AB96" s="116"/>
      <c r="AC96" s="116"/>
      <c r="AD96" s="116"/>
      <c r="AE96" s="116"/>
      <c r="AF96" s="116"/>
      <c r="AG96" s="116"/>
      <c r="AH96" s="116"/>
      <c r="AI96" s="116"/>
      <c r="AJ96" s="116"/>
      <c r="AK96" s="116"/>
      <c r="AL96" s="116"/>
      <c r="AM96" s="116"/>
      <c r="AN96" s="116"/>
      <c r="AO96" s="116"/>
      <c r="AP96" s="116"/>
      <c r="AQ96" s="116"/>
      <c r="AR96" s="116"/>
      <c r="AS96" s="116"/>
      <c r="AT96" s="116"/>
      <c r="AU96" s="116"/>
      <c r="AV96" s="116"/>
      <c r="AW96" s="116"/>
      <c r="AX96" s="116"/>
      <c r="AY96" s="116"/>
      <c r="AZ96" s="116"/>
      <c r="BA96" s="116"/>
      <c r="BB96" s="116"/>
      <c r="BC96" s="116"/>
      <c r="BD96" s="116"/>
      <c r="BE96" s="116"/>
      <c r="BF96" s="116"/>
      <c r="BG96" s="116"/>
      <c r="BH96" s="116"/>
      <c r="BI96" s="116"/>
      <c r="BJ96" s="116"/>
      <c r="BK96" s="116"/>
      <c r="BL96" s="116"/>
      <c r="BM96" s="116"/>
      <c r="BN96" s="116"/>
      <c r="BO96" s="116"/>
      <c r="BP96" s="116"/>
      <c r="BQ96" s="116"/>
      <c r="BR96" s="116"/>
      <c r="BS96" s="116"/>
      <c r="BT96" s="116"/>
      <c r="BU96" s="116"/>
      <c r="BV96" s="116"/>
      <c r="BW96" s="116"/>
      <c r="BX96" s="116"/>
      <c r="BY96" s="116"/>
      <c r="BZ96" s="116"/>
      <c r="CA96" s="116"/>
      <c r="CB96" s="116"/>
      <c r="CC96" s="50" t="s">
        <v>2940</v>
      </c>
      <c r="CD96" s="50" t="s">
        <v>2302</v>
      </c>
      <c r="CE96" s="116"/>
      <c r="CF96" s="50" t="s">
        <v>2869</v>
      </c>
      <c r="CG96" s="117">
        <v>4011.0</v>
      </c>
      <c r="CH96" s="50" t="s">
        <v>2941</v>
      </c>
      <c r="CI96" s="50" t="s">
        <v>2942</v>
      </c>
      <c r="CJ96" s="117">
        <v>95.0</v>
      </c>
    </row>
    <row r="97">
      <c r="A97" s="50" t="s">
        <v>2943</v>
      </c>
      <c r="B97" s="50" t="s">
        <v>2944</v>
      </c>
      <c r="C97" s="116"/>
      <c r="D97" s="116"/>
      <c r="E97" s="50">
        <v>3.5215509147374E14</v>
      </c>
      <c r="F97" s="50">
        <v>58.0</v>
      </c>
      <c r="G97" s="50">
        <v>1.0</v>
      </c>
      <c r="H97" s="50">
        <v>1.0</v>
      </c>
      <c r="I97" s="50" t="s">
        <v>1123</v>
      </c>
      <c r="J97" s="50" t="s">
        <v>1123</v>
      </c>
      <c r="K97" s="50" t="s">
        <v>2945</v>
      </c>
      <c r="L97" s="50" t="s">
        <v>2946</v>
      </c>
      <c r="M97" s="50">
        <v>22.5533635</v>
      </c>
      <c r="N97" s="50">
        <v>88.3988853</v>
      </c>
      <c r="O97" s="50">
        <v>-50.7000007629394</v>
      </c>
      <c r="P97" s="50">
        <v>5.0</v>
      </c>
      <c r="Q97" s="50">
        <v>2.0</v>
      </c>
      <c r="R97" s="50">
        <v>1.0</v>
      </c>
      <c r="S97" s="116"/>
      <c r="T97" s="116"/>
      <c r="U97" s="116"/>
      <c r="V97" s="116"/>
      <c r="W97" s="116"/>
      <c r="X97" s="116"/>
      <c r="Y97" s="116"/>
      <c r="Z97" s="116"/>
      <c r="AA97" s="116"/>
      <c r="AB97" s="116"/>
      <c r="AC97" s="116"/>
      <c r="AD97" s="116"/>
      <c r="AE97" s="116"/>
      <c r="AF97" s="116"/>
      <c r="AG97" s="116"/>
      <c r="AH97" s="116"/>
      <c r="AI97" s="116"/>
      <c r="AJ97" s="116"/>
      <c r="AK97" s="116"/>
      <c r="AL97" s="116"/>
      <c r="AM97" s="116"/>
      <c r="AN97" s="116"/>
      <c r="AO97" s="116"/>
      <c r="AP97" s="116"/>
      <c r="AQ97" s="116"/>
      <c r="AR97" s="116"/>
      <c r="AS97" s="116"/>
      <c r="AT97" s="116"/>
      <c r="AU97" s="116"/>
      <c r="AV97" s="116"/>
      <c r="AW97" s="116"/>
      <c r="AX97" s="116"/>
      <c r="AY97" s="116"/>
      <c r="AZ97" s="116"/>
      <c r="BA97" s="116"/>
      <c r="BB97" s="116"/>
      <c r="BC97" s="116"/>
      <c r="BD97" s="116"/>
      <c r="BE97" s="116"/>
      <c r="BF97" s="116"/>
      <c r="BG97" s="50">
        <v>1.0</v>
      </c>
      <c r="BH97" s="50">
        <v>1.0</v>
      </c>
      <c r="BI97" s="50">
        <v>2.0</v>
      </c>
      <c r="BJ97" s="50">
        <v>88.0</v>
      </c>
      <c r="BK97" s="50" t="s">
        <v>2948</v>
      </c>
      <c r="BL97" s="116"/>
      <c r="BM97" s="50">
        <v>0.0</v>
      </c>
      <c r="BN97" s="50">
        <v>0.0</v>
      </c>
      <c r="BO97" s="50">
        <v>0.0</v>
      </c>
      <c r="BP97" s="50">
        <v>0.0</v>
      </c>
      <c r="BQ97" s="50">
        <v>1.0</v>
      </c>
      <c r="BR97" s="50">
        <v>1.0</v>
      </c>
      <c r="BS97" s="50">
        <v>0.0</v>
      </c>
      <c r="BT97" s="50">
        <v>1.0</v>
      </c>
      <c r="BU97" s="50">
        <v>6.0</v>
      </c>
      <c r="BV97" s="116"/>
      <c r="BW97" s="116"/>
      <c r="BX97" s="116"/>
      <c r="BY97" s="116"/>
      <c r="BZ97" s="116"/>
      <c r="CA97" s="116"/>
      <c r="CB97" s="116"/>
      <c r="CC97" s="50" t="s">
        <v>2949</v>
      </c>
      <c r="CD97" s="50" t="s">
        <v>2278</v>
      </c>
      <c r="CE97" s="50">
        <v>1.0</v>
      </c>
      <c r="CF97" s="50" t="s">
        <v>2869</v>
      </c>
      <c r="CG97" s="117">
        <v>4012.0</v>
      </c>
      <c r="CH97" s="50" t="s">
        <v>2950</v>
      </c>
      <c r="CI97" s="50" t="s">
        <v>2951</v>
      </c>
      <c r="CJ97" s="117">
        <v>96.0</v>
      </c>
    </row>
    <row r="98">
      <c r="A98" s="50" t="s">
        <v>2952</v>
      </c>
      <c r="B98" s="50" t="s">
        <v>2953</v>
      </c>
      <c r="C98" s="116"/>
      <c r="D98" s="116"/>
      <c r="E98" s="50">
        <v>3.5215509147374E14</v>
      </c>
      <c r="F98" s="50">
        <v>58.0</v>
      </c>
      <c r="G98" s="50">
        <v>1.0</v>
      </c>
      <c r="H98" s="50">
        <v>99.0</v>
      </c>
      <c r="I98" s="50" t="s">
        <v>1129</v>
      </c>
      <c r="J98" s="50" t="s">
        <v>1129</v>
      </c>
      <c r="K98" s="50" t="s">
        <v>2954</v>
      </c>
      <c r="L98" s="50" t="s">
        <v>2955</v>
      </c>
      <c r="M98" s="50">
        <v>22.5533735</v>
      </c>
      <c r="N98" s="50">
        <v>88.3988322</v>
      </c>
      <c r="O98" s="50">
        <v>-63.7000007629394</v>
      </c>
      <c r="P98" s="50">
        <v>5.0</v>
      </c>
      <c r="Q98" s="50">
        <v>2.0</v>
      </c>
      <c r="R98" s="50">
        <v>1.0</v>
      </c>
      <c r="S98" s="116"/>
      <c r="T98" s="116"/>
      <c r="U98" s="116"/>
      <c r="V98" s="116"/>
      <c r="W98" s="116"/>
      <c r="X98" s="116"/>
      <c r="Y98" s="116"/>
      <c r="Z98" s="116"/>
      <c r="AA98" s="116"/>
      <c r="AB98" s="116"/>
      <c r="AC98" s="116"/>
      <c r="AD98" s="116"/>
      <c r="AE98" s="116"/>
      <c r="AF98" s="116"/>
      <c r="AG98" s="116"/>
      <c r="AH98" s="116"/>
      <c r="AI98" s="116"/>
      <c r="AJ98" s="116"/>
      <c r="AK98" s="116"/>
      <c r="AL98" s="116"/>
      <c r="AM98" s="116"/>
      <c r="AN98" s="116"/>
      <c r="AO98" s="116"/>
      <c r="AP98" s="116"/>
      <c r="AQ98" s="116"/>
      <c r="AR98" s="116"/>
      <c r="AS98" s="116"/>
      <c r="AT98" s="116"/>
      <c r="AU98" s="116"/>
      <c r="AV98" s="116"/>
      <c r="AW98" s="116"/>
      <c r="AX98" s="116"/>
      <c r="AY98" s="116"/>
      <c r="AZ98" s="116"/>
      <c r="BA98" s="116"/>
      <c r="BB98" s="116"/>
      <c r="BC98" s="116"/>
      <c r="BD98" s="116"/>
      <c r="BE98" s="116"/>
      <c r="BF98" s="116"/>
      <c r="BG98" s="116"/>
      <c r="BH98" s="116"/>
      <c r="BI98" s="116"/>
      <c r="BJ98" s="116"/>
      <c r="BK98" s="116"/>
      <c r="BL98" s="116"/>
      <c r="BM98" s="116"/>
      <c r="BN98" s="116"/>
      <c r="BO98" s="116"/>
      <c r="BP98" s="116"/>
      <c r="BQ98" s="116"/>
      <c r="BR98" s="116"/>
      <c r="BS98" s="116"/>
      <c r="BT98" s="116"/>
      <c r="BU98" s="116"/>
      <c r="BV98" s="116"/>
      <c r="BW98" s="116"/>
      <c r="BX98" s="116"/>
      <c r="BY98" s="116"/>
      <c r="BZ98" s="116"/>
      <c r="CA98" s="116"/>
      <c r="CB98" s="116"/>
      <c r="CC98" s="50" t="s">
        <v>2957</v>
      </c>
      <c r="CD98" s="50" t="s">
        <v>2327</v>
      </c>
      <c r="CE98" s="116"/>
      <c r="CF98" s="50" t="s">
        <v>2869</v>
      </c>
      <c r="CG98" s="117">
        <v>4013.0</v>
      </c>
      <c r="CH98" s="50" t="s">
        <v>2958</v>
      </c>
      <c r="CI98" s="50" t="s">
        <v>2959</v>
      </c>
      <c r="CJ98" s="117">
        <v>97.0</v>
      </c>
    </row>
    <row r="99">
      <c r="A99" s="50" t="s">
        <v>2960</v>
      </c>
      <c r="B99" s="50" t="s">
        <v>2961</v>
      </c>
      <c r="C99" s="116"/>
      <c r="D99" s="116"/>
      <c r="E99" s="50">
        <v>3.5215509147374E14</v>
      </c>
      <c r="F99" s="50">
        <v>58.0</v>
      </c>
      <c r="G99" s="50">
        <v>1.0</v>
      </c>
      <c r="H99" s="50">
        <v>3.0</v>
      </c>
      <c r="I99" s="50" t="s">
        <v>1132</v>
      </c>
      <c r="J99" s="50" t="s">
        <v>1132</v>
      </c>
      <c r="K99" s="50" t="s">
        <v>2962</v>
      </c>
      <c r="L99" s="50" t="s">
        <v>2963</v>
      </c>
      <c r="M99" s="50">
        <v>22.5537787</v>
      </c>
      <c r="N99" s="50">
        <v>88.3971047</v>
      </c>
      <c r="O99" s="50">
        <v>-25.8999996185302</v>
      </c>
      <c r="P99" s="50">
        <v>4.5</v>
      </c>
      <c r="Q99" s="50">
        <v>2.0</v>
      </c>
      <c r="R99" s="50">
        <v>1.0</v>
      </c>
      <c r="S99" s="116"/>
      <c r="T99" s="116"/>
      <c r="U99" s="116"/>
      <c r="V99" s="116"/>
      <c r="W99" s="116"/>
      <c r="X99" s="116"/>
      <c r="Y99" s="116"/>
      <c r="Z99" s="116"/>
      <c r="AA99" s="116"/>
      <c r="AB99" s="116"/>
      <c r="AC99" s="116"/>
      <c r="AD99" s="116"/>
      <c r="AE99" s="116"/>
      <c r="AF99" s="116"/>
      <c r="AG99" s="116"/>
      <c r="AH99" s="116"/>
      <c r="AI99" s="116"/>
      <c r="AJ99" s="116"/>
      <c r="AK99" s="116"/>
      <c r="AL99" s="116"/>
      <c r="AM99" s="116"/>
      <c r="AN99" s="116"/>
      <c r="AO99" s="50">
        <v>4.0</v>
      </c>
      <c r="AP99" s="116"/>
      <c r="AQ99" s="50">
        <v>0.0</v>
      </c>
      <c r="AR99" s="116"/>
      <c r="AS99" s="116"/>
      <c r="AT99" s="116"/>
      <c r="AU99" s="116"/>
      <c r="AV99" s="116"/>
      <c r="AW99" s="116"/>
      <c r="AX99" s="116"/>
      <c r="AY99" s="116"/>
      <c r="AZ99" s="116"/>
      <c r="BA99" s="116"/>
      <c r="BB99" s="116"/>
      <c r="BC99" s="116"/>
      <c r="BD99" s="116"/>
      <c r="BE99" s="116"/>
      <c r="BF99" s="116"/>
      <c r="BG99" s="116"/>
      <c r="BH99" s="116"/>
      <c r="BI99" s="116"/>
      <c r="BJ99" s="116"/>
      <c r="BK99" s="116"/>
      <c r="BL99" s="116"/>
      <c r="BM99" s="116"/>
      <c r="BN99" s="116"/>
      <c r="BO99" s="116"/>
      <c r="BP99" s="116"/>
      <c r="BQ99" s="116"/>
      <c r="BR99" s="116"/>
      <c r="BS99" s="116"/>
      <c r="BT99" s="116"/>
      <c r="BU99" s="116"/>
      <c r="BV99" s="116"/>
      <c r="BW99" s="116"/>
      <c r="BX99" s="116"/>
      <c r="BY99" s="116"/>
      <c r="BZ99" s="116"/>
      <c r="CA99" s="116"/>
      <c r="CB99" s="116"/>
      <c r="CC99" s="50" t="s">
        <v>2949</v>
      </c>
      <c r="CD99" s="50" t="s">
        <v>2472</v>
      </c>
      <c r="CE99" s="50">
        <v>1.0</v>
      </c>
      <c r="CF99" s="50" t="s">
        <v>2869</v>
      </c>
      <c r="CG99" s="117">
        <v>4024.0</v>
      </c>
      <c r="CH99" s="50" t="s">
        <v>2965</v>
      </c>
      <c r="CI99" s="50" t="s">
        <v>2966</v>
      </c>
      <c r="CJ99" s="117">
        <v>98.0</v>
      </c>
    </row>
    <row r="100">
      <c r="A100" s="50" t="s">
        <v>2967</v>
      </c>
      <c r="B100" s="50" t="s">
        <v>2968</v>
      </c>
      <c r="C100" s="116"/>
      <c r="D100" s="116"/>
      <c r="E100" s="50">
        <v>3.5215509147374E14</v>
      </c>
      <c r="F100" s="50">
        <v>58.0</v>
      </c>
      <c r="G100" s="50">
        <v>1.0</v>
      </c>
      <c r="H100" s="50">
        <v>99.0</v>
      </c>
      <c r="I100" s="50" t="s">
        <v>1134</v>
      </c>
      <c r="J100" s="50" t="s">
        <v>1134</v>
      </c>
      <c r="K100" s="50" t="s">
        <v>2969</v>
      </c>
      <c r="L100" s="50" t="s">
        <v>2970</v>
      </c>
      <c r="M100" s="50">
        <v>22.5537273</v>
      </c>
      <c r="N100" s="50">
        <v>88.3971653</v>
      </c>
      <c r="O100" s="50">
        <v>-50.0</v>
      </c>
      <c r="P100" s="50">
        <v>5.0</v>
      </c>
      <c r="Q100" s="50">
        <v>2.0</v>
      </c>
      <c r="R100" s="50">
        <v>1.0</v>
      </c>
      <c r="S100" s="116"/>
      <c r="T100" s="116"/>
      <c r="U100" s="116"/>
      <c r="V100" s="116"/>
      <c r="W100" s="116"/>
      <c r="X100" s="116"/>
      <c r="Y100" s="116"/>
      <c r="Z100" s="116"/>
      <c r="AA100" s="116"/>
      <c r="AB100" s="116"/>
      <c r="AC100" s="116"/>
      <c r="AD100" s="116"/>
      <c r="AE100" s="116"/>
      <c r="AF100" s="116"/>
      <c r="AG100" s="116"/>
      <c r="AH100" s="116"/>
      <c r="AI100" s="116"/>
      <c r="AJ100" s="116"/>
      <c r="AK100" s="116"/>
      <c r="AL100" s="116"/>
      <c r="AM100" s="116"/>
      <c r="AN100" s="116"/>
      <c r="AO100" s="116"/>
      <c r="AP100" s="116"/>
      <c r="AQ100" s="116"/>
      <c r="AR100" s="116"/>
      <c r="AS100" s="116"/>
      <c r="AT100" s="116"/>
      <c r="AU100" s="116"/>
      <c r="AV100" s="116"/>
      <c r="AW100" s="116"/>
      <c r="AX100" s="116"/>
      <c r="AY100" s="116"/>
      <c r="AZ100" s="116"/>
      <c r="BA100" s="116"/>
      <c r="BB100" s="116"/>
      <c r="BC100" s="116"/>
      <c r="BD100" s="116"/>
      <c r="BE100" s="116"/>
      <c r="BF100" s="116"/>
      <c r="BG100" s="116"/>
      <c r="BH100" s="116"/>
      <c r="BI100" s="116"/>
      <c r="BJ100" s="116"/>
      <c r="BK100" s="116"/>
      <c r="BL100" s="116"/>
      <c r="BM100" s="116"/>
      <c r="BN100" s="116"/>
      <c r="BO100" s="116"/>
      <c r="BP100" s="116"/>
      <c r="BQ100" s="116"/>
      <c r="BR100" s="116"/>
      <c r="BS100" s="116"/>
      <c r="BT100" s="116"/>
      <c r="BU100" s="116"/>
      <c r="BV100" s="116"/>
      <c r="BW100" s="116"/>
      <c r="BX100" s="116"/>
      <c r="BY100" s="116"/>
      <c r="BZ100" s="116"/>
      <c r="CA100" s="116"/>
      <c r="CB100" s="116"/>
      <c r="CC100" s="50" t="s">
        <v>2971</v>
      </c>
      <c r="CD100" s="50" t="s">
        <v>2286</v>
      </c>
      <c r="CE100" s="116"/>
      <c r="CF100" s="50" t="s">
        <v>2869</v>
      </c>
      <c r="CG100" s="117">
        <v>4025.0</v>
      </c>
      <c r="CH100" s="50" t="s">
        <v>2973</v>
      </c>
      <c r="CI100" s="50" t="s">
        <v>2974</v>
      </c>
      <c r="CJ100" s="117">
        <v>99.0</v>
      </c>
    </row>
    <row r="101">
      <c r="A101" s="50" t="s">
        <v>2975</v>
      </c>
      <c r="B101" s="50" t="s">
        <v>2976</v>
      </c>
      <c r="C101" s="116"/>
      <c r="D101" s="116"/>
      <c r="E101" s="50">
        <v>3.5215509147374E14</v>
      </c>
      <c r="F101" s="50">
        <v>58.0</v>
      </c>
      <c r="G101" s="50">
        <v>1.0</v>
      </c>
      <c r="H101" s="50">
        <v>8.0</v>
      </c>
      <c r="I101" s="50" t="s">
        <v>1165</v>
      </c>
      <c r="J101" s="50" t="s">
        <v>1165</v>
      </c>
      <c r="K101" s="50" t="s">
        <v>2977</v>
      </c>
      <c r="L101" s="50" t="s">
        <v>2978</v>
      </c>
      <c r="M101" s="50">
        <v>22.5520598</v>
      </c>
      <c r="N101" s="50">
        <v>88.4000242</v>
      </c>
      <c r="O101" s="50">
        <v>-50.5</v>
      </c>
      <c r="P101" s="50">
        <v>5.0</v>
      </c>
      <c r="Q101" s="50">
        <v>1.0</v>
      </c>
      <c r="R101" s="50">
        <v>1.0</v>
      </c>
      <c r="S101" s="116"/>
      <c r="T101" s="116"/>
      <c r="U101" s="116"/>
      <c r="V101" s="50">
        <v>2.0</v>
      </c>
      <c r="W101" s="50">
        <v>3.0</v>
      </c>
      <c r="X101" s="116"/>
      <c r="Y101" s="50">
        <v>9.0</v>
      </c>
      <c r="Z101" s="116"/>
      <c r="AA101" s="116"/>
      <c r="AB101" s="116"/>
      <c r="AC101" s="116"/>
      <c r="AD101" s="116"/>
      <c r="AE101" s="116"/>
      <c r="AF101" s="116"/>
      <c r="AG101" s="116"/>
      <c r="AH101" s="116"/>
      <c r="AI101" s="116"/>
      <c r="AJ101" s="116"/>
      <c r="AK101" s="116"/>
      <c r="AL101" s="116"/>
      <c r="AM101" s="116"/>
      <c r="AN101" s="116"/>
      <c r="AO101" s="116"/>
      <c r="AP101" s="116"/>
      <c r="AQ101" s="116"/>
      <c r="AR101" s="116"/>
      <c r="AS101" s="116"/>
      <c r="AT101" s="116"/>
      <c r="AU101" s="116"/>
      <c r="AV101" s="116"/>
      <c r="AW101" s="116"/>
      <c r="AX101" s="116"/>
      <c r="AY101" s="116"/>
      <c r="AZ101" s="116"/>
      <c r="BA101" s="116"/>
      <c r="BB101" s="116"/>
      <c r="BC101" s="116"/>
      <c r="BD101" s="116"/>
      <c r="BE101" s="116"/>
      <c r="BF101" s="116"/>
      <c r="BG101" s="116"/>
      <c r="BH101" s="116"/>
      <c r="BI101" s="116"/>
      <c r="BJ101" s="116"/>
      <c r="BK101" s="116"/>
      <c r="BL101" s="116"/>
      <c r="BM101" s="116"/>
      <c r="BN101" s="116"/>
      <c r="BO101" s="116"/>
      <c r="BP101" s="116"/>
      <c r="BQ101" s="116"/>
      <c r="BR101" s="116"/>
      <c r="BS101" s="116"/>
      <c r="BT101" s="116"/>
      <c r="BU101" s="116"/>
      <c r="BV101" s="116"/>
      <c r="BW101" s="116"/>
      <c r="BX101" s="116"/>
      <c r="BY101" s="116"/>
      <c r="BZ101" s="116"/>
      <c r="CA101" s="116"/>
      <c r="CB101" s="116"/>
      <c r="CC101" s="50" t="s">
        <v>2979</v>
      </c>
      <c r="CD101" s="50" t="s">
        <v>2278</v>
      </c>
      <c r="CE101" s="50">
        <v>1.0</v>
      </c>
      <c r="CF101" s="50" t="s">
        <v>2869</v>
      </c>
      <c r="CG101" s="117">
        <v>4031.0</v>
      </c>
      <c r="CH101" s="50" t="s">
        <v>2980</v>
      </c>
      <c r="CI101" s="50" t="s">
        <v>2981</v>
      </c>
      <c r="CJ101" s="117">
        <v>100.0</v>
      </c>
    </row>
    <row r="102">
      <c r="A102" s="50" t="s">
        <v>2982</v>
      </c>
      <c r="B102" s="50" t="s">
        <v>2983</v>
      </c>
      <c r="C102" s="116"/>
      <c r="D102" s="116"/>
      <c r="E102" s="50">
        <v>3.5215509147374E14</v>
      </c>
      <c r="F102" s="50">
        <v>58.0</v>
      </c>
      <c r="G102" s="50">
        <v>1.0</v>
      </c>
      <c r="H102" s="50">
        <v>99.0</v>
      </c>
      <c r="I102" s="50" t="s">
        <v>1155</v>
      </c>
      <c r="J102" s="50" t="s">
        <v>1155</v>
      </c>
      <c r="K102" s="50" t="s">
        <v>2984</v>
      </c>
      <c r="L102" s="50" t="s">
        <v>2985</v>
      </c>
      <c r="M102" s="50">
        <v>22.5520287</v>
      </c>
      <c r="N102" s="50">
        <v>88.4000559</v>
      </c>
      <c r="O102" s="50">
        <v>-33.599998474121</v>
      </c>
      <c r="P102" s="50">
        <v>4.5</v>
      </c>
      <c r="Q102" s="50">
        <v>1.0</v>
      </c>
      <c r="R102" s="50">
        <v>1.0</v>
      </c>
      <c r="S102" s="116"/>
      <c r="T102" s="116"/>
      <c r="U102" s="116"/>
      <c r="V102" s="116"/>
      <c r="W102" s="116"/>
      <c r="X102" s="116"/>
      <c r="Y102" s="116"/>
      <c r="Z102" s="116"/>
      <c r="AA102" s="116"/>
      <c r="AB102" s="116"/>
      <c r="AC102" s="116"/>
      <c r="AD102" s="116"/>
      <c r="AE102" s="116"/>
      <c r="AF102" s="116"/>
      <c r="AG102" s="116"/>
      <c r="AH102" s="116"/>
      <c r="AI102" s="116"/>
      <c r="AJ102" s="116"/>
      <c r="AK102" s="116"/>
      <c r="AL102" s="116"/>
      <c r="AM102" s="116"/>
      <c r="AN102" s="116"/>
      <c r="AO102" s="116"/>
      <c r="AP102" s="116"/>
      <c r="AQ102" s="116"/>
      <c r="AR102" s="116"/>
      <c r="AS102" s="116"/>
      <c r="AT102" s="116"/>
      <c r="AU102" s="116"/>
      <c r="AV102" s="116"/>
      <c r="AW102" s="116"/>
      <c r="AX102" s="116"/>
      <c r="AY102" s="116"/>
      <c r="AZ102" s="116"/>
      <c r="BA102" s="116"/>
      <c r="BB102" s="116"/>
      <c r="BC102" s="116"/>
      <c r="BD102" s="116"/>
      <c r="BE102" s="116"/>
      <c r="BF102" s="116"/>
      <c r="BG102" s="116"/>
      <c r="BH102" s="116"/>
      <c r="BI102" s="116"/>
      <c r="BJ102" s="116"/>
      <c r="BK102" s="116"/>
      <c r="BL102" s="116"/>
      <c r="BM102" s="116"/>
      <c r="BN102" s="116"/>
      <c r="BO102" s="116"/>
      <c r="BP102" s="116"/>
      <c r="BQ102" s="116"/>
      <c r="BR102" s="116"/>
      <c r="BS102" s="116"/>
      <c r="BT102" s="116"/>
      <c r="BU102" s="116"/>
      <c r="BV102" s="116"/>
      <c r="BW102" s="116"/>
      <c r="BX102" s="116"/>
      <c r="BY102" s="116"/>
      <c r="BZ102" s="116"/>
      <c r="CA102" s="116"/>
      <c r="CB102" s="116"/>
      <c r="CC102" s="50" t="s">
        <v>2986</v>
      </c>
      <c r="CD102" s="50" t="s">
        <v>2472</v>
      </c>
      <c r="CE102" s="116"/>
      <c r="CF102" s="50" t="s">
        <v>2869</v>
      </c>
      <c r="CG102" s="117">
        <v>4032.0</v>
      </c>
      <c r="CH102" s="50" t="s">
        <v>2987</v>
      </c>
      <c r="CI102" s="50" t="s">
        <v>2988</v>
      </c>
      <c r="CJ102" s="117">
        <v>101.0</v>
      </c>
    </row>
    <row r="103">
      <c r="A103" s="50" t="s">
        <v>2989</v>
      </c>
      <c r="B103" s="50" t="s">
        <v>2991</v>
      </c>
      <c r="C103" s="116"/>
      <c r="D103" s="116"/>
      <c r="E103" s="50">
        <v>3.5215509147374E14</v>
      </c>
      <c r="F103" s="50">
        <v>58.0</v>
      </c>
      <c r="G103" s="50">
        <v>1.0</v>
      </c>
      <c r="H103" s="50">
        <v>10.0</v>
      </c>
      <c r="I103" s="50" t="s">
        <v>1153</v>
      </c>
      <c r="J103" s="50" t="s">
        <v>1153</v>
      </c>
      <c r="K103" s="50" t="s">
        <v>2992</v>
      </c>
      <c r="L103" s="50" t="s">
        <v>2993</v>
      </c>
      <c r="M103" s="50">
        <v>22.5536168</v>
      </c>
      <c r="N103" s="50">
        <v>88.3978769</v>
      </c>
      <c r="O103" s="50">
        <v>-37.9000015258789</v>
      </c>
      <c r="P103" s="50">
        <v>5.0</v>
      </c>
      <c r="Q103" s="50">
        <v>1.0</v>
      </c>
      <c r="R103" s="50">
        <v>1.0</v>
      </c>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116"/>
      <c r="AS103" s="116"/>
      <c r="AT103" s="116"/>
      <c r="AU103" s="116"/>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50">
        <v>1.0</v>
      </c>
      <c r="BW103" s="116"/>
      <c r="BX103" s="116"/>
      <c r="BY103" s="116"/>
      <c r="BZ103" s="116"/>
      <c r="CA103" s="116"/>
      <c r="CB103" s="116"/>
      <c r="CC103" s="50" t="s">
        <v>2994</v>
      </c>
      <c r="CD103" s="50" t="s">
        <v>2278</v>
      </c>
      <c r="CE103" s="50">
        <v>1.0</v>
      </c>
      <c r="CF103" s="50" t="s">
        <v>2869</v>
      </c>
      <c r="CG103" s="117">
        <v>4033.0</v>
      </c>
      <c r="CH103" s="50" t="s">
        <v>2995</v>
      </c>
      <c r="CI103" s="50" t="s">
        <v>2996</v>
      </c>
      <c r="CJ103" s="117">
        <v>102.0</v>
      </c>
    </row>
    <row r="104">
      <c r="A104" s="50" t="s">
        <v>2997</v>
      </c>
      <c r="B104" s="50" t="s">
        <v>2998</v>
      </c>
      <c r="C104" s="116"/>
      <c r="D104" s="116"/>
      <c r="E104" s="50">
        <v>3.5215509147374E14</v>
      </c>
      <c r="F104" s="50">
        <v>58.0</v>
      </c>
      <c r="G104" s="50">
        <v>1.0</v>
      </c>
      <c r="H104" s="50">
        <v>99.0</v>
      </c>
      <c r="I104" s="50" t="s">
        <v>1162</v>
      </c>
      <c r="J104" s="50" t="s">
        <v>1162</v>
      </c>
      <c r="K104" s="50" t="s">
        <v>2999</v>
      </c>
      <c r="L104" s="50" t="s">
        <v>3000</v>
      </c>
      <c r="M104" s="50">
        <v>22.5536032</v>
      </c>
      <c r="N104" s="50">
        <v>88.3979104</v>
      </c>
      <c r="O104" s="50">
        <v>-39.5</v>
      </c>
      <c r="P104" s="50">
        <v>5.0</v>
      </c>
      <c r="Q104" s="50">
        <v>1.0</v>
      </c>
      <c r="R104" s="50">
        <v>1.0</v>
      </c>
      <c r="S104" s="116"/>
      <c r="T104" s="116"/>
      <c r="U104" s="116"/>
      <c r="V104" s="116"/>
      <c r="W104" s="116"/>
      <c r="X104" s="116"/>
      <c r="Y104" s="116"/>
      <c r="Z104" s="116"/>
      <c r="AA104" s="116"/>
      <c r="AB104" s="116"/>
      <c r="AC104" s="116"/>
      <c r="AD104" s="116"/>
      <c r="AE104" s="116"/>
      <c r="AF104" s="116"/>
      <c r="AG104" s="116"/>
      <c r="AH104" s="116"/>
      <c r="AI104" s="116"/>
      <c r="AJ104" s="116"/>
      <c r="AK104" s="116"/>
      <c r="AL104" s="116"/>
      <c r="AM104" s="116"/>
      <c r="AN104" s="116"/>
      <c r="AO104" s="116"/>
      <c r="AP104" s="116"/>
      <c r="AQ104" s="116"/>
      <c r="AR104" s="116"/>
      <c r="AS104" s="116"/>
      <c r="AT104" s="116"/>
      <c r="AU104" s="116"/>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50" t="s">
        <v>2986</v>
      </c>
      <c r="CD104" s="50" t="s">
        <v>2597</v>
      </c>
      <c r="CE104" s="116"/>
      <c r="CF104" s="50" t="s">
        <v>2869</v>
      </c>
      <c r="CG104" s="117">
        <v>4034.0</v>
      </c>
      <c r="CH104" s="50" t="s">
        <v>3002</v>
      </c>
      <c r="CI104" s="50" t="s">
        <v>3003</v>
      </c>
      <c r="CJ104" s="117">
        <v>103.0</v>
      </c>
    </row>
    <row r="105">
      <c r="A105" s="50" t="s">
        <v>3004</v>
      </c>
      <c r="B105" s="50" t="s">
        <v>3005</v>
      </c>
      <c r="C105" s="116"/>
      <c r="D105" s="116"/>
      <c r="E105" s="50">
        <v>3.5215509147374E14</v>
      </c>
      <c r="F105" s="50">
        <v>58.0</v>
      </c>
      <c r="G105" s="50">
        <v>1.0</v>
      </c>
      <c r="H105" s="50">
        <v>10.0</v>
      </c>
      <c r="I105" s="50" t="s">
        <v>1158</v>
      </c>
      <c r="J105" s="50" t="s">
        <v>1158</v>
      </c>
      <c r="K105" s="50" t="s">
        <v>3006</v>
      </c>
      <c r="L105" s="50" t="s">
        <v>3007</v>
      </c>
      <c r="M105" s="50">
        <v>22.5533444</v>
      </c>
      <c r="N105" s="50">
        <v>88.3972372</v>
      </c>
      <c r="O105" s="50">
        <v>-57.099998474121</v>
      </c>
      <c r="P105" s="50">
        <v>4.5</v>
      </c>
      <c r="Q105" s="50">
        <v>3.0</v>
      </c>
      <c r="R105" s="50">
        <v>1.0</v>
      </c>
      <c r="S105" s="116"/>
      <c r="T105" s="116"/>
      <c r="U105" s="116"/>
      <c r="V105" s="116"/>
      <c r="W105" s="116"/>
      <c r="X105" s="116"/>
      <c r="Y105" s="116"/>
      <c r="Z105" s="116"/>
      <c r="AA105" s="116"/>
      <c r="AB105" s="116"/>
      <c r="AC105" s="116"/>
      <c r="AD105" s="116"/>
      <c r="AE105" s="116"/>
      <c r="AF105" s="116"/>
      <c r="AG105" s="116"/>
      <c r="AH105" s="116"/>
      <c r="AI105" s="116"/>
      <c r="AJ105" s="116"/>
      <c r="AK105" s="116"/>
      <c r="AL105" s="116"/>
      <c r="AM105" s="116"/>
      <c r="AN105" s="116"/>
      <c r="AO105" s="116"/>
      <c r="AP105" s="116"/>
      <c r="AQ105" s="116"/>
      <c r="AR105" s="116"/>
      <c r="AS105" s="116"/>
      <c r="AT105" s="116"/>
      <c r="AU105" s="116"/>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50">
        <v>2.0</v>
      </c>
      <c r="BW105" s="116"/>
      <c r="BX105" s="116"/>
      <c r="BY105" s="116"/>
      <c r="BZ105" s="116"/>
      <c r="CA105" s="116"/>
      <c r="CB105" s="116"/>
      <c r="CC105" s="50" t="s">
        <v>2949</v>
      </c>
      <c r="CD105" s="50" t="s">
        <v>2302</v>
      </c>
      <c r="CE105" s="50">
        <v>1.0</v>
      </c>
      <c r="CF105" s="50" t="s">
        <v>2869</v>
      </c>
      <c r="CG105" s="117">
        <v>4035.0</v>
      </c>
      <c r="CH105" s="50" t="s">
        <v>3008</v>
      </c>
      <c r="CI105" s="50" t="s">
        <v>3009</v>
      </c>
      <c r="CJ105" s="117">
        <v>104.0</v>
      </c>
    </row>
    <row r="106">
      <c r="A106" s="50" t="s">
        <v>3010</v>
      </c>
      <c r="B106" s="50" t="s">
        <v>3011</v>
      </c>
      <c r="C106" s="116"/>
      <c r="D106" s="116"/>
      <c r="E106" s="50">
        <v>3.5215509147374E14</v>
      </c>
      <c r="F106" s="50">
        <v>58.0</v>
      </c>
      <c r="G106" s="50">
        <v>1.0</v>
      </c>
      <c r="H106" s="50">
        <v>3.0</v>
      </c>
      <c r="I106" s="50" t="s">
        <v>1168</v>
      </c>
      <c r="J106" s="50" t="s">
        <v>1168</v>
      </c>
      <c r="K106" s="50" t="s">
        <v>3012</v>
      </c>
      <c r="L106" s="50" t="s">
        <v>3013</v>
      </c>
      <c r="M106" s="50">
        <v>22.5534937</v>
      </c>
      <c r="N106" s="50">
        <v>88.3971554</v>
      </c>
      <c r="O106" s="50">
        <v>-42.9000015258789</v>
      </c>
      <c r="P106" s="50">
        <v>5.0</v>
      </c>
      <c r="Q106" s="50">
        <v>1.0</v>
      </c>
      <c r="R106" s="50">
        <v>1.0</v>
      </c>
      <c r="S106" s="116"/>
      <c r="T106" s="116"/>
      <c r="U106" s="116"/>
      <c r="V106" s="116"/>
      <c r="W106" s="116"/>
      <c r="X106" s="116"/>
      <c r="Y106" s="116"/>
      <c r="Z106" s="116"/>
      <c r="AA106" s="116"/>
      <c r="AB106" s="116"/>
      <c r="AC106" s="116"/>
      <c r="AD106" s="116"/>
      <c r="AE106" s="116"/>
      <c r="AF106" s="116"/>
      <c r="AG106" s="116"/>
      <c r="AH106" s="116"/>
      <c r="AI106" s="116"/>
      <c r="AJ106" s="116"/>
      <c r="AK106" s="116"/>
      <c r="AL106" s="116"/>
      <c r="AM106" s="116"/>
      <c r="AN106" s="116"/>
      <c r="AO106" s="50">
        <v>4.0</v>
      </c>
      <c r="AP106" s="116"/>
      <c r="AQ106" s="50">
        <v>0.0</v>
      </c>
      <c r="AR106" s="116"/>
      <c r="AS106" s="116"/>
      <c r="AT106" s="116"/>
      <c r="AU106" s="116"/>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50" t="s">
        <v>3014</v>
      </c>
      <c r="CD106" s="50" t="s">
        <v>2472</v>
      </c>
      <c r="CE106" s="50">
        <v>1.0</v>
      </c>
      <c r="CF106" s="50" t="s">
        <v>2869</v>
      </c>
      <c r="CG106" s="117">
        <v>4038.0</v>
      </c>
      <c r="CH106" s="50" t="s">
        <v>3015</v>
      </c>
      <c r="CI106" s="50" t="s">
        <v>3016</v>
      </c>
      <c r="CJ106" s="117">
        <v>105.0</v>
      </c>
    </row>
    <row r="107">
      <c r="A107" s="50" t="s">
        <v>3017</v>
      </c>
      <c r="B107" s="50" t="s">
        <v>3018</v>
      </c>
      <c r="C107" s="116"/>
      <c r="D107" s="116"/>
      <c r="E107" s="50">
        <v>3.5215509147374E14</v>
      </c>
      <c r="F107" s="50">
        <v>58.0</v>
      </c>
      <c r="G107" s="50">
        <v>1.0</v>
      </c>
      <c r="H107" s="50">
        <v>99.0</v>
      </c>
      <c r="I107" s="50" t="s">
        <v>1169</v>
      </c>
      <c r="J107" s="50" t="s">
        <v>1169</v>
      </c>
      <c r="K107" s="50" t="s">
        <v>3019</v>
      </c>
      <c r="L107" s="50" t="s">
        <v>3020</v>
      </c>
      <c r="M107" s="50">
        <v>22.5535824</v>
      </c>
      <c r="N107" s="50">
        <v>88.3972149</v>
      </c>
      <c r="O107" s="50">
        <v>-37.2000007629394</v>
      </c>
      <c r="P107" s="50">
        <v>4.0</v>
      </c>
      <c r="Q107" s="50">
        <v>1.0</v>
      </c>
      <c r="R107" s="50">
        <v>1.0</v>
      </c>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116"/>
      <c r="AS107" s="116"/>
      <c r="AT107" s="116"/>
      <c r="AU107" s="116"/>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50" t="s">
        <v>3021</v>
      </c>
      <c r="CD107" s="50" t="s">
        <v>3022</v>
      </c>
      <c r="CE107" s="116"/>
      <c r="CF107" s="50" t="s">
        <v>2869</v>
      </c>
      <c r="CG107" s="117">
        <v>4039.0</v>
      </c>
      <c r="CH107" s="50" t="s">
        <v>3024</v>
      </c>
      <c r="CI107" s="50" t="s">
        <v>3025</v>
      </c>
      <c r="CJ107" s="117">
        <v>106.0</v>
      </c>
    </row>
    <row r="108">
      <c r="A108" s="50" t="s">
        <v>3026</v>
      </c>
      <c r="B108" s="50" t="s">
        <v>3027</v>
      </c>
      <c r="C108" s="116"/>
      <c r="D108" s="116"/>
      <c r="E108" s="50">
        <v>3.5215509147374E14</v>
      </c>
      <c r="F108" s="50">
        <v>58.0</v>
      </c>
      <c r="G108" s="50">
        <v>1.0</v>
      </c>
      <c r="H108" s="50">
        <v>8.0</v>
      </c>
      <c r="I108" s="50" t="s">
        <v>1172</v>
      </c>
      <c r="J108" s="50" t="s">
        <v>1172</v>
      </c>
      <c r="K108" s="50" t="s">
        <v>3028</v>
      </c>
      <c r="L108" s="50" t="s">
        <v>3029</v>
      </c>
      <c r="M108" s="50">
        <v>22.5536743</v>
      </c>
      <c r="N108" s="50">
        <v>88.3978805</v>
      </c>
      <c r="O108" s="50">
        <v>-30.5</v>
      </c>
      <c r="P108" s="50">
        <v>4.5</v>
      </c>
      <c r="Q108" s="50">
        <v>1.0</v>
      </c>
      <c r="R108" s="50">
        <v>1.0</v>
      </c>
      <c r="S108" s="116"/>
      <c r="T108" s="116"/>
      <c r="U108" s="116"/>
      <c r="V108" s="50">
        <v>2.0</v>
      </c>
      <c r="W108" s="50">
        <v>3.0</v>
      </c>
      <c r="X108" s="116"/>
      <c r="Y108" s="50">
        <v>7.0</v>
      </c>
      <c r="Z108" s="116"/>
      <c r="AA108" s="116"/>
      <c r="AB108" s="116"/>
      <c r="AC108" s="116"/>
      <c r="AD108" s="116"/>
      <c r="AE108" s="116"/>
      <c r="AF108" s="116"/>
      <c r="AG108" s="116"/>
      <c r="AH108" s="116"/>
      <c r="AI108" s="116"/>
      <c r="AJ108" s="116"/>
      <c r="AK108" s="116"/>
      <c r="AL108" s="116"/>
      <c r="AM108" s="116"/>
      <c r="AN108" s="116"/>
      <c r="AO108" s="116"/>
      <c r="AP108" s="116"/>
      <c r="AQ108" s="116"/>
      <c r="AR108" s="116"/>
      <c r="AS108" s="116"/>
      <c r="AT108" s="116"/>
      <c r="AU108" s="116"/>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50" t="s">
        <v>3030</v>
      </c>
      <c r="CD108" s="50" t="s">
        <v>2908</v>
      </c>
      <c r="CE108" s="50">
        <v>1.0</v>
      </c>
      <c r="CF108" s="50" t="s">
        <v>2869</v>
      </c>
      <c r="CG108" s="117">
        <v>4040.0</v>
      </c>
      <c r="CH108" s="50" t="s">
        <v>3031</v>
      </c>
      <c r="CI108" s="50" t="s">
        <v>3032</v>
      </c>
      <c r="CJ108" s="117">
        <v>107.0</v>
      </c>
    </row>
    <row r="109">
      <c r="A109" s="50" t="s">
        <v>3033</v>
      </c>
      <c r="B109" s="50" t="s">
        <v>3034</v>
      </c>
      <c r="C109" s="116"/>
      <c r="D109" s="116"/>
      <c r="E109" s="50">
        <v>3.5215509147374E14</v>
      </c>
      <c r="F109" s="50">
        <v>58.0</v>
      </c>
      <c r="G109" s="50">
        <v>1.0</v>
      </c>
      <c r="H109" s="50">
        <v>99.0</v>
      </c>
      <c r="I109" s="50" t="s">
        <v>1174</v>
      </c>
      <c r="J109" s="50" t="s">
        <v>1174</v>
      </c>
      <c r="K109" s="50" t="s">
        <v>3035</v>
      </c>
      <c r="L109" s="50" t="s">
        <v>3036</v>
      </c>
      <c r="M109" s="50">
        <v>22.5536826</v>
      </c>
      <c r="N109" s="50">
        <v>88.397903</v>
      </c>
      <c r="O109" s="50">
        <v>-38.4000015258789</v>
      </c>
      <c r="P109" s="50">
        <v>5.0</v>
      </c>
      <c r="Q109" s="50">
        <v>1.0</v>
      </c>
      <c r="R109" s="50">
        <v>1.0</v>
      </c>
      <c r="S109" s="116"/>
      <c r="T109" s="116"/>
      <c r="U109" s="116"/>
      <c r="V109" s="116"/>
      <c r="W109" s="116"/>
      <c r="X109" s="116"/>
      <c r="Y109" s="116"/>
      <c r="Z109" s="116"/>
      <c r="AA109" s="116"/>
      <c r="AB109" s="116"/>
      <c r="AC109" s="116"/>
      <c r="AD109" s="116"/>
      <c r="AE109" s="116"/>
      <c r="AF109" s="116"/>
      <c r="AG109" s="116"/>
      <c r="AH109" s="116"/>
      <c r="AI109" s="116"/>
      <c r="AJ109" s="116"/>
      <c r="AK109" s="116"/>
      <c r="AL109" s="116"/>
      <c r="AM109" s="116"/>
      <c r="AN109" s="116"/>
      <c r="AO109" s="116"/>
      <c r="AP109" s="116"/>
      <c r="AQ109" s="116"/>
      <c r="AR109" s="116"/>
      <c r="AS109" s="116"/>
      <c r="AT109" s="116"/>
      <c r="AU109" s="116"/>
      <c r="AV109" s="116"/>
      <c r="AW109" s="116"/>
      <c r="AX109" s="116"/>
      <c r="AY109" s="116"/>
      <c r="AZ109" s="116"/>
      <c r="BA109" s="116"/>
      <c r="BB109" s="116"/>
      <c r="BC109" s="116"/>
      <c r="BD109" s="116"/>
      <c r="BE109" s="116"/>
      <c r="BF109" s="116"/>
      <c r="BG109" s="116"/>
      <c r="BH109" s="116"/>
      <c r="BI109" s="116"/>
      <c r="BJ109" s="116"/>
      <c r="BK109" s="116"/>
      <c r="BL109" s="116"/>
      <c r="BM109" s="116"/>
      <c r="BN109" s="116"/>
      <c r="BO109" s="116"/>
      <c r="BP109" s="116"/>
      <c r="BQ109" s="116"/>
      <c r="BR109" s="116"/>
      <c r="BS109" s="116"/>
      <c r="BT109" s="116"/>
      <c r="BU109" s="116"/>
      <c r="BV109" s="116"/>
      <c r="BW109" s="116"/>
      <c r="BX109" s="116"/>
      <c r="BY109" s="116"/>
      <c r="BZ109" s="116"/>
      <c r="CA109" s="116"/>
      <c r="CB109" s="116"/>
      <c r="CC109" s="50" t="s">
        <v>3038</v>
      </c>
      <c r="CD109" s="50" t="s">
        <v>3039</v>
      </c>
      <c r="CE109" s="116"/>
      <c r="CF109" s="50" t="s">
        <v>2869</v>
      </c>
      <c r="CG109" s="117">
        <v>4041.0</v>
      </c>
      <c r="CH109" s="50" t="s">
        <v>3040</v>
      </c>
      <c r="CI109" s="50" t="s">
        <v>3041</v>
      </c>
      <c r="CJ109" s="117">
        <v>108.0</v>
      </c>
    </row>
    <row r="110">
      <c r="A110" s="50" t="s">
        <v>3042</v>
      </c>
      <c r="B110" s="50" t="s">
        <v>3043</v>
      </c>
      <c r="C110" s="116"/>
      <c r="D110" s="116"/>
      <c r="E110" s="50">
        <v>3.5215509147374E14</v>
      </c>
      <c r="F110" s="50">
        <v>58.0</v>
      </c>
      <c r="G110" s="50">
        <v>1.0</v>
      </c>
      <c r="H110" s="50">
        <v>5.0</v>
      </c>
      <c r="I110" s="50" t="s">
        <v>1177</v>
      </c>
      <c r="J110" s="50" t="s">
        <v>1177</v>
      </c>
      <c r="K110" s="50" t="s">
        <v>3044</v>
      </c>
      <c r="L110" s="50" t="s">
        <v>3045</v>
      </c>
      <c r="M110" s="50">
        <v>22.5535421</v>
      </c>
      <c r="N110" s="50">
        <v>88.4004459</v>
      </c>
      <c r="O110" s="50">
        <v>-48.099998474121</v>
      </c>
      <c r="P110" s="50">
        <v>5.0</v>
      </c>
      <c r="Q110" s="50">
        <v>1.0</v>
      </c>
      <c r="R110" s="50">
        <v>1.0</v>
      </c>
      <c r="S110" s="116"/>
      <c r="T110" s="116"/>
      <c r="U110" s="116"/>
      <c r="V110" s="116"/>
      <c r="W110" s="116"/>
      <c r="X110" s="116"/>
      <c r="Y110" s="116"/>
      <c r="Z110" s="116"/>
      <c r="AA110" s="116"/>
      <c r="AB110" s="116"/>
      <c r="AC110" s="116"/>
      <c r="AD110" s="116"/>
      <c r="AE110" s="116"/>
      <c r="AF110" s="116"/>
      <c r="AG110" s="116"/>
      <c r="AH110" s="116"/>
      <c r="AI110" s="116"/>
      <c r="AJ110" s="116"/>
      <c r="AK110" s="116"/>
      <c r="AL110" s="116"/>
      <c r="AM110" s="116"/>
      <c r="AN110" s="116"/>
      <c r="AO110" s="116"/>
      <c r="AP110" s="116"/>
      <c r="AQ110" s="116"/>
      <c r="AR110" s="116"/>
      <c r="AS110" s="116"/>
      <c r="AT110" s="116"/>
      <c r="AU110" s="116"/>
      <c r="AV110" s="116"/>
      <c r="AW110" s="116"/>
      <c r="AX110" s="116"/>
      <c r="AY110" s="116"/>
      <c r="AZ110" s="116"/>
      <c r="BA110" s="116"/>
      <c r="BB110" s="116"/>
      <c r="BC110" s="116"/>
      <c r="BD110" s="50">
        <v>88.0</v>
      </c>
      <c r="BE110" s="50" t="s">
        <v>2583</v>
      </c>
      <c r="BF110" s="116"/>
      <c r="BG110" s="116"/>
      <c r="BH110" s="116"/>
      <c r="BI110" s="116"/>
      <c r="BJ110" s="116"/>
      <c r="BK110" s="116"/>
      <c r="BL110" s="116"/>
      <c r="BM110" s="116"/>
      <c r="BN110" s="116"/>
      <c r="BO110" s="116"/>
      <c r="BP110" s="116"/>
      <c r="BQ110" s="116"/>
      <c r="BR110" s="116"/>
      <c r="BS110" s="116"/>
      <c r="BT110" s="116"/>
      <c r="BU110" s="116"/>
      <c r="BV110" s="116"/>
      <c r="BW110" s="116"/>
      <c r="BX110" s="116"/>
      <c r="BY110" s="116"/>
      <c r="BZ110" s="116"/>
      <c r="CA110" s="116"/>
      <c r="CB110" s="116"/>
      <c r="CC110" s="50" t="s">
        <v>3046</v>
      </c>
      <c r="CD110" s="50" t="s">
        <v>2826</v>
      </c>
      <c r="CE110" s="50">
        <v>0.0</v>
      </c>
      <c r="CF110" s="50" t="s">
        <v>2869</v>
      </c>
      <c r="CG110" s="117">
        <v>4042.0</v>
      </c>
      <c r="CH110" s="50" t="s">
        <v>3047</v>
      </c>
      <c r="CI110" s="50" t="s">
        <v>3048</v>
      </c>
      <c r="CJ110" s="117">
        <v>109.0</v>
      </c>
    </row>
    <row r="111">
      <c r="A111" s="50" t="s">
        <v>3049</v>
      </c>
      <c r="B111" s="50" t="s">
        <v>3051</v>
      </c>
      <c r="C111" s="116"/>
      <c r="D111" s="116"/>
      <c r="E111" s="50">
        <v>3.5215509147374E14</v>
      </c>
      <c r="F111" s="50">
        <v>58.0</v>
      </c>
      <c r="G111" s="50">
        <v>1.0</v>
      </c>
      <c r="H111" s="50">
        <v>99.0</v>
      </c>
      <c r="I111" s="50" t="s">
        <v>1178</v>
      </c>
      <c r="J111" s="50" t="s">
        <v>1178</v>
      </c>
      <c r="K111" s="50" t="s">
        <v>3052</v>
      </c>
      <c r="L111" s="50" t="s">
        <v>3053</v>
      </c>
      <c r="M111" s="50">
        <v>22.5535234</v>
      </c>
      <c r="N111" s="50">
        <v>88.4004351</v>
      </c>
      <c r="O111" s="50">
        <v>-40.099998474121</v>
      </c>
      <c r="P111" s="50">
        <v>5.0</v>
      </c>
      <c r="Q111" s="50">
        <v>1.0</v>
      </c>
      <c r="R111" s="50">
        <v>1.0</v>
      </c>
      <c r="S111" s="116"/>
      <c r="T111" s="116"/>
      <c r="U111" s="116"/>
      <c r="V111" s="116"/>
      <c r="W111" s="116"/>
      <c r="X111" s="116"/>
      <c r="Y111" s="116"/>
      <c r="Z111" s="116"/>
      <c r="AA111" s="116"/>
      <c r="AB111" s="116"/>
      <c r="AC111" s="116"/>
      <c r="AD111" s="116"/>
      <c r="AE111" s="116"/>
      <c r="AF111" s="116"/>
      <c r="AG111" s="116"/>
      <c r="AH111" s="116"/>
      <c r="AI111" s="116"/>
      <c r="AJ111" s="116"/>
      <c r="AK111" s="116"/>
      <c r="AL111" s="116"/>
      <c r="AM111" s="116"/>
      <c r="AN111" s="116"/>
      <c r="AO111" s="116"/>
      <c r="AP111" s="116"/>
      <c r="AQ111" s="116"/>
      <c r="AR111" s="116"/>
      <c r="AS111" s="116"/>
      <c r="AT111" s="116"/>
      <c r="AU111" s="116"/>
      <c r="AV111" s="116"/>
      <c r="AW111" s="116"/>
      <c r="AX111" s="116"/>
      <c r="AY111" s="116"/>
      <c r="AZ111" s="116"/>
      <c r="BA111" s="116"/>
      <c r="BB111" s="116"/>
      <c r="BC111" s="116"/>
      <c r="BD111" s="116"/>
      <c r="BE111" s="116"/>
      <c r="BF111" s="116"/>
      <c r="BG111" s="116"/>
      <c r="BH111" s="116"/>
      <c r="BI111" s="116"/>
      <c r="BJ111" s="116"/>
      <c r="BK111" s="116"/>
      <c r="BL111" s="116"/>
      <c r="BM111" s="116"/>
      <c r="BN111" s="116"/>
      <c r="BO111" s="116"/>
      <c r="BP111" s="116"/>
      <c r="BQ111" s="116"/>
      <c r="BR111" s="116"/>
      <c r="BS111" s="116"/>
      <c r="BT111" s="116"/>
      <c r="BU111" s="116"/>
      <c r="BV111" s="116"/>
      <c r="BW111" s="116"/>
      <c r="BX111" s="116"/>
      <c r="BY111" s="116"/>
      <c r="BZ111" s="116"/>
      <c r="CA111" s="116"/>
      <c r="CB111" s="116"/>
      <c r="CC111" s="50" t="s">
        <v>3054</v>
      </c>
      <c r="CD111" s="50" t="s">
        <v>2494</v>
      </c>
      <c r="CE111" s="116"/>
      <c r="CF111" s="50" t="s">
        <v>2869</v>
      </c>
      <c r="CG111" s="117">
        <v>4043.0</v>
      </c>
      <c r="CH111" s="50" t="s">
        <v>3055</v>
      </c>
      <c r="CI111" s="50" t="s">
        <v>3056</v>
      </c>
      <c r="CJ111" s="117">
        <v>110.0</v>
      </c>
    </row>
    <row r="112">
      <c r="A112" s="50" t="s">
        <v>3057</v>
      </c>
      <c r="B112" s="50" t="s">
        <v>3058</v>
      </c>
      <c r="C112" s="116"/>
      <c r="D112" s="116"/>
      <c r="E112" s="50">
        <v>3.5215509147374E14</v>
      </c>
      <c r="F112" s="50">
        <v>58.0</v>
      </c>
      <c r="G112" s="50">
        <v>1.0</v>
      </c>
      <c r="H112" s="50">
        <v>7.0</v>
      </c>
      <c r="I112" s="50" t="s">
        <v>1181</v>
      </c>
      <c r="J112" s="50" t="s">
        <v>1181</v>
      </c>
      <c r="K112" s="50" t="s">
        <v>3059</v>
      </c>
      <c r="L112" s="50" t="s">
        <v>3060</v>
      </c>
      <c r="M112" s="50">
        <v>22.5521835</v>
      </c>
      <c r="N112" s="50">
        <v>88.3998579</v>
      </c>
      <c r="O112" s="50">
        <v>-55.599998474121</v>
      </c>
      <c r="P112" s="50">
        <v>5.0</v>
      </c>
      <c r="Q112" s="50">
        <v>1.0</v>
      </c>
      <c r="R112" s="50">
        <v>1.0</v>
      </c>
      <c r="S112" s="116"/>
      <c r="T112" s="116"/>
      <c r="U112" s="116"/>
      <c r="V112" s="116"/>
      <c r="W112" s="116"/>
      <c r="X112" s="116"/>
      <c r="Y112" s="116"/>
      <c r="Z112" s="116"/>
      <c r="AA112" s="116"/>
      <c r="AB112" s="116"/>
      <c r="AC112" s="116"/>
      <c r="AD112" s="116"/>
      <c r="AE112" s="116"/>
      <c r="AF112" s="116"/>
      <c r="AG112" s="116"/>
      <c r="AH112" s="116"/>
      <c r="AI112" s="116"/>
      <c r="AJ112" s="116"/>
      <c r="AK112" s="116"/>
      <c r="AL112" s="116"/>
      <c r="AM112" s="116"/>
      <c r="AN112" s="116"/>
      <c r="AO112" s="116"/>
      <c r="AP112" s="116"/>
      <c r="AQ112" s="116"/>
      <c r="AR112" s="116"/>
      <c r="AS112" s="116"/>
      <c r="AT112" s="116"/>
      <c r="AU112" s="116"/>
      <c r="AV112" s="116"/>
      <c r="AW112" s="50">
        <v>2.0</v>
      </c>
      <c r="AX112" s="116"/>
      <c r="AY112" s="50">
        <v>10.0</v>
      </c>
      <c r="AZ112" s="50">
        <v>0.0</v>
      </c>
      <c r="BA112" s="50">
        <v>55.0</v>
      </c>
      <c r="BB112" s="50">
        <v>0.0</v>
      </c>
      <c r="BC112" s="116"/>
      <c r="BD112" s="116"/>
      <c r="BE112" s="116"/>
      <c r="BF112" s="116"/>
      <c r="BG112" s="116"/>
      <c r="BH112" s="116"/>
      <c r="BI112" s="116"/>
      <c r="BJ112" s="116"/>
      <c r="BK112" s="116"/>
      <c r="BL112" s="116"/>
      <c r="BM112" s="116"/>
      <c r="BN112" s="116"/>
      <c r="BO112" s="116"/>
      <c r="BP112" s="116"/>
      <c r="BQ112" s="116"/>
      <c r="BR112" s="116"/>
      <c r="BS112" s="116"/>
      <c r="BT112" s="116"/>
      <c r="BU112" s="116"/>
      <c r="BV112" s="116"/>
      <c r="BW112" s="116"/>
      <c r="BX112" s="116"/>
      <c r="BY112" s="116"/>
      <c r="BZ112" s="116"/>
      <c r="CA112" s="116"/>
      <c r="CB112" s="116"/>
      <c r="CC112" s="50" t="s">
        <v>3061</v>
      </c>
      <c r="CD112" s="50" t="s">
        <v>2327</v>
      </c>
      <c r="CE112" s="50">
        <v>1.0</v>
      </c>
      <c r="CF112" s="50" t="s">
        <v>2869</v>
      </c>
      <c r="CG112" s="117">
        <v>4044.0</v>
      </c>
      <c r="CH112" s="50" t="s">
        <v>3062</v>
      </c>
      <c r="CI112" s="50" t="s">
        <v>3063</v>
      </c>
      <c r="CJ112" s="117">
        <v>111.0</v>
      </c>
    </row>
    <row r="113">
      <c r="A113" s="50" t="s">
        <v>3064</v>
      </c>
      <c r="B113" s="50" t="s">
        <v>3065</v>
      </c>
      <c r="C113" s="116"/>
      <c r="D113" s="116"/>
      <c r="E113" s="50">
        <v>3.5215509147374E14</v>
      </c>
      <c r="F113" s="50">
        <v>58.0</v>
      </c>
      <c r="G113" s="50">
        <v>1.0</v>
      </c>
      <c r="H113" s="50">
        <v>99.0</v>
      </c>
      <c r="I113" s="50" t="s">
        <v>1186</v>
      </c>
      <c r="J113" s="50" t="s">
        <v>1186</v>
      </c>
      <c r="K113" s="50" t="s">
        <v>3066</v>
      </c>
      <c r="L113" s="50" t="s">
        <v>3067</v>
      </c>
      <c r="M113" s="50">
        <v>22.5521769</v>
      </c>
      <c r="N113" s="50">
        <v>88.3999028</v>
      </c>
      <c r="O113" s="50">
        <v>-56.4000015258789</v>
      </c>
      <c r="P113" s="50">
        <v>5.0</v>
      </c>
      <c r="Q113" s="50">
        <v>1.0</v>
      </c>
      <c r="R113" s="50">
        <v>1.0</v>
      </c>
      <c r="S113" s="116"/>
      <c r="T113" s="116"/>
      <c r="U113" s="116"/>
      <c r="V113" s="116"/>
      <c r="W113" s="116"/>
      <c r="X113" s="116"/>
      <c r="Y113" s="116"/>
      <c r="Z113" s="116"/>
      <c r="AA113" s="116"/>
      <c r="AB113" s="116"/>
      <c r="AC113" s="116"/>
      <c r="AD113" s="116"/>
      <c r="AE113" s="116"/>
      <c r="AF113" s="116"/>
      <c r="AG113" s="116"/>
      <c r="AH113" s="116"/>
      <c r="AI113" s="116"/>
      <c r="AJ113" s="116"/>
      <c r="AK113" s="116"/>
      <c r="AL113" s="116"/>
      <c r="AM113" s="116"/>
      <c r="AN113" s="116"/>
      <c r="AO113" s="116"/>
      <c r="AP113" s="116"/>
      <c r="AQ113" s="116"/>
      <c r="AR113" s="116"/>
      <c r="AS113" s="116"/>
      <c r="AT113" s="116"/>
      <c r="AU113" s="116"/>
      <c r="AV113" s="116"/>
      <c r="AW113" s="116"/>
      <c r="AX113" s="116"/>
      <c r="AY113" s="116"/>
      <c r="AZ113" s="116"/>
      <c r="BA113" s="116"/>
      <c r="BB113" s="116"/>
      <c r="BC113" s="116"/>
      <c r="BD113" s="116"/>
      <c r="BE113" s="116"/>
      <c r="BF113" s="116"/>
      <c r="BG113" s="116"/>
      <c r="BH113" s="116"/>
      <c r="BI113" s="116"/>
      <c r="BJ113" s="116"/>
      <c r="BK113" s="116"/>
      <c r="BL113" s="116"/>
      <c r="BM113" s="116"/>
      <c r="BN113" s="116"/>
      <c r="BO113" s="116"/>
      <c r="BP113" s="116"/>
      <c r="BQ113" s="116"/>
      <c r="BR113" s="116"/>
      <c r="BS113" s="116"/>
      <c r="BT113" s="116"/>
      <c r="BU113" s="116"/>
      <c r="BV113" s="116"/>
      <c r="BW113" s="116"/>
      <c r="BX113" s="116"/>
      <c r="BY113" s="116"/>
      <c r="BZ113" s="116"/>
      <c r="CA113" s="116"/>
      <c r="CB113" s="116"/>
      <c r="CC113" s="50" t="s">
        <v>3069</v>
      </c>
      <c r="CD113" s="50" t="s">
        <v>2826</v>
      </c>
      <c r="CE113" s="116"/>
      <c r="CF113" s="50" t="s">
        <v>2869</v>
      </c>
      <c r="CG113" s="117">
        <v>4045.0</v>
      </c>
      <c r="CH113" s="50" t="s">
        <v>3070</v>
      </c>
      <c r="CI113" s="50" t="s">
        <v>3071</v>
      </c>
      <c r="CJ113" s="117">
        <v>112.0</v>
      </c>
    </row>
    <row r="114">
      <c r="A114" s="50" t="s">
        <v>3072</v>
      </c>
      <c r="B114" s="50" t="s">
        <v>3073</v>
      </c>
      <c r="C114" s="116"/>
      <c r="D114" s="116"/>
      <c r="E114" s="50">
        <v>3.5215509147374E14</v>
      </c>
      <c r="F114" s="50">
        <v>58.0</v>
      </c>
      <c r="G114" s="50">
        <v>1.0</v>
      </c>
      <c r="H114" s="50">
        <v>7.0</v>
      </c>
      <c r="I114" s="50" t="s">
        <v>1183</v>
      </c>
      <c r="J114" s="50" t="s">
        <v>1183</v>
      </c>
      <c r="K114" s="50" t="s">
        <v>3074</v>
      </c>
      <c r="L114" s="50" t="s">
        <v>3075</v>
      </c>
      <c r="M114" s="50">
        <v>22.5521755</v>
      </c>
      <c r="N114" s="50">
        <v>88.3999297</v>
      </c>
      <c r="O114" s="50">
        <v>-56.0</v>
      </c>
      <c r="P114" s="50">
        <v>5.0</v>
      </c>
      <c r="Q114" s="50">
        <v>1.0</v>
      </c>
      <c r="R114" s="50">
        <v>1.0</v>
      </c>
      <c r="S114" s="116"/>
      <c r="T114" s="116"/>
      <c r="U114" s="116"/>
      <c r="V114" s="116"/>
      <c r="W114" s="116"/>
      <c r="X114" s="116"/>
      <c r="Y114" s="116"/>
      <c r="Z114" s="116"/>
      <c r="AA114" s="116"/>
      <c r="AB114" s="116"/>
      <c r="AC114" s="116"/>
      <c r="AD114" s="116"/>
      <c r="AE114" s="116"/>
      <c r="AF114" s="116"/>
      <c r="AG114" s="116"/>
      <c r="AH114" s="116"/>
      <c r="AI114" s="116"/>
      <c r="AJ114" s="116"/>
      <c r="AK114" s="116"/>
      <c r="AL114" s="116"/>
      <c r="AM114" s="116"/>
      <c r="AN114" s="116"/>
      <c r="AO114" s="116"/>
      <c r="AP114" s="116"/>
      <c r="AQ114" s="116"/>
      <c r="AR114" s="116"/>
      <c r="AS114" s="116"/>
      <c r="AT114" s="116"/>
      <c r="AU114" s="116"/>
      <c r="AV114" s="116"/>
      <c r="AW114" s="50">
        <v>2.0</v>
      </c>
      <c r="AX114" s="116"/>
      <c r="AY114" s="50">
        <v>25.0</v>
      </c>
      <c r="AZ114" s="50">
        <v>0.0</v>
      </c>
      <c r="BA114" s="50">
        <v>40.0</v>
      </c>
      <c r="BB114" s="50">
        <v>0.0</v>
      </c>
      <c r="BC114" s="116"/>
      <c r="BD114" s="116"/>
      <c r="BE114" s="116"/>
      <c r="BF114" s="116"/>
      <c r="BG114" s="116"/>
      <c r="BH114" s="116"/>
      <c r="BI114" s="116"/>
      <c r="BJ114" s="116"/>
      <c r="BK114" s="116"/>
      <c r="BL114" s="116"/>
      <c r="BM114" s="116"/>
      <c r="BN114" s="116"/>
      <c r="BO114" s="116"/>
      <c r="BP114" s="116"/>
      <c r="BQ114" s="116"/>
      <c r="BR114" s="116"/>
      <c r="BS114" s="116"/>
      <c r="BT114" s="116"/>
      <c r="BU114" s="116"/>
      <c r="BV114" s="116"/>
      <c r="BW114" s="116"/>
      <c r="BX114" s="116"/>
      <c r="BY114" s="116"/>
      <c r="BZ114" s="116"/>
      <c r="CA114" s="116"/>
      <c r="CB114" s="116"/>
      <c r="CC114" s="50" t="s">
        <v>3076</v>
      </c>
      <c r="CD114" s="50" t="s">
        <v>3077</v>
      </c>
      <c r="CE114" s="50">
        <v>1.0</v>
      </c>
      <c r="CF114" s="50" t="s">
        <v>2869</v>
      </c>
      <c r="CG114" s="117">
        <v>4046.0</v>
      </c>
      <c r="CH114" s="50" t="s">
        <v>3078</v>
      </c>
      <c r="CI114" s="50" t="s">
        <v>3079</v>
      </c>
      <c r="CJ114" s="117">
        <v>113.0</v>
      </c>
    </row>
    <row r="115">
      <c r="A115" s="50" t="s">
        <v>3080</v>
      </c>
      <c r="B115" s="50" t="s">
        <v>3081</v>
      </c>
      <c r="C115" s="116"/>
      <c r="D115" s="116"/>
      <c r="E115" s="50">
        <v>3.5215509147374E14</v>
      </c>
      <c r="F115" s="50">
        <v>58.0</v>
      </c>
      <c r="G115" s="50">
        <v>1.0</v>
      </c>
      <c r="H115" s="50">
        <v>7.0</v>
      </c>
      <c r="I115" s="50" t="s">
        <v>1184</v>
      </c>
      <c r="J115" s="50" t="s">
        <v>1184</v>
      </c>
      <c r="K115" s="50" t="s">
        <v>3082</v>
      </c>
      <c r="L115" s="50" t="s">
        <v>3083</v>
      </c>
      <c r="M115" s="50">
        <v>22.5523901</v>
      </c>
      <c r="N115" s="50">
        <v>88.3999566</v>
      </c>
      <c r="O115" s="50">
        <v>-43.0</v>
      </c>
      <c r="P115" s="50">
        <v>5.0</v>
      </c>
      <c r="Q115" s="50">
        <v>1.0</v>
      </c>
      <c r="R115" s="50">
        <v>1.0</v>
      </c>
      <c r="S115" s="116"/>
      <c r="T115" s="116"/>
      <c r="U115" s="116"/>
      <c r="V115" s="116"/>
      <c r="W115" s="116"/>
      <c r="X115" s="116"/>
      <c r="Y115" s="116"/>
      <c r="Z115" s="116"/>
      <c r="AA115" s="116"/>
      <c r="AB115" s="116"/>
      <c r="AC115" s="116"/>
      <c r="AD115" s="116"/>
      <c r="AE115" s="116"/>
      <c r="AF115" s="116"/>
      <c r="AG115" s="116"/>
      <c r="AH115" s="116"/>
      <c r="AI115" s="116"/>
      <c r="AJ115" s="116"/>
      <c r="AK115" s="116"/>
      <c r="AL115" s="116"/>
      <c r="AM115" s="116"/>
      <c r="AN115" s="116"/>
      <c r="AO115" s="116"/>
      <c r="AP115" s="116"/>
      <c r="AQ115" s="116"/>
      <c r="AR115" s="116"/>
      <c r="AS115" s="116"/>
      <c r="AT115" s="116"/>
      <c r="AU115" s="116"/>
      <c r="AV115" s="116"/>
      <c r="AW115" s="50">
        <v>2.0</v>
      </c>
      <c r="AX115" s="116"/>
      <c r="AY115" s="50">
        <v>25.0</v>
      </c>
      <c r="AZ115" s="50">
        <v>0.0</v>
      </c>
      <c r="BA115" s="50">
        <v>10.0</v>
      </c>
      <c r="BB115" s="50">
        <v>0.0</v>
      </c>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50" t="s">
        <v>3084</v>
      </c>
      <c r="CD115" s="50" t="s">
        <v>3085</v>
      </c>
      <c r="CE115" s="50">
        <v>1.0</v>
      </c>
      <c r="CF115" s="50" t="s">
        <v>2869</v>
      </c>
      <c r="CG115" s="117">
        <v>4047.0</v>
      </c>
      <c r="CH115" s="50" t="s">
        <v>3086</v>
      </c>
      <c r="CI115" s="50" t="s">
        <v>3087</v>
      </c>
      <c r="CJ115" s="117">
        <v>114.0</v>
      </c>
    </row>
    <row r="116">
      <c r="A116" s="50" t="s">
        <v>3088</v>
      </c>
      <c r="B116" s="50" t="s">
        <v>3089</v>
      </c>
      <c r="C116" s="116"/>
      <c r="D116" s="116"/>
      <c r="E116" s="50">
        <v>3.5215509147374E14</v>
      </c>
      <c r="F116" s="50">
        <v>58.0</v>
      </c>
      <c r="G116" s="50">
        <v>1.0</v>
      </c>
      <c r="H116" s="50">
        <v>10.0</v>
      </c>
      <c r="I116" s="50" t="s">
        <v>1225</v>
      </c>
      <c r="J116" s="50" t="s">
        <v>1225</v>
      </c>
      <c r="K116" s="50" t="s">
        <v>3090</v>
      </c>
      <c r="L116" s="50" t="s">
        <v>3091</v>
      </c>
      <c r="M116" s="50">
        <v>22.5535553</v>
      </c>
      <c r="N116" s="50">
        <v>88.3981236</v>
      </c>
      <c r="O116" s="50">
        <v>-39.2000007629394</v>
      </c>
      <c r="P116" s="50">
        <v>5.0</v>
      </c>
      <c r="Q116" s="50">
        <v>2.0</v>
      </c>
      <c r="R116" s="50">
        <v>1.0</v>
      </c>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50">
        <v>1.0</v>
      </c>
      <c r="BW116" s="116"/>
      <c r="BX116" s="116"/>
      <c r="BY116" s="116"/>
      <c r="BZ116" s="116"/>
      <c r="CA116" s="116"/>
      <c r="CB116" s="116"/>
      <c r="CC116" s="50" t="s">
        <v>3092</v>
      </c>
      <c r="CD116" s="50" t="s">
        <v>2278</v>
      </c>
      <c r="CE116" s="50">
        <v>0.0</v>
      </c>
      <c r="CF116" s="50" t="s">
        <v>2869</v>
      </c>
      <c r="CG116" s="117">
        <v>4060.0</v>
      </c>
      <c r="CH116" s="50" t="s">
        <v>3093</v>
      </c>
      <c r="CI116" s="50" t="s">
        <v>3094</v>
      </c>
      <c r="CJ116" s="117">
        <v>115.0</v>
      </c>
    </row>
    <row r="117">
      <c r="A117" s="50" t="s">
        <v>3095</v>
      </c>
      <c r="B117" s="50" t="s">
        <v>3096</v>
      </c>
      <c r="C117" s="116"/>
      <c r="D117" s="116"/>
      <c r="E117" s="50">
        <v>3.5215509147374E14</v>
      </c>
      <c r="F117" s="50">
        <v>58.0</v>
      </c>
      <c r="G117" s="50">
        <v>1.0</v>
      </c>
      <c r="H117" s="50">
        <v>99.0</v>
      </c>
      <c r="I117" s="50" t="s">
        <v>1217</v>
      </c>
      <c r="J117" s="50" t="s">
        <v>1217</v>
      </c>
      <c r="K117" s="50" t="s">
        <v>3097</v>
      </c>
      <c r="L117" s="50" t="s">
        <v>3098</v>
      </c>
      <c r="M117" s="50">
        <v>22.5536095</v>
      </c>
      <c r="N117" s="50">
        <v>88.3981091</v>
      </c>
      <c r="O117" s="50">
        <v>-43.2000007629394</v>
      </c>
      <c r="P117" s="50">
        <v>5.0</v>
      </c>
      <c r="Q117" s="50">
        <v>2.0</v>
      </c>
      <c r="R117" s="50">
        <v>1.0</v>
      </c>
      <c r="S117" s="116"/>
      <c r="T117" s="116"/>
      <c r="U117" s="116"/>
      <c r="V117" s="116"/>
      <c r="W117" s="116"/>
      <c r="X117" s="116"/>
      <c r="Y117" s="116"/>
      <c r="Z117" s="116"/>
      <c r="AA117" s="116"/>
      <c r="AB117" s="116"/>
      <c r="AC117" s="116"/>
      <c r="AD117" s="116"/>
      <c r="AE117" s="116"/>
      <c r="AF117" s="116"/>
      <c r="AG117" s="116"/>
      <c r="AH117" s="116"/>
      <c r="AI117" s="116"/>
      <c r="AJ117" s="116"/>
      <c r="AK117" s="116"/>
      <c r="AL117" s="116"/>
      <c r="AM117" s="116"/>
      <c r="AN117" s="116"/>
      <c r="AO117" s="116"/>
      <c r="AP117" s="116"/>
      <c r="AQ117" s="116"/>
      <c r="AR117" s="116"/>
      <c r="AS117" s="116"/>
      <c r="AT117" s="116"/>
      <c r="AU117" s="116"/>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50" t="s">
        <v>3099</v>
      </c>
      <c r="CD117" s="50" t="s">
        <v>2286</v>
      </c>
      <c r="CE117" s="116"/>
      <c r="CF117" s="50" t="s">
        <v>2869</v>
      </c>
      <c r="CG117" s="117">
        <v>4061.0</v>
      </c>
      <c r="CH117" s="50" t="s">
        <v>3100</v>
      </c>
      <c r="CI117" s="50" t="s">
        <v>3101</v>
      </c>
      <c r="CJ117" s="117">
        <v>116.0</v>
      </c>
    </row>
    <row r="118">
      <c r="A118" s="50" t="s">
        <v>3102</v>
      </c>
      <c r="B118" s="50" t="s">
        <v>3103</v>
      </c>
      <c r="C118" s="116"/>
      <c r="D118" s="116"/>
      <c r="E118" s="50">
        <v>3.5215509147374E14</v>
      </c>
      <c r="F118" s="50">
        <v>58.0</v>
      </c>
      <c r="G118" s="50">
        <v>1.0</v>
      </c>
      <c r="H118" s="50">
        <v>2.0</v>
      </c>
      <c r="I118" s="50" t="s">
        <v>1219</v>
      </c>
      <c r="J118" s="50" t="s">
        <v>1219</v>
      </c>
      <c r="K118" s="50" t="s">
        <v>3104</v>
      </c>
      <c r="L118" s="50" t="s">
        <v>3105</v>
      </c>
      <c r="M118" s="50">
        <v>22.5535727</v>
      </c>
      <c r="N118" s="50">
        <v>88.3980008</v>
      </c>
      <c r="O118" s="50">
        <v>-60.5</v>
      </c>
      <c r="P118" s="50">
        <v>5.0</v>
      </c>
      <c r="Q118" s="50">
        <v>3.0</v>
      </c>
      <c r="R118" s="50">
        <v>1.0</v>
      </c>
      <c r="S118" s="116"/>
      <c r="T118" s="116"/>
      <c r="U118" s="116"/>
      <c r="V118" s="116"/>
      <c r="W118" s="116"/>
      <c r="X118" s="116"/>
      <c r="Y118" s="116"/>
      <c r="Z118" s="116"/>
      <c r="AA118" s="116"/>
      <c r="AB118" s="116"/>
      <c r="AC118" s="116"/>
      <c r="AD118" s="116"/>
      <c r="AE118" s="116"/>
      <c r="AF118" s="116"/>
      <c r="AG118" s="116"/>
      <c r="AH118" s="116"/>
      <c r="AI118" s="116"/>
      <c r="AJ118" s="50">
        <v>2.0</v>
      </c>
      <c r="AK118" s="116"/>
      <c r="AL118" s="116"/>
      <c r="AM118" s="50">
        <v>1.0</v>
      </c>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50" t="s">
        <v>3106</v>
      </c>
      <c r="CD118" s="50" t="s">
        <v>2327</v>
      </c>
      <c r="CE118" s="50">
        <v>0.0</v>
      </c>
      <c r="CF118" s="50" t="s">
        <v>2869</v>
      </c>
      <c r="CG118" s="117">
        <v>4062.0</v>
      </c>
      <c r="CH118" s="50" t="s">
        <v>3107</v>
      </c>
      <c r="CI118" s="50" t="s">
        <v>3108</v>
      </c>
      <c r="CJ118" s="117">
        <v>117.0</v>
      </c>
    </row>
    <row r="119">
      <c r="A119" s="50" t="s">
        <v>3109</v>
      </c>
      <c r="B119" s="50" t="s">
        <v>3110</v>
      </c>
      <c r="C119" s="116"/>
      <c r="D119" s="116"/>
      <c r="E119" s="50">
        <v>3.5215509147374E14</v>
      </c>
      <c r="F119" s="50">
        <v>58.0</v>
      </c>
      <c r="G119" s="50">
        <v>1.0</v>
      </c>
      <c r="H119" s="50">
        <v>2.0</v>
      </c>
      <c r="I119" s="50" t="s">
        <v>1221</v>
      </c>
      <c r="J119" s="50" t="s">
        <v>1221</v>
      </c>
      <c r="K119" s="50" t="s">
        <v>3111</v>
      </c>
      <c r="L119" s="50" t="s">
        <v>3112</v>
      </c>
      <c r="M119" s="50">
        <v>22.5536437</v>
      </c>
      <c r="N119" s="50">
        <v>88.3980013</v>
      </c>
      <c r="O119" s="50">
        <v>-37.2999992370605</v>
      </c>
      <c r="P119" s="50">
        <v>5.0</v>
      </c>
      <c r="Q119" s="50">
        <v>3.0</v>
      </c>
      <c r="R119" s="50">
        <v>1.0</v>
      </c>
      <c r="S119" s="116"/>
      <c r="T119" s="116"/>
      <c r="U119" s="116"/>
      <c r="V119" s="116"/>
      <c r="W119" s="116"/>
      <c r="X119" s="116"/>
      <c r="Y119" s="116"/>
      <c r="Z119" s="116"/>
      <c r="AA119" s="116"/>
      <c r="AB119" s="116"/>
      <c r="AC119" s="116"/>
      <c r="AD119" s="116"/>
      <c r="AE119" s="116"/>
      <c r="AF119" s="116"/>
      <c r="AG119" s="116"/>
      <c r="AH119" s="116"/>
      <c r="AI119" s="116"/>
      <c r="AJ119" s="50">
        <v>1.0</v>
      </c>
      <c r="AK119" s="116"/>
      <c r="AL119" s="116"/>
      <c r="AM119" s="50">
        <v>1.0</v>
      </c>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50" t="s">
        <v>3113</v>
      </c>
      <c r="CD119" s="50" t="s">
        <v>2302</v>
      </c>
      <c r="CE119" s="50">
        <v>1.0</v>
      </c>
      <c r="CF119" s="50" t="s">
        <v>2869</v>
      </c>
      <c r="CG119" s="117">
        <v>4063.0</v>
      </c>
      <c r="CH119" s="50" t="s">
        <v>3114</v>
      </c>
      <c r="CI119" s="50" t="s">
        <v>3115</v>
      </c>
      <c r="CJ119" s="117">
        <v>118.0</v>
      </c>
    </row>
    <row r="120">
      <c r="A120" s="50" t="s">
        <v>3116</v>
      </c>
      <c r="B120" s="50" t="s">
        <v>3117</v>
      </c>
      <c r="C120" s="116"/>
      <c r="D120" s="116"/>
      <c r="E120" s="50">
        <v>3.5215509147374E14</v>
      </c>
      <c r="F120" s="50">
        <v>58.0</v>
      </c>
      <c r="G120" s="50">
        <v>1.0</v>
      </c>
      <c r="H120" s="50">
        <v>99.0</v>
      </c>
      <c r="I120" s="50" t="s">
        <v>1222</v>
      </c>
      <c r="J120" s="50" t="s">
        <v>1222</v>
      </c>
      <c r="K120" s="50" t="s">
        <v>3118</v>
      </c>
      <c r="L120" s="50" t="s">
        <v>3119</v>
      </c>
      <c r="M120" s="50">
        <v>22.5535941</v>
      </c>
      <c r="N120" s="50">
        <v>88.3979482</v>
      </c>
      <c r="O120" s="50">
        <v>-43.5</v>
      </c>
      <c r="P120" s="50">
        <v>5.0</v>
      </c>
      <c r="Q120" s="50">
        <v>2.0</v>
      </c>
      <c r="R120" s="50">
        <v>1.0</v>
      </c>
      <c r="S120" s="116"/>
      <c r="T120" s="116"/>
      <c r="U120" s="116"/>
      <c r="V120" s="116"/>
      <c r="W120" s="116"/>
      <c r="X120" s="116"/>
      <c r="Y120" s="116"/>
      <c r="Z120" s="116"/>
      <c r="AA120" s="116"/>
      <c r="AB120" s="116"/>
      <c r="AC120" s="116"/>
      <c r="AD120" s="116"/>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50" t="s">
        <v>3120</v>
      </c>
      <c r="CD120" s="50" t="s">
        <v>2302</v>
      </c>
      <c r="CE120" s="116"/>
      <c r="CF120" s="50" t="s">
        <v>2869</v>
      </c>
      <c r="CG120" s="117">
        <v>4064.0</v>
      </c>
      <c r="CH120" s="50" t="s">
        <v>3121</v>
      </c>
      <c r="CI120" s="50" t="s">
        <v>3122</v>
      </c>
      <c r="CJ120" s="117">
        <v>119.0</v>
      </c>
    </row>
    <row r="121">
      <c r="A121" s="50" t="s">
        <v>3123</v>
      </c>
      <c r="B121" s="50" t="s">
        <v>3124</v>
      </c>
      <c r="C121" s="116"/>
      <c r="D121" s="116"/>
      <c r="E121" s="50">
        <v>3.5215509147374E14</v>
      </c>
      <c r="F121" s="50">
        <v>58.0</v>
      </c>
      <c r="G121" s="50">
        <v>1.0</v>
      </c>
      <c r="H121" s="50">
        <v>10.0</v>
      </c>
      <c r="I121" s="50" t="s">
        <v>1215</v>
      </c>
      <c r="J121" s="50" t="s">
        <v>1215</v>
      </c>
      <c r="K121" s="50" t="s">
        <v>3125</v>
      </c>
      <c r="L121" s="50" t="s">
        <v>3126</v>
      </c>
      <c r="M121" s="50">
        <v>22.5532201</v>
      </c>
      <c r="N121" s="50">
        <v>88.3971988</v>
      </c>
      <c r="O121" s="50">
        <v>-42.0</v>
      </c>
      <c r="P121" s="50">
        <v>5.0</v>
      </c>
      <c r="Q121" s="50">
        <v>1.0</v>
      </c>
      <c r="R121" s="50">
        <v>1.0</v>
      </c>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50">
        <v>2.0</v>
      </c>
      <c r="BW121" s="116"/>
      <c r="BX121" s="116"/>
      <c r="BY121" s="116"/>
      <c r="BZ121" s="116"/>
      <c r="CA121" s="116"/>
      <c r="CB121" s="116"/>
      <c r="CC121" s="116"/>
      <c r="CD121" s="50" t="s">
        <v>3127</v>
      </c>
      <c r="CE121" s="50">
        <v>0.0</v>
      </c>
      <c r="CF121" s="50" t="s">
        <v>2869</v>
      </c>
      <c r="CG121" s="117">
        <v>4065.0</v>
      </c>
      <c r="CH121" s="50" t="s">
        <v>3128</v>
      </c>
      <c r="CI121" s="50" t="s">
        <v>3129</v>
      </c>
      <c r="CJ121" s="117">
        <v>120.0</v>
      </c>
    </row>
    <row r="122">
      <c r="A122" s="50" t="s">
        <v>3130</v>
      </c>
      <c r="B122" s="50" t="s">
        <v>3131</v>
      </c>
      <c r="C122" s="116"/>
      <c r="D122" s="116"/>
      <c r="E122" s="50">
        <v>3.5215509147374E14</v>
      </c>
      <c r="F122" s="50">
        <v>58.0</v>
      </c>
      <c r="G122" s="50">
        <v>1.0</v>
      </c>
      <c r="H122" s="50">
        <v>5.0</v>
      </c>
      <c r="I122" s="50" t="s">
        <v>1237</v>
      </c>
      <c r="J122" s="50" t="s">
        <v>1237</v>
      </c>
      <c r="K122" s="50" t="s">
        <v>3132</v>
      </c>
      <c r="L122" s="50" t="s">
        <v>3133</v>
      </c>
      <c r="M122" s="50">
        <v>22.5536492</v>
      </c>
      <c r="N122" s="50">
        <v>88.3987818</v>
      </c>
      <c r="O122" s="50">
        <v>-45.7999992370605</v>
      </c>
      <c r="P122" s="50">
        <v>5.0</v>
      </c>
      <c r="Q122" s="50">
        <v>3.0</v>
      </c>
      <c r="R122" s="50">
        <v>1.0</v>
      </c>
      <c r="S122" s="116"/>
      <c r="T122" s="116"/>
      <c r="U122" s="116"/>
      <c r="V122" s="116"/>
      <c r="W122" s="116"/>
      <c r="X122" s="116"/>
      <c r="Y122" s="116"/>
      <c r="Z122" s="116"/>
      <c r="AA122" s="116"/>
      <c r="AB122" s="116"/>
      <c r="AC122" s="116"/>
      <c r="AD122" s="116"/>
      <c r="AE122" s="116"/>
      <c r="AF122" s="116"/>
      <c r="AG122" s="116"/>
      <c r="AH122" s="116"/>
      <c r="AI122" s="116"/>
      <c r="AJ122" s="116"/>
      <c r="AK122" s="116"/>
      <c r="AL122" s="116"/>
      <c r="AM122" s="116"/>
      <c r="AN122" s="116"/>
      <c r="AO122" s="116"/>
      <c r="AP122" s="116"/>
      <c r="AQ122" s="116"/>
      <c r="AR122" s="116"/>
      <c r="AS122" s="116"/>
      <c r="AT122" s="116"/>
      <c r="AU122" s="116"/>
      <c r="AV122" s="116"/>
      <c r="AW122" s="116"/>
      <c r="AX122" s="116"/>
      <c r="AY122" s="116"/>
      <c r="AZ122" s="116"/>
      <c r="BA122" s="116"/>
      <c r="BB122" s="116"/>
      <c r="BC122" s="116"/>
      <c r="BD122" s="50">
        <v>88.0</v>
      </c>
      <c r="BE122" s="50" t="s">
        <v>2583</v>
      </c>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50" t="s">
        <v>3134</v>
      </c>
      <c r="CD122" s="50" t="s">
        <v>2302</v>
      </c>
      <c r="CE122" s="50">
        <v>1.0</v>
      </c>
      <c r="CF122" s="50" t="s">
        <v>2869</v>
      </c>
      <c r="CG122" s="117">
        <v>4071.0</v>
      </c>
      <c r="CH122" s="50" t="s">
        <v>3135</v>
      </c>
      <c r="CI122" s="50" t="s">
        <v>3136</v>
      </c>
      <c r="CJ122" s="117">
        <v>121.0</v>
      </c>
    </row>
    <row r="123">
      <c r="A123" s="50" t="s">
        <v>3137</v>
      </c>
      <c r="B123" s="50" t="s">
        <v>3138</v>
      </c>
      <c r="C123" s="116"/>
      <c r="D123" s="116"/>
      <c r="E123" s="50">
        <v>3.5215509147374E14</v>
      </c>
      <c r="F123" s="50">
        <v>58.0</v>
      </c>
      <c r="G123" s="50">
        <v>1.0</v>
      </c>
      <c r="H123" s="50">
        <v>99.0</v>
      </c>
      <c r="I123" s="50" t="s">
        <v>1239</v>
      </c>
      <c r="J123" s="50" t="s">
        <v>1239</v>
      </c>
      <c r="K123" s="50" t="s">
        <v>3139</v>
      </c>
      <c r="L123" s="50" t="s">
        <v>3140</v>
      </c>
      <c r="M123" s="50">
        <v>22.5536833</v>
      </c>
      <c r="N123" s="50">
        <v>88.3986959</v>
      </c>
      <c r="O123" s="50">
        <v>-29.0</v>
      </c>
      <c r="P123" s="50">
        <v>5.0</v>
      </c>
      <c r="Q123" s="50">
        <v>3.0</v>
      </c>
      <c r="R123" s="50">
        <v>1.0</v>
      </c>
      <c r="S123" s="116"/>
      <c r="T123" s="116"/>
      <c r="U123" s="116"/>
      <c r="V123" s="116"/>
      <c r="W123" s="116"/>
      <c r="X123" s="116"/>
      <c r="Y123" s="116"/>
      <c r="Z123" s="116"/>
      <c r="AA123" s="116"/>
      <c r="AB123" s="116"/>
      <c r="AC123" s="116"/>
      <c r="AD123" s="116"/>
      <c r="AE123" s="116"/>
      <c r="AF123" s="116"/>
      <c r="AG123" s="116"/>
      <c r="AH123" s="116"/>
      <c r="AI123" s="116"/>
      <c r="AJ123" s="116"/>
      <c r="AK123" s="116"/>
      <c r="AL123" s="116"/>
      <c r="AM123" s="116"/>
      <c r="AN123" s="116"/>
      <c r="AO123" s="116"/>
      <c r="AP123" s="116"/>
      <c r="AQ123" s="116"/>
      <c r="AR123" s="116"/>
      <c r="AS123" s="116"/>
      <c r="AT123" s="116"/>
      <c r="AU123" s="116"/>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50" t="s">
        <v>3141</v>
      </c>
      <c r="CD123" s="50" t="s">
        <v>3142</v>
      </c>
      <c r="CE123" s="116"/>
      <c r="CF123" s="50" t="s">
        <v>2869</v>
      </c>
      <c r="CG123" s="117">
        <v>4072.0</v>
      </c>
      <c r="CH123" s="50" t="s">
        <v>3143</v>
      </c>
      <c r="CI123" s="50" t="s">
        <v>3144</v>
      </c>
      <c r="CJ123" s="117">
        <v>122.0</v>
      </c>
    </row>
    <row r="124">
      <c r="A124" s="50" t="s">
        <v>3145</v>
      </c>
      <c r="B124" s="50" t="s">
        <v>3146</v>
      </c>
      <c r="C124" s="116"/>
      <c r="D124" s="116"/>
      <c r="E124" s="50">
        <v>3.5215509147374E14</v>
      </c>
      <c r="F124" s="50">
        <v>58.0</v>
      </c>
      <c r="G124" s="50">
        <v>1.0</v>
      </c>
      <c r="H124" s="50">
        <v>8.0</v>
      </c>
      <c r="I124" s="50" t="s">
        <v>1233</v>
      </c>
      <c r="J124" s="50" t="s">
        <v>1233</v>
      </c>
      <c r="K124" s="50" t="s">
        <v>3147</v>
      </c>
      <c r="L124" s="50" t="s">
        <v>3148</v>
      </c>
      <c r="M124" s="50">
        <v>22.5535881</v>
      </c>
      <c r="N124" s="50">
        <v>88.3981032</v>
      </c>
      <c r="O124" s="50">
        <v>-44.099998474121</v>
      </c>
      <c r="P124" s="50">
        <v>5.0</v>
      </c>
      <c r="Q124" s="50">
        <v>3.0</v>
      </c>
      <c r="R124" s="50">
        <v>1.0</v>
      </c>
      <c r="S124" s="116"/>
      <c r="T124" s="116"/>
      <c r="U124" s="116"/>
      <c r="V124" s="50">
        <v>2.0</v>
      </c>
      <c r="W124" s="50">
        <v>3.0</v>
      </c>
      <c r="X124" s="116"/>
      <c r="Y124" s="50">
        <v>7.0</v>
      </c>
      <c r="Z124" s="116"/>
      <c r="AA124" s="116"/>
      <c r="AB124" s="116"/>
      <c r="AC124" s="116"/>
      <c r="AD124" s="116"/>
      <c r="AE124" s="116"/>
      <c r="AF124" s="116"/>
      <c r="AG124" s="116"/>
      <c r="AH124" s="116"/>
      <c r="AI124" s="116"/>
      <c r="AJ124" s="116"/>
      <c r="AK124" s="116"/>
      <c r="AL124" s="116"/>
      <c r="AM124" s="116"/>
      <c r="AN124" s="116"/>
      <c r="AO124" s="116"/>
      <c r="AP124" s="116"/>
      <c r="AQ124" s="116"/>
      <c r="AR124" s="116"/>
      <c r="AS124" s="116"/>
      <c r="AT124" s="116"/>
      <c r="AU124" s="116"/>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50" t="s">
        <v>3149</v>
      </c>
      <c r="CD124" s="50" t="s">
        <v>2472</v>
      </c>
      <c r="CE124" s="50">
        <v>1.0</v>
      </c>
      <c r="CF124" s="50" t="s">
        <v>2869</v>
      </c>
      <c r="CG124" s="117">
        <v>4073.0</v>
      </c>
      <c r="CH124" s="50" t="s">
        <v>3150</v>
      </c>
      <c r="CI124" s="50" t="s">
        <v>3151</v>
      </c>
      <c r="CJ124" s="117">
        <v>123.0</v>
      </c>
    </row>
    <row r="125">
      <c r="A125" s="50" t="s">
        <v>3152</v>
      </c>
      <c r="B125" s="50" t="s">
        <v>3153</v>
      </c>
      <c r="C125" s="116"/>
      <c r="D125" s="116"/>
      <c r="E125" s="50">
        <v>3.5215509147374E14</v>
      </c>
      <c r="F125" s="50">
        <v>58.0</v>
      </c>
      <c r="G125" s="50">
        <v>1.0</v>
      </c>
      <c r="H125" s="50">
        <v>99.0</v>
      </c>
      <c r="I125" s="50" t="s">
        <v>1234</v>
      </c>
      <c r="J125" s="50" t="s">
        <v>1234</v>
      </c>
      <c r="K125" s="50" t="s">
        <v>3154</v>
      </c>
      <c r="L125" s="50" t="s">
        <v>3155</v>
      </c>
      <c r="M125" s="50">
        <v>22.5536444</v>
      </c>
      <c r="N125" s="50">
        <v>88.3981594</v>
      </c>
      <c r="O125" s="50">
        <v>-31.3999996185302</v>
      </c>
      <c r="P125" s="50">
        <v>5.0</v>
      </c>
      <c r="Q125" s="50">
        <v>3.0</v>
      </c>
      <c r="R125" s="50">
        <v>1.0</v>
      </c>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116"/>
      <c r="AS125" s="116"/>
      <c r="AT125" s="116"/>
      <c r="AU125" s="116"/>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50" t="s">
        <v>3156</v>
      </c>
      <c r="CD125" s="50" t="s">
        <v>2286</v>
      </c>
      <c r="CE125" s="116"/>
      <c r="CF125" s="50" t="s">
        <v>2869</v>
      </c>
      <c r="CG125" s="117">
        <v>4074.0</v>
      </c>
      <c r="CH125" s="50" t="s">
        <v>3157</v>
      </c>
      <c r="CI125" s="50" t="s">
        <v>3158</v>
      </c>
      <c r="CJ125" s="117">
        <v>124.0</v>
      </c>
    </row>
    <row r="126">
      <c r="A126" s="50" t="s">
        <v>3159</v>
      </c>
      <c r="B126" s="50" t="s">
        <v>3160</v>
      </c>
      <c r="C126" s="116"/>
      <c r="D126" s="116"/>
      <c r="E126" s="50">
        <v>3.5215509147374E14</v>
      </c>
      <c r="F126" s="50">
        <v>58.0</v>
      </c>
      <c r="G126" s="50">
        <v>1.0</v>
      </c>
      <c r="H126" s="50">
        <v>99.0</v>
      </c>
      <c r="I126" s="50" t="s">
        <v>1246</v>
      </c>
      <c r="J126" s="50" t="s">
        <v>1246</v>
      </c>
      <c r="K126" s="50" t="s">
        <v>3161</v>
      </c>
      <c r="L126" s="50" t="s">
        <v>3162</v>
      </c>
      <c r="M126" s="50">
        <v>22.5513656</v>
      </c>
      <c r="N126" s="50">
        <v>88.3993772</v>
      </c>
      <c r="O126" s="50">
        <v>-82.4000015258789</v>
      </c>
      <c r="P126" s="50">
        <v>5.0</v>
      </c>
      <c r="Q126" s="50">
        <v>3.0</v>
      </c>
      <c r="R126" s="50">
        <v>1.0</v>
      </c>
      <c r="S126" s="116"/>
      <c r="T126" s="116"/>
      <c r="U126" s="116"/>
      <c r="V126" s="116"/>
      <c r="W126" s="116"/>
      <c r="X126" s="116"/>
      <c r="Y126" s="116"/>
      <c r="Z126" s="116"/>
      <c r="AA126" s="116"/>
      <c r="AB126" s="116"/>
      <c r="AC126" s="116"/>
      <c r="AD126" s="116"/>
      <c r="AE126" s="116"/>
      <c r="AF126" s="116"/>
      <c r="AG126" s="116"/>
      <c r="AH126" s="116"/>
      <c r="AI126" s="116"/>
      <c r="AJ126" s="116"/>
      <c r="AK126" s="116"/>
      <c r="AL126" s="116"/>
      <c r="AM126" s="116"/>
      <c r="AN126" s="116"/>
      <c r="AO126" s="116"/>
      <c r="AP126" s="116"/>
      <c r="AQ126" s="116"/>
      <c r="AR126" s="116"/>
      <c r="AS126" s="116"/>
      <c r="AT126" s="116"/>
      <c r="AU126" s="116"/>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50" t="s">
        <v>3163</v>
      </c>
      <c r="CD126" s="50" t="s">
        <v>2472</v>
      </c>
      <c r="CE126" s="116"/>
      <c r="CF126" s="50" t="s">
        <v>2869</v>
      </c>
      <c r="CG126" s="117">
        <v>4080.0</v>
      </c>
      <c r="CH126" s="50" t="s">
        <v>3164</v>
      </c>
      <c r="CI126" s="50" t="s">
        <v>3165</v>
      </c>
      <c r="CJ126" s="117">
        <v>125.0</v>
      </c>
    </row>
    <row r="127">
      <c r="A127" s="50" t="s">
        <v>3166</v>
      </c>
      <c r="B127" s="50" t="s">
        <v>3167</v>
      </c>
      <c r="C127" s="116"/>
      <c r="D127" s="116"/>
      <c r="E127" s="50">
        <v>3.5215509147374E14</v>
      </c>
      <c r="F127" s="50">
        <v>58.0</v>
      </c>
      <c r="G127" s="50">
        <v>1.0</v>
      </c>
      <c r="H127" s="50">
        <v>99.0</v>
      </c>
      <c r="I127" s="50" t="s">
        <v>1264</v>
      </c>
      <c r="J127" s="50" t="s">
        <v>1264</v>
      </c>
      <c r="K127" s="50" t="s">
        <v>3168</v>
      </c>
      <c r="L127" s="50" t="s">
        <v>3169</v>
      </c>
      <c r="M127" s="50">
        <v>22.5530152</v>
      </c>
      <c r="N127" s="50">
        <v>88.3989189</v>
      </c>
      <c r="O127" s="50">
        <v>-66.3000030517578</v>
      </c>
      <c r="P127" s="50">
        <v>5.0</v>
      </c>
      <c r="Q127" s="50">
        <v>1.0</v>
      </c>
      <c r="R127" s="50">
        <v>1.0</v>
      </c>
      <c r="S127" s="116"/>
      <c r="T127" s="116"/>
      <c r="U127" s="116"/>
      <c r="V127" s="116"/>
      <c r="W127" s="116"/>
      <c r="X127" s="116"/>
      <c r="Y127" s="116"/>
      <c r="Z127" s="116"/>
      <c r="AA127" s="116"/>
      <c r="AB127" s="116"/>
      <c r="AC127" s="116"/>
      <c r="AD127" s="116"/>
      <c r="AE127" s="116"/>
      <c r="AF127" s="116"/>
      <c r="AG127" s="116"/>
      <c r="AH127" s="116"/>
      <c r="AI127" s="116"/>
      <c r="AJ127" s="116"/>
      <c r="AK127" s="116"/>
      <c r="AL127" s="116"/>
      <c r="AM127" s="116"/>
      <c r="AN127" s="116"/>
      <c r="AO127" s="116"/>
      <c r="AP127" s="116"/>
      <c r="AQ127" s="116"/>
      <c r="AR127" s="116"/>
      <c r="AS127" s="116"/>
      <c r="AT127" s="116"/>
      <c r="AU127" s="116"/>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50" t="s">
        <v>3170</v>
      </c>
      <c r="CD127" s="50" t="s">
        <v>2899</v>
      </c>
      <c r="CE127" s="116"/>
      <c r="CF127" s="50" t="s">
        <v>2869</v>
      </c>
      <c r="CG127" s="117">
        <v>4301.0</v>
      </c>
      <c r="CH127" s="50" t="s">
        <v>3171</v>
      </c>
      <c r="CI127" s="50" t="s">
        <v>3172</v>
      </c>
      <c r="CJ127" s="117">
        <v>126.0</v>
      </c>
    </row>
    <row r="128">
      <c r="A128" s="50" t="s">
        <v>3173</v>
      </c>
      <c r="B128" s="50" t="s">
        <v>3174</v>
      </c>
      <c r="C128" s="116"/>
      <c r="D128" s="116"/>
      <c r="E128" s="50">
        <v>3.5215509147374E14</v>
      </c>
      <c r="F128" s="50">
        <v>58.0</v>
      </c>
      <c r="G128" s="50">
        <v>1.0</v>
      </c>
      <c r="H128" s="50">
        <v>99.0</v>
      </c>
      <c r="I128" s="50" t="s">
        <v>1269</v>
      </c>
      <c r="J128" s="50" t="s">
        <v>1269</v>
      </c>
      <c r="K128" s="50" t="s">
        <v>3175</v>
      </c>
      <c r="L128" s="50" t="s">
        <v>3176</v>
      </c>
      <c r="M128" s="50">
        <v>22.5521494</v>
      </c>
      <c r="N128" s="50">
        <v>88.3992043</v>
      </c>
      <c r="O128" s="50">
        <v>-26.2999992370605</v>
      </c>
      <c r="P128" s="50">
        <v>5.0</v>
      </c>
      <c r="Q128" s="50">
        <v>1.0</v>
      </c>
      <c r="R128" s="50">
        <v>1.0</v>
      </c>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116"/>
      <c r="AR128" s="116"/>
      <c r="AS128" s="116"/>
      <c r="AT128" s="116"/>
      <c r="AU128" s="116"/>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50" t="s">
        <v>3177</v>
      </c>
      <c r="CD128" s="50" t="s">
        <v>2899</v>
      </c>
      <c r="CE128" s="116"/>
      <c r="CF128" s="50" t="s">
        <v>2869</v>
      </c>
      <c r="CG128" s="117">
        <v>4304.0</v>
      </c>
      <c r="CH128" s="50" t="s">
        <v>3178</v>
      </c>
      <c r="CI128" s="50" t="s">
        <v>3179</v>
      </c>
      <c r="CJ128" s="117">
        <v>127.0</v>
      </c>
    </row>
    <row r="129">
      <c r="A129" s="74" t="s">
        <v>3180</v>
      </c>
      <c r="B129" s="74" t="s">
        <v>3181</v>
      </c>
      <c r="C129" s="119"/>
      <c r="D129" s="119"/>
      <c r="E129" s="74">
        <v>3.5215509147374E14</v>
      </c>
      <c r="F129" s="74">
        <v>59.0</v>
      </c>
      <c r="G129" s="74">
        <v>3.0</v>
      </c>
      <c r="H129" s="74">
        <v>3.0</v>
      </c>
      <c r="I129" s="74" t="s">
        <v>1985</v>
      </c>
      <c r="J129" s="74" t="s">
        <v>1985</v>
      </c>
      <c r="K129" s="74" t="s">
        <v>3183</v>
      </c>
      <c r="L129" s="74" t="s">
        <v>3184</v>
      </c>
      <c r="M129" s="74">
        <v>22.5414809</v>
      </c>
      <c r="N129" s="74">
        <v>88.3753886</v>
      </c>
      <c r="O129" s="74">
        <v>-46.599998474121</v>
      </c>
      <c r="P129" s="74">
        <v>4.5</v>
      </c>
      <c r="Q129" s="74">
        <v>1.0</v>
      </c>
      <c r="R129" s="74">
        <v>0.0</v>
      </c>
      <c r="S129" s="74">
        <v>1.0</v>
      </c>
      <c r="T129" s="119"/>
      <c r="U129" s="119"/>
      <c r="V129" s="119"/>
      <c r="W129" s="119"/>
      <c r="X129" s="119"/>
      <c r="Y129" s="119"/>
      <c r="Z129" s="119"/>
      <c r="AA129" s="119"/>
      <c r="AB129" s="119"/>
      <c r="AC129" s="119"/>
      <c r="AD129" s="119"/>
      <c r="AE129" s="119"/>
      <c r="AF129" s="119"/>
      <c r="AG129" s="119"/>
      <c r="AH129" s="119"/>
      <c r="AI129" s="119"/>
      <c r="AJ129" s="119"/>
      <c r="AK129" s="119"/>
      <c r="AL129" s="119"/>
      <c r="AM129" s="119"/>
      <c r="AN129" s="119"/>
      <c r="AO129" s="74">
        <v>4.0</v>
      </c>
      <c r="AP129" s="119"/>
      <c r="AQ129" s="74">
        <v>0.0</v>
      </c>
      <c r="AR129" s="119"/>
      <c r="AS129" s="119"/>
      <c r="AT129" s="119"/>
      <c r="AU129" s="119"/>
      <c r="AV129" s="119"/>
      <c r="AW129" s="119"/>
      <c r="AX129" s="119"/>
      <c r="AY129" s="119"/>
      <c r="AZ129" s="119"/>
      <c r="BA129" s="119"/>
      <c r="BB129" s="119"/>
      <c r="BC129" s="119"/>
      <c r="BD129" s="119"/>
      <c r="BE129" s="119"/>
      <c r="BF129" s="119"/>
      <c r="BG129" s="119"/>
      <c r="BH129" s="119"/>
      <c r="BI129" s="119"/>
      <c r="BJ129" s="119"/>
      <c r="BK129" s="119"/>
      <c r="BL129" s="119"/>
      <c r="BM129" s="119"/>
      <c r="BN129" s="119"/>
      <c r="BO129" s="119"/>
      <c r="BP129" s="119"/>
      <c r="BQ129" s="119"/>
      <c r="BR129" s="119"/>
      <c r="BS129" s="119"/>
      <c r="BT129" s="119"/>
      <c r="BU129" s="119"/>
      <c r="BV129" s="119"/>
      <c r="BW129" s="119"/>
      <c r="BX129" s="119"/>
      <c r="BY129" s="119"/>
      <c r="BZ129" s="119"/>
      <c r="CA129" s="119"/>
      <c r="CB129" s="119"/>
      <c r="CC129" s="74" t="s">
        <v>3185</v>
      </c>
      <c r="CD129" s="74" t="s">
        <v>2472</v>
      </c>
      <c r="CE129" s="74">
        <v>0.0</v>
      </c>
      <c r="CF129" s="74" t="s">
        <v>2869</v>
      </c>
      <c r="CG129" s="120">
        <v>6924.0</v>
      </c>
      <c r="CH129" s="74" t="s">
        <v>3186</v>
      </c>
      <c r="CI129" s="74" t="s">
        <v>3187</v>
      </c>
      <c r="CJ129" s="120">
        <v>128.0</v>
      </c>
    </row>
    <row r="130">
      <c r="A130" s="74" t="s">
        <v>3188</v>
      </c>
      <c r="B130" s="74" t="s">
        <v>3189</v>
      </c>
      <c r="C130" s="119"/>
      <c r="D130" s="119"/>
      <c r="E130" s="74">
        <v>3.5215509147374E14</v>
      </c>
      <c r="F130" s="74">
        <v>59.0</v>
      </c>
      <c r="G130" s="74">
        <v>3.0</v>
      </c>
      <c r="H130" s="74">
        <v>99.0</v>
      </c>
      <c r="I130" s="74" t="s">
        <v>1986</v>
      </c>
      <c r="J130" s="74" t="s">
        <v>1986</v>
      </c>
      <c r="K130" s="74" t="s">
        <v>3190</v>
      </c>
      <c r="L130" s="74" t="s">
        <v>3191</v>
      </c>
      <c r="M130" s="74">
        <v>22.5414901</v>
      </c>
      <c r="N130" s="74">
        <v>88.3753782</v>
      </c>
      <c r="O130" s="74">
        <v>-48.5</v>
      </c>
      <c r="P130" s="74">
        <v>5.0</v>
      </c>
      <c r="Q130" s="74">
        <v>1.0</v>
      </c>
      <c r="R130" s="74">
        <v>0.0</v>
      </c>
      <c r="S130" s="74">
        <v>1.0</v>
      </c>
      <c r="T130" s="119"/>
      <c r="U130" s="119"/>
      <c r="V130" s="119"/>
      <c r="W130" s="119"/>
      <c r="X130" s="119"/>
      <c r="Y130" s="119"/>
      <c r="Z130" s="119"/>
      <c r="AA130" s="119"/>
      <c r="AB130" s="119"/>
      <c r="AC130" s="119"/>
      <c r="AD130" s="119"/>
      <c r="AE130" s="119"/>
      <c r="AF130" s="119"/>
      <c r="AG130" s="119"/>
      <c r="AH130" s="119"/>
      <c r="AI130" s="119"/>
      <c r="AJ130" s="119"/>
      <c r="AK130" s="119"/>
      <c r="AL130" s="119"/>
      <c r="AM130" s="119"/>
      <c r="AN130" s="119"/>
      <c r="AO130" s="119"/>
      <c r="AP130" s="119"/>
      <c r="AQ130" s="119"/>
      <c r="AR130" s="119"/>
      <c r="AS130" s="119"/>
      <c r="AT130" s="119"/>
      <c r="AU130" s="119"/>
      <c r="AV130" s="119"/>
      <c r="AW130" s="119"/>
      <c r="AX130" s="119"/>
      <c r="AY130" s="119"/>
      <c r="AZ130" s="119"/>
      <c r="BA130" s="119"/>
      <c r="BB130" s="119"/>
      <c r="BC130" s="119"/>
      <c r="BD130" s="119"/>
      <c r="BE130" s="119"/>
      <c r="BF130" s="119"/>
      <c r="BG130" s="119"/>
      <c r="BH130" s="119"/>
      <c r="BI130" s="119"/>
      <c r="BJ130" s="119"/>
      <c r="BK130" s="119"/>
      <c r="BL130" s="119"/>
      <c r="BM130" s="119"/>
      <c r="BN130" s="119"/>
      <c r="BO130" s="119"/>
      <c r="BP130" s="119"/>
      <c r="BQ130" s="119"/>
      <c r="BR130" s="119"/>
      <c r="BS130" s="119"/>
      <c r="BT130" s="119"/>
      <c r="BU130" s="119"/>
      <c r="BV130" s="119"/>
      <c r="BW130" s="119"/>
      <c r="BX130" s="119"/>
      <c r="BY130" s="119"/>
      <c r="BZ130" s="119"/>
      <c r="CA130" s="119"/>
      <c r="CB130" s="119"/>
      <c r="CC130" s="74" t="s">
        <v>3193</v>
      </c>
      <c r="CD130" s="74" t="s">
        <v>2899</v>
      </c>
      <c r="CE130" s="119"/>
      <c r="CF130" s="74" t="s">
        <v>2869</v>
      </c>
      <c r="CG130" s="120">
        <v>6925.0</v>
      </c>
      <c r="CH130" s="74" t="s">
        <v>3194</v>
      </c>
      <c r="CI130" s="74" t="s">
        <v>3195</v>
      </c>
      <c r="CJ130" s="120">
        <v>129.0</v>
      </c>
    </row>
    <row r="131">
      <c r="A131" s="74" t="s">
        <v>3196</v>
      </c>
      <c r="B131" s="74" t="s">
        <v>3197</v>
      </c>
      <c r="C131" s="119"/>
      <c r="D131" s="119"/>
      <c r="E131" s="74">
        <v>3.5215509147374E14</v>
      </c>
      <c r="F131" s="74">
        <v>59.0</v>
      </c>
      <c r="G131" s="74">
        <v>3.0</v>
      </c>
      <c r="H131" s="74">
        <v>3.0</v>
      </c>
      <c r="I131" s="74" t="s">
        <v>2045</v>
      </c>
      <c r="J131" s="74" t="s">
        <v>2045</v>
      </c>
      <c r="K131" s="74" t="s">
        <v>3198</v>
      </c>
      <c r="L131" s="74" t="s">
        <v>3199</v>
      </c>
      <c r="M131" s="74">
        <v>22.5416015</v>
      </c>
      <c r="N131" s="74">
        <v>88.3762257</v>
      </c>
      <c r="O131" s="74">
        <v>17.5</v>
      </c>
      <c r="P131" s="74">
        <v>5.0</v>
      </c>
      <c r="Q131" s="74">
        <v>1.0</v>
      </c>
      <c r="R131" s="74">
        <v>0.0</v>
      </c>
      <c r="S131" s="74">
        <v>1.0</v>
      </c>
      <c r="T131" s="119"/>
      <c r="U131" s="119"/>
      <c r="V131" s="119"/>
      <c r="W131" s="119"/>
      <c r="X131" s="119"/>
      <c r="Y131" s="119"/>
      <c r="Z131" s="119"/>
      <c r="AA131" s="119"/>
      <c r="AB131" s="119"/>
      <c r="AC131" s="119"/>
      <c r="AD131" s="119"/>
      <c r="AE131" s="119"/>
      <c r="AF131" s="119"/>
      <c r="AG131" s="119"/>
      <c r="AH131" s="119"/>
      <c r="AI131" s="119"/>
      <c r="AJ131" s="119"/>
      <c r="AK131" s="119"/>
      <c r="AL131" s="119"/>
      <c r="AM131" s="119"/>
      <c r="AN131" s="119"/>
      <c r="AO131" s="74">
        <v>4.0</v>
      </c>
      <c r="AP131" s="119"/>
      <c r="AQ131" s="74">
        <v>0.0</v>
      </c>
      <c r="AR131" s="119"/>
      <c r="AS131" s="119"/>
      <c r="AT131" s="119"/>
      <c r="AU131" s="119"/>
      <c r="AV131" s="119"/>
      <c r="AW131" s="119"/>
      <c r="AX131" s="119"/>
      <c r="AY131" s="119"/>
      <c r="AZ131" s="119"/>
      <c r="BA131" s="119"/>
      <c r="BB131" s="119"/>
      <c r="BC131" s="119"/>
      <c r="BD131" s="119"/>
      <c r="BE131" s="119"/>
      <c r="BF131" s="119"/>
      <c r="BG131" s="119"/>
      <c r="BH131" s="119"/>
      <c r="BI131" s="119"/>
      <c r="BJ131" s="119"/>
      <c r="BK131" s="119"/>
      <c r="BL131" s="119"/>
      <c r="BM131" s="119"/>
      <c r="BN131" s="119"/>
      <c r="BO131" s="119"/>
      <c r="BP131" s="119"/>
      <c r="BQ131" s="119"/>
      <c r="BR131" s="119"/>
      <c r="BS131" s="119"/>
      <c r="BT131" s="119"/>
      <c r="BU131" s="119"/>
      <c r="BV131" s="119"/>
      <c r="BW131" s="119"/>
      <c r="BX131" s="119"/>
      <c r="BY131" s="119"/>
      <c r="BZ131" s="119"/>
      <c r="CA131" s="119"/>
      <c r="CB131" s="119"/>
      <c r="CC131" s="74" t="s">
        <v>3200</v>
      </c>
      <c r="CD131" s="74" t="s">
        <v>2472</v>
      </c>
      <c r="CE131" s="74">
        <v>0.0</v>
      </c>
      <c r="CF131" s="74" t="s">
        <v>2869</v>
      </c>
      <c r="CG131" s="120">
        <v>7127.0</v>
      </c>
      <c r="CH131" s="74" t="s">
        <v>3201</v>
      </c>
      <c r="CI131" s="74" t="s">
        <v>3202</v>
      </c>
      <c r="CJ131" s="120">
        <v>130.0</v>
      </c>
    </row>
    <row r="132">
      <c r="A132" s="74" t="s">
        <v>3203</v>
      </c>
      <c r="B132" s="74" t="s">
        <v>3204</v>
      </c>
      <c r="C132" s="119"/>
      <c r="D132" s="119"/>
      <c r="E132" s="74">
        <v>3.5215509147374E14</v>
      </c>
      <c r="F132" s="74">
        <v>59.0</v>
      </c>
      <c r="G132" s="74">
        <v>3.0</v>
      </c>
      <c r="H132" s="74">
        <v>99.0</v>
      </c>
      <c r="I132" s="74" t="s">
        <v>2047</v>
      </c>
      <c r="J132" s="74" t="s">
        <v>2047</v>
      </c>
      <c r="K132" s="74" t="s">
        <v>3206</v>
      </c>
      <c r="L132" s="74" t="s">
        <v>3207</v>
      </c>
      <c r="M132" s="74">
        <v>22.5416773</v>
      </c>
      <c r="N132" s="74">
        <v>88.3762262</v>
      </c>
      <c r="O132" s="74">
        <v>-26.6000003814697</v>
      </c>
      <c r="P132" s="74">
        <v>5.0</v>
      </c>
      <c r="Q132" s="74">
        <v>1.0</v>
      </c>
      <c r="R132" s="74">
        <v>0.0</v>
      </c>
      <c r="S132" s="74">
        <v>1.0</v>
      </c>
      <c r="T132" s="119"/>
      <c r="U132" s="119"/>
      <c r="V132" s="119"/>
      <c r="W132" s="119"/>
      <c r="X132" s="119"/>
      <c r="Y132" s="119"/>
      <c r="Z132" s="119"/>
      <c r="AA132" s="119"/>
      <c r="AB132" s="119"/>
      <c r="AC132" s="119"/>
      <c r="AD132" s="119"/>
      <c r="AE132" s="119"/>
      <c r="AF132" s="119"/>
      <c r="AG132" s="119"/>
      <c r="AH132" s="119"/>
      <c r="AI132" s="119"/>
      <c r="AJ132" s="119"/>
      <c r="AK132" s="119"/>
      <c r="AL132" s="119"/>
      <c r="AM132" s="119"/>
      <c r="AN132" s="119"/>
      <c r="AO132" s="119"/>
      <c r="AP132" s="119"/>
      <c r="AQ132" s="119"/>
      <c r="AR132" s="119"/>
      <c r="AS132" s="119"/>
      <c r="AT132" s="119"/>
      <c r="AU132" s="119"/>
      <c r="AV132" s="119"/>
      <c r="AW132" s="119"/>
      <c r="AX132" s="119"/>
      <c r="AY132" s="119"/>
      <c r="AZ132" s="119"/>
      <c r="BA132" s="119"/>
      <c r="BB132" s="119"/>
      <c r="BC132" s="119"/>
      <c r="BD132" s="119"/>
      <c r="BE132" s="119"/>
      <c r="BF132" s="119"/>
      <c r="BG132" s="119"/>
      <c r="BH132" s="119"/>
      <c r="BI132" s="119"/>
      <c r="BJ132" s="119"/>
      <c r="BK132" s="119"/>
      <c r="BL132" s="119"/>
      <c r="BM132" s="119"/>
      <c r="BN132" s="119"/>
      <c r="BO132" s="119"/>
      <c r="BP132" s="119"/>
      <c r="BQ132" s="119"/>
      <c r="BR132" s="119"/>
      <c r="BS132" s="119"/>
      <c r="BT132" s="119"/>
      <c r="BU132" s="119"/>
      <c r="BV132" s="119"/>
      <c r="BW132" s="119"/>
      <c r="BX132" s="119"/>
      <c r="BY132" s="119"/>
      <c r="BZ132" s="119"/>
      <c r="CA132" s="119"/>
      <c r="CB132" s="119"/>
      <c r="CC132" s="74" t="s">
        <v>3208</v>
      </c>
      <c r="CD132" s="74" t="s">
        <v>2472</v>
      </c>
      <c r="CE132" s="119"/>
      <c r="CF132" s="74" t="s">
        <v>2869</v>
      </c>
      <c r="CG132" s="120">
        <v>7128.0</v>
      </c>
      <c r="CH132" s="74" t="s">
        <v>3209</v>
      </c>
      <c r="CI132" s="74" t="s">
        <v>3210</v>
      </c>
      <c r="CJ132" s="120">
        <v>131.0</v>
      </c>
    </row>
    <row r="133">
      <c r="A133" s="74" t="s">
        <v>3211</v>
      </c>
      <c r="B133" s="74" t="s">
        <v>3212</v>
      </c>
      <c r="C133" s="119"/>
      <c r="D133" s="119"/>
      <c r="E133" s="74">
        <v>3.5215509147374E14</v>
      </c>
      <c r="F133" s="74">
        <v>58.0</v>
      </c>
      <c r="G133" s="74">
        <v>2.0</v>
      </c>
      <c r="H133" s="74">
        <v>2.0</v>
      </c>
      <c r="I133" s="74" t="s">
        <v>333</v>
      </c>
      <c r="J133" s="74" t="s">
        <v>333</v>
      </c>
      <c r="K133" s="74" t="s">
        <v>3213</v>
      </c>
      <c r="L133" s="74" t="s">
        <v>3214</v>
      </c>
      <c r="M133" s="74">
        <v>22.5494049</v>
      </c>
      <c r="N133" s="74">
        <v>88.3968896</v>
      </c>
      <c r="O133" s="74">
        <v>-64.1999969482421</v>
      </c>
      <c r="P133" s="74">
        <v>5.0</v>
      </c>
      <c r="Q133" s="74">
        <v>1.0</v>
      </c>
      <c r="R133" s="74">
        <v>0.0</v>
      </c>
      <c r="S133" s="74">
        <v>1.0</v>
      </c>
      <c r="T133" s="119"/>
      <c r="U133" s="119"/>
      <c r="V133" s="119"/>
      <c r="W133" s="119"/>
      <c r="X133" s="119"/>
      <c r="Y133" s="119"/>
      <c r="Z133" s="119"/>
      <c r="AA133" s="119"/>
      <c r="AB133" s="119"/>
      <c r="AC133" s="119"/>
      <c r="AD133" s="119"/>
      <c r="AE133" s="119"/>
      <c r="AF133" s="119"/>
      <c r="AG133" s="119"/>
      <c r="AH133" s="119"/>
      <c r="AI133" s="119"/>
      <c r="AJ133" s="74">
        <v>2.0</v>
      </c>
      <c r="AK133" s="119"/>
      <c r="AL133" s="119"/>
      <c r="AM133" s="74">
        <v>2.0</v>
      </c>
      <c r="AN133" s="119"/>
      <c r="AO133" s="119"/>
      <c r="AP133" s="119"/>
      <c r="AQ133" s="119"/>
      <c r="AR133" s="119"/>
      <c r="AS133" s="119"/>
      <c r="AT133" s="119"/>
      <c r="AU133" s="119"/>
      <c r="AV133" s="119"/>
      <c r="AW133" s="119"/>
      <c r="AX133" s="119"/>
      <c r="AY133" s="119"/>
      <c r="AZ133" s="119"/>
      <c r="BA133" s="119"/>
      <c r="BB133" s="119"/>
      <c r="BC133" s="119"/>
      <c r="BD133" s="119"/>
      <c r="BE133" s="119"/>
      <c r="BF133" s="119"/>
      <c r="BG133" s="119"/>
      <c r="BH133" s="119"/>
      <c r="BI133" s="119"/>
      <c r="BJ133" s="119"/>
      <c r="BK133" s="119"/>
      <c r="BL133" s="119"/>
      <c r="BM133" s="119"/>
      <c r="BN133" s="119"/>
      <c r="BO133" s="119"/>
      <c r="BP133" s="119"/>
      <c r="BQ133" s="119"/>
      <c r="BR133" s="119"/>
      <c r="BS133" s="119"/>
      <c r="BT133" s="119"/>
      <c r="BU133" s="119"/>
      <c r="BV133" s="119"/>
      <c r="BW133" s="119"/>
      <c r="BX133" s="119"/>
      <c r="BY133" s="119"/>
      <c r="BZ133" s="119"/>
      <c r="CA133" s="119"/>
      <c r="CB133" s="119"/>
      <c r="CC133" s="74" t="s">
        <v>3185</v>
      </c>
      <c r="CD133" s="74" t="s">
        <v>2472</v>
      </c>
      <c r="CE133" s="74">
        <v>0.0</v>
      </c>
      <c r="CF133" s="74" t="s">
        <v>2869</v>
      </c>
      <c r="CG133" s="120">
        <v>7248.0</v>
      </c>
      <c r="CH133" s="74" t="s">
        <v>3215</v>
      </c>
      <c r="CI133" s="74" t="s">
        <v>3216</v>
      </c>
      <c r="CJ133" s="120">
        <v>132.0</v>
      </c>
    </row>
    <row r="134">
      <c r="A134" s="74" t="s">
        <v>3217</v>
      </c>
      <c r="B134" s="74" t="s">
        <v>3218</v>
      </c>
      <c r="C134" s="119"/>
      <c r="D134" s="119"/>
      <c r="E134" s="74">
        <v>3.5215509147374E14</v>
      </c>
      <c r="F134" s="74">
        <v>58.0</v>
      </c>
      <c r="G134" s="74">
        <v>2.0</v>
      </c>
      <c r="H134" s="74">
        <v>99.0</v>
      </c>
      <c r="I134" s="74" t="s">
        <v>2091</v>
      </c>
      <c r="J134" s="74" t="s">
        <v>2091</v>
      </c>
      <c r="K134" s="74" t="s">
        <v>3219</v>
      </c>
      <c r="L134" s="74" t="s">
        <v>3220</v>
      </c>
      <c r="M134" s="74">
        <v>22.5493915</v>
      </c>
      <c r="N134" s="74">
        <v>88.3968599</v>
      </c>
      <c r="O134" s="74">
        <v>-56.099998474121</v>
      </c>
      <c r="P134" s="74">
        <v>4.5</v>
      </c>
      <c r="Q134" s="74">
        <v>1.0</v>
      </c>
      <c r="R134" s="74">
        <v>0.0</v>
      </c>
      <c r="S134" s="74">
        <v>1.0</v>
      </c>
      <c r="T134" s="119"/>
      <c r="U134" s="119"/>
      <c r="V134" s="119"/>
      <c r="W134" s="119"/>
      <c r="X134" s="119"/>
      <c r="Y134" s="119"/>
      <c r="Z134" s="119"/>
      <c r="AA134" s="119"/>
      <c r="AB134" s="119"/>
      <c r="AC134" s="119"/>
      <c r="AD134" s="119"/>
      <c r="AE134" s="119"/>
      <c r="AF134" s="119"/>
      <c r="AG134" s="119"/>
      <c r="AH134" s="119"/>
      <c r="AI134" s="119"/>
      <c r="AJ134" s="119"/>
      <c r="AK134" s="119"/>
      <c r="AL134" s="119"/>
      <c r="AM134" s="119"/>
      <c r="AN134" s="119"/>
      <c r="AO134" s="119"/>
      <c r="AP134" s="119"/>
      <c r="AQ134" s="119"/>
      <c r="AR134" s="119"/>
      <c r="AS134" s="119"/>
      <c r="AT134" s="119"/>
      <c r="AU134" s="119"/>
      <c r="AV134" s="119"/>
      <c r="AW134" s="119"/>
      <c r="AX134" s="119"/>
      <c r="AY134" s="119"/>
      <c r="AZ134" s="119"/>
      <c r="BA134" s="119"/>
      <c r="BB134" s="119"/>
      <c r="BC134" s="119"/>
      <c r="BD134" s="119"/>
      <c r="BE134" s="119"/>
      <c r="BF134" s="119"/>
      <c r="BG134" s="119"/>
      <c r="BH134" s="119"/>
      <c r="BI134" s="119"/>
      <c r="BJ134" s="119"/>
      <c r="BK134" s="119"/>
      <c r="BL134" s="119"/>
      <c r="BM134" s="119"/>
      <c r="BN134" s="119"/>
      <c r="BO134" s="119"/>
      <c r="BP134" s="119"/>
      <c r="BQ134" s="119"/>
      <c r="BR134" s="119"/>
      <c r="BS134" s="119"/>
      <c r="BT134" s="119"/>
      <c r="BU134" s="119"/>
      <c r="BV134" s="119"/>
      <c r="BW134" s="119"/>
      <c r="BX134" s="119"/>
      <c r="BY134" s="119"/>
      <c r="BZ134" s="119"/>
      <c r="CA134" s="119"/>
      <c r="CB134" s="119"/>
      <c r="CC134" s="74" t="s">
        <v>3221</v>
      </c>
      <c r="CD134" s="74" t="s">
        <v>2472</v>
      </c>
      <c r="CE134" s="119"/>
      <c r="CF134" s="74" t="s">
        <v>2869</v>
      </c>
      <c r="CG134" s="120">
        <v>7249.0</v>
      </c>
      <c r="CH134" s="74" t="s">
        <v>3222</v>
      </c>
      <c r="CI134" s="74" t="s">
        <v>3223</v>
      </c>
      <c r="CJ134" s="120">
        <v>133.0</v>
      </c>
    </row>
    <row r="135">
      <c r="A135" s="74" t="s">
        <v>3224</v>
      </c>
      <c r="B135" s="74" t="s">
        <v>3225</v>
      </c>
      <c r="C135" s="119"/>
      <c r="D135" s="119"/>
      <c r="E135" s="74">
        <v>3.5215509147374E14</v>
      </c>
      <c r="F135" s="74">
        <v>58.0</v>
      </c>
      <c r="G135" s="74">
        <v>2.0</v>
      </c>
      <c r="H135" s="74">
        <v>8.0</v>
      </c>
      <c r="I135" s="74" t="s">
        <v>330</v>
      </c>
      <c r="J135" s="74" t="s">
        <v>330</v>
      </c>
      <c r="K135" s="74" t="s">
        <v>3227</v>
      </c>
      <c r="L135" s="74" t="s">
        <v>3228</v>
      </c>
      <c r="M135" s="74">
        <v>22.548963</v>
      </c>
      <c r="N135" s="74">
        <v>88.3971814</v>
      </c>
      <c r="O135" s="74">
        <v>-66.0</v>
      </c>
      <c r="P135" s="74">
        <v>5.0</v>
      </c>
      <c r="Q135" s="74">
        <v>1.0</v>
      </c>
      <c r="R135" s="74">
        <v>0.0</v>
      </c>
      <c r="S135" s="74">
        <v>1.0</v>
      </c>
      <c r="T135" s="119"/>
      <c r="U135" s="119"/>
      <c r="V135" s="74">
        <v>2.0</v>
      </c>
      <c r="W135" s="74">
        <v>3.0</v>
      </c>
      <c r="X135" s="119"/>
      <c r="Y135" s="74">
        <v>12.0</v>
      </c>
      <c r="Z135" s="119"/>
      <c r="AA135" s="119"/>
      <c r="AB135" s="119"/>
      <c r="AC135" s="119"/>
      <c r="AD135" s="119"/>
      <c r="AE135" s="119"/>
      <c r="AF135" s="119"/>
      <c r="AG135" s="119"/>
      <c r="AH135" s="119"/>
      <c r="AI135" s="119"/>
      <c r="AJ135" s="119"/>
      <c r="AK135" s="119"/>
      <c r="AL135" s="119"/>
      <c r="AM135" s="119"/>
      <c r="AN135" s="119"/>
      <c r="AO135" s="119"/>
      <c r="AP135" s="119"/>
      <c r="AQ135" s="119"/>
      <c r="AR135" s="119"/>
      <c r="AS135" s="119"/>
      <c r="AT135" s="119"/>
      <c r="AU135" s="119"/>
      <c r="AV135" s="119"/>
      <c r="AW135" s="119"/>
      <c r="AX135" s="119"/>
      <c r="AY135" s="119"/>
      <c r="AZ135" s="119"/>
      <c r="BA135" s="119"/>
      <c r="BB135" s="119"/>
      <c r="BC135" s="119"/>
      <c r="BD135" s="119"/>
      <c r="BE135" s="119"/>
      <c r="BF135" s="119"/>
      <c r="BG135" s="119"/>
      <c r="BH135" s="119"/>
      <c r="BI135" s="119"/>
      <c r="BJ135" s="119"/>
      <c r="BK135" s="119"/>
      <c r="BL135" s="119"/>
      <c r="BM135" s="119"/>
      <c r="BN135" s="119"/>
      <c r="BO135" s="119"/>
      <c r="BP135" s="119"/>
      <c r="BQ135" s="119"/>
      <c r="BR135" s="119"/>
      <c r="BS135" s="119"/>
      <c r="BT135" s="119"/>
      <c r="BU135" s="119"/>
      <c r="BV135" s="119"/>
      <c r="BW135" s="119"/>
      <c r="BX135" s="119"/>
      <c r="BY135" s="119"/>
      <c r="BZ135" s="119"/>
      <c r="CA135" s="119"/>
      <c r="CB135" s="119"/>
      <c r="CC135" s="74" t="s">
        <v>2949</v>
      </c>
      <c r="CD135" s="74" t="s">
        <v>2286</v>
      </c>
      <c r="CE135" s="74">
        <v>1.0</v>
      </c>
      <c r="CF135" s="74" t="s">
        <v>2869</v>
      </c>
      <c r="CG135" s="120">
        <v>7250.0</v>
      </c>
      <c r="CH135" s="74" t="s">
        <v>3229</v>
      </c>
      <c r="CI135" s="74" t="s">
        <v>3230</v>
      </c>
      <c r="CJ135" s="120">
        <v>134.0</v>
      </c>
    </row>
    <row r="136">
      <c r="A136" s="74" t="s">
        <v>3231</v>
      </c>
      <c r="B136" s="74" t="s">
        <v>3232</v>
      </c>
      <c r="C136" s="119"/>
      <c r="D136" s="119"/>
      <c r="E136" s="74">
        <v>3.5215509147374E14</v>
      </c>
      <c r="F136" s="74">
        <v>58.0</v>
      </c>
      <c r="G136" s="74">
        <v>2.0</v>
      </c>
      <c r="H136" s="74">
        <v>99.0</v>
      </c>
      <c r="I136" s="74" t="s">
        <v>2093</v>
      </c>
      <c r="J136" s="74" t="s">
        <v>2093</v>
      </c>
      <c r="K136" s="74" t="s">
        <v>3233</v>
      </c>
      <c r="L136" s="74" t="s">
        <v>3234</v>
      </c>
      <c r="M136" s="74">
        <v>22.5489168</v>
      </c>
      <c r="N136" s="74">
        <v>88.3970861</v>
      </c>
      <c r="O136" s="74">
        <v>-58.2000007629394</v>
      </c>
      <c r="P136" s="74">
        <v>4.5</v>
      </c>
      <c r="Q136" s="74">
        <v>1.0</v>
      </c>
      <c r="R136" s="74">
        <v>0.0</v>
      </c>
      <c r="S136" s="74">
        <v>1.0</v>
      </c>
      <c r="T136" s="119"/>
      <c r="U136" s="119"/>
      <c r="V136" s="119"/>
      <c r="W136" s="119"/>
      <c r="X136" s="119"/>
      <c r="Y136" s="119"/>
      <c r="Z136" s="119"/>
      <c r="AA136" s="119"/>
      <c r="AB136" s="119"/>
      <c r="AC136" s="119"/>
      <c r="AD136" s="119"/>
      <c r="AE136" s="119"/>
      <c r="AF136" s="119"/>
      <c r="AG136" s="119"/>
      <c r="AH136" s="119"/>
      <c r="AI136" s="119"/>
      <c r="AJ136" s="119"/>
      <c r="AK136" s="119"/>
      <c r="AL136" s="119"/>
      <c r="AM136" s="119"/>
      <c r="AN136" s="119"/>
      <c r="AO136" s="119"/>
      <c r="AP136" s="119"/>
      <c r="AQ136" s="119"/>
      <c r="AR136" s="119"/>
      <c r="AS136" s="119"/>
      <c r="AT136" s="119"/>
      <c r="AU136" s="119"/>
      <c r="AV136" s="119"/>
      <c r="AW136" s="119"/>
      <c r="AX136" s="119"/>
      <c r="AY136" s="119"/>
      <c r="AZ136" s="119"/>
      <c r="BA136" s="119"/>
      <c r="BB136" s="119"/>
      <c r="BC136" s="119"/>
      <c r="BD136" s="119"/>
      <c r="BE136" s="119"/>
      <c r="BF136" s="119"/>
      <c r="BG136" s="119"/>
      <c r="BH136" s="119"/>
      <c r="BI136" s="119"/>
      <c r="BJ136" s="119"/>
      <c r="BK136" s="119"/>
      <c r="BL136" s="119"/>
      <c r="BM136" s="119"/>
      <c r="BN136" s="119"/>
      <c r="BO136" s="119"/>
      <c r="BP136" s="119"/>
      <c r="BQ136" s="119"/>
      <c r="BR136" s="119"/>
      <c r="BS136" s="119"/>
      <c r="BT136" s="119"/>
      <c r="BU136" s="119"/>
      <c r="BV136" s="119"/>
      <c r="BW136" s="119"/>
      <c r="BX136" s="119"/>
      <c r="BY136" s="119"/>
      <c r="BZ136" s="119"/>
      <c r="CA136" s="119"/>
      <c r="CB136" s="119"/>
      <c r="CC136" s="74" t="s">
        <v>3236</v>
      </c>
      <c r="CD136" s="74" t="s">
        <v>2286</v>
      </c>
      <c r="CE136" s="119"/>
      <c r="CF136" s="74" t="s">
        <v>2869</v>
      </c>
      <c r="CG136" s="120">
        <v>7251.0</v>
      </c>
      <c r="CH136" s="74" t="s">
        <v>3237</v>
      </c>
      <c r="CI136" s="74" t="s">
        <v>3238</v>
      </c>
      <c r="CJ136" s="120">
        <v>135.0</v>
      </c>
    </row>
    <row r="137">
      <c r="A137" s="74" t="s">
        <v>3239</v>
      </c>
      <c r="B137" s="74" t="s">
        <v>3240</v>
      </c>
      <c r="C137" s="119"/>
      <c r="D137" s="119"/>
      <c r="E137" s="74">
        <v>3.52155090281144E14</v>
      </c>
      <c r="F137" s="74">
        <v>59.0</v>
      </c>
      <c r="G137" s="74">
        <v>3.0</v>
      </c>
      <c r="H137" s="74">
        <v>3.0</v>
      </c>
      <c r="I137" s="74" t="s">
        <v>2115</v>
      </c>
      <c r="J137" s="74" t="s">
        <v>2115</v>
      </c>
      <c r="K137" s="74" t="s">
        <v>3241</v>
      </c>
      <c r="L137" s="74" t="s">
        <v>3242</v>
      </c>
      <c r="M137" s="74">
        <v>22.5412137</v>
      </c>
      <c r="N137" s="74">
        <v>88.3751007</v>
      </c>
      <c r="O137" s="74">
        <v>10.6000003814697</v>
      </c>
      <c r="P137" s="74">
        <v>5.0</v>
      </c>
      <c r="Q137" s="74">
        <v>1.0</v>
      </c>
      <c r="R137" s="74">
        <v>0.0</v>
      </c>
      <c r="S137" s="74">
        <v>1.0</v>
      </c>
      <c r="T137" s="119"/>
      <c r="U137" s="119"/>
      <c r="V137" s="119"/>
      <c r="W137" s="119"/>
      <c r="X137" s="119"/>
      <c r="Y137" s="119"/>
      <c r="Z137" s="119"/>
      <c r="AA137" s="119"/>
      <c r="AB137" s="119"/>
      <c r="AC137" s="119"/>
      <c r="AD137" s="119"/>
      <c r="AE137" s="119"/>
      <c r="AF137" s="119"/>
      <c r="AG137" s="119"/>
      <c r="AH137" s="119"/>
      <c r="AI137" s="119"/>
      <c r="AJ137" s="119"/>
      <c r="AK137" s="119"/>
      <c r="AL137" s="119"/>
      <c r="AM137" s="119"/>
      <c r="AN137" s="119"/>
      <c r="AO137" s="74">
        <v>4.0</v>
      </c>
      <c r="AP137" s="119"/>
      <c r="AQ137" s="74">
        <v>0.0</v>
      </c>
      <c r="AR137" s="119"/>
      <c r="AS137" s="119"/>
      <c r="AT137" s="119"/>
      <c r="AU137" s="119"/>
      <c r="AV137" s="119"/>
      <c r="AW137" s="119"/>
      <c r="AX137" s="119"/>
      <c r="AY137" s="119"/>
      <c r="AZ137" s="119"/>
      <c r="BA137" s="119"/>
      <c r="BB137" s="119"/>
      <c r="BC137" s="119"/>
      <c r="BD137" s="119"/>
      <c r="BE137" s="119"/>
      <c r="BF137" s="119"/>
      <c r="BG137" s="119"/>
      <c r="BH137" s="119"/>
      <c r="BI137" s="119"/>
      <c r="BJ137" s="119"/>
      <c r="BK137" s="119"/>
      <c r="BL137" s="119"/>
      <c r="BM137" s="119"/>
      <c r="BN137" s="119"/>
      <c r="BO137" s="119"/>
      <c r="BP137" s="119"/>
      <c r="BQ137" s="119"/>
      <c r="BR137" s="119"/>
      <c r="BS137" s="119"/>
      <c r="BT137" s="119"/>
      <c r="BU137" s="119"/>
      <c r="BV137" s="119"/>
      <c r="BW137" s="119"/>
      <c r="BX137" s="119"/>
      <c r="BY137" s="119"/>
      <c r="BZ137" s="119"/>
      <c r="CA137" s="119"/>
      <c r="CB137" s="119"/>
      <c r="CC137" s="74" t="s">
        <v>3243</v>
      </c>
      <c r="CD137" s="74" t="s">
        <v>2302</v>
      </c>
      <c r="CE137" s="74">
        <v>1.0</v>
      </c>
      <c r="CF137" s="74" t="s">
        <v>2869</v>
      </c>
      <c r="CG137" s="120">
        <v>7255.0</v>
      </c>
      <c r="CH137" s="74" t="s">
        <v>3244</v>
      </c>
      <c r="CI137" s="74" t="s">
        <v>3245</v>
      </c>
      <c r="CJ137" s="120">
        <v>136.0</v>
      </c>
    </row>
    <row r="138">
      <c r="A138" s="74" t="s">
        <v>3246</v>
      </c>
      <c r="B138" s="74" t="s">
        <v>3247</v>
      </c>
      <c r="C138" s="119"/>
      <c r="D138" s="119"/>
      <c r="E138" s="74">
        <v>3.52155090281144E14</v>
      </c>
      <c r="F138" s="74">
        <v>59.0</v>
      </c>
      <c r="G138" s="74">
        <v>3.0</v>
      </c>
      <c r="H138" s="74">
        <v>99.0</v>
      </c>
      <c r="I138" s="74" t="s">
        <v>2117</v>
      </c>
      <c r="J138" s="74" t="s">
        <v>2117</v>
      </c>
      <c r="K138" s="74" t="s">
        <v>3248</v>
      </c>
      <c r="L138" s="74" t="s">
        <v>3249</v>
      </c>
      <c r="M138" s="74">
        <v>22.5412142</v>
      </c>
      <c r="N138" s="74">
        <v>88.3750852</v>
      </c>
      <c r="O138" s="74">
        <v>20.1000003814697</v>
      </c>
      <c r="P138" s="74">
        <v>5.0</v>
      </c>
      <c r="Q138" s="74">
        <v>1.0</v>
      </c>
      <c r="R138" s="74">
        <v>0.0</v>
      </c>
      <c r="S138" s="74">
        <v>1.0</v>
      </c>
      <c r="T138" s="119"/>
      <c r="U138" s="119"/>
      <c r="V138" s="119"/>
      <c r="W138" s="119"/>
      <c r="X138" s="119"/>
      <c r="Y138" s="119"/>
      <c r="Z138" s="119"/>
      <c r="AA138" s="119"/>
      <c r="AB138" s="119"/>
      <c r="AC138" s="119"/>
      <c r="AD138" s="119"/>
      <c r="AE138" s="119"/>
      <c r="AF138" s="119"/>
      <c r="AG138" s="119"/>
      <c r="AH138" s="119"/>
      <c r="AI138" s="119"/>
      <c r="AJ138" s="119"/>
      <c r="AK138" s="119"/>
      <c r="AL138" s="119"/>
      <c r="AM138" s="119"/>
      <c r="AN138" s="119"/>
      <c r="AO138" s="119"/>
      <c r="AP138" s="119"/>
      <c r="AQ138" s="119"/>
      <c r="AR138" s="119"/>
      <c r="AS138" s="119"/>
      <c r="AT138" s="119"/>
      <c r="AU138" s="119"/>
      <c r="AV138" s="119"/>
      <c r="AW138" s="119"/>
      <c r="AX138" s="119"/>
      <c r="AY138" s="119"/>
      <c r="AZ138" s="119"/>
      <c r="BA138" s="119"/>
      <c r="BB138" s="119"/>
      <c r="BC138" s="119"/>
      <c r="BD138" s="119"/>
      <c r="BE138" s="119"/>
      <c r="BF138" s="119"/>
      <c r="BG138" s="119"/>
      <c r="BH138" s="119"/>
      <c r="BI138" s="119"/>
      <c r="BJ138" s="119"/>
      <c r="BK138" s="119"/>
      <c r="BL138" s="119"/>
      <c r="BM138" s="119"/>
      <c r="BN138" s="119"/>
      <c r="BO138" s="119"/>
      <c r="BP138" s="119"/>
      <c r="BQ138" s="119"/>
      <c r="BR138" s="119"/>
      <c r="BS138" s="119"/>
      <c r="BT138" s="119"/>
      <c r="BU138" s="119"/>
      <c r="BV138" s="119"/>
      <c r="BW138" s="119"/>
      <c r="BX138" s="119"/>
      <c r="BY138" s="119"/>
      <c r="BZ138" s="119"/>
      <c r="CA138" s="119"/>
      <c r="CB138" s="119"/>
      <c r="CC138" s="74" t="s">
        <v>3251</v>
      </c>
      <c r="CD138" s="74" t="s">
        <v>2302</v>
      </c>
      <c r="CE138" s="119"/>
      <c r="CF138" s="74" t="s">
        <v>2869</v>
      </c>
      <c r="CG138" s="120">
        <v>7256.0</v>
      </c>
      <c r="CH138" s="74" t="s">
        <v>3252</v>
      </c>
      <c r="CI138" s="74" t="s">
        <v>3253</v>
      </c>
      <c r="CJ138" s="120">
        <v>137.0</v>
      </c>
    </row>
    <row r="139">
      <c r="A139" s="74" t="s">
        <v>3254</v>
      </c>
      <c r="B139" s="74" t="s">
        <v>3255</v>
      </c>
      <c r="C139" s="119"/>
      <c r="D139" s="119"/>
      <c r="E139" s="74">
        <v>3.5215509147374E14</v>
      </c>
      <c r="F139" s="74">
        <v>58.0</v>
      </c>
      <c r="G139" s="74">
        <v>2.0</v>
      </c>
      <c r="H139" s="74">
        <v>5.0</v>
      </c>
      <c r="I139" s="74" t="s">
        <v>2171</v>
      </c>
      <c r="J139" s="74" t="s">
        <v>2171</v>
      </c>
      <c r="K139" s="74" t="s">
        <v>3256</v>
      </c>
      <c r="L139" s="74" t="s">
        <v>3257</v>
      </c>
      <c r="M139" s="74">
        <v>22.5482774</v>
      </c>
      <c r="N139" s="74">
        <v>88.3966096</v>
      </c>
      <c r="O139" s="74">
        <v>-51.099998474121</v>
      </c>
      <c r="P139" s="74">
        <v>5.0</v>
      </c>
      <c r="Q139" s="74">
        <v>1.0</v>
      </c>
      <c r="R139" s="74">
        <v>0.0</v>
      </c>
      <c r="S139" s="74">
        <v>0.0</v>
      </c>
      <c r="T139" s="74">
        <v>1.0</v>
      </c>
      <c r="U139" s="119"/>
      <c r="V139" s="119"/>
      <c r="W139" s="119"/>
      <c r="X139" s="119"/>
      <c r="Y139" s="119"/>
      <c r="Z139" s="119"/>
      <c r="AA139" s="119"/>
      <c r="AB139" s="119"/>
      <c r="AC139" s="119"/>
      <c r="AD139" s="119"/>
      <c r="AE139" s="119"/>
      <c r="AF139" s="119"/>
      <c r="AG139" s="119"/>
      <c r="AH139" s="119"/>
      <c r="AI139" s="119"/>
      <c r="AJ139" s="119"/>
      <c r="AK139" s="119"/>
      <c r="AL139" s="119"/>
      <c r="AM139" s="119"/>
      <c r="AN139" s="119"/>
      <c r="AO139" s="119"/>
      <c r="AP139" s="119"/>
      <c r="AQ139" s="119"/>
      <c r="AR139" s="119"/>
      <c r="AS139" s="119"/>
      <c r="AT139" s="119"/>
      <c r="AU139" s="119"/>
      <c r="AV139" s="119"/>
      <c r="AW139" s="119"/>
      <c r="AX139" s="119"/>
      <c r="AY139" s="119"/>
      <c r="AZ139" s="119"/>
      <c r="BA139" s="119"/>
      <c r="BB139" s="119"/>
      <c r="BC139" s="119"/>
      <c r="BD139" s="74">
        <v>2.0</v>
      </c>
      <c r="BE139" s="119"/>
      <c r="BF139" s="119"/>
      <c r="BG139" s="119"/>
      <c r="BH139" s="119"/>
      <c r="BI139" s="119"/>
      <c r="BJ139" s="119"/>
      <c r="BK139" s="119"/>
      <c r="BL139" s="119"/>
      <c r="BM139" s="119"/>
      <c r="BN139" s="119"/>
      <c r="BO139" s="119"/>
      <c r="BP139" s="119"/>
      <c r="BQ139" s="119"/>
      <c r="BR139" s="119"/>
      <c r="BS139" s="119"/>
      <c r="BT139" s="119"/>
      <c r="BU139" s="119"/>
      <c r="BV139" s="119"/>
      <c r="BW139" s="119"/>
      <c r="BX139" s="119"/>
      <c r="BY139" s="119"/>
      <c r="BZ139" s="119"/>
      <c r="CA139" s="119"/>
      <c r="CB139" s="119"/>
      <c r="CC139" s="74" t="s">
        <v>3258</v>
      </c>
      <c r="CD139" s="74" t="s">
        <v>2899</v>
      </c>
      <c r="CE139" s="74">
        <v>1.0</v>
      </c>
      <c r="CF139" s="74" t="s">
        <v>2869</v>
      </c>
      <c r="CG139" s="120">
        <v>7427.0</v>
      </c>
      <c r="CH139" s="74" t="s">
        <v>3259</v>
      </c>
      <c r="CI139" s="74" t="s">
        <v>3260</v>
      </c>
      <c r="CJ139" s="120">
        <v>138.0</v>
      </c>
    </row>
    <row r="140">
      <c r="A140" s="74" t="s">
        <v>3261</v>
      </c>
      <c r="B140" s="74" t="s">
        <v>3262</v>
      </c>
      <c r="C140" s="119"/>
      <c r="D140" s="119"/>
      <c r="E140" s="74">
        <v>3.5215509147374E14</v>
      </c>
      <c r="F140" s="74">
        <v>58.0</v>
      </c>
      <c r="G140" s="74">
        <v>2.0</v>
      </c>
      <c r="H140" s="74">
        <v>99.0</v>
      </c>
      <c r="I140" s="74" t="s">
        <v>2172</v>
      </c>
      <c r="J140" s="74" t="s">
        <v>2172</v>
      </c>
      <c r="K140" s="74" t="s">
        <v>3264</v>
      </c>
      <c r="L140" s="74" t="s">
        <v>3265</v>
      </c>
      <c r="M140" s="74">
        <v>22.5482746</v>
      </c>
      <c r="N140" s="74">
        <v>88.3966392</v>
      </c>
      <c r="O140" s="74">
        <v>-52.599998474121</v>
      </c>
      <c r="P140" s="74">
        <v>5.0</v>
      </c>
      <c r="Q140" s="74">
        <v>1.0</v>
      </c>
      <c r="R140" s="74">
        <v>0.0</v>
      </c>
      <c r="S140" s="74">
        <v>0.0</v>
      </c>
      <c r="T140" s="74">
        <v>1.0</v>
      </c>
      <c r="U140" s="119"/>
      <c r="V140" s="119"/>
      <c r="W140" s="119"/>
      <c r="X140" s="119"/>
      <c r="Y140" s="119"/>
      <c r="Z140" s="119"/>
      <c r="AA140" s="119"/>
      <c r="AB140" s="119"/>
      <c r="AC140" s="119"/>
      <c r="AD140" s="119"/>
      <c r="AE140" s="119"/>
      <c r="AF140" s="119"/>
      <c r="AG140" s="119"/>
      <c r="AH140" s="119"/>
      <c r="AI140" s="119"/>
      <c r="AJ140" s="119"/>
      <c r="AK140" s="119"/>
      <c r="AL140" s="119"/>
      <c r="AM140" s="119"/>
      <c r="AN140" s="119"/>
      <c r="AO140" s="119"/>
      <c r="AP140" s="119"/>
      <c r="AQ140" s="119"/>
      <c r="AR140" s="119"/>
      <c r="AS140" s="119"/>
      <c r="AT140" s="119"/>
      <c r="AU140" s="119"/>
      <c r="AV140" s="119"/>
      <c r="AW140" s="119"/>
      <c r="AX140" s="119"/>
      <c r="AY140" s="119"/>
      <c r="AZ140" s="119"/>
      <c r="BA140" s="119"/>
      <c r="BB140" s="119"/>
      <c r="BC140" s="119"/>
      <c r="BD140" s="119"/>
      <c r="BE140" s="119"/>
      <c r="BF140" s="119"/>
      <c r="BG140" s="119"/>
      <c r="BH140" s="119"/>
      <c r="BI140" s="119"/>
      <c r="BJ140" s="119"/>
      <c r="BK140" s="119"/>
      <c r="BL140" s="119"/>
      <c r="BM140" s="119"/>
      <c r="BN140" s="119"/>
      <c r="BO140" s="119"/>
      <c r="BP140" s="119"/>
      <c r="BQ140" s="119"/>
      <c r="BR140" s="119"/>
      <c r="BS140" s="119"/>
      <c r="BT140" s="119"/>
      <c r="BU140" s="119"/>
      <c r="BV140" s="119"/>
      <c r="BW140" s="119"/>
      <c r="BX140" s="119"/>
      <c r="BY140" s="119"/>
      <c r="BZ140" s="119"/>
      <c r="CA140" s="119"/>
      <c r="CB140" s="119"/>
      <c r="CC140" s="74" t="s">
        <v>3258</v>
      </c>
      <c r="CD140" s="74" t="s">
        <v>2899</v>
      </c>
      <c r="CE140" s="119"/>
      <c r="CF140" s="74" t="s">
        <v>2869</v>
      </c>
      <c r="CG140" s="120">
        <v>7428.0</v>
      </c>
      <c r="CH140" s="74" t="s">
        <v>3266</v>
      </c>
      <c r="CI140" s="74" t="s">
        <v>3267</v>
      </c>
      <c r="CJ140" s="120">
        <v>139.0</v>
      </c>
    </row>
    <row r="141">
      <c r="A141" s="74" t="s">
        <v>3268</v>
      </c>
      <c r="B141" s="74" t="s">
        <v>3269</v>
      </c>
      <c r="C141" s="119"/>
      <c r="D141" s="119"/>
      <c r="E141" s="74">
        <v>3.5215509147374E14</v>
      </c>
      <c r="F141" s="74">
        <v>58.0</v>
      </c>
      <c r="G141" s="74">
        <v>2.0</v>
      </c>
      <c r="H141" s="74">
        <v>10.0</v>
      </c>
      <c r="I141" s="74" t="s">
        <v>2163</v>
      </c>
      <c r="J141" s="74" t="s">
        <v>2163</v>
      </c>
      <c r="K141" s="74" t="s">
        <v>3270</v>
      </c>
      <c r="L141" s="74" t="s">
        <v>3271</v>
      </c>
      <c r="M141" s="74">
        <v>22.5508483</v>
      </c>
      <c r="N141" s="74">
        <v>88.3963961</v>
      </c>
      <c r="O141" s="74">
        <v>-42.7999992370605</v>
      </c>
      <c r="P141" s="74">
        <v>5.0</v>
      </c>
      <c r="Q141" s="74">
        <v>1.0</v>
      </c>
      <c r="R141" s="74">
        <v>0.0</v>
      </c>
      <c r="S141" s="74">
        <v>0.0</v>
      </c>
      <c r="T141" s="74">
        <v>1.0</v>
      </c>
      <c r="U141" s="119"/>
      <c r="V141" s="119"/>
      <c r="W141" s="119"/>
      <c r="X141" s="119"/>
      <c r="Y141" s="119"/>
      <c r="Z141" s="119"/>
      <c r="AA141" s="119"/>
      <c r="AB141" s="119"/>
      <c r="AC141" s="119"/>
      <c r="AD141" s="119"/>
      <c r="AE141" s="119"/>
      <c r="AF141" s="119"/>
      <c r="AG141" s="119"/>
      <c r="AH141" s="119"/>
      <c r="AI141" s="119"/>
      <c r="AJ141" s="119"/>
      <c r="AK141" s="119"/>
      <c r="AL141" s="119"/>
      <c r="AM141" s="119"/>
      <c r="AN141" s="119"/>
      <c r="AO141" s="119"/>
      <c r="AP141" s="119"/>
      <c r="AQ141" s="119"/>
      <c r="AR141" s="119"/>
      <c r="AS141" s="119"/>
      <c r="AT141" s="119"/>
      <c r="AU141" s="119"/>
      <c r="AV141" s="119"/>
      <c r="AW141" s="119"/>
      <c r="AX141" s="119"/>
      <c r="AY141" s="119"/>
      <c r="AZ141" s="119"/>
      <c r="BA141" s="119"/>
      <c r="BB141" s="119"/>
      <c r="BC141" s="119"/>
      <c r="BD141" s="119"/>
      <c r="BE141" s="119"/>
      <c r="BF141" s="119"/>
      <c r="BG141" s="119"/>
      <c r="BH141" s="119"/>
      <c r="BI141" s="119"/>
      <c r="BJ141" s="119"/>
      <c r="BK141" s="119"/>
      <c r="BL141" s="119"/>
      <c r="BM141" s="119"/>
      <c r="BN141" s="119"/>
      <c r="BO141" s="119"/>
      <c r="BP141" s="119"/>
      <c r="BQ141" s="119"/>
      <c r="BR141" s="119"/>
      <c r="BS141" s="119"/>
      <c r="BT141" s="119"/>
      <c r="BU141" s="119"/>
      <c r="BV141" s="74">
        <v>88.0</v>
      </c>
      <c r="BW141" s="74" t="s">
        <v>3273</v>
      </c>
      <c r="BX141" s="119"/>
      <c r="BY141" s="119"/>
      <c r="BZ141" s="119"/>
      <c r="CA141" s="119"/>
      <c r="CB141" s="119"/>
      <c r="CC141" s="74" t="s">
        <v>3193</v>
      </c>
      <c r="CD141" s="74" t="s">
        <v>2899</v>
      </c>
      <c r="CE141" s="74">
        <v>0.0</v>
      </c>
      <c r="CF141" s="74" t="s">
        <v>2869</v>
      </c>
      <c r="CG141" s="120">
        <v>7429.0</v>
      </c>
      <c r="CH141" s="74" t="s">
        <v>3274</v>
      </c>
      <c r="CI141" s="74" t="s">
        <v>3275</v>
      </c>
      <c r="CJ141" s="120">
        <v>140.0</v>
      </c>
    </row>
    <row r="142">
      <c r="A142" s="74" t="s">
        <v>3276</v>
      </c>
      <c r="B142" s="74" t="s">
        <v>3277</v>
      </c>
      <c r="C142" s="119"/>
      <c r="D142" s="119"/>
      <c r="E142" s="74">
        <v>3.5215509147374E14</v>
      </c>
      <c r="F142" s="74">
        <v>58.0</v>
      </c>
      <c r="G142" s="74">
        <v>2.0</v>
      </c>
      <c r="H142" s="74">
        <v>99.0</v>
      </c>
      <c r="I142" s="74" t="s">
        <v>2167</v>
      </c>
      <c r="J142" s="74" t="s">
        <v>2167</v>
      </c>
      <c r="K142" s="74" t="s">
        <v>3278</v>
      </c>
      <c r="L142" s="74" t="s">
        <v>3279</v>
      </c>
      <c r="M142" s="74">
        <v>22.5508513</v>
      </c>
      <c r="N142" s="74">
        <v>88.3963712</v>
      </c>
      <c r="O142" s="74">
        <v>-48.599998474121</v>
      </c>
      <c r="P142" s="74">
        <v>5.0</v>
      </c>
      <c r="Q142" s="74">
        <v>1.0</v>
      </c>
      <c r="R142" s="74">
        <v>0.0</v>
      </c>
      <c r="S142" s="74">
        <v>0.0</v>
      </c>
      <c r="T142" s="74">
        <v>1.0</v>
      </c>
      <c r="U142" s="119"/>
      <c r="V142" s="119"/>
      <c r="W142" s="119"/>
      <c r="X142" s="119"/>
      <c r="Y142" s="119"/>
      <c r="Z142" s="119"/>
      <c r="AA142" s="119"/>
      <c r="AB142" s="119"/>
      <c r="AC142" s="119"/>
      <c r="AD142" s="119"/>
      <c r="AE142" s="119"/>
      <c r="AF142" s="119"/>
      <c r="AG142" s="119"/>
      <c r="AH142" s="119"/>
      <c r="AI142" s="119"/>
      <c r="AJ142" s="119"/>
      <c r="AK142" s="119"/>
      <c r="AL142" s="119"/>
      <c r="AM142" s="119"/>
      <c r="AN142" s="119"/>
      <c r="AO142" s="119"/>
      <c r="AP142" s="119"/>
      <c r="AQ142" s="119"/>
      <c r="AR142" s="119"/>
      <c r="AS142" s="119"/>
      <c r="AT142" s="119"/>
      <c r="AU142" s="119"/>
      <c r="AV142" s="119"/>
      <c r="AW142" s="119"/>
      <c r="AX142" s="119"/>
      <c r="AY142" s="119"/>
      <c r="AZ142" s="119"/>
      <c r="BA142" s="119"/>
      <c r="BB142" s="119"/>
      <c r="BC142" s="119"/>
      <c r="BD142" s="119"/>
      <c r="BE142" s="119"/>
      <c r="BF142" s="119"/>
      <c r="BG142" s="119"/>
      <c r="BH142" s="119"/>
      <c r="BI142" s="119"/>
      <c r="BJ142" s="119"/>
      <c r="BK142" s="119"/>
      <c r="BL142" s="119"/>
      <c r="BM142" s="119"/>
      <c r="BN142" s="119"/>
      <c r="BO142" s="119"/>
      <c r="BP142" s="119"/>
      <c r="BQ142" s="119"/>
      <c r="BR142" s="119"/>
      <c r="BS142" s="119"/>
      <c r="BT142" s="119"/>
      <c r="BU142" s="119"/>
      <c r="BV142" s="119"/>
      <c r="BW142" s="119"/>
      <c r="BX142" s="119"/>
      <c r="BY142" s="119"/>
      <c r="BZ142" s="119"/>
      <c r="CA142" s="119"/>
      <c r="CB142" s="119"/>
      <c r="CC142" s="74" t="s">
        <v>3193</v>
      </c>
      <c r="CD142" s="74" t="s">
        <v>2899</v>
      </c>
      <c r="CE142" s="119"/>
      <c r="CF142" s="74" t="s">
        <v>2869</v>
      </c>
      <c r="CG142" s="120">
        <v>7430.0</v>
      </c>
      <c r="CH142" s="74" t="s">
        <v>3281</v>
      </c>
      <c r="CI142" s="74" t="s">
        <v>3282</v>
      </c>
      <c r="CJ142" s="120">
        <v>141.0</v>
      </c>
    </row>
    <row r="143">
      <c r="A143" s="74" t="s">
        <v>3283</v>
      </c>
      <c r="B143" s="74" t="s">
        <v>3284</v>
      </c>
      <c r="C143" s="119"/>
      <c r="D143" s="119"/>
      <c r="E143" s="74">
        <v>3.5215509147374E14</v>
      </c>
      <c r="F143" s="74">
        <v>58.0</v>
      </c>
      <c r="G143" s="74">
        <v>2.0</v>
      </c>
      <c r="H143" s="74">
        <v>9.0</v>
      </c>
      <c r="I143" s="74" t="s">
        <v>2180</v>
      </c>
      <c r="J143" s="74" t="s">
        <v>2180</v>
      </c>
      <c r="K143" s="74" t="s">
        <v>3285</v>
      </c>
      <c r="L143" s="74" t="s">
        <v>3286</v>
      </c>
      <c r="M143" s="74">
        <v>22.550603</v>
      </c>
      <c r="N143" s="74">
        <v>88.3970107</v>
      </c>
      <c r="O143" s="74">
        <v>-49.2000007629394</v>
      </c>
      <c r="P143" s="74">
        <v>5.0</v>
      </c>
      <c r="Q143" s="74">
        <v>1.0</v>
      </c>
      <c r="R143" s="74">
        <v>0.0</v>
      </c>
      <c r="S143" s="74">
        <v>0.0</v>
      </c>
      <c r="T143" s="74">
        <v>1.0</v>
      </c>
      <c r="U143" s="119"/>
      <c r="V143" s="119"/>
      <c r="W143" s="119"/>
      <c r="X143" s="119"/>
      <c r="Y143" s="119"/>
      <c r="Z143" s="119"/>
      <c r="AA143" s="74">
        <v>3.0</v>
      </c>
      <c r="AB143" s="119"/>
      <c r="AC143" s="74">
        <v>0.0</v>
      </c>
      <c r="AD143" s="119"/>
      <c r="AE143" s="119"/>
      <c r="AF143" s="119"/>
      <c r="AG143" s="119"/>
      <c r="AH143" s="119"/>
      <c r="AI143" s="119"/>
      <c r="AJ143" s="119"/>
      <c r="AK143" s="119"/>
      <c r="AL143" s="119"/>
      <c r="AM143" s="119"/>
      <c r="AN143" s="119"/>
      <c r="AO143" s="119"/>
      <c r="AP143" s="119"/>
      <c r="AQ143" s="119"/>
      <c r="AR143" s="119"/>
      <c r="AS143" s="119"/>
      <c r="AT143" s="119"/>
      <c r="AU143" s="119"/>
      <c r="AV143" s="119"/>
      <c r="AW143" s="119"/>
      <c r="AX143" s="119"/>
      <c r="AY143" s="119"/>
      <c r="AZ143" s="119"/>
      <c r="BA143" s="119"/>
      <c r="BB143" s="119"/>
      <c r="BC143" s="119"/>
      <c r="BD143" s="119"/>
      <c r="BE143" s="119"/>
      <c r="BF143" s="119"/>
      <c r="BG143" s="119"/>
      <c r="BH143" s="119"/>
      <c r="BI143" s="119"/>
      <c r="BJ143" s="119"/>
      <c r="BK143" s="119"/>
      <c r="BL143" s="119"/>
      <c r="BM143" s="119"/>
      <c r="BN143" s="119"/>
      <c r="BO143" s="119"/>
      <c r="BP143" s="119"/>
      <c r="BQ143" s="119"/>
      <c r="BR143" s="119"/>
      <c r="BS143" s="119"/>
      <c r="BT143" s="119"/>
      <c r="BU143" s="119"/>
      <c r="BV143" s="119"/>
      <c r="BW143" s="119"/>
      <c r="BX143" s="119"/>
      <c r="BY143" s="119"/>
      <c r="BZ143" s="119"/>
      <c r="CA143" s="119"/>
      <c r="CB143" s="119"/>
      <c r="CC143" s="74" t="s">
        <v>3185</v>
      </c>
      <c r="CD143" s="74" t="s">
        <v>3142</v>
      </c>
      <c r="CE143" s="74">
        <v>1.0</v>
      </c>
      <c r="CF143" s="74" t="s">
        <v>2869</v>
      </c>
      <c r="CG143" s="120">
        <v>7554.0</v>
      </c>
      <c r="CH143" s="74" t="s">
        <v>3288</v>
      </c>
      <c r="CI143" s="74" t="s">
        <v>3289</v>
      </c>
      <c r="CJ143" s="120">
        <v>142.0</v>
      </c>
    </row>
    <row r="144">
      <c r="A144" s="74" t="s">
        <v>3290</v>
      </c>
      <c r="B144" s="74" t="s">
        <v>3291</v>
      </c>
      <c r="C144" s="119"/>
      <c r="D144" s="119"/>
      <c r="E144" s="74">
        <v>3.5215509147374E14</v>
      </c>
      <c r="F144" s="74">
        <v>58.0</v>
      </c>
      <c r="G144" s="74">
        <v>2.0</v>
      </c>
      <c r="H144" s="74">
        <v>99.0</v>
      </c>
      <c r="I144" s="74" t="s">
        <v>2181</v>
      </c>
      <c r="J144" s="74" t="s">
        <v>2181</v>
      </c>
      <c r="K144" s="74" t="s">
        <v>3292</v>
      </c>
      <c r="L144" s="74" t="s">
        <v>3293</v>
      </c>
      <c r="M144" s="74">
        <v>22.5506052</v>
      </c>
      <c r="N144" s="74">
        <v>88.3970819</v>
      </c>
      <c r="O144" s="74">
        <v>-57.2000007629394</v>
      </c>
      <c r="P144" s="74">
        <v>5.0</v>
      </c>
      <c r="Q144" s="74">
        <v>1.0</v>
      </c>
      <c r="R144" s="74">
        <v>0.0</v>
      </c>
      <c r="S144" s="74">
        <v>0.0</v>
      </c>
      <c r="T144" s="74">
        <v>1.0</v>
      </c>
      <c r="U144" s="119"/>
      <c r="V144" s="119"/>
      <c r="W144" s="119"/>
      <c r="X144" s="119"/>
      <c r="Y144" s="119"/>
      <c r="Z144" s="119"/>
      <c r="AA144" s="119"/>
      <c r="AB144" s="119"/>
      <c r="AC144" s="119"/>
      <c r="AD144" s="119"/>
      <c r="AE144" s="119"/>
      <c r="AF144" s="119"/>
      <c r="AG144" s="119"/>
      <c r="AH144" s="119"/>
      <c r="AI144" s="119"/>
      <c r="AJ144" s="119"/>
      <c r="AK144" s="119"/>
      <c r="AL144" s="119"/>
      <c r="AM144" s="119"/>
      <c r="AN144" s="119"/>
      <c r="AO144" s="119"/>
      <c r="AP144" s="119"/>
      <c r="AQ144" s="119"/>
      <c r="AR144" s="119"/>
      <c r="AS144" s="119"/>
      <c r="AT144" s="119"/>
      <c r="AU144" s="119"/>
      <c r="AV144" s="119"/>
      <c r="AW144" s="119"/>
      <c r="AX144" s="119"/>
      <c r="AY144" s="119"/>
      <c r="AZ144" s="119"/>
      <c r="BA144" s="119"/>
      <c r="BB144" s="119"/>
      <c r="BC144" s="119"/>
      <c r="BD144" s="119"/>
      <c r="BE144" s="119"/>
      <c r="BF144" s="119"/>
      <c r="BG144" s="119"/>
      <c r="BH144" s="119"/>
      <c r="BI144" s="119"/>
      <c r="BJ144" s="119"/>
      <c r="BK144" s="119"/>
      <c r="BL144" s="119"/>
      <c r="BM144" s="119"/>
      <c r="BN144" s="119"/>
      <c r="BO144" s="119"/>
      <c r="BP144" s="119"/>
      <c r="BQ144" s="119"/>
      <c r="BR144" s="119"/>
      <c r="BS144" s="119"/>
      <c r="BT144" s="119"/>
      <c r="BU144" s="119"/>
      <c r="BV144" s="119"/>
      <c r="BW144" s="119"/>
      <c r="BX144" s="119"/>
      <c r="BY144" s="119"/>
      <c r="BZ144" s="119"/>
      <c r="CA144" s="119"/>
      <c r="CB144" s="119"/>
      <c r="CC144" s="74" t="s">
        <v>3295</v>
      </c>
      <c r="CD144" s="74" t="s">
        <v>3142</v>
      </c>
      <c r="CE144" s="119"/>
      <c r="CF144" s="74" t="s">
        <v>2869</v>
      </c>
      <c r="CG144" s="120">
        <v>7555.0</v>
      </c>
      <c r="CH144" s="74" t="s">
        <v>3296</v>
      </c>
      <c r="CI144" s="74" t="s">
        <v>3297</v>
      </c>
      <c r="CJ144" s="120">
        <v>143.0</v>
      </c>
    </row>
    <row r="145">
      <c r="A145" s="74" t="s">
        <v>3298</v>
      </c>
      <c r="B145" s="74" t="s">
        <v>3299</v>
      </c>
      <c r="C145" s="119"/>
      <c r="D145" s="119"/>
      <c r="E145" s="74">
        <v>3.5215509147374E14</v>
      </c>
      <c r="F145" s="74">
        <v>58.0</v>
      </c>
      <c r="G145" s="74">
        <v>2.0</v>
      </c>
      <c r="H145" s="74">
        <v>8.0</v>
      </c>
      <c r="I145" s="74" t="s">
        <v>2183</v>
      </c>
      <c r="J145" s="74" t="s">
        <v>2183</v>
      </c>
      <c r="K145" s="74" t="s">
        <v>3300</v>
      </c>
      <c r="L145" s="74" t="s">
        <v>3301</v>
      </c>
      <c r="M145" s="74">
        <v>22.5506522</v>
      </c>
      <c r="N145" s="74">
        <v>88.3970162</v>
      </c>
      <c r="O145" s="74">
        <v>-55.099998474121</v>
      </c>
      <c r="P145" s="74">
        <v>5.0</v>
      </c>
      <c r="Q145" s="74">
        <v>1.0</v>
      </c>
      <c r="R145" s="74">
        <v>0.0</v>
      </c>
      <c r="S145" s="74">
        <v>0.0</v>
      </c>
      <c r="T145" s="74">
        <v>1.0</v>
      </c>
      <c r="U145" s="119"/>
      <c r="V145" s="74">
        <v>3.0</v>
      </c>
      <c r="W145" s="74">
        <v>3.0</v>
      </c>
      <c r="X145" s="119"/>
      <c r="Y145" s="74">
        <v>3.0</v>
      </c>
      <c r="Z145" s="119"/>
      <c r="AA145" s="119"/>
      <c r="AB145" s="119"/>
      <c r="AC145" s="119"/>
      <c r="AD145" s="119"/>
      <c r="AE145" s="119"/>
      <c r="AF145" s="119"/>
      <c r="AG145" s="119"/>
      <c r="AH145" s="119"/>
      <c r="AI145" s="119"/>
      <c r="AJ145" s="119"/>
      <c r="AK145" s="119"/>
      <c r="AL145" s="119"/>
      <c r="AM145" s="119"/>
      <c r="AN145" s="119"/>
      <c r="AO145" s="119"/>
      <c r="AP145" s="119"/>
      <c r="AQ145" s="119"/>
      <c r="AR145" s="119"/>
      <c r="AS145" s="119"/>
      <c r="AT145" s="119"/>
      <c r="AU145" s="119"/>
      <c r="AV145" s="119"/>
      <c r="AW145" s="119"/>
      <c r="AX145" s="119"/>
      <c r="AY145" s="119"/>
      <c r="AZ145" s="119"/>
      <c r="BA145" s="119"/>
      <c r="BB145" s="119"/>
      <c r="BC145" s="119"/>
      <c r="BD145" s="119"/>
      <c r="BE145" s="119"/>
      <c r="BF145" s="119"/>
      <c r="BG145" s="119"/>
      <c r="BH145" s="119"/>
      <c r="BI145" s="119"/>
      <c r="BJ145" s="119"/>
      <c r="BK145" s="119"/>
      <c r="BL145" s="119"/>
      <c r="BM145" s="119"/>
      <c r="BN145" s="119"/>
      <c r="BO145" s="119"/>
      <c r="BP145" s="119"/>
      <c r="BQ145" s="119"/>
      <c r="BR145" s="119"/>
      <c r="BS145" s="119"/>
      <c r="BT145" s="119"/>
      <c r="BU145" s="119"/>
      <c r="BV145" s="119"/>
      <c r="BW145" s="119"/>
      <c r="BX145" s="119"/>
      <c r="BY145" s="119"/>
      <c r="BZ145" s="119"/>
      <c r="CA145" s="119"/>
      <c r="CB145" s="119"/>
      <c r="CC145" s="74" t="s">
        <v>3200</v>
      </c>
      <c r="CD145" s="74" t="s">
        <v>2472</v>
      </c>
      <c r="CE145" s="74">
        <v>1.0</v>
      </c>
      <c r="CF145" s="74" t="s">
        <v>2869</v>
      </c>
      <c r="CG145" s="120">
        <v>7556.0</v>
      </c>
      <c r="CH145" s="74" t="s">
        <v>3303</v>
      </c>
      <c r="CI145" s="74" t="s">
        <v>3304</v>
      </c>
      <c r="CJ145" s="120">
        <v>144.0</v>
      </c>
    </row>
    <row r="146">
      <c r="A146" s="74" t="s">
        <v>3305</v>
      </c>
      <c r="B146" s="74" t="s">
        <v>3306</v>
      </c>
      <c r="C146" s="119"/>
      <c r="D146" s="119"/>
      <c r="E146" s="74">
        <v>3.5215509147374E14</v>
      </c>
      <c r="F146" s="74">
        <v>58.0</v>
      </c>
      <c r="G146" s="74">
        <v>2.0</v>
      </c>
      <c r="H146" s="74">
        <v>99.0</v>
      </c>
      <c r="I146" s="74" t="s">
        <v>2242</v>
      </c>
      <c r="J146" s="74" t="s">
        <v>2242</v>
      </c>
      <c r="K146" s="74" t="s">
        <v>3307</v>
      </c>
      <c r="L146" s="74" t="s">
        <v>3308</v>
      </c>
      <c r="M146" s="74">
        <v>22.5507268</v>
      </c>
      <c r="N146" s="74">
        <v>88.3971243</v>
      </c>
      <c r="O146" s="74">
        <v>-44.4000015258789</v>
      </c>
      <c r="P146" s="74">
        <v>5.0</v>
      </c>
      <c r="Q146" s="74">
        <v>1.0</v>
      </c>
      <c r="R146" s="74">
        <v>0.0</v>
      </c>
      <c r="S146" s="74">
        <v>0.0</v>
      </c>
      <c r="T146" s="74">
        <v>1.0</v>
      </c>
      <c r="U146" s="119"/>
      <c r="V146" s="119"/>
      <c r="W146" s="119"/>
      <c r="X146" s="119"/>
      <c r="Y146" s="119"/>
      <c r="Z146" s="119"/>
      <c r="AA146" s="119"/>
      <c r="AB146" s="119"/>
      <c r="AC146" s="119"/>
      <c r="AD146" s="119"/>
      <c r="AE146" s="119"/>
      <c r="AF146" s="119"/>
      <c r="AG146" s="119"/>
      <c r="AH146" s="119"/>
      <c r="AI146" s="119"/>
      <c r="AJ146" s="119"/>
      <c r="AK146" s="119"/>
      <c r="AL146" s="119"/>
      <c r="AM146" s="119"/>
      <c r="AN146" s="119"/>
      <c r="AO146" s="119"/>
      <c r="AP146" s="119"/>
      <c r="AQ146" s="119"/>
      <c r="AR146" s="119"/>
      <c r="AS146" s="119"/>
      <c r="AT146" s="119"/>
      <c r="AU146" s="119"/>
      <c r="AV146" s="119"/>
      <c r="AW146" s="119"/>
      <c r="AX146" s="119"/>
      <c r="AY146" s="119"/>
      <c r="AZ146" s="119"/>
      <c r="BA146" s="119"/>
      <c r="BB146" s="119"/>
      <c r="BC146" s="119"/>
      <c r="BD146" s="119"/>
      <c r="BE146" s="119"/>
      <c r="BF146" s="119"/>
      <c r="BG146" s="119"/>
      <c r="BH146" s="119"/>
      <c r="BI146" s="119"/>
      <c r="BJ146" s="119"/>
      <c r="BK146" s="119"/>
      <c r="BL146" s="119"/>
      <c r="BM146" s="119"/>
      <c r="BN146" s="119"/>
      <c r="BO146" s="119"/>
      <c r="BP146" s="119"/>
      <c r="BQ146" s="119"/>
      <c r="BR146" s="119"/>
      <c r="BS146" s="119"/>
      <c r="BT146" s="119"/>
      <c r="BU146" s="119"/>
      <c r="BV146" s="119"/>
      <c r="BW146" s="119"/>
      <c r="BX146" s="119"/>
      <c r="BY146" s="119"/>
      <c r="BZ146" s="119"/>
      <c r="CA146" s="119"/>
      <c r="CB146" s="119"/>
      <c r="CC146" s="74" t="s">
        <v>3309</v>
      </c>
      <c r="CD146" s="74" t="s">
        <v>2472</v>
      </c>
      <c r="CE146" s="119"/>
      <c r="CF146" s="74" t="s">
        <v>2869</v>
      </c>
      <c r="CG146" s="120">
        <v>7557.0</v>
      </c>
      <c r="CH146" s="74" t="s">
        <v>3310</v>
      </c>
      <c r="CI146" s="74" t="s">
        <v>3311</v>
      </c>
      <c r="CJ146" s="120">
        <v>145.0</v>
      </c>
    </row>
    <row r="147">
      <c r="A147" s="74" t="s">
        <v>3312</v>
      </c>
      <c r="B147" s="74" t="s">
        <v>3313</v>
      </c>
      <c r="C147" s="119"/>
      <c r="D147" s="119"/>
      <c r="E147" s="74">
        <v>3.5215509147374E14</v>
      </c>
      <c r="F147" s="74">
        <v>58.0</v>
      </c>
      <c r="G147" s="74">
        <v>2.0</v>
      </c>
      <c r="H147" s="74">
        <v>7.0</v>
      </c>
      <c r="I147" s="74" t="s">
        <v>2625</v>
      </c>
      <c r="J147" s="74" t="s">
        <v>2625</v>
      </c>
      <c r="K147" s="74" t="s">
        <v>3315</v>
      </c>
      <c r="L147" s="74" t="s">
        <v>3316</v>
      </c>
      <c r="M147" s="74">
        <v>22.5516375</v>
      </c>
      <c r="N147" s="74">
        <v>88.3960454</v>
      </c>
      <c r="O147" s="74">
        <v>-49.7999992370605</v>
      </c>
      <c r="P147" s="74">
        <v>5.0</v>
      </c>
      <c r="Q147" s="74">
        <v>1.0</v>
      </c>
      <c r="R147" s="74">
        <v>0.0</v>
      </c>
      <c r="S147" s="74">
        <v>1.0</v>
      </c>
      <c r="T147" s="119"/>
      <c r="U147" s="119"/>
      <c r="V147" s="119"/>
      <c r="W147" s="119"/>
      <c r="X147" s="119"/>
      <c r="Y147" s="119"/>
      <c r="Z147" s="119"/>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19"/>
      <c r="AV147" s="119"/>
      <c r="AW147" s="74">
        <v>2.0</v>
      </c>
      <c r="AX147" s="119"/>
      <c r="AY147" s="74">
        <v>5.0</v>
      </c>
      <c r="AZ147" s="74">
        <v>0.0</v>
      </c>
      <c r="BA147" s="74">
        <v>40.0</v>
      </c>
      <c r="BB147" s="74">
        <v>0.0</v>
      </c>
      <c r="BC147" s="119"/>
      <c r="BD147" s="119"/>
      <c r="BE147" s="119"/>
      <c r="BF147" s="119"/>
      <c r="BG147" s="119"/>
      <c r="BH147" s="119"/>
      <c r="BI147" s="119"/>
      <c r="BJ147" s="119"/>
      <c r="BK147" s="119"/>
      <c r="BL147" s="119"/>
      <c r="BM147" s="119"/>
      <c r="BN147" s="119"/>
      <c r="BO147" s="119"/>
      <c r="BP147" s="119"/>
      <c r="BQ147" s="119"/>
      <c r="BR147" s="119"/>
      <c r="BS147" s="119"/>
      <c r="BT147" s="119"/>
      <c r="BU147" s="119"/>
      <c r="BV147" s="119"/>
      <c r="BW147" s="119"/>
      <c r="BX147" s="119"/>
      <c r="BY147" s="119"/>
      <c r="BZ147" s="119"/>
      <c r="CA147" s="119"/>
      <c r="CB147" s="119"/>
      <c r="CC147" s="74" t="s">
        <v>3200</v>
      </c>
      <c r="CD147" s="74" t="s">
        <v>3142</v>
      </c>
      <c r="CE147" s="74">
        <v>1.0</v>
      </c>
      <c r="CF147" s="74" t="s">
        <v>2869</v>
      </c>
      <c r="CG147" s="120">
        <v>7690.0</v>
      </c>
      <c r="CH147" s="74" t="s">
        <v>3317</v>
      </c>
      <c r="CI147" s="74" t="s">
        <v>3318</v>
      </c>
      <c r="CJ147" s="120">
        <v>146.0</v>
      </c>
    </row>
    <row r="148">
      <c r="A148" s="74" t="s">
        <v>3319</v>
      </c>
      <c r="B148" s="74" t="s">
        <v>3320</v>
      </c>
      <c r="C148" s="119"/>
      <c r="D148" s="119"/>
      <c r="E148" s="74">
        <v>3.5215509147374E14</v>
      </c>
      <c r="F148" s="74">
        <v>58.0</v>
      </c>
      <c r="G148" s="74">
        <v>2.0</v>
      </c>
      <c r="H148" s="74">
        <v>99.0</v>
      </c>
      <c r="I148" s="74" t="s">
        <v>2632</v>
      </c>
      <c r="J148" s="74" t="s">
        <v>2632</v>
      </c>
      <c r="K148" s="74" t="s">
        <v>3321</v>
      </c>
      <c r="L148" s="74" t="s">
        <v>3322</v>
      </c>
      <c r="M148" s="74">
        <v>22.5516056</v>
      </c>
      <c r="N148" s="74">
        <v>88.3960506</v>
      </c>
      <c r="O148" s="74">
        <v>-39.2000007629394</v>
      </c>
      <c r="P148" s="74">
        <v>5.0</v>
      </c>
      <c r="Q148" s="74">
        <v>1.0</v>
      </c>
      <c r="R148" s="74">
        <v>0.0</v>
      </c>
      <c r="S148" s="74">
        <v>1.0</v>
      </c>
      <c r="T148" s="119"/>
      <c r="U148" s="119"/>
      <c r="V148" s="119"/>
      <c r="W148" s="119"/>
      <c r="X148" s="119"/>
      <c r="Y148" s="119"/>
      <c r="Z148" s="119"/>
      <c r="AA148" s="119"/>
      <c r="AB148" s="119"/>
      <c r="AC148" s="119"/>
      <c r="AD148" s="119"/>
      <c r="AE148" s="119"/>
      <c r="AF148" s="119"/>
      <c r="AG148" s="119"/>
      <c r="AH148" s="119"/>
      <c r="AI148" s="119"/>
      <c r="AJ148" s="119"/>
      <c r="AK148" s="119"/>
      <c r="AL148" s="119"/>
      <c r="AM148" s="119"/>
      <c r="AN148" s="119"/>
      <c r="AO148" s="119"/>
      <c r="AP148" s="119"/>
      <c r="AQ148" s="119"/>
      <c r="AR148" s="119"/>
      <c r="AS148" s="119"/>
      <c r="AT148" s="119"/>
      <c r="AU148" s="119"/>
      <c r="AV148" s="119"/>
      <c r="AW148" s="119"/>
      <c r="AX148" s="119"/>
      <c r="AY148" s="119"/>
      <c r="AZ148" s="119"/>
      <c r="BA148" s="119"/>
      <c r="BB148" s="119"/>
      <c r="BC148" s="119"/>
      <c r="BD148" s="119"/>
      <c r="BE148" s="119"/>
      <c r="BF148" s="119"/>
      <c r="BG148" s="119"/>
      <c r="BH148" s="119"/>
      <c r="BI148" s="119"/>
      <c r="BJ148" s="119"/>
      <c r="BK148" s="119"/>
      <c r="BL148" s="119"/>
      <c r="BM148" s="119"/>
      <c r="BN148" s="119"/>
      <c r="BO148" s="119"/>
      <c r="BP148" s="119"/>
      <c r="BQ148" s="119"/>
      <c r="BR148" s="119"/>
      <c r="BS148" s="119"/>
      <c r="BT148" s="119"/>
      <c r="BU148" s="119"/>
      <c r="BV148" s="119"/>
      <c r="BW148" s="119"/>
      <c r="BX148" s="119"/>
      <c r="BY148" s="119"/>
      <c r="BZ148" s="119"/>
      <c r="CA148" s="119"/>
      <c r="CB148" s="119"/>
      <c r="CC148" s="74" t="s">
        <v>3324</v>
      </c>
      <c r="CD148" s="74" t="s">
        <v>3142</v>
      </c>
      <c r="CE148" s="119"/>
      <c r="CF148" s="74" t="s">
        <v>2869</v>
      </c>
      <c r="CG148" s="120">
        <v>7691.0</v>
      </c>
      <c r="CH148" s="74" t="s">
        <v>3325</v>
      </c>
      <c r="CI148" s="74" t="s">
        <v>3326</v>
      </c>
      <c r="CJ148" s="120">
        <v>147.0</v>
      </c>
    </row>
    <row r="149">
      <c r="A149" s="74" t="s">
        <v>3327</v>
      </c>
      <c r="B149" s="74" t="s">
        <v>3328</v>
      </c>
      <c r="C149" s="119"/>
      <c r="D149" s="119"/>
      <c r="E149" s="74">
        <v>3.5215509147374E14</v>
      </c>
      <c r="F149" s="74">
        <v>58.0</v>
      </c>
      <c r="G149" s="74">
        <v>2.0</v>
      </c>
      <c r="H149" s="74">
        <v>2.0</v>
      </c>
      <c r="I149" s="74" t="s">
        <v>349</v>
      </c>
      <c r="J149" s="74" t="s">
        <v>349</v>
      </c>
      <c r="K149" s="74" t="s">
        <v>3329</v>
      </c>
      <c r="L149" s="74" t="s">
        <v>3330</v>
      </c>
      <c r="M149" s="74">
        <v>22.5505692</v>
      </c>
      <c r="N149" s="74">
        <v>88.3968551</v>
      </c>
      <c r="O149" s="74">
        <v>-46.599998474121</v>
      </c>
      <c r="P149" s="74">
        <v>5.0</v>
      </c>
      <c r="Q149" s="74">
        <v>1.0</v>
      </c>
      <c r="R149" s="74">
        <v>0.0</v>
      </c>
      <c r="S149" s="74">
        <v>1.0</v>
      </c>
      <c r="T149" s="119"/>
      <c r="U149" s="119"/>
      <c r="V149" s="119"/>
      <c r="W149" s="119"/>
      <c r="X149" s="119"/>
      <c r="Y149" s="119"/>
      <c r="Z149" s="119"/>
      <c r="AA149" s="119"/>
      <c r="AB149" s="119"/>
      <c r="AC149" s="119"/>
      <c r="AD149" s="119"/>
      <c r="AE149" s="119"/>
      <c r="AF149" s="119"/>
      <c r="AG149" s="119"/>
      <c r="AH149" s="119"/>
      <c r="AI149" s="119"/>
      <c r="AJ149" s="74">
        <v>1.0</v>
      </c>
      <c r="AK149" s="119"/>
      <c r="AL149" s="119"/>
      <c r="AM149" s="74">
        <v>5.0</v>
      </c>
      <c r="AN149" s="119"/>
      <c r="AO149" s="119"/>
      <c r="AP149" s="119"/>
      <c r="AQ149" s="119"/>
      <c r="AR149" s="119"/>
      <c r="AS149" s="119"/>
      <c r="AT149" s="119"/>
      <c r="AU149" s="119"/>
      <c r="AV149" s="119"/>
      <c r="AW149" s="119"/>
      <c r="AX149" s="119"/>
      <c r="AY149" s="119"/>
      <c r="AZ149" s="119"/>
      <c r="BA149" s="119"/>
      <c r="BB149" s="119"/>
      <c r="BC149" s="119"/>
      <c r="BD149" s="119"/>
      <c r="BE149" s="119"/>
      <c r="BF149" s="119"/>
      <c r="BG149" s="119"/>
      <c r="BH149" s="119"/>
      <c r="BI149" s="119"/>
      <c r="BJ149" s="119"/>
      <c r="BK149" s="119"/>
      <c r="BL149" s="119"/>
      <c r="BM149" s="119"/>
      <c r="BN149" s="119"/>
      <c r="BO149" s="119"/>
      <c r="BP149" s="119"/>
      <c r="BQ149" s="119"/>
      <c r="BR149" s="119"/>
      <c r="BS149" s="119"/>
      <c r="BT149" s="119"/>
      <c r="BU149" s="119"/>
      <c r="BV149" s="119"/>
      <c r="BW149" s="119"/>
      <c r="BX149" s="119"/>
      <c r="BY149" s="119"/>
      <c r="BZ149" s="119"/>
      <c r="CA149" s="119"/>
      <c r="CB149" s="119"/>
      <c r="CC149" s="74" t="s">
        <v>3149</v>
      </c>
      <c r="CD149" s="74" t="s">
        <v>2472</v>
      </c>
      <c r="CE149" s="74">
        <v>1.0</v>
      </c>
      <c r="CF149" s="74" t="s">
        <v>2869</v>
      </c>
      <c r="CG149" s="120">
        <v>7839.0</v>
      </c>
      <c r="CH149" s="74" t="s">
        <v>3332</v>
      </c>
      <c r="CI149" s="74" t="s">
        <v>3333</v>
      </c>
      <c r="CJ149" s="120">
        <v>148.0</v>
      </c>
    </row>
    <row r="150">
      <c r="A150" s="74" t="s">
        <v>3334</v>
      </c>
      <c r="B150" s="74" t="s">
        <v>3335</v>
      </c>
      <c r="C150" s="119"/>
      <c r="D150" s="119"/>
      <c r="E150" s="74">
        <v>3.5215509147374E14</v>
      </c>
      <c r="F150" s="74">
        <v>58.0</v>
      </c>
      <c r="G150" s="74">
        <v>2.0</v>
      </c>
      <c r="H150" s="74">
        <v>99.0</v>
      </c>
      <c r="I150" s="74" t="s">
        <v>3336</v>
      </c>
      <c r="J150" s="74" t="s">
        <v>3336</v>
      </c>
      <c r="K150" s="74" t="s">
        <v>3337</v>
      </c>
      <c r="L150" s="74" t="s">
        <v>3338</v>
      </c>
      <c r="M150" s="74">
        <v>22.5505545</v>
      </c>
      <c r="N150" s="74">
        <v>88.3968138</v>
      </c>
      <c r="O150" s="74">
        <v>-52.599998474121</v>
      </c>
      <c r="P150" s="74">
        <v>4.5</v>
      </c>
      <c r="Q150" s="74">
        <v>1.0</v>
      </c>
      <c r="R150" s="74">
        <v>0.0</v>
      </c>
      <c r="S150" s="74">
        <v>0.0</v>
      </c>
      <c r="T150" s="74">
        <v>1.0</v>
      </c>
      <c r="U150" s="119"/>
      <c r="V150" s="119"/>
      <c r="W150" s="119"/>
      <c r="X150" s="119"/>
      <c r="Y150" s="119"/>
      <c r="Z150" s="119"/>
      <c r="AA150" s="119"/>
      <c r="AB150" s="119"/>
      <c r="AC150" s="119"/>
      <c r="AD150" s="119"/>
      <c r="AE150" s="119"/>
      <c r="AF150" s="119"/>
      <c r="AG150" s="119"/>
      <c r="AH150" s="119"/>
      <c r="AI150" s="119"/>
      <c r="AJ150" s="119"/>
      <c r="AK150" s="119"/>
      <c r="AL150" s="119"/>
      <c r="AM150" s="119"/>
      <c r="AN150" s="119"/>
      <c r="AO150" s="119"/>
      <c r="AP150" s="119"/>
      <c r="AQ150" s="119"/>
      <c r="AR150" s="119"/>
      <c r="AS150" s="119"/>
      <c r="AT150" s="119"/>
      <c r="AU150" s="119"/>
      <c r="AV150" s="119"/>
      <c r="AW150" s="119"/>
      <c r="AX150" s="119"/>
      <c r="AY150" s="119"/>
      <c r="AZ150" s="119"/>
      <c r="BA150" s="119"/>
      <c r="BB150" s="119"/>
      <c r="BC150" s="119"/>
      <c r="BD150" s="119"/>
      <c r="BE150" s="119"/>
      <c r="BF150" s="119"/>
      <c r="BG150" s="119"/>
      <c r="BH150" s="119"/>
      <c r="BI150" s="119"/>
      <c r="BJ150" s="119"/>
      <c r="BK150" s="119"/>
      <c r="BL150" s="119"/>
      <c r="BM150" s="119"/>
      <c r="BN150" s="119"/>
      <c r="BO150" s="119"/>
      <c r="BP150" s="119"/>
      <c r="BQ150" s="119"/>
      <c r="BR150" s="119"/>
      <c r="BS150" s="119"/>
      <c r="BT150" s="119"/>
      <c r="BU150" s="119"/>
      <c r="BV150" s="119"/>
      <c r="BW150" s="119"/>
      <c r="BX150" s="119"/>
      <c r="BY150" s="119"/>
      <c r="BZ150" s="119"/>
      <c r="CA150" s="119"/>
      <c r="CB150" s="119"/>
      <c r="CC150" s="74" t="s">
        <v>3339</v>
      </c>
      <c r="CD150" s="74" t="s">
        <v>2472</v>
      </c>
      <c r="CE150" s="119"/>
      <c r="CF150" s="74" t="s">
        <v>2869</v>
      </c>
      <c r="CG150" s="120">
        <v>7840.0</v>
      </c>
      <c r="CH150" s="74" t="s">
        <v>3341</v>
      </c>
      <c r="CI150" s="74" t="s">
        <v>3342</v>
      </c>
      <c r="CJ150" s="120">
        <v>149.0</v>
      </c>
    </row>
    <row r="151">
      <c r="A151" s="74" t="s">
        <v>3343</v>
      </c>
      <c r="B151" s="74" t="s">
        <v>3344</v>
      </c>
      <c r="C151" s="119"/>
      <c r="D151" s="119"/>
      <c r="E151" s="74">
        <v>3.5215509147374E14</v>
      </c>
      <c r="F151" s="74">
        <v>58.0</v>
      </c>
      <c r="G151" s="74">
        <v>2.0</v>
      </c>
      <c r="H151" s="74">
        <v>10.0</v>
      </c>
      <c r="I151" s="74" t="s">
        <v>3345</v>
      </c>
      <c r="J151" s="74" t="s">
        <v>3345</v>
      </c>
      <c r="K151" s="74" t="s">
        <v>3346</v>
      </c>
      <c r="L151" s="74" t="s">
        <v>3347</v>
      </c>
      <c r="M151" s="74">
        <v>22.5504309</v>
      </c>
      <c r="N151" s="74">
        <v>88.3970895</v>
      </c>
      <c r="O151" s="74">
        <v>-44.9000015258789</v>
      </c>
      <c r="P151" s="74">
        <v>4.5</v>
      </c>
      <c r="Q151" s="74">
        <v>1.0</v>
      </c>
      <c r="R151" s="74">
        <v>0.0</v>
      </c>
      <c r="S151" s="74">
        <v>1.0</v>
      </c>
      <c r="T151" s="119"/>
      <c r="U151" s="119"/>
      <c r="V151" s="119"/>
      <c r="W151" s="119"/>
      <c r="X151" s="119"/>
      <c r="Y151" s="119"/>
      <c r="Z151" s="119"/>
      <c r="AA151" s="119"/>
      <c r="AB151" s="119"/>
      <c r="AC151" s="119"/>
      <c r="AD151" s="119"/>
      <c r="AE151" s="119"/>
      <c r="AF151" s="119"/>
      <c r="AG151" s="119"/>
      <c r="AH151" s="119"/>
      <c r="AI151" s="119"/>
      <c r="AJ151" s="119"/>
      <c r="AK151" s="119"/>
      <c r="AL151" s="119"/>
      <c r="AM151" s="119"/>
      <c r="AN151" s="119"/>
      <c r="AO151" s="119"/>
      <c r="AP151" s="119"/>
      <c r="AQ151" s="119"/>
      <c r="AR151" s="119"/>
      <c r="AS151" s="119"/>
      <c r="AT151" s="119"/>
      <c r="AU151" s="119"/>
      <c r="AV151" s="119"/>
      <c r="AW151" s="119"/>
      <c r="AX151" s="119"/>
      <c r="AY151" s="119"/>
      <c r="AZ151" s="119"/>
      <c r="BA151" s="119"/>
      <c r="BB151" s="119"/>
      <c r="BC151" s="119"/>
      <c r="BD151" s="119"/>
      <c r="BE151" s="119"/>
      <c r="BF151" s="119"/>
      <c r="BG151" s="119"/>
      <c r="BH151" s="119"/>
      <c r="BI151" s="119"/>
      <c r="BJ151" s="119"/>
      <c r="BK151" s="119"/>
      <c r="BL151" s="119"/>
      <c r="BM151" s="119"/>
      <c r="BN151" s="119"/>
      <c r="BO151" s="119"/>
      <c r="BP151" s="119"/>
      <c r="BQ151" s="119"/>
      <c r="BR151" s="119"/>
      <c r="BS151" s="119"/>
      <c r="BT151" s="119"/>
      <c r="BU151" s="119"/>
      <c r="BV151" s="74">
        <v>88.0</v>
      </c>
      <c r="BW151" s="74" t="s">
        <v>3348</v>
      </c>
      <c r="BX151" s="119"/>
      <c r="BY151" s="119"/>
      <c r="BZ151" s="119"/>
      <c r="CA151" s="119"/>
      <c r="CB151" s="119"/>
      <c r="CC151" s="74" t="s">
        <v>2949</v>
      </c>
      <c r="CD151" s="74" t="s">
        <v>2472</v>
      </c>
      <c r="CE151" s="74">
        <v>0.0</v>
      </c>
      <c r="CF151" s="74" t="s">
        <v>2869</v>
      </c>
      <c r="CG151" s="120">
        <v>7841.0</v>
      </c>
      <c r="CH151" s="74" t="s">
        <v>3349</v>
      </c>
      <c r="CI151" s="74" t="s">
        <v>3350</v>
      </c>
      <c r="CJ151" s="120">
        <v>150.0</v>
      </c>
    </row>
    <row r="152">
      <c r="A152" s="74" t="s">
        <v>3351</v>
      </c>
      <c r="B152" s="74" t="s">
        <v>3352</v>
      </c>
      <c r="C152" s="119"/>
      <c r="D152" s="119"/>
      <c r="E152" s="74">
        <v>3.5215509147374E14</v>
      </c>
      <c r="F152" s="74">
        <v>58.0</v>
      </c>
      <c r="G152" s="74">
        <v>2.0</v>
      </c>
      <c r="H152" s="74">
        <v>99.0</v>
      </c>
      <c r="I152" s="74" t="s">
        <v>3353</v>
      </c>
      <c r="J152" s="74" t="s">
        <v>3353</v>
      </c>
      <c r="K152" s="74" t="s">
        <v>3354</v>
      </c>
      <c r="L152" s="74" t="s">
        <v>3355</v>
      </c>
      <c r="M152" s="74">
        <v>22.5504144</v>
      </c>
      <c r="N152" s="74">
        <v>88.396995</v>
      </c>
      <c r="O152" s="74">
        <v>-51.7999992370605</v>
      </c>
      <c r="P152" s="74">
        <v>5.0</v>
      </c>
      <c r="Q152" s="74">
        <v>1.0</v>
      </c>
      <c r="R152" s="74">
        <v>0.0</v>
      </c>
      <c r="S152" s="74">
        <v>1.0</v>
      </c>
      <c r="T152" s="119"/>
      <c r="U152" s="119"/>
      <c r="V152" s="119"/>
      <c r="W152" s="119"/>
      <c r="X152" s="119"/>
      <c r="Y152" s="119"/>
      <c r="Z152" s="119"/>
      <c r="AA152" s="119"/>
      <c r="AB152" s="119"/>
      <c r="AC152" s="119"/>
      <c r="AD152" s="119"/>
      <c r="AE152" s="119"/>
      <c r="AF152" s="119"/>
      <c r="AG152" s="119"/>
      <c r="AH152" s="119"/>
      <c r="AI152" s="119"/>
      <c r="AJ152" s="119"/>
      <c r="AK152" s="119"/>
      <c r="AL152" s="119"/>
      <c r="AM152" s="119"/>
      <c r="AN152" s="119"/>
      <c r="AO152" s="119"/>
      <c r="AP152" s="119"/>
      <c r="AQ152" s="119"/>
      <c r="AR152" s="119"/>
      <c r="AS152" s="119"/>
      <c r="AT152" s="119"/>
      <c r="AU152" s="119"/>
      <c r="AV152" s="119"/>
      <c r="AW152" s="119"/>
      <c r="AX152" s="119"/>
      <c r="AY152" s="119"/>
      <c r="AZ152" s="119"/>
      <c r="BA152" s="119"/>
      <c r="BB152" s="119"/>
      <c r="BC152" s="119"/>
      <c r="BD152" s="119"/>
      <c r="BE152" s="119"/>
      <c r="BF152" s="119"/>
      <c r="BG152" s="119"/>
      <c r="BH152" s="119"/>
      <c r="BI152" s="119"/>
      <c r="BJ152" s="119"/>
      <c r="BK152" s="119"/>
      <c r="BL152" s="119"/>
      <c r="BM152" s="119"/>
      <c r="BN152" s="119"/>
      <c r="BO152" s="119"/>
      <c r="BP152" s="119"/>
      <c r="BQ152" s="119"/>
      <c r="BR152" s="119"/>
      <c r="BS152" s="119"/>
      <c r="BT152" s="119"/>
      <c r="BU152" s="119"/>
      <c r="BV152" s="119"/>
      <c r="BW152" s="119"/>
      <c r="BX152" s="119"/>
      <c r="BY152" s="119"/>
      <c r="BZ152" s="119"/>
      <c r="CA152" s="119"/>
      <c r="CB152" s="119"/>
      <c r="CC152" s="74" t="s">
        <v>3357</v>
      </c>
      <c r="CD152" s="74" t="s">
        <v>2472</v>
      </c>
      <c r="CE152" s="119"/>
      <c r="CF152" s="74" t="s">
        <v>2869</v>
      </c>
      <c r="CG152" s="120">
        <v>7842.0</v>
      </c>
      <c r="CH152" s="74" t="s">
        <v>3358</v>
      </c>
      <c r="CI152" s="74" t="s">
        <v>3359</v>
      </c>
      <c r="CJ152" s="120">
        <v>151.0</v>
      </c>
    </row>
    <row r="153">
      <c r="A153" s="74" t="s">
        <v>3360</v>
      </c>
      <c r="B153" s="74" t="s">
        <v>3361</v>
      </c>
      <c r="C153" s="119"/>
      <c r="D153" s="119"/>
      <c r="E153" s="74">
        <v>3.52155090281144E14</v>
      </c>
      <c r="F153" s="74">
        <v>58.0</v>
      </c>
      <c r="G153" s="74">
        <v>2.0</v>
      </c>
      <c r="H153" s="74">
        <v>5.0</v>
      </c>
      <c r="I153" s="74" t="s">
        <v>3362</v>
      </c>
      <c r="J153" s="74" t="s">
        <v>3362</v>
      </c>
      <c r="K153" s="74" t="s">
        <v>3363</v>
      </c>
      <c r="L153" s="74" t="s">
        <v>3364</v>
      </c>
      <c r="M153" s="74">
        <v>22.5473987</v>
      </c>
      <c r="N153" s="74">
        <v>88.3964896</v>
      </c>
      <c r="O153" s="74">
        <v>-41.599998474121</v>
      </c>
      <c r="P153" s="74">
        <v>5.0</v>
      </c>
      <c r="Q153" s="74">
        <v>1.0</v>
      </c>
      <c r="R153" s="74">
        <v>0.0</v>
      </c>
      <c r="S153" s="74">
        <v>0.0</v>
      </c>
      <c r="T153" s="74">
        <v>1.0</v>
      </c>
      <c r="U153" s="119"/>
      <c r="V153" s="119"/>
      <c r="W153" s="119"/>
      <c r="X153" s="119"/>
      <c r="Y153" s="119"/>
      <c r="Z153" s="119"/>
      <c r="AA153" s="119"/>
      <c r="AB153" s="119"/>
      <c r="AC153" s="119"/>
      <c r="AD153" s="119"/>
      <c r="AE153" s="119"/>
      <c r="AF153" s="119"/>
      <c r="AG153" s="119"/>
      <c r="AH153" s="119"/>
      <c r="AI153" s="119"/>
      <c r="AJ153" s="119"/>
      <c r="AK153" s="119"/>
      <c r="AL153" s="119"/>
      <c r="AM153" s="119"/>
      <c r="AN153" s="119"/>
      <c r="AO153" s="119"/>
      <c r="AP153" s="119"/>
      <c r="AQ153" s="119"/>
      <c r="AR153" s="119"/>
      <c r="AS153" s="119"/>
      <c r="AT153" s="119"/>
      <c r="AU153" s="119"/>
      <c r="AV153" s="119"/>
      <c r="AW153" s="119"/>
      <c r="AX153" s="119"/>
      <c r="AY153" s="119"/>
      <c r="AZ153" s="119"/>
      <c r="BA153" s="119"/>
      <c r="BB153" s="119"/>
      <c r="BC153" s="119"/>
      <c r="BD153" s="74">
        <v>2.0</v>
      </c>
      <c r="BE153" s="119"/>
      <c r="BF153" s="119"/>
      <c r="BG153" s="119"/>
      <c r="BH153" s="119"/>
      <c r="BI153" s="119"/>
      <c r="BJ153" s="119"/>
      <c r="BK153" s="119"/>
      <c r="BL153" s="119"/>
      <c r="BM153" s="119"/>
      <c r="BN153" s="119"/>
      <c r="BO153" s="119"/>
      <c r="BP153" s="119"/>
      <c r="BQ153" s="119"/>
      <c r="BR153" s="119"/>
      <c r="BS153" s="119"/>
      <c r="BT153" s="119"/>
      <c r="BU153" s="119"/>
      <c r="BV153" s="119"/>
      <c r="BW153" s="119"/>
      <c r="BX153" s="119"/>
      <c r="BY153" s="119"/>
      <c r="BZ153" s="119"/>
      <c r="CA153" s="119"/>
      <c r="CB153" s="119"/>
      <c r="CC153" s="74" t="s">
        <v>3193</v>
      </c>
      <c r="CD153" s="74" t="s">
        <v>2899</v>
      </c>
      <c r="CE153" s="74">
        <v>1.0</v>
      </c>
      <c r="CF153" s="74" t="s">
        <v>2869</v>
      </c>
      <c r="CG153" s="120">
        <v>8082.0</v>
      </c>
      <c r="CH153" s="74" t="s">
        <v>3366</v>
      </c>
      <c r="CI153" s="74" t="s">
        <v>3367</v>
      </c>
      <c r="CJ153" s="120">
        <v>152.0</v>
      </c>
    </row>
    <row r="154">
      <c r="A154" s="74" t="s">
        <v>3368</v>
      </c>
      <c r="B154" s="74" t="s">
        <v>3369</v>
      </c>
      <c r="C154" s="119"/>
      <c r="D154" s="119"/>
      <c r="E154" s="74">
        <v>3.52155090281144E14</v>
      </c>
      <c r="F154" s="74">
        <v>58.0</v>
      </c>
      <c r="G154" s="74">
        <v>2.0</v>
      </c>
      <c r="H154" s="74">
        <v>99.0</v>
      </c>
      <c r="I154" s="74" t="s">
        <v>3370</v>
      </c>
      <c r="J154" s="74" t="s">
        <v>3370</v>
      </c>
      <c r="K154" s="74" t="s">
        <v>3371</v>
      </c>
      <c r="L154" s="74" t="s">
        <v>3372</v>
      </c>
      <c r="M154" s="74">
        <v>22.5472438</v>
      </c>
      <c r="N154" s="74">
        <v>88.3965026</v>
      </c>
      <c r="O154" s="74">
        <v>-65.6999969482421</v>
      </c>
      <c r="P154" s="74">
        <v>5.0</v>
      </c>
      <c r="Q154" s="74">
        <v>1.0</v>
      </c>
      <c r="R154" s="74">
        <v>0.0</v>
      </c>
      <c r="S154" s="74">
        <v>0.0</v>
      </c>
      <c r="T154" s="74">
        <v>1.0</v>
      </c>
      <c r="U154" s="119"/>
      <c r="V154" s="119"/>
      <c r="W154" s="119"/>
      <c r="X154" s="119"/>
      <c r="Y154" s="119"/>
      <c r="Z154" s="119"/>
      <c r="AA154" s="119"/>
      <c r="AB154" s="119"/>
      <c r="AC154" s="119"/>
      <c r="AD154" s="119"/>
      <c r="AE154" s="119"/>
      <c r="AF154" s="119"/>
      <c r="AG154" s="119"/>
      <c r="AH154" s="119"/>
      <c r="AI154" s="119"/>
      <c r="AJ154" s="119"/>
      <c r="AK154" s="119"/>
      <c r="AL154" s="119"/>
      <c r="AM154" s="119"/>
      <c r="AN154" s="119"/>
      <c r="AO154" s="119"/>
      <c r="AP154" s="119"/>
      <c r="AQ154" s="119"/>
      <c r="AR154" s="119"/>
      <c r="AS154" s="119"/>
      <c r="AT154" s="119"/>
      <c r="AU154" s="119"/>
      <c r="AV154" s="119"/>
      <c r="AW154" s="119"/>
      <c r="AX154" s="119"/>
      <c r="AY154" s="119"/>
      <c r="AZ154" s="119"/>
      <c r="BA154" s="119"/>
      <c r="BB154" s="119"/>
      <c r="BC154" s="119"/>
      <c r="BD154" s="119"/>
      <c r="BE154" s="119"/>
      <c r="BF154" s="119"/>
      <c r="BG154" s="119"/>
      <c r="BH154" s="119"/>
      <c r="BI154" s="119"/>
      <c r="BJ154" s="119"/>
      <c r="BK154" s="119"/>
      <c r="BL154" s="119"/>
      <c r="BM154" s="119"/>
      <c r="BN154" s="119"/>
      <c r="BO154" s="119"/>
      <c r="BP154" s="119"/>
      <c r="BQ154" s="119"/>
      <c r="BR154" s="119"/>
      <c r="BS154" s="119"/>
      <c r="BT154" s="119"/>
      <c r="BU154" s="119"/>
      <c r="BV154" s="119"/>
      <c r="BW154" s="119"/>
      <c r="BX154" s="119"/>
      <c r="BY154" s="119"/>
      <c r="BZ154" s="119"/>
      <c r="CA154" s="119"/>
      <c r="CB154" s="119"/>
      <c r="CC154" s="74" t="s">
        <v>3193</v>
      </c>
      <c r="CD154" s="74" t="s">
        <v>2899</v>
      </c>
      <c r="CE154" s="119"/>
      <c r="CF154" s="74" t="s">
        <v>2869</v>
      </c>
      <c r="CG154" s="120">
        <v>8083.0</v>
      </c>
      <c r="CH154" s="74" t="s">
        <v>3374</v>
      </c>
      <c r="CI154" s="74" t="s">
        <v>3375</v>
      </c>
      <c r="CJ154" s="120">
        <v>153.0</v>
      </c>
    </row>
    <row r="155">
      <c r="A155" s="74" t="s">
        <v>3376</v>
      </c>
      <c r="B155" s="74" t="s">
        <v>3377</v>
      </c>
      <c r="C155" s="119"/>
      <c r="D155" s="119"/>
      <c r="E155" s="74">
        <v>3.52155090281144E14</v>
      </c>
      <c r="F155" s="74">
        <v>58.0</v>
      </c>
      <c r="G155" s="74">
        <v>2.0</v>
      </c>
      <c r="H155" s="74">
        <v>8.0</v>
      </c>
      <c r="I155" s="74" t="s">
        <v>2384</v>
      </c>
      <c r="J155" s="74" t="s">
        <v>2384</v>
      </c>
      <c r="K155" s="74" t="s">
        <v>3378</v>
      </c>
      <c r="L155" s="74" t="s">
        <v>3379</v>
      </c>
      <c r="M155" s="74">
        <v>22.5508076</v>
      </c>
      <c r="N155" s="74">
        <v>88.396988</v>
      </c>
      <c r="O155" s="74">
        <v>-27.3999996185302</v>
      </c>
      <c r="P155" s="74">
        <v>5.0</v>
      </c>
      <c r="Q155" s="74">
        <v>1.0</v>
      </c>
      <c r="R155" s="74">
        <v>0.0</v>
      </c>
      <c r="S155" s="74">
        <v>0.0</v>
      </c>
      <c r="T155" s="74">
        <v>1.0</v>
      </c>
      <c r="U155" s="119"/>
      <c r="V155" s="74">
        <v>3.0</v>
      </c>
      <c r="W155" s="74">
        <v>3.0</v>
      </c>
      <c r="X155" s="119"/>
      <c r="Y155" s="74">
        <v>10.0</v>
      </c>
      <c r="Z155" s="119"/>
      <c r="AA155" s="119"/>
      <c r="AB155" s="119"/>
      <c r="AC155" s="119"/>
      <c r="AD155" s="119"/>
      <c r="AE155" s="119"/>
      <c r="AF155" s="119"/>
      <c r="AG155" s="119"/>
      <c r="AH155" s="119"/>
      <c r="AI155" s="119"/>
      <c r="AJ155" s="119"/>
      <c r="AK155" s="119"/>
      <c r="AL155" s="119"/>
      <c r="AM155" s="119"/>
      <c r="AN155" s="119"/>
      <c r="AO155" s="119"/>
      <c r="AP155" s="119"/>
      <c r="AQ155" s="119"/>
      <c r="AR155" s="119"/>
      <c r="AS155" s="119"/>
      <c r="AT155" s="119"/>
      <c r="AU155" s="119"/>
      <c r="AV155" s="119"/>
      <c r="AW155" s="119"/>
      <c r="AX155" s="119"/>
      <c r="AY155" s="119"/>
      <c r="AZ155" s="119"/>
      <c r="BA155" s="119"/>
      <c r="BB155" s="119"/>
      <c r="BC155" s="119"/>
      <c r="BD155" s="119"/>
      <c r="BE155" s="119"/>
      <c r="BF155" s="119"/>
      <c r="BG155" s="119"/>
      <c r="BH155" s="119"/>
      <c r="BI155" s="119"/>
      <c r="BJ155" s="119"/>
      <c r="BK155" s="119"/>
      <c r="BL155" s="119"/>
      <c r="BM155" s="119"/>
      <c r="BN155" s="119"/>
      <c r="BO155" s="119"/>
      <c r="BP155" s="119"/>
      <c r="BQ155" s="119"/>
      <c r="BR155" s="119"/>
      <c r="BS155" s="119"/>
      <c r="BT155" s="119"/>
      <c r="BU155" s="119"/>
      <c r="BV155" s="119"/>
      <c r="BW155" s="119"/>
      <c r="BX155" s="119"/>
      <c r="BY155" s="119"/>
      <c r="BZ155" s="119"/>
      <c r="CA155" s="119"/>
      <c r="CB155" s="119"/>
      <c r="CC155" s="74" t="s">
        <v>3193</v>
      </c>
      <c r="CD155" s="74" t="s">
        <v>2899</v>
      </c>
      <c r="CE155" s="74">
        <v>1.0</v>
      </c>
      <c r="CF155" s="74" t="s">
        <v>2869</v>
      </c>
      <c r="CG155" s="120">
        <v>8084.0</v>
      </c>
      <c r="CH155" s="74" t="s">
        <v>3381</v>
      </c>
      <c r="CI155" s="74" t="s">
        <v>3382</v>
      </c>
      <c r="CJ155" s="120">
        <v>154.0</v>
      </c>
    </row>
    <row r="156">
      <c r="A156" s="74" t="s">
        <v>3383</v>
      </c>
      <c r="B156" s="74" t="s">
        <v>3384</v>
      </c>
      <c r="C156" s="119"/>
      <c r="D156" s="119"/>
      <c r="E156" s="74">
        <v>3.52155090281144E14</v>
      </c>
      <c r="F156" s="74">
        <v>58.0</v>
      </c>
      <c r="G156" s="74">
        <v>2.0</v>
      </c>
      <c r="H156" s="74">
        <v>99.0</v>
      </c>
      <c r="I156" s="74" t="s">
        <v>3385</v>
      </c>
      <c r="J156" s="74" t="s">
        <v>3385</v>
      </c>
      <c r="K156" s="74" t="s">
        <v>3386</v>
      </c>
      <c r="L156" s="74" t="s">
        <v>3387</v>
      </c>
      <c r="M156" s="74">
        <v>22.5507547</v>
      </c>
      <c r="N156" s="74">
        <v>88.3970828</v>
      </c>
      <c r="O156" s="74">
        <v>-34.2999992370605</v>
      </c>
      <c r="P156" s="74">
        <v>5.0</v>
      </c>
      <c r="Q156" s="74">
        <v>1.0</v>
      </c>
      <c r="R156" s="74">
        <v>0.0</v>
      </c>
      <c r="S156" s="74">
        <v>0.0</v>
      </c>
      <c r="T156" s="74">
        <v>1.0</v>
      </c>
      <c r="U156" s="119"/>
      <c r="V156" s="119"/>
      <c r="W156" s="119"/>
      <c r="X156" s="119"/>
      <c r="Y156" s="119"/>
      <c r="Z156" s="119"/>
      <c r="AA156" s="119"/>
      <c r="AB156" s="119"/>
      <c r="AC156" s="119"/>
      <c r="AD156" s="119"/>
      <c r="AE156" s="119"/>
      <c r="AF156" s="119"/>
      <c r="AG156" s="119"/>
      <c r="AH156" s="119"/>
      <c r="AI156" s="119"/>
      <c r="AJ156" s="119"/>
      <c r="AK156" s="119"/>
      <c r="AL156" s="119"/>
      <c r="AM156" s="119"/>
      <c r="AN156" s="119"/>
      <c r="AO156" s="119"/>
      <c r="AP156" s="119"/>
      <c r="AQ156" s="119"/>
      <c r="AR156" s="119"/>
      <c r="AS156" s="119"/>
      <c r="AT156" s="119"/>
      <c r="AU156" s="119"/>
      <c r="AV156" s="119"/>
      <c r="AW156" s="119"/>
      <c r="AX156" s="119"/>
      <c r="AY156" s="119"/>
      <c r="AZ156" s="119"/>
      <c r="BA156" s="119"/>
      <c r="BB156" s="119"/>
      <c r="BC156" s="119"/>
      <c r="BD156" s="119"/>
      <c r="BE156" s="119"/>
      <c r="BF156" s="119"/>
      <c r="BG156" s="119"/>
      <c r="BH156" s="119"/>
      <c r="BI156" s="119"/>
      <c r="BJ156" s="119"/>
      <c r="BK156" s="119"/>
      <c r="BL156" s="119"/>
      <c r="BM156" s="119"/>
      <c r="BN156" s="119"/>
      <c r="BO156" s="119"/>
      <c r="BP156" s="119"/>
      <c r="BQ156" s="119"/>
      <c r="BR156" s="119"/>
      <c r="BS156" s="119"/>
      <c r="BT156" s="119"/>
      <c r="BU156" s="119"/>
      <c r="BV156" s="119"/>
      <c r="BW156" s="119"/>
      <c r="BX156" s="119"/>
      <c r="BY156" s="119"/>
      <c r="BZ156" s="119"/>
      <c r="CA156" s="119"/>
      <c r="CB156" s="119"/>
      <c r="CC156" s="74" t="s">
        <v>3388</v>
      </c>
      <c r="CD156" s="74" t="s">
        <v>2899</v>
      </c>
      <c r="CE156" s="119"/>
      <c r="CF156" s="74" t="s">
        <v>2869</v>
      </c>
      <c r="CG156" s="120">
        <v>8085.0</v>
      </c>
      <c r="CH156" s="74" t="s">
        <v>3389</v>
      </c>
      <c r="CI156" s="74" t="s">
        <v>3390</v>
      </c>
      <c r="CJ156" s="120">
        <v>155.0</v>
      </c>
    </row>
    <row r="157">
      <c r="A157" s="50" t="s">
        <v>3391</v>
      </c>
      <c r="B157" s="50" t="s">
        <v>3392</v>
      </c>
      <c r="C157" s="116"/>
      <c r="D157" s="116"/>
      <c r="E157" s="50">
        <v>3.5215509147374E14</v>
      </c>
      <c r="F157" s="50">
        <v>58.0</v>
      </c>
      <c r="G157" s="50">
        <v>2.0</v>
      </c>
      <c r="H157" s="50">
        <v>3.0</v>
      </c>
      <c r="I157" s="50" t="s">
        <v>2339</v>
      </c>
      <c r="J157" s="50" t="s">
        <v>2339</v>
      </c>
      <c r="K157" s="50" t="s">
        <v>3393</v>
      </c>
      <c r="L157" s="50" t="s">
        <v>3394</v>
      </c>
      <c r="M157" s="50">
        <v>22.5516403</v>
      </c>
      <c r="N157" s="50">
        <v>88.3956865</v>
      </c>
      <c r="O157" s="50">
        <v>-51.5</v>
      </c>
      <c r="P157" s="50">
        <v>5.0</v>
      </c>
      <c r="Q157" s="50">
        <v>3.0</v>
      </c>
      <c r="R157" s="50">
        <v>1.0</v>
      </c>
      <c r="S157" s="116"/>
      <c r="T157" s="116"/>
      <c r="U157" s="116"/>
      <c r="V157" s="116"/>
      <c r="W157" s="116"/>
      <c r="X157" s="116"/>
      <c r="Y157" s="116"/>
      <c r="Z157" s="116"/>
      <c r="AA157" s="116"/>
      <c r="AB157" s="116"/>
      <c r="AC157" s="116"/>
      <c r="AD157" s="116"/>
      <c r="AE157" s="116"/>
      <c r="AF157" s="116"/>
      <c r="AG157" s="116"/>
      <c r="AH157" s="116"/>
      <c r="AI157" s="116"/>
      <c r="AJ157" s="116"/>
      <c r="AK157" s="116"/>
      <c r="AL157" s="116"/>
      <c r="AM157" s="116"/>
      <c r="AN157" s="116"/>
      <c r="AO157" s="50">
        <v>4.0</v>
      </c>
      <c r="AP157" s="116"/>
      <c r="AQ157" s="50">
        <v>0.0</v>
      </c>
      <c r="AR157" s="116"/>
      <c r="AS157" s="116"/>
      <c r="AT157" s="116"/>
      <c r="AU157" s="116"/>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50" t="s">
        <v>3200</v>
      </c>
      <c r="CD157" s="50" t="s">
        <v>2327</v>
      </c>
      <c r="CE157" s="50">
        <v>1.0</v>
      </c>
      <c r="CF157" s="50" t="s">
        <v>2869</v>
      </c>
      <c r="CG157" s="117">
        <v>8282.0</v>
      </c>
      <c r="CH157" s="50" t="s">
        <v>3396</v>
      </c>
      <c r="CI157" s="50" t="s">
        <v>3397</v>
      </c>
      <c r="CJ157" s="117">
        <v>156.0</v>
      </c>
    </row>
    <row r="158">
      <c r="A158" s="50" t="s">
        <v>3398</v>
      </c>
      <c r="B158" s="50" t="s">
        <v>3399</v>
      </c>
      <c r="C158" s="116"/>
      <c r="D158" s="116"/>
      <c r="E158" s="50">
        <v>3.5215509147374E14</v>
      </c>
      <c r="F158" s="50">
        <v>58.0</v>
      </c>
      <c r="G158" s="50">
        <v>2.0</v>
      </c>
      <c r="H158" s="50">
        <v>99.0</v>
      </c>
      <c r="I158" s="50" t="s">
        <v>3400</v>
      </c>
      <c r="J158" s="50" t="s">
        <v>3400</v>
      </c>
      <c r="K158" s="50" t="s">
        <v>3401</v>
      </c>
      <c r="L158" s="50" t="s">
        <v>3402</v>
      </c>
      <c r="M158" s="50">
        <v>22.5518259</v>
      </c>
      <c r="N158" s="50">
        <v>88.3956346</v>
      </c>
      <c r="O158" s="50">
        <v>-64.9000015258789</v>
      </c>
      <c r="P158" s="50">
        <v>5.0</v>
      </c>
      <c r="Q158" s="50">
        <v>3.0</v>
      </c>
      <c r="R158" s="50">
        <v>1.0</v>
      </c>
      <c r="S158" s="116"/>
      <c r="T158" s="116"/>
      <c r="U158" s="116"/>
      <c r="V158" s="116"/>
      <c r="W158" s="116"/>
      <c r="X158" s="116"/>
      <c r="Y158" s="116"/>
      <c r="Z158" s="116"/>
      <c r="AA158" s="116"/>
      <c r="AB158" s="116"/>
      <c r="AC158" s="116"/>
      <c r="AD158" s="116"/>
      <c r="AE158" s="116"/>
      <c r="AF158" s="116"/>
      <c r="AG158" s="116"/>
      <c r="AH158" s="116"/>
      <c r="AI158" s="116"/>
      <c r="AJ158" s="116"/>
      <c r="AK158" s="116"/>
      <c r="AL158" s="116"/>
      <c r="AM158" s="116"/>
      <c r="AN158" s="116"/>
      <c r="AO158" s="116"/>
      <c r="AP158" s="116"/>
      <c r="AQ158" s="116"/>
      <c r="AR158" s="116"/>
      <c r="AS158" s="116"/>
      <c r="AT158" s="116"/>
      <c r="AU158" s="116"/>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50" t="s">
        <v>3404</v>
      </c>
      <c r="CD158" s="50" t="s">
        <v>2327</v>
      </c>
      <c r="CE158" s="116"/>
      <c r="CF158" s="50" t="s">
        <v>2869</v>
      </c>
      <c r="CG158" s="117">
        <v>8283.0</v>
      </c>
      <c r="CH158" s="50" t="s">
        <v>3405</v>
      </c>
      <c r="CI158" s="50" t="s">
        <v>3406</v>
      </c>
      <c r="CJ158" s="117">
        <v>157.0</v>
      </c>
    </row>
    <row r="159">
      <c r="A159" s="50" t="s">
        <v>3407</v>
      </c>
      <c r="B159" s="50" t="s">
        <v>3408</v>
      </c>
      <c r="C159" s="116"/>
      <c r="D159" s="116"/>
      <c r="E159" s="50">
        <v>3.5215509147374E14</v>
      </c>
      <c r="F159" s="50">
        <v>58.0</v>
      </c>
      <c r="G159" s="50">
        <v>2.0</v>
      </c>
      <c r="H159" s="50">
        <v>10.0</v>
      </c>
      <c r="I159" s="50" t="s">
        <v>3409</v>
      </c>
      <c r="J159" s="50" t="s">
        <v>3409</v>
      </c>
      <c r="K159" s="50" t="s">
        <v>3410</v>
      </c>
      <c r="L159" s="50" t="s">
        <v>3411</v>
      </c>
      <c r="M159" s="50">
        <v>22.5505051</v>
      </c>
      <c r="N159" s="50">
        <v>88.3969294</v>
      </c>
      <c r="O159" s="50">
        <v>-53.2000007629394</v>
      </c>
      <c r="P159" s="50">
        <v>5.0</v>
      </c>
      <c r="Q159" s="50">
        <v>3.0</v>
      </c>
      <c r="R159" s="50">
        <v>1.0</v>
      </c>
      <c r="S159" s="116"/>
      <c r="T159" s="116"/>
      <c r="U159" s="116"/>
      <c r="V159" s="116"/>
      <c r="W159" s="116"/>
      <c r="X159" s="116"/>
      <c r="Y159" s="116"/>
      <c r="Z159" s="116"/>
      <c r="AA159" s="116"/>
      <c r="AB159" s="116"/>
      <c r="AC159" s="116"/>
      <c r="AD159" s="116"/>
      <c r="AE159" s="116"/>
      <c r="AF159" s="116"/>
      <c r="AG159" s="116"/>
      <c r="AH159" s="116"/>
      <c r="AI159" s="116"/>
      <c r="AJ159" s="116"/>
      <c r="AK159" s="116"/>
      <c r="AL159" s="116"/>
      <c r="AM159" s="116"/>
      <c r="AN159" s="116"/>
      <c r="AO159" s="116"/>
      <c r="AP159" s="116"/>
      <c r="AQ159" s="116"/>
      <c r="AR159" s="116"/>
      <c r="AS159" s="116"/>
      <c r="AT159" s="116"/>
      <c r="AU159" s="116"/>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50">
        <v>88.0</v>
      </c>
      <c r="BW159" s="50" t="s">
        <v>3413</v>
      </c>
      <c r="BX159" s="116"/>
      <c r="BY159" s="116"/>
      <c r="BZ159" s="116"/>
      <c r="CA159" s="116"/>
      <c r="CB159" s="116"/>
      <c r="CC159" s="50" t="s">
        <v>3200</v>
      </c>
      <c r="CD159" s="50" t="s">
        <v>2472</v>
      </c>
      <c r="CE159" s="50">
        <v>1.0</v>
      </c>
      <c r="CF159" s="50" t="s">
        <v>2869</v>
      </c>
      <c r="CG159" s="117">
        <v>8329.0</v>
      </c>
      <c r="CH159" s="50" t="s">
        <v>3414</v>
      </c>
      <c r="CI159" s="50" t="s">
        <v>3415</v>
      </c>
      <c r="CJ159" s="117">
        <v>158.0</v>
      </c>
    </row>
    <row r="160">
      <c r="A160" s="50" t="s">
        <v>3416</v>
      </c>
      <c r="B160" s="50" t="s">
        <v>3417</v>
      </c>
      <c r="C160" s="116"/>
      <c r="D160" s="116"/>
      <c r="E160" s="50">
        <v>3.5215509147374E14</v>
      </c>
      <c r="F160" s="50">
        <v>58.0</v>
      </c>
      <c r="G160" s="50">
        <v>2.0</v>
      </c>
      <c r="H160" s="50">
        <v>99.0</v>
      </c>
      <c r="I160" s="50" t="s">
        <v>3418</v>
      </c>
      <c r="J160" s="50" t="s">
        <v>3418</v>
      </c>
      <c r="K160" s="50" t="s">
        <v>3419</v>
      </c>
      <c r="L160" s="50" t="s">
        <v>3420</v>
      </c>
      <c r="M160" s="50">
        <v>22.5504922</v>
      </c>
      <c r="N160" s="50">
        <v>88.3969126</v>
      </c>
      <c r="O160" s="50">
        <v>-43.599998474121</v>
      </c>
      <c r="P160" s="50">
        <v>5.0</v>
      </c>
      <c r="Q160" s="50">
        <v>3.0</v>
      </c>
      <c r="R160" s="50">
        <v>1.0</v>
      </c>
      <c r="S160" s="116"/>
      <c r="T160" s="116"/>
      <c r="U160" s="116"/>
      <c r="V160" s="116"/>
      <c r="W160" s="116"/>
      <c r="X160" s="116"/>
      <c r="Y160" s="116"/>
      <c r="Z160" s="116"/>
      <c r="AA160" s="116"/>
      <c r="AB160" s="116"/>
      <c r="AC160" s="116"/>
      <c r="AD160" s="116"/>
      <c r="AE160" s="116"/>
      <c r="AF160" s="116"/>
      <c r="AG160" s="116"/>
      <c r="AH160" s="116"/>
      <c r="AI160" s="116"/>
      <c r="AJ160" s="116"/>
      <c r="AK160" s="116"/>
      <c r="AL160" s="116"/>
      <c r="AM160" s="116"/>
      <c r="AN160" s="116"/>
      <c r="AO160" s="116"/>
      <c r="AP160" s="116"/>
      <c r="AQ160" s="116"/>
      <c r="AR160" s="116"/>
      <c r="AS160" s="116"/>
      <c r="AT160" s="116"/>
      <c r="AU160" s="116"/>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50" t="s">
        <v>3422</v>
      </c>
      <c r="CD160" s="50" t="s">
        <v>2472</v>
      </c>
      <c r="CE160" s="116"/>
      <c r="CF160" s="50" t="s">
        <v>2869</v>
      </c>
      <c r="CG160" s="117">
        <v>8330.0</v>
      </c>
      <c r="CH160" s="50" t="s">
        <v>3423</v>
      </c>
      <c r="CI160" s="50" t="s">
        <v>3424</v>
      </c>
      <c r="CJ160" s="117">
        <v>159.0</v>
      </c>
    </row>
    <row r="161">
      <c r="A161" s="50" t="s">
        <v>3425</v>
      </c>
      <c r="B161" s="50" t="s">
        <v>3426</v>
      </c>
      <c r="C161" s="116"/>
      <c r="D161" s="116"/>
      <c r="E161" s="50">
        <v>3.52155090281144E14</v>
      </c>
      <c r="F161" s="50">
        <v>58.0</v>
      </c>
      <c r="G161" s="50">
        <v>2.0</v>
      </c>
      <c r="H161" s="50">
        <v>9.0</v>
      </c>
      <c r="I161" s="50" t="s">
        <v>3427</v>
      </c>
      <c r="J161" s="50" t="s">
        <v>3427</v>
      </c>
      <c r="K161" s="50" t="s">
        <v>3428</v>
      </c>
      <c r="L161" s="50" t="s">
        <v>3429</v>
      </c>
      <c r="M161" s="50">
        <v>22.5517759</v>
      </c>
      <c r="N161" s="50">
        <v>88.3955874</v>
      </c>
      <c r="O161" s="50">
        <v>-45.5</v>
      </c>
      <c r="P161" s="50">
        <v>5.0</v>
      </c>
      <c r="Q161" s="50">
        <v>1.0</v>
      </c>
      <c r="R161" s="50">
        <v>0.0</v>
      </c>
      <c r="S161" s="50">
        <v>1.0</v>
      </c>
      <c r="T161" s="116"/>
      <c r="U161" s="116"/>
      <c r="V161" s="116"/>
      <c r="W161" s="116"/>
      <c r="X161" s="116"/>
      <c r="Y161" s="116"/>
      <c r="Z161" s="116"/>
      <c r="AA161" s="50">
        <v>3.0</v>
      </c>
      <c r="AB161" s="116"/>
      <c r="AC161" s="50">
        <v>0.0</v>
      </c>
      <c r="AD161" s="116"/>
      <c r="AE161" s="116"/>
      <c r="AF161" s="116"/>
      <c r="AG161" s="116"/>
      <c r="AH161" s="116"/>
      <c r="AI161" s="116"/>
      <c r="AJ161" s="116"/>
      <c r="AK161" s="116"/>
      <c r="AL161" s="116"/>
      <c r="AM161" s="116"/>
      <c r="AN161" s="116"/>
      <c r="AO161" s="116"/>
      <c r="AP161" s="116"/>
      <c r="AQ161" s="116"/>
      <c r="AR161" s="116"/>
      <c r="AS161" s="116"/>
      <c r="AT161" s="116"/>
      <c r="AU161" s="116"/>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50" t="s">
        <v>3185</v>
      </c>
      <c r="CD161" s="50" t="s">
        <v>2286</v>
      </c>
      <c r="CE161" s="50">
        <v>1.0</v>
      </c>
      <c r="CF161" s="50" t="s">
        <v>3430</v>
      </c>
      <c r="CG161" s="117">
        <v>8478.0</v>
      </c>
      <c r="CH161" s="50" t="s">
        <v>3431</v>
      </c>
      <c r="CI161" s="50" t="s">
        <v>3432</v>
      </c>
      <c r="CJ161" s="117">
        <v>160.0</v>
      </c>
    </row>
    <row r="162">
      <c r="A162" s="50" t="s">
        <v>3433</v>
      </c>
      <c r="B162" s="50" t="s">
        <v>3434</v>
      </c>
      <c r="C162" s="116"/>
      <c r="D162" s="116"/>
      <c r="E162" s="50">
        <v>3.52155090281144E14</v>
      </c>
      <c r="F162" s="50">
        <v>58.0</v>
      </c>
      <c r="G162" s="50">
        <v>2.0</v>
      </c>
      <c r="H162" s="50">
        <v>99.0</v>
      </c>
      <c r="I162" s="50" t="s">
        <v>3435</v>
      </c>
      <c r="J162" s="50" t="s">
        <v>3435</v>
      </c>
      <c r="K162" s="50" t="s">
        <v>3436</v>
      </c>
      <c r="L162" s="50" t="s">
        <v>3437</v>
      </c>
      <c r="M162" s="50">
        <v>22.5517338</v>
      </c>
      <c r="N162" s="50">
        <v>88.3956455</v>
      </c>
      <c r="O162" s="50">
        <v>-35.4000015258789</v>
      </c>
      <c r="P162" s="50">
        <v>5.0</v>
      </c>
      <c r="Q162" s="50">
        <v>1.0</v>
      </c>
      <c r="R162" s="50">
        <v>0.0</v>
      </c>
      <c r="S162" s="50">
        <v>1.0</v>
      </c>
      <c r="T162" s="116"/>
      <c r="U162" s="116"/>
      <c r="V162" s="116"/>
      <c r="W162" s="116"/>
      <c r="X162" s="116"/>
      <c r="Y162" s="116"/>
      <c r="Z162" s="116"/>
      <c r="AA162" s="116"/>
      <c r="AB162" s="116"/>
      <c r="AC162" s="116"/>
      <c r="AD162" s="116"/>
      <c r="AE162" s="116"/>
      <c r="AF162" s="116"/>
      <c r="AG162" s="116"/>
      <c r="AH162" s="116"/>
      <c r="AI162" s="116"/>
      <c r="AJ162" s="116"/>
      <c r="AK162" s="116"/>
      <c r="AL162" s="116"/>
      <c r="AM162" s="116"/>
      <c r="AN162" s="116"/>
      <c r="AO162" s="116"/>
      <c r="AP162" s="116"/>
      <c r="AQ162" s="116"/>
      <c r="AR162" s="116"/>
      <c r="AS162" s="116"/>
      <c r="AT162" s="116"/>
      <c r="AU162" s="116"/>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50" t="s">
        <v>3439</v>
      </c>
      <c r="CD162" s="50" t="s">
        <v>2286</v>
      </c>
      <c r="CE162" s="116"/>
      <c r="CF162" s="50" t="s">
        <v>3430</v>
      </c>
      <c r="CG162" s="117">
        <v>8479.0</v>
      </c>
      <c r="CH162" s="50" t="s">
        <v>3440</v>
      </c>
      <c r="CI162" s="50" t="s">
        <v>3441</v>
      </c>
      <c r="CJ162" s="117">
        <v>161.0</v>
      </c>
    </row>
    <row r="163">
      <c r="A163" s="50" t="s">
        <v>3442</v>
      </c>
      <c r="B163" s="50" t="s">
        <v>3443</v>
      </c>
      <c r="C163" s="116"/>
      <c r="D163" s="116"/>
      <c r="E163" s="50">
        <v>3.52155090281144E14</v>
      </c>
      <c r="F163" s="50">
        <v>58.0</v>
      </c>
      <c r="G163" s="50">
        <v>2.0</v>
      </c>
      <c r="H163" s="50">
        <v>2.0</v>
      </c>
      <c r="I163" s="50" t="s">
        <v>347</v>
      </c>
      <c r="J163" s="50" t="s">
        <v>347</v>
      </c>
      <c r="K163" s="50" t="s">
        <v>3444</v>
      </c>
      <c r="L163" s="50" t="s">
        <v>3445</v>
      </c>
      <c r="M163" s="50">
        <v>22.5504874</v>
      </c>
      <c r="N163" s="50">
        <v>88.3967528</v>
      </c>
      <c r="O163" s="50">
        <v>-51.7999992370605</v>
      </c>
      <c r="P163" s="50">
        <v>4.0</v>
      </c>
      <c r="Q163" s="50">
        <v>1.0</v>
      </c>
      <c r="R163" s="50">
        <v>0.0</v>
      </c>
      <c r="S163" s="50">
        <v>1.0</v>
      </c>
      <c r="T163" s="116"/>
      <c r="U163" s="116"/>
      <c r="V163" s="116"/>
      <c r="W163" s="116"/>
      <c r="X163" s="116"/>
      <c r="Y163" s="116"/>
      <c r="Z163" s="116"/>
      <c r="AA163" s="116"/>
      <c r="AB163" s="116"/>
      <c r="AC163" s="116"/>
      <c r="AD163" s="116"/>
      <c r="AE163" s="116"/>
      <c r="AF163" s="116"/>
      <c r="AG163" s="116"/>
      <c r="AH163" s="116"/>
      <c r="AI163" s="116"/>
      <c r="AJ163" s="50">
        <v>2.0</v>
      </c>
      <c r="AK163" s="116"/>
      <c r="AL163" s="116"/>
      <c r="AM163" s="50">
        <v>2.0</v>
      </c>
      <c r="AN163" s="116"/>
      <c r="AO163" s="116"/>
      <c r="AP163" s="116"/>
      <c r="AQ163" s="116"/>
      <c r="AR163" s="116"/>
      <c r="AS163" s="116"/>
      <c r="AT163" s="116"/>
      <c r="AU163" s="116"/>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50" t="s">
        <v>3149</v>
      </c>
      <c r="CD163" s="50" t="s">
        <v>2472</v>
      </c>
      <c r="CE163" s="50">
        <v>1.0</v>
      </c>
      <c r="CF163" s="50" t="s">
        <v>3430</v>
      </c>
      <c r="CG163" s="117">
        <v>8480.0</v>
      </c>
      <c r="CH163" s="50" t="s">
        <v>3447</v>
      </c>
      <c r="CI163" s="50" t="s">
        <v>3448</v>
      </c>
      <c r="CJ163" s="117">
        <v>162.0</v>
      </c>
    </row>
    <row r="164">
      <c r="A164" s="50" t="s">
        <v>3449</v>
      </c>
      <c r="B164" s="50" t="s">
        <v>3450</v>
      </c>
      <c r="C164" s="116"/>
      <c r="D164" s="116"/>
      <c r="E164" s="50">
        <v>3.52155090281144E14</v>
      </c>
      <c r="F164" s="50">
        <v>58.0</v>
      </c>
      <c r="G164" s="50">
        <v>2.0</v>
      </c>
      <c r="H164" s="50">
        <v>99.0</v>
      </c>
      <c r="I164" s="50" t="s">
        <v>3451</v>
      </c>
      <c r="J164" s="50" t="s">
        <v>3451</v>
      </c>
      <c r="K164" s="50" t="s">
        <v>3452</v>
      </c>
      <c r="L164" s="50" t="s">
        <v>3453</v>
      </c>
      <c r="M164" s="50">
        <v>22.5504787</v>
      </c>
      <c r="N164" s="50">
        <v>88.3967936</v>
      </c>
      <c r="O164" s="50">
        <v>-59.2999992370605</v>
      </c>
      <c r="P164" s="50">
        <v>5.0</v>
      </c>
      <c r="Q164" s="50">
        <v>1.0</v>
      </c>
      <c r="R164" s="50">
        <v>0.0</v>
      </c>
      <c r="S164" s="50">
        <v>1.0</v>
      </c>
      <c r="T164" s="116"/>
      <c r="U164" s="116"/>
      <c r="V164" s="116"/>
      <c r="W164" s="116"/>
      <c r="X164" s="116"/>
      <c r="Y164" s="116"/>
      <c r="Z164" s="116"/>
      <c r="AA164" s="116"/>
      <c r="AB164" s="116"/>
      <c r="AC164" s="116"/>
      <c r="AD164" s="116"/>
      <c r="AE164" s="116"/>
      <c r="AF164" s="116"/>
      <c r="AG164" s="116"/>
      <c r="AH164" s="116"/>
      <c r="AI164" s="116"/>
      <c r="AJ164" s="116"/>
      <c r="AK164" s="116"/>
      <c r="AL164" s="116"/>
      <c r="AM164" s="116"/>
      <c r="AN164" s="116"/>
      <c r="AO164" s="116"/>
      <c r="AP164" s="116"/>
      <c r="AQ164" s="116"/>
      <c r="AR164" s="116"/>
      <c r="AS164" s="116"/>
      <c r="AT164" s="116"/>
      <c r="AU164" s="116"/>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50" t="s">
        <v>3455</v>
      </c>
      <c r="CD164" s="50" t="s">
        <v>2472</v>
      </c>
      <c r="CE164" s="116"/>
      <c r="CF164" s="50" t="s">
        <v>3430</v>
      </c>
      <c r="CG164" s="117">
        <v>8481.0</v>
      </c>
      <c r="CH164" s="50" t="s">
        <v>3456</v>
      </c>
      <c r="CI164" s="50" t="s">
        <v>3457</v>
      </c>
      <c r="CJ164" s="117">
        <v>163.0</v>
      </c>
    </row>
    <row r="165">
      <c r="A165" s="1" t="s">
        <v>3458</v>
      </c>
      <c r="B165" s="1" t="s">
        <v>3459</v>
      </c>
      <c r="E165" s="1">
        <v>3.52155090281144E14</v>
      </c>
      <c r="F165" s="1">
        <v>58.0</v>
      </c>
      <c r="G165" s="1">
        <v>2.0</v>
      </c>
      <c r="H165" s="1">
        <v>9.0</v>
      </c>
      <c r="I165" s="1" t="s">
        <v>3460</v>
      </c>
      <c r="J165" s="1" t="s">
        <v>3460</v>
      </c>
      <c r="K165" s="1" t="s">
        <v>3461</v>
      </c>
      <c r="L165" s="1" t="s">
        <v>3462</v>
      </c>
      <c r="M165" s="1">
        <v>22.5489594</v>
      </c>
      <c r="N165" s="1">
        <v>88.3971732</v>
      </c>
      <c r="O165" s="1">
        <v>-41.099998474121</v>
      </c>
      <c r="P165" s="1">
        <v>5.0</v>
      </c>
      <c r="Q165" s="1">
        <v>1.0</v>
      </c>
      <c r="R165" s="1">
        <v>0.0</v>
      </c>
      <c r="S165" s="1">
        <v>1.0</v>
      </c>
      <c r="AA165" s="1">
        <v>88.0</v>
      </c>
      <c r="AB165" s="1" t="s">
        <v>2508</v>
      </c>
      <c r="AC165" s="1">
        <v>0.0</v>
      </c>
      <c r="CC165" s="1" t="s">
        <v>2949</v>
      </c>
      <c r="CD165" s="1" t="s">
        <v>2472</v>
      </c>
      <c r="CE165" s="1">
        <v>1.0</v>
      </c>
      <c r="CF165" s="1" t="s">
        <v>3430</v>
      </c>
      <c r="CG165" s="121">
        <v>8708.0</v>
      </c>
      <c r="CH165" s="1" t="s">
        <v>3464</v>
      </c>
      <c r="CI165" s="1" t="s">
        <v>3465</v>
      </c>
      <c r="CJ165" s="121">
        <v>164.0</v>
      </c>
    </row>
    <row r="166">
      <c r="A166" s="1" t="s">
        <v>3466</v>
      </c>
      <c r="B166" s="1" t="s">
        <v>3467</v>
      </c>
      <c r="E166" s="1">
        <v>3.52155090281144E14</v>
      </c>
      <c r="F166" s="1">
        <v>58.0</v>
      </c>
      <c r="G166" s="1">
        <v>2.0</v>
      </c>
      <c r="H166" s="1">
        <v>5.0</v>
      </c>
      <c r="I166" s="1" t="s">
        <v>3468</v>
      </c>
      <c r="J166" s="1" t="s">
        <v>3468</v>
      </c>
      <c r="K166" s="1" t="s">
        <v>3469</v>
      </c>
      <c r="L166" s="1" t="s">
        <v>3470</v>
      </c>
      <c r="M166" s="1">
        <v>22.548824</v>
      </c>
      <c r="N166" s="1">
        <v>88.3970594</v>
      </c>
      <c r="O166" s="1">
        <v>-58.9000015258789</v>
      </c>
      <c r="P166" s="1">
        <v>5.0</v>
      </c>
      <c r="Q166" s="1">
        <v>1.0</v>
      </c>
      <c r="R166" s="1">
        <v>0.0</v>
      </c>
      <c r="S166" s="1">
        <v>1.0</v>
      </c>
      <c r="BD166" s="1">
        <v>2.0</v>
      </c>
      <c r="CC166" s="1" t="s">
        <v>3185</v>
      </c>
      <c r="CD166" s="1" t="s">
        <v>2286</v>
      </c>
      <c r="CE166" s="1">
        <v>1.0</v>
      </c>
      <c r="CF166" s="1" t="s">
        <v>3430</v>
      </c>
      <c r="CG166" s="121">
        <v>8709.0</v>
      </c>
      <c r="CH166" s="1" t="s">
        <v>3471</v>
      </c>
      <c r="CI166" s="1" t="s">
        <v>3472</v>
      </c>
      <c r="CJ166" s="121">
        <v>165.0</v>
      </c>
    </row>
    <row r="167">
      <c r="A167" s="1" t="s">
        <v>3473</v>
      </c>
      <c r="B167" s="1" t="s">
        <v>3474</v>
      </c>
      <c r="E167" s="1">
        <v>3.52155090281144E14</v>
      </c>
      <c r="F167" s="1">
        <v>58.0</v>
      </c>
      <c r="G167" s="1">
        <v>2.0</v>
      </c>
      <c r="H167" s="1">
        <v>8.0</v>
      </c>
      <c r="I167" s="1" t="s">
        <v>354</v>
      </c>
      <c r="J167" s="1" t="s">
        <v>354</v>
      </c>
      <c r="K167" s="1" t="s">
        <v>3475</v>
      </c>
      <c r="L167" s="1" t="s">
        <v>3476</v>
      </c>
      <c r="M167" s="1">
        <v>22.5490784</v>
      </c>
      <c r="N167" s="1">
        <v>88.3972005</v>
      </c>
      <c r="O167" s="1">
        <v>-67.0999984741211</v>
      </c>
      <c r="P167" s="1">
        <v>5.0</v>
      </c>
      <c r="Q167" s="1">
        <v>1.0</v>
      </c>
      <c r="R167" s="1">
        <v>0.0</v>
      </c>
      <c r="S167" s="1">
        <v>1.0</v>
      </c>
      <c r="V167" s="1">
        <v>2.0</v>
      </c>
      <c r="W167" s="1">
        <v>3.0</v>
      </c>
      <c r="Y167" s="1">
        <v>5.0</v>
      </c>
      <c r="CC167" s="1" t="s">
        <v>3149</v>
      </c>
      <c r="CD167" s="1" t="s">
        <v>2472</v>
      </c>
      <c r="CE167" s="1">
        <v>1.0</v>
      </c>
      <c r="CF167" s="1" t="s">
        <v>3430</v>
      </c>
      <c r="CG167" s="121">
        <v>8710.0</v>
      </c>
      <c r="CH167" s="1" t="s">
        <v>3477</v>
      </c>
      <c r="CI167" s="1" t="s">
        <v>3478</v>
      </c>
      <c r="CJ167" s="121">
        <v>166.0</v>
      </c>
    </row>
    <row r="168">
      <c r="A168" s="1" t="s">
        <v>3479</v>
      </c>
      <c r="B168" s="1" t="s">
        <v>3480</v>
      </c>
      <c r="E168" s="1">
        <v>3.52155090281144E14</v>
      </c>
      <c r="F168" s="1">
        <v>58.0</v>
      </c>
      <c r="G168" s="1">
        <v>2.0</v>
      </c>
      <c r="H168" s="1">
        <v>2.0</v>
      </c>
      <c r="I168" s="1" t="s">
        <v>358</v>
      </c>
      <c r="J168" s="1" t="s">
        <v>358</v>
      </c>
      <c r="K168" s="1" t="s">
        <v>3481</v>
      </c>
      <c r="L168" s="1" t="s">
        <v>3482</v>
      </c>
      <c r="M168" s="1">
        <v>22.5500462</v>
      </c>
      <c r="N168" s="1">
        <v>88.3968189</v>
      </c>
      <c r="O168" s="1">
        <v>-25.2999992370605</v>
      </c>
      <c r="P168" s="1">
        <v>5.0</v>
      </c>
      <c r="Q168" s="1">
        <v>1.0</v>
      </c>
      <c r="R168" s="1">
        <v>0.0</v>
      </c>
      <c r="S168" s="1">
        <v>1.0</v>
      </c>
      <c r="AJ168" s="1">
        <v>3.0</v>
      </c>
      <c r="AM168" s="1">
        <v>1.0</v>
      </c>
      <c r="CC168" s="1" t="s">
        <v>2979</v>
      </c>
      <c r="CD168" s="1" t="s">
        <v>2278</v>
      </c>
      <c r="CE168" s="1">
        <v>0.0</v>
      </c>
      <c r="CF168" s="1" t="s">
        <v>3430</v>
      </c>
      <c r="CG168" s="121">
        <v>8711.0</v>
      </c>
      <c r="CH168" s="1" t="s">
        <v>3484</v>
      </c>
      <c r="CI168" s="1" t="s">
        <v>3485</v>
      </c>
      <c r="CJ168" s="121">
        <v>167.0</v>
      </c>
    </row>
    <row r="169">
      <c r="A169" s="1" t="s">
        <v>3486</v>
      </c>
      <c r="B169" s="1" t="s">
        <v>3487</v>
      </c>
      <c r="E169" s="1">
        <v>3.52155090281144E14</v>
      </c>
      <c r="F169" s="1">
        <v>58.0</v>
      </c>
      <c r="G169" s="1">
        <v>2.0</v>
      </c>
      <c r="H169" s="1">
        <v>99.0</v>
      </c>
      <c r="I169" s="1" t="s">
        <v>3488</v>
      </c>
      <c r="J169" s="1" t="s">
        <v>3488</v>
      </c>
      <c r="K169" s="1" t="s">
        <v>3489</v>
      </c>
      <c r="L169" s="1" t="s">
        <v>3490</v>
      </c>
      <c r="M169" s="1">
        <v>22.5501261</v>
      </c>
      <c r="N169" s="1">
        <v>88.3968284</v>
      </c>
      <c r="O169" s="1">
        <v>-37.2999992370605</v>
      </c>
      <c r="P169" s="1">
        <v>5.0</v>
      </c>
      <c r="Q169" s="1">
        <v>1.0</v>
      </c>
      <c r="R169" s="1">
        <v>0.0</v>
      </c>
      <c r="S169" s="1">
        <v>1.0</v>
      </c>
      <c r="CC169" s="1" t="s">
        <v>2979</v>
      </c>
      <c r="CD169" s="1" t="s">
        <v>2278</v>
      </c>
      <c r="CF169" s="1" t="s">
        <v>3430</v>
      </c>
      <c r="CG169" s="121">
        <v>8712.0</v>
      </c>
      <c r="CH169" s="1" t="s">
        <v>3491</v>
      </c>
      <c r="CI169" s="1" t="s">
        <v>3492</v>
      </c>
      <c r="CJ169" s="121">
        <v>168.0</v>
      </c>
    </row>
    <row r="170">
      <c r="A170" s="1" t="s">
        <v>3493</v>
      </c>
      <c r="B170" s="1" t="s">
        <v>3494</v>
      </c>
      <c r="E170" s="1">
        <v>3.5215509147374E14</v>
      </c>
      <c r="F170" s="1">
        <v>58.0</v>
      </c>
      <c r="G170" s="1">
        <v>2.0</v>
      </c>
      <c r="H170" s="1">
        <v>10.0</v>
      </c>
      <c r="I170" s="1" t="s">
        <v>3495</v>
      </c>
      <c r="J170" s="1" t="s">
        <v>3495</v>
      </c>
      <c r="K170" s="1" t="s">
        <v>3496</v>
      </c>
      <c r="L170" s="1" t="s">
        <v>3497</v>
      </c>
      <c r="M170" s="1">
        <v>22.5495081</v>
      </c>
      <c r="N170" s="1">
        <v>88.3968522</v>
      </c>
      <c r="O170" s="1">
        <v>-57.5</v>
      </c>
      <c r="P170" s="1">
        <v>5.0</v>
      </c>
      <c r="Q170" s="1">
        <v>1.0</v>
      </c>
      <c r="R170" s="1">
        <v>0.0</v>
      </c>
      <c r="S170" s="1">
        <v>1.0</v>
      </c>
      <c r="BV170" s="1">
        <v>88.0</v>
      </c>
      <c r="BW170" s="1" t="s">
        <v>3498</v>
      </c>
      <c r="CC170" s="1" t="s">
        <v>3258</v>
      </c>
      <c r="CD170" s="1" t="s">
        <v>2899</v>
      </c>
      <c r="CE170" s="1">
        <v>0.0</v>
      </c>
      <c r="CF170" s="1" t="s">
        <v>3430</v>
      </c>
      <c r="CG170" s="121">
        <v>8793.0</v>
      </c>
      <c r="CH170" s="1" t="s">
        <v>3499</v>
      </c>
      <c r="CI170" s="1" t="s">
        <v>3500</v>
      </c>
      <c r="CJ170" s="121">
        <v>169.0</v>
      </c>
    </row>
    <row r="171">
      <c r="A171" s="1" t="s">
        <v>3501</v>
      </c>
      <c r="B171" s="1" t="s">
        <v>3502</v>
      </c>
      <c r="E171" s="1">
        <v>3.5215509147374E14</v>
      </c>
      <c r="F171" s="1">
        <v>58.0</v>
      </c>
      <c r="G171" s="1">
        <v>2.0</v>
      </c>
      <c r="H171" s="1">
        <v>2.0</v>
      </c>
      <c r="I171" s="1" t="s">
        <v>3503</v>
      </c>
      <c r="J171" s="1" t="s">
        <v>3503</v>
      </c>
      <c r="K171" s="1" t="s">
        <v>3504</v>
      </c>
      <c r="L171" s="1" t="s">
        <v>3505</v>
      </c>
      <c r="M171" s="1">
        <v>22.5494015</v>
      </c>
      <c r="N171" s="1">
        <v>88.3969174</v>
      </c>
      <c r="O171" s="1">
        <v>-50.0</v>
      </c>
      <c r="P171" s="1">
        <v>5.0</v>
      </c>
      <c r="Q171" s="1">
        <v>1.0</v>
      </c>
      <c r="R171" s="1">
        <v>0.0</v>
      </c>
      <c r="S171" s="1">
        <v>1.0</v>
      </c>
      <c r="AJ171" s="1">
        <v>2.0</v>
      </c>
      <c r="AM171" s="1">
        <v>1.0</v>
      </c>
      <c r="CC171" s="1" t="s">
        <v>3258</v>
      </c>
      <c r="CD171" s="1" t="s">
        <v>2899</v>
      </c>
      <c r="CE171" s="1">
        <v>0.0</v>
      </c>
      <c r="CF171" s="1" t="s">
        <v>3430</v>
      </c>
      <c r="CG171" s="121">
        <v>8794.0</v>
      </c>
      <c r="CH171" s="1" t="s">
        <v>3506</v>
      </c>
      <c r="CI171" s="1" t="s">
        <v>3507</v>
      </c>
      <c r="CJ171" s="121">
        <v>170.0</v>
      </c>
    </row>
    <row r="172">
      <c r="A172" s="1" t="s">
        <v>3508</v>
      </c>
      <c r="B172" s="1" t="s">
        <v>3509</v>
      </c>
      <c r="E172" s="1">
        <v>3.5215509147374E14</v>
      </c>
      <c r="F172" s="1">
        <v>58.0</v>
      </c>
      <c r="G172" s="1">
        <v>2.0</v>
      </c>
      <c r="H172" s="1">
        <v>2.0</v>
      </c>
      <c r="I172" s="1" t="s">
        <v>3510</v>
      </c>
      <c r="J172" s="1" t="s">
        <v>3510</v>
      </c>
      <c r="K172" s="1" t="s">
        <v>3511</v>
      </c>
      <c r="L172" s="1" t="s">
        <v>3512</v>
      </c>
      <c r="M172" s="1">
        <v>22.5494719</v>
      </c>
      <c r="N172" s="1">
        <v>88.3970026</v>
      </c>
      <c r="O172" s="1">
        <v>-65.5999984741211</v>
      </c>
      <c r="P172" s="1">
        <v>5.0</v>
      </c>
      <c r="Q172" s="1">
        <v>1.0</v>
      </c>
      <c r="R172" s="1">
        <v>0.0</v>
      </c>
      <c r="S172" s="1">
        <v>1.0</v>
      </c>
      <c r="AJ172" s="1">
        <v>3.0</v>
      </c>
      <c r="AM172" s="1">
        <v>1.0</v>
      </c>
      <c r="CC172" s="1" t="s">
        <v>3258</v>
      </c>
      <c r="CD172" s="1" t="s">
        <v>2899</v>
      </c>
      <c r="CE172" s="1">
        <v>0.0</v>
      </c>
      <c r="CF172" s="1" t="s">
        <v>3430</v>
      </c>
      <c r="CG172" s="121">
        <v>8795.0</v>
      </c>
      <c r="CH172" s="1" t="s">
        <v>3513</v>
      </c>
      <c r="CI172" s="1" t="s">
        <v>3514</v>
      </c>
      <c r="CJ172" s="121">
        <v>171.0</v>
      </c>
    </row>
    <row r="173">
      <c r="A173" s="1" t="s">
        <v>3515</v>
      </c>
      <c r="B173" s="1" t="s">
        <v>3516</v>
      </c>
      <c r="E173" s="1">
        <v>3.5215509147374E14</v>
      </c>
      <c r="F173" s="1">
        <v>58.0</v>
      </c>
      <c r="G173" s="1">
        <v>2.0</v>
      </c>
      <c r="H173" s="1">
        <v>8.0</v>
      </c>
      <c r="I173" s="1" t="s">
        <v>3517</v>
      </c>
      <c r="J173" s="1" t="s">
        <v>3517</v>
      </c>
      <c r="K173" s="1" t="s">
        <v>3519</v>
      </c>
      <c r="L173" s="1" t="s">
        <v>3520</v>
      </c>
      <c r="M173" s="1">
        <v>22.5506978</v>
      </c>
      <c r="N173" s="1">
        <v>88.397004</v>
      </c>
      <c r="O173" s="1">
        <v>-43.7000007629394</v>
      </c>
      <c r="P173" s="1">
        <v>4.5</v>
      </c>
      <c r="Q173" s="1">
        <v>1.0</v>
      </c>
      <c r="R173" s="1">
        <v>0.0</v>
      </c>
      <c r="S173" s="1">
        <v>1.0</v>
      </c>
      <c r="V173" s="1">
        <v>2.0</v>
      </c>
      <c r="W173" s="1">
        <v>3.0</v>
      </c>
      <c r="Y173" s="1">
        <v>10.0</v>
      </c>
      <c r="CC173" s="1" t="s">
        <v>3258</v>
      </c>
      <c r="CD173" s="1" t="s">
        <v>2899</v>
      </c>
      <c r="CE173" s="1">
        <v>1.0</v>
      </c>
      <c r="CF173" s="1" t="s">
        <v>3430</v>
      </c>
      <c r="CG173" s="121">
        <v>8796.0</v>
      </c>
      <c r="CH173" s="1" t="s">
        <v>3521</v>
      </c>
      <c r="CI173" s="1" t="s">
        <v>3522</v>
      </c>
      <c r="CJ173" s="121">
        <v>172.0</v>
      </c>
    </row>
    <row r="174">
      <c r="A174" s="1" t="s">
        <v>3523</v>
      </c>
      <c r="B174" s="1" t="s">
        <v>3524</v>
      </c>
      <c r="E174" s="1">
        <v>3.5215509147374E14</v>
      </c>
      <c r="F174" s="1">
        <v>58.0</v>
      </c>
      <c r="G174" s="1">
        <v>2.0</v>
      </c>
      <c r="H174" s="1">
        <v>99.0</v>
      </c>
      <c r="I174" s="1" t="s">
        <v>3525</v>
      </c>
      <c r="J174" s="1" t="s">
        <v>3525</v>
      </c>
      <c r="K174" s="1" t="s">
        <v>3526</v>
      </c>
      <c r="L174" s="1" t="s">
        <v>3527</v>
      </c>
      <c r="M174" s="1">
        <v>22.5507068</v>
      </c>
      <c r="N174" s="1">
        <v>88.3971228</v>
      </c>
      <c r="O174" s="1">
        <v>-75.5</v>
      </c>
      <c r="P174" s="1">
        <v>5.0</v>
      </c>
      <c r="Q174" s="1">
        <v>1.0</v>
      </c>
      <c r="R174" s="1">
        <v>0.0</v>
      </c>
      <c r="S174" s="1">
        <v>1.0</v>
      </c>
      <c r="CC174" s="1" t="s">
        <v>3258</v>
      </c>
      <c r="CD174" s="1" t="s">
        <v>2899</v>
      </c>
      <c r="CF174" s="1" t="s">
        <v>3430</v>
      </c>
      <c r="CG174" s="121">
        <v>8797.0</v>
      </c>
      <c r="CH174" s="1" t="s">
        <v>3528</v>
      </c>
      <c r="CI174" s="1" t="s">
        <v>3529</v>
      </c>
      <c r="CJ174" s="121">
        <v>173.0</v>
      </c>
    </row>
    <row r="175">
      <c r="A175" s="1" t="s">
        <v>3530</v>
      </c>
      <c r="B175" s="1" t="s">
        <v>3531</v>
      </c>
      <c r="E175" s="1">
        <v>3.52155090281144E14</v>
      </c>
      <c r="F175" s="1">
        <v>58.0</v>
      </c>
      <c r="G175" s="1">
        <v>2.0</v>
      </c>
      <c r="H175" s="1">
        <v>7.0</v>
      </c>
      <c r="I175" s="1" t="s">
        <v>3532</v>
      </c>
      <c r="J175" s="1" t="s">
        <v>3532</v>
      </c>
      <c r="K175" s="1" t="s">
        <v>3533</v>
      </c>
      <c r="L175" s="1" t="s">
        <v>3534</v>
      </c>
      <c r="M175" s="1">
        <v>22.5516596</v>
      </c>
      <c r="N175" s="1">
        <v>88.3960072</v>
      </c>
      <c r="O175" s="1">
        <v>-45.2999992370605</v>
      </c>
      <c r="P175" s="1">
        <v>4.5</v>
      </c>
      <c r="Q175" s="1">
        <v>1.0</v>
      </c>
      <c r="R175" s="1">
        <v>0.0</v>
      </c>
      <c r="S175" s="1">
        <v>0.0</v>
      </c>
      <c r="T175" s="1">
        <v>1.0</v>
      </c>
      <c r="AW175" s="1">
        <v>2.0</v>
      </c>
      <c r="AY175" s="1">
        <v>5.0</v>
      </c>
      <c r="AZ175" s="1">
        <v>0.0</v>
      </c>
      <c r="BA175" s="1">
        <v>40.0</v>
      </c>
      <c r="BB175" s="1">
        <v>0.0</v>
      </c>
      <c r="CC175" s="1" t="s">
        <v>3149</v>
      </c>
      <c r="CD175" s="1" t="s">
        <v>2472</v>
      </c>
      <c r="CE175" s="1">
        <v>1.0</v>
      </c>
      <c r="CF175" s="1" t="s">
        <v>3430</v>
      </c>
      <c r="CG175" s="121">
        <v>8804.0</v>
      </c>
      <c r="CH175" s="1" t="s">
        <v>3535</v>
      </c>
      <c r="CI175" s="1" t="s">
        <v>3536</v>
      </c>
      <c r="CJ175" s="121">
        <v>174.0</v>
      </c>
    </row>
    <row r="176">
      <c r="A176" s="1" t="s">
        <v>3537</v>
      </c>
      <c r="B176" s="1" t="s">
        <v>3538</v>
      </c>
      <c r="E176" s="1">
        <v>3.52155090281144E14</v>
      </c>
      <c r="F176" s="1">
        <v>58.0</v>
      </c>
      <c r="G176" s="1">
        <v>2.0</v>
      </c>
      <c r="H176" s="1">
        <v>7.0</v>
      </c>
      <c r="I176" s="1" t="s">
        <v>3539</v>
      </c>
      <c r="J176" s="1" t="s">
        <v>3539</v>
      </c>
      <c r="K176" s="1" t="s">
        <v>3540</v>
      </c>
      <c r="L176" s="1" t="s">
        <v>3542</v>
      </c>
      <c r="M176" s="1">
        <v>22.5516033</v>
      </c>
      <c r="N176" s="1">
        <v>88.3962774</v>
      </c>
      <c r="O176" s="1">
        <v>-44.599998474121</v>
      </c>
      <c r="P176" s="1">
        <v>5.0</v>
      </c>
      <c r="Q176" s="1">
        <v>1.0</v>
      </c>
      <c r="R176" s="1">
        <v>0.0</v>
      </c>
      <c r="S176" s="1">
        <v>0.0</v>
      </c>
      <c r="T176" s="1">
        <v>1.0</v>
      </c>
      <c r="AW176" s="1">
        <v>2.0</v>
      </c>
      <c r="AY176" s="1">
        <v>4.0</v>
      </c>
      <c r="AZ176" s="1">
        <v>0.0</v>
      </c>
      <c r="BA176" s="1">
        <v>50.0</v>
      </c>
      <c r="BB176" s="1">
        <v>0.0</v>
      </c>
      <c r="CC176" s="1" t="s">
        <v>3149</v>
      </c>
      <c r="CD176" s="1" t="s">
        <v>2472</v>
      </c>
      <c r="CE176" s="1">
        <v>1.0</v>
      </c>
      <c r="CF176" s="1" t="s">
        <v>3430</v>
      </c>
      <c r="CG176" s="121">
        <v>8805.0</v>
      </c>
      <c r="CH176" s="1" t="s">
        <v>3543</v>
      </c>
      <c r="CI176" s="1" t="s">
        <v>3544</v>
      </c>
      <c r="CJ176" s="121">
        <v>175.0</v>
      </c>
    </row>
    <row r="177">
      <c r="A177" s="1" t="s">
        <v>3545</v>
      </c>
      <c r="B177" s="1" t="s">
        <v>3546</v>
      </c>
      <c r="E177" s="1">
        <v>3.52155090281144E14</v>
      </c>
      <c r="F177" s="1">
        <v>58.0</v>
      </c>
      <c r="G177" s="1">
        <v>2.0</v>
      </c>
      <c r="H177" s="1">
        <v>99.0</v>
      </c>
      <c r="I177" s="1" t="s">
        <v>3547</v>
      </c>
      <c r="J177" s="1" t="s">
        <v>3547</v>
      </c>
      <c r="K177" s="1" t="s">
        <v>3548</v>
      </c>
      <c r="L177" s="1" t="s">
        <v>3549</v>
      </c>
      <c r="M177" s="1">
        <v>22.5516435</v>
      </c>
      <c r="N177" s="1">
        <v>88.3962224</v>
      </c>
      <c r="O177" s="1">
        <v>-52.7000007629394</v>
      </c>
      <c r="P177" s="1">
        <v>5.0</v>
      </c>
      <c r="Q177" s="1">
        <v>1.0</v>
      </c>
      <c r="R177" s="1">
        <v>0.0</v>
      </c>
      <c r="S177" s="1">
        <v>0.0</v>
      </c>
      <c r="T177" s="1">
        <v>1.0</v>
      </c>
      <c r="CC177" s="1" t="s">
        <v>3149</v>
      </c>
      <c r="CD177" s="1" t="s">
        <v>2472</v>
      </c>
      <c r="CF177" s="1" t="s">
        <v>3430</v>
      </c>
      <c r="CG177" s="121">
        <v>8806.0</v>
      </c>
      <c r="CH177" s="1" t="s">
        <v>3550</v>
      </c>
      <c r="CI177" s="1" t="s">
        <v>3551</v>
      </c>
      <c r="CJ177" s="121">
        <v>176.0</v>
      </c>
    </row>
    <row r="178">
      <c r="A178" s="1" t="s">
        <v>3552</v>
      </c>
      <c r="B178" s="1" t="s">
        <v>3553</v>
      </c>
      <c r="E178" s="1">
        <v>3.5215509147374E14</v>
      </c>
      <c r="F178" s="1">
        <v>58.0</v>
      </c>
      <c r="G178" s="1">
        <v>2.0</v>
      </c>
      <c r="H178" s="1">
        <v>3.0</v>
      </c>
      <c r="I178" s="1" t="s">
        <v>356</v>
      </c>
      <c r="J178" s="1" t="s">
        <v>356</v>
      </c>
      <c r="K178" s="1" t="s">
        <v>3554</v>
      </c>
      <c r="L178" s="1" t="s">
        <v>3555</v>
      </c>
      <c r="M178" s="1">
        <v>22.5507332</v>
      </c>
      <c r="N178" s="1">
        <v>88.3974974</v>
      </c>
      <c r="O178" s="1">
        <v>-13.6000003814697</v>
      </c>
      <c r="P178" s="1">
        <v>4.5</v>
      </c>
      <c r="Q178" s="1">
        <v>1.0</v>
      </c>
      <c r="R178" s="1">
        <v>0.0</v>
      </c>
      <c r="S178" s="1">
        <v>0.0</v>
      </c>
      <c r="T178" s="1">
        <v>1.0</v>
      </c>
      <c r="AO178" s="1">
        <v>4.0</v>
      </c>
      <c r="AQ178" s="1">
        <v>0.0</v>
      </c>
      <c r="CC178" s="1" t="s">
        <v>2890</v>
      </c>
      <c r="CD178" s="1" t="s">
        <v>2899</v>
      </c>
      <c r="CE178" s="1">
        <v>1.0</v>
      </c>
      <c r="CF178" s="1" t="s">
        <v>3430</v>
      </c>
      <c r="CG178" s="121">
        <v>8977.0</v>
      </c>
      <c r="CH178" s="1" t="s">
        <v>3557</v>
      </c>
      <c r="CI178" s="1" t="s">
        <v>3558</v>
      </c>
      <c r="CJ178" s="121">
        <v>177.0</v>
      </c>
    </row>
    <row r="179">
      <c r="A179" s="1" t="s">
        <v>3559</v>
      </c>
      <c r="B179" s="1" t="s">
        <v>3560</v>
      </c>
      <c r="E179" s="1">
        <v>3.5215509147374E14</v>
      </c>
      <c r="F179" s="1">
        <v>58.0</v>
      </c>
      <c r="G179" s="1">
        <v>2.0</v>
      </c>
      <c r="H179" s="1">
        <v>3.0</v>
      </c>
      <c r="I179" s="1" t="s">
        <v>3561</v>
      </c>
      <c r="J179" s="1" t="s">
        <v>3561</v>
      </c>
      <c r="K179" s="1" t="s">
        <v>3562</v>
      </c>
      <c r="L179" s="1" t="s">
        <v>3563</v>
      </c>
      <c r="M179" s="1">
        <v>22.5498126</v>
      </c>
      <c r="N179" s="1">
        <v>88.3974676</v>
      </c>
      <c r="O179" s="1">
        <v>-46.599998474121</v>
      </c>
      <c r="P179" s="1">
        <v>5.0</v>
      </c>
      <c r="Q179" s="1">
        <v>1.0</v>
      </c>
      <c r="R179" s="1">
        <v>0.0</v>
      </c>
      <c r="S179" s="1">
        <v>0.0</v>
      </c>
      <c r="T179" s="1">
        <v>1.0</v>
      </c>
      <c r="AO179" s="1">
        <v>4.0</v>
      </c>
      <c r="AQ179" s="1">
        <v>1.0</v>
      </c>
      <c r="AR179" s="1">
        <v>0.0</v>
      </c>
      <c r="CC179" s="1" t="s">
        <v>2890</v>
      </c>
      <c r="CD179" s="1" t="s">
        <v>2899</v>
      </c>
      <c r="CE179" s="1">
        <v>1.0</v>
      </c>
      <c r="CF179" s="1" t="s">
        <v>3430</v>
      </c>
      <c r="CG179" s="121">
        <v>8978.0</v>
      </c>
      <c r="CH179" s="1" t="s">
        <v>3564</v>
      </c>
      <c r="CI179" s="1" t="s">
        <v>3565</v>
      </c>
      <c r="CJ179" s="121">
        <v>178.0</v>
      </c>
    </row>
    <row r="180">
      <c r="A180" s="1" t="s">
        <v>3566</v>
      </c>
      <c r="B180" s="1" t="s">
        <v>3567</v>
      </c>
      <c r="E180" s="1">
        <v>3.5215509147374E14</v>
      </c>
      <c r="F180" s="1">
        <v>58.0</v>
      </c>
      <c r="G180" s="1">
        <v>2.0</v>
      </c>
      <c r="H180" s="1">
        <v>5.0</v>
      </c>
      <c r="I180" s="1" t="s">
        <v>3568</v>
      </c>
      <c r="J180" s="1" t="s">
        <v>3568</v>
      </c>
      <c r="K180" s="1" t="s">
        <v>3569</v>
      </c>
      <c r="L180" s="1" t="s">
        <v>3570</v>
      </c>
      <c r="M180" s="1">
        <v>22.5485339</v>
      </c>
      <c r="N180" s="1">
        <v>88.3969119</v>
      </c>
      <c r="O180" s="1">
        <v>-53.7999992370605</v>
      </c>
      <c r="P180" s="1">
        <v>5.0</v>
      </c>
      <c r="Q180" s="1">
        <v>1.0</v>
      </c>
      <c r="R180" s="1">
        <v>0.0</v>
      </c>
      <c r="S180" s="1">
        <v>0.0</v>
      </c>
      <c r="T180" s="1">
        <v>1.0</v>
      </c>
      <c r="BD180" s="1">
        <v>2.0</v>
      </c>
      <c r="CC180" s="1" t="s">
        <v>2890</v>
      </c>
      <c r="CD180" s="1" t="s">
        <v>2899</v>
      </c>
      <c r="CE180" s="1">
        <v>1.0</v>
      </c>
      <c r="CF180" s="1" t="s">
        <v>3430</v>
      </c>
      <c r="CG180" s="121">
        <v>8979.0</v>
      </c>
      <c r="CH180" s="1" t="s">
        <v>3571</v>
      </c>
      <c r="CI180" s="1" t="s">
        <v>3572</v>
      </c>
      <c r="CJ180" s="121">
        <v>179.0</v>
      </c>
    </row>
    <row r="181">
      <c r="A181" s="1" t="s">
        <v>3573</v>
      </c>
      <c r="B181" s="1" t="s">
        <v>3574</v>
      </c>
      <c r="E181" s="1">
        <v>3.5215509147374E14</v>
      </c>
      <c r="F181" s="1">
        <v>58.0</v>
      </c>
      <c r="G181" s="1">
        <v>2.0</v>
      </c>
      <c r="H181" s="1">
        <v>9.0</v>
      </c>
      <c r="I181" s="1" t="s">
        <v>3575</v>
      </c>
      <c r="J181" s="1" t="s">
        <v>3575</v>
      </c>
      <c r="K181" s="1" t="s">
        <v>3576</v>
      </c>
      <c r="L181" s="1" t="s">
        <v>3577</v>
      </c>
      <c r="M181" s="1">
        <v>22.5507049</v>
      </c>
      <c r="N181" s="1">
        <v>88.3966862</v>
      </c>
      <c r="O181" s="1">
        <v>-42.099998474121</v>
      </c>
      <c r="P181" s="1">
        <v>5.0</v>
      </c>
      <c r="Q181" s="1">
        <v>1.0</v>
      </c>
      <c r="R181" s="1">
        <v>0.0</v>
      </c>
      <c r="S181" s="1">
        <v>0.0</v>
      </c>
      <c r="T181" s="1">
        <v>1.0</v>
      </c>
      <c r="AA181" s="1">
        <v>3.0</v>
      </c>
      <c r="AC181" s="1">
        <v>0.0</v>
      </c>
      <c r="CC181" s="1" t="s">
        <v>2949</v>
      </c>
      <c r="CD181" s="1" t="s">
        <v>2286</v>
      </c>
      <c r="CE181" s="1">
        <v>1.0</v>
      </c>
      <c r="CF181" s="1" t="s">
        <v>3430</v>
      </c>
      <c r="CG181" s="121">
        <v>8983.0</v>
      </c>
      <c r="CH181" s="1" t="s">
        <v>3578</v>
      </c>
      <c r="CI181" s="1" t="s">
        <v>3579</v>
      </c>
      <c r="CJ181" s="121">
        <v>180.0</v>
      </c>
    </row>
    <row r="182">
      <c r="A182" s="1" t="s">
        <v>3580</v>
      </c>
      <c r="B182" s="1" t="s">
        <v>3581</v>
      </c>
      <c r="E182" s="1">
        <v>3.5215509147374E14</v>
      </c>
      <c r="F182" s="1">
        <v>58.0</v>
      </c>
      <c r="G182" s="1">
        <v>2.0</v>
      </c>
      <c r="H182" s="1">
        <v>99.0</v>
      </c>
      <c r="I182" s="1" t="s">
        <v>3582</v>
      </c>
      <c r="J182" s="1" t="s">
        <v>3582</v>
      </c>
      <c r="K182" s="1" t="s">
        <v>3583</v>
      </c>
      <c r="L182" s="1" t="s">
        <v>3584</v>
      </c>
      <c r="M182" s="1">
        <v>22.5506235</v>
      </c>
      <c r="N182" s="1">
        <v>88.3966519</v>
      </c>
      <c r="O182" s="1">
        <v>-53.2000007629394</v>
      </c>
      <c r="P182" s="1">
        <v>5.0</v>
      </c>
      <c r="Q182" s="1">
        <v>1.0</v>
      </c>
      <c r="R182" s="1">
        <v>0.0</v>
      </c>
      <c r="S182" s="1">
        <v>0.0</v>
      </c>
      <c r="T182" s="1">
        <v>1.0</v>
      </c>
      <c r="CC182" s="1" t="s">
        <v>2949</v>
      </c>
      <c r="CD182" s="1" t="s">
        <v>2286</v>
      </c>
      <c r="CF182" s="1" t="s">
        <v>3430</v>
      </c>
      <c r="CG182" s="121">
        <v>8984.0</v>
      </c>
      <c r="CH182" s="1" t="s">
        <v>3585</v>
      </c>
      <c r="CI182" s="1" t="s">
        <v>3586</v>
      </c>
      <c r="CJ182" s="121">
        <v>181.0</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28.29"/>
    <col customWidth="1" min="3" max="3" width="11.29"/>
    <col customWidth="1" min="4" max="4" width="8.43"/>
    <col customWidth="1" min="5" max="5" width="16.71"/>
    <col customWidth="1" min="6" max="6" width="8.71"/>
    <col customWidth="1" min="7" max="7" width="16.29"/>
    <col customWidth="1" min="8" max="8" width="43.57"/>
    <col customWidth="1" min="9" max="9" width="19.71"/>
    <col customWidth="1" min="10" max="10" width="21.14"/>
    <col customWidth="1" min="11" max="11" width="19.71"/>
    <col customWidth="1" min="12" max="12" width="20.71"/>
    <col customWidth="1" min="13" max="13" width="15.29"/>
    <col customWidth="1" min="14" max="14" width="18.0"/>
    <col customWidth="1" min="15" max="19" width="21.86"/>
    <col customWidth="1" min="20" max="21" width="18.14"/>
    <col customWidth="1" min="22" max="24" width="22.14"/>
    <col customWidth="1" min="25" max="25" width="8.71"/>
    <col customWidth="1" min="26" max="26" width="9.43"/>
    <col customWidth="1" min="27" max="27" width="28.29"/>
    <col customWidth="1" min="28" max="28" width="11.43"/>
    <col customWidth="1" min="29" max="29" width="11.14"/>
    <col customWidth="1" min="30" max="30" width="12.14"/>
    <col customWidth="1" min="31" max="31" width="11.57"/>
    <col customWidth="1" min="32" max="32" width="9.86"/>
    <col customWidth="1" min="33" max="33" width="7.29"/>
    <col customWidth="1" min="34" max="37" width="9.0"/>
    <col customWidth="1" min="38" max="38" width="10.14"/>
    <col customWidth="1" min="39" max="39" width="12.86"/>
    <col customWidth="1" min="40" max="40" width="8.29"/>
    <col customWidth="1" min="41" max="41" width="11.14"/>
    <col customWidth="1" min="42" max="47" width="10.14"/>
    <col customWidth="1" min="48" max="48" width="13.86"/>
    <col customWidth="1" min="49" max="49" width="9.86"/>
    <col customWidth="1" min="50" max="50" width="7.29"/>
    <col customWidth="1" min="51" max="54" width="9.14"/>
    <col customWidth="1" min="55" max="55" width="10.14"/>
    <col customWidth="1" min="56" max="56" width="12.86"/>
    <col customWidth="1" min="57" max="57" width="16.29"/>
    <col customWidth="1" min="58" max="58" width="7.14"/>
    <col customWidth="1" min="59" max="61" width="9.0"/>
    <col customWidth="1" min="62" max="62" width="10.0"/>
    <col customWidth="1" min="63" max="63" width="12.71"/>
    <col customWidth="1" min="64" max="64" width="8.14"/>
    <col customWidth="1" min="65" max="65" width="11.0"/>
    <col customWidth="1" min="66" max="71" width="10.0"/>
    <col customWidth="1" min="72" max="72" width="13.71"/>
    <col customWidth="1" min="73" max="73" width="9.86"/>
    <col customWidth="1" min="74" max="74" width="12.0"/>
    <col customWidth="1" min="75" max="75" width="17.57"/>
    <col customWidth="1" min="76" max="76" width="16.29"/>
    <col customWidth="1" min="77" max="77" width="19.29"/>
    <col customWidth="1" min="78" max="79" width="14.0"/>
    <col customWidth="1" min="80" max="80" width="14.57"/>
    <col customWidth="1" min="81" max="81" width="9.86"/>
    <col customWidth="1" min="82" max="82" width="7.29"/>
    <col customWidth="1" min="83" max="83" width="10.14"/>
    <col customWidth="1" min="84" max="88" width="9.14"/>
    <col customWidth="1" min="89" max="89" width="12.86"/>
    <col customWidth="1" min="90" max="90" width="8.29"/>
    <col customWidth="1" min="91" max="93" width="10.14"/>
    <col customWidth="1" min="94" max="94" width="11.14"/>
    <col customWidth="1" min="95" max="95" width="13.86"/>
    <col customWidth="1" min="96" max="96" width="10.0"/>
    <col customWidth="1" min="97" max="97" width="12.43"/>
    <col customWidth="1" min="98" max="98" width="17.0"/>
    <col customWidth="1" min="99" max="99" width="11.43"/>
    <col customWidth="1" min="100" max="100" width="12.43"/>
    <col customWidth="1" min="101" max="101" width="10.29"/>
    <col customWidth="1" min="102" max="102" width="13.43"/>
    <col customWidth="1" min="103" max="103" width="10.86"/>
    <col customWidth="1" min="104" max="104" width="7.57"/>
    <col customWidth="1" min="105" max="105" width="13.14"/>
    <col customWidth="1" min="106" max="106" width="8.57"/>
    <col customWidth="1" min="107" max="107" width="14.14"/>
    <col customWidth="1" min="108" max="109" width="12.0"/>
    <col customWidth="1" min="110" max="110" width="8.57"/>
    <col customWidth="1" min="111" max="111" width="14.14"/>
    <col customWidth="1" min="112" max="112" width="9.57"/>
    <col customWidth="1" min="113" max="113" width="15.14"/>
    <col customWidth="1" min="114" max="115" width="12.0"/>
    <col customWidth="1" min="116" max="116" width="8.57"/>
    <col customWidth="1" min="117" max="117" width="14.14"/>
    <col customWidth="1" min="118" max="118" width="9.57"/>
    <col customWidth="1" min="119" max="119" width="15.14"/>
    <col customWidth="1" min="120" max="120" width="11.0"/>
    <col customWidth="1" min="121" max="121" width="13.86"/>
    <col customWidth="1" min="122" max="123" width="16.71"/>
    <col customWidth="1" min="124" max="132" width="15.71"/>
    <col customWidth="1" min="133" max="133" width="14.71"/>
    <col customWidth="1" min="134" max="134" width="12.0"/>
    <col customWidth="1" min="135" max="135" width="8.71"/>
    <col customWidth="1" min="136" max="136" width="65.57"/>
    <col customWidth="1" min="137" max="137" width="19.57"/>
    <col customWidth="1" min="138" max="138" width="9.57"/>
    <col customWidth="1" min="139" max="139" width="25.43"/>
    <col customWidth="1" min="140" max="140" width="5.29"/>
    <col customWidth="1" min="141" max="141" width="37.0"/>
    <col customWidth="1" min="142" max="142" width="19.0"/>
    <col customWidth="1" min="143" max="145" width="6.71"/>
  </cols>
  <sheetData>
    <row r="1">
      <c r="A1" s="50" t="s">
        <v>2185</v>
      </c>
      <c r="B1" s="50" t="s">
        <v>2186</v>
      </c>
      <c r="C1" s="50" t="s">
        <v>2187</v>
      </c>
      <c r="D1" s="50" t="s">
        <v>2188</v>
      </c>
      <c r="E1" s="50" t="s">
        <v>2189</v>
      </c>
      <c r="F1" s="50" t="s">
        <v>2190</v>
      </c>
      <c r="G1" s="50" t="s">
        <v>2191</v>
      </c>
      <c r="H1" s="50" t="s">
        <v>2194</v>
      </c>
      <c r="I1" s="50" t="s">
        <v>2195</v>
      </c>
      <c r="J1" s="50" t="s">
        <v>2196</v>
      </c>
      <c r="K1" s="50" t="s">
        <v>2197</v>
      </c>
      <c r="L1" s="50" t="s">
        <v>2198</v>
      </c>
      <c r="M1" s="50" t="s">
        <v>369</v>
      </c>
      <c r="N1" s="50" t="s">
        <v>3590</v>
      </c>
      <c r="O1" s="50" t="s">
        <v>3591</v>
      </c>
      <c r="P1" s="50" t="s">
        <v>3592</v>
      </c>
      <c r="Q1" s="50" t="s">
        <v>3593</v>
      </c>
      <c r="R1" s="50" t="s">
        <v>3594</v>
      </c>
      <c r="S1" s="50" t="s">
        <v>3595</v>
      </c>
      <c r="T1" s="50" t="s">
        <v>3596</v>
      </c>
      <c r="U1" s="50" t="s">
        <v>3597</v>
      </c>
      <c r="V1" s="50" t="s">
        <v>3598</v>
      </c>
      <c r="W1" s="50" t="s">
        <v>3599</v>
      </c>
      <c r="X1" s="50" t="s">
        <v>3600</v>
      </c>
      <c r="Y1" s="50" t="s">
        <v>368</v>
      </c>
      <c r="Z1" s="50" t="s">
        <v>2192</v>
      </c>
      <c r="AA1" s="50" t="s">
        <v>2193</v>
      </c>
      <c r="AB1" s="50" t="s">
        <v>2199</v>
      </c>
      <c r="AC1" s="50" t="s">
        <v>2200</v>
      </c>
      <c r="AD1" s="50" t="s">
        <v>2201</v>
      </c>
      <c r="AE1" s="50" t="s">
        <v>2202</v>
      </c>
      <c r="AF1" s="50" t="s">
        <v>3601</v>
      </c>
      <c r="AG1" s="50" t="s">
        <v>3602</v>
      </c>
      <c r="AH1" s="50" t="s">
        <v>3603</v>
      </c>
      <c r="AI1" s="50" t="s">
        <v>3604</v>
      </c>
      <c r="AJ1" s="50" t="s">
        <v>3605</v>
      </c>
      <c r="AK1" s="50" t="s">
        <v>3606</v>
      </c>
      <c r="AL1" s="50" t="s">
        <v>3607</v>
      </c>
      <c r="AM1" s="50" t="s">
        <v>3608</v>
      </c>
      <c r="AN1" s="50" t="s">
        <v>3609</v>
      </c>
      <c r="AO1" s="50" t="s">
        <v>3610</v>
      </c>
      <c r="AP1" s="50" t="s">
        <v>3611</v>
      </c>
      <c r="AQ1" s="50" t="s">
        <v>3612</v>
      </c>
      <c r="AR1" s="50" t="s">
        <v>3613</v>
      </c>
      <c r="AS1" s="50" t="s">
        <v>3614</v>
      </c>
      <c r="AT1" s="50" t="s">
        <v>3615</v>
      </c>
      <c r="AU1" s="50" t="s">
        <v>3616</v>
      </c>
      <c r="AV1" s="50" t="s">
        <v>3617</v>
      </c>
      <c r="AW1" s="50" t="s">
        <v>3618</v>
      </c>
      <c r="AX1" s="50" t="s">
        <v>3619</v>
      </c>
      <c r="AY1" s="50" t="s">
        <v>3620</v>
      </c>
      <c r="AZ1" s="50" t="s">
        <v>3621</v>
      </c>
      <c r="BA1" s="50" t="s">
        <v>3622</v>
      </c>
      <c r="BB1" s="50" t="s">
        <v>3623</v>
      </c>
      <c r="BC1" s="50" t="s">
        <v>3624</v>
      </c>
      <c r="BD1" s="50" t="s">
        <v>3625</v>
      </c>
      <c r="BE1" s="50" t="s">
        <v>3626</v>
      </c>
      <c r="BF1" s="50" t="s">
        <v>3627</v>
      </c>
      <c r="BG1" s="50" t="s">
        <v>3628</v>
      </c>
      <c r="BH1" s="50" t="s">
        <v>3629</v>
      </c>
      <c r="BI1" s="50" t="s">
        <v>3630</v>
      </c>
      <c r="BJ1" s="50" t="s">
        <v>3631</v>
      </c>
      <c r="BK1" s="50" t="s">
        <v>3632</v>
      </c>
      <c r="BL1" s="50" t="s">
        <v>3633</v>
      </c>
      <c r="BM1" s="50" t="s">
        <v>3634</v>
      </c>
      <c r="BN1" s="50" t="s">
        <v>3635</v>
      </c>
      <c r="BO1" s="50" t="s">
        <v>3636</v>
      </c>
      <c r="BP1" s="50" t="s">
        <v>3637</v>
      </c>
      <c r="BQ1" s="50" t="s">
        <v>3638</v>
      </c>
      <c r="BR1" s="50" t="s">
        <v>3639</v>
      </c>
      <c r="BS1" s="50" t="s">
        <v>3640</v>
      </c>
      <c r="BT1" s="50" t="s">
        <v>3641</v>
      </c>
      <c r="BU1" s="50" t="s">
        <v>3642</v>
      </c>
      <c r="BV1" s="50" t="s">
        <v>3643</v>
      </c>
      <c r="BW1" s="50" t="s">
        <v>3645</v>
      </c>
      <c r="BX1" s="50" t="s">
        <v>3646</v>
      </c>
      <c r="BY1" s="50" t="s">
        <v>3647</v>
      </c>
      <c r="BZ1" s="50" t="s">
        <v>3648</v>
      </c>
      <c r="CA1" s="50" t="s">
        <v>3649</v>
      </c>
      <c r="CB1" s="50" t="s">
        <v>3650</v>
      </c>
      <c r="CC1" s="50" t="s">
        <v>3651</v>
      </c>
      <c r="CD1" s="50" t="s">
        <v>3652</v>
      </c>
      <c r="CE1" s="50" t="s">
        <v>3653</v>
      </c>
      <c r="CF1" s="50" t="s">
        <v>3654</v>
      </c>
      <c r="CG1" s="50" t="s">
        <v>3655</v>
      </c>
      <c r="CH1" s="50" t="s">
        <v>3656</v>
      </c>
      <c r="CI1" s="50" t="s">
        <v>3657</v>
      </c>
      <c r="CJ1" s="50" t="s">
        <v>3658</v>
      </c>
      <c r="CK1" s="50" t="s">
        <v>3659</v>
      </c>
      <c r="CL1" s="50" t="s">
        <v>3660</v>
      </c>
      <c r="CM1" s="50" t="s">
        <v>3661</v>
      </c>
      <c r="CN1" s="50" t="s">
        <v>3662</v>
      </c>
      <c r="CO1" s="50" t="s">
        <v>3663</v>
      </c>
      <c r="CP1" s="50" t="s">
        <v>3664</v>
      </c>
      <c r="CQ1" s="50" t="s">
        <v>3665</v>
      </c>
      <c r="CR1" s="50" t="s">
        <v>3666</v>
      </c>
      <c r="CS1" s="50" t="s">
        <v>3667</v>
      </c>
      <c r="CT1" s="50" t="s">
        <v>3668</v>
      </c>
      <c r="CU1" s="50" t="s">
        <v>3669</v>
      </c>
      <c r="CV1" s="50" t="s">
        <v>3670</v>
      </c>
      <c r="CW1" s="50" t="s">
        <v>3671</v>
      </c>
      <c r="CX1" s="50" t="s">
        <v>3672</v>
      </c>
      <c r="CY1" s="50" t="s">
        <v>3673</v>
      </c>
      <c r="CZ1" s="50" t="s">
        <v>3674</v>
      </c>
      <c r="DA1" s="50" t="s">
        <v>3675</v>
      </c>
      <c r="DB1" s="50" t="s">
        <v>3676</v>
      </c>
      <c r="DC1" s="50" t="s">
        <v>3677</v>
      </c>
      <c r="DD1" s="50" t="s">
        <v>3678</v>
      </c>
      <c r="DE1" s="50" t="s">
        <v>3679</v>
      </c>
      <c r="DF1" s="50" t="s">
        <v>3680</v>
      </c>
      <c r="DG1" s="50" t="s">
        <v>3681</v>
      </c>
      <c r="DH1" s="50" t="s">
        <v>3682</v>
      </c>
      <c r="DI1" s="50" t="s">
        <v>3683</v>
      </c>
      <c r="DJ1" s="50" t="s">
        <v>3684</v>
      </c>
      <c r="DK1" s="50" t="s">
        <v>3685</v>
      </c>
      <c r="DL1" s="50" t="s">
        <v>3686</v>
      </c>
      <c r="DM1" s="50" t="s">
        <v>3687</v>
      </c>
      <c r="DN1" s="50" t="s">
        <v>3688</v>
      </c>
      <c r="DO1" s="50" t="s">
        <v>3689</v>
      </c>
      <c r="DP1" s="50" t="s">
        <v>3690</v>
      </c>
      <c r="DQ1" s="50" t="s">
        <v>3691</v>
      </c>
      <c r="DR1" s="50" t="s">
        <v>3692</v>
      </c>
      <c r="DS1" s="50" t="s">
        <v>3693</v>
      </c>
      <c r="DT1" s="50" t="s">
        <v>3694</v>
      </c>
      <c r="DU1" s="50" t="s">
        <v>3695</v>
      </c>
      <c r="DV1" s="50" t="s">
        <v>3696</v>
      </c>
      <c r="DW1" s="50" t="s">
        <v>3697</v>
      </c>
      <c r="DX1" s="50" t="s">
        <v>3698</v>
      </c>
      <c r="DY1" s="50" t="s">
        <v>3699</v>
      </c>
      <c r="DZ1" s="50" t="s">
        <v>3700</v>
      </c>
      <c r="EA1" s="50" t="s">
        <v>3701</v>
      </c>
      <c r="EB1" s="50" t="s">
        <v>3702</v>
      </c>
      <c r="EC1" s="50" t="s">
        <v>3703</v>
      </c>
      <c r="ED1" s="50" t="s">
        <v>3704</v>
      </c>
      <c r="EE1" s="50" t="s">
        <v>2263</v>
      </c>
      <c r="EF1" s="50" t="s">
        <v>2264</v>
      </c>
      <c r="EG1" s="50" t="s">
        <v>2265</v>
      </c>
      <c r="EH1" s="50" t="s">
        <v>2266</v>
      </c>
      <c r="EI1" s="50" t="s">
        <v>2267</v>
      </c>
      <c r="EJ1" s="50" t="s">
        <v>2268</v>
      </c>
      <c r="EK1" s="50" t="s">
        <v>2269</v>
      </c>
      <c r="EL1" s="50" t="s">
        <v>2270</v>
      </c>
      <c r="EM1" s="50" t="s">
        <v>2271</v>
      </c>
      <c r="EN1" s="50"/>
      <c r="EO1" s="50"/>
    </row>
    <row r="2">
      <c r="A2" s="50" t="s">
        <v>3705</v>
      </c>
      <c r="B2" s="50" t="s">
        <v>3706</v>
      </c>
      <c r="C2" s="116"/>
      <c r="D2" s="116"/>
      <c r="E2" s="50">
        <v>3.5215509147374E14</v>
      </c>
      <c r="F2" s="50">
        <v>58.0</v>
      </c>
      <c r="G2" s="50">
        <v>1.0</v>
      </c>
      <c r="H2" s="116"/>
      <c r="I2" s="116"/>
      <c r="J2" s="116"/>
      <c r="K2" s="116"/>
      <c r="L2" s="116"/>
      <c r="M2" s="50">
        <v>14.0</v>
      </c>
      <c r="N2" s="50">
        <v>143.0</v>
      </c>
      <c r="O2" s="50">
        <v>0.0</v>
      </c>
      <c r="P2" s="50">
        <v>0.0</v>
      </c>
      <c r="Q2" s="50">
        <v>0.0</v>
      </c>
      <c r="R2" s="50">
        <v>1.0</v>
      </c>
      <c r="S2" s="50">
        <v>0.0</v>
      </c>
      <c r="T2" s="50">
        <v>0.0</v>
      </c>
      <c r="U2" s="116"/>
      <c r="V2" s="116"/>
      <c r="W2" s="116"/>
      <c r="X2" s="116"/>
      <c r="Y2" s="50" t="s">
        <v>3707</v>
      </c>
      <c r="Z2" s="50" t="s">
        <v>3707</v>
      </c>
      <c r="AA2" s="50" t="s">
        <v>3708</v>
      </c>
      <c r="AB2" s="50">
        <v>1.0</v>
      </c>
      <c r="AC2" s="50">
        <v>0.0</v>
      </c>
      <c r="AD2" s="50">
        <v>0.0</v>
      </c>
      <c r="AE2" s="50">
        <v>1.0</v>
      </c>
      <c r="AF2" s="116"/>
      <c r="AG2" s="116"/>
      <c r="AH2" s="116"/>
      <c r="AI2" s="116"/>
      <c r="AJ2" s="116"/>
      <c r="AK2" s="116"/>
      <c r="AL2" s="116"/>
      <c r="AM2" s="116"/>
      <c r="AN2" s="116"/>
      <c r="AO2" s="116"/>
      <c r="AP2" s="116"/>
      <c r="AQ2" s="116"/>
      <c r="AR2" s="116"/>
      <c r="AS2" s="116"/>
      <c r="AT2" s="116"/>
      <c r="AU2" s="116"/>
      <c r="AV2" s="116"/>
      <c r="AW2" s="116"/>
      <c r="AX2" s="116"/>
      <c r="AY2" s="116"/>
      <c r="AZ2" s="116"/>
      <c r="BA2" s="116"/>
      <c r="BB2" s="116"/>
      <c r="BC2" s="116"/>
      <c r="BD2" s="116"/>
      <c r="BE2" s="50" t="s">
        <v>3710</v>
      </c>
      <c r="BF2" s="50">
        <v>1.0</v>
      </c>
      <c r="BG2" s="50">
        <v>1.0</v>
      </c>
      <c r="BH2" s="50">
        <v>0.0</v>
      </c>
      <c r="BI2" s="50">
        <v>0.0</v>
      </c>
      <c r="BJ2" s="50">
        <v>0.0</v>
      </c>
      <c r="BK2" s="116"/>
      <c r="BL2" s="50">
        <v>3.0</v>
      </c>
      <c r="BM2" s="50">
        <v>0.0</v>
      </c>
      <c r="BN2" s="50">
        <v>0.0</v>
      </c>
      <c r="BO2" s="50">
        <v>1.0</v>
      </c>
      <c r="BP2" s="50">
        <v>0.0</v>
      </c>
      <c r="BQ2" s="50">
        <v>0.0</v>
      </c>
      <c r="BR2" s="50">
        <v>0.0</v>
      </c>
      <c r="BS2" s="50">
        <v>0.0</v>
      </c>
      <c r="BT2" s="116"/>
      <c r="BU2" s="116"/>
      <c r="BV2" s="116"/>
      <c r="BW2" s="116"/>
      <c r="BX2" s="116"/>
      <c r="BY2" s="116"/>
      <c r="BZ2" s="116"/>
      <c r="CA2" s="116"/>
      <c r="CB2" s="116"/>
      <c r="CC2" s="116"/>
      <c r="CD2" s="116"/>
      <c r="CE2" s="116"/>
      <c r="CF2" s="116"/>
      <c r="CG2" s="116"/>
      <c r="CH2" s="116"/>
      <c r="CI2" s="116"/>
      <c r="CJ2" s="116"/>
      <c r="CK2" s="116"/>
      <c r="CL2" s="116"/>
      <c r="CM2" s="116"/>
      <c r="CN2" s="116"/>
      <c r="CO2" s="116"/>
      <c r="CP2" s="116"/>
      <c r="CQ2" s="116"/>
      <c r="CR2" s="116"/>
      <c r="CS2" s="116"/>
      <c r="CT2" s="116"/>
      <c r="CU2" s="116"/>
      <c r="CV2" s="116"/>
      <c r="CW2" s="116"/>
      <c r="CX2" s="116"/>
      <c r="CY2" s="116"/>
      <c r="CZ2" s="116"/>
      <c r="DA2" s="116"/>
      <c r="DB2" s="116"/>
      <c r="DC2" s="116"/>
      <c r="DD2" s="116"/>
      <c r="DE2" s="116"/>
      <c r="DF2" s="116"/>
      <c r="DG2" s="116"/>
      <c r="DH2" s="116"/>
      <c r="DI2" s="116"/>
      <c r="DJ2" s="116"/>
      <c r="DK2" s="116"/>
      <c r="DL2" s="116"/>
      <c r="DM2" s="116"/>
      <c r="DN2" s="116"/>
      <c r="DO2" s="116"/>
      <c r="DP2" s="50">
        <v>0.0</v>
      </c>
      <c r="DQ2" s="116"/>
      <c r="DR2" s="116"/>
      <c r="DS2" s="116"/>
      <c r="DT2" s="116"/>
      <c r="DU2" s="116"/>
      <c r="DV2" s="116"/>
      <c r="DW2" s="116"/>
      <c r="DX2" s="116"/>
      <c r="DY2" s="116"/>
      <c r="DZ2" s="116"/>
      <c r="EA2" s="116"/>
      <c r="EB2" s="116"/>
      <c r="EC2" s="116"/>
      <c r="ED2" s="116"/>
      <c r="EE2" s="116"/>
      <c r="EF2" s="116"/>
      <c r="EG2" s="50" t="s">
        <v>2472</v>
      </c>
      <c r="EH2" s="50">
        <v>1.0</v>
      </c>
      <c r="EI2" s="50" t="s">
        <v>3712</v>
      </c>
      <c r="EJ2" s="117">
        <v>2772.0</v>
      </c>
      <c r="EK2" s="50" t="s">
        <v>3713</v>
      </c>
      <c r="EL2" s="50" t="s">
        <v>3714</v>
      </c>
      <c r="EM2" s="117">
        <v>1.0</v>
      </c>
      <c r="EN2" s="117"/>
      <c r="EO2" s="117"/>
    </row>
    <row r="3">
      <c r="A3" s="50" t="s">
        <v>3715</v>
      </c>
      <c r="B3" s="50" t="s">
        <v>3716</v>
      </c>
      <c r="C3" s="116"/>
      <c r="D3" s="116"/>
      <c r="E3" s="50">
        <v>3.5215509147374E14</v>
      </c>
      <c r="F3" s="50">
        <v>58.0</v>
      </c>
      <c r="G3" s="50">
        <v>1.0</v>
      </c>
      <c r="H3" s="116"/>
      <c r="I3" s="116"/>
      <c r="J3" s="116"/>
      <c r="K3" s="116"/>
      <c r="L3" s="116"/>
      <c r="M3" s="50">
        <v>15.0</v>
      </c>
      <c r="N3" s="116"/>
      <c r="O3" s="116"/>
      <c r="P3" s="116"/>
      <c r="Q3" s="116"/>
      <c r="R3" s="116"/>
      <c r="S3" s="116"/>
      <c r="T3" s="50"/>
      <c r="U3" s="50">
        <v>151.0</v>
      </c>
      <c r="V3" s="50">
        <v>1.0</v>
      </c>
      <c r="W3" s="50">
        <v>0.0</v>
      </c>
      <c r="X3" s="50">
        <v>0.0</v>
      </c>
      <c r="Y3" s="50" t="s">
        <v>2138</v>
      </c>
      <c r="Z3" s="50" t="s">
        <v>2138</v>
      </c>
      <c r="AA3" s="50" t="s">
        <v>3717</v>
      </c>
      <c r="AB3" s="50">
        <v>3.0</v>
      </c>
      <c r="AC3" s="50">
        <v>1.0</v>
      </c>
      <c r="AD3" s="116"/>
      <c r="AE3" s="116"/>
      <c r="AF3" s="116"/>
      <c r="AG3" s="116"/>
      <c r="AH3" s="116"/>
      <c r="AI3" s="116"/>
      <c r="AJ3" s="116"/>
      <c r="AK3" s="116"/>
      <c r="AL3" s="116"/>
      <c r="AM3" s="116"/>
      <c r="AN3" s="116"/>
      <c r="AO3" s="116"/>
      <c r="AP3" s="116"/>
      <c r="AQ3" s="116"/>
      <c r="AR3" s="116"/>
      <c r="AS3" s="116"/>
      <c r="AT3" s="116"/>
      <c r="AU3" s="116"/>
      <c r="AV3" s="116"/>
      <c r="AW3" s="116"/>
      <c r="AX3" s="116"/>
      <c r="AY3" s="116"/>
      <c r="AZ3" s="116"/>
      <c r="BA3" s="116"/>
      <c r="BB3" s="116"/>
      <c r="BC3" s="116"/>
      <c r="BD3" s="116"/>
      <c r="BE3" s="116"/>
      <c r="BF3" s="116"/>
      <c r="BG3" s="116"/>
      <c r="BH3" s="116"/>
      <c r="BI3" s="116"/>
      <c r="BJ3" s="116"/>
      <c r="BK3" s="116"/>
      <c r="BL3" s="116"/>
      <c r="BM3" s="116"/>
      <c r="BN3" s="116"/>
      <c r="BO3" s="116"/>
      <c r="BP3" s="116"/>
      <c r="BQ3" s="116"/>
      <c r="BR3" s="116"/>
      <c r="BS3" s="116"/>
      <c r="BT3" s="116"/>
      <c r="BU3" s="116"/>
      <c r="BV3" s="116"/>
      <c r="BW3" s="116"/>
      <c r="BX3" s="116"/>
      <c r="BY3" s="116"/>
      <c r="BZ3" s="116"/>
      <c r="CA3" s="116"/>
      <c r="CB3" s="116"/>
      <c r="CC3" s="116"/>
      <c r="CD3" s="116"/>
      <c r="CE3" s="116"/>
      <c r="CF3" s="116"/>
      <c r="CG3" s="116"/>
      <c r="CH3" s="116"/>
      <c r="CI3" s="116"/>
      <c r="CJ3" s="116"/>
      <c r="CK3" s="116"/>
      <c r="CL3" s="116"/>
      <c r="CM3" s="116"/>
      <c r="CN3" s="116"/>
      <c r="CO3" s="116"/>
      <c r="CP3" s="116"/>
      <c r="CQ3" s="116"/>
      <c r="CR3" s="50" t="s">
        <v>2138</v>
      </c>
      <c r="CS3" s="50">
        <v>2.0</v>
      </c>
      <c r="CT3" s="116"/>
      <c r="CU3" s="50">
        <v>0.0</v>
      </c>
      <c r="CV3" s="50">
        <v>0.0</v>
      </c>
      <c r="CW3" s="116"/>
      <c r="CX3" s="116"/>
      <c r="CY3" s="116"/>
      <c r="CZ3" s="116"/>
      <c r="DA3" s="116"/>
      <c r="DB3" s="116"/>
      <c r="DC3" s="116"/>
      <c r="DD3" s="116"/>
      <c r="DE3" s="116"/>
      <c r="DF3" s="116"/>
      <c r="DG3" s="116"/>
      <c r="DH3" s="116"/>
      <c r="DI3" s="116"/>
      <c r="DJ3" s="116"/>
      <c r="DK3" s="116"/>
      <c r="DL3" s="116"/>
      <c r="DM3" s="116"/>
      <c r="DN3" s="116"/>
      <c r="DO3" s="116"/>
      <c r="DP3" s="50">
        <v>0.0</v>
      </c>
      <c r="DQ3" s="116"/>
      <c r="DR3" s="116"/>
      <c r="DS3" s="116"/>
      <c r="DT3" s="116"/>
      <c r="DU3" s="116"/>
      <c r="DV3" s="116"/>
      <c r="DW3" s="116"/>
      <c r="DX3" s="116"/>
      <c r="DY3" s="116"/>
      <c r="DZ3" s="116"/>
      <c r="EA3" s="116"/>
      <c r="EB3" s="116"/>
      <c r="EC3" s="116"/>
      <c r="ED3" s="116"/>
      <c r="EE3" s="116"/>
      <c r="EF3" s="116"/>
      <c r="EG3" s="50" t="s">
        <v>2286</v>
      </c>
      <c r="EH3" s="50">
        <v>1.0</v>
      </c>
      <c r="EI3" s="50" t="s">
        <v>3712</v>
      </c>
      <c r="EJ3" s="117">
        <v>3806.0</v>
      </c>
      <c r="EK3" s="50" t="s">
        <v>3719</v>
      </c>
      <c r="EL3" s="50" t="s">
        <v>3720</v>
      </c>
      <c r="EM3" s="117">
        <v>2.0</v>
      </c>
      <c r="EN3" s="117"/>
      <c r="EO3" s="117"/>
    </row>
    <row r="4">
      <c r="A4" s="50" t="s">
        <v>3721</v>
      </c>
      <c r="B4" s="50" t="s">
        <v>3722</v>
      </c>
      <c r="C4" s="116"/>
      <c r="D4" s="116"/>
      <c r="E4" s="50">
        <v>3.5215509147374E14</v>
      </c>
      <c r="F4" s="50">
        <v>58.0</v>
      </c>
      <c r="G4" s="50">
        <v>1.0</v>
      </c>
      <c r="H4" s="116"/>
      <c r="I4" s="116"/>
      <c r="J4" s="116"/>
      <c r="K4" s="116"/>
      <c r="L4" s="116"/>
      <c r="M4" s="50">
        <v>15.0</v>
      </c>
      <c r="N4" s="116"/>
      <c r="O4" s="116"/>
      <c r="P4" s="116"/>
      <c r="Q4" s="116"/>
      <c r="R4" s="116"/>
      <c r="S4" s="116"/>
      <c r="T4" s="50"/>
      <c r="U4" s="50">
        <v>152.0</v>
      </c>
      <c r="V4" s="50">
        <v>0.0</v>
      </c>
      <c r="W4" s="50">
        <v>0.0</v>
      </c>
      <c r="X4" s="50">
        <v>1.0</v>
      </c>
      <c r="Y4" s="50" t="s">
        <v>2142</v>
      </c>
      <c r="Z4" s="50" t="s">
        <v>2142</v>
      </c>
      <c r="AA4" s="50" t="s">
        <v>3723</v>
      </c>
      <c r="AB4" s="50">
        <v>3.0</v>
      </c>
      <c r="AC4" s="50">
        <v>1.0</v>
      </c>
      <c r="AD4" s="116"/>
      <c r="AE4" s="116"/>
      <c r="AF4" s="116"/>
      <c r="AG4" s="116"/>
      <c r="AH4" s="116"/>
      <c r="AI4" s="116"/>
      <c r="AJ4" s="116"/>
      <c r="AK4" s="116"/>
      <c r="AL4" s="116"/>
      <c r="AM4" s="116"/>
      <c r="AN4" s="116"/>
      <c r="AO4" s="116"/>
      <c r="AP4" s="116"/>
      <c r="AQ4" s="116"/>
      <c r="AR4" s="116"/>
      <c r="AS4" s="116"/>
      <c r="AT4" s="116"/>
      <c r="AU4" s="116"/>
      <c r="AV4" s="116"/>
      <c r="AW4" s="116"/>
      <c r="AX4" s="116"/>
      <c r="AY4" s="116"/>
      <c r="AZ4" s="116"/>
      <c r="BA4" s="116"/>
      <c r="BB4" s="116"/>
      <c r="BC4" s="116"/>
      <c r="BD4" s="116"/>
      <c r="BE4" s="116"/>
      <c r="BF4" s="116"/>
      <c r="BG4" s="116"/>
      <c r="BH4" s="116"/>
      <c r="BI4" s="116"/>
      <c r="BJ4" s="116"/>
      <c r="BK4" s="116"/>
      <c r="BL4" s="116"/>
      <c r="BM4" s="116"/>
      <c r="BN4" s="116"/>
      <c r="BO4" s="116"/>
      <c r="BP4" s="116"/>
      <c r="BQ4" s="116"/>
      <c r="BR4" s="116"/>
      <c r="BS4" s="116"/>
      <c r="BT4" s="116"/>
      <c r="BU4" s="116"/>
      <c r="BV4" s="116"/>
      <c r="BW4" s="116"/>
      <c r="BX4" s="116"/>
      <c r="BY4" s="116"/>
      <c r="BZ4" s="116"/>
      <c r="CA4" s="116"/>
      <c r="CB4" s="116"/>
      <c r="CC4" s="116"/>
      <c r="CD4" s="116"/>
      <c r="CE4" s="116"/>
      <c r="CF4" s="116"/>
      <c r="CG4" s="116"/>
      <c r="CH4" s="116"/>
      <c r="CI4" s="116"/>
      <c r="CJ4" s="116"/>
      <c r="CK4" s="116"/>
      <c r="CL4" s="116"/>
      <c r="CM4" s="116"/>
      <c r="CN4" s="116"/>
      <c r="CO4" s="116"/>
      <c r="CP4" s="116"/>
      <c r="CQ4" s="116"/>
      <c r="CR4" s="116"/>
      <c r="CS4" s="116"/>
      <c r="CT4" s="116"/>
      <c r="CU4" s="116"/>
      <c r="CV4" s="116"/>
      <c r="CW4" s="50">
        <v>1.0</v>
      </c>
      <c r="CX4" s="116"/>
      <c r="CY4" s="50" t="s">
        <v>2142</v>
      </c>
      <c r="CZ4" s="50">
        <v>88.0</v>
      </c>
      <c r="DA4" s="50" t="s">
        <v>3724</v>
      </c>
      <c r="DB4" s="50">
        <v>3.0</v>
      </c>
      <c r="DC4" s="116"/>
      <c r="DD4" s="116"/>
      <c r="DE4" s="116"/>
      <c r="DF4" s="116"/>
      <c r="DG4" s="116"/>
      <c r="DH4" s="116"/>
      <c r="DI4" s="116"/>
      <c r="DJ4" s="116"/>
      <c r="DK4" s="116"/>
      <c r="DL4" s="116"/>
      <c r="DM4" s="116"/>
      <c r="DN4" s="116"/>
      <c r="DO4" s="116"/>
      <c r="DP4" s="50">
        <v>0.0</v>
      </c>
      <c r="DQ4" s="116"/>
      <c r="DR4" s="116"/>
      <c r="DS4" s="116"/>
      <c r="DT4" s="116"/>
      <c r="DU4" s="116"/>
      <c r="DV4" s="116"/>
      <c r="DW4" s="116"/>
      <c r="DX4" s="116"/>
      <c r="DY4" s="116"/>
      <c r="DZ4" s="116"/>
      <c r="EA4" s="116"/>
      <c r="EB4" s="116"/>
      <c r="EC4" s="116"/>
      <c r="ED4" s="116"/>
      <c r="EE4" s="116"/>
      <c r="EF4" s="116"/>
      <c r="EG4" s="50" t="s">
        <v>2278</v>
      </c>
      <c r="EH4" s="50">
        <v>1.0</v>
      </c>
      <c r="EI4" s="50" t="s">
        <v>3712</v>
      </c>
      <c r="EJ4" s="117">
        <v>3807.0</v>
      </c>
      <c r="EK4" s="50" t="s">
        <v>3725</v>
      </c>
      <c r="EL4" s="50" t="s">
        <v>3726</v>
      </c>
      <c r="EM4" s="117">
        <v>3.0</v>
      </c>
      <c r="EN4" s="117"/>
      <c r="EO4" s="117"/>
    </row>
    <row r="5">
      <c r="A5" s="50" t="s">
        <v>3727</v>
      </c>
      <c r="B5" s="50" t="s">
        <v>3728</v>
      </c>
      <c r="C5" s="116"/>
      <c r="D5" s="116"/>
      <c r="E5" s="50">
        <v>3.5215509147374E14</v>
      </c>
      <c r="F5" s="50">
        <v>58.0</v>
      </c>
      <c r="G5" s="50">
        <v>1.0</v>
      </c>
      <c r="H5" s="116"/>
      <c r="I5" s="116"/>
      <c r="J5" s="116"/>
      <c r="K5" s="116"/>
      <c r="L5" s="116"/>
      <c r="M5" s="50">
        <v>15.0</v>
      </c>
      <c r="N5" s="116"/>
      <c r="O5" s="116"/>
      <c r="P5" s="116"/>
      <c r="Q5" s="116"/>
      <c r="R5" s="116"/>
      <c r="S5" s="116"/>
      <c r="T5" s="50"/>
      <c r="U5" s="50">
        <v>151.0</v>
      </c>
      <c r="V5" s="50">
        <v>1.0</v>
      </c>
      <c r="W5" s="50">
        <v>0.0</v>
      </c>
      <c r="X5" s="50">
        <v>0.0</v>
      </c>
      <c r="Y5" s="50" t="s">
        <v>2139</v>
      </c>
      <c r="Z5" s="50" t="s">
        <v>2139</v>
      </c>
      <c r="AA5" s="50" t="s">
        <v>3729</v>
      </c>
      <c r="AB5" s="50">
        <v>3.0</v>
      </c>
      <c r="AC5" s="50">
        <v>1.0</v>
      </c>
      <c r="AD5" s="116"/>
      <c r="AE5" s="116"/>
      <c r="AF5" s="116"/>
      <c r="AG5" s="116"/>
      <c r="AH5" s="116"/>
      <c r="AI5" s="116"/>
      <c r="AJ5" s="116"/>
      <c r="AK5" s="116"/>
      <c r="AL5" s="116"/>
      <c r="AM5" s="116"/>
      <c r="AN5" s="116"/>
      <c r="AO5" s="116"/>
      <c r="AP5" s="116"/>
      <c r="AQ5" s="116"/>
      <c r="AR5" s="116"/>
      <c r="AS5" s="116"/>
      <c r="AT5" s="116"/>
      <c r="AU5" s="116"/>
      <c r="AV5" s="116"/>
      <c r="AW5" s="116"/>
      <c r="AX5" s="116"/>
      <c r="AY5" s="116"/>
      <c r="AZ5" s="116"/>
      <c r="BA5" s="116"/>
      <c r="BB5" s="116"/>
      <c r="BC5" s="116"/>
      <c r="BD5" s="116"/>
      <c r="BE5" s="116"/>
      <c r="BF5" s="116"/>
      <c r="BG5" s="116"/>
      <c r="BH5" s="116"/>
      <c r="BI5" s="116"/>
      <c r="BJ5" s="116"/>
      <c r="BK5" s="116"/>
      <c r="BL5" s="116"/>
      <c r="BM5" s="116"/>
      <c r="BN5" s="116"/>
      <c r="BO5" s="116"/>
      <c r="BP5" s="116"/>
      <c r="BQ5" s="116"/>
      <c r="BR5" s="116"/>
      <c r="BS5" s="116"/>
      <c r="BT5" s="116"/>
      <c r="BU5" s="116"/>
      <c r="BV5" s="116"/>
      <c r="BW5" s="116"/>
      <c r="BX5" s="116"/>
      <c r="BY5" s="116"/>
      <c r="BZ5" s="116"/>
      <c r="CA5" s="116"/>
      <c r="CB5" s="116"/>
      <c r="CC5" s="116"/>
      <c r="CD5" s="116"/>
      <c r="CE5" s="116"/>
      <c r="CF5" s="116"/>
      <c r="CG5" s="116"/>
      <c r="CH5" s="116"/>
      <c r="CI5" s="116"/>
      <c r="CJ5" s="116"/>
      <c r="CK5" s="116"/>
      <c r="CL5" s="116"/>
      <c r="CM5" s="116"/>
      <c r="CN5" s="116"/>
      <c r="CO5" s="116"/>
      <c r="CP5" s="116"/>
      <c r="CQ5" s="116"/>
      <c r="CR5" s="50" t="s">
        <v>2139</v>
      </c>
      <c r="CS5" s="50">
        <v>2.0</v>
      </c>
      <c r="CT5" s="116"/>
      <c r="CU5" s="50">
        <v>0.0</v>
      </c>
      <c r="CV5" s="50">
        <v>0.0</v>
      </c>
      <c r="CW5" s="116"/>
      <c r="CX5" s="116"/>
      <c r="CY5" s="116"/>
      <c r="CZ5" s="116"/>
      <c r="DA5" s="116"/>
      <c r="DB5" s="116"/>
      <c r="DC5" s="116"/>
      <c r="DD5" s="116"/>
      <c r="DE5" s="116"/>
      <c r="DF5" s="116"/>
      <c r="DG5" s="116"/>
      <c r="DH5" s="116"/>
      <c r="DI5" s="116"/>
      <c r="DJ5" s="116"/>
      <c r="DK5" s="116"/>
      <c r="DL5" s="116"/>
      <c r="DM5" s="116"/>
      <c r="DN5" s="116"/>
      <c r="DO5" s="116"/>
      <c r="DP5" s="50">
        <v>0.0</v>
      </c>
      <c r="DQ5" s="116"/>
      <c r="DR5" s="116"/>
      <c r="DS5" s="116"/>
      <c r="DT5" s="116"/>
      <c r="DU5" s="116"/>
      <c r="DV5" s="116"/>
      <c r="DW5" s="116"/>
      <c r="DX5" s="116"/>
      <c r="DY5" s="116"/>
      <c r="DZ5" s="116"/>
      <c r="EA5" s="116"/>
      <c r="EB5" s="116"/>
      <c r="EC5" s="116"/>
      <c r="ED5" s="116"/>
      <c r="EE5" s="116"/>
      <c r="EF5" s="116"/>
      <c r="EG5" s="50" t="s">
        <v>2286</v>
      </c>
      <c r="EH5" s="50">
        <v>1.0</v>
      </c>
      <c r="EI5" s="50" t="s">
        <v>3712</v>
      </c>
      <c r="EJ5" s="117">
        <v>3808.0</v>
      </c>
      <c r="EK5" s="50" t="s">
        <v>3730</v>
      </c>
      <c r="EL5" s="50" t="s">
        <v>3731</v>
      </c>
      <c r="EM5" s="117">
        <v>4.0</v>
      </c>
      <c r="EN5" s="117"/>
      <c r="EO5" s="117"/>
    </row>
    <row r="6">
      <c r="A6" s="50" t="s">
        <v>3732</v>
      </c>
      <c r="B6" s="50" t="s">
        <v>3733</v>
      </c>
      <c r="C6" s="116"/>
      <c r="D6" s="116"/>
      <c r="E6" s="50">
        <v>3.5215509147374E14</v>
      </c>
      <c r="F6" s="50">
        <v>58.0</v>
      </c>
      <c r="G6" s="50">
        <v>1.0</v>
      </c>
      <c r="H6" s="116"/>
      <c r="I6" s="116"/>
      <c r="J6" s="116"/>
      <c r="K6" s="116"/>
      <c r="L6" s="116"/>
      <c r="M6" s="50">
        <v>15.0</v>
      </c>
      <c r="N6" s="116"/>
      <c r="O6" s="116"/>
      <c r="P6" s="116"/>
      <c r="Q6" s="116"/>
      <c r="R6" s="116"/>
      <c r="S6" s="116"/>
      <c r="T6" s="50"/>
      <c r="U6" s="50">
        <v>152.0</v>
      </c>
      <c r="V6" s="50">
        <v>0.0</v>
      </c>
      <c r="W6" s="50">
        <v>0.0</v>
      </c>
      <c r="X6" s="50">
        <v>1.0</v>
      </c>
      <c r="Y6" s="50" t="s">
        <v>2143</v>
      </c>
      <c r="Z6" s="50" t="s">
        <v>2143</v>
      </c>
      <c r="AA6" s="50" t="s">
        <v>3734</v>
      </c>
      <c r="AB6" s="50">
        <v>3.0</v>
      </c>
      <c r="AC6" s="50">
        <v>1.0</v>
      </c>
      <c r="AD6" s="116"/>
      <c r="AE6" s="116"/>
      <c r="AF6" s="116"/>
      <c r="AG6" s="116"/>
      <c r="AH6" s="116"/>
      <c r="AI6" s="116"/>
      <c r="AJ6" s="116"/>
      <c r="AK6" s="116"/>
      <c r="AL6" s="116"/>
      <c r="AM6" s="116"/>
      <c r="AN6" s="116"/>
      <c r="AO6" s="116"/>
      <c r="AP6" s="116"/>
      <c r="AQ6" s="116"/>
      <c r="AR6" s="116"/>
      <c r="AS6" s="116"/>
      <c r="AT6" s="116"/>
      <c r="AU6" s="116"/>
      <c r="AV6" s="116"/>
      <c r="AW6" s="116"/>
      <c r="AX6" s="116"/>
      <c r="AY6" s="116"/>
      <c r="AZ6" s="116"/>
      <c r="BA6" s="116"/>
      <c r="BB6" s="116"/>
      <c r="BC6" s="116"/>
      <c r="BD6" s="116"/>
      <c r="BE6" s="116"/>
      <c r="BF6" s="116"/>
      <c r="BG6" s="116"/>
      <c r="BH6" s="116"/>
      <c r="BI6" s="116"/>
      <c r="BJ6" s="116"/>
      <c r="BK6" s="116"/>
      <c r="BL6" s="116"/>
      <c r="BM6" s="116"/>
      <c r="BN6" s="116"/>
      <c r="BO6" s="116"/>
      <c r="BP6" s="116"/>
      <c r="BQ6" s="116"/>
      <c r="BR6" s="116"/>
      <c r="BS6" s="116"/>
      <c r="BT6" s="116"/>
      <c r="BU6" s="116"/>
      <c r="BV6" s="116"/>
      <c r="BW6" s="116"/>
      <c r="BX6" s="116"/>
      <c r="BY6" s="116"/>
      <c r="BZ6" s="116"/>
      <c r="CA6" s="116"/>
      <c r="CB6" s="116"/>
      <c r="CC6" s="116"/>
      <c r="CD6" s="116"/>
      <c r="CE6" s="116"/>
      <c r="CF6" s="116"/>
      <c r="CG6" s="116"/>
      <c r="CH6" s="116"/>
      <c r="CI6" s="116"/>
      <c r="CJ6" s="116"/>
      <c r="CK6" s="116"/>
      <c r="CL6" s="116"/>
      <c r="CM6" s="116"/>
      <c r="CN6" s="116"/>
      <c r="CO6" s="116"/>
      <c r="CP6" s="116"/>
      <c r="CQ6" s="116"/>
      <c r="CR6" s="116"/>
      <c r="CS6" s="116"/>
      <c r="CT6" s="116"/>
      <c r="CU6" s="116"/>
      <c r="CV6" s="116"/>
      <c r="CW6" s="50">
        <v>1.0</v>
      </c>
      <c r="CX6" s="116"/>
      <c r="CY6" s="50" t="s">
        <v>2143</v>
      </c>
      <c r="CZ6" s="50">
        <v>2.0</v>
      </c>
      <c r="DA6" s="116"/>
      <c r="DB6" s="50">
        <v>88.0</v>
      </c>
      <c r="DC6" s="50" t="s">
        <v>3736</v>
      </c>
      <c r="DD6" s="116"/>
      <c r="DE6" s="116"/>
      <c r="DF6" s="116"/>
      <c r="DG6" s="116"/>
      <c r="DH6" s="116"/>
      <c r="DI6" s="116"/>
      <c r="DJ6" s="116"/>
      <c r="DK6" s="116"/>
      <c r="DL6" s="116"/>
      <c r="DM6" s="116"/>
      <c r="DN6" s="116"/>
      <c r="DO6" s="116"/>
      <c r="DP6" s="50">
        <v>0.0</v>
      </c>
      <c r="DQ6" s="116"/>
      <c r="DR6" s="116"/>
      <c r="DS6" s="116"/>
      <c r="DT6" s="116"/>
      <c r="DU6" s="116"/>
      <c r="DV6" s="116"/>
      <c r="DW6" s="116"/>
      <c r="DX6" s="116"/>
      <c r="DY6" s="116"/>
      <c r="DZ6" s="116"/>
      <c r="EA6" s="116"/>
      <c r="EB6" s="116"/>
      <c r="EC6" s="116"/>
      <c r="ED6" s="116"/>
      <c r="EE6" s="116"/>
      <c r="EF6" s="116"/>
      <c r="EG6" s="50" t="s">
        <v>2278</v>
      </c>
      <c r="EH6" s="50">
        <v>0.0</v>
      </c>
      <c r="EI6" s="50" t="s">
        <v>3712</v>
      </c>
      <c r="EJ6" s="117">
        <v>3809.0</v>
      </c>
      <c r="EK6" s="50" t="s">
        <v>3737</v>
      </c>
      <c r="EL6" s="50" t="s">
        <v>3738</v>
      </c>
      <c r="EM6" s="117">
        <v>5.0</v>
      </c>
      <c r="EN6" s="117"/>
      <c r="EO6" s="117"/>
    </row>
    <row r="7">
      <c r="A7" s="50" t="s">
        <v>3739</v>
      </c>
      <c r="B7" s="50" t="s">
        <v>3740</v>
      </c>
      <c r="C7" s="116"/>
      <c r="D7" s="116"/>
      <c r="E7" s="50">
        <v>3.5215509147374E14</v>
      </c>
      <c r="F7" s="50">
        <v>58.0</v>
      </c>
      <c r="G7" s="50">
        <v>1.0</v>
      </c>
      <c r="H7" s="116"/>
      <c r="I7" s="116"/>
      <c r="J7" s="116"/>
      <c r="K7" s="116"/>
      <c r="L7" s="116"/>
      <c r="M7" s="50">
        <v>14.0</v>
      </c>
      <c r="N7" s="50">
        <v>141.0</v>
      </c>
      <c r="O7" s="50">
        <v>0.0</v>
      </c>
      <c r="P7" s="50">
        <v>0.0</v>
      </c>
      <c r="Q7" s="50">
        <v>0.0</v>
      </c>
      <c r="R7" s="50">
        <v>0.0</v>
      </c>
      <c r="S7" s="50">
        <v>1.0</v>
      </c>
      <c r="T7" s="50">
        <v>0.0</v>
      </c>
      <c r="U7" s="116"/>
      <c r="V7" s="116"/>
      <c r="W7" s="116"/>
      <c r="X7" s="116"/>
      <c r="Y7" s="50" t="s">
        <v>2162</v>
      </c>
      <c r="Z7" s="50" t="s">
        <v>2162</v>
      </c>
      <c r="AA7" s="50" t="s">
        <v>3741</v>
      </c>
      <c r="AB7" s="50">
        <v>1.0</v>
      </c>
      <c r="AC7" s="50">
        <v>1.0</v>
      </c>
      <c r="AD7" s="116"/>
      <c r="AE7" s="116"/>
      <c r="AF7" s="50" t="s">
        <v>2162</v>
      </c>
      <c r="AG7" s="50">
        <v>1.0</v>
      </c>
      <c r="AH7" s="50">
        <v>1.0</v>
      </c>
      <c r="AI7" s="50">
        <v>0.0</v>
      </c>
      <c r="AJ7" s="50">
        <v>0.0</v>
      </c>
      <c r="AK7" s="50">
        <v>0.0</v>
      </c>
      <c r="AL7" s="50">
        <v>0.0</v>
      </c>
      <c r="AM7" s="116"/>
      <c r="AN7" s="50">
        <v>5.0</v>
      </c>
      <c r="AO7" s="50">
        <v>0.0</v>
      </c>
      <c r="AP7" s="50">
        <v>0.0</v>
      </c>
      <c r="AQ7" s="50">
        <v>0.0</v>
      </c>
      <c r="AR7" s="50">
        <v>0.0</v>
      </c>
      <c r="AS7" s="50">
        <v>1.0</v>
      </c>
      <c r="AT7" s="50">
        <v>0.0</v>
      </c>
      <c r="AU7" s="50">
        <v>0.0</v>
      </c>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c r="BT7" s="116"/>
      <c r="BU7" s="116"/>
      <c r="BV7" s="116"/>
      <c r="BW7" s="116"/>
      <c r="BX7" s="116"/>
      <c r="BY7" s="116"/>
      <c r="BZ7" s="116"/>
      <c r="CA7" s="116"/>
      <c r="CB7" s="116"/>
      <c r="CC7" s="116"/>
      <c r="CD7" s="116"/>
      <c r="CE7" s="116"/>
      <c r="CF7" s="116"/>
      <c r="CG7" s="116"/>
      <c r="CH7" s="116"/>
      <c r="CI7" s="116"/>
      <c r="CJ7" s="116"/>
      <c r="CK7" s="116"/>
      <c r="CL7" s="116"/>
      <c r="CM7" s="116"/>
      <c r="CN7" s="116"/>
      <c r="CO7" s="116"/>
      <c r="CP7" s="116"/>
      <c r="CQ7" s="116"/>
      <c r="CR7" s="116"/>
      <c r="CS7" s="116"/>
      <c r="CT7" s="116"/>
      <c r="CU7" s="116"/>
      <c r="CV7" s="116"/>
      <c r="CW7" s="116"/>
      <c r="CX7" s="116"/>
      <c r="CY7" s="116"/>
      <c r="CZ7" s="116"/>
      <c r="DA7" s="116"/>
      <c r="DB7" s="116"/>
      <c r="DC7" s="116"/>
      <c r="DD7" s="116"/>
      <c r="DE7" s="116"/>
      <c r="DF7" s="116"/>
      <c r="DG7" s="116"/>
      <c r="DH7" s="116"/>
      <c r="DI7" s="116"/>
      <c r="DJ7" s="116"/>
      <c r="DK7" s="116"/>
      <c r="DL7" s="116"/>
      <c r="DM7" s="116"/>
      <c r="DN7" s="116"/>
      <c r="DO7" s="116"/>
      <c r="DP7" s="50">
        <v>0.0</v>
      </c>
      <c r="DQ7" s="116"/>
      <c r="DR7" s="116"/>
      <c r="DS7" s="116"/>
      <c r="DT7" s="116"/>
      <c r="DU7" s="116"/>
      <c r="DV7" s="116"/>
      <c r="DW7" s="116"/>
      <c r="DX7" s="116"/>
      <c r="DY7" s="116"/>
      <c r="DZ7" s="116"/>
      <c r="EA7" s="116"/>
      <c r="EB7" s="116"/>
      <c r="EC7" s="116"/>
      <c r="ED7" s="116"/>
      <c r="EE7" s="116"/>
      <c r="EF7" s="50" t="s">
        <v>3742</v>
      </c>
      <c r="EG7" s="50" t="s">
        <v>2286</v>
      </c>
      <c r="EH7" s="50">
        <v>1.0</v>
      </c>
      <c r="EI7" s="50" t="s">
        <v>3712</v>
      </c>
      <c r="EJ7" s="117">
        <v>3834.0</v>
      </c>
      <c r="EK7" s="50" t="s">
        <v>3743</v>
      </c>
      <c r="EL7" s="50" t="s">
        <v>3744</v>
      </c>
      <c r="EM7" s="117">
        <v>6.0</v>
      </c>
      <c r="EN7" s="117"/>
      <c r="EO7" s="117"/>
    </row>
    <row r="8">
      <c r="A8" s="50" t="s">
        <v>3745</v>
      </c>
      <c r="B8" s="50" t="s">
        <v>3746</v>
      </c>
      <c r="C8" s="116"/>
      <c r="D8" s="116"/>
      <c r="E8" s="50">
        <v>3.5215509147374E14</v>
      </c>
      <c r="F8" s="50">
        <v>58.0</v>
      </c>
      <c r="G8" s="50">
        <v>1.0</v>
      </c>
      <c r="H8" s="116"/>
      <c r="I8" s="116"/>
      <c r="J8" s="116"/>
      <c r="K8" s="116"/>
      <c r="L8" s="116"/>
      <c r="M8" s="50">
        <v>14.0</v>
      </c>
      <c r="N8" s="50">
        <v>143.0</v>
      </c>
      <c r="O8" s="50">
        <v>0.0</v>
      </c>
      <c r="P8" s="50">
        <v>0.0</v>
      </c>
      <c r="Q8" s="50">
        <v>0.0</v>
      </c>
      <c r="R8" s="50">
        <v>1.0</v>
      </c>
      <c r="S8" s="50">
        <v>0.0</v>
      </c>
      <c r="T8" s="50">
        <v>0.0</v>
      </c>
      <c r="U8" s="116"/>
      <c r="V8" s="116"/>
      <c r="W8" s="116"/>
      <c r="X8" s="116"/>
      <c r="Y8" s="50" t="s">
        <v>2165</v>
      </c>
      <c r="Z8" s="50" t="s">
        <v>2165</v>
      </c>
      <c r="AA8" s="50" t="s">
        <v>3747</v>
      </c>
      <c r="AB8" s="50">
        <v>1.0</v>
      </c>
      <c r="AC8" s="50">
        <v>1.0</v>
      </c>
      <c r="AD8" s="116"/>
      <c r="AE8" s="116"/>
      <c r="AF8" s="116"/>
      <c r="AG8" s="116"/>
      <c r="AH8" s="116"/>
      <c r="AI8" s="116"/>
      <c r="AJ8" s="116"/>
      <c r="AK8" s="116"/>
      <c r="AL8" s="116"/>
      <c r="AM8" s="116"/>
      <c r="AN8" s="116"/>
      <c r="AO8" s="116"/>
      <c r="AP8" s="116"/>
      <c r="AQ8" s="116"/>
      <c r="AR8" s="116"/>
      <c r="AS8" s="116"/>
      <c r="AT8" s="116"/>
      <c r="AU8" s="116"/>
      <c r="AV8" s="116"/>
      <c r="AW8" s="116"/>
      <c r="AX8" s="116"/>
      <c r="AY8" s="116"/>
      <c r="AZ8" s="116"/>
      <c r="BA8" s="116"/>
      <c r="BB8" s="116"/>
      <c r="BC8" s="116"/>
      <c r="BD8" s="116"/>
      <c r="BE8" s="50" t="s">
        <v>2165</v>
      </c>
      <c r="BF8" s="50">
        <v>1.0</v>
      </c>
      <c r="BG8" s="50">
        <v>1.0</v>
      </c>
      <c r="BH8" s="50">
        <v>0.0</v>
      </c>
      <c r="BI8" s="50">
        <v>0.0</v>
      </c>
      <c r="BJ8" s="50">
        <v>0.0</v>
      </c>
      <c r="BK8" s="116"/>
      <c r="BL8" s="50">
        <v>3.0</v>
      </c>
      <c r="BM8" s="50">
        <v>0.0</v>
      </c>
      <c r="BN8" s="50">
        <v>0.0</v>
      </c>
      <c r="BO8" s="50">
        <v>1.0</v>
      </c>
      <c r="BP8" s="50">
        <v>0.0</v>
      </c>
      <c r="BQ8" s="50">
        <v>0.0</v>
      </c>
      <c r="BR8" s="50">
        <v>0.0</v>
      </c>
      <c r="BS8" s="50">
        <v>0.0</v>
      </c>
      <c r="BT8" s="116"/>
      <c r="BU8" s="116"/>
      <c r="BV8" s="116"/>
      <c r="BW8" s="116"/>
      <c r="BX8" s="116"/>
      <c r="BY8" s="116"/>
      <c r="BZ8" s="116"/>
      <c r="CA8" s="116"/>
      <c r="CB8" s="116"/>
      <c r="CC8" s="116"/>
      <c r="CD8" s="116"/>
      <c r="CE8" s="116"/>
      <c r="CF8" s="116"/>
      <c r="CG8" s="116"/>
      <c r="CH8" s="116"/>
      <c r="CI8" s="116"/>
      <c r="CJ8" s="116"/>
      <c r="CK8" s="116"/>
      <c r="CL8" s="116"/>
      <c r="CM8" s="116"/>
      <c r="CN8" s="116"/>
      <c r="CO8" s="116"/>
      <c r="CP8" s="116"/>
      <c r="CQ8" s="116"/>
      <c r="CR8" s="116"/>
      <c r="CS8" s="116"/>
      <c r="CT8" s="116"/>
      <c r="CU8" s="116"/>
      <c r="CV8" s="116"/>
      <c r="CW8" s="116"/>
      <c r="CX8" s="116"/>
      <c r="CY8" s="116"/>
      <c r="CZ8" s="116"/>
      <c r="DA8" s="116"/>
      <c r="DB8" s="116"/>
      <c r="DC8" s="116"/>
      <c r="DD8" s="116"/>
      <c r="DE8" s="116"/>
      <c r="DF8" s="116"/>
      <c r="DG8" s="116"/>
      <c r="DH8" s="116"/>
      <c r="DI8" s="116"/>
      <c r="DJ8" s="116"/>
      <c r="DK8" s="116"/>
      <c r="DL8" s="116"/>
      <c r="DM8" s="116"/>
      <c r="DN8" s="116"/>
      <c r="DO8" s="116"/>
      <c r="DP8" s="50">
        <v>0.0</v>
      </c>
      <c r="DQ8" s="116"/>
      <c r="DR8" s="116"/>
      <c r="DS8" s="116"/>
      <c r="DT8" s="116"/>
      <c r="DU8" s="116"/>
      <c r="DV8" s="116"/>
      <c r="DW8" s="116"/>
      <c r="DX8" s="116"/>
      <c r="DY8" s="116"/>
      <c r="DZ8" s="116"/>
      <c r="EA8" s="116"/>
      <c r="EB8" s="116"/>
      <c r="EC8" s="116"/>
      <c r="ED8" s="116"/>
      <c r="EE8" s="116"/>
      <c r="EF8" s="50" t="s">
        <v>3749</v>
      </c>
      <c r="EG8" s="50" t="s">
        <v>2286</v>
      </c>
      <c r="EH8" s="50">
        <v>1.0</v>
      </c>
      <c r="EI8" s="50" t="s">
        <v>3712</v>
      </c>
      <c r="EJ8" s="117">
        <v>3835.0</v>
      </c>
      <c r="EK8" s="50" t="s">
        <v>3750</v>
      </c>
      <c r="EL8" s="50" t="s">
        <v>3751</v>
      </c>
      <c r="EM8" s="117">
        <v>7.0</v>
      </c>
      <c r="EN8" s="117"/>
      <c r="EO8" s="117"/>
    </row>
    <row r="9">
      <c r="A9" s="50" t="s">
        <v>3752</v>
      </c>
      <c r="B9" s="50" t="s">
        <v>3753</v>
      </c>
      <c r="C9" s="116"/>
      <c r="D9" s="116"/>
      <c r="E9" s="50">
        <v>3.5215509147374E14</v>
      </c>
      <c r="F9" s="50">
        <v>58.0</v>
      </c>
      <c r="G9" s="50">
        <v>1.0</v>
      </c>
      <c r="H9" s="116"/>
      <c r="I9" s="116"/>
      <c r="J9" s="116"/>
      <c r="K9" s="116"/>
      <c r="L9" s="116"/>
      <c r="M9" s="50">
        <v>14.0</v>
      </c>
      <c r="N9" s="50">
        <v>144.0</v>
      </c>
      <c r="O9" s="50">
        <v>1.0</v>
      </c>
      <c r="P9" s="50">
        <v>0.0</v>
      </c>
      <c r="Q9" s="50">
        <v>0.0</v>
      </c>
      <c r="R9" s="50">
        <v>0.0</v>
      </c>
      <c r="S9" s="50">
        <v>0.0</v>
      </c>
      <c r="T9" s="50">
        <v>0.0</v>
      </c>
      <c r="U9" s="116"/>
      <c r="V9" s="116"/>
      <c r="W9" s="116"/>
      <c r="X9" s="116"/>
      <c r="Y9" s="50" t="s">
        <v>2168</v>
      </c>
      <c r="Z9" s="50" t="s">
        <v>2168</v>
      </c>
      <c r="AA9" s="50" t="s">
        <v>3754</v>
      </c>
      <c r="AB9" s="50">
        <v>1.0</v>
      </c>
      <c r="AC9" s="50">
        <v>1.0</v>
      </c>
      <c r="AD9" s="116"/>
      <c r="AE9" s="116"/>
      <c r="AF9" s="116"/>
      <c r="AG9" s="116"/>
      <c r="AH9" s="116"/>
      <c r="AI9" s="116"/>
      <c r="AJ9" s="116"/>
      <c r="AK9" s="116"/>
      <c r="AL9" s="116"/>
      <c r="AM9" s="116"/>
      <c r="AN9" s="116"/>
      <c r="AO9" s="116"/>
      <c r="AP9" s="116"/>
      <c r="AQ9" s="116"/>
      <c r="AR9" s="116"/>
      <c r="AS9" s="116"/>
      <c r="AT9" s="116"/>
      <c r="AU9" s="116"/>
      <c r="AV9" s="116"/>
      <c r="AW9" s="116"/>
      <c r="AX9" s="116"/>
      <c r="AY9" s="116"/>
      <c r="AZ9" s="116"/>
      <c r="BA9" s="116"/>
      <c r="BB9" s="116"/>
      <c r="BC9" s="116"/>
      <c r="BD9" s="116"/>
      <c r="BE9" s="116"/>
      <c r="BF9" s="116"/>
      <c r="BG9" s="116"/>
      <c r="BH9" s="116"/>
      <c r="BI9" s="116"/>
      <c r="BJ9" s="116"/>
      <c r="BK9" s="116"/>
      <c r="BL9" s="116"/>
      <c r="BM9" s="116"/>
      <c r="BN9" s="116"/>
      <c r="BO9" s="116"/>
      <c r="BP9" s="116"/>
      <c r="BQ9" s="116"/>
      <c r="BR9" s="116"/>
      <c r="BS9" s="116"/>
      <c r="BT9" s="116"/>
      <c r="BU9" s="50" t="s">
        <v>2168</v>
      </c>
      <c r="BV9" s="50">
        <v>4.0</v>
      </c>
      <c r="BW9" s="116"/>
      <c r="BX9" s="50">
        <v>1.0</v>
      </c>
      <c r="BY9" s="50">
        <v>1.0</v>
      </c>
      <c r="BZ9" s="116"/>
      <c r="CA9" s="116"/>
      <c r="CB9" s="116"/>
      <c r="CC9" s="116"/>
      <c r="CD9" s="116"/>
      <c r="CE9" s="116"/>
      <c r="CF9" s="116"/>
      <c r="CG9" s="116"/>
      <c r="CH9" s="116"/>
      <c r="CI9" s="116"/>
      <c r="CJ9" s="116"/>
      <c r="CK9" s="116"/>
      <c r="CL9" s="116"/>
      <c r="CM9" s="116"/>
      <c r="CN9" s="116"/>
      <c r="CO9" s="116"/>
      <c r="CP9" s="116"/>
      <c r="CQ9" s="116"/>
      <c r="CR9" s="116"/>
      <c r="CS9" s="116"/>
      <c r="CT9" s="116"/>
      <c r="CU9" s="116"/>
      <c r="CV9" s="116"/>
      <c r="CW9" s="116"/>
      <c r="CX9" s="116"/>
      <c r="CY9" s="116"/>
      <c r="CZ9" s="116"/>
      <c r="DA9" s="116"/>
      <c r="DB9" s="116"/>
      <c r="DC9" s="116"/>
      <c r="DD9" s="116"/>
      <c r="DE9" s="116"/>
      <c r="DF9" s="116"/>
      <c r="DG9" s="116"/>
      <c r="DH9" s="116"/>
      <c r="DI9" s="116"/>
      <c r="DJ9" s="116"/>
      <c r="DK9" s="116"/>
      <c r="DL9" s="116"/>
      <c r="DM9" s="116"/>
      <c r="DN9" s="116"/>
      <c r="DO9" s="116"/>
      <c r="DP9" s="50">
        <v>0.0</v>
      </c>
      <c r="DQ9" s="116"/>
      <c r="DR9" s="116"/>
      <c r="DS9" s="116"/>
      <c r="DT9" s="116"/>
      <c r="DU9" s="116"/>
      <c r="DV9" s="116"/>
      <c r="DW9" s="116"/>
      <c r="DX9" s="116"/>
      <c r="DY9" s="116"/>
      <c r="DZ9" s="116"/>
      <c r="EA9" s="116"/>
      <c r="EB9" s="116"/>
      <c r="EC9" s="116"/>
      <c r="ED9" s="116"/>
      <c r="EE9" s="116"/>
      <c r="EF9" s="50" t="s">
        <v>3749</v>
      </c>
      <c r="EG9" s="50" t="s">
        <v>2278</v>
      </c>
      <c r="EH9" s="50">
        <v>1.0</v>
      </c>
      <c r="EI9" s="50" t="s">
        <v>3712</v>
      </c>
      <c r="EJ9" s="117">
        <v>3836.0</v>
      </c>
      <c r="EK9" s="50" t="s">
        <v>3756</v>
      </c>
      <c r="EL9" s="50" t="s">
        <v>3757</v>
      </c>
      <c r="EM9" s="117">
        <v>8.0</v>
      </c>
      <c r="EN9" s="117"/>
      <c r="EO9" s="117"/>
    </row>
    <row r="10">
      <c r="A10" s="50" t="s">
        <v>3758</v>
      </c>
      <c r="B10" s="50" t="s">
        <v>3759</v>
      </c>
      <c r="C10" s="116"/>
      <c r="D10" s="116"/>
      <c r="E10" s="50">
        <v>3.5215509147374E14</v>
      </c>
      <c r="F10" s="50">
        <v>58.0</v>
      </c>
      <c r="G10" s="50">
        <v>1.0</v>
      </c>
      <c r="H10" s="116"/>
      <c r="I10" s="116"/>
      <c r="J10" s="116"/>
      <c r="K10" s="116"/>
      <c r="L10" s="116"/>
      <c r="M10" s="50">
        <v>14.0</v>
      </c>
      <c r="N10" s="50">
        <v>145.0</v>
      </c>
      <c r="O10" s="50">
        <v>0.0</v>
      </c>
      <c r="P10" s="50">
        <v>1.0</v>
      </c>
      <c r="Q10" s="50">
        <v>0.0</v>
      </c>
      <c r="R10" s="50">
        <v>0.0</v>
      </c>
      <c r="S10" s="50">
        <v>0.0</v>
      </c>
      <c r="T10" s="50">
        <v>0.0</v>
      </c>
      <c r="U10" s="116"/>
      <c r="V10" s="116"/>
      <c r="W10" s="116"/>
      <c r="X10" s="116"/>
      <c r="Y10" s="50" t="s">
        <v>2169</v>
      </c>
      <c r="Z10" s="50" t="s">
        <v>2169</v>
      </c>
      <c r="AA10" s="50" t="s">
        <v>3760</v>
      </c>
      <c r="AB10" s="50">
        <v>1.0</v>
      </c>
      <c r="AC10" s="50">
        <v>1.0</v>
      </c>
      <c r="AD10" s="116"/>
      <c r="AE10" s="116"/>
      <c r="AF10" s="116"/>
      <c r="AG10" s="116"/>
      <c r="AH10" s="116"/>
      <c r="AI10" s="116"/>
      <c r="AJ10" s="116"/>
      <c r="AK10" s="116"/>
      <c r="AL10" s="116"/>
      <c r="AM10" s="116"/>
      <c r="AN10" s="116"/>
      <c r="AO10" s="116"/>
      <c r="AP10" s="116"/>
      <c r="AQ10" s="116"/>
      <c r="AR10" s="116"/>
      <c r="AS10" s="116"/>
      <c r="AT10" s="116"/>
      <c r="AU10" s="116"/>
      <c r="AV10" s="116"/>
      <c r="AW10" s="116"/>
      <c r="AX10" s="116"/>
      <c r="AY10" s="116"/>
      <c r="AZ10" s="116"/>
      <c r="BA10" s="116"/>
      <c r="BB10" s="116"/>
      <c r="BC10" s="116"/>
      <c r="BD10" s="116"/>
      <c r="BE10" s="116"/>
      <c r="BF10" s="116"/>
      <c r="BG10" s="116"/>
      <c r="BH10" s="116"/>
      <c r="BI10" s="116"/>
      <c r="BJ10" s="116"/>
      <c r="BK10" s="116"/>
      <c r="BL10" s="116"/>
      <c r="BM10" s="116"/>
      <c r="BN10" s="116"/>
      <c r="BO10" s="116"/>
      <c r="BP10" s="116"/>
      <c r="BQ10" s="116"/>
      <c r="BR10" s="116"/>
      <c r="BS10" s="116"/>
      <c r="BT10" s="116"/>
      <c r="BU10" s="116"/>
      <c r="BV10" s="116"/>
      <c r="BW10" s="116"/>
      <c r="BX10" s="116"/>
      <c r="BY10" s="116"/>
      <c r="BZ10" s="116"/>
      <c r="CA10" s="116"/>
      <c r="CB10" s="116"/>
      <c r="CC10" s="50" t="s">
        <v>2169</v>
      </c>
      <c r="CD10" s="122">
        <v>43500.0</v>
      </c>
      <c r="CE10" s="50">
        <v>0.0</v>
      </c>
      <c r="CF10" s="50">
        <v>0.0</v>
      </c>
      <c r="CG10" s="50">
        <v>0.0</v>
      </c>
      <c r="CH10" s="50">
        <v>1.0</v>
      </c>
      <c r="CI10" s="50">
        <v>0.0</v>
      </c>
      <c r="CJ10" s="50">
        <v>1.0</v>
      </c>
      <c r="CK10" s="116"/>
      <c r="CL10" s="50">
        <v>3.0</v>
      </c>
      <c r="CM10" s="50">
        <v>0.0</v>
      </c>
      <c r="CN10" s="50">
        <v>1.0</v>
      </c>
      <c r="CO10" s="50">
        <v>0.0</v>
      </c>
      <c r="CP10" s="50">
        <v>0.0</v>
      </c>
      <c r="CQ10" s="116"/>
      <c r="CR10" s="116"/>
      <c r="CS10" s="116"/>
      <c r="CT10" s="116"/>
      <c r="CU10" s="116"/>
      <c r="CV10" s="116"/>
      <c r="CW10" s="116"/>
      <c r="CX10" s="116"/>
      <c r="CY10" s="116"/>
      <c r="CZ10" s="116"/>
      <c r="DA10" s="116"/>
      <c r="DB10" s="116"/>
      <c r="DC10" s="116"/>
      <c r="DD10" s="116"/>
      <c r="DE10" s="116"/>
      <c r="DF10" s="116"/>
      <c r="DG10" s="116"/>
      <c r="DH10" s="116"/>
      <c r="DI10" s="116"/>
      <c r="DJ10" s="116"/>
      <c r="DK10" s="116"/>
      <c r="DL10" s="116"/>
      <c r="DM10" s="116"/>
      <c r="DN10" s="116"/>
      <c r="DO10" s="116"/>
      <c r="DP10" s="50">
        <v>0.0</v>
      </c>
      <c r="DQ10" s="116"/>
      <c r="DR10" s="116"/>
      <c r="DS10" s="116"/>
      <c r="DT10" s="116"/>
      <c r="DU10" s="116"/>
      <c r="DV10" s="116"/>
      <c r="DW10" s="116"/>
      <c r="DX10" s="116"/>
      <c r="DY10" s="116"/>
      <c r="DZ10" s="116"/>
      <c r="EA10" s="116"/>
      <c r="EB10" s="116"/>
      <c r="EC10" s="116"/>
      <c r="ED10" s="116"/>
      <c r="EE10" s="116"/>
      <c r="EF10" s="50" t="s">
        <v>3749</v>
      </c>
      <c r="EG10" s="50" t="s">
        <v>2302</v>
      </c>
      <c r="EH10" s="50">
        <v>1.0</v>
      </c>
      <c r="EI10" s="50" t="s">
        <v>3712</v>
      </c>
      <c r="EJ10" s="117">
        <v>3837.0</v>
      </c>
      <c r="EK10" s="50" t="s">
        <v>3763</v>
      </c>
      <c r="EL10" s="50" t="s">
        <v>3764</v>
      </c>
      <c r="EM10" s="117">
        <v>9.0</v>
      </c>
      <c r="EN10" s="117"/>
      <c r="EO10" s="117"/>
    </row>
    <row r="11">
      <c r="A11" s="50" t="s">
        <v>3765</v>
      </c>
      <c r="B11" s="50" t="s">
        <v>3766</v>
      </c>
      <c r="C11" s="116"/>
      <c r="D11" s="116"/>
      <c r="E11" s="50">
        <v>3.5215509147374E14</v>
      </c>
      <c r="F11" s="50">
        <v>58.0</v>
      </c>
      <c r="G11" s="50">
        <v>1.0</v>
      </c>
      <c r="H11" s="116"/>
      <c r="I11" s="116"/>
      <c r="J11" s="116"/>
      <c r="K11" s="116"/>
      <c r="L11" s="116"/>
      <c r="M11" s="50">
        <v>14.0</v>
      </c>
      <c r="N11" s="50">
        <v>143.0</v>
      </c>
      <c r="O11" s="50">
        <v>0.0</v>
      </c>
      <c r="P11" s="50">
        <v>0.0</v>
      </c>
      <c r="Q11" s="50">
        <v>0.0</v>
      </c>
      <c r="R11" s="50">
        <v>1.0</v>
      </c>
      <c r="S11" s="50">
        <v>0.0</v>
      </c>
      <c r="T11" s="50">
        <v>0.0</v>
      </c>
      <c r="U11" s="116"/>
      <c r="V11" s="116"/>
      <c r="W11" s="116"/>
      <c r="X11" s="116"/>
      <c r="Y11" s="50" t="s">
        <v>2166</v>
      </c>
      <c r="Z11" s="50" t="s">
        <v>2166</v>
      </c>
      <c r="AA11" s="50" t="s">
        <v>3767</v>
      </c>
      <c r="AB11" s="50">
        <v>1.0</v>
      </c>
      <c r="AC11" s="50">
        <v>1.0</v>
      </c>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50" t="s">
        <v>2166</v>
      </c>
      <c r="BF11" s="50">
        <v>1.0</v>
      </c>
      <c r="BG11" s="50">
        <v>1.0</v>
      </c>
      <c r="BH11" s="50">
        <v>0.0</v>
      </c>
      <c r="BI11" s="50">
        <v>0.0</v>
      </c>
      <c r="BJ11" s="50">
        <v>0.0</v>
      </c>
      <c r="BK11" s="116"/>
      <c r="BL11" s="50">
        <v>3.0</v>
      </c>
      <c r="BM11" s="50">
        <v>0.0</v>
      </c>
      <c r="BN11" s="50">
        <v>0.0</v>
      </c>
      <c r="BO11" s="50">
        <v>1.0</v>
      </c>
      <c r="BP11" s="50">
        <v>0.0</v>
      </c>
      <c r="BQ11" s="50">
        <v>0.0</v>
      </c>
      <c r="BR11" s="50">
        <v>0.0</v>
      </c>
      <c r="BS11" s="50">
        <v>0.0</v>
      </c>
      <c r="BT11" s="116"/>
      <c r="BU11" s="116"/>
      <c r="BV11" s="116"/>
      <c r="BW11" s="116"/>
      <c r="BX11" s="116"/>
      <c r="BY11" s="116"/>
      <c r="BZ11" s="116"/>
      <c r="CA11" s="116"/>
      <c r="CB11" s="116"/>
      <c r="CC11" s="116"/>
      <c r="CD11" s="116"/>
      <c r="CE11" s="116"/>
      <c r="CF11" s="116"/>
      <c r="CG11" s="116"/>
      <c r="CH11" s="116"/>
      <c r="CI11" s="116"/>
      <c r="CJ11" s="116"/>
      <c r="CK11" s="116"/>
      <c r="CL11" s="116"/>
      <c r="CM11" s="116"/>
      <c r="CN11" s="116"/>
      <c r="CO11" s="116"/>
      <c r="CP11" s="116"/>
      <c r="CQ11" s="116"/>
      <c r="CR11" s="116"/>
      <c r="CS11" s="116"/>
      <c r="CT11" s="116"/>
      <c r="CU11" s="116"/>
      <c r="CV11" s="116"/>
      <c r="CW11" s="116"/>
      <c r="CX11" s="116"/>
      <c r="CY11" s="116"/>
      <c r="CZ11" s="116"/>
      <c r="DA11" s="116"/>
      <c r="DB11" s="116"/>
      <c r="DC11" s="116"/>
      <c r="DD11" s="116"/>
      <c r="DE11" s="116"/>
      <c r="DF11" s="116"/>
      <c r="DG11" s="116"/>
      <c r="DH11" s="116"/>
      <c r="DI11" s="116"/>
      <c r="DJ11" s="116"/>
      <c r="DK11" s="116"/>
      <c r="DL11" s="116"/>
      <c r="DM11" s="116"/>
      <c r="DN11" s="116"/>
      <c r="DO11" s="116"/>
      <c r="DP11" s="50">
        <v>0.0</v>
      </c>
      <c r="DQ11" s="116"/>
      <c r="DR11" s="116"/>
      <c r="DS11" s="116"/>
      <c r="DT11" s="116"/>
      <c r="DU11" s="116"/>
      <c r="DV11" s="116"/>
      <c r="DW11" s="116"/>
      <c r="DX11" s="116"/>
      <c r="DY11" s="116"/>
      <c r="DZ11" s="116"/>
      <c r="EA11" s="116"/>
      <c r="EB11" s="116"/>
      <c r="EC11" s="116"/>
      <c r="ED11" s="116"/>
      <c r="EE11" s="116"/>
      <c r="EF11" s="50" t="s">
        <v>3769</v>
      </c>
      <c r="EG11" s="50" t="s">
        <v>2327</v>
      </c>
      <c r="EH11" s="50">
        <v>1.0</v>
      </c>
      <c r="EI11" s="50" t="s">
        <v>3712</v>
      </c>
      <c r="EJ11" s="117">
        <v>3838.0</v>
      </c>
      <c r="EK11" s="50" t="s">
        <v>3770</v>
      </c>
      <c r="EL11" s="50" t="s">
        <v>3771</v>
      </c>
      <c r="EM11" s="117">
        <v>10.0</v>
      </c>
      <c r="EN11" s="117"/>
      <c r="EO11" s="117"/>
    </row>
    <row r="12">
      <c r="A12" s="50" t="s">
        <v>3772</v>
      </c>
      <c r="B12" s="50" t="s">
        <v>3773</v>
      </c>
      <c r="C12" s="116"/>
      <c r="D12" s="116"/>
      <c r="E12" s="50">
        <v>3.5215509147374E14</v>
      </c>
      <c r="F12" s="50">
        <v>58.0</v>
      </c>
      <c r="G12" s="50">
        <v>1.0</v>
      </c>
      <c r="H12" s="116"/>
      <c r="I12" s="116"/>
      <c r="J12" s="116"/>
      <c r="K12" s="116"/>
      <c r="L12" s="116"/>
      <c r="M12" s="50">
        <v>14.0</v>
      </c>
      <c r="N12" s="50" t="s">
        <v>3775</v>
      </c>
      <c r="O12" s="50">
        <v>1.0</v>
      </c>
      <c r="P12" s="50">
        <v>0.0</v>
      </c>
      <c r="Q12" s="50">
        <v>1.0</v>
      </c>
      <c r="R12" s="50">
        <v>0.0</v>
      </c>
      <c r="S12" s="50">
        <v>0.0</v>
      </c>
      <c r="T12" s="50">
        <v>0.0</v>
      </c>
      <c r="U12" s="116"/>
      <c r="V12" s="116"/>
      <c r="W12" s="116"/>
      <c r="X12" s="116"/>
      <c r="Y12" s="50" t="s">
        <v>3776</v>
      </c>
      <c r="Z12" s="50" t="s">
        <v>3776</v>
      </c>
      <c r="AA12" s="50" t="s">
        <v>3777</v>
      </c>
      <c r="AB12" s="50">
        <v>1.0</v>
      </c>
      <c r="AC12" s="50">
        <v>1.0</v>
      </c>
      <c r="AD12" s="116"/>
      <c r="AE12" s="116"/>
      <c r="AF12" s="116"/>
      <c r="AG12" s="116"/>
      <c r="AH12" s="116"/>
      <c r="AI12" s="116"/>
      <c r="AJ12" s="116"/>
      <c r="AK12" s="116"/>
      <c r="AL12" s="116"/>
      <c r="AM12" s="116"/>
      <c r="AN12" s="116"/>
      <c r="AO12" s="116"/>
      <c r="AP12" s="116"/>
      <c r="AQ12" s="116"/>
      <c r="AR12" s="116"/>
      <c r="AS12" s="116"/>
      <c r="AT12" s="116"/>
      <c r="AU12" s="116"/>
      <c r="AV12" s="116"/>
      <c r="AW12" s="50" t="s">
        <v>3776</v>
      </c>
      <c r="AX12" s="50">
        <v>3.0</v>
      </c>
      <c r="AY12" s="50">
        <v>0.0</v>
      </c>
      <c r="AZ12" s="50">
        <v>1.0</v>
      </c>
      <c r="BA12" s="50">
        <v>0.0</v>
      </c>
      <c r="BB12" s="50">
        <v>0.0</v>
      </c>
      <c r="BC12" s="50">
        <v>0.0</v>
      </c>
      <c r="BD12" s="116"/>
      <c r="BE12" s="116"/>
      <c r="BF12" s="116"/>
      <c r="BG12" s="116"/>
      <c r="BH12" s="116"/>
      <c r="BI12" s="116"/>
      <c r="BJ12" s="116"/>
      <c r="BK12" s="116"/>
      <c r="BL12" s="116"/>
      <c r="BM12" s="116"/>
      <c r="BN12" s="116"/>
      <c r="BO12" s="116"/>
      <c r="BP12" s="116"/>
      <c r="BQ12" s="116"/>
      <c r="BR12" s="116"/>
      <c r="BS12" s="116"/>
      <c r="BT12" s="116"/>
      <c r="BU12" s="50" t="s">
        <v>3776</v>
      </c>
      <c r="BV12" s="50">
        <v>5.0</v>
      </c>
      <c r="BW12" s="116"/>
      <c r="BX12" s="50">
        <v>1.0</v>
      </c>
      <c r="BY12" s="50">
        <v>1.0</v>
      </c>
      <c r="BZ12" s="116"/>
      <c r="CA12" s="116"/>
      <c r="CB12" s="116"/>
      <c r="CC12" s="116"/>
      <c r="CD12" s="116"/>
      <c r="CE12" s="116"/>
      <c r="CF12" s="116"/>
      <c r="CG12" s="116"/>
      <c r="CH12" s="116"/>
      <c r="CI12" s="116"/>
      <c r="CJ12" s="116"/>
      <c r="CK12" s="116"/>
      <c r="CL12" s="116"/>
      <c r="CM12" s="116"/>
      <c r="CN12" s="116"/>
      <c r="CO12" s="116"/>
      <c r="CP12" s="116"/>
      <c r="CQ12" s="116"/>
      <c r="CR12" s="116"/>
      <c r="CS12" s="116"/>
      <c r="CT12" s="116"/>
      <c r="CU12" s="116"/>
      <c r="CV12" s="116"/>
      <c r="CW12" s="116"/>
      <c r="CX12" s="116"/>
      <c r="CY12" s="116"/>
      <c r="CZ12" s="116"/>
      <c r="DA12" s="116"/>
      <c r="DB12" s="116"/>
      <c r="DC12" s="116"/>
      <c r="DD12" s="116"/>
      <c r="DE12" s="116"/>
      <c r="DF12" s="116"/>
      <c r="DG12" s="116"/>
      <c r="DH12" s="116"/>
      <c r="DI12" s="116"/>
      <c r="DJ12" s="116"/>
      <c r="DK12" s="116"/>
      <c r="DL12" s="116"/>
      <c r="DM12" s="116"/>
      <c r="DN12" s="116"/>
      <c r="DO12" s="116"/>
      <c r="DP12" s="50">
        <v>0.0</v>
      </c>
      <c r="DQ12" s="116"/>
      <c r="DR12" s="116"/>
      <c r="DS12" s="116"/>
      <c r="DT12" s="116"/>
      <c r="DU12" s="116"/>
      <c r="DV12" s="116"/>
      <c r="DW12" s="116"/>
      <c r="DX12" s="116"/>
      <c r="DY12" s="116"/>
      <c r="DZ12" s="116"/>
      <c r="EA12" s="116"/>
      <c r="EB12" s="116"/>
      <c r="EC12" s="116"/>
      <c r="ED12" s="116"/>
      <c r="EE12" s="116"/>
      <c r="EF12" s="50" t="s">
        <v>3779</v>
      </c>
      <c r="EG12" s="50" t="s">
        <v>2302</v>
      </c>
      <c r="EH12" s="50">
        <v>1.0</v>
      </c>
      <c r="EI12" s="50" t="s">
        <v>3712</v>
      </c>
      <c r="EJ12" s="117">
        <v>3839.0</v>
      </c>
      <c r="EK12" s="50" t="s">
        <v>3780</v>
      </c>
      <c r="EL12" s="50" t="s">
        <v>3781</v>
      </c>
      <c r="EM12" s="117">
        <v>11.0</v>
      </c>
      <c r="EN12" s="117"/>
      <c r="EO12" s="117"/>
    </row>
    <row r="13">
      <c r="A13" s="50" t="s">
        <v>3782</v>
      </c>
      <c r="B13" s="50" t="s">
        <v>3783</v>
      </c>
      <c r="C13" s="116"/>
      <c r="D13" s="116"/>
      <c r="E13" s="50">
        <v>3.5215509147374E14</v>
      </c>
      <c r="F13" s="50">
        <v>58.0</v>
      </c>
      <c r="G13" s="50">
        <v>1.0</v>
      </c>
      <c r="H13" s="116"/>
      <c r="I13" s="116"/>
      <c r="J13" s="116"/>
      <c r="K13" s="116"/>
      <c r="L13" s="116"/>
      <c r="M13" s="50">
        <v>14.0</v>
      </c>
      <c r="N13" s="50">
        <v>142.0</v>
      </c>
      <c r="O13" s="50">
        <v>0.0</v>
      </c>
      <c r="P13" s="50">
        <v>0.0</v>
      </c>
      <c r="Q13" s="50">
        <v>1.0</v>
      </c>
      <c r="R13" s="50">
        <v>0.0</v>
      </c>
      <c r="S13" s="50">
        <v>0.0</v>
      </c>
      <c r="T13" s="50">
        <v>0.0</v>
      </c>
      <c r="U13" s="116"/>
      <c r="V13" s="116"/>
      <c r="W13" s="116"/>
      <c r="X13" s="116"/>
      <c r="Y13" s="50" t="s">
        <v>2164</v>
      </c>
      <c r="Z13" s="50" t="s">
        <v>2164</v>
      </c>
      <c r="AA13" s="50" t="s">
        <v>3784</v>
      </c>
      <c r="AB13" s="50">
        <v>1.0</v>
      </c>
      <c r="AC13" s="50">
        <v>1.0</v>
      </c>
      <c r="AD13" s="116"/>
      <c r="AE13" s="116"/>
      <c r="AF13" s="116"/>
      <c r="AG13" s="116"/>
      <c r="AH13" s="116"/>
      <c r="AI13" s="116"/>
      <c r="AJ13" s="116"/>
      <c r="AK13" s="116"/>
      <c r="AL13" s="116"/>
      <c r="AM13" s="116"/>
      <c r="AN13" s="116"/>
      <c r="AO13" s="116"/>
      <c r="AP13" s="116"/>
      <c r="AQ13" s="116"/>
      <c r="AR13" s="116"/>
      <c r="AS13" s="116"/>
      <c r="AT13" s="116"/>
      <c r="AU13" s="116"/>
      <c r="AV13" s="116"/>
      <c r="AW13" s="50" t="s">
        <v>2164</v>
      </c>
      <c r="AX13" s="50">
        <v>1.0</v>
      </c>
      <c r="AY13" s="50">
        <v>1.0</v>
      </c>
      <c r="AZ13" s="50">
        <v>0.0</v>
      </c>
      <c r="BA13" s="50">
        <v>0.0</v>
      </c>
      <c r="BB13" s="50">
        <v>0.0</v>
      </c>
      <c r="BC13" s="50">
        <v>0.0</v>
      </c>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c r="CE13" s="116"/>
      <c r="CF13" s="116"/>
      <c r="CG13" s="116"/>
      <c r="CH13" s="116"/>
      <c r="CI13" s="116"/>
      <c r="CJ13" s="116"/>
      <c r="CK13" s="116"/>
      <c r="CL13" s="116"/>
      <c r="CM13" s="116"/>
      <c r="CN13" s="116"/>
      <c r="CO13" s="116"/>
      <c r="CP13" s="116"/>
      <c r="CQ13" s="116"/>
      <c r="CR13" s="116"/>
      <c r="CS13" s="116"/>
      <c r="CT13" s="116"/>
      <c r="CU13" s="116"/>
      <c r="CV13" s="116"/>
      <c r="CW13" s="116"/>
      <c r="CX13" s="116"/>
      <c r="CY13" s="116"/>
      <c r="CZ13" s="116"/>
      <c r="DA13" s="116"/>
      <c r="DB13" s="116"/>
      <c r="DC13" s="116"/>
      <c r="DD13" s="116"/>
      <c r="DE13" s="116"/>
      <c r="DF13" s="116"/>
      <c r="DG13" s="116"/>
      <c r="DH13" s="116"/>
      <c r="DI13" s="116"/>
      <c r="DJ13" s="116"/>
      <c r="DK13" s="116"/>
      <c r="DL13" s="116"/>
      <c r="DM13" s="116"/>
      <c r="DN13" s="116"/>
      <c r="DO13" s="116"/>
      <c r="DP13" s="50">
        <v>0.0</v>
      </c>
      <c r="DQ13" s="116"/>
      <c r="DR13" s="116"/>
      <c r="DS13" s="116"/>
      <c r="DT13" s="116"/>
      <c r="DU13" s="116"/>
      <c r="DV13" s="116"/>
      <c r="DW13" s="116"/>
      <c r="DX13" s="116"/>
      <c r="DY13" s="116"/>
      <c r="DZ13" s="116"/>
      <c r="EA13" s="116"/>
      <c r="EB13" s="116"/>
      <c r="EC13" s="116"/>
      <c r="ED13" s="116"/>
      <c r="EE13" s="116"/>
      <c r="EF13" s="50" t="s">
        <v>3786</v>
      </c>
      <c r="EG13" s="50" t="s">
        <v>2472</v>
      </c>
      <c r="EH13" s="50">
        <v>1.0</v>
      </c>
      <c r="EI13" s="50" t="s">
        <v>3712</v>
      </c>
      <c r="EJ13" s="117">
        <v>3840.0</v>
      </c>
      <c r="EK13" s="50" t="s">
        <v>3787</v>
      </c>
      <c r="EL13" s="50" t="s">
        <v>3788</v>
      </c>
      <c r="EM13" s="117">
        <v>12.0</v>
      </c>
      <c r="EN13" s="117"/>
      <c r="EO13" s="117"/>
    </row>
    <row r="14">
      <c r="A14" s="50" t="s">
        <v>536</v>
      </c>
      <c r="B14" s="50" t="s">
        <v>3789</v>
      </c>
      <c r="C14" s="116"/>
      <c r="D14" s="116"/>
      <c r="E14" s="50">
        <v>3.5215509147374E14</v>
      </c>
      <c r="F14" s="50">
        <v>58.0</v>
      </c>
      <c r="G14" s="50">
        <v>1.0</v>
      </c>
      <c r="H14" s="50" t="s">
        <v>3790</v>
      </c>
      <c r="I14" s="50">
        <v>22.5532224</v>
      </c>
      <c r="J14" s="50">
        <v>88.3984986</v>
      </c>
      <c r="K14" s="50">
        <v>-57.7000007629394</v>
      </c>
      <c r="L14" s="50">
        <v>5.0</v>
      </c>
      <c r="M14" s="50">
        <v>14.0</v>
      </c>
      <c r="N14" s="50">
        <v>141.0</v>
      </c>
      <c r="O14" s="50">
        <v>0.0</v>
      </c>
      <c r="P14" s="50">
        <v>0.0</v>
      </c>
      <c r="Q14" s="50">
        <v>0.0</v>
      </c>
      <c r="R14" s="50">
        <v>0.0</v>
      </c>
      <c r="S14" s="50">
        <v>1.0</v>
      </c>
      <c r="T14" s="50">
        <v>0.0</v>
      </c>
      <c r="U14" s="116"/>
      <c r="V14" s="116"/>
      <c r="W14" s="116"/>
      <c r="X14" s="116"/>
      <c r="Y14" s="50">
        <v>1058.0</v>
      </c>
      <c r="Z14" s="50">
        <v>1058.0</v>
      </c>
      <c r="AA14" s="50" t="s">
        <v>3791</v>
      </c>
      <c r="AB14" s="50">
        <v>1.0</v>
      </c>
      <c r="AC14" s="50">
        <v>0.0</v>
      </c>
      <c r="AD14" s="50">
        <v>1.0</v>
      </c>
      <c r="AE14" s="116"/>
      <c r="AF14" s="50" t="s">
        <v>537</v>
      </c>
      <c r="AG14" s="122">
        <v>43467.0</v>
      </c>
      <c r="AH14" s="50">
        <v>1.0</v>
      </c>
      <c r="AI14" s="50">
        <v>0.0</v>
      </c>
      <c r="AJ14" s="50">
        <v>1.0</v>
      </c>
      <c r="AK14" s="50">
        <v>0.0</v>
      </c>
      <c r="AL14" s="50">
        <v>0.0</v>
      </c>
      <c r="AM14" s="116"/>
      <c r="AN14" s="50">
        <v>5.0</v>
      </c>
      <c r="AO14" s="50">
        <v>0.0</v>
      </c>
      <c r="AP14" s="50">
        <v>0.0</v>
      </c>
      <c r="AQ14" s="50">
        <v>0.0</v>
      </c>
      <c r="AR14" s="50">
        <v>0.0</v>
      </c>
      <c r="AS14" s="50">
        <v>1.0</v>
      </c>
      <c r="AT14" s="50">
        <v>0.0</v>
      </c>
      <c r="AU14" s="50">
        <v>0.0</v>
      </c>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c r="CE14" s="116"/>
      <c r="CF14" s="116"/>
      <c r="CG14" s="116"/>
      <c r="CH14" s="116"/>
      <c r="CI14" s="116"/>
      <c r="CJ14" s="116"/>
      <c r="CK14" s="116"/>
      <c r="CL14" s="116"/>
      <c r="CM14" s="116"/>
      <c r="CN14" s="116"/>
      <c r="CO14" s="116"/>
      <c r="CP14" s="116"/>
      <c r="CQ14" s="116"/>
      <c r="CR14" s="116"/>
      <c r="CS14" s="116"/>
      <c r="CT14" s="116"/>
      <c r="CU14" s="116"/>
      <c r="CV14" s="116"/>
      <c r="CW14" s="116"/>
      <c r="CX14" s="116"/>
      <c r="CY14" s="116"/>
      <c r="CZ14" s="116"/>
      <c r="DA14" s="116"/>
      <c r="DB14" s="116"/>
      <c r="DC14" s="116"/>
      <c r="DD14" s="116"/>
      <c r="DE14" s="116"/>
      <c r="DF14" s="116"/>
      <c r="DG14" s="116"/>
      <c r="DH14" s="116"/>
      <c r="DI14" s="116"/>
      <c r="DJ14" s="116"/>
      <c r="DK14" s="116"/>
      <c r="DL14" s="116"/>
      <c r="DM14" s="116"/>
      <c r="DN14" s="116"/>
      <c r="DO14" s="116"/>
      <c r="DP14" s="50">
        <v>0.0</v>
      </c>
      <c r="DQ14" s="116"/>
      <c r="DR14" s="116"/>
      <c r="DS14" s="116"/>
      <c r="DT14" s="116"/>
      <c r="DU14" s="116"/>
      <c r="DV14" s="116"/>
      <c r="DW14" s="116"/>
      <c r="DX14" s="116"/>
      <c r="DY14" s="116"/>
      <c r="DZ14" s="116"/>
      <c r="EA14" s="116"/>
      <c r="EB14" s="116"/>
      <c r="EC14" s="116"/>
      <c r="ED14" s="116"/>
      <c r="EE14" s="116"/>
      <c r="EF14" s="50" t="s">
        <v>3149</v>
      </c>
      <c r="EG14" s="50" t="s">
        <v>3793</v>
      </c>
      <c r="EH14" s="50">
        <v>1.0</v>
      </c>
      <c r="EI14" s="50" t="s">
        <v>3794</v>
      </c>
      <c r="EJ14" s="117">
        <v>3932.0</v>
      </c>
      <c r="EK14" s="50" t="s">
        <v>3795</v>
      </c>
      <c r="EL14" s="50" t="s">
        <v>3796</v>
      </c>
      <c r="EM14" s="117">
        <v>13.0</v>
      </c>
      <c r="EN14" s="117"/>
      <c r="EO14" s="117"/>
    </row>
    <row r="15">
      <c r="A15" s="50" t="s">
        <v>541</v>
      </c>
      <c r="B15" s="50" t="s">
        <v>3797</v>
      </c>
      <c r="C15" s="116"/>
      <c r="D15" s="116"/>
      <c r="E15" s="50">
        <v>3.5215509147374E14</v>
      </c>
      <c r="F15" s="50">
        <v>58.0</v>
      </c>
      <c r="G15" s="50">
        <v>1.0</v>
      </c>
      <c r="H15" s="50" t="s">
        <v>3798</v>
      </c>
      <c r="I15" s="50">
        <v>22.5533175</v>
      </c>
      <c r="J15" s="50">
        <v>88.3984231</v>
      </c>
      <c r="K15" s="50">
        <v>-42.5</v>
      </c>
      <c r="L15" s="50">
        <v>4.5</v>
      </c>
      <c r="M15" s="50">
        <v>14.0</v>
      </c>
      <c r="N15" s="50">
        <v>143.0</v>
      </c>
      <c r="O15" s="50">
        <v>0.0</v>
      </c>
      <c r="P15" s="50">
        <v>0.0</v>
      </c>
      <c r="Q15" s="50">
        <v>0.0</v>
      </c>
      <c r="R15" s="50">
        <v>1.0</v>
      </c>
      <c r="S15" s="50">
        <v>0.0</v>
      </c>
      <c r="T15" s="50">
        <v>0.0</v>
      </c>
      <c r="U15" s="116"/>
      <c r="V15" s="116"/>
      <c r="W15" s="116"/>
      <c r="X15" s="116"/>
      <c r="Y15" s="50">
        <v>1058.0</v>
      </c>
      <c r="Z15" s="50">
        <v>1058.0</v>
      </c>
      <c r="AA15" s="50" t="s">
        <v>3799</v>
      </c>
      <c r="AB15" s="50">
        <v>1.0</v>
      </c>
      <c r="AC15" s="50">
        <v>0.0</v>
      </c>
      <c r="AD15" s="50">
        <v>1.0</v>
      </c>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50" t="s">
        <v>543</v>
      </c>
      <c r="BF15" s="122">
        <v>43467.0</v>
      </c>
      <c r="BG15" s="50">
        <v>1.0</v>
      </c>
      <c r="BH15" s="50">
        <v>0.0</v>
      </c>
      <c r="BI15" s="50">
        <v>1.0</v>
      </c>
      <c r="BJ15" s="50">
        <v>0.0</v>
      </c>
      <c r="BK15" s="116"/>
      <c r="BL15" s="122">
        <v>43530.0</v>
      </c>
      <c r="BM15" s="50">
        <v>0.0</v>
      </c>
      <c r="BN15" s="50">
        <v>0.0</v>
      </c>
      <c r="BO15" s="50">
        <v>1.0</v>
      </c>
      <c r="BP15" s="50">
        <v>0.0</v>
      </c>
      <c r="BQ15" s="50">
        <v>0.0</v>
      </c>
      <c r="BR15" s="50">
        <v>0.0</v>
      </c>
      <c r="BS15" s="50">
        <v>1.0</v>
      </c>
      <c r="BT15" s="116"/>
      <c r="BU15" s="116"/>
      <c r="BV15" s="116"/>
      <c r="BW15" s="116"/>
      <c r="BX15" s="116"/>
      <c r="BY15" s="116"/>
      <c r="BZ15" s="116"/>
      <c r="CA15" s="116"/>
      <c r="CB15" s="116"/>
      <c r="CC15" s="116"/>
      <c r="CD15" s="116"/>
      <c r="CE15" s="116"/>
      <c r="CF15" s="116"/>
      <c r="CG15" s="116"/>
      <c r="CH15" s="116"/>
      <c r="CI15" s="116"/>
      <c r="CJ15" s="116"/>
      <c r="CK15" s="116"/>
      <c r="CL15" s="116"/>
      <c r="CM15" s="116"/>
      <c r="CN15" s="116"/>
      <c r="CO15" s="116"/>
      <c r="CP15" s="116"/>
      <c r="CQ15" s="116"/>
      <c r="CR15" s="116"/>
      <c r="CS15" s="116"/>
      <c r="CT15" s="116"/>
      <c r="CU15" s="116"/>
      <c r="CV15" s="116"/>
      <c r="CW15" s="116"/>
      <c r="CX15" s="116"/>
      <c r="CY15" s="116"/>
      <c r="CZ15" s="116"/>
      <c r="DA15" s="116"/>
      <c r="DB15" s="116"/>
      <c r="DC15" s="116"/>
      <c r="DD15" s="116"/>
      <c r="DE15" s="116"/>
      <c r="DF15" s="116"/>
      <c r="DG15" s="116"/>
      <c r="DH15" s="116"/>
      <c r="DI15" s="116"/>
      <c r="DJ15" s="116"/>
      <c r="DK15" s="116"/>
      <c r="DL15" s="116"/>
      <c r="DM15" s="116"/>
      <c r="DN15" s="116"/>
      <c r="DO15" s="116"/>
      <c r="DP15" s="50">
        <v>0.0</v>
      </c>
      <c r="DQ15" s="116"/>
      <c r="DR15" s="116"/>
      <c r="DS15" s="116"/>
      <c r="DT15" s="116"/>
      <c r="DU15" s="116"/>
      <c r="DV15" s="116"/>
      <c r="DW15" s="116"/>
      <c r="DX15" s="116"/>
      <c r="DY15" s="116"/>
      <c r="DZ15" s="116"/>
      <c r="EA15" s="116"/>
      <c r="EB15" s="116"/>
      <c r="EC15" s="116"/>
      <c r="ED15" s="116"/>
      <c r="EE15" s="116"/>
      <c r="EF15" s="50" t="s">
        <v>3149</v>
      </c>
      <c r="EG15" s="50" t="s">
        <v>3793</v>
      </c>
      <c r="EH15" s="50">
        <v>1.0</v>
      </c>
      <c r="EI15" s="50" t="s">
        <v>3794</v>
      </c>
      <c r="EJ15" s="117">
        <v>3933.0</v>
      </c>
      <c r="EK15" s="50" t="s">
        <v>3801</v>
      </c>
      <c r="EL15" s="50" t="s">
        <v>3802</v>
      </c>
      <c r="EM15" s="117">
        <v>14.0</v>
      </c>
      <c r="EN15" s="117"/>
      <c r="EO15" s="117"/>
    </row>
    <row r="16">
      <c r="A16" s="50" t="s">
        <v>538</v>
      </c>
      <c r="B16" s="50" t="s">
        <v>3803</v>
      </c>
      <c r="C16" s="116"/>
      <c r="D16" s="116"/>
      <c r="E16" s="50">
        <v>3.5215509147374E14</v>
      </c>
      <c r="F16" s="50">
        <v>58.0</v>
      </c>
      <c r="G16" s="50">
        <v>1.0</v>
      </c>
      <c r="H16" s="50" t="s">
        <v>3804</v>
      </c>
      <c r="I16" s="50">
        <v>22.5532794</v>
      </c>
      <c r="J16" s="50">
        <v>88.3984784</v>
      </c>
      <c r="K16" s="50">
        <v>-56.599998474121</v>
      </c>
      <c r="L16" s="50">
        <v>4.5</v>
      </c>
      <c r="M16" s="50">
        <v>14.0</v>
      </c>
      <c r="N16" s="50">
        <v>142.0</v>
      </c>
      <c r="O16" s="50">
        <v>0.0</v>
      </c>
      <c r="P16" s="50">
        <v>0.0</v>
      </c>
      <c r="Q16" s="50">
        <v>1.0</v>
      </c>
      <c r="R16" s="50">
        <v>0.0</v>
      </c>
      <c r="S16" s="50">
        <v>0.0</v>
      </c>
      <c r="T16" s="50">
        <v>0.0</v>
      </c>
      <c r="U16" s="116"/>
      <c r="V16" s="116"/>
      <c r="W16" s="116"/>
      <c r="X16" s="116"/>
      <c r="Y16" s="50">
        <v>1058.0</v>
      </c>
      <c r="Z16" s="50">
        <v>1058.0</v>
      </c>
      <c r="AA16" s="50" t="s">
        <v>3806</v>
      </c>
      <c r="AB16" s="50">
        <v>1.0</v>
      </c>
      <c r="AC16" s="50">
        <v>0.0</v>
      </c>
      <c r="AD16" s="50">
        <v>1.0</v>
      </c>
      <c r="AE16" s="116"/>
      <c r="AF16" s="116"/>
      <c r="AG16" s="116"/>
      <c r="AH16" s="116"/>
      <c r="AI16" s="116"/>
      <c r="AJ16" s="116"/>
      <c r="AK16" s="116"/>
      <c r="AL16" s="116"/>
      <c r="AM16" s="116"/>
      <c r="AN16" s="116"/>
      <c r="AO16" s="116"/>
      <c r="AP16" s="116"/>
      <c r="AQ16" s="116"/>
      <c r="AR16" s="116"/>
      <c r="AS16" s="116"/>
      <c r="AT16" s="116"/>
      <c r="AU16" s="116"/>
      <c r="AV16" s="116"/>
      <c r="AW16" s="50" t="s">
        <v>539</v>
      </c>
      <c r="AX16" s="50">
        <v>1.0</v>
      </c>
      <c r="AY16" s="50">
        <v>1.0</v>
      </c>
      <c r="AZ16" s="50">
        <v>0.0</v>
      </c>
      <c r="BA16" s="50">
        <v>0.0</v>
      </c>
      <c r="BB16" s="50">
        <v>0.0</v>
      </c>
      <c r="BC16" s="50">
        <v>0.0</v>
      </c>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c r="CE16" s="116"/>
      <c r="CF16" s="116"/>
      <c r="CG16" s="116"/>
      <c r="CH16" s="116"/>
      <c r="CI16" s="116"/>
      <c r="CJ16" s="116"/>
      <c r="CK16" s="116"/>
      <c r="CL16" s="116"/>
      <c r="CM16" s="116"/>
      <c r="CN16" s="116"/>
      <c r="CO16" s="116"/>
      <c r="CP16" s="116"/>
      <c r="CQ16" s="116"/>
      <c r="CR16" s="116"/>
      <c r="CS16" s="116"/>
      <c r="CT16" s="116"/>
      <c r="CU16" s="116"/>
      <c r="CV16" s="116"/>
      <c r="CW16" s="116"/>
      <c r="CX16" s="116"/>
      <c r="CY16" s="116"/>
      <c r="CZ16" s="116"/>
      <c r="DA16" s="116"/>
      <c r="DB16" s="116"/>
      <c r="DC16" s="116"/>
      <c r="DD16" s="116"/>
      <c r="DE16" s="116"/>
      <c r="DF16" s="116"/>
      <c r="DG16" s="116"/>
      <c r="DH16" s="116"/>
      <c r="DI16" s="116"/>
      <c r="DJ16" s="116"/>
      <c r="DK16" s="116"/>
      <c r="DL16" s="116"/>
      <c r="DM16" s="116"/>
      <c r="DN16" s="116"/>
      <c r="DO16" s="116"/>
      <c r="DP16" s="50">
        <v>0.0</v>
      </c>
      <c r="DQ16" s="116"/>
      <c r="DR16" s="116"/>
      <c r="DS16" s="116"/>
      <c r="DT16" s="116"/>
      <c r="DU16" s="116"/>
      <c r="DV16" s="116"/>
      <c r="DW16" s="116"/>
      <c r="DX16" s="116"/>
      <c r="DY16" s="116"/>
      <c r="DZ16" s="116"/>
      <c r="EA16" s="116"/>
      <c r="EB16" s="116"/>
      <c r="EC16" s="116"/>
      <c r="ED16" s="116"/>
      <c r="EE16" s="116"/>
      <c r="EF16" s="50" t="s">
        <v>3807</v>
      </c>
      <c r="EG16" s="50" t="s">
        <v>2472</v>
      </c>
      <c r="EH16" s="50">
        <v>1.0</v>
      </c>
      <c r="EI16" s="50" t="s">
        <v>3794</v>
      </c>
      <c r="EJ16" s="117">
        <v>3934.0</v>
      </c>
      <c r="EK16" s="50" t="s">
        <v>3808</v>
      </c>
      <c r="EL16" s="50" t="s">
        <v>3809</v>
      </c>
      <c r="EM16" s="117">
        <v>15.0</v>
      </c>
      <c r="EN16" s="117"/>
      <c r="EO16" s="117"/>
    </row>
    <row r="17">
      <c r="A17" s="50" t="s">
        <v>547</v>
      </c>
      <c r="B17" s="50" t="s">
        <v>3810</v>
      </c>
      <c r="C17" s="116"/>
      <c r="D17" s="116"/>
      <c r="E17" s="50">
        <v>3.5215509147374E14</v>
      </c>
      <c r="F17" s="50">
        <v>58.0</v>
      </c>
      <c r="G17" s="50">
        <v>1.0</v>
      </c>
      <c r="H17" s="50" t="s">
        <v>3811</v>
      </c>
      <c r="I17" s="50">
        <v>22.5532373</v>
      </c>
      <c r="J17" s="50">
        <v>88.3984423</v>
      </c>
      <c r="K17" s="50">
        <v>-53.0</v>
      </c>
      <c r="L17" s="50">
        <v>4.0</v>
      </c>
      <c r="M17" s="50">
        <v>14.0</v>
      </c>
      <c r="N17" s="50">
        <v>145.0</v>
      </c>
      <c r="O17" s="50">
        <v>0.0</v>
      </c>
      <c r="P17" s="50">
        <v>1.0</v>
      </c>
      <c r="Q17" s="50">
        <v>0.0</v>
      </c>
      <c r="R17" s="50">
        <v>0.0</v>
      </c>
      <c r="S17" s="50">
        <v>0.0</v>
      </c>
      <c r="T17" s="50">
        <v>0.0</v>
      </c>
      <c r="U17" s="116"/>
      <c r="V17" s="116"/>
      <c r="W17" s="116"/>
      <c r="X17" s="116"/>
      <c r="Y17" s="50">
        <v>1058.0</v>
      </c>
      <c r="Z17" s="50">
        <v>1058.0</v>
      </c>
      <c r="AA17" s="50" t="s">
        <v>3813</v>
      </c>
      <c r="AB17" s="50">
        <v>1.0</v>
      </c>
      <c r="AC17" s="50">
        <v>0.0</v>
      </c>
      <c r="AD17" s="50">
        <v>1.0</v>
      </c>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50" t="s">
        <v>548</v>
      </c>
      <c r="CD17" s="122">
        <v>43560.0</v>
      </c>
      <c r="CE17" s="50">
        <v>0.0</v>
      </c>
      <c r="CF17" s="50">
        <v>0.0</v>
      </c>
      <c r="CG17" s="50">
        <v>0.0</v>
      </c>
      <c r="CH17" s="50">
        <v>0.0</v>
      </c>
      <c r="CI17" s="50">
        <v>1.0</v>
      </c>
      <c r="CJ17" s="50">
        <v>1.0</v>
      </c>
      <c r="CK17" s="116"/>
      <c r="CL17" s="50">
        <v>3.0</v>
      </c>
      <c r="CM17" s="50">
        <v>0.0</v>
      </c>
      <c r="CN17" s="50">
        <v>1.0</v>
      </c>
      <c r="CO17" s="50">
        <v>0.0</v>
      </c>
      <c r="CP17" s="50">
        <v>0.0</v>
      </c>
      <c r="CQ17" s="116"/>
      <c r="CR17" s="116"/>
      <c r="CS17" s="116"/>
      <c r="CT17" s="116"/>
      <c r="CU17" s="116"/>
      <c r="CV17" s="116"/>
      <c r="CW17" s="116"/>
      <c r="CX17" s="116"/>
      <c r="CY17" s="116"/>
      <c r="CZ17" s="116"/>
      <c r="DA17" s="116"/>
      <c r="DB17" s="116"/>
      <c r="DC17" s="116"/>
      <c r="DD17" s="116"/>
      <c r="DE17" s="116"/>
      <c r="DF17" s="116"/>
      <c r="DG17" s="116"/>
      <c r="DH17" s="116"/>
      <c r="DI17" s="116"/>
      <c r="DJ17" s="116"/>
      <c r="DK17" s="116"/>
      <c r="DL17" s="116"/>
      <c r="DM17" s="116"/>
      <c r="DN17" s="116"/>
      <c r="DO17" s="116"/>
      <c r="DP17" s="50">
        <v>0.0</v>
      </c>
      <c r="DQ17" s="116"/>
      <c r="DR17" s="116"/>
      <c r="DS17" s="116"/>
      <c r="DT17" s="116"/>
      <c r="DU17" s="116"/>
      <c r="DV17" s="116"/>
      <c r="DW17" s="116"/>
      <c r="DX17" s="116"/>
      <c r="DY17" s="116"/>
      <c r="DZ17" s="116"/>
      <c r="EA17" s="116"/>
      <c r="EB17" s="116"/>
      <c r="EC17" s="116"/>
      <c r="ED17" s="116"/>
      <c r="EE17" s="116"/>
      <c r="EF17" s="50" t="s">
        <v>3814</v>
      </c>
      <c r="EG17" s="50" t="s">
        <v>2472</v>
      </c>
      <c r="EH17" s="50">
        <v>1.0</v>
      </c>
      <c r="EI17" s="50" t="s">
        <v>3794</v>
      </c>
      <c r="EJ17" s="117">
        <v>3935.0</v>
      </c>
      <c r="EK17" s="50" t="s">
        <v>3815</v>
      </c>
      <c r="EL17" s="50" t="s">
        <v>3816</v>
      </c>
      <c r="EM17" s="117">
        <v>16.0</v>
      </c>
      <c r="EN17" s="117"/>
      <c r="EO17" s="117"/>
    </row>
    <row r="18">
      <c r="A18" s="50" t="s">
        <v>544</v>
      </c>
      <c r="B18" s="50" t="s">
        <v>3818</v>
      </c>
      <c r="C18" s="116"/>
      <c r="D18" s="116"/>
      <c r="E18" s="50">
        <v>3.5215509147374E14</v>
      </c>
      <c r="F18" s="50">
        <v>58.0</v>
      </c>
      <c r="G18" s="50">
        <v>1.0</v>
      </c>
      <c r="H18" s="50" t="s">
        <v>3819</v>
      </c>
      <c r="I18" s="50">
        <v>22.5534442</v>
      </c>
      <c r="J18" s="50">
        <v>88.3985161</v>
      </c>
      <c r="K18" s="50">
        <v>-55.0</v>
      </c>
      <c r="L18" s="50">
        <v>5.0</v>
      </c>
      <c r="M18" s="50">
        <v>14.0</v>
      </c>
      <c r="N18" s="50">
        <v>144.0</v>
      </c>
      <c r="O18" s="50">
        <v>1.0</v>
      </c>
      <c r="P18" s="50">
        <v>0.0</v>
      </c>
      <c r="Q18" s="50">
        <v>0.0</v>
      </c>
      <c r="R18" s="50">
        <v>0.0</v>
      </c>
      <c r="S18" s="50">
        <v>0.0</v>
      </c>
      <c r="T18" s="50">
        <v>0.0</v>
      </c>
      <c r="U18" s="116"/>
      <c r="V18" s="116"/>
      <c r="W18" s="116"/>
      <c r="X18" s="116"/>
      <c r="Y18" s="50">
        <v>1058.0</v>
      </c>
      <c r="Z18" s="50">
        <v>1058.0</v>
      </c>
      <c r="AA18" s="50" t="s">
        <v>3820</v>
      </c>
      <c r="AB18" s="50">
        <v>1.0</v>
      </c>
      <c r="AC18" s="50">
        <v>0.0</v>
      </c>
      <c r="AD18" s="50">
        <v>1.0</v>
      </c>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50" t="s">
        <v>545</v>
      </c>
      <c r="BV18" s="50">
        <v>4.0</v>
      </c>
      <c r="BW18" s="116"/>
      <c r="BX18" s="50">
        <v>1.0</v>
      </c>
      <c r="BY18" s="50">
        <v>1.0</v>
      </c>
      <c r="BZ18" s="116"/>
      <c r="CA18" s="116"/>
      <c r="CB18" s="116"/>
      <c r="CC18" s="116"/>
      <c r="CD18" s="116"/>
      <c r="CE18" s="116"/>
      <c r="CF18" s="116"/>
      <c r="CG18" s="116"/>
      <c r="CH18" s="116"/>
      <c r="CI18" s="116"/>
      <c r="CJ18" s="116"/>
      <c r="CK18" s="116"/>
      <c r="CL18" s="116"/>
      <c r="CM18" s="116"/>
      <c r="CN18" s="116"/>
      <c r="CO18" s="116"/>
      <c r="CP18" s="116"/>
      <c r="CQ18" s="116"/>
      <c r="CR18" s="116"/>
      <c r="CS18" s="116"/>
      <c r="CT18" s="116"/>
      <c r="CU18" s="116"/>
      <c r="CV18" s="116"/>
      <c r="CW18" s="116"/>
      <c r="CX18" s="116"/>
      <c r="CY18" s="116"/>
      <c r="CZ18" s="116"/>
      <c r="DA18" s="116"/>
      <c r="DB18" s="116"/>
      <c r="DC18" s="116"/>
      <c r="DD18" s="116"/>
      <c r="DE18" s="116"/>
      <c r="DF18" s="116"/>
      <c r="DG18" s="116"/>
      <c r="DH18" s="116"/>
      <c r="DI18" s="116"/>
      <c r="DJ18" s="116"/>
      <c r="DK18" s="116"/>
      <c r="DL18" s="116"/>
      <c r="DM18" s="116"/>
      <c r="DN18" s="116"/>
      <c r="DO18" s="116"/>
      <c r="DP18" s="50">
        <v>0.0</v>
      </c>
      <c r="DQ18" s="116"/>
      <c r="DR18" s="116"/>
      <c r="DS18" s="116"/>
      <c r="DT18" s="116"/>
      <c r="DU18" s="116"/>
      <c r="DV18" s="116"/>
      <c r="DW18" s="116"/>
      <c r="DX18" s="116"/>
      <c r="DY18" s="116"/>
      <c r="DZ18" s="116"/>
      <c r="EA18" s="116"/>
      <c r="EB18" s="116"/>
      <c r="EC18" s="116"/>
      <c r="ED18" s="116"/>
      <c r="EE18" s="116"/>
      <c r="EF18" s="50" t="s">
        <v>2890</v>
      </c>
      <c r="EG18" s="50" t="s">
        <v>2302</v>
      </c>
      <c r="EH18" s="50">
        <v>1.0</v>
      </c>
      <c r="EI18" s="50" t="s">
        <v>3794</v>
      </c>
      <c r="EJ18" s="117">
        <v>3936.0</v>
      </c>
      <c r="EK18" s="50" t="s">
        <v>3822</v>
      </c>
      <c r="EL18" s="50" t="s">
        <v>3823</v>
      </c>
      <c r="EM18" s="117">
        <v>17.0</v>
      </c>
      <c r="EN18" s="117"/>
      <c r="EO18" s="117"/>
    </row>
    <row r="19">
      <c r="A19" s="50" t="s">
        <v>549</v>
      </c>
      <c r="B19" s="50" t="s">
        <v>3824</v>
      </c>
      <c r="C19" s="116"/>
      <c r="D19" s="116"/>
      <c r="E19" s="50">
        <v>3.5215509147374E14</v>
      </c>
      <c r="F19" s="50">
        <v>58.0</v>
      </c>
      <c r="G19" s="50">
        <v>1.0</v>
      </c>
      <c r="H19" s="50" t="s">
        <v>3825</v>
      </c>
      <c r="I19" s="50">
        <v>22.5526337</v>
      </c>
      <c r="J19" s="50">
        <v>88.398741</v>
      </c>
      <c r="K19" s="50">
        <v>-60.7000007629394</v>
      </c>
      <c r="L19" s="50">
        <v>5.0</v>
      </c>
      <c r="M19" s="50">
        <v>15.0</v>
      </c>
      <c r="N19" s="116"/>
      <c r="O19" s="116"/>
      <c r="P19" s="116"/>
      <c r="Q19" s="116"/>
      <c r="R19" s="116"/>
      <c r="S19" s="116"/>
      <c r="T19" s="50"/>
      <c r="U19" s="50">
        <v>151.0</v>
      </c>
      <c r="V19" s="50">
        <v>1.0</v>
      </c>
      <c r="W19" s="50">
        <v>0.0</v>
      </c>
      <c r="X19" s="50">
        <v>0.0</v>
      </c>
      <c r="Y19" s="50">
        <v>1035.0</v>
      </c>
      <c r="Z19" s="50">
        <v>1035.0</v>
      </c>
      <c r="AA19" s="50" t="s">
        <v>3826</v>
      </c>
      <c r="AB19" s="50">
        <v>1.0</v>
      </c>
      <c r="AC19" s="50">
        <v>0.0</v>
      </c>
      <c r="AD19" s="50">
        <v>1.0</v>
      </c>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c r="CE19" s="116"/>
      <c r="CF19" s="116"/>
      <c r="CG19" s="116"/>
      <c r="CH19" s="116"/>
      <c r="CI19" s="116"/>
      <c r="CJ19" s="116"/>
      <c r="CK19" s="116"/>
      <c r="CL19" s="116"/>
      <c r="CM19" s="116"/>
      <c r="CN19" s="116"/>
      <c r="CO19" s="116"/>
      <c r="CP19" s="116"/>
      <c r="CQ19" s="116"/>
      <c r="CR19" s="50" t="s">
        <v>551</v>
      </c>
      <c r="CS19" s="50">
        <v>2.0</v>
      </c>
      <c r="CT19" s="116"/>
      <c r="CU19" s="50">
        <v>0.0</v>
      </c>
      <c r="CV19" s="50">
        <v>0.0</v>
      </c>
      <c r="CW19" s="116"/>
      <c r="CX19" s="116"/>
      <c r="CY19" s="116"/>
      <c r="CZ19" s="116"/>
      <c r="DA19" s="116"/>
      <c r="DB19" s="116"/>
      <c r="DC19" s="116"/>
      <c r="DD19" s="116"/>
      <c r="DE19" s="116"/>
      <c r="DF19" s="116"/>
      <c r="DG19" s="116"/>
      <c r="DH19" s="116"/>
      <c r="DI19" s="116"/>
      <c r="DJ19" s="116"/>
      <c r="DK19" s="116"/>
      <c r="DL19" s="116"/>
      <c r="DM19" s="116"/>
      <c r="DN19" s="116"/>
      <c r="DO19" s="116"/>
      <c r="DP19" s="50">
        <v>0.0</v>
      </c>
      <c r="DQ19" s="116"/>
      <c r="DR19" s="116"/>
      <c r="DS19" s="116"/>
      <c r="DT19" s="116"/>
      <c r="DU19" s="116"/>
      <c r="DV19" s="116"/>
      <c r="DW19" s="116"/>
      <c r="DX19" s="116"/>
      <c r="DY19" s="116"/>
      <c r="DZ19" s="116"/>
      <c r="EA19" s="116"/>
      <c r="EB19" s="116"/>
      <c r="EC19" s="116"/>
      <c r="ED19" s="116"/>
      <c r="EE19" s="116"/>
      <c r="EF19" s="50" t="s">
        <v>3149</v>
      </c>
      <c r="EG19" s="50" t="s">
        <v>2472</v>
      </c>
      <c r="EH19" s="50">
        <v>1.0</v>
      </c>
      <c r="EI19" s="50" t="s">
        <v>3794</v>
      </c>
      <c r="EJ19" s="117">
        <v>4000.0</v>
      </c>
      <c r="EK19" s="50" t="s">
        <v>3828</v>
      </c>
      <c r="EL19" s="50" t="s">
        <v>3829</v>
      </c>
      <c r="EM19" s="117">
        <v>18.0</v>
      </c>
      <c r="EN19" s="117"/>
      <c r="EO19" s="117"/>
    </row>
    <row r="20">
      <c r="A20" s="50" t="s">
        <v>555</v>
      </c>
      <c r="B20" s="50" t="s">
        <v>3830</v>
      </c>
      <c r="C20" s="116"/>
      <c r="D20" s="116"/>
      <c r="E20" s="50">
        <v>3.5215509147374E14</v>
      </c>
      <c r="F20" s="50">
        <v>58.0</v>
      </c>
      <c r="G20" s="50">
        <v>1.0</v>
      </c>
      <c r="H20" s="50" t="s">
        <v>3831</v>
      </c>
      <c r="I20" s="50">
        <v>22.5527175</v>
      </c>
      <c r="J20" s="50">
        <v>88.3986995</v>
      </c>
      <c r="K20" s="50">
        <v>-44.7999992370605</v>
      </c>
      <c r="L20" s="50">
        <v>5.0</v>
      </c>
      <c r="M20" s="50">
        <v>15.0</v>
      </c>
      <c r="N20" s="116"/>
      <c r="O20" s="116"/>
      <c r="P20" s="116"/>
      <c r="Q20" s="116"/>
      <c r="R20" s="116"/>
      <c r="S20" s="116"/>
      <c r="T20" s="50"/>
      <c r="U20" s="50">
        <v>152.0</v>
      </c>
      <c r="V20" s="50">
        <v>0.0</v>
      </c>
      <c r="W20" s="50">
        <v>0.0</v>
      </c>
      <c r="X20" s="50">
        <v>1.0</v>
      </c>
      <c r="Y20" s="50">
        <v>1035.0</v>
      </c>
      <c r="Z20" s="50">
        <v>1035.0</v>
      </c>
      <c r="AA20" s="50" t="s">
        <v>3832</v>
      </c>
      <c r="AB20" s="50">
        <v>1.0</v>
      </c>
      <c r="AC20" s="50">
        <v>0.0</v>
      </c>
      <c r="AD20" s="50">
        <v>1.0</v>
      </c>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c r="CE20" s="116"/>
      <c r="CF20" s="116"/>
      <c r="CG20" s="116"/>
      <c r="CH20" s="116"/>
      <c r="CI20" s="116"/>
      <c r="CJ20" s="116"/>
      <c r="CK20" s="116"/>
      <c r="CL20" s="116"/>
      <c r="CM20" s="116"/>
      <c r="CN20" s="116"/>
      <c r="CO20" s="116"/>
      <c r="CP20" s="116"/>
      <c r="CQ20" s="116"/>
      <c r="CR20" s="116"/>
      <c r="CS20" s="116"/>
      <c r="CT20" s="116"/>
      <c r="CU20" s="116"/>
      <c r="CV20" s="116"/>
      <c r="CW20" s="50">
        <v>1.0</v>
      </c>
      <c r="CX20" s="116"/>
      <c r="CY20" s="50" t="s">
        <v>556</v>
      </c>
      <c r="CZ20" s="50">
        <v>2.0</v>
      </c>
      <c r="DA20" s="116"/>
      <c r="DB20" s="50">
        <v>4.0</v>
      </c>
      <c r="DC20" s="116"/>
      <c r="DD20" s="50">
        <v>0.0</v>
      </c>
      <c r="DE20" s="116"/>
      <c r="DF20" s="116"/>
      <c r="DG20" s="116"/>
      <c r="DH20" s="116"/>
      <c r="DI20" s="116"/>
      <c r="DJ20" s="116"/>
      <c r="DK20" s="116"/>
      <c r="DL20" s="116"/>
      <c r="DM20" s="116"/>
      <c r="DN20" s="116"/>
      <c r="DO20" s="116"/>
      <c r="DP20" s="50">
        <v>0.0</v>
      </c>
      <c r="DQ20" s="116"/>
      <c r="DR20" s="116"/>
      <c r="DS20" s="116"/>
      <c r="DT20" s="116"/>
      <c r="DU20" s="116"/>
      <c r="DV20" s="116"/>
      <c r="DW20" s="116"/>
      <c r="DX20" s="116"/>
      <c r="DY20" s="116"/>
      <c r="DZ20" s="116"/>
      <c r="EA20" s="116"/>
      <c r="EB20" s="116"/>
      <c r="EC20" s="116"/>
      <c r="ED20" s="116"/>
      <c r="EE20" s="116"/>
      <c r="EF20" s="50" t="s">
        <v>3149</v>
      </c>
      <c r="EG20" s="50" t="s">
        <v>2916</v>
      </c>
      <c r="EH20" s="50">
        <v>1.0</v>
      </c>
      <c r="EI20" s="50" t="s">
        <v>3794</v>
      </c>
      <c r="EJ20" s="117">
        <v>4001.0</v>
      </c>
      <c r="EK20" s="50" t="s">
        <v>3834</v>
      </c>
      <c r="EL20" s="50" t="s">
        <v>3835</v>
      </c>
      <c r="EM20" s="117">
        <v>19.0</v>
      </c>
      <c r="EN20" s="117"/>
      <c r="EO20" s="117"/>
    </row>
    <row r="21">
      <c r="A21" s="50" t="s">
        <v>557</v>
      </c>
      <c r="B21" s="50" t="s">
        <v>3836</v>
      </c>
      <c r="C21" s="116"/>
      <c r="D21" s="116"/>
      <c r="E21" s="50">
        <v>3.5215509147374E14</v>
      </c>
      <c r="F21" s="50">
        <v>58.0</v>
      </c>
      <c r="G21" s="50">
        <v>1.0</v>
      </c>
      <c r="H21" s="50" t="s">
        <v>3837</v>
      </c>
      <c r="I21" s="50">
        <v>22.5526928</v>
      </c>
      <c r="J21" s="50">
        <v>88.3987278</v>
      </c>
      <c r="K21" s="50">
        <v>-36.9000015258789</v>
      </c>
      <c r="L21" s="50">
        <v>5.0</v>
      </c>
      <c r="M21" s="50">
        <v>15.0</v>
      </c>
      <c r="N21" s="116"/>
      <c r="O21" s="116"/>
      <c r="P21" s="116"/>
      <c r="Q21" s="116"/>
      <c r="R21" s="116"/>
      <c r="S21" s="116"/>
      <c r="T21" s="50"/>
      <c r="U21" s="50">
        <v>152.0</v>
      </c>
      <c r="V21" s="50">
        <v>0.0</v>
      </c>
      <c r="W21" s="50">
        <v>0.0</v>
      </c>
      <c r="X21" s="50">
        <v>1.0</v>
      </c>
      <c r="Y21" s="50">
        <v>1035.0</v>
      </c>
      <c r="Z21" s="50">
        <v>1035.0</v>
      </c>
      <c r="AA21" s="50" t="s">
        <v>3839</v>
      </c>
      <c r="AB21" s="50">
        <v>1.0</v>
      </c>
      <c r="AC21" s="50">
        <v>0.0</v>
      </c>
      <c r="AD21" s="50">
        <v>1.0</v>
      </c>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c r="CE21" s="116"/>
      <c r="CF21" s="116"/>
      <c r="CG21" s="116"/>
      <c r="CH21" s="116"/>
      <c r="CI21" s="116"/>
      <c r="CJ21" s="116"/>
      <c r="CK21" s="116"/>
      <c r="CL21" s="116"/>
      <c r="CM21" s="116"/>
      <c r="CN21" s="116"/>
      <c r="CO21" s="116"/>
      <c r="CP21" s="116"/>
      <c r="CQ21" s="116"/>
      <c r="CR21" s="116"/>
      <c r="CS21" s="116"/>
      <c r="CT21" s="116"/>
      <c r="CU21" s="116"/>
      <c r="CV21" s="116"/>
      <c r="CW21" s="50">
        <v>1.0</v>
      </c>
      <c r="CX21" s="116"/>
      <c r="CY21" s="50" t="s">
        <v>558</v>
      </c>
      <c r="CZ21" s="50">
        <v>88.0</v>
      </c>
      <c r="DA21" s="50" t="s">
        <v>3840</v>
      </c>
      <c r="DB21" s="50">
        <v>2.0</v>
      </c>
      <c r="DC21" s="116"/>
      <c r="DD21" s="50">
        <v>0.0</v>
      </c>
      <c r="DE21" s="116"/>
      <c r="DF21" s="116"/>
      <c r="DG21" s="116"/>
      <c r="DH21" s="116"/>
      <c r="DI21" s="116"/>
      <c r="DJ21" s="116"/>
      <c r="DK21" s="116"/>
      <c r="DL21" s="116"/>
      <c r="DM21" s="116"/>
      <c r="DN21" s="116"/>
      <c r="DO21" s="116"/>
      <c r="DP21" s="50">
        <v>0.0</v>
      </c>
      <c r="DQ21" s="116"/>
      <c r="DR21" s="116"/>
      <c r="DS21" s="116"/>
      <c r="DT21" s="116"/>
      <c r="DU21" s="116"/>
      <c r="DV21" s="116"/>
      <c r="DW21" s="116"/>
      <c r="DX21" s="116"/>
      <c r="DY21" s="116"/>
      <c r="DZ21" s="116"/>
      <c r="EA21" s="116"/>
      <c r="EB21" s="116"/>
      <c r="EC21" s="116"/>
      <c r="ED21" s="116"/>
      <c r="EE21" s="116"/>
      <c r="EF21" s="50" t="s">
        <v>3842</v>
      </c>
      <c r="EG21" s="50" t="s">
        <v>3843</v>
      </c>
      <c r="EH21" s="50">
        <v>0.0</v>
      </c>
      <c r="EI21" s="50" t="s">
        <v>3794</v>
      </c>
      <c r="EJ21" s="117">
        <v>4002.0</v>
      </c>
      <c r="EK21" s="50" t="s">
        <v>3844</v>
      </c>
      <c r="EL21" s="50" t="s">
        <v>3845</v>
      </c>
      <c r="EM21" s="117">
        <v>20.0</v>
      </c>
      <c r="EN21" s="117"/>
      <c r="EO21" s="117"/>
    </row>
    <row r="22">
      <c r="A22" s="50" t="s">
        <v>560</v>
      </c>
      <c r="B22" s="50" t="s">
        <v>3846</v>
      </c>
      <c r="C22" s="116"/>
      <c r="D22" s="116"/>
      <c r="E22" s="50">
        <v>3.5215509147374E14</v>
      </c>
      <c r="F22" s="50">
        <v>58.0</v>
      </c>
      <c r="G22" s="50">
        <v>1.0</v>
      </c>
      <c r="H22" s="50" t="s">
        <v>3847</v>
      </c>
      <c r="I22" s="50">
        <v>22.5526577</v>
      </c>
      <c r="J22" s="50">
        <v>88.3987366</v>
      </c>
      <c r="K22" s="50">
        <v>-52.7999992370605</v>
      </c>
      <c r="L22" s="50">
        <v>5.0</v>
      </c>
      <c r="M22" s="50">
        <v>15.0</v>
      </c>
      <c r="N22" s="116"/>
      <c r="O22" s="116"/>
      <c r="P22" s="116"/>
      <c r="Q22" s="116"/>
      <c r="R22" s="116"/>
      <c r="S22" s="116"/>
      <c r="T22" s="50"/>
      <c r="U22" s="50">
        <v>152.0</v>
      </c>
      <c r="V22" s="50">
        <v>0.0</v>
      </c>
      <c r="W22" s="50">
        <v>0.0</v>
      </c>
      <c r="X22" s="50">
        <v>1.0</v>
      </c>
      <c r="Y22" s="50">
        <v>1035.0</v>
      </c>
      <c r="Z22" s="50">
        <v>1035.0</v>
      </c>
      <c r="AA22" s="50" t="s">
        <v>3848</v>
      </c>
      <c r="AB22" s="50">
        <v>1.0</v>
      </c>
      <c r="AC22" s="50">
        <v>0.0</v>
      </c>
      <c r="AD22" s="50">
        <v>1.0</v>
      </c>
      <c r="AE22" s="116"/>
      <c r="AF22" s="116"/>
      <c r="AG22" s="116"/>
      <c r="AH22" s="116"/>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c r="CE22" s="116"/>
      <c r="CF22" s="116"/>
      <c r="CG22" s="116"/>
      <c r="CH22" s="116"/>
      <c r="CI22" s="116"/>
      <c r="CJ22" s="116"/>
      <c r="CK22" s="116"/>
      <c r="CL22" s="116"/>
      <c r="CM22" s="116"/>
      <c r="CN22" s="116"/>
      <c r="CO22" s="116"/>
      <c r="CP22" s="116"/>
      <c r="CQ22" s="116"/>
      <c r="CR22" s="116"/>
      <c r="CS22" s="116"/>
      <c r="CT22" s="116"/>
      <c r="CU22" s="116"/>
      <c r="CV22" s="116"/>
      <c r="CW22" s="50">
        <v>1.0</v>
      </c>
      <c r="CX22" s="116"/>
      <c r="CY22" s="50" t="s">
        <v>215</v>
      </c>
      <c r="CZ22" s="50">
        <v>88.0</v>
      </c>
      <c r="DA22" s="50" t="s">
        <v>3724</v>
      </c>
      <c r="DB22" s="50">
        <v>3.0</v>
      </c>
      <c r="DC22" s="116"/>
      <c r="DD22" s="50">
        <v>0.0</v>
      </c>
      <c r="DE22" s="116"/>
      <c r="DF22" s="116"/>
      <c r="DG22" s="116"/>
      <c r="DH22" s="116"/>
      <c r="DI22" s="116"/>
      <c r="DJ22" s="116"/>
      <c r="DK22" s="116"/>
      <c r="DL22" s="116"/>
      <c r="DM22" s="116"/>
      <c r="DN22" s="116"/>
      <c r="DO22" s="116"/>
      <c r="DP22" s="50">
        <v>0.0</v>
      </c>
      <c r="DQ22" s="116"/>
      <c r="DR22" s="116"/>
      <c r="DS22" s="116"/>
      <c r="DT22" s="116"/>
      <c r="DU22" s="116"/>
      <c r="DV22" s="116"/>
      <c r="DW22" s="116"/>
      <c r="DX22" s="116"/>
      <c r="DY22" s="116"/>
      <c r="DZ22" s="116"/>
      <c r="EA22" s="116"/>
      <c r="EB22" s="116"/>
      <c r="EC22" s="116"/>
      <c r="ED22" s="116"/>
      <c r="EE22" s="116"/>
      <c r="EF22" s="50" t="s">
        <v>2890</v>
      </c>
      <c r="EG22" s="50" t="s">
        <v>2286</v>
      </c>
      <c r="EH22" s="50">
        <v>0.0</v>
      </c>
      <c r="EI22" s="50" t="s">
        <v>3794</v>
      </c>
      <c r="EJ22" s="117">
        <v>4003.0</v>
      </c>
      <c r="EK22" s="50" t="s">
        <v>3850</v>
      </c>
      <c r="EL22" s="50" t="s">
        <v>3851</v>
      </c>
      <c r="EM22" s="117">
        <v>21.0</v>
      </c>
      <c r="EN22" s="117"/>
      <c r="EO22" s="117"/>
    </row>
    <row r="23">
      <c r="A23" s="50" t="s">
        <v>552</v>
      </c>
      <c r="B23" s="50" t="s">
        <v>3852</v>
      </c>
      <c r="C23" s="116"/>
      <c r="D23" s="116"/>
      <c r="E23" s="50">
        <v>3.5215509147374E14</v>
      </c>
      <c r="F23" s="50">
        <v>58.0</v>
      </c>
      <c r="G23" s="50">
        <v>1.0</v>
      </c>
      <c r="H23" s="50" t="s">
        <v>3853</v>
      </c>
      <c r="I23" s="50">
        <v>22.5521442</v>
      </c>
      <c r="J23" s="50">
        <v>88.3998329</v>
      </c>
      <c r="K23" s="50">
        <v>-58.0</v>
      </c>
      <c r="L23" s="50">
        <v>5.0</v>
      </c>
      <c r="M23" s="50">
        <v>15.0</v>
      </c>
      <c r="N23" s="116"/>
      <c r="O23" s="116"/>
      <c r="P23" s="116"/>
      <c r="Q23" s="116"/>
      <c r="R23" s="116"/>
      <c r="S23" s="116"/>
      <c r="T23" s="50"/>
      <c r="U23" s="50">
        <v>151.0</v>
      </c>
      <c r="V23" s="50">
        <v>1.0</v>
      </c>
      <c r="W23" s="50">
        <v>0.0</v>
      </c>
      <c r="X23" s="50">
        <v>0.0</v>
      </c>
      <c r="Y23" s="50">
        <v>1067.0</v>
      </c>
      <c r="Z23" s="50">
        <v>1067.0</v>
      </c>
      <c r="AA23" s="50" t="s">
        <v>3855</v>
      </c>
      <c r="AB23" s="50">
        <v>1.0</v>
      </c>
      <c r="AC23" s="50">
        <v>0.0</v>
      </c>
      <c r="AD23" s="50">
        <v>1.0</v>
      </c>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c r="CE23" s="116"/>
      <c r="CF23" s="116"/>
      <c r="CG23" s="116"/>
      <c r="CH23" s="116"/>
      <c r="CI23" s="116"/>
      <c r="CJ23" s="116"/>
      <c r="CK23" s="116"/>
      <c r="CL23" s="116"/>
      <c r="CM23" s="116"/>
      <c r="CN23" s="116"/>
      <c r="CO23" s="116"/>
      <c r="CP23" s="116"/>
      <c r="CQ23" s="116"/>
      <c r="CR23" s="50" t="s">
        <v>553</v>
      </c>
      <c r="CS23" s="50">
        <v>2.0</v>
      </c>
      <c r="CT23" s="116"/>
      <c r="CU23" s="50">
        <v>0.0</v>
      </c>
      <c r="CV23" s="50">
        <v>0.0</v>
      </c>
      <c r="CW23" s="116"/>
      <c r="CX23" s="116"/>
      <c r="CY23" s="116"/>
      <c r="CZ23" s="116"/>
      <c r="DA23" s="116"/>
      <c r="DB23" s="116"/>
      <c r="DC23" s="116"/>
      <c r="DD23" s="116"/>
      <c r="DE23" s="116"/>
      <c r="DF23" s="116"/>
      <c r="DG23" s="116"/>
      <c r="DH23" s="116"/>
      <c r="DI23" s="116"/>
      <c r="DJ23" s="116"/>
      <c r="DK23" s="116"/>
      <c r="DL23" s="116"/>
      <c r="DM23" s="116"/>
      <c r="DN23" s="116"/>
      <c r="DO23" s="116"/>
      <c r="DP23" s="50">
        <v>0.0</v>
      </c>
      <c r="DQ23" s="116"/>
      <c r="DR23" s="116"/>
      <c r="DS23" s="116"/>
      <c r="DT23" s="116"/>
      <c r="DU23" s="116"/>
      <c r="DV23" s="116"/>
      <c r="DW23" s="116"/>
      <c r="DX23" s="116"/>
      <c r="DY23" s="116"/>
      <c r="DZ23" s="116"/>
      <c r="EA23" s="116"/>
      <c r="EB23" s="116"/>
      <c r="EC23" s="116"/>
      <c r="ED23" s="116"/>
      <c r="EE23" s="116"/>
      <c r="EF23" s="50" t="s">
        <v>2949</v>
      </c>
      <c r="EG23" s="50" t="s">
        <v>2302</v>
      </c>
      <c r="EH23" s="50">
        <v>1.0</v>
      </c>
      <c r="EI23" s="50" t="s">
        <v>3794</v>
      </c>
      <c r="EJ23" s="117">
        <v>4005.0</v>
      </c>
      <c r="EK23" s="50" t="s">
        <v>3857</v>
      </c>
      <c r="EL23" s="50" t="s">
        <v>3858</v>
      </c>
      <c r="EM23" s="117">
        <v>22.0</v>
      </c>
      <c r="EN23" s="117"/>
      <c r="EO23" s="117"/>
    </row>
    <row r="24">
      <c r="A24" s="50" t="s">
        <v>561</v>
      </c>
      <c r="B24" s="50" t="s">
        <v>3859</v>
      </c>
      <c r="C24" s="116"/>
      <c r="D24" s="116"/>
      <c r="E24" s="50">
        <v>3.5215509147374E14</v>
      </c>
      <c r="F24" s="50">
        <v>58.0</v>
      </c>
      <c r="G24" s="50">
        <v>1.0</v>
      </c>
      <c r="H24" s="50" t="s">
        <v>3860</v>
      </c>
      <c r="I24" s="50">
        <v>22.5521928</v>
      </c>
      <c r="J24" s="50">
        <v>88.3998679</v>
      </c>
      <c r="K24" s="50">
        <v>-55.2999992370605</v>
      </c>
      <c r="L24" s="50">
        <v>5.0</v>
      </c>
      <c r="M24" s="50">
        <v>15.0</v>
      </c>
      <c r="N24" s="116"/>
      <c r="O24" s="116"/>
      <c r="P24" s="116"/>
      <c r="Q24" s="116"/>
      <c r="R24" s="116"/>
      <c r="S24" s="116"/>
      <c r="T24" s="50"/>
      <c r="U24" s="50">
        <v>152.0</v>
      </c>
      <c r="V24" s="50">
        <v>0.0</v>
      </c>
      <c r="W24" s="50">
        <v>0.0</v>
      </c>
      <c r="X24" s="50">
        <v>1.0</v>
      </c>
      <c r="Y24" s="50">
        <v>1067.0</v>
      </c>
      <c r="Z24" s="50">
        <v>1067.0</v>
      </c>
      <c r="AA24" s="50" t="s">
        <v>3861</v>
      </c>
      <c r="AB24" s="50">
        <v>1.0</v>
      </c>
      <c r="AC24" s="50">
        <v>0.0</v>
      </c>
      <c r="AD24" s="50">
        <v>1.0</v>
      </c>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c r="CE24" s="116"/>
      <c r="CF24" s="116"/>
      <c r="CG24" s="116"/>
      <c r="CH24" s="116"/>
      <c r="CI24" s="116"/>
      <c r="CJ24" s="116"/>
      <c r="CK24" s="116"/>
      <c r="CL24" s="116"/>
      <c r="CM24" s="116"/>
      <c r="CN24" s="116"/>
      <c r="CO24" s="116"/>
      <c r="CP24" s="116"/>
      <c r="CQ24" s="116"/>
      <c r="CR24" s="116"/>
      <c r="CS24" s="116"/>
      <c r="CT24" s="116"/>
      <c r="CU24" s="116"/>
      <c r="CV24" s="116"/>
      <c r="CW24" s="50">
        <v>1.0</v>
      </c>
      <c r="CX24" s="116"/>
      <c r="CY24" s="50" t="s">
        <v>562</v>
      </c>
      <c r="CZ24" s="50">
        <v>88.0</v>
      </c>
      <c r="DA24" s="50" t="s">
        <v>3863</v>
      </c>
      <c r="DB24" s="50">
        <v>4.0</v>
      </c>
      <c r="DC24" s="116"/>
      <c r="DD24" s="50">
        <v>0.0</v>
      </c>
      <c r="DE24" s="116"/>
      <c r="DF24" s="116"/>
      <c r="DG24" s="116"/>
      <c r="DH24" s="116"/>
      <c r="DI24" s="116"/>
      <c r="DJ24" s="116"/>
      <c r="DK24" s="116"/>
      <c r="DL24" s="116"/>
      <c r="DM24" s="116"/>
      <c r="DN24" s="116"/>
      <c r="DO24" s="116"/>
      <c r="DP24" s="50">
        <v>0.0</v>
      </c>
      <c r="DQ24" s="116"/>
      <c r="DR24" s="116"/>
      <c r="DS24" s="116"/>
      <c r="DT24" s="116"/>
      <c r="DU24" s="116"/>
      <c r="DV24" s="116"/>
      <c r="DW24" s="116"/>
      <c r="DX24" s="116"/>
      <c r="DY24" s="116"/>
      <c r="DZ24" s="116"/>
      <c r="EA24" s="116"/>
      <c r="EB24" s="116"/>
      <c r="EC24" s="116"/>
      <c r="ED24" s="116"/>
      <c r="EE24" s="116"/>
      <c r="EF24" s="50" t="s">
        <v>3258</v>
      </c>
      <c r="EG24" s="50" t="s">
        <v>2302</v>
      </c>
      <c r="EH24" s="50">
        <v>1.0</v>
      </c>
      <c r="EI24" s="50" t="s">
        <v>3794</v>
      </c>
      <c r="EJ24" s="117">
        <v>4006.0</v>
      </c>
      <c r="EK24" s="50" t="s">
        <v>3864</v>
      </c>
      <c r="EL24" s="50" t="s">
        <v>3865</v>
      </c>
      <c r="EM24" s="117">
        <v>23.0</v>
      </c>
      <c r="EN24" s="117"/>
      <c r="EO24" s="117"/>
    </row>
    <row r="25">
      <c r="A25" s="50" t="s">
        <v>563</v>
      </c>
      <c r="B25" s="50" t="s">
        <v>3866</v>
      </c>
      <c r="C25" s="116"/>
      <c r="D25" s="116"/>
      <c r="E25" s="50">
        <v>3.5215509147374E14</v>
      </c>
      <c r="F25" s="50">
        <v>58.0</v>
      </c>
      <c r="G25" s="50">
        <v>1.0</v>
      </c>
      <c r="H25" s="50" t="s">
        <v>3867</v>
      </c>
      <c r="I25" s="50">
        <v>22.5521542</v>
      </c>
      <c r="J25" s="50">
        <v>88.3998855</v>
      </c>
      <c r="K25" s="50">
        <v>-57.099998474121</v>
      </c>
      <c r="L25" s="50">
        <v>4.5</v>
      </c>
      <c r="M25" s="50">
        <v>15.0</v>
      </c>
      <c r="N25" s="116"/>
      <c r="O25" s="116"/>
      <c r="P25" s="116"/>
      <c r="Q25" s="116"/>
      <c r="R25" s="116"/>
      <c r="S25" s="116"/>
      <c r="T25" s="50"/>
      <c r="U25" s="50">
        <v>152.0</v>
      </c>
      <c r="V25" s="50">
        <v>0.0</v>
      </c>
      <c r="W25" s="50">
        <v>0.0</v>
      </c>
      <c r="X25" s="50">
        <v>1.0</v>
      </c>
      <c r="Y25" s="50">
        <v>1067.0</v>
      </c>
      <c r="Z25" s="50">
        <v>1067.0</v>
      </c>
      <c r="AA25" s="50" t="s">
        <v>3869</v>
      </c>
      <c r="AB25" s="50">
        <v>1.0</v>
      </c>
      <c r="AC25" s="50">
        <v>0.0</v>
      </c>
      <c r="AD25" s="50">
        <v>1.0</v>
      </c>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c r="CE25" s="116"/>
      <c r="CF25" s="116"/>
      <c r="CG25" s="116"/>
      <c r="CH25" s="116"/>
      <c r="CI25" s="116"/>
      <c r="CJ25" s="116"/>
      <c r="CK25" s="116"/>
      <c r="CL25" s="116"/>
      <c r="CM25" s="116"/>
      <c r="CN25" s="116"/>
      <c r="CO25" s="116"/>
      <c r="CP25" s="116"/>
      <c r="CQ25" s="116"/>
      <c r="CR25" s="116"/>
      <c r="CS25" s="116"/>
      <c r="CT25" s="116"/>
      <c r="CU25" s="116"/>
      <c r="CV25" s="116"/>
      <c r="CW25" s="50">
        <v>1.0</v>
      </c>
      <c r="CX25" s="116"/>
      <c r="CY25" s="50" t="s">
        <v>565</v>
      </c>
      <c r="CZ25" s="50">
        <v>88.0</v>
      </c>
      <c r="DA25" s="50" t="s">
        <v>3870</v>
      </c>
      <c r="DB25" s="50">
        <v>88.0</v>
      </c>
      <c r="DC25" s="50" t="s">
        <v>3871</v>
      </c>
      <c r="DD25" s="50">
        <v>0.0</v>
      </c>
      <c r="DE25" s="116"/>
      <c r="DF25" s="116"/>
      <c r="DG25" s="116"/>
      <c r="DH25" s="116"/>
      <c r="DI25" s="116"/>
      <c r="DJ25" s="116"/>
      <c r="DK25" s="116"/>
      <c r="DL25" s="116"/>
      <c r="DM25" s="116"/>
      <c r="DN25" s="116"/>
      <c r="DO25" s="116"/>
      <c r="DP25" s="50">
        <v>0.0</v>
      </c>
      <c r="DQ25" s="116"/>
      <c r="DR25" s="116"/>
      <c r="DS25" s="116"/>
      <c r="DT25" s="116"/>
      <c r="DU25" s="116"/>
      <c r="DV25" s="116"/>
      <c r="DW25" s="116"/>
      <c r="DX25" s="116"/>
      <c r="DY25" s="116"/>
      <c r="DZ25" s="116"/>
      <c r="EA25" s="116"/>
      <c r="EB25" s="116"/>
      <c r="EC25" s="116"/>
      <c r="ED25" s="116"/>
      <c r="EE25" s="116"/>
      <c r="EF25" s="50" t="s">
        <v>3258</v>
      </c>
      <c r="EG25" s="50" t="s">
        <v>2302</v>
      </c>
      <c r="EH25" s="50">
        <v>1.0</v>
      </c>
      <c r="EI25" s="50" t="s">
        <v>3794</v>
      </c>
      <c r="EJ25" s="117">
        <v>4007.0</v>
      </c>
      <c r="EK25" s="50" t="s">
        <v>3873</v>
      </c>
      <c r="EL25" s="50" t="s">
        <v>3874</v>
      </c>
      <c r="EM25" s="117">
        <v>24.0</v>
      </c>
      <c r="EN25" s="117"/>
      <c r="EO25" s="117"/>
    </row>
    <row r="26">
      <c r="A26" s="50" t="s">
        <v>566</v>
      </c>
      <c r="B26" s="50" t="s">
        <v>3875</v>
      </c>
      <c r="C26" s="116"/>
      <c r="D26" s="116"/>
      <c r="E26" s="50">
        <v>3.5215509147374E14</v>
      </c>
      <c r="F26" s="50">
        <v>58.0</v>
      </c>
      <c r="G26" s="50">
        <v>1.0</v>
      </c>
      <c r="H26" s="50" t="s">
        <v>3876</v>
      </c>
      <c r="I26" s="50">
        <v>22.5521732</v>
      </c>
      <c r="J26" s="50">
        <v>88.3999188</v>
      </c>
      <c r="K26" s="50">
        <v>-66.0</v>
      </c>
      <c r="L26" s="50">
        <v>5.0</v>
      </c>
      <c r="M26" s="50">
        <v>15.0</v>
      </c>
      <c r="N26" s="116"/>
      <c r="O26" s="116"/>
      <c r="P26" s="116"/>
      <c r="Q26" s="116"/>
      <c r="R26" s="116"/>
      <c r="S26" s="116"/>
      <c r="T26" s="50"/>
      <c r="U26" s="50">
        <v>152.0</v>
      </c>
      <c r="V26" s="50">
        <v>0.0</v>
      </c>
      <c r="W26" s="50">
        <v>0.0</v>
      </c>
      <c r="X26" s="50">
        <v>1.0</v>
      </c>
      <c r="Y26" s="50">
        <v>1067.0</v>
      </c>
      <c r="Z26" s="50">
        <v>1067.0</v>
      </c>
      <c r="AA26" s="50" t="s">
        <v>3877</v>
      </c>
      <c r="AB26" s="50">
        <v>1.0</v>
      </c>
      <c r="AC26" s="50">
        <v>0.0</v>
      </c>
      <c r="AD26" s="50">
        <v>1.0</v>
      </c>
      <c r="AE26" s="116"/>
      <c r="AF26" s="116"/>
      <c r="AG26" s="116"/>
      <c r="AH26" s="116"/>
      <c r="AI26" s="116"/>
      <c r="AJ26" s="116"/>
      <c r="AK26" s="116"/>
      <c r="AL26" s="116"/>
      <c r="AM26" s="116"/>
      <c r="AN26" s="116"/>
      <c r="AO26" s="116"/>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c r="CE26" s="116"/>
      <c r="CF26" s="116"/>
      <c r="CG26" s="116"/>
      <c r="CH26" s="116"/>
      <c r="CI26" s="116"/>
      <c r="CJ26" s="116"/>
      <c r="CK26" s="116"/>
      <c r="CL26" s="116"/>
      <c r="CM26" s="116"/>
      <c r="CN26" s="116"/>
      <c r="CO26" s="116"/>
      <c r="CP26" s="116"/>
      <c r="CQ26" s="116"/>
      <c r="CR26" s="116"/>
      <c r="CS26" s="116"/>
      <c r="CT26" s="116"/>
      <c r="CU26" s="116"/>
      <c r="CV26" s="116"/>
      <c r="CW26" s="50">
        <v>1.0</v>
      </c>
      <c r="CX26" s="116"/>
      <c r="CY26" s="50" t="s">
        <v>567</v>
      </c>
      <c r="CZ26" s="50">
        <v>88.0</v>
      </c>
      <c r="DA26" s="50" t="s">
        <v>3840</v>
      </c>
      <c r="DB26" s="50">
        <v>88.0</v>
      </c>
      <c r="DC26" s="50" t="s">
        <v>3879</v>
      </c>
      <c r="DD26" s="50">
        <v>0.0</v>
      </c>
      <c r="DE26" s="116"/>
      <c r="DF26" s="116"/>
      <c r="DG26" s="116"/>
      <c r="DH26" s="116"/>
      <c r="DI26" s="116"/>
      <c r="DJ26" s="116"/>
      <c r="DK26" s="116"/>
      <c r="DL26" s="116"/>
      <c r="DM26" s="116"/>
      <c r="DN26" s="116"/>
      <c r="DO26" s="116"/>
      <c r="DP26" s="50">
        <v>0.0</v>
      </c>
      <c r="DQ26" s="116"/>
      <c r="DR26" s="116"/>
      <c r="DS26" s="116"/>
      <c r="DT26" s="116"/>
      <c r="DU26" s="116"/>
      <c r="DV26" s="116"/>
      <c r="DW26" s="116"/>
      <c r="DX26" s="116"/>
      <c r="DY26" s="116"/>
      <c r="DZ26" s="116"/>
      <c r="EA26" s="116"/>
      <c r="EB26" s="116"/>
      <c r="EC26" s="116"/>
      <c r="ED26" s="116"/>
      <c r="EE26" s="116"/>
      <c r="EF26" s="50" t="s">
        <v>3388</v>
      </c>
      <c r="EG26" s="50" t="s">
        <v>2327</v>
      </c>
      <c r="EH26" s="50">
        <v>0.0</v>
      </c>
      <c r="EI26" s="50" t="s">
        <v>3794</v>
      </c>
      <c r="EJ26" s="117">
        <v>4008.0</v>
      </c>
      <c r="EK26" s="50" t="s">
        <v>3880</v>
      </c>
      <c r="EL26" s="50" t="s">
        <v>3881</v>
      </c>
      <c r="EM26" s="117">
        <v>25.0</v>
      </c>
      <c r="EN26" s="117"/>
      <c r="EO26" s="117"/>
    </row>
    <row r="27">
      <c r="A27" s="50" t="s">
        <v>643</v>
      </c>
      <c r="B27" s="50" t="s">
        <v>3882</v>
      </c>
      <c r="C27" s="116"/>
      <c r="D27" s="116"/>
      <c r="E27" s="50">
        <v>3.5215509147374E14</v>
      </c>
      <c r="F27" s="50">
        <v>58.0</v>
      </c>
      <c r="G27" s="50">
        <v>1.0</v>
      </c>
      <c r="H27" s="50" t="s">
        <v>3883</v>
      </c>
      <c r="I27" s="50">
        <v>22.5513227</v>
      </c>
      <c r="J27" s="50">
        <v>88.399452</v>
      </c>
      <c r="K27" s="50">
        <v>-59.5</v>
      </c>
      <c r="L27" s="50">
        <v>5.0</v>
      </c>
      <c r="M27" s="50">
        <v>14.0</v>
      </c>
      <c r="N27" s="50">
        <v>143.0</v>
      </c>
      <c r="O27" s="50">
        <v>0.0</v>
      </c>
      <c r="P27" s="50">
        <v>0.0</v>
      </c>
      <c r="Q27" s="50">
        <v>0.0</v>
      </c>
      <c r="R27" s="50">
        <v>1.0</v>
      </c>
      <c r="S27" s="50">
        <v>0.0</v>
      </c>
      <c r="T27" s="50">
        <v>0.0</v>
      </c>
      <c r="U27" s="116"/>
      <c r="V27" s="116"/>
      <c r="W27" s="116"/>
      <c r="X27" s="116"/>
      <c r="Y27" s="50">
        <v>1080.0</v>
      </c>
      <c r="Z27" s="50">
        <v>1080.0</v>
      </c>
      <c r="AA27" s="50" t="s">
        <v>3885</v>
      </c>
      <c r="AB27" s="50">
        <v>3.0</v>
      </c>
      <c r="AC27" s="50">
        <v>1.0</v>
      </c>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50" t="s">
        <v>644</v>
      </c>
      <c r="BF27" s="50">
        <v>1.0</v>
      </c>
      <c r="BG27" s="50">
        <v>1.0</v>
      </c>
      <c r="BH27" s="50">
        <v>0.0</v>
      </c>
      <c r="BI27" s="50">
        <v>0.0</v>
      </c>
      <c r="BJ27" s="50">
        <v>0.0</v>
      </c>
      <c r="BK27" s="116"/>
      <c r="BL27" s="50">
        <v>3.0</v>
      </c>
      <c r="BM27" s="50">
        <v>0.0</v>
      </c>
      <c r="BN27" s="50">
        <v>0.0</v>
      </c>
      <c r="BO27" s="50">
        <v>1.0</v>
      </c>
      <c r="BP27" s="50">
        <v>0.0</v>
      </c>
      <c r="BQ27" s="50">
        <v>0.0</v>
      </c>
      <c r="BR27" s="50">
        <v>0.0</v>
      </c>
      <c r="BS27" s="50">
        <v>0.0</v>
      </c>
      <c r="BT27" s="116"/>
      <c r="BU27" s="116"/>
      <c r="BV27" s="116"/>
      <c r="BW27" s="116"/>
      <c r="BX27" s="116"/>
      <c r="BY27" s="116"/>
      <c r="BZ27" s="116"/>
      <c r="CA27" s="116"/>
      <c r="CB27" s="116"/>
      <c r="CC27" s="116"/>
      <c r="CD27" s="116"/>
      <c r="CE27" s="116"/>
      <c r="CF27" s="116"/>
      <c r="CG27" s="116"/>
      <c r="CH27" s="116"/>
      <c r="CI27" s="116"/>
      <c r="CJ27" s="116"/>
      <c r="CK27" s="116"/>
      <c r="CL27" s="116"/>
      <c r="CM27" s="116"/>
      <c r="CN27" s="116"/>
      <c r="CO27" s="116"/>
      <c r="CP27" s="116"/>
      <c r="CQ27" s="116"/>
      <c r="CR27" s="116"/>
      <c r="CS27" s="116"/>
      <c r="CT27" s="116"/>
      <c r="CU27" s="116"/>
      <c r="CV27" s="116"/>
      <c r="CW27" s="116"/>
      <c r="CX27" s="116"/>
      <c r="CY27" s="116"/>
      <c r="CZ27" s="116"/>
      <c r="DA27" s="116"/>
      <c r="DB27" s="116"/>
      <c r="DC27" s="116"/>
      <c r="DD27" s="116"/>
      <c r="DE27" s="116"/>
      <c r="DF27" s="116"/>
      <c r="DG27" s="116"/>
      <c r="DH27" s="116"/>
      <c r="DI27" s="116"/>
      <c r="DJ27" s="116"/>
      <c r="DK27" s="116"/>
      <c r="DL27" s="116"/>
      <c r="DM27" s="116"/>
      <c r="DN27" s="116"/>
      <c r="DO27" s="116"/>
      <c r="DP27" s="50">
        <v>0.0</v>
      </c>
      <c r="DQ27" s="116"/>
      <c r="DR27" s="116"/>
      <c r="DS27" s="116"/>
      <c r="DT27" s="116"/>
      <c r="DU27" s="116"/>
      <c r="DV27" s="116"/>
      <c r="DW27" s="116"/>
      <c r="DX27" s="116"/>
      <c r="DY27" s="116"/>
      <c r="DZ27" s="116"/>
      <c r="EA27" s="116"/>
      <c r="EB27" s="116"/>
      <c r="EC27" s="116"/>
      <c r="ED27" s="116"/>
      <c r="EE27" s="116"/>
      <c r="EF27" s="50" t="s">
        <v>3149</v>
      </c>
      <c r="EG27" s="50" t="s">
        <v>2472</v>
      </c>
      <c r="EH27" s="50">
        <v>1.0</v>
      </c>
      <c r="EI27" s="50" t="s">
        <v>3794</v>
      </c>
      <c r="EJ27" s="117">
        <v>4075.0</v>
      </c>
      <c r="EK27" s="50" t="s">
        <v>3887</v>
      </c>
      <c r="EL27" s="50" t="s">
        <v>3888</v>
      </c>
      <c r="EM27" s="117">
        <v>26.0</v>
      </c>
      <c r="EN27" s="117"/>
      <c r="EO27" s="117"/>
    </row>
    <row r="28">
      <c r="A28" s="50" t="s">
        <v>640</v>
      </c>
      <c r="B28" s="50" t="s">
        <v>3889</v>
      </c>
      <c r="C28" s="116"/>
      <c r="D28" s="116"/>
      <c r="E28" s="50">
        <v>3.5215509147374E14</v>
      </c>
      <c r="F28" s="50">
        <v>58.0</v>
      </c>
      <c r="G28" s="50">
        <v>1.0</v>
      </c>
      <c r="H28" s="50" t="s">
        <v>3890</v>
      </c>
      <c r="I28" s="50">
        <v>22.5513942</v>
      </c>
      <c r="J28" s="50">
        <v>88.3992999</v>
      </c>
      <c r="K28" s="50">
        <v>-54.4000015258789</v>
      </c>
      <c r="L28" s="50">
        <v>5.0</v>
      </c>
      <c r="M28" s="50">
        <v>14.0</v>
      </c>
      <c r="N28" s="50">
        <v>142.0</v>
      </c>
      <c r="O28" s="50">
        <v>0.0</v>
      </c>
      <c r="P28" s="50">
        <v>0.0</v>
      </c>
      <c r="Q28" s="50">
        <v>1.0</v>
      </c>
      <c r="R28" s="50">
        <v>0.0</v>
      </c>
      <c r="S28" s="50">
        <v>0.0</v>
      </c>
      <c r="T28" s="50">
        <v>0.0</v>
      </c>
      <c r="U28" s="116"/>
      <c r="V28" s="116"/>
      <c r="W28" s="116"/>
      <c r="X28" s="116"/>
      <c r="Y28" s="50">
        <v>1080.0</v>
      </c>
      <c r="Z28" s="50">
        <v>1080.0</v>
      </c>
      <c r="AA28" s="50" t="s">
        <v>3891</v>
      </c>
      <c r="AB28" s="50">
        <v>3.0</v>
      </c>
      <c r="AC28" s="50">
        <v>1.0</v>
      </c>
      <c r="AD28" s="116"/>
      <c r="AE28" s="116"/>
      <c r="AF28" s="116"/>
      <c r="AG28" s="116"/>
      <c r="AH28" s="116"/>
      <c r="AI28" s="116"/>
      <c r="AJ28" s="116"/>
      <c r="AK28" s="116"/>
      <c r="AL28" s="116"/>
      <c r="AM28" s="116"/>
      <c r="AN28" s="116"/>
      <c r="AO28" s="116"/>
      <c r="AP28" s="116"/>
      <c r="AQ28" s="116"/>
      <c r="AR28" s="116"/>
      <c r="AS28" s="116"/>
      <c r="AT28" s="116"/>
      <c r="AU28" s="116"/>
      <c r="AV28" s="116"/>
      <c r="AW28" s="50" t="s">
        <v>641</v>
      </c>
      <c r="AX28" s="50">
        <v>1.0</v>
      </c>
      <c r="AY28" s="50">
        <v>1.0</v>
      </c>
      <c r="AZ28" s="50">
        <v>0.0</v>
      </c>
      <c r="BA28" s="50">
        <v>0.0</v>
      </c>
      <c r="BB28" s="50">
        <v>0.0</v>
      </c>
      <c r="BC28" s="50">
        <v>0.0</v>
      </c>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c r="CE28" s="116"/>
      <c r="CF28" s="116"/>
      <c r="CG28" s="116"/>
      <c r="CH28" s="116"/>
      <c r="CI28" s="116"/>
      <c r="CJ28" s="116"/>
      <c r="CK28" s="116"/>
      <c r="CL28" s="116"/>
      <c r="CM28" s="116"/>
      <c r="CN28" s="116"/>
      <c r="CO28" s="116"/>
      <c r="CP28" s="116"/>
      <c r="CQ28" s="116"/>
      <c r="CR28" s="116"/>
      <c r="CS28" s="116"/>
      <c r="CT28" s="116"/>
      <c r="CU28" s="116"/>
      <c r="CV28" s="116"/>
      <c r="CW28" s="116"/>
      <c r="CX28" s="116"/>
      <c r="CY28" s="116"/>
      <c r="CZ28" s="116"/>
      <c r="DA28" s="116"/>
      <c r="DB28" s="116"/>
      <c r="DC28" s="116"/>
      <c r="DD28" s="116"/>
      <c r="DE28" s="116"/>
      <c r="DF28" s="116"/>
      <c r="DG28" s="116"/>
      <c r="DH28" s="116"/>
      <c r="DI28" s="116"/>
      <c r="DJ28" s="116"/>
      <c r="DK28" s="116"/>
      <c r="DL28" s="116"/>
      <c r="DM28" s="116"/>
      <c r="DN28" s="116"/>
      <c r="DO28" s="116"/>
      <c r="DP28" s="50">
        <v>0.0</v>
      </c>
      <c r="DQ28" s="116"/>
      <c r="DR28" s="116"/>
      <c r="DS28" s="116"/>
      <c r="DT28" s="116"/>
      <c r="DU28" s="116"/>
      <c r="DV28" s="116"/>
      <c r="DW28" s="116"/>
      <c r="DX28" s="116"/>
      <c r="DY28" s="116"/>
      <c r="DZ28" s="116"/>
      <c r="EA28" s="116"/>
      <c r="EB28" s="116"/>
      <c r="EC28" s="116"/>
      <c r="ED28" s="116"/>
      <c r="EE28" s="116"/>
      <c r="EF28" s="50" t="s">
        <v>3185</v>
      </c>
      <c r="EG28" s="50" t="s">
        <v>2302</v>
      </c>
      <c r="EH28" s="50">
        <v>1.0</v>
      </c>
      <c r="EI28" s="50" t="s">
        <v>3794</v>
      </c>
      <c r="EJ28" s="117">
        <v>4076.0</v>
      </c>
      <c r="EK28" s="50" t="s">
        <v>3893</v>
      </c>
      <c r="EL28" s="50" t="s">
        <v>3894</v>
      </c>
      <c r="EM28" s="117">
        <v>27.0</v>
      </c>
      <c r="EN28" s="117"/>
      <c r="EO28" s="117"/>
    </row>
    <row r="29">
      <c r="A29" s="50" t="s">
        <v>648</v>
      </c>
      <c r="B29" s="50" t="s">
        <v>3895</v>
      </c>
      <c r="C29" s="116"/>
      <c r="D29" s="116"/>
      <c r="E29" s="50">
        <v>3.5215509147374E14</v>
      </c>
      <c r="F29" s="50">
        <v>58.0</v>
      </c>
      <c r="G29" s="50">
        <v>1.0</v>
      </c>
      <c r="H29" s="50" t="s">
        <v>3897</v>
      </c>
      <c r="I29" s="50">
        <v>22.5514185</v>
      </c>
      <c r="J29" s="50">
        <v>88.3992801</v>
      </c>
      <c r="K29" s="50">
        <v>-56.7999992370605</v>
      </c>
      <c r="L29" s="50">
        <v>5.0</v>
      </c>
      <c r="M29" s="50">
        <v>14.0</v>
      </c>
      <c r="N29" s="50">
        <v>145.0</v>
      </c>
      <c r="O29" s="50">
        <v>0.0</v>
      </c>
      <c r="P29" s="50">
        <v>1.0</v>
      </c>
      <c r="Q29" s="50">
        <v>0.0</v>
      </c>
      <c r="R29" s="50">
        <v>0.0</v>
      </c>
      <c r="S29" s="50">
        <v>0.0</v>
      </c>
      <c r="T29" s="50">
        <v>0.0</v>
      </c>
      <c r="U29" s="116"/>
      <c r="V29" s="116"/>
      <c r="W29" s="116"/>
      <c r="X29" s="116"/>
      <c r="Y29" s="50">
        <v>1080.0</v>
      </c>
      <c r="Z29" s="50">
        <v>1080.0</v>
      </c>
      <c r="AA29" s="50" t="s">
        <v>3898</v>
      </c>
      <c r="AB29" s="50">
        <v>3.0</v>
      </c>
      <c r="AC29" s="50">
        <v>1.0</v>
      </c>
      <c r="AD29" s="116"/>
      <c r="AE29" s="116"/>
      <c r="AF29" s="116"/>
      <c r="AG29" s="116"/>
      <c r="AH29" s="116"/>
      <c r="AI29" s="116"/>
      <c r="AJ29" s="116"/>
      <c r="AK29" s="116"/>
      <c r="AL29" s="116"/>
      <c r="AM29" s="116"/>
      <c r="AN29" s="116"/>
      <c r="AO29" s="116"/>
      <c r="AP29" s="116"/>
      <c r="AQ29" s="116"/>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50" t="s">
        <v>649</v>
      </c>
      <c r="CD29" s="122">
        <v>43560.0</v>
      </c>
      <c r="CE29" s="50">
        <v>0.0</v>
      </c>
      <c r="CF29" s="50">
        <v>0.0</v>
      </c>
      <c r="CG29" s="50">
        <v>0.0</v>
      </c>
      <c r="CH29" s="50">
        <v>0.0</v>
      </c>
      <c r="CI29" s="50">
        <v>1.0</v>
      </c>
      <c r="CJ29" s="50">
        <v>1.0</v>
      </c>
      <c r="CK29" s="116"/>
      <c r="CL29" s="50">
        <v>3.0</v>
      </c>
      <c r="CM29" s="50">
        <v>0.0</v>
      </c>
      <c r="CN29" s="50">
        <v>1.0</v>
      </c>
      <c r="CO29" s="50">
        <v>0.0</v>
      </c>
      <c r="CP29" s="50">
        <v>0.0</v>
      </c>
      <c r="CQ29" s="116"/>
      <c r="CR29" s="116"/>
      <c r="CS29" s="116"/>
      <c r="CT29" s="116"/>
      <c r="CU29" s="116"/>
      <c r="CV29" s="116"/>
      <c r="CW29" s="116"/>
      <c r="CX29" s="116"/>
      <c r="CY29" s="116"/>
      <c r="CZ29" s="116"/>
      <c r="DA29" s="116"/>
      <c r="DB29" s="116"/>
      <c r="DC29" s="116"/>
      <c r="DD29" s="116"/>
      <c r="DE29" s="116"/>
      <c r="DF29" s="116"/>
      <c r="DG29" s="116"/>
      <c r="DH29" s="116"/>
      <c r="DI29" s="116"/>
      <c r="DJ29" s="116"/>
      <c r="DK29" s="116"/>
      <c r="DL29" s="116"/>
      <c r="DM29" s="116"/>
      <c r="DN29" s="116"/>
      <c r="DO29" s="116"/>
      <c r="DP29" s="50">
        <v>0.0</v>
      </c>
      <c r="DQ29" s="116"/>
      <c r="DR29" s="116"/>
      <c r="DS29" s="116"/>
      <c r="DT29" s="116"/>
      <c r="DU29" s="116"/>
      <c r="DV29" s="116"/>
      <c r="DW29" s="116"/>
      <c r="DX29" s="116"/>
      <c r="DY29" s="116"/>
      <c r="DZ29" s="116"/>
      <c r="EA29" s="116"/>
      <c r="EB29" s="116"/>
      <c r="EC29" s="116"/>
      <c r="ED29" s="116"/>
      <c r="EE29" s="116"/>
      <c r="EF29" s="50" t="s">
        <v>2949</v>
      </c>
      <c r="EG29" s="50" t="s">
        <v>2278</v>
      </c>
      <c r="EH29" s="50">
        <v>1.0</v>
      </c>
      <c r="EI29" s="50" t="s">
        <v>3794</v>
      </c>
      <c r="EJ29" s="117">
        <v>4077.0</v>
      </c>
      <c r="EK29" s="50" t="s">
        <v>3900</v>
      </c>
      <c r="EL29" s="50" t="s">
        <v>3901</v>
      </c>
      <c r="EM29" s="117">
        <v>28.0</v>
      </c>
      <c r="EN29" s="117"/>
      <c r="EO29" s="117"/>
    </row>
    <row r="30">
      <c r="A30" s="50" t="s">
        <v>645</v>
      </c>
      <c r="B30" s="50" t="s">
        <v>3902</v>
      </c>
      <c r="C30" s="116"/>
      <c r="D30" s="116"/>
      <c r="E30" s="50">
        <v>3.5215509147374E14</v>
      </c>
      <c r="F30" s="50">
        <v>58.0</v>
      </c>
      <c r="G30" s="50">
        <v>1.0</v>
      </c>
      <c r="H30" s="50" t="s">
        <v>3903</v>
      </c>
      <c r="I30" s="50">
        <v>22.5513541</v>
      </c>
      <c r="J30" s="50">
        <v>88.3993612</v>
      </c>
      <c r="K30" s="50">
        <v>-11.6000003814697</v>
      </c>
      <c r="L30" s="50">
        <v>5.0</v>
      </c>
      <c r="M30" s="50">
        <v>14.0</v>
      </c>
      <c r="N30" s="50">
        <v>144.0</v>
      </c>
      <c r="O30" s="50">
        <v>1.0</v>
      </c>
      <c r="P30" s="50">
        <v>0.0</v>
      </c>
      <c r="Q30" s="50">
        <v>0.0</v>
      </c>
      <c r="R30" s="50">
        <v>0.0</v>
      </c>
      <c r="S30" s="50">
        <v>0.0</v>
      </c>
      <c r="T30" s="50">
        <v>0.0</v>
      </c>
      <c r="U30" s="116"/>
      <c r="V30" s="116"/>
      <c r="W30" s="116"/>
      <c r="X30" s="116"/>
      <c r="Y30" s="50">
        <v>1080.0</v>
      </c>
      <c r="Z30" s="50">
        <v>1080.0</v>
      </c>
      <c r="AA30" s="50" t="s">
        <v>3904</v>
      </c>
      <c r="AB30" s="50">
        <v>3.0</v>
      </c>
      <c r="AC30" s="50">
        <v>1.0</v>
      </c>
      <c r="AD30" s="116"/>
      <c r="AE30" s="116"/>
      <c r="AF30" s="116"/>
      <c r="AG30" s="116"/>
      <c r="AH30" s="116"/>
      <c r="AI30" s="116"/>
      <c r="AJ30" s="116"/>
      <c r="AK30" s="116"/>
      <c r="AL30" s="116"/>
      <c r="AM30" s="116"/>
      <c r="AN30" s="116"/>
      <c r="AO30" s="116"/>
      <c r="AP30" s="116"/>
      <c r="AQ30" s="116"/>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50" t="s">
        <v>646</v>
      </c>
      <c r="BV30" s="50">
        <v>4.0</v>
      </c>
      <c r="BW30" s="116"/>
      <c r="BX30" s="50">
        <v>1.0</v>
      </c>
      <c r="BY30" s="50">
        <v>1.0</v>
      </c>
      <c r="BZ30" s="116"/>
      <c r="CA30" s="116"/>
      <c r="CB30" s="116"/>
      <c r="CC30" s="116"/>
      <c r="CD30" s="116"/>
      <c r="CE30" s="116"/>
      <c r="CF30" s="116"/>
      <c r="CG30" s="116"/>
      <c r="CH30" s="116"/>
      <c r="CI30" s="116"/>
      <c r="CJ30" s="116"/>
      <c r="CK30" s="116"/>
      <c r="CL30" s="116"/>
      <c r="CM30" s="116"/>
      <c r="CN30" s="116"/>
      <c r="CO30" s="116"/>
      <c r="CP30" s="116"/>
      <c r="CQ30" s="116"/>
      <c r="CR30" s="116"/>
      <c r="CS30" s="116"/>
      <c r="CT30" s="116"/>
      <c r="CU30" s="116"/>
      <c r="CV30" s="116"/>
      <c r="CW30" s="116"/>
      <c r="CX30" s="116"/>
      <c r="CY30" s="116"/>
      <c r="CZ30" s="116"/>
      <c r="DA30" s="116"/>
      <c r="DB30" s="116"/>
      <c r="DC30" s="116"/>
      <c r="DD30" s="116"/>
      <c r="DE30" s="116"/>
      <c r="DF30" s="116"/>
      <c r="DG30" s="116"/>
      <c r="DH30" s="116"/>
      <c r="DI30" s="116"/>
      <c r="DJ30" s="116"/>
      <c r="DK30" s="116"/>
      <c r="DL30" s="116"/>
      <c r="DM30" s="116"/>
      <c r="DN30" s="116"/>
      <c r="DO30" s="116"/>
      <c r="DP30" s="50">
        <v>0.0</v>
      </c>
      <c r="DQ30" s="116"/>
      <c r="DR30" s="116"/>
      <c r="DS30" s="116"/>
      <c r="DT30" s="116"/>
      <c r="DU30" s="116"/>
      <c r="DV30" s="116"/>
      <c r="DW30" s="116"/>
      <c r="DX30" s="116"/>
      <c r="DY30" s="116"/>
      <c r="DZ30" s="116"/>
      <c r="EA30" s="116"/>
      <c r="EB30" s="116"/>
      <c r="EC30" s="116"/>
      <c r="ED30" s="116"/>
      <c r="EE30" s="116"/>
      <c r="EF30" s="50" t="s">
        <v>3200</v>
      </c>
      <c r="EG30" s="50" t="s">
        <v>2278</v>
      </c>
      <c r="EH30" s="50">
        <v>1.0</v>
      </c>
      <c r="EI30" s="50" t="s">
        <v>3794</v>
      </c>
      <c r="EJ30" s="117">
        <v>4078.0</v>
      </c>
      <c r="EK30" s="50" t="s">
        <v>3906</v>
      </c>
      <c r="EL30" s="50" t="s">
        <v>3907</v>
      </c>
      <c r="EM30" s="117">
        <v>29.0</v>
      </c>
      <c r="EN30" s="117"/>
      <c r="EO30" s="117"/>
    </row>
    <row r="31">
      <c r="A31" s="50" t="s">
        <v>636</v>
      </c>
      <c r="B31" s="50" t="s">
        <v>3908</v>
      </c>
      <c r="C31" s="116"/>
      <c r="D31" s="116"/>
      <c r="E31" s="50">
        <v>3.5215509147374E14</v>
      </c>
      <c r="F31" s="50">
        <v>58.0</v>
      </c>
      <c r="G31" s="50">
        <v>1.0</v>
      </c>
      <c r="H31" s="50" t="s">
        <v>3909</v>
      </c>
      <c r="I31" s="50">
        <v>22.5513774</v>
      </c>
      <c r="J31" s="50">
        <v>88.3993761</v>
      </c>
      <c r="K31" s="50">
        <v>-35.099998474121</v>
      </c>
      <c r="L31" s="50">
        <v>5.0</v>
      </c>
      <c r="M31" s="50">
        <v>14.0</v>
      </c>
      <c r="N31" s="50">
        <v>141.0</v>
      </c>
      <c r="O31" s="50">
        <v>0.0</v>
      </c>
      <c r="P31" s="50">
        <v>0.0</v>
      </c>
      <c r="Q31" s="50">
        <v>0.0</v>
      </c>
      <c r="R31" s="50">
        <v>0.0</v>
      </c>
      <c r="S31" s="50">
        <v>1.0</v>
      </c>
      <c r="T31" s="50">
        <v>0.0</v>
      </c>
      <c r="U31" s="116"/>
      <c r="V31" s="116"/>
      <c r="W31" s="116"/>
      <c r="X31" s="116"/>
      <c r="Y31" s="50">
        <v>1080.0</v>
      </c>
      <c r="Z31" s="50">
        <v>1080.0</v>
      </c>
      <c r="AA31" s="50" t="s">
        <v>3910</v>
      </c>
      <c r="AB31" s="50">
        <v>3.0</v>
      </c>
      <c r="AC31" s="50">
        <v>1.0</v>
      </c>
      <c r="AD31" s="116"/>
      <c r="AE31" s="116"/>
      <c r="AF31" s="50" t="s">
        <v>638</v>
      </c>
      <c r="AG31" s="122">
        <v>43468.0</v>
      </c>
      <c r="AH31" s="50">
        <v>1.0</v>
      </c>
      <c r="AI31" s="50">
        <v>1.0</v>
      </c>
      <c r="AJ31" s="50">
        <v>0.0</v>
      </c>
      <c r="AK31" s="50">
        <v>0.0</v>
      </c>
      <c r="AL31" s="50">
        <v>0.0</v>
      </c>
      <c r="AM31" s="116"/>
      <c r="AN31" s="122">
        <v>43560.0</v>
      </c>
      <c r="AO31" s="50">
        <v>0.0</v>
      </c>
      <c r="AP31" s="50">
        <v>0.0</v>
      </c>
      <c r="AQ31" s="50">
        <v>0.0</v>
      </c>
      <c r="AR31" s="50">
        <v>0.0</v>
      </c>
      <c r="AS31" s="50">
        <v>1.0</v>
      </c>
      <c r="AT31" s="50">
        <v>1.0</v>
      </c>
      <c r="AU31" s="50">
        <v>0.0</v>
      </c>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c r="CE31" s="116"/>
      <c r="CF31" s="116"/>
      <c r="CG31" s="116"/>
      <c r="CH31" s="116"/>
      <c r="CI31" s="116"/>
      <c r="CJ31" s="116"/>
      <c r="CK31" s="116"/>
      <c r="CL31" s="116"/>
      <c r="CM31" s="116"/>
      <c r="CN31" s="116"/>
      <c r="CO31" s="116"/>
      <c r="CP31" s="116"/>
      <c r="CQ31" s="116"/>
      <c r="CR31" s="116"/>
      <c r="CS31" s="116"/>
      <c r="CT31" s="116"/>
      <c r="CU31" s="116"/>
      <c r="CV31" s="116"/>
      <c r="CW31" s="116"/>
      <c r="CX31" s="116"/>
      <c r="CY31" s="116"/>
      <c r="CZ31" s="116"/>
      <c r="DA31" s="116"/>
      <c r="DB31" s="116"/>
      <c r="DC31" s="116"/>
      <c r="DD31" s="116"/>
      <c r="DE31" s="116"/>
      <c r="DF31" s="116"/>
      <c r="DG31" s="116"/>
      <c r="DH31" s="116"/>
      <c r="DI31" s="116"/>
      <c r="DJ31" s="116"/>
      <c r="DK31" s="116"/>
      <c r="DL31" s="116"/>
      <c r="DM31" s="116"/>
      <c r="DN31" s="116"/>
      <c r="DO31" s="116"/>
      <c r="DP31" s="50">
        <v>0.0</v>
      </c>
      <c r="DQ31" s="116"/>
      <c r="DR31" s="116"/>
      <c r="DS31" s="116"/>
      <c r="DT31" s="116"/>
      <c r="DU31" s="116"/>
      <c r="DV31" s="116"/>
      <c r="DW31" s="116"/>
      <c r="DX31" s="116"/>
      <c r="DY31" s="116"/>
      <c r="DZ31" s="116"/>
      <c r="EA31" s="116"/>
      <c r="EB31" s="116"/>
      <c r="EC31" s="116"/>
      <c r="ED31" s="116"/>
      <c r="EE31" s="116"/>
      <c r="EF31" s="50" t="s">
        <v>2979</v>
      </c>
      <c r="EG31" s="50" t="s">
        <v>2286</v>
      </c>
      <c r="EH31" s="50">
        <v>1.0</v>
      </c>
      <c r="EI31" s="50" t="s">
        <v>3794</v>
      </c>
      <c r="EJ31" s="117">
        <v>4079.0</v>
      </c>
      <c r="EK31" s="50" t="s">
        <v>3912</v>
      </c>
      <c r="EL31" s="50" t="s">
        <v>3913</v>
      </c>
      <c r="EM31" s="117">
        <v>30.0</v>
      </c>
      <c r="EN31" s="117"/>
      <c r="EO31" s="117"/>
    </row>
    <row r="32">
      <c r="A32" s="50" t="s">
        <v>568</v>
      </c>
      <c r="B32" s="50" t="s">
        <v>3914</v>
      </c>
      <c r="C32" s="116"/>
      <c r="D32" s="116"/>
      <c r="E32" s="50">
        <v>3.5215509147374E14</v>
      </c>
      <c r="F32" s="50">
        <v>58.0</v>
      </c>
      <c r="G32" s="50">
        <v>1.0</v>
      </c>
      <c r="H32" s="50" t="s">
        <v>3915</v>
      </c>
      <c r="I32" s="50">
        <v>22.5530486</v>
      </c>
      <c r="J32" s="50">
        <v>88.3988539</v>
      </c>
      <c r="K32" s="50">
        <v>-68.4000015258789</v>
      </c>
      <c r="L32" s="50">
        <v>4.5</v>
      </c>
      <c r="M32" s="50">
        <v>15.0</v>
      </c>
      <c r="N32" s="116"/>
      <c r="O32" s="116"/>
      <c r="P32" s="116"/>
      <c r="Q32" s="116"/>
      <c r="R32" s="116"/>
      <c r="S32" s="116"/>
      <c r="T32" s="50"/>
      <c r="U32" s="50">
        <v>151.0</v>
      </c>
      <c r="V32" s="50">
        <v>1.0</v>
      </c>
      <c r="W32" s="50">
        <v>0.0</v>
      </c>
      <c r="X32" s="50">
        <v>0.0</v>
      </c>
      <c r="Y32" s="50">
        <v>1007.0</v>
      </c>
      <c r="Z32" s="50">
        <v>1007.0</v>
      </c>
      <c r="AA32" s="50" t="s">
        <v>3917</v>
      </c>
      <c r="AB32" s="50">
        <v>1.0</v>
      </c>
      <c r="AC32" s="50">
        <v>1.0</v>
      </c>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c r="CE32" s="116"/>
      <c r="CF32" s="116"/>
      <c r="CG32" s="116"/>
      <c r="CH32" s="116"/>
      <c r="CI32" s="116"/>
      <c r="CJ32" s="116"/>
      <c r="CK32" s="116"/>
      <c r="CL32" s="116"/>
      <c r="CM32" s="116"/>
      <c r="CN32" s="116"/>
      <c r="CO32" s="116"/>
      <c r="CP32" s="116"/>
      <c r="CQ32" s="116"/>
      <c r="CR32" s="50" t="s">
        <v>216</v>
      </c>
      <c r="CS32" s="50">
        <v>2.0</v>
      </c>
      <c r="CT32" s="116"/>
      <c r="CU32" s="50">
        <v>0.0</v>
      </c>
      <c r="CV32" s="50">
        <v>0.0</v>
      </c>
      <c r="CW32" s="116"/>
      <c r="CX32" s="116"/>
      <c r="CY32" s="116"/>
      <c r="CZ32" s="116"/>
      <c r="DA32" s="116"/>
      <c r="DB32" s="116"/>
      <c r="DC32" s="116"/>
      <c r="DD32" s="116"/>
      <c r="DE32" s="116"/>
      <c r="DF32" s="116"/>
      <c r="DG32" s="116"/>
      <c r="DH32" s="116"/>
      <c r="DI32" s="116"/>
      <c r="DJ32" s="116"/>
      <c r="DK32" s="116"/>
      <c r="DL32" s="116"/>
      <c r="DM32" s="116"/>
      <c r="DN32" s="116"/>
      <c r="DO32" s="116"/>
      <c r="DP32" s="50">
        <v>0.0</v>
      </c>
      <c r="DQ32" s="116"/>
      <c r="DR32" s="116"/>
      <c r="DS32" s="116"/>
      <c r="DT32" s="116"/>
      <c r="DU32" s="116"/>
      <c r="DV32" s="116"/>
      <c r="DW32" s="116"/>
      <c r="DX32" s="116"/>
      <c r="DY32" s="116"/>
      <c r="DZ32" s="116"/>
      <c r="EA32" s="116"/>
      <c r="EB32" s="116"/>
      <c r="EC32" s="116"/>
      <c r="ED32" s="116"/>
      <c r="EE32" s="116"/>
      <c r="EF32" s="50" t="s">
        <v>3185</v>
      </c>
      <c r="EG32" s="50" t="s">
        <v>2472</v>
      </c>
      <c r="EH32" s="50">
        <v>1.0</v>
      </c>
      <c r="EI32" s="50" t="s">
        <v>3794</v>
      </c>
      <c r="EJ32" s="117">
        <v>4299.0</v>
      </c>
      <c r="EK32" s="50" t="s">
        <v>3918</v>
      </c>
      <c r="EL32" s="50" t="s">
        <v>3919</v>
      </c>
      <c r="EM32" s="117">
        <v>31.0</v>
      </c>
      <c r="EN32" s="117"/>
      <c r="EO32" s="117"/>
    </row>
    <row r="33">
      <c r="A33" s="50" t="s">
        <v>569</v>
      </c>
      <c r="B33" s="50" t="s">
        <v>3920</v>
      </c>
      <c r="C33" s="116"/>
      <c r="D33" s="116"/>
      <c r="E33" s="50">
        <v>3.5215509147374E14</v>
      </c>
      <c r="F33" s="50">
        <v>58.0</v>
      </c>
      <c r="G33" s="50">
        <v>1.0</v>
      </c>
      <c r="H33" s="50" t="s">
        <v>3921</v>
      </c>
      <c r="I33" s="50">
        <v>22.5530611</v>
      </c>
      <c r="J33" s="50">
        <v>88.3989044</v>
      </c>
      <c r="K33" s="50">
        <v>-67.4000015258789</v>
      </c>
      <c r="L33" s="50">
        <v>4.5</v>
      </c>
      <c r="M33" s="50">
        <v>15.0</v>
      </c>
      <c r="N33" s="116"/>
      <c r="O33" s="116"/>
      <c r="P33" s="116"/>
      <c r="Q33" s="116"/>
      <c r="R33" s="116"/>
      <c r="S33" s="116"/>
      <c r="T33" s="50"/>
      <c r="U33" s="50">
        <v>152.0</v>
      </c>
      <c r="V33" s="50">
        <v>0.0</v>
      </c>
      <c r="W33" s="50">
        <v>0.0</v>
      </c>
      <c r="X33" s="50">
        <v>1.0</v>
      </c>
      <c r="Y33" s="50">
        <v>1007.0</v>
      </c>
      <c r="Z33" s="50">
        <v>1007.0</v>
      </c>
      <c r="AA33" s="50" t="s">
        <v>3923</v>
      </c>
      <c r="AB33" s="50">
        <v>1.0</v>
      </c>
      <c r="AC33" s="50">
        <v>1.0</v>
      </c>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c r="CE33" s="116"/>
      <c r="CF33" s="116"/>
      <c r="CG33" s="116"/>
      <c r="CH33" s="116"/>
      <c r="CI33" s="116"/>
      <c r="CJ33" s="116"/>
      <c r="CK33" s="116"/>
      <c r="CL33" s="116"/>
      <c r="CM33" s="116"/>
      <c r="CN33" s="116"/>
      <c r="CO33" s="116"/>
      <c r="CP33" s="116"/>
      <c r="CQ33" s="116"/>
      <c r="CR33" s="116"/>
      <c r="CS33" s="116"/>
      <c r="CT33" s="116"/>
      <c r="CU33" s="116"/>
      <c r="CV33" s="116"/>
      <c r="CW33" s="50">
        <v>3.0</v>
      </c>
      <c r="CX33" s="116"/>
      <c r="CY33" s="50" t="s">
        <v>572</v>
      </c>
      <c r="CZ33" s="50">
        <v>88.0</v>
      </c>
      <c r="DA33" s="50" t="s">
        <v>3840</v>
      </c>
      <c r="DB33" s="50">
        <v>88.0</v>
      </c>
      <c r="DC33" s="50" t="s">
        <v>3924</v>
      </c>
      <c r="DD33" s="50">
        <v>1.0</v>
      </c>
      <c r="DE33" s="50" t="s">
        <v>573</v>
      </c>
      <c r="DF33" s="50">
        <v>88.0</v>
      </c>
      <c r="DG33" s="50" t="s">
        <v>3925</v>
      </c>
      <c r="DH33" s="50">
        <v>88.0</v>
      </c>
      <c r="DI33" s="50" t="s">
        <v>3926</v>
      </c>
      <c r="DJ33" s="50">
        <v>1.0</v>
      </c>
      <c r="DK33" s="50" t="s">
        <v>575</v>
      </c>
      <c r="DL33" s="50">
        <v>2.0</v>
      </c>
      <c r="DM33" s="116"/>
      <c r="DN33" s="50">
        <v>4.0</v>
      </c>
      <c r="DO33" s="116"/>
      <c r="DP33" s="50">
        <v>0.0</v>
      </c>
      <c r="DQ33" s="116"/>
      <c r="DR33" s="116"/>
      <c r="DS33" s="116"/>
      <c r="DT33" s="116"/>
      <c r="DU33" s="116"/>
      <c r="DV33" s="116"/>
      <c r="DW33" s="116"/>
      <c r="DX33" s="116"/>
      <c r="DY33" s="116"/>
      <c r="DZ33" s="116"/>
      <c r="EA33" s="116"/>
      <c r="EB33" s="116"/>
      <c r="EC33" s="116"/>
      <c r="ED33" s="116"/>
      <c r="EE33" s="116"/>
      <c r="EF33" s="50" t="s">
        <v>3185</v>
      </c>
      <c r="EG33" s="50" t="s">
        <v>2472</v>
      </c>
      <c r="EH33" s="50">
        <v>1.0</v>
      </c>
      <c r="EI33" s="50" t="s">
        <v>3794</v>
      </c>
      <c r="EJ33" s="117">
        <v>4300.0</v>
      </c>
      <c r="EK33" s="50" t="s">
        <v>3927</v>
      </c>
      <c r="EL33" s="50" t="s">
        <v>3928</v>
      </c>
      <c r="EM33" s="117">
        <v>32.0</v>
      </c>
      <c r="EN33" s="117"/>
      <c r="EO33" s="117"/>
    </row>
    <row r="34">
      <c r="A34" s="50" t="s">
        <v>577</v>
      </c>
      <c r="B34" s="50" t="s">
        <v>3929</v>
      </c>
      <c r="C34" s="116"/>
      <c r="D34" s="116"/>
      <c r="E34" s="50">
        <v>3.5215509147374E14</v>
      </c>
      <c r="F34" s="50">
        <v>58.0</v>
      </c>
      <c r="G34" s="50">
        <v>1.0</v>
      </c>
      <c r="H34" s="50" t="s">
        <v>3930</v>
      </c>
      <c r="I34" s="50">
        <v>22.5521197</v>
      </c>
      <c r="J34" s="50">
        <v>88.3990847</v>
      </c>
      <c r="K34" s="50">
        <v>-36.9000015258789</v>
      </c>
      <c r="L34" s="50">
        <v>5.0</v>
      </c>
      <c r="M34" s="50">
        <v>15.0</v>
      </c>
      <c r="N34" s="116"/>
      <c r="O34" s="116"/>
      <c r="P34" s="116"/>
      <c r="Q34" s="116"/>
      <c r="R34" s="116"/>
      <c r="S34" s="116"/>
      <c r="T34" s="50"/>
      <c r="U34" s="50">
        <v>151.0</v>
      </c>
      <c r="V34" s="50">
        <v>1.0</v>
      </c>
      <c r="W34" s="50">
        <v>0.0</v>
      </c>
      <c r="X34" s="50">
        <v>0.0</v>
      </c>
      <c r="Y34" s="50">
        <v>1039.0</v>
      </c>
      <c r="Z34" s="50">
        <v>1039.0</v>
      </c>
      <c r="AA34" s="50" t="s">
        <v>3932</v>
      </c>
      <c r="AB34" s="50">
        <v>1.0</v>
      </c>
      <c r="AC34" s="50">
        <v>1.0</v>
      </c>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c r="CE34" s="116"/>
      <c r="CF34" s="116"/>
      <c r="CG34" s="116"/>
      <c r="CH34" s="116"/>
      <c r="CI34" s="116"/>
      <c r="CJ34" s="116"/>
      <c r="CK34" s="116"/>
      <c r="CL34" s="116"/>
      <c r="CM34" s="116"/>
      <c r="CN34" s="116"/>
      <c r="CO34" s="116"/>
      <c r="CP34" s="116"/>
      <c r="CQ34" s="116"/>
      <c r="CR34" s="50" t="s">
        <v>578</v>
      </c>
      <c r="CS34" s="50">
        <v>2.0</v>
      </c>
      <c r="CT34" s="116"/>
      <c r="CU34" s="50">
        <v>0.0</v>
      </c>
      <c r="CV34" s="50">
        <v>0.0</v>
      </c>
      <c r="CW34" s="116"/>
      <c r="CX34" s="116"/>
      <c r="CY34" s="116"/>
      <c r="CZ34" s="116"/>
      <c r="DA34" s="116"/>
      <c r="DB34" s="116"/>
      <c r="DC34" s="116"/>
      <c r="DD34" s="116"/>
      <c r="DE34" s="116"/>
      <c r="DF34" s="116"/>
      <c r="DG34" s="116"/>
      <c r="DH34" s="116"/>
      <c r="DI34" s="116"/>
      <c r="DJ34" s="116"/>
      <c r="DK34" s="116"/>
      <c r="DL34" s="116"/>
      <c r="DM34" s="116"/>
      <c r="DN34" s="116"/>
      <c r="DO34" s="116"/>
      <c r="DP34" s="50">
        <v>0.0</v>
      </c>
      <c r="DQ34" s="116"/>
      <c r="DR34" s="116"/>
      <c r="DS34" s="116"/>
      <c r="DT34" s="116"/>
      <c r="DU34" s="116"/>
      <c r="DV34" s="116"/>
      <c r="DW34" s="116"/>
      <c r="DX34" s="116"/>
      <c r="DY34" s="116"/>
      <c r="DZ34" s="116"/>
      <c r="EA34" s="116"/>
      <c r="EB34" s="116"/>
      <c r="EC34" s="116"/>
      <c r="ED34" s="116"/>
      <c r="EE34" s="116"/>
      <c r="EF34" s="50" t="s">
        <v>2949</v>
      </c>
      <c r="EG34" s="50" t="s">
        <v>2302</v>
      </c>
      <c r="EH34" s="50">
        <v>1.0</v>
      </c>
      <c r="EI34" s="50" t="s">
        <v>3794</v>
      </c>
      <c r="EJ34" s="117">
        <v>4302.0</v>
      </c>
      <c r="EK34" s="50" t="s">
        <v>3933</v>
      </c>
      <c r="EL34" s="50" t="s">
        <v>3934</v>
      </c>
      <c r="EM34" s="117">
        <v>33.0</v>
      </c>
      <c r="EN34" s="117"/>
      <c r="EO34" s="117"/>
    </row>
    <row r="35">
      <c r="A35" s="50" t="s">
        <v>579</v>
      </c>
      <c r="B35" s="50" t="s">
        <v>3935</v>
      </c>
      <c r="C35" s="116"/>
      <c r="D35" s="116"/>
      <c r="E35" s="50">
        <v>3.5215509147374E14</v>
      </c>
      <c r="F35" s="50">
        <v>58.0</v>
      </c>
      <c r="G35" s="50">
        <v>1.0</v>
      </c>
      <c r="H35" s="50" t="s">
        <v>3936</v>
      </c>
      <c r="I35" s="50">
        <v>22.5521039</v>
      </c>
      <c r="J35" s="50">
        <v>88.3991786</v>
      </c>
      <c r="K35" s="50">
        <v>-45.5</v>
      </c>
      <c r="L35" s="50">
        <v>4.5</v>
      </c>
      <c r="M35" s="50">
        <v>15.0</v>
      </c>
      <c r="N35" s="116"/>
      <c r="O35" s="116"/>
      <c r="P35" s="116"/>
      <c r="Q35" s="116"/>
      <c r="R35" s="116"/>
      <c r="S35" s="116"/>
      <c r="T35" s="50"/>
      <c r="U35" s="50">
        <v>152.0</v>
      </c>
      <c r="V35" s="50">
        <v>0.0</v>
      </c>
      <c r="W35" s="50">
        <v>0.0</v>
      </c>
      <c r="X35" s="50">
        <v>1.0</v>
      </c>
      <c r="Y35" s="50">
        <v>1039.0</v>
      </c>
      <c r="Z35" s="50">
        <v>1039.0</v>
      </c>
      <c r="AA35" s="50" t="s">
        <v>3937</v>
      </c>
      <c r="AB35" s="50">
        <v>1.0</v>
      </c>
      <c r="AC35" s="50">
        <v>1.0</v>
      </c>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c r="CE35" s="116"/>
      <c r="CF35" s="116"/>
      <c r="CG35" s="116"/>
      <c r="CH35" s="116"/>
      <c r="CI35" s="116"/>
      <c r="CJ35" s="116"/>
      <c r="CK35" s="116"/>
      <c r="CL35" s="116"/>
      <c r="CM35" s="116"/>
      <c r="CN35" s="116"/>
      <c r="CO35" s="116"/>
      <c r="CP35" s="116"/>
      <c r="CQ35" s="116"/>
      <c r="CR35" s="116"/>
      <c r="CS35" s="116"/>
      <c r="CT35" s="116"/>
      <c r="CU35" s="116"/>
      <c r="CV35" s="116"/>
      <c r="CW35" s="50">
        <v>3.0</v>
      </c>
      <c r="CX35" s="116"/>
      <c r="CY35" s="50" t="s">
        <v>580</v>
      </c>
      <c r="CZ35" s="50">
        <v>2.0</v>
      </c>
      <c r="DA35" s="116"/>
      <c r="DB35" s="50">
        <v>1.0</v>
      </c>
      <c r="DC35" s="116"/>
      <c r="DD35" s="50">
        <v>1.0</v>
      </c>
      <c r="DE35" s="50" t="s">
        <v>582</v>
      </c>
      <c r="DF35" s="50">
        <v>88.0</v>
      </c>
      <c r="DG35" s="50" t="s">
        <v>3840</v>
      </c>
      <c r="DH35" s="50">
        <v>2.0</v>
      </c>
      <c r="DI35" s="116"/>
      <c r="DJ35" s="50">
        <v>1.0</v>
      </c>
      <c r="DK35" s="50" t="s">
        <v>584</v>
      </c>
      <c r="DL35" s="50">
        <v>2.0</v>
      </c>
      <c r="DM35" s="116"/>
      <c r="DN35" s="50">
        <v>4.0</v>
      </c>
      <c r="DO35" s="116"/>
      <c r="DP35" s="50">
        <v>0.0</v>
      </c>
      <c r="DQ35" s="116"/>
      <c r="DR35" s="116"/>
      <c r="DS35" s="116"/>
      <c r="DT35" s="116"/>
      <c r="DU35" s="116"/>
      <c r="DV35" s="116"/>
      <c r="DW35" s="116"/>
      <c r="DX35" s="116"/>
      <c r="DY35" s="116"/>
      <c r="DZ35" s="116"/>
      <c r="EA35" s="116"/>
      <c r="EB35" s="116"/>
      <c r="EC35" s="116"/>
      <c r="ED35" s="116"/>
      <c r="EE35" s="116"/>
      <c r="EF35" s="50" t="s">
        <v>2949</v>
      </c>
      <c r="EG35" s="50" t="s">
        <v>2302</v>
      </c>
      <c r="EH35" s="50">
        <v>1.0</v>
      </c>
      <c r="EI35" s="50" t="s">
        <v>3794</v>
      </c>
      <c r="EJ35" s="117">
        <v>4303.0</v>
      </c>
      <c r="EK35" s="50" t="s">
        <v>3939</v>
      </c>
      <c r="EL35" s="50" t="s">
        <v>3940</v>
      </c>
      <c r="EM35" s="117">
        <v>34.0</v>
      </c>
      <c r="EN35" s="117"/>
      <c r="EO35" s="117"/>
    </row>
    <row r="36">
      <c r="A36" s="50" t="s">
        <v>585</v>
      </c>
      <c r="B36" s="50" t="s">
        <v>3941</v>
      </c>
      <c r="C36" s="116"/>
      <c r="D36" s="116"/>
      <c r="E36" s="50">
        <v>3.5215509147374E14</v>
      </c>
      <c r="F36" s="50">
        <v>58.0</v>
      </c>
      <c r="G36" s="50">
        <v>1.0</v>
      </c>
      <c r="H36" s="50" t="s">
        <v>3942</v>
      </c>
      <c r="I36" s="50">
        <v>22.5521368</v>
      </c>
      <c r="J36" s="50">
        <v>88.3991378</v>
      </c>
      <c r="K36" s="50">
        <v>-49.7999992370605</v>
      </c>
      <c r="L36" s="50">
        <v>5.0</v>
      </c>
      <c r="M36" s="50">
        <v>15.0</v>
      </c>
      <c r="N36" s="116"/>
      <c r="O36" s="116"/>
      <c r="P36" s="116"/>
      <c r="Q36" s="116"/>
      <c r="R36" s="116"/>
      <c r="S36" s="116"/>
      <c r="T36" s="50"/>
      <c r="U36" s="50">
        <v>152.0</v>
      </c>
      <c r="V36" s="50">
        <v>0.0</v>
      </c>
      <c r="W36" s="50">
        <v>0.0</v>
      </c>
      <c r="X36" s="50">
        <v>1.0</v>
      </c>
      <c r="Y36" s="50">
        <v>1039.0</v>
      </c>
      <c r="Z36" s="50">
        <v>1039.0</v>
      </c>
      <c r="AA36" s="50" t="s">
        <v>3944</v>
      </c>
      <c r="AB36" s="50">
        <v>1.0</v>
      </c>
      <c r="AC36" s="50">
        <v>1.0</v>
      </c>
      <c r="AD36" s="116"/>
      <c r="AE36" s="116"/>
      <c r="AF36" s="116"/>
      <c r="AG36" s="116"/>
      <c r="AH36" s="116"/>
      <c r="AI36" s="116"/>
      <c r="AJ36" s="116"/>
      <c r="AK36" s="116"/>
      <c r="AL36" s="116"/>
      <c r="AM36" s="116"/>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c r="CE36" s="116"/>
      <c r="CF36" s="116"/>
      <c r="CG36" s="116"/>
      <c r="CH36" s="116"/>
      <c r="CI36" s="116"/>
      <c r="CJ36" s="116"/>
      <c r="CK36" s="116"/>
      <c r="CL36" s="116"/>
      <c r="CM36" s="116"/>
      <c r="CN36" s="116"/>
      <c r="CO36" s="116"/>
      <c r="CP36" s="116"/>
      <c r="CQ36" s="116"/>
      <c r="CR36" s="116"/>
      <c r="CS36" s="116"/>
      <c r="CT36" s="116"/>
      <c r="CU36" s="116"/>
      <c r="CV36" s="116"/>
      <c r="CW36" s="50">
        <v>1.0</v>
      </c>
      <c r="CX36" s="116"/>
      <c r="CY36" s="50" t="s">
        <v>587</v>
      </c>
      <c r="CZ36" s="50">
        <v>88.0</v>
      </c>
      <c r="DA36" s="50" t="s">
        <v>3925</v>
      </c>
      <c r="DB36" s="50">
        <v>88.0</v>
      </c>
      <c r="DC36" s="50" t="s">
        <v>3926</v>
      </c>
      <c r="DD36" s="50">
        <v>0.0</v>
      </c>
      <c r="DE36" s="116"/>
      <c r="DF36" s="116"/>
      <c r="DG36" s="116"/>
      <c r="DH36" s="116"/>
      <c r="DI36" s="116"/>
      <c r="DJ36" s="116"/>
      <c r="DK36" s="116"/>
      <c r="DL36" s="116"/>
      <c r="DM36" s="116"/>
      <c r="DN36" s="116"/>
      <c r="DO36" s="116"/>
      <c r="DP36" s="50">
        <v>0.0</v>
      </c>
      <c r="DQ36" s="116"/>
      <c r="DR36" s="116"/>
      <c r="DS36" s="116"/>
      <c r="DT36" s="116"/>
      <c r="DU36" s="116"/>
      <c r="DV36" s="116"/>
      <c r="DW36" s="116"/>
      <c r="DX36" s="116"/>
      <c r="DY36" s="116"/>
      <c r="DZ36" s="116"/>
      <c r="EA36" s="116"/>
      <c r="EB36" s="116"/>
      <c r="EC36" s="116"/>
      <c r="ED36" s="116"/>
      <c r="EE36" s="116"/>
      <c r="EF36" s="50" t="s">
        <v>3258</v>
      </c>
      <c r="EG36" s="50" t="s">
        <v>2899</v>
      </c>
      <c r="EH36" s="50">
        <v>1.0</v>
      </c>
      <c r="EI36" s="50" t="s">
        <v>3794</v>
      </c>
      <c r="EJ36" s="117">
        <v>4305.0</v>
      </c>
      <c r="EK36" s="50" t="s">
        <v>3945</v>
      </c>
      <c r="EL36" s="50" t="s">
        <v>3946</v>
      </c>
      <c r="EM36" s="117">
        <v>35.0</v>
      </c>
      <c r="EN36" s="117"/>
      <c r="EO36" s="117"/>
    </row>
    <row r="37">
      <c r="A37" s="50" t="s">
        <v>620</v>
      </c>
      <c r="B37" s="50" t="s">
        <v>3947</v>
      </c>
      <c r="C37" s="116"/>
      <c r="D37" s="116"/>
      <c r="E37" s="50">
        <v>3.5215509147374E14</v>
      </c>
      <c r="F37" s="50">
        <v>58.0</v>
      </c>
      <c r="G37" s="50">
        <v>1.0</v>
      </c>
      <c r="H37" s="50" t="s">
        <v>3948</v>
      </c>
      <c r="I37" s="50">
        <v>22.5517324</v>
      </c>
      <c r="J37" s="50">
        <v>88.399115</v>
      </c>
      <c r="K37" s="50">
        <v>-44.7000007629394</v>
      </c>
      <c r="L37" s="50">
        <v>5.0</v>
      </c>
      <c r="M37" s="50">
        <v>14.0</v>
      </c>
      <c r="N37" s="50">
        <v>141.0</v>
      </c>
      <c r="O37" s="50">
        <v>0.0</v>
      </c>
      <c r="P37" s="50">
        <v>0.0</v>
      </c>
      <c r="Q37" s="50">
        <v>0.0</v>
      </c>
      <c r="R37" s="50">
        <v>0.0</v>
      </c>
      <c r="S37" s="50">
        <v>1.0</v>
      </c>
      <c r="T37" s="50">
        <v>0.0</v>
      </c>
      <c r="U37" s="123"/>
      <c r="V37" s="116"/>
      <c r="W37" s="116"/>
      <c r="X37" s="116"/>
      <c r="Y37" s="50">
        <v>1079.0</v>
      </c>
      <c r="Z37" s="50">
        <v>1079.0</v>
      </c>
      <c r="AA37" s="50" t="s">
        <v>3949</v>
      </c>
      <c r="AB37" s="50">
        <v>2.0</v>
      </c>
      <c r="AC37" s="50">
        <v>0.0</v>
      </c>
      <c r="AD37" s="50">
        <v>0.0</v>
      </c>
      <c r="AE37" s="50">
        <v>1.0</v>
      </c>
      <c r="AF37" s="50" t="s">
        <v>223</v>
      </c>
      <c r="AG37" s="50">
        <v>1.0</v>
      </c>
      <c r="AH37" s="50">
        <v>1.0</v>
      </c>
      <c r="AI37" s="50">
        <v>0.0</v>
      </c>
      <c r="AJ37" s="50">
        <v>0.0</v>
      </c>
      <c r="AK37" s="50">
        <v>0.0</v>
      </c>
      <c r="AL37" s="50">
        <v>0.0</v>
      </c>
      <c r="AM37" s="123"/>
      <c r="AN37" s="50">
        <v>5.0</v>
      </c>
      <c r="AO37" s="50">
        <v>0.0</v>
      </c>
      <c r="AP37" s="50">
        <v>0.0</v>
      </c>
      <c r="AQ37" s="50">
        <v>0.0</v>
      </c>
      <c r="AR37" s="50">
        <v>0.0</v>
      </c>
      <c r="AS37" s="50">
        <v>1.0</v>
      </c>
      <c r="AT37" s="50">
        <v>0.0</v>
      </c>
      <c r="AU37" s="50">
        <v>0.0</v>
      </c>
      <c r="AV37" s="123"/>
      <c r="AW37" s="123"/>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c r="CE37" s="116"/>
      <c r="CF37" s="116"/>
      <c r="CG37" s="116"/>
      <c r="CH37" s="116"/>
      <c r="CI37" s="116"/>
      <c r="CJ37" s="116"/>
      <c r="CK37" s="116"/>
      <c r="CL37" s="116"/>
      <c r="CM37" s="116"/>
      <c r="CN37" s="116"/>
      <c r="CO37" s="116"/>
      <c r="CP37" s="116"/>
      <c r="CQ37" s="116"/>
      <c r="CR37" s="116"/>
      <c r="CS37" s="116"/>
      <c r="CT37" s="116"/>
      <c r="CU37" s="116"/>
      <c r="CV37" s="116"/>
      <c r="CW37" s="116"/>
      <c r="CX37" s="116"/>
      <c r="CY37" s="116"/>
      <c r="CZ37" s="116"/>
      <c r="DA37" s="116"/>
      <c r="DB37" s="116"/>
      <c r="DC37" s="116"/>
      <c r="DD37" s="116"/>
      <c r="DE37" s="116"/>
      <c r="DF37" s="116"/>
      <c r="DG37" s="116"/>
      <c r="DH37" s="116"/>
      <c r="DI37" s="116"/>
      <c r="DJ37" s="116"/>
      <c r="DK37" s="116"/>
      <c r="DL37" s="116"/>
      <c r="DM37" s="116"/>
      <c r="DN37" s="116"/>
      <c r="DO37" s="116"/>
      <c r="DP37" s="50">
        <v>0.0</v>
      </c>
      <c r="DQ37" s="123"/>
      <c r="DR37" s="123"/>
      <c r="DS37" s="116"/>
      <c r="DT37" s="116"/>
      <c r="DU37" s="116"/>
      <c r="DV37" s="116"/>
      <c r="DW37" s="116"/>
      <c r="DX37" s="116"/>
      <c r="DY37" s="116"/>
      <c r="DZ37" s="116"/>
      <c r="EA37" s="116"/>
      <c r="EB37" s="116"/>
      <c r="EC37" s="116"/>
      <c r="ED37" s="116"/>
      <c r="EE37" s="116"/>
      <c r="EF37" s="50" t="s">
        <v>3842</v>
      </c>
      <c r="EG37" s="50" t="s">
        <v>2899</v>
      </c>
      <c r="EH37" s="50">
        <v>1.0</v>
      </c>
      <c r="EI37" s="50" t="s">
        <v>3950</v>
      </c>
      <c r="EJ37" s="117">
        <v>4637.0</v>
      </c>
      <c r="EK37" s="50" t="s">
        <v>3951</v>
      </c>
      <c r="EL37" s="50" t="s">
        <v>3952</v>
      </c>
      <c r="EM37" s="117">
        <v>36.0</v>
      </c>
      <c r="EN37" s="117"/>
      <c r="EO37" s="124"/>
    </row>
    <row r="38">
      <c r="A38" s="50" t="s">
        <v>621</v>
      </c>
      <c r="B38" s="50" t="s">
        <v>3953</v>
      </c>
      <c r="C38" s="116"/>
      <c r="D38" s="116"/>
      <c r="E38" s="50">
        <v>3.5215509147374E14</v>
      </c>
      <c r="F38" s="50">
        <v>58.0</v>
      </c>
      <c r="G38" s="50">
        <v>1.0</v>
      </c>
      <c r="H38" s="50" t="s">
        <v>3954</v>
      </c>
      <c r="I38" s="50">
        <v>22.5516146</v>
      </c>
      <c r="J38" s="50">
        <v>88.399194</v>
      </c>
      <c r="K38" s="50">
        <v>-23.6000003814697</v>
      </c>
      <c r="L38" s="50">
        <v>5.0</v>
      </c>
      <c r="M38" s="50">
        <v>14.0</v>
      </c>
      <c r="N38" s="50">
        <v>143.0</v>
      </c>
      <c r="O38" s="50">
        <v>0.0</v>
      </c>
      <c r="P38" s="50">
        <v>0.0</v>
      </c>
      <c r="Q38" s="50">
        <v>0.0</v>
      </c>
      <c r="R38" s="50">
        <v>1.0</v>
      </c>
      <c r="S38" s="50">
        <v>0.0</v>
      </c>
      <c r="T38" s="50">
        <v>0.0</v>
      </c>
      <c r="U38" s="123"/>
      <c r="V38" s="116"/>
      <c r="W38" s="116"/>
      <c r="X38" s="116"/>
      <c r="Y38" s="50">
        <v>1079.0</v>
      </c>
      <c r="Z38" s="50">
        <v>1079.0</v>
      </c>
      <c r="AA38" s="50" t="s">
        <v>3955</v>
      </c>
      <c r="AB38" s="50">
        <v>2.0</v>
      </c>
      <c r="AC38" s="50">
        <v>0.0</v>
      </c>
      <c r="AD38" s="50">
        <v>0.0</v>
      </c>
      <c r="AE38" s="50">
        <v>1.0</v>
      </c>
      <c r="AF38" s="123"/>
      <c r="AG38" s="123"/>
      <c r="AH38" s="116"/>
      <c r="AI38" s="116"/>
      <c r="AJ38" s="116"/>
      <c r="AK38" s="116"/>
      <c r="AL38" s="116"/>
      <c r="AM38" s="116"/>
      <c r="AN38" s="116"/>
      <c r="AO38" s="116"/>
      <c r="AP38" s="116"/>
      <c r="AQ38" s="116"/>
      <c r="AR38" s="116"/>
      <c r="AS38" s="116"/>
      <c r="AT38" s="116"/>
      <c r="AU38" s="116"/>
      <c r="AV38" s="116"/>
      <c r="AW38" s="116"/>
      <c r="AX38" s="116"/>
      <c r="AY38" s="116"/>
      <c r="AZ38" s="116"/>
      <c r="BA38" s="116"/>
      <c r="BB38" s="116"/>
      <c r="BC38" s="116"/>
      <c r="BD38" s="116"/>
      <c r="BE38" s="50" t="s">
        <v>227</v>
      </c>
      <c r="BF38" s="50">
        <v>3.0</v>
      </c>
      <c r="BG38" s="50">
        <v>0.0</v>
      </c>
      <c r="BH38" s="50">
        <v>1.0</v>
      </c>
      <c r="BI38" s="50">
        <v>0.0</v>
      </c>
      <c r="BJ38" s="50">
        <v>0.0</v>
      </c>
      <c r="BK38" s="123"/>
      <c r="BL38" s="50">
        <v>5.0</v>
      </c>
      <c r="BM38" s="50">
        <v>0.0</v>
      </c>
      <c r="BN38" s="50">
        <v>0.0</v>
      </c>
      <c r="BO38" s="50">
        <v>0.0</v>
      </c>
      <c r="BP38" s="50">
        <v>0.0</v>
      </c>
      <c r="BQ38" s="50">
        <v>1.0</v>
      </c>
      <c r="BR38" s="50">
        <v>0.0</v>
      </c>
      <c r="BS38" s="50">
        <v>0.0</v>
      </c>
      <c r="BT38" s="123"/>
      <c r="BU38" s="123"/>
      <c r="BV38" s="116"/>
      <c r="BW38" s="116"/>
      <c r="BX38" s="116"/>
      <c r="BY38" s="116"/>
      <c r="BZ38" s="116"/>
      <c r="CA38" s="116"/>
      <c r="CB38" s="116"/>
      <c r="CC38" s="116"/>
      <c r="CD38" s="116"/>
      <c r="CE38" s="116"/>
      <c r="CF38" s="116"/>
      <c r="CG38" s="116"/>
      <c r="CH38" s="116"/>
      <c r="CI38" s="116"/>
      <c r="CJ38" s="116"/>
      <c r="CK38" s="116"/>
      <c r="CL38" s="116"/>
      <c r="CM38" s="116"/>
      <c r="CN38" s="116"/>
      <c r="CO38" s="116"/>
      <c r="CP38" s="116"/>
      <c r="CQ38" s="116"/>
      <c r="CR38" s="116"/>
      <c r="CS38" s="116"/>
      <c r="CT38" s="116"/>
      <c r="CU38" s="116"/>
      <c r="CV38" s="116"/>
      <c r="CW38" s="116"/>
      <c r="CX38" s="116"/>
      <c r="CY38" s="116"/>
      <c r="CZ38" s="116"/>
      <c r="DA38" s="116"/>
      <c r="DB38" s="116"/>
      <c r="DC38" s="116"/>
      <c r="DD38" s="116"/>
      <c r="DE38" s="116"/>
      <c r="DF38" s="116"/>
      <c r="DG38" s="116"/>
      <c r="DH38" s="116"/>
      <c r="DI38" s="116"/>
      <c r="DJ38" s="116"/>
      <c r="DK38" s="116"/>
      <c r="DL38" s="116"/>
      <c r="DM38" s="116"/>
      <c r="DN38" s="116"/>
      <c r="DO38" s="116"/>
      <c r="DP38" s="50">
        <v>0.0</v>
      </c>
      <c r="DQ38" s="123"/>
      <c r="DR38" s="123"/>
      <c r="DS38" s="116"/>
      <c r="DT38" s="116"/>
      <c r="DU38" s="116"/>
      <c r="DV38" s="116"/>
      <c r="DW38" s="116"/>
      <c r="DX38" s="116"/>
      <c r="DY38" s="116"/>
      <c r="DZ38" s="116"/>
      <c r="EA38" s="116"/>
      <c r="EB38" s="116"/>
      <c r="EC38" s="116"/>
      <c r="ED38" s="116"/>
      <c r="EE38" s="116"/>
      <c r="EF38" s="50" t="s">
        <v>3842</v>
      </c>
      <c r="EG38" s="50" t="s">
        <v>2899</v>
      </c>
      <c r="EH38" s="50">
        <v>1.0</v>
      </c>
      <c r="EI38" s="50" t="s">
        <v>3950</v>
      </c>
      <c r="EJ38" s="117">
        <v>4638.0</v>
      </c>
      <c r="EK38" s="50" t="s">
        <v>3956</v>
      </c>
      <c r="EL38" s="50" t="s">
        <v>3957</v>
      </c>
      <c r="EM38" s="117">
        <v>37.0</v>
      </c>
      <c r="EN38" s="117"/>
      <c r="EO38" s="124"/>
    </row>
    <row r="39">
      <c r="A39" s="50" t="s">
        <v>623</v>
      </c>
      <c r="B39" s="50" t="s">
        <v>3958</v>
      </c>
      <c r="C39" s="116"/>
      <c r="D39" s="116"/>
      <c r="E39" s="50">
        <v>3.5215509147374E14</v>
      </c>
      <c r="F39" s="50">
        <v>58.0</v>
      </c>
      <c r="G39" s="50">
        <v>1.0</v>
      </c>
      <c r="H39" s="50" t="s">
        <v>3959</v>
      </c>
      <c r="I39" s="50">
        <v>22.5516396</v>
      </c>
      <c r="J39" s="50">
        <v>88.3991781</v>
      </c>
      <c r="K39" s="50">
        <v>-50.4000015258789</v>
      </c>
      <c r="L39" s="50">
        <v>5.0</v>
      </c>
      <c r="M39" s="50">
        <v>14.0</v>
      </c>
      <c r="N39" s="50">
        <v>144.0</v>
      </c>
      <c r="O39" s="50">
        <v>1.0</v>
      </c>
      <c r="P39" s="50">
        <v>0.0</v>
      </c>
      <c r="Q39" s="50">
        <v>0.0</v>
      </c>
      <c r="R39" s="50">
        <v>0.0</v>
      </c>
      <c r="S39" s="50">
        <v>0.0</v>
      </c>
      <c r="T39" s="50">
        <v>0.0</v>
      </c>
      <c r="U39" s="123"/>
      <c r="V39" s="116"/>
      <c r="W39" s="116"/>
      <c r="X39" s="116"/>
      <c r="Y39" s="50">
        <v>1079.0</v>
      </c>
      <c r="Z39" s="50">
        <v>1079.0</v>
      </c>
      <c r="AA39" s="50" t="s">
        <v>3960</v>
      </c>
      <c r="AB39" s="50">
        <v>2.0</v>
      </c>
      <c r="AC39" s="50">
        <v>0.0</v>
      </c>
      <c r="AD39" s="50">
        <v>0.0</v>
      </c>
      <c r="AE39" s="50">
        <v>1.0</v>
      </c>
      <c r="AF39" s="123"/>
      <c r="AG39" s="123"/>
      <c r="AH39" s="116"/>
      <c r="AI39" s="116"/>
      <c r="AJ39" s="116"/>
      <c r="AK39" s="116"/>
      <c r="AL39" s="116"/>
      <c r="AM39" s="116"/>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50" t="s">
        <v>229</v>
      </c>
      <c r="BV39" s="50">
        <v>4.0</v>
      </c>
      <c r="BW39" s="123"/>
      <c r="BX39" s="50">
        <v>1.0</v>
      </c>
      <c r="BY39" s="50">
        <v>1.0</v>
      </c>
      <c r="BZ39" s="123"/>
      <c r="CA39" s="123"/>
      <c r="CB39" s="116"/>
      <c r="CC39" s="116"/>
      <c r="CD39" s="116"/>
      <c r="CE39" s="116"/>
      <c r="CF39" s="116"/>
      <c r="CG39" s="116"/>
      <c r="CH39" s="116"/>
      <c r="CI39" s="116"/>
      <c r="CJ39" s="116"/>
      <c r="CK39" s="116"/>
      <c r="CL39" s="116"/>
      <c r="CM39" s="116"/>
      <c r="CN39" s="116"/>
      <c r="CO39" s="116"/>
      <c r="CP39" s="116"/>
      <c r="CQ39" s="116"/>
      <c r="CR39" s="116"/>
      <c r="CS39" s="116"/>
      <c r="CT39" s="116"/>
      <c r="CU39" s="116"/>
      <c r="CV39" s="116"/>
      <c r="CW39" s="116"/>
      <c r="CX39" s="116"/>
      <c r="CY39" s="116"/>
      <c r="CZ39" s="116"/>
      <c r="DA39" s="116"/>
      <c r="DB39" s="116"/>
      <c r="DC39" s="116"/>
      <c r="DD39" s="116"/>
      <c r="DE39" s="116"/>
      <c r="DF39" s="116"/>
      <c r="DG39" s="116"/>
      <c r="DH39" s="116"/>
      <c r="DI39" s="116"/>
      <c r="DJ39" s="116"/>
      <c r="DK39" s="116"/>
      <c r="DL39" s="116"/>
      <c r="DM39" s="116"/>
      <c r="DN39" s="116"/>
      <c r="DO39" s="116"/>
      <c r="DP39" s="50">
        <v>0.0</v>
      </c>
      <c r="DQ39" s="123"/>
      <c r="DR39" s="123"/>
      <c r="DS39" s="116"/>
      <c r="DT39" s="116"/>
      <c r="DU39" s="116"/>
      <c r="DV39" s="116"/>
      <c r="DW39" s="116"/>
      <c r="DX39" s="116"/>
      <c r="DY39" s="116"/>
      <c r="DZ39" s="116"/>
      <c r="EA39" s="116"/>
      <c r="EB39" s="116"/>
      <c r="EC39" s="116"/>
      <c r="ED39" s="116"/>
      <c r="EE39" s="116"/>
      <c r="EF39" s="50" t="s">
        <v>2890</v>
      </c>
      <c r="EG39" s="50" t="s">
        <v>2899</v>
      </c>
      <c r="EH39" s="50">
        <v>1.0</v>
      </c>
      <c r="EI39" s="50" t="s">
        <v>3950</v>
      </c>
      <c r="EJ39" s="117">
        <v>4639.0</v>
      </c>
      <c r="EK39" s="50" t="s">
        <v>3961</v>
      </c>
      <c r="EL39" s="50" t="s">
        <v>3962</v>
      </c>
      <c r="EM39" s="117">
        <v>38.0</v>
      </c>
      <c r="EN39" s="117"/>
      <c r="EO39" s="124"/>
    </row>
    <row r="40">
      <c r="A40" s="50" t="s">
        <v>624</v>
      </c>
      <c r="B40" s="50" t="s">
        <v>3963</v>
      </c>
      <c r="C40" s="116"/>
      <c r="D40" s="116"/>
      <c r="E40" s="50">
        <v>3.5215509147374E14</v>
      </c>
      <c r="F40" s="50">
        <v>58.0</v>
      </c>
      <c r="G40" s="50">
        <v>1.0</v>
      </c>
      <c r="H40" s="50" t="s">
        <v>3964</v>
      </c>
      <c r="I40" s="50">
        <v>22.5516375</v>
      </c>
      <c r="J40" s="50">
        <v>88.3993372</v>
      </c>
      <c r="K40" s="50">
        <v>-51.599998474121</v>
      </c>
      <c r="L40" s="50">
        <v>5.0</v>
      </c>
      <c r="M40" s="50">
        <v>14.0</v>
      </c>
      <c r="N40" s="50">
        <v>142.0</v>
      </c>
      <c r="O40" s="50">
        <v>0.0</v>
      </c>
      <c r="P40" s="50">
        <v>0.0</v>
      </c>
      <c r="Q40" s="50">
        <v>1.0</v>
      </c>
      <c r="R40" s="50">
        <v>0.0</v>
      </c>
      <c r="S40" s="50">
        <v>0.0</v>
      </c>
      <c r="T40" s="50">
        <v>0.0</v>
      </c>
      <c r="U40" s="123"/>
      <c r="V40" s="116"/>
      <c r="W40" s="116"/>
      <c r="X40" s="116"/>
      <c r="Y40" s="50">
        <v>1079.0</v>
      </c>
      <c r="Z40" s="50">
        <v>1079.0</v>
      </c>
      <c r="AA40" s="50" t="s">
        <v>3965</v>
      </c>
      <c r="AB40" s="50">
        <v>2.0</v>
      </c>
      <c r="AC40" s="50">
        <v>0.0</v>
      </c>
      <c r="AD40" s="50">
        <v>0.0</v>
      </c>
      <c r="AE40" s="50">
        <v>1.0</v>
      </c>
      <c r="AF40" s="123"/>
      <c r="AG40" s="123"/>
      <c r="AH40" s="116"/>
      <c r="AI40" s="116"/>
      <c r="AJ40" s="116"/>
      <c r="AK40" s="116"/>
      <c r="AL40" s="116"/>
      <c r="AM40" s="116"/>
      <c r="AN40" s="116"/>
      <c r="AO40" s="116"/>
      <c r="AP40" s="116"/>
      <c r="AQ40" s="116"/>
      <c r="AR40" s="116"/>
      <c r="AS40" s="116"/>
      <c r="AT40" s="116"/>
      <c r="AU40" s="116"/>
      <c r="AV40" s="116"/>
      <c r="AW40" s="50" t="s">
        <v>225</v>
      </c>
      <c r="AX40" s="50">
        <v>1.0</v>
      </c>
      <c r="AY40" s="50">
        <v>1.0</v>
      </c>
      <c r="AZ40" s="50">
        <v>0.0</v>
      </c>
      <c r="BA40" s="50">
        <v>0.0</v>
      </c>
      <c r="BB40" s="50">
        <v>0.0</v>
      </c>
      <c r="BC40" s="50">
        <v>0.0</v>
      </c>
      <c r="BD40" s="123"/>
      <c r="BE40" s="123"/>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c r="CE40" s="116"/>
      <c r="CF40" s="116"/>
      <c r="CG40" s="116"/>
      <c r="CH40" s="116"/>
      <c r="CI40" s="116"/>
      <c r="CJ40" s="116"/>
      <c r="CK40" s="116"/>
      <c r="CL40" s="116"/>
      <c r="CM40" s="116"/>
      <c r="CN40" s="116"/>
      <c r="CO40" s="116"/>
      <c r="CP40" s="116"/>
      <c r="CQ40" s="116"/>
      <c r="CR40" s="116"/>
      <c r="CS40" s="116"/>
      <c r="CT40" s="116"/>
      <c r="CU40" s="116"/>
      <c r="CV40" s="116"/>
      <c r="CW40" s="116"/>
      <c r="CX40" s="116"/>
      <c r="CY40" s="116"/>
      <c r="CZ40" s="116"/>
      <c r="DA40" s="116"/>
      <c r="DB40" s="116"/>
      <c r="DC40" s="116"/>
      <c r="DD40" s="116"/>
      <c r="DE40" s="116"/>
      <c r="DF40" s="116"/>
      <c r="DG40" s="116"/>
      <c r="DH40" s="116"/>
      <c r="DI40" s="116"/>
      <c r="DJ40" s="116"/>
      <c r="DK40" s="116"/>
      <c r="DL40" s="116"/>
      <c r="DM40" s="116"/>
      <c r="DN40" s="116"/>
      <c r="DO40" s="116"/>
      <c r="DP40" s="50">
        <v>0.0</v>
      </c>
      <c r="DQ40" s="123"/>
      <c r="DR40" s="123"/>
      <c r="DS40" s="116"/>
      <c r="DT40" s="116"/>
      <c r="DU40" s="116"/>
      <c r="DV40" s="116"/>
      <c r="DW40" s="116"/>
      <c r="DX40" s="116"/>
      <c r="DY40" s="116"/>
      <c r="DZ40" s="116"/>
      <c r="EA40" s="116"/>
      <c r="EB40" s="116"/>
      <c r="EC40" s="116"/>
      <c r="ED40" s="116"/>
      <c r="EE40" s="116"/>
      <c r="EF40" s="50" t="s">
        <v>2890</v>
      </c>
      <c r="EG40" s="50" t="s">
        <v>2899</v>
      </c>
      <c r="EH40" s="50">
        <v>1.0</v>
      </c>
      <c r="EI40" s="50" t="s">
        <v>3950</v>
      </c>
      <c r="EJ40" s="117">
        <v>4640.0</v>
      </c>
      <c r="EK40" s="50" t="s">
        <v>3966</v>
      </c>
      <c r="EL40" s="50" t="s">
        <v>3967</v>
      </c>
      <c r="EM40" s="117">
        <v>39.0</v>
      </c>
      <c r="EN40" s="117"/>
      <c r="EO40" s="124"/>
    </row>
    <row r="41">
      <c r="A41" s="50" t="s">
        <v>625</v>
      </c>
      <c r="B41" s="50" t="s">
        <v>3968</v>
      </c>
      <c r="C41" s="116"/>
      <c r="D41" s="116"/>
      <c r="E41" s="50">
        <v>3.5215509147374E14</v>
      </c>
      <c r="F41" s="50">
        <v>58.0</v>
      </c>
      <c r="G41" s="50">
        <v>1.0</v>
      </c>
      <c r="H41" s="50" t="s">
        <v>3969</v>
      </c>
      <c r="I41" s="50">
        <v>22.5516479</v>
      </c>
      <c r="J41" s="50">
        <v>88.3992463</v>
      </c>
      <c r="K41" s="50">
        <v>-20.2000007629394</v>
      </c>
      <c r="L41" s="50">
        <v>5.0</v>
      </c>
      <c r="M41" s="50">
        <v>14.0</v>
      </c>
      <c r="N41" s="50">
        <v>145.0</v>
      </c>
      <c r="O41" s="50">
        <v>0.0</v>
      </c>
      <c r="P41" s="50">
        <v>1.0</v>
      </c>
      <c r="Q41" s="50">
        <v>0.0</v>
      </c>
      <c r="R41" s="50">
        <v>0.0</v>
      </c>
      <c r="S41" s="50">
        <v>0.0</v>
      </c>
      <c r="T41" s="50">
        <v>0.0</v>
      </c>
      <c r="U41" s="123"/>
      <c r="V41" s="116"/>
      <c r="W41" s="116"/>
      <c r="X41" s="116"/>
      <c r="Y41" s="50">
        <v>1079.0</v>
      </c>
      <c r="Z41" s="50">
        <v>1079.0</v>
      </c>
      <c r="AA41" s="50" t="s">
        <v>3970</v>
      </c>
      <c r="AB41" s="50">
        <v>2.0</v>
      </c>
      <c r="AC41" s="50">
        <v>0.0</v>
      </c>
      <c r="AD41" s="50">
        <v>0.0</v>
      </c>
      <c r="AE41" s="50">
        <v>1.0</v>
      </c>
      <c r="AF41" s="123"/>
      <c r="AG41" s="123"/>
      <c r="AH41" s="116"/>
      <c r="AI41" s="116"/>
      <c r="AJ41" s="116"/>
      <c r="AK41" s="116"/>
      <c r="AL41" s="116"/>
      <c r="AM41" s="116"/>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50" t="s">
        <v>231</v>
      </c>
      <c r="CD41" s="50">
        <v>4.0</v>
      </c>
      <c r="CE41" s="50">
        <v>0.0</v>
      </c>
      <c r="CF41" s="50">
        <v>0.0</v>
      </c>
      <c r="CG41" s="50">
        <v>0.0</v>
      </c>
      <c r="CH41" s="50">
        <v>0.0</v>
      </c>
      <c r="CI41" s="50">
        <v>0.0</v>
      </c>
      <c r="CJ41" s="50">
        <v>1.0</v>
      </c>
      <c r="CK41" s="123"/>
      <c r="CL41" s="50">
        <v>3.0</v>
      </c>
      <c r="CM41" s="50">
        <v>0.0</v>
      </c>
      <c r="CN41" s="50">
        <v>1.0</v>
      </c>
      <c r="CO41" s="50">
        <v>0.0</v>
      </c>
      <c r="CP41" s="50">
        <v>0.0</v>
      </c>
      <c r="CQ41" s="123"/>
      <c r="CR41" s="123"/>
      <c r="CS41" s="116"/>
      <c r="CT41" s="116"/>
      <c r="CU41" s="116"/>
      <c r="CV41" s="116"/>
      <c r="CW41" s="116"/>
      <c r="CX41" s="116"/>
      <c r="CY41" s="116"/>
      <c r="CZ41" s="116"/>
      <c r="DA41" s="116"/>
      <c r="DB41" s="116"/>
      <c r="DC41" s="116"/>
      <c r="DD41" s="116"/>
      <c r="DE41" s="116"/>
      <c r="DF41" s="116"/>
      <c r="DG41" s="116"/>
      <c r="DH41" s="116"/>
      <c r="DI41" s="116"/>
      <c r="DJ41" s="116"/>
      <c r="DK41" s="116"/>
      <c r="DL41" s="116"/>
      <c r="DM41" s="116"/>
      <c r="DN41" s="116"/>
      <c r="DO41" s="116"/>
      <c r="DP41" s="50">
        <v>0.0</v>
      </c>
      <c r="DQ41" s="123"/>
      <c r="DR41" s="123"/>
      <c r="DS41" s="116"/>
      <c r="DT41" s="116"/>
      <c r="DU41" s="116"/>
      <c r="DV41" s="116"/>
      <c r="DW41" s="116"/>
      <c r="DX41" s="116"/>
      <c r="DY41" s="116"/>
      <c r="DZ41" s="116"/>
      <c r="EA41" s="116"/>
      <c r="EB41" s="116"/>
      <c r="EC41" s="116"/>
      <c r="ED41" s="116"/>
      <c r="EE41" s="116"/>
      <c r="EF41" s="50" t="s">
        <v>2890</v>
      </c>
      <c r="EG41" s="50" t="s">
        <v>2899</v>
      </c>
      <c r="EH41" s="50">
        <v>1.0</v>
      </c>
      <c r="EI41" s="50" t="s">
        <v>3950</v>
      </c>
      <c r="EJ41" s="117">
        <v>4641.0</v>
      </c>
      <c r="EK41" s="50" t="s">
        <v>3971</v>
      </c>
      <c r="EL41" s="50" t="s">
        <v>3972</v>
      </c>
      <c r="EM41" s="117">
        <v>40.0</v>
      </c>
      <c r="EN41" s="117"/>
      <c r="EO41" s="124"/>
    </row>
    <row r="42">
      <c r="A42" s="50" t="s">
        <v>602</v>
      </c>
      <c r="B42" s="50" t="s">
        <v>3973</v>
      </c>
      <c r="C42" s="116"/>
      <c r="D42" s="116"/>
      <c r="E42" s="50">
        <v>3.5215509147374E14</v>
      </c>
      <c r="F42" s="50">
        <v>58.0</v>
      </c>
      <c r="G42" s="50">
        <v>1.0</v>
      </c>
      <c r="H42" s="50" t="s">
        <v>3974</v>
      </c>
      <c r="I42" s="50">
        <v>22.5516498</v>
      </c>
      <c r="J42" s="50">
        <v>88.3992834</v>
      </c>
      <c r="K42" s="50">
        <v>-57.5</v>
      </c>
      <c r="L42" s="50">
        <v>5.0</v>
      </c>
      <c r="M42" s="50">
        <v>14.0</v>
      </c>
      <c r="N42" s="50">
        <v>149.0</v>
      </c>
      <c r="O42" s="50">
        <v>0.0</v>
      </c>
      <c r="P42" s="50">
        <v>0.0</v>
      </c>
      <c r="Q42" s="50">
        <v>0.0</v>
      </c>
      <c r="R42" s="50">
        <v>0.0</v>
      </c>
      <c r="S42" s="50">
        <v>0.0</v>
      </c>
      <c r="T42" s="50">
        <v>1.0</v>
      </c>
      <c r="U42" s="123"/>
      <c r="V42" s="116"/>
      <c r="W42" s="116"/>
      <c r="X42" s="116"/>
      <c r="Y42" s="50">
        <v>1079.0</v>
      </c>
      <c r="Z42" s="50">
        <v>1079.0</v>
      </c>
      <c r="AA42" s="50" t="s">
        <v>3975</v>
      </c>
      <c r="AB42" s="50">
        <v>2.0</v>
      </c>
      <c r="AC42" s="50">
        <v>0.0</v>
      </c>
      <c r="AD42" s="50">
        <v>0.0</v>
      </c>
      <c r="AE42" s="50">
        <v>1.0</v>
      </c>
      <c r="AF42" s="123"/>
      <c r="AG42" s="123"/>
      <c r="AH42" s="116"/>
      <c r="AI42" s="116"/>
      <c r="AJ42" s="116"/>
      <c r="AK42" s="116"/>
      <c r="AL42" s="116"/>
      <c r="AM42" s="116"/>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c r="CE42" s="116"/>
      <c r="CF42" s="116"/>
      <c r="CG42" s="116"/>
      <c r="CH42" s="116"/>
      <c r="CI42" s="116"/>
      <c r="CJ42" s="116"/>
      <c r="CK42" s="116"/>
      <c r="CL42" s="116"/>
      <c r="CM42" s="116"/>
      <c r="CN42" s="116"/>
      <c r="CO42" s="116"/>
      <c r="CP42" s="116"/>
      <c r="CQ42" s="116"/>
      <c r="CR42" s="116"/>
      <c r="CS42" s="116"/>
      <c r="CT42" s="116"/>
      <c r="CU42" s="116"/>
      <c r="CV42" s="116"/>
      <c r="CW42" s="116"/>
      <c r="CX42" s="116"/>
      <c r="CY42" s="116"/>
      <c r="CZ42" s="116"/>
      <c r="DA42" s="116"/>
      <c r="DB42" s="116"/>
      <c r="DC42" s="116"/>
      <c r="DD42" s="116"/>
      <c r="DE42" s="116"/>
      <c r="DF42" s="116"/>
      <c r="DG42" s="116"/>
      <c r="DH42" s="116"/>
      <c r="DI42" s="116"/>
      <c r="DJ42" s="116"/>
      <c r="DK42" s="116"/>
      <c r="DL42" s="116"/>
      <c r="DM42" s="116"/>
      <c r="DN42" s="116"/>
      <c r="DO42" s="116"/>
      <c r="DP42" s="50">
        <v>0.0</v>
      </c>
      <c r="DQ42" s="123"/>
      <c r="DR42" s="123"/>
      <c r="DS42" s="116"/>
      <c r="DT42" s="116"/>
      <c r="DU42" s="116"/>
      <c r="DV42" s="116"/>
      <c r="DW42" s="116"/>
      <c r="DX42" s="116"/>
      <c r="DY42" s="116"/>
      <c r="DZ42" s="116"/>
      <c r="EA42" s="116"/>
      <c r="EB42" s="116"/>
      <c r="EC42" s="116"/>
      <c r="ED42" s="116"/>
      <c r="EE42" s="116"/>
      <c r="EF42" s="50" t="s">
        <v>2890</v>
      </c>
      <c r="EG42" s="50" t="s">
        <v>2899</v>
      </c>
      <c r="EH42" s="50">
        <v>1.0</v>
      </c>
      <c r="EI42" s="50" t="s">
        <v>3950</v>
      </c>
      <c r="EJ42" s="117">
        <v>4642.0</v>
      </c>
      <c r="EK42" s="50" t="s">
        <v>3976</v>
      </c>
      <c r="EL42" s="50" t="s">
        <v>3977</v>
      </c>
      <c r="EM42" s="117">
        <v>41.0</v>
      </c>
      <c r="EN42" s="117"/>
      <c r="EO42" s="124"/>
    </row>
    <row r="43">
      <c r="A43" s="50" t="s">
        <v>605</v>
      </c>
      <c r="B43" s="50" t="s">
        <v>3978</v>
      </c>
      <c r="C43" s="116"/>
      <c r="D43" s="116"/>
      <c r="E43" s="50">
        <v>3.5215509147374E14</v>
      </c>
      <c r="F43" s="50">
        <v>58.0</v>
      </c>
      <c r="G43" s="50">
        <v>1.0</v>
      </c>
      <c r="H43" s="50" t="s">
        <v>3979</v>
      </c>
      <c r="I43" s="50">
        <v>22.55356</v>
      </c>
      <c r="J43" s="50">
        <v>88.3987232</v>
      </c>
      <c r="K43" s="50">
        <v>-38.0</v>
      </c>
      <c r="L43" s="50">
        <v>5.0</v>
      </c>
      <c r="M43" s="50">
        <v>15.0</v>
      </c>
      <c r="N43" s="116"/>
      <c r="O43" s="116"/>
      <c r="P43" s="116"/>
      <c r="Q43" s="116"/>
      <c r="R43" s="116"/>
      <c r="S43" s="116"/>
      <c r="T43" s="116"/>
      <c r="U43" s="50">
        <v>151.0</v>
      </c>
      <c r="V43" s="50">
        <v>1.0</v>
      </c>
      <c r="W43" s="50">
        <v>0.0</v>
      </c>
      <c r="X43" s="50">
        <v>0.0</v>
      </c>
      <c r="Y43" s="50">
        <v>1025.0</v>
      </c>
      <c r="Z43" s="50">
        <v>1025.0</v>
      </c>
      <c r="AA43" s="50" t="s">
        <v>3980</v>
      </c>
      <c r="AB43" s="50">
        <v>1.0</v>
      </c>
      <c r="AC43" s="50">
        <v>0.0</v>
      </c>
      <c r="AD43" s="50">
        <v>0.0</v>
      </c>
      <c r="AE43" s="50">
        <v>1.0</v>
      </c>
      <c r="AF43" s="123"/>
      <c r="AG43" s="116"/>
      <c r="AH43" s="116"/>
      <c r="AI43" s="116"/>
      <c r="AJ43" s="116"/>
      <c r="AK43" s="116"/>
      <c r="AL43" s="116"/>
      <c r="AM43" s="116"/>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c r="CE43" s="116"/>
      <c r="CF43" s="116"/>
      <c r="CG43" s="116"/>
      <c r="CH43" s="116"/>
      <c r="CI43" s="116"/>
      <c r="CJ43" s="116"/>
      <c r="CK43" s="116"/>
      <c r="CL43" s="116"/>
      <c r="CM43" s="116"/>
      <c r="CN43" s="116"/>
      <c r="CO43" s="116"/>
      <c r="CP43" s="116"/>
      <c r="CQ43" s="116"/>
      <c r="CR43" s="50" t="s">
        <v>609</v>
      </c>
      <c r="CS43" s="50">
        <v>2.0</v>
      </c>
      <c r="CT43" s="123"/>
      <c r="CU43" s="50">
        <v>0.0</v>
      </c>
      <c r="CV43" s="50">
        <v>0.0</v>
      </c>
      <c r="CW43" s="123"/>
      <c r="CX43" s="116"/>
      <c r="CY43" s="116"/>
      <c r="CZ43" s="116"/>
      <c r="DA43" s="116"/>
      <c r="DB43" s="116"/>
      <c r="DC43" s="116"/>
      <c r="DD43" s="116"/>
      <c r="DE43" s="116"/>
      <c r="DF43" s="116"/>
      <c r="DG43" s="116"/>
      <c r="DH43" s="116"/>
      <c r="DI43" s="116"/>
      <c r="DJ43" s="116"/>
      <c r="DK43" s="116"/>
      <c r="DL43" s="116"/>
      <c r="DM43" s="116"/>
      <c r="DN43" s="116"/>
      <c r="DO43" s="116"/>
      <c r="DP43" s="50">
        <v>0.0</v>
      </c>
      <c r="DQ43" s="123"/>
      <c r="DR43" s="116"/>
      <c r="DS43" s="116"/>
      <c r="DT43" s="116"/>
      <c r="DU43" s="116"/>
      <c r="DV43" s="116"/>
      <c r="DW43" s="116"/>
      <c r="DX43" s="116"/>
      <c r="DY43" s="116"/>
      <c r="DZ43" s="116"/>
      <c r="EA43" s="116"/>
      <c r="EB43" s="116"/>
      <c r="EC43" s="116"/>
      <c r="ED43" s="116"/>
      <c r="EE43" s="116"/>
      <c r="EF43" s="50" t="s">
        <v>2949</v>
      </c>
      <c r="EG43" s="50" t="s">
        <v>2302</v>
      </c>
      <c r="EH43" s="50">
        <v>1.0</v>
      </c>
      <c r="EI43" s="50" t="s">
        <v>3950</v>
      </c>
      <c r="EJ43" s="117">
        <v>4832.0</v>
      </c>
      <c r="EK43" s="50" t="s">
        <v>3981</v>
      </c>
      <c r="EL43" s="50" t="s">
        <v>3982</v>
      </c>
      <c r="EM43" s="117">
        <v>42.0</v>
      </c>
      <c r="EN43" s="117"/>
    </row>
    <row r="44">
      <c r="A44" s="50" t="s">
        <v>608</v>
      </c>
      <c r="B44" s="50" t="s">
        <v>3983</v>
      </c>
      <c r="C44" s="116"/>
      <c r="D44" s="116"/>
      <c r="E44" s="50">
        <v>3.5215509147374E14</v>
      </c>
      <c r="F44" s="50">
        <v>58.0</v>
      </c>
      <c r="G44" s="50">
        <v>1.0</v>
      </c>
      <c r="H44" s="50" t="s">
        <v>3984</v>
      </c>
      <c r="I44" s="50">
        <v>22.5534872</v>
      </c>
      <c r="J44" s="50">
        <v>88.3987469</v>
      </c>
      <c r="K44" s="50">
        <v>-71.5999984741211</v>
      </c>
      <c r="L44" s="50">
        <v>5.0</v>
      </c>
      <c r="M44" s="50">
        <v>15.0</v>
      </c>
      <c r="N44" s="116"/>
      <c r="O44" s="116"/>
      <c r="P44" s="116"/>
      <c r="Q44" s="116"/>
      <c r="R44" s="116"/>
      <c r="S44" s="116"/>
      <c r="T44" s="116"/>
      <c r="U44" s="50">
        <v>152.0</v>
      </c>
      <c r="V44" s="50">
        <v>0.0</v>
      </c>
      <c r="W44" s="50">
        <v>0.0</v>
      </c>
      <c r="X44" s="50">
        <v>1.0</v>
      </c>
      <c r="Y44" s="50">
        <v>1025.0</v>
      </c>
      <c r="Z44" s="50">
        <v>1025.0</v>
      </c>
      <c r="AA44" s="50" t="s">
        <v>3985</v>
      </c>
      <c r="AB44" s="50">
        <v>1.0</v>
      </c>
      <c r="AC44" s="50">
        <v>0.0</v>
      </c>
      <c r="AD44" s="50">
        <v>0.0</v>
      </c>
      <c r="AE44" s="50">
        <v>1.0</v>
      </c>
      <c r="AF44" s="123"/>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c r="CE44" s="116"/>
      <c r="CF44" s="116"/>
      <c r="CG44" s="116"/>
      <c r="CH44" s="116"/>
      <c r="CI44" s="116"/>
      <c r="CJ44" s="116"/>
      <c r="CK44" s="116"/>
      <c r="CL44" s="116"/>
      <c r="CM44" s="116"/>
      <c r="CN44" s="116"/>
      <c r="CO44" s="116"/>
      <c r="CP44" s="116"/>
      <c r="CQ44" s="116"/>
      <c r="CR44" s="116"/>
      <c r="CS44" s="116"/>
      <c r="CT44" s="116"/>
      <c r="CU44" s="116"/>
      <c r="CV44" s="116"/>
      <c r="CW44" s="50">
        <v>3.0</v>
      </c>
      <c r="CX44" s="123"/>
      <c r="CY44" s="50" t="s">
        <v>606</v>
      </c>
      <c r="CZ44" s="50">
        <v>2.0</v>
      </c>
      <c r="DA44" s="123"/>
      <c r="DB44" s="50">
        <v>1.0</v>
      </c>
      <c r="DC44" s="123"/>
      <c r="DD44" s="50">
        <v>1.0</v>
      </c>
      <c r="DE44" s="50" t="s">
        <v>610</v>
      </c>
      <c r="DF44" s="50">
        <v>88.0</v>
      </c>
      <c r="DG44" s="50" t="s">
        <v>3925</v>
      </c>
      <c r="DH44" s="50">
        <v>88.0</v>
      </c>
      <c r="DI44" s="50" t="s">
        <v>3926</v>
      </c>
      <c r="DJ44" s="50">
        <v>1.0</v>
      </c>
      <c r="DK44" s="50" t="s">
        <v>612</v>
      </c>
      <c r="DL44" s="50">
        <v>88.0</v>
      </c>
      <c r="DM44" s="50" t="s">
        <v>3724</v>
      </c>
      <c r="DN44" s="50">
        <v>88.0</v>
      </c>
      <c r="DO44" s="50" t="s">
        <v>3986</v>
      </c>
      <c r="DP44" s="50">
        <v>0.0</v>
      </c>
      <c r="DQ44" s="123"/>
      <c r="DR44" s="116"/>
      <c r="DS44" s="116"/>
      <c r="DT44" s="116"/>
      <c r="DU44" s="116"/>
      <c r="DV44" s="116"/>
      <c r="DW44" s="116"/>
      <c r="DX44" s="116"/>
      <c r="DY44" s="116"/>
      <c r="DZ44" s="116"/>
      <c r="EA44" s="116"/>
      <c r="EB44" s="116"/>
      <c r="EC44" s="116"/>
      <c r="ED44" s="116"/>
      <c r="EE44" s="116"/>
      <c r="EF44" s="50" t="s">
        <v>2949</v>
      </c>
      <c r="EG44" s="50" t="s">
        <v>2302</v>
      </c>
      <c r="EH44" s="50">
        <v>1.0</v>
      </c>
      <c r="EI44" s="50" t="s">
        <v>3950</v>
      </c>
      <c r="EJ44" s="117">
        <v>4833.0</v>
      </c>
      <c r="EK44" s="50" t="s">
        <v>3987</v>
      </c>
      <c r="EL44" s="50" t="s">
        <v>3988</v>
      </c>
      <c r="EM44" s="117">
        <v>43.0</v>
      </c>
      <c r="EN44" s="117"/>
    </row>
    <row r="45">
      <c r="A45" s="50" t="s">
        <v>613</v>
      </c>
      <c r="B45" s="50" t="s">
        <v>3989</v>
      </c>
      <c r="C45" s="116"/>
      <c r="D45" s="116"/>
      <c r="E45" s="50">
        <v>3.5215509147374E14</v>
      </c>
      <c r="F45" s="50">
        <v>58.0</v>
      </c>
      <c r="G45" s="50">
        <v>1.0</v>
      </c>
      <c r="H45" s="50" t="s">
        <v>3990</v>
      </c>
      <c r="I45" s="50">
        <v>22.553548</v>
      </c>
      <c r="J45" s="50">
        <v>88.3986156</v>
      </c>
      <c r="K45" s="50">
        <v>-33.4000015258789</v>
      </c>
      <c r="L45" s="50">
        <v>5.0</v>
      </c>
      <c r="M45" s="50">
        <v>15.0</v>
      </c>
      <c r="N45" s="116"/>
      <c r="O45" s="116"/>
      <c r="P45" s="116"/>
      <c r="Q45" s="116"/>
      <c r="R45" s="116"/>
      <c r="S45" s="116"/>
      <c r="T45" s="116"/>
      <c r="U45" s="50">
        <v>159.0</v>
      </c>
      <c r="V45" s="50">
        <v>0.0</v>
      </c>
      <c r="W45" s="50">
        <v>1.0</v>
      </c>
      <c r="X45" s="50">
        <v>0.0</v>
      </c>
      <c r="Y45" s="50">
        <v>1025.0</v>
      </c>
      <c r="Z45" s="50">
        <v>1025.0</v>
      </c>
      <c r="AA45" s="50" t="s">
        <v>3991</v>
      </c>
      <c r="AB45" s="50">
        <v>1.0</v>
      </c>
      <c r="AC45" s="50">
        <v>0.0</v>
      </c>
      <c r="AD45" s="50">
        <v>0.0</v>
      </c>
      <c r="AE45" s="50">
        <v>1.0</v>
      </c>
      <c r="AF45" s="123"/>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c r="CE45" s="116"/>
      <c r="CF45" s="116"/>
      <c r="CG45" s="116"/>
      <c r="CH45" s="116"/>
      <c r="CI45" s="116"/>
      <c r="CJ45" s="116"/>
      <c r="CK45" s="116"/>
      <c r="CL45" s="116"/>
      <c r="CM45" s="116"/>
      <c r="CN45" s="116"/>
      <c r="CO45" s="116"/>
      <c r="CP45" s="116"/>
      <c r="CQ45" s="116"/>
      <c r="CR45" s="116"/>
      <c r="CS45" s="116"/>
      <c r="CT45" s="116"/>
      <c r="CU45" s="116"/>
      <c r="CV45" s="116"/>
      <c r="CW45" s="116"/>
      <c r="CX45" s="116"/>
      <c r="CY45" s="116"/>
      <c r="CZ45" s="116"/>
      <c r="DA45" s="116"/>
      <c r="DB45" s="116"/>
      <c r="DC45" s="116"/>
      <c r="DD45" s="116"/>
      <c r="DE45" s="116"/>
      <c r="DF45" s="116"/>
      <c r="DG45" s="116"/>
      <c r="DH45" s="116"/>
      <c r="DI45" s="116"/>
      <c r="DJ45" s="116"/>
      <c r="DK45" s="116"/>
      <c r="DL45" s="116"/>
      <c r="DM45" s="116"/>
      <c r="DN45" s="116"/>
      <c r="DO45" s="116"/>
      <c r="DP45" s="50">
        <v>0.0</v>
      </c>
      <c r="DQ45" s="123"/>
      <c r="DR45" s="116"/>
      <c r="DS45" s="116"/>
      <c r="DT45" s="116"/>
      <c r="DU45" s="116"/>
      <c r="DV45" s="116"/>
      <c r="DW45" s="116"/>
      <c r="DX45" s="116"/>
      <c r="DY45" s="116"/>
      <c r="DZ45" s="116"/>
      <c r="EA45" s="116"/>
      <c r="EB45" s="116"/>
      <c r="EC45" s="116"/>
      <c r="ED45" s="116"/>
      <c r="EE45" s="116"/>
      <c r="EF45" s="50" t="s">
        <v>3992</v>
      </c>
      <c r="EG45" s="50" t="s">
        <v>2302</v>
      </c>
      <c r="EH45" s="50">
        <v>1.0</v>
      </c>
      <c r="EI45" s="50" t="s">
        <v>3950</v>
      </c>
      <c r="EJ45" s="117">
        <v>4834.0</v>
      </c>
      <c r="EK45" s="50" t="s">
        <v>3993</v>
      </c>
      <c r="EL45" s="50" t="s">
        <v>3994</v>
      </c>
      <c r="EM45" s="117">
        <v>44.0</v>
      </c>
      <c r="EN45" s="117"/>
    </row>
    <row r="46">
      <c r="A46" s="112" t="s">
        <v>597</v>
      </c>
      <c r="B46" s="112" t="s">
        <v>3996</v>
      </c>
      <c r="C46" s="125"/>
      <c r="D46" s="125"/>
      <c r="E46" s="112">
        <v>3.5215509147374E14</v>
      </c>
      <c r="F46" s="112">
        <v>58.0</v>
      </c>
      <c r="G46" s="112">
        <v>1.0</v>
      </c>
      <c r="H46" s="112" t="s">
        <v>3998</v>
      </c>
      <c r="I46" s="112">
        <v>22.5522777</v>
      </c>
      <c r="J46" s="112">
        <v>88.399039</v>
      </c>
      <c r="K46" s="112">
        <v>-53.7000007629394</v>
      </c>
      <c r="L46" s="112">
        <v>5.0</v>
      </c>
      <c r="M46" s="112">
        <v>14.0</v>
      </c>
      <c r="N46" s="112">
        <v>144.0</v>
      </c>
      <c r="O46" s="112">
        <v>1.0</v>
      </c>
      <c r="P46" s="112">
        <v>0.0</v>
      </c>
      <c r="Q46" s="112">
        <v>0.0</v>
      </c>
      <c r="R46" s="112">
        <v>0.0</v>
      </c>
      <c r="S46" s="112">
        <v>0.0</v>
      </c>
      <c r="T46" s="112">
        <v>0.0</v>
      </c>
      <c r="U46" s="125"/>
      <c r="V46" s="125"/>
      <c r="W46" s="125"/>
      <c r="X46" s="125"/>
      <c r="Y46" s="112">
        <v>1064.0</v>
      </c>
      <c r="Z46" s="112">
        <v>1064.0</v>
      </c>
      <c r="AA46" s="112" t="s">
        <v>3999</v>
      </c>
      <c r="AB46" s="112">
        <v>1.0</v>
      </c>
      <c r="AC46" s="112">
        <v>0.0</v>
      </c>
      <c r="AD46" s="112">
        <v>0.0</v>
      </c>
      <c r="AE46" s="112">
        <v>1.0</v>
      </c>
      <c r="AF46" s="125"/>
      <c r="AG46" s="125"/>
      <c r="AH46" s="125"/>
      <c r="AI46" s="125"/>
      <c r="AJ46" s="125"/>
      <c r="AK46" s="125"/>
      <c r="AL46" s="125"/>
      <c r="AM46" s="125"/>
      <c r="AN46" s="125"/>
      <c r="AO46" s="125"/>
      <c r="AP46" s="125"/>
      <c r="AQ46" s="125"/>
      <c r="AR46" s="125"/>
      <c r="AS46" s="125"/>
      <c r="AT46" s="125"/>
      <c r="AU46" s="125"/>
      <c r="AV46" s="125"/>
      <c r="AW46" s="125"/>
      <c r="AX46" s="125"/>
      <c r="AY46" s="125"/>
      <c r="AZ46" s="125"/>
      <c r="BA46" s="125"/>
      <c r="BB46" s="125"/>
      <c r="BC46" s="125"/>
      <c r="BD46" s="125"/>
      <c r="BE46" s="125"/>
      <c r="BF46" s="125"/>
      <c r="BG46" s="125"/>
      <c r="BH46" s="125"/>
      <c r="BI46" s="125"/>
      <c r="BJ46" s="125"/>
      <c r="BK46" s="125"/>
      <c r="BL46" s="125"/>
      <c r="BM46" s="125"/>
      <c r="BN46" s="125"/>
      <c r="BO46" s="125"/>
      <c r="BP46" s="125"/>
      <c r="BQ46" s="125"/>
      <c r="BR46" s="125"/>
      <c r="BS46" s="125"/>
      <c r="BT46" s="125"/>
      <c r="BU46" s="112" t="s">
        <v>598</v>
      </c>
      <c r="BV46" s="112">
        <v>4.0</v>
      </c>
      <c r="BW46" s="125"/>
      <c r="BX46" s="112">
        <v>1.0</v>
      </c>
      <c r="BY46" s="112">
        <v>1.0</v>
      </c>
      <c r="BZ46" s="125"/>
      <c r="CA46" s="125"/>
      <c r="CB46" s="125"/>
      <c r="CC46" s="125"/>
      <c r="CD46" s="125"/>
      <c r="CE46" s="125"/>
      <c r="CF46" s="125"/>
      <c r="CG46" s="125"/>
      <c r="CH46" s="125"/>
      <c r="CI46" s="125"/>
      <c r="CJ46" s="125"/>
      <c r="CK46" s="125"/>
      <c r="CL46" s="125"/>
      <c r="CM46" s="125"/>
      <c r="CN46" s="125"/>
      <c r="CO46" s="125"/>
      <c r="CP46" s="125"/>
      <c r="CQ46" s="125"/>
      <c r="CR46" s="125"/>
      <c r="CS46" s="125"/>
      <c r="CT46" s="125"/>
      <c r="CU46" s="125"/>
      <c r="CV46" s="125"/>
      <c r="CW46" s="125"/>
      <c r="CX46" s="125"/>
      <c r="CY46" s="125"/>
      <c r="CZ46" s="125"/>
      <c r="DA46" s="125"/>
      <c r="DB46" s="125"/>
      <c r="DC46" s="125"/>
      <c r="DD46" s="125"/>
      <c r="DE46" s="125"/>
      <c r="DF46" s="125"/>
      <c r="DG46" s="125"/>
      <c r="DH46" s="125"/>
      <c r="DI46" s="125"/>
      <c r="DJ46" s="125"/>
      <c r="DK46" s="125"/>
      <c r="DL46" s="125"/>
      <c r="DM46" s="125"/>
      <c r="DN46" s="125"/>
      <c r="DO46" s="125"/>
      <c r="DP46" s="112">
        <v>0.0</v>
      </c>
      <c r="DQ46" s="125"/>
      <c r="DR46" s="125"/>
      <c r="DS46" s="125"/>
      <c r="DT46" s="125"/>
      <c r="DU46" s="125"/>
      <c r="DV46" s="125"/>
      <c r="DW46" s="125"/>
      <c r="DX46" s="125"/>
      <c r="DY46" s="125"/>
      <c r="DZ46" s="125"/>
      <c r="EA46" s="125"/>
      <c r="EB46" s="125"/>
      <c r="EC46" s="125"/>
      <c r="ED46" s="125"/>
      <c r="EE46" s="125"/>
      <c r="EF46" s="112" t="s">
        <v>4002</v>
      </c>
      <c r="EG46" s="112" t="s">
        <v>2286</v>
      </c>
      <c r="EH46" s="112">
        <v>1.0</v>
      </c>
      <c r="EI46" s="112" t="s">
        <v>3950</v>
      </c>
      <c r="EJ46" s="124">
        <v>4926.0</v>
      </c>
      <c r="EK46" s="112" t="s">
        <v>4003</v>
      </c>
      <c r="EL46" s="112" t="s">
        <v>4004</v>
      </c>
      <c r="EM46" s="124">
        <v>45.0</v>
      </c>
      <c r="EN46" s="105"/>
      <c r="EO46" s="105"/>
    </row>
    <row r="47">
      <c r="A47" s="112" t="s">
        <v>600</v>
      </c>
      <c r="B47" s="112" t="s">
        <v>4005</v>
      </c>
      <c r="C47" s="125"/>
      <c r="D47" s="125"/>
      <c r="E47" s="112">
        <v>3.5215509147374E14</v>
      </c>
      <c r="F47" s="112">
        <v>58.0</v>
      </c>
      <c r="G47" s="112">
        <v>1.0</v>
      </c>
      <c r="H47" s="112" t="s">
        <v>4006</v>
      </c>
      <c r="I47" s="112">
        <v>22.5523613</v>
      </c>
      <c r="J47" s="112">
        <v>88.3991034</v>
      </c>
      <c r="K47" s="112">
        <v>-50.7999992370605</v>
      </c>
      <c r="L47" s="112">
        <v>5.0</v>
      </c>
      <c r="M47" s="112">
        <v>14.0</v>
      </c>
      <c r="N47" s="112">
        <v>145.0</v>
      </c>
      <c r="O47" s="112">
        <v>0.0</v>
      </c>
      <c r="P47" s="112">
        <v>1.0</v>
      </c>
      <c r="Q47" s="112">
        <v>0.0</v>
      </c>
      <c r="R47" s="112">
        <v>0.0</v>
      </c>
      <c r="S47" s="112">
        <v>0.0</v>
      </c>
      <c r="T47" s="112">
        <v>0.0</v>
      </c>
      <c r="U47" s="125"/>
      <c r="V47" s="125"/>
      <c r="W47" s="125"/>
      <c r="X47" s="125"/>
      <c r="Y47" s="112">
        <v>1064.0</v>
      </c>
      <c r="Z47" s="112">
        <v>1064.0</v>
      </c>
      <c r="AA47" s="112" t="s">
        <v>4007</v>
      </c>
      <c r="AB47" s="112">
        <v>1.0</v>
      </c>
      <c r="AC47" s="112">
        <v>0.0</v>
      </c>
      <c r="AD47" s="112">
        <v>0.0</v>
      </c>
      <c r="AE47" s="112">
        <v>1.0</v>
      </c>
      <c r="AF47" s="125"/>
      <c r="AG47" s="125"/>
      <c r="AH47" s="125"/>
      <c r="AI47" s="125"/>
      <c r="AJ47" s="125"/>
      <c r="AK47" s="125"/>
      <c r="AL47" s="125"/>
      <c r="AM47" s="125"/>
      <c r="AN47" s="125"/>
      <c r="AO47" s="125"/>
      <c r="AP47" s="125"/>
      <c r="AQ47" s="125"/>
      <c r="AR47" s="125"/>
      <c r="AS47" s="125"/>
      <c r="AT47" s="125"/>
      <c r="AU47" s="125"/>
      <c r="AV47" s="125"/>
      <c r="AW47" s="125"/>
      <c r="AX47" s="125"/>
      <c r="AY47" s="125"/>
      <c r="AZ47" s="125"/>
      <c r="BA47" s="125"/>
      <c r="BB47" s="125"/>
      <c r="BC47" s="125"/>
      <c r="BD47" s="125"/>
      <c r="BE47" s="125"/>
      <c r="BF47" s="125"/>
      <c r="BG47" s="125"/>
      <c r="BH47" s="125"/>
      <c r="BI47" s="125"/>
      <c r="BJ47" s="125"/>
      <c r="BK47" s="125"/>
      <c r="BL47" s="125"/>
      <c r="BM47" s="125"/>
      <c r="BN47" s="125"/>
      <c r="BO47" s="125"/>
      <c r="BP47" s="125"/>
      <c r="BQ47" s="125"/>
      <c r="BR47" s="125"/>
      <c r="BS47" s="125"/>
      <c r="BT47" s="125"/>
      <c r="BU47" s="125"/>
      <c r="BV47" s="125"/>
      <c r="BW47" s="125"/>
      <c r="BX47" s="125"/>
      <c r="BY47" s="125"/>
      <c r="BZ47" s="125"/>
      <c r="CA47" s="125"/>
      <c r="CB47" s="125"/>
      <c r="CC47" s="112" t="s">
        <v>601</v>
      </c>
      <c r="CD47" s="126">
        <v>43560.0</v>
      </c>
      <c r="CE47" s="112">
        <v>0.0</v>
      </c>
      <c r="CF47" s="112">
        <v>0.0</v>
      </c>
      <c r="CG47" s="112">
        <v>0.0</v>
      </c>
      <c r="CH47" s="112">
        <v>0.0</v>
      </c>
      <c r="CI47" s="112">
        <v>1.0</v>
      </c>
      <c r="CJ47" s="112">
        <v>1.0</v>
      </c>
      <c r="CK47" s="125"/>
      <c r="CL47" s="112">
        <v>3.0</v>
      </c>
      <c r="CM47" s="112">
        <v>0.0</v>
      </c>
      <c r="CN47" s="112">
        <v>1.0</v>
      </c>
      <c r="CO47" s="112">
        <v>0.0</v>
      </c>
      <c r="CP47" s="112">
        <v>0.0</v>
      </c>
      <c r="CQ47" s="125"/>
      <c r="CR47" s="125"/>
      <c r="CS47" s="125"/>
      <c r="CT47" s="125"/>
      <c r="CU47" s="125"/>
      <c r="CV47" s="125"/>
      <c r="CW47" s="125"/>
      <c r="CX47" s="125"/>
      <c r="CY47" s="125"/>
      <c r="CZ47" s="125"/>
      <c r="DA47" s="125"/>
      <c r="DB47" s="125"/>
      <c r="DC47" s="125"/>
      <c r="DD47" s="125"/>
      <c r="DE47" s="125"/>
      <c r="DF47" s="125"/>
      <c r="DG47" s="125"/>
      <c r="DH47" s="125"/>
      <c r="DI47" s="125"/>
      <c r="DJ47" s="125"/>
      <c r="DK47" s="125"/>
      <c r="DL47" s="125"/>
      <c r="DM47" s="125"/>
      <c r="DN47" s="125"/>
      <c r="DO47" s="125"/>
      <c r="DP47" s="112">
        <v>0.0</v>
      </c>
      <c r="DQ47" s="125"/>
      <c r="DR47" s="125"/>
      <c r="DS47" s="125"/>
      <c r="DT47" s="125"/>
      <c r="DU47" s="125"/>
      <c r="DV47" s="125"/>
      <c r="DW47" s="125"/>
      <c r="DX47" s="125"/>
      <c r="DY47" s="125"/>
      <c r="DZ47" s="125"/>
      <c r="EA47" s="125"/>
      <c r="EB47" s="125"/>
      <c r="EC47" s="125"/>
      <c r="ED47" s="125"/>
      <c r="EE47" s="125"/>
      <c r="EF47" s="112" t="s">
        <v>2949</v>
      </c>
      <c r="EG47" s="112" t="s">
        <v>2286</v>
      </c>
      <c r="EH47" s="112">
        <v>1.0</v>
      </c>
      <c r="EI47" s="112" t="s">
        <v>3950</v>
      </c>
      <c r="EJ47" s="124">
        <v>4927.0</v>
      </c>
      <c r="EK47" s="112" t="s">
        <v>4010</v>
      </c>
      <c r="EL47" s="112" t="s">
        <v>4011</v>
      </c>
      <c r="EM47" s="124">
        <v>46.0</v>
      </c>
      <c r="EN47" s="105"/>
      <c r="EO47" s="105"/>
    </row>
    <row r="48">
      <c r="A48" s="112" t="s">
        <v>590</v>
      </c>
      <c r="B48" s="112" t="s">
        <v>4012</v>
      </c>
      <c r="C48" s="125"/>
      <c r="D48" s="125"/>
      <c r="E48" s="112">
        <v>3.5215509147374E14</v>
      </c>
      <c r="F48" s="112">
        <v>58.0</v>
      </c>
      <c r="G48" s="112">
        <v>1.0</v>
      </c>
      <c r="H48" s="112" t="s">
        <v>4013</v>
      </c>
      <c r="I48" s="112">
        <v>22.5522651</v>
      </c>
      <c r="J48" s="112">
        <v>88.3991336</v>
      </c>
      <c r="K48" s="112">
        <v>-41.7999992370605</v>
      </c>
      <c r="L48" s="112">
        <v>5.0</v>
      </c>
      <c r="M48" s="112">
        <v>14.0</v>
      </c>
      <c r="N48" s="112">
        <v>142.0</v>
      </c>
      <c r="O48" s="112">
        <v>0.0</v>
      </c>
      <c r="P48" s="112">
        <v>0.0</v>
      </c>
      <c r="Q48" s="112">
        <v>1.0</v>
      </c>
      <c r="R48" s="112">
        <v>0.0</v>
      </c>
      <c r="S48" s="112">
        <v>0.0</v>
      </c>
      <c r="T48" s="112">
        <v>0.0</v>
      </c>
      <c r="U48" s="125"/>
      <c r="V48" s="125"/>
      <c r="W48" s="125"/>
      <c r="X48" s="125"/>
      <c r="Y48" s="112">
        <v>1064.0</v>
      </c>
      <c r="Z48" s="112">
        <v>1064.0</v>
      </c>
      <c r="AA48" s="112" t="s">
        <v>4014</v>
      </c>
      <c r="AB48" s="112">
        <v>1.0</v>
      </c>
      <c r="AC48" s="112">
        <v>0.0</v>
      </c>
      <c r="AD48" s="112">
        <v>0.0</v>
      </c>
      <c r="AE48" s="112">
        <v>1.0</v>
      </c>
      <c r="AF48" s="125"/>
      <c r="AG48" s="125"/>
      <c r="AH48" s="125"/>
      <c r="AI48" s="125"/>
      <c r="AJ48" s="125"/>
      <c r="AK48" s="125"/>
      <c r="AL48" s="125"/>
      <c r="AM48" s="125"/>
      <c r="AN48" s="125"/>
      <c r="AO48" s="125"/>
      <c r="AP48" s="125"/>
      <c r="AQ48" s="125"/>
      <c r="AR48" s="125"/>
      <c r="AS48" s="125"/>
      <c r="AT48" s="125"/>
      <c r="AU48" s="125"/>
      <c r="AV48" s="125"/>
      <c r="AW48" s="112" t="s">
        <v>591</v>
      </c>
      <c r="AX48" s="112">
        <v>1.0</v>
      </c>
      <c r="AY48" s="112">
        <v>1.0</v>
      </c>
      <c r="AZ48" s="112">
        <v>0.0</v>
      </c>
      <c r="BA48" s="112">
        <v>0.0</v>
      </c>
      <c r="BB48" s="112">
        <v>0.0</v>
      </c>
      <c r="BC48" s="112">
        <v>0.0</v>
      </c>
      <c r="BD48" s="125"/>
      <c r="BE48" s="125"/>
      <c r="BF48" s="125"/>
      <c r="BG48" s="125"/>
      <c r="BH48" s="125"/>
      <c r="BI48" s="125"/>
      <c r="BJ48" s="125"/>
      <c r="BK48" s="125"/>
      <c r="BL48" s="125"/>
      <c r="BM48" s="125"/>
      <c r="BN48" s="125"/>
      <c r="BO48" s="125"/>
      <c r="BP48" s="125"/>
      <c r="BQ48" s="125"/>
      <c r="BR48" s="125"/>
      <c r="BS48" s="125"/>
      <c r="BT48" s="125"/>
      <c r="BU48" s="125"/>
      <c r="BV48" s="125"/>
      <c r="BW48" s="125"/>
      <c r="BX48" s="125"/>
      <c r="BY48" s="125"/>
      <c r="BZ48" s="125"/>
      <c r="CA48" s="125"/>
      <c r="CB48" s="125"/>
      <c r="CC48" s="125"/>
      <c r="CD48" s="125"/>
      <c r="CE48" s="125"/>
      <c r="CF48" s="125"/>
      <c r="CG48" s="125"/>
      <c r="CH48" s="125"/>
      <c r="CI48" s="125"/>
      <c r="CJ48" s="125"/>
      <c r="CK48" s="125"/>
      <c r="CL48" s="125"/>
      <c r="CM48" s="125"/>
      <c r="CN48" s="125"/>
      <c r="CO48" s="125"/>
      <c r="CP48" s="125"/>
      <c r="CQ48" s="125"/>
      <c r="CR48" s="125"/>
      <c r="CS48" s="125"/>
      <c r="CT48" s="125"/>
      <c r="CU48" s="125"/>
      <c r="CV48" s="125"/>
      <c r="CW48" s="125"/>
      <c r="CX48" s="125"/>
      <c r="CY48" s="125"/>
      <c r="CZ48" s="125"/>
      <c r="DA48" s="125"/>
      <c r="DB48" s="125"/>
      <c r="DC48" s="125"/>
      <c r="DD48" s="125"/>
      <c r="DE48" s="125"/>
      <c r="DF48" s="125"/>
      <c r="DG48" s="125"/>
      <c r="DH48" s="125"/>
      <c r="DI48" s="125"/>
      <c r="DJ48" s="125"/>
      <c r="DK48" s="125"/>
      <c r="DL48" s="125"/>
      <c r="DM48" s="125"/>
      <c r="DN48" s="125"/>
      <c r="DO48" s="125"/>
      <c r="DP48" s="112">
        <v>0.0</v>
      </c>
      <c r="DQ48" s="125"/>
      <c r="DR48" s="125"/>
      <c r="DS48" s="125"/>
      <c r="DT48" s="125"/>
      <c r="DU48" s="125"/>
      <c r="DV48" s="125"/>
      <c r="DW48" s="125"/>
      <c r="DX48" s="125"/>
      <c r="DY48" s="125"/>
      <c r="DZ48" s="125"/>
      <c r="EA48" s="125"/>
      <c r="EB48" s="125"/>
      <c r="EC48" s="125"/>
      <c r="ED48" s="125"/>
      <c r="EE48" s="125"/>
      <c r="EF48" s="112" t="s">
        <v>3149</v>
      </c>
      <c r="EG48" s="112" t="s">
        <v>2327</v>
      </c>
      <c r="EH48" s="112">
        <v>1.0</v>
      </c>
      <c r="EI48" s="112" t="s">
        <v>3950</v>
      </c>
      <c r="EJ48" s="124">
        <v>4928.0</v>
      </c>
      <c r="EK48" s="112" t="s">
        <v>4017</v>
      </c>
      <c r="EL48" s="112" t="s">
        <v>4018</v>
      </c>
      <c r="EM48" s="124">
        <v>47.0</v>
      </c>
      <c r="EN48" s="105"/>
      <c r="EO48" s="105"/>
    </row>
    <row r="49">
      <c r="A49" s="112" t="s">
        <v>592</v>
      </c>
      <c r="B49" s="112" t="s">
        <v>4019</v>
      </c>
      <c r="C49" s="125"/>
      <c r="D49" s="125"/>
      <c r="E49" s="112">
        <v>3.5215509147374E14</v>
      </c>
      <c r="F49" s="112">
        <v>58.0</v>
      </c>
      <c r="G49" s="112">
        <v>1.0</v>
      </c>
      <c r="H49" s="112" t="s">
        <v>4020</v>
      </c>
      <c r="I49" s="112">
        <v>22.5522383</v>
      </c>
      <c r="J49" s="112">
        <v>88.399144</v>
      </c>
      <c r="K49" s="112">
        <v>-61.7000007629394</v>
      </c>
      <c r="L49" s="112">
        <v>5.0</v>
      </c>
      <c r="M49" s="112">
        <v>14.0</v>
      </c>
      <c r="N49" s="112">
        <v>143.0</v>
      </c>
      <c r="O49" s="112">
        <v>0.0</v>
      </c>
      <c r="P49" s="112">
        <v>0.0</v>
      </c>
      <c r="Q49" s="112">
        <v>0.0</v>
      </c>
      <c r="R49" s="112">
        <v>1.0</v>
      </c>
      <c r="S49" s="112">
        <v>0.0</v>
      </c>
      <c r="T49" s="112">
        <v>0.0</v>
      </c>
      <c r="U49" s="125"/>
      <c r="V49" s="125"/>
      <c r="W49" s="125"/>
      <c r="X49" s="125"/>
      <c r="Y49" s="112">
        <v>1064.0</v>
      </c>
      <c r="Z49" s="112">
        <v>1064.0</v>
      </c>
      <c r="AA49" s="112" t="s">
        <v>4021</v>
      </c>
      <c r="AB49" s="112">
        <v>1.0</v>
      </c>
      <c r="AC49" s="112">
        <v>0.0</v>
      </c>
      <c r="AD49" s="112">
        <v>0.0</v>
      </c>
      <c r="AE49" s="112">
        <v>1.0</v>
      </c>
      <c r="AF49" s="125"/>
      <c r="AG49" s="125"/>
      <c r="AH49" s="125"/>
      <c r="AI49" s="125"/>
      <c r="AJ49" s="125"/>
      <c r="AK49" s="125"/>
      <c r="AL49" s="125"/>
      <c r="AM49" s="125"/>
      <c r="AN49" s="125"/>
      <c r="AO49" s="125"/>
      <c r="AP49" s="125"/>
      <c r="AQ49" s="125"/>
      <c r="AR49" s="125"/>
      <c r="AS49" s="125"/>
      <c r="AT49" s="125"/>
      <c r="AU49" s="125"/>
      <c r="AV49" s="125"/>
      <c r="AW49" s="125"/>
      <c r="AX49" s="125"/>
      <c r="AY49" s="125"/>
      <c r="AZ49" s="125"/>
      <c r="BA49" s="125"/>
      <c r="BB49" s="125"/>
      <c r="BC49" s="125"/>
      <c r="BD49" s="125"/>
      <c r="BE49" s="112" t="s">
        <v>594</v>
      </c>
      <c r="BF49" s="112">
        <v>1.0</v>
      </c>
      <c r="BG49" s="112">
        <v>1.0</v>
      </c>
      <c r="BH49" s="112">
        <v>0.0</v>
      </c>
      <c r="BI49" s="112">
        <v>0.0</v>
      </c>
      <c r="BJ49" s="112">
        <v>0.0</v>
      </c>
      <c r="BK49" s="125"/>
      <c r="BL49" s="112">
        <v>3.0</v>
      </c>
      <c r="BM49" s="112">
        <v>0.0</v>
      </c>
      <c r="BN49" s="112">
        <v>0.0</v>
      </c>
      <c r="BO49" s="112">
        <v>1.0</v>
      </c>
      <c r="BP49" s="112">
        <v>0.0</v>
      </c>
      <c r="BQ49" s="112">
        <v>0.0</v>
      </c>
      <c r="BR49" s="112">
        <v>0.0</v>
      </c>
      <c r="BS49" s="112">
        <v>0.0</v>
      </c>
      <c r="BT49" s="125"/>
      <c r="BU49" s="125"/>
      <c r="BV49" s="125"/>
      <c r="BW49" s="125"/>
      <c r="BX49" s="125"/>
      <c r="BY49" s="125"/>
      <c r="BZ49" s="125"/>
      <c r="CA49" s="125"/>
      <c r="CB49" s="125"/>
      <c r="CC49" s="125"/>
      <c r="CD49" s="125"/>
      <c r="CE49" s="125"/>
      <c r="CF49" s="125"/>
      <c r="CG49" s="125"/>
      <c r="CH49" s="125"/>
      <c r="CI49" s="125"/>
      <c r="CJ49" s="125"/>
      <c r="CK49" s="125"/>
      <c r="CL49" s="125"/>
      <c r="CM49" s="125"/>
      <c r="CN49" s="125"/>
      <c r="CO49" s="125"/>
      <c r="CP49" s="125"/>
      <c r="CQ49" s="125"/>
      <c r="CR49" s="125"/>
      <c r="CS49" s="125"/>
      <c r="CT49" s="125"/>
      <c r="CU49" s="125"/>
      <c r="CV49" s="125"/>
      <c r="CW49" s="125"/>
      <c r="CX49" s="125"/>
      <c r="CY49" s="125"/>
      <c r="CZ49" s="125"/>
      <c r="DA49" s="125"/>
      <c r="DB49" s="125"/>
      <c r="DC49" s="125"/>
      <c r="DD49" s="125"/>
      <c r="DE49" s="125"/>
      <c r="DF49" s="125"/>
      <c r="DG49" s="125"/>
      <c r="DH49" s="125"/>
      <c r="DI49" s="125"/>
      <c r="DJ49" s="125"/>
      <c r="DK49" s="125"/>
      <c r="DL49" s="125"/>
      <c r="DM49" s="125"/>
      <c r="DN49" s="125"/>
      <c r="DO49" s="125"/>
      <c r="DP49" s="112">
        <v>0.0</v>
      </c>
      <c r="DQ49" s="125"/>
      <c r="DR49" s="125"/>
      <c r="DS49" s="125"/>
      <c r="DT49" s="125"/>
      <c r="DU49" s="125"/>
      <c r="DV49" s="125"/>
      <c r="DW49" s="125"/>
      <c r="DX49" s="125"/>
      <c r="DY49" s="125"/>
      <c r="DZ49" s="125"/>
      <c r="EA49" s="125"/>
      <c r="EB49" s="125"/>
      <c r="EC49" s="125"/>
      <c r="ED49" s="125"/>
      <c r="EE49" s="125"/>
      <c r="EF49" s="112" t="s">
        <v>3149</v>
      </c>
      <c r="EG49" s="112" t="s">
        <v>2327</v>
      </c>
      <c r="EH49" s="112">
        <v>1.0</v>
      </c>
      <c r="EI49" s="112" t="s">
        <v>3950</v>
      </c>
      <c r="EJ49" s="124">
        <v>4929.0</v>
      </c>
      <c r="EK49" s="112" t="s">
        <v>4023</v>
      </c>
      <c r="EL49" s="112" t="s">
        <v>4024</v>
      </c>
      <c r="EM49" s="124">
        <v>48.0</v>
      </c>
      <c r="EN49" s="105"/>
      <c r="EO49" s="105"/>
    </row>
    <row r="50">
      <c r="A50" s="112" t="s">
        <v>588</v>
      </c>
      <c r="B50" s="112" t="s">
        <v>4025</v>
      </c>
      <c r="C50" s="125"/>
      <c r="D50" s="125"/>
      <c r="E50" s="112">
        <v>3.5215509147374E14</v>
      </c>
      <c r="F50" s="112">
        <v>58.0</v>
      </c>
      <c r="G50" s="112">
        <v>1.0</v>
      </c>
      <c r="H50" s="112" t="s">
        <v>4026</v>
      </c>
      <c r="I50" s="112">
        <v>22.5521867</v>
      </c>
      <c r="J50" s="112">
        <v>88.3990944</v>
      </c>
      <c r="K50" s="112">
        <v>-56.7000007629394</v>
      </c>
      <c r="L50" s="112">
        <v>5.0</v>
      </c>
      <c r="M50" s="112">
        <v>14.0</v>
      </c>
      <c r="N50" s="112">
        <v>141.0</v>
      </c>
      <c r="O50" s="112">
        <v>0.0</v>
      </c>
      <c r="P50" s="112">
        <v>0.0</v>
      </c>
      <c r="Q50" s="112">
        <v>0.0</v>
      </c>
      <c r="R50" s="112">
        <v>0.0</v>
      </c>
      <c r="S50" s="112">
        <v>1.0</v>
      </c>
      <c r="T50" s="112">
        <v>0.0</v>
      </c>
      <c r="U50" s="125"/>
      <c r="V50" s="125"/>
      <c r="W50" s="125"/>
      <c r="X50" s="125"/>
      <c r="Y50" s="112">
        <v>1064.0</v>
      </c>
      <c r="Z50" s="112">
        <v>1064.0</v>
      </c>
      <c r="AA50" s="112" t="s">
        <v>4028</v>
      </c>
      <c r="AB50" s="112">
        <v>1.0</v>
      </c>
      <c r="AC50" s="112">
        <v>0.0</v>
      </c>
      <c r="AD50" s="112">
        <v>0.0</v>
      </c>
      <c r="AE50" s="112">
        <v>1.0</v>
      </c>
      <c r="AF50" s="112" t="s">
        <v>589</v>
      </c>
      <c r="AG50" s="112">
        <v>1.0</v>
      </c>
      <c r="AH50" s="112">
        <v>1.0</v>
      </c>
      <c r="AI50" s="112">
        <v>0.0</v>
      </c>
      <c r="AJ50" s="112">
        <v>0.0</v>
      </c>
      <c r="AK50" s="112">
        <v>0.0</v>
      </c>
      <c r="AL50" s="112">
        <v>0.0</v>
      </c>
      <c r="AM50" s="125"/>
      <c r="AN50" s="112">
        <v>5.0</v>
      </c>
      <c r="AO50" s="112">
        <v>0.0</v>
      </c>
      <c r="AP50" s="112">
        <v>0.0</v>
      </c>
      <c r="AQ50" s="112">
        <v>0.0</v>
      </c>
      <c r="AR50" s="112">
        <v>0.0</v>
      </c>
      <c r="AS50" s="112">
        <v>1.0</v>
      </c>
      <c r="AT50" s="112">
        <v>0.0</v>
      </c>
      <c r="AU50" s="112">
        <v>0.0</v>
      </c>
      <c r="AV50" s="125"/>
      <c r="AW50" s="125"/>
      <c r="AX50" s="125"/>
      <c r="AY50" s="125"/>
      <c r="AZ50" s="125"/>
      <c r="BA50" s="125"/>
      <c r="BB50" s="125"/>
      <c r="BC50" s="125"/>
      <c r="BD50" s="125"/>
      <c r="BE50" s="125"/>
      <c r="BF50" s="125"/>
      <c r="BG50" s="125"/>
      <c r="BH50" s="125"/>
      <c r="BI50" s="125"/>
      <c r="BJ50" s="125"/>
      <c r="BK50" s="125"/>
      <c r="BL50" s="125"/>
      <c r="BM50" s="125"/>
      <c r="BN50" s="125"/>
      <c r="BO50" s="125"/>
      <c r="BP50" s="125"/>
      <c r="BQ50" s="125"/>
      <c r="BR50" s="125"/>
      <c r="BS50" s="125"/>
      <c r="BT50" s="125"/>
      <c r="BU50" s="125"/>
      <c r="BV50" s="125"/>
      <c r="BW50" s="125"/>
      <c r="BX50" s="125"/>
      <c r="BY50" s="125"/>
      <c r="BZ50" s="125"/>
      <c r="CA50" s="125"/>
      <c r="CB50" s="125"/>
      <c r="CC50" s="125"/>
      <c r="CD50" s="125"/>
      <c r="CE50" s="125"/>
      <c r="CF50" s="125"/>
      <c r="CG50" s="125"/>
      <c r="CH50" s="125"/>
      <c r="CI50" s="125"/>
      <c r="CJ50" s="125"/>
      <c r="CK50" s="125"/>
      <c r="CL50" s="125"/>
      <c r="CM50" s="125"/>
      <c r="CN50" s="125"/>
      <c r="CO50" s="125"/>
      <c r="CP50" s="125"/>
      <c r="CQ50" s="125"/>
      <c r="CR50" s="125"/>
      <c r="CS50" s="125"/>
      <c r="CT50" s="125"/>
      <c r="CU50" s="125"/>
      <c r="CV50" s="125"/>
      <c r="CW50" s="125"/>
      <c r="CX50" s="125"/>
      <c r="CY50" s="125"/>
      <c r="CZ50" s="125"/>
      <c r="DA50" s="125"/>
      <c r="DB50" s="125"/>
      <c r="DC50" s="125"/>
      <c r="DD50" s="125"/>
      <c r="DE50" s="125"/>
      <c r="DF50" s="125"/>
      <c r="DG50" s="125"/>
      <c r="DH50" s="125"/>
      <c r="DI50" s="125"/>
      <c r="DJ50" s="125"/>
      <c r="DK50" s="125"/>
      <c r="DL50" s="125"/>
      <c r="DM50" s="125"/>
      <c r="DN50" s="125"/>
      <c r="DO50" s="125"/>
      <c r="DP50" s="112">
        <v>0.0</v>
      </c>
      <c r="DQ50" s="125"/>
      <c r="DR50" s="125"/>
      <c r="DS50" s="125"/>
      <c r="DT50" s="125"/>
      <c r="DU50" s="125"/>
      <c r="DV50" s="125"/>
      <c r="DW50" s="125"/>
      <c r="DX50" s="125"/>
      <c r="DY50" s="125"/>
      <c r="DZ50" s="125"/>
      <c r="EA50" s="125"/>
      <c r="EB50" s="125"/>
      <c r="EC50" s="125"/>
      <c r="ED50" s="125"/>
      <c r="EE50" s="125"/>
      <c r="EF50" s="112" t="s">
        <v>3149</v>
      </c>
      <c r="EG50" s="112" t="s">
        <v>2327</v>
      </c>
      <c r="EH50" s="112">
        <v>1.0</v>
      </c>
      <c r="EI50" s="112" t="s">
        <v>3950</v>
      </c>
      <c r="EJ50" s="124">
        <v>4930.0</v>
      </c>
      <c r="EK50" s="112" t="s">
        <v>4030</v>
      </c>
      <c r="EL50" s="112" t="s">
        <v>4031</v>
      </c>
      <c r="EM50" s="124">
        <v>49.0</v>
      </c>
      <c r="EN50" s="105"/>
      <c r="EO50" s="105"/>
    </row>
    <row r="51">
      <c r="A51" s="112" t="s">
        <v>616</v>
      </c>
      <c r="B51" s="112" t="s">
        <v>4032</v>
      </c>
      <c r="C51" s="125"/>
      <c r="D51" s="125"/>
      <c r="E51" s="112">
        <v>3.5215509147374E14</v>
      </c>
      <c r="F51" s="112">
        <v>58.0</v>
      </c>
      <c r="G51" s="112">
        <v>1.0</v>
      </c>
      <c r="H51" s="112" t="s">
        <v>4033</v>
      </c>
      <c r="I51" s="112">
        <v>22.5522512</v>
      </c>
      <c r="J51" s="112">
        <v>88.3990577</v>
      </c>
      <c r="K51" s="112">
        <v>-59.7999992370605</v>
      </c>
      <c r="L51" s="112">
        <v>5.0</v>
      </c>
      <c r="M51" s="112">
        <v>14.0</v>
      </c>
      <c r="N51" s="112">
        <v>149.0</v>
      </c>
      <c r="O51" s="112">
        <v>0.0</v>
      </c>
      <c r="P51" s="112">
        <v>0.0</v>
      </c>
      <c r="Q51" s="112">
        <v>0.0</v>
      </c>
      <c r="R51" s="112">
        <v>0.0</v>
      </c>
      <c r="S51" s="112">
        <v>0.0</v>
      </c>
      <c r="T51" s="112">
        <v>1.0</v>
      </c>
      <c r="U51" s="125"/>
      <c r="V51" s="125"/>
      <c r="W51" s="125"/>
      <c r="X51" s="125"/>
      <c r="Y51" s="112">
        <v>1064.0</v>
      </c>
      <c r="Z51" s="112">
        <v>1064.0</v>
      </c>
      <c r="AA51" s="112" t="s">
        <v>4034</v>
      </c>
      <c r="AB51" s="112">
        <v>1.0</v>
      </c>
      <c r="AC51" s="112">
        <v>0.0</v>
      </c>
      <c r="AD51" s="112">
        <v>0.0</v>
      </c>
      <c r="AE51" s="112">
        <v>1.0</v>
      </c>
      <c r="AF51" s="125"/>
      <c r="AG51" s="125"/>
      <c r="AH51" s="125"/>
      <c r="AI51" s="125"/>
      <c r="AJ51" s="125"/>
      <c r="AK51" s="125"/>
      <c r="AL51" s="125"/>
      <c r="AM51" s="125"/>
      <c r="AN51" s="125"/>
      <c r="AO51" s="125"/>
      <c r="AP51" s="125"/>
      <c r="AQ51" s="125"/>
      <c r="AR51" s="125"/>
      <c r="AS51" s="125"/>
      <c r="AT51" s="125"/>
      <c r="AU51" s="125"/>
      <c r="AV51" s="125"/>
      <c r="AW51" s="125"/>
      <c r="AX51" s="125"/>
      <c r="AY51" s="125"/>
      <c r="AZ51" s="125"/>
      <c r="BA51" s="125"/>
      <c r="BB51" s="125"/>
      <c r="BC51" s="125"/>
      <c r="BD51" s="125"/>
      <c r="BE51" s="125"/>
      <c r="BF51" s="125"/>
      <c r="BG51" s="125"/>
      <c r="BH51" s="125"/>
      <c r="BI51" s="125"/>
      <c r="BJ51" s="125"/>
      <c r="BK51" s="125"/>
      <c r="BL51" s="125"/>
      <c r="BM51" s="125"/>
      <c r="BN51" s="125"/>
      <c r="BO51" s="125"/>
      <c r="BP51" s="125"/>
      <c r="BQ51" s="125"/>
      <c r="BR51" s="125"/>
      <c r="BS51" s="125"/>
      <c r="BT51" s="125"/>
      <c r="BU51" s="125"/>
      <c r="BV51" s="125"/>
      <c r="BW51" s="125"/>
      <c r="BX51" s="125"/>
      <c r="BY51" s="125"/>
      <c r="BZ51" s="125"/>
      <c r="CA51" s="125"/>
      <c r="CB51" s="125"/>
      <c r="CC51" s="125"/>
      <c r="CD51" s="125"/>
      <c r="CE51" s="125"/>
      <c r="CF51" s="125"/>
      <c r="CG51" s="125"/>
      <c r="CH51" s="125"/>
      <c r="CI51" s="125"/>
      <c r="CJ51" s="125"/>
      <c r="CK51" s="125"/>
      <c r="CL51" s="125"/>
      <c r="CM51" s="125"/>
      <c r="CN51" s="125"/>
      <c r="CO51" s="125"/>
      <c r="CP51" s="125"/>
      <c r="CQ51" s="125"/>
      <c r="CR51" s="125"/>
      <c r="CS51" s="125"/>
      <c r="CT51" s="125"/>
      <c r="CU51" s="125"/>
      <c r="CV51" s="125"/>
      <c r="CW51" s="125"/>
      <c r="CX51" s="125"/>
      <c r="CY51" s="125"/>
      <c r="CZ51" s="125"/>
      <c r="DA51" s="125"/>
      <c r="DB51" s="125"/>
      <c r="DC51" s="125"/>
      <c r="DD51" s="125"/>
      <c r="DE51" s="125"/>
      <c r="DF51" s="125"/>
      <c r="DG51" s="125"/>
      <c r="DH51" s="125"/>
      <c r="DI51" s="125"/>
      <c r="DJ51" s="125"/>
      <c r="DK51" s="125"/>
      <c r="DL51" s="125"/>
      <c r="DM51" s="125"/>
      <c r="DN51" s="125"/>
      <c r="DO51" s="125"/>
      <c r="DP51" s="112">
        <v>0.0</v>
      </c>
      <c r="DQ51" s="125"/>
      <c r="DR51" s="125"/>
      <c r="DS51" s="125"/>
      <c r="DT51" s="125"/>
      <c r="DU51" s="125"/>
      <c r="DV51" s="125"/>
      <c r="DW51" s="125"/>
      <c r="DX51" s="125"/>
      <c r="DY51" s="125"/>
      <c r="DZ51" s="125"/>
      <c r="EA51" s="125"/>
      <c r="EB51" s="125"/>
      <c r="EC51" s="125"/>
      <c r="ED51" s="125"/>
      <c r="EE51" s="125"/>
      <c r="EF51" s="112" t="s">
        <v>4036</v>
      </c>
      <c r="EG51" s="112" t="s">
        <v>2327</v>
      </c>
      <c r="EH51" s="112">
        <v>1.0</v>
      </c>
      <c r="EI51" s="112" t="s">
        <v>3950</v>
      </c>
      <c r="EJ51" s="124">
        <v>4931.0</v>
      </c>
      <c r="EK51" s="112" t="s">
        <v>4037</v>
      </c>
      <c r="EL51" s="112" t="s">
        <v>4038</v>
      </c>
      <c r="EM51" s="124">
        <v>50.0</v>
      </c>
      <c r="EN51" s="105"/>
      <c r="EO51" s="105"/>
    </row>
    <row r="52">
      <c r="A52" s="50" t="s">
        <v>627</v>
      </c>
      <c r="B52" s="50" t="s">
        <v>4039</v>
      </c>
      <c r="C52" s="116"/>
      <c r="D52" s="116"/>
      <c r="E52" s="50">
        <v>3.5215509147374E14</v>
      </c>
      <c r="F52" s="50">
        <v>58.0</v>
      </c>
      <c r="G52" s="50">
        <v>1.0</v>
      </c>
      <c r="H52" s="50" t="s">
        <v>4040</v>
      </c>
      <c r="I52" s="50">
        <v>22.5521096</v>
      </c>
      <c r="J52" s="50">
        <v>88.3996874</v>
      </c>
      <c r="K52" s="50">
        <v>-52.2000007629394</v>
      </c>
      <c r="L52" s="50">
        <v>5.0</v>
      </c>
      <c r="M52" s="50">
        <v>15.0</v>
      </c>
      <c r="N52" s="116"/>
      <c r="O52" s="116"/>
      <c r="P52" s="116"/>
      <c r="Q52" s="116"/>
      <c r="R52" s="116"/>
      <c r="S52" s="116"/>
      <c r="T52" s="116"/>
      <c r="U52" s="50">
        <v>151.0</v>
      </c>
      <c r="V52" s="50">
        <v>1.0</v>
      </c>
      <c r="W52" s="50">
        <v>0.0</v>
      </c>
      <c r="X52" s="50">
        <v>0.0</v>
      </c>
      <c r="Y52" s="50">
        <v>1046.0</v>
      </c>
      <c r="Z52" s="50">
        <v>1046.0</v>
      </c>
      <c r="AA52" s="50" t="s">
        <v>4041</v>
      </c>
      <c r="AB52" s="50">
        <v>2.0</v>
      </c>
      <c r="AC52" s="50">
        <v>0.0</v>
      </c>
      <c r="AD52" s="50">
        <v>0.0</v>
      </c>
      <c r="AE52" s="50">
        <v>1.0</v>
      </c>
      <c r="AF52" s="116"/>
      <c r="AG52" s="116"/>
      <c r="AH52" s="116"/>
      <c r="AI52" s="116"/>
      <c r="AJ52" s="116"/>
      <c r="AK52" s="116"/>
      <c r="AL52" s="116"/>
      <c r="AM52" s="116"/>
      <c r="AN52" s="116"/>
      <c r="AO52" s="116"/>
      <c r="AP52" s="116"/>
      <c r="AQ52" s="116"/>
      <c r="AR52" s="116"/>
      <c r="AS52" s="116"/>
      <c r="AT52" s="116"/>
      <c r="AU52" s="116"/>
      <c r="AV52" s="116"/>
      <c r="AW52" s="116"/>
      <c r="AX52" s="116"/>
      <c r="AY52" s="116"/>
      <c r="AZ52" s="116"/>
      <c r="BA52" s="116"/>
      <c r="BB52" s="116"/>
      <c r="BC52" s="116"/>
      <c r="BD52" s="116"/>
      <c r="BE52" s="116"/>
      <c r="BF52" s="116"/>
      <c r="BG52" s="116"/>
      <c r="BH52" s="116"/>
      <c r="BI52" s="116"/>
      <c r="BJ52" s="116"/>
      <c r="BK52" s="116"/>
      <c r="BL52" s="116"/>
      <c r="BM52" s="116"/>
      <c r="BN52" s="116"/>
      <c r="BO52" s="116"/>
      <c r="BP52" s="116"/>
      <c r="BQ52" s="116"/>
      <c r="BR52" s="116"/>
      <c r="BS52" s="116"/>
      <c r="BT52" s="116"/>
      <c r="BU52" s="116"/>
      <c r="BV52" s="116"/>
      <c r="BW52" s="116"/>
      <c r="BX52" s="116"/>
      <c r="BY52" s="116"/>
      <c r="BZ52" s="116"/>
      <c r="CA52" s="116"/>
      <c r="CB52" s="116"/>
      <c r="CC52" s="116"/>
      <c r="CD52" s="116"/>
      <c r="CE52" s="116"/>
      <c r="CF52" s="116"/>
      <c r="CG52" s="116"/>
      <c r="CH52" s="116"/>
      <c r="CI52" s="116"/>
      <c r="CJ52" s="116"/>
      <c r="CK52" s="116"/>
      <c r="CL52" s="116"/>
      <c r="CM52" s="116"/>
      <c r="CN52" s="116"/>
      <c r="CO52" s="116"/>
      <c r="CP52" s="116"/>
      <c r="CQ52" s="116"/>
      <c r="CR52" s="50" t="s">
        <v>628</v>
      </c>
      <c r="CS52" s="50">
        <v>2.0</v>
      </c>
      <c r="CT52" s="116"/>
      <c r="CU52" s="50">
        <v>0.0</v>
      </c>
      <c r="CV52" s="50">
        <v>0.0</v>
      </c>
      <c r="CW52" s="116"/>
      <c r="CX52" s="116"/>
      <c r="CY52" s="116"/>
      <c r="CZ52" s="116"/>
      <c r="DA52" s="116"/>
      <c r="DB52" s="116"/>
      <c r="DC52" s="116"/>
      <c r="DD52" s="116"/>
      <c r="DE52" s="116"/>
      <c r="DF52" s="116"/>
      <c r="DG52" s="116"/>
      <c r="DH52" s="116"/>
      <c r="DI52" s="116"/>
      <c r="DJ52" s="116"/>
      <c r="DK52" s="116"/>
      <c r="DL52" s="116"/>
      <c r="DM52" s="116"/>
      <c r="DN52" s="116"/>
      <c r="DO52" s="116"/>
      <c r="DP52" s="50">
        <v>0.0</v>
      </c>
      <c r="DQ52" s="116"/>
      <c r="DR52" s="116"/>
      <c r="DS52" s="116"/>
      <c r="DT52" s="116"/>
      <c r="DU52" s="116"/>
      <c r="DV52" s="116"/>
      <c r="DW52" s="116"/>
      <c r="DX52" s="116"/>
      <c r="DY52" s="116"/>
      <c r="DZ52" s="116"/>
      <c r="EA52" s="116"/>
      <c r="EB52" s="116"/>
      <c r="EC52" s="116"/>
      <c r="ED52" s="116"/>
      <c r="EE52" s="116"/>
      <c r="EF52" s="50" t="s">
        <v>3149</v>
      </c>
      <c r="EG52" s="50" t="s">
        <v>2472</v>
      </c>
      <c r="EH52" s="50">
        <v>0.0</v>
      </c>
      <c r="EI52" s="50" t="s">
        <v>3950</v>
      </c>
      <c r="EJ52" s="117">
        <v>5136.0</v>
      </c>
      <c r="EK52" s="50" t="s">
        <v>4043</v>
      </c>
      <c r="EL52" s="50" t="s">
        <v>4044</v>
      </c>
      <c r="EM52" s="117">
        <v>51.0</v>
      </c>
    </row>
    <row r="53">
      <c r="A53" s="50" t="s">
        <v>630</v>
      </c>
      <c r="B53" s="50" t="s">
        <v>4045</v>
      </c>
      <c r="C53" s="116"/>
      <c r="D53" s="116"/>
      <c r="E53" s="50">
        <v>3.5215509147374E14</v>
      </c>
      <c r="F53" s="50">
        <v>58.0</v>
      </c>
      <c r="G53" s="50">
        <v>1.0</v>
      </c>
      <c r="H53" s="50" t="s">
        <v>4046</v>
      </c>
      <c r="I53" s="50">
        <v>22.5521003</v>
      </c>
      <c r="J53" s="50">
        <v>88.3997142</v>
      </c>
      <c r="K53" s="50">
        <v>-46.599998474121</v>
      </c>
      <c r="L53" s="50">
        <v>5.0</v>
      </c>
      <c r="M53" s="50">
        <v>15.0</v>
      </c>
      <c r="N53" s="116"/>
      <c r="O53" s="116"/>
      <c r="P53" s="116"/>
      <c r="Q53" s="116"/>
      <c r="R53" s="116"/>
      <c r="S53" s="116"/>
      <c r="T53" s="116"/>
      <c r="U53" s="50">
        <v>152.0</v>
      </c>
      <c r="V53" s="50">
        <v>0.0</v>
      </c>
      <c r="W53" s="50">
        <v>0.0</v>
      </c>
      <c r="X53" s="50">
        <v>1.0</v>
      </c>
      <c r="Y53" s="50">
        <v>1046.0</v>
      </c>
      <c r="Z53" s="50">
        <v>1046.0</v>
      </c>
      <c r="AA53" s="50" t="s">
        <v>4048</v>
      </c>
      <c r="AB53" s="50">
        <v>2.0</v>
      </c>
      <c r="AC53" s="50">
        <v>0.0</v>
      </c>
      <c r="AD53" s="50">
        <v>0.0</v>
      </c>
      <c r="AE53" s="50">
        <v>1.0</v>
      </c>
      <c r="AF53" s="116"/>
      <c r="AG53" s="116"/>
      <c r="AH53" s="116"/>
      <c r="AI53" s="116"/>
      <c r="AJ53" s="116"/>
      <c r="AK53" s="116"/>
      <c r="AL53" s="116"/>
      <c r="AM53" s="116"/>
      <c r="AN53" s="116"/>
      <c r="AO53" s="116"/>
      <c r="AP53" s="116"/>
      <c r="AQ53" s="116"/>
      <c r="AR53" s="116"/>
      <c r="AS53" s="116"/>
      <c r="AT53" s="116"/>
      <c r="AU53" s="116"/>
      <c r="AV53" s="116"/>
      <c r="AW53" s="116"/>
      <c r="AX53" s="116"/>
      <c r="AY53" s="116"/>
      <c r="AZ53" s="116"/>
      <c r="BA53" s="116"/>
      <c r="BB53" s="116"/>
      <c r="BC53" s="116"/>
      <c r="BD53" s="116"/>
      <c r="BE53" s="116"/>
      <c r="BF53" s="116"/>
      <c r="BG53" s="116"/>
      <c r="BH53" s="116"/>
      <c r="BI53" s="116"/>
      <c r="BJ53" s="116"/>
      <c r="BK53" s="116"/>
      <c r="BL53" s="116"/>
      <c r="BM53" s="116"/>
      <c r="BN53" s="116"/>
      <c r="BO53" s="116"/>
      <c r="BP53" s="116"/>
      <c r="BQ53" s="116"/>
      <c r="BR53" s="116"/>
      <c r="BS53" s="116"/>
      <c r="BT53" s="116"/>
      <c r="BU53" s="116"/>
      <c r="BV53" s="116"/>
      <c r="BW53" s="116"/>
      <c r="BX53" s="116"/>
      <c r="BY53" s="116"/>
      <c r="BZ53" s="116"/>
      <c r="CA53" s="116"/>
      <c r="CB53" s="116"/>
      <c r="CC53" s="116"/>
      <c r="CD53" s="116"/>
      <c r="CE53" s="116"/>
      <c r="CF53" s="116"/>
      <c r="CG53" s="116"/>
      <c r="CH53" s="116"/>
      <c r="CI53" s="116"/>
      <c r="CJ53" s="116"/>
      <c r="CK53" s="116"/>
      <c r="CL53" s="116"/>
      <c r="CM53" s="116"/>
      <c r="CN53" s="116"/>
      <c r="CO53" s="116"/>
      <c r="CP53" s="116"/>
      <c r="CQ53" s="116"/>
      <c r="CR53" s="116"/>
      <c r="CS53" s="116"/>
      <c r="CT53" s="116"/>
      <c r="CU53" s="116"/>
      <c r="CV53" s="116"/>
      <c r="CW53" s="50">
        <v>3.0</v>
      </c>
      <c r="CX53" s="116"/>
      <c r="CY53" s="50" t="s">
        <v>631</v>
      </c>
      <c r="CZ53" s="50">
        <v>2.0</v>
      </c>
      <c r="DA53" s="116"/>
      <c r="DB53" s="50">
        <v>1.0</v>
      </c>
      <c r="DC53" s="116"/>
      <c r="DD53" s="50">
        <v>1.0</v>
      </c>
      <c r="DE53" s="50" t="s">
        <v>633</v>
      </c>
      <c r="DF53" s="50">
        <v>88.0</v>
      </c>
      <c r="DG53" s="50" t="s">
        <v>3925</v>
      </c>
      <c r="DH53" s="50">
        <v>88.0</v>
      </c>
      <c r="DI53" s="50" t="s">
        <v>4049</v>
      </c>
      <c r="DJ53" s="50">
        <v>1.0</v>
      </c>
      <c r="DK53" s="50" t="s">
        <v>634</v>
      </c>
      <c r="DL53" s="50">
        <v>1.0</v>
      </c>
      <c r="DM53" s="116"/>
      <c r="DN53" s="50">
        <v>4.0</v>
      </c>
      <c r="DO53" s="116"/>
      <c r="DP53" s="50">
        <v>0.0</v>
      </c>
      <c r="DQ53" s="116"/>
      <c r="DR53" s="116"/>
      <c r="DS53" s="116"/>
      <c r="DT53" s="116"/>
      <c r="DU53" s="116"/>
      <c r="DV53" s="116"/>
      <c r="DW53" s="116"/>
      <c r="DX53" s="116"/>
      <c r="DY53" s="116"/>
      <c r="DZ53" s="116"/>
      <c r="EA53" s="116"/>
      <c r="EB53" s="116"/>
      <c r="EC53" s="116"/>
      <c r="ED53" s="116"/>
      <c r="EE53" s="116"/>
      <c r="EF53" s="50" t="s">
        <v>3149</v>
      </c>
      <c r="EG53" s="50" t="s">
        <v>2472</v>
      </c>
      <c r="EH53" s="50">
        <v>0.0</v>
      </c>
      <c r="EI53" s="50" t="s">
        <v>3950</v>
      </c>
      <c r="EJ53" s="117">
        <v>5137.0</v>
      </c>
      <c r="EK53" s="50" t="s">
        <v>4051</v>
      </c>
      <c r="EL53" s="50" t="s">
        <v>4052</v>
      </c>
      <c r="EM53" s="117">
        <v>52.0</v>
      </c>
    </row>
    <row r="54">
      <c r="A54" s="50" t="s">
        <v>635</v>
      </c>
      <c r="B54" s="50" t="s">
        <v>4053</v>
      </c>
      <c r="C54" s="116"/>
      <c r="D54" s="116"/>
      <c r="E54" s="50">
        <v>3.5215509147374E14</v>
      </c>
      <c r="F54" s="50">
        <v>58.0</v>
      </c>
      <c r="G54" s="50">
        <v>1.0</v>
      </c>
      <c r="H54" s="50" t="s">
        <v>4054</v>
      </c>
      <c r="I54" s="50">
        <v>22.552073</v>
      </c>
      <c r="J54" s="50">
        <v>88.399703</v>
      </c>
      <c r="K54" s="50">
        <v>-36.9000015258789</v>
      </c>
      <c r="L54" s="50">
        <v>5.0</v>
      </c>
      <c r="M54" s="50">
        <v>15.0</v>
      </c>
      <c r="N54" s="116"/>
      <c r="O54" s="116"/>
      <c r="P54" s="116"/>
      <c r="Q54" s="116"/>
      <c r="R54" s="116"/>
      <c r="S54" s="116"/>
      <c r="T54" s="116"/>
      <c r="U54" s="50">
        <v>159.0</v>
      </c>
      <c r="V54" s="50">
        <v>0.0</v>
      </c>
      <c r="W54" s="50">
        <v>1.0</v>
      </c>
      <c r="X54" s="50">
        <v>0.0</v>
      </c>
      <c r="Y54" s="50">
        <v>1046.0</v>
      </c>
      <c r="Z54" s="50">
        <v>1046.0</v>
      </c>
      <c r="AA54" s="50" t="s">
        <v>4055</v>
      </c>
      <c r="AB54" s="50">
        <v>2.0</v>
      </c>
      <c r="AC54" s="50">
        <v>0.0</v>
      </c>
      <c r="AD54" s="50">
        <v>0.0</v>
      </c>
      <c r="AE54" s="50">
        <v>1.0</v>
      </c>
      <c r="AF54" s="116"/>
      <c r="AG54" s="116"/>
      <c r="AH54" s="116"/>
      <c r="AI54" s="116"/>
      <c r="AJ54" s="116"/>
      <c r="AK54" s="116"/>
      <c r="AL54" s="116"/>
      <c r="AM54" s="116"/>
      <c r="AN54" s="116"/>
      <c r="AO54" s="116"/>
      <c r="AP54" s="116"/>
      <c r="AQ54" s="116"/>
      <c r="AR54" s="116"/>
      <c r="AS54" s="116"/>
      <c r="AT54" s="116"/>
      <c r="AU54" s="116"/>
      <c r="AV54" s="116"/>
      <c r="AW54" s="116"/>
      <c r="AX54" s="116"/>
      <c r="AY54" s="116"/>
      <c r="AZ54" s="116"/>
      <c r="BA54" s="116"/>
      <c r="BB54" s="116"/>
      <c r="BC54" s="116"/>
      <c r="BD54" s="116"/>
      <c r="BE54" s="116"/>
      <c r="BF54" s="116"/>
      <c r="BG54" s="116"/>
      <c r="BH54" s="116"/>
      <c r="BI54" s="116"/>
      <c r="BJ54" s="116"/>
      <c r="BK54" s="116"/>
      <c r="BL54" s="116"/>
      <c r="BM54" s="116"/>
      <c r="BN54" s="116"/>
      <c r="BO54" s="116"/>
      <c r="BP54" s="116"/>
      <c r="BQ54" s="116"/>
      <c r="BR54" s="116"/>
      <c r="BS54" s="116"/>
      <c r="BT54" s="116"/>
      <c r="BU54" s="116"/>
      <c r="BV54" s="116"/>
      <c r="BW54" s="116"/>
      <c r="BX54" s="116"/>
      <c r="BY54" s="116"/>
      <c r="BZ54" s="116"/>
      <c r="CA54" s="116"/>
      <c r="CB54" s="116"/>
      <c r="CC54" s="116"/>
      <c r="CD54" s="116"/>
      <c r="CE54" s="116"/>
      <c r="CF54" s="116"/>
      <c r="CG54" s="116"/>
      <c r="CH54" s="116"/>
      <c r="CI54" s="116"/>
      <c r="CJ54" s="116"/>
      <c r="CK54" s="116"/>
      <c r="CL54" s="116"/>
      <c r="CM54" s="116"/>
      <c r="CN54" s="116"/>
      <c r="CO54" s="116"/>
      <c r="CP54" s="116"/>
      <c r="CQ54" s="116"/>
      <c r="CR54" s="116"/>
      <c r="CS54" s="116"/>
      <c r="CT54" s="116"/>
      <c r="CU54" s="116"/>
      <c r="CV54" s="116"/>
      <c r="CW54" s="116"/>
      <c r="CX54" s="116"/>
      <c r="CY54" s="116"/>
      <c r="CZ54" s="116"/>
      <c r="DA54" s="116"/>
      <c r="DB54" s="116"/>
      <c r="DC54" s="116"/>
      <c r="DD54" s="116"/>
      <c r="DE54" s="116"/>
      <c r="DF54" s="116"/>
      <c r="DG54" s="116"/>
      <c r="DH54" s="116"/>
      <c r="DI54" s="116"/>
      <c r="DJ54" s="116"/>
      <c r="DK54" s="116"/>
      <c r="DL54" s="116"/>
      <c r="DM54" s="116"/>
      <c r="DN54" s="116"/>
      <c r="DO54" s="116"/>
      <c r="DP54" s="50">
        <v>0.0</v>
      </c>
      <c r="DQ54" s="116"/>
      <c r="DR54" s="116"/>
      <c r="DS54" s="116"/>
      <c r="DT54" s="116"/>
      <c r="DU54" s="116"/>
      <c r="DV54" s="116"/>
      <c r="DW54" s="116"/>
      <c r="DX54" s="116"/>
      <c r="DY54" s="116"/>
      <c r="DZ54" s="116"/>
      <c r="EA54" s="116"/>
      <c r="EB54" s="116"/>
      <c r="EC54" s="116"/>
      <c r="ED54" s="116"/>
      <c r="EE54" s="116"/>
      <c r="EF54" s="50" t="s">
        <v>4057</v>
      </c>
      <c r="EG54" s="50" t="s">
        <v>2472</v>
      </c>
      <c r="EH54" s="50">
        <v>1.0</v>
      </c>
      <c r="EI54" s="50" t="s">
        <v>3950</v>
      </c>
      <c r="EJ54" s="117">
        <v>5138.0</v>
      </c>
      <c r="EK54" s="50" t="s">
        <v>4058</v>
      </c>
      <c r="EL54" s="50" t="s">
        <v>4059</v>
      </c>
      <c r="EM54" s="117">
        <v>53.0</v>
      </c>
    </row>
    <row r="55">
      <c r="A55" s="127" t="s">
        <v>650</v>
      </c>
      <c r="B55" s="127" t="s">
        <v>4060</v>
      </c>
      <c r="C55" s="128"/>
      <c r="D55" s="128"/>
      <c r="E55" s="127">
        <v>3.5215509147374E14</v>
      </c>
      <c r="F55" s="127">
        <v>58.0</v>
      </c>
      <c r="G55" s="127">
        <v>1.0</v>
      </c>
      <c r="H55" s="127" t="s">
        <v>4062</v>
      </c>
      <c r="I55" s="127">
        <v>22.5515061</v>
      </c>
      <c r="J55" s="127">
        <v>88.3996342</v>
      </c>
      <c r="K55" s="127">
        <v>3.20000004768371</v>
      </c>
      <c r="L55" s="127">
        <v>5.0</v>
      </c>
      <c r="M55" s="127">
        <v>14.0</v>
      </c>
      <c r="N55" s="127">
        <v>144.0</v>
      </c>
      <c r="O55" s="127">
        <v>1.0</v>
      </c>
      <c r="P55" s="127">
        <v>0.0</v>
      </c>
      <c r="Q55" s="127">
        <v>0.0</v>
      </c>
      <c r="R55" s="127">
        <v>0.0</v>
      </c>
      <c r="S55" s="127">
        <v>0.0</v>
      </c>
      <c r="T55" s="127">
        <v>0.0</v>
      </c>
      <c r="U55" s="128"/>
      <c r="V55" s="128"/>
      <c r="W55" s="128"/>
      <c r="X55" s="128"/>
      <c r="Y55" s="127">
        <v>1081.0</v>
      </c>
      <c r="Z55" s="127">
        <v>1081.0</v>
      </c>
      <c r="AA55" s="127" t="s">
        <v>4063</v>
      </c>
      <c r="AB55" s="127">
        <v>1.0</v>
      </c>
      <c r="AC55" s="127">
        <v>0.0</v>
      </c>
      <c r="AD55" s="127">
        <v>1.0</v>
      </c>
      <c r="AE55" s="128"/>
      <c r="AF55" s="128"/>
      <c r="AG55" s="128"/>
      <c r="AH55" s="128"/>
      <c r="AI55" s="128"/>
      <c r="AJ55" s="128"/>
      <c r="AK55" s="128"/>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7" t="s">
        <v>671</v>
      </c>
      <c r="BV55" s="127">
        <v>4.0</v>
      </c>
      <c r="BW55" s="128"/>
      <c r="BX55" s="127">
        <v>1.0</v>
      </c>
      <c r="BY55" s="127">
        <v>1.0</v>
      </c>
      <c r="BZ55" s="128"/>
      <c r="CA55" s="128"/>
      <c r="CB55" s="128"/>
      <c r="CC55" s="128"/>
      <c r="CD55" s="128"/>
      <c r="CE55" s="128"/>
      <c r="CF55" s="128"/>
      <c r="CG55" s="128"/>
      <c r="CH55" s="128"/>
      <c r="CI55" s="128"/>
      <c r="CJ55" s="128"/>
      <c r="CK55" s="128"/>
      <c r="CL55" s="128"/>
      <c r="CM55" s="128"/>
      <c r="CN55" s="128"/>
      <c r="CO55" s="128"/>
      <c r="CP55" s="128"/>
      <c r="CQ55" s="128"/>
      <c r="CR55" s="128"/>
      <c r="CS55" s="128"/>
      <c r="CT55" s="128"/>
      <c r="CU55" s="128"/>
      <c r="CV55" s="128"/>
      <c r="CW55" s="128"/>
      <c r="CX55" s="128"/>
      <c r="CY55" s="128"/>
      <c r="CZ55" s="128"/>
      <c r="DA55" s="128"/>
      <c r="DB55" s="128"/>
      <c r="DC55" s="128"/>
      <c r="DD55" s="128"/>
      <c r="DE55" s="128"/>
      <c r="DF55" s="128"/>
      <c r="DG55" s="128"/>
      <c r="DH55" s="128"/>
      <c r="DI55" s="128"/>
      <c r="DJ55" s="128"/>
      <c r="DK55" s="128"/>
      <c r="DL55" s="128"/>
      <c r="DM55" s="128"/>
      <c r="DN55" s="128"/>
      <c r="DO55" s="128"/>
      <c r="DP55" s="127">
        <v>1.0</v>
      </c>
      <c r="DQ55" s="127">
        <v>1.0</v>
      </c>
      <c r="DR55" s="127">
        <v>0.0</v>
      </c>
      <c r="DS55" s="127">
        <v>0.0</v>
      </c>
      <c r="DT55" s="127">
        <v>1.0</v>
      </c>
      <c r="DU55" s="127">
        <v>0.0</v>
      </c>
      <c r="DV55" s="127">
        <v>0.0</v>
      </c>
      <c r="DW55" s="127">
        <v>0.0</v>
      </c>
      <c r="DX55" s="127">
        <v>0.0</v>
      </c>
      <c r="DY55" s="127">
        <v>0.0</v>
      </c>
      <c r="DZ55" s="127">
        <v>0.0</v>
      </c>
      <c r="EA55" s="127">
        <v>0.0</v>
      </c>
      <c r="EB55" s="127">
        <v>0.0</v>
      </c>
      <c r="EC55" s="128"/>
      <c r="ED55" s="127">
        <v>1.0</v>
      </c>
      <c r="EE55" s="128"/>
      <c r="EF55" s="127" t="s">
        <v>3149</v>
      </c>
      <c r="EG55" s="127" t="s">
        <v>3142</v>
      </c>
      <c r="EH55" s="127">
        <v>1.0</v>
      </c>
      <c r="EI55" s="127" t="s">
        <v>3950</v>
      </c>
      <c r="EJ55" s="129">
        <v>5240.0</v>
      </c>
      <c r="EK55" s="127" t="s">
        <v>4065</v>
      </c>
      <c r="EL55" s="127" t="s">
        <v>4066</v>
      </c>
      <c r="EM55" s="129">
        <v>54.0</v>
      </c>
      <c r="EN55" s="130"/>
      <c r="EO55" s="130"/>
    </row>
    <row r="56">
      <c r="A56" s="127" t="s">
        <v>4067</v>
      </c>
      <c r="B56" s="127" t="s">
        <v>4068</v>
      </c>
      <c r="C56" s="128"/>
      <c r="D56" s="128"/>
      <c r="E56" s="127">
        <v>3.5215509147374E14</v>
      </c>
      <c r="F56" s="127">
        <v>58.0</v>
      </c>
      <c r="G56" s="127">
        <v>1.0</v>
      </c>
      <c r="H56" s="127" t="s">
        <v>4069</v>
      </c>
      <c r="I56" s="127">
        <v>22.5516738</v>
      </c>
      <c r="J56" s="127">
        <v>88.3996363</v>
      </c>
      <c r="K56" s="127">
        <v>-37.2000007629394</v>
      </c>
      <c r="L56" s="127">
        <v>5.0</v>
      </c>
      <c r="M56" s="127">
        <v>14.0</v>
      </c>
      <c r="N56" s="127">
        <v>142.0</v>
      </c>
      <c r="O56" s="127">
        <v>0.0</v>
      </c>
      <c r="P56" s="127">
        <v>0.0</v>
      </c>
      <c r="Q56" s="127">
        <v>1.0</v>
      </c>
      <c r="R56" s="127">
        <v>0.0</v>
      </c>
      <c r="S56" s="127">
        <v>0.0</v>
      </c>
      <c r="T56" s="127">
        <v>0.0</v>
      </c>
      <c r="U56" s="128"/>
      <c r="V56" s="128"/>
      <c r="W56" s="128"/>
      <c r="X56" s="128"/>
      <c r="Y56" s="127">
        <v>1081.0</v>
      </c>
      <c r="Z56" s="127">
        <v>1081.0</v>
      </c>
      <c r="AA56" s="127" t="s">
        <v>4070</v>
      </c>
      <c r="AB56" s="127">
        <v>1.0</v>
      </c>
      <c r="AC56" s="127">
        <v>0.0</v>
      </c>
      <c r="AD56" s="127">
        <v>1.0</v>
      </c>
      <c r="AE56" s="128"/>
      <c r="AF56" s="128"/>
      <c r="AG56" s="128"/>
      <c r="AH56" s="128"/>
      <c r="AI56" s="128"/>
      <c r="AJ56" s="128"/>
      <c r="AK56" s="128"/>
      <c r="AL56" s="128"/>
      <c r="AM56" s="128"/>
      <c r="AN56" s="128"/>
      <c r="AO56" s="128"/>
      <c r="AP56" s="128"/>
      <c r="AQ56" s="128"/>
      <c r="AR56" s="128"/>
      <c r="AS56" s="128"/>
      <c r="AT56" s="128"/>
      <c r="AU56" s="128"/>
      <c r="AV56" s="128"/>
      <c r="AW56" s="127" t="s">
        <v>667</v>
      </c>
      <c r="AX56" s="127">
        <v>1.0</v>
      </c>
      <c r="AY56" s="127">
        <v>1.0</v>
      </c>
      <c r="AZ56" s="127">
        <v>0.0</v>
      </c>
      <c r="BA56" s="127">
        <v>0.0</v>
      </c>
      <c r="BB56" s="127">
        <v>0.0</v>
      </c>
      <c r="BC56" s="127">
        <v>0.0</v>
      </c>
      <c r="BD56" s="128"/>
      <c r="BE56" s="128"/>
      <c r="BF56" s="128"/>
      <c r="BG56" s="128"/>
      <c r="BH56" s="128"/>
      <c r="BI56" s="128"/>
      <c r="BJ56" s="128"/>
      <c r="BK56" s="128"/>
      <c r="BL56" s="128"/>
      <c r="BM56" s="128"/>
      <c r="BN56" s="128"/>
      <c r="BO56" s="128"/>
      <c r="BP56" s="128"/>
      <c r="BQ56" s="128"/>
      <c r="BR56" s="128"/>
      <c r="BS56" s="128"/>
      <c r="BT56" s="128"/>
      <c r="BU56" s="128"/>
      <c r="BV56" s="128"/>
      <c r="BW56" s="128"/>
      <c r="BX56" s="128"/>
      <c r="BY56" s="128"/>
      <c r="BZ56" s="128"/>
      <c r="CA56" s="128"/>
      <c r="CB56" s="128"/>
      <c r="CC56" s="128"/>
      <c r="CD56" s="128"/>
      <c r="CE56" s="128"/>
      <c r="CF56" s="128"/>
      <c r="CG56" s="128"/>
      <c r="CH56" s="128"/>
      <c r="CI56" s="128"/>
      <c r="CJ56" s="128"/>
      <c r="CK56" s="128"/>
      <c r="CL56" s="128"/>
      <c r="CM56" s="128"/>
      <c r="CN56" s="128"/>
      <c r="CO56" s="128"/>
      <c r="CP56" s="128"/>
      <c r="CQ56" s="128"/>
      <c r="CR56" s="128"/>
      <c r="CS56" s="128"/>
      <c r="CT56" s="128"/>
      <c r="CU56" s="128"/>
      <c r="CV56" s="128"/>
      <c r="CW56" s="128"/>
      <c r="CX56" s="128"/>
      <c r="CY56" s="128"/>
      <c r="CZ56" s="128"/>
      <c r="DA56" s="128"/>
      <c r="DB56" s="128"/>
      <c r="DC56" s="128"/>
      <c r="DD56" s="128"/>
      <c r="DE56" s="128"/>
      <c r="DF56" s="128"/>
      <c r="DG56" s="128"/>
      <c r="DH56" s="128"/>
      <c r="DI56" s="128"/>
      <c r="DJ56" s="128"/>
      <c r="DK56" s="128"/>
      <c r="DL56" s="128"/>
      <c r="DM56" s="128"/>
      <c r="DN56" s="128"/>
      <c r="DO56" s="128"/>
      <c r="DP56" s="127">
        <v>1.0</v>
      </c>
      <c r="DQ56" s="127">
        <v>1.0</v>
      </c>
      <c r="DR56" s="127">
        <v>0.0</v>
      </c>
      <c r="DS56" s="127">
        <v>0.0</v>
      </c>
      <c r="DT56" s="127">
        <v>1.0</v>
      </c>
      <c r="DU56" s="127">
        <v>0.0</v>
      </c>
      <c r="DV56" s="127">
        <v>0.0</v>
      </c>
      <c r="DW56" s="127">
        <v>0.0</v>
      </c>
      <c r="DX56" s="127">
        <v>0.0</v>
      </c>
      <c r="DY56" s="127">
        <v>0.0</v>
      </c>
      <c r="DZ56" s="127">
        <v>0.0</v>
      </c>
      <c r="EA56" s="127">
        <v>0.0</v>
      </c>
      <c r="EB56" s="127">
        <v>0.0</v>
      </c>
      <c r="EC56" s="128"/>
      <c r="ED56" s="127">
        <v>1.0</v>
      </c>
      <c r="EE56" s="128"/>
      <c r="EF56" s="127" t="s">
        <v>3149</v>
      </c>
      <c r="EG56" s="127" t="s">
        <v>3142</v>
      </c>
      <c r="EH56" s="127">
        <v>1.0</v>
      </c>
      <c r="EI56" s="127" t="s">
        <v>3950</v>
      </c>
      <c r="EJ56" s="129">
        <v>5241.0</v>
      </c>
      <c r="EK56" s="127" t="s">
        <v>4072</v>
      </c>
      <c r="EL56" s="127" t="s">
        <v>4073</v>
      </c>
      <c r="EM56" s="129">
        <v>55.0</v>
      </c>
      <c r="EN56" s="130"/>
      <c r="EO56" s="130"/>
    </row>
    <row r="57">
      <c r="A57" s="127" t="s">
        <v>4074</v>
      </c>
      <c r="B57" s="127" t="s">
        <v>4075</v>
      </c>
      <c r="C57" s="128"/>
      <c r="D57" s="128"/>
      <c r="E57" s="127">
        <v>3.5215509147374E14</v>
      </c>
      <c r="F57" s="127">
        <v>58.0</v>
      </c>
      <c r="G57" s="127">
        <v>1.0</v>
      </c>
      <c r="H57" s="127" t="s">
        <v>4076</v>
      </c>
      <c r="I57" s="127">
        <v>22.5517135</v>
      </c>
      <c r="J57" s="127">
        <v>88.3996701</v>
      </c>
      <c r="K57" s="127">
        <v>-48.099998474121</v>
      </c>
      <c r="L57" s="127">
        <v>5.0</v>
      </c>
      <c r="M57" s="127">
        <v>14.0</v>
      </c>
      <c r="N57" s="127">
        <v>145.0</v>
      </c>
      <c r="O57" s="127">
        <v>0.0</v>
      </c>
      <c r="P57" s="127">
        <v>1.0</v>
      </c>
      <c r="Q57" s="127">
        <v>0.0</v>
      </c>
      <c r="R57" s="127">
        <v>0.0</v>
      </c>
      <c r="S57" s="127">
        <v>0.0</v>
      </c>
      <c r="T57" s="127">
        <v>0.0</v>
      </c>
      <c r="U57" s="128"/>
      <c r="V57" s="128"/>
      <c r="W57" s="128"/>
      <c r="X57" s="128"/>
      <c r="Y57" s="127">
        <v>1081.0</v>
      </c>
      <c r="Z57" s="127">
        <v>1081.0</v>
      </c>
      <c r="AA57" s="127" t="s">
        <v>4078</v>
      </c>
      <c r="AB57" s="127">
        <v>1.0</v>
      </c>
      <c r="AC57" s="127">
        <v>0.0</v>
      </c>
      <c r="AD57" s="127">
        <v>1.0</v>
      </c>
      <c r="AE57" s="128"/>
      <c r="AF57" s="128"/>
      <c r="AG57" s="128"/>
      <c r="AH57" s="128"/>
      <c r="AI57" s="128"/>
      <c r="AJ57" s="128"/>
      <c r="AK57" s="128"/>
      <c r="AL57" s="128"/>
      <c r="AM57" s="128"/>
      <c r="AN57" s="128"/>
      <c r="AO57" s="128"/>
      <c r="AP57" s="128"/>
      <c r="AQ57" s="128"/>
      <c r="AR57" s="128"/>
      <c r="AS57" s="128"/>
      <c r="AT57" s="128"/>
      <c r="AU57" s="128"/>
      <c r="AV57" s="128"/>
      <c r="AW57" s="128"/>
      <c r="AX57" s="128"/>
      <c r="AY57" s="128"/>
      <c r="AZ57" s="128"/>
      <c r="BA57" s="128"/>
      <c r="BB57" s="128"/>
      <c r="BC57" s="128"/>
      <c r="BD57" s="128"/>
      <c r="BE57" s="128"/>
      <c r="BF57" s="128"/>
      <c r="BG57" s="128"/>
      <c r="BH57" s="128"/>
      <c r="BI57" s="128"/>
      <c r="BJ57" s="128"/>
      <c r="BK57" s="128"/>
      <c r="BL57" s="128"/>
      <c r="BM57" s="128"/>
      <c r="BN57" s="128"/>
      <c r="BO57" s="128"/>
      <c r="BP57" s="128"/>
      <c r="BQ57" s="128"/>
      <c r="BR57" s="128"/>
      <c r="BS57" s="128"/>
      <c r="BT57" s="128"/>
      <c r="BU57" s="128"/>
      <c r="BV57" s="128"/>
      <c r="BW57" s="128"/>
      <c r="BX57" s="128"/>
      <c r="BY57" s="128"/>
      <c r="BZ57" s="128"/>
      <c r="CA57" s="128"/>
      <c r="CB57" s="128"/>
      <c r="CC57" s="127" t="s">
        <v>673</v>
      </c>
      <c r="CD57" s="131">
        <v>43560.0</v>
      </c>
      <c r="CE57" s="127">
        <v>0.0</v>
      </c>
      <c r="CF57" s="127">
        <v>0.0</v>
      </c>
      <c r="CG57" s="127">
        <v>0.0</v>
      </c>
      <c r="CH57" s="127">
        <v>0.0</v>
      </c>
      <c r="CI57" s="127">
        <v>1.0</v>
      </c>
      <c r="CJ57" s="127">
        <v>1.0</v>
      </c>
      <c r="CK57" s="128"/>
      <c r="CL57" s="127">
        <v>3.0</v>
      </c>
      <c r="CM57" s="127">
        <v>0.0</v>
      </c>
      <c r="CN57" s="127">
        <v>1.0</v>
      </c>
      <c r="CO57" s="127">
        <v>0.0</v>
      </c>
      <c r="CP57" s="127">
        <v>0.0</v>
      </c>
      <c r="CQ57" s="128"/>
      <c r="CR57" s="128"/>
      <c r="CS57" s="128"/>
      <c r="CT57" s="128"/>
      <c r="CU57" s="128"/>
      <c r="CV57" s="128"/>
      <c r="CW57" s="128"/>
      <c r="CX57" s="128"/>
      <c r="CY57" s="128"/>
      <c r="CZ57" s="128"/>
      <c r="DA57" s="128"/>
      <c r="DB57" s="128"/>
      <c r="DC57" s="128"/>
      <c r="DD57" s="128"/>
      <c r="DE57" s="128"/>
      <c r="DF57" s="128"/>
      <c r="DG57" s="128"/>
      <c r="DH57" s="128"/>
      <c r="DI57" s="128"/>
      <c r="DJ57" s="128"/>
      <c r="DK57" s="128"/>
      <c r="DL57" s="128"/>
      <c r="DM57" s="128"/>
      <c r="DN57" s="128"/>
      <c r="DO57" s="128"/>
      <c r="DP57" s="127">
        <v>0.0</v>
      </c>
      <c r="DQ57" s="128"/>
      <c r="DR57" s="128"/>
      <c r="DS57" s="128"/>
      <c r="DT57" s="128"/>
      <c r="DU57" s="128"/>
      <c r="DV57" s="128"/>
      <c r="DW57" s="128"/>
      <c r="DX57" s="128"/>
      <c r="DY57" s="128"/>
      <c r="DZ57" s="128"/>
      <c r="EA57" s="128"/>
      <c r="EB57" s="128"/>
      <c r="EC57" s="128"/>
      <c r="ED57" s="128"/>
      <c r="EE57" s="128"/>
      <c r="EF57" s="127" t="s">
        <v>3149</v>
      </c>
      <c r="EG57" s="127" t="s">
        <v>3142</v>
      </c>
      <c r="EH57" s="127">
        <v>1.0</v>
      </c>
      <c r="EI57" s="127" t="s">
        <v>3950</v>
      </c>
      <c r="EJ57" s="129">
        <v>5242.0</v>
      </c>
      <c r="EK57" s="127" t="s">
        <v>4080</v>
      </c>
      <c r="EL57" s="127" t="s">
        <v>4081</v>
      </c>
      <c r="EM57" s="129">
        <v>56.0</v>
      </c>
      <c r="EN57" s="130"/>
      <c r="EO57" s="130"/>
    </row>
    <row r="58">
      <c r="A58" s="127" t="s">
        <v>4082</v>
      </c>
      <c r="B58" s="127" t="s">
        <v>4083</v>
      </c>
      <c r="C58" s="128"/>
      <c r="D58" s="128"/>
      <c r="E58" s="127">
        <v>3.5215509147374E14</v>
      </c>
      <c r="F58" s="127">
        <v>58.0</v>
      </c>
      <c r="G58" s="127">
        <v>1.0</v>
      </c>
      <c r="H58" s="127" t="s">
        <v>4084</v>
      </c>
      <c r="I58" s="127">
        <v>22.5517916</v>
      </c>
      <c r="J58" s="127">
        <v>88.3996426</v>
      </c>
      <c r="K58" s="127">
        <v>-39.4000015258789</v>
      </c>
      <c r="L58" s="127">
        <v>5.0</v>
      </c>
      <c r="M58" s="127">
        <v>14.0</v>
      </c>
      <c r="N58" s="127">
        <v>141.0</v>
      </c>
      <c r="O58" s="127">
        <v>0.0</v>
      </c>
      <c r="P58" s="127">
        <v>0.0</v>
      </c>
      <c r="Q58" s="127">
        <v>0.0</v>
      </c>
      <c r="R58" s="127">
        <v>0.0</v>
      </c>
      <c r="S58" s="127">
        <v>1.0</v>
      </c>
      <c r="T58" s="127">
        <v>0.0</v>
      </c>
      <c r="U58" s="128"/>
      <c r="V58" s="128"/>
      <c r="W58" s="128"/>
      <c r="X58" s="128"/>
      <c r="Y58" s="127">
        <v>1081.0</v>
      </c>
      <c r="Z58" s="127">
        <v>1081.0</v>
      </c>
      <c r="AA58" s="127" t="s">
        <v>4086</v>
      </c>
      <c r="AB58" s="127">
        <v>1.0</v>
      </c>
      <c r="AC58" s="127">
        <v>0.0</v>
      </c>
      <c r="AD58" s="127">
        <v>1.0</v>
      </c>
      <c r="AE58" s="128"/>
      <c r="AF58" s="127" t="s">
        <v>666</v>
      </c>
      <c r="AG58" s="127">
        <v>3.0</v>
      </c>
      <c r="AH58" s="127">
        <v>0.0</v>
      </c>
      <c r="AI58" s="127">
        <v>1.0</v>
      </c>
      <c r="AJ58" s="127">
        <v>0.0</v>
      </c>
      <c r="AK58" s="127">
        <v>0.0</v>
      </c>
      <c r="AL58" s="127">
        <v>0.0</v>
      </c>
      <c r="AM58" s="128"/>
      <c r="AN58" s="127">
        <v>4.0</v>
      </c>
      <c r="AO58" s="127">
        <v>0.0</v>
      </c>
      <c r="AP58" s="127">
        <v>0.0</v>
      </c>
      <c r="AQ58" s="127">
        <v>0.0</v>
      </c>
      <c r="AR58" s="127">
        <v>0.0</v>
      </c>
      <c r="AS58" s="127">
        <v>0.0</v>
      </c>
      <c r="AT58" s="127">
        <v>1.0</v>
      </c>
      <c r="AU58" s="127">
        <v>0.0</v>
      </c>
      <c r="AV58" s="128"/>
      <c r="AW58" s="128"/>
      <c r="AX58" s="128"/>
      <c r="AY58" s="128"/>
      <c r="AZ58" s="128"/>
      <c r="BA58" s="128"/>
      <c r="BB58" s="128"/>
      <c r="BC58" s="128"/>
      <c r="BD58" s="128"/>
      <c r="BE58" s="128"/>
      <c r="BF58" s="128"/>
      <c r="BG58" s="128"/>
      <c r="BH58" s="128"/>
      <c r="BI58" s="128"/>
      <c r="BJ58" s="128"/>
      <c r="BK58" s="128"/>
      <c r="BL58" s="128"/>
      <c r="BM58" s="128"/>
      <c r="BN58" s="128"/>
      <c r="BO58" s="128"/>
      <c r="BP58" s="128"/>
      <c r="BQ58" s="128"/>
      <c r="BR58" s="128"/>
      <c r="BS58" s="128"/>
      <c r="BT58" s="128"/>
      <c r="BU58" s="128"/>
      <c r="BV58" s="128"/>
      <c r="BW58" s="128"/>
      <c r="BX58" s="128"/>
      <c r="BY58" s="128"/>
      <c r="BZ58" s="128"/>
      <c r="CA58" s="128"/>
      <c r="CB58" s="128"/>
      <c r="CC58" s="128"/>
      <c r="CD58" s="128"/>
      <c r="CE58" s="128"/>
      <c r="CF58" s="128"/>
      <c r="CG58" s="128"/>
      <c r="CH58" s="128"/>
      <c r="CI58" s="128"/>
      <c r="CJ58" s="128"/>
      <c r="CK58" s="128"/>
      <c r="CL58" s="128"/>
      <c r="CM58" s="128"/>
      <c r="CN58" s="128"/>
      <c r="CO58" s="128"/>
      <c r="CP58" s="128"/>
      <c r="CQ58" s="128"/>
      <c r="CR58" s="128"/>
      <c r="CS58" s="128"/>
      <c r="CT58" s="128"/>
      <c r="CU58" s="128"/>
      <c r="CV58" s="128"/>
      <c r="CW58" s="128"/>
      <c r="CX58" s="128"/>
      <c r="CY58" s="128"/>
      <c r="CZ58" s="128"/>
      <c r="DA58" s="128"/>
      <c r="DB58" s="128"/>
      <c r="DC58" s="128"/>
      <c r="DD58" s="128"/>
      <c r="DE58" s="128"/>
      <c r="DF58" s="128"/>
      <c r="DG58" s="128"/>
      <c r="DH58" s="128"/>
      <c r="DI58" s="128"/>
      <c r="DJ58" s="128"/>
      <c r="DK58" s="128"/>
      <c r="DL58" s="128"/>
      <c r="DM58" s="128"/>
      <c r="DN58" s="128"/>
      <c r="DO58" s="128"/>
      <c r="DP58" s="127">
        <v>0.0</v>
      </c>
      <c r="DQ58" s="128"/>
      <c r="DR58" s="128"/>
      <c r="DS58" s="128"/>
      <c r="DT58" s="128"/>
      <c r="DU58" s="128"/>
      <c r="DV58" s="128"/>
      <c r="DW58" s="128"/>
      <c r="DX58" s="128"/>
      <c r="DY58" s="128"/>
      <c r="DZ58" s="128"/>
      <c r="EA58" s="128"/>
      <c r="EB58" s="128"/>
      <c r="EC58" s="128"/>
      <c r="ED58" s="128"/>
      <c r="EE58" s="128"/>
      <c r="EF58" s="127" t="s">
        <v>3149</v>
      </c>
      <c r="EG58" s="127" t="s">
        <v>3142</v>
      </c>
      <c r="EH58" s="127">
        <v>1.0</v>
      </c>
      <c r="EI58" s="127" t="s">
        <v>3950</v>
      </c>
      <c r="EJ58" s="129">
        <v>5243.0</v>
      </c>
      <c r="EK58" s="127" t="s">
        <v>4088</v>
      </c>
      <c r="EL58" s="127" t="s">
        <v>4089</v>
      </c>
      <c r="EM58" s="129">
        <v>57.0</v>
      </c>
      <c r="EN58" s="130"/>
      <c r="EO58" s="130"/>
    </row>
    <row r="59">
      <c r="A59" s="127" t="s">
        <v>4090</v>
      </c>
      <c r="B59" s="127" t="s">
        <v>4091</v>
      </c>
      <c r="C59" s="128"/>
      <c r="D59" s="128"/>
      <c r="E59" s="127">
        <v>3.5215509147374E14</v>
      </c>
      <c r="F59" s="127">
        <v>58.0</v>
      </c>
      <c r="G59" s="127">
        <v>1.0</v>
      </c>
      <c r="H59" s="127" t="s">
        <v>4092</v>
      </c>
      <c r="I59" s="127">
        <v>22.5517654</v>
      </c>
      <c r="J59" s="127">
        <v>88.3996069</v>
      </c>
      <c r="K59" s="127">
        <v>-62.599998474121</v>
      </c>
      <c r="L59" s="127">
        <v>5.0</v>
      </c>
      <c r="M59" s="127">
        <v>14.0</v>
      </c>
      <c r="N59" s="127">
        <v>143.0</v>
      </c>
      <c r="O59" s="127">
        <v>0.0</v>
      </c>
      <c r="P59" s="127">
        <v>0.0</v>
      </c>
      <c r="Q59" s="127">
        <v>0.0</v>
      </c>
      <c r="R59" s="127">
        <v>1.0</v>
      </c>
      <c r="S59" s="127">
        <v>0.0</v>
      </c>
      <c r="T59" s="127">
        <v>0.0</v>
      </c>
      <c r="U59" s="128"/>
      <c r="V59" s="128"/>
      <c r="W59" s="128"/>
      <c r="X59" s="128"/>
      <c r="Y59" s="127">
        <v>1081.0</v>
      </c>
      <c r="Z59" s="127">
        <v>1081.0</v>
      </c>
      <c r="AA59" s="127" t="s">
        <v>4093</v>
      </c>
      <c r="AB59" s="127">
        <v>1.0</v>
      </c>
      <c r="AC59" s="127">
        <v>0.0</v>
      </c>
      <c r="AD59" s="127">
        <v>1.0</v>
      </c>
      <c r="AE59" s="128"/>
      <c r="AF59" s="128"/>
      <c r="AG59" s="128"/>
      <c r="AH59" s="128"/>
      <c r="AI59" s="128"/>
      <c r="AJ59" s="128"/>
      <c r="AK59" s="128"/>
      <c r="AL59" s="128"/>
      <c r="AM59" s="128"/>
      <c r="AN59" s="128"/>
      <c r="AO59" s="128"/>
      <c r="AP59" s="128"/>
      <c r="AQ59" s="128"/>
      <c r="AR59" s="128"/>
      <c r="AS59" s="128"/>
      <c r="AT59" s="128"/>
      <c r="AU59" s="128"/>
      <c r="AV59" s="128"/>
      <c r="AW59" s="128"/>
      <c r="AX59" s="128"/>
      <c r="AY59" s="128"/>
      <c r="AZ59" s="128"/>
      <c r="BA59" s="128"/>
      <c r="BB59" s="128"/>
      <c r="BC59" s="128"/>
      <c r="BD59" s="128"/>
      <c r="BE59" s="127" t="s">
        <v>669</v>
      </c>
      <c r="BF59" s="127">
        <v>1.0</v>
      </c>
      <c r="BG59" s="127">
        <v>1.0</v>
      </c>
      <c r="BH59" s="127">
        <v>0.0</v>
      </c>
      <c r="BI59" s="127">
        <v>0.0</v>
      </c>
      <c r="BJ59" s="127">
        <v>0.0</v>
      </c>
      <c r="BK59" s="128"/>
      <c r="BL59" s="127">
        <v>3.0</v>
      </c>
      <c r="BM59" s="127">
        <v>0.0</v>
      </c>
      <c r="BN59" s="127">
        <v>0.0</v>
      </c>
      <c r="BO59" s="127">
        <v>1.0</v>
      </c>
      <c r="BP59" s="127">
        <v>0.0</v>
      </c>
      <c r="BQ59" s="127">
        <v>0.0</v>
      </c>
      <c r="BR59" s="127">
        <v>0.0</v>
      </c>
      <c r="BS59" s="127">
        <v>0.0</v>
      </c>
      <c r="BT59" s="128"/>
      <c r="BU59" s="128"/>
      <c r="BV59" s="128"/>
      <c r="BW59" s="128"/>
      <c r="BX59" s="128"/>
      <c r="BY59" s="128"/>
      <c r="BZ59" s="128"/>
      <c r="CA59" s="128"/>
      <c r="CB59" s="128"/>
      <c r="CC59" s="128"/>
      <c r="CD59" s="128"/>
      <c r="CE59" s="128"/>
      <c r="CF59" s="128"/>
      <c r="CG59" s="128"/>
      <c r="CH59" s="128"/>
      <c r="CI59" s="128"/>
      <c r="CJ59" s="128"/>
      <c r="CK59" s="128"/>
      <c r="CL59" s="128"/>
      <c r="CM59" s="128"/>
      <c r="CN59" s="128"/>
      <c r="CO59" s="128"/>
      <c r="CP59" s="128"/>
      <c r="CQ59" s="128"/>
      <c r="CR59" s="128"/>
      <c r="CS59" s="128"/>
      <c r="CT59" s="128"/>
      <c r="CU59" s="128"/>
      <c r="CV59" s="128"/>
      <c r="CW59" s="128"/>
      <c r="CX59" s="128"/>
      <c r="CY59" s="128"/>
      <c r="CZ59" s="128"/>
      <c r="DA59" s="128"/>
      <c r="DB59" s="128"/>
      <c r="DC59" s="128"/>
      <c r="DD59" s="128"/>
      <c r="DE59" s="128"/>
      <c r="DF59" s="128"/>
      <c r="DG59" s="128"/>
      <c r="DH59" s="128"/>
      <c r="DI59" s="128"/>
      <c r="DJ59" s="128"/>
      <c r="DK59" s="128"/>
      <c r="DL59" s="128"/>
      <c r="DM59" s="128"/>
      <c r="DN59" s="128"/>
      <c r="DO59" s="128"/>
      <c r="DP59" s="127">
        <v>0.0</v>
      </c>
      <c r="DQ59" s="128"/>
      <c r="DR59" s="128"/>
      <c r="DS59" s="128"/>
      <c r="DT59" s="128"/>
      <c r="DU59" s="128"/>
      <c r="DV59" s="128"/>
      <c r="DW59" s="128"/>
      <c r="DX59" s="128"/>
      <c r="DY59" s="128"/>
      <c r="DZ59" s="128"/>
      <c r="EA59" s="128"/>
      <c r="EB59" s="128"/>
      <c r="EC59" s="128"/>
      <c r="ED59" s="128"/>
      <c r="EE59" s="128"/>
      <c r="EF59" s="127" t="s">
        <v>3149</v>
      </c>
      <c r="EG59" s="127" t="s">
        <v>3142</v>
      </c>
      <c r="EH59" s="127">
        <v>1.0</v>
      </c>
      <c r="EI59" s="127" t="s">
        <v>3950</v>
      </c>
      <c r="EJ59" s="129">
        <v>5244.0</v>
      </c>
      <c r="EK59" s="127" t="s">
        <v>4095</v>
      </c>
      <c r="EL59" s="127" t="s">
        <v>4096</v>
      </c>
      <c r="EM59" s="129">
        <v>58.0</v>
      </c>
      <c r="EN59" s="130"/>
      <c r="EO59" s="130"/>
    </row>
    <row r="60">
      <c r="A60" s="127" t="s">
        <v>4097</v>
      </c>
      <c r="B60" s="127" t="s">
        <v>4098</v>
      </c>
      <c r="C60" s="128"/>
      <c r="D60" s="128"/>
      <c r="E60" s="127">
        <v>3.5215509147374E14</v>
      </c>
      <c r="F60" s="127">
        <v>58.0</v>
      </c>
      <c r="G60" s="127">
        <v>1.0</v>
      </c>
      <c r="H60" s="127" t="s">
        <v>4099</v>
      </c>
      <c r="I60" s="127">
        <v>22.5517085</v>
      </c>
      <c r="J60" s="127">
        <v>88.3996718</v>
      </c>
      <c r="K60" s="127">
        <v>-43.7999992370605</v>
      </c>
      <c r="L60" s="127">
        <v>5.0</v>
      </c>
      <c r="M60" s="127">
        <v>14.0</v>
      </c>
      <c r="N60" s="127">
        <v>149.0</v>
      </c>
      <c r="O60" s="127">
        <v>0.0</v>
      </c>
      <c r="P60" s="127">
        <v>0.0</v>
      </c>
      <c r="Q60" s="127">
        <v>0.0</v>
      </c>
      <c r="R60" s="127">
        <v>0.0</v>
      </c>
      <c r="S60" s="127">
        <v>0.0</v>
      </c>
      <c r="T60" s="127">
        <v>1.0</v>
      </c>
      <c r="U60" s="128"/>
      <c r="V60" s="128"/>
      <c r="W60" s="128"/>
      <c r="X60" s="128"/>
      <c r="Y60" s="127">
        <v>1081.0</v>
      </c>
      <c r="Z60" s="127">
        <v>1081.0</v>
      </c>
      <c r="AA60" s="127" t="s">
        <v>4100</v>
      </c>
      <c r="AB60" s="127">
        <v>1.0</v>
      </c>
      <c r="AC60" s="127">
        <v>0.0</v>
      </c>
      <c r="AD60" s="127">
        <v>1.0</v>
      </c>
      <c r="AE60" s="128"/>
      <c r="AF60" s="128"/>
      <c r="AG60" s="128"/>
      <c r="AH60" s="128"/>
      <c r="AI60" s="128"/>
      <c r="AJ60" s="128"/>
      <c r="AK60" s="128"/>
      <c r="AL60" s="128"/>
      <c r="AM60" s="128"/>
      <c r="AN60" s="128"/>
      <c r="AO60" s="128"/>
      <c r="AP60" s="128"/>
      <c r="AQ60" s="128"/>
      <c r="AR60" s="128"/>
      <c r="AS60" s="128"/>
      <c r="AT60" s="128"/>
      <c r="AU60" s="128"/>
      <c r="AV60" s="128"/>
      <c r="AW60" s="128"/>
      <c r="AX60" s="128"/>
      <c r="AY60" s="128"/>
      <c r="AZ60" s="128"/>
      <c r="BA60" s="128"/>
      <c r="BB60" s="128"/>
      <c r="BC60" s="128"/>
      <c r="BD60" s="128"/>
      <c r="BE60" s="128"/>
      <c r="BF60" s="128"/>
      <c r="BG60" s="128"/>
      <c r="BH60" s="128"/>
      <c r="BI60" s="128"/>
      <c r="BJ60" s="128"/>
      <c r="BK60" s="128"/>
      <c r="BL60" s="128"/>
      <c r="BM60" s="128"/>
      <c r="BN60" s="128"/>
      <c r="BO60" s="128"/>
      <c r="BP60" s="128"/>
      <c r="BQ60" s="128"/>
      <c r="BR60" s="128"/>
      <c r="BS60" s="128"/>
      <c r="BT60" s="128"/>
      <c r="BU60" s="128"/>
      <c r="BV60" s="128"/>
      <c r="BW60" s="128"/>
      <c r="BX60" s="128"/>
      <c r="BY60" s="128"/>
      <c r="BZ60" s="128"/>
      <c r="CA60" s="128"/>
      <c r="CB60" s="128"/>
      <c r="CC60" s="128"/>
      <c r="CD60" s="128"/>
      <c r="CE60" s="128"/>
      <c r="CF60" s="128"/>
      <c r="CG60" s="128"/>
      <c r="CH60" s="128"/>
      <c r="CI60" s="128"/>
      <c r="CJ60" s="128"/>
      <c r="CK60" s="128"/>
      <c r="CL60" s="128"/>
      <c r="CM60" s="128"/>
      <c r="CN60" s="128"/>
      <c r="CO60" s="128"/>
      <c r="CP60" s="128"/>
      <c r="CQ60" s="128"/>
      <c r="CR60" s="128"/>
      <c r="CS60" s="128"/>
      <c r="CT60" s="128"/>
      <c r="CU60" s="128"/>
      <c r="CV60" s="128"/>
      <c r="CW60" s="128"/>
      <c r="CX60" s="128"/>
      <c r="CY60" s="128"/>
      <c r="CZ60" s="128"/>
      <c r="DA60" s="128"/>
      <c r="DB60" s="128"/>
      <c r="DC60" s="128"/>
      <c r="DD60" s="128"/>
      <c r="DE60" s="128"/>
      <c r="DF60" s="128"/>
      <c r="DG60" s="128"/>
      <c r="DH60" s="128"/>
      <c r="DI60" s="128"/>
      <c r="DJ60" s="128"/>
      <c r="DK60" s="128"/>
      <c r="DL60" s="128"/>
      <c r="DM60" s="128"/>
      <c r="DN60" s="128"/>
      <c r="DO60" s="128"/>
      <c r="DP60" s="127">
        <v>0.0</v>
      </c>
      <c r="DQ60" s="128"/>
      <c r="DR60" s="128"/>
      <c r="DS60" s="128"/>
      <c r="DT60" s="128"/>
      <c r="DU60" s="128"/>
      <c r="DV60" s="128"/>
      <c r="DW60" s="128"/>
      <c r="DX60" s="128"/>
      <c r="DY60" s="128"/>
      <c r="DZ60" s="128"/>
      <c r="EA60" s="128"/>
      <c r="EB60" s="128"/>
      <c r="EC60" s="128"/>
      <c r="ED60" s="128"/>
      <c r="EE60" s="128"/>
      <c r="EF60" s="127" t="s">
        <v>3149</v>
      </c>
      <c r="EG60" s="127" t="s">
        <v>3142</v>
      </c>
      <c r="EH60" s="127">
        <v>1.0</v>
      </c>
      <c r="EI60" s="127" t="s">
        <v>3950</v>
      </c>
      <c r="EJ60" s="129">
        <v>5245.0</v>
      </c>
      <c r="EK60" s="127" t="s">
        <v>4103</v>
      </c>
      <c r="EL60" s="127" t="s">
        <v>4104</v>
      </c>
      <c r="EM60" s="129">
        <v>59.0</v>
      </c>
      <c r="EN60" s="130"/>
      <c r="EO60" s="130"/>
    </row>
    <row r="61">
      <c r="A61" s="50" t="s">
        <v>653</v>
      </c>
      <c r="B61" s="50" t="s">
        <v>4105</v>
      </c>
      <c r="C61" s="116"/>
      <c r="D61" s="116"/>
      <c r="E61" s="50">
        <v>3.5215509147374E14</v>
      </c>
      <c r="F61" s="50">
        <v>58.0</v>
      </c>
      <c r="G61" s="50">
        <v>1.0</v>
      </c>
      <c r="H61" s="50" t="s">
        <v>4106</v>
      </c>
      <c r="I61" s="50">
        <v>22.5516295</v>
      </c>
      <c r="J61" s="50">
        <v>88.3997269</v>
      </c>
      <c r="K61" s="50">
        <v>-26.2000007629394</v>
      </c>
      <c r="L61" s="50">
        <v>5.0</v>
      </c>
      <c r="M61" s="50">
        <v>15.0</v>
      </c>
      <c r="N61" s="116"/>
      <c r="O61" s="116"/>
      <c r="P61" s="116"/>
      <c r="Q61" s="116"/>
      <c r="R61" s="116"/>
      <c r="S61" s="116"/>
      <c r="T61" s="116"/>
      <c r="U61" s="50">
        <v>151.0</v>
      </c>
      <c r="V61" s="50">
        <v>1.0</v>
      </c>
      <c r="W61" s="50">
        <v>0.0</v>
      </c>
      <c r="X61" s="50">
        <v>0.0</v>
      </c>
      <c r="Y61" s="50">
        <v>1098.0</v>
      </c>
      <c r="Z61" s="50">
        <v>1098.0</v>
      </c>
      <c r="AA61" s="50" t="s">
        <v>4107</v>
      </c>
      <c r="AB61" s="50">
        <v>1.0</v>
      </c>
      <c r="AC61" s="50">
        <v>0.0</v>
      </c>
      <c r="AD61" s="50">
        <v>0.0</v>
      </c>
      <c r="AE61" s="50">
        <v>1.0</v>
      </c>
      <c r="AF61" s="116"/>
      <c r="AG61" s="116"/>
      <c r="AH61" s="116"/>
      <c r="AI61" s="116"/>
      <c r="AJ61" s="116"/>
      <c r="AK61" s="116"/>
      <c r="AL61" s="116"/>
      <c r="AM61" s="116"/>
      <c r="AN61" s="116"/>
      <c r="AO61" s="116"/>
      <c r="AP61" s="116"/>
      <c r="AQ61" s="116"/>
      <c r="AR61" s="116"/>
      <c r="AS61" s="116"/>
      <c r="AT61" s="116"/>
      <c r="AU61" s="116"/>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116"/>
      <c r="CE61" s="116"/>
      <c r="CF61" s="116"/>
      <c r="CG61" s="116"/>
      <c r="CH61" s="116"/>
      <c r="CI61" s="116"/>
      <c r="CJ61" s="116"/>
      <c r="CK61" s="116"/>
      <c r="CL61" s="116"/>
      <c r="CM61" s="116"/>
      <c r="CN61" s="116"/>
      <c r="CO61" s="116"/>
      <c r="CP61" s="116"/>
      <c r="CQ61" s="116"/>
      <c r="CR61" s="50" t="s">
        <v>654</v>
      </c>
      <c r="CS61" s="50">
        <v>2.0</v>
      </c>
      <c r="CT61" s="116"/>
      <c r="CU61" s="50">
        <v>0.0</v>
      </c>
      <c r="CV61" s="50">
        <v>0.0</v>
      </c>
      <c r="CW61" s="116"/>
      <c r="CX61" s="116"/>
      <c r="CY61" s="116"/>
      <c r="CZ61" s="116"/>
      <c r="DA61" s="116"/>
      <c r="DB61" s="116"/>
      <c r="DC61" s="116"/>
      <c r="DD61" s="116"/>
      <c r="DE61" s="116"/>
      <c r="DF61" s="116"/>
      <c r="DG61" s="116"/>
      <c r="DH61" s="116"/>
      <c r="DI61" s="116"/>
      <c r="DJ61" s="116"/>
      <c r="DK61" s="116"/>
      <c r="DL61" s="116"/>
      <c r="DM61" s="116"/>
      <c r="DN61" s="116"/>
      <c r="DO61" s="116"/>
      <c r="DP61" s="50">
        <v>0.0</v>
      </c>
      <c r="DQ61" s="116"/>
      <c r="DR61" s="116"/>
      <c r="DS61" s="116"/>
      <c r="DT61" s="116"/>
      <c r="DU61" s="116"/>
      <c r="DV61" s="116"/>
      <c r="DW61" s="116"/>
      <c r="DX61" s="116"/>
      <c r="DY61" s="116"/>
      <c r="DZ61" s="116"/>
      <c r="EA61" s="116"/>
      <c r="EB61" s="116"/>
      <c r="EC61" s="116"/>
      <c r="ED61" s="116"/>
      <c r="EE61" s="116"/>
      <c r="EF61" s="50" t="s">
        <v>3149</v>
      </c>
      <c r="EG61" s="50" t="s">
        <v>2472</v>
      </c>
      <c r="EH61" s="50">
        <v>1.0</v>
      </c>
      <c r="EI61" s="50" t="s">
        <v>3950</v>
      </c>
      <c r="EJ61" s="117">
        <v>5357.0</v>
      </c>
      <c r="EK61" s="50" t="s">
        <v>4109</v>
      </c>
      <c r="EL61" s="50" t="s">
        <v>4110</v>
      </c>
      <c r="EM61" s="117">
        <v>60.0</v>
      </c>
    </row>
    <row r="62">
      <c r="A62" s="50" t="s">
        <v>656</v>
      </c>
      <c r="B62" s="50" t="s">
        <v>4111</v>
      </c>
      <c r="C62" s="116"/>
      <c r="D62" s="116"/>
      <c r="E62" s="50">
        <v>3.5215509147374E14</v>
      </c>
      <c r="F62" s="50">
        <v>58.0</v>
      </c>
      <c r="G62" s="50">
        <v>1.0</v>
      </c>
      <c r="H62" s="50" t="s">
        <v>4112</v>
      </c>
      <c r="I62" s="50">
        <v>22.5516267</v>
      </c>
      <c r="J62" s="50">
        <v>88.3997337</v>
      </c>
      <c r="K62" s="50">
        <v>-51.599998474121</v>
      </c>
      <c r="L62" s="50">
        <v>4.5</v>
      </c>
      <c r="M62" s="50">
        <v>15.0</v>
      </c>
      <c r="N62" s="116"/>
      <c r="O62" s="116"/>
      <c r="P62" s="116"/>
      <c r="Q62" s="116"/>
      <c r="R62" s="116"/>
      <c r="S62" s="116"/>
      <c r="T62" s="116"/>
      <c r="U62" s="50">
        <v>152.0</v>
      </c>
      <c r="V62" s="50">
        <v>0.0</v>
      </c>
      <c r="W62" s="50">
        <v>0.0</v>
      </c>
      <c r="X62" s="50">
        <v>1.0</v>
      </c>
      <c r="Y62" s="50">
        <v>1098.0</v>
      </c>
      <c r="Z62" s="50">
        <v>1098.0</v>
      </c>
      <c r="AA62" s="50" t="s">
        <v>4113</v>
      </c>
      <c r="AB62" s="50">
        <v>1.0</v>
      </c>
      <c r="AC62" s="50">
        <v>0.0</v>
      </c>
      <c r="AD62" s="50">
        <v>0.0</v>
      </c>
      <c r="AE62" s="50">
        <v>1.0</v>
      </c>
      <c r="AF62" s="116"/>
      <c r="AG62" s="116"/>
      <c r="AH62" s="116"/>
      <c r="AI62" s="116"/>
      <c r="AJ62" s="116"/>
      <c r="AK62" s="116"/>
      <c r="AL62" s="116"/>
      <c r="AM62" s="116"/>
      <c r="AN62" s="116"/>
      <c r="AO62" s="116"/>
      <c r="AP62" s="116"/>
      <c r="AQ62" s="116"/>
      <c r="AR62" s="116"/>
      <c r="AS62" s="116"/>
      <c r="AT62" s="116"/>
      <c r="AU62" s="116"/>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116"/>
      <c r="CE62" s="116"/>
      <c r="CF62" s="116"/>
      <c r="CG62" s="116"/>
      <c r="CH62" s="116"/>
      <c r="CI62" s="116"/>
      <c r="CJ62" s="116"/>
      <c r="CK62" s="116"/>
      <c r="CL62" s="116"/>
      <c r="CM62" s="116"/>
      <c r="CN62" s="116"/>
      <c r="CO62" s="116"/>
      <c r="CP62" s="116"/>
      <c r="CQ62" s="116"/>
      <c r="CR62" s="116"/>
      <c r="CS62" s="116"/>
      <c r="CT62" s="116"/>
      <c r="CU62" s="116"/>
      <c r="CV62" s="116"/>
      <c r="CW62" s="50">
        <v>3.0</v>
      </c>
      <c r="CX62" s="116"/>
      <c r="CY62" s="50" t="s">
        <v>657</v>
      </c>
      <c r="CZ62" s="50">
        <v>2.0</v>
      </c>
      <c r="DA62" s="116"/>
      <c r="DB62" s="50">
        <v>88.0</v>
      </c>
      <c r="DC62" s="50" t="s">
        <v>4115</v>
      </c>
      <c r="DD62" s="50">
        <v>1.0</v>
      </c>
      <c r="DE62" s="50" t="s">
        <v>659</v>
      </c>
      <c r="DF62" s="50">
        <v>88.0</v>
      </c>
      <c r="DG62" s="50" t="s">
        <v>4116</v>
      </c>
      <c r="DH62" s="50">
        <v>88.0</v>
      </c>
      <c r="DI62" s="50" t="s">
        <v>4049</v>
      </c>
      <c r="DJ62" s="50">
        <v>1.0</v>
      </c>
      <c r="DK62" s="50" t="s">
        <v>661</v>
      </c>
      <c r="DL62" s="50">
        <v>2.0</v>
      </c>
      <c r="DM62" s="116"/>
      <c r="DN62" s="50">
        <v>88.0</v>
      </c>
      <c r="DO62" s="50" t="s">
        <v>3736</v>
      </c>
      <c r="DP62" s="50">
        <v>0.0</v>
      </c>
      <c r="DQ62" s="116"/>
      <c r="DR62" s="116"/>
      <c r="DS62" s="116"/>
      <c r="DT62" s="116"/>
      <c r="DU62" s="116"/>
      <c r="DV62" s="116"/>
      <c r="DW62" s="116"/>
      <c r="DX62" s="116"/>
      <c r="DY62" s="116"/>
      <c r="DZ62" s="116"/>
      <c r="EA62" s="116"/>
      <c r="EB62" s="116"/>
      <c r="EC62" s="116"/>
      <c r="ED62" s="116"/>
      <c r="EE62" s="116"/>
      <c r="EF62" s="50" t="s">
        <v>3149</v>
      </c>
      <c r="EG62" s="50" t="s">
        <v>2472</v>
      </c>
      <c r="EH62" s="50">
        <v>1.0</v>
      </c>
      <c r="EI62" s="50" t="s">
        <v>3950</v>
      </c>
      <c r="EJ62" s="117">
        <v>5358.0</v>
      </c>
      <c r="EK62" s="50" t="s">
        <v>4117</v>
      </c>
      <c r="EL62" s="50" t="s">
        <v>4118</v>
      </c>
      <c r="EM62" s="117">
        <v>61.0</v>
      </c>
    </row>
    <row r="63">
      <c r="A63" s="50" t="s">
        <v>663</v>
      </c>
      <c r="B63" s="50" t="s">
        <v>4119</v>
      </c>
      <c r="C63" s="116"/>
      <c r="D63" s="116"/>
      <c r="E63" s="50">
        <v>3.5215509147374E14</v>
      </c>
      <c r="F63" s="50">
        <v>58.0</v>
      </c>
      <c r="G63" s="50">
        <v>1.0</v>
      </c>
      <c r="H63" s="50" t="s">
        <v>4120</v>
      </c>
      <c r="I63" s="50">
        <v>22.5515943</v>
      </c>
      <c r="J63" s="50">
        <v>88.3997178</v>
      </c>
      <c r="K63" s="50">
        <v>-55.9000015258789</v>
      </c>
      <c r="L63" s="50">
        <v>5.0</v>
      </c>
      <c r="M63" s="50">
        <v>15.0</v>
      </c>
      <c r="N63" s="116"/>
      <c r="O63" s="116"/>
      <c r="P63" s="116"/>
      <c r="Q63" s="116"/>
      <c r="R63" s="116"/>
      <c r="S63" s="116"/>
      <c r="T63" s="116"/>
      <c r="U63" s="50">
        <v>159.0</v>
      </c>
      <c r="V63" s="50">
        <v>0.0</v>
      </c>
      <c r="W63" s="50">
        <v>1.0</v>
      </c>
      <c r="X63" s="50">
        <v>0.0</v>
      </c>
      <c r="Y63" s="50">
        <v>1098.0</v>
      </c>
      <c r="Z63" s="50">
        <v>1098.0</v>
      </c>
      <c r="AA63" s="50" t="s">
        <v>4121</v>
      </c>
      <c r="AB63" s="50">
        <v>1.0</v>
      </c>
      <c r="AC63" s="50">
        <v>0.0</v>
      </c>
      <c r="AD63" s="50">
        <v>0.0</v>
      </c>
      <c r="AE63" s="50">
        <v>1.0</v>
      </c>
      <c r="AF63" s="116"/>
      <c r="AG63" s="116"/>
      <c r="AH63" s="116"/>
      <c r="AI63" s="116"/>
      <c r="AJ63" s="116"/>
      <c r="AK63" s="116"/>
      <c r="AL63" s="116"/>
      <c r="AM63" s="116"/>
      <c r="AN63" s="116"/>
      <c r="AO63" s="116"/>
      <c r="AP63" s="116"/>
      <c r="AQ63" s="116"/>
      <c r="AR63" s="116"/>
      <c r="AS63" s="116"/>
      <c r="AT63" s="116"/>
      <c r="AU63" s="116"/>
      <c r="AV63" s="116"/>
      <c r="AW63" s="116"/>
      <c r="AX63" s="116"/>
      <c r="AY63" s="116"/>
      <c r="AZ63" s="116"/>
      <c r="BA63" s="116"/>
      <c r="BB63" s="116"/>
      <c r="BC63" s="116"/>
      <c r="BD63" s="116"/>
      <c r="BE63" s="116"/>
      <c r="BF63" s="116"/>
      <c r="BG63" s="116"/>
      <c r="BH63" s="116"/>
      <c r="BI63" s="116"/>
      <c r="BJ63" s="116"/>
      <c r="BK63" s="116"/>
      <c r="BL63" s="116"/>
      <c r="BM63" s="116"/>
      <c r="BN63" s="116"/>
      <c r="BO63" s="116"/>
      <c r="BP63" s="116"/>
      <c r="BQ63" s="116"/>
      <c r="BR63" s="116"/>
      <c r="BS63" s="116"/>
      <c r="BT63" s="116"/>
      <c r="BU63" s="116"/>
      <c r="BV63" s="116"/>
      <c r="BW63" s="116"/>
      <c r="BX63" s="116"/>
      <c r="BY63" s="116"/>
      <c r="BZ63" s="116"/>
      <c r="CA63" s="116"/>
      <c r="CB63" s="116"/>
      <c r="CC63" s="116"/>
      <c r="CD63" s="116"/>
      <c r="CE63" s="116"/>
      <c r="CF63" s="116"/>
      <c r="CG63" s="116"/>
      <c r="CH63" s="116"/>
      <c r="CI63" s="116"/>
      <c r="CJ63" s="116"/>
      <c r="CK63" s="116"/>
      <c r="CL63" s="116"/>
      <c r="CM63" s="116"/>
      <c r="CN63" s="116"/>
      <c r="CO63" s="116"/>
      <c r="CP63" s="116"/>
      <c r="CQ63" s="116"/>
      <c r="CR63" s="116"/>
      <c r="CS63" s="116"/>
      <c r="CT63" s="116"/>
      <c r="CU63" s="116"/>
      <c r="CV63" s="116"/>
      <c r="CW63" s="116"/>
      <c r="CX63" s="116"/>
      <c r="CY63" s="116"/>
      <c r="CZ63" s="116"/>
      <c r="DA63" s="116"/>
      <c r="DB63" s="116"/>
      <c r="DC63" s="116"/>
      <c r="DD63" s="116"/>
      <c r="DE63" s="116"/>
      <c r="DF63" s="116"/>
      <c r="DG63" s="116"/>
      <c r="DH63" s="116"/>
      <c r="DI63" s="116"/>
      <c r="DJ63" s="116"/>
      <c r="DK63" s="116"/>
      <c r="DL63" s="116"/>
      <c r="DM63" s="116"/>
      <c r="DN63" s="116"/>
      <c r="DO63" s="116"/>
      <c r="DP63" s="50">
        <v>0.0</v>
      </c>
      <c r="DQ63" s="116"/>
      <c r="DR63" s="116"/>
      <c r="DS63" s="116"/>
      <c r="DT63" s="116"/>
      <c r="DU63" s="116"/>
      <c r="DV63" s="116"/>
      <c r="DW63" s="116"/>
      <c r="DX63" s="116"/>
      <c r="DY63" s="116"/>
      <c r="DZ63" s="116"/>
      <c r="EA63" s="116"/>
      <c r="EB63" s="116"/>
      <c r="EC63" s="116"/>
      <c r="ED63" s="116"/>
      <c r="EE63" s="116"/>
      <c r="EF63" s="50" t="s">
        <v>4123</v>
      </c>
      <c r="EG63" s="50" t="s">
        <v>2472</v>
      </c>
      <c r="EH63" s="50">
        <v>1.0</v>
      </c>
      <c r="EI63" s="50" t="s">
        <v>3950</v>
      </c>
      <c r="EJ63" s="117">
        <v>5359.0</v>
      </c>
      <c r="EK63" s="50" t="s">
        <v>4124</v>
      </c>
      <c r="EL63" s="50" t="s">
        <v>4125</v>
      </c>
      <c r="EM63" s="117">
        <v>62.0</v>
      </c>
    </row>
    <row r="64">
      <c r="A64" s="112" t="s">
        <v>527</v>
      </c>
      <c r="B64" s="112" t="s">
        <v>4126</v>
      </c>
      <c r="C64" s="125"/>
      <c r="D64" s="125"/>
      <c r="E64" s="112">
        <v>3.5215509147374E14</v>
      </c>
      <c r="F64" s="112">
        <v>58.0</v>
      </c>
      <c r="G64" s="112">
        <v>1.0</v>
      </c>
      <c r="H64" s="112" t="s">
        <v>4127</v>
      </c>
      <c r="I64" s="112">
        <v>22.5529303</v>
      </c>
      <c r="J64" s="112">
        <v>88.3988971</v>
      </c>
      <c r="K64" s="112">
        <v>-62.099998474121</v>
      </c>
      <c r="L64" s="112">
        <v>5.0</v>
      </c>
      <c r="M64" s="112">
        <v>14.0</v>
      </c>
      <c r="N64" s="112">
        <v>144.0</v>
      </c>
      <c r="O64" s="112">
        <v>1.0</v>
      </c>
      <c r="P64" s="112">
        <v>0.0</v>
      </c>
      <c r="Q64" s="112">
        <v>0.0</v>
      </c>
      <c r="R64" s="112">
        <v>0.0</v>
      </c>
      <c r="S64" s="112">
        <v>0.0</v>
      </c>
      <c r="T64" s="112">
        <v>0.0</v>
      </c>
      <c r="U64" s="125"/>
      <c r="V64" s="125"/>
      <c r="W64" s="125"/>
      <c r="X64" s="125"/>
      <c r="Y64" s="112">
        <v>1052.0</v>
      </c>
      <c r="Z64" s="112">
        <v>1052.0</v>
      </c>
      <c r="AA64" s="112" t="s">
        <v>4129</v>
      </c>
      <c r="AB64" s="112">
        <v>1.0</v>
      </c>
      <c r="AC64" s="112">
        <v>0.0</v>
      </c>
      <c r="AD64" s="112">
        <v>0.0</v>
      </c>
      <c r="AE64" s="112">
        <v>1.0</v>
      </c>
      <c r="AF64" s="125"/>
      <c r="AG64" s="125"/>
      <c r="AH64" s="125"/>
      <c r="AI64" s="125"/>
      <c r="AJ64" s="125"/>
      <c r="AK64" s="125"/>
      <c r="AL64" s="125"/>
      <c r="AM64" s="125"/>
      <c r="AN64" s="125"/>
      <c r="AO64" s="125"/>
      <c r="AP64" s="125"/>
      <c r="AQ64" s="125"/>
      <c r="AR64" s="125"/>
      <c r="AS64" s="125"/>
      <c r="AT64" s="125"/>
      <c r="AU64" s="125"/>
      <c r="AV64" s="125"/>
      <c r="AW64" s="125"/>
      <c r="AX64" s="125"/>
      <c r="AY64" s="125"/>
      <c r="AZ64" s="125"/>
      <c r="BA64" s="125"/>
      <c r="BB64" s="125"/>
      <c r="BC64" s="125"/>
      <c r="BD64" s="125"/>
      <c r="BE64" s="125"/>
      <c r="BF64" s="125"/>
      <c r="BG64" s="125"/>
      <c r="BH64" s="125"/>
      <c r="BI64" s="125"/>
      <c r="BJ64" s="125"/>
      <c r="BK64" s="125"/>
      <c r="BL64" s="125"/>
      <c r="BM64" s="125"/>
      <c r="BN64" s="125"/>
      <c r="BO64" s="125"/>
      <c r="BP64" s="125"/>
      <c r="BQ64" s="125"/>
      <c r="BR64" s="125"/>
      <c r="BS64" s="125"/>
      <c r="BT64" s="125"/>
      <c r="BU64" s="112" t="s">
        <v>528</v>
      </c>
      <c r="BV64" s="112">
        <v>4.0</v>
      </c>
      <c r="BW64" s="125"/>
      <c r="BX64" s="112">
        <v>1.0</v>
      </c>
      <c r="BY64" s="112">
        <v>1.0</v>
      </c>
      <c r="BZ64" s="125"/>
      <c r="CA64" s="125"/>
      <c r="CB64" s="125"/>
      <c r="CC64" s="125"/>
      <c r="CD64" s="125"/>
      <c r="CE64" s="125"/>
      <c r="CF64" s="125"/>
      <c r="CG64" s="125"/>
      <c r="CH64" s="125"/>
      <c r="CI64" s="125"/>
      <c r="CJ64" s="125"/>
      <c r="CK64" s="125"/>
      <c r="CL64" s="125"/>
      <c r="CM64" s="125"/>
      <c r="CN64" s="125"/>
      <c r="CO64" s="125"/>
      <c r="CP64" s="125"/>
      <c r="CQ64" s="125"/>
      <c r="CR64" s="125"/>
      <c r="CS64" s="125"/>
      <c r="CT64" s="125"/>
      <c r="CU64" s="125"/>
      <c r="CV64" s="125"/>
      <c r="CW64" s="125"/>
      <c r="CX64" s="125"/>
      <c r="CY64" s="125"/>
      <c r="CZ64" s="125"/>
      <c r="DA64" s="125"/>
      <c r="DB64" s="125"/>
      <c r="DC64" s="125"/>
      <c r="DD64" s="125"/>
      <c r="DE64" s="125"/>
      <c r="DF64" s="125"/>
      <c r="DG64" s="125"/>
      <c r="DH64" s="125"/>
      <c r="DI64" s="125"/>
      <c r="DJ64" s="125"/>
      <c r="DK64" s="125"/>
      <c r="DL64" s="125"/>
      <c r="DM64" s="125"/>
      <c r="DN64" s="125"/>
      <c r="DO64" s="125"/>
      <c r="DP64" s="112">
        <v>0.0</v>
      </c>
      <c r="DQ64" s="125"/>
      <c r="DR64" s="125"/>
      <c r="DS64" s="125"/>
      <c r="DT64" s="125"/>
      <c r="DU64" s="125"/>
      <c r="DV64" s="125"/>
      <c r="DW64" s="125"/>
      <c r="DX64" s="125"/>
      <c r="DY64" s="125"/>
      <c r="DZ64" s="125"/>
      <c r="EA64" s="125"/>
      <c r="EB64" s="125"/>
      <c r="EC64" s="125"/>
      <c r="ED64" s="125"/>
      <c r="EE64" s="125"/>
      <c r="EF64" s="112" t="s">
        <v>3149</v>
      </c>
      <c r="EG64" s="112" t="s">
        <v>2278</v>
      </c>
      <c r="EH64" s="112">
        <v>1.0</v>
      </c>
      <c r="EI64" s="112" t="s">
        <v>3950</v>
      </c>
      <c r="EJ64" s="124">
        <v>5704.0</v>
      </c>
      <c r="EK64" s="112" t="s">
        <v>4131</v>
      </c>
      <c r="EL64" s="112" t="s">
        <v>4132</v>
      </c>
      <c r="EM64" s="124">
        <v>63.0</v>
      </c>
      <c r="EN64" s="105"/>
      <c r="EO64" s="105"/>
    </row>
    <row r="65">
      <c r="A65" s="112" t="s">
        <v>4133</v>
      </c>
      <c r="B65" s="112" t="s">
        <v>4134</v>
      </c>
      <c r="C65" s="125"/>
      <c r="D65" s="125"/>
      <c r="E65" s="112">
        <v>3.5215509147374E14</v>
      </c>
      <c r="F65" s="112">
        <v>58.0</v>
      </c>
      <c r="G65" s="112">
        <v>1.0</v>
      </c>
      <c r="H65" s="112" t="s">
        <v>4135</v>
      </c>
      <c r="I65" s="112">
        <v>22.5529278</v>
      </c>
      <c r="J65" s="112">
        <v>88.3988194</v>
      </c>
      <c r="K65" s="112">
        <v>-63.0</v>
      </c>
      <c r="L65" s="112">
        <v>5.0</v>
      </c>
      <c r="M65" s="112">
        <v>14.0</v>
      </c>
      <c r="N65" s="112">
        <v>142.0</v>
      </c>
      <c r="O65" s="112">
        <v>0.0</v>
      </c>
      <c r="P65" s="112">
        <v>0.0</v>
      </c>
      <c r="Q65" s="112">
        <v>1.0</v>
      </c>
      <c r="R65" s="112">
        <v>0.0</v>
      </c>
      <c r="S65" s="112">
        <v>0.0</v>
      </c>
      <c r="T65" s="112">
        <v>0.0</v>
      </c>
      <c r="U65" s="125"/>
      <c r="V65" s="125"/>
      <c r="W65" s="125"/>
      <c r="X65" s="125"/>
      <c r="Y65" s="112">
        <v>1052.0</v>
      </c>
      <c r="Z65" s="112">
        <v>1052.0</v>
      </c>
      <c r="AA65" s="112" t="s">
        <v>4136</v>
      </c>
      <c r="AB65" s="112">
        <v>1.0</v>
      </c>
      <c r="AC65" s="112">
        <v>0.0</v>
      </c>
      <c r="AD65" s="112">
        <v>0.0</v>
      </c>
      <c r="AE65" s="112">
        <v>1.0</v>
      </c>
      <c r="AF65" s="125"/>
      <c r="AG65" s="125"/>
      <c r="AH65" s="125"/>
      <c r="AI65" s="125"/>
      <c r="AJ65" s="125"/>
      <c r="AK65" s="125"/>
      <c r="AL65" s="125"/>
      <c r="AM65" s="125"/>
      <c r="AN65" s="125"/>
      <c r="AO65" s="125"/>
      <c r="AP65" s="125"/>
      <c r="AQ65" s="125"/>
      <c r="AR65" s="125"/>
      <c r="AS65" s="125"/>
      <c r="AT65" s="125"/>
      <c r="AU65" s="125"/>
      <c r="AV65" s="125"/>
      <c r="AW65" s="112" t="s">
        <v>530</v>
      </c>
      <c r="AX65" s="112">
        <v>1.0</v>
      </c>
      <c r="AY65" s="112">
        <v>1.0</v>
      </c>
      <c r="AZ65" s="112">
        <v>0.0</v>
      </c>
      <c r="BA65" s="112">
        <v>0.0</v>
      </c>
      <c r="BB65" s="112">
        <v>0.0</v>
      </c>
      <c r="BC65" s="112">
        <v>0.0</v>
      </c>
      <c r="BD65" s="125"/>
      <c r="BE65" s="125"/>
      <c r="BF65" s="125"/>
      <c r="BG65" s="125"/>
      <c r="BH65" s="125"/>
      <c r="BI65" s="125"/>
      <c r="BJ65" s="125"/>
      <c r="BK65" s="125"/>
      <c r="BL65" s="125"/>
      <c r="BM65" s="125"/>
      <c r="BN65" s="125"/>
      <c r="BO65" s="125"/>
      <c r="BP65" s="125"/>
      <c r="BQ65" s="125"/>
      <c r="BR65" s="125"/>
      <c r="BS65" s="125"/>
      <c r="BT65" s="125"/>
      <c r="BU65" s="125"/>
      <c r="BV65" s="125"/>
      <c r="BW65" s="125"/>
      <c r="BX65" s="125"/>
      <c r="BY65" s="125"/>
      <c r="BZ65" s="125"/>
      <c r="CA65" s="125"/>
      <c r="CB65" s="125"/>
      <c r="CC65" s="125"/>
      <c r="CD65" s="125"/>
      <c r="CE65" s="125"/>
      <c r="CF65" s="125"/>
      <c r="CG65" s="125"/>
      <c r="CH65" s="125"/>
      <c r="CI65" s="125"/>
      <c r="CJ65" s="125"/>
      <c r="CK65" s="125"/>
      <c r="CL65" s="125"/>
      <c r="CM65" s="125"/>
      <c r="CN65" s="125"/>
      <c r="CO65" s="125"/>
      <c r="CP65" s="125"/>
      <c r="CQ65" s="125"/>
      <c r="CR65" s="125"/>
      <c r="CS65" s="125"/>
      <c r="CT65" s="125"/>
      <c r="CU65" s="125"/>
      <c r="CV65" s="125"/>
      <c r="CW65" s="125"/>
      <c r="CX65" s="125"/>
      <c r="CY65" s="125"/>
      <c r="CZ65" s="125"/>
      <c r="DA65" s="125"/>
      <c r="DB65" s="125"/>
      <c r="DC65" s="125"/>
      <c r="DD65" s="125"/>
      <c r="DE65" s="125"/>
      <c r="DF65" s="125"/>
      <c r="DG65" s="125"/>
      <c r="DH65" s="125"/>
      <c r="DI65" s="125"/>
      <c r="DJ65" s="125"/>
      <c r="DK65" s="125"/>
      <c r="DL65" s="125"/>
      <c r="DM65" s="125"/>
      <c r="DN65" s="125"/>
      <c r="DO65" s="125"/>
      <c r="DP65" s="112">
        <v>0.0</v>
      </c>
      <c r="DQ65" s="125"/>
      <c r="DR65" s="125"/>
      <c r="DS65" s="125"/>
      <c r="DT65" s="125"/>
      <c r="DU65" s="125"/>
      <c r="DV65" s="125"/>
      <c r="DW65" s="125"/>
      <c r="DX65" s="125"/>
      <c r="DY65" s="125"/>
      <c r="DZ65" s="125"/>
      <c r="EA65" s="125"/>
      <c r="EB65" s="125"/>
      <c r="EC65" s="125"/>
      <c r="ED65" s="125"/>
      <c r="EE65" s="125"/>
      <c r="EF65" s="112" t="s">
        <v>3149</v>
      </c>
      <c r="EG65" s="112" t="s">
        <v>2278</v>
      </c>
      <c r="EH65" s="112">
        <v>1.0</v>
      </c>
      <c r="EI65" s="112" t="s">
        <v>3950</v>
      </c>
      <c r="EJ65" s="124">
        <v>5705.0</v>
      </c>
      <c r="EK65" s="112" t="s">
        <v>4138</v>
      </c>
      <c r="EL65" s="112" t="s">
        <v>4139</v>
      </c>
      <c r="EM65" s="124">
        <v>64.0</v>
      </c>
      <c r="EN65" s="105"/>
      <c r="EO65" s="105"/>
    </row>
    <row r="66">
      <c r="A66" s="112" t="s">
        <v>4140</v>
      </c>
      <c r="B66" s="112" t="s">
        <v>4141</v>
      </c>
      <c r="C66" s="125"/>
      <c r="D66" s="125"/>
      <c r="E66" s="112">
        <v>3.5215509147374E14</v>
      </c>
      <c r="F66" s="112">
        <v>58.0</v>
      </c>
      <c r="G66" s="112">
        <v>1.0</v>
      </c>
      <c r="H66" s="112" t="s">
        <v>4142</v>
      </c>
      <c r="I66" s="112">
        <v>22.5528693</v>
      </c>
      <c r="J66" s="112">
        <v>88.3988208</v>
      </c>
      <c r="K66" s="112">
        <v>-74.8000030517578</v>
      </c>
      <c r="L66" s="112">
        <v>5.0</v>
      </c>
      <c r="M66" s="112">
        <v>14.0</v>
      </c>
      <c r="N66" s="112">
        <v>145.0</v>
      </c>
      <c r="O66" s="112">
        <v>0.0</v>
      </c>
      <c r="P66" s="112">
        <v>1.0</v>
      </c>
      <c r="Q66" s="112">
        <v>0.0</v>
      </c>
      <c r="R66" s="112">
        <v>0.0</v>
      </c>
      <c r="S66" s="112">
        <v>0.0</v>
      </c>
      <c r="T66" s="112">
        <v>0.0</v>
      </c>
      <c r="U66" s="125"/>
      <c r="V66" s="125"/>
      <c r="W66" s="125"/>
      <c r="X66" s="125"/>
      <c r="Y66" s="112">
        <v>1052.0</v>
      </c>
      <c r="Z66" s="112">
        <v>1052.0</v>
      </c>
      <c r="AA66" s="112" t="s">
        <v>4143</v>
      </c>
      <c r="AB66" s="112">
        <v>1.0</v>
      </c>
      <c r="AC66" s="112">
        <v>0.0</v>
      </c>
      <c r="AD66" s="112">
        <v>0.0</v>
      </c>
      <c r="AE66" s="112">
        <v>1.0</v>
      </c>
      <c r="AF66" s="125"/>
      <c r="AG66" s="125"/>
      <c r="AH66" s="125"/>
      <c r="AI66" s="125"/>
      <c r="AJ66" s="125"/>
      <c r="AK66" s="125"/>
      <c r="AL66" s="125"/>
      <c r="AM66" s="125"/>
      <c r="AN66" s="125"/>
      <c r="AO66" s="125"/>
      <c r="AP66" s="125"/>
      <c r="AQ66" s="125"/>
      <c r="AR66" s="125"/>
      <c r="AS66" s="125"/>
      <c r="AT66" s="125"/>
      <c r="AU66" s="125"/>
      <c r="AV66" s="125"/>
      <c r="AW66" s="125"/>
      <c r="AX66" s="125"/>
      <c r="AY66" s="125"/>
      <c r="AZ66" s="125"/>
      <c r="BA66" s="125"/>
      <c r="BB66" s="125"/>
      <c r="BC66" s="125"/>
      <c r="BD66" s="125"/>
      <c r="BE66" s="125"/>
      <c r="BF66" s="125"/>
      <c r="BG66" s="125"/>
      <c r="BH66" s="125"/>
      <c r="BI66" s="125"/>
      <c r="BJ66" s="125"/>
      <c r="BK66" s="125"/>
      <c r="BL66" s="125"/>
      <c r="BM66" s="125"/>
      <c r="BN66" s="125"/>
      <c r="BO66" s="125"/>
      <c r="BP66" s="125"/>
      <c r="BQ66" s="125"/>
      <c r="BR66" s="125"/>
      <c r="BS66" s="125"/>
      <c r="BT66" s="125"/>
      <c r="BU66" s="125"/>
      <c r="BV66" s="125"/>
      <c r="BW66" s="125"/>
      <c r="BX66" s="125"/>
      <c r="BY66" s="125"/>
      <c r="BZ66" s="125"/>
      <c r="CA66" s="125"/>
      <c r="CB66" s="125"/>
      <c r="CC66" s="112" t="s">
        <v>535</v>
      </c>
      <c r="CD66" s="112">
        <v>4.0</v>
      </c>
      <c r="CE66" s="112">
        <v>0.0</v>
      </c>
      <c r="CF66" s="112">
        <v>0.0</v>
      </c>
      <c r="CG66" s="112">
        <v>0.0</v>
      </c>
      <c r="CH66" s="112">
        <v>0.0</v>
      </c>
      <c r="CI66" s="112">
        <v>0.0</v>
      </c>
      <c r="CJ66" s="112">
        <v>1.0</v>
      </c>
      <c r="CK66" s="125"/>
      <c r="CL66" s="112">
        <v>3.0</v>
      </c>
      <c r="CM66" s="112">
        <v>0.0</v>
      </c>
      <c r="CN66" s="112">
        <v>1.0</v>
      </c>
      <c r="CO66" s="112">
        <v>0.0</v>
      </c>
      <c r="CP66" s="112">
        <v>0.0</v>
      </c>
      <c r="CQ66" s="125"/>
      <c r="CR66" s="125"/>
      <c r="CS66" s="125"/>
      <c r="CT66" s="125"/>
      <c r="CU66" s="125"/>
      <c r="CV66" s="125"/>
      <c r="CW66" s="125"/>
      <c r="CX66" s="125"/>
      <c r="CY66" s="125"/>
      <c r="CZ66" s="125"/>
      <c r="DA66" s="125"/>
      <c r="DB66" s="125"/>
      <c r="DC66" s="125"/>
      <c r="DD66" s="125"/>
      <c r="DE66" s="125"/>
      <c r="DF66" s="125"/>
      <c r="DG66" s="125"/>
      <c r="DH66" s="125"/>
      <c r="DI66" s="125"/>
      <c r="DJ66" s="125"/>
      <c r="DK66" s="125"/>
      <c r="DL66" s="125"/>
      <c r="DM66" s="125"/>
      <c r="DN66" s="125"/>
      <c r="DO66" s="125"/>
      <c r="DP66" s="112">
        <v>0.0</v>
      </c>
      <c r="DQ66" s="125"/>
      <c r="DR66" s="125"/>
      <c r="DS66" s="125"/>
      <c r="DT66" s="125"/>
      <c r="DU66" s="125"/>
      <c r="DV66" s="125"/>
      <c r="DW66" s="125"/>
      <c r="DX66" s="125"/>
      <c r="DY66" s="125"/>
      <c r="DZ66" s="125"/>
      <c r="EA66" s="125"/>
      <c r="EB66" s="125"/>
      <c r="EC66" s="125"/>
      <c r="ED66" s="125"/>
      <c r="EE66" s="125"/>
      <c r="EF66" s="112" t="s">
        <v>3149</v>
      </c>
      <c r="EG66" s="112" t="s">
        <v>2278</v>
      </c>
      <c r="EH66" s="112">
        <v>1.0</v>
      </c>
      <c r="EI66" s="112" t="s">
        <v>3950</v>
      </c>
      <c r="EJ66" s="124">
        <v>5706.0</v>
      </c>
      <c r="EK66" s="112" t="s">
        <v>4145</v>
      </c>
      <c r="EL66" s="112" t="s">
        <v>4146</v>
      </c>
      <c r="EM66" s="124">
        <v>65.0</v>
      </c>
      <c r="EN66" s="105"/>
      <c r="EO66" s="105"/>
    </row>
    <row r="67">
      <c r="A67" s="112" t="s">
        <v>4147</v>
      </c>
      <c r="B67" s="112" t="s">
        <v>4148</v>
      </c>
      <c r="C67" s="125"/>
      <c r="D67" s="125"/>
      <c r="E67" s="112">
        <v>3.5215509147374E14</v>
      </c>
      <c r="F67" s="112">
        <v>58.0</v>
      </c>
      <c r="G67" s="112">
        <v>1.0</v>
      </c>
      <c r="H67" s="112" t="s">
        <v>4149</v>
      </c>
      <c r="I67" s="112">
        <v>22.5529145</v>
      </c>
      <c r="J67" s="112">
        <v>88.3988056</v>
      </c>
      <c r="K67" s="112">
        <v>-60.0</v>
      </c>
      <c r="L67" s="112">
        <v>5.0</v>
      </c>
      <c r="M67" s="112">
        <v>14.0</v>
      </c>
      <c r="N67" s="112">
        <v>141.0</v>
      </c>
      <c r="O67" s="112">
        <v>0.0</v>
      </c>
      <c r="P67" s="112">
        <v>0.0</v>
      </c>
      <c r="Q67" s="112">
        <v>0.0</v>
      </c>
      <c r="R67" s="112">
        <v>0.0</v>
      </c>
      <c r="S67" s="112">
        <v>1.0</v>
      </c>
      <c r="T67" s="112">
        <v>0.0</v>
      </c>
      <c r="U67" s="125"/>
      <c r="V67" s="125"/>
      <c r="W67" s="125"/>
      <c r="X67" s="125"/>
      <c r="Y67" s="112">
        <v>1052.0</v>
      </c>
      <c r="Z67" s="112">
        <v>1052.0</v>
      </c>
      <c r="AA67" s="112" t="s">
        <v>4150</v>
      </c>
      <c r="AB67" s="112">
        <v>1.0</v>
      </c>
      <c r="AC67" s="112">
        <v>0.0</v>
      </c>
      <c r="AD67" s="112">
        <v>0.0</v>
      </c>
      <c r="AE67" s="112">
        <v>1.0</v>
      </c>
      <c r="AF67" s="112" t="s">
        <v>532</v>
      </c>
      <c r="AG67" s="126">
        <v>43468.0</v>
      </c>
      <c r="AH67" s="112">
        <v>1.0</v>
      </c>
      <c r="AI67" s="112">
        <v>1.0</v>
      </c>
      <c r="AJ67" s="112">
        <v>0.0</v>
      </c>
      <c r="AK67" s="112">
        <v>0.0</v>
      </c>
      <c r="AL67" s="112">
        <v>0.0</v>
      </c>
      <c r="AM67" s="125"/>
      <c r="AN67" s="126">
        <v>43560.0</v>
      </c>
      <c r="AO67" s="112">
        <v>0.0</v>
      </c>
      <c r="AP67" s="112">
        <v>0.0</v>
      </c>
      <c r="AQ67" s="112">
        <v>0.0</v>
      </c>
      <c r="AR67" s="112">
        <v>0.0</v>
      </c>
      <c r="AS67" s="112">
        <v>1.0</v>
      </c>
      <c r="AT67" s="112">
        <v>1.0</v>
      </c>
      <c r="AU67" s="112">
        <v>0.0</v>
      </c>
      <c r="AV67" s="125"/>
      <c r="AW67" s="125"/>
      <c r="AX67" s="125"/>
      <c r="AY67" s="125"/>
      <c r="AZ67" s="125"/>
      <c r="BA67" s="125"/>
      <c r="BB67" s="125"/>
      <c r="BC67" s="125"/>
      <c r="BD67" s="125"/>
      <c r="BE67" s="125"/>
      <c r="BF67" s="125"/>
      <c r="BG67" s="125"/>
      <c r="BH67" s="125"/>
      <c r="BI67" s="125"/>
      <c r="BJ67" s="125"/>
      <c r="BK67" s="125"/>
      <c r="BL67" s="125"/>
      <c r="BM67" s="125"/>
      <c r="BN67" s="125"/>
      <c r="BO67" s="125"/>
      <c r="BP67" s="125"/>
      <c r="BQ67" s="125"/>
      <c r="BR67" s="125"/>
      <c r="BS67" s="125"/>
      <c r="BT67" s="125"/>
      <c r="BU67" s="125"/>
      <c r="BV67" s="125"/>
      <c r="BW67" s="125"/>
      <c r="BX67" s="125"/>
      <c r="BY67" s="125"/>
      <c r="BZ67" s="125"/>
      <c r="CA67" s="125"/>
      <c r="CB67" s="125"/>
      <c r="CC67" s="125"/>
      <c r="CD67" s="125"/>
      <c r="CE67" s="125"/>
      <c r="CF67" s="125"/>
      <c r="CG67" s="125"/>
      <c r="CH67" s="125"/>
      <c r="CI67" s="125"/>
      <c r="CJ67" s="125"/>
      <c r="CK67" s="125"/>
      <c r="CL67" s="125"/>
      <c r="CM67" s="125"/>
      <c r="CN67" s="125"/>
      <c r="CO67" s="125"/>
      <c r="CP67" s="125"/>
      <c r="CQ67" s="125"/>
      <c r="CR67" s="125"/>
      <c r="CS67" s="125"/>
      <c r="CT67" s="125"/>
      <c r="CU67" s="125"/>
      <c r="CV67" s="125"/>
      <c r="CW67" s="125"/>
      <c r="CX67" s="125"/>
      <c r="CY67" s="125"/>
      <c r="CZ67" s="125"/>
      <c r="DA67" s="125"/>
      <c r="DB67" s="125"/>
      <c r="DC67" s="125"/>
      <c r="DD67" s="125"/>
      <c r="DE67" s="125"/>
      <c r="DF67" s="125"/>
      <c r="DG67" s="125"/>
      <c r="DH67" s="125"/>
      <c r="DI67" s="125"/>
      <c r="DJ67" s="125"/>
      <c r="DK67" s="125"/>
      <c r="DL67" s="125"/>
      <c r="DM67" s="125"/>
      <c r="DN67" s="125"/>
      <c r="DO67" s="125"/>
      <c r="DP67" s="112">
        <v>0.0</v>
      </c>
      <c r="DQ67" s="125"/>
      <c r="DR67" s="125"/>
      <c r="DS67" s="125"/>
      <c r="DT67" s="125"/>
      <c r="DU67" s="125"/>
      <c r="DV67" s="125"/>
      <c r="DW67" s="125"/>
      <c r="DX67" s="125"/>
      <c r="DY67" s="125"/>
      <c r="DZ67" s="125"/>
      <c r="EA67" s="125"/>
      <c r="EB67" s="125"/>
      <c r="EC67" s="125"/>
      <c r="ED67" s="125"/>
      <c r="EE67" s="125"/>
      <c r="EF67" s="112" t="s">
        <v>3149</v>
      </c>
      <c r="EG67" s="112" t="s">
        <v>2278</v>
      </c>
      <c r="EH67" s="112">
        <v>1.0</v>
      </c>
      <c r="EI67" s="112" t="s">
        <v>3950</v>
      </c>
      <c r="EJ67" s="124">
        <v>5707.0</v>
      </c>
      <c r="EK67" s="112" t="s">
        <v>4151</v>
      </c>
      <c r="EL67" s="112" t="s">
        <v>4152</v>
      </c>
      <c r="EM67" s="124">
        <v>66.0</v>
      </c>
      <c r="EN67" s="105"/>
      <c r="EO67" s="105"/>
    </row>
    <row r="68">
      <c r="A68" s="112" t="s">
        <v>4153</v>
      </c>
      <c r="B68" s="112" t="s">
        <v>4154</v>
      </c>
      <c r="C68" s="125"/>
      <c r="D68" s="125"/>
      <c r="E68" s="112">
        <v>3.5215509147374E14</v>
      </c>
      <c r="F68" s="112">
        <v>58.0</v>
      </c>
      <c r="G68" s="112">
        <v>1.0</v>
      </c>
      <c r="H68" s="112" t="s">
        <v>4155</v>
      </c>
      <c r="I68" s="112">
        <v>22.5528677</v>
      </c>
      <c r="J68" s="112">
        <v>88.3988329</v>
      </c>
      <c r="K68" s="112">
        <v>-48.2999992370605</v>
      </c>
      <c r="L68" s="112">
        <v>5.0</v>
      </c>
      <c r="M68" s="112">
        <v>14.0</v>
      </c>
      <c r="N68" s="112">
        <v>143.0</v>
      </c>
      <c r="O68" s="112">
        <v>0.0</v>
      </c>
      <c r="P68" s="112">
        <v>0.0</v>
      </c>
      <c r="Q68" s="112">
        <v>0.0</v>
      </c>
      <c r="R68" s="112">
        <v>1.0</v>
      </c>
      <c r="S68" s="112">
        <v>0.0</v>
      </c>
      <c r="T68" s="112">
        <v>0.0</v>
      </c>
      <c r="U68" s="125"/>
      <c r="V68" s="125"/>
      <c r="W68" s="125"/>
      <c r="X68" s="125"/>
      <c r="Y68" s="112">
        <v>1052.0</v>
      </c>
      <c r="Z68" s="112">
        <v>1052.0</v>
      </c>
      <c r="AA68" s="112" t="s">
        <v>4156</v>
      </c>
      <c r="AB68" s="112">
        <v>1.0</v>
      </c>
      <c r="AC68" s="112">
        <v>0.0</v>
      </c>
      <c r="AD68" s="112">
        <v>0.0</v>
      </c>
      <c r="AE68" s="112">
        <v>1.0</v>
      </c>
      <c r="AF68" s="125"/>
      <c r="AG68" s="125"/>
      <c r="AH68" s="125"/>
      <c r="AI68" s="125"/>
      <c r="AJ68" s="125"/>
      <c r="AK68" s="125"/>
      <c r="AL68" s="125"/>
      <c r="AM68" s="125"/>
      <c r="AN68" s="125"/>
      <c r="AO68" s="125"/>
      <c r="AP68" s="125"/>
      <c r="AQ68" s="125"/>
      <c r="AR68" s="125"/>
      <c r="AS68" s="125"/>
      <c r="AT68" s="125"/>
      <c r="AU68" s="125"/>
      <c r="AV68" s="125"/>
      <c r="AW68" s="125"/>
      <c r="AX68" s="125"/>
      <c r="AY68" s="125"/>
      <c r="AZ68" s="125"/>
      <c r="BA68" s="125"/>
      <c r="BB68" s="125"/>
      <c r="BC68" s="125"/>
      <c r="BD68" s="125"/>
      <c r="BE68" s="112" t="s">
        <v>533</v>
      </c>
      <c r="BF68" s="112">
        <v>1.0</v>
      </c>
      <c r="BG68" s="112">
        <v>1.0</v>
      </c>
      <c r="BH68" s="112">
        <v>0.0</v>
      </c>
      <c r="BI68" s="112">
        <v>0.0</v>
      </c>
      <c r="BJ68" s="112">
        <v>0.0</v>
      </c>
      <c r="BK68" s="125"/>
      <c r="BL68" s="112">
        <v>3.0</v>
      </c>
      <c r="BM68" s="112">
        <v>0.0</v>
      </c>
      <c r="BN68" s="112">
        <v>0.0</v>
      </c>
      <c r="BO68" s="112">
        <v>1.0</v>
      </c>
      <c r="BP68" s="112">
        <v>0.0</v>
      </c>
      <c r="BQ68" s="112">
        <v>0.0</v>
      </c>
      <c r="BR68" s="112">
        <v>0.0</v>
      </c>
      <c r="BS68" s="112">
        <v>0.0</v>
      </c>
      <c r="BT68" s="125"/>
      <c r="BU68" s="125"/>
      <c r="BV68" s="125"/>
      <c r="BW68" s="125"/>
      <c r="BX68" s="125"/>
      <c r="BY68" s="125"/>
      <c r="BZ68" s="125"/>
      <c r="CA68" s="125"/>
      <c r="CB68" s="125"/>
      <c r="CC68" s="125"/>
      <c r="CD68" s="125"/>
      <c r="CE68" s="125"/>
      <c r="CF68" s="125"/>
      <c r="CG68" s="125"/>
      <c r="CH68" s="125"/>
      <c r="CI68" s="125"/>
      <c r="CJ68" s="125"/>
      <c r="CK68" s="125"/>
      <c r="CL68" s="125"/>
      <c r="CM68" s="125"/>
      <c r="CN68" s="125"/>
      <c r="CO68" s="125"/>
      <c r="CP68" s="125"/>
      <c r="CQ68" s="125"/>
      <c r="CR68" s="125"/>
      <c r="CS68" s="125"/>
      <c r="CT68" s="125"/>
      <c r="CU68" s="125"/>
      <c r="CV68" s="125"/>
      <c r="CW68" s="125"/>
      <c r="CX68" s="125"/>
      <c r="CY68" s="125"/>
      <c r="CZ68" s="125"/>
      <c r="DA68" s="125"/>
      <c r="DB68" s="125"/>
      <c r="DC68" s="125"/>
      <c r="DD68" s="125"/>
      <c r="DE68" s="125"/>
      <c r="DF68" s="125"/>
      <c r="DG68" s="125"/>
      <c r="DH68" s="125"/>
      <c r="DI68" s="125"/>
      <c r="DJ68" s="125"/>
      <c r="DK68" s="125"/>
      <c r="DL68" s="125"/>
      <c r="DM68" s="125"/>
      <c r="DN68" s="125"/>
      <c r="DO68" s="125"/>
      <c r="DP68" s="112">
        <v>0.0</v>
      </c>
      <c r="DQ68" s="125"/>
      <c r="DR68" s="125"/>
      <c r="DS68" s="125"/>
      <c r="DT68" s="125"/>
      <c r="DU68" s="125"/>
      <c r="DV68" s="125"/>
      <c r="DW68" s="125"/>
      <c r="DX68" s="125"/>
      <c r="DY68" s="125"/>
      <c r="DZ68" s="125"/>
      <c r="EA68" s="125"/>
      <c r="EB68" s="125"/>
      <c r="EC68" s="125"/>
      <c r="ED68" s="125"/>
      <c r="EE68" s="125"/>
      <c r="EF68" s="112" t="s">
        <v>3149</v>
      </c>
      <c r="EG68" s="112" t="s">
        <v>2278</v>
      </c>
      <c r="EH68" s="112">
        <v>1.0</v>
      </c>
      <c r="EI68" s="112" t="s">
        <v>3950</v>
      </c>
      <c r="EJ68" s="124">
        <v>5708.0</v>
      </c>
      <c r="EK68" s="112" t="s">
        <v>4157</v>
      </c>
      <c r="EL68" s="112" t="s">
        <v>4158</v>
      </c>
      <c r="EM68" s="124">
        <v>67.0</v>
      </c>
      <c r="EN68" s="105"/>
      <c r="EO68" s="105"/>
    </row>
    <row r="69">
      <c r="A69" s="112" t="s">
        <v>4159</v>
      </c>
      <c r="B69" s="112" t="s">
        <v>4160</v>
      </c>
      <c r="C69" s="125"/>
      <c r="D69" s="125"/>
      <c r="E69" s="112">
        <v>3.5215509147374E14</v>
      </c>
      <c r="F69" s="112">
        <v>58.0</v>
      </c>
      <c r="G69" s="112">
        <v>1.0</v>
      </c>
      <c r="H69" s="112" t="s">
        <v>4161</v>
      </c>
      <c r="I69" s="112">
        <v>22.5529219</v>
      </c>
      <c r="J69" s="112">
        <v>88.398816</v>
      </c>
      <c r="K69" s="112">
        <v>-60.0</v>
      </c>
      <c r="L69" s="112">
        <v>5.0</v>
      </c>
      <c r="M69" s="112">
        <v>14.0</v>
      </c>
      <c r="N69" s="112">
        <v>149.0</v>
      </c>
      <c r="O69" s="112">
        <v>0.0</v>
      </c>
      <c r="P69" s="112">
        <v>0.0</v>
      </c>
      <c r="Q69" s="112">
        <v>0.0</v>
      </c>
      <c r="R69" s="112">
        <v>0.0</v>
      </c>
      <c r="S69" s="112">
        <v>0.0</v>
      </c>
      <c r="T69" s="112">
        <v>1.0</v>
      </c>
      <c r="U69" s="125"/>
      <c r="V69" s="125"/>
      <c r="W69" s="125"/>
      <c r="X69" s="125"/>
      <c r="Y69" s="112">
        <v>1052.0</v>
      </c>
      <c r="Z69" s="112">
        <v>1052.0</v>
      </c>
      <c r="AA69" s="112" t="s">
        <v>4162</v>
      </c>
      <c r="AB69" s="112">
        <v>1.0</v>
      </c>
      <c r="AC69" s="112">
        <v>0.0</v>
      </c>
      <c r="AD69" s="112">
        <v>0.0</v>
      </c>
      <c r="AE69" s="112">
        <v>1.0</v>
      </c>
      <c r="AF69" s="125"/>
      <c r="AG69" s="125"/>
      <c r="AH69" s="125"/>
      <c r="AI69" s="125"/>
      <c r="AJ69" s="125"/>
      <c r="AK69" s="125"/>
      <c r="AL69" s="125"/>
      <c r="AM69" s="125"/>
      <c r="AN69" s="125"/>
      <c r="AO69" s="125"/>
      <c r="AP69" s="125"/>
      <c r="AQ69" s="125"/>
      <c r="AR69" s="125"/>
      <c r="AS69" s="125"/>
      <c r="AT69" s="125"/>
      <c r="AU69" s="125"/>
      <c r="AV69" s="125"/>
      <c r="AW69" s="125"/>
      <c r="AX69" s="125"/>
      <c r="AY69" s="125"/>
      <c r="AZ69" s="125"/>
      <c r="BA69" s="125"/>
      <c r="BB69" s="125"/>
      <c r="BC69" s="125"/>
      <c r="BD69" s="125"/>
      <c r="BE69" s="125"/>
      <c r="BF69" s="125"/>
      <c r="BG69" s="125"/>
      <c r="BH69" s="125"/>
      <c r="BI69" s="125"/>
      <c r="BJ69" s="125"/>
      <c r="BK69" s="125"/>
      <c r="BL69" s="125"/>
      <c r="BM69" s="125"/>
      <c r="BN69" s="125"/>
      <c r="BO69" s="125"/>
      <c r="BP69" s="125"/>
      <c r="BQ69" s="125"/>
      <c r="BR69" s="125"/>
      <c r="BS69" s="125"/>
      <c r="BT69" s="125"/>
      <c r="BU69" s="125"/>
      <c r="BV69" s="125"/>
      <c r="BW69" s="125"/>
      <c r="BX69" s="125"/>
      <c r="BY69" s="125"/>
      <c r="BZ69" s="125"/>
      <c r="CA69" s="125"/>
      <c r="CB69" s="125"/>
      <c r="CC69" s="125"/>
      <c r="CD69" s="125"/>
      <c r="CE69" s="125"/>
      <c r="CF69" s="125"/>
      <c r="CG69" s="125"/>
      <c r="CH69" s="125"/>
      <c r="CI69" s="125"/>
      <c r="CJ69" s="125"/>
      <c r="CK69" s="125"/>
      <c r="CL69" s="125"/>
      <c r="CM69" s="125"/>
      <c r="CN69" s="125"/>
      <c r="CO69" s="125"/>
      <c r="CP69" s="125"/>
      <c r="CQ69" s="125"/>
      <c r="CR69" s="125"/>
      <c r="CS69" s="125"/>
      <c r="CT69" s="125"/>
      <c r="CU69" s="125"/>
      <c r="CV69" s="125"/>
      <c r="CW69" s="125"/>
      <c r="CX69" s="125"/>
      <c r="CY69" s="125"/>
      <c r="CZ69" s="125"/>
      <c r="DA69" s="125"/>
      <c r="DB69" s="125"/>
      <c r="DC69" s="125"/>
      <c r="DD69" s="125"/>
      <c r="DE69" s="125"/>
      <c r="DF69" s="125"/>
      <c r="DG69" s="125"/>
      <c r="DH69" s="125"/>
      <c r="DI69" s="125"/>
      <c r="DJ69" s="125"/>
      <c r="DK69" s="125"/>
      <c r="DL69" s="125"/>
      <c r="DM69" s="125"/>
      <c r="DN69" s="125"/>
      <c r="DO69" s="125"/>
      <c r="DP69" s="112">
        <v>0.0</v>
      </c>
      <c r="DQ69" s="125"/>
      <c r="DR69" s="125"/>
      <c r="DS69" s="125"/>
      <c r="DT69" s="125"/>
      <c r="DU69" s="125"/>
      <c r="DV69" s="125"/>
      <c r="DW69" s="125"/>
      <c r="DX69" s="125"/>
      <c r="DY69" s="125"/>
      <c r="DZ69" s="125"/>
      <c r="EA69" s="125"/>
      <c r="EB69" s="125"/>
      <c r="EC69" s="125"/>
      <c r="ED69" s="125"/>
      <c r="EE69" s="125"/>
      <c r="EF69" s="112" t="s">
        <v>3149</v>
      </c>
      <c r="EG69" s="112" t="s">
        <v>2278</v>
      </c>
      <c r="EH69" s="112">
        <v>1.0</v>
      </c>
      <c r="EI69" s="112" t="s">
        <v>3950</v>
      </c>
      <c r="EJ69" s="124">
        <v>5709.0</v>
      </c>
      <c r="EK69" s="112" t="s">
        <v>4163</v>
      </c>
      <c r="EL69" s="112" t="s">
        <v>4164</v>
      </c>
      <c r="EM69" s="124">
        <v>68.0</v>
      </c>
      <c r="EN69" s="105"/>
      <c r="EO69" s="105"/>
    </row>
    <row r="70">
      <c r="A70" s="74" t="s">
        <v>675</v>
      </c>
      <c r="B70" s="74" t="s">
        <v>4165</v>
      </c>
      <c r="C70" s="119"/>
      <c r="D70" s="119"/>
      <c r="E70" s="74">
        <v>3.5215509147374E14</v>
      </c>
      <c r="F70" s="74">
        <v>58.0</v>
      </c>
      <c r="G70" s="74">
        <v>2.0</v>
      </c>
      <c r="H70" s="74" t="s">
        <v>4166</v>
      </c>
      <c r="I70" s="74">
        <v>22.551699</v>
      </c>
      <c r="J70" s="74">
        <v>88.3961732</v>
      </c>
      <c r="K70" s="74">
        <v>-44.5</v>
      </c>
      <c r="L70" s="74">
        <v>5.0</v>
      </c>
      <c r="M70" s="74">
        <v>15.0</v>
      </c>
      <c r="N70" s="119"/>
      <c r="O70" s="119"/>
      <c r="P70" s="119"/>
      <c r="Q70" s="119"/>
      <c r="R70" s="119"/>
      <c r="S70" s="119"/>
      <c r="T70" s="119"/>
      <c r="U70" s="74">
        <v>151.0</v>
      </c>
      <c r="V70" s="74">
        <v>1.0</v>
      </c>
      <c r="W70" s="74">
        <v>0.0</v>
      </c>
      <c r="X70" s="74">
        <v>0.0</v>
      </c>
      <c r="Y70" s="74">
        <v>2011.0</v>
      </c>
      <c r="Z70" s="74">
        <v>2011.0</v>
      </c>
      <c r="AA70" s="74" t="s">
        <v>4167</v>
      </c>
      <c r="AB70" s="74">
        <v>1.0</v>
      </c>
      <c r="AC70" s="74">
        <v>0.0</v>
      </c>
      <c r="AD70" s="74">
        <v>1.0</v>
      </c>
      <c r="AE70" s="119"/>
      <c r="AF70" s="119"/>
      <c r="AG70" s="119"/>
      <c r="AH70" s="119"/>
      <c r="AI70" s="119"/>
      <c r="AJ70" s="119"/>
      <c r="AK70" s="119"/>
      <c r="AL70" s="119"/>
      <c r="AM70" s="119"/>
      <c r="AN70" s="119"/>
      <c r="AO70" s="119"/>
      <c r="AP70" s="119"/>
      <c r="AQ70" s="119"/>
      <c r="AR70" s="119"/>
      <c r="AS70" s="119"/>
      <c r="AT70" s="119"/>
      <c r="AU70" s="119"/>
      <c r="AV70" s="119"/>
      <c r="AW70" s="119"/>
      <c r="AX70" s="119"/>
      <c r="AY70" s="119"/>
      <c r="AZ70" s="119"/>
      <c r="BA70" s="119"/>
      <c r="BB70" s="119"/>
      <c r="BC70" s="119"/>
      <c r="BD70" s="119"/>
      <c r="BE70" s="119"/>
      <c r="BF70" s="119"/>
      <c r="BG70" s="119"/>
      <c r="BH70" s="119"/>
      <c r="BI70" s="119"/>
      <c r="BJ70" s="119"/>
      <c r="BK70" s="119"/>
      <c r="BL70" s="119"/>
      <c r="BM70" s="119"/>
      <c r="BN70" s="119"/>
      <c r="BO70" s="119"/>
      <c r="BP70" s="119"/>
      <c r="BQ70" s="119"/>
      <c r="BR70" s="119"/>
      <c r="BS70" s="119"/>
      <c r="BT70" s="119"/>
      <c r="BU70" s="119"/>
      <c r="BV70" s="119"/>
      <c r="BW70" s="119"/>
      <c r="BX70" s="119"/>
      <c r="BY70" s="119"/>
      <c r="BZ70" s="119"/>
      <c r="CA70" s="119"/>
      <c r="CB70" s="119"/>
      <c r="CC70" s="119"/>
      <c r="CD70" s="119"/>
      <c r="CE70" s="119"/>
      <c r="CF70" s="119"/>
      <c r="CG70" s="119"/>
      <c r="CH70" s="119"/>
      <c r="CI70" s="119"/>
      <c r="CJ70" s="119"/>
      <c r="CK70" s="119"/>
      <c r="CL70" s="119"/>
      <c r="CM70" s="119"/>
      <c r="CN70" s="119"/>
      <c r="CO70" s="119"/>
      <c r="CP70" s="119"/>
      <c r="CQ70" s="119"/>
      <c r="CR70" s="74" t="s">
        <v>676</v>
      </c>
      <c r="CS70" s="74">
        <v>2.0</v>
      </c>
      <c r="CT70" s="119"/>
      <c r="CU70" s="74">
        <v>0.0</v>
      </c>
      <c r="CV70" s="74">
        <v>0.0</v>
      </c>
      <c r="CW70" s="119"/>
      <c r="CX70" s="119"/>
      <c r="CY70" s="119"/>
      <c r="CZ70" s="119"/>
      <c r="DA70" s="119"/>
      <c r="DB70" s="119"/>
      <c r="DC70" s="119"/>
      <c r="DD70" s="119"/>
      <c r="DE70" s="119"/>
      <c r="DF70" s="119"/>
      <c r="DG70" s="119"/>
      <c r="DH70" s="119"/>
      <c r="DI70" s="119"/>
      <c r="DJ70" s="119"/>
      <c r="DK70" s="119"/>
      <c r="DL70" s="119"/>
      <c r="DM70" s="119"/>
      <c r="DN70" s="119"/>
      <c r="DO70" s="119"/>
      <c r="DP70" s="74">
        <v>0.0</v>
      </c>
      <c r="DQ70" s="119"/>
      <c r="DR70" s="119"/>
      <c r="DS70" s="119"/>
      <c r="DT70" s="119"/>
      <c r="DU70" s="119"/>
      <c r="DV70" s="119"/>
      <c r="DW70" s="119"/>
      <c r="DX70" s="119"/>
      <c r="DY70" s="119"/>
      <c r="DZ70" s="119"/>
      <c r="EA70" s="119"/>
      <c r="EB70" s="119"/>
      <c r="EC70" s="119"/>
      <c r="ED70" s="119"/>
      <c r="EE70" s="119"/>
      <c r="EF70" s="74" t="s">
        <v>3149</v>
      </c>
      <c r="EG70" s="74" t="s">
        <v>2472</v>
      </c>
      <c r="EH70" s="74">
        <v>1.0</v>
      </c>
      <c r="EI70" s="74" t="s">
        <v>3950</v>
      </c>
      <c r="EJ70" s="120">
        <v>7242.0</v>
      </c>
      <c r="EK70" s="74" t="s">
        <v>4169</v>
      </c>
      <c r="EL70" s="74" t="s">
        <v>4170</v>
      </c>
      <c r="EM70" s="120">
        <v>69.0</v>
      </c>
    </row>
    <row r="71">
      <c r="A71" s="74" t="s">
        <v>677</v>
      </c>
      <c r="B71" s="74" t="s">
        <v>4171</v>
      </c>
      <c r="C71" s="119"/>
      <c r="D71" s="119"/>
      <c r="E71" s="74">
        <v>3.5215509147374E14</v>
      </c>
      <c r="F71" s="74">
        <v>58.0</v>
      </c>
      <c r="G71" s="74">
        <v>2.0</v>
      </c>
      <c r="H71" s="74" t="s">
        <v>4172</v>
      </c>
      <c r="I71" s="74">
        <v>22.5517365</v>
      </c>
      <c r="J71" s="74">
        <v>88.3961228</v>
      </c>
      <c r="K71" s="74">
        <v>-60.0</v>
      </c>
      <c r="L71" s="74">
        <v>5.0</v>
      </c>
      <c r="M71" s="74">
        <v>15.0</v>
      </c>
      <c r="N71" s="119"/>
      <c r="O71" s="119"/>
      <c r="P71" s="119"/>
      <c r="Q71" s="119"/>
      <c r="R71" s="119"/>
      <c r="S71" s="119"/>
      <c r="T71" s="119"/>
      <c r="U71" s="74">
        <v>152.0</v>
      </c>
      <c r="V71" s="74">
        <v>0.0</v>
      </c>
      <c r="W71" s="74">
        <v>0.0</v>
      </c>
      <c r="X71" s="74">
        <v>1.0</v>
      </c>
      <c r="Y71" s="74">
        <v>2011.0</v>
      </c>
      <c r="Z71" s="74">
        <v>2011.0</v>
      </c>
      <c r="AA71" s="74" t="s">
        <v>4174</v>
      </c>
      <c r="AB71" s="74">
        <v>1.0</v>
      </c>
      <c r="AC71" s="74">
        <v>0.0</v>
      </c>
      <c r="AD71" s="74">
        <v>1.0</v>
      </c>
      <c r="AE71" s="119"/>
      <c r="AF71" s="119"/>
      <c r="AG71" s="119"/>
      <c r="AH71" s="119"/>
      <c r="AI71" s="119"/>
      <c r="AJ71" s="119"/>
      <c r="AK71" s="119"/>
      <c r="AL71" s="119"/>
      <c r="AM71" s="119"/>
      <c r="AN71" s="119"/>
      <c r="AO71" s="119"/>
      <c r="AP71" s="119"/>
      <c r="AQ71" s="119"/>
      <c r="AR71" s="119"/>
      <c r="AS71" s="119"/>
      <c r="AT71" s="119"/>
      <c r="AU71" s="119"/>
      <c r="AV71" s="119"/>
      <c r="AW71" s="119"/>
      <c r="AX71" s="119"/>
      <c r="AY71" s="119"/>
      <c r="AZ71" s="119"/>
      <c r="BA71" s="119"/>
      <c r="BB71" s="119"/>
      <c r="BC71" s="119"/>
      <c r="BD71" s="119"/>
      <c r="BE71" s="119"/>
      <c r="BF71" s="119"/>
      <c r="BG71" s="119"/>
      <c r="BH71" s="119"/>
      <c r="BI71" s="119"/>
      <c r="BJ71" s="119"/>
      <c r="BK71" s="119"/>
      <c r="BL71" s="119"/>
      <c r="BM71" s="119"/>
      <c r="BN71" s="119"/>
      <c r="BO71" s="119"/>
      <c r="BP71" s="119"/>
      <c r="BQ71" s="119"/>
      <c r="BR71" s="119"/>
      <c r="BS71" s="119"/>
      <c r="BT71" s="119"/>
      <c r="BU71" s="119"/>
      <c r="BV71" s="119"/>
      <c r="BW71" s="119"/>
      <c r="BX71" s="119"/>
      <c r="BY71" s="119"/>
      <c r="BZ71" s="119"/>
      <c r="CA71" s="119"/>
      <c r="CB71" s="119"/>
      <c r="CC71" s="119"/>
      <c r="CD71" s="119"/>
      <c r="CE71" s="119"/>
      <c r="CF71" s="119"/>
      <c r="CG71" s="119"/>
      <c r="CH71" s="119"/>
      <c r="CI71" s="119"/>
      <c r="CJ71" s="119"/>
      <c r="CK71" s="119"/>
      <c r="CL71" s="119"/>
      <c r="CM71" s="119"/>
      <c r="CN71" s="119"/>
      <c r="CO71" s="119"/>
      <c r="CP71" s="119"/>
      <c r="CQ71" s="119"/>
      <c r="CR71" s="119"/>
      <c r="CS71" s="119"/>
      <c r="CT71" s="119"/>
      <c r="CU71" s="119"/>
      <c r="CV71" s="119"/>
      <c r="CW71" s="74">
        <v>3.0</v>
      </c>
      <c r="CX71" s="119"/>
      <c r="CY71" s="74" t="s">
        <v>678</v>
      </c>
      <c r="CZ71" s="74">
        <v>88.0</v>
      </c>
      <c r="DA71" s="74" t="s">
        <v>3925</v>
      </c>
      <c r="DB71" s="74">
        <v>88.0</v>
      </c>
      <c r="DC71" s="74" t="s">
        <v>4175</v>
      </c>
      <c r="DD71" s="74">
        <v>1.0</v>
      </c>
      <c r="DE71" s="74" t="s">
        <v>679</v>
      </c>
      <c r="DF71" s="74">
        <v>88.0</v>
      </c>
      <c r="DG71" s="74" t="s">
        <v>4176</v>
      </c>
      <c r="DH71" s="74">
        <v>88.0</v>
      </c>
      <c r="DI71" s="74" t="s">
        <v>4177</v>
      </c>
      <c r="DJ71" s="74">
        <v>1.0</v>
      </c>
      <c r="DK71" s="74" t="s">
        <v>681</v>
      </c>
      <c r="DL71" s="74">
        <v>88.0</v>
      </c>
      <c r="DM71" s="74" t="s">
        <v>4179</v>
      </c>
      <c r="DN71" s="74">
        <v>2.0</v>
      </c>
      <c r="DO71" s="119"/>
      <c r="DP71" s="74">
        <v>0.0</v>
      </c>
      <c r="DQ71" s="119"/>
      <c r="DR71" s="119"/>
      <c r="DS71" s="119"/>
      <c r="DT71" s="119"/>
      <c r="DU71" s="119"/>
      <c r="DV71" s="119"/>
      <c r="DW71" s="119"/>
      <c r="DX71" s="119"/>
      <c r="DY71" s="119"/>
      <c r="DZ71" s="119"/>
      <c r="EA71" s="119"/>
      <c r="EB71" s="119"/>
      <c r="EC71" s="119"/>
      <c r="ED71" s="119"/>
      <c r="EE71" s="119"/>
      <c r="EF71" s="74" t="s">
        <v>3149</v>
      </c>
      <c r="EG71" s="74" t="s">
        <v>2472</v>
      </c>
      <c r="EH71" s="74">
        <v>1.0</v>
      </c>
      <c r="EI71" s="74" t="s">
        <v>3950</v>
      </c>
      <c r="EJ71" s="120">
        <v>7243.0</v>
      </c>
      <c r="EK71" s="74" t="s">
        <v>4180</v>
      </c>
      <c r="EL71" s="74" t="s">
        <v>4181</v>
      </c>
      <c r="EM71" s="120">
        <v>70.0</v>
      </c>
    </row>
    <row r="72">
      <c r="A72" s="74" t="s">
        <v>683</v>
      </c>
      <c r="B72" s="74" t="s">
        <v>4182</v>
      </c>
      <c r="C72" s="119"/>
      <c r="D72" s="119"/>
      <c r="E72" s="74">
        <v>3.5215509147374E14</v>
      </c>
      <c r="F72" s="74">
        <v>58.0</v>
      </c>
      <c r="G72" s="74">
        <v>2.0</v>
      </c>
      <c r="H72" s="74" t="s">
        <v>4183</v>
      </c>
      <c r="I72" s="74">
        <v>22.5517086</v>
      </c>
      <c r="J72" s="74">
        <v>88.3961435</v>
      </c>
      <c r="K72" s="74">
        <v>-67.6999969482421</v>
      </c>
      <c r="L72" s="74">
        <v>4.5</v>
      </c>
      <c r="M72" s="74">
        <v>15.0</v>
      </c>
      <c r="N72" s="119"/>
      <c r="O72" s="119"/>
      <c r="P72" s="119"/>
      <c r="Q72" s="119"/>
      <c r="R72" s="119"/>
      <c r="S72" s="119"/>
      <c r="T72" s="119"/>
      <c r="U72" s="74">
        <v>159.0</v>
      </c>
      <c r="V72" s="74">
        <v>0.0</v>
      </c>
      <c r="W72" s="74">
        <v>1.0</v>
      </c>
      <c r="X72" s="74">
        <v>0.0</v>
      </c>
      <c r="Y72" s="74">
        <v>2011.0</v>
      </c>
      <c r="Z72" s="74">
        <v>2011.0</v>
      </c>
      <c r="AA72" s="74" t="s">
        <v>4184</v>
      </c>
      <c r="AB72" s="74">
        <v>1.0</v>
      </c>
      <c r="AC72" s="74">
        <v>0.0</v>
      </c>
      <c r="AD72" s="74">
        <v>1.0</v>
      </c>
      <c r="AE72" s="119"/>
      <c r="AF72" s="119"/>
      <c r="AG72" s="119"/>
      <c r="AH72" s="119"/>
      <c r="AI72" s="119"/>
      <c r="AJ72" s="119"/>
      <c r="AK72" s="119"/>
      <c r="AL72" s="119"/>
      <c r="AM72" s="119"/>
      <c r="AN72" s="119"/>
      <c r="AO72" s="119"/>
      <c r="AP72" s="119"/>
      <c r="AQ72" s="119"/>
      <c r="AR72" s="119"/>
      <c r="AS72" s="119"/>
      <c r="AT72" s="119"/>
      <c r="AU72" s="119"/>
      <c r="AV72" s="119"/>
      <c r="AW72" s="119"/>
      <c r="AX72" s="119"/>
      <c r="AY72" s="119"/>
      <c r="AZ72" s="119"/>
      <c r="BA72" s="119"/>
      <c r="BB72" s="119"/>
      <c r="BC72" s="119"/>
      <c r="BD72" s="119"/>
      <c r="BE72" s="119"/>
      <c r="BF72" s="119"/>
      <c r="BG72" s="119"/>
      <c r="BH72" s="119"/>
      <c r="BI72" s="119"/>
      <c r="BJ72" s="119"/>
      <c r="BK72" s="119"/>
      <c r="BL72" s="119"/>
      <c r="BM72" s="119"/>
      <c r="BN72" s="119"/>
      <c r="BO72" s="119"/>
      <c r="BP72" s="119"/>
      <c r="BQ72" s="119"/>
      <c r="BR72" s="119"/>
      <c r="BS72" s="119"/>
      <c r="BT72" s="119"/>
      <c r="BU72" s="119"/>
      <c r="BV72" s="119"/>
      <c r="BW72" s="119"/>
      <c r="BX72" s="119"/>
      <c r="BY72" s="119"/>
      <c r="BZ72" s="119"/>
      <c r="CA72" s="119"/>
      <c r="CB72" s="119"/>
      <c r="CC72" s="119"/>
      <c r="CD72" s="119"/>
      <c r="CE72" s="119"/>
      <c r="CF72" s="119"/>
      <c r="CG72" s="119"/>
      <c r="CH72" s="119"/>
      <c r="CI72" s="119"/>
      <c r="CJ72" s="119"/>
      <c r="CK72" s="119"/>
      <c r="CL72" s="119"/>
      <c r="CM72" s="119"/>
      <c r="CN72" s="119"/>
      <c r="CO72" s="119"/>
      <c r="CP72" s="119"/>
      <c r="CQ72" s="119"/>
      <c r="CR72" s="119"/>
      <c r="CS72" s="119"/>
      <c r="CT72" s="119"/>
      <c r="CU72" s="119"/>
      <c r="CV72" s="119"/>
      <c r="CW72" s="119"/>
      <c r="CX72" s="119"/>
      <c r="CY72" s="119"/>
      <c r="CZ72" s="119"/>
      <c r="DA72" s="119"/>
      <c r="DB72" s="119"/>
      <c r="DC72" s="119"/>
      <c r="DD72" s="119"/>
      <c r="DE72" s="119"/>
      <c r="DF72" s="119"/>
      <c r="DG72" s="119"/>
      <c r="DH72" s="119"/>
      <c r="DI72" s="119"/>
      <c r="DJ72" s="119"/>
      <c r="DK72" s="119"/>
      <c r="DL72" s="119"/>
      <c r="DM72" s="119"/>
      <c r="DN72" s="119"/>
      <c r="DO72" s="119"/>
      <c r="DP72" s="74">
        <v>0.0</v>
      </c>
      <c r="DQ72" s="119"/>
      <c r="DR72" s="119"/>
      <c r="DS72" s="119"/>
      <c r="DT72" s="119"/>
      <c r="DU72" s="119"/>
      <c r="DV72" s="119"/>
      <c r="DW72" s="119"/>
      <c r="DX72" s="119"/>
      <c r="DY72" s="119"/>
      <c r="DZ72" s="119"/>
      <c r="EA72" s="119"/>
      <c r="EB72" s="119"/>
      <c r="EC72" s="119"/>
      <c r="ED72" s="119"/>
      <c r="EE72" s="119"/>
      <c r="EF72" s="74" t="s">
        <v>4186</v>
      </c>
      <c r="EG72" s="74" t="s">
        <v>2472</v>
      </c>
      <c r="EH72" s="74">
        <v>1.0</v>
      </c>
      <c r="EI72" s="74" t="s">
        <v>3950</v>
      </c>
      <c r="EJ72" s="120">
        <v>7244.0</v>
      </c>
      <c r="EK72" s="74" t="s">
        <v>4187</v>
      </c>
      <c r="EL72" s="74" t="s">
        <v>4188</v>
      </c>
      <c r="EM72" s="120">
        <v>71.0</v>
      </c>
    </row>
    <row r="73">
      <c r="A73" s="74" t="s">
        <v>685</v>
      </c>
      <c r="B73" s="74" t="s">
        <v>4189</v>
      </c>
      <c r="C73" s="119"/>
      <c r="D73" s="119"/>
      <c r="E73" s="74">
        <v>3.5215509147374E14</v>
      </c>
      <c r="F73" s="74">
        <v>58.0</v>
      </c>
      <c r="G73" s="74">
        <v>2.0</v>
      </c>
      <c r="H73" s="74" t="s">
        <v>4190</v>
      </c>
      <c r="I73" s="74">
        <v>22.5503254</v>
      </c>
      <c r="J73" s="74">
        <v>88.3967612</v>
      </c>
      <c r="K73" s="74">
        <v>-68.3000030517578</v>
      </c>
      <c r="L73" s="74">
        <v>5.0</v>
      </c>
      <c r="M73" s="74">
        <v>15.0</v>
      </c>
      <c r="N73" s="119"/>
      <c r="O73" s="119"/>
      <c r="P73" s="119"/>
      <c r="Q73" s="119"/>
      <c r="R73" s="119"/>
      <c r="S73" s="119"/>
      <c r="T73" s="119"/>
      <c r="U73" s="74">
        <v>151.0</v>
      </c>
      <c r="V73" s="74">
        <v>1.0</v>
      </c>
      <c r="W73" s="74">
        <v>0.0</v>
      </c>
      <c r="X73" s="74">
        <v>0.0</v>
      </c>
      <c r="Y73" s="74">
        <v>2099.0</v>
      </c>
      <c r="Z73" s="74">
        <v>2099.0</v>
      </c>
      <c r="AA73" s="74" t="s">
        <v>4191</v>
      </c>
      <c r="AB73" s="74">
        <v>1.0</v>
      </c>
      <c r="AC73" s="74">
        <v>0.0</v>
      </c>
      <c r="AD73" s="74">
        <v>1.0</v>
      </c>
      <c r="AE73" s="119"/>
      <c r="AF73" s="119"/>
      <c r="AG73" s="119"/>
      <c r="AH73" s="119"/>
      <c r="AI73" s="119"/>
      <c r="AJ73" s="119"/>
      <c r="AK73" s="119"/>
      <c r="AL73" s="119"/>
      <c r="AM73" s="119"/>
      <c r="AN73" s="119"/>
      <c r="AO73" s="119"/>
      <c r="AP73" s="119"/>
      <c r="AQ73" s="119"/>
      <c r="AR73" s="119"/>
      <c r="AS73" s="119"/>
      <c r="AT73" s="119"/>
      <c r="AU73" s="119"/>
      <c r="AV73" s="119"/>
      <c r="AW73" s="119"/>
      <c r="AX73" s="119"/>
      <c r="AY73" s="119"/>
      <c r="AZ73" s="119"/>
      <c r="BA73" s="119"/>
      <c r="BB73" s="119"/>
      <c r="BC73" s="119"/>
      <c r="BD73" s="119"/>
      <c r="BE73" s="119"/>
      <c r="BF73" s="119"/>
      <c r="BG73" s="119"/>
      <c r="BH73" s="119"/>
      <c r="BI73" s="119"/>
      <c r="BJ73" s="119"/>
      <c r="BK73" s="119"/>
      <c r="BL73" s="119"/>
      <c r="BM73" s="119"/>
      <c r="BN73" s="119"/>
      <c r="BO73" s="119"/>
      <c r="BP73" s="119"/>
      <c r="BQ73" s="119"/>
      <c r="BR73" s="119"/>
      <c r="BS73" s="119"/>
      <c r="BT73" s="119"/>
      <c r="BU73" s="119"/>
      <c r="BV73" s="119"/>
      <c r="BW73" s="119"/>
      <c r="BX73" s="119"/>
      <c r="BY73" s="119"/>
      <c r="BZ73" s="119"/>
      <c r="CA73" s="119"/>
      <c r="CB73" s="119"/>
      <c r="CC73" s="119"/>
      <c r="CD73" s="119"/>
      <c r="CE73" s="119"/>
      <c r="CF73" s="119"/>
      <c r="CG73" s="119"/>
      <c r="CH73" s="119"/>
      <c r="CI73" s="119"/>
      <c r="CJ73" s="119"/>
      <c r="CK73" s="119"/>
      <c r="CL73" s="119"/>
      <c r="CM73" s="119"/>
      <c r="CN73" s="119"/>
      <c r="CO73" s="119"/>
      <c r="CP73" s="119"/>
      <c r="CQ73" s="119"/>
      <c r="CR73" s="74" t="s">
        <v>686</v>
      </c>
      <c r="CS73" s="74">
        <v>1.0</v>
      </c>
      <c r="CT73" s="119"/>
      <c r="CU73" s="74">
        <v>0.0</v>
      </c>
      <c r="CV73" s="74">
        <v>0.0</v>
      </c>
      <c r="CW73" s="119"/>
      <c r="CX73" s="119"/>
      <c r="CY73" s="119"/>
      <c r="CZ73" s="119"/>
      <c r="DA73" s="119"/>
      <c r="DB73" s="119"/>
      <c r="DC73" s="119"/>
      <c r="DD73" s="119"/>
      <c r="DE73" s="119"/>
      <c r="DF73" s="119"/>
      <c r="DG73" s="119"/>
      <c r="DH73" s="119"/>
      <c r="DI73" s="119"/>
      <c r="DJ73" s="119"/>
      <c r="DK73" s="119"/>
      <c r="DL73" s="119"/>
      <c r="DM73" s="119"/>
      <c r="DN73" s="119"/>
      <c r="DO73" s="119"/>
      <c r="DP73" s="74">
        <v>0.0</v>
      </c>
      <c r="DQ73" s="119"/>
      <c r="DR73" s="119"/>
      <c r="DS73" s="119"/>
      <c r="DT73" s="119"/>
      <c r="DU73" s="119"/>
      <c r="DV73" s="119"/>
      <c r="DW73" s="119"/>
      <c r="DX73" s="119"/>
      <c r="DY73" s="119"/>
      <c r="DZ73" s="119"/>
      <c r="EA73" s="119"/>
      <c r="EB73" s="119"/>
      <c r="EC73" s="119"/>
      <c r="ED73" s="119"/>
      <c r="EE73" s="119"/>
      <c r="EF73" s="74" t="s">
        <v>2949</v>
      </c>
      <c r="EG73" s="74" t="s">
        <v>2278</v>
      </c>
      <c r="EH73" s="74">
        <v>1.0</v>
      </c>
      <c r="EI73" s="74" t="s">
        <v>3950</v>
      </c>
      <c r="EJ73" s="120">
        <v>7245.0</v>
      </c>
      <c r="EK73" s="74" t="s">
        <v>4193</v>
      </c>
      <c r="EL73" s="74" t="s">
        <v>4194</v>
      </c>
      <c r="EM73" s="120">
        <v>72.0</v>
      </c>
    </row>
    <row r="74">
      <c r="A74" s="74" t="s">
        <v>687</v>
      </c>
      <c r="B74" s="74" t="s">
        <v>4195</v>
      </c>
      <c r="C74" s="119"/>
      <c r="D74" s="119"/>
      <c r="E74" s="74">
        <v>3.5215509147374E14</v>
      </c>
      <c r="F74" s="74">
        <v>58.0</v>
      </c>
      <c r="G74" s="74">
        <v>2.0</v>
      </c>
      <c r="H74" s="74" t="s">
        <v>4196</v>
      </c>
      <c r="I74" s="74">
        <v>22.5503105</v>
      </c>
      <c r="J74" s="74">
        <v>88.3968655</v>
      </c>
      <c r="K74" s="74">
        <v>-33.599998474121</v>
      </c>
      <c r="L74" s="74">
        <v>5.0</v>
      </c>
      <c r="M74" s="74">
        <v>15.0</v>
      </c>
      <c r="N74" s="119"/>
      <c r="O74" s="119"/>
      <c r="P74" s="119"/>
      <c r="Q74" s="119"/>
      <c r="R74" s="119"/>
      <c r="S74" s="119"/>
      <c r="T74" s="119"/>
      <c r="U74" s="74">
        <v>152.0</v>
      </c>
      <c r="V74" s="74">
        <v>0.0</v>
      </c>
      <c r="W74" s="74">
        <v>0.0</v>
      </c>
      <c r="X74" s="74">
        <v>1.0</v>
      </c>
      <c r="Y74" s="74">
        <v>2099.0</v>
      </c>
      <c r="Z74" s="74">
        <v>2099.0</v>
      </c>
      <c r="AA74" s="74" t="s">
        <v>4197</v>
      </c>
      <c r="AB74" s="74">
        <v>1.0</v>
      </c>
      <c r="AC74" s="74">
        <v>0.0</v>
      </c>
      <c r="AD74" s="74">
        <v>1.0</v>
      </c>
      <c r="AE74" s="119"/>
      <c r="AF74" s="119"/>
      <c r="AG74" s="119"/>
      <c r="AH74" s="119"/>
      <c r="AI74" s="119"/>
      <c r="AJ74" s="119"/>
      <c r="AK74" s="119"/>
      <c r="AL74" s="119"/>
      <c r="AM74" s="119"/>
      <c r="AN74" s="119"/>
      <c r="AO74" s="119"/>
      <c r="AP74" s="119"/>
      <c r="AQ74" s="119"/>
      <c r="AR74" s="119"/>
      <c r="AS74" s="119"/>
      <c r="AT74" s="119"/>
      <c r="AU74" s="119"/>
      <c r="AV74" s="119"/>
      <c r="AW74" s="119"/>
      <c r="AX74" s="119"/>
      <c r="AY74" s="119"/>
      <c r="AZ74" s="119"/>
      <c r="BA74" s="119"/>
      <c r="BB74" s="119"/>
      <c r="BC74" s="119"/>
      <c r="BD74" s="119"/>
      <c r="BE74" s="119"/>
      <c r="BF74" s="119"/>
      <c r="BG74" s="119"/>
      <c r="BH74" s="119"/>
      <c r="BI74" s="119"/>
      <c r="BJ74" s="119"/>
      <c r="BK74" s="119"/>
      <c r="BL74" s="119"/>
      <c r="BM74" s="119"/>
      <c r="BN74" s="119"/>
      <c r="BO74" s="119"/>
      <c r="BP74" s="119"/>
      <c r="BQ74" s="119"/>
      <c r="BR74" s="119"/>
      <c r="BS74" s="119"/>
      <c r="BT74" s="119"/>
      <c r="BU74" s="119"/>
      <c r="BV74" s="119"/>
      <c r="BW74" s="119"/>
      <c r="BX74" s="119"/>
      <c r="BY74" s="119"/>
      <c r="BZ74" s="119"/>
      <c r="CA74" s="119"/>
      <c r="CB74" s="119"/>
      <c r="CC74" s="119"/>
      <c r="CD74" s="119"/>
      <c r="CE74" s="119"/>
      <c r="CF74" s="119"/>
      <c r="CG74" s="119"/>
      <c r="CH74" s="119"/>
      <c r="CI74" s="119"/>
      <c r="CJ74" s="119"/>
      <c r="CK74" s="119"/>
      <c r="CL74" s="119"/>
      <c r="CM74" s="119"/>
      <c r="CN74" s="119"/>
      <c r="CO74" s="119"/>
      <c r="CP74" s="119"/>
      <c r="CQ74" s="119"/>
      <c r="CR74" s="119"/>
      <c r="CS74" s="119"/>
      <c r="CT74" s="119"/>
      <c r="CU74" s="119"/>
      <c r="CV74" s="119"/>
      <c r="CW74" s="74">
        <v>3.0</v>
      </c>
      <c r="CX74" s="119"/>
      <c r="CY74" s="74" t="s">
        <v>688</v>
      </c>
      <c r="CZ74" s="74">
        <v>2.0</v>
      </c>
      <c r="DA74" s="119"/>
      <c r="DB74" s="74">
        <v>4.0</v>
      </c>
      <c r="DC74" s="119"/>
      <c r="DD74" s="74">
        <v>1.0</v>
      </c>
      <c r="DE74" s="74" t="s">
        <v>690</v>
      </c>
      <c r="DF74" s="74">
        <v>88.0</v>
      </c>
      <c r="DG74" s="74" t="s">
        <v>4199</v>
      </c>
      <c r="DH74" s="74">
        <v>88.0</v>
      </c>
      <c r="DI74" s="74" t="s">
        <v>4200</v>
      </c>
      <c r="DJ74" s="74">
        <v>1.0</v>
      </c>
      <c r="DK74" s="74" t="s">
        <v>691</v>
      </c>
      <c r="DL74" s="74">
        <v>88.0</v>
      </c>
      <c r="DM74" s="74" t="s">
        <v>4179</v>
      </c>
      <c r="DN74" s="74">
        <v>88.0</v>
      </c>
      <c r="DO74" s="74" t="s">
        <v>4201</v>
      </c>
      <c r="DP74" s="74">
        <v>0.0</v>
      </c>
      <c r="DQ74" s="119"/>
      <c r="DR74" s="119"/>
      <c r="DS74" s="119"/>
      <c r="DT74" s="119"/>
      <c r="DU74" s="119"/>
      <c r="DV74" s="119"/>
      <c r="DW74" s="119"/>
      <c r="DX74" s="119"/>
      <c r="DY74" s="119"/>
      <c r="DZ74" s="119"/>
      <c r="EA74" s="119"/>
      <c r="EB74" s="119"/>
      <c r="EC74" s="119"/>
      <c r="ED74" s="119"/>
      <c r="EE74" s="119"/>
      <c r="EF74" s="74" t="s">
        <v>2949</v>
      </c>
      <c r="EG74" s="74" t="s">
        <v>2278</v>
      </c>
      <c r="EH74" s="74">
        <v>1.0</v>
      </c>
      <c r="EI74" s="74" t="s">
        <v>3950</v>
      </c>
      <c r="EJ74" s="120">
        <v>7246.0</v>
      </c>
      <c r="EK74" s="74" t="s">
        <v>4202</v>
      </c>
      <c r="EL74" s="74" t="s">
        <v>4203</v>
      </c>
      <c r="EM74" s="120">
        <v>73.0</v>
      </c>
    </row>
    <row r="75">
      <c r="A75" s="74" t="s">
        <v>693</v>
      </c>
      <c r="B75" s="74" t="s">
        <v>4204</v>
      </c>
      <c r="C75" s="119"/>
      <c r="D75" s="119"/>
      <c r="E75" s="74">
        <v>3.5215509147374E14</v>
      </c>
      <c r="F75" s="74">
        <v>58.0</v>
      </c>
      <c r="G75" s="74">
        <v>2.0</v>
      </c>
      <c r="H75" s="74" t="s">
        <v>4205</v>
      </c>
      <c r="I75" s="74">
        <v>22.550228</v>
      </c>
      <c r="J75" s="74">
        <v>88.396725</v>
      </c>
      <c r="K75" s="74">
        <v>-7.90000009536743</v>
      </c>
      <c r="L75" s="74">
        <v>5.0</v>
      </c>
      <c r="M75" s="74">
        <v>15.0</v>
      </c>
      <c r="N75" s="119"/>
      <c r="O75" s="119"/>
      <c r="P75" s="119"/>
      <c r="Q75" s="119"/>
      <c r="R75" s="119"/>
      <c r="S75" s="119"/>
      <c r="T75" s="119"/>
      <c r="U75" s="74">
        <v>159.0</v>
      </c>
      <c r="V75" s="74">
        <v>0.0</v>
      </c>
      <c r="W75" s="74">
        <v>1.0</v>
      </c>
      <c r="X75" s="74">
        <v>0.0</v>
      </c>
      <c r="Y75" s="74">
        <v>2099.0</v>
      </c>
      <c r="Z75" s="74">
        <v>2099.0</v>
      </c>
      <c r="AA75" s="74" t="s">
        <v>4207</v>
      </c>
      <c r="AB75" s="74">
        <v>1.0</v>
      </c>
      <c r="AC75" s="74">
        <v>0.0</v>
      </c>
      <c r="AD75" s="74">
        <v>1.0</v>
      </c>
      <c r="AE75" s="119"/>
      <c r="AF75" s="119"/>
      <c r="AG75" s="119"/>
      <c r="AH75" s="119"/>
      <c r="AI75" s="119"/>
      <c r="AJ75" s="119"/>
      <c r="AK75" s="119"/>
      <c r="AL75" s="119"/>
      <c r="AM75" s="119"/>
      <c r="AN75" s="119"/>
      <c r="AO75" s="119"/>
      <c r="AP75" s="119"/>
      <c r="AQ75" s="119"/>
      <c r="AR75" s="119"/>
      <c r="AS75" s="119"/>
      <c r="AT75" s="119"/>
      <c r="AU75" s="119"/>
      <c r="AV75" s="119"/>
      <c r="AW75" s="119"/>
      <c r="AX75" s="119"/>
      <c r="AY75" s="119"/>
      <c r="AZ75" s="119"/>
      <c r="BA75" s="119"/>
      <c r="BB75" s="119"/>
      <c r="BC75" s="119"/>
      <c r="BD75" s="119"/>
      <c r="BE75" s="119"/>
      <c r="BF75" s="119"/>
      <c r="BG75" s="119"/>
      <c r="BH75" s="119"/>
      <c r="BI75" s="119"/>
      <c r="BJ75" s="119"/>
      <c r="BK75" s="119"/>
      <c r="BL75" s="119"/>
      <c r="BM75" s="119"/>
      <c r="BN75" s="119"/>
      <c r="BO75" s="119"/>
      <c r="BP75" s="119"/>
      <c r="BQ75" s="119"/>
      <c r="BR75" s="119"/>
      <c r="BS75" s="119"/>
      <c r="BT75" s="119"/>
      <c r="BU75" s="119"/>
      <c r="BV75" s="119"/>
      <c r="BW75" s="119"/>
      <c r="BX75" s="119"/>
      <c r="BY75" s="119"/>
      <c r="BZ75" s="119"/>
      <c r="CA75" s="119"/>
      <c r="CB75" s="119"/>
      <c r="CC75" s="119"/>
      <c r="CD75" s="119"/>
      <c r="CE75" s="119"/>
      <c r="CF75" s="119"/>
      <c r="CG75" s="119"/>
      <c r="CH75" s="119"/>
      <c r="CI75" s="119"/>
      <c r="CJ75" s="119"/>
      <c r="CK75" s="119"/>
      <c r="CL75" s="119"/>
      <c r="CM75" s="119"/>
      <c r="CN75" s="119"/>
      <c r="CO75" s="119"/>
      <c r="CP75" s="119"/>
      <c r="CQ75" s="119"/>
      <c r="CR75" s="119"/>
      <c r="CS75" s="119"/>
      <c r="CT75" s="119"/>
      <c r="CU75" s="119"/>
      <c r="CV75" s="119"/>
      <c r="CW75" s="119"/>
      <c r="CX75" s="119"/>
      <c r="CY75" s="119"/>
      <c r="CZ75" s="119"/>
      <c r="DA75" s="119"/>
      <c r="DB75" s="119"/>
      <c r="DC75" s="119"/>
      <c r="DD75" s="119"/>
      <c r="DE75" s="119"/>
      <c r="DF75" s="119"/>
      <c r="DG75" s="119"/>
      <c r="DH75" s="119"/>
      <c r="DI75" s="119"/>
      <c r="DJ75" s="119"/>
      <c r="DK75" s="119"/>
      <c r="DL75" s="119"/>
      <c r="DM75" s="119"/>
      <c r="DN75" s="119"/>
      <c r="DO75" s="119"/>
      <c r="DP75" s="74">
        <v>0.0</v>
      </c>
      <c r="DQ75" s="119"/>
      <c r="DR75" s="119"/>
      <c r="DS75" s="119"/>
      <c r="DT75" s="119"/>
      <c r="DU75" s="119"/>
      <c r="DV75" s="119"/>
      <c r="DW75" s="119"/>
      <c r="DX75" s="119"/>
      <c r="DY75" s="119"/>
      <c r="DZ75" s="119"/>
      <c r="EA75" s="119"/>
      <c r="EB75" s="119"/>
      <c r="EC75" s="119"/>
      <c r="ED75" s="119"/>
      <c r="EE75" s="119"/>
      <c r="EF75" s="74" t="s">
        <v>4209</v>
      </c>
      <c r="EG75" s="74" t="s">
        <v>2278</v>
      </c>
      <c r="EH75" s="74">
        <v>1.0</v>
      </c>
      <c r="EI75" s="74" t="s">
        <v>3950</v>
      </c>
      <c r="EJ75" s="120">
        <v>7247.0</v>
      </c>
      <c r="EK75" s="74" t="s">
        <v>4210</v>
      </c>
      <c r="EL75" s="74" t="s">
        <v>4211</v>
      </c>
      <c r="EM75" s="120">
        <v>74.0</v>
      </c>
    </row>
    <row r="76">
      <c r="A76" s="74" t="s">
        <v>695</v>
      </c>
      <c r="B76" s="74" t="s">
        <v>4212</v>
      </c>
      <c r="C76" s="119"/>
      <c r="D76" s="119"/>
      <c r="E76" s="74">
        <v>3.5215509147374E14</v>
      </c>
      <c r="F76" s="74">
        <v>58.0</v>
      </c>
      <c r="G76" s="74">
        <v>2.0</v>
      </c>
      <c r="H76" s="74" t="s">
        <v>4213</v>
      </c>
      <c r="I76" s="74">
        <v>22.5516195</v>
      </c>
      <c r="J76" s="74">
        <v>88.3960772</v>
      </c>
      <c r="K76" s="74">
        <v>-53.2999992370605</v>
      </c>
      <c r="L76" s="74">
        <v>5.0</v>
      </c>
      <c r="M76" s="74">
        <v>14.0</v>
      </c>
      <c r="N76" s="74">
        <v>144.0</v>
      </c>
      <c r="O76" s="74">
        <v>1.0</v>
      </c>
      <c r="P76" s="74">
        <v>0.0</v>
      </c>
      <c r="Q76" s="74">
        <v>0.0</v>
      </c>
      <c r="R76" s="74">
        <v>0.0</v>
      </c>
      <c r="S76" s="74">
        <v>0.0</v>
      </c>
      <c r="T76" s="74">
        <v>0.0</v>
      </c>
      <c r="U76" s="119"/>
      <c r="V76" s="119"/>
      <c r="W76" s="119"/>
      <c r="X76" s="119"/>
      <c r="Y76" s="74">
        <v>2018.0</v>
      </c>
      <c r="Z76" s="74">
        <v>2018.0</v>
      </c>
      <c r="AA76" s="74" t="s">
        <v>4214</v>
      </c>
      <c r="AB76" s="74">
        <v>1.0</v>
      </c>
      <c r="AC76" s="74">
        <v>0.0</v>
      </c>
      <c r="AD76" s="74">
        <v>0.0</v>
      </c>
      <c r="AE76" s="74">
        <v>1.0</v>
      </c>
      <c r="AF76" s="119"/>
      <c r="AG76" s="119"/>
      <c r="AH76" s="119"/>
      <c r="AI76" s="119"/>
      <c r="AJ76" s="119"/>
      <c r="AK76" s="119"/>
      <c r="AL76" s="119"/>
      <c r="AM76" s="119"/>
      <c r="AN76" s="119"/>
      <c r="AO76" s="119"/>
      <c r="AP76" s="119"/>
      <c r="AQ76" s="119"/>
      <c r="AR76" s="119"/>
      <c r="AS76" s="119"/>
      <c r="AT76" s="119"/>
      <c r="AU76" s="119"/>
      <c r="AV76" s="119"/>
      <c r="AW76" s="119"/>
      <c r="AX76" s="119"/>
      <c r="AY76" s="119"/>
      <c r="AZ76" s="119"/>
      <c r="BA76" s="119"/>
      <c r="BB76" s="119"/>
      <c r="BC76" s="119"/>
      <c r="BD76" s="119"/>
      <c r="BE76" s="119"/>
      <c r="BF76" s="119"/>
      <c r="BG76" s="119"/>
      <c r="BH76" s="119"/>
      <c r="BI76" s="119"/>
      <c r="BJ76" s="119"/>
      <c r="BK76" s="119"/>
      <c r="BL76" s="119"/>
      <c r="BM76" s="119"/>
      <c r="BN76" s="119"/>
      <c r="BO76" s="119"/>
      <c r="BP76" s="119"/>
      <c r="BQ76" s="119"/>
      <c r="BR76" s="119"/>
      <c r="BS76" s="119"/>
      <c r="BT76" s="119"/>
      <c r="BU76" s="74" t="s">
        <v>696</v>
      </c>
      <c r="BV76" s="74">
        <v>3.0</v>
      </c>
      <c r="BW76" s="119"/>
      <c r="BX76" s="74">
        <v>1.0</v>
      </c>
      <c r="BY76" s="74">
        <v>1.0</v>
      </c>
      <c r="BZ76" s="119"/>
      <c r="CA76" s="119"/>
      <c r="CB76" s="119"/>
      <c r="CC76" s="119"/>
      <c r="CD76" s="119"/>
      <c r="CE76" s="119"/>
      <c r="CF76" s="119"/>
      <c r="CG76" s="119"/>
      <c r="CH76" s="119"/>
      <c r="CI76" s="119"/>
      <c r="CJ76" s="119"/>
      <c r="CK76" s="119"/>
      <c r="CL76" s="119"/>
      <c r="CM76" s="119"/>
      <c r="CN76" s="119"/>
      <c r="CO76" s="119"/>
      <c r="CP76" s="119"/>
      <c r="CQ76" s="119"/>
      <c r="CR76" s="119"/>
      <c r="CS76" s="119"/>
      <c r="CT76" s="119"/>
      <c r="CU76" s="119"/>
      <c r="CV76" s="119"/>
      <c r="CW76" s="119"/>
      <c r="CX76" s="119"/>
      <c r="CY76" s="119"/>
      <c r="CZ76" s="119"/>
      <c r="DA76" s="119"/>
      <c r="DB76" s="119"/>
      <c r="DC76" s="119"/>
      <c r="DD76" s="119"/>
      <c r="DE76" s="119"/>
      <c r="DF76" s="119"/>
      <c r="DG76" s="119"/>
      <c r="DH76" s="119"/>
      <c r="DI76" s="119"/>
      <c r="DJ76" s="119"/>
      <c r="DK76" s="119"/>
      <c r="DL76" s="119"/>
      <c r="DM76" s="119"/>
      <c r="DN76" s="119"/>
      <c r="DO76" s="119"/>
      <c r="DP76" s="74">
        <v>0.0</v>
      </c>
      <c r="DQ76" s="119"/>
      <c r="DR76" s="119"/>
      <c r="DS76" s="119"/>
      <c r="DT76" s="119"/>
      <c r="DU76" s="119"/>
      <c r="DV76" s="119"/>
      <c r="DW76" s="119"/>
      <c r="DX76" s="119"/>
      <c r="DY76" s="119"/>
      <c r="DZ76" s="119"/>
      <c r="EA76" s="119"/>
      <c r="EB76" s="119"/>
      <c r="EC76" s="119"/>
      <c r="ED76" s="119"/>
      <c r="EE76" s="119"/>
      <c r="EF76" s="74" t="s">
        <v>3193</v>
      </c>
      <c r="EG76" s="74" t="s">
        <v>2899</v>
      </c>
      <c r="EH76" s="74">
        <v>1.0</v>
      </c>
      <c r="EI76" s="74" t="s">
        <v>3950</v>
      </c>
      <c r="EJ76" s="120">
        <v>7421.0</v>
      </c>
      <c r="EK76" s="74" t="s">
        <v>4216</v>
      </c>
      <c r="EL76" s="74" t="s">
        <v>4217</v>
      </c>
      <c r="EM76" s="120">
        <v>75.0</v>
      </c>
    </row>
    <row r="77">
      <c r="A77" s="74" t="s">
        <v>698</v>
      </c>
      <c r="B77" s="74" t="s">
        <v>4218</v>
      </c>
      <c r="C77" s="119"/>
      <c r="D77" s="119"/>
      <c r="E77" s="74">
        <v>3.5215509147374E14</v>
      </c>
      <c r="F77" s="74">
        <v>58.0</v>
      </c>
      <c r="G77" s="74">
        <v>2.0</v>
      </c>
      <c r="H77" s="74" t="s">
        <v>4219</v>
      </c>
      <c r="I77" s="74">
        <v>22.5517137</v>
      </c>
      <c r="J77" s="74">
        <v>88.3960723</v>
      </c>
      <c r="K77" s="74">
        <v>-31.7000007629394</v>
      </c>
      <c r="L77" s="74">
        <v>5.0</v>
      </c>
      <c r="M77" s="74">
        <v>14.0</v>
      </c>
      <c r="N77" s="74">
        <v>142.0</v>
      </c>
      <c r="O77" s="74">
        <v>0.0</v>
      </c>
      <c r="P77" s="74">
        <v>0.0</v>
      </c>
      <c r="Q77" s="74">
        <v>1.0</v>
      </c>
      <c r="R77" s="74">
        <v>0.0</v>
      </c>
      <c r="S77" s="74">
        <v>0.0</v>
      </c>
      <c r="T77" s="74">
        <v>0.0</v>
      </c>
      <c r="U77" s="119"/>
      <c r="V77" s="119"/>
      <c r="W77" s="119"/>
      <c r="X77" s="119"/>
      <c r="Y77" s="74">
        <v>2018.0</v>
      </c>
      <c r="Z77" s="74">
        <v>2018.0</v>
      </c>
      <c r="AA77" s="74" t="s">
        <v>4220</v>
      </c>
      <c r="AB77" s="74">
        <v>1.0</v>
      </c>
      <c r="AC77" s="74">
        <v>0.0</v>
      </c>
      <c r="AD77" s="74">
        <v>0.0</v>
      </c>
      <c r="AE77" s="74">
        <v>1.0</v>
      </c>
      <c r="AF77" s="119"/>
      <c r="AG77" s="119"/>
      <c r="AH77" s="119"/>
      <c r="AI77" s="119"/>
      <c r="AJ77" s="119"/>
      <c r="AK77" s="119"/>
      <c r="AL77" s="119"/>
      <c r="AM77" s="119"/>
      <c r="AN77" s="119"/>
      <c r="AO77" s="119"/>
      <c r="AP77" s="119"/>
      <c r="AQ77" s="119"/>
      <c r="AR77" s="119"/>
      <c r="AS77" s="119"/>
      <c r="AT77" s="119"/>
      <c r="AU77" s="119"/>
      <c r="AV77" s="119"/>
      <c r="AW77" s="74" t="s">
        <v>699</v>
      </c>
      <c r="AX77" s="74">
        <v>1.0</v>
      </c>
      <c r="AY77" s="74">
        <v>1.0</v>
      </c>
      <c r="AZ77" s="74">
        <v>0.0</v>
      </c>
      <c r="BA77" s="74">
        <v>0.0</v>
      </c>
      <c r="BB77" s="74">
        <v>0.0</v>
      </c>
      <c r="BC77" s="74">
        <v>0.0</v>
      </c>
      <c r="BD77" s="119"/>
      <c r="BE77" s="119"/>
      <c r="BF77" s="119"/>
      <c r="BG77" s="119"/>
      <c r="BH77" s="119"/>
      <c r="BI77" s="119"/>
      <c r="BJ77" s="119"/>
      <c r="BK77" s="119"/>
      <c r="BL77" s="119"/>
      <c r="BM77" s="119"/>
      <c r="BN77" s="119"/>
      <c r="BO77" s="119"/>
      <c r="BP77" s="119"/>
      <c r="BQ77" s="119"/>
      <c r="BR77" s="119"/>
      <c r="BS77" s="119"/>
      <c r="BT77" s="119"/>
      <c r="BU77" s="119"/>
      <c r="BV77" s="119"/>
      <c r="BW77" s="119"/>
      <c r="BX77" s="119"/>
      <c r="BY77" s="119"/>
      <c r="BZ77" s="119"/>
      <c r="CA77" s="119"/>
      <c r="CB77" s="119"/>
      <c r="CC77" s="119"/>
      <c r="CD77" s="119"/>
      <c r="CE77" s="119"/>
      <c r="CF77" s="119"/>
      <c r="CG77" s="119"/>
      <c r="CH77" s="119"/>
      <c r="CI77" s="119"/>
      <c r="CJ77" s="119"/>
      <c r="CK77" s="119"/>
      <c r="CL77" s="119"/>
      <c r="CM77" s="119"/>
      <c r="CN77" s="119"/>
      <c r="CO77" s="119"/>
      <c r="CP77" s="119"/>
      <c r="CQ77" s="119"/>
      <c r="CR77" s="119"/>
      <c r="CS77" s="119"/>
      <c r="CT77" s="119"/>
      <c r="CU77" s="119"/>
      <c r="CV77" s="119"/>
      <c r="CW77" s="119"/>
      <c r="CX77" s="119"/>
      <c r="CY77" s="119"/>
      <c r="CZ77" s="119"/>
      <c r="DA77" s="119"/>
      <c r="DB77" s="119"/>
      <c r="DC77" s="119"/>
      <c r="DD77" s="119"/>
      <c r="DE77" s="119"/>
      <c r="DF77" s="119"/>
      <c r="DG77" s="119"/>
      <c r="DH77" s="119"/>
      <c r="DI77" s="119"/>
      <c r="DJ77" s="119"/>
      <c r="DK77" s="119"/>
      <c r="DL77" s="119"/>
      <c r="DM77" s="119"/>
      <c r="DN77" s="119"/>
      <c r="DO77" s="119"/>
      <c r="DP77" s="74">
        <v>0.0</v>
      </c>
      <c r="DQ77" s="119"/>
      <c r="DR77" s="119"/>
      <c r="DS77" s="119"/>
      <c r="DT77" s="119"/>
      <c r="DU77" s="119"/>
      <c r="DV77" s="119"/>
      <c r="DW77" s="119"/>
      <c r="DX77" s="119"/>
      <c r="DY77" s="119"/>
      <c r="DZ77" s="119"/>
      <c r="EA77" s="119"/>
      <c r="EB77" s="119"/>
      <c r="EC77" s="119"/>
      <c r="ED77" s="119"/>
      <c r="EE77" s="119"/>
      <c r="EF77" s="74" t="s">
        <v>3193</v>
      </c>
      <c r="EG77" s="74" t="s">
        <v>2899</v>
      </c>
      <c r="EH77" s="74">
        <v>1.0</v>
      </c>
      <c r="EI77" s="74" t="s">
        <v>3950</v>
      </c>
      <c r="EJ77" s="120">
        <v>7422.0</v>
      </c>
      <c r="EK77" s="74" t="s">
        <v>4222</v>
      </c>
      <c r="EL77" s="74" t="s">
        <v>4223</v>
      </c>
      <c r="EM77" s="120">
        <v>76.0</v>
      </c>
    </row>
    <row r="78">
      <c r="A78" s="74" t="s">
        <v>700</v>
      </c>
      <c r="B78" s="74" t="s">
        <v>4225</v>
      </c>
      <c r="C78" s="119"/>
      <c r="D78" s="119"/>
      <c r="E78" s="74">
        <v>3.5215509147374E14</v>
      </c>
      <c r="F78" s="74">
        <v>58.0</v>
      </c>
      <c r="G78" s="74">
        <v>2.0</v>
      </c>
      <c r="H78" s="74" t="s">
        <v>4226</v>
      </c>
      <c r="I78" s="74">
        <v>22.5517183</v>
      </c>
      <c r="J78" s="74">
        <v>88.3960433</v>
      </c>
      <c r="K78" s="74">
        <v>-15.8999996185302</v>
      </c>
      <c r="L78" s="74">
        <v>5.0</v>
      </c>
      <c r="M78" s="74">
        <v>14.0</v>
      </c>
      <c r="N78" s="74">
        <v>145.0</v>
      </c>
      <c r="O78" s="74">
        <v>0.0</v>
      </c>
      <c r="P78" s="74">
        <v>1.0</v>
      </c>
      <c r="Q78" s="74">
        <v>0.0</v>
      </c>
      <c r="R78" s="74">
        <v>0.0</v>
      </c>
      <c r="S78" s="74">
        <v>0.0</v>
      </c>
      <c r="T78" s="74">
        <v>0.0</v>
      </c>
      <c r="U78" s="119"/>
      <c r="V78" s="119"/>
      <c r="W78" s="119"/>
      <c r="X78" s="119"/>
      <c r="Y78" s="74">
        <v>2018.0</v>
      </c>
      <c r="Z78" s="74">
        <v>2018.0</v>
      </c>
      <c r="AA78" s="74" t="s">
        <v>4227</v>
      </c>
      <c r="AB78" s="74">
        <v>1.0</v>
      </c>
      <c r="AC78" s="74">
        <v>0.0</v>
      </c>
      <c r="AD78" s="74">
        <v>0.0</v>
      </c>
      <c r="AE78" s="74">
        <v>1.0</v>
      </c>
      <c r="AF78" s="119"/>
      <c r="AG78" s="119"/>
      <c r="AH78" s="119"/>
      <c r="AI78" s="119"/>
      <c r="AJ78" s="119"/>
      <c r="AK78" s="119"/>
      <c r="AL78" s="119"/>
      <c r="AM78" s="119"/>
      <c r="AN78" s="119"/>
      <c r="AO78" s="119"/>
      <c r="AP78" s="119"/>
      <c r="AQ78" s="119"/>
      <c r="AR78" s="119"/>
      <c r="AS78" s="119"/>
      <c r="AT78" s="119"/>
      <c r="AU78" s="119"/>
      <c r="AV78" s="119"/>
      <c r="AW78" s="119"/>
      <c r="AX78" s="119"/>
      <c r="AY78" s="119"/>
      <c r="AZ78" s="119"/>
      <c r="BA78" s="119"/>
      <c r="BB78" s="119"/>
      <c r="BC78" s="119"/>
      <c r="BD78" s="119"/>
      <c r="BE78" s="119"/>
      <c r="BF78" s="119"/>
      <c r="BG78" s="119"/>
      <c r="BH78" s="119"/>
      <c r="BI78" s="119"/>
      <c r="BJ78" s="119"/>
      <c r="BK78" s="119"/>
      <c r="BL78" s="119"/>
      <c r="BM78" s="119"/>
      <c r="BN78" s="119"/>
      <c r="BO78" s="119"/>
      <c r="BP78" s="119"/>
      <c r="BQ78" s="119"/>
      <c r="BR78" s="119"/>
      <c r="BS78" s="119"/>
      <c r="BT78" s="119"/>
      <c r="BU78" s="119"/>
      <c r="BV78" s="119"/>
      <c r="BW78" s="119"/>
      <c r="BX78" s="119"/>
      <c r="BY78" s="119"/>
      <c r="BZ78" s="119"/>
      <c r="CA78" s="119"/>
      <c r="CB78" s="119"/>
      <c r="CC78" s="74" t="s">
        <v>701</v>
      </c>
      <c r="CD78" s="74" t="s">
        <v>4228</v>
      </c>
      <c r="CE78" s="74">
        <v>1.0</v>
      </c>
      <c r="CF78" s="74">
        <v>0.0</v>
      </c>
      <c r="CG78" s="74">
        <v>0.0</v>
      </c>
      <c r="CH78" s="74">
        <v>0.0</v>
      </c>
      <c r="CI78" s="74">
        <v>0.0</v>
      </c>
      <c r="CJ78" s="74">
        <v>1.0</v>
      </c>
      <c r="CK78" s="74" t="s">
        <v>4229</v>
      </c>
      <c r="CL78" s="133">
        <v>43833.0</v>
      </c>
      <c r="CM78" s="74">
        <v>1.0</v>
      </c>
      <c r="CN78" s="74">
        <v>1.0</v>
      </c>
      <c r="CO78" s="74">
        <v>0.0</v>
      </c>
      <c r="CP78" s="74">
        <v>0.0</v>
      </c>
      <c r="CQ78" s="119"/>
      <c r="CR78" s="119"/>
      <c r="CS78" s="119"/>
      <c r="CT78" s="119"/>
      <c r="CU78" s="119"/>
      <c r="CV78" s="119"/>
      <c r="CW78" s="119"/>
      <c r="CX78" s="119"/>
      <c r="CY78" s="119"/>
      <c r="CZ78" s="119"/>
      <c r="DA78" s="119"/>
      <c r="DB78" s="119"/>
      <c r="DC78" s="119"/>
      <c r="DD78" s="119"/>
      <c r="DE78" s="119"/>
      <c r="DF78" s="119"/>
      <c r="DG78" s="119"/>
      <c r="DH78" s="119"/>
      <c r="DI78" s="119"/>
      <c r="DJ78" s="119"/>
      <c r="DK78" s="119"/>
      <c r="DL78" s="119"/>
      <c r="DM78" s="119"/>
      <c r="DN78" s="119"/>
      <c r="DO78" s="119"/>
      <c r="DP78" s="74">
        <v>0.0</v>
      </c>
      <c r="DQ78" s="119"/>
      <c r="DR78" s="119"/>
      <c r="DS78" s="119"/>
      <c r="DT78" s="119"/>
      <c r="DU78" s="119"/>
      <c r="DV78" s="119"/>
      <c r="DW78" s="119"/>
      <c r="DX78" s="119"/>
      <c r="DY78" s="119"/>
      <c r="DZ78" s="119"/>
      <c r="EA78" s="119"/>
      <c r="EB78" s="119"/>
      <c r="EC78" s="119"/>
      <c r="ED78" s="119"/>
      <c r="EE78" s="119"/>
      <c r="EF78" s="74" t="s">
        <v>3193</v>
      </c>
      <c r="EG78" s="74" t="s">
        <v>2899</v>
      </c>
      <c r="EH78" s="74">
        <v>1.0</v>
      </c>
      <c r="EI78" s="74" t="s">
        <v>3950</v>
      </c>
      <c r="EJ78" s="120">
        <v>7423.0</v>
      </c>
      <c r="EK78" s="74" t="s">
        <v>4231</v>
      </c>
      <c r="EL78" s="74" t="s">
        <v>4232</v>
      </c>
      <c r="EM78" s="120">
        <v>77.0</v>
      </c>
    </row>
    <row r="79">
      <c r="A79" s="74" t="s">
        <v>703</v>
      </c>
      <c r="B79" s="74" t="s">
        <v>4233</v>
      </c>
      <c r="C79" s="119"/>
      <c r="D79" s="119"/>
      <c r="E79" s="74">
        <v>3.5215509147374E14</v>
      </c>
      <c r="F79" s="74">
        <v>58.0</v>
      </c>
      <c r="G79" s="74">
        <v>2.0</v>
      </c>
      <c r="H79" s="74" t="s">
        <v>4234</v>
      </c>
      <c r="I79" s="74">
        <v>22.5516938</v>
      </c>
      <c r="J79" s="74">
        <v>88.3960262</v>
      </c>
      <c r="K79" s="74">
        <v>-30.1000003814697</v>
      </c>
      <c r="L79" s="74">
        <v>5.0</v>
      </c>
      <c r="M79" s="74">
        <v>14.0</v>
      </c>
      <c r="N79" s="74">
        <v>141.0</v>
      </c>
      <c r="O79" s="74">
        <v>0.0</v>
      </c>
      <c r="P79" s="74">
        <v>0.0</v>
      </c>
      <c r="Q79" s="74">
        <v>0.0</v>
      </c>
      <c r="R79" s="74">
        <v>0.0</v>
      </c>
      <c r="S79" s="74">
        <v>1.0</v>
      </c>
      <c r="T79" s="74">
        <v>0.0</v>
      </c>
      <c r="U79" s="119"/>
      <c r="V79" s="119"/>
      <c r="W79" s="119"/>
      <c r="X79" s="119"/>
      <c r="Y79" s="74">
        <v>2018.0</v>
      </c>
      <c r="Z79" s="74">
        <v>2018.0</v>
      </c>
      <c r="AA79" s="74" t="s">
        <v>4235</v>
      </c>
      <c r="AB79" s="74">
        <v>1.0</v>
      </c>
      <c r="AC79" s="74">
        <v>0.0</v>
      </c>
      <c r="AD79" s="74">
        <v>0.0</v>
      </c>
      <c r="AE79" s="74">
        <v>1.0</v>
      </c>
      <c r="AF79" s="74" t="s">
        <v>704</v>
      </c>
      <c r="AG79" s="133">
        <v>43833.0</v>
      </c>
      <c r="AH79" s="74">
        <v>1.0</v>
      </c>
      <c r="AI79" s="74">
        <v>1.0</v>
      </c>
      <c r="AJ79" s="74">
        <v>0.0</v>
      </c>
      <c r="AK79" s="74">
        <v>0.0</v>
      </c>
      <c r="AL79" s="74">
        <v>0.0</v>
      </c>
      <c r="AM79" s="119"/>
      <c r="AN79" s="133">
        <v>43926.0</v>
      </c>
      <c r="AO79" s="74">
        <v>0.0</v>
      </c>
      <c r="AP79" s="74">
        <v>0.0</v>
      </c>
      <c r="AQ79" s="74">
        <v>0.0</v>
      </c>
      <c r="AR79" s="74">
        <v>0.0</v>
      </c>
      <c r="AS79" s="74">
        <v>1.0</v>
      </c>
      <c r="AT79" s="74">
        <v>1.0</v>
      </c>
      <c r="AU79" s="74">
        <v>0.0</v>
      </c>
      <c r="AV79" s="119"/>
      <c r="AW79" s="119"/>
      <c r="AX79" s="119"/>
      <c r="AY79" s="119"/>
      <c r="AZ79" s="119"/>
      <c r="BA79" s="119"/>
      <c r="BB79" s="119"/>
      <c r="BC79" s="119"/>
      <c r="BD79" s="119"/>
      <c r="BE79" s="119"/>
      <c r="BF79" s="119"/>
      <c r="BG79" s="119"/>
      <c r="BH79" s="119"/>
      <c r="BI79" s="119"/>
      <c r="BJ79" s="119"/>
      <c r="BK79" s="119"/>
      <c r="BL79" s="119"/>
      <c r="BM79" s="119"/>
      <c r="BN79" s="119"/>
      <c r="BO79" s="119"/>
      <c r="BP79" s="119"/>
      <c r="BQ79" s="119"/>
      <c r="BR79" s="119"/>
      <c r="BS79" s="119"/>
      <c r="BT79" s="119"/>
      <c r="BU79" s="119"/>
      <c r="BV79" s="119"/>
      <c r="BW79" s="119"/>
      <c r="BX79" s="119"/>
      <c r="BY79" s="119"/>
      <c r="BZ79" s="119"/>
      <c r="CA79" s="119"/>
      <c r="CB79" s="119"/>
      <c r="CC79" s="119"/>
      <c r="CD79" s="119"/>
      <c r="CE79" s="119"/>
      <c r="CF79" s="119"/>
      <c r="CG79" s="119"/>
      <c r="CH79" s="119"/>
      <c r="CI79" s="119"/>
      <c r="CJ79" s="119"/>
      <c r="CK79" s="119"/>
      <c r="CL79" s="119"/>
      <c r="CM79" s="119"/>
      <c r="CN79" s="119"/>
      <c r="CO79" s="119"/>
      <c r="CP79" s="119"/>
      <c r="CQ79" s="119"/>
      <c r="CR79" s="119"/>
      <c r="CS79" s="119"/>
      <c r="CT79" s="119"/>
      <c r="CU79" s="119"/>
      <c r="CV79" s="119"/>
      <c r="CW79" s="119"/>
      <c r="CX79" s="119"/>
      <c r="CY79" s="119"/>
      <c r="CZ79" s="119"/>
      <c r="DA79" s="119"/>
      <c r="DB79" s="119"/>
      <c r="DC79" s="119"/>
      <c r="DD79" s="119"/>
      <c r="DE79" s="119"/>
      <c r="DF79" s="119"/>
      <c r="DG79" s="119"/>
      <c r="DH79" s="119"/>
      <c r="DI79" s="119"/>
      <c r="DJ79" s="119"/>
      <c r="DK79" s="119"/>
      <c r="DL79" s="119"/>
      <c r="DM79" s="119"/>
      <c r="DN79" s="119"/>
      <c r="DO79" s="119"/>
      <c r="DP79" s="74">
        <v>0.0</v>
      </c>
      <c r="DQ79" s="119"/>
      <c r="DR79" s="119"/>
      <c r="DS79" s="119"/>
      <c r="DT79" s="119"/>
      <c r="DU79" s="119"/>
      <c r="DV79" s="119"/>
      <c r="DW79" s="119"/>
      <c r="DX79" s="119"/>
      <c r="DY79" s="119"/>
      <c r="DZ79" s="119"/>
      <c r="EA79" s="119"/>
      <c r="EB79" s="119"/>
      <c r="EC79" s="119"/>
      <c r="ED79" s="119"/>
      <c r="EE79" s="119"/>
      <c r="EF79" s="74" t="s">
        <v>3193</v>
      </c>
      <c r="EG79" s="74" t="s">
        <v>2899</v>
      </c>
      <c r="EH79" s="74">
        <v>1.0</v>
      </c>
      <c r="EI79" s="74" t="s">
        <v>3950</v>
      </c>
      <c r="EJ79" s="120">
        <v>7424.0</v>
      </c>
      <c r="EK79" s="74" t="s">
        <v>4238</v>
      </c>
      <c r="EL79" s="74" t="s">
        <v>4239</v>
      </c>
      <c r="EM79" s="120">
        <v>78.0</v>
      </c>
    </row>
    <row r="80">
      <c r="A80" s="74" t="s">
        <v>705</v>
      </c>
      <c r="B80" s="74" t="s">
        <v>4240</v>
      </c>
      <c r="C80" s="119"/>
      <c r="D80" s="119"/>
      <c r="E80" s="74">
        <v>3.5215509147374E14</v>
      </c>
      <c r="F80" s="74">
        <v>58.0</v>
      </c>
      <c r="G80" s="74">
        <v>2.0</v>
      </c>
      <c r="H80" s="74" t="s">
        <v>4241</v>
      </c>
      <c r="I80" s="74">
        <v>22.5516019</v>
      </c>
      <c r="J80" s="74">
        <v>88.396004</v>
      </c>
      <c r="K80" s="74">
        <v>-60.7999992370605</v>
      </c>
      <c r="L80" s="74">
        <v>5.0</v>
      </c>
      <c r="M80" s="74">
        <v>14.0</v>
      </c>
      <c r="N80" s="74">
        <v>143.0</v>
      </c>
      <c r="O80" s="74">
        <v>0.0</v>
      </c>
      <c r="P80" s="74">
        <v>0.0</v>
      </c>
      <c r="Q80" s="74">
        <v>0.0</v>
      </c>
      <c r="R80" s="74">
        <v>1.0</v>
      </c>
      <c r="S80" s="74">
        <v>0.0</v>
      </c>
      <c r="T80" s="74">
        <v>0.0</v>
      </c>
      <c r="U80" s="119"/>
      <c r="V80" s="119"/>
      <c r="W80" s="119"/>
      <c r="X80" s="119"/>
      <c r="Y80" s="74">
        <v>2018.0</v>
      </c>
      <c r="Z80" s="74">
        <v>2018.0</v>
      </c>
      <c r="AA80" s="74" t="s">
        <v>4242</v>
      </c>
      <c r="AB80" s="74">
        <v>1.0</v>
      </c>
      <c r="AC80" s="74">
        <v>0.0</v>
      </c>
      <c r="AD80" s="74">
        <v>0.0</v>
      </c>
      <c r="AE80" s="74">
        <v>1.0</v>
      </c>
      <c r="AF80" s="119"/>
      <c r="AG80" s="119"/>
      <c r="AH80" s="119"/>
      <c r="AI80" s="119"/>
      <c r="AJ80" s="119"/>
      <c r="AK80" s="119"/>
      <c r="AL80" s="119"/>
      <c r="AM80" s="119"/>
      <c r="AN80" s="119"/>
      <c r="AO80" s="119"/>
      <c r="AP80" s="119"/>
      <c r="AQ80" s="119"/>
      <c r="AR80" s="119"/>
      <c r="AS80" s="119"/>
      <c r="AT80" s="119"/>
      <c r="AU80" s="119"/>
      <c r="AV80" s="119"/>
      <c r="AW80" s="119"/>
      <c r="AX80" s="119"/>
      <c r="AY80" s="119"/>
      <c r="AZ80" s="119"/>
      <c r="BA80" s="119"/>
      <c r="BB80" s="119"/>
      <c r="BC80" s="119"/>
      <c r="BD80" s="119"/>
      <c r="BE80" s="74" t="s">
        <v>706</v>
      </c>
      <c r="BF80" s="74">
        <v>1.0</v>
      </c>
      <c r="BG80" s="74">
        <v>1.0</v>
      </c>
      <c r="BH80" s="74">
        <v>0.0</v>
      </c>
      <c r="BI80" s="74">
        <v>0.0</v>
      </c>
      <c r="BJ80" s="74">
        <v>0.0</v>
      </c>
      <c r="BK80" s="119"/>
      <c r="BL80" s="74">
        <v>3.0</v>
      </c>
      <c r="BM80" s="74">
        <v>0.0</v>
      </c>
      <c r="BN80" s="74">
        <v>0.0</v>
      </c>
      <c r="BO80" s="74">
        <v>1.0</v>
      </c>
      <c r="BP80" s="74">
        <v>0.0</v>
      </c>
      <c r="BQ80" s="74">
        <v>0.0</v>
      </c>
      <c r="BR80" s="74">
        <v>0.0</v>
      </c>
      <c r="BS80" s="74">
        <v>0.0</v>
      </c>
      <c r="BT80" s="119"/>
      <c r="BU80" s="119"/>
      <c r="BV80" s="119"/>
      <c r="BW80" s="119"/>
      <c r="BX80" s="119"/>
      <c r="BY80" s="119"/>
      <c r="BZ80" s="119"/>
      <c r="CA80" s="119"/>
      <c r="CB80" s="119"/>
      <c r="CC80" s="119"/>
      <c r="CD80" s="119"/>
      <c r="CE80" s="119"/>
      <c r="CF80" s="119"/>
      <c r="CG80" s="119"/>
      <c r="CH80" s="119"/>
      <c r="CI80" s="119"/>
      <c r="CJ80" s="119"/>
      <c r="CK80" s="119"/>
      <c r="CL80" s="119"/>
      <c r="CM80" s="119"/>
      <c r="CN80" s="119"/>
      <c r="CO80" s="119"/>
      <c r="CP80" s="119"/>
      <c r="CQ80" s="119"/>
      <c r="CR80" s="119"/>
      <c r="CS80" s="119"/>
      <c r="CT80" s="119"/>
      <c r="CU80" s="119"/>
      <c r="CV80" s="119"/>
      <c r="CW80" s="119"/>
      <c r="CX80" s="119"/>
      <c r="CY80" s="119"/>
      <c r="CZ80" s="119"/>
      <c r="DA80" s="119"/>
      <c r="DB80" s="119"/>
      <c r="DC80" s="119"/>
      <c r="DD80" s="119"/>
      <c r="DE80" s="119"/>
      <c r="DF80" s="119"/>
      <c r="DG80" s="119"/>
      <c r="DH80" s="119"/>
      <c r="DI80" s="119"/>
      <c r="DJ80" s="119"/>
      <c r="DK80" s="119"/>
      <c r="DL80" s="119"/>
      <c r="DM80" s="119"/>
      <c r="DN80" s="119"/>
      <c r="DO80" s="119"/>
      <c r="DP80" s="74">
        <v>0.0</v>
      </c>
      <c r="DQ80" s="119"/>
      <c r="DR80" s="119"/>
      <c r="DS80" s="119"/>
      <c r="DT80" s="119"/>
      <c r="DU80" s="119"/>
      <c r="DV80" s="119"/>
      <c r="DW80" s="119"/>
      <c r="DX80" s="119"/>
      <c r="DY80" s="119"/>
      <c r="DZ80" s="119"/>
      <c r="EA80" s="119"/>
      <c r="EB80" s="119"/>
      <c r="EC80" s="119"/>
      <c r="ED80" s="119"/>
      <c r="EE80" s="119"/>
      <c r="EF80" s="74" t="s">
        <v>3193</v>
      </c>
      <c r="EG80" s="74" t="s">
        <v>2899</v>
      </c>
      <c r="EH80" s="74">
        <v>1.0</v>
      </c>
      <c r="EI80" s="74" t="s">
        <v>3950</v>
      </c>
      <c r="EJ80" s="120">
        <v>7425.0</v>
      </c>
      <c r="EK80" s="74" t="s">
        <v>4245</v>
      </c>
      <c r="EL80" s="74" t="s">
        <v>4246</v>
      </c>
      <c r="EM80" s="120">
        <v>79.0</v>
      </c>
    </row>
    <row r="81">
      <c r="A81" s="74" t="s">
        <v>707</v>
      </c>
      <c r="B81" s="74" t="s">
        <v>4247</v>
      </c>
      <c r="C81" s="119"/>
      <c r="D81" s="119"/>
      <c r="E81" s="74">
        <v>3.5215509147374E14</v>
      </c>
      <c r="F81" s="74">
        <v>58.0</v>
      </c>
      <c r="G81" s="74">
        <v>2.0</v>
      </c>
      <c r="H81" s="74" t="s">
        <v>4248</v>
      </c>
      <c r="I81" s="74">
        <v>22.5517188</v>
      </c>
      <c r="J81" s="74">
        <v>88.3959997</v>
      </c>
      <c r="K81" s="74">
        <v>-42.0</v>
      </c>
      <c r="L81" s="74">
        <v>4.5</v>
      </c>
      <c r="M81" s="74">
        <v>14.0</v>
      </c>
      <c r="N81" s="74">
        <v>149.0</v>
      </c>
      <c r="O81" s="74">
        <v>0.0</v>
      </c>
      <c r="P81" s="74">
        <v>0.0</v>
      </c>
      <c r="Q81" s="74">
        <v>0.0</v>
      </c>
      <c r="R81" s="74">
        <v>0.0</v>
      </c>
      <c r="S81" s="74">
        <v>0.0</v>
      </c>
      <c r="T81" s="74">
        <v>1.0</v>
      </c>
      <c r="U81" s="119"/>
      <c r="V81" s="119"/>
      <c r="W81" s="119"/>
      <c r="X81" s="119"/>
      <c r="Y81" s="74">
        <v>2018.0</v>
      </c>
      <c r="Z81" s="74">
        <v>2018.0</v>
      </c>
      <c r="AA81" s="74" t="s">
        <v>4249</v>
      </c>
      <c r="AB81" s="74">
        <v>1.0</v>
      </c>
      <c r="AC81" s="74">
        <v>0.0</v>
      </c>
      <c r="AD81" s="74">
        <v>0.0</v>
      </c>
      <c r="AE81" s="74">
        <v>1.0</v>
      </c>
      <c r="AF81" s="119"/>
      <c r="AG81" s="119"/>
      <c r="AH81" s="119"/>
      <c r="AI81" s="119"/>
      <c r="AJ81" s="119"/>
      <c r="AK81" s="119"/>
      <c r="AL81" s="119"/>
      <c r="AM81" s="119"/>
      <c r="AN81" s="119"/>
      <c r="AO81" s="119"/>
      <c r="AP81" s="119"/>
      <c r="AQ81" s="119"/>
      <c r="AR81" s="119"/>
      <c r="AS81" s="119"/>
      <c r="AT81" s="119"/>
      <c r="AU81" s="119"/>
      <c r="AV81" s="119"/>
      <c r="AW81" s="119"/>
      <c r="AX81" s="119"/>
      <c r="AY81" s="119"/>
      <c r="AZ81" s="119"/>
      <c r="BA81" s="119"/>
      <c r="BB81" s="119"/>
      <c r="BC81" s="119"/>
      <c r="BD81" s="119"/>
      <c r="BE81" s="119"/>
      <c r="BF81" s="119"/>
      <c r="BG81" s="119"/>
      <c r="BH81" s="119"/>
      <c r="BI81" s="119"/>
      <c r="BJ81" s="119"/>
      <c r="BK81" s="119"/>
      <c r="BL81" s="119"/>
      <c r="BM81" s="119"/>
      <c r="BN81" s="119"/>
      <c r="BO81" s="119"/>
      <c r="BP81" s="119"/>
      <c r="BQ81" s="119"/>
      <c r="BR81" s="119"/>
      <c r="BS81" s="119"/>
      <c r="BT81" s="119"/>
      <c r="BU81" s="119"/>
      <c r="BV81" s="119"/>
      <c r="BW81" s="119"/>
      <c r="BX81" s="119"/>
      <c r="BY81" s="119"/>
      <c r="BZ81" s="119"/>
      <c r="CA81" s="119"/>
      <c r="CB81" s="119"/>
      <c r="CC81" s="119"/>
      <c r="CD81" s="119"/>
      <c r="CE81" s="119"/>
      <c r="CF81" s="119"/>
      <c r="CG81" s="119"/>
      <c r="CH81" s="119"/>
      <c r="CI81" s="119"/>
      <c r="CJ81" s="119"/>
      <c r="CK81" s="119"/>
      <c r="CL81" s="119"/>
      <c r="CM81" s="119"/>
      <c r="CN81" s="119"/>
      <c r="CO81" s="119"/>
      <c r="CP81" s="119"/>
      <c r="CQ81" s="119"/>
      <c r="CR81" s="119"/>
      <c r="CS81" s="119"/>
      <c r="CT81" s="119"/>
      <c r="CU81" s="119"/>
      <c r="CV81" s="119"/>
      <c r="CW81" s="119"/>
      <c r="CX81" s="119"/>
      <c r="CY81" s="119"/>
      <c r="CZ81" s="119"/>
      <c r="DA81" s="119"/>
      <c r="DB81" s="119"/>
      <c r="DC81" s="119"/>
      <c r="DD81" s="119"/>
      <c r="DE81" s="119"/>
      <c r="DF81" s="119"/>
      <c r="DG81" s="119"/>
      <c r="DH81" s="119"/>
      <c r="DI81" s="119"/>
      <c r="DJ81" s="119"/>
      <c r="DK81" s="119"/>
      <c r="DL81" s="119"/>
      <c r="DM81" s="119"/>
      <c r="DN81" s="119"/>
      <c r="DO81" s="119"/>
      <c r="DP81" s="74">
        <v>0.0</v>
      </c>
      <c r="DQ81" s="119"/>
      <c r="DR81" s="119"/>
      <c r="DS81" s="119"/>
      <c r="DT81" s="119"/>
      <c r="DU81" s="119"/>
      <c r="DV81" s="119"/>
      <c r="DW81" s="119"/>
      <c r="DX81" s="119"/>
      <c r="DY81" s="119"/>
      <c r="DZ81" s="119"/>
      <c r="EA81" s="119"/>
      <c r="EB81" s="119"/>
      <c r="EC81" s="119"/>
      <c r="ED81" s="119"/>
      <c r="EE81" s="119"/>
      <c r="EF81" s="74" t="s">
        <v>3193</v>
      </c>
      <c r="EG81" s="74" t="s">
        <v>2899</v>
      </c>
      <c r="EH81" s="74">
        <v>1.0</v>
      </c>
      <c r="EI81" s="74" t="s">
        <v>3950</v>
      </c>
      <c r="EJ81" s="120">
        <v>7426.0</v>
      </c>
      <c r="EK81" s="74" t="s">
        <v>4251</v>
      </c>
      <c r="EL81" s="74" t="s">
        <v>4252</v>
      </c>
      <c r="EM81" s="120">
        <v>80.0</v>
      </c>
    </row>
    <row r="82">
      <c r="A82" s="74" t="s">
        <v>709</v>
      </c>
      <c r="B82" s="74" t="s">
        <v>4253</v>
      </c>
      <c r="C82" s="119"/>
      <c r="D82" s="119"/>
      <c r="E82" s="74">
        <v>3.5215509147374E14</v>
      </c>
      <c r="F82" s="74">
        <v>58.0</v>
      </c>
      <c r="G82" s="74">
        <v>2.0</v>
      </c>
      <c r="H82" s="74" t="s">
        <v>4254</v>
      </c>
      <c r="I82" s="74">
        <v>22.5511202</v>
      </c>
      <c r="J82" s="74">
        <v>88.3963921</v>
      </c>
      <c r="K82" s="74">
        <v>-84.0</v>
      </c>
      <c r="L82" s="74">
        <v>5.0</v>
      </c>
      <c r="M82" s="74">
        <v>15.0</v>
      </c>
      <c r="N82" s="119"/>
      <c r="O82" s="119"/>
      <c r="P82" s="119"/>
      <c r="Q82" s="119"/>
      <c r="R82" s="119"/>
      <c r="S82" s="119"/>
      <c r="T82" s="119"/>
      <c r="U82" s="74">
        <v>151.0</v>
      </c>
      <c r="V82" s="74">
        <v>1.0</v>
      </c>
      <c r="W82" s="74">
        <v>0.0</v>
      </c>
      <c r="X82" s="74">
        <v>0.0</v>
      </c>
      <c r="Y82" s="74">
        <v>2059.0</v>
      </c>
      <c r="Z82" s="74">
        <v>2059.0</v>
      </c>
      <c r="AA82" s="74" t="s">
        <v>4255</v>
      </c>
      <c r="AB82" s="74">
        <v>1.0</v>
      </c>
      <c r="AC82" s="74">
        <v>0.0</v>
      </c>
      <c r="AD82" s="74">
        <v>1.0</v>
      </c>
      <c r="AE82" s="119"/>
      <c r="AF82" s="119"/>
      <c r="AG82" s="119"/>
      <c r="AH82" s="119"/>
      <c r="AI82" s="119"/>
      <c r="AJ82" s="119"/>
      <c r="AK82" s="119"/>
      <c r="AL82" s="119"/>
      <c r="AM82" s="119"/>
      <c r="AN82" s="119"/>
      <c r="AO82" s="119"/>
      <c r="AP82" s="119"/>
      <c r="AQ82" s="119"/>
      <c r="AR82" s="119"/>
      <c r="AS82" s="119"/>
      <c r="AT82" s="119"/>
      <c r="AU82" s="119"/>
      <c r="AV82" s="119"/>
      <c r="AW82" s="119"/>
      <c r="AX82" s="119"/>
      <c r="AY82" s="119"/>
      <c r="AZ82" s="119"/>
      <c r="BA82" s="119"/>
      <c r="BB82" s="119"/>
      <c r="BC82" s="119"/>
      <c r="BD82" s="119"/>
      <c r="BE82" s="119"/>
      <c r="BF82" s="119"/>
      <c r="BG82" s="119"/>
      <c r="BH82" s="119"/>
      <c r="BI82" s="119"/>
      <c r="BJ82" s="119"/>
      <c r="BK82" s="119"/>
      <c r="BL82" s="119"/>
      <c r="BM82" s="119"/>
      <c r="BN82" s="119"/>
      <c r="BO82" s="119"/>
      <c r="BP82" s="119"/>
      <c r="BQ82" s="119"/>
      <c r="BR82" s="119"/>
      <c r="BS82" s="119"/>
      <c r="BT82" s="119"/>
      <c r="BU82" s="119"/>
      <c r="BV82" s="119"/>
      <c r="BW82" s="119"/>
      <c r="BX82" s="119"/>
      <c r="BY82" s="119"/>
      <c r="BZ82" s="119"/>
      <c r="CA82" s="119"/>
      <c r="CB82" s="119"/>
      <c r="CC82" s="119"/>
      <c r="CD82" s="119"/>
      <c r="CE82" s="119"/>
      <c r="CF82" s="119"/>
      <c r="CG82" s="119"/>
      <c r="CH82" s="119"/>
      <c r="CI82" s="119"/>
      <c r="CJ82" s="119"/>
      <c r="CK82" s="119"/>
      <c r="CL82" s="119"/>
      <c r="CM82" s="119"/>
      <c r="CN82" s="119"/>
      <c r="CO82" s="119"/>
      <c r="CP82" s="119"/>
      <c r="CQ82" s="119"/>
      <c r="CR82" s="74" t="s">
        <v>710</v>
      </c>
      <c r="CS82" s="74">
        <v>2.0</v>
      </c>
      <c r="CT82" s="119"/>
      <c r="CU82" s="74">
        <v>0.0</v>
      </c>
      <c r="CV82" s="74">
        <v>0.0</v>
      </c>
      <c r="CW82" s="119"/>
      <c r="CX82" s="119"/>
      <c r="CY82" s="119"/>
      <c r="CZ82" s="119"/>
      <c r="DA82" s="119"/>
      <c r="DB82" s="119"/>
      <c r="DC82" s="119"/>
      <c r="DD82" s="119"/>
      <c r="DE82" s="119"/>
      <c r="DF82" s="119"/>
      <c r="DG82" s="119"/>
      <c r="DH82" s="119"/>
      <c r="DI82" s="119"/>
      <c r="DJ82" s="119"/>
      <c r="DK82" s="119"/>
      <c r="DL82" s="119"/>
      <c r="DM82" s="119"/>
      <c r="DN82" s="119"/>
      <c r="DO82" s="119"/>
      <c r="DP82" s="74">
        <v>0.0</v>
      </c>
      <c r="DQ82" s="119"/>
      <c r="DR82" s="119"/>
      <c r="DS82" s="119"/>
      <c r="DT82" s="119"/>
      <c r="DU82" s="119"/>
      <c r="DV82" s="119"/>
      <c r="DW82" s="119"/>
      <c r="DX82" s="119"/>
      <c r="DY82" s="119"/>
      <c r="DZ82" s="119"/>
      <c r="EA82" s="119"/>
      <c r="EB82" s="119"/>
      <c r="EC82" s="119"/>
      <c r="ED82" s="119"/>
      <c r="EE82" s="119"/>
      <c r="EF82" s="74" t="s">
        <v>3149</v>
      </c>
      <c r="EG82" s="74" t="s">
        <v>2472</v>
      </c>
      <c r="EH82" s="74">
        <v>1.0</v>
      </c>
      <c r="EI82" s="74" t="s">
        <v>3950</v>
      </c>
      <c r="EJ82" s="120">
        <v>7722.0</v>
      </c>
      <c r="EK82" s="74" t="s">
        <v>4257</v>
      </c>
      <c r="EL82" s="74" t="s">
        <v>4258</v>
      </c>
      <c r="EM82" s="120">
        <v>81.0</v>
      </c>
    </row>
    <row r="83">
      <c r="A83" s="74" t="s">
        <v>712</v>
      </c>
      <c r="B83" s="74" t="s">
        <v>4259</v>
      </c>
      <c r="C83" s="119"/>
      <c r="D83" s="119"/>
      <c r="E83" s="74">
        <v>3.5215509147374E14</v>
      </c>
      <c r="F83" s="74">
        <v>58.0</v>
      </c>
      <c r="G83" s="74">
        <v>2.0</v>
      </c>
      <c r="H83" s="74" t="s">
        <v>4261</v>
      </c>
      <c r="I83" s="74">
        <v>22.5510921</v>
      </c>
      <c r="J83" s="74">
        <v>88.3964997</v>
      </c>
      <c r="K83" s="74">
        <v>-66.4000015258789</v>
      </c>
      <c r="L83" s="74">
        <v>5.0</v>
      </c>
      <c r="M83" s="74">
        <v>15.0</v>
      </c>
      <c r="N83" s="119"/>
      <c r="O83" s="119"/>
      <c r="P83" s="119"/>
      <c r="Q83" s="119"/>
      <c r="R83" s="119"/>
      <c r="S83" s="119"/>
      <c r="T83" s="119"/>
      <c r="U83" s="74">
        <v>152.0</v>
      </c>
      <c r="V83" s="74">
        <v>0.0</v>
      </c>
      <c r="W83" s="74">
        <v>0.0</v>
      </c>
      <c r="X83" s="74">
        <v>1.0</v>
      </c>
      <c r="Y83" s="74">
        <v>2059.0</v>
      </c>
      <c r="Z83" s="74">
        <v>2059.0</v>
      </c>
      <c r="AA83" s="74" t="s">
        <v>4262</v>
      </c>
      <c r="AB83" s="74">
        <v>1.0</v>
      </c>
      <c r="AC83" s="74">
        <v>0.0</v>
      </c>
      <c r="AD83" s="74">
        <v>1.0</v>
      </c>
      <c r="AE83" s="119"/>
      <c r="AF83" s="119"/>
      <c r="AG83" s="119"/>
      <c r="AH83" s="119"/>
      <c r="AI83" s="119"/>
      <c r="AJ83" s="119"/>
      <c r="AK83" s="119"/>
      <c r="AL83" s="119"/>
      <c r="AM83" s="119"/>
      <c r="AN83" s="119"/>
      <c r="AO83" s="119"/>
      <c r="AP83" s="119"/>
      <c r="AQ83" s="119"/>
      <c r="AR83" s="119"/>
      <c r="AS83" s="119"/>
      <c r="AT83" s="119"/>
      <c r="AU83" s="119"/>
      <c r="AV83" s="119"/>
      <c r="AW83" s="119"/>
      <c r="AX83" s="119"/>
      <c r="AY83" s="119"/>
      <c r="AZ83" s="119"/>
      <c r="BA83" s="119"/>
      <c r="BB83" s="119"/>
      <c r="BC83" s="119"/>
      <c r="BD83" s="119"/>
      <c r="BE83" s="119"/>
      <c r="BF83" s="119"/>
      <c r="BG83" s="119"/>
      <c r="BH83" s="119"/>
      <c r="BI83" s="119"/>
      <c r="BJ83" s="119"/>
      <c r="BK83" s="119"/>
      <c r="BL83" s="119"/>
      <c r="BM83" s="119"/>
      <c r="BN83" s="119"/>
      <c r="BO83" s="119"/>
      <c r="BP83" s="119"/>
      <c r="BQ83" s="119"/>
      <c r="BR83" s="119"/>
      <c r="BS83" s="119"/>
      <c r="BT83" s="119"/>
      <c r="BU83" s="119"/>
      <c r="BV83" s="119"/>
      <c r="BW83" s="119"/>
      <c r="BX83" s="119"/>
      <c r="BY83" s="119"/>
      <c r="BZ83" s="119"/>
      <c r="CA83" s="119"/>
      <c r="CB83" s="119"/>
      <c r="CC83" s="119"/>
      <c r="CD83" s="119"/>
      <c r="CE83" s="119"/>
      <c r="CF83" s="119"/>
      <c r="CG83" s="119"/>
      <c r="CH83" s="119"/>
      <c r="CI83" s="119"/>
      <c r="CJ83" s="119"/>
      <c r="CK83" s="119"/>
      <c r="CL83" s="119"/>
      <c r="CM83" s="119"/>
      <c r="CN83" s="119"/>
      <c r="CO83" s="119"/>
      <c r="CP83" s="119"/>
      <c r="CQ83" s="119"/>
      <c r="CR83" s="119"/>
      <c r="CS83" s="119"/>
      <c r="CT83" s="119"/>
      <c r="CU83" s="119"/>
      <c r="CV83" s="119"/>
      <c r="CW83" s="74">
        <v>3.0</v>
      </c>
      <c r="CX83" s="119"/>
      <c r="CY83" s="74" t="s">
        <v>713</v>
      </c>
      <c r="CZ83" s="74">
        <v>88.0</v>
      </c>
      <c r="DA83" s="74" t="s">
        <v>4263</v>
      </c>
      <c r="DB83" s="74">
        <v>2.0</v>
      </c>
      <c r="DC83" s="119"/>
      <c r="DD83" s="74">
        <v>1.0</v>
      </c>
      <c r="DE83" s="74" t="s">
        <v>715</v>
      </c>
      <c r="DF83" s="74">
        <v>88.0</v>
      </c>
      <c r="DG83" s="74" t="s">
        <v>3925</v>
      </c>
      <c r="DH83" s="74">
        <v>88.0</v>
      </c>
      <c r="DI83" s="74" t="s">
        <v>3926</v>
      </c>
      <c r="DJ83" s="74">
        <v>1.0</v>
      </c>
      <c r="DK83" s="74" t="s">
        <v>717</v>
      </c>
      <c r="DL83" s="74">
        <v>88.0</v>
      </c>
      <c r="DM83" s="74" t="s">
        <v>3840</v>
      </c>
      <c r="DN83" s="74">
        <v>88.0</v>
      </c>
      <c r="DO83" s="74" t="s">
        <v>4264</v>
      </c>
      <c r="DP83" s="74">
        <v>0.0</v>
      </c>
      <c r="DQ83" s="119"/>
      <c r="DR83" s="119"/>
      <c r="DS83" s="119"/>
      <c r="DT83" s="119"/>
      <c r="DU83" s="119"/>
      <c r="DV83" s="119"/>
      <c r="DW83" s="119"/>
      <c r="DX83" s="119"/>
      <c r="DY83" s="119"/>
      <c r="DZ83" s="119"/>
      <c r="EA83" s="119"/>
      <c r="EB83" s="119"/>
      <c r="EC83" s="119"/>
      <c r="ED83" s="119"/>
      <c r="EE83" s="119"/>
      <c r="EF83" s="74" t="s">
        <v>3149</v>
      </c>
      <c r="EG83" s="74" t="s">
        <v>2472</v>
      </c>
      <c r="EH83" s="74">
        <v>1.0</v>
      </c>
      <c r="EI83" s="74" t="s">
        <v>3950</v>
      </c>
      <c r="EJ83" s="120">
        <v>7723.0</v>
      </c>
      <c r="EK83" s="74" t="s">
        <v>4266</v>
      </c>
      <c r="EL83" s="74" t="s">
        <v>4267</v>
      </c>
      <c r="EM83" s="120">
        <v>82.0</v>
      </c>
    </row>
    <row r="84">
      <c r="A84" s="74" t="s">
        <v>718</v>
      </c>
      <c r="B84" s="74" t="s">
        <v>4268</v>
      </c>
      <c r="C84" s="119"/>
      <c r="D84" s="119"/>
      <c r="E84" s="74">
        <v>3.5215509147374E14</v>
      </c>
      <c r="F84" s="74">
        <v>58.0</v>
      </c>
      <c r="G84" s="74">
        <v>2.0</v>
      </c>
      <c r="H84" s="74" t="s">
        <v>4269</v>
      </c>
      <c r="I84" s="74">
        <v>22.5510855</v>
      </c>
      <c r="J84" s="74">
        <v>88.3965546</v>
      </c>
      <c r="K84" s="74">
        <v>-57.2000007629394</v>
      </c>
      <c r="L84" s="74">
        <v>5.0</v>
      </c>
      <c r="M84" s="74">
        <v>15.0</v>
      </c>
      <c r="N84" s="119"/>
      <c r="O84" s="119"/>
      <c r="P84" s="119"/>
      <c r="Q84" s="119"/>
      <c r="R84" s="119"/>
      <c r="S84" s="119"/>
      <c r="T84" s="119"/>
      <c r="U84" s="74">
        <v>159.0</v>
      </c>
      <c r="V84" s="74">
        <v>0.0</v>
      </c>
      <c r="W84" s="74">
        <v>1.0</v>
      </c>
      <c r="X84" s="74">
        <v>0.0</v>
      </c>
      <c r="Y84" s="74">
        <v>2059.0</v>
      </c>
      <c r="Z84" s="74">
        <v>2059.0</v>
      </c>
      <c r="AA84" s="74" t="s">
        <v>4270</v>
      </c>
      <c r="AB84" s="74">
        <v>1.0</v>
      </c>
      <c r="AC84" s="74">
        <v>0.0</v>
      </c>
      <c r="AD84" s="74">
        <v>1.0</v>
      </c>
      <c r="AE84" s="119"/>
      <c r="AF84" s="119"/>
      <c r="AG84" s="119"/>
      <c r="AH84" s="119"/>
      <c r="AI84" s="119"/>
      <c r="AJ84" s="119"/>
      <c r="AK84" s="119"/>
      <c r="AL84" s="119"/>
      <c r="AM84" s="119"/>
      <c r="AN84" s="119"/>
      <c r="AO84" s="119"/>
      <c r="AP84" s="119"/>
      <c r="AQ84" s="119"/>
      <c r="AR84" s="119"/>
      <c r="AS84" s="119"/>
      <c r="AT84" s="119"/>
      <c r="AU84" s="119"/>
      <c r="AV84" s="119"/>
      <c r="AW84" s="119"/>
      <c r="AX84" s="119"/>
      <c r="AY84" s="119"/>
      <c r="AZ84" s="119"/>
      <c r="BA84" s="119"/>
      <c r="BB84" s="119"/>
      <c r="BC84" s="119"/>
      <c r="BD84" s="119"/>
      <c r="BE84" s="119"/>
      <c r="BF84" s="119"/>
      <c r="BG84" s="119"/>
      <c r="BH84" s="119"/>
      <c r="BI84" s="119"/>
      <c r="BJ84" s="119"/>
      <c r="BK84" s="119"/>
      <c r="BL84" s="119"/>
      <c r="BM84" s="119"/>
      <c r="BN84" s="119"/>
      <c r="BO84" s="119"/>
      <c r="BP84" s="119"/>
      <c r="BQ84" s="119"/>
      <c r="BR84" s="119"/>
      <c r="BS84" s="119"/>
      <c r="BT84" s="119"/>
      <c r="BU84" s="119"/>
      <c r="BV84" s="119"/>
      <c r="BW84" s="119"/>
      <c r="BX84" s="119"/>
      <c r="BY84" s="119"/>
      <c r="BZ84" s="119"/>
      <c r="CA84" s="119"/>
      <c r="CB84" s="119"/>
      <c r="CC84" s="119"/>
      <c r="CD84" s="119"/>
      <c r="CE84" s="119"/>
      <c r="CF84" s="119"/>
      <c r="CG84" s="119"/>
      <c r="CH84" s="119"/>
      <c r="CI84" s="119"/>
      <c r="CJ84" s="119"/>
      <c r="CK84" s="119"/>
      <c r="CL84" s="119"/>
      <c r="CM84" s="119"/>
      <c r="CN84" s="119"/>
      <c r="CO84" s="119"/>
      <c r="CP84" s="119"/>
      <c r="CQ84" s="119"/>
      <c r="CR84" s="119"/>
      <c r="CS84" s="119"/>
      <c r="CT84" s="119"/>
      <c r="CU84" s="119"/>
      <c r="CV84" s="119"/>
      <c r="CW84" s="119"/>
      <c r="CX84" s="119"/>
      <c r="CY84" s="119"/>
      <c r="CZ84" s="119"/>
      <c r="DA84" s="119"/>
      <c r="DB84" s="119"/>
      <c r="DC84" s="119"/>
      <c r="DD84" s="119"/>
      <c r="DE84" s="119"/>
      <c r="DF84" s="119"/>
      <c r="DG84" s="119"/>
      <c r="DH84" s="119"/>
      <c r="DI84" s="119"/>
      <c r="DJ84" s="119"/>
      <c r="DK84" s="119"/>
      <c r="DL84" s="119"/>
      <c r="DM84" s="119"/>
      <c r="DN84" s="119"/>
      <c r="DO84" s="119"/>
      <c r="DP84" s="74">
        <v>0.0</v>
      </c>
      <c r="DQ84" s="119"/>
      <c r="DR84" s="119"/>
      <c r="DS84" s="119"/>
      <c r="DT84" s="119"/>
      <c r="DU84" s="119"/>
      <c r="DV84" s="119"/>
      <c r="DW84" s="119"/>
      <c r="DX84" s="119"/>
      <c r="DY84" s="119"/>
      <c r="DZ84" s="119"/>
      <c r="EA84" s="119"/>
      <c r="EB84" s="119"/>
      <c r="EC84" s="119"/>
      <c r="ED84" s="119"/>
      <c r="EE84" s="119"/>
      <c r="EF84" s="74" t="s">
        <v>3149</v>
      </c>
      <c r="EG84" s="74" t="s">
        <v>2472</v>
      </c>
      <c r="EH84" s="74">
        <v>1.0</v>
      </c>
      <c r="EI84" s="74" t="s">
        <v>3950</v>
      </c>
      <c r="EJ84" s="120">
        <v>7724.0</v>
      </c>
      <c r="EK84" s="74" t="s">
        <v>4272</v>
      </c>
      <c r="EL84" s="74" t="s">
        <v>4273</v>
      </c>
      <c r="EM84" s="120">
        <v>83.0</v>
      </c>
    </row>
    <row r="85">
      <c r="A85" s="74" t="s">
        <v>720</v>
      </c>
      <c r="B85" s="74" t="s">
        <v>4274</v>
      </c>
      <c r="C85" s="119"/>
      <c r="D85" s="119"/>
      <c r="E85" s="74">
        <v>3.5215509147374E14</v>
      </c>
      <c r="F85" s="74">
        <v>58.0</v>
      </c>
      <c r="G85" s="74">
        <v>2.0</v>
      </c>
      <c r="H85" s="74" t="s">
        <v>4275</v>
      </c>
      <c r="I85" s="74">
        <v>22.5509691</v>
      </c>
      <c r="J85" s="74">
        <v>88.3971344</v>
      </c>
      <c r="K85" s="74">
        <v>-61.099998474121</v>
      </c>
      <c r="L85" s="74">
        <v>5.0</v>
      </c>
      <c r="M85" s="74">
        <v>15.0</v>
      </c>
      <c r="N85" s="119"/>
      <c r="O85" s="119"/>
      <c r="P85" s="119"/>
      <c r="Q85" s="119"/>
      <c r="R85" s="119"/>
      <c r="S85" s="119"/>
      <c r="T85" s="119"/>
      <c r="U85" s="74">
        <v>151.0</v>
      </c>
      <c r="V85" s="74">
        <v>1.0</v>
      </c>
      <c r="W85" s="74">
        <v>0.0</v>
      </c>
      <c r="X85" s="74">
        <v>0.0</v>
      </c>
      <c r="Y85" s="74">
        <v>2071.0</v>
      </c>
      <c r="Z85" s="74">
        <v>2071.0</v>
      </c>
      <c r="AA85" s="74" t="s">
        <v>4276</v>
      </c>
      <c r="AB85" s="74">
        <v>1.0</v>
      </c>
      <c r="AC85" s="74">
        <v>0.0</v>
      </c>
      <c r="AD85" s="74">
        <v>1.0</v>
      </c>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119"/>
      <c r="BH85" s="119"/>
      <c r="BI85" s="119"/>
      <c r="BJ85" s="119"/>
      <c r="BK85" s="119"/>
      <c r="BL85" s="119"/>
      <c r="BM85" s="119"/>
      <c r="BN85" s="119"/>
      <c r="BO85" s="119"/>
      <c r="BP85" s="119"/>
      <c r="BQ85" s="119"/>
      <c r="BR85" s="119"/>
      <c r="BS85" s="119"/>
      <c r="BT85" s="119"/>
      <c r="BU85" s="119"/>
      <c r="BV85" s="119"/>
      <c r="BW85" s="119"/>
      <c r="BX85" s="119"/>
      <c r="BY85" s="119"/>
      <c r="BZ85" s="119"/>
      <c r="CA85" s="119"/>
      <c r="CB85" s="119"/>
      <c r="CC85" s="119"/>
      <c r="CD85" s="119"/>
      <c r="CE85" s="119"/>
      <c r="CF85" s="119"/>
      <c r="CG85" s="119"/>
      <c r="CH85" s="119"/>
      <c r="CI85" s="119"/>
      <c r="CJ85" s="119"/>
      <c r="CK85" s="119"/>
      <c r="CL85" s="119"/>
      <c r="CM85" s="119"/>
      <c r="CN85" s="119"/>
      <c r="CO85" s="119"/>
      <c r="CP85" s="119"/>
      <c r="CQ85" s="119"/>
      <c r="CR85" s="74" t="s">
        <v>721</v>
      </c>
      <c r="CS85" s="74">
        <v>2.0</v>
      </c>
      <c r="CT85" s="119"/>
      <c r="CU85" s="74">
        <v>1.0</v>
      </c>
      <c r="CV85" s="74">
        <v>0.0</v>
      </c>
      <c r="CW85" s="119"/>
      <c r="CX85" s="119"/>
      <c r="CY85" s="119"/>
      <c r="CZ85" s="119"/>
      <c r="DA85" s="119"/>
      <c r="DB85" s="119"/>
      <c r="DC85" s="119"/>
      <c r="DD85" s="119"/>
      <c r="DE85" s="119"/>
      <c r="DF85" s="119"/>
      <c r="DG85" s="119"/>
      <c r="DH85" s="119"/>
      <c r="DI85" s="119"/>
      <c r="DJ85" s="119"/>
      <c r="DK85" s="119"/>
      <c r="DL85" s="119"/>
      <c r="DM85" s="119"/>
      <c r="DN85" s="119"/>
      <c r="DO85" s="119"/>
      <c r="DP85" s="74">
        <v>0.0</v>
      </c>
      <c r="DQ85" s="119"/>
      <c r="DR85" s="119"/>
      <c r="DS85" s="119"/>
      <c r="DT85" s="119"/>
      <c r="DU85" s="119"/>
      <c r="DV85" s="119"/>
      <c r="DW85" s="119"/>
      <c r="DX85" s="119"/>
      <c r="DY85" s="119"/>
      <c r="DZ85" s="119"/>
      <c r="EA85" s="119"/>
      <c r="EB85" s="119"/>
      <c r="EC85" s="119"/>
      <c r="ED85" s="119"/>
      <c r="EE85" s="119"/>
      <c r="EF85" s="74" t="s">
        <v>2949</v>
      </c>
      <c r="EG85" s="74" t="s">
        <v>2278</v>
      </c>
      <c r="EH85" s="74">
        <v>1.0</v>
      </c>
      <c r="EI85" s="74" t="s">
        <v>3950</v>
      </c>
      <c r="EJ85" s="120">
        <v>7725.0</v>
      </c>
      <c r="EK85" s="74" t="s">
        <v>4278</v>
      </c>
      <c r="EL85" s="74" t="s">
        <v>4279</v>
      </c>
      <c r="EM85" s="120">
        <v>84.0</v>
      </c>
    </row>
    <row r="86">
      <c r="A86" s="74" t="s">
        <v>723</v>
      </c>
      <c r="B86" s="74" t="s">
        <v>4280</v>
      </c>
      <c r="C86" s="119"/>
      <c r="D86" s="119"/>
      <c r="E86" s="74">
        <v>3.5215509147374E14</v>
      </c>
      <c r="F86" s="74">
        <v>58.0</v>
      </c>
      <c r="G86" s="74">
        <v>2.0</v>
      </c>
      <c r="H86" s="74" t="s">
        <v>4281</v>
      </c>
      <c r="I86" s="74">
        <v>22.5509933</v>
      </c>
      <c r="J86" s="74">
        <v>88.3971988</v>
      </c>
      <c r="K86" s="74">
        <v>-26.5</v>
      </c>
      <c r="L86" s="74">
        <v>5.0</v>
      </c>
      <c r="M86" s="74">
        <v>15.0</v>
      </c>
      <c r="N86" s="119"/>
      <c r="O86" s="119"/>
      <c r="P86" s="119"/>
      <c r="Q86" s="119"/>
      <c r="R86" s="119"/>
      <c r="S86" s="119"/>
      <c r="T86" s="119"/>
      <c r="U86" s="74">
        <v>152.0</v>
      </c>
      <c r="V86" s="74">
        <v>0.0</v>
      </c>
      <c r="W86" s="74">
        <v>0.0</v>
      </c>
      <c r="X86" s="74">
        <v>1.0</v>
      </c>
      <c r="Y86" s="74">
        <v>2071.0</v>
      </c>
      <c r="Z86" s="74">
        <v>2071.0</v>
      </c>
      <c r="AA86" s="74" t="s">
        <v>4283</v>
      </c>
      <c r="AB86" s="74">
        <v>1.0</v>
      </c>
      <c r="AC86" s="74">
        <v>0.0</v>
      </c>
      <c r="AD86" s="74">
        <v>1.0</v>
      </c>
      <c r="AE86" s="119"/>
      <c r="AF86" s="119"/>
      <c r="AG86" s="119"/>
      <c r="AH86" s="119"/>
      <c r="AI86" s="119"/>
      <c r="AJ86" s="119"/>
      <c r="AK86" s="119"/>
      <c r="AL86" s="119"/>
      <c r="AM86" s="119"/>
      <c r="AN86" s="119"/>
      <c r="AO86" s="119"/>
      <c r="AP86" s="119"/>
      <c r="AQ86" s="119"/>
      <c r="AR86" s="119"/>
      <c r="AS86" s="119"/>
      <c r="AT86" s="119"/>
      <c r="AU86" s="119"/>
      <c r="AV86" s="119"/>
      <c r="AW86" s="119"/>
      <c r="AX86" s="119"/>
      <c r="AY86" s="119"/>
      <c r="AZ86" s="119"/>
      <c r="BA86" s="119"/>
      <c r="BB86" s="119"/>
      <c r="BC86" s="119"/>
      <c r="BD86" s="119"/>
      <c r="BE86" s="119"/>
      <c r="BF86" s="119"/>
      <c r="BG86" s="119"/>
      <c r="BH86" s="119"/>
      <c r="BI86" s="119"/>
      <c r="BJ86" s="119"/>
      <c r="BK86" s="119"/>
      <c r="BL86" s="119"/>
      <c r="BM86" s="119"/>
      <c r="BN86" s="119"/>
      <c r="BO86" s="119"/>
      <c r="BP86" s="119"/>
      <c r="BQ86" s="119"/>
      <c r="BR86" s="119"/>
      <c r="BS86" s="119"/>
      <c r="BT86" s="119"/>
      <c r="BU86" s="119"/>
      <c r="BV86" s="119"/>
      <c r="BW86" s="119"/>
      <c r="BX86" s="119"/>
      <c r="BY86" s="119"/>
      <c r="BZ86" s="119"/>
      <c r="CA86" s="119"/>
      <c r="CB86" s="119"/>
      <c r="CC86" s="119"/>
      <c r="CD86" s="119"/>
      <c r="CE86" s="119"/>
      <c r="CF86" s="119"/>
      <c r="CG86" s="119"/>
      <c r="CH86" s="119"/>
      <c r="CI86" s="119"/>
      <c r="CJ86" s="119"/>
      <c r="CK86" s="119"/>
      <c r="CL86" s="119"/>
      <c r="CM86" s="119"/>
      <c r="CN86" s="119"/>
      <c r="CO86" s="119"/>
      <c r="CP86" s="119"/>
      <c r="CQ86" s="119"/>
      <c r="CR86" s="119"/>
      <c r="CS86" s="119"/>
      <c r="CT86" s="119"/>
      <c r="CU86" s="119"/>
      <c r="CV86" s="119"/>
      <c r="CW86" s="74">
        <v>3.0</v>
      </c>
      <c r="CX86" s="119"/>
      <c r="CY86" s="74" t="s">
        <v>724</v>
      </c>
      <c r="CZ86" s="74">
        <v>2.0</v>
      </c>
      <c r="DA86" s="119"/>
      <c r="DB86" s="74">
        <v>88.0</v>
      </c>
      <c r="DC86" s="74" t="s">
        <v>4284</v>
      </c>
      <c r="DD86" s="74">
        <v>1.0</v>
      </c>
      <c r="DE86" s="74" t="s">
        <v>725</v>
      </c>
      <c r="DF86" s="74">
        <v>3.0</v>
      </c>
      <c r="DG86" s="119"/>
      <c r="DH86" s="74">
        <v>4.0</v>
      </c>
      <c r="DI86" s="119"/>
      <c r="DJ86" s="74">
        <v>1.0</v>
      </c>
      <c r="DK86" s="74" t="s">
        <v>726</v>
      </c>
      <c r="DL86" s="74">
        <v>88.0</v>
      </c>
      <c r="DM86" s="74" t="s">
        <v>4179</v>
      </c>
      <c r="DN86" s="74">
        <v>2.0</v>
      </c>
      <c r="DO86" s="119"/>
      <c r="DP86" s="74">
        <v>0.0</v>
      </c>
      <c r="DQ86" s="119"/>
      <c r="DR86" s="119"/>
      <c r="DS86" s="119"/>
      <c r="DT86" s="119"/>
      <c r="DU86" s="119"/>
      <c r="DV86" s="119"/>
      <c r="DW86" s="119"/>
      <c r="DX86" s="119"/>
      <c r="DY86" s="119"/>
      <c r="DZ86" s="119"/>
      <c r="EA86" s="119"/>
      <c r="EB86" s="119"/>
      <c r="EC86" s="119"/>
      <c r="ED86" s="119"/>
      <c r="EE86" s="119"/>
      <c r="EF86" s="74" t="s">
        <v>2949</v>
      </c>
      <c r="EG86" s="74" t="s">
        <v>2278</v>
      </c>
      <c r="EH86" s="74">
        <v>1.0</v>
      </c>
      <c r="EI86" s="74" t="s">
        <v>3950</v>
      </c>
      <c r="EJ86" s="120">
        <v>7726.0</v>
      </c>
      <c r="EK86" s="74" t="s">
        <v>4285</v>
      </c>
      <c r="EL86" s="74" t="s">
        <v>4286</v>
      </c>
      <c r="EM86" s="120">
        <v>85.0</v>
      </c>
    </row>
    <row r="87">
      <c r="A87" s="74" t="s">
        <v>727</v>
      </c>
      <c r="B87" s="74" t="s">
        <v>4287</v>
      </c>
      <c r="C87" s="119"/>
      <c r="D87" s="119"/>
      <c r="E87" s="74">
        <v>3.5215509147374E14</v>
      </c>
      <c r="F87" s="74">
        <v>58.0</v>
      </c>
      <c r="G87" s="74">
        <v>2.0</v>
      </c>
      <c r="H87" s="74" t="s">
        <v>4288</v>
      </c>
      <c r="I87" s="74">
        <v>22.5508536</v>
      </c>
      <c r="J87" s="74">
        <v>88.3970876</v>
      </c>
      <c r="K87" s="74">
        <v>-52.5</v>
      </c>
      <c r="L87" s="74">
        <v>5.0</v>
      </c>
      <c r="M87" s="74">
        <v>15.0</v>
      </c>
      <c r="N87" s="119"/>
      <c r="O87" s="119"/>
      <c r="P87" s="119"/>
      <c r="Q87" s="119"/>
      <c r="R87" s="119"/>
      <c r="S87" s="119"/>
      <c r="T87" s="119"/>
      <c r="U87" s="74">
        <v>159.0</v>
      </c>
      <c r="V87" s="74">
        <v>0.0</v>
      </c>
      <c r="W87" s="74">
        <v>1.0</v>
      </c>
      <c r="X87" s="74">
        <v>0.0</v>
      </c>
      <c r="Y87" s="74">
        <v>2071.0</v>
      </c>
      <c r="Z87" s="74">
        <v>2071.0</v>
      </c>
      <c r="AA87" s="74" t="s">
        <v>4290</v>
      </c>
      <c r="AB87" s="74">
        <v>1.0</v>
      </c>
      <c r="AC87" s="74">
        <v>0.0</v>
      </c>
      <c r="AD87" s="74">
        <v>1.0</v>
      </c>
      <c r="AE87" s="119"/>
      <c r="AF87" s="119"/>
      <c r="AG87" s="119"/>
      <c r="AH87" s="119"/>
      <c r="AI87" s="119"/>
      <c r="AJ87" s="119"/>
      <c r="AK87" s="119"/>
      <c r="AL87" s="119"/>
      <c r="AM87" s="119"/>
      <c r="AN87" s="119"/>
      <c r="AO87" s="119"/>
      <c r="AP87" s="119"/>
      <c r="AQ87" s="119"/>
      <c r="AR87" s="119"/>
      <c r="AS87" s="119"/>
      <c r="AT87" s="119"/>
      <c r="AU87" s="119"/>
      <c r="AV87" s="119"/>
      <c r="AW87" s="119"/>
      <c r="AX87" s="119"/>
      <c r="AY87" s="119"/>
      <c r="AZ87" s="119"/>
      <c r="BA87" s="119"/>
      <c r="BB87" s="119"/>
      <c r="BC87" s="119"/>
      <c r="BD87" s="119"/>
      <c r="BE87" s="119"/>
      <c r="BF87" s="119"/>
      <c r="BG87" s="119"/>
      <c r="BH87" s="119"/>
      <c r="BI87" s="119"/>
      <c r="BJ87" s="119"/>
      <c r="BK87" s="119"/>
      <c r="BL87" s="119"/>
      <c r="BM87" s="119"/>
      <c r="BN87" s="119"/>
      <c r="BO87" s="119"/>
      <c r="BP87" s="119"/>
      <c r="BQ87" s="119"/>
      <c r="BR87" s="119"/>
      <c r="BS87" s="119"/>
      <c r="BT87" s="119"/>
      <c r="BU87" s="119"/>
      <c r="BV87" s="119"/>
      <c r="BW87" s="119"/>
      <c r="BX87" s="119"/>
      <c r="BY87" s="119"/>
      <c r="BZ87" s="119"/>
      <c r="CA87" s="119"/>
      <c r="CB87" s="119"/>
      <c r="CC87" s="119"/>
      <c r="CD87" s="119"/>
      <c r="CE87" s="119"/>
      <c r="CF87" s="119"/>
      <c r="CG87" s="119"/>
      <c r="CH87" s="119"/>
      <c r="CI87" s="119"/>
      <c r="CJ87" s="119"/>
      <c r="CK87" s="119"/>
      <c r="CL87" s="119"/>
      <c r="CM87" s="119"/>
      <c r="CN87" s="119"/>
      <c r="CO87" s="119"/>
      <c r="CP87" s="119"/>
      <c r="CQ87" s="119"/>
      <c r="CR87" s="119"/>
      <c r="CS87" s="119"/>
      <c r="CT87" s="119"/>
      <c r="CU87" s="119"/>
      <c r="CV87" s="119"/>
      <c r="CW87" s="119"/>
      <c r="CX87" s="119"/>
      <c r="CY87" s="119"/>
      <c r="CZ87" s="119"/>
      <c r="DA87" s="119"/>
      <c r="DB87" s="119"/>
      <c r="DC87" s="119"/>
      <c r="DD87" s="119"/>
      <c r="DE87" s="119"/>
      <c r="DF87" s="119"/>
      <c r="DG87" s="119"/>
      <c r="DH87" s="119"/>
      <c r="DI87" s="119"/>
      <c r="DJ87" s="119"/>
      <c r="DK87" s="119"/>
      <c r="DL87" s="119"/>
      <c r="DM87" s="119"/>
      <c r="DN87" s="119"/>
      <c r="DO87" s="119"/>
      <c r="DP87" s="74">
        <v>0.0</v>
      </c>
      <c r="DQ87" s="119"/>
      <c r="DR87" s="119"/>
      <c r="DS87" s="119"/>
      <c r="DT87" s="119"/>
      <c r="DU87" s="119"/>
      <c r="DV87" s="119"/>
      <c r="DW87" s="119"/>
      <c r="DX87" s="119"/>
      <c r="DY87" s="119"/>
      <c r="DZ87" s="119"/>
      <c r="EA87" s="119"/>
      <c r="EB87" s="119"/>
      <c r="EC87" s="119"/>
      <c r="ED87" s="119"/>
      <c r="EE87" s="119"/>
      <c r="EF87" s="74" t="s">
        <v>2949</v>
      </c>
      <c r="EG87" s="74" t="s">
        <v>2278</v>
      </c>
      <c r="EH87" s="74">
        <v>1.0</v>
      </c>
      <c r="EI87" s="74" t="s">
        <v>3950</v>
      </c>
      <c r="EJ87" s="120">
        <v>7727.0</v>
      </c>
      <c r="EK87" s="74" t="s">
        <v>4292</v>
      </c>
      <c r="EL87" s="74" t="s">
        <v>4293</v>
      </c>
      <c r="EM87" s="120">
        <v>86.0</v>
      </c>
    </row>
    <row r="88">
      <c r="A88" s="74" t="s">
        <v>730</v>
      </c>
      <c r="B88" s="74" t="s">
        <v>4294</v>
      </c>
      <c r="C88" s="119"/>
      <c r="D88" s="119"/>
      <c r="E88" s="74">
        <v>3.5215509147374E14</v>
      </c>
      <c r="F88" s="74">
        <v>58.0</v>
      </c>
      <c r="G88" s="74">
        <v>2.0</v>
      </c>
      <c r="H88" s="74" t="s">
        <v>4295</v>
      </c>
      <c r="I88" s="74">
        <v>22.5517987</v>
      </c>
      <c r="J88" s="74">
        <v>88.3965664</v>
      </c>
      <c r="K88" s="74">
        <v>-37.5</v>
      </c>
      <c r="L88" s="74">
        <v>4.5</v>
      </c>
      <c r="M88" s="74">
        <v>15.0</v>
      </c>
      <c r="N88" s="119"/>
      <c r="O88" s="119"/>
      <c r="P88" s="119"/>
      <c r="Q88" s="119"/>
      <c r="R88" s="119"/>
      <c r="S88" s="119"/>
      <c r="T88" s="119"/>
      <c r="U88" s="74">
        <v>151.0</v>
      </c>
      <c r="V88" s="74">
        <v>1.0</v>
      </c>
      <c r="W88" s="74">
        <v>0.0</v>
      </c>
      <c r="X88" s="74">
        <v>0.0</v>
      </c>
      <c r="Y88" s="74">
        <v>2006.0</v>
      </c>
      <c r="Z88" s="74">
        <v>2006.0</v>
      </c>
      <c r="AA88" s="74" t="s">
        <v>4296</v>
      </c>
      <c r="AB88" s="74">
        <v>1.0</v>
      </c>
      <c r="AC88" s="74">
        <v>0.0</v>
      </c>
      <c r="AD88" s="74">
        <v>1.0</v>
      </c>
      <c r="AE88" s="119"/>
      <c r="AF88" s="119"/>
      <c r="AG88" s="119"/>
      <c r="AH88" s="119"/>
      <c r="AI88" s="119"/>
      <c r="AJ88" s="119"/>
      <c r="AK88" s="119"/>
      <c r="AL88" s="119"/>
      <c r="AM88" s="119"/>
      <c r="AN88" s="119"/>
      <c r="AO88" s="119"/>
      <c r="AP88" s="119"/>
      <c r="AQ88" s="119"/>
      <c r="AR88" s="119"/>
      <c r="AS88" s="119"/>
      <c r="AT88" s="119"/>
      <c r="AU88" s="119"/>
      <c r="AV88" s="119"/>
      <c r="AW88" s="119"/>
      <c r="AX88" s="119"/>
      <c r="AY88" s="119"/>
      <c r="AZ88" s="119"/>
      <c r="BA88" s="119"/>
      <c r="BB88" s="119"/>
      <c r="BC88" s="119"/>
      <c r="BD88" s="119"/>
      <c r="BE88" s="119"/>
      <c r="BF88" s="119"/>
      <c r="BG88" s="119"/>
      <c r="BH88" s="119"/>
      <c r="BI88" s="119"/>
      <c r="BJ88" s="119"/>
      <c r="BK88" s="119"/>
      <c r="BL88" s="119"/>
      <c r="BM88" s="119"/>
      <c r="BN88" s="119"/>
      <c r="BO88" s="119"/>
      <c r="BP88" s="119"/>
      <c r="BQ88" s="119"/>
      <c r="BR88" s="119"/>
      <c r="BS88" s="119"/>
      <c r="BT88" s="119"/>
      <c r="BU88" s="119"/>
      <c r="BV88" s="119"/>
      <c r="BW88" s="119"/>
      <c r="BX88" s="119"/>
      <c r="BY88" s="119"/>
      <c r="BZ88" s="119"/>
      <c r="CA88" s="119"/>
      <c r="CB88" s="119"/>
      <c r="CC88" s="119"/>
      <c r="CD88" s="119"/>
      <c r="CE88" s="119"/>
      <c r="CF88" s="119"/>
      <c r="CG88" s="119"/>
      <c r="CH88" s="119"/>
      <c r="CI88" s="119"/>
      <c r="CJ88" s="119"/>
      <c r="CK88" s="119"/>
      <c r="CL88" s="119"/>
      <c r="CM88" s="119"/>
      <c r="CN88" s="119"/>
      <c r="CO88" s="119"/>
      <c r="CP88" s="119"/>
      <c r="CQ88" s="119"/>
      <c r="CR88" s="74" t="s">
        <v>731</v>
      </c>
      <c r="CS88" s="74">
        <v>2.0</v>
      </c>
      <c r="CT88" s="119"/>
      <c r="CU88" s="74">
        <v>0.0</v>
      </c>
      <c r="CV88" s="74">
        <v>0.0</v>
      </c>
      <c r="CW88" s="119"/>
      <c r="CX88" s="119"/>
      <c r="CY88" s="119"/>
      <c r="CZ88" s="119"/>
      <c r="DA88" s="119"/>
      <c r="DB88" s="119"/>
      <c r="DC88" s="119"/>
      <c r="DD88" s="119"/>
      <c r="DE88" s="119"/>
      <c r="DF88" s="119"/>
      <c r="DG88" s="119"/>
      <c r="DH88" s="119"/>
      <c r="DI88" s="119"/>
      <c r="DJ88" s="119"/>
      <c r="DK88" s="119"/>
      <c r="DL88" s="119"/>
      <c r="DM88" s="119"/>
      <c r="DN88" s="119"/>
      <c r="DO88" s="119"/>
      <c r="DP88" s="74">
        <v>0.0</v>
      </c>
      <c r="DQ88" s="119"/>
      <c r="DR88" s="119"/>
      <c r="DS88" s="119"/>
      <c r="DT88" s="119"/>
      <c r="DU88" s="119"/>
      <c r="DV88" s="119"/>
      <c r="DW88" s="119"/>
      <c r="DX88" s="119"/>
      <c r="DY88" s="119"/>
      <c r="DZ88" s="119"/>
      <c r="EA88" s="119"/>
      <c r="EB88" s="119"/>
      <c r="EC88" s="119"/>
      <c r="ED88" s="119"/>
      <c r="EE88" s="119"/>
      <c r="EF88" s="74" t="s">
        <v>3185</v>
      </c>
      <c r="EG88" s="74" t="s">
        <v>2327</v>
      </c>
      <c r="EH88" s="74">
        <v>1.0</v>
      </c>
      <c r="EI88" s="74" t="s">
        <v>3950</v>
      </c>
      <c r="EJ88" s="120">
        <v>7738.0</v>
      </c>
      <c r="EK88" s="74" t="s">
        <v>4298</v>
      </c>
      <c r="EL88" s="74" t="s">
        <v>4299</v>
      </c>
      <c r="EM88" s="120">
        <v>87.0</v>
      </c>
    </row>
    <row r="89">
      <c r="A89" s="74" t="s">
        <v>732</v>
      </c>
      <c r="B89" s="74" t="s">
        <v>4300</v>
      </c>
      <c r="C89" s="119"/>
      <c r="D89" s="119"/>
      <c r="E89" s="74">
        <v>3.5215509147374E14</v>
      </c>
      <c r="F89" s="74">
        <v>58.0</v>
      </c>
      <c r="G89" s="74">
        <v>2.0</v>
      </c>
      <c r="H89" s="74" t="s">
        <v>4301</v>
      </c>
      <c r="I89" s="74">
        <v>22.5517952</v>
      </c>
      <c r="J89" s="74">
        <v>88.3966089</v>
      </c>
      <c r="K89" s="74">
        <v>-34.5</v>
      </c>
      <c r="L89" s="74">
        <v>4.5</v>
      </c>
      <c r="M89" s="74">
        <v>15.0</v>
      </c>
      <c r="N89" s="119"/>
      <c r="O89" s="119"/>
      <c r="P89" s="119"/>
      <c r="Q89" s="119"/>
      <c r="R89" s="119"/>
      <c r="S89" s="119"/>
      <c r="T89" s="119"/>
      <c r="U89" s="74">
        <v>152.0</v>
      </c>
      <c r="V89" s="74">
        <v>0.0</v>
      </c>
      <c r="W89" s="74">
        <v>0.0</v>
      </c>
      <c r="X89" s="74">
        <v>1.0</v>
      </c>
      <c r="Y89" s="74">
        <v>2006.0</v>
      </c>
      <c r="Z89" s="74">
        <v>2006.0</v>
      </c>
      <c r="AA89" s="74" t="s">
        <v>4302</v>
      </c>
      <c r="AB89" s="74">
        <v>1.0</v>
      </c>
      <c r="AC89" s="74">
        <v>0.0</v>
      </c>
      <c r="AD89" s="74">
        <v>1.0</v>
      </c>
      <c r="AE89" s="119"/>
      <c r="AF89" s="119"/>
      <c r="AG89" s="119"/>
      <c r="AH89" s="119"/>
      <c r="AI89" s="119"/>
      <c r="AJ89" s="119"/>
      <c r="AK89" s="119"/>
      <c r="AL89" s="119"/>
      <c r="AM89" s="119"/>
      <c r="AN89" s="119"/>
      <c r="AO89" s="119"/>
      <c r="AP89" s="119"/>
      <c r="AQ89" s="119"/>
      <c r="AR89" s="119"/>
      <c r="AS89" s="119"/>
      <c r="AT89" s="119"/>
      <c r="AU89" s="119"/>
      <c r="AV89" s="119"/>
      <c r="AW89" s="119"/>
      <c r="AX89" s="119"/>
      <c r="AY89" s="119"/>
      <c r="AZ89" s="119"/>
      <c r="BA89" s="119"/>
      <c r="BB89" s="119"/>
      <c r="BC89" s="119"/>
      <c r="BD89" s="119"/>
      <c r="BE89" s="119"/>
      <c r="BF89" s="119"/>
      <c r="BG89" s="119"/>
      <c r="BH89" s="119"/>
      <c r="BI89" s="119"/>
      <c r="BJ89" s="119"/>
      <c r="BK89" s="119"/>
      <c r="BL89" s="119"/>
      <c r="BM89" s="119"/>
      <c r="BN89" s="119"/>
      <c r="BO89" s="119"/>
      <c r="BP89" s="119"/>
      <c r="BQ89" s="119"/>
      <c r="BR89" s="119"/>
      <c r="BS89" s="119"/>
      <c r="BT89" s="119"/>
      <c r="BU89" s="119"/>
      <c r="BV89" s="119"/>
      <c r="BW89" s="119"/>
      <c r="BX89" s="119"/>
      <c r="BY89" s="119"/>
      <c r="BZ89" s="119"/>
      <c r="CA89" s="119"/>
      <c r="CB89" s="119"/>
      <c r="CC89" s="119"/>
      <c r="CD89" s="119"/>
      <c r="CE89" s="119"/>
      <c r="CF89" s="119"/>
      <c r="CG89" s="119"/>
      <c r="CH89" s="119"/>
      <c r="CI89" s="119"/>
      <c r="CJ89" s="119"/>
      <c r="CK89" s="119"/>
      <c r="CL89" s="119"/>
      <c r="CM89" s="119"/>
      <c r="CN89" s="119"/>
      <c r="CO89" s="119"/>
      <c r="CP89" s="119"/>
      <c r="CQ89" s="119"/>
      <c r="CR89" s="119"/>
      <c r="CS89" s="119"/>
      <c r="CT89" s="119"/>
      <c r="CU89" s="119"/>
      <c r="CV89" s="119"/>
      <c r="CW89" s="74">
        <v>3.0</v>
      </c>
      <c r="CX89" s="119"/>
      <c r="CY89" s="74" t="s">
        <v>733</v>
      </c>
      <c r="CZ89" s="74">
        <v>2.0</v>
      </c>
      <c r="DA89" s="119"/>
      <c r="DB89" s="74">
        <v>88.0</v>
      </c>
      <c r="DC89" s="74" t="s">
        <v>4303</v>
      </c>
      <c r="DD89" s="74">
        <v>1.0</v>
      </c>
      <c r="DE89" s="74" t="s">
        <v>734</v>
      </c>
      <c r="DF89" s="74">
        <v>88.0</v>
      </c>
      <c r="DG89" s="74" t="s">
        <v>4179</v>
      </c>
      <c r="DH89" s="74">
        <v>88.0</v>
      </c>
      <c r="DI89" s="74" t="s">
        <v>4304</v>
      </c>
      <c r="DJ89" s="74">
        <v>1.0</v>
      </c>
      <c r="DK89" s="74" t="s">
        <v>735</v>
      </c>
      <c r="DL89" s="74">
        <v>88.0</v>
      </c>
      <c r="DM89" s="74" t="s">
        <v>3925</v>
      </c>
      <c r="DN89" s="74">
        <v>88.0</v>
      </c>
      <c r="DO89" s="74" t="s">
        <v>3926</v>
      </c>
      <c r="DP89" s="74">
        <v>0.0</v>
      </c>
      <c r="DQ89" s="119"/>
      <c r="DR89" s="119"/>
      <c r="DS89" s="119"/>
      <c r="DT89" s="119"/>
      <c r="DU89" s="119"/>
      <c r="DV89" s="119"/>
      <c r="DW89" s="119"/>
      <c r="DX89" s="119"/>
      <c r="DY89" s="119"/>
      <c r="DZ89" s="119"/>
      <c r="EA89" s="119"/>
      <c r="EB89" s="119"/>
      <c r="EC89" s="119"/>
      <c r="ED89" s="119"/>
      <c r="EE89" s="119"/>
      <c r="EF89" s="74" t="s">
        <v>3185</v>
      </c>
      <c r="EG89" s="74" t="s">
        <v>2327</v>
      </c>
      <c r="EH89" s="74">
        <v>1.0</v>
      </c>
      <c r="EI89" s="74" t="s">
        <v>3950</v>
      </c>
      <c r="EJ89" s="120">
        <v>7739.0</v>
      </c>
      <c r="EK89" s="74" t="s">
        <v>4306</v>
      </c>
      <c r="EL89" s="74" t="s">
        <v>4307</v>
      </c>
      <c r="EM89" s="120">
        <v>88.0</v>
      </c>
    </row>
    <row r="90">
      <c r="A90" s="74" t="s">
        <v>736</v>
      </c>
      <c r="B90" s="74" t="s">
        <v>4308</v>
      </c>
      <c r="C90" s="119"/>
      <c r="D90" s="119"/>
      <c r="E90" s="74">
        <v>3.5215509147374E14</v>
      </c>
      <c r="F90" s="74">
        <v>58.0</v>
      </c>
      <c r="G90" s="74">
        <v>2.0</v>
      </c>
      <c r="H90" s="74" t="s">
        <v>4309</v>
      </c>
      <c r="I90" s="74">
        <v>22.5517638</v>
      </c>
      <c r="J90" s="74">
        <v>88.3965492</v>
      </c>
      <c r="K90" s="74">
        <v>-49.099998474121</v>
      </c>
      <c r="L90" s="74">
        <v>4.5</v>
      </c>
      <c r="M90" s="74">
        <v>15.0</v>
      </c>
      <c r="N90" s="119"/>
      <c r="O90" s="119"/>
      <c r="P90" s="119"/>
      <c r="Q90" s="119"/>
      <c r="R90" s="119"/>
      <c r="S90" s="119"/>
      <c r="T90" s="119"/>
      <c r="U90" s="74">
        <v>159.0</v>
      </c>
      <c r="V90" s="74">
        <v>0.0</v>
      </c>
      <c r="W90" s="74">
        <v>1.0</v>
      </c>
      <c r="X90" s="74">
        <v>0.0</v>
      </c>
      <c r="Y90" s="74">
        <v>2006.0</v>
      </c>
      <c r="Z90" s="74">
        <v>2006.0</v>
      </c>
      <c r="AA90" s="74" t="s">
        <v>4310</v>
      </c>
      <c r="AB90" s="74">
        <v>1.0</v>
      </c>
      <c r="AC90" s="74">
        <v>0.0</v>
      </c>
      <c r="AD90" s="74">
        <v>1.0</v>
      </c>
      <c r="AE90" s="119"/>
      <c r="AF90" s="119"/>
      <c r="AG90" s="119"/>
      <c r="AH90" s="119"/>
      <c r="AI90" s="119"/>
      <c r="AJ90" s="119"/>
      <c r="AK90" s="119"/>
      <c r="AL90" s="119"/>
      <c r="AM90" s="119"/>
      <c r="AN90" s="119"/>
      <c r="AO90" s="119"/>
      <c r="AP90" s="119"/>
      <c r="AQ90" s="119"/>
      <c r="AR90" s="119"/>
      <c r="AS90" s="119"/>
      <c r="AT90" s="119"/>
      <c r="AU90" s="119"/>
      <c r="AV90" s="119"/>
      <c r="AW90" s="119"/>
      <c r="AX90" s="119"/>
      <c r="AY90" s="119"/>
      <c r="AZ90" s="119"/>
      <c r="BA90" s="119"/>
      <c r="BB90" s="119"/>
      <c r="BC90" s="119"/>
      <c r="BD90" s="119"/>
      <c r="BE90" s="119"/>
      <c r="BF90" s="119"/>
      <c r="BG90" s="119"/>
      <c r="BH90" s="119"/>
      <c r="BI90" s="119"/>
      <c r="BJ90" s="119"/>
      <c r="BK90" s="119"/>
      <c r="BL90" s="119"/>
      <c r="BM90" s="119"/>
      <c r="BN90" s="119"/>
      <c r="BO90" s="119"/>
      <c r="BP90" s="119"/>
      <c r="BQ90" s="119"/>
      <c r="BR90" s="119"/>
      <c r="BS90" s="119"/>
      <c r="BT90" s="119"/>
      <c r="BU90" s="119"/>
      <c r="BV90" s="119"/>
      <c r="BW90" s="119"/>
      <c r="BX90" s="119"/>
      <c r="BY90" s="119"/>
      <c r="BZ90" s="119"/>
      <c r="CA90" s="119"/>
      <c r="CB90" s="119"/>
      <c r="CC90" s="119"/>
      <c r="CD90" s="119"/>
      <c r="CE90" s="119"/>
      <c r="CF90" s="119"/>
      <c r="CG90" s="119"/>
      <c r="CH90" s="119"/>
      <c r="CI90" s="119"/>
      <c r="CJ90" s="119"/>
      <c r="CK90" s="119"/>
      <c r="CL90" s="119"/>
      <c r="CM90" s="119"/>
      <c r="CN90" s="119"/>
      <c r="CO90" s="119"/>
      <c r="CP90" s="119"/>
      <c r="CQ90" s="119"/>
      <c r="CR90" s="119"/>
      <c r="CS90" s="119"/>
      <c r="CT90" s="119"/>
      <c r="CU90" s="119"/>
      <c r="CV90" s="119"/>
      <c r="CW90" s="119"/>
      <c r="CX90" s="119"/>
      <c r="CY90" s="119"/>
      <c r="CZ90" s="119"/>
      <c r="DA90" s="119"/>
      <c r="DB90" s="119"/>
      <c r="DC90" s="119"/>
      <c r="DD90" s="119"/>
      <c r="DE90" s="119"/>
      <c r="DF90" s="119"/>
      <c r="DG90" s="119"/>
      <c r="DH90" s="119"/>
      <c r="DI90" s="119"/>
      <c r="DJ90" s="119"/>
      <c r="DK90" s="119"/>
      <c r="DL90" s="119"/>
      <c r="DM90" s="119"/>
      <c r="DN90" s="119"/>
      <c r="DO90" s="119"/>
      <c r="DP90" s="74">
        <v>0.0</v>
      </c>
      <c r="DQ90" s="119"/>
      <c r="DR90" s="119"/>
      <c r="DS90" s="119"/>
      <c r="DT90" s="119"/>
      <c r="DU90" s="119"/>
      <c r="DV90" s="119"/>
      <c r="DW90" s="119"/>
      <c r="DX90" s="119"/>
      <c r="DY90" s="119"/>
      <c r="DZ90" s="119"/>
      <c r="EA90" s="119"/>
      <c r="EB90" s="119"/>
      <c r="EC90" s="119"/>
      <c r="ED90" s="119"/>
      <c r="EE90" s="119"/>
      <c r="EF90" s="74" t="s">
        <v>4312</v>
      </c>
      <c r="EG90" s="74" t="s">
        <v>2327</v>
      </c>
      <c r="EH90" s="74">
        <v>1.0</v>
      </c>
      <c r="EI90" s="74" t="s">
        <v>3950</v>
      </c>
      <c r="EJ90" s="120">
        <v>7740.0</v>
      </c>
      <c r="EK90" s="74" t="s">
        <v>4313</v>
      </c>
      <c r="EL90" s="74" t="s">
        <v>4314</v>
      </c>
      <c r="EM90" s="120">
        <v>89.0</v>
      </c>
    </row>
    <row r="91">
      <c r="A91" s="74" t="s">
        <v>739</v>
      </c>
      <c r="B91" s="74" t="s">
        <v>4315</v>
      </c>
      <c r="C91" s="119"/>
      <c r="D91" s="119"/>
      <c r="E91" s="74">
        <v>3.5215509147374E14</v>
      </c>
      <c r="F91" s="74">
        <v>58.0</v>
      </c>
      <c r="G91" s="74">
        <v>2.0</v>
      </c>
      <c r="H91" s="74" t="s">
        <v>4316</v>
      </c>
      <c r="I91" s="74">
        <v>22.551764</v>
      </c>
      <c r="J91" s="74">
        <v>88.3962386</v>
      </c>
      <c r="K91" s="74">
        <v>-43.2999992370605</v>
      </c>
      <c r="L91" s="74">
        <v>5.0</v>
      </c>
      <c r="M91" s="74">
        <v>15.0</v>
      </c>
      <c r="N91" s="119"/>
      <c r="O91" s="119"/>
      <c r="P91" s="119"/>
      <c r="Q91" s="119"/>
      <c r="R91" s="119"/>
      <c r="S91" s="119"/>
      <c r="T91" s="119"/>
      <c r="U91" s="74">
        <v>151.0</v>
      </c>
      <c r="V91" s="74">
        <v>1.0</v>
      </c>
      <c r="W91" s="74">
        <v>0.0</v>
      </c>
      <c r="X91" s="74">
        <v>0.0</v>
      </c>
      <c r="Y91" s="74">
        <v>2010.0</v>
      </c>
      <c r="Z91" s="74">
        <v>2010.0</v>
      </c>
      <c r="AA91" s="74" t="s">
        <v>4317</v>
      </c>
      <c r="AB91" s="74">
        <v>1.0</v>
      </c>
      <c r="AC91" s="74">
        <v>0.0</v>
      </c>
      <c r="AD91" s="74">
        <v>1.0</v>
      </c>
      <c r="AE91" s="119"/>
      <c r="AF91" s="119"/>
      <c r="AG91" s="119"/>
      <c r="AH91" s="119"/>
      <c r="AI91" s="119"/>
      <c r="AJ91" s="119"/>
      <c r="AK91" s="119"/>
      <c r="AL91" s="119"/>
      <c r="AM91" s="119"/>
      <c r="AN91" s="119"/>
      <c r="AO91" s="119"/>
      <c r="AP91" s="119"/>
      <c r="AQ91" s="119"/>
      <c r="AR91" s="119"/>
      <c r="AS91" s="119"/>
      <c r="AT91" s="119"/>
      <c r="AU91" s="119"/>
      <c r="AV91" s="119"/>
      <c r="AW91" s="119"/>
      <c r="AX91" s="119"/>
      <c r="AY91" s="119"/>
      <c r="AZ91" s="119"/>
      <c r="BA91" s="119"/>
      <c r="BB91" s="119"/>
      <c r="BC91" s="119"/>
      <c r="BD91" s="119"/>
      <c r="BE91" s="119"/>
      <c r="BF91" s="119"/>
      <c r="BG91" s="119"/>
      <c r="BH91" s="119"/>
      <c r="BI91" s="119"/>
      <c r="BJ91" s="119"/>
      <c r="BK91" s="119"/>
      <c r="BL91" s="119"/>
      <c r="BM91" s="119"/>
      <c r="BN91" s="119"/>
      <c r="BO91" s="119"/>
      <c r="BP91" s="119"/>
      <c r="BQ91" s="119"/>
      <c r="BR91" s="119"/>
      <c r="BS91" s="119"/>
      <c r="BT91" s="119"/>
      <c r="BU91" s="119"/>
      <c r="BV91" s="119"/>
      <c r="BW91" s="119"/>
      <c r="BX91" s="119"/>
      <c r="BY91" s="119"/>
      <c r="BZ91" s="119"/>
      <c r="CA91" s="119"/>
      <c r="CB91" s="119"/>
      <c r="CC91" s="119"/>
      <c r="CD91" s="119"/>
      <c r="CE91" s="119"/>
      <c r="CF91" s="119"/>
      <c r="CG91" s="119"/>
      <c r="CH91" s="119"/>
      <c r="CI91" s="119"/>
      <c r="CJ91" s="119"/>
      <c r="CK91" s="119"/>
      <c r="CL91" s="119"/>
      <c r="CM91" s="119"/>
      <c r="CN91" s="119"/>
      <c r="CO91" s="119"/>
      <c r="CP91" s="119"/>
      <c r="CQ91" s="119"/>
      <c r="CR91" s="74" t="s">
        <v>740</v>
      </c>
      <c r="CS91" s="74">
        <v>2.0</v>
      </c>
      <c r="CT91" s="119"/>
      <c r="CU91" s="74">
        <v>0.0</v>
      </c>
      <c r="CV91" s="74">
        <v>0.0</v>
      </c>
      <c r="CW91" s="119"/>
      <c r="CX91" s="119"/>
      <c r="CY91" s="119"/>
      <c r="CZ91" s="119"/>
      <c r="DA91" s="119"/>
      <c r="DB91" s="119"/>
      <c r="DC91" s="119"/>
      <c r="DD91" s="119"/>
      <c r="DE91" s="119"/>
      <c r="DF91" s="119"/>
      <c r="DG91" s="119"/>
      <c r="DH91" s="119"/>
      <c r="DI91" s="119"/>
      <c r="DJ91" s="119"/>
      <c r="DK91" s="119"/>
      <c r="DL91" s="119"/>
      <c r="DM91" s="119"/>
      <c r="DN91" s="119"/>
      <c r="DO91" s="119"/>
      <c r="DP91" s="74">
        <v>0.0</v>
      </c>
      <c r="DQ91" s="119"/>
      <c r="DR91" s="119"/>
      <c r="DS91" s="119"/>
      <c r="DT91" s="119"/>
      <c r="DU91" s="119"/>
      <c r="DV91" s="119"/>
      <c r="DW91" s="119"/>
      <c r="DX91" s="119"/>
      <c r="DY91" s="119"/>
      <c r="DZ91" s="119"/>
      <c r="EA91" s="119"/>
      <c r="EB91" s="119"/>
      <c r="EC91" s="119"/>
      <c r="ED91" s="119"/>
      <c r="EE91" s="119"/>
      <c r="EF91" s="74" t="s">
        <v>3149</v>
      </c>
      <c r="EG91" s="74" t="s">
        <v>2472</v>
      </c>
      <c r="EH91" s="74">
        <v>1.0</v>
      </c>
      <c r="EI91" s="74" t="s">
        <v>3950</v>
      </c>
      <c r="EJ91" s="120">
        <v>7741.0</v>
      </c>
      <c r="EK91" s="74" t="s">
        <v>4319</v>
      </c>
      <c r="EL91" s="74" t="s">
        <v>4320</v>
      </c>
      <c r="EM91" s="120">
        <v>90.0</v>
      </c>
    </row>
    <row r="92">
      <c r="A92" s="74" t="s">
        <v>742</v>
      </c>
      <c r="B92" s="74" t="s">
        <v>4321</v>
      </c>
      <c r="C92" s="119"/>
      <c r="D92" s="119"/>
      <c r="E92" s="74">
        <v>3.5215509147374E14</v>
      </c>
      <c r="F92" s="74">
        <v>58.0</v>
      </c>
      <c r="G92" s="74">
        <v>2.0</v>
      </c>
      <c r="H92" s="74" t="s">
        <v>4322</v>
      </c>
      <c r="I92" s="74">
        <v>22.5517507</v>
      </c>
      <c r="J92" s="74">
        <v>88.396297</v>
      </c>
      <c r="K92" s="74">
        <v>-46.5</v>
      </c>
      <c r="L92" s="74">
        <v>5.0</v>
      </c>
      <c r="M92" s="74">
        <v>15.0</v>
      </c>
      <c r="N92" s="119"/>
      <c r="O92" s="119"/>
      <c r="P92" s="119"/>
      <c r="Q92" s="119"/>
      <c r="R92" s="119"/>
      <c r="S92" s="119"/>
      <c r="T92" s="119"/>
      <c r="U92" s="74">
        <v>152.0</v>
      </c>
      <c r="V92" s="74">
        <v>0.0</v>
      </c>
      <c r="W92" s="74">
        <v>0.0</v>
      </c>
      <c r="X92" s="74">
        <v>1.0</v>
      </c>
      <c r="Y92" s="74">
        <v>2010.0</v>
      </c>
      <c r="Z92" s="74">
        <v>2010.0</v>
      </c>
      <c r="AA92" s="74" t="s">
        <v>4324</v>
      </c>
      <c r="AB92" s="74">
        <v>1.0</v>
      </c>
      <c r="AC92" s="74">
        <v>0.0</v>
      </c>
      <c r="AD92" s="74">
        <v>1.0</v>
      </c>
      <c r="AE92" s="119"/>
      <c r="AF92" s="119"/>
      <c r="AG92" s="119"/>
      <c r="AH92" s="119"/>
      <c r="AI92" s="119"/>
      <c r="AJ92" s="119"/>
      <c r="AK92" s="119"/>
      <c r="AL92" s="119"/>
      <c r="AM92" s="119"/>
      <c r="AN92" s="119"/>
      <c r="AO92" s="119"/>
      <c r="AP92" s="119"/>
      <c r="AQ92" s="119"/>
      <c r="AR92" s="119"/>
      <c r="AS92" s="119"/>
      <c r="AT92" s="119"/>
      <c r="AU92" s="119"/>
      <c r="AV92" s="119"/>
      <c r="AW92" s="119"/>
      <c r="AX92" s="119"/>
      <c r="AY92" s="119"/>
      <c r="AZ92" s="119"/>
      <c r="BA92" s="119"/>
      <c r="BB92" s="119"/>
      <c r="BC92" s="119"/>
      <c r="BD92" s="119"/>
      <c r="BE92" s="119"/>
      <c r="BF92" s="119"/>
      <c r="BG92" s="119"/>
      <c r="BH92" s="119"/>
      <c r="BI92" s="119"/>
      <c r="BJ92" s="119"/>
      <c r="BK92" s="119"/>
      <c r="BL92" s="119"/>
      <c r="BM92" s="119"/>
      <c r="BN92" s="119"/>
      <c r="BO92" s="119"/>
      <c r="BP92" s="119"/>
      <c r="BQ92" s="119"/>
      <c r="BR92" s="119"/>
      <c r="BS92" s="119"/>
      <c r="BT92" s="119"/>
      <c r="BU92" s="119"/>
      <c r="BV92" s="119"/>
      <c r="BW92" s="119"/>
      <c r="BX92" s="119"/>
      <c r="BY92" s="119"/>
      <c r="BZ92" s="119"/>
      <c r="CA92" s="119"/>
      <c r="CB92" s="119"/>
      <c r="CC92" s="119"/>
      <c r="CD92" s="119"/>
      <c r="CE92" s="119"/>
      <c r="CF92" s="119"/>
      <c r="CG92" s="119"/>
      <c r="CH92" s="119"/>
      <c r="CI92" s="119"/>
      <c r="CJ92" s="119"/>
      <c r="CK92" s="119"/>
      <c r="CL92" s="119"/>
      <c r="CM92" s="119"/>
      <c r="CN92" s="119"/>
      <c r="CO92" s="119"/>
      <c r="CP92" s="119"/>
      <c r="CQ92" s="119"/>
      <c r="CR92" s="119"/>
      <c r="CS92" s="119"/>
      <c r="CT92" s="119"/>
      <c r="CU92" s="119"/>
      <c r="CV92" s="119"/>
      <c r="CW92" s="74">
        <v>3.0</v>
      </c>
      <c r="CX92" s="119"/>
      <c r="CY92" s="74" t="s">
        <v>743</v>
      </c>
      <c r="CZ92" s="74">
        <v>88.0</v>
      </c>
      <c r="DA92" s="74" t="s">
        <v>4179</v>
      </c>
      <c r="DB92" s="74">
        <v>2.0</v>
      </c>
      <c r="DC92" s="119"/>
      <c r="DD92" s="74">
        <v>1.0</v>
      </c>
      <c r="DE92" s="74" t="s">
        <v>745</v>
      </c>
      <c r="DF92" s="74">
        <v>88.0</v>
      </c>
      <c r="DG92" s="74" t="s">
        <v>3840</v>
      </c>
      <c r="DH92" s="74">
        <v>88.0</v>
      </c>
      <c r="DI92" s="74" t="s">
        <v>4325</v>
      </c>
      <c r="DJ92" s="74">
        <v>1.0</v>
      </c>
      <c r="DK92" s="74" t="s">
        <v>746</v>
      </c>
      <c r="DL92" s="74">
        <v>88.0</v>
      </c>
      <c r="DM92" s="74" t="s">
        <v>3925</v>
      </c>
      <c r="DN92" s="74">
        <v>88.0</v>
      </c>
      <c r="DO92" s="74" t="s">
        <v>3926</v>
      </c>
      <c r="DP92" s="74">
        <v>0.0</v>
      </c>
      <c r="DQ92" s="119"/>
      <c r="DR92" s="119"/>
      <c r="DS92" s="119"/>
      <c r="DT92" s="119"/>
      <c r="DU92" s="119"/>
      <c r="DV92" s="119"/>
      <c r="DW92" s="119"/>
      <c r="DX92" s="119"/>
      <c r="DY92" s="119"/>
      <c r="DZ92" s="119"/>
      <c r="EA92" s="119"/>
      <c r="EB92" s="119"/>
      <c r="EC92" s="119"/>
      <c r="ED92" s="119"/>
      <c r="EE92" s="119"/>
      <c r="EF92" s="74" t="s">
        <v>3149</v>
      </c>
      <c r="EG92" s="74" t="s">
        <v>2472</v>
      </c>
      <c r="EH92" s="74">
        <v>1.0</v>
      </c>
      <c r="EI92" s="74" t="s">
        <v>3950</v>
      </c>
      <c r="EJ92" s="120">
        <v>7742.0</v>
      </c>
      <c r="EK92" s="74" t="s">
        <v>4326</v>
      </c>
      <c r="EL92" s="74" t="s">
        <v>4328</v>
      </c>
      <c r="EM92" s="120">
        <v>91.0</v>
      </c>
    </row>
    <row r="93">
      <c r="A93" s="74" t="s">
        <v>747</v>
      </c>
      <c r="B93" s="74" t="s">
        <v>4329</v>
      </c>
      <c r="C93" s="119"/>
      <c r="D93" s="119"/>
      <c r="E93" s="74">
        <v>3.5215509147374E14</v>
      </c>
      <c r="F93" s="74">
        <v>58.0</v>
      </c>
      <c r="G93" s="74">
        <v>2.0</v>
      </c>
      <c r="H93" s="74" t="s">
        <v>4330</v>
      </c>
      <c r="I93" s="74">
        <v>22.5517309</v>
      </c>
      <c r="J93" s="74">
        <v>88.3962713</v>
      </c>
      <c r="K93" s="74">
        <v>-43.4000015258789</v>
      </c>
      <c r="L93" s="74">
        <v>5.0</v>
      </c>
      <c r="M93" s="74">
        <v>15.0</v>
      </c>
      <c r="N93" s="119"/>
      <c r="O93" s="119"/>
      <c r="P93" s="119"/>
      <c r="Q93" s="119"/>
      <c r="R93" s="119"/>
      <c r="S93" s="119"/>
      <c r="T93" s="119"/>
      <c r="U93" s="74">
        <v>159.0</v>
      </c>
      <c r="V93" s="74">
        <v>0.0</v>
      </c>
      <c r="W93" s="74">
        <v>1.0</v>
      </c>
      <c r="X93" s="74">
        <v>0.0</v>
      </c>
      <c r="Y93" s="74">
        <v>2010.0</v>
      </c>
      <c r="Z93" s="74">
        <v>2010.0</v>
      </c>
      <c r="AA93" s="74" t="s">
        <v>4331</v>
      </c>
      <c r="AB93" s="74">
        <v>1.0</v>
      </c>
      <c r="AC93" s="74">
        <v>0.0</v>
      </c>
      <c r="AD93" s="74">
        <v>1.0</v>
      </c>
      <c r="AE93" s="119"/>
      <c r="AF93" s="119"/>
      <c r="AG93" s="119"/>
      <c r="AH93" s="119"/>
      <c r="AI93" s="119"/>
      <c r="AJ93" s="119"/>
      <c r="AK93" s="119"/>
      <c r="AL93" s="119"/>
      <c r="AM93" s="119"/>
      <c r="AN93" s="119"/>
      <c r="AO93" s="119"/>
      <c r="AP93" s="119"/>
      <c r="AQ93" s="119"/>
      <c r="AR93" s="119"/>
      <c r="AS93" s="119"/>
      <c r="AT93" s="119"/>
      <c r="AU93" s="119"/>
      <c r="AV93" s="119"/>
      <c r="AW93" s="119"/>
      <c r="AX93" s="119"/>
      <c r="AY93" s="119"/>
      <c r="AZ93" s="119"/>
      <c r="BA93" s="119"/>
      <c r="BB93" s="119"/>
      <c r="BC93" s="119"/>
      <c r="BD93" s="119"/>
      <c r="BE93" s="119"/>
      <c r="BF93" s="119"/>
      <c r="BG93" s="119"/>
      <c r="BH93" s="119"/>
      <c r="BI93" s="119"/>
      <c r="BJ93" s="119"/>
      <c r="BK93" s="119"/>
      <c r="BL93" s="119"/>
      <c r="BM93" s="119"/>
      <c r="BN93" s="119"/>
      <c r="BO93" s="119"/>
      <c r="BP93" s="119"/>
      <c r="BQ93" s="119"/>
      <c r="BR93" s="119"/>
      <c r="BS93" s="119"/>
      <c r="BT93" s="119"/>
      <c r="BU93" s="119"/>
      <c r="BV93" s="119"/>
      <c r="BW93" s="119"/>
      <c r="BX93" s="119"/>
      <c r="BY93" s="119"/>
      <c r="BZ93" s="119"/>
      <c r="CA93" s="119"/>
      <c r="CB93" s="119"/>
      <c r="CC93" s="119"/>
      <c r="CD93" s="119"/>
      <c r="CE93" s="119"/>
      <c r="CF93" s="119"/>
      <c r="CG93" s="119"/>
      <c r="CH93" s="119"/>
      <c r="CI93" s="119"/>
      <c r="CJ93" s="119"/>
      <c r="CK93" s="119"/>
      <c r="CL93" s="119"/>
      <c r="CM93" s="119"/>
      <c r="CN93" s="119"/>
      <c r="CO93" s="119"/>
      <c r="CP93" s="119"/>
      <c r="CQ93" s="119"/>
      <c r="CR93" s="119"/>
      <c r="CS93" s="119"/>
      <c r="CT93" s="119"/>
      <c r="CU93" s="119"/>
      <c r="CV93" s="119"/>
      <c r="CW93" s="119"/>
      <c r="CX93" s="119"/>
      <c r="CY93" s="119"/>
      <c r="CZ93" s="119"/>
      <c r="DA93" s="119"/>
      <c r="DB93" s="119"/>
      <c r="DC93" s="119"/>
      <c r="DD93" s="119"/>
      <c r="DE93" s="119"/>
      <c r="DF93" s="119"/>
      <c r="DG93" s="119"/>
      <c r="DH93" s="119"/>
      <c r="DI93" s="119"/>
      <c r="DJ93" s="119"/>
      <c r="DK93" s="119"/>
      <c r="DL93" s="119"/>
      <c r="DM93" s="119"/>
      <c r="DN93" s="119"/>
      <c r="DO93" s="119"/>
      <c r="DP93" s="74">
        <v>0.0</v>
      </c>
      <c r="DQ93" s="119"/>
      <c r="DR93" s="119"/>
      <c r="DS93" s="119"/>
      <c r="DT93" s="119"/>
      <c r="DU93" s="119"/>
      <c r="DV93" s="119"/>
      <c r="DW93" s="119"/>
      <c r="DX93" s="119"/>
      <c r="DY93" s="119"/>
      <c r="DZ93" s="119"/>
      <c r="EA93" s="119"/>
      <c r="EB93" s="119"/>
      <c r="EC93" s="119"/>
      <c r="ED93" s="119"/>
      <c r="EE93" s="119"/>
      <c r="EF93" s="74" t="s">
        <v>4333</v>
      </c>
      <c r="EG93" s="74" t="s">
        <v>2472</v>
      </c>
      <c r="EH93" s="74">
        <v>1.0</v>
      </c>
      <c r="EI93" s="74" t="s">
        <v>3950</v>
      </c>
      <c r="EJ93" s="120">
        <v>7743.0</v>
      </c>
      <c r="EK93" s="74" t="s">
        <v>4334</v>
      </c>
      <c r="EL93" s="74" t="s">
        <v>4335</v>
      </c>
      <c r="EM93" s="120">
        <v>92.0</v>
      </c>
    </row>
    <row r="94">
      <c r="A94" s="134" t="s">
        <v>749</v>
      </c>
      <c r="B94" s="134" t="s">
        <v>4336</v>
      </c>
      <c r="C94" s="135"/>
      <c r="D94" s="135"/>
      <c r="E94" s="134">
        <v>3.5215509147374E14</v>
      </c>
      <c r="F94" s="134">
        <v>58.0</v>
      </c>
      <c r="G94" s="134">
        <v>2.0</v>
      </c>
      <c r="H94" s="134" t="s">
        <v>4337</v>
      </c>
      <c r="I94" s="134">
        <v>22.5504941</v>
      </c>
      <c r="J94" s="134">
        <v>88.3965771</v>
      </c>
      <c r="K94" s="134">
        <v>-54.2000007629394</v>
      </c>
      <c r="L94" s="134">
        <v>4.5</v>
      </c>
      <c r="M94" s="134">
        <v>15.0</v>
      </c>
      <c r="N94" s="135"/>
      <c r="O94" s="135"/>
      <c r="P94" s="135"/>
      <c r="Q94" s="135"/>
      <c r="R94" s="135"/>
      <c r="S94" s="135"/>
      <c r="T94" s="135"/>
      <c r="U94" s="134">
        <v>152.0</v>
      </c>
      <c r="V94" s="134">
        <v>0.0</v>
      </c>
      <c r="W94" s="134">
        <v>0.0</v>
      </c>
      <c r="X94" s="134">
        <v>1.0</v>
      </c>
      <c r="Y94" s="134">
        <v>2074.0</v>
      </c>
      <c r="Z94" s="134">
        <v>2074.0</v>
      </c>
      <c r="AA94" s="134" t="s">
        <v>4338</v>
      </c>
      <c r="AB94" s="134">
        <v>1.0</v>
      </c>
      <c r="AC94" s="134">
        <v>0.0</v>
      </c>
      <c r="AD94" s="134">
        <v>1.0</v>
      </c>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c r="BV94" s="135"/>
      <c r="BW94" s="135"/>
      <c r="BX94" s="135"/>
      <c r="BY94" s="135"/>
      <c r="BZ94" s="135"/>
      <c r="CA94" s="135"/>
      <c r="CB94" s="135"/>
      <c r="CC94" s="135"/>
      <c r="CD94" s="135"/>
      <c r="CE94" s="135"/>
      <c r="CF94" s="135"/>
      <c r="CG94" s="135"/>
      <c r="CH94" s="135"/>
      <c r="CI94" s="135"/>
      <c r="CJ94" s="135"/>
      <c r="CK94" s="135"/>
      <c r="CL94" s="135"/>
      <c r="CM94" s="135"/>
      <c r="CN94" s="135"/>
      <c r="CO94" s="135"/>
      <c r="CP94" s="135"/>
      <c r="CQ94" s="135"/>
      <c r="CR94" s="135"/>
      <c r="CS94" s="135"/>
      <c r="CT94" s="135"/>
      <c r="CU94" s="135"/>
      <c r="CV94" s="135"/>
      <c r="CW94" s="134">
        <v>1.0</v>
      </c>
      <c r="CX94" s="135"/>
      <c r="CY94" s="134" t="s">
        <v>750</v>
      </c>
      <c r="CZ94" s="134">
        <v>88.0</v>
      </c>
      <c r="DA94" s="134" t="s">
        <v>3925</v>
      </c>
      <c r="DB94" s="134">
        <v>88.0</v>
      </c>
      <c r="DC94" s="134" t="s">
        <v>3926</v>
      </c>
      <c r="DD94" s="134">
        <v>0.0</v>
      </c>
      <c r="DE94" s="135"/>
      <c r="DF94" s="135"/>
      <c r="DG94" s="135"/>
      <c r="DH94" s="135"/>
      <c r="DI94" s="135"/>
      <c r="DJ94" s="135"/>
      <c r="DK94" s="135"/>
      <c r="DL94" s="135"/>
      <c r="DM94" s="135"/>
      <c r="DN94" s="135"/>
      <c r="DO94" s="135"/>
      <c r="DP94" s="134">
        <v>0.0</v>
      </c>
      <c r="DQ94" s="135"/>
      <c r="DR94" s="135"/>
      <c r="DS94" s="135"/>
      <c r="DT94" s="135"/>
      <c r="DU94" s="135"/>
      <c r="DV94" s="135"/>
      <c r="DW94" s="135"/>
      <c r="DX94" s="135"/>
      <c r="DY94" s="135"/>
      <c r="DZ94" s="135"/>
      <c r="EA94" s="135"/>
      <c r="EB94" s="135"/>
      <c r="EC94" s="135"/>
      <c r="ED94" s="135"/>
      <c r="EE94" s="135"/>
      <c r="EF94" s="134" t="s">
        <v>2949</v>
      </c>
      <c r="EG94" s="134" t="s">
        <v>2472</v>
      </c>
      <c r="EH94" s="134">
        <v>1.0</v>
      </c>
      <c r="EI94" s="134" t="s">
        <v>3950</v>
      </c>
      <c r="EJ94" s="136">
        <v>7962.0</v>
      </c>
      <c r="EK94" s="134" t="s">
        <v>4340</v>
      </c>
      <c r="EL94" s="134" t="s">
        <v>4341</v>
      </c>
      <c r="EM94" s="136">
        <v>93.0</v>
      </c>
      <c r="EN94" s="105"/>
      <c r="EO94" s="105"/>
    </row>
    <row r="95">
      <c r="A95" s="134" t="s">
        <v>752</v>
      </c>
      <c r="B95" s="134" t="s">
        <v>4342</v>
      </c>
      <c r="C95" s="135"/>
      <c r="D95" s="135"/>
      <c r="E95" s="134">
        <v>3.5215509147374E14</v>
      </c>
      <c r="F95" s="134">
        <v>58.0</v>
      </c>
      <c r="G95" s="134">
        <v>2.0</v>
      </c>
      <c r="H95" s="134" t="s">
        <v>4344</v>
      </c>
      <c r="I95" s="134">
        <v>22.5504594</v>
      </c>
      <c r="J95" s="134">
        <v>88.3965635</v>
      </c>
      <c r="K95" s="134">
        <v>-58.2999992370605</v>
      </c>
      <c r="L95" s="134">
        <v>5.0</v>
      </c>
      <c r="M95" s="134">
        <v>15.0</v>
      </c>
      <c r="N95" s="135"/>
      <c r="O95" s="135"/>
      <c r="P95" s="135"/>
      <c r="Q95" s="135"/>
      <c r="R95" s="135"/>
      <c r="S95" s="135"/>
      <c r="T95" s="135"/>
      <c r="U95" s="134">
        <v>159.0</v>
      </c>
      <c r="V95" s="134">
        <v>0.0</v>
      </c>
      <c r="W95" s="134">
        <v>1.0</v>
      </c>
      <c r="X95" s="134">
        <v>0.0</v>
      </c>
      <c r="Y95" s="134">
        <v>2074.0</v>
      </c>
      <c r="Z95" s="134">
        <v>2074.0</v>
      </c>
      <c r="AA95" s="134" t="s">
        <v>4345</v>
      </c>
      <c r="AB95" s="134">
        <v>1.0</v>
      </c>
      <c r="AC95" s="134">
        <v>0.0</v>
      </c>
      <c r="AD95" s="134">
        <v>1.0</v>
      </c>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c r="BV95" s="135"/>
      <c r="BW95" s="135"/>
      <c r="BX95" s="135"/>
      <c r="BY95" s="135"/>
      <c r="BZ95" s="135"/>
      <c r="CA95" s="135"/>
      <c r="CB95" s="135"/>
      <c r="CC95" s="135"/>
      <c r="CD95" s="135"/>
      <c r="CE95" s="135"/>
      <c r="CF95" s="135"/>
      <c r="CG95" s="135"/>
      <c r="CH95" s="135"/>
      <c r="CI95" s="135"/>
      <c r="CJ95" s="135"/>
      <c r="CK95" s="135"/>
      <c r="CL95" s="135"/>
      <c r="CM95" s="135"/>
      <c r="CN95" s="135"/>
      <c r="CO95" s="135"/>
      <c r="CP95" s="135"/>
      <c r="CQ95" s="135"/>
      <c r="CR95" s="135"/>
      <c r="CS95" s="135"/>
      <c r="CT95" s="135"/>
      <c r="CU95" s="135"/>
      <c r="CV95" s="135"/>
      <c r="CW95" s="135"/>
      <c r="CX95" s="135"/>
      <c r="CY95" s="135"/>
      <c r="CZ95" s="135"/>
      <c r="DA95" s="135"/>
      <c r="DB95" s="135"/>
      <c r="DC95" s="135"/>
      <c r="DD95" s="135"/>
      <c r="DE95" s="135"/>
      <c r="DF95" s="135"/>
      <c r="DG95" s="135"/>
      <c r="DH95" s="135"/>
      <c r="DI95" s="135"/>
      <c r="DJ95" s="135"/>
      <c r="DK95" s="135"/>
      <c r="DL95" s="135"/>
      <c r="DM95" s="135"/>
      <c r="DN95" s="135"/>
      <c r="DO95" s="135"/>
      <c r="DP95" s="134">
        <v>0.0</v>
      </c>
      <c r="DQ95" s="135"/>
      <c r="DR95" s="135"/>
      <c r="DS95" s="135"/>
      <c r="DT95" s="135"/>
      <c r="DU95" s="135"/>
      <c r="DV95" s="135"/>
      <c r="DW95" s="135"/>
      <c r="DX95" s="135"/>
      <c r="DY95" s="135"/>
      <c r="DZ95" s="135"/>
      <c r="EA95" s="135"/>
      <c r="EB95" s="135"/>
      <c r="EC95" s="135"/>
      <c r="ED95" s="135"/>
      <c r="EE95" s="135"/>
      <c r="EF95" s="134" t="s">
        <v>4347</v>
      </c>
      <c r="EG95" s="134" t="s">
        <v>2472</v>
      </c>
      <c r="EH95" s="134">
        <v>1.0</v>
      </c>
      <c r="EI95" s="134" t="s">
        <v>3950</v>
      </c>
      <c r="EJ95" s="136">
        <v>7963.0</v>
      </c>
      <c r="EK95" s="134" t="s">
        <v>4348</v>
      </c>
      <c r="EL95" s="134" t="s">
        <v>4349</v>
      </c>
      <c r="EM95" s="136">
        <v>94.0</v>
      </c>
      <c r="EN95" s="105"/>
      <c r="EO95" s="105"/>
    </row>
    <row r="96">
      <c r="A96" s="137" t="s">
        <v>754</v>
      </c>
      <c r="B96" s="137" t="s">
        <v>4350</v>
      </c>
      <c r="C96" s="138"/>
      <c r="D96" s="138"/>
      <c r="E96" s="137">
        <v>3.5215509147374E14</v>
      </c>
      <c r="F96" s="137">
        <v>58.0</v>
      </c>
      <c r="G96" s="137">
        <v>2.0</v>
      </c>
      <c r="H96" s="137" t="s">
        <v>4351</v>
      </c>
      <c r="I96" s="137">
        <v>22.5488068</v>
      </c>
      <c r="J96" s="137">
        <v>88.3981321</v>
      </c>
      <c r="K96" s="137">
        <v>-45.4000015258789</v>
      </c>
      <c r="L96" s="137">
        <v>5.0</v>
      </c>
      <c r="M96" s="137">
        <v>14.0</v>
      </c>
      <c r="N96" s="137">
        <v>141.0</v>
      </c>
      <c r="O96" s="137">
        <v>0.0</v>
      </c>
      <c r="P96" s="137">
        <v>0.0</v>
      </c>
      <c r="Q96" s="137">
        <v>0.0</v>
      </c>
      <c r="R96" s="137">
        <v>0.0</v>
      </c>
      <c r="S96" s="137">
        <v>1.0</v>
      </c>
      <c r="T96" s="137">
        <v>0.0</v>
      </c>
      <c r="U96" s="138"/>
      <c r="V96" s="138"/>
      <c r="W96" s="138"/>
      <c r="X96" s="138"/>
      <c r="Y96" s="137">
        <v>2088.0</v>
      </c>
      <c r="Z96" s="137">
        <v>2088.0</v>
      </c>
      <c r="AA96" s="137" t="s">
        <v>4352</v>
      </c>
      <c r="AB96" s="137">
        <v>1.0</v>
      </c>
      <c r="AC96" s="137">
        <v>0.0</v>
      </c>
      <c r="AD96" s="137">
        <v>1.0</v>
      </c>
      <c r="AE96" s="138"/>
      <c r="AF96" s="137" t="s">
        <v>755</v>
      </c>
      <c r="AG96" s="139">
        <v>43833.0</v>
      </c>
      <c r="AH96" s="137">
        <v>1.0</v>
      </c>
      <c r="AI96" s="137">
        <v>1.0</v>
      </c>
      <c r="AJ96" s="137">
        <v>0.0</v>
      </c>
      <c r="AK96" s="137">
        <v>0.0</v>
      </c>
      <c r="AL96" s="137">
        <v>0.0</v>
      </c>
      <c r="AM96" s="138"/>
      <c r="AN96" s="139">
        <v>43926.0</v>
      </c>
      <c r="AO96" s="137">
        <v>0.0</v>
      </c>
      <c r="AP96" s="137">
        <v>0.0</v>
      </c>
      <c r="AQ96" s="137">
        <v>0.0</v>
      </c>
      <c r="AR96" s="137">
        <v>0.0</v>
      </c>
      <c r="AS96" s="137">
        <v>1.0</v>
      </c>
      <c r="AT96" s="137">
        <v>1.0</v>
      </c>
      <c r="AU96" s="137">
        <v>0.0</v>
      </c>
      <c r="AV96" s="138"/>
      <c r="AW96" s="138"/>
      <c r="AX96" s="138"/>
      <c r="AY96" s="138"/>
      <c r="AZ96" s="138"/>
      <c r="BA96" s="138"/>
      <c r="BB96" s="138"/>
      <c r="BC96" s="138"/>
      <c r="BD96" s="138"/>
      <c r="BE96" s="138"/>
      <c r="BF96" s="138"/>
      <c r="BG96" s="138"/>
      <c r="BH96" s="138"/>
      <c r="BI96" s="138"/>
      <c r="BJ96" s="138"/>
      <c r="BK96" s="138"/>
      <c r="BL96" s="138"/>
      <c r="BM96" s="138"/>
      <c r="BN96" s="138"/>
      <c r="BO96" s="138"/>
      <c r="BP96" s="138"/>
      <c r="BQ96" s="138"/>
      <c r="BR96" s="138"/>
      <c r="BS96" s="138"/>
      <c r="BT96" s="138"/>
      <c r="BU96" s="138"/>
      <c r="BV96" s="138"/>
      <c r="BW96" s="138"/>
      <c r="BX96" s="138"/>
      <c r="BY96" s="138"/>
      <c r="BZ96" s="138"/>
      <c r="CA96" s="138"/>
      <c r="CB96" s="138"/>
      <c r="CC96" s="138"/>
      <c r="CD96" s="138"/>
      <c r="CE96" s="138"/>
      <c r="CF96" s="138"/>
      <c r="CG96" s="138"/>
      <c r="CH96" s="138"/>
      <c r="CI96" s="138"/>
      <c r="CJ96" s="138"/>
      <c r="CK96" s="138"/>
      <c r="CL96" s="138"/>
      <c r="CM96" s="138"/>
      <c r="CN96" s="138"/>
      <c r="CO96" s="138"/>
      <c r="CP96" s="138"/>
      <c r="CQ96" s="138"/>
      <c r="CR96" s="138"/>
      <c r="CS96" s="138"/>
      <c r="CT96" s="138"/>
      <c r="CU96" s="138"/>
      <c r="CV96" s="138"/>
      <c r="CW96" s="138"/>
      <c r="CX96" s="138"/>
      <c r="CY96" s="138"/>
      <c r="CZ96" s="138"/>
      <c r="DA96" s="138"/>
      <c r="DB96" s="138"/>
      <c r="DC96" s="138"/>
      <c r="DD96" s="138"/>
      <c r="DE96" s="138"/>
      <c r="DF96" s="138"/>
      <c r="DG96" s="138"/>
      <c r="DH96" s="138"/>
      <c r="DI96" s="138"/>
      <c r="DJ96" s="138"/>
      <c r="DK96" s="138"/>
      <c r="DL96" s="138"/>
      <c r="DM96" s="138"/>
      <c r="DN96" s="138"/>
      <c r="DO96" s="138"/>
      <c r="DP96" s="137">
        <v>0.0</v>
      </c>
      <c r="DQ96" s="138"/>
      <c r="DR96" s="138"/>
      <c r="DS96" s="138"/>
      <c r="DT96" s="138"/>
      <c r="DU96" s="138"/>
      <c r="DV96" s="138"/>
      <c r="DW96" s="138"/>
      <c r="DX96" s="138"/>
      <c r="DY96" s="138"/>
      <c r="DZ96" s="138"/>
      <c r="EA96" s="138"/>
      <c r="EB96" s="138"/>
      <c r="EC96" s="138"/>
      <c r="ED96" s="138"/>
      <c r="EE96" s="138"/>
      <c r="EF96" s="137" t="s">
        <v>2949</v>
      </c>
      <c r="EG96" s="137" t="s">
        <v>2472</v>
      </c>
      <c r="EH96" s="137">
        <v>1.0</v>
      </c>
      <c r="EI96" s="137" t="s">
        <v>3950</v>
      </c>
      <c r="EJ96" s="140">
        <v>7964.0</v>
      </c>
      <c r="EK96" s="137" t="s">
        <v>4355</v>
      </c>
      <c r="EL96" s="137" t="s">
        <v>4356</v>
      </c>
      <c r="EM96" s="140">
        <v>95.0</v>
      </c>
      <c r="EN96" s="22"/>
      <c r="EO96" s="22"/>
    </row>
    <row r="97">
      <c r="A97" s="137" t="s">
        <v>756</v>
      </c>
      <c r="B97" s="137" t="s">
        <v>4357</v>
      </c>
      <c r="C97" s="138"/>
      <c r="D97" s="138"/>
      <c r="E97" s="137">
        <v>3.5215509147374E14</v>
      </c>
      <c r="F97" s="137">
        <v>58.0</v>
      </c>
      <c r="G97" s="137">
        <v>2.0</v>
      </c>
      <c r="H97" s="137" t="s">
        <v>4358</v>
      </c>
      <c r="I97" s="137">
        <v>22.5489135</v>
      </c>
      <c r="J97" s="137">
        <v>88.3981346</v>
      </c>
      <c r="K97" s="137">
        <v>-40.0</v>
      </c>
      <c r="L97" s="137">
        <v>5.0</v>
      </c>
      <c r="M97" s="137">
        <v>14.0</v>
      </c>
      <c r="N97" s="137">
        <v>143.0</v>
      </c>
      <c r="O97" s="137">
        <v>0.0</v>
      </c>
      <c r="P97" s="137">
        <v>0.0</v>
      </c>
      <c r="Q97" s="137">
        <v>0.0</v>
      </c>
      <c r="R97" s="137">
        <v>1.0</v>
      </c>
      <c r="S97" s="137">
        <v>0.0</v>
      </c>
      <c r="T97" s="137">
        <v>0.0</v>
      </c>
      <c r="U97" s="138"/>
      <c r="V97" s="138"/>
      <c r="W97" s="138"/>
      <c r="X97" s="138"/>
      <c r="Y97" s="137">
        <v>2088.0</v>
      </c>
      <c r="Z97" s="137">
        <v>2088.0</v>
      </c>
      <c r="AA97" s="137" t="s">
        <v>4359</v>
      </c>
      <c r="AB97" s="137">
        <v>1.0</v>
      </c>
      <c r="AC97" s="137">
        <v>0.0</v>
      </c>
      <c r="AD97" s="137">
        <v>1.0</v>
      </c>
      <c r="AE97" s="138"/>
      <c r="AF97" s="138"/>
      <c r="AG97" s="138"/>
      <c r="AH97" s="138"/>
      <c r="AI97" s="138"/>
      <c r="AJ97" s="138"/>
      <c r="AK97" s="138"/>
      <c r="AL97" s="138"/>
      <c r="AM97" s="138"/>
      <c r="AN97" s="138"/>
      <c r="AO97" s="138"/>
      <c r="AP97" s="138"/>
      <c r="AQ97" s="138"/>
      <c r="AR97" s="138"/>
      <c r="AS97" s="138"/>
      <c r="AT97" s="138"/>
      <c r="AU97" s="138"/>
      <c r="AV97" s="138"/>
      <c r="AW97" s="138"/>
      <c r="AX97" s="138"/>
      <c r="AY97" s="138"/>
      <c r="AZ97" s="138"/>
      <c r="BA97" s="138"/>
      <c r="BB97" s="138"/>
      <c r="BC97" s="138"/>
      <c r="BD97" s="138"/>
      <c r="BE97" s="137" t="s">
        <v>757</v>
      </c>
      <c r="BF97" s="137">
        <v>1.0</v>
      </c>
      <c r="BG97" s="137">
        <v>1.0</v>
      </c>
      <c r="BH97" s="137">
        <v>0.0</v>
      </c>
      <c r="BI97" s="137">
        <v>0.0</v>
      </c>
      <c r="BJ97" s="137">
        <v>0.0</v>
      </c>
      <c r="BK97" s="138"/>
      <c r="BL97" s="137">
        <v>3.0</v>
      </c>
      <c r="BM97" s="137">
        <v>0.0</v>
      </c>
      <c r="BN97" s="137">
        <v>0.0</v>
      </c>
      <c r="BO97" s="137">
        <v>1.0</v>
      </c>
      <c r="BP97" s="137">
        <v>0.0</v>
      </c>
      <c r="BQ97" s="137">
        <v>0.0</v>
      </c>
      <c r="BR97" s="137">
        <v>0.0</v>
      </c>
      <c r="BS97" s="137">
        <v>0.0</v>
      </c>
      <c r="BT97" s="138"/>
      <c r="BU97" s="138"/>
      <c r="BV97" s="138"/>
      <c r="BW97" s="138"/>
      <c r="BX97" s="138"/>
      <c r="BY97" s="138"/>
      <c r="BZ97" s="138"/>
      <c r="CA97" s="138"/>
      <c r="CB97" s="138"/>
      <c r="CC97" s="138"/>
      <c r="CD97" s="138"/>
      <c r="CE97" s="138"/>
      <c r="CF97" s="138"/>
      <c r="CG97" s="138"/>
      <c r="CH97" s="138"/>
      <c r="CI97" s="138"/>
      <c r="CJ97" s="138"/>
      <c r="CK97" s="138"/>
      <c r="CL97" s="138"/>
      <c r="CM97" s="138"/>
      <c r="CN97" s="138"/>
      <c r="CO97" s="138"/>
      <c r="CP97" s="138"/>
      <c r="CQ97" s="138"/>
      <c r="CR97" s="138"/>
      <c r="CS97" s="138"/>
      <c r="CT97" s="138"/>
      <c r="CU97" s="138"/>
      <c r="CV97" s="138"/>
      <c r="CW97" s="138"/>
      <c r="CX97" s="138"/>
      <c r="CY97" s="138"/>
      <c r="CZ97" s="138"/>
      <c r="DA97" s="138"/>
      <c r="DB97" s="138"/>
      <c r="DC97" s="138"/>
      <c r="DD97" s="138"/>
      <c r="DE97" s="138"/>
      <c r="DF97" s="138"/>
      <c r="DG97" s="138"/>
      <c r="DH97" s="138"/>
      <c r="DI97" s="138"/>
      <c r="DJ97" s="138"/>
      <c r="DK97" s="138"/>
      <c r="DL97" s="138"/>
      <c r="DM97" s="138"/>
      <c r="DN97" s="138"/>
      <c r="DO97" s="138"/>
      <c r="DP97" s="137">
        <v>0.0</v>
      </c>
      <c r="DQ97" s="138"/>
      <c r="DR97" s="138"/>
      <c r="DS97" s="138"/>
      <c r="DT97" s="138"/>
      <c r="DU97" s="138"/>
      <c r="DV97" s="138"/>
      <c r="DW97" s="138"/>
      <c r="DX97" s="138"/>
      <c r="DY97" s="138"/>
      <c r="DZ97" s="138"/>
      <c r="EA97" s="138"/>
      <c r="EB97" s="138"/>
      <c r="EC97" s="138"/>
      <c r="ED97" s="138"/>
      <c r="EE97" s="138"/>
      <c r="EF97" s="137" t="s">
        <v>2949</v>
      </c>
      <c r="EG97" s="137" t="s">
        <v>2472</v>
      </c>
      <c r="EH97" s="137">
        <v>1.0</v>
      </c>
      <c r="EI97" s="137" t="s">
        <v>3950</v>
      </c>
      <c r="EJ97" s="140">
        <v>7965.0</v>
      </c>
      <c r="EK97" s="137" t="s">
        <v>4361</v>
      </c>
      <c r="EL97" s="137" t="s">
        <v>4362</v>
      </c>
      <c r="EM97" s="140">
        <v>96.0</v>
      </c>
      <c r="EN97" s="22"/>
      <c r="EO97" s="22"/>
    </row>
    <row r="98">
      <c r="A98" s="137" t="s">
        <v>758</v>
      </c>
      <c r="B98" s="137" t="s">
        <v>4363</v>
      </c>
      <c r="C98" s="138"/>
      <c r="D98" s="138"/>
      <c r="E98" s="137">
        <v>3.5215509147374E14</v>
      </c>
      <c r="F98" s="137">
        <v>58.0</v>
      </c>
      <c r="G98" s="137">
        <v>2.0</v>
      </c>
      <c r="H98" s="137" t="s">
        <v>4364</v>
      </c>
      <c r="I98" s="137">
        <v>22.5487971</v>
      </c>
      <c r="J98" s="137">
        <v>88.3980988</v>
      </c>
      <c r="K98" s="137">
        <v>-41.7000007629394</v>
      </c>
      <c r="L98" s="137">
        <v>5.0</v>
      </c>
      <c r="M98" s="137">
        <v>14.0</v>
      </c>
      <c r="N98" s="137">
        <v>142.0</v>
      </c>
      <c r="O98" s="137">
        <v>0.0</v>
      </c>
      <c r="P98" s="137">
        <v>0.0</v>
      </c>
      <c r="Q98" s="137">
        <v>1.0</v>
      </c>
      <c r="R98" s="137">
        <v>0.0</v>
      </c>
      <c r="S98" s="137">
        <v>0.0</v>
      </c>
      <c r="T98" s="137">
        <v>0.0</v>
      </c>
      <c r="U98" s="138"/>
      <c r="V98" s="138"/>
      <c r="W98" s="138"/>
      <c r="X98" s="138"/>
      <c r="Y98" s="137">
        <v>2088.0</v>
      </c>
      <c r="Z98" s="137">
        <v>2088.0</v>
      </c>
      <c r="AA98" s="137" t="s">
        <v>4365</v>
      </c>
      <c r="AB98" s="137">
        <v>1.0</v>
      </c>
      <c r="AC98" s="137">
        <v>0.0</v>
      </c>
      <c r="AD98" s="137">
        <v>1.0</v>
      </c>
      <c r="AE98" s="138"/>
      <c r="AF98" s="138"/>
      <c r="AG98" s="138"/>
      <c r="AH98" s="138"/>
      <c r="AI98" s="138"/>
      <c r="AJ98" s="138"/>
      <c r="AK98" s="138"/>
      <c r="AL98" s="138"/>
      <c r="AM98" s="138"/>
      <c r="AN98" s="138"/>
      <c r="AO98" s="138"/>
      <c r="AP98" s="138"/>
      <c r="AQ98" s="138"/>
      <c r="AR98" s="138"/>
      <c r="AS98" s="138"/>
      <c r="AT98" s="138"/>
      <c r="AU98" s="138"/>
      <c r="AV98" s="138"/>
      <c r="AW98" s="137" t="s">
        <v>759</v>
      </c>
      <c r="AX98" s="137">
        <v>1.0</v>
      </c>
      <c r="AY98" s="137">
        <v>1.0</v>
      </c>
      <c r="AZ98" s="137">
        <v>0.0</v>
      </c>
      <c r="BA98" s="137">
        <v>0.0</v>
      </c>
      <c r="BB98" s="137">
        <v>0.0</v>
      </c>
      <c r="BC98" s="137">
        <v>0.0</v>
      </c>
      <c r="BD98" s="138"/>
      <c r="BE98" s="138"/>
      <c r="BF98" s="138"/>
      <c r="BG98" s="138"/>
      <c r="BH98" s="138"/>
      <c r="BI98" s="138"/>
      <c r="BJ98" s="138"/>
      <c r="BK98" s="138"/>
      <c r="BL98" s="138"/>
      <c r="BM98" s="138"/>
      <c r="BN98" s="138"/>
      <c r="BO98" s="138"/>
      <c r="BP98" s="138"/>
      <c r="BQ98" s="138"/>
      <c r="BR98" s="138"/>
      <c r="BS98" s="138"/>
      <c r="BT98" s="138"/>
      <c r="BU98" s="138"/>
      <c r="BV98" s="138"/>
      <c r="BW98" s="138"/>
      <c r="BX98" s="138"/>
      <c r="BY98" s="138"/>
      <c r="BZ98" s="138"/>
      <c r="CA98" s="138"/>
      <c r="CB98" s="138"/>
      <c r="CC98" s="138"/>
      <c r="CD98" s="138"/>
      <c r="CE98" s="138"/>
      <c r="CF98" s="138"/>
      <c r="CG98" s="138"/>
      <c r="CH98" s="138"/>
      <c r="CI98" s="138"/>
      <c r="CJ98" s="138"/>
      <c r="CK98" s="138"/>
      <c r="CL98" s="138"/>
      <c r="CM98" s="138"/>
      <c r="CN98" s="138"/>
      <c r="CO98" s="138"/>
      <c r="CP98" s="138"/>
      <c r="CQ98" s="138"/>
      <c r="CR98" s="138"/>
      <c r="CS98" s="138"/>
      <c r="CT98" s="138"/>
      <c r="CU98" s="138"/>
      <c r="CV98" s="138"/>
      <c r="CW98" s="138"/>
      <c r="CX98" s="138"/>
      <c r="CY98" s="138"/>
      <c r="CZ98" s="138"/>
      <c r="DA98" s="138"/>
      <c r="DB98" s="138"/>
      <c r="DC98" s="138"/>
      <c r="DD98" s="138"/>
      <c r="DE98" s="138"/>
      <c r="DF98" s="138"/>
      <c r="DG98" s="138"/>
      <c r="DH98" s="138"/>
      <c r="DI98" s="138"/>
      <c r="DJ98" s="138"/>
      <c r="DK98" s="138"/>
      <c r="DL98" s="138"/>
      <c r="DM98" s="138"/>
      <c r="DN98" s="138"/>
      <c r="DO98" s="138"/>
      <c r="DP98" s="137">
        <v>0.0</v>
      </c>
      <c r="DQ98" s="138"/>
      <c r="DR98" s="138"/>
      <c r="DS98" s="138"/>
      <c r="DT98" s="138"/>
      <c r="DU98" s="138"/>
      <c r="DV98" s="138"/>
      <c r="DW98" s="138"/>
      <c r="DX98" s="138"/>
      <c r="DY98" s="138"/>
      <c r="DZ98" s="138"/>
      <c r="EA98" s="138"/>
      <c r="EB98" s="138"/>
      <c r="EC98" s="138"/>
      <c r="ED98" s="138"/>
      <c r="EE98" s="138"/>
      <c r="EF98" s="137" t="s">
        <v>2949</v>
      </c>
      <c r="EG98" s="137" t="s">
        <v>2472</v>
      </c>
      <c r="EH98" s="137">
        <v>1.0</v>
      </c>
      <c r="EI98" s="137" t="s">
        <v>3950</v>
      </c>
      <c r="EJ98" s="140">
        <v>7966.0</v>
      </c>
      <c r="EK98" s="137" t="s">
        <v>4367</v>
      </c>
      <c r="EL98" s="137" t="s">
        <v>4368</v>
      </c>
      <c r="EM98" s="140">
        <v>97.0</v>
      </c>
      <c r="EN98" s="22"/>
      <c r="EO98" s="22"/>
    </row>
    <row r="99">
      <c r="A99" s="137" t="s">
        <v>761</v>
      </c>
      <c r="B99" s="137" t="s">
        <v>4369</v>
      </c>
      <c r="C99" s="138"/>
      <c r="D99" s="138"/>
      <c r="E99" s="137">
        <v>3.5215509147374E14</v>
      </c>
      <c r="F99" s="137">
        <v>58.0</v>
      </c>
      <c r="G99" s="137">
        <v>2.0</v>
      </c>
      <c r="H99" s="137" t="s">
        <v>4370</v>
      </c>
      <c r="I99" s="137">
        <v>22.54886</v>
      </c>
      <c r="J99" s="137">
        <v>88.3981021</v>
      </c>
      <c r="K99" s="137">
        <v>-48.0</v>
      </c>
      <c r="L99" s="137">
        <v>5.0</v>
      </c>
      <c r="M99" s="137">
        <v>14.0</v>
      </c>
      <c r="N99" s="137">
        <v>144.0</v>
      </c>
      <c r="O99" s="137">
        <v>1.0</v>
      </c>
      <c r="P99" s="137">
        <v>0.0</v>
      </c>
      <c r="Q99" s="137">
        <v>0.0</v>
      </c>
      <c r="R99" s="137">
        <v>0.0</v>
      </c>
      <c r="S99" s="137">
        <v>0.0</v>
      </c>
      <c r="T99" s="137">
        <v>0.0</v>
      </c>
      <c r="U99" s="138"/>
      <c r="V99" s="138"/>
      <c r="W99" s="138"/>
      <c r="X99" s="138"/>
      <c r="Y99" s="137">
        <v>2088.0</v>
      </c>
      <c r="Z99" s="137">
        <v>2088.0</v>
      </c>
      <c r="AA99" s="137" t="s">
        <v>4371</v>
      </c>
      <c r="AB99" s="137">
        <v>1.0</v>
      </c>
      <c r="AC99" s="137">
        <v>0.0</v>
      </c>
      <c r="AD99" s="137">
        <v>1.0</v>
      </c>
      <c r="AE99" s="138"/>
      <c r="AF99" s="138"/>
      <c r="AG99" s="138"/>
      <c r="AH99" s="138"/>
      <c r="AI99" s="138"/>
      <c r="AJ99" s="138"/>
      <c r="AK99" s="138"/>
      <c r="AL99" s="138"/>
      <c r="AM99" s="138"/>
      <c r="AN99" s="138"/>
      <c r="AO99" s="138"/>
      <c r="AP99" s="138"/>
      <c r="AQ99" s="138"/>
      <c r="AR99" s="138"/>
      <c r="AS99" s="138"/>
      <c r="AT99" s="138"/>
      <c r="AU99" s="138"/>
      <c r="AV99" s="138"/>
      <c r="AW99" s="138"/>
      <c r="AX99" s="138"/>
      <c r="AY99" s="138"/>
      <c r="AZ99" s="138"/>
      <c r="BA99" s="138"/>
      <c r="BB99" s="138"/>
      <c r="BC99" s="138"/>
      <c r="BD99" s="138"/>
      <c r="BE99" s="138"/>
      <c r="BF99" s="138"/>
      <c r="BG99" s="138"/>
      <c r="BH99" s="138"/>
      <c r="BI99" s="138"/>
      <c r="BJ99" s="138"/>
      <c r="BK99" s="138"/>
      <c r="BL99" s="138"/>
      <c r="BM99" s="138"/>
      <c r="BN99" s="138"/>
      <c r="BO99" s="138"/>
      <c r="BP99" s="138"/>
      <c r="BQ99" s="138"/>
      <c r="BR99" s="138"/>
      <c r="BS99" s="138"/>
      <c r="BT99" s="138"/>
      <c r="BU99" s="137" t="s">
        <v>762</v>
      </c>
      <c r="BV99" s="137">
        <v>4.0</v>
      </c>
      <c r="BW99" s="138"/>
      <c r="BX99" s="137">
        <v>1.0</v>
      </c>
      <c r="BY99" s="137">
        <v>1.0</v>
      </c>
      <c r="BZ99" s="138"/>
      <c r="CA99" s="138"/>
      <c r="CB99" s="138"/>
      <c r="CC99" s="138"/>
      <c r="CD99" s="138"/>
      <c r="CE99" s="138"/>
      <c r="CF99" s="138"/>
      <c r="CG99" s="138"/>
      <c r="CH99" s="138"/>
      <c r="CI99" s="138"/>
      <c r="CJ99" s="138"/>
      <c r="CK99" s="138"/>
      <c r="CL99" s="138"/>
      <c r="CM99" s="138"/>
      <c r="CN99" s="138"/>
      <c r="CO99" s="138"/>
      <c r="CP99" s="138"/>
      <c r="CQ99" s="138"/>
      <c r="CR99" s="138"/>
      <c r="CS99" s="138"/>
      <c r="CT99" s="138"/>
      <c r="CU99" s="138"/>
      <c r="CV99" s="138"/>
      <c r="CW99" s="138"/>
      <c r="CX99" s="138"/>
      <c r="CY99" s="138"/>
      <c r="CZ99" s="138"/>
      <c r="DA99" s="138"/>
      <c r="DB99" s="138"/>
      <c r="DC99" s="138"/>
      <c r="DD99" s="138"/>
      <c r="DE99" s="138"/>
      <c r="DF99" s="138"/>
      <c r="DG99" s="138"/>
      <c r="DH99" s="138"/>
      <c r="DI99" s="138"/>
      <c r="DJ99" s="138"/>
      <c r="DK99" s="138"/>
      <c r="DL99" s="138"/>
      <c r="DM99" s="138"/>
      <c r="DN99" s="138"/>
      <c r="DO99" s="138"/>
      <c r="DP99" s="137">
        <v>0.0</v>
      </c>
      <c r="DQ99" s="138"/>
      <c r="DR99" s="138"/>
      <c r="DS99" s="138"/>
      <c r="DT99" s="138"/>
      <c r="DU99" s="138"/>
      <c r="DV99" s="138"/>
      <c r="DW99" s="138"/>
      <c r="DX99" s="138"/>
      <c r="DY99" s="138"/>
      <c r="DZ99" s="138"/>
      <c r="EA99" s="138"/>
      <c r="EB99" s="138"/>
      <c r="EC99" s="138"/>
      <c r="ED99" s="138"/>
      <c r="EE99" s="138"/>
      <c r="EF99" s="137" t="s">
        <v>2949</v>
      </c>
      <c r="EG99" s="137" t="s">
        <v>2472</v>
      </c>
      <c r="EH99" s="137">
        <v>1.0</v>
      </c>
      <c r="EI99" s="137" t="s">
        <v>3950</v>
      </c>
      <c r="EJ99" s="140">
        <v>7967.0</v>
      </c>
      <c r="EK99" s="137" t="s">
        <v>4373</v>
      </c>
      <c r="EL99" s="137" t="s">
        <v>4374</v>
      </c>
      <c r="EM99" s="140">
        <v>98.0</v>
      </c>
      <c r="EN99" s="22"/>
      <c r="EO99" s="22"/>
    </row>
    <row r="100">
      <c r="A100" s="137" t="s">
        <v>763</v>
      </c>
      <c r="B100" s="137" t="s">
        <v>4375</v>
      </c>
      <c r="C100" s="138"/>
      <c r="D100" s="138"/>
      <c r="E100" s="137">
        <v>3.5215509147374E14</v>
      </c>
      <c r="F100" s="137">
        <v>58.0</v>
      </c>
      <c r="G100" s="137">
        <v>2.0</v>
      </c>
      <c r="H100" s="137" t="s">
        <v>4376</v>
      </c>
      <c r="I100" s="137">
        <v>22.5487949</v>
      </c>
      <c r="J100" s="137">
        <v>88.3981153</v>
      </c>
      <c r="K100" s="137">
        <v>-36.7999992370605</v>
      </c>
      <c r="L100" s="137">
        <v>5.0</v>
      </c>
      <c r="M100" s="137">
        <v>14.0</v>
      </c>
      <c r="N100" s="137">
        <v>145.0</v>
      </c>
      <c r="O100" s="137">
        <v>0.0</v>
      </c>
      <c r="P100" s="137">
        <v>1.0</v>
      </c>
      <c r="Q100" s="137">
        <v>0.0</v>
      </c>
      <c r="R100" s="137">
        <v>0.0</v>
      </c>
      <c r="S100" s="137">
        <v>0.0</v>
      </c>
      <c r="T100" s="137">
        <v>0.0</v>
      </c>
      <c r="U100" s="138"/>
      <c r="V100" s="138"/>
      <c r="W100" s="138"/>
      <c r="X100" s="138"/>
      <c r="Y100" s="137">
        <v>2088.0</v>
      </c>
      <c r="Z100" s="137">
        <v>2088.0</v>
      </c>
      <c r="AA100" s="137" t="s">
        <v>4377</v>
      </c>
      <c r="AB100" s="137">
        <v>1.0</v>
      </c>
      <c r="AC100" s="137">
        <v>0.0</v>
      </c>
      <c r="AD100" s="137">
        <v>1.0</v>
      </c>
      <c r="AE100" s="138"/>
      <c r="AF100" s="138"/>
      <c r="AG100" s="138"/>
      <c r="AH100" s="138"/>
      <c r="AI100" s="138"/>
      <c r="AJ100" s="138"/>
      <c r="AK100" s="138"/>
      <c r="AL100" s="138"/>
      <c r="AM100" s="138"/>
      <c r="AN100" s="138"/>
      <c r="AO100" s="138"/>
      <c r="AP100" s="138"/>
      <c r="AQ100" s="138"/>
      <c r="AR100" s="138"/>
      <c r="AS100" s="138"/>
      <c r="AT100" s="138"/>
      <c r="AU100" s="138"/>
      <c r="AV100" s="138"/>
      <c r="AW100" s="138"/>
      <c r="AX100" s="138"/>
      <c r="AY100" s="138"/>
      <c r="AZ100" s="138"/>
      <c r="BA100" s="138"/>
      <c r="BB100" s="138"/>
      <c r="BC100" s="138"/>
      <c r="BD100" s="138"/>
      <c r="BE100" s="138"/>
      <c r="BF100" s="138"/>
      <c r="BG100" s="138"/>
      <c r="BH100" s="138"/>
      <c r="BI100" s="138"/>
      <c r="BJ100" s="138"/>
      <c r="BK100" s="138"/>
      <c r="BL100" s="138"/>
      <c r="BM100" s="138"/>
      <c r="BN100" s="138"/>
      <c r="BO100" s="138"/>
      <c r="BP100" s="138"/>
      <c r="BQ100" s="138"/>
      <c r="BR100" s="138"/>
      <c r="BS100" s="138"/>
      <c r="BT100" s="138"/>
      <c r="BU100" s="138"/>
      <c r="BV100" s="138"/>
      <c r="BW100" s="138"/>
      <c r="BX100" s="138"/>
      <c r="BY100" s="138"/>
      <c r="BZ100" s="138"/>
      <c r="CA100" s="138"/>
      <c r="CB100" s="138"/>
      <c r="CC100" s="137" t="s">
        <v>764</v>
      </c>
      <c r="CD100" s="137">
        <v>5.0</v>
      </c>
      <c r="CE100" s="137">
        <v>0.0</v>
      </c>
      <c r="CF100" s="137">
        <v>0.0</v>
      </c>
      <c r="CG100" s="137">
        <v>0.0</v>
      </c>
      <c r="CH100" s="137">
        <v>0.0</v>
      </c>
      <c r="CI100" s="137">
        <v>1.0</v>
      </c>
      <c r="CJ100" s="137">
        <v>0.0</v>
      </c>
      <c r="CK100" s="138"/>
      <c r="CL100" s="137">
        <v>3.0</v>
      </c>
      <c r="CM100" s="137">
        <v>0.0</v>
      </c>
      <c r="CN100" s="137">
        <v>1.0</v>
      </c>
      <c r="CO100" s="137">
        <v>0.0</v>
      </c>
      <c r="CP100" s="137">
        <v>0.0</v>
      </c>
      <c r="CQ100" s="138"/>
      <c r="CR100" s="138"/>
      <c r="CS100" s="138"/>
      <c r="CT100" s="138"/>
      <c r="CU100" s="138"/>
      <c r="CV100" s="138"/>
      <c r="CW100" s="138"/>
      <c r="CX100" s="138"/>
      <c r="CY100" s="138"/>
      <c r="CZ100" s="138"/>
      <c r="DA100" s="138"/>
      <c r="DB100" s="138"/>
      <c r="DC100" s="138"/>
      <c r="DD100" s="138"/>
      <c r="DE100" s="138"/>
      <c r="DF100" s="138"/>
      <c r="DG100" s="138"/>
      <c r="DH100" s="138"/>
      <c r="DI100" s="138"/>
      <c r="DJ100" s="138"/>
      <c r="DK100" s="138"/>
      <c r="DL100" s="138"/>
      <c r="DM100" s="138"/>
      <c r="DN100" s="138"/>
      <c r="DO100" s="138"/>
      <c r="DP100" s="137">
        <v>0.0</v>
      </c>
      <c r="DQ100" s="138"/>
      <c r="DR100" s="138"/>
      <c r="DS100" s="138"/>
      <c r="DT100" s="138"/>
      <c r="DU100" s="138"/>
      <c r="DV100" s="138"/>
      <c r="DW100" s="138"/>
      <c r="DX100" s="138"/>
      <c r="DY100" s="138"/>
      <c r="DZ100" s="138"/>
      <c r="EA100" s="138"/>
      <c r="EB100" s="138"/>
      <c r="EC100" s="138"/>
      <c r="ED100" s="138"/>
      <c r="EE100" s="138"/>
      <c r="EF100" s="137" t="s">
        <v>2949</v>
      </c>
      <c r="EG100" s="137" t="s">
        <v>2472</v>
      </c>
      <c r="EH100" s="137">
        <v>1.0</v>
      </c>
      <c r="EI100" s="137" t="s">
        <v>3950</v>
      </c>
      <c r="EJ100" s="140">
        <v>7968.0</v>
      </c>
      <c r="EK100" s="137" t="s">
        <v>4379</v>
      </c>
      <c r="EL100" s="137" t="s">
        <v>4380</v>
      </c>
      <c r="EM100" s="140">
        <v>99.0</v>
      </c>
      <c r="EN100" s="22"/>
      <c r="EO100" s="22"/>
    </row>
    <row r="101">
      <c r="A101" s="137" t="s">
        <v>765</v>
      </c>
      <c r="B101" s="137" t="s">
        <v>4381</v>
      </c>
      <c r="C101" s="138"/>
      <c r="D101" s="138"/>
      <c r="E101" s="137">
        <v>3.5215509147374E14</v>
      </c>
      <c r="F101" s="137">
        <v>58.0</v>
      </c>
      <c r="G101" s="137">
        <v>2.0</v>
      </c>
      <c r="H101" s="137" t="s">
        <v>4382</v>
      </c>
      <c r="I101" s="137">
        <v>22.5488995</v>
      </c>
      <c r="J101" s="137">
        <v>88.3981576</v>
      </c>
      <c r="K101" s="137">
        <v>-46.2000007629394</v>
      </c>
      <c r="L101" s="137">
        <v>5.0</v>
      </c>
      <c r="M101" s="137">
        <v>14.0</v>
      </c>
      <c r="N101" s="137">
        <v>149.0</v>
      </c>
      <c r="O101" s="137">
        <v>0.0</v>
      </c>
      <c r="P101" s="137">
        <v>0.0</v>
      </c>
      <c r="Q101" s="137">
        <v>0.0</v>
      </c>
      <c r="R101" s="137">
        <v>0.0</v>
      </c>
      <c r="S101" s="137">
        <v>0.0</v>
      </c>
      <c r="T101" s="137">
        <v>1.0</v>
      </c>
      <c r="U101" s="138"/>
      <c r="V101" s="138"/>
      <c r="W101" s="138"/>
      <c r="X101" s="138"/>
      <c r="Y101" s="137">
        <v>2088.0</v>
      </c>
      <c r="Z101" s="137">
        <v>2088.0</v>
      </c>
      <c r="AA101" s="137" t="s">
        <v>4383</v>
      </c>
      <c r="AB101" s="137">
        <v>1.0</v>
      </c>
      <c r="AC101" s="137">
        <v>0.0</v>
      </c>
      <c r="AD101" s="137">
        <v>1.0</v>
      </c>
      <c r="AE101" s="138"/>
      <c r="AF101" s="138"/>
      <c r="AG101" s="138"/>
      <c r="AH101" s="138"/>
      <c r="AI101" s="138"/>
      <c r="AJ101" s="138"/>
      <c r="AK101" s="138"/>
      <c r="AL101" s="138"/>
      <c r="AM101" s="138"/>
      <c r="AN101" s="138"/>
      <c r="AO101" s="138"/>
      <c r="AP101" s="138"/>
      <c r="AQ101" s="138"/>
      <c r="AR101" s="138"/>
      <c r="AS101" s="138"/>
      <c r="AT101" s="138"/>
      <c r="AU101" s="138"/>
      <c r="AV101" s="138"/>
      <c r="AW101" s="138"/>
      <c r="AX101" s="138"/>
      <c r="AY101" s="138"/>
      <c r="AZ101" s="138"/>
      <c r="BA101" s="138"/>
      <c r="BB101" s="138"/>
      <c r="BC101" s="138"/>
      <c r="BD101" s="138"/>
      <c r="BE101" s="138"/>
      <c r="BF101" s="138"/>
      <c r="BG101" s="138"/>
      <c r="BH101" s="138"/>
      <c r="BI101" s="138"/>
      <c r="BJ101" s="138"/>
      <c r="BK101" s="138"/>
      <c r="BL101" s="138"/>
      <c r="BM101" s="138"/>
      <c r="BN101" s="138"/>
      <c r="BO101" s="138"/>
      <c r="BP101" s="138"/>
      <c r="BQ101" s="138"/>
      <c r="BR101" s="138"/>
      <c r="BS101" s="138"/>
      <c r="BT101" s="138"/>
      <c r="BU101" s="138"/>
      <c r="BV101" s="138"/>
      <c r="BW101" s="138"/>
      <c r="BX101" s="138"/>
      <c r="BY101" s="138"/>
      <c r="BZ101" s="138"/>
      <c r="CA101" s="138"/>
      <c r="CB101" s="138"/>
      <c r="CC101" s="138"/>
      <c r="CD101" s="138"/>
      <c r="CE101" s="138"/>
      <c r="CF101" s="138"/>
      <c r="CG101" s="138"/>
      <c r="CH101" s="138"/>
      <c r="CI101" s="138"/>
      <c r="CJ101" s="138"/>
      <c r="CK101" s="138"/>
      <c r="CL101" s="138"/>
      <c r="CM101" s="138"/>
      <c r="CN101" s="138"/>
      <c r="CO101" s="138"/>
      <c r="CP101" s="138"/>
      <c r="CQ101" s="138"/>
      <c r="CR101" s="138"/>
      <c r="CS101" s="138"/>
      <c r="CT101" s="138"/>
      <c r="CU101" s="138"/>
      <c r="CV101" s="138"/>
      <c r="CW101" s="138"/>
      <c r="CX101" s="138"/>
      <c r="CY101" s="138"/>
      <c r="CZ101" s="138"/>
      <c r="DA101" s="138"/>
      <c r="DB101" s="138"/>
      <c r="DC101" s="138"/>
      <c r="DD101" s="138"/>
      <c r="DE101" s="138"/>
      <c r="DF101" s="138"/>
      <c r="DG101" s="138"/>
      <c r="DH101" s="138"/>
      <c r="DI101" s="138"/>
      <c r="DJ101" s="138"/>
      <c r="DK101" s="138"/>
      <c r="DL101" s="138"/>
      <c r="DM101" s="138"/>
      <c r="DN101" s="138"/>
      <c r="DO101" s="138"/>
      <c r="DP101" s="137">
        <v>0.0</v>
      </c>
      <c r="DQ101" s="138"/>
      <c r="DR101" s="138"/>
      <c r="DS101" s="138"/>
      <c r="DT101" s="138"/>
      <c r="DU101" s="138"/>
      <c r="DV101" s="138"/>
      <c r="DW101" s="138"/>
      <c r="DX101" s="138"/>
      <c r="DY101" s="138"/>
      <c r="DZ101" s="138"/>
      <c r="EA101" s="138"/>
      <c r="EB101" s="138"/>
      <c r="EC101" s="138"/>
      <c r="ED101" s="138"/>
      <c r="EE101" s="138"/>
      <c r="EF101" s="137" t="s">
        <v>4385</v>
      </c>
      <c r="EG101" s="137" t="s">
        <v>2472</v>
      </c>
      <c r="EH101" s="137">
        <v>1.0</v>
      </c>
      <c r="EI101" s="137" t="s">
        <v>3950</v>
      </c>
      <c r="EJ101" s="140">
        <v>7969.0</v>
      </c>
      <c r="EK101" s="137" t="s">
        <v>4386</v>
      </c>
      <c r="EL101" s="137" t="s">
        <v>4387</v>
      </c>
      <c r="EM101" s="140">
        <v>100.0</v>
      </c>
      <c r="EN101" s="22"/>
      <c r="EO101" s="22"/>
    </row>
    <row r="102">
      <c r="A102" s="74" t="s">
        <v>768</v>
      </c>
      <c r="B102" s="74" t="s">
        <v>4388</v>
      </c>
      <c r="C102" s="119"/>
      <c r="D102" s="119"/>
      <c r="E102" s="74">
        <v>3.5215509147374E14</v>
      </c>
      <c r="F102" s="74">
        <v>58.0</v>
      </c>
      <c r="G102" s="74">
        <v>2.0</v>
      </c>
      <c r="H102" s="74" t="s">
        <v>4389</v>
      </c>
      <c r="I102" s="74">
        <v>22.5509846</v>
      </c>
      <c r="J102" s="74">
        <v>88.3967661</v>
      </c>
      <c r="K102" s="74">
        <v>-52.4000015258789</v>
      </c>
      <c r="L102" s="74">
        <v>5.0</v>
      </c>
      <c r="M102" s="74">
        <v>14.0</v>
      </c>
      <c r="N102" s="74">
        <v>141.0</v>
      </c>
      <c r="O102" s="74">
        <v>0.0</v>
      </c>
      <c r="P102" s="74">
        <v>0.0</v>
      </c>
      <c r="Q102" s="74">
        <v>0.0</v>
      </c>
      <c r="R102" s="74">
        <v>0.0</v>
      </c>
      <c r="S102" s="74">
        <v>1.0</v>
      </c>
      <c r="T102" s="74">
        <v>0.0</v>
      </c>
      <c r="U102" s="119"/>
      <c r="V102" s="119"/>
      <c r="W102" s="119"/>
      <c r="X102" s="119"/>
      <c r="Y102" s="74">
        <v>2072.0</v>
      </c>
      <c r="Z102" s="74">
        <v>2072.0</v>
      </c>
      <c r="AA102" s="74" t="s">
        <v>4390</v>
      </c>
      <c r="AB102" s="74">
        <v>1.0</v>
      </c>
      <c r="AC102" s="74">
        <v>0.0</v>
      </c>
      <c r="AD102" s="74">
        <v>1.0</v>
      </c>
      <c r="AE102" s="119"/>
      <c r="AF102" s="74" t="s">
        <v>769</v>
      </c>
      <c r="AG102" s="133">
        <v>43833.0</v>
      </c>
      <c r="AH102" s="74">
        <v>1.0</v>
      </c>
      <c r="AI102" s="74">
        <v>1.0</v>
      </c>
      <c r="AJ102" s="74">
        <v>0.0</v>
      </c>
      <c r="AK102" s="74">
        <v>0.0</v>
      </c>
      <c r="AL102" s="74">
        <v>0.0</v>
      </c>
      <c r="AM102" s="119"/>
      <c r="AN102" s="133">
        <v>43926.0</v>
      </c>
      <c r="AO102" s="74">
        <v>0.0</v>
      </c>
      <c r="AP102" s="74">
        <v>0.0</v>
      </c>
      <c r="AQ102" s="74">
        <v>0.0</v>
      </c>
      <c r="AR102" s="74">
        <v>0.0</v>
      </c>
      <c r="AS102" s="74">
        <v>1.0</v>
      </c>
      <c r="AT102" s="74">
        <v>1.0</v>
      </c>
      <c r="AU102" s="74">
        <v>0.0</v>
      </c>
      <c r="AV102" s="119"/>
      <c r="AW102" s="119"/>
      <c r="AX102" s="119"/>
      <c r="AY102" s="119"/>
      <c r="AZ102" s="119"/>
      <c r="BA102" s="119"/>
      <c r="BB102" s="119"/>
      <c r="BC102" s="119"/>
      <c r="BD102" s="119"/>
      <c r="BE102" s="119"/>
      <c r="BF102" s="119"/>
      <c r="BG102" s="119"/>
      <c r="BH102" s="119"/>
      <c r="BI102" s="119"/>
      <c r="BJ102" s="119"/>
      <c r="BK102" s="119"/>
      <c r="BL102" s="119"/>
      <c r="BM102" s="119"/>
      <c r="BN102" s="119"/>
      <c r="BO102" s="119"/>
      <c r="BP102" s="119"/>
      <c r="BQ102" s="119"/>
      <c r="BR102" s="119"/>
      <c r="BS102" s="119"/>
      <c r="BT102" s="119"/>
      <c r="BU102" s="119"/>
      <c r="BV102" s="119"/>
      <c r="BW102" s="119"/>
      <c r="BX102" s="119"/>
      <c r="BY102" s="119"/>
      <c r="BZ102" s="119"/>
      <c r="CA102" s="119"/>
      <c r="CB102" s="119"/>
      <c r="CC102" s="119"/>
      <c r="CD102" s="119"/>
      <c r="CE102" s="119"/>
      <c r="CF102" s="119"/>
      <c r="CG102" s="119"/>
      <c r="CH102" s="119"/>
      <c r="CI102" s="119"/>
      <c r="CJ102" s="119"/>
      <c r="CK102" s="119"/>
      <c r="CL102" s="119"/>
      <c r="CM102" s="119"/>
      <c r="CN102" s="119"/>
      <c r="CO102" s="119"/>
      <c r="CP102" s="119"/>
      <c r="CQ102" s="119"/>
      <c r="CR102" s="119"/>
      <c r="CS102" s="119"/>
      <c r="CT102" s="119"/>
      <c r="CU102" s="119"/>
      <c r="CV102" s="119"/>
      <c r="CW102" s="119"/>
      <c r="CX102" s="119"/>
      <c r="CY102" s="119"/>
      <c r="CZ102" s="119"/>
      <c r="DA102" s="119"/>
      <c r="DB102" s="119"/>
      <c r="DC102" s="119"/>
      <c r="DD102" s="119"/>
      <c r="DE102" s="119"/>
      <c r="DF102" s="119"/>
      <c r="DG102" s="119"/>
      <c r="DH102" s="119"/>
      <c r="DI102" s="119"/>
      <c r="DJ102" s="119"/>
      <c r="DK102" s="119"/>
      <c r="DL102" s="119"/>
      <c r="DM102" s="119"/>
      <c r="DN102" s="119"/>
      <c r="DO102" s="119"/>
      <c r="DP102" s="74">
        <v>0.0</v>
      </c>
      <c r="DQ102" s="119"/>
      <c r="DR102" s="119"/>
      <c r="DS102" s="119"/>
      <c r="DT102" s="119"/>
      <c r="DU102" s="119"/>
      <c r="DV102" s="119"/>
      <c r="DW102" s="119"/>
      <c r="DX102" s="119"/>
      <c r="DY102" s="119"/>
      <c r="DZ102" s="119"/>
      <c r="EA102" s="119"/>
      <c r="EB102" s="119"/>
      <c r="EC102" s="119"/>
      <c r="ED102" s="119"/>
      <c r="EE102" s="119"/>
      <c r="EF102" s="74" t="s">
        <v>2949</v>
      </c>
      <c r="EG102" s="74" t="s">
        <v>2472</v>
      </c>
      <c r="EH102" s="74">
        <v>1.0</v>
      </c>
      <c r="EI102" s="74" t="s">
        <v>3950</v>
      </c>
      <c r="EJ102" s="120">
        <v>7970.0</v>
      </c>
      <c r="EK102" s="74" t="s">
        <v>4392</v>
      </c>
      <c r="EL102" s="74" t="s">
        <v>4393</v>
      </c>
      <c r="EM102" s="120">
        <v>101.0</v>
      </c>
    </row>
    <row r="103">
      <c r="A103" s="74" t="s">
        <v>771</v>
      </c>
      <c r="B103" s="74" t="s">
        <v>4394</v>
      </c>
      <c r="C103" s="119"/>
      <c r="D103" s="119"/>
      <c r="E103" s="74">
        <v>3.5215509147374E14</v>
      </c>
      <c r="F103" s="74">
        <v>58.0</v>
      </c>
      <c r="G103" s="74">
        <v>2.0</v>
      </c>
      <c r="H103" s="74" t="s">
        <v>4395</v>
      </c>
      <c r="I103" s="74">
        <v>22.550949</v>
      </c>
      <c r="J103" s="74">
        <v>88.3966657</v>
      </c>
      <c r="K103" s="74">
        <v>-47.099998474121</v>
      </c>
      <c r="L103" s="74">
        <v>5.0</v>
      </c>
      <c r="M103" s="74">
        <v>14.0</v>
      </c>
      <c r="N103" s="74">
        <v>143.0</v>
      </c>
      <c r="O103" s="74">
        <v>0.0</v>
      </c>
      <c r="P103" s="74">
        <v>0.0</v>
      </c>
      <c r="Q103" s="74">
        <v>0.0</v>
      </c>
      <c r="R103" s="74">
        <v>1.0</v>
      </c>
      <c r="S103" s="74">
        <v>0.0</v>
      </c>
      <c r="T103" s="74">
        <v>0.0</v>
      </c>
      <c r="U103" s="119"/>
      <c r="V103" s="119"/>
      <c r="W103" s="119"/>
      <c r="X103" s="119"/>
      <c r="Y103" s="74">
        <v>2072.0</v>
      </c>
      <c r="Z103" s="74">
        <v>2072.0</v>
      </c>
      <c r="AA103" s="74" t="s">
        <v>4396</v>
      </c>
      <c r="AB103" s="74">
        <v>1.0</v>
      </c>
      <c r="AC103" s="74">
        <v>0.0</v>
      </c>
      <c r="AD103" s="74">
        <v>1.0</v>
      </c>
      <c r="AE103" s="119"/>
      <c r="AF103" s="119"/>
      <c r="AG103" s="119"/>
      <c r="AH103" s="119"/>
      <c r="AI103" s="119"/>
      <c r="AJ103" s="119"/>
      <c r="AK103" s="119"/>
      <c r="AL103" s="119"/>
      <c r="AM103" s="119"/>
      <c r="AN103" s="119"/>
      <c r="AO103" s="119"/>
      <c r="AP103" s="119"/>
      <c r="AQ103" s="119"/>
      <c r="AR103" s="119"/>
      <c r="AS103" s="119"/>
      <c r="AT103" s="119"/>
      <c r="AU103" s="119"/>
      <c r="AV103" s="119"/>
      <c r="AW103" s="119"/>
      <c r="AX103" s="119"/>
      <c r="AY103" s="119"/>
      <c r="AZ103" s="119"/>
      <c r="BA103" s="119"/>
      <c r="BB103" s="119"/>
      <c r="BC103" s="119"/>
      <c r="BD103" s="119"/>
      <c r="BE103" s="74" t="s">
        <v>772</v>
      </c>
      <c r="BF103" s="74">
        <v>1.0</v>
      </c>
      <c r="BG103" s="74">
        <v>1.0</v>
      </c>
      <c r="BH103" s="74">
        <v>0.0</v>
      </c>
      <c r="BI103" s="74">
        <v>0.0</v>
      </c>
      <c r="BJ103" s="74">
        <v>0.0</v>
      </c>
      <c r="BK103" s="119"/>
      <c r="BL103" s="74">
        <v>3.0</v>
      </c>
      <c r="BM103" s="74">
        <v>0.0</v>
      </c>
      <c r="BN103" s="74">
        <v>0.0</v>
      </c>
      <c r="BO103" s="74">
        <v>1.0</v>
      </c>
      <c r="BP103" s="74">
        <v>0.0</v>
      </c>
      <c r="BQ103" s="74">
        <v>0.0</v>
      </c>
      <c r="BR103" s="74">
        <v>0.0</v>
      </c>
      <c r="BS103" s="74">
        <v>0.0</v>
      </c>
      <c r="BT103" s="119"/>
      <c r="BU103" s="119"/>
      <c r="BV103" s="119"/>
      <c r="BW103" s="119"/>
      <c r="BX103" s="119"/>
      <c r="BY103" s="119"/>
      <c r="BZ103" s="119"/>
      <c r="CA103" s="119"/>
      <c r="CB103" s="119"/>
      <c r="CC103" s="119"/>
      <c r="CD103" s="119"/>
      <c r="CE103" s="119"/>
      <c r="CF103" s="119"/>
      <c r="CG103" s="119"/>
      <c r="CH103" s="119"/>
      <c r="CI103" s="119"/>
      <c r="CJ103" s="119"/>
      <c r="CK103" s="119"/>
      <c r="CL103" s="119"/>
      <c r="CM103" s="119"/>
      <c r="CN103" s="119"/>
      <c r="CO103" s="119"/>
      <c r="CP103" s="119"/>
      <c r="CQ103" s="119"/>
      <c r="CR103" s="119"/>
      <c r="CS103" s="119"/>
      <c r="CT103" s="119"/>
      <c r="CU103" s="119"/>
      <c r="CV103" s="119"/>
      <c r="CW103" s="119"/>
      <c r="CX103" s="119"/>
      <c r="CY103" s="119"/>
      <c r="CZ103" s="119"/>
      <c r="DA103" s="119"/>
      <c r="DB103" s="119"/>
      <c r="DC103" s="119"/>
      <c r="DD103" s="119"/>
      <c r="DE103" s="119"/>
      <c r="DF103" s="119"/>
      <c r="DG103" s="119"/>
      <c r="DH103" s="119"/>
      <c r="DI103" s="119"/>
      <c r="DJ103" s="119"/>
      <c r="DK103" s="119"/>
      <c r="DL103" s="119"/>
      <c r="DM103" s="119"/>
      <c r="DN103" s="119"/>
      <c r="DO103" s="119"/>
      <c r="DP103" s="74">
        <v>0.0</v>
      </c>
      <c r="DQ103" s="119"/>
      <c r="DR103" s="119"/>
      <c r="DS103" s="119"/>
      <c r="DT103" s="119"/>
      <c r="DU103" s="119"/>
      <c r="DV103" s="119"/>
      <c r="DW103" s="119"/>
      <c r="DX103" s="119"/>
      <c r="DY103" s="119"/>
      <c r="DZ103" s="119"/>
      <c r="EA103" s="119"/>
      <c r="EB103" s="119"/>
      <c r="EC103" s="119"/>
      <c r="ED103" s="119"/>
      <c r="EE103" s="119"/>
      <c r="EF103" s="74" t="s">
        <v>2949</v>
      </c>
      <c r="EG103" s="74" t="s">
        <v>2472</v>
      </c>
      <c r="EH103" s="74">
        <v>1.0</v>
      </c>
      <c r="EI103" s="74" t="s">
        <v>3950</v>
      </c>
      <c r="EJ103" s="120">
        <v>7971.0</v>
      </c>
      <c r="EK103" s="74" t="s">
        <v>4398</v>
      </c>
      <c r="EL103" s="74" t="s">
        <v>4399</v>
      </c>
      <c r="EM103" s="120">
        <v>102.0</v>
      </c>
    </row>
    <row r="104">
      <c r="A104" s="74" t="s">
        <v>775</v>
      </c>
      <c r="B104" s="74" t="s">
        <v>4400</v>
      </c>
      <c r="C104" s="119"/>
      <c r="D104" s="119"/>
      <c r="E104" s="74">
        <v>3.5215509147374E14</v>
      </c>
      <c r="F104" s="74">
        <v>58.0</v>
      </c>
      <c r="G104" s="74">
        <v>2.0</v>
      </c>
      <c r="H104" s="74" t="s">
        <v>4401</v>
      </c>
      <c r="I104" s="74">
        <v>22.5509319</v>
      </c>
      <c r="J104" s="74">
        <v>88.3967745</v>
      </c>
      <c r="K104" s="74">
        <v>-52.9000015258789</v>
      </c>
      <c r="L104" s="74">
        <v>4.5</v>
      </c>
      <c r="M104" s="74">
        <v>14.0</v>
      </c>
      <c r="N104" s="74">
        <v>144.0</v>
      </c>
      <c r="O104" s="74">
        <v>1.0</v>
      </c>
      <c r="P104" s="74">
        <v>0.0</v>
      </c>
      <c r="Q104" s="74">
        <v>0.0</v>
      </c>
      <c r="R104" s="74">
        <v>0.0</v>
      </c>
      <c r="S104" s="74">
        <v>0.0</v>
      </c>
      <c r="T104" s="74">
        <v>0.0</v>
      </c>
      <c r="U104" s="119"/>
      <c r="V104" s="119"/>
      <c r="W104" s="119"/>
      <c r="X104" s="119"/>
      <c r="Y104" s="74">
        <v>2072.0</v>
      </c>
      <c r="Z104" s="74">
        <v>2072.0</v>
      </c>
      <c r="AA104" s="74" t="s">
        <v>4402</v>
      </c>
      <c r="AB104" s="74">
        <v>1.0</v>
      </c>
      <c r="AC104" s="74">
        <v>0.0</v>
      </c>
      <c r="AD104" s="74">
        <v>1.0</v>
      </c>
      <c r="AE104" s="119"/>
      <c r="AF104" s="119"/>
      <c r="AG104" s="119"/>
      <c r="AH104" s="119"/>
      <c r="AI104" s="119"/>
      <c r="AJ104" s="119"/>
      <c r="AK104" s="119"/>
      <c r="AL104" s="119"/>
      <c r="AM104" s="119"/>
      <c r="AN104" s="119"/>
      <c r="AO104" s="119"/>
      <c r="AP104" s="119"/>
      <c r="AQ104" s="119"/>
      <c r="AR104" s="119"/>
      <c r="AS104" s="119"/>
      <c r="AT104" s="119"/>
      <c r="AU104" s="119"/>
      <c r="AV104" s="119"/>
      <c r="AW104" s="119"/>
      <c r="AX104" s="119"/>
      <c r="AY104" s="119"/>
      <c r="AZ104" s="119"/>
      <c r="BA104" s="119"/>
      <c r="BB104" s="119"/>
      <c r="BC104" s="119"/>
      <c r="BD104" s="119"/>
      <c r="BE104" s="119"/>
      <c r="BF104" s="119"/>
      <c r="BG104" s="119"/>
      <c r="BH104" s="119"/>
      <c r="BI104" s="119"/>
      <c r="BJ104" s="119"/>
      <c r="BK104" s="119"/>
      <c r="BL104" s="119"/>
      <c r="BM104" s="119"/>
      <c r="BN104" s="119"/>
      <c r="BO104" s="119"/>
      <c r="BP104" s="119"/>
      <c r="BQ104" s="119"/>
      <c r="BR104" s="119"/>
      <c r="BS104" s="119"/>
      <c r="BT104" s="119"/>
      <c r="BU104" s="74" t="s">
        <v>776</v>
      </c>
      <c r="BV104" s="74">
        <v>4.0</v>
      </c>
      <c r="BW104" s="119"/>
      <c r="BX104" s="74">
        <v>1.0</v>
      </c>
      <c r="BY104" s="74">
        <v>1.0</v>
      </c>
      <c r="BZ104" s="119"/>
      <c r="CA104" s="119"/>
      <c r="CB104" s="119"/>
      <c r="CC104" s="119"/>
      <c r="CD104" s="119"/>
      <c r="CE104" s="119"/>
      <c r="CF104" s="119"/>
      <c r="CG104" s="119"/>
      <c r="CH104" s="119"/>
      <c r="CI104" s="119"/>
      <c r="CJ104" s="119"/>
      <c r="CK104" s="119"/>
      <c r="CL104" s="119"/>
      <c r="CM104" s="119"/>
      <c r="CN104" s="119"/>
      <c r="CO104" s="119"/>
      <c r="CP104" s="119"/>
      <c r="CQ104" s="119"/>
      <c r="CR104" s="119"/>
      <c r="CS104" s="119"/>
      <c r="CT104" s="119"/>
      <c r="CU104" s="119"/>
      <c r="CV104" s="119"/>
      <c r="CW104" s="119"/>
      <c r="CX104" s="119"/>
      <c r="CY104" s="119"/>
      <c r="CZ104" s="119"/>
      <c r="DA104" s="119"/>
      <c r="DB104" s="119"/>
      <c r="DC104" s="119"/>
      <c r="DD104" s="119"/>
      <c r="DE104" s="119"/>
      <c r="DF104" s="119"/>
      <c r="DG104" s="119"/>
      <c r="DH104" s="119"/>
      <c r="DI104" s="119"/>
      <c r="DJ104" s="119"/>
      <c r="DK104" s="119"/>
      <c r="DL104" s="119"/>
      <c r="DM104" s="119"/>
      <c r="DN104" s="119"/>
      <c r="DO104" s="119"/>
      <c r="DP104" s="74">
        <v>0.0</v>
      </c>
      <c r="DQ104" s="119"/>
      <c r="DR104" s="119"/>
      <c r="DS104" s="119"/>
      <c r="DT104" s="119"/>
      <c r="DU104" s="119"/>
      <c r="DV104" s="119"/>
      <c r="DW104" s="119"/>
      <c r="DX104" s="119"/>
      <c r="DY104" s="119"/>
      <c r="DZ104" s="119"/>
      <c r="EA104" s="119"/>
      <c r="EB104" s="119"/>
      <c r="EC104" s="119"/>
      <c r="ED104" s="119"/>
      <c r="EE104" s="119"/>
      <c r="EF104" s="74" t="s">
        <v>2949</v>
      </c>
      <c r="EG104" s="74" t="s">
        <v>2472</v>
      </c>
      <c r="EH104" s="74">
        <v>1.0</v>
      </c>
      <c r="EI104" s="74" t="s">
        <v>3950</v>
      </c>
      <c r="EJ104" s="120">
        <v>7972.0</v>
      </c>
      <c r="EK104" s="74" t="s">
        <v>4404</v>
      </c>
      <c r="EL104" s="74" t="s">
        <v>4405</v>
      </c>
      <c r="EM104" s="120">
        <v>103.0</v>
      </c>
    </row>
    <row r="105">
      <c r="A105" s="74" t="s">
        <v>777</v>
      </c>
      <c r="B105" s="74" t="s">
        <v>4406</v>
      </c>
      <c r="C105" s="119"/>
      <c r="D105" s="119"/>
      <c r="E105" s="74">
        <v>3.5215509147374E14</v>
      </c>
      <c r="F105" s="74">
        <v>58.0</v>
      </c>
      <c r="G105" s="74">
        <v>2.0</v>
      </c>
      <c r="H105" s="74" t="s">
        <v>4407</v>
      </c>
      <c r="I105" s="74">
        <v>22.5509797</v>
      </c>
      <c r="J105" s="74">
        <v>88.396646</v>
      </c>
      <c r="K105" s="74">
        <v>-51.2999992370605</v>
      </c>
      <c r="L105" s="74">
        <v>5.0</v>
      </c>
      <c r="M105" s="74">
        <v>14.0</v>
      </c>
      <c r="N105" s="74">
        <v>142.0</v>
      </c>
      <c r="O105" s="74">
        <v>0.0</v>
      </c>
      <c r="P105" s="74">
        <v>0.0</v>
      </c>
      <c r="Q105" s="74">
        <v>1.0</v>
      </c>
      <c r="R105" s="74">
        <v>0.0</v>
      </c>
      <c r="S105" s="74">
        <v>0.0</v>
      </c>
      <c r="T105" s="74">
        <v>0.0</v>
      </c>
      <c r="U105" s="119"/>
      <c r="V105" s="119"/>
      <c r="W105" s="119"/>
      <c r="X105" s="119"/>
      <c r="Y105" s="74">
        <v>2072.0</v>
      </c>
      <c r="Z105" s="74">
        <v>2072.0</v>
      </c>
      <c r="AA105" s="74" t="s">
        <v>4408</v>
      </c>
      <c r="AB105" s="74">
        <v>1.0</v>
      </c>
      <c r="AC105" s="74">
        <v>0.0</v>
      </c>
      <c r="AD105" s="74">
        <v>1.0</v>
      </c>
      <c r="AE105" s="119"/>
      <c r="AF105" s="119"/>
      <c r="AG105" s="119"/>
      <c r="AH105" s="119"/>
      <c r="AI105" s="119"/>
      <c r="AJ105" s="119"/>
      <c r="AK105" s="119"/>
      <c r="AL105" s="119"/>
      <c r="AM105" s="119"/>
      <c r="AN105" s="119"/>
      <c r="AO105" s="119"/>
      <c r="AP105" s="119"/>
      <c r="AQ105" s="119"/>
      <c r="AR105" s="119"/>
      <c r="AS105" s="119"/>
      <c r="AT105" s="119"/>
      <c r="AU105" s="119"/>
      <c r="AV105" s="119"/>
      <c r="AW105" s="74" t="s">
        <v>778</v>
      </c>
      <c r="AX105" s="74">
        <v>1.0</v>
      </c>
      <c r="AY105" s="74">
        <v>1.0</v>
      </c>
      <c r="AZ105" s="74">
        <v>0.0</v>
      </c>
      <c r="BA105" s="74">
        <v>0.0</v>
      </c>
      <c r="BB105" s="74">
        <v>0.0</v>
      </c>
      <c r="BC105" s="74">
        <v>0.0</v>
      </c>
      <c r="BD105" s="119"/>
      <c r="BE105" s="119"/>
      <c r="BF105" s="119"/>
      <c r="BG105" s="119"/>
      <c r="BH105" s="119"/>
      <c r="BI105" s="119"/>
      <c r="BJ105" s="119"/>
      <c r="BK105" s="119"/>
      <c r="BL105" s="119"/>
      <c r="BM105" s="119"/>
      <c r="BN105" s="119"/>
      <c r="BO105" s="119"/>
      <c r="BP105" s="119"/>
      <c r="BQ105" s="119"/>
      <c r="BR105" s="119"/>
      <c r="BS105" s="119"/>
      <c r="BT105" s="119"/>
      <c r="BU105" s="119"/>
      <c r="BV105" s="119"/>
      <c r="BW105" s="119"/>
      <c r="BX105" s="119"/>
      <c r="BY105" s="119"/>
      <c r="BZ105" s="119"/>
      <c r="CA105" s="119"/>
      <c r="CB105" s="119"/>
      <c r="CC105" s="119"/>
      <c r="CD105" s="119"/>
      <c r="CE105" s="119"/>
      <c r="CF105" s="119"/>
      <c r="CG105" s="119"/>
      <c r="CH105" s="119"/>
      <c r="CI105" s="119"/>
      <c r="CJ105" s="119"/>
      <c r="CK105" s="119"/>
      <c r="CL105" s="119"/>
      <c r="CM105" s="119"/>
      <c r="CN105" s="119"/>
      <c r="CO105" s="119"/>
      <c r="CP105" s="119"/>
      <c r="CQ105" s="119"/>
      <c r="CR105" s="119"/>
      <c r="CS105" s="119"/>
      <c r="CT105" s="119"/>
      <c r="CU105" s="119"/>
      <c r="CV105" s="119"/>
      <c r="CW105" s="119"/>
      <c r="CX105" s="119"/>
      <c r="CY105" s="119"/>
      <c r="CZ105" s="119"/>
      <c r="DA105" s="119"/>
      <c r="DB105" s="119"/>
      <c r="DC105" s="119"/>
      <c r="DD105" s="119"/>
      <c r="DE105" s="119"/>
      <c r="DF105" s="119"/>
      <c r="DG105" s="119"/>
      <c r="DH105" s="119"/>
      <c r="DI105" s="119"/>
      <c r="DJ105" s="119"/>
      <c r="DK105" s="119"/>
      <c r="DL105" s="119"/>
      <c r="DM105" s="119"/>
      <c r="DN105" s="119"/>
      <c r="DO105" s="119"/>
      <c r="DP105" s="74">
        <v>0.0</v>
      </c>
      <c r="DQ105" s="119"/>
      <c r="DR105" s="119"/>
      <c r="DS105" s="119"/>
      <c r="DT105" s="119"/>
      <c r="DU105" s="119"/>
      <c r="DV105" s="119"/>
      <c r="DW105" s="119"/>
      <c r="DX105" s="119"/>
      <c r="DY105" s="119"/>
      <c r="DZ105" s="119"/>
      <c r="EA105" s="119"/>
      <c r="EB105" s="119"/>
      <c r="EC105" s="119"/>
      <c r="ED105" s="119"/>
      <c r="EE105" s="119"/>
      <c r="EF105" s="74" t="s">
        <v>2949</v>
      </c>
      <c r="EG105" s="74" t="s">
        <v>2472</v>
      </c>
      <c r="EH105" s="74">
        <v>1.0</v>
      </c>
      <c r="EI105" s="74" t="s">
        <v>3950</v>
      </c>
      <c r="EJ105" s="120">
        <v>7973.0</v>
      </c>
      <c r="EK105" s="74" t="s">
        <v>4409</v>
      </c>
      <c r="EL105" s="74" t="s">
        <v>4410</v>
      </c>
      <c r="EM105" s="120">
        <v>104.0</v>
      </c>
    </row>
    <row r="106">
      <c r="A106" s="74" t="s">
        <v>779</v>
      </c>
      <c r="B106" s="74" t="s">
        <v>4411</v>
      </c>
      <c r="C106" s="119"/>
      <c r="D106" s="119"/>
      <c r="E106" s="74">
        <v>3.5215509147374E14</v>
      </c>
      <c r="F106" s="74">
        <v>58.0</v>
      </c>
      <c r="G106" s="74">
        <v>2.0</v>
      </c>
      <c r="H106" s="74" t="s">
        <v>4412</v>
      </c>
      <c r="I106" s="74">
        <v>22.5509703</v>
      </c>
      <c r="J106" s="74">
        <v>88.3966468</v>
      </c>
      <c r="K106" s="74">
        <v>-51.7000007629394</v>
      </c>
      <c r="L106" s="74">
        <v>5.0</v>
      </c>
      <c r="M106" s="74">
        <v>14.0</v>
      </c>
      <c r="N106" s="74">
        <v>145.0</v>
      </c>
      <c r="O106" s="74">
        <v>0.0</v>
      </c>
      <c r="P106" s="74">
        <v>1.0</v>
      </c>
      <c r="Q106" s="74">
        <v>0.0</v>
      </c>
      <c r="R106" s="74">
        <v>0.0</v>
      </c>
      <c r="S106" s="74">
        <v>0.0</v>
      </c>
      <c r="T106" s="74">
        <v>0.0</v>
      </c>
      <c r="U106" s="119"/>
      <c r="V106" s="119"/>
      <c r="W106" s="119"/>
      <c r="X106" s="119"/>
      <c r="Y106" s="74">
        <v>2072.0</v>
      </c>
      <c r="Z106" s="74">
        <v>2072.0</v>
      </c>
      <c r="AA106" s="74" t="s">
        <v>4413</v>
      </c>
      <c r="AB106" s="74">
        <v>1.0</v>
      </c>
      <c r="AC106" s="74">
        <v>0.0</v>
      </c>
      <c r="AD106" s="74">
        <v>1.0</v>
      </c>
      <c r="AE106" s="119"/>
      <c r="AF106" s="119"/>
      <c r="AG106" s="119"/>
      <c r="AH106" s="119"/>
      <c r="AI106" s="119"/>
      <c r="AJ106" s="119"/>
      <c r="AK106" s="119"/>
      <c r="AL106" s="119"/>
      <c r="AM106" s="119"/>
      <c r="AN106" s="119"/>
      <c r="AO106" s="119"/>
      <c r="AP106" s="119"/>
      <c r="AQ106" s="119"/>
      <c r="AR106" s="119"/>
      <c r="AS106" s="119"/>
      <c r="AT106" s="119"/>
      <c r="AU106" s="119"/>
      <c r="AV106" s="119"/>
      <c r="AW106" s="119"/>
      <c r="AX106" s="119"/>
      <c r="AY106" s="119"/>
      <c r="AZ106" s="119"/>
      <c r="BA106" s="119"/>
      <c r="BB106" s="119"/>
      <c r="BC106" s="119"/>
      <c r="BD106" s="119"/>
      <c r="BE106" s="119"/>
      <c r="BF106" s="119"/>
      <c r="BG106" s="119"/>
      <c r="BH106" s="119"/>
      <c r="BI106" s="119"/>
      <c r="BJ106" s="119"/>
      <c r="BK106" s="119"/>
      <c r="BL106" s="119"/>
      <c r="BM106" s="119"/>
      <c r="BN106" s="119"/>
      <c r="BO106" s="119"/>
      <c r="BP106" s="119"/>
      <c r="BQ106" s="119"/>
      <c r="BR106" s="119"/>
      <c r="BS106" s="119"/>
      <c r="BT106" s="119"/>
      <c r="BU106" s="119"/>
      <c r="BV106" s="119"/>
      <c r="BW106" s="119"/>
      <c r="BX106" s="119"/>
      <c r="BY106" s="119"/>
      <c r="BZ106" s="119"/>
      <c r="CA106" s="119"/>
      <c r="CB106" s="119"/>
      <c r="CC106" s="74" t="s">
        <v>780</v>
      </c>
      <c r="CD106" s="133">
        <v>43865.0</v>
      </c>
      <c r="CE106" s="74">
        <v>0.0</v>
      </c>
      <c r="CF106" s="74">
        <v>0.0</v>
      </c>
      <c r="CG106" s="74">
        <v>0.0</v>
      </c>
      <c r="CH106" s="74">
        <v>1.0</v>
      </c>
      <c r="CI106" s="74">
        <v>0.0</v>
      </c>
      <c r="CJ106" s="74">
        <v>1.0</v>
      </c>
      <c r="CK106" s="119"/>
      <c r="CL106" s="74">
        <v>3.0</v>
      </c>
      <c r="CM106" s="74">
        <v>0.0</v>
      </c>
      <c r="CN106" s="74">
        <v>1.0</v>
      </c>
      <c r="CO106" s="74">
        <v>0.0</v>
      </c>
      <c r="CP106" s="74">
        <v>0.0</v>
      </c>
      <c r="CQ106" s="119"/>
      <c r="CR106" s="119"/>
      <c r="CS106" s="119"/>
      <c r="CT106" s="119"/>
      <c r="CU106" s="119"/>
      <c r="CV106" s="119"/>
      <c r="CW106" s="119"/>
      <c r="CX106" s="119"/>
      <c r="CY106" s="119"/>
      <c r="CZ106" s="119"/>
      <c r="DA106" s="119"/>
      <c r="DB106" s="119"/>
      <c r="DC106" s="119"/>
      <c r="DD106" s="119"/>
      <c r="DE106" s="119"/>
      <c r="DF106" s="119"/>
      <c r="DG106" s="119"/>
      <c r="DH106" s="119"/>
      <c r="DI106" s="119"/>
      <c r="DJ106" s="119"/>
      <c r="DK106" s="119"/>
      <c r="DL106" s="119"/>
      <c r="DM106" s="119"/>
      <c r="DN106" s="119"/>
      <c r="DO106" s="119"/>
      <c r="DP106" s="74">
        <v>0.0</v>
      </c>
      <c r="DQ106" s="119"/>
      <c r="DR106" s="119"/>
      <c r="DS106" s="119"/>
      <c r="DT106" s="119"/>
      <c r="DU106" s="119"/>
      <c r="DV106" s="119"/>
      <c r="DW106" s="119"/>
      <c r="DX106" s="119"/>
      <c r="DY106" s="119"/>
      <c r="DZ106" s="119"/>
      <c r="EA106" s="119"/>
      <c r="EB106" s="119"/>
      <c r="EC106" s="119"/>
      <c r="ED106" s="119"/>
      <c r="EE106" s="119"/>
      <c r="EF106" s="74" t="s">
        <v>2949</v>
      </c>
      <c r="EG106" s="74" t="s">
        <v>2472</v>
      </c>
      <c r="EH106" s="74">
        <v>1.0</v>
      </c>
      <c r="EI106" s="74" t="s">
        <v>3950</v>
      </c>
      <c r="EJ106" s="120">
        <v>7974.0</v>
      </c>
      <c r="EK106" s="74" t="s">
        <v>4414</v>
      </c>
      <c r="EL106" s="74" t="s">
        <v>4415</v>
      </c>
      <c r="EM106" s="120">
        <v>105.0</v>
      </c>
    </row>
    <row r="107">
      <c r="A107" s="74" t="s">
        <v>782</v>
      </c>
      <c r="B107" s="74" t="s">
        <v>4416</v>
      </c>
      <c r="C107" s="119"/>
      <c r="D107" s="119"/>
      <c r="E107" s="74">
        <v>3.5215509147374E14</v>
      </c>
      <c r="F107" s="74">
        <v>58.0</v>
      </c>
      <c r="G107" s="74">
        <v>2.0</v>
      </c>
      <c r="H107" s="74" t="s">
        <v>4417</v>
      </c>
      <c r="I107" s="74">
        <v>22.5509593</v>
      </c>
      <c r="J107" s="74">
        <v>88.396686</v>
      </c>
      <c r="K107" s="74">
        <v>-62.2999992370605</v>
      </c>
      <c r="L107" s="74">
        <v>5.0</v>
      </c>
      <c r="M107" s="74">
        <v>14.0</v>
      </c>
      <c r="N107" s="74">
        <v>149.0</v>
      </c>
      <c r="O107" s="74">
        <v>0.0</v>
      </c>
      <c r="P107" s="74">
        <v>0.0</v>
      </c>
      <c r="Q107" s="74">
        <v>0.0</v>
      </c>
      <c r="R107" s="74">
        <v>0.0</v>
      </c>
      <c r="S107" s="74">
        <v>0.0</v>
      </c>
      <c r="T107" s="74">
        <v>1.0</v>
      </c>
      <c r="U107" s="119"/>
      <c r="V107" s="119"/>
      <c r="W107" s="119"/>
      <c r="X107" s="119"/>
      <c r="Y107" s="74">
        <v>2072.0</v>
      </c>
      <c r="Z107" s="74">
        <v>2072.0</v>
      </c>
      <c r="AA107" s="74" t="s">
        <v>4418</v>
      </c>
      <c r="AB107" s="74">
        <v>1.0</v>
      </c>
      <c r="AC107" s="74">
        <v>0.0</v>
      </c>
      <c r="AD107" s="74">
        <v>1.0</v>
      </c>
      <c r="AE107" s="119"/>
      <c r="AF107" s="119"/>
      <c r="AG107" s="119"/>
      <c r="AH107" s="119"/>
      <c r="AI107" s="119"/>
      <c r="AJ107" s="119"/>
      <c r="AK107" s="119"/>
      <c r="AL107" s="119"/>
      <c r="AM107" s="119"/>
      <c r="AN107" s="119"/>
      <c r="AO107" s="119"/>
      <c r="AP107" s="119"/>
      <c r="AQ107" s="119"/>
      <c r="AR107" s="119"/>
      <c r="AS107" s="119"/>
      <c r="AT107" s="119"/>
      <c r="AU107" s="119"/>
      <c r="AV107" s="119"/>
      <c r="AW107" s="119"/>
      <c r="AX107" s="119"/>
      <c r="AY107" s="119"/>
      <c r="AZ107" s="119"/>
      <c r="BA107" s="119"/>
      <c r="BB107" s="119"/>
      <c r="BC107" s="119"/>
      <c r="BD107" s="119"/>
      <c r="BE107" s="119"/>
      <c r="BF107" s="119"/>
      <c r="BG107" s="119"/>
      <c r="BH107" s="119"/>
      <c r="BI107" s="119"/>
      <c r="BJ107" s="119"/>
      <c r="BK107" s="119"/>
      <c r="BL107" s="119"/>
      <c r="BM107" s="119"/>
      <c r="BN107" s="119"/>
      <c r="BO107" s="119"/>
      <c r="BP107" s="119"/>
      <c r="BQ107" s="119"/>
      <c r="BR107" s="119"/>
      <c r="BS107" s="119"/>
      <c r="BT107" s="119"/>
      <c r="BU107" s="119"/>
      <c r="BV107" s="119"/>
      <c r="BW107" s="119"/>
      <c r="BX107" s="119"/>
      <c r="BY107" s="119"/>
      <c r="BZ107" s="119"/>
      <c r="CA107" s="119"/>
      <c r="CB107" s="119"/>
      <c r="CC107" s="119"/>
      <c r="CD107" s="119"/>
      <c r="CE107" s="119"/>
      <c r="CF107" s="119"/>
      <c r="CG107" s="119"/>
      <c r="CH107" s="119"/>
      <c r="CI107" s="119"/>
      <c r="CJ107" s="119"/>
      <c r="CK107" s="119"/>
      <c r="CL107" s="119"/>
      <c r="CM107" s="119"/>
      <c r="CN107" s="119"/>
      <c r="CO107" s="119"/>
      <c r="CP107" s="119"/>
      <c r="CQ107" s="119"/>
      <c r="CR107" s="119"/>
      <c r="CS107" s="119"/>
      <c r="CT107" s="119"/>
      <c r="CU107" s="119"/>
      <c r="CV107" s="119"/>
      <c r="CW107" s="119"/>
      <c r="CX107" s="119"/>
      <c r="CY107" s="119"/>
      <c r="CZ107" s="119"/>
      <c r="DA107" s="119"/>
      <c r="DB107" s="119"/>
      <c r="DC107" s="119"/>
      <c r="DD107" s="119"/>
      <c r="DE107" s="119"/>
      <c r="DF107" s="119"/>
      <c r="DG107" s="119"/>
      <c r="DH107" s="119"/>
      <c r="DI107" s="119"/>
      <c r="DJ107" s="119"/>
      <c r="DK107" s="119"/>
      <c r="DL107" s="119"/>
      <c r="DM107" s="119"/>
      <c r="DN107" s="119"/>
      <c r="DO107" s="119"/>
      <c r="DP107" s="74">
        <v>0.0</v>
      </c>
      <c r="DQ107" s="119"/>
      <c r="DR107" s="119"/>
      <c r="DS107" s="119"/>
      <c r="DT107" s="119"/>
      <c r="DU107" s="119"/>
      <c r="DV107" s="119"/>
      <c r="DW107" s="119"/>
      <c r="DX107" s="119"/>
      <c r="DY107" s="119"/>
      <c r="DZ107" s="119"/>
      <c r="EA107" s="119"/>
      <c r="EB107" s="119"/>
      <c r="EC107" s="119"/>
      <c r="ED107" s="119"/>
      <c r="EE107" s="119"/>
      <c r="EF107" s="74" t="s">
        <v>4419</v>
      </c>
      <c r="EG107" s="74" t="s">
        <v>2472</v>
      </c>
      <c r="EH107" s="74">
        <v>1.0</v>
      </c>
      <c r="EI107" s="74" t="s">
        <v>3950</v>
      </c>
      <c r="EJ107" s="120">
        <v>7975.0</v>
      </c>
      <c r="EK107" s="74" t="s">
        <v>4420</v>
      </c>
      <c r="EL107" s="74" t="s">
        <v>4421</v>
      </c>
      <c r="EM107" s="120">
        <v>106.0</v>
      </c>
    </row>
    <row r="108">
      <c r="A108" s="74" t="s">
        <v>784</v>
      </c>
      <c r="B108" s="74" t="s">
        <v>4422</v>
      </c>
      <c r="C108" s="119"/>
      <c r="D108" s="119"/>
      <c r="E108" s="74">
        <v>3.5215509147374E14</v>
      </c>
      <c r="F108" s="74">
        <v>58.0</v>
      </c>
      <c r="G108" s="74">
        <v>2.0</v>
      </c>
      <c r="H108" s="74" t="s">
        <v>4423</v>
      </c>
      <c r="I108" s="74">
        <v>22.5504404</v>
      </c>
      <c r="J108" s="74">
        <v>88.3965627</v>
      </c>
      <c r="K108" s="74">
        <v>-61.7999992370605</v>
      </c>
      <c r="L108" s="74">
        <v>5.0</v>
      </c>
      <c r="M108" s="74">
        <v>15.0</v>
      </c>
      <c r="N108" s="119"/>
      <c r="O108" s="119"/>
      <c r="P108" s="119"/>
      <c r="Q108" s="119"/>
      <c r="R108" s="119"/>
      <c r="S108" s="119"/>
      <c r="T108" s="119"/>
      <c r="U108" s="74">
        <v>151.0</v>
      </c>
      <c r="V108" s="74">
        <v>1.0</v>
      </c>
      <c r="W108" s="74">
        <v>0.0</v>
      </c>
      <c r="X108" s="74">
        <v>0.0</v>
      </c>
      <c r="Y108" s="74">
        <v>2074.0</v>
      </c>
      <c r="Z108" s="74">
        <v>2074.0</v>
      </c>
      <c r="AA108" s="74" t="s">
        <v>4424</v>
      </c>
      <c r="AB108" s="74">
        <v>1.0</v>
      </c>
      <c r="AC108" s="74">
        <v>0.0</v>
      </c>
      <c r="AD108" s="74">
        <v>1.0</v>
      </c>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119"/>
      <c r="BD108" s="119"/>
      <c r="BE108" s="119"/>
      <c r="BF108" s="119"/>
      <c r="BG108" s="119"/>
      <c r="BH108" s="119"/>
      <c r="BI108" s="119"/>
      <c r="BJ108" s="119"/>
      <c r="BK108" s="119"/>
      <c r="BL108" s="119"/>
      <c r="BM108" s="119"/>
      <c r="BN108" s="119"/>
      <c r="BO108" s="119"/>
      <c r="BP108" s="119"/>
      <c r="BQ108" s="119"/>
      <c r="BR108" s="119"/>
      <c r="BS108" s="119"/>
      <c r="BT108" s="119"/>
      <c r="BU108" s="119"/>
      <c r="BV108" s="119"/>
      <c r="BW108" s="119"/>
      <c r="BX108" s="119"/>
      <c r="BY108" s="119"/>
      <c r="BZ108" s="119"/>
      <c r="CA108" s="119"/>
      <c r="CB108" s="119"/>
      <c r="CC108" s="119"/>
      <c r="CD108" s="119"/>
      <c r="CE108" s="119"/>
      <c r="CF108" s="119"/>
      <c r="CG108" s="119"/>
      <c r="CH108" s="119"/>
      <c r="CI108" s="119"/>
      <c r="CJ108" s="119"/>
      <c r="CK108" s="119"/>
      <c r="CL108" s="119"/>
      <c r="CM108" s="119"/>
      <c r="CN108" s="119"/>
      <c r="CO108" s="119"/>
      <c r="CP108" s="119"/>
      <c r="CQ108" s="119"/>
      <c r="CR108" s="74" t="s">
        <v>785</v>
      </c>
      <c r="CS108" s="74">
        <v>2.0</v>
      </c>
      <c r="CT108" s="119"/>
      <c r="CU108" s="74">
        <v>0.0</v>
      </c>
      <c r="CV108" s="74">
        <v>0.0</v>
      </c>
      <c r="CW108" s="119"/>
      <c r="CX108" s="119"/>
      <c r="CY108" s="119"/>
      <c r="CZ108" s="119"/>
      <c r="DA108" s="119"/>
      <c r="DB108" s="119"/>
      <c r="DC108" s="119"/>
      <c r="DD108" s="119"/>
      <c r="DE108" s="119"/>
      <c r="DF108" s="119"/>
      <c r="DG108" s="119"/>
      <c r="DH108" s="119"/>
      <c r="DI108" s="119"/>
      <c r="DJ108" s="119"/>
      <c r="DK108" s="119"/>
      <c r="DL108" s="119"/>
      <c r="DM108" s="119"/>
      <c r="DN108" s="119"/>
      <c r="DO108" s="119"/>
      <c r="DP108" s="74">
        <v>0.0</v>
      </c>
      <c r="DQ108" s="119"/>
      <c r="DR108" s="119"/>
      <c r="DS108" s="119"/>
      <c r="DT108" s="119"/>
      <c r="DU108" s="119"/>
      <c r="DV108" s="119"/>
      <c r="DW108" s="119"/>
      <c r="DX108" s="119"/>
      <c r="DY108" s="119"/>
      <c r="DZ108" s="119"/>
      <c r="EA108" s="119"/>
      <c r="EB108" s="119"/>
      <c r="EC108" s="119"/>
      <c r="ED108" s="119"/>
      <c r="EE108" s="119"/>
      <c r="EF108" s="74" t="s">
        <v>2949</v>
      </c>
      <c r="EG108" s="74" t="s">
        <v>2472</v>
      </c>
      <c r="EH108" s="74">
        <v>1.0</v>
      </c>
      <c r="EI108" s="74" t="s">
        <v>3950</v>
      </c>
      <c r="EJ108" s="120">
        <v>7976.0</v>
      </c>
      <c r="EK108" s="74" t="s">
        <v>4425</v>
      </c>
      <c r="EL108" s="74" t="s">
        <v>4426</v>
      </c>
      <c r="EM108" s="120">
        <v>107.0</v>
      </c>
    </row>
    <row r="109">
      <c r="A109" s="74" t="s">
        <v>4427</v>
      </c>
      <c r="B109" s="74" t="s">
        <v>4428</v>
      </c>
      <c r="C109" s="119"/>
      <c r="D109" s="119"/>
      <c r="E109" s="74">
        <v>3.5215509147374E14</v>
      </c>
      <c r="F109" s="74">
        <v>58.0</v>
      </c>
      <c r="G109" s="74">
        <v>2.0</v>
      </c>
      <c r="H109" s="74" t="s">
        <v>4429</v>
      </c>
      <c r="I109" s="74">
        <v>22.5517692</v>
      </c>
      <c r="J109" s="74">
        <v>88.3961316</v>
      </c>
      <c r="K109" s="74">
        <v>-27.7000007629394</v>
      </c>
      <c r="L109" s="74">
        <v>5.0</v>
      </c>
      <c r="M109" s="74">
        <v>14.0</v>
      </c>
      <c r="N109" s="74">
        <v>141.0</v>
      </c>
      <c r="O109" s="74">
        <v>0.0</v>
      </c>
      <c r="P109" s="74">
        <v>0.0</v>
      </c>
      <c r="Q109" s="74">
        <v>0.0</v>
      </c>
      <c r="R109" s="74">
        <v>0.0</v>
      </c>
      <c r="S109" s="74">
        <v>1.0</v>
      </c>
      <c r="T109" s="74">
        <v>0.0</v>
      </c>
      <c r="U109" s="119"/>
      <c r="V109" s="119"/>
      <c r="W109" s="119"/>
      <c r="X109" s="119"/>
      <c r="Y109" s="74">
        <v>2005.0</v>
      </c>
      <c r="Z109" s="74">
        <v>2005.0</v>
      </c>
      <c r="AA109" s="74" t="s">
        <v>786</v>
      </c>
      <c r="AB109" s="74">
        <v>1.0</v>
      </c>
      <c r="AC109" s="74">
        <v>0.0</v>
      </c>
      <c r="AD109" s="74">
        <v>0.0</v>
      </c>
      <c r="AE109" s="74">
        <v>1.0</v>
      </c>
      <c r="AF109" s="74" t="s">
        <v>788</v>
      </c>
      <c r="AG109" s="74">
        <v>1.0</v>
      </c>
      <c r="AH109" s="74">
        <v>1.0</v>
      </c>
      <c r="AI109" s="74">
        <v>0.0</v>
      </c>
      <c r="AJ109" s="74">
        <v>0.0</v>
      </c>
      <c r="AK109" s="74">
        <v>0.0</v>
      </c>
      <c r="AL109" s="74">
        <v>0.0</v>
      </c>
      <c r="AM109" s="119"/>
      <c r="AN109" s="74">
        <v>5.0</v>
      </c>
      <c r="AO109" s="74">
        <v>0.0</v>
      </c>
      <c r="AP109" s="74">
        <v>0.0</v>
      </c>
      <c r="AQ109" s="74">
        <v>0.0</v>
      </c>
      <c r="AR109" s="74">
        <v>0.0</v>
      </c>
      <c r="AS109" s="74">
        <v>1.0</v>
      </c>
      <c r="AT109" s="74">
        <v>0.0</v>
      </c>
      <c r="AU109" s="74">
        <v>0.0</v>
      </c>
      <c r="AV109" s="119"/>
      <c r="AW109" s="119"/>
      <c r="AX109" s="119"/>
      <c r="AY109" s="119"/>
      <c r="AZ109" s="119"/>
      <c r="BA109" s="119"/>
      <c r="BB109" s="119"/>
      <c r="BC109" s="119"/>
      <c r="BD109" s="119"/>
      <c r="BE109" s="119"/>
      <c r="BF109" s="119"/>
      <c r="BG109" s="119"/>
      <c r="BH109" s="119"/>
      <c r="BI109" s="119"/>
      <c r="BJ109" s="119"/>
      <c r="BK109" s="119"/>
      <c r="BL109" s="119"/>
      <c r="BM109" s="119"/>
      <c r="BN109" s="119"/>
      <c r="BO109" s="119"/>
      <c r="BP109" s="119"/>
      <c r="BQ109" s="119"/>
      <c r="BR109" s="119"/>
      <c r="BS109" s="119"/>
      <c r="BT109" s="119"/>
      <c r="BU109" s="119"/>
      <c r="BV109" s="119"/>
      <c r="BW109" s="119"/>
      <c r="BX109" s="119"/>
      <c r="BY109" s="119"/>
      <c r="BZ109" s="119"/>
      <c r="CA109" s="119"/>
      <c r="CB109" s="119"/>
      <c r="CC109" s="119"/>
      <c r="CD109" s="119"/>
      <c r="CE109" s="119"/>
      <c r="CF109" s="119"/>
      <c r="CG109" s="119"/>
      <c r="CH109" s="119"/>
      <c r="CI109" s="119"/>
      <c r="CJ109" s="119"/>
      <c r="CK109" s="119"/>
      <c r="CL109" s="119"/>
      <c r="CM109" s="119"/>
      <c r="CN109" s="119"/>
      <c r="CO109" s="119"/>
      <c r="CP109" s="119"/>
      <c r="CQ109" s="119"/>
      <c r="CR109" s="119"/>
      <c r="CS109" s="119"/>
      <c r="CT109" s="119"/>
      <c r="CU109" s="119"/>
      <c r="CV109" s="119"/>
      <c r="CW109" s="119"/>
      <c r="CX109" s="119"/>
      <c r="CY109" s="119"/>
      <c r="CZ109" s="119"/>
      <c r="DA109" s="119"/>
      <c r="DB109" s="119"/>
      <c r="DC109" s="119"/>
      <c r="DD109" s="119"/>
      <c r="DE109" s="119"/>
      <c r="DF109" s="119"/>
      <c r="DG109" s="119"/>
      <c r="DH109" s="119"/>
      <c r="DI109" s="119"/>
      <c r="DJ109" s="119"/>
      <c r="DK109" s="119"/>
      <c r="DL109" s="119"/>
      <c r="DM109" s="119"/>
      <c r="DN109" s="119"/>
      <c r="DO109" s="119"/>
      <c r="DP109" s="74">
        <v>0.0</v>
      </c>
      <c r="DQ109" s="119"/>
      <c r="DR109" s="119"/>
      <c r="DS109" s="119"/>
      <c r="DT109" s="119"/>
      <c r="DU109" s="119"/>
      <c r="DV109" s="119"/>
      <c r="DW109" s="119"/>
      <c r="DX109" s="119"/>
      <c r="DY109" s="119"/>
      <c r="DZ109" s="119"/>
      <c r="EA109" s="119"/>
      <c r="EB109" s="119"/>
      <c r="EC109" s="119"/>
      <c r="ED109" s="119"/>
      <c r="EE109" s="119"/>
      <c r="EF109" s="74" t="s">
        <v>3149</v>
      </c>
      <c r="EG109" s="74" t="s">
        <v>2472</v>
      </c>
      <c r="EH109" s="74">
        <v>1.0</v>
      </c>
      <c r="EI109" s="74" t="s">
        <v>3950</v>
      </c>
      <c r="EJ109" s="120">
        <v>8179.0</v>
      </c>
      <c r="EK109" s="74" t="s">
        <v>4431</v>
      </c>
      <c r="EL109" s="74" t="s">
        <v>4432</v>
      </c>
      <c r="EM109" s="120">
        <v>108.0</v>
      </c>
    </row>
    <row r="110">
      <c r="A110" s="74" t="s">
        <v>4433</v>
      </c>
      <c r="B110" s="74" t="s">
        <v>4434</v>
      </c>
      <c r="C110" s="119"/>
      <c r="D110" s="119"/>
      <c r="E110" s="74">
        <v>3.5215509147374E14</v>
      </c>
      <c r="F110" s="74">
        <v>58.0</v>
      </c>
      <c r="G110" s="74">
        <v>2.0</v>
      </c>
      <c r="H110" s="74" t="s">
        <v>4435</v>
      </c>
      <c r="I110" s="74">
        <v>22.5518628</v>
      </c>
      <c r="J110" s="74">
        <v>88.3961998</v>
      </c>
      <c r="K110" s="74">
        <v>-54.7999992370605</v>
      </c>
      <c r="L110" s="74">
        <v>5.0</v>
      </c>
      <c r="M110" s="74">
        <v>14.0</v>
      </c>
      <c r="N110" s="74">
        <v>143.0</v>
      </c>
      <c r="O110" s="74">
        <v>0.0</v>
      </c>
      <c r="P110" s="74">
        <v>0.0</v>
      </c>
      <c r="Q110" s="74">
        <v>0.0</v>
      </c>
      <c r="R110" s="74">
        <v>1.0</v>
      </c>
      <c r="S110" s="74">
        <v>0.0</v>
      </c>
      <c r="T110" s="74">
        <v>0.0</v>
      </c>
      <c r="U110" s="119"/>
      <c r="V110" s="119"/>
      <c r="W110" s="119"/>
      <c r="X110" s="119"/>
      <c r="Y110" s="74">
        <v>2005.0</v>
      </c>
      <c r="Z110" s="74">
        <v>2005.0</v>
      </c>
      <c r="AA110" s="74" t="s">
        <v>4436</v>
      </c>
      <c r="AB110" s="74">
        <v>1.0</v>
      </c>
      <c r="AC110" s="74">
        <v>0.0</v>
      </c>
      <c r="AD110" s="74">
        <v>0.0</v>
      </c>
      <c r="AE110" s="74">
        <v>1.0</v>
      </c>
      <c r="AF110" s="119"/>
      <c r="AG110" s="119"/>
      <c r="AH110" s="119"/>
      <c r="AI110" s="119"/>
      <c r="AJ110" s="119"/>
      <c r="AK110" s="119"/>
      <c r="AL110" s="119"/>
      <c r="AM110" s="119"/>
      <c r="AN110" s="119"/>
      <c r="AO110" s="119"/>
      <c r="AP110" s="119"/>
      <c r="AQ110" s="119"/>
      <c r="AR110" s="119"/>
      <c r="AS110" s="119"/>
      <c r="AT110" s="119"/>
      <c r="AU110" s="119"/>
      <c r="AV110" s="119"/>
      <c r="AW110" s="119"/>
      <c r="AX110" s="119"/>
      <c r="AY110" s="119"/>
      <c r="AZ110" s="119"/>
      <c r="BA110" s="119"/>
      <c r="BB110" s="119"/>
      <c r="BC110" s="119"/>
      <c r="BD110" s="119"/>
      <c r="BE110" s="74" t="s">
        <v>789</v>
      </c>
      <c r="BF110" s="74">
        <v>1.0</v>
      </c>
      <c r="BG110" s="74">
        <v>1.0</v>
      </c>
      <c r="BH110" s="74">
        <v>0.0</v>
      </c>
      <c r="BI110" s="74">
        <v>0.0</v>
      </c>
      <c r="BJ110" s="74">
        <v>0.0</v>
      </c>
      <c r="BK110" s="119"/>
      <c r="BL110" s="74">
        <v>4.0</v>
      </c>
      <c r="BM110" s="74">
        <v>0.0</v>
      </c>
      <c r="BN110" s="74">
        <v>0.0</v>
      </c>
      <c r="BO110" s="74">
        <v>0.0</v>
      </c>
      <c r="BP110" s="74">
        <v>0.0</v>
      </c>
      <c r="BQ110" s="74">
        <v>0.0</v>
      </c>
      <c r="BR110" s="74">
        <v>1.0</v>
      </c>
      <c r="BS110" s="74">
        <v>0.0</v>
      </c>
      <c r="BT110" s="119"/>
      <c r="BU110" s="119"/>
      <c r="BV110" s="119"/>
      <c r="BW110" s="119"/>
      <c r="BX110" s="119"/>
      <c r="BY110" s="119"/>
      <c r="BZ110" s="119"/>
      <c r="CA110" s="119"/>
      <c r="CB110" s="119"/>
      <c r="CC110" s="119"/>
      <c r="CD110" s="119"/>
      <c r="CE110" s="119"/>
      <c r="CF110" s="119"/>
      <c r="CG110" s="119"/>
      <c r="CH110" s="119"/>
      <c r="CI110" s="119"/>
      <c r="CJ110" s="119"/>
      <c r="CK110" s="119"/>
      <c r="CL110" s="119"/>
      <c r="CM110" s="119"/>
      <c r="CN110" s="119"/>
      <c r="CO110" s="119"/>
      <c r="CP110" s="119"/>
      <c r="CQ110" s="119"/>
      <c r="CR110" s="119"/>
      <c r="CS110" s="119"/>
      <c r="CT110" s="119"/>
      <c r="CU110" s="119"/>
      <c r="CV110" s="119"/>
      <c r="CW110" s="119"/>
      <c r="CX110" s="119"/>
      <c r="CY110" s="119"/>
      <c r="CZ110" s="119"/>
      <c r="DA110" s="119"/>
      <c r="DB110" s="119"/>
      <c r="DC110" s="119"/>
      <c r="DD110" s="119"/>
      <c r="DE110" s="119"/>
      <c r="DF110" s="119"/>
      <c r="DG110" s="119"/>
      <c r="DH110" s="119"/>
      <c r="DI110" s="119"/>
      <c r="DJ110" s="119"/>
      <c r="DK110" s="119"/>
      <c r="DL110" s="119"/>
      <c r="DM110" s="119"/>
      <c r="DN110" s="119"/>
      <c r="DO110" s="119"/>
      <c r="DP110" s="74">
        <v>0.0</v>
      </c>
      <c r="DQ110" s="119"/>
      <c r="DR110" s="119"/>
      <c r="DS110" s="119"/>
      <c r="DT110" s="119"/>
      <c r="DU110" s="119"/>
      <c r="DV110" s="119"/>
      <c r="DW110" s="119"/>
      <c r="DX110" s="119"/>
      <c r="DY110" s="119"/>
      <c r="DZ110" s="119"/>
      <c r="EA110" s="119"/>
      <c r="EB110" s="119"/>
      <c r="EC110" s="119"/>
      <c r="ED110" s="119"/>
      <c r="EE110" s="119"/>
      <c r="EF110" s="74" t="s">
        <v>3149</v>
      </c>
      <c r="EG110" s="74" t="s">
        <v>2472</v>
      </c>
      <c r="EH110" s="74">
        <v>1.0</v>
      </c>
      <c r="EI110" s="74" t="s">
        <v>3950</v>
      </c>
      <c r="EJ110" s="120">
        <v>8180.0</v>
      </c>
      <c r="EK110" s="74" t="s">
        <v>4438</v>
      </c>
      <c r="EL110" s="74" t="s">
        <v>4439</v>
      </c>
      <c r="EM110" s="120">
        <v>109.0</v>
      </c>
    </row>
    <row r="111">
      <c r="A111" s="74" t="s">
        <v>4440</v>
      </c>
      <c r="B111" s="74" t="s">
        <v>4441</v>
      </c>
      <c r="C111" s="119"/>
      <c r="D111" s="119"/>
      <c r="E111" s="74">
        <v>3.5215509147374E14</v>
      </c>
      <c r="F111" s="74">
        <v>58.0</v>
      </c>
      <c r="G111" s="74">
        <v>2.0</v>
      </c>
      <c r="H111" s="74" t="s">
        <v>4442</v>
      </c>
      <c r="I111" s="74">
        <v>22.5518327</v>
      </c>
      <c r="J111" s="74">
        <v>88.3961716</v>
      </c>
      <c r="K111" s="74">
        <v>-47.7999992370605</v>
      </c>
      <c r="L111" s="74">
        <v>5.0</v>
      </c>
      <c r="M111" s="74">
        <v>14.0</v>
      </c>
      <c r="N111" s="74">
        <v>144.0</v>
      </c>
      <c r="O111" s="74">
        <v>1.0</v>
      </c>
      <c r="P111" s="74">
        <v>0.0</v>
      </c>
      <c r="Q111" s="74">
        <v>0.0</v>
      </c>
      <c r="R111" s="74">
        <v>0.0</v>
      </c>
      <c r="S111" s="74">
        <v>0.0</v>
      </c>
      <c r="T111" s="74">
        <v>0.0</v>
      </c>
      <c r="U111" s="119"/>
      <c r="V111" s="119"/>
      <c r="W111" s="119"/>
      <c r="X111" s="119"/>
      <c r="Y111" s="74">
        <v>2005.0</v>
      </c>
      <c r="Z111" s="74">
        <v>2005.0</v>
      </c>
      <c r="AA111" s="74" t="s">
        <v>4443</v>
      </c>
      <c r="AB111" s="74">
        <v>1.0</v>
      </c>
      <c r="AC111" s="74">
        <v>0.0</v>
      </c>
      <c r="AD111" s="74">
        <v>0.0</v>
      </c>
      <c r="AE111" s="74">
        <v>1.0</v>
      </c>
      <c r="AF111" s="119"/>
      <c r="AG111" s="119"/>
      <c r="AH111" s="119"/>
      <c r="AI111" s="119"/>
      <c r="AJ111" s="119"/>
      <c r="AK111" s="119"/>
      <c r="AL111" s="119"/>
      <c r="AM111" s="119"/>
      <c r="AN111" s="119"/>
      <c r="AO111" s="119"/>
      <c r="AP111" s="119"/>
      <c r="AQ111" s="119"/>
      <c r="AR111" s="119"/>
      <c r="AS111" s="119"/>
      <c r="AT111" s="119"/>
      <c r="AU111" s="119"/>
      <c r="AV111" s="119"/>
      <c r="AW111" s="119"/>
      <c r="AX111" s="119"/>
      <c r="AY111" s="119"/>
      <c r="AZ111" s="119"/>
      <c r="BA111" s="119"/>
      <c r="BB111" s="119"/>
      <c r="BC111" s="119"/>
      <c r="BD111" s="119"/>
      <c r="BE111" s="119"/>
      <c r="BF111" s="119"/>
      <c r="BG111" s="119"/>
      <c r="BH111" s="119"/>
      <c r="BI111" s="119"/>
      <c r="BJ111" s="119"/>
      <c r="BK111" s="119"/>
      <c r="BL111" s="119"/>
      <c r="BM111" s="119"/>
      <c r="BN111" s="119"/>
      <c r="BO111" s="119"/>
      <c r="BP111" s="119"/>
      <c r="BQ111" s="119"/>
      <c r="BR111" s="119"/>
      <c r="BS111" s="119"/>
      <c r="BT111" s="119"/>
      <c r="BU111" s="74" t="s">
        <v>790</v>
      </c>
      <c r="BV111" s="74">
        <v>4.0</v>
      </c>
      <c r="BW111" s="119"/>
      <c r="BX111" s="74">
        <v>1.0</v>
      </c>
      <c r="BY111" s="74">
        <v>1.0</v>
      </c>
      <c r="BZ111" s="119"/>
      <c r="CA111" s="119"/>
      <c r="CB111" s="119"/>
      <c r="CC111" s="119"/>
      <c r="CD111" s="119"/>
      <c r="CE111" s="119"/>
      <c r="CF111" s="119"/>
      <c r="CG111" s="119"/>
      <c r="CH111" s="119"/>
      <c r="CI111" s="119"/>
      <c r="CJ111" s="119"/>
      <c r="CK111" s="119"/>
      <c r="CL111" s="119"/>
      <c r="CM111" s="119"/>
      <c r="CN111" s="119"/>
      <c r="CO111" s="119"/>
      <c r="CP111" s="119"/>
      <c r="CQ111" s="119"/>
      <c r="CR111" s="119"/>
      <c r="CS111" s="119"/>
      <c r="CT111" s="119"/>
      <c r="CU111" s="119"/>
      <c r="CV111" s="119"/>
      <c r="CW111" s="119"/>
      <c r="CX111" s="119"/>
      <c r="CY111" s="119"/>
      <c r="CZ111" s="119"/>
      <c r="DA111" s="119"/>
      <c r="DB111" s="119"/>
      <c r="DC111" s="119"/>
      <c r="DD111" s="119"/>
      <c r="DE111" s="119"/>
      <c r="DF111" s="119"/>
      <c r="DG111" s="119"/>
      <c r="DH111" s="119"/>
      <c r="DI111" s="119"/>
      <c r="DJ111" s="119"/>
      <c r="DK111" s="119"/>
      <c r="DL111" s="119"/>
      <c r="DM111" s="119"/>
      <c r="DN111" s="119"/>
      <c r="DO111" s="119"/>
      <c r="DP111" s="74">
        <v>0.0</v>
      </c>
      <c r="DQ111" s="119"/>
      <c r="DR111" s="119"/>
      <c r="DS111" s="119"/>
      <c r="DT111" s="119"/>
      <c r="DU111" s="119"/>
      <c r="DV111" s="119"/>
      <c r="DW111" s="119"/>
      <c r="DX111" s="119"/>
      <c r="DY111" s="119"/>
      <c r="DZ111" s="119"/>
      <c r="EA111" s="119"/>
      <c r="EB111" s="119"/>
      <c r="EC111" s="119"/>
      <c r="ED111" s="119"/>
      <c r="EE111" s="119"/>
      <c r="EF111" s="74" t="s">
        <v>3149</v>
      </c>
      <c r="EG111" s="74" t="s">
        <v>2472</v>
      </c>
      <c r="EH111" s="74">
        <v>1.0</v>
      </c>
      <c r="EI111" s="74" t="s">
        <v>3950</v>
      </c>
      <c r="EJ111" s="120">
        <v>8181.0</v>
      </c>
      <c r="EK111" s="74" t="s">
        <v>4445</v>
      </c>
      <c r="EL111" s="74" t="s">
        <v>4446</v>
      </c>
      <c r="EM111" s="120">
        <v>110.0</v>
      </c>
    </row>
    <row r="112">
      <c r="A112" s="74" t="s">
        <v>4447</v>
      </c>
      <c r="B112" s="74" t="s">
        <v>4448</v>
      </c>
      <c r="C112" s="119"/>
      <c r="D112" s="119"/>
      <c r="E112" s="74">
        <v>3.5215509147374E14</v>
      </c>
      <c r="F112" s="74">
        <v>58.0</v>
      </c>
      <c r="G112" s="74">
        <v>2.0</v>
      </c>
      <c r="H112" s="74" t="s">
        <v>4449</v>
      </c>
      <c r="I112" s="74">
        <v>22.5518603</v>
      </c>
      <c r="J112" s="74">
        <v>88.3961433</v>
      </c>
      <c r="K112" s="74">
        <v>-52.099998474121</v>
      </c>
      <c r="L112" s="74">
        <v>5.0</v>
      </c>
      <c r="M112" s="74">
        <v>14.0</v>
      </c>
      <c r="N112" s="74">
        <v>142.0</v>
      </c>
      <c r="O112" s="74">
        <v>0.0</v>
      </c>
      <c r="P112" s="74">
        <v>0.0</v>
      </c>
      <c r="Q112" s="74">
        <v>1.0</v>
      </c>
      <c r="R112" s="74">
        <v>0.0</v>
      </c>
      <c r="S112" s="74">
        <v>0.0</v>
      </c>
      <c r="T112" s="74">
        <v>0.0</v>
      </c>
      <c r="U112" s="119"/>
      <c r="V112" s="119"/>
      <c r="W112" s="119"/>
      <c r="X112" s="119"/>
      <c r="Y112" s="74">
        <v>2005.0</v>
      </c>
      <c r="Z112" s="74">
        <v>2005.0</v>
      </c>
      <c r="AA112" s="74" t="s">
        <v>4450</v>
      </c>
      <c r="AB112" s="74">
        <v>1.0</v>
      </c>
      <c r="AC112" s="74">
        <v>0.0</v>
      </c>
      <c r="AD112" s="74">
        <v>0.0</v>
      </c>
      <c r="AE112" s="74">
        <v>1.0</v>
      </c>
      <c r="AF112" s="119"/>
      <c r="AG112" s="119"/>
      <c r="AH112" s="119"/>
      <c r="AI112" s="119"/>
      <c r="AJ112" s="119"/>
      <c r="AK112" s="119"/>
      <c r="AL112" s="119"/>
      <c r="AM112" s="119"/>
      <c r="AN112" s="119"/>
      <c r="AO112" s="119"/>
      <c r="AP112" s="119"/>
      <c r="AQ112" s="119"/>
      <c r="AR112" s="119"/>
      <c r="AS112" s="119"/>
      <c r="AT112" s="119"/>
      <c r="AU112" s="119"/>
      <c r="AV112" s="119"/>
      <c r="AW112" s="74" t="s">
        <v>792</v>
      </c>
      <c r="AX112" s="74">
        <v>1.0</v>
      </c>
      <c r="AY112" s="74">
        <v>1.0</v>
      </c>
      <c r="AZ112" s="74">
        <v>0.0</v>
      </c>
      <c r="BA112" s="74">
        <v>0.0</v>
      </c>
      <c r="BB112" s="74">
        <v>0.0</v>
      </c>
      <c r="BC112" s="74">
        <v>0.0</v>
      </c>
      <c r="BD112" s="119"/>
      <c r="BE112" s="119"/>
      <c r="BF112" s="119"/>
      <c r="BG112" s="119"/>
      <c r="BH112" s="119"/>
      <c r="BI112" s="119"/>
      <c r="BJ112" s="119"/>
      <c r="BK112" s="119"/>
      <c r="BL112" s="119"/>
      <c r="BM112" s="119"/>
      <c r="BN112" s="119"/>
      <c r="BO112" s="119"/>
      <c r="BP112" s="119"/>
      <c r="BQ112" s="119"/>
      <c r="BR112" s="119"/>
      <c r="BS112" s="119"/>
      <c r="BT112" s="119"/>
      <c r="BU112" s="119"/>
      <c r="BV112" s="119"/>
      <c r="BW112" s="119"/>
      <c r="BX112" s="119"/>
      <c r="BY112" s="119"/>
      <c r="BZ112" s="119"/>
      <c r="CA112" s="119"/>
      <c r="CB112" s="119"/>
      <c r="CC112" s="119"/>
      <c r="CD112" s="119"/>
      <c r="CE112" s="119"/>
      <c r="CF112" s="119"/>
      <c r="CG112" s="119"/>
      <c r="CH112" s="119"/>
      <c r="CI112" s="119"/>
      <c r="CJ112" s="119"/>
      <c r="CK112" s="119"/>
      <c r="CL112" s="119"/>
      <c r="CM112" s="119"/>
      <c r="CN112" s="119"/>
      <c r="CO112" s="119"/>
      <c r="CP112" s="119"/>
      <c r="CQ112" s="119"/>
      <c r="CR112" s="119"/>
      <c r="CS112" s="119"/>
      <c r="CT112" s="119"/>
      <c r="CU112" s="119"/>
      <c r="CV112" s="119"/>
      <c r="CW112" s="119"/>
      <c r="CX112" s="119"/>
      <c r="CY112" s="119"/>
      <c r="CZ112" s="119"/>
      <c r="DA112" s="119"/>
      <c r="DB112" s="119"/>
      <c r="DC112" s="119"/>
      <c r="DD112" s="119"/>
      <c r="DE112" s="119"/>
      <c r="DF112" s="119"/>
      <c r="DG112" s="119"/>
      <c r="DH112" s="119"/>
      <c r="DI112" s="119"/>
      <c r="DJ112" s="119"/>
      <c r="DK112" s="119"/>
      <c r="DL112" s="119"/>
      <c r="DM112" s="119"/>
      <c r="DN112" s="119"/>
      <c r="DO112" s="119"/>
      <c r="DP112" s="74">
        <v>0.0</v>
      </c>
      <c r="DQ112" s="119"/>
      <c r="DR112" s="119"/>
      <c r="DS112" s="119"/>
      <c r="DT112" s="119"/>
      <c r="DU112" s="119"/>
      <c r="DV112" s="119"/>
      <c r="DW112" s="119"/>
      <c r="DX112" s="119"/>
      <c r="DY112" s="119"/>
      <c r="DZ112" s="119"/>
      <c r="EA112" s="119"/>
      <c r="EB112" s="119"/>
      <c r="EC112" s="119"/>
      <c r="ED112" s="119"/>
      <c r="EE112" s="119"/>
      <c r="EF112" s="74" t="s">
        <v>3149</v>
      </c>
      <c r="EG112" s="74" t="s">
        <v>2472</v>
      </c>
      <c r="EH112" s="74">
        <v>1.0</v>
      </c>
      <c r="EI112" s="74" t="s">
        <v>3950</v>
      </c>
      <c r="EJ112" s="120">
        <v>8182.0</v>
      </c>
      <c r="EK112" s="74" t="s">
        <v>4453</v>
      </c>
      <c r="EL112" s="74" t="s">
        <v>4454</v>
      </c>
      <c r="EM112" s="120">
        <v>111.0</v>
      </c>
    </row>
    <row r="113">
      <c r="A113" s="74" t="s">
        <v>4455</v>
      </c>
      <c r="B113" s="74" t="s">
        <v>4456</v>
      </c>
      <c r="C113" s="119"/>
      <c r="D113" s="119"/>
      <c r="E113" s="74">
        <v>3.5215509147374E14</v>
      </c>
      <c r="F113" s="74">
        <v>58.0</v>
      </c>
      <c r="G113" s="74">
        <v>2.0</v>
      </c>
      <c r="H113" s="74" t="s">
        <v>4457</v>
      </c>
      <c r="I113" s="74">
        <v>22.5518223</v>
      </c>
      <c r="J113" s="74">
        <v>88.3961537</v>
      </c>
      <c r="K113" s="74">
        <v>-42.4000015258789</v>
      </c>
      <c r="L113" s="74">
        <v>5.0</v>
      </c>
      <c r="M113" s="74">
        <v>14.0</v>
      </c>
      <c r="N113" s="74">
        <v>145.0</v>
      </c>
      <c r="O113" s="74">
        <v>0.0</v>
      </c>
      <c r="P113" s="74">
        <v>1.0</v>
      </c>
      <c r="Q113" s="74">
        <v>0.0</v>
      </c>
      <c r="R113" s="74">
        <v>0.0</v>
      </c>
      <c r="S113" s="74">
        <v>0.0</v>
      </c>
      <c r="T113" s="74">
        <v>0.0</v>
      </c>
      <c r="U113" s="119"/>
      <c r="V113" s="119"/>
      <c r="W113" s="119"/>
      <c r="X113" s="119"/>
      <c r="Y113" s="74">
        <v>2005.0</v>
      </c>
      <c r="Z113" s="74">
        <v>2005.0</v>
      </c>
      <c r="AA113" s="74" t="s">
        <v>4458</v>
      </c>
      <c r="AB113" s="74">
        <v>1.0</v>
      </c>
      <c r="AC113" s="74">
        <v>0.0</v>
      </c>
      <c r="AD113" s="74">
        <v>0.0</v>
      </c>
      <c r="AE113" s="74">
        <v>1.0</v>
      </c>
      <c r="AF113" s="119"/>
      <c r="AG113" s="119"/>
      <c r="AH113" s="119"/>
      <c r="AI113" s="119"/>
      <c r="AJ113" s="119"/>
      <c r="AK113" s="119"/>
      <c r="AL113" s="119"/>
      <c r="AM113" s="119"/>
      <c r="AN113" s="119"/>
      <c r="AO113" s="119"/>
      <c r="AP113" s="119"/>
      <c r="AQ113" s="119"/>
      <c r="AR113" s="119"/>
      <c r="AS113" s="119"/>
      <c r="AT113" s="119"/>
      <c r="AU113" s="119"/>
      <c r="AV113" s="119"/>
      <c r="AW113" s="119"/>
      <c r="AX113" s="119"/>
      <c r="AY113" s="119"/>
      <c r="AZ113" s="119"/>
      <c r="BA113" s="119"/>
      <c r="BB113" s="119"/>
      <c r="BC113" s="119"/>
      <c r="BD113" s="119"/>
      <c r="BE113" s="119"/>
      <c r="BF113" s="119"/>
      <c r="BG113" s="119"/>
      <c r="BH113" s="119"/>
      <c r="BI113" s="119"/>
      <c r="BJ113" s="119"/>
      <c r="BK113" s="119"/>
      <c r="BL113" s="119"/>
      <c r="BM113" s="119"/>
      <c r="BN113" s="119"/>
      <c r="BO113" s="119"/>
      <c r="BP113" s="119"/>
      <c r="BQ113" s="119"/>
      <c r="BR113" s="119"/>
      <c r="BS113" s="119"/>
      <c r="BT113" s="119"/>
      <c r="BU113" s="119"/>
      <c r="BV113" s="119"/>
      <c r="BW113" s="119"/>
      <c r="BX113" s="119"/>
      <c r="BY113" s="119"/>
      <c r="BZ113" s="119"/>
      <c r="CA113" s="119"/>
      <c r="CB113" s="119"/>
      <c r="CC113" s="74" t="s">
        <v>793</v>
      </c>
      <c r="CD113" s="74">
        <v>4.0</v>
      </c>
      <c r="CE113" s="74">
        <v>0.0</v>
      </c>
      <c r="CF113" s="74">
        <v>0.0</v>
      </c>
      <c r="CG113" s="74">
        <v>0.0</v>
      </c>
      <c r="CH113" s="74">
        <v>0.0</v>
      </c>
      <c r="CI113" s="74">
        <v>0.0</v>
      </c>
      <c r="CJ113" s="74">
        <v>1.0</v>
      </c>
      <c r="CK113" s="119"/>
      <c r="CL113" s="74">
        <v>3.0</v>
      </c>
      <c r="CM113" s="74">
        <v>0.0</v>
      </c>
      <c r="CN113" s="74">
        <v>1.0</v>
      </c>
      <c r="CO113" s="74">
        <v>0.0</v>
      </c>
      <c r="CP113" s="74">
        <v>0.0</v>
      </c>
      <c r="CQ113" s="119"/>
      <c r="CR113" s="119"/>
      <c r="CS113" s="119"/>
      <c r="CT113" s="119"/>
      <c r="CU113" s="119"/>
      <c r="CV113" s="119"/>
      <c r="CW113" s="119"/>
      <c r="CX113" s="119"/>
      <c r="CY113" s="119"/>
      <c r="CZ113" s="119"/>
      <c r="DA113" s="119"/>
      <c r="DB113" s="119"/>
      <c r="DC113" s="119"/>
      <c r="DD113" s="119"/>
      <c r="DE113" s="119"/>
      <c r="DF113" s="119"/>
      <c r="DG113" s="119"/>
      <c r="DH113" s="119"/>
      <c r="DI113" s="119"/>
      <c r="DJ113" s="119"/>
      <c r="DK113" s="119"/>
      <c r="DL113" s="119"/>
      <c r="DM113" s="119"/>
      <c r="DN113" s="119"/>
      <c r="DO113" s="119"/>
      <c r="DP113" s="74">
        <v>0.0</v>
      </c>
      <c r="DQ113" s="119"/>
      <c r="DR113" s="119"/>
      <c r="DS113" s="119"/>
      <c r="DT113" s="119"/>
      <c r="DU113" s="119"/>
      <c r="DV113" s="119"/>
      <c r="DW113" s="119"/>
      <c r="DX113" s="119"/>
      <c r="DY113" s="119"/>
      <c r="DZ113" s="119"/>
      <c r="EA113" s="119"/>
      <c r="EB113" s="119"/>
      <c r="EC113" s="119"/>
      <c r="ED113" s="119"/>
      <c r="EE113" s="119"/>
      <c r="EF113" s="74" t="s">
        <v>3149</v>
      </c>
      <c r="EG113" s="74" t="s">
        <v>2472</v>
      </c>
      <c r="EH113" s="74">
        <v>1.0</v>
      </c>
      <c r="EI113" s="74" t="s">
        <v>3950</v>
      </c>
      <c r="EJ113" s="120">
        <v>8183.0</v>
      </c>
      <c r="EK113" s="74" t="s">
        <v>4460</v>
      </c>
      <c r="EL113" s="74" t="s">
        <v>4461</v>
      </c>
      <c r="EM113" s="120">
        <v>112.0</v>
      </c>
    </row>
    <row r="114">
      <c r="A114" s="74" t="s">
        <v>4462</v>
      </c>
      <c r="B114" s="74" t="s">
        <v>4463</v>
      </c>
      <c r="C114" s="119"/>
      <c r="D114" s="119"/>
      <c r="E114" s="74">
        <v>3.5215509147374E14</v>
      </c>
      <c r="F114" s="74">
        <v>58.0</v>
      </c>
      <c r="G114" s="74">
        <v>2.0</v>
      </c>
      <c r="H114" s="74" t="s">
        <v>4464</v>
      </c>
      <c r="I114" s="74">
        <v>22.5518273</v>
      </c>
      <c r="J114" s="74">
        <v>88.3961057</v>
      </c>
      <c r="K114" s="74">
        <v>-54.2999992370605</v>
      </c>
      <c r="L114" s="74">
        <v>5.0</v>
      </c>
      <c r="M114" s="74">
        <v>14.0</v>
      </c>
      <c r="N114" s="74">
        <v>149.0</v>
      </c>
      <c r="O114" s="74">
        <v>0.0</v>
      </c>
      <c r="P114" s="74">
        <v>0.0</v>
      </c>
      <c r="Q114" s="74">
        <v>0.0</v>
      </c>
      <c r="R114" s="74">
        <v>0.0</v>
      </c>
      <c r="S114" s="74">
        <v>0.0</v>
      </c>
      <c r="T114" s="74">
        <v>1.0</v>
      </c>
      <c r="U114" s="119"/>
      <c r="V114" s="119"/>
      <c r="W114" s="119"/>
      <c r="X114" s="119"/>
      <c r="Y114" s="74">
        <v>2005.0</v>
      </c>
      <c r="Z114" s="74">
        <v>2005.0</v>
      </c>
      <c r="AA114" s="74" t="s">
        <v>4465</v>
      </c>
      <c r="AB114" s="74">
        <v>1.0</v>
      </c>
      <c r="AC114" s="74">
        <v>0.0</v>
      </c>
      <c r="AD114" s="74">
        <v>0.0</v>
      </c>
      <c r="AE114" s="74">
        <v>1.0</v>
      </c>
      <c r="AF114" s="119"/>
      <c r="AG114" s="119"/>
      <c r="AH114" s="119"/>
      <c r="AI114" s="119"/>
      <c r="AJ114" s="119"/>
      <c r="AK114" s="119"/>
      <c r="AL114" s="119"/>
      <c r="AM114" s="119"/>
      <c r="AN114" s="119"/>
      <c r="AO114" s="119"/>
      <c r="AP114" s="119"/>
      <c r="AQ114" s="119"/>
      <c r="AR114" s="119"/>
      <c r="AS114" s="119"/>
      <c r="AT114" s="119"/>
      <c r="AU114" s="119"/>
      <c r="AV114" s="119"/>
      <c r="AW114" s="119"/>
      <c r="AX114" s="119"/>
      <c r="AY114" s="119"/>
      <c r="AZ114" s="119"/>
      <c r="BA114" s="119"/>
      <c r="BB114" s="119"/>
      <c r="BC114" s="119"/>
      <c r="BD114" s="119"/>
      <c r="BE114" s="119"/>
      <c r="BF114" s="119"/>
      <c r="BG114" s="119"/>
      <c r="BH114" s="119"/>
      <c r="BI114" s="119"/>
      <c r="BJ114" s="119"/>
      <c r="BK114" s="119"/>
      <c r="BL114" s="119"/>
      <c r="BM114" s="119"/>
      <c r="BN114" s="119"/>
      <c r="BO114" s="119"/>
      <c r="BP114" s="119"/>
      <c r="BQ114" s="119"/>
      <c r="BR114" s="119"/>
      <c r="BS114" s="119"/>
      <c r="BT114" s="119"/>
      <c r="BU114" s="119"/>
      <c r="BV114" s="119"/>
      <c r="BW114" s="119"/>
      <c r="BX114" s="119"/>
      <c r="BY114" s="119"/>
      <c r="BZ114" s="119"/>
      <c r="CA114" s="119"/>
      <c r="CB114" s="119"/>
      <c r="CC114" s="119"/>
      <c r="CD114" s="119"/>
      <c r="CE114" s="119"/>
      <c r="CF114" s="119"/>
      <c r="CG114" s="119"/>
      <c r="CH114" s="119"/>
      <c r="CI114" s="119"/>
      <c r="CJ114" s="119"/>
      <c r="CK114" s="119"/>
      <c r="CL114" s="119"/>
      <c r="CM114" s="119"/>
      <c r="CN114" s="119"/>
      <c r="CO114" s="119"/>
      <c r="CP114" s="119"/>
      <c r="CQ114" s="119"/>
      <c r="CR114" s="119"/>
      <c r="CS114" s="119"/>
      <c r="CT114" s="119"/>
      <c r="CU114" s="119"/>
      <c r="CV114" s="119"/>
      <c r="CW114" s="119"/>
      <c r="CX114" s="119"/>
      <c r="CY114" s="119"/>
      <c r="CZ114" s="119"/>
      <c r="DA114" s="119"/>
      <c r="DB114" s="119"/>
      <c r="DC114" s="119"/>
      <c r="DD114" s="119"/>
      <c r="DE114" s="119"/>
      <c r="DF114" s="119"/>
      <c r="DG114" s="119"/>
      <c r="DH114" s="119"/>
      <c r="DI114" s="119"/>
      <c r="DJ114" s="119"/>
      <c r="DK114" s="119"/>
      <c r="DL114" s="119"/>
      <c r="DM114" s="119"/>
      <c r="DN114" s="119"/>
      <c r="DO114" s="119"/>
      <c r="DP114" s="74">
        <v>0.0</v>
      </c>
      <c r="DQ114" s="119"/>
      <c r="DR114" s="119"/>
      <c r="DS114" s="119"/>
      <c r="DT114" s="119"/>
      <c r="DU114" s="119"/>
      <c r="DV114" s="119"/>
      <c r="DW114" s="119"/>
      <c r="DX114" s="119"/>
      <c r="DY114" s="119"/>
      <c r="DZ114" s="119"/>
      <c r="EA114" s="119"/>
      <c r="EB114" s="119"/>
      <c r="EC114" s="119"/>
      <c r="ED114" s="119"/>
      <c r="EE114" s="119"/>
      <c r="EF114" s="74" t="s">
        <v>3149</v>
      </c>
      <c r="EG114" s="74" t="s">
        <v>2472</v>
      </c>
      <c r="EH114" s="74">
        <v>1.0</v>
      </c>
      <c r="EI114" s="74" t="s">
        <v>3950</v>
      </c>
      <c r="EJ114" s="120">
        <v>8184.0</v>
      </c>
      <c r="EK114" s="74" t="s">
        <v>4467</v>
      </c>
      <c r="EL114" s="74" t="s">
        <v>4468</v>
      </c>
      <c r="EM114" s="120">
        <v>113.0</v>
      </c>
    </row>
    <row r="115">
      <c r="A115" s="50" t="s">
        <v>796</v>
      </c>
      <c r="B115" s="50" t="s">
        <v>4470</v>
      </c>
      <c r="C115" s="116"/>
      <c r="D115" s="116"/>
      <c r="E115" s="50">
        <v>3.5215509147374E14</v>
      </c>
      <c r="F115" s="50">
        <v>58.0</v>
      </c>
      <c r="G115" s="50">
        <v>2.0</v>
      </c>
      <c r="H115" s="50" t="s">
        <v>4471</v>
      </c>
      <c r="I115" s="50">
        <v>22.5511508</v>
      </c>
      <c r="J115" s="50">
        <v>88.39654</v>
      </c>
      <c r="K115" s="50">
        <v>-63.599998474121</v>
      </c>
      <c r="L115" s="50">
        <v>5.0</v>
      </c>
      <c r="M115" s="50">
        <v>14.0</v>
      </c>
      <c r="N115" s="50">
        <v>141.0</v>
      </c>
      <c r="O115" s="50">
        <v>0.0</v>
      </c>
      <c r="P115" s="50">
        <v>0.0</v>
      </c>
      <c r="Q115" s="50">
        <v>0.0</v>
      </c>
      <c r="R115" s="50">
        <v>0.0</v>
      </c>
      <c r="S115" s="50">
        <v>1.0</v>
      </c>
      <c r="T115" s="50">
        <v>0.0</v>
      </c>
      <c r="U115" s="116"/>
      <c r="V115" s="116"/>
      <c r="W115" s="116"/>
      <c r="X115" s="116"/>
      <c r="Y115" s="50">
        <v>2038.0</v>
      </c>
      <c r="Z115" s="50">
        <v>2038.0</v>
      </c>
      <c r="AA115" s="50" t="s">
        <v>4472</v>
      </c>
      <c r="AB115" s="50">
        <v>1.0</v>
      </c>
      <c r="AC115" s="50">
        <v>0.0</v>
      </c>
      <c r="AD115" s="50">
        <v>1.0</v>
      </c>
      <c r="AE115" s="116"/>
      <c r="AF115" s="50" t="s">
        <v>797</v>
      </c>
      <c r="AG115" s="122">
        <v>43833.0</v>
      </c>
      <c r="AH115" s="50">
        <v>1.0</v>
      </c>
      <c r="AI115" s="50">
        <v>1.0</v>
      </c>
      <c r="AJ115" s="50">
        <v>0.0</v>
      </c>
      <c r="AK115" s="50">
        <v>0.0</v>
      </c>
      <c r="AL115" s="50">
        <v>0.0</v>
      </c>
      <c r="AM115" s="116"/>
      <c r="AN115" s="122">
        <v>43926.0</v>
      </c>
      <c r="AO115" s="50">
        <v>0.0</v>
      </c>
      <c r="AP115" s="50">
        <v>0.0</v>
      </c>
      <c r="AQ115" s="50">
        <v>0.0</v>
      </c>
      <c r="AR115" s="50">
        <v>0.0</v>
      </c>
      <c r="AS115" s="50">
        <v>1.0</v>
      </c>
      <c r="AT115" s="50">
        <v>1.0</v>
      </c>
      <c r="AU115" s="50">
        <v>0.0</v>
      </c>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116"/>
      <c r="CD115" s="116"/>
      <c r="CE115" s="116"/>
      <c r="CF115" s="116"/>
      <c r="CG115" s="116"/>
      <c r="CH115" s="116"/>
      <c r="CI115" s="116"/>
      <c r="CJ115" s="116"/>
      <c r="CK115" s="116"/>
      <c r="CL115" s="116"/>
      <c r="CM115" s="116"/>
      <c r="CN115" s="116"/>
      <c r="CO115" s="116"/>
      <c r="CP115" s="116"/>
      <c r="CQ115" s="116"/>
      <c r="CR115" s="116"/>
      <c r="CS115" s="116"/>
      <c r="CT115" s="116"/>
      <c r="CU115" s="116"/>
      <c r="CV115" s="116"/>
      <c r="CW115" s="116"/>
      <c r="CX115" s="116"/>
      <c r="CY115" s="116"/>
      <c r="CZ115" s="116"/>
      <c r="DA115" s="116"/>
      <c r="DB115" s="116"/>
      <c r="DC115" s="116"/>
      <c r="DD115" s="116"/>
      <c r="DE115" s="116"/>
      <c r="DF115" s="116"/>
      <c r="DG115" s="116"/>
      <c r="DH115" s="116"/>
      <c r="DI115" s="116"/>
      <c r="DJ115" s="116"/>
      <c r="DK115" s="116"/>
      <c r="DL115" s="116"/>
      <c r="DM115" s="116"/>
      <c r="DN115" s="116"/>
      <c r="DO115" s="116"/>
      <c r="DP115" s="50">
        <v>0.0</v>
      </c>
      <c r="DQ115" s="116"/>
      <c r="DR115" s="116"/>
      <c r="DS115" s="116"/>
      <c r="DT115" s="116"/>
      <c r="DU115" s="116"/>
      <c r="DV115" s="116"/>
      <c r="DW115" s="116"/>
      <c r="DX115" s="116"/>
      <c r="DY115" s="116"/>
      <c r="DZ115" s="116"/>
      <c r="EA115" s="116"/>
      <c r="EB115" s="116"/>
      <c r="EC115" s="116"/>
      <c r="ED115" s="116"/>
      <c r="EE115" s="116"/>
      <c r="EF115" s="50" t="s">
        <v>3149</v>
      </c>
      <c r="EG115" s="50" t="s">
        <v>2472</v>
      </c>
      <c r="EH115" s="50">
        <v>1.0</v>
      </c>
      <c r="EI115" s="50" t="s">
        <v>3950</v>
      </c>
      <c r="EJ115" s="117">
        <v>8393.0</v>
      </c>
      <c r="EK115" s="50" t="s">
        <v>4474</v>
      </c>
      <c r="EL115" s="50" t="s">
        <v>4475</v>
      </c>
      <c r="EM115" s="117">
        <v>114.0</v>
      </c>
    </row>
    <row r="116">
      <c r="A116" s="50" t="s">
        <v>799</v>
      </c>
      <c r="B116" s="50" t="s">
        <v>4476</v>
      </c>
      <c r="C116" s="116"/>
      <c r="D116" s="116"/>
      <c r="E116" s="50">
        <v>3.5215509147374E14</v>
      </c>
      <c r="F116" s="50">
        <v>58.0</v>
      </c>
      <c r="G116" s="50">
        <v>2.0</v>
      </c>
      <c r="H116" s="50" t="s">
        <v>4477</v>
      </c>
      <c r="I116" s="50">
        <v>22.5511749</v>
      </c>
      <c r="J116" s="50">
        <v>88.3963909</v>
      </c>
      <c r="K116" s="50">
        <v>-76.9000015258789</v>
      </c>
      <c r="L116" s="50">
        <v>5.0</v>
      </c>
      <c r="M116" s="50">
        <v>14.0</v>
      </c>
      <c r="N116" s="50">
        <v>143.0</v>
      </c>
      <c r="O116" s="50">
        <v>0.0</v>
      </c>
      <c r="P116" s="50">
        <v>0.0</v>
      </c>
      <c r="Q116" s="50">
        <v>0.0</v>
      </c>
      <c r="R116" s="50">
        <v>1.0</v>
      </c>
      <c r="S116" s="50">
        <v>0.0</v>
      </c>
      <c r="T116" s="50">
        <v>0.0</v>
      </c>
      <c r="U116" s="116"/>
      <c r="V116" s="116"/>
      <c r="W116" s="116"/>
      <c r="X116" s="116"/>
      <c r="Y116" s="50">
        <v>2038.0</v>
      </c>
      <c r="Z116" s="50">
        <v>2038.0</v>
      </c>
      <c r="AA116" s="50" t="s">
        <v>4478</v>
      </c>
      <c r="AB116" s="50">
        <v>1.0</v>
      </c>
      <c r="AC116" s="50">
        <v>0.0</v>
      </c>
      <c r="AD116" s="50">
        <v>1.0</v>
      </c>
      <c r="AE116" s="116"/>
      <c r="AF116" s="116"/>
      <c r="AG116" s="116"/>
      <c r="AH116" s="116"/>
      <c r="AI116" s="116"/>
      <c r="AJ116" s="116"/>
      <c r="AK116" s="116"/>
      <c r="AL116" s="116"/>
      <c r="AM116" s="116"/>
      <c r="AN116" s="116"/>
      <c r="AO116" s="116"/>
      <c r="AP116" s="116"/>
      <c r="AQ116" s="116"/>
      <c r="AR116" s="116"/>
      <c r="AS116" s="116"/>
      <c r="AT116" s="116"/>
      <c r="AU116" s="116"/>
      <c r="AV116" s="116"/>
      <c r="AW116" s="116"/>
      <c r="AX116" s="116"/>
      <c r="AY116" s="116"/>
      <c r="AZ116" s="116"/>
      <c r="BA116" s="116"/>
      <c r="BB116" s="116"/>
      <c r="BC116" s="116"/>
      <c r="BD116" s="116"/>
      <c r="BE116" s="50" t="s">
        <v>800</v>
      </c>
      <c r="BF116" s="50">
        <v>3.0</v>
      </c>
      <c r="BG116" s="50">
        <v>0.0</v>
      </c>
      <c r="BH116" s="50">
        <v>1.0</v>
      </c>
      <c r="BI116" s="50">
        <v>0.0</v>
      </c>
      <c r="BJ116" s="50">
        <v>0.0</v>
      </c>
      <c r="BK116" s="116"/>
      <c r="BL116" s="50">
        <v>3.0</v>
      </c>
      <c r="BM116" s="50">
        <v>0.0</v>
      </c>
      <c r="BN116" s="50">
        <v>0.0</v>
      </c>
      <c r="BO116" s="50">
        <v>1.0</v>
      </c>
      <c r="BP116" s="50">
        <v>0.0</v>
      </c>
      <c r="BQ116" s="50">
        <v>0.0</v>
      </c>
      <c r="BR116" s="50">
        <v>0.0</v>
      </c>
      <c r="BS116" s="50">
        <v>0.0</v>
      </c>
      <c r="BT116" s="116"/>
      <c r="BU116" s="116"/>
      <c r="BV116" s="116"/>
      <c r="BW116" s="116"/>
      <c r="BX116" s="116"/>
      <c r="BY116" s="116"/>
      <c r="BZ116" s="116"/>
      <c r="CA116" s="116"/>
      <c r="CB116" s="116"/>
      <c r="CC116" s="116"/>
      <c r="CD116" s="116"/>
      <c r="CE116" s="116"/>
      <c r="CF116" s="116"/>
      <c r="CG116" s="116"/>
      <c r="CH116" s="116"/>
      <c r="CI116" s="116"/>
      <c r="CJ116" s="116"/>
      <c r="CK116" s="116"/>
      <c r="CL116" s="116"/>
      <c r="CM116" s="116"/>
      <c r="CN116" s="116"/>
      <c r="CO116" s="116"/>
      <c r="CP116" s="116"/>
      <c r="CQ116" s="116"/>
      <c r="CR116" s="116"/>
      <c r="CS116" s="116"/>
      <c r="CT116" s="116"/>
      <c r="CU116" s="116"/>
      <c r="CV116" s="116"/>
      <c r="CW116" s="116"/>
      <c r="CX116" s="116"/>
      <c r="CY116" s="116"/>
      <c r="CZ116" s="116"/>
      <c r="DA116" s="116"/>
      <c r="DB116" s="116"/>
      <c r="DC116" s="116"/>
      <c r="DD116" s="116"/>
      <c r="DE116" s="116"/>
      <c r="DF116" s="116"/>
      <c r="DG116" s="116"/>
      <c r="DH116" s="116"/>
      <c r="DI116" s="116"/>
      <c r="DJ116" s="116"/>
      <c r="DK116" s="116"/>
      <c r="DL116" s="116"/>
      <c r="DM116" s="116"/>
      <c r="DN116" s="116"/>
      <c r="DO116" s="116"/>
      <c r="DP116" s="50">
        <v>0.0</v>
      </c>
      <c r="DQ116" s="116"/>
      <c r="DR116" s="116"/>
      <c r="DS116" s="116"/>
      <c r="DT116" s="116"/>
      <c r="DU116" s="116"/>
      <c r="DV116" s="116"/>
      <c r="DW116" s="116"/>
      <c r="DX116" s="116"/>
      <c r="DY116" s="116"/>
      <c r="DZ116" s="116"/>
      <c r="EA116" s="116"/>
      <c r="EB116" s="116"/>
      <c r="EC116" s="116"/>
      <c r="ED116" s="116"/>
      <c r="EE116" s="116"/>
      <c r="EF116" s="50" t="s">
        <v>3149</v>
      </c>
      <c r="EG116" s="50" t="s">
        <v>2472</v>
      </c>
      <c r="EH116" s="50">
        <v>1.0</v>
      </c>
      <c r="EI116" s="50" t="s">
        <v>3950</v>
      </c>
      <c r="EJ116" s="117">
        <v>8394.0</v>
      </c>
      <c r="EK116" s="50" t="s">
        <v>4480</v>
      </c>
      <c r="EL116" s="50" t="s">
        <v>4481</v>
      </c>
      <c r="EM116" s="117">
        <v>115.0</v>
      </c>
    </row>
    <row r="117">
      <c r="A117" s="50" t="s">
        <v>802</v>
      </c>
      <c r="B117" s="50" t="s">
        <v>4482</v>
      </c>
      <c r="C117" s="116"/>
      <c r="D117" s="116"/>
      <c r="E117" s="50">
        <v>3.5215509147374E14</v>
      </c>
      <c r="F117" s="50">
        <v>58.0</v>
      </c>
      <c r="G117" s="50">
        <v>2.0</v>
      </c>
      <c r="H117" s="50" t="s">
        <v>4483</v>
      </c>
      <c r="I117" s="50">
        <v>22.5511165</v>
      </c>
      <c r="J117" s="50">
        <v>88.3965272</v>
      </c>
      <c r="K117" s="50">
        <v>-45.599998474121</v>
      </c>
      <c r="L117" s="50">
        <v>5.0</v>
      </c>
      <c r="M117" s="50">
        <v>14.0</v>
      </c>
      <c r="N117" s="50">
        <v>142.0</v>
      </c>
      <c r="O117" s="50">
        <v>0.0</v>
      </c>
      <c r="P117" s="50">
        <v>0.0</v>
      </c>
      <c r="Q117" s="50">
        <v>1.0</v>
      </c>
      <c r="R117" s="50">
        <v>0.0</v>
      </c>
      <c r="S117" s="50">
        <v>0.0</v>
      </c>
      <c r="T117" s="50">
        <v>0.0</v>
      </c>
      <c r="U117" s="116"/>
      <c r="V117" s="116"/>
      <c r="W117" s="116"/>
      <c r="X117" s="116"/>
      <c r="Y117" s="50">
        <v>2038.0</v>
      </c>
      <c r="Z117" s="50">
        <v>2038.0</v>
      </c>
      <c r="AA117" s="50" t="s">
        <v>4485</v>
      </c>
      <c r="AB117" s="50">
        <v>1.0</v>
      </c>
      <c r="AC117" s="50">
        <v>0.0</v>
      </c>
      <c r="AD117" s="50">
        <v>1.0</v>
      </c>
      <c r="AE117" s="116"/>
      <c r="AF117" s="116"/>
      <c r="AG117" s="116"/>
      <c r="AH117" s="116"/>
      <c r="AI117" s="116"/>
      <c r="AJ117" s="116"/>
      <c r="AK117" s="116"/>
      <c r="AL117" s="116"/>
      <c r="AM117" s="116"/>
      <c r="AN117" s="116"/>
      <c r="AO117" s="116"/>
      <c r="AP117" s="116"/>
      <c r="AQ117" s="116"/>
      <c r="AR117" s="116"/>
      <c r="AS117" s="116"/>
      <c r="AT117" s="116"/>
      <c r="AU117" s="116"/>
      <c r="AV117" s="116"/>
      <c r="AW117" s="50" t="s">
        <v>803</v>
      </c>
      <c r="AX117" s="50">
        <v>1.0</v>
      </c>
      <c r="AY117" s="50">
        <v>1.0</v>
      </c>
      <c r="AZ117" s="50">
        <v>0.0</v>
      </c>
      <c r="BA117" s="50">
        <v>0.0</v>
      </c>
      <c r="BB117" s="50">
        <v>0.0</v>
      </c>
      <c r="BC117" s="50">
        <v>0.0</v>
      </c>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116"/>
      <c r="CD117" s="116"/>
      <c r="CE117" s="116"/>
      <c r="CF117" s="116"/>
      <c r="CG117" s="116"/>
      <c r="CH117" s="116"/>
      <c r="CI117" s="116"/>
      <c r="CJ117" s="116"/>
      <c r="CK117" s="116"/>
      <c r="CL117" s="116"/>
      <c r="CM117" s="116"/>
      <c r="CN117" s="116"/>
      <c r="CO117" s="116"/>
      <c r="CP117" s="116"/>
      <c r="CQ117" s="116"/>
      <c r="CR117" s="116"/>
      <c r="CS117" s="116"/>
      <c r="CT117" s="116"/>
      <c r="CU117" s="116"/>
      <c r="CV117" s="116"/>
      <c r="CW117" s="116"/>
      <c r="CX117" s="116"/>
      <c r="CY117" s="116"/>
      <c r="CZ117" s="116"/>
      <c r="DA117" s="116"/>
      <c r="DB117" s="116"/>
      <c r="DC117" s="116"/>
      <c r="DD117" s="116"/>
      <c r="DE117" s="116"/>
      <c r="DF117" s="116"/>
      <c r="DG117" s="116"/>
      <c r="DH117" s="116"/>
      <c r="DI117" s="116"/>
      <c r="DJ117" s="116"/>
      <c r="DK117" s="116"/>
      <c r="DL117" s="116"/>
      <c r="DM117" s="116"/>
      <c r="DN117" s="116"/>
      <c r="DO117" s="116"/>
      <c r="DP117" s="50">
        <v>0.0</v>
      </c>
      <c r="DQ117" s="116"/>
      <c r="DR117" s="116"/>
      <c r="DS117" s="116"/>
      <c r="DT117" s="116"/>
      <c r="DU117" s="116"/>
      <c r="DV117" s="116"/>
      <c r="DW117" s="116"/>
      <c r="DX117" s="116"/>
      <c r="DY117" s="116"/>
      <c r="DZ117" s="116"/>
      <c r="EA117" s="116"/>
      <c r="EB117" s="116"/>
      <c r="EC117" s="116"/>
      <c r="ED117" s="116"/>
      <c r="EE117" s="116"/>
      <c r="EF117" s="50" t="s">
        <v>3149</v>
      </c>
      <c r="EG117" s="50" t="s">
        <v>2472</v>
      </c>
      <c r="EH117" s="50">
        <v>1.0</v>
      </c>
      <c r="EI117" s="50" t="s">
        <v>3950</v>
      </c>
      <c r="EJ117" s="117">
        <v>8395.0</v>
      </c>
      <c r="EK117" s="50" t="s">
        <v>4487</v>
      </c>
      <c r="EL117" s="50" t="s">
        <v>4488</v>
      </c>
      <c r="EM117" s="117">
        <v>116.0</v>
      </c>
    </row>
    <row r="118">
      <c r="A118" s="50" t="s">
        <v>804</v>
      </c>
      <c r="B118" s="50" t="s">
        <v>4489</v>
      </c>
      <c r="C118" s="116"/>
      <c r="D118" s="116"/>
      <c r="E118" s="50">
        <v>3.5215509147374E14</v>
      </c>
      <c r="F118" s="50">
        <v>58.0</v>
      </c>
      <c r="G118" s="50">
        <v>2.0</v>
      </c>
      <c r="H118" s="50" t="s">
        <v>4490</v>
      </c>
      <c r="I118" s="50">
        <v>22.5511645</v>
      </c>
      <c r="J118" s="50">
        <v>88.3964197</v>
      </c>
      <c r="K118" s="50">
        <v>-77.4000015258789</v>
      </c>
      <c r="L118" s="50">
        <v>5.0</v>
      </c>
      <c r="M118" s="50">
        <v>14.0</v>
      </c>
      <c r="N118" s="50">
        <v>144.0</v>
      </c>
      <c r="O118" s="50">
        <v>1.0</v>
      </c>
      <c r="P118" s="50">
        <v>0.0</v>
      </c>
      <c r="Q118" s="50">
        <v>0.0</v>
      </c>
      <c r="R118" s="50">
        <v>0.0</v>
      </c>
      <c r="S118" s="50">
        <v>0.0</v>
      </c>
      <c r="T118" s="50">
        <v>0.0</v>
      </c>
      <c r="U118" s="116"/>
      <c r="V118" s="116"/>
      <c r="W118" s="116"/>
      <c r="X118" s="116"/>
      <c r="Y118" s="50">
        <v>2038.0</v>
      </c>
      <c r="Z118" s="50">
        <v>2038.0</v>
      </c>
      <c r="AA118" s="50" t="s">
        <v>4491</v>
      </c>
      <c r="AB118" s="50">
        <v>1.0</v>
      </c>
      <c r="AC118" s="50">
        <v>0.0</v>
      </c>
      <c r="AD118" s="50">
        <v>1.0</v>
      </c>
      <c r="AE118" s="116"/>
      <c r="AF118" s="116"/>
      <c r="AG118" s="116"/>
      <c r="AH118" s="116"/>
      <c r="AI118" s="116"/>
      <c r="AJ118" s="116"/>
      <c r="AK118" s="116"/>
      <c r="AL118" s="116"/>
      <c r="AM118" s="116"/>
      <c r="AN118" s="116"/>
      <c r="AO118" s="116"/>
      <c r="AP118" s="116"/>
      <c r="AQ118" s="116"/>
      <c r="AR118" s="116"/>
      <c r="AS118" s="116"/>
      <c r="AT118" s="116"/>
      <c r="AU118" s="116"/>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50" t="s">
        <v>805</v>
      </c>
      <c r="BV118" s="50">
        <v>4.0</v>
      </c>
      <c r="BW118" s="116"/>
      <c r="BX118" s="50">
        <v>1.0</v>
      </c>
      <c r="BY118" s="50">
        <v>1.0</v>
      </c>
      <c r="BZ118" s="116"/>
      <c r="CA118" s="116"/>
      <c r="CB118" s="116"/>
      <c r="CC118" s="116"/>
      <c r="CD118" s="116"/>
      <c r="CE118" s="116"/>
      <c r="CF118" s="116"/>
      <c r="CG118" s="116"/>
      <c r="CH118" s="116"/>
      <c r="CI118" s="116"/>
      <c r="CJ118" s="116"/>
      <c r="CK118" s="116"/>
      <c r="CL118" s="116"/>
      <c r="CM118" s="116"/>
      <c r="CN118" s="116"/>
      <c r="CO118" s="116"/>
      <c r="CP118" s="116"/>
      <c r="CQ118" s="116"/>
      <c r="CR118" s="116"/>
      <c r="CS118" s="116"/>
      <c r="CT118" s="116"/>
      <c r="CU118" s="116"/>
      <c r="CV118" s="116"/>
      <c r="CW118" s="116"/>
      <c r="CX118" s="116"/>
      <c r="CY118" s="116"/>
      <c r="CZ118" s="116"/>
      <c r="DA118" s="116"/>
      <c r="DB118" s="116"/>
      <c r="DC118" s="116"/>
      <c r="DD118" s="116"/>
      <c r="DE118" s="116"/>
      <c r="DF118" s="116"/>
      <c r="DG118" s="116"/>
      <c r="DH118" s="116"/>
      <c r="DI118" s="116"/>
      <c r="DJ118" s="116"/>
      <c r="DK118" s="116"/>
      <c r="DL118" s="116"/>
      <c r="DM118" s="116"/>
      <c r="DN118" s="116"/>
      <c r="DO118" s="116"/>
      <c r="DP118" s="50">
        <v>0.0</v>
      </c>
      <c r="DQ118" s="116"/>
      <c r="DR118" s="116"/>
      <c r="DS118" s="116"/>
      <c r="DT118" s="116"/>
      <c r="DU118" s="116"/>
      <c r="DV118" s="116"/>
      <c r="DW118" s="116"/>
      <c r="DX118" s="116"/>
      <c r="DY118" s="116"/>
      <c r="DZ118" s="116"/>
      <c r="EA118" s="116"/>
      <c r="EB118" s="116"/>
      <c r="EC118" s="116"/>
      <c r="ED118" s="116"/>
      <c r="EE118" s="116"/>
      <c r="EF118" s="50" t="s">
        <v>3149</v>
      </c>
      <c r="EG118" s="50" t="s">
        <v>2472</v>
      </c>
      <c r="EH118" s="50">
        <v>1.0</v>
      </c>
      <c r="EI118" s="50" t="s">
        <v>3950</v>
      </c>
      <c r="EJ118" s="117">
        <v>8396.0</v>
      </c>
      <c r="EK118" s="50" t="s">
        <v>4493</v>
      </c>
      <c r="EL118" s="50" t="s">
        <v>4494</v>
      </c>
      <c r="EM118" s="117">
        <v>117.0</v>
      </c>
    </row>
    <row r="119">
      <c r="A119" s="50" t="s">
        <v>806</v>
      </c>
      <c r="B119" s="50" t="s">
        <v>4495</v>
      </c>
      <c r="C119" s="116"/>
      <c r="D119" s="116"/>
      <c r="E119" s="50">
        <v>3.5215509147374E14</v>
      </c>
      <c r="F119" s="50">
        <v>58.0</v>
      </c>
      <c r="G119" s="50">
        <v>2.0</v>
      </c>
      <c r="H119" s="50" t="s">
        <v>4496</v>
      </c>
      <c r="I119" s="50">
        <v>22.551202</v>
      </c>
      <c r="J119" s="50">
        <v>88.3964122</v>
      </c>
      <c r="K119" s="50">
        <v>-71.6999969482421</v>
      </c>
      <c r="L119" s="50">
        <v>5.0</v>
      </c>
      <c r="M119" s="50">
        <v>14.0</v>
      </c>
      <c r="N119" s="50">
        <v>145.0</v>
      </c>
      <c r="O119" s="50">
        <v>0.0</v>
      </c>
      <c r="P119" s="50">
        <v>1.0</v>
      </c>
      <c r="Q119" s="50">
        <v>0.0</v>
      </c>
      <c r="R119" s="50">
        <v>0.0</v>
      </c>
      <c r="S119" s="50">
        <v>0.0</v>
      </c>
      <c r="T119" s="50">
        <v>0.0</v>
      </c>
      <c r="U119" s="116"/>
      <c r="V119" s="116"/>
      <c r="W119" s="116"/>
      <c r="X119" s="116"/>
      <c r="Y119" s="50">
        <v>2038.0</v>
      </c>
      <c r="Z119" s="50">
        <v>2038.0</v>
      </c>
      <c r="AA119" s="50" t="s">
        <v>4497</v>
      </c>
      <c r="AB119" s="50">
        <v>1.0</v>
      </c>
      <c r="AC119" s="50">
        <v>0.0</v>
      </c>
      <c r="AD119" s="50">
        <v>1.0</v>
      </c>
      <c r="AE119" s="116"/>
      <c r="AF119" s="116"/>
      <c r="AG119" s="116"/>
      <c r="AH119" s="116"/>
      <c r="AI119" s="116"/>
      <c r="AJ119" s="116"/>
      <c r="AK119" s="116"/>
      <c r="AL119" s="116"/>
      <c r="AM119" s="116"/>
      <c r="AN119" s="116"/>
      <c r="AO119" s="116"/>
      <c r="AP119" s="116"/>
      <c r="AQ119" s="116"/>
      <c r="AR119" s="116"/>
      <c r="AS119" s="116"/>
      <c r="AT119" s="116"/>
      <c r="AU119" s="116"/>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50" t="s">
        <v>807</v>
      </c>
      <c r="CD119" s="50">
        <v>4.0</v>
      </c>
      <c r="CE119" s="50">
        <v>0.0</v>
      </c>
      <c r="CF119" s="50">
        <v>0.0</v>
      </c>
      <c r="CG119" s="50">
        <v>0.0</v>
      </c>
      <c r="CH119" s="50">
        <v>0.0</v>
      </c>
      <c r="CI119" s="50">
        <v>0.0</v>
      </c>
      <c r="CJ119" s="50">
        <v>1.0</v>
      </c>
      <c r="CK119" s="116"/>
      <c r="CL119" s="50">
        <v>3.0</v>
      </c>
      <c r="CM119" s="50">
        <v>0.0</v>
      </c>
      <c r="CN119" s="50">
        <v>1.0</v>
      </c>
      <c r="CO119" s="50">
        <v>0.0</v>
      </c>
      <c r="CP119" s="50">
        <v>0.0</v>
      </c>
      <c r="CQ119" s="116"/>
      <c r="CR119" s="116"/>
      <c r="CS119" s="116"/>
      <c r="CT119" s="116"/>
      <c r="CU119" s="116"/>
      <c r="CV119" s="116"/>
      <c r="CW119" s="116"/>
      <c r="CX119" s="116"/>
      <c r="CY119" s="116"/>
      <c r="CZ119" s="116"/>
      <c r="DA119" s="116"/>
      <c r="DB119" s="116"/>
      <c r="DC119" s="116"/>
      <c r="DD119" s="116"/>
      <c r="DE119" s="116"/>
      <c r="DF119" s="116"/>
      <c r="DG119" s="116"/>
      <c r="DH119" s="116"/>
      <c r="DI119" s="116"/>
      <c r="DJ119" s="116"/>
      <c r="DK119" s="116"/>
      <c r="DL119" s="116"/>
      <c r="DM119" s="116"/>
      <c r="DN119" s="116"/>
      <c r="DO119" s="116"/>
      <c r="DP119" s="50">
        <v>0.0</v>
      </c>
      <c r="DQ119" s="116"/>
      <c r="DR119" s="116"/>
      <c r="DS119" s="116"/>
      <c r="DT119" s="116"/>
      <c r="DU119" s="116"/>
      <c r="DV119" s="116"/>
      <c r="DW119" s="116"/>
      <c r="DX119" s="116"/>
      <c r="DY119" s="116"/>
      <c r="DZ119" s="116"/>
      <c r="EA119" s="116"/>
      <c r="EB119" s="116"/>
      <c r="EC119" s="116"/>
      <c r="ED119" s="116"/>
      <c r="EE119" s="116"/>
      <c r="EF119" s="50" t="s">
        <v>3149</v>
      </c>
      <c r="EG119" s="50" t="s">
        <v>2472</v>
      </c>
      <c r="EH119" s="50">
        <v>1.0</v>
      </c>
      <c r="EI119" s="50" t="s">
        <v>3950</v>
      </c>
      <c r="EJ119" s="117">
        <v>8397.0</v>
      </c>
      <c r="EK119" s="50" t="s">
        <v>4499</v>
      </c>
      <c r="EL119" s="50" t="s">
        <v>4500</v>
      </c>
      <c r="EM119" s="117">
        <v>118.0</v>
      </c>
    </row>
    <row r="120">
      <c r="A120" s="50" t="s">
        <v>808</v>
      </c>
      <c r="B120" s="50" t="s">
        <v>4502</v>
      </c>
      <c r="C120" s="116"/>
      <c r="D120" s="116"/>
      <c r="E120" s="50">
        <v>3.5215509147374E14</v>
      </c>
      <c r="F120" s="50">
        <v>58.0</v>
      </c>
      <c r="G120" s="50">
        <v>2.0</v>
      </c>
      <c r="H120" s="50" t="s">
        <v>4503</v>
      </c>
      <c r="I120" s="50">
        <v>22.5511258</v>
      </c>
      <c r="J120" s="50">
        <v>88.3965032</v>
      </c>
      <c r="K120" s="50">
        <v>-45.5</v>
      </c>
      <c r="L120" s="50">
        <v>5.0</v>
      </c>
      <c r="M120" s="50">
        <v>14.0</v>
      </c>
      <c r="N120" s="50">
        <v>149.0</v>
      </c>
      <c r="O120" s="50">
        <v>0.0</v>
      </c>
      <c r="P120" s="50">
        <v>0.0</v>
      </c>
      <c r="Q120" s="50">
        <v>0.0</v>
      </c>
      <c r="R120" s="50">
        <v>0.0</v>
      </c>
      <c r="S120" s="50">
        <v>0.0</v>
      </c>
      <c r="T120" s="50">
        <v>1.0</v>
      </c>
      <c r="U120" s="116"/>
      <c r="V120" s="116"/>
      <c r="W120" s="116"/>
      <c r="X120" s="116"/>
      <c r="Y120" s="50">
        <v>2038.0</v>
      </c>
      <c r="Z120" s="50">
        <v>2038.0</v>
      </c>
      <c r="AA120" s="50" t="s">
        <v>4504</v>
      </c>
      <c r="AB120" s="50">
        <v>1.0</v>
      </c>
      <c r="AC120" s="50">
        <v>0.0</v>
      </c>
      <c r="AD120" s="50">
        <v>1.0</v>
      </c>
      <c r="AE120" s="116"/>
      <c r="AF120" s="116"/>
      <c r="AG120" s="116"/>
      <c r="AH120" s="116"/>
      <c r="AI120" s="116"/>
      <c r="AJ120" s="116"/>
      <c r="AK120" s="116"/>
      <c r="AL120" s="116"/>
      <c r="AM120" s="116"/>
      <c r="AN120" s="116"/>
      <c r="AO120" s="116"/>
      <c r="AP120" s="116"/>
      <c r="AQ120" s="116"/>
      <c r="AR120" s="116"/>
      <c r="AS120" s="116"/>
      <c r="AT120" s="116"/>
      <c r="AU120" s="116"/>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116"/>
      <c r="CD120" s="116"/>
      <c r="CE120" s="116"/>
      <c r="CF120" s="116"/>
      <c r="CG120" s="116"/>
      <c r="CH120" s="116"/>
      <c r="CI120" s="116"/>
      <c r="CJ120" s="116"/>
      <c r="CK120" s="116"/>
      <c r="CL120" s="116"/>
      <c r="CM120" s="116"/>
      <c r="CN120" s="116"/>
      <c r="CO120" s="116"/>
      <c r="CP120" s="116"/>
      <c r="CQ120" s="116"/>
      <c r="CR120" s="116"/>
      <c r="CS120" s="116"/>
      <c r="CT120" s="116"/>
      <c r="CU120" s="116"/>
      <c r="CV120" s="116"/>
      <c r="CW120" s="116"/>
      <c r="CX120" s="116"/>
      <c r="CY120" s="116"/>
      <c r="CZ120" s="116"/>
      <c r="DA120" s="116"/>
      <c r="DB120" s="116"/>
      <c r="DC120" s="116"/>
      <c r="DD120" s="116"/>
      <c r="DE120" s="116"/>
      <c r="DF120" s="116"/>
      <c r="DG120" s="116"/>
      <c r="DH120" s="116"/>
      <c r="DI120" s="116"/>
      <c r="DJ120" s="116"/>
      <c r="DK120" s="116"/>
      <c r="DL120" s="116"/>
      <c r="DM120" s="116"/>
      <c r="DN120" s="116"/>
      <c r="DO120" s="116"/>
      <c r="DP120" s="50">
        <v>0.0</v>
      </c>
      <c r="DQ120" s="116"/>
      <c r="DR120" s="116"/>
      <c r="DS120" s="116"/>
      <c r="DT120" s="116"/>
      <c r="DU120" s="116"/>
      <c r="DV120" s="116"/>
      <c r="DW120" s="116"/>
      <c r="DX120" s="116"/>
      <c r="DY120" s="116"/>
      <c r="DZ120" s="116"/>
      <c r="EA120" s="116"/>
      <c r="EB120" s="116"/>
      <c r="EC120" s="116"/>
      <c r="ED120" s="116"/>
      <c r="EE120" s="116"/>
      <c r="EF120" s="50" t="s">
        <v>3149</v>
      </c>
      <c r="EG120" s="50" t="s">
        <v>2472</v>
      </c>
      <c r="EH120" s="50">
        <v>1.0</v>
      </c>
      <c r="EI120" s="50" t="s">
        <v>3950</v>
      </c>
      <c r="EJ120" s="117">
        <v>8398.0</v>
      </c>
      <c r="EK120" s="50" t="s">
        <v>4506</v>
      </c>
      <c r="EL120" s="50" t="s">
        <v>4507</v>
      </c>
      <c r="EM120" s="117">
        <v>119.0</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8.29"/>
    <col customWidth="1" min="15" max="16" width="28.29"/>
    <col customWidth="1" min="18" max="18" width="19.57"/>
    <col customWidth="1" min="19" max="19" width="21.14"/>
    <col customWidth="1" min="20" max="20" width="19.71"/>
    <col customWidth="1" min="43" max="43" width="57.86"/>
  </cols>
  <sheetData>
    <row r="1">
      <c r="A1" s="50" t="s">
        <v>2185</v>
      </c>
      <c r="B1" s="50" t="s">
        <v>2186</v>
      </c>
      <c r="C1" s="50" t="s">
        <v>2187</v>
      </c>
      <c r="D1" s="50" t="s">
        <v>2188</v>
      </c>
      <c r="E1" s="50" t="s">
        <v>2189</v>
      </c>
      <c r="F1" s="50" t="s">
        <v>2190</v>
      </c>
      <c r="G1" s="50" t="s">
        <v>369</v>
      </c>
      <c r="H1" s="50" t="s">
        <v>4510</v>
      </c>
      <c r="I1" s="50" t="s">
        <v>4511</v>
      </c>
      <c r="J1" s="50" t="s">
        <v>4512</v>
      </c>
      <c r="K1" s="50" t="s">
        <v>4513</v>
      </c>
      <c r="L1" s="50" t="s">
        <v>368</v>
      </c>
      <c r="M1" s="50" t="s">
        <v>2192</v>
      </c>
      <c r="N1" s="50" t="s">
        <v>4514</v>
      </c>
      <c r="O1" s="50" t="s">
        <v>4515</v>
      </c>
      <c r="P1" s="50" t="s">
        <v>2193</v>
      </c>
      <c r="Q1" s="50" t="s">
        <v>2194</v>
      </c>
      <c r="R1" s="50" t="s">
        <v>2195</v>
      </c>
      <c r="S1" s="50" t="s">
        <v>2196</v>
      </c>
      <c r="T1" s="50" t="s">
        <v>2197</v>
      </c>
      <c r="U1" s="50" t="s">
        <v>2198</v>
      </c>
      <c r="V1" s="50" t="s">
        <v>2199</v>
      </c>
      <c r="W1" s="50" t="s">
        <v>2200</v>
      </c>
      <c r="X1" s="50" t="s">
        <v>2201</v>
      </c>
      <c r="Y1" s="50" t="s">
        <v>2202</v>
      </c>
      <c r="Z1" s="50" t="s">
        <v>4517</v>
      </c>
      <c r="AA1" s="50" t="s">
        <v>4518</v>
      </c>
      <c r="AB1" s="50" t="s">
        <v>4519</v>
      </c>
      <c r="AC1" s="50" t="s">
        <v>4520</v>
      </c>
      <c r="AD1" s="50" t="s">
        <v>4521</v>
      </c>
      <c r="AE1" s="50" t="s">
        <v>4522</v>
      </c>
      <c r="AF1" s="50" t="s">
        <v>4523</v>
      </c>
      <c r="AG1" s="50" t="s">
        <v>4524</v>
      </c>
      <c r="AH1" s="50" t="s">
        <v>4525</v>
      </c>
      <c r="AI1" s="50" t="s">
        <v>4526</v>
      </c>
      <c r="AJ1" s="50" t="s">
        <v>4527</v>
      </c>
      <c r="AK1" s="50" t="s">
        <v>4528</v>
      </c>
      <c r="AL1" s="50" t="s">
        <v>4529</v>
      </c>
      <c r="AM1" s="50" t="s">
        <v>4530</v>
      </c>
      <c r="AN1" s="50" t="s">
        <v>2223</v>
      </c>
      <c r="AO1" s="50" t="s">
        <v>2224</v>
      </c>
      <c r="AP1" s="50" t="s">
        <v>2263</v>
      </c>
      <c r="AQ1" s="50" t="s">
        <v>2264</v>
      </c>
      <c r="AR1" s="50" t="s">
        <v>2265</v>
      </c>
      <c r="AS1" s="50" t="s">
        <v>2266</v>
      </c>
      <c r="AT1" s="50" t="s">
        <v>2267</v>
      </c>
      <c r="AU1" s="50" t="s">
        <v>2268</v>
      </c>
      <c r="AV1" s="50" t="s">
        <v>2269</v>
      </c>
      <c r="AW1" s="50" t="s">
        <v>2270</v>
      </c>
      <c r="AX1" s="50" t="s">
        <v>2271</v>
      </c>
    </row>
    <row r="2">
      <c r="A2" s="50" t="s">
        <v>4531</v>
      </c>
      <c r="B2" s="50" t="s">
        <v>4532</v>
      </c>
      <c r="C2" s="116"/>
      <c r="D2" s="116"/>
      <c r="E2" s="50">
        <v>3.52155090281144E14</v>
      </c>
      <c r="F2" s="50">
        <v>58.0</v>
      </c>
      <c r="G2" s="50">
        <v>11.0</v>
      </c>
      <c r="H2" s="116"/>
      <c r="I2" s="116"/>
      <c r="J2" s="116"/>
      <c r="K2" s="116"/>
      <c r="L2" s="50" t="s">
        <v>4533</v>
      </c>
      <c r="M2" s="50" t="s">
        <v>4533</v>
      </c>
      <c r="N2" s="116"/>
      <c r="O2" s="116"/>
      <c r="P2" s="50" t="s">
        <v>4534</v>
      </c>
      <c r="Q2" s="50" t="s">
        <v>4535</v>
      </c>
      <c r="R2" s="50">
        <v>22.5538176</v>
      </c>
      <c r="S2" s="50">
        <v>88.3973782</v>
      </c>
      <c r="T2" s="50">
        <v>-45.099998474121</v>
      </c>
      <c r="U2" s="50">
        <v>5.0</v>
      </c>
      <c r="V2" s="50">
        <v>1.0</v>
      </c>
      <c r="W2" s="50">
        <v>0.0</v>
      </c>
      <c r="X2" s="50">
        <v>0.0</v>
      </c>
      <c r="Y2" s="50">
        <v>1.0</v>
      </c>
      <c r="Z2" s="116"/>
      <c r="AA2" s="50">
        <v>2.0</v>
      </c>
      <c r="AB2" s="50">
        <v>6.0</v>
      </c>
      <c r="AC2" s="116"/>
      <c r="AD2" s="116"/>
      <c r="AE2" s="116"/>
      <c r="AF2" s="116"/>
      <c r="AG2" s="116"/>
      <c r="AH2" s="116"/>
      <c r="AI2" s="116"/>
      <c r="AJ2" s="116"/>
      <c r="AK2" s="116"/>
      <c r="AL2" s="116"/>
      <c r="AM2" s="116"/>
      <c r="AN2" s="116"/>
      <c r="AO2" s="116"/>
      <c r="AP2" s="116"/>
      <c r="AQ2" s="116"/>
      <c r="AR2" s="50" t="s">
        <v>2278</v>
      </c>
      <c r="AS2" s="50">
        <v>1.0</v>
      </c>
      <c r="AT2" s="50" t="s">
        <v>4537</v>
      </c>
      <c r="AU2" s="117">
        <v>2746.0</v>
      </c>
      <c r="AV2" s="50" t="s">
        <v>4538</v>
      </c>
      <c r="AW2" s="50" t="s">
        <v>4539</v>
      </c>
      <c r="AX2" s="117">
        <v>1.0</v>
      </c>
    </row>
    <row r="3">
      <c r="A3" s="50" t="s">
        <v>4540</v>
      </c>
      <c r="B3" s="50" t="s">
        <v>4541</v>
      </c>
      <c r="C3" s="116"/>
      <c r="D3" s="116"/>
      <c r="E3" s="50">
        <v>3.52155090281144E14</v>
      </c>
      <c r="F3" s="50">
        <v>57.0</v>
      </c>
      <c r="G3" s="50">
        <v>12.0</v>
      </c>
      <c r="H3" s="116"/>
      <c r="I3" s="116"/>
      <c r="J3" s="116"/>
      <c r="K3" s="116"/>
      <c r="L3" s="50" t="s">
        <v>4542</v>
      </c>
      <c r="M3" s="50" t="s">
        <v>4542</v>
      </c>
      <c r="N3" s="50">
        <v>3.0</v>
      </c>
      <c r="O3" s="50" t="s">
        <v>4543</v>
      </c>
      <c r="P3" s="116"/>
      <c r="Q3" s="50" t="s">
        <v>4544</v>
      </c>
      <c r="R3" s="50">
        <v>22.5563502</v>
      </c>
      <c r="S3" s="50">
        <v>88.3920594</v>
      </c>
      <c r="T3" s="50">
        <v>-69.9000015258789</v>
      </c>
      <c r="U3" s="50">
        <v>5.0</v>
      </c>
      <c r="V3" s="50">
        <v>1.0</v>
      </c>
      <c r="W3" s="50">
        <v>0.0</v>
      </c>
      <c r="X3" s="50">
        <v>0.0</v>
      </c>
      <c r="Y3" s="50">
        <v>1.0</v>
      </c>
      <c r="Z3" s="116"/>
      <c r="AA3" s="116"/>
      <c r="AB3" s="116"/>
      <c r="AC3" s="116"/>
      <c r="AD3" s="116"/>
      <c r="AE3" s="50">
        <v>1.0</v>
      </c>
      <c r="AF3" s="50">
        <v>1.0</v>
      </c>
      <c r="AG3" s="50">
        <v>3.0</v>
      </c>
      <c r="AH3" s="50">
        <v>1.0</v>
      </c>
      <c r="AI3" s="116"/>
      <c r="AJ3" s="116"/>
      <c r="AK3" s="116"/>
      <c r="AL3" s="116"/>
      <c r="AM3" s="116"/>
      <c r="AN3" s="116"/>
      <c r="AO3" s="116"/>
      <c r="AP3" s="116"/>
      <c r="AQ3" s="116"/>
      <c r="AR3" s="50" t="s">
        <v>2302</v>
      </c>
      <c r="AS3" s="50">
        <v>0.0</v>
      </c>
      <c r="AT3" s="50" t="s">
        <v>4537</v>
      </c>
      <c r="AU3" s="117">
        <v>2749.0</v>
      </c>
      <c r="AV3" s="50" t="s">
        <v>4545</v>
      </c>
      <c r="AW3" s="50" t="s">
        <v>4546</v>
      </c>
      <c r="AX3" s="117">
        <v>2.0</v>
      </c>
    </row>
    <row r="4">
      <c r="A4" s="50" t="s">
        <v>4547</v>
      </c>
      <c r="B4" s="50" t="s">
        <v>4548</v>
      </c>
      <c r="C4" s="116"/>
      <c r="D4" s="116"/>
      <c r="E4" s="50">
        <v>3.52155090281144E14</v>
      </c>
      <c r="F4" s="50">
        <v>57.0</v>
      </c>
      <c r="G4" s="50">
        <v>12.0</v>
      </c>
      <c r="H4" s="116"/>
      <c r="I4" s="116"/>
      <c r="J4" s="116"/>
      <c r="K4" s="116"/>
      <c r="L4" s="50" t="s">
        <v>4550</v>
      </c>
      <c r="M4" s="50" t="s">
        <v>4550</v>
      </c>
      <c r="N4" s="50">
        <v>4.0</v>
      </c>
      <c r="O4" s="50" t="s">
        <v>4551</v>
      </c>
      <c r="P4" s="116"/>
      <c r="Q4" s="50" t="s">
        <v>4552</v>
      </c>
      <c r="R4" s="50">
        <v>22.5629355</v>
      </c>
      <c r="S4" s="50">
        <v>88.3777423</v>
      </c>
      <c r="T4" s="50">
        <v>-4.30000019073486</v>
      </c>
      <c r="U4" s="50">
        <v>5.0</v>
      </c>
      <c r="V4" s="50">
        <v>1.0</v>
      </c>
      <c r="W4" s="50">
        <v>0.0</v>
      </c>
      <c r="X4" s="50">
        <v>0.0</v>
      </c>
      <c r="Y4" s="50">
        <v>1.0</v>
      </c>
      <c r="Z4" s="116"/>
      <c r="AA4" s="116"/>
      <c r="AB4" s="116"/>
      <c r="AC4" s="116"/>
      <c r="AD4" s="116"/>
      <c r="AE4" s="50">
        <v>2.0</v>
      </c>
      <c r="AF4" s="50">
        <v>1.0</v>
      </c>
      <c r="AG4" s="50">
        <v>4.0</v>
      </c>
      <c r="AH4" s="50">
        <v>1.0</v>
      </c>
      <c r="AI4" s="116"/>
      <c r="AJ4" s="116"/>
      <c r="AK4" s="116"/>
      <c r="AL4" s="116"/>
      <c r="AM4" s="116"/>
      <c r="AN4" s="116"/>
      <c r="AO4" s="116"/>
      <c r="AP4" s="116"/>
      <c r="AQ4" s="50" t="s">
        <v>4553</v>
      </c>
      <c r="AR4" s="50" t="s">
        <v>2472</v>
      </c>
      <c r="AS4" s="50">
        <v>0.0</v>
      </c>
      <c r="AT4" s="50" t="s">
        <v>4537</v>
      </c>
      <c r="AU4" s="117">
        <v>2750.0</v>
      </c>
      <c r="AV4" s="50" t="s">
        <v>4554</v>
      </c>
      <c r="AW4" s="50" t="s">
        <v>4555</v>
      </c>
      <c r="AX4" s="117">
        <v>3.0</v>
      </c>
    </row>
    <row r="5">
      <c r="A5" s="50" t="s">
        <v>4556</v>
      </c>
      <c r="B5" s="50" t="s">
        <v>4557</v>
      </c>
      <c r="C5" s="116"/>
      <c r="D5" s="116"/>
      <c r="E5" s="50">
        <v>3.52155090281144E14</v>
      </c>
      <c r="F5" s="50">
        <v>57.0</v>
      </c>
      <c r="G5" s="50">
        <v>12.0</v>
      </c>
      <c r="H5" s="116"/>
      <c r="I5" s="116"/>
      <c r="J5" s="116"/>
      <c r="K5" s="116"/>
      <c r="L5" s="50" t="s">
        <v>4558</v>
      </c>
      <c r="M5" s="50" t="s">
        <v>4558</v>
      </c>
      <c r="N5" s="50">
        <v>1.0</v>
      </c>
      <c r="O5" s="50" t="s">
        <v>4559</v>
      </c>
      <c r="P5" s="116"/>
      <c r="Q5" s="50" t="s">
        <v>4560</v>
      </c>
      <c r="R5" s="50">
        <v>22.5578924</v>
      </c>
      <c r="S5" s="50">
        <v>88.4108726</v>
      </c>
      <c r="T5" s="50">
        <v>-44.9000015258789</v>
      </c>
      <c r="U5" s="50">
        <v>5.0</v>
      </c>
      <c r="V5" s="50">
        <v>1.0</v>
      </c>
      <c r="W5" s="50">
        <v>0.0</v>
      </c>
      <c r="X5" s="50">
        <v>1.0</v>
      </c>
      <c r="Y5" s="116"/>
      <c r="Z5" s="116"/>
      <c r="AA5" s="116"/>
      <c r="AB5" s="116"/>
      <c r="AC5" s="116"/>
      <c r="AD5" s="116"/>
      <c r="AE5" s="50">
        <v>1.0</v>
      </c>
      <c r="AF5" s="50">
        <v>2.0</v>
      </c>
      <c r="AG5" s="50">
        <v>3.0</v>
      </c>
      <c r="AH5" s="50">
        <v>1.0</v>
      </c>
      <c r="AI5" s="116"/>
      <c r="AJ5" s="116"/>
      <c r="AK5" s="116"/>
      <c r="AL5" s="116"/>
      <c r="AM5" s="116"/>
      <c r="AN5" s="116"/>
      <c r="AO5" s="116"/>
      <c r="AP5" s="116"/>
      <c r="AQ5" s="116"/>
      <c r="AR5" s="50" t="s">
        <v>2302</v>
      </c>
      <c r="AS5" s="50">
        <v>0.0</v>
      </c>
      <c r="AT5" s="50" t="s">
        <v>4537</v>
      </c>
      <c r="AU5" s="117">
        <v>2768.0</v>
      </c>
      <c r="AV5" s="50" t="s">
        <v>4562</v>
      </c>
      <c r="AW5" s="50" t="s">
        <v>4563</v>
      </c>
      <c r="AX5" s="117">
        <v>4.0</v>
      </c>
    </row>
    <row r="6">
      <c r="A6" s="50" t="s">
        <v>4564</v>
      </c>
      <c r="B6" s="50" t="s">
        <v>4565</v>
      </c>
      <c r="C6" s="116"/>
      <c r="D6" s="116"/>
      <c r="E6" s="50">
        <v>3.52155090281144E14</v>
      </c>
      <c r="F6" s="50">
        <v>57.0</v>
      </c>
      <c r="G6" s="50">
        <v>12.0</v>
      </c>
      <c r="H6" s="116"/>
      <c r="I6" s="116"/>
      <c r="J6" s="116"/>
      <c r="K6" s="116"/>
      <c r="L6" s="50" t="s">
        <v>324</v>
      </c>
      <c r="M6" s="50" t="s">
        <v>324</v>
      </c>
      <c r="N6" s="50">
        <v>2.0</v>
      </c>
      <c r="O6" s="50" t="s">
        <v>4566</v>
      </c>
      <c r="P6" s="116"/>
      <c r="Q6" s="50" t="s">
        <v>4567</v>
      </c>
      <c r="R6" s="50">
        <v>22.554334</v>
      </c>
      <c r="S6" s="50">
        <v>88.3966835</v>
      </c>
      <c r="T6" s="50">
        <v>-38.4000015258789</v>
      </c>
      <c r="U6" s="50">
        <v>5.0</v>
      </c>
      <c r="V6" s="50">
        <v>1.0</v>
      </c>
      <c r="W6" s="50">
        <v>0.0</v>
      </c>
      <c r="X6" s="50">
        <v>1.0</v>
      </c>
      <c r="Y6" s="116"/>
      <c r="Z6" s="116"/>
      <c r="AA6" s="116"/>
      <c r="AB6" s="116"/>
      <c r="AC6" s="116"/>
      <c r="AD6" s="116"/>
      <c r="AE6" s="50">
        <v>1.0</v>
      </c>
      <c r="AF6" s="50">
        <v>2.0</v>
      </c>
      <c r="AG6" s="50">
        <v>2.0</v>
      </c>
      <c r="AH6" s="50">
        <v>1.0</v>
      </c>
      <c r="AI6" s="116"/>
      <c r="AJ6" s="116"/>
      <c r="AK6" s="116"/>
      <c r="AL6" s="116"/>
      <c r="AM6" s="116"/>
      <c r="AN6" s="116"/>
      <c r="AO6" s="116"/>
      <c r="AP6" s="116"/>
      <c r="AQ6" s="116"/>
      <c r="AR6" s="50" t="s">
        <v>2302</v>
      </c>
      <c r="AS6" s="50">
        <v>0.0</v>
      </c>
      <c r="AT6" s="50" t="s">
        <v>4537</v>
      </c>
      <c r="AU6" s="117">
        <v>2769.0</v>
      </c>
      <c r="AV6" s="50" t="s">
        <v>4568</v>
      </c>
      <c r="AW6" s="50" t="s">
        <v>4569</v>
      </c>
      <c r="AX6" s="117">
        <v>5.0</v>
      </c>
    </row>
    <row r="7">
      <c r="A7" s="50" t="s">
        <v>4570</v>
      </c>
      <c r="B7" s="50" t="s">
        <v>4571</v>
      </c>
      <c r="C7" s="116"/>
      <c r="D7" s="116"/>
      <c r="E7" s="50">
        <v>3.52155090281144E14</v>
      </c>
      <c r="F7" s="50">
        <v>57.0</v>
      </c>
      <c r="G7" s="50">
        <v>12.0</v>
      </c>
      <c r="H7" s="116"/>
      <c r="I7" s="116"/>
      <c r="J7" s="116"/>
      <c r="K7" s="116"/>
      <c r="L7" s="50" t="s">
        <v>377</v>
      </c>
      <c r="M7" s="50" t="s">
        <v>377</v>
      </c>
      <c r="N7" s="50">
        <v>3.0</v>
      </c>
      <c r="O7" s="50" t="s">
        <v>4572</v>
      </c>
      <c r="P7" s="116"/>
      <c r="Q7" s="50" t="s">
        <v>4573</v>
      </c>
      <c r="R7" s="50">
        <v>22.5563651</v>
      </c>
      <c r="S7" s="50">
        <v>88.3922004</v>
      </c>
      <c r="T7" s="50">
        <v>-55.2999992370605</v>
      </c>
      <c r="U7" s="50">
        <v>4.5</v>
      </c>
      <c r="V7" s="50">
        <v>1.0</v>
      </c>
      <c r="W7" s="50">
        <v>0.0</v>
      </c>
      <c r="X7" s="50">
        <v>1.0</v>
      </c>
      <c r="Y7" s="116"/>
      <c r="Z7" s="116"/>
      <c r="AA7" s="116"/>
      <c r="AB7" s="116"/>
      <c r="AC7" s="116"/>
      <c r="AD7" s="116"/>
      <c r="AE7" s="50">
        <v>1.0</v>
      </c>
      <c r="AF7" s="50">
        <v>1.0</v>
      </c>
      <c r="AG7" s="50">
        <v>3.0</v>
      </c>
      <c r="AH7" s="50">
        <v>1.0</v>
      </c>
      <c r="AI7" s="116"/>
      <c r="AJ7" s="116"/>
      <c r="AK7" s="116"/>
      <c r="AL7" s="116"/>
      <c r="AM7" s="116"/>
      <c r="AN7" s="116"/>
      <c r="AO7" s="116"/>
      <c r="AP7" s="116"/>
      <c r="AQ7" s="50" t="s">
        <v>4575</v>
      </c>
      <c r="AR7" s="50" t="s">
        <v>2302</v>
      </c>
      <c r="AS7" s="50">
        <v>0.0</v>
      </c>
      <c r="AT7" s="50" t="s">
        <v>4537</v>
      </c>
      <c r="AU7" s="117">
        <v>2770.0</v>
      </c>
      <c r="AV7" s="50" t="s">
        <v>4576</v>
      </c>
      <c r="AW7" s="50" t="s">
        <v>4577</v>
      </c>
      <c r="AX7" s="117">
        <v>6.0</v>
      </c>
    </row>
    <row r="8">
      <c r="A8" s="50" t="s">
        <v>4578</v>
      </c>
      <c r="B8" s="50" t="s">
        <v>4579</v>
      </c>
      <c r="C8" s="116"/>
      <c r="D8" s="116"/>
      <c r="E8" s="50">
        <v>3.52155090281144E14</v>
      </c>
      <c r="F8" s="50">
        <v>57.0</v>
      </c>
      <c r="G8" s="50">
        <v>12.0</v>
      </c>
      <c r="H8" s="116"/>
      <c r="I8" s="116"/>
      <c r="J8" s="116"/>
      <c r="K8" s="116"/>
      <c r="L8" s="50" t="s">
        <v>378</v>
      </c>
      <c r="M8" s="50" t="s">
        <v>378</v>
      </c>
      <c r="N8" s="50">
        <v>4.0</v>
      </c>
      <c r="O8" s="50" t="s">
        <v>4580</v>
      </c>
      <c r="P8" s="116"/>
      <c r="Q8" s="50" t="s">
        <v>4581</v>
      </c>
      <c r="R8" s="50">
        <v>22.5635552</v>
      </c>
      <c r="S8" s="50">
        <v>88.3771778</v>
      </c>
      <c r="T8" s="50">
        <v>-31.6000003814697</v>
      </c>
      <c r="U8" s="50">
        <v>5.0</v>
      </c>
      <c r="V8" s="50">
        <v>1.0</v>
      </c>
      <c r="W8" s="50">
        <v>0.0</v>
      </c>
      <c r="X8" s="50">
        <v>1.0</v>
      </c>
      <c r="Y8" s="116"/>
      <c r="Z8" s="116"/>
      <c r="AA8" s="116"/>
      <c r="AB8" s="116"/>
      <c r="AC8" s="116"/>
      <c r="AD8" s="116"/>
      <c r="AE8" s="50">
        <v>1.0</v>
      </c>
      <c r="AF8" s="50">
        <v>1.0</v>
      </c>
      <c r="AG8" s="50">
        <v>3.0</v>
      </c>
      <c r="AH8" s="50">
        <v>1.0</v>
      </c>
      <c r="AI8" s="116"/>
      <c r="AJ8" s="116"/>
      <c r="AK8" s="116"/>
      <c r="AL8" s="116"/>
      <c r="AM8" s="116"/>
      <c r="AN8" s="116"/>
      <c r="AO8" s="116"/>
      <c r="AP8" s="116"/>
      <c r="AQ8" s="50" t="s">
        <v>4582</v>
      </c>
      <c r="AR8" s="50" t="s">
        <v>2302</v>
      </c>
      <c r="AS8" s="50">
        <v>0.0</v>
      </c>
      <c r="AT8" s="50" t="s">
        <v>4537</v>
      </c>
      <c r="AU8" s="117">
        <v>2771.0</v>
      </c>
      <c r="AV8" s="50" t="s">
        <v>4583</v>
      </c>
      <c r="AW8" s="50" t="s">
        <v>4584</v>
      </c>
      <c r="AX8" s="117">
        <v>7.0</v>
      </c>
    </row>
    <row r="9">
      <c r="A9" s="50" t="s">
        <v>4585</v>
      </c>
      <c r="B9" s="50" t="s">
        <v>4586</v>
      </c>
      <c r="C9" s="116"/>
      <c r="D9" s="116"/>
      <c r="E9" s="50">
        <v>3.52155090281144E14</v>
      </c>
      <c r="F9" s="50">
        <v>58.0</v>
      </c>
      <c r="G9" s="50">
        <v>11.0</v>
      </c>
      <c r="H9" s="116"/>
      <c r="I9" s="116"/>
      <c r="J9" s="116"/>
      <c r="K9" s="116"/>
      <c r="L9" s="50" t="s">
        <v>4587</v>
      </c>
      <c r="M9" s="50" t="s">
        <v>4587</v>
      </c>
      <c r="N9" s="116"/>
      <c r="O9" s="116"/>
      <c r="P9" s="50" t="s">
        <v>4588</v>
      </c>
      <c r="Q9" s="50" t="s">
        <v>4589</v>
      </c>
      <c r="R9" s="50">
        <v>22.550148</v>
      </c>
      <c r="S9" s="50">
        <v>88.3965586</v>
      </c>
      <c r="T9" s="50">
        <v>-53.099998474121</v>
      </c>
      <c r="U9" s="50">
        <v>5.0</v>
      </c>
      <c r="V9" s="50">
        <v>1.0</v>
      </c>
      <c r="W9" s="50">
        <v>0.0</v>
      </c>
      <c r="X9" s="50">
        <v>1.0</v>
      </c>
      <c r="Y9" s="116"/>
      <c r="Z9" s="116"/>
      <c r="AA9" s="50">
        <v>2.0</v>
      </c>
      <c r="AB9" s="50">
        <v>1.0</v>
      </c>
      <c r="AC9" s="116"/>
      <c r="AD9" s="116"/>
      <c r="AE9" s="116"/>
      <c r="AF9" s="116"/>
      <c r="AG9" s="116"/>
      <c r="AH9" s="116"/>
      <c r="AI9" s="116"/>
      <c r="AJ9" s="116"/>
      <c r="AK9" s="116"/>
      <c r="AL9" s="116"/>
      <c r="AM9" s="116"/>
      <c r="AN9" s="116"/>
      <c r="AO9" s="116"/>
      <c r="AP9" s="116"/>
      <c r="AQ9" s="116"/>
      <c r="AR9" s="50" t="s">
        <v>2286</v>
      </c>
      <c r="AS9" s="50">
        <v>1.0</v>
      </c>
      <c r="AT9" s="50" t="s">
        <v>4537</v>
      </c>
      <c r="AU9" s="117">
        <v>2780.0</v>
      </c>
      <c r="AV9" s="50" t="s">
        <v>4591</v>
      </c>
      <c r="AW9" s="50" t="s">
        <v>4592</v>
      </c>
      <c r="AX9" s="117">
        <v>8.0</v>
      </c>
    </row>
    <row r="10">
      <c r="A10" s="50" t="s">
        <v>4593</v>
      </c>
      <c r="B10" s="50" t="s">
        <v>4594</v>
      </c>
      <c r="C10" s="116"/>
      <c r="D10" s="116"/>
      <c r="E10" s="50">
        <v>3.52155090281144E14</v>
      </c>
      <c r="F10" s="50">
        <v>58.0</v>
      </c>
      <c r="G10" s="50">
        <v>11.0</v>
      </c>
      <c r="H10" s="116"/>
      <c r="I10" s="116"/>
      <c r="J10" s="116"/>
      <c r="K10" s="116"/>
      <c r="L10" s="50" t="s">
        <v>4595</v>
      </c>
      <c r="M10" s="50" t="s">
        <v>4595</v>
      </c>
      <c r="N10" s="116"/>
      <c r="O10" s="116"/>
      <c r="P10" s="50" t="s">
        <v>4596</v>
      </c>
      <c r="Q10" s="50" t="s">
        <v>4597</v>
      </c>
      <c r="R10" s="50">
        <v>22.5491061</v>
      </c>
      <c r="S10" s="50">
        <v>88.3976895</v>
      </c>
      <c r="T10" s="50">
        <v>-23.2999992370605</v>
      </c>
      <c r="U10" s="50">
        <v>5.0</v>
      </c>
      <c r="V10" s="50">
        <v>1.0</v>
      </c>
      <c r="W10" s="50">
        <v>0.0</v>
      </c>
      <c r="X10" s="50">
        <v>1.0</v>
      </c>
      <c r="Y10" s="116"/>
      <c r="Z10" s="116"/>
      <c r="AA10" s="50">
        <v>2.0</v>
      </c>
      <c r="AB10" s="50">
        <v>5.0</v>
      </c>
      <c r="AC10" s="116"/>
      <c r="AD10" s="116"/>
      <c r="AE10" s="116"/>
      <c r="AF10" s="116"/>
      <c r="AG10" s="116"/>
      <c r="AH10" s="116"/>
      <c r="AI10" s="116"/>
      <c r="AJ10" s="116"/>
      <c r="AK10" s="116"/>
      <c r="AL10" s="116"/>
      <c r="AM10" s="116"/>
      <c r="AN10" s="116"/>
      <c r="AO10" s="116"/>
      <c r="AP10" s="116"/>
      <c r="AQ10" s="116"/>
      <c r="AR10" s="50" t="s">
        <v>2318</v>
      </c>
      <c r="AS10" s="50">
        <v>1.0</v>
      </c>
      <c r="AT10" s="50" t="s">
        <v>4537</v>
      </c>
      <c r="AU10" s="117">
        <v>2781.0</v>
      </c>
      <c r="AV10" s="50" t="s">
        <v>4598</v>
      </c>
      <c r="AW10" s="50" t="s">
        <v>4599</v>
      </c>
      <c r="AX10" s="117">
        <v>9.0</v>
      </c>
    </row>
    <row r="11">
      <c r="A11" s="50" t="s">
        <v>4600</v>
      </c>
      <c r="B11" s="50" t="s">
        <v>4601</v>
      </c>
      <c r="C11" s="116"/>
      <c r="D11" s="116"/>
      <c r="E11" s="50">
        <v>3.52155090281144E14</v>
      </c>
      <c r="F11" s="50">
        <v>59.0</v>
      </c>
      <c r="G11" s="50">
        <v>11.0</v>
      </c>
      <c r="H11" s="116"/>
      <c r="I11" s="116"/>
      <c r="J11" s="116"/>
      <c r="K11" s="116"/>
      <c r="L11" s="50" t="s">
        <v>381</v>
      </c>
      <c r="M11" s="50" t="s">
        <v>381</v>
      </c>
      <c r="N11" s="116"/>
      <c r="O11" s="116"/>
      <c r="P11" s="50" t="s">
        <v>4603</v>
      </c>
      <c r="Q11" s="50" t="s">
        <v>4604</v>
      </c>
      <c r="R11" s="50">
        <v>22.540996</v>
      </c>
      <c r="S11" s="50">
        <v>88.3742637</v>
      </c>
      <c r="T11" s="50">
        <v>-44.4000015258789</v>
      </c>
      <c r="U11" s="50">
        <v>5.0</v>
      </c>
      <c r="V11" s="50">
        <v>1.0</v>
      </c>
      <c r="W11" s="50">
        <v>0.0</v>
      </c>
      <c r="X11" s="50">
        <v>0.0</v>
      </c>
      <c r="Y11" s="50">
        <v>1.0</v>
      </c>
      <c r="Z11" s="116"/>
      <c r="AA11" s="50">
        <v>2.0</v>
      </c>
      <c r="AB11" s="50">
        <v>1.0</v>
      </c>
      <c r="AC11" s="116"/>
      <c r="AD11" s="116"/>
      <c r="AE11" s="116"/>
      <c r="AF11" s="116"/>
      <c r="AG11" s="116"/>
      <c r="AH11" s="116"/>
      <c r="AI11" s="116"/>
      <c r="AJ11" s="116"/>
      <c r="AK11" s="116"/>
      <c r="AL11" s="116"/>
      <c r="AM11" s="116"/>
      <c r="AN11" s="116"/>
      <c r="AO11" s="116"/>
      <c r="AP11" s="116"/>
      <c r="AQ11" s="116"/>
      <c r="AR11" s="50" t="s">
        <v>2302</v>
      </c>
      <c r="AS11" s="50">
        <v>1.0</v>
      </c>
      <c r="AT11" s="50" t="s">
        <v>4537</v>
      </c>
      <c r="AU11" s="117">
        <v>2791.0</v>
      </c>
      <c r="AV11" s="50" t="s">
        <v>4605</v>
      </c>
      <c r="AW11" s="50" t="s">
        <v>4606</v>
      </c>
      <c r="AX11" s="117">
        <v>10.0</v>
      </c>
    </row>
    <row r="12">
      <c r="A12" s="50" t="s">
        <v>4607</v>
      </c>
      <c r="B12" s="50" t="s">
        <v>4608</v>
      </c>
      <c r="C12" s="116"/>
      <c r="D12" s="116"/>
      <c r="E12" s="50">
        <v>3.52155090281144E14</v>
      </c>
      <c r="F12" s="50">
        <v>58.0</v>
      </c>
      <c r="G12" s="50">
        <v>11.0</v>
      </c>
      <c r="H12" s="116"/>
      <c r="I12" s="116"/>
      <c r="J12" s="116"/>
      <c r="K12" s="116"/>
      <c r="L12" s="50" t="s">
        <v>4609</v>
      </c>
      <c r="M12" s="50" t="s">
        <v>4609</v>
      </c>
      <c r="N12" s="116"/>
      <c r="O12" s="116"/>
      <c r="P12" s="50" t="s">
        <v>4610</v>
      </c>
      <c r="Q12" s="50" t="s">
        <v>4611</v>
      </c>
      <c r="R12" s="50">
        <v>22.5513954</v>
      </c>
      <c r="S12" s="50">
        <v>88.3963646</v>
      </c>
      <c r="T12" s="50">
        <v>-23.7999992370605</v>
      </c>
      <c r="U12" s="50">
        <v>5.0</v>
      </c>
      <c r="V12" s="50">
        <v>1.0</v>
      </c>
      <c r="W12" s="50">
        <v>0.0</v>
      </c>
      <c r="X12" s="50">
        <v>0.0</v>
      </c>
      <c r="Y12" s="50">
        <v>1.0</v>
      </c>
      <c r="Z12" s="116"/>
      <c r="AA12" s="50">
        <v>2.0</v>
      </c>
      <c r="AB12" s="50">
        <v>1.0</v>
      </c>
      <c r="AC12" s="116"/>
      <c r="AD12" s="116"/>
      <c r="AE12" s="116"/>
      <c r="AF12" s="116"/>
      <c r="AG12" s="116"/>
      <c r="AH12" s="116"/>
      <c r="AI12" s="116"/>
      <c r="AJ12" s="116"/>
      <c r="AK12" s="116"/>
      <c r="AL12" s="116"/>
      <c r="AM12" s="116"/>
      <c r="AN12" s="116"/>
      <c r="AO12" s="116"/>
      <c r="AP12" s="116"/>
      <c r="AQ12" s="116"/>
      <c r="AR12" s="50" t="s">
        <v>2302</v>
      </c>
      <c r="AS12" s="50">
        <v>1.0</v>
      </c>
      <c r="AT12" s="50" t="s">
        <v>4537</v>
      </c>
      <c r="AU12" s="117">
        <v>2792.0</v>
      </c>
      <c r="AV12" s="50" t="s">
        <v>4613</v>
      </c>
      <c r="AW12" s="50" t="s">
        <v>4614</v>
      </c>
      <c r="AX12" s="117">
        <v>11.0</v>
      </c>
    </row>
    <row r="13">
      <c r="A13" s="50" t="s">
        <v>4615</v>
      </c>
      <c r="B13" s="50" t="s">
        <v>4616</v>
      </c>
      <c r="C13" s="116"/>
      <c r="D13" s="116"/>
      <c r="E13" s="50">
        <v>3.52155090281144E14</v>
      </c>
      <c r="F13" s="50">
        <v>57.0</v>
      </c>
      <c r="G13" s="50">
        <v>12.0</v>
      </c>
      <c r="H13" s="116"/>
      <c r="I13" s="116"/>
      <c r="J13" s="116"/>
      <c r="K13" s="116"/>
      <c r="L13" s="50" t="s">
        <v>384</v>
      </c>
      <c r="M13" s="50" t="s">
        <v>384</v>
      </c>
      <c r="N13" s="50">
        <v>2.0</v>
      </c>
      <c r="O13" s="50" t="s">
        <v>4617</v>
      </c>
      <c r="P13" s="116"/>
      <c r="Q13" s="50" t="s">
        <v>4618</v>
      </c>
      <c r="R13" s="50">
        <v>22.5543626</v>
      </c>
      <c r="S13" s="50">
        <v>88.3967447</v>
      </c>
      <c r="T13" s="50">
        <v>-36.7000007629394</v>
      </c>
      <c r="U13" s="50">
        <v>4.5</v>
      </c>
      <c r="V13" s="50">
        <v>1.0</v>
      </c>
      <c r="W13" s="50">
        <v>1.0</v>
      </c>
      <c r="X13" s="116"/>
      <c r="Y13" s="116"/>
      <c r="Z13" s="116"/>
      <c r="AA13" s="116"/>
      <c r="AB13" s="116"/>
      <c r="AC13" s="116"/>
      <c r="AD13" s="116"/>
      <c r="AE13" s="50">
        <v>1.0</v>
      </c>
      <c r="AF13" s="50">
        <v>2.0</v>
      </c>
      <c r="AG13" s="50">
        <v>3.0</v>
      </c>
      <c r="AH13" s="50">
        <v>1.0</v>
      </c>
      <c r="AI13" s="116"/>
      <c r="AJ13" s="116"/>
      <c r="AK13" s="116"/>
      <c r="AL13" s="116"/>
      <c r="AM13" s="116"/>
      <c r="AN13" s="116"/>
      <c r="AO13" s="116"/>
      <c r="AP13" s="116"/>
      <c r="AQ13" s="116"/>
      <c r="AR13" s="50" t="s">
        <v>2302</v>
      </c>
      <c r="AS13" s="50">
        <v>0.0</v>
      </c>
      <c r="AT13" s="50" t="s">
        <v>4619</v>
      </c>
      <c r="AU13" s="117">
        <v>2814.0</v>
      </c>
      <c r="AV13" s="50" t="s">
        <v>4620</v>
      </c>
      <c r="AW13" s="50" t="s">
        <v>4621</v>
      </c>
      <c r="AX13" s="117">
        <v>12.0</v>
      </c>
    </row>
    <row r="14">
      <c r="A14" s="50" t="s">
        <v>4622</v>
      </c>
      <c r="B14" s="50" t="s">
        <v>4623</v>
      </c>
      <c r="C14" s="116"/>
      <c r="D14" s="116"/>
      <c r="E14" s="50">
        <v>3.52155090281144E14</v>
      </c>
      <c r="F14" s="50">
        <v>57.0</v>
      </c>
      <c r="G14" s="50">
        <v>12.0</v>
      </c>
      <c r="H14" s="116"/>
      <c r="I14" s="116"/>
      <c r="J14" s="116"/>
      <c r="K14" s="116"/>
      <c r="L14" s="50" t="s">
        <v>387</v>
      </c>
      <c r="M14" s="50" t="s">
        <v>387</v>
      </c>
      <c r="N14" s="50">
        <v>1.0</v>
      </c>
      <c r="O14" s="50" t="s">
        <v>4624</v>
      </c>
      <c r="P14" s="116"/>
      <c r="Q14" s="50" t="s">
        <v>4625</v>
      </c>
      <c r="R14" s="50">
        <v>22.5579092</v>
      </c>
      <c r="S14" s="50">
        <v>88.4108149</v>
      </c>
      <c r="T14" s="50">
        <v>-75.4000015258789</v>
      </c>
      <c r="U14" s="50">
        <v>5.0</v>
      </c>
      <c r="V14" s="50">
        <v>1.0</v>
      </c>
      <c r="W14" s="50">
        <v>1.0</v>
      </c>
      <c r="X14" s="116"/>
      <c r="Y14" s="116"/>
      <c r="Z14" s="116"/>
      <c r="AA14" s="116"/>
      <c r="AB14" s="116"/>
      <c r="AC14" s="116"/>
      <c r="AD14" s="116"/>
      <c r="AE14" s="50">
        <v>1.0</v>
      </c>
      <c r="AF14" s="50">
        <v>2.0</v>
      </c>
      <c r="AG14" s="50">
        <v>3.0</v>
      </c>
      <c r="AH14" s="50">
        <v>1.0</v>
      </c>
      <c r="AI14" s="116"/>
      <c r="AJ14" s="116"/>
      <c r="AK14" s="116"/>
      <c r="AL14" s="116"/>
      <c r="AM14" s="116"/>
      <c r="AN14" s="116"/>
      <c r="AO14" s="116"/>
      <c r="AP14" s="116"/>
      <c r="AQ14" s="50" t="s">
        <v>4627</v>
      </c>
      <c r="AR14" s="50" t="s">
        <v>2310</v>
      </c>
      <c r="AS14" s="50">
        <v>0.0</v>
      </c>
      <c r="AT14" s="50" t="s">
        <v>4619</v>
      </c>
      <c r="AU14" s="117">
        <v>2815.0</v>
      </c>
      <c r="AV14" s="50" t="s">
        <v>4628</v>
      </c>
      <c r="AW14" s="50" t="s">
        <v>4629</v>
      </c>
      <c r="AX14" s="117">
        <v>13.0</v>
      </c>
    </row>
    <row r="15">
      <c r="A15" s="50" t="s">
        <v>4630</v>
      </c>
      <c r="B15" s="50" t="s">
        <v>4631</v>
      </c>
      <c r="C15" s="116"/>
      <c r="D15" s="116"/>
      <c r="E15" s="50">
        <v>3.52155090281144E14</v>
      </c>
      <c r="F15" s="50">
        <v>58.0</v>
      </c>
      <c r="G15" s="50">
        <v>11.0</v>
      </c>
      <c r="H15" s="50">
        <v>4.0</v>
      </c>
      <c r="I15" s="50">
        <v>0.0</v>
      </c>
      <c r="J15" s="116"/>
      <c r="K15" s="116"/>
      <c r="L15" s="50" t="s">
        <v>396</v>
      </c>
      <c r="M15" s="50" t="s">
        <v>396</v>
      </c>
      <c r="N15" s="116"/>
      <c r="O15" s="116"/>
      <c r="P15" s="50" t="s">
        <v>4632</v>
      </c>
      <c r="Q15" s="50" t="s">
        <v>4633</v>
      </c>
      <c r="R15" s="50">
        <v>22.5531595</v>
      </c>
      <c r="S15" s="50">
        <v>88.3984599</v>
      </c>
      <c r="T15" s="50">
        <v>-19.0</v>
      </c>
      <c r="U15" s="50">
        <v>5.0</v>
      </c>
      <c r="V15" s="50">
        <v>1.0</v>
      </c>
      <c r="W15" s="50">
        <v>1.0</v>
      </c>
      <c r="X15" s="116"/>
      <c r="Y15" s="116"/>
      <c r="Z15" s="116"/>
      <c r="AA15" s="50">
        <v>2.0</v>
      </c>
      <c r="AB15" s="50">
        <v>6.0</v>
      </c>
      <c r="AC15" s="116"/>
      <c r="AD15" s="116"/>
      <c r="AE15" s="116"/>
      <c r="AF15" s="116"/>
      <c r="AG15" s="116"/>
      <c r="AH15" s="116"/>
      <c r="AI15" s="116"/>
      <c r="AJ15" s="116"/>
      <c r="AK15" s="116"/>
      <c r="AL15" s="116"/>
      <c r="AM15" s="116"/>
      <c r="AN15" s="116"/>
      <c r="AO15" s="116"/>
      <c r="AP15" s="116"/>
      <c r="AQ15" s="116"/>
      <c r="AR15" s="50" t="s">
        <v>2302</v>
      </c>
      <c r="AS15" s="50">
        <v>1.0</v>
      </c>
      <c r="AT15" s="50" t="s">
        <v>4619</v>
      </c>
      <c r="AU15" s="117">
        <v>2835.0</v>
      </c>
      <c r="AV15" s="50" t="s">
        <v>4635</v>
      </c>
      <c r="AW15" s="50" t="s">
        <v>4636</v>
      </c>
      <c r="AX15" s="117">
        <v>14.0</v>
      </c>
    </row>
    <row r="16">
      <c r="A16" s="50" t="s">
        <v>4637</v>
      </c>
      <c r="B16" s="50" t="s">
        <v>4638</v>
      </c>
      <c r="C16" s="116"/>
      <c r="D16" s="116"/>
      <c r="E16" s="50">
        <v>3.52155090281144E14</v>
      </c>
      <c r="F16" s="50">
        <v>57.0</v>
      </c>
      <c r="G16" s="50">
        <v>12.0</v>
      </c>
      <c r="H16" s="116"/>
      <c r="I16" s="116"/>
      <c r="J16" s="116"/>
      <c r="K16" s="116"/>
      <c r="L16" s="50" t="s">
        <v>404</v>
      </c>
      <c r="M16" s="50" t="s">
        <v>404</v>
      </c>
      <c r="N16" s="50">
        <v>3.0</v>
      </c>
      <c r="O16" s="50" t="s">
        <v>4639</v>
      </c>
      <c r="P16" s="116"/>
      <c r="Q16" s="50" t="s">
        <v>4640</v>
      </c>
      <c r="R16" s="50">
        <v>22.5563309</v>
      </c>
      <c r="S16" s="50">
        <v>88.392182</v>
      </c>
      <c r="T16" s="50">
        <v>-46.599998474121</v>
      </c>
      <c r="U16" s="50">
        <v>5.0</v>
      </c>
      <c r="V16" s="50">
        <v>1.0</v>
      </c>
      <c r="W16" s="50">
        <v>0.0</v>
      </c>
      <c r="X16" s="50">
        <v>1.0</v>
      </c>
      <c r="Y16" s="116"/>
      <c r="Z16" s="116"/>
      <c r="AA16" s="116"/>
      <c r="AB16" s="116"/>
      <c r="AC16" s="116"/>
      <c r="AD16" s="116"/>
      <c r="AE16" s="50">
        <v>1.0</v>
      </c>
      <c r="AF16" s="50">
        <v>2.0</v>
      </c>
      <c r="AG16" s="50">
        <v>3.0</v>
      </c>
      <c r="AH16" s="50">
        <v>1.0</v>
      </c>
      <c r="AI16" s="116"/>
      <c r="AJ16" s="116"/>
      <c r="AK16" s="116"/>
      <c r="AL16" s="116"/>
      <c r="AM16" s="116"/>
      <c r="AN16" s="116"/>
      <c r="AO16" s="116"/>
      <c r="AP16" s="116"/>
      <c r="AQ16" s="50" t="s">
        <v>4575</v>
      </c>
      <c r="AR16" s="50" t="s">
        <v>2302</v>
      </c>
      <c r="AS16" s="50">
        <v>0.0</v>
      </c>
      <c r="AT16" s="50" t="s">
        <v>4619</v>
      </c>
      <c r="AU16" s="117">
        <v>2861.0</v>
      </c>
      <c r="AV16" s="50" t="s">
        <v>4641</v>
      </c>
      <c r="AW16" s="50" t="s">
        <v>4642</v>
      </c>
      <c r="AX16" s="117">
        <v>15.0</v>
      </c>
    </row>
    <row r="17">
      <c r="A17" s="50" t="s">
        <v>4643</v>
      </c>
      <c r="B17" s="50" t="s">
        <v>4644</v>
      </c>
      <c r="C17" s="116"/>
      <c r="D17" s="116"/>
      <c r="E17" s="50">
        <v>3.52155090281144E14</v>
      </c>
      <c r="F17" s="50">
        <v>57.0</v>
      </c>
      <c r="G17" s="50">
        <v>12.0</v>
      </c>
      <c r="H17" s="116"/>
      <c r="I17" s="116"/>
      <c r="J17" s="116"/>
      <c r="K17" s="116"/>
      <c r="L17" s="50" t="s">
        <v>406</v>
      </c>
      <c r="M17" s="50" t="s">
        <v>406</v>
      </c>
      <c r="N17" s="50">
        <v>4.0</v>
      </c>
      <c r="O17" s="50" t="s">
        <v>4645</v>
      </c>
      <c r="P17" s="116"/>
      <c r="Q17" s="50" t="s">
        <v>4646</v>
      </c>
      <c r="R17" s="50">
        <v>22.5636877</v>
      </c>
      <c r="S17" s="50">
        <v>88.3772106</v>
      </c>
      <c r="T17" s="50">
        <v>-42.4000015258789</v>
      </c>
      <c r="U17" s="50">
        <v>5.0</v>
      </c>
      <c r="V17" s="50">
        <v>1.0</v>
      </c>
      <c r="W17" s="50">
        <v>0.0</v>
      </c>
      <c r="X17" s="50">
        <v>1.0</v>
      </c>
      <c r="Y17" s="116"/>
      <c r="Z17" s="116"/>
      <c r="AA17" s="116"/>
      <c r="AB17" s="116"/>
      <c r="AC17" s="116"/>
      <c r="AD17" s="116"/>
      <c r="AE17" s="50">
        <v>1.0</v>
      </c>
      <c r="AF17" s="50">
        <v>1.0</v>
      </c>
      <c r="AG17" s="50">
        <v>4.0</v>
      </c>
      <c r="AH17" s="50">
        <v>1.0</v>
      </c>
      <c r="AI17" s="116"/>
      <c r="AJ17" s="116"/>
      <c r="AK17" s="116"/>
      <c r="AL17" s="116"/>
      <c r="AM17" s="116"/>
      <c r="AN17" s="116"/>
      <c r="AO17" s="116"/>
      <c r="AP17" s="116"/>
      <c r="AQ17" s="50" t="s">
        <v>4648</v>
      </c>
      <c r="AR17" s="50" t="s">
        <v>2302</v>
      </c>
      <c r="AS17" s="50">
        <v>0.0</v>
      </c>
      <c r="AT17" s="50" t="s">
        <v>4619</v>
      </c>
      <c r="AU17" s="117">
        <v>2862.0</v>
      </c>
      <c r="AV17" s="50" t="s">
        <v>4649</v>
      </c>
      <c r="AW17" s="50" t="s">
        <v>4650</v>
      </c>
      <c r="AX17" s="117">
        <v>16.0</v>
      </c>
    </row>
    <row r="18">
      <c r="A18" s="50" t="s">
        <v>4651</v>
      </c>
      <c r="B18" s="50" t="s">
        <v>4652</v>
      </c>
      <c r="C18" s="116"/>
      <c r="D18" s="116"/>
      <c r="E18" s="50">
        <v>3.52155090281144E14</v>
      </c>
      <c r="F18" s="50">
        <v>59.0</v>
      </c>
      <c r="G18" s="50">
        <v>11.0</v>
      </c>
      <c r="H18" s="50">
        <v>4.0</v>
      </c>
      <c r="I18" s="50">
        <v>1.0</v>
      </c>
      <c r="J18" s="50" t="s">
        <v>4653</v>
      </c>
      <c r="K18" s="116"/>
      <c r="L18" s="50" t="s">
        <v>408</v>
      </c>
      <c r="M18" s="50" t="s">
        <v>408</v>
      </c>
      <c r="N18" s="116"/>
      <c r="O18" s="116"/>
      <c r="P18" s="50" t="s">
        <v>4654</v>
      </c>
      <c r="Q18" s="50" t="s">
        <v>4655</v>
      </c>
      <c r="R18" s="50">
        <v>22.5411175</v>
      </c>
      <c r="S18" s="50">
        <v>88.3743468</v>
      </c>
      <c r="T18" s="50">
        <v>-47.5</v>
      </c>
      <c r="U18" s="50">
        <v>5.0</v>
      </c>
      <c r="V18" s="50">
        <v>1.0</v>
      </c>
      <c r="W18" s="50">
        <v>0.0</v>
      </c>
      <c r="X18" s="50">
        <v>1.0</v>
      </c>
      <c r="Y18" s="116"/>
      <c r="Z18" s="116"/>
      <c r="AA18" s="50">
        <v>2.0</v>
      </c>
      <c r="AB18" s="50">
        <v>1.0</v>
      </c>
      <c r="AC18" s="116"/>
      <c r="AD18" s="116"/>
      <c r="AE18" s="116"/>
      <c r="AF18" s="116"/>
      <c r="AG18" s="116"/>
      <c r="AH18" s="116"/>
      <c r="AI18" s="116"/>
      <c r="AJ18" s="116"/>
      <c r="AK18" s="116"/>
      <c r="AL18" s="116"/>
      <c r="AM18" s="116"/>
      <c r="AN18" s="116"/>
      <c r="AO18" s="116"/>
      <c r="AP18" s="116"/>
      <c r="AQ18" s="116"/>
      <c r="AR18" s="50" t="s">
        <v>2302</v>
      </c>
      <c r="AS18" s="50">
        <v>1.0</v>
      </c>
      <c r="AT18" s="50" t="s">
        <v>4619</v>
      </c>
      <c r="AU18" s="117">
        <v>2863.0</v>
      </c>
      <c r="AV18" s="50" t="s">
        <v>4656</v>
      </c>
      <c r="AW18" s="50" t="s">
        <v>4657</v>
      </c>
      <c r="AX18" s="117">
        <v>17.0</v>
      </c>
    </row>
    <row r="19">
      <c r="A19" s="50" t="s">
        <v>4658</v>
      </c>
      <c r="B19" s="50" t="s">
        <v>4659</v>
      </c>
      <c r="C19" s="116"/>
      <c r="D19" s="116"/>
      <c r="E19" s="50">
        <v>3.52155090281144E14</v>
      </c>
      <c r="F19" s="50">
        <v>59.0</v>
      </c>
      <c r="G19" s="50">
        <v>11.0</v>
      </c>
      <c r="H19" s="50">
        <v>4.0</v>
      </c>
      <c r="I19" s="50">
        <v>1.0</v>
      </c>
      <c r="J19" s="50" t="s">
        <v>4653</v>
      </c>
      <c r="K19" s="116"/>
      <c r="L19" s="50" t="s">
        <v>409</v>
      </c>
      <c r="M19" s="50" t="s">
        <v>409</v>
      </c>
      <c r="N19" s="116"/>
      <c r="O19" s="116"/>
      <c r="P19" s="50" t="s">
        <v>4660</v>
      </c>
      <c r="Q19" s="50" t="s">
        <v>4661</v>
      </c>
      <c r="R19" s="50">
        <v>22.5410313</v>
      </c>
      <c r="S19" s="50">
        <v>88.3743882</v>
      </c>
      <c r="T19" s="50">
        <v>-60.2000007629394</v>
      </c>
      <c r="U19" s="50">
        <v>5.0</v>
      </c>
      <c r="V19" s="50">
        <v>1.0</v>
      </c>
      <c r="W19" s="50">
        <v>0.0</v>
      </c>
      <c r="X19" s="50">
        <v>1.0</v>
      </c>
      <c r="Y19" s="116"/>
      <c r="Z19" s="116"/>
      <c r="AA19" s="50">
        <v>2.0</v>
      </c>
      <c r="AB19" s="50">
        <v>1.0</v>
      </c>
      <c r="AC19" s="116"/>
      <c r="AD19" s="116"/>
      <c r="AE19" s="116"/>
      <c r="AF19" s="116"/>
      <c r="AG19" s="116"/>
      <c r="AH19" s="116"/>
      <c r="AI19" s="116"/>
      <c r="AJ19" s="116"/>
      <c r="AK19" s="116"/>
      <c r="AL19" s="116"/>
      <c r="AM19" s="116"/>
      <c r="AN19" s="116"/>
      <c r="AO19" s="116"/>
      <c r="AP19" s="116"/>
      <c r="AQ19" s="116"/>
      <c r="AR19" s="50" t="s">
        <v>2472</v>
      </c>
      <c r="AS19" s="50">
        <v>1.0</v>
      </c>
      <c r="AT19" s="50" t="s">
        <v>4619</v>
      </c>
      <c r="AU19" s="117">
        <v>2868.0</v>
      </c>
      <c r="AV19" s="50" t="s">
        <v>4663</v>
      </c>
      <c r="AW19" s="50" t="s">
        <v>4664</v>
      </c>
      <c r="AX19" s="117">
        <v>18.0</v>
      </c>
    </row>
    <row r="20">
      <c r="A20" s="50" t="s">
        <v>4665</v>
      </c>
      <c r="B20" s="50" t="s">
        <v>4666</v>
      </c>
      <c r="C20" s="116"/>
      <c r="D20" s="116"/>
      <c r="E20" s="50">
        <v>3.52155090281144E14</v>
      </c>
      <c r="F20" s="50">
        <v>58.0</v>
      </c>
      <c r="G20" s="50">
        <v>11.0</v>
      </c>
      <c r="H20" s="50">
        <v>2.0</v>
      </c>
      <c r="I20" s="116"/>
      <c r="J20" s="116"/>
      <c r="K20" s="116"/>
      <c r="L20" s="50" t="s">
        <v>419</v>
      </c>
      <c r="M20" s="50" t="s">
        <v>419</v>
      </c>
      <c r="N20" s="116"/>
      <c r="O20" s="116"/>
      <c r="P20" s="50" t="s">
        <v>4667</v>
      </c>
      <c r="Q20" s="50" t="s">
        <v>4668</v>
      </c>
      <c r="R20" s="50">
        <v>22.5532395</v>
      </c>
      <c r="S20" s="50">
        <v>88.4001653</v>
      </c>
      <c r="T20" s="50">
        <v>-57.7000007629394</v>
      </c>
      <c r="U20" s="50">
        <v>5.0</v>
      </c>
      <c r="V20" s="50">
        <v>1.0</v>
      </c>
      <c r="W20" s="50">
        <v>0.0</v>
      </c>
      <c r="X20" s="50">
        <v>1.0</v>
      </c>
      <c r="Y20" s="116"/>
      <c r="Z20" s="116"/>
      <c r="AA20" s="50">
        <v>2.0</v>
      </c>
      <c r="AB20" s="50">
        <v>1.0</v>
      </c>
      <c r="AC20" s="116"/>
      <c r="AD20" s="116"/>
      <c r="AE20" s="116"/>
      <c r="AF20" s="116"/>
      <c r="AG20" s="116"/>
      <c r="AH20" s="116"/>
      <c r="AI20" s="116"/>
      <c r="AJ20" s="116"/>
      <c r="AK20" s="116"/>
      <c r="AL20" s="116"/>
      <c r="AM20" s="116"/>
      <c r="AN20" s="116"/>
      <c r="AO20" s="116"/>
      <c r="AP20" s="116"/>
      <c r="AQ20" s="50" t="s">
        <v>4669</v>
      </c>
      <c r="AR20" s="50" t="s">
        <v>2302</v>
      </c>
      <c r="AS20" s="50">
        <v>1.0</v>
      </c>
      <c r="AT20" s="50" t="s">
        <v>4619</v>
      </c>
      <c r="AU20" s="117">
        <v>2898.0</v>
      </c>
      <c r="AV20" s="50" t="s">
        <v>4671</v>
      </c>
      <c r="AW20" s="50" t="s">
        <v>4672</v>
      </c>
      <c r="AX20" s="117">
        <v>19.0</v>
      </c>
    </row>
    <row r="21">
      <c r="A21" s="50" t="s">
        <v>4673</v>
      </c>
      <c r="B21" s="50" t="s">
        <v>4674</v>
      </c>
      <c r="C21" s="116"/>
      <c r="D21" s="116"/>
      <c r="E21" s="50">
        <v>3.52155090281144E14</v>
      </c>
      <c r="F21" s="50">
        <v>59.0</v>
      </c>
      <c r="G21" s="50">
        <v>11.0</v>
      </c>
      <c r="H21" s="50">
        <v>4.0</v>
      </c>
      <c r="I21" s="50">
        <v>1.0</v>
      </c>
      <c r="J21" s="50" t="s">
        <v>4653</v>
      </c>
      <c r="K21" s="116"/>
      <c r="L21" s="50" t="s">
        <v>429</v>
      </c>
      <c r="M21" s="50" t="s">
        <v>429</v>
      </c>
      <c r="N21" s="116"/>
      <c r="O21" s="116"/>
      <c r="P21" s="50" t="s">
        <v>4675</v>
      </c>
      <c r="Q21" s="50" t="s">
        <v>4676</v>
      </c>
      <c r="R21" s="50">
        <v>22.541005</v>
      </c>
      <c r="S21" s="50">
        <v>88.3743089</v>
      </c>
      <c r="T21" s="50">
        <v>-48.7999992370605</v>
      </c>
      <c r="U21" s="50">
        <v>5.0</v>
      </c>
      <c r="V21" s="50">
        <v>1.0</v>
      </c>
      <c r="W21" s="50">
        <v>0.0</v>
      </c>
      <c r="X21" s="50">
        <v>1.0</v>
      </c>
      <c r="Y21" s="116"/>
      <c r="Z21" s="116"/>
      <c r="AA21" s="50">
        <v>2.0</v>
      </c>
      <c r="AB21" s="50">
        <v>1.0</v>
      </c>
      <c r="AC21" s="116"/>
      <c r="AD21" s="116"/>
      <c r="AE21" s="116"/>
      <c r="AF21" s="116"/>
      <c r="AG21" s="116"/>
      <c r="AH21" s="116"/>
      <c r="AI21" s="116"/>
      <c r="AJ21" s="116"/>
      <c r="AK21" s="116"/>
      <c r="AL21" s="116"/>
      <c r="AM21" s="116"/>
      <c r="AN21" s="116"/>
      <c r="AO21" s="116"/>
      <c r="AP21" s="116"/>
      <c r="AQ21" s="116"/>
      <c r="AR21" s="50" t="s">
        <v>2302</v>
      </c>
      <c r="AS21" s="50">
        <v>1.0</v>
      </c>
      <c r="AT21" s="50" t="s">
        <v>4619</v>
      </c>
      <c r="AU21" s="117">
        <v>2925.0</v>
      </c>
      <c r="AV21" s="50" t="s">
        <v>4677</v>
      </c>
      <c r="AW21" s="50" t="s">
        <v>4678</v>
      </c>
      <c r="AX21" s="117">
        <v>20.0</v>
      </c>
    </row>
    <row r="22">
      <c r="A22" s="50" t="s">
        <v>4679</v>
      </c>
      <c r="B22" s="50" t="s">
        <v>4680</v>
      </c>
      <c r="C22" s="116"/>
      <c r="D22" s="116"/>
      <c r="E22" s="50">
        <v>3.52155090281144E14</v>
      </c>
      <c r="F22" s="50">
        <v>58.0</v>
      </c>
      <c r="G22" s="50">
        <v>11.0</v>
      </c>
      <c r="H22" s="50">
        <v>4.0</v>
      </c>
      <c r="I22" s="50">
        <v>0.0</v>
      </c>
      <c r="J22" s="116"/>
      <c r="K22" s="116"/>
      <c r="L22" s="50" t="s">
        <v>431</v>
      </c>
      <c r="M22" s="50" t="s">
        <v>431</v>
      </c>
      <c r="N22" s="116"/>
      <c r="O22" s="116"/>
      <c r="P22" s="50" t="s">
        <v>4681</v>
      </c>
      <c r="Q22" s="50" t="s">
        <v>4682</v>
      </c>
      <c r="R22" s="50">
        <v>22.5529452</v>
      </c>
      <c r="S22" s="50">
        <v>88.4000052</v>
      </c>
      <c r="T22" s="50">
        <v>-37.5</v>
      </c>
      <c r="U22" s="50">
        <v>5.0</v>
      </c>
      <c r="V22" s="50">
        <v>1.0</v>
      </c>
      <c r="W22" s="50">
        <v>0.0</v>
      </c>
      <c r="X22" s="50">
        <v>1.0</v>
      </c>
      <c r="Y22" s="116"/>
      <c r="Z22" s="116"/>
      <c r="AA22" s="50">
        <v>2.0</v>
      </c>
      <c r="AB22" s="50">
        <v>1.0</v>
      </c>
      <c r="AC22" s="116"/>
      <c r="AD22" s="116"/>
      <c r="AE22" s="116"/>
      <c r="AF22" s="116"/>
      <c r="AG22" s="116"/>
      <c r="AH22" s="116"/>
      <c r="AI22" s="116"/>
      <c r="AJ22" s="116"/>
      <c r="AK22" s="116"/>
      <c r="AL22" s="116"/>
      <c r="AM22" s="116"/>
      <c r="AN22" s="116"/>
      <c r="AO22" s="116"/>
      <c r="AP22" s="116"/>
      <c r="AQ22" s="116"/>
      <c r="AR22" s="50" t="s">
        <v>2327</v>
      </c>
      <c r="AS22" s="50">
        <v>1.0</v>
      </c>
      <c r="AT22" s="50" t="s">
        <v>4619</v>
      </c>
      <c r="AU22" s="117">
        <v>2953.0</v>
      </c>
      <c r="AV22" s="50" t="s">
        <v>4684</v>
      </c>
      <c r="AW22" s="50" t="s">
        <v>4685</v>
      </c>
      <c r="AX22" s="117">
        <v>21.0</v>
      </c>
    </row>
    <row r="23">
      <c r="A23" s="50" t="s">
        <v>4686</v>
      </c>
      <c r="B23" s="50" t="s">
        <v>4687</v>
      </c>
      <c r="C23" s="116"/>
      <c r="D23" s="116"/>
      <c r="E23" s="50">
        <v>3.52155090281144E14</v>
      </c>
      <c r="F23" s="50">
        <v>59.0</v>
      </c>
      <c r="G23" s="50">
        <v>11.0</v>
      </c>
      <c r="H23" s="50">
        <v>4.0</v>
      </c>
      <c r="I23" s="50">
        <v>1.0</v>
      </c>
      <c r="J23" s="50" t="s">
        <v>4653</v>
      </c>
      <c r="K23" s="116"/>
      <c r="L23" s="50" t="s">
        <v>432</v>
      </c>
      <c r="M23" s="50" t="s">
        <v>432</v>
      </c>
      <c r="N23" s="116"/>
      <c r="O23" s="116"/>
      <c r="P23" s="50" t="s">
        <v>4688</v>
      </c>
      <c r="Q23" s="50" t="s">
        <v>4689</v>
      </c>
      <c r="R23" s="50">
        <v>22.5410628</v>
      </c>
      <c r="S23" s="50">
        <v>88.374244</v>
      </c>
      <c r="T23" s="50">
        <v>-46.2000007629394</v>
      </c>
      <c r="U23" s="50">
        <v>5.0</v>
      </c>
      <c r="V23" s="50">
        <v>1.0</v>
      </c>
      <c r="W23" s="50">
        <v>0.0</v>
      </c>
      <c r="X23" s="50">
        <v>1.0</v>
      </c>
      <c r="Y23" s="116"/>
      <c r="Z23" s="116"/>
      <c r="AA23" s="50">
        <v>2.0</v>
      </c>
      <c r="AB23" s="50">
        <v>1.0</v>
      </c>
      <c r="AC23" s="116"/>
      <c r="AD23" s="116"/>
      <c r="AE23" s="116"/>
      <c r="AF23" s="116"/>
      <c r="AG23" s="116"/>
      <c r="AH23" s="116"/>
      <c r="AI23" s="116"/>
      <c r="AJ23" s="116"/>
      <c r="AK23" s="116"/>
      <c r="AL23" s="116"/>
      <c r="AM23" s="116"/>
      <c r="AN23" s="116"/>
      <c r="AO23" s="116"/>
      <c r="AP23" s="116"/>
      <c r="AQ23" s="116"/>
      <c r="AR23" s="50" t="s">
        <v>2472</v>
      </c>
      <c r="AS23" s="50">
        <v>1.0</v>
      </c>
      <c r="AT23" s="50" t="s">
        <v>4619</v>
      </c>
      <c r="AU23" s="117">
        <v>2954.0</v>
      </c>
      <c r="AV23" s="50" t="s">
        <v>4690</v>
      </c>
      <c r="AW23" s="50" t="s">
        <v>4691</v>
      </c>
      <c r="AX23" s="117">
        <v>22.0</v>
      </c>
    </row>
    <row r="24">
      <c r="A24" s="50" t="s">
        <v>4692</v>
      </c>
      <c r="B24" s="50" t="s">
        <v>4693</v>
      </c>
      <c r="C24" s="116"/>
      <c r="D24" s="116"/>
      <c r="E24" s="50">
        <v>3.52155090281144E14</v>
      </c>
      <c r="F24" s="50">
        <v>57.0</v>
      </c>
      <c r="G24" s="50">
        <v>12.0</v>
      </c>
      <c r="H24" s="116"/>
      <c r="I24" s="116"/>
      <c r="J24" s="116"/>
      <c r="K24" s="116"/>
      <c r="L24" s="50" t="s">
        <v>442</v>
      </c>
      <c r="M24" s="50" t="s">
        <v>442</v>
      </c>
      <c r="N24" s="50">
        <v>1.0</v>
      </c>
      <c r="O24" s="50" t="s">
        <v>4694</v>
      </c>
      <c r="P24" s="116"/>
      <c r="Q24" s="50" t="s">
        <v>4695</v>
      </c>
      <c r="R24" s="50">
        <v>22.5579634</v>
      </c>
      <c r="S24" s="50">
        <v>88.4108756</v>
      </c>
      <c r="T24" s="50">
        <v>-55.599998474121</v>
      </c>
      <c r="U24" s="50">
        <v>4.5</v>
      </c>
      <c r="V24" s="50">
        <v>1.0</v>
      </c>
      <c r="W24" s="50">
        <v>0.0</v>
      </c>
      <c r="X24" s="50">
        <v>1.0</v>
      </c>
      <c r="Y24" s="116"/>
      <c r="Z24" s="116"/>
      <c r="AA24" s="116"/>
      <c r="AB24" s="116"/>
      <c r="AC24" s="116"/>
      <c r="AD24" s="116"/>
      <c r="AE24" s="50">
        <v>1.0</v>
      </c>
      <c r="AF24" s="50">
        <v>1.0</v>
      </c>
      <c r="AG24" s="50">
        <v>4.0</v>
      </c>
      <c r="AH24" s="50">
        <v>1.0</v>
      </c>
      <c r="AI24" s="116"/>
      <c r="AJ24" s="116"/>
      <c r="AK24" s="116"/>
      <c r="AL24" s="116"/>
      <c r="AM24" s="116"/>
      <c r="AN24" s="116"/>
      <c r="AO24" s="116"/>
      <c r="AP24" s="116"/>
      <c r="AQ24" s="116"/>
      <c r="AR24" s="50" t="s">
        <v>4697</v>
      </c>
      <c r="AS24" s="50">
        <v>0.0</v>
      </c>
      <c r="AT24" s="50" t="s">
        <v>4619</v>
      </c>
      <c r="AU24" s="117">
        <v>2996.0</v>
      </c>
      <c r="AV24" s="50" t="s">
        <v>4698</v>
      </c>
      <c r="AW24" s="50" t="s">
        <v>4699</v>
      </c>
      <c r="AX24" s="117">
        <v>23.0</v>
      </c>
    </row>
    <row r="25">
      <c r="A25" s="50" t="s">
        <v>4700</v>
      </c>
      <c r="B25" s="50" t="s">
        <v>4701</v>
      </c>
      <c r="C25" s="116"/>
      <c r="D25" s="116"/>
      <c r="E25" s="50">
        <v>3.52155090281144E14</v>
      </c>
      <c r="F25" s="50">
        <v>57.0</v>
      </c>
      <c r="G25" s="50">
        <v>12.0</v>
      </c>
      <c r="H25" s="116"/>
      <c r="I25" s="116"/>
      <c r="J25" s="116"/>
      <c r="K25" s="116"/>
      <c r="L25" s="50" t="s">
        <v>444</v>
      </c>
      <c r="M25" s="50" t="s">
        <v>444</v>
      </c>
      <c r="N25" s="50">
        <v>2.0</v>
      </c>
      <c r="O25" s="50" t="s">
        <v>4702</v>
      </c>
      <c r="P25" s="116"/>
      <c r="Q25" s="50" t="s">
        <v>4703</v>
      </c>
      <c r="R25" s="50">
        <v>22.5543076</v>
      </c>
      <c r="S25" s="50">
        <v>88.3966561</v>
      </c>
      <c r="T25" s="50">
        <v>-42.7000007629394</v>
      </c>
      <c r="U25" s="50">
        <v>5.0</v>
      </c>
      <c r="V25" s="50">
        <v>1.0</v>
      </c>
      <c r="W25" s="50">
        <v>0.0</v>
      </c>
      <c r="X25" s="50">
        <v>1.0</v>
      </c>
      <c r="Y25" s="116"/>
      <c r="Z25" s="116"/>
      <c r="AA25" s="116"/>
      <c r="AB25" s="116"/>
      <c r="AC25" s="116"/>
      <c r="AD25" s="116"/>
      <c r="AE25" s="50">
        <v>1.0</v>
      </c>
      <c r="AF25" s="50">
        <v>2.0</v>
      </c>
      <c r="AG25" s="50">
        <v>3.0</v>
      </c>
      <c r="AH25" s="50">
        <v>1.0</v>
      </c>
      <c r="AI25" s="116"/>
      <c r="AJ25" s="116"/>
      <c r="AK25" s="116"/>
      <c r="AL25" s="116"/>
      <c r="AM25" s="116"/>
      <c r="AN25" s="116"/>
      <c r="AO25" s="116"/>
      <c r="AP25" s="116"/>
      <c r="AQ25" s="116"/>
      <c r="AR25" s="50" t="s">
        <v>2302</v>
      </c>
      <c r="AS25" s="50">
        <v>0.0</v>
      </c>
      <c r="AT25" s="50" t="s">
        <v>4619</v>
      </c>
      <c r="AU25" s="117">
        <v>2997.0</v>
      </c>
      <c r="AV25" s="50" t="s">
        <v>4704</v>
      </c>
      <c r="AW25" s="50" t="s">
        <v>4705</v>
      </c>
      <c r="AX25" s="117">
        <v>24.0</v>
      </c>
    </row>
    <row r="26">
      <c r="A26" s="50" t="s">
        <v>4706</v>
      </c>
      <c r="B26" s="50" t="s">
        <v>4707</v>
      </c>
      <c r="C26" s="116"/>
      <c r="D26" s="116"/>
      <c r="E26" s="50">
        <v>3.52155090281144E14</v>
      </c>
      <c r="F26" s="50">
        <v>58.0</v>
      </c>
      <c r="G26" s="50">
        <v>11.0</v>
      </c>
      <c r="H26" s="50">
        <v>4.0</v>
      </c>
      <c r="I26" s="50">
        <v>0.0</v>
      </c>
      <c r="J26" s="116"/>
      <c r="K26" s="116"/>
      <c r="L26" s="50" t="s">
        <v>452</v>
      </c>
      <c r="M26" s="50" t="s">
        <v>452</v>
      </c>
      <c r="N26" s="116"/>
      <c r="O26" s="116"/>
      <c r="P26" s="50" t="s">
        <v>4708</v>
      </c>
      <c r="Q26" s="50" t="s">
        <v>4709</v>
      </c>
      <c r="R26" s="50">
        <v>22.5529957</v>
      </c>
      <c r="S26" s="50">
        <v>88.3990001</v>
      </c>
      <c r="T26" s="50">
        <v>-54.5</v>
      </c>
      <c r="U26" s="50">
        <v>5.0</v>
      </c>
      <c r="V26" s="50">
        <v>1.0</v>
      </c>
      <c r="W26" s="50">
        <v>0.0</v>
      </c>
      <c r="X26" s="50">
        <v>1.0</v>
      </c>
      <c r="Y26" s="116"/>
      <c r="Z26" s="116"/>
      <c r="AA26" s="50">
        <v>1.0</v>
      </c>
      <c r="AB26" s="50">
        <v>1.0</v>
      </c>
      <c r="AC26" s="116"/>
      <c r="AD26" s="116"/>
      <c r="AE26" s="116"/>
      <c r="AF26" s="116"/>
      <c r="AG26" s="116"/>
      <c r="AH26" s="116"/>
      <c r="AI26" s="116"/>
      <c r="AJ26" s="116"/>
      <c r="AK26" s="116"/>
      <c r="AL26" s="116"/>
      <c r="AM26" s="116"/>
      <c r="AN26" s="116"/>
      <c r="AO26" s="116"/>
      <c r="AP26" s="116"/>
      <c r="AQ26" s="116"/>
      <c r="AR26" s="50" t="s">
        <v>2318</v>
      </c>
      <c r="AS26" s="50">
        <v>1.0</v>
      </c>
      <c r="AT26" s="50" t="s">
        <v>4619</v>
      </c>
      <c r="AU26" s="117">
        <v>3004.0</v>
      </c>
      <c r="AV26" s="50" t="s">
        <v>4710</v>
      </c>
      <c r="AW26" s="50" t="s">
        <v>4711</v>
      </c>
      <c r="AX26" s="117">
        <v>25.0</v>
      </c>
    </row>
    <row r="27">
      <c r="A27" s="50" t="s">
        <v>4712</v>
      </c>
      <c r="B27" s="50" t="s">
        <v>4713</v>
      </c>
      <c r="C27" s="116"/>
      <c r="D27" s="116"/>
      <c r="E27" s="50">
        <v>3.5215509147374E14</v>
      </c>
      <c r="F27" s="50">
        <v>59.0</v>
      </c>
      <c r="G27" s="50">
        <v>99.0</v>
      </c>
      <c r="H27" s="116"/>
      <c r="I27" s="116"/>
      <c r="J27" s="116"/>
      <c r="K27" s="116"/>
      <c r="L27" s="50" t="s">
        <v>459</v>
      </c>
      <c r="M27" s="50" t="s">
        <v>459</v>
      </c>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50" t="s">
        <v>2597</v>
      </c>
      <c r="AS27" s="116"/>
      <c r="AT27" s="50" t="s">
        <v>4619</v>
      </c>
      <c r="AU27" s="117">
        <v>3019.0</v>
      </c>
      <c r="AV27" s="50" t="s">
        <v>4714</v>
      </c>
      <c r="AW27" s="50" t="s">
        <v>4715</v>
      </c>
      <c r="AX27" s="117">
        <v>26.0</v>
      </c>
    </row>
    <row r="28">
      <c r="A28" s="50" t="s">
        <v>4716</v>
      </c>
      <c r="B28" s="50" t="s">
        <v>4717</v>
      </c>
      <c r="C28" s="116"/>
      <c r="D28" s="116"/>
      <c r="E28" s="50">
        <v>3.52155090281144E14</v>
      </c>
      <c r="F28" s="50">
        <v>57.0</v>
      </c>
      <c r="G28" s="50">
        <v>12.0</v>
      </c>
      <c r="H28" s="116"/>
      <c r="I28" s="116"/>
      <c r="J28" s="116"/>
      <c r="K28" s="116"/>
      <c r="L28" s="50" t="s">
        <v>461</v>
      </c>
      <c r="M28" s="50" t="s">
        <v>461</v>
      </c>
      <c r="N28" s="50">
        <v>3.0</v>
      </c>
      <c r="O28" s="50" t="s">
        <v>4718</v>
      </c>
      <c r="P28" s="116"/>
      <c r="Q28" s="50" t="s">
        <v>4719</v>
      </c>
      <c r="R28" s="50">
        <v>22.5563193</v>
      </c>
      <c r="S28" s="50">
        <v>88.3922302</v>
      </c>
      <c r="T28" s="50">
        <v>-70.8000030517578</v>
      </c>
      <c r="U28" s="50">
        <v>4.5</v>
      </c>
      <c r="V28" s="50">
        <v>1.0</v>
      </c>
      <c r="W28" s="50">
        <v>0.0</v>
      </c>
      <c r="X28" s="50">
        <v>1.0</v>
      </c>
      <c r="Y28" s="116"/>
      <c r="Z28" s="116"/>
      <c r="AA28" s="116"/>
      <c r="AB28" s="116"/>
      <c r="AC28" s="116"/>
      <c r="AD28" s="116"/>
      <c r="AE28" s="50">
        <v>1.0</v>
      </c>
      <c r="AF28" s="50">
        <v>2.0</v>
      </c>
      <c r="AG28" s="50">
        <v>3.0</v>
      </c>
      <c r="AH28" s="50">
        <v>1.0</v>
      </c>
      <c r="AI28" s="116"/>
      <c r="AJ28" s="116"/>
      <c r="AK28" s="116"/>
      <c r="AL28" s="116"/>
      <c r="AM28" s="116"/>
      <c r="AN28" s="116"/>
      <c r="AO28" s="116"/>
      <c r="AP28" s="116"/>
      <c r="AQ28" s="116"/>
      <c r="AR28" s="50" t="s">
        <v>2318</v>
      </c>
      <c r="AS28" s="50">
        <v>0.0</v>
      </c>
      <c r="AT28" s="50" t="s">
        <v>4619</v>
      </c>
      <c r="AU28" s="117">
        <v>3020.0</v>
      </c>
      <c r="AV28" s="50" t="s">
        <v>4720</v>
      </c>
      <c r="AW28" s="50" t="s">
        <v>4721</v>
      </c>
      <c r="AX28" s="117">
        <v>27.0</v>
      </c>
    </row>
    <row r="29">
      <c r="A29" s="50" t="s">
        <v>4722</v>
      </c>
      <c r="B29" s="50" t="s">
        <v>4723</v>
      </c>
      <c r="C29" s="116"/>
      <c r="D29" s="116"/>
      <c r="E29" s="50">
        <v>3.52155090281144E14</v>
      </c>
      <c r="F29" s="50">
        <v>57.0</v>
      </c>
      <c r="G29" s="50">
        <v>12.0</v>
      </c>
      <c r="H29" s="116"/>
      <c r="I29" s="116"/>
      <c r="J29" s="116"/>
      <c r="K29" s="116"/>
      <c r="L29" s="50" t="s">
        <v>462</v>
      </c>
      <c r="M29" s="50" t="s">
        <v>462</v>
      </c>
      <c r="N29" s="50">
        <v>4.0</v>
      </c>
      <c r="O29" s="50" t="s">
        <v>4724</v>
      </c>
      <c r="P29" s="116"/>
      <c r="Q29" s="50" t="s">
        <v>4725</v>
      </c>
      <c r="R29" s="50">
        <v>22.5635771</v>
      </c>
      <c r="S29" s="50">
        <v>88.3772079</v>
      </c>
      <c r="T29" s="50">
        <v>-38.5</v>
      </c>
      <c r="U29" s="50">
        <v>5.0</v>
      </c>
      <c r="V29" s="50">
        <v>1.0</v>
      </c>
      <c r="W29" s="50">
        <v>0.0</v>
      </c>
      <c r="X29" s="50">
        <v>1.0</v>
      </c>
      <c r="Y29" s="116"/>
      <c r="Z29" s="116"/>
      <c r="AA29" s="116"/>
      <c r="AB29" s="116"/>
      <c r="AC29" s="116"/>
      <c r="AD29" s="116"/>
      <c r="AE29" s="50">
        <v>1.0</v>
      </c>
      <c r="AF29" s="50">
        <v>1.0</v>
      </c>
      <c r="AG29" s="50">
        <v>4.0</v>
      </c>
      <c r="AH29" s="50">
        <v>1.0</v>
      </c>
      <c r="AI29" s="116"/>
      <c r="AJ29" s="116"/>
      <c r="AK29" s="116"/>
      <c r="AL29" s="116"/>
      <c r="AM29" s="116"/>
      <c r="AN29" s="116"/>
      <c r="AO29" s="116"/>
      <c r="AP29" s="116"/>
      <c r="AQ29" s="116"/>
      <c r="AR29" s="50" t="s">
        <v>2597</v>
      </c>
      <c r="AS29" s="50">
        <v>0.0</v>
      </c>
      <c r="AT29" s="50" t="s">
        <v>4619</v>
      </c>
      <c r="AU29" s="117">
        <v>3021.0</v>
      </c>
      <c r="AV29" s="50" t="s">
        <v>4726</v>
      </c>
      <c r="AW29" s="50" t="s">
        <v>4727</v>
      </c>
      <c r="AX29" s="117">
        <v>28.0</v>
      </c>
    </row>
    <row r="30">
      <c r="A30" s="50" t="s">
        <v>4728</v>
      </c>
      <c r="B30" s="50" t="s">
        <v>4729</v>
      </c>
      <c r="C30" s="116"/>
      <c r="D30" s="116"/>
      <c r="E30" s="50">
        <v>3.52155090281144E14</v>
      </c>
      <c r="F30" s="50">
        <v>59.0</v>
      </c>
      <c r="G30" s="50">
        <v>11.0</v>
      </c>
      <c r="H30" s="50">
        <v>4.0</v>
      </c>
      <c r="I30" s="50">
        <v>1.0</v>
      </c>
      <c r="J30" s="50" t="s">
        <v>4653</v>
      </c>
      <c r="K30" s="116"/>
      <c r="L30" s="50" t="s">
        <v>464</v>
      </c>
      <c r="M30" s="50" t="s">
        <v>464</v>
      </c>
      <c r="N30" s="116"/>
      <c r="O30" s="116"/>
      <c r="P30" s="50" t="s">
        <v>4730</v>
      </c>
      <c r="Q30" s="50" t="s">
        <v>4731</v>
      </c>
      <c r="R30" s="50">
        <v>22.5410999</v>
      </c>
      <c r="S30" s="50">
        <v>88.3743499</v>
      </c>
      <c r="T30" s="50">
        <v>-16.3999996185302</v>
      </c>
      <c r="U30" s="50">
        <v>4.5</v>
      </c>
      <c r="V30" s="50">
        <v>1.0</v>
      </c>
      <c r="W30" s="50">
        <v>0.0</v>
      </c>
      <c r="X30" s="50">
        <v>1.0</v>
      </c>
      <c r="Y30" s="116"/>
      <c r="Z30" s="116"/>
      <c r="AA30" s="50">
        <v>2.0</v>
      </c>
      <c r="AB30" s="50">
        <v>1.0</v>
      </c>
      <c r="AC30" s="116"/>
      <c r="AD30" s="116"/>
      <c r="AE30" s="116"/>
      <c r="AF30" s="116"/>
      <c r="AG30" s="116"/>
      <c r="AH30" s="116"/>
      <c r="AI30" s="116"/>
      <c r="AJ30" s="116"/>
      <c r="AK30" s="116"/>
      <c r="AL30" s="116"/>
      <c r="AM30" s="116"/>
      <c r="AN30" s="116"/>
      <c r="AO30" s="116"/>
      <c r="AP30" s="116"/>
      <c r="AQ30" s="116"/>
      <c r="AR30" s="50" t="s">
        <v>2302</v>
      </c>
      <c r="AS30" s="50">
        <v>1.0</v>
      </c>
      <c r="AT30" s="50" t="s">
        <v>4619</v>
      </c>
      <c r="AU30" s="117">
        <v>3022.0</v>
      </c>
      <c r="AV30" s="50" t="s">
        <v>4732</v>
      </c>
      <c r="AW30" s="50" t="s">
        <v>4733</v>
      </c>
      <c r="AX30" s="117">
        <v>29.0</v>
      </c>
    </row>
    <row r="31">
      <c r="A31" s="50" t="s">
        <v>4734</v>
      </c>
      <c r="B31" s="50" t="s">
        <v>4735</v>
      </c>
      <c r="C31" s="116"/>
      <c r="D31" s="116"/>
      <c r="E31" s="50">
        <v>3.52155090281144E14</v>
      </c>
      <c r="F31" s="50">
        <v>58.0</v>
      </c>
      <c r="G31" s="50">
        <v>11.0</v>
      </c>
      <c r="H31" s="50">
        <v>4.0</v>
      </c>
      <c r="I31" s="50">
        <v>0.0</v>
      </c>
      <c r="J31" s="116"/>
      <c r="K31" s="116"/>
      <c r="L31" s="50" t="s">
        <v>468</v>
      </c>
      <c r="M31" s="50" t="s">
        <v>468</v>
      </c>
      <c r="N31" s="116"/>
      <c r="O31" s="116"/>
      <c r="P31" s="50" t="s">
        <v>4736</v>
      </c>
      <c r="Q31" s="50" t="s">
        <v>4737</v>
      </c>
      <c r="R31" s="50">
        <v>22.5519786</v>
      </c>
      <c r="S31" s="50">
        <v>88.3998715</v>
      </c>
      <c r="T31" s="50">
        <v>-31.7000007629394</v>
      </c>
      <c r="U31" s="50">
        <v>5.0</v>
      </c>
      <c r="V31" s="50">
        <v>1.0</v>
      </c>
      <c r="W31" s="50">
        <v>1.0</v>
      </c>
      <c r="X31" s="116"/>
      <c r="Y31" s="116"/>
      <c r="Z31" s="116"/>
      <c r="AA31" s="50">
        <v>2.0</v>
      </c>
      <c r="AB31" s="50">
        <v>1.0</v>
      </c>
      <c r="AC31" s="116"/>
      <c r="AD31" s="116"/>
      <c r="AE31" s="116"/>
      <c r="AF31" s="116"/>
      <c r="AG31" s="116"/>
      <c r="AH31" s="116"/>
      <c r="AI31" s="116"/>
      <c r="AJ31" s="116"/>
      <c r="AK31" s="116"/>
      <c r="AL31" s="116"/>
      <c r="AM31" s="116"/>
      <c r="AN31" s="116"/>
      <c r="AO31" s="116"/>
      <c r="AP31" s="116"/>
      <c r="AQ31" s="50" t="s">
        <v>4738</v>
      </c>
      <c r="AR31" s="50" t="s">
        <v>2278</v>
      </c>
      <c r="AS31" s="50">
        <v>1.0</v>
      </c>
      <c r="AT31" s="50" t="s">
        <v>4619</v>
      </c>
      <c r="AU31" s="117">
        <v>3038.0</v>
      </c>
      <c r="AV31" s="50" t="s">
        <v>4739</v>
      </c>
      <c r="AW31" s="50" t="s">
        <v>4740</v>
      </c>
      <c r="AX31" s="117">
        <v>30.0</v>
      </c>
    </row>
    <row r="32">
      <c r="A32" s="50" t="s">
        <v>4741</v>
      </c>
      <c r="B32" s="50" t="s">
        <v>4742</v>
      </c>
      <c r="C32" s="116"/>
      <c r="D32" s="116"/>
      <c r="E32" s="50">
        <v>3.52155090281144E14</v>
      </c>
      <c r="F32" s="50">
        <v>57.0</v>
      </c>
      <c r="G32" s="50">
        <v>12.0</v>
      </c>
      <c r="H32" s="116"/>
      <c r="I32" s="116"/>
      <c r="J32" s="116"/>
      <c r="K32" s="116"/>
      <c r="L32" s="50" t="s">
        <v>481</v>
      </c>
      <c r="M32" s="50" t="s">
        <v>481</v>
      </c>
      <c r="N32" s="50">
        <v>2.0</v>
      </c>
      <c r="O32" s="50" t="s">
        <v>4743</v>
      </c>
      <c r="P32" s="116"/>
      <c r="Q32" s="50" t="s">
        <v>4744</v>
      </c>
      <c r="R32" s="50">
        <v>22.554248</v>
      </c>
      <c r="S32" s="50">
        <v>88.3968287</v>
      </c>
      <c r="T32" s="50">
        <v>-20.2000007629394</v>
      </c>
      <c r="U32" s="50">
        <v>5.0</v>
      </c>
      <c r="V32" s="50">
        <v>1.0</v>
      </c>
      <c r="W32" s="50">
        <v>0.0</v>
      </c>
      <c r="X32" s="50">
        <v>1.0</v>
      </c>
      <c r="Y32" s="116"/>
      <c r="Z32" s="116"/>
      <c r="AA32" s="116"/>
      <c r="AB32" s="116"/>
      <c r="AC32" s="116"/>
      <c r="AD32" s="116"/>
      <c r="AE32" s="50">
        <v>1.0</v>
      </c>
      <c r="AF32" s="50">
        <v>2.0</v>
      </c>
      <c r="AG32" s="50">
        <v>3.0</v>
      </c>
      <c r="AH32" s="50">
        <v>6.0</v>
      </c>
      <c r="AI32" s="116"/>
      <c r="AJ32" s="116"/>
      <c r="AK32" s="116"/>
      <c r="AL32" s="116"/>
      <c r="AM32" s="116"/>
      <c r="AN32" s="116"/>
      <c r="AO32" s="116"/>
      <c r="AP32" s="116"/>
      <c r="AQ32" s="116"/>
      <c r="AR32" s="50" t="s">
        <v>2302</v>
      </c>
      <c r="AS32" s="50">
        <v>0.0</v>
      </c>
      <c r="AT32" s="50" t="s">
        <v>4619</v>
      </c>
      <c r="AU32" s="117">
        <v>3064.0</v>
      </c>
      <c r="AV32" s="50" t="s">
        <v>4745</v>
      </c>
      <c r="AW32" s="50" t="s">
        <v>4746</v>
      </c>
      <c r="AX32" s="117">
        <v>31.0</v>
      </c>
    </row>
    <row r="33">
      <c r="A33" s="50" t="s">
        <v>4747</v>
      </c>
      <c r="B33" s="50" t="s">
        <v>4748</v>
      </c>
      <c r="C33" s="116"/>
      <c r="D33" s="116"/>
      <c r="E33" s="50">
        <v>3.52155090281144E14</v>
      </c>
      <c r="F33" s="50">
        <v>57.0</v>
      </c>
      <c r="G33" s="50">
        <v>12.0</v>
      </c>
      <c r="H33" s="116"/>
      <c r="I33" s="116"/>
      <c r="J33" s="116"/>
      <c r="K33" s="116"/>
      <c r="L33" s="50" t="s">
        <v>477</v>
      </c>
      <c r="M33" s="50" t="s">
        <v>477</v>
      </c>
      <c r="N33" s="50">
        <v>1.0</v>
      </c>
      <c r="O33" s="50" t="s">
        <v>4749</v>
      </c>
      <c r="P33" s="116"/>
      <c r="Q33" s="50" t="s">
        <v>4750</v>
      </c>
      <c r="R33" s="50">
        <v>22.557804</v>
      </c>
      <c r="S33" s="50">
        <v>88.4108036</v>
      </c>
      <c r="T33" s="50">
        <v>-45.7000007629394</v>
      </c>
      <c r="U33" s="50">
        <v>5.0</v>
      </c>
      <c r="V33" s="50">
        <v>1.0</v>
      </c>
      <c r="W33" s="50">
        <v>0.0</v>
      </c>
      <c r="X33" s="50">
        <v>1.0</v>
      </c>
      <c r="Y33" s="116"/>
      <c r="Z33" s="116"/>
      <c r="AA33" s="116"/>
      <c r="AB33" s="116"/>
      <c r="AC33" s="116"/>
      <c r="AD33" s="116"/>
      <c r="AE33" s="50">
        <v>1.0</v>
      </c>
      <c r="AF33" s="50">
        <v>1.0</v>
      </c>
      <c r="AG33" s="50">
        <v>4.0</v>
      </c>
      <c r="AH33" s="50">
        <v>1.0</v>
      </c>
      <c r="AI33" s="116"/>
      <c r="AJ33" s="116"/>
      <c r="AK33" s="116"/>
      <c r="AL33" s="116"/>
      <c r="AM33" s="116"/>
      <c r="AN33" s="116"/>
      <c r="AO33" s="116"/>
      <c r="AP33" s="116"/>
      <c r="AQ33" s="116"/>
      <c r="AR33" s="50" t="s">
        <v>2318</v>
      </c>
      <c r="AS33" s="50">
        <v>0.0</v>
      </c>
      <c r="AT33" s="50" t="s">
        <v>4619</v>
      </c>
      <c r="AU33" s="117">
        <v>3065.0</v>
      </c>
      <c r="AV33" s="50" t="s">
        <v>4752</v>
      </c>
      <c r="AW33" s="50" t="s">
        <v>4753</v>
      </c>
      <c r="AX33" s="117">
        <v>32.0</v>
      </c>
    </row>
    <row r="34">
      <c r="A34" s="50" t="s">
        <v>4754</v>
      </c>
      <c r="B34" s="50" t="s">
        <v>4755</v>
      </c>
      <c r="C34" s="116"/>
      <c r="D34" s="116"/>
      <c r="E34" s="50">
        <v>3.52155090281144E14</v>
      </c>
      <c r="F34" s="50">
        <v>57.0</v>
      </c>
      <c r="G34" s="50">
        <v>12.0</v>
      </c>
      <c r="H34" s="116"/>
      <c r="I34" s="116"/>
      <c r="J34" s="116"/>
      <c r="K34" s="116"/>
      <c r="L34" s="50" t="s">
        <v>494</v>
      </c>
      <c r="M34" s="50" t="s">
        <v>494</v>
      </c>
      <c r="N34" s="50">
        <v>3.0</v>
      </c>
      <c r="O34" s="50" t="s">
        <v>4756</v>
      </c>
      <c r="P34" s="116"/>
      <c r="Q34" s="50" t="s">
        <v>4757</v>
      </c>
      <c r="R34" s="50">
        <v>22.5564118</v>
      </c>
      <c r="S34" s="50">
        <v>88.3922271</v>
      </c>
      <c r="T34" s="50">
        <v>-101.400001525878</v>
      </c>
      <c r="U34" s="50">
        <v>5.0</v>
      </c>
      <c r="V34" s="50">
        <v>1.0</v>
      </c>
      <c r="W34" s="50">
        <v>1.0</v>
      </c>
      <c r="X34" s="116"/>
      <c r="Y34" s="116"/>
      <c r="Z34" s="116"/>
      <c r="AA34" s="116"/>
      <c r="AB34" s="116"/>
      <c r="AC34" s="116"/>
      <c r="AD34" s="116"/>
      <c r="AE34" s="50">
        <v>1.0</v>
      </c>
      <c r="AF34" s="50">
        <v>2.0</v>
      </c>
      <c r="AG34" s="50">
        <v>3.0</v>
      </c>
      <c r="AH34" s="50">
        <v>1.0</v>
      </c>
      <c r="AI34" s="116"/>
      <c r="AJ34" s="116"/>
      <c r="AK34" s="116"/>
      <c r="AL34" s="116"/>
      <c r="AM34" s="116"/>
      <c r="AN34" s="116"/>
      <c r="AO34" s="116"/>
      <c r="AP34" s="116"/>
      <c r="AQ34" s="116"/>
      <c r="AR34" s="50" t="s">
        <v>2327</v>
      </c>
      <c r="AS34" s="50">
        <v>0.0</v>
      </c>
      <c r="AT34" s="50" t="s">
        <v>4619</v>
      </c>
      <c r="AU34" s="117">
        <v>3091.0</v>
      </c>
      <c r="AV34" s="50" t="s">
        <v>4759</v>
      </c>
      <c r="AW34" s="50" t="s">
        <v>4760</v>
      </c>
      <c r="AX34" s="117">
        <v>33.0</v>
      </c>
    </row>
    <row r="35">
      <c r="A35" s="50" t="s">
        <v>4761</v>
      </c>
      <c r="B35" s="50" t="s">
        <v>4762</v>
      </c>
      <c r="C35" s="116"/>
      <c r="D35" s="116"/>
      <c r="E35" s="50">
        <v>3.52155090281144E14</v>
      </c>
      <c r="F35" s="50">
        <v>55.0</v>
      </c>
      <c r="G35" s="50">
        <v>12.0</v>
      </c>
      <c r="H35" s="116"/>
      <c r="I35" s="116"/>
      <c r="J35" s="116"/>
      <c r="K35" s="116"/>
      <c r="L35" s="50" t="s">
        <v>496</v>
      </c>
      <c r="M35" s="50" t="s">
        <v>496</v>
      </c>
      <c r="N35" s="50">
        <v>4.0</v>
      </c>
      <c r="O35" s="50" t="s">
        <v>4763</v>
      </c>
      <c r="P35" s="116"/>
      <c r="Q35" s="50" t="s">
        <v>4764</v>
      </c>
      <c r="R35" s="50">
        <v>22.563502</v>
      </c>
      <c r="S35" s="50">
        <v>88.3772082</v>
      </c>
      <c r="T35" s="50">
        <v>-53.2999992370605</v>
      </c>
      <c r="U35" s="50">
        <v>5.0</v>
      </c>
      <c r="V35" s="50">
        <v>1.0</v>
      </c>
      <c r="W35" s="50">
        <v>1.0</v>
      </c>
      <c r="X35" s="116"/>
      <c r="Y35" s="116"/>
      <c r="Z35" s="116"/>
      <c r="AA35" s="116"/>
      <c r="AB35" s="116"/>
      <c r="AC35" s="116"/>
      <c r="AD35" s="116"/>
      <c r="AE35" s="50">
        <v>2.0</v>
      </c>
      <c r="AF35" s="50">
        <v>1.0</v>
      </c>
      <c r="AG35" s="50">
        <v>4.0</v>
      </c>
      <c r="AH35" s="50">
        <v>1.0</v>
      </c>
      <c r="AI35" s="116"/>
      <c r="AJ35" s="116"/>
      <c r="AK35" s="116"/>
      <c r="AL35" s="116"/>
      <c r="AM35" s="116"/>
      <c r="AN35" s="116"/>
      <c r="AO35" s="116"/>
      <c r="AP35" s="116"/>
      <c r="AQ35" s="116"/>
      <c r="AR35" s="50" t="s">
        <v>4765</v>
      </c>
      <c r="AS35" s="50">
        <v>0.0</v>
      </c>
      <c r="AT35" s="50" t="s">
        <v>4619</v>
      </c>
      <c r="AU35" s="117">
        <v>3092.0</v>
      </c>
      <c r="AV35" s="50" t="s">
        <v>4766</v>
      </c>
      <c r="AW35" s="50" t="s">
        <v>4767</v>
      </c>
      <c r="AX35" s="117">
        <v>34.0</v>
      </c>
    </row>
    <row r="36">
      <c r="A36" s="50" t="s">
        <v>4768</v>
      </c>
      <c r="B36" s="50" t="s">
        <v>4769</v>
      </c>
      <c r="C36" s="116"/>
      <c r="D36" s="116"/>
      <c r="E36" s="50">
        <v>3.52155090281144E14</v>
      </c>
      <c r="F36" s="50">
        <v>59.0</v>
      </c>
      <c r="G36" s="50">
        <v>11.0</v>
      </c>
      <c r="H36" s="50">
        <v>4.0</v>
      </c>
      <c r="I36" s="50">
        <v>1.0</v>
      </c>
      <c r="J36" s="50" t="s">
        <v>4770</v>
      </c>
      <c r="K36" s="116"/>
      <c r="L36" s="50" t="s">
        <v>504</v>
      </c>
      <c r="M36" s="50" t="s">
        <v>504</v>
      </c>
      <c r="N36" s="116"/>
      <c r="O36" s="116"/>
      <c r="P36" s="50" t="s">
        <v>4771</v>
      </c>
      <c r="Q36" s="50" t="s">
        <v>4772</v>
      </c>
      <c r="R36" s="50">
        <v>22.5403386</v>
      </c>
      <c r="S36" s="50">
        <v>88.3748553</v>
      </c>
      <c r="T36" s="50">
        <v>-24.7000007629394</v>
      </c>
      <c r="U36" s="50">
        <v>5.0</v>
      </c>
      <c r="V36" s="50">
        <v>1.0</v>
      </c>
      <c r="W36" s="50">
        <v>0.0</v>
      </c>
      <c r="X36" s="50">
        <v>1.0</v>
      </c>
      <c r="Y36" s="116"/>
      <c r="Z36" s="116"/>
      <c r="AA36" s="50">
        <v>2.0</v>
      </c>
      <c r="AB36" s="50">
        <v>1.0</v>
      </c>
      <c r="AC36" s="116"/>
      <c r="AD36" s="116"/>
      <c r="AE36" s="116"/>
      <c r="AF36" s="116"/>
      <c r="AG36" s="116"/>
      <c r="AH36" s="116"/>
      <c r="AI36" s="116"/>
      <c r="AJ36" s="116"/>
      <c r="AK36" s="116"/>
      <c r="AL36" s="116"/>
      <c r="AM36" s="116"/>
      <c r="AN36" s="116"/>
      <c r="AO36" s="116"/>
      <c r="AP36" s="116"/>
      <c r="AQ36" s="50" t="s">
        <v>4773</v>
      </c>
      <c r="AR36" s="50" t="s">
        <v>2327</v>
      </c>
      <c r="AS36" s="50">
        <v>1.0</v>
      </c>
      <c r="AT36" s="50" t="s">
        <v>4619</v>
      </c>
      <c r="AU36" s="117">
        <v>3096.0</v>
      </c>
      <c r="AV36" s="50" t="s">
        <v>4774</v>
      </c>
      <c r="AW36" s="50" t="s">
        <v>4775</v>
      </c>
      <c r="AX36" s="117">
        <v>35.0</v>
      </c>
    </row>
    <row r="37">
      <c r="A37" s="50" t="s">
        <v>4777</v>
      </c>
      <c r="B37" s="50" t="s">
        <v>4778</v>
      </c>
      <c r="C37" s="116"/>
      <c r="D37" s="116"/>
      <c r="E37" s="50">
        <v>3.52155090281144E14</v>
      </c>
      <c r="F37" s="50">
        <v>58.0</v>
      </c>
      <c r="G37" s="50">
        <v>11.0</v>
      </c>
      <c r="H37" s="50">
        <v>4.0</v>
      </c>
      <c r="I37" s="50">
        <v>0.0</v>
      </c>
      <c r="J37" s="116"/>
      <c r="K37" s="116"/>
      <c r="L37" s="50" t="s">
        <v>499</v>
      </c>
      <c r="M37" s="50" t="s">
        <v>499</v>
      </c>
      <c r="N37" s="116"/>
      <c r="O37" s="116"/>
      <c r="P37" s="50" t="s">
        <v>4779</v>
      </c>
      <c r="Q37" s="50" t="s">
        <v>4780</v>
      </c>
      <c r="R37" s="50">
        <v>22.5539482</v>
      </c>
      <c r="S37" s="50">
        <v>88.3971632</v>
      </c>
      <c r="T37" s="50">
        <v>-18.6000003814697</v>
      </c>
      <c r="U37" s="50">
        <v>5.0</v>
      </c>
      <c r="V37" s="50">
        <v>1.0</v>
      </c>
      <c r="W37" s="50">
        <v>0.0</v>
      </c>
      <c r="X37" s="50">
        <v>1.0</v>
      </c>
      <c r="Y37" s="116"/>
      <c r="Z37" s="116"/>
      <c r="AA37" s="50">
        <v>2.0</v>
      </c>
      <c r="AB37" s="50">
        <v>1.0</v>
      </c>
      <c r="AC37" s="116"/>
      <c r="AD37" s="116"/>
      <c r="AE37" s="116"/>
      <c r="AF37" s="116"/>
      <c r="AG37" s="116"/>
      <c r="AH37" s="116"/>
      <c r="AI37" s="116"/>
      <c r="AJ37" s="116"/>
      <c r="AK37" s="116"/>
      <c r="AL37" s="116"/>
      <c r="AM37" s="116"/>
      <c r="AN37" s="116"/>
      <c r="AO37" s="116"/>
      <c r="AP37" s="116"/>
      <c r="AQ37" s="116"/>
      <c r="AR37" s="50" t="s">
        <v>2826</v>
      </c>
      <c r="AS37" s="50">
        <v>1.0</v>
      </c>
      <c r="AT37" s="50" t="s">
        <v>4619</v>
      </c>
      <c r="AU37" s="117">
        <v>3097.0</v>
      </c>
      <c r="AV37" s="50" t="s">
        <v>4781</v>
      </c>
      <c r="AW37" s="50" t="s">
        <v>4782</v>
      </c>
      <c r="AX37" s="117">
        <v>36.0</v>
      </c>
    </row>
    <row r="38">
      <c r="A38" s="50" t="s">
        <v>4783</v>
      </c>
      <c r="B38" s="50" t="s">
        <v>4784</v>
      </c>
      <c r="C38" s="116"/>
      <c r="D38" s="116"/>
      <c r="E38" s="50">
        <v>3.52155090281144E14</v>
      </c>
      <c r="F38" s="50">
        <v>57.0</v>
      </c>
      <c r="G38" s="50">
        <v>12.0</v>
      </c>
      <c r="H38" s="116"/>
      <c r="I38" s="116"/>
      <c r="J38" s="116"/>
      <c r="K38" s="116"/>
      <c r="L38" s="50" t="s">
        <v>509</v>
      </c>
      <c r="M38" s="50" t="s">
        <v>509</v>
      </c>
      <c r="N38" s="50">
        <v>1.0</v>
      </c>
      <c r="O38" s="50" t="s">
        <v>4786</v>
      </c>
      <c r="P38" s="116"/>
      <c r="Q38" s="50" t="s">
        <v>4787</v>
      </c>
      <c r="R38" s="50">
        <v>22.5578322</v>
      </c>
      <c r="S38" s="50">
        <v>88.4108159</v>
      </c>
      <c r="T38" s="50">
        <v>-28.8999996185302</v>
      </c>
      <c r="U38" s="50">
        <v>4.5</v>
      </c>
      <c r="V38" s="50">
        <v>1.0</v>
      </c>
      <c r="W38" s="50">
        <v>0.0</v>
      </c>
      <c r="X38" s="50">
        <v>1.0</v>
      </c>
      <c r="Y38" s="116"/>
      <c r="Z38" s="116"/>
      <c r="AA38" s="116"/>
      <c r="AB38" s="116"/>
      <c r="AC38" s="116"/>
      <c r="AD38" s="116"/>
      <c r="AE38" s="50">
        <v>1.0</v>
      </c>
      <c r="AF38" s="50">
        <v>1.0</v>
      </c>
      <c r="AG38" s="50">
        <v>4.0</v>
      </c>
      <c r="AH38" s="50">
        <v>1.0</v>
      </c>
      <c r="AI38" s="116"/>
      <c r="AJ38" s="116"/>
      <c r="AK38" s="116"/>
      <c r="AL38" s="116"/>
      <c r="AM38" s="116"/>
      <c r="AN38" s="116"/>
      <c r="AO38" s="116"/>
      <c r="AP38" s="116"/>
      <c r="AQ38" s="50" t="s">
        <v>4788</v>
      </c>
      <c r="AR38" s="50" t="s">
        <v>2302</v>
      </c>
      <c r="AS38" s="50">
        <v>0.0</v>
      </c>
      <c r="AT38" s="50" t="s">
        <v>4619</v>
      </c>
      <c r="AU38" s="117">
        <v>3109.0</v>
      </c>
      <c r="AV38" s="50" t="s">
        <v>4789</v>
      </c>
      <c r="AW38" s="50" t="s">
        <v>4790</v>
      </c>
      <c r="AX38" s="117">
        <v>37.0</v>
      </c>
    </row>
    <row r="39">
      <c r="A39" s="50" t="s">
        <v>4791</v>
      </c>
      <c r="B39" s="50" t="s">
        <v>4792</v>
      </c>
      <c r="C39" s="116"/>
      <c r="D39" s="116"/>
      <c r="E39" s="50">
        <v>3.52155090281144E14</v>
      </c>
      <c r="F39" s="50">
        <v>66.0</v>
      </c>
      <c r="G39" s="50">
        <v>12.0</v>
      </c>
      <c r="H39" s="116"/>
      <c r="I39" s="116"/>
      <c r="J39" s="116"/>
      <c r="K39" s="116"/>
      <c r="L39" s="50" t="s">
        <v>511</v>
      </c>
      <c r="M39" s="50" t="s">
        <v>511</v>
      </c>
      <c r="N39" s="50">
        <v>5.0</v>
      </c>
      <c r="O39" s="50" t="s">
        <v>4793</v>
      </c>
      <c r="P39" s="116"/>
      <c r="Q39" s="50" t="s">
        <v>4794</v>
      </c>
      <c r="R39" s="50">
        <v>22.5345247</v>
      </c>
      <c r="S39" s="50">
        <v>88.3959228</v>
      </c>
      <c r="T39" s="50">
        <v>-17.8999996185302</v>
      </c>
      <c r="U39" s="50">
        <v>4.5</v>
      </c>
      <c r="V39" s="50">
        <v>1.0</v>
      </c>
      <c r="W39" s="50">
        <v>0.0</v>
      </c>
      <c r="X39" s="50">
        <v>1.0</v>
      </c>
      <c r="Y39" s="116"/>
      <c r="Z39" s="116"/>
      <c r="AA39" s="116"/>
      <c r="AB39" s="116"/>
      <c r="AC39" s="116"/>
      <c r="AD39" s="116"/>
      <c r="AE39" s="50">
        <v>1.0</v>
      </c>
      <c r="AF39" s="50">
        <v>2.0</v>
      </c>
      <c r="AG39" s="50">
        <v>3.0</v>
      </c>
      <c r="AH39" s="50">
        <v>1.0</v>
      </c>
      <c r="AI39" s="116"/>
      <c r="AJ39" s="116"/>
      <c r="AK39" s="116"/>
      <c r="AL39" s="116"/>
      <c r="AM39" s="116"/>
      <c r="AN39" s="116"/>
      <c r="AO39" s="116"/>
      <c r="AP39" s="116"/>
      <c r="AQ39" s="116"/>
      <c r="AR39" s="50" t="s">
        <v>2318</v>
      </c>
      <c r="AS39" s="50">
        <v>0.0</v>
      </c>
      <c r="AT39" s="50" t="s">
        <v>4619</v>
      </c>
      <c r="AU39" s="117">
        <v>3110.0</v>
      </c>
      <c r="AV39" s="50" t="s">
        <v>4796</v>
      </c>
      <c r="AW39" s="50" t="s">
        <v>4797</v>
      </c>
      <c r="AX39" s="117">
        <v>38.0</v>
      </c>
    </row>
    <row r="40">
      <c r="A40" s="50" t="s">
        <v>4798</v>
      </c>
      <c r="B40" s="50" t="s">
        <v>4799</v>
      </c>
      <c r="C40" s="116"/>
      <c r="D40" s="116"/>
      <c r="E40" s="50">
        <v>3.52155090281144E14</v>
      </c>
      <c r="F40" s="50">
        <v>59.0</v>
      </c>
      <c r="G40" s="50">
        <v>12.0</v>
      </c>
      <c r="H40" s="116"/>
      <c r="I40" s="116"/>
      <c r="J40" s="116"/>
      <c r="K40" s="116"/>
      <c r="L40" s="50" t="s">
        <v>515</v>
      </c>
      <c r="M40" s="50" t="s">
        <v>515</v>
      </c>
      <c r="N40" s="50">
        <v>6.0</v>
      </c>
      <c r="O40" s="50" t="s">
        <v>4800</v>
      </c>
      <c r="P40" s="116"/>
      <c r="Q40" s="50" t="s">
        <v>4801</v>
      </c>
      <c r="R40" s="50">
        <v>22.5399972</v>
      </c>
      <c r="S40" s="50">
        <v>88.3872837</v>
      </c>
      <c r="T40" s="50">
        <v>-75.5</v>
      </c>
      <c r="U40" s="50">
        <v>4.5</v>
      </c>
      <c r="V40" s="50">
        <v>1.0</v>
      </c>
      <c r="W40" s="50">
        <v>0.0</v>
      </c>
      <c r="X40" s="50">
        <v>1.0</v>
      </c>
      <c r="Y40" s="116"/>
      <c r="Z40" s="116"/>
      <c r="AA40" s="116"/>
      <c r="AB40" s="116"/>
      <c r="AC40" s="116"/>
      <c r="AD40" s="116"/>
      <c r="AE40" s="50">
        <v>2.0</v>
      </c>
      <c r="AF40" s="50">
        <v>2.0</v>
      </c>
      <c r="AG40" s="50">
        <v>4.0</v>
      </c>
      <c r="AH40" s="50">
        <v>1.0</v>
      </c>
      <c r="AI40" s="116"/>
      <c r="AJ40" s="116"/>
      <c r="AK40" s="116"/>
      <c r="AL40" s="116"/>
      <c r="AM40" s="116"/>
      <c r="AN40" s="116"/>
      <c r="AO40" s="116"/>
      <c r="AP40" s="116"/>
      <c r="AQ40" s="116"/>
      <c r="AR40" s="50" t="s">
        <v>2597</v>
      </c>
      <c r="AS40" s="50">
        <v>0.0</v>
      </c>
      <c r="AT40" s="50" t="s">
        <v>4619</v>
      </c>
      <c r="AU40" s="117">
        <v>3111.0</v>
      </c>
      <c r="AV40" s="50" t="s">
        <v>4802</v>
      </c>
      <c r="AW40" s="50" t="s">
        <v>4803</v>
      </c>
      <c r="AX40" s="117">
        <v>39.0</v>
      </c>
    </row>
    <row r="41">
      <c r="A41" s="50" t="s">
        <v>4804</v>
      </c>
      <c r="B41" s="50" t="s">
        <v>4805</v>
      </c>
      <c r="C41" s="116"/>
      <c r="D41" s="116"/>
      <c r="E41" s="50">
        <v>3.52155090281144E14</v>
      </c>
      <c r="F41" s="50">
        <v>57.0</v>
      </c>
      <c r="G41" s="50">
        <v>12.0</v>
      </c>
      <c r="H41" s="116"/>
      <c r="I41" s="116"/>
      <c r="J41" s="116"/>
      <c r="K41" s="116"/>
      <c r="L41" s="50" t="s">
        <v>518</v>
      </c>
      <c r="M41" s="50" t="s">
        <v>518</v>
      </c>
      <c r="N41" s="50">
        <v>2.0</v>
      </c>
      <c r="O41" s="50" t="s">
        <v>4806</v>
      </c>
      <c r="P41" s="116"/>
      <c r="Q41" s="50" t="s">
        <v>4808</v>
      </c>
      <c r="R41" s="50">
        <v>22.5541993</v>
      </c>
      <c r="S41" s="50">
        <v>88.3967317</v>
      </c>
      <c r="T41" s="50">
        <v>-51.9000015258789</v>
      </c>
      <c r="U41" s="50">
        <v>5.0</v>
      </c>
      <c r="V41" s="50">
        <v>1.0</v>
      </c>
      <c r="W41" s="50">
        <v>0.0</v>
      </c>
      <c r="X41" s="50">
        <v>1.0</v>
      </c>
      <c r="Y41" s="116"/>
      <c r="Z41" s="116"/>
      <c r="AA41" s="116"/>
      <c r="AB41" s="116"/>
      <c r="AC41" s="116"/>
      <c r="AD41" s="116"/>
      <c r="AE41" s="50">
        <v>2.0</v>
      </c>
      <c r="AF41" s="50">
        <v>2.0</v>
      </c>
      <c r="AG41" s="50">
        <v>3.0</v>
      </c>
      <c r="AH41" s="50">
        <v>1.0</v>
      </c>
      <c r="AI41" s="116"/>
      <c r="AJ41" s="116"/>
      <c r="AK41" s="116"/>
      <c r="AL41" s="116"/>
      <c r="AM41" s="116"/>
      <c r="AN41" s="116"/>
      <c r="AO41" s="116"/>
      <c r="AP41" s="116"/>
      <c r="AQ41" s="116"/>
      <c r="AR41" s="50" t="s">
        <v>2472</v>
      </c>
      <c r="AS41" s="50">
        <v>0.0</v>
      </c>
      <c r="AT41" s="50" t="s">
        <v>4619</v>
      </c>
      <c r="AU41" s="117">
        <v>3112.0</v>
      </c>
      <c r="AV41" s="50" t="s">
        <v>4809</v>
      </c>
      <c r="AW41" s="50" t="s">
        <v>4810</v>
      </c>
      <c r="AX41" s="117">
        <v>40.0</v>
      </c>
    </row>
    <row r="42">
      <c r="A42" s="50" t="s">
        <v>4811</v>
      </c>
      <c r="B42" s="50" t="s">
        <v>4812</v>
      </c>
      <c r="C42" s="116"/>
      <c r="D42" s="116"/>
      <c r="E42" s="50">
        <v>3.52155090281144E14</v>
      </c>
      <c r="F42" s="50">
        <v>59.0</v>
      </c>
      <c r="G42" s="50">
        <v>11.0</v>
      </c>
      <c r="H42" s="50">
        <v>4.0</v>
      </c>
      <c r="I42" s="50">
        <v>0.0</v>
      </c>
      <c r="J42" s="116"/>
      <c r="K42" s="116"/>
      <c r="L42" s="50" t="s">
        <v>522</v>
      </c>
      <c r="M42" s="50" t="s">
        <v>522</v>
      </c>
      <c r="N42" s="116"/>
      <c r="O42" s="116"/>
      <c r="P42" s="50" t="s">
        <v>4813</v>
      </c>
      <c r="Q42" s="50" t="s">
        <v>4814</v>
      </c>
      <c r="R42" s="50">
        <v>22.5403866</v>
      </c>
      <c r="S42" s="50">
        <v>88.3746099</v>
      </c>
      <c r="T42" s="50">
        <v>-19.7999992370605</v>
      </c>
      <c r="U42" s="50">
        <v>4.5</v>
      </c>
      <c r="V42" s="50">
        <v>1.0</v>
      </c>
      <c r="W42" s="50">
        <v>0.0</v>
      </c>
      <c r="X42" s="50">
        <v>1.0</v>
      </c>
      <c r="Y42" s="116"/>
      <c r="Z42" s="116"/>
      <c r="AA42" s="50">
        <v>2.0</v>
      </c>
      <c r="AB42" s="50">
        <v>1.0</v>
      </c>
      <c r="AC42" s="116"/>
      <c r="AD42" s="116"/>
      <c r="AE42" s="116"/>
      <c r="AF42" s="116"/>
      <c r="AG42" s="116"/>
      <c r="AH42" s="116"/>
      <c r="AI42" s="116"/>
      <c r="AJ42" s="116"/>
      <c r="AK42" s="116"/>
      <c r="AL42" s="116"/>
      <c r="AM42" s="116"/>
      <c r="AN42" s="116"/>
      <c r="AO42" s="116"/>
      <c r="AP42" s="116"/>
      <c r="AQ42" s="116"/>
      <c r="AR42" s="50" t="s">
        <v>2278</v>
      </c>
      <c r="AS42" s="50">
        <v>1.0</v>
      </c>
      <c r="AT42" s="50" t="s">
        <v>4619</v>
      </c>
      <c r="AU42" s="117">
        <v>3127.0</v>
      </c>
      <c r="AV42" s="50" t="s">
        <v>4816</v>
      </c>
      <c r="AW42" s="50" t="s">
        <v>4817</v>
      </c>
      <c r="AX42" s="117">
        <v>41.0</v>
      </c>
    </row>
    <row r="43">
      <c r="A43" s="50" t="s">
        <v>4818</v>
      </c>
      <c r="B43" s="50" t="s">
        <v>4819</v>
      </c>
      <c r="C43" s="116"/>
      <c r="D43" s="116"/>
      <c r="E43" s="50">
        <v>3.52155090281144E14</v>
      </c>
      <c r="F43" s="50">
        <v>57.0</v>
      </c>
      <c r="G43" s="50">
        <v>12.0</v>
      </c>
      <c r="H43" s="116"/>
      <c r="I43" s="116"/>
      <c r="J43" s="116"/>
      <c r="K43" s="116"/>
      <c r="L43" s="50" t="s">
        <v>534</v>
      </c>
      <c r="M43" s="50" t="s">
        <v>534</v>
      </c>
      <c r="N43" s="50">
        <v>3.0</v>
      </c>
      <c r="O43" s="50" t="s">
        <v>4820</v>
      </c>
      <c r="P43" s="116"/>
      <c r="Q43" s="50" t="s">
        <v>4821</v>
      </c>
      <c r="R43" s="50">
        <v>22.5563567</v>
      </c>
      <c r="S43" s="50">
        <v>88.3920838</v>
      </c>
      <c r="T43" s="50">
        <v>-51.2999992370605</v>
      </c>
      <c r="U43" s="50">
        <v>5.0</v>
      </c>
      <c r="V43" s="50">
        <v>1.0</v>
      </c>
      <c r="W43" s="50">
        <v>1.0</v>
      </c>
      <c r="X43" s="116"/>
      <c r="Y43" s="116"/>
      <c r="Z43" s="116"/>
      <c r="AA43" s="116"/>
      <c r="AB43" s="116"/>
      <c r="AC43" s="116"/>
      <c r="AD43" s="116"/>
      <c r="AE43" s="50">
        <v>1.0</v>
      </c>
      <c r="AF43" s="50">
        <v>1.0</v>
      </c>
      <c r="AG43" s="50">
        <v>3.0</v>
      </c>
      <c r="AH43" s="50">
        <v>1.0</v>
      </c>
      <c r="AI43" s="116"/>
      <c r="AJ43" s="116"/>
      <c r="AK43" s="116"/>
      <c r="AL43" s="116"/>
      <c r="AM43" s="116"/>
      <c r="AN43" s="116"/>
      <c r="AO43" s="116"/>
      <c r="AP43" s="116"/>
      <c r="AQ43" s="116"/>
      <c r="AR43" s="50" t="s">
        <v>2302</v>
      </c>
      <c r="AS43" s="50">
        <v>0.0</v>
      </c>
      <c r="AT43" s="50" t="s">
        <v>4619</v>
      </c>
      <c r="AU43" s="117">
        <v>3128.0</v>
      </c>
      <c r="AV43" s="50" t="s">
        <v>4822</v>
      </c>
      <c r="AW43" s="50" t="s">
        <v>4823</v>
      </c>
      <c r="AX43" s="117">
        <v>42.0</v>
      </c>
    </row>
    <row r="44">
      <c r="A44" s="50" t="s">
        <v>4824</v>
      </c>
      <c r="B44" s="50" t="s">
        <v>4825</v>
      </c>
      <c r="C44" s="116"/>
      <c r="D44" s="116"/>
      <c r="E44" s="50">
        <v>3.52155090281144E14</v>
      </c>
      <c r="F44" s="50">
        <v>55.0</v>
      </c>
      <c r="G44" s="50">
        <v>12.0</v>
      </c>
      <c r="H44" s="116"/>
      <c r="I44" s="116"/>
      <c r="J44" s="116"/>
      <c r="K44" s="116"/>
      <c r="L44" s="50" t="s">
        <v>550</v>
      </c>
      <c r="M44" s="50" t="s">
        <v>550</v>
      </c>
      <c r="N44" s="50">
        <v>4.0</v>
      </c>
      <c r="O44" s="50" t="s">
        <v>4826</v>
      </c>
      <c r="P44" s="116"/>
      <c r="Q44" s="50" t="s">
        <v>4827</v>
      </c>
      <c r="R44" s="50">
        <v>22.5635979</v>
      </c>
      <c r="S44" s="50">
        <v>88.3771659</v>
      </c>
      <c r="T44" s="50">
        <v>-74.0</v>
      </c>
      <c r="U44" s="50">
        <v>5.0</v>
      </c>
      <c r="V44" s="50">
        <v>1.0</v>
      </c>
      <c r="W44" s="50">
        <v>1.0</v>
      </c>
      <c r="X44" s="116"/>
      <c r="Y44" s="116"/>
      <c r="Z44" s="116"/>
      <c r="AA44" s="116"/>
      <c r="AB44" s="116"/>
      <c r="AC44" s="116"/>
      <c r="AD44" s="116"/>
      <c r="AE44" s="50">
        <v>1.0</v>
      </c>
      <c r="AF44" s="50">
        <v>1.0</v>
      </c>
      <c r="AG44" s="50">
        <v>3.0</v>
      </c>
      <c r="AH44" s="50">
        <v>1.0</v>
      </c>
      <c r="AI44" s="116"/>
      <c r="AJ44" s="116"/>
      <c r="AK44" s="116"/>
      <c r="AL44" s="116"/>
      <c r="AM44" s="116"/>
      <c r="AN44" s="116"/>
      <c r="AO44" s="116"/>
      <c r="AP44" s="116"/>
      <c r="AQ44" s="116"/>
      <c r="AR44" s="50" t="s">
        <v>2494</v>
      </c>
      <c r="AS44" s="50">
        <v>0.0</v>
      </c>
      <c r="AT44" s="50" t="s">
        <v>4619</v>
      </c>
      <c r="AU44" s="117">
        <v>3129.0</v>
      </c>
      <c r="AV44" s="50" t="s">
        <v>4829</v>
      </c>
      <c r="AW44" s="50" t="s">
        <v>4830</v>
      </c>
      <c r="AX44" s="117">
        <v>43.0</v>
      </c>
    </row>
    <row r="45">
      <c r="A45" s="50" t="s">
        <v>4831</v>
      </c>
      <c r="B45" s="50" t="s">
        <v>4832</v>
      </c>
      <c r="C45" s="116"/>
      <c r="D45" s="116"/>
      <c r="E45" s="50">
        <v>3.52155090281144E14</v>
      </c>
      <c r="F45" s="50">
        <v>59.0</v>
      </c>
      <c r="G45" s="50">
        <v>11.0</v>
      </c>
      <c r="H45" s="50">
        <v>4.0</v>
      </c>
      <c r="I45" s="50">
        <v>1.0</v>
      </c>
      <c r="J45" s="50" t="s">
        <v>4770</v>
      </c>
      <c r="K45" s="116"/>
      <c r="L45" s="50" t="s">
        <v>586</v>
      </c>
      <c r="M45" s="50" t="s">
        <v>586</v>
      </c>
      <c r="N45" s="116"/>
      <c r="O45" s="116"/>
      <c r="P45" s="50" t="s">
        <v>4833</v>
      </c>
      <c r="Q45" s="50" t="s">
        <v>4834</v>
      </c>
      <c r="R45" s="50">
        <v>22.5404102</v>
      </c>
      <c r="S45" s="50">
        <v>88.3747911</v>
      </c>
      <c r="T45" s="50">
        <v>-38.4000015258789</v>
      </c>
      <c r="U45" s="50">
        <v>5.0</v>
      </c>
      <c r="V45" s="50">
        <v>1.0</v>
      </c>
      <c r="W45" s="50">
        <v>1.0</v>
      </c>
      <c r="X45" s="116"/>
      <c r="Y45" s="116"/>
      <c r="Z45" s="116"/>
      <c r="AA45" s="50">
        <v>2.0</v>
      </c>
      <c r="AB45" s="50">
        <v>1.0</v>
      </c>
      <c r="AC45" s="116"/>
      <c r="AD45" s="116"/>
      <c r="AE45" s="116"/>
      <c r="AF45" s="116"/>
      <c r="AG45" s="116"/>
      <c r="AH45" s="116"/>
      <c r="AI45" s="116"/>
      <c r="AJ45" s="116"/>
      <c r="AK45" s="116"/>
      <c r="AL45" s="116"/>
      <c r="AM45" s="116"/>
      <c r="AN45" s="116"/>
      <c r="AO45" s="116"/>
      <c r="AP45" s="116"/>
      <c r="AQ45" s="116"/>
      <c r="AR45" s="50" t="s">
        <v>2286</v>
      </c>
      <c r="AS45" s="50">
        <v>1.0</v>
      </c>
      <c r="AT45" s="50" t="s">
        <v>4619</v>
      </c>
      <c r="AU45" s="117">
        <v>3130.0</v>
      </c>
      <c r="AV45" s="50" t="s">
        <v>4835</v>
      </c>
      <c r="AW45" s="50" t="s">
        <v>4836</v>
      </c>
      <c r="AX45" s="117">
        <v>44.0</v>
      </c>
    </row>
    <row r="46">
      <c r="A46" s="50" t="s">
        <v>4837</v>
      </c>
      <c r="B46" s="50" t="s">
        <v>4838</v>
      </c>
      <c r="C46" s="116"/>
      <c r="D46" s="116"/>
      <c r="E46" s="50">
        <v>3.52155090281144E14</v>
      </c>
      <c r="F46" s="50">
        <v>59.0</v>
      </c>
      <c r="G46" s="50">
        <v>11.0</v>
      </c>
      <c r="H46" s="50">
        <v>4.0</v>
      </c>
      <c r="I46" s="50">
        <v>1.0</v>
      </c>
      <c r="J46" s="50" t="s">
        <v>4839</v>
      </c>
      <c r="K46" s="116"/>
      <c r="L46" s="50" t="s">
        <v>607</v>
      </c>
      <c r="M46" s="50" t="s">
        <v>607</v>
      </c>
      <c r="N46" s="116"/>
      <c r="O46" s="116"/>
      <c r="P46" s="50" t="s">
        <v>4840</v>
      </c>
      <c r="Q46" s="50" t="s">
        <v>4841</v>
      </c>
      <c r="R46" s="50">
        <v>22.5410234</v>
      </c>
      <c r="S46" s="50">
        <v>88.3741927</v>
      </c>
      <c r="T46" s="50">
        <v>-47.7999992370605</v>
      </c>
      <c r="U46" s="50">
        <v>5.0</v>
      </c>
      <c r="V46" s="50">
        <v>1.0</v>
      </c>
      <c r="W46" s="50">
        <v>1.0</v>
      </c>
      <c r="X46" s="116"/>
      <c r="Y46" s="116"/>
      <c r="Z46" s="116"/>
      <c r="AA46" s="50">
        <v>1.0</v>
      </c>
      <c r="AB46" s="50">
        <v>1.0</v>
      </c>
      <c r="AC46" s="116"/>
      <c r="AD46" s="116"/>
      <c r="AE46" s="116"/>
      <c r="AF46" s="116"/>
      <c r="AG46" s="116"/>
      <c r="AH46" s="116"/>
      <c r="AI46" s="116"/>
      <c r="AJ46" s="116"/>
      <c r="AK46" s="116"/>
      <c r="AL46" s="116"/>
      <c r="AM46" s="116"/>
      <c r="AN46" s="116"/>
      <c r="AO46" s="116"/>
      <c r="AP46" s="116"/>
      <c r="AQ46" s="116"/>
      <c r="AR46" s="50" t="s">
        <v>2826</v>
      </c>
      <c r="AS46" s="50">
        <v>1.0</v>
      </c>
      <c r="AT46" s="50" t="s">
        <v>4619</v>
      </c>
      <c r="AU46" s="117">
        <v>3131.0</v>
      </c>
      <c r="AV46" s="50" t="s">
        <v>4843</v>
      </c>
      <c r="AW46" s="50" t="s">
        <v>4844</v>
      </c>
      <c r="AX46" s="117">
        <v>45.0</v>
      </c>
    </row>
    <row r="47">
      <c r="A47" s="50" t="s">
        <v>4845</v>
      </c>
      <c r="B47" s="50" t="s">
        <v>4846</v>
      </c>
      <c r="C47" s="116"/>
      <c r="D47" s="116"/>
      <c r="E47" s="50">
        <v>3.52155090281144E14</v>
      </c>
      <c r="F47" s="50">
        <v>65.0</v>
      </c>
      <c r="G47" s="50">
        <v>12.0</v>
      </c>
      <c r="H47" s="116"/>
      <c r="I47" s="116"/>
      <c r="J47" s="116"/>
      <c r="K47" s="116"/>
      <c r="L47" s="50" t="s">
        <v>576</v>
      </c>
      <c r="M47" s="50" t="s">
        <v>576</v>
      </c>
      <c r="N47" s="50">
        <v>8.0</v>
      </c>
      <c r="O47" s="50" t="s">
        <v>4847</v>
      </c>
      <c r="P47" s="116"/>
      <c r="Q47" s="50" t="s">
        <v>4848</v>
      </c>
      <c r="R47" s="50">
        <v>22.5360152</v>
      </c>
      <c r="S47" s="50">
        <v>88.3746296</v>
      </c>
      <c r="T47" s="50">
        <v>-44.599998474121</v>
      </c>
      <c r="U47" s="50">
        <v>5.0</v>
      </c>
      <c r="V47" s="50">
        <v>1.0</v>
      </c>
      <c r="W47" s="50">
        <v>1.0</v>
      </c>
      <c r="X47" s="116"/>
      <c r="Y47" s="116"/>
      <c r="Z47" s="116"/>
      <c r="AA47" s="116"/>
      <c r="AB47" s="116"/>
      <c r="AC47" s="116"/>
      <c r="AD47" s="116"/>
      <c r="AE47" s="50">
        <v>1.0</v>
      </c>
      <c r="AF47" s="50">
        <v>1.0</v>
      </c>
      <c r="AG47" s="50">
        <v>3.0</v>
      </c>
      <c r="AH47" s="50">
        <v>4.0</v>
      </c>
      <c r="AI47" s="116"/>
      <c r="AJ47" s="116"/>
      <c r="AK47" s="116"/>
      <c r="AL47" s="116"/>
      <c r="AM47" s="116"/>
      <c r="AN47" s="116"/>
      <c r="AO47" s="116"/>
      <c r="AP47" s="116"/>
      <c r="AQ47" s="50" t="s">
        <v>4850</v>
      </c>
      <c r="AR47" s="50" t="s">
        <v>2494</v>
      </c>
      <c r="AS47" s="50">
        <v>0.0</v>
      </c>
      <c r="AT47" s="50" t="s">
        <v>4619</v>
      </c>
      <c r="AU47" s="117">
        <v>3132.0</v>
      </c>
      <c r="AV47" s="50" t="s">
        <v>4851</v>
      </c>
      <c r="AW47" s="50" t="s">
        <v>4852</v>
      </c>
      <c r="AX47" s="117">
        <v>46.0</v>
      </c>
    </row>
    <row r="48">
      <c r="A48" s="50" t="s">
        <v>4853</v>
      </c>
      <c r="B48" s="50" t="s">
        <v>4854</v>
      </c>
      <c r="C48" s="116"/>
      <c r="D48" s="116"/>
      <c r="E48" s="50">
        <v>3.52155090281144E14</v>
      </c>
      <c r="F48" s="50">
        <v>57.0</v>
      </c>
      <c r="G48" s="50">
        <v>12.0</v>
      </c>
      <c r="H48" s="116"/>
      <c r="I48" s="116"/>
      <c r="J48" s="116"/>
      <c r="K48" s="116"/>
      <c r="L48" s="50" t="s">
        <v>564</v>
      </c>
      <c r="M48" s="50" t="s">
        <v>564</v>
      </c>
      <c r="N48" s="50">
        <v>7.0</v>
      </c>
      <c r="O48" s="50" t="s">
        <v>4855</v>
      </c>
      <c r="P48" s="116"/>
      <c r="Q48" s="50" t="s">
        <v>4856</v>
      </c>
      <c r="R48" s="50">
        <v>22.5578939</v>
      </c>
      <c r="S48" s="50">
        <v>88.3896676</v>
      </c>
      <c r="T48" s="50">
        <v>-52.9000015258789</v>
      </c>
      <c r="U48" s="50">
        <v>5.0</v>
      </c>
      <c r="V48" s="50">
        <v>1.0</v>
      </c>
      <c r="W48" s="50">
        <v>1.0</v>
      </c>
      <c r="X48" s="116"/>
      <c r="Y48" s="116"/>
      <c r="Z48" s="116"/>
      <c r="AA48" s="116"/>
      <c r="AB48" s="116"/>
      <c r="AC48" s="116"/>
      <c r="AD48" s="116"/>
      <c r="AE48" s="50">
        <v>1.0</v>
      </c>
      <c r="AF48" s="50">
        <v>2.0</v>
      </c>
      <c r="AG48" s="50">
        <v>3.0</v>
      </c>
      <c r="AH48" s="50">
        <v>1.0</v>
      </c>
      <c r="AI48" s="116"/>
      <c r="AJ48" s="116"/>
      <c r="AK48" s="116"/>
      <c r="AL48" s="116"/>
      <c r="AM48" s="116"/>
      <c r="AN48" s="116"/>
      <c r="AO48" s="116"/>
      <c r="AP48" s="116"/>
      <c r="AQ48" s="116"/>
      <c r="AR48" s="50" t="s">
        <v>2302</v>
      </c>
      <c r="AS48" s="50">
        <v>0.0</v>
      </c>
      <c r="AT48" s="50" t="s">
        <v>4619</v>
      </c>
      <c r="AU48" s="117">
        <v>3133.0</v>
      </c>
      <c r="AV48" s="50" t="s">
        <v>4857</v>
      </c>
      <c r="AW48" s="50" t="s">
        <v>4858</v>
      </c>
      <c r="AX48" s="117">
        <v>47.0</v>
      </c>
    </row>
    <row r="49">
      <c r="A49" s="50" t="s">
        <v>4859</v>
      </c>
      <c r="B49" s="50" t="s">
        <v>4860</v>
      </c>
      <c r="C49" s="116"/>
      <c r="D49" s="116"/>
      <c r="E49" s="50">
        <v>3.52155090281144E14</v>
      </c>
      <c r="F49" s="50">
        <v>58.0</v>
      </c>
      <c r="G49" s="50">
        <v>11.0</v>
      </c>
      <c r="H49" s="50">
        <v>4.0</v>
      </c>
      <c r="I49" s="50">
        <v>1.0</v>
      </c>
      <c r="J49" s="50" t="s">
        <v>4861</v>
      </c>
      <c r="K49" s="116"/>
      <c r="L49" s="50" t="s">
        <v>622</v>
      </c>
      <c r="M49" s="50" t="s">
        <v>622</v>
      </c>
      <c r="N49" s="116"/>
      <c r="O49" s="116"/>
      <c r="P49" s="50" t="s">
        <v>4862</v>
      </c>
      <c r="Q49" s="50" t="s">
        <v>4863</v>
      </c>
      <c r="R49" s="50">
        <v>22.5517007</v>
      </c>
      <c r="S49" s="50">
        <v>88.3956583</v>
      </c>
      <c r="T49" s="50">
        <v>-38.7000007629394</v>
      </c>
      <c r="U49" s="50">
        <v>5.0</v>
      </c>
      <c r="V49" s="50">
        <v>1.0</v>
      </c>
      <c r="W49" s="50">
        <v>1.0</v>
      </c>
      <c r="X49" s="116"/>
      <c r="Y49" s="116"/>
      <c r="Z49" s="116"/>
      <c r="AA49" s="50">
        <v>2.0</v>
      </c>
      <c r="AB49" s="50">
        <v>1.0</v>
      </c>
      <c r="AC49" s="116"/>
      <c r="AD49" s="116"/>
      <c r="AE49" s="116"/>
      <c r="AF49" s="116"/>
      <c r="AG49" s="116"/>
      <c r="AH49" s="116"/>
      <c r="AI49" s="116"/>
      <c r="AJ49" s="116"/>
      <c r="AK49" s="116"/>
      <c r="AL49" s="116"/>
      <c r="AM49" s="116"/>
      <c r="AN49" s="116"/>
      <c r="AO49" s="116"/>
      <c r="AP49" s="116"/>
      <c r="AQ49" s="116"/>
      <c r="AR49" s="50" t="s">
        <v>2302</v>
      </c>
      <c r="AS49" s="50">
        <v>1.0</v>
      </c>
      <c r="AT49" s="50" t="s">
        <v>4619</v>
      </c>
      <c r="AU49" s="117">
        <v>3134.0</v>
      </c>
      <c r="AV49" s="50" t="s">
        <v>4865</v>
      </c>
      <c r="AW49" s="50" t="s">
        <v>4866</v>
      </c>
      <c r="AX49" s="117">
        <v>48.0</v>
      </c>
    </row>
    <row r="50">
      <c r="A50" s="50" t="s">
        <v>4867</v>
      </c>
      <c r="B50" s="50" t="s">
        <v>4868</v>
      </c>
      <c r="C50" s="116"/>
      <c r="D50" s="116"/>
      <c r="E50" s="50">
        <v>3.52155090281144E14</v>
      </c>
      <c r="F50" s="50">
        <v>59.0</v>
      </c>
      <c r="G50" s="50">
        <v>11.0</v>
      </c>
      <c r="H50" s="50">
        <v>4.0</v>
      </c>
      <c r="I50" s="50">
        <v>1.0</v>
      </c>
      <c r="J50" s="50" t="s">
        <v>4770</v>
      </c>
      <c r="K50" s="116"/>
      <c r="L50" s="50" t="s">
        <v>632</v>
      </c>
      <c r="M50" s="50" t="s">
        <v>632</v>
      </c>
      <c r="N50" s="116"/>
      <c r="O50" s="116"/>
      <c r="P50" s="50" t="s">
        <v>4869</v>
      </c>
      <c r="Q50" s="50" t="s">
        <v>4870</v>
      </c>
      <c r="R50" s="50">
        <v>22.5403225</v>
      </c>
      <c r="S50" s="50">
        <v>88.3748545</v>
      </c>
      <c r="T50" s="50">
        <v>-88.5</v>
      </c>
      <c r="U50" s="50">
        <v>5.0</v>
      </c>
      <c r="V50" s="50">
        <v>2.0</v>
      </c>
      <c r="W50" s="50">
        <v>0.0</v>
      </c>
      <c r="X50" s="50">
        <v>1.0</v>
      </c>
      <c r="Y50" s="116"/>
      <c r="Z50" s="116"/>
      <c r="AA50" s="50">
        <v>2.0</v>
      </c>
      <c r="AB50" s="50">
        <v>1.0</v>
      </c>
      <c r="AC50" s="116"/>
      <c r="AD50" s="116"/>
      <c r="AE50" s="116"/>
      <c r="AF50" s="116"/>
      <c r="AG50" s="116"/>
      <c r="AH50" s="116"/>
      <c r="AI50" s="116"/>
      <c r="AJ50" s="116"/>
      <c r="AK50" s="116"/>
      <c r="AL50" s="116"/>
      <c r="AM50" s="116"/>
      <c r="AN50" s="116"/>
      <c r="AO50" s="116"/>
      <c r="AP50" s="116"/>
      <c r="AQ50" s="50" t="s">
        <v>4871</v>
      </c>
      <c r="AR50" s="50" t="s">
        <v>2302</v>
      </c>
      <c r="AS50" s="50">
        <v>1.0</v>
      </c>
      <c r="AT50" s="50" t="s">
        <v>4619</v>
      </c>
      <c r="AU50" s="117">
        <v>3140.0</v>
      </c>
      <c r="AV50" s="50" t="s">
        <v>4872</v>
      </c>
      <c r="AW50" s="50" t="s">
        <v>4873</v>
      </c>
      <c r="AX50" s="117">
        <v>49.0</v>
      </c>
    </row>
    <row r="51">
      <c r="A51" s="50" t="s">
        <v>4874</v>
      </c>
      <c r="B51" s="50" t="s">
        <v>4875</v>
      </c>
      <c r="C51" s="116"/>
      <c r="D51" s="116"/>
      <c r="E51" s="50">
        <v>3.52155090281144E14</v>
      </c>
      <c r="F51" s="50">
        <v>59.0</v>
      </c>
      <c r="G51" s="50">
        <v>11.0</v>
      </c>
      <c r="H51" s="50">
        <v>4.0</v>
      </c>
      <c r="I51" s="50">
        <v>1.0</v>
      </c>
      <c r="J51" s="50" t="s">
        <v>4839</v>
      </c>
      <c r="K51" s="116"/>
      <c r="L51" s="50" t="s">
        <v>637</v>
      </c>
      <c r="M51" s="50" t="s">
        <v>637</v>
      </c>
      <c r="N51" s="116"/>
      <c r="O51" s="116"/>
      <c r="P51" s="50" t="s">
        <v>4877</v>
      </c>
      <c r="Q51" s="50" t="s">
        <v>4878</v>
      </c>
      <c r="R51" s="50">
        <v>22.5410057</v>
      </c>
      <c r="S51" s="50">
        <v>88.3741951</v>
      </c>
      <c r="T51" s="50">
        <v>-39.0</v>
      </c>
      <c r="U51" s="50">
        <v>5.0</v>
      </c>
      <c r="V51" s="50">
        <v>2.0</v>
      </c>
      <c r="W51" s="50">
        <v>0.0</v>
      </c>
      <c r="X51" s="50">
        <v>1.0</v>
      </c>
      <c r="Y51" s="116"/>
      <c r="Z51" s="116"/>
      <c r="AA51" s="50">
        <v>2.0</v>
      </c>
      <c r="AB51" s="50">
        <v>1.0</v>
      </c>
      <c r="AC51" s="116"/>
      <c r="AD51" s="116"/>
      <c r="AE51" s="116"/>
      <c r="AF51" s="116"/>
      <c r="AG51" s="116"/>
      <c r="AH51" s="116"/>
      <c r="AI51" s="116"/>
      <c r="AJ51" s="116"/>
      <c r="AK51" s="116"/>
      <c r="AL51" s="116"/>
      <c r="AM51" s="116"/>
      <c r="AN51" s="116"/>
      <c r="AO51" s="116"/>
      <c r="AP51" s="116"/>
      <c r="AQ51" s="116"/>
      <c r="AR51" s="50" t="s">
        <v>2472</v>
      </c>
      <c r="AS51" s="50">
        <v>1.0</v>
      </c>
      <c r="AT51" s="50" t="s">
        <v>4619</v>
      </c>
      <c r="AU51" s="117">
        <v>3141.0</v>
      </c>
      <c r="AV51" s="50" t="s">
        <v>4879</v>
      </c>
      <c r="AW51" s="50" t="s">
        <v>4880</v>
      </c>
      <c r="AX51" s="117">
        <v>50.0</v>
      </c>
    </row>
    <row r="52">
      <c r="A52" s="50" t="s">
        <v>4881</v>
      </c>
      <c r="B52" s="50" t="s">
        <v>4882</v>
      </c>
      <c r="C52" s="116"/>
      <c r="D52" s="116"/>
      <c r="E52" s="50">
        <v>3.52155090281144E14</v>
      </c>
      <c r="F52" s="50">
        <v>58.0</v>
      </c>
      <c r="G52" s="50">
        <v>11.0</v>
      </c>
      <c r="H52" s="50">
        <v>4.0</v>
      </c>
      <c r="I52" s="50">
        <v>1.0</v>
      </c>
      <c r="J52" s="50" t="s">
        <v>4861</v>
      </c>
      <c r="K52" s="116"/>
      <c r="L52" s="50" t="s">
        <v>642</v>
      </c>
      <c r="M52" s="50" t="s">
        <v>642</v>
      </c>
      <c r="N52" s="116"/>
      <c r="O52" s="116"/>
      <c r="P52" s="50" t="s">
        <v>4883</v>
      </c>
      <c r="Q52" s="50" t="s">
        <v>4884</v>
      </c>
      <c r="R52" s="50">
        <v>22.5518591</v>
      </c>
      <c r="S52" s="50">
        <v>88.3958616</v>
      </c>
      <c r="T52" s="50">
        <v>-22.3999996185302</v>
      </c>
      <c r="U52" s="50">
        <v>4.5</v>
      </c>
      <c r="V52" s="50">
        <v>2.0</v>
      </c>
      <c r="W52" s="50">
        <v>0.0</v>
      </c>
      <c r="X52" s="50">
        <v>1.0</v>
      </c>
      <c r="Y52" s="116"/>
      <c r="Z52" s="116"/>
      <c r="AA52" s="50">
        <v>2.0</v>
      </c>
      <c r="AB52" s="50">
        <v>1.0</v>
      </c>
      <c r="AC52" s="116"/>
      <c r="AD52" s="116"/>
      <c r="AE52" s="116"/>
      <c r="AF52" s="116"/>
      <c r="AG52" s="116"/>
      <c r="AH52" s="116"/>
      <c r="AI52" s="116"/>
      <c r="AJ52" s="116"/>
      <c r="AK52" s="116"/>
      <c r="AL52" s="116"/>
      <c r="AM52" s="116"/>
      <c r="AN52" s="116"/>
      <c r="AO52" s="116"/>
      <c r="AP52" s="116"/>
      <c r="AQ52" s="116"/>
      <c r="AR52" s="50" t="s">
        <v>2302</v>
      </c>
      <c r="AS52" s="50">
        <v>1.0</v>
      </c>
      <c r="AT52" s="50" t="s">
        <v>4619</v>
      </c>
      <c r="AU52" s="117">
        <v>3142.0</v>
      </c>
      <c r="AV52" s="50" t="s">
        <v>4885</v>
      </c>
      <c r="AW52" s="50" t="s">
        <v>4886</v>
      </c>
      <c r="AX52" s="117">
        <v>51.0</v>
      </c>
    </row>
    <row r="53">
      <c r="A53" s="50" t="s">
        <v>4887</v>
      </c>
      <c r="B53" s="50" t="s">
        <v>4888</v>
      </c>
      <c r="C53" s="116"/>
      <c r="D53" s="116"/>
      <c r="E53" s="50">
        <v>3.52155090281144E14</v>
      </c>
      <c r="F53" s="50">
        <v>57.0</v>
      </c>
      <c r="G53" s="50">
        <v>12.0</v>
      </c>
      <c r="H53" s="116"/>
      <c r="I53" s="116"/>
      <c r="J53" s="116"/>
      <c r="K53" s="116"/>
      <c r="L53" s="50" t="s">
        <v>647</v>
      </c>
      <c r="M53" s="50" t="s">
        <v>647</v>
      </c>
      <c r="N53" s="50">
        <v>1.0</v>
      </c>
      <c r="O53" s="50" t="s">
        <v>4889</v>
      </c>
      <c r="P53" s="116"/>
      <c r="Q53" s="50" t="s">
        <v>4890</v>
      </c>
      <c r="R53" s="50">
        <v>22.5578997</v>
      </c>
      <c r="S53" s="50">
        <v>88.4107542</v>
      </c>
      <c r="T53" s="50">
        <v>-30.2999992370605</v>
      </c>
      <c r="U53" s="50">
        <v>5.0</v>
      </c>
      <c r="V53" s="50">
        <v>1.0</v>
      </c>
      <c r="W53" s="50">
        <v>0.0</v>
      </c>
      <c r="X53" s="50">
        <v>1.0</v>
      </c>
      <c r="Y53" s="116"/>
      <c r="Z53" s="116"/>
      <c r="AA53" s="116"/>
      <c r="AB53" s="116"/>
      <c r="AC53" s="116"/>
      <c r="AD53" s="116"/>
      <c r="AE53" s="50">
        <v>1.0</v>
      </c>
      <c r="AF53" s="50">
        <v>1.0</v>
      </c>
      <c r="AG53" s="50">
        <v>4.0</v>
      </c>
      <c r="AH53" s="50">
        <v>1.0</v>
      </c>
      <c r="AI53" s="116"/>
      <c r="AJ53" s="116"/>
      <c r="AK53" s="116"/>
      <c r="AL53" s="116"/>
      <c r="AM53" s="116"/>
      <c r="AN53" s="116"/>
      <c r="AO53" s="116"/>
      <c r="AP53" s="116"/>
      <c r="AQ53" s="116"/>
      <c r="AR53" s="50" t="s">
        <v>2318</v>
      </c>
      <c r="AS53" s="50">
        <v>0.0</v>
      </c>
      <c r="AT53" s="50" t="s">
        <v>4619</v>
      </c>
      <c r="AU53" s="117">
        <v>3143.0</v>
      </c>
      <c r="AV53" s="50" t="s">
        <v>4892</v>
      </c>
      <c r="AW53" s="50" t="s">
        <v>4893</v>
      </c>
      <c r="AX53" s="117">
        <v>52.0</v>
      </c>
    </row>
    <row r="54">
      <c r="A54" s="50" t="s">
        <v>4894</v>
      </c>
      <c r="B54" s="50" t="s">
        <v>4895</v>
      </c>
      <c r="C54" s="116"/>
      <c r="D54" s="116"/>
      <c r="E54" s="50">
        <v>3.52155090281144E14</v>
      </c>
      <c r="F54" s="50">
        <v>57.0</v>
      </c>
      <c r="G54" s="50">
        <v>12.0</v>
      </c>
      <c r="H54" s="116"/>
      <c r="I54" s="116"/>
      <c r="J54" s="116"/>
      <c r="K54" s="116"/>
      <c r="L54" s="50" t="s">
        <v>652</v>
      </c>
      <c r="M54" s="50" t="s">
        <v>652</v>
      </c>
      <c r="N54" s="50">
        <v>2.0</v>
      </c>
      <c r="O54" s="50" t="s">
        <v>4896</v>
      </c>
      <c r="P54" s="116"/>
      <c r="Q54" s="50" t="s">
        <v>4897</v>
      </c>
      <c r="R54" s="50">
        <v>22.5543645</v>
      </c>
      <c r="S54" s="50">
        <v>88.3966567</v>
      </c>
      <c r="T54" s="50">
        <v>-43.0</v>
      </c>
      <c r="U54" s="50">
        <v>5.0</v>
      </c>
      <c r="V54" s="50">
        <v>1.0</v>
      </c>
      <c r="W54" s="50">
        <v>0.0</v>
      </c>
      <c r="X54" s="50">
        <v>1.0</v>
      </c>
      <c r="Y54" s="116"/>
      <c r="Z54" s="116"/>
      <c r="AA54" s="116"/>
      <c r="AB54" s="116"/>
      <c r="AC54" s="116"/>
      <c r="AD54" s="116"/>
      <c r="AE54" s="50">
        <v>1.0</v>
      </c>
      <c r="AF54" s="50">
        <v>2.0</v>
      </c>
      <c r="AG54" s="50">
        <v>3.0</v>
      </c>
      <c r="AH54" s="50">
        <v>1.0</v>
      </c>
      <c r="AI54" s="116"/>
      <c r="AJ54" s="116"/>
      <c r="AK54" s="116"/>
      <c r="AL54" s="116"/>
      <c r="AM54" s="116"/>
      <c r="AN54" s="116"/>
      <c r="AO54" s="116"/>
      <c r="AP54" s="116"/>
      <c r="AQ54" s="116"/>
      <c r="AR54" s="50" t="s">
        <v>2302</v>
      </c>
      <c r="AS54" s="50">
        <v>0.0</v>
      </c>
      <c r="AT54" s="50" t="s">
        <v>4619</v>
      </c>
      <c r="AU54" s="117">
        <v>3144.0</v>
      </c>
      <c r="AV54" s="50" t="s">
        <v>4898</v>
      </c>
      <c r="AW54" s="50" t="s">
        <v>4899</v>
      </c>
      <c r="AX54" s="117">
        <v>53.0</v>
      </c>
    </row>
    <row r="55">
      <c r="A55" s="50" t="s">
        <v>4900</v>
      </c>
      <c r="B55" s="50" t="s">
        <v>4901</v>
      </c>
      <c r="C55" s="116"/>
      <c r="D55" s="116"/>
      <c r="E55" s="50">
        <v>3.52155090281144E14</v>
      </c>
      <c r="F55" s="50">
        <v>66.0</v>
      </c>
      <c r="G55" s="50">
        <v>12.0</v>
      </c>
      <c r="H55" s="116"/>
      <c r="I55" s="116"/>
      <c r="J55" s="116"/>
      <c r="K55" s="116"/>
      <c r="L55" s="50" t="s">
        <v>655</v>
      </c>
      <c r="M55" s="50" t="s">
        <v>655</v>
      </c>
      <c r="N55" s="50">
        <v>5.0</v>
      </c>
      <c r="O55" s="50" t="s">
        <v>4902</v>
      </c>
      <c r="P55" s="116"/>
      <c r="Q55" s="50" t="s">
        <v>4903</v>
      </c>
      <c r="R55" s="50">
        <v>22.5346165</v>
      </c>
      <c r="S55" s="50">
        <v>88.3960025</v>
      </c>
      <c r="T55" s="50">
        <v>-37.599998474121</v>
      </c>
      <c r="U55" s="50">
        <v>4.5</v>
      </c>
      <c r="V55" s="50">
        <v>1.0</v>
      </c>
      <c r="W55" s="50">
        <v>0.0</v>
      </c>
      <c r="X55" s="50">
        <v>1.0</v>
      </c>
      <c r="Y55" s="116"/>
      <c r="Z55" s="116"/>
      <c r="AA55" s="116"/>
      <c r="AB55" s="116"/>
      <c r="AC55" s="116"/>
      <c r="AD55" s="116"/>
      <c r="AE55" s="50">
        <v>1.0</v>
      </c>
      <c r="AF55" s="50">
        <v>2.0</v>
      </c>
      <c r="AG55" s="50">
        <v>3.0</v>
      </c>
      <c r="AH55" s="50">
        <v>1.0</v>
      </c>
      <c r="AI55" s="116"/>
      <c r="AJ55" s="116"/>
      <c r="AK55" s="116"/>
      <c r="AL55" s="116"/>
      <c r="AM55" s="116"/>
      <c r="AN55" s="116"/>
      <c r="AO55" s="116"/>
      <c r="AP55" s="116"/>
      <c r="AQ55" s="116"/>
      <c r="AR55" s="50" t="s">
        <v>2472</v>
      </c>
      <c r="AS55" s="50">
        <v>0.0</v>
      </c>
      <c r="AT55" s="50" t="s">
        <v>4619</v>
      </c>
      <c r="AU55" s="117">
        <v>3145.0</v>
      </c>
      <c r="AV55" s="50" t="s">
        <v>4905</v>
      </c>
      <c r="AW55" s="50" t="s">
        <v>4906</v>
      </c>
      <c r="AX55" s="117">
        <v>54.0</v>
      </c>
    </row>
    <row r="56">
      <c r="A56" s="50" t="s">
        <v>4907</v>
      </c>
      <c r="B56" s="50" t="s">
        <v>4908</v>
      </c>
      <c r="C56" s="116"/>
      <c r="D56" s="116"/>
      <c r="E56" s="50">
        <v>3.52155090281144E14</v>
      </c>
      <c r="F56" s="50">
        <v>59.0</v>
      </c>
      <c r="G56" s="50">
        <v>12.0</v>
      </c>
      <c r="H56" s="116"/>
      <c r="I56" s="116"/>
      <c r="J56" s="116"/>
      <c r="K56" s="116"/>
      <c r="L56" s="50" t="s">
        <v>658</v>
      </c>
      <c r="M56" s="50" t="s">
        <v>658</v>
      </c>
      <c r="N56" s="50">
        <v>6.0</v>
      </c>
      <c r="O56" s="50" t="s">
        <v>4909</v>
      </c>
      <c r="P56" s="116"/>
      <c r="Q56" s="50" t="s">
        <v>4910</v>
      </c>
      <c r="R56" s="50">
        <v>22.5401122</v>
      </c>
      <c r="S56" s="50">
        <v>88.3872773</v>
      </c>
      <c r="T56" s="50">
        <v>-2.40000009536743</v>
      </c>
      <c r="U56" s="50">
        <v>4.5</v>
      </c>
      <c r="V56" s="50">
        <v>1.0</v>
      </c>
      <c r="W56" s="50">
        <v>0.0</v>
      </c>
      <c r="X56" s="50">
        <v>1.0</v>
      </c>
      <c r="Y56" s="116"/>
      <c r="Z56" s="116"/>
      <c r="AA56" s="116"/>
      <c r="AB56" s="116"/>
      <c r="AC56" s="116"/>
      <c r="AD56" s="116"/>
      <c r="AE56" s="50">
        <v>2.0</v>
      </c>
      <c r="AF56" s="50">
        <v>2.0</v>
      </c>
      <c r="AG56" s="50">
        <v>4.0</v>
      </c>
      <c r="AH56" s="50">
        <v>1.0</v>
      </c>
      <c r="AI56" s="116"/>
      <c r="AJ56" s="116"/>
      <c r="AK56" s="116"/>
      <c r="AL56" s="116"/>
      <c r="AM56" s="116"/>
      <c r="AN56" s="116"/>
      <c r="AO56" s="116"/>
      <c r="AP56" s="116"/>
      <c r="AQ56" s="116"/>
      <c r="AR56" s="50" t="s">
        <v>2472</v>
      </c>
      <c r="AS56" s="50">
        <v>0.0</v>
      </c>
      <c r="AT56" s="50" t="s">
        <v>4619</v>
      </c>
      <c r="AU56" s="117">
        <v>3146.0</v>
      </c>
      <c r="AV56" s="50" t="s">
        <v>4911</v>
      </c>
      <c r="AW56" s="50" t="s">
        <v>4912</v>
      </c>
      <c r="AX56" s="117">
        <v>55.0</v>
      </c>
    </row>
    <row r="57">
      <c r="A57" s="50" t="s">
        <v>4913</v>
      </c>
      <c r="B57" s="50" t="s">
        <v>4914</v>
      </c>
      <c r="C57" s="116"/>
      <c r="D57" s="116"/>
      <c r="E57" s="50">
        <v>3.52155090281144E14</v>
      </c>
      <c r="F57" s="50">
        <v>58.0</v>
      </c>
      <c r="G57" s="50">
        <v>11.0</v>
      </c>
      <c r="H57" s="50">
        <v>4.0</v>
      </c>
      <c r="I57" s="50">
        <v>1.0</v>
      </c>
      <c r="J57" s="50" t="s">
        <v>4861</v>
      </c>
      <c r="K57" s="116"/>
      <c r="L57" s="50" t="s">
        <v>672</v>
      </c>
      <c r="M57" s="50" t="s">
        <v>672</v>
      </c>
      <c r="N57" s="116"/>
      <c r="O57" s="116"/>
      <c r="P57" s="50" t="s">
        <v>4916</v>
      </c>
      <c r="Q57" s="50" t="s">
        <v>4917</v>
      </c>
      <c r="R57" s="50">
        <v>22.5517449</v>
      </c>
      <c r="S57" s="50">
        <v>88.3957162</v>
      </c>
      <c r="T57" s="50">
        <v>-31.0</v>
      </c>
      <c r="U57" s="50">
        <v>5.0</v>
      </c>
      <c r="V57" s="50">
        <v>1.0</v>
      </c>
      <c r="W57" s="50">
        <v>1.0</v>
      </c>
      <c r="X57" s="116"/>
      <c r="Y57" s="116"/>
      <c r="Z57" s="116"/>
      <c r="AA57" s="50">
        <v>2.0</v>
      </c>
      <c r="AB57" s="50">
        <v>4.0</v>
      </c>
      <c r="AC57" s="116"/>
      <c r="AD57" s="116"/>
      <c r="AE57" s="116"/>
      <c r="AF57" s="116"/>
      <c r="AG57" s="116"/>
      <c r="AH57" s="116"/>
      <c r="AI57" s="116"/>
      <c r="AJ57" s="116"/>
      <c r="AK57" s="116"/>
      <c r="AL57" s="116"/>
      <c r="AM57" s="116"/>
      <c r="AN57" s="116"/>
      <c r="AO57" s="116"/>
      <c r="AP57" s="116"/>
      <c r="AQ57" s="50" t="s">
        <v>4918</v>
      </c>
      <c r="AR57" s="50" t="s">
        <v>2302</v>
      </c>
      <c r="AS57" s="50">
        <v>1.0</v>
      </c>
      <c r="AT57" s="50" t="s">
        <v>4619</v>
      </c>
      <c r="AU57" s="117">
        <v>3197.0</v>
      </c>
      <c r="AV57" s="50" t="s">
        <v>4919</v>
      </c>
      <c r="AW57" s="50" t="s">
        <v>4920</v>
      </c>
      <c r="AX57" s="117">
        <v>56.0</v>
      </c>
    </row>
    <row r="58">
      <c r="A58" s="50" t="s">
        <v>4921</v>
      </c>
      <c r="B58" s="50" t="s">
        <v>4922</v>
      </c>
      <c r="C58" s="116"/>
      <c r="D58" s="116"/>
      <c r="E58" s="50">
        <v>3.52155090281144E14</v>
      </c>
      <c r="F58" s="50">
        <v>57.0</v>
      </c>
      <c r="G58" s="50">
        <v>12.0</v>
      </c>
      <c r="H58" s="116"/>
      <c r="I58" s="116"/>
      <c r="J58" s="116"/>
      <c r="K58" s="116"/>
      <c r="L58" s="50" t="s">
        <v>662</v>
      </c>
      <c r="M58" s="50" t="s">
        <v>662</v>
      </c>
      <c r="N58" s="50">
        <v>3.0</v>
      </c>
      <c r="O58" s="50" t="s">
        <v>4923</v>
      </c>
      <c r="P58" s="116"/>
      <c r="Q58" s="50" t="s">
        <v>4924</v>
      </c>
      <c r="R58" s="50">
        <v>22.5563536</v>
      </c>
      <c r="S58" s="50">
        <v>88.3922463</v>
      </c>
      <c r="T58" s="50">
        <v>-48.2000007629394</v>
      </c>
      <c r="U58" s="50">
        <v>5.0</v>
      </c>
      <c r="V58" s="50">
        <v>1.0</v>
      </c>
      <c r="W58" s="50">
        <v>1.0</v>
      </c>
      <c r="X58" s="116"/>
      <c r="Y58" s="116"/>
      <c r="Z58" s="116"/>
      <c r="AA58" s="116"/>
      <c r="AB58" s="116"/>
      <c r="AC58" s="116"/>
      <c r="AD58" s="116"/>
      <c r="AE58" s="50">
        <v>1.0</v>
      </c>
      <c r="AF58" s="50">
        <v>2.0</v>
      </c>
      <c r="AG58" s="50">
        <v>4.0</v>
      </c>
      <c r="AH58" s="50">
        <v>1.0</v>
      </c>
      <c r="AI58" s="116"/>
      <c r="AJ58" s="116"/>
      <c r="AK58" s="116"/>
      <c r="AL58" s="116"/>
      <c r="AM58" s="116"/>
      <c r="AN58" s="116"/>
      <c r="AO58" s="116"/>
      <c r="AP58" s="116"/>
      <c r="AQ58" s="116"/>
      <c r="AR58" s="50" t="s">
        <v>2472</v>
      </c>
      <c r="AS58" s="50">
        <v>0.0</v>
      </c>
      <c r="AT58" s="50" t="s">
        <v>4619</v>
      </c>
      <c r="AU58" s="117">
        <v>3198.0</v>
      </c>
      <c r="AV58" s="50" t="s">
        <v>4925</v>
      </c>
      <c r="AW58" s="50" t="s">
        <v>4926</v>
      </c>
      <c r="AX58" s="117">
        <v>57.0</v>
      </c>
    </row>
    <row r="59">
      <c r="A59" s="50" t="s">
        <v>4927</v>
      </c>
      <c r="B59" s="50" t="s">
        <v>4928</v>
      </c>
      <c r="C59" s="116"/>
      <c r="D59" s="116"/>
      <c r="E59" s="50">
        <v>3.52155090281144E14</v>
      </c>
      <c r="F59" s="50">
        <v>57.0</v>
      </c>
      <c r="G59" s="50">
        <v>12.0</v>
      </c>
      <c r="H59" s="116"/>
      <c r="I59" s="116"/>
      <c r="J59" s="116"/>
      <c r="K59" s="116"/>
      <c r="L59" s="50" t="s">
        <v>665</v>
      </c>
      <c r="M59" s="50" t="s">
        <v>665</v>
      </c>
      <c r="N59" s="50">
        <v>7.0</v>
      </c>
      <c r="O59" s="50" t="s">
        <v>4929</v>
      </c>
      <c r="P59" s="116"/>
      <c r="Q59" s="50" t="s">
        <v>4931</v>
      </c>
      <c r="R59" s="50">
        <v>22.5580197</v>
      </c>
      <c r="S59" s="50">
        <v>88.3895676</v>
      </c>
      <c r="T59" s="50">
        <v>-33.9000015258789</v>
      </c>
      <c r="U59" s="50">
        <v>5.0</v>
      </c>
      <c r="V59" s="50">
        <v>1.0</v>
      </c>
      <c r="W59" s="50">
        <v>1.0</v>
      </c>
      <c r="X59" s="116"/>
      <c r="Y59" s="116"/>
      <c r="Z59" s="116"/>
      <c r="AA59" s="116"/>
      <c r="AB59" s="116"/>
      <c r="AC59" s="116"/>
      <c r="AD59" s="116"/>
      <c r="AE59" s="50">
        <v>1.0</v>
      </c>
      <c r="AF59" s="50">
        <v>2.0</v>
      </c>
      <c r="AG59" s="50">
        <v>3.0</v>
      </c>
      <c r="AH59" s="50">
        <v>1.0</v>
      </c>
      <c r="AI59" s="116"/>
      <c r="AJ59" s="116"/>
      <c r="AK59" s="116"/>
      <c r="AL59" s="116"/>
      <c r="AM59" s="116"/>
      <c r="AN59" s="116"/>
      <c r="AO59" s="116"/>
      <c r="AP59" s="116"/>
      <c r="AQ59" s="116"/>
      <c r="AR59" s="50" t="s">
        <v>2286</v>
      </c>
      <c r="AS59" s="50">
        <v>0.0</v>
      </c>
      <c r="AT59" s="50" t="s">
        <v>4619</v>
      </c>
      <c r="AU59" s="117">
        <v>3199.0</v>
      </c>
      <c r="AV59" s="50" t="s">
        <v>4932</v>
      </c>
      <c r="AW59" s="50" t="s">
        <v>4933</v>
      </c>
      <c r="AX59" s="117">
        <v>58.0</v>
      </c>
    </row>
    <row r="60">
      <c r="A60" s="50" t="s">
        <v>4934</v>
      </c>
      <c r="B60" s="50" t="s">
        <v>4935</v>
      </c>
      <c r="C60" s="116"/>
      <c r="D60" s="116"/>
      <c r="E60" s="50">
        <v>3.52155090281144E14</v>
      </c>
      <c r="F60" s="50">
        <v>55.0</v>
      </c>
      <c r="G60" s="50">
        <v>12.0</v>
      </c>
      <c r="H60" s="116"/>
      <c r="I60" s="116"/>
      <c r="J60" s="116"/>
      <c r="K60" s="116"/>
      <c r="L60" s="50" t="s">
        <v>668</v>
      </c>
      <c r="M60" s="50" t="s">
        <v>668</v>
      </c>
      <c r="N60" s="50">
        <v>4.0</v>
      </c>
      <c r="O60" s="50" t="s">
        <v>4936</v>
      </c>
      <c r="P60" s="116"/>
      <c r="Q60" s="50" t="s">
        <v>4937</v>
      </c>
      <c r="R60" s="50">
        <v>22.563632</v>
      </c>
      <c r="S60" s="50">
        <v>88.3772701</v>
      </c>
      <c r="T60" s="50">
        <v>-44.2000007629394</v>
      </c>
      <c r="U60" s="50">
        <v>5.0</v>
      </c>
      <c r="V60" s="50">
        <v>1.0</v>
      </c>
      <c r="W60" s="50">
        <v>1.0</v>
      </c>
      <c r="X60" s="116"/>
      <c r="Y60" s="116"/>
      <c r="Z60" s="116"/>
      <c r="AA60" s="116"/>
      <c r="AB60" s="116"/>
      <c r="AC60" s="116"/>
      <c r="AD60" s="116"/>
      <c r="AE60" s="50">
        <v>1.0</v>
      </c>
      <c r="AF60" s="50">
        <v>2.0</v>
      </c>
      <c r="AG60" s="50">
        <v>4.0</v>
      </c>
      <c r="AH60" s="50">
        <v>1.0</v>
      </c>
      <c r="AI60" s="116"/>
      <c r="AJ60" s="116"/>
      <c r="AK60" s="116"/>
      <c r="AL60" s="116"/>
      <c r="AM60" s="116"/>
      <c r="AN60" s="116"/>
      <c r="AO60" s="116"/>
      <c r="AP60" s="116"/>
      <c r="AQ60" s="116"/>
      <c r="AR60" s="50" t="s">
        <v>2302</v>
      </c>
      <c r="AS60" s="50">
        <v>0.0</v>
      </c>
      <c r="AT60" s="50" t="s">
        <v>4619</v>
      </c>
      <c r="AU60" s="117">
        <v>3200.0</v>
      </c>
      <c r="AV60" s="50" t="s">
        <v>4938</v>
      </c>
      <c r="AW60" s="50" t="s">
        <v>4939</v>
      </c>
      <c r="AX60" s="117">
        <v>59.0</v>
      </c>
    </row>
    <row r="61">
      <c r="A61" s="50" t="s">
        <v>4940</v>
      </c>
      <c r="B61" s="50" t="s">
        <v>4941</v>
      </c>
      <c r="C61" s="116"/>
      <c r="D61" s="116"/>
      <c r="E61" s="50">
        <v>3.52155090281144E14</v>
      </c>
      <c r="F61" s="50">
        <v>59.0</v>
      </c>
      <c r="G61" s="50">
        <v>11.0</v>
      </c>
      <c r="H61" s="50">
        <v>4.0</v>
      </c>
      <c r="I61" s="50">
        <v>1.0</v>
      </c>
      <c r="J61" s="50" t="s">
        <v>4770</v>
      </c>
      <c r="K61" s="116"/>
      <c r="L61" s="50" t="s">
        <v>680</v>
      </c>
      <c r="M61" s="50" t="s">
        <v>680</v>
      </c>
      <c r="N61" s="116"/>
      <c r="O61" s="116"/>
      <c r="P61" s="50" t="s">
        <v>4943</v>
      </c>
      <c r="Q61" s="50" t="s">
        <v>4944</v>
      </c>
      <c r="R61" s="50">
        <v>22.5403602</v>
      </c>
      <c r="S61" s="50">
        <v>88.3748768</v>
      </c>
      <c r="T61" s="50">
        <v>-40.599998474121</v>
      </c>
      <c r="U61" s="50">
        <v>5.0</v>
      </c>
      <c r="V61" s="50">
        <v>1.0</v>
      </c>
      <c r="W61" s="50">
        <v>1.0</v>
      </c>
      <c r="X61" s="116"/>
      <c r="Y61" s="116"/>
      <c r="Z61" s="116"/>
      <c r="AA61" s="50">
        <v>2.0</v>
      </c>
      <c r="AB61" s="50">
        <v>4.0</v>
      </c>
      <c r="AC61" s="116"/>
      <c r="AD61" s="116"/>
      <c r="AE61" s="116"/>
      <c r="AF61" s="116"/>
      <c r="AG61" s="116"/>
      <c r="AH61" s="116"/>
      <c r="AI61" s="116"/>
      <c r="AJ61" s="116"/>
      <c r="AK61" s="116"/>
      <c r="AL61" s="116"/>
      <c r="AM61" s="116"/>
      <c r="AN61" s="116"/>
      <c r="AO61" s="116"/>
      <c r="AP61" s="116"/>
      <c r="AQ61" s="50" t="s">
        <v>4945</v>
      </c>
      <c r="AR61" s="50" t="s">
        <v>2302</v>
      </c>
      <c r="AS61" s="50">
        <v>1.0</v>
      </c>
      <c r="AT61" s="50" t="s">
        <v>4619</v>
      </c>
      <c r="AU61" s="117">
        <v>3201.0</v>
      </c>
      <c r="AV61" s="50" t="s">
        <v>4946</v>
      </c>
      <c r="AW61" s="50" t="s">
        <v>4947</v>
      </c>
      <c r="AX61" s="117">
        <v>60.0</v>
      </c>
    </row>
    <row r="62">
      <c r="A62" s="50" t="s">
        <v>4948</v>
      </c>
      <c r="B62" s="50" t="s">
        <v>4949</v>
      </c>
      <c r="C62" s="116"/>
      <c r="D62" s="116"/>
      <c r="E62" s="50">
        <v>3.52155090281144E14</v>
      </c>
      <c r="F62" s="50">
        <v>59.0</v>
      </c>
      <c r="G62" s="50">
        <v>11.0</v>
      </c>
      <c r="H62" s="50">
        <v>4.0</v>
      </c>
      <c r="I62" s="50">
        <v>1.0</v>
      </c>
      <c r="J62" s="50" t="s">
        <v>4839</v>
      </c>
      <c r="K62" s="116"/>
      <c r="L62" s="50" t="s">
        <v>689</v>
      </c>
      <c r="M62" s="50" t="s">
        <v>689</v>
      </c>
      <c r="N62" s="116"/>
      <c r="O62" s="116"/>
      <c r="P62" s="50" t="s">
        <v>4950</v>
      </c>
      <c r="Q62" s="50" t="s">
        <v>4951</v>
      </c>
      <c r="R62" s="50">
        <v>22.5410763</v>
      </c>
      <c r="S62" s="50">
        <v>88.374222</v>
      </c>
      <c r="T62" s="50">
        <v>-38.2999992370605</v>
      </c>
      <c r="U62" s="50">
        <v>4.5</v>
      </c>
      <c r="V62" s="50">
        <v>1.0</v>
      </c>
      <c r="W62" s="50">
        <v>1.0</v>
      </c>
      <c r="X62" s="116"/>
      <c r="Y62" s="116"/>
      <c r="Z62" s="116"/>
      <c r="AA62" s="50">
        <v>2.0</v>
      </c>
      <c r="AB62" s="50">
        <v>4.0</v>
      </c>
      <c r="AC62" s="116"/>
      <c r="AD62" s="116"/>
      <c r="AE62" s="116"/>
      <c r="AF62" s="116"/>
      <c r="AG62" s="116"/>
      <c r="AH62" s="116"/>
      <c r="AI62" s="116"/>
      <c r="AJ62" s="116"/>
      <c r="AK62" s="116"/>
      <c r="AL62" s="116"/>
      <c r="AM62" s="116"/>
      <c r="AN62" s="116"/>
      <c r="AO62" s="116"/>
      <c r="AP62" s="116"/>
      <c r="AQ62" s="50" t="s">
        <v>4952</v>
      </c>
      <c r="AR62" s="50" t="s">
        <v>2318</v>
      </c>
      <c r="AS62" s="50">
        <v>1.0</v>
      </c>
      <c r="AT62" s="50" t="s">
        <v>4619</v>
      </c>
      <c r="AU62" s="117">
        <v>3202.0</v>
      </c>
      <c r="AV62" s="50" t="s">
        <v>4953</v>
      </c>
      <c r="AW62" s="50" t="s">
        <v>4954</v>
      </c>
      <c r="AX62" s="117">
        <v>61.0</v>
      </c>
    </row>
    <row r="63">
      <c r="A63" s="50" t="s">
        <v>4955</v>
      </c>
      <c r="B63" s="50" t="s">
        <v>4956</v>
      </c>
      <c r="C63" s="116"/>
      <c r="D63" s="116"/>
      <c r="E63" s="50">
        <v>3.52155090281144E14</v>
      </c>
      <c r="F63" s="50">
        <v>65.0</v>
      </c>
      <c r="G63" s="50">
        <v>12.0</v>
      </c>
      <c r="H63" s="116"/>
      <c r="I63" s="116"/>
      <c r="J63" s="116"/>
      <c r="K63" s="116"/>
      <c r="L63" s="50" t="s">
        <v>670</v>
      </c>
      <c r="M63" s="50" t="s">
        <v>670</v>
      </c>
      <c r="N63" s="50">
        <v>8.0</v>
      </c>
      <c r="O63" s="50" t="s">
        <v>4958</v>
      </c>
      <c r="P63" s="116"/>
      <c r="Q63" s="50" t="s">
        <v>4959</v>
      </c>
      <c r="R63" s="50">
        <v>22.5361609</v>
      </c>
      <c r="S63" s="50">
        <v>88.3745297</v>
      </c>
      <c r="T63" s="50">
        <v>-35.4000015258789</v>
      </c>
      <c r="U63" s="50">
        <v>4.0</v>
      </c>
      <c r="V63" s="50">
        <v>1.0</v>
      </c>
      <c r="W63" s="50">
        <v>1.0</v>
      </c>
      <c r="X63" s="116"/>
      <c r="Y63" s="116"/>
      <c r="Z63" s="116"/>
      <c r="AA63" s="116"/>
      <c r="AB63" s="116"/>
      <c r="AC63" s="116"/>
      <c r="AD63" s="116"/>
      <c r="AE63" s="50">
        <v>2.0</v>
      </c>
      <c r="AF63" s="50">
        <v>1.0</v>
      </c>
      <c r="AG63" s="50">
        <v>4.0</v>
      </c>
      <c r="AH63" s="50">
        <v>6.0</v>
      </c>
      <c r="AI63" s="116"/>
      <c r="AJ63" s="116"/>
      <c r="AK63" s="116"/>
      <c r="AL63" s="116"/>
      <c r="AM63" s="116"/>
      <c r="AN63" s="116"/>
      <c r="AO63" s="116"/>
      <c r="AP63" s="116"/>
      <c r="AQ63" s="50" t="s">
        <v>4960</v>
      </c>
      <c r="AR63" s="50" t="s">
        <v>2302</v>
      </c>
      <c r="AS63" s="50">
        <v>0.0</v>
      </c>
      <c r="AT63" s="50" t="s">
        <v>4619</v>
      </c>
      <c r="AU63" s="117">
        <v>3203.0</v>
      </c>
      <c r="AV63" s="50" t="s">
        <v>4961</v>
      </c>
      <c r="AW63" s="50" t="s">
        <v>4962</v>
      </c>
      <c r="AX63" s="117">
        <v>62.0</v>
      </c>
    </row>
    <row r="64">
      <c r="A64" s="50" t="s">
        <v>4963</v>
      </c>
      <c r="B64" s="50" t="s">
        <v>4964</v>
      </c>
      <c r="C64" s="116"/>
      <c r="D64" s="116"/>
      <c r="E64" s="50">
        <v>3.52155090281144E14</v>
      </c>
      <c r="F64" s="50">
        <v>59.0</v>
      </c>
      <c r="G64" s="50">
        <v>11.0</v>
      </c>
      <c r="H64" s="50">
        <v>4.0</v>
      </c>
      <c r="I64" s="50">
        <v>1.0</v>
      </c>
      <c r="J64" s="50" t="s">
        <v>4770</v>
      </c>
      <c r="K64" s="116"/>
      <c r="L64" s="50" t="s">
        <v>692</v>
      </c>
      <c r="M64" s="50" t="s">
        <v>692</v>
      </c>
      <c r="N64" s="116"/>
      <c r="O64" s="116"/>
      <c r="P64" s="50" t="s">
        <v>4965</v>
      </c>
      <c r="Q64" s="50" t="s">
        <v>4966</v>
      </c>
      <c r="R64" s="50">
        <v>22.5404395</v>
      </c>
      <c r="S64" s="50">
        <v>88.3747251</v>
      </c>
      <c r="T64" s="50">
        <v>31.8999996185302</v>
      </c>
      <c r="U64" s="50">
        <v>5.0</v>
      </c>
      <c r="V64" s="50">
        <v>1.0</v>
      </c>
      <c r="W64" s="50">
        <v>0.0</v>
      </c>
      <c r="X64" s="50">
        <v>1.0</v>
      </c>
      <c r="Y64" s="116"/>
      <c r="Z64" s="116"/>
      <c r="AA64" s="50">
        <v>2.0</v>
      </c>
      <c r="AB64" s="50">
        <v>4.0</v>
      </c>
      <c r="AC64" s="116"/>
      <c r="AD64" s="116"/>
      <c r="AE64" s="116"/>
      <c r="AF64" s="116"/>
      <c r="AG64" s="116"/>
      <c r="AH64" s="116"/>
      <c r="AI64" s="116"/>
      <c r="AJ64" s="116"/>
      <c r="AK64" s="116"/>
      <c r="AL64" s="116"/>
      <c r="AM64" s="116"/>
      <c r="AN64" s="116"/>
      <c r="AO64" s="116"/>
      <c r="AP64" s="116"/>
      <c r="AQ64" s="116"/>
      <c r="AR64" s="50" t="s">
        <v>2302</v>
      </c>
      <c r="AS64" s="50">
        <v>1.0</v>
      </c>
      <c r="AT64" s="50" t="s">
        <v>4619</v>
      </c>
      <c r="AU64" s="117">
        <v>3247.0</v>
      </c>
      <c r="AV64" s="50" t="s">
        <v>4967</v>
      </c>
      <c r="AW64" s="50" t="s">
        <v>4968</v>
      </c>
      <c r="AX64" s="117">
        <v>63.0</v>
      </c>
    </row>
    <row r="65">
      <c r="A65" s="50" t="s">
        <v>4969</v>
      </c>
      <c r="B65" s="50" t="s">
        <v>4970</v>
      </c>
      <c r="C65" s="116"/>
      <c r="D65" s="116"/>
      <c r="E65" s="50">
        <v>3.52155090281144E14</v>
      </c>
      <c r="F65" s="50">
        <v>59.0</v>
      </c>
      <c r="G65" s="50">
        <v>11.0</v>
      </c>
      <c r="H65" s="50">
        <v>4.0</v>
      </c>
      <c r="I65" s="50">
        <v>1.0</v>
      </c>
      <c r="J65" s="50" t="s">
        <v>4839</v>
      </c>
      <c r="K65" s="116"/>
      <c r="L65" s="50" t="s">
        <v>697</v>
      </c>
      <c r="M65" s="50" t="s">
        <v>697</v>
      </c>
      <c r="N65" s="116"/>
      <c r="O65" s="116"/>
      <c r="P65" s="50" t="s">
        <v>4972</v>
      </c>
      <c r="Q65" s="50" t="s">
        <v>4973</v>
      </c>
      <c r="R65" s="50">
        <v>22.541076</v>
      </c>
      <c r="S65" s="50">
        <v>88.3741598</v>
      </c>
      <c r="T65" s="50">
        <v>-56.9000015258789</v>
      </c>
      <c r="U65" s="50">
        <v>5.0</v>
      </c>
      <c r="V65" s="50">
        <v>1.0</v>
      </c>
      <c r="W65" s="50">
        <v>0.0</v>
      </c>
      <c r="X65" s="50">
        <v>1.0</v>
      </c>
      <c r="Y65" s="116"/>
      <c r="Z65" s="116"/>
      <c r="AA65" s="50">
        <v>2.0</v>
      </c>
      <c r="AB65" s="50">
        <v>1.0</v>
      </c>
      <c r="AC65" s="116"/>
      <c r="AD65" s="116"/>
      <c r="AE65" s="116"/>
      <c r="AF65" s="116"/>
      <c r="AG65" s="116"/>
      <c r="AH65" s="116"/>
      <c r="AI65" s="116"/>
      <c r="AJ65" s="116"/>
      <c r="AK65" s="116"/>
      <c r="AL65" s="116"/>
      <c r="AM65" s="116"/>
      <c r="AN65" s="116"/>
      <c r="AO65" s="116"/>
      <c r="AP65" s="116"/>
      <c r="AQ65" s="50" t="s">
        <v>4974</v>
      </c>
      <c r="AR65" s="50" t="s">
        <v>3142</v>
      </c>
      <c r="AS65" s="50">
        <v>0.0</v>
      </c>
      <c r="AT65" s="50" t="s">
        <v>4619</v>
      </c>
      <c r="AU65" s="117">
        <v>3248.0</v>
      </c>
      <c r="AV65" s="50" t="s">
        <v>4975</v>
      </c>
      <c r="AW65" s="50" t="s">
        <v>4976</v>
      </c>
      <c r="AX65" s="117">
        <v>64.0</v>
      </c>
    </row>
    <row r="66">
      <c r="A66" s="50" t="s">
        <v>4977</v>
      </c>
      <c r="B66" s="50" t="s">
        <v>4978</v>
      </c>
      <c r="C66" s="116"/>
      <c r="D66" s="116"/>
      <c r="E66" s="50">
        <v>3.52155090281144E14</v>
      </c>
      <c r="F66" s="50">
        <v>58.0</v>
      </c>
      <c r="G66" s="50">
        <v>11.0</v>
      </c>
      <c r="H66" s="50">
        <v>4.0</v>
      </c>
      <c r="I66" s="50">
        <v>1.0</v>
      </c>
      <c r="J66" s="50" t="s">
        <v>4861</v>
      </c>
      <c r="K66" s="116"/>
      <c r="L66" s="50" t="s">
        <v>702</v>
      </c>
      <c r="M66" s="50" t="s">
        <v>702</v>
      </c>
      <c r="N66" s="116"/>
      <c r="O66" s="116"/>
      <c r="P66" s="50" t="s">
        <v>4980</v>
      </c>
      <c r="Q66" s="50" t="s">
        <v>4981</v>
      </c>
      <c r="R66" s="50">
        <v>22.5518199</v>
      </c>
      <c r="S66" s="50">
        <v>88.3958267</v>
      </c>
      <c r="T66" s="50">
        <v>-20.7999992370605</v>
      </c>
      <c r="U66" s="50">
        <v>5.0</v>
      </c>
      <c r="V66" s="50">
        <v>2.0</v>
      </c>
      <c r="W66" s="50">
        <v>0.0</v>
      </c>
      <c r="X66" s="50">
        <v>1.0</v>
      </c>
      <c r="Y66" s="116"/>
      <c r="Z66" s="116"/>
      <c r="AA66" s="50">
        <v>2.0</v>
      </c>
      <c r="AB66" s="50">
        <v>1.0</v>
      </c>
      <c r="AC66" s="116"/>
      <c r="AD66" s="116"/>
      <c r="AE66" s="116"/>
      <c r="AF66" s="116"/>
      <c r="AG66" s="116"/>
      <c r="AH66" s="116"/>
      <c r="AI66" s="116"/>
      <c r="AJ66" s="116"/>
      <c r="AK66" s="116"/>
      <c r="AL66" s="116"/>
      <c r="AM66" s="116"/>
      <c r="AN66" s="116"/>
      <c r="AO66" s="116"/>
      <c r="AP66" s="116"/>
      <c r="AQ66" s="50" t="s">
        <v>4982</v>
      </c>
      <c r="AR66" s="50" t="s">
        <v>4983</v>
      </c>
      <c r="AS66" s="50">
        <v>0.0</v>
      </c>
      <c r="AT66" s="50" t="s">
        <v>4619</v>
      </c>
      <c r="AU66" s="117">
        <v>3249.0</v>
      </c>
      <c r="AV66" s="50" t="s">
        <v>4984</v>
      </c>
      <c r="AW66" s="50" t="s">
        <v>4985</v>
      </c>
      <c r="AX66" s="117">
        <v>65.0</v>
      </c>
    </row>
    <row r="67">
      <c r="A67" s="50" t="s">
        <v>4986</v>
      </c>
      <c r="B67" s="50" t="s">
        <v>4987</v>
      </c>
      <c r="C67" s="116"/>
      <c r="D67" s="116"/>
      <c r="E67" s="50">
        <v>3.52155090281144E14</v>
      </c>
      <c r="F67" s="50">
        <v>57.0</v>
      </c>
      <c r="G67" s="50">
        <v>12.0</v>
      </c>
      <c r="H67" s="116"/>
      <c r="I67" s="116"/>
      <c r="J67" s="116"/>
      <c r="K67" s="116"/>
      <c r="L67" s="50" t="s">
        <v>711</v>
      </c>
      <c r="M67" s="50" t="s">
        <v>711</v>
      </c>
      <c r="N67" s="50">
        <v>2.0</v>
      </c>
      <c r="O67" s="50" t="s">
        <v>4988</v>
      </c>
      <c r="P67" s="116"/>
      <c r="Q67" s="50" t="s">
        <v>4989</v>
      </c>
      <c r="R67" s="50">
        <v>22.5541259</v>
      </c>
      <c r="S67" s="50">
        <v>88.3967229</v>
      </c>
      <c r="T67" s="50">
        <v>-2.09999990463256</v>
      </c>
      <c r="U67" s="50">
        <v>5.0</v>
      </c>
      <c r="V67" s="50">
        <v>1.0</v>
      </c>
      <c r="W67" s="50">
        <v>0.0</v>
      </c>
      <c r="X67" s="50">
        <v>1.0</v>
      </c>
      <c r="Y67" s="116"/>
      <c r="Z67" s="116"/>
      <c r="AA67" s="116"/>
      <c r="AB67" s="116"/>
      <c r="AC67" s="116"/>
      <c r="AD67" s="116"/>
      <c r="AE67" s="50">
        <v>1.0</v>
      </c>
      <c r="AF67" s="50">
        <v>2.0</v>
      </c>
      <c r="AG67" s="50">
        <v>4.0</v>
      </c>
      <c r="AH67" s="50">
        <v>4.0</v>
      </c>
      <c r="AI67" s="116"/>
      <c r="AJ67" s="116"/>
      <c r="AK67" s="116"/>
      <c r="AL67" s="116"/>
      <c r="AM67" s="116"/>
      <c r="AN67" s="116"/>
      <c r="AO67" s="116"/>
      <c r="AP67" s="116"/>
      <c r="AQ67" s="116"/>
      <c r="AR67" s="50" t="s">
        <v>2286</v>
      </c>
      <c r="AS67" s="50">
        <v>0.0</v>
      </c>
      <c r="AT67" s="50" t="s">
        <v>4619</v>
      </c>
      <c r="AU67" s="117">
        <v>3250.0</v>
      </c>
      <c r="AV67" s="50" t="s">
        <v>4990</v>
      </c>
      <c r="AW67" s="50" t="s">
        <v>4991</v>
      </c>
      <c r="AX67" s="117">
        <v>66.0</v>
      </c>
    </row>
    <row r="68">
      <c r="A68" s="50" t="s">
        <v>4992</v>
      </c>
      <c r="B68" s="50" t="s">
        <v>4993</v>
      </c>
      <c r="C68" s="116"/>
      <c r="D68" s="116"/>
      <c r="E68" s="50">
        <v>3.52155090281144E14</v>
      </c>
      <c r="F68" s="50">
        <v>57.0</v>
      </c>
      <c r="G68" s="50">
        <v>12.0</v>
      </c>
      <c r="H68" s="116"/>
      <c r="I68" s="116"/>
      <c r="J68" s="116"/>
      <c r="K68" s="116"/>
      <c r="L68" s="50" t="s">
        <v>716</v>
      </c>
      <c r="M68" s="50" t="s">
        <v>716</v>
      </c>
      <c r="N68" s="50">
        <v>1.0</v>
      </c>
      <c r="O68" s="50" t="s">
        <v>4994</v>
      </c>
      <c r="P68" s="116"/>
      <c r="Q68" s="50" t="s">
        <v>4995</v>
      </c>
      <c r="R68" s="50">
        <v>22.5578651</v>
      </c>
      <c r="S68" s="50">
        <v>88.4108012</v>
      </c>
      <c r="T68" s="50">
        <v>-49.5</v>
      </c>
      <c r="U68" s="50">
        <v>5.0</v>
      </c>
      <c r="V68" s="50">
        <v>1.0</v>
      </c>
      <c r="W68" s="50">
        <v>0.0</v>
      </c>
      <c r="X68" s="50">
        <v>1.0</v>
      </c>
      <c r="Y68" s="116"/>
      <c r="Z68" s="116"/>
      <c r="AA68" s="116"/>
      <c r="AB68" s="116"/>
      <c r="AC68" s="116"/>
      <c r="AD68" s="116"/>
      <c r="AE68" s="50">
        <v>1.0</v>
      </c>
      <c r="AF68" s="50">
        <v>2.0</v>
      </c>
      <c r="AG68" s="50">
        <v>4.0</v>
      </c>
      <c r="AH68" s="50">
        <v>1.0</v>
      </c>
      <c r="AI68" s="116"/>
      <c r="AJ68" s="116"/>
      <c r="AK68" s="116"/>
      <c r="AL68" s="116"/>
      <c r="AM68" s="116"/>
      <c r="AN68" s="116"/>
      <c r="AO68" s="116"/>
      <c r="AP68" s="116"/>
      <c r="AQ68" s="116"/>
      <c r="AR68" s="50" t="s">
        <v>2302</v>
      </c>
      <c r="AS68" s="50">
        <v>0.0</v>
      </c>
      <c r="AT68" s="50" t="s">
        <v>4619</v>
      </c>
      <c r="AU68" s="117">
        <v>3252.0</v>
      </c>
      <c r="AV68" s="50" t="s">
        <v>4997</v>
      </c>
      <c r="AW68" s="50" t="s">
        <v>4998</v>
      </c>
      <c r="AX68" s="117">
        <v>67.0</v>
      </c>
    </row>
    <row r="69">
      <c r="A69" s="50" t="s">
        <v>4999</v>
      </c>
      <c r="B69" s="50" t="s">
        <v>5000</v>
      </c>
      <c r="C69" s="116"/>
      <c r="D69" s="116"/>
      <c r="E69" s="50">
        <v>3.52155090281144E14</v>
      </c>
      <c r="F69" s="50">
        <v>66.0</v>
      </c>
      <c r="G69" s="50">
        <v>12.0</v>
      </c>
      <c r="H69" s="116"/>
      <c r="I69" s="116"/>
      <c r="J69" s="116"/>
      <c r="K69" s="116"/>
      <c r="L69" s="50" t="s">
        <v>722</v>
      </c>
      <c r="M69" s="50" t="s">
        <v>722</v>
      </c>
      <c r="N69" s="50">
        <v>5.0</v>
      </c>
      <c r="O69" s="50" t="s">
        <v>5001</v>
      </c>
      <c r="P69" s="116"/>
      <c r="Q69" s="50" t="s">
        <v>5002</v>
      </c>
      <c r="R69" s="50">
        <v>22.5346373</v>
      </c>
      <c r="S69" s="50">
        <v>88.3958444</v>
      </c>
      <c r="T69" s="50">
        <v>-66.8000030517578</v>
      </c>
      <c r="U69" s="50">
        <v>5.0</v>
      </c>
      <c r="V69" s="50">
        <v>1.0</v>
      </c>
      <c r="W69" s="50">
        <v>0.0</v>
      </c>
      <c r="X69" s="50">
        <v>1.0</v>
      </c>
      <c r="Y69" s="116"/>
      <c r="Z69" s="116"/>
      <c r="AA69" s="116"/>
      <c r="AB69" s="116"/>
      <c r="AC69" s="116"/>
      <c r="AD69" s="116"/>
      <c r="AE69" s="50">
        <v>1.0</v>
      </c>
      <c r="AF69" s="50">
        <v>1.0</v>
      </c>
      <c r="AG69" s="50">
        <v>4.0</v>
      </c>
      <c r="AH69" s="50">
        <v>1.0</v>
      </c>
      <c r="AI69" s="116"/>
      <c r="AJ69" s="116"/>
      <c r="AK69" s="116"/>
      <c r="AL69" s="116"/>
      <c r="AM69" s="116"/>
      <c r="AN69" s="116"/>
      <c r="AO69" s="116"/>
      <c r="AP69" s="116"/>
      <c r="AQ69" s="116"/>
      <c r="AR69" s="50" t="s">
        <v>2327</v>
      </c>
      <c r="AS69" s="50">
        <v>0.0</v>
      </c>
      <c r="AT69" s="50" t="s">
        <v>4619</v>
      </c>
      <c r="AU69" s="117">
        <v>3253.0</v>
      </c>
      <c r="AV69" s="50" t="s">
        <v>5003</v>
      </c>
      <c r="AW69" s="50" t="s">
        <v>5004</v>
      </c>
      <c r="AX69" s="117">
        <v>68.0</v>
      </c>
    </row>
    <row r="70">
      <c r="A70" s="50" t="s">
        <v>5005</v>
      </c>
      <c r="B70" s="50" t="s">
        <v>5006</v>
      </c>
      <c r="C70" s="116"/>
      <c r="D70" s="116"/>
      <c r="E70" s="50">
        <v>3.52155090281144E14</v>
      </c>
      <c r="F70" s="50">
        <v>59.0</v>
      </c>
      <c r="G70" s="50">
        <v>12.0</v>
      </c>
      <c r="H70" s="116"/>
      <c r="I70" s="116"/>
      <c r="J70" s="116"/>
      <c r="K70" s="116"/>
      <c r="L70" s="50" t="s">
        <v>729</v>
      </c>
      <c r="M70" s="50" t="s">
        <v>729</v>
      </c>
      <c r="N70" s="50">
        <v>6.0</v>
      </c>
      <c r="O70" s="50" t="s">
        <v>5007</v>
      </c>
      <c r="P70" s="116"/>
      <c r="Q70" s="50" t="s">
        <v>5008</v>
      </c>
      <c r="R70" s="50">
        <v>22.5399605</v>
      </c>
      <c r="S70" s="50">
        <v>88.3872589</v>
      </c>
      <c r="T70" s="50">
        <v>-27.2999992370605</v>
      </c>
      <c r="U70" s="50">
        <v>5.0</v>
      </c>
      <c r="V70" s="50">
        <v>1.0</v>
      </c>
      <c r="W70" s="50">
        <v>0.0</v>
      </c>
      <c r="X70" s="50">
        <v>1.0</v>
      </c>
      <c r="Y70" s="116"/>
      <c r="Z70" s="116"/>
      <c r="AA70" s="116"/>
      <c r="AB70" s="116"/>
      <c r="AC70" s="116"/>
      <c r="AD70" s="116"/>
      <c r="AE70" s="50">
        <v>2.0</v>
      </c>
      <c r="AF70" s="50">
        <v>2.0</v>
      </c>
      <c r="AG70" s="50">
        <v>4.0</v>
      </c>
      <c r="AH70" s="50">
        <v>1.0</v>
      </c>
      <c r="AI70" s="116"/>
      <c r="AJ70" s="116"/>
      <c r="AK70" s="116"/>
      <c r="AL70" s="116"/>
      <c r="AM70" s="116"/>
      <c r="AN70" s="116"/>
      <c r="AO70" s="116"/>
      <c r="AP70" s="116"/>
      <c r="AQ70" s="50" t="s">
        <v>4575</v>
      </c>
      <c r="AR70" s="50" t="s">
        <v>3142</v>
      </c>
      <c r="AS70" s="50">
        <v>0.0</v>
      </c>
      <c r="AT70" s="50" t="s">
        <v>4619</v>
      </c>
      <c r="AU70" s="117">
        <v>3254.0</v>
      </c>
      <c r="AV70" s="50" t="s">
        <v>5010</v>
      </c>
      <c r="AW70" s="50" t="s">
        <v>5011</v>
      </c>
      <c r="AX70" s="117">
        <v>69.0</v>
      </c>
    </row>
    <row r="71">
      <c r="A71" s="50" t="s">
        <v>5012</v>
      </c>
      <c r="B71" s="50" t="s">
        <v>5013</v>
      </c>
      <c r="C71" s="116"/>
      <c r="D71" s="116"/>
      <c r="E71" s="50">
        <v>3.52155090281144E14</v>
      </c>
      <c r="F71" s="50">
        <v>58.0</v>
      </c>
      <c r="G71" s="50">
        <v>11.0</v>
      </c>
      <c r="H71" s="50">
        <v>4.0</v>
      </c>
      <c r="I71" s="50">
        <v>1.0</v>
      </c>
      <c r="J71" s="50" t="s">
        <v>4861</v>
      </c>
      <c r="K71" s="116"/>
      <c r="L71" s="50" t="s">
        <v>787</v>
      </c>
      <c r="M71" s="50" t="s">
        <v>787</v>
      </c>
      <c r="N71" s="116"/>
      <c r="O71" s="116"/>
      <c r="P71" s="50" t="s">
        <v>5014</v>
      </c>
      <c r="Q71" s="50" t="s">
        <v>5015</v>
      </c>
      <c r="R71" s="50">
        <v>22.5517513</v>
      </c>
      <c r="S71" s="50">
        <v>88.3957228</v>
      </c>
      <c r="T71" s="50">
        <v>-37.2000007629394</v>
      </c>
      <c r="U71" s="50">
        <v>4.5</v>
      </c>
      <c r="V71" s="50">
        <v>1.0</v>
      </c>
      <c r="W71" s="50">
        <v>0.0</v>
      </c>
      <c r="X71" s="50">
        <v>1.0</v>
      </c>
      <c r="Y71" s="116"/>
      <c r="Z71" s="116"/>
      <c r="AA71" s="50">
        <v>2.0</v>
      </c>
      <c r="AB71" s="50">
        <v>4.0</v>
      </c>
      <c r="AC71" s="116"/>
      <c r="AD71" s="116"/>
      <c r="AE71" s="116"/>
      <c r="AF71" s="116"/>
      <c r="AG71" s="116"/>
      <c r="AH71" s="116"/>
      <c r="AI71" s="116"/>
      <c r="AJ71" s="116"/>
      <c r="AK71" s="116"/>
      <c r="AL71" s="116"/>
      <c r="AM71" s="116"/>
      <c r="AN71" s="116"/>
      <c r="AO71" s="116"/>
      <c r="AP71" s="116"/>
      <c r="AQ71" s="50" t="s">
        <v>5016</v>
      </c>
      <c r="AR71" s="50" t="s">
        <v>2472</v>
      </c>
      <c r="AS71" s="50">
        <v>1.0</v>
      </c>
      <c r="AT71" s="50" t="s">
        <v>4619</v>
      </c>
      <c r="AU71" s="117">
        <v>3296.0</v>
      </c>
      <c r="AV71" s="50" t="s">
        <v>5017</v>
      </c>
      <c r="AW71" s="50" t="s">
        <v>5018</v>
      </c>
      <c r="AX71" s="117">
        <v>70.0</v>
      </c>
    </row>
    <row r="72">
      <c r="A72" s="50" t="s">
        <v>5019</v>
      </c>
      <c r="B72" s="50" t="s">
        <v>5020</v>
      </c>
      <c r="C72" s="116"/>
      <c r="D72" s="116"/>
      <c r="E72" s="50">
        <v>3.52155090281144E14</v>
      </c>
      <c r="F72" s="50">
        <v>59.0</v>
      </c>
      <c r="G72" s="50">
        <v>11.0</v>
      </c>
      <c r="H72" s="50">
        <v>4.0</v>
      </c>
      <c r="I72" s="50">
        <v>1.0</v>
      </c>
      <c r="J72" s="50" t="s">
        <v>4770</v>
      </c>
      <c r="K72" s="116"/>
      <c r="L72" s="50" t="s">
        <v>791</v>
      </c>
      <c r="M72" s="50" t="s">
        <v>791</v>
      </c>
      <c r="N72" s="116"/>
      <c r="O72" s="116"/>
      <c r="P72" s="50" t="s">
        <v>5021</v>
      </c>
      <c r="Q72" s="50" t="s">
        <v>5022</v>
      </c>
      <c r="R72" s="50">
        <v>22.5404612</v>
      </c>
      <c r="S72" s="50">
        <v>88.374875</v>
      </c>
      <c r="T72" s="50">
        <v>84.9000015258789</v>
      </c>
      <c r="U72" s="50">
        <v>5.0</v>
      </c>
      <c r="V72" s="50">
        <v>1.0</v>
      </c>
      <c r="W72" s="50">
        <v>0.0</v>
      </c>
      <c r="X72" s="50">
        <v>1.0</v>
      </c>
      <c r="Y72" s="116"/>
      <c r="Z72" s="116"/>
      <c r="AA72" s="50">
        <v>2.0</v>
      </c>
      <c r="AB72" s="50">
        <v>4.0</v>
      </c>
      <c r="AC72" s="116"/>
      <c r="AD72" s="116"/>
      <c r="AE72" s="116"/>
      <c r="AF72" s="116"/>
      <c r="AG72" s="116"/>
      <c r="AH72" s="116"/>
      <c r="AI72" s="116"/>
      <c r="AJ72" s="116"/>
      <c r="AK72" s="116"/>
      <c r="AL72" s="116"/>
      <c r="AM72" s="116"/>
      <c r="AN72" s="116"/>
      <c r="AO72" s="116"/>
      <c r="AP72" s="116"/>
      <c r="AQ72" s="50" t="s">
        <v>5024</v>
      </c>
      <c r="AR72" s="50" t="s">
        <v>2278</v>
      </c>
      <c r="AS72" s="50">
        <v>1.0</v>
      </c>
      <c r="AT72" s="50" t="s">
        <v>4619</v>
      </c>
      <c r="AU72" s="117">
        <v>3297.0</v>
      </c>
      <c r="AV72" s="50" t="s">
        <v>5025</v>
      </c>
      <c r="AW72" s="50" t="s">
        <v>5026</v>
      </c>
      <c r="AX72" s="117">
        <v>71.0</v>
      </c>
    </row>
    <row r="73">
      <c r="A73" s="50" t="s">
        <v>5027</v>
      </c>
      <c r="B73" s="50" t="s">
        <v>5028</v>
      </c>
      <c r="C73" s="116"/>
      <c r="D73" s="116"/>
      <c r="E73" s="50">
        <v>3.52155090281144E14</v>
      </c>
      <c r="F73" s="50">
        <v>59.0</v>
      </c>
      <c r="G73" s="50">
        <v>11.0</v>
      </c>
      <c r="H73" s="50">
        <v>4.0</v>
      </c>
      <c r="I73" s="50">
        <v>1.0</v>
      </c>
      <c r="J73" s="50" t="s">
        <v>4839</v>
      </c>
      <c r="K73" s="116"/>
      <c r="L73" s="50" t="s">
        <v>795</v>
      </c>
      <c r="M73" s="50" t="s">
        <v>795</v>
      </c>
      <c r="N73" s="116"/>
      <c r="O73" s="116"/>
      <c r="P73" s="50" t="s">
        <v>5029</v>
      </c>
      <c r="Q73" s="50" t="s">
        <v>5030</v>
      </c>
      <c r="R73" s="50">
        <v>22.5409419</v>
      </c>
      <c r="S73" s="50">
        <v>88.3741582</v>
      </c>
      <c r="T73" s="50">
        <v>-78.0</v>
      </c>
      <c r="U73" s="50">
        <v>5.0</v>
      </c>
      <c r="V73" s="50">
        <v>1.0</v>
      </c>
      <c r="W73" s="50">
        <v>0.0</v>
      </c>
      <c r="X73" s="50">
        <v>1.0</v>
      </c>
      <c r="Y73" s="116"/>
      <c r="Z73" s="116"/>
      <c r="AA73" s="50">
        <v>2.0</v>
      </c>
      <c r="AB73" s="50">
        <v>4.0</v>
      </c>
      <c r="AC73" s="116"/>
      <c r="AD73" s="116"/>
      <c r="AE73" s="116"/>
      <c r="AF73" s="116"/>
      <c r="AG73" s="116"/>
      <c r="AH73" s="116"/>
      <c r="AI73" s="116"/>
      <c r="AJ73" s="116"/>
      <c r="AK73" s="116"/>
      <c r="AL73" s="116"/>
      <c r="AM73" s="116"/>
      <c r="AN73" s="116"/>
      <c r="AO73" s="116"/>
      <c r="AP73" s="116"/>
      <c r="AQ73" s="50" t="s">
        <v>5031</v>
      </c>
      <c r="AR73" s="50" t="s">
        <v>2302</v>
      </c>
      <c r="AS73" s="50">
        <v>1.0</v>
      </c>
      <c r="AT73" s="50" t="s">
        <v>4619</v>
      </c>
      <c r="AU73" s="117">
        <v>3298.0</v>
      </c>
      <c r="AV73" s="50" t="s">
        <v>5032</v>
      </c>
      <c r="AW73" s="50" t="s">
        <v>5033</v>
      </c>
      <c r="AX73" s="117">
        <v>72.0</v>
      </c>
    </row>
    <row r="74">
      <c r="A74" s="50" t="s">
        <v>5034</v>
      </c>
      <c r="B74" s="50" t="s">
        <v>5035</v>
      </c>
      <c r="C74" s="116"/>
      <c r="D74" s="116"/>
      <c r="E74" s="50">
        <v>3.52155090281144E14</v>
      </c>
      <c r="F74" s="50">
        <v>57.0</v>
      </c>
      <c r="G74" s="50">
        <v>12.0</v>
      </c>
      <c r="H74" s="116"/>
      <c r="I74" s="116"/>
      <c r="J74" s="116"/>
      <c r="K74" s="116"/>
      <c r="L74" s="50" t="s">
        <v>760</v>
      </c>
      <c r="M74" s="50" t="s">
        <v>760</v>
      </c>
      <c r="N74" s="50">
        <v>3.0</v>
      </c>
      <c r="O74" s="50" t="s">
        <v>5036</v>
      </c>
      <c r="P74" s="116"/>
      <c r="Q74" s="50" t="s">
        <v>5037</v>
      </c>
      <c r="R74" s="50">
        <v>22.5563939</v>
      </c>
      <c r="S74" s="50">
        <v>88.3922223</v>
      </c>
      <c r="T74" s="50">
        <v>-51.4000015258789</v>
      </c>
      <c r="U74" s="50">
        <v>5.0</v>
      </c>
      <c r="V74" s="50">
        <v>1.0</v>
      </c>
      <c r="W74" s="50">
        <v>0.0</v>
      </c>
      <c r="X74" s="50">
        <v>1.0</v>
      </c>
      <c r="Y74" s="116"/>
      <c r="Z74" s="116"/>
      <c r="AA74" s="116"/>
      <c r="AB74" s="116"/>
      <c r="AC74" s="116"/>
      <c r="AD74" s="116"/>
      <c r="AE74" s="50">
        <v>1.0</v>
      </c>
      <c r="AF74" s="50">
        <v>2.0</v>
      </c>
      <c r="AG74" s="50">
        <v>3.0</v>
      </c>
      <c r="AH74" s="50">
        <v>1.0</v>
      </c>
      <c r="AI74" s="116"/>
      <c r="AJ74" s="116"/>
      <c r="AK74" s="116"/>
      <c r="AL74" s="116"/>
      <c r="AM74" s="116"/>
      <c r="AN74" s="116"/>
      <c r="AO74" s="116"/>
      <c r="AP74" s="116"/>
      <c r="AQ74" s="116"/>
      <c r="AR74" s="50" t="s">
        <v>2318</v>
      </c>
      <c r="AS74" s="50">
        <v>0.0</v>
      </c>
      <c r="AT74" s="50" t="s">
        <v>4619</v>
      </c>
      <c r="AU74" s="117">
        <v>3299.0</v>
      </c>
      <c r="AV74" s="50" t="s">
        <v>5039</v>
      </c>
      <c r="AW74" s="50" t="s">
        <v>5040</v>
      </c>
      <c r="AX74" s="117">
        <v>73.0</v>
      </c>
    </row>
    <row r="75">
      <c r="A75" s="50" t="s">
        <v>5041</v>
      </c>
      <c r="B75" s="50" t="s">
        <v>5042</v>
      </c>
      <c r="C75" s="116"/>
      <c r="D75" s="116"/>
      <c r="E75" s="50">
        <v>3.52155090281144E14</v>
      </c>
      <c r="F75" s="50">
        <v>57.0</v>
      </c>
      <c r="G75" s="50">
        <v>12.0</v>
      </c>
      <c r="H75" s="116"/>
      <c r="I75" s="116"/>
      <c r="J75" s="116"/>
      <c r="K75" s="116"/>
      <c r="L75" s="50" t="s">
        <v>766</v>
      </c>
      <c r="M75" s="50" t="s">
        <v>766</v>
      </c>
      <c r="N75" s="50">
        <v>7.0</v>
      </c>
      <c r="O75" s="50" t="s">
        <v>5043</v>
      </c>
      <c r="P75" s="116"/>
      <c r="Q75" s="50" t="s">
        <v>5044</v>
      </c>
      <c r="R75" s="50">
        <v>22.5579642</v>
      </c>
      <c r="S75" s="50">
        <v>88.3896327</v>
      </c>
      <c r="T75" s="50">
        <v>-38.7000007629394</v>
      </c>
      <c r="U75" s="50">
        <v>5.0</v>
      </c>
      <c r="V75" s="50">
        <v>1.0</v>
      </c>
      <c r="W75" s="50">
        <v>0.0</v>
      </c>
      <c r="X75" s="50">
        <v>1.0</v>
      </c>
      <c r="Y75" s="116"/>
      <c r="Z75" s="116"/>
      <c r="AA75" s="116"/>
      <c r="AB75" s="116"/>
      <c r="AC75" s="116"/>
      <c r="AD75" s="116"/>
      <c r="AE75" s="50">
        <v>1.0</v>
      </c>
      <c r="AF75" s="50">
        <v>2.0</v>
      </c>
      <c r="AG75" s="50">
        <v>3.0</v>
      </c>
      <c r="AH75" s="50">
        <v>1.0</v>
      </c>
      <c r="AI75" s="116"/>
      <c r="AJ75" s="116"/>
      <c r="AK75" s="116"/>
      <c r="AL75" s="116"/>
      <c r="AM75" s="116"/>
      <c r="AN75" s="116"/>
      <c r="AO75" s="116"/>
      <c r="AP75" s="116"/>
      <c r="AQ75" s="116"/>
      <c r="AR75" s="50" t="s">
        <v>2278</v>
      </c>
      <c r="AS75" s="50">
        <v>0.0</v>
      </c>
      <c r="AT75" s="50" t="s">
        <v>4619</v>
      </c>
      <c r="AU75" s="117">
        <v>3300.0</v>
      </c>
      <c r="AV75" s="50" t="s">
        <v>5045</v>
      </c>
      <c r="AW75" s="50" t="s">
        <v>5046</v>
      </c>
      <c r="AX75" s="117">
        <v>74.0</v>
      </c>
    </row>
    <row r="76">
      <c r="A76" s="50" t="s">
        <v>5047</v>
      </c>
      <c r="B76" s="50" t="s">
        <v>5048</v>
      </c>
      <c r="C76" s="116"/>
      <c r="D76" s="116"/>
      <c r="E76" s="50">
        <v>3.52155090281144E14</v>
      </c>
      <c r="F76" s="50">
        <v>55.0</v>
      </c>
      <c r="G76" s="50">
        <v>12.0</v>
      </c>
      <c r="H76" s="116"/>
      <c r="I76" s="116"/>
      <c r="J76" s="116"/>
      <c r="K76" s="116"/>
      <c r="L76" s="50" t="s">
        <v>774</v>
      </c>
      <c r="M76" s="50" t="s">
        <v>774</v>
      </c>
      <c r="N76" s="50">
        <v>4.0</v>
      </c>
      <c r="O76" s="50" t="s">
        <v>5049</v>
      </c>
      <c r="P76" s="116"/>
      <c r="Q76" s="50" t="s">
        <v>5050</v>
      </c>
      <c r="R76" s="50">
        <v>22.563642</v>
      </c>
      <c r="S76" s="50">
        <v>88.3772124</v>
      </c>
      <c r="T76" s="50">
        <v>-54.4000015258789</v>
      </c>
      <c r="U76" s="50">
        <v>5.0</v>
      </c>
      <c r="V76" s="50">
        <v>1.0</v>
      </c>
      <c r="W76" s="50">
        <v>0.0</v>
      </c>
      <c r="X76" s="50">
        <v>1.0</v>
      </c>
      <c r="Y76" s="116"/>
      <c r="Z76" s="116"/>
      <c r="AA76" s="116"/>
      <c r="AB76" s="116"/>
      <c r="AC76" s="116"/>
      <c r="AD76" s="116"/>
      <c r="AE76" s="50">
        <v>2.0</v>
      </c>
      <c r="AF76" s="50">
        <v>1.0</v>
      </c>
      <c r="AG76" s="50">
        <v>4.0</v>
      </c>
      <c r="AH76" s="50">
        <v>1.0</v>
      </c>
      <c r="AI76" s="116"/>
      <c r="AJ76" s="116"/>
      <c r="AK76" s="116"/>
      <c r="AL76" s="116"/>
      <c r="AM76" s="116"/>
      <c r="AN76" s="116"/>
      <c r="AO76" s="116"/>
      <c r="AP76" s="116"/>
      <c r="AQ76" s="116"/>
      <c r="AR76" s="50" t="s">
        <v>2302</v>
      </c>
      <c r="AS76" s="50">
        <v>0.0</v>
      </c>
      <c r="AT76" s="50" t="s">
        <v>4619</v>
      </c>
      <c r="AU76" s="117">
        <v>3301.0</v>
      </c>
      <c r="AV76" s="50" t="s">
        <v>5052</v>
      </c>
      <c r="AW76" s="50" t="s">
        <v>5053</v>
      </c>
      <c r="AX76" s="117">
        <v>75.0</v>
      </c>
    </row>
    <row r="77">
      <c r="A77" s="50" t="s">
        <v>5054</v>
      </c>
      <c r="B77" s="50" t="s">
        <v>5055</v>
      </c>
      <c r="C77" s="116"/>
      <c r="D77" s="116"/>
      <c r="E77" s="50">
        <v>3.52155090281144E14</v>
      </c>
      <c r="F77" s="50">
        <v>65.0</v>
      </c>
      <c r="G77" s="50">
        <v>12.0</v>
      </c>
      <c r="H77" s="116"/>
      <c r="I77" s="116"/>
      <c r="J77" s="116"/>
      <c r="K77" s="116"/>
      <c r="L77" s="50" t="s">
        <v>781</v>
      </c>
      <c r="M77" s="50" t="s">
        <v>781</v>
      </c>
      <c r="N77" s="50">
        <v>8.0</v>
      </c>
      <c r="O77" s="50" t="s">
        <v>5056</v>
      </c>
      <c r="P77" s="116"/>
      <c r="Q77" s="50" t="s">
        <v>5057</v>
      </c>
      <c r="R77" s="50">
        <v>22.5360568</v>
      </c>
      <c r="S77" s="50">
        <v>88.3745925</v>
      </c>
      <c r="T77" s="50">
        <v>-23.2999992370605</v>
      </c>
      <c r="U77" s="50">
        <v>5.0</v>
      </c>
      <c r="V77" s="50">
        <v>1.0</v>
      </c>
      <c r="W77" s="50">
        <v>0.0</v>
      </c>
      <c r="X77" s="50">
        <v>1.0</v>
      </c>
      <c r="Y77" s="116"/>
      <c r="Z77" s="116"/>
      <c r="AA77" s="116"/>
      <c r="AB77" s="116"/>
      <c r="AC77" s="116"/>
      <c r="AD77" s="116"/>
      <c r="AE77" s="50">
        <v>1.0</v>
      </c>
      <c r="AF77" s="50">
        <v>1.0</v>
      </c>
      <c r="AG77" s="50">
        <v>3.0</v>
      </c>
      <c r="AH77" s="50">
        <v>1.0</v>
      </c>
      <c r="AI77" s="116"/>
      <c r="AJ77" s="116"/>
      <c r="AK77" s="116"/>
      <c r="AL77" s="116"/>
      <c r="AM77" s="116"/>
      <c r="AN77" s="116"/>
      <c r="AO77" s="116"/>
      <c r="AP77" s="116"/>
      <c r="AQ77" s="116"/>
      <c r="AR77" s="50" t="s">
        <v>2318</v>
      </c>
      <c r="AS77" s="50">
        <v>0.0</v>
      </c>
      <c r="AT77" s="50" t="s">
        <v>4619</v>
      </c>
      <c r="AU77" s="117">
        <v>3302.0</v>
      </c>
      <c r="AV77" s="50" t="s">
        <v>5058</v>
      </c>
      <c r="AW77" s="50" t="s">
        <v>5059</v>
      </c>
      <c r="AX77" s="117">
        <v>76.0</v>
      </c>
    </row>
    <row r="78">
      <c r="A78" s="50" t="s">
        <v>5060</v>
      </c>
      <c r="B78" s="50" t="s">
        <v>5061</v>
      </c>
      <c r="C78" s="116"/>
      <c r="D78" s="116"/>
      <c r="E78" s="50">
        <v>3.52155090281144E14</v>
      </c>
      <c r="F78" s="50">
        <v>59.0</v>
      </c>
      <c r="G78" s="50">
        <v>11.0</v>
      </c>
      <c r="H78" s="50">
        <v>4.0</v>
      </c>
      <c r="I78" s="50">
        <v>1.0</v>
      </c>
      <c r="J78" s="50" t="s">
        <v>4839</v>
      </c>
      <c r="K78" s="116"/>
      <c r="L78" s="50" t="s">
        <v>809</v>
      </c>
      <c r="M78" s="50" t="s">
        <v>809</v>
      </c>
      <c r="N78" s="116"/>
      <c r="O78" s="116"/>
      <c r="P78" s="50" t="s">
        <v>5062</v>
      </c>
      <c r="Q78" s="50" t="s">
        <v>5063</v>
      </c>
      <c r="R78" s="50">
        <v>22.5410349</v>
      </c>
      <c r="S78" s="50">
        <v>88.374217</v>
      </c>
      <c r="T78" s="50">
        <v>-31.8999996185302</v>
      </c>
      <c r="U78" s="50">
        <v>4.5</v>
      </c>
      <c r="V78" s="50">
        <v>3.0</v>
      </c>
      <c r="W78" s="50">
        <v>1.0</v>
      </c>
      <c r="X78" s="116"/>
      <c r="Y78" s="116"/>
      <c r="Z78" s="116"/>
      <c r="AA78" s="50">
        <v>2.0</v>
      </c>
      <c r="AB78" s="50">
        <v>4.0</v>
      </c>
      <c r="AC78" s="116"/>
      <c r="AD78" s="116"/>
      <c r="AE78" s="116"/>
      <c r="AF78" s="116"/>
      <c r="AG78" s="116"/>
      <c r="AH78" s="116"/>
      <c r="AI78" s="116"/>
      <c r="AJ78" s="116"/>
      <c r="AK78" s="116"/>
      <c r="AL78" s="116"/>
      <c r="AM78" s="116"/>
      <c r="AN78" s="116"/>
      <c r="AO78" s="116"/>
      <c r="AP78" s="116"/>
      <c r="AQ78" s="50" t="s">
        <v>5065</v>
      </c>
      <c r="AR78" s="50" t="s">
        <v>2302</v>
      </c>
      <c r="AS78" s="50">
        <v>1.0</v>
      </c>
      <c r="AT78" s="50" t="s">
        <v>4619</v>
      </c>
      <c r="AU78" s="117">
        <v>3342.0</v>
      </c>
      <c r="AV78" s="50" t="s">
        <v>5066</v>
      </c>
      <c r="AW78" s="50" t="s">
        <v>5067</v>
      </c>
      <c r="AX78" s="117">
        <v>77.0</v>
      </c>
    </row>
    <row r="79">
      <c r="A79" s="50" t="s">
        <v>5068</v>
      </c>
      <c r="B79" s="50" t="s">
        <v>5069</v>
      </c>
      <c r="C79" s="116"/>
      <c r="D79" s="116"/>
      <c r="E79" s="50">
        <v>3.52155090281144E14</v>
      </c>
      <c r="F79" s="50">
        <v>58.0</v>
      </c>
      <c r="G79" s="50">
        <v>11.0</v>
      </c>
      <c r="H79" s="50">
        <v>4.0</v>
      </c>
      <c r="I79" s="50">
        <v>1.0</v>
      </c>
      <c r="J79" s="50" t="s">
        <v>4861</v>
      </c>
      <c r="K79" s="116"/>
      <c r="L79" s="50" t="s">
        <v>811</v>
      </c>
      <c r="M79" s="50" t="s">
        <v>811</v>
      </c>
      <c r="N79" s="116"/>
      <c r="O79" s="116"/>
      <c r="P79" s="50" t="s">
        <v>5070</v>
      </c>
      <c r="Q79" s="50" t="s">
        <v>5071</v>
      </c>
      <c r="R79" s="50">
        <v>22.5518356</v>
      </c>
      <c r="S79" s="50">
        <v>88.3958275</v>
      </c>
      <c r="T79" s="50">
        <v>-18.8999996185302</v>
      </c>
      <c r="U79" s="50">
        <v>5.0</v>
      </c>
      <c r="V79" s="50">
        <v>3.0</v>
      </c>
      <c r="W79" s="50">
        <v>1.0</v>
      </c>
      <c r="X79" s="116"/>
      <c r="Y79" s="116"/>
      <c r="Z79" s="116"/>
      <c r="AA79" s="50">
        <v>2.0</v>
      </c>
      <c r="AB79" s="50">
        <v>4.0</v>
      </c>
      <c r="AC79" s="116"/>
      <c r="AD79" s="116"/>
      <c r="AE79" s="116"/>
      <c r="AF79" s="116"/>
      <c r="AG79" s="116"/>
      <c r="AH79" s="116"/>
      <c r="AI79" s="116"/>
      <c r="AJ79" s="116"/>
      <c r="AK79" s="116"/>
      <c r="AL79" s="116"/>
      <c r="AM79" s="116"/>
      <c r="AN79" s="116"/>
      <c r="AO79" s="116"/>
      <c r="AP79" s="116"/>
      <c r="AQ79" s="50" t="s">
        <v>5072</v>
      </c>
      <c r="AR79" s="50" t="s">
        <v>2327</v>
      </c>
      <c r="AS79" s="50">
        <v>1.0</v>
      </c>
      <c r="AT79" s="50" t="s">
        <v>4619</v>
      </c>
      <c r="AU79" s="117">
        <v>3343.0</v>
      </c>
      <c r="AV79" s="50" t="s">
        <v>5073</v>
      </c>
      <c r="AW79" s="50" t="s">
        <v>5074</v>
      </c>
      <c r="AX79" s="117">
        <v>78.0</v>
      </c>
    </row>
    <row r="80">
      <c r="A80" s="50" t="s">
        <v>5075</v>
      </c>
      <c r="B80" s="50" t="s">
        <v>5076</v>
      </c>
      <c r="C80" s="116"/>
      <c r="D80" s="116"/>
      <c r="E80" s="50">
        <v>3.52155090281144E14</v>
      </c>
      <c r="F80" s="50">
        <v>57.0</v>
      </c>
      <c r="G80" s="50">
        <v>12.0</v>
      </c>
      <c r="H80" s="116"/>
      <c r="I80" s="116"/>
      <c r="J80" s="116"/>
      <c r="K80" s="116"/>
      <c r="L80" s="50" t="s">
        <v>816</v>
      </c>
      <c r="M80" s="50" t="s">
        <v>816</v>
      </c>
      <c r="N80" s="50">
        <v>2.0</v>
      </c>
      <c r="O80" s="50" t="s">
        <v>5077</v>
      </c>
      <c r="P80" s="116"/>
      <c r="Q80" s="50" t="s">
        <v>5078</v>
      </c>
      <c r="R80" s="50">
        <v>22.5542489</v>
      </c>
      <c r="S80" s="50">
        <v>88.396744</v>
      </c>
      <c r="T80" s="50">
        <v>-41.099998474121</v>
      </c>
      <c r="U80" s="50">
        <v>5.0</v>
      </c>
      <c r="V80" s="50">
        <v>3.0</v>
      </c>
      <c r="W80" s="50">
        <v>1.0</v>
      </c>
      <c r="X80" s="116"/>
      <c r="Y80" s="116"/>
      <c r="Z80" s="116"/>
      <c r="AA80" s="116"/>
      <c r="AB80" s="116"/>
      <c r="AC80" s="116"/>
      <c r="AD80" s="116"/>
      <c r="AE80" s="50">
        <v>1.0</v>
      </c>
      <c r="AF80" s="50">
        <v>2.0</v>
      </c>
      <c r="AG80" s="50">
        <v>3.0</v>
      </c>
      <c r="AH80" s="50">
        <v>4.0</v>
      </c>
      <c r="AI80" s="116"/>
      <c r="AJ80" s="116"/>
      <c r="AK80" s="116"/>
      <c r="AL80" s="116"/>
      <c r="AM80" s="116"/>
      <c r="AN80" s="116"/>
      <c r="AO80" s="116"/>
      <c r="AP80" s="116"/>
      <c r="AQ80" s="116"/>
      <c r="AR80" s="50" t="s">
        <v>2302</v>
      </c>
      <c r="AS80" s="50">
        <v>0.0</v>
      </c>
      <c r="AT80" s="50" t="s">
        <v>4619</v>
      </c>
      <c r="AU80" s="117">
        <v>3344.0</v>
      </c>
      <c r="AV80" s="50" t="s">
        <v>5080</v>
      </c>
      <c r="AW80" s="50" t="s">
        <v>5081</v>
      </c>
      <c r="AX80" s="117">
        <v>79.0</v>
      </c>
    </row>
    <row r="81">
      <c r="A81" s="50" t="s">
        <v>5082</v>
      </c>
      <c r="B81" s="50" t="s">
        <v>5083</v>
      </c>
      <c r="C81" s="116"/>
      <c r="D81" s="116"/>
      <c r="E81" s="50">
        <v>3.52155090281144E14</v>
      </c>
      <c r="F81" s="50">
        <v>57.0</v>
      </c>
      <c r="G81" s="50">
        <v>12.0</v>
      </c>
      <c r="H81" s="116"/>
      <c r="I81" s="116"/>
      <c r="J81" s="116"/>
      <c r="K81" s="116"/>
      <c r="L81" s="50" t="s">
        <v>819</v>
      </c>
      <c r="M81" s="50" t="s">
        <v>819</v>
      </c>
      <c r="N81" s="50">
        <v>1.0</v>
      </c>
      <c r="O81" s="50" t="s">
        <v>5084</v>
      </c>
      <c r="P81" s="116"/>
      <c r="Q81" s="50" t="s">
        <v>5085</v>
      </c>
      <c r="R81" s="50">
        <v>22.5578161</v>
      </c>
      <c r="S81" s="50">
        <v>88.4113363</v>
      </c>
      <c r="T81" s="50">
        <v>-21.1000003814697</v>
      </c>
      <c r="U81" s="50">
        <v>5.0</v>
      </c>
      <c r="V81" s="50">
        <v>3.0</v>
      </c>
      <c r="W81" s="50">
        <v>1.0</v>
      </c>
      <c r="X81" s="116"/>
      <c r="Y81" s="116"/>
      <c r="Z81" s="116"/>
      <c r="AA81" s="116"/>
      <c r="AB81" s="116"/>
      <c r="AC81" s="116"/>
      <c r="AD81" s="116"/>
      <c r="AE81" s="50">
        <v>1.0</v>
      </c>
      <c r="AF81" s="50">
        <v>2.0</v>
      </c>
      <c r="AG81" s="50">
        <v>4.0</v>
      </c>
      <c r="AH81" s="50">
        <v>1.0</v>
      </c>
      <c r="AI81" s="116"/>
      <c r="AJ81" s="116"/>
      <c r="AK81" s="116"/>
      <c r="AL81" s="116"/>
      <c r="AM81" s="116"/>
      <c r="AN81" s="116"/>
      <c r="AO81" s="116"/>
      <c r="AP81" s="116"/>
      <c r="AQ81" s="116"/>
      <c r="AR81" s="50" t="s">
        <v>2327</v>
      </c>
      <c r="AS81" s="50">
        <v>0.0</v>
      </c>
      <c r="AT81" s="50" t="s">
        <v>4619</v>
      </c>
      <c r="AU81" s="117">
        <v>3345.0</v>
      </c>
      <c r="AV81" s="50" t="s">
        <v>5086</v>
      </c>
      <c r="AW81" s="50" t="s">
        <v>5087</v>
      </c>
      <c r="AX81" s="117">
        <v>80.0</v>
      </c>
    </row>
    <row r="82">
      <c r="A82" s="50" t="s">
        <v>5088</v>
      </c>
      <c r="B82" s="50" t="s">
        <v>5089</v>
      </c>
      <c r="C82" s="116"/>
      <c r="D82" s="116"/>
      <c r="E82" s="50">
        <v>3.52155090281144E14</v>
      </c>
      <c r="F82" s="50">
        <v>66.0</v>
      </c>
      <c r="G82" s="50">
        <v>12.0</v>
      </c>
      <c r="H82" s="116"/>
      <c r="I82" s="116"/>
      <c r="J82" s="116"/>
      <c r="K82" s="116"/>
      <c r="L82" s="50" t="s">
        <v>822</v>
      </c>
      <c r="M82" s="50" t="s">
        <v>822</v>
      </c>
      <c r="N82" s="50">
        <v>5.0</v>
      </c>
      <c r="O82" s="50" t="s">
        <v>5090</v>
      </c>
      <c r="P82" s="116"/>
      <c r="Q82" s="50" t="s">
        <v>5091</v>
      </c>
      <c r="R82" s="50">
        <v>22.5345131</v>
      </c>
      <c r="S82" s="50">
        <v>88.39599</v>
      </c>
      <c r="T82" s="50">
        <v>-1.20000004768371</v>
      </c>
      <c r="U82" s="50">
        <v>5.0</v>
      </c>
      <c r="V82" s="50">
        <v>3.0</v>
      </c>
      <c r="W82" s="50">
        <v>1.0</v>
      </c>
      <c r="X82" s="116"/>
      <c r="Y82" s="116"/>
      <c r="Z82" s="116"/>
      <c r="AA82" s="116"/>
      <c r="AB82" s="116"/>
      <c r="AC82" s="116"/>
      <c r="AD82" s="116"/>
      <c r="AE82" s="50">
        <v>1.0</v>
      </c>
      <c r="AF82" s="50">
        <v>2.0</v>
      </c>
      <c r="AG82" s="50">
        <v>3.0</v>
      </c>
      <c r="AH82" s="50">
        <v>1.0</v>
      </c>
      <c r="AI82" s="116"/>
      <c r="AJ82" s="116"/>
      <c r="AK82" s="116"/>
      <c r="AL82" s="116"/>
      <c r="AM82" s="116"/>
      <c r="AN82" s="116"/>
      <c r="AO82" s="116"/>
      <c r="AP82" s="116"/>
      <c r="AQ82" s="50" t="s">
        <v>5092</v>
      </c>
      <c r="AR82" s="50" t="s">
        <v>5093</v>
      </c>
      <c r="AS82" s="50">
        <v>0.0</v>
      </c>
      <c r="AT82" s="50" t="s">
        <v>4619</v>
      </c>
      <c r="AU82" s="117">
        <v>3346.0</v>
      </c>
      <c r="AV82" s="50" t="s">
        <v>5094</v>
      </c>
      <c r="AW82" s="50" t="s">
        <v>5095</v>
      </c>
      <c r="AX82" s="117">
        <v>81.0</v>
      </c>
    </row>
    <row r="83">
      <c r="A83" s="50" t="s">
        <v>5096</v>
      </c>
      <c r="B83" s="50" t="s">
        <v>5097</v>
      </c>
      <c r="C83" s="116"/>
      <c r="D83" s="116"/>
      <c r="E83" s="50">
        <v>3.52155090281144E14</v>
      </c>
      <c r="F83" s="50">
        <v>59.0</v>
      </c>
      <c r="G83" s="50">
        <v>12.0</v>
      </c>
      <c r="H83" s="116"/>
      <c r="I83" s="116"/>
      <c r="J83" s="116"/>
      <c r="K83" s="116"/>
      <c r="L83" s="50" t="s">
        <v>824</v>
      </c>
      <c r="M83" s="50" t="s">
        <v>824</v>
      </c>
      <c r="N83" s="50">
        <v>6.0</v>
      </c>
      <c r="O83" s="50" t="s">
        <v>5099</v>
      </c>
      <c r="P83" s="116"/>
      <c r="Q83" s="50" t="s">
        <v>5100</v>
      </c>
      <c r="R83" s="50">
        <v>22.5399891</v>
      </c>
      <c r="S83" s="50">
        <v>88.3873552</v>
      </c>
      <c r="T83" s="50">
        <v>-17.1000003814697</v>
      </c>
      <c r="U83" s="50">
        <v>5.0</v>
      </c>
      <c r="V83" s="50">
        <v>2.0</v>
      </c>
      <c r="W83" s="50">
        <v>1.0</v>
      </c>
      <c r="X83" s="116"/>
      <c r="Y83" s="116"/>
      <c r="Z83" s="116"/>
      <c r="AA83" s="116"/>
      <c r="AB83" s="116"/>
      <c r="AC83" s="116"/>
      <c r="AD83" s="116"/>
      <c r="AE83" s="50">
        <v>2.0</v>
      </c>
      <c r="AF83" s="50">
        <v>1.0</v>
      </c>
      <c r="AG83" s="50">
        <v>4.0</v>
      </c>
      <c r="AH83" s="50">
        <v>1.0</v>
      </c>
      <c r="AI83" s="116"/>
      <c r="AJ83" s="116"/>
      <c r="AK83" s="116"/>
      <c r="AL83" s="116"/>
      <c r="AM83" s="116"/>
      <c r="AN83" s="116"/>
      <c r="AO83" s="116"/>
      <c r="AP83" s="116"/>
      <c r="AQ83" s="116"/>
      <c r="AR83" s="50" t="s">
        <v>3142</v>
      </c>
      <c r="AS83" s="50">
        <v>0.0</v>
      </c>
      <c r="AT83" s="50" t="s">
        <v>4619</v>
      </c>
      <c r="AU83" s="117">
        <v>3347.0</v>
      </c>
      <c r="AV83" s="50" t="s">
        <v>5101</v>
      </c>
      <c r="AW83" s="50" t="s">
        <v>5102</v>
      </c>
      <c r="AX83" s="117">
        <v>82.0</v>
      </c>
    </row>
    <row r="84">
      <c r="A84" s="50" t="s">
        <v>5103</v>
      </c>
      <c r="B84" s="50" t="s">
        <v>5104</v>
      </c>
      <c r="C84" s="116"/>
      <c r="D84" s="116"/>
      <c r="E84" s="50">
        <v>3.52155090281144E14</v>
      </c>
      <c r="F84" s="50">
        <v>57.0</v>
      </c>
      <c r="G84" s="50">
        <v>12.0</v>
      </c>
      <c r="H84" s="116"/>
      <c r="I84" s="116"/>
      <c r="J84" s="116"/>
      <c r="K84" s="116"/>
      <c r="L84" s="50" t="s">
        <v>833</v>
      </c>
      <c r="M84" s="50" t="s">
        <v>833</v>
      </c>
      <c r="N84" s="50">
        <v>3.0</v>
      </c>
      <c r="O84" s="50" t="s">
        <v>5105</v>
      </c>
      <c r="P84" s="116"/>
      <c r="Q84" s="50" t="s">
        <v>5106</v>
      </c>
      <c r="R84" s="50">
        <v>22.5563724</v>
      </c>
      <c r="S84" s="50">
        <v>88.3921925</v>
      </c>
      <c r="T84" s="50">
        <v>-43.2999992370605</v>
      </c>
      <c r="U84" s="50">
        <v>5.0</v>
      </c>
      <c r="V84" s="50">
        <v>2.0</v>
      </c>
      <c r="W84" s="50">
        <v>1.0</v>
      </c>
      <c r="X84" s="116"/>
      <c r="Y84" s="116"/>
      <c r="Z84" s="116"/>
      <c r="AA84" s="116"/>
      <c r="AB84" s="116"/>
      <c r="AC84" s="116"/>
      <c r="AD84" s="116"/>
      <c r="AE84" s="50">
        <v>1.0</v>
      </c>
      <c r="AF84" s="50">
        <v>2.0</v>
      </c>
      <c r="AG84" s="50">
        <v>3.0</v>
      </c>
      <c r="AH84" s="50">
        <v>4.0</v>
      </c>
      <c r="AI84" s="116"/>
      <c r="AJ84" s="116"/>
      <c r="AK84" s="116"/>
      <c r="AL84" s="116"/>
      <c r="AM84" s="116"/>
      <c r="AN84" s="116"/>
      <c r="AO84" s="116"/>
      <c r="AP84" s="116"/>
      <c r="AQ84" s="50" t="s">
        <v>5107</v>
      </c>
      <c r="AR84" s="50" t="s">
        <v>2302</v>
      </c>
      <c r="AS84" s="50">
        <v>0.0</v>
      </c>
      <c r="AT84" s="50" t="s">
        <v>4619</v>
      </c>
      <c r="AU84" s="117">
        <v>3384.0</v>
      </c>
      <c r="AV84" s="50" t="s">
        <v>5108</v>
      </c>
      <c r="AW84" s="50" t="s">
        <v>5109</v>
      </c>
      <c r="AX84" s="117">
        <v>83.0</v>
      </c>
    </row>
    <row r="85">
      <c r="A85" s="50" t="s">
        <v>5110</v>
      </c>
      <c r="B85" s="50" t="s">
        <v>5111</v>
      </c>
      <c r="C85" s="116"/>
      <c r="D85" s="116"/>
      <c r="E85" s="50">
        <v>3.52155090281144E14</v>
      </c>
      <c r="F85" s="50">
        <v>57.0</v>
      </c>
      <c r="G85" s="50">
        <v>12.0</v>
      </c>
      <c r="H85" s="116"/>
      <c r="I85" s="116"/>
      <c r="J85" s="116"/>
      <c r="K85" s="116"/>
      <c r="L85" s="50" t="s">
        <v>834</v>
      </c>
      <c r="M85" s="50" t="s">
        <v>834</v>
      </c>
      <c r="N85" s="50">
        <v>7.0</v>
      </c>
      <c r="O85" s="50" t="s">
        <v>5113</v>
      </c>
      <c r="P85" s="116"/>
      <c r="Q85" s="50" t="s">
        <v>5114</v>
      </c>
      <c r="R85" s="50">
        <v>22.5579411</v>
      </c>
      <c r="S85" s="50">
        <v>88.389639</v>
      </c>
      <c r="T85" s="50">
        <v>-36.7999992370605</v>
      </c>
      <c r="U85" s="50">
        <v>5.0</v>
      </c>
      <c r="V85" s="50">
        <v>2.0</v>
      </c>
      <c r="W85" s="50">
        <v>1.0</v>
      </c>
      <c r="X85" s="116"/>
      <c r="Y85" s="116"/>
      <c r="Z85" s="116"/>
      <c r="AA85" s="116"/>
      <c r="AB85" s="116"/>
      <c r="AC85" s="116"/>
      <c r="AD85" s="116"/>
      <c r="AE85" s="50">
        <v>1.0</v>
      </c>
      <c r="AF85" s="50">
        <v>2.0</v>
      </c>
      <c r="AG85" s="50">
        <v>4.0</v>
      </c>
      <c r="AH85" s="50">
        <v>4.0</v>
      </c>
      <c r="AI85" s="116"/>
      <c r="AJ85" s="116"/>
      <c r="AK85" s="116"/>
      <c r="AL85" s="116"/>
      <c r="AM85" s="116"/>
      <c r="AN85" s="116"/>
      <c r="AO85" s="116"/>
      <c r="AP85" s="116"/>
      <c r="AQ85" s="116"/>
      <c r="AR85" s="50" t="s">
        <v>2327</v>
      </c>
      <c r="AS85" s="50">
        <v>0.0</v>
      </c>
      <c r="AT85" s="50" t="s">
        <v>4619</v>
      </c>
      <c r="AU85" s="117">
        <v>3385.0</v>
      </c>
      <c r="AV85" s="50" t="s">
        <v>5115</v>
      </c>
      <c r="AW85" s="50" t="s">
        <v>5116</v>
      </c>
      <c r="AX85" s="117">
        <v>84.0</v>
      </c>
    </row>
    <row r="86">
      <c r="A86" s="50" t="s">
        <v>5117</v>
      </c>
      <c r="B86" s="50" t="s">
        <v>5118</v>
      </c>
      <c r="C86" s="116"/>
      <c r="D86" s="116"/>
      <c r="E86" s="50">
        <v>3.52155090281144E14</v>
      </c>
      <c r="F86" s="50">
        <v>55.0</v>
      </c>
      <c r="G86" s="50">
        <v>12.0</v>
      </c>
      <c r="H86" s="116"/>
      <c r="I86" s="116"/>
      <c r="J86" s="116"/>
      <c r="K86" s="116"/>
      <c r="L86" s="50" t="s">
        <v>836</v>
      </c>
      <c r="M86" s="50" t="s">
        <v>836</v>
      </c>
      <c r="N86" s="50">
        <v>4.0</v>
      </c>
      <c r="O86" s="50" t="s">
        <v>5119</v>
      </c>
      <c r="P86" s="116"/>
      <c r="Q86" s="50" t="s">
        <v>5120</v>
      </c>
      <c r="R86" s="50">
        <v>22.5636382</v>
      </c>
      <c r="S86" s="50">
        <v>88.3772313</v>
      </c>
      <c r="T86" s="50">
        <v>-25.6000003814697</v>
      </c>
      <c r="U86" s="50">
        <v>5.0</v>
      </c>
      <c r="V86" s="50">
        <v>2.0</v>
      </c>
      <c r="W86" s="50">
        <v>1.0</v>
      </c>
      <c r="X86" s="116"/>
      <c r="Y86" s="116"/>
      <c r="Z86" s="116"/>
      <c r="AA86" s="116"/>
      <c r="AB86" s="116"/>
      <c r="AC86" s="116"/>
      <c r="AD86" s="116"/>
      <c r="AE86" s="50">
        <v>1.0</v>
      </c>
      <c r="AF86" s="50">
        <v>2.0</v>
      </c>
      <c r="AG86" s="50">
        <v>4.0</v>
      </c>
      <c r="AH86" s="50">
        <v>4.0</v>
      </c>
      <c r="AI86" s="116"/>
      <c r="AJ86" s="116"/>
      <c r="AK86" s="116"/>
      <c r="AL86" s="116"/>
      <c r="AM86" s="116"/>
      <c r="AN86" s="116"/>
      <c r="AO86" s="116"/>
      <c r="AP86" s="116"/>
      <c r="AQ86" s="116"/>
      <c r="AR86" s="50" t="s">
        <v>2826</v>
      </c>
      <c r="AS86" s="50">
        <v>0.0</v>
      </c>
      <c r="AT86" s="50" t="s">
        <v>4619</v>
      </c>
      <c r="AU86" s="117">
        <v>3386.0</v>
      </c>
      <c r="AV86" s="50" t="s">
        <v>5121</v>
      </c>
      <c r="AW86" s="50" t="s">
        <v>5122</v>
      </c>
      <c r="AX86" s="117">
        <v>85.0</v>
      </c>
    </row>
    <row r="87">
      <c r="A87" s="50" t="s">
        <v>5123</v>
      </c>
      <c r="B87" s="50" t="s">
        <v>5124</v>
      </c>
      <c r="C87" s="116"/>
      <c r="D87" s="116"/>
      <c r="E87" s="50">
        <v>3.52155090281144E14</v>
      </c>
      <c r="F87" s="50">
        <v>65.0</v>
      </c>
      <c r="G87" s="50">
        <v>12.0</v>
      </c>
      <c r="H87" s="116"/>
      <c r="I87" s="116"/>
      <c r="J87" s="116"/>
      <c r="K87" s="116"/>
      <c r="L87" s="50" t="s">
        <v>838</v>
      </c>
      <c r="M87" s="50" t="s">
        <v>838</v>
      </c>
      <c r="N87" s="50">
        <v>8.0</v>
      </c>
      <c r="O87" s="50" t="s">
        <v>5126</v>
      </c>
      <c r="P87" s="116"/>
      <c r="Q87" s="50" t="s">
        <v>5127</v>
      </c>
      <c r="R87" s="50">
        <v>22.5361019</v>
      </c>
      <c r="S87" s="50">
        <v>88.3745469</v>
      </c>
      <c r="T87" s="50">
        <v>-57.0</v>
      </c>
      <c r="U87" s="50">
        <v>5.0</v>
      </c>
      <c r="V87" s="50">
        <v>2.0</v>
      </c>
      <c r="W87" s="50">
        <v>1.0</v>
      </c>
      <c r="X87" s="116"/>
      <c r="Y87" s="116"/>
      <c r="Z87" s="116"/>
      <c r="AA87" s="116"/>
      <c r="AB87" s="116"/>
      <c r="AC87" s="116"/>
      <c r="AD87" s="116"/>
      <c r="AE87" s="50">
        <v>1.0</v>
      </c>
      <c r="AF87" s="50">
        <v>1.0</v>
      </c>
      <c r="AG87" s="50">
        <v>4.0</v>
      </c>
      <c r="AH87" s="50">
        <v>4.0</v>
      </c>
      <c r="AI87" s="116"/>
      <c r="AJ87" s="116"/>
      <c r="AK87" s="116"/>
      <c r="AL87" s="116"/>
      <c r="AM87" s="116"/>
      <c r="AN87" s="116"/>
      <c r="AO87" s="116"/>
      <c r="AP87" s="116"/>
      <c r="AQ87" s="50" t="s">
        <v>5128</v>
      </c>
      <c r="AR87" s="50" t="s">
        <v>2302</v>
      </c>
      <c r="AS87" s="50">
        <v>0.0</v>
      </c>
      <c r="AT87" s="50" t="s">
        <v>4619</v>
      </c>
      <c r="AU87" s="117">
        <v>3387.0</v>
      </c>
      <c r="AV87" s="50" t="s">
        <v>5129</v>
      </c>
      <c r="AW87" s="50" t="s">
        <v>5130</v>
      </c>
      <c r="AX87" s="117">
        <v>86.0</v>
      </c>
    </row>
    <row r="88">
      <c r="A88" s="50" t="s">
        <v>5131</v>
      </c>
      <c r="B88" s="50" t="s">
        <v>5132</v>
      </c>
      <c r="C88" s="116"/>
      <c r="D88" s="116"/>
      <c r="E88" s="50">
        <v>3.52155090281144E14</v>
      </c>
      <c r="F88" s="50">
        <v>58.0</v>
      </c>
      <c r="G88" s="50">
        <v>11.0</v>
      </c>
      <c r="H88" s="50">
        <v>4.0</v>
      </c>
      <c r="I88" s="50">
        <v>0.0</v>
      </c>
      <c r="J88" s="116"/>
      <c r="K88" s="116"/>
      <c r="L88" s="50" t="s">
        <v>840</v>
      </c>
      <c r="M88" s="50" t="s">
        <v>840</v>
      </c>
      <c r="N88" s="116"/>
      <c r="O88" s="116"/>
      <c r="P88" s="50" t="s">
        <v>5133</v>
      </c>
      <c r="Q88" s="50" t="s">
        <v>5134</v>
      </c>
      <c r="R88" s="50">
        <v>22.5529024</v>
      </c>
      <c r="S88" s="50">
        <v>88.3985045</v>
      </c>
      <c r="T88" s="50">
        <v>-57.2000007629394</v>
      </c>
      <c r="U88" s="50">
        <v>5.0</v>
      </c>
      <c r="V88" s="50">
        <v>1.0</v>
      </c>
      <c r="W88" s="50">
        <v>0.0</v>
      </c>
      <c r="X88" s="50">
        <v>1.0</v>
      </c>
      <c r="Y88" s="116"/>
      <c r="Z88" s="116"/>
      <c r="AA88" s="50">
        <v>2.0</v>
      </c>
      <c r="AB88" s="50">
        <v>4.0</v>
      </c>
      <c r="AC88" s="116"/>
      <c r="AD88" s="116"/>
      <c r="AE88" s="116"/>
      <c r="AF88" s="116"/>
      <c r="AG88" s="116"/>
      <c r="AH88" s="116"/>
      <c r="AI88" s="116"/>
      <c r="AJ88" s="116"/>
      <c r="AK88" s="116"/>
      <c r="AL88" s="116"/>
      <c r="AM88" s="116"/>
      <c r="AN88" s="116"/>
      <c r="AO88" s="116"/>
      <c r="AP88" s="116"/>
      <c r="AQ88" s="116"/>
      <c r="AR88" s="50" t="s">
        <v>2302</v>
      </c>
      <c r="AS88" s="50">
        <v>1.0</v>
      </c>
      <c r="AT88" s="50" t="s">
        <v>4619</v>
      </c>
      <c r="AU88" s="117">
        <v>3397.0</v>
      </c>
      <c r="AV88" s="50" t="s">
        <v>5135</v>
      </c>
      <c r="AW88" s="50" t="s">
        <v>5137</v>
      </c>
      <c r="AX88" s="117">
        <v>87.0</v>
      </c>
    </row>
    <row r="89">
      <c r="A89" s="50" t="s">
        <v>5138</v>
      </c>
      <c r="B89" s="50" t="s">
        <v>5139</v>
      </c>
      <c r="C89" s="116"/>
      <c r="D89" s="116"/>
      <c r="E89" s="50">
        <v>3.52155090281144E14</v>
      </c>
      <c r="F89" s="50">
        <v>57.0</v>
      </c>
      <c r="G89" s="50">
        <v>12.0</v>
      </c>
      <c r="H89" s="116"/>
      <c r="I89" s="116"/>
      <c r="J89" s="116"/>
      <c r="K89" s="116"/>
      <c r="L89" s="50" t="s">
        <v>847</v>
      </c>
      <c r="M89" s="50" t="s">
        <v>847</v>
      </c>
      <c r="N89" s="50">
        <v>1.0</v>
      </c>
      <c r="O89" s="50" t="s">
        <v>5140</v>
      </c>
      <c r="P89" s="116"/>
      <c r="Q89" s="50" t="s">
        <v>5141</v>
      </c>
      <c r="R89" s="50">
        <v>22.5578807</v>
      </c>
      <c r="S89" s="50">
        <v>88.4109951</v>
      </c>
      <c r="T89" s="50">
        <v>-57.599998474121</v>
      </c>
      <c r="U89" s="50">
        <v>5.0</v>
      </c>
      <c r="V89" s="50">
        <v>1.0</v>
      </c>
      <c r="W89" s="50">
        <v>0.0</v>
      </c>
      <c r="X89" s="50">
        <v>1.0</v>
      </c>
      <c r="Y89" s="116"/>
      <c r="Z89" s="116"/>
      <c r="AA89" s="116"/>
      <c r="AB89" s="116"/>
      <c r="AC89" s="116"/>
      <c r="AD89" s="116"/>
      <c r="AE89" s="50">
        <v>1.0</v>
      </c>
      <c r="AF89" s="50">
        <v>1.0</v>
      </c>
      <c r="AG89" s="50">
        <v>4.0</v>
      </c>
      <c r="AH89" s="50">
        <v>4.0</v>
      </c>
      <c r="AI89" s="116"/>
      <c r="AJ89" s="116"/>
      <c r="AK89" s="116"/>
      <c r="AL89" s="116"/>
      <c r="AM89" s="116"/>
      <c r="AN89" s="116"/>
      <c r="AO89" s="116"/>
      <c r="AP89" s="116"/>
      <c r="AQ89" s="116"/>
      <c r="AR89" s="50" t="s">
        <v>2327</v>
      </c>
      <c r="AS89" s="50">
        <v>0.0</v>
      </c>
      <c r="AT89" s="50" t="s">
        <v>4619</v>
      </c>
      <c r="AU89" s="117">
        <v>3405.0</v>
      </c>
      <c r="AV89" s="50" t="s">
        <v>5142</v>
      </c>
      <c r="AW89" s="50" t="s">
        <v>5143</v>
      </c>
      <c r="AX89" s="117">
        <v>88.0</v>
      </c>
    </row>
    <row r="90">
      <c r="A90" s="50" t="s">
        <v>5144</v>
      </c>
      <c r="B90" s="50" t="s">
        <v>5145</v>
      </c>
      <c r="C90" s="116"/>
      <c r="D90" s="116"/>
      <c r="E90" s="50">
        <v>3.52155090281144E14</v>
      </c>
      <c r="F90" s="50">
        <v>66.0</v>
      </c>
      <c r="G90" s="50">
        <v>12.0</v>
      </c>
      <c r="H90" s="116"/>
      <c r="I90" s="116"/>
      <c r="J90" s="116"/>
      <c r="K90" s="116"/>
      <c r="L90" s="50" t="s">
        <v>849</v>
      </c>
      <c r="M90" s="50" t="s">
        <v>849</v>
      </c>
      <c r="N90" s="50">
        <v>5.0</v>
      </c>
      <c r="O90" s="50" t="s">
        <v>5146</v>
      </c>
      <c r="P90" s="116"/>
      <c r="Q90" s="50" t="s">
        <v>5147</v>
      </c>
      <c r="R90" s="50">
        <v>22.5346849</v>
      </c>
      <c r="S90" s="50">
        <v>88.3958435</v>
      </c>
      <c r="T90" s="50">
        <v>-27.2999992370605</v>
      </c>
      <c r="U90" s="50">
        <v>5.0</v>
      </c>
      <c r="V90" s="50">
        <v>1.0</v>
      </c>
      <c r="W90" s="50">
        <v>0.0</v>
      </c>
      <c r="X90" s="50">
        <v>1.0</v>
      </c>
      <c r="Y90" s="116"/>
      <c r="Z90" s="116"/>
      <c r="AA90" s="116"/>
      <c r="AB90" s="116"/>
      <c r="AC90" s="116"/>
      <c r="AD90" s="116"/>
      <c r="AE90" s="50">
        <v>1.0</v>
      </c>
      <c r="AF90" s="50">
        <v>2.0</v>
      </c>
      <c r="AG90" s="50">
        <v>3.0</v>
      </c>
      <c r="AH90" s="50">
        <v>4.0</v>
      </c>
      <c r="AI90" s="116"/>
      <c r="AJ90" s="116"/>
      <c r="AK90" s="116"/>
      <c r="AL90" s="116"/>
      <c r="AM90" s="116"/>
      <c r="AN90" s="116"/>
      <c r="AO90" s="116"/>
      <c r="AP90" s="116"/>
      <c r="AQ90" s="116"/>
      <c r="AR90" s="50" t="s">
        <v>2278</v>
      </c>
      <c r="AS90" s="50">
        <v>0.0</v>
      </c>
      <c r="AT90" s="50" t="s">
        <v>4619</v>
      </c>
      <c r="AU90" s="117">
        <v>3406.0</v>
      </c>
      <c r="AV90" s="50" t="s">
        <v>5148</v>
      </c>
      <c r="AW90" s="50" t="s">
        <v>5149</v>
      </c>
      <c r="AX90" s="117">
        <v>89.0</v>
      </c>
    </row>
    <row r="91">
      <c r="A91" s="50" t="s">
        <v>5150</v>
      </c>
      <c r="B91" s="50" t="s">
        <v>5151</v>
      </c>
      <c r="C91" s="116"/>
      <c r="D91" s="116"/>
      <c r="E91" s="50">
        <v>3.52155090281144E14</v>
      </c>
      <c r="F91" s="50">
        <v>59.0</v>
      </c>
      <c r="G91" s="50">
        <v>12.0</v>
      </c>
      <c r="H91" s="116"/>
      <c r="I91" s="116"/>
      <c r="J91" s="116"/>
      <c r="K91" s="116"/>
      <c r="L91" s="50" t="s">
        <v>850</v>
      </c>
      <c r="M91" s="50" t="s">
        <v>850</v>
      </c>
      <c r="N91" s="50">
        <v>6.0</v>
      </c>
      <c r="O91" s="50" t="s">
        <v>5152</v>
      </c>
      <c r="P91" s="116"/>
      <c r="Q91" s="50" t="s">
        <v>5153</v>
      </c>
      <c r="R91" s="50">
        <v>22.5399724</v>
      </c>
      <c r="S91" s="50">
        <v>88.3873135</v>
      </c>
      <c r="T91" s="50">
        <v>-40.2000007629394</v>
      </c>
      <c r="U91" s="50">
        <v>4.5</v>
      </c>
      <c r="V91" s="50">
        <v>1.0</v>
      </c>
      <c r="W91" s="50">
        <v>0.0</v>
      </c>
      <c r="X91" s="50">
        <v>1.0</v>
      </c>
      <c r="Y91" s="116"/>
      <c r="Z91" s="116"/>
      <c r="AA91" s="116"/>
      <c r="AB91" s="116"/>
      <c r="AC91" s="116"/>
      <c r="AD91" s="116"/>
      <c r="AE91" s="50">
        <v>2.0</v>
      </c>
      <c r="AF91" s="50">
        <v>2.0</v>
      </c>
      <c r="AG91" s="50">
        <v>4.0</v>
      </c>
      <c r="AH91" s="50">
        <v>4.0</v>
      </c>
      <c r="AI91" s="116"/>
      <c r="AJ91" s="116"/>
      <c r="AK91" s="116"/>
      <c r="AL91" s="116"/>
      <c r="AM91" s="116"/>
      <c r="AN91" s="116"/>
      <c r="AO91" s="116"/>
      <c r="AP91" s="116"/>
      <c r="AQ91" s="116"/>
      <c r="AR91" s="50" t="s">
        <v>2472</v>
      </c>
      <c r="AS91" s="50">
        <v>0.0</v>
      </c>
      <c r="AT91" s="50" t="s">
        <v>4619</v>
      </c>
      <c r="AU91" s="117">
        <v>3407.0</v>
      </c>
      <c r="AV91" s="50" t="s">
        <v>5155</v>
      </c>
      <c r="AW91" s="50" t="s">
        <v>5156</v>
      </c>
      <c r="AX91" s="117">
        <v>90.0</v>
      </c>
    </row>
    <row r="92">
      <c r="A92" s="50" t="s">
        <v>5157</v>
      </c>
      <c r="B92" s="50" t="s">
        <v>5158</v>
      </c>
      <c r="C92" s="116"/>
      <c r="D92" s="116"/>
      <c r="E92" s="50">
        <v>3.52155090281144E14</v>
      </c>
      <c r="F92" s="50">
        <v>57.0</v>
      </c>
      <c r="G92" s="50">
        <v>12.0</v>
      </c>
      <c r="H92" s="116"/>
      <c r="I92" s="116"/>
      <c r="J92" s="116"/>
      <c r="K92" s="116"/>
      <c r="L92" s="50" t="s">
        <v>846</v>
      </c>
      <c r="M92" s="50" t="s">
        <v>846</v>
      </c>
      <c r="N92" s="50">
        <v>2.0</v>
      </c>
      <c r="O92" s="50" t="s">
        <v>5159</v>
      </c>
      <c r="P92" s="116"/>
      <c r="Q92" s="50" t="s">
        <v>5160</v>
      </c>
      <c r="R92" s="50">
        <v>22.554234</v>
      </c>
      <c r="S92" s="50">
        <v>88.3967059</v>
      </c>
      <c r="T92" s="50">
        <v>-53.2999992370605</v>
      </c>
      <c r="U92" s="50">
        <v>5.0</v>
      </c>
      <c r="V92" s="50">
        <v>1.0</v>
      </c>
      <c r="W92" s="50">
        <v>0.0</v>
      </c>
      <c r="X92" s="50">
        <v>1.0</v>
      </c>
      <c r="Y92" s="116"/>
      <c r="Z92" s="116"/>
      <c r="AA92" s="116"/>
      <c r="AB92" s="116"/>
      <c r="AC92" s="116"/>
      <c r="AD92" s="116"/>
      <c r="AE92" s="50">
        <v>1.0</v>
      </c>
      <c r="AF92" s="50">
        <v>2.0</v>
      </c>
      <c r="AG92" s="50">
        <v>3.0</v>
      </c>
      <c r="AH92" s="50">
        <v>4.0</v>
      </c>
      <c r="AI92" s="116"/>
      <c r="AJ92" s="116"/>
      <c r="AK92" s="116"/>
      <c r="AL92" s="116"/>
      <c r="AM92" s="116"/>
      <c r="AN92" s="116"/>
      <c r="AO92" s="116"/>
      <c r="AP92" s="116"/>
      <c r="AQ92" s="116"/>
      <c r="AR92" s="50" t="s">
        <v>2318</v>
      </c>
      <c r="AS92" s="50">
        <v>0.0</v>
      </c>
      <c r="AT92" s="50" t="s">
        <v>4619</v>
      </c>
      <c r="AU92" s="117">
        <v>3408.0</v>
      </c>
      <c r="AV92" s="50" t="s">
        <v>5161</v>
      </c>
      <c r="AW92" s="50" t="s">
        <v>5162</v>
      </c>
      <c r="AX92" s="117">
        <v>91.0</v>
      </c>
    </row>
    <row r="93">
      <c r="A93" s="50" t="s">
        <v>5163</v>
      </c>
      <c r="B93" s="50" t="s">
        <v>5164</v>
      </c>
      <c r="C93" s="116"/>
      <c r="D93" s="116"/>
      <c r="E93" s="50">
        <v>3.52155090281144E14</v>
      </c>
      <c r="F93" s="50">
        <v>59.0</v>
      </c>
      <c r="G93" s="50">
        <v>99.0</v>
      </c>
      <c r="H93" s="116"/>
      <c r="I93" s="116"/>
      <c r="J93" s="116"/>
      <c r="K93" s="116"/>
      <c r="L93" s="50" t="s">
        <v>851</v>
      </c>
      <c r="M93" s="50" t="s">
        <v>851</v>
      </c>
      <c r="N93" s="116"/>
      <c r="O93" s="116"/>
      <c r="P93" s="116"/>
      <c r="Q93" s="116"/>
      <c r="R93" s="116"/>
      <c r="S93" s="116"/>
      <c r="T93" s="116"/>
      <c r="U93" s="116"/>
      <c r="V93" s="116"/>
      <c r="W93" s="116"/>
      <c r="X93" s="116"/>
      <c r="Y93" s="116"/>
      <c r="Z93" s="116"/>
      <c r="AA93" s="116"/>
      <c r="AB93" s="116"/>
      <c r="AC93" s="116"/>
      <c r="AD93" s="116"/>
      <c r="AE93" s="116"/>
      <c r="AF93" s="116"/>
      <c r="AG93" s="116"/>
      <c r="AH93" s="116"/>
      <c r="AI93" s="116"/>
      <c r="AJ93" s="116"/>
      <c r="AK93" s="116"/>
      <c r="AL93" s="116"/>
      <c r="AM93" s="116"/>
      <c r="AN93" s="116"/>
      <c r="AO93" s="116"/>
      <c r="AP93" s="116"/>
      <c r="AQ93" s="116"/>
      <c r="AR93" s="50" t="s">
        <v>2318</v>
      </c>
      <c r="AS93" s="116"/>
      <c r="AT93" s="50" t="s">
        <v>4619</v>
      </c>
      <c r="AU93" s="117">
        <v>3409.0</v>
      </c>
      <c r="AV93" s="50" t="s">
        <v>5166</v>
      </c>
      <c r="AW93" s="50" t="s">
        <v>5167</v>
      </c>
      <c r="AX93" s="117">
        <v>92.0</v>
      </c>
    </row>
    <row r="94">
      <c r="A94" s="50" t="s">
        <v>5168</v>
      </c>
      <c r="B94" s="50" t="s">
        <v>5169</v>
      </c>
      <c r="C94" s="116"/>
      <c r="D94" s="116"/>
      <c r="E94" s="50">
        <v>3.52155090281144E14</v>
      </c>
      <c r="F94" s="50">
        <v>59.0</v>
      </c>
      <c r="G94" s="50">
        <v>11.0</v>
      </c>
      <c r="H94" s="50">
        <v>4.0</v>
      </c>
      <c r="I94" s="50">
        <v>0.0</v>
      </c>
      <c r="J94" s="116"/>
      <c r="K94" s="116"/>
      <c r="L94" s="50" t="s">
        <v>855</v>
      </c>
      <c r="M94" s="50" t="s">
        <v>855</v>
      </c>
      <c r="N94" s="116"/>
      <c r="O94" s="116"/>
      <c r="P94" s="50" t="s">
        <v>5170</v>
      </c>
      <c r="Q94" s="50" t="s">
        <v>5171</v>
      </c>
      <c r="R94" s="50">
        <v>22.5409115</v>
      </c>
      <c r="S94" s="50">
        <v>88.3742909</v>
      </c>
      <c r="T94" s="50">
        <v>-45.7999992370605</v>
      </c>
      <c r="U94" s="50">
        <v>5.0</v>
      </c>
      <c r="V94" s="50">
        <v>1.0</v>
      </c>
      <c r="W94" s="50">
        <v>0.0</v>
      </c>
      <c r="X94" s="50">
        <v>1.0</v>
      </c>
      <c r="Y94" s="116"/>
      <c r="Z94" s="116"/>
      <c r="AA94" s="50">
        <v>2.0</v>
      </c>
      <c r="AB94" s="50">
        <v>4.0</v>
      </c>
      <c r="AC94" s="116"/>
      <c r="AD94" s="116"/>
      <c r="AE94" s="116"/>
      <c r="AF94" s="116"/>
      <c r="AG94" s="116"/>
      <c r="AH94" s="116"/>
      <c r="AI94" s="116"/>
      <c r="AJ94" s="116"/>
      <c r="AK94" s="116"/>
      <c r="AL94" s="116"/>
      <c r="AM94" s="116"/>
      <c r="AN94" s="116"/>
      <c r="AO94" s="116"/>
      <c r="AP94" s="116"/>
      <c r="AQ94" s="116"/>
      <c r="AR94" s="50" t="s">
        <v>2302</v>
      </c>
      <c r="AS94" s="50">
        <v>1.0</v>
      </c>
      <c r="AT94" s="50" t="s">
        <v>4619</v>
      </c>
      <c r="AU94" s="117">
        <v>3420.0</v>
      </c>
      <c r="AV94" s="50" t="s">
        <v>5173</v>
      </c>
      <c r="AW94" s="50" t="s">
        <v>5174</v>
      </c>
      <c r="AX94" s="117">
        <v>93.0</v>
      </c>
    </row>
    <row r="95">
      <c r="A95" s="50" t="s">
        <v>5175</v>
      </c>
      <c r="B95" s="50" t="s">
        <v>5176</v>
      </c>
      <c r="C95" s="116"/>
      <c r="D95" s="116"/>
      <c r="E95" s="50">
        <v>3.52155090281144E14</v>
      </c>
      <c r="F95" s="50">
        <v>59.0</v>
      </c>
      <c r="G95" s="50">
        <v>99.0</v>
      </c>
      <c r="H95" s="116"/>
      <c r="I95" s="116"/>
      <c r="J95" s="116"/>
      <c r="K95" s="116"/>
      <c r="L95" s="50" t="s">
        <v>858</v>
      </c>
      <c r="M95" s="50" t="s">
        <v>858</v>
      </c>
      <c r="N95" s="116"/>
      <c r="O95" s="116"/>
      <c r="P95" s="116"/>
      <c r="Q95" s="116"/>
      <c r="R95" s="116"/>
      <c r="S95" s="116"/>
      <c r="T95" s="116"/>
      <c r="U95" s="116"/>
      <c r="V95" s="116"/>
      <c r="W95" s="116"/>
      <c r="X95" s="116"/>
      <c r="Y95" s="116"/>
      <c r="Z95" s="116"/>
      <c r="AA95" s="116"/>
      <c r="AB95" s="116"/>
      <c r="AC95" s="116"/>
      <c r="AD95" s="116"/>
      <c r="AE95" s="116"/>
      <c r="AF95" s="116"/>
      <c r="AG95" s="116"/>
      <c r="AH95" s="116"/>
      <c r="AI95" s="116"/>
      <c r="AJ95" s="116"/>
      <c r="AK95" s="116"/>
      <c r="AL95" s="116"/>
      <c r="AM95" s="116"/>
      <c r="AN95" s="116"/>
      <c r="AO95" s="116"/>
      <c r="AP95" s="116"/>
      <c r="AQ95" s="116"/>
      <c r="AR95" s="50" t="s">
        <v>2302</v>
      </c>
      <c r="AS95" s="116"/>
      <c r="AT95" s="50" t="s">
        <v>4619</v>
      </c>
      <c r="AU95" s="117">
        <v>3421.0</v>
      </c>
      <c r="AV95" s="50" t="s">
        <v>5177</v>
      </c>
      <c r="AW95" s="50" t="s">
        <v>5178</v>
      </c>
      <c r="AX95" s="117">
        <v>94.0</v>
      </c>
    </row>
    <row r="96">
      <c r="A96" s="50" t="s">
        <v>5179</v>
      </c>
      <c r="B96" s="50" t="s">
        <v>5180</v>
      </c>
      <c r="C96" s="116"/>
      <c r="D96" s="116"/>
      <c r="E96" s="50">
        <v>3.52155090281144E14</v>
      </c>
      <c r="F96" s="50">
        <v>57.0</v>
      </c>
      <c r="G96" s="50">
        <v>12.0</v>
      </c>
      <c r="H96" s="116"/>
      <c r="I96" s="116"/>
      <c r="J96" s="116"/>
      <c r="K96" s="116"/>
      <c r="L96" s="50" t="s">
        <v>867</v>
      </c>
      <c r="M96" s="50" t="s">
        <v>867</v>
      </c>
      <c r="N96" s="50">
        <v>3.0</v>
      </c>
      <c r="O96" s="50" t="s">
        <v>5181</v>
      </c>
      <c r="P96" s="116"/>
      <c r="Q96" s="50" t="s">
        <v>5182</v>
      </c>
      <c r="R96" s="50">
        <v>22.5562695</v>
      </c>
      <c r="S96" s="50">
        <v>88.3921993</v>
      </c>
      <c r="T96" s="50">
        <v>-59.5</v>
      </c>
      <c r="U96" s="50">
        <v>5.0</v>
      </c>
      <c r="V96" s="50">
        <v>2.0</v>
      </c>
      <c r="W96" s="50">
        <v>0.0</v>
      </c>
      <c r="X96" s="50">
        <v>1.0</v>
      </c>
      <c r="Y96" s="116"/>
      <c r="Z96" s="116"/>
      <c r="AA96" s="116"/>
      <c r="AB96" s="116"/>
      <c r="AC96" s="116"/>
      <c r="AD96" s="116"/>
      <c r="AE96" s="50">
        <v>1.0</v>
      </c>
      <c r="AF96" s="50">
        <v>1.0</v>
      </c>
      <c r="AG96" s="50">
        <v>3.0</v>
      </c>
      <c r="AH96" s="50">
        <v>4.0</v>
      </c>
      <c r="AI96" s="116"/>
      <c r="AJ96" s="116"/>
      <c r="AK96" s="116"/>
      <c r="AL96" s="116"/>
      <c r="AM96" s="116"/>
      <c r="AN96" s="116"/>
      <c r="AO96" s="116"/>
      <c r="AP96" s="116"/>
      <c r="AQ96" s="50" t="s">
        <v>5128</v>
      </c>
      <c r="AR96" s="50" t="s">
        <v>2302</v>
      </c>
      <c r="AS96" s="50">
        <v>0.0</v>
      </c>
      <c r="AT96" s="50" t="s">
        <v>4619</v>
      </c>
      <c r="AU96" s="117">
        <v>3422.0</v>
      </c>
      <c r="AV96" s="50" t="s">
        <v>5183</v>
      </c>
      <c r="AW96" s="50" t="s">
        <v>5184</v>
      </c>
      <c r="AX96" s="117">
        <v>95.0</v>
      </c>
    </row>
    <row r="97">
      <c r="A97" s="50" t="s">
        <v>5186</v>
      </c>
      <c r="B97" s="50" t="s">
        <v>5187</v>
      </c>
      <c r="C97" s="116"/>
      <c r="D97" s="116"/>
      <c r="E97" s="50">
        <v>3.52155090281144E14</v>
      </c>
      <c r="F97" s="50">
        <v>57.0</v>
      </c>
      <c r="G97" s="50">
        <v>12.0</v>
      </c>
      <c r="H97" s="116"/>
      <c r="I97" s="116"/>
      <c r="J97" s="116"/>
      <c r="K97" s="116"/>
      <c r="L97" s="50" t="s">
        <v>869</v>
      </c>
      <c r="M97" s="50" t="s">
        <v>869</v>
      </c>
      <c r="N97" s="50">
        <v>7.0</v>
      </c>
      <c r="O97" s="50" t="s">
        <v>5188</v>
      </c>
      <c r="P97" s="116"/>
      <c r="Q97" s="50" t="s">
        <v>5189</v>
      </c>
      <c r="R97" s="50">
        <v>22.5578611</v>
      </c>
      <c r="S97" s="50">
        <v>88.3896616</v>
      </c>
      <c r="T97" s="50">
        <v>-26.5</v>
      </c>
      <c r="U97" s="50">
        <v>5.0</v>
      </c>
      <c r="V97" s="50">
        <v>2.0</v>
      </c>
      <c r="W97" s="50">
        <v>0.0</v>
      </c>
      <c r="X97" s="50">
        <v>1.0</v>
      </c>
      <c r="Y97" s="116"/>
      <c r="Z97" s="116"/>
      <c r="AA97" s="116"/>
      <c r="AB97" s="116"/>
      <c r="AC97" s="116"/>
      <c r="AD97" s="116"/>
      <c r="AE97" s="50">
        <v>1.0</v>
      </c>
      <c r="AF97" s="50">
        <v>2.0</v>
      </c>
      <c r="AG97" s="50">
        <v>4.0</v>
      </c>
      <c r="AH97" s="50">
        <v>4.0</v>
      </c>
      <c r="AI97" s="116"/>
      <c r="AJ97" s="116"/>
      <c r="AK97" s="116"/>
      <c r="AL97" s="116"/>
      <c r="AM97" s="116"/>
      <c r="AN97" s="116"/>
      <c r="AO97" s="116"/>
      <c r="AP97" s="116"/>
      <c r="AQ97" s="116"/>
      <c r="AR97" s="50" t="s">
        <v>3142</v>
      </c>
      <c r="AS97" s="50">
        <v>0.0</v>
      </c>
      <c r="AT97" s="50" t="s">
        <v>4619</v>
      </c>
      <c r="AU97" s="117">
        <v>3423.0</v>
      </c>
      <c r="AV97" s="50" t="s">
        <v>5190</v>
      </c>
      <c r="AW97" s="50" t="s">
        <v>5191</v>
      </c>
      <c r="AX97" s="117">
        <v>96.0</v>
      </c>
    </row>
    <row r="98">
      <c r="A98" s="50" t="s">
        <v>5192</v>
      </c>
      <c r="B98" s="50" t="s">
        <v>5193</v>
      </c>
      <c r="C98" s="116"/>
      <c r="D98" s="116"/>
      <c r="E98" s="50">
        <v>3.52155090281144E14</v>
      </c>
      <c r="F98" s="50">
        <v>55.0</v>
      </c>
      <c r="G98" s="50">
        <v>12.0</v>
      </c>
      <c r="H98" s="116"/>
      <c r="I98" s="116"/>
      <c r="J98" s="116"/>
      <c r="K98" s="116"/>
      <c r="L98" s="50" t="s">
        <v>872</v>
      </c>
      <c r="M98" s="50" t="s">
        <v>872</v>
      </c>
      <c r="N98" s="50">
        <v>4.0</v>
      </c>
      <c r="O98" s="50" t="s">
        <v>5194</v>
      </c>
      <c r="P98" s="116"/>
      <c r="Q98" s="50" t="s">
        <v>5195</v>
      </c>
      <c r="R98" s="50">
        <v>22.5635342</v>
      </c>
      <c r="S98" s="50">
        <v>88.3771127</v>
      </c>
      <c r="T98" s="50">
        <v>-45.7999992370605</v>
      </c>
      <c r="U98" s="50">
        <v>5.0</v>
      </c>
      <c r="V98" s="50">
        <v>2.0</v>
      </c>
      <c r="W98" s="50">
        <v>0.0</v>
      </c>
      <c r="X98" s="50">
        <v>1.0</v>
      </c>
      <c r="Y98" s="116"/>
      <c r="Z98" s="116"/>
      <c r="AA98" s="116"/>
      <c r="AB98" s="116"/>
      <c r="AC98" s="116"/>
      <c r="AD98" s="116"/>
      <c r="AE98" s="50">
        <v>1.0</v>
      </c>
      <c r="AF98" s="50">
        <v>1.0</v>
      </c>
      <c r="AG98" s="50">
        <v>4.0</v>
      </c>
      <c r="AH98" s="50">
        <v>4.0</v>
      </c>
      <c r="AI98" s="116"/>
      <c r="AJ98" s="116"/>
      <c r="AK98" s="116"/>
      <c r="AL98" s="116"/>
      <c r="AM98" s="116"/>
      <c r="AN98" s="116"/>
      <c r="AO98" s="116"/>
      <c r="AP98" s="116"/>
      <c r="AQ98" s="50" t="s">
        <v>5128</v>
      </c>
      <c r="AR98" s="50" t="s">
        <v>2472</v>
      </c>
      <c r="AS98" s="50">
        <v>0.0</v>
      </c>
      <c r="AT98" s="50" t="s">
        <v>4619</v>
      </c>
      <c r="AU98" s="117">
        <v>3424.0</v>
      </c>
      <c r="AV98" s="50" t="s">
        <v>5196</v>
      </c>
      <c r="AW98" s="50" t="s">
        <v>5197</v>
      </c>
      <c r="AX98" s="117">
        <v>97.0</v>
      </c>
    </row>
    <row r="99">
      <c r="A99" s="50" t="s">
        <v>5199</v>
      </c>
      <c r="B99" s="50" t="s">
        <v>5200</v>
      </c>
      <c r="C99" s="116"/>
      <c r="D99" s="116"/>
      <c r="E99" s="50">
        <v>3.52155090281144E14</v>
      </c>
      <c r="F99" s="50">
        <v>65.0</v>
      </c>
      <c r="G99" s="50">
        <v>12.0</v>
      </c>
      <c r="H99" s="116"/>
      <c r="I99" s="116"/>
      <c r="J99" s="116"/>
      <c r="K99" s="116"/>
      <c r="L99" s="50" t="s">
        <v>875</v>
      </c>
      <c r="M99" s="50" t="s">
        <v>875</v>
      </c>
      <c r="N99" s="50">
        <v>8.0</v>
      </c>
      <c r="O99" s="50" t="s">
        <v>5201</v>
      </c>
      <c r="P99" s="116"/>
      <c r="Q99" s="50" t="s">
        <v>5202</v>
      </c>
      <c r="R99" s="50">
        <v>22.536146</v>
      </c>
      <c r="S99" s="50">
        <v>88.3745556</v>
      </c>
      <c r="T99" s="50">
        <v>-74.3000030517578</v>
      </c>
      <c r="U99" s="50">
        <v>5.0</v>
      </c>
      <c r="V99" s="50">
        <v>2.0</v>
      </c>
      <c r="W99" s="50">
        <v>0.0</v>
      </c>
      <c r="X99" s="50">
        <v>1.0</v>
      </c>
      <c r="Y99" s="116"/>
      <c r="Z99" s="116"/>
      <c r="AA99" s="116"/>
      <c r="AB99" s="116"/>
      <c r="AC99" s="116"/>
      <c r="AD99" s="116"/>
      <c r="AE99" s="50">
        <v>1.0</v>
      </c>
      <c r="AF99" s="50">
        <v>1.0</v>
      </c>
      <c r="AG99" s="50">
        <v>4.0</v>
      </c>
      <c r="AH99" s="50">
        <v>4.0</v>
      </c>
      <c r="AI99" s="116"/>
      <c r="AJ99" s="116"/>
      <c r="AK99" s="116"/>
      <c r="AL99" s="116"/>
      <c r="AM99" s="116"/>
      <c r="AN99" s="116"/>
      <c r="AO99" s="116"/>
      <c r="AP99" s="116"/>
      <c r="AQ99" s="116"/>
      <c r="AR99" s="50" t="s">
        <v>2302</v>
      </c>
      <c r="AS99" s="50">
        <v>0.0</v>
      </c>
      <c r="AT99" s="50" t="s">
        <v>4619</v>
      </c>
      <c r="AU99" s="117">
        <v>3425.0</v>
      </c>
      <c r="AV99" s="50" t="s">
        <v>5203</v>
      </c>
      <c r="AW99" s="50" t="s">
        <v>5204</v>
      </c>
      <c r="AX99" s="117">
        <v>98.0</v>
      </c>
    </row>
    <row r="100">
      <c r="A100" s="50" t="s">
        <v>5205</v>
      </c>
      <c r="B100" s="50" t="s">
        <v>5206</v>
      </c>
      <c r="C100" s="116"/>
      <c r="D100" s="116"/>
      <c r="E100" s="50">
        <v>3.52155090281144E14</v>
      </c>
      <c r="F100" s="50">
        <v>58.0</v>
      </c>
      <c r="G100" s="50">
        <v>11.0</v>
      </c>
      <c r="H100" s="50">
        <v>4.0</v>
      </c>
      <c r="I100" s="50">
        <v>0.0</v>
      </c>
      <c r="J100" s="116"/>
      <c r="K100" s="116"/>
      <c r="L100" s="50" t="s">
        <v>884</v>
      </c>
      <c r="M100" s="50" t="s">
        <v>884</v>
      </c>
      <c r="N100" s="116"/>
      <c r="O100" s="116"/>
      <c r="P100" s="50" t="s">
        <v>5207</v>
      </c>
      <c r="Q100" s="50" t="s">
        <v>5208</v>
      </c>
      <c r="R100" s="50">
        <v>22.5520273</v>
      </c>
      <c r="S100" s="50">
        <v>88.3992725</v>
      </c>
      <c r="T100" s="50">
        <v>-51.099998474121</v>
      </c>
      <c r="U100" s="50">
        <v>5.0</v>
      </c>
      <c r="V100" s="50">
        <v>1.0</v>
      </c>
      <c r="W100" s="50">
        <v>0.0</v>
      </c>
      <c r="X100" s="50">
        <v>1.0</v>
      </c>
      <c r="Y100" s="116"/>
      <c r="Z100" s="116"/>
      <c r="AA100" s="50">
        <v>2.0</v>
      </c>
      <c r="AB100" s="50">
        <v>4.0</v>
      </c>
      <c r="AC100" s="116"/>
      <c r="AD100" s="116"/>
      <c r="AE100" s="116"/>
      <c r="AF100" s="116"/>
      <c r="AG100" s="116"/>
      <c r="AH100" s="116"/>
      <c r="AI100" s="116"/>
      <c r="AJ100" s="116"/>
      <c r="AK100" s="116"/>
      <c r="AL100" s="116"/>
      <c r="AM100" s="116"/>
      <c r="AN100" s="116"/>
      <c r="AO100" s="116"/>
      <c r="AP100" s="116"/>
      <c r="AQ100" s="50" t="s">
        <v>5210</v>
      </c>
      <c r="AR100" s="50" t="s">
        <v>2302</v>
      </c>
      <c r="AS100" s="50">
        <v>1.0</v>
      </c>
      <c r="AT100" s="50" t="s">
        <v>4619</v>
      </c>
      <c r="AU100" s="117">
        <v>3442.0</v>
      </c>
      <c r="AV100" s="50" t="s">
        <v>5211</v>
      </c>
      <c r="AW100" s="50" t="s">
        <v>5212</v>
      </c>
      <c r="AX100" s="117">
        <v>99.0</v>
      </c>
    </row>
    <row r="101">
      <c r="A101" s="50" t="s">
        <v>5213</v>
      </c>
      <c r="B101" s="50" t="s">
        <v>5214</v>
      </c>
      <c r="C101" s="116"/>
      <c r="D101" s="116"/>
      <c r="E101" s="50">
        <v>3.52155090281144E14</v>
      </c>
      <c r="F101" s="50">
        <v>57.0</v>
      </c>
      <c r="G101" s="50">
        <v>12.0</v>
      </c>
      <c r="H101" s="116"/>
      <c r="I101" s="116"/>
      <c r="J101" s="116"/>
      <c r="K101" s="116"/>
      <c r="L101" s="50" t="s">
        <v>889</v>
      </c>
      <c r="M101" s="50" t="s">
        <v>889</v>
      </c>
      <c r="N101" s="50">
        <v>2.0</v>
      </c>
      <c r="O101" s="50" t="s">
        <v>5215</v>
      </c>
      <c r="P101" s="116"/>
      <c r="Q101" s="50" t="s">
        <v>5216</v>
      </c>
      <c r="R101" s="50">
        <v>22.554189</v>
      </c>
      <c r="S101" s="50">
        <v>88.3967372</v>
      </c>
      <c r="T101" s="50">
        <v>-46.2999992370605</v>
      </c>
      <c r="U101" s="50">
        <v>5.0</v>
      </c>
      <c r="V101" s="50">
        <v>1.0</v>
      </c>
      <c r="W101" s="50">
        <v>0.0</v>
      </c>
      <c r="X101" s="50">
        <v>1.0</v>
      </c>
      <c r="Y101" s="116"/>
      <c r="Z101" s="116"/>
      <c r="AA101" s="116"/>
      <c r="AB101" s="116"/>
      <c r="AC101" s="116"/>
      <c r="AD101" s="116"/>
      <c r="AE101" s="50">
        <v>1.0</v>
      </c>
      <c r="AF101" s="50">
        <v>2.0</v>
      </c>
      <c r="AG101" s="50">
        <v>3.0</v>
      </c>
      <c r="AH101" s="50">
        <v>4.0</v>
      </c>
      <c r="AI101" s="116"/>
      <c r="AJ101" s="116"/>
      <c r="AK101" s="116"/>
      <c r="AL101" s="116"/>
      <c r="AM101" s="116"/>
      <c r="AN101" s="116"/>
      <c r="AO101" s="116"/>
      <c r="AP101" s="116"/>
      <c r="AQ101" s="116"/>
      <c r="AR101" s="50" t="s">
        <v>2302</v>
      </c>
      <c r="AS101" s="50">
        <v>0.0</v>
      </c>
      <c r="AT101" s="50" t="s">
        <v>4619</v>
      </c>
      <c r="AU101" s="117">
        <v>3470.0</v>
      </c>
      <c r="AV101" s="50" t="s">
        <v>5217</v>
      </c>
      <c r="AW101" s="50" t="s">
        <v>5218</v>
      </c>
      <c r="AX101" s="117">
        <v>100.0</v>
      </c>
    </row>
    <row r="102">
      <c r="A102" s="50" t="s">
        <v>5219</v>
      </c>
      <c r="B102" s="50" t="s">
        <v>5220</v>
      </c>
      <c r="C102" s="116"/>
      <c r="D102" s="116"/>
      <c r="E102" s="50">
        <v>3.52155090281144E14</v>
      </c>
      <c r="F102" s="50">
        <v>57.0</v>
      </c>
      <c r="G102" s="50">
        <v>12.0</v>
      </c>
      <c r="H102" s="116"/>
      <c r="I102" s="116"/>
      <c r="J102" s="116"/>
      <c r="K102" s="116"/>
      <c r="L102" s="50" t="s">
        <v>892</v>
      </c>
      <c r="M102" s="50" t="s">
        <v>892</v>
      </c>
      <c r="N102" s="50">
        <v>1.0</v>
      </c>
      <c r="O102" s="50" t="s">
        <v>5222</v>
      </c>
      <c r="P102" s="116"/>
      <c r="Q102" s="50" t="s">
        <v>5223</v>
      </c>
      <c r="R102" s="50">
        <v>22.5578927</v>
      </c>
      <c r="S102" s="50">
        <v>88.4110411</v>
      </c>
      <c r="T102" s="50">
        <v>-20.3999996185302</v>
      </c>
      <c r="U102" s="50">
        <v>5.0</v>
      </c>
      <c r="V102" s="50">
        <v>1.0</v>
      </c>
      <c r="W102" s="50">
        <v>0.0</v>
      </c>
      <c r="X102" s="50">
        <v>1.0</v>
      </c>
      <c r="Y102" s="116"/>
      <c r="Z102" s="116"/>
      <c r="AA102" s="116"/>
      <c r="AB102" s="116"/>
      <c r="AC102" s="116"/>
      <c r="AD102" s="116"/>
      <c r="AE102" s="50">
        <v>1.0</v>
      </c>
      <c r="AF102" s="50">
        <v>1.0</v>
      </c>
      <c r="AG102" s="50">
        <v>4.0</v>
      </c>
      <c r="AH102" s="50">
        <v>4.0</v>
      </c>
      <c r="AI102" s="116"/>
      <c r="AJ102" s="116"/>
      <c r="AK102" s="116"/>
      <c r="AL102" s="116"/>
      <c r="AM102" s="116"/>
      <c r="AN102" s="116"/>
      <c r="AO102" s="116"/>
      <c r="AP102" s="116"/>
      <c r="AQ102" s="116"/>
      <c r="AR102" s="50" t="s">
        <v>2327</v>
      </c>
      <c r="AS102" s="50">
        <v>0.0</v>
      </c>
      <c r="AT102" s="50" t="s">
        <v>4619</v>
      </c>
      <c r="AU102" s="117">
        <v>3471.0</v>
      </c>
      <c r="AV102" s="50" t="s">
        <v>5224</v>
      </c>
      <c r="AW102" s="50" t="s">
        <v>5225</v>
      </c>
      <c r="AX102" s="117">
        <v>101.0</v>
      </c>
    </row>
    <row r="103">
      <c r="A103" s="50" t="s">
        <v>5226</v>
      </c>
      <c r="B103" s="50" t="s">
        <v>5227</v>
      </c>
      <c r="C103" s="116"/>
      <c r="D103" s="116"/>
      <c r="E103" s="50">
        <v>3.52155090281144E14</v>
      </c>
      <c r="F103" s="50">
        <v>57.0</v>
      </c>
      <c r="G103" s="50">
        <v>99.0</v>
      </c>
      <c r="H103" s="116"/>
      <c r="I103" s="116"/>
      <c r="J103" s="116"/>
      <c r="K103" s="116"/>
      <c r="L103" s="50" t="s">
        <v>898</v>
      </c>
      <c r="M103" s="50" t="s">
        <v>898</v>
      </c>
      <c r="N103" s="116"/>
      <c r="O103" s="116"/>
      <c r="P103" s="116"/>
      <c r="Q103" s="116"/>
      <c r="R103" s="116"/>
      <c r="S103" s="116"/>
      <c r="T103" s="116"/>
      <c r="U103" s="116"/>
      <c r="V103" s="116"/>
      <c r="W103" s="116"/>
      <c r="X103" s="116"/>
      <c r="Y103" s="116"/>
      <c r="Z103" s="116"/>
      <c r="AA103" s="116"/>
      <c r="AB103" s="116"/>
      <c r="AC103" s="116"/>
      <c r="AD103" s="116"/>
      <c r="AE103" s="116"/>
      <c r="AF103" s="116"/>
      <c r="AG103" s="116"/>
      <c r="AH103" s="116"/>
      <c r="AI103" s="116"/>
      <c r="AJ103" s="116"/>
      <c r="AK103" s="116"/>
      <c r="AL103" s="116"/>
      <c r="AM103" s="116"/>
      <c r="AN103" s="116"/>
      <c r="AO103" s="116"/>
      <c r="AP103" s="116"/>
      <c r="AQ103" s="116"/>
      <c r="AR103" s="50" t="s">
        <v>2302</v>
      </c>
      <c r="AS103" s="116"/>
      <c r="AT103" s="50" t="s">
        <v>4619</v>
      </c>
      <c r="AU103" s="117">
        <v>3472.0</v>
      </c>
      <c r="AV103" s="50" t="s">
        <v>5229</v>
      </c>
      <c r="AW103" s="50" t="s">
        <v>5230</v>
      </c>
      <c r="AX103" s="117">
        <v>102.0</v>
      </c>
    </row>
    <row r="104">
      <c r="A104" s="50" t="s">
        <v>5231</v>
      </c>
      <c r="B104" s="50" t="s">
        <v>5232</v>
      </c>
      <c r="C104" s="116"/>
      <c r="D104" s="116"/>
      <c r="E104" s="50">
        <v>3.52155090281144E14</v>
      </c>
      <c r="F104" s="50">
        <v>66.0</v>
      </c>
      <c r="G104" s="50">
        <v>12.0</v>
      </c>
      <c r="H104" s="116"/>
      <c r="I104" s="116"/>
      <c r="J104" s="116"/>
      <c r="K104" s="116"/>
      <c r="L104" s="50" t="s">
        <v>894</v>
      </c>
      <c r="M104" s="50" t="s">
        <v>894</v>
      </c>
      <c r="N104" s="50">
        <v>5.0</v>
      </c>
      <c r="O104" s="50" t="s">
        <v>5233</v>
      </c>
      <c r="P104" s="116"/>
      <c r="Q104" s="50" t="s">
        <v>5234</v>
      </c>
      <c r="R104" s="50">
        <v>22.5346295</v>
      </c>
      <c r="S104" s="50">
        <v>88.3958381</v>
      </c>
      <c r="T104" s="50">
        <v>-68.5999984741211</v>
      </c>
      <c r="U104" s="50">
        <v>5.0</v>
      </c>
      <c r="V104" s="50">
        <v>1.0</v>
      </c>
      <c r="W104" s="50">
        <v>0.0</v>
      </c>
      <c r="X104" s="50">
        <v>1.0</v>
      </c>
      <c r="Y104" s="116"/>
      <c r="Z104" s="116"/>
      <c r="AA104" s="116"/>
      <c r="AB104" s="116"/>
      <c r="AC104" s="116"/>
      <c r="AD104" s="116"/>
      <c r="AE104" s="50">
        <v>1.0</v>
      </c>
      <c r="AF104" s="50">
        <v>2.0</v>
      </c>
      <c r="AG104" s="50">
        <v>3.0</v>
      </c>
      <c r="AH104" s="50">
        <v>4.0</v>
      </c>
      <c r="AI104" s="116"/>
      <c r="AJ104" s="116"/>
      <c r="AK104" s="116"/>
      <c r="AL104" s="116"/>
      <c r="AM104" s="116"/>
      <c r="AN104" s="116"/>
      <c r="AO104" s="116"/>
      <c r="AP104" s="116"/>
      <c r="AQ104" s="116"/>
      <c r="AR104" s="50" t="s">
        <v>3142</v>
      </c>
      <c r="AS104" s="50">
        <v>0.0</v>
      </c>
      <c r="AT104" s="50" t="s">
        <v>4619</v>
      </c>
      <c r="AU104" s="117">
        <v>3473.0</v>
      </c>
      <c r="AV104" s="50" t="s">
        <v>5236</v>
      </c>
      <c r="AW104" s="50" t="s">
        <v>5237</v>
      </c>
      <c r="AX104" s="117">
        <v>103.0</v>
      </c>
    </row>
    <row r="105">
      <c r="A105" s="50" t="s">
        <v>5238</v>
      </c>
      <c r="B105" s="50" t="s">
        <v>5239</v>
      </c>
      <c r="C105" s="116"/>
      <c r="D105" s="116"/>
      <c r="E105" s="50">
        <v>3.52155090281144E14</v>
      </c>
      <c r="F105" s="50">
        <v>59.0</v>
      </c>
      <c r="G105" s="50">
        <v>12.0</v>
      </c>
      <c r="H105" s="116"/>
      <c r="I105" s="116"/>
      <c r="J105" s="116"/>
      <c r="K105" s="116"/>
      <c r="L105" s="50" t="s">
        <v>897</v>
      </c>
      <c r="M105" s="50" t="s">
        <v>897</v>
      </c>
      <c r="N105" s="50">
        <v>6.0</v>
      </c>
      <c r="O105" s="50" t="s">
        <v>5240</v>
      </c>
      <c r="P105" s="116"/>
      <c r="Q105" s="50" t="s">
        <v>5241</v>
      </c>
      <c r="R105" s="50">
        <v>22.5400459</v>
      </c>
      <c r="S105" s="50">
        <v>88.3872868</v>
      </c>
      <c r="T105" s="50">
        <v>-46.7000007629394</v>
      </c>
      <c r="U105" s="50">
        <v>5.0</v>
      </c>
      <c r="V105" s="50">
        <v>1.0</v>
      </c>
      <c r="W105" s="50">
        <v>0.0</v>
      </c>
      <c r="X105" s="50">
        <v>1.0</v>
      </c>
      <c r="Y105" s="116"/>
      <c r="Z105" s="116"/>
      <c r="AA105" s="116"/>
      <c r="AB105" s="116"/>
      <c r="AC105" s="116"/>
      <c r="AD105" s="116"/>
      <c r="AE105" s="50">
        <v>1.0</v>
      </c>
      <c r="AF105" s="50">
        <v>2.0</v>
      </c>
      <c r="AG105" s="50">
        <v>4.0</v>
      </c>
      <c r="AH105" s="50">
        <v>4.0</v>
      </c>
      <c r="AI105" s="116"/>
      <c r="AJ105" s="116"/>
      <c r="AK105" s="116"/>
      <c r="AL105" s="116"/>
      <c r="AM105" s="116"/>
      <c r="AN105" s="116"/>
      <c r="AO105" s="116"/>
      <c r="AP105" s="116"/>
      <c r="AQ105" s="116"/>
      <c r="AR105" s="50" t="s">
        <v>2278</v>
      </c>
      <c r="AS105" s="50">
        <v>0.0</v>
      </c>
      <c r="AT105" s="50" t="s">
        <v>4619</v>
      </c>
      <c r="AU105" s="117">
        <v>3474.0</v>
      </c>
      <c r="AV105" s="50" t="s">
        <v>5243</v>
      </c>
      <c r="AW105" s="50" t="s">
        <v>5244</v>
      </c>
      <c r="AX105" s="117">
        <v>104.0</v>
      </c>
    </row>
    <row r="106">
      <c r="A106" s="50" t="s">
        <v>5245</v>
      </c>
      <c r="B106" s="50" t="s">
        <v>5246</v>
      </c>
      <c r="C106" s="116"/>
      <c r="D106" s="116"/>
      <c r="E106" s="50">
        <v>3.52155090281144E14</v>
      </c>
      <c r="F106" s="50">
        <v>59.0</v>
      </c>
      <c r="G106" s="50">
        <v>11.0</v>
      </c>
      <c r="H106" s="50">
        <v>4.0</v>
      </c>
      <c r="I106" s="50">
        <v>0.0</v>
      </c>
      <c r="J106" s="116"/>
      <c r="K106" s="116"/>
      <c r="L106" s="50" t="s">
        <v>907</v>
      </c>
      <c r="M106" s="50" t="s">
        <v>907</v>
      </c>
      <c r="N106" s="116"/>
      <c r="O106" s="116"/>
      <c r="P106" s="50" t="s">
        <v>5247</v>
      </c>
      <c r="Q106" s="50" t="s">
        <v>5248</v>
      </c>
      <c r="R106" s="50">
        <v>22.5449612</v>
      </c>
      <c r="S106" s="50">
        <v>88.3823034</v>
      </c>
      <c r="T106" s="50">
        <v>-53.4000015258789</v>
      </c>
      <c r="U106" s="50">
        <v>5.0</v>
      </c>
      <c r="V106" s="50">
        <v>1.0</v>
      </c>
      <c r="W106" s="50">
        <v>1.0</v>
      </c>
      <c r="X106" s="116"/>
      <c r="Y106" s="116"/>
      <c r="Z106" s="116"/>
      <c r="AA106" s="50">
        <v>2.0</v>
      </c>
      <c r="AB106" s="50">
        <v>4.0</v>
      </c>
      <c r="AC106" s="116"/>
      <c r="AD106" s="116"/>
      <c r="AE106" s="116"/>
      <c r="AF106" s="116"/>
      <c r="AG106" s="116"/>
      <c r="AH106" s="116"/>
      <c r="AI106" s="116"/>
      <c r="AJ106" s="116"/>
      <c r="AK106" s="116"/>
      <c r="AL106" s="116"/>
      <c r="AM106" s="116"/>
      <c r="AN106" s="116"/>
      <c r="AO106" s="116"/>
      <c r="AP106" s="116"/>
      <c r="AQ106" s="50" t="s">
        <v>5249</v>
      </c>
      <c r="AR106" s="50" t="s">
        <v>2278</v>
      </c>
      <c r="AS106" s="50">
        <v>1.0</v>
      </c>
      <c r="AT106" s="50" t="s">
        <v>4619</v>
      </c>
      <c r="AU106" s="117">
        <v>3478.0</v>
      </c>
      <c r="AV106" s="50" t="s">
        <v>5250</v>
      </c>
      <c r="AW106" s="50" t="s">
        <v>5251</v>
      </c>
      <c r="AX106" s="117">
        <v>105.0</v>
      </c>
    </row>
    <row r="107">
      <c r="A107" s="50" t="s">
        <v>5252</v>
      </c>
      <c r="B107" s="50" t="s">
        <v>5253</v>
      </c>
      <c r="C107" s="116"/>
      <c r="D107" s="116"/>
      <c r="E107" s="50">
        <v>3.52155090281144E14</v>
      </c>
      <c r="F107" s="50">
        <v>59.0</v>
      </c>
      <c r="G107" s="50">
        <v>99.0</v>
      </c>
      <c r="H107" s="116"/>
      <c r="I107" s="116"/>
      <c r="J107" s="116"/>
      <c r="K107" s="116"/>
      <c r="L107" s="50" t="s">
        <v>910</v>
      </c>
      <c r="M107" s="50" t="s">
        <v>910</v>
      </c>
      <c r="N107" s="116"/>
      <c r="O107" s="116"/>
      <c r="P107" s="116"/>
      <c r="Q107" s="116"/>
      <c r="R107" s="116"/>
      <c r="S107" s="116"/>
      <c r="T107" s="116"/>
      <c r="U107" s="116"/>
      <c r="V107" s="116"/>
      <c r="W107" s="116"/>
      <c r="X107" s="116"/>
      <c r="Y107" s="116"/>
      <c r="Z107" s="116"/>
      <c r="AA107" s="116"/>
      <c r="AB107" s="116"/>
      <c r="AC107" s="116"/>
      <c r="AD107" s="116"/>
      <c r="AE107" s="116"/>
      <c r="AF107" s="116"/>
      <c r="AG107" s="116"/>
      <c r="AH107" s="116"/>
      <c r="AI107" s="116"/>
      <c r="AJ107" s="116"/>
      <c r="AK107" s="116"/>
      <c r="AL107" s="116"/>
      <c r="AM107" s="116"/>
      <c r="AN107" s="116"/>
      <c r="AO107" s="116"/>
      <c r="AP107" s="116"/>
      <c r="AQ107" s="116"/>
      <c r="AR107" s="50" t="s">
        <v>2302</v>
      </c>
      <c r="AS107" s="116"/>
      <c r="AT107" s="50" t="s">
        <v>4619</v>
      </c>
      <c r="AU107" s="117">
        <v>3479.0</v>
      </c>
      <c r="AV107" s="50" t="s">
        <v>5255</v>
      </c>
      <c r="AW107" s="50" t="s">
        <v>5256</v>
      </c>
      <c r="AX107" s="117">
        <v>106.0</v>
      </c>
    </row>
    <row r="108">
      <c r="A108" s="50" t="s">
        <v>5257</v>
      </c>
      <c r="B108" s="50" t="s">
        <v>5258</v>
      </c>
      <c r="C108" s="116"/>
      <c r="D108" s="116"/>
      <c r="E108" s="50">
        <v>3.52155090281144E14</v>
      </c>
      <c r="F108" s="50">
        <v>57.0</v>
      </c>
      <c r="G108" s="50">
        <v>12.0</v>
      </c>
      <c r="H108" s="116"/>
      <c r="I108" s="116"/>
      <c r="J108" s="116"/>
      <c r="K108" s="116"/>
      <c r="L108" s="50" t="s">
        <v>916</v>
      </c>
      <c r="M108" s="50" t="s">
        <v>916</v>
      </c>
      <c r="N108" s="50">
        <v>3.0</v>
      </c>
      <c r="O108" s="50" t="s">
        <v>5259</v>
      </c>
      <c r="P108" s="116"/>
      <c r="Q108" s="50" t="s">
        <v>5260</v>
      </c>
      <c r="R108" s="50">
        <v>22.5563209</v>
      </c>
      <c r="S108" s="50">
        <v>88.3920956</v>
      </c>
      <c r="T108" s="50">
        <v>-38.0</v>
      </c>
      <c r="U108" s="50">
        <v>5.0</v>
      </c>
      <c r="V108" s="50">
        <v>1.0</v>
      </c>
      <c r="W108" s="50">
        <v>0.0</v>
      </c>
      <c r="X108" s="50">
        <v>1.0</v>
      </c>
      <c r="Y108" s="116"/>
      <c r="Z108" s="116"/>
      <c r="AA108" s="116"/>
      <c r="AB108" s="116"/>
      <c r="AC108" s="116"/>
      <c r="AD108" s="116"/>
      <c r="AE108" s="50">
        <v>1.0</v>
      </c>
      <c r="AF108" s="50">
        <v>2.0</v>
      </c>
      <c r="AG108" s="50">
        <v>3.0</v>
      </c>
      <c r="AH108" s="50">
        <v>4.0</v>
      </c>
      <c r="AI108" s="116"/>
      <c r="AJ108" s="116"/>
      <c r="AK108" s="116"/>
      <c r="AL108" s="116"/>
      <c r="AM108" s="116"/>
      <c r="AN108" s="116"/>
      <c r="AO108" s="116"/>
      <c r="AP108" s="116"/>
      <c r="AQ108" s="50" t="s">
        <v>5128</v>
      </c>
      <c r="AR108" s="50" t="s">
        <v>2302</v>
      </c>
      <c r="AS108" s="50">
        <v>0.0</v>
      </c>
      <c r="AT108" s="50" t="s">
        <v>4619</v>
      </c>
      <c r="AU108" s="117">
        <v>3517.0</v>
      </c>
      <c r="AV108" s="50" t="s">
        <v>5262</v>
      </c>
      <c r="AW108" s="50" t="s">
        <v>5263</v>
      </c>
      <c r="AX108" s="117">
        <v>107.0</v>
      </c>
    </row>
    <row r="109">
      <c r="A109" s="50" t="s">
        <v>5264</v>
      </c>
      <c r="B109" s="50" t="s">
        <v>5265</v>
      </c>
      <c r="C109" s="116"/>
      <c r="D109" s="116"/>
      <c r="E109" s="50">
        <v>3.52155090281144E14</v>
      </c>
      <c r="F109" s="50">
        <v>57.0</v>
      </c>
      <c r="G109" s="50">
        <v>12.0</v>
      </c>
      <c r="H109" s="116"/>
      <c r="I109" s="116"/>
      <c r="J109" s="116"/>
      <c r="K109" s="116"/>
      <c r="L109" s="50" t="s">
        <v>918</v>
      </c>
      <c r="M109" s="50" t="s">
        <v>918</v>
      </c>
      <c r="N109" s="50">
        <v>7.0</v>
      </c>
      <c r="O109" s="50" t="s">
        <v>5266</v>
      </c>
      <c r="P109" s="116"/>
      <c r="Q109" s="50" t="s">
        <v>5267</v>
      </c>
      <c r="R109" s="50">
        <v>22.5579505</v>
      </c>
      <c r="S109" s="50">
        <v>88.389605</v>
      </c>
      <c r="T109" s="50">
        <v>-69.0999984741211</v>
      </c>
      <c r="U109" s="50">
        <v>5.0</v>
      </c>
      <c r="V109" s="50">
        <v>1.0</v>
      </c>
      <c r="W109" s="50">
        <v>0.0</v>
      </c>
      <c r="X109" s="50">
        <v>1.0</v>
      </c>
      <c r="Y109" s="116"/>
      <c r="Z109" s="116"/>
      <c r="AA109" s="116"/>
      <c r="AB109" s="116"/>
      <c r="AC109" s="116"/>
      <c r="AD109" s="116"/>
      <c r="AE109" s="50">
        <v>1.0</v>
      </c>
      <c r="AF109" s="50">
        <v>2.0</v>
      </c>
      <c r="AG109" s="50">
        <v>4.0</v>
      </c>
      <c r="AH109" s="50">
        <v>4.0</v>
      </c>
      <c r="AI109" s="116"/>
      <c r="AJ109" s="116"/>
      <c r="AK109" s="116"/>
      <c r="AL109" s="116"/>
      <c r="AM109" s="116"/>
      <c r="AN109" s="116"/>
      <c r="AO109" s="116"/>
      <c r="AP109" s="116"/>
      <c r="AQ109" s="116"/>
      <c r="AR109" s="50" t="s">
        <v>2318</v>
      </c>
      <c r="AS109" s="50">
        <v>0.0</v>
      </c>
      <c r="AT109" s="50" t="s">
        <v>4619</v>
      </c>
      <c r="AU109" s="117">
        <v>3518.0</v>
      </c>
      <c r="AV109" s="50" t="s">
        <v>5269</v>
      </c>
      <c r="AW109" s="50" t="s">
        <v>5270</v>
      </c>
      <c r="AX109" s="117">
        <v>108.0</v>
      </c>
    </row>
    <row r="110">
      <c r="A110" s="50" t="s">
        <v>5271</v>
      </c>
      <c r="B110" s="50" t="s">
        <v>5272</v>
      </c>
      <c r="C110" s="116"/>
      <c r="D110" s="116"/>
      <c r="E110" s="50">
        <v>3.52155090281144E14</v>
      </c>
      <c r="F110" s="50">
        <v>55.0</v>
      </c>
      <c r="G110" s="50">
        <v>12.0</v>
      </c>
      <c r="H110" s="116"/>
      <c r="I110" s="116"/>
      <c r="J110" s="116"/>
      <c r="K110" s="116"/>
      <c r="L110" s="50" t="s">
        <v>920</v>
      </c>
      <c r="M110" s="50" t="s">
        <v>920</v>
      </c>
      <c r="N110" s="50">
        <v>4.0</v>
      </c>
      <c r="O110" s="50" t="s">
        <v>5273</v>
      </c>
      <c r="P110" s="116"/>
      <c r="Q110" s="50" t="s">
        <v>5274</v>
      </c>
      <c r="R110" s="50">
        <v>22.563536</v>
      </c>
      <c r="S110" s="50">
        <v>88.3771761</v>
      </c>
      <c r="T110" s="50">
        <v>-32.2999992370605</v>
      </c>
      <c r="U110" s="50">
        <v>5.0</v>
      </c>
      <c r="V110" s="50">
        <v>1.0</v>
      </c>
      <c r="W110" s="50">
        <v>0.0</v>
      </c>
      <c r="X110" s="50">
        <v>1.0</v>
      </c>
      <c r="Y110" s="116"/>
      <c r="Z110" s="116"/>
      <c r="AA110" s="116"/>
      <c r="AB110" s="116"/>
      <c r="AC110" s="116"/>
      <c r="AD110" s="116"/>
      <c r="AE110" s="50">
        <v>1.0</v>
      </c>
      <c r="AF110" s="50">
        <v>1.0</v>
      </c>
      <c r="AG110" s="50">
        <v>4.0</v>
      </c>
      <c r="AH110" s="50">
        <v>4.0</v>
      </c>
      <c r="AI110" s="116"/>
      <c r="AJ110" s="116"/>
      <c r="AK110" s="116"/>
      <c r="AL110" s="116"/>
      <c r="AM110" s="116"/>
      <c r="AN110" s="116"/>
      <c r="AO110" s="116"/>
      <c r="AP110" s="116"/>
      <c r="AQ110" s="50" t="s">
        <v>5128</v>
      </c>
      <c r="AR110" s="50" t="s">
        <v>3142</v>
      </c>
      <c r="AS110" s="50">
        <v>0.0</v>
      </c>
      <c r="AT110" s="50" t="s">
        <v>4619</v>
      </c>
      <c r="AU110" s="117">
        <v>3519.0</v>
      </c>
      <c r="AV110" s="50" t="s">
        <v>5275</v>
      </c>
      <c r="AW110" s="50" t="s">
        <v>5276</v>
      </c>
      <c r="AX110" s="117">
        <v>109.0</v>
      </c>
    </row>
    <row r="111">
      <c r="A111" s="50" t="s">
        <v>5277</v>
      </c>
      <c r="B111" s="50" t="s">
        <v>5278</v>
      </c>
      <c r="C111" s="116"/>
      <c r="D111" s="116"/>
      <c r="E111" s="50">
        <v>3.52155090281144E14</v>
      </c>
      <c r="F111" s="50">
        <v>65.0</v>
      </c>
      <c r="G111" s="50">
        <v>12.0</v>
      </c>
      <c r="H111" s="116"/>
      <c r="I111" s="116"/>
      <c r="J111" s="116"/>
      <c r="K111" s="116"/>
      <c r="L111" s="50" t="s">
        <v>921</v>
      </c>
      <c r="M111" s="50" t="s">
        <v>921</v>
      </c>
      <c r="N111" s="50">
        <v>8.0</v>
      </c>
      <c r="O111" s="50" t="s">
        <v>5279</v>
      </c>
      <c r="P111" s="116"/>
      <c r="Q111" s="50" t="s">
        <v>5280</v>
      </c>
      <c r="R111" s="50">
        <v>22.5361817</v>
      </c>
      <c r="S111" s="50">
        <v>88.3746017</v>
      </c>
      <c r="T111" s="50">
        <v>-43.7999992370605</v>
      </c>
      <c r="U111" s="50">
        <v>5.0</v>
      </c>
      <c r="V111" s="50">
        <v>1.0</v>
      </c>
      <c r="W111" s="50">
        <v>0.0</v>
      </c>
      <c r="X111" s="50">
        <v>1.0</v>
      </c>
      <c r="Y111" s="116"/>
      <c r="Z111" s="116"/>
      <c r="AA111" s="116"/>
      <c r="AB111" s="116"/>
      <c r="AC111" s="116"/>
      <c r="AD111" s="116"/>
      <c r="AE111" s="50">
        <v>1.0</v>
      </c>
      <c r="AF111" s="50">
        <v>1.0</v>
      </c>
      <c r="AG111" s="50">
        <v>4.0</v>
      </c>
      <c r="AH111" s="50">
        <v>4.0</v>
      </c>
      <c r="AI111" s="116"/>
      <c r="AJ111" s="116"/>
      <c r="AK111" s="116"/>
      <c r="AL111" s="116"/>
      <c r="AM111" s="116"/>
      <c r="AN111" s="116"/>
      <c r="AO111" s="116"/>
      <c r="AP111" s="116"/>
      <c r="AQ111" s="116"/>
      <c r="AR111" s="50" t="s">
        <v>2318</v>
      </c>
      <c r="AS111" s="50">
        <v>0.0</v>
      </c>
      <c r="AT111" s="50" t="s">
        <v>4619</v>
      </c>
      <c r="AU111" s="117">
        <v>3520.0</v>
      </c>
      <c r="AV111" s="50" t="s">
        <v>5281</v>
      </c>
      <c r="AW111" s="50" t="s">
        <v>5282</v>
      </c>
      <c r="AX111" s="117">
        <v>110.0</v>
      </c>
    </row>
    <row r="112">
      <c r="A112" s="50" t="s">
        <v>5283</v>
      </c>
      <c r="B112" s="50" t="s">
        <v>5284</v>
      </c>
      <c r="C112" s="116"/>
      <c r="D112" s="116"/>
      <c r="E112" s="50">
        <v>3.52155090281144E14</v>
      </c>
      <c r="F112" s="50">
        <v>58.0</v>
      </c>
      <c r="G112" s="50">
        <v>11.0</v>
      </c>
      <c r="H112" s="50">
        <v>4.0</v>
      </c>
      <c r="I112" s="50">
        <v>0.0</v>
      </c>
      <c r="J112" s="116"/>
      <c r="K112" s="116"/>
      <c r="L112" s="50" t="s">
        <v>924</v>
      </c>
      <c r="M112" s="50" t="s">
        <v>924</v>
      </c>
      <c r="N112" s="116"/>
      <c r="O112" s="116"/>
      <c r="P112" s="50" t="s">
        <v>5285</v>
      </c>
      <c r="Q112" s="50" t="s">
        <v>5286</v>
      </c>
      <c r="R112" s="50">
        <v>22.5532739</v>
      </c>
      <c r="S112" s="50">
        <v>88.3977935</v>
      </c>
      <c r="T112" s="50">
        <v>-7.30000019073486</v>
      </c>
      <c r="U112" s="50">
        <v>5.0</v>
      </c>
      <c r="V112" s="50">
        <v>1.0</v>
      </c>
      <c r="W112" s="50">
        <v>0.0</v>
      </c>
      <c r="X112" s="50">
        <v>1.0</v>
      </c>
      <c r="Y112" s="116"/>
      <c r="Z112" s="116"/>
      <c r="AA112" s="50">
        <v>2.0</v>
      </c>
      <c r="AB112" s="50">
        <v>4.0</v>
      </c>
      <c r="AC112" s="116"/>
      <c r="AD112" s="116"/>
      <c r="AE112" s="116"/>
      <c r="AF112" s="116"/>
      <c r="AG112" s="116"/>
      <c r="AH112" s="116"/>
      <c r="AI112" s="116"/>
      <c r="AJ112" s="116"/>
      <c r="AK112" s="116"/>
      <c r="AL112" s="116"/>
      <c r="AM112" s="116"/>
      <c r="AN112" s="116"/>
      <c r="AO112" s="116"/>
      <c r="AP112" s="116"/>
      <c r="AQ112" s="50" t="s">
        <v>5287</v>
      </c>
      <c r="AR112" s="50" t="s">
        <v>2472</v>
      </c>
      <c r="AS112" s="50">
        <v>1.0</v>
      </c>
      <c r="AT112" s="50" t="s">
        <v>4619</v>
      </c>
      <c r="AU112" s="117">
        <v>3566.0</v>
      </c>
      <c r="AV112" s="50" t="s">
        <v>5288</v>
      </c>
      <c r="AW112" s="50" t="s">
        <v>5289</v>
      </c>
      <c r="AX112" s="117">
        <v>111.0</v>
      </c>
    </row>
    <row r="113">
      <c r="A113" s="50" t="s">
        <v>5290</v>
      </c>
      <c r="B113" s="50" t="s">
        <v>5291</v>
      </c>
      <c r="C113" s="116"/>
      <c r="D113" s="116"/>
      <c r="E113" s="50">
        <v>3.52155090281144E14</v>
      </c>
      <c r="F113" s="50">
        <v>57.0</v>
      </c>
      <c r="G113" s="50">
        <v>12.0</v>
      </c>
      <c r="H113" s="116"/>
      <c r="I113" s="116"/>
      <c r="J113" s="116"/>
      <c r="K113" s="116"/>
      <c r="L113" s="50" t="s">
        <v>929</v>
      </c>
      <c r="M113" s="50" t="s">
        <v>929</v>
      </c>
      <c r="N113" s="50">
        <v>2.0</v>
      </c>
      <c r="O113" s="50" t="s">
        <v>5292</v>
      </c>
      <c r="P113" s="116"/>
      <c r="Q113" s="50" t="s">
        <v>5293</v>
      </c>
      <c r="R113" s="50">
        <v>22.5541423</v>
      </c>
      <c r="S113" s="50">
        <v>88.3967662</v>
      </c>
      <c r="T113" s="50">
        <v>-42.0</v>
      </c>
      <c r="U113" s="50">
        <v>5.0</v>
      </c>
      <c r="V113" s="50">
        <v>1.0</v>
      </c>
      <c r="W113" s="50">
        <v>0.0</v>
      </c>
      <c r="X113" s="50">
        <v>1.0</v>
      </c>
      <c r="Y113" s="116"/>
      <c r="Z113" s="116"/>
      <c r="AA113" s="116"/>
      <c r="AB113" s="116"/>
      <c r="AC113" s="116"/>
      <c r="AD113" s="116"/>
      <c r="AE113" s="50">
        <v>1.0</v>
      </c>
      <c r="AF113" s="50">
        <v>2.0</v>
      </c>
      <c r="AG113" s="50">
        <v>3.0</v>
      </c>
      <c r="AH113" s="50">
        <v>4.0</v>
      </c>
      <c r="AI113" s="116"/>
      <c r="AJ113" s="116"/>
      <c r="AK113" s="116"/>
      <c r="AL113" s="116"/>
      <c r="AM113" s="116"/>
      <c r="AN113" s="116"/>
      <c r="AO113" s="116"/>
      <c r="AP113" s="116"/>
      <c r="AQ113" s="116"/>
      <c r="AR113" s="50" t="s">
        <v>2302</v>
      </c>
      <c r="AS113" s="50">
        <v>0.0</v>
      </c>
      <c r="AT113" s="50" t="s">
        <v>4619</v>
      </c>
      <c r="AU113" s="117">
        <v>3577.0</v>
      </c>
      <c r="AV113" s="50" t="s">
        <v>5294</v>
      </c>
      <c r="AW113" s="50" t="s">
        <v>5295</v>
      </c>
      <c r="AX113" s="117">
        <v>112.0</v>
      </c>
    </row>
    <row r="114">
      <c r="A114" s="50" t="s">
        <v>5296</v>
      </c>
      <c r="B114" s="50" t="s">
        <v>5297</v>
      </c>
      <c r="C114" s="116"/>
      <c r="D114" s="116"/>
      <c r="E114" s="50">
        <v>3.52155090281144E14</v>
      </c>
      <c r="F114" s="50">
        <v>57.0</v>
      </c>
      <c r="G114" s="50">
        <v>12.0</v>
      </c>
      <c r="H114" s="116"/>
      <c r="I114" s="116"/>
      <c r="J114" s="116"/>
      <c r="K114" s="116"/>
      <c r="L114" s="50" t="s">
        <v>931</v>
      </c>
      <c r="M114" s="50" t="s">
        <v>931</v>
      </c>
      <c r="N114" s="50">
        <v>1.0</v>
      </c>
      <c r="O114" s="50" t="s">
        <v>5298</v>
      </c>
      <c r="P114" s="116"/>
      <c r="Q114" s="50" t="s">
        <v>5299</v>
      </c>
      <c r="R114" s="50">
        <v>22.5578923</v>
      </c>
      <c r="S114" s="50">
        <v>88.4108167</v>
      </c>
      <c r="T114" s="50">
        <v>-55.599998474121</v>
      </c>
      <c r="U114" s="50">
        <v>5.0</v>
      </c>
      <c r="V114" s="50">
        <v>1.0</v>
      </c>
      <c r="W114" s="50">
        <v>0.0</v>
      </c>
      <c r="X114" s="50">
        <v>1.0</v>
      </c>
      <c r="Y114" s="116"/>
      <c r="Z114" s="116"/>
      <c r="AA114" s="116"/>
      <c r="AB114" s="116"/>
      <c r="AC114" s="116"/>
      <c r="AD114" s="116"/>
      <c r="AE114" s="50">
        <v>1.0</v>
      </c>
      <c r="AF114" s="50">
        <v>2.0</v>
      </c>
      <c r="AG114" s="50">
        <v>4.0</v>
      </c>
      <c r="AH114" s="50">
        <v>4.0</v>
      </c>
      <c r="AI114" s="116"/>
      <c r="AJ114" s="116"/>
      <c r="AK114" s="116"/>
      <c r="AL114" s="116"/>
      <c r="AM114" s="116"/>
      <c r="AN114" s="116"/>
      <c r="AO114" s="116"/>
      <c r="AP114" s="116"/>
      <c r="AQ114" s="116"/>
      <c r="AR114" s="50" t="s">
        <v>2318</v>
      </c>
      <c r="AS114" s="50">
        <v>0.0</v>
      </c>
      <c r="AT114" s="50" t="s">
        <v>4619</v>
      </c>
      <c r="AU114" s="117">
        <v>3578.0</v>
      </c>
      <c r="AV114" s="50" t="s">
        <v>5300</v>
      </c>
      <c r="AW114" s="50" t="s">
        <v>5301</v>
      </c>
      <c r="AX114" s="117">
        <v>113.0</v>
      </c>
    </row>
    <row r="115">
      <c r="A115" s="50" t="s">
        <v>5302</v>
      </c>
      <c r="B115" s="50" t="s">
        <v>5303</v>
      </c>
      <c r="C115" s="116"/>
      <c r="D115" s="116"/>
      <c r="E115" s="50">
        <v>3.52155090281144E14</v>
      </c>
      <c r="F115" s="50">
        <v>66.0</v>
      </c>
      <c r="G115" s="50">
        <v>12.0</v>
      </c>
      <c r="H115" s="116"/>
      <c r="I115" s="116"/>
      <c r="J115" s="116"/>
      <c r="K115" s="116"/>
      <c r="L115" s="50" t="s">
        <v>934</v>
      </c>
      <c r="M115" s="50" t="s">
        <v>934</v>
      </c>
      <c r="N115" s="50">
        <v>5.0</v>
      </c>
      <c r="O115" s="50" t="s">
        <v>5304</v>
      </c>
      <c r="P115" s="116"/>
      <c r="Q115" s="50" t="s">
        <v>5305</v>
      </c>
      <c r="R115" s="50">
        <v>22.5343778</v>
      </c>
      <c r="S115" s="50">
        <v>88.3959301</v>
      </c>
      <c r="T115" s="50">
        <v>7.19999980926513</v>
      </c>
      <c r="U115" s="50">
        <v>5.0</v>
      </c>
      <c r="V115" s="50">
        <v>1.0</v>
      </c>
      <c r="W115" s="50">
        <v>0.0</v>
      </c>
      <c r="X115" s="50">
        <v>1.0</v>
      </c>
      <c r="Y115" s="116"/>
      <c r="Z115" s="116"/>
      <c r="AA115" s="116"/>
      <c r="AB115" s="116"/>
      <c r="AC115" s="116"/>
      <c r="AD115" s="116"/>
      <c r="AE115" s="50">
        <v>1.0</v>
      </c>
      <c r="AF115" s="50">
        <v>1.0</v>
      </c>
      <c r="AG115" s="50">
        <v>3.0</v>
      </c>
      <c r="AH115" s="50">
        <v>4.0</v>
      </c>
      <c r="AI115" s="116"/>
      <c r="AJ115" s="116"/>
      <c r="AK115" s="116"/>
      <c r="AL115" s="116"/>
      <c r="AM115" s="116"/>
      <c r="AN115" s="116"/>
      <c r="AO115" s="116"/>
      <c r="AP115" s="116"/>
      <c r="AQ115" s="50" t="s">
        <v>5306</v>
      </c>
      <c r="AR115" s="50" t="s">
        <v>3142</v>
      </c>
      <c r="AS115" s="50">
        <v>0.0</v>
      </c>
      <c r="AT115" s="50" t="s">
        <v>4619</v>
      </c>
      <c r="AU115" s="117">
        <v>3579.0</v>
      </c>
      <c r="AV115" s="50" t="s">
        <v>5307</v>
      </c>
      <c r="AW115" s="50" t="s">
        <v>5308</v>
      </c>
      <c r="AX115" s="117">
        <v>114.0</v>
      </c>
    </row>
    <row r="116">
      <c r="A116" s="50" t="s">
        <v>5309</v>
      </c>
      <c r="B116" s="50" t="s">
        <v>5310</v>
      </c>
      <c r="C116" s="116"/>
      <c r="D116" s="116"/>
      <c r="E116" s="50">
        <v>3.52155090281144E14</v>
      </c>
      <c r="F116" s="50">
        <v>66.0</v>
      </c>
      <c r="G116" s="50">
        <v>99.0</v>
      </c>
      <c r="H116" s="116"/>
      <c r="I116" s="116"/>
      <c r="J116" s="116"/>
      <c r="K116" s="116"/>
      <c r="L116" s="50" t="s">
        <v>939</v>
      </c>
      <c r="M116" s="50" t="s">
        <v>939</v>
      </c>
      <c r="N116" s="116"/>
      <c r="O116" s="116"/>
      <c r="P116" s="116"/>
      <c r="Q116" s="116"/>
      <c r="R116" s="116"/>
      <c r="S116" s="116"/>
      <c r="T116" s="116"/>
      <c r="U116" s="116"/>
      <c r="V116" s="116"/>
      <c r="W116" s="116"/>
      <c r="X116" s="116"/>
      <c r="Y116" s="116"/>
      <c r="Z116" s="116"/>
      <c r="AA116" s="116"/>
      <c r="AB116" s="116"/>
      <c r="AC116" s="116"/>
      <c r="AD116" s="116"/>
      <c r="AE116" s="116"/>
      <c r="AF116" s="116"/>
      <c r="AG116" s="116"/>
      <c r="AH116" s="116"/>
      <c r="AI116" s="116"/>
      <c r="AJ116" s="116"/>
      <c r="AK116" s="116"/>
      <c r="AL116" s="116"/>
      <c r="AM116" s="116"/>
      <c r="AN116" s="116"/>
      <c r="AO116" s="116"/>
      <c r="AP116" s="116"/>
      <c r="AQ116" s="116"/>
      <c r="AR116" s="50" t="s">
        <v>2278</v>
      </c>
      <c r="AS116" s="116"/>
      <c r="AT116" s="50" t="s">
        <v>4619</v>
      </c>
      <c r="AU116" s="117">
        <v>3580.0</v>
      </c>
      <c r="AV116" s="50" t="s">
        <v>5312</v>
      </c>
      <c r="AW116" s="50" t="s">
        <v>5313</v>
      </c>
      <c r="AX116" s="117">
        <v>115.0</v>
      </c>
    </row>
    <row r="117">
      <c r="A117" s="50" t="s">
        <v>5314</v>
      </c>
      <c r="B117" s="50" t="s">
        <v>5315</v>
      </c>
      <c r="C117" s="116"/>
      <c r="D117" s="116"/>
      <c r="E117" s="50">
        <v>3.52155090281144E14</v>
      </c>
      <c r="F117" s="50">
        <v>59.0</v>
      </c>
      <c r="G117" s="50">
        <v>12.0</v>
      </c>
      <c r="H117" s="116"/>
      <c r="I117" s="116"/>
      <c r="J117" s="116"/>
      <c r="K117" s="116"/>
      <c r="L117" s="50" t="s">
        <v>937</v>
      </c>
      <c r="M117" s="50" t="s">
        <v>937</v>
      </c>
      <c r="N117" s="50">
        <v>6.0</v>
      </c>
      <c r="O117" s="50" t="s">
        <v>5316</v>
      </c>
      <c r="P117" s="116"/>
      <c r="Q117" s="50" t="s">
        <v>5317</v>
      </c>
      <c r="R117" s="50">
        <v>22.54003</v>
      </c>
      <c r="S117" s="50">
        <v>88.3872367</v>
      </c>
      <c r="T117" s="50">
        <v>-44.0</v>
      </c>
      <c r="U117" s="50">
        <v>5.0</v>
      </c>
      <c r="V117" s="50">
        <v>1.0</v>
      </c>
      <c r="W117" s="50">
        <v>0.0</v>
      </c>
      <c r="X117" s="50">
        <v>1.0</v>
      </c>
      <c r="Y117" s="116"/>
      <c r="Z117" s="116"/>
      <c r="AA117" s="116"/>
      <c r="AB117" s="116"/>
      <c r="AC117" s="116"/>
      <c r="AD117" s="116"/>
      <c r="AE117" s="50">
        <v>1.0</v>
      </c>
      <c r="AF117" s="50">
        <v>2.0</v>
      </c>
      <c r="AG117" s="50">
        <v>4.0</v>
      </c>
      <c r="AH117" s="50">
        <v>4.0</v>
      </c>
      <c r="AI117" s="116"/>
      <c r="AJ117" s="116"/>
      <c r="AK117" s="116"/>
      <c r="AL117" s="116"/>
      <c r="AM117" s="116"/>
      <c r="AN117" s="116"/>
      <c r="AO117" s="116"/>
      <c r="AP117" s="116"/>
      <c r="AQ117" s="116"/>
      <c r="AR117" s="50" t="s">
        <v>4697</v>
      </c>
      <c r="AS117" s="50">
        <v>0.0</v>
      </c>
      <c r="AT117" s="50" t="s">
        <v>4619</v>
      </c>
      <c r="AU117" s="117">
        <v>3581.0</v>
      </c>
      <c r="AV117" s="50" t="s">
        <v>5319</v>
      </c>
      <c r="AW117" s="50" t="s">
        <v>5320</v>
      </c>
      <c r="AX117" s="117">
        <v>116.0</v>
      </c>
    </row>
    <row r="118">
      <c r="A118" s="50" t="s">
        <v>5321</v>
      </c>
      <c r="B118" s="50" t="s">
        <v>5322</v>
      </c>
      <c r="C118" s="116"/>
      <c r="D118" s="116"/>
      <c r="E118" s="50">
        <v>3.52155090281144E14</v>
      </c>
      <c r="F118" s="50">
        <v>59.0</v>
      </c>
      <c r="G118" s="50">
        <v>11.0</v>
      </c>
      <c r="H118" s="50">
        <v>4.0</v>
      </c>
      <c r="I118" s="50">
        <v>0.0</v>
      </c>
      <c r="J118" s="116"/>
      <c r="K118" s="116"/>
      <c r="L118" s="50" t="s">
        <v>953</v>
      </c>
      <c r="M118" s="50" t="s">
        <v>953</v>
      </c>
      <c r="N118" s="116"/>
      <c r="O118" s="116"/>
      <c r="P118" s="50" t="s">
        <v>5323</v>
      </c>
      <c r="Q118" s="50" t="s">
        <v>5324</v>
      </c>
      <c r="R118" s="50">
        <v>22.5445657</v>
      </c>
      <c r="S118" s="50">
        <v>88.383093</v>
      </c>
      <c r="T118" s="50">
        <v>-45.4000015258789</v>
      </c>
      <c r="U118" s="50">
        <v>5.0</v>
      </c>
      <c r="V118" s="50">
        <v>1.0</v>
      </c>
      <c r="W118" s="50">
        <v>0.0</v>
      </c>
      <c r="X118" s="50">
        <v>1.0</v>
      </c>
      <c r="Y118" s="116"/>
      <c r="Z118" s="116"/>
      <c r="AA118" s="50">
        <v>2.0</v>
      </c>
      <c r="AB118" s="50">
        <v>4.0</v>
      </c>
      <c r="AC118" s="116"/>
      <c r="AD118" s="116"/>
      <c r="AE118" s="116"/>
      <c r="AF118" s="116"/>
      <c r="AG118" s="116"/>
      <c r="AH118" s="116"/>
      <c r="AI118" s="116"/>
      <c r="AJ118" s="116"/>
      <c r="AK118" s="116"/>
      <c r="AL118" s="116"/>
      <c r="AM118" s="116"/>
      <c r="AN118" s="116"/>
      <c r="AO118" s="116"/>
      <c r="AP118" s="116"/>
      <c r="AQ118" s="50" t="s">
        <v>5325</v>
      </c>
      <c r="AR118" s="50" t="s">
        <v>2302</v>
      </c>
      <c r="AS118" s="50">
        <v>1.0</v>
      </c>
      <c r="AT118" s="50" t="s">
        <v>4619</v>
      </c>
      <c r="AU118" s="117">
        <v>3614.0</v>
      </c>
      <c r="AV118" s="50" t="s">
        <v>5326</v>
      </c>
      <c r="AW118" s="50" t="s">
        <v>5327</v>
      </c>
      <c r="AX118" s="117">
        <v>117.0</v>
      </c>
    </row>
    <row r="119">
      <c r="A119" s="50" t="s">
        <v>5328</v>
      </c>
      <c r="B119" s="50" t="s">
        <v>5329</v>
      </c>
      <c r="C119" s="116"/>
      <c r="D119" s="116"/>
      <c r="E119" s="50">
        <v>3.52155090281144E14</v>
      </c>
      <c r="F119" s="50">
        <v>59.0</v>
      </c>
      <c r="G119" s="50">
        <v>99.0</v>
      </c>
      <c r="H119" s="116"/>
      <c r="I119" s="116"/>
      <c r="J119" s="116"/>
      <c r="K119" s="116"/>
      <c r="L119" s="50" t="s">
        <v>955</v>
      </c>
      <c r="M119" s="50" t="s">
        <v>955</v>
      </c>
      <c r="N119" s="116"/>
      <c r="O119" s="116"/>
      <c r="P119" s="116"/>
      <c r="Q119" s="116"/>
      <c r="R119" s="116"/>
      <c r="S119" s="116"/>
      <c r="T119" s="116"/>
      <c r="U119" s="116"/>
      <c r="V119" s="116"/>
      <c r="W119" s="116"/>
      <c r="X119" s="116"/>
      <c r="Y119" s="116"/>
      <c r="Z119" s="116"/>
      <c r="AA119" s="116"/>
      <c r="AB119" s="116"/>
      <c r="AC119" s="116"/>
      <c r="AD119" s="116"/>
      <c r="AE119" s="116"/>
      <c r="AF119" s="116"/>
      <c r="AG119" s="116"/>
      <c r="AH119" s="116"/>
      <c r="AI119" s="116"/>
      <c r="AJ119" s="116"/>
      <c r="AK119" s="116"/>
      <c r="AL119" s="116"/>
      <c r="AM119" s="116"/>
      <c r="AN119" s="116"/>
      <c r="AO119" s="116"/>
      <c r="AP119" s="116"/>
      <c r="AQ119" s="116"/>
      <c r="AR119" s="50" t="s">
        <v>2278</v>
      </c>
      <c r="AS119" s="116"/>
      <c r="AT119" s="50" t="s">
        <v>4619</v>
      </c>
      <c r="AU119" s="117">
        <v>3615.0</v>
      </c>
      <c r="AV119" s="50" t="s">
        <v>5330</v>
      </c>
      <c r="AW119" s="50" t="s">
        <v>5331</v>
      </c>
      <c r="AX119" s="117">
        <v>118.0</v>
      </c>
    </row>
    <row r="120">
      <c r="A120" s="50" t="s">
        <v>5333</v>
      </c>
      <c r="B120" s="50" t="s">
        <v>5334</v>
      </c>
      <c r="C120" s="116"/>
      <c r="D120" s="116"/>
      <c r="E120" s="50">
        <v>3.52155090281144E14</v>
      </c>
      <c r="F120" s="50">
        <v>57.0</v>
      </c>
      <c r="G120" s="50">
        <v>12.0</v>
      </c>
      <c r="H120" s="116"/>
      <c r="I120" s="116"/>
      <c r="J120" s="116"/>
      <c r="K120" s="116"/>
      <c r="L120" s="50" t="s">
        <v>966</v>
      </c>
      <c r="M120" s="50" t="s">
        <v>966</v>
      </c>
      <c r="N120" s="50">
        <v>3.0</v>
      </c>
      <c r="O120" s="50" t="s">
        <v>5335</v>
      </c>
      <c r="P120" s="116"/>
      <c r="Q120" s="50" t="s">
        <v>5336</v>
      </c>
      <c r="R120" s="50">
        <v>22.5563621</v>
      </c>
      <c r="S120" s="50">
        <v>88.3921377</v>
      </c>
      <c r="T120" s="50">
        <v>-56.2000007629394</v>
      </c>
      <c r="U120" s="50">
        <v>5.0</v>
      </c>
      <c r="V120" s="50">
        <v>1.0</v>
      </c>
      <c r="W120" s="50">
        <v>0.0</v>
      </c>
      <c r="X120" s="50">
        <v>0.0</v>
      </c>
      <c r="Y120" s="50">
        <v>1.0</v>
      </c>
      <c r="Z120" s="116"/>
      <c r="AA120" s="116"/>
      <c r="AB120" s="116"/>
      <c r="AC120" s="116"/>
      <c r="AD120" s="116"/>
      <c r="AE120" s="50">
        <v>1.0</v>
      </c>
      <c r="AF120" s="50">
        <v>1.0</v>
      </c>
      <c r="AG120" s="50">
        <v>3.0</v>
      </c>
      <c r="AH120" s="50">
        <v>4.0</v>
      </c>
      <c r="AI120" s="116"/>
      <c r="AJ120" s="116"/>
      <c r="AK120" s="116"/>
      <c r="AL120" s="116"/>
      <c r="AM120" s="116"/>
      <c r="AN120" s="116"/>
      <c r="AO120" s="116"/>
      <c r="AP120" s="116"/>
      <c r="AQ120" s="116"/>
      <c r="AR120" s="50" t="s">
        <v>2318</v>
      </c>
      <c r="AS120" s="50">
        <v>0.0</v>
      </c>
      <c r="AT120" s="50" t="s">
        <v>4619</v>
      </c>
      <c r="AU120" s="117">
        <v>3628.0</v>
      </c>
      <c r="AV120" s="50" t="s">
        <v>5337</v>
      </c>
      <c r="AW120" s="50" t="s">
        <v>5338</v>
      </c>
      <c r="AX120" s="117">
        <v>119.0</v>
      </c>
    </row>
    <row r="121">
      <c r="A121" s="50" t="s">
        <v>5340</v>
      </c>
      <c r="B121" s="50" t="s">
        <v>5341</v>
      </c>
      <c r="C121" s="116"/>
      <c r="D121" s="116"/>
      <c r="E121" s="50">
        <v>3.52155090281144E14</v>
      </c>
      <c r="F121" s="50">
        <v>57.0</v>
      </c>
      <c r="G121" s="50">
        <v>12.0</v>
      </c>
      <c r="H121" s="116"/>
      <c r="I121" s="116"/>
      <c r="J121" s="116"/>
      <c r="K121" s="116"/>
      <c r="L121" s="50" t="s">
        <v>967</v>
      </c>
      <c r="M121" s="50" t="s">
        <v>967</v>
      </c>
      <c r="N121" s="50">
        <v>7.0</v>
      </c>
      <c r="O121" s="50" t="s">
        <v>5342</v>
      </c>
      <c r="P121" s="116"/>
      <c r="Q121" s="50" t="s">
        <v>5343</v>
      </c>
      <c r="R121" s="50">
        <v>22.5579811</v>
      </c>
      <c r="S121" s="50">
        <v>88.3896394</v>
      </c>
      <c r="T121" s="50">
        <v>-42.2000007629394</v>
      </c>
      <c r="U121" s="50">
        <v>5.0</v>
      </c>
      <c r="V121" s="50">
        <v>1.0</v>
      </c>
      <c r="W121" s="50">
        <v>0.0</v>
      </c>
      <c r="X121" s="50">
        <v>0.0</v>
      </c>
      <c r="Y121" s="50">
        <v>1.0</v>
      </c>
      <c r="Z121" s="116"/>
      <c r="AA121" s="116"/>
      <c r="AB121" s="116"/>
      <c r="AC121" s="116"/>
      <c r="AD121" s="116"/>
      <c r="AE121" s="50">
        <v>1.0</v>
      </c>
      <c r="AF121" s="50">
        <v>2.0</v>
      </c>
      <c r="AG121" s="50">
        <v>3.0</v>
      </c>
      <c r="AH121" s="50">
        <v>4.0</v>
      </c>
      <c r="AI121" s="116"/>
      <c r="AJ121" s="116"/>
      <c r="AK121" s="116"/>
      <c r="AL121" s="116"/>
      <c r="AM121" s="116"/>
      <c r="AN121" s="116"/>
      <c r="AO121" s="116"/>
      <c r="AP121" s="116"/>
      <c r="AQ121" s="116"/>
      <c r="AR121" s="50" t="s">
        <v>2472</v>
      </c>
      <c r="AS121" s="50">
        <v>0.0</v>
      </c>
      <c r="AT121" s="50" t="s">
        <v>4619</v>
      </c>
      <c r="AU121" s="117">
        <v>3629.0</v>
      </c>
      <c r="AV121" s="50" t="s">
        <v>5344</v>
      </c>
      <c r="AW121" s="50" t="s">
        <v>5345</v>
      </c>
      <c r="AX121" s="117">
        <v>120.0</v>
      </c>
    </row>
    <row r="122">
      <c r="A122" s="50" t="s">
        <v>5346</v>
      </c>
      <c r="B122" s="50" t="s">
        <v>5347</v>
      </c>
      <c r="C122" s="116"/>
      <c r="D122" s="116"/>
      <c r="E122" s="50">
        <v>3.52155090281144E14</v>
      </c>
      <c r="F122" s="50">
        <v>55.0</v>
      </c>
      <c r="G122" s="50">
        <v>12.0</v>
      </c>
      <c r="H122" s="116"/>
      <c r="I122" s="116"/>
      <c r="J122" s="116"/>
      <c r="K122" s="116"/>
      <c r="L122" s="50" t="s">
        <v>969</v>
      </c>
      <c r="M122" s="50" t="s">
        <v>969</v>
      </c>
      <c r="N122" s="50">
        <v>4.0</v>
      </c>
      <c r="O122" s="50" t="s">
        <v>5348</v>
      </c>
      <c r="P122" s="116"/>
      <c r="Q122" s="50" t="s">
        <v>5349</v>
      </c>
      <c r="R122" s="50">
        <v>22.5636091</v>
      </c>
      <c r="S122" s="50">
        <v>88.3773141</v>
      </c>
      <c r="T122" s="50">
        <v>-33.2999992370605</v>
      </c>
      <c r="U122" s="50">
        <v>5.0</v>
      </c>
      <c r="V122" s="50">
        <v>1.0</v>
      </c>
      <c r="W122" s="50">
        <v>0.0</v>
      </c>
      <c r="X122" s="50">
        <v>0.0</v>
      </c>
      <c r="Y122" s="50">
        <v>1.0</v>
      </c>
      <c r="Z122" s="116"/>
      <c r="AA122" s="116"/>
      <c r="AB122" s="116"/>
      <c r="AC122" s="116"/>
      <c r="AD122" s="116"/>
      <c r="AE122" s="50">
        <v>1.0</v>
      </c>
      <c r="AF122" s="50">
        <v>1.0</v>
      </c>
      <c r="AG122" s="50">
        <v>4.0</v>
      </c>
      <c r="AH122" s="50">
        <v>4.0</v>
      </c>
      <c r="AI122" s="116"/>
      <c r="AJ122" s="116"/>
      <c r="AK122" s="116"/>
      <c r="AL122" s="116"/>
      <c r="AM122" s="116"/>
      <c r="AN122" s="116"/>
      <c r="AO122" s="116"/>
      <c r="AP122" s="116"/>
      <c r="AQ122" s="116"/>
      <c r="AR122" s="50" t="s">
        <v>2318</v>
      </c>
      <c r="AS122" s="50">
        <v>0.0</v>
      </c>
      <c r="AT122" s="50" t="s">
        <v>4619</v>
      </c>
      <c r="AU122" s="117">
        <v>3630.0</v>
      </c>
      <c r="AV122" s="50" t="s">
        <v>5351</v>
      </c>
      <c r="AW122" s="50" t="s">
        <v>5352</v>
      </c>
      <c r="AX122" s="117">
        <v>121.0</v>
      </c>
    </row>
    <row r="123">
      <c r="A123" s="50" t="s">
        <v>5353</v>
      </c>
      <c r="B123" s="50" t="s">
        <v>5354</v>
      </c>
      <c r="C123" s="116"/>
      <c r="D123" s="116"/>
      <c r="E123" s="50">
        <v>3.52155090281144E14</v>
      </c>
      <c r="F123" s="50">
        <v>65.0</v>
      </c>
      <c r="G123" s="50">
        <v>12.0</v>
      </c>
      <c r="H123" s="116"/>
      <c r="I123" s="116"/>
      <c r="J123" s="116"/>
      <c r="K123" s="116"/>
      <c r="L123" s="50" t="s">
        <v>970</v>
      </c>
      <c r="M123" s="50" t="s">
        <v>970</v>
      </c>
      <c r="N123" s="50">
        <v>8.0</v>
      </c>
      <c r="O123" s="50" t="s">
        <v>5355</v>
      </c>
      <c r="P123" s="116"/>
      <c r="Q123" s="50" t="s">
        <v>5356</v>
      </c>
      <c r="R123" s="50">
        <v>22.5361554</v>
      </c>
      <c r="S123" s="50">
        <v>88.3743713</v>
      </c>
      <c r="T123" s="50">
        <v>-75.4000015258789</v>
      </c>
      <c r="U123" s="50">
        <v>5.0</v>
      </c>
      <c r="V123" s="50">
        <v>1.0</v>
      </c>
      <c r="W123" s="50">
        <v>0.0</v>
      </c>
      <c r="X123" s="50">
        <v>0.0</v>
      </c>
      <c r="Y123" s="50">
        <v>1.0</v>
      </c>
      <c r="Z123" s="116"/>
      <c r="AA123" s="116"/>
      <c r="AB123" s="116"/>
      <c r="AC123" s="116"/>
      <c r="AD123" s="116"/>
      <c r="AE123" s="50">
        <v>1.0</v>
      </c>
      <c r="AF123" s="50">
        <v>1.0</v>
      </c>
      <c r="AG123" s="50">
        <v>4.0</v>
      </c>
      <c r="AH123" s="50">
        <v>4.0</v>
      </c>
      <c r="AI123" s="116"/>
      <c r="AJ123" s="116"/>
      <c r="AK123" s="116"/>
      <c r="AL123" s="116"/>
      <c r="AM123" s="116"/>
      <c r="AN123" s="116"/>
      <c r="AO123" s="116"/>
      <c r="AP123" s="116"/>
      <c r="AQ123" s="116"/>
      <c r="AR123" s="50" t="s">
        <v>2472</v>
      </c>
      <c r="AS123" s="50">
        <v>0.0</v>
      </c>
      <c r="AT123" s="50" t="s">
        <v>4619</v>
      </c>
      <c r="AU123" s="117">
        <v>3631.0</v>
      </c>
      <c r="AV123" s="50" t="s">
        <v>5357</v>
      </c>
      <c r="AW123" s="50" t="s">
        <v>5358</v>
      </c>
      <c r="AX123" s="117">
        <v>122.0</v>
      </c>
    </row>
    <row r="124">
      <c r="A124" s="50" t="s">
        <v>5359</v>
      </c>
      <c r="B124" s="50" t="s">
        <v>5360</v>
      </c>
      <c r="C124" s="116"/>
      <c r="D124" s="116"/>
      <c r="E124" s="50">
        <v>3.52155090281144E14</v>
      </c>
      <c r="F124" s="50">
        <v>58.0</v>
      </c>
      <c r="G124" s="50">
        <v>11.0</v>
      </c>
      <c r="H124" s="50">
        <v>4.0</v>
      </c>
      <c r="I124" s="50">
        <v>0.0</v>
      </c>
      <c r="J124" s="116"/>
      <c r="K124" s="116"/>
      <c r="L124" s="50" t="s">
        <v>973</v>
      </c>
      <c r="M124" s="50" t="s">
        <v>973</v>
      </c>
      <c r="N124" s="116"/>
      <c r="O124" s="116"/>
      <c r="P124" s="50" t="s">
        <v>5361</v>
      </c>
      <c r="Q124" s="50" t="s">
        <v>5362</v>
      </c>
      <c r="R124" s="50">
        <v>22.5529652</v>
      </c>
      <c r="S124" s="50">
        <v>88.3984056</v>
      </c>
      <c r="T124" s="50">
        <v>-40.2999992370605</v>
      </c>
      <c r="U124" s="50">
        <v>5.0</v>
      </c>
      <c r="V124" s="50">
        <v>3.0</v>
      </c>
      <c r="W124" s="50">
        <v>1.0</v>
      </c>
      <c r="X124" s="116"/>
      <c r="Y124" s="116"/>
      <c r="Z124" s="116"/>
      <c r="AA124" s="50">
        <v>2.0</v>
      </c>
      <c r="AB124" s="50">
        <v>4.0</v>
      </c>
      <c r="AC124" s="116"/>
      <c r="AD124" s="116"/>
      <c r="AE124" s="116"/>
      <c r="AF124" s="116"/>
      <c r="AG124" s="116"/>
      <c r="AH124" s="116"/>
      <c r="AI124" s="116"/>
      <c r="AJ124" s="116"/>
      <c r="AK124" s="116"/>
      <c r="AL124" s="116"/>
      <c r="AM124" s="116"/>
      <c r="AN124" s="116"/>
      <c r="AO124" s="116"/>
      <c r="AP124" s="116"/>
      <c r="AQ124" s="50" t="s">
        <v>5364</v>
      </c>
      <c r="AR124" s="50" t="s">
        <v>2302</v>
      </c>
      <c r="AS124" s="50">
        <v>1.0</v>
      </c>
      <c r="AT124" s="50" t="s">
        <v>4619</v>
      </c>
      <c r="AU124" s="117">
        <v>3674.0</v>
      </c>
      <c r="AV124" s="50" t="s">
        <v>5365</v>
      </c>
      <c r="AW124" s="50" t="s">
        <v>5366</v>
      </c>
      <c r="AX124" s="117">
        <v>123.0</v>
      </c>
    </row>
    <row r="125">
      <c r="A125" s="50" t="s">
        <v>5367</v>
      </c>
      <c r="B125" s="50" t="s">
        <v>5368</v>
      </c>
      <c r="C125" s="116"/>
      <c r="D125" s="116"/>
      <c r="E125" s="50">
        <v>3.52155090281144E14</v>
      </c>
      <c r="F125" s="50">
        <v>58.0</v>
      </c>
      <c r="G125" s="50">
        <v>99.0</v>
      </c>
      <c r="H125" s="116"/>
      <c r="I125" s="116"/>
      <c r="J125" s="116"/>
      <c r="K125" s="116"/>
      <c r="L125" s="50" t="s">
        <v>975</v>
      </c>
      <c r="M125" s="50" t="s">
        <v>975</v>
      </c>
      <c r="N125" s="116"/>
      <c r="O125" s="116"/>
      <c r="P125" s="116"/>
      <c r="Q125" s="116"/>
      <c r="R125" s="116"/>
      <c r="S125" s="116"/>
      <c r="T125" s="116"/>
      <c r="U125" s="116"/>
      <c r="V125" s="116"/>
      <c r="W125" s="116"/>
      <c r="X125" s="116"/>
      <c r="Y125" s="116"/>
      <c r="Z125" s="116"/>
      <c r="AA125" s="116"/>
      <c r="AB125" s="116"/>
      <c r="AC125" s="116"/>
      <c r="AD125" s="116"/>
      <c r="AE125" s="116"/>
      <c r="AF125" s="116"/>
      <c r="AG125" s="116"/>
      <c r="AH125" s="116"/>
      <c r="AI125" s="116"/>
      <c r="AJ125" s="116"/>
      <c r="AK125" s="116"/>
      <c r="AL125" s="116"/>
      <c r="AM125" s="116"/>
      <c r="AN125" s="116"/>
      <c r="AO125" s="116"/>
      <c r="AP125" s="116"/>
      <c r="AQ125" s="116"/>
      <c r="AR125" s="50" t="s">
        <v>2278</v>
      </c>
      <c r="AS125" s="116"/>
      <c r="AT125" s="50" t="s">
        <v>4619</v>
      </c>
      <c r="AU125" s="117">
        <v>3675.0</v>
      </c>
      <c r="AV125" s="50" t="s">
        <v>5369</v>
      </c>
      <c r="AW125" s="50" t="s">
        <v>5370</v>
      </c>
      <c r="AX125" s="117">
        <v>124.0</v>
      </c>
    </row>
    <row r="126">
      <c r="A126" s="50" t="s">
        <v>5371</v>
      </c>
      <c r="B126" s="50" t="s">
        <v>5372</v>
      </c>
      <c r="C126" s="116"/>
      <c r="D126" s="116"/>
      <c r="E126" s="50">
        <v>3.52155090281144E14</v>
      </c>
      <c r="F126" s="50">
        <v>66.0</v>
      </c>
      <c r="G126" s="50">
        <v>12.0</v>
      </c>
      <c r="H126" s="116"/>
      <c r="I126" s="116"/>
      <c r="J126" s="116"/>
      <c r="K126" s="116"/>
      <c r="L126" s="50" t="s">
        <v>990</v>
      </c>
      <c r="M126" s="50" t="s">
        <v>990</v>
      </c>
      <c r="N126" s="50">
        <v>5.0</v>
      </c>
      <c r="O126" s="50" t="s">
        <v>5373</v>
      </c>
      <c r="P126" s="116"/>
      <c r="Q126" s="50" t="s">
        <v>5374</v>
      </c>
      <c r="R126" s="50">
        <v>22.5345865</v>
      </c>
      <c r="S126" s="50">
        <v>88.3958848</v>
      </c>
      <c r="T126" s="50">
        <v>-35.599998474121</v>
      </c>
      <c r="U126" s="50">
        <v>5.0</v>
      </c>
      <c r="V126" s="50">
        <v>1.0</v>
      </c>
      <c r="W126" s="50">
        <v>1.0</v>
      </c>
      <c r="X126" s="116"/>
      <c r="Y126" s="116"/>
      <c r="Z126" s="116"/>
      <c r="AA126" s="116"/>
      <c r="AB126" s="116"/>
      <c r="AC126" s="116"/>
      <c r="AD126" s="116"/>
      <c r="AE126" s="50">
        <v>1.0</v>
      </c>
      <c r="AF126" s="50">
        <v>2.0</v>
      </c>
      <c r="AG126" s="50">
        <v>3.0</v>
      </c>
      <c r="AH126" s="50">
        <v>4.0</v>
      </c>
      <c r="AI126" s="116"/>
      <c r="AJ126" s="116"/>
      <c r="AK126" s="116"/>
      <c r="AL126" s="116"/>
      <c r="AM126" s="116"/>
      <c r="AN126" s="116"/>
      <c r="AO126" s="116"/>
      <c r="AP126" s="116"/>
      <c r="AQ126" s="116"/>
      <c r="AR126" s="50" t="s">
        <v>2318</v>
      </c>
      <c r="AS126" s="50">
        <v>0.0</v>
      </c>
      <c r="AT126" s="50" t="s">
        <v>4619</v>
      </c>
      <c r="AU126" s="117">
        <v>3676.0</v>
      </c>
      <c r="AV126" s="50" t="s">
        <v>5375</v>
      </c>
      <c r="AW126" s="50" t="s">
        <v>5376</v>
      </c>
      <c r="AX126" s="117">
        <v>125.0</v>
      </c>
    </row>
    <row r="127">
      <c r="A127" s="50" t="s">
        <v>5377</v>
      </c>
      <c r="B127" s="50" t="s">
        <v>5379</v>
      </c>
      <c r="C127" s="116"/>
      <c r="D127" s="116"/>
      <c r="E127" s="50">
        <v>3.52155090281144E14</v>
      </c>
      <c r="F127" s="50">
        <v>59.0</v>
      </c>
      <c r="G127" s="50">
        <v>12.0</v>
      </c>
      <c r="H127" s="116"/>
      <c r="I127" s="116"/>
      <c r="J127" s="116"/>
      <c r="K127" s="116"/>
      <c r="L127" s="50" t="s">
        <v>992</v>
      </c>
      <c r="M127" s="50" t="s">
        <v>992</v>
      </c>
      <c r="N127" s="50">
        <v>6.0</v>
      </c>
      <c r="O127" s="50" t="s">
        <v>5380</v>
      </c>
      <c r="P127" s="116"/>
      <c r="Q127" s="50" t="s">
        <v>5381</v>
      </c>
      <c r="R127" s="50">
        <v>22.5400493</v>
      </c>
      <c r="S127" s="50">
        <v>88.3872547</v>
      </c>
      <c r="T127" s="50">
        <v>-60.2000007629394</v>
      </c>
      <c r="U127" s="50">
        <v>5.0</v>
      </c>
      <c r="V127" s="50">
        <v>1.0</v>
      </c>
      <c r="W127" s="50">
        <v>1.0</v>
      </c>
      <c r="X127" s="116"/>
      <c r="Y127" s="116"/>
      <c r="Z127" s="116"/>
      <c r="AA127" s="116"/>
      <c r="AB127" s="116"/>
      <c r="AC127" s="116"/>
      <c r="AD127" s="116"/>
      <c r="AE127" s="50">
        <v>1.0</v>
      </c>
      <c r="AF127" s="50">
        <v>1.0</v>
      </c>
      <c r="AG127" s="50">
        <v>4.0</v>
      </c>
      <c r="AH127" s="50">
        <v>4.0</v>
      </c>
      <c r="AI127" s="116"/>
      <c r="AJ127" s="116"/>
      <c r="AK127" s="116"/>
      <c r="AL127" s="116"/>
      <c r="AM127" s="116"/>
      <c r="AN127" s="116"/>
      <c r="AO127" s="116"/>
      <c r="AP127" s="116"/>
      <c r="AQ127" s="116"/>
      <c r="AR127" s="50" t="s">
        <v>2327</v>
      </c>
      <c r="AS127" s="50">
        <v>0.0</v>
      </c>
      <c r="AT127" s="50" t="s">
        <v>4619</v>
      </c>
      <c r="AU127" s="117">
        <v>3677.0</v>
      </c>
      <c r="AV127" s="50" t="s">
        <v>5382</v>
      </c>
      <c r="AW127" s="50" t="s">
        <v>5383</v>
      </c>
      <c r="AX127" s="117">
        <v>126.0</v>
      </c>
    </row>
    <row r="128">
      <c r="A128" s="50" t="s">
        <v>5384</v>
      </c>
      <c r="B128" s="50" t="s">
        <v>5385</v>
      </c>
      <c r="C128" s="116"/>
      <c r="D128" s="116"/>
      <c r="E128" s="50">
        <v>3.52155090281144E14</v>
      </c>
      <c r="F128" s="50">
        <v>59.0</v>
      </c>
      <c r="G128" s="50">
        <v>99.0</v>
      </c>
      <c r="H128" s="116"/>
      <c r="I128" s="116"/>
      <c r="J128" s="116"/>
      <c r="K128" s="116"/>
      <c r="L128" s="50" t="s">
        <v>985</v>
      </c>
      <c r="M128" s="50" t="s">
        <v>985</v>
      </c>
      <c r="N128" s="116"/>
      <c r="O128" s="116"/>
      <c r="P128" s="116"/>
      <c r="Q128" s="116"/>
      <c r="R128" s="116"/>
      <c r="S128" s="116"/>
      <c r="T128" s="116"/>
      <c r="U128" s="116"/>
      <c r="V128" s="116"/>
      <c r="W128" s="116"/>
      <c r="X128" s="116"/>
      <c r="Y128" s="116"/>
      <c r="Z128" s="116"/>
      <c r="AA128" s="116"/>
      <c r="AB128" s="116"/>
      <c r="AC128" s="116"/>
      <c r="AD128" s="116"/>
      <c r="AE128" s="116"/>
      <c r="AF128" s="116"/>
      <c r="AG128" s="116"/>
      <c r="AH128" s="116"/>
      <c r="AI128" s="116"/>
      <c r="AJ128" s="116"/>
      <c r="AK128" s="116"/>
      <c r="AL128" s="116"/>
      <c r="AM128" s="116"/>
      <c r="AN128" s="116"/>
      <c r="AO128" s="116"/>
      <c r="AP128" s="116"/>
      <c r="AQ128" s="50" t="s">
        <v>5386</v>
      </c>
      <c r="AR128" s="50" t="s">
        <v>2318</v>
      </c>
      <c r="AS128" s="116"/>
      <c r="AT128" s="50" t="s">
        <v>4619</v>
      </c>
      <c r="AU128" s="117">
        <v>3678.0</v>
      </c>
      <c r="AV128" s="50" t="s">
        <v>5387</v>
      </c>
      <c r="AW128" s="50" t="s">
        <v>5388</v>
      </c>
      <c r="AX128" s="117">
        <v>127.0</v>
      </c>
    </row>
    <row r="129">
      <c r="A129" s="50" t="s">
        <v>5389</v>
      </c>
      <c r="B129" s="50" t="s">
        <v>5390</v>
      </c>
      <c r="C129" s="116"/>
      <c r="D129" s="116"/>
      <c r="E129" s="50">
        <v>3.52155090281144E14</v>
      </c>
      <c r="F129" s="50">
        <v>57.0</v>
      </c>
      <c r="G129" s="50">
        <v>12.0</v>
      </c>
      <c r="H129" s="116"/>
      <c r="I129" s="116"/>
      <c r="J129" s="116"/>
      <c r="K129" s="116"/>
      <c r="L129" s="50" t="s">
        <v>995</v>
      </c>
      <c r="M129" s="50" t="s">
        <v>995</v>
      </c>
      <c r="N129" s="50">
        <v>1.0</v>
      </c>
      <c r="O129" s="50" t="s">
        <v>5391</v>
      </c>
      <c r="P129" s="116"/>
      <c r="Q129" s="50" t="s">
        <v>5392</v>
      </c>
      <c r="R129" s="50">
        <v>22.5578984</v>
      </c>
      <c r="S129" s="50">
        <v>88.4110022</v>
      </c>
      <c r="T129" s="50">
        <v>-22.3999996185302</v>
      </c>
      <c r="U129" s="50">
        <v>5.0</v>
      </c>
      <c r="V129" s="50">
        <v>1.0</v>
      </c>
      <c r="W129" s="50">
        <v>1.0</v>
      </c>
      <c r="X129" s="116"/>
      <c r="Y129" s="116"/>
      <c r="Z129" s="116"/>
      <c r="AA129" s="116"/>
      <c r="AB129" s="116"/>
      <c r="AC129" s="116"/>
      <c r="AD129" s="116"/>
      <c r="AE129" s="50">
        <v>1.0</v>
      </c>
      <c r="AF129" s="50">
        <v>1.0</v>
      </c>
      <c r="AG129" s="50">
        <v>4.0</v>
      </c>
      <c r="AH129" s="50">
        <v>4.0</v>
      </c>
      <c r="AI129" s="116"/>
      <c r="AJ129" s="116"/>
      <c r="AK129" s="116"/>
      <c r="AL129" s="116"/>
      <c r="AM129" s="116"/>
      <c r="AN129" s="116"/>
      <c r="AO129" s="116"/>
      <c r="AP129" s="116"/>
      <c r="AQ129" s="116"/>
      <c r="AR129" s="50" t="s">
        <v>2278</v>
      </c>
      <c r="AS129" s="50">
        <v>0.0</v>
      </c>
      <c r="AT129" s="50" t="s">
        <v>4619</v>
      </c>
      <c r="AU129" s="117">
        <v>3679.0</v>
      </c>
      <c r="AV129" s="50" t="s">
        <v>5394</v>
      </c>
      <c r="AW129" s="50" t="s">
        <v>5395</v>
      </c>
      <c r="AX129" s="117">
        <v>128.0</v>
      </c>
    </row>
    <row r="130">
      <c r="A130" s="50" t="s">
        <v>5396</v>
      </c>
      <c r="B130" s="50" t="s">
        <v>5397</v>
      </c>
      <c r="C130" s="116"/>
      <c r="D130" s="116"/>
      <c r="E130" s="50">
        <v>3.52155090281144E14</v>
      </c>
      <c r="F130" s="50">
        <v>57.0</v>
      </c>
      <c r="G130" s="50">
        <v>12.0</v>
      </c>
      <c r="H130" s="116"/>
      <c r="I130" s="116"/>
      <c r="J130" s="116"/>
      <c r="K130" s="116"/>
      <c r="L130" s="50" t="s">
        <v>993</v>
      </c>
      <c r="M130" s="50" t="s">
        <v>993</v>
      </c>
      <c r="N130" s="50">
        <v>2.0</v>
      </c>
      <c r="O130" s="50" t="s">
        <v>5398</v>
      </c>
      <c r="P130" s="116"/>
      <c r="Q130" s="50" t="s">
        <v>5399</v>
      </c>
      <c r="R130" s="50">
        <v>22.5541961</v>
      </c>
      <c r="S130" s="50">
        <v>88.3966929</v>
      </c>
      <c r="T130" s="50">
        <v>-53.0</v>
      </c>
      <c r="U130" s="50">
        <v>5.0</v>
      </c>
      <c r="V130" s="50">
        <v>1.0</v>
      </c>
      <c r="W130" s="50">
        <v>1.0</v>
      </c>
      <c r="X130" s="116"/>
      <c r="Y130" s="116"/>
      <c r="Z130" s="116"/>
      <c r="AA130" s="116"/>
      <c r="AB130" s="116"/>
      <c r="AC130" s="116"/>
      <c r="AD130" s="116"/>
      <c r="AE130" s="50">
        <v>2.0</v>
      </c>
      <c r="AF130" s="50">
        <v>2.0</v>
      </c>
      <c r="AG130" s="50">
        <v>3.0</v>
      </c>
      <c r="AH130" s="50">
        <v>4.0</v>
      </c>
      <c r="AI130" s="116"/>
      <c r="AJ130" s="116"/>
      <c r="AK130" s="116"/>
      <c r="AL130" s="116"/>
      <c r="AM130" s="116"/>
      <c r="AN130" s="116"/>
      <c r="AO130" s="116"/>
      <c r="AP130" s="116"/>
      <c r="AQ130" s="116"/>
      <c r="AR130" s="50" t="s">
        <v>2472</v>
      </c>
      <c r="AS130" s="50">
        <v>0.0</v>
      </c>
      <c r="AT130" s="50" t="s">
        <v>4619</v>
      </c>
      <c r="AU130" s="117">
        <v>3680.0</v>
      </c>
      <c r="AV130" s="50" t="s">
        <v>5400</v>
      </c>
      <c r="AW130" s="50" t="s">
        <v>5401</v>
      </c>
      <c r="AX130" s="117">
        <v>129.0</v>
      </c>
    </row>
    <row r="131">
      <c r="A131" s="50" t="s">
        <v>5402</v>
      </c>
      <c r="B131" s="50" t="s">
        <v>5403</v>
      </c>
      <c r="C131" s="116"/>
      <c r="D131" s="116"/>
      <c r="E131" s="50">
        <v>3.52155090281144E14</v>
      </c>
      <c r="F131" s="50">
        <v>59.0</v>
      </c>
      <c r="G131" s="50">
        <v>11.0</v>
      </c>
      <c r="H131" s="50">
        <v>3.0</v>
      </c>
      <c r="I131" s="50">
        <v>0.0</v>
      </c>
      <c r="J131" s="116"/>
      <c r="K131" s="116"/>
      <c r="L131" s="50" t="s">
        <v>1002</v>
      </c>
      <c r="M131" s="50" t="s">
        <v>1002</v>
      </c>
      <c r="N131" s="116"/>
      <c r="O131" s="116"/>
      <c r="P131" s="50" t="s">
        <v>5404</v>
      </c>
      <c r="Q131" s="50" t="s">
        <v>5405</v>
      </c>
      <c r="R131" s="50">
        <v>22.5426942</v>
      </c>
      <c r="S131" s="50">
        <v>88.3834215</v>
      </c>
      <c r="T131" s="50">
        <v>-48.4000015258789</v>
      </c>
      <c r="U131" s="50">
        <v>5.0</v>
      </c>
      <c r="V131" s="50">
        <v>2.0</v>
      </c>
      <c r="W131" s="50">
        <v>1.0</v>
      </c>
      <c r="X131" s="116"/>
      <c r="Y131" s="116"/>
      <c r="Z131" s="116"/>
      <c r="AA131" s="50">
        <v>2.0</v>
      </c>
      <c r="AB131" s="50">
        <v>4.0</v>
      </c>
      <c r="AC131" s="116"/>
      <c r="AD131" s="116"/>
      <c r="AE131" s="116"/>
      <c r="AF131" s="116"/>
      <c r="AG131" s="116"/>
      <c r="AH131" s="116"/>
      <c r="AI131" s="116"/>
      <c r="AJ131" s="116"/>
      <c r="AK131" s="116"/>
      <c r="AL131" s="116"/>
      <c r="AM131" s="116"/>
      <c r="AN131" s="116"/>
      <c r="AO131" s="116"/>
      <c r="AP131" s="116"/>
      <c r="AQ131" s="50" t="s">
        <v>5287</v>
      </c>
      <c r="AR131" s="50" t="s">
        <v>2318</v>
      </c>
      <c r="AS131" s="50">
        <v>1.0</v>
      </c>
      <c r="AT131" s="50" t="s">
        <v>4619</v>
      </c>
      <c r="AU131" s="117">
        <v>3702.0</v>
      </c>
      <c r="AV131" s="50" t="s">
        <v>5407</v>
      </c>
      <c r="AW131" s="50" t="s">
        <v>5408</v>
      </c>
      <c r="AX131" s="117">
        <v>130.0</v>
      </c>
    </row>
    <row r="132">
      <c r="A132" s="50" t="s">
        <v>5409</v>
      </c>
      <c r="B132" s="50" t="s">
        <v>5410</v>
      </c>
      <c r="C132" s="116"/>
      <c r="D132" s="116"/>
      <c r="E132" s="50">
        <v>3.52155090281144E14</v>
      </c>
      <c r="F132" s="50">
        <v>59.0</v>
      </c>
      <c r="G132" s="50">
        <v>99.0</v>
      </c>
      <c r="H132" s="116"/>
      <c r="I132" s="116"/>
      <c r="J132" s="116"/>
      <c r="K132" s="116"/>
      <c r="L132" s="50" t="s">
        <v>1003</v>
      </c>
      <c r="M132" s="50" t="s">
        <v>1003</v>
      </c>
      <c r="N132" s="116"/>
      <c r="O132" s="116"/>
      <c r="P132" s="116"/>
      <c r="Q132" s="116"/>
      <c r="R132" s="116"/>
      <c r="S132" s="116"/>
      <c r="T132" s="116"/>
      <c r="U132" s="116"/>
      <c r="V132" s="116"/>
      <c r="W132" s="116"/>
      <c r="X132" s="116"/>
      <c r="Y132" s="116"/>
      <c r="Z132" s="116"/>
      <c r="AA132" s="116"/>
      <c r="AB132" s="116"/>
      <c r="AC132" s="116"/>
      <c r="AD132" s="116"/>
      <c r="AE132" s="116"/>
      <c r="AF132" s="116"/>
      <c r="AG132" s="116"/>
      <c r="AH132" s="116"/>
      <c r="AI132" s="116"/>
      <c r="AJ132" s="116"/>
      <c r="AK132" s="116"/>
      <c r="AL132" s="116"/>
      <c r="AM132" s="116"/>
      <c r="AN132" s="116"/>
      <c r="AO132" s="116"/>
      <c r="AP132" s="116"/>
      <c r="AQ132" s="116"/>
      <c r="AR132" s="50" t="s">
        <v>2302</v>
      </c>
      <c r="AS132" s="116"/>
      <c r="AT132" s="50" t="s">
        <v>4619</v>
      </c>
      <c r="AU132" s="117">
        <v>3703.0</v>
      </c>
      <c r="AV132" s="50" t="s">
        <v>5411</v>
      </c>
      <c r="AW132" s="50" t="s">
        <v>5412</v>
      </c>
      <c r="AX132" s="117">
        <v>131.0</v>
      </c>
    </row>
    <row r="133">
      <c r="A133" s="50" t="s">
        <v>5413</v>
      </c>
      <c r="B133" s="50" t="s">
        <v>5414</v>
      </c>
      <c r="C133" s="116"/>
      <c r="D133" s="116"/>
      <c r="E133" s="50">
        <v>3.52155090281144E14</v>
      </c>
      <c r="F133" s="50">
        <v>57.0</v>
      </c>
      <c r="G133" s="50">
        <v>12.0</v>
      </c>
      <c r="H133" s="116"/>
      <c r="I133" s="116"/>
      <c r="J133" s="116"/>
      <c r="K133" s="116"/>
      <c r="L133" s="50" t="s">
        <v>1013</v>
      </c>
      <c r="M133" s="50" t="s">
        <v>1013</v>
      </c>
      <c r="N133" s="50">
        <v>7.0</v>
      </c>
      <c r="O133" s="50" t="s">
        <v>5415</v>
      </c>
      <c r="P133" s="116"/>
      <c r="Q133" s="50" t="s">
        <v>5416</v>
      </c>
      <c r="R133" s="50">
        <v>22.5580381</v>
      </c>
      <c r="S133" s="50">
        <v>88.389694</v>
      </c>
      <c r="T133" s="50">
        <v>-10.5</v>
      </c>
      <c r="U133" s="50">
        <v>5.0</v>
      </c>
      <c r="V133" s="50">
        <v>1.0</v>
      </c>
      <c r="W133" s="50">
        <v>0.0</v>
      </c>
      <c r="X133" s="50">
        <v>1.0</v>
      </c>
      <c r="Y133" s="116"/>
      <c r="Z133" s="116"/>
      <c r="AA133" s="116"/>
      <c r="AB133" s="116"/>
      <c r="AC133" s="116"/>
      <c r="AD133" s="116"/>
      <c r="AE133" s="50">
        <v>1.0</v>
      </c>
      <c r="AF133" s="50">
        <v>2.0</v>
      </c>
      <c r="AG133" s="50">
        <v>3.0</v>
      </c>
      <c r="AH133" s="50">
        <v>4.0</v>
      </c>
      <c r="AI133" s="116"/>
      <c r="AJ133" s="116"/>
      <c r="AK133" s="116"/>
      <c r="AL133" s="116"/>
      <c r="AM133" s="116"/>
      <c r="AN133" s="116"/>
      <c r="AO133" s="116"/>
      <c r="AP133" s="116"/>
      <c r="AQ133" s="116"/>
      <c r="AR133" s="50" t="s">
        <v>2278</v>
      </c>
      <c r="AS133" s="50">
        <v>0.0</v>
      </c>
      <c r="AT133" s="50" t="s">
        <v>4619</v>
      </c>
      <c r="AU133" s="117">
        <v>3721.0</v>
      </c>
      <c r="AV133" s="50" t="s">
        <v>5418</v>
      </c>
      <c r="AW133" s="50" t="s">
        <v>5419</v>
      </c>
      <c r="AX133" s="117">
        <v>132.0</v>
      </c>
    </row>
    <row r="134">
      <c r="A134" s="50" t="s">
        <v>5420</v>
      </c>
      <c r="B134" s="50" t="s">
        <v>5421</v>
      </c>
      <c r="C134" s="116"/>
      <c r="D134" s="116"/>
      <c r="E134" s="50">
        <v>3.52155090281144E14</v>
      </c>
      <c r="F134" s="50">
        <v>55.0</v>
      </c>
      <c r="G134" s="50">
        <v>12.0</v>
      </c>
      <c r="H134" s="116"/>
      <c r="I134" s="116"/>
      <c r="J134" s="116"/>
      <c r="K134" s="116"/>
      <c r="L134" s="50" t="s">
        <v>1014</v>
      </c>
      <c r="M134" s="50" t="s">
        <v>1014</v>
      </c>
      <c r="N134" s="50">
        <v>4.0</v>
      </c>
      <c r="O134" s="50" t="s">
        <v>5422</v>
      </c>
      <c r="P134" s="116"/>
      <c r="Q134" s="50" t="s">
        <v>5423</v>
      </c>
      <c r="R134" s="50">
        <v>22.5637088</v>
      </c>
      <c r="S134" s="50">
        <v>88.3772761</v>
      </c>
      <c r="T134" s="50">
        <v>-16.5</v>
      </c>
      <c r="U134" s="50">
        <v>5.0</v>
      </c>
      <c r="V134" s="50">
        <v>1.0</v>
      </c>
      <c r="W134" s="50">
        <v>0.0</v>
      </c>
      <c r="X134" s="50">
        <v>1.0</v>
      </c>
      <c r="Y134" s="116"/>
      <c r="Z134" s="116"/>
      <c r="AA134" s="116"/>
      <c r="AB134" s="116"/>
      <c r="AC134" s="116"/>
      <c r="AD134" s="116"/>
      <c r="AE134" s="50">
        <v>2.0</v>
      </c>
      <c r="AF134" s="50">
        <v>1.0</v>
      </c>
      <c r="AG134" s="50">
        <v>4.0</v>
      </c>
      <c r="AH134" s="50">
        <v>4.0</v>
      </c>
      <c r="AI134" s="116"/>
      <c r="AJ134" s="116"/>
      <c r="AK134" s="116"/>
      <c r="AL134" s="116"/>
      <c r="AM134" s="116"/>
      <c r="AN134" s="116"/>
      <c r="AO134" s="116"/>
      <c r="AP134" s="116"/>
      <c r="AQ134" s="116"/>
      <c r="AR134" s="50" t="s">
        <v>2318</v>
      </c>
      <c r="AS134" s="50">
        <v>0.0</v>
      </c>
      <c r="AT134" s="50" t="s">
        <v>4619</v>
      </c>
      <c r="AU134" s="117">
        <v>3722.0</v>
      </c>
      <c r="AV134" s="50" t="s">
        <v>5424</v>
      </c>
      <c r="AW134" s="50" t="s">
        <v>5425</v>
      </c>
      <c r="AX134" s="117">
        <v>133.0</v>
      </c>
    </row>
    <row r="135">
      <c r="A135" s="50" t="s">
        <v>5426</v>
      </c>
      <c r="B135" s="50" t="s">
        <v>5427</v>
      </c>
      <c r="C135" s="116"/>
      <c r="D135" s="116"/>
      <c r="E135" s="50">
        <v>3.52155090281144E14</v>
      </c>
      <c r="F135" s="50">
        <v>65.0</v>
      </c>
      <c r="G135" s="50">
        <v>12.0</v>
      </c>
      <c r="H135" s="116"/>
      <c r="I135" s="116"/>
      <c r="J135" s="116"/>
      <c r="K135" s="116"/>
      <c r="L135" s="50" t="s">
        <v>1016</v>
      </c>
      <c r="M135" s="50" t="s">
        <v>1016</v>
      </c>
      <c r="N135" s="50">
        <v>8.0</v>
      </c>
      <c r="O135" s="50" t="s">
        <v>5428</v>
      </c>
      <c r="P135" s="116"/>
      <c r="Q135" s="50" t="s">
        <v>5429</v>
      </c>
      <c r="R135" s="50">
        <v>22.5362509</v>
      </c>
      <c r="S135" s="50">
        <v>88.3747723</v>
      </c>
      <c r="T135" s="50">
        <v>-11.5</v>
      </c>
      <c r="U135" s="50">
        <v>5.0</v>
      </c>
      <c r="V135" s="50">
        <v>1.0</v>
      </c>
      <c r="W135" s="50">
        <v>0.0</v>
      </c>
      <c r="X135" s="50">
        <v>1.0</v>
      </c>
      <c r="Y135" s="116"/>
      <c r="Z135" s="116"/>
      <c r="AA135" s="116"/>
      <c r="AB135" s="116"/>
      <c r="AC135" s="116"/>
      <c r="AD135" s="116"/>
      <c r="AE135" s="50">
        <v>1.0</v>
      </c>
      <c r="AF135" s="50">
        <v>1.0</v>
      </c>
      <c r="AG135" s="50">
        <v>4.0</v>
      </c>
      <c r="AH135" s="50">
        <v>4.0</v>
      </c>
      <c r="AI135" s="116"/>
      <c r="AJ135" s="116"/>
      <c r="AK135" s="116"/>
      <c r="AL135" s="116"/>
      <c r="AM135" s="116"/>
      <c r="AN135" s="116"/>
      <c r="AO135" s="116"/>
      <c r="AP135" s="116"/>
      <c r="AQ135" s="116"/>
      <c r="AR135" s="50" t="s">
        <v>2472</v>
      </c>
      <c r="AS135" s="50">
        <v>0.0</v>
      </c>
      <c r="AT135" s="50" t="s">
        <v>4619</v>
      </c>
      <c r="AU135" s="117">
        <v>3723.0</v>
      </c>
      <c r="AV135" s="50" t="s">
        <v>5431</v>
      </c>
      <c r="AW135" s="50" t="s">
        <v>5432</v>
      </c>
      <c r="AX135" s="117">
        <v>134.0</v>
      </c>
    </row>
    <row r="136">
      <c r="A136" s="50" t="s">
        <v>5433</v>
      </c>
      <c r="B136" s="50" t="s">
        <v>5434</v>
      </c>
      <c r="C136" s="116"/>
      <c r="D136" s="116"/>
      <c r="E136" s="50">
        <v>3.52155090281144E14</v>
      </c>
      <c r="F136" s="50">
        <v>57.0</v>
      </c>
      <c r="G136" s="50">
        <v>99.0</v>
      </c>
      <c r="H136" s="116"/>
      <c r="I136" s="116"/>
      <c r="J136" s="116"/>
      <c r="K136" s="116"/>
      <c r="L136" s="50" t="s">
        <v>1017</v>
      </c>
      <c r="M136" s="50" t="s">
        <v>1017</v>
      </c>
      <c r="N136" s="116"/>
      <c r="O136" s="116"/>
      <c r="P136" s="116"/>
      <c r="Q136" s="116"/>
      <c r="R136" s="116"/>
      <c r="S136" s="116"/>
      <c r="T136" s="116"/>
      <c r="U136" s="116"/>
      <c r="V136" s="116"/>
      <c r="W136" s="116"/>
      <c r="X136" s="116"/>
      <c r="Y136" s="116"/>
      <c r="Z136" s="116"/>
      <c r="AA136" s="116"/>
      <c r="AB136" s="116"/>
      <c r="AC136" s="116"/>
      <c r="AD136" s="116"/>
      <c r="AE136" s="116"/>
      <c r="AF136" s="116"/>
      <c r="AG136" s="116"/>
      <c r="AH136" s="116"/>
      <c r="AI136" s="116"/>
      <c r="AJ136" s="116"/>
      <c r="AK136" s="116"/>
      <c r="AL136" s="116"/>
      <c r="AM136" s="116"/>
      <c r="AN136" s="116"/>
      <c r="AO136" s="116"/>
      <c r="AP136" s="116"/>
      <c r="AQ136" s="50" t="s">
        <v>5435</v>
      </c>
      <c r="AR136" s="50" t="s">
        <v>2278</v>
      </c>
      <c r="AS136" s="116"/>
      <c r="AT136" s="50" t="s">
        <v>4619</v>
      </c>
      <c r="AU136" s="117">
        <v>3724.0</v>
      </c>
      <c r="AV136" s="50" t="s">
        <v>5436</v>
      </c>
      <c r="AW136" s="50" t="s">
        <v>5437</v>
      </c>
      <c r="AX136" s="117">
        <v>135.0</v>
      </c>
    </row>
    <row r="137">
      <c r="A137" s="50" t="s">
        <v>5439</v>
      </c>
      <c r="B137" s="50" t="s">
        <v>5440</v>
      </c>
      <c r="C137" s="116"/>
      <c r="D137" s="116"/>
      <c r="E137" s="50">
        <v>3.52155090281144E14</v>
      </c>
      <c r="F137" s="50">
        <v>57.0</v>
      </c>
      <c r="G137" s="50">
        <v>12.0</v>
      </c>
      <c r="H137" s="116"/>
      <c r="I137" s="116"/>
      <c r="J137" s="116"/>
      <c r="K137" s="116"/>
      <c r="L137" s="50" t="s">
        <v>1012</v>
      </c>
      <c r="M137" s="50" t="s">
        <v>1012</v>
      </c>
      <c r="N137" s="50">
        <v>3.0</v>
      </c>
      <c r="O137" s="50" t="s">
        <v>5441</v>
      </c>
      <c r="P137" s="116"/>
      <c r="Q137" s="50" t="s">
        <v>5442</v>
      </c>
      <c r="R137" s="50">
        <v>22.5563173</v>
      </c>
      <c r="S137" s="50">
        <v>88.3921073</v>
      </c>
      <c r="T137" s="50">
        <v>-41.9000015258789</v>
      </c>
      <c r="U137" s="50">
        <v>5.0</v>
      </c>
      <c r="V137" s="50">
        <v>1.0</v>
      </c>
      <c r="W137" s="50">
        <v>0.0</v>
      </c>
      <c r="X137" s="50">
        <v>1.0</v>
      </c>
      <c r="Y137" s="116"/>
      <c r="Z137" s="116"/>
      <c r="AA137" s="116"/>
      <c r="AB137" s="116"/>
      <c r="AC137" s="116"/>
      <c r="AD137" s="116"/>
      <c r="AE137" s="50">
        <v>1.0</v>
      </c>
      <c r="AF137" s="50">
        <v>1.0</v>
      </c>
      <c r="AG137" s="50">
        <v>3.0</v>
      </c>
      <c r="AH137" s="50">
        <v>4.0</v>
      </c>
      <c r="AI137" s="116"/>
      <c r="AJ137" s="116"/>
      <c r="AK137" s="116"/>
      <c r="AL137" s="116"/>
      <c r="AM137" s="116"/>
      <c r="AN137" s="116"/>
      <c r="AO137" s="116"/>
      <c r="AP137" s="116"/>
      <c r="AQ137" s="116"/>
      <c r="AR137" s="50" t="s">
        <v>2472</v>
      </c>
      <c r="AS137" s="50">
        <v>0.0</v>
      </c>
      <c r="AT137" s="50" t="s">
        <v>4619</v>
      </c>
      <c r="AU137" s="117">
        <v>3725.0</v>
      </c>
      <c r="AV137" s="50" t="s">
        <v>5443</v>
      </c>
      <c r="AW137" s="50" t="s">
        <v>5444</v>
      </c>
      <c r="AX137" s="117">
        <v>136.0</v>
      </c>
    </row>
    <row r="138">
      <c r="A138" s="50" t="s">
        <v>5445</v>
      </c>
      <c r="B138" s="50" t="s">
        <v>5446</v>
      </c>
      <c r="C138" s="116"/>
      <c r="D138" s="116"/>
      <c r="E138" s="50">
        <v>3.52155090281144E14</v>
      </c>
      <c r="F138" s="50">
        <v>58.0</v>
      </c>
      <c r="G138" s="50">
        <v>99.0</v>
      </c>
      <c r="H138" s="116"/>
      <c r="I138" s="116"/>
      <c r="J138" s="116"/>
      <c r="K138" s="116"/>
      <c r="L138" s="50" t="s">
        <v>1043</v>
      </c>
      <c r="M138" s="50" t="s">
        <v>1043</v>
      </c>
      <c r="N138" s="116"/>
      <c r="O138" s="116"/>
      <c r="P138" s="116"/>
      <c r="Q138" s="116"/>
      <c r="R138" s="116"/>
      <c r="S138" s="116"/>
      <c r="T138" s="116"/>
      <c r="U138" s="116"/>
      <c r="V138" s="116"/>
      <c r="W138" s="116"/>
      <c r="X138" s="116"/>
      <c r="Y138" s="116"/>
      <c r="Z138" s="116"/>
      <c r="AA138" s="116"/>
      <c r="AB138" s="116"/>
      <c r="AC138" s="116"/>
      <c r="AD138" s="116"/>
      <c r="AE138" s="116"/>
      <c r="AF138" s="116"/>
      <c r="AG138" s="116"/>
      <c r="AH138" s="116"/>
      <c r="AI138" s="116"/>
      <c r="AJ138" s="116"/>
      <c r="AK138" s="116"/>
      <c r="AL138" s="116"/>
      <c r="AM138" s="116"/>
      <c r="AN138" s="116"/>
      <c r="AO138" s="116"/>
      <c r="AP138" s="116"/>
      <c r="AQ138" s="50" t="s">
        <v>5447</v>
      </c>
      <c r="AR138" s="50" t="s">
        <v>2494</v>
      </c>
      <c r="AS138" s="116"/>
      <c r="AT138" s="50" t="s">
        <v>4619</v>
      </c>
      <c r="AU138" s="117">
        <v>3754.0</v>
      </c>
      <c r="AV138" s="50" t="s">
        <v>5448</v>
      </c>
      <c r="AW138" s="50" t="s">
        <v>5449</v>
      </c>
      <c r="AX138" s="117">
        <v>137.0</v>
      </c>
    </row>
    <row r="139">
      <c r="A139" s="50" t="s">
        <v>5450</v>
      </c>
      <c r="B139" s="50" t="s">
        <v>5451</v>
      </c>
      <c r="C139" s="116"/>
      <c r="D139" s="116"/>
      <c r="E139" s="50">
        <v>3.52155090281144E14</v>
      </c>
      <c r="F139" s="50">
        <v>57.0</v>
      </c>
      <c r="G139" s="50">
        <v>12.0</v>
      </c>
      <c r="H139" s="116"/>
      <c r="I139" s="116"/>
      <c r="J139" s="116"/>
      <c r="K139" s="116"/>
      <c r="L139" s="50" t="s">
        <v>1037</v>
      </c>
      <c r="M139" s="50" t="s">
        <v>1037</v>
      </c>
      <c r="N139" s="50">
        <v>1.0</v>
      </c>
      <c r="O139" s="50" t="s">
        <v>5452</v>
      </c>
      <c r="P139" s="116"/>
      <c r="Q139" s="50" t="s">
        <v>5453</v>
      </c>
      <c r="R139" s="50">
        <v>22.5579258</v>
      </c>
      <c r="S139" s="50">
        <v>88.4107771</v>
      </c>
      <c r="T139" s="50">
        <v>-13.5</v>
      </c>
      <c r="U139" s="50">
        <v>5.0</v>
      </c>
      <c r="V139" s="50">
        <v>2.0</v>
      </c>
      <c r="W139" s="50">
        <v>1.0</v>
      </c>
      <c r="X139" s="116"/>
      <c r="Y139" s="116"/>
      <c r="Z139" s="116"/>
      <c r="AA139" s="116"/>
      <c r="AB139" s="116"/>
      <c r="AC139" s="116"/>
      <c r="AD139" s="116"/>
      <c r="AE139" s="50">
        <v>1.0</v>
      </c>
      <c r="AF139" s="50">
        <v>1.0</v>
      </c>
      <c r="AG139" s="50">
        <v>4.0</v>
      </c>
      <c r="AH139" s="50">
        <v>4.0</v>
      </c>
      <c r="AI139" s="116"/>
      <c r="AJ139" s="116"/>
      <c r="AK139" s="116"/>
      <c r="AL139" s="116"/>
      <c r="AM139" s="116"/>
      <c r="AN139" s="116"/>
      <c r="AO139" s="116"/>
      <c r="AP139" s="116"/>
      <c r="AQ139" s="116"/>
      <c r="AR139" s="50" t="s">
        <v>2286</v>
      </c>
      <c r="AS139" s="50">
        <v>0.0</v>
      </c>
      <c r="AT139" s="50" t="s">
        <v>4619</v>
      </c>
      <c r="AU139" s="117">
        <v>3755.0</v>
      </c>
      <c r="AV139" s="50" t="s">
        <v>5454</v>
      </c>
      <c r="AW139" s="50" t="s">
        <v>5455</v>
      </c>
      <c r="AX139" s="117">
        <v>138.0</v>
      </c>
    </row>
    <row r="140">
      <c r="A140" s="50" t="s">
        <v>5456</v>
      </c>
      <c r="B140" s="50" t="s">
        <v>5457</v>
      </c>
      <c r="C140" s="116"/>
      <c r="D140" s="116"/>
      <c r="E140" s="50">
        <v>3.52155090281144E14</v>
      </c>
      <c r="F140" s="50">
        <v>66.0</v>
      </c>
      <c r="G140" s="50">
        <v>12.0</v>
      </c>
      <c r="H140" s="116"/>
      <c r="I140" s="116"/>
      <c r="J140" s="116"/>
      <c r="K140" s="116"/>
      <c r="L140" s="50" t="s">
        <v>1042</v>
      </c>
      <c r="M140" s="50" t="s">
        <v>1042</v>
      </c>
      <c r="N140" s="50">
        <v>5.0</v>
      </c>
      <c r="O140" s="50" t="s">
        <v>5458</v>
      </c>
      <c r="P140" s="116"/>
      <c r="Q140" s="50" t="s">
        <v>5459</v>
      </c>
      <c r="R140" s="50">
        <v>22.534629</v>
      </c>
      <c r="S140" s="50">
        <v>88.395896</v>
      </c>
      <c r="T140" s="50">
        <v>-25.6000003814697</v>
      </c>
      <c r="U140" s="50">
        <v>5.0</v>
      </c>
      <c r="V140" s="50">
        <v>2.0</v>
      </c>
      <c r="W140" s="50">
        <v>1.0</v>
      </c>
      <c r="X140" s="116"/>
      <c r="Y140" s="116"/>
      <c r="Z140" s="116"/>
      <c r="AA140" s="116"/>
      <c r="AB140" s="116"/>
      <c r="AC140" s="116"/>
      <c r="AD140" s="116"/>
      <c r="AE140" s="50">
        <v>1.0</v>
      </c>
      <c r="AF140" s="50">
        <v>2.0</v>
      </c>
      <c r="AG140" s="50">
        <v>3.0</v>
      </c>
      <c r="AH140" s="50">
        <v>4.0</v>
      </c>
      <c r="AI140" s="116"/>
      <c r="AJ140" s="116"/>
      <c r="AK140" s="116"/>
      <c r="AL140" s="116"/>
      <c r="AM140" s="116"/>
      <c r="AN140" s="116"/>
      <c r="AO140" s="116"/>
      <c r="AP140" s="116"/>
      <c r="AQ140" s="116"/>
      <c r="AR140" s="50" t="s">
        <v>2826</v>
      </c>
      <c r="AS140" s="50">
        <v>0.0</v>
      </c>
      <c r="AT140" s="50" t="s">
        <v>4619</v>
      </c>
      <c r="AU140" s="117">
        <v>3756.0</v>
      </c>
      <c r="AV140" s="50" t="s">
        <v>5460</v>
      </c>
      <c r="AW140" s="50" t="s">
        <v>5461</v>
      </c>
      <c r="AX140" s="117">
        <v>139.0</v>
      </c>
    </row>
    <row r="141">
      <c r="A141" s="50" t="s">
        <v>5462</v>
      </c>
      <c r="B141" s="50" t="s">
        <v>5463</v>
      </c>
      <c r="C141" s="116"/>
      <c r="D141" s="116"/>
      <c r="E141" s="50">
        <v>3.52155090281144E14</v>
      </c>
      <c r="F141" s="50">
        <v>66.0</v>
      </c>
      <c r="G141" s="50">
        <v>99.0</v>
      </c>
      <c r="H141" s="116"/>
      <c r="I141" s="116"/>
      <c r="J141" s="116"/>
      <c r="K141" s="116"/>
      <c r="L141" s="50" t="s">
        <v>1039</v>
      </c>
      <c r="M141" s="50" t="s">
        <v>1039</v>
      </c>
      <c r="N141" s="116"/>
      <c r="O141" s="116"/>
      <c r="P141" s="116"/>
      <c r="Q141" s="116"/>
      <c r="R141" s="116"/>
      <c r="S141" s="116"/>
      <c r="T141" s="116"/>
      <c r="U141" s="116"/>
      <c r="V141" s="116"/>
      <c r="W141" s="116"/>
      <c r="X141" s="116"/>
      <c r="Y141" s="116"/>
      <c r="Z141" s="116"/>
      <c r="AA141" s="116"/>
      <c r="AB141" s="116"/>
      <c r="AC141" s="116"/>
      <c r="AD141" s="116"/>
      <c r="AE141" s="116"/>
      <c r="AF141" s="116"/>
      <c r="AG141" s="116"/>
      <c r="AH141" s="116"/>
      <c r="AI141" s="116"/>
      <c r="AJ141" s="116"/>
      <c r="AK141" s="116"/>
      <c r="AL141" s="116"/>
      <c r="AM141" s="116"/>
      <c r="AN141" s="116"/>
      <c r="AO141" s="116"/>
      <c r="AP141" s="116"/>
      <c r="AQ141" s="116"/>
      <c r="AR141" s="50" t="s">
        <v>2494</v>
      </c>
      <c r="AS141" s="116"/>
      <c r="AT141" s="50" t="s">
        <v>4619</v>
      </c>
      <c r="AU141" s="117">
        <v>3757.0</v>
      </c>
      <c r="AV141" s="50" t="s">
        <v>5465</v>
      </c>
      <c r="AW141" s="50" t="s">
        <v>5466</v>
      </c>
      <c r="AX141" s="117">
        <v>140.0</v>
      </c>
    </row>
    <row r="142">
      <c r="A142" s="50" t="s">
        <v>5467</v>
      </c>
      <c r="B142" s="50" t="s">
        <v>5468</v>
      </c>
      <c r="C142" s="116"/>
      <c r="D142" s="116"/>
      <c r="E142" s="50">
        <v>3.52155090281144E14</v>
      </c>
      <c r="F142" s="50">
        <v>59.0</v>
      </c>
      <c r="G142" s="50">
        <v>12.0</v>
      </c>
      <c r="H142" s="116"/>
      <c r="I142" s="116"/>
      <c r="J142" s="116"/>
      <c r="K142" s="116"/>
      <c r="L142" s="50" t="s">
        <v>1046</v>
      </c>
      <c r="M142" s="50" t="s">
        <v>1046</v>
      </c>
      <c r="N142" s="50">
        <v>6.0</v>
      </c>
      <c r="O142" s="50" t="s">
        <v>5469</v>
      </c>
      <c r="P142" s="116"/>
      <c r="Q142" s="50" t="s">
        <v>5470</v>
      </c>
      <c r="R142" s="50">
        <v>22.5400289</v>
      </c>
      <c r="S142" s="50">
        <v>88.3872753</v>
      </c>
      <c r="T142" s="50">
        <v>-63.099998474121</v>
      </c>
      <c r="U142" s="50">
        <v>5.0</v>
      </c>
      <c r="V142" s="50">
        <v>2.0</v>
      </c>
      <c r="W142" s="50">
        <v>1.0</v>
      </c>
      <c r="X142" s="116"/>
      <c r="Y142" s="116"/>
      <c r="Z142" s="116"/>
      <c r="AA142" s="116"/>
      <c r="AB142" s="116"/>
      <c r="AC142" s="116"/>
      <c r="AD142" s="116"/>
      <c r="AE142" s="50">
        <v>2.0</v>
      </c>
      <c r="AF142" s="50">
        <v>2.0</v>
      </c>
      <c r="AG142" s="50">
        <v>4.0</v>
      </c>
      <c r="AH142" s="50">
        <v>4.0</v>
      </c>
      <c r="AI142" s="116"/>
      <c r="AJ142" s="116"/>
      <c r="AK142" s="116"/>
      <c r="AL142" s="116"/>
      <c r="AM142" s="116"/>
      <c r="AN142" s="116"/>
      <c r="AO142" s="116"/>
      <c r="AP142" s="116"/>
      <c r="AQ142" s="116"/>
      <c r="AR142" s="50" t="s">
        <v>2302</v>
      </c>
      <c r="AS142" s="50">
        <v>0.0</v>
      </c>
      <c r="AT142" s="50" t="s">
        <v>4619</v>
      </c>
      <c r="AU142" s="117">
        <v>3758.0</v>
      </c>
      <c r="AV142" s="50" t="s">
        <v>5471</v>
      </c>
      <c r="AW142" s="50" t="s">
        <v>5472</v>
      </c>
      <c r="AX142" s="117">
        <v>141.0</v>
      </c>
    </row>
    <row r="143">
      <c r="A143" s="50" t="s">
        <v>5473</v>
      </c>
      <c r="B143" s="50" t="s">
        <v>5474</v>
      </c>
      <c r="C143" s="116"/>
      <c r="D143" s="116"/>
      <c r="E143" s="50">
        <v>3.52155090281144E14</v>
      </c>
      <c r="F143" s="50">
        <v>58.0</v>
      </c>
      <c r="G143" s="50">
        <v>12.0</v>
      </c>
      <c r="H143" s="116"/>
      <c r="I143" s="116"/>
      <c r="J143" s="116"/>
      <c r="K143" s="116"/>
      <c r="L143" s="50" t="s">
        <v>1047</v>
      </c>
      <c r="M143" s="50" t="s">
        <v>1047</v>
      </c>
      <c r="N143" s="50">
        <v>2.0</v>
      </c>
      <c r="O143" s="50" t="s">
        <v>5475</v>
      </c>
      <c r="P143" s="116"/>
      <c r="Q143" s="50" t="s">
        <v>5476</v>
      </c>
      <c r="R143" s="50">
        <v>22.5542301</v>
      </c>
      <c r="S143" s="50">
        <v>88.3966706</v>
      </c>
      <c r="T143" s="50">
        <v>-52.5</v>
      </c>
      <c r="U143" s="50">
        <v>5.0</v>
      </c>
      <c r="V143" s="50">
        <v>1.0</v>
      </c>
      <c r="W143" s="50">
        <v>1.0</v>
      </c>
      <c r="X143" s="116"/>
      <c r="Y143" s="116"/>
      <c r="Z143" s="116"/>
      <c r="AA143" s="116"/>
      <c r="AB143" s="116"/>
      <c r="AC143" s="116"/>
      <c r="AD143" s="116"/>
      <c r="AE143" s="50">
        <v>1.0</v>
      </c>
      <c r="AF143" s="50">
        <v>2.0</v>
      </c>
      <c r="AG143" s="50">
        <v>3.0</v>
      </c>
      <c r="AH143" s="50">
        <v>4.0</v>
      </c>
      <c r="AI143" s="116"/>
      <c r="AJ143" s="116"/>
      <c r="AK143" s="116"/>
      <c r="AL143" s="116"/>
      <c r="AM143" s="116"/>
      <c r="AN143" s="116"/>
      <c r="AO143" s="116"/>
      <c r="AP143" s="116"/>
      <c r="AQ143" s="116"/>
      <c r="AR143" s="50" t="s">
        <v>2302</v>
      </c>
      <c r="AS143" s="50">
        <v>0.0</v>
      </c>
      <c r="AT143" s="50" t="s">
        <v>4619</v>
      </c>
      <c r="AU143" s="117">
        <v>3759.0</v>
      </c>
      <c r="AV143" s="50" t="s">
        <v>5477</v>
      </c>
      <c r="AW143" s="50" t="s">
        <v>5478</v>
      </c>
      <c r="AX143" s="117">
        <v>142.0</v>
      </c>
    </row>
    <row r="144">
      <c r="A144" s="50" t="s">
        <v>5479</v>
      </c>
      <c r="B144" s="50" t="s">
        <v>5480</v>
      </c>
      <c r="C144" s="116"/>
      <c r="D144" s="116"/>
      <c r="E144" s="50">
        <v>3.5215509147374E14</v>
      </c>
      <c r="F144" s="50">
        <v>58.0</v>
      </c>
      <c r="G144" s="50">
        <v>11.0</v>
      </c>
      <c r="H144" s="50">
        <v>4.0</v>
      </c>
      <c r="I144" s="50">
        <v>0.0</v>
      </c>
      <c r="J144" s="116"/>
      <c r="K144" s="116"/>
      <c r="L144" s="50" t="s">
        <v>1028</v>
      </c>
      <c r="M144" s="50" t="s">
        <v>1028</v>
      </c>
      <c r="N144" s="116"/>
      <c r="O144" s="116"/>
      <c r="P144" s="50" t="s">
        <v>5481</v>
      </c>
      <c r="Q144" s="50" t="s">
        <v>5482</v>
      </c>
      <c r="R144" s="50">
        <v>22.5525754</v>
      </c>
      <c r="S144" s="50">
        <v>88.3984623</v>
      </c>
      <c r="T144" s="50">
        <v>-52.9000015258789</v>
      </c>
      <c r="U144" s="50">
        <v>5.0</v>
      </c>
      <c r="V144" s="50">
        <v>1.0</v>
      </c>
      <c r="W144" s="50">
        <v>1.0</v>
      </c>
      <c r="X144" s="116"/>
      <c r="Y144" s="116"/>
      <c r="Z144" s="116"/>
      <c r="AA144" s="50">
        <v>2.0</v>
      </c>
      <c r="AB144" s="50">
        <v>4.0</v>
      </c>
      <c r="AC144" s="116"/>
      <c r="AD144" s="116"/>
      <c r="AE144" s="116"/>
      <c r="AF144" s="116"/>
      <c r="AG144" s="116"/>
      <c r="AH144" s="116"/>
      <c r="AI144" s="116"/>
      <c r="AJ144" s="116"/>
      <c r="AK144" s="116"/>
      <c r="AL144" s="116"/>
      <c r="AM144" s="116"/>
      <c r="AN144" s="116"/>
      <c r="AO144" s="116"/>
      <c r="AP144" s="116"/>
      <c r="AQ144" s="50" t="s">
        <v>5483</v>
      </c>
      <c r="AR144" s="50" t="s">
        <v>2286</v>
      </c>
      <c r="AS144" s="50">
        <v>1.0</v>
      </c>
      <c r="AT144" s="50" t="s">
        <v>4619</v>
      </c>
      <c r="AU144" s="117">
        <v>3761.0</v>
      </c>
      <c r="AV144" s="50" t="s">
        <v>5484</v>
      </c>
      <c r="AW144" s="50" t="s">
        <v>5485</v>
      </c>
      <c r="AX144" s="117">
        <v>143.0</v>
      </c>
    </row>
    <row r="145">
      <c r="A145" s="50" t="s">
        <v>5486</v>
      </c>
      <c r="B145" s="50" t="s">
        <v>5487</v>
      </c>
      <c r="C145" s="116"/>
      <c r="D145" s="116"/>
      <c r="E145" s="50">
        <v>3.5215509147374E14</v>
      </c>
      <c r="F145" s="50">
        <v>58.0</v>
      </c>
      <c r="G145" s="50">
        <v>99.0</v>
      </c>
      <c r="H145" s="116"/>
      <c r="I145" s="116"/>
      <c r="J145" s="116"/>
      <c r="K145" s="116"/>
      <c r="L145" s="50" t="s">
        <v>1030</v>
      </c>
      <c r="M145" s="50" t="s">
        <v>1030</v>
      </c>
      <c r="N145" s="116"/>
      <c r="O145" s="116"/>
      <c r="P145" s="116"/>
      <c r="Q145" s="116"/>
      <c r="R145" s="116"/>
      <c r="S145" s="116"/>
      <c r="T145" s="116"/>
      <c r="U145" s="116"/>
      <c r="V145" s="116"/>
      <c r="W145" s="116"/>
      <c r="X145" s="116"/>
      <c r="Y145" s="116"/>
      <c r="Z145" s="116"/>
      <c r="AA145" s="116"/>
      <c r="AB145" s="116"/>
      <c r="AC145" s="116"/>
      <c r="AD145" s="116"/>
      <c r="AE145" s="116"/>
      <c r="AF145" s="116"/>
      <c r="AG145" s="116"/>
      <c r="AH145" s="116"/>
      <c r="AI145" s="116"/>
      <c r="AJ145" s="116"/>
      <c r="AK145" s="116"/>
      <c r="AL145" s="116"/>
      <c r="AM145" s="116"/>
      <c r="AN145" s="116"/>
      <c r="AO145" s="116"/>
      <c r="AP145" s="116"/>
      <c r="AQ145" s="50" t="s">
        <v>5488</v>
      </c>
      <c r="AR145" s="50" t="s">
        <v>2278</v>
      </c>
      <c r="AS145" s="116"/>
      <c r="AT145" s="50" t="s">
        <v>4619</v>
      </c>
      <c r="AU145" s="117">
        <v>3762.0</v>
      </c>
      <c r="AV145" s="50" t="s">
        <v>5489</v>
      </c>
      <c r="AW145" s="50" t="s">
        <v>5490</v>
      </c>
      <c r="AX145" s="117">
        <v>144.0</v>
      </c>
    </row>
    <row r="146">
      <c r="A146" s="50" t="s">
        <v>5491</v>
      </c>
      <c r="B146" s="50" t="s">
        <v>5492</v>
      </c>
      <c r="C146" s="116"/>
      <c r="D146" s="116"/>
      <c r="E146" s="50">
        <v>3.52155090281144E14</v>
      </c>
      <c r="F146" s="50">
        <v>59.0</v>
      </c>
      <c r="G146" s="50">
        <v>11.0</v>
      </c>
      <c r="H146" s="50">
        <v>4.0</v>
      </c>
      <c r="I146" s="50">
        <v>0.0</v>
      </c>
      <c r="J146" s="116"/>
      <c r="K146" s="116"/>
      <c r="L146" s="50" t="s">
        <v>1055</v>
      </c>
      <c r="M146" s="50" t="s">
        <v>1055</v>
      </c>
      <c r="N146" s="116"/>
      <c r="O146" s="116"/>
      <c r="P146" s="50" t="s">
        <v>5494</v>
      </c>
      <c r="Q146" s="50" t="s">
        <v>5495</v>
      </c>
      <c r="R146" s="50">
        <v>22.5436696</v>
      </c>
      <c r="S146" s="50">
        <v>88.3800574</v>
      </c>
      <c r="T146" s="50">
        <v>-52.4000015258789</v>
      </c>
      <c r="U146" s="50">
        <v>5.0</v>
      </c>
      <c r="V146" s="50">
        <v>3.0</v>
      </c>
      <c r="W146" s="50">
        <v>1.0</v>
      </c>
      <c r="X146" s="116"/>
      <c r="Y146" s="116"/>
      <c r="Z146" s="116"/>
      <c r="AA146" s="50">
        <v>2.0</v>
      </c>
      <c r="AB146" s="50">
        <v>4.0</v>
      </c>
      <c r="AC146" s="116"/>
      <c r="AD146" s="116"/>
      <c r="AE146" s="116"/>
      <c r="AF146" s="116"/>
      <c r="AG146" s="116"/>
      <c r="AH146" s="116"/>
      <c r="AI146" s="116"/>
      <c r="AJ146" s="116"/>
      <c r="AK146" s="116"/>
      <c r="AL146" s="116"/>
      <c r="AM146" s="116"/>
      <c r="AN146" s="116"/>
      <c r="AO146" s="116"/>
      <c r="AP146" s="116"/>
      <c r="AQ146" s="50" t="s">
        <v>5364</v>
      </c>
      <c r="AR146" s="50" t="s">
        <v>2318</v>
      </c>
      <c r="AS146" s="50">
        <v>1.0</v>
      </c>
      <c r="AT146" s="50" t="s">
        <v>4619</v>
      </c>
      <c r="AU146" s="117">
        <v>3797.0</v>
      </c>
      <c r="AV146" s="50" t="s">
        <v>5496</v>
      </c>
      <c r="AW146" s="50" t="s">
        <v>5497</v>
      </c>
      <c r="AX146" s="117">
        <v>145.0</v>
      </c>
    </row>
    <row r="147">
      <c r="A147" s="50" t="s">
        <v>5498</v>
      </c>
      <c r="B147" s="50" t="s">
        <v>5499</v>
      </c>
      <c r="C147" s="116"/>
      <c r="D147" s="116"/>
      <c r="E147" s="50">
        <v>3.52155090281144E14</v>
      </c>
      <c r="F147" s="50">
        <v>59.0</v>
      </c>
      <c r="G147" s="50">
        <v>99.0</v>
      </c>
      <c r="H147" s="116"/>
      <c r="I147" s="116"/>
      <c r="J147" s="116"/>
      <c r="K147" s="116"/>
      <c r="L147" s="50" t="s">
        <v>1057</v>
      </c>
      <c r="M147" s="50" t="s">
        <v>1057</v>
      </c>
      <c r="N147" s="116"/>
      <c r="O147" s="116"/>
      <c r="P147" s="116"/>
      <c r="Q147" s="116"/>
      <c r="R147" s="116"/>
      <c r="S147" s="116"/>
      <c r="T147" s="116"/>
      <c r="U147" s="116"/>
      <c r="V147" s="116"/>
      <c r="W147" s="116"/>
      <c r="X147" s="116"/>
      <c r="Y147" s="116"/>
      <c r="Z147" s="116"/>
      <c r="AA147" s="116"/>
      <c r="AB147" s="116"/>
      <c r="AC147" s="116"/>
      <c r="AD147" s="116"/>
      <c r="AE147" s="116"/>
      <c r="AF147" s="116"/>
      <c r="AG147" s="116"/>
      <c r="AH147" s="116"/>
      <c r="AI147" s="116"/>
      <c r="AJ147" s="116"/>
      <c r="AK147" s="116"/>
      <c r="AL147" s="116"/>
      <c r="AM147" s="116"/>
      <c r="AN147" s="116"/>
      <c r="AO147" s="116"/>
      <c r="AP147" s="116"/>
      <c r="AQ147" s="50" t="s">
        <v>5500</v>
      </c>
      <c r="AR147" s="50" t="s">
        <v>2278</v>
      </c>
      <c r="AS147" s="116"/>
      <c r="AT147" s="50" t="s">
        <v>4619</v>
      </c>
      <c r="AU147" s="117">
        <v>3798.0</v>
      </c>
      <c r="AV147" s="50" t="s">
        <v>5501</v>
      </c>
      <c r="AW147" s="50" t="s">
        <v>5502</v>
      </c>
      <c r="AX147" s="117">
        <v>146.0</v>
      </c>
    </row>
    <row r="148">
      <c r="A148" s="50" t="s">
        <v>5503</v>
      </c>
      <c r="B148" s="50" t="s">
        <v>5504</v>
      </c>
      <c r="C148" s="116"/>
      <c r="D148" s="116"/>
      <c r="E148" s="50">
        <v>3.52155090281144E14</v>
      </c>
      <c r="F148" s="50">
        <v>55.0</v>
      </c>
      <c r="G148" s="50">
        <v>12.0</v>
      </c>
      <c r="H148" s="116"/>
      <c r="I148" s="116"/>
      <c r="J148" s="116"/>
      <c r="K148" s="116"/>
      <c r="L148" s="50" t="s">
        <v>1066</v>
      </c>
      <c r="M148" s="50" t="s">
        <v>1066</v>
      </c>
      <c r="N148" s="50">
        <v>4.0</v>
      </c>
      <c r="O148" s="50" t="s">
        <v>5505</v>
      </c>
      <c r="P148" s="116"/>
      <c r="Q148" s="50" t="s">
        <v>5506</v>
      </c>
      <c r="R148" s="50">
        <v>22.5635884</v>
      </c>
      <c r="S148" s="50">
        <v>88.3773059</v>
      </c>
      <c r="T148" s="50">
        <v>-56.2000007629394</v>
      </c>
      <c r="U148" s="50">
        <v>5.0</v>
      </c>
      <c r="V148" s="50">
        <v>3.0</v>
      </c>
      <c r="W148" s="50">
        <v>1.0</v>
      </c>
      <c r="X148" s="116"/>
      <c r="Y148" s="116"/>
      <c r="Z148" s="116"/>
      <c r="AA148" s="116"/>
      <c r="AB148" s="116"/>
      <c r="AC148" s="116"/>
      <c r="AD148" s="116"/>
      <c r="AE148" s="50">
        <v>1.0</v>
      </c>
      <c r="AF148" s="50">
        <v>1.0</v>
      </c>
      <c r="AG148" s="50">
        <v>4.0</v>
      </c>
      <c r="AH148" s="50">
        <v>4.0</v>
      </c>
      <c r="AI148" s="116"/>
      <c r="AJ148" s="116"/>
      <c r="AK148" s="116"/>
      <c r="AL148" s="116"/>
      <c r="AM148" s="116"/>
      <c r="AN148" s="116"/>
      <c r="AO148" s="116"/>
      <c r="AP148" s="116"/>
      <c r="AQ148" s="116"/>
      <c r="AR148" s="50" t="s">
        <v>2302</v>
      </c>
      <c r="AS148" s="50">
        <v>0.0</v>
      </c>
      <c r="AT148" s="50" t="s">
        <v>4619</v>
      </c>
      <c r="AU148" s="117">
        <v>3799.0</v>
      </c>
      <c r="AV148" s="50" t="s">
        <v>5508</v>
      </c>
      <c r="AW148" s="50" t="s">
        <v>5509</v>
      </c>
      <c r="AX148" s="117">
        <v>147.0</v>
      </c>
    </row>
    <row r="149">
      <c r="A149" s="50" t="s">
        <v>5510</v>
      </c>
      <c r="B149" s="50" t="s">
        <v>5511</v>
      </c>
      <c r="C149" s="116"/>
      <c r="D149" s="116"/>
      <c r="E149" s="50">
        <v>3.52155090281144E14</v>
      </c>
      <c r="F149" s="50">
        <v>65.0</v>
      </c>
      <c r="G149" s="50">
        <v>12.0</v>
      </c>
      <c r="H149" s="116"/>
      <c r="I149" s="116"/>
      <c r="J149" s="116"/>
      <c r="K149" s="116"/>
      <c r="L149" s="50" t="s">
        <v>1068</v>
      </c>
      <c r="M149" s="50" t="s">
        <v>1068</v>
      </c>
      <c r="N149" s="50">
        <v>8.0</v>
      </c>
      <c r="O149" s="50" t="s">
        <v>5512</v>
      </c>
      <c r="P149" s="116"/>
      <c r="Q149" s="50" t="s">
        <v>5513</v>
      </c>
      <c r="R149" s="50">
        <v>22.5361995</v>
      </c>
      <c r="S149" s="50">
        <v>88.3745445</v>
      </c>
      <c r="T149" s="50">
        <v>-32.9000015258789</v>
      </c>
      <c r="U149" s="50">
        <v>4.5</v>
      </c>
      <c r="V149" s="50">
        <v>3.0</v>
      </c>
      <c r="W149" s="50">
        <v>1.0</v>
      </c>
      <c r="X149" s="116"/>
      <c r="Y149" s="116"/>
      <c r="Z149" s="116"/>
      <c r="AA149" s="116"/>
      <c r="AB149" s="116"/>
      <c r="AC149" s="116"/>
      <c r="AD149" s="116"/>
      <c r="AE149" s="50">
        <v>2.0</v>
      </c>
      <c r="AF149" s="50">
        <v>1.0</v>
      </c>
      <c r="AG149" s="50">
        <v>4.0</v>
      </c>
      <c r="AH149" s="50">
        <v>4.0</v>
      </c>
      <c r="AI149" s="116"/>
      <c r="AJ149" s="116"/>
      <c r="AK149" s="116"/>
      <c r="AL149" s="116"/>
      <c r="AM149" s="116"/>
      <c r="AN149" s="116"/>
      <c r="AO149" s="116"/>
      <c r="AP149" s="116"/>
      <c r="AQ149" s="116"/>
      <c r="AR149" s="50" t="s">
        <v>2327</v>
      </c>
      <c r="AS149" s="50">
        <v>0.0</v>
      </c>
      <c r="AT149" s="50" t="s">
        <v>4619</v>
      </c>
      <c r="AU149" s="117">
        <v>3800.0</v>
      </c>
      <c r="AV149" s="50" t="s">
        <v>5514</v>
      </c>
      <c r="AW149" s="50" t="s">
        <v>5515</v>
      </c>
      <c r="AX149" s="117">
        <v>148.0</v>
      </c>
    </row>
    <row r="150">
      <c r="A150" s="50" t="s">
        <v>5516</v>
      </c>
      <c r="B150" s="50" t="s">
        <v>5517</v>
      </c>
      <c r="C150" s="116"/>
      <c r="D150" s="116"/>
      <c r="E150" s="50">
        <v>3.52155090281144E14</v>
      </c>
      <c r="F150" s="50">
        <v>57.0</v>
      </c>
      <c r="G150" s="50">
        <v>12.0</v>
      </c>
      <c r="H150" s="116"/>
      <c r="I150" s="116"/>
      <c r="J150" s="116"/>
      <c r="K150" s="116"/>
      <c r="L150" s="50" t="s">
        <v>1069</v>
      </c>
      <c r="M150" s="50" t="s">
        <v>1069</v>
      </c>
      <c r="N150" s="50">
        <v>3.0</v>
      </c>
      <c r="O150" s="50" t="s">
        <v>5519</v>
      </c>
      <c r="P150" s="116"/>
      <c r="Q150" s="50" t="s">
        <v>5520</v>
      </c>
      <c r="R150" s="50">
        <v>22.5564173</v>
      </c>
      <c r="S150" s="50">
        <v>88.39203</v>
      </c>
      <c r="T150" s="50">
        <v>-25.6000003814697</v>
      </c>
      <c r="U150" s="50">
        <v>5.0</v>
      </c>
      <c r="V150" s="50">
        <v>2.0</v>
      </c>
      <c r="W150" s="50">
        <v>1.0</v>
      </c>
      <c r="X150" s="116"/>
      <c r="Y150" s="116"/>
      <c r="Z150" s="116"/>
      <c r="AA150" s="116"/>
      <c r="AB150" s="116"/>
      <c r="AC150" s="116"/>
      <c r="AD150" s="116"/>
      <c r="AE150" s="50">
        <v>1.0</v>
      </c>
      <c r="AF150" s="50">
        <v>1.0</v>
      </c>
      <c r="AG150" s="50">
        <v>3.0</v>
      </c>
      <c r="AH150" s="50">
        <v>4.0</v>
      </c>
      <c r="AI150" s="116"/>
      <c r="AJ150" s="116"/>
      <c r="AK150" s="116"/>
      <c r="AL150" s="116"/>
      <c r="AM150" s="116"/>
      <c r="AN150" s="116"/>
      <c r="AO150" s="116"/>
      <c r="AP150" s="116"/>
      <c r="AQ150" s="50" t="s">
        <v>5521</v>
      </c>
      <c r="AR150" s="50" t="s">
        <v>2318</v>
      </c>
      <c r="AS150" s="50">
        <v>0.0</v>
      </c>
      <c r="AT150" s="50" t="s">
        <v>4619</v>
      </c>
      <c r="AU150" s="117">
        <v>3801.0</v>
      </c>
      <c r="AV150" s="50" t="s">
        <v>5522</v>
      </c>
      <c r="AW150" s="50" t="s">
        <v>5523</v>
      </c>
      <c r="AX150" s="117">
        <v>149.0</v>
      </c>
    </row>
    <row r="151">
      <c r="A151" s="50" t="s">
        <v>5524</v>
      </c>
      <c r="B151" s="50" t="s">
        <v>5525</v>
      </c>
      <c r="C151" s="116"/>
      <c r="D151" s="116"/>
      <c r="E151" s="50">
        <v>3.52155090281144E14</v>
      </c>
      <c r="F151" s="50">
        <v>57.0</v>
      </c>
      <c r="G151" s="50">
        <v>12.0</v>
      </c>
      <c r="H151" s="116"/>
      <c r="I151" s="116"/>
      <c r="J151" s="116"/>
      <c r="K151" s="116"/>
      <c r="L151" s="50" t="s">
        <v>1070</v>
      </c>
      <c r="M151" s="50" t="s">
        <v>1070</v>
      </c>
      <c r="N151" s="50">
        <v>7.0</v>
      </c>
      <c r="O151" s="50" t="s">
        <v>5526</v>
      </c>
      <c r="P151" s="116"/>
      <c r="Q151" s="50" t="s">
        <v>5527</v>
      </c>
      <c r="R151" s="50">
        <v>22.5579938</v>
      </c>
      <c r="S151" s="50">
        <v>88.3896168</v>
      </c>
      <c r="T151" s="50">
        <v>-57.9000015258789</v>
      </c>
      <c r="U151" s="50">
        <v>5.0</v>
      </c>
      <c r="V151" s="50">
        <v>2.0</v>
      </c>
      <c r="W151" s="50">
        <v>1.0</v>
      </c>
      <c r="X151" s="116"/>
      <c r="Y151" s="116"/>
      <c r="Z151" s="116"/>
      <c r="AA151" s="116"/>
      <c r="AB151" s="116"/>
      <c r="AC151" s="116"/>
      <c r="AD151" s="116"/>
      <c r="AE151" s="50">
        <v>1.0</v>
      </c>
      <c r="AF151" s="50">
        <v>2.0</v>
      </c>
      <c r="AG151" s="50">
        <v>3.0</v>
      </c>
      <c r="AH151" s="50">
        <v>4.0</v>
      </c>
      <c r="AI151" s="116"/>
      <c r="AJ151" s="116"/>
      <c r="AK151" s="116"/>
      <c r="AL151" s="116"/>
      <c r="AM151" s="116"/>
      <c r="AN151" s="116"/>
      <c r="AO151" s="116"/>
      <c r="AP151" s="116"/>
      <c r="AQ151" s="116"/>
      <c r="AR151" s="50" t="s">
        <v>2278</v>
      </c>
      <c r="AS151" s="50">
        <v>0.0</v>
      </c>
      <c r="AT151" s="50" t="s">
        <v>4619</v>
      </c>
      <c r="AU151" s="117">
        <v>3802.0</v>
      </c>
      <c r="AV151" s="50" t="s">
        <v>5529</v>
      </c>
      <c r="AW151" s="50" t="s">
        <v>5530</v>
      </c>
      <c r="AX151" s="117">
        <v>150.0</v>
      </c>
    </row>
    <row r="152">
      <c r="A152" s="50" t="s">
        <v>5531</v>
      </c>
      <c r="B152" s="50" t="s">
        <v>5532</v>
      </c>
      <c r="C152" s="116"/>
      <c r="D152" s="116"/>
      <c r="E152" s="50">
        <v>3.52155090281144E14</v>
      </c>
      <c r="F152" s="50">
        <v>57.0</v>
      </c>
      <c r="G152" s="50">
        <v>99.0</v>
      </c>
      <c r="H152" s="116"/>
      <c r="I152" s="116"/>
      <c r="J152" s="116"/>
      <c r="K152" s="116"/>
      <c r="L152" s="50" t="s">
        <v>1071</v>
      </c>
      <c r="M152" s="50" t="s">
        <v>1071</v>
      </c>
      <c r="N152" s="116"/>
      <c r="O152" s="116"/>
      <c r="P152" s="116"/>
      <c r="Q152" s="116"/>
      <c r="R152" s="116"/>
      <c r="S152" s="116"/>
      <c r="T152" s="116"/>
      <c r="U152" s="116"/>
      <c r="V152" s="116"/>
      <c r="W152" s="116"/>
      <c r="X152" s="116"/>
      <c r="Y152" s="116"/>
      <c r="Z152" s="116"/>
      <c r="AA152" s="116"/>
      <c r="AB152" s="116"/>
      <c r="AC152" s="116"/>
      <c r="AD152" s="116"/>
      <c r="AE152" s="116"/>
      <c r="AF152" s="116"/>
      <c r="AG152" s="116"/>
      <c r="AH152" s="116"/>
      <c r="AI152" s="116"/>
      <c r="AJ152" s="116"/>
      <c r="AK152" s="116"/>
      <c r="AL152" s="116"/>
      <c r="AM152" s="116"/>
      <c r="AN152" s="116"/>
      <c r="AO152" s="116"/>
      <c r="AP152" s="116"/>
      <c r="AQ152" s="116"/>
      <c r="AR152" s="50" t="s">
        <v>2318</v>
      </c>
      <c r="AS152" s="116"/>
      <c r="AT152" s="50" t="s">
        <v>4619</v>
      </c>
      <c r="AU152" s="117">
        <v>3803.0</v>
      </c>
      <c r="AV152" s="50" t="s">
        <v>5533</v>
      </c>
      <c r="AW152" s="50" t="s">
        <v>5534</v>
      </c>
      <c r="AX152" s="117">
        <v>151.0</v>
      </c>
    </row>
    <row r="153">
      <c r="A153" s="50" t="s">
        <v>5535</v>
      </c>
      <c r="B153" s="50" t="s">
        <v>5536</v>
      </c>
      <c r="C153" s="116"/>
      <c r="D153" s="116"/>
      <c r="E153" s="50">
        <v>3.52155090281144E14</v>
      </c>
      <c r="F153" s="50">
        <v>57.0</v>
      </c>
      <c r="G153" s="50">
        <v>11.0</v>
      </c>
      <c r="H153" s="50">
        <v>1.0</v>
      </c>
      <c r="I153" s="116"/>
      <c r="J153" s="116"/>
      <c r="K153" s="116"/>
      <c r="L153" s="50" t="s">
        <v>1137</v>
      </c>
      <c r="M153" s="50" t="s">
        <v>1137</v>
      </c>
      <c r="N153" s="116"/>
      <c r="O153" s="116"/>
      <c r="P153" s="50" t="s">
        <v>5537</v>
      </c>
      <c r="Q153" s="50" t="s">
        <v>5538</v>
      </c>
      <c r="R153" s="50">
        <v>22.5564528</v>
      </c>
      <c r="S153" s="50">
        <v>88.392092</v>
      </c>
      <c r="T153" s="50">
        <v>-48.099998474121</v>
      </c>
      <c r="U153" s="50">
        <v>5.0</v>
      </c>
      <c r="V153" s="50">
        <v>2.0</v>
      </c>
      <c r="W153" s="50">
        <v>1.0</v>
      </c>
      <c r="X153" s="116"/>
      <c r="Y153" s="116"/>
      <c r="Z153" s="116"/>
      <c r="AA153" s="50">
        <v>1.0</v>
      </c>
      <c r="AB153" s="50">
        <v>4.0</v>
      </c>
      <c r="AC153" s="116"/>
      <c r="AD153" s="116"/>
      <c r="AE153" s="116"/>
      <c r="AF153" s="116"/>
      <c r="AG153" s="116"/>
      <c r="AH153" s="116"/>
      <c r="AI153" s="116"/>
      <c r="AJ153" s="116"/>
      <c r="AK153" s="116"/>
      <c r="AL153" s="116"/>
      <c r="AM153" s="116"/>
      <c r="AN153" s="116"/>
      <c r="AO153" s="116"/>
      <c r="AP153" s="116"/>
      <c r="AQ153" s="50" t="s">
        <v>5539</v>
      </c>
      <c r="AR153" s="50" t="s">
        <v>2472</v>
      </c>
      <c r="AS153" s="50">
        <v>0.0</v>
      </c>
      <c r="AT153" s="50" t="s">
        <v>5540</v>
      </c>
      <c r="AU153" s="117">
        <v>3925.0</v>
      </c>
      <c r="AV153" s="50" t="s">
        <v>5541</v>
      </c>
      <c r="AW153" s="50" t="s">
        <v>5542</v>
      </c>
      <c r="AX153" s="117">
        <v>152.0</v>
      </c>
    </row>
    <row r="154">
      <c r="A154" s="50" t="s">
        <v>5543</v>
      </c>
      <c r="B154" s="50" t="s">
        <v>5544</v>
      </c>
      <c r="C154" s="116"/>
      <c r="D154" s="116"/>
      <c r="E154" s="50">
        <v>3.52155090281144E14</v>
      </c>
      <c r="F154" s="50">
        <v>58.0</v>
      </c>
      <c r="G154" s="50">
        <v>11.0</v>
      </c>
      <c r="H154" s="50">
        <v>4.0</v>
      </c>
      <c r="I154" s="50">
        <v>0.0</v>
      </c>
      <c r="J154" s="116"/>
      <c r="K154" s="116"/>
      <c r="L154" s="50" t="s">
        <v>1087</v>
      </c>
      <c r="M154" s="50" t="s">
        <v>1087</v>
      </c>
      <c r="N154" s="116"/>
      <c r="O154" s="116"/>
      <c r="P154" s="50" t="s">
        <v>5545</v>
      </c>
      <c r="Q154" s="50" t="s">
        <v>5546</v>
      </c>
      <c r="R154" s="50">
        <v>22.5535414</v>
      </c>
      <c r="S154" s="50">
        <v>88.3987593</v>
      </c>
      <c r="T154" s="50">
        <v>-37.9000015258789</v>
      </c>
      <c r="U154" s="50">
        <v>5.0</v>
      </c>
      <c r="V154" s="50">
        <v>2.0</v>
      </c>
      <c r="W154" s="50">
        <v>0.0</v>
      </c>
      <c r="X154" s="50">
        <v>1.0</v>
      </c>
      <c r="Y154" s="116"/>
      <c r="Z154" s="116"/>
      <c r="AA154" s="50">
        <v>1.0</v>
      </c>
      <c r="AB154" s="50">
        <v>4.0</v>
      </c>
      <c r="AC154" s="116"/>
      <c r="AD154" s="116"/>
      <c r="AE154" s="116"/>
      <c r="AF154" s="116"/>
      <c r="AG154" s="116"/>
      <c r="AH154" s="116"/>
      <c r="AI154" s="116"/>
      <c r="AJ154" s="116"/>
      <c r="AK154" s="116"/>
      <c r="AL154" s="116"/>
      <c r="AM154" s="116"/>
      <c r="AN154" s="116"/>
      <c r="AO154" s="116"/>
      <c r="AP154" s="116"/>
      <c r="AQ154" s="50" t="s">
        <v>5548</v>
      </c>
      <c r="AR154" s="50" t="s">
        <v>2302</v>
      </c>
      <c r="AS154" s="50">
        <v>1.0</v>
      </c>
      <c r="AT154" s="50" t="s">
        <v>5540</v>
      </c>
      <c r="AU154" s="117">
        <v>3929.0</v>
      </c>
      <c r="AV154" s="50" t="s">
        <v>5549</v>
      </c>
      <c r="AW154" s="50" t="s">
        <v>5550</v>
      </c>
      <c r="AX154" s="117">
        <v>153.0</v>
      </c>
    </row>
    <row r="155">
      <c r="A155" s="50" t="s">
        <v>5551</v>
      </c>
      <c r="B155" s="50" t="s">
        <v>5552</v>
      </c>
      <c r="C155" s="116"/>
      <c r="D155" s="116"/>
      <c r="E155" s="50">
        <v>3.52155090281144E14</v>
      </c>
      <c r="F155" s="50">
        <v>58.0</v>
      </c>
      <c r="G155" s="50">
        <v>99.0</v>
      </c>
      <c r="H155" s="116"/>
      <c r="I155" s="116"/>
      <c r="J155" s="116"/>
      <c r="K155" s="50">
        <v>2.0</v>
      </c>
      <c r="L155" s="50" t="s">
        <v>1088</v>
      </c>
      <c r="M155" s="50" t="s">
        <v>1088</v>
      </c>
      <c r="N155" s="116"/>
      <c r="O155" s="116"/>
      <c r="P155" s="50" t="s">
        <v>5553</v>
      </c>
      <c r="Q155" s="50" t="s">
        <v>5554</v>
      </c>
      <c r="R155" s="50">
        <v>22.553546</v>
      </c>
      <c r="S155" s="50">
        <v>88.3987253</v>
      </c>
      <c r="T155" s="50">
        <v>-54.0</v>
      </c>
      <c r="U155" s="50">
        <v>5.0</v>
      </c>
      <c r="V155" s="50">
        <v>2.0</v>
      </c>
      <c r="W155" s="50">
        <v>0.0</v>
      </c>
      <c r="X155" s="50">
        <v>1.0</v>
      </c>
      <c r="Y155" s="116"/>
      <c r="Z155" s="116"/>
      <c r="AA155" s="116"/>
      <c r="AB155" s="116"/>
      <c r="AC155" s="116"/>
      <c r="AD155" s="116"/>
      <c r="AE155" s="116"/>
      <c r="AF155" s="116"/>
      <c r="AG155" s="116"/>
      <c r="AH155" s="116"/>
      <c r="AI155" s="116"/>
      <c r="AJ155" s="116"/>
      <c r="AK155" s="116"/>
      <c r="AL155" s="116"/>
      <c r="AM155" s="116"/>
      <c r="AN155" s="116"/>
      <c r="AO155" s="116"/>
      <c r="AP155" s="116"/>
      <c r="AQ155" s="50" t="s">
        <v>5555</v>
      </c>
      <c r="AR155" s="50" t="s">
        <v>2302</v>
      </c>
      <c r="AS155" s="116"/>
      <c r="AT155" s="50" t="s">
        <v>5540</v>
      </c>
      <c r="AU155" s="117">
        <v>3930.0</v>
      </c>
      <c r="AV155" s="50" t="s">
        <v>5556</v>
      </c>
      <c r="AW155" s="50" t="s">
        <v>5557</v>
      </c>
      <c r="AX155" s="117">
        <v>154.0</v>
      </c>
    </row>
    <row r="156">
      <c r="A156" s="50" t="s">
        <v>5558</v>
      </c>
      <c r="B156" s="50" t="s">
        <v>5559</v>
      </c>
      <c r="C156" s="116"/>
      <c r="D156" s="116"/>
      <c r="E156" s="50">
        <v>3.52155090281144E14</v>
      </c>
      <c r="F156" s="50">
        <v>57.0</v>
      </c>
      <c r="G156" s="50">
        <v>11.0</v>
      </c>
      <c r="H156" s="50">
        <v>1.0</v>
      </c>
      <c r="I156" s="116"/>
      <c r="J156" s="116"/>
      <c r="K156" s="116"/>
      <c r="L156" s="50" t="s">
        <v>1110</v>
      </c>
      <c r="M156" s="50" t="s">
        <v>1110</v>
      </c>
      <c r="N156" s="116"/>
      <c r="O156" s="116"/>
      <c r="P156" s="50" t="s">
        <v>5560</v>
      </c>
      <c r="Q156" s="50" t="s">
        <v>5561</v>
      </c>
      <c r="R156" s="50">
        <v>22.5542172</v>
      </c>
      <c r="S156" s="50">
        <v>88.3967227</v>
      </c>
      <c r="T156" s="50">
        <v>-53.5</v>
      </c>
      <c r="U156" s="50">
        <v>5.0</v>
      </c>
      <c r="V156" s="50">
        <v>1.0</v>
      </c>
      <c r="W156" s="50">
        <v>0.0</v>
      </c>
      <c r="X156" s="50">
        <v>1.0</v>
      </c>
      <c r="Y156" s="116"/>
      <c r="Z156" s="116"/>
      <c r="AA156" s="50">
        <v>2.0</v>
      </c>
      <c r="AB156" s="50">
        <v>4.0</v>
      </c>
      <c r="AC156" s="116"/>
      <c r="AD156" s="116"/>
      <c r="AE156" s="116"/>
      <c r="AF156" s="116"/>
      <c r="AG156" s="116"/>
      <c r="AH156" s="116"/>
      <c r="AI156" s="116"/>
      <c r="AJ156" s="116"/>
      <c r="AK156" s="116"/>
      <c r="AL156" s="116"/>
      <c r="AM156" s="116"/>
      <c r="AN156" s="116"/>
      <c r="AO156" s="116"/>
      <c r="AP156" s="116"/>
      <c r="AQ156" s="50" t="s">
        <v>5562</v>
      </c>
      <c r="AR156" s="50" t="s">
        <v>2472</v>
      </c>
      <c r="AS156" s="50">
        <v>0.0</v>
      </c>
      <c r="AT156" s="50" t="s">
        <v>5540</v>
      </c>
      <c r="AU156" s="117">
        <v>3940.0</v>
      </c>
      <c r="AV156" s="50" t="s">
        <v>5563</v>
      </c>
      <c r="AW156" s="50" t="s">
        <v>5564</v>
      </c>
      <c r="AX156" s="117">
        <v>155.0</v>
      </c>
    </row>
    <row r="157">
      <c r="A157" s="50" t="s">
        <v>5565</v>
      </c>
      <c r="B157" s="50" t="s">
        <v>5566</v>
      </c>
      <c r="C157" s="116"/>
      <c r="D157" s="116"/>
      <c r="E157" s="50">
        <v>3.52155090281144E14</v>
      </c>
      <c r="F157" s="50">
        <v>65.0</v>
      </c>
      <c r="G157" s="50">
        <v>11.0</v>
      </c>
      <c r="H157" s="50">
        <v>1.0</v>
      </c>
      <c r="I157" s="116"/>
      <c r="J157" s="116"/>
      <c r="K157" s="116"/>
      <c r="L157" s="50" t="s">
        <v>1137</v>
      </c>
      <c r="M157" s="50" t="s">
        <v>1137</v>
      </c>
      <c r="N157" s="116"/>
      <c r="O157" s="116"/>
      <c r="P157" s="50" t="s">
        <v>5567</v>
      </c>
      <c r="Q157" s="50" t="s">
        <v>5568</v>
      </c>
      <c r="R157" s="50">
        <v>22.5362377</v>
      </c>
      <c r="S157" s="50">
        <v>88.3749907</v>
      </c>
      <c r="T157" s="50">
        <v>-99.4000015258789</v>
      </c>
      <c r="U157" s="50">
        <v>5.0</v>
      </c>
      <c r="V157" s="50">
        <v>1.0</v>
      </c>
      <c r="W157" s="50">
        <v>1.0</v>
      </c>
      <c r="X157" s="116"/>
      <c r="Y157" s="116"/>
      <c r="Z157" s="116"/>
      <c r="AA157" s="50">
        <v>1.0</v>
      </c>
      <c r="AB157" s="50">
        <v>4.0</v>
      </c>
      <c r="AC157" s="116"/>
      <c r="AD157" s="116"/>
      <c r="AE157" s="116"/>
      <c r="AF157" s="116"/>
      <c r="AG157" s="116"/>
      <c r="AH157" s="116"/>
      <c r="AI157" s="116"/>
      <c r="AJ157" s="116"/>
      <c r="AK157" s="116"/>
      <c r="AL157" s="116"/>
      <c r="AM157" s="116"/>
      <c r="AN157" s="116"/>
      <c r="AO157" s="116"/>
      <c r="AP157" s="116"/>
      <c r="AQ157" s="50" t="s">
        <v>5570</v>
      </c>
      <c r="AR157" s="50" t="s">
        <v>2278</v>
      </c>
      <c r="AS157" s="50">
        <v>0.0</v>
      </c>
      <c r="AT157" s="50" t="s">
        <v>5540</v>
      </c>
      <c r="AU157" s="117">
        <v>4015.0</v>
      </c>
      <c r="AV157" s="50" t="s">
        <v>5571</v>
      </c>
      <c r="AW157" s="50" t="s">
        <v>5572</v>
      </c>
      <c r="AX157" s="117">
        <v>156.0</v>
      </c>
    </row>
    <row r="158">
      <c r="A158" s="50" t="s">
        <v>5573</v>
      </c>
      <c r="B158" s="50" t="s">
        <v>5574</v>
      </c>
      <c r="C158" s="116"/>
      <c r="D158" s="116"/>
      <c r="E158" s="50">
        <v>3.52155090281144E14</v>
      </c>
      <c r="F158" s="50">
        <v>59.0</v>
      </c>
      <c r="G158" s="50">
        <v>11.0</v>
      </c>
      <c r="H158" s="50">
        <v>4.0</v>
      </c>
      <c r="I158" s="50">
        <v>0.0</v>
      </c>
      <c r="J158" s="116"/>
      <c r="K158" s="116"/>
      <c r="L158" s="50" t="s">
        <v>1144</v>
      </c>
      <c r="M158" s="50" t="s">
        <v>1144</v>
      </c>
      <c r="N158" s="116"/>
      <c r="O158" s="116"/>
      <c r="P158" s="50" t="s">
        <v>5575</v>
      </c>
      <c r="Q158" s="50" t="s">
        <v>5576</v>
      </c>
      <c r="R158" s="50">
        <v>22.5451726</v>
      </c>
      <c r="S158" s="50">
        <v>88.3820583</v>
      </c>
      <c r="T158" s="50">
        <v>-41.5</v>
      </c>
      <c r="U158" s="50">
        <v>5.0</v>
      </c>
      <c r="V158" s="50">
        <v>2.0</v>
      </c>
      <c r="W158" s="50">
        <v>1.0</v>
      </c>
      <c r="X158" s="116"/>
      <c r="Y158" s="116"/>
      <c r="Z158" s="116"/>
      <c r="AA158" s="50">
        <v>2.0</v>
      </c>
      <c r="AB158" s="50">
        <v>4.0</v>
      </c>
      <c r="AC158" s="116"/>
      <c r="AD158" s="116"/>
      <c r="AE158" s="116"/>
      <c r="AF158" s="116"/>
      <c r="AG158" s="116"/>
      <c r="AH158" s="116"/>
      <c r="AI158" s="116"/>
      <c r="AJ158" s="116"/>
      <c r="AK158" s="116"/>
      <c r="AL158" s="116"/>
      <c r="AM158" s="116"/>
      <c r="AN158" s="116"/>
      <c r="AO158" s="116"/>
      <c r="AP158" s="116"/>
      <c r="AQ158" s="50" t="s">
        <v>5578</v>
      </c>
      <c r="AR158" s="50" t="s">
        <v>2472</v>
      </c>
      <c r="AS158" s="50">
        <v>1.0</v>
      </c>
      <c r="AT158" s="50" t="s">
        <v>5540</v>
      </c>
      <c r="AU158" s="117">
        <v>4026.0</v>
      </c>
      <c r="AV158" s="50" t="s">
        <v>5579</v>
      </c>
      <c r="AW158" s="50" t="s">
        <v>5580</v>
      </c>
      <c r="AX158" s="117">
        <v>157.0</v>
      </c>
    </row>
    <row r="159">
      <c r="A159" s="50" t="s">
        <v>5581</v>
      </c>
      <c r="B159" s="50" t="s">
        <v>5582</v>
      </c>
      <c r="C159" s="116"/>
      <c r="D159" s="116"/>
      <c r="E159" s="50">
        <v>3.52155090281144E14</v>
      </c>
      <c r="F159" s="50">
        <v>59.0</v>
      </c>
      <c r="G159" s="50">
        <v>99.0</v>
      </c>
      <c r="H159" s="116"/>
      <c r="I159" s="116"/>
      <c r="J159" s="116"/>
      <c r="K159" s="50">
        <v>2.0</v>
      </c>
      <c r="L159" s="50" t="s">
        <v>1147</v>
      </c>
      <c r="M159" s="50" t="s">
        <v>1147</v>
      </c>
      <c r="N159" s="116"/>
      <c r="O159" s="116"/>
      <c r="P159" s="50" t="s">
        <v>5583</v>
      </c>
      <c r="Q159" s="50" t="s">
        <v>5584</v>
      </c>
      <c r="R159" s="50">
        <v>22.545166</v>
      </c>
      <c r="S159" s="50">
        <v>88.3820943</v>
      </c>
      <c r="T159" s="50">
        <v>-26.0</v>
      </c>
      <c r="U159" s="50">
        <v>5.0</v>
      </c>
      <c r="V159" s="50">
        <v>2.0</v>
      </c>
      <c r="W159" s="50">
        <v>1.0</v>
      </c>
      <c r="X159" s="116"/>
      <c r="Y159" s="116"/>
      <c r="Z159" s="116"/>
      <c r="AA159" s="116"/>
      <c r="AB159" s="116"/>
      <c r="AC159" s="116"/>
      <c r="AD159" s="116"/>
      <c r="AE159" s="116"/>
      <c r="AF159" s="116"/>
      <c r="AG159" s="116"/>
      <c r="AH159" s="116"/>
      <c r="AI159" s="116"/>
      <c r="AJ159" s="116"/>
      <c r="AK159" s="116"/>
      <c r="AL159" s="116"/>
      <c r="AM159" s="116"/>
      <c r="AN159" s="116"/>
      <c r="AO159" s="116"/>
      <c r="AP159" s="116"/>
      <c r="AQ159" s="50" t="s">
        <v>5585</v>
      </c>
      <c r="AR159" s="50" t="s">
        <v>2318</v>
      </c>
      <c r="AS159" s="116"/>
      <c r="AT159" s="50" t="s">
        <v>5540</v>
      </c>
      <c r="AU159" s="117">
        <v>4027.0</v>
      </c>
      <c r="AV159" s="50" t="s">
        <v>5586</v>
      </c>
      <c r="AW159" s="50" t="s">
        <v>5587</v>
      </c>
      <c r="AX159" s="117">
        <v>158.0</v>
      </c>
    </row>
    <row r="160">
      <c r="A160" s="50" t="s">
        <v>5588</v>
      </c>
      <c r="B160" s="50" t="s">
        <v>5590</v>
      </c>
      <c r="C160" s="116"/>
      <c r="D160" s="116"/>
      <c r="E160" s="50">
        <v>3.52155090281144E14</v>
      </c>
      <c r="F160" s="50">
        <v>57.0</v>
      </c>
      <c r="G160" s="50">
        <v>12.0</v>
      </c>
      <c r="H160" s="116"/>
      <c r="I160" s="116"/>
      <c r="J160" s="116"/>
      <c r="K160" s="116"/>
      <c r="L160" s="50" t="s">
        <v>1140</v>
      </c>
      <c r="M160" s="50" t="s">
        <v>1140</v>
      </c>
      <c r="N160" s="50">
        <v>1.0</v>
      </c>
      <c r="O160" s="50" t="s">
        <v>5591</v>
      </c>
      <c r="P160" s="116"/>
      <c r="Q160" s="50" t="s">
        <v>5592</v>
      </c>
      <c r="R160" s="50">
        <v>22.5579535</v>
      </c>
      <c r="S160" s="50">
        <v>88.4108818</v>
      </c>
      <c r="T160" s="50">
        <v>-48.4000015258789</v>
      </c>
      <c r="U160" s="50">
        <v>4.5</v>
      </c>
      <c r="V160" s="50">
        <v>2.0</v>
      </c>
      <c r="W160" s="50">
        <v>1.0</v>
      </c>
      <c r="X160" s="116"/>
      <c r="Y160" s="116"/>
      <c r="Z160" s="116"/>
      <c r="AA160" s="116"/>
      <c r="AB160" s="116"/>
      <c r="AC160" s="116"/>
      <c r="AD160" s="116"/>
      <c r="AE160" s="50">
        <v>1.0</v>
      </c>
      <c r="AF160" s="50">
        <v>1.0</v>
      </c>
      <c r="AG160" s="50">
        <v>4.0</v>
      </c>
      <c r="AH160" s="50">
        <v>4.0</v>
      </c>
      <c r="AI160" s="116"/>
      <c r="AJ160" s="116"/>
      <c r="AK160" s="116"/>
      <c r="AL160" s="116"/>
      <c r="AM160" s="116"/>
      <c r="AN160" s="116"/>
      <c r="AO160" s="116"/>
      <c r="AP160" s="116"/>
      <c r="AQ160" s="50" t="s">
        <v>2932</v>
      </c>
      <c r="AR160" s="50" t="s">
        <v>2327</v>
      </c>
      <c r="AS160" s="50">
        <v>0.0</v>
      </c>
      <c r="AT160" s="50" t="s">
        <v>5540</v>
      </c>
      <c r="AU160" s="117">
        <v>4028.0</v>
      </c>
      <c r="AV160" s="50" t="s">
        <v>5594</v>
      </c>
      <c r="AW160" s="50" t="s">
        <v>5595</v>
      </c>
      <c r="AX160" s="117">
        <v>159.0</v>
      </c>
    </row>
    <row r="161">
      <c r="A161" s="50" t="s">
        <v>5596</v>
      </c>
      <c r="B161" s="50" t="s">
        <v>5597</v>
      </c>
      <c r="C161" s="116"/>
      <c r="D161" s="116"/>
      <c r="E161" s="50">
        <v>3.52155090281144E14</v>
      </c>
      <c r="F161" s="50">
        <v>57.0</v>
      </c>
      <c r="G161" s="50">
        <v>99.0</v>
      </c>
      <c r="H161" s="116"/>
      <c r="I161" s="116"/>
      <c r="J161" s="116"/>
      <c r="K161" s="50">
        <v>1.0</v>
      </c>
      <c r="L161" s="50" t="s">
        <v>1141</v>
      </c>
      <c r="M161" s="50" t="s">
        <v>1141</v>
      </c>
      <c r="N161" s="116"/>
      <c r="O161" s="116"/>
      <c r="P161" s="50" t="s">
        <v>5598</v>
      </c>
      <c r="Q161" s="50" t="s">
        <v>5599</v>
      </c>
      <c r="R161" s="50">
        <v>22.5579701</v>
      </c>
      <c r="S161" s="50">
        <v>88.4107398</v>
      </c>
      <c r="T161" s="50">
        <v>-47.4000015258789</v>
      </c>
      <c r="U161" s="50">
        <v>5.0</v>
      </c>
      <c r="V161" s="50">
        <v>2.0</v>
      </c>
      <c r="W161" s="50">
        <v>1.0</v>
      </c>
      <c r="X161" s="116"/>
      <c r="Y161" s="116"/>
      <c r="Z161" s="116"/>
      <c r="AA161" s="116"/>
      <c r="AB161" s="116"/>
      <c r="AC161" s="116"/>
      <c r="AD161" s="116"/>
      <c r="AE161" s="116"/>
      <c r="AF161" s="116"/>
      <c r="AG161" s="116"/>
      <c r="AH161" s="116"/>
      <c r="AI161" s="116"/>
      <c r="AJ161" s="116"/>
      <c r="AK161" s="116"/>
      <c r="AL161" s="116"/>
      <c r="AM161" s="116"/>
      <c r="AN161" s="116"/>
      <c r="AO161" s="116"/>
      <c r="AP161" s="116"/>
      <c r="AQ161" s="50" t="s">
        <v>5600</v>
      </c>
      <c r="AR161" s="50" t="s">
        <v>2302</v>
      </c>
      <c r="AS161" s="116"/>
      <c r="AT161" s="50" t="s">
        <v>5540</v>
      </c>
      <c r="AU161" s="117">
        <v>4029.0</v>
      </c>
      <c r="AV161" s="50" t="s">
        <v>5601</v>
      </c>
      <c r="AW161" s="50" t="s">
        <v>5602</v>
      </c>
      <c r="AX161" s="117">
        <v>160.0</v>
      </c>
    </row>
    <row r="162">
      <c r="A162" s="50" t="s">
        <v>5603</v>
      </c>
      <c r="B162" s="50" t="s">
        <v>5604</v>
      </c>
      <c r="C162" s="116"/>
      <c r="D162" s="116"/>
      <c r="E162" s="50">
        <v>3.52155090281144E14</v>
      </c>
      <c r="F162" s="50">
        <v>59.0</v>
      </c>
      <c r="G162" s="50">
        <v>11.0</v>
      </c>
      <c r="H162" s="50">
        <v>1.0</v>
      </c>
      <c r="I162" s="116"/>
      <c r="J162" s="116"/>
      <c r="K162" s="116"/>
      <c r="L162" s="50" t="s">
        <v>1150</v>
      </c>
      <c r="M162" s="50" t="s">
        <v>1150</v>
      </c>
      <c r="N162" s="116"/>
      <c r="O162" s="116"/>
      <c r="P162" s="50" t="s">
        <v>5605</v>
      </c>
      <c r="Q162" s="50" t="s">
        <v>5606</v>
      </c>
      <c r="R162" s="50">
        <v>22.5399927</v>
      </c>
      <c r="S162" s="50">
        <v>88.3872502</v>
      </c>
      <c r="T162" s="50">
        <v>-62.599998474121</v>
      </c>
      <c r="U162" s="50">
        <v>5.0</v>
      </c>
      <c r="V162" s="50">
        <v>3.0</v>
      </c>
      <c r="W162" s="50">
        <v>1.0</v>
      </c>
      <c r="X162" s="116"/>
      <c r="Y162" s="116"/>
      <c r="Z162" s="116"/>
      <c r="AA162" s="50">
        <v>2.0</v>
      </c>
      <c r="AB162" s="50">
        <v>4.0</v>
      </c>
      <c r="AC162" s="116"/>
      <c r="AD162" s="116"/>
      <c r="AE162" s="116"/>
      <c r="AF162" s="116"/>
      <c r="AG162" s="116"/>
      <c r="AH162" s="116"/>
      <c r="AI162" s="116"/>
      <c r="AJ162" s="116"/>
      <c r="AK162" s="116"/>
      <c r="AL162" s="116"/>
      <c r="AM162" s="116"/>
      <c r="AN162" s="116"/>
      <c r="AO162" s="116"/>
      <c r="AP162" s="116"/>
      <c r="AQ162" s="116"/>
      <c r="AR162" s="50" t="s">
        <v>2494</v>
      </c>
      <c r="AS162" s="50">
        <v>0.0</v>
      </c>
      <c r="AT162" s="50" t="s">
        <v>5540</v>
      </c>
      <c r="AU162" s="117">
        <v>4030.0</v>
      </c>
      <c r="AV162" s="50" t="s">
        <v>5607</v>
      </c>
      <c r="AW162" s="50" t="s">
        <v>5608</v>
      </c>
      <c r="AX162" s="117">
        <v>161.0</v>
      </c>
    </row>
    <row r="163">
      <c r="A163" s="50" t="s">
        <v>5610</v>
      </c>
      <c r="B163" s="50" t="s">
        <v>5611</v>
      </c>
      <c r="C163" s="116"/>
      <c r="D163" s="116"/>
      <c r="E163" s="50">
        <v>3.52155090281144E14</v>
      </c>
      <c r="F163" s="50">
        <v>57.0</v>
      </c>
      <c r="G163" s="50">
        <v>11.0</v>
      </c>
      <c r="H163" s="50">
        <v>1.0</v>
      </c>
      <c r="I163" s="116"/>
      <c r="J163" s="116"/>
      <c r="K163" s="116"/>
      <c r="L163" s="50" t="s">
        <v>1189</v>
      </c>
      <c r="M163" s="50" t="s">
        <v>1189</v>
      </c>
      <c r="N163" s="116"/>
      <c r="O163" s="116"/>
      <c r="P163" s="50" t="s">
        <v>5612</v>
      </c>
      <c r="Q163" s="50" t="s">
        <v>5613</v>
      </c>
      <c r="R163" s="50">
        <v>22.556453</v>
      </c>
      <c r="S163" s="50">
        <v>88.3920675</v>
      </c>
      <c r="T163" s="50">
        <v>-29.5</v>
      </c>
      <c r="U163" s="50">
        <v>5.0</v>
      </c>
      <c r="V163" s="50">
        <v>1.0</v>
      </c>
      <c r="W163" s="50">
        <v>1.0</v>
      </c>
      <c r="X163" s="116"/>
      <c r="Y163" s="116"/>
      <c r="Z163" s="116"/>
      <c r="AA163" s="50">
        <v>1.0</v>
      </c>
      <c r="AB163" s="50">
        <v>4.0</v>
      </c>
      <c r="AC163" s="116"/>
      <c r="AD163" s="116"/>
      <c r="AE163" s="116"/>
      <c r="AF163" s="116"/>
      <c r="AG163" s="116"/>
      <c r="AH163" s="116"/>
      <c r="AI163" s="116"/>
      <c r="AJ163" s="116"/>
      <c r="AK163" s="116"/>
      <c r="AL163" s="116"/>
      <c r="AM163" s="116"/>
      <c r="AN163" s="116"/>
      <c r="AO163" s="116"/>
      <c r="AP163" s="116"/>
      <c r="AQ163" s="50" t="s">
        <v>5614</v>
      </c>
      <c r="AR163" s="50" t="s">
        <v>5615</v>
      </c>
      <c r="AS163" s="50">
        <v>0.0</v>
      </c>
      <c r="AT163" s="50" t="s">
        <v>5540</v>
      </c>
      <c r="AU163" s="117">
        <v>4037.0</v>
      </c>
      <c r="AV163" s="50" t="s">
        <v>5616</v>
      </c>
      <c r="AW163" s="50" t="s">
        <v>5617</v>
      </c>
      <c r="AX163" s="117">
        <v>162.0</v>
      </c>
    </row>
    <row r="164">
      <c r="A164" s="50" t="s">
        <v>5618</v>
      </c>
      <c r="B164" s="50" t="s">
        <v>5619</v>
      </c>
      <c r="C164" s="116"/>
      <c r="D164" s="116"/>
      <c r="E164" s="50">
        <v>3.52155090281144E14</v>
      </c>
      <c r="F164" s="50">
        <v>58.0</v>
      </c>
      <c r="G164" s="50">
        <v>11.0</v>
      </c>
      <c r="H164" s="50">
        <v>4.0</v>
      </c>
      <c r="I164" s="50">
        <v>0.0</v>
      </c>
      <c r="J164" s="116"/>
      <c r="K164" s="116"/>
      <c r="L164" s="50" t="s">
        <v>1198</v>
      </c>
      <c r="M164" s="50" t="s">
        <v>1198</v>
      </c>
      <c r="N164" s="116"/>
      <c r="O164" s="116"/>
      <c r="P164" s="50" t="s">
        <v>5620</v>
      </c>
      <c r="Q164" s="50" t="s">
        <v>5621</v>
      </c>
      <c r="R164" s="50">
        <v>22.5551432</v>
      </c>
      <c r="S164" s="50">
        <v>88.3863778</v>
      </c>
      <c r="T164" s="50">
        <v>-13.6000003814697</v>
      </c>
      <c r="U164" s="50">
        <v>5.0</v>
      </c>
      <c r="V164" s="50">
        <v>1.0</v>
      </c>
      <c r="W164" s="50">
        <v>1.0</v>
      </c>
      <c r="X164" s="116"/>
      <c r="Y164" s="116"/>
      <c r="Z164" s="116"/>
      <c r="AA164" s="50">
        <v>2.0</v>
      </c>
      <c r="AB164" s="50">
        <v>4.0</v>
      </c>
      <c r="AC164" s="116"/>
      <c r="AD164" s="116"/>
      <c r="AE164" s="116"/>
      <c r="AF164" s="116"/>
      <c r="AG164" s="116"/>
      <c r="AH164" s="116"/>
      <c r="AI164" s="116"/>
      <c r="AJ164" s="116"/>
      <c r="AK164" s="116"/>
      <c r="AL164" s="116"/>
      <c r="AM164" s="116"/>
      <c r="AN164" s="116"/>
      <c r="AO164" s="116"/>
      <c r="AP164" s="116"/>
      <c r="AQ164" s="50" t="s">
        <v>3106</v>
      </c>
      <c r="AR164" s="50" t="s">
        <v>2286</v>
      </c>
      <c r="AS164" s="50">
        <v>1.0</v>
      </c>
      <c r="AT164" s="50" t="s">
        <v>5540</v>
      </c>
      <c r="AU164" s="117">
        <v>4048.0</v>
      </c>
      <c r="AV164" s="50" t="s">
        <v>5622</v>
      </c>
      <c r="AW164" s="50" t="s">
        <v>5623</v>
      </c>
      <c r="AX164" s="117">
        <v>163.0</v>
      </c>
    </row>
    <row r="165">
      <c r="A165" s="50" t="s">
        <v>5624</v>
      </c>
      <c r="B165" s="50" t="s">
        <v>5625</v>
      </c>
      <c r="C165" s="116"/>
      <c r="D165" s="116"/>
      <c r="E165" s="50">
        <v>3.52155090281144E14</v>
      </c>
      <c r="F165" s="50">
        <v>58.0</v>
      </c>
      <c r="G165" s="50">
        <v>99.0</v>
      </c>
      <c r="H165" s="116"/>
      <c r="I165" s="116"/>
      <c r="J165" s="116"/>
      <c r="K165" s="50">
        <v>2.0</v>
      </c>
      <c r="L165" s="50" t="s">
        <v>1200</v>
      </c>
      <c r="M165" s="50" t="s">
        <v>1200</v>
      </c>
      <c r="N165" s="116"/>
      <c r="O165" s="116"/>
      <c r="P165" s="50" t="s">
        <v>5626</v>
      </c>
      <c r="Q165" s="50" t="s">
        <v>5627</v>
      </c>
      <c r="R165" s="50">
        <v>22.5552036</v>
      </c>
      <c r="S165" s="50">
        <v>88.3863916</v>
      </c>
      <c r="T165" s="50">
        <v>-27.6000003814697</v>
      </c>
      <c r="U165" s="50">
        <v>5.0</v>
      </c>
      <c r="V165" s="50">
        <v>1.0</v>
      </c>
      <c r="W165" s="50">
        <v>1.0</v>
      </c>
      <c r="X165" s="116"/>
      <c r="Y165" s="116"/>
      <c r="Z165" s="116"/>
      <c r="AA165" s="116"/>
      <c r="AB165" s="116"/>
      <c r="AC165" s="116"/>
      <c r="AD165" s="116"/>
      <c r="AE165" s="116"/>
      <c r="AF165" s="116"/>
      <c r="AG165" s="116"/>
      <c r="AH165" s="116"/>
      <c r="AI165" s="116"/>
      <c r="AJ165" s="116"/>
      <c r="AK165" s="116"/>
      <c r="AL165" s="116"/>
      <c r="AM165" s="116"/>
      <c r="AN165" s="116"/>
      <c r="AO165" s="116"/>
      <c r="AP165" s="116"/>
      <c r="AQ165" s="50" t="s">
        <v>3092</v>
      </c>
      <c r="AR165" s="50" t="s">
        <v>2302</v>
      </c>
      <c r="AS165" s="116"/>
      <c r="AT165" s="50" t="s">
        <v>5540</v>
      </c>
      <c r="AU165" s="117">
        <v>4049.0</v>
      </c>
      <c r="AV165" s="50" t="s">
        <v>5629</v>
      </c>
      <c r="AW165" s="50" t="s">
        <v>5630</v>
      </c>
      <c r="AX165" s="117">
        <v>164.0</v>
      </c>
    </row>
    <row r="166">
      <c r="A166" s="50" t="s">
        <v>5631</v>
      </c>
      <c r="B166" s="50" t="s">
        <v>5632</v>
      </c>
      <c r="C166" s="116"/>
      <c r="D166" s="116"/>
      <c r="E166" s="50">
        <v>3.52155090281144E14</v>
      </c>
      <c r="F166" s="50">
        <v>59.0</v>
      </c>
      <c r="G166" s="50">
        <v>11.0</v>
      </c>
      <c r="H166" s="50">
        <v>4.0</v>
      </c>
      <c r="I166" s="50">
        <v>0.0</v>
      </c>
      <c r="J166" s="116"/>
      <c r="K166" s="116"/>
      <c r="L166" s="50" t="s">
        <v>1199</v>
      </c>
      <c r="M166" s="50" t="s">
        <v>1199</v>
      </c>
      <c r="N166" s="116"/>
      <c r="O166" s="116"/>
      <c r="P166" s="50" t="s">
        <v>5633</v>
      </c>
      <c r="Q166" s="50" t="s">
        <v>5634</v>
      </c>
      <c r="R166" s="50">
        <v>22.5409046</v>
      </c>
      <c r="S166" s="50">
        <v>88.3748445</v>
      </c>
      <c r="T166" s="50">
        <v>-21.7000007629394</v>
      </c>
      <c r="U166" s="50">
        <v>5.0</v>
      </c>
      <c r="V166" s="50">
        <v>1.0</v>
      </c>
      <c r="W166" s="50">
        <v>1.0</v>
      </c>
      <c r="X166" s="116"/>
      <c r="Y166" s="116"/>
      <c r="Z166" s="116"/>
      <c r="AA166" s="50">
        <v>2.0</v>
      </c>
      <c r="AB166" s="50">
        <v>4.0</v>
      </c>
      <c r="AC166" s="116"/>
      <c r="AD166" s="116"/>
      <c r="AE166" s="116"/>
      <c r="AF166" s="116"/>
      <c r="AG166" s="116"/>
      <c r="AH166" s="116"/>
      <c r="AI166" s="116"/>
      <c r="AJ166" s="116"/>
      <c r="AK166" s="116"/>
      <c r="AL166" s="116"/>
      <c r="AM166" s="116"/>
      <c r="AN166" s="116"/>
      <c r="AO166" s="116"/>
      <c r="AP166" s="116"/>
      <c r="AQ166" s="50" t="s">
        <v>5635</v>
      </c>
      <c r="AR166" s="50" t="s">
        <v>3142</v>
      </c>
      <c r="AS166" s="50">
        <v>1.0</v>
      </c>
      <c r="AT166" s="50" t="s">
        <v>5540</v>
      </c>
      <c r="AU166" s="117">
        <v>4050.0</v>
      </c>
      <c r="AV166" s="50" t="s">
        <v>5636</v>
      </c>
      <c r="AW166" s="50" t="s">
        <v>5637</v>
      </c>
      <c r="AX166" s="117">
        <v>165.0</v>
      </c>
    </row>
    <row r="167">
      <c r="A167" s="50" t="s">
        <v>5638</v>
      </c>
      <c r="B167" s="50" t="s">
        <v>5639</v>
      </c>
      <c r="C167" s="116"/>
      <c r="D167" s="116"/>
      <c r="E167" s="50">
        <v>3.52155090281144E14</v>
      </c>
      <c r="F167" s="50">
        <v>57.0</v>
      </c>
      <c r="G167" s="50">
        <v>12.0</v>
      </c>
      <c r="H167" s="116"/>
      <c r="I167" s="116"/>
      <c r="J167" s="116"/>
      <c r="K167" s="116"/>
      <c r="L167" s="50" t="s">
        <v>1192</v>
      </c>
      <c r="M167" s="50" t="s">
        <v>1192</v>
      </c>
      <c r="N167" s="50">
        <v>3.0</v>
      </c>
      <c r="O167" s="50" t="s">
        <v>5640</v>
      </c>
      <c r="P167" s="116"/>
      <c r="Q167" s="50" t="s">
        <v>5641</v>
      </c>
      <c r="R167" s="50">
        <v>22.5563153</v>
      </c>
      <c r="S167" s="50">
        <v>88.3920869</v>
      </c>
      <c r="T167" s="50">
        <v>-47.7999992370605</v>
      </c>
      <c r="U167" s="50">
        <v>5.0</v>
      </c>
      <c r="V167" s="50">
        <v>1.0</v>
      </c>
      <c r="W167" s="50">
        <v>1.0</v>
      </c>
      <c r="X167" s="116"/>
      <c r="Y167" s="116"/>
      <c r="Z167" s="116"/>
      <c r="AA167" s="116"/>
      <c r="AB167" s="116"/>
      <c r="AC167" s="116"/>
      <c r="AD167" s="116"/>
      <c r="AE167" s="50">
        <v>1.0</v>
      </c>
      <c r="AF167" s="50">
        <v>2.0</v>
      </c>
      <c r="AG167" s="50">
        <v>3.0</v>
      </c>
      <c r="AH167" s="50">
        <v>4.0</v>
      </c>
      <c r="AI167" s="116"/>
      <c r="AJ167" s="116"/>
      <c r="AK167" s="116"/>
      <c r="AL167" s="116"/>
      <c r="AM167" s="116"/>
      <c r="AN167" s="116"/>
      <c r="AO167" s="116"/>
      <c r="AP167" s="116"/>
      <c r="AQ167" s="50" t="s">
        <v>3113</v>
      </c>
      <c r="AR167" s="50" t="s">
        <v>2278</v>
      </c>
      <c r="AS167" s="50">
        <v>0.0</v>
      </c>
      <c r="AT167" s="50" t="s">
        <v>5540</v>
      </c>
      <c r="AU167" s="117">
        <v>4052.0</v>
      </c>
      <c r="AV167" s="50" t="s">
        <v>5643</v>
      </c>
      <c r="AW167" s="50" t="s">
        <v>5644</v>
      </c>
      <c r="AX167" s="117">
        <v>166.0</v>
      </c>
    </row>
    <row r="168">
      <c r="A168" s="50" t="s">
        <v>5645</v>
      </c>
      <c r="B168" s="50" t="s">
        <v>5646</v>
      </c>
      <c r="C168" s="116"/>
      <c r="D168" s="116"/>
      <c r="E168" s="50">
        <v>3.52155090281144E14</v>
      </c>
      <c r="F168" s="50">
        <v>57.0</v>
      </c>
      <c r="G168" s="50">
        <v>11.0</v>
      </c>
      <c r="H168" s="50">
        <v>1.0</v>
      </c>
      <c r="I168" s="116"/>
      <c r="J168" s="116"/>
      <c r="K168" s="116"/>
      <c r="L168" s="50" t="s">
        <v>1203</v>
      </c>
      <c r="M168" s="50" t="s">
        <v>1203</v>
      </c>
      <c r="N168" s="116"/>
      <c r="O168" s="116"/>
      <c r="P168" s="50" t="s">
        <v>5647</v>
      </c>
      <c r="Q168" s="50" t="s">
        <v>5648</v>
      </c>
      <c r="R168" s="50">
        <v>22.556334</v>
      </c>
      <c r="S168" s="50">
        <v>88.3922888</v>
      </c>
      <c r="T168" s="50">
        <v>-86.0</v>
      </c>
      <c r="U168" s="50">
        <v>5.0</v>
      </c>
      <c r="V168" s="50">
        <v>1.0</v>
      </c>
      <c r="W168" s="50">
        <v>1.0</v>
      </c>
      <c r="X168" s="116"/>
      <c r="Y168" s="116"/>
      <c r="Z168" s="116"/>
      <c r="AA168" s="50">
        <v>2.0</v>
      </c>
      <c r="AB168" s="50">
        <v>4.0</v>
      </c>
      <c r="AC168" s="116"/>
      <c r="AD168" s="116"/>
      <c r="AE168" s="116"/>
      <c r="AF168" s="116"/>
      <c r="AG168" s="116"/>
      <c r="AH168" s="116"/>
      <c r="AI168" s="116"/>
      <c r="AJ168" s="116"/>
      <c r="AK168" s="116"/>
      <c r="AL168" s="116"/>
      <c r="AM168" s="116"/>
      <c r="AN168" s="116"/>
      <c r="AO168" s="116"/>
      <c r="AP168" s="116"/>
      <c r="AQ168" s="50" t="s">
        <v>5649</v>
      </c>
      <c r="AR168" s="50" t="s">
        <v>5650</v>
      </c>
      <c r="AS168" s="50">
        <v>0.0</v>
      </c>
      <c r="AT168" s="50" t="s">
        <v>5540</v>
      </c>
      <c r="AU168" s="117">
        <v>4053.0</v>
      </c>
      <c r="AV168" s="50" t="s">
        <v>5651</v>
      </c>
      <c r="AW168" s="50" t="s">
        <v>5652</v>
      </c>
      <c r="AX168" s="117">
        <v>167.0</v>
      </c>
    </row>
    <row r="169">
      <c r="A169" s="50" t="s">
        <v>5653</v>
      </c>
      <c r="B169" s="50" t="s">
        <v>5654</v>
      </c>
      <c r="C169" s="116"/>
      <c r="D169" s="116"/>
      <c r="E169" s="50">
        <v>3.52155090281144E14</v>
      </c>
      <c r="F169" s="50">
        <v>57.0</v>
      </c>
      <c r="G169" s="50">
        <v>99.0</v>
      </c>
      <c r="H169" s="116"/>
      <c r="I169" s="116"/>
      <c r="J169" s="116"/>
      <c r="K169" s="50">
        <v>1.0</v>
      </c>
      <c r="L169" s="50" t="s">
        <v>1195</v>
      </c>
      <c r="M169" s="50" t="s">
        <v>1195</v>
      </c>
      <c r="N169" s="116"/>
      <c r="O169" s="116"/>
      <c r="P169" s="50" t="s">
        <v>5655</v>
      </c>
      <c r="Q169" s="50" t="s">
        <v>5656</v>
      </c>
      <c r="R169" s="50">
        <v>22.5563255</v>
      </c>
      <c r="S169" s="50">
        <v>88.3922064</v>
      </c>
      <c r="T169" s="50">
        <v>-47.0</v>
      </c>
      <c r="U169" s="50">
        <v>5.0</v>
      </c>
      <c r="V169" s="50">
        <v>1.0</v>
      </c>
      <c r="W169" s="50">
        <v>1.0</v>
      </c>
      <c r="X169" s="116"/>
      <c r="Y169" s="116"/>
      <c r="Z169" s="116"/>
      <c r="AA169" s="116"/>
      <c r="AB169" s="116"/>
      <c r="AC169" s="116"/>
      <c r="AD169" s="116"/>
      <c r="AE169" s="116"/>
      <c r="AF169" s="116"/>
      <c r="AG169" s="116"/>
      <c r="AH169" s="116"/>
      <c r="AI169" s="116"/>
      <c r="AJ169" s="116"/>
      <c r="AK169" s="116"/>
      <c r="AL169" s="116"/>
      <c r="AM169" s="116"/>
      <c r="AN169" s="116"/>
      <c r="AO169" s="116"/>
      <c r="AP169" s="116"/>
      <c r="AQ169" s="50" t="s">
        <v>3113</v>
      </c>
      <c r="AR169" s="50" t="s">
        <v>2278</v>
      </c>
      <c r="AS169" s="116"/>
      <c r="AT169" s="50" t="s">
        <v>5540</v>
      </c>
      <c r="AU169" s="117">
        <v>4054.0</v>
      </c>
      <c r="AV169" s="50" t="s">
        <v>5657</v>
      </c>
      <c r="AW169" s="50" t="s">
        <v>5658</v>
      </c>
      <c r="AX169" s="117">
        <v>168.0</v>
      </c>
    </row>
    <row r="170">
      <c r="A170" s="50" t="s">
        <v>5659</v>
      </c>
      <c r="B170" s="50" t="s">
        <v>5660</v>
      </c>
      <c r="C170" s="116"/>
      <c r="D170" s="116"/>
      <c r="E170" s="50">
        <v>3.52155090281144E14</v>
      </c>
      <c r="F170" s="50">
        <v>58.0</v>
      </c>
      <c r="G170" s="50">
        <v>11.0</v>
      </c>
      <c r="H170" s="50">
        <v>4.0</v>
      </c>
      <c r="I170" s="50">
        <v>0.0</v>
      </c>
      <c r="J170" s="116"/>
      <c r="K170" s="116"/>
      <c r="L170" s="50" t="s">
        <v>1211</v>
      </c>
      <c r="M170" s="50" t="s">
        <v>1211</v>
      </c>
      <c r="N170" s="116"/>
      <c r="O170" s="116"/>
      <c r="P170" s="50" t="s">
        <v>5662</v>
      </c>
      <c r="Q170" s="50" t="s">
        <v>5663</v>
      </c>
      <c r="R170" s="50">
        <v>22.556797</v>
      </c>
      <c r="S170" s="50">
        <v>88.3835026</v>
      </c>
      <c r="T170" s="50">
        <v>-49.599998474121</v>
      </c>
      <c r="U170" s="50">
        <v>4.0</v>
      </c>
      <c r="V170" s="50">
        <v>1.0</v>
      </c>
      <c r="W170" s="50">
        <v>1.0</v>
      </c>
      <c r="X170" s="116"/>
      <c r="Y170" s="116"/>
      <c r="Z170" s="116"/>
      <c r="AA170" s="50">
        <v>2.0</v>
      </c>
      <c r="AB170" s="50">
        <v>4.0</v>
      </c>
      <c r="AC170" s="116"/>
      <c r="AD170" s="116"/>
      <c r="AE170" s="116"/>
      <c r="AF170" s="116"/>
      <c r="AG170" s="116"/>
      <c r="AH170" s="116"/>
      <c r="AI170" s="116"/>
      <c r="AJ170" s="116"/>
      <c r="AK170" s="116"/>
      <c r="AL170" s="116"/>
      <c r="AM170" s="116"/>
      <c r="AN170" s="116"/>
      <c r="AO170" s="116"/>
      <c r="AP170" s="116"/>
      <c r="AQ170" s="50" t="s">
        <v>3106</v>
      </c>
      <c r="AR170" s="50" t="s">
        <v>2494</v>
      </c>
      <c r="AS170" s="50">
        <v>1.0</v>
      </c>
      <c r="AT170" s="50" t="s">
        <v>5540</v>
      </c>
      <c r="AU170" s="117">
        <v>4055.0</v>
      </c>
      <c r="AV170" s="50" t="s">
        <v>5664</v>
      </c>
      <c r="AW170" s="50" t="s">
        <v>5665</v>
      </c>
      <c r="AX170" s="117">
        <v>169.0</v>
      </c>
    </row>
    <row r="171">
      <c r="A171" s="50" t="s">
        <v>5666</v>
      </c>
      <c r="B171" s="50" t="s">
        <v>5667</v>
      </c>
      <c r="C171" s="116"/>
      <c r="D171" s="116"/>
      <c r="E171" s="50">
        <v>3.52155090281144E14</v>
      </c>
      <c r="F171" s="50">
        <v>58.0</v>
      </c>
      <c r="G171" s="50">
        <v>99.0</v>
      </c>
      <c r="H171" s="116"/>
      <c r="I171" s="116"/>
      <c r="J171" s="116"/>
      <c r="K171" s="50">
        <v>2.0</v>
      </c>
      <c r="L171" s="50" t="s">
        <v>1212</v>
      </c>
      <c r="M171" s="50" t="s">
        <v>1212</v>
      </c>
      <c r="N171" s="116"/>
      <c r="O171" s="116"/>
      <c r="P171" s="50" t="s">
        <v>5668</v>
      </c>
      <c r="Q171" s="50" t="s">
        <v>5669</v>
      </c>
      <c r="R171" s="50">
        <v>22.5566781</v>
      </c>
      <c r="S171" s="50">
        <v>88.3834705</v>
      </c>
      <c r="T171" s="50">
        <v>-22.8999996185302</v>
      </c>
      <c r="U171" s="50">
        <v>5.0</v>
      </c>
      <c r="V171" s="50">
        <v>2.0</v>
      </c>
      <c r="W171" s="50">
        <v>1.0</v>
      </c>
      <c r="X171" s="116"/>
      <c r="Y171" s="116"/>
      <c r="Z171" s="116"/>
      <c r="AA171" s="116"/>
      <c r="AB171" s="116"/>
      <c r="AC171" s="116"/>
      <c r="AD171" s="116"/>
      <c r="AE171" s="116"/>
      <c r="AF171" s="116"/>
      <c r="AG171" s="116"/>
      <c r="AH171" s="116"/>
      <c r="AI171" s="116"/>
      <c r="AJ171" s="116"/>
      <c r="AK171" s="116"/>
      <c r="AL171" s="116"/>
      <c r="AM171" s="116"/>
      <c r="AN171" s="116"/>
      <c r="AO171" s="116"/>
      <c r="AP171" s="116"/>
      <c r="AQ171" s="50" t="s">
        <v>5670</v>
      </c>
      <c r="AR171" s="50" t="s">
        <v>2494</v>
      </c>
      <c r="AS171" s="116"/>
      <c r="AT171" s="50" t="s">
        <v>5540</v>
      </c>
      <c r="AU171" s="117">
        <v>4056.0</v>
      </c>
      <c r="AV171" s="50" t="s">
        <v>5671</v>
      </c>
      <c r="AW171" s="50" t="s">
        <v>5672</v>
      </c>
      <c r="AX171" s="117">
        <v>170.0</v>
      </c>
    </row>
    <row r="172">
      <c r="A172" s="50" t="s">
        <v>5673</v>
      </c>
      <c r="B172" s="50" t="s">
        <v>5674</v>
      </c>
      <c r="C172" s="116"/>
      <c r="D172" s="116"/>
      <c r="E172" s="50">
        <v>3.52155090281144E14</v>
      </c>
      <c r="F172" s="50">
        <v>58.0</v>
      </c>
      <c r="G172" s="50">
        <v>11.0</v>
      </c>
      <c r="H172" s="50">
        <v>1.0</v>
      </c>
      <c r="I172" s="116"/>
      <c r="J172" s="116"/>
      <c r="K172" s="116"/>
      <c r="L172" s="50" t="s">
        <v>1230</v>
      </c>
      <c r="M172" s="50" t="s">
        <v>1230</v>
      </c>
      <c r="N172" s="116"/>
      <c r="O172" s="116"/>
      <c r="P172" s="50" t="s">
        <v>5676</v>
      </c>
      <c r="Q172" s="50" t="s">
        <v>5677</v>
      </c>
      <c r="R172" s="50">
        <v>22.5563624</v>
      </c>
      <c r="S172" s="50">
        <v>88.3919453</v>
      </c>
      <c r="T172" s="50">
        <v>-42.599998474121</v>
      </c>
      <c r="U172" s="50">
        <v>5.0</v>
      </c>
      <c r="V172" s="50">
        <v>2.0</v>
      </c>
      <c r="W172" s="50">
        <v>1.0</v>
      </c>
      <c r="X172" s="116"/>
      <c r="Y172" s="116"/>
      <c r="Z172" s="116"/>
      <c r="AA172" s="50">
        <v>2.0</v>
      </c>
      <c r="AB172" s="50">
        <v>4.0</v>
      </c>
      <c r="AC172" s="116"/>
      <c r="AD172" s="116"/>
      <c r="AE172" s="116"/>
      <c r="AF172" s="116"/>
      <c r="AG172" s="116"/>
      <c r="AH172" s="116"/>
      <c r="AI172" s="116"/>
      <c r="AJ172" s="116"/>
      <c r="AK172" s="116"/>
      <c r="AL172" s="116"/>
      <c r="AM172" s="116"/>
      <c r="AN172" s="116"/>
      <c r="AO172" s="116"/>
      <c r="AP172" s="116"/>
      <c r="AQ172" s="50" t="s">
        <v>5678</v>
      </c>
      <c r="AR172" s="50" t="s">
        <v>2494</v>
      </c>
      <c r="AS172" s="50">
        <v>0.0</v>
      </c>
      <c r="AT172" s="50" t="s">
        <v>5540</v>
      </c>
      <c r="AU172" s="117">
        <v>4057.0</v>
      </c>
      <c r="AV172" s="50" t="s">
        <v>5679</v>
      </c>
      <c r="AW172" s="50" t="s">
        <v>5680</v>
      </c>
      <c r="AX172" s="117">
        <v>171.0</v>
      </c>
    </row>
    <row r="173">
      <c r="A173" s="50" t="s">
        <v>5681</v>
      </c>
      <c r="B173" s="50" t="s">
        <v>5682</v>
      </c>
      <c r="C173" s="116"/>
      <c r="D173" s="116"/>
      <c r="E173" s="50">
        <v>3.52155090281144E14</v>
      </c>
      <c r="F173" s="50">
        <v>57.0</v>
      </c>
      <c r="G173" s="50">
        <v>12.0</v>
      </c>
      <c r="H173" s="116"/>
      <c r="I173" s="116"/>
      <c r="J173" s="116"/>
      <c r="K173" s="116"/>
      <c r="L173" s="50" t="s">
        <v>1207</v>
      </c>
      <c r="M173" s="50" t="s">
        <v>1207</v>
      </c>
      <c r="N173" s="50">
        <v>3.0</v>
      </c>
      <c r="O173" s="50" t="s">
        <v>5683</v>
      </c>
      <c r="P173" s="116"/>
      <c r="Q173" s="50" t="s">
        <v>5684</v>
      </c>
      <c r="R173" s="50">
        <v>22.5563138</v>
      </c>
      <c r="S173" s="50">
        <v>88.3920983</v>
      </c>
      <c r="T173" s="50">
        <v>-14.3999996185302</v>
      </c>
      <c r="U173" s="50">
        <v>5.0</v>
      </c>
      <c r="V173" s="50">
        <v>1.0</v>
      </c>
      <c r="W173" s="50">
        <v>1.0</v>
      </c>
      <c r="X173" s="116"/>
      <c r="Y173" s="116"/>
      <c r="Z173" s="116"/>
      <c r="AA173" s="116"/>
      <c r="AB173" s="116"/>
      <c r="AC173" s="116"/>
      <c r="AD173" s="116"/>
      <c r="AE173" s="50">
        <v>2.0</v>
      </c>
      <c r="AF173" s="50">
        <v>2.0</v>
      </c>
      <c r="AG173" s="50">
        <v>4.0</v>
      </c>
      <c r="AH173" s="50">
        <v>4.0</v>
      </c>
      <c r="AI173" s="116"/>
      <c r="AJ173" s="116"/>
      <c r="AK173" s="116"/>
      <c r="AL173" s="116"/>
      <c r="AM173" s="116"/>
      <c r="AN173" s="116"/>
      <c r="AO173" s="116"/>
      <c r="AP173" s="116"/>
      <c r="AQ173" s="50" t="s">
        <v>3113</v>
      </c>
      <c r="AR173" s="50" t="s">
        <v>2278</v>
      </c>
      <c r="AS173" s="50">
        <v>0.0</v>
      </c>
      <c r="AT173" s="50" t="s">
        <v>5540</v>
      </c>
      <c r="AU173" s="117">
        <v>4058.0</v>
      </c>
      <c r="AV173" s="50" t="s">
        <v>5685</v>
      </c>
      <c r="AW173" s="50" t="s">
        <v>5686</v>
      </c>
      <c r="AX173" s="117">
        <v>172.0</v>
      </c>
    </row>
    <row r="174">
      <c r="A174" s="50" t="s">
        <v>5688</v>
      </c>
      <c r="B174" s="50" t="s">
        <v>5689</v>
      </c>
      <c r="C174" s="116"/>
      <c r="D174" s="116"/>
      <c r="E174" s="50">
        <v>3.52155090281144E14</v>
      </c>
      <c r="F174" s="50">
        <v>57.0</v>
      </c>
      <c r="G174" s="50">
        <v>99.0</v>
      </c>
      <c r="H174" s="116"/>
      <c r="I174" s="116"/>
      <c r="J174" s="116"/>
      <c r="K174" s="50">
        <v>1.0</v>
      </c>
      <c r="L174" s="50" t="s">
        <v>1208</v>
      </c>
      <c r="M174" s="50" t="s">
        <v>1208</v>
      </c>
      <c r="N174" s="116"/>
      <c r="O174" s="116"/>
      <c r="P174" s="50" t="s">
        <v>5690</v>
      </c>
      <c r="Q174" s="50" t="s">
        <v>5691</v>
      </c>
      <c r="R174" s="50">
        <v>22.5563504</v>
      </c>
      <c r="S174" s="50">
        <v>88.3921844</v>
      </c>
      <c r="T174" s="50">
        <v>-51.099998474121</v>
      </c>
      <c r="U174" s="50">
        <v>5.0</v>
      </c>
      <c r="V174" s="50">
        <v>1.0</v>
      </c>
      <c r="W174" s="50">
        <v>1.0</v>
      </c>
      <c r="X174" s="116"/>
      <c r="Y174" s="116"/>
      <c r="Z174" s="116"/>
      <c r="AA174" s="116"/>
      <c r="AB174" s="116"/>
      <c r="AC174" s="116"/>
      <c r="AD174" s="116"/>
      <c r="AE174" s="116"/>
      <c r="AF174" s="116"/>
      <c r="AG174" s="116"/>
      <c r="AH174" s="116"/>
      <c r="AI174" s="116"/>
      <c r="AJ174" s="116"/>
      <c r="AK174" s="116"/>
      <c r="AL174" s="116"/>
      <c r="AM174" s="116"/>
      <c r="AN174" s="116"/>
      <c r="AO174" s="116"/>
      <c r="AP174" s="116"/>
      <c r="AQ174" s="116"/>
      <c r="AR174" s="50" t="s">
        <v>5692</v>
      </c>
      <c r="AS174" s="116"/>
      <c r="AT174" s="50" t="s">
        <v>5540</v>
      </c>
      <c r="AU174" s="117">
        <v>4059.0</v>
      </c>
      <c r="AV174" s="50" t="s">
        <v>5693</v>
      </c>
      <c r="AW174" s="50" t="s">
        <v>5694</v>
      </c>
      <c r="AX174" s="117">
        <v>173.0</v>
      </c>
    </row>
    <row r="175">
      <c r="A175" s="50" t="s">
        <v>5695</v>
      </c>
      <c r="B175" s="50" t="s">
        <v>5696</v>
      </c>
      <c r="C175" s="116"/>
      <c r="D175" s="116"/>
      <c r="E175" s="50">
        <v>3.52155090281144E14</v>
      </c>
      <c r="F175" s="50">
        <v>59.0</v>
      </c>
      <c r="G175" s="50">
        <v>11.0</v>
      </c>
      <c r="H175" s="50">
        <v>4.0</v>
      </c>
      <c r="I175" s="50">
        <v>1.0</v>
      </c>
      <c r="J175" s="50" t="s">
        <v>5697</v>
      </c>
      <c r="K175" s="116"/>
      <c r="L175" s="50" t="s">
        <v>1250</v>
      </c>
      <c r="M175" s="50" t="s">
        <v>1250</v>
      </c>
      <c r="N175" s="116"/>
      <c r="O175" s="116"/>
      <c r="P175" s="50" t="s">
        <v>5698</v>
      </c>
      <c r="Q175" s="50" t="s">
        <v>5699</v>
      </c>
      <c r="R175" s="50">
        <v>22.5411093</v>
      </c>
      <c r="S175" s="50">
        <v>88.3753429</v>
      </c>
      <c r="T175" s="50">
        <v>-56.4000015258789</v>
      </c>
      <c r="U175" s="50">
        <v>6.5</v>
      </c>
      <c r="V175" s="50">
        <v>1.0</v>
      </c>
      <c r="W175" s="50">
        <v>0.0</v>
      </c>
      <c r="X175" s="50">
        <v>1.0</v>
      </c>
      <c r="Y175" s="116"/>
      <c r="Z175" s="116"/>
      <c r="AA175" s="50">
        <v>2.0</v>
      </c>
      <c r="AB175" s="50">
        <v>4.0</v>
      </c>
      <c r="AC175" s="116"/>
      <c r="AD175" s="116"/>
      <c r="AE175" s="116"/>
      <c r="AF175" s="116"/>
      <c r="AG175" s="116"/>
      <c r="AH175" s="116"/>
      <c r="AI175" s="116"/>
      <c r="AJ175" s="116"/>
      <c r="AK175" s="116"/>
      <c r="AL175" s="116"/>
      <c r="AM175" s="116"/>
      <c r="AN175" s="116"/>
      <c r="AO175" s="116"/>
      <c r="AP175" s="116"/>
      <c r="AQ175" s="116"/>
      <c r="AR175" s="50" t="s">
        <v>2286</v>
      </c>
      <c r="AS175" s="50">
        <v>0.0</v>
      </c>
      <c r="AT175" s="50" t="s">
        <v>5540</v>
      </c>
      <c r="AU175" s="117">
        <v>4222.0</v>
      </c>
      <c r="AV175" s="50" t="s">
        <v>5700</v>
      </c>
      <c r="AW175" s="50" t="s">
        <v>5701</v>
      </c>
      <c r="AX175" s="117">
        <v>174.0</v>
      </c>
    </row>
    <row r="176">
      <c r="A176" s="50" t="s">
        <v>5702</v>
      </c>
      <c r="B176" s="50" t="s">
        <v>5703</v>
      </c>
      <c r="C176" s="116"/>
      <c r="D176" s="116"/>
      <c r="E176" s="50">
        <v>3.52155090281144E14</v>
      </c>
      <c r="F176" s="50">
        <v>59.0</v>
      </c>
      <c r="G176" s="50">
        <v>99.0</v>
      </c>
      <c r="H176" s="116"/>
      <c r="I176" s="116"/>
      <c r="J176" s="116"/>
      <c r="K176" s="50">
        <v>2.0</v>
      </c>
      <c r="L176" s="50" t="s">
        <v>1253</v>
      </c>
      <c r="M176" s="50" t="s">
        <v>1253</v>
      </c>
      <c r="N176" s="116"/>
      <c r="O176" s="116"/>
      <c r="P176" s="50" t="s">
        <v>5705</v>
      </c>
      <c r="Q176" s="50" t="s">
        <v>5706</v>
      </c>
      <c r="R176" s="50">
        <v>22.541282</v>
      </c>
      <c r="S176" s="50">
        <v>88.3752932</v>
      </c>
      <c r="T176" s="50">
        <v>-39.7999992370605</v>
      </c>
      <c r="U176" s="50">
        <v>5.0</v>
      </c>
      <c r="V176" s="50">
        <v>1.0</v>
      </c>
      <c r="W176" s="50">
        <v>0.0</v>
      </c>
      <c r="X176" s="50">
        <v>1.0</v>
      </c>
      <c r="Y176" s="116"/>
      <c r="Z176" s="116"/>
      <c r="AA176" s="116"/>
      <c r="AB176" s="116"/>
      <c r="AC176" s="116"/>
      <c r="AD176" s="116"/>
      <c r="AE176" s="116"/>
      <c r="AF176" s="116"/>
      <c r="AG176" s="116"/>
      <c r="AH176" s="116"/>
      <c r="AI176" s="116"/>
      <c r="AJ176" s="116"/>
      <c r="AK176" s="116"/>
      <c r="AL176" s="116"/>
      <c r="AM176" s="116"/>
      <c r="AN176" s="116"/>
      <c r="AO176" s="116"/>
      <c r="AP176" s="116"/>
      <c r="AQ176" s="50" t="s">
        <v>5707</v>
      </c>
      <c r="AR176" s="50" t="s">
        <v>2327</v>
      </c>
      <c r="AS176" s="116"/>
      <c r="AT176" s="50" t="s">
        <v>5540</v>
      </c>
      <c r="AU176" s="117">
        <v>4223.0</v>
      </c>
      <c r="AV176" s="50" t="s">
        <v>5708</v>
      </c>
      <c r="AW176" s="50" t="s">
        <v>5709</v>
      </c>
      <c r="AX176" s="117">
        <v>175.0</v>
      </c>
    </row>
    <row r="177">
      <c r="A177" s="50" t="s">
        <v>5710</v>
      </c>
      <c r="B177" s="50" t="s">
        <v>5711</v>
      </c>
      <c r="C177" s="116"/>
      <c r="D177" s="116"/>
      <c r="E177" s="50">
        <v>3.52155090281144E14</v>
      </c>
      <c r="F177" s="50">
        <v>57.0</v>
      </c>
      <c r="G177" s="50">
        <v>12.0</v>
      </c>
      <c r="H177" s="116"/>
      <c r="I177" s="116"/>
      <c r="J177" s="116"/>
      <c r="K177" s="116"/>
      <c r="L177" s="50" t="s">
        <v>1258</v>
      </c>
      <c r="M177" s="50" t="s">
        <v>1258</v>
      </c>
      <c r="N177" s="50">
        <v>2.0</v>
      </c>
      <c r="O177" s="50" t="s">
        <v>5712</v>
      </c>
      <c r="P177" s="116"/>
      <c r="Q177" s="50" t="s">
        <v>5713</v>
      </c>
      <c r="R177" s="50">
        <v>22.554211</v>
      </c>
      <c r="S177" s="50">
        <v>88.3967646</v>
      </c>
      <c r="T177" s="50">
        <v>-46.599998474121</v>
      </c>
      <c r="U177" s="50">
        <v>5.0</v>
      </c>
      <c r="V177" s="50">
        <v>1.0</v>
      </c>
      <c r="W177" s="50">
        <v>1.0</v>
      </c>
      <c r="X177" s="116"/>
      <c r="Y177" s="116"/>
      <c r="Z177" s="116"/>
      <c r="AA177" s="116"/>
      <c r="AB177" s="116"/>
      <c r="AC177" s="116"/>
      <c r="AD177" s="116"/>
      <c r="AE177" s="50">
        <v>1.0</v>
      </c>
      <c r="AF177" s="50">
        <v>2.0</v>
      </c>
      <c r="AG177" s="50">
        <v>3.0</v>
      </c>
      <c r="AH177" s="50">
        <v>4.0</v>
      </c>
      <c r="AI177" s="116"/>
      <c r="AJ177" s="116"/>
      <c r="AK177" s="116"/>
      <c r="AL177" s="116"/>
      <c r="AM177" s="116"/>
      <c r="AN177" s="116"/>
      <c r="AO177" s="116"/>
      <c r="AP177" s="116"/>
      <c r="AQ177" s="50" t="s">
        <v>3185</v>
      </c>
      <c r="AR177" s="50" t="s">
        <v>2302</v>
      </c>
      <c r="AS177" s="50">
        <v>0.0</v>
      </c>
      <c r="AT177" s="50" t="s">
        <v>5540</v>
      </c>
      <c r="AU177" s="117">
        <v>4297.0</v>
      </c>
      <c r="AV177" s="50" t="s">
        <v>5714</v>
      </c>
      <c r="AW177" s="50" t="s">
        <v>5715</v>
      </c>
      <c r="AX177" s="117">
        <v>176.0</v>
      </c>
    </row>
    <row r="178">
      <c r="A178" s="50" t="s">
        <v>5716</v>
      </c>
      <c r="B178" s="50" t="s">
        <v>5717</v>
      </c>
      <c r="C178" s="116"/>
      <c r="D178" s="116"/>
      <c r="E178" s="50">
        <v>3.52155090281144E14</v>
      </c>
      <c r="F178" s="50">
        <v>57.0</v>
      </c>
      <c r="G178" s="50">
        <v>99.0</v>
      </c>
      <c r="H178" s="116"/>
      <c r="I178" s="116"/>
      <c r="J178" s="116"/>
      <c r="K178" s="50">
        <v>1.0</v>
      </c>
      <c r="L178" s="50" t="s">
        <v>1259</v>
      </c>
      <c r="M178" s="50" t="s">
        <v>1259</v>
      </c>
      <c r="N178" s="116"/>
      <c r="O178" s="116"/>
      <c r="P178" s="50" t="s">
        <v>5718</v>
      </c>
      <c r="Q178" s="50" t="s">
        <v>5719</v>
      </c>
      <c r="R178" s="50">
        <v>22.5542792</v>
      </c>
      <c r="S178" s="50">
        <v>88.3967686</v>
      </c>
      <c r="T178" s="50">
        <v>-59.7000007629394</v>
      </c>
      <c r="U178" s="50">
        <v>5.0</v>
      </c>
      <c r="V178" s="50">
        <v>1.0</v>
      </c>
      <c r="W178" s="50">
        <v>1.0</v>
      </c>
      <c r="X178" s="116"/>
      <c r="Y178" s="116"/>
      <c r="Z178" s="116"/>
      <c r="AA178" s="116"/>
      <c r="AB178" s="116"/>
      <c r="AC178" s="116"/>
      <c r="AD178" s="116"/>
      <c r="AE178" s="116"/>
      <c r="AF178" s="116"/>
      <c r="AG178" s="116"/>
      <c r="AH178" s="116"/>
      <c r="AI178" s="116"/>
      <c r="AJ178" s="116"/>
      <c r="AK178" s="116"/>
      <c r="AL178" s="116"/>
      <c r="AM178" s="116"/>
      <c r="AN178" s="116"/>
      <c r="AO178" s="116"/>
      <c r="AP178" s="116"/>
      <c r="AQ178" s="50" t="s">
        <v>5720</v>
      </c>
      <c r="AR178" s="50" t="s">
        <v>2278</v>
      </c>
      <c r="AS178" s="116"/>
      <c r="AT178" s="50" t="s">
        <v>5540</v>
      </c>
      <c r="AU178" s="117">
        <v>4298.0</v>
      </c>
      <c r="AV178" s="50" t="s">
        <v>5721</v>
      </c>
      <c r="AW178" s="50" t="s">
        <v>5722</v>
      </c>
      <c r="AX178" s="117">
        <v>177.0</v>
      </c>
    </row>
    <row r="179">
      <c r="A179" s="50" t="s">
        <v>5724</v>
      </c>
      <c r="B179" s="50" t="s">
        <v>5725</v>
      </c>
      <c r="C179" s="116"/>
      <c r="D179" s="116"/>
      <c r="E179" s="50">
        <v>3.52155090281144E14</v>
      </c>
      <c r="F179" s="50">
        <v>59.0</v>
      </c>
      <c r="G179" s="50">
        <v>11.0</v>
      </c>
      <c r="H179" s="50">
        <v>4.0</v>
      </c>
      <c r="I179" s="50">
        <v>1.0</v>
      </c>
      <c r="J179" s="50" t="s">
        <v>5697</v>
      </c>
      <c r="K179" s="116"/>
      <c r="L179" s="50" t="s">
        <v>1284</v>
      </c>
      <c r="M179" s="50" t="s">
        <v>1284</v>
      </c>
      <c r="N179" s="116"/>
      <c r="O179" s="116"/>
      <c r="P179" s="50" t="s">
        <v>5726</v>
      </c>
      <c r="Q179" s="50" t="s">
        <v>5727</v>
      </c>
      <c r="R179" s="50">
        <v>22.5412064</v>
      </c>
      <c r="S179" s="50">
        <v>88.3751996</v>
      </c>
      <c r="T179" s="50">
        <v>-46.7999992370605</v>
      </c>
      <c r="U179" s="50">
        <v>5.0</v>
      </c>
      <c r="V179" s="50">
        <v>1.0</v>
      </c>
      <c r="W179" s="50">
        <v>1.0</v>
      </c>
      <c r="X179" s="116"/>
      <c r="Y179" s="116"/>
      <c r="Z179" s="116"/>
      <c r="AA179" s="50">
        <v>2.0</v>
      </c>
      <c r="AB179" s="50">
        <v>4.0</v>
      </c>
      <c r="AC179" s="116"/>
      <c r="AD179" s="116"/>
      <c r="AE179" s="116"/>
      <c r="AF179" s="116"/>
      <c r="AG179" s="116"/>
      <c r="AH179" s="116"/>
      <c r="AI179" s="116"/>
      <c r="AJ179" s="116"/>
      <c r="AK179" s="116"/>
      <c r="AL179" s="116"/>
      <c r="AM179" s="116"/>
      <c r="AN179" s="116"/>
      <c r="AO179" s="116"/>
      <c r="AP179" s="116"/>
      <c r="AQ179" s="50" t="s">
        <v>2949</v>
      </c>
      <c r="AR179" s="50" t="s">
        <v>2278</v>
      </c>
      <c r="AS179" s="50">
        <v>1.0</v>
      </c>
      <c r="AT179" s="50" t="s">
        <v>5540</v>
      </c>
      <c r="AU179" s="117">
        <v>4337.0</v>
      </c>
      <c r="AV179" s="50" t="s">
        <v>5728</v>
      </c>
      <c r="AW179" s="50" t="s">
        <v>5729</v>
      </c>
      <c r="AX179" s="117">
        <v>178.0</v>
      </c>
    </row>
    <row r="180">
      <c r="A180" s="50" t="s">
        <v>5730</v>
      </c>
      <c r="B180" s="50" t="s">
        <v>5731</v>
      </c>
      <c r="C180" s="116"/>
      <c r="D180" s="116"/>
      <c r="E180" s="50">
        <v>3.52155090281144E14</v>
      </c>
      <c r="F180" s="50">
        <v>59.0</v>
      </c>
      <c r="G180" s="50">
        <v>99.0</v>
      </c>
      <c r="H180" s="116"/>
      <c r="I180" s="116"/>
      <c r="J180" s="116"/>
      <c r="K180" s="50">
        <v>2.0</v>
      </c>
      <c r="L180" s="50" t="s">
        <v>1286</v>
      </c>
      <c r="M180" s="50" t="s">
        <v>1286</v>
      </c>
      <c r="N180" s="116"/>
      <c r="O180" s="116"/>
      <c r="P180" s="50" t="s">
        <v>5732</v>
      </c>
      <c r="Q180" s="50" t="s">
        <v>5733</v>
      </c>
      <c r="R180" s="50">
        <v>22.5411804</v>
      </c>
      <c r="S180" s="50">
        <v>88.3752267</v>
      </c>
      <c r="T180" s="50">
        <v>-50.0</v>
      </c>
      <c r="U180" s="50">
        <v>5.0</v>
      </c>
      <c r="V180" s="50">
        <v>1.0</v>
      </c>
      <c r="W180" s="50">
        <v>1.0</v>
      </c>
      <c r="X180" s="116"/>
      <c r="Y180" s="116"/>
      <c r="Z180" s="116"/>
      <c r="AA180" s="116"/>
      <c r="AB180" s="116"/>
      <c r="AC180" s="116"/>
      <c r="AD180" s="116"/>
      <c r="AE180" s="116"/>
      <c r="AF180" s="116"/>
      <c r="AG180" s="116"/>
      <c r="AH180" s="116"/>
      <c r="AI180" s="116"/>
      <c r="AJ180" s="116"/>
      <c r="AK180" s="116"/>
      <c r="AL180" s="116"/>
      <c r="AM180" s="116"/>
      <c r="AN180" s="116"/>
      <c r="AO180" s="116"/>
      <c r="AP180" s="116"/>
      <c r="AQ180" s="50" t="s">
        <v>5734</v>
      </c>
      <c r="AR180" s="50" t="s">
        <v>2327</v>
      </c>
      <c r="AS180" s="116"/>
      <c r="AT180" s="50" t="s">
        <v>5540</v>
      </c>
      <c r="AU180" s="117">
        <v>4338.0</v>
      </c>
      <c r="AV180" s="50" t="s">
        <v>5735</v>
      </c>
      <c r="AW180" s="50" t="s">
        <v>5736</v>
      </c>
      <c r="AX180" s="117">
        <v>179.0</v>
      </c>
    </row>
    <row r="181">
      <c r="A181" s="50" t="s">
        <v>5737</v>
      </c>
      <c r="B181" s="50" t="s">
        <v>5738</v>
      </c>
      <c r="C181" s="116"/>
      <c r="D181" s="116"/>
      <c r="E181" s="50">
        <v>3.52155090281144E14</v>
      </c>
      <c r="F181" s="50">
        <v>57.0</v>
      </c>
      <c r="G181" s="50">
        <v>12.0</v>
      </c>
      <c r="H181" s="116"/>
      <c r="I181" s="116"/>
      <c r="J181" s="116"/>
      <c r="K181" s="116"/>
      <c r="L181" s="50" t="s">
        <v>1281</v>
      </c>
      <c r="M181" s="50" t="s">
        <v>1281</v>
      </c>
      <c r="N181" s="50">
        <v>3.0</v>
      </c>
      <c r="O181" s="50" t="s">
        <v>5739</v>
      </c>
      <c r="P181" s="116"/>
      <c r="Q181" s="50" t="s">
        <v>5741</v>
      </c>
      <c r="R181" s="50">
        <v>22.5564048</v>
      </c>
      <c r="S181" s="50">
        <v>88.3922011</v>
      </c>
      <c r="T181" s="50">
        <v>-71.6999969482421</v>
      </c>
      <c r="U181" s="50">
        <v>5.0</v>
      </c>
      <c r="V181" s="50">
        <v>1.0</v>
      </c>
      <c r="W181" s="50">
        <v>1.0</v>
      </c>
      <c r="X181" s="116"/>
      <c r="Y181" s="116"/>
      <c r="Z181" s="116"/>
      <c r="AA181" s="116"/>
      <c r="AB181" s="116"/>
      <c r="AC181" s="116"/>
      <c r="AD181" s="116"/>
      <c r="AE181" s="50">
        <v>1.0</v>
      </c>
      <c r="AF181" s="50">
        <v>2.0</v>
      </c>
      <c r="AG181" s="50">
        <v>3.0</v>
      </c>
      <c r="AH181" s="50">
        <v>4.0</v>
      </c>
      <c r="AI181" s="116"/>
      <c r="AJ181" s="116"/>
      <c r="AK181" s="116"/>
      <c r="AL181" s="116"/>
      <c r="AM181" s="116"/>
      <c r="AN181" s="116"/>
      <c r="AO181" s="116"/>
      <c r="AP181" s="116"/>
      <c r="AQ181" s="50" t="s">
        <v>2979</v>
      </c>
      <c r="AR181" s="50" t="s">
        <v>2302</v>
      </c>
      <c r="AS181" s="50">
        <v>0.0</v>
      </c>
      <c r="AT181" s="50" t="s">
        <v>5540</v>
      </c>
      <c r="AU181" s="117">
        <v>4339.0</v>
      </c>
      <c r="AV181" s="50" t="s">
        <v>5742</v>
      </c>
      <c r="AW181" s="50" t="s">
        <v>5743</v>
      </c>
      <c r="AX181" s="117">
        <v>180.0</v>
      </c>
    </row>
    <row r="182">
      <c r="A182" s="50" t="s">
        <v>5744</v>
      </c>
      <c r="B182" s="50" t="s">
        <v>5745</v>
      </c>
      <c r="C182" s="116"/>
      <c r="D182" s="116"/>
      <c r="E182" s="50">
        <v>3.52155090281144E14</v>
      </c>
      <c r="F182" s="50">
        <v>57.0</v>
      </c>
      <c r="G182" s="50">
        <v>99.0</v>
      </c>
      <c r="H182" s="116"/>
      <c r="I182" s="116"/>
      <c r="J182" s="116"/>
      <c r="K182" s="50">
        <v>1.0</v>
      </c>
      <c r="L182" s="50" t="s">
        <v>271</v>
      </c>
      <c r="M182" s="50" t="s">
        <v>271</v>
      </c>
      <c r="N182" s="116"/>
      <c r="O182" s="116"/>
      <c r="P182" s="50" t="s">
        <v>5746</v>
      </c>
      <c r="Q182" s="50" t="s">
        <v>5747</v>
      </c>
      <c r="R182" s="50">
        <v>22.5563874</v>
      </c>
      <c r="S182" s="50">
        <v>88.3922131</v>
      </c>
      <c r="T182" s="50">
        <v>-60.7000007629394</v>
      </c>
      <c r="U182" s="50">
        <v>5.0</v>
      </c>
      <c r="V182" s="50">
        <v>1.0</v>
      </c>
      <c r="W182" s="50">
        <v>1.0</v>
      </c>
      <c r="X182" s="116"/>
      <c r="Y182" s="116"/>
      <c r="Z182" s="116"/>
      <c r="AA182" s="116"/>
      <c r="AB182" s="116"/>
      <c r="AC182" s="116"/>
      <c r="AD182" s="116"/>
      <c r="AE182" s="116"/>
      <c r="AF182" s="116"/>
      <c r="AG182" s="116"/>
      <c r="AH182" s="116"/>
      <c r="AI182" s="116"/>
      <c r="AJ182" s="116"/>
      <c r="AK182" s="116"/>
      <c r="AL182" s="116"/>
      <c r="AM182" s="116"/>
      <c r="AN182" s="116"/>
      <c r="AO182" s="116"/>
      <c r="AP182" s="116"/>
      <c r="AQ182" s="50" t="s">
        <v>5748</v>
      </c>
      <c r="AR182" s="50" t="s">
        <v>2472</v>
      </c>
      <c r="AS182" s="116"/>
      <c r="AT182" s="50" t="s">
        <v>5540</v>
      </c>
      <c r="AU182" s="117">
        <v>4340.0</v>
      </c>
      <c r="AV182" s="50" t="s">
        <v>5749</v>
      </c>
      <c r="AW182" s="50" t="s">
        <v>5750</v>
      </c>
      <c r="AX182" s="117">
        <v>181.0</v>
      </c>
    </row>
    <row r="183">
      <c r="A183" s="50" t="s">
        <v>5751</v>
      </c>
      <c r="B183" s="50" t="s">
        <v>5752</v>
      </c>
      <c r="C183" s="116"/>
      <c r="D183" s="116"/>
      <c r="E183" s="50">
        <v>3.52155090281144E14</v>
      </c>
      <c r="F183" s="50">
        <v>59.0</v>
      </c>
      <c r="G183" s="50">
        <v>11.0</v>
      </c>
      <c r="H183" s="50">
        <v>4.0</v>
      </c>
      <c r="I183" s="50">
        <v>1.0</v>
      </c>
      <c r="J183" s="50" t="s">
        <v>5697</v>
      </c>
      <c r="K183" s="116"/>
      <c r="L183" s="50" t="s">
        <v>1292</v>
      </c>
      <c r="M183" s="50" t="s">
        <v>1292</v>
      </c>
      <c r="N183" s="116"/>
      <c r="O183" s="116"/>
      <c r="P183" s="50" t="s">
        <v>5753</v>
      </c>
      <c r="Q183" s="50" t="s">
        <v>5754</v>
      </c>
      <c r="R183" s="50">
        <v>22.5411749</v>
      </c>
      <c r="S183" s="50">
        <v>88.3753974</v>
      </c>
      <c r="T183" s="50">
        <v>-51.5</v>
      </c>
      <c r="U183" s="50">
        <v>6.0</v>
      </c>
      <c r="V183" s="50">
        <v>3.0</v>
      </c>
      <c r="W183" s="50">
        <v>1.0</v>
      </c>
      <c r="X183" s="116"/>
      <c r="Y183" s="116"/>
      <c r="Z183" s="116"/>
      <c r="AA183" s="50">
        <v>1.0</v>
      </c>
      <c r="AB183" s="50">
        <v>4.0</v>
      </c>
      <c r="AC183" s="116"/>
      <c r="AD183" s="116"/>
      <c r="AE183" s="116"/>
      <c r="AF183" s="116"/>
      <c r="AG183" s="116"/>
      <c r="AH183" s="116"/>
      <c r="AI183" s="116"/>
      <c r="AJ183" s="116"/>
      <c r="AK183" s="116"/>
      <c r="AL183" s="116"/>
      <c r="AM183" s="116"/>
      <c r="AN183" s="116"/>
      <c r="AO183" s="116"/>
      <c r="AP183" s="116"/>
      <c r="AQ183" s="50" t="s">
        <v>5755</v>
      </c>
      <c r="AR183" s="50" t="s">
        <v>2278</v>
      </c>
      <c r="AS183" s="50">
        <v>0.0</v>
      </c>
      <c r="AT183" s="50" t="s">
        <v>5540</v>
      </c>
      <c r="AU183" s="117">
        <v>4364.0</v>
      </c>
      <c r="AV183" s="50" t="s">
        <v>5756</v>
      </c>
      <c r="AW183" s="50" t="s">
        <v>5757</v>
      </c>
      <c r="AX183" s="117">
        <v>182.0</v>
      </c>
    </row>
    <row r="184">
      <c r="A184" s="50" t="s">
        <v>5758</v>
      </c>
      <c r="B184" s="50" t="s">
        <v>5759</v>
      </c>
      <c r="C184" s="116"/>
      <c r="D184" s="116"/>
      <c r="E184" s="50">
        <v>3.52155090281144E14</v>
      </c>
      <c r="F184" s="50">
        <v>59.0</v>
      </c>
      <c r="G184" s="50">
        <v>99.0</v>
      </c>
      <c r="H184" s="116"/>
      <c r="I184" s="116"/>
      <c r="J184" s="116"/>
      <c r="K184" s="50">
        <v>2.0</v>
      </c>
      <c r="L184" s="50" t="s">
        <v>1295</v>
      </c>
      <c r="M184" s="50" t="s">
        <v>1295</v>
      </c>
      <c r="N184" s="116"/>
      <c r="O184" s="116"/>
      <c r="P184" s="50" t="s">
        <v>5760</v>
      </c>
      <c r="Q184" s="50" t="s">
        <v>5761</v>
      </c>
      <c r="R184" s="50">
        <v>22.5411861</v>
      </c>
      <c r="S184" s="50">
        <v>88.3752513</v>
      </c>
      <c r="T184" s="50">
        <v>-36.9000015258789</v>
      </c>
      <c r="U184" s="50">
        <v>5.0</v>
      </c>
      <c r="V184" s="50">
        <v>3.0</v>
      </c>
      <c r="W184" s="50">
        <v>1.0</v>
      </c>
      <c r="X184" s="116"/>
      <c r="Y184" s="116"/>
      <c r="Z184" s="116"/>
      <c r="AA184" s="116"/>
      <c r="AB184" s="116"/>
      <c r="AC184" s="116"/>
      <c r="AD184" s="116"/>
      <c r="AE184" s="116"/>
      <c r="AF184" s="116"/>
      <c r="AG184" s="116"/>
      <c r="AH184" s="116"/>
      <c r="AI184" s="116"/>
      <c r="AJ184" s="116"/>
      <c r="AK184" s="116"/>
      <c r="AL184" s="116"/>
      <c r="AM184" s="116"/>
      <c r="AN184" s="116"/>
      <c r="AO184" s="116"/>
      <c r="AP184" s="116"/>
      <c r="AQ184" s="50" t="s">
        <v>5763</v>
      </c>
      <c r="AR184" s="50" t="s">
        <v>2327</v>
      </c>
      <c r="AS184" s="116"/>
      <c r="AT184" s="50" t="s">
        <v>5540</v>
      </c>
      <c r="AU184" s="117">
        <v>4365.0</v>
      </c>
      <c r="AV184" s="50" t="s">
        <v>5764</v>
      </c>
      <c r="AW184" s="50" t="s">
        <v>5765</v>
      </c>
      <c r="AX184" s="117">
        <v>183.0</v>
      </c>
    </row>
    <row r="185">
      <c r="A185" s="50" t="s">
        <v>5766</v>
      </c>
      <c r="B185" s="50" t="s">
        <v>5767</v>
      </c>
      <c r="C185" s="116"/>
      <c r="D185" s="116"/>
      <c r="E185" s="50">
        <v>3.52155090281144E14</v>
      </c>
      <c r="F185" s="50">
        <v>57.0</v>
      </c>
      <c r="G185" s="50">
        <v>12.0</v>
      </c>
      <c r="H185" s="116"/>
      <c r="I185" s="116"/>
      <c r="J185" s="116"/>
      <c r="K185" s="116"/>
      <c r="L185" s="50" t="s">
        <v>1301</v>
      </c>
      <c r="M185" s="50" t="s">
        <v>1301</v>
      </c>
      <c r="N185" s="50">
        <v>2.0</v>
      </c>
      <c r="O185" s="50" t="s">
        <v>5768</v>
      </c>
      <c r="P185" s="116"/>
      <c r="Q185" s="50" t="s">
        <v>5769</v>
      </c>
      <c r="R185" s="50">
        <v>22.5541004</v>
      </c>
      <c r="S185" s="50">
        <v>88.3967755</v>
      </c>
      <c r="T185" s="50">
        <v>-54.599998474121</v>
      </c>
      <c r="U185" s="50">
        <v>5.0</v>
      </c>
      <c r="V185" s="50">
        <v>2.0</v>
      </c>
      <c r="W185" s="50">
        <v>1.0</v>
      </c>
      <c r="X185" s="116"/>
      <c r="Y185" s="116"/>
      <c r="Z185" s="116"/>
      <c r="AA185" s="116"/>
      <c r="AB185" s="116"/>
      <c r="AC185" s="116"/>
      <c r="AD185" s="116"/>
      <c r="AE185" s="50">
        <v>2.0</v>
      </c>
      <c r="AF185" s="50">
        <v>2.0</v>
      </c>
      <c r="AG185" s="50">
        <v>3.0</v>
      </c>
      <c r="AH185" s="50">
        <v>4.0</v>
      </c>
      <c r="AI185" s="116"/>
      <c r="AJ185" s="116"/>
      <c r="AK185" s="116"/>
      <c r="AL185" s="116"/>
      <c r="AM185" s="116"/>
      <c r="AN185" s="116"/>
      <c r="AO185" s="116"/>
      <c r="AP185" s="116"/>
      <c r="AQ185" s="50" t="s">
        <v>5755</v>
      </c>
      <c r="AR185" s="50" t="s">
        <v>2472</v>
      </c>
      <c r="AS185" s="50">
        <v>0.0</v>
      </c>
      <c r="AT185" s="50" t="s">
        <v>5540</v>
      </c>
      <c r="AU185" s="117">
        <v>4366.0</v>
      </c>
      <c r="AV185" s="50" t="s">
        <v>5770</v>
      </c>
      <c r="AW185" s="50" t="s">
        <v>5771</v>
      </c>
      <c r="AX185" s="117">
        <v>184.0</v>
      </c>
    </row>
    <row r="186">
      <c r="A186" s="50" t="s">
        <v>5772</v>
      </c>
      <c r="B186" s="50" t="s">
        <v>5773</v>
      </c>
      <c r="C186" s="116"/>
      <c r="D186" s="116"/>
      <c r="E186" s="50">
        <v>3.52155090281144E14</v>
      </c>
      <c r="F186" s="50">
        <v>57.0</v>
      </c>
      <c r="G186" s="50">
        <v>99.0</v>
      </c>
      <c r="H186" s="116"/>
      <c r="I186" s="116"/>
      <c r="J186" s="116"/>
      <c r="K186" s="50">
        <v>1.0</v>
      </c>
      <c r="L186" s="50" t="s">
        <v>1303</v>
      </c>
      <c r="M186" s="50" t="s">
        <v>1303</v>
      </c>
      <c r="N186" s="116"/>
      <c r="O186" s="116"/>
      <c r="P186" s="50" t="s">
        <v>5774</v>
      </c>
      <c r="Q186" s="50" t="s">
        <v>5775</v>
      </c>
      <c r="R186" s="50">
        <v>22.5541799</v>
      </c>
      <c r="S186" s="50">
        <v>88.3967703</v>
      </c>
      <c r="T186" s="50">
        <v>-32.9000015258789</v>
      </c>
      <c r="U186" s="50">
        <v>5.0</v>
      </c>
      <c r="V186" s="50">
        <v>3.0</v>
      </c>
      <c r="W186" s="50">
        <v>1.0</v>
      </c>
      <c r="X186" s="116"/>
      <c r="Y186" s="116"/>
      <c r="Z186" s="116"/>
      <c r="AA186" s="116"/>
      <c r="AB186" s="116"/>
      <c r="AC186" s="116"/>
      <c r="AD186" s="116"/>
      <c r="AE186" s="116"/>
      <c r="AF186" s="116"/>
      <c r="AG186" s="116"/>
      <c r="AH186" s="116"/>
      <c r="AI186" s="116"/>
      <c r="AJ186" s="116"/>
      <c r="AK186" s="116"/>
      <c r="AL186" s="116"/>
      <c r="AM186" s="116"/>
      <c r="AN186" s="116"/>
      <c r="AO186" s="116"/>
      <c r="AP186" s="116"/>
      <c r="AQ186" s="50" t="s">
        <v>5776</v>
      </c>
      <c r="AR186" s="50" t="s">
        <v>2327</v>
      </c>
      <c r="AS186" s="116"/>
      <c r="AT186" s="50" t="s">
        <v>5540</v>
      </c>
      <c r="AU186" s="117">
        <v>4367.0</v>
      </c>
      <c r="AV186" s="50" t="s">
        <v>5777</v>
      </c>
      <c r="AW186" s="50" t="s">
        <v>5778</v>
      </c>
      <c r="AX186" s="117">
        <v>185.0</v>
      </c>
    </row>
    <row r="187">
      <c r="A187" s="50" t="s">
        <v>5779</v>
      </c>
      <c r="B187" s="50" t="s">
        <v>5780</v>
      </c>
      <c r="C187" s="116"/>
      <c r="D187" s="116"/>
      <c r="E187" s="50">
        <v>3.52155090281144E14</v>
      </c>
      <c r="F187" s="50">
        <v>55.0</v>
      </c>
      <c r="G187" s="50">
        <v>12.0</v>
      </c>
      <c r="H187" s="116"/>
      <c r="I187" s="116"/>
      <c r="J187" s="116"/>
      <c r="K187" s="116"/>
      <c r="L187" s="50" t="s">
        <v>1306</v>
      </c>
      <c r="M187" s="50" t="s">
        <v>1306</v>
      </c>
      <c r="N187" s="50">
        <v>4.0</v>
      </c>
      <c r="O187" s="50" t="s">
        <v>5782</v>
      </c>
      <c r="P187" s="116"/>
      <c r="Q187" s="50" t="s">
        <v>5783</v>
      </c>
      <c r="R187" s="50">
        <v>22.5635809</v>
      </c>
      <c r="S187" s="50">
        <v>88.3772008</v>
      </c>
      <c r="T187" s="50">
        <v>-55.5</v>
      </c>
      <c r="U187" s="50">
        <v>5.0</v>
      </c>
      <c r="V187" s="50">
        <v>3.0</v>
      </c>
      <c r="W187" s="50">
        <v>1.0</v>
      </c>
      <c r="X187" s="116"/>
      <c r="Y187" s="116"/>
      <c r="Z187" s="116"/>
      <c r="AA187" s="116"/>
      <c r="AB187" s="116"/>
      <c r="AC187" s="116"/>
      <c r="AD187" s="116"/>
      <c r="AE187" s="50">
        <v>1.0</v>
      </c>
      <c r="AF187" s="50">
        <v>1.0</v>
      </c>
      <c r="AG187" s="50">
        <v>4.0</v>
      </c>
      <c r="AH187" s="50">
        <v>4.0</v>
      </c>
      <c r="AI187" s="116"/>
      <c r="AJ187" s="116"/>
      <c r="AK187" s="116"/>
      <c r="AL187" s="116"/>
      <c r="AM187" s="116"/>
      <c r="AN187" s="116"/>
      <c r="AO187" s="116"/>
      <c r="AP187" s="116"/>
      <c r="AQ187" s="50" t="s">
        <v>5784</v>
      </c>
      <c r="AR187" s="50" t="s">
        <v>2302</v>
      </c>
      <c r="AS187" s="50">
        <v>0.0</v>
      </c>
      <c r="AT187" s="50" t="s">
        <v>5540</v>
      </c>
      <c r="AU187" s="117">
        <v>4368.0</v>
      </c>
      <c r="AV187" s="50" t="s">
        <v>5785</v>
      </c>
      <c r="AW187" s="50" t="s">
        <v>5786</v>
      </c>
      <c r="AX187" s="117">
        <v>186.0</v>
      </c>
    </row>
    <row r="188">
      <c r="A188" s="50" t="s">
        <v>5787</v>
      </c>
      <c r="B188" s="50" t="s">
        <v>5788</v>
      </c>
      <c r="C188" s="116"/>
      <c r="D188" s="116"/>
      <c r="E188" s="50">
        <v>3.52155090281144E14</v>
      </c>
      <c r="F188" s="50">
        <v>55.0</v>
      </c>
      <c r="G188" s="50">
        <v>99.0</v>
      </c>
      <c r="H188" s="116"/>
      <c r="I188" s="116"/>
      <c r="J188" s="116"/>
      <c r="K188" s="50">
        <v>1.0</v>
      </c>
      <c r="L188" s="50" t="s">
        <v>1307</v>
      </c>
      <c r="M188" s="50" t="s">
        <v>1307</v>
      </c>
      <c r="N188" s="116"/>
      <c r="O188" s="116"/>
      <c r="P188" s="50" t="s">
        <v>5789</v>
      </c>
      <c r="Q188" s="50" t="s">
        <v>5790</v>
      </c>
      <c r="R188" s="50">
        <v>22.5635751</v>
      </c>
      <c r="S188" s="50">
        <v>88.3772861</v>
      </c>
      <c r="T188" s="50">
        <v>-47.4000015258789</v>
      </c>
      <c r="U188" s="50">
        <v>4.5</v>
      </c>
      <c r="V188" s="50">
        <v>3.0</v>
      </c>
      <c r="W188" s="50">
        <v>1.0</v>
      </c>
      <c r="X188" s="116"/>
      <c r="Y188" s="116"/>
      <c r="Z188" s="116"/>
      <c r="AA188" s="116"/>
      <c r="AB188" s="116"/>
      <c r="AC188" s="116"/>
      <c r="AD188" s="116"/>
      <c r="AE188" s="116"/>
      <c r="AF188" s="116"/>
      <c r="AG188" s="116"/>
      <c r="AH188" s="116"/>
      <c r="AI188" s="116"/>
      <c r="AJ188" s="116"/>
      <c r="AK188" s="116"/>
      <c r="AL188" s="116"/>
      <c r="AM188" s="116"/>
      <c r="AN188" s="116"/>
      <c r="AO188" s="116"/>
      <c r="AP188" s="116"/>
      <c r="AQ188" s="50" t="s">
        <v>3200</v>
      </c>
      <c r="AR188" s="50" t="s">
        <v>2318</v>
      </c>
      <c r="AS188" s="116"/>
      <c r="AT188" s="50" t="s">
        <v>5540</v>
      </c>
      <c r="AU188" s="117">
        <v>4369.0</v>
      </c>
      <c r="AV188" s="50" t="s">
        <v>5791</v>
      </c>
      <c r="AW188" s="50" t="s">
        <v>5792</v>
      </c>
      <c r="AX188" s="117">
        <v>187.0</v>
      </c>
    </row>
    <row r="189">
      <c r="A189" s="50" t="s">
        <v>5793</v>
      </c>
      <c r="B189" s="50" t="s">
        <v>5794</v>
      </c>
      <c r="C189" s="116"/>
      <c r="D189" s="116"/>
      <c r="E189" s="50">
        <v>3.52155090281144E14</v>
      </c>
      <c r="F189" s="50">
        <v>59.0</v>
      </c>
      <c r="G189" s="50">
        <v>11.0</v>
      </c>
      <c r="H189" s="50">
        <v>4.0</v>
      </c>
      <c r="I189" s="50">
        <v>1.0</v>
      </c>
      <c r="J189" s="50" t="s">
        <v>5697</v>
      </c>
      <c r="K189" s="116"/>
      <c r="L189" s="50" t="s">
        <v>1325</v>
      </c>
      <c r="M189" s="50" t="s">
        <v>1325</v>
      </c>
      <c r="N189" s="116"/>
      <c r="O189" s="116"/>
      <c r="P189" s="50" t="s">
        <v>5796</v>
      </c>
      <c r="Q189" s="50" t="s">
        <v>5797</v>
      </c>
      <c r="R189" s="50">
        <v>22.5413012</v>
      </c>
      <c r="S189" s="50">
        <v>88.375326</v>
      </c>
      <c r="T189" s="50">
        <v>23.5</v>
      </c>
      <c r="U189" s="50">
        <v>5.0</v>
      </c>
      <c r="V189" s="50">
        <v>2.0</v>
      </c>
      <c r="W189" s="50">
        <v>1.0</v>
      </c>
      <c r="X189" s="116"/>
      <c r="Y189" s="116"/>
      <c r="Z189" s="116"/>
      <c r="AA189" s="50">
        <v>1.0</v>
      </c>
      <c r="AB189" s="50">
        <v>4.0</v>
      </c>
      <c r="AC189" s="116"/>
      <c r="AD189" s="116"/>
      <c r="AE189" s="116"/>
      <c r="AF189" s="116"/>
      <c r="AG189" s="116"/>
      <c r="AH189" s="116"/>
      <c r="AI189" s="116"/>
      <c r="AJ189" s="116"/>
      <c r="AK189" s="116"/>
      <c r="AL189" s="116"/>
      <c r="AM189" s="116"/>
      <c r="AN189" s="116"/>
      <c r="AO189" s="116"/>
      <c r="AP189" s="116"/>
      <c r="AQ189" s="50" t="s">
        <v>3149</v>
      </c>
      <c r="AR189" s="50" t="s">
        <v>2278</v>
      </c>
      <c r="AS189" s="50">
        <v>0.0</v>
      </c>
      <c r="AT189" s="50" t="s">
        <v>5540</v>
      </c>
      <c r="AU189" s="117">
        <v>4405.0</v>
      </c>
      <c r="AV189" s="50" t="s">
        <v>5798</v>
      </c>
      <c r="AW189" s="50" t="s">
        <v>5799</v>
      </c>
      <c r="AX189" s="117">
        <v>188.0</v>
      </c>
    </row>
    <row r="190">
      <c r="A190" s="50" t="s">
        <v>5800</v>
      </c>
      <c r="B190" s="50" t="s">
        <v>5801</v>
      </c>
      <c r="C190" s="116"/>
      <c r="D190" s="116"/>
      <c r="E190" s="50">
        <v>3.52155090281144E14</v>
      </c>
      <c r="F190" s="50">
        <v>59.0</v>
      </c>
      <c r="G190" s="50">
        <v>99.0</v>
      </c>
      <c r="H190" s="116"/>
      <c r="I190" s="116"/>
      <c r="J190" s="116"/>
      <c r="K190" s="50">
        <v>2.0</v>
      </c>
      <c r="L190" s="50" t="s">
        <v>1327</v>
      </c>
      <c r="M190" s="50" t="s">
        <v>1327</v>
      </c>
      <c r="N190" s="116"/>
      <c r="O190" s="116"/>
      <c r="P190" s="50" t="s">
        <v>5802</v>
      </c>
      <c r="Q190" s="50" t="s">
        <v>5803</v>
      </c>
      <c r="R190" s="50">
        <v>22.5413229</v>
      </c>
      <c r="S190" s="50">
        <v>88.3751825</v>
      </c>
      <c r="T190" s="50">
        <v>-35.7999992370605</v>
      </c>
      <c r="U190" s="50">
        <v>7.0</v>
      </c>
      <c r="V190" s="50">
        <v>2.0</v>
      </c>
      <c r="W190" s="50">
        <v>1.0</v>
      </c>
      <c r="X190" s="116"/>
      <c r="Y190" s="116"/>
      <c r="Z190" s="116"/>
      <c r="AA190" s="116"/>
      <c r="AB190" s="116"/>
      <c r="AC190" s="116"/>
      <c r="AD190" s="116"/>
      <c r="AE190" s="116"/>
      <c r="AF190" s="116"/>
      <c r="AG190" s="116"/>
      <c r="AH190" s="116"/>
      <c r="AI190" s="116"/>
      <c r="AJ190" s="116"/>
      <c r="AK190" s="116"/>
      <c r="AL190" s="116"/>
      <c r="AM190" s="116"/>
      <c r="AN190" s="116"/>
      <c r="AO190" s="116"/>
      <c r="AP190" s="116"/>
      <c r="AQ190" s="50" t="s">
        <v>5804</v>
      </c>
      <c r="AR190" s="50" t="s">
        <v>2286</v>
      </c>
      <c r="AS190" s="116"/>
      <c r="AT190" s="50" t="s">
        <v>5540</v>
      </c>
      <c r="AU190" s="117">
        <v>4406.0</v>
      </c>
      <c r="AV190" s="50" t="s">
        <v>5805</v>
      </c>
      <c r="AW190" s="50" t="s">
        <v>5806</v>
      </c>
      <c r="AX190" s="117">
        <v>189.0</v>
      </c>
    </row>
    <row r="191">
      <c r="A191" s="50" t="s">
        <v>5807</v>
      </c>
      <c r="B191" s="50" t="s">
        <v>5808</v>
      </c>
      <c r="C191" s="116"/>
      <c r="D191" s="116"/>
      <c r="E191" s="50">
        <v>3.52155090281144E14</v>
      </c>
      <c r="F191" s="50">
        <v>66.0</v>
      </c>
      <c r="G191" s="50">
        <v>12.0</v>
      </c>
      <c r="H191" s="116"/>
      <c r="I191" s="116"/>
      <c r="J191" s="116"/>
      <c r="K191" s="116"/>
      <c r="L191" s="50" t="s">
        <v>1313</v>
      </c>
      <c r="M191" s="50" t="s">
        <v>1313</v>
      </c>
      <c r="N191" s="50">
        <v>5.0</v>
      </c>
      <c r="O191" s="50" t="s">
        <v>5809</v>
      </c>
      <c r="P191" s="116"/>
      <c r="Q191" s="50" t="s">
        <v>5810</v>
      </c>
      <c r="R191" s="50">
        <v>22.5346779</v>
      </c>
      <c r="S191" s="50">
        <v>88.3958497</v>
      </c>
      <c r="T191" s="50">
        <v>-62.4000015258789</v>
      </c>
      <c r="U191" s="50">
        <v>5.0</v>
      </c>
      <c r="V191" s="50">
        <v>2.0</v>
      </c>
      <c r="W191" s="50">
        <v>1.0</v>
      </c>
      <c r="X191" s="116"/>
      <c r="Y191" s="116"/>
      <c r="Z191" s="116"/>
      <c r="AA191" s="116"/>
      <c r="AB191" s="116"/>
      <c r="AC191" s="116"/>
      <c r="AD191" s="116"/>
      <c r="AE191" s="50">
        <v>1.0</v>
      </c>
      <c r="AF191" s="50">
        <v>2.0</v>
      </c>
      <c r="AG191" s="50">
        <v>3.0</v>
      </c>
      <c r="AH191" s="50">
        <v>4.0</v>
      </c>
      <c r="AI191" s="116"/>
      <c r="AJ191" s="116"/>
      <c r="AK191" s="116"/>
      <c r="AL191" s="116"/>
      <c r="AM191" s="116"/>
      <c r="AN191" s="116"/>
      <c r="AO191" s="116"/>
      <c r="AP191" s="116"/>
      <c r="AQ191" s="50" t="s">
        <v>3200</v>
      </c>
      <c r="AR191" s="50" t="s">
        <v>2472</v>
      </c>
      <c r="AS191" s="50">
        <v>0.0</v>
      </c>
      <c r="AT191" s="50" t="s">
        <v>5540</v>
      </c>
      <c r="AU191" s="117">
        <v>4407.0</v>
      </c>
      <c r="AV191" s="50" t="s">
        <v>5811</v>
      </c>
      <c r="AW191" s="50" t="s">
        <v>5812</v>
      </c>
      <c r="AX191" s="117">
        <v>190.0</v>
      </c>
    </row>
    <row r="192">
      <c r="A192" s="50" t="s">
        <v>5813</v>
      </c>
      <c r="B192" s="50" t="s">
        <v>5814</v>
      </c>
      <c r="C192" s="116"/>
      <c r="D192" s="116"/>
      <c r="E192" s="50">
        <v>3.52155090281144E14</v>
      </c>
      <c r="F192" s="50">
        <v>66.0</v>
      </c>
      <c r="G192" s="50">
        <v>99.0</v>
      </c>
      <c r="H192" s="116"/>
      <c r="I192" s="116"/>
      <c r="J192" s="116"/>
      <c r="K192" s="50">
        <v>1.0</v>
      </c>
      <c r="L192" s="50" t="s">
        <v>1316</v>
      </c>
      <c r="M192" s="50" t="s">
        <v>1316</v>
      </c>
      <c r="N192" s="116"/>
      <c r="O192" s="116"/>
      <c r="P192" s="50" t="s">
        <v>5815</v>
      </c>
      <c r="Q192" s="50" t="s">
        <v>5816</v>
      </c>
      <c r="R192" s="50">
        <v>22.5346368</v>
      </c>
      <c r="S192" s="50">
        <v>88.3959667</v>
      </c>
      <c r="T192" s="50">
        <v>-48.0</v>
      </c>
      <c r="U192" s="50">
        <v>4.5</v>
      </c>
      <c r="V192" s="50">
        <v>2.0</v>
      </c>
      <c r="W192" s="50">
        <v>1.0</v>
      </c>
      <c r="X192" s="116"/>
      <c r="Y192" s="116"/>
      <c r="Z192" s="116"/>
      <c r="AA192" s="116"/>
      <c r="AB192" s="116"/>
      <c r="AC192" s="116"/>
      <c r="AD192" s="116"/>
      <c r="AE192" s="116"/>
      <c r="AF192" s="116"/>
      <c r="AG192" s="116"/>
      <c r="AH192" s="116"/>
      <c r="AI192" s="116"/>
      <c r="AJ192" s="116"/>
      <c r="AK192" s="116"/>
      <c r="AL192" s="116"/>
      <c r="AM192" s="116"/>
      <c r="AN192" s="116"/>
      <c r="AO192" s="116"/>
      <c r="AP192" s="116"/>
      <c r="AQ192" s="50" t="s">
        <v>2979</v>
      </c>
      <c r="AR192" s="50" t="s">
        <v>2302</v>
      </c>
      <c r="AS192" s="116"/>
      <c r="AT192" s="50" t="s">
        <v>5540</v>
      </c>
      <c r="AU192" s="117">
        <v>4408.0</v>
      </c>
      <c r="AV192" s="50" t="s">
        <v>5818</v>
      </c>
      <c r="AW192" s="50" t="s">
        <v>5819</v>
      </c>
      <c r="AX192" s="117">
        <v>191.0</v>
      </c>
    </row>
    <row r="193">
      <c r="A193" s="50" t="s">
        <v>5820</v>
      </c>
      <c r="B193" s="50" t="s">
        <v>5821</v>
      </c>
      <c r="C193" s="116"/>
      <c r="D193" s="116"/>
      <c r="E193" s="50">
        <v>3.52155090281144E14</v>
      </c>
      <c r="F193" s="50">
        <v>59.0</v>
      </c>
      <c r="G193" s="50">
        <v>12.0</v>
      </c>
      <c r="H193" s="116"/>
      <c r="I193" s="116"/>
      <c r="J193" s="116"/>
      <c r="K193" s="116"/>
      <c r="L193" s="50" t="s">
        <v>1319</v>
      </c>
      <c r="M193" s="50" t="s">
        <v>1319</v>
      </c>
      <c r="N193" s="50">
        <v>6.0</v>
      </c>
      <c r="O193" s="50" t="s">
        <v>5822</v>
      </c>
      <c r="P193" s="116"/>
      <c r="Q193" s="50" t="s">
        <v>5823</v>
      </c>
      <c r="R193" s="50">
        <v>22.5400743</v>
      </c>
      <c r="S193" s="50">
        <v>88.3871636</v>
      </c>
      <c r="T193" s="50">
        <v>-29.5</v>
      </c>
      <c r="U193" s="50">
        <v>5.0</v>
      </c>
      <c r="V193" s="50">
        <v>2.0</v>
      </c>
      <c r="W193" s="50">
        <v>1.0</v>
      </c>
      <c r="X193" s="116"/>
      <c r="Y193" s="116"/>
      <c r="Z193" s="116"/>
      <c r="AA193" s="116"/>
      <c r="AB193" s="116"/>
      <c r="AC193" s="116"/>
      <c r="AD193" s="116"/>
      <c r="AE193" s="50">
        <v>1.0</v>
      </c>
      <c r="AF193" s="50">
        <v>2.0</v>
      </c>
      <c r="AG193" s="50">
        <v>4.0</v>
      </c>
      <c r="AH193" s="50">
        <v>4.0</v>
      </c>
      <c r="AI193" s="116"/>
      <c r="AJ193" s="116"/>
      <c r="AK193" s="116"/>
      <c r="AL193" s="116"/>
      <c r="AM193" s="116"/>
      <c r="AN193" s="116"/>
      <c r="AO193" s="116"/>
      <c r="AP193" s="116"/>
      <c r="AQ193" s="50" t="s">
        <v>2979</v>
      </c>
      <c r="AR193" s="50" t="s">
        <v>2302</v>
      </c>
      <c r="AS193" s="50">
        <v>0.0</v>
      </c>
      <c r="AT193" s="50" t="s">
        <v>5540</v>
      </c>
      <c r="AU193" s="117">
        <v>4409.0</v>
      </c>
      <c r="AV193" s="50" t="s">
        <v>5824</v>
      </c>
      <c r="AW193" s="50" t="s">
        <v>5825</v>
      </c>
      <c r="AX193" s="117">
        <v>192.0</v>
      </c>
    </row>
    <row r="194">
      <c r="A194" s="50" t="s">
        <v>5826</v>
      </c>
      <c r="B194" s="50" t="s">
        <v>5827</v>
      </c>
      <c r="C194" s="116"/>
      <c r="D194" s="116"/>
      <c r="E194" s="50">
        <v>3.52155090281144E14</v>
      </c>
      <c r="F194" s="50">
        <v>59.0</v>
      </c>
      <c r="G194" s="50">
        <v>99.0</v>
      </c>
      <c r="H194" s="116"/>
      <c r="I194" s="116"/>
      <c r="J194" s="116"/>
      <c r="K194" s="50">
        <v>1.0</v>
      </c>
      <c r="L194" s="50" t="s">
        <v>1321</v>
      </c>
      <c r="M194" s="50" t="s">
        <v>1321</v>
      </c>
      <c r="N194" s="116"/>
      <c r="O194" s="116"/>
      <c r="P194" s="50" t="s">
        <v>5828</v>
      </c>
      <c r="Q194" s="50" t="s">
        <v>5829</v>
      </c>
      <c r="R194" s="50">
        <v>22.539998</v>
      </c>
      <c r="S194" s="50">
        <v>88.3872337</v>
      </c>
      <c r="T194" s="50">
        <v>-46.2999992370605</v>
      </c>
      <c r="U194" s="50">
        <v>5.0</v>
      </c>
      <c r="V194" s="50">
        <v>2.0</v>
      </c>
      <c r="W194" s="50">
        <v>1.0</v>
      </c>
      <c r="X194" s="116"/>
      <c r="Y194" s="116"/>
      <c r="Z194" s="116"/>
      <c r="AA194" s="116"/>
      <c r="AB194" s="116"/>
      <c r="AC194" s="116"/>
      <c r="AD194" s="116"/>
      <c r="AE194" s="116"/>
      <c r="AF194" s="116"/>
      <c r="AG194" s="116"/>
      <c r="AH194" s="116"/>
      <c r="AI194" s="116"/>
      <c r="AJ194" s="116"/>
      <c r="AK194" s="116"/>
      <c r="AL194" s="116"/>
      <c r="AM194" s="116"/>
      <c r="AN194" s="116"/>
      <c r="AO194" s="116"/>
      <c r="AP194" s="116"/>
      <c r="AQ194" s="50" t="s">
        <v>3200</v>
      </c>
      <c r="AR194" s="50" t="s">
        <v>2472</v>
      </c>
      <c r="AS194" s="116"/>
      <c r="AT194" s="50" t="s">
        <v>5540</v>
      </c>
      <c r="AU194" s="117">
        <v>4410.0</v>
      </c>
      <c r="AV194" s="50" t="s">
        <v>5830</v>
      </c>
      <c r="AW194" s="50" t="s">
        <v>5831</v>
      </c>
      <c r="AX194" s="117">
        <v>193.0</v>
      </c>
    </row>
    <row r="195">
      <c r="A195" s="50" t="s">
        <v>5832</v>
      </c>
      <c r="B195" s="50" t="s">
        <v>5833</v>
      </c>
      <c r="C195" s="116"/>
      <c r="D195" s="116"/>
      <c r="E195" s="50">
        <v>3.52155090281144E14</v>
      </c>
      <c r="F195" s="50">
        <v>59.0</v>
      </c>
      <c r="G195" s="50">
        <v>11.0</v>
      </c>
      <c r="H195" s="50">
        <v>4.0</v>
      </c>
      <c r="I195" s="50">
        <v>1.0</v>
      </c>
      <c r="J195" s="50" t="s">
        <v>5697</v>
      </c>
      <c r="K195" s="116"/>
      <c r="L195" s="50" t="s">
        <v>1335</v>
      </c>
      <c r="M195" s="50" t="s">
        <v>1335</v>
      </c>
      <c r="N195" s="116"/>
      <c r="O195" s="116"/>
      <c r="P195" s="50" t="s">
        <v>5834</v>
      </c>
      <c r="Q195" s="50" t="s">
        <v>5835</v>
      </c>
      <c r="R195" s="50">
        <v>22.541338</v>
      </c>
      <c r="S195" s="50">
        <v>88.3751603</v>
      </c>
      <c r="T195" s="50">
        <v>-32.4000015258789</v>
      </c>
      <c r="U195" s="50">
        <v>8.5</v>
      </c>
      <c r="V195" s="50">
        <v>2.0</v>
      </c>
      <c r="W195" s="50">
        <v>1.0</v>
      </c>
      <c r="X195" s="116"/>
      <c r="Y195" s="116"/>
      <c r="Z195" s="116"/>
      <c r="AA195" s="50">
        <v>2.0</v>
      </c>
      <c r="AB195" s="50">
        <v>4.0</v>
      </c>
      <c r="AC195" s="116"/>
      <c r="AD195" s="116"/>
      <c r="AE195" s="116"/>
      <c r="AF195" s="116"/>
      <c r="AG195" s="116"/>
      <c r="AH195" s="116"/>
      <c r="AI195" s="116"/>
      <c r="AJ195" s="116"/>
      <c r="AK195" s="116"/>
      <c r="AL195" s="116"/>
      <c r="AM195" s="116"/>
      <c r="AN195" s="116"/>
      <c r="AO195" s="116"/>
      <c r="AP195" s="116"/>
      <c r="AQ195" s="50" t="s">
        <v>5837</v>
      </c>
      <c r="AR195" s="50" t="s">
        <v>2899</v>
      </c>
      <c r="AS195" s="50">
        <v>0.0</v>
      </c>
      <c r="AT195" s="50" t="s">
        <v>5540</v>
      </c>
      <c r="AU195" s="117">
        <v>4437.0</v>
      </c>
      <c r="AV195" s="50" t="s">
        <v>5838</v>
      </c>
      <c r="AW195" s="50" t="s">
        <v>5839</v>
      </c>
      <c r="AX195" s="117">
        <v>194.0</v>
      </c>
    </row>
    <row r="196">
      <c r="A196" s="50" t="s">
        <v>5840</v>
      </c>
      <c r="B196" s="50" t="s">
        <v>5841</v>
      </c>
      <c r="C196" s="116"/>
      <c r="D196" s="116"/>
      <c r="E196" s="50">
        <v>3.52155090281144E14</v>
      </c>
      <c r="F196" s="50">
        <v>59.0</v>
      </c>
      <c r="G196" s="50">
        <v>99.0</v>
      </c>
      <c r="H196" s="116"/>
      <c r="I196" s="116"/>
      <c r="J196" s="116"/>
      <c r="K196" s="50">
        <v>2.0</v>
      </c>
      <c r="L196" s="50" t="s">
        <v>1338</v>
      </c>
      <c r="M196" s="50" t="s">
        <v>1338</v>
      </c>
      <c r="N196" s="116"/>
      <c r="O196" s="116"/>
      <c r="P196" s="50" t="s">
        <v>5842</v>
      </c>
      <c r="Q196" s="50" t="s">
        <v>5843</v>
      </c>
      <c r="R196" s="50">
        <v>22.5413135</v>
      </c>
      <c r="S196" s="50">
        <v>88.3752776</v>
      </c>
      <c r="T196" s="50">
        <v>-29.5</v>
      </c>
      <c r="U196" s="50">
        <v>7.5</v>
      </c>
      <c r="V196" s="50">
        <v>2.0</v>
      </c>
      <c r="W196" s="50">
        <v>1.0</v>
      </c>
      <c r="X196" s="116"/>
      <c r="Y196" s="116"/>
      <c r="Z196" s="116"/>
      <c r="AA196" s="116"/>
      <c r="AB196" s="116"/>
      <c r="AC196" s="116"/>
      <c r="AD196" s="116"/>
      <c r="AE196" s="116"/>
      <c r="AF196" s="116"/>
      <c r="AG196" s="116"/>
      <c r="AH196" s="116"/>
      <c r="AI196" s="116"/>
      <c r="AJ196" s="116"/>
      <c r="AK196" s="116"/>
      <c r="AL196" s="116"/>
      <c r="AM196" s="116"/>
      <c r="AN196" s="116"/>
      <c r="AO196" s="116"/>
      <c r="AP196" s="116"/>
      <c r="AQ196" s="50" t="s">
        <v>5844</v>
      </c>
      <c r="AR196" s="50" t="s">
        <v>2899</v>
      </c>
      <c r="AS196" s="116"/>
      <c r="AT196" s="50" t="s">
        <v>5540</v>
      </c>
      <c r="AU196" s="117">
        <v>4438.0</v>
      </c>
      <c r="AV196" s="50" t="s">
        <v>5845</v>
      </c>
      <c r="AW196" s="50" t="s">
        <v>5846</v>
      </c>
      <c r="AX196" s="117">
        <v>195.0</v>
      </c>
    </row>
    <row r="197">
      <c r="A197" s="50" t="s">
        <v>5847</v>
      </c>
      <c r="B197" s="50" t="s">
        <v>5848</v>
      </c>
      <c r="C197" s="116"/>
      <c r="D197" s="116"/>
      <c r="E197" s="50">
        <v>3.52155090281144E14</v>
      </c>
      <c r="F197" s="50">
        <v>59.0</v>
      </c>
      <c r="G197" s="50">
        <v>11.0</v>
      </c>
      <c r="H197" s="50">
        <v>4.0</v>
      </c>
      <c r="I197" s="50">
        <v>1.0</v>
      </c>
      <c r="J197" s="50" t="s">
        <v>5850</v>
      </c>
      <c r="K197" s="116"/>
      <c r="L197" s="50" t="s">
        <v>1341</v>
      </c>
      <c r="M197" s="50" t="s">
        <v>1341</v>
      </c>
      <c r="N197" s="116"/>
      <c r="O197" s="116"/>
      <c r="P197" s="50" t="s">
        <v>5851</v>
      </c>
      <c r="Q197" s="50" t="s">
        <v>5852</v>
      </c>
      <c r="R197" s="50">
        <v>22.5429727</v>
      </c>
      <c r="S197" s="50">
        <v>88.3834329</v>
      </c>
      <c r="T197" s="50">
        <v>-32.9000015258789</v>
      </c>
      <c r="U197" s="50">
        <v>5.0</v>
      </c>
      <c r="V197" s="50">
        <v>2.0</v>
      </c>
      <c r="W197" s="50">
        <v>1.0</v>
      </c>
      <c r="X197" s="116"/>
      <c r="Y197" s="116"/>
      <c r="Z197" s="116"/>
      <c r="AA197" s="50">
        <v>2.0</v>
      </c>
      <c r="AB197" s="50">
        <v>4.0</v>
      </c>
      <c r="AC197" s="116"/>
      <c r="AD197" s="116"/>
      <c r="AE197" s="116"/>
      <c r="AF197" s="116"/>
      <c r="AG197" s="116"/>
      <c r="AH197" s="116"/>
      <c r="AI197" s="116"/>
      <c r="AJ197" s="116"/>
      <c r="AK197" s="116"/>
      <c r="AL197" s="116"/>
      <c r="AM197" s="116"/>
      <c r="AN197" s="116"/>
      <c r="AO197" s="116"/>
      <c r="AP197" s="116"/>
      <c r="AQ197" s="50" t="s">
        <v>5853</v>
      </c>
      <c r="AR197" s="50" t="s">
        <v>2899</v>
      </c>
      <c r="AS197" s="50">
        <v>1.0</v>
      </c>
      <c r="AT197" s="50" t="s">
        <v>5540</v>
      </c>
      <c r="AU197" s="117">
        <v>4439.0</v>
      </c>
      <c r="AV197" s="50" t="s">
        <v>5854</v>
      </c>
      <c r="AW197" s="50" t="s">
        <v>5855</v>
      </c>
      <c r="AX197" s="117">
        <v>196.0</v>
      </c>
    </row>
    <row r="198">
      <c r="A198" s="50" t="s">
        <v>5856</v>
      </c>
      <c r="B198" s="50" t="s">
        <v>5857</v>
      </c>
      <c r="C198" s="116"/>
      <c r="D198" s="116"/>
      <c r="E198" s="50">
        <v>3.52155090281144E14</v>
      </c>
      <c r="F198" s="50">
        <v>59.0</v>
      </c>
      <c r="G198" s="50">
        <v>99.0</v>
      </c>
      <c r="H198" s="116"/>
      <c r="I198" s="116"/>
      <c r="J198" s="116"/>
      <c r="K198" s="50">
        <v>2.0</v>
      </c>
      <c r="L198" s="50" t="s">
        <v>1344</v>
      </c>
      <c r="M198" s="50" t="s">
        <v>1344</v>
      </c>
      <c r="N198" s="116"/>
      <c r="O198" s="116"/>
      <c r="P198" s="50" t="s">
        <v>5858</v>
      </c>
      <c r="Q198" s="50" t="s">
        <v>5859</v>
      </c>
      <c r="R198" s="50">
        <v>22.5428777</v>
      </c>
      <c r="S198" s="50">
        <v>88.3834161</v>
      </c>
      <c r="T198" s="50">
        <v>-34.9000015258789</v>
      </c>
      <c r="U198" s="50">
        <v>5.0</v>
      </c>
      <c r="V198" s="50">
        <v>2.0</v>
      </c>
      <c r="W198" s="50">
        <v>1.0</v>
      </c>
      <c r="X198" s="116"/>
      <c r="Y198" s="116"/>
      <c r="Z198" s="116"/>
      <c r="AA198" s="116"/>
      <c r="AB198" s="116"/>
      <c r="AC198" s="116"/>
      <c r="AD198" s="116"/>
      <c r="AE198" s="116"/>
      <c r="AF198" s="116"/>
      <c r="AG198" s="116"/>
      <c r="AH198" s="116"/>
      <c r="AI198" s="116"/>
      <c r="AJ198" s="116"/>
      <c r="AK198" s="116"/>
      <c r="AL198" s="116"/>
      <c r="AM198" s="116"/>
      <c r="AN198" s="116"/>
      <c r="AO198" s="116"/>
      <c r="AP198" s="116"/>
      <c r="AQ198" s="50" t="s">
        <v>3193</v>
      </c>
      <c r="AR198" s="50" t="s">
        <v>2899</v>
      </c>
      <c r="AS198" s="116"/>
      <c r="AT198" s="50" t="s">
        <v>5540</v>
      </c>
      <c r="AU198" s="117">
        <v>4440.0</v>
      </c>
      <c r="AV198" s="50" t="s">
        <v>5860</v>
      </c>
      <c r="AW198" s="50" t="s">
        <v>5861</v>
      </c>
      <c r="AX198" s="117">
        <v>197.0</v>
      </c>
    </row>
    <row r="199">
      <c r="A199" s="50" t="s">
        <v>5862</v>
      </c>
      <c r="B199" s="50" t="s">
        <v>5863</v>
      </c>
      <c r="C199" s="116"/>
      <c r="D199" s="116"/>
      <c r="E199" s="50">
        <v>3.52155090281144E14</v>
      </c>
      <c r="F199" s="50">
        <v>59.0</v>
      </c>
      <c r="G199" s="50">
        <v>11.0</v>
      </c>
      <c r="H199" s="50">
        <v>3.0</v>
      </c>
      <c r="I199" s="50">
        <v>1.0</v>
      </c>
      <c r="J199" s="50" t="s">
        <v>5864</v>
      </c>
      <c r="K199" s="116"/>
      <c r="L199" s="50" t="s">
        <v>1346</v>
      </c>
      <c r="M199" s="50" t="s">
        <v>1346</v>
      </c>
      <c r="N199" s="116"/>
      <c r="O199" s="116"/>
      <c r="P199" s="50" t="s">
        <v>5865</v>
      </c>
      <c r="Q199" s="50" t="s">
        <v>5866</v>
      </c>
      <c r="R199" s="50">
        <v>22.5430752</v>
      </c>
      <c r="S199" s="50">
        <v>88.3835892</v>
      </c>
      <c r="T199" s="50">
        <v>-63.599998474121</v>
      </c>
      <c r="U199" s="50">
        <v>5.0</v>
      </c>
      <c r="V199" s="50">
        <v>2.0</v>
      </c>
      <c r="W199" s="50">
        <v>1.0</v>
      </c>
      <c r="X199" s="116"/>
      <c r="Y199" s="116"/>
      <c r="Z199" s="116"/>
      <c r="AA199" s="50">
        <v>2.0</v>
      </c>
      <c r="AB199" s="50">
        <v>4.0</v>
      </c>
      <c r="AC199" s="116"/>
      <c r="AD199" s="116"/>
      <c r="AE199" s="116"/>
      <c r="AF199" s="116"/>
      <c r="AG199" s="116"/>
      <c r="AH199" s="116"/>
      <c r="AI199" s="116"/>
      <c r="AJ199" s="116"/>
      <c r="AK199" s="116"/>
      <c r="AL199" s="116"/>
      <c r="AM199" s="116"/>
      <c r="AN199" s="116"/>
      <c r="AO199" s="116"/>
      <c r="AP199" s="116"/>
      <c r="AQ199" s="50" t="s">
        <v>5868</v>
      </c>
      <c r="AR199" s="50" t="s">
        <v>2899</v>
      </c>
      <c r="AS199" s="50">
        <v>1.0</v>
      </c>
      <c r="AT199" s="50" t="s">
        <v>5540</v>
      </c>
      <c r="AU199" s="117">
        <v>4441.0</v>
      </c>
      <c r="AV199" s="50" t="s">
        <v>5869</v>
      </c>
      <c r="AW199" s="50" t="s">
        <v>5870</v>
      </c>
      <c r="AX199" s="117">
        <v>198.0</v>
      </c>
    </row>
    <row r="200">
      <c r="A200" s="50" t="s">
        <v>5871</v>
      </c>
      <c r="B200" s="50" t="s">
        <v>5872</v>
      </c>
      <c r="C200" s="116"/>
      <c r="D200" s="116"/>
      <c r="E200" s="50">
        <v>3.52155090281144E14</v>
      </c>
      <c r="F200" s="50">
        <v>59.0</v>
      </c>
      <c r="G200" s="50">
        <v>99.0</v>
      </c>
      <c r="H200" s="116"/>
      <c r="I200" s="116"/>
      <c r="J200" s="116"/>
      <c r="K200" s="50">
        <v>2.0</v>
      </c>
      <c r="L200" s="50" t="s">
        <v>1349</v>
      </c>
      <c r="M200" s="50" t="s">
        <v>1349</v>
      </c>
      <c r="N200" s="116"/>
      <c r="O200" s="116"/>
      <c r="P200" s="50" t="s">
        <v>5873</v>
      </c>
      <c r="Q200" s="50" t="s">
        <v>5874</v>
      </c>
      <c r="R200" s="50">
        <v>22.5430411</v>
      </c>
      <c r="S200" s="50">
        <v>88.383624</v>
      </c>
      <c r="T200" s="50">
        <v>-60.5</v>
      </c>
      <c r="U200" s="50">
        <v>5.0</v>
      </c>
      <c r="V200" s="50">
        <v>2.0</v>
      </c>
      <c r="W200" s="50">
        <v>1.0</v>
      </c>
      <c r="X200" s="116"/>
      <c r="Y200" s="116"/>
      <c r="Z200" s="116"/>
      <c r="AA200" s="116"/>
      <c r="AB200" s="116"/>
      <c r="AC200" s="116"/>
      <c r="AD200" s="116"/>
      <c r="AE200" s="116"/>
      <c r="AF200" s="116"/>
      <c r="AG200" s="116"/>
      <c r="AH200" s="116"/>
      <c r="AI200" s="116"/>
      <c r="AJ200" s="116"/>
      <c r="AK200" s="116"/>
      <c r="AL200" s="116"/>
      <c r="AM200" s="116"/>
      <c r="AN200" s="116"/>
      <c r="AO200" s="116"/>
      <c r="AP200" s="116"/>
      <c r="AQ200" s="50" t="s">
        <v>3193</v>
      </c>
      <c r="AR200" s="50" t="s">
        <v>2899</v>
      </c>
      <c r="AS200" s="116"/>
      <c r="AT200" s="50" t="s">
        <v>5540</v>
      </c>
      <c r="AU200" s="117">
        <v>4442.0</v>
      </c>
      <c r="AV200" s="50" t="s">
        <v>5875</v>
      </c>
      <c r="AW200" s="50" t="s">
        <v>5876</v>
      </c>
      <c r="AX200" s="117">
        <v>199.0</v>
      </c>
    </row>
    <row r="201">
      <c r="A201" s="50" t="s">
        <v>5877</v>
      </c>
      <c r="B201" s="50" t="s">
        <v>5878</v>
      </c>
      <c r="C201" s="116"/>
      <c r="D201" s="116"/>
      <c r="E201" s="50">
        <v>3.52155090281144E14</v>
      </c>
      <c r="F201" s="50">
        <v>59.0</v>
      </c>
      <c r="G201" s="50">
        <v>11.0</v>
      </c>
      <c r="H201" s="50">
        <v>4.0</v>
      </c>
      <c r="I201" s="50">
        <v>1.0</v>
      </c>
      <c r="J201" s="50" t="s">
        <v>5697</v>
      </c>
      <c r="K201" s="116"/>
      <c r="L201" s="50" t="s">
        <v>1356</v>
      </c>
      <c r="M201" s="50" t="s">
        <v>1356</v>
      </c>
      <c r="N201" s="116"/>
      <c r="O201" s="116"/>
      <c r="P201" s="50" t="s">
        <v>5879</v>
      </c>
      <c r="Q201" s="50" t="s">
        <v>5880</v>
      </c>
      <c r="R201" s="50">
        <v>22.5411757</v>
      </c>
      <c r="S201" s="50">
        <v>88.3752039</v>
      </c>
      <c r="T201" s="50">
        <v>-45.7000007629394</v>
      </c>
      <c r="U201" s="50">
        <v>5.0</v>
      </c>
      <c r="V201" s="50">
        <v>2.0</v>
      </c>
      <c r="W201" s="50">
        <v>1.0</v>
      </c>
      <c r="X201" s="116"/>
      <c r="Y201" s="116"/>
      <c r="Z201" s="116"/>
      <c r="AA201" s="50">
        <v>1.0</v>
      </c>
      <c r="AB201" s="50">
        <v>4.0</v>
      </c>
      <c r="AC201" s="116"/>
      <c r="AD201" s="116"/>
      <c r="AE201" s="116"/>
      <c r="AF201" s="116"/>
      <c r="AG201" s="116"/>
      <c r="AH201" s="116"/>
      <c r="AI201" s="116"/>
      <c r="AJ201" s="116"/>
      <c r="AK201" s="116"/>
      <c r="AL201" s="116"/>
      <c r="AM201" s="116"/>
      <c r="AN201" s="116"/>
      <c r="AO201" s="116"/>
      <c r="AP201" s="116"/>
      <c r="AQ201" s="50" t="s">
        <v>3185</v>
      </c>
      <c r="AR201" s="50" t="s">
        <v>2472</v>
      </c>
      <c r="AS201" s="50">
        <v>1.0</v>
      </c>
      <c r="AT201" s="50" t="s">
        <v>5540</v>
      </c>
      <c r="AU201" s="117">
        <v>4462.0</v>
      </c>
      <c r="AV201" s="50" t="s">
        <v>5881</v>
      </c>
      <c r="AW201" s="50" t="s">
        <v>5882</v>
      </c>
      <c r="AX201" s="117">
        <v>200.0</v>
      </c>
    </row>
    <row r="202">
      <c r="A202" s="50" t="s">
        <v>5883</v>
      </c>
      <c r="B202" s="50" t="s">
        <v>5884</v>
      </c>
      <c r="C202" s="116"/>
      <c r="D202" s="116"/>
      <c r="E202" s="50">
        <v>3.52155090281144E14</v>
      </c>
      <c r="F202" s="50">
        <v>59.0</v>
      </c>
      <c r="G202" s="50">
        <v>99.0</v>
      </c>
      <c r="H202" s="116"/>
      <c r="I202" s="116"/>
      <c r="J202" s="116"/>
      <c r="K202" s="50">
        <v>2.0</v>
      </c>
      <c r="L202" s="50" t="s">
        <v>1358</v>
      </c>
      <c r="M202" s="50" t="s">
        <v>1358</v>
      </c>
      <c r="N202" s="116"/>
      <c r="O202" s="116"/>
      <c r="P202" s="50" t="s">
        <v>5885</v>
      </c>
      <c r="Q202" s="50" t="s">
        <v>5886</v>
      </c>
      <c r="R202" s="50">
        <v>22.5410574</v>
      </c>
      <c r="S202" s="50">
        <v>88.3752694</v>
      </c>
      <c r="T202" s="50">
        <v>-69.4000015258789</v>
      </c>
      <c r="U202" s="50">
        <v>5.0</v>
      </c>
      <c r="V202" s="50">
        <v>2.0</v>
      </c>
      <c r="W202" s="50">
        <v>1.0</v>
      </c>
      <c r="X202" s="116"/>
      <c r="Y202" s="116"/>
      <c r="Z202" s="116"/>
      <c r="AA202" s="116"/>
      <c r="AB202" s="116"/>
      <c r="AC202" s="116"/>
      <c r="AD202" s="116"/>
      <c r="AE202" s="116"/>
      <c r="AF202" s="116"/>
      <c r="AG202" s="116"/>
      <c r="AH202" s="116"/>
      <c r="AI202" s="116"/>
      <c r="AJ202" s="116"/>
      <c r="AK202" s="116"/>
      <c r="AL202" s="116"/>
      <c r="AM202" s="116"/>
      <c r="AN202" s="116"/>
      <c r="AO202" s="116"/>
      <c r="AP202" s="116"/>
      <c r="AQ202" s="50" t="s">
        <v>2979</v>
      </c>
      <c r="AR202" s="50" t="s">
        <v>2278</v>
      </c>
      <c r="AS202" s="116"/>
      <c r="AT202" s="50" t="s">
        <v>5540</v>
      </c>
      <c r="AU202" s="117">
        <v>4463.0</v>
      </c>
      <c r="AV202" s="50" t="s">
        <v>5888</v>
      </c>
      <c r="AW202" s="50" t="s">
        <v>5889</v>
      </c>
      <c r="AX202" s="117">
        <v>201.0</v>
      </c>
    </row>
    <row r="203">
      <c r="A203" s="50" t="s">
        <v>5890</v>
      </c>
      <c r="B203" s="50" t="s">
        <v>5891</v>
      </c>
      <c r="C203" s="116"/>
      <c r="D203" s="116"/>
      <c r="E203" s="50">
        <v>3.52155090281144E14</v>
      </c>
      <c r="F203" s="50">
        <v>59.0</v>
      </c>
      <c r="G203" s="50">
        <v>11.0</v>
      </c>
      <c r="H203" s="50">
        <v>4.0</v>
      </c>
      <c r="I203" s="50">
        <v>1.0</v>
      </c>
      <c r="J203" s="50" t="s">
        <v>5850</v>
      </c>
      <c r="K203" s="116"/>
      <c r="L203" s="50" t="s">
        <v>1361</v>
      </c>
      <c r="M203" s="50" t="s">
        <v>1361</v>
      </c>
      <c r="N203" s="116"/>
      <c r="O203" s="116"/>
      <c r="P203" s="50" t="s">
        <v>5892</v>
      </c>
      <c r="Q203" s="50" t="s">
        <v>5893</v>
      </c>
      <c r="R203" s="50">
        <v>22.5427667</v>
      </c>
      <c r="S203" s="50">
        <v>88.3834291</v>
      </c>
      <c r="T203" s="50">
        <v>-45.5</v>
      </c>
      <c r="U203" s="50">
        <v>5.0</v>
      </c>
      <c r="V203" s="50">
        <v>2.0</v>
      </c>
      <c r="W203" s="50">
        <v>1.0</v>
      </c>
      <c r="X203" s="116"/>
      <c r="Y203" s="116"/>
      <c r="Z203" s="116"/>
      <c r="AA203" s="50">
        <v>1.0</v>
      </c>
      <c r="AB203" s="50">
        <v>4.0</v>
      </c>
      <c r="AC203" s="116"/>
      <c r="AD203" s="116"/>
      <c r="AE203" s="116"/>
      <c r="AF203" s="116"/>
      <c r="AG203" s="116"/>
      <c r="AH203" s="116"/>
      <c r="AI203" s="116"/>
      <c r="AJ203" s="116"/>
      <c r="AK203" s="116"/>
      <c r="AL203" s="116"/>
      <c r="AM203" s="116"/>
      <c r="AN203" s="116"/>
      <c r="AO203" s="116"/>
      <c r="AP203" s="116"/>
      <c r="AQ203" s="50" t="s">
        <v>2949</v>
      </c>
      <c r="AR203" s="50" t="s">
        <v>2302</v>
      </c>
      <c r="AS203" s="50">
        <v>1.0</v>
      </c>
      <c r="AT203" s="50" t="s">
        <v>5540</v>
      </c>
      <c r="AU203" s="117">
        <v>4464.0</v>
      </c>
      <c r="AV203" s="50" t="s">
        <v>5894</v>
      </c>
      <c r="AW203" s="50" t="s">
        <v>5895</v>
      </c>
      <c r="AX203" s="117">
        <v>202.0</v>
      </c>
    </row>
    <row r="204">
      <c r="A204" s="50" t="s">
        <v>5896</v>
      </c>
      <c r="B204" s="50" t="s">
        <v>5897</v>
      </c>
      <c r="C204" s="116"/>
      <c r="D204" s="116"/>
      <c r="E204" s="50">
        <v>3.52155090281144E14</v>
      </c>
      <c r="F204" s="50">
        <v>59.0</v>
      </c>
      <c r="G204" s="50">
        <v>99.0</v>
      </c>
      <c r="H204" s="116"/>
      <c r="I204" s="116"/>
      <c r="J204" s="116"/>
      <c r="K204" s="50">
        <v>2.0</v>
      </c>
      <c r="L204" s="50" t="s">
        <v>220</v>
      </c>
      <c r="M204" s="50" t="s">
        <v>220</v>
      </c>
      <c r="N204" s="116"/>
      <c r="O204" s="116"/>
      <c r="P204" s="50" t="s">
        <v>5898</v>
      </c>
      <c r="Q204" s="50" t="s">
        <v>5899</v>
      </c>
      <c r="R204" s="50">
        <v>22.542838</v>
      </c>
      <c r="S204" s="50">
        <v>88.3834836</v>
      </c>
      <c r="T204" s="50">
        <v>-33.7999992370605</v>
      </c>
      <c r="U204" s="50">
        <v>5.0</v>
      </c>
      <c r="V204" s="50">
        <v>2.0</v>
      </c>
      <c r="W204" s="50">
        <v>1.0</v>
      </c>
      <c r="X204" s="116"/>
      <c r="Y204" s="116"/>
      <c r="Z204" s="116"/>
      <c r="AA204" s="116"/>
      <c r="AB204" s="116"/>
      <c r="AC204" s="116"/>
      <c r="AD204" s="116"/>
      <c r="AE204" s="116"/>
      <c r="AF204" s="116"/>
      <c r="AG204" s="116"/>
      <c r="AH204" s="116"/>
      <c r="AI204" s="116"/>
      <c r="AJ204" s="116"/>
      <c r="AK204" s="116"/>
      <c r="AL204" s="116"/>
      <c r="AM204" s="116"/>
      <c r="AN204" s="116"/>
      <c r="AO204" s="116"/>
      <c r="AP204" s="116"/>
      <c r="AQ204" s="50" t="s">
        <v>3200</v>
      </c>
      <c r="AR204" s="50" t="s">
        <v>2327</v>
      </c>
      <c r="AS204" s="116"/>
      <c r="AT204" s="50" t="s">
        <v>5540</v>
      </c>
      <c r="AU204" s="117">
        <v>4465.0</v>
      </c>
      <c r="AV204" s="50" t="s">
        <v>5900</v>
      </c>
      <c r="AW204" s="50" t="s">
        <v>5901</v>
      </c>
      <c r="AX204" s="117">
        <v>203.0</v>
      </c>
    </row>
    <row r="205">
      <c r="A205" s="50" t="s">
        <v>5902</v>
      </c>
      <c r="B205" s="50" t="s">
        <v>5903</v>
      </c>
      <c r="C205" s="116"/>
      <c r="D205" s="116"/>
      <c r="E205" s="50">
        <v>3.52155090281144E14</v>
      </c>
      <c r="F205" s="50">
        <v>59.0</v>
      </c>
      <c r="G205" s="50">
        <v>11.0</v>
      </c>
      <c r="H205" s="50">
        <v>3.0</v>
      </c>
      <c r="I205" s="50">
        <v>1.0</v>
      </c>
      <c r="J205" s="50" t="s">
        <v>5904</v>
      </c>
      <c r="K205" s="116"/>
      <c r="L205" s="50" t="s">
        <v>1364</v>
      </c>
      <c r="M205" s="50" t="s">
        <v>1364</v>
      </c>
      <c r="N205" s="116"/>
      <c r="O205" s="116"/>
      <c r="P205" s="50" t="s">
        <v>5905</v>
      </c>
      <c r="Q205" s="50" t="s">
        <v>5906</v>
      </c>
      <c r="R205" s="50">
        <v>22.5431755</v>
      </c>
      <c r="S205" s="50">
        <v>88.3835282</v>
      </c>
      <c r="T205" s="50">
        <v>-86.0</v>
      </c>
      <c r="U205" s="50">
        <v>5.0</v>
      </c>
      <c r="V205" s="50">
        <v>2.0</v>
      </c>
      <c r="W205" s="50">
        <v>1.0</v>
      </c>
      <c r="X205" s="116"/>
      <c r="Y205" s="116"/>
      <c r="Z205" s="116"/>
      <c r="AA205" s="50">
        <v>2.0</v>
      </c>
      <c r="AB205" s="50">
        <v>4.0</v>
      </c>
      <c r="AC205" s="116"/>
      <c r="AD205" s="116"/>
      <c r="AE205" s="116"/>
      <c r="AF205" s="116"/>
      <c r="AG205" s="116"/>
      <c r="AH205" s="116"/>
      <c r="AI205" s="116"/>
      <c r="AJ205" s="116"/>
      <c r="AK205" s="116"/>
      <c r="AL205" s="116"/>
      <c r="AM205" s="116"/>
      <c r="AN205" s="116"/>
      <c r="AO205" s="116"/>
      <c r="AP205" s="116"/>
      <c r="AQ205" s="50" t="s">
        <v>3200</v>
      </c>
      <c r="AR205" s="50" t="s">
        <v>2278</v>
      </c>
      <c r="AS205" s="50">
        <v>1.0</v>
      </c>
      <c r="AT205" s="50" t="s">
        <v>5540</v>
      </c>
      <c r="AU205" s="117">
        <v>4466.0</v>
      </c>
      <c r="AV205" s="50" t="s">
        <v>5907</v>
      </c>
      <c r="AW205" s="50" t="s">
        <v>5908</v>
      </c>
      <c r="AX205" s="117">
        <v>204.0</v>
      </c>
    </row>
    <row r="206">
      <c r="A206" s="50" t="s">
        <v>5910</v>
      </c>
      <c r="B206" s="50" t="s">
        <v>5911</v>
      </c>
      <c r="C206" s="116"/>
      <c r="D206" s="116"/>
      <c r="E206" s="50">
        <v>3.52155090281144E14</v>
      </c>
      <c r="F206" s="50">
        <v>59.0</v>
      </c>
      <c r="G206" s="50">
        <v>99.0</v>
      </c>
      <c r="H206" s="116"/>
      <c r="I206" s="116"/>
      <c r="J206" s="116"/>
      <c r="K206" s="50">
        <v>2.0</v>
      </c>
      <c r="L206" s="50" t="s">
        <v>219</v>
      </c>
      <c r="M206" s="50" t="s">
        <v>219</v>
      </c>
      <c r="N206" s="116"/>
      <c r="O206" s="116"/>
      <c r="P206" s="50" t="s">
        <v>5912</v>
      </c>
      <c r="Q206" s="50" t="s">
        <v>5913</v>
      </c>
      <c r="R206" s="50">
        <v>22.5432029</v>
      </c>
      <c r="S206" s="50">
        <v>88.3833412</v>
      </c>
      <c r="T206" s="50">
        <v>-104.5</v>
      </c>
      <c r="U206" s="50">
        <v>5.0</v>
      </c>
      <c r="V206" s="50">
        <v>2.0</v>
      </c>
      <c r="W206" s="50">
        <v>1.0</v>
      </c>
      <c r="X206" s="116"/>
      <c r="Y206" s="116"/>
      <c r="Z206" s="116"/>
      <c r="AA206" s="116"/>
      <c r="AB206" s="116"/>
      <c r="AC206" s="116"/>
      <c r="AD206" s="116"/>
      <c r="AE206" s="116"/>
      <c r="AF206" s="116"/>
      <c r="AG206" s="116"/>
      <c r="AH206" s="116"/>
      <c r="AI206" s="116"/>
      <c r="AJ206" s="116"/>
      <c r="AK206" s="116"/>
      <c r="AL206" s="116"/>
      <c r="AM206" s="116"/>
      <c r="AN206" s="116"/>
      <c r="AO206" s="116"/>
      <c r="AP206" s="116"/>
      <c r="AQ206" s="50" t="s">
        <v>3185</v>
      </c>
      <c r="AR206" s="50" t="s">
        <v>2302</v>
      </c>
      <c r="AS206" s="116"/>
      <c r="AT206" s="50" t="s">
        <v>5540</v>
      </c>
      <c r="AU206" s="117">
        <v>4467.0</v>
      </c>
      <c r="AV206" s="50" t="s">
        <v>5914</v>
      </c>
      <c r="AW206" s="50" t="s">
        <v>5915</v>
      </c>
      <c r="AX206" s="117">
        <v>205.0</v>
      </c>
    </row>
    <row r="207">
      <c r="A207" s="50" t="s">
        <v>5916</v>
      </c>
      <c r="B207" s="50" t="s">
        <v>5917</v>
      </c>
      <c r="C207" s="116"/>
      <c r="D207" s="116"/>
      <c r="E207" s="50">
        <v>3.52155090281144E14</v>
      </c>
      <c r="F207" s="50">
        <v>59.0</v>
      </c>
      <c r="G207" s="50">
        <v>11.0</v>
      </c>
      <c r="H207" s="50">
        <v>4.0</v>
      </c>
      <c r="I207" s="50">
        <v>1.0</v>
      </c>
      <c r="J207" s="50" t="s">
        <v>5850</v>
      </c>
      <c r="K207" s="116"/>
      <c r="L207" s="50" t="s">
        <v>1371</v>
      </c>
      <c r="M207" s="50" t="s">
        <v>1371</v>
      </c>
      <c r="N207" s="116"/>
      <c r="O207" s="116"/>
      <c r="P207" s="50" t="s">
        <v>5918</v>
      </c>
      <c r="Q207" s="50" t="s">
        <v>5919</v>
      </c>
      <c r="R207" s="50">
        <v>22.5428316</v>
      </c>
      <c r="S207" s="50">
        <v>88.3834919</v>
      </c>
      <c r="T207" s="50">
        <v>1.5</v>
      </c>
      <c r="U207" s="50">
        <v>5.0</v>
      </c>
      <c r="V207" s="50">
        <v>1.0</v>
      </c>
      <c r="W207" s="50">
        <v>0.0</v>
      </c>
      <c r="X207" s="50">
        <v>1.0</v>
      </c>
      <c r="Y207" s="116"/>
      <c r="Z207" s="116"/>
      <c r="AA207" s="50">
        <v>2.0</v>
      </c>
      <c r="AB207" s="50">
        <v>4.0</v>
      </c>
      <c r="AC207" s="116"/>
      <c r="AD207" s="116"/>
      <c r="AE207" s="116"/>
      <c r="AF207" s="116"/>
      <c r="AG207" s="116"/>
      <c r="AH207" s="116"/>
      <c r="AI207" s="116"/>
      <c r="AJ207" s="116"/>
      <c r="AK207" s="116"/>
      <c r="AL207" s="116"/>
      <c r="AM207" s="116"/>
      <c r="AN207" s="116"/>
      <c r="AO207" s="116"/>
      <c r="AP207" s="116"/>
      <c r="AQ207" s="50" t="s">
        <v>3200</v>
      </c>
      <c r="AR207" s="50" t="s">
        <v>2286</v>
      </c>
      <c r="AS207" s="50">
        <v>1.0</v>
      </c>
      <c r="AT207" s="50" t="s">
        <v>5540</v>
      </c>
      <c r="AU207" s="117">
        <v>4509.0</v>
      </c>
      <c r="AV207" s="50" t="s">
        <v>5921</v>
      </c>
      <c r="AW207" s="50" t="s">
        <v>5922</v>
      </c>
      <c r="AX207" s="117">
        <v>206.0</v>
      </c>
    </row>
    <row r="208">
      <c r="A208" s="50" t="s">
        <v>5923</v>
      </c>
      <c r="B208" s="50" t="s">
        <v>5924</v>
      </c>
      <c r="C208" s="116"/>
      <c r="D208" s="116"/>
      <c r="E208" s="50">
        <v>3.52155090281144E14</v>
      </c>
      <c r="F208" s="50">
        <v>59.0</v>
      </c>
      <c r="G208" s="50">
        <v>99.0</v>
      </c>
      <c r="H208" s="116"/>
      <c r="I208" s="116"/>
      <c r="J208" s="116"/>
      <c r="K208" s="50">
        <v>2.0</v>
      </c>
      <c r="L208" s="50" t="s">
        <v>1374</v>
      </c>
      <c r="M208" s="50" t="s">
        <v>1374</v>
      </c>
      <c r="N208" s="116"/>
      <c r="O208" s="116"/>
      <c r="P208" s="50" t="s">
        <v>5925</v>
      </c>
      <c r="Q208" s="50" t="s">
        <v>5926</v>
      </c>
      <c r="R208" s="50">
        <v>22.5429847</v>
      </c>
      <c r="S208" s="50">
        <v>88.3833862</v>
      </c>
      <c r="T208" s="50">
        <v>-36.0</v>
      </c>
      <c r="U208" s="50">
        <v>5.0</v>
      </c>
      <c r="V208" s="50">
        <v>1.0</v>
      </c>
      <c r="W208" s="50">
        <v>0.0</v>
      </c>
      <c r="X208" s="50">
        <v>1.0</v>
      </c>
      <c r="Y208" s="116"/>
      <c r="Z208" s="116"/>
      <c r="AA208" s="116"/>
      <c r="AB208" s="116"/>
      <c r="AC208" s="116"/>
      <c r="AD208" s="116"/>
      <c r="AE208" s="116"/>
      <c r="AF208" s="116"/>
      <c r="AG208" s="116"/>
      <c r="AH208" s="116"/>
      <c r="AI208" s="116"/>
      <c r="AJ208" s="116"/>
      <c r="AK208" s="116"/>
      <c r="AL208" s="116"/>
      <c r="AM208" s="116"/>
      <c r="AN208" s="116"/>
      <c r="AO208" s="116"/>
      <c r="AP208" s="116"/>
      <c r="AQ208" s="50" t="s">
        <v>3149</v>
      </c>
      <c r="AR208" s="50" t="s">
        <v>2302</v>
      </c>
      <c r="AS208" s="116"/>
      <c r="AT208" s="50" t="s">
        <v>5540</v>
      </c>
      <c r="AU208" s="117">
        <v>4510.0</v>
      </c>
      <c r="AV208" s="50" t="s">
        <v>5927</v>
      </c>
      <c r="AW208" s="50" t="s">
        <v>5928</v>
      </c>
      <c r="AX208" s="117">
        <v>207.0</v>
      </c>
    </row>
    <row r="209">
      <c r="A209" s="50" t="s">
        <v>5929</v>
      </c>
      <c r="B209" s="50" t="s">
        <v>5930</v>
      </c>
      <c r="C209" s="116"/>
      <c r="D209" s="116"/>
      <c r="E209" s="50">
        <v>3.52155090281144E14</v>
      </c>
      <c r="F209" s="50">
        <v>59.0</v>
      </c>
      <c r="G209" s="50">
        <v>11.0</v>
      </c>
      <c r="H209" s="50">
        <v>3.0</v>
      </c>
      <c r="I209" s="50">
        <v>1.0</v>
      </c>
      <c r="J209" s="50" t="s">
        <v>5864</v>
      </c>
      <c r="K209" s="116"/>
      <c r="L209" s="50" t="s">
        <v>1377</v>
      </c>
      <c r="M209" s="50" t="s">
        <v>1377</v>
      </c>
      <c r="N209" s="116"/>
      <c r="O209" s="116"/>
      <c r="P209" s="50" t="s">
        <v>5931</v>
      </c>
      <c r="Q209" s="50" t="s">
        <v>5932</v>
      </c>
      <c r="R209" s="50">
        <v>22.5431591</v>
      </c>
      <c r="S209" s="50">
        <v>88.3835946</v>
      </c>
      <c r="T209" s="50">
        <v>-49.7999992370605</v>
      </c>
      <c r="U209" s="50">
        <v>5.0</v>
      </c>
      <c r="V209" s="50">
        <v>1.0</v>
      </c>
      <c r="W209" s="50">
        <v>0.0</v>
      </c>
      <c r="X209" s="50">
        <v>1.0</v>
      </c>
      <c r="Y209" s="116"/>
      <c r="Z209" s="116"/>
      <c r="AA209" s="50">
        <v>2.0</v>
      </c>
      <c r="AB209" s="50">
        <v>4.0</v>
      </c>
      <c r="AC209" s="116"/>
      <c r="AD209" s="116"/>
      <c r="AE209" s="116"/>
      <c r="AF209" s="116"/>
      <c r="AG209" s="116"/>
      <c r="AH209" s="116"/>
      <c r="AI209" s="116"/>
      <c r="AJ209" s="116"/>
      <c r="AK209" s="116"/>
      <c r="AL209" s="116"/>
      <c r="AM209" s="116"/>
      <c r="AN209" s="116"/>
      <c r="AO209" s="116"/>
      <c r="AP209" s="116"/>
      <c r="AQ209" s="50" t="s">
        <v>3149</v>
      </c>
      <c r="AR209" s="50" t="s">
        <v>2302</v>
      </c>
      <c r="AS209" s="50">
        <v>1.0</v>
      </c>
      <c r="AT209" s="50" t="s">
        <v>5540</v>
      </c>
      <c r="AU209" s="117">
        <v>4511.0</v>
      </c>
      <c r="AV209" s="50" t="s">
        <v>5934</v>
      </c>
      <c r="AW209" s="50" t="s">
        <v>5935</v>
      </c>
      <c r="AX209" s="117">
        <v>208.0</v>
      </c>
    </row>
    <row r="210">
      <c r="A210" s="50" t="s">
        <v>5936</v>
      </c>
      <c r="B210" s="50" t="s">
        <v>5937</v>
      </c>
      <c r="C210" s="116"/>
      <c r="D210" s="116"/>
      <c r="E210" s="50">
        <v>3.52155090281144E14</v>
      </c>
      <c r="F210" s="50">
        <v>59.0</v>
      </c>
      <c r="G210" s="50">
        <v>99.0</v>
      </c>
      <c r="H210" s="116"/>
      <c r="I210" s="116"/>
      <c r="J210" s="116"/>
      <c r="K210" s="50">
        <v>2.0</v>
      </c>
      <c r="L210" s="50" t="s">
        <v>1379</v>
      </c>
      <c r="M210" s="50" t="s">
        <v>1379</v>
      </c>
      <c r="N210" s="116"/>
      <c r="O210" s="116"/>
      <c r="P210" s="50" t="s">
        <v>5938</v>
      </c>
      <c r="Q210" s="50" t="s">
        <v>5939</v>
      </c>
      <c r="R210" s="50">
        <v>22.5431657</v>
      </c>
      <c r="S210" s="50">
        <v>88.3836686</v>
      </c>
      <c r="T210" s="50">
        <v>-54.9000015258789</v>
      </c>
      <c r="U210" s="50">
        <v>5.0</v>
      </c>
      <c r="V210" s="50">
        <v>1.0</v>
      </c>
      <c r="W210" s="50">
        <v>0.0</v>
      </c>
      <c r="X210" s="50">
        <v>1.0</v>
      </c>
      <c r="Y210" s="116"/>
      <c r="Z210" s="116"/>
      <c r="AA210" s="116"/>
      <c r="AB210" s="116"/>
      <c r="AC210" s="116"/>
      <c r="AD210" s="116"/>
      <c r="AE210" s="116"/>
      <c r="AF210" s="116"/>
      <c r="AG210" s="116"/>
      <c r="AH210" s="116"/>
      <c r="AI210" s="116"/>
      <c r="AJ210" s="116"/>
      <c r="AK210" s="116"/>
      <c r="AL210" s="116"/>
      <c r="AM210" s="116"/>
      <c r="AN210" s="116"/>
      <c r="AO210" s="116"/>
      <c r="AP210" s="116"/>
      <c r="AQ210" s="50" t="s">
        <v>3200</v>
      </c>
      <c r="AR210" s="50" t="s">
        <v>2286</v>
      </c>
      <c r="AS210" s="116"/>
      <c r="AT210" s="50" t="s">
        <v>5540</v>
      </c>
      <c r="AU210" s="117">
        <v>4512.0</v>
      </c>
      <c r="AV210" s="50" t="s">
        <v>5940</v>
      </c>
      <c r="AW210" s="50" t="s">
        <v>5941</v>
      </c>
      <c r="AX210" s="117">
        <v>209.0</v>
      </c>
    </row>
    <row r="211">
      <c r="A211" s="50" t="s">
        <v>5942</v>
      </c>
      <c r="B211" s="50" t="s">
        <v>5943</v>
      </c>
      <c r="C211" s="116"/>
      <c r="D211" s="116"/>
      <c r="E211" s="50">
        <v>3.52155090281144E14</v>
      </c>
      <c r="F211" s="50">
        <v>57.0</v>
      </c>
      <c r="G211" s="50">
        <v>12.0</v>
      </c>
      <c r="H211" s="116"/>
      <c r="I211" s="116"/>
      <c r="J211" s="116"/>
      <c r="K211" s="116"/>
      <c r="L211" s="50" t="s">
        <v>1386</v>
      </c>
      <c r="M211" s="50" t="s">
        <v>1386</v>
      </c>
      <c r="N211" s="50">
        <v>2.0</v>
      </c>
      <c r="O211" s="50" t="s">
        <v>5944</v>
      </c>
      <c r="P211" s="116"/>
      <c r="Q211" s="50" t="s">
        <v>5945</v>
      </c>
      <c r="R211" s="50">
        <v>22.5541826</v>
      </c>
      <c r="S211" s="50">
        <v>88.3967586</v>
      </c>
      <c r="T211" s="50">
        <v>-48.7000007629394</v>
      </c>
      <c r="U211" s="50">
        <v>5.0</v>
      </c>
      <c r="V211" s="50">
        <v>1.0</v>
      </c>
      <c r="W211" s="50">
        <v>0.0</v>
      </c>
      <c r="X211" s="50">
        <v>1.0</v>
      </c>
      <c r="Y211" s="116"/>
      <c r="Z211" s="116"/>
      <c r="AA211" s="116"/>
      <c r="AB211" s="116"/>
      <c r="AC211" s="116"/>
      <c r="AD211" s="116"/>
      <c r="AE211" s="50">
        <v>1.0</v>
      </c>
      <c r="AF211" s="50">
        <v>2.0</v>
      </c>
      <c r="AG211" s="50">
        <v>3.0</v>
      </c>
      <c r="AH211" s="50">
        <v>4.0</v>
      </c>
      <c r="AI211" s="116"/>
      <c r="AJ211" s="116"/>
      <c r="AK211" s="116"/>
      <c r="AL211" s="116"/>
      <c r="AM211" s="116"/>
      <c r="AN211" s="116"/>
      <c r="AO211" s="116"/>
      <c r="AP211" s="116"/>
      <c r="AQ211" s="50" t="s">
        <v>3185</v>
      </c>
      <c r="AR211" s="50" t="s">
        <v>2327</v>
      </c>
      <c r="AS211" s="50">
        <v>0.0</v>
      </c>
      <c r="AT211" s="50" t="s">
        <v>5540</v>
      </c>
      <c r="AU211" s="117">
        <v>4533.0</v>
      </c>
      <c r="AV211" s="50" t="s">
        <v>5947</v>
      </c>
      <c r="AW211" s="50" t="s">
        <v>5948</v>
      </c>
      <c r="AX211" s="117">
        <v>210.0</v>
      </c>
    </row>
    <row r="212">
      <c r="A212" s="50" t="s">
        <v>5949</v>
      </c>
      <c r="B212" s="50" t="s">
        <v>5950</v>
      </c>
      <c r="C212" s="116"/>
      <c r="D212" s="116"/>
      <c r="E212" s="50">
        <v>3.52155090281144E14</v>
      </c>
      <c r="F212" s="50">
        <v>55.0</v>
      </c>
      <c r="G212" s="50">
        <v>12.0</v>
      </c>
      <c r="H212" s="116"/>
      <c r="I212" s="116"/>
      <c r="J212" s="116"/>
      <c r="K212" s="116"/>
      <c r="L212" s="50" t="s">
        <v>1390</v>
      </c>
      <c r="M212" s="50" t="s">
        <v>1390</v>
      </c>
      <c r="N212" s="50">
        <v>4.0</v>
      </c>
      <c r="O212" s="50" t="s">
        <v>5951</v>
      </c>
      <c r="P212" s="116"/>
      <c r="Q212" s="50" t="s">
        <v>5952</v>
      </c>
      <c r="R212" s="50">
        <v>22.5637313</v>
      </c>
      <c r="S212" s="50">
        <v>88.3773001</v>
      </c>
      <c r="T212" s="50">
        <v>-65.8000030517578</v>
      </c>
      <c r="U212" s="50">
        <v>5.0</v>
      </c>
      <c r="V212" s="50">
        <v>1.0</v>
      </c>
      <c r="W212" s="50">
        <v>0.0</v>
      </c>
      <c r="X212" s="50">
        <v>1.0</v>
      </c>
      <c r="Y212" s="116"/>
      <c r="Z212" s="116"/>
      <c r="AA212" s="116"/>
      <c r="AB212" s="116"/>
      <c r="AC212" s="116"/>
      <c r="AD212" s="116"/>
      <c r="AE212" s="50">
        <v>2.0</v>
      </c>
      <c r="AF212" s="50">
        <v>1.0</v>
      </c>
      <c r="AG212" s="50">
        <v>4.0</v>
      </c>
      <c r="AH212" s="50">
        <v>4.0</v>
      </c>
      <c r="AI212" s="116"/>
      <c r="AJ212" s="116"/>
      <c r="AK212" s="116"/>
      <c r="AL212" s="116"/>
      <c r="AM212" s="116"/>
      <c r="AN212" s="116"/>
      <c r="AO212" s="116"/>
      <c r="AP212" s="116"/>
      <c r="AQ212" s="50" t="s">
        <v>3149</v>
      </c>
      <c r="AR212" s="50" t="s">
        <v>2472</v>
      </c>
      <c r="AS212" s="50">
        <v>0.0</v>
      </c>
      <c r="AT212" s="50" t="s">
        <v>5540</v>
      </c>
      <c r="AU212" s="117">
        <v>4534.0</v>
      </c>
      <c r="AV212" s="50" t="s">
        <v>5953</v>
      </c>
      <c r="AW212" s="50" t="s">
        <v>5954</v>
      </c>
      <c r="AX212" s="117">
        <v>211.0</v>
      </c>
    </row>
    <row r="213">
      <c r="A213" s="50" t="s">
        <v>5955</v>
      </c>
      <c r="B213" s="50" t="s">
        <v>5956</v>
      </c>
      <c r="C213" s="116"/>
      <c r="D213" s="116"/>
      <c r="E213" s="50">
        <v>3.52155090281144E14</v>
      </c>
      <c r="F213" s="50">
        <v>57.0</v>
      </c>
      <c r="G213" s="50">
        <v>99.0</v>
      </c>
      <c r="H213" s="116"/>
      <c r="I213" s="116"/>
      <c r="J213" s="116"/>
      <c r="K213" s="50">
        <v>1.0</v>
      </c>
      <c r="L213" s="50" t="s">
        <v>1387</v>
      </c>
      <c r="M213" s="50" t="s">
        <v>1387</v>
      </c>
      <c r="N213" s="116"/>
      <c r="O213" s="116"/>
      <c r="P213" s="50" t="s">
        <v>5957</v>
      </c>
      <c r="Q213" s="50" t="s">
        <v>5958</v>
      </c>
      <c r="R213" s="50">
        <v>22.5542315</v>
      </c>
      <c r="S213" s="50">
        <v>88.3966932</v>
      </c>
      <c r="T213" s="50">
        <v>-57.099998474121</v>
      </c>
      <c r="U213" s="50">
        <v>5.0</v>
      </c>
      <c r="V213" s="50">
        <v>1.0</v>
      </c>
      <c r="W213" s="50">
        <v>0.0</v>
      </c>
      <c r="X213" s="50">
        <v>1.0</v>
      </c>
      <c r="Y213" s="116"/>
      <c r="Z213" s="116"/>
      <c r="AA213" s="116"/>
      <c r="AB213" s="116"/>
      <c r="AC213" s="116"/>
      <c r="AD213" s="116"/>
      <c r="AE213" s="116"/>
      <c r="AF213" s="116"/>
      <c r="AG213" s="116"/>
      <c r="AH213" s="116"/>
      <c r="AI213" s="116"/>
      <c r="AJ213" s="116"/>
      <c r="AK213" s="116"/>
      <c r="AL213" s="116"/>
      <c r="AM213" s="116"/>
      <c r="AN213" s="116"/>
      <c r="AO213" s="116"/>
      <c r="AP213" s="116"/>
      <c r="AQ213" s="50" t="s">
        <v>5960</v>
      </c>
      <c r="AR213" s="50" t="s">
        <v>2278</v>
      </c>
      <c r="AS213" s="116"/>
      <c r="AT213" s="50" t="s">
        <v>5540</v>
      </c>
      <c r="AU213" s="117">
        <v>4535.0</v>
      </c>
      <c r="AV213" s="50" t="s">
        <v>5961</v>
      </c>
      <c r="AW213" s="50" t="s">
        <v>5962</v>
      </c>
      <c r="AX213" s="117">
        <v>212.0</v>
      </c>
    </row>
    <row r="214">
      <c r="A214" s="50" t="s">
        <v>5963</v>
      </c>
      <c r="B214" s="50" t="s">
        <v>5964</v>
      </c>
      <c r="C214" s="116"/>
      <c r="D214" s="116"/>
      <c r="E214" s="50">
        <v>3.52155090281144E14</v>
      </c>
      <c r="F214" s="50">
        <v>55.0</v>
      </c>
      <c r="G214" s="50">
        <v>99.0</v>
      </c>
      <c r="H214" s="116"/>
      <c r="I214" s="116"/>
      <c r="J214" s="116"/>
      <c r="K214" s="50">
        <v>1.0</v>
      </c>
      <c r="L214" s="50" t="s">
        <v>1392</v>
      </c>
      <c r="M214" s="50" t="s">
        <v>1392</v>
      </c>
      <c r="N214" s="116"/>
      <c r="O214" s="116"/>
      <c r="P214" s="50" t="s">
        <v>5965</v>
      </c>
      <c r="Q214" s="50" t="s">
        <v>5966</v>
      </c>
      <c r="R214" s="50">
        <v>22.5637377</v>
      </c>
      <c r="S214" s="50">
        <v>88.3772093</v>
      </c>
      <c r="T214" s="50">
        <v>-59.099998474121</v>
      </c>
      <c r="U214" s="50">
        <v>4.5</v>
      </c>
      <c r="V214" s="50">
        <v>1.0</v>
      </c>
      <c r="W214" s="50">
        <v>0.0</v>
      </c>
      <c r="X214" s="50">
        <v>1.0</v>
      </c>
      <c r="Y214" s="116"/>
      <c r="Z214" s="116"/>
      <c r="AA214" s="116"/>
      <c r="AB214" s="116"/>
      <c r="AC214" s="116"/>
      <c r="AD214" s="116"/>
      <c r="AE214" s="116"/>
      <c r="AF214" s="116"/>
      <c r="AG214" s="116"/>
      <c r="AH214" s="116"/>
      <c r="AI214" s="116"/>
      <c r="AJ214" s="116"/>
      <c r="AK214" s="116"/>
      <c r="AL214" s="116"/>
      <c r="AM214" s="116"/>
      <c r="AN214" s="116"/>
      <c r="AO214" s="116"/>
      <c r="AP214" s="116"/>
      <c r="AQ214" s="50" t="s">
        <v>2979</v>
      </c>
      <c r="AR214" s="50" t="s">
        <v>2318</v>
      </c>
      <c r="AS214" s="116"/>
      <c r="AT214" s="50" t="s">
        <v>5540</v>
      </c>
      <c r="AU214" s="117">
        <v>4536.0</v>
      </c>
      <c r="AV214" s="50" t="s">
        <v>5967</v>
      </c>
      <c r="AW214" s="50" t="s">
        <v>5968</v>
      </c>
      <c r="AX214" s="117">
        <v>213.0</v>
      </c>
    </row>
    <row r="215">
      <c r="A215" s="50" t="s">
        <v>5969</v>
      </c>
      <c r="B215" s="50" t="s">
        <v>5970</v>
      </c>
      <c r="C215" s="116"/>
      <c r="D215" s="116"/>
      <c r="E215" s="50">
        <v>3.52155090281144E14</v>
      </c>
      <c r="F215" s="50">
        <v>59.0</v>
      </c>
      <c r="G215" s="50">
        <v>11.0</v>
      </c>
      <c r="H215" s="50">
        <v>4.0</v>
      </c>
      <c r="I215" s="50">
        <v>1.0</v>
      </c>
      <c r="J215" s="50" t="s">
        <v>5850</v>
      </c>
      <c r="K215" s="116"/>
      <c r="L215" s="50" t="s">
        <v>1406</v>
      </c>
      <c r="M215" s="50" t="s">
        <v>1406</v>
      </c>
      <c r="N215" s="116"/>
      <c r="O215" s="116"/>
      <c r="P215" s="50" t="s">
        <v>5971</v>
      </c>
      <c r="Q215" s="50" t="s">
        <v>5972</v>
      </c>
      <c r="R215" s="50">
        <v>22.5428438</v>
      </c>
      <c r="S215" s="50">
        <v>88.3836746</v>
      </c>
      <c r="T215" s="50">
        <v>-85.0</v>
      </c>
      <c r="U215" s="50">
        <v>5.0</v>
      </c>
      <c r="V215" s="50">
        <v>1.0</v>
      </c>
      <c r="W215" s="50">
        <v>1.0</v>
      </c>
      <c r="X215" s="116"/>
      <c r="Y215" s="116"/>
      <c r="Z215" s="116"/>
      <c r="AA215" s="50">
        <v>2.0</v>
      </c>
      <c r="AB215" s="50">
        <v>4.0</v>
      </c>
      <c r="AC215" s="116"/>
      <c r="AD215" s="116"/>
      <c r="AE215" s="116"/>
      <c r="AF215" s="116"/>
      <c r="AG215" s="116"/>
      <c r="AH215" s="116"/>
      <c r="AI215" s="116"/>
      <c r="AJ215" s="116"/>
      <c r="AK215" s="116"/>
      <c r="AL215" s="116"/>
      <c r="AM215" s="116"/>
      <c r="AN215" s="116"/>
      <c r="AO215" s="116"/>
      <c r="AP215" s="116"/>
      <c r="AQ215" s="50" t="s">
        <v>3243</v>
      </c>
      <c r="AR215" s="50" t="s">
        <v>2278</v>
      </c>
      <c r="AS215" s="50">
        <v>1.0</v>
      </c>
      <c r="AT215" s="50" t="s">
        <v>5540</v>
      </c>
      <c r="AU215" s="117">
        <v>4539.0</v>
      </c>
      <c r="AV215" s="50" t="s">
        <v>5974</v>
      </c>
      <c r="AW215" s="50" t="s">
        <v>5975</v>
      </c>
      <c r="AX215" s="117">
        <v>214.0</v>
      </c>
    </row>
    <row r="216">
      <c r="A216" s="50" t="s">
        <v>5976</v>
      </c>
      <c r="B216" s="50" t="s">
        <v>5977</v>
      </c>
      <c r="C216" s="116"/>
      <c r="D216" s="116"/>
      <c r="E216" s="50">
        <v>3.52155090281144E14</v>
      </c>
      <c r="F216" s="50">
        <v>59.0</v>
      </c>
      <c r="G216" s="50">
        <v>99.0</v>
      </c>
      <c r="H216" s="116"/>
      <c r="I216" s="116"/>
      <c r="J216" s="116"/>
      <c r="K216" s="50">
        <v>2.0</v>
      </c>
      <c r="L216" s="50" t="s">
        <v>1409</v>
      </c>
      <c r="M216" s="50" t="s">
        <v>1409</v>
      </c>
      <c r="N216" s="116"/>
      <c r="O216" s="116"/>
      <c r="P216" s="50" t="s">
        <v>5978</v>
      </c>
      <c r="Q216" s="50" t="s">
        <v>5979</v>
      </c>
      <c r="R216" s="50">
        <v>22.5428179</v>
      </c>
      <c r="S216" s="50">
        <v>88.3834577</v>
      </c>
      <c r="T216" s="50">
        <v>-2.59999990463256</v>
      </c>
      <c r="U216" s="50">
        <v>4.5</v>
      </c>
      <c r="V216" s="50">
        <v>1.0</v>
      </c>
      <c r="W216" s="50">
        <v>1.0</v>
      </c>
      <c r="X216" s="116"/>
      <c r="Y216" s="116"/>
      <c r="Z216" s="116"/>
      <c r="AA216" s="116"/>
      <c r="AB216" s="116"/>
      <c r="AC216" s="116"/>
      <c r="AD216" s="116"/>
      <c r="AE216" s="116"/>
      <c r="AF216" s="116"/>
      <c r="AG216" s="116"/>
      <c r="AH216" s="116"/>
      <c r="AI216" s="116"/>
      <c r="AJ216" s="116"/>
      <c r="AK216" s="116"/>
      <c r="AL216" s="116"/>
      <c r="AM216" s="116"/>
      <c r="AN216" s="116"/>
      <c r="AO216" s="116"/>
      <c r="AP216" s="116"/>
      <c r="AQ216" s="50" t="s">
        <v>3185</v>
      </c>
      <c r="AR216" s="50" t="s">
        <v>3142</v>
      </c>
      <c r="AS216" s="116"/>
      <c r="AT216" s="50" t="s">
        <v>5540</v>
      </c>
      <c r="AU216" s="117">
        <v>4540.0</v>
      </c>
      <c r="AV216" s="50" t="s">
        <v>5980</v>
      </c>
      <c r="AW216" s="50" t="s">
        <v>5981</v>
      </c>
      <c r="AX216" s="117">
        <v>215.0</v>
      </c>
    </row>
    <row r="217">
      <c r="A217" s="50" t="s">
        <v>5982</v>
      </c>
      <c r="B217" s="50" t="s">
        <v>5983</v>
      </c>
      <c r="C217" s="116"/>
      <c r="D217" s="116"/>
      <c r="E217" s="50">
        <v>3.52155090281144E14</v>
      </c>
      <c r="F217" s="50">
        <v>59.0</v>
      </c>
      <c r="G217" s="50">
        <v>11.0</v>
      </c>
      <c r="H217" s="50">
        <v>3.0</v>
      </c>
      <c r="I217" s="50">
        <v>1.0</v>
      </c>
      <c r="J217" s="50" t="s">
        <v>5864</v>
      </c>
      <c r="K217" s="116"/>
      <c r="L217" s="50" t="s">
        <v>1412</v>
      </c>
      <c r="M217" s="50" t="s">
        <v>1412</v>
      </c>
      <c r="N217" s="116"/>
      <c r="O217" s="116"/>
      <c r="P217" s="50" t="s">
        <v>5984</v>
      </c>
      <c r="Q217" s="50" t="s">
        <v>5985</v>
      </c>
      <c r="R217" s="50">
        <v>22.543216</v>
      </c>
      <c r="S217" s="50">
        <v>88.3835802</v>
      </c>
      <c r="T217" s="50">
        <v>-132.0</v>
      </c>
      <c r="U217" s="50">
        <v>5.0</v>
      </c>
      <c r="V217" s="50">
        <v>1.0</v>
      </c>
      <c r="W217" s="50">
        <v>1.0</v>
      </c>
      <c r="X217" s="116"/>
      <c r="Y217" s="116"/>
      <c r="Z217" s="116"/>
      <c r="AA217" s="50">
        <v>2.0</v>
      </c>
      <c r="AB217" s="50">
        <v>4.0</v>
      </c>
      <c r="AC217" s="116"/>
      <c r="AD217" s="116"/>
      <c r="AE217" s="116"/>
      <c r="AF217" s="116"/>
      <c r="AG217" s="116"/>
      <c r="AH217" s="116"/>
      <c r="AI217" s="116"/>
      <c r="AJ217" s="116"/>
      <c r="AK217" s="116"/>
      <c r="AL217" s="116"/>
      <c r="AM217" s="116"/>
      <c r="AN217" s="116"/>
      <c r="AO217" s="116"/>
      <c r="AP217" s="116"/>
      <c r="AQ217" s="50" t="s">
        <v>3200</v>
      </c>
      <c r="AR217" s="50" t="s">
        <v>2327</v>
      </c>
      <c r="AS217" s="50">
        <v>1.0</v>
      </c>
      <c r="AT217" s="50" t="s">
        <v>5540</v>
      </c>
      <c r="AU217" s="117">
        <v>4541.0</v>
      </c>
      <c r="AV217" s="50" t="s">
        <v>5986</v>
      </c>
      <c r="AW217" s="50" t="s">
        <v>5987</v>
      </c>
      <c r="AX217" s="117">
        <v>216.0</v>
      </c>
    </row>
    <row r="218">
      <c r="A218" s="50" t="s">
        <v>5988</v>
      </c>
      <c r="B218" s="50" t="s">
        <v>5989</v>
      </c>
      <c r="C218" s="116"/>
      <c r="D218" s="116"/>
      <c r="E218" s="50">
        <v>3.52155090281144E14</v>
      </c>
      <c r="F218" s="50">
        <v>59.0</v>
      </c>
      <c r="G218" s="50">
        <v>99.0</v>
      </c>
      <c r="H218" s="116"/>
      <c r="I218" s="116"/>
      <c r="J218" s="116"/>
      <c r="K218" s="50">
        <v>2.0</v>
      </c>
      <c r="L218" s="50" t="s">
        <v>1415</v>
      </c>
      <c r="M218" s="50" t="s">
        <v>1415</v>
      </c>
      <c r="N218" s="116"/>
      <c r="O218" s="116"/>
      <c r="P218" s="50" t="s">
        <v>5990</v>
      </c>
      <c r="Q218" s="50" t="s">
        <v>5991</v>
      </c>
      <c r="R218" s="50">
        <v>22.543176</v>
      </c>
      <c r="S218" s="50">
        <v>88.3835317</v>
      </c>
      <c r="T218" s="50">
        <v>-68.3000030517578</v>
      </c>
      <c r="U218" s="50">
        <v>5.0</v>
      </c>
      <c r="V218" s="50">
        <v>1.0</v>
      </c>
      <c r="W218" s="50">
        <v>1.0</v>
      </c>
      <c r="X218" s="116"/>
      <c r="Y218" s="116"/>
      <c r="Z218" s="116"/>
      <c r="AA218" s="116"/>
      <c r="AB218" s="116"/>
      <c r="AC218" s="116"/>
      <c r="AD218" s="116"/>
      <c r="AE218" s="116"/>
      <c r="AF218" s="116"/>
      <c r="AG218" s="116"/>
      <c r="AH218" s="116"/>
      <c r="AI218" s="116"/>
      <c r="AJ218" s="116"/>
      <c r="AK218" s="116"/>
      <c r="AL218" s="116"/>
      <c r="AM218" s="116"/>
      <c r="AN218" s="116"/>
      <c r="AO218" s="116"/>
      <c r="AP218" s="116"/>
      <c r="AQ218" s="50" t="s">
        <v>2949</v>
      </c>
      <c r="AR218" s="50" t="s">
        <v>2302</v>
      </c>
      <c r="AS218" s="116"/>
      <c r="AT218" s="50" t="s">
        <v>5540</v>
      </c>
      <c r="AU218" s="117">
        <v>4542.0</v>
      </c>
      <c r="AV218" s="50" t="s">
        <v>5993</v>
      </c>
      <c r="AW218" s="50" t="s">
        <v>5994</v>
      </c>
      <c r="AX218" s="117">
        <v>217.0</v>
      </c>
    </row>
    <row r="219">
      <c r="A219" s="50" t="s">
        <v>5995</v>
      </c>
      <c r="B219" s="50" t="s">
        <v>5996</v>
      </c>
      <c r="C219" s="116"/>
      <c r="D219" s="116"/>
      <c r="E219" s="50">
        <v>3.52155090281144E14</v>
      </c>
      <c r="F219" s="50">
        <v>59.0</v>
      </c>
      <c r="G219" s="50">
        <v>12.0</v>
      </c>
      <c r="H219" s="116"/>
      <c r="I219" s="116"/>
      <c r="J219" s="116"/>
      <c r="K219" s="116"/>
      <c r="L219" s="50" t="s">
        <v>1402</v>
      </c>
      <c r="M219" s="50" t="s">
        <v>1402</v>
      </c>
      <c r="N219" s="50">
        <v>6.0</v>
      </c>
      <c r="O219" s="50" t="s">
        <v>5997</v>
      </c>
      <c r="P219" s="116"/>
      <c r="Q219" s="50" t="s">
        <v>5998</v>
      </c>
      <c r="R219" s="50">
        <v>22.5400187</v>
      </c>
      <c r="S219" s="50">
        <v>88.3872862</v>
      </c>
      <c r="T219" s="50">
        <v>-56.7000007629394</v>
      </c>
      <c r="U219" s="50">
        <v>4.5</v>
      </c>
      <c r="V219" s="50">
        <v>1.0</v>
      </c>
      <c r="W219" s="50">
        <v>0.0</v>
      </c>
      <c r="X219" s="50">
        <v>0.0</v>
      </c>
      <c r="Y219" s="50">
        <v>1.0</v>
      </c>
      <c r="Z219" s="116"/>
      <c r="AA219" s="116"/>
      <c r="AB219" s="116"/>
      <c r="AC219" s="116"/>
      <c r="AD219" s="116"/>
      <c r="AE219" s="50">
        <v>1.0</v>
      </c>
      <c r="AF219" s="50">
        <v>2.0</v>
      </c>
      <c r="AG219" s="50">
        <v>4.0</v>
      </c>
      <c r="AH219" s="50">
        <v>4.0</v>
      </c>
      <c r="AI219" s="116"/>
      <c r="AJ219" s="116"/>
      <c r="AK219" s="116"/>
      <c r="AL219" s="116"/>
      <c r="AM219" s="116"/>
      <c r="AN219" s="116"/>
      <c r="AO219" s="116"/>
      <c r="AP219" s="116"/>
      <c r="AQ219" s="50" t="s">
        <v>2949</v>
      </c>
      <c r="AR219" s="50" t="s">
        <v>2302</v>
      </c>
      <c r="AS219" s="50">
        <v>0.0</v>
      </c>
      <c r="AT219" s="50" t="s">
        <v>5540</v>
      </c>
      <c r="AU219" s="117">
        <v>4543.0</v>
      </c>
      <c r="AV219" s="50" t="s">
        <v>5999</v>
      </c>
      <c r="AW219" s="50" t="s">
        <v>6000</v>
      </c>
      <c r="AX219" s="117">
        <v>218.0</v>
      </c>
    </row>
    <row r="220">
      <c r="A220" s="50" t="s">
        <v>6001</v>
      </c>
      <c r="B220" s="50" t="s">
        <v>6002</v>
      </c>
      <c r="C220" s="116"/>
      <c r="D220" s="116"/>
      <c r="E220" s="50">
        <v>3.52155090281144E14</v>
      </c>
      <c r="F220" s="50">
        <v>59.0</v>
      </c>
      <c r="G220" s="50">
        <v>99.0</v>
      </c>
      <c r="H220" s="116"/>
      <c r="I220" s="116"/>
      <c r="J220" s="116"/>
      <c r="K220" s="50">
        <v>1.0</v>
      </c>
      <c r="L220" s="50" t="s">
        <v>1404</v>
      </c>
      <c r="M220" s="50" t="s">
        <v>1404</v>
      </c>
      <c r="N220" s="116"/>
      <c r="O220" s="116"/>
      <c r="P220" s="50" t="s">
        <v>6003</v>
      </c>
      <c r="Q220" s="50" t="s">
        <v>6004</v>
      </c>
      <c r="R220" s="50">
        <v>22.5400802</v>
      </c>
      <c r="S220" s="50">
        <v>88.3872564</v>
      </c>
      <c r="T220" s="50">
        <v>-60.7999992370605</v>
      </c>
      <c r="U220" s="50">
        <v>5.0</v>
      </c>
      <c r="V220" s="50">
        <v>1.0</v>
      </c>
      <c r="W220" s="50">
        <v>0.0</v>
      </c>
      <c r="X220" s="50">
        <v>0.0</v>
      </c>
      <c r="Y220" s="50">
        <v>1.0</v>
      </c>
      <c r="Z220" s="116"/>
      <c r="AA220" s="116"/>
      <c r="AB220" s="116"/>
      <c r="AC220" s="116"/>
      <c r="AD220" s="116"/>
      <c r="AE220" s="116"/>
      <c r="AF220" s="116"/>
      <c r="AG220" s="116"/>
      <c r="AH220" s="116"/>
      <c r="AI220" s="116"/>
      <c r="AJ220" s="116"/>
      <c r="AK220" s="116"/>
      <c r="AL220" s="116"/>
      <c r="AM220" s="116"/>
      <c r="AN220" s="116"/>
      <c r="AO220" s="116"/>
      <c r="AP220" s="116"/>
      <c r="AQ220" s="50" t="s">
        <v>3200</v>
      </c>
      <c r="AR220" s="50" t="s">
        <v>2327</v>
      </c>
      <c r="AS220" s="116"/>
      <c r="AT220" s="50" t="s">
        <v>5540</v>
      </c>
      <c r="AU220" s="117">
        <v>4544.0</v>
      </c>
      <c r="AV220" s="50" t="s">
        <v>6006</v>
      </c>
      <c r="AW220" s="50" t="s">
        <v>6007</v>
      </c>
      <c r="AX220" s="117">
        <v>219.0</v>
      </c>
    </row>
    <row r="221">
      <c r="A221" s="50" t="s">
        <v>6008</v>
      </c>
      <c r="B221" s="50" t="s">
        <v>6009</v>
      </c>
      <c r="C221" s="116"/>
      <c r="D221" s="116"/>
      <c r="E221" s="50">
        <v>3.52155090281144E14</v>
      </c>
      <c r="F221" s="50">
        <v>66.0</v>
      </c>
      <c r="G221" s="50">
        <v>12.0</v>
      </c>
      <c r="H221" s="116"/>
      <c r="I221" s="116"/>
      <c r="J221" s="116"/>
      <c r="K221" s="116"/>
      <c r="L221" s="50" t="s">
        <v>1398</v>
      </c>
      <c r="M221" s="50" t="s">
        <v>1398</v>
      </c>
      <c r="N221" s="50">
        <v>5.0</v>
      </c>
      <c r="O221" s="50" t="s">
        <v>6010</v>
      </c>
      <c r="P221" s="116"/>
      <c r="Q221" s="50" t="s">
        <v>6011</v>
      </c>
      <c r="R221" s="50">
        <v>22.5345887</v>
      </c>
      <c r="S221" s="50">
        <v>88.3959132</v>
      </c>
      <c r="T221" s="50">
        <v>-32.2000007629394</v>
      </c>
      <c r="U221" s="50">
        <v>5.0</v>
      </c>
      <c r="V221" s="50">
        <v>1.0</v>
      </c>
      <c r="W221" s="50">
        <v>0.0</v>
      </c>
      <c r="X221" s="50">
        <v>0.0</v>
      </c>
      <c r="Y221" s="50">
        <v>1.0</v>
      </c>
      <c r="Z221" s="116"/>
      <c r="AA221" s="116"/>
      <c r="AB221" s="116"/>
      <c r="AC221" s="116"/>
      <c r="AD221" s="116"/>
      <c r="AE221" s="50">
        <v>1.0</v>
      </c>
      <c r="AF221" s="50">
        <v>1.0</v>
      </c>
      <c r="AG221" s="50">
        <v>4.0</v>
      </c>
      <c r="AH221" s="50">
        <v>4.0</v>
      </c>
      <c r="AI221" s="116"/>
      <c r="AJ221" s="116"/>
      <c r="AK221" s="116"/>
      <c r="AL221" s="116"/>
      <c r="AM221" s="116"/>
      <c r="AN221" s="116"/>
      <c r="AO221" s="116"/>
      <c r="AP221" s="116"/>
      <c r="AQ221" s="50" t="s">
        <v>3185</v>
      </c>
      <c r="AR221" s="50" t="s">
        <v>3142</v>
      </c>
      <c r="AS221" s="50">
        <v>0.0</v>
      </c>
      <c r="AT221" s="50" t="s">
        <v>5540</v>
      </c>
      <c r="AU221" s="117">
        <v>4545.0</v>
      </c>
      <c r="AV221" s="50" t="s">
        <v>6012</v>
      </c>
      <c r="AW221" s="50" t="s">
        <v>6013</v>
      </c>
      <c r="AX221" s="117">
        <v>220.0</v>
      </c>
    </row>
    <row r="222">
      <c r="A222" s="50" t="s">
        <v>6014</v>
      </c>
      <c r="B222" s="50" t="s">
        <v>6015</v>
      </c>
      <c r="C222" s="116"/>
      <c r="D222" s="116"/>
      <c r="E222" s="50">
        <v>3.52155090281144E14</v>
      </c>
      <c r="F222" s="50">
        <v>66.0</v>
      </c>
      <c r="G222" s="50">
        <v>99.0</v>
      </c>
      <c r="H222" s="116"/>
      <c r="I222" s="116"/>
      <c r="J222" s="116"/>
      <c r="K222" s="50">
        <v>1.0</v>
      </c>
      <c r="L222" s="50" t="s">
        <v>1399</v>
      </c>
      <c r="M222" s="50" t="s">
        <v>1399</v>
      </c>
      <c r="N222" s="116"/>
      <c r="O222" s="116"/>
      <c r="P222" s="50" t="s">
        <v>6016</v>
      </c>
      <c r="Q222" s="50" t="s">
        <v>6017</v>
      </c>
      <c r="R222" s="50">
        <v>22.5346038</v>
      </c>
      <c r="S222" s="50">
        <v>88.3960788</v>
      </c>
      <c r="T222" s="50">
        <v>-45.0</v>
      </c>
      <c r="U222" s="50">
        <v>5.0</v>
      </c>
      <c r="V222" s="50">
        <v>3.0</v>
      </c>
      <c r="W222" s="50">
        <v>0.0</v>
      </c>
      <c r="X222" s="50">
        <v>0.0</v>
      </c>
      <c r="Y222" s="50">
        <v>1.0</v>
      </c>
      <c r="Z222" s="116"/>
      <c r="AA222" s="116"/>
      <c r="AB222" s="116"/>
      <c r="AC222" s="116"/>
      <c r="AD222" s="116"/>
      <c r="AE222" s="116"/>
      <c r="AF222" s="116"/>
      <c r="AG222" s="116"/>
      <c r="AH222" s="116"/>
      <c r="AI222" s="116"/>
      <c r="AJ222" s="116"/>
      <c r="AK222" s="116"/>
      <c r="AL222" s="116"/>
      <c r="AM222" s="116"/>
      <c r="AN222" s="116"/>
      <c r="AO222" s="116"/>
      <c r="AP222" s="116"/>
      <c r="AQ222" s="50" t="s">
        <v>3200</v>
      </c>
      <c r="AR222" s="50" t="s">
        <v>2327</v>
      </c>
      <c r="AS222" s="116"/>
      <c r="AT222" s="50" t="s">
        <v>5540</v>
      </c>
      <c r="AU222" s="117">
        <v>4546.0</v>
      </c>
      <c r="AV222" s="50" t="s">
        <v>6018</v>
      </c>
      <c r="AW222" s="50" t="s">
        <v>6019</v>
      </c>
      <c r="AX222" s="117">
        <v>221.0</v>
      </c>
    </row>
    <row r="223">
      <c r="A223" s="50" t="s">
        <v>6020</v>
      </c>
      <c r="B223" s="50" t="s">
        <v>6021</v>
      </c>
      <c r="C223" s="116"/>
      <c r="D223" s="116"/>
      <c r="E223" s="50">
        <v>3.52155090281144E14</v>
      </c>
      <c r="F223" s="50">
        <v>59.0</v>
      </c>
      <c r="G223" s="50">
        <v>11.0</v>
      </c>
      <c r="H223" s="50">
        <v>4.0</v>
      </c>
      <c r="I223" s="50">
        <v>1.0</v>
      </c>
      <c r="J223" s="50" t="s">
        <v>6022</v>
      </c>
      <c r="K223" s="116"/>
      <c r="L223" s="50" t="s">
        <v>1426</v>
      </c>
      <c r="M223" s="50" t="s">
        <v>1426</v>
      </c>
      <c r="N223" s="116"/>
      <c r="O223" s="116"/>
      <c r="P223" s="50" t="s">
        <v>6023</v>
      </c>
      <c r="Q223" s="50" t="s">
        <v>6024</v>
      </c>
      <c r="R223" s="50">
        <v>22.5451616</v>
      </c>
      <c r="S223" s="50">
        <v>88.3821088</v>
      </c>
      <c r="T223" s="50">
        <v>-46.0</v>
      </c>
      <c r="U223" s="50">
        <v>5.0</v>
      </c>
      <c r="V223" s="50">
        <v>1.0</v>
      </c>
      <c r="W223" s="50">
        <v>0.0</v>
      </c>
      <c r="X223" s="50">
        <v>0.0</v>
      </c>
      <c r="Y223" s="50">
        <v>1.0</v>
      </c>
      <c r="Z223" s="116"/>
      <c r="AA223" s="50">
        <v>2.0</v>
      </c>
      <c r="AB223" s="50">
        <v>4.0</v>
      </c>
      <c r="AC223" s="116"/>
      <c r="AD223" s="116"/>
      <c r="AE223" s="116"/>
      <c r="AF223" s="116"/>
      <c r="AG223" s="116"/>
      <c r="AH223" s="116"/>
      <c r="AI223" s="116"/>
      <c r="AJ223" s="116"/>
      <c r="AK223" s="116"/>
      <c r="AL223" s="116"/>
      <c r="AM223" s="116"/>
      <c r="AN223" s="116"/>
      <c r="AO223" s="116"/>
      <c r="AP223" s="116"/>
      <c r="AQ223" s="50" t="s">
        <v>3200</v>
      </c>
      <c r="AR223" s="50" t="s">
        <v>2327</v>
      </c>
      <c r="AS223" s="50">
        <v>1.0</v>
      </c>
      <c r="AT223" s="50" t="s">
        <v>5540</v>
      </c>
      <c r="AU223" s="117">
        <v>4581.0</v>
      </c>
      <c r="AV223" s="50" t="s">
        <v>6026</v>
      </c>
      <c r="AW223" s="50" t="s">
        <v>6027</v>
      </c>
      <c r="AX223" s="117">
        <v>222.0</v>
      </c>
    </row>
    <row r="224">
      <c r="A224" s="50" t="s">
        <v>6028</v>
      </c>
      <c r="B224" s="50" t="s">
        <v>6029</v>
      </c>
      <c r="C224" s="116"/>
      <c r="D224" s="116"/>
      <c r="E224" s="50">
        <v>3.52155090281144E14</v>
      </c>
      <c r="F224" s="50">
        <v>59.0</v>
      </c>
      <c r="G224" s="50">
        <v>99.0</v>
      </c>
      <c r="H224" s="116"/>
      <c r="I224" s="116"/>
      <c r="J224" s="116"/>
      <c r="K224" s="50">
        <v>2.0</v>
      </c>
      <c r="L224" s="50" t="s">
        <v>1428</v>
      </c>
      <c r="M224" s="50" t="s">
        <v>1428</v>
      </c>
      <c r="N224" s="116"/>
      <c r="O224" s="116"/>
      <c r="P224" s="50" t="s">
        <v>6030</v>
      </c>
      <c r="Q224" s="50" t="s">
        <v>6031</v>
      </c>
      <c r="R224" s="50">
        <v>22.5452256</v>
      </c>
      <c r="S224" s="50">
        <v>88.3820944</v>
      </c>
      <c r="T224" s="50">
        <v>-68.0999984741211</v>
      </c>
      <c r="U224" s="50">
        <v>5.0</v>
      </c>
      <c r="V224" s="50">
        <v>1.0</v>
      </c>
      <c r="W224" s="50">
        <v>0.0</v>
      </c>
      <c r="X224" s="50">
        <v>0.0</v>
      </c>
      <c r="Y224" s="50">
        <v>1.0</v>
      </c>
      <c r="Z224" s="116"/>
      <c r="AA224" s="116"/>
      <c r="AB224" s="116"/>
      <c r="AC224" s="116"/>
      <c r="AD224" s="116"/>
      <c r="AE224" s="116"/>
      <c r="AF224" s="116"/>
      <c r="AG224" s="116"/>
      <c r="AH224" s="116"/>
      <c r="AI224" s="116"/>
      <c r="AJ224" s="116"/>
      <c r="AK224" s="116"/>
      <c r="AL224" s="116"/>
      <c r="AM224" s="116"/>
      <c r="AN224" s="116"/>
      <c r="AO224" s="116"/>
      <c r="AP224" s="116"/>
      <c r="AQ224" s="50" t="s">
        <v>6032</v>
      </c>
      <c r="AR224" s="50" t="s">
        <v>2327</v>
      </c>
      <c r="AS224" s="116"/>
      <c r="AT224" s="50" t="s">
        <v>5540</v>
      </c>
      <c r="AU224" s="117">
        <v>4582.0</v>
      </c>
      <c r="AV224" s="50" t="s">
        <v>6033</v>
      </c>
      <c r="AW224" s="50" t="s">
        <v>6034</v>
      </c>
      <c r="AX224" s="117">
        <v>223.0</v>
      </c>
    </row>
    <row r="225">
      <c r="A225" s="50" t="s">
        <v>6035</v>
      </c>
      <c r="B225" s="50" t="s">
        <v>6036</v>
      </c>
      <c r="C225" s="116"/>
      <c r="D225" s="116"/>
      <c r="E225" s="50">
        <v>3.5215509147374E14</v>
      </c>
      <c r="F225" s="50">
        <v>59.0</v>
      </c>
      <c r="G225" s="50">
        <v>11.0</v>
      </c>
      <c r="H225" s="50">
        <v>4.0</v>
      </c>
      <c r="I225" s="50">
        <v>1.0</v>
      </c>
      <c r="J225" s="50" t="s">
        <v>6037</v>
      </c>
      <c r="K225" s="116"/>
      <c r="L225" s="50" t="s">
        <v>1422</v>
      </c>
      <c r="M225" s="50" t="s">
        <v>1422</v>
      </c>
      <c r="N225" s="116"/>
      <c r="O225" s="116"/>
      <c r="P225" s="50" t="s">
        <v>6038</v>
      </c>
      <c r="Q225" s="50" t="s">
        <v>6039</v>
      </c>
      <c r="R225" s="50">
        <v>22.5453347</v>
      </c>
      <c r="S225" s="50">
        <v>88.3820889</v>
      </c>
      <c r="T225" s="50">
        <v>-65.8000030517578</v>
      </c>
      <c r="U225" s="50">
        <v>5.0</v>
      </c>
      <c r="V225" s="50">
        <v>1.0</v>
      </c>
      <c r="W225" s="50">
        <v>0.0</v>
      </c>
      <c r="X225" s="50">
        <v>0.0</v>
      </c>
      <c r="Y225" s="50">
        <v>1.0</v>
      </c>
      <c r="Z225" s="116"/>
      <c r="AA225" s="50">
        <v>2.0</v>
      </c>
      <c r="AB225" s="50">
        <v>4.0</v>
      </c>
      <c r="AC225" s="116"/>
      <c r="AD225" s="116"/>
      <c r="AE225" s="116"/>
      <c r="AF225" s="116"/>
      <c r="AG225" s="116"/>
      <c r="AH225" s="116"/>
      <c r="AI225" s="116"/>
      <c r="AJ225" s="116"/>
      <c r="AK225" s="116"/>
      <c r="AL225" s="116"/>
      <c r="AM225" s="116"/>
      <c r="AN225" s="116"/>
      <c r="AO225" s="116"/>
      <c r="AP225" s="116"/>
      <c r="AQ225" s="50" t="s">
        <v>2949</v>
      </c>
      <c r="AR225" s="50" t="s">
        <v>2302</v>
      </c>
      <c r="AS225" s="50">
        <v>1.0</v>
      </c>
      <c r="AT225" s="50" t="s">
        <v>5540</v>
      </c>
      <c r="AU225" s="117">
        <v>4583.0</v>
      </c>
      <c r="AV225" s="50" t="s">
        <v>6040</v>
      </c>
      <c r="AW225" s="50" t="s">
        <v>6041</v>
      </c>
      <c r="AX225" s="117">
        <v>224.0</v>
      </c>
    </row>
    <row r="226">
      <c r="A226" s="50" t="s">
        <v>6042</v>
      </c>
      <c r="B226" s="50" t="s">
        <v>6043</v>
      </c>
      <c r="C226" s="116"/>
      <c r="D226" s="116"/>
      <c r="E226" s="50">
        <v>3.5215509147374E14</v>
      </c>
      <c r="F226" s="50">
        <v>59.0</v>
      </c>
      <c r="G226" s="50">
        <v>99.0</v>
      </c>
      <c r="H226" s="116"/>
      <c r="I226" s="116"/>
      <c r="J226" s="116"/>
      <c r="K226" s="50">
        <v>2.0</v>
      </c>
      <c r="L226" s="50" t="s">
        <v>1424</v>
      </c>
      <c r="M226" s="50" t="s">
        <v>1424</v>
      </c>
      <c r="N226" s="116"/>
      <c r="O226" s="116"/>
      <c r="P226" s="50" t="s">
        <v>6044</v>
      </c>
      <c r="Q226" s="50" t="s">
        <v>6045</v>
      </c>
      <c r="R226" s="50">
        <v>22.5451666</v>
      </c>
      <c r="S226" s="50">
        <v>88.3820568</v>
      </c>
      <c r="T226" s="50">
        <v>-38.2999992370605</v>
      </c>
      <c r="U226" s="50">
        <v>5.0</v>
      </c>
      <c r="V226" s="50">
        <v>1.0</v>
      </c>
      <c r="W226" s="50">
        <v>0.0</v>
      </c>
      <c r="X226" s="50">
        <v>0.0</v>
      </c>
      <c r="Y226" s="50">
        <v>1.0</v>
      </c>
      <c r="Z226" s="116"/>
      <c r="AA226" s="116"/>
      <c r="AB226" s="116"/>
      <c r="AC226" s="116"/>
      <c r="AD226" s="116"/>
      <c r="AE226" s="116"/>
      <c r="AF226" s="116"/>
      <c r="AG226" s="116"/>
      <c r="AH226" s="116"/>
      <c r="AI226" s="116"/>
      <c r="AJ226" s="116"/>
      <c r="AK226" s="116"/>
      <c r="AL226" s="116"/>
      <c r="AM226" s="116"/>
      <c r="AN226" s="116"/>
      <c r="AO226" s="116"/>
      <c r="AP226" s="116"/>
      <c r="AQ226" s="50" t="s">
        <v>6046</v>
      </c>
      <c r="AR226" s="50" t="s">
        <v>2302</v>
      </c>
      <c r="AS226" s="116"/>
      <c r="AT226" s="50" t="s">
        <v>5540</v>
      </c>
      <c r="AU226" s="117">
        <v>4584.0</v>
      </c>
      <c r="AV226" s="50" t="s">
        <v>6047</v>
      </c>
      <c r="AW226" s="50" t="s">
        <v>6048</v>
      </c>
      <c r="AX226" s="117">
        <v>225.0</v>
      </c>
    </row>
    <row r="227">
      <c r="A227" s="50" t="s">
        <v>6049</v>
      </c>
      <c r="B227" s="50" t="s">
        <v>6050</v>
      </c>
      <c r="C227" s="116"/>
      <c r="D227" s="116"/>
      <c r="E227" s="50">
        <v>3.5215509147374E14</v>
      </c>
      <c r="F227" s="50">
        <v>59.0</v>
      </c>
      <c r="G227" s="50">
        <v>11.0</v>
      </c>
      <c r="H227" s="50">
        <v>4.0</v>
      </c>
      <c r="I227" s="50">
        <v>1.0</v>
      </c>
      <c r="J227" s="50" t="s">
        <v>6051</v>
      </c>
      <c r="K227" s="116"/>
      <c r="L227" s="50" t="s">
        <v>1430</v>
      </c>
      <c r="M227" s="50" t="s">
        <v>1430</v>
      </c>
      <c r="N227" s="116"/>
      <c r="O227" s="116"/>
      <c r="P227" s="50" t="s">
        <v>6052</v>
      </c>
      <c r="Q227" s="50" t="s">
        <v>6053</v>
      </c>
      <c r="R227" s="50">
        <v>22.5439575</v>
      </c>
      <c r="S227" s="50">
        <v>88.3818758</v>
      </c>
      <c r="T227" s="50">
        <v>-19.7000007629394</v>
      </c>
      <c r="U227" s="50">
        <v>5.0</v>
      </c>
      <c r="V227" s="50">
        <v>1.0</v>
      </c>
      <c r="W227" s="50">
        <v>0.0</v>
      </c>
      <c r="X227" s="50">
        <v>0.0</v>
      </c>
      <c r="Y227" s="50">
        <v>1.0</v>
      </c>
      <c r="Z227" s="116"/>
      <c r="AA227" s="50">
        <v>2.0</v>
      </c>
      <c r="AB227" s="50">
        <v>4.0</v>
      </c>
      <c r="AC227" s="116"/>
      <c r="AD227" s="116"/>
      <c r="AE227" s="116"/>
      <c r="AF227" s="116"/>
      <c r="AG227" s="116"/>
      <c r="AH227" s="116"/>
      <c r="AI227" s="116"/>
      <c r="AJ227" s="116"/>
      <c r="AK227" s="116"/>
      <c r="AL227" s="116"/>
      <c r="AM227" s="116"/>
      <c r="AN227" s="116"/>
      <c r="AO227" s="116"/>
      <c r="AP227" s="116"/>
      <c r="AQ227" s="50" t="s">
        <v>2979</v>
      </c>
      <c r="AR227" s="50" t="s">
        <v>2278</v>
      </c>
      <c r="AS227" s="50">
        <v>1.0</v>
      </c>
      <c r="AT227" s="50" t="s">
        <v>5540</v>
      </c>
      <c r="AU227" s="117">
        <v>4585.0</v>
      </c>
      <c r="AV227" s="50" t="s">
        <v>6054</v>
      </c>
      <c r="AW227" s="50" t="s">
        <v>6055</v>
      </c>
      <c r="AX227" s="117">
        <v>226.0</v>
      </c>
    </row>
    <row r="228">
      <c r="A228" s="50" t="s">
        <v>6056</v>
      </c>
      <c r="B228" s="50" t="s">
        <v>6057</v>
      </c>
      <c r="C228" s="116"/>
      <c r="D228" s="116"/>
      <c r="E228" s="50">
        <v>3.5215509147374E14</v>
      </c>
      <c r="F228" s="50">
        <v>59.0</v>
      </c>
      <c r="G228" s="50">
        <v>99.0</v>
      </c>
      <c r="H228" s="116"/>
      <c r="I228" s="116"/>
      <c r="J228" s="116"/>
      <c r="K228" s="50">
        <v>2.0</v>
      </c>
      <c r="L228" s="50" t="s">
        <v>1432</v>
      </c>
      <c r="M228" s="50" t="s">
        <v>1432</v>
      </c>
      <c r="N228" s="116"/>
      <c r="O228" s="116"/>
      <c r="P228" s="50" t="s">
        <v>6058</v>
      </c>
      <c r="Q228" s="50" t="s">
        <v>6059</v>
      </c>
      <c r="R228" s="50">
        <v>22.5440291</v>
      </c>
      <c r="S228" s="50">
        <v>88.3819827</v>
      </c>
      <c r="T228" s="50">
        <v>-38.2999992370605</v>
      </c>
      <c r="U228" s="50">
        <v>5.0</v>
      </c>
      <c r="V228" s="50">
        <v>1.0</v>
      </c>
      <c r="W228" s="50">
        <v>0.0</v>
      </c>
      <c r="X228" s="50">
        <v>0.0</v>
      </c>
      <c r="Y228" s="50">
        <v>1.0</v>
      </c>
      <c r="Z228" s="116"/>
      <c r="AA228" s="116"/>
      <c r="AB228" s="116"/>
      <c r="AC228" s="116"/>
      <c r="AD228" s="116"/>
      <c r="AE228" s="116"/>
      <c r="AF228" s="116"/>
      <c r="AG228" s="116"/>
      <c r="AH228" s="116"/>
      <c r="AI228" s="116"/>
      <c r="AJ228" s="116"/>
      <c r="AK228" s="116"/>
      <c r="AL228" s="116"/>
      <c r="AM228" s="116"/>
      <c r="AN228" s="116"/>
      <c r="AO228" s="116"/>
      <c r="AP228" s="116"/>
      <c r="AQ228" s="50" t="s">
        <v>2979</v>
      </c>
      <c r="AR228" s="50" t="s">
        <v>2278</v>
      </c>
      <c r="AS228" s="116"/>
      <c r="AT228" s="50" t="s">
        <v>5540</v>
      </c>
      <c r="AU228" s="117">
        <v>4586.0</v>
      </c>
      <c r="AV228" s="50" t="s">
        <v>6060</v>
      </c>
      <c r="AW228" s="50" t="s">
        <v>6061</v>
      </c>
      <c r="AX228" s="117">
        <v>227.0</v>
      </c>
    </row>
    <row r="229">
      <c r="A229" s="50" t="s">
        <v>6062</v>
      </c>
      <c r="B229" s="50" t="s">
        <v>6063</v>
      </c>
      <c r="C229" s="116"/>
      <c r="D229" s="116"/>
      <c r="E229" s="50">
        <v>3.5215509147374E14</v>
      </c>
      <c r="F229" s="50">
        <v>59.0</v>
      </c>
      <c r="G229" s="50">
        <v>11.0</v>
      </c>
      <c r="H229" s="50">
        <v>4.0</v>
      </c>
      <c r="I229" s="50">
        <v>1.0</v>
      </c>
      <c r="J229" s="50" t="s">
        <v>6064</v>
      </c>
      <c r="K229" s="116"/>
      <c r="L229" s="50" t="s">
        <v>1434</v>
      </c>
      <c r="M229" s="50" t="s">
        <v>1434</v>
      </c>
      <c r="N229" s="116"/>
      <c r="O229" s="116"/>
      <c r="P229" s="50" t="s">
        <v>6065</v>
      </c>
      <c r="Q229" s="50" t="s">
        <v>6066</v>
      </c>
      <c r="R229" s="50">
        <v>22.5431026</v>
      </c>
      <c r="S229" s="50">
        <v>88.3754615</v>
      </c>
      <c r="T229" s="50">
        <v>-35.599998474121</v>
      </c>
      <c r="U229" s="50">
        <v>5.0</v>
      </c>
      <c r="V229" s="50">
        <v>1.0</v>
      </c>
      <c r="W229" s="50">
        <v>1.0</v>
      </c>
      <c r="X229" s="116"/>
      <c r="Y229" s="116"/>
      <c r="Z229" s="116"/>
      <c r="AA229" s="50">
        <v>2.0</v>
      </c>
      <c r="AB229" s="50">
        <v>4.0</v>
      </c>
      <c r="AC229" s="116"/>
      <c r="AD229" s="116"/>
      <c r="AE229" s="116"/>
      <c r="AF229" s="116"/>
      <c r="AG229" s="116"/>
      <c r="AH229" s="116"/>
      <c r="AI229" s="116"/>
      <c r="AJ229" s="116"/>
      <c r="AK229" s="116"/>
      <c r="AL229" s="116"/>
      <c r="AM229" s="116"/>
      <c r="AN229" s="116"/>
      <c r="AO229" s="116"/>
      <c r="AP229" s="116"/>
      <c r="AQ229" s="50" t="s">
        <v>3185</v>
      </c>
      <c r="AR229" s="50" t="s">
        <v>2472</v>
      </c>
      <c r="AS229" s="50">
        <v>1.0</v>
      </c>
      <c r="AT229" s="50" t="s">
        <v>5540</v>
      </c>
      <c r="AU229" s="117">
        <v>4587.0</v>
      </c>
      <c r="AV229" s="50" t="s">
        <v>6067</v>
      </c>
      <c r="AW229" s="50" t="s">
        <v>6068</v>
      </c>
      <c r="AX229" s="117">
        <v>228.0</v>
      </c>
    </row>
    <row r="230">
      <c r="A230" s="50" t="s">
        <v>6069</v>
      </c>
      <c r="B230" s="50" t="s">
        <v>6070</v>
      </c>
      <c r="C230" s="116"/>
      <c r="D230" s="116"/>
      <c r="E230" s="50">
        <v>3.5215509147374E14</v>
      </c>
      <c r="F230" s="50">
        <v>59.0</v>
      </c>
      <c r="G230" s="50">
        <v>99.0</v>
      </c>
      <c r="H230" s="116"/>
      <c r="I230" s="116"/>
      <c r="J230" s="116"/>
      <c r="K230" s="50">
        <v>2.0</v>
      </c>
      <c r="L230" s="50" t="s">
        <v>1435</v>
      </c>
      <c r="M230" s="50" t="s">
        <v>1435</v>
      </c>
      <c r="N230" s="116"/>
      <c r="O230" s="116"/>
      <c r="P230" s="50" t="s">
        <v>6071</v>
      </c>
      <c r="Q230" s="50" t="s">
        <v>6072</v>
      </c>
      <c r="R230" s="50">
        <v>22.5430497</v>
      </c>
      <c r="S230" s="50">
        <v>88.3755472</v>
      </c>
      <c r="T230" s="50">
        <v>-41.9000015258789</v>
      </c>
      <c r="U230" s="50">
        <v>5.0</v>
      </c>
      <c r="V230" s="50">
        <v>1.0</v>
      </c>
      <c r="W230" s="50">
        <v>0.0</v>
      </c>
      <c r="X230" s="50">
        <v>0.0</v>
      </c>
      <c r="Y230" s="50">
        <v>1.0</v>
      </c>
      <c r="Z230" s="116"/>
      <c r="AA230" s="116"/>
      <c r="AB230" s="116"/>
      <c r="AC230" s="116"/>
      <c r="AD230" s="116"/>
      <c r="AE230" s="116"/>
      <c r="AF230" s="116"/>
      <c r="AG230" s="116"/>
      <c r="AH230" s="116"/>
      <c r="AI230" s="116"/>
      <c r="AJ230" s="116"/>
      <c r="AK230" s="116"/>
      <c r="AL230" s="116"/>
      <c r="AM230" s="116"/>
      <c r="AN230" s="116"/>
      <c r="AO230" s="116"/>
      <c r="AP230" s="116"/>
      <c r="AQ230" s="50" t="s">
        <v>3185</v>
      </c>
      <c r="AR230" s="50" t="s">
        <v>2472</v>
      </c>
      <c r="AS230" s="116"/>
      <c r="AT230" s="50" t="s">
        <v>5540</v>
      </c>
      <c r="AU230" s="117">
        <v>4588.0</v>
      </c>
      <c r="AV230" s="50" t="s">
        <v>6073</v>
      </c>
      <c r="AW230" s="50" t="s">
        <v>6074</v>
      </c>
      <c r="AX230" s="117">
        <v>229.0</v>
      </c>
    </row>
    <row r="231">
      <c r="A231" s="50" t="s">
        <v>6075</v>
      </c>
      <c r="B231" s="50" t="s">
        <v>6076</v>
      </c>
      <c r="C231" s="116"/>
      <c r="D231" s="116"/>
      <c r="E231" s="50">
        <v>3.5215509147374E14</v>
      </c>
      <c r="F231" s="50">
        <v>59.0</v>
      </c>
      <c r="G231" s="50">
        <v>11.0</v>
      </c>
      <c r="H231" s="50">
        <v>4.0</v>
      </c>
      <c r="I231" s="50">
        <v>1.0</v>
      </c>
      <c r="J231" s="50" t="s">
        <v>6077</v>
      </c>
      <c r="K231" s="116"/>
      <c r="L231" s="50" t="s">
        <v>1438</v>
      </c>
      <c r="M231" s="50" t="s">
        <v>1438</v>
      </c>
      <c r="N231" s="116"/>
      <c r="O231" s="116"/>
      <c r="P231" s="50" t="s">
        <v>6078</v>
      </c>
      <c r="Q231" s="50" t="s">
        <v>6079</v>
      </c>
      <c r="R231" s="50">
        <v>22.5409731</v>
      </c>
      <c r="S231" s="50">
        <v>88.3742327</v>
      </c>
      <c r="T231" s="50">
        <v>-49.9000015258789</v>
      </c>
      <c r="U231" s="50">
        <v>4.5</v>
      </c>
      <c r="V231" s="50">
        <v>1.0</v>
      </c>
      <c r="W231" s="50">
        <v>0.0</v>
      </c>
      <c r="X231" s="50">
        <v>0.0</v>
      </c>
      <c r="Y231" s="50">
        <v>1.0</v>
      </c>
      <c r="Z231" s="116"/>
      <c r="AA231" s="50">
        <v>2.0</v>
      </c>
      <c r="AB231" s="50">
        <v>4.0</v>
      </c>
      <c r="AC231" s="116"/>
      <c r="AD231" s="116"/>
      <c r="AE231" s="116"/>
      <c r="AF231" s="116"/>
      <c r="AG231" s="116"/>
      <c r="AH231" s="116"/>
      <c r="AI231" s="116"/>
      <c r="AJ231" s="116"/>
      <c r="AK231" s="116"/>
      <c r="AL231" s="116"/>
      <c r="AM231" s="116"/>
      <c r="AN231" s="116"/>
      <c r="AO231" s="116"/>
      <c r="AP231" s="116"/>
      <c r="AQ231" s="50" t="s">
        <v>3200</v>
      </c>
      <c r="AR231" s="50" t="s">
        <v>2278</v>
      </c>
      <c r="AS231" s="50">
        <v>1.0</v>
      </c>
      <c r="AT231" s="50" t="s">
        <v>5540</v>
      </c>
      <c r="AU231" s="117">
        <v>4589.0</v>
      </c>
      <c r="AV231" s="50" t="s">
        <v>6080</v>
      </c>
      <c r="AW231" s="50" t="s">
        <v>6081</v>
      </c>
      <c r="AX231" s="117">
        <v>230.0</v>
      </c>
    </row>
    <row r="232">
      <c r="A232" s="50" t="s">
        <v>6082</v>
      </c>
      <c r="B232" s="50" t="s">
        <v>6083</v>
      </c>
      <c r="C232" s="116"/>
      <c r="D232" s="116"/>
      <c r="E232" s="50">
        <v>3.5215509147374E14</v>
      </c>
      <c r="F232" s="50">
        <v>59.0</v>
      </c>
      <c r="G232" s="50">
        <v>99.0</v>
      </c>
      <c r="H232" s="116"/>
      <c r="I232" s="116"/>
      <c r="J232" s="116"/>
      <c r="K232" s="50">
        <v>2.0</v>
      </c>
      <c r="L232" s="50" t="s">
        <v>1439</v>
      </c>
      <c r="M232" s="50" t="s">
        <v>1439</v>
      </c>
      <c r="N232" s="116"/>
      <c r="O232" s="116"/>
      <c r="P232" s="50" t="s">
        <v>6084</v>
      </c>
      <c r="Q232" s="50" t="s">
        <v>6085</v>
      </c>
      <c r="R232" s="50">
        <v>22.5410215</v>
      </c>
      <c r="S232" s="50">
        <v>88.374286</v>
      </c>
      <c r="T232" s="50">
        <v>-33.0</v>
      </c>
      <c r="U232" s="50">
        <v>4.5</v>
      </c>
      <c r="V232" s="50">
        <v>1.0</v>
      </c>
      <c r="W232" s="50">
        <v>0.0</v>
      </c>
      <c r="X232" s="50">
        <v>0.0</v>
      </c>
      <c r="Y232" s="50">
        <v>1.0</v>
      </c>
      <c r="Z232" s="116"/>
      <c r="AA232" s="116"/>
      <c r="AB232" s="116"/>
      <c r="AC232" s="116"/>
      <c r="AD232" s="116"/>
      <c r="AE232" s="116"/>
      <c r="AF232" s="116"/>
      <c r="AG232" s="116"/>
      <c r="AH232" s="116"/>
      <c r="AI232" s="116"/>
      <c r="AJ232" s="116"/>
      <c r="AK232" s="116"/>
      <c r="AL232" s="116"/>
      <c r="AM232" s="116"/>
      <c r="AN232" s="116"/>
      <c r="AO232" s="116"/>
      <c r="AP232" s="116"/>
      <c r="AQ232" s="50" t="s">
        <v>3200</v>
      </c>
      <c r="AR232" s="50" t="s">
        <v>2278</v>
      </c>
      <c r="AS232" s="116"/>
      <c r="AT232" s="50" t="s">
        <v>5540</v>
      </c>
      <c r="AU232" s="117">
        <v>4590.0</v>
      </c>
      <c r="AV232" s="50" t="s">
        <v>6086</v>
      </c>
      <c r="AW232" s="50" t="s">
        <v>6087</v>
      </c>
      <c r="AX232" s="117">
        <v>231.0</v>
      </c>
    </row>
    <row r="233">
      <c r="A233" s="50" t="s">
        <v>6088</v>
      </c>
      <c r="B233" s="50" t="s">
        <v>6089</v>
      </c>
      <c r="C233" s="116"/>
      <c r="D233" s="116"/>
      <c r="E233" s="50">
        <v>3.52155090281144E14</v>
      </c>
      <c r="F233" s="50">
        <v>57.0</v>
      </c>
      <c r="G233" s="50">
        <v>12.0</v>
      </c>
      <c r="H233" s="116"/>
      <c r="I233" s="116"/>
      <c r="J233" s="116"/>
      <c r="K233" s="116"/>
      <c r="L233" s="50" t="s">
        <v>1446</v>
      </c>
      <c r="M233" s="50" t="s">
        <v>1446</v>
      </c>
      <c r="N233" s="50">
        <v>2.0</v>
      </c>
      <c r="O233" s="50" t="s">
        <v>6090</v>
      </c>
      <c r="P233" s="116"/>
      <c r="Q233" s="50" t="s">
        <v>6091</v>
      </c>
      <c r="R233" s="50">
        <v>22.5542205</v>
      </c>
      <c r="S233" s="50">
        <v>88.3966888</v>
      </c>
      <c r="T233" s="50">
        <v>-54.4000015258789</v>
      </c>
      <c r="U233" s="50">
        <v>5.0</v>
      </c>
      <c r="V233" s="50">
        <v>2.0</v>
      </c>
      <c r="W233" s="50">
        <v>0.0</v>
      </c>
      <c r="X233" s="50">
        <v>0.0</v>
      </c>
      <c r="Y233" s="50">
        <v>1.0</v>
      </c>
      <c r="Z233" s="116"/>
      <c r="AA233" s="116"/>
      <c r="AB233" s="116"/>
      <c r="AC233" s="116"/>
      <c r="AD233" s="116"/>
      <c r="AE233" s="50">
        <v>2.0</v>
      </c>
      <c r="AF233" s="50">
        <v>2.0</v>
      </c>
      <c r="AG233" s="50">
        <v>3.0</v>
      </c>
      <c r="AH233" s="50">
        <v>4.0</v>
      </c>
      <c r="AI233" s="116"/>
      <c r="AJ233" s="116"/>
      <c r="AK233" s="116"/>
      <c r="AL233" s="116"/>
      <c r="AM233" s="116"/>
      <c r="AN233" s="116"/>
      <c r="AO233" s="116"/>
      <c r="AP233" s="116"/>
      <c r="AQ233" s="50" t="s">
        <v>3185</v>
      </c>
      <c r="AR233" s="50" t="s">
        <v>2327</v>
      </c>
      <c r="AS233" s="50">
        <v>0.0</v>
      </c>
      <c r="AT233" s="50" t="s">
        <v>5540</v>
      </c>
      <c r="AU233" s="117">
        <v>4608.0</v>
      </c>
      <c r="AV233" s="50" t="s">
        <v>6092</v>
      </c>
      <c r="AW233" s="50" t="s">
        <v>6093</v>
      </c>
      <c r="AX233" s="117">
        <v>232.0</v>
      </c>
    </row>
    <row r="234">
      <c r="A234" s="50" t="s">
        <v>6094</v>
      </c>
      <c r="B234" s="50" t="s">
        <v>6095</v>
      </c>
      <c r="C234" s="116"/>
      <c r="D234" s="116"/>
      <c r="E234" s="50">
        <v>3.52155090281144E14</v>
      </c>
      <c r="F234" s="50">
        <v>57.0</v>
      </c>
      <c r="G234" s="50">
        <v>99.0</v>
      </c>
      <c r="H234" s="116"/>
      <c r="I234" s="116"/>
      <c r="J234" s="116"/>
      <c r="K234" s="50">
        <v>1.0</v>
      </c>
      <c r="L234" s="50" t="s">
        <v>1448</v>
      </c>
      <c r="M234" s="50" t="s">
        <v>1448</v>
      </c>
      <c r="N234" s="116"/>
      <c r="O234" s="116"/>
      <c r="P234" s="50" t="s">
        <v>6096</v>
      </c>
      <c r="Q234" s="50" t="s">
        <v>6097</v>
      </c>
      <c r="R234" s="50">
        <v>22.5542098</v>
      </c>
      <c r="S234" s="50">
        <v>88.3967659</v>
      </c>
      <c r="T234" s="50">
        <v>-63.4000015258789</v>
      </c>
      <c r="U234" s="50">
        <v>5.0</v>
      </c>
      <c r="V234" s="50">
        <v>2.0</v>
      </c>
      <c r="W234" s="50">
        <v>0.0</v>
      </c>
      <c r="X234" s="50">
        <v>0.0</v>
      </c>
      <c r="Y234" s="50">
        <v>1.0</v>
      </c>
      <c r="Z234" s="116"/>
      <c r="AA234" s="116"/>
      <c r="AB234" s="116"/>
      <c r="AC234" s="116"/>
      <c r="AD234" s="116"/>
      <c r="AE234" s="116"/>
      <c r="AF234" s="116"/>
      <c r="AG234" s="116"/>
      <c r="AH234" s="116"/>
      <c r="AI234" s="116"/>
      <c r="AJ234" s="116"/>
      <c r="AK234" s="116"/>
      <c r="AL234" s="116"/>
      <c r="AM234" s="116"/>
      <c r="AN234" s="116"/>
      <c r="AO234" s="116"/>
      <c r="AP234" s="116"/>
      <c r="AQ234" s="50" t="s">
        <v>6098</v>
      </c>
      <c r="AR234" s="50" t="s">
        <v>2327</v>
      </c>
      <c r="AS234" s="116"/>
      <c r="AT234" s="50" t="s">
        <v>5540</v>
      </c>
      <c r="AU234" s="117">
        <v>4609.0</v>
      </c>
      <c r="AV234" s="50" t="s">
        <v>6099</v>
      </c>
      <c r="AW234" s="50" t="s">
        <v>6100</v>
      </c>
      <c r="AX234" s="117">
        <v>233.0</v>
      </c>
    </row>
    <row r="235">
      <c r="A235" s="50" t="s">
        <v>6101</v>
      </c>
      <c r="B235" s="50" t="s">
        <v>6102</v>
      </c>
      <c r="C235" s="116"/>
      <c r="D235" s="116"/>
      <c r="E235" s="50">
        <v>3.52155090281144E14</v>
      </c>
      <c r="F235" s="50">
        <v>55.0</v>
      </c>
      <c r="G235" s="50">
        <v>12.0</v>
      </c>
      <c r="H235" s="116"/>
      <c r="I235" s="116"/>
      <c r="J235" s="116"/>
      <c r="K235" s="116"/>
      <c r="L235" s="50" t="s">
        <v>1451</v>
      </c>
      <c r="M235" s="50" t="s">
        <v>1451</v>
      </c>
      <c r="N235" s="50">
        <v>4.0</v>
      </c>
      <c r="O235" s="50" t="s">
        <v>6103</v>
      </c>
      <c r="P235" s="116"/>
      <c r="Q235" s="50" t="s">
        <v>6104</v>
      </c>
      <c r="R235" s="50">
        <v>22.5636318</v>
      </c>
      <c r="S235" s="50">
        <v>88.3772599</v>
      </c>
      <c r="T235" s="50">
        <v>-25.1000003814697</v>
      </c>
      <c r="U235" s="50">
        <v>5.0</v>
      </c>
      <c r="V235" s="50">
        <v>2.0</v>
      </c>
      <c r="W235" s="50">
        <v>0.0</v>
      </c>
      <c r="X235" s="50">
        <v>0.0</v>
      </c>
      <c r="Y235" s="50">
        <v>1.0</v>
      </c>
      <c r="Z235" s="116"/>
      <c r="AA235" s="116"/>
      <c r="AB235" s="116"/>
      <c r="AC235" s="116"/>
      <c r="AD235" s="116"/>
      <c r="AE235" s="50">
        <v>2.0</v>
      </c>
      <c r="AF235" s="50">
        <v>1.0</v>
      </c>
      <c r="AG235" s="50">
        <v>4.0</v>
      </c>
      <c r="AH235" s="50">
        <v>4.0</v>
      </c>
      <c r="AI235" s="116"/>
      <c r="AJ235" s="116"/>
      <c r="AK235" s="116"/>
      <c r="AL235" s="116"/>
      <c r="AM235" s="116"/>
      <c r="AN235" s="116"/>
      <c r="AO235" s="116"/>
      <c r="AP235" s="116"/>
      <c r="AQ235" s="50" t="s">
        <v>2949</v>
      </c>
      <c r="AR235" s="50" t="s">
        <v>2472</v>
      </c>
      <c r="AS235" s="50">
        <v>0.0</v>
      </c>
      <c r="AT235" s="50" t="s">
        <v>5540</v>
      </c>
      <c r="AU235" s="117">
        <v>4610.0</v>
      </c>
      <c r="AV235" s="50" t="s">
        <v>6105</v>
      </c>
      <c r="AW235" s="50" t="s">
        <v>6106</v>
      </c>
      <c r="AX235" s="117">
        <v>234.0</v>
      </c>
    </row>
    <row r="236">
      <c r="A236" s="50" t="s">
        <v>6107</v>
      </c>
      <c r="B236" s="50" t="s">
        <v>6108</v>
      </c>
      <c r="C236" s="116"/>
      <c r="D236" s="116"/>
      <c r="E236" s="50">
        <v>3.52155090281144E14</v>
      </c>
      <c r="F236" s="50">
        <v>55.0</v>
      </c>
      <c r="G236" s="50">
        <v>99.0</v>
      </c>
      <c r="H236" s="116"/>
      <c r="I236" s="116"/>
      <c r="J236" s="116"/>
      <c r="K236" s="50">
        <v>1.0</v>
      </c>
      <c r="L236" s="50" t="s">
        <v>1455</v>
      </c>
      <c r="M236" s="50" t="s">
        <v>1455</v>
      </c>
      <c r="N236" s="116"/>
      <c r="O236" s="116"/>
      <c r="P236" s="50" t="s">
        <v>6109</v>
      </c>
      <c r="Q236" s="50" t="s">
        <v>6110</v>
      </c>
      <c r="R236" s="50">
        <v>22.5636836</v>
      </c>
      <c r="S236" s="50">
        <v>88.3772566</v>
      </c>
      <c r="T236" s="50">
        <v>-54.7999992370605</v>
      </c>
      <c r="U236" s="50">
        <v>5.0</v>
      </c>
      <c r="V236" s="50">
        <v>2.0</v>
      </c>
      <c r="W236" s="50">
        <v>0.0</v>
      </c>
      <c r="X236" s="50">
        <v>0.0</v>
      </c>
      <c r="Y236" s="50">
        <v>0.0</v>
      </c>
      <c r="Z236" s="116"/>
      <c r="AA236" s="116"/>
      <c r="AB236" s="116"/>
      <c r="AC236" s="116"/>
      <c r="AD236" s="116"/>
      <c r="AE236" s="116"/>
      <c r="AF236" s="116"/>
      <c r="AG236" s="116"/>
      <c r="AH236" s="116"/>
      <c r="AI236" s="116"/>
      <c r="AJ236" s="116"/>
      <c r="AK236" s="116"/>
      <c r="AL236" s="116"/>
      <c r="AM236" s="116"/>
      <c r="AN236" s="116"/>
      <c r="AO236" s="116"/>
      <c r="AP236" s="116"/>
      <c r="AQ236" s="50" t="s">
        <v>6111</v>
      </c>
      <c r="AR236" s="50" t="s">
        <v>2472</v>
      </c>
      <c r="AS236" s="116"/>
      <c r="AT236" s="50" t="s">
        <v>5540</v>
      </c>
      <c r="AU236" s="117">
        <v>4611.0</v>
      </c>
      <c r="AV236" s="50" t="s">
        <v>6112</v>
      </c>
      <c r="AW236" s="50" t="s">
        <v>6113</v>
      </c>
      <c r="AX236" s="117">
        <v>235.0</v>
      </c>
    </row>
    <row r="237">
      <c r="A237" s="50" t="s">
        <v>6114</v>
      </c>
      <c r="B237" s="50" t="s">
        <v>6115</v>
      </c>
      <c r="C237" s="116"/>
      <c r="D237" s="116"/>
      <c r="E237" s="50">
        <v>3.52155090281144E14</v>
      </c>
      <c r="F237" s="50">
        <v>59.0</v>
      </c>
      <c r="G237" s="50">
        <v>11.0</v>
      </c>
      <c r="H237" s="50">
        <v>4.0</v>
      </c>
      <c r="I237" s="50">
        <v>1.0</v>
      </c>
      <c r="J237" s="50" t="s">
        <v>6077</v>
      </c>
      <c r="K237" s="116"/>
      <c r="L237" s="50" t="s">
        <v>1473</v>
      </c>
      <c r="M237" s="50" t="s">
        <v>1473</v>
      </c>
      <c r="N237" s="116"/>
      <c r="O237" s="116"/>
      <c r="P237" s="50" t="s">
        <v>6116</v>
      </c>
      <c r="Q237" s="50" t="s">
        <v>6117</v>
      </c>
      <c r="R237" s="50">
        <v>22.5407695</v>
      </c>
      <c r="S237" s="50">
        <v>88.3741625</v>
      </c>
      <c r="T237" s="50">
        <v>-55.2999992370605</v>
      </c>
      <c r="U237" s="50">
        <v>5.0</v>
      </c>
      <c r="V237" s="50">
        <v>3.0</v>
      </c>
      <c r="W237" s="50">
        <v>1.0</v>
      </c>
      <c r="X237" s="116"/>
      <c r="Y237" s="116"/>
      <c r="Z237" s="116"/>
      <c r="AA237" s="50">
        <v>1.0</v>
      </c>
      <c r="AB237" s="50">
        <v>4.0</v>
      </c>
      <c r="AC237" s="116"/>
      <c r="AD237" s="116"/>
      <c r="AE237" s="116"/>
      <c r="AF237" s="116"/>
      <c r="AG237" s="116"/>
      <c r="AH237" s="116"/>
      <c r="AI237" s="116"/>
      <c r="AJ237" s="116"/>
      <c r="AK237" s="116"/>
      <c r="AL237" s="116"/>
      <c r="AM237" s="116"/>
      <c r="AN237" s="116"/>
      <c r="AO237" s="116"/>
      <c r="AP237" s="116"/>
      <c r="AQ237" s="50" t="s">
        <v>2890</v>
      </c>
      <c r="AR237" s="50" t="s">
        <v>2899</v>
      </c>
      <c r="AS237" s="50">
        <v>0.0</v>
      </c>
      <c r="AT237" s="50" t="s">
        <v>5540</v>
      </c>
      <c r="AU237" s="117">
        <v>4668.0</v>
      </c>
      <c r="AV237" s="50" t="s">
        <v>6118</v>
      </c>
      <c r="AW237" s="50" t="s">
        <v>6119</v>
      </c>
      <c r="AX237" s="117">
        <v>236.0</v>
      </c>
    </row>
    <row r="238">
      <c r="A238" s="50" t="s">
        <v>6120</v>
      </c>
      <c r="B238" s="50" t="s">
        <v>6121</v>
      </c>
      <c r="C238" s="116"/>
      <c r="D238" s="116"/>
      <c r="E238" s="50">
        <v>3.52155090281144E14</v>
      </c>
      <c r="F238" s="50">
        <v>59.0</v>
      </c>
      <c r="G238" s="50">
        <v>99.0</v>
      </c>
      <c r="H238" s="116"/>
      <c r="I238" s="116"/>
      <c r="J238" s="116"/>
      <c r="K238" s="50">
        <v>2.0</v>
      </c>
      <c r="L238" s="50" t="s">
        <v>237</v>
      </c>
      <c r="M238" s="50" t="s">
        <v>237</v>
      </c>
      <c r="N238" s="116"/>
      <c r="O238" s="116"/>
      <c r="P238" s="50" t="s">
        <v>6122</v>
      </c>
      <c r="Q238" s="50" t="s">
        <v>6123</v>
      </c>
      <c r="R238" s="50">
        <v>22.5409409</v>
      </c>
      <c r="S238" s="50">
        <v>88.3742366</v>
      </c>
      <c r="T238" s="50">
        <v>-56.099998474121</v>
      </c>
      <c r="U238" s="50">
        <v>5.0</v>
      </c>
      <c r="V238" s="50">
        <v>3.0</v>
      </c>
      <c r="W238" s="50">
        <v>1.0</v>
      </c>
      <c r="X238" s="116"/>
      <c r="Y238" s="116"/>
      <c r="Z238" s="116"/>
      <c r="AA238" s="116"/>
      <c r="AB238" s="116"/>
      <c r="AC238" s="116"/>
      <c r="AD238" s="116"/>
      <c r="AE238" s="116"/>
      <c r="AF238" s="116"/>
      <c r="AG238" s="116"/>
      <c r="AH238" s="116"/>
      <c r="AI238" s="116"/>
      <c r="AJ238" s="116"/>
      <c r="AK238" s="116"/>
      <c r="AL238" s="116"/>
      <c r="AM238" s="116"/>
      <c r="AN238" s="116"/>
      <c r="AO238" s="116"/>
      <c r="AP238" s="116"/>
      <c r="AQ238" s="50" t="s">
        <v>6125</v>
      </c>
      <c r="AR238" s="50" t="s">
        <v>2899</v>
      </c>
      <c r="AS238" s="116"/>
      <c r="AT238" s="50" t="s">
        <v>5540</v>
      </c>
      <c r="AU238" s="117">
        <v>4669.0</v>
      </c>
      <c r="AV238" s="50" t="s">
        <v>6126</v>
      </c>
      <c r="AW238" s="50" t="s">
        <v>6127</v>
      </c>
      <c r="AX238" s="117">
        <v>237.0</v>
      </c>
    </row>
    <row r="239">
      <c r="A239" s="50" t="s">
        <v>6128</v>
      </c>
      <c r="B239" s="50" t="s">
        <v>6129</v>
      </c>
      <c r="C239" s="116"/>
      <c r="D239" s="116"/>
      <c r="E239" s="50">
        <v>3.52155090281144E14</v>
      </c>
      <c r="F239" s="50">
        <v>59.0</v>
      </c>
      <c r="G239" s="50">
        <v>11.0</v>
      </c>
      <c r="H239" s="50">
        <v>4.0</v>
      </c>
      <c r="I239" s="50">
        <v>1.0</v>
      </c>
      <c r="J239" s="50" t="s">
        <v>6064</v>
      </c>
      <c r="K239" s="116"/>
      <c r="L239" s="50" t="s">
        <v>1476</v>
      </c>
      <c r="M239" s="50" t="s">
        <v>1476</v>
      </c>
      <c r="N239" s="116"/>
      <c r="O239" s="116"/>
      <c r="P239" s="50" t="s">
        <v>6130</v>
      </c>
      <c r="Q239" s="50" t="s">
        <v>6131</v>
      </c>
      <c r="R239" s="50">
        <v>22.5429622</v>
      </c>
      <c r="S239" s="50">
        <v>88.3755219</v>
      </c>
      <c r="T239" s="50">
        <v>-70.8000030517578</v>
      </c>
      <c r="U239" s="50">
        <v>5.0</v>
      </c>
      <c r="V239" s="50">
        <v>3.0</v>
      </c>
      <c r="W239" s="50">
        <v>1.0</v>
      </c>
      <c r="X239" s="116"/>
      <c r="Y239" s="116"/>
      <c r="Z239" s="116"/>
      <c r="AA239" s="50">
        <v>2.0</v>
      </c>
      <c r="AB239" s="50">
        <v>4.0</v>
      </c>
      <c r="AC239" s="116"/>
      <c r="AD239" s="116"/>
      <c r="AE239" s="116"/>
      <c r="AF239" s="116"/>
      <c r="AG239" s="116"/>
      <c r="AH239" s="116"/>
      <c r="AI239" s="116"/>
      <c r="AJ239" s="116"/>
      <c r="AK239" s="116"/>
      <c r="AL239" s="116"/>
      <c r="AM239" s="116"/>
      <c r="AN239" s="116"/>
      <c r="AO239" s="116"/>
      <c r="AP239" s="116"/>
      <c r="AQ239" s="50" t="s">
        <v>2890</v>
      </c>
      <c r="AR239" s="50" t="s">
        <v>2899</v>
      </c>
      <c r="AS239" s="50">
        <v>1.0</v>
      </c>
      <c r="AT239" s="50" t="s">
        <v>5540</v>
      </c>
      <c r="AU239" s="117">
        <v>4670.0</v>
      </c>
      <c r="AV239" s="50" t="s">
        <v>6132</v>
      </c>
      <c r="AW239" s="50" t="s">
        <v>6133</v>
      </c>
      <c r="AX239" s="117">
        <v>238.0</v>
      </c>
    </row>
    <row r="240">
      <c r="A240" s="50" t="s">
        <v>6134</v>
      </c>
      <c r="B240" s="50" t="s">
        <v>6135</v>
      </c>
      <c r="C240" s="116"/>
      <c r="D240" s="116"/>
      <c r="E240" s="50">
        <v>3.52155090281144E14</v>
      </c>
      <c r="F240" s="50">
        <v>59.0</v>
      </c>
      <c r="G240" s="50">
        <v>99.0</v>
      </c>
      <c r="H240" s="116"/>
      <c r="I240" s="116"/>
      <c r="J240" s="116"/>
      <c r="K240" s="50">
        <v>2.0</v>
      </c>
      <c r="L240" s="50" t="s">
        <v>240</v>
      </c>
      <c r="M240" s="50" t="s">
        <v>240</v>
      </c>
      <c r="N240" s="116"/>
      <c r="O240" s="116"/>
      <c r="P240" s="50" t="s">
        <v>6136</v>
      </c>
      <c r="Q240" s="50" t="s">
        <v>6137</v>
      </c>
      <c r="R240" s="50">
        <v>22.5428522</v>
      </c>
      <c r="S240" s="50">
        <v>88.3754913</v>
      </c>
      <c r="T240" s="50">
        <v>-86.0</v>
      </c>
      <c r="U240" s="50">
        <v>5.0</v>
      </c>
      <c r="V240" s="50">
        <v>3.0</v>
      </c>
      <c r="W240" s="50">
        <v>1.0</v>
      </c>
      <c r="X240" s="116"/>
      <c r="Y240" s="116"/>
      <c r="Z240" s="116"/>
      <c r="AA240" s="116"/>
      <c r="AB240" s="116"/>
      <c r="AC240" s="116"/>
      <c r="AD240" s="116"/>
      <c r="AE240" s="116"/>
      <c r="AF240" s="116"/>
      <c r="AG240" s="116"/>
      <c r="AH240" s="116"/>
      <c r="AI240" s="116"/>
      <c r="AJ240" s="116"/>
      <c r="AK240" s="116"/>
      <c r="AL240" s="116"/>
      <c r="AM240" s="116"/>
      <c r="AN240" s="116"/>
      <c r="AO240" s="116"/>
      <c r="AP240" s="116"/>
      <c r="AQ240" s="50" t="s">
        <v>2890</v>
      </c>
      <c r="AR240" s="50" t="s">
        <v>2899</v>
      </c>
      <c r="AS240" s="116"/>
      <c r="AT240" s="50" t="s">
        <v>5540</v>
      </c>
      <c r="AU240" s="117">
        <v>4671.0</v>
      </c>
      <c r="AV240" s="50" t="s">
        <v>6139</v>
      </c>
      <c r="AW240" s="50" t="s">
        <v>6140</v>
      </c>
      <c r="AX240" s="117">
        <v>239.0</v>
      </c>
    </row>
    <row r="241">
      <c r="A241" s="50" t="s">
        <v>6141</v>
      </c>
      <c r="B241" s="50" t="s">
        <v>6142</v>
      </c>
      <c r="C241" s="116"/>
      <c r="D241" s="116"/>
      <c r="E241" s="50">
        <v>3.52155090281144E14</v>
      </c>
      <c r="F241" s="50">
        <v>59.0</v>
      </c>
      <c r="G241" s="50">
        <v>11.0</v>
      </c>
      <c r="H241" s="50">
        <v>4.0</v>
      </c>
      <c r="I241" s="50">
        <v>1.0</v>
      </c>
      <c r="J241" s="50" t="s">
        <v>6051</v>
      </c>
      <c r="K241" s="116"/>
      <c r="L241" s="50" t="s">
        <v>1479</v>
      </c>
      <c r="M241" s="50" t="s">
        <v>1479</v>
      </c>
      <c r="N241" s="116"/>
      <c r="O241" s="116"/>
      <c r="P241" s="50" t="s">
        <v>6143</v>
      </c>
      <c r="Q241" s="50" t="s">
        <v>6144</v>
      </c>
      <c r="R241" s="50">
        <v>22.5439621</v>
      </c>
      <c r="S241" s="50">
        <v>88.3819472</v>
      </c>
      <c r="T241" s="50">
        <v>-98.1999969482421</v>
      </c>
      <c r="U241" s="50">
        <v>5.0</v>
      </c>
      <c r="V241" s="50">
        <v>3.0</v>
      </c>
      <c r="W241" s="50">
        <v>1.0</v>
      </c>
      <c r="X241" s="116"/>
      <c r="Y241" s="116"/>
      <c r="Z241" s="116"/>
      <c r="AA241" s="50">
        <v>2.0</v>
      </c>
      <c r="AB241" s="50">
        <v>4.0</v>
      </c>
      <c r="AC241" s="116"/>
      <c r="AD241" s="116"/>
      <c r="AE241" s="116"/>
      <c r="AF241" s="116"/>
      <c r="AG241" s="116"/>
      <c r="AH241" s="116"/>
      <c r="AI241" s="116"/>
      <c r="AJ241" s="116"/>
      <c r="AK241" s="116"/>
      <c r="AL241" s="116"/>
      <c r="AM241" s="116"/>
      <c r="AN241" s="116"/>
      <c r="AO241" s="116"/>
      <c r="AP241" s="116"/>
      <c r="AQ241" s="50" t="s">
        <v>2890</v>
      </c>
      <c r="AR241" s="50" t="s">
        <v>2899</v>
      </c>
      <c r="AS241" s="50">
        <v>1.0</v>
      </c>
      <c r="AT241" s="50" t="s">
        <v>5540</v>
      </c>
      <c r="AU241" s="117">
        <v>4672.0</v>
      </c>
      <c r="AV241" s="50" t="s">
        <v>6146</v>
      </c>
      <c r="AW241" s="50" t="s">
        <v>6147</v>
      </c>
      <c r="AX241" s="117">
        <v>240.0</v>
      </c>
    </row>
    <row r="242">
      <c r="A242" s="50" t="s">
        <v>6148</v>
      </c>
      <c r="B242" s="50" t="s">
        <v>6149</v>
      </c>
      <c r="C242" s="116"/>
      <c r="D242" s="116"/>
      <c r="E242" s="50">
        <v>3.52155090281144E14</v>
      </c>
      <c r="F242" s="50">
        <v>59.0</v>
      </c>
      <c r="G242" s="50">
        <v>99.0</v>
      </c>
      <c r="H242" s="116"/>
      <c r="I242" s="116"/>
      <c r="J242" s="116"/>
      <c r="K242" s="50">
        <v>2.0</v>
      </c>
      <c r="L242" s="50" t="s">
        <v>243</v>
      </c>
      <c r="M242" s="50" t="s">
        <v>243</v>
      </c>
      <c r="N242" s="116"/>
      <c r="O242" s="116"/>
      <c r="P242" s="50" t="s">
        <v>6150</v>
      </c>
      <c r="Q242" s="50" t="s">
        <v>6151</v>
      </c>
      <c r="R242" s="50">
        <v>22.5439776</v>
      </c>
      <c r="S242" s="50">
        <v>88.3819666</v>
      </c>
      <c r="T242" s="50">
        <v>-89.5999984741211</v>
      </c>
      <c r="U242" s="50">
        <v>5.0</v>
      </c>
      <c r="V242" s="50">
        <v>3.0</v>
      </c>
      <c r="W242" s="50">
        <v>1.0</v>
      </c>
      <c r="X242" s="116"/>
      <c r="Y242" s="116"/>
      <c r="Z242" s="116"/>
      <c r="AA242" s="116"/>
      <c r="AB242" s="116"/>
      <c r="AC242" s="116"/>
      <c r="AD242" s="116"/>
      <c r="AE242" s="116"/>
      <c r="AF242" s="116"/>
      <c r="AG242" s="116"/>
      <c r="AH242" s="116"/>
      <c r="AI242" s="116"/>
      <c r="AJ242" s="116"/>
      <c r="AK242" s="116"/>
      <c r="AL242" s="116"/>
      <c r="AM242" s="116"/>
      <c r="AN242" s="116"/>
      <c r="AO242" s="116"/>
      <c r="AP242" s="116"/>
      <c r="AQ242" s="50" t="s">
        <v>6125</v>
      </c>
      <c r="AR242" s="50" t="s">
        <v>2899</v>
      </c>
      <c r="AS242" s="116"/>
      <c r="AT242" s="50" t="s">
        <v>5540</v>
      </c>
      <c r="AU242" s="117">
        <v>4673.0</v>
      </c>
      <c r="AV242" s="50" t="s">
        <v>6152</v>
      </c>
      <c r="AW242" s="50" t="s">
        <v>6153</v>
      </c>
      <c r="AX242" s="117">
        <v>241.0</v>
      </c>
    </row>
    <row r="243">
      <c r="A243" s="50" t="s">
        <v>6154</v>
      </c>
      <c r="B243" s="50" t="s">
        <v>6155</v>
      </c>
      <c r="C243" s="116"/>
      <c r="D243" s="116"/>
      <c r="E243" s="50">
        <v>3.52155090281144E14</v>
      </c>
      <c r="F243" s="50">
        <v>59.0</v>
      </c>
      <c r="G243" s="50">
        <v>11.0</v>
      </c>
      <c r="H243" s="50">
        <v>4.0</v>
      </c>
      <c r="I243" s="50">
        <v>1.0</v>
      </c>
      <c r="J243" s="50" t="s">
        <v>6037</v>
      </c>
      <c r="K243" s="116"/>
      <c r="L243" s="50" t="s">
        <v>1481</v>
      </c>
      <c r="M243" s="50" t="s">
        <v>1481</v>
      </c>
      <c r="N243" s="116"/>
      <c r="O243" s="116"/>
      <c r="P243" s="50" t="s">
        <v>6156</v>
      </c>
      <c r="Q243" s="50" t="s">
        <v>6157</v>
      </c>
      <c r="R243" s="50">
        <v>22.5451414</v>
      </c>
      <c r="S243" s="50">
        <v>88.3821307</v>
      </c>
      <c r="T243" s="50">
        <v>-44.2000007629394</v>
      </c>
      <c r="U243" s="50">
        <v>5.0</v>
      </c>
      <c r="V243" s="50">
        <v>3.0</v>
      </c>
      <c r="W243" s="50">
        <v>1.0</v>
      </c>
      <c r="X243" s="116"/>
      <c r="Y243" s="116"/>
      <c r="Z243" s="116"/>
      <c r="AA243" s="50">
        <v>1.0</v>
      </c>
      <c r="AB243" s="50">
        <v>4.0</v>
      </c>
      <c r="AC243" s="116"/>
      <c r="AD243" s="116"/>
      <c r="AE243" s="116"/>
      <c r="AF243" s="116"/>
      <c r="AG243" s="116"/>
      <c r="AH243" s="116"/>
      <c r="AI243" s="116"/>
      <c r="AJ243" s="116"/>
      <c r="AK243" s="116"/>
      <c r="AL243" s="116"/>
      <c r="AM243" s="116"/>
      <c r="AN243" s="116"/>
      <c r="AO243" s="116"/>
      <c r="AP243" s="116"/>
      <c r="AQ243" s="50" t="s">
        <v>2890</v>
      </c>
      <c r="AR243" s="50" t="s">
        <v>2899</v>
      </c>
      <c r="AS243" s="50">
        <v>1.0</v>
      </c>
      <c r="AT243" s="50" t="s">
        <v>5540</v>
      </c>
      <c r="AU243" s="117">
        <v>4674.0</v>
      </c>
      <c r="AV243" s="50" t="s">
        <v>6159</v>
      </c>
      <c r="AW243" s="50" t="s">
        <v>6160</v>
      </c>
      <c r="AX243" s="117">
        <v>242.0</v>
      </c>
    </row>
    <row r="244">
      <c r="A244" s="50" t="s">
        <v>6161</v>
      </c>
      <c r="B244" s="50" t="s">
        <v>6162</v>
      </c>
      <c r="C244" s="116"/>
      <c r="D244" s="116"/>
      <c r="E244" s="50">
        <v>3.52155090281144E14</v>
      </c>
      <c r="F244" s="50">
        <v>59.0</v>
      </c>
      <c r="G244" s="50">
        <v>11.0</v>
      </c>
      <c r="H244" s="50">
        <v>4.0</v>
      </c>
      <c r="I244" s="50">
        <v>1.0</v>
      </c>
      <c r="J244" s="50" t="s">
        <v>6022</v>
      </c>
      <c r="K244" s="116"/>
      <c r="L244" s="50" t="s">
        <v>1483</v>
      </c>
      <c r="M244" s="50" t="s">
        <v>1483</v>
      </c>
      <c r="N244" s="116"/>
      <c r="O244" s="116"/>
      <c r="P244" s="50" t="s">
        <v>6163</v>
      </c>
      <c r="Q244" s="50" t="s">
        <v>6164</v>
      </c>
      <c r="R244" s="50">
        <v>22.5452112</v>
      </c>
      <c r="S244" s="50">
        <v>88.3820726</v>
      </c>
      <c r="T244" s="50">
        <v>-65.6999969482421</v>
      </c>
      <c r="U244" s="50">
        <v>5.0</v>
      </c>
      <c r="V244" s="50">
        <v>3.0</v>
      </c>
      <c r="W244" s="50">
        <v>1.0</v>
      </c>
      <c r="X244" s="116"/>
      <c r="Y244" s="116"/>
      <c r="Z244" s="116"/>
      <c r="AA244" s="50">
        <v>2.0</v>
      </c>
      <c r="AB244" s="50">
        <v>4.0</v>
      </c>
      <c r="AC244" s="116"/>
      <c r="AD244" s="116"/>
      <c r="AE244" s="116"/>
      <c r="AF244" s="116"/>
      <c r="AG244" s="116"/>
      <c r="AH244" s="116"/>
      <c r="AI244" s="116"/>
      <c r="AJ244" s="116"/>
      <c r="AK244" s="116"/>
      <c r="AL244" s="116"/>
      <c r="AM244" s="116"/>
      <c r="AN244" s="116"/>
      <c r="AO244" s="116"/>
      <c r="AP244" s="116"/>
      <c r="AQ244" s="50" t="s">
        <v>6125</v>
      </c>
      <c r="AR244" s="50" t="s">
        <v>2899</v>
      </c>
      <c r="AS244" s="50">
        <v>0.0</v>
      </c>
      <c r="AT244" s="50" t="s">
        <v>5540</v>
      </c>
      <c r="AU244" s="117">
        <v>4675.0</v>
      </c>
      <c r="AV244" s="50" t="s">
        <v>6166</v>
      </c>
      <c r="AW244" s="50" t="s">
        <v>6167</v>
      </c>
      <c r="AX244" s="117">
        <v>243.0</v>
      </c>
    </row>
    <row r="245">
      <c r="A245" s="50" t="s">
        <v>6168</v>
      </c>
      <c r="B245" s="50" t="s">
        <v>6169</v>
      </c>
      <c r="C245" s="116"/>
      <c r="D245" s="116"/>
      <c r="E245" s="50">
        <v>3.52155090281144E14</v>
      </c>
      <c r="F245" s="50">
        <v>59.0</v>
      </c>
      <c r="G245" s="50">
        <v>99.0</v>
      </c>
      <c r="H245" s="116"/>
      <c r="I245" s="116"/>
      <c r="J245" s="116"/>
      <c r="K245" s="50">
        <v>2.0</v>
      </c>
      <c r="L245" s="50" t="s">
        <v>247</v>
      </c>
      <c r="M245" s="50" t="s">
        <v>247</v>
      </c>
      <c r="N245" s="116"/>
      <c r="O245" s="116"/>
      <c r="P245" s="50" t="s">
        <v>6170</v>
      </c>
      <c r="Q245" s="50" t="s">
        <v>6171</v>
      </c>
      <c r="R245" s="50">
        <v>22.5452466</v>
      </c>
      <c r="S245" s="50">
        <v>88.3821195</v>
      </c>
      <c r="T245" s="50">
        <v>-24.2999992370605</v>
      </c>
      <c r="U245" s="50">
        <v>5.0</v>
      </c>
      <c r="V245" s="50">
        <v>3.0</v>
      </c>
      <c r="W245" s="50">
        <v>1.0</v>
      </c>
      <c r="X245" s="116"/>
      <c r="Y245" s="116"/>
      <c r="Z245" s="116"/>
      <c r="AA245" s="116"/>
      <c r="AB245" s="116"/>
      <c r="AC245" s="116"/>
      <c r="AD245" s="116"/>
      <c r="AE245" s="116"/>
      <c r="AF245" s="116"/>
      <c r="AG245" s="116"/>
      <c r="AH245" s="116"/>
      <c r="AI245" s="116"/>
      <c r="AJ245" s="116"/>
      <c r="AK245" s="116"/>
      <c r="AL245" s="116"/>
      <c r="AM245" s="116"/>
      <c r="AN245" s="116"/>
      <c r="AO245" s="116"/>
      <c r="AP245" s="116"/>
      <c r="AQ245" s="50" t="s">
        <v>2890</v>
      </c>
      <c r="AR245" s="50" t="s">
        <v>2899</v>
      </c>
      <c r="AS245" s="116"/>
      <c r="AT245" s="50" t="s">
        <v>5540</v>
      </c>
      <c r="AU245" s="117">
        <v>4676.0</v>
      </c>
      <c r="AV245" s="50" t="s">
        <v>6172</v>
      </c>
      <c r="AW245" s="50" t="s">
        <v>6173</v>
      </c>
      <c r="AX245" s="117">
        <v>244.0</v>
      </c>
    </row>
    <row r="246">
      <c r="A246" s="50" t="s">
        <v>6174</v>
      </c>
      <c r="B246" s="50" t="s">
        <v>6175</v>
      </c>
      <c r="C246" s="116"/>
      <c r="D246" s="116"/>
      <c r="E246" s="50">
        <v>3.52155090281144E14</v>
      </c>
      <c r="F246" s="50">
        <v>59.0</v>
      </c>
      <c r="G246" s="50">
        <v>99.0</v>
      </c>
      <c r="H246" s="116"/>
      <c r="I246" s="116"/>
      <c r="J246" s="116"/>
      <c r="K246" s="50">
        <v>2.0</v>
      </c>
      <c r="L246" s="50" t="s">
        <v>250</v>
      </c>
      <c r="M246" s="50" t="s">
        <v>250</v>
      </c>
      <c r="N246" s="116"/>
      <c r="O246" s="116"/>
      <c r="P246" s="50" t="s">
        <v>6176</v>
      </c>
      <c r="Q246" s="50" t="s">
        <v>6177</v>
      </c>
      <c r="R246" s="50">
        <v>22.5452716</v>
      </c>
      <c r="S246" s="50">
        <v>88.3821708</v>
      </c>
      <c r="T246" s="50">
        <v>-62.9000015258789</v>
      </c>
      <c r="U246" s="50">
        <v>5.0</v>
      </c>
      <c r="V246" s="50">
        <v>3.0</v>
      </c>
      <c r="W246" s="50">
        <v>1.0</v>
      </c>
      <c r="X246" s="116"/>
      <c r="Y246" s="116"/>
      <c r="Z246" s="116"/>
      <c r="AA246" s="116"/>
      <c r="AB246" s="116"/>
      <c r="AC246" s="116"/>
      <c r="AD246" s="116"/>
      <c r="AE246" s="116"/>
      <c r="AF246" s="116"/>
      <c r="AG246" s="116"/>
      <c r="AH246" s="116"/>
      <c r="AI246" s="116"/>
      <c r="AJ246" s="116"/>
      <c r="AK246" s="116"/>
      <c r="AL246" s="116"/>
      <c r="AM246" s="116"/>
      <c r="AN246" s="116"/>
      <c r="AO246" s="116"/>
      <c r="AP246" s="116"/>
      <c r="AQ246" s="50" t="s">
        <v>6125</v>
      </c>
      <c r="AR246" s="50" t="s">
        <v>2899</v>
      </c>
      <c r="AS246" s="116"/>
      <c r="AT246" s="50" t="s">
        <v>5540</v>
      </c>
      <c r="AU246" s="117">
        <v>4677.0</v>
      </c>
      <c r="AV246" s="50" t="s">
        <v>6178</v>
      </c>
      <c r="AW246" s="50" t="s">
        <v>6179</v>
      </c>
      <c r="AX246" s="117">
        <v>245.0</v>
      </c>
    </row>
    <row r="247">
      <c r="A247" s="50" t="s">
        <v>6180</v>
      </c>
      <c r="B247" s="50" t="s">
        <v>6181</v>
      </c>
      <c r="C247" s="116"/>
      <c r="D247" s="116"/>
      <c r="E247" s="50">
        <v>3.5215509147374E14</v>
      </c>
      <c r="F247" s="50">
        <v>66.0</v>
      </c>
      <c r="G247" s="50">
        <v>12.0</v>
      </c>
      <c r="H247" s="116"/>
      <c r="I247" s="116"/>
      <c r="J247" s="116"/>
      <c r="K247" s="116"/>
      <c r="L247" s="50" t="s">
        <v>1468</v>
      </c>
      <c r="M247" s="50" t="s">
        <v>1468</v>
      </c>
      <c r="N247" s="50">
        <v>5.0</v>
      </c>
      <c r="O247" s="50" t="s">
        <v>6183</v>
      </c>
      <c r="P247" s="116"/>
      <c r="Q247" s="50" t="s">
        <v>6184</v>
      </c>
      <c r="R247" s="50">
        <v>22.5346224</v>
      </c>
      <c r="S247" s="50">
        <v>88.3960513</v>
      </c>
      <c r="T247" s="50">
        <v>-55.7999992370605</v>
      </c>
      <c r="U247" s="50">
        <v>5.0</v>
      </c>
      <c r="V247" s="50">
        <v>3.0</v>
      </c>
      <c r="W247" s="50">
        <v>1.0</v>
      </c>
      <c r="X247" s="116"/>
      <c r="Y247" s="116"/>
      <c r="Z247" s="116"/>
      <c r="AA247" s="116"/>
      <c r="AB247" s="116"/>
      <c r="AC247" s="116"/>
      <c r="AD247" s="116"/>
      <c r="AE247" s="50">
        <v>1.0</v>
      </c>
      <c r="AF247" s="50">
        <v>2.0</v>
      </c>
      <c r="AG247" s="50">
        <v>4.0</v>
      </c>
      <c r="AH247" s="50">
        <v>4.0</v>
      </c>
      <c r="AI247" s="116"/>
      <c r="AJ247" s="116"/>
      <c r="AK247" s="116"/>
      <c r="AL247" s="116"/>
      <c r="AM247" s="116"/>
      <c r="AN247" s="116"/>
      <c r="AO247" s="116"/>
      <c r="AP247" s="116"/>
      <c r="AQ247" s="50" t="s">
        <v>6185</v>
      </c>
      <c r="AR247" s="50" t="s">
        <v>2327</v>
      </c>
      <c r="AS247" s="50">
        <v>0.0</v>
      </c>
      <c r="AT247" s="50" t="s">
        <v>5540</v>
      </c>
      <c r="AU247" s="117">
        <v>4678.0</v>
      </c>
      <c r="AV247" s="50" t="s">
        <v>6186</v>
      </c>
      <c r="AW247" s="50" t="s">
        <v>6187</v>
      </c>
      <c r="AX247" s="117">
        <v>246.0</v>
      </c>
    </row>
    <row r="248">
      <c r="A248" s="50" t="s">
        <v>6188</v>
      </c>
      <c r="B248" s="50" t="s">
        <v>6189</v>
      </c>
      <c r="C248" s="116"/>
      <c r="D248" s="116"/>
      <c r="E248" s="50">
        <v>3.5215509147374E14</v>
      </c>
      <c r="F248" s="50">
        <v>66.0</v>
      </c>
      <c r="G248" s="50">
        <v>99.0</v>
      </c>
      <c r="H248" s="116"/>
      <c r="I248" s="116"/>
      <c r="J248" s="116"/>
      <c r="K248" s="50">
        <v>1.0</v>
      </c>
      <c r="L248" s="50" t="s">
        <v>1303</v>
      </c>
      <c r="M248" s="50" t="s">
        <v>1303</v>
      </c>
      <c r="N248" s="116"/>
      <c r="O248" s="116"/>
      <c r="P248" s="50" t="s">
        <v>6170</v>
      </c>
      <c r="Q248" s="50" t="s">
        <v>6191</v>
      </c>
      <c r="R248" s="50">
        <v>22.5347572</v>
      </c>
      <c r="S248" s="50">
        <v>88.3960086</v>
      </c>
      <c r="T248" s="50">
        <v>-10.5</v>
      </c>
      <c r="U248" s="50">
        <v>5.0</v>
      </c>
      <c r="V248" s="50">
        <v>3.0</v>
      </c>
      <c r="W248" s="50">
        <v>1.0</v>
      </c>
      <c r="X248" s="116"/>
      <c r="Y248" s="116"/>
      <c r="Z248" s="116"/>
      <c r="AA248" s="116"/>
      <c r="AB248" s="116"/>
      <c r="AC248" s="116"/>
      <c r="AD248" s="116"/>
      <c r="AE248" s="116"/>
      <c r="AF248" s="116"/>
      <c r="AG248" s="116"/>
      <c r="AH248" s="116"/>
      <c r="AI248" s="116"/>
      <c r="AJ248" s="116"/>
      <c r="AK248" s="116"/>
      <c r="AL248" s="116"/>
      <c r="AM248" s="116"/>
      <c r="AN248" s="116"/>
      <c r="AO248" s="116"/>
      <c r="AP248" s="116"/>
      <c r="AQ248" s="50" t="s">
        <v>6192</v>
      </c>
      <c r="AR248" s="50" t="s">
        <v>2327</v>
      </c>
      <c r="AS248" s="116"/>
      <c r="AT248" s="50" t="s">
        <v>5540</v>
      </c>
      <c r="AU248" s="117">
        <v>4679.0</v>
      </c>
      <c r="AV248" s="50" t="s">
        <v>6193</v>
      </c>
      <c r="AW248" s="50" t="s">
        <v>6194</v>
      </c>
      <c r="AX248" s="117">
        <v>247.0</v>
      </c>
    </row>
    <row r="249">
      <c r="A249" s="50" t="s">
        <v>6195</v>
      </c>
      <c r="B249" s="50" t="s">
        <v>6196</v>
      </c>
      <c r="C249" s="116"/>
      <c r="D249" s="116"/>
      <c r="E249" s="50">
        <v>3.5215509147374E14</v>
      </c>
      <c r="F249" s="50">
        <v>59.0</v>
      </c>
      <c r="G249" s="50">
        <v>12.0</v>
      </c>
      <c r="H249" s="116"/>
      <c r="I249" s="116"/>
      <c r="J249" s="116"/>
      <c r="K249" s="116"/>
      <c r="L249" s="50" t="s">
        <v>1471</v>
      </c>
      <c r="M249" s="50" t="s">
        <v>1471</v>
      </c>
      <c r="N249" s="50">
        <v>6.0</v>
      </c>
      <c r="O249" s="50" t="s">
        <v>6197</v>
      </c>
      <c r="P249" s="116"/>
      <c r="Q249" s="50" t="s">
        <v>6199</v>
      </c>
      <c r="R249" s="50">
        <v>22.5400438</v>
      </c>
      <c r="S249" s="50">
        <v>88.3873001</v>
      </c>
      <c r="T249" s="50">
        <v>-62.0</v>
      </c>
      <c r="U249" s="50">
        <v>5.0</v>
      </c>
      <c r="V249" s="50">
        <v>3.0</v>
      </c>
      <c r="W249" s="50">
        <v>1.0</v>
      </c>
      <c r="X249" s="116"/>
      <c r="Y249" s="116"/>
      <c r="Z249" s="116"/>
      <c r="AA249" s="116"/>
      <c r="AB249" s="116"/>
      <c r="AC249" s="116"/>
      <c r="AD249" s="116"/>
      <c r="AE249" s="50">
        <v>1.0</v>
      </c>
      <c r="AF249" s="50">
        <v>2.0</v>
      </c>
      <c r="AG249" s="50">
        <v>4.0</v>
      </c>
      <c r="AH249" s="50">
        <v>4.0</v>
      </c>
      <c r="AI249" s="116"/>
      <c r="AJ249" s="116"/>
      <c r="AK249" s="116"/>
      <c r="AL249" s="116"/>
      <c r="AM249" s="116"/>
      <c r="AN249" s="116"/>
      <c r="AO249" s="116"/>
      <c r="AP249" s="116"/>
      <c r="AQ249" s="50" t="s">
        <v>2949</v>
      </c>
      <c r="AR249" s="50" t="s">
        <v>2597</v>
      </c>
      <c r="AS249" s="50">
        <v>0.0</v>
      </c>
      <c r="AT249" s="50" t="s">
        <v>5540</v>
      </c>
      <c r="AU249" s="117">
        <v>4680.0</v>
      </c>
      <c r="AV249" s="50" t="s">
        <v>6200</v>
      </c>
      <c r="AW249" s="50" t="s">
        <v>6201</v>
      </c>
      <c r="AX249" s="117">
        <v>248.0</v>
      </c>
    </row>
    <row r="250">
      <c r="A250" s="50" t="s">
        <v>6202</v>
      </c>
      <c r="B250" s="50" t="s">
        <v>6203</v>
      </c>
      <c r="C250" s="116"/>
      <c r="D250" s="116"/>
      <c r="E250" s="50">
        <v>3.5215509147374E14</v>
      </c>
      <c r="F250" s="50">
        <v>59.0</v>
      </c>
      <c r="G250" s="50">
        <v>99.0</v>
      </c>
      <c r="H250" s="116"/>
      <c r="I250" s="116"/>
      <c r="J250" s="116"/>
      <c r="K250" s="50">
        <v>1.0</v>
      </c>
      <c r="L250" s="50" t="s">
        <v>233</v>
      </c>
      <c r="M250" s="50" t="s">
        <v>233</v>
      </c>
      <c r="N250" s="116"/>
      <c r="O250" s="116"/>
      <c r="P250" s="50" t="s">
        <v>6204</v>
      </c>
      <c r="Q250" s="50" t="s">
        <v>6205</v>
      </c>
      <c r="R250" s="50">
        <v>22.539985</v>
      </c>
      <c r="S250" s="50">
        <v>88.3872609</v>
      </c>
      <c r="T250" s="50">
        <v>-42.9000015258789</v>
      </c>
      <c r="U250" s="50">
        <v>5.0</v>
      </c>
      <c r="V250" s="50">
        <v>3.0</v>
      </c>
      <c r="W250" s="50">
        <v>1.0</v>
      </c>
      <c r="X250" s="116"/>
      <c r="Y250" s="116"/>
      <c r="Z250" s="116"/>
      <c r="AA250" s="116"/>
      <c r="AB250" s="116"/>
      <c r="AC250" s="116"/>
      <c r="AD250" s="116"/>
      <c r="AE250" s="116"/>
      <c r="AF250" s="116"/>
      <c r="AG250" s="116"/>
      <c r="AH250" s="116"/>
      <c r="AI250" s="116"/>
      <c r="AJ250" s="116"/>
      <c r="AK250" s="116"/>
      <c r="AL250" s="116"/>
      <c r="AM250" s="116"/>
      <c r="AN250" s="116"/>
      <c r="AO250" s="116"/>
      <c r="AP250" s="116"/>
      <c r="AQ250" s="50" t="s">
        <v>6207</v>
      </c>
      <c r="AR250" s="50" t="s">
        <v>2597</v>
      </c>
      <c r="AS250" s="116"/>
      <c r="AT250" s="50" t="s">
        <v>5540</v>
      </c>
      <c r="AU250" s="117">
        <v>4681.0</v>
      </c>
      <c r="AV250" s="50" t="s">
        <v>6208</v>
      </c>
      <c r="AW250" s="50" t="s">
        <v>6209</v>
      </c>
      <c r="AX250" s="117">
        <v>249.0</v>
      </c>
    </row>
    <row r="251">
      <c r="A251" s="50" t="s">
        <v>6210</v>
      </c>
      <c r="B251" s="50" t="s">
        <v>6211</v>
      </c>
      <c r="C251" s="116"/>
      <c r="D251" s="116"/>
      <c r="E251" s="50">
        <v>3.52155090281144E14</v>
      </c>
      <c r="F251" s="50">
        <v>59.0</v>
      </c>
      <c r="G251" s="50">
        <v>11.0</v>
      </c>
      <c r="H251" s="50">
        <v>4.0</v>
      </c>
      <c r="I251" s="50">
        <v>1.0</v>
      </c>
      <c r="J251" s="50" t="s">
        <v>6022</v>
      </c>
      <c r="K251" s="116"/>
      <c r="L251" s="50" t="s">
        <v>6212</v>
      </c>
      <c r="M251" s="50" t="s">
        <v>6212</v>
      </c>
      <c r="N251" s="116"/>
      <c r="O251" s="116"/>
      <c r="P251" s="50" t="s">
        <v>6213</v>
      </c>
      <c r="Q251" s="50" t="s">
        <v>6214</v>
      </c>
      <c r="R251" s="50">
        <v>22.5452839</v>
      </c>
      <c r="S251" s="50">
        <v>88.3820567</v>
      </c>
      <c r="T251" s="50">
        <v>-44.099998474121</v>
      </c>
      <c r="U251" s="50">
        <v>5.0</v>
      </c>
      <c r="V251" s="50">
        <v>1.0</v>
      </c>
      <c r="W251" s="50">
        <v>0.0</v>
      </c>
      <c r="X251" s="50">
        <v>1.0</v>
      </c>
      <c r="Y251" s="116"/>
      <c r="Z251" s="116"/>
      <c r="AA251" s="50">
        <v>2.0</v>
      </c>
      <c r="AB251" s="50">
        <v>4.0</v>
      </c>
      <c r="AC251" s="116"/>
      <c r="AD251" s="116"/>
      <c r="AE251" s="116"/>
      <c r="AF251" s="116"/>
      <c r="AG251" s="116"/>
      <c r="AH251" s="116"/>
      <c r="AI251" s="116"/>
      <c r="AJ251" s="116"/>
      <c r="AK251" s="116"/>
      <c r="AL251" s="116"/>
      <c r="AM251" s="116"/>
      <c r="AN251" s="116"/>
      <c r="AO251" s="116"/>
      <c r="AP251" s="116"/>
      <c r="AQ251" s="50" t="s">
        <v>3388</v>
      </c>
      <c r="AR251" s="50" t="s">
        <v>2899</v>
      </c>
      <c r="AS251" s="50">
        <v>1.0</v>
      </c>
      <c r="AT251" s="50" t="s">
        <v>5540</v>
      </c>
      <c r="AU251" s="117">
        <v>4725.0</v>
      </c>
      <c r="AV251" s="50" t="s">
        <v>6216</v>
      </c>
      <c r="AW251" s="50" t="s">
        <v>6217</v>
      </c>
      <c r="AX251" s="117">
        <v>250.0</v>
      </c>
    </row>
    <row r="252">
      <c r="A252" s="50" t="s">
        <v>6218</v>
      </c>
      <c r="B252" s="50" t="s">
        <v>6219</v>
      </c>
      <c r="C252" s="116"/>
      <c r="D252" s="116"/>
      <c r="E252" s="50">
        <v>3.52155090281144E14</v>
      </c>
      <c r="F252" s="50">
        <v>59.0</v>
      </c>
      <c r="G252" s="50">
        <v>11.0</v>
      </c>
      <c r="H252" s="50">
        <v>4.0</v>
      </c>
      <c r="I252" s="50">
        <v>1.0</v>
      </c>
      <c r="J252" s="50" t="s">
        <v>6037</v>
      </c>
      <c r="K252" s="116"/>
      <c r="L252" s="50" t="s">
        <v>6220</v>
      </c>
      <c r="M252" s="50" t="s">
        <v>6220</v>
      </c>
      <c r="N252" s="116"/>
      <c r="O252" s="116"/>
      <c r="P252" s="50" t="s">
        <v>6221</v>
      </c>
      <c r="Q252" s="50" t="s">
        <v>6222</v>
      </c>
      <c r="R252" s="50">
        <v>22.5453104</v>
      </c>
      <c r="S252" s="50">
        <v>88.3820615</v>
      </c>
      <c r="T252" s="50">
        <v>-46.5</v>
      </c>
      <c r="U252" s="50">
        <v>5.0</v>
      </c>
      <c r="V252" s="50">
        <v>1.0</v>
      </c>
      <c r="W252" s="50">
        <v>0.0</v>
      </c>
      <c r="X252" s="50">
        <v>1.0</v>
      </c>
      <c r="Y252" s="116"/>
      <c r="Z252" s="116"/>
      <c r="AA252" s="50">
        <v>1.0</v>
      </c>
      <c r="AB252" s="50">
        <v>4.0</v>
      </c>
      <c r="AC252" s="116"/>
      <c r="AD252" s="116"/>
      <c r="AE252" s="116"/>
      <c r="AF252" s="116"/>
      <c r="AG252" s="116"/>
      <c r="AH252" s="116"/>
      <c r="AI252" s="116"/>
      <c r="AJ252" s="116"/>
      <c r="AK252" s="116"/>
      <c r="AL252" s="116"/>
      <c r="AM252" s="116"/>
      <c r="AN252" s="116"/>
      <c r="AO252" s="116"/>
      <c r="AP252" s="116"/>
      <c r="AQ252" s="50" t="s">
        <v>3388</v>
      </c>
      <c r="AR252" s="50" t="s">
        <v>2899</v>
      </c>
      <c r="AS252" s="50">
        <v>1.0</v>
      </c>
      <c r="AT252" s="50" t="s">
        <v>5540</v>
      </c>
      <c r="AU252" s="117">
        <v>4726.0</v>
      </c>
      <c r="AV252" s="50" t="s">
        <v>6223</v>
      </c>
      <c r="AW252" s="50" t="s">
        <v>6224</v>
      </c>
      <c r="AX252" s="117">
        <v>251.0</v>
      </c>
    </row>
    <row r="253">
      <c r="A253" s="50" t="s">
        <v>6225</v>
      </c>
      <c r="B253" s="50" t="s">
        <v>6226</v>
      </c>
      <c r="C253" s="116"/>
      <c r="D253" s="116"/>
      <c r="E253" s="50">
        <v>3.52155090281144E14</v>
      </c>
      <c r="F253" s="50">
        <v>59.0</v>
      </c>
      <c r="G253" s="50">
        <v>99.0</v>
      </c>
      <c r="H253" s="116"/>
      <c r="I253" s="116"/>
      <c r="J253" s="116"/>
      <c r="K253" s="50">
        <v>2.0</v>
      </c>
      <c r="L253" s="50" t="s">
        <v>253</v>
      </c>
      <c r="M253" s="50" t="s">
        <v>253</v>
      </c>
      <c r="N253" s="116"/>
      <c r="O253" s="116"/>
      <c r="P253" s="50" t="s">
        <v>6227</v>
      </c>
      <c r="Q253" s="50" t="s">
        <v>6228</v>
      </c>
      <c r="R253" s="50">
        <v>22.5453354</v>
      </c>
      <c r="S253" s="50">
        <v>88.3820927</v>
      </c>
      <c r="T253" s="50">
        <v>-68.1999969482421</v>
      </c>
      <c r="U253" s="50">
        <v>5.0</v>
      </c>
      <c r="V253" s="50">
        <v>1.0</v>
      </c>
      <c r="W253" s="50">
        <v>0.0</v>
      </c>
      <c r="X253" s="50">
        <v>1.0</v>
      </c>
      <c r="Y253" s="116"/>
      <c r="Z253" s="116"/>
      <c r="AA253" s="116"/>
      <c r="AB253" s="116"/>
      <c r="AC253" s="116"/>
      <c r="AD253" s="116"/>
      <c r="AE253" s="116"/>
      <c r="AF253" s="116"/>
      <c r="AG253" s="116"/>
      <c r="AH253" s="116"/>
      <c r="AI253" s="116"/>
      <c r="AJ253" s="116"/>
      <c r="AK253" s="116"/>
      <c r="AL253" s="116"/>
      <c r="AM253" s="116"/>
      <c r="AN253" s="116"/>
      <c r="AO253" s="116"/>
      <c r="AP253" s="116"/>
      <c r="AQ253" s="50" t="s">
        <v>6125</v>
      </c>
      <c r="AR253" s="50" t="s">
        <v>2899</v>
      </c>
      <c r="AS253" s="116"/>
      <c r="AT253" s="50" t="s">
        <v>5540</v>
      </c>
      <c r="AU253" s="117">
        <v>4727.0</v>
      </c>
      <c r="AV253" s="50" t="s">
        <v>6230</v>
      </c>
      <c r="AW253" s="50" t="s">
        <v>6231</v>
      </c>
      <c r="AX253" s="117">
        <v>252.0</v>
      </c>
    </row>
    <row r="254">
      <c r="A254" s="50" t="s">
        <v>6232</v>
      </c>
      <c r="B254" s="50" t="s">
        <v>6233</v>
      </c>
      <c r="C254" s="116"/>
      <c r="D254" s="116"/>
      <c r="E254" s="50">
        <v>3.52155090281144E14</v>
      </c>
      <c r="F254" s="50">
        <v>59.0</v>
      </c>
      <c r="G254" s="50">
        <v>99.0</v>
      </c>
      <c r="H254" s="116"/>
      <c r="I254" s="116"/>
      <c r="J254" s="116"/>
      <c r="K254" s="50">
        <v>2.0</v>
      </c>
      <c r="L254" s="50" t="s">
        <v>256</v>
      </c>
      <c r="M254" s="50" t="s">
        <v>256</v>
      </c>
      <c r="N254" s="116"/>
      <c r="O254" s="116"/>
      <c r="P254" s="50" t="s">
        <v>6234</v>
      </c>
      <c r="Q254" s="50" t="s">
        <v>6235</v>
      </c>
      <c r="R254" s="50">
        <v>22.5452993</v>
      </c>
      <c r="S254" s="50">
        <v>88.3820589</v>
      </c>
      <c r="T254" s="50">
        <v>-24.1000003814697</v>
      </c>
      <c r="U254" s="50">
        <v>4.5</v>
      </c>
      <c r="V254" s="50">
        <v>1.0</v>
      </c>
      <c r="W254" s="50">
        <v>0.0</v>
      </c>
      <c r="X254" s="50">
        <v>1.0</v>
      </c>
      <c r="Y254" s="116"/>
      <c r="Z254" s="116"/>
      <c r="AA254" s="116"/>
      <c r="AB254" s="116"/>
      <c r="AC254" s="116"/>
      <c r="AD254" s="116"/>
      <c r="AE254" s="116"/>
      <c r="AF254" s="116"/>
      <c r="AG254" s="116"/>
      <c r="AH254" s="116"/>
      <c r="AI254" s="116"/>
      <c r="AJ254" s="116"/>
      <c r="AK254" s="116"/>
      <c r="AL254" s="116"/>
      <c r="AM254" s="116"/>
      <c r="AN254" s="116"/>
      <c r="AO254" s="116"/>
      <c r="AP254" s="116"/>
      <c r="AQ254" s="50" t="s">
        <v>3388</v>
      </c>
      <c r="AR254" s="50" t="s">
        <v>2899</v>
      </c>
      <c r="AS254" s="116"/>
      <c r="AT254" s="50" t="s">
        <v>5540</v>
      </c>
      <c r="AU254" s="117">
        <v>4728.0</v>
      </c>
      <c r="AV254" s="50" t="s">
        <v>6236</v>
      </c>
      <c r="AW254" s="50" t="s">
        <v>6237</v>
      </c>
      <c r="AX254" s="117">
        <v>253.0</v>
      </c>
    </row>
    <row r="255">
      <c r="A255" s="50" t="s">
        <v>6238</v>
      </c>
      <c r="B255" s="50" t="s">
        <v>6239</v>
      </c>
      <c r="C255" s="116"/>
      <c r="D255" s="116"/>
      <c r="E255" s="50">
        <v>3.52155090281144E14</v>
      </c>
      <c r="F255" s="50">
        <v>59.0</v>
      </c>
      <c r="G255" s="50">
        <v>11.0</v>
      </c>
      <c r="H255" s="50">
        <v>4.0</v>
      </c>
      <c r="I255" s="50">
        <v>1.0</v>
      </c>
      <c r="J255" s="50" t="s">
        <v>6051</v>
      </c>
      <c r="K255" s="116"/>
      <c r="L255" s="50" t="s">
        <v>6240</v>
      </c>
      <c r="M255" s="50" t="s">
        <v>6240</v>
      </c>
      <c r="N255" s="116"/>
      <c r="O255" s="116"/>
      <c r="P255" s="50" t="s">
        <v>6241</v>
      </c>
      <c r="Q255" s="50" t="s">
        <v>6242</v>
      </c>
      <c r="R255" s="50">
        <v>22.544077</v>
      </c>
      <c r="S255" s="50">
        <v>88.3819531</v>
      </c>
      <c r="T255" s="50">
        <v>-37.9000015258789</v>
      </c>
      <c r="U255" s="50">
        <v>5.0</v>
      </c>
      <c r="V255" s="50">
        <v>1.0</v>
      </c>
      <c r="W255" s="50">
        <v>0.0</v>
      </c>
      <c r="X255" s="50">
        <v>1.0</v>
      </c>
      <c r="Y255" s="116"/>
      <c r="Z255" s="116"/>
      <c r="AA255" s="50">
        <v>2.0</v>
      </c>
      <c r="AB255" s="50">
        <v>4.0</v>
      </c>
      <c r="AC255" s="116"/>
      <c r="AD255" s="116"/>
      <c r="AE255" s="116"/>
      <c r="AF255" s="116"/>
      <c r="AG255" s="116"/>
      <c r="AH255" s="116"/>
      <c r="AI255" s="116"/>
      <c r="AJ255" s="116"/>
      <c r="AK255" s="116"/>
      <c r="AL255" s="116"/>
      <c r="AM255" s="116"/>
      <c r="AN255" s="116"/>
      <c r="AO255" s="116"/>
      <c r="AP255" s="116"/>
      <c r="AQ255" s="50" t="s">
        <v>3258</v>
      </c>
      <c r="AR255" s="50" t="s">
        <v>2899</v>
      </c>
      <c r="AS255" s="50">
        <v>1.0</v>
      </c>
      <c r="AT255" s="50" t="s">
        <v>5540</v>
      </c>
      <c r="AU255" s="117">
        <v>4729.0</v>
      </c>
      <c r="AV255" s="50" t="s">
        <v>6244</v>
      </c>
      <c r="AW255" s="50" t="s">
        <v>6245</v>
      </c>
      <c r="AX255" s="117">
        <v>254.0</v>
      </c>
    </row>
    <row r="256">
      <c r="A256" s="50" t="s">
        <v>6246</v>
      </c>
      <c r="B256" s="50" t="s">
        <v>6247</v>
      </c>
      <c r="C256" s="116"/>
      <c r="D256" s="116"/>
      <c r="E256" s="50">
        <v>3.52155090281144E14</v>
      </c>
      <c r="F256" s="50">
        <v>59.0</v>
      </c>
      <c r="G256" s="50">
        <v>99.0</v>
      </c>
      <c r="H256" s="116"/>
      <c r="I256" s="116"/>
      <c r="J256" s="116"/>
      <c r="K256" s="50">
        <v>2.0</v>
      </c>
      <c r="L256" s="50" t="s">
        <v>259</v>
      </c>
      <c r="M256" s="50" t="s">
        <v>259</v>
      </c>
      <c r="N256" s="116"/>
      <c r="O256" s="116"/>
      <c r="P256" s="50" t="s">
        <v>6248</v>
      </c>
      <c r="Q256" s="50" t="s">
        <v>6249</v>
      </c>
      <c r="R256" s="50">
        <v>22.5440244</v>
      </c>
      <c r="S256" s="50">
        <v>88.3819514</v>
      </c>
      <c r="T256" s="50">
        <v>-35.599998474121</v>
      </c>
      <c r="U256" s="50">
        <v>5.0</v>
      </c>
      <c r="V256" s="50">
        <v>1.0</v>
      </c>
      <c r="W256" s="50">
        <v>0.0</v>
      </c>
      <c r="X256" s="50">
        <v>1.0</v>
      </c>
      <c r="Y256" s="116"/>
      <c r="Z256" s="116"/>
      <c r="AA256" s="116"/>
      <c r="AB256" s="116"/>
      <c r="AC256" s="116"/>
      <c r="AD256" s="116"/>
      <c r="AE256" s="116"/>
      <c r="AF256" s="116"/>
      <c r="AG256" s="116"/>
      <c r="AH256" s="116"/>
      <c r="AI256" s="116"/>
      <c r="AJ256" s="116"/>
      <c r="AK256" s="116"/>
      <c r="AL256" s="116"/>
      <c r="AM256" s="116"/>
      <c r="AN256" s="116"/>
      <c r="AO256" s="116"/>
      <c r="AP256" s="116"/>
      <c r="AQ256" s="50" t="s">
        <v>3258</v>
      </c>
      <c r="AR256" s="50" t="s">
        <v>2899</v>
      </c>
      <c r="AS256" s="116"/>
      <c r="AT256" s="50" t="s">
        <v>5540</v>
      </c>
      <c r="AU256" s="117">
        <v>4730.0</v>
      </c>
      <c r="AV256" s="50" t="s">
        <v>6251</v>
      </c>
      <c r="AW256" s="50" t="s">
        <v>6252</v>
      </c>
      <c r="AX256" s="117">
        <v>255.0</v>
      </c>
    </row>
    <row r="257">
      <c r="A257" s="50" t="s">
        <v>6253</v>
      </c>
      <c r="B257" s="50" t="s">
        <v>6254</v>
      </c>
      <c r="C257" s="116"/>
      <c r="D257" s="116"/>
      <c r="E257" s="50">
        <v>3.52155090281144E14</v>
      </c>
      <c r="F257" s="50">
        <v>59.0</v>
      </c>
      <c r="G257" s="50">
        <v>11.0</v>
      </c>
      <c r="H257" s="50">
        <v>4.0</v>
      </c>
      <c r="I257" s="50">
        <v>1.0</v>
      </c>
      <c r="J257" s="50" t="s">
        <v>6064</v>
      </c>
      <c r="K257" s="116"/>
      <c r="L257" s="50" t="s">
        <v>6255</v>
      </c>
      <c r="M257" s="50" t="s">
        <v>6255</v>
      </c>
      <c r="N257" s="116"/>
      <c r="O257" s="116"/>
      <c r="P257" s="50" t="s">
        <v>6256</v>
      </c>
      <c r="Q257" s="50" t="s">
        <v>6257</v>
      </c>
      <c r="R257" s="50">
        <v>22.5431576</v>
      </c>
      <c r="S257" s="50">
        <v>88.375508</v>
      </c>
      <c r="T257" s="50">
        <v>-49.0</v>
      </c>
      <c r="U257" s="50">
        <v>5.0</v>
      </c>
      <c r="V257" s="50">
        <v>1.0</v>
      </c>
      <c r="W257" s="50">
        <v>0.0</v>
      </c>
      <c r="X257" s="50">
        <v>1.0</v>
      </c>
      <c r="Y257" s="116"/>
      <c r="Z257" s="116"/>
      <c r="AA257" s="50">
        <v>2.0</v>
      </c>
      <c r="AB257" s="50">
        <v>4.0</v>
      </c>
      <c r="AC257" s="116"/>
      <c r="AD257" s="116"/>
      <c r="AE257" s="116"/>
      <c r="AF257" s="116"/>
      <c r="AG257" s="116"/>
      <c r="AH257" s="116"/>
      <c r="AI257" s="116"/>
      <c r="AJ257" s="116"/>
      <c r="AK257" s="116"/>
      <c r="AL257" s="116"/>
      <c r="AM257" s="116"/>
      <c r="AN257" s="116"/>
      <c r="AO257" s="116"/>
      <c r="AP257" s="116"/>
      <c r="AQ257" s="50" t="s">
        <v>3388</v>
      </c>
      <c r="AR257" s="50" t="s">
        <v>2899</v>
      </c>
      <c r="AS257" s="50">
        <v>0.0</v>
      </c>
      <c r="AT257" s="50" t="s">
        <v>5540</v>
      </c>
      <c r="AU257" s="117">
        <v>4731.0</v>
      </c>
      <c r="AV257" s="50" t="s">
        <v>6258</v>
      </c>
      <c r="AW257" s="50" t="s">
        <v>6259</v>
      </c>
      <c r="AX257" s="117">
        <v>256.0</v>
      </c>
    </row>
    <row r="258">
      <c r="A258" s="50" t="s">
        <v>6260</v>
      </c>
      <c r="B258" s="50" t="s">
        <v>6261</v>
      </c>
      <c r="C258" s="116"/>
      <c r="D258" s="116"/>
      <c r="E258" s="50">
        <v>3.52155090281144E14</v>
      </c>
      <c r="F258" s="50">
        <v>59.0</v>
      </c>
      <c r="G258" s="50">
        <v>99.0</v>
      </c>
      <c r="H258" s="116"/>
      <c r="I258" s="116"/>
      <c r="J258" s="116"/>
      <c r="K258" s="50">
        <v>2.0</v>
      </c>
      <c r="L258" s="50" t="s">
        <v>262</v>
      </c>
      <c r="M258" s="50" t="s">
        <v>262</v>
      </c>
      <c r="N258" s="116"/>
      <c r="O258" s="116"/>
      <c r="P258" s="50" t="s">
        <v>6263</v>
      </c>
      <c r="Q258" s="50" t="s">
        <v>6264</v>
      </c>
      <c r="R258" s="50">
        <v>22.543179</v>
      </c>
      <c r="S258" s="50">
        <v>88.3754553</v>
      </c>
      <c r="T258" s="50">
        <v>-34.7000007629394</v>
      </c>
      <c r="U258" s="50">
        <v>5.0</v>
      </c>
      <c r="V258" s="50">
        <v>1.0</v>
      </c>
      <c r="W258" s="50">
        <v>0.0</v>
      </c>
      <c r="X258" s="50">
        <v>1.0</v>
      </c>
      <c r="Y258" s="116"/>
      <c r="Z258" s="116"/>
      <c r="AA258" s="116"/>
      <c r="AB258" s="116"/>
      <c r="AC258" s="116"/>
      <c r="AD258" s="116"/>
      <c r="AE258" s="116"/>
      <c r="AF258" s="116"/>
      <c r="AG258" s="116"/>
      <c r="AH258" s="116"/>
      <c r="AI258" s="116"/>
      <c r="AJ258" s="116"/>
      <c r="AK258" s="116"/>
      <c r="AL258" s="116"/>
      <c r="AM258" s="116"/>
      <c r="AN258" s="116"/>
      <c r="AO258" s="116"/>
      <c r="AP258" s="116"/>
      <c r="AQ258" s="50" t="s">
        <v>6265</v>
      </c>
      <c r="AR258" s="50" t="s">
        <v>2899</v>
      </c>
      <c r="AS258" s="116"/>
      <c r="AT258" s="50" t="s">
        <v>5540</v>
      </c>
      <c r="AU258" s="117">
        <v>4732.0</v>
      </c>
      <c r="AV258" s="50" t="s">
        <v>6266</v>
      </c>
      <c r="AW258" s="50" t="s">
        <v>6267</v>
      </c>
      <c r="AX258" s="117">
        <v>257.0</v>
      </c>
    </row>
    <row r="259">
      <c r="A259" s="50" t="s">
        <v>6268</v>
      </c>
      <c r="B259" s="50" t="s">
        <v>6269</v>
      </c>
      <c r="C259" s="116"/>
      <c r="D259" s="116"/>
      <c r="E259" s="50">
        <v>3.52155090281144E14</v>
      </c>
      <c r="F259" s="50">
        <v>59.0</v>
      </c>
      <c r="G259" s="50">
        <v>11.0</v>
      </c>
      <c r="H259" s="50">
        <v>4.0</v>
      </c>
      <c r="I259" s="50">
        <v>1.0</v>
      </c>
      <c r="J259" s="50" t="s">
        <v>6077</v>
      </c>
      <c r="K259" s="116"/>
      <c r="L259" s="50" t="s">
        <v>6270</v>
      </c>
      <c r="M259" s="50" t="s">
        <v>6270</v>
      </c>
      <c r="N259" s="116"/>
      <c r="O259" s="116"/>
      <c r="P259" s="50" t="s">
        <v>6271</v>
      </c>
      <c r="Q259" s="50" t="s">
        <v>6272</v>
      </c>
      <c r="R259" s="50">
        <v>22.5409663</v>
      </c>
      <c r="S259" s="50">
        <v>88.3742275</v>
      </c>
      <c r="T259" s="50">
        <v>-56.0</v>
      </c>
      <c r="U259" s="50">
        <v>5.0</v>
      </c>
      <c r="V259" s="50">
        <v>1.0</v>
      </c>
      <c r="W259" s="50">
        <v>0.0</v>
      </c>
      <c r="X259" s="50">
        <v>1.0</v>
      </c>
      <c r="Y259" s="116"/>
      <c r="Z259" s="116"/>
      <c r="AA259" s="50">
        <v>2.0</v>
      </c>
      <c r="AB259" s="50">
        <v>4.0</v>
      </c>
      <c r="AC259" s="116"/>
      <c r="AD259" s="116"/>
      <c r="AE259" s="116"/>
      <c r="AF259" s="116"/>
      <c r="AG259" s="116"/>
      <c r="AH259" s="116"/>
      <c r="AI259" s="116"/>
      <c r="AJ259" s="116"/>
      <c r="AK259" s="116"/>
      <c r="AL259" s="116"/>
      <c r="AM259" s="116"/>
      <c r="AN259" s="116"/>
      <c r="AO259" s="116"/>
      <c r="AP259" s="116"/>
      <c r="AQ259" s="50" t="s">
        <v>3149</v>
      </c>
      <c r="AR259" s="50" t="s">
        <v>2327</v>
      </c>
      <c r="AS259" s="50">
        <v>0.0</v>
      </c>
      <c r="AT259" s="50" t="s">
        <v>5540</v>
      </c>
      <c r="AU259" s="117">
        <v>4733.0</v>
      </c>
      <c r="AV259" s="50" t="s">
        <v>6274</v>
      </c>
      <c r="AW259" s="50" t="s">
        <v>6275</v>
      </c>
      <c r="AX259" s="117">
        <v>258.0</v>
      </c>
    </row>
    <row r="260">
      <c r="A260" s="50" t="s">
        <v>6276</v>
      </c>
      <c r="B260" s="50" t="s">
        <v>6277</v>
      </c>
      <c r="C260" s="116"/>
      <c r="D260" s="116"/>
      <c r="E260" s="50">
        <v>3.52155090281144E14</v>
      </c>
      <c r="F260" s="50">
        <v>59.0</v>
      </c>
      <c r="G260" s="50">
        <v>99.0</v>
      </c>
      <c r="H260" s="116"/>
      <c r="I260" s="116"/>
      <c r="J260" s="116"/>
      <c r="K260" s="50">
        <v>2.0</v>
      </c>
      <c r="L260" s="50" t="s">
        <v>265</v>
      </c>
      <c r="M260" s="50" t="s">
        <v>265</v>
      </c>
      <c r="N260" s="116"/>
      <c r="O260" s="116"/>
      <c r="P260" s="50" t="s">
        <v>6278</v>
      </c>
      <c r="Q260" s="50" t="s">
        <v>6279</v>
      </c>
      <c r="R260" s="50">
        <v>22.5408995</v>
      </c>
      <c r="S260" s="50">
        <v>88.374247</v>
      </c>
      <c r="T260" s="50">
        <v>-33.599998474121</v>
      </c>
      <c r="U260" s="50">
        <v>5.0</v>
      </c>
      <c r="V260" s="50">
        <v>1.0</v>
      </c>
      <c r="W260" s="50">
        <v>0.0</v>
      </c>
      <c r="X260" s="50">
        <v>1.0</v>
      </c>
      <c r="Y260" s="116"/>
      <c r="Z260" s="116"/>
      <c r="AA260" s="116"/>
      <c r="AB260" s="116"/>
      <c r="AC260" s="116"/>
      <c r="AD260" s="116"/>
      <c r="AE260" s="116"/>
      <c r="AF260" s="116"/>
      <c r="AG260" s="116"/>
      <c r="AH260" s="116"/>
      <c r="AI260" s="116"/>
      <c r="AJ260" s="116"/>
      <c r="AK260" s="116"/>
      <c r="AL260" s="116"/>
      <c r="AM260" s="116"/>
      <c r="AN260" s="116"/>
      <c r="AO260" s="116"/>
      <c r="AP260" s="116"/>
      <c r="AQ260" s="50" t="s">
        <v>3149</v>
      </c>
      <c r="AR260" s="50" t="s">
        <v>2327</v>
      </c>
      <c r="AS260" s="116"/>
      <c r="AT260" s="50" t="s">
        <v>5540</v>
      </c>
      <c r="AU260" s="117">
        <v>4734.0</v>
      </c>
      <c r="AV260" s="50" t="s">
        <v>6280</v>
      </c>
      <c r="AW260" s="50" t="s">
        <v>6281</v>
      </c>
      <c r="AX260" s="117">
        <v>259.0</v>
      </c>
    </row>
    <row r="261">
      <c r="A261" s="50" t="s">
        <v>6282</v>
      </c>
      <c r="B261" s="50" t="s">
        <v>6283</v>
      </c>
      <c r="C261" s="116"/>
      <c r="D261" s="116"/>
      <c r="E261" s="50">
        <v>3.52155090281144E14</v>
      </c>
      <c r="F261" s="50">
        <v>57.0</v>
      </c>
      <c r="G261" s="50">
        <v>12.0</v>
      </c>
      <c r="H261" s="116"/>
      <c r="I261" s="116"/>
      <c r="J261" s="116"/>
      <c r="K261" s="116"/>
      <c r="L261" s="50" t="s">
        <v>1494</v>
      </c>
      <c r="M261" s="50" t="s">
        <v>1494</v>
      </c>
      <c r="N261" s="50">
        <v>2.0</v>
      </c>
      <c r="O261" s="50" t="s">
        <v>6284</v>
      </c>
      <c r="P261" s="116"/>
      <c r="Q261" s="50" t="s">
        <v>6285</v>
      </c>
      <c r="R261" s="50">
        <v>22.5542267</v>
      </c>
      <c r="S261" s="50">
        <v>88.3967597</v>
      </c>
      <c r="T261" s="50">
        <v>-43.5</v>
      </c>
      <c r="U261" s="50">
        <v>5.0</v>
      </c>
      <c r="V261" s="50">
        <v>1.0</v>
      </c>
      <c r="W261" s="50">
        <v>0.0</v>
      </c>
      <c r="X261" s="50">
        <v>1.0</v>
      </c>
      <c r="Y261" s="116"/>
      <c r="Z261" s="116"/>
      <c r="AA261" s="116"/>
      <c r="AB261" s="116"/>
      <c r="AC261" s="116"/>
      <c r="AD261" s="116"/>
      <c r="AE261" s="50">
        <v>1.0</v>
      </c>
      <c r="AF261" s="50">
        <v>2.0</v>
      </c>
      <c r="AG261" s="50">
        <v>3.0</v>
      </c>
      <c r="AH261" s="50">
        <v>4.0</v>
      </c>
      <c r="AI261" s="116"/>
      <c r="AJ261" s="116"/>
      <c r="AK261" s="116"/>
      <c r="AL261" s="116"/>
      <c r="AM261" s="116"/>
      <c r="AN261" s="116"/>
      <c r="AO261" s="116"/>
      <c r="AP261" s="116"/>
      <c r="AQ261" s="50" t="s">
        <v>3185</v>
      </c>
      <c r="AR261" s="50" t="s">
        <v>2472</v>
      </c>
      <c r="AS261" s="50">
        <v>0.0</v>
      </c>
      <c r="AT261" s="50" t="s">
        <v>5540</v>
      </c>
      <c r="AU261" s="117">
        <v>4735.0</v>
      </c>
      <c r="AV261" s="50" t="s">
        <v>6286</v>
      </c>
      <c r="AW261" s="50" t="s">
        <v>6287</v>
      </c>
      <c r="AX261" s="117">
        <v>260.0</v>
      </c>
    </row>
    <row r="262">
      <c r="A262" s="50" t="s">
        <v>6288</v>
      </c>
      <c r="B262" s="50" t="s">
        <v>6289</v>
      </c>
      <c r="C262" s="116"/>
      <c r="D262" s="116"/>
      <c r="E262" s="50">
        <v>3.52155090281144E14</v>
      </c>
      <c r="F262" s="50">
        <v>57.0</v>
      </c>
      <c r="G262" s="50">
        <v>99.0</v>
      </c>
      <c r="H262" s="116"/>
      <c r="I262" s="116"/>
      <c r="J262" s="116"/>
      <c r="K262" s="50">
        <v>1.0</v>
      </c>
      <c r="L262" s="50" t="s">
        <v>1495</v>
      </c>
      <c r="M262" s="50" t="s">
        <v>1495</v>
      </c>
      <c r="N262" s="116"/>
      <c r="O262" s="116"/>
      <c r="P262" s="50" t="s">
        <v>6290</v>
      </c>
      <c r="Q262" s="50" t="s">
        <v>6291</v>
      </c>
      <c r="R262" s="50">
        <v>22.5542018</v>
      </c>
      <c r="S262" s="50">
        <v>88.396725</v>
      </c>
      <c r="T262" s="50">
        <v>-38.099998474121</v>
      </c>
      <c r="U262" s="50">
        <v>5.0</v>
      </c>
      <c r="V262" s="50">
        <v>1.0</v>
      </c>
      <c r="W262" s="50">
        <v>0.0</v>
      </c>
      <c r="X262" s="50">
        <v>1.0</v>
      </c>
      <c r="Y262" s="116"/>
      <c r="Z262" s="116"/>
      <c r="AA262" s="116"/>
      <c r="AB262" s="116"/>
      <c r="AC262" s="116"/>
      <c r="AD262" s="116"/>
      <c r="AE262" s="116"/>
      <c r="AF262" s="116"/>
      <c r="AG262" s="116"/>
      <c r="AH262" s="116"/>
      <c r="AI262" s="116"/>
      <c r="AJ262" s="116"/>
      <c r="AK262" s="116"/>
      <c r="AL262" s="116"/>
      <c r="AM262" s="116"/>
      <c r="AN262" s="116"/>
      <c r="AO262" s="116"/>
      <c r="AP262" s="116"/>
      <c r="AQ262" s="50" t="s">
        <v>6292</v>
      </c>
      <c r="AR262" s="50" t="s">
        <v>2472</v>
      </c>
      <c r="AS262" s="116"/>
      <c r="AT262" s="50" t="s">
        <v>5540</v>
      </c>
      <c r="AU262" s="117">
        <v>4736.0</v>
      </c>
      <c r="AV262" s="50" t="s">
        <v>6293</v>
      </c>
      <c r="AW262" s="50" t="s">
        <v>6294</v>
      </c>
      <c r="AX262" s="117">
        <v>261.0</v>
      </c>
    </row>
    <row r="263">
      <c r="A263" s="50" t="s">
        <v>6295</v>
      </c>
      <c r="B263" s="50" t="s">
        <v>6296</v>
      </c>
      <c r="C263" s="116"/>
      <c r="D263" s="116"/>
      <c r="E263" s="50">
        <v>3.52155090281144E14</v>
      </c>
      <c r="F263" s="50">
        <v>55.0</v>
      </c>
      <c r="G263" s="50">
        <v>12.0</v>
      </c>
      <c r="H263" s="116"/>
      <c r="I263" s="116"/>
      <c r="J263" s="116"/>
      <c r="K263" s="116"/>
      <c r="L263" s="50" t="s">
        <v>1497</v>
      </c>
      <c r="M263" s="50" t="s">
        <v>1497</v>
      </c>
      <c r="N263" s="50">
        <v>4.0</v>
      </c>
      <c r="O263" s="50" t="s">
        <v>6297</v>
      </c>
      <c r="P263" s="116"/>
      <c r="Q263" s="50" t="s">
        <v>6298</v>
      </c>
      <c r="R263" s="50">
        <v>22.5636232</v>
      </c>
      <c r="S263" s="50">
        <v>88.377188</v>
      </c>
      <c r="T263" s="50">
        <v>-43.099998474121</v>
      </c>
      <c r="U263" s="50">
        <v>4.5</v>
      </c>
      <c r="V263" s="50">
        <v>1.0</v>
      </c>
      <c r="W263" s="50">
        <v>0.0</v>
      </c>
      <c r="X263" s="50">
        <v>1.0</v>
      </c>
      <c r="Y263" s="116"/>
      <c r="Z263" s="116"/>
      <c r="AA263" s="116"/>
      <c r="AB263" s="116"/>
      <c r="AC263" s="116"/>
      <c r="AD263" s="116"/>
      <c r="AE263" s="50">
        <v>2.0</v>
      </c>
      <c r="AF263" s="50">
        <v>1.0</v>
      </c>
      <c r="AG263" s="50">
        <v>4.0</v>
      </c>
      <c r="AH263" s="50">
        <v>4.0</v>
      </c>
      <c r="AI263" s="116"/>
      <c r="AJ263" s="116"/>
      <c r="AK263" s="116"/>
      <c r="AL263" s="116"/>
      <c r="AM263" s="116"/>
      <c r="AN263" s="116"/>
      <c r="AO263" s="116"/>
      <c r="AP263" s="116"/>
      <c r="AQ263" s="50" t="s">
        <v>2979</v>
      </c>
      <c r="AR263" s="50" t="s">
        <v>2278</v>
      </c>
      <c r="AS263" s="50">
        <v>0.0</v>
      </c>
      <c r="AT263" s="50" t="s">
        <v>5540</v>
      </c>
      <c r="AU263" s="117">
        <v>4737.0</v>
      </c>
      <c r="AV263" s="50" t="s">
        <v>6299</v>
      </c>
      <c r="AW263" s="50" t="s">
        <v>6300</v>
      </c>
      <c r="AX263" s="117">
        <v>262.0</v>
      </c>
    </row>
    <row r="264">
      <c r="A264" s="50" t="s">
        <v>6301</v>
      </c>
      <c r="B264" s="50" t="s">
        <v>6302</v>
      </c>
      <c r="C264" s="116"/>
      <c r="D264" s="116"/>
      <c r="E264" s="50">
        <v>3.52155090281144E14</v>
      </c>
      <c r="F264" s="50">
        <v>55.0</v>
      </c>
      <c r="G264" s="50">
        <v>99.0</v>
      </c>
      <c r="H264" s="116"/>
      <c r="I264" s="116"/>
      <c r="J264" s="116"/>
      <c r="K264" s="50">
        <v>1.0</v>
      </c>
      <c r="L264" s="50" t="s">
        <v>1498</v>
      </c>
      <c r="M264" s="50" t="s">
        <v>1498</v>
      </c>
      <c r="N264" s="116"/>
      <c r="O264" s="116"/>
      <c r="P264" s="50" t="s">
        <v>6303</v>
      </c>
      <c r="Q264" s="50" t="s">
        <v>6304</v>
      </c>
      <c r="R264" s="50">
        <v>22.5636506</v>
      </c>
      <c r="S264" s="50">
        <v>88.377279</v>
      </c>
      <c r="T264" s="50">
        <v>-59.7999992370605</v>
      </c>
      <c r="U264" s="50">
        <v>5.0</v>
      </c>
      <c r="V264" s="50">
        <v>1.0</v>
      </c>
      <c r="W264" s="50">
        <v>0.0</v>
      </c>
      <c r="X264" s="50">
        <v>1.0</v>
      </c>
      <c r="Y264" s="116"/>
      <c r="Z264" s="116"/>
      <c r="AA264" s="116"/>
      <c r="AB264" s="116"/>
      <c r="AC264" s="116"/>
      <c r="AD264" s="116"/>
      <c r="AE264" s="116"/>
      <c r="AF264" s="116"/>
      <c r="AG264" s="116"/>
      <c r="AH264" s="116"/>
      <c r="AI264" s="116"/>
      <c r="AJ264" s="116"/>
      <c r="AK264" s="116"/>
      <c r="AL264" s="116"/>
      <c r="AM264" s="116"/>
      <c r="AN264" s="116"/>
      <c r="AO264" s="116"/>
      <c r="AP264" s="116"/>
      <c r="AQ264" s="50" t="s">
        <v>6305</v>
      </c>
      <c r="AR264" s="50" t="s">
        <v>2278</v>
      </c>
      <c r="AS264" s="116"/>
      <c r="AT264" s="50" t="s">
        <v>5540</v>
      </c>
      <c r="AU264" s="117">
        <v>4738.0</v>
      </c>
      <c r="AV264" s="50" t="s">
        <v>6306</v>
      </c>
      <c r="AW264" s="50" t="s">
        <v>6307</v>
      </c>
      <c r="AX264" s="117">
        <v>263.0</v>
      </c>
    </row>
    <row r="265">
      <c r="A265" s="50" t="s">
        <v>6308</v>
      </c>
      <c r="B265" s="50" t="s">
        <v>6309</v>
      </c>
      <c r="C265" s="116"/>
      <c r="D265" s="116"/>
      <c r="E265" s="50">
        <v>3.52155090281144E14</v>
      </c>
      <c r="F265" s="50">
        <v>59.0</v>
      </c>
      <c r="G265" s="50">
        <v>11.0</v>
      </c>
      <c r="H265" s="50">
        <v>4.0</v>
      </c>
      <c r="I265" s="50">
        <v>1.0</v>
      </c>
      <c r="J265" s="50" t="s">
        <v>6077</v>
      </c>
      <c r="K265" s="116"/>
      <c r="L265" s="50" t="s">
        <v>1508</v>
      </c>
      <c r="M265" s="50" t="s">
        <v>1508</v>
      </c>
      <c r="N265" s="116"/>
      <c r="O265" s="116"/>
      <c r="P265" s="50" t="s">
        <v>6310</v>
      </c>
      <c r="Q265" s="50" t="s">
        <v>6311</v>
      </c>
      <c r="R265" s="50">
        <v>22.5410518</v>
      </c>
      <c r="S265" s="50">
        <v>88.3741855</v>
      </c>
      <c r="T265" s="50">
        <v>-45.599998474121</v>
      </c>
      <c r="U265" s="50">
        <v>5.0</v>
      </c>
      <c r="V265" s="50">
        <v>1.0</v>
      </c>
      <c r="W265" s="50">
        <v>0.0</v>
      </c>
      <c r="X265" s="50">
        <v>1.0</v>
      </c>
      <c r="Y265" s="116"/>
      <c r="Z265" s="116"/>
      <c r="AA265" s="50">
        <v>1.0</v>
      </c>
      <c r="AB265" s="50">
        <v>4.0</v>
      </c>
      <c r="AC265" s="116"/>
      <c r="AD265" s="116"/>
      <c r="AE265" s="116"/>
      <c r="AF265" s="116"/>
      <c r="AG265" s="116"/>
      <c r="AH265" s="116"/>
      <c r="AI265" s="116"/>
      <c r="AJ265" s="116"/>
      <c r="AK265" s="116"/>
      <c r="AL265" s="116"/>
      <c r="AM265" s="116"/>
      <c r="AN265" s="116"/>
      <c r="AO265" s="116"/>
      <c r="AP265" s="116"/>
      <c r="AQ265" s="50" t="s">
        <v>3185</v>
      </c>
      <c r="AR265" s="50" t="s">
        <v>2327</v>
      </c>
      <c r="AS265" s="50">
        <v>1.0</v>
      </c>
      <c r="AT265" s="50" t="s">
        <v>5540</v>
      </c>
      <c r="AU265" s="117">
        <v>4787.0</v>
      </c>
      <c r="AV265" s="50" t="s">
        <v>6312</v>
      </c>
      <c r="AW265" s="50" t="s">
        <v>6313</v>
      </c>
      <c r="AX265" s="117">
        <v>264.0</v>
      </c>
    </row>
    <row r="266">
      <c r="A266" s="50" t="s">
        <v>6314</v>
      </c>
      <c r="B266" s="50" t="s">
        <v>6315</v>
      </c>
      <c r="C266" s="116"/>
      <c r="D266" s="116"/>
      <c r="E266" s="50">
        <v>3.52155090281144E14</v>
      </c>
      <c r="F266" s="50">
        <v>59.0</v>
      </c>
      <c r="G266" s="50">
        <v>99.0</v>
      </c>
      <c r="H266" s="116"/>
      <c r="I266" s="116"/>
      <c r="J266" s="116"/>
      <c r="K266" s="50">
        <v>2.0</v>
      </c>
      <c r="L266" s="50" t="s">
        <v>1509</v>
      </c>
      <c r="M266" s="50" t="s">
        <v>1509</v>
      </c>
      <c r="N266" s="116"/>
      <c r="O266" s="116"/>
      <c r="P266" s="50" t="s">
        <v>6316</v>
      </c>
      <c r="Q266" s="50" t="s">
        <v>6317</v>
      </c>
      <c r="R266" s="50">
        <v>22.5409574</v>
      </c>
      <c r="S266" s="50">
        <v>88.3741391</v>
      </c>
      <c r="T266" s="50">
        <v>-50.599998474121</v>
      </c>
      <c r="U266" s="50">
        <v>5.0</v>
      </c>
      <c r="V266" s="50">
        <v>1.0</v>
      </c>
      <c r="W266" s="50">
        <v>0.0</v>
      </c>
      <c r="X266" s="50">
        <v>1.0</v>
      </c>
      <c r="Y266" s="116"/>
      <c r="Z266" s="116"/>
      <c r="AA266" s="116"/>
      <c r="AB266" s="116"/>
      <c r="AC266" s="116"/>
      <c r="AD266" s="116"/>
      <c r="AE266" s="116"/>
      <c r="AF266" s="116"/>
      <c r="AG266" s="116"/>
      <c r="AH266" s="116"/>
      <c r="AI266" s="116"/>
      <c r="AJ266" s="116"/>
      <c r="AK266" s="116"/>
      <c r="AL266" s="116"/>
      <c r="AM266" s="116"/>
      <c r="AN266" s="116"/>
      <c r="AO266" s="116"/>
      <c r="AP266" s="116"/>
      <c r="AQ266" s="50" t="s">
        <v>6318</v>
      </c>
      <c r="AR266" s="50" t="s">
        <v>2327</v>
      </c>
      <c r="AS266" s="116"/>
      <c r="AT266" s="50" t="s">
        <v>5540</v>
      </c>
      <c r="AU266" s="117">
        <v>4788.0</v>
      </c>
      <c r="AV266" s="50" t="s">
        <v>6319</v>
      </c>
      <c r="AW266" s="50" t="s">
        <v>6320</v>
      </c>
      <c r="AX266" s="117">
        <v>265.0</v>
      </c>
    </row>
    <row r="267">
      <c r="A267" s="50" t="s">
        <v>6321</v>
      </c>
      <c r="B267" s="50" t="s">
        <v>6322</v>
      </c>
      <c r="C267" s="116"/>
      <c r="D267" s="116"/>
      <c r="E267" s="50">
        <v>3.52155090281144E14</v>
      </c>
      <c r="F267" s="50">
        <v>59.0</v>
      </c>
      <c r="G267" s="50">
        <v>11.0</v>
      </c>
      <c r="H267" s="50">
        <v>4.0</v>
      </c>
      <c r="I267" s="50">
        <v>1.0</v>
      </c>
      <c r="J267" s="50" t="s">
        <v>6064</v>
      </c>
      <c r="K267" s="116"/>
      <c r="L267" s="50" t="s">
        <v>1511</v>
      </c>
      <c r="M267" s="50" t="s">
        <v>1511</v>
      </c>
      <c r="N267" s="116"/>
      <c r="O267" s="116"/>
      <c r="P267" s="50" t="s">
        <v>6323</v>
      </c>
      <c r="Q267" s="50" t="s">
        <v>6324</v>
      </c>
      <c r="R267" s="50">
        <v>22.5430807</v>
      </c>
      <c r="S267" s="50">
        <v>88.3755293</v>
      </c>
      <c r="T267" s="50">
        <v>-53.5</v>
      </c>
      <c r="U267" s="50">
        <v>5.0</v>
      </c>
      <c r="V267" s="50">
        <v>1.0</v>
      </c>
      <c r="W267" s="50">
        <v>0.0</v>
      </c>
      <c r="X267" s="50">
        <v>1.0</v>
      </c>
      <c r="Y267" s="116"/>
      <c r="Z267" s="116"/>
      <c r="AA267" s="50">
        <v>2.0</v>
      </c>
      <c r="AB267" s="50">
        <v>4.0</v>
      </c>
      <c r="AC267" s="116"/>
      <c r="AD267" s="116"/>
      <c r="AE267" s="116"/>
      <c r="AF267" s="116"/>
      <c r="AG267" s="116"/>
      <c r="AH267" s="116"/>
      <c r="AI267" s="116"/>
      <c r="AJ267" s="116"/>
      <c r="AK267" s="116"/>
      <c r="AL267" s="116"/>
      <c r="AM267" s="116"/>
      <c r="AN267" s="116"/>
      <c r="AO267" s="116"/>
      <c r="AP267" s="116"/>
      <c r="AQ267" s="50" t="s">
        <v>2949</v>
      </c>
      <c r="AR267" s="50" t="s">
        <v>2278</v>
      </c>
      <c r="AS267" s="50">
        <v>1.0</v>
      </c>
      <c r="AT267" s="50" t="s">
        <v>5540</v>
      </c>
      <c r="AU267" s="117">
        <v>4789.0</v>
      </c>
      <c r="AV267" s="50" t="s">
        <v>6325</v>
      </c>
      <c r="AW267" s="50" t="s">
        <v>6326</v>
      </c>
      <c r="AX267" s="117">
        <v>266.0</v>
      </c>
    </row>
    <row r="268">
      <c r="A268" s="50" t="s">
        <v>6327</v>
      </c>
      <c r="B268" s="50" t="s">
        <v>6328</v>
      </c>
      <c r="C268" s="116"/>
      <c r="D268" s="116"/>
      <c r="E268" s="50">
        <v>3.52155090281144E14</v>
      </c>
      <c r="F268" s="50">
        <v>59.0</v>
      </c>
      <c r="G268" s="50">
        <v>99.0</v>
      </c>
      <c r="H268" s="116"/>
      <c r="I268" s="116"/>
      <c r="J268" s="116"/>
      <c r="K268" s="50">
        <v>2.0</v>
      </c>
      <c r="L268" s="50" t="s">
        <v>1512</v>
      </c>
      <c r="M268" s="50" t="s">
        <v>1512</v>
      </c>
      <c r="N268" s="116"/>
      <c r="O268" s="116"/>
      <c r="P268" s="50" t="s">
        <v>6329</v>
      </c>
      <c r="Q268" s="50" t="s">
        <v>6330</v>
      </c>
      <c r="R268" s="50">
        <v>22.5431195</v>
      </c>
      <c r="S268" s="50">
        <v>88.3755188</v>
      </c>
      <c r="T268" s="50">
        <v>-32.5</v>
      </c>
      <c r="U268" s="50">
        <v>5.0</v>
      </c>
      <c r="V268" s="50">
        <v>1.0</v>
      </c>
      <c r="W268" s="50">
        <v>0.0</v>
      </c>
      <c r="X268" s="50">
        <v>1.0</v>
      </c>
      <c r="Y268" s="116"/>
      <c r="Z268" s="116"/>
      <c r="AA268" s="116"/>
      <c r="AB268" s="116"/>
      <c r="AC268" s="116"/>
      <c r="AD268" s="116"/>
      <c r="AE268" s="116"/>
      <c r="AF268" s="116"/>
      <c r="AG268" s="116"/>
      <c r="AH268" s="116"/>
      <c r="AI268" s="116"/>
      <c r="AJ268" s="116"/>
      <c r="AK268" s="116"/>
      <c r="AL268" s="116"/>
      <c r="AM268" s="116"/>
      <c r="AN268" s="116"/>
      <c r="AO268" s="116"/>
      <c r="AP268" s="116"/>
      <c r="AQ268" s="50" t="s">
        <v>6331</v>
      </c>
      <c r="AR268" s="50" t="s">
        <v>2278</v>
      </c>
      <c r="AS268" s="116"/>
      <c r="AT268" s="50" t="s">
        <v>5540</v>
      </c>
      <c r="AU268" s="117">
        <v>4790.0</v>
      </c>
      <c r="AV268" s="50" t="s">
        <v>6332</v>
      </c>
      <c r="AW268" s="50" t="s">
        <v>6333</v>
      </c>
      <c r="AX268" s="117">
        <v>267.0</v>
      </c>
    </row>
    <row r="269">
      <c r="A269" s="50" t="s">
        <v>6334</v>
      </c>
      <c r="B269" s="50" t="s">
        <v>6335</v>
      </c>
      <c r="C269" s="116"/>
      <c r="D269" s="116"/>
      <c r="E269" s="50">
        <v>3.52155090281144E14</v>
      </c>
      <c r="F269" s="50">
        <v>59.0</v>
      </c>
      <c r="G269" s="50">
        <v>11.0</v>
      </c>
      <c r="H269" s="50">
        <v>4.0</v>
      </c>
      <c r="I269" s="50">
        <v>1.0</v>
      </c>
      <c r="J269" s="50" t="s">
        <v>6051</v>
      </c>
      <c r="K269" s="116"/>
      <c r="L269" s="50" t="s">
        <v>1514</v>
      </c>
      <c r="M269" s="50" t="s">
        <v>1514</v>
      </c>
      <c r="N269" s="116"/>
      <c r="O269" s="116"/>
      <c r="P269" s="50" t="s">
        <v>6336</v>
      </c>
      <c r="Q269" s="50" t="s">
        <v>6337</v>
      </c>
      <c r="R269" s="50">
        <v>22.5440545</v>
      </c>
      <c r="S269" s="50">
        <v>88.3819205</v>
      </c>
      <c r="T269" s="50">
        <v>-52.2000007629394</v>
      </c>
      <c r="U269" s="50">
        <v>4.5</v>
      </c>
      <c r="V269" s="50">
        <v>1.0</v>
      </c>
      <c r="W269" s="50">
        <v>0.0</v>
      </c>
      <c r="X269" s="50">
        <v>1.0</v>
      </c>
      <c r="Y269" s="116"/>
      <c r="Z269" s="116"/>
      <c r="AA269" s="50">
        <v>2.0</v>
      </c>
      <c r="AB269" s="50">
        <v>4.0</v>
      </c>
      <c r="AC269" s="116"/>
      <c r="AD269" s="116"/>
      <c r="AE269" s="116"/>
      <c r="AF269" s="116"/>
      <c r="AG269" s="116"/>
      <c r="AH269" s="116"/>
      <c r="AI269" s="116"/>
      <c r="AJ269" s="116"/>
      <c r="AK269" s="116"/>
      <c r="AL269" s="116"/>
      <c r="AM269" s="116"/>
      <c r="AN269" s="116"/>
      <c r="AO269" s="116"/>
      <c r="AP269" s="116"/>
      <c r="AQ269" s="50" t="s">
        <v>3149</v>
      </c>
      <c r="AR269" s="50" t="s">
        <v>2472</v>
      </c>
      <c r="AS269" s="50">
        <v>1.0</v>
      </c>
      <c r="AT269" s="50" t="s">
        <v>5540</v>
      </c>
      <c r="AU269" s="117">
        <v>4791.0</v>
      </c>
      <c r="AV269" s="50" t="s">
        <v>6338</v>
      </c>
      <c r="AW269" s="50" t="s">
        <v>6339</v>
      </c>
      <c r="AX269" s="117">
        <v>268.0</v>
      </c>
    </row>
    <row r="270">
      <c r="A270" s="50" t="s">
        <v>6340</v>
      </c>
      <c r="B270" s="50" t="s">
        <v>6341</v>
      </c>
      <c r="C270" s="116"/>
      <c r="D270" s="116"/>
      <c r="E270" s="50">
        <v>3.52155090281144E14</v>
      </c>
      <c r="F270" s="50">
        <v>59.0</v>
      </c>
      <c r="G270" s="50">
        <v>99.0</v>
      </c>
      <c r="H270" s="116"/>
      <c r="I270" s="116"/>
      <c r="J270" s="116"/>
      <c r="K270" s="50">
        <v>2.0</v>
      </c>
      <c r="L270" s="50" t="s">
        <v>1515</v>
      </c>
      <c r="M270" s="50" t="s">
        <v>1515</v>
      </c>
      <c r="N270" s="116"/>
      <c r="O270" s="116"/>
      <c r="P270" s="50" t="s">
        <v>6342</v>
      </c>
      <c r="Q270" s="50" t="s">
        <v>6343</v>
      </c>
      <c r="R270" s="50">
        <v>22.5440302</v>
      </c>
      <c r="S270" s="50">
        <v>88.3819915</v>
      </c>
      <c r="T270" s="50">
        <v>-133.100006103515</v>
      </c>
      <c r="U270" s="50">
        <v>4.5</v>
      </c>
      <c r="V270" s="50">
        <v>1.0</v>
      </c>
      <c r="W270" s="50">
        <v>0.0</v>
      </c>
      <c r="X270" s="50">
        <v>1.0</v>
      </c>
      <c r="Y270" s="116"/>
      <c r="Z270" s="116"/>
      <c r="AA270" s="116"/>
      <c r="AB270" s="116"/>
      <c r="AC270" s="116"/>
      <c r="AD270" s="116"/>
      <c r="AE270" s="116"/>
      <c r="AF270" s="116"/>
      <c r="AG270" s="116"/>
      <c r="AH270" s="116"/>
      <c r="AI270" s="116"/>
      <c r="AJ270" s="116"/>
      <c r="AK270" s="116"/>
      <c r="AL270" s="116"/>
      <c r="AM270" s="116"/>
      <c r="AN270" s="116"/>
      <c r="AO270" s="116"/>
      <c r="AP270" s="116"/>
      <c r="AQ270" s="50" t="s">
        <v>6344</v>
      </c>
      <c r="AR270" s="50" t="s">
        <v>2472</v>
      </c>
      <c r="AS270" s="116"/>
      <c r="AT270" s="50" t="s">
        <v>5540</v>
      </c>
      <c r="AU270" s="117">
        <v>4792.0</v>
      </c>
      <c r="AV270" s="50" t="s">
        <v>6345</v>
      </c>
      <c r="AW270" s="50" t="s">
        <v>6346</v>
      </c>
      <c r="AX270" s="117">
        <v>269.0</v>
      </c>
    </row>
    <row r="271">
      <c r="A271" s="50" t="s">
        <v>6347</v>
      </c>
      <c r="B271" s="50" t="s">
        <v>6348</v>
      </c>
      <c r="C271" s="116"/>
      <c r="D271" s="116"/>
      <c r="E271" s="50">
        <v>3.52155090281144E14</v>
      </c>
      <c r="F271" s="50">
        <v>59.0</v>
      </c>
      <c r="G271" s="50">
        <v>11.0</v>
      </c>
      <c r="H271" s="50">
        <v>4.0</v>
      </c>
      <c r="I271" s="50">
        <v>1.0</v>
      </c>
      <c r="J271" s="50" t="s">
        <v>6037</v>
      </c>
      <c r="K271" s="116"/>
      <c r="L271" s="50" t="s">
        <v>1517</v>
      </c>
      <c r="M271" s="50" t="s">
        <v>1517</v>
      </c>
      <c r="N271" s="116"/>
      <c r="O271" s="116"/>
      <c r="P271" s="50" t="s">
        <v>6349</v>
      </c>
      <c r="Q271" s="50" t="s">
        <v>6350</v>
      </c>
      <c r="R271" s="50">
        <v>22.5453157</v>
      </c>
      <c r="S271" s="50">
        <v>88.3820958</v>
      </c>
      <c r="T271" s="50">
        <v>-55.9000015258789</v>
      </c>
      <c r="U271" s="50">
        <v>5.0</v>
      </c>
      <c r="V271" s="50">
        <v>1.0</v>
      </c>
      <c r="W271" s="50">
        <v>0.0</v>
      </c>
      <c r="X271" s="50">
        <v>1.0</v>
      </c>
      <c r="Y271" s="116"/>
      <c r="Z271" s="116"/>
      <c r="AA271" s="50">
        <v>1.0</v>
      </c>
      <c r="AB271" s="50">
        <v>4.0</v>
      </c>
      <c r="AC271" s="116"/>
      <c r="AD271" s="116"/>
      <c r="AE271" s="116"/>
      <c r="AF271" s="116"/>
      <c r="AG271" s="116"/>
      <c r="AH271" s="116"/>
      <c r="AI271" s="116"/>
      <c r="AJ271" s="116"/>
      <c r="AK271" s="116"/>
      <c r="AL271" s="116"/>
      <c r="AM271" s="116"/>
      <c r="AN271" s="116"/>
      <c r="AO271" s="116"/>
      <c r="AP271" s="116"/>
      <c r="AQ271" s="50" t="s">
        <v>3149</v>
      </c>
      <c r="AR271" s="50" t="s">
        <v>2278</v>
      </c>
      <c r="AS271" s="50">
        <v>1.0</v>
      </c>
      <c r="AT271" s="50" t="s">
        <v>5540</v>
      </c>
      <c r="AU271" s="117">
        <v>4793.0</v>
      </c>
      <c r="AV271" s="50" t="s">
        <v>6351</v>
      </c>
      <c r="AW271" s="50" t="s">
        <v>6352</v>
      </c>
      <c r="AX271" s="117">
        <v>270.0</v>
      </c>
    </row>
    <row r="272">
      <c r="A272" s="50" t="s">
        <v>6353</v>
      </c>
      <c r="B272" s="50" t="s">
        <v>6354</v>
      </c>
      <c r="C272" s="116"/>
      <c r="D272" s="116"/>
      <c r="E272" s="50">
        <v>3.52155090281144E14</v>
      </c>
      <c r="F272" s="50">
        <v>59.0</v>
      </c>
      <c r="G272" s="50">
        <v>99.0</v>
      </c>
      <c r="H272" s="116"/>
      <c r="I272" s="116"/>
      <c r="J272" s="116"/>
      <c r="K272" s="50">
        <v>2.0</v>
      </c>
      <c r="L272" s="50" t="s">
        <v>1518</v>
      </c>
      <c r="M272" s="50" t="s">
        <v>1518</v>
      </c>
      <c r="N272" s="116"/>
      <c r="O272" s="116"/>
      <c r="P272" s="50" t="s">
        <v>6355</v>
      </c>
      <c r="Q272" s="50" t="s">
        <v>6356</v>
      </c>
      <c r="R272" s="50">
        <v>22.5453038</v>
      </c>
      <c r="S272" s="50">
        <v>88.3820958</v>
      </c>
      <c r="T272" s="50">
        <v>-57.599998474121</v>
      </c>
      <c r="U272" s="50">
        <v>5.0</v>
      </c>
      <c r="V272" s="50">
        <v>1.0</v>
      </c>
      <c r="W272" s="50">
        <v>0.0</v>
      </c>
      <c r="X272" s="50">
        <v>1.0</v>
      </c>
      <c r="Y272" s="116"/>
      <c r="Z272" s="116"/>
      <c r="AA272" s="116"/>
      <c r="AB272" s="116"/>
      <c r="AC272" s="116"/>
      <c r="AD272" s="116"/>
      <c r="AE272" s="116"/>
      <c r="AF272" s="116"/>
      <c r="AG272" s="116"/>
      <c r="AH272" s="116"/>
      <c r="AI272" s="116"/>
      <c r="AJ272" s="116"/>
      <c r="AK272" s="116"/>
      <c r="AL272" s="116"/>
      <c r="AM272" s="116"/>
      <c r="AN272" s="116"/>
      <c r="AO272" s="116"/>
      <c r="AP272" s="116"/>
      <c r="AQ272" s="50" t="s">
        <v>6357</v>
      </c>
      <c r="AR272" s="50" t="s">
        <v>2278</v>
      </c>
      <c r="AS272" s="116"/>
      <c r="AT272" s="50" t="s">
        <v>5540</v>
      </c>
      <c r="AU272" s="117">
        <v>4794.0</v>
      </c>
      <c r="AV272" s="50" t="s">
        <v>6358</v>
      </c>
      <c r="AW272" s="50" t="s">
        <v>6359</v>
      </c>
      <c r="AX272" s="117">
        <v>271.0</v>
      </c>
    </row>
    <row r="273">
      <c r="A273" s="50" t="s">
        <v>6360</v>
      </c>
      <c r="B273" s="50" t="s">
        <v>6361</v>
      </c>
      <c r="C273" s="116"/>
      <c r="D273" s="116"/>
      <c r="E273" s="50">
        <v>3.52155090281144E14</v>
      </c>
      <c r="F273" s="50">
        <v>59.0</v>
      </c>
      <c r="G273" s="50">
        <v>11.0</v>
      </c>
      <c r="H273" s="50">
        <v>4.0</v>
      </c>
      <c r="I273" s="50">
        <v>1.0</v>
      </c>
      <c r="J273" s="50" t="s">
        <v>6022</v>
      </c>
      <c r="K273" s="116"/>
      <c r="L273" s="50" t="s">
        <v>1520</v>
      </c>
      <c r="M273" s="50" t="s">
        <v>1520</v>
      </c>
      <c r="N273" s="116"/>
      <c r="O273" s="116"/>
      <c r="P273" s="50" t="s">
        <v>6362</v>
      </c>
      <c r="Q273" s="50" t="s">
        <v>6363</v>
      </c>
      <c r="R273" s="50">
        <v>22.5453167</v>
      </c>
      <c r="S273" s="50">
        <v>88.3821566</v>
      </c>
      <c r="T273" s="50">
        <v>-44.099998474121</v>
      </c>
      <c r="U273" s="50">
        <v>5.0</v>
      </c>
      <c r="V273" s="50">
        <v>1.0</v>
      </c>
      <c r="W273" s="50">
        <v>0.0</v>
      </c>
      <c r="X273" s="50">
        <v>1.0</v>
      </c>
      <c r="Y273" s="116"/>
      <c r="Z273" s="116"/>
      <c r="AA273" s="50">
        <v>2.0</v>
      </c>
      <c r="AB273" s="50">
        <v>4.0</v>
      </c>
      <c r="AC273" s="116"/>
      <c r="AD273" s="116"/>
      <c r="AE273" s="116"/>
      <c r="AF273" s="116"/>
      <c r="AG273" s="116"/>
      <c r="AH273" s="116"/>
      <c r="AI273" s="116"/>
      <c r="AJ273" s="116"/>
      <c r="AK273" s="116"/>
      <c r="AL273" s="116"/>
      <c r="AM273" s="116"/>
      <c r="AN273" s="116"/>
      <c r="AO273" s="116"/>
      <c r="AP273" s="116"/>
      <c r="AQ273" s="50" t="s">
        <v>3185</v>
      </c>
      <c r="AR273" s="50" t="s">
        <v>2286</v>
      </c>
      <c r="AS273" s="50">
        <v>1.0</v>
      </c>
      <c r="AT273" s="50" t="s">
        <v>5540</v>
      </c>
      <c r="AU273" s="117">
        <v>4795.0</v>
      </c>
      <c r="AV273" s="50" t="s">
        <v>6365</v>
      </c>
      <c r="AW273" s="50" t="s">
        <v>6366</v>
      </c>
      <c r="AX273" s="117">
        <v>272.0</v>
      </c>
    </row>
    <row r="274">
      <c r="A274" s="50" t="s">
        <v>6367</v>
      </c>
      <c r="B274" s="50" t="s">
        <v>6368</v>
      </c>
      <c r="C274" s="116"/>
      <c r="D274" s="116"/>
      <c r="E274" s="50">
        <v>3.52155090281144E14</v>
      </c>
      <c r="F274" s="50">
        <v>59.0</v>
      </c>
      <c r="G274" s="50">
        <v>99.0</v>
      </c>
      <c r="H274" s="116"/>
      <c r="I274" s="116"/>
      <c r="J274" s="116"/>
      <c r="K274" s="50">
        <v>2.0</v>
      </c>
      <c r="L274" s="50" t="s">
        <v>1521</v>
      </c>
      <c r="M274" s="50" t="s">
        <v>1521</v>
      </c>
      <c r="N274" s="116"/>
      <c r="O274" s="116"/>
      <c r="P274" s="50" t="s">
        <v>6369</v>
      </c>
      <c r="Q274" s="50" t="s">
        <v>6370</v>
      </c>
      <c r="R274" s="50">
        <v>22.545233</v>
      </c>
      <c r="S274" s="50">
        <v>88.3822</v>
      </c>
      <c r="T274" s="50">
        <v>-36.4000015258789</v>
      </c>
      <c r="U274" s="50">
        <v>5.0</v>
      </c>
      <c r="V274" s="50">
        <v>1.0</v>
      </c>
      <c r="W274" s="50">
        <v>0.0</v>
      </c>
      <c r="X274" s="50">
        <v>1.0</v>
      </c>
      <c r="Y274" s="116"/>
      <c r="Z274" s="116"/>
      <c r="AA274" s="116"/>
      <c r="AB274" s="116"/>
      <c r="AC274" s="116"/>
      <c r="AD274" s="116"/>
      <c r="AE274" s="116"/>
      <c r="AF274" s="116"/>
      <c r="AG274" s="116"/>
      <c r="AH274" s="116"/>
      <c r="AI274" s="116"/>
      <c r="AJ274" s="116"/>
      <c r="AK274" s="116"/>
      <c r="AL274" s="116"/>
      <c r="AM274" s="116"/>
      <c r="AN274" s="116"/>
      <c r="AO274" s="116"/>
      <c r="AP274" s="116"/>
      <c r="AQ274" s="50" t="s">
        <v>6371</v>
      </c>
      <c r="AR274" s="50" t="s">
        <v>2278</v>
      </c>
      <c r="AS274" s="116"/>
      <c r="AT274" s="50" t="s">
        <v>5540</v>
      </c>
      <c r="AU274" s="117">
        <v>4796.0</v>
      </c>
      <c r="AV274" s="50" t="s">
        <v>6372</v>
      </c>
      <c r="AW274" s="50" t="s">
        <v>6373</v>
      </c>
      <c r="AX274" s="117">
        <v>273.0</v>
      </c>
    </row>
    <row r="275">
      <c r="A275" s="50" t="s">
        <v>6374</v>
      </c>
      <c r="B275" s="50" t="s">
        <v>6375</v>
      </c>
      <c r="C275" s="116"/>
      <c r="D275" s="116"/>
      <c r="E275" s="50">
        <v>3.52155090281144E14</v>
      </c>
      <c r="F275" s="50">
        <v>59.0</v>
      </c>
      <c r="G275" s="50">
        <v>12.0</v>
      </c>
      <c r="H275" s="116"/>
      <c r="I275" s="116"/>
      <c r="J275" s="116"/>
      <c r="K275" s="116"/>
      <c r="L275" s="50" t="s">
        <v>1505</v>
      </c>
      <c r="M275" s="50" t="s">
        <v>1505</v>
      </c>
      <c r="N275" s="50">
        <v>6.0</v>
      </c>
      <c r="O275" s="50" t="s">
        <v>6376</v>
      </c>
      <c r="P275" s="116"/>
      <c r="Q275" s="50" t="s">
        <v>6377</v>
      </c>
      <c r="R275" s="50">
        <v>22.5399822</v>
      </c>
      <c r="S275" s="50">
        <v>88.3872065</v>
      </c>
      <c r="T275" s="50">
        <v>-49.4000015258789</v>
      </c>
      <c r="U275" s="50">
        <v>5.0</v>
      </c>
      <c r="V275" s="50">
        <v>1.0</v>
      </c>
      <c r="W275" s="50">
        <v>0.0</v>
      </c>
      <c r="X275" s="50">
        <v>1.0</v>
      </c>
      <c r="Y275" s="116"/>
      <c r="Z275" s="116"/>
      <c r="AA275" s="116"/>
      <c r="AB275" s="116"/>
      <c r="AC275" s="116"/>
      <c r="AD275" s="116"/>
      <c r="AE275" s="50">
        <v>1.0</v>
      </c>
      <c r="AF275" s="50">
        <v>2.0</v>
      </c>
      <c r="AG275" s="50">
        <v>4.0</v>
      </c>
      <c r="AH275" s="50">
        <v>4.0</v>
      </c>
      <c r="AI275" s="116"/>
      <c r="AJ275" s="116"/>
      <c r="AK275" s="116"/>
      <c r="AL275" s="116"/>
      <c r="AM275" s="116"/>
      <c r="AN275" s="116"/>
      <c r="AO275" s="116"/>
      <c r="AP275" s="116"/>
      <c r="AQ275" s="50" t="s">
        <v>3185</v>
      </c>
      <c r="AR275" s="50" t="s">
        <v>2327</v>
      </c>
      <c r="AS275" s="50">
        <v>0.0</v>
      </c>
      <c r="AT275" s="50" t="s">
        <v>5540</v>
      </c>
      <c r="AU275" s="117">
        <v>4797.0</v>
      </c>
      <c r="AV275" s="50" t="s">
        <v>6379</v>
      </c>
      <c r="AW275" s="50" t="s">
        <v>6380</v>
      </c>
      <c r="AX275" s="117">
        <v>274.0</v>
      </c>
    </row>
    <row r="276">
      <c r="A276" s="50" t="s">
        <v>6381</v>
      </c>
      <c r="B276" s="50" t="s">
        <v>6382</v>
      </c>
      <c r="C276" s="116"/>
      <c r="D276" s="116"/>
      <c r="E276" s="50">
        <v>3.52155090281144E14</v>
      </c>
      <c r="F276" s="50">
        <v>59.0</v>
      </c>
      <c r="G276" s="50">
        <v>99.0</v>
      </c>
      <c r="H276" s="116"/>
      <c r="I276" s="116"/>
      <c r="J276" s="116"/>
      <c r="K276" s="50">
        <v>1.0</v>
      </c>
      <c r="L276" s="50" t="s">
        <v>1506</v>
      </c>
      <c r="M276" s="50" t="s">
        <v>1506</v>
      </c>
      <c r="N276" s="116"/>
      <c r="O276" s="116"/>
      <c r="P276" s="50" t="s">
        <v>6383</v>
      </c>
      <c r="Q276" s="50" t="s">
        <v>6384</v>
      </c>
      <c r="R276" s="50">
        <v>22.5400229</v>
      </c>
      <c r="S276" s="50">
        <v>88.3872598</v>
      </c>
      <c r="T276" s="50">
        <v>-51.0</v>
      </c>
      <c r="U276" s="50">
        <v>5.0</v>
      </c>
      <c r="V276" s="50">
        <v>1.0</v>
      </c>
      <c r="W276" s="50">
        <v>0.0</v>
      </c>
      <c r="X276" s="50">
        <v>1.0</v>
      </c>
      <c r="Y276" s="116"/>
      <c r="Z276" s="116"/>
      <c r="AA276" s="116"/>
      <c r="AB276" s="116"/>
      <c r="AC276" s="116"/>
      <c r="AD276" s="116"/>
      <c r="AE276" s="116"/>
      <c r="AF276" s="116"/>
      <c r="AG276" s="116"/>
      <c r="AH276" s="116"/>
      <c r="AI276" s="116"/>
      <c r="AJ276" s="116"/>
      <c r="AK276" s="116"/>
      <c r="AL276" s="116"/>
      <c r="AM276" s="116"/>
      <c r="AN276" s="116"/>
      <c r="AO276" s="116"/>
      <c r="AP276" s="116"/>
      <c r="AQ276" s="50" t="s">
        <v>6385</v>
      </c>
      <c r="AR276" s="50" t="s">
        <v>2327</v>
      </c>
      <c r="AS276" s="116"/>
      <c r="AT276" s="50" t="s">
        <v>5540</v>
      </c>
      <c r="AU276" s="117">
        <v>4798.0</v>
      </c>
      <c r="AV276" s="50" t="s">
        <v>6386</v>
      </c>
      <c r="AW276" s="50" t="s">
        <v>6387</v>
      </c>
      <c r="AX276" s="117">
        <v>275.0</v>
      </c>
    </row>
    <row r="277">
      <c r="A277" s="50" t="s">
        <v>6388</v>
      </c>
      <c r="B277" s="50" t="s">
        <v>6389</v>
      </c>
      <c r="C277" s="116"/>
      <c r="D277" s="116"/>
      <c r="E277" s="50">
        <v>3.52155090281144E14</v>
      </c>
      <c r="F277" s="50">
        <v>66.0</v>
      </c>
      <c r="G277" s="50">
        <v>12.0</v>
      </c>
      <c r="H277" s="116"/>
      <c r="I277" s="116"/>
      <c r="J277" s="116"/>
      <c r="K277" s="116"/>
      <c r="L277" s="50" t="s">
        <v>1502</v>
      </c>
      <c r="M277" s="50" t="s">
        <v>1502</v>
      </c>
      <c r="N277" s="50">
        <v>5.0</v>
      </c>
      <c r="O277" s="50" t="s">
        <v>6390</v>
      </c>
      <c r="P277" s="116"/>
      <c r="Q277" s="50" t="s">
        <v>6391</v>
      </c>
      <c r="R277" s="50">
        <v>22.5346684</v>
      </c>
      <c r="S277" s="50">
        <v>88.3957491</v>
      </c>
      <c r="T277" s="50">
        <v>-32.9000015258789</v>
      </c>
      <c r="U277" s="50">
        <v>5.0</v>
      </c>
      <c r="V277" s="50">
        <v>1.0</v>
      </c>
      <c r="W277" s="50">
        <v>0.0</v>
      </c>
      <c r="X277" s="50">
        <v>1.0</v>
      </c>
      <c r="Y277" s="116"/>
      <c r="Z277" s="116"/>
      <c r="AA277" s="116"/>
      <c r="AB277" s="116"/>
      <c r="AC277" s="116"/>
      <c r="AD277" s="116"/>
      <c r="AE277" s="50">
        <v>1.0</v>
      </c>
      <c r="AF277" s="50">
        <v>2.0</v>
      </c>
      <c r="AG277" s="50">
        <v>3.0</v>
      </c>
      <c r="AH277" s="50">
        <v>4.0</v>
      </c>
      <c r="AI277" s="116"/>
      <c r="AJ277" s="116"/>
      <c r="AK277" s="116"/>
      <c r="AL277" s="116"/>
      <c r="AM277" s="116"/>
      <c r="AN277" s="116"/>
      <c r="AO277" s="116"/>
      <c r="AP277" s="116"/>
      <c r="AQ277" s="50" t="s">
        <v>2949</v>
      </c>
      <c r="AR277" s="50" t="s">
        <v>2278</v>
      </c>
      <c r="AS277" s="50">
        <v>0.0</v>
      </c>
      <c r="AT277" s="50" t="s">
        <v>5540</v>
      </c>
      <c r="AU277" s="117">
        <v>4799.0</v>
      </c>
      <c r="AV277" s="50" t="s">
        <v>6393</v>
      </c>
      <c r="AW277" s="50" t="s">
        <v>6394</v>
      </c>
      <c r="AX277" s="117">
        <v>276.0</v>
      </c>
    </row>
    <row r="278">
      <c r="A278" s="50" t="s">
        <v>6395</v>
      </c>
      <c r="B278" s="50" t="s">
        <v>6396</v>
      </c>
      <c r="C278" s="116"/>
      <c r="D278" s="116"/>
      <c r="E278" s="50">
        <v>3.52155090281144E14</v>
      </c>
      <c r="F278" s="50">
        <v>66.0</v>
      </c>
      <c r="G278" s="50">
        <v>99.0</v>
      </c>
      <c r="H278" s="116"/>
      <c r="I278" s="116"/>
      <c r="J278" s="116"/>
      <c r="K278" s="50">
        <v>1.0</v>
      </c>
      <c r="L278" s="50" t="s">
        <v>1503</v>
      </c>
      <c r="M278" s="50" t="s">
        <v>1503</v>
      </c>
      <c r="N278" s="116"/>
      <c r="O278" s="116"/>
      <c r="P278" s="50" t="s">
        <v>6397</v>
      </c>
      <c r="Q278" s="50" t="s">
        <v>6398</v>
      </c>
      <c r="R278" s="50">
        <v>22.5346023</v>
      </c>
      <c r="S278" s="50">
        <v>88.3959158</v>
      </c>
      <c r="T278" s="50">
        <v>-54.099998474121</v>
      </c>
      <c r="U278" s="50">
        <v>5.0</v>
      </c>
      <c r="V278" s="50">
        <v>1.0</v>
      </c>
      <c r="W278" s="50">
        <v>0.0</v>
      </c>
      <c r="X278" s="50">
        <v>1.0</v>
      </c>
      <c r="Y278" s="116"/>
      <c r="Z278" s="116"/>
      <c r="AA278" s="116"/>
      <c r="AB278" s="116"/>
      <c r="AC278" s="116"/>
      <c r="AD278" s="116"/>
      <c r="AE278" s="116"/>
      <c r="AF278" s="116"/>
      <c r="AG278" s="116"/>
      <c r="AH278" s="116"/>
      <c r="AI278" s="116"/>
      <c r="AJ278" s="116"/>
      <c r="AK278" s="116"/>
      <c r="AL278" s="116"/>
      <c r="AM278" s="116"/>
      <c r="AN278" s="116"/>
      <c r="AO278" s="116"/>
      <c r="AP278" s="116"/>
      <c r="AQ278" s="50" t="s">
        <v>6399</v>
      </c>
      <c r="AR278" s="50" t="s">
        <v>2278</v>
      </c>
      <c r="AS278" s="116"/>
      <c r="AT278" s="50" t="s">
        <v>5540</v>
      </c>
      <c r="AU278" s="117">
        <v>4800.0</v>
      </c>
      <c r="AV278" s="50" t="s">
        <v>6400</v>
      </c>
      <c r="AW278" s="50" t="s">
        <v>6401</v>
      </c>
      <c r="AX278" s="117">
        <v>277.0</v>
      </c>
    </row>
    <row r="279">
      <c r="A279" s="50" t="s">
        <v>6402</v>
      </c>
      <c r="B279" s="50" t="s">
        <v>6403</v>
      </c>
      <c r="C279" s="116"/>
      <c r="D279" s="116"/>
      <c r="E279" s="50">
        <v>3.52155090281144E14</v>
      </c>
      <c r="F279" s="50">
        <v>59.0</v>
      </c>
      <c r="G279" s="50">
        <v>11.0</v>
      </c>
      <c r="H279" s="50">
        <v>4.0</v>
      </c>
      <c r="I279" s="50">
        <v>1.0</v>
      </c>
      <c r="J279" s="50" t="s">
        <v>6404</v>
      </c>
      <c r="K279" s="116"/>
      <c r="L279" s="50" t="s">
        <v>1525</v>
      </c>
      <c r="M279" s="50" t="s">
        <v>1525</v>
      </c>
      <c r="N279" s="116"/>
      <c r="O279" s="116"/>
      <c r="P279" s="50" t="s">
        <v>6405</v>
      </c>
      <c r="Q279" s="50" t="s">
        <v>6406</v>
      </c>
      <c r="R279" s="50">
        <v>22.5430944</v>
      </c>
      <c r="S279" s="50">
        <v>88.3820063</v>
      </c>
      <c r="T279" s="50">
        <v>-63.4000015258789</v>
      </c>
      <c r="U279" s="50">
        <v>5.0</v>
      </c>
      <c r="V279" s="50">
        <v>1.0</v>
      </c>
      <c r="W279" s="50">
        <v>0.0</v>
      </c>
      <c r="X279" s="50">
        <v>0.0</v>
      </c>
      <c r="Y279" s="50">
        <v>1.0</v>
      </c>
      <c r="Z279" s="116"/>
      <c r="AA279" s="50">
        <v>1.0</v>
      </c>
      <c r="AB279" s="50">
        <v>4.0</v>
      </c>
      <c r="AC279" s="116"/>
      <c r="AD279" s="116"/>
      <c r="AE279" s="116"/>
      <c r="AF279" s="116"/>
      <c r="AG279" s="116"/>
      <c r="AH279" s="116"/>
      <c r="AI279" s="116"/>
      <c r="AJ279" s="116"/>
      <c r="AK279" s="116"/>
      <c r="AL279" s="116"/>
      <c r="AM279" s="116"/>
      <c r="AN279" s="116"/>
      <c r="AO279" s="116"/>
      <c r="AP279" s="116"/>
      <c r="AQ279" s="50" t="s">
        <v>3149</v>
      </c>
      <c r="AR279" s="50" t="s">
        <v>2302</v>
      </c>
      <c r="AS279" s="50">
        <v>1.0</v>
      </c>
      <c r="AT279" s="50" t="s">
        <v>5540</v>
      </c>
      <c r="AU279" s="117">
        <v>4828.0</v>
      </c>
      <c r="AV279" s="50" t="s">
        <v>6407</v>
      </c>
      <c r="AW279" s="50" t="s">
        <v>6408</v>
      </c>
      <c r="AX279" s="117">
        <v>278.0</v>
      </c>
    </row>
    <row r="280">
      <c r="A280" s="50" t="s">
        <v>6410</v>
      </c>
      <c r="B280" s="50" t="s">
        <v>6411</v>
      </c>
      <c r="C280" s="116"/>
      <c r="D280" s="116"/>
      <c r="E280" s="50">
        <v>3.52155090281144E14</v>
      </c>
      <c r="F280" s="50">
        <v>59.0</v>
      </c>
      <c r="G280" s="50">
        <v>99.0</v>
      </c>
      <c r="H280" s="116"/>
      <c r="I280" s="116"/>
      <c r="J280" s="116"/>
      <c r="K280" s="50">
        <v>2.0</v>
      </c>
      <c r="L280" s="50" t="s">
        <v>1526</v>
      </c>
      <c r="M280" s="50" t="s">
        <v>1526</v>
      </c>
      <c r="N280" s="116"/>
      <c r="O280" s="116"/>
      <c r="P280" s="50" t="s">
        <v>6412</v>
      </c>
      <c r="Q280" s="50" t="s">
        <v>6413</v>
      </c>
      <c r="R280" s="50">
        <v>22.5431684</v>
      </c>
      <c r="S280" s="50">
        <v>88.3817237</v>
      </c>
      <c r="T280" s="50">
        <v>-33.9000015258789</v>
      </c>
      <c r="U280" s="50">
        <v>7.0</v>
      </c>
      <c r="V280" s="50">
        <v>1.0</v>
      </c>
      <c r="W280" s="50">
        <v>0.0</v>
      </c>
      <c r="X280" s="50">
        <v>0.0</v>
      </c>
      <c r="Y280" s="50">
        <v>1.0</v>
      </c>
      <c r="Z280" s="116"/>
      <c r="AA280" s="116"/>
      <c r="AB280" s="116"/>
      <c r="AC280" s="116"/>
      <c r="AD280" s="116"/>
      <c r="AE280" s="116"/>
      <c r="AF280" s="116"/>
      <c r="AG280" s="116"/>
      <c r="AH280" s="116"/>
      <c r="AI280" s="116"/>
      <c r="AJ280" s="116"/>
      <c r="AK280" s="116"/>
      <c r="AL280" s="116"/>
      <c r="AM280" s="116"/>
      <c r="AN280" s="116"/>
      <c r="AO280" s="116"/>
      <c r="AP280" s="116"/>
      <c r="AQ280" s="50" t="s">
        <v>6414</v>
      </c>
      <c r="AR280" s="50" t="s">
        <v>2302</v>
      </c>
      <c r="AS280" s="116"/>
      <c r="AT280" s="50" t="s">
        <v>5540</v>
      </c>
      <c r="AU280" s="117">
        <v>4829.0</v>
      </c>
      <c r="AV280" s="50" t="s">
        <v>6415</v>
      </c>
      <c r="AW280" s="50" t="s">
        <v>6416</v>
      </c>
      <c r="AX280" s="117">
        <v>279.0</v>
      </c>
    </row>
    <row r="281">
      <c r="A281" s="50" t="s">
        <v>6417</v>
      </c>
      <c r="B281" s="50" t="s">
        <v>6418</v>
      </c>
      <c r="C281" s="116"/>
      <c r="D281" s="116"/>
      <c r="E281" s="50">
        <v>3.52155090281144E14</v>
      </c>
      <c r="F281" s="50">
        <v>59.0</v>
      </c>
      <c r="G281" s="50">
        <v>11.0</v>
      </c>
      <c r="H281" s="50">
        <v>4.0</v>
      </c>
      <c r="I281" s="50">
        <v>1.0</v>
      </c>
      <c r="J281" s="50" t="s">
        <v>6419</v>
      </c>
      <c r="K281" s="116"/>
      <c r="L281" s="50" t="s">
        <v>1528</v>
      </c>
      <c r="M281" s="50" t="s">
        <v>1528</v>
      </c>
      <c r="N281" s="116"/>
      <c r="O281" s="116"/>
      <c r="P281" s="50" t="s">
        <v>6420</v>
      </c>
      <c r="Q281" s="50" t="s">
        <v>6421</v>
      </c>
      <c r="R281" s="50">
        <v>22.541079</v>
      </c>
      <c r="S281" s="50">
        <v>88.3758851</v>
      </c>
      <c r="T281" s="50">
        <v>-58.0</v>
      </c>
      <c r="U281" s="50">
        <v>5.0</v>
      </c>
      <c r="V281" s="50">
        <v>1.0</v>
      </c>
      <c r="W281" s="50">
        <v>0.0</v>
      </c>
      <c r="X281" s="50">
        <v>0.0</v>
      </c>
      <c r="Y281" s="50">
        <v>1.0</v>
      </c>
      <c r="Z281" s="116"/>
      <c r="AA281" s="50">
        <v>1.0</v>
      </c>
      <c r="AB281" s="50">
        <v>4.0</v>
      </c>
      <c r="AC281" s="116"/>
      <c r="AD281" s="116"/>
      <c r="AE281" s="116"/>
      <c r="AF281" s="116"/>
      <c r="AG281" s="116"/>
      <c r="AH281" s="116"/>
      <c r="AI281" s="116"/>
      <c r="AJ281" s="116"/>
      <c r="AK281" s="116"/>
      <c r="AL281" s="116"/>
      <c r="AM281" s="116"/>
      <c r="AN281" s="116"/>
      <c r="AO281" s="116"/>
      <c r="AP281" s="116"/>
      <c r="AQ281" s="50" t="s">
        <v>3185</v>
      </c>
      <c r="AR281" s="50" t="s">
        <v>2472</v>
      </c>
      <c r="AS281" s="50">
        <v>1.0</v>
      </c>
      <c r="AT281" s="50" t="s">
        <v>5540</v>
      </c>
      <c r="AU281" s="117">
        <v>4830.0</v>
      </c>
      <c r="AV281" s="50" t="s">
        <v>6423</v>
      </c>
      <c r="AW281" s="50" t="s">
        <v>6424</v>
      </c>
      <c r="AX281" s="117">
        <v>280.0</v>
      </c>
    </row>
    <row r="282">
      <c r="A282" s="50" t="s">
        <v>6425</v>
      </c>
      <c r="B282" s="50" t="s">
        <v>6426</v>
      </c>
      <c r="C282" s="116"/>
      <c r="D282" s="116"/>
      <c r="E282" s="50">
        <v>3.52155090281144E14</v>
      </c>
      <c r="F282" s="50">
        <v>59.0</v>
      </c>
      <c r="G282" s="50">
        <v>99.0</v>
      </c>
      <c r="H282" s="116"/>
      <c r="I282" s="116"/>
      <c r="J282" s="116"/>
      <c r="K282" s="50">
        <v>2.0</v>
      </c>
      <c r="L282" s="50" t="s">
        <v>1529</v>
      </c>
      <c r="M282" s="50" t="s">
        <v>1529</v>
      </c>
      <c r="N282" s="116"/>
      <c r="O282" s="116"/>
      <c r="P282" s="50" t="s">
        <v>6427</v>
      </c>
      <c r="Q282" s="50" t="s">
        <v>6428</v>
      </c>
      <c r="R282" s="50">
        <v>22.5410065</v>
      </c>
      <c r="S282" s="50">
        <v>88.3758104</v>
      </c>
      <c r="T282" s="50">
        <v>-51.599998474121</v>
      </c>
      <c r="U282" s="50">
        <v>5.0</v>
      </c>
      <c r="V282" s="50">
        <v>1.0</v>
      </c>
      <c r="W282" s="50">
        <v>0.0</v>
      </c>
      <c r="X282" s="50">
        <v>0.0</v>
      </c>
      <c r="Y282" s="50">
        <v>1.0</v>
      </c>
      <c r="Z282" s="116"/>
      <c r="AA282" s="116"/>
      <c r="AB282" s="116"/>
      <c r="AC282" s="116"/>
      <c r="AD282" s="116"/>
      <c r="AE282" s="116"/>
      <c r="AF282" s="116"/>
      <c r="AG282" s="116"/>
      <c r="AH282" s="116"/>
      <c r="AI282" s="116"/>
      <c r="AJ282" s="116"/>
      <c r="AK282" s="116"/>
      <c r="AL282" s="116"/>
      <c r="AM282" s="116"/>
      <c r="AN282" s="116"/>
      <c r="AO282" s="116"/>
      <c r="AP282" s="116"/>
      <c r="AQ282" s="50" t="s">
        <v>6429</v>
      </c>
      <c r="AR282" s="50" t="s">
        <v>2472</v>
      </c>
      <c r="AS282" s="116"/>
      <c r="AT282" s="50" t="s">
        <v>5540</v>
      </c>
      <c r="AU282" s="117">
        <v>4831.0</v>
      </c>
      <c r="AV282" s="50" t="s">
        <v>6430</v>
      </c>
      <c r="AW282" s="50" t="s">
        <v>6431</v>
      </c>
      <c r="AX282" s="117">
        <v>281.0</v>
      </c>
    </row>
    <row r="283">
      <c r="A283" s="50" t="s">
        <v>6432</v>
      </c>
      <c r="B283" s="50" t="s">
        <v>6433</v>
      </c>
      <c r="C283" s="116"/>
      <c r="D283" s="116"/>
      <c r="E283" s="50">
        <v>3.52155090281144E14</v>
      </c>
      <c r="F283" s="50">
        <v>59.0</v>
      </c>
      <c r="G283" s="50">
        <v>11.0</v>
      </c>
      <c r="H283" s="50">
        <v>4.0</v>
      </c>
      <c r="I283" s="50">
        <v>1.0</v>
      </c>
      <c r="J283" s="50" t="s">
        <v>6022</v>
      </c>
      <c r="K283" s="116"/>
      <c r="L283" s="50" t="s">
        <v>1535</v>
      </c>
      <c r="M283" s="50" t="s">
        <v>1535</v>
      </c>
      <c r="N283" s="116"/>
      <c r="O283" s="116"/>
      <c r="P283" s="50" t="s">
        <v>6435</v>
      </c>
      <c r="Q283" s="50" t="s">
        <v>6436</v>
      </c>
      <c r="R283" s="50">
        <v>22.5452309</v>
      </c>
      <c r="S283" s="50">
        <v>88.3821248</v>
      </c>
      <c r="T283" s="50">
        <v>-47.2000007629394</v>
      </c>
      <c r="U283" s="50">
        <v>5.0</v>
      </c>
      <c r="V283" s="50">
        <v>1.0</v>
      </c>
      <c r="W283" s="50">
        <v>0.0</v>
      </c>
      <c r="X283" s="50">
        <v>0.0</v>
      </c>
      <c r="Y283" s="50">
        <v>1.0</v>
      </c>
      <c r="Z283" s="116"/>
      <c r="AA283" s="50">
        <v>2.0</v>
      </c>
      <c r="AB283" s="50">
        <v>4.0</v>
      </c>
      <c r="AC283" s="116"/>
      <c r="AD283" s="116"/>
      <c r="AE283" s="116"/>
      <c r="AF283" s="116"/>
      <c r="AG283" s="116"/>
      <c r="AH283" s="116"/>
      <c r="AI283" s="116"/>
      <c r="AJ283" s="116"/>
      <c r="AK283" s="116"/>
      <c r="AL283" s="116"/>
      <c r="AM283" s="116"/>
      <c r="AN283" s="116"/>
      <c r="AO283" s="116"/>
      <c r="AP283" s="116"/>
      <c r="AQ283" s="50" t="s">
        <v>3149</v>
      </c>
      <c r="AR283" s="50" t="s">
        <v>2302</v>
      </c>
      <c r="AS283" s="50">
        <v>1.0</v>
      </c>
      <c r="AT283" s="50" t="s">
        <v>5540</v>
      </c>
      <c r="AU283" s="117">
        <v>4886.0</v>
      </c>
      <c r="AV283" s="50" t="s">
        <v>6438</v>
      </c>
      <c r="AW283" s="50" t="s">
        <v>6439</v>
      </c>
      <c r="AX283" s="117">
        <v>282.0</v>
      </c>
    </row>
    <row r="284">
      <c r="A284" s="50" t="s">
        <v>6440</v>
      </c>
      <c r="B284" s="50" t="s">
        <v>6441</v>
      </c>
      <c r="C284" s="116"/>
      <c r="D284" s="116"/>
      <c r="E284" s="50">
        <v>3.52155090281144E14</v>
      </c>
      <c r="F284" s="50">
        <v>59.0</v>
      </c>
      <c r="G284" s="50">
        <v>99.0</v>
      </c>
      <c r="H284" s="116"/>
      <c r="I284" s="116"/>
      <c r="J284" s="116"/>
      <c r="K284" s="50">
        <v>2.0</v>
      </c>
      <c r="L284" s="50" t="s">
        <v>1536</v>
      </c>
      <c r="M284" s="50" t="s">
        <v>1536</v>
      </c>
      <c r="N284" s="116"/>
      <c r="O284" s="116"/>
      <c r="P284" s="50" t="s">
        <v>6442</v>
      </c>
      <c r="Q284" s="50" t="s">
        <v>6443</v>
      </c>
      <c r="R284" s="50">
        <v>22.5453237</v>
      </c>
      <c r="S284" s="50">
        <v>88.3821855</v>
      </c>
      <c r="T284" s="50">
        <v>-48.9000015258789</v>
      </c>
      <c r="U284" s="50">
        <v>5.0</v>
      </c>
      <c r="V284" s="50">
        <v>1.0</v>
      </c>
      <c r="W284" s="50">
        <v>0.0</v>
      </c>
      <c r="X284" s="50">
        <v>0.0</v>
      </c>
      <c r="Y284" s="50">
        <v>1.0</v>
      </c>
      <c r="Z284" s="116"/>
      <c r="AA284" s="116"/>
      <c r="AB284" s="116"/>
      <c r="AC284" s="116"/>
      <c r="AD284" s="116"/>
      <c r="AE284" s="116"/>
      <c r="AF284" s="116"/>
      <c r="AG284" s="116"/>
      <c r="AH284" s="116"/>
      <c r="AI284" s="116"/>
      <c r="AJ284" s="116"/>
      <c r="AK284" s="116"/>
      <c r="AL284" s="116"/>
      <c r="AM284" s="116"/>
      <c r="AN284" s="116"/>
      <c r="AO284" s="116"/>
      <c r="AP284" s="116"/>
      <c r="AQ284" s="50" t="s">
        <v>6444</v>
      </c>
      <c r="AR284" s="50" t="s">
        <v>2302</v>
      </c>
      <c r="AS284" s="116"/>
      <c r="AT284" s="50" t="s">
        <v>5540</v>
      </c>
      <c r="AU284" s="117">
        <v>4887.0</v>
      </c>
      <c r="AV284" s="50" t="s">
        <v>6446</v>
      </c>
      <c r="AW284" s="50" t="s">
        <v>6447</v>
      </c>
      <c r="AX284" s="117">
        <v>283.0</v>
      </c>
    </row>
    <row r="285">
      <c r="A285" s="50" t="s">
        <v>6448</v>
      </c>
      <c r="B285" s="50" t="s">
        <v>6449</v>
      </c>
      <c r="C285" s="116"/>
      <c r="D285" s="116"/>
      <c r="E285" s="50">
        <v>3.52155090281144E14</v>
      </c>
      <c r="F285" s="50">
        <v>59.0</v>
      </c>
      <c r="G285" s="50">
        <v>11.0</v>
      </c>
      <c r="H285" s="50">
        <v>4.0</v>
      </c>
      <c r="I285" s="50">
        <v>1.0</v>
      </c>
      <c r="J285" s="50" t="s">
        <v>6037</v>
      </c>
      <c r="K285" s="116"/>
      <c r="L285" s="50" t="s">
        <v>1538</v>
      </c>
      <c r="M285" s="50" t="s">
        <v>1538</v>
      </c>
      <c r="N285" s="116"/>
      <c r="O285" s="116"/>
      <c r="P285" s="50" t="s">
        <v>6450</v>
      </c>
      <c r="Q285" s="50" t="s">
        <v>6451</v>
      </c>
      <c r="R285" s="50">
        <v>22.5452895</v>
      </c>
      <c r="S285" s="50">
        <v>88.3821094</v>
      </c>
      <c r="T285" s="50">
        <v>-55.7999992370605</v>
      </c>
      <c r="U285" s="50">
        <v>5.0</v>
      </c>
      <c r="V285" s="50">
        <v>1.0</v>
      </c>
      <c r="W285" s="50">
        <v>0.0</v>
      </c>
      <c r="X285" s="50">
        <v>0.0</v>
      </c>
      <c r="Y285" s="50">
        <v>1.0</v>
      </c>
      <c r="Z285" s="116"/>
      <c r="AA285" s="50">
        <v>1.0</v>
      </c>
      <c r="AB285" s="50">
        <v>4.0</v>
      </c>
      <c r="AC285" s="116"/>
      <c r="AD285" s="116"/>
      <c r="AE285" s="116"/>
      <c r="AF285" s="116"/>
      <c r="AG285" s="116"/>
      <c r="AH285" s="116"/>
      <c r="AI285" s="116"/>
      <c r="AJ285" s="116"/>
      <c r="AK285" s="116"/>
      <c r="AL285" s="116"/>
      <c r="AM285" s="116"/>
      <c r="AN285" s="116"/>
      <c r="AO285" s="116"/>
      <c r="AP285" s="116"/>
      <c r="AQ285" s="50" t="s">
        <v>3185</v>
      </c>
      <c r="AR285" s="50" t="s">
        <v>2327</v>
      </c>
      <c r="AS285" s="50">
        <v>1.0</v>
      </c>
      <c r="AT285" s="50" t="s">
        <v>5540</v>
      </c>
      <c r="AU285" s="117">
        <v>4888.0</v>
      </c>
      <c r="AV285" s="50" t="s">
        <v>6452</v>
      </c>
      <c r="AW285" s="50" t="s">
        <v>6453</v>
      </c>
      <c r="AX285" s="117">
        <v>284.0</v>
      </c>
    </row>
    <row r="286">
      <c r="A286" s="50" t="s">
        <v>6454</v>
      </c>
      <c r="B286" s="50" t="s">
        <v>6455</v>
      </c>
      <c r="C286" s="116"/>
      <c r="D286" s="116"/>
      <c r="E286" s="50">
        <v>3.52155090281144E14</v>
      </c>
      <c r="F286" s="50">
        <v>59.0</v>
      </c>
      <c r="G286" s="50">
        <v>99.0</v>
      </c>
      <c r="H286" s="116"/>
      <c r="I286" s="116"/>
      <c r="J286" s="116"/>
      <c r="K286" s="50">
        <v>2.0</v>
      </c>
      <c r="L286" s="50" t="s">
        <v>1539</v>
      </c>
      <c r="M286" s="50" t="s">
        <v>1539</v>
      </c>
      <c r="N286" s="116"/>
      <c r="O286" s="116"/>
      <c r="P286" s="50" t="s">
        <v>6456</v>
      </c>
      <c r="Q286" s="50" t="s">
        <v>6457</v>
      </c>
      <c r="R286" s="50">
        <v>22.5452692</v>
      </c>
      <c r="S286" s="50">
        <v>88.3820995</v>
      </c>
      <c r="T286" s="50">
        <v>-67.3000030517578</v>
      </c>
      <c r="U286" s="50">
        <v>5.0</v>
      </c>
      <c r="V286" s="50">
        <v>1.0</v>
      </c>
      <c r="W286" s="50">
        <v>0.0</v>
      </c>
      <c r="X286" s="50">
        <v>0.0</v>
      </c>
      <c r="Y286" s="50">
        <v>1.0</v>
      </c>
      <c r="Z286" s="116"/>
      <c r="AA286" s="116"/>
      <c r="AB286" s="116"/>
      <c r="AC286" s="116"/>
      <c r="AD286" s="116"/>
      <c r="AE286" s="116"/>
      <c r="AF286" s="116"/>
      <c r="AG286" s="116"/>
      <c r="AH286" s="116"/>
      <c r="AI286" s="116"/>
      <c r="AJ286" s="116"/>
      <c r="AK286" s="116"/>
      <c r="AL286" s="116"/>
      <c r="AM286" s="116"/>
      <c r="AN286" s="116"/>
      <c r="AO286" s="116"/>
      <c r="AP286" s="116"/>
      <c r="AQ286" s="50" t="s">
        <v>6459</v>
      </c>
      <c r="AR286" s="50" t="s">
        <v>2327</v>
      </c>
      <c r="AS286" s="116"/>
      <c r="AT286" s="50" t="s">
        <v>5540</v>
      </c>
      <c r="AU286" s="117">
        <v>4889.0</v>
      </c>
      <c r="AV286" s="50" t="s">
        <v>6460</v>
      </c>
      <c r="AW286" s="50" t="s">
        <v>6461</v>
      </c>
      <c r="AX286" s="117">
        <v>285.0</v>
      </c>
    </row>
    <row r="287">
      <c r="A287" s="50" t="s">
        <v>6462</v>
      </c>
      <c r="B287" s="50" t="s">
        <v>6463</v>
      </c>
      <c r="C287" s="116"/>
      <c r="D287" s="116"/>
      <c r="E287" s="50">
        <v>3.52155090281144E14</v>
      </c>
      <c r="F287" s="50">
        <v>59.0</v>
      </c>
      <c r="G287" s="50">
        <v>11.0</v>
      </c>
      <c r="H287" s="50">
        <v>4.0</v>
      </c>
      <c r="I287" s="50">
        <v>1.0</v>
      </c>
      <c r="J287" s="50" t="s">
        <v>6051</v>
      </c>
      <c r="K287" s="116"/>
      <c r="L287" s="50" t="s">
        <v>1541</v>
      </c>
      <c r="M287" s="50" t="s">
        <v>1541</v>
      </c>
      <c r="N287" s="116"/>
      <c r="O287" s="116"/>
      <c r="P287" s="50" t="s">
        <v>6464</v>
      </c>
      <c r="Q287" s="50" t="s">
        <v>6465</v>
      </c>
      <c r="R287" s="50">
        <v>22.5440908</v>
      </c>
      <c r="S287" s="50">
        <v>88.3820142</v>
      </c>
      <c r="T287" s="50">
        <v>-63.7000007629394</v>
      </c>
      <c r="U287" s="50">
        <v>5.0</v>
      </c>
      <c r="V287" s="50">
        <v>1.0</v>
      </c>
      <c r="W287" s="50">
        <v>0.0</v>
      </c>
      <c r="X287" s="50">
        <v>0.0</v>
      </c>
      <c r="Y287" s="50">
        <v>1.0</v>
      </c>
      <c r="Z287" s="116"/>
      <c r="AA287" s="50">
        <v>2.0</v>
      </c>
      <c r="AB287" s="50">
        <v>4.0</v>
      </c>
      <c r="AC287" s="116"/>
      <c r="AD287" s="116"/>
      <c r="AE287" s="116"/>
      <c r="AF287" s="116"/>
      <c r="AG287" s="116"/>
      <c r="AH287" s="116"/>
      <c r="AI287" s="116"/>
      <c r="AJ287" s="116"/>
      <c r="AK287" s="116"/>
      <c r="AL287" s="116"/>
      <c r="AM287" s="116"/>
      <c r="AN287" s="116"/>
      <c r="AO287" s="116"/>
      <c r="AP287" s="116"/>
      <c r="AQ287" s="50" t="s">
        <v>3185</v>
      </c>
      <c r="AR287" s="50" t="s">
        <v>2472</v>
      </c>
      <c r="AS287" s="50">
        <v>1.0</v>
      </c>
      <c r="AT287" s="50" t="s">
        <v>5540</v>
      </c>
      <c r="AU287" s="117">
        <v>4890.0</v>
      </c>
      <c r="AV287" s="50" t="s">
        <v>6466</v>
      </c>
      <c r="AW287" s="50" t="s">
        <v>6467</v>
      </c>
      <c r="AX287" s="117">
        <v>286.0</v>
      </c>
    </row>
    <row r="288">
      <c r="A288" s="50" t="s">
        <v>6468</v>
      </c>
      <c r="B288" s="50" t="s">
        <v>6469</v>
      </c>
      <c r="C288" s="116"/>
      <c r="D288" s="116"/>
      <c r="E288" s="50">
        <v>3.52155090281144E14</v>
      </c>
      <c r="F288" s="50">
        <v>59.0</v>
      </c>
      <c r="G288" s="50">
        <v>99.0</v>
      </c>
      <c r="H288" s="116"/>
      <c r="I288" s="116"/>
      <c r="J288" s="116"/>
      <c r="K288" s="50">
        <v>2.0</v>
      </c>
      <c r="L288" s="50" t="s">
        <v>1542</v>
      </c>
      <c r="M288" s="50" t="s">
        <v>1542</v>
      </c>
      <c r="N288" s="116"/>
      <c r="O288" s="116"/>
      <c r="P288" s="50" t="s">
        <v>6470</v>
      </c>
      <c r="Q288" s="50" t="s">
        <v>6471</v>
      </c>
      <c r="R288" s="50">
        <v>22.5440264</v>
      </c>
      <c r="S288" s="50">
        <v>88.3819138</v>
      </c>
      <c r="T288" s="50">
        <v>-47.4000015258789</v>
      </c>
      <c r="U288" s="50">
        <v>5.0</v>
      </c>
      <c r="V288" s="50">
        <v>1.0</v>
      </c>
      <c r="W288" s="50">
        <v>0.0</v>
      </c>
      <c r="X288" s="50">
        <v>0.0</v>
      </c>
      <c r="Y288" s="50">
        <v>1.0</v>
      </c>
      <c r="Z288" s="116"/>
      <c r="AA288" s="116"/>
      <c r="AB288" s="116"/>
      <c r="AC288" s="116"/>
      <c r="AD288" s="116"/>
      <c r="AE288" s="116"/>
      <c r="AF288" s="116"/>
      <c r="AG288" s="116"/>
      <c r="AH288" s="116"/>
      <c r="AI288" s="116"/>
      <c r="AJ288" s="116"/>
      <c r="AK288" s="116"/>
      <c r="AL288" s="116"/>
      <c r="AM288" s="116"/>
      <c r="AN288" s="116"/>
      <c r="AO288" s="116"/>
      <c r="AP288" s="116"/>
      <c r="AQ288" s="50" t="s">
        <v>6473</v>
      </c>
      <c r="AR288" s="50" t="s">
        <v>2472</v>
      </c>
      <c r="AS288" s="116"/>
      <c r="AT288" s="50" t="s">
        <v>5540</v>
      </c>
      <c r="AU288" s="117">
        <v>4891.0</v>
      </c>
      <c r="AV288" s="50" t="s">
        <v>6474</v>
      </c>
      <c r="AW288" s="50" t="s">
        <v>6475</v>
      </c>
      <c r="AX288" s="117">
        <v>287.0</v>
      </c>
    </row>
    <row r="289">
      <c r="A289" s="50" t="s">
        <v>6476</v>
      </c>
      <c r="B289" s="50" t="s">
        <v>6477</v>
      </c>
      <c r="C289" s="116"/>
      <c r="D289" s="116"/>
      <c r="E289" s="50">
        <v>3.52155090281144E14</v>
      </c>
      <c r="F289" s="50">
        <v>59.0</v>
      </c>
      <c r="G289" s="50">
        <v>11.0</v>
      </c>
      <c r="H289" s="50">
        <v>4.0</v>
      </c>
      <c r="I289" s="50">
        <v>1.0</v>
      </c>
      <c r="J289" s="50" t="s">
        <v>6064</v>
      </c>
      <c r="K289" s="116"/>
      <c r="L289" s="50" t="s">
        <v>1547</v>
      </c>
      <c r="M289" s="50" t="s">
        <v>1547</v>
      </c>
      <c r="N289" s="116"/>
      <c r="O289" s="116"/>
      <c r="P289" s="50" t="s">
        <v>6478</v>
      </c>
      <c r="Q289" s="50" t="s">
        <v>6479</v>
      </c>
      <c r="R289" s="50">
        <v>22.5430596</v>
      </c>
      <c r="S289" s="50">
        <v>88.3755666</v>
      </c>
      <c r="T289" s="50">
        <v>-60.0</v>
      </c>
      <c r="U289" s="50">
        <v>5.0</v>
      </c>
      <c r="V289" s="50">
        <v>1.0</v>
      </c>
      <c r="W289" s="50">
        <v>0.0</v>
      </c>
      <c r="X289" s="50">
        <v>0.0</v>
      </c>
      <c r="Y289" s="50">
        <v>1.0</v>
      </c>
      <c r="Z289" s="116"/>
      <c r="AA289" s="50">
        <v>2.0</v>
      </c>
      <c r="AB289" s="50">
        <v>4.0</v>
      </c>
      <c r="AC289" s="116"/>
      <c r="AD289" s="116"/>
      <c r="AE289" s="116"/>
      <c r="AF289" s="116"/>
      <c r="AG289" s="116"/>
      <c r="AH289" s="116"/>
      <c r="AI289" s="116"/>
      <c r="AJ289" s="116"/>
      <c r="AK289" s="116"/>
      <c r="AL289" s="116"/>
      <c r="AM289" s="116"/>
      <c r="AN289" s="116"/>
      <c r="AO289" s="116"/>
      <c r="AP289" s="116"/>
      <c r="AQ289" s="50" t="s">
        <v>3200</v>
      </c>
      <c r="AR289" s="50" t="s">
        <v>2286</v>
      </c>
      <c r="AS289" s="50">
        <v>1.0</v>
      </c>
      <c r="AT289" s="50" t="s">
        <v>5540</v>
      </c>
      <c r="AU289" s="117">
        <v>4892.0</v>
      </c>
      <c r="AV289" s="50" t="s">
        <v>6480</v>
      </c>
      <c r="AW289" s="50" t="s">
        <v>6481</v>
      </c>
      <c r="AX289" s="117">
        <v>288.0</v>
      </c>
    </row>
    <row r="290">
      <c r="A290" s="50" t="s">
        <v>6482</v>
      </c>
      <c r="B290" s="50" t="s">
        <v>6483</v>
      </c>
      <c r="C290" s="116"/>
      <c r="D290" s="116"/>
      <c r="E290" s="50">
        <v>3.52155090281144E14</v>
      </c>
      <c r="F290" s="50">
        <v>59.0</v>
      </c>
      <c r="G290" s="50">
        <v>99.0</v>
      </c>
      <c r="H290" s="116"/>
      <c r="I290" s="116"/>
      <c r="J290" s="116"/>
      <c r="K290" s="50">
        <v>2.0</v>
      </c>
      <c r="L290" s="50" t="s">
        <v>1548</v>
      </c>
      <c r="M290" s="50" t="s">
        <v>1548</v>
      </c>
      <c r="N290" s="116"/>
      <c r="O290" s="116"/>
      <c r="P290" s="50" t="s">
        <v>6485</v>
      </c>
      <c r="Q290" s="50" t="s">
        <v>6486</v>
      </c>
      <c r="R290" s="50">
        <v>22.5430344</v>
      </c>
      <c r="S290" s="50">
        <v>88.3755403</v>
      </c>
      <c r="T290" s="50">
        <v>-65.4000015258789</v>
      </c>
      <c r="U290" s="50">
        <v>5.0</v>
      </c>
      <c r="V290" s="50">
        <v>1.0</v>
      </c>
      <c r="W290" s="50">
        <v>0.0</v>
      </c>
      <c r="X290" s="50">
        <v>0.0</v>
      </c>
      <c r="Y290" s="50">
        <v>1.0</v>
      </c>
      <c r="Z290" s="116"/>
      <c r="AA290" s="116"/>
      <c r="AB290" s="116"/>
      <c r="AC290" s="116"/>
      <c r="AD290" s="116"/>
      <c r="AE290" s="116"/>
      <c r="AF290" s="116"/>
      <c r="AG290" s="116"/>
      <c r="AH290" s="116"/>
      <c r="AI290" s="116"/>
      <c r="AJ290" s="116"/>
      <c r="AK290" s="116"/>
      <c r="AL290" s="116"/>
      <c r="AM290" s="116"/>
      <c r="AN290" s="116"/>
      <c r="AO290" s="116"/>
      <c r="AP290" s="116"/>
      <c r="AQ290" s="50" t="s">
        <v>6487</v>
      </c>
      <c r="AR290" s="50" t="s">
        <v>2286</v>
      </c>
      <c r="AS290" s="116"/>
      <c r="AT290" s="50" t="s">
        <v>5540</v>
      </c>
      <c r="AU290" s="117">
        <v>4893.0</v>
      </c>
      <c r="AV290" s="50" t="s">
        <v>6488</v>
      </c>
      <c r="AW290" s="50" t="s">
        <v>6489</v>
      </c>
      <c r="AX290" s="117">
        <v>289.0</v>
      </c>
    </row>
    <row r="291">
      <c r="A291" s="50" t="s">
        <v>6490</v>
      </c>
      <c r="B291" s="50" t="s">
        <v>6491</v>
      </c>
      <c r="C291" s="116"/>
      <c r="D291" s="116"/>
      <c r="E291" s="50">
        <v>3.52155090281144E14</v>
      </c>
      <c r="F291" s="50">
        <v>59.0</v>
      </c>
      <c r="G291" s="50">
        <v>11.0</v>
      </c>
      <c r="H291" s="50">
        <v>4.0</v>
      </c>
      <c r="I291" s="50">
        <v>1.0</v>
      </c>
      <c r="J291" s="50" t="s">
        <v>6077</v>
      </c>
      <c r="K291" s="116"/>
      <c r="L291" s="50" t="s">
        <v>1550</v>
      </c>
      <c r="M291" s="50" t="s">
        <v>1550</v>
      </c>
      <c r="N291" s="116"/>
      <c r="O291" s="116"/>
      <c r="P291" s="50" t="s">
        <v>6492</v>
      </c>
      <c r="Q291" s="50" t="s">
        <v>6493</v>
      </c>
      <c r="R291" s="50">
        <v>22.5410453</v>
      </c>
      <c r="S291" s="50">
        <v>88.3742742</v>
      </c>
      <c r="T291" s="50">
        <v>-45.7999992370605</v>
      </c>
      <c r="U291" s="50">
        <v>4.5</v>
      </c>
      <c r="V291" s="50">
        <v>1.0</v>
      </c>
      <c r="W291" s="50">
        <v>0.0</v>
      </c>
      <c r="X291" s="50">
        <v>0.0</v>
      </c>
      <c r="Y291" s="50">
        <v>1.0</v>
      </c>
      <c r="Z291" s="116"/>
      <c r="AA291" s="50">
        <v>1.0</v>
      </c>
      <c r="AB291" s="50">
        <v>4.0</v>
      </c>
      <c r="AC291" s="116"/>
      <c r="AD291" s="116"/>
      <c r="AE291" s="116"/>
      <c r="AF291" s="116"/>
      <c r="AG291" s="116"/>
      <c r="AH291" s="116"/>
      <c r="AI291" s="116"/>
      <c r="AJ291" s="116"/>
      <c r="AK291" s="116"/>
      <c r="AL291" s="116"/>
      <c r="AM291" s="116"/>
      <c r="AN291" s="116"/>
      <c r="AO291" s="116"/>
      <c r="AP291" s="116"/>
      <c r="AQ291" s="50" t="s">
        <v>2979</v>
      </c>
      <c r="AR291" s="50" t="s">
        <v>2327</v>
      </c>
      <c r="AS291" s="50">
        <v>1.0</v>
      </c>
      <c r="AT291" s="50" t="s">
        <v>5540</v>
      </c>
      <c r="AU291" s="117">
        <v>4894.0</v>
      </c>
      <c r="AV291" s="50" t="s">
        <v>6494</v>
      </c>
      <c r="AW291" s="50" t="s">
        <v>6495</v>
      </c>
      <c r="AX291" s="117">
        <v>290.0</v>
      </c>
    </row>
    <row r="292">
      <c r="A292" s="50" t="s">
        <v>6496</v>
      </c>
      <c r="B292" s="50" t="s">
        <v>6497</v>
      </c>
      <c r="C292" s="116"/>
      <c r="D292" s="116"/>
      <c r="E292" s="50">
        <v>3.52155090281144E14</v>
      </c>
      <c r="F292" s="50">
        <v>59.0</v>
      </c>
      <c r="G292" s="50">
        <v>99.0</v>
      </c>
      <c r="H292" s="116"/>
      <c r="I292" s="116"/>
      <c r="J292" s="116"/>
      <c r="K292" s="50">
        <v>2.0</v>
      </c>
      <c r="L292" s="50" t="s">
        <v>1551</v>
      </c>
      <c r="M292" s="50" t="s">
        <v>1551</v>
      </c>
      <c r="N292" s="116"/>
      <c r="O292" s="116"/>
      <c r="P292" s="50" t="s">
        <v>6498</v>
      </c>
      <c r="Q292" s="50" t="s">
        <v>6499</v>
      </c>
      <c r="R292" s="50">
        <v>22.5410234</v>
      </c>
      <c r="S292" s="50">
        <v>88.3742585</v>
      </c>
      <c r="T292" s="50">
        <v>-48.0</v>
      </c>
      <c r="U292" s="50">
        <v>5.0</v>
      </c>
      <c r="V292" s="50">
        <v>1.0</v>
      </c>
      <c r="W292" s="50">
        <v>0.0</v>
      </c>
      <c r="X292" s="50">
        <v>0.0</v>
      </c>
      <c r="Y292" s="50">
        <v>1.0</v>
      </c>
      <c r="Z292" s="116"/>
      <c r="AA292" s="116"/>
      <c r="AB292" s="116"/>
      <c r="AC292" s="116"/>
      <c r="AD292" s="116"/>
      <c r="AE292" s="116"/>
      <c r="AF292" s="116"/>
      <c r="AG292" s="116"/>
      <c r="AH292" s="116"/>
      <c r="AI292" s="116"/>
      <c r="AJ292" s="116"/>
      <c r="AK292" s="116"/>
      <c r="AL292" s="116"/>
      <c r="AM292" s="116"/>
      <c r="AN292" s="116"/>
      <c r="AO292" s="116"/>
      <c r="AP292" s="116"/>
      <c r="AQ292" s="50" t="s">
        <v>6501</v>
      </c>
      <c r="AR292" s="50" t="s">
        <v>2327</v>
      </c>
      <c r="AS292" s="116"/>
      <c r="AT292" s="50" t="s">
        <v>5540</v>
      </c>
      <c r="AU292" s="117">
        <v>4895.0</v>
      </c>
      <c r="AV292" s="50" t="s">
        <v>6502</v>
      </c>
      <c r="AW292" s="50" t="s">
        <v>6503</v>
      </c>
      <c r="AX292" s="117">
        <v>291.0</v>
      </c>
    </row>
    <row r="293">
      <c r="A293" s="50" t="s">
        <v>6504</v>
      </c>
      <c r="B293" s="50" t="s">
        <v>6505</v>
      </c>
      <c r="C293" s="116"/>
      <c r="D293" s="116"/>
      <c r="E293" s="50">
        <v>3.52155090281144E14</v>
      </c>
      <c r="F293" s="50">
        <v>59.0</v>
      </c>
      <c r="G293" s="50">
        <v>11.0</v>
      </c>
      <c r="H293" s="50">
        <v>4.0</v>
      </c>
      <c r="I293" s="50">
        <v>1.0</v>
      </c>
      <c r="J293" s="50" t="s">
        <v>6404</v>
      </c>
      <c r="K293" s="116"/>
      <c r="L293" s="50" t="s">
        <v>1561</v>
      </c>
      <c r="M293" s="50" t="s">
        <v>1561</v>
      </c>
      <c r="N293" s="116"/>
      <c r="O293" s="116"/>
      <c r="P293" s="50" t="s">
        <v>6506</v>
      </c>
      <c r="Q293" s="50" t="s">
        <v>6507</v>
      </c>
      <c r="R293" s="50">
        <v>22.5432257</v>
      </c>
      <c r="S293" s="50">
        <v>88.3817828</v>
      </c>
      <c r="T293" s="50">
        <v>-34.9000015258789</v>
      </c>
      <c r="U293" s="50">
        <v>5.0</v>
      </c>
      <c r="V293" s="50">
        <v>1.0</v>
      </c>
      <c r="W293" s="50">
        <v>0.0</v>
      </c>
      <c r="X293" s="50">
        <v>0.0</v>
      </c>
      <c r="Y293" s="50">
        <v>1.0</v>
      </c>
      <c r="Z293" s="116"/>
      <c r="AA293" s="50">
        <v>1.0</v>
      </c>
      <c r="AB293" s="50">
        <v>4.0</v>
      </c>
      <c r="AC293" s="116"/>
      <c r="AD293" s="116"/>
      <c r="AE293" s="116"/>
      <c r="AF293" s="116"/>
      <c r="AG293" s="116"/>
      <c r="AH293" s="116"/>
      <c r="AI293" s="116"/>
      <c r="AJ293" s="116"/>
      <c r="AK293" s="116"/>
      <c r="AL293" s="116"/>
      <c r="AM293" s="116"/>
      <c r="AN293" s="116"/>
      <c r="AO293" s="116"/>
      <c r="AP293" s="116"/>
      <c r="AQ293" s="50" t="s">
        <v>3185</v>
      </c>
      <c r="AR293" s="50" t="s">
        <v>2472</v>
      </c>
      <c r="AS293" s="50">
        <v>1.0</v>
      </c>
      <c r="AT293" s="50" t="s">
        <v>5540</v>
      </c>
      <c r="AU293" s="117">
        <v>4917.0</v>
      </c>
      <c r="AV293" s="50" t="s">
        <v>6509</v>
      </c>
      <c r="AW293" s="50" t="s">
        <v>6510</v>
      </c>
      <c r="AX293" s="117">
        <v>292.0</v>
      </c>
    </row>
    <row r="294">
      <c r="A294" s="50" t="s">
        <v>6511</v>
      </c>
      <c r="B294" s="50" t="s">
        <v>6512</v>
      </c>
      <c r="C294" s="116"/>
      <c r="D294" s="116"/>
      <c r="E294" s="50">
        <v>3.52155090281144E14</v>
      </c>
      <c r="F294" s="50">
        <v>59.0</v>
      </c>
      <c r="G294" s="50">
        <v>99.0</v>
      </c>
      <c r="H294" s="116"/>
      <c r="I294" s="116"/>
      <c r="J294" s="116"/>
      <c r="K294" s="50">
        <v>2.0</v>
      </c>
      <c r="L294" s="50" t="s">
        <v>1562</v>
      </c>
      <c r="M294" s="50" t="s">
        <v>1562</v>
      </c>
      <c r="N294" s="116"/>
      <c r="O294" s="116"/>
      <c r="P294" s="50" t="s">
        <v>6513</v>
      </c>
      <c r="Q294" s="50" t="s">
        <v>6514</v>
      </c>
      <c r="R294" s="50">
        <v>22.5431644</v>
      </c>
      <c r="S294" s="50">
        <v>88.3819255</v>
      </c>
      <c r="T294" s="50">
        <v>-53.2000007629394</v>
      </c>
      <c r="U294" s="50">
        <v>5.0</v>
      </c>
      <c r="V294" s="50">
        <v>1.0</v>
      </c>
      <c r="W294" s="50">
        <v>0.0</v>
      </c>
      <c r="X294" s="50">
        <v>0.0</v>
      </c>
      <c r="Y294" s="50">
        <v>1.0</v>
      </c>
      <c r="Z294" s="116"/>
      <c r="AA294" s="116"/>
      <c r="AB294" s="116"/>
      <c r="AC294" s="116"/>
      <c r="AD294" s="116"/>
      <c r="AE294" s="116"/>
      <c r="AF294" s="116"/>
      <c r="AG294" s="116"/>
      <c r="AH294" s="116"/>
      <c r="AI294" s="116"/>
      <c r="AJ294" s="116"/>
      <c r="AK294" s="116"/>
      <c r="AL294" s="116"/>
      <c r="AM294" s="116"/>
      <c r="AN294" s="116"/>
      <c r="AO294" s="116"/>
      <c r="AP294" s="116"/>
      <c r="AQ294" s="50" t="s">
        <v>6515</v>
      </c>
      <c r="AR294" s="50" t="s">
        <v>2472</v>
      </c>
      <c r="AS294" s="116"/>
      <c r="AT294" s="50" t="s">
        <v>5540</v>
      </c>
      <c r="AU294" s="117">
        <v>4918.0</v>
      </c>
      <c r="AV294" s="50" t="s">
        <v>6516</v>
      </c>
      <c r="AW294" s="50" t="s">
        <v>6517</v>
      </c>
      <c r="AX294" s="117">
        <v>293.0</v>
      </c>
    </row>
    <row r="295">
      <c r="A295" s="50" t="s">
        <v>6518</v>
      </c>
      <c r="B295" s="50" t="s">
        <v>6519</v>
      </c>
      <c r="C295" s="116"/>
      <c r="D295" s="116"/>
      <c r="E295" s="50">
        <v>3.52155090281144E14</v>
      </c>
      <c r="F295" s="50">
        <v>59.0</v>
      </c>
      <c r="G295" s="50">
        <v>11.0</v>
      </c>
      <c r="H295" s="50">
        <v>4.0</v>
      </c>
      <c r="I295" s="50">
        <v>1.0</v>
      </c>
      <c r="J295" s="50" t="s">
        <v>6419</v>
      </c>
      <c r="K295" s="116"/>
      <c r="L295" s="50" t="s">
        <v>1564</v>
      </c>
      <c r="M295" s="50" t="s">
        <v>1564</v>
      </c>
      <c r="N295" s="116"/>
      <c r="O295" s="116"/>
      <c r="P295" s="50" t="s">
        <v>6520</v>
      </c>
      <c r="Q295" s="50" t="s">
        <v>6521</v>
      </c>
      <c r="R295" s="50">
        <v>22.5410424</v>
      </c>
      <c r="S295" s="50">
        <v>88.3758093</v>
      </c>
      <c r="T295" s="50">
        <v>-37.4000015258789</v>
      </c>
      <c r="U295" s="50">
        <v>5.5</v>
      </c>
      <c r="V295" s="50">
        <v>1.0</v>
      </c>
      <c r="W295" s="50">
        <v>0.0</v>
      </c>
      <c r="X295" s="50">
        <v>0.0</v>
      </c>
      <c r="Y295" s="50">
        <v>1.0</v>
      </c>
      <c r="Z295" s="116"/>
      <c r="AA295" s="50">
        <v>1.0</v>
      </c>
      <c r="AB295" s="50">
        <v>4.0</v>
      </c>
      <c r="AC295" s="116"/>
      <c r="AD295" s="116"/>
      <c r="AE295" s="116"/>
      <c r="AF295" s="116"/>
      <c r="AG295" s="116"/>
      <c r="AH295" s="116"/>
      <c r="AI295" s="116"/>
      <c r="AJ295" s="116"/>
      <c r="AK295" s="116"/>
      <c r="AL295" s="116"/>
      <c r="AM295" s="116"/>
      <c r="AN295" s="116"/>
      <c r="AO295" s="116"/>
      <c r="AP295" s="116"/>
      <c r="AQ295" s="50" t="s">
        <v>3149</v>
      </c>
      <c r="AR295" s="50" t="s">
        <v>2278</v>
      </c>
      <c r="AS295" s="50">
        <v>1.0</v>
      </c>
      <c r="AT295" s="50" t="s">
        <v>5540</v>
      </c>
      <c r="AU295" s="117">
        <v>4919.0</v>
      </c>
      <c r="AV295" s="50" t="s">
        <v>6522</v>
      </c>
      <c r="AW295" s="50" t="s">
        <v>6523</v>
      </c>
      <c r="AX295" s="117">
        <v>294.0</v>
      </c>
    </row>
    <row r="296">
      <c r="A296" s="50" t="s">
        <v>6524</v>
      </c>
      <c r="B296" s="50" t="s">
        <v>6526</v>
      </c>
      <c r="C296" s="116"/>
      <c r="D296" s="116"/>
      <c r="E296" s="50">
        <v>3.52155090281144E14</v>
      </c>
      <c r="F296" s="50">
        <v>59.0</v>
      </c>
      <c r="G296" s="50">
        <v>99.0</v>
      </c>
      <c r="H296" s="116"/>
      <c r="I296" s="116"/>
      <c r="J296" s="116"/>
      <c r="K296" s="50">
        <v>2.0</v>
      </c>
      <c r="L296" s="50" t="s">
        <v>1565</v>
      </c>
      <c r="M296" s="50" t="s">
        <v>1565</v>
      </c>
      <c r="N296" s="116"/>
      <c r="O296" s="116"/>
      <c r="P296" s="50" t="s">
        <v>6527</v>
      </c>
      <c r="Q296" s="50" t="s">
        <v>6528</v>
      </c>
      <c r="R296" s="50">
        <v>22.5409699</v>
      </c>
      <c r="S296" s="50">
        <v>88.3758421</v>
      </c>
      <c r="T296" s="50">
        <v>-35.7999992370605</v>
      </c>
      <c r="U296" s="50">
        <v>5.0</v>
      </c>
      <c r="V296" s="50">
        <v>1.0</v>
      </c>
      <c r="W296" s="50">
        <v>0.0</v>
      </c>
      <c r="X296" s="50">
        <v>0.0</v>
      </c>
      <c r="Y296" s="50">
        <v>1.0</v>
      </c>
      <c r="Z296" s="116"/>
      <c r="AA296" s="116"/>
      <c r="AB296" s="116"/>
      <c r="AC296" s="116"/>
      <c r="AD296" s="116"/>
      <c r="AE296" s="116"/>
      <c r="AF296" s="116"/>
      <c r="AG296" s="116"/>
      <c r="AH296" s="116"/>
      <c r="AI296" s="116"/>
      <c r="AJ296" s="116"/>
      <c r="AK296" s="116"/>
      <c r="AL296" s="116"/>
      <c r="AM296" s="116"/>
      <c r="AN296" s="116"/>
      <c r="AO296" s="116"/>
      <c r="AP296" s="116"/>
      <c r="AQ296" s="50" t="s">
        <v>6529</v>
      </c>
      <c r="AR296" s="50" t="s">
        <v>6530</v>
      </c>
      <c r="AS296" s="116"/>
      <c r="AT296" s="50" t="s">
        <v>5540</v>
      </c>
      <c r="AU296" s="117">
        <v>4920.0</v>
      </c>
      <c r="AV296" s="50" t="s">
        <v>6531</v>
      </c>
      <c r="AW296" s="50" t="s">
        <v>6532</v>
      </c>
      <c r="AX296" s="117">
        <v>295.0</v>
      </c>
    </row>
    <row r="297">
      <c r="A297" s="50" t="s">
        <v>6533</v>
      </c>
      <c r="B297" s="50" t="s">
        <v>6534</v>
      </c>
      <c r="C297" s="116"/>
      <c r="D297" s="116"/>
      <c r="E297" s="50">
        <v>3.52155090281144E14</v>
      </c>
      <c r="F297" s="50">
        <v>55.0</v>
      </c>
      <c r="G297" s="50">
        <v>12.0</v>
      </c>
      <c r="H297" s="116"/>
      <c r="I297" s="116"/>
      <c r="J297" s="116"/>
      <c r="K297" s="116"/>
      <c r="L297" s="50" t="s">
        <v>1558</v>
      </c>
      <c r="M297" s="50" t="s">
        <v>1558</v>
      </c>
      <c r="N297" s="50">
        <v>4.0</v>
      </c>
      <c r="O297" s="50" t="s">
        <v>6535</v>
      </c>
      <c r="P297" s="116"/>
      <c r="Q297" s="50" t="s">
        <v>6536</v>
      </c>
      <c r="R297" s="50">
        <v>22.5636348</v>
      </c>
      <c r="S297" s="50">
        <v>88.3773717</v>
      </c>
      <c r="T297" s="50">
        <v>-44.5</v>
      </c>
      <c r="U297" s="50">
        <v>5.0</v>
      </c>
      <c r="V297" s="50">
        <v>1.0</v>
      </c>
      <c r="W297" s="50">
        <v>0.0</v>
      </c>
      <c r="X297" s="50">
        <v>0.0</v>
      </c>
      <c r="Y297" s="50">
        <v>1.0</v>
      </c>
      <c r="Z297" s="116"/>
      <c r="AA297" s="116"/>
      <c r="AB297" s="116"/>
      <c r="AC297" s="116"/>
      <c r="AD297" s="116"/>
      <c r="AE297" s="50">
        <v>1.0</v>
      </c>
      <c r="AF297" s="50">
        <v>1.0</v>
      </c>
      <c r="AG297" s="50">
        <v>4.0</v>
      </c>
      <c r="AH297" s="50">
        <v>4.0</v>
      </c>
      <c r="AI297" s="116"/>
      <c r="AJ297" s="116"/>
      <c r="AK297" s="116"/>
      <c r="AL297" s="116"/>
      <c r="AM297" s="116"/>
      <c r="AN297" s="116"/>
      <c r="AO297" s="116"/>
      <c r="AP297" s="116"/>
      <c r="AQ297" s="50" t="s">
        <v>3149</v>
      </c>
      <c r="AR297" s="50" t="s">
        <v>2327</v>
      </c>
      <c r="AS297" s="50">
        <v>0.0</v>
      </c>
      <c r="AT297" s="50" t="s">
        <v>5540</v>
      </c>
      <c r="AU297" s="117">
        <v>4921.0</v>
      </c>
      <c r="AV297" s="50" t="s">
        <v>6538</v>
      </c>
      <c r="AW297" s="50" t="s">
        <v>6539</v>
      </c>
      <c r="AX297" s="117">
        <v>296.0</v>
      </c>
    </row>
    <row r="298">
      <c r="A298" s="50" t="s">
        <v>6540</v>
      </c>
      <c r="B298" s="50" t="s">
        <v>6541</v>
      </c>
      <c r="C298" s="116"/>
      <c r="D298" s="116"/>
      <c r="E298" s="50">
        <v>3.52155090281144E14</v>
      </c>
      <c r="F298" s="50">
        <v>55.0</v>
      </c>
      <c r="G298" s="50">
        <v>99.0</v>
      </c>
      <c r="H298" s="116"/>
      <c r="I298" s="116"/>
      <c r="J298" s="116"/>
      <c r="K298" s="50">
        <v>1.0</v>
      </c>
      <c r="L298" s="50" t="s">
        <v>1559</v>
      </c>
      <c r="M298" s="50" t="s">
        <v>1559</v>
      </c>
      <c r="N298" s="116"/>
      <c r="O298" s="116"/>
      <c r="P298" s="50" t="s">
        <v>6542</v>
      </c>
      <c r="Q298" s="50" t="s">
        <v>6543</v>
      </c>
      <c r="R298" s="50">
        <v>22.5636571</v>
      </c>
      <c r="S298" s="50">
        <v>88.3774255</v>
      </c>
      <c r="T298" s="50">
        <v>-67.8000030517578</v>
      </c>
      <c r="U298" s="50">
        <v>5.0</v>
      </c>
      <c r="V298" s="50">
        <v>1.0</v>
      </c>
      <c r="W298" s="50">
        <v>0.0</v>
      </c>
      <c r="X298" s="50">
        <v>0.0</v>
      </c>
      <c r="Y298" s="50">
        <v>1.0</v>
      </c>
      <c r="Z298" s="116"/>
      <c r="AA298" s="116"/>
      <c r="AB298" s="116"/>
      <c r="AC298" s="116"/>
      <c r="AD298" s="116"/>
      <c r="AE298" s="116"/>
      <c r="AF298" s="116"/>
      <c r="AG298" s="116"/>
      <c r="AH298" s="116"/>
      <c r="AI298" s="116"/>
      <c r="AJ298" s="116"/>
      <c r="AK298" s="116"/>
      <c r="AL298" s="116"/>
      <c r="AM298" s="116"/>
      <c r="AN298" s="116"/>
      <c r="AO298" s="116"/>
      <c r="AP298" s="116"/>
      <c r="AQ298" s="50" t="s">
        <v>6544</v>
      </c>
      <c r="AR298" s="50" t="s">
        <v>2327</v>
      </c>
      <c r="AS298" s="116"/>
      <c r="AT298" s="50" t="s">
        <v>5540</v>
      </c>
      <c r="AU298" s="117">
        <v>4922.0</v>
      </c>
      <c r="AV298" s="50" t="s">
        <v>6545</v>
      </c>
      <c r="AW298" s="50" t="s">
        <v>6546</v>
      </c>
      <c r="AX298" s="117">
        <v>297.0</v>
      </c>
    </row>
    <row r="299">
      <c r="A299" s="50" t="s">
        <v>6547</v>
      </c>
      <c r="B299" s="50" t="s">
        <v>6548</v>
      </c>
      <c r="C299" s="116"/>
      <c r="D299" s="116"/>
      <c r="E299" s="50">
        <v>3.52155090281144E14</v>
      </c>
      <c r="F299" s="50">
        <v>57.0</v>
      </c>
      <c r="G299" s="50">
        <v>12.0</v>
      </c>
      <c r="H299" s="116"/>
      <c r="I299" s="116"/>
      <c r="J299" s="116"/>
      <c r="K299" s="116"/>
      <c r="L299" s="50" t="s">
        <v>1557</v>
      </c>
      <c r="M299" s="50" t="s">
        <v>1557</v>
      </c>
      <c r="N299" s="50">
        <v>2.0</v>
      </c>
      <c r="O299" s="50" t="s">
        <v>6549</v>
      </c>
      <c r="P299" s="116"/>
      <c r="Q299" s="50" t="s">
        <v>6550</v>
      </c>
      <c r="R299" s="50">
        <v>22.5541951</v>
      </c>
      <c r="S299" s="50">
        <v>88.3967103</v>
      </c>
      <c r="T299" s="50">
        <v>-32.5</v>
      </c>
      <c r="U299" s="50">
        <v>5.0</v>
      </c>
      <c r="V299" s="50">
        <v>1.0</v>
      </c>
      <c r="W299" s="50">
        <v>0.0</v>
      </c>
      <c r="X299" s="50">
        <v>0.0</v>
      </c>
      <c r="Y299" s="50">
        <v>1.0</v>
      </c>
      <c r="Z299" s="116"/>
      <c r="AA299" s="116"/>
      <c r="AB299" s="116"/>
      <c r="AC299" s="116"/>
      <c r="AD299" s="116"/>
      <c r="AE299" s="50">
        <v>1.0</v>
      </c>
      <c r="AF299" s="50">
        <v>2.0</v>
      </c>
      <c r="AG299" s="50">
        <v>3.0</v>
      </c>
      <c r="AH299" s="50">
        <v>4.0</v>
      </c>
      <c r="AI299" s="116"/>
      <c r="AJ299" s="116"/>
      <c r="AK299" s="116"/>
      <c r="AL299" s="116"/>
      <c r="AM299" s="116"/>
      <c r="AN299" s="116"/>
      <c r="AO299" s="116"/>
      <c r="AP299" s="116"/>
      <c r="AQ299" s="50" t="s">
        <v>2949</v>
      </c>
      <c r="AR299" s="50" t="s">
        <v>2278</v>
      </c>
      <c r="AS299" s="50">
        <v>0.0</v>
      </c>
      <c r="AT299" s="50" t="s">
        <v>5540</v>
      </c>
      <c r="AU299" s="117">
        <v>4923.0</v>
      </c>
      <c r="AV299" s="50" t="s">
        <v>6552</v>
      </c>
      <c r="AW299" s="50" t="s">
        <v>6553</v>
      </c>
      <c r="AX299" s="117">
        <v>298.0</v>
      </c>
    </row>
    <row r="300">
      <c r="A300" s="50" t="s">
        <v>6554</v>
      </c>
      <c r="B300" s="50" t="s">
        <v>6555</v>
      </c>
      <c r="C300" s="116"/>
      <c r="D300" s="116"/>
      <c r="E300" s="50">
        <v>3.52155090281144E14</v>
      </c>
      <c r="F300" s="50">
        <v>57.0</v>
      </c>
      <c r="G300" s="50">
        <v>99.0</v>
      </c>
      <c r="H300" s="116"/>
      <c r="I300" s="116"/>
      <c r="J300" s="116"/>
      <c r="K300" s="50">
        <v>1.0</v>
      </c>
      <c r="L300" s="50" t="s">
        <v>269</v>
      </c>
      <c r="M300" s="50" t="s">
        <v>269</v>
      </c>
      <c r="N300" s="116"/>
      <c r="O300" s="116"/>
      <c r="P300" s="50" t="s">
        <v>6556</v>
      </c>
      <c r="Q300" s="50" t="s">
        <v>6557</v>
      </c>
      <c r="R300" s="50">
        <v>22.5542001</v>
      </c>
      <c r="S300" s="50">
        <v>88.3967643</v>
      </c>
      <c r="T300" s="50">
        <v>-73.8000030517578</v>
      </c>
      <c r="U300" s="50">
        <v>5.0</v>
      </c>
      <c r="V300" s="50">
        <v>1.0</v>
      </c>
      <c r="W300" s="50">
        <v>0.0</v>
      </c>
      <c r="X300" s="50">
        <v>0.0</v>
      </c>
      <c r="Y300" s="50">
        <v>1.0</v>
      </c>
      <c r="Z300" s="116"/>
      <c r="AA300" s="116"/>
      <c r="AB300" s="116"/>
      <c r="AC300" s="116"/>
      <c r="AD300" s="116"/>
      <c r="AE300" s="116"/>
      <c r="AF300" s="116"/>
      <c r="AG300" s="116"/>
      <c r="AH300" s="116"/>
      <c r="AI300" s="116"/>
      <c r="AJ300" s="116"/>
      <c r="AK300" s="116"/>
      <c r="AL300" s="116"/>
      <c r="AM300" s="116"/>
      <c r="AN300" s="116"/>
      <c r="AO300" s="116"/>
      <c r="AP300" s="116"/>
      <c r="AQ300" s="50" t="s">
        <v>6558</v>
      </c>
      <c r="AR300" s="50" t="s">
        <v>2278</v>
      </c>
      <c r="AS300" s="116"/>
      <c r="AT300" s="50" t="s">
        <v>5540</v>
      </c>
      <c r="AU300" s="117">
        <v>4924.0</v>
      </c>
      <c r="AV300" s="50" t="s">
        <v>6559</v>
      </c>
      <c r="AW300" s="50" t="s">
        <v>6560</v>
      </c>
      <c r="AX300" s="117">
        <v>299.0</v>
      </c>
    </row>
    <row r="301">
      <c r="A301" s="50" t="s">
        <v>6561</v>
      </c>
      <c r="B301" s="50" t="s">
        <v>6563</v>
      </c>
      <c r="C301" s="116"/>
      <c r="D301" s="116"/>
      <c r="E301" s="50">
        <v>3.52155090281144E14</v>
      </c>
      <c r="F301" s="50">
        <v>59.0</v>
      </c>
      <c r="G301" s="50">
        <v>11.0</v>
      </c>
      <c r="H301" s="50">
        <v>4.0</v>
      </c>
      <c r="I301" s="50">
        <v>1.0</v>
      </c>
      <c r="J301" s="50" t="s">
        <v>6051</v>
      </c>
      <c r="K301" s="116"/>
      <c r="L301" s="50" t="s">
        <v>1579</v>
      </c>
      <c r="M301" s="50" t="s">
        <v>1579</v>
      </c>
      <c r="N301" s="116"/>
      <c r="O301" s="116"/>
      <c r="P301" s="50" t="s">
        <v>6564</v>
      </c>
      <c r="Q301" s="50" t="s">
        <v>6565</v>
      </c>
      <c r="R301" s="50">
        <v>22.5440217</v>
      </c>
      <c r="S301" s="50">
        <v>88.3819502</v>
      </c>
      <c r="T301" s="50">
        <v>-60.5</v>
      </c>
      <c r="U301" s="50">
        <v>5.0</v>
      </c>
      <c r="V301" s="50">
        <v>1.0</v>
      </c>
      <c r="W301" s="50">
        <v>0.0</v>
      </c>
      <c r="X301" s="50">
        <v>0.0</v>
      </c>
      <c r="Y301" s="50">
        <v>1.0</v>
      </c>
      <c r="Z301" s="116"/>
      <c r="AA301" s="50">
        <v>2.0</v>
      </c>
      <c r="AB301" s="50">
        <v>4.0</v>
      </c>
      <c r="AC301" s="116"/>
      <c r="AD301" s="116"/>
      <c r="AE301" s="116"/>
      <c r="AF301" s="116"/>
      <c r="AG301" s="116"/>
      <c r="AH301" s="116"/>
      <c r="AI301" s="116"/>
      <c r="AJ301" s="116"/>
      <c r="AK301" s="116"/>
      <c r="AL301" s="116"/>
      <c r="AM301" s="116"/>
      <c r="AN301" s="116"/>
      <c r="AO301" s="116"/>
      <c r="AP301" s="116"/>
      <c r="AQ301" s="50" t="s">
        <v>3185</v>
      </c>
      <c r="AR301" s="50" t="s">
        <v>2327</v>
      </c>
      <c r="AS301" s="50">
        <v>1.0</v>
      </c>
      <c r="AT301" s="50" t="s">
        <v>5540</v>
      </c>
      <c r="AU301" s="117">
        <v>5038.0</v>
      </c>
      <c r="AV301" s="50" t="s">
        <v>6566</v>
      </c>
      <c r="AW301" s="50" t="s">
        <v>6567</v>
      </c>
      <c r="AX301" s="117">
        <v>300.0</v>
      </c>
    </row>
    <row r="302">
      <c r="A302" s="50" t="s">
        <v>6568</v>
      </c>
      <c r="B302" s="50" t="s">
        <v>6569</v>
      </c>
      <c r="C302" s="116"/>
      <c r="D302" s="116"/>
      <c r="E302" s="50">
        <v>3.52155090281144E14</v>
      </c>
      <c r="F302" s="50">
        <v>59.0</v>
      </c>
      <c r="G302" s="50">
        <v>99.0</v>
      </c>
      <c r="H302" s="116"/>
      <c r="I302" s="116"/>
      <c r="J302" s="116"/>
      <c r="K302" s="50">
        <v>2.0</v>
      </c>
      <c r="L302" s="50" t="s">
        <v>1580</v>
      </c>
      <c r="M302" s="50" t="s">
        <v>1580</v>
      </c>
      <c r="N302" s="116"/>
      <c r="O302" s="116"/>
      <c r="P302" s="50" t="s">
        <v>6570</v>
      </c>
      <c r="Q302" s="50" t="s">
        <v>6571</v>
      </c>
      <c r="R302" s="50">
        <v>22.5440238</v>
      </c>
      <c r="S302" s="50">
        <v>88.3819542</v>
      </c>
      <c r="T302" s="50">
        <v>-45.5</v>
      </c>
      <c r="U302" s="50">
        <v>5.0</v>
      </c>
      <c r="V302" s="50">
        <v>1.0</v>
      </c>
      <c r="W302" s="50">
        <v>0.0</v>
      </c>
      <c r="X302" s="50">
        <v>0.0</v>
      </c>
      <c r="Y302" s="50">
        <v>1.0</v>
      </c>
      <c r="Z302" s="116"/>
      <c r="AA302" s="116"/>
      <c r="AB302" s="116"/>
      <c r="AC302" s="116"/>
      <c r="AD302" s="116"/>
      <c r="AE302" s="116"/>
      <c r="AF302" s="116"/>
      <c r="AG302" s="116"/>
      <c r="AH302" s="116"/>
      <c r="AI302" s="116"/>
      <c r="AJ302" s="116"/>
      <c r="AK302" s="116"/>
      <c r="AL302" s="116"/>
      <c r="AM302" s="116"/>
      <c r="AN302" s="116"/>
      <c r="AO302" s="116"/>
      <c r="AP302" s="116"/>
      <c r="AQ302" s="50" t="s">
        <v>6572</v>
      </c>
      <c r="AR302" s="50" t="s">
        <v>2327</v>
      </c>
      <c r="AS302" s="116"/>
      <c r="AT302" s="50" t="s">
        <v>5540</v>
      </c>
      <c r="AU302" s="117">
        <v>5039.0</v>
      </c>
      <c r="AV302" s="50" t="s">
        <v>6573</v>
      </c>
      <c r="AW302" s="50" t="s">
        <v>6574</v>
      </c>
      <c r="AX302" s="117">
        <v>301.0</v>
      </c>
    </row>
    <row r="303">
      <c r="A303" s="50" t="s">
        <v>6575</v>
      </c>
      <c r="B303" s="50" t="s">
        <v>6576</v>
      </c>
      <c r="C303" s="116"/>
      <c r="D303" s="116"/>
      <c r="E303" s="50">
        <v>3.52155090281144E14</v>
      </c>
      <c r="F303" s="50">
        <v>59.0</v>
      </c>
      <c r="G303" s="50">
        <v>11.0</v>
      </c>
      <c r="H303" s="50">
        <v>4.0</v>
      </c>
      <c r="I303" s="50">
        <v>1.0</v>
      </c>
      <c r="J303" s="50" t="s">
        <v>6022</v>
      </c>
      <c r="K303" s="116"/>
      <c r="L303" s="50" t="s">
        <v>1582</v>
      </c>
      <c r="M303" s="50" t="s">
        <v>1582</v>
      </c>
      <c r="N303" s="116"/>
      <c r="O303" s="116"/>
      <c r="P303" s="50" t="s">
        <v>6577</v>
      </c>
      <c r="Q303" s="50" t="s">
        <v>6578</v>
      </c>
      <c r="R303" s="50">
        <v>22.5452227</v>
      </c>
      <c r="S303" s="50">
        <v>88.3821187</v>
      </c>
      <c r="T303" s="50">
        <v>-45.4000015258789</v>
      </c>
      <c r="U303" s="50">
        <v>5.0</v>
      </c>
      <c r="V303" s="50">
        <v>1.0</v>
      </c>
      <c r="W303" s="50">
        <v>0.0</v>
      </c>
      <c r="X303" s="50">
        <v>0.0</v>
      </c>
      <c r="Y303" s="50">
        <v>1.0</v>
      </c>
      <c r="Z303" s="116"/>
      <c r="AA303" s="50">
        <v>2.0</v>
      </c>
      <c r="AB303" s="50">
        <v>4.0</v>
      </c>
      <c r="AC303" s="116"/>
      <c r="AD303" s="116"/>
      <c r="AE303" s="116"/>
      <c r="AF303" s="116"/>
      <c r="AG303" s="116"/>
      <c r="AH303" s="116"/>
      <c r="AI303" s="116"/>
      <c r="AJ303" s="116"/>
      <c r="AK303" s="116"/>
      <c r="AL303" s="116"/>
      <c r="AM303" s="116"/>
      <c r="AN303" s="116"/>
      <c r="AO303" s="116"/>
      <c r="AP303" s="116"/>
      <c r="AQ303" s="50" t="s">
        <v>3149</v>
      </c>
      <c r="AR303" s="50" t="s">
        <v>2302</v>
      </c>
      <c r="AS303" s="50">
        <v>1.0</v>
      </c>
      <c r="AT303" s="50" t="s">
        <v>5540</v>
      </c>
      <c r="AU303" s="117">
        <v>5040.0</v>
      </c>
      <c r="AV303" s="50" t="s">
        <v>6579</v>
      </c>
      <c r="AW303" s="50" t="s">
        <v>6580</v>
      </c>
      <c r="AX303" s="117">
        <v>302.0</v>
      </c>
    </row>
    <row r="304">
      <c r="A304" s="50" t="s">
        <v>6581</v>
      </c>
      <c r="B304" s="50" t="s">
        <v>6582</v>
      </c>
      <c r="C304" s="116"/>
      <c r="D304" s="116"/>
      <c r="E304" s="50">
        <v>3.52155090281144E14</v>
      </c>
      <c r="F304" s="50">
        <v>59.0</v>
      </c>
      <c r="G304" s="50">
        <v>99.0</v>
      </c>
      <c r="H304" s="116"/>
      <c r="I304" s="116"/>
      <c r="J304" s="116"/>
      <c r="K304" s="50">
        <v>2.0</v>
      </c>
      <c r="L304" s="50" t="s">
        <v>275</v>
      </c>
      <c r="M304" s="50" t="s">
        <v>275</v>
      </c>
      <c r="N304" s="116"/>
      <c r="O304" s="116"/>
      <c r="P304" s="50" t="s">
        <v>6583</v>
      </c>
      <c r="Q304" s="50" t="s">
        <v>6584</v>
      </c>
      <c r="R304" s="50">
        <v>22.5452959</v>
      </c>
      <c r="S304" s="50">
        <v>88.3821179</v>
      </c>
      <c r="T304" s="50">
        <v>-44.2000007629394</v>
      </c>
      <c r="U304" s="50">
        <v>5.0</v>
      </c>
      <c r="V304" s="50">
        <v>1.0</v>
      </c>
      <c r="W304" s="50">
        <v>0.0</v>
      </c>
      <c r="X304" s="50">
        <v>0.0</v>
      </c>
      <c r="Y304" s="50">
        <v>1.0</v>
      </c>
      <c r="Z304" s="116"/>
      <c r="AA304" s="116"/>
      <c r="AB304" s="116"/>
      <c r="AC304" s="116"/>
      <c r="AD304" s="116"/>
      <c r="AE304" s="116"/>
      <c r="AF304" s="116"/>
      <c r="AG304" s="116"/>
      <c r="AH304" s="116"/>
      <c r="AI304" s="116"/>
      <c r="AJ304" s="116"/>
      <c r="AK304" s="116"/>
      <c r="AL304" s="116"/>
      <c r="AM304" s="116"/>
      <c r="AN304" s="116"/>
      <c r="AO304" s="116"/>
      <c r="AP304" s="116"/>
      <c r="AQ304" s="50" t="s">
        <v>6585</v>
      </c>
      <c r="AR304" s="50" t="s">
        <v>2302</v>
      </c>
      <c r="AS304" s="116"/>
      <c r="AT304" s="50" t="s">
        <v>5540</v>
      </c>
      <c r="AU304" s="117">
        <v>5041.0</v>
      </c>
      <c r="AV304" s="50" t="s">
        <v>6586</v>
      </c>
      <c r="AW304" s="50" t="s">
        <v>6587</v>
      </c>
      <c r="AX304" s="117">
        <v>303.0</v>
      </c>
    </row>
    <row r="305">
      <c r="A305" s="50" t="s">
        <v>6588</v>
      </c>
      <c r="B305" s="50" t="s">
        <v>6589</v>
      </c>
      <c r="C305" s="116"/>
      <c r="D305" s="116"/>
      <c r="E305" s="50">
        <v>3.52155090281144E14</v>
      </c>
      <c r="F305" s="50">
        <v>59.0</v>
      </c>
      <c r="G305" s="50">
        <v>11.0</v>
      </c>
      <c r="H305" s="50">
        <v>4.0</v>
      </c>
      <c r="I305" s="50">
        <v>1.0</v>
      </c>
      <c r="J305" s="50" t="s">
        <v>6037</v>
      </c>
      <c r="K305" s="116"/>
      <c r="L305" s="50" t="s">
        <v>1583</v>
      </c>
      <c r="M305" s="50" t="s">
        <v>1583</v>
      </c>
      <c r="N305" s="116"/>
      <c r="O305" s="116"/>
      <c r="P305" s="50" t="s">
        <v>6590</v>
      </c>
      <c r="Q305" s="50" t="s">
        <v>6591</v>
      </c>
      <c r="R305" s="50">
        <v>22.545243</v>
      </c>
      <c r="S305" s="50">
        <v>88.382054</v>
      </c>
      <c r="T305" s="50">
        <v>-51.2000007629394</v>
      </c>
      <c r="U305" s="50">
        <v>4.5</v>
      </c>
      <c r="V305" s="50">
        <v>1.0</v>
      </c>
      <c r="W305" s="50">
        <v>0.0</v>
      </c>
      <c r="X305" s="50">
        <v>0.0</v>
      </c>
      <c r="Y305" s="50">
        <v>1.0</v>
      </c>
      <c r="Z305" s="116"/>
      <c r="AA305" s="50">
        <v>1.0</v>
      </c>
      <c r="AB305" s="50">
        <v>4.0</v>
      </c>
      <c r="AC305" s="116"/>
      <c r="AD305" s="116"/>
      <c r="AE305" s="116"/>
      <c r="AF305" s="116"/>
      <c r="AG305" s="116"/>
      <c r="AH305" s="116"/>
      <c r="AI305" s="116"/>
      <c r="AJ305" s="116"/>
      <c r="AK305" s="116"/>
      <c r="AL305" s="116"/>
      <c r="AM305" s="116"/>
      <c r="AN305" s="116"/>
      <c r="AO305" s="116"/>
      <c r="AP305" s="116"/>
      <c r="AQ305" s="50" t="s">
        <v>2949</v>
      </c>
      <c r="AR305" s="50" t="s">
        <v>2472</v>
      </c>
      <c r="AS305" s="50">
        <v>1.0</v>
      </c>
      <c r="AT305" s="50" t="s">
        <v>5540</v>
      </c>
      <c r="AU305" s="117">
        <v>5042.0</v>
      </c>
      <c r="AV305" s="50" t="s">
        <v>6592</v>
      </c>
      <c r="AW305" s="50" t="s">
        <v>6593</v>
      </c>
      <c r="AX305" s="117">
        <v>304.0</v>
      </c>
    </row>
    <row r="306">
      <c r="A306" s="50" t="s">
        <v>6594</v>
      </c>
      <c r="B306" s="50" t="s">
        <v>6595</v>
      </c>
      <c r="C306" s="116"/>
      <c r="D306" s="116"/>
      <c r="E306" s="50">
        <v>3.52155090281144E14</v>
      </c>
      <c r="F306" s="50">
        <v>59.0</v>
      </c>
      <c r="G306" s="50">
        <v>99.0</v>
      </c>
      <c r="H306" s="116"/>
      <c r="I306" s="116"/>
      <c r="J306" s="116"/>
      <c r="K306" s="50">
        <v>2.0</v>
      </c>
      <c r="L306" s="50" t="s">
        <v>1584</v>
      </c>
      <c r="M306" s="50" t="s">
        <v>1584</v>
      </c>
      <c r="N306" s="116"/>
      <c r="O306" s="116"/>
      <c r="P306" s="50" t="s">
        <v>6596</v>
      </c>
      <c r="Q306" s="50" t="s">
        <v>6597</v>
      </c>
      <c r="R306" s="50">
        <v>22.5452618</v>
      </c>
      <c r="S306" s="50">
        <v>88.3821291</v>
      </c>
      <c r="T306" s="50">
        <v>-57.9000015258789</v>
      </c>
      <c r="U306" s="50">
        <v>5.0</v>
      </c>
      <c r="V306" s="50">
        <v>1.0</v>
      </c>
      <c r="W306" s="50">
        <v>0.0</v>
      </c>
      <c r="X306" s="50">
        <v>0.0</v>
      </c>
      <c r="Y306" s="50">
        <v>1.0</v>
      </c>
      <c r="Z306" s="116"/>
      <c r="AA306" s="116"/>
      <c r="AB306" s="116"/>
      <c r="AC306" s="116"/>
      <c r="AD306" s="116"/>
      <c r="AE306" s="116"/>
      <c r="AF306" s="116"/>
      <c r="AG306" s="116"/>
      <c r="AH306" s="116"/>
      <c r="AI306" s="116"/>
      <c r="AJ306" s="116"/>
      <c r="AK306" s="116"/>
      <c r="AL306" s="116"/>
      <c r="AM306" s="116"/>
      <c r="AN306" s="116"/>
      <c r="AO306" s="116"/>
      <c r="AP306" s="116"/>
      <c r="AQ306" s="50" t="s">
        <v>6598</v>
      </c>
      <c r="AR306" s="50" t="s">
        <v>2472</v>
      </c>
      <c r="AS306" s="116"/>
      <c r="AT306" s="50" t="s">
        <v>5540</v>
      </c>
      <c r="AU306" s="117">
        <v>5043.0</v>
      </c>
      <c r="AV306" s="50" t="s">
        <v>6599</v>
      </c>
      <c r="AW306" s="50" t="s">
        <v>6600</v>
      </c>
      <c r="AX306" s="117">
        <v>305.0</v>
      </c>
    </row>
    <row r="307">
      <c r="A307" s="50" t="s">
        <v>6601</v>
      </c>
      <c r="B307" s="50" t="s">
        <v>6602</v>
      </c>
      <c r="C307" s="116"/>
      <c r="D307" s="116"/>
      <c r="E307" s="50">
        <v>3.52155090281144E14</v>
      </c>
      <c r="F307" s="50">
        <v>59.0</v>
      </c>
      <c r="G307" s="50">
        <v>11.0</v>
      </c>
      <c r="H307" s="50">
        <v>4.0</v>
      </c>
      <c r="I307" s="50">
        <v>1.0</v>
      </c>
      <c r="J307" s="50" t="s">
        <v>6064</v>
      </c>
      <c r="K307" s="116"/>
      <c r="L307" s="50" t="s">
        <v>1586</v>
      </c>
      <c r="M307" s="50" t="s">
        <v>1586</v>
      </c>
      <c r="N307" s="116"/>
      <c r="O307" s="116"/>
      <c r="P307" s="50" t="s">
        <v>6603</v>
      </c>
      <c r="Q307" s="50" t="s">
        <v>6604</v>
      </c>
      <c r="R307" s="50">
        <v>22.5430311</v>
      </c>
      <c r="S307" s="50">
        <v>88.3755003</v>
      </c>
      <c r="T307" s="50">
        <v>-46.2000007629394</v>
      </c>
      <c r="U307" s="50">
        <v>5.0</v>
      </c>
      <c r="V307" s="50">
        <v>1.0</v>
      </c>
      <c r="W307" s="50">
        <v>0.0</v>
      </c>
      <c r="X307" s="50">
        <v>0.0</v>
      </c>
      <c r="Y307" s="50">
        <v>1.0</v>
      </c>
      <c r="Z307" s="116"/>
      <c r="AA307" s="50">
        <v>2.0</v>
      </c>
      <c r="AB307" s="50">
        <v>4.0</v>
      </c>
      <c r="AC307" s="116"/>
      <c r="AD307" s="116"/>
      <c r="AE307" s="116"/>
      <c r="AF307" s="116"/>
      <c r="AG307" s="116"/>
      <c r="AH307" s="116"/>
      <c r="AI307" s="116"/>
      <c r="AJ307" s="116"/>
      <c r="AK307" s="116"/>
      <c r="AL307" s="116"/>
      <c r="AM307" s="116"/>
      <c r="AN307" s="116"/>
      <c r="AO307" s="116"/>
      <c r="AP307" s="116"/>
      <c r="AQ307" s="50" t="s">
        <v>3200</v>
      </c>
      <c r="AR307" s="50" t="s">
        <v>2286</v>
      </c>
      <c r="AS307" s="50">
        <v>1.0</v>
      </c>
      <c r="AT307" s="50" t="s">
        <v>5540</v>
      </c>
      <c r="AU307" s="117">
        <v>5044.0</v>
      </c>
      <c r="AV307" s="50" t="s">
        <v>6605</v>
      </c>
      <c r="AW307" s="50" t="s">
        <v>6606</v>
      </c>
      <c r="AX307" s="117">
        <v>306.0</v>
      </c>
    </row>
    <row r="308">
      <c r="A308" s="50" t="s">
        <v>6607</v>
      </c>
      <c r="B308" s="50" t="s">
        <v>6608</v>
      </c>
      <c r="C308" s="116"/>
      <c r="D308" s="116"/>
      <c r="E308" s="50">
        <v>3.52155090281144E14</v>
      </c>
      <c r="F308" s="50">
        <v>59.0</v>
      </c>
      <c r="G308" s="50">
        <v>99.0</v>
      </c>
      <c r="H308" s="116"/>
      <c r="I308" s="116"/>
      <c r="J308" s="116"/>
      <c r="K308" s="50">
        <v>2.0</v>
      </c>
      <c r="L308" s="50" t="s">
        <v>1587</v>
      </c>
      <c r="M308" s="50" t="s">
        <v>1587</v>
      </c>
      <c r="N308" s="116"/>
      <c r="O308" s="116"/>
      <c r="P308" s="50" t="s">
        <v>6609</v>
      </c>
      <c r="Q308" s="50" t="s">
        <v>6610</v>
      </c>
      <c r="R308" s="50">
        <v>22.5430304</v>
      </c>
      <c r="S308" s="50">
        <v>88.3755734</v>
      </c>
      <c r="T308" s="50">
        <v>-49.7999992370605</v>
      </c>
      <c r="U308" s="50">
        <v>5.0</v>
      </c>
      <c r="V308" s="50">
        <v>1.0</v>
      </c>
      <c r="W308" s="50">
        <v>0.0</v>
      </c>
      <c r="X308" s="50">
        <v>0.0</v>
      </c>
      <c r="Y308" s="50">
        <v>1.0</v>
      </c>
      <c r="Z308" s="116"/>
      <c r="AA308" s="116"/>
      <c r="AB308" s="116"/>
      <c r="AC308" s="116"/>
      <c r="AD308" s="116"/>
      <c r="AE308" s="116"/>
      <c r="AF308" s="116"/>
      <c r="AG308" s="116"/>
      <c r="AH308" s="116"/>
      <c r="AI308" s="116"/>
      <c r="AJ308" s="116"/>
      <c r="AK308" s="116"/>
      <c r="AL308" s="116"/>
      <c r="AM308" s="116"/>
      <c r="AN308" s="116"/>
      <c r="AO308" s="116"/>
      <c r="AP308" s="116"/>
      <c r="AQ308" s="50" t="s">
        <v>6611</v>
      </c>
      <c r="AR308" s="50" t="s">
        <v>2286</v>
      </c>
      <c r="AS308" s="116"/>
      <c r="AT308" s="50" t="s">
        <v>5540</v>
      </c>
      <c r="AU308" s="117">
        <v>5045.0</v>
      </c>
      <c r="AV308" s="50" t="s">
        <v>6612</v>
      </c>
      <c r="AW308" s="50" t="s">
        <v>6613</v>
      </c>
      <c r="AX308" s="117">
        <v>307.0</v>
      </c>
    </row>
    <row r="309">
      <c r="A309" s="50" t="s">
        <v>6614</v>
      </c>
      <c r="B309" s="50" t="s">
        <v>6615</v>
      </c>
      <c r="C309" s="116"/>
      <c r="D309" s="116"/>
      <c r="E309" s="50">
        <v>3.52155090281144E14</v>
      </c>
      <c r="F309" s="50">
        <v>59.0</v>
      </c>
      <c r="G309" s="50">
        <v>11.0</v>
      </c>
      <c r="H309" s="50">
        <v>4.0</v>
      </c>
      <c r="I309" s="50">
        <v>1.0</v>
      </c>
      <c r="J309" s="50" t="s">
        <v>6077</v>
      </c>
      <c r="K309" s="116"/>
      <c r="L309" s="50" t="s">
        <v>1589</v>
      </c>
      <c r="M309" s="50" t="s">
        <v>1589</v>
      </c>
      <c r="N309" s="116"/>
      <c r="O309" s="116"/>
      <c r="P309" s="50" t="s">
        <v>6616</v>
      </c>
      <c r="Q309" s="50" t="s">
        <v>6617</v>
      </c>
      <c r="R309" s="50">
        <v>22.5410391</v>
      </c>
      <c r="S309" s="50">
        <v>88.3742754</v>
      </c>
      <c r="T309" s="50">
        <v>-65.4000015258789</v>
      </c>
      <c r="U309" s="50">
        <v>5.0</v>
      </c>
      <c r="V309" s="50">
        <v>1.0</v>
      </c>
      <c r="W309" s="50">
        <v>0.0</v>
      </c>
      <c r="X309" s="50">
        <v>0.0</v>
      </c>
      <c r="Y309" s="50">
        <v>1.0</v>
      </c>
      <c r="Z309" s="116"/>
      <c r="AA309" s="50">
        <v>1.0</v>
      </c>
      <c r="AB309" s="50">
        <v>4.0</v>
      </c>
      <c r="AC309" s="116"/>
      <c r="AD309" s="116"/>
      <c r="AE309" s="116"/>
      <c r="AF309" s="116"/>
      <c r="AG309" s="116"/>
      <c r="AH309" s="116"/>
      <c r="AI309" s="116"/>
      <c r="AJ309" s="116"/>
      <c r="AK309" s="116"/>
      <c r="AL309" s="116"/>
      <c r="AM309" s="116"/>
      <c r="AN309" s="116"/>
      <c r="AO309" s="116"/>
      <c r="AP309" s="116"/>
      <c r="AQ309" s="50" t="s">
        <v>3149</v>
      </c>
      <c r="AR309" s="50" t="s">
        <v>2327</v>
      </c>
      <c r="AS309" s="50">
        <v>1.0</v>
      </c>
      <c r="AT309" s="50" t="s">
        <v>5540</v>
      </c>
      <c r="AU309" s="117">
        <v>5046.0</v>
      </c>
      <c r="AV309" s="50" t="s">
        <v>6618</v>
      </c>
      <c r="AW309" s="50" t="s">
        <v>6619</v>
      </c>
      <c r="AX309" s="117">
        <v>308.0</v>
      </c>
    </row>
    <row r="310">
      <c r="A310" s="50" t="s">
        <v>6620</v>
      </c>
      <c r="B310" s="50" t="s">
        <v>6621</v>
      </c>
      <c r="C310" s="116"/>
      <c r="D310" s="116"/>
      <c r="E310" s="50">
        <v>3.52155090281144E14</v>
      </c>
      <c r="F310" s="50">
        <v>59.0</v>
      </c>
      <c r="G310" s="50">
        <v>99.0</v>
      </c>
      <c r="H310" s="116"/>
      <c r="I310" s="116"/>
      <c r="J310" s="116"/>
      <c r="K310" s="50">
        <v>2.0</v>
      </c>
      <c r="L310" s="50" t="s">
        <v>1590</v>
      </c>
      <c r="M310" s="50" t="s">
        <v>1590</v>
      </c>
      <c r="N310" s="116"/>
      <c r="O310" s="116"/>
      <c r="P310" s="50" t="s">
        <v>6622</v>
      </c>
      <c r="Q310" s="50" t="s">
        <v>6623</v>
      </c>
      <c r="R310" s="50">
        <v>22.5411531</v>
      </c>
      <c r="S310" s="50">
        <v>88.3742595</v>
      </c>
      <c r="T310" s="50">
        <v>-50.099998474121</v>
      </c>
      <c r="U310" s="50">
        <v>5.0</v>
      </c>
      <c r="V310" s="50">
        <v>1.0</v>
      </c>
      <c r="W310" s="50">
        <v>0.0</v>
      </c>
      <c r="X310" s="50">
        <v>0.0</v>
      </c>
      <c r="Y310" s="50">
        <v>1.0</v>
      </c>
      <c r="Z310" s="116"/>
      <c r="AA310" s="116"/>
      <c r="AB310" s="116"/>
      <c r="AC310" s="116"/>
      <c r="AD310" s="116"/>
      <c r="AE310" s="116"/>
      <c r="AF310" s="116"/>
      <c r="AG310" s="116"/>
      <c r="AH310" s="116"/>
      <c r="AI310" s="116"/>
      <c r="AJ310" s="116"/>
      <c r="AK310" s="116"/>
      <c r="AL310" s="116"/>
      <c r="AM310" s="116"/>
      <c r="AN310" s="116"/>
      <c r="AO310" s="116"/>
      <c r="AP310" s="116"/>
      <c r="AQ310" s="50" t="s">
        <v>6625</v>
      </c>
      <c r="AR310" s="50" t="s">
        <v>2327</v>
      </c>
      <c r="AS310" s="116"/>
      <c r="AT310" s="50" t="s">
        <v>5540</v>
      </c>
      <c r="AU310" s="117">
        <v>5047.0</v>
      </c>
      <c r="AV310" s="50" t="s">
        <v>6626</v>
      </c>
      <c r="AW310" s="50" t="s">
        <v>6627</v>
      </c>
      <c r="AX310" s="117">
        <v>309.0</v>
      </c>
    </row>
    <row r="311">
      <c r="A311" s="50" t="s">
        <v>6628</v>
      </c>
      <c r="B311" s="50" t="s">
        <v>6629</v>
      </c>
      <c r="C311" s="116"/>
      <c r="D311" s="116"/>
      <c r="E311" s="50">
        <v>3.52155090281144E14</v>
      </c>
      <c r="F311" s="50">
        <v>59.0</v>
      </c>
      <c r="G311" s="50">
        <v>12.0</v>
      </c>
      <c r="H311" s="116"/>
      <c r="I311" s="116"/>
      <c r="J311" s="116"/>
      <c r="K311" s="116"/>
      <c r="L311" s="50" t="s">
        <v>1576</v>
      </c>
      <c r="M311" s="50" t="s">
        <v>1576</v>
      </c>
      <c r="N311" s="50">
        <v>6.0</v>
      </c>
      <c r="O311" s="50" t="s">
        <v>6630</v>
      </c>
      <c r="P311" s="116"/>
      <c r="Q311" s="50" t="s">
        <v>6631</v>
      </c>
      <c r="R311" s="50">
        <v>22.5399961</v>
      </c>
      <c r="S311" s="50">
        <v>88.3872925</v>
      </c>
      <c r="T311" s="50">
        <v>-45.7000007629394</v>
      </c>
      <c r="U311" s="50">
        <v>4.5</v>
      </c>
      <c r="V311" s="50">
        <v>1.0</v>
      </c>
      <c r="W311" s="50">
        <v>0.0</v>
      </c>
      <c r="X311" s="50">
        <v>0.0</v>
      </c>
      <c r="Y311" s="50">
        <v>1.0</v>
      </c>
      <c r="Z311" s="116"/>
      <c r="AA311" s="116"/>
      <c r="AB311" s="116"/>
      <c r="AC311" s="116"/>
      <c r="AD311" s="116"/>
      <c r="AE311" s="50">
        <v>1.0</v>
      </c>
      <c r="AF311" s="50">
        <v>2.0</v>
      </c>
      <c r="AG311" s="50">
        <v>4.0</v>
      </c>
      <c r="AH311" s="50">
        <v>4.0</v>
      </c>
      <c r="AI311" s="116"/>
      <c r="AJ311" s="116"/>
      <c r="AK311" s="116"/>
      <c r="AL311" s="116"/>
      <c r="AM311" s="116"/>
      <c r="AN311" s="116"/>
      <c r="AO311" s="116"/>
      <c r="AP311" s="116"/>
      <c r="AQ311" s="50" t="s">
        <v>2979</v>
      </c>
      <c r="AR311" s="50" t="s">
        <v>2327</v>
      </c>
      <c r="AS311" s="50">
        <v>0.0</v>
      </c>
      <c r="AT311" s="50" t="s">
        <v>5540</v>
      </c>
      <c r="AU311" s="117">
        <v>5048.0</v>
      </c>
      <c r="AV311" s="50" t="s">
        <v>6633</v>
      </c>
      <c r="AW311" s="50" t="s">
        <v>6634</v>
      </c>
      <c r="AX311" s="117">
        <v>310.0</v>
      </c>
    </row>
    <row r="312">
      <c r="A312" s="50" t="s">
        <v>6635</v>
      </c>
      <c r="B312" s="50" t="s">
        <v>6636</v>
      </c>
      <c r="C312" s="116"/>
      <c r="D312" s="116"/>
      <c r="E312" s="50">
        <v>3.52155090281144E14</v>
      </c>
      <c r="F312" s="50">
        <v>59.0</v>
      </c>
      <c r="G312" s="50">
        <v>99.0</v>
      </c>
      <c r="H312" s="116"/>
      <c r="I312" s="116"/>
      <c r="J312" s="116"/>
      <c r="K312" s="50">
        <v>1.0</v>
      </c>
      <c r="L312" s="50" t="s">
        <v>1577</v>
      </c>
      <c r="M312" s="50" t="s">
        <v>1577</v>
      </c>
      <c r="N312" s="116"/>
      <c r="O312" s="116"/>
      <c r="P312" s="50" t="s">
        <v>6637</v>
      </c>
      <c r="Q312" s="50" t="s">
        <v>6638</v>
      </c>
      <c r="R312" s="50">
        <v>22.5400099</v>
      </c>
      <c r="S312" s="50">
        <v>88.3871859</v>
      </c>
      <c r="T312" s="50">
        <v>-56.099998474121</v>
      </c>
      <c r="U312" s="50">
        <v>5.0</v>
      </c>
      <c r="V312" s="50">
        <v>1.0</v>
      </c>
      <c r="W312" s="50">
        <v>0.0</v>
      </c>
      <c r="X312" s="50">
        <v>0.0</v>
      </c>
      <c r="Y312" s="50">
        <v>1.0</v>
      </c>
      <c r="Z312" s="116"/>
      <c r="AA312" s="116"/>
      <c r="AB312" s="116"/>
      <c r="AC312" s="116"/>
      <c r="AD312" s="116"/>
      <c r="AE312" s="116"/>
      <c r="AF312" s="116"/>
      <c r="AG312" s="116"/>
      <c r="AH312" s="116"/>
      <c r="AI312" s="116"/>
      <c r="AJ312" s="116"/>
      <c r="AK312" s="116"/>
      <c r="AL312" s="116"/>
      <c r="AM312" s="116"/>
      <c r="AN312" s="116"/>
      <c r="AO312" s="116"/>
      <c r="AP312" s="116"/>
      <c r="AQ312" s="50" t="s">
        <v>6639</v>
      </c>
      <c r="AR312" s="50" t="s">
        <v>2327</v>
      </c>
      <c r="AS312" s="116"/>
      <c r="AT312" s="50" t="s">
        <v>5540</v>
      </c>
      <c r="AU312" s="117">
        <v>5049.0</v>
      </c>
      <c r="AV312" s="50" t="s">
        <v>6640</v>
      </c>
      <c r="AW312" s="50" t="s">
        <v>6642</v>
      </c>
      <c r="AX312" s="117">
        <v>311.0</v>
      </c>
    </row>
    <row r="313">
      <c r="A313" s="50" t="s">
        <v>6643</v>
      </c>
      <c r="B313" s="50" t="s">
        <v>6644</v>
      </c>
      <c r="C313" s="116"/>
      <c r="D313" s="116"/>
      <c r="E313" s="50">
        <v>3.52155090281144E14</v>
      </c>
      <c r="F313" s="50">
        <v>66.0</v>
      </c>
      <c r="G313" s="50">
        <v>12.0</v>
      </c>
      <c r="H313" s="116"/>
      <c r="I313" s="116"/>
      <c r="J313" s="116"/>
      <c r="K313" s="116"/>
      <c r="L313" s="50" t="s">
        <v>1573</v>
      </c>
      <c r="M313" s="50" t="s">
        <v>1573</v>
      </c>
      <c r="N313" s="50">
        <v>5.0</v>
      </c>
      <c r="O313" s="50" t="s">
        <v>6645</v>
      </c>
      <c r="P313" s="116"/>
      <c r="Q313" s="50" t="s">
        <v>6646</v>
      </c>
      <c r="R313" s="50">
        <v>22.5346126</v>
      </c>
      <c r="S313" s="50">
        <v>88.3958818</v>
      </c>
      <c r="T313" s="50">
        <v>-51.4000015258789</v>
      </c>
      <c r="U313" s="50">
        <v>4.5</v>
      </c>
      <c r="V313" s="50">
        <v>1.0</v>
      </c>
      <c r="W313" s="50">
        <v>0.0</v>
      </c>
      <c r="X313" s="50">
        <v>0.0</v>
      </c>
      <c r="Y313" s="50">
        <v>1.0</v>
      </c>
      <c r="Z313" s="116"/>
      <c r="AA313" s="116"/>
      <c r="AB313" s="116"/>
      <c r="AC313" s="116"/>
      <c r="AD313" s="116"/>
      <c r="AE313" s="50">
        <v>1.0</v>
      </c>
      <c r="AF313" s="50">
        <v>2.0</v>
      </c>
      <c r="AG313" s="50">
        <v>3.0</v>
      </c>
      <c r="AH313" s="50">
        <v>4.0</v>
      </c>
      <c r="AI313" s="116"/>
      <c r="AJ313" s="116"/>
      <c r="AK313" s="116"/>
      <c r="AL313" s="116"/>
      <c r="AM313" s="116"/>
      <c r="AN313" s="116"/>
      <c r="AO313" s="116"/>
      <c r="AP313" s="116"/>
      <c r="AQ313" s="50" t="s">
        <v>3200</v>
      </c>
      <c r="AR313" s="50" t="s">
        <v>2278</v>
      </c>
      <c r="AS313" s="50">
        <v>0.0</v>
      </c>
      <c r="AT313" s="50" t="s">
        <v>5540</v>
      </c>
      <c r="AU313" s="117">
        <v>5050.0</v>
      </c>
      <c r="AV313" s="50" t="s">
        <v>6647</v>
      </c>
      <c r="AW313" s="50" t="s">
        <v>6648</v>
      </c>
      <c r="AX313" s="117">
        <v>312.0</v>
      </c>
    </row>
    <row r="314">
      <c r="A314" s="50" t="s">
        <v>6649</v>
      </c>
      <c r="B314" s="50" t="s">
        <v>6650</v>
      </c>
      <c r="C314" s="116"/>
      <c r="D314" s="116"/>
      <c r="E314" s="50">
        <v>3.52155090281144E14</v>
      </c>
      <c r="F314" s="50">
        <v>66.0</v>
      </c>
      <c r="G314" s="50">
        <v>99.0</v>
      </c>
      <c r="H314" s="116"/>
      <c r="I314" s="116"/>
      <c r="J314" s="116"/>
      <c r="K314" s="50">
        <v>1.0</v>
      </c>
      <c r="L314" s="50" t="s">
        <v>1574</v>
      </c>
      <c r="M314" s="50" t="s">
        <v>1574</v>
      </c>
      <c r="N314" s="116"/>
      <c r="O314" s="116"/>
      <c r="P314" s="50" t="s">
        <v>6652</v>
      </c>
      <c r="Q314" s="50" t="s">
        <v>6653</v>
      </c>
      <c r="R314" s="50">
        <v>22.5345833</v>
      </c>
      <c r="S314" s="50">
        <v>88.3960044</v>
      </c>
      <c r="T314" s="50">
        <v>-56.7999992370605</v>
      </c>
      <c r="U314" s="50">
        <v>5.0</v>
      </c>
      <c r="V314" s="50">
        <v>1.0</v>
      </c>
      <c r="W314" s="50">
        <v>0.0</v>
      </c>
      <c r="X314" s="50">
        <v>0.0</v>
      </c>
      <c r="Y314" s="50">
        <v>1.0</v>
      </c>
      <c r="Z314" s="116"/>
      <c r="AA314" s="116"/>
      <c r="AB314" s="116"/>
      <c r="AC314" s="116"/>
      <c r="AD314" s="116"/>
      <c r="AE314" s="116"/>
      <c r="AF314" s="116"/>
      <c r="AG314" s="116"/>
      <c r="AH314" s="116"/>
      <c r="AI314" s="116"/>
      <c r="AJ314" s="116"/>
      <c r="AK314" s="116"/>
      <c r="AL314" s="116"/>
      <c r="AM314" s="116"/>
      <c r="AN314" s="116"/>
      <c r="AO314" s="116"/>
      <c r="AP314" s="116"/>
      <c r="AQ314" s="50" t="s">
        <v>6654</v>
      </c>
      <c r="AR314" s="50" t="s">
        <v>2278</v>
      </c>
      <c r="AS314" s="116"/>
      <c r="AT314" s="50" t="s">
        <v>5540</v>
      </c>
      <c r="AU314" s="117">
        <v>5051.0</v>
      </c>
      <c r="AV314" s="50" t="s">
        <v>6655</v>
      </c>
      <c r="AW314" s="50" t="s">
        <v>6656</v>
      </c>
      <c r="AX314" s="117">
        <v>313.0</v>
      </c>
    </row>
    <row r="315">
      <c r="A315" s="50" t="s">
        <v>6657</v>
      </c>
      <c r="B315" s="50" t="s">
        <v>6658</v>
      </c>
      <c r="C315" s="116"/>
      <c r="D315" s="116"/>
      <c r="E315" s="50">
        <v>3.52155090281144E14</v>
      </c>
      <c r="F315" s="50">
        <v>59.0</v>
      </c>
      <c r="G315" s="50">
        <v>11.0</v>
      </c>
      <c r="H315" s="50">
        <v>4.0</v>
      </c>
      <c r="I315" s="50">
        <v>1.0</v>
      </c>
      <c r="J315" s="50" t="s">
        <v>6404</v>
      </c>
      <c r="K315" s="116"/>
      <c r="L315" s="50" t="s">
        <v>1595</v>
      </c>
      <c r="M315" s="50" t="s">
        <v>1595</v>
      </c>
      <c r="N315" s="116"/>
      <c r="O315" s="116"/>
      <c r="P315" s="50" t="s">
        <v>6660</v>
      </c>
      <c r="Q315" s="50" t="s">
        <v>6661</v>
      </c>
      <c r="R315" s="50">
        <v>22.5431584</v>
      </c>
      <c r="S315" s="50">
        <v>88.3818802</v>
      </c>
      <c r="T315" s="50">
        <v>-53.9000015258789</v>
      </c>
      <c r="U315" s="50">
        <v>6.0</v>
      </c>
      <c r="V315" s="50">
        <v>2.0</v>
      </c>
      <c r="W315" s="50">
        <v>0.0</v>
      </c>
      <c r="X315" s="50">
        <v>0.0</v>
      </c>
      <c r="Y315" s="50">
        <v>1.0</v>
      </c>
      <c r="Z315" s="116"/>
      <c r="AA315" s="50">
        <v>1.0</v>
      </c>
      <c r="AB315" s="50">
        <v>4.0</v>
      </c>
      <c r="AC315" s="116"/>
      <c r="AD315" s="116"/>
      <c r="AE315" s="116"/>
      <c r="AF315" s="116"/>
      <c r="AG315" s="116"/>
      <c r="AH315" s="116"/>
      <c r="AI315" s="116"/>
      <c r="AJ315" s="116"/>
      <c r="AK315" s="116"/>
      <c r="AL315" s="116"/>
      <c r="AM315" s="116"/>
      <c r="AN315" s="116"/>
      <c r="AO315" s="116"/>
      <c r="AP315" s="116"/>
      <c r="AQ315" s="50" t="s">
        <v>3185</v>
      </c>
      <c r="AR315" s="50" t="s">
        <v>2302</v>
      </c>
      <c r="AS315" s="50">
        <v>0.0</v>
      </c>
      <c r="AT315" s="50" t="s">
        <v>5540</v>
      </c>
      <c r="AU315" s="117">
        <v>5130.0</v>
      </c>
      <c r="AV315" s="50" t="s">
        <v>6662</v>
      </c>
      <c r="AW315" s="50" t="s">
        <v>6663</v>
      </c>
      <c r="AX315" s="117">
        <v>314.0</v>
      </c>
    </row>
    <row r="316">
      <c r="A316" s="50" t="s">
        <v>6664</v>
      </c>
      <c r="B316" s="50" t="s">
        <v>6665</v>
      </c>
      <c r="C316" s="116"/>
      <c r="D316" s="116"/>
      <c r="E316" s="50">
        <v>3.52155090281144E14</v>
      </c>
      <c r="F316" s="50">
        <v>59.0</v>
      </c>
      <c r="G316" s="50">
        <v>99.0</v>
      </c>
      <c r="H316" s="116"/>
      <c r="I316" s="116"/>
      <c r="J316" s="116"/>
      <c r="K316" s="50">
        <v>2.0</v>
      </c>
      <c r="L316" s="50" t="s">
        <v>279</v>
      </c>
      <c r="M316" s="50" t="s">
        <v>279</v>
      </c>
      <c r="N316" s="116"/>
      <c r="O316" s="116"/>
      <c r="P316" s="50" t="s">
        <v>6666</v>
      </c>
      <c r="Q316" s="50" t="s">
        <v>6667</v>
      </c>
      <c r="R316" s="50">
        <v>22.5432015</v>
      </c>
      <c r="S316" s="50">
        <v>88.3818367</v>
      </c>
      <c r="T316" s="50">
        <v>-42.2999992370605</v>
      </c>
      <c r="U316" s="50">
        <v>6.0</v>
      </c>
      <c r="V316" s="50">
        <v>2.0</v>
      </c>
      <c r="W316" s="50">
        <v>0.0</v>
      </c>
      <c r="X316" s="50">
        <v>0.0</v>
      </c>
      <c r="Y316" s="50">
        <v>1.0</v>
      </c>
      <c r="Z316" s="116"/>
      <c r="AA316" s="116"/>
      <c r="AB316" s="116"/>
      <c r="AC316" s="116"/>
      <c r="AD316" s="116"/>
      <c r="AE316" s="116"/>
      <c r="AF316" s="116"/>
      <c r="AG316" s="116"/>
      <c r="AH316" s="116"/>
      <c r="AI316" s="116"/>
      <c r="AJ316" s="116"/>
      <c r="AK316" s="116"/>
      <c r="AL316" s="116"/>
      <c r="AM316" s="116"/>
      <c r="AN316" s="116"/>
      <c r="AO316" s="116"/>
      <c r="AP316" s="116"/>
      <c r="AQ316" s="50" t="s">
        <v>6669</v>
      </c>
      <c r="AR316" s="50" t="s">
        <v>2302</v>
      </c>
      <c r="AS316" s="116"/>
      <c r="AT316" s="50" t="s">
        <v>5540</v>
      </c>
      <c r="AU316" s="117">
        <v>5131.0</v>
      </c>
      <c r="AV316" s="50" t="s">
        <v>6670</v>
      </c>
      <c r="AW316" s="50" t="s">
        <v>6671</v>
      </c>
      <c r="AX316" s="117">
        <v>315.0</v>
      </c>
    </row>
    <row r="317">
      <c r="A317" s="50" t="s">
        <v>6672</v>
      </c>
      <c r="B317" s="50" t="s">
        <v>6673</v>
      </c>
      <c r="C317" s="116"/>
      <c r="D317" s="116"/>
      <c r="E317" s="50">
        <v>3.52155090281144E14</v>
      </c>
      <c r="F317" s="50">
        <v>59.0</v>
      </c>
      <c r="G317" s="50">
        <v>11.0</v>
      </c>
      <c r="H317" s="50">
        <v>4.0</v>
      </c>
      <c r="I317" s="50">
        <v>1.0</v>
      </c>
      <c r="J317" s="50" t="s">
        <v>6419</v>
      </c>
      <c r="K317" s="116"/>
      <c r="L317" s="50" t="s">
        <v>1596</v>
      </c>
      <c r="M317" s="50" t="s">
        <v>1596</v>
      </c>
      <c r="N317" s="116"/>
      <c r="O317" s="116"/>
      <c r="P317" s="50" t="s">
        <v>6674</v>
      </c>
      <c r="Q317" s="50" t="s">
        <v>6675</v>
      </c>
      <c r="R317" s="50">
        <v>22.5409918</v>
      </c>
      <c r="S317" s="50">
        <v>88.3757673</v>
      </c>
      <c r="T317" s="50">
        <v>-26.8999996185302</v>
      </c>
      <c r="U317" s="50">
        <v>5.0</v>
      </c>
      <c r="V317" s="50">
        <v>3.0</v>
      </c>
      <c r="W317" s="50">
        <v>0.0</v>
      </c>
      <c r="X317" s="50">
        <v>0.0</v>
      </c>
      <c r="Y317" s="50">
        <v>1.0</v>
      </c>
      <c r="Z317" s="116"/>
      <c r="AA317" s="50">
        <v>1.0</v>
      </c>
      <c r="AB317" s="50">
        <v>4.0</v>
      </c>
      <c r="AC317" s="116"/>
      <c r="AD317" s="116"/>
      <c r="AE317" s="116"/>
      <c r="AF317" s="116"/>
      <c r="AG317" s="116"/>
      <c r="AH317" s="116"/>
      <c r="AI317" s="116"/>
      <c r="AJ317" s="116"/>
      <c r="AK317" s="116"/>
      <c r="AL317" s="116"/>
      <c r="AM317" s="116"/>
      <c r="AN317" s="116"/>
      <c r="AO317" s="116"/>
      <c r="AP317" s="116"/>
      <c r="AQ317" s="50" t="s">
        <v>3149</v>
      </c>
      <c r="AR317" s="50" t="s">
        <v>2472</v>
      </c>
      <c r="AS317" s="50">
        <v>0.0</v>
      </c>
      <c r="AT317" s="50" t="s">
        <v>5540</v>
      </c>
      <c r="AU317" s="117">
        <v>5132.0</v>
      </c>
      <c r="AV317" s="50" t="s">
        <v>6677</v>
      </c>
      <c r="AW317" s="50" t="s">
        <v>6678</v>
      </c>
      <c r="AX317" s="117">
        <v>316.0</v>
      </c>
    </row>
    <row r="318">
      <c r="A318" s="50" t="s">
        <v>6679</v>
      </c>
      <c r="B318" s="50" t="s">
        <v>6680</v>
      </c>
      <c r="C318" s="116"/>
      <c r="D318" s="116"/>
      <c r="E318" s="50">
        <v>3.52155090281144E14</v>
      </c>
      <c r="F318" s="50">
        <v>59.0</v>
      </c>
      <c r="G318" s="50">
        <v>99.0</v>
      </c>
      <c r="H318" s="116"/>
      <c r="I318" s="116"/>
      <c r="J318" s="116"/>
      <c r="K318" s="50">
        <v>2.0</v>
      </c>
      <c r="L318" s="50" t="s">
        <v>1597</v>
      </c>
      <c r="M318" s="50" t="s">
        <v>1597</v>
      </c>
      <c r="N318" s="116"/>
      <c r="O318" s="116"/>
      <c r="P318" s="50" t="s">
        <v>6681</v>
      </c>
      <c r="Q318" s="50" t="s">
        <v>6682</v>
      </c>
      <c r="R318" s="50">
        <v>22.5410474</v>
      </c>
      <c r="S318" s="50">
        <v>88.3757108</v>
      </c>
      <c r="T318" s="50">
        <v>-52.5</v>
      </c>
      <c r="U318" s="50">
        <v>5.0</v>
      </c>
      <c r="V318" s="50">
        <v>3.0</v>
      </c>
      <c r="W318" s="50">
        <v>0.0</v>
      </c>
      <c r="X318" s="50">
        <v>0.0</v>
      </c>
      <c r="Y318" s="50">
        <v>1.0</v>
      </c>
      <c r="Z318" s="116"/>
      <c r="AA318" s="116"/>
      <c r="AB318" s="116"/>
      <c r="AC318" s="116"/>
      <c r="AD318" s="116"/>
      <c r="AE318" s="116"/>
      <c r="AF318" s="116"/>
      <c r="AG318" s="116"/>
      <c r="AH318" s="116"/>
      <c r="AI318" s="116"/>
      <c r="AJ318" s="116"/>
      <c r="AK318" s="116"/>
      <c r="AL318" s="116"/>
      <c r="AM318" s="116"/>
      <c r="AN318" s="116"/>
      <c r="AO318" s="116"/>
      <c r="AP318" s="116"/>
      <c r="AQ318" s="50" t="s">
        <v>6683</v>
      </c>
      <c r="AR318" s="50" t="s">
        <v>2472</v>
      </c>
      <c r="AS318" s="116"/>
      <c r="AT318" s="50" t="s">
        <v>5540</v>
      </c>
      <c r="AU318" s="117">
        <v>5133.0</v>
      </c>
      <c r="AV318" s="50" t="s">
        <v>6685</v>
      </c>
      <c r="AW318" s="50" t="s">
        <v>6686</v>
      </c>
      <c r="AX318" s="117">
        <v>317.0</v>
      </c>
    </row>
    <row r="319">
      <c r="A319" s="50" t="s">
        <v>6687</v>
      </c>
      <c r="B319" s="50" t="s">
        <v>6688</v>
      </c>
      <c r="C319" s="116"/>
      <c r="D319" s="116"/>
      <c r="E319" s="50">
        <v>3.52155090281144E14</v>
      </c>
      <c r="F319" s="50">
        <v>58.0</v>
      </c>
      <c r="G319" s="50">
        <v>11.0</v>
      </c>
      <c r="H319" s="50">
        <v>4.0</v>
      </c>
      <c r="I319" s="50">
        <v>1.0</v>
      </c>
      <c r="J319" s="50" t="s">
        <v>6689</v>
      </c>
      <c r="K319" s="116"/>
      <c r="L319" s="50" t="s">
        <v>1599</v>
      </c>
      <c r="M319" s="50" t="s">
        <v>1599</v>
      </c>
      <c r="N319" s="116"/>
      <c r="O319" s="116"/>
      <c r="P319" s="50" t="s">
        <v>6690</v>
      </c>
      <c r="Q319" s="50" t="s">
        <v>6691</v>
      </c>
      <c r="R319" s="50">
        <v>22.5536182</v>
      </c>
      <c r="S319" s="50">
        <v>88.3851639</v>
      </c>
      <c r="T319" s="50">
        <v>-68.8000030517578</v>
      </c>
      <c r="U319" s="50">
        <v>5.0</v>
      </c>
      <c r="V319" s="50">
        <v>3.0</v>
      </c>
      <c r="W319" s="50">
        <v>0.0</v>
      </c>
      <c r="X319" s="50">
        <v>0.0</v>
      </c>
      <c r="Y319" s="50">
        <v>1.0</v>
      </c>
      <c r="Z319" s="116"/>
      <c r="AA319" s="50">
        <v>2.0</v>
      </c>
      <c r="AB319" s="50">
        <v>4.0</v>
      </c>
      <c r="AC319" s="116"/>
      <c r="AD319" s="116"/>
      <c r="AE319" s="116"/>
      <c r="AF319" s="116"/>
      <c r="AG319" s="116"/>
      <c r="AH319" s="116"/>
      <c r="AI319" s="116"/>
      <c r="AJ319" s="116"/>
      <c r="AK319" s="116"/>
      <c r="AL319" s="116"/>
      <c r="AM319" s="116"/>
      <c r="AN319" s="116"/>
      <c r="AO319" s="116"/>
      <c r="AP319" s="116"/>
      <c r="AQ319" s="50" t="s">
        <v>3185</v>
      </c>
      <c r="AR319" s="50" t="s">
        <v>2302</v>
      </c>
      <c r="AS319" s="50">
        <v>1.0</v>
      </c>
      <c r="AT319" s="50" t="s">
        <v>5540</v>
      </c>
      <c r="AU319" s="117">
        <v>5134.0</v>
      </c>
      <c r="AV319" s="50" t="s">
        <v>6693</v>
      </c>
      <c r="AW319" s="50" t="s">
        <v>6694</v>
      </c>
      <c r="AX319" s="117">
        <v>318.0</v>
      </c>
    </row>
    <row r="320">
      <c r="A320" s="50" t="s">
        <v>6695</v>
      </c>
      <c r="B320" s="50" t="s">
        <v>6696</v>
      </c>
      <c r="C320" s="116"/>
      <c r="D320" s="116"/>
      <c r="E320" s="50">
        <v>3.52155090281144E14</v>
      </c>
      <c r="F320" s="50">
        <v>58.0</v>
      </c>
      <c r="G320" s="50">
        <v>99.0</v>
      </c>
      <c r="H320" s="116"/>
      <c r="I320" s="116"/>
      <c r="J320" s="116"/>
      <c r="K320" s="50">
        <v>2.0</v>
      </c>
      <c r="L320" s="50" t="s">
        <v>282</v>
      </c>
      <c r="M320" s="50" t="s">
        <v>282</v>
      </c>
      <c r="N320" s="116"/>
      <c r="O320" s="116"/>
      <c r="P320" s="50" t="s">
        <v>6697</v>
      </c>
      <c r="Q320" s="50" t="s">
        <v>6698</v>
      </c>
      <c r="R320" s="50">
        <v>22.553546</v>
      </c>
      <c r="S320" s="50">
        <v>88.385161</v>
      </c>
      <c r="T320" s="50">
        <v>-41.599998474121</v>
      </c>
      <c r="U320" s="50">
        <v>5.0</v>
      </c>
      <c r="V320" s="50">
        <v>3.0</v>
      </c>
      <c r="W320" s="50">
        <v>0.0</v>
      </c>
      <c r="X320" s="50">
        <v>0.0</v>
      </c>
      <c r="Y320" s="50">
        <v>1.0</v>
      </c>
      <c r="Z320" s="116"/>
      <c r="AA320" s="116"/>
      <c r="AB320" s="116"/>
      <c r="AC320" s="116"/>
      <c r="AD320" s="116"/>
      <c r="AE320" s="116"/>
      <c r="AF320" s="116"/>
      <c r="AG320" s="116"/>
      <c r="AH320" s="116"/>
      <c r="AI320" s="116"/>
      <c r="AJ320" s="116"/>
      <c r="AK320" s="116"/>
      <c r="AL320" s="116"/>
      <c r="AM320" s="116"/>
      <c r="AN320" s="116"/>
      <c r="AO320" s="116"/>
      <c r="AP320" s="116"/>
      <c r="AQ320" s="50" t="s">
        <v>6699</v>
      </c>
      <c r="AR320" s="50" t="s">
        <v>2302</v>
      </c>
      <c r="AS320" s="116"/>
      <c r="AT320" s="50" t="s">
        <v>5540</v>
      </c>
      <c r="AU320" s="117">
        <v>5135.0</v>
      </c>
      <c r="AV320" s="50" t="s">
        <v>6700</v>
      </c>
      <c r="AW320" s="50" t="s">
        <v>6701</v>
      </c>
      <c r="AX320" s="117">
        <v>319.0</v>
      </c>
    </row>
    <row r="321">
      <c r="A321" s="50" t="s">
        <v>6702</v>
      </c>
      <c r="B321" s="50" t="s">
        <v>6703</v>
      </c>
      <c r="C321" s="116"/>
      <c r="D321" s="116"/>
      <c r="E321" s="50">
        <v>3.52155090281144E14</v>
      </c>
      <c r="F321" s="50">
        <v>66.0</v>
      </c>
      <c r="G321" s="50">
        <v>12.0</v>
      </c>
      <c r="H321" s="116"/>
      <c r="I321" s="116"/>
      <c r="J321" s="116"/>
      <c r="K321" s="116"/>
      <c r="L321" s="50" t="s">
        <v>1603</v>
      </c>
      <c r="M321" s="50" t="s">
        <v>1603</v>
      </c>
      <c r="N321" s="50">
        <v>5.0</v>
      </c>
      <c r="O321" s="50" t="s">
        <v>6704</v>
      </c>
      <c r="P321" s="116"/>
      <c r="Q321" s="50" t="s">
        <v>6705</v>
      </c>
      <c r="R321" s="50">
        <v>22.5346001</v>
      </c>
      <c r="S321" s="50">
        <v>88.3958808</v>
      </c>
      <c r="T321" s="50">
        <v>-45.2999992370605</v>
      </c>
      <c r="U321" s="50">
        <v>5.0</v>
      </c>
      <c r="V321" s="50">
        <v>1.0</v>
      </c>
      <c r="W321" s="50">
        <v>0.0</v>
      </c>
      <c r="X321" s="50">
        <v>1.0</v>
      </c>
      <c r="Y321" s="116"/>
      <c r="Z321" s="116"/>
      <c r="AA321" s="116"/>
      <c r="AB321" s="116"/>
      <c r="AC321" s="116"/>
      <c r="AD321" s="116"/>
      <c r="AE321" s="50">
        <v>1.0</v>
      </c>
      <c r="AF321" s="50">
        <v>2.0</v>
      </c>
      <c r="AG321" s="50">
        <v>4.0</v>
      </c>
      <c r="AH321" s="50">
        <v>4.0</v>
      </c>
      <c r="AI321" s="116"/>
      <c r="AJ321" s="116"/>
      <c r="AK321" s="116"/>
      <c r="AL321" s="116"/>
      <c r="AM321" s="116"/>
      <c r="AN321" s="116"/>
      <c r="AO321" s="116"/>
      <c r="AP321" s="116"/>
      <c r="AQ321" s="50" t="s">
        <v>2949</v>
      </c>
      <c r="AR321" s="50" t="s">
        <v>2286</v>
      </c>
      <c r="AS321" s="50">
        <v>0.0</v>
      </c>
      <c r="AT321" s="50" t="s">
        <v>5540</v>
      </c>
      <c r="AU321" s="117">
        <v>5170.0</v>
      </c>
      <c r="AV321" s="50" t="s">
        <v>6707</v>
      </c>
      <c r="AW321" s="50" t="s">
        <v>6708</v>
      </c>
      <c r="AX321" s="117">
        <v>320.0</v>
      </c>
    </row>
    <row r="322">
      <c r="A322" s="50" t="s">
        <v>6709</v>
      </c>
      <c r="B322" s="50" t="s">
        <v>6710</v>
      </c>
      <c r="C322" s="116"/>
      <c r="D322" s="116"/>
      <c r="E322" s="50">
        <v>3.52155090281144E14</v>
      </c>
      <c r="F322" s="50">
        <v>66.0</v>
      </c>
      <c r="G322" s="50">
        <v>99.0</v>
      </c>
      <c r="H322" s="116"/>
      <c r="I322" s="116"/>
      <c r="J322" s="116"/>
      <c r="K322" s="50">
        <v>1.0</v>
      </c>
      <c r="L322" s="50" t="s">
        <v>1604</v>
      </c>
      <c r="M322" s="50" t="s">
        <v>1604</v>
      </c>
      <c r="N322" s="116"/>
      <c r="O322" s="116"/>
      <c r="P322" s="50" t="s">
        <v>6711</v>
      </c>
      <c r="Q322" s="50" t="s">
        <v>6712</v>
      </c>
      <c r="R322" s="50">
        <v>22.5346967</v>
      </c>
      <c r="S322" s="50">
        <v>88.3958303</v>
      </c>
      <c r="T322" s="50">
        <v>-44.4000015258789</v>
      </c>
      <c r="U322" s="50">
        <v>5.0</v>
      </c>
      <c r="V322" s="50">
        <v>1.0</v>
      </c>
      <c r="W322" s="50">
        <v>0.0</v>
      </c>
      <c r="X322" s="50">
        <v>1.0</v>
      </c>
      <c r="Y322" s="116"/>
      <c r="Z322" s="116"/>
      <c r="AA322" s="116"/>
      <c r="AB322" s="116"/>
      <c r="AC322" s="116"/>
      <c r="AD322" s="116"/>
      <c r="AE322" s="116"/>
      <c r="AF322" s="116"/>
      <c r="AG322" s="116"/>
      <c r="AH322" s="116"/>
      <c r="AI322" s="116"/>
      <c r="AJ322" s="116"/>
      <c r="AK322" s="116"/>
      <c r="AL322" s="116"/>
      <c r="AM322" s="116"/>
      <c r="AN322" s="116"/>
      <c r="AO322" s="116"/>
      <c r="AP322" s="116"/>
      <c r="AQ322" s="50" t="s">
        <v>3149</v>
      </c>
      <c r="AR322" s="50" t="s">
        <v>2327</v>
      </c>
      <c r="AS322" s="116"/>
      <c r="AT322" s="50" t="s">
        <v>5540</v>
      </c>
      <c r="AU322" s="117">
        <v>5171.0</v>
      </c>
      <c r="AV322" s="50" t="s">
        <v>6713</v>
      </c>
      <c r="AW322" s="50" t="s">
        <v>6714</v>
      </c>
      <c r="AX322" s="117">
        <v>321.0</v>
      </c>
    </row>
    <row r="323">
      <c r="A323" s="50" t="s">
        <v>6716</v>
      </c>
      <c r="B323" s="50" t="s">
        <v>6717</v>
      </c>
      <c r="C323" s="116"/>
      <c r="D323" s="116"/>
      <c r="E323" s="50">
        <v>3.52155090281144E14</v>
      </c>
      <c r="F323" s="50">
        <v>59.0</v>
      </c>
      <c r="G323" s="50">
        <v>12.0</v>
      </c>
      <c r="H323" s="116"/>
      <c r="I323" s="116"/>
      <c r="J323" s="116"/>
      <c r="K323" s="116"/>
      <c r="L323" s="50" t="s">
        <v>1606</v>
      </c>
      <c r="M323" s="50" t="s">
        <v>1606</v>
      </c>
      <c r="N323" s="50">
        <v>6.0</v>
      </c>
      <c r="O323" s="50" t="s">
        <v>6718</v>
      </c>
      <c r="P323" s="116"/>
      <c r="Q323" s="50" t="s">
        <v>6719</v>
      </c>
      <c r="R323" s="50">
        <v>22.5400055</v>
      </c>
      <c r="S323" s="50">
        <v>88.3872169</v>
      </c>
      <c r="T323" s="50">
        <v>-55.9000015258789</v>
      </c>
      <c r="U323" s="50">
        <v>5.0</v>
      </c>
      <c r="V323" s="50">
        <v>1.0</v>
      </c>
      <c r="W323" s="50">
        <v>0.0</v>
      </c>
      <c r="X323" s="50">
        <v>1.0</v>
      </c>
      <c r="Y323" s="116"/>
      <c r="Z323" s="116"/>
      <c r="AA323" s="116"/>
      <c r="AB323" s="116"/>
      <c r="AC323" s="116"/>
      <c r="AD323" s="116"/>
      <c r="AE323" s="50">
        <v>1.0</v>
      </c>
      <c r="AF323" s="50">
        <v>2.0</v>
      </c>
      <c r="AG323" s="50">
        <v>4.0</v>
      </c>
      <c r="AH323" s="50">
        <v>4.0</v>
      </c>
      <c r="AI323" s="116"/>
      <c r="AJ323" s="116"/>
      <c r="AK323" s="116"/>
      <c r="AL323" s="116"/>
      <c r="AM323" s="116"/>
      <c r="AN323" s="116"/>
      <c r="AO323" s="116"/>
      <c r="AP323" s="116"/>
      <c r="AQ323" s="50" t="s">
        <v>3200</v>
      </c>
      <c r="AR323" s="50" t="s">
        <v>3142</v>
      </c>
      <c r="AS323" s="50">
        <v>0.0</v>
      </c>
      <c r="AT323" s="50" t="s">
        <v>5540</v>
      </c>
      <c r="AU323" s="117">
        <v>5172.0</v>
      </c>
      <c r="AV323" s="50" t="s">
        <v>6720</v>
      </c>
      <c r="AW323" s="50" t="s">
        <v>6721</v>
      </c>
      <c r="AX323" s="117">
        <v>322.0</v>
      </c>
    </row>
    <row r="324">
      <c r="A324" s="50" t="s">
        <v>6722</v>
      </c>
      <c r="B324" s="50" t="s">
        <v>6723</v>
      </c>
      <c r="C324" s="116"/>
      <c r="D324" s="116"/>
      <c r="E324" s="50">
        <v>3.52155090281144E14</v>
      </c>
      <c r="F324" s="50">
        <v>59.0</v>
      </c>
      <c r="G324" s="50">
        <v>99.0</v>
      </c>
      <c r="H324" s="116"/>
      <c r="I324" s="116"/>
      <c r="J324" s="116"/>
      <c r="K324" s="50">
        <v>1.0</v>
      </c>
      <c r="L324" s="50" t="s">
        <v>1607</v>
      </c>
      <c r="M324" s="50" t="s">
        <v>1607</v>
      </c>
      <c r="N324" s="116"/>
      <c r="O324" s="116"/>
      <c r="P324" s="50" t="s">
        <v>6724</v>
      </c>
      <c r="Q324" s="50" t="s">
        <v>6725</v>
      </c>
      <c r="R324" s="50">
        <v>22.5400288</v>
      </c>
      <c r="S324" s="50">
        <v>88.3872602</v>
      </c>
      <c r="T324" s="50">
        <v>-37.2999992370605</v>
      </c>
      <c r="U324" s="50">
        <v>5.0</v>
      </c>
      <c r="V324" s="50">
        <v>1.0</v>
      </c>
      <c r="W324" s="50">
        <v>0.0</v>
      </c>
      <c r="X324" s="50">
        <v>1.0</v>
      </c>
      <c r="Y324" s="116"/>
      <c r="Z324" s="116"/>
      <c r="AA324" s="116"/>
      <c r="AB324" s="116"/>
      <c r="AC324" s="116"/>
      <c r="AD324" s="116"/>
      <c r="AE324" s="116"/>
      <c r="AF324" s="116"/>
      <c r="AG324" s="116"/>
      <c r="AH324" s="116"/>
      <c r="AI324" s="116"/>
      <c r="AJ324" s="116"/>
      <c r="AK324" s="116"/>
      <c r="AL324" s="116"/>
      <c r="AM324" s="116"/>
      <c r="AN324" s="116"/>
      <c r="AO324" s="116"/>
      <c r="AP324" s="116"/>
      <c r="AQ324" s="50" t="s">
        <v>3243</v>
      </c>
      <c r="AR324" s="50" t="s">
        <v>2302</v>
      </c>
      <c r="AS324" s="116"/>
      <c r="AT324" s="50" t="s">
        <v>5540</v>
      </c>
      <c r="AU324" s="117">
        <v>5173.0</v>
      </c>
      <c r="AV324" s="50" t="s">
        <v>6726</v>
      </c>
      <c r="AW324" s="50" t="s">
        <v>6727</v>
      </c>
      <c r="AX324" s="117">
        <v>323.0</v>
      </c>
    </row>
    <row r="325">
      <c r="A325" s="50" t="s">
        <v>6728</v>
      </c>
      <c r="B325" s="50" t="s">
        <v>6729</v>
      </c>
      <c r="C325" s="116"/>
      <c r="D325" s="116"/>
      <c r="E325" s="50">
        <v>3.52155090281144E14</v>
      </c>
      <c r="F325" s="50">
        <v>59.0</v>
      </c>
      <c r="G325" s="50">
        <v>11.0</v>
      </c>
      <c r="H325" s="50">
        <v>4.0</v>
      </c>
      <c r="I325" s="50">
        <v>1.0</v>
      </c>
      <c r="J325" s="50" t="s">
        <v>6404</v>
      </c>
      <c r="K325" s="116"/>
      <c r="L325" s="50" t="s">
        <v>1611</v>
      </c>
      <c r="M325" s="50" t="s">
        <v>1611</v>
      </c>
      <c r="N325" s="116"/>
      <c r="O325" s="116"/>
      <c r="P325" s="50" t="s">
        <v>6730</v>
      </c>
      <c r="Q325" s="50" t="s">
        <v>6731</v>
      </c>
      <c r="R325" s="50">
        <v>22.5433217</v>
      </c>
      <c r="S325" s="50">
        <v>88.3821485</v>
      </c>
      <c r="T325" s="50">
        <v>-25.1000003814697</v>
      </c>
      <c r="U325" s="50">
        <v>8.0</v>
      </c>
      <c r="V325" s="50">
        <v>1.0</v>
      </c>
      <c r="W325" s="50">
        <v>0.0</v>
      </c>
      <c r="X325" s="50">
        <v>1.0</v>
      </c>
      <c r="Y325" s="116"/>
      <c r="Z325" s="116"/>
      <c r="AA325" s="50">
        <v>1.0</v>
      </c>
      <c r="AB325" s="50">
        <v>4.0</v>
      </c>
      <c r="AC325" s="116"/>
      <c r="AD325" s="116"/>
      <c r="AE325" s="116"/>
      <c r="AF325" s="116"/>
      <c r="AG325" s="116"/>
      <c r="AH325" s="116"/>
      <c r="AI325" s="116"/>
      <c r="AJ325" s="116"/>
      <c r="AK325" s="116"/>
      <c r="AL325" s="116"/>
      <c r="AM325" s="116"/>
      <c r="AN325" s="116"/>
      <c r="AO325" s="116"/>
      <c r="AP325" s="116"/>
      <c r="AQ325" s="50" t="s">
        <v>2949</v>
      </c>
      <c r="AR325" s="50" t="s">
        <v>2278</v>
      </c>
      <c r="AS325" s="50">
        <v>1.0</v>
      </c>
      <c r="AT325" s="50" t="s">
        <v>5540</v>
      </c>
      <c r="AU325" s="117">
        <v>5230.0</v>
      </c>
      <c r="AV325" s="50" t="s">
        <v>6732</v>
      </c>
      <c r="AW325" s="50" t="s">
        <v>6733</v>
      </c>
      <c r="AX325" s="117">
        <v>324.0</v>
      </c>
    </row>
    <row r="326">
      <c r="A326" s="50" t="s">
        <v>6734</v>
      </c>
      <c r="B326" s="50" t="s">
        <v>6735</v>
      </c>
      <c r="C326" s="116"/>
      <c r="D326" s="116"/>
      <c r="E326" s="50">
        <v>3.52155090281144E14</v>
      </c>
      <c r="F326" s="50">
        <v>59.0</v>
      </c>
      <c r="G326" s="50">
        <v>99.0</v>
      </c>
      <c r="H326" s="116"/>
      <c r="I326" s="116"/>
      <c r="J326" s="116"/>
      <c r="K326" s="50">
        <v>2.0</v>
      </c>
      <c r="L326" s="50" t="s">
        <v>1552</v>
      </c>
      <c r="M326" s="50" t="s">
        <v>1552</v>
      </c>
      <c r="N326" s="116"/>
      <c r="O326" s="116"/>
      <c r="P326" s="50" t="s">
        <v>6736</v>
      </c>
      <c r="Q326" s="50" t="s">
        <v>6737</v>
      </c>
      <c r="R326" s="50">
        <v>22.5434039</v>
      </c>
      <c r="S326" s="50">
        <v>88.3820085</v>
      </c>
      <c r="T326" s="50">
        <v>-44.0</v>
      </c>
      <c r="U326" s="50">
        <v>7.0</v>
      </c>
      <c r="V326" s="50">
        <v>1.0</v>
      </c>
      <c r="W326" s="50">
        <v>0.0</v>
      </c>
      <c r="X326" s="50">
        <v>1.0</v>
      </c>
      <c r="Y326" s="116"/>
      <c r="Z326" s="116"/>
      <c r="AA326" s="116"/>
      <c r="AB326" s="116"/>
      <c r="AC326" s="116"/>
      <c r="AD326" s="116"/>
      <c r="AE326" s="116"/>
      <c r="AF326" s="116"/>
      <c r="AG326" s="116"/>
      <c r="AH326" s="116"/>
      <c r="AI326" s="116"/>
      <c r="AJ326" s="116"/>
      <c r="AK326" s="116"/>
      <c r="AL326" s="116"/>
      <c r="AM326" s="116"/>
      <c r="AN326" s="116"/>
      <c r="AO326" s="116"/>
      <c r="AP326" s="116"/>
      <c r="AQ326" s="50" t="s">
        <v>2949</v>
      </c>
      <c r="AR326" s="50" t="s">
        <v>2278</v>
      </c>
      <c r="AS326" s="116"/>
      <c r="AT326" s="50" t="s">
        <v>5540</v>
      </c>
      <c r="AU326" s="117">
        <v>5231.0</v>
      </c>
      <c r="AV326" s="50" t="s">
        <v>6738</v>
      </c>
      <c r="AW326" s="50" t="s">
        <v>6739</v>
      </c>
      <c r="AX326" s="117">
        <v>325.0</v>
      </c>
    </row>
    <row r="327">
      <c r="A327" s="50" t="s">
        <v>6740</v>
      </c>
      <c r="B327" s="50" t="s">
        <v>6741</v>
      </c>
      <c r="C327" s="116"/>
      <c r="D327" s="116"/>
      <c r="E327" s="50">
        <v>3.52155090281144E14</v>
      </c>
      <c r="F327" s="50">
        <v>59.0</v>
      </c>
      <c r="G327" s="50">
        <v>11.0</v>
      </c>
      <c r="H327" s="50">
        <v>4.0</v>
      </c>
      <c r="I327" s="50">
        <v>1.0</v>
      </c>
      <c r="J327" s="50" t="s">
        <v>6419</v>
      </c>
      <c r="K327" s="116"/>
      <c r="L327" s="50" t="s">
        <v>1613</v>
      </c>
      <c r="M327" s="50" t="s">
        <v>1613</v>
      </c>
      <c r="N327" s="116"/>
      <c r="O327" s="116"/>
      <c r="P327" s="50" t="s">
        <v>6742</v>
      </c>
      <c r="Q327" s="50" t="s">
        <v>6743</v>
      </c>
      <c r="R327" s="50">
        <v>22.541025</v>
      </c>
      <c r="S327" s="50">
        <v>88.3757319</v>
      </c>
      <c r="T327" s="50">
        <v>-16.8999996185302</v>
      </c>
      <c r="U327" s="50">
        <v>5.5</v>
      </c>
      <c r="V327" s="50">
        <v>1.0</v>
      </c>
      <c r="W327" s="50">
        <v>0.0</v>
      </c>
      <c r="X327" s="50">
        <v>1.0</v>
      </c>
      <c r="Y327" s="116"/>
      <c r="Z327" s="116"/>
      <c r="AA327" s="50">
        <v>1.0</v>
      </c>
      <c r="AB327" s="50">
        <v>4.0</v>
      </c>
      <c r="AC327" s="116"/>
      <c r="AD327" s="116"/>
      <c r="AE327" s="116"/>
      <c r="AF327" s="116"/>
      <c r="AG327" s="116"/>
      <c r="AH327" s="116"/>
      <c r="AI327" s="116"/>
      <c r="AJ327" s="116"/>
      <c r="AK327" s="116"/>
      <c r="AL327" s="116"/>
      <c r="AM327" s="116"/>
      <c r="AN327" s="116"/>
      <c r="AO327" s="116"/>
      <c r="AP327" s="116"/>
      <c r="AQ327" s="50" t="s">
        <v>3185</v>
      </c>
      <c r="AR327" s="50" t="s">
        <v>2327</v>
      </c>
      <c r="AS327" s="50">
        <v>1.0</v>
      </c>
      <c r="AT327" s="50" t="s">
        <v>5540</v>
      </c>
      <c r="AU327" s="117">
        <v>5232.0</v>
      </c>
      <c r="AV327" s="50" t="s">
        <v>6744</v>
      </c>
      <c r="AW327" s="50" t="s">
        <v>6745</v>
      </c>
      <c r="AX327" s="117">
        <v>326.0</v>
      </c>
    </row>
    <row r="328">
      <c r="A328" s="50" t="s">
        <v>6746</v>
      </c>
      <c r="B328" s="50" t="s">
        <v>6747</v>
      </c>
      <c r="C328" s="116"/>
      <c r="D328" s="116"/>
      <c r="E328" s="50">
        <v>3.52155090281144E14</v>
      </c>
      <c r="F328" s="50">
        <v>59.0</v>
      </c>
      <c r="G328" s="50">
        <v>99.0</v>
      </c>
      <c r="H328" s="116"/>
      <c r="I328" s="116"/>
      <c r="J328" s="116"/>
      <c r="K328" s="50">
        <v>2.0</v>
      </c>
      <c r="L328" s="50" t="s">
        <v>1614</v>
      </c>
      <c r="M328" s="50" t="s">
        <v>1614</v>
      </c>
      <c r="N328" s="116"/>
      <c r="O328" s="116"/>
      <c r="P328" s="50" t="s">
        <v>6748</v>
      </c>
      <c r="Q328" s="50" t="s">
        <v>6749</v>
      </c>
      <c r="R328" s="50">
        <v>22.5409801</v>
      </c>
      <c r="S328" s="50">
        <v>88.3757569</v>
      </c>
      <c r="T328" s="50">
        <v>-46.9000015258789</v>
      </c>
      <c r="U328" s="50">
        <v>6.0</v>
      </c>
      <c r="V328" s="50">
        <v>1.0</v>
      </c>
      <c r="W328" s="50">
        <v>0.0</v>
      </c>
      <c r="X328" s="50">
        <v>1.0</v>
      </c>
      <c r="Y328" s="116"/>
      <c r="Z328" s="116"/>
      <c r="AA328" s="116"/>
      <c r="AB328" s="116"/>
      <c r="AC328" s="116"/>
      <c r="AD328" s="116"/>
      <c r="AE328" s="116"/>
      <c r="AF328" s="116"/>
      <c r="AG328" s="116"/>
      <c r="AH328" s="116"/>
      <c r="AI328" s="116"/>
      <c r="AJ328" s="116"/>
      <c r="AK328" s="116"/>
      <c r="AL328" s="116"/>
      <c r="AM328" s="116"/>
      <c r="AN328" s="116"/>
      <c r="AO328" s="116"/>
      <c r="AP328" s="116"/>
      <c r="AQ328" s="50" t="s">
        <v>3185</v>
      </c>
      <c r="AR328" s="50" t="s">
        <v>2327</v>
      </c>
      <c r="AS328" s="116"/>
      <c r="AT328" s="50" t="s">
        <v>5540</v>
      </c>
      <c r="AU328" s="117">
        <v>5233.0</v>
      </c>
      <c r="AV328" s="50" t="s">
        <v>6750</v>
      </c>
      <c r="AW328" s="50" t="s">
        <v>6751</v>
      </c>
      <c r="AX328" s="117">
        <v>327.0</v>
      </c>
    </row>
    <row r="329">
      <c r="A329" s="50" t="s">
        <v>6752</v>
      </c>
      <c r="B329" s="50" t="s">
        <v>6753</v>
      </c>
      <c r="C329" s="116"/>
      <c r="D329" s="116"/>
      <c r="E329" s="50">
        <v>3.52155090281144E14</v>
      </c>
      <c r="F329" s="50">
        <v>59.0</v>
      </c>
      <c r="G329" s="50">
        <v>11.0</v>
      </c>
      <c r="H329" s="50">
        <v>4.0</v>
      </c>
      <c r="I329" s="50">
        <v>1.0</v>
      </c>
      <c r="J329" s="50" t="s">
        <v>6754</v>
      </c>
      <c r="K329" s="116"/>
      <c r="L329" s="50" t="s">
        <v>1616</v>
      </c>
      <c r="M329" s="50" t="s">
        <v>1616</v>
      </c>
      <c r="N329" s="116"/>
      <c r="O329" s="116"/>
      <c r="P329" s="50" t="s">
        <v>6755</v>
      </c>
      <c r="Q329" s="50" t="s">
        <v>6756</v>
      </c>
      <c r="R329" s="50">
        <v>22.5415203</v>
      </c>
      <c r="S329" s="50">
        <v>88.374789</v>
      </c>
      <c r="T329" s="50">
        <v>-57.5</v>
      </c>
      <c r="U329" s="50">
        <v>5.0</v>
      </c>
      <c r="V329" s="50">
        <v>1.0</v>
      </c>
      <c r="W329" s="50">
        <v>0.0</v>
      </c>
      <c r="X329" s="50">
        <v>1.0</v>
      </c>
      <c r="Y329" s="116"/>
      <c r="Z329" s="116"/>
      <c r="AA329" s="50">
        <v>1.0</v>
      </c>
      <c r="AB329" s="50">
        <v>4.0</v>
      </c>
      <c r="AC329" s="116"/>
      <c r="AD329" s="116"/>
      <c r="AE329" s="116"/>
      <c r="AF329" s="116"/>
      <c r="AG329" s="116"/>
      <c r="AH329" s="116"/>
      <c r="AI329" s="116"/>
      <c r="AJ329" s="116"/>
      <c r="AK329" s="116"/>
      <c r="AL329" s="116"/>
      <c r="AM329" s="116"/>
      <c r="AN329" s="116"/>
      <c r="AO329" s="116"/>
      <c r="AP329" s="116"/>
      <c r="AQ329" s="50" t="s">
        <v>3200</v>
      </c>
      <c r="AR329" s="50" t="s">
        <v>2278</v>
      </c>
      <c r="AS329" s="50">
        <v>1.0</v>
      </c>
      <c r="AT329" s="50" t="s">
        <v>5540</v>
      </c>
      <c r="AU329" s="117">
        <v>5234.0</v>
      </c>
      <c r="AV329" s="50" t="s">
        <v>6757</v>
      </c>
      <c r="AW329" s="50" t="s">
        <v>6758</v>
      </c>
      <c r="AX329" s="117">
        <v>328.0</v>
      </c>
    </row>
    <row r="330">
      <c r="A330" s="50" t="s">
        <v>6759</v>
      </c>
      <c r="B330" s="50" t="s">
        <v>6760</v>
      </c>
      <c r="C330" s="116"/>
      <c r="D330" s="116"/>
      <c r="E330" s="50">
        <v>3.52155090281144E14</v>
      </c>
      <c r="F330" s="50">
        <v>59.0</v>
      </c>
      <c r="G330" s="50">
        <v>99.0</v>
      </c>
      <c r="H330" s="116"/>
      <c r="I330" s="116"/>
      <c r="J330" s="116"/>
      <c r="K330" s="50">
        <v>2.0</v>
      </c>
      <c r="L330" s="50" t="s">
        <v>1617</v>
      </c>
      <c r="M330" s="50" t="s">
        <v>1617</v>
      </c>
      <c r="N330" s="116"/>
      <c r="O330" s="116"/>
      <c r="P330" s="50" t="s">
        <v>6761</v>
      </c>
      <c r="Q330" s="50" t="s">
        <v>6762</v>
      </c>
      <c r="R330" s="50">
        <v>22.5418147</v>
      </c>
      <c r="S330" s="50">
        <v>88.3747806</v>
      </c>
      <c r="T330" s="50">
        <v>-49.599998474121</v>
      </c>
      <c r="U330" s="50">
        <v>4.5</v>
      </c>
      <c r="V330" s="50">
        <v>1.0</v>
      </c>
      <c r="W330" s="50">
        <v>0.0</v>
      </c>
      <c r="X330" s="50">
        <v>1.0</v>
      </c>
      <c r="Y330" s="116"/>
      <c r="Z330" s="116"/>
      <c r="AA330" s="116"/>
      <c r="AB330" s="116"/>
      <c r="AC330" s="116"/>
      <c r="AD330" s="116"/>
      <c r="AE330" s="116"/>
      <c r="AF330" s="116"/>
      <c r="AG330" s="116"/>
      <c r="AH330" s="116"/>
      <c r="AI330" s="116"/>
      <c r="AJ330" s="116"/>
      <c r="AK330" s="116"/>
      <c r="AL330" s="116"/>
      <c r="AM330" s="116"/>
      <c r="AN330" s="116"/>
      <c r="AO330" s="116"/>
      <c r="AP330" s="116"/>
      <c r="AQ330" s="50" t="s">
        <v>6763</v>
      </c>
      <c r="AR330" s="50" t="s">
        <v>2278</v>
      </c>
      <c r="AS330" s="116"/>
      <c r="AT330" s="50" t="s">
        <v>5540</v>
      </c>
      <c r="AU330" s="117">
        <v>5235.0</v>
      </c>
      <c r="AV330" s="50" t="s">
        <v>6764</v>
      </c>
      <c r="AW330" s="50" t="s">
        <v>6765</v>
      </c>
      <c r="AX330" s="117">
        <v>329.0</v>
      </c>
    </row>
    <row r="331">
      <c r="A331" s="50" t="s">
        <v>6766</v>
      </c>
      <c r="B331" s="50" t="s">
        <v>6767</v>
      </c>
      <c r="C331" s="116"/>
      <c r="D331" s="116"/>
      <c r="E331" s="50">
        <v>3.52155090281144E14</v>
      </c>
      <c r="F331" s="50">
        <v>59.0</v>
      </c>
      <c r="G331" s="50">
        <v>11.0</v>
      </c>
      <c r="H331" s="50">
        <v>4.0</v>
      </c>
      <c r="I331" s="50">
        <v>1.0</v>
      </c>
      <c r="J331" s="50" t="s">
        <v>6768</v>
      </c>
      <c r="K331" s="116"/>
      <c r="L331" s="50" t="s">
        <v>1619</v>
      </c>
      <c r="M331" s="50" t="s">
        <v>1619</v>
      </c>
      <c r="N331" s="116"/>
      <c r="O331" s="116"/>
      <c r="P331" s="50" t="s">
        <v>6769</v>
      </c>
      <c r="Q331" s="50" t="s">
        <v>6770</v>
      </c>
      <c r="R331" s="50">
        <v>22.5412401</v>
      </c>
      <c r="S331" s="50">
        <v>88.3762118</v>
      </c>
      <c r="T331" s="50">
        <v>-38.7999992370605</v>
      </c>
      <c r="U331" s="50">
        <v>6.0</v>
      </c>
      <c r="V331" s="50">
        <v>1.0</v>
      </c>
      <c r="W331" s="50">
        <v>0.0</v>
      </c>
      <c r="X331" s="50">
        <v>1.0</v>
      </c>
      <c r="Y331" s="116"/>
      <c r="Z331" s="116"/>
      <c r="AA331" s="50">
        <v>2.0</v>
      </c>
      <c r="AB331" s="50">
        <v>4.0</v>
      </c>
      <c r="AC331" s="116"/>
      <c r="AD331" s="116"/>
      <c r="AE331" s="116"/>
      <c r="AF331" s="116"/>
      <c r="AG331" s="116"/>
      <c r="AH331" s="116"/>
      <c r="AI331" s="116"/>
      <c r="AJ331" s="116"/>
      <c r="AK331" s="116"/>
      <c r="AL331" s="116"/>
      <c r="AM331" s="116"/>
      <c r="AN331" s="116"/>
      <c r="AO331" s="116"/>
      <c r="AP331" s="116"/>
      <c r="AQ331" s="50" t="s">
        <v>3185</v>
      </c>
      <c r="AR331" s="50" t="s">
        <v>2302</v>
      </c>
      <c r="AS331" s="50">
        <v>1.0</v>
      </c>
      <c r="AT331" s="50" t="s">
        <v>5540</v>
      </c>
      <c r="AU331" s="117">
        <v>5236.0</v>
      </c>
      <c r="AV331" s="50" t="s">
        <v>6771</v>
      </c>
      <c r="AW331" s="50" t="s">
        <v>6772</v>
      </c>
      <c r="AX331" s="117">
        <v>330.0</v>
      </c>
    </row>
    <row r="332">
      <c r="A332" s="50" t="s">
        <v>6773</v>
      </c>
      <c r="B332" s="50" t="s">
        <v>6774</v>
      </c>
      <c r="C332" s="116"/>
      <c r="D332" s="116"/>
      <c r="E332" s="50">
        <v>3.52155090281144E14</v>
      </c>
      <c r="F332" s="50">
        <v>59.0</v>
      </c>
      <c r="G332" s="50">
        <v>99.0</v>
      </c>
      <c r="H332" s="116"/>
      <c r="I332" s="116"/>
      <c r="J332" s="116"/>
      <c r="K332" s="50">
        <v>2.0</v>
      </c>
      <c r="L332" s="50" t="s">
        <v>1620</v>
      </c>
      <c r="M332" s="50" t="s">
        <v>1620</v>
      </c>
      <c r="N332" s="116"/>
      <c r="O332" s="116"/>
      <c r="P332" s="50" t="s">
        <v>6775</v>
      </c>
      <c r="Q332" s="50" t="s">
        <v>6776</v>
      </c>
      <c r="R332" s="50">
        <v>22.5412604</v>
      </c>
      <c r="S332" s="50">
        <v>88.3761823</v>
      </c>
      <c r="T332" s="50">
        <v>-45.5</v>
      </c>
      <c r="U332" s="50">
        <v>6.0</v>
      </c>
      <c r="V332" s="50">
        <v>1.0</v>
      </c>
      <c r="W332" s="50">
        <v>0.0</v>
      </c>
      <c r="X332" s="50">
        <v>1.0</v>
      </c>
      <c r="Y332" s="116"/>
      <c r="Z332" s="116"/>
      <c r="AA332" s="116"/>
      <c r="AB332" s="116"/>
      <c r="AC332" s="116"/>
      <c r="AD332" s="116"/>
      <c r="AE332" s="116"/>
      <c r="AF332" s="116"/>
      <c r="AG332" s="116"/>
      <c r="AH332" s="116"/>
      <c r="AI332" s="116"/>
      <c r="AJ332" s="116"/>
      <c r="AK332" s="116"/>
      <c r="AL332" s="116"/>
      <c r="AM332" s="116"/>
      <c r="AN332" s="116"/>
      <c r="AO332" s="116"/>
      <c r="AP332" s="116"/>
      <c r="AQ332" s="50" t="s">
        <v>6777</v>
      </c>
      <c r="AR332" s="50" t="s">
        <v>2302</v>
      </c>
      <c r="AS332" s="116"/>
      <c r="AT332" s="50" t="s">
        <v>5540</v>
      </c>
      <c r="AU332" s="117">
        <v>5237.0</v>
      </c>
      <c r="AV332" s="50" t="s">
        <v>6778</v>
      </c>
      <c r="AW332" s="50" t="s">
        <v>6779</v>
      </c>
      <c r="AX332" s="117">
        <v>331.0</v>
      </c>
    </row>
    <row r="333">
      <c r="A333" s="50" t="s">
        <v>6780</v>
      </c>
      <c r="B333" s="50" t="s">
        <v>6781</v>
      </c>
      <c r="C333" s="116"/>
      <c r="D333" s="116"/>
      <c r="E333" s="50">
        <v>3.52155090281144E14</v>
      </c>
      <c r="F333" s="50">
        <v>58.0</v>
      </c>
      <c r="G333" s="50">
        <v>11.0</v>
      </c>
      <c r="H333" s="50">
        <v>3.0</v>
      </c>
      <c r="I333" s="50">
        <v>1.0</v>
      </c>
      <c r="J333" s="50" t="s">
        <v>6689</v>
      </c>
      <c r="K333" s="116"/>
      <c r="L333" s="50" t="s">
        <v>1622</v>
      </c>
      <c r="M333" s="50" t="s">
        <v>1622</v>
      </c>
      <c r="N333" s="116"/>
      <c r="O333" s="116"/>
      <c r="P333" s="50" t="s">
        <v>6782</v>
      </c>
      <c r="Q333" s="50" t="s">
        <v>6783</v>
      </c>
      <c r="R333" s="50">
        <v>22.5535163</v>
      </c>
      <c r="S333" s="50">
        <v>88.385248</v>
      </c>
      <c r="T333" s="50">
        <v>-41.099998474121</v>
      </c>
      <c r="U333" s="50">
        <v>5.0</v>
      </c>
      <c r="V333" s="50">
        <v>1.0</v>
      </c>
      <c r="W333" s="50">
        <v>0.0</v>
      </c>
      <c r="X333" s="50">
        <v>1.0</v>
      </c>
      <c r="Y333" s="116"/>
      <c r="Z333" s="116"/>
      <c r="AA333" s="50">
        <v>2.0</v>
      </c>
      <c r="AB333" s="50">
        <v>4.0</v>
      </c>
      <c r="AC333" s="116"/>
      <c r="AD333" s="116"/>
      <c r="AE333" s="116"/>
      <c r="AF333" s="116"/>
      <c r="AG333" s="116"/>
      <c r="AH333" s="116"/>
      <c r="AI333" s="116"/>
      <c r="AJ333" s="116"/>
      <c r="AK333" s="116"/>
      <c r="AL333" s="116"/>
      <c r="AM333" s="116"/>
      <c r="AN333" s="116"/>
      <c r="AO333" s="116"/>
      <c r="AP333" s="116"/>
      <c r="AQ333" s="50" t="s">
        <v>3185</v>
      </c>
      <c r="AR333" s="50" t="s">
        <v>2302</v>
      </c>
      <c r="AS333" s="50">
        <v>1.0</v>
      </c>
      <c r="AT333" s="50" t="s">
        <v>5540</v>
      </c>
      <c r="AU333" s="117">
        <v>5238.0</v>
      </c>
      <c r="AV333" s="50" t="s">
        <v>6784</v>
      </c>
      <c r="AW333" s="50" t="s">
        <v>6785</v>
      </c>
      <c r="AX333" s="117">
        <v>332.0</v>
      </c>
    </row>
    <row r="334">
      <c r="A334" s="50" t="s">
        <v>6786</v>
      </c>
      <c r="B334" s="50" t="s">
        <v>6787</v>
      </c>
      <c r="C334" s="116"/>
      <c r="D334" s="116"/>
      <c r="E334" s="50">
        <v>3.52155090281144E14</v>
      </c>
      <c r="F334" s="50">
        <v>58.0</v>
      </c>
      <c r="G334" s="50">
        <v>99.0</v>
      </c>
      <c r="H334" s="116"/>
      <c r="I334" s="116"/>
      <c r="J334" s="116"/>
      <c r="K334" s="50">
        <v>2.0</v>
      </c>
      <c r="L334" s="50" t="s">
        <v>1623</v>
      </c>
      <c r="M334" s="50" t="s">
        <v>1623</v>
      </c>
      <c r="N334" s="116"/>
      <c r="O334" s="116"/>
      <c r="P334" s="50" t="s">
        <v>6788</v>
      </c>
      <c r="Q334" s="50" t="s">
        <v>6789</v>
      </c>
      <c r="R334" s="50">
        <v>22.5534864</v>
      </c>
      <c r="S334" s="50">
        <v>88.385206</v>
      </c>
      <c r="T334" s="50">
        <v>-40.7000007629394</v>
      </c>
      <c r="U334" s="50">
        <v>5.0</v>
      </c>
      <c r="V334" s="50">
        <v>1.0</v>
      </c>
      <c r="W334" s="50">
        <v>0.0</v>
      </c>
      <c r="X334" s="50">
        <v>1.0</v>
      </c>
      <c r="Y334" s="116"/>
      <c r="Z334" s="116"/>
      <c r="AA334" s="116"/>
      <c r="AB334" s="116"/>
      <c r="AC334" s="116"/>
      <c r="AD334" s="116"/>
      <c r="AE334" s="116"/>
      <c r="AF334" s="116"/>
      <c r="AG334" s="116"/>
      <c r="AH334" s="116"/>
      <c r="AI334" s="116"/>
      <c r="AJ334" s="116"/>
      <c r="AK334" s="116"/>
      <c r="AL334" s="116"/>
      <c r="AM334" s="116"/>
      <c r="AN334" s="116"/>
      <c r="AO334" s="116"/>
      <c r="AP334" s="116"/>
      <c r="AQ334" s="50" t="s">
        <v>6790</v>
      </c>
      <c r="AR334" s="50" t="s">
        <v>2302</v>
      </c>
      <c r="AS334" s="116"/>
      <c r="AT334" s="50" t="s">
        <v>5540</v>
      </c>
      <c r="AU334" s="117">
        <v>5239.0</v>
      </c>
      <c r="AV334" s="50" t="s">
        <v>6791</v>
      </c>
      <c r="AW334" s="50" t="s">
        <v>6792</v>
      </c>
      <c r="AX334" s="117">
        <v>333.0</v>
      </c>
    </row>
    <row r="335">
      <c r="A335" s="50" t="s">
        <v>6793</v>
      </c>
      <c r="B335" s="50" t="s">
        <v>6794</v>
      </c>
      <c r="C335" s="116"/>
      <c r="D335" s="116"/>
      <c r="E335" s="50">
        <v>3.52155090281144E14</v>
      </c>
      <c r="F335" s="50">
        <v>59.0</v>
      </c>
      <c r="G335" s="50">
        <v>11.0</v>
      </c>
      <c r="H335" s="50">
        <v>4.0</v>
      </c>
      <c r="I335" s="50">
        <v>1.0</v>
      </c>
      <c r="J335" s="50" t="s">
        <v>6419</v>
      </c>
      <c r="K335" s="116"/>
      <c r="L335" s="50" t="s">
        <v>1628</v>
      </c>
      <c r="M335" s="50" t="s">
        <v>1628</v>
      </c>
      <c r="N335" s="116"/>
      <c r="O335" s="116"/>
      <c r="P335" s="50" t="s">
        <v>6795</v>
      </c>
      <c r="Q335" s="50" t="s">
        <v>6796</v>
      </c>
      <c r="R335" s="50">
        <v>22.5409688</v>
      </c>
      <c r="S335" s="50">
        <v>88.3758631</v>
      </c>
      <c r="T335" s="50">
        <v>31.2000007629394</v>
      </c>
      <c r="U335" s="50">
        <v>5.0</v>
      </c>
      <c r="V335" s="50">
        <v>1.0</v>
      </c>
      <c r="W335" s="50">
        <v>0.0</v>
      </c>
      <c r="X335" s="50">
        <v>0.0</v>
      </c>
      <c r="Y335" s="50">
        <v>1.0</v>
      </c>
      <c r="Z335" s="116"/>
      <c r="AA335" s="50">
        <v>1.0</v>
      </c>
      <c r="AB335" s="50">
        <v>4.0</v>
      </c>
      <c r="AC335" s="116"/>
      <c r="AD335" s="116"/>
      <c r="AE335" s="116"/>
      <c r="AF335" s="116"/>
      <c r="AG335" s="116"/>
      <c r="AH335" s="116"/>
      <c r="AI335" s="116"/>
      <c r="AJ335" s="116"/>
      <c r="AK335" s="116"/>
      <c r="AL335" s="116"/>
      <c r="AM335" s="116"/>
      <c r="AN335" s="116"/>
      <c r="AO335" s="116"/>
      <c r="AP335" s="116"/>
      <c r="AQ335" s="50" t="s">
        <v>3243</v>
      </c>
      <c r="AR335" s="50" t="s">
        <v>2327</v>
      </c>
      <c r="AS335" s="50">
        <v>1.0</v>
      </c>
      <c r="AT335" s="50" t="s">
        <v>5540</v>
      </c>
      <c r="AU335" s="117">
        <v>5248.0</v>
      </c>
      <c r="AV335" s="50" t="s">
        <v>6797</v>
      </c>
      <c r="AW335" s="50" t="s">
        <v>6798</v>
      </c>
      <c r="AX335" s="117">
        <v>334.0</v>
      </c>
    </row>
    <row r="336">
      <c r="A336" s="50" t="s">
        <v>6799</v>
      </c>
      <c r="B336" s="50" t="s">
        <v>6800</v>
      </c>
      <c r="C336" s="116"/>
      <c r="D336" s="116"/>
      <c r="E336" s="50">
        <v>3.52155090281144E14</v>
      </c>
      <c r="F336" s="50">
        <v>59.0</v>
      </c>
      <c r="G336" s="50">
        <v>99.0</v>
      </c>
      <c r="H336" s="116"/>
      <c r="I336" s="116"/>
      <c r="J336" s="116"/>
      <c r="K336" s="50">
        <v>2.0</v>
      </c>
      <c r="L336" s="50" t="s">
        <v>1629</v>
      </c>
      <c r="M336" s="50" t="s">
        <v>1629</v>
      </c>
      <c r="N336" s="116"/>
      <c r="O336" s="116"/>
      <c r="P336" s="50" t="s">
        <v>6801</v>
      </c>
      <c r="Q336" s="50" t="s">
        <v>6802</v>
      </c>
      <c r="R336" s="50">
        <v>22.5409409</v>
      </c>
      <c r="S336" s="50">
        <v>88.3758288</v>
      </c>
      <c r="T336" s="50">
        <v>3.29999995231628</v>
      </c>
      <c r="U336" s="50">
        <v>5.0</v>
      </c>
      <c r="V336" s="50">
        <v>1.0</v>
      </c>
      <c r="W336" s="50">
        <v>0.0</v>
      </c>
      <c r="X336" s="50">
        <v>0.0</v>
      </c>
      <c r="Y336" s="50">
        <v>1.0</v>
      </c>
      <c r="Z336" s="116"/>
      <c r="AA336" s="116"/>
      <c r="AB336" s="116"/>
      <c r="AC336" s="116"/>
      <c r="AD336" s="116"/>
      <c r="AE336" s="116"/>
      <c r="AF336" s="116"/>
      <c r="AG336" s="116"/>
      <c r="AH336" s="116"/>
      <c r="AI336" s="116"/>
      <c r="AJ336" s="116"/>
      <c r="AK336" s="116"/>
      <c r="AL336" s="116"/>
      <c r="AM336" s="116"/>
      <c r="AN336" s="116"/>
      <c r="AO336" s="116"/>
      <c r="AP336" s="116"/>
      <c r="AQ336" s="50" t="s">
        <v>6803</v>
      </c>
      <c r="AR336" s="50" t="s">
        <v>2327</v>
      </c>
      <c r="AS336" s="116"/>
      <c r="AT336" s="50" t="s">
        <v>5540</v>
      </c>
      <c r="AU336" s="117">
        <v>5249.0</v>
      </c>
      <c r="AV336" s="50" t="s">
        <v>6804</v>
      </c>
      <c r="AW336" s="50" t="s">
        <v>6805</v>
      </c>
      <c r="AX336" s="117">
        <v>335.0</v>
      </c>
    </row>
    <row r="337">
      <c r="A337" s="50" t="s">
        <v>6806</v>
      </c>
      <c r="B337" s="50" t="s">
        <v>6807</v>
      </c>
      <c r="C337" s="116"/>
      <c r="D337" s="116"/>
      <c r="E337" s="50">
        <v>3.52155090281144E14</v>
      </c>
      <c r="F337" s="50">
        <v>59.0</v>
      </c>
      <c r="G337" s="50">
        <v>11.0</v>
      </c>
      <c r="H337" s="50">
        <v>4.0</v>
      </c>
      <c r="I337" s="50">
        <v>1.0</v>
      </c>
      <c r="J337" s="50" t="s">
        <v>6754</v>
      </c>
      <c r="K337" s="116"/>
      <c r="L337" s="50" t="s">
        <v>1631</v>
      </c>
      <c r="M337" s="50" t="s">
        <v>1631</v>
      </c>
      <c r="N337" s="116"/>
      <c r="O337" s="116"/>
      <c r="P337" s="50" t="s">
        <v>6808</v>
      </c>
      <c r="Q337" s="50" t="s">
        <v>6809</v>
      </c>
      <c r="R337" s="50">
        <v>22.5418188</v>
      </c>
      <c r="S337" s="50">
        <v>88.374797</v>
      </c>
      <c r="T337" s="50">
        <v>-38.4000015258789</v>
      </c>
      <c r="U337" s="50">
        <v>5.0</v>
      </c>
      <c r="V337" s="50">
        <v>1.0</v>
      </c>
      <c r="W337" s="50">
        <v>0.0</v>
      </c>
      <c r="X337" s="50">
        <v>0.0</v>
      </c>
      <c r="Y337" s="50">
        <v>1.0</v>
      </c>
      <c r="Z337" s="116"/>
      <c r="AA337" s="50">
        <v>1.0</v>
      </c>
      <c r="AB337" s="50">
        <v>4.0</v>
      </c>
      <c r="AC337" s="116"/>
      <c r="AD337" s="116"/>
      <c r="AE337" s="116"/>
      <c r="AF337" s="116"/>
      <c r="AG337" s="116"/>
      <c r="AH337" s="116"/>
      <c r="AI337" s="116"/>
      <c r="AJ337" s="116"/>
      <c r="AK337" s="116"/>
      <c r="AL337" s="116"/>
      <c r="AM337" s="116"/>
      <c r="AN337" s="116"/>
      <c r="AO337" s="116"/>
      <c r="AP337" s="116"/>
      <c r="AQ337" s="50" t="s">
        <v>3185</v>
      </c>
      <c r="AR337" s="50" t="s">
        <v>2472</v>
      </c>
      <c r="AS337" s="50">
        <v>1.0</v>
      </c>
      <c r="AT337" s="50" t="s">
        <v>5540</v>
      </c>
      <c r="AU337" s="117">
        <v>5250.0</v>
      </c>
      <c r="AV337" s="50" t="s">
        <v>6810</v>
      </c>
      <c r="AW337" s="50" t="s">
        <v>6811</v>
      </c>
      <c r="AX337" s="117">
        <v>336.0</v>
      </c>
    </row>
    <row r="338">
      <c r="A338" s="50" t="s">
        <v>6812</v>
      </c>
      <c r="B338" s="50" t="s">
        <v>6813</v>
      </c>
      <c r="C338" s="116"/>
      <c r="D338" s="116"/>
      <c r="E338" s="50">
        <v>3.52155090281144E14</v>
      </c>
      <c r="F338" s="50">
        <v>59.0</v>
      </c>
      <c r="G338" s="50">
        <v>99.0</v>
      </c>
      <c r="H338" s="116"/>
      <c r="I338" s="116"/>
      <c r="J338" s="116"/>
      <c r="K338" s="50">
        <v>2.0</v>
      </c>
      <c r="L338" s="50" t="s">
        <v>1632</v>
      </c>
      <c r="M338" s="50" t="s">
        <v>1632</v>
      </c>
      <c r="N338" s="116"/>
      <c r="O338" s="116"/>
      <c r="P338" s="50" t="s">
        <v>6814</v>
      </c>
      <c r="Q338" s="50" t="s">
        <v>6815</v>
      </c>
      <c r="R338" s="50">
        <v>22.5418254</v>
      </c>
      <c r="S338" s="50">
        <v>88.3747742</v>
      </c>
      <c r="T338" s="50">
        <v>-44.7999992370605</v>
      </c>
      <c r="U338" s="50">
        <v>5.0</v>
      </c>
      <c r="V338" s="50">
        <v>1.0</v>
      </c>
      <c r="W338" s="50">
        <v>0.0</v>
      </c>
      <c r="X338" s="50">
        <v>0.0</v>
      </c>
      <c r="Y338" s="50">
        <v>1.0</v>
      </c>
      <c r="Z338" s="116"/>
      <c r="AA338" s="116"/>
      <c r="AB338" s="116"/>
      <c r="AC338" s="116"/>
      <c r="AD338" s="116"/>
      <c r="AE338" s="116"/>
      <c r="AF338" s="116"/>
      <c r="AG338" s="116"/>
      <c r="AH338" s="116"/>
      <c r="AI338" s="116"/>
      <c r="AJ338" s="116"/>
      <c r="AK338" s="116"/>
      <c r="AL338" s="116"/>
      <c r="AM338" s="116"/>
      <c r="AN338" s="116"/>
      <c r="AO338" s="116"/>
      <c r="AP338" s="116"/>
      <c r="AQ338" s="50" t="s">
        <v>6816</v>
      </c>
      <c r="AR338" s="50" t="s">
        <v>2472</v>
      </c>
      <c r="AS338" s="116"/>
      <c r="AT338" s="50" t="s">
        <v>5540</v>
      </c>
      <c r="AU338" s="117">
        <v>5251.0</v>
      </c>
      <c r="AV338" s="50" t="s">
        <v>6817</v>
      </c>
      <c r="AW338" s="50" t="s">
        <v>6818</v>
      </c>
      <c r="AX338" s="117">
        <v>337.0</v>
      </c>
    </row>
    <row r="339">
      <c r="A339" s="50" t="s">
        <v>6819</v>
      </c>
      <c r="B339" s="50" t="s">
        <v>6820</v>
      </c>
      <c r="C339" s="116"/>
      <c r="D339" s="116"/>
      <c r="E339" s="50">
        <v>3.52155090281144E14</v>
      </c>
      <c r="F339" s="50">
        <v>59.0</v>
      </c>
      <c r="G339" s="50">
        <v>11.0</v>
      </c>
      <c r="H339" s="50">
        <v>4.0</v>
      </c>
      <c r="I339" s="50">
        <v>1.0</v>
      </c>
      <c r="J339" s="50" t="s">
        <v>6404</v>
      </c>
      <c r="K339" s="116"/>
      <c r="L339" s="50" t="s">
        <v>1634</v>
      </c>
      <c r="M339" s="50" t="s">
        <v>1634</v>
      </c>
      <c r="N339" s="116"/>
      <c r="O339" s="116"/>
      <c r="P339" s="50" t="s">
        <v>6821</v>
      </c>
      <c r="Q339" s="50" t="s">
        <v>6822</v>
      </c>
      <c r="R339" s="50">
        <v>22.5431799</v>
      </c>
      <c r="S339" s="50">
        <v>88.3819221</v>
      </c>
      <c r="T339" s="50">
        <v>-25.2999992370605</v>
      </c>
      <c r="U339" s="50">
        <v>5.0</v>
      </c>
      <c r="V339" s="50">
        <v>1.0</v>
      </c>
      <c r="W339" s="50">
        <v>0.0</v>
      </c>
      <c r="X339" s="50">
        <v>0.0</v>
      </c>
      <c r="Y339" s="50">
        <v>1.0</v>
      </c>
      <c r="Z339" s="116"/>
      <c r="AA339" s="50">
        <v>1.0</v>
      </c>
      <c r="AB339" s="50">
        <v>4.0</v>
      </c>
      <c r="AC339" s="116"/>
      <c r="AD339" s="116"/>
      <c r="AE339" s="116"/>
      <c r="AF339" s="116"/>
      <c r="AG339" s="116"/>
      <c r="AH339" s="116"/>
      <c r="AI339" s="116"/>
      <c r="AJ339" s="116"/>
      <c r="AK339" s="116"/>
      <c r="AL339" s="116"/>
      <c r="AM339" s="116"/>
      <c r="AN339" s="116"/>
      <c r="AO339" s="116"/>
      <c r="AP339" s="116"/>
      <c r="AQ339" s="50" t="s">
        <v>2949</v>
      </c>
      <c r="AR339" s="50" t="s">
        <v>3142</v>
      </c>
      <c r="AS339" s="50">
        <v>1.0</v>
      </c>
      <c r="AT339" s="50" t="s">
        <v>5540</v>
      </c>
      <c r="AU339" s="117">
        <v>5252.0</v>
      </c>
      <c r="AV339" s="50" t="s">
        <v>6823</v>
      </c>
      <c r="AW339" s="50" t="s">
        <v>6824</v>
      </c>
      <c r="AX339" s="117">
        <v>338.0</v>
      </c>
    </row>
    <row r="340">
      <c r="A340" s="50" t="s">
        <v>6825</v>
      </c>
      <c r="B340" s="50" t="s">
        <v>6826</v>
      </c>
      <c r="C340" s="116"/>
      <c r="D340" s="116"/>
      <c r="E340" s="50">
        <v>3.52155090281144E14</v>
      </c>
      <c r="F340" s="50">
        <v>59.0</v>
      </c>
      <c r="G340" s="50">
        <v>99.0</v>
      </c>
      <c r="H340" s="116"/>
      <c r="I340" s="116"/>
      <c r="J340" s="116"/>
      <c r="K340" s="50">
        <v>2.0</v>
      </c>
      <c r="L340" s="50" t="s">
        <v>1635</v>
      </c>
      <c r="M340" s="50" t="s">
        <v>1635</v>
      </c>
      <c r="N340" s="116"/>
      <c r="O340" s="116"/>
      <c r="P340" s="50" t="s">
        <v>6828</v>
      </c>
      <c r="Q340" s="50" t="s">
        <v>6829</v>
      </c>
      <c r="R340" s="50">
        <v>22.5432066</v>
      </c>
      <c r="S340" s="50">
        <v>88.3818535</v>
      </c>
      <c r="T340" s="50">
        <v>-20.2999992370605</v>
      </c>
      <c r="U340" s="50">
        <v>5.0</v>
      </c>
      <c r="V340" s="50">
        <v>1.0</v>
      </c>
      <c r="W340" s="50">
        <v>0.0</v>
      </c>
      <c r="X340" s="50">
        <v>0.0</v>
      </c>
      <c r="Y340" s="50">
        <v>1.0</v>
      </c>
      <c r="Z340" s="116"/>
      <c r="AA340" s="116"/>
      <c r="AB340" s="116"/>
      <c r="AC340" s="116"/>
      <c r="AD340" s="116"/>
      <c r="AE340" s="116"/>
      <c r="AF340" s="116"/>
      <c r="AG340" s="116"/>
      <c r="AH340" s="116"/>
      <c r="AI340" s="116"/>
      <c r="AJ340" s="116"/>
      <c r="AK340" s="116"/>
      <c r="AL340" s="116"/>
      <c r="AM340" s="116"/>
      <c r="AN340" s="116"/>
      <c r="AO340" s="116"/>
      <c r="AP340" s="116"/>
      <c r="AQ340" s="50" t="s">
        <v>6833</v>
      </c>
      <c r="AR340" s="50" t="s">
        <v>3142</v>
      </c>
      <c r="AS340" s="116"/>
      <c r="AT340" s="50" t="s">
        <v>5540</v>
      </c>
      <c r="AU340" s="117">
        <v>5253.0</v>
      </c>
      <c r="AV340" s="50" t="s">
        <v>6836</v>
      </c>
      <c r="AW340" s="50" t="s">
        <v>6837</v>
      </c>
      <c r="AX340" s="117">
        <v>339.0</v>
      </c>
    </row>
    <row r="341">
      <c r="A341" s="50" t="s">
        <v>6840</v>
      </c>
      <c r="B341" s="50" t="s">
        <v>6841</v>
      </c>
      <c r="C341" s="116"/>
      <c r="D341" s="116"/>
      <c r="E341" s="50">
        <v>3.52155090281144E14</v>
      </c>
      <c r="F341" s="50">
        <v>58.0</v>
      </c>
      <c r="G341" s="50">
        <v>11.0</v>
      </c>
      <c r="H341" s="50">
        <v>3.0</v>
      </c>
      <c r="I341" s="50">
        <v>1.0</v>
      </c>
      <c r="J341" s="50" t="s">
        <v>6689</v>
      </c>
      <c r="K341" s="116"/>
      <c r="L341" s="50" t="s">
        <v>1637</v>
      </c>
      <c r="M341" s="50" t="s">
        <v>1637</v>
      </c>
      <c r="N341" s="116"/>
      <c r="O341" s="116"/>
      <c r="P341" s="50" t="s">
        <v>6849</v>
      </c>
      <c r="Q341" s="50" t="s">
        <v>6851</v>
      </c>
      <c r="R341" s="50">
        <v>22.5534318</v>
      </c>
      <c r="S341" s="50">
        <v>88.3852626</v>
      </c>
      <c r="T341" s="50">
        <v>-51.9000015258789</v>
      </c>
      <c r="U341" s="50">
        <v>5.0</v>
      </c>
      <c r="V341" s="50">
        <v>1.0</v>
      </c>
      <c r="W341" s="50">
        <v>0.0</v>
      </c>
      <c r="X341" s="50">
        <v>0.0</v>
      </c>
      <c r="Y341" s="50">
        <v>1.0</v>
      </c>
      <c r="Z341" s="116"/>
      <c r="AA341" s="50">
        <v>2.0</v>
      </c>
      <c r="AB341" s="50">
        <v>4.0</v>
      </c>
      <c r="AC341" s="116"/>
      <c r="AD341" s="116"/>
      <c r="AE341" s="116"/>
      <c r="AF341" s="116"/>
      <c r="AG341" s="116"/>
      <c r="AH341" s="116"/>
      <c r="AI341" s="116"/>
      <c r="AJ341" s="116"/>
      <c r="AK341" s="116"/>
      <c r="AL341" s="116"/>
      <c r="AM341" s="116"/>
      <c r="AN341" s="116"/>
      <c r="AO341" s="116"/>
      <c r="AP341" s="116"/>
      <c r="AQ341" s="50" t="s">
        <v>3185</v>
      </c>
      <c r="AR341" s="50" t="s">
        <v>2472</v>
      </c>
      <c r="AS341" s="50">
        <v>1.0</v>
      </c>
      <c r="AT341" s="50" t="s">
        <v>5540</v>
      </c>
      <c r="AU341" s="117">
        <v>5254.0</v>
      </c>
      <c r="AV341" s="50" t="s">
        <v>6870</v>
      </c>
      <c r="AW341" s="50" t="s">
        <v>6872</v>
      </c>
      <c r="AX341" s="117">
        <v>340.0</v>
      </c>
    </row>
    <row r="342">
      <c r="A342" s="50" t="s">
        <v>6873</v>
      </c>
      <c r="B342" s="50" t="s">
        <v>6874</v>
      </c>
      <c r="C342" s="116"/>
      <c r="D342" s="116"/>
      <c r="E342" s="50">
        <v>3.52155090281144E14</v>
      </c>
      <c r="F342" s="50">
        <v>58.0</v>
      </c>
      <c r="G342" s="50">
        <v>99.0</v>
      </c>
      <c r="H342" s="116"/>
      <c r="I342" s="116"/>
      <c r="J342" s="116"/>
      <c r="K342" s="50">
        <v>2.0</v>
      </c>
      <c r="L342" s="50" t="s">
        <v>1638</v>
      </c>
      <c r="M342" s="50" t="s">
        <v>1638</v>
      </c>
      <c r="N342" s="116"/>
      <c r="O342" s="116"/>
      <c r="P342" s="50" t="s">
        <v>6879</v>
      </c>
      <c r="Q342" s="50" t="s">
        <v>6880</v>
      </c>
      <c r="R342" s="50">
        <v>22.5535131</v>
      </c>
      <c r="S342" s="50">
        <v>88.3851118</v>
      </c>
      <c r="T342" s="50">
        <v>-2.5</v>
      </c>
      <c r="U342" s="50">
        <v>5.0</v>
      </c>
      <c r="V342" s="50">
        <v>1.0</v>
      </c>
      <c r="W342" s="50">
        <v>0.0</v>
      </c>
      <c r="X342" s="50">
        <v>0.0</v>
      </c>
      <c r="Y342" s="50">
        <v>1.0</v>
      </c>
      <c r="Z342" s="116"/>
      <c r="AA342" s="116"/>
      <c r="AB342" s="116"/>
      <c r="AC342" s="116"/>
      <c r="AD342" s="116"/>
      <c r="AE342" s="116"/>
      <c r="AF342" s="116"/>
      <c r="AG342" s="116"/>
      <c r="AH342" s="116"/>
      <c r="AI342" s="116"/>
      <c r="AJ342" s="116"/>
      <c r="AK342" s="116"/>
      <c r="AL342" s="116"/>
      <c r="AM342" s="116"/>
      <c r="AN342" s="116"/>
      <c r="AO342" s="116"/>
      <c r="AP342" s="116"/>
      <c r="AQ342" s="50" t="s">
        <v>6881</v>
      </c>
      <c r="AR342" s="50" t="s">
        <v>2472</v>
      </c>
      <c r="AS342" s="116"/>
      <c r="AT342" s="50" t="s">
        <v>5540</v>
      </c>
      <c r="AU342" s="117">
        <v>5255.0</v>
      </c>
      <c r="AV342" s="50" t="s">
        <v>6882</v>
      </c>
      <c r="AW342" s="50" t="s">
        <v>6883</v>
      </c>
      <c r="AX342" s="117">
        <v>341.0</v>
      </c>
    </row>
    <row r="343">
      <c r="A343" s="50" t="s">
        <v>6884</v>
      </c>
      <c r="B343" s="50" t="s">
        <v>6885</v>
      </c>
      <c r="C343" s="116"/>
      <c r="D343" s="116"/>
      <c r="E343" s="50">
        <v>3.52155090281144E14</v>
      </c>
      <c r="F343" s="50">
        <v>59.0</v>
      </c>
      <c r="G343" s="50">
        <v>11.0</v>
      </c>
      <c r="H343" s="50">
        <v>4.0</v>
      </c>
      <c r="I343" s="50">
        <v>1.0</v>
      </c>
      <c r="J343" s="50" t="s">
        <v>6886</v>
      </c>
      <c r="K343" s="116"/>
      <c r="L343" s="50" t="s">
        <v>1643</v>
      </c>
      <c r="M343" s="50" t="s">
        <v>1643</v>
      </c>
      <c r="N343" s="116"/>
      <c r="O343" s="116"/>
      <c r="P343" s="50" t="s">
        <v>6887</v>
      </c>
      <c r="Q343" s="50" t="s">
        <v>6889</v>
      </c>
      <c r="R343" s="50">
        <v>22.5402288</v>
      </c>
      <c r="S343" s="50">
        <v>88.3755463</v>
      </c>
      <c r="T343" s="50">
        <v>-81.1999969482421</v>
      </c>
      <c r="U343" s="50">
        <v>5.0</v>
      </c>
      <c r="V343" s="50">
        <v>1.0</v>
      </c>
      <c r="W343" s="50">
        <v>0.0</v>
      </c>
      <c r="X343" s="50">
        <v>0.0</v>
      </c>
      <c r="Y343" s="50">
        <v>1.0</v>
      </c>
      <c r="Z343" s="116"/>
      <c r="AA343" s="50">
        <v>2.0</v>
      </c>
      <c r="AB343" s="50">
        <v>4.0</v>
      </c>
      <c r="AC343" s="116"/>
      <c r="AD343" s="116"/>
      <c r="AE343" s="116"/>
      <c r="AF343" s="116"/>
      <c r="AG343" s="116"/>
      <c r="AH343" s="116"/>
      <c r="AI343" s="116"/>
      <c r="AJ343" s="116"/>
      <c r="AK343" s="116"/>
      <c r="AL343" s="116"/>
      <c r="AM343" s="116"/>
      <c r="AN343" s="116"/>
      <c r="AO343" s="116"/>
      <c r="AP343" s="116"/>
      <c r="AQ343" s="50" t="s">
        <v>3185</v>
      </c>
      <c r="AR343" s="50" t="s">
        <v>2286</v>
      </c>
      <c r="AS343" s="50">
        <v>1.0</v>
      </c>
      <c r="AT343" s="50" t="s">
        <v>5540</v>
      </c>
      <c r="AU343" s="117">
        <v>5308.0</v>
      </c>
      <c r="AV343" s="50" t="s">
        <v>6895</v>
      </c>
      <c r="AW343" s="50" t="s">
        <v>6896</v>
      </c>
      <c r="AX343" s="117">
        <v>342.0</v>
      </c>
    </row>
    <row r="344">
      <c r="A344" s="50" t="s">
        <v>6897</v>
      </c>
      <c r="B344" s="50" t="s">
        <v>6898</v>
      </c>
      <c r="C344" s="116"/>
      <c r="D344" s="116"/>
      <c r="E344" s="50">
        <v>3.52155090281144E14</v>
      </c>
      <c r="F344" s="50">
        <v>59.0</v>
      </c>
      <c r="G344" s="50">
        <v>99.0</v>
      </c>
      <c r="H344" s="116"/>
      <c r="I344" s="116"/>
      <c r="J344" s="116"/>
      <c r="K344" s="50">
        <v>2.0</v>
      </c>
      <c r="L344" s="50" t="s">
        <v>287</v>
      </c>
      <c r="M344" s="50" t="s">
        <v>287</v>
      </c>
      <c r="N344" s="116"/>
      <c r="O344" s="116"/>
      <c r="P344" s="50" t="s">
        <v>6902</v>
      </c>
      <c r="Q344" s="50" t="s">
        <v>6904</v>
      </c>
      <c r="R344" s="50">
        <v>22.5403774</v>
      </c>
      <c r="S344" s="50">
        <v>88.3754173</v>
      </c>
      <c r="T344" s="50">
        <v>-58.9000015258789</v>
      </c>
      <c r="U344" s="50">
        <v>5.0</v>
      </c>
      <c r="V344" s="50">
        <v>1.0</v>
      </c>
      <c r="W344" s="50">
        <v>0.0</v>
      </c>
      <c r="X344" s="50">
        <v>0.0</v>
      </c>
      <c r="Y344" s="50">
        <v>1.0</v>
      </c>
      <c r="Z344" s="116"/>
      <c r="AA344" s="116"/>
      <c r="AB344" s="116"/>
      <c r="AC344" s="116"/>
      <c r="AD344" s="116"/>
      <c r="AE344" s="116"/>
      <c r="AF344" s="116"/>
      <c r="AG344" s="116"/>
      <c r="AH344" s="116"/>
      <c r="AI344" s="116"/>
      <c r="AJ344" s="116"/>
      <c r="AK344" s="116"/>
      <c r="AL344" s="116"/>
      <c r="AM344" s="116"/>
      <c r="AN344" s="116"/>
      <c r="AO344" s="116"/>
      <c r="AP344" s="116"/>
      <c r="AQ344" s="50" t="s">
        <v>6909</v>
      </c>
      <c r="AR344" s="50" t="s">
        <v>2286</v>
      </c>
      <c r="AS344" s="116"/>
      <c r="AT344" s="50" t="s">
        <v>5540</v>
      </c>
      <c r="AU344" s="117">
        <v>5309.0</v>
      </c>
      <c r="AV344" s="50" t="s">
        <v>6910</v>
      </c>
      <c r="AW344" s="50" t="s">
        <v>6911</v>
      </c>
      <c r="AX344" s="117">
        <v>343.0</v>
      </c>
    </row>
    <row r="345">
      <c r="A345" s="50" t="s">
        <v>6914</v>
      </c>
      <c r="B345" s="50" t="s">
        <v>6915</v>
      </c>
      <c r="C345" s="116"/>
      <c r="D345" s="116"/>
      <c r="E345" s="50">
        <v>3.52155090281144E14</v>
      </c>
      <c r="F345" s="50">
        <v>59.0</v>
      </c>
      <c r="G345" s="50">
        <v>11.0</v>
      </c>
      <c r="H345" s="50">
        <v>4.0</v>
      </c>
      <c r="I345" s="50">
        <v>1.0</v>
      </c>
      <c r="J345" s="50" t="s">
        <v>6918</v>
      </c>
      <c r="K345" s="116"/>
      <c r="L345" s="50" t="s">
        <v>1644</v>
      </c>
      <c r="M345" s="50" t="s">
        <v>1644</v>
      </c>
      <c r="N345" s="116"/>
      <c r="O345" s="116"/>
      <c r="P345" s="50" t="s">
        <v>6919</v>
      </c>
      <c r="Q345" s="50" t="s">
        <v>6920</v>
      </c>
      <c r="R345" s="50">
        <v>22.541067</v>
      </c>
      <c r="S345" s="50">
        <v>88.3744202</v>
      </c>
      <c r="T345" s="50">
        <v>-63.7999992370605</v>
      </c>
      <c r="U345" s="50">
        <v>5.0</v>
      </c>
      <c r="V345" s="50">
        <v>1.0</v>
      </c>
      <c r="W345" s="50">
        <v>0.0</v>
      </c>
      <c r="X345" s="50">
        <v>0.0</v>
      </c>
      <c r="Y345" s="50">
        <v>1.0</v>
      </c>
      <c r="Z345" s="116"/>
      <c r="AA345" s="50">
        <v>2.0</v>
      </c>
      <c r="AB345" s="50">
        <v>4.0</v>
      </c>
      <c r="AC345" s="116"/>
      <c r="AD345" s="116"/>
      <c r="AE345" s="116"/>
      <c r="AF345" s="116"/>
      <c r="AG345" s="116"/>
      <c r="AH345" s="116"/>
      <c r="AI345" s="116"/>
      <c r="AJ345" s="116"/>
      <c r="AK345" s="116"/>
      <c r="AL345" s="116"/>
      <c r="AM345" s="116"/>
      <c r="AN345" s="116"/>
      <c r="AO345" s="116"/>
      <c r="AP345" s="116"/>
      <c r="AQ345" s="50" t="s">
        <v>3149</v>
      </c>
      <c r="AR345" s="50" t="s">
        <v>2278</v>
      </c>
      <c r="AS345" s="50">
        <v>1.0</v>
      </c>
      <c r="AT345" s="50" t="s">
        <v>5540</v>
      </c>
      <c r="AU345" s="117">
        <v>5310.0</v>
      </c>
      <c r="AV345" s="50" t="s">
        <v>6925</v>
      </c>
      <c r="AW345" s="50" t="s">
        <v>6926</v>
      </c>
      <c r="AX345" s="117">
        <v>344.0</v>
      </c>
    </row>
    <row r="346">
      <c r="A346" s="50" t="s">
        <v>6928</v>
      </c>
      <c r="B346" s="50" t="s">
        <v>6929</v>
      </c>
      <c r="C346" s="116"/>
      <c r="D346" s="116"/>
      <c r="E346" s="50">
        <v>3.52155090281144E14</v>
      </c>
      <c r="F346" s="50">
        <v>59.0</v>
      </c>
      <c r="G346" s="50">
        <v>99.0</v>
      </c>
      <c r="H346" s="116"/>
      <c r="I346" s="116"/>
      <c r="J346" s="116"/>
      <c r="K346" s="50">
        <v>2.0</v>
      </c>
      <c r="L346" s="50" t="s">
        <v>290</v>
      </c>
      <c r="M346" s="50" t="s">
        <v>290</v>
      </c>
      <c r="N346" s="116"/>
      <c r="O346" s="116"/>
      <c r="P346" s="50" t="s">
        <v>6931</v>
      </c>
      <c r="Q346" s="50" t="s">
        <v>6932</v>
      </c>
      <c r="R346" s="50">
        <v>22.5411084</v>
      </c>
      <c r="S346" s="50">
        <v>88.3743329</v>
      </c>
      <c r="T346" s="50">
        <v>-66.0999984741211</v>
      </c>
      <c r="U346" s="50">
        <v>5.0</v>
      </c>
      <c r="V346" s="50">
        <v>1.0</v>
      </c>
      <c r="W346" s="50">
        <v>0.0</v>
      </c>
      <c r="X346" s="50">
        <v>0.0</v>
      </c>
      <c r="Y346" s="50">
        <v>1.0</v>
      </c>
      <c r="Z346" s="116"/>
      <c r="AA346" s="116"/>
      <c r="AB346" s="116"/>
      <c r="AC346" s="116"/>
      <c r="AD346" s="116"/>
      <c r="AE346" s="116"/>
      <c r="AF346" s="116"/>
      <c r="AG346" s="116"/>
      <c r="AH346" s="116"/>
      <c r="AI346" s="116"/>
      <c r="AJ346" s="116"/>
      <c r="AK346" s="116"/>
      <c r="AL346" s="116"/>
      <c r="AM346" s="116"/>
      <c r="AN346" s="116"/>
      <c r="AO346" s="116"/>
      <c r="AP346" s="116"/>
      <c r="AQ346" s="50" t="s">
        <v>6937</v>
      </c>
      <c r="AR346" s="50" t="s">
        <v>2278</v>
      </c>
      <c r="AS346" s="116"/>
      <c r="AT346" s="50" t="s">
        <v>5540</v>
      </c>
      <c r="AU346" s="117">
        <v>5311.0</v>
      </c>
      <c r="AV346" s="50" t="s">
        <v>6939</v>
      </c>
      <c r="AW346" s="50" t="s">
        <v>6940</v>
      </c>
      <c r="AX346" s="117">
        <v>345.0</v>
      </c>
    </row>
    <row r="347">
      <c r="A347" s="50" t="s">
        <v>6943</v>
      </c>
      <c r="B347" s="50" t="s">
        <v>6944</v>
      </c>
      <c r="C347" s="116"/>
      <c r="D347" s="116"/>
      <c r="E347" s="50">
        <v>3.52155090281144E14</v>
      </c>
      <c r="F347" s="50">
        <v>59.0</v>
      </c>
      <c r="G347" s="50">
        <v>11.0</v>
      </c>
      <c r="H347" s="50">
        <v>4.0</v>
      </c>
      <c r="I347" s="50">
        <v>1.0</v>
      </c>
      <c r="J347" s="50" t="s">
        <v>6768</v>
      </c>
      <c r="K347" s="116"/>
      <c r="L347" s="50" t="s">
        <v>1645</v>
      </c>
      <c r="M347" s="50" t="s">
        <v>1645</v>
      </c>
      <c r="N347" s="116"/>
      <c r="O347" s="116"/>
      <c r="P347" s="50" t="s">
        <v>6946</v>
      </c>
      <c r="Q347" s="50" t="s">
        <v>6947</v>
      </c>
      <c r="R347" s="50">
        <v>22.5413159</v>
      </c>
      <c r="S347" s="50">
        <v>88.3761562</v>
      </c>
      <c r="T347" s="50">
        <v>-19.5</v>
      </c>
      <c r="U347" s="50">
        <v>5.0</v>
      </c>
      <c r="V347" s="50">
        <v>1.0</v>
      </c>
      <c r="W347" s="50">
        <v>0.0</v>
      </c>
      <c r="X347" s="50">
        <v>0.0</v>
      </c>
      <c r="Y347" s="50">
        <v>1.0</v>
      </c>
      <c r="Z347" s="116"/>
      <c r="AA347" s="50">
        <v>2.0</v>
      </c>
      <c r="AB347" s="50">
        <v>4.0</v>
      </c>
      <c r="AC347" s="116"/>
      <c r="AD347" s="116"/>
      <c r="AE347" s="116"/>
      <c r="AF347" s="116"/>
      <c r="AG347" s="116"/>
      <c r="AH347" s="116"/>
      <c r="AI347" s="116"/>
      <c r="AJ347" s="116"/>
      <c r="AK347" s="116"/>
      <c r="AL347" s="116"/>
      <c r="AM347" s="116"/>
      <c r="AN347" s="116"/>
      <c r="AO347" s="116"/>
      <c r="AP347" s="116"/>
      <c r="AQ347" s="50" t="s">
        <v>3185</v>
      </c>
      <c r="AR347" s="50" t="s">
        <v>2472</v>
      </c>
      <c r="AS347" s="50">
        <v>1.0</v>
      </c>
      <c r="AT347" s="50" t="s">
        <v>5540</v>
      </c>
      <c r="AU347" s="117">
        <v>5312.0</v>
      </c>
      <c r="AV347" s="50" t="s">
        <v>6951</v>
      </c>
      <c r="AW347" s="50" t="s">
        <v>6952</v>
      </c>
      <c r="AX347" s="117">
        <v>346.0</v>
      </c>
    </row>
    <row r="348">
      <c r="A348" s="50" t="s">
        <v>6953</v>
      </c>
      <c r="B348" s="50" t="s">
        <v>6954</v>
      </c>
      <c r="C348" s="116"/>
      <c r="D348" s="116"/>
      <c r="E348" s="50">
        <v>3.52155090281144E14</v>
      </c>
      <c r="F348" s="50">
        <v>59.0</v>
      </c>
      <c r="G348" s="50">
        <v>99.0</v>
      </c>
      <c r="H348" s="116"/>
      <c r="I348" s="116"/>
      <c r="J348" s="116"/>
      <c r="K348" s="50">
        <v>2.0</v>
      </c>
      <c r="L348" s="50" t="s">
        <v>292</v>
      </c>
      <c r="M348" s="50" t="s">
        <v>292</v>
      </c>
      <c r="N348" s="116"/>
      <c r="O348" s="116"/>
      <c r="P348" s="50" t="s">
        <v>6956</v>
      </c>
      <c r="Q348" s="50" t="s">
        <v>6958</v>
      </c>
      <c r="R348" s="50">
        <v>22.5413261</v>
      </c>
      <c r="S348" s="50">
        <v>88.3761567</v>
      </c>
      <c r="T348" s="50">
        <v>-59.2999992370605</v>
      </c>
      <c r="U348" s="50">
        <v>5.0</v>
      </c>
      <c r="V348" s="50">
        <v>1.0</v>
      </c>
      <c r="W348" s="50">
        <v>0.0</v>
      </c>
      <c r="X348" s="50">
        <v>0.0</v>
      </c>
      <c r="Y348" s="50">
        <v>1.0</v>
      </c>
      <c r="Z348" s="116"/>
      <c r="AA348" s="116"/>
      <c r="AB348" s="116"/>
      <c r="AC348" s="116"/>
      <c r="AD348" s="116"/>
      <c r="AE348" s="116"/>
      <c r="AF348" s="116"/>
      <c r="AG348" s="116"/>
      <c r="AH348" s="116"/>
      <c r="AI348" s="116"/>
      <c r="AJ348" s="116"/>
      <c r="AK348" s="116"/>
      <c r="AL348" s="116"/>
      <c r="AM348" s="116"/>
      <c r="AN348" s="116"/>
      <c r="AO348" s="116"/>
      <c r="AP348" s="116"/>
      <c r="AQ348" s="50" t="s">
        <v>6962</v>
      </c>
      <c r="AR348" s="50" t="s">
        <v>2899</v>
      </c>
      <c r="AS348" s="116"/>
      <c r="AT348" s="50" t="s">
        <v>5540</v>
      </c>
      <c r="AU348" s="117">
        <v>5313.0</v>
      </c>
      <c r="AV348" s="50" t="s">
        <v>6963</v>
      </c>
      <c r="AW348" s="50" t="s">
        <v>6965</v>
      </c>
      <c r="AX348" s="117">
        <v>347.0</v>
      </c>
    </row>
    <row r="349">
      <c r="A349" s="50" t="s">
        <v>6966</v>
      </c>
      <c r="B349" s="50" t="s">
        <v>6967</v>
      </c>
      <c r="C349" s="116"/>
      <c r="D349" s="116"/>
      <c r="E349" s="50">
        <v>3.52155090281144E14</v>
      </c>
      <c r="F349" s="50">
        <v>55.0</v>
      </c>
      <c r="G349" s="50">
        <v>12.0</v>
      </c>
      <c r="H349" s="116"/>
      <c r="I349" s="116"/>
      <c r="J349" s="116"/>
      <c r="K349" s="116"/>
      <c r="L349" s="50" t="s">
        <v>1641</v>
      </c>
      <c r="M349" s="50" t="s">
        <v>1641</v>
      </c>
      <c r="N349" s="50">
        <v>4.0</v>
      </c>
      <c r="O349" s="50" t="s">
        <v>6968</v>
      </c>
      <c r="P349" s="116"/>
      <c r="Q349" s="50" t="s">
        <v>6969</v>
      </c>
      <c r="R349" s="50">
        <v>22.5635836</v>
      </c>
      <c r="S349" s="50">
        <v>88.377219</v>
      </c>
      <c r="T349" s="50">
        <v>-39.599998474121</v>
      </c>
      <c r="U349" s="50">
        <v>5.0</v>
      </c>
      <c r="V349" s="50">
        <v>1.0</v>
      </c>
      <c r="W349" s="50">
        <v>0.0</v>
      </c>
      <c r="X349" s="50">
        <v>0.0</v>
      </c>
      <c r="Y349" s="50">
        <v>1.0</v>
      </c>
      <c r="Z349" s="116"/>
      <c r="AA349" s="116"/>
      <c r="AB349" s="116"/>
      <c r="AC349" s="116"/>
      <c r="AD349" s="116"/>
      <c r="AE349" s="50">
        <v>1.0</v>
      </c>
      <c r="AF349" s="50">
        <v>1.0</v>
      </c>
      <c r="AG349" s="50">
        <v>4.0</v>
      </c>
      <c r="AH349" s="50">
        <v>4.0</v>
      </c>
      <c r="AI349" s="116"/>
      <c r="AJ349" s="116"/>
      <c r="AK349" s="116"/>
      <c r="AL349" s="116"/>
      <c r="AM349" s="116"/>
      <c r="AN349" s="116"/>
      <c r="AO349" s="116"/>
      <c r="AP349" s="116"/>
      <c r="AQ349" s="50" t="s">
        <v>3200</v>
      </c>
      <c r="AR349" s="50" t="s">
        <v>2327</v>
      </c>
      <c r="AS349" s="50">
        <v>0.0</v>
      </c>
      <c r="AT349" s="50" t="s">
        <v>5540</v>
      </c>
      <c r="AU349" s="117">
        <v>5314.0</v>
      </c>
      <c r="AV349" s="50" t="s">
        <v>6974</v>
      </c>
      <c r="AW349" s="50" t="s">
        <v>6975</v>
      </c>
      <c r="AX349" s="117">
        <v>348.0</v>
      </c>
    </row>
    <row r="350">
      <c r="A350" s="50" t="s">
        <v>6976</v>
      </c>
      <c r="B350" s="50" t="s">
        <v>6977</v>
      </c>
      <c r="C350" s="116"/>
      <c r="D350" s="116"/>
      <c r="E350" s="50">
        <v>3.52155090281144E14</v>
      </c>
      <c r="F350" s="50">
        <v>55.0</v>
      </c>
      <c r="G350" s="50">
        <v>99.0</v>
      </c>
      <c r="H350" s="116"/>
      <c r="I350" s="116"/>
      <c r="J350" s="116"/>
      <c r="K350" s="50">
        <v>1.0</v>
      </c>
      <c r="L350" s="50" t="s">
        <v>294</v>
      </c>
      <c r="M350" s="50" t="s">
        <v>294</v>
      </c>
      <c r="N350" s="116"/>
      <c r="O350" s="116"/>
      <c r="P350" s="50" t="s">
        <v>6979</v>
      </c>
      <c r="Q350" s="50" t="s">
        <v>6980</v>
      </c>
      <c r="R350" s="50">
        <v>22.5634993</v>
      </c>
      <c r="S350" s="50">
        <v>88.3772654</v>
      </c>
      <c r="T350" s="50">
        <v>-25.7999992370605</v>
      </c>
      <c r="U350" s="50">
        <v>5.0</v>
      </c>
      <c r="V350" s="50">
        <v>1.0</v>
      </c>
      <c r="W350" s="50">
        <v>0.0</v>
      </c>
      <c r="X350" s="50">
        <v>0.0</v>
      </c>
      <c r="Y350" s="50">
        <v>1.0</v>
      </c>
      <c r="Z350" s="116"/>
      <c r="AA350" s="116"/>
      <c r="AB350" s="116"/>
      <c r="AC350" s="116"/>
      <c r="AD350" s="116"/>
      <c r="AE350" s="116"/>
      <c r="AF350" s="116"/>
      <c r="AG350" s="116"/>
      <c r="AH350" s="116"/>
      <c r="AI350" s="116"/>
      <c r="AJ350" s="116"/>
      <c r="AK350" s="116"/>
      <c r="AL350" s="116"/>
      <c r="AM350" s="116"/>
      <c r="AN350" s="116"/>
      <c r="AO350" s="116"/>
      <c r="AP350" s="116"/>
      <c r="AQ350" s="50" t="s">
        <v>6985</v>
      </c>
      <c r="AR350" s="50" t="s">
        <v>2327</v>
      </c>
      <c r="AS350" s="116"/>
      <c r="AT350" s="50" t="s">
        <v>5540</v>
      </c>
      <c r="AU350" s="117">
        <v>5315.0</v>
      </c>
      <c r="AV350" s="50" t="s">
        <v>6986</v>
      </c>
      <c r="AW350" s="50" t="s">
        <v>6987</v>
      </c>
      <c r="AX350" s="117">
        <v>349.0</v>
      </c>
    </row>
    <row r="351">
      <c r="A351" s="50" t="s">
        <v>6988</v>
      </c>
      <c r="B351" s="50" t="s">
        <v>6989</v>
      </c>
      <c r="C351" s="116"/>
      <c r="D351" s="116"/>
      <c r="E351" s="50">
        <v>3.52155090281144E14</v>
      </c>
      <c r="F351" s="50">
        <v>57.0</v>
      </c>
      <c r="G351" s="50">
        <v>12.0</v>
      </c>
      <c r="H351" s="116"/>
      <c r="I351" s="116"/>
      <c r="J351" s="116"/>
      <c r="K351" s="116"/>
      <c r="L351" s="50" t="s">
        <v>1642</v>
      </c>
      <c r="M351" s="50" t="s">
        <v>1642</v>
      </c>
      <c r="N351" s="50">
        <v>2.0</v>
      </c>
      <c r="O351" s="50" t="s">
        <v>6994</v>
      </c>
      <c r="P351" s="116"/>
      <c r="Q351" s="50" t="s">
        <v>6995</v>
      </c>
      <c r="R351" s="50">
        <v>22.5542001</v>
      </c>
      <c r="S351" s="50">
        <v>88.3966987</v>
      </c>
      <c r="T351" s="50">
        <v>-42.7000007629394</v>
      </c>
      <c r="U351" s="50">
        <v>4.5</v>
      </c>
      <c r="V351" s="50">
        <v>1.0</v>
      </c>
      <c r="W351" s="50">
        <v>0.0</v>
      </c>
      <c r="X351" s="50">
        <v>0.0</v>
      </c>
      <c r="Y351" s="50">
        <v>1.0</v>
      </c>
      <c r="Z351" s="116"/>
      <c r="AA351" s="116"/>
      <c r="AB351" s="116"/>
      <c r="AC351" s="116"/>
      <c r="AD351" s="116"/>
      <c r="AE351" s="50">
        <v>1.0</v>
      </c>
      <c r="AF351" s="50">
        <v>2.0</v>
      </c>
      <c r="AG351" s="50">
        <v>3.0</v>
      </c>
      <c r="AH351" s="50">
        <v>4.0</v>
      </c>
      <c r="AI351" s="116"/>
      <c r="AJ351" s="116"/>
      <c r="AK351" s="116"/>
      <c r="AL351" s="116"/>
      <c r="AM351" s="116"/>
      <c r="AN351" s="116"/>
      <c r="AO351" s="116"/>
      <c r="AP351" s="116"/>
      <c r="AQ351" s="50" t="s">
        <v>2949</v>
      </c>
      <c r="AR351" s="50" t="s">
        <v>2302</v>
      </c>
      <c r="AS351" s="50">
        <v>0.0</v>
      </c>
      <c r="AT351" s="50" t="s">
        <v>5540</v>
      </c>
      <c r="AU351" s="117">
        <v>5316.0</v>
      </c>
      <c r="AV351" s="50" t="s">
        <v>6999</v>
      </c>
      <c r="AW351" s="50" t="s">
        <v>7000</v>
      </c>
      <c r="AX351" s="117">
        <v>350.0</v>
      </c>
    </row>
    <row r="352">
      <c r="A352" s="50" t="s">
        <v>7001</v>
      </c>
      <c r="B352" s="50" t="s">
        <v>7002</v>
      </c>
      <c r="C352" s="116"/>
      <c r="D352" s="116"/>
      <c r="E352" s="50">
        <v>3.52155090281144E14</v>
      </c>
      <c r="F352" s="50">
        <v>57.0</v>
      </c>
      <c r="G352" s="50">
        <v>99.0</v>
      </c>
      <c r="H352" s="116"/>
      <c r="I352" s="116"/>
      <c r="J352" s="116"/>
      <c r="K352" s="50">
        <v>1.0</v>
      </c>
      <c r="L352" s="50" t="s">
        <v>296</v>
      </c>
      <c r="M352" s="50" t="s">
        <v>296</v>
      </c>
      <c r="N352" s="116"/>
      <c r="O352" s="116"/>
      <c r="P352" s="50" t="s">
        <v>7003</v>
      </c>
      <c r="Q352" s="50" t="s">
        <v>7004</v>
      </c>
      <c r="R352" s="50">
        <v>22.5542067</v>
      </c>
      <c r="S352" s="50">
        <v>88.3968364</v>
      </c>
      <c r="T352" s="50">
        <v>19.6000003814697</v>
      </c>
      <c r="U352" s="50">
        <v>5.0</v>
      </c>
      <c r="V352" s="50">
        <v>1.0</v>
      </c>
      <c r="W352" s="50">
        <v>0.0</v>
      </c>
      <c r="X352" s="50">
        <v>0.0</v>
      </c>
      <c r="Y352" s="50">
        <v>1.0</v>
      </c>
      <c r="Z352" s="116"/>
      <c r="AA352" s="116"/>
      <c r="AB352" s="116"/>
      <c r="AC352" s="116"/>
      <c r="AD352" s="116"/>
      <c r="AE352" s="116"/>
      <c r="AF352" s="116"/>
      <c r="AG352" s="116"/>
      <c r="AH352" s="116"/>
      <c r="AI352" s="116"/>
      <c r="AJ352" s="116"/>
      <c r="AK352" s="116"/>
      <c r="AL352" s="116"/>
      <c r="AM352" s="116"/>
      <c r="AN352" s="116"/>
      <c r="AO352" s="116"/>
      <c r="AP352" s="116"/>
      <c r="AQ352" s="50" t="s">
        <v>7009</v>
      </c>
      <c r="AR352" s="50" t="s">
        <v>2302</v>
      </c>
      <c r="AS352" s="116"/>
      <c r="AT352" s="50" t="s">
        <v>5540</v>
      </c>
      <c r="AU352" s="117">
        <v>5317.0</v>
      </c>
      <c r="AV352" s="50" t="s">
        <v>7010</v>
      </c>
      <c r="AW352" s="50" t="s">
        <v>7011</v>
      </c>
      <c r="AX352" s="117">
        <v>351.0</v>
      </c>
    </row>
    <row r="353">
      <c r="A353" s="50" t="s">
        <v>7012</v>
      </c>
      <c r="B353" s="50" t="s">
        <v>7013</v>
      </c>
      <c r="C353" s="116"/>
      <c r="D353" s="116"/>
      <c r="E353" s="50">
        <v>3.52155090281144E14</v>
      </c>
      <c r="F353" s="50">
        <v>66.0</v>
      </c>
      <c r="G353" s="50">
        <v>11.0</v>
      </c>
      <c r="H353" s="50">
        <v>1.0</v>
      </c>
      <c r="I353" s="116"/>
      <c r="J353" s="116"/>
      <c r="K353" s="116"/>
      <c r="L353" s="50" t="s">
        <v>1653</v>
      </c>
      <c r="M353" s="50" t="s">
        <v>1653</v>
      </c>
      <c r="N353" s="116"/>
      <c r="O353" s="116"/>
      <c r="P353" s="50" t="s">
        <v>7016</v>
      </c>
      <c r="Q353" s="50" t="s">
        <v>7017</v>
      </c>
      <c r="R353" s="50">
        <v>22.5346787</v>
      </c>
      <c r="S353" s="50">
        <v>88.3959667</v>
      </c>
      <c r="T353" s="50">
        <v>-61.9000015258789</v>
      </c>
      <c r="U353" s="50">
        <v>5.0</v>
      </c>
      <c r="V353" s="50">
        <v>1.0</v>
      </c>
      <c r="W353" s="50">
        <v>0.0</v>
      </c>
      <c r="X353" s="50">
        <v>0.0</v>
      </c>
      <c r="Y353" s="50">
        <v>1.0</v>
      </c>
      <c r="Z353" s="116"/>
      <c r="AA353" s="50">
        <v>1.0</v>
      </c>
      <c r="AB353" s="50">
        <v>4.0</v>
      </c>
      <c r="AC353" s="116"/>
      <c r="AD353" s="116"/>
      <c r="AE353" s="116"/>
      <c r="AF353" s="116"/>
      <c r="AG353" s="116"/>
      <c r="AH353" s="116"/>
      <c r="AI353" s="116"/>
      <c r="AJ353" s="116"/>
      <c r="AK353" s="116"/>
      <c r="AL353" s="116"/>
      <c r="AM353" s="116"/>
      <c r="AN353" s="116"/>
      <c r="AO353" s="116"/>
      <c r="AP353" s="116"/>
      <c r="AQ353" s="50" t="s">
        <v>3185</v>
      </c>
      <c r="AR353" s="50" t="s">
        <v>2302</v>
      </c>
      <c r="AS353" s="50">
        <v>1.0</v>
      </c>
      <c r="AT353" s="50" t="s">
        <v>5540</v>
      </c>
      <c r="AU353" s="117">
        <v>5355.0</v>
      </c>
      <c r="AV353" s="50" t="s">
        <v>7018</v>
      </c>
      <c r="AW353" s="50" t="s">
        <v>7020</v>
      </c>
      <c r="AX353" s="117">
        <v>352.0</v>
      </c>
    </row>
    <row r="354">
      <c r="A354" s="50" t="s">
        <v>7022</v>
      </c>
      <c r="B354" s="50" t="s">
        <v>7023</v>
      </c>
      <c r="C354" s="116"/>
      <c r="D354" s="116"/>
      <c r="E354" s="50">
        <v>3.52155090281144E14</v>
      </c>
      <c r="F354" s="50">
        <v>66.0</v>
      </c>
      <c r="G354" s="50">
        <v>12.0</v>
      </c>
      <c r="H354" s="116"/>
      <c r="I354" s="116"/>
      <c r="J354" s="116"/>
      <c r="K354" s="116"/>
      <c r="L354" s="50" t="s">
        <v>1654</v>
      </c>
      <c r="M354" s="50" t="s">
        <v>1654</v>
      </c>
      <c r="N354" s="50">
        <v>5.0</v>
      </c>
      <c r="O354" s="50" t="s">
        <v>7026</v>
      </c>
      <c r="P354" s="116"/>
      <c r="Q354" s="50" t="s">
        <v>7027</v>
      </c>
      <c r="R354" s="50">
        <v>22.5345702</v>
      </c>
      <c r="S354" s="50">
        <v>88.3958235</v>
      </c>
      <c r="T354" s="50">
        <v>-55.2000007629394</v>
      </c>
      <c r="U354" s="50">
        <v>5.0</v>
      </c>
      <c r="V354" s="50">
        <v>1.0</v>
      </c>
      <c r="W354" s="50">
        <v>0.0</v>
      </c>
      <c r="X354" s="50">
        <v>0.0</v>
      </c>
      <c r="Y354" s="50">
        <v>1.0</v>
      </c>
      <c r="Z354" s="116"/>
      <c r="AA354" s="116"/>
      <c r="AB354" s="116"/>
      <c r="AC354" s="116"/>
      <c r="AD354" s="116"/>
      <c r="AE354" s="50">
        <v>1.0</v>
      </c>
      <c r="AF354" s="50">
        <v>2.0</v>
      </c>
      <c r="AG354" s="50">
        <v>3.0</v>
      </c>
      <c r="AH354" s="50">
        <v>4.0</v>
      </c>
      <c r="AI354" s="116"/>
      <c r="AJ354" s="116"/>
      <c r="AK354" s="116"/>
      <c r="AL354" s="116"/>
      <c r="AM354" s="116"/>
      <c r="AN354" s="116"/>
      <c r="AO354" s="116"/>
      <c r="AP354" s="116"/>
      <c r="AQ354" s="50" t="s">
        <v>3185</v>
      </c>
      <c r="AR354" s="50" t="s">
        <v>2302</v>
      </c>
      <c r="AS354" s="50">
        <v>0.0</v>
      </c>
      <c r="AT354" s="50" t="s">
        <v>5540</v>
      </c>
      <c r="AU354" s="117">
        <v>5438.0</v>
      </c>
      <c r="AV354" s="50" t="s">
        <v>7032</v>
      </c>
      <c r="AW354" s="50" t="s">
        <v>7033</v>
      </c>
      <c r="AX354" s="117">
        <v>353.0</v>
      </c>
    </row>
    <row r="355">
      <c r="A355" s="50" t="s">
        <v>7034</v>
      </c>
      <c r="B355" s="50" t="s">
        <v>7035</v>
      </c>
      <c r="C355" s="116"/>
      <c r="D355" s="116"/>
      <c r="E355" s="50">
        <v>3.52155090281144E14</v>
      </c>
      <c r="F355" s="50">
        <v>66.0</v>
      </c>
      <c r="G355" s="50">
        <v>99.0</v>
      </c>
      <c r="H355" s="116"/>
      <c r="I355" s="116"/>
      <c r="J355" s="116"/>
      <c r="K355" s="50">
        <v>1.0</v>
      </c>
      <c r="L355" s="50" t="s">
        <v>306</v>
      </c>
      <c r="M355" s="50" t="s">
        <v>306</v>
      </c>
      <c r="N355" s="116"/>
      <c r="O355" s="116"/>
      <c r="P355" s="50" t="s">
        <v>7038</v>
      </c>
      <c r="Q355" s="50" t="s">
        <v>7040</v>
      </c>
      <c r="R355" s="50">
        <v>22.5346082</v>
      </c>
      <c r="S355" s="50">
        <v>88.3958867</v>
      </c>
      <c r="T355" s="50">
        <v>-47.599998474121</v>
      </c>
      <c r="U355" s="50">
        <v>4.5</v>
      </c>
      <c r="V355" s="50">
        <v>1.0</v>
      </c>
      <c r="W355" s="50">
        <v>0.0</v>
      </c>
      <c r="X355" s="50">
        <v>0.0</v>
      </c>
      <c r="Y355" s="50">
        <v>1.0</v>
      </c>
      <c r="Z355" s="116"/>
      <c r="AA355" s="116"/>
      <c r="AB355" s="116"/>
      <c r="AC355" s="116"/>
      <c r="AD355" s="116"/>
      <c r="AE355" s="116"/>
      <c r="AF355" s="116"/>
      <c r="AG355" s="116"/>
      <c r="AH355" s="116"/>
      <c r="AI355" s="116"/>
      <c r="AJ355" s="116"/>
      <c r="AK355" s="116"/>
      <c r="AL355" s="116"/>
      <c r="AM355" s="116"/>
      <c r="AN355" s="116"/>
      <c r="AO355" s="116"/>
      <c r="AP355" s="116"/>
      <c r="AQ355" s="50" t="s">
        <v>7043</v>
      </c>
      <c r="AR355" s="50" t="s">
        <v>2302</v>
      </c>
      <c r="AS355" s="116"/>
      <c r="AT355" s="50" t="s">
        <v>5540</v>
      </c>
      <c r="AU355" s="117">
        <v>5439.0</v>
      </c>
      <c r="AV355" s="50" t="s">
        <v>7046</v>
      </c>
      <c r="AW355" s="50" t="s">
        <v>7048</v>
      </c>
      <c r="AX355" s="117">
        <v>354.0</v>
      </c>
    </row>
    <row r="356">
      <c r="A356" s="50" t="s">
        <v>7050</v>
      </c>
      <c r="B356" s="50" t="s">
        <v>7051</v>
      </c>
      <c r="C356" s="116"/>
      <c r="D356" s="116"/>
      <c r="E356" s="50">
        <v>3.52155090281144E14</v>
      </c>
      <c r="F356" s="50">
        <v>59.0</v>
      </c>
      <c r="G356" s="50">
        <v>12.0</v>
      </c>
      <c r="H356" s="116"/>
      <c r="I356" s="116"/>
      <c r="J356" s="116"/>
      <c r="K356" s="116"/>
      <c r="L356" s="50" t="s">
        <v>1655</v>
      </c>
      <c r="M356" s="50" t="s">
        <v>1655</v>
      </c>
      <c r="N356" s="50">
        <v>6.0</v>
      </c>
      <c r="O356" s="50" t="s">
        <v>7052</v>
      </c>
      <c r="P356" s="116"/>
      <c r="Q356" s="50" t="s">
        <v>7053</v>
      </c>
      <c r="R356" s="50">
        <v>22.5400519</v>
      </c>
      <c r="S356" s="50">
        <v>88.3872428</v>
      </c>
      <c r="T356" s="50">
        <v>-54.599998474121</v>
      </c>
      <c r="U356" s="50">
        <v>5.0</v>
      </c>
      <c r="V356" s="50">
        <v>1.0</v>
      </c>
      <c r="W356" s="50">
        <v>0.0</v>
      </c>
      <c r="X356" s="50">
        <v>0.0</v>
      </c>
      <c r="Y356" s="50">
        <v>1.0</v>
      </c>
      <c r="Z356" s="116"/>
      <c r="AA356" s="116"/>
      <c r="AB356" s="116"/>
      <c r="AC356" s="116"/>
      <c r="AD356" s="116"/>
      <c r="AE356" s="50">
        <v>1.0</v>
      </c>
      <c r="AF356" s="50">
        <v>2.0</v>
      </c>
      <c r="AG356" s="50">
        <v>4.0</v>
      </c>
      <c r="AH356" s="50">
        <v>4.0</v>
      </c>
      <c r="AI356" s="116"/>
      <c r="AJ356" s="116"/>
      <c r="AK356" s="116"/>
      <c r="AL356" s="116"/>
      <c r="AM356" s="116"/>
      <c r="AN356" s="116"/>
      <c r="AO356" s="116"/>
      <c r="AP356" s="116"/>
      <c r="AQ356" s="50" t="s">
        <v>3149</v>
      </c>
      <c r="AR356" s="50" t="s">
        <v>2472</v>
      </c>
      <c r="AS356" s="50">
        <v>0.0</v>
      </c>
      <c r="AT356" s="50" t="s">
        <v>5540</v>
      </c>
      <c r="AU356" s="117">
        <v>5440.0</v>
      </c>
      <c r="AV356" s="50" t="s">
        <v>7058</v>
      </c>
      <c r="AW356" s="50" t="s">
        <v>7059</v>
      </c>
      <c r="AX356" s="117">
        <v>355.0</v>
      </c>
    </row>
    <row r="357">
      <c r="A357" s="50" t="s">
        <v>7060</v>
      </c>
      <c r="B357" s="50" t="s">
        <v>7061</v>
      </c>
      <c r="C357" s="116"/>
      <c r="D357" s="116"/>
      <c r="E357" s="50">
        <v>3.52155090281144E14</v>
      </c>
      <c r="F357" s="50">
        <v>59.0</v>
      </c>
      <c r="G357" s="50">
        <v>99.0</v>
      </c>
      <c r="H357" s="116"/>
      <c r="I357" s="116"/>
      <c r="J357" s="116"/>
      <c r="K357" s="50">
        <v>1.0</v>
      </c>
      <c r="L357" s="50" t="s">
        <v>1656</v>
      </c>
      <c r="M357" s="50" t="s">
        <v>1656</v>
      </c>
      <c r="N357" s="116"/>
      <c r="O357" s="116"/>
      <c r="P357" s="50" t="s">
        <v>7063</v>
      </c>
      <c r="Q357" s="50" t="s">
        <v>7064</v>
      </c>
      <c r="R357" s="50">
        <v>22.5398201</v>
      </c>
      <c r="S357" s="50">
        <v>88.3872706</v>
      </c>
      <c r="T357" s="50">
        <v>-12.1999998092651</v>
      </c>
      <c r="U357" s="50">
        <v>5.0</v>
      </c>
      <c r="V357" s="50">
        <v>1.0</v>
      </c>
      <c r="W357" s="50">
        <v>0.0</v>
      </c>
      <c r="X357" s="50">
        <v>0.0</v>
      </c>
      <c r="Y357" s="50">
        <v>1.0</v>
      </c>
      <c r="Z357" s="116"/>
      <c r="AA357" s="116"/>
      <c r="AB357" s="116"/>
      <c r="AC357" s="116"/>
      <c r="AD357" s="116"/>
      <c r="AE357" s="116"/>
      <c r="AF357" s="116"/>
      <c r="AG357" s="116"/>
      <c r="AH357" s="116"/>
      <c r="AI357" s="116"/>
      <c r="AJ357" s="116"/>
      <c r="AK357" s="116"/>
      <c r="AL357" s="116"/>
      <c r="AM357" s="116"/>
      <c r="AN357" s="116"/>
      <c r="AO357" s="116"/>
      <c r="AP357" s="116"/>
      <c r="AQ357" s="50" t="s">
        <v>7065</v>
      </c>
      <c r="AR357" s="50" t="s">
        <v>2472</v>
      </c>
      <c r="AS357" s="116"/>
      <c r="AT357" s="50" t="s">
        <v>5540</v>
      </c>
      <c r="AU357" s="117">
        <v>5441.0</v>
      </c>
      <c r="AV357" s="50" t="s">
        <v>7067</v>
      </c>
      <c r="AW357" s="50" t="s">
        <v>7068</v>
      </c>
      <c r="AX357" s="117">
        <v>356.0</v>
      </c>
    </row>
    <row r="358">
      <c r="A358" s="50" t="s">
        <v>7070</v>
      </c>
      <c r="B358" s="50" t="s">
        <v>7072</v>
      </c>
      <c r="C358" s="116"/>
      <c r="D358" s="116"/>
      <c r="E358" s="50">
        <v>3.52155090281144E14</v>
      </c>
      <c r="F358" s="50">
        <v>59.0</v>
      </c>
      <c r="G358" s="50">
        <v>11.0</v>
      </c>
      <c r="H358" s="50">
        <v>4.0</v>
      </c>
      <c r="I358" s="50">
        <v>1.0</v>
      </c>
      <c r="J358" s="50" t="s">
        <v>6419</v>
      </c>
      <c r="K358" s="116"/>
      <c r="L358" s="50" t="s">
        <v>1657</v>
      </c>
      <c r="M358" s="50" t="s">
        <v>1657</v>
      </c>
      <c r="N358" s="116"/>
      <c r="O358" s="116"/>
      <c r="P358" s="50" t="s">
        <v>7075</v>
      </c>
      <c r="Q358" s="50" t="s">
        <v>7076</v>
      </c>
      <c r="R358" s="50">
        <v>22.5409505</v>
      </c>
      <c r="S358" s="50">
        <v>88.3757255</v>
      </c>
      <c r="T358" s="50">
        <v>-23.7999992370605</v>
      </c>
      <c r="U358" s="50">
        <v>4.5</v>
      </c>
      <c r="V358" s="50">
        <v>1.0</v>
      </c>
      <c r="W358" s="50">
        <v>0.0</v>
      </c>
      <c r="X358" s="50">
        <v>0.0</v>
      </c>
      <c r="Y358" s="50">
        <v>1.0</v>
      </c>
      <c r="Z358" s="116"/>
      <c r="AA358" s="50">
        <v>1.0</v>
      </c>
      <c r="AB358" s="50">
        <v>4.0</v>
      </c>
      <c r="AC358" s="116"/>
      <c r="AD358" s="116"/>
      <c r="AE358" s="116"/>
      <c r="AF358" s="116"/>
      <c r="AG358" s="116"/>
      <c r="AH358" s="116"/>
      <c r="AI358" s="116"/>
      <c r="AJ358" s="116"/>
      <c r="AK358" s="116"/>
      <c r="AL358" s="116"/>
      <c r="AM358" s="116"/>
      <c r="AN358" s="116"/>
      <c r="AO358" s="116"/>
      <c r="AP358" s="116"/>
      <c r="AQ358" s="50" t="s">
        <v>3185</v>
      </c>
      <c r="AR358" s="50" t="s">
        <v>2302</v>
      </c>
      <c r="AS358" s="50">
        <v>1.0</v>
      </c>
      <c r="AT358" s="50" t="s">
        <v>5540</v>
      </c>
      <c r="AU358" s="117">
        <v>5442.0</v>
      </c>
      <c r="AV358" s="50" t="s">
        <v>7079</v>
      </c>
      <c r="AW358" s="50" t="s">
        <v>7081</v>
      </c>
      <c r="AX358" s="117">
        <v>357.0</v>
      </c>
    </row>
    <row r="359">
      <c r="A359" s="50" t="s">
        <v>7082</v>
      </c>
      <c r="B359" s="50" t="s">
        <v>7083</v>
      </c>
      <c r="C359" s="116"/>
      <c r="D359" s="116"/>
      <c r="E359" s="50">
        <v>3.52155090281144E14</v>
      </c>
      <c r="F359" s="50">
        <v>59.0</v>
      </c>
      <c r="G359" s="50">
        <v>99.0</v>
      </c>
      <c r="H359" s="116"/>
      <c r="I359" s="116"/>
      <c r="J359" s="116"/>
      <c r="K359" s="50">
        <v>2.0</v>
      </c>
      <c r="L359" s="50" t="s">
        <v>298</v>
      </c>
      <c r="M359" s="50" t="s">
        <v>298</v>
      </c>
      <c r="N359" s="116"/>
      <c r="O359" s="116"/>
      <c r="P359" s="50" t="s">
        <v>7087</v>
      </c>
      <c r="Q359" s="50" t="s">
        <v>7089</v>
      </c>
      <c r="R359" s="50">
        <v>22.540551</v>
      </c>
      <c r="S359" s="50">
        <v>88.3755342</v>
      </c>
      <c r="T359" s="50">
        <v>-58.5</v>
      </c>
      <c r="U359" s="50">
        <v>5.0</v>
      </c>
      <c r="V359" s="50">
        <v>1.0</v>
      </c>
      <c r="W359" s="50">
        <v>0.0</v>
      </c>
      <c r="X359" s="50">
        <v>0.0</v>
      </c>
      <c r="Y359" s="50">
        <v>1.0</v>
      </c>
      <c r="Z359" s="116"/>
      <c r="AA359" s="116"/>
      <c r="AB359" s="116"/>
      <c r="AC359" s="116"/>
      <c r="AD359" s="116"/>
      <c r="AE359" s="116"/>
      <c r="AF359" s="116"/>
      <c r="AG359" s="116"/>
      <c r="AH359" s="116"/>
      <c r="AI359" s="116"/>
      <c r="AJ359" s="116"/>
      <c r="AK359" s="116"/>
      <c r="AL359" s="116"/>
      <c r="AM359" s="116"/>
      <c r="AN359" s="116"/>
      <c r="AO359" s="116"/>
      <c r="AP359" s="116"/>
      <c r="AQ359" s="50" t="s">
        <v>7094</v>
      </c>
      <c r="AR359" s="50" t="s">
        <v>2302</v>
      </c>
      <c r="AS359" s="116"/>
      <c r="AT359" s="50" t="s">
        <v>5540</v>
      </c>
      <c r="AU359" s="117">
        <v>5443.0</v>
      </c>
      <c r="AV359" s="50" t="s">
        <v>7095</v>
      </c>
      <c r="AW359" s="50" t="s">
        <v>7096</v>
      </c>
      <c r="AX359" s="117">
        <v>358.0</v>
      </c>
    </row>
    <row r="360">
      <c r="A360" s="50" t="s">
        <v>7097</v>
      </c>
      <c r="B360" s="50" t="s">
        <v>7098</v>
      </c>
      <c r="C360" s="116"/>
      <c r="D360" s="116"/>
      <c r="E360" s="50">
        <v>3.52155090281144E14</v>
      </c>
      <c r="F360" s="50">
        <v>59.0</v>
      </c>
      <c r="G360" s="50">
        <v>11.0</v>
      </c>
      <c r="H360" s="50">
        <v>4.0</v>
      </c>
      <c r="I360" s="50">
        <v>1.0</v>
      </c>
      <c r="J360" s="50" t="s">
        <v>6754</v>
      </c>
      <c r="K360" s="116"/>
      <c r="L360" s="50" t="s">
        <v>1658</v>
      </c>
      <c r="M360" s="50" t="s">
        <v>1658</v>
      </c>
      <c r="N360" s="116"/>
      <c r="O360" s="116"/>
      <c r="P360" s="50" t="s">
        <v>7101</v>
      </c>
      <c r="Q360" s="50" t="s">
        <v>7103</v>
      </c>
      <c r="R360" s="50">
        <v>22.5417578</v>
      </c>
      <c r="S360" s="50">
        <v>88.3747665</v>
      </c>
      <c r="T360" s="50">
        <v>-74.1999969482421</v>
      </c>
      <c r="U360" s="50">
        <v>5.0</v>
      </c>
      <c r="V360" s="50">
        <v>1.0</v>
      </c>
      <c r="W360" s="50">
        <v>0.0</v>
      </c>
      <c r="X360" s="50">
        <v>0.0</v>
      </c>
      <c r="Y360" s="50">
        <v>1.0</v>
      </c>
      <c r="Z360" s="116"/>
      <c r="AA360" s="50">
        <v>1.0</v>
      </c>
      <c r="AB360" s="50">
        <v>4.0</v>
      </c>
      <c r="AC360" s="116"/>
      <c r="AD360" s="116"/>
      <c r="AE360" s="116"/>
      <c r="AF360" s="116"/>
      <c r="AG360" s="116"/>
      <c r="AH360" s="116"/>
      <c r="AI360" s="116"/>
      <c r="AJ360" s="116"/>
      <c r="AK360" s="116"/>
      <c r="AL360" s="116"/>
      <c r="AM360" s="116"/>
      <c r="AN360" s="116"/>
      <c r="AO360" s="116"/>
      <c r="AP360" s="116"/>
      <c r="AQ360" s="50" t="s">
        <v>3149</v>
      </c>
      <c r="AR360" s="50" t="s">
        <v>2472</v>
      </c>
      <c r="AS360" s="50">
        <v>1.0</v>
      </c>
      <c r="AT360" s="50" t="s">
        <v>5540</v>
      </c>
      <c r="AU360" s="117">
        <v>5444.0</v>
      </c>
      <c r="AV360" s="50" t="s">
        <v>7107</v>
      </c>
      <c r="AW360" s="50" t="s">
        <v>7108</v>
      </c>
      <c r="AX360" s="117">
        <v>359.0</v>
      </c>
    </row>
    <row r="361">
      <c r="A361" s="50" t="s">
        <v>7110</v>
      </c>
      <c r="B361" s="50" t="s">
        <v>7111</v>
      </c>
      <c r="C361" s="116"/>
      <c r="D361" s="116"/>
      <c r="E361" s="50">
        <v>3.52155090281144E14</v>
      </c>
      <c r="F361" s="50">
        <v>59.0</v>
      </c>
      <c r="G361" s="50">
        <v>99.0</v>
      </c>
      <c r="H361" s="116"/>
      <c r="I361" s="116"/>
      <c r="J361" s="116"/>
      <c r="K361" s="50">
        <v>2.0</v>
      </c>
      <c r="L361" s="50" t="s">
        <v>300</v>
      </c>
      <c r="M361" s="50" t="s">
        <v>300</v>
      </c>
      <c r="N361" s="116"/>
      <c r="O361" s="116"/>
      <c r="P361" s="50" t="s">
        <v>7112</v>
      </c>
      <c r="Q361" s="50" t="s">
        <v>7113</v>
      </c>
      <c r="R361" s="50">
        <v>22.5417852</v>
      </c>
      <c r="S361" s="50">
        <v>88.3747734</v>
      </c>
      <c r="T361" s="50">
        <v>-64.0</v>
      </c>
      <c r="U361" s="50">
        <v>5.0</v>
      </c>
      <c r="V361" s="50">
        <v>1.0</v>
      </c>
      <c r="W361" s="50">
        <v>0.0</v>
      </c>
      <c r="X361" s="50">
        <v>0.0</v>
      </c>
      <c r="Y361" s="50">
        <v>1.0</v>
      </c>
      <c r="Z361" s="116"/>
      <c r="AA361" s="116"/>
      <c r="AB361" s="116"/>
      <c r="AC361" s="116"/>
      <c r="AD361" s="116"/>
      <c r="AE361" s="116"/>
      <c r="AF361" s="116"/>
      <c r="AG361" s="116"/>
      <c r="AH361" s="116"/>
      <c r="AI361" s="116"/>
      <c r="AJ361" s="116"/>
      <c r="AK361" s="116"/>
      <c r="AL361" s="116"/>
      <c r="AM361" s="116"/>
      <c r="AN361" s="116"/>
      <c r="AO361" s="116"/>
      <c r="AP361" s="116"/>
      <c r="AQ361" s="50" t="s">
        <v>7117</v>
      </c>
      <c r="AR361" s="50" t="s">
        <v>2472</v>
      </c>
      <c r="AS361" s="116"/>
      <c r="AT361" s="50" t="s">
        <v>5540</v>
      </c>
      <c r="AU361" s="117">
        <v>5445.0</v>
      </c>
      <c r="AV361" s="50" t="s">
        <v>7119</v>
      </c>
      <c r="AW361" s="50" t="s">
        <v>7120</v>
      </c>
      <c r="AX361" s="117">
        <v>360.0</v>
      </c>
    </row>
    <row r="362">
      <c r="A362" s="50" t="s">
        <v>7121</v>
      </c>
      <c r="B362" s="50" t="s">
        <v>7122</v>
      </c>
      <c r="C362" s="116"/>
      <c r="D362" s="116"/>
      <c r="E362" s="50">
        <v>3.52155090281144E14</v>
      </c>
      <c r="F362" s="50">
        <v>59.0</v>
      </c>
      <c r="G362" s="50">
        <v>11.0</v>
      </c>
      <c r="H362" s="50">
        <v>4.0</v>
      </c>
      <c r="I362" s="50">
        <v>1.0</v>
      </c>
      <c r="J362" s="50" t="s">
        <v>6404</v>
      </c>
      <c r="K362" s="116"/>
      <c r="L362" s="50" t="s">
        <v>1659</v>
      </c>
      <c r="M362" s="50" t="s">
        <v>1659</v>
      </c>
      <c r="N362" s="116"/>
      <c r="O362" s="116"/>
      <c r="P362" s="50" t="s">
        <v>7126</v>
      </c>
      <c r="Q362" s="50" t="s">
        <v>7127</v>
      </c>
      <c r="R362" s="50">
        <v>22.5431392</v>
      </c>
      <c r="S362" s="50">
        <v>88.3817978</v>
      </c>
      <c r="T362" s="50">
        <v>-51.9000015258789</v>
      </c>
      <c r="U362" s="50">
        <v>5.0</v>
      </c>
      <c r="V362" s="50">
        <v>1.0</v>
      </c>
      <c r="W362" s="50">
        <v>0.0</v>
      </c>
      <c r="X362" s="50">
        <v>0.0</v>
      </c>
      <c r="Y362" s="50">
        <v>1.0</v>
      </c>
      <c r="Z362" s="116"/>
      <c r="AA362" s="50">
        <v>1.0</v>
      </c>
      <c r="AB362" s="50">
        <v>4.0</v>
      </c>
      <c r="AC362" s="116"/>
      <c r="AD362" s="116"/>
      <c r="AE362" s="116"/>
      <c r="AF362" s="116"/>
      <c r="AG362" s="116"/>
      <c r="AH362" s="116"/>
      <c r="AI362" s="116"/>
      <c r="AJ362" s="116"/>
      <c r="AK362" s="116"/>
      <c r="AL362" s="116"/>
      <c r="AM362" s="116"/>
      <c r="AN362" s="116"/>
      <c r="AO362" s="116"/>
      <c r="AP362" s="116"/>
      <c r="AQ362" s="50" t="s">
        <v>3200</v>
      </c>
      <c r="AR362" s="50" t="s">
        <v>2278</v>
      </c>
      <c r="AS362" s="50">
        <v>1.0</v>
      </c>
      <c r="AT362" s="50" t="s">
        <v>5540</v>
      </c>
      <c r="AU362" s="117">
        <v>5446.0</v>
      </c>
      <c r="AV362" s="50" t="s">
        <v>7131</v>
      </c>
      <c r="AW362" s="50" t="s">
        <v>7132</v>
      </c>
      <c r="AX362" s="117">
        <v>361.0</v>
      </c>
    </row>
    <row r="363">
      <c r="A363" s="50" t="s">
        <v>7133</v>
      </c>
      <c r="B363" s="50" t="s">
        <v>7134</v>
      </c>
      <c r="C363" s="116"/>
      <c r="D363" s="116"/>
      <c r="E363" s="50">
        <v>3.52155090281144E14</v>
      </c>
      <c r="F363" s="50">
        <v>59.0</v>
      </c>
      <c r="G363" s="50">
        <v>99.0</v>
      </c>
      <c r="H363" s="116"/>
      <c r="I363" s="116"/>
      <c r="J363" s="116"/>
      <c r="K363" s="50">
        <v>2.0</v>
      </c>
      <c r="L363" s="50" t="s">
        <v>302</v>
      </c>
      <c r="M363" s="50" t="s">
        <v>302</v>
      </c>
      <c r="N363" s="116"/>
      <c r="O363" s="116"/>
      <c r="P363" s="50" t="s">
        <v>7136</v>
      </c>
      <c r="Q363" s="50" t="s">
        <v>7137</v>
      </c>
      <c r="R363" s="50">
        <v>22.5431001</v>
      </c>
      <c r="S363" s="50">
        <v>88.3819075</v>
      </c>
      <c r="T363" s="50">
        <v>-57.2999992370605</v>
      </c>
      <c r="U363" s="50">
        <v>5.5</v>
      </c>
      <c r="V363" s="50">
        <v>1.0</v>
      </c>
      <c r="W363" s="50">
        <v>0.0</v>
      </c>
      <c r="X363" s="50">
        <v>0.0</v>
      </c>
      <c r="Y363" s="50">
        <v>1.0</v>
      </c>
      <c r="Z363" s="116"/>
      <c r="AA363" s="116"/>
      <c r="AB363" s="116"/>
      <c r="AC363" s="116"/>
      <c r="AD363" s="116"/>
      <c r="AE363" s="116"/>
      <c r="AF363" s="116"/>
      <c r="AG363" s="116"/>
      <c r="AH363" s="116"/>
      <c r="AI363" s="116"/>
      <c r="AJ363" s="116"/>
      <c r="AK363" s="116"/>
      <c r="AL363" s="116"/>
      <c r="AM363" s="116"/>
      <c r="AN363" s="116"/>
      <c r="AO363" s="116"/>
      <c r="AP363" s="116"/>
      <c r="AQ363" s="50" t="s">
        <v>7139</v>
      </c>
      <c r="AR363" s="50" t="s">
        <v>2278</v>
      </c>
      <c r="AS363" s="116"/>
      <c r="AT363" s="50" t="s">
        <v>5540</v>
      </c>
      <c r="AU363" s="117">
        <v>5447.0</v>
      </c>
      <c r="AV363" s="50" t="s">
        <v>7140</v>
      </c>
      <c r="AW363" s="50" t="s">
        <v>7142</v>
      </c>
      <c r="AX363" s="117">
        <v>362.0</v>
      </c>
    </row>
    <row r="364">
      <c r="A364" s="50" t="s">
        <v>7143</v>
      </c>
      <c r="B364" s="50" t="s">
        <v>7144</v>
      </c>
      <c r="C364" s="116"/>
      <c r="D364" s="116"/>
      <c r="E364" s="50">
        <v>3.52155090281144E14</v>
      </c>
      <c r="F364" s="50">
        <v>58.0</v>
      </c>
      <c r="G364" s="50">
        <v>11.0</v>
      </c>
      <c r="H364" s="50">
        <v>3.0</v>
      </c>
      <c r="I364" s="50">
        <v>1.0</v>
      </c>
      <c r="J364" s="50" t="s">
        <v>6689</v>
      </c>
      <c r="K364" s="116"/>
      <c r="L364" s="50" t="s">
        <v>1660</v>
      </c>
      <c r="M364" s="50" t="s">
        <v>1660</v>
      </c>
      <c r="N364" s="116"/>
      <c r="O364" s="116"/>
      <c r="P364" s="50" t="s">
        <v>7148</v>
      </c>
      <c r="Q364" s="50" t="s">
        <v>7149</v>
      </c>
      <c r="R364" s="50">
        <v>22.553567</v>
      </c>
      <c r="S364" s="50">
        <v>88.3851556</v>
      </c>
      <c r="T364" s="50">
        <v>-63.5</v>
      </c>
      <c r="U364" s="50">
        <v>5.0</v>
      </c>
      <c r="V364" s="50">
        <v>1.0</v>
      </c>
      <c r="W364" s="50">
        <v>0.0</v>
      </c>
      <c r="X364" s="50">
        <v>0.0</v>
      </c>
      <c r="Y364" s="50">
        <v>1.0</v>
      </c>
      <c r="Z364" s="116"/>
      <c r="AA364" s="50">
        <v>2.0</v>
      </c>
      <c r="AB364" s="50">
        <v>4.0</v>
      </c>
      <c r="AC364" s="116"/>
      <c r="AD364" s="116"/>
      <c r="AE364" s="116"/>
      <c r="AF364" s="116"/>
      <c r="AG364" s="116"/>
      <c r="AH364" s="116"/>
      <c r="AI364" s="116"/>
      <c r="AJ364" s="116"/>
      <c r="AK364" s="116"/>
      <c r="AL364" s="116"/>
      <c r="AM364" s="116"/>
      <c r="AN364" s="116"/>
      <c r="AO364" s="116"/>
      <c r="AP364" s="116"/>
      <c r="AQ364" s="50" t="s">
        <v>2979</v>
      </c>
      <c r="AR364" s="50" t="s">
        <v>2286</v>
      </c>
      <c r="AS364" s="50">
        <v>1.0</v>
      </c>
      <c r="AT364" s="50" t="s">
        <v>5540</v>
      </c>
      <c r="AU364" s="117">
        <v>5448.0</v>
      </c>
      <c r="AV364" s="50" t="s">
        <v>7155</v>
      </c>
      <c r="AW364" s="50" t="s">
        <v>7156</v>
      </c>
      <c r="AX364" s="117">
        <v>363.0</v>
      </c>
    </row>
    <row r="365">
      <c r="A365" s="50" t="s">
        <v>7157</v>
      </c>
      <c r="B365" s="50" t="s">
        <v>7158</v>
      </c>
      <c r="C365" s="116"/>
      <c r="D365" s="116"/>
      <c r="E365" s="50">
        <v>3.52155090281144E14</v>
      </c>
      <c r="F365" s="50">
        <v>58.0</v>
      </c>
      <c r="G365" s="50">
        <v>99.0</v>
      </c>
      <c r="H365" s="116"/>
      <c r="I365" s="116"/>
      <c r="J365" s="116"/>
      <c r="K365" s="50">
        <v>2.0</v>
      </c>
      <c r="L365" s="50" t="s">
        <v>304</v>
      </c>
      <c r="M365" s="50" t="s">
        <v>304</v>
      </c>
      <c r="N365" s="116"/>
      <c r="O365" s="116"/>
      <c r="P365" s="50" t="s">
        <v>7160</v>
      </c>
      <c r="Q365" s="50" t="s">
        <v>7162</v>
      </c>
      <c r="R365" s="50">
        <v>22.5534802</v>
      </c>
      <c r="S365" s="50">
        <v>88.385181</v>
      </c>
      <c r="T365" s="50">
        <v>-38.599998474121</v>
      </c>
      <c r="U365" s="50">
        <v>5.0</v>
      </c>
      <c r="V365" s="50">
        <v>1.0</v>
      </c>
      <c r="W365" s="50">
        <v>0.0</v>
      </c>
      <c r="X365" s="50">
        <v>0.0</v>
      </c>
      <c r="Y365" s="50">
        <v>1.0</v>
      </c>
      <c r="Z365" s="116"/>
      <c r="AA365" s="116"/>
      <c r="AB365" s="116"/>
      <c r="AC365" s="116"/>
      <c r="AD365" s="116"/>
      <c r="AE365" s="116"/>
      <c r="AF365" s="116"/>
      <c r="AG365" s="116"/>
      <c r="AH365" s="116"/>
      <c r="AI365" s="116"/>
      <c r="AJ365" s="116"/>
      <c r="AK365" s="116"/>
      <c r="AL365" s="116"/>
      <c r="AM365" s="116"/>
      <c r="AN365" s="116"/>
      <c r="AO365" s="116"/>
      <c r="AP365" s="116"/>
      <c r="AQ365" s="50" t="s">
        <v>7165</v>
      </c>
      <c r="AR365" s="50" t="s">
        <v>2286</v>
      </c>
      <c r="AS365" s="116"/>
      <c r="AT365" s="50" t="s">
        <v>5540</v>
      </c>
      <c r="AU365" s="117">
        <v>5449.0</v>
      </c>
      <c r="AV365" s="50" t="s">
        <v>7167</v>
      </c>
      <c r="AW365" s="50" t="s">
        <v>7168</v>
      </c>
      <c r="AX365" s="117">
        <v>364.0</v>
      </c>
    </row>
    <row r="366">
      <c r="A366" s="50" t="s">
        <v>7169</v>
      </c>
      <c r="B366" s="50" t="s">
        <v>7170</v>
      </c>
      <c r="C366" s="116"/>
      <c r="D366" s="116"/>
      <c r="E366" s="50">
        <v>3.52155090281144E14</v>
      </c>
      <c r="F366" s="50">
        <v>59.0</v>
      </c>
      <c r="G366" s="50">
        <v>11.0</v>
      </c>
      <c r="H366" s="50">
        <v>4.0</v>
      </c>
      <c r="I366" s="50">
        <v>1.0</v>
      </c>
      <c r="J366" s="50" t="s">
        <v>6918</v>
      </c>
      <c r="K366" s="116"/>
      <c r="L366" s="50" t="s">
        <v>1664</v>
      </c>
      <c r="M366" s="50" t="s">
        <v>1664</v>
      </c>
      <c r="N366" s="116"/>
      <c r="O366" s="116"/>
      <c r="P366" s="50" t="s">
        <v>7171</v>
      </c>
      <c r="Q366" s="50" t="s">
        <v>7172</v>
      </c>
      <c r="R366" s="50">
        <v>22.5410988</v>
      </c>
      <c r="S366" s="50">
        <v>88.3742648</v>
      </c>
      <c r="T366" s="50">
        <v>-30.8999996185302</v>
      </c>
      <c r="U366" s="50">
        <v>5.0</v>
      </c>
      <c r="V366" s="50">
        <v>1.0</v>
      </c>
      <c r="W366" s="50">
        <v>0.0</v>
      </c>
      <c r="X366" s="50">
        <v>0.0</v>
      </c>
      <c r="Y366" s="50">
        <v>1.0</v>
      </c>
      <c r="Z366" s="116"/>
      <c r="AA366" s="50">
        <v>2.0</v>
      </c>
      <c r="AB366" s="50">
        <v>4.0</v>
      </c>
      <c r="AC366" s="116"/>
      <c r="AD366" s="116"/>
      <c r="AE366" s="116"/>
      <c r="AF366" s="116"/>
      <c r="AG366" s="116"/>
      <c r="AH366" s="116"/>
      <c r="AI366" s="116"/>
      <c r="AJ366" s="116"/>
      <c r="AK366" s="116"/>
      <c r="AL366" s="116"/>
      <c r="AM366" s="116"/>
      <c r="AN366" s="116"/>
      <c r="AO366" s="116"/>
      <c r="AP366" s="116"/>
      <c r="AQ366" s="50" t="s">
        <v>3185</v>
      </c>
      <c r="AR366" s="50" t="s">
        <v>2286</v>
      </c>
      <c r="AS366" s="50">
        <v>1.0</v>
      </c>
      <c r="AT366" s="50" t="s">
        <v>5540</v>
      </c>
      <c r="AU366" s="117">
        <v>5490.0</v>
      </c>
      <c r="AV366" s="50" t="s">
        <v>7176</v>
      </c>
      <c r="AW366" s="50" t="s">
        <v>7178</v>
      </c>
      <c r="AX366" s="117">
        <v>365.0</v>
      </c>
    </row>
    <row r="367">
      <c r="A367" s="50" t="s">
        <v>7179</v>
      </c>
      <c r="B367" s="50" t="s">
        <v>7180</v>
      </c>
      <c r="C367" s="116"/>
      <c r="D367" s="116"/>
      <c r="E367" s="50">
        <v>3.52155090281144E14</v>
      </c>
      <c r="F367" s="50">
        <v>59.0</v>
      </c>
      <c r="G367" s="50">
        <v>99.0</v>
      </c>
      <c r="H367" s="116"/>
      <c r="I367" s="116"/>
      <c r="J367" s="116"/>
      <c r="K367" s="50">
        <v>2.0</v>
      </c>
      <c r="L367" s="50" t="s">
        <v>308</v>
      </c>
      <c r="M367" s="50" t="s">
        <v>308</v>
      </c>
      <c r="N367" s="116"/>
      <c r="O367" s="116"/>
      <c r="P367" s="50" t="s">
        <v>7182</v>
      </c>
      <c r="Q367" s="50" t="s">
        <v>7183</v>
      </c>
      <c r="R367" s="50">
        <v>22.5411823</v>
      </c>
      <c r="S367" s="50">
        <v>88.3744327</v>
      </c>
      <c r="T367" s="50">
        <v>-46.7000007629394</v>
      </c>
      <c r="U367" s="50">
        <v>5.0</v>
      </c>
      <c r="V367" s="50">
        <v>1.0</v>
      </c>
      <c r="W367" s="50">
        <v>0.0</v>
      </c>
      <c r="X367" s="50">
        <v>0.0</v>
      </c>
      <c r="Y367" s="50">
        <v>1.0</v>
      </c>
      <c r="Z367" s="116"/>
      <c r="AA367" s="116"/>
      <c r="AB367" s="116"/>
      <c r="AC367" s="116"/>
      <c r="AD367" s="116"/>
      <c r="AE367" s="116"/>
      <c r="AF367" s="116"/>
      <c r="AG367" s="116"/>
      <c r="AH367" s="116"/>
      <c r="AI367" s="116"/>
      <c r="AJ367" s="116"/>
      <c r="AK367" s="116"/>
      <c r="AL367" s="116"/>
      <c r="AM367" s="116"/>
      <c r="AN367" s="116"/>
      <c r="AO367" s="116"/>
      <c r="AP367" s="116"/>
      <c r="AQ367" s="50" t="s">
        <v>3185</v>
      </c>
      <c r="AR367" s="50" t="s">
        <v>2286</v>
      </c>
      <c r="AS367" s="116"/>
      <c r="AT367" s="50" t="s">
        <v>5540</v>
      </c>
      <c r="AU367" s="117">
        <v>5491.0</v>
      </c>
      <c r="AV367" s="50" t="s">
        <v>7187</v>
      </c>
      <c r="AW367" s="50" t="s">
        <v>7188</v>
      </c>
      <c r="AX367" s="117">
        <v>366.0</v>
      </c>
    </row>
    <row r="368">
      <c r="A368" s="50" t="s">
        <v>7189</v>
      </c>
      <c r="B368" s="50" t="s">
        <v>7190</v>
      </c>
      <c r="C368" s="116"/>
      <c r="D368" s="116"/>
      <c r="E368" s="50">
        <v>3.52155090281144E14</v>
      </c>
      <c r="F368" s="50">
        <v>59.0</v>
      </c>
      <c r="G368" s="50">
        <v>11.0</v>
      </c>
      <c r="H368" s="50">
        <v>4.0</v>
      </c>
      <c r="I368" s="50">
        <v>1.0</v>
      </c>
      <c r="J368" s="50" t="s">
        <v>6886</v>
      </c>
      <c r="K368" s="116"/>
      <c r="L368" s="50" t="s">
        <v>1665</v>
      </c>
      <c r="M368" s="50" t="s">
        <v>1665</v>
      </c>
      <c r="N368" s="116"/>
      <c r="O368" s="116"/>
      <c r="P368" s="50" t="s">
        <v>7194</v>
      </c>
      <c r="Q368" s="50" t="s">
        <v>7196</v>
      </c>
      <c r="R368" s="50">
        <v>22.5404564</v>
      </c>
      <c r="S368" s="50">
        <v>88.3753721</v>
      </c>
      <c r="T368" s="50">
        <v>-27.8999996185302</v>
      </c>
      <c r="U368" s="50">
        <v>5.0</v>
      </c>
      <c r="V368" s="50">
        <v>1.0</v>
      </c>
      <c r="W368" s="50">
        <v>0.0</v>
      </c>
      <c r="X368" s="50">
        <v>0.0</v>
      </c>
      <c r="Y368" s="50">
        <v>1.0</v>
      </c>
      <c r="Z368" s="116"/>
      <c r="AA368" s="50">
        <v>2.0</v>
      </c>
      <c r="AB368" s="50">
        <v>4.0</v>
      </c>
      <c r="AC368" s="116"/>
      <c r="AD368" s="116"/>
      <c r="AE368" s="116"/>
      <c r="AF368" s="116"/>
      <c r="AG368" s="116"/>
      <c r="AH368" s="116"/>
      <c r="AI368" s="116"/>
      <c r="AJ368" s="116"/>
      <c r="AK368" s="116"/>
      <c r="AL368" s="116"/>
      <c r="AM368" s="116"/>
      <c r="AN368" s="116"/>
      <c r="AO368" s="116"/>
      <c r="AP368" s="116"/>
      <c r="AQ368" s="50" t="s">
        <v>3200</v>
      </c>
      <c r="AR368" s="50" t="s">
        <v>2327</v>
      </c>
      <c r="AS368" s="50">
        <v>1.0</v>
      </c>
      <c r="AT368" s="50" t="s">
        <v>5540</v>
      </c>
      <c r="AU368" s="117">
        <v>5492.0</v>
      </c>
      <c r="AV368" s="50" t="s">
        <v>7197</v>
      </c>
      <c r="AW368" s="50" t="s">
        <v>7198</v>
      </c>
      <c r="AX368" s="117">
        <v>367.0</v>
      </c>
    </row>
    <row r="369">
      <c r="A369" s="50" t="s">
        <v>7199</v>
      </c>
      <c r="B369" s="50" t="s">
        <v>7200</v>
      </c>
      <c r="C369" s="116"/>
      <c r="D369" s="116"/>
      <c r="E369" s="50">
        <v>3.52155090281144E14</v>
      </c>
      <c r="F369" s="50">
        <v>59.0</v>
      </c>
      <c r="G369" s="50">
        <v>99.0</v>
      </c>
      <c r="H369" s="116"/>
      <c r="I369" s="116"/>
      <c r="J369" s="116"/>
      <c r="K369" s="50">
        <v>2.0</v>
      </c>
      <c r="L369" s="50" t="s">
        <v>310</v>
      </c>
      <c r="M369" s="50" t="s">
        <v>310</v>
      </c>
      <c r="N369" s="116"/>
      <c r="O369" s="116"/>
      <c r="P369" s="50" t="s">
        <v>7204</v>
      </c>
      <c r="Q369" s="50" t="s">
        <v>7205</v>
      </c>
      <c r="R369" s="50">
        <v>22.5404743</v>
      </c>
      <c r="S369" s="50">
        <v>88.3753757</v>
      </c>
      <c r="T369" s="50">
        <v>-17.8999996185302</v>
      </c>
      <c r="U369" s="50">
        <v>5.0</v>
      </c>
      <c r="V369" s="50">
        <v>1.0</v>
      </c>
      <c r="W369" s="50">
        <v>0.0</v>
      </c>
      <c r="X369" s="50">
        <v>0.0</v>
      </c>
      <c r="Y369" s="50">
        <v>1.0</v>
      </c>
      <c r="Z369" s="116"/>
      <c r="AA369" s="116"/>
      <c r="AB369" s="116"/>
      <c r="AC369" s="116"/>
      <c r="AD369" s="116"/>
      <c r="AE369" s="116"/>
      <c r="AF369" s="116"/>
      <c r="AG369" s="116"/>
      <c r="AH369" s="116"/>
      <c r="AI369" s="116"/>
      <c r="AJ369" s="116"/>
      <c r="AK369" s="116"/>
      <c r="AL369" s="116"/>
      <c r="AM369" s="116"/>
      <c r="AN369" s="116"/>
      <c r="AO369" s="116"/>
      <c r="AP369" s="116"/>
      <c r="AQ369" s="50" t="s">
        <v>3200</v>
      </c>
      <c r="AR369" s="50" t="s">
        <v>2327</v>
      </c>
      <c r="AS369" s="116"/>
      <c r="AT369" s="50" t="s">
        <v>5540</v>
      </c>
      <c r="AU369" s="117">
        <v>5493.0</v>
      </c>
      <c r="AV369" s="50" t="s">
        <v>7208</v>
      </c>
      <c r="AW369" s="50" t="s">
        <v>7209</v>
      </c>
      <c r="AX369" s="117">
        <v>368.0</v>
      </c>
    </row>
    <row r="370">
      <c r="A370" s="50" t="s">
        <v>7210</v>
      </c>
      <c r="B370" s="50" t="s">
        <v>7211</v>
      </c>
      <c r="C370" s="116"/>
      <c r="D370" s="116"/>
      <c r="E370" s="50">
        <v>3.52155090281144E14</v>
      </c>
      <c r="F370" s="50">
        <v>59.0</v>
      </c>
      <c r="G370" s="50">
        <v>11.0</v>
      </c>
      <c r="H370" s="50">
        <v>4.0</v>
      </c>
      <c r="I370" s="50">
        <v>1.0</v>
      </c>
      <c r="J370" s="50" t="s">
        <v>6768</v>
      </c>
      <c r="K370" s="116"/>
      <c r="L370" s="50" t="s">
        <v>1666</v>
      </c>
      <c r="M370" s="50" t="s">
        <v>1666</v>
      </c>
      <c r="N370" s="116"/>
      <c r="O370" s="116"/>
      <c r="P370" s="50" t="s">
        <v>7212</v>
      </c>
      <c r="Q370" s="50" t="s">
        <v>7213</v>
      </c>
      <c r="R370" s="50">
        <v>22.5414097</v>
      </c>
      <c r="S370" s="50">
        <v>88.3760418</v>
      </c>
      <c r="T370" s="50">
        <v>-46.4000015258789</v>
      </c>
      <c r="U370" s="50">
        <v>5.0</v>
      </c>
      <c r="V370" s="50">
        <v>1.0</v>
      </c>
      <c r="W370" s="50">
        <v>0.0</v>
      </c>
      <c r="X370" s="50">
        <v>0.0</v>
      </c>
      <c r="Y370" s="50">
        <v>1.0</v>
      </c>
      <c r="Z370" s="116"/>
      <c r="AA370" s="50">
        <v>2.0</v>
      </c>
      <c r="AB370" s="50">
        <v>4.0</v>
      </c>
      <c r="AC370" s="116"/>
      <c r="AD370" s="116"/>
      <c r="AE370" s="116"/>
      <c r="AF370" s="116"/>
      <c r="AG370" s="116"/>
      <c r="AH370" s="116"/>
      <c r="AI370" s="116"/>
      <c r="AJ370" s="116"/>
      <c r="AK370" s="116"/>
      <c r="AL370" s="116"/>
      <c r="AM370" s="116"/>
      <c r="AN370" s="116"/>
      <c r="AO370" s="116"/>
      <c r="AP370" s="116"/>
      <c r="AQ370" s="50" t="s">
        <v>7218</v>
      </c>
      <c r="AR370" s="50" t="s">
        <v>2327</v>
      </c>
      <c r="AS370" s="50">
        <v>1.0</v>
      </c>
      <c r="AT370" s="50" t="s">
        <v>5540</v>
      </c>
      <c r="AU370" s="117">
        <v>5494.0</v>
      </c>
      <c r="AV370" s="50" t="s">
        <v>7219</v>
      </c>
      <c r="AW370" s="50" t="s">
        <v>7220</v>
      </c>
      <c r="AX370" s="117">
        <v>369.0</v>
      </c>
    </row>
    <row r="371">
      <c r="A371" s="50" t="s">
        <v>7222</v>
      </c>
      <c r="B371" s="50" t="s">
        <v>7223</v>
      </c>
      <c r="C371" s="116"/>
      <c r="D371" s="116"/>
      <c r="E371" s="50">
        <v>3.52155090281144E14</v>
      </c>
      <c r="F371" s="50">
        <v>59.0</v>
      </c>
      <c r="G371" s="50">
        <v>99.0</v>
      </c>
      <c r="H371" s="116"/>
      <c r="I371" s="116"/>
      <c r="J371" s="116"/>
      <c r="K371" s="50">
        <v>2.0</v>
      </c>
      <c r="L371" s="50" t="s">
        <v>312</v>
      </c>
      <c r="M371" s="50" t="s">
        <v>312</v>
      </c>
      <c r="N371" s="116"/>
      <c r="O371" s="116"/>
      <c r="P371" s="50" t="s">
        <v>7224</v>
      </c>
      <c r="Q371" s="50" t="s">
        <v>7225</v>
      </c>
      <c r="R371" s="50">
        <v>22.5413618</v>
      </c>
      <c r="S371" s="50">
        <v>88.3761211</v>
      </c>
      <c r="T371" s="50">
        <v>-9.39999961853027</v>
      </c>
      <c r="U371" s="50">
        <v>5.0</v>
      </c>
      <c r="V371" s="50">
        <v>1.0</v>
      </c>
      <c r="W371" s="50">
        <v>0.0</v>
      </c>
      <c r="X371" s="50">
        <v>0.0</v>
      </c>
      <c r="Y371" s="50">
        <v>1.0</v>
      </c>
      <c r="Z371" s="116"/>
      <c r="AA371" s="116"/>
      <c r="AB371" s="116"/>
      <c r="AC371" s="116"/>
      <c r="AD371" s="116"/>
      <c r="AE371" s="116"/>
      <c r="AF371" s="116"/>
      <c r="AG371" s="116"/>
      <c r="AH371" s="116"/>
      <c r="AI371" s="116"/>
      <c r="AJ371" s="116"/>
      <c r="AK371" s="116"/>
      <c r="AL371" s="116"/>
      <c r="AM371" s="116"/>
      <c r="AN371" s="116"/>
      <c r="AO371" s="116"/>
      <c r="AP371" s="116"/>
      <c r="AQ371" s="50" t="s">
        <v>3185</v>
      </c>
      <c r="AR371" s="50" t="s">
        <v>2327</v>
      </c>
      <c r="AS371" s="116"/>
      <c r="AT371" s="50" t="s">
        <v>5540</v>
      </c>
      <c r="AU371" s="117">
        <v>5495.0</v>
      </c>
      <c r="AV371" s="50" t="s">
        <v>7229</v>
      </c>
      <c r="AW371" s="50" t="s">
        <v>7230</v>
      </c>
      <c r="AX371" s="117">
        <v>370.0</v>
      </c>
    </row>
    <row r="372">
      <c r="A372" s="50" t="s">
        <v>7231</v>
      </c>
      <c r="B372" s="50" t="s">
        <v>7232</v>
      </c>
      <c r="C372" s="116"/>
      <c r="D372" s="116"/>
      <c r="E372" s="50">
        <v>3.52155090281144E14</v>
      </c>
      <c r="F372" s="50">
        <v>58.0</v>
      </c>
      <c r="G372" s="50">
        <v>11.0</v>
      </c>
      <c r="H372" s="50">
        <v>3.0</v>
      </c>
      <c r="I372" s="50">
        <v>1.0</v>
      </c>
      <c r="J372" s="50" t="s">
        <v>6689</v>
      </c>
      <c r="K372" s="116"/>
      <c r="L372" s="50" t="s">
        <v>1670</v>
      </c>
      <c r="M372" s="50" t="s">
        <v>1670</v>
      </c>
      <c r="N372" s="116"/>
      <c r="O372" s="116"/>
      <c r="P372" s="50" t="s">
        <v>7234</v>
      </c>
      <c r="Q372" s="50" t="s">
        <v>7236</v>
      </c>
      <c r="R372" s="50">
        <v>22.5535386</v>
      </c>
      <c r="S372" s="50">
        <v>88.3851565</v>
      </c>
      <c r="T372" s="50">
        <v>-41.7999992370605</v>
      </c>
      <c r="U372" s="50">
        <v>5.0</v>
      </c>
      <c r="V372" s="50">
        <v>1.0</v>
      </c>
      <c r="W372" s="50">
        <v>0.0</v>
      </c>
      <c r="X372" s="50">
        <v>0.0</v>
      </c>
      <c r="Y372" s="50">
        <v>1.0</v>
      </c>
      <c r="Z372" s="116"/>
      <c r="AA372" s="50">
        <v>2.0</v>
      </c>
      <c r="AB372" s="50">
        <v>4.0</v>
      </c>
      <c r="AC372" s="116"/>
      <c r="AD372" s="116"/>
      <c r="AE372" s="116"/>
      <c r="AF372" s="116"/>
      <c r="AG372" s="116"/>
      <c r="AH372" s="116"/>
      <c r="AI372" s="116"/>
      <c r="AJ372" s="116"/>
      <c r="AK372" s="116"/>
      <c r="AL372" s="116"/>
      <c r="AM372" s="116"/>
      <c r="AN372" s="116"/>
      <c r="AO372" s="116"/>
      <c r="AP372" s="116"/>
      <c r="AQ372" s="50" t="s">
        <v>3185</v>
      </c>
      <c r="AR372" s="50" t="s">
        <v>2327</v>
      </c>
      <c r="AS372" s="50">
        <v>1.0</v>
      </c>
      <c r="AT372" s="50" t="s">
        <v>5540</v>
      </c>
      <c r="AU372" s="117">
        <v>5561.0</v>
      </c>
      <c r="AV372" s="50" t="s">
        <v>7239</v>
      </c>
      <c r="AW372" s="50" t="s">
        <v>7240</v>
      </c>
      <c r="AX372" s="117">
        <v>371.0</v>
      </c>
    </row>
    <row r="373">
      <c r="A373" s="50" t="s">
        <v>7242</v>
      </c>
      <c r="B373" s="50" t="s">
        <v>7243</v>
      </c>
      <c r="C373" s="116"/>
      <c r="D373" s="116"/>
      <c r="E373" s="50">
        <v>3.52155090281144E14</v>
      </c>
      <c r="F373" s="50">
        <v>58.0</v>
      </c>
      <c r="G373" s="50">
        <v>99.0</v>
      </c>
      <c r="H373" s="116"/>
      <c r="I373" s="116"/>
      <c r="J373" s="116"/>
      <c r="K373" s="50">
        <v>2.0</v>
      </c>
      <c r="L373" s="50" t="s">
        <v>1671</v>
      </c>
      <c r="M373" s="50" t="s">
        <v>1671</v>
      </c>
      <c r="N373" s="116"/>
      <c r="O373" s="116"/>
      <c r="P373" s="50" t="s">
        <v>7247</v>
      </c>
      <c r="Q373" s="50" t="s">
        <v>7248</v>
      </c>
      <c r="R373" s="50">
        <v>22.5536301</v>
      </c>
      <c r="S373" s="50">
        <v>88.3851892</v>
      </c>
      <c r="T373" s="50">
        <v>-26.6000003814697</v>
      </c>
      <c r="U373" s="50">
        <v>5.0</v>
      </c>
      <c r="V373" s="50">
        <v>1.0</v>
      </c>
      <c r="W373" s="50">
        <v>0.0</v>
      </c>
      <c r="X373" s="50">
        <v>0.0</v>
      </c>
      <c r="Y373" s="50">
        <v>1.0</v>
      </c>
      <c r="Z373" s="116"/>
      <c r="AA373" s="116"/>
      <c r="AB373" s="116"/>
      <c r="AC373" s="116"/>
      <c r="AD373" s="116"/>
      <c r="AE373" s="116"/>
      <c r="AF373" s="116"/>
      <c r="AG373" s="116"/>
      <c r="AH373" s="116"/>
      <c r="AI373" s="116"/>
      <c r="AJ373" s="116"/>
      <c r="AK373" s="116"/>
      <c r="AL373" s="116"/>
      <c r="AM373" s="116"/>
      <c r="AN373" s="116"/>
      <c r="AO373" s="116"/>
      <c r="AP373" s="116"/>
      <c r="AQ373" s="50" t="s">
        <v>7253</v>
      </c>
      <c r="AR373" s="50" t="s">
        <v>2327</v>
      </c>
      <c r="AS373" s="116"/>
      <c r="AT373" s="50" t="s">
        <v>5540</v>
      </c>
      <c r="AU373" s="117">
        <v>5562.0</v>
      </c>
      <c r="AV373" s="50" t="s">
        <v>7255</v>
      </c>
      <c r="AW373" s="50" t="s">
        <v>7256</v>
      </c>
      <c r="AX373" s="117">
        <v>372.0</v>
      </c>
    </row>
    <row r="374">
      <c r="A374" s="50" t="s">
        <v>7257</v>
      </c>
      <c r="B374" s="50" t="s">
        <v>7258</v>
      </c>
      <c r="C374" s="116"/>
      <c r="D374" s="116"/>
      <c r="E374" s="50">
        <v>3.52155090281144E14</v>
      </c>
      <c r="F374" s="50">
        <v>59.0</v>
      </c>
      <c r="G374" s="50">
        <v>11.0</v>
      </c>
      <c r="H374" s="50">
        <v>4.0</v>
      </c>
      <c r="I374" s="50">
        <v>1.0</v>
      </c>
      <c r="J374" s="50" t="s">
        <v>6754</v>
      </c>
      <c r="K374" s="116"/>
      <c r="L374" s="50" t="s">
        <v>1673</v>
      </c>
      <c r="M374" s="50" t="s">
        <v>1673</v>
      </c>
      <c r="N374" s="116"/>
      <c r="O374" s="116"/>
      <c r="P374" s="50" t="s">
        <v>7259</v>
      </c>
      <c r="Q374" s="50" t="s">
        <v>7260</v>
      </c>
      <c r="R374" s="50">
        <v>22.5416828</v>
      </c>
      <c r="S374" s="50">
        <v>88.3747429</v>
      </c>
      <c r="T374" s="50">
        <v>-6.09999990463256</v>
      </c>
      <c r="U374" s="50">
        <v>4.5</v>
      </c>
      <c r="V374" s="50">
        <v>1.0</v>
      </c>
      <c r="W374" s="50">
        <v>0.0</v>
      </c>
      <c r="X374" s="50">
        <v>0.0</v>
      </c>
      <c r="Y374" s="50">
        <v>1.0</v>
      </c>
      <c r="Z374" s="116"/>
      <c r="AA374" s="50">
        <v>2.0</v>
      </c>
      <c r="AB374" s="50">
        <v>4.0</v>
      </c>
      <c r="AC374" s="116"/>
      <c r="AD374" s="116"/>
      <c r="AE374" s="116"/>
      <c r="AF374" s="116"/>
      <c r="AG374" s="116"/>
      <c r="AH374" s="116"/>
      <c r="AI374" s="116"/>
      <c r="AJ374" s="116"/>
      <c r="AK374" s="116"/>
      <c r="AL374" s="116"/>
      <c r="AM374" s="116"/>
      <c r="AN374" s="116"/>
      <c r="AO374" s="116"/>
      <c r="AP374" s="116"/>
      <c r="AQ374" s="50" t="s">
        <v>3149</v>
      </c>
      <c r="AR374" s="50" t="s">
        <v>2472</v>
      </c>
      <c r="AS374" s="50">
        <v>1.0</v>
      </c>
      <c r="AT374" s="50" t="s">
        <v>5540</v>
      </c>
      <c r="AU374" s="117">
        <v>5563.0</v>
      </c>
      <c r="AV374" s="50" t="s">
        <v>7264</v>
      </c>
      <c r="AW374" s="50" t="s">
        <v>7265</v>
      </c>
      <c r="AX374" s="117">
        <v>373.0</v>
      </c>
    </row>
    <row r="375">
      <c r="A375" s="50" t="s">
        <v>7267</v>
      </c>
      <c r="B375" s="50" t="s">
        <v>7268</v>
      </c>
      <c r="C375" s="116"/>
      <c r="D375" s="116"/>
      <c r="E375" s="50">
        <v>3.52155090281144E14</v>
      </c>
      <c r="F375" s="50">
        <v>59.0</v>
      </c>
      <c r="G375" s="50">
        <v>99.0</v>
      </c>
      <c r="H375" s="116"/>
      <c r="I375" s="116"/>
      <c r="J375" s="116"/>
      <c r="K375" s="50">
        <v>2.0</v>
      </c>
      <c r="L375" s="50" t="s">
        <v>1674</v>
      </c>
      <c r="M375" s="50" t="s">
        <v>1674</v>
      </c>
      <c r="N375" s="116"/>
      <c r="O375" s="116"/>
      <c r="P375" s="50" t="s">
        <v>7269</v>
      </c>
      <c r="Q375" s="50" t="s">
        <v>7270</v>
      </c>
      <c r="R375" s="50">
        <v>22.5416923</v>
      </c>
      <c r="S375" s="50">
        <v>88.3747316</v>
      </c>
      <c r="T375" s="50">
        <v>-18.6000003814697</v>
      </c>
      <c r="U375" s="50">
        <v>5.0</v>
      </c>
      <c r="V375" s="50">
        <v>1.0</v>
      </c>
      <c r="W375" s="50">
        <v>0.0</v>
      </c>
      <c r="X375" s="50">
        <v>0.0</v>
      </c>
      <c r="Y375" s="50">
        <v>1.0</v>
      </c>
      <c r="Z375" s="116"/>
      <c r="AA375" s="116"/>
      <c r="AB375" s="116"/>
      <c r="AC375" s="116"/>
      <c r="AD375" s="116"/>
      <c r="AE375" s="116"/>
      <c r="AF375" s="116"/>
      <c r="AG375" s="116"/>
      <c r="AH375" s="116"/>
      <c r="AI375" s="116"/>
      <c r="AJ375" s="116"/>
      <c r="AK375" s="116"/>
      <c r="AL375" s="116"/>
      <c r="AM375" s="116"/>
      <c r="AN375" s="116"/>
      <c r="AO375" s="116"/>
      <c r="AP375" s="116"/>
      <c r="AQ375" s="50" t="s">
        <v>7272</v>
      </c>
      <c r="AR375" s="50" t="s">
        <v>2472</v>
      </c>
      <c r="AS375" s="116"/>
      <c r="AT375" s="50" t="s">
        <v>5540</v>
      </c>
      <c r="AU375" s="117">
        <v>5564.0</v>
      </c>
      <c r="AV375" s="50" t="s">
        <v>7275</v>
      </c>
      <c r="AW375" s="50" t="s">
        <v>7276</v>
      </c>
      <c r="AX375" s="117">
        <v>374.0</v>
      </c>
    </row>
    <row r="376">
      <c r="A376" s="50" t="s">
        <v>7277</v>
      </c>
      <c r="B376" s="50" t="s">
        <v>7278</v>
      </c>
      <c r="C376" s="116"/>
      <c r="D376" s="116"/>
      <c r="E376" s="50">
        <v>3.52155090281144E14</v>
      </c>
      <c r="F376" s="50">
        <v>59.0</v>
      </c>
      <c r="G376" s="50">
        <v>11.0</v>
      </c>
      <c r="H376" s="50">
        <v>4.0</v>
      </c>
      <c r="I376" s="50">
        <v>1.0</v>
      </c>
      <c r="J376" s="50" t="s">
        <v>6918</v>
      </c>
      <c r="K376" s="116"/>
      <c r="L376" s="50" t="s">
        <v>1684</v>
      </c>
      <c r="M376" s="50" t="s">
        <v>1684</v>
      </c>
      <c r="N376" s="116"/>
      <c r="O376" s="116"/>
      <c r="P376" s="50" t="s">
        <v>7280</v>
      </c>
      <c r="Q376" s="50" t="s">
        <v>7281</v>
      </c>
      <c r="R376" s="50">
        <v>22.5411381</v>
      </c>
      <c r="S376" s="50">
        <v>88.3742701</v>
      </c>
      <c r="T376" s="50">
        <v>-28.7000007629394</v>
      </c>
      <c r="U376" s="50">
        <v>5.0</v>
      </c>
      <c r="V376" s="50">
        <v>1.0</v>
      </c>
      <c r="W376" s="50">
        <v>0.0</v>
      </c>
      <c r="X376" s="50">
        <v>0.0</v>
      </c>
      <c r="Y376" s="50">
        <v>1.0</v>
      </c>
      <c r="Z376" s="116"/>
      <c r="AA376" s="50">
        <v>2.0</v>
      </c>
      <c r="AB376" s="50">
        <v>4.0</v>
      </c>
      <c r="AC376" s="116"/>
      <c r="AD376" s="116"/>
      <c r="AE376" s="116"/>
      <c r="AF376" s="116"/>
      <c r="AG376" s="116"/>
      <c r="AH376" s="116"/>
      <c r="AI376" s="116"/>
      <c r="AJ376" s="116"/>
      <c r="AK376" s="116"/>
      <c r="AL376" s="116"/>
      <c r="AM376" s="116"/>
      <c r="AN376" s="116"/>
      <c r="AO376" s="116"/>
      <c r="AP376" s="116"/>
      <c r="AQ376" s="50" t="s">
        <v>3149</v>
      </c>
      <c r="AR376" s="50" t="s">
        <v>2278</v>
      </c>
      <c r="AS376" s="50">
        <v>1.0</v>
      </c>
      <c r="AT376" s="50" t="s">
        <v>5540</v>
      </c>
      <c r="AU376" s="117">
        <v>5631.0</v>
      </c>
      <c r="AV376" s="50" t="s">
        <v>7282</v>
      </c>
      <c r="AW376" s="50" t="s">
        <v>7283</v>
      </c>
      <c r="AX376" s="117">
        <v>375.0</v>
      </c>
    </row>
    <row r="377">
      <c r="A377" s="50" t="s">
        <v>7284</v>
      </c>
      <c r="B377" s="50" t="s">
        <v>7285</v>
      </c>
      <c r="C377" s="116"/>
      <c r="D377" s="116"/>
      <c r="E377" s="50">
        <v>3.52155090281144E14</v>
      </c>
      <c r="F377" s="50">
        <v>59.0</v>
      </c>
      <c r="G377" s="50">
        <v>99.0</v>
      </c>
      <c r="H377" s="116"/>
      <c r="I377" s="116"/>
      <c r="J377" s="116"/>
      <c r="K377" s="50">
        <v>2.0</v>
      </c>
      <c r="L377" s="50" t="s">
        <v>1685</v>
      </c>
      <c r="M377" s="50" t="s">
        <v>1685</v>
      </c>
      <c r="N377" s="116"/>
      <c r="O377" s="116"/>
      <c r="P377" s="50" t="s">
        <v>7289</v>
      </c>
      <c r="Q377" s="50" t="s">
        <v>7290</v>
      </c>
      <c r="R377" s="50">
        <v>22.5411169</v>
      </c>
      <c r="S377" s="50">
        <v>88.3743638</v>
      </c>
      <c r="T377" s="50">
        <v>-26.7000007629394</v>
      </c>
      <c r="U377" s="50">
        <v>5.0</v>
      </c>
      <c r="V377" s="50">
        <v>1.0</v>
      </c>
      <c r="W377" s="50">
        <v>0.0</v>
      </c>
      <c r="X377" s="50">
        <v>0.0</v>
      </c>
      <c r="Y377" s="50">
        <v>1.0</v>
      </c>
      <c r="Z377" s="116"/>
      <c r="AA377" s="116"/>
      <c r="AB377" s="116"/>
      <c r="AC377" s="116"/>
      <c r="AD377" s="116"/>
      <c r="AE377" s="116"/>
      <c r="AF377" s="116"/>
      <c r="AG377" s="116"/>
      <c r="AH377" s="116"/>
      <c r="AI377" s="116"/>
      <c r="AJ377" s="116"/>
      <c r="AK377" s="116"/>
      <c r="AL377" s="116"/>
      <c r="AM377" s="116"/>
      <c r="AN377" s="116"/>
      <c r="AO377" s="116"/>
      <c r="AP377" s="116"/>
      <c r="AQ377" s="50" t="s">
        <v>7292</v>
      </c>
      <c r="AR377" s="50" t="s">
        <v>2278</v>
      </c>
      <c r="AS377" s="116"/>
      <c r="AT377" s="50" t="s">
        <v>5540</v>
      </c>
      <c r="AU377" s="117">
        <v>5632.0</v>
      </c>
      <c r="AV377" s="50" t="s">
        <v>7293</v>
      </c>
      <c r="AW377" s="50" t="s">
        <v>7294</v>
      </c>
      <c r="AX377" s="117">
        <v>376.0</v>
      </c>
    </row>
    <row r="378">
      <c r="A378" s="50" t="s">
        <v>7295</v>
      </c>
      <c r="B378" s="50" t="s">
        <v>7297</v>
      </c>
      <c r="C378" s="116"/>
      <c r="D378" s="116"/>
      <c r="E378" s="50">
        <v>3.52155090281144E14</v>
      </c>
      <c r="F378" s="50">
        <v>59.0</v>
      </c>
      <c r="G378" s="50">
        <v>11.0</v>
      </c>
      <c r="H378" s="50">
        <v>4.0</v>
      </c>
      <c r="I378" s="50">
        <v>1.0</v>
      </c>
      <c r="J378" s="50" t="s">
        <v>6886</v>
      </c>
      <c r="K378" s="116"/>
      <c r="L378" s="50" t="s">
        <v>1687</v>
      </c>
      <c r="M378" s="50" t="s">
        <v>1687</v>
      </c>
      <c r="N378" s="116"/>
      <c r="O378" s="116"/>
      <c r="P378" s="50" t="s">
        <v>7300</v>
      </c>
      <c r="Q378" s="50" t="s">
        <v>7301</v>
      </c>
      <c r="R378" s="50">
        <v>22.5404816</v>
      </c>
      <c r="S378" s="50">
        <v>88.3753127</v>
      </c>
      <c r="T378" s="50">
        <v>-34.099998474121</v>
      </c>
      <c r="U378" s="50">
        <v>5.0</v>
      </c>
      <c r="V378" s="50">
        <v>1.0</v>
      </c>
      <c r="W378" s="50">
        <v>0.0</v>
      </c>
      <c r="X378" s="50">
        <v>0.0</v>
      </c>
      <c r="Y378" s="50">
        <v>1.0</v>
      </c>
      <c r="Z378" s="116"/>
      <c r="AA378" s="50">
        <v>2.0</v>
      </c>
      <c r="AB378" s="50">
        <v>4.0</v>
      </c>
      <c r="AC378" s="116"/>
      <c r="AD378" s="116"/>
      <c r="AE378" s="116"/>
      <c r="AF378" s="116"/>
      <c r="AG378" s="116"/>
      <c r="AH378" s="116"/>
      <c r="AI378" s="116"/>
      <c r="AJ378" s="116"/>
      <c r="AK378" s="116"/>
      <c r="AL378" s="116"/>
      <c r="AM378" s="116"/>
      <c r="AN378" s="116"/>
      <c r="AO378" s="116"/>
      <c r="AP378" s="116"/>
      <c r="AQ378" s="50" t="s">
        <v>3185</v>
      </c>
      <c r="AR378" s="50" t="s">
        <v>2472</v>
      </c>
      <c r="AS378" s="50">
        <v>1.0</v>
      </c>
      <c r="AT378" s="50" t="s">
        <v>5540</v>
      </c>
      <c r="AU378" s="117">
        <v>5633.0</v>
      </c>
      <c r="AV378" s="50" t="s">
        <v>7307</v>
      </c>
      <c r="AW378" s="50" t="s">
        <v>7309</v>
      </c>
      <c r="AX378" s="117">
        <v>377.0</v>
      </c>
    </row>
    <row r="379">
      <c r="A379" s="50" t="s">
        <v>7310</v>
      </c>
      <c r="B379" s="50" t="s">
        <v>7311</v>
      </c>
      <c r="C379" s="116"/>
      <c r="D379" s="116"/>
      <c r="E379" s="50">
        <v>3.52155090281144E14</v>
      </c>
      <c r="F379" s="50">
        <v>59.0</v>
      </c>
      <c r="G379" s="50">
        <v>99.0</v>
      </c>
      <c r="H379" s="116"/>
      <c r="I379" s="116"/>
      <c r="J379" s="116"/>
      <c r="K379" s="50">
        <v>2.0</v>
      </c>
      <c r="L379" s="50" t="s">
        <v>1688</v>
      </c>
      <c r="M379" s="50" t="s">
        <v>1688</v>
      </c>
      <c r="N379" s="116"/>
      <c r="O379" s="116"/>
      <c r="P379" s="50" t="s">
        <v>7316</v>
      </c>
      <c r="Q379" s="50" t="s">
        <v>7317</v>
      </c>
      <c r="R379" s="50">
        <v>22.5404956</v>
      </c>
      <c r="S379" s="50">
        <v>88.3753142</v>
      </c>
      <c r="T379" s="50">
        <v>-38.4000015258789</v>
      </c>
      <c r="U379" s="50">
        <v>5.0</v>
      </c>
      <c r="V379" s="50">
        <v>1.0</v>
      </c>
      <c r="W379" s="50">
        <v>0.0</v>
      </c>
      <c r="X379" s="50">
        <v>0.0</v>
      </c>
      <c r="Y379" s="50">
        <v>1.0</v>
      </c>
      <c r="Z379" s="116"/>
      <c r="AA379" s="116"/>
      <c r="AB379" s="116"/>
      <c r="AC379" s="116"/>
      <c r="AD379" s="116"/>
      <c r="AE379" s="116"/>
      <c r="AF379" s="116"/>
      <c r="AG379" s="116"/>
      <c r="AH379" s="116"/>
      <c r="AI379" s="116"/>
      <c r="AJ379" s="116"/>
      <c r="AK379" s="116"/>
      <c r="AL379" s="116"/>
      <c r="AM379" s="116"/>
      <c r="AN379" s="116"/>
      <c r="AO379" s="116"/>
      <c r="AP379" s="116"/>
      <c r="AQ379" s="50" t="s">
        <v>7322</v>
      </c>
      <c r="AR379" s="50" t="s">
        <v>2472</v>
      </c>
      <c r="AS379" s="116"/>
      <c r="AT379" s="50" t="s">
        <v>5540</v>
      </c>
      <c r="AU379" s="117">
        <v>5634.0</v>
      </c>
      <c r="AV379" s="50" t="s">
        <v>7325</v>
      </c>
      <c r="AW379" s="50" t="s">
        <v>7327</v>
      </c>
      <c r="AX379" s="117">
        <v>378.0</v>
      </c>
    </row>
    <row r="380">
      <c r="A380" s="50" t="s">
        <v>7328</v>
      </c>
      <c r="B380" s="50" t="s">
        <v>7329</v>
      </c>
      <c r="C380" s="116"/>
      <c r="D380" s="116"/>
      <c r="E380" s="50">
        <v>3.52155090281144E14</v>
      </c>
      <c r="F380" s="50">
        <v>59.0</v>
      </c>
      <c r="G380" s="50">
        <v>11.0</v>
      </c>
      <c r="H380" s="50">
        <v>4.0</v>
      </c>
      <c r="I380" s="50">
        <v>1.0</v>
      </c>
      <c r="J380" s="50" t="s">
        <v>6768</v>
      </c>
      <c r="K380" s="116"/>
      <c r="L380" s="50" t="s">
        <v>1690</v>
      </c>
      <c r="M380" s="50" t="s">
        <v>1690</v>
      </c>
      <c r="N380" s="116"/>
      <c r="O380" s="116"/>
      <c r="P380" s="50" t="s">
        <v>7334</v>
      </c>
      <c r="Q380" s="50" t="s">
        <v>7336</v>
      </c>
      <c r="R380" s="50">
        <v>22.54122</v>
      </c>
      <c r="S380" s="50">
        <v>88.3762209</v>
      </c>
      <c r="T380" s="50">
        <v>-24.5</v>
      </c>
      <c r="U380" s="50">
        <v>4.5</v>
      </c>
      <c r="V380" s="50">
        <v>1.0</v>
      </c>
      <c r="W380" s="50">
        <v>0.0</v>
      </c>
      <c r="X380" s="50">
        <v>0.0</v>
      </c>
      <c r="Y380" s="50">
        <v>1.0</v>
      </c>
      <c r="Z380" s="116"/>
      <c r="AA380" s="50">
        <v>2.0</v>
      </c>
      <c r="AB380" s="50">
        <v>4.0</v>
      </c>
      <c r="AC380" s="116"/>
      <c r="AD380" s="116"/>
      <c r="AE380" s="116"/>
      <c r="AF380" s="116"/>
      <c r="AG380" s="116"/>
      <c r="AH380" s="116"/>
      <c r="AI380" s="116"/>
      <c r="AJ380" s="116"/>
      <c r="AK380" s="116"/>
      <c r="AL380" s="116"/>
      <c r="AM380" s="116"/>
      <c r="AN380" s="116"/>
      <c r="AO380" s="116"/>
      <c r="AP380" s="116"/>
      <c r="AQ380" s="50" t="s">
        <v>3149</v>
      </c>
      <c r="AR380" s="50" t="s">
        <v>2472</v>
      </c>
      <c r="AS380" s="50">
        <v>1.0</v>
      </c>
      <c r="AT380" s="50" t="s">
        <v>5540</v>
      </c>
      <c r="AU380" s="117">
        <v>5635.0</v>
      </c>
      <c r="AV380" s="50" t="s">
        <v>7342</v>
      </c>
      <c r="AW380" s="50" t="s">
        <v>7343</v>
      </c>
      <c r="AX380" s="117">
        <v>379.0</v>
      </c>
    </row>
    <row r="381">
      <c r="A381" s="50" t="s">
        <v>7346</v>
      </c>
      <c r="B381" s="50" t="s">
        <v>7348</v>
      </c>
      <c r="C381" s="116"/>
      <c r="D381" s="116"/>
      <c r="E381" s="50">
        <v>3.52155090281144E14</v>
      </c>
      <c r="F381" s="50">
        <v>59.0</v>
      </c>
      <c r="G381" s="50">
        <v>99.0</v>
      </c>
      <c r="H381" s="116"/>
      <c r="I381" s="116"/>
      <c r="J381" s="116"/>
      <c r="K381" s="50">
        <v>2.0</v>
      </c>
      <c r="L381" s="50" t="s">
        <v>1691</v>
      </c>
      <c r="M381" s="50" t="s">
        <v>1691</v>
      </c>
      <c r="N381" s="116"/>
      <c r="O381" s="116"/>
      <c r="P381" s="50" t="s">
        <v>7350</v>
      </c>
      <c r="Q381" s="50" t="s">
        <v>7351</v>
      </c>
      <c r="R381" s="50">
        <v>22.5411848</v>
      </c>
      <c r="S381" s="50">
        <v>88.3761533</v>
      </c>
      <c r="T381" s="50">
        <v>-83.4000015258789</v>
      </c>
      <c r="U381" s="50">
        <v>4.5</v>
      </c>
      <c r="V381" s="50">
        <v>1.0</v>
      </c>
      <c r="W381" s="50">
        <v>0.0</v>
      </c>
      <c r="X381" s="50">
        <v>0.0</v>
      </c>
      <c r="Y381" s="50">
        <v>1.0</v>
      </c>
      <c r="Z381" s="116"/>
      <c r="AA381" s="116"/>
      <c r="AB381" s="116"/>
      <c r="AC381" s="116"/>
      <c r="AD381" s="116"/>
      <c r="AE381" s="116"/>
      <c r="AF381" s="116"/>
      <c r="AG381" s="116"/>
      <c r="AH381" s="116"/>
      <c r="AI381" s="116"/>
      <c r="AJ381" s="116"/>
      <c r="AK381" s="116"/>
      <c r="AL381" s="116"/>
      <c r="AM381" s="116"/>
      <c r="AN381" s="116"/>
      <c r="AO381" s="116"/>
      <c r="AP381" s="116"/>
      <c r="AQ381" s="50" t="s">
        <v>7356</v>
      </c>
      <c r="AR381" s="50" t="s">
        <v>2472</v>
      </c>
      <c r="AS381" s="116"/>
      <c r="AT381" s="50" t="s">
        <v>5540</v>
      </c>
      <c r="AU381" s="117">
        <v>5636.0</v>
      </c>
      <c r="AV381" s="50" t="s">
        <v>7357</v>
      </c>
      <c r="AW381" s="50" t="s">
        <v>7358</v>
      </c>
      <c r="AX381" s="117">
        <v>380.0</v>
      </c>
    </row>
    <row r="382">
      <c r="A382" s="50" t="s">
        <v>7359</v>
      </c>
      <c r="B382" s="50" t="s">
        <v>7360</v>
      </c>
      <c r="C382" s="116"/>
      <c r="D382" s="116"/>
      <c r="E382" s="50">
        <v>3.5215509147374E14</v>
      </c>
      <c r="F382" s="50">
        <v>57.0</v>
      </c>
      <c r="G382" s="50">
        <v>12.0</v>
      </c>
      <c r="H382" s="116"/>
      <c r="I382" s="116"/>
      <c r="J382" s="116"/>
      <c r="K382" s="116"/>
      <c r="L382" s="50" t="s">
        <v>1681</v>
      </c>
      <c r="M382" s="50" t="s">
        <v>1681</v>
      </c>
      <c r="N382" s="50">
        <v>2.0</v>
      </c>
      <c r="O382" s="50" t="s">
        <v>7362</v>
      </c>
      <c r="P382" s="116"/>
      <c r="Q382" s="50" t="s">
        <v>7365</v>
      </c>
      <c r="R382" s="50">
        <v>22.554206</v>
      </c>
      <c r="S382" s="50">
        <v>88.3968022</v>
      </c>
      <c r="T382" s="50">
        <v>-33.7999992370605</v>
      </c>
      <c r="U382" s="50">
        <v>5.0</v>
      </c>
      <c r="V382" s="50">
        <v>1.0</v>
      </c>
      <c r="W382" s="50">
        <v>0.0</v>
      </c>
      <c r="X382" s="50">
        <v>0.0</v>
      </c>
      <c r="Y382" s="50">
        <v>1.0</v>
      </c>
      <c r="Z382" s="116"/>
      <c r="AA382" s="116"/>
      <c r="AB382" s="116"/>
      <c r="AC382" s="116"/>
      <c r="AD382" s="116"/>
      <c r="AE382" s="50">
        <v>1.0</v>
      </c>
      <c r="AF382" s="50">
        <v>2.0</v>
      </c>
      <c r="AG382" s="50">
        <v>3.0</v>
      </c>
      <c r="AH382" s="50">
        <v>4.0</v>
      </c>
      <c r="AI382" s="116"/>
      <c r="AJ382" s="116"/>
      <c r="AK382" s="116"/>
      <c r="AL382" s="116"/>
      <c r="AM382" s="116"/>
      <c r="AN382" s="116"/>
      <c r="AO382" s="116"/>
      <c r="AP382" s="116"/>
      <c r="AQ382" s="116"/>
      <c r="AR382" s="50" t="s">
        <v>2899</v>
      </c>
      <c r="AS382" s="50">
        <v>0.0</v>
      </c>
      <c r="AT382" s="50" t="s">
        <v>5540</v>
      </c>
      <c r="AU382" s="117">
        <v>5637.0</v>
      </c>
      <c r="AV382" s="50" t="s">
        <v>7367</v>
      </c>
      <c r="AW382" s="50" t="s">
        <v>7368</v>
      </c>
      <c r="AX382" s="117">
        <v>381.0</v>
      </c>
    </row>
    <row r="383">
      <c r="A383" s="50" t="s">
        <v>7370</v>
      </c>
      <c r="B383" s="50" t="s">
        <v>7371</v>
      </c>
      <c r="C383" s="116"/>
      <c r="D383" s="116"/>
      <c r="E383" s="50">
        <v>3.5215509147374E14</v>
      </c>
      <c r="F383" s="50">
        <v>57.0</v>
      </c>
      <c r="G383" s="50">
        <v>99.0</v>
      </c>
      <c r="H383" s="116"/>
      <c r="I383" s="116"/>
      <c r="J383" s="116"/>
      <c r="K383" s="50">
        <v>1.0</v>
      </c>
      <c r="L383" s="50" t="s">
        <v>1682</v>
      </c>
      <c r="M383" s="50" t="s">
        <v>1682</v>
      </c>
      <c r="N383" s="116"/>
      <c r="O383" s="116"/>
      <c r="P383" s="50" t="s">
        <v>7375</v>
      </c>
      <c r="Q383" s="50" t="s">
        <v>7376</v>
      </c>
      <c r="R383" s="50">
        <v>22.5542403</v>
      </c>
      <c r="S383" s="50">
        <v>88.3967797</v>
      </c>
      <c r="T383" s="50">
        <v>-71.4000015258789</v>
      </c>
      <c r="U383" s="50">
        <v>5.0</v>
      </c>
      <c r="V383" s="50">
        <v>1.0</v>
      </c>
      <c r="W383" s="50">
        <v>0.0</v>
      </c>
      <c r="X383" s="50">
        <v>0.0</v>
      </c>
      <c r="Y383" s="50">
        <v>1.0</v>
      </c>
      <c r="Z383" s="116"/>
      <c r="AA383" s="116"/>
      <c r="AB383" s="116"/>
      <c r="AC383" s="116"/>
      <c r="AD383" s="116"/>
      <c r="AE383" s="116"/>
      <c r="AF383" s="116"/>
      <c r="AG383" s="116"/>
      <c r="AH383" s="116"/>
      <c r="AI383" s="116"/>
      <c r="AJ383" s="116"/>
      <c r="AK383" s="116"/>
      <c r="AL383" s="116"/>
      <c r="AM383" s="116"/>
      <c r="AN383" s="116"/>
      <c r="AO383" s="116"/>
      <c r="AP383" s="116"/>
      <c r="AQ383" s="50" t="s">
        <v>7377</v>
      </c>
      <c r="AR383" s="50" t="s">
        <v>7379</v>
      </c>
      <c r="AS383" s="116"/>
      <c r="AT383" s="50" t="s">
        <v>5540</v>
      </c>
      <c r="AU383" s="117">
        <v>5638.0</v>
      </c>
      <c r="AV383" s="50" t="s">
        <v>7380</v>
      </c>
      <c r="AW383" s="50" t="s">
        <v>7382</v>
      </c>
      <c r="AX383" s="117">
        <v>382.0</v>
      </c>
    </row>
    <row r="384">
      <c r="A384" s="50" t="s">
        <v>7384</v>
      </c>
      <c r="B384" s="50" t="s">
        <v>7386</v>
      </c>
      <c r="C384" s="116"/>
      <c r="D384" s="116"/>
      <c r="E384" s="50">
        <v>3.5215509147374E14</v>
      </c>
      <c r="F384" s="50">
        <v>55.0</v>
      </c>
      <c r="G384" s="50">
        <v>12.0</v>
      </c>
      <c r="H384" s="116"/>
      <c r="I384" s="116"/>
      <c r="J384" s="116"/>
      <c r="K384" s="116"/>
      <c r="L384" s="50" t="s">
        <v>1678</v>
      </c>
      <c r="M384" s="50" t="s">
        <v>1678</v>
      </c>
      <c r="N384" s="50">
        <v>4.0</v>
      </c>
      <c r="O384" s="50" t="s">
        <v>7389</v>
      </c>
      <c r="P384" s="116"/>
      <c r="Q384" s="50" t="s">
        <v>7390</v>
      </c>
      <c r="R384" s="50">
        <v>22.563379</v>
      </c>
      <c r="S384" s="50">
        <v>88.3772265</v>
      </c>
      <c r="T384" s="50">
        <v>-26.2000007629394</v>
      </c>
      <c r="U384" s="50">
        <v>5.0</v>
      </c>
      <c r="V384" s="50">
        <v>1.0</v>
      </c>
      <c r="W384" s="50">
        <v>0.0</v>
      </c>
      <c r="X384" s="50">
        <v>0.0</v>
      </c>
      <c r="Y384" s="50">
        <v>1.0</v>
      </c>
      <c r="Z384" s="116"/>
      <c r="AA384" s="116"/>
      <c r="AB384" s="116"/>
      <c r="AC384" s="116"/>
      <c r="AD384" s="116"/>
      <c r="AE384" s="50">
        <v>1.0</v>
      </c>
      <c r="AF384" s="50">
        <v>1.0</v>
      </c>
      <c r="AG384" s="50">
        <v>4.0</v>
      </c>
      <c r="AH384" s="50">
        <v>4.0</v>
      </c>
      <c r="AI384" s="116"/>
      <c r="AJ384" s="116"/>
      <c r="AK384" s="116"/>
      <c r="AL384" s="116"/>
      <c r="AM384" s="116"/>
      <c r="AN384" s="116"/>
      <c r="AO384" s="116"/>
      <c r="AP384" s="116"/>
      <c r="AQ384" s="116"/>
      <c r="AR384" s="50" t="s">
        <v>2899</v>
      </c>
      <c r="AS384" s="50">
        <v>0.0</v>
      </c>
      <c r="AT384" s="50" t="s">
        <v>5540</v>
      </c>
      <c r="AU384" s="117">
        <v>5639.0</v>
      </c>
      <c r="AV384" s="50" t="s">
        <v>7394</v>
      </c>
      <c r="AW384" s="50" t="s">
        <v>7395</v>
      </c>
      <c r="AX384" s="117">
        <v>383.0</v>
      </c>
    </row>
    <row r="385">
      <c r="A385" s="50" t="s">
        <v>7396</v>
      </c>
      <c r="B385" s="50" t="s">
        <v>7398</v>
      </c>
      <c r="C385" s="116"/>
      <c r="D385" s="116"/>
      <c r="E385" s="50">
        <v>3.5215509147374E14</v>
      </c>
      <c r="F385" s="50">
        <v>55.0</v>
      </c>
      <c r="G385" s="50">
        <v>99.0</v>
      </c>
      <c r="H385" s="116"/>
      <c r="I385" s="116"/>
      <c r="J385" s="116"/>
      <c r="K385" s="50">
        <v>1.0</v>
      </c>
      <c r="L385" s="50" t="s">
        <v>1679</v>
      </c>
      <c r="M385" s="50" t="s">
        <v>1679</v>
      </c>
      <c r="N385" s="116"/>
      <c r="O385" s="116"/>
      <c r="P385" s="50" t="s">
        <v>7350</v>
      </c>
      <c r="Q385" s="50" t="s">
        <v>7402</v>
      </c>
      <c r="R385" s="50">
        <v>22.563357</v>
      </c>
      <c r="S385" s="50">
        <v>88.377086</v>
      </c>
      <c r="T385" s="50">
        <v>-74.4000015258789</v>
      </c>
      <c r="U385" s="50">
        <v>5.0</v>
      </c>
      <c r="V385" s="50">
        <v>1.0</v>
      </c>
      <c r="W385" s="50">
        <v>0.0</v>
      </c>
      <c r="X385" s="50">
        <v>0.0</v>
      </c>
      <c r="Y385" s="50">
        <v>1.0</v>
      </c>
      <c r="Z385" s="116"/>
      <c r="AA385" s="116"/>
      <c r="AB385" s="116"/>
      <c r="AC385" s="116"/>
      <c r="AD385" s="116"/>
      <c r="AE385" s="116"/>
      <c r="AF385" s="116"/>
      <c r="AG385" s="116"/>
      <c r="AH385" s="116"/>
      <c r="AI385" s="116"/>
      <c r="AJ385" s="116"/>
      <c r="AK385" s="116"/>
      <c r="AL385" s="116"/>
      <c r="AM385" s="116"/>
      <c r="AN385" s="116"/>
      <c r="AO385" s="116"/>
      <c r="AP385" s="116"/>
      <c r="AQ385" s="50" t="s">
        <v>7377</v>
      </c>
      <c r="AR385" s="50" t="s">
        <v>7379</v>
      </c>
      <c r="AS385" s="116"/>
      <c r="AT385" s="50" t="s">
        <v>5540</v>
      </c>
      <c r="AU385" s="117">
        <v>5640.0</v>
      </c>
      <c r="AV385" s="50" t="s">
        <v>7406</v>
      </c>
      <c r="AW385" s="50" t="s">
        <v>7408</v>
      </c>
      <c r="AX385" s="117">
        <v>384.0</v>
      </c>
    </row>
    <row r="386">
      <c r="A386" s="50" t="s">
        <v>7409</v>
      </c>
      <c r="B386" s="50" t="s">
        <v>7410</v>
      </c>
      <c r="C386" s="116"/>
      <c r="D386" s="116"/>
      <c r="E386" s="50">
        <v>3.52155090281144E14</v>
      </c>
      <c r="F386" s="50">
        <v>66.0</v>
      </c>
      <c r="G386" s="50">
        <v>11.0</v>
      </c>
      <c r="H386" s="50">
        <v>1.0</v>
      </c>
      <c r="I386" s="116"/>
      <c r="J386" s="116"/>
      <c r="K386" s="116"/>
      <c r="L386" s="50" t="s">
        <v>1699</v>
      </c>
      <c r="M386" s="50" t="s">
        <v>1699</v>
      </c>
      <c r="N386" s="116"/>
      <c r="O386" s="116"/>
      <c r="P386" s="50" t="s">
        <v>7415</v>
      </c>
      <c r="Q386" s="50" t="s">
        <v>7416</v>
      </c>
      <c r="R386" s="50">
        <v>22.5346171</v>
      </c>
      <c r="S386" s="50">
        <v>88.3959253</v>
      </c>
      <c r="T386" s="50">
        <v>-34.9000015258789</v>
      </c>
      <c r="U386" s="50">
        <v>5.0</v>
      </c>
      <c r="V386" s="50">
        <v>1.0</v>
      </c>
      <c r="W386" s="50">
        <v>0.0</v>
      </c>
      <c r="X386" s="50">
        <v>0.0</v>
      </c>
      <c r="Y386" s="50">
        <v>1.0</v>
      </c>
      <c r="Z386" s="116"/>
      <c r="AA386" s="50">
        <v>2.0</v>
      </c>
      <c r="AB386" s="50">
        <v>4.0</v>
      </c>
      <c r="AC386" s="116"/>
      <c r="AD386" s="116"/>
      <c r="AE386" s="116"/>
      <c r="AF386" s="116"/>
      <c r="AG386" s="116"/>
      <c r="AH386" s="116"/>
      <c r="AI386" s="116"/>
      <c r="AJ386" s="116"/>
      <c r="AK386" s="116"/>
      <c r="AL386" s="116"/>
      <c r="AM386" s="116"/>
      <c r="AN386" s="116"/>
      <c r="AO386" s="116"/>
      <c r="AP386" s="116"/>
      <c r="AQ386" s="50" t="s">
        <v>3200</v>
      </c>
      <c r="AR386" s="50" t="s">
        <v>2327</v>
      </c>
      <c r="AS386" s="50">
        <v>0.0</v>
      </c>
      <c r="AT386" s="50" t="s">
        <v>5540</v>
      </c>
      <c r="AU386" s="117">
        <v>5694.0</v>
      </c>
      <c r="AV386" s="50" t="s">
        <v>7422</v>
      </c>
      <c r="AW386" s="50" t="s">
        <v>7423</v>
      </c>
      <c r="AX386" s="117">
        <v>385.0</v>
      </c>
    </row>
    <row r="387">
      <c r="A387" s="50" t="s">
        <v>7424</v>
      </c>
      <c r="B387" s="50" t="s">
        <v>7425</v>
      </c>
      <c r="C387" s="116"/>
      <c r="D387" s="116"/>
      <c r="E387" s="50">
        <v>3.52155090281144E14</v>
      </c>
      <c r="F387" s="50">
        <v>58.0</v>
      </c>
      <c r="G387" s="50">
        <v>11.0</v>
      </c>
      <c r="H387" s="50">
        <v>3.0</v>
      </c>
      <c r="I387" s="50">
        <v>1.0</v>
      </c>
      <c r="J387" s="50" t="s">
        <v>6689</v>
      </c>
      <c r="K387" s="116"/>
      <c r="L387" s="50" t="s">
        <v>1704</v>
      </c>
      <c r="M387" s="50" t="s">
        <v>1704</v>
      </c>
      <c r="N387" s="116"/>
      <c r="O387" s="116"/>
      <c r="P387" s="50" t="s">
        <v>7429</v>
      </c>
      <c r="Q387" s="50" t="s">
        <v>7430</v>
      </c>
      <c r="R387" s="50">
        <v>22.5535747</v>
      </c>
      <c r="S387" s="50">
        <v>88.3851147</v>
      </c>
      <c r="T387" s="50">
        <v>-36.099998474121</v>
      </c>
      <c r="U387" s="50">
        <v>4.5</v>
      </c>
      <c r="V387" s="50">
        <v>1.0</v>
      </c>
      <c r="W387" s="50">
        <v>0.0</v>
      </c>
      <c r="X387" s="50">
        <v>0.0</v>
      </c>
      <c r="Y387" s="50">
        <v>1.0</v>
      </c>
      <c r="Z387" s="116"/>
      <c r="AA387" s="50">
        <v>2.0</v>
      </c>
      <c r="AB387" s="50">
        <v>4.0</v>
      </c>
      <c r="AC387" s="116"/>
      <c r="AD387" s="116"/>
      <c r="AE387" s="116"/>
      <c r="AF387" s="116"/>
      <c r="AG387" s="116"/>
      <c r="AH387" s="116"/>
      <c r="AI387" s="116"/>
      <c r="AJ387" s="116"/>
      <c r="AK387" s="116"/>
      <c r="AL387" s="116"/>
      <c r="AM387" s="116"/>
      <c r="AN387" s="116"/>
      <c r="AO387" s="116"/>
      <c r="AP387" s="116"/>
      <c r="AQ387" s="50" t="s">
        <v>3185</v>
      </c>
      <c r="AR387" s="50" t="s">
        <v>2302</v>
      </c>
      <c r="AS387" s="50">
        <v>1.0</v>
      </c>
      <c r="AT387" s="50" t="s">
        <v>5540</v>
      </c>
      <c r="AU387" s="117">
        <v>5696.0</v>
      </c>
      <c r="AV387" s="50" t="s">
        <v>7432</v>
      </c>
      <c r="AW387" s="50" t="s">
        <v>7433</v>
      </c>
      <c r="AX387" s="117">
        <v>386.0</v>
      </c>
    </row>
    <row r="388">
      <c r="A388" s="50" t="s">
        <v>7435</v>
      </c>
      <c r="B388" s="50" t="s">
        <v>7436</v>
      </c>
      <c r="C388" s="116"/>
      <c r="D388" s="116"/>
      <c r="E388" s="50">
        <v>3.52155090281144E14</v>
      </c>
      <c r="F388" s="50">
        <v>58.0</v>
      </c>
      <c r="G388" s="50">
        <v>99.0</v>
      </c>
      <c r="H388" s="116"/>
      <c r="I388" s="116"/>
      <c r="J388" s="116"/>
      <c r="K388" s="50">
        <v>2.0</v>
      </c>
      <c r="L388" s="50" t="s">
        <v>314</v>
      </c>
      <c r="M388" s="50" t="s">
        <v>314</v>
      </c>
      <c r="N388" s="116"/>
      <c r="O388" s="116"/>
      <c r="P388" s="50" t="s">
        <v>7440</v>
      </c>
      <c r="Q388" s="50" t="s">
        <v>7441</v>
      </c>
      <c r="R388" s="50">
        <v>22.5535338</v>
      </c>
      <c r="S388" s="50">
        <v>88.3851945</v>
      </c>
      <c r="T388" s="50">
        <v>-32.2000007629394</v>
      </c>
      <c r="U388" s="50">
        <v>5.0</v>
      </c>
      <c r="V388" s="50">
        <v>1.0</v>
      </c>
      <c r="W388" s="50">
        <v>0.0</v>
      </c>
      <c r="X388" s="50">
        <v>0.0</v>
      </c>
      <c r="Y388" s="50">
        <v>1.0</v>
      </c>
      <c r="Z388" s="116"/>
      <c r="AA388" s="116"/>
      <c r="AB388" s="116"/>
      <c r="AC388" s="116"/>
      <c r="AD388" s="116"/>
      <c r="AE388" s="116"/>
      <c r="AF388" s="116"/>
      <c r="AG388" s="116"/>
      <c r="AH388" s="116"/>
      <c r="AI388" s="116"/>
      <c r="AJ388" s="116"/>
      <c r="AK388" s="116"/>
      <c r="AL388" s="116"/>
      <c r="AM388" s="116"/>
      <c r="AN388" s="116"/>
      <c r="AO388" s="116"/>
      <c r="AP388" s="116"/>
      <c r="AQ388" s="50" t="s">
        <v>7443</v>
      </c>
      <c r="AR388" s="50" t="s">
        <v>2302</v>
      </c>
      <c r="AS388" s="116"/>
      <c r="AT388" s="50" t="s">
        <v>5540</v>
      </c>
      <c r="AU388" s="117">
        <v>5697.0</v>
      </c>
      <c r="AV388" s="50" t="s">
        <v>7447</v>
      </c>
      <c r="AW388" s="50" t="s">
        <v>7448</v>
      </c>
      <c r="AX388" s="117">
        <v>387.0</v>
      </c>
    </row>
    <row r="389">
      <c r="A389" s="50" t="s">
        <v>7450</v>
      </c>
      <c r="B389" s="50" t="s">
        <v>7451</v>
      </c>
      <c r="C389" s="116"/>
      <c r="D389" s="116"/>
      <c r="E389" s="50">
        <v>3.52155090281144E14</v>
      </c>
      <c r="F389" s="50">
        <v>59.0</v>
      </c>
      <c r="G389" s="50">
        <v>11.0</v>
      </c>
      <c r="H389" s="50">
        <v>4.0</v>
      </c>
      <c r="I389" s="50">
        <v>1.0</v>
      </c>
      <c r="J389" s="50" t="s">
        <v>6754</v>
      </c>
      <c r="K389" s="116"/>
      <c r="L389" s="50" t="s">
        <v>1705</v>
      </c>
      <c r="M389" s="50" t="s">
        <v>1705</v>
      </c>
      <c r="N389" s="116"/>
      <c r="O389" s="116"/>
      <c r="P389" s="50" t="s">
        <v>7453</v>
      </c>
      <c r="Q389" s="50" t="s">
        <v>7454</v>
      </c>
      <c r="R389" s="50">
        <v>22.5417338</v>
      </c>
      <c r="S389" s="50">
        <v>88.3747261</v>
      </c>
      <c r="T389" s="50">
        <v>-44.2999992370605</v>
      </c>
      <c r="U389" s="50">
        <v>5.0</v>
      </c>
      <c r="V389" s="50">
        <v>1.0</v>
      </c>
      <c r="W389" s="50">
        <v>0.0</v>
      </c>
      <c r="X389" s="50">
        <v>0.0</v>
      </c>
      <c r="Y389" s="50">
        <v>1.0</v>
      </c>
      <c r="Z389" s="116"/>
      <c r="AA389" s="50">
        <v>2.0</v>
      </c>
      <c r="AB389" s="50">
        <v>4.0</v>
      </c>
      <c r="AC389" s="116"/>
      <c r="AD389" s="116"/>
      <c r="AE389" s="116"/>
      <c r="AF389" s="116"/>
      <c r="AG389" s="116"/>
      <c r="AH389" s="116"/>
      <c r="AI389" s="116"/>
      <c r="AJ389" s="116"/>
      <c r="AK389" s="116"/>
      <c r="AL389" s="116"/>
      <c r="AM389" s="116"/>
      <c r="AN389" s="116"/>
      <c r="AO389" s="116"/>
      <c r="AP389" s="116"/>
      <c r="AQ389" s="50" t="s">
        <v>3149</v>
      </c>
      <c r="AR389" s="50" t="s">
        <v>2472</v>
      </c>
      <c r="AS389" s="50">
        <v>1.0</v>
      </c>
      <c r="AT389" s="50" t="s">
        <v>5540</v>
      </c>
      <c r="AU389" s="117">
        <v>5698.0</v>
      </c>
      <c r="AV389" s="50" t="s">
        <v>7461</v>
      </c>
      <c r="AW389" s="50" t="s">
        <v>7462</v>
      </c>
      <c r="AX389" s="117">
        <v>388.0</v>
      </c>
    </row>
    <row r="390">
      <c r="A390" s="50" t="s">
        <v>7463</v>
      </c>
      <c r="B390" s="50" t="s">
        <v>7464</v>
      </c>
      <c r="C390" s="116"/>
      <c r="D390" s="116"/>
      <c r="E390" s="50">
        <v>3.52155090281144E14</v>
      </c>
      <c r="F390" s="50">
        <v>59.0</v>
      </c>
      <c r="G390" s="50">
        <v>99.0</v>
      </c>
      <c r="H390" s="116"/>
      <c r="I390" s="116"/>
      <c r="J390" s="116"/>
      <c r="K390" s="50">
        <v>2.0</v>
      </c>
      <c r="L390" s="50" t="s">
        <v>316</v>
      </c>
      <c r="M390" s="50" t="s">
        <v>316</v>
      </c>
      <c r="N390" s="116"/>
      <c r="O390" s="116"/>
      <c r="P390" s="50" t="s">
        <v>7468</v>
      </c>
      <c r="Q390" s="50" t="s">
        <v>7469</v>
      </c>
      <c r="R390" s="50">
        <v>22.5418138</v>
      </c>
      <c r="S390" s="50">
        <v>88.3748682</v>
      </c>
      <c r="T390" s="50">
        <v>-65.1999969482421</v>
      </c>
      <c r="U390" s="50">
        <v>5.0</v>
      </c>
      <c r="V390" s="50">
        <v>1.0</v>
      </c>
      <c r="W390" s="50">
        <v>0.0</v>
      </c>
      <c r="X390" s="50">
        <v>0.0</v>
      </c>
      <c r="Y390" s="50">
        <v>1.0</v>
      </c>
      <c r="Z390" s="116"/>
      <c r="AA390" s="116"/>
      <c r="AB390" s="116"/>
      <c r="AC390" s="116"/>
      <c r="AD390" s="116"/>
      <c r="AE390" s="116"/>
      <c r="AF390" s="116"/>
      <c r="AG390" s="116"/>
      <c r="AH390" s="116"/>
      <c r="AI390" s="116"/>
      <c r="AJ390" s="116"/>
      <c r="AK390" s="116"/>
      <c r="AL390" s="116"/>
      <c r="AM390" s="116"/>
      <c r="AN390" s="116"/>
      <c r="AO390" s="116"/>
      <c r="AP390" s="116"/>
      <c r="AQ390" s="50" t="s">
        <v>7475</v>
      </c>
      <c r="AR390" s="50" t="s">
        <v>2472</v>
      </c>
      <c r="AS390" s="116"/>
      <c r="AT390" s="50" t="s">
        <v>5540</v>
      </c>
      <c r="AU390" s="117">
        <v>5699.0</v>
      </c>
      <c r="AV390" s="50" t="s">
        <v>7479</v>
      </c>
      <c r="AW390" s="50" t="s">
        <v>7481</v>
      </c>
      <c r="AX390" s="117">
        <v>389.0</v>
      </c>
    </row>
    <row r="391">
      <c r="A391" s="50" t="s">
        <v>7482</v>
      </c>
      <c r="B391" s="50" t="s">
        <v>7484</v>
      </c>
      <c r="C391" s="116"/>
      <c r="D391" s="116"/>
      <c r="E391" s="50">
        <v>3.52155090281144E14</v>
      </c>
      <c r="F391" s="50">
        <v>66.0</v>
      </c>
      <c r="G391" s="50">
        <v>12.0</v>
      </c>
      <c r="H391" s="116"/>
      <c r="I391" s="116"/>
      <c r="J391" s="116"/>
      <c r="K391" s="116"/>
      <c r="L391" s="50" t="s">
        <v>1700</v>
      </c>
      <c r="M391" s="50" t="s">
        <v>1700</v>
      </c>
      <c r="N391" s="50">
        <v>5.0</v>
      </c>
      <c r="O391" s="50" t="s">
        <v>7489</v>
      </c>
      <c r="P391" s="116"/>
      <c r="Q391" s="50" t="s">
        <v>7490</v>
      </c>
      <c r="R391" s="50">
        <v>22.5345837</v>
      </c>
      <c r="S391" s="50">
        <v>88.3960211</v>
      </c>
      <c r="T391" s="50">
        <v>-36.7000007629394</v>
      </c>
      <c r="U391" s="50">
        <v>4.0</v>
      </c>
      <c r="V391" s="50">
        <v>1.0</v>
      </c>
      <c r="W391" s="50">
        <v>0.0</v>
      </c>
      <c r="X391" s="50">
        <v>0.0</v>
      </c>
      <c r="Y391" s="50">
        <v>1.0</v>
      </c>
      <c r="Z391" s="116"/>
      <c r="AA391" s="116"/>
      <c r="AB391" s="116"/>
      <c r="AC391" s="116"/>
      <c r="AD391" s="116"/>
      <c r="AE391" s="50">
        <v>1.0</v>
      </c>
      <c r="AF391" s="50">
        <v>2.0</v>
      </c>
      <c r="AG391" s="50">
        <v>4.0</v>
      </c>
      <c r="AH391" s="50">
        <v>4.0</v>
      </c>
      <c r="AI391" s="116"/>
      <c r="AJ391" s="116"/>
      <c r="AK391" s="116"/>
      <c r="AL391" s="116"/>
      <c r="AM391" s="116"/>
      <c r="AN391" s="116"/>
      <c r="AO391" s="116"/>
      <c r="AP391" s="116"/>
      <c r="AQ391" s="50" t="s">
        <v>3200</v>
      </c>
      <c r="AR391" s="50" t="s">
        <v>2278</v>
      </c>
      <c r="AS391" s="50">
        <v>0.0</v>
      </c>
      <c r="AT391" s="50" t="s">
        <v>5540</v>
      </c>
      <c r="AU391" s="117">
        <v>5700.0</v>
      </c>
      <c r="AV391" s="50" t="s">
        <v>7496</v>
      </c>
      <c r="AW391" s="50" t="s">
        <v>7497</v>
      </c>
      <c r="AX391" s="117">
        <v>390.0</v>
      </c>
    </row>
    <row r="392">
      <c r="A392" s="50" t="s">
        <v>7500</v>
      </c>
      <c r="B392" s="50" t="s">
        <v>7501</v>
      </c>
      <c r="C392" s="116"/>
      <c r="D392" s="116"/>
      <c r="E392" s="50">
        <v>3.52155090281144E14</v>
      </c>
      <c r="F392" s="50">
        <v>66.0</v>
      </c>
      <c r="G392" s="50">
        <v>99.0</v>
      </c>
      <c r="H392" s="116"/>
      <c r="I392" s="116"/>
      <c r="J392" s="116"/>
      <c r="K392" s="50">
        <v>1.0</v>
      </c>
      <c r="L392" s="50" t="s">
        <v>318</v>
      </c>
      <c r="M392" s="50" t="s">
        <v>318</v>
      </c>
      <c r="N392" s="116"/>
      <c r="O392" s="116"/>
      <c r="P392" s="50" t="s">
        <v>7502</v>
      </c>
      <c r="Q392" s="50" t="s">
        <v>7503</v>
      </c>
      <c r="R392" s="50">
        <v>22.5345623</v>
      </c>
      <c r="S392" s="50">
        <v>88.3959964</v>
      </c>
      <c r="T392" s="50">
        <v>-43.2999992370605</v>
      </c>
      <c r="U392" s="50">
        <v>5.0</v>
      </c>
      <c r="V392" s="50">
        <v>1.0</v>
      </c>
      <c r="W392" s="50">
        <v>0.0</v>
      </c>
      <c r="X392" s="50">
        <v>0.0</v>
      </c>
      <c r="Y392" s="50">
        <v>1.0</v>
      </c>
      <c r="Z392" s="116"/>
      <c r="AA392" s="116"/>
      <c r="AB392" s="116"/>
      <c r="AC392" s="116"/>
      <c r="AD392" s="116"/>
      <c r="AE392" s="116"/>
      <c r="AF392" s="116"/>
      <c r="AG392" s="116"/>
      <c r="AH392" s="116"/>
      <c r="AI392" s="116"/>
      <c r="AJ392" s="116"/>
      <c r="AK392" s="116"/>
      <c r="AL392" s="116"/>
      <c r="AM392" s="116"/>
      <c r="AN392" s="116"/>
      <c r="AO392" s="116"/>
      <c r="AP392" s="116"/>
      <c r="AQ392" s="50" t="s">
        <v>3200</v>
      </c>
      <c r="AR392" s="50" t="s">
        <v>2278</v>
      </c>
      <c r="AS392" s="116"/>
      <c r="AT392" s="50" t="s">
        <v>5540</v>
      </c>
      <c r="AU392" s="117">
        <v>5701.0</v>
      </c>
      <c r="AV392" s="50" t="s">
        <v>7508</v>
      </c>
      <c r="AW392" s="50" t="s">
        <v>7509</v>
      </c>
      <c r="AX392" s="117">
        <v>391.0</v>
      </c>
    </row>
    <row r="393">
      <c r="A393" s="50" t="s">
        <v>7511</v>
      </c>
      <c r="B393" s="50" t="s">
        <v>7512</v>
      </c>
      <c r="C393" s="116"/>
      <c r="D393" s="116"/>
      <c r="E393" s="50">
        <v>3.52155090281144E14</v>
      </c>
      <c r="F393" s="50">
        <v>59.0</v>
      </c>
      <c r="G393" s="50">
        <v>12.0</v>
      </c>
      <c r="H393" s="116"/>
      <c r="I393" s="116"/>
      <c r="J393" s="116"/>
      <c r="K393" s="116"/>
      <c r="L393" s="50" t="s">
        <v>1701</v>
      </c>
      <c r="M393" s="50" t="s">
        <v>1701</v>
      </c>
      <c r="N393" s="50">
        <v>6.0</v>
      </c>
      <c r="O393" s="50" t="s">
        <v>7514</v>
      </c>
      <c r="P393" s="116"/>
      <c r="Q393" s="50" t="s">
        <v>7515</v>
      </c>
      <c r="R393" s="50">
        <v>22.5400679</v>
      </c>
      <c r="S393" s="50">
        <v>88.3872913</v>
      </c>
      <c r="T393" s="50">
        <v>-36.4000015258789</v>
      </c>
      <c r="U393" s="50">
        <v>5.0</v>
      </c>
      <c r="V393" s="50">
        <v>1.0</v>
      </c>
      <c r="W393" s="50">
        <v>0.0</v>
      </c>
      <c r="X393" s="50">
        <v>0.0</v>
      </c>
      <c r="Y393" s="50">
        <v>1.0</v>
      </c>
      <c r="Z393" s="116"/>
      <c r="AA393" s="116"/>
      <c r="AB393" s="116"/>
      <c r="AC393" s="116"/>
      <c r="AD393" s="116"/>
      <c r="AE393" s="50">
        <v>1.0</v>
      </c>
      <c r="AF393" s="50">
        <v>2.0</v>
      </c>
      <c r="AG393" s="50">
        <v>4.0</v>
      </c>
      <c r="AH393" s="50">
        <v>4.0</v>
      </c>
      <c r="AI393" s="116"/>
      <c r="AJ393" s="116"/>
      <c r="AK393" s="116"/>
      <c r="AL393" s="116"/>
      <c r="AM393" s="116"/>
      <c r="AN393" s="116"/>
      <c r="AO393" s="116"/>
      <c r="AP393" s="116"/>
      <c r="AQ393" s="50" t="s">
        <v>3185</v>
      </c>
      <c r="AR393" s="50" t="s">
        <v>2472</v>
      </c>
      <c r="AS393" s="50">
        <v>0.0</v>
      </c>
      <c r="AT393" s="50" t="s">
        <v>5540</v>
      </c>
      <c r="AU393" s="117">
        <v>5702.0</v>
      </c>
      <c r="AV393" s="50" t="s">
        <v>7521</v>
      </c>
      <c r="AW393" s="50" t="s">
        <v>7522</v>
      </c>
      <c r="AX393" s="117">
        <v>392.0</v>
      </c>
    </row>
    <row r="394">
      <c r="A394" s="50" t="s">
        <v>7523</v>
      </c>
      <c r="B394" s="50" t="s">
        <v>7524</v>
      </c>
      <c r="C394" s="116"/>
      <c r="D394" s="116"/>
      <c r="E394" s="50">
        <v>3.52155090281144E14</v>
      </c>
      <c r="F394" s="50">
        <v>59.0</v>
      </c>
      <c r="G394" s="50">
        <v>99.0</v>
      </c>
      <c r="H394" s="116"/>
      <c r="I394" s="116"/>
      <c r="J394" s="116"/>
      <c r="K394" s="50">
        <v>1.0</v>
      </c>
      <c r="L394" s="50" t="s">
        <v>320</v>
      </c>
      <c r="M394" s="50" t="s">
        <v>320</v>
      </c>
      <c r="N394" s="116"/>
      <c r="O394" s="116"/>
      <c r="P394" s="50" t="s">
        <v>7525</v>
      </c>
      <c r="Q394" s="50" t="s">
        <v>7526</v>
      </c>
      <c r="R394" s="50">
        <v>22.5399586</v>
      </c>
      <c r="S394" s="50">
        <v>88.38708</v>
      </c>
      <c r="T394" s="50">
        <v>-90.5</v>
      </c>
      <c r="U394" s="50">
        <v>5.0</v>
      </c>
      <c r="V394" s="50">
        <v>1.0</v>
      </c>
      <c r="W394" s="50">
        <v>0.0</v>
      </c>
      <c r="X394" s="50">
        <v>0.0</v>
      </c>
      <c r="Y394" s="50">
        <v>1.0</v>
      </c>
      <c r="Z394" s="116"/>
      <c r="AA394" s="116"/>
      <c r="AB394" s="116"/>
      <c r="AC394" s="116"/>
      <c r="AD394" s="116"/>
      <c r="AE394" s="116"/>
      <c r="AF394" s="116"/>
      <c r="AG394" s="116"/>
      <c r="AH394" s="116"/>
      <c r="AI394" s="116"/>
      <c r="AJ394" s="116"/>
      <c r="AK394" s="116"/>
      <c r="AL394" s="116"/>
      <c r="AM394" s="116"/>
      <c r="AN394" s="116"/>
      <c r="AO394" s="116"/>
      <c r="AP394" s="116"/>
      <c r="AQ394" s="50" t="s">
        <v>3185</v>
      </c>
      <c r="AR394" s="50" t="s">
        <v>2472</v>
      </c>
      <c r="AS394" s="116"/>
      <c r="AT394" s="50" t="s">
        <v>5540</v>
      </c>
      <c r="AU394" s="117">
        <v>5703.0</v>
      </c>
      <c r="AV394" s="50" t="s">
        <v>7530</v>
      </c>
      <c r="AW394" s="50" t="s">
        <v>7531</v>
      </c>
      <c r="AX394" s="117">
        <v>393.0</v>
      </c>
    </row>
    <row r="395">
      <c r="A395" s="50" t="s">
        <v>7532</v>
      </c>
      <c r="B395" s="50" t="s">
        <v>7533</v>
      </c>
      <c r="C395" s="116"/>
      <c r="D395" s="116"/>
      <c r="E395" s="50">
        <v>3.52155090281144E14</v>
      </c>
      <c r="F395" s="50">
        <v>59.0</v>
      </c>
      <c r="G395" s="50">
        <v>11.0</v>
      </c>
      <c r="H395" s="50">
        <v>4.0</v>
      </c>
      <c r="I395" s="50">
        <v>1.0</v>
      </c>
      <c r="J395" s="50" t="s">
        <v>6768</v>
      </c>
      <c r="K395" s="116"/>
      <c r="L395" s="50" t="s">
        <v>1709</v>
      </c>
      <c r="M395" s="50" t="s">
        <v>1709</v>
      </c>
      <c r="N395" s="116"/>
      <c r="O395" s="116"/>
      <c r="P395" s="50" t="s">
        <v>7536</v>
      </c>
      <c r="Q395" s="50" t="s">
        <v>7537</v>
      </c>
      <c r="R395" s="50">
        <v>22.5413283</v>
      </c>
      <c r="S395" s="50">
        <v>88.3761617</v>
      </c>
      <c r="T395" s="50">
        <v>-8.89999961853027</v>
      </c>
      <c r="U395" s="50">
        <v>5.0</v>
      </c>
      <c r="V395" s="50">
        <v>1.0</v>
      </c>
      <c r="W395" s="50">
        <v>0.0</v>
      </c>
      <c r="X395" s="50">
        <v>0.0</v>
      </c>
      <c r="Y395" s="50">
        <v>1.0</v>
      </c>
      <c r="Z395" s="116"/>
      <c r="AA395" s="50">
        <v>2.0</v>
      </c>
      <c r="AB395" s="50">
        <v>4.0</v>
      </c>
      <c r="AC395" s="116"/>
      <c r="AD395" s="116"/>
      <c r="AE395" s="116"/>
      <c r="AF395" s="116"/>
      <c r="AG395" s="116"/>
      <c r="AH395" s="116"/>
      <c r="AI395" s="116"/>
      <c r="AJ395" s="116"/>
      <c r="AK395" s="116"/>
      <c r="AL395" s="116"/>
      <c r="AM395" s="116"/>
      <c r="AN395" s="116"/>
      <c r="AO395" s="116"/>
      <c r="AP395" s="116"/>
      <c r="AQ395" s="50" t="s">
        <v>2949</v>
      </c>
      <c r="AR395" s="50" t="s">
        <v>3142</v>
      </c>
      <c r="AS395" s="50">
        <v>1.0</v>
      </c>
      <c r="AT395" s="50" t="s">
        <v>5540</v>
      </c>
      <c r="AU395" s="117">
        <v>5752.0</v>
      </c>
      <c r="AV395" s="50" t="s">
        <v>7539</v>
      </c>
      <c r="AW395" s="50" t="s">
        <v>7540</v>
      </c>
      <c r="AX395" s="117">
        <v>394.0</v>
      </c>
    </row>
    <row r="396">
      <c r="A396" s="50" t="s">
        <v>7543</v>
      </c>
      <c r="B396" s="50" t="s">
        <v>7544</v>
      </c>
      <c r="C396" s="116"/>
      <c r="D396" s="116"/>
      <c r="E396" s="50">
        <v>3.52155090281144E14</v>
      </c>
      <c r="F396" s="50">
        <v>59.0</v>
      </c>
      <c r="G396" s="50">
        <v>99.0</v>
      </c>
      <c r="H396" s="116"/>
      <c r="I396" s="116"/>
      <c r="J396" s="116"/>
      <c r="K396" s="50">
        <v>2.0</v>
      </c>
      <c r="L396" s="50" t="s">
        <v>1710</v>
      </c>
      <c r="M396" s="50" t="s">
        <v>1710</v>
      </c>
      <c r="N396" s="116"/>
      <c r="O396" s="116"/>
      <c r="P396" s="50" t="s">
        <v>7547</v>
      </c>
      <c r="Q396" s="50" t="s">
        <v>7548</v>
      </c>
      <c r="R396" s="50">
        <v>22.5411961</v>
      </c>
      <c r="S396" s="50">
        <v>88.3761601</v>
      </c>
      <c r="T396" s="50">
        <v>-15.3000001907348</v>
      </c>
      <c r="U396" s="50">
        <v>5.0</v>
      </c>
      <c r="V396" s="50">
        <v>1.0</v>
      </c>
      <c r="W396" s="50">
        <v>0.0</v>
      </c>
      <c r="X396" s="50">
        <v>0.0</v>
      </c>
      <c r="Y396" s="50">
        <v>1.0</v>
      </c>
      <c r="Z396" s="116"/>
      <c r="AA396" s="116"/>
      <c r="AB396" s="116"/>
      <c r="AC396" s="116"/>
      <c r="AD396" s="116"/>
      <c r="AE396" s="116"/>
      <c r="AF396" s="116"/>
      <c r="AG396" s="116"/>
      <c r="AH396" s="116"/>
      <c r="AI396" s="116"/>
      <c r="AJ396" s="116"/>
      <c r="AK396" s="116"/>
      <c r="AL396" s="116"/>
      <c r="AM396" s="116"/>
      <c r="AN396" s="116"/>
      <c r="AO396" s="116"/>
      <c r="AP396" s="116"/>
      <c r="AQ396" s="50" t="s">
        <v>7550</v>
      </c>
      <c r="AR396" s="50" t="s">
        <v>3142</v>
      </c>
      <c r="AS396" s="116"/>
      <c r="AT396" s="50" t="s">
        <v>5540</v>
      </c>
      <c r="AU396" s="117">
        <v>5753.0</v>
      </c>
      <c r="AV396" s="50" t="s">
        <v>7552</v>
      </c>
      <c r="AW396" s="50" t="s">
        <v>7554</v>
      </c>
      <c r="AX396" s="117">
        <v>395.0</v>
      </c>
    </row>
    <row r="397">
      <c r="A397" s="50" t="s">
        <v>7556</v>
      </c>
      <c r="B397" s="50" t="s">
        <v>7557</v>
      </c>
      <c r="C397" s="116"/>
      <c r="D397" s="116"/>
      <c r="E397" s="50">
        <v>3.52155090281144E14</v>
      </c>
      <c r="F397" s="50">
        <v>59.0</v>
      </c>
      <c r="G397" s="50">
        <v>11.0</v>
      </c>
      <c r="H397" s="50">
        <v>4.0</v>
      </c>
      <c r="I397" s="50">
        <v>1.0</v>
      </c>
      <c r="J397" s="50" t="s">
        <v>6886</v>
      </c>
      <c r="K397" s="116"/>
      <c r="L397" s="50" t="s">
        <v>1712</v>
      </c>
      <c r="M397" s="50" t="s">
        <v>1712</v>
      </c>
      <c r="N397" s="116"/>
      <c r="O397" s="116"/>
      <c r="P397" s="50" t="s">
        <v>7559</v>
      </c>
      <c r="Q397" s="50" t="s">
        <v>7561</v>
      </c>
      <c r="R397" s="50">
        <v>22.5404286</v>
      </c>
      <c r="S397" s="50">
        <v>88.3753038</v>
      </c>
      <c r="T397" s="50">
        <v>-3.0</v>
      </c>
      <c r="U397" s="50">
        <v>5.0</v>
      </c>
      <c r="V397" s="50">
        <v>1.0</v>
      </c>
      <c r="W397" s="50">
        <v>0.0</v>
      </c>
      <c r="X397" s="50">
        <v>0.0</v>
      </c>
      <c r="Y397" s="50">
        <v>1.0</v>
      </c>
      <c r="Z397" s="116"/>
      <c r="AA397" s="50">
        <v>2.0</v>
      </c>
      <c r="AB397" s="50">
        <v>4.0</v>
      </c>
      <c r="AC397" s="116"/>
      <c r="AD397" s="116"/>
      <c r="AE397" s="116"/>
      <c r="AF397" s="116"/>
      <c r="AG397" s="116"/>
      <c r="AH397" s="116"/>
      <c r="AI397" s="116"/>
      <c r="AJ397" s="116"/>
      <c r="AK397" s="116"/>
      <c r="AL397" s="116"/>
      <c r="AM397" s="116"/>
      <c r="AN397" s="116"/>
      <c r="AO397" s="116"/>
      <c r="AP397" s="116"/>
      <c r="AQ397" s="50" t="s">
        <v>3149</v>
      </c>
      <c r="AR397" s="50" t="s">
        <v>2302</v>
      </c>
      <c r="AS397" s="50">
        <v>1.0</v>
      </c>
      <c r="AT397" s="50" t="s">
        <v>5540</v>
      </c>
      <c r="AU397" s="117">
        <v>5754.0</v>
      </c>
      <c r="AV397" s="50" t="s">
        <v>7569</v>
      </c>
      <c r="AW397" s="50" t="s">
        <v>7570</v>
      </c>
      <c r="AX397" s="117">
        <v>396.0</v>
      </c>
    </row>
    <row r="398">
      <c r="A398" s="50" t="s">
        <v>7571</v>
      </c>
      <c r="B398" s="50" t="s">
        <v>7573</v>
      </c>
      <c r="C398" s="116"/>
      <c r="D398" s="116"/>
      <c r="E398" s="50">
        <v>3.52155090281144E14</v>
      </c>
      <c r="F398" s="50">
        <v>59.0</v>
      </c>
      <c r="G398" s="50">
        <v>99.0</v>
      </c>
      <c r="H398" s="116"/>
      <c r="I398" s="116"/>
      <c r="J398" s="116"/>
      <c r="K398" s="50">
        <v>2.0</v>
      </c>
      <c r="L398" s="50" t="s">
        <v>1713</v>
      </c>
      <c r="M398" s="50" t="s">
        <v>1713</v>
      </c>
      <c r="N398" s="116"/>
      <c r="O398" s="116"/>
      <c r="P398" s="50" t="s">
        <v>7575</v>
      </c>
      <c r="Q398" s="50" t="s">
        <v>7576</v>
      </c>
      <c r="R398" s="50">
        <v>22.5404641</v>
      </c>
      <c r="S398" s="50">
        <v>88.375381</v>
      </c>
      <c r="T398" s="50">
        <v>-32.0</v>
      </c>
      <c r="U398" s="50">
        <v>5.0</v>
      </c>
      <c r="V398" s="50">
        <v>1.0</v>
      </c>
      <c r="W398" s="50">
        <v>0.0</v>
      </c>
      <c r="X398" s="50">
        <v>0.0</v>
      </c>
      <c r="Y398" s="50">
        <v>1.0</v>
      </c>
      <c r="Z398" s="116"/>
      <c r="AA398" s="116"/>
      <c r="AB398" s="116"/>
      <c r="AC398" s="116"/>
      <c r="AD398" s="116"/>
      <c r="AE398" s="116"/>
      <c r="AF398" s="116"/>
      <c r="AG398" s="116"/>
      <c r="AH398" s="116"/>
      <c r="AI398" s="116"/>
      <c r="AJ398" s="116"/>
      <c r="AK398" s="116"/>
      <c r="AL398" s="116"/>
      <c r="AM398" s="116"/>
      <c r="AN398" s="116"/>
      <c r="AO398" s="116"/>
      <c r="AP398" s="116"/>
      <c r="AQ398" s="50" t="s">
        <v>7582</v>
      </c>
      <c r="AR398" s="50" t="s">
        <v>2302</v>
      </c>
      <c r="AS398" s="116"/>
      <c r="AT398" s="50" t="s">
        <v>5540</v>
      </c>
      <c r="AU398" s="117">
        <v>5755.0</v>
      </c>
      <c r="AV398" s="50" t="s">
        <v>7584</v>
      </c>
      <c r="AW398" s="50" t="s">
        <v>7585</v>
      </c>
      <c r="AX398" s="117">
        <v>397.0</v>
      </c>
    </row>
    <row r="399">
      <c r="A399" s="50" t="s">
        <v>7586</v>
      </c>
      <c r="B399" s="50" t="s">
        <v>7587</v>
      </c>
      <c r="C399" s="116"/>
      <c r="D399" s="116"/>
      <c r="E399" s="50">
        <v>3.52155090281144E14</v>
      </c>
      <c r="F399" s="50">
        <v>59.0</v>
      </c>
      <c r="G399" s="50">
        <v>11.0</v>
      </c>
      <c r="H399" s="50">
        <v>4.0</v>
      </c>
      <c r="I399" s="50">
        <v>1.0</v>
      </c>
      <c r="J399" s="50" t="s">
        <v>6918</v>
      </c>
      <c r="K399" s="116"/>
      <c r="L399" s="50" t="s">
        <v>1715</v>
      </c>
      <c r="M399" s="50" t="s">
        <v>1715</v>
      </c>
      <c r="N399" s="116"/>
      <c r="O399" s="116"/>
      <c r="P399" s="50" t="s">
        <v>7590</v>
      </c>
      <c r="Q399" s="50" t="s">
        <v>7592</v>
      </c>
      <c r="R399" s="50">
        <v>22.5411071</v>
      </c>
      <c r="S399" s="50">
        <v>88.3743094</v>
      </c>
      <c r="T399" s="50">
        <v>-50.099998474121</v>
      </c>
      <c r="U399" s="50">
        <v>5.0</v>
      </c>
      <c r="V399" s="50">
        <v>1.0</v>
      </c>
      <c r="W399" s="50">
        <v>0.0</v>
      </c>
      <c r="X399" s="50">
        <v>0.0</v>
      </c>
      <c r="Y399" s="50">
        <v>1.0</v>
      </c>
      <c r="Z399" s="116"/>
      <c r="AA399" s="50">
        <v>2.0</v>
      </c>
      <c r="AB399" s="50">
        <v>4.0</v>
      </c>
      <c r="AC399" s="116"/>
      <c r="AD399" s="116"/>
      <c r="AE399" s="116"/>
      <c r="AF399" s="116"/>
      <c r="AG399" s="116"/>
      <c r="AH399" s="116"/>
      <c r="AI399" s="116"/>
      <c r="AJ399" s="116"/>
      <c r="AK399" s="116"/>
      <c r="AL399" s="116"/>
      <c r="AM399" s="116"/>
      <c r="AN399" s="116"/>
      <c r="AO399" s="116"/>
      <c r="AP399" s="116"/>
      <c r="AQ399" s="50" t="s">
        <v>3149</v>
      </c>
      <c r="AR399" s="50" t="s">
        <v>2472</v>
      </c>
      <c r="AS399" s="50">
        <v>1.0</v>
      </c>
      <c r="AT399" s="50" t="s">
        <v>5540</v>
      </c>
      <c r="AU399" s="117">
        <v>5756.0</v>
      </c>
      <c r="AV399" s="50" t="s">
        <v>7599</v>
      </c>
      <c r="AW399" s="50" t="s">
        <v>7600</v>
      </c>
      <c r="AX399" s="117">
        <v>398.0</v>
      </c>
    </row>
    <row r="400">
      <c r="A400" s="50" t="s">
        <v>7601</v>
      </c>
      <c r="B400" s="50" t="s">
        <v>7602</v>
      </c>
      <c r="C400" s="116"/>
      <c r="D400" s="116"/>
      <c r="E400" s="50">
        <v>3.52155090281144E14</v>
      </c>
      <c r="F400" s="50">
        <v>59.0</v>
      </c>
      <c r="G400" s="50">
        <v>99.0</v>
      </c>
      <c r="H400" s="116"/>
      <c r="I400" s="116"/>
      <c r="J400" s="116"/>
      <c r="K400" s="50">
        <v>2.0</v>
      </c>
      <c r="L400" s="50" t="s">
        <v>1716</v>
      </c>
      <c r="M400" s="50" t="s">
        <v>1716</v>
      </c>
      <c r="N400" s="116"/>
      <c r="O400" s="116"/>
      <c r="P400" s="50" t="s">
        <v>7606</v>
      </c>
      <c r="Q400" s="50" t="s">
        <v>7607</v>
      </c>
      <c r="R400" s="50">
        <v>22.5411039</v>
      </c>
      <c r="S400" s="50">
        <v>88.3743109</v>
      </c>
      <c r="T400" s="50">
        <v>-50.9000015258789</v>
      </c>
      <c r="U400" s="50">
        <v>4.5</v>
      </c>
      <c r="V400" s="50">
        <v>1.0</v>
      </c>
      <c r="W400" s="50">
        <v>0.0</v>
      </c>
      <c r="X400" s="50">
        <v>0.0</v>
      </c>
      <c r="Y400" s="50">
        <v>1.0</v>
      </c>
      <c r="Z400" s="116"/>
      <c r="AA400" s="116"/>
      <c r="AB400" s="116"/>
      <c r="AC400" s="116"/>
      <c r="AD400" s="116"/>
      <c r="AE400" s="116"/>
      <c r="AF400" s="116"/>
      <c r="AG400" s="116"/>
      <c r="AH400" s="116"/>
      <c r="AI400" s="116"/>
      <c r="AJ400" s="116"/>
      <c r="AK400" s="116"/>
      <c r="AL400" s="116"/>
      <c r="AM400" s="116"/>
      <c r="AN400" s="116"/>
      <c r="AO400" s="116"/>
      <c r="AP400" s="116"/>
      <c r="AQ400" s="50" t="s">
        <v>7610</v>
      </c>
      <c r="AR400" s="50" t="s">
        <v>2472</v>
      </c>
      <c r="AS400" s="116"/>
      <c r="AT400" s="50" t="s">
        <v>5540</v>
      </c>
      <c r="AU400" s="117">
        <v>5757.0</v>
      </c>
      <c r="AV400" s="50" t="s">
        <v>7611</v>
      </c>
      <c r="AW400" s="50" t="s">
        <v>7612</v>
      </c>
      <c r="AX400" s="117">
        <v>399.0</v>
      </c>
    </row>
    <row r="401">
      <c r="A401" s="50" t="s">
        <v>7614</v>
      </c>
      <c r="B401" s="50" t="s">
        <v>7615</v>
      </c>
      <c r="C401" s="116"/>
      <c r="D401" s="116"/>
      <c r="E401" s="50">
        <v>3.52155090281144E14</v>
      </c>
      <c r="F401" s="50">
        <v>59.0</v>
      </c>
      <c r="G401" s="50">
        <v>11.0</v>
      </c>
      <c r="H401" s="50">
        <v>4.0</v>
      </c>
      <c r="I401" s="50">
        <v>1.0</v>
      </c>
      <c r="J401" s="50" t="s">
        <v>7619</v>
      </c>
      <c r="K401" s="116"/>
      <c r="L401" s="50" t="s">
        <v>1720</v>
      </c>
      <c r="M401" s="50" t="s">
        <v>1720</v>
      </c>
      <c r="N401" s="116"/>
      <c r="O401" s="116"/>
      <c r="P401" s="50" t="s">
        <v>7621</v>
      </c>
      <c r="Q401" s="50" t="s">
        <v>7622</v>
      </c>
      <c r="R401" s="50">
        <v>22.5410835</v>
      </c>
      <c r="S401" s="50">
        <v>88.3742969</v>
      </c>
      <c r="T401" s="50">
        <v>-43.5</v>
      </c>
      <c r="U401" s="50">
        <v>5.0</v>
      </c>
      <c r="V401" s="50">
        <v>1.0</v>
      </c>
      <c r="W401" s="50">
        <v>0.0</v>
      </c>
      <c r="X401" s="50">
        <v>0.0</v>
      </c>
      <c r="Y401" s="50">
        <v>1.0</v>
      </c>
      <c r="Z401" s="116"/>
      <c r="AA401" s="50">
        <v>2.0</v>
      </c>
      <c r="AB401" s="50">
        <v>4.0</v>
      </c>
      <c r="AC401" s="116"/>
      <c r="AD401" s="116"/>
      <c r="AE401" s="116"/>
      <c r="AF401" s="116"/>
      <c r="AG401" s="116"/>
      <c r="AH401" s="116"/>
      <c r="AI401" s="116"/>
      <c r="AJ401" s="116"/>
      <c r="AK401" s="116"/>
      <c r="AL401" s="116"/>
      <c r="AM401" s="116"/>
      <c r="AN401" s="116"/>
      <c r="AO401" s="116"/>
      <c r="AP401" s="116"/>
      <c r="AQ401" s="50" t="s">
        <v>2949</v>
      </c>
      <c r="AR401" s="50" t="s">
        <v>2278</v>
      </c>
      <c r="AS401" s="50">
        <v>1.0</v>
      </c>
      <c r="AT401" s="50" t="s">
        <v>5540</v>
      </c>
      <c r="AU401" s="117">
        <v>5829.0</v>
      </c>
      <c r="AV401" s="50" t="s">
        <v>7631</v>
      </c>
      <c r="AW401" s="50" t="s">
        <v>7633</v>
      </c>
      <c r="AX401" s="117">
        <v>400.0</v>
      </c>
    </row>
    <row r="402">
      <c r="A402" s="50" t="s">
        <v>7634</v>
      </c>
      <c r="B402" s="50" t="s">
        <v>7635</v>
      </c>
      <c r="C402" s="116"/>
      <c r="D402" s="116"/>
      <c r="E402" s="50">
        <v>3.52155090281144E14</v>
      </c>
      <c r="F402" s="50">
        <v>59.0</v>
      </c>
      <c r="G402" s="50">
        <v>99.0</v>
      </c>
      <c r="H402" s="116"/>
      <c r="I402" s="116"/>
      <c r="J402" s="116"/>
      <c r="K402" s="50">
        <v>2.0</v>
      </c>
      <c r="L402" s="50" t="s">
        <v>1721</v>
      </c>
      <c r="M402" s="50" t="s">
        <v>1721</v>
      </c>
      <c r="N402" s="116"/>
      <c r="O402" s="116"/>
      <c r="P402" s="50" t="s">
        <v>7639</v>
      </c>
      <c r="Q402" s="50" t="s">
        <v>7640</v>
      </c>
      <c r="R402" s="50">
        <v>22.541039</v>
      </c>
      <c r="S402" s="50">
        <v>88.3742987</v>
      </c>
      <c r="T402" s="50">
        <v>-21.0</v>
      </c>
      <c r="U402" s="50">
        <v>5.0</v>
      </c>
      <c r="V402" s="50">
        <v>1.0</v>
      </c>
      <c r="W402" s="50">
        <v>0.0</v>
      </c>
      <c r="X402" s="50">
        <v>0.0</v>
      </c>
      <c r="Y402" s="50">
        <v>1.0</v>
      </c>
      <c r="Z402" s="116"/>
      <c r="AA402" s="116"/>
      <c r="AB402" s="116"/>
      <c r="AC402" s="116"/>
      <c r="AD402" s="116"/>
      <c r="AE402" s="116"/>
      <c r="AF402" s="116"/>
      <c r="AG402" s="116"/>
      <c r="AH402" s="116"/>
      <c r="AI402" s="116"/>
      <c r="AJ402" s="116"/>
      <c r="AK402" s="116"/>
      <c r="AL402" s="116"/>
      <c r="AM402" s="116"/>
      <c r="AN402" s="116"/>
      <c r="AO402" s="116"/>
      <c r="AP402" s="116"/>
      <c r="AQ402" s="50" t="s">
        <v>2949</v>
      </c>
      <c r="AR402" s="50" t="s">
        <v>2278</v>
      </c>
      <c r="AS402" s="116"/>
      <c r="AT402" s="50" t="s">
        <v>5540</v>
      </c>
      <c r="AU402" s="117">
        <v>5830.0</v>
      </c>
      <c r="AV402" s="50" t="s">
        <v>7644</v>
      </c>
      <c r="AW402" s="50" t="s">
        <v>7646</v>
      </c>
      <c r="AX402" s="117">
        <v>401.0</v>
      </c>
    </row>
    <row r="403">
      <c r="A403" s="50" t="s">
        <v>7647</v>
      </c>
      <c r="B403" s="50" t="s">
        <v>7648</v>
      </c>
      <c r="C403" s="116"/>
      <c r="D403" s="116"/>
      <c r="E403" s="50">
        <v>3.52155090281144E14</v>
      </c>
      <c r="F403" s="50">
        <v>59.0</v>
      </c>
      <c r="G403" s="50">
        <v>11.0</v>
      </c>
      <c r="H403" s="50">
        <v>4.0</v>
      </c>
      <c r="I403" s="50">
        <v>1.0</v>
      </c>
      <c r="J403" s="50" t="s">
        <v>7653</v>
      </c>
      <c r="K403" s="116"/>
      <c r="L403" s="50" t="s">
        <v>1723</v>
      </c>
      <c r="M403" s="50" t="s">
        <v>1723</v>
      </c>
      <c r="N403" s="116"/>
      <c r="O403" s="116"/>
      <c r="P403" s="50" t="s">
        <v>7654</v>
      </c>
      <c r="Q403" s="50" t="s">
        <v>7655</v>
      </c>
      <c r="R403" s="50">
        <v>22.540663</v>
      </c>
      <c r="S403" s="50">
        <v>88.3763782</v>
      </c>
      <c r="T403" s="50">
        <v>-27.8999996185302</v>
      </c>
      <c r="U403" s="50">
        <v>5.0</v>
      </c>
      <c r="V403" s="50">
        <v>1.0</v>
      </c>
      <c r="W403" s="50">
        <v>0.0</v>
      </c>
      <c r="X403" s="50">
        <v>0.0</v>
      </c>
      <c r="Y403" s="50">
        <v>1.0</v>
      </c>
      <c r="Z403" s="116"/>
      <c r="AA403" s="50">
        <v>2.0</v>
      </c>
      <c r="AB403" s="50">
        <v>4.0</v>
      </c>
      <c r="AC403" s="116"/>
      <c r="AD403" s="116"/>
      <c r="AE403" s="116"/>
      <c r="AF403" s="116"/>
      <c r="AG403" s="116"/>
      <c r="AH403" s="116"/>
      <c r="AI403" s="116"/>
      <c r="AJ403" s="116"/>
      <c r="AK403" s="116"/>
      <c r="AL403" s="116"/>
      <c r="AM403" s="116"/>
      <c r="AN403" s="116"/>
      <c r="AO403" s="116"/>
      <c r="AP403" s="116"/>
      <c r="AQ403" s="50" t="s">
        <v>3200</v>
      </c>
      <c r="AR403" s="50" t="s">
        <v>2318</v>
      </c>
      <c r="AS403" s="50">
        <v>1.0</v>
      </c>
      <c r="AT403" s="50" t="s">
        <v>5540</v>
      </c>
      <c r="AU403" s="117">
        <v>5831.0</v>
      </c>
      <c r="AV403" s="50" t="s">
        <v>7660</v>
      </c>
      <c r="AW403" s="50" t="s">
        <v>7661</v>
      </c>
      <c r="AX403" s="117">
        <v>402.0</v>
      </c>
    </row>
    <row r="404">
      <c r="A404" s="50" t="s">
        <v>7663</v>
      </c>
      <c r="B404" s="50" t="s">
        <v>7664</v>
      </c>
      <c r="C404" s="116"/>
      <c r="D404" s="116"/>
      <c r="E404" s="50">
        <v>3.52155090281144E14</v>
      </c>
      <c r="F404" s="50">
        <v>59.0</v>
      </c>
      <c r="G404" s="50">
        <v>99.0</v>
      </c>
      <c r="H404" s="116"/>
      <c r="I404" s="116"/>
      <c r="J404" s="116"/>
      <c r="K404" s="50">
        <v>2.0</v>
      </c>
      <c r="L404" s="50" t="s">
        <v>1724</v>
      </c>
      <c r="M404" s="50" t="s">
        <v>1724</v>
      </c>
      <c r="N404" s="116"/>
      <c r="O404" s="116"/>
      <c r="P404" s="50" t="s">
        <v>7668</v>
      </c>
      <c r="Q404" s="50" t="s">
        <v>7669</v>
      </c>
      <c r="R404" s="50">
        <v>22.5406298</v>
      </c>
      <c r="S404" s="50">
        <v>88.3763851</v>
      </c>
      <c r="T404" s="50">
        <v>-4.30000019073486</v>
      </c>
      <c r="U404" s="50">
        <v>5.0</v>
      </c>
      <c r="V404" s="50">
        <v>1.0</v>
      </c>
      <c r="W404" s="50">
        <v>0.0</v>
      </c>
      <c r="X404" s="50">
        <v>0.0</v>
      </c>
      <c r="Y404" s="50">
        <v>1.0</v>
      </c>
      <c r="Z404" s="116"/>
      <c r="AA404" s="116"/>
      <c r="AB404" s="116"/>
      <c r="AC404" s="116"/>
      <c r="AD404" s="116"/>
      <c r="AE404" s="116"/>
      <c r="AF404" s="116"/>
      <c r="AG404" s="116"/>
      <c r="AH404" s="116"/>
      <c r="AI404" s="116"/>
      <c r="AJ404" s="116"/>
      <c r="AK404" s="116"/>
      <c r="AL404" s="116"/>
      <c r="AM404" s="116"/>
      <c r="AN404" s="116"/>
      <c r="AO404" s="116"/>
      <c r="AP404" s="116"/>
      <c r="AQ404" s="50" t="s">
        <v>7672</v>
      </c>
      <c r="AR404" s="50" t="s">
        <v>2318</v>
      </c>
      <c r="AS404" s="116"/>
      <c r="AT404" s="50" t="s">
        <v>5540</v>
      </c>
      <c r="AU404" s="117">
        <v>5832.0</v>
      </c>
      <c r="AV404" s="50" t="s">
        <v>7675</v>
      </c>
      <c r="AW404" s="50" t="s">
        <v>7676</v>
      </c>
      <c r="AX404" s="117">
        <v>403.0</v>
      </c>
    </row>
    <row r="405">
      <c r="A405" s="50" t="s">
        <v>7677</v>
      </c>
      <c r="B405" s="50" t="s">
        <v>7678</v>
      </c>
      <c r="C405" s="116"/>
      <c r="D405" s="116"/>
      <c r="E405" s="50">
        <v>3.52155090281144E14</v>
      </c>
      <c r="F405" s="50">
        <v>59.0</v>
      </c>
      <c r="G405" s="50">
        <v>11.0</v>
      </c>
      <c r="H405" s="50">
        <v>4.0</v>
      </c>
      <c r="I405" s="50">
        <v>1.0</v>
      </c>
      <c r="J405" s="50" t="s">
        <v>6886</v>
      </c>
      <c r="K405" s="116"/>
      <c r="L405" s="50" t="s">
        <v>1735</v>
      </c>
      <c r="M405" s="50" t="s">
        <v>1735</v>
      </c>
      <c r="N405" s="116"/>
      <c r="O405" s="116"/>
      <c r="P405" s="50" t="s">
        <v>7682</v>
      </c>
      <c r="Q405" s="50" t="s">
        <v>7683</v>
      </c>
      <c r="R405" s="50">
        <v>22.5404624</v>
      </c>
      <c r="S405" s="50">
        <v>88.3753363</v>
      </c>
      <c r="T405" s="50">
        <v>-40.4000015258789</v>
      </c>
      <c r="U405" s="50">
        <v>5.0</v>
      </c>
      <c r="V405" s="50">
        <v>1.0</v>
      </c>
      <c r="W405" s="50">
        <v>0.0</v>
      </c>
      <c r="X405" s="50">
        <v>0.0</v>
      </c>
      <c r="Y405" s="50">
        <v>1.0</v>
      </c>
      <c r="Z405" s="116"/>
      <c r="AA405" s="50">
        <v>2.0</v>
      </c>
      <c r="AB405" s="50">
        <v>4.0</v>
      </c>
      <c r="AC405" s="116"/>
      <c r="AD405" s="116"/>
      <c r="AE405" s="116"/>
      <c r="AF405" s="116"/>
      <c r="AG405" s="116"/>
      <c r="AH405" s="116"/>
      <c r="AI405" s="116"/>
      <c r="AJ405" s="116"/>
      <c r="AK405" s="116"/>
      <c r="AL405" s="116"/>
      <c r="AM405" s="116"/>
      <c r="AN405" s="116"/>
      <c r="AO405" s="116"/>
      <c r="AP405" s="116"/>
      <c r="AQ405" s="50" t="s">
        <v>3185</v>
      </c>
      <c r="AR405" s="50" t="s">
        <v>2286</v>
      </c>
      <c r="AS405" s="50">
        <v>1.0</v>
      </c>
      <c r="AT405" s="50" t="s">
        <v>5540</v>
      </c>
      <c r="AU405" s="117">
        <v>5893.0</v>
      </c>
      <c r="AV405" s="50" t="s">
        <v>7688</v>
      </c>
      <c r="AW405" s="50" t="s">
        <v>7689</v>
      </c>
      <c r="AX405" s="117">
        <v>404.0</v>
      </c>
    </row>
    <row r="406">
      <c r="A406" s="50" t="s">
        <v>7690</v>
      </c>
      <c r="B406" s="50" t="s">
        <v>7691</v>
      </c>
      <c r="C406" s="116"/>
      <c r="D406" s="116"/>
      <c r="E406" s="50">
        <v>3.52155090281144E14</v>
      </c>
      <c r="F406" s="50">
        <v>59.0</v>
      </c>
      <c r="G406" s="50">
        <v>99.0</v>
      </c>
      <c r="H406" s="116"/>
      <c r="I406" s="116"/>
      <c r="J406" s="116"/>
      <c r="K406" s="50">
        <v>2.0</v>
      </c>
      <c r="L406" s="50" t="s">
        <v>1736</v>
      </c>
      <c r="M406" s="50" t="s">
        <v>1736</v>
      </c>
      <c r="N406" s="116"/>
      <c r="O406" s="116"/>
      <c r="P406" s="50" t="s">
        <v>7692</v>
      </c>
      <c r="Q406" s="50" t="s">
        <v>7693</v>
      </c>
      <c r="R406" s="50">
        <v>22.5405217</v>
      </c>
      <c r="S406" s="50">
        <v>88.3752944</v>
      </c>
      <c r="T406" s="50">
        <v>-65.8000030517578</v>
      </c>
      <c r="U406" s="50">
        <v>5.0</v>
      </c>
      <c r="V406" s="50">
        <v>1.0</v>
      </c>
      <c r="W406" s="50">
        <v>0.0</v>
      </c>
      <c r="X406" s="50">
        <v>0.0</v>
      </c>
      <c r="Y406" s="50">
        <v>1.0</v>
      </c>
      <c r="Z406" s="116"/>
      <c r="AA406" s="116"/>
      <c r="AB406" s="116"/>
      <c r="AC406" s="116"/>
      <c r="AD406" s="116"/>
      <c r="AE406" s="116"/>
      <c r="AF406" s="116"/>
      <c r="AG406" s="116"/>
      <c r="AH406" s="116"/>
      <c r="AI406" s="116"/>
      <c r="AJ406" s="116"/>
      <c r="AK406" s="116"/>
      <c r="AL406" s="116"/>
      <c r="AM406" s="116"/>
      <c r="AN406" s="116"/>
      <c r="AO406" s="116"/>
      <c r="AP406" s="116"/>
      <c r="AQ406" s="50" t="s">
        <v>7699</v>
      </c>
      <c r="AR406" s="50" t="s">
        <v>2286</v>
      </c>
      <c r="AS406" s="116"/>
      <c r="AT406" s="50" t="s">
        <v>5540</v>
      </c>
      <c r="AU406" s="117">
        <v>5894.0</v>
      </c>
      <c r="AV406" s="50" t="s">
        <v>7700</v>
      </c>
      <c r="AW406" s="50" t="s">
        <v>7702</v>
      </c>
      <c r="AX406" s="117">
        <v>405.0</v>
      </c>
    </row>
    <row r="407">
      <c r="A407" s="50" t="s">
        <v>7705</v>
      </c>
      <c r="B407" s="50" t="s">
        <v>7707</v>
      </c>
      <c r="C407" s="116"/>
      <c r="D407" s="116"/>
      <c r="E407" s="50">
        <v>3.52155090281144E14</v>
      </c>
      <c r="F407" s="50">
        <v>59.0</v>
      </c>
      <c r="G407" s="50">
        <v>11.0</v>
      </c>
      <c r="H407" s="50">
        <v>4.0</v>
      </c>
      <c r="I407" s="50">
        <v>1.0</v>
      </c>
      <c r="J407" s="50" t="s">
        <v>7708</v>
      </c>
      <c r="K407" s="116"/>
      <c r="L407" s="50" t="s">
        <v>1738</v>
      </c>
      <c r="M407" s="50" t="s">
        <v>1738</v>
      </c>
      <c r="N407" s="116"/>
      <c r="O407" s="116"/>
      <c r="P407" s="50" t="s">
        <v>7709</v>
      </c>
      <c r="Q407" s="50" t="s">
        <v>7710</v>
      </c>
      <c r="R407" s="50">
        <v>22.5404013</v>
      </c>
      <c r="S407" s="50">
        <v>88.3753269</v>
      </c>
      <c r="T407" s="50">
        <v>-34.9000015258789</v>
      </c>
      <c r="U407" s="50">
        <v>5.0</v>
      </c>
      <c r="V407" s="50">
        <v>1.0</v>
      </c>
      <c r="W407" s="50">
        <v>0.0</v>
      </c>
      <c r="X407" s="50">
        <v>0.0</v>
      </c>
      <c r="Y407" s="50">
        <v>1.0</v>
      </c>
      <c r="Z407" s="116"/>
      <c r="AA407" s="50">
        <v>2.0</v>
      </c>
      <c r="AB407" s="50">
        <v>4.0</v>
      </c>
      <c r="AC407" s="116"/>
      <c r="AD407" s="116"/>
      <c r="AE407" s="116"/>
      <c r="AF407" s="116"/>
      <c r="AG407" s="116"/>
      <c r="AH407" s="116"/>
      <c r="AI407" s="116"/>
      <c r="AJ407" s="116"/>
      <c r="AK407" s="116"/>
      <c r="AL407" s="116"/>
      <c r="AM407" s="116"/>
      <c r="AN407" s="116"/>
      <c r="AO407" s="116"/>
      <c r="AP407" s="116"/>
      <c r="AQ407" s="50" t="s">
        <v>2949</v>
      </c>
      <c r="AR407" s="50" t="s">
        <v>2472</v>
      </c>
      <c r="AS407" s="50">
        <v>1.0</v>
      </c>
      <c r="AT407" s="50" t="s">
        <v>5540</v>
      </c>
      <c r="AU407" s="117">
        <v>5895.0</v>
      </c>
      <c r="AV407" s="50" t="s">
        <v>7715</v>
      </c>
      <c r="AW407" s="50" t="s">
        <v>7716</v>
      </c>
      <c r="AX407" s="117">
        <v>406.0</v>
      </c>
    </row>
    <row r="408">
      <c r="A408" s="50" t="s">
        <v>7717</v>
      </c>
      <c r="B408" s="50" t="s">
        <v>7718</v>
      </c>
      <c r="C408" s="116"/>
      <c r="D408" s="116"/>
      <c r="E408" s="50">
        <v>3.52155090281144E14</v>
      </c>
      <c r="F408" s="50">
        <v>59.0</v>
      </c>
      <c r="G408" s="50">
        <v>99.0</v>
      </c>
      <c r="H408" s="116"/>
      <c r="I408" s="116"/>
      <c r="J408" s="116"/>
      <c r="K408" s="50">
        <v>2.0</v>
      </c>
      <c r="L408" s="50" t="s">
        <v>1739</v>
      </c>
      <c r="M408" s="50" t="s">
        <v>1739</v>
      </c>
      <c r="N408" s="116"/>
      <c r="O408" s="116"/>
      <c r="P408" s="50" t="s">
        <v>7720</v>
      </c>
      <c r="Q408" s="50" t="s">
        <v>7722</v>
      </c>
      <c r="R408" s="50">
        <v>22.5403487</v>
      </c>
      <c r="S408" s="50">
        <v>88.3752097</v>
      </c>
      <c r="T408" s="50">
        <v>-41.7000007629394</v>
      </c>
      <c r="U408" s="50">
        <v>5.0</v>
      </c>
      <c r="V408" s="50">
        <v>1.0</v>
      </c>
      <c r="W408" s="50">
        <v>0.0</v>
      </c>
      <c r="X408" s="50">
        <v>0.0</v>
      </c>
      <c r="Y408" s="50">
        <v>1.0</v>
      </c>
      <c r="Z408" s="116"/>
      <c r="AA408" s="116"/>
      <c r="AB408" s="116"/>
      <c r="AC408" s="116"/>
      <c r="AD408" s="116"/>
      <c r="AE408" s="116"/>
      <c r="AF408" s="116"/>
      <c r="AG408" s="116"/>
      <c r="AH408" s="116"/>
      <c r="AI408" s="116"/>
      <c r="AJ408" s="116"/>
      <c r="AK408" s="116"/>
      <c r="AL408" s="116"/>
      <c r="AM408" s="116"/>
      <c r="AN408" s="116"/>
      <c r="AO408" s="116"/>
      <c r="AP408" s="116"/>
      <c r="AQ408" s="50" t="s">
        <v>7723</v>
      </c>
      <c r="AR408" s="50" t="s">
        <v>2472</v>
      </c>
      <c r="AS408" s="116"/>
      <c r="AT408" s="50" t="s">
        <v>5540</v>
      </c>
      <c r="AU408" s="117">
        <v>5896.0</v>
      </c>
      <c r="AV408" s="50" t="s">
        <v>7725</v>
      </c>
      <c r="AW408" s="50" t="s">
        <v>7726</v>
      </c>
      <c r="AX408" s="117">
        <v>407.0</v>
      </c>
    </row>
    <row r="409">
      <c r="A409" s="50" t="s">
        <v>7727</v>
      </c>
      <c r="B409" s="50" t="s">
        <v>7729</v>
      </c>
      <c r="C409" s="116"/>
      <c r="D409" s="116"/>
      <c r="E409" s="50">
        <v>3.52155090281144E14</v>
      </c>
      <c r="F409" s="50">
        <v>59.0</v>
      </c>
      <c r="G409" s="50">
        <v>11.0</v>
      </c>
      <c r="H409" s="50">
        <v>4.0</v>
      </c>
      <c r="I409" s="50">
        <v>1.0</v>
      </c>
      <c r="J409" s="50" t="s">
        <v>7732</v>
      </c>
      <c r="K409" s="116"/>
      <c r="L409" s="50" t="s">
        <v>1741</v>
      </c>
      <c r="M409" s="50" t="s">
        <v>1741</v>
      </c>
      <c r="N409" s="116"/>
      <c r="O409" s="116"/>
      <c r="P409" s="50" t="s">
        <v>7734</v>
      </c>
      <c r="Q409" s="50" t="s">
        <v>7735</v>
      </c>
      <c r="R409" s="50">
        <v>22.5401128</v>
      </c>
      <c r="S409" s="50">
        <v>88.3766756</v>
      </c>
      <c r="T409" s="50">
        <v>-51.7999992370605</v>
      </c>
      <c r="U409" s="50">
        <v>5.0</v>
      </c>
      <c r="V409" s="50">
        <v>1.0</v>
      </c>
      <c r="W409" s="50">
        <v>0.0</v>
      </c>
      <c r="X409" s="50">
        <v>0.0</v>
      </c>
      <c r="Y409" s="50">
        <v>1.0</v>
      </c>
      <c r="Z409" s="116"/>
      <c r="AA409" s="50">
        <v>2.0</v>
      </c>
      <c r="AB409" s="50">
        <v>4.0</v>
      </c>
      <c r="AC409" s="116"/>
      <c r="AD409" s="116"/>
      <c r="AE409" s="116"/>
      <c r="AF409" s="116"/>
      <c r="AG409" s="116"/>
      <c r="AH409" s="116"/>
      <c r="AI409" s="116"/>
      <c r="AJ409" s="116"/>
      <c r="AK409" s="116"/>
      <c r="AL409" s="116"/>
      <c r="AM409" s="116"/>
      <c r="AN409" s="116"/>
      <c r="AO409" s="116"/>
      <c r="AP409" s="116"/>
      <c r="AQ409" s="50" t="s">
        <v>3149</v>
      </c>
      <c r="AR409" s="50" t="s">
        <v>2278</v>
      </c>
      <c r="AS409" s="50">
        <v>1.0</v>
      </c>
      <c r="AT409" s="50" t="s">
        <v>5540</v>
      </c>
      <c r="AU409" s="117">
        <v>5897.0</v>
      </c>
      <c r="AV409" s="50" t="s">
        <v>7739</v>
      </c>
      <c r="AW409" s="50" t="s">
        <v>7740</v>
      </c>
      <c r="AX409" s="117">
        <v>408.0</v>
      </c>
    </row>
    <row r="410">
      <c r="A410" s="50" t="s">
        <v>7741</v>
      </c>
      <c r="B410" s="50" t="s">
        <v>7743</v>
      </c>
      <c r="C410" s="116"/>
      <c r="D410" s="116"/>
      <c r="E410" s="50">
        <v>3.52155090281144E14</v>
      </c>
      <c r="F410" s="50">
        <v>59.0</v>
      </c>
      <c r="G410" s="50">
        <v>99.0</v>
      </c>
      <c r="H410" s="116"/>
      <c r="I410" s="116"/>
      <c r="J410" s="116"/>
      <c r="K410" s="50">
        <v>2.0</v>
      </c>
      <c r="L410" s="50" t="s">
        <v>1742</v>
      </c>
      <c r="M410" s="50" t="s">
        <v>1742</v>
      </c>
      <c r="N410" s="116"/>
      <c r="O410" s="116"/>
      <c r="P410" s="50" t="s">
        <v>7746</v>
      </c>
      <c r="Q410" s="50" t="s">
        <v>7747</v>
      </c>
      <c r="R410" s="50">
        <v>22.540034</v>
      </c>
      <c r="S410" s="50">
        <v>88.3766533</v>
      </c>
      <c r="T410" s="50">
        <v>-46.9000015258789</v>
      </c>
      <c r="U410" s="50">
        <v>5.0</v>
      </c>
      <c r="V410" s="50">
        <v>1.0</v>
      </c>
      <c r="W410" s="50">
        <v>0.0</v>
      </c>
      <c r="X410" s="50">
        <v>0.0</v>
      </c>
      <c r="Y410" s="50">
        <v>1.0</v>
      </c>
      <c r="Z410" s="116"/>
      <c r="AA410" s="116"/>
      <c r="AB410" s="116"/>
      <c r="AC410" s="116"/>
      <c r="AD410" s="116"/>
      <c r="AE410" s="116"/>
      <c r="AF410" s="116"/>
      <c r="AG410" s="116"/>
      <c r="AH410" s="116"/>
      <c r="AI410" s="116"/>
      <c r="AJ410" s="116"/>
      <c r="AK410" s="116"/>
      <c r="AL410" s="116"/>
      <c r="AM410" s="116"/>
      <c r="AN410" s="116"/>
      <c r="AO410" s="116"/>
      <c r="AP410" s="116"/>
      <c r="AQ410" s="50" t="s">
        <v>7749</v>
      </c>
      <c r="AR410" s="50" t="s">
        <v>2278</v>
      </c>
      <c r="AS410" s="116"/>
      <c r="AT410" s="50" t="s">
        <v>5540</v>
      </c>
      <c r="AU410" s="117">
        <v>5898.0</v>
      </c>
      <c r="AV410" s="50" t="s">
        <v>7750</v>
      </c>
      <c r="AW410" s="50" t="s">
        <v>7751</v>
      </c>
      <c r="AX410" s="117">
        <v>409.0</v>
      </c>
    </row>
    <row r="411">
      <c r="A411" s="50" t="s">
        <v>7752</v>
      </c>
      <c r="B411" s="50" t="s">
        <v>7754</v>
      </c>
      <c r="C411" s="116"/>
      <c r="D411" s="116"/>
      <c r="E411" s="50">
        <v>3.52155090281144E14</v>
      </c>
      <c r="F411" s="50">
        <v>59.0</v>
      </c>
      <c r="G411" s="50">
        <v>11.0</v>
      </c>
      <c r="H411" s="50">
        <v>1.0</v>
      </c>
      <c r="I411" s="116"/>
      <c r="J411" s="116"/>
      <c r="K411" s="116"/>
      <c r="L411" s="50" t="s">
        <v>1747</v>
      </c>
      <c r="M411" s="50" t="s">
        <v>1747</v>
      </c>
      <c r="N411" s="116"/>
      <c r="O411" s="116"/>
      <c r="P411" s="50" t="s">
        <v>7757</v>
      </c>
      <c r="Q411" s="50" t="s">
        <v>7758</v>
      </c>
      <c r="R411" s="50">
        <v>22.539957</v>
      </c>
      <c r="S411" s="50">
        <v>88.3872598</v>
      </c>
      <c r="T411" s="50">
        <v>-52.7999992370605</v>
      </c>
      <c r="U411" s="50">
        <v>5.0</v>
      </c>
      <c r="V411" s="50">
        <v>1.0</v>
      </c>
      <c r="W411" s="50">
        <v>0.0</v>
      </c>
      <c r="X411" s="50">
        <v>0.0</v>
      </c>
      <c r="Y411" s="50">
        <v>1.0</v>
      </c>
      <c r="Z411" s="116"/>
      <c r="AA411" s="50">
        <v>2.0</v>
      </c>
      <c r="AB411" s="50">
        <v>4.0</v>
      </c>
      <c r="AC411" s="116"/>
      <c r="AD411" s="116"/>
      <c r="AE411" s="116"/>
      <c r="AF411" s="116"/>
      <c r="AG411" s="116"/>
      <c r="AH411" s="116"/>
      <c r="AI411" s="116"/>
      <c r="AJ411" s="116"/>
      <c r="AK411" s="116"/>
      <c r="AL411" s="116"/>
      <c r="AM411" s="116"/>
      <c r="AN411" s="116"/>
      <c r="AO411" s="116"/>
      <c r="AP411" s="116"/>
      <c r="AQ411" s="50" t="s">
        <v>3200</v>
      </c>
      <c r="AR411" s="50" t="s">
        <v>3142</v>
      </c>
      <c r="AS411" s="50">
        <v>0.0</v>
      </c>
      <c r="AT411" s="50" t="s">
        <v>5540</v>
      </c>
      <c r="AU411" s="117">
        <v>5901.0</v>
      </c>
      <c r="AV411" s="50" t="s">
        <v>7761</v>
      </c>
      <c r="AW411" s="50" t="s">
        <v>7762</v>
      </c>
      <c r="AX411" s="117">
        <v>410.0</v>
      </c>
    </row>
    <row r="412">
      <c r="A412" s="50" t="s">
        <v>7763</v>
      </c>
      <c r="B412" s="50" t="s">
        <v>7764</v>
      </c>
      <c r="C412" s="116"/>
      <c r="D412" s="116"/>
      <c r="E412" s="50">
        <v>3.5215509147374E14</v>
      </c>
      <c r="F412" s="50">
        <v>57.0</v>
      </c>
      <c r="G412" s="50">
        <v>12.0</v>
      </c>
      <c r="H412" s="116"/>
      <c r="I412" s="116"/>
      <c r="J412" s="116"/>
      <c r="K412" s="116"/>
      <c r="L412" s="50" t="s">
        <v>1729</v>
      </c>
      <c r="M412" s="50" t="s">
        <v>1729</v>
      </c>
      <c r="N412" s="50">
        <v>2.0</v>
      </c>
      <c r="O412" s="50" t="s">
        <v>7765</v>
      </c>
      <c r="P412" s="116"/>
      <c r="Q412" s="50" t="s">
        <v>7767</v>
      </c>
      <c r="R412" s="50">
        <v>22.5541924</v>
      </c>
      <c r="S412" s="50">
        <v>88.3966468</v>
      </c>
      <c r="T412" s="50">
        <v>-66.3000030517578</v>
      </c>
      <c r="U412" s="50">
        <v>5.0</v>
      </c>
      <c r="V412" s="50">
        <v>1.0</v>
      </c>
      <c r="W412" s="50">
        <v>0.0</v>
      </c>
      <c r="X412" s="50">
        <v>0.0</v>
      </c>
      <c r="Y412" s="50">
        <v>1.0</v>
      </c>
      <c r="Z412" s="116"/>
      <c r="AA412" s="116"/>
      <c r="AB412" s="116"/>
      <c r="AC412" s="116"/>
      <c r="AD412" s="116"/>
      <c r="AE412" s="50">
        <v>1.0</v>
      </c>
      <c r="AF412" s="50">
        <v>2.0</v>
      </c>
      <c r="AG412" s="50">
        <v>3.0</v>
      </c>
      <c r="AH412" s="50">
        <v>4.0</v>
      </c>
      <c r="AI412" s="116"/>
      <c r="AJ412" s="116"/>
      <c r="AK412" s="116"/>
      <c r="AL412" s="116"/>
      <c r="AM412" s="116"/>
      <c r="AN412" s="116"/>
      <c r="AO412" s="116"/>
      <c r="AP412" s="116"/>
      <c r="AQ412" s="50" t="s">
        <v>3200</v>
      </c>
      <c r="AR412" s="50" t="s">
        <v>3142</v>
      </c>
      <c r="AS412" s="50">
        <v>0.0</v>
      </c>
      <c r="AT412" s="50" t="s">
        <v>5540</v>
      </c>
      <c r="AU412" s="117">
        <v>5912.0</v>
      </c>
      <c r="AV412" s="50" t="s">
        <v>7771</v>
      </c>
      <c r="AW412" s="50" t="s">
        <v>7772</v>
      </c>
      <c r="AX412" s="117">
        <v>411.0</v>
      </c>
    </row>
    <row r="413">
      <c r="A413" s="50" t="s">
        <v>7773</v>
      </c>
      <c r="B413" s="50" t="s">
        <v>7774</v>
      </c>
      <c r="C413" s="116"/>
      <c r="D413" s="116"/>
      <c r="E413" s="50">
        <v>3.5215509147374E14</v>
      </c>
      <c r="F413" s="50">
        <v>57.0</v>
      </c>
      <c r="G413" s="50">
        <v>99.0</v>
      </c>
      <c r="H413" s="116"/>
      <c r="I413" s="116"/>
      <c r="J413" s="116"/>
      <c r="K413" s="50">
        <v>1.0</v>
      </c>
      <c r="L413" s="50" t="s">
        <v>1730</v>
      </c>
      <c r="M413" s="50" t="s">
        <v>1730</v>
      </c>
      <c r="N413" s="116"/>
      <c r="O413" s="116"/>
      <c r="P413" s="50" t="s">
        <v>7777</v>
      </c>
      <c r="Q413" s="50" t="s">
        <v>7778</v>
      </c>
      <c r="R413" s="50">
        <v>22.5542733</v>
      </c>
      <c r="S413" s="50">
        <v>88.3966676</v>
      </c>
      <c r="T413" s="50">
        <v>-21.6000003814697</v>
      </c>
      <c r="U413" s="50">
        <v>5.0</v>
      </c>
      <c r="V413" s="50">
        <v>1.0</v>
      </c>
      <c r="W413" s="50">
        <v>0.0</v>
      </c>
      <c r="X413" s="50">
        <v>0.0</v>
      </c>
      <c r="Y413" s="50">
        <v>1.0</v>
      </c>
      <c r="Z413" s="116"/>
      <c r="AA413" s="116"/>
      <c r="AB413" s="116"/>
      <c r="AC413" s="116"/>
      <c r="AD413" s="116"/>
      <c r="AE413" s="116"/>
      <c r="AF413" s="116"/>
      <c r="AG413" s="116"/>
      <c r="AH413" s="116"/>
      <c r="AI413" s="116"/>
      <c r="AJ413" s="116"/>
      <c r="AK413" s="116"/>
      <c r="AL413" s="116"/>
      <c r="AM413" s="116"/>
      <c r="AN413" s="116"/>
      <c r="AO413" s="116"/>
      <c r="AP413" s="116"/>
      <c r="AQ413" s="50" t="s">
        <v>3200</v>
      </c>
      <c r="AR413" s="50" t="s">
        <v>3142</v>
      </c>
      <c r="AS413" s="116"/>
      <c r="AT413" s="50" t="s">
        <v>5540</v>
      </c>
      <c r="AU413" s="117">
        <v>5913.0</v>
      </c>
      <c r="AV413" s="50" t="s">
        <v>7785</v>
      </c>
      <c r="AW413" s="50" t="s">
        <v>7787</v>
      </c>
      <c r="AX413" s="117">
        <v>412.0</v>
      </c>
    </row>
    <row r="414">
      <c r="A414" s="50" t="s">
        <v>7789</v>
      </c>
      <c r="B414" s="50" t="s">
        <v>7790</v>
      </c>
      <c r="C414" s="116"/>
      <c r="D414" s="116"/>
      <c r="E414" s="50">
        <v>3.5215509147374E14</v>
      </c>
      <c r="F414" s="50">
        <v>55.0</v>
      </c>
      <c r="G414" s="50">
        <v>12.0</v>
      </c>
      <c r="H414" s="116"/>
      <c r="I414" s="116"/>
      <c r="J414" s="116"/>
      <c r="K414" s="116"/>
      <c r="L414" s="50" t="s">
        <v>1732</v>
      </c>
      <c r="M414" s="50" t="s">
        <v>1732</v>
      </c>
      <c r="N414" s="50">
        <v>4.0</v>
      </c>
      <c r="O414" s="50" t="s">
        <v>7791</v>
      </c>
      <c r="P414" s="116"/>
      <c r="Q414" s="50" t="s">
        <v>7792</v>
      </c>
      <c r="R414" s="50">
        <v>22.563674</v>
      </c>
      <c r="S414" s="50">
        <v>88.3772227</v>
      </c>
      <c r="T414" s="50">
        <v>-75.1999969482421</v>
      </c>
      <c r="U414" s="50">
        <v>5.0</v>
      </c>
      <c r="V414" s="50">
        <v>1.0</v>
      </c>
      <c r="W414" s="50">
        <v>0.0</v>
      </c>
      <c r="X414" s="50">
        <v>0.0</v>
      </c>
      <c r="Y414" s="50">
        <v>1.0</v>
      </c>
      <c r="Z414" s="116"/>
      <c r="AA414" s="116"/>
      <c r="AB414" s="116"/>
      <c r="AC414" s="116"/>
      <c r="AD414" s="116"/>
      <c r="AE414" s="50">
        <v>1.0</v>
      </c>
      <c r="AF414" s="50">
        <v>2.0</v>
      </c>
      <c r="AG414" s="50">
        <v>4.0</v>
      </c>
      <c r="AH414" s="50">
        <v>4.0</v>
      </c>
      <c r="AI414" s="116"/>
      <c r="AJ414" s="116"/>
      <c r="AK414" s="116"/>
      <c r="AL414" s="116"/>
      <c r="AM414" s="116"/>
      <c r="AN414" s="116"/>
      <c r="AO414" s="116"/>
      <c r="AP414" s="116"/>
      <c r="AQ414" s="50" t="s">
        <v>6185</v>
      </c>
      <c r="AR414" s="50" t="s">
        <v>2302</v>
      </c>
      <c r="AS414" s="50">
        <v>0.0</v>
      </c>
      <c r="AT414" s="50" t="s">
        <v>5540</v>
      </c>
      <c r="AU414" s="117">
        <v>5914.0</v>
      </c>
      <c r="AV414" s="50" t="s">
        <v>7798</v>
      </c>
      <c r="AW414" s="50" t="s">
        <v>7799</v>
      </c>
      <c r="AX414" s="117">
        <v>413.0</v>
      </c>
    </row>
    <row r="415">
      <c r="A415" s="50" t="s">
        <v>7800</v>
      </c>
      <c r="B415" s="50" t="s">
        <v>7801</v>
      </c>
      <c r="C415" s="116"/>
      <c r="D415" s="116"/>
      <c r="E415" s="50">
        <v>3.5215509147374E14</v>
      </c>
      <c r="F415" s="50">
        <v>55.0</v>
      </c>
      <c r="G415" s="50">
        <v>99.0</v>
      </c>
      <c r="H415" s="116"/>
      <c r="I415" s="116"/>
      <c r="J415" s="116"/>
      <c r="K415" s="50">
        <v>1.0</v>
      </c>
      <c r="L415" s="50" t="s">
        <v>1733</v>
      </c>
      <c r="M415" s="50" t="s">
        <v>1733</v>
      </c>
      <c r="N415" s="116"/>
      <c r="O415" s="116"/>
      <c r="P415" s="50" t="s">
        <v>7803</v>
      </c>
      <c r="Q415" s="50" t="s">
        <v>7804</v>
      </c>
      <c r="R415" s="50">
        <v>22.5636614</v>
      </c>
      <c r="S415" s="50">
        <v>88.3771878</v>
      </c>
      <c r="T415" s="50">
        <v>-30.2000007629394</v>
      </c>
      <c r="U415" s="50">
        <v>5.0</v>
      </c>
      <c r="V415" s="50">
        <v>1.0</v>
      </c>
      <c r="W415" s="50">
        <v>0.0</v>
      </c>
      <c r="X415" s="50">
        <v>0.0</v>
      </c>
      <c r="Y415" s="50">
        <v>1.0</v>
      </c>
      <c r="Z415" s="116"/>
      <c r="AA415" s="116"/>
      <c r="AB415" s="116"/>
      <c r="AC415" s="116"/>
      <c r="AD415" s="116"/>
      <c r="AE415" s="116"/>
      <c r="AF415" s="116"/>
      <c r="AG415" s="116"/>
      <c r="AH415" s="116"/>
      <c r="AI415" s="116"/>
      <c r="AJ415" s="116"/>
      <c r="AK415" s="116"/>
      <c r="AL415" s="116"/>
      <c r="AM415" s="116"/>
      <c r="AN415" s="116"/>
      <c r="AO415" s="116"/>
      <c r="AP415" s="116"/>
      <c r="AQ415" s="50" t="s">
        <v>6185</v>
      </c>
      <c r="AR415" s="50" t="s">
        <v>2302</v>
      </c>
      <c r="AS415" s="116"/>
      <c r="AT415" s="50" t="s">
        <v>5540</v>
      </c>
      <c r="AU415" s="117">
        <v>5915.0</v>
      </c>
      <c r="AV415" s="50" t="s">
        <v>7810</v>
      </c>
      <c r="AW415" s="50" t="s">
        <v>7811</v>
      </c>
      <c r="AX415" s="117">
        <v>414.0</v>
      </c>
    </row>
    <row r="416">
      <c r="A416" s="50" t="s">
        <v>7812</v>
      </c>
      <c r="B416" s="50" t="s">
        <v>7813</v>
      </c>
      <c r="C416" s="116"/>
      <c r="D416" s="116"/>
      <c r="E416" s="50">
        <v>3.5215509147374E14</v>
      </c>
      <c r="F416" s="50">
        <v>66.0</v>
      </c>
      <c r="G416" s="50">
        <v>12.0</v>
      </c>
      <c r="H416" s="116"/>
      <c r="I416" s="116"/>
      <c r="J416" s="116"/>
      <c r="K416" s="116"/>
      <c r="L416" s="50" t="s">
        <v>1750</v>
      </c>
      <c r="M416" s="50" t="s">
        <v>1750</v>
      </c>
      <c r="N416" s="50">
        <v>5.0</v>
      </c>
      <c r="O416" s="50" t="s">
        <v>7816</v>
      </c>
      <c r="P416" s="116"/>
      <c r="Q416" s="50" t="s">
        <v>7818</v>
      </c>
      <c r="R416" s="50">
        <v>22.5348058</v>
      </c>
      <c r="S416" s="50">
        <v>88.3958993</v>
      </c>
      <c r="T416" s="50">
        <v>-112.5</v>
      </c>
      <c r="U416" s="50">
        <v>5.0</v>
      </c>
      <c r="V416" s="50">
        <v>1.0</v>
      </c>
      <c r="W416" s="50">
        <v>0.0</v>
      </c>
      <c r="X416" s="50">
        <v>0.0</v>
      </c>
      <c r="Y416" s="50">
        <v>1.0</v>
      </c>
      <c r="Z416" s="116"/>
      <c r="AA416" s="116"/>
      <c r="AB416" s="116"/>
      <c r="AC416" s="116"/>
      <c r="AD416" s="116"/>
      <c r="AE416" s="50">
        <v>1.0</v>
      </c>
      <c r="AF416" s="50">
        <v>2.0</v>
      </c>
      <c r="AG416" s="50">
        <v>4.0</v>
      </c>
      <c r="AH416" s="50">
        <v>4.0</v>
      </c>
      <c r="AI416" s="116"/>
      <c r="AJ416" s="116"/>
      <c r="AK416" s="116"/>
      <c r="AL416" s="116"/>
      <c r="AM416" s="116"/>
      <c r="AN416" s="116"/>
      <c r="AO416" s="116"/>
      <c r="AP416" s="116"/>
      <c r="AQ416" s="50" t="s">
        <v>6185</v>
      </c>
      <c r="AR416" s="50" t="s">
        <v>2302</v>
      </c>
      <c r="AS416" s="50">
        <v>0.0</v>
      </c>
      <c r="AT416" s="50" t="s">
        <v>5540</v>
      </c>
      <c r="AU416" s="117">
        <v>5986.0</v>
      </c>
      <c r="AV416" s="50" t="s">
        <v>7821</v>
      </c>
      <c r="AW416" s="50" t="s">
        <v>7822</v>
      </c>
      <c r="AX416" s="117">
        <v>415.0</v>
      </c>
    </row>
    <row r="417">
      <c r="A417" s="50" t="s">
        <v>7823</v>
      </c>
      <c r="B417" s="50" t="s">
        <v>7824</v>
      </c>
      <c r="C417" s="116"/>
      <c r="D417" s="116"/>
      <c r="E417" s="50">
        <v>3.5215509147374E14</v>
      </c>
      <c r="F417" s="50">
        <v>66.0</v>
      </c>
      <c r="G417" s="50">
        <v>99.0</v>
      </c>
      <c r="H417" s="116"/>
      <c r="I417" s="116"/>
      <c r="J417" s="116"/>
      <c r="K417" s="50">
        <v>1.0</v>
      </c>
      <c r="L417" s="50" t="s">
        <v>1751</v>
      </c>
      <c r="M417" s="50" t="s">
        <v>1751</v>
      </c>
      <c r="N417" s="116"/>
      <c r="O417" s="116"/>
      <c r="P417" s="50" t="s">
        <v>7828</v>
      </c>
      <c r="Q417" s="50" t="s">
        <v>7829</v>
      </c>
      <c r="R417" s="50">
        <v>22.5347072</v>
      </c>
      <c r="S417" s="50">
        <v>88.3958061</v>
      </c>
      <c r="T417" s="50">
        <v>-61.9000015258789</v>
      </c>
      <c r="U417" s="50">
        <v>5.0</v>
      </c>
      <c r="V417" s="50">
        <v>1.0</v>
      </c>
      <c r="W417" s="50">
        <v>0.0</v>
      </c>
      <c r="X417" s="50">
        <v>0.0</v>
      </c>
      <c r="Y417" s="50">
        <v>1.0</v>
      </c>
      <c r="Z417" s="116"/>
      <c r="AA417" s="116"/>
      <c r="AB417" s="116"/>
      <c r="AC417" s="116"/>
      <c r="AD417" s="116"/>
      <c r="AE417" s="116"/>
      <c r="AF417" s="116"/>
      <c r="AG417" s="116"/>
      <c r="AH417" s="116"/>
      <c r="AI417" s="116"/>
      <c r="AJ417" s="116"/>
      <c r="AK417" s="116"/>
      <c r="AL417" s="116"/>
      <c r="AM417" s="116"/>
      <c r="AN417" s="116"/>
      <c r="AO417" s="116"/>
      <c r="AP417" s="116"/>
      <c r="AQ417" s="50" t="s">
        <v>6185</v>
      </c>
      <c r="AR417" s="50" t="s">
        <v>2302</v>
      </c>
      <c r="AS417" s="116"/>
      <c r="AT417" s="50" t="s">
        <v>5540</v>
      </c>
      <c r="AU417" s="117">
        <v>5987.0</v>
      </c>
      <c r="AV417" s="50" t="s">
        <v>7837</v>
      </c>
      <c r="AW417" s="50" t="s">
        <v>7838</v>
      </c>
      <c r="AX417" s="117">
        <v>416.0</v>
      </c>
    </row>
    <row r="418">
      <c r="A418" s="50" t="s">
        <v>7839</v>
      </c>
      <c r="B418" s="50" t="s">
        <v>7840</v>
      </c>
      <c r="C418" s="116"/>
      <c r="D418" s="116"/>
      <c r="E418" s="50">
        <v>3.5215509147374E14</v>
      </c>
      <c r="F418" s="50">
        <v>59.0</v>
      </c>
      <c r="G418" s="50">
        <v>12.0</v>
      </c>
      <c r="H418" s="116"/>
      <c r="I418" s="116"/>
      <c r="J418" s="116"/>
      <c r="K418" s="116"/>
      <c r="L418" s="50" t="s">
        <v>1753</v>
      </c>
      <c r="M418" s="50" t="s">
        <v>1753</v>
      </c>
      <c r="N418" s="50">
        <v>6.0</v>
      </c>
      <c r="O418" s="50" t="s">
        <v>7844</v>
      </c>
      <c r="P418" s="116"/>
      <c r="Q418" s="50" t="s">
        <v>7845</v>
      </c>
      <c r="R418" s="50">
        <v>22.5399573</v>
      </c>
      <c r="S418" s="50">
        <v>88.3872257</v>
      </c>
      <c r="T418" s="50">
        <v>-21.2000007629394</v>
      </c>
      <c r="U418" s="50">
        <v>5.0</v>
      </c>
      <c r="V418" s="50">
        <v>1.0</v>
      </c>
      <c r="W418" s="50">
        <v>0.0</v>
      </c>
      <c r="X418" s="50">
        <v>0.0</v>
      </c>
      <c r="Y418" s="50">
        <v>1.0</v>
      </c>
      <c r="Z418" s="116"/>
      <c r="AA418" s="116"/>
      <c r="AB418" s="116"/>
      <c r="AC418" s="116"/>
      <c r="AD418" s="116"/>
      <c r="AE418" s="50">
        <v>1.0</v>
      </c>
      <c r="AF418" s="50">
        <v>2.0</v>
      </c>
      <c r="AG418" s="50">
        <v>4.0</v>
      </c>
      <c r="AH418" s="50">
        <v>4.0</v>
      </c>
      <c r="AI418" s="116"/>
      <c r="AJ418" s="116"/>
      <c r="AK418" s="116"/>
      <c r="AL418" s="116"/>
      <c r="AM418" s="116"/>
      <c r="AN418" s="116"/>
      <c r="AO418" s="116"/>
      <c r="AP418" s="116"/>
      <c r="AQ418" s="50" t="s">
        <v>3200</v>
      </c>
      <c r="AR418" s="50" t="s">
        <v>3142</v>
      </c>
      <c r="AS418" s="50">
        <v>0.0</v>
      </c>
      <c r="AT418" s="50" t="s">
        <v>5540</v>
      </c>
      <c r="AU418" s="117">
        <v>5988.0</v>
      </c>
      <c r="AV418" s="50" t="s">
        <v>7850</v>
      </c>
      <c r="AW418" s="50" t="s">
        <v>7851</v>
      </c>
      <c r="AX418" s="117">
        <v>417.0</v>
      </c>
    </row>
    <row r="419">
      <c r="A419" s="50" t="s">
        <v>7852</v>
      </c>
      <c r="B419" s="50" t="s">
        <v>7853</v>
      </c>
      <c r="C419" s="116"/>
      <c r="D419" s="116"/>
      <c r="E419" s="50">
        <v>3.5215509147374E14</v>
      </c>
      <c r="F419" s="50">
        <v>59.0</v>
      </c>
      <c r="G419" s="50">
        <v>99.0</v>
      </c>
      <c r="H419" s="116"/>
      <c r="I419" s="116"/>
      <c r="J419" s="116"/>
      <c r="K419" s="50">
        <v>1.0</v>
      </c>
      <c r="L419" s="50" t="s">
        <v>1754</v>
      </c>
      <c r="M419" s="50" t="s">
        <v>1754</v>
      </c>
      <c r="N419" s="116"/>
      <c r="O419" s="116"/>
      <c r="P419" s="50" t="s">
        <v>7858</v>
      </c>
      <c r="Q419" s="50" t="s">
        <v>7859</v>
      </c>
      <c r="R419" s="50">
        <v>22.5399707</v>
      </c>
      <c r="S419" s="50">
        <v>88.387237</v>
      </c>
      <c r="T419" s="50">
        <v>-10.3999996185302</v>
      </c>
      <c r="U419" s="50">
        <v>5.0</v>
      </c>
      <c r="V419" s="50">
        <v>1.0</v>
      </c>
      <c r="W419" s="50">
        <v>0.0</v>
      </c>
      <c r="X419" s="50">
        <v>0.0</v>
      </c>
      <c r="Y419" s="50">
        <v>1.0</v>
      </c>
      <c r="Z419" s="116"/>
      <c r="AA419" s="116"/>
      <c r="AB419" s="116"/>
      <c r="AC419" s="116"/>
      <c r="AD419" s="116"/>
      <c r="AE419" s="116"/>
      <c r="AF419" s="116"/>
      <c r="AG419" s="116"/>
      <c r="AH419" s="116"/>
      <c r="AI419" s="116"/>
      <c r="AJ419" s="116"/>
      <c r="AK419" s="116"/>
      <c r="AL419" s="116"/>
      <c r="AM419" s="116"/>
      <c r="AN419" s="116"/>
      <c r="AO419" s="116"/>
      <c r="AP419" s="116"/>
      <c r="AQ419" s="50" t="s">
        <v>3200</v>
      </c>
      <c r="AR419" s="50" t="s">
        <v>3142</v>
      </c>
      <c r="AS419" s="116"/>
      <c r="AT419" s="50" t="s">
        <v>5540</v>
      </c>
      <c r="AU419" s="117">
        <v>5989.0</v>
      </c>
      <c r="AV419" s="50" t="s">
        <v>7865</v>
      </c>
      <c r="AW419" s="50" t="s">
        <v>7866</v>
      </c>
      <c r="AX419" s="117">
        <v>418.0</v>
      </c>
    </row>
    <row r="420">
      <c r="A420" s="50" t="s">
        <v>7867</v>
      </c>
      <c r="B420" s="50" t="s">
        <v>7869</v>
      </c>
      <c r="C420" s="116"/>
      <c r="D420" s="116"/>
      <c r="E420" s="50">
        <v>3.52155090281144E14</v>
      </c>
      <c r="F420" s="50">
        <v>58.0</v>
      </c>
      <c r="G420" s="50">
        <v>11.0</v>
      </c>
      <c r="H420" s="50">
        <v>4.0</v>
      </c>
      <c r="I420" s="50">
        <v>1.0</v>
      </c>
      <c r="J420" s="50" t="s">
        <v>7872</v>
      </c>
      <c r="K420" s="116"/>
      <c r="L420" s="50" t="s">
        <v>1756</v>
      </c>
      <c r="M420" s="50" t="s">
        <v>1756</v>
      </c>
      <c r="N420" s="116"/>
      <c r="O420" s="116"/>
      <c r="P420" s="50" t="s">
        <v>7874</v>
      </c>
      <c r="Q420" s="50" t="s">
        <v>7876</v>
      </c>
      <c r="R420" s="50">
        <v>22.5534882</v>
      </c>
      <c r="S420" s="50">
        <v>88.3856134</v>
      </c>
      <c r="T420" s="50">
        <v>-53.5</v>
      </c>
      <c r="U420" s="50">
        <v>5.0</v>
      </c>
      <c r="V420" s="50">
        <v>1.0</v>
      </c>
      <c r="W420" s="50">
        <v>0.0</v>
      </c>
      <c r="X420" s="50">
        <v>0.0</v>
      </c>
      <c r="Y420" s="50">
        <v>1.0</v>
      </c>
      <c r="Z420" s="116"/>
      <c r="AA420" s="50">
        <v>2.0</v>
      </c>
      <c r="AB420" s="50">
        <v>4.0</v>
      </c>
      <c r="AC420" s="116"/>
      <c r="AD420" s="116"/>
      <c r="AE420" s="116"/>
      <c r="AF420" s="116"/>
      <c r="AG420" s="116"/>
      <c r="AH420" s="116"/>
      <c r="AI420" s="116"/>
      <c r="AJ420" s="116"/>
      <c r="AK420" s="116"/>
      <c r="AL420" s="116"/>
      <c r="AM420" s="116"/>
      <c r="AN420" s="116"/>
      <c r="AO420" s="116"/>
      <c r="AP420" s="116"/>
      <c r="AQ420" s="50" t="s">
        <v>3185</v>
      </c>
      <c r="AR420" s="50" t="s">
        <v>2327</v>
      </c>
      <c r="AS420" s="50">
        <v>1.0</v>
      </c>
      <c r="AT420" s="50" t="s">
        <v>5540</v>
      </c>
      <c r="AU420" s="117">
        <v>5990.0</v>
      </c>
      <c r="AV420" s="50" t="s">
        <v>7882</v>
      </c>
      <c r="AW420" s="50" t="s">
        <v>7883</v>
      </c>
      <c r="AX420" s="117">
        <v>419.0</v>
      </c>
    </row>
    <row r="421">
      <c r="A421" s="50" t="s">
        <v>7884</v>
      </c>
      <c r="B421" s="50" t="s">
        <v>7885</v>
      </c>
      <c r="C421" s="116"/>
      <c r="D421" s="116"/>
      <c r="E421" s="50">
        <v>3.52155090281144E14</v>
      </c>
      <c r="F421" s="50">
        <v>58.0</v>
      </c>
      <c r="G421" s="50">
        <v>99.0</v>
      </c>
      <c r="H421" s="116"/>
      <c r="I421" s="116"/>
      <c r="J421" s="116"/>
      <c r="K421" s="50">
        <v>2.0</v>
      </c>
      <c r="L421" s="50" t="s">
        <v>1757</v>
      </c>
      <c r="M421" s="50" t="s">
        <v>1757</v>
      </c>
      <c r="N421" s="116"/>
      <c r="O421" s="116"/>
      <c r="P421" s="50" t="s">
        <v>7890</v>
      </c>
      <c r="Q421" s="50" t="s">
        <v>7891</v>
      </c>
      <c r="R421" s="50">
        <v>22.5535107</v>
      </c>
      <c r="S421" s="50">
        <v>88.3856259</v>
      </c>
      <c r="T421" s="50">
        <v>-45.099998474121</v>
      </c>
      <c r="U421" s="50">
        <v>4.5</v>
      </c>
      <c r="V421" s="50">
        <v>1.0</v>
      </c>
      <c r="W421" s="50">
        <v>0.0</v>
      </c>
      <c r="X421" s="50">
        <v>0.0</v>
      </c>
      <c r="Y421" s="50">
        <v>1.0</v>
      </c>
      <c r="Z421" s="116"/>
      <c r="AA421" s="116"/>
      <c r="AB421" s="116"/>
      <c r="AC421" s="116"/>
      <c r="AD421" s="116"/>
      <c r="AE421" s="116"/>
      <c r="AF421" s="116"/>
      <c r="AG421" s="116"/>
      <c r="AH421" s="116"/>
      <c r="AI421" s="116"/>
      <c r="AJ421" s="116"/>
      <c r="AK421" s="116"/>
      <c r="AL421" s="116"/>
      <c r="AM421" s="116"/>
      <c r="AN421" s="116"/>
      <c r="AO421" s="116"/>
      <c r="AP421" s="116"/>
      <c r="AQ421" s="50" t="s">
        <v>7895</v>
      </c>
      <c r="AR421" s="50" t="s">
        <v>2327</v>
      </c>
      <c r="AS421" s="116"/>
      <c r="AT421" s="50" t="s">
        <v>5540</v>
      </c>
      <c r="AU421" s="117">
        <v>5991.0</v>
      </c>
      <c r="AV421" s="50" t="s">
        <v>7897</v>
      </c>
      <c r="AW421" s="50" t="s">
        <v>7898</v>
      </c>
      <c r="AX421" s="117">
        <v>420.0</v>
      </c>
    </row>
    <row r="422">
      <c r="A422" s="50" t="s">
        <v>7899</v>
      </c>
      <c r="B422" s="50" t="s">
        <v>7901</v>
      </c>
      <c r="C422" s="116"/>
      <c r="D422" s="116"/>
      <c r="E422" s="50">
        <v>3.52155090281144E14</v>
      </c>
      <c r="F422" s="50">
        <v>59.0</v>
      </c>
      <c r="G422" s="50">
        <v>11.0</v>
      </c>
      <c r="H422" s="50">
        <v>4.0</v>
      </c>
      <c r="I422" s="50">
        <v>1.0</v>
      </c>
      <c r="J422" s="50" t="s">
        <v>7653</v>
      </c>
      <c r="K422" s="116"/>
      <c r="L422" s="50" t="s">
        <v>321</v>
      </c>
      <c r="M422" s="50" t="s">
        <v>321</v>
      </c>
      <c r="N422" s="116"/>
      <c r="O422" s="116"/>
      <c r="P422" s="50" t="s">
        <v>7904</v>
      </c>
      <c r="Q422" s="50" t="s">
        <v>7905</v>
      </c>
      <c r="R422" s="50">
        <v>22.5407242</v>
      </c>
      <c r="S422" s="50">
        <v>88.3761585</v>
      </c>
      <c r="T422" s="50">
        <v>-83.0</v>
      </c>
      <c r="U422" s="50">
        <v>5.0</v>
      </c>
      <c r="V422" s="50">
        <v>1.0</v>
      </c>
      <c r="W422" s="50">
        <v>0.0</v>
      </c>
      <c r="X422" s="50">
        <v>0.0</v>
      </c>
      <c r="Y422" s="50">
        <v>1.0</v>
      </c>
      <c r="Z422" s="116"/>
      <c r="AA422" s="50">
        <v>2.0</v>
      </c>
      <c r="AB422" s="50">
        <v>4.0</v>
      </c>
      <c r="AC422" s="116"/>
      <c r="AD422" s="116"/>
      <c r="AE422" s="116"/>
      <c r="AF422" s="116"/>
      <c r="AG422" s="116"/>
      <c r="AH422" s="116"/>
      <c r="AI422" s="116"/>
      <c r="AJ422" s="116"/>
      <c r="AK422" s="116"/>
      <c r="AL422" s="116"/>
      <c r="AM422" s="116"/>
      <c r="AN422" s="116"/>
      <c r="AO422" s="116"/>
      <c r="AP422" s="116"/>
      <c r="AQ422" s="50" t="s">
        <v>3149</v>
      </c>
      <c r="AR422" s="50" t="s">
        <v>2472</v>
      </c>
      <c r="AS422" s="50">
        <v>1.0</v>
      </c>
      <c r="AT422" s="50" t="s">
        <v>5540</v>
      </c>
      <c r="AU422" s="117">
        <v>5992.0</v>
      </c>
      <c r="AV422" s="50" t="s">
        <v>7911</v>
      </c>
      <c r="AW422" s="50" t="s">
        <v>7913</v>
      </c>
      <c r="AX422" s="117">
        <v>421.0</v>
      </c>
    </row>
    <row r="423">
      <c r="A423" s="50" t="s">
        <v>7914</v>
      </c>
      <c r="B423" s="50" t="s">
        <v>7916</v>
      </c>
      <c r="C423" s="116"/>
      <c r="D423" s="116"/>
      <c r="E423" s="50">
        <v>3.52155090281144E14</v>
      </c>
      <c r="F423" s="50">
        <v>59.0</v>
      </c>
      <c r="G423" s="50">
        <v>99.0</v>
      </c>
      <c r="H423" s="116"/>
      <c r="I423" s="116"/>
      <c r="J423" s="116"/>
      <c r="K423" s="50">
        <v>2.0</v>
      </c>
      <c r="L423" s="50" t="s">
        <v>1759</v>
      </c>
      <c r="M423" s="50" t="s">
        <v>1759</v>
      </c>
      <c r="N423" s="116"/>
      <c r="O423" s="116"/>
      <c r="P423" s="50" t="s">
        <v>7920</v>
      </c>
      <c r="Q423" s="50" t="s">
        <v>7922</v>
      </c>
      <c r="R423" s="50">
        <v>22.5406864</v>
      </c>
      <c r="S423" s="50">
        <v>88.3762005</v>
      </c>
      <c r="T423" s="50">
        <v>-53.4000015258789</v>
      </c>
      <c r="U423" s="50">
        <v>5.0</v>
      </c>
      <c r="V423" s="50">
        <v>1.0</v>
      </c>
      <c r="W423" s="50">
        <v>0.0</v>
      </c>
      <c r="X423" s="50">
        <v>0.0</v>
      </c>
      <c r="Y423" s="50">
        <v>1.0</v>
      </c>
      <c r="Z423" s="116"/>
      <c r="AA423" s="116"/>
      <c r="AB423" s="116"/>
      <c r="AC423" s="116"/>
      <c r="AD423" s="116"/>
      <c r="AE423" s="116"/>
      <c r="AF423" s="116"/>
      <c r="AG423" s="116"/>
      <c r="AH423" s="116"/>
      <c r="AI423" s="116"/>
      <c r="AJ423" s="116"/>
      <c r="AK423" s="116"/>
      <c r="AL423" s="116"/>
      <c r="AM423" s="116"/>
      <c r="AN423" s="116"/>
      <c r="AO423" s="116"/>
      <c r="AP423" s="116"/>
      <c r="AQ423" s="50" t="s">
        <v>7925</v>
      </c>
      <c r="AR423" s="50" t="s">
        <v>2472</v>
      </c>
      <c r="AS423" s="116"/>
      <c r="AT423" s="50" t="s">
        <v>5540</v>
      </c>
      <c r="AU423" s="117">
        <v>5993.0</v>
      </c>
      <c r="AV423" s="50" t="s">
        <v>7928</v>
      </c>
      <c r="AW423" s="50" t="s">
        <v>7929</v>
      </c>
      <c r="AX423" s="117">
        <v>422.0</v>
      </c>
    </row>
    <row r="424">
      <c r="A424" s="50" t="s">
        <v>7930</v>
      </c>
      <c r="B424" s="50" t="s">
        <v>7931</v>
      </c>
      <c r="C424" s="116"/>
      <c r="D424" s="116"/>
      <c r="E424" s="50">
        <v>3.52155090281144E14</v>
      </c>
      <c r="F424" s="50">
        <v>59.0</v>
      </c>
      <c r="G424" s="50">
        <v>11.0</v>
      </c>
      <c r="H424" s="50">
        <v>4.0</v>
      </c>
      <c r="I424" s="50">
        <v>1.0</v>
      </c>
      <c r="J424" s="50" t="s">
        <v>7933</v>
      </c>
      <c r="K424" s="116"/>
      <c r="L424" s="50" t="s">
        <v>1761</v>
      </c>
      <c r="M424" s="50" t="s">
        <v>1761</v>
      </c>
      <c r="N424" s="116"/>
      <c r="O424" s="116"/>
      <c r="P424" s="50" t="s">
        <v>7934</v>
      </c>
      <c r="Q424" s="50" t="s">
        <v>7935</v>
      </c>
      <c r="R424" s="50">
        <v>22.5417554</v>
      </c>
      <c r="S424" s="50">
        <v>88.3747726</v>
      </c>
      <c r="T424" s="50">
        <v>-58.099998474121</v>
      </c>
      <c r="U424" s="50">
        <v>5.0</v>
      </c>
      <c r="V424" s="50">
        <v>1.0</v>
      </c>
      <c r="W424" s="50">
        <v>0.0</v>
      </c>
      <c r="X424" s="50">
        <v>0.0</v>
      </c>
      <c r="Y424" s="50">
        <v>1.0</v>
      </c>
      <c r="Z424" s="116"/>
      <c r="AA424" s="50">
        <v>2.0</v>
      </c>
      <c r="AB424" s="50">
        <v>4.0</v>
      </c>
      <c r="AC424" s="116"/>
      <c r="AD424" s="116"/>
      <c r="AE424" s="116"/>
      <c r="AF424" s="116"/>
      <c r="AG424" s="116"/>
      <c r="AH424" s="116"/>
      <c r="AI424" s="116"/>
      <c r="AJ424" s="116"/>
      <c r="AK424" s="116"/>
      <c r="AL424" s="116"/>
      <c r="AM424" s="116"/>
      <c r="AN424" s="116"/>
      <c r="AO424" s="116"/>
      <c r="AP424" s="116"/>
      <c r="AQ424" s="50" t="s">
        <v>3185</v>
      </c>
      <c r="AR424" s="50" t="s">
        <v>2327</v>
      </c>
      <c r="AS424" s="50">
        <v>1.0</v>
      </c>
      <c r="AT424" s="50" t="s">
        <v>5540</v>
      </c>
      <c r="AU424" s="117">
        <v>5994.0</v>
      </c>
      <c r="AV424" s="50" t="s">
        <v>7943</v>
      </c>
      <c r="AW424" s="50" t="s">
        <v>7944</v>
      </c>
      <c r="AX424" s="117">
        <v>423.0</v>
      </c>
    </row>
    <row r="425">
      <c r="A425" s="50" t="s">
        <v>7946</v>
      </c>
      <c r="B425" s="50" t="s">
        <v>7947</v>
      </c>
      <c r="C425" s="116"/>
      <c r="D425" s="116"/>
      <c r="E425" s="50">
        <v>3.52155090281144E14</v>
      </c>
      <c r="F425" s="50">
        <v>59.0</v>
      </c>
      <c r="G425" s="50">
        <v>99.0</v>
      </c>
      <c r="H425" s="116"/>
      <c r="I425" s="116"/>
      <c r="J425" s="116"/>
      <c r="K425" s="50">
        <v>2.0</v>
      </c>
      <c r="L425" s="50" t="s">
        <v>1762</v>
      </c>
      <c r="M425" s="50" t="s">
        <v>1762</v>
      </c>
      <c r="N425" s="116"/>
      <c r="O425" s="116"/>
      <c r="P425" s="50" t="s">
        <v>7951</v>
      </c>
      <c r="Q425" s="50" t="s">
        <v>7953</v>
      </c>
      <c r="R425" s="50">
        <v>22.5418042</v>
      </c>
      <c r="S425" s="50">
        <v>88.3747321</v>
      </c>
      <c r="T425" s="50">
        <v>-30.1000003814697</v>
      </c>
      <c r="U425" s="50">
        <v>5.0</v>
      </c>
      <c r="V425" s="50">
        <v>1.0</v>
      </c>
      <c r="W425" s="50">
        <v>0.0</v>
      </c>
      <c r="X425" s="50">
        <v>0.0</v>
      </c>
      <c r="Y425" s="50">
        <v>1.0</v>
      </c>
      <c r="Z425" s="116"/>
      <c r="AA425" s="116"/>
      <c r="AB425" s="116"/>
      <c r="AC425" s="116"/>
      <c r="AD425" s="116"/>
      <c r="AE425" s="116"/>
      <c r="AF425" s="116"/>
      <c r="AG425" s="116"/>
      <c r="AH425" s="116"/>
      <c r="AI425" s="116"/>
      <c r="AJ425" s="116"/>
      <c r="AK425" s="116"/>
      <c r="AL425" s="116"/>
      <c r="AM425" s="116"/>
      <c r="AN425" s="116"/>
      <c r="AO425" s="116"/>
      <c r="AP425" s="116"/>
      <c r="AQ425" s="50" t="s">
        <v>7955</v>
      </c>
      <c r="AR425" s="50" t="s">
        <v>2327</v>
      </c>
      <c r="AS425" s="116"/>
      <c r="AT425" s="50" t="s">
        <v>5540</v>
      </c>
      <c r="AU425" s="117">
        <v>5995.0</v>
      </c>
      <c r="AV425" s="50" t="s">
        <v>7958</v>
      </c>
      <c r="AW425" s="50" t="s">
        <v>7959</v>
      </c>
      <c r="AX425" s="117">
        <v>424.0</v>
      </c>
    </row>
    <row r="426">
      <c r="A426" s="50" t="s">
        <v>7960</v>
      </c>
      <c r="B426" s="50" t="s">
        <v>7961</v>
      </c>
      <c r="C426" s="116"/>
      <c r="D426" s="116"/>
      <c r="E426" s="50">
        <v>3.52155090281144E14</v>
      </c>
      <c r="F426" s="50">
        <v>59.0</v>
      </c>
      <c r="G426" s="50">
        <v>11.0</v>
      </c>
      <c r="H426" s="50">
        <v>4.0</v>
      </c>
      <c r="I426" s="50">
        <v>1.0</v>
      </c>
      <c r="J426" s="50" t="s">
        <v>7619</v>
      </c>
      <c r="K426" s="116"/>
      <c r="L426" s="50" t="s">
        <v>1764</v>
      </c>
      <c r="M426" s="50" t="s">
        <v>1764</v>
      </c>
      <c r="N426" s="116"/>
      <c r="O426" s="116"/>
      <c r="P426" s="50" t="s">
        <v>7963</v>
      </c>
      <c r="Q426" s="50" t="s">
        <v>7964</v>
      </c>
      <c r="R426" s="50">
        <v>22.5411241</v>
      </c>
      <c r="S426" s="50">
        <v>88.3743372</v>
      </c>
      <c r="T426" s="50">
        <v>-54.9000015258789</v>
      </c>
      <c r="U426" s="50">
        <v>5.0</v>
      </c>
      <c r="V426" s="50">
        <v>1.0</v>
      </c>
      <c r="W426" s="50">
        <v>0.0</v>
      </c>
      <c r="X426" s="50">
        <v>0.0</v>
      </c>
      <c r="Y426" s="50">
        <v>1.0</v>
      </c>
      <c r="Z426" s="116"/>
      <c r="AA426" s="50">
        <v>2.0</v>
      </c>
      <c r="AB426" s="50">
        <v>4.0</v>
      </c>
      <c r="AC426" s="116"/>
      <c r="AD426" s="116"/>
      <c r="AE426" s="116"/>
      <c r="AF426" s="116"/>
      <c r="AG426" s="116"/>
      <c r="AH426" s="116"/>
      <c r="AI426" s="116"/>
      <c r="AJ426" s="116"/>
      <c r="AK426" s="116"/>
      <c r="AL426" s="116"/>
      <c r="AM426" s="116"/>
      <c r="AN426" s="116"/>
      <c r="AO426" s="116"/>
      <c r="AP426" s="116"/>
      <c r="AQ426" s="50" t="s">
        <v>3149</v>
      </c>
      <c r="AR426" s="50" t="s">
        <v>2472</v>
      </c>
      <c r="AS426" s="50">
        <v>1.0</v>
      </c>
      <c r="AT426" s="50" t="s">
        <v>5540</v>
      </c>
      <c r="AU426" s="117">
        <v>5996.0</v>
      </c>
      <c r="AV426" s="50" t="s">
        <v>7970</v>
      </c>
      <c r="AW426" s="50" t="s">
        <v>7971</v>
      </c>
      <c r="AX426" s="117">
        <v>425.0</v>
      </c>
    </row>
    <row r="427">
      <c r="A427" s="50" t="s">
        <v>7972</v>
      </c>
      <c r="B427" s="50" t="s">
        <v>7973</v>
      </c>
      <c r="C427" s="116"/>
      <c r="D427" s="116"/>
      <c r="E427" s="50">
        <v>3.52155090281144E14</v>
      </c>
      <c r="F427" s="50">
        <v>59.0</v>
      </c>
      <c r="G427" s="50">
        <v>99.0</v>
      </c>
      <c r="H427" s="116"/>
      <c r="I427" s="116"/>
      <c r="J427" s="116"/>
      <c r="K427" s="50">
        <v>2.0</v>
      </c>
      <c r="L427" s="50" t="s">
        <v>1765</v>
      </c>
      <c r="M427" s="50" t="s">
        <v>1765</v>
      </c>
      <c r="N427" s="116"/>
      <c r="O427" s="116"/>
      <c r="P427" s="50" t="s">
        <v>7974</v>
      </c>
      <c r="Q427" s="50" t="s">
        <v>7975</v>
      </c>
      <c r="R427" s="50">
        <v>22.5411325</v>
      </c>
      <c r="S427" s="50">
        <v>88.3743485</v>
      </c>
      <c r="T427" s="50">
        <v>-54.5</v>
      </c>
      <c r="U427" s="50">
        <v>5.0</v>
      </c>
      <c r="V427" s="50">
        <v>1.0</v>
      </c>
      <c r="W427" s="50">
        <v>0.0</v>
      </c>
      <c r="X427" s="50">
        <v>0.0</v>
      </c>
      <c r="Y427" s="50">
        <v>1.0</v>
      </c>
      <c r="Z427" s="116"/>
      <c r="AA427" s="116"/>
      <c r="AB427" s="116"/>
      <c r="AC427" s="116"/>
      <c r="AD427" s="116"/>
      <c r="AE427" s="116"/>
      <c r="AF427" s="116"/>
      <c r="AG427" s="116"/>
      <c r="AH427" s="116"/>
      <c r="AI427" s="116"/>
      <c r="AJ427" s="116"/>
      <c r="AK427" s="116"/>
      <c r="AL427" s="116"/>
      <c r="AM427" s="116"/>
      <c r="AN427" s="116"/>
      <c r="AO427" s="116"/>
      <c r="AP427" s="116"/>
      <c r="AQ427" s="50" t="s">
        <v>7980</v>
      </c>
      <c r="AR427" s="50" t="s">
        <v>2472</v>
      </c>
      <c r="AS427" s="116"/>
      <c r="AT427" s="50" t="s">
        <v>5540</v>
      </c>
      <c r="AU427" s="117">
        <v>5997.0</v>
      </c>
      <c r="AV427" s="50" t="s">
        <v>7981</v>
      </c>
      <c r="AW427" s="50" t="s">
        <v>7982</v>
      </c>
      <c r="AX427" s="117">
        <v>426.0</v>
      </c>
    </row>
    <row r="428">
      <c r="A428" s="50" t="s">
        <v>7984</v>
      </c>
      <c r="B428" s="50" t="s">
        <v>7985</v>
      </c>
      <c r="C428" s="116"/>
      <c r="D428" s="116"/>
      <c r="E428" s="50">
        <v>3.52155090281144E14</v>
      </c>
      <c r="F428" s="50">
        <v>59.0</v>
      </c>
      <c r="G428" s="50">
        <v>11.0</v>
      </c>
      <c r="H428" s="50">
        <v>4.0</v>
      </c>
      <c r="I428" s="50">
        <v>1.0</v>
      </c>
      <c r="J428" s="50" t="s">
        <v>7732</v>
      </c>
      <c r="K428" s="116"/>
      <c r="L428" s="50" t="s">
        <v>1775</v>
      </c>
      <c r="M428" s="50" t="s">
        <v>1775</v>
      </c>
      <c r="N428" s="116"/>
      <c r="O428" s="116"/>
      <c r="P428" s="50" t="s">
        <v>7987</v>
      </c>
      <c r="Q428" s="50" t="s">
        <v>7989</v>
      </c>
      <c r="R428" s="50">
        <v>22.5401824</v>
      </c>
      <c r="S428" s="50">
        <v>88.3766289</v>
      </c>
      <c r="T428" s="50">
        <v>-67.3000030517578</v>
      </c>
      <c r="U428" s="50">
        <v>5.0</v>
      </c>
      <c r="V428" s="50">
        <v>1.0</v>
      </c>
      <c r="W428" s="50">
        <v>0.0</v>
      </c>
      <c r="X428" s="50">
        <v>0.0</v>
      </c>
      <c r="Y428" s="50">
        <v>1.0</v>
      </c>
      <c r="Z428" s="116"/>
      <c r="AA428" s="50">
        <v>2.0</v>
      </c>
      <c r="AB428" s="50">
        <v>4.0</v>
      </c>
      <c r="AC428" s="116"/>
      <c r="AD428" s="116"/>
      <c r="AE428" s="116"/>
      <c r="AF428" s="116"/>
      <c r="AG428" s="116"/>
      <c r="AH428" s="116"/>
      <c r="AI428" s="116"/>
      <c r="AJ428" s="116"/>
      <c r="AK428" s="116"/>
      <c r="AL428" s="116"/>
      <c r="AM428" s="116"/>
      <c r="AN428" s="116"/>
      <c r="AO428" s="116"/>
      <c r="AP428" s="116"/>
      <c r="AQ428" s="50" t="s">
        <v>2949</v>
      </c>
      <c r="AR428" s="50" t="s">
        <v>2302</v>
      </c>
      <c r="AS428" s="50">
        <v>1.0</v>
      </c>
      <c r="AT428" s="50" t="s">
        <v>5540</v>
      </c>
      <c r="AU428" s="117">
        <v>6006.0</v>
      </c>
      <c r="AV428" s="50" t="s">
        <v>7993</v>
      </c>
      <c r="AW428" s="50" t="s">
        <v>7995</v>
      </c>
      <c r="AX428" s="117">
        <v>427.0</v>
      </c>
    </row>
    <row r="429">
      <c r="A429" s="50" t="s">
        <v>7996</v>
      </c>
      <c r="B429" s="50" t="s">
        <v>7998</v>
      </c>
      <c r="C429" s="116"/>
      <c r="D429" s="116"/>
      <c r="E429" s="50">
        <v>3.52155090281144E14</v>
      </c>
      <c r="F429" s="50">
        <v>59.0</v>
      </c>
      <c r="G429" s="50">
        <v>99.0</v>
      </c>
      <c r="H429" s="116"/>
      <c r="I429" s="116"/>
      <c r="J429" s="116"/>
      <c r="K429" s="50">
        <v>2.0</v>
      </c>
      <c r="L429" s="50" t="s">
        <v>1776</v>
      </c>
      <c r="M429" s="50" t="s">
        <v>1776</v>
      </c>
      <c r="N429" s="116"/>
      <c r="O429" s="116"/>
      <c r="P429" s="50" t="s">
        <v>8000</v>
      </c>
      <c r="Q429" s="50" t="s">
        <v>8001</v>
      </c>
      <c r="R429" s="50">
        <v>22.5402384</v>
      </c>
      <c r="S429" s="50">
        <v>88.3765722</v>
      </c>
      <c r="T429" s="50">
        <v>-80.6999969482421</v>
      </c>
      <c r="U429" s="50">
        <v>5.0</v>
      </c>
      <c r="V429" s="50">
        <v>1.0</v>
      </c>
      <c r="W429" s="50">
        <v>0.0</v>
      </c>
      <c r="X429" s="50">
        <v>0.0</v>
      </c>
      <c r="Y429" s="50">
        <v>1.0</v>
      </c>
      <c r="Z429" s="116"/>
      <c r="AA429" s="116"/>
      <c r="AB429" s="116"/>
      <c r="AC429" s="116"/>
      <c r="AD429" s="116"/>
      <c r="AE429" s="116"/>
      <c r="AF429" s="116"/>
      <c r="AG429" s="116"/>
      <c r="AH429" s="116"/>
      <c r="AI429" s="116"/>
      <c r="AJ429" s="116"/>
      <c r="AK429" s="116"/>
      <c r="AL429" s="116"/>
      <c r="AM429" s="116"/>
      <c r="AN429" s="116"/>
      <c r="AO429" s="116"/>
      <c r="AP429" s="116"/>
      <c r="AQ429" s="50" t="s">
        <v>8005</v>
      </c>
      <c r="AR429" s="50" t="s">
        <v>2302</v>
      </c>
      <c r="AS429" s="116"/>
      <c r="AT429" s="50" t="s">
        <v>5540</v>
      </c>
      <c r="AU429" s="117">
        <v>6007.0</v>
      </c>
      <c r="AV429" s="50" t="s">
        <v>8006</v>
      </c>
      <c r="AW429" s="50" t="s">
        <v>8007</v>
      </c>
      <c r="AX429" s="117">
        <v>428.0</v>
      </c>
    </row>
    <row r="430">
      <c r="A430" s="50" t="s">
        <v>8008</v>
      </c>
      <c r="B430" s="50" t="s">
        <v>8009</v>
      </c>
      <c r="C430" s="116"/>
      <c r="D430" s="116"/>
      <c r="E430" s="50">
        <v>3.52155090281144E14</v>
      </c>
      <c r="F430" s="50">
        <v>59.0</v>
      </c>
      <c r="G430" s="50">
        <v>11.0</v>
      </c>
      <c r="H430" s="50">
        <v>4.0</v>
      </c>
      <c r="I430" s="50">
        <v>1.0</v>
      </c>
      <c r="J430" s="50" t="s">
        <v>6886</v>
      </c>
      <c r="K430" s="116"/>
      <c r="L430" s="50" t="s">
        <v>1769</v>
      </c>
      <c r="M430" s="50" t="s">
        <v>1769</v>
      </c>
      <c r="N430" s="116"/>
      <c r="O430" s="116"/>
      <c r="P430" s="50" t="s">
        <v>8012</v>
      </c>
      <c r="Q430" s="50" t="s">
        <v>8013</v>
      </c>
      <c r="R430" s="50">
        <v>22.5404939</v>
      </c>
      <c r="S430" s="50">
        <v>88.3753108</v>
      </c>
      <c r="T430" s="50">
        <v>-45.4000015258789</v>
      </c>
      <c r="U430" s="50">
        <v>5.0</v>
      </c>
      <c r="V430" s="50">
        <v>1.0</v>
      </c>
      <c r="W430" s="50">
        <v>0.0</v>
      </c>
      <c r="X430" s="50">
        <v>0.0</v>
      </c>
      <c r="Y430" s="50">
        <v>1.0</v>
      </c>
      <c r="Z430" s="116"/>
      <c r="AA430" s="50">
        <v>2.0</v>
      </c>
      <c r="AB430" s="50">
        <v>4.0</v>
      </c>
      <c r="AC430" s="116"/>
      <c r="AD430" s="116"/>
      <c r="AE430" s="116"/>
      <c r="AF430" s="116"/>
      <c r="AG430" s="116"/>
      <c r="AH430" s="116"/>
      <c r="AI430" s="116"/>
      <c r="AJ430" s="116"/>
      <c r="AK430" s="116"/>
      <c r="AL430" s="116"/>
      <c r="AM430" s="116"/>
      <c r="AN430" s="116"/>
      <c r="AO430" s="116"/>
      <c r="AP430" s="116"/>
      <c r="AQ430" s="50" t="s">
        <v>3149</v>
      </c>
      <c r="AR430" s="50" t="s">
        <v>2472</v>
      </c>
      <c r="AS430" s="50">
        <v>1.0</v>
      </c>
      <c r="AT430" s="50" t="s">
        <v>5540</v>
      </c>
      <c r="AU430" s="117">
        <v>6008.0</v>
      </c>
      <c r="AV430" s="50" t="s">
        <v>8019</v>
      </c>
      <c r="AW430" s="50" t="s">
        <v>8020</v>
      </c>
      <c r="AX430" s="117">
        <v>429.0</v>
      </c>
    </row>
    <row r="431">
      <c r="A431" s="50" t="s">
        <v>8021</v>
      </c>
      <c r="B431" s="50" t="s">
        <v>8022</v>
      </c>
      <c r="C431" s="116"/>
      <c r="D431" s="116"/>
      <c r="E431" s="50">
        <v>3.52155090281144E14</v>
      </c>
      <c r="F431" s="50">
        <v>59.0</v>
      </c>
      <c r="G431" s="50">
        <v>99.0</v>
      </c>
      <c r="H431" s="116"/>
      <c r="I431" s="116"/>
      <c r="J431" s="116"/>
      <c r="K431" s="50">
        <v>2.0</v>
      </c>
      <c r="L431" s="50" t="s">
        <v>1770</v>
      </c>
      <c r="M431" s="50" t="s">
        <v>1770</v>
      </c>
      <c r="N431" s="116"/>
      <c r="O431" s="116"/>
      <c r="P431" s="50" t="s">
        <v>8023</v>
      </c>
      <c r="Q431" s="50" t="s">
        <v>8024</v>
      </c>
      <c r="R431" s="50">
        <v>22.5404879</v>
      </c>
      <c r="S431" s="50">
        <v>88.3752798</v>
      </c>
      <c r="T431" s="50">
        <v>-69.0999984741211</v>
      </c>
      <c r="U431" s="50">
        <v>5.0</v>
      </c>
      <c r="V431" s="50">
        <v>1.0</v>
      </c>
      <c r="W431" s="50">
        <v>0.0</v>
      </c>
      <c r="X431" s="50">
        <v>0.0</v>
      </c>
      <c r="Y431" s="50">
        <v>1.0</v>
      </c>
      <c r="Z431" s="116"/>
      <c r="AA431" s="116"/>
      <c r="AB431" s="116"/>
      <c r="AC431" s="116"/>
      <c r="AD431" s="116"/>
      <c r="AE431" s="116"/>
      <c r="AF431" s="116"/>
      <c r="AG431" s="116"/>
      <c r="AH431" s="116"/>
      <c r="AI431" s="116"/>
      <c r="AJ431" s="116"/>
      <c r="AK431" s="116"/>
      <c r="AL431" s="116"/>
      <c r="AM431" s="116"/>
      <c r="AN431" s="116"/>
      <c r="AO431" s="116"/>
      <c r="AP431" s="116"/>
      <c r="AQ431" s="50" t="s">
        <v>8027</v>
      </c>
      <c r="AR431" s="50" t="s">
        <v>2472</v>
      </c>
      <c r="AS431" s="116"/>
      <c r="AT431" s="50" t="s">
        <v>5540</v>
      </c>
      <c r="AU431" s="117">
        <v>6009.0</v>
      </c>
      <c r="AV431" s="50" t="s">
        <v>8028</v>
      </c>
      <c r="AW431" s="50" t="s">
        <v>8029</v>
      </c>
      <c r="AX431" s="117">
        <v>430.0</v>
      </c>
    </row>
    <row r="432">
      <c r="A432" s="50" t="s">
        <v>8031</v>
      </c>
      <c r="B432" s="50" t="s">
        <v>8032</v>
      </c>
      <c r="C432" s="116"/>
      <c r="D432" s="116"/>
      <c r="E432" s="50">
        <v>3.52155090281144E14</v>
      </c>
      <c r="F432" s="50">
        <v>59.0</v>
      </c>
      <c r="G432" s="50">
        <v>11.0</v>
      </c>
      <c r="H432" s="50">
        <v>4.0</v>
      </c>
      <c r="I432" s="50">
        <v>1.0</v>
      </c>
      <c r="J432" s="50" t="s">
        <v>7708</v>
      </c>
      <c r="K432" s="116"/>
      <c r="L432" s="50" t="s">
        <v>1772</v>
      </c>
      <c r="M432" s="50" t="s">
        <v>1772</v>
      </c>
      <c r="N432" s="116"/>
      <c r="O432" s="116"/>
      <c r="P432" s="50" t="s">
        <v>8033</v>
      </c>
      <c r="Q432" s="50" t="s">
        <v>8034</v>
      </c>
      <c r="R432" s="50">
        <v>22.5403512</v>
      </c>
      <c r="S432" s="50">
        <v>88.3751865</v>
      </c>
      <c r="T432" s="50">
        <v>-36.7000007629394</v>
      </c>
      <c r="U432" s="50">
        <v>5.0</v>
      </c>
      <c r="V432" s="50">
        <v>1.0</v>
      </c>
      <c r="W432" s="50">
        <v>0.0</v>
      </c>
      <c r="X432" s="50">
        <v>0.0</v>
      </c>
      <c r="Y432" s="50">
        <v>1.0</v>
      </c>
      <c r="Z432" s="116"/>
      <c r="AA432" s="50">
        <v>2.0</v>
      </c>
      <c r="AB432" s="50">
        <v>4.0</v>
      </c>
      <c r="AC432" s="116"/>
      <c r="AD432" s="116"/>
      <c r="AE432" s="116"/>
      <c r="AF432" s="116"/>
      <c r="AG432" s="116"/>
      <c r="AH432" s="116"/>
      <c r="AI432" s="116"/>
      <c r="AJ432" s="116"/>
      <c r="AK432" s="116"/>
      <c r="AL432" s="116"/>
      <c r="AM432" s="116"/>
      <c r="AN432" s="116"/>
      <c r="AO432" s="116"/>
      <c r="AP432" s="116"/>
      <c r="AQ432" s="50" t="s">
        <v>3200</v>
      </c>
      <c r="AR432" s="50" t="s">
        <v>2327</v>
      </c>
      <c r="AS432" s="50">
        <v>1.0</v>
      </c>
      <c r="AT432" s="50" t="s">
        <v>5540</v>
      </c>
      <c r="AU432" s="117">
        <v>6010.0</v>
      </c>
      <c r="AV432" s="50" t="s">
        <v>8038</v>
      </c>
      <c r="AW432" s="50" t="s">
        <v>8039</v>
      </c>
      <c r="AX432" s="117">
        <v>431.0</v>
      </c>
    </row>
    <row r="433">
      <c r="A433" s="50" t="s">
        <v>8040</v>
      </c>
      <c r="B433" s="50" t="s">
        <v>8041</v>
      </c>
      <c r="C433" s="116"/>
      <c r="D433" s="116"/>
      <c r="E433" s="50">
        <v>3.52155090281144E14</v>
      </c>
      <c r="F433" s="50">
        <v>59.0</v>
      </c>
      <c r="G433" s="50">
        <v>99.0</v>
      </c>
      <c r="H433" s="116"/>
      <c r="I433" s="116"/>
      <c r="J433" s="116"/>
      <c r="K433" s="50">
        <v>2.0</v>
      </c>
      <c r="L433" s="50" t="s">
        <v>1773</v>
      </c>
      <c r="M433" s="50" t="s">
        <v>1773</v>
      </c>
      <c r="N433" s="116"/>
      <c r="O433" s="116"/>
      <c r="P433" s="50" t="s">
        <v>8044</v>
      </c>
      <c r="Q433" s="50" t="s">
        <v>8046</v>
      </c>
      <c r="R433" s="50">
        <v>22.5402418</v>
      </c>
      <c r="S433" s="50">
        <v>88.3752263</v>
      </c>
      <c r="T433" s="50">
        <v>7.19999980926513</v>
      </c>
      <c r="U433" s="50">
        <v>5.0</v>
      </c>
      <c r="V433" s="50">
        <v>1.0</v>
      </c>
      <c r="W433" s="50">
        <v>0.0</v>
      </c>
      <c r="X433" s="50">
        <v>0.0</v>
      </c>
      <c r="Y433" s="50">
        <v>1.0</v>
      </c>
      <c r="Z433" s="116"/>
      <c r="AA433" s="116"/>
      <c r="AB433" s="116"/>
      <c r="AC433" s="116"/>
      <c r="AD433" s="116"/>
      <c r="AE433" s="116"/>
      <c r="AF433" s="116"/>
      <c r="AG433" s="116"/>
      <c r="AH433" s="116"/>
      <c r="AI433" s="116"/>
      <c r="AJ433" s="116"/>
      <c r="AK433" s="116"/>
      <c r="AL433" s="116"/>
      <c r="AM433" s="116"/>
      <c r="AN433" s="116"/>
      <c r="AO433" s="116"/>
      <c r="AP433" s="116"/>
      <c r="AQ433" s="50" t="s">
        <v>8050</v>
      </c>
      <c r="AR433" s="50" t="s">
        <v>2327</v>
      </c>
      <c r="AS433" s="116"/>
      <c r="AT433" s="50" t="s">
        <v>5540</v>
      </c>
      <c r="AU433" s="117">
        <v>6011.0</v>
      </c>
      <c r="AV433" s="50" t="s">
        <v>8053</v>
      </c>
      <c r="AW433" s="50" t="s">
        <v>8054</v>
      </c>
      <c r="AX433" s="117">
        <v>432.0</v>
      </c>
    </row>
    <row r="434">
      <c r="A434" s="50" t="s">
        <v>8055</v>
      </c>
      <c r="B434" s="50" t="s">
        <v>8056</v>
      </c>
      <c r="C434" s="116"/>
      <c r="D434" s="116"/>
      <c r="E434" s="50">
        <v>3.52155090281144E14</v>
      </c>
      <c r="F434" s="50">
        <v>59.0</v>
      </c>
      <c r="G434" s="50">
        <v>11.0</v>
      </c>
      <c r="H434" s="50">
        <v>4.0</v>
      </c>
      <c r="I434" s="50">
        <v>1.0</v>
      </c>
      <c r="J434" s="50" t="s">
        <v>8058</v>
      </c>
      <c r="K434" s="116"/>
      <c r="L434" s="50" t="s">
        <v>1778</v>
      </c>
      <c r="M434" s="50" t="s">
        <v>1778</v>
      </c>
      <c r="N434" s="116"/>
      <c r="O434" s="116"/>
      <c r="P434" s="50" t="s">
        <v>8060</v>
      </c>
      <c r="Q434" s="50" t="s">
        <v>8062</v>
      </c>
      <c r="R434" s="50">
        <v>22.5451529</v>
      </c>
      <c r="S434" s="50">
        <v>88.3833641</v>
      </c>
      <c r="T434" s="50">
        <v>-62.7000007629394</v>
      </c>
      <c r="U434" s="50">
        <v>5.0</v>
      </c>
      <c r="V434" s="50">
        <v>1.0</v>
      </c>
      <c r="W434" s="50">
        <v>0.0</v>
      </c>
      <c r="X434" s="50">
        <v>0.0</v>
      </c>
      <c r="Y434" s="50">
        <v>1.0</v>
      </c>
      <c r="Z434" s="116"/>
      <c r="AA434" s="50">
        <v>2.0</v>
      </c>
      <c r="AB434" s="50">
        <v>4.0</v>
      </c>
      <c r="AC434" s="116"/>
      <c r="AD434" s="116"/>
      <c r="AE434" s="116"/>
      <c r="AF434" s="116"/>
      <c r="AG434" s="116"/>
      <c r="AH434" s="116"/>
      <c r="AI434" s="116"/>
      <c r="AJ434" s="116"/>
      <c r="AK434" s="116"/>
      <c r="AL434" s="116"/>
      <c r="AM434" s="116"/>
      <c r="AN434" s="116"/>
      <c r="AO434" s="116"/>
      <c r="AP434" s="116"/>
      <c r="AQ434" s="50" t="s">
        <v>3149</v>
      </c>
      <c r="AR434" s="50" t="s">
        <v>2472</v>
      </c>
      <c r="AS434" s="50">
        <v>1.0</v>
      </c>
      <c r="AT434" s="50" t="s">
        <v>5540</v>
      </c>
      <c r="AU434" s="117">
        <v>6012.0</v>
      </c>
      <c r="AV434" s="50" t="s">
        <v>8067</v>
      </c>
      <c r="AW434" s="50" t="s">
        <v>8068</v>
      </c>
      <c r="AX434" s="117">
        <v>433.0</v>
      </c>
    </row>
    <row r="435">
      <c r="A435" s="50" t="s">
        <v>8070</v>
      </c>
      <c r="B435" s="50" t="s">
        <v>8072</v>
      </c>
      <c r="C435" s="116"/>
      <c r="D435" s="116"/>
      <c r="E435" s="50">
        <v>3.52155090281144E14</v>
      </c>
      <c r="F435" s="50">
        <v>59.0</v>
      </c>
      <c r="G435" s="50">
        <v>99.0</v>
      </c>
      <c r="H435" s="116"/>
      <c r="I435" s="116"/>
      <c r="J435" s="116"/>
      <c r="K435" s="50">
        <v>2.0</v>
      </c>
      <c r="L435" s="50" t="s">
        <v>1779</v>
      </c>
      <c r="M435" s="50" t="s">
        <v>1779</v>
      </c>
      <c r="N435" s="116"/>
      <c r="O435" s="116"/>
      <c r="P435" s="50" t="s">
        <v>8076</v>
      </c>
      <c r="Q435" s="50" t="s">
        <v>8077</v>
      </c>
      <c r="R435" s="50">
        <v>22.5451178</v>
      </c>
      <c r="S435" s="50">
        <v>88.3834455</v>
      </c>
      <c r="T435" s="50">
        <v>-61.2000007629394</v>
      </c>
      <c r="U435" s="50">
        <v>5.0</v>
      </c>
      <c r="V435" s="50">
        <v>1.0</v>
      </c>
      <c r="W435" s="50">
        <v>0.0</v>
      </c>
      <c r="X435" s="50">
        <v>0.0</v>
      </c>
      <c r="Y435" s="50">
        <v>1.0</v>
      </c>
      <c r="Z435" s="116"/>
      <c r="AA435" s="116"/>
      <c r="AB435" s="116"/>
      <c r="AC435" s="116"/>
      <c r="AD435" s="116"/>
      <c r="AE435" s="116"/>
      <c r="AF435" s="116"/>
      <c r="AG435" s="116"/>
      <c r="AH435" s="116"/>
      <c r="AI435" s="116"/>
      <c r="AJ435" s="116"/>
      <c r="AK435" s="116"/>
      <c r="AL435" s="116"/>
      <c r="AM435" s="116"/>
      <c r="AN435" s="116"/>
      <c r="AO435" s="116"/>
      <c r="AP435" s="116"/>
      <c r="AQ435" s="50" t="s">
        <v>8080</v>
      </c>
      <c r="AR435" s="50" t="s">
        <v>2472</v>
      </c>
      <c r="AS435" s="116"/>
      <c r="AT435" s="50" t="s">
        <v>5540</v>
      </c>
      <c r="AU435" s="117">
        <v>6013.0</v>
      </c>
      <c r="AV435" s="50" t="s">
        <v>8083</v>
      </c>
      <c r="AW435" s="50" t="s">
        <v>8084</v>
      </c>
      <c r="AX435" s="117">
        <v>434.0</v>
      </c>
    </row>
    <row r="436">
      <c r="A436" s="50" t="s">
        <v>8085</v>
      </c>
      <c r="B436" s="50" t="s">
        <v>8087</v>
      </c>
      <c r="C436" s="116"/>
      <c r="D436" s="116"/>
      <c r="E436" s="50">
        <v>3.52155090281144E14</v>
      </c>
      <c r="F436" s="50">
        <v>58.0</v>
      </c>
      <c r="G436" s="50">
        <v>11.0</v>
      </c>
      <c r="H436" s="50">
        <v>4.0</v>
      </c>
      <c r="I436" s="50">
        <v>1.0</v>
      </c>
      <c r="J436" s="50" t="s">
        <v>7872</v>
      </c>
      <c r="K436" s="116"/>
      <c r="L436" s="50" t="s">
        <v>1783</v>
      </c>
      <c r="M436" s="50" t="s">
        <v>1783</v>
      </c>
      <c r="N436" s="116"/>
      <c r="O436" s="116"/>
      <c r="P436" s="50" t="s">
        <v>8088</v>
      </c>
      <c r="Q436" s="50" t="s">
        <v>8089</v>
      </c>
      <c r="R436" s="50">
        <v>22.5534724</v>
      </c>
      <c r="S436" s="50">
        <v>88.3855818</v>
      </c>
      <c r="T436" s="50">
        <v>-28.5</v>
      </c>
      <c r="U436" s="50">
        <v>5.0</v>
      </c>
      <c r="V436" s="50">
        <v>1.0</v>
      </c>
      <c r="W436" s="50">
        <v>0.0</v>
      </c>
      <c r="X436" s="50">
        <v>0.0</v>
      </c>
      <c r="Y436" s="50">
        <v>0.0</v>
      </c>
      <c r="Z436" s="116"/>
      <c r="AA436" s="50">
        <v>2.0</v>
      </c>
      <c r="AB436" s="50">
        <v>4.0</v>
      </c>
      <c r="AC436" s="116"/>
      <c r="AD436" s="116"/>
      <c r="AE436" s="116"/>
      <c r="AF436" s="116"/>
      <c r="AG436" s="116"/>
      <c r="AH436" s="116"/>
      <c r="AI436" s="116"/>
      <c r="AJ436" s="116"/>
      <c r="AK436" s="116"/>
      <c r="AL436" s="116"/>
      <c r="AM436" s="116"/>
      <c r="AN436" s="116"/>
      <c r="AO436" s="116"/>
      <c r="AP436" s="116"/>
      <c r="AQ436" s="50" t="s">
        <v>3200</v>
      </c>
      <c r="AR436" s="50" t="s">
        <v>2327</v>
      </c>
      <c r="AS436" s="50">
        <v>1.0</v>
      </c>
      <c r="AT436" s="50" t="s">
        <v>5540</v>
      </c>
      <c r="AU436" s="117">
        <v>6068.0</v>
      </c>
      <c r="AV436" s="50" t="s">
        <v>8094</v>
      </c>
      <c r="AW436" s="50" t="s">
        <v>8095</v>
      </c>
      <c r="AX436" s="117">
        <v>435.0</v>
      </c>
    </row>
    <row r="437">
      <c r="A437" s="50" t="s">
        <v>8097</v>
      </c>
      <c r="B437" s="50" t="s">
        <v>8098</v>
      </c>
      <c r="C437" s="116"/>
      <c r="D437" s="116"/>
      <c r="E437" s="50">
        <v>3.52155090281144E14</v>
      </c>
      <c r="F437" s="50">
        <v>58.0</v>
      </c>
      <c r="G437" s="50">
        <v>99.0</v>
      </c>
      <c r="H437" s="116"/>
      <c r="I437" s="116"/>
      <c r="J437" s="116"/>
      <c r="K437" s="50">
        <v>2.0</v>
      </c>
      <c r="L437" s="50" t="s">
        <v>1784</v>
      </c>
      <c r="M437" s="50" t="s">
        <v>1784</v>
      </c>
      <c r="N437" s="116"/>
      <c r="O437" s="116"/>
      <c r="P437" s="50" t="s">
        <v>8100</v>
      </c>
      <c r="Q437" s="50" t="s">
        <v>8102</v>
      </c>
      <c r="R437" s="50">
        <v>22.5534439</v>
      </c>
      <c r="S437" s="50">
        <v>88.3856869</v>
      </c>
      <c r="T437" s="50">
        <v>-92.5999984741211</v>
      </c>
      <c r="U437" s="50">
        <v>4.5</v>
      </c>
      <c r="V437" s="50">
        <v>1.0</v>
      </c>
      <c r="W437" s="50">
        <v>0.0</v>
      </c>
      <c r="X437" s="50">
        <v>0.0</v>
      </c>
      <c r="Y437" s="50">
        <v>0.0</v>
      </c>
      <c r="Z437" s="116"/>
      <c r="AA437" s="116"/>
      <c r="AB437" s="116"/>
      <c r="AC437" s="116"/>
      <c r="AD437" s="116"/>
      <c r="AE437" s="116"/>
      <c r="AF437" s="116"/>
      <c r="AG437" s="116"/>
      <c r="AH437" s="116"/>
      <c r="AI437" s="116"/>
      <c r="AJ437" s="116"/>
      <c r="AK437" s="116"/>
      <c r="AL437" s="116"/>
      <c r="AM437" s="116"/>
      <c r="AN437" s="116"/>
      <c r="AO437" s="116"/>
      <c r="AP437" s="116"/>
      <c r="AQ437" s="50" t="s">
        <v>8107</v>
      </c>
      <c r="AR437" s="50" t="s">
        <v>2327</v>
      </c>
      <c r="AS437" s="116"/>
      <c r="AT437" s="50" t="s">
        <v>5540</v>
      </c>
      <c r="AU437" s="117">
        <v>6069.0</v>
      </c>
      <c r="AV437" s="50" t="s">
        <v>8109</v>
      </c>
      <c r="AW437" s="50" t="s">
        <v>8110</v>
      </c>
      <c r="AX437" s="117">
        <v>436.0</v>
      </c>
    </row>
    <row r="438">
      <c r="A438" s="50" t="s">
        <v>8113</v>
      </c>
      <c r="B438" s="50" t="s">
        <v>8114</v>
      </c>
      <c r="C438" s="116"/>
      <c r="D438" s="116"/>
      <c r="E438" s="50">
        <v>3.52155090281144E14</v>
      </c>
      <c r="F438" s="50">
        <v>59.0</v>
      </c>
      <c r="G438" s="50">
        <v>11.0</v>
      </c>
      <c r="H438" s="50">
        <v>4.0</v>
      </c>
      <c r="I438" s="50">
        <v>1.0</v>
      </c>
      <c r="J438" s="50" t="s">
        <v>7619</v>
      </c>
      <c r="K438" s="116"/>
      <c r="L438" s="50" t="s">
        <v>1786</v>
      </c>
      <c r="M438" s="50" t="s">
        <v>1786</v>
      </c>
      <c r="N438" s="116"/>
      <c r="O438" s="116"/>
      <c r="P438" s="50" t="s">
        <v>8120</v>
      </c>
      <c r="Q438" s="50" t="s">
        <v>8121</v>
      </c>
      <c r="R438" s="50">
        <v>22.541095</v>
      </c>
      <c r="S438" s="50">
        <v>88.3743291</v>
      </c>
      <c r="T438" s="50">
        <v>-65.0999984741211</v>
      </c>
      <c r="U438" s="50">
        <v>5.0</v>
      </c>
      <c r="V438" s="50">
        <v>1.0</v>
      </c>
      <c r="W438" s="50">
        <v>0.0</v>
      </c>
      <c r="X438" s="50">
        <v>0.0</v>
      </c>
      <c r="Y438" s="50">
        <v>0.0</v>
      </c>
      <c r="Z438" s="116"/>
      <c r="AA438" s="50">
        <v>2.0</v>
      </c>
      <c r="AB438" s="50">
        <v>4.0</v>
      </c>
      <c r="AC438" s="116"/>
      <c r="AD438" s="116"/>
      <c r="AE438" s="116"/>
      <c r="AF438" s="116"/>
      <c r="AG438" s="116"/>
      <c r="AH438" s="116"/>
      <c r="AI438" s="116"/>
      <c r="AJ438" s="116"/>
      <c r="AK438" s="116"/>
      <c r="AL438" s="116"/>
      <c r="AM438" s="116"/>
      <c r="AN438" s="116"/>
      <c r="AO438" s="116"/>
      <c r="AP438" s="116"/>
      <c r="AQ438" s="50" t="s">
        <v>2979</v>
      </c>
      <c r="AR438" s="50" t="s">
        <v>2327</v>
      </c>
      <c r="AS438" s="50">
        <v>1.0</v>
      </c>
      <c r="AT438" s="50" t="s">
        <v>5540</v>
      </c>
      <c r="AU438" s="117">
        <v>6070.0</v>
      </c>
      <c r="AV438" s="50" t="s">
        <v>8131</v>
      </c>
      <c r="AW438" s="50" t="s">
        <v>8132</v>
      </c>
      <c r="AX438" s="117">
        <v>437.0</v>
      </c>
    </row>
    <row r="439">
      <c r="A439" s="50" t="s">
        <v>8134</v>
      </c>
      <c r="B439" s="50" t="s">
        <v>8135</v>
      </c>
      <c r="C439" s="116"/>
      <c r="D439" s="116"/>
      <c r="E439" s="50">
        <v>3.52155090281144E14</v>
      </c>
      <c r="F439" s="50">
        <v>59.0</v>
      </c>
      <c r="G439" s="50">
        <v>99.0</v>
      </c>
      <c r="H439" s="116"/>
      <c r="I439" s="116"/>
      <c r="J439" s="116"/>
      <c r="K439" s="50">
        <v>2.0</v>
      </c>
      <c r="L439" s="50" t="s">
        <v>1787</v>
      </c>
      <c r="M439" s="50" t="s">
        <v>1787</v>
      </c>
      <c r="N439" s="116"/>
      <c r="O439" s="116"/>
      <c r="P439" s="50" t="s">
        <v>8140</v>
      </c>
      <c r="Q439" s="50" t="s">
        <v>8142</v>
      </c>
      <c r="R439" s="50">
        <v>22.541127</v>
      </c>
      <c r="S439" s="50">
        <v>88.3741885</v>
      </c>
      <c r="T439" s="50">
        <v>-62.4000015258789</v>
      </c>
      <c r="U439" s="50">
        <v>5.0</v>
      </c>
      <c r="V439" s="50">
        <v>1.0</v>
      </c>
      <c r="W439" s="50">
        <v>0.0</v>
      </c>
      <c r="X439" s="50">
        <v>0.0</v>
      </c>
      <c r="Y439" s="50">
        <v>0.0</v>
      </c>
      <c r="Z439" s="116"/>
      <c r="AA439" s="116"/>
      <c r="AB439" s="116"/>
      <c r="AC439" s="116"/>
      <c r="AD439" s="116"/>
      <c r="AE439" s="116"/>
      <c r="AF439" s="116"/>
      <c r="AG439" s="116"/>
      <c r="AH439" s="116"/>
      <c r="AI439" s="116"/>
      <c r="AJ439" s="116"/>
      <c r="AK439" s="116"/>
      <c r="AL439" s="116"/>
      <c r="AM439" s="116"/>
      <c r="AN439" s="116"/>
      <c r="AO439" s="116"/>
      <c r="AP439" s="116"/>
      <c r="AQ439" s="50" t="s">
        <v>2979</v>
      </c>
      <c r="AR439" s="50" t="s">
        <v>2327</v>
      </c>
      <c r="AS439" s="116"/>
      <c r="AT439" s="50" t="s">
        <v>5540</v>
      </c>
      <c r="AU439" s="117">
        <v>6071.0</v>
      </c>
      <c r="AV439" s="50" t="s">
        <v>8148</v>
      </c>
      <c r="AW439" s="50" t="s">
        <v>8149</v>
      </c>
      <c r="AX439" s="117">
        <v>438.0</v>
      </c>
    </row>
    <row r="440">
      <c r="A440" s="50" t="s">
        <v>8150</v>
      </c>
      <c r="B440" s="50" t="s">
        <v>8151</v>
      </c>
      <c r="C440" s="116"/>
      <c r="D440" s="116"/>
      <c r="E440" s="50">
        <v>3.52155090281144E14</v>
      </c>
      <c r="F440" s="50">
        <v>59.0</v>
      </c>
      <c r="G440" s="50">
        <v>11.0</v>
      </c>
      <c r="H440" s="50">
        <v>4.0</v>
      </c>
      <c r="I440" s="50">
        <v>1.0</v>
      </c>
      <c r="J440" s="50" t="s">
        <v>7933</v>
      </c>
      <c r="K440" s="116"/>
      <c r="L440" s="50" t="s">
        <v>1789</v>
      </c>
      <c r="M440" s="50" t="s">
        <v>1789</v>
      </c>
      <c r="N440" s="116"/>
      <c r="O440" s="116"/>
      <c r="P440" s="50" t="s">
        <v>8155</v>
      </c>
      <c r="Q440" s="50" t="s">
        <v>8156</v>
      </c>
      <c r="R440" s="50">
        <v>22.5418196</v>
      </c>
      <c r="S440" s="50">
        <v>88.3749114</v>
      </c>
      <c r="T440" s="50">
        <v>-36.9000015258789</v>
      </c>
      <c r="U440" s="50">
        <v>5.0</v>
      </c>
      <c r="V440" s="50">
        <v>1.0</v>
      </c>
      <c r="W440" s="50">
        <v>0.0</v>
      </c>
      <c r="X440" s="50">
        <v>0.0</v>
      </c>
      <c r="Y440" s="50">
        <v>0.0</v>
      </c>
      <c r="Z440" s="116"/>
      <c r="AA440" s="50">
        <v>2.0</v>
      </c>
      <c r="AB440" s="50">
        <v>4.0</v>
      </c>
      <c r="AC440" s="116"/>
      <c r="AD440" s="116"/>
      <c r="AE440" s="116"/>
      <c r="AF440" s="116"/>
      <c r="AG440" s="116"/>
      <c r="AH440" s="116"/>
      <c r="AI440" s="116"/>
      <c r="AJ440" s="116"/>
      <c r="AK440" s="116"/>
      <c r="AL440" s="116"/>
      <c r="AM440" s="116"/>
      <c r="AN440" s="116"/>
      <c r="AO440" s="116"/>
      <c r="AP440" s="116"/>
      <c r="AQ440" s="50" t="s">
        <v>3200</v>
      </c>
      <c r="AR440" s="50" t="s">
        <v>2327</v>
      </c>
      <c r="AS440" s="50">
        <v>1.0</v>
      </c>
      <c r="AT440" s="50" t="s">
        <v>5540</v>
      </c>
      <c r="AU440" s="117">
        <v>6072.0</v>
      </c>
      <c r="AV440" s="50" t="s">
        <v>8164</v>
      </c>
      <c r="AW440" s="50" t="s">
        <v>8167</v>
      </c>
      <c r="AX440" s="117">
        <v>439.0</v>
      </c>
    </row>
    <row r="441">
      <c r="A441" s="50" t="s">
        <v>8169</v>
      </c>
      <c r="B441" s="50" t="s">
        <v>8170</v>
      </c>
      <c r="C441" s="116"/>
      <c r="D441" s="116"/>
      <c r="E441" s="50">
        <v>3.52155090281144E14</v>
      </c>
      <c r="F441" s="50">
        <v>59.0</v>
      </c>
      <c r="G441" s="50">
        <v>99.0</v>
      </c>
      <c r="H441" s="116"/>
      <c r="I441" s="116"/>
      <c r="J441" s="116"/>
      <c r="K441" s="50">
        <v>2.0</v>
      </c>
      <c r="L441" s="50" t="s">
        <v>1790</v>
      </c>
      <c r="M441" s="50" t="s">
        <v>1790</v>
      </c>
      <c r="N441" s="116"/>
      <c r="O441" s="116"/>
      <c r="P441" s="50" t="s">
        <v>8174</v>
      </c>
      <c r="Q441" s="50" t="s">
        <v>8175</v>
      </c>
      <c r="R441" s="50">
        <v>22.5417155</v>
      </c>
      <c r="S441" s="50">
        <v>88.374669</v>
      </c>
      <c r="T441" s="50">
        <v>-80.3000030517578</v>
      </c>
      <c r="U441" s="50">
        <v>5.0</v>
      </c>
      <c r="V441" s="50">
        <v>1.0</v>
      </c>
      <c r="W441" s="50">
        <v>0.0</v>
      </c>
      <c r="X441" s="50">
        <v>0.0</v>
      </c>
      <c r="Y441" s="50">
        <v>0.0</v>
      </c>
      <c r="Z441" s="116"/>
      <c r="AA441" s="116"/>
      <c r="AB441" s="116"/>
      <c r="AC441" s="116"/>
      <c r="AD441" s="116"/>
      <c r="AE441" s="116"/>
      <c r="AF441" s="116"/>
      <c r="AG441" s="116"/>
      <c r="AH441" s="116"/>
      <c r="AI441" s="116"/>
      <c r="AJ441" s="116"/>
      <c r="AK441" s="116"/>
      <c r="AL441" s="116"/>
      <c r="AM441" s="116"/>
      <c r="AN441" s="116"/>
      <c r="AO441" s="116"/>
      <c r="AP441" s="116"/>
      <c r="AQ441" s="50" t="s">
        <v>3200</v>
      </c>
      <c r="AR441" s="50" t="s">
        <v>2327</v>
      </c>
      <c r="AS441" s="116"/>
      <c r="AT441" s="50" t="s">
        <v>5540</v>
      </c>
      <c r="AU441" s="117">
        <v>6073.0</v>
      </c>
      <c r="AV441" s="50" t="s">
        <v>8179</v>
      </c>
      <c r="AW441" s="50" t="s">
        <v>8182</v>
      </c>
      <c r="AX441" s="117">
        <v>440.0</v>
      </c>
    </row>
    <row r="442">
      <c r="A442" s="50" t="s">
        <v>8183</v>
      </c>
      <c r="B442" s="50" t="s">
        <v>8184</v>
      </c>
      <c r="C442" s="116"/>
      <c r="D442" s="116"/>
      <c r="E442" s="50">
        <v>3.52155090281144E14</v>
      </c>
      <c r="F442" s="50">
        <v>59.0</v>
      </c>
      <c r="G442" s="50">
        <v>11.0</v>
      </c>
      <c r="H442" s="50">
        <v>4.0</v>
      </c>
      <c r="I442" s="50">
        <v>1.0</v>
      </c>
      <c r="J442" s="50" t="s">
        <v>7653</v>
      </c>
      <c r="K442" s="116"/>
      <c r="L442" s="50" t="s">
        <v>1792</v>
      </c>
      <c r="M442" s="50" t="s">
        <v>1792</v>
      </c>
      <c r="N442" s="116"/>
      <c r="O442" s="116"/>
      <c r="P442" s="50" t="s">
        <v>8186</v>
      </c>
      <c r="Q442" s="50" t="s">
        <v>8187</v>
      </c>
      <c r="R442" s="50">
        <v>22.5407257</v>
      </c>
      <c r="S442" s="50">
        <v>88.3762608</v>
      </c>
      <c r="T442" s="50">
        <v>-51.9000015258789</v>
      </c>
      <c r="U442" s="50">
        <v>5.0</v>
      </c>
      <c r="V442" s="50">
        <v>1.0</v>
      </c>
      <c r="W442" s="50">
        <v>0.0</v>
      </c>
      <c r="X442" s="50">
        <v>0.0</v>
      </c>
      <c r="Y442" s="50">
        <v>0.0</v>
      </c>
      <c r="Z442" s="116"/>
      <c r="AA442" s="50">
        <v>2.0</v>
      </c>
      <c r="AB442" s="50">
        <v>4.0</v>
      </c>
      <c r="AC442" s="116"/>
      <c r="AD442" s="116"/>
      <c r="AE442" s="116"/>
      <c r="AF442" s="116"/>
      <c r="AG442" s="116"/>
      <c r="AH442" s="116"/>
      <c r="AI442" s="116"/>
      <c r="AJ442" s="116"/>
      <c r="AK442" s="116"/>
      <c r="AL442" s="116"/>
      <c r="AM442" s="116"/>
      <c r="AN442" s="116"/>
      <c r="AO442" s="116"/>
      <c r="AP442" s="116"/>
      <c r="AQ442" s="50" t="s">
        <v>2979</v>
      </c>
      <c r="AR442" s="50" t="s">
        <v>2327</v>
      </c>
      <c r="AS442" s="50">
        <v>1.0</v>
      </c>
      <c r="AT442" s="50" t="s">
        <v>5540</v>
      </c>
      <c r="AU442" s="117">
        <v>6074.0</v>
      </c>
      <c r="AV442" s="50" t="s">
        <v>8193</v>
      </c>
      <c r="AW442" s="50" t="s">
        <v>8194</v>
      </c>
      <c r="AX442" s="117">
        <v>441.0</v>
      </c>
    </row>
    <row r="443">
      <c r="A443" s="50" t="s">
        <v>8195</v>
      </c>
      <c r="B443" s="50" t="s">
        <v>8197</v>
      </c>
      <c r="C443" s="116"/>
      <c r="D443" s="116"/>
      <c r="E443" s="50">
        <v>3.52155090281144E14</v>
      </c>
      <c r="F443" s="50">
        <v>59.0</v>
      </c>
      <c r="G443" s="50">
        <v>99.0</v>
      </c>
      <c r="H443" s="116"/>
      <c r="I443" s="116"/>
      <c r="J443" s="116"/>
      <c r="K443" s="50">
        <v>2.0</v>
      </c>
      <c r="L443" s="50" t="s">
        <v>1793</v>
      </c>
      <c r="M443" s="50" t="s">
        <v>1793</v>
      </c>
      <c r="N443" s="116"/>
      <c r="O443" s="116"/>
      <c r="P443" s="50" t="s">
        <v>8202</v>
      </c>
      <c r="Q443" s="50" t="s">
        <v>8203</v>
      </c>
      <c r="R443" s="50">
        <v>22.5406896</v>
      </c>
      <c r="S443" s="50">
        <v>88.3762099</v>
      </c>
      <c r="T443" s="50">
        <v>-44.599998474121</v>
      </c>
      <c r="U443" s="50">
        <v>5.0</v>
      </c>
      <c r="V443" s="50">
        <v>1.0</v>
      </c>
      <c r="W443" s="50">
        <v>0.0</v>
      </c>
      <c r="X443" s="50">
        <v>0.0</v>
      </c>
      <c r="Y443" s="50">
        <v>0.0</v>
      </c>
      <c r="Z443" s="116"/>
      <c r="AA443" s="116"/>
      <c r="AB443" s="116"/>
      <c r="AC443" s="116"/>
      <c r="AD443" s="116"/>
      <c r="AE443" s="116"/>
      <c r="AF443" s="116"/>
      <c r="AG443" s="116"/>
      <c r="AH443" s="116"/>
      <c r="AI443" s="116"/>
      <c r="AJ443" s="116"/>
      <c r="AK443" s="116"/>
      <c r="AL443" s="116"/>
      <c r="AM443" s="116"/>
      <c r="AN443" s="116"/>
      <c r="AO443" s="116"/>
      <c r="AP443" s="116"/>
      <c r="AQ443" s="50" t="s">
        <v>8208</v>
      </c>
      <c r="AR443" s="50" t="s">
        <v>2327</v>
      </c>
      <c r="AS443" s="116"/>
      <c r="AT443" s="50" t="s">
        <v>5540</v>
      </c>
      <c r="AU443" s="117">
        <v>6075.0</v>
      </c>
      <c r="AV443" s="50" t="s">
        <v>8209</v>
      </c>
      <c r="AW443" s="50" t="s">
        <v>8210</v>
      </c>
      <c r="AX443" s="117">
        <v>442.0</v>
      </c>
    </row>
    <row r="444">
      <c r="A444" s="50" t="s">
        <v>8211</v>
      </c>
      <c r="B444" s="50" t="s">
        <v>8212</v>
      </c>
      <c r="C444" s="116"/>
      <c r="D444" s="116"/>
      <c r="E444" s="50">
        <v>3.5215509147374E14</v>
      </c>
      <c r="F444" s="50">
        <v>57.0</v>
      </c>
      <c r="G444" s="50">
        <v>12.0</v>
      </c>
      <c r="H444" s="116"/>
      <c r="I444" s="116"/>
      <c r="J444" s="116"/>
      <c r="K444" s="116"/>
      <c r="L444" s="50" t="s">
        <v>1797</v>
      </c>
      <c r="M444" s="50" t="s">
        <v>1797</v>
      </c>
      <c r="N444" s="50">
        <v>2.0</v>
      </c>
      <c r="O444" s="50" t="s">
        <v>8216</v>
      </c>
      <c r="P444" s="116"/>
      <c r="Q444" s="50" t="s">
        <v>8218</v>
      </c>
      <c r="R444" s="50">
        <v>22.554252</v>
      </c>
      <c r="S444" s="50">
        <v>88.3966414</v>
      </c>
      <c r="T444" s="50">
        <v>-54.599998474121</v>
      </c>
      <c r="U444" s="50">
        <v>5.0</v>
      </c>
      <c r="V444" s="50">
        <v>1.0</v>
      </c>
      <c r="W444" s="50">
        <v>0.0</v>
      </c>
      <c r="X444" s="50">
        <v>0.0</v>
      </c>
      <c r="Y444" s="50">
        <v>0.0</v>
      </c>
      <c r="Z444" s="116"/>
      <c r="AA444" s="116"/>
      <c r="AB444" s="116"/>
      <c r="AC444" s="116"/>
      <c r="AD444" s="116"/>
      <c r="AE444" s="50">
        <v>1.0</v>
      </c>
      <c r="AF444" s="50">
        <v>2.0</v>
      </c>
      <c r="AG444" s="50">
        <v>4.0</v>
      </c>
      <c r="AH444" s="50">
        <v>4.0</v>
      </c>
      <c r="AI444" s="116"/>
      <c r="AJ444" s="116"/>
      <c r="AK444" s="116"/>
      <c r="AL444" s="116"/>
      <c r="AM444" s="116"/>
      <c r="AN444" s="116"/>
      <c r="AO444" s="116"/>
      <c r="AP444" s="116"/>
      <c r="AQ444" s="50" t="s">
        <v>3200</v>
      </c>
      <c r="AR444" s="50" t="s">
        <v>2327</v>
      </c>
      <c r="AS444" s="50">
        <v>0.0</v>
      </c>
      <c r="AT444" s="50" t="s">
        <v>5540</v>
      </c>
      <c r="AU444" s="117">
        <v>6135.0</v>
      </c>
      <c r="AV444" s="50" t="s">
        <v>8227</v>
      </c>
      <c r="AW444" s="50" t="s">
        <v>8228</v>
      </c>
      <c r="AX444" s="117">
        <v>443.0</v>
      </c>
    </row>
    <row r="445">
      <c r="A445" s="50" t="s">
        <v>8230</v>
      </c>
      <c r="B445" s="50" t="s">
        <v>8231</v>
      </c>
      <c r="C445" s="116"/>
      <c r="D445" s="116"/>
      <c r="E445" s="50">
        <v>3.5215509147374E14</v>
      </c>
      <c r="F445" s="50">
        <v>57.0</v>
      </c>
      <c r="G445" s="50">
        <v>99.0</v>
      </c>
      <c r="H445" s="116"/>
      <c r="I445" s="116"/>
      <c r="J445" s="116"/>
      <c r="K445" s="50">
        <v>1.0</v>
      </c>
      <c r="L445" s="50" t="s">
        <v>1798</v>
      </c>
      <c r="M445" s="50" t="s">
        <v>1798</v>
      </c>
      <c r="N445" s="116"/>
      <c r="O445" s="116"/>
      <c r="P445" s="50" t="s">
        <v>8232</v>
      </c>
      <c r="Q445" s="50" t="s">
        <v>8233</v>
      </c>
      <c r="R445" s="50">
        <v>22.5542791</v>
      </c>
      <c r="S445" s="50">
        <v>88.3966909</v>
      </c>
      <c r="T445" s="50">
        <v>-59.099998474121</v>
      </c>
      <c r="U445" s="50">
        <v>5.0</v>
      </c>
      <c r="V445" s="50">
        <v>1.0</v>
      </c>
      <c r="W445" s="50">
        <v>0.0</v>
      </c>
      <c r="X445" s="50">
        <v>0.0</v>
      </c>
      <c r="Y445" s="50">
        <v>0.0</v>
      </c>
      <c r="Z445" s="116"/>
      <c r="AA445" s="116"/>
      <c r="AB445" s="116"/>
      <c r="AC445" s="116"/>
      <c r="AD445" s="116"/>
      <c r="AE445" s="116"/>
      <c r="AF445" s="116"/>
      <c r="AG445" s="116"/>
      <c r="AH445" s="116"/>
      <c r="AI445" s="116"/>
      <c r="AJ445" s="116"/>
      <c r="AK445" s="116"/>
      <c r="AL445" s="116"/>
      <c r="AM445" s="116"/>
      <c r="AN445" s="116"/>
      <c r="AO445" s="116"/>
      <c r="AP445" s="116"/>
      <c r="AQ445" s="50" t="s">
        <v>3200</v>
      </c>
      <c r="AR445" s="50" t="s">
        <v>2327</v>
      </c>
      <c r="AS445" s="116"/>
      <c r="AT445" s="50" t="s">
        <v>5540</v>
      </c>
      <c r="AU445" s="117">
        <v>6136.0</v>
      </c>
      <c r="AV445" s="50" t="s">
        <v>8241</v>
      </c>
      <c r="AW445" s="50" t="s">
        <v>8242</v>
      </c>
      <c r="AX445" s="117">
        <v>444.0</v>
      </c>
    </row>
    <row r="446">
      <c r="A446" s="50" t="s">
        <v>8243</v>
      </c>
      <c r="B446" s="50" t="s">
        <v>8244</v>
      </c>
      <c r="C446" s="116"/>
      <c r="D446" s="116"/>
      <c r="E446" s="50">
        <v>3.5215509147374E14</v>
      </c>
      <c r="F446" s="50">
        <v>55.0</v>
      </c>
      <c r="G446" s="50">
        <v>12.0</v>
      </c>
      <c r="H446" s="116"/>
      <c r="I446" s="116"/>
      <c r="J446" s="116"/>
      <c r="K446" s="116"/>
      <c r="L446" s="50" t="s">
        <v>1800</v>
      </c>
      <c r="M446" s="50" t="s">
        <v>1800</v>
      </c>
      <c r="N446" s="50">
        <v>4.0</v>
      </c>
      <c r="O446" s="50" t="s">
        <v>8249</v>
      </c>
      <c r="P446" s="116"/>
      <c r="Q446" s="50" t="s">
        <v>8252</v>
      </c>
      <c r="R446" s="50">
        <v>22.5637064</v>
      </c>
      <c r="S446" s="50">
        <v>88.3772561</v>
      </c>
      <c r="T446" s="50">
        <v>-47.4000015258789</v>
      </c>
      <c r="U446" s="50">
        <v>5.0</v>
      </c>
      <c r="V446" s="50">
        <v>1.0</v>
      </c>
      <c r="W446" s="50">
        <v>0.0</v>
      </c>
      <c r="X446" s="50">
        <v>0.0</v>
      </c>
      <c r="Y446" s="50">
        <v>0.0</v>
      </c>
      <c r="Z446" s="116"/>
      <c r="AA446" s="116"/>
      <c r="AB446" s="116"/>
      <c r="AC446" s="116"/>
      <c r="AD446" s="116"/>
      <c r="AE446" s="50">
        <v>1.0</v>
      </c>
      <c r="AF446" s="50">
        <v>2.0</v>
      </c>
      <c r="AG446" s="50">
        <v>4.0</v>
      </c>
      <c r="AH446" s="50">
        <v>4.0</v>
      </c>
      <c r="AI446" s="116"/>
      <c r="AJ446" s="116"/>
      <c r="AK446" s="116"/>
      <c r="AL446" s="116"/>
      <c r="AM446" s="116"/>
      <c r="AN446" s="116"/>
      <c r="AO446" s="116"/>
      <c r="AP446" s="116"/>
      <c r="AQ446" s="50" t="s">
        <v>2949</v>
      </c>
      <c r="AR446" s="50" t="s">
        <v>2302</v>
      </c>
      <c r="AS446" s="50">
        <v>0.0</v>
      </c>
      <c r="AT446" s="50" t="s">
        <v>5540</v>
      </c>
      <c r="AU446" s="117">
        <v>6137.0</v>
      </c>
      <c r="AV446" s="50" t="s">
        <v>8256</v>
      </c>
      <c r="AW446" s="50" t="s">
        <v>8257</v>
      </c>
      <c r="AX446" s="117">
        <v>445.0</v>
      </c>
    </row>
    <row r="447">
      <c r="A447" s="50" t="s">
        <v>8258</v>
      </c>
      <c r="B447" s="50" t="s">
        <v>8260</v>
      </c>
      <c r="C447" s="116"/>
      <c r="D447" s="116"/>
      <c r="E447" s="50">
        <v>3.5215509147374E14</v>
      </c>
      <c r="F447" s="50">
        <v>55.0</v>
      </c>
      <c r="G447" s="50">
        <v>99.0</v>
      </c>
      <c r="H447" s="116"/>
      <c r="I447" s="116"/>
      <c r="J447" s="116"/>
      <c r="K447" s="50">
        <v>1.0</v>
      </c>
      <c r="L447" s="50" t="s">
        <v>1801</v>
      </c>
      <c r="M447" s="50" t="s">
        <v>1801</v>
      </c>
      <c r="N447" s="116"/>
      <c r="O447" s="116"/>
      <c r="P447" s="50" t="s">
        <v>8268</v>
      </c>
      <c r="Q447" s="50" t="s">
        <v>8270</v>
      </c>
      <c r="R447" s="50">
        <v>22.5637361</v>
      </c>
      <c r="S447" s="50">
        <v>88.3772806</v>
      </c>
      <c r="T447" s="50">
        <v>-36.9000015258789</v>
      </c>
      <c r="U447" s="50">
        <v>5.0</v>
      </c>
      <c r="V447" s="50">
        <v>1.0</v>
      </c>
      <c r="W447" s="50">
        <v>0.0</v>
      </c>
      <c r="X447" s="50">
        <v>0.0</v>
      </c>
      <c r="Y447" s="50">
        <v>0.0</v>
      </c>
      <c r="Z447" s="116"/>
      <c r="AA447" s="116"/>
      <c r="AB447" s="116"/>
      <c r="AC447" s="116"/>
      <c r="AD447" s="116"/>
      <c r="AE447" s="116"/>
      <c r="AF447" s="116"/>
      <c r="AG447" s="116"/>
      <c r="AH447" s="116"/>
      <c r="AI447" s="116"/>
      <c r="AJ447" s="116"/>
      <c r="AK447" s="116"/>
      <c r="AL447" s="116"/>
      <c r="AM447" s="116"/>
      <c r="AN447" s="116"/>
      <c r="AO447" s="116"/>
      <c r="AP447" s="116"/>
      <c r="AQ447" s="50" t="s">
        <v>2949</v>
      </c>
      <c r="AR447" s="50" t="s">
        <v>2302</v>
      </c>
      <c r="AS447" s="116"/>
      <c r="AT447" s="50" t="s">
        <v>5540</v>
      </c>
      <c r="AU447" s="117">
        <v>6138.0</v>
      </c>
      <c r="AV447" s="50" t="s">
        <v>8275</v>
      </c>
      <c r="AW447" s="50" t="s">
        <v>8276</v>
      </c>
      <c r="AX447" s="117">
        <v>446.0</v>
      </c>
    </row>
    <row r="448">
      <c r="A448" s="50" t="s">
        <v>8277</v>
      </c>
      <c r="B448" s="50" t="s">
        <v>8278</v>
      </c>
      <c r="C448" s="116"/>
      <c r="D448" s="116"/>
      <c r="E448" s="50">
        <v>3.52155090281144E14</v>
      </c>
      <c r="F448" s="50">
        <v>59.0</v>
      </c>
      <c r="G448" s="50">
        <v>11.0</v>
      </c>
      <c r="H448" s="50">
        <v>4.0</v>
      </c>
      <c r="I448" s="50">
        <v>1.0</v>
      </c>
      <c r="J448" s="50" t="s">
        <v>7732</v>
      </c>
      <c r="K448" s="116"/>
      <c r="L448" s="51" t="s">
        <v>359</v>
      </c>
      <c r="M448" s="51" t="s">
        <v>359</v>
      </c>
      <c r="N448" s="116"/>
      <c r="O448" s="116"/>
      <c r="P448" s="50" t="s">
        <v>8283</v>
      </c>
      <c r="Q448" s="50" t="s">
        <v>8284</v>
      </c>
      <c r="R448" s="50">
        <v>22.5400648</v>
      </c>
      <c r="S448" s="50">
        <v>88.3766173</v>
      </c>
      <c r="T448" s="50">
        <v>-24.1000003814697</v>
      </c>
      <c r="U448" s="50">
        <v>5.0</v>
      </c>
      <c r="V448" s="50">
        <v>1.0</v>
      </c>
      <c r="W448" s="50">
        <v>0.0</v>
      </c>
      <c r="X448" s="50">
        <v>0.0</v>
      </c>
      <c r="Y448" s="50">
        <v>0.0</v>
      </c>
      <c r="Z448" s="116"/>
      <c r="AA448" s="50">
        <v>2.0</v>
      </c>
      <c r="AB448" s="50">
        <v>4.0</v>
      </c>
      <c r="AC448" s="116"/>
      <c r="AD448" s="116"/>
      <c r="AE448" s="116"/>
      <c r="AF448" s="116"/>
      <c r="AG448" s="116"/>
      <c r="AH448" s="116"/>
      <c r="AI448" s="116"/>
      <c r="AJ448" s="116"/>
      <c r="AK448" s="116"/>
      <c r="AL448" s="116"/>
      <c r="AM448" s="116"/>
      <c r="AN448" s="116"/>
      <c r="AO448" s="116"/>
      <c r="AP448" s="116"/>
      <c r="AQ448" s="50" t="s">
        <v>3185</v>
      </c>
      <c r="AR448" s="50" t="s">
        <v>2286</v>
      </c>
      <c r="AS448" s="50">
        <v>1.0</v>
      </c>
      <c r="AT448" s="50" t="s">
        <v>5540</v>
      </c>
      <c r="AU448" s="117">
        <v>6139.0</v>
      </c>
      <c r="AV448" s="50" t="s">
        <v>8294</v>
      </c>
      <c r="AW448" s="50" t="s">
        <v>8295</v>
      </c>
      <c r="AX448" s="117">
        <v>447.0</v>
      </c>
    </row>
    <row r="449">
      <c r="A449" s="50" t="s">
        <v>8296</v>
      </c>
      <c r="B449" s="50" t="s">
        <v>8297</v>
      </c>
      <c r="C449" s="116"/>
      <c r="D449" s="116"/>
      <c r="E449" s="50">
        <v>3.52155090281144E14</v>
      </c>
      <c r="F449" s="50">
        <v>59.0</v>
      </c>
      <c r="G449" s="50">
        <v>99.0</v>
      </c>
      <c r="H449" s="116"/>
      <c r="I449" s="116"/>
      <c r="J449" s="116"/>
      <c r="K449" s="50">
        <v>2.0</v>
      </c>
      <c r="L449" s="50" t="s">
        <v>1803</v>
      </c>
      <c r="M449" s="50" t="s">
        <v>1803</v>
      </c>
      <c r="N449" s="116"/>
      <c r="O449" s="116"/>
      <c r="P449" s="50" t="s">
        <v>8216</v>
      </c>
      <c r="Q449" s="50" t="s">
        <v>8302</v>
      </c>
      <c r="R449" s="50">
        <v>22.5401362</v>
      </c>
      <c r="S449" s="50">
        <v>88.376595</v>
      </c>
      <c r="T449" s="50">
        <v>-35.099998474121</v>
      </c>
      <c r="U449" s="50">
        <v>5.5</v>
      </c>
      <c r="V449" s="50">
        <v>1.0</v>
      </c>
      <c r="W449" s="50">
        <v>0.0</v>
      </c>
      <c r="X449" s="50">
        <v>0.0</v>
      </c>
      <c r="Y449" s="50">
        <v>0.0</v>
      </c>
      <c r="Z449" s="116"/>
      <c r="AA449" s="116"/>
      <c r="AB449" s="116"/>
      <c r="AC449" s="116"/>
      <c r="AD449" s="116"/>
      <c r="AE449" s="116"/>
      <c r="AF449" s="116"/>
      <c r="AG449" s="116"/>
      <c r="AH449" s="116"/>
      <c r="AI449" s="116"/>
      <c r="AJ449" s="116"/>
      <c r="AK449" s="116"/>
      <c r="AL449" s="116"/>
      <c r="AM449" s="116"/>
      <c r="AN449" s="116"/>
      <c r="AO449" s="116"/>
      <c r="AP449" s="116"/>
      <c r="AQ449" s="50" t="s">
        <v>8306</v>
      </c>
      <c r="AR449" s="50" t="s">
        <v>2286</v>
      </c>
      <c r="AS449" s="116"/>
      <c r="AT449" s="50" t="s">
        <v>5540</v>
      </c>
      <c r="AU449" s="117">
        <v>6140.0</v>
      </c>
      <c r="AV449" s="50" t="s">
        <v>8309</v>
      </c>
      <c r="AW449" s="50" t="s">
        <v>8311</v>
      </c>
      <c r="AX449" s="117">
        <v>448.0</v>
      </c>
    </row>
    <row r="450">
      <c r="A450" s="50" t="s">
        <v>8313</v>
      </c>
      <c r="B450" s="50" t="s">
        <v>8314</v>
      </c>
      <c r="C450" s="116"/>
      <c r="D450" s="116"/>
      <c r="E450" s="50">
        <v>3.52155090281144E14</v>
      </c>
      <c r="F450" s="50">
        <v>59.0</v>
      </c>
      <c r="G450" s="50">
        <v>11.0</v>
      </c>
      <c r="H450" s="50">
        <v>4.0</v>
      </c>
      <c r="I450" s="50">
        <v>1.0</v>
      </c>
      <c r="J450" s="50" t="s">
        <v>8319</v>
      </c>
      <c r="K450" s="116"/>
      <c r="L450" s="51" t="s">
        <v>363</v>
      </c>
      <c r="M450" s="51" t="s">
        <v>363</v>
      </c>
      <c r="N450" s="116"/>
      <c r="O450" s="116"/>
      <c r="P450" s="50" t="s">
        <v>8320</v>
      </c>
      <c r="Q450" s="50" t="s">
        <v>8321</v>
      </c>
      <c r="R450" s="50">
        <v>22.540449</v>
      </c>
      <c r="S450" s="50">
        <v>88.3752663</v>
      </c>
      <c r="T450" s="50">
        <v>-75.5999984741211</v>
      </c>
      <c r="U450" s="50">
        <v>5.0</v>
      </c>
      <c r="V450" s="50">
        <v>1.0</v>
      </c>
      <c r="W450" s="50">
        <v>0.0</v>
      </c>
      <c r="X450" s="50">
        <v>0.0</v>
      </c>
      <c r="Y450" s="50">
        <v>0.0</v>
      </c>
      <c r="Z450" s="116"/>
      <c r="AA450" s="50">
        <v>2.0</v>
      </c>
      <c r="AB450" s="50">
        <v>4.0</v>
      </c>
      <c r="AC450" s="116"/>
      <c r="AD450" s="116"/>
      <c r="AE450" s="116"/>
      <c r="AF450" s="116"/>
      <c r="AG450" s="116"/>
      <c r="AH450" s="116"/>
      <c r="AI450" s="116"/>
      <c r="AJ450" s="116"/>
      <c r="AK450" s="116"/>
      <c r="AL450" s="116"/>
      <c r="AM450" s="116"/>
      <c r="AN450" s="116"/>
      <c r="AO450" s="116"/>
      <c r="AP450" s="116"/>
      <c r="AQ450" s="50" t="s">
        <v>3243</v>
      </c>
      <c r="AR450" s="50" t="s">
        <v>2472</v>
      </c>
      <c r="AS450" s="50">
        <v>1.0</v>
      </c>
      <c r="AT450" s="50" t="s">
        <v>5540</v>
      </c>
      <c r="AU450" s="117">
        <v>6141.0</v>
      </c>
      <c r="AV450" s="50" t="s">
        <v>8326</v>
      </c>
      <c r="AW450" s="50" t="s">
        <v>8327</v>
      </c>
      <c r="AX450" s="117">
        <v>449.0</v>
      </c>
    </row>
    <row r="451">
      <c r="A451" s="50" t="s">
        <v>8328</v>
      </c>
      <c r="B451" s="50" t="s">
        <v>8329</v>
      </c>
      <c r="C451" s="116"/>
      <c r="D451" s="116"/>
      <c r="E451" s="50">
        <v>3.52155090281144E14</v>
      </c>
      <c r="F451" s="50">
        <v>59.0</v>
      </c>
      <c r="G451" s="50">
        <v>99.0</v>
      </c>
      <c r="H451" s="116"/>
      <c r="I451" s="116"/>
      <c r="J451" s="116"/>
      <c r="K451" s="50">
        <v>2.0</v>
      </c>
      <c r="L451" s="50" t="s">
        <v>1805</v>
      </c>
      <c r="M451" s="50" t="s">
        <v>1805</v>
      </c>
      <c r="N451" s="116"/>
      <c r="O451" s="116"/>
      <c r="P451" s="50" t="s">
        <v>8334</v>
      </c>
      <c r="Q451" s="50" t="s">
        <v>8335</v>
      </c>
      <c r="R451" s="50">
        <v>22.5404074</v>
      </c>
      <c r="S451" s="50">
        <v>88.3751712</v>
      </c>
      <c r="T451" s="50">
        <v>-54.4000015258789</v>
      </c>
      <c r="U451" s="50">
        <v>5.0</v>
      </c>
      <c r="V451" s="50">
        <v>1.0</v>
      </c>
      <c r="W451" s="50">
        <v>0.0</v>
      </c>
      <c r="X451" s="50">
        <v>0.0</v>
      </c>
      <c r="Y451" s="50">
        <v>0.0</v>
      </c>
      <c r="Z451" s="116"/>
      <c r="AA451" s="116"/>
      <c r="AB451" s="116"/>
      <c r="AC451" s="116"/>
      <c r="AD451" s="116"/>
      <c r="AE451" s="116"/>
      <c r="AF451" s="116"/>
      <c r="AG451" s="116"/>
      <c r="AH451" s="116"/>
      <c r="AI451" s="116"/>
      <c r="AJ451" s="116"/>
      <c r="AK451" s="116"/>
      <c r="AL451" s="116"/>
      <c r="AM451" s="116"/>
      <c r="AN451" s="116"/>
      <c r="AO451" s="116"/>
      <c r="AP451" s="116"/>
      <c r="AQ451" s="50" t="s">
        <v>8340</v>
      </c>
      <c r="AR451" s="50" t="s">
        <v>2472</v>
      </c>
      <c r="AS451" s="116"/>
      <c r="AT451" s="50" t="s">
        <v>5540</v>
      </c>
      <c r="AU451" s="117">
        <v>6142.0</v>
      </c>
      <c r="AV451" s="50" t="s">
        <v>8341</v>
      </c>
      <c r="AW451" s="50" t="s">
        <v>8342</v>
      </c>
      <c r="AX451" s="117">
        <v>450.0</v>
      </c>
    </row>
    <row r="452">
      <c r="A452" s="50" t="s">
        <v>8344</v>
      </c>
      <c r="B452" s="50" t="s">
        <v>8345</v>
      </c>
      <c r="C452" s="116"/>
      <c r="D452" s="116"/>
      <c r="E452" s="50">
        <v>3.52155090281144E14</v>
      </c>
      <c r="F452" s="50">
        <v>59.0</v>
      </c>
      <c r="G452" s="50">
        <v>11.0</v>
      </c>
      <c r="H452" s="50">
        <v>4.0</v>
      </c>
      <c r="I452" s="50">
        <v>1.0</v>
      </c>
      <c r="J452" s="50" t="s">
        <v>8348</v>
      </c>
      <c r="K452" s="116"/>
      <c r="L452" s="50" t="s">
        <v>1807</v>
      </c>
      <c r="M452" s="50" t="s">
        <v>1807</v>
      </c>
      <c r="N452" s="116"/>
      <c r="O452" s="116"/>
      <c r="P452" s="50" t="s">
        <v>8350</v>
      </c>
      <c r="Q452" s="50" t="s">
        <v>8351</v>
      </c>
      <c r="R452" s="50">
        <v>22.5415074</v>
      </c>
      <c r="S452" s="50">
        <v>88.3753299</v>
      </c>
      <c r="T452" s="50">
        <v>-59.2999992370605</v>
      </c>
      <c r="U452" s="50">
        <v>5.0</v>
      </c>
      <c r="V452" s="50">
        <v>1.0</v>
      </c>
      <c r="W452" s="50">
        <v>0.0</v>
      </c>
      <c r="X452" s="50">
        <v>0.0</v>
      </c>
      <c r="Y452" s="50">
        <v>0.0</v>
      </c>
      <c r="Z452" s="116"/>
      <c r="AA452" s="50">
        <v>1.0</v>
      </c>
      <c r="AB452" s="50">
        <v>4.0</v>
      </c>
      <c r="AC452" s="116"/>
      <c r="AD452" s="116"/>
      <c r="AE452" s="116"/>
      <c r="AF452" s="116"/>
      <c r="AG452" s="116"/>
      <c r="AH452" s="116"/>
      <c r="AI452" s="116"/>
      <c r="AJ452" s="116"/>
      <c r="AK452" s="116"/>
      <c r="AL452" s="116"/>
      <c r="AM452" s="116"/>
      <c r="AN452" s="116"/>
      <c r="AO452" s="116"/>
      <c r="AP452" s="116"/>
      <c r="AQ452" s="50" t="s">
        <v>3149</v>
      </c>
      <c r="AR452" s="50" t="s">
        <v>2278</v>
      </c>
      <c r="AS452" s="50">
        <v>1.0</v>
      </c>
      <c r="AT452" s="50" t="s">
        <v>5540</v>
      </c>
      <c r="AU452" s="117">
        <v>6143.0</v>
      </c>
      <c r="AV452" s="50" t="s">
        <v>8357</v>
      </c>
      <c r="AW452" s="50" t="s">
        <v>8358</v>
      </c>
      <c r="AX452" s="117">
        <v>451.0</v>
      </c>
    </row>
    <row r="453">
      <c r="A453" s="50" t="s">
        <v>8361</v>
      </c>
      <c r="B453" s="50" t="s">
        <v>8362</v>
      </c>
      <c r="C453" s="116"/>
      <c r="D453" s="116"/>
      <c r="E453" s="50">
        <v>3.52155090281144E14</v>
      </c>
      <c r="F453" s="50">
        <v>59.0</v>
      </c>
      <c r="G453" s="50">
        <v>99.0</v>
      </c>
      <c r="H453" s="116"/>
      <c r="I453" s="116"/>
      <c r="J453" s="116"/>
      <c r="K453" s="50">
        <v>2.0</v>
      </c>
      <c r="L453" s="50" t="s">
        <v>1808</v>
      </c>
      <c r="M453" s="50" t="s">
        <v>1808</v>
      </c>
      <c r="N453" s="116"/>
      <c r="O453" s="116"/>
      <c r="P453" s="50" t="s">
        <v>8365</v>
      </c>
      <c r="Q453" s="50" t="s">
        <v>8366</v>
      </c>
      <c r="R453" s="50">
        <v>22.5414264</v>
      </c>
      <c r="S453" s="50">
        <v>88.3753127</v>
      </c>
      <c r="T453" s="50">
        <v>-44.0</v>
      </c>
      <c r="U453" s="50">
        <v>5.0</v>
      </c>
      <c r="V453" s="50">
        <v>1.0</v>
      </c>
      <c r="W453" s="50">
        <v>0.0</v>
      </c>
      <c r="X453" s="50">
        <v>0.0</v>
      </c>
      <c r="Y453" s="50">
        <v>0.0</v>
      </c>
      <c r="Z453" s="116"/>
      <c r="AA453" s="116"/>
      <c r="AB453" s="116"/>
      <c r="AC453" s="116"/>
      <c r="AD453" s="116"/>
      <c r="AE453" s="116"/>
      <c r="AF453" s="116"/>
      <c r="AG453" s="116"/>
      <c r="AH453" s="116"/>
      <c r="AI453" s="116"/>
      <c r="AJ453" s="116"/>
      <c r="AK453" s="116"/>
      <c r="AL453" s="116"/>
      <c r="AM453" s="116"/>
      <c r="AN453" s="116"/>
      <c r="AO453" s="116"/>
      <c r="AP453" s="116"/>
      <c r="AQ453" s="50" t="s">
        <v>8369</v>
      </c>
      <c r="AR453" s="50" t="s">
        <v>2278</v>
      </c>
      <c r="AS453" s="116"/>
      <c r="AT453" s="50" t="s">
        <v>5540</v>
      </c>
      <c r="AU453" s="117">
        <v>6144.0</v>
      </c>
      <c r="AV453" s="50" t="s">
        <v>8372</v>
      </c>
      <c r="AW453" s="50" t="s">
        <v>8374</v>
      </c>
      <c r="AX453" s="117">
        <v>452.0</v>
      </c>
    </row>
    <row r="454">
      <c r="A454" s="50" t="s">
        <v>8375</v>
      </c>
      <c r="B454" s="50" t="s">
        <v>8376</v>
      </c>
      <c r="C454" s="116"/>
      <c r="D454" s="116"/>
      <c r="E454" s="50">
        <v>3.52155090281144E14</v>
      </c>
      <c r="F454" s="50">
        <v>59.0</v>
      </c>
      <c r="G454" s="50">
        <v>11.0</v>
      </c>
      <c r="H454" s="50">
        <v>4.0</v>
      </c>
      <c r="I454" s="50">
        <v>1.0</v>
      </c>
      <c r="J454" s="50" t="s">
        <v>8058</v>
      </c>
      <c r="K454" s="116"/>
      <c r="L454" s="50" t="s">
        <v>1810</v>
      </c>
      <c r="M454" s="50" t="s">
        <v>1810</v>
      </c>
      <c r="N454" s="116"/>
      <c r="O454" s="116"/>
      <c r="P454" s="50" t="s">
        <v>8382</v>
      </c>
      <c r="Q454" s="50" t="s">
        <v>8383</v>
      </c>
      <c r="R454" s="50">
        <v>22.5452041</v>
      </c>
      <c r="S454" s="50">
        <v>88.3834546</v>
      </c>
      <c r="T454" s="50">
        <v>-19.3999996185302</v>
      </c>
      <c r="U454" s="50">
        <v>4.5</v>
      </c>
      <c r="V454" s="50">
        <v>1.0</v>
      </c>
      <c r="W454" s="50">
        <v>0.0</v>
      </c>
      <c r="X454" s="50">
        <v>0.0</v>
      </c>
      <c r="Y454" s="50">
        <v>0.0</v>
      </c>
      <c r="Z454" s="116"/>
      <c r="AA454" s="50">
        <v>2.0</v>
      </c>
      <c r="AB454" s="50">
        <v>4.0</v>
      </c>
      <c r="AC454" s="116"/>
      <c r="AD454" s="116"/>
      <c r="AE454" s="116"/>
      <c r="AF454" s="116"/>
      <c r="AG454" s="116"/>
      <c r="AH454" s="116"/>
      <c r="AI454" s="116"/>
      <c r="AJ454" s="116"/>
      <c r="AK454" s="116"/>
      <c r="AL454" s="116"/>
      <c r="AM454" s="116"/>
      <c r="AN454" s="116"/>
      <c r="AO454" s="116"/>
      <c r="AP454" s="116"/>
      <c r="AQ454" s="50" t="s">
        <v>3243</v>
      </c>
      <c r="AR454" s="50" t="s">
        <v>2472</v>
      </c>
      <c r="AS454" s="50">
        <v>1.0</v>
      </c>
      <c r="AT454" s="50" t="s">
        <v>5540</v>
      </c>
      <c r="AU454" s="117">
        <v>6145.0</v>
      </c>
      <c r="AV454" s="50" t="s">
        <v>8389</v>
      </c>
      <c r="AW454" s="50" t="s">
        <v>8390</v>
      </c>
      <c r="AX454" s="117">
        <v>453.0</v>
      </c>
    </row>
    <row r="455">
      <c r="A455" s="50" t="s">
        <v>8391</v>
      </c>
      <c r="B455" s="50" t="s">
        <v>8392</v>
      </c>
      <c r="C455" s="116"/>
      <c r="D455" s="116"/>
      <c r="E455" s="50">
        <v>3.52155090281144E14</v>
      </c>
      <c r="F455" s="50">
        <v>59.0</v>
      </c>
      <c r="G455" s="50">
        <v>99.0</v>
      </c>
      <c r="H455" s="116"/>
      <c r="I455" s="116"/>
      <c r="J455" s="116"/>
      <c r="K455" s="50">
        <v>2.0</v>
      </c>
      <c r="L455" s="50" t="s">
        <v>1811</v>
      </c>
      <c r="M455" s="50" t="s">
        <v>1811</v>
      </c>
      <c r="N455" s="116"/>
      <c r="O455" s="116"/>
      <c r="P455" s="50" t="s">
        <v>8396</v>
      </c>
      <c r="Q455" s="50" t="s">
        <v>8397</v>
      </c>
      <c r="R455" s="50">
        <v>22.5452053</v>
      </c>
      <c r="S455" s="50">
        <v>88.3834411</v>
      </c>
      <c r="T455" s="50">
        <v>-42.5</v>
      </c>
      <c r="U455" s="50">
        <v>5.0</v>
      </c>
      <c r="V455" s="50">
        <v>1.0</v>
      </c>
      <c r="W455" s="50">
        <v>0.0</v>
      </c>
      <c r="X455" s="50">
        <v>0.0</v>
      </c>
      <c r="Y455" s="50">
        <v>0.0</v>
      </c>
      <c r="Z455" s="116"/>
      <c r="AA455" s="116"/>
      <c r="AB455" s="116"/>
      <c r="AC455" s="116"/>
      <c r="AD455" s="116"/>
      <c r="AE455" s="116"/>
      <c r="AF455" s="116"/>
      <c r="AG455" s="116"/>
      <c r="AH455" s="116"/>
      <c r="AI455" s="116"/>
      <c r="AJ455" s="116"/>
      <c r="AK455" s="116"/>
      <c r="AL455" s="116"/>
      <c r="AM455" s="116"/>
      <c r="AN455" s="116"/>
      <c r="AO455" s="116"/>
      <c r="AP455" s="116"/>
      <c r="AQ455" s="50" t="s">
        <v>8403</v>
      </c>
      <c r="AR455" s="50" t="s">
        <v>2472</v>
      </c>
      <c r="AS455" s="116"/>
      <c r="AT455" s="50" t="s">
        <v>5540</v>
      </c>
      <c r="AU455" s="117">
        <v>6146.0</v>
      </c>
      <c r="AV455" s="50" t="s">
        <v>8404</v>
      </c>
      <c r="AW455" s="50" t="s">
        <v>8405</v>
      </c>
      <c r="AX455" s="117">
        <v>454.0</v>
      </c>
    </row>
    <row r="456">
      <c r="A456" s="50" t="s">
        <v>8406</v>
      </c>
      <c r="B456" s="50" t="s">
        <v>8407</v>
      </c>
      <c r="C456" s="116"/>
      <c r="D456" s="116"/>
      <c r="E456" s="50">
        <v>3.52155090281144E14</v>
      </c>
      <c r="F456" s="50">
        <v>58.0</v>
      </c>
      <c r="G456" s="50">
        <v>11.0</v>
      </c>
      <c r="H456" s="50">
        <v>4.0</v>
      </c>
      <c r="I456" s="50">
        <v>1.0</v>
      </c>
      <c r="J456" s="50" t="s">
        <v>7872</v>
      </c>
      <c r="K456" s="116"/>
      <c r="L456" s="50" t="s">
        <v>1821</v>
      </c>
      <c r="M456" s="50" t="s">
        <v>1821</v>
      </c>
      <c r="N456" s="116"/>
      <c r="O456" s="116"/>
      <c r="P456" s="50" t="s">
        <v>8408</v>
      </c>
      <c r="Q456" s="50" t="s">
        <v>8409</v>
      </c>
      <c r="R456" s="50">
        <v>22.5535192</v>
      </c>
      <c r="S456" s="50">
        <v>88.3856621</v>
      </c>
      <c r="T456" s="50">
        <v>-28.2000007629394</v>
      </c>
      <c r="U456" s="50">
        <v>5.0</v>
      </c>
      <c r="V456" s="50">
        <v>1.0</v>
      </c>
      <c r="W456" s="50">
        <v>0.0</v>
      </c>
      <c r="X456" s="50">
        <v>0.0</v>
      </c>
      <c r="Y456" s="50">
        <v>0.0</v>
      </c>
      <c r="Z456" s="116"/>
      <c r="AA456" s="50">
        <v>2.0</v>
      </c>
      <c r="AB456" s="50">
        <v>4.0</v>
      </c>
      <c r="AC456" s="116"/>
      <c r="AD456" s="116"/>
      <c r="AE456" s="116"/>
      <c r="AF456" s="116"/>
      <c r="AG456" s="116"/>
      <c r="AH456" s="116"/>
      <c r="AI456" s="116"/>
      <c r="AJ456" s="116"/>
      <c r="AK456" s="116"/>
      <c r="AL456" s="116"/>
      <c r="AM456" s="116"/>
      <c r="AN456" s="116"/>
      <c r="AO456" s="116"/>
      <c r="AP456" s="116"/>
      <c r="AQ456" s="50" t="s">
        <v>3185</v>
      </c>
      <c r="AR456" s="50" t="s">
        <v>2472</v>
      </c>
      <c r="AS456" s="50">
        <v>1.0</v>
      </c>
      <c r="AT456" s="50" t="s">
        <v>5540</v>
      </c>
      <c r="AU456" s="117">
        <v>6256.0</v>
      </c>
      <c r="AV456" s="50" t="s">
        <v>8417</v>
      </c>
      <c r="AW456" s="50" t="s">
        <v>8418</v>
      </c>
      <c r="AX456" s="117">
        <v>455.0</v>
      </c>
    </row>
    <row r="457">
      <c r="A457" s="50" t="s">
        <v>8419</v>
      </c>
      <c r="B457" s="50" t="s">
        <v>8420</v>
      </c>
      <c r="C457" s="116"/>
      <c r="D457" s="116"/>
      <c r="E457" s="50">
        <v>3.52155090281144E14</v>
      </c>
      <c r="F457" s="50">
        <v>58.0</v>
      </c>
      <c r="G457" s="50">
        <v>99.0</v>
      </c>
      <c r="H457" s="116"/>
      <c r="I457" s="116"/>
      <c r="J457" s="116"/>
      <c r="K457" s="50">
        <v>2.0</v>
      </c>
      <c r="L457" s="50" t="s">
        <v>1822</v>
      </c>
      <c r="M457" s="50" t="s">
        <v>1822</v>
      </c>
      <c r="N457" s="116"/>
      <c r="O457" s="116"/>
      <c r="P457" s="50" t="s">
        <v>8423</v>
      </c>
      <c r="Q457" s="50" t="s">
        <v>8424</v>
      </c>
      <c r="R457" s="50">
        <v>22.5535275</v>
      </c>
      <c r="S457" s="50">
        <v>88.3856991</v>
      </c>
      <c r="T457" s="50">
        <v>-36.2000007629394</v>
      </c>
      <c r="U457" s="50">
        <v>5.0</v>
      </c>
      <c r="V457" s="50">
        <v>1.0</v>
      </c>
      <c r="W457" s="50">
        <v>0.0</v>
      </c>
      <c r="X457" s="50">
        <v>0.0</v>
      </c>
      <c r="Y457" s="50">
        <v>0.0</v>
      </c>
      <c r="Z457" s="116"/>
      <c r="AA457" s="116"/>
      <c r="AB457" s="116"/>
      <c r="AC457" s="116"/>
      <c r="AD457" s="116"/>
      <c r="AE457" s="116"/>
      <c r="AF457" s="116"/>
      <c r="AG457" s="116"/>
      <c r="AH457" s="116"/>
      <c r="AI457" s="116"/>
      <c r="AJ457" s="116"/>
      <c r="AK457" s="116"/>
      <c r="AL457" s="116"/>
      <c r="AM457" s="116"/>
      <c r="AN457" s="116"/>
      <c r="AO457" s="116"/>
      <c r="AP457" s="116"/>
      <c r="AQ457" s="50" t="s">
        <v>8427</v>
      </c>
      <c r="AR457" s="50" t="s">
        <v>2472</v>
      </c>
      <c r="AS457" s="116"/>
      <c r="AT457" s="50" t="s">
        <v>5540</v>
      </c>
      <c r="AU457" s="117">
        <v>6257.0</v>
      </c>
      <c r="AV457" s="50" t="s">
        <v>8432</v>
      </c>
      <c r="AW457" s="50" t="s">
        <v>8433</v>
      </c>
      <c r="AX457" s="117">
        <v>456.0</v>
      </c>
    </row>
    <row r="458">
      <c r="A458" s="50" t="s">
        <v>8434</v>
      </c>
      <c r="B458" s="50" t="s">
        <v>8435</v>
      </c>
      <c r="C458" s="116"/>
      <c r="D458" s="116"/>
      <c r="E458" s="50">
        <v>3.52155090281144E14</v>
      </c>
      <c r="F458" s="50">
        <v>59.0</v>
      </c>
      <c r="G458" s="50">
        <v>11.0</v>
      </c>
      <c r="H458" s="50">
        <v>4.0</v>
      </c>
      <c r="I458" s="50">
        <v>1.0</v>
      </c>
      <c r="J458" s="50" t="s">
        <v>7653</v>
      </c>
      <c r="K458" s="116"/>
      <c r="L458" s="50" t="s">
        <v>1824</v>
      </c>
      <c r="M458" s="50" t="s">
        <v>1824</v>
      </c>
      <c r="N458" s="116"/>
      <c r="O458" s="116"/>
      <c r="P458" s="50" t="s">
        <v>8437</v>
      </c>
      <c r="Q458" s="50" t="s">
        <v>8438</v>
      </c>
      <c r="R458" s="50">
        <v>22.5407345</v>
      </c>
      <c r="S458" s="50">
        <v>88.3765387</v>
      </c>
      <c r="T458" s="50">
        <v>-28.3999996185302</v>
      </c>
      <c r="U458" s="50">
        <v>5.0</v>
      </c>
      <c r="V458" s="50">
        <v>1.0</v>
      </c>
      <c r="W458" s="50">
        <v>0.0</v>
      </c>
      <c r="X458" s="50">
        <v>0.0</v>
      </c>
      <c r="Y458" s="50">
        <v>0.0</v>
      </c>
      <c r="Z458" s="116"/>
      <c r="AA458" s="50">
        <v>2.0</v>
      </c>
      <c r="AB458" s="50">
        <v>4.0</v>
      </c>
      <c r="AC458" s="116"/>
      <c r="AD458" s="116"/>
      <c r="AE458" s="116"/>
      <c r="AF458" s="116"/>
      <c r="AG458" s="116"/>
      <c r="AH458" s="116"/>
      <c r="AI458" s="116"/>
      <c r="AJ458" s="116"/>
      <c r="AK458" s="116"/>
      <c r="AL458" s="116"/>
      <c r="AM458" s="116"/>
      <c r="AN458" s="116"/>
      <c r="AO458" s="116"/>
      <c r="AP458" s="116"/>
      <c r="AQ458" s="50" t="s">
        <v>3149</v>
      </c>
      <c r="AR458" s="50" t="s">
        <v>2472</v>
      </c>
      <c r="AS458" s="50">
        <v>1.0</v>
      </c>
      <c r="AT458" s="50" t="s">
        <v>5540</v>
      </c>
      <c r="AU458" s="117">
        <v>6258.0</v>
      </c>
      <c r="AV458" s="50" t="s">
        <v>8445</v>
      </c>
      <c r="AW458" s="50" t="s">
        <v>8446</v>
      </c>
      <c r="AX458" s="117">
        <v>457.0</v>
      </c>
    </row>
    <row r="459">
      <c r="A459" s="50" t="s">
        <v>8447</v>
      </c>
      <c r="B459" s="50" t="s">
        <v>8448</v>
      </c>
      <c r="C459" s="116"/>
      <c r="D459" s="116"/>
      <c r="E459" s="50">
        <v>3.52155090281144E14</v>
      </c>
      <c r="F459" s="50">
        <v>59.0</v>
      </c>
      <c r="G459" s="50">
        <v>99.0</v>
      </c>
      <c r="H459" s="116"/>
      <c r="I459" s="116"/>
      <c r="J459" s="116"/>
      <c r="K459" s="50">
        <v>2.0</v>
      </c>
      <c r="L459" s="50" t="s">
        <v>1825</v>
      </c>
      <c r="M459" s="50" t="s">
        <v>1825</v>
      </c>
      <c r="N459" s="116"/>
      <c r="O459" s="116"/>
      <c r="P459" s="50" t="s">
        <v>8450</v>
      </c>
      <c r="Q459" s="50" t="s">
        <v>8451</v>
      </c>
      <c r="R459" s="50">
        <v>22.5407806</v>
      </c>
      <c r="S459" s="50">
        <v>88.3763234</v>
      </c>
      <c r="T459" s="50">
        <v>-48.2000007629394</v>
      </c>
      <c r="U459" s="50">
        <v>5.0</v>
      </c>
      <c r="V459" s="50">
        <v>1.0</v>
      </c>
      <c r="W459" s="50">
        <v>0.0</v>
      </c>
      <c r="X459" s="50">
        <v>0.0</v>
      </c>
      <c r="Y459" s="50">
        <v>0.0</v>
      </c>
      <c r="Z459" s="116"/>
      <c r="AA459" s="116"/>
      <c r="AB459" s="116"/>
      <c r="AC459" s="116"/>
      <c r="AD459" s="116"/>
      <c r="AE459" s="116"/>
      <c r="AF459" s="116"/>
      <c r="AG459" s="116"/>
      <c r="AH459" s="116"/>
      <c r="AI459" s="116"/>
      <c r="AJ459" s="116"/>
      <c r="AK459" s="116"/>
      <c r="AL459" s="116"/>
      <c r="AM459" s="116"/>
      <c r="AN459" s="116"/>
      <c r="AO459" s="116"/>
      <c r="AP459" s="116"/>
      <c r="AQ459" s="50" t="s">
        <v>8456</v>
      </c>
      <c r="AR459" s="50" t="s">
        <v>2472</v>
      </c>
      <c r="AS459" s="116"/>
      <c r="AT459" s="50" t="s">
        <v>5540</v>
      </c>
      <c r="AU459" s="117">
        <v>6259.0</v>
      </c>
      <c r="AV459" s="50" t="s">
        <v>8460</v>
      </c>
      <c r="AW459" s="50" t="s">
        <v>8461</v>
      </c>
      <c r="AX459" s="117">
        <v>458.0</v>
      </c>
    </row>
    <row r="460">
      <c r="A460" s="50" t="s">
        <v>8462</v>
      </c>
      <c r="B460" s="50" t="s">
        <v>8463</v>
      </c>
      <c r="C460" s="116"/>
      <c r="D460" s="116"/>
      <c r="E460" s="50">
        <v>3.52155090281144E14</v>
      </c>
      <c r="F460" s="50">
        <v>59.0</v>
      </c>
      <c r="G460" s="50">
        <v>11.0</v>
      </c>
      <c r="H460" s="50">
        <v>4.0</v>
      </c>
      <c r="I460" s="50">
        <v>1.0</v>
      </c>
      <c r="J460" s="50" t="s">
        <v>8464</v>
      </c>
      <c r="K460" s="116"/>
      <c r="L460" s="50" t="s">
        <v>1827</v>
      </c>
      <c r="M460" s="50" t="s">
        <v>1827</v>
      </c>
      <c r="N460" s="116"/>
      <c r="O460" s="116"/>
      <c r="P460" s="50" t="s">
        <v>8466</v>
      </c>
      <c r="Q460" s="50" t="s">
        <v>8467</v>
      </c>
      <c r="R460" s="50">
        <v>22.5409488</v>
      </c>
      <c r="S460" s="50">
        <v>88.3758426</v>
      </c>
      <c r="T460" s="50">
        <v>-41.9000015258789</v>
      </c>
      <c r="U460" s="50">
        <v>5.0</v>
      </c>
      <c r="V460" s="50">
        <v>1.0</v>
      </c>
      <c r="W460" s="50">
        <v>0.0</v>
      </c>
      <c r="X460" s="50">
        <v>0.0</v>
      </c>
      <c r="Y460" s="50">
        <v>0.0</v>
      </c>
      <c r="Z460" s="116"/>
      <c r="AA460" s="50">
        <v>2.0</v>
      </c>
      <c r="AB460" s="50">
        <v>4.0</v>
      </c>
      <c r="AC460" s="116"/>
      <c r="AD460" s="116"/>
      <c r="AE460" s="116"/>
      <c r="AF460" s="116"/>
      <c r="AG460" s="116"/>
      <c r="AH460" s="116"/>
      <c r="AI460" s="116"/>
      <c r="AJ460" s="116"/>
      <c r="AK460" s="116"/>
      <c r="AL460" s="116"/>
      <c r="AM460" s="116"/>
      <c r="AN460" s="116"/>
      <c r="AO460" s="116"/>
      <c r="AP460" s="116"/>
      <c r="AQ460" s="50" t="s">
        <v>3149</v>
      </c>
      <c r="AR460" s="50" t="s">
        <v>2278</v>
      </c>
      <c r="AS460" s="50">
        <v>1.0</v>
      </c>
      <c r="AT460" s="50" t="s">
        <v>5540</v>
      </c>
      <c r="AU460" s="117">
        <v>6260.0</v>
      </c>
      <c r="AV460" s="50" t="s">
        <v>8472</v>
      </c>
      <c r="AW460" s="50" t="s">
        <v>8473</v>
      </c>
      <c r="AX460" s="117">
        <v>459.0</v>
      </c>
    </row>
    <row r="461">
      <c r="A461" s="50" t="s">
        <v>8474</v>
      </c>
      <c r="B461" s="50" t="s">
        <v>8475</v>
      </c>
      <c r="C461" s="116"/>
      <c r="D461" s="116"/>
      <c r="E461" s="50">
        <v>3.52155090281144E14</v>
      </c>
      <c r="F461" s="50">
        <v>59.0</v>
      </c>
      <c r="G461" s="50">
        <v>99.0</v>
      </c>
      <c r="H461" s="116"/>
      <c r="I461" s="116"/>
      <c r="J461" s="116"/>
      <c r="K461" s="50">
        <v>2.0</v>
      </c>
      <c r="L461" s="50" t="s">
        <v>1828</v>
      </c>
      <c r="M461" s="50" t="s">
        <v>1828</v>
      </c>
      <c r="N461" s="116"/>
      <c r="O461" s="116"/>
      <c r="P461" s="50" t="s">
        <v>8479</v>
      </c>
      <c r="Q461" s="50" t="s">
        <v>8481</v>
      </c>
      <c r="R461" s="50">
        <v>22.5410094</v>
      </c>
      <c r="S461" s="50">
        <v>88.3757645</v>
      </c>
      <c r="T461" s="50">
        <v>-40.599998474121</v>
      </c>
      <c r="U461" s="50">
        <v>5.0</v>
      </c>
      <c r="V461" s="50">
        <v>1.0</v>
      </c>
      <c r="W461" s="50">
        <v>0.0</v>
      </c>
      <c r="X461" s="50">
        <v>0.0</v>
      </c>
      <c r="Y461" s="50">
        <v>0.0</v>
      </c>
      <c r="Z461" s="116"/>
      <c r="AA461" s="116"/>
      <c r="AB461" s="116"/>
      <c r="AC461" s="116"/>
      <c r="AD461" s="116"/>
      <c r="AE461" s="116"/>
      <c r="AF461" s="116"/>
      <c r="AG461" s="116"/>
      <c r="AH461" s="116"/>
      <c r="AI461" s="116"/>
      <c r="AJ461" s="116"/>
      <c r="AK461" s="116"/>
      <c r="AL461" s="116"/>
      <c r="AM461" s="116"/>
      <c r="AN461" s="116"/>
      <c r="AO461" s="116"/>
      <c r="AP461" s="116"/>
      <c r="AQ461" s="50" t="s">
        <v>8485</v>
      </c>
      <c r="AR461" s="50" t="s">
        <v>2278</v>
      </c>
      <c r="AS461" s="116"/>
      <c r="AT461" s="50" t="s">
        <v>5540</v>
      </c>
      <c r="AU461" s="117">
        <v>6261.0</v>
      </c>
      <c r="AV461" s="50" t="s">
        <v>8487</v>
      </c>
      <c r="AW461" s="50" t="s">
        <v>8489</v>
      </c>
      <c r="AX461" s="117">
        <v>460.0</v>
      </c>
    </row>
    <row r="462">
      <c r="A462" s="50" t="s">
        <v>8491</v>
      </c>
      <c r="B462" s="50" t="s">
        <v>8492</v>
      </c>
      <c r="C462" s="116"/>
      <c r="D462" s="116"/>
      <c r="E462" s="50">
        <v>3.52155090281144E14</v>
      </c>
      <c r="F462" s="50">
        <v>59.0</v>
      </c>
      <c r="G462" s="50">
        <v>11.0</v>
      </c>
      <c r="H462" s="50">
        <v>4.0</v>
      </c>
      <c r="I462" s="50">
        <v>1.0</v>
      </c>
      <c r="J462" s="50" t="s">
        <v>7933</v>
      </c>
      <c r="K462" s="116"/>
      <c r="L462" s="50" t="s">
        <v>1830</v>
      </c>
      <c r="M462" s="50" t="s">
        <v>1830</v>
      </c>
      <c r="N462" s="116"/>
      <c r="O462" s="116"/>
      <c r="P462" s="50" t="s">
        <v>8498</v>
      </c>
      <c r="Q462" s="50" t="s">
        <v>8500</v>
      </c>
      <c r="R462" s="50">
        <v>22.54184</v>
      </c>
      <c r="S462" s="50">
        <v>88.3748227</v>
      </c>
      <c r="T462" s="50">
        <v>-48.5</v>
      </c>
      <c r="U462" s="50">
        <v>5.0</v>
      </c>
      <c r="V462" s="50">
        <v>1.0</v>
      </c>
      <c r="W462" s="50">
        <v>0.0</v>
      </c>
      <c r="X462" s="50">
        <v>0.0</v>
      </c>
      <c r="Y462" s="50">
        <v>0.0</v>
      </c>
      <c r="Z462" s="116"/>
      <c r="AA462" s="50">
        <v>2.0</v>
      </c>
      <c r="AB462" s="50">
        <v>4.0</v>
      </c>
      <c r="AC462" s="116"/>
      <c r="AD462" s="116"/>
      <c r="AE462" s="116"/>
      <c r="AF462" s="116"/>
      <c r="AG462" s="116"/>
      <c r="AH462" s="116"/>
      <c r="AI462" s="116"/>
      <c r="AJ462" s="116"/>
      <c r="AK462" s="116"/>
      <c r="AL462" s="116"/>
      <c r="AM462" s="116"/>
      <c r="AN462" s="116"/>
      <c r="AO462" s="116"/>
      <c r="AP462" s="116"/>
      <c r="AQ462" s="50" t="s">
        <v>2979</v>
      </c>
      <c r="AR462" s="50" t="s">
        <v>2286</v>
      </c>
      <c r="AS462" s="50">
        <v>1.0</v>
      </c>
      <c r="AT462" s="50" t="s">
        <v>5540</v>
      </c>
      <c r="AU462" s="117">
        <v>6262.0</v>
      </c>
      <c r="AV462" s="50" t="s">
        <v>8505</v>
      </c>
      <c r="AW462" s="50" t="s">
        <v>8506</v>
      </c>
      <c r="AX462" s="117">
        <v>461.0</v>
      </c>
    </row>
    <row r="463">
      <c r="A463" s="50" t="s">
        <v>8509</v>
      </c>
      <c r="B463" s="50" t="s">
        <v>8511</v>
      </c>
      <c r="C463" s="116"/>
      <c r="D463" s="116"/>
      <c r="E463" s="50">
        <v>3.52155090281144E14</v>
      </c>
      <c r="F463" s="50">
        <v>59.0</v>
      </c>
      <c r="G463" s="50">
        <v>99.0</v>
      </c>
      <c r="H463" s="116"/>
      <c r="I463" s="116"/>
      <c r="J463" s="116"/>
      <c r="K463" s="50">
        <v>2.0</v>
      </c>
      <c r="L463" s="50" t="s">
        <v>1831</v>
      </c>
      <c r="M463" s="50" t="s">
        <v>1831</v>
      </c>
      <c r="N463" s="116"/>
      <c r="O463" s="116"/>
      <c r="P463" s="50" t="s">
        <v>8513</v>
      </c>
      <c r="Q463" s="50" t="s">
        <v>8514</v>
      </c>
      <c r="R463" s="50">
        <v>22.5417312</v>
      </c>
      <c r="S463" s="50">
        <v>88.3747122</v>
      </c>
      <c r="T463" s="50">
        <v>-89.5999984741211</v>
      </c>
      <c r="U463" s="50">
        <v>5.0</v>
      </c>
      <c r="V463" s="50">
        <v>1.0</v>
      </c>
      <c r="W463" s="50">
        <v>0.0</v>
      </c>
      <c r="X463" s="50">
        <v>0.0</v>
      </c>
      <c r="Y463" s="50">
        <v>0.0</v>
      </c>
      <c r="Z463" s="116"/>
      <c r="AA463" s="116"/>
      <c r="AB463" s="116"/>
      <c r="AC463" s="116"/>
      <c r="AD463" s="116"/>
      <c r="AE463" s="116"/>
      <c r="AF463" s="116"/>
      <c r="AG463" s="116"/>
      <c r="AH463" s="116"/>
      <c r="AI463" s="116"/>
      <c r="AJ463" s="116"/>
      <c r="AK463" s="116"/>
      <c r="AL463" s="116"/>
      <c r="AM463" s="116"/>
      <c r="AN463" s="116"/>
      <c r="AO463" s="116"/>
      <c r="AP463" s="116"/>
      <c r="AQ463" s="50" t="s">
        <v>8523</v>
      </c>
      <c r="AR463" s="50" t="s">
        <v>2286</v>
      </c>
      <c r="AS463" s="116"/>
      <c r="AT463" s="50" t="s">
        <v>5540</v>
      </c>
      <c r="AU463" s="117">
        <v>6263.0</v>
      </c>
      <c r="AV463" s="50" t="s">
        <v>8526</v>
      </c>
      <c r="AW463" s="50" t="s">
        <v>8527</v>
      </c>
      <c r="AX463" s="117">
        <v>462.0</v>
      </c>
    </row>
    <row r="464">
      <c r="A464" s="50" t="s">
        <v>8529</v>
      </c>
      <c r="B464" s="50" t="s">
        <v>8530</v>
      </c>
      <c r="C464" s="116"/>
      <c r="D464" s="116"/>
      <c r="E464" s="50">
        <v>3.52155090281144E14</v>
      </c>
      <c r="F464" s="50">
        <v>59.0</v>
      </c>
      <c r="G464" s="50">
        <v>11.0</v>
      </c>
      <c r="H464" s="50">
        <v>4.0</v>
      </c>
      <c r="I464" s="50">
        <v>1.0</v>
      </c>
      <c r="J464" s="50" t="s">
        <v>7619</v>
      </c>
      <c r="K464" s="116"/>
      <c r="L464" s="50" t="s">
        <v>1834</v>
      </c>
      <c r="M464" s="50" t="s">
        <v>1834</v>
      </c>
      <c r="N464" s="116"/>
      <c r="O464" s="116"/>
      <c r="P464" s="50" t="s">
        <v>8534</v>
      </c>
      <c r="Q464" s="50" t="s">
        <v>8535</v>
      </c>
      <c r="R464" s="50">
        <v>22.5411176</v>
      </c>
      <c r="S464" s="50">
        <v>88.3743348</v>
      </c>
      <c r="T464" s="50">
        <v>-61.0</v>
      </c>
      <c r="U464" s="50">
        <v>4.0</v>
      </c>
      <c r="V464" s="50">
        <v>1.0</v>
      </c>
      <c r="W464" s="50">
        <v>0.0</v>
      </c>
      <c r="X464" s="50">
        <v>0.0</v>
      </c>
      <c r="Y464" s="50">
        <v>0.0</v>
      </c>
      <c r="Z464" s="116"/>
      <c r="AA464" s="50">
        <v>2.0</v>
      </c>
      <c r="AB464" s="50">
        <v>4.0</v>
      </c>
      <c r="AC464" s="116"/>
      <c r="AD464" s="116"/>
      <c r="AE464" s="116"/>
      <c r="AF464" s="116"/>
      <c r="AG464" s="116"/>
      <c r="AH464" s="116"/>
      <c r="AI464" s="116"/>
      <c r="AJ464" s="116"/>
      <c r="AK464" s="116"/>
      <c r="AL464" s="116"/>
      <c r="AM464" s="116"/>
      <c r="AN464" s="116"/>
      <c r="AO464" s="116"/>
      <c r="AP464" s="116"/>
      <c r="AQ464" s="50" t="s">
        <v>3185</v>
      </c>
      <c r="AR464" s="50" t="s">
        <v>2286</v>
      </c>
      <c r="AS464" s="50">
        <v>1.0</v>
      </c>
      <c r="AT464" s="50" t="s">
        <v>5540</v>
      </c>
      <c r="AU464" s="117">
        <v>6264.0</v>
      </c>
      <c r="AV464" s="50" t="s">
        <v>8543</v>
      </c>
      <c r="AW464" s="50" t="s">
        <v>8544</v>
      </c>
      <c r="AX464" s="117">
        <v>463.0</v>
      </c>
    </row>
    <row r="465">
      <c r="A465" s="50" t="s">
        <v>8547</v>
      </c>
      <c r="B465" s="50" t="s">
        <v>8548</v>
      </c>
      <c r="C465" s="116"/>
      <c r="D465" s="116"/>
      <c r="E465" s="50">
        <v>3.52155090281144E14</v>
      </c>
      <c r="F465" s="50">
        <v>59.0</v>
      </c>
      <c r="G465" s="50">
        <v>99.0</v>
      </c>
      <c r="H465" s="116"/>
      <c r="I465" s="116"/>
      <c r="J465" s="116"/>
      <c r="K465" s="50">
        <v>2.0</v>
      </c>
      <c r="L465" s="50" t="s">
        <v>1835</v>
      </c>
      <c r="M465" s="50" t="s">
        <v>1835</v>
      </c>
      <c r="N465" s="116"/>
      <c r="O465" s="116"/>
      <c r="P465" s="50" t="s">
        <v>8550</v>
      </c>
      <c r="Q465" s="50" t="s">
        <v>8551</v>
      </c>
      <c r="R465" s="50">
        <v>22.541089</v>
      </c>
      <c r="S465" s="50">
        <v>88.3745077</v>
      </c>
      <c r="T465" s="50">
        <v>-48.099998474121</v>
      </c>
      <c r="U465" s="50">
        <v>5.0</v>
      </c>
      <c r="V465" s="50">
        <v>1.0</v>
      </c>
      <c r="W465" s="50">
        <v>0.0</v>
      </c>
      <c r="X465" s="50">
        <v>0.0</v>
      </c>
      <c r="Y465" s="50">
        <v>0.0</v>
      </c>
      <c r="Z465" s="116"/>
      <c r="AA465" s="116"/>
      <c r="AB465" s="116"/>
      <c r="AC465" s="116"/>
      <c r="AD465" s="116"/>
      <c r="AE465" s="116"/>
      <c r="AF465" s="116"/>
      <c r="AG465" s="116"/>
      <c r="AH465" s="116"/>
      <c r="AI465" s="116"/>
      <c r="AJ465" s="116"/>
      <c r="AK465" s="116"/>
      <c r="AL465" s="116"/>
      <c r="AM465" s="116"/>
      <c r="AN465" s="116"/>
      <c r="AO465" s="116"/>
      <c r="AP465" s="116"/>
      <c r="AQ465" s="50" t="s">
        <v>8553</v>
      </c>
      <c r="AR465" s="50" t="s">
        <v>2286</v>
      </c>
      <c r="AS465" s="116"/>
      <c r="AT465" s="50" t="s">
        <v>5540</v>
      </c>
      <c r="AU465" s="117">
        <v>6265.0</v>
      </c>
      <c r="AV465" s="50" t="s">
        <v>8555</v>
      </c>
      <c r="AW465" s="50" t="s">
        <v>8557</v>
      </c>
      <c r="AX465" s="117">
        <v>464.0</v>
      </c>
    </row>
    <row r="466">
      <c r="A466" s="50" t="s">
        <v>8559</v>
      </c>
      <c r="B466" s="50" t="s">
        <v>8560</v>
      </c>
      <c r="C466" s="116"/>
      <c r="D466" s="116"/>
      <c r="E466" s="50">
        <v>3.5215509147374E14</v>
      </c>
      <c r="F466" s="50">
        <v>59.0</v>
      </c>
      <c r="G466" s="50">
        <v>11.0</v>
      </c>
      <c r="H466" s="50">
        <v>1.0</v>
      </c>
      <c r="I466" s="116"/>
      <c r="J466" s="116"/>
      <c r="K466" s="116"/>
      <c r="L466" s="50" t="s">
        <v>1816</v>
      </c>
      <c r="M466" s="50" t="s">
        <v>1816</v>
      </c>
      <c r="N466" s="116"/>
      <c r="O466" s="116"/>
      <c r="P466" s="50" t="s">
        <v>8562</v>
      </c>
      <c r="Q466" s="50" t="s">
        <v>8563</v>
      </c>
      <c r="R466" s="50">
        <v>22.5400593</v>
      </c>
      <c r="S466" s="50">
        <v>88.3872532</v>
      </c>
      <c r="T466" s="50">
        <v>-43.599998474121</v>
      </c>
      <c r="U466" s="50">
        <v>4.0</v>
      </c>
      <c r="V466" s="50">
        <v>1.0</v>
      </c>
      <c r="W466" s="50">
        <v>0.0</v>
      </c>
      <c r="X466" s="50">
        <v>0.0</v>
      </c>
      <c r="Y466" s="50">
        <v>0.0</v>
      </c>
      <c r="Z466" s="116"/>
      <c r="AA466" s="50">
        <v>1.0</v>
      </c>
      <c r="AB466" s="50">
        <v>4.0</v>
      </c>
      <c r="AC466" s="116"/>
      <c r="AD466" s="116"/>
      <c r="AE466" s="116"/>
      <c r="AF466" s="116"/>
      <c r="AG466" s="116"/>
      <c r="AH466" s="116"/>
      <c r="AI466" s="116"/>
      <c r="AJ466" s="116"/>
      <c r="AK466" s="116"/>
      <c r="AL466" s="116"/>
      <c r="AM466" s="116"/>
      <c r="AN466" s="116"/>
      <c r="AO466" s="116"/>
      <c r="AP466" s="116"/>
      <c r="AQ466" s="50" t="s">
        <v>3200</v>
      </c>
      <c r="AR466" s="50" t="s">
        <v>3142</v>
      </c>
      <c r="AS466" s="50">
        <v>0.0</v>
      </c>
      <c r="AT466" s="50" t="s">
        <v>5540</v>
      </c>
      <c r="AU466" s="117">
        <v>6268.0</v>
      </c>
      <c r="AV466" s="50" t="s">
        <v>8565</v>
      </c>
      <c r="AW466" s="50" t="s">
        <v>8566</v>
      </c>
      <c r="AX466" s="117">
        <v>465.0</v>
      </c>
    </row>
    <row r="467">
      <c r="A467" s="50" t="s">
        <v>8567</v>
      </c>
      <c r="B467" s="50" t="s">
        <v>8569</v>
      </c>
      <c r="C467" s="116"/>
      <c r="D467" s="116"/>
      <c r="E467" s="50">
        <v>3.5215509147374E14</v>
      </c>
      <c r="F467" s="50">
        <v>66.0</v>
      </c>
      <c r="G467" s="50">
        <v>12.0</v>
      </c>
      <c r="H467" s="116"/>
      <c r="I467" s="116"/>
      <c r="J467" s="116"/>
      <c r="K467" s="116"/>
      <c r="L467" s="50" t="s">
        <v>1837</v>
      </c>
      <c r="M467" s="50" t="s">
        <v>1837</v>
      </c>
      <c r="N467" s="50">
        <v>5.0</v>
      </c>
      <c r="O467" s="50" t="s">
        <v>8572</v>
      </c>
      <c r="P467" s="116"/>
      <c r="Q467" s="50" t="s">
        <v>8573</v>
      </c>
      <c r="R467" s="50">
        <v>22.5346324</v>
      </c>
      <c r="S467" s="50">
        <v>88.3959165</v>
      </c>
      <c r="T467" s="50">
        <v>-31.6000003814697</v>
      </c>
      <c r="U467" s="50">
        <v>5.0</v>
      </c>
      <c r="V467" s="50">
        <v>1.0</v>
      </c>
      <c r="W467" s="50">
        <v>0.0</v>
      </c>
      <c r="X467" s="50">
        <v>0.0</v>
      </c>
      <c r="Y467" s="50">
        <v>0.0</v>
      </c>
      <c r="Z467" s="116"/>
      <c r="AA467" s="116"/>
      <c r="AB467" s="116"/>
      <c r="AC467" s="116"/>
      <c r="AD467" s="116"/>
      <c r="AE467" s="50">
        <v>1.0</v>
      </c>
      <c r="AF467" s="50">
        <v>2.0</v>
      </c>
      <c r="AG467" s="50">
        <v>3.0</v>
      </c>
      <c r="AH467" s="50">
        <v>4.0</v>
      </c>
      <c r="AI467" s="116"/>
      <c r="AJ467" s="116"/>
      <c r="AK467" s="116"/>
      <c r="AL467" s="116"/>
      <c r="AM467" s="116"/>
      <c r="AN467" s="116"/>
      <c r="AO467" s="116"/>
      <c r="AP467" s="116"/>
      <c r="AQ467" s="50" t="s">
        <v>6185</v>
      </c>
      <c r="AR467" s="50" t="s">
        <v>2327</v>
      </c>
      <c r="AS467" s="50">
        <v>0.0</v>
      </c>
      <c r="AT467" s="50" t="s">
        <v>5540</v>
      </c>
      <c r="AU467" s="117">
        <v>6269.0</v>
      </c>
      <c r="AV467" s="50" t="s">
        <v>8575</v>
      </c>
      <c r="AW467" s="50" t="s">
        <v>8576</v>
      </c>
      <c r="AX467" s="117">
        <v>466.0</v>
      </c>
    </row>
    <row r="468">
      <c r="A468" s="50" t="s">
        <v>8577</v>
      </c>
      <c r="B468" s="50" t="s">
        <v>8579</v>
      </c>
      <c r="C468" s="116"/>
      <c r="D468" s="116"/>
      <c r="E468" s="50">
        <v>3.5215509147374E14</v>
      </c>
      <c r="F468" s="50">
        <v>66.0</v>
      </c>
      <c r="G468" s="50">
        <v>99.0</v>
      </c>
      <c r="H468" s="116"/>
      <c r="I468" s="116"/>
      <c r="J468" s="116"/>
      <c r="K468" s="50">
        <v>1.0</v>
      </c>
      <c r="L468" s="50" t="s">
        <v>1838</v>
      </c>
      <c r="M468" s="50" t="s">
        <v>1838</v>
      </c>
      <c r="N468" s="116"/>
      <c r="O468" s="116"/>
      <c r="P468" s="50" t="s">
        <v>8582</v>
      </c>
      <c r="Q468" s="50" t="s">
        <v>8583</v>
      </c>
      <c r="R468" s="50">
        <v>22.5345583</v>
      </c>
      <c r="S468" s="50">
        <v>88.3958106</v>
      </c>
      <c r="T468" s="50">
        <v>-51.7999992370605</v>
      </c>
      <c r="U468" s="50">
        <v>5.0</v>
      </c>
      <c r="V468" s="50">
        <v>1.0</v>
      </c>
      <c r="W468" s="50">
        <v>0.0</v>
      </c>
      <c r="X468" s="50">
        <v>0.0</v>
      </c>
      <c r="Y468" s="50">
        <v>0.0</v>
      </c>
      <c r="Z468" s="116"/>
      <c r="AA468" s="116"/>
      <c r="AB468" s="116"/>
      <c r="AC468" s="116"/>
      <c r="AD468" s="116"/>
      <c r="AE468" s="116"/>
      <c r="AF468" s="116"/>
      <c r="AG468" s="116"/>
      <c r="AH468" s="116"/>
      <c r="AI468" s="116"/>
      <c r="AJ468" s="116"/>
      <c r="AK468" s="116"/>
      <c r="AL468" s="116"/>
      <c r="AM468" s="116"/>
      <c r="AN468" s="116"/>
      <c r="AO468" s="116"/>
      <c r="AP468" s="116"/>
      <c r="AQ468" s="50" t="s">
        <v>8585</v>
      </c>
      <c r="AR468" s="50" t="s">
        <v>2327</v>
      </c>
      <c r="AS468" s="116"/>
      <c r="AT468" s="50" t="s">
        <v>5540</v>
      </c>
      <c r="AU468" s="117">
        <v>6270.0</v>
      </c>
      <c r="AV468" s="50" t="s">
        <v>8587</v>
      </c>
      <c r="AW468" s="50" t="s">
        <v>8588</v>
      </c>
      <c r="AX468" s="117">
        <v>467.0</v>
      </c>
    </row>
    <row r="469">
      <c r="A469" s="50" t="s">
        <v>8589</v>
      </c>
      <c r="B469" s="50" t="s">
        <v>8590</v>
      </c>
      <c r="C469" s="116"/>
      <c r="D469" s="116"/>
      <c r="E469" s="50">
        <v>3.5215509147374E14</v>
      </c>
      <c r="F469" s="50">
        <v>59.0</v>
      </c>
      <c r="G469" s="50">
        <v>12.0</v>
      </c>
      <c r="H469" s="116"/>
      <c r="I469" s="116"/>
      <c r="J469" s="116"/>
      <c r="K469" s="116"/>
      <c r="L469" s="50" t="s">
        <v>1840</v>
      </c>
      <c r="M469" s="50" t="s">
        <v>1840</v>
      </c>
      <c r="N469" s="50">
        <v>6.0</v>
      </c>
      <c r="O469" s="50" t="s">
        <v>8591</v>
      </c>
      <c r="P469" s="116"/>
      <c r="Q469" s="50" t="s">
        <v>8592</v>
      </c>
      <c r="R469" s="50">
        <v>22.5401154</v>
      </c>
      <c r="S469" s="50">
        <v>88.3872489</v>
      </c>
      <c r="T469" s="50">
        <v>-64.0</v>
      </c>
      <c r="U469" s="50">
        <v>5.0</v>
      </c>
      <c r="V469" s="50">
        <v>1.0</v>
      </c>
      <c r="W469" s="50">
        <v>0.0</v>
      </c>
      <c r="X469" s="50">
        <v>0.0</v>
      </c>
      <c r="Y469" s="50">
        <v>0.0</v>
      </c>
      <c r="Z469" s="116"/>
      <c r="AA469" s="116"/>
      <c r="AB469" s="116"/>
      <c r="AC469" s="116"/>
      <c r="AD469" s="116"/>
      <c r="AE469" s="50">
        <v>1.0</v>
      </c>
      <c r="AF469" s="50">
        <v>2.0</v>
      </c>
      <c r="AG469" s="50">
        <v>3.0</v>
      </c>
      <c r="AH469" s="50">
        <v>4.0</v>
      </c>
      <c r="AI469" s="116"/>
      <c r="AJ469" s="116"/>
      <c r="AK469" s="116"/>
      <c r="AL469" s="116"/>
      <c r="AM469" s="116"/>
      <c r="AN469" s="116"/>
      <c r="AO469" s="116"/>
      <c r="AP469" s="116"/>
      <c r="AQ469" s="50" t="s">
        <v>8595</v>
      </c>
      <c r="AR469" s="50" t="s">
        <v>3142</v>
      </c>
      <c r="AS469" s="50">
        <v>0.0</v>
      </c>
      <c r="AT469" s="50" t="s">
        <v>5540</v>
      </c>
      <c r="AU469" s="117">
        <v>6271.0</v>
      </c>
      <c r="AV469" s="50" t="s">
        <v>8597</v>
      </c>
      <c r="AW469" s="50" t="s">
        <v>8598</v>
      </c>
      <c r="AX469" s="117">
        <v>468.0</v>
      </c>
    </row>
    <row r="470">
      <c r="A470" s="50" t="s">
        <v>8599</v>
      </c>
      <c r="B470" s="50" t="s">
        <v>8600</v>
      </c>
      <c r="C470" s="116"/>
      <c r="D470" s="116"/>
      <c r="E470" s="50">
        <v>3.5215509147374E14</v>
      </c>
      <c r="F470" s="50">
        <v>59.0</v>
      </c>
      <c r="G470" s="50">
        <v>99.0</v>
      </c>
      <c r="H470" s="116"/>
      <c r="I470" s="116"/>
      <c r="J470" s="116"/>
      <c r="K470" s="50">
        <v>1.0</v>
      </c>
      <c r="L470" s="50" t="s">
        <v>1841</v>
      </c>
      <c r="M470" s="50" t="s">
        <v>1841</v>
      </c>
      <c r="N470" s="116"/>
      <c r="O470" s="116"/>
      <c r="P470" s="50" t="s">
        <v>8602</v>
      </c>
      <c r="Q470" s="50" t="s">
        <v>8603</v>
      </c>
      <c r="R470" s="50">
        <v>22.540127</v>
      </c>
      <c r="S470" s="50">
        <v>88.3873105</v>
      </c>
      <c r="T470" s="50">
        <v>-43.2000007629394</v>
      </c>
      <c r="U470" s="50">
        <v>5.0</v>
      </c>
      <c r="V470" s="50">
        <v>1.0</v>
      </c>
      <c r="W470" s="50">
        <v>0.0</v>
      </c>
      <c r="X470" s="50">
        <v>0.0</v>
      </c>
      <c r="Y470" s="50">
        <v>0.0</v>
      </c>
      <c r="Z470" s="116"/>
      <c r="AA470" s="116"/>
      <c r="AB470" s="116"/>
      <c r="AC470" s="116"/>
      <c r="AD470" s="116"/>
      <c r="AE470" s="116"/>
      <c r="AF470" s="116"/>
      <c r="AG470" s="116"/>
      <c r="AH470" s="116"/>
      <c r="AI470" s="116"/>
      <c r="AJ470" s="116"/>
      <c r="AK470" s="116"/>
      <c r="AL470" s="116"/>
      <c r="AM470" s="116"/>
      <c r="AN470" s="116"/>
      <c r="AO470" s="116"/>
      <c r="AP470" s="116"/>
      <c r="AQ470" s="50" t="s">
        <v>8609</v>
      </c>
      <c r="AR470" s="50" t="s">
        <v>3142</v>
      </c>
      <c r="AS470" s="116"/>
      <c r="AT470" s="50" t="s">
        <v>5540</v>
      </c>
      <c r="AU470" s="117">
        <v>6272.0</v>
      </c>
      <c r="AV470" s="50" t="s">
        <v>8611</v>
      </c>
      <c r="AW470" s="50" t="s">
        <v>8613</v>
      </c>
      <c r="AX470" s="117">
        <v>469.0</v>
      </c>
    </row>
    <row r="471">
      <c r="A471" s="50" t="s">
        <v>8614</v>
      </c>
      <c r="B471" s="50" t="s">
        <v>8615</v>
      </c>
      <c r="C471" s="116"/>
      <c r="D471" s="116"/>
      <c r="E471" s="50">
        <v>3.52155090281144E14</v>
      </c>
      <c r="F471" s="50">
        <v>59.0</v>
      </c>
      <c r="G471" s="50">
        <v>11.0</v>
      </c>
      <c r="H471" s="50">
        <v>4.0</v>
      </c>
      <c r="I471" s="50">
        <v>1.0</v>
      </c>
      <c r="J471" s="50" t="s">
        <v>7732</v>
      </c>
      <c r="K471" s="116"/>
      <c r="L471" s="50" t="s">
        <v>1845</v>
      </c>
      <c r="M471" s="50" t="s">
        <v>1845</v>
      </c>
      <c r="N471" s="116"/>
      <c r="O471" s="116"/>
      <c r="P471" s="50" t="s">
        <v>8619</v>
      </c>
      <c r="Q471" s="50" t="s">
        <v>8620</v>
      </c>
      <c r="R471" s="50">
        <v>22.5400045</v>
      </c>
      <c r="S471" s="50">
        <v>88.3766533</v>
      </c>
      <c r="T471" s="50">
        <v>-40.9000015258789</v>
      </c>
      <c r="U471" s="50">
        <v>5.0</v>
      </c>
      <c r="V471" s="50">
        <v>1.0</v>
      </c>
      <c r="W471" s="50">
        <v>0.0</v>
      </c>
      <c r="X471" s="50">
        <v>0.0</v>
      </c>
      <c r="Y471" s="50">
        <v>0.0</v>
      </c>
      <c r="Z471" s="116"/>
      <c r="AA471" s="50">
        <v>2.0</v>
      </c>
      <c r="AB471" s="50">
        <v>4.0</v>
      </c>
      <c r="AC471" s="116"/>
      <c r="AD471" s="116"/>
      <c r="AE471" s="116"/>
      <c r="AF471" s="116"/>
      <c r="AG471" s="116"/>
      <c r="AH471" s="116"/>
      <c r="AI471" s="116"/>
      <c r="AJ471" s="116"/>
      <c r="AK471" s="116"/>
      <c r="AL471" s="116"/>
      <c r="AM471" s="116"/>
      <c r="AN471" s="116"/>
      <c r="AO471" s="116"/>
      <c r="AP471" s="116"/>
      <c r="AQ471" s="50" t="s">
        <v>3149</v>
      </c>
      <c r="AR471" s="50" t="s">
        <v>2472</v>
      </c>
      <c r="AS471" s="50">
        <v>1.0</v>
      </c>
      <c r="AT471" s="50" t="s">
        <v>5540</v>
      </c>
      <c r="AU471" s="117">
        <v>6306.0</v>
      </c>
      <c r="AV471" s="50" t="s">
        <v>8626</v>
      </c>
      <c r="AW471" s="50" t="s">
        <v>8627</v>
      </c>
      <c r="AX471" s="117">
        <v>470.0</v>
      </c>
    </row>
    <row r="472">
      <c r="A472" s="50" t="s">
        <v>8628</v>
      </c>
      <c r="B472" s="50" t="s">
        <v>8630</v>
      </c>
      <c r="C472" s="116"/>
      <c r="D472" s="116"/>
      <c r="E472" s="50">
        <v>3.52155090281144E14</v>
      </c>
      <c r="F472" s="50">
        <v>59.0</v>
      </c>
      <c r="G472" s="50">
        <v>99.0</v>
      </c>
      <c r="H472" s="116"/>
      <c r="I472" s="116"/>
      <c r="J472" s="116"/>
      <c r="K472" s="50">
        <v>2.0</v>
      </c>
      <c r="L472" s="50" t="s">
        <v>1846</v>
      </c>
      <c r="M472" s="50" t="s">
        <v>1846</v>
      </c>
      <c r="N472" s="116"/>
      <c r="O472" s="116"/>
      <c r="P472" s="50" t="s">
        <v>8634</v>
      </c>
      <c r="Q472" s="50" t="s">
        <v>8635</v>
      </c>
      <c r="R472" s="50">
        <v>22.5399654</v>
      </c>
      <c r="S472" s="50">
        <v>88.3766544</v>
      </c>
      <c r="T472" s="50">
        <v>-40.4000015258789</v>
      </c>
      <c r="U472" s="50">
        <v>5.0</v>
      </c>
      <c r="V472" s="50">
        <v>1.0</v>
      </c>
      <c r="W472" s="50">
        <v>0.0</v>
      </c>
      <c r="X472" s="50">
        <v>0.0</v>
      </c>
      <c r="Y472" s="50">
        <v>0.0</v>
      </c>
      <c r="Z472" s="116"/>
      <c r="AA472" s="116"/>
      <c r="AB472" s="116"/>
      <c r="AC472" s="116"/>
      <c r="AD472" s="116"/>
      <c r="AE472" s="116"/>
      <c r="AF472" s="116"/>
      <c r="AG472" s="116"/>
      <c r="AH472" s="116"/>
      <c r="AI472" s="116"/>
      <c r="AJ472" s="116"/>
      <c r="AK472" s="116"/>
      <c r="AL472" s="116"/>
      <c r="AM472" s="116"/>
      <c r="AN472" s="116"/>
      <c r="AO472" s="116"/>
      <c r="AP472" s="116"/>
      <c r="AQ472" s="50" t="s">
        <v>8638</v>
      </c>
      <c r="AR472" s="50" t="s">
        <v>2472</v>
      </c>
      <c r="AS472" s="116"/>
      <c r="AT472" s="50" t="s">
        <v>5540</v>
      </c>
      <c r="AU472" s="117">
        <v>6307.0</v>
      </c>
      <c r="AV472" s="50" t="s">
        <v>8640</v>
      </c>
      <c r="AW472" s="50" t="s">
        <v>8641</v>
      </c>
      <c r="AX472" s="117">
        <v>471.0</v>
      </c>
    </row>
    <row r="473">
      <c r="A473" s="50" t="s">
        <v>8643</v>
      </c>
      <c r="B473" s="50" t="s">
        <v>8644</v>
      </c>
      <c r="C473" s="116"/>
      <c r="D473" s="116"/>
      <c r="E473" s="50">
        <v>3.52155090281144E14</v>
      </c>
      <c r="F473" s="50">
        <v>59.0</v>
      </c>
      <c r="G473" s="50">
        <v>11.0</v>
      </c>
      <c r="H473" s="50">
        <v>4.0</v>
      </c>
      <c r="I473" s="50">
        <v>1.0</v>
      </c>
      <c r="J473" s="50" t="s">
        <v>8647</v>
      </c>
      <c r="K473" s="116"/>
      <c r="L473" s="50" t="s">
        <v>1848</v>
      </c>
      <c r="M473" s="50" t="s">
        <v>1848</v>
      </c>
      <c r="N473" s="116"/>
      <c r="O473" s="116"/>
      <c r="P473" s="50" t="s">
        <v>8650</v>
      </c>
      <c r="Q473" s="50" t="s">
        <v>8651</v>
      </c>
      <c r="R473" s="50">
        <v>22.540334</v>
      </c>
      <c r="S473" s="50">
        <v>88.3753215</v>
      </c>
      <c r="T473" s="50">
        <v>-37.7999992370605</v>
      </c>
      <c r="U473" s="50">
        <v>5.0</v>
      </c>
      <c r="V473" s="50">
        <v>1.0</v>
      </c>
      <c r="W473" s="50">
        <v>0.0</v>
      </c>
      <c r="X473" s="50">
        <v>0.0</v>
      </c>
      <c r="Y473" s="50">
        <v>0.0</v>
      </c>
      <c r="Z473" s="116"/>
      <c r="AA473" s="50">
        <v>2.0</v>
      </c>
      <c r="AB473" s="50">
        <v>4.0</v>
      </c>
      <c r="AC473" s="116"/>
      <c r="AD473" s="116"/>
      <c r="AE473" s="116"/>
      <c r="AF473" s="116"/>
      <c r="AG473" s="116"/>
      <c r="AH473" s="116"/>
      <c r="AI473" s="116"/>
      <c r="AJ473" s="116"/>
      <c r="AK473" s="116"/>
      <c r="AL473" s="116"/>
      <c r="AM473" s="116"/>
      <c r="AN473" s="116"/>
      <c r="AO473" s="116"/>
      <c r="AP473" s="116"/>
      <c r="AQ473" s="50" t="s">
        <v>3200</v>
      </c>
      <c r="AR473" s="50" t="s">
        <v>2472</v>
      </c>
      <c r="AS473" s="50">
        <v>1.0</v>
      </c>
      <c r="AT473" s="50" t="s">
        <v>5540</v>
      </c>
      <c r="AU473" s="117">
        <v>6308.0</v>
      </c>
      <c r="AV473" s="50" t="s">
        <v>8655</v>
      </c>
      <c r="AW473" s="50" t="s">
        <v>8656</v>
      </c>
      <c r="AX473" s="117">
        <v>472.0</v>
      </c>
    </row>
    <row r="474">
      <c r="A474" s="50" t="s">
        <v>8657</v>
      </c>
      <c r="B474" s="50" t="s">
        <v>8658</v>
      </c>
      <c r="C474" s="116"/>
      <c r="D474" s="116"/>
      <c r="E474" s="50">
        <v>3.52155090281144E14</v>
      </c>
      <c r="F474" s="50">
        <v>59.0</v>
      </c>
      <c r="G474" s="50">
        <v>99.0</v>
      </c>
      <c r="H474" s="116"/>
      <c r="I474" s="116"/>
      <c r="J474" s="116"/>
      <c r="K474" s="50">
        <v>2.0</v>
      </c>
      <c r="L474" s="50" t="s">
        <v>1849</v>
      </c>
      <c r="M474" s="50" t="s">
        <v>1849</v>
      </c>
      <c r="N474" s="116"/>
      <c r="O474" s="116"/>
      <c r="P474" s="50" t="s">
        <v>8660</v>
      </c>
      <c r="Q474" s="50" t="s">
        <v>8661</v>
      </c>
      <c r="R474" s="50">
        <v>22.5403337</v>
      </c>
      <c r="S474" s="50">
        <v>88.3753751</v>
      </c>
      <c r="T474" s="50">
        <v>-39.2999992370605</v>
      </c>
      <c r="U474" s="50">
        <v>5.0</v>
      </c>
      <c r="V474" s="50">
        <v>1.0</v>
      </c>
      <c r="W474" s="50">
        <v>0.0</v>
      </c>
      <c r="X474" s="50">
        <v>0.0</v>
      </c>
      <c r="Y474" s="50">
        <v>0.0</v>
      </c>
      <c r="Z474" s="116"/>
      <c r="AA474" s="116"/>
      <c r="AB474" s="116"/>
      <c r="AC474" s="116"/>
      <c r="AD474" s="116"/>
      <c r="AE474" s="116"/>
      <c r="AF474" s="116"/>
      <c r="AG474" s="116"/>
      <c r="AH474" s="116"/>
      <c r="AI474" s="116"/>
      <c r="AJ474" s="116"/>
      <c r="AK474" s="116"/>
      <c r="AL474" s="116"/>
      <c r="AM474" s="116"/>
      <c r="AN474" s="116"/>
      <c r="AO474" s="116"/>
      <c r="AP474" s="116"/>
      <c r="AQ474" s="50" t="s">
        <v>8662</v>
      </c>
      <c r="AR474" s="50" t="s">
        <v>2472</v>
      </c>
      <c r="AS474" s="116"/>
      <c r="AT474" s="50" t="s">
        <v>5540</v>
      </c>
      <c r="AU474" s="117">
        <v>6309.0</v>
      </c>
      <c r="AV474" s="50" t="s">
        <v>8664</v>
      </c>
      <c r="AW474" s="50" t="s">
        <v>8665</v>
      </c>
      <c r="AX474" s="117">
        <v>473.0</v>
      </c>
    </row>
    <row r="475">
      <c r="A475" s="50" t="s">
        <v>8666</v>
      </c>
      <c r="B475" s="50" t="s">
        <v>8667</v>
      </c>
      <c r="C475" s="116"/>
      <c r="D475" s="116"/>
      <c r="E475" s="50">
        <v>3.52155090281144E14</v>
      </c>
      <c r="F475" s="50">
        <v>59.0</v>
      </c>
      <c r="G475" s="50">
        <v>11.0</v>
      </c>
      <c r="H475" s="50">
        <v>4.0</v>
      </c>
      <c r="I475" s="50">
        <v>1.0</v>
      </c>
      <c r="J475" s="50" t="s">
        <v>8348</v>
      </c>
      <c r="K475" s="116"/>
      <c r="L475" s="50" t="s">
        <v>1851</v>
      </c>
      <c r="M475" s="50" t="s">
        <v>1851</v>
      </c>
      <c r="N475" s="116"/>
      <c r="O475" s="116"/>
      <c r="P475" s="50" t="s">
        <v>8668</v>
      </c>
      <c r="Q475" s="50" t="s">
        <v>8669</v>
      </c>
      <c r="R475" s="50">
        <v>22.541352</v>
      </c>
      <c r="S475" s="50">
        <v>88.3752744</v>
      </c>
      <c r="T475" s="50">
        <v>-73.5</v>
      </c>
      <c r="U475" s="50">
        <v>5.0</v>
      </c>
      <c r="V475" s="50">
        <v>1.0</v>
      </c>
      <c r="W475" s="50">
        <v>0.0</v>
      </c>
      <c r="X475" s="50">
        <v>0.0</v>
      </c>
      <c r="Y475" s="50">
        <v>0.0</v>
      </c>
      <c r="Z475" s="116"/>
      <c r="AA475" s="50">
        <v>2.0</v>
      </c>
      <c r="AB475" s="50">
        <v>4.0</v>
      </c>
      <c r="AC475" s="116"/>
      <c r="AD475" s="116"/>
      <c r="AE475" s="116"/>
      <c r="AF475" s="116"/>
      <c r="AG475" s="116"/>
      <c r="AH475" s="116"/>
      <c r="AI475" s="116"/>
      <c r="AJ475" s="116"/>
      <c r="AK475" s="116"/>
      <c r="AL475" s="116"/>
      <c r="AM475" s="116"/>
      <c r="AN475" s="116"/>
      <c r="AO475" s="116"/>
      <c r="AP475" s="116"/>
      <c r="AQ475" s="50" t="s">
        <v>3200</v>
      </c>
      <c r="AR475" s="50" t="s">
        <v>3142</v>
      </c>
      <c r="AS475" s="50">
        <v>1.0</v>
      </c>
      <c r="AT475" s="50" t="s">
        <v>5540</v>
      </c>
      <c r="AU475" s="117">
        <v>6310.0</v>
      </c>
      <c r="AV475" s="50" t="s">
        <v>8674</v>
      </c>
      <c r="AW475" s="50" t="s">
        <v>8675</v>
      </c>
      <c r="AX475" s="117">
        <v>474.0</v>
      </c>
    </row>
    <row r="476">
      <c r="A476" s="50" t="s">
        <v>8676</v>
      </c>
      <c r="B476" s="50" t="s">
        <v>8677</v>
      </c>
      <c r="C476" s="116"/>
      <c r="D476" s="116"/>
      <c r="E476" s="50">
        <v>3.52155090281144E14</v>
      </c>
      <c r="F476" s="50">
        <v>59.0</v>
      </c>
      <c r="G476" s="50">
        <v>99.0</v>
      </c>
      <c r="H476" s="116"/>
      <c r="I476" s="116"/>
      <c r="J476" s="116"/>
      <c r="K476" s="50">
        <v>2.0</v>
      </c>
      <c r="L476" s="50" t="s">
        <v>1852</v>
      </c>
      <c r="M476" s="50" t="s">
        <v>1852</v>
      </c>
      <c r="N476" s="116"/>
      <c r="O476" s="116"/>
      <c r="P476" s="50" t="s">
        <v>8679</v>
      </c>
      <c r="Q476" s="50" t="s">
        <v>8681</v>
      </c>
      <c r="R476" s="50">
        <v>22.5414757</v>
      </c>
      <c r="S476" s="50">
        <v>88.3753471</v>
      </c>
      <c r="T476" s="50">
        <v>-58.4000015258789</v>
      </c>
      <c r="U476" s="50">
        <v>5.0</v>
      </c>
      <c r="V476" s="50">
        <v>1.0</v>
      </c>
      <c r="W476" s="50">
        <v>0.0</v>
      </c>
      <c r="X476" s="50">
        <v>0.0</v>
      </c>
      <c r="Y476" s="50">
        <v>0.0</v>
      </c>
      <c r="Z476" s="116"/>
      <c r="AA476" s="116"/>
      <c r="AB476" s="116"/>
      <c r="AC476" s="116"/>
      <c r="AD476" s="116"/>
      <c r="AE476" s="116"/>
      <c r="AF476" s="116"/>
      <c r="AG476" s="116"/>
      <c r="AH476" s="116"/>
      <c r="AI476" s="116"/>
      <c r="AJ476" s="116"/>
      <c r="AK476" s="116"/>
      <c r="AL476" s="116"/>
      <c r="AM476" s="116"/>
      <c r="AN476" s="116"/>
      <c r="AO476" s="116"/>
      <c r="AP476" s="116"/>
      <c r="AQ476" s="50" t="s">
        <v>8684</v>
      </c>
      <c r="AR476" s="50" t="s">
        <v>3142</v>
      </c>
      <c r="AS476" s="116"/>
      <c r="AT476" s="50" t="s">
        <v>5540</v>
      </c>
      <c r="AU476" s="117">
        <v>6311.0</v>
      </c>
      <c r="AV476" s="50" t="s">
        <v>8685</v>
      </c>
      <c r="AW476" s="50" t="s">
        <v>8686</v>
      </c>
      <c r="AX476" s="117">
        <v>475.0</v>
      </c>
    </row>
    <row r="477">
      <c r="A477" s="50" t="s">
        <v>8688</v>
      </c>
      <c r="B477" s="50" t="s">
        <v>8689</v>
      </c>
      <c r="C477" s="116"/>
      <c r="D477" s="116"/>
      <c r="E477" s="50">
        <v>3.52155090281144E14</v>
      </c>
      <c r="F477" s="50">
        <v>59.0</v>
      </c>
      <c r="G477" s="50">
        <v>11.0</v>
      </c>
      <c r="H477" s="50">
        <v>4.0</v>
      </c>
      <c r="I477" s="50">
        <v>1.0</v>
      </c>
      <c r="J477" s="50" t="s">
        <v>8058</v>
      </c>
      <c r="K477" s="116"/>
      <c r="L477" s="50" t="s">
        <v>1854</v>
      </c>
      <c r="M477" s="50" t="s">
        <v>1854</v>
      </c>
      <c r="N477" s="116"/>
      <c r="O477" s="116"/>
      <c r="P477" s="50" t="s">
        <v>8693</v>
      </c>
      <c r="Q477" s="50" t="s">
        <v>8694</v>
      </c>
      <c r="R477" s="50">
        <v>22.5451475</v>
      </c>
      <c r="S477" s="50">
        <v>88.383434</v>
      </c>
      <c r="T477" s="50">
        <v>-69.6999969482421</v>
      </c>
      <c r="U477" s="50">
        <v>5.0</v>
      </c>
      <c r="V477" s="50">
        <v>1.0</v>
      </c>
      <c r="W477" s="50">
        <v>0.0</v>
      </c>
      <c r="X477" s="50">
        <v>0.0</v>
      </c>
      <c r="Y477" s="50">
        <v>0.0</v>
      </c>
      <c r="Z477" s="116"/>
      <c r="AA477" s="50">
        <v>2.0</v>
      </c>
      <c r="AB477" s="50">
        <v>4.0</v>
      </c>
      <c r="AC477" s="116"/>
      <c r="AD477" s="116"/>
      <c r="AE477" s="116"/>
      <c r="AF477" s="116"/>
      <c r="AG477" s="116"/>
      <c r="AH477" s="116"/>
      <c r="AI477" s="116"/>
      <c r="AJ477" s="116"/>
      <c r="AK477" s="116"/>
      <c r="AL477" s="116"/>
      <c r="AM477" s="116"/>
      <c r="AN477" s="116"/>
      <c r="AO477" s="116"/>
      <c r="AP477" s="116"/>
      <c r="AQ477" s="50" t="s">
        <v>2979</v>
      </c>
      <c r="AR477" s="50" t="s">
        <v>2286</v>
      </c>
      <c r="AS477" s="50">
        <v>1.0</v>
      </c>
      <c r="AT477" s="50" t="s">
        <v>5540</v>
      </c>
      <c r="AU477" s="117">
        <v>6312.0</v>
      </c>
      <c r="AV477" s="50" t="s">
        <v>8695</v>
      </c>
      <c r="AW477" s="50" t="s">
        <v>8696</v>
      </c>
      <c r="AX477" s="117">
        <v>476.0</v>
      </c>
    </row>
    <row r="478">
      <c r="A478" s="50" t="s">
        <v>8698</v>
      </c>
      <c r="B478" s="50" t="s">
        <v>8699</v>
      </c>
      <c r="C478" s="116"/>
      <c r="D478" s="116"/>
      <c r="E478" s="50">
        <v>3.52155090281144E14</v>
      </c>
      <c r="F478" s="50">
        <v>59.0</v>
      </c>
      <c r="G478" s="50">
        <v>99.0</v>
      </c>
      <c r="H478" s="116"/>
      <c r="I478" s="116"/>
      <c r="J478" s="116"/>
      <c r="K478" s="50">
        <v>2.0</v>
      </c>
      <c r="L478" s="50" t="s">
        <v>1855</v>
      </c>
      <c r="M478" s="50" t="s">
        <v>1855</v>
      </c>
      <c r="N478" s="116"/>
      <c r="O478" s="116"/>
      <c r="P478" s="50" t="s">
        <v>8702</v>
      </c>
      <c r="Q478" s="50" t="s">
        <v>8703</v>
      </c>
      <c r="R478" s="50">
        <v>22.5451173</v>
      </c>
      <c r="S478" s="50">
        <v>88.383452</v>
      </c>
      <c r="T478" s="50">
        <v>-58.7000007629394</v>
      </c>
      <c r="U478" s="50">
        <v>5.0</v>
      </c>
      <c r="V478" s="50">
        <v>1.0</v>
      </c>
      <c r="W478" s="50">
        <v>0.0</v>
      </c>
      <c r="X478" s="50">
        <v>0.0</v>
      </c>
      <c r="Y478" s="50">
        <v>0.0</v>
      </c>
      <c r="Z478" s="116"/>
      <c r="AA478" s="116"/>
      <c r="AB478" s="116"/>
      <c r="AC478" s="116"/>
      <c r="AD478" s="116"/>
      <c r="AE478" s="116"/>
      <c r="AF478" s="116"/>
      <c r="AG478" s="116"/>
      <c r="AH478" s="116"/>
      <c r="AI478" s="116"/>
      <c r="AJ478" s="116"/>
      <c r="AK478" s="116"/>
      <c r="AL478" s="116"/>
      <c r="AM478" s="116"/>
      <c r="AN478" s="116"/>
      <c r="AO478" s="116"/>
      <c r="AP478" s="116"/>
      <c r="AQ478" s="50" t="s">
        <v>8708</v>
      </c>
      <c r="AR478" s="50" t="s">
        <v>2286</v>
      </c>
      <c r="AS478" s="116"/>
      <c r="AT478" s="50" t="s">
        <v>5540</v>
      </c>
      <c r="AU478" s="117">
        <v>6313.0</v>
      </c>
      <c r="AV478" s="50" t="s">
        <v>8709</v>
      </c>
      <c r="AW478" s="50" t="s">
        <v>8710</v>
      </c>
      <c r="AX478" s="117">
        <v>477.0</v>
      </c>
    </row>
    <row r="479">
      <c r="A479" s="50" t="s">
        <v>8711</v>
      </c>
      <c r="B479" s="50" t="s">
        <v>8712</v>
      </c>
      <c r="C479" s="116"/>
      <c r="D479" s="116"/>
      <c r="E479" s="50">
        <v>3.52155090281144E14</v>
      </c>
      <c r="F479" s="50">
        <v>59.0</v>
      </c>
      <c r="G479" s="50">
        <v>11.0</v>
      </c>
      <c r="H479" s="50">
        <v>4.0</v>
      </c>
      <c r="I479" s="50">
        <v>1.0</v>
      </c>
      <c r="J479" s="50" t="s">
        <v>7653</v>
      </c>
      <c r="K479" s="116"/>
      <c r="L479" s="50" t="s">
        <v>1860</v>
      </c>
      <c r="M479" s="50" t="s">
        <v>1860</v>
      </c>
      <c r="N479" s="116"/>
      <c r="O479" s="116"/>
      <c r="P479" s="50" t="s">
        <v>8715</v>
      </c>
      <c r="Q479" s="50" t="s">
        <v>8716</v>
      </c>
      <c r="R479" s="50">
        <v>22.5407403</v>
      </c>
      <c r="S479" s="50">
        <v>88.3764453</v>
      </c>
      <c r="T479" s="50">
        <v>-15.6999998092651</v>
      </c>
      <c r="U479" s="50">
        <v>5.0</v>
      </c>
      <c r="V479" s="50">
        <v>1.0</v>
      </c>
      <c r="W479" s="50">
        <v>0.0</v>
      </c>
      <c r="X479" s="50">
        <v>0.0</v>
      </c>
      <c r="Y479" s="50">
        <v>0.0</v>
      </c>
      <c r="Z479" s="116"/>
      <c r="AA479" s="50">
        <v>2.0</v>
      </c>
      <c r="AB479" s="50">
        <v>4.0</v>
      </c>
      <c r="AC479" s="116"/>
      <c r="AD479" s="116"/>
      <c r="AE479" s="116"/>
      <c r="AF479" s="116"/>
      <c r="AG479" s="116"/>
      <c r="AH479" s="116"/>
      <c r="AI479" s="116"/>
      <c r="AJ479" s="116"/>
      <c r="AK479" s="116"/>
      <c r="AL479" s="116"/>
      <c r="AM479" s="116"/>
      <c r="AN479" s="116"/>
      <c r="AO479" s="116"/>
      <c r="AP479" s="116"/>
      <c r="AQ479" s="50" t="s">
        <v>3185</v>
      </c>
      <c r="AR479" s="50" t="s">
        <v>2327</v>
      </c>
      <c r="AS479" s="50">
        <v>1.0</v>
      </c>
      <c r="AT479" s="50" t="s">
        <v>5540</v>
      </c>
      <c r="AU479" s="117">
        <v>6381.0</v>
      </c>
      <c r="AV479" s="50" t="s">
        <v>8723</v>
      </c>
      <c r="AW479" s="50" t="s">
        <v>8724</v>
      </c>
      <c r="AX479" s="117">
        <v>478.0</v>
      </c>
    </row>
    <row r="480">
      <c r="A480" s="50" t="s">
        <v>8725</v>
      </c>
      <c r="B480" s="50" t="s">
        <v>8727</v>
      </c>
      <c r="C480" s="116"/>
      <c r="D480" s="116"/>
      <c r="E480" s="50">
        <v>3.52155090281144E14</v>
      </c>
      <c r="F480" s="50">
        <v>59.0</v>
      </c>
      <c r="G480" s="50">
        <v>99.0</v>
      </c>
      <c r="H480" s="116"/>
      <c r="I480" s="116"/>
      <c r="J480" s="116"/>
      <c r="K480" s="50">
        <v>2.0</v>
      </c>
      <c r="L480" s="50" t="s">
        <v>1861</v>
      </c>
      <c r="M480" s="50" t="s">
        <v>1861</v>
      </c>
      <c r="N480" s="116"/>
      <c r="O480" s="116"/>
      <c r="P480" s="50" t="s">
        <v>8732</v>
      </c>
      <c r="Q480" s="50" t="s">
        <v>8734</v>
      </c>
      <c r="R480" s="50">
        <v>22.5407446</v>
      </c>
      <c r="S480" s="50">
        <v>88.3760113</v>
      </c>
      <c r="T480" s="50">
        <v>-73.8000030517578</v>
      </c>
      <c r="U480" s="50">
        <v>5.0</v>
      </c>
      <c r="V480" s="50">
        <v>1.0</v>
      </c>
      <c r="W480" s="50">
        <v>0.0</v>
      </c>
      <c r="X480" s="50">
        <v>0.0</v>
      </c>
      <c r="Y480" s="50">
        <v>0.0</v>
      </c>
      <c r="Z480" s="116"/>
      <c r="AA480" s="116"/>
      <c r="AB480" s="116"/>
      <c r="AC480" s="116"/>
      <c r="AD480" s="116"/>
      <c r="AE480" s="116"/>
      <c r="AF480" s="116"/>
      <c r="AG480" s="116"/>
      <c r="AH480" s="116"/>
      <c r="AI480" s="116"/>
      <c r="AJ480" s="116"/>
      <c r="AK480" s="116"/>
      <c r="AL480" s="116"/>
      <c r="AM480" s="116"/>
      <c r="AN480" s="116"/>
      <c r="AO480" s="116"/>
      <c r="AP480" s="116"/>
      <c r="AQ480" s="50" t="s">
        <v>8735</v>
      </c>
      <c r="AR480" s="50" t="s">
        <v>2327</v>
      </c>
      <c r="AS480" s="116"/>
      <c r="AT480" s="50" t="s">
        <v>5540</v>
      </c>
      <c r="AU480" s="117">
        <v>6382.0</v>
      </c>
      <c r="AV480" s="50" t="s">
        <v>8738</v>
      </c>
      <c r="AW480" s="50" t="s">
        <v>8739</v>
      </c>
      <c r="AX480" s="117">
        <v>479.0</v>
      </c>
    </row>
    <row r="481">
      <c r="A481" s="50" t="s">
        <v>8740</v>
      </c>
      <c r="B481" s="50" t="s">
        <v>8742</v>
      </c>
      <c r="C481" s="116"/>
      <c r="D481" s="116"/>
      <c r="E481" s="50">
        <v>3.52155090281144E14</v>
      </c>
      <c r="F481" s="50">
        <v>59.0</v>
      </c>
      <c r="G481" s="50">
        <v>11.0</v>
      </c>
      <c r="H481" s="50">
        <v>4.0</v>
      </c>
      <c r="I481" s="50">
        <v>1.0</v>
      </c>
      <c r="J481" s="50" t="s">
        <v>8464</v>
      </c>
      <c r="K481" s="116"/>
      <c r="L481" s="50" t="s">
        <v>1863</v>
      </c>
      <c r="M481" s="50" t="s">
        <v>1863</v>
      </c>
      <c r="N481" s="116"/>
      <c r="O481" s="116"/>
      <c r="P481" s="50" t="s">
        <v>8746</v>
      </c>
      <c r="Q481" s="50" t="s">
        <v>8747</v>
      </c>
      <c r="R481" s="50">
        <v>22.5409646</v>
      </c>
      <c r="S481" s="50">
        <v>88.3757202</v>
      </c>
      <c r="T481" s="50">
        <v>3.20000004768371</v>
      </c>
      <c r="U481" s="50">
        <v>5.0</v>
      </c>
      <c r="V481" s="50">
        <v>1.0</v>
      </c>
      <c r="W481" s="50">
        <v>0.0</v>
      </c>
      <c r="X481" s="50">
        <v>0.0</v>
      </c>
      <c r="Y481" s="50">
        <v>0.0</v>
      </c>
      <c r="Z481" s="116"/>
      <c r="AA481" s="50">
        <v>2.0</v>
      </c>
      <c r="AB481" s="50">
        <v>4.0</v>
      </c>
      <c r="AC481" s="116"/>
      <c r="AD481" s="116"/>
      <c r="AE481" s="116"/>
      <c r="AF481" s="116"/>
      <c r="AG481" s="116"/>
      <c r="AH481" s="116"/>
      <c r="AI481" s="116"/>
      <c r="AJ481" s="116"/>
      <c r="AK481" s="116"/>
      <c r="AL481" s="116"/>
      <c r="AM481" s="116"/>
      <c r="AN481" s="116"/>
      <c r="AO481" s="116"/>
      <c r="AP481" s="116"/>
      <c r="AQ481" s="50" t="s">
        <v>3149</v>
      </c>
      <c r="AR481" s="50" t="s">
        <v>2472</v>
      </c>
      <c r="AS481" s="50">
        <v>1.0</v>
      </c>
      <c r="AT481" s="50" t="s">
        <v>5540</v>
      </c>
      <c r="AU481" s="117">
        <v>6383.0</v>
      </c>
      <c r="AV481" s="50" t="s">
        <v>8752</v>
      </c>
      <c r="AW481" s="50" t="s">
        <v>8754</v>
      </c>
      <c r="AX481" s="117">
        <v>480.0</v>
      </c>
    </row>
    <row r="482">
      <c r="A482" s="50" t="s">
        <v>8757</v>
      </c>
      <c r="B482" s="50" t="s">
        <v>8758</v>
      </c>
      <c r="C482" s="116"/>
      <c r="D482" s="116"/>
      <c r="E482" s="50">
        <v>3.52155090281144E14</v>
      </c>
      <c r="F482" s="50">
        <v>59.0</v>
      </c>
      <c r="G482" s="50">
        <v>99.0</v>
      </c>
      <c r="H482" s="116"/>
      <c r="I482" s="116"/>
      <c r="J482" s="116"/>
      <c r="K482" s="50">
        <v>2.0</v>
      </c>
      <c r="L482" s="50" t="s">
        <v>1864</v>
      </c>
      <c r="M482" s="50" t="s">
        <v>1864</v>
      </c>
      <c r="N482" s="116"/>
      <c r="O482" s="116"/>
      <c r="P482" s="50" t="s">
        <v>8759</v>
      </c>
      <c r="Q482" s="50" t="s">
        <v>8761</v>
      </c>
      <c r="R482" s="50">
        <v>22.5409625</v>
      </c>
      <c r="S482" s="50">
        <v>88.3757985</v>
      </c>
      <c r="T482" s="50">
        <v>-42.0</v>
      </c>
      <c r="U482" s="50">
        <v>5.0</v>
      </c>
      <c r="V482" s="50">
        <v>1.0</v>
      </c>
      <c r="W482" s="50">
        <v>0.0</v>
      </c>
      <c r="X482" s="50">
        <v>0.0</v>
      </c>
      <c r="Y482" s="50">
        <v>0.0</v>
      </c>
      <c r="Z482" s="116"/>
      <c r="AA482" s="116"/>
      <c r="AB482" s="116"/>
      <c r="AC482" s="116"/>
      <c r="AD482" s="116"/>
      <c r="AE482" s="116"/>
      <c r="AF482" s="116"/>
      <c r="AG482" s="116"/>
      <c r="AH482" s="116"/>
      <c r="AI482" s="116"/>
      <c r="AJ482" s="116"/>
      <c r="AK482" s="116"/>
      <c r="AL482" s="116"/>
      <c r="AM482" s="116"/>
      <c r="AN482" s="116"/>
      <c r="AO482" s="116"/>
      <c r="AP482" s="116"/>
      <c r="AQ482" s="50" t="s">
        <v>8765</v>
      </c>
      <c r="AR482" s="50" t="s">
        <v>2472</v>
      </c>
      <c r="AS482" s="116"/>
      <c r="AT482" s="50" t="s">
        <v>5540</v>
      </c>
      <c r="AU482" s="117">
        <v>6384.0</v>
      </c>
      <c r="AV482" s="50" t="s">
        <v>8768</v>
      </c>
      <c r="AW482" s="50" t="s">
        <v>8769</v>
      </c>
      <c r="AX482" s="117">
        <v>481.0</v>
      </c>
    </row>
    <row r="483">
      <c r="A483" s="50" t="s">
        <v>8770</v>
      </c>
      <c r="B483" s="50" t="s">
        <v>8771</v>
      </c>
      <c r="C483" s="116"/>
      <c r="D483" s="116"/>
      <c r="E483" s="50">
        <v>3.52155090281144E14</v>
      </c>
      <c r="F483" s="50">
        <v>59.0</v>
      </c>
      <c r="G483" s="50">
        <v>11.0</v>
      </c>
      <c r="H483" s="50">
        <v>4.0</v>
      </c>
      <c r="I483" s="50">
        <v>1.0</v>
      </c>
      <c r="J483" s="50" t="s">
        <v>7933</v>
      </c>
      <c r="K483" s="116"/>
      <c r="L483" s="50" t="s">
        <v>1866</v>
      </c>
      <c r="M483" s="50" t="s">
        <v>1866</v>
      </c>
      <c r="N483" s="116"/>
      <c r="O483" s="116"/>
      <c r="P483" s="50" t="s">
        <v>8775</v>
      </c>
      <c r="Q483" s="50" t="s">
        <v>8776</v>
      </c>
      <c r="R483" s="50">
        <v>22.5418295</v>
      </c>
      <c r="S483" s="50">
        <v>88.3748233</v>
      </c>
      <c r="T483" s="50">
        <v>-42.5</v>
      </c>
      <c r="U483" s="50">
        <v>4.0</v>
      </c>
      <c r="V483" s="50">
        <v>1.0</v>
      </c>
      <c r="W483" s="50">
        <v>0.0</v>
      </c>
      <c r="X483" s="50">
        <v>0.0</v>
      </c>
      <c r="Y483" s="50">
        <v>0.0</v>
      </c>
      <c r="Z483" s="116"/>
      <c r="AA483" s="50">
        <v>2.0</v>
      </c>
      <c r="AB483" s="50">
        <v>4.0</v>
      </c>
      <c r="AC483" s="116"/>
      <c r="AD483" s="116"/>
      <c r="AE483" s="116"/>
      <c r="AF483" s="116"/>
      <c r="AG483" s="116"/>
      <c r="AH483" s="116"/>
      <c r="AI483" s="116"/>
      <c r="AJ483" s="116"/>
      <c r="AK483" s="116"/>
      <c r="AL483" s="116"/>
      <c r="AM483" s="116"/>
      <c r="AN483" s="116"/>
      <c r="AO483" s="116"/>
      <c r="AP483" s="116"/>
      <c r="AQ483" s="50" t="s">
        <v>2949</v>
      </c>
      <c r="AR483" s="50" t="s">
        <v>2278</v>
      </c>
      <c r="AS483" s="50">
        <v>1.0</v>
      </c>
      <c r="AT483" s="50" t="s">
        <v>5540</v>
      </c>
      <c r="AU483" s="117">
        <v>6385.0</v>
      </c>
      <c r="AV483" s="50" t="s">
        <v>8779</v>
      </c>
      <c r="AW483" s="50" t="s">
        <v>8780</v>
      </c>
      <c r="AX483" s="117">
        <v>482.0</v>
      </c>
    </row>
    <row r="484">
      <c r="A484" s="50" t="s">
        <v>8781</v>
      </c>
      <c r="B484" s="50" t="s">
        <v>8782</v>
      </c>
      <c r="C484" s="116"/>
      <c r="D484" s="116"/>
      <c r="E484" s="50">
        <v>3.52155090281144E14</v>
      </c>
      <c r="F484" s="50">
        <v>59.0</v>
      </c>
      <c r="G484" s="50">
        <v>99.0</v>
      </c>
      <c r="H484" s="116"/>
      <c r="I484" s="116"/>
      <c r="J484" s="116"/>
      <c r="K484" s="50">
        <v>2.0</v>
      </c>
      <c r="L484" s="50" t="s">
        <v>1867</v>
      </c>
      <c r="M484" s="50" t="s">
        <v>1867</v>
      </c>
      <c r="N484" s="116"/>
      <c r="O484" s="116"/>
      <c r="P484" s="50" t="s">
        <v>8787</v>
      </c>
      <c r="Q484" s="50" t="s">
        <v>8788</v>
      </c>
      <c r="R484" s="50">
        <v>22.5418382</v>
      </c>
      <c r="S484" s="50">
        <v>88.3747961</v>
      </c>
      <c r="T484" s="50">
        <v>-59.9000015258789</v>
      </c>
      <c r="U484" s="50">
        <v>5.0</v>
      </c>
      <c r="V484" s="50">
        <v>1.0</v>
      </c>
      <c r="W484" s="50">
        <v>0.0</v>
      </c>
      <c r="X484" s="50">
        <v>0.0</v>
      </c>
      <c r="Y484" s="50">
        <v>0.0</v>
      </c>
      <c r="Z484" s="116"/>
      <c r="AA484" s="116"/>
      <c r="AB484" s="116"/>
      <c r="AC484" s="116"/>
      <c r="AD484" s="116"/>
      <c r="AE484" s="116"/>
      <c r="AF484" s="116"/>
      <c r="AG484" s="116"/>
      <c r="AH484" s="116"/>
      <c r="AI484" s="116"/>
      <c r="AJ484" s="116"/>
      <c r="AK484" s="116"/>
      <c r="AL484" s="116"/>
      <c r="AM484" s="116"/>
      <c r="AN484" s="116"/>
      <c r="AO484" s="116"/>
      <c r="AP484" s="116"/>
      <c r="AQ484" s="50" t="s">
        <v>8792</v>
      </c>
      <c r="AR484" s="50" t="s">
        <v>2278</v>
      </c>
      <c r="AS484" s="116"/>
      <c r="AT484" s="50" t="s">
        <v>5540</v>
      </c>
      <c r="AU484" s="117">
        <v>6386.0</v>
      </c>
      <c r="AV484" s="50" t="s">
        <v>8793</v>
      </c>
      <c r="AW484" s="50" t="s">
        <v>8794</v>
      </c>
      <c r="AX484" s="117">
        <v>483.0</v>
      </c>
    </row>
    <row r="485">
      <c r="A485" s="50" t="s">
        <v>8795</v>
      </c>
      <c r="B485" s="50" t="s">
        <v>8796</v>
      </c>
      <c r="C485" s="116"/>
      <c r="D485" s="116"/>
      <c r="E485" s="50">
        <v>3.52155090281144E14</v>
      </c>
      <c r="F485" s="50">
        <v>59.0</v>
      </c>
      <c r="G485" s="50">
        <v>11.0</v>
      </c>
      <c r="H485" s="50">
        <v>4.0</v>
      </c>
      <c r="I485" s="50">
        <v>1.0</v>
      </c>
      <c r="J485" s="50" t="s">
        <v>7619</v>
      </c>
      <c r="K485" s="116"/>
      <c r="L485" s="50" t="s">
        <v>1869</v>
      </c>
      <c r="M485" s="50" t="s">
        <v>1869</v>
      </c>
      <c r="N485" s="116"/>
      <c r="O485" s="116"/>
      <c r="P485" s="50" t="s">
        <v>8800</v>
      </c>
      <c r="Q485" s="50" t="s">
        <v>8802</v>
      </c>
      <c r="R485" s="50">
        <v>22.5411203</v>
      </c>
      <c r="S485" s="50">
        <v>88.3742476</v>
      </c>
      <c r="T485" s="50">
        <v>-56.7999992370605</v>
      </c>
      <c r="U485" s="50">
        <v>5.0</v>
      </c>
      <c r="V485" s="50">
        <v>1.0</v>
      </c>
      <c r="W485" s="50">
        <v>0.0</v>
      </c>
      <c r="X485" s="50">
        <v>0.0</v>
      </c>
      <c r="Y485" s="50">
        <v>0.0</v>
      </c>
      <c r="Z485" s="116"/>
      <c r="AA485" s="50">
        <v>2.0</v>
      </c>
      <c r="AB485" s="50">
        <v>4.0</v>
      </c>
      <c r="AC485" s="116"/>
      <c r="AD485" s="116"/>
      <c r="AE485" s="116"/>
      <c r="AF485" s="116"/>
      <c r="AG485" s="116"/>
      <c r="AH485" s="116"/>
      <c r="AI485" s="116"/>
      <c r="AJ485" s="116"/>
      <c r="AK485" s="116"/>
      <c r="AL485" s="116"/>
      <c r="AM485" s="116"/>
      <c r="AN485" s="116"/>
      <c r="AO485" s="116"/>
      <c r="AP485" s="116"/>
      <c r="AQ485" s="50" t="s">
        <v>2979</v>
      </c>
      <c r="AR485" s="50" t="s">
        <v>2286</v>
      </c>
      <c r="AS485" s="50">
        <v>1.0</v>
      </c>
      <c r="AT485" s="50" t="s">
        <v>5540</v>
      </c>
      <c r="AU485" s="117">
        <v>6387.0</v>
      </c>
      <c r="AV485" s="50" t="s">
        <v>8803</v>
      </c>
      <c r="AW485" s="50" t="s">
        <v>8804</v>
      </c>
      <c r="AX485" s="117">
        <v>484.0</v>
      </c>
    </row>
    <row r="486">
      <c r="A486" s="50" t="s">
        <v>8805</v>
      </c>
      <c r="B486" s="50" t="s">
        <v>8806</v>
      </c>
      <c r="C486" s="116"/>
      <c r="D486" s="116"/>
      <c r="E486" s="50">
        <v>3.52155090281144E14</v>
      </c>
      <c r="F486" s="50">
        <v>59.0</v>
      </c>
      <c r="G486" s="50">
        <v>99.0</v>
      </c>
      <c r="H486" s="116"/>
      <c r="I486" s="116"/>
      <c r="J486" s="116"/>
      <c r="K486" s="50">
        <v>2.0</v>
      </c>
      <c r="L486" s="50" t="s">
        <v>1870</v>
      </c>
      <c r="M486" s="50" t="s">
        <v>1870</v>
      </c>
      <c r="N486" s="116"/>
      <c r="O486" s="116"/>
      <c r="P486" s="50" t="s">
        <v>8810</v>
      </c>
      <c r="Q486" s="50" t="s">
        <v>8811</v>
      </c>
      <c r="R486" s="50">
        <v>22.5411009</v>
      </c>
      <c r="S486" s="50">
        <v>88.3743474</v>
      </c>
      <c r="T486" s="50">
        <v>-57.4000015258789</v>
      </c>
      <c r="U486" s="50">
        <v>5.0</v>
      </c>
      <c r="V486" s="50">
        <v>1.0</v>
      </c>
      <c r="W486" s="50">
        <v>0.0</v>
      </c>
      <c r="X486" s="50">
        <v>0.0</v>
      </c>
      <c r="Y486" s="50">
        <v>0.0</v>
      </c>
      <c r="Z486" s="116"/>
      <c r="AA486" s="116"/>
      <c r="AB486" s="116"/>
      <c r="AC486" s="116"/>
      <c r="AD486" s="116"/>
      <c r="AE486" s="116"/>
      <c r="AF486" s="116"/>
      <c r="AG486" s="116"/>
      <c r="AH486" s="116"/>
      <c r="AI486" s="116"/>
      <c r="AJ486" s="116"/>
      <c r="AK486" s="116"/>
      <c r="AL486" s="116"/>
      <c r="AM486" s="116"/>
      <c r="AN486" s="116"/>
      <c r="AO486" s="116"/>
      <c r="AP486" s="116"/>
      <c r="AQ486" s="50" t="s">
        <v>8816</v>
      </c>
      <c r="AR486" s="50" t="s">
        <v>2286</v>
      </c>
      <c r="AS486" s="116"/>
      <c r="AT486" s="50" t="s">
        <v>5540</v>
      </c>
      <c r="AU486" s="117">
        <v>6388.0</v>
      </c>
      <c r="AV486" s="50" t="s">
        <v>8817</v>
      </c>
      <c r="AW486" s="50" t="s">
        <v>8818</v>
      </c>
      <c r="AX486" s="117">
        <v>485.0</v>
      </c>
    </row>
    <row r="487">
      <c r="A487" s="50" t="s">
        <v>8819</v>
      </c>
      <c r="B487" s="50" t="s">
        <v>8820</v>
      </c>
      <c r="C487" s="116"/>
      <c r="D487" s="116"/>
      <c r="E487" s="50">
        <v>3.52155090281144E14</v>
      </c>
      <c r="F487" s="50">
        <v>58.0</v>
      </c>
      <c r="G487" s="50">
        <v>11.0</v>
      </c>
      <c r="H487" s="50">
        <v>4.0</v>
      </c>
      <c r="I487" s="50">
        <v>1.0</v>
      </c>
      <c r="J487" s="50" t="s">
        <v>7872</v>
      </c>
      <c r="K487" s="116"/>
      <c r="L487" s="50" t="s">
        <v>1872</v>
      </c>
      <c r="M487" s="50" t="s">
        <v>1872</v>
      </c>
      <c r="N487" s="116"/>
      <c r="O487" s="116"/>
      <c r="P487" s="50" t="s">
        <v>8825</v>
      </c>
      <c r="Q487" s="50" t="s">
        <v>8826</v>
      </c>
      <c r="R487" s="50">
        <v>22.5533837</v>
      </c>
      <c r="S487" s="50">
        <v>88.3856304</v>
      </c>
      <c r="T487" s="50">
        <v>-60.599998474121</v>
      </c>
      <c r="U487" s="50">
        <v>5.0</v>
      </c>
      <c r="V487" s="50">
        <v>1.0</v>
      </c>
      <c r="W487" s="50">
        <v>0.0</v>
      </c>
      <c r="X487" s="50">
        <v>0.0</v>
      </c>
      <c r="Y487" s="50">
        <v>0.0</v>
      </c>
      <c r="Z487" s="116"/>
      <c r="AA487" s="50">
        <v>2.0</v>
      </c>
      <c r="AB487" s="50">
        <v>4.0</v>
      </c>
      <c r="AC487" s="116"/>
      <c r="AD487" s="116"/>
      <c r="AE487" s="116"/>
      <c r="AF487" s="116"/>
      <c r="AG487" s="116"/>
      <c r="AH487" s="116"/>
      <c r="AI487" s="116"/>
      <c r="AJ487" s="116"/>
      <c r="AK487" s="116"/>
      <c r="AL487" s="116"/>
      <c r="AM487" s="116"/>
      <c r="AN487" s="116"/>
      <c r="AO487" s="116"/>
      <c r="AP487" s="116"/>
      <c r="AQ487" s="50" t="s">
        <v>5776</v>
      </c>
      <c r="AR487" s="50" t="s">
        <v>2327</v>
      </c>
      <c r="AS487" s="50">
        <v>1.0</v>
      </c>
      <c r="AT487" s="50" t="s">
        <v>5540</v>
      </c>
      <c r="AU487" s="117">
        <v>6389.0</v>
      </c>
      <c r="AV487" s="50" t="s">
        <v>8831</v>
      </c>
      <c r="AW487" s="50" t="s">
        <v>8833</v>
      </c>
      <c r="AX487" s="117">
        <v>486.0</v>
      </c>
    </row>
    <row r="488">
      <c r="A488" s="50" t="s">
        <v>8834</v>
      </c>
      <c r="B488" s="50" t="s">
        <v>8835</v>
      </c>
      <c r="C488" s="116"/>
      <c r="D488" s="116"/>
      <c r="E488" s="50">
        <v>3.52155090281144E14</v>
      </c>
      <c r="F488" s="50">
        <v>58.0</v>
      </c>
      <c r="G488" s="50">
        <v>99.0</v>
      </c>
      <c r="H488" s="116"/>
      <c r="I488" s="116"/>
      <c r="J488" s="116"/>
      <c r="K488" s="50">
        <v>2.0</v>
      </c>
      <c r="L488" s="50" t="s">
        <v>1873</v>
      </c>
      <c r="M488" s="50" t="s">
        <v>1873</v>
      </c>
      <c r="N488" s="116"/>
      <c r="O488" s="116"/>
      <c r="P488" s="50" t="s">
        <v>8838</v>
      </c>
      <c r="Q488" s="50" t="s">
        <v>8839</v>
      </c>
      <c r="R488" s="50">
        <v>22.5535021</v>
      </c>
      <c r="S488" s="50">
        <v>88.3856288</v>
      </c>
      <c r="T488" s="50">
        <v>-59.5</v>
      </c>
      <c r="U488" s="50">
        <v>5.0</v>
      </c>
      <c r="V488" s="50">
        <v>1.0</v>
      </c>
      <c r="W488" s="50">
        <v>0.0</v>
      </c>
      <c r="X488" s="50">
        <v>0.0</v>
      </c>
      <c r="Y488" s="50">
        <v>0.0</v>
      </c>
      <c r="Z488" s="116"/>
      <c r="AA488" s="116"/>
      <c r="AB488" s="116"/>
      <c r="AC488" s="116"/>
      <c r="AD488" s="116"/>
      <c r="AE488" s="116"/>
      <c r="AF488" s="116"/>
      <c r="AG488" s="116"/>
      <c r="AH488" s="116"/>
      <c r="AI488" s="116"/>
      <c r="AJ488" s="116"/>
      <c r="AK488" s="116"/>
      <c r="AL488" s="116"/>
      <c r="AM488" s="116"/>
      <c r="AN488" s="116"/>
      <c r="AO488" s="116"/>
      <c r="AP488" s="116"/>
      <c r="AQ488" s="50" t="s">
        <v>8841</v>
      </c>
      <c r="AR488" s="50" t="s">
        <v>2327</v>
      </c>
      <c r="AS488" s="116"/>
      <c r="AT488" s="50" t="s">
        <v>5540</v>
      </c>
      <c r="AU488" s="117">
        <v>6390.0</v>
      </c>
      <c r="AV488" s="50" t="s">
        <v>8843</v>
      </c>
      <c r="AW488" s="50" t="s">
        <v>8845</v>
      </c>
      <c r="AX488" s="117">
        <v>487.0</v>
      </c>
    </row>
    <row r="489">
      <c r="A489" s="50" t="s">
        <v>8847</v>
      </c>
      <c r="B489" s="50" t="s">
        <v>8848</v>
      </c>
      <c r="C489" s="116"/>
      <c r="D489" s="116"/>
      <c r="E489" s="50">
        <v>3.52155090281144E14</v>
      </c>
      <c r="F489" s="50">
        <v>59.0</v>
      </c>
      <c r="G489" s="50">
        <v>11.0</v>
      </c>
      <c r="H489" s="50">
        <v>4.0</v>
      </c>
      <c r="I489" s="50">
        <v>1.0</v>
      </c>
      <c r="J489" s="50" t="s">
        <v>7732</v>
      </c>
      <c r="K489" s="116"/>
      <c r="L489" s="50" t="s">
        <v>1882</v>
      </c>
      <c r="M489" s="50" t="s">
        <v>1882</v>
      </c>
      <c r="N489" s="116"/>
      <c r="O489" s="116"/>
      <c r="P489" s="50" t="s">
        <v>8851</v>
      </c>
      <c r="Q489" s="50" t="s">
        <v>8852</v>
      </c>
      <c r="R489" s="50">
        <v>22.5400821</v>
      </c>
      <c r="S489" s="50">
        <v>88.3767205</v>
      </c>
      <c r="T489" s="50">
        <v>-36.7000007629394</v>
      </c>
      <c r="U489" s="50">
        <v>5.0</v>
      </c>
      <c r="V489" s="50">
        <v>1.0</v>
      </c>
      <c r="W489" s="50">
        <v>0.0</v>
      </c>
      <c r="X489" s="50">
        <v>0.0</v>
      </c>
      <c r="Y489" s="50">
        <v>0.0</v>
      </c>
      <c r="Z489" s="116"/>
      <c r="AA489" s="50">
        <v>2.0</v>
      </c>
      <c r="AB489" s="50">
        <v>4.0</v>
      </c>
      <c r="AC489" s="116"/>
      <c r="AD489" s="116"/>
      <c r="AE489" s="116"/>
      <c r="AF489" s="116"/>
      <c r="AG489" s="116"/>
      <c r="AH489" s="116"/>
      <c r="AI489" s="116"/>
      <c r="AJ489" s="116"/>
      <c r="AK489" s="116"/>
      <c r="AL489" s="116"/>
      <c r="AM489" s="116"/>
      <c r="AN489" s="116"/>
      <c r="AO489" s="116"/>
      <c r="AP489" s="116"/>
      <c r="AQ489" s="50" t="s">
        <v>3185</v>
      </c>
      <c r="AR489" s="50" t="s">
        <v>2327</v>
      </c>
      <c r="AS489" s="50">
        <v>1.0</v>
      </c>
      <c r="AT489" s="50" t="s">
        <v>5540</v>
      </c>
      <c r="AU489" s="117">
        <v>6429.0</v>
      </c>
      <c r="AV489" s="50" t="s">
        <v>8856</v>
      </c>
      <c r="AW489" s="50" t="s">
        <v>8857</v>
      </c>
      <c r="AX489" s="117">
        <v>488.0</v>
      </c>
    </row>
    <row r="490">
      <c r="A490" s="50" t="s">
        <v>8858</v>
      </c>
      <c r="B490" s="50" t="s">
        <v>8859</v>
      </c>
      <c r="C490" s="116"/>
      <c r="D490" s="116"/>
      <c r="E490" s="50">
        <v>3.52155090281144E14</v>
      </c>
      <c r="F490" s="50">
        <v>59.0</v>
      </c>
      <c r="G490" s="50">
        <v>99.0</v>
      </c>
      <c r="H490" s="116"/>
      <c r="I490" s="116"/>
      <c r="J490" s="116"/>
      <c r="K490" s="50">
        <v>2.0</v>
      </c>
      <c r="L490" s="50" t="s">
        <v>1883</v>
      </c>
      <c r="M490" s="50" t="s">
        <v>1883</v>
      </c>
      <c r="N490" s="116"/>
      <c r="O490" s="116"/>
      <c r="P490" s="50" t="s">
        <v>8860</v>
      </c>
      <c r="Q490" s="50" t="s">
        <v>8861</v>
      </c>
      <c r="R490" s="50">
        <v>22.540155</v>
      </c>
      <c r="S490" s="50">
        <v>88.3766326</v>
      </c>
      <c r="T490" s="50">
        <v>-67.5999984741211</v>
      </c>
      <c r="U490" s="50">
        <v>5.0</v>
      </c>
      <c r="V490" s="50">
        <v>1.0</v>
      </c>
      <c r="W490" s="50">
        <v>0.0</v>
      </c>
      <c r="X490" s="50">
        <v>0.0</v>
      </c>
      <c r="Y490" s="50">
        <v>0.0</v>
      </c>
      <c r="Z490" s="116"/>
      <c r="AA490" s="116"/>
      <c r="AB490" s="116"/>
      <c r="AC490" s="116"/>
      <c r="AD490" s="116"/>
      <c r="AE490" s="116"/>
      <c r="AF490" s="116"/>
      <c r="AG490" s="116"/>
      <c r="AH490" s="116"/>
      <c r="AI490" s="116"/>
      <c r="AJ490" s="116"/>
      <c r="AK490" s="116"/>
      <c r="AL490" s="116"/>
      <c r="AM490" s="116"/>
      <c r="AN490" s="116"/>
      <c r="AO490" s="116"/>
      <c r="AP490" s="116"/>
      <c r="AQ490" s="50" t="s">
        <v>8865</v>
      </c>
      <c r="AR490" s="50" t="s">
        <v>2327</v>
      </c>
      <c r="AS490" s="116"/>
      <c r="AT490" s="50" t="s">
        <v>5540</v>
      </c>
      <c r="AU490" s="117">
        <v>6430.0</v>
      </c>
      <c r="AV490" s="50" t="s">
        <v>8867</v>
      </c>
      <c r="AW490" s="50" t="s">
        <v>8868</v>
      </c>
      <c r="AX490" s="117">
        <v>489.0</v>
      </c>
    </row>
    <row r="491">
      <c r="A491" s="50" t="s">
        <v>8869</v>
      </c>
      <c r="B491" s="50" t="s">
        <v>8870</v>
      </c>
      <c r="C491" s="116"/>
      <c r="D491" s="116"/>
      <c r="E491" s="50">
        <v>3.52155090281144E14</v>
      </c>
      <c r="F491" s="50">
        <v>59.0</v>
      </c>
      <c r="G491" s="50">
        <v>11.0</v>
      </c>
      <c r="H491" s="50">
        <v>4.0</v>
      </c>
      <c r="I491" s="50">
        <v>1.0</v>
      </c>
      <c r="J491" s="50" t="s">
        <v>8871</v>
      </c>
      <c r="K491" s="116"/>
      <c r="L491" s="50" t="s">
        <v>1884</v>
      </c>
      <c r="M491" s="50" t="s">
        <v>1884</v>
      </c>
      <c r="N491" s="116"/>
      <c r="O491" s="116"/>
      <c r="P491" s="50" t="s">
        <v>8872</v>
      </c>
      <c r="Q491" s="50" t="s">
        <v>8873</v>
      </c>
      <c r="R491" s="50">
        <v>22.5403196</v>
      </c>
      <c r="S491" s="50">
        <v>88.3751934</v>
      </c>
      <c r="T491" s="50">
        <v>-49.0</v>
      </c>
      <c r="U491" s="50">
        <v>5.0</v>
      </c>
      <c r="V491" s="50">
        <v>1.0</v>
      </c>
      <c r="W491" s="50">
        <v>0.0</v>
      </c>
      <c r="X491" s="50">
        <v>0.0</v>
      </c>
      <c r="Y491" s="50">
        <v>0.0</v>
      </c>
      <c r="Z491" s="116"/>
      <c r="AA491" s="50">
        <v>2.0</v>
      </c>
      <c r="AB491" s="50">
        <v>4.0</v>
      </c>
      <c r="AC491" s="116"/>
      <c r="AD491" s="116"/>
      <c r="AE491" s="116"/>
      <c r="AF491" s="116"/>
      <c r="AG491" s="116"/>
      <c r="AH491" s="116"/>
      <c r="AI491" s="116"/>
      <c r="AJ491" s="116"/>
      <c r="AK491" s="116"/>
      <c r="AL491" s="116"/>
      <c r="AM491" s="116"/>
      <c r="AN491" s="116"/>
      <c r="AO491" s="116"/>
      <c r="AP491" s="116"/>
      <c r="AQ491" s="50" t="s">
        <v>2949</v>
      </c>
      <c r="AR491" s="50" t="s">
        <v>2278</v>
      </c>
      <c r="AS491" s="50">
        <v>1.0</v>
      </c>
      <c r="AT491" s="50" t="s">
        <v>5540</v>
      </c>
      <c r="AU491" s="117">
        <v>6431.0</v>
      </c>
      <c r="AV491" s="50" t="s">
        <v>8880</v>
      </c>
      <c r="AW491" s="50" t="s">
        <v>8881</v>
      </c>
      <c r="AX491" s="117">
        <v>490.0</v>
      </c>
    </row>
    <row r="492">
      <c r="A492" s="50" t="s">
        <v>8883</v>
      </c>
      <c r="B492" s="50" t="s">
        <v>8884</v>
      </c>
      <c r="C492" s="116"/>
      <c r="D492" s="116"/>
      <c r="E492" s="50">
        <v>3.52155090281144E14</v>
      </c>
      <c r="F492" s="50">
        <v>59.0</v>
      </c>
      <c r="G492" s="50">
        <v>99.0</v>
      </c>
      <c r="H492" s="116"/>
      <c r="I492" s="116"/>
      <c r="J492" s="116"/>
      <c r="K492" s="50">
        <v>2.0</v>
      </c>
      <c r="L492" s="50" t="s">
        <v>1885</v>
      </c>
      <c r="M492" s="50" t="s">
        <v>1885</v>
      </c>
      <c r="N492" s="116"/>
      <c r="O492" s="116"/>
      <c r="P492" s="50" t="s">
        <v>8885</v>
      </c>
      <c r="Q492" s="50" t="s">
        <v>8886</v>
      </c>
      <c r="R492" s="50">
        <v>22.5403252</v>
      </c>
      <c r="S492" s="50">
        <v>88.3752813</v>
      </c>
      <c r="T492" s="50">
        <v>-31.0</v>
      </c>
      <c r="U492" s="50">
        <v>5.0</v>
      </c>
      <c r="V492" s="50">
        <v>1.0</v>
      </c>
      <c r="W492" s="50">
        <v>0.0</v>
      </c>
      <c r="X492" s="50">
        <v>0.0</v>
      </c>
      <c r="Y492" s="50">
        <v>0.0</v>
      </c>
      <c r="Z492" s="116"/>
      <c r="AA492" s="116"/>
      <c r="AB492" s="116"/>
      <c r="AC492" s="116"/>
      <c r="AD492" s="116"/>
      <c r="AE492" s="116"/>
      <c r="AF492" s="116"/>
      <c r="AG492" s="116"/>
      <c r="AH492" s="116"/>
      <c r="AI492" s="116"/>
      <c r="AJ492" s="116"/>
      <c r="AK492" s="116"/>
      <c r="AL492" s="116"/>
      <c r="AM492" s="116"/>
      <c r="AN492" s="116"/>
      <c r="AO492" s="116"/>
      <c r="AP492" s="116"/>
      <c r="AQ492" s="50" t="s">
        <v>8891</v>
      </c>
      <c r="AR492" s="50" t="s">
        <v>2278</v>
      </c>
      <c r="AS492" s="116"/>
      <c r="AT492" s="50" t="s">
        <v>5540</v>
      </c>
      <c r="AU492" s="117">
        <v>6432.0</v>
      </c>
      <c r="AV492" s="50" t="s">
        <v>8892</v>
      </c>
      <c r="AW492" s="50" t="s">
        <v>8893</v>
      </c>
      <c r="AX492" s="117">
        <v>491.0</v>
      </c>
    </row>
    <row r="493">
      <c r="A493" s="50" t="s">
        <v>8894</v>
      </c>
      <c r="B493" s="50" t="s">
        <v>8895</v>
      </c>
      <c r="C493" s="116"/>
      <c r="D493" s="116"/>
      <c r="E493" s="50">
        <v>3.52155090281144E14</v>
      </c>
      <c r="F493" s="50">
        <v>59.0</v>
      </c>
      <c r="G493" s="50">
        <v>11.0</v>
      </c>
      <c r="H493" s="50">
        <v>4.0</v>
      </c>
      <c r="I493" s="50">
        <v>1.0</v>
      </c>
      <c r="J493" s="50" t="s">
        <v>8348</v>
      </c>
      <c r="K493" s="116"/>
      <c r="L493" s="50" t="s">
        <v>1886</v>
      </c>
      <c r="M493" s="50" t="s">
        <v>1886</v>
      </c>
      <c r="N493" s="116"/>
      <c r="O493" s="116"/>
      <c r="P493" s="50" t="s">
        <v>8896</v>
      </c>
      <c r="Q493" s="50" t="s">
        <v>8897</v>
      </c>
      <c r="R493" s="50">
        <v>22.5414243</v>
      </c>
      <c r="S493" s="50">
        <v>88.3753556</v>
      </c>
      <c r="T493" s="50">
        <v>-63.2000007629394</v>
      </c>
      <c r="U493" s="50">
        <v>5.0</v>
      </c>
      <c r="V493" s="50">
        <v>1.0</v>
      </c>
      <c r="W493" s="50">
        <v>0.0</v>
      </c>
      <c r="X493" s="50">
        <v>0.0</v>
      </c>
      <c r="Y493" s="50">
        <v>0.0</v>
      </c>
      <c r="Z493" s="116"/>
      <c r="AA493" s="50">
        <v>2.0</v>
      </c>
      <c r="AB493" s="50">
        <v>4.0</v>
      </c>
      <c r="AC493" s="116"/>
      <c r="AD493" s="116"/>
      <c r="AE493" s="116"/>
      <c r="AF493" s="116"/>
      <c r="AG493" s="116"/>
      <c r="AH493" s="116"/>
      <c r="AI493" s="116"/>
      <c r="AJ493" s="116"/>
      <c r="AK493" s="116"/>
      <c r="AL493" s="116"/>
      <c r="AM493" s="116"/>
      <c r="AN493" s="116"/>
      <c r="AO493" s="116"/>
      <c r="AP493" s="116"/>
      <c r="AQ493" s="50" t="s">
        <v>3149</v>
      </c>
      <c r="AR493" s="50" t="s">
        <v>2278</v>
      </c>
      <c r="AS493" s="50">
        <v>1.0</v>
      </c>
      <c r="AT493" s="50" t="s">
        <v>5540</v>
      </c>
      <c r="AU493" s="117">
        <v>6433.0</v>
      </c>
      <c r="AV493" s="50" t="s">
        <v>8901</v>
      </c>
      <c r="AW493" s="50" t="s">
        <v>8903</v>
      </c>
      <c r="AX493" s="117">
        <v>492.0</v>
      </c>
    </row>
    <row r="494">
      <c r="A494" s="50" t="s">
        <v>8905</v>
      </c>
      <c r="B494" s="50" t="s">
        <v>8907</v>
      </c>
      <c r="C494" s="116"/>
      <c r="D494" s="116"/>
      <c r="E494" s="50">
        <v>3.52155090281144E14</v>
      </c>
      <c r="F494" s="50">
        <v>59.0</v>
      </c>
      <c r="G494" s="50">
        <v>99.0</v>
      </c>
      <c r="H494" s="116"/>
      <c r="I494" s="116"/>
      <c r="J494" s="116"/>
      <c r="K494" s="50">
        <v>2.0</v>
      </c>
      <c r="L494" s="50" t="s">
        <v>1887</v>
      </c>
      <c r="M494" s="50" t="s">
        <v>1887</v>
      </c>
      <c r="N494" s="116"/>
      <c r="O494" s="116"/>
      <c r="P494" s="50" t="s">
        <v>8908</v>
      </c>
      <c r="Q494" s="50" t="s">
        <v>8909</v>
      </c>
      <c r="R494" s="50">
        <v>22.5415326</v>
      </c>
      <c r="S494" s="50">
        <v>88.3754159</v>
      </c>
      <c r="T494" s="50">
        <v>-33.9000015258789</v>
      </c>
      <c r="U494" s="50">
        <v>5.0</v>
      </c>
      <c r="V494" s="50">
        <v>1.0</v>
      </c>
      <c r="W494" s="50">
        <v>0.0</v>
      </c>
      <c r="X494" s="50">
        <v>0.0</v>
      </c>
      <c r="Y494" s="50">
        <v>0.0</v>
      </c>
      <c r="Z494" s="116"/>
      <c r="AA494" s="116"/>
      <c r="AB494" s="116"/>
      <c r="AC494" s="116"/>
      <c r="AD494" s="116"/>
      <c r="AE494" s="116"/>
      <c r="AF494" s="116"/>
      <c r="AG494" s="116"/>
      <c r="AH494" s="116"/>
      <c r="AI494" s="116"/>
      <c r="AJ494" s="116"/>
      <c r="AK494" s="116"/>
      <c r="AL494" s="116"/>
      <c r="AM494" s="116"/>
      <c r="AN494" s="116"/>
      <c r="AO494" s="116"/>
      <c r="AP494" s="116"/>
      <c r="AQ494" s="50" t="s">
        <v>8914</v>
      </c>
      <c r="AR494" s="50" t="s">
        <v>2286</v>
      </c>
      <c r="AS494" s="116"/>
      <c r="AT494" s="50" t="s">
        <v>5540</v>
      </c>
      <c r="AU494" s="117">
        <v>6434.0</v>
      </c>
      <c r="AV494" s="50" t="s">
        <v>8915</v>
      </c>
      <c r="AW494" s="50" t="s">
        <v>8916</v>
      </c>
      <c r="AX494" s="117">
        <v>493.0</v>
      </c>
    </row>
    <row r="495">
      <c r="A495" s="50" t="s">
        <v>8917</v>
      </c>
      <c r="B495" s="50" t="s">
        <v>8918</v>
      </c>
      <c r="C495" s="116"/>
      <c r="D495" s="116"/>
      <c r="E495" s="50">
        <v>3.52155090281144E14</v>
      </c>
      <c r="F495" s="50">
        <v>59.0</v>
      </c>
      <c r="G495" s="50">
        <v>11.0</v>
      </c>
      <c r="H495" s="50">
        <v>4.0</v>
      </c>
      <c r="I495" s="50">
        <v>1.0</v>
      </c>
      <c r="J495" s="50" t="s">
        <v>8058</v>
      </c>
      <c r="K495" s="116"/>
      <c r="L495" s="50" t="s">
        <v>1889</v>
      </c>
      <c r="M495" s="50" t="s">
        <v>1889</v>
      </c>
      <c r="N495" s="116"/>
      <c r="O495" s="116"/>
      <c r="P495" s="50" t="s">
        <v>8920</v>
      </c>
      <c r="Q495" s="50" t="s">
        <v>8922</v>
      </c>
      <c r="R495" s="50">
        <v>22.5451897</v>
      </c>
      <c r="S495" s="50">
        <v>88.383436</v>
      </c>
      <c r="T495" s="50">
        <v>-52.2999992370605</v>
      </c>
      <c r="U495" s="50">
        <v>5.0</v>
      </c>
      <c r="V495" s="50">
        <v>1.0</v>
      </c>
      <c r="W495" s="50">
        <v>1.0</v>
      </c>
      <c r="X495" s="116"/>
      <c r="Y495" s="116"/>
      <c r="Z495" s="116"/>
      <c r="AA495" s="50">
        <v>2.0</v>
      </c>
      <c r="AB495" s="50">
        <v>4.0</v>
      </c>
      <c r="AC495" s="116"/>
      <c r="AD495" s="116"/>
      <c r="AE495" s="116"/>
      <c r="AF495" s="116"/>
      <c r="AG495" s="116"/>
      <c r="AH495" s="116"/>
      <c r="AI495" s="116"/>
      <c r="AJ495" s="116"/>
      <c r="AK495" s="116"/>
      <c r="AL495" s="116"/>
      <c r="AM495" s="116"/>
      <c r="AN495" s="116"/>
      <c r="AO495" s="116"/>
      <c r="AP495" s="116"/>
      <c r="AQ495" s="50" t="s">
        <v>3185</v>
      </c>
      <c r="AR495" s="50" t="s">
        <v>2286</v>
      </c>
      <c r="AS495" s="50">
        <v>1.0</v>
      </c>
      <c r="AT495" s="50" t="s">
        <v>5540</v>
      </c>
      <c r="AU495" s="117">
        <v>6435.0</v>
      </c>
      <c r="AV495" s="50" t="s">
        <v>8926</v>
      </c>
      <c r="AW495" s="50" t="s">
        <v>8927</v>
      </c>
      <c r="AX495" s="117">
        <v>494.0</v>
      </c>
    </row>
    <row r="496">
      <c r="A496" s="50" t="s">
        <v>8928</v>
      </c>
      <c r="B496" s="50" t="s">
        <v>8929</v>
      </c>
      <c r="C496" s="116"/>
      <c r="D496" s="116"/>
      <c r="E496" s="50">
        <v>3.52155090281144E14</v>
      </c>
      <c r="F496" s="50">
        <v>59.0</v>
      </c>
      <c r="G496" s="50">
        <v>99.0</v>
      </c>
      <c r="H496" s="116"/>
      <c r="I496" s="116"/>
      <c r="J496" s="116"/>
      <c r="K496" s="50">
        <v>2.0</v>
      </c>
      <c r="L496" s="50" t="s">
        <v>1890</v>
      </c>
      <c r="M496" s="50" t="s">
        <v>1890</v>
      </c>
      <c r="N496" s="116"/>
      <c r="O496" s="116"/>
      <c r="P496" s="50" t="s">
        <v>8934</v>
      </c>
      <c r="Q496" s="50" t="s">
        <v>8935</v>
      </c>
      <c r="R496" s="50">
        <v>22.5451547</v>
      </c>
      <c r="S496" s="50">
        <v>88.3834018</v>
      </c>
      <c r="T496" s="50">
        <v>-67.5999984741211</v>
      </c>
      <c r="U496" s="50">
        <v>5.0</v>
      </c>
      <c r="V496" s="50">
        <v>1.0</v>
      </c>
      <c r="W496" s="50">
        <v>0.0</v>
      </c>
      <c r="X496" s="50">
        <v>0.0</v>
      </c>
      <c r="Y496" s="50">
        <v>0.0</v>
      </c>
      <c r="Z496" s="116"/>
      <c r="AA496" s="116"/>
      <c r="AB496" s="116"/>
      <c r="AC496" s="116"/>
      <c r="AD496" s="116"/>
      <c r="AE496" s="116"/>
      <c r="AF496" s="116"/>
      <c r="AG496" s="116"/>
      <c r="AH496" s="116"/>
      <c r="AI496" s="116"/>
      <c r="AJ496" s="116"/>
      <c r="AK496" s="116"/>
      <c r="AL496" s="116"/>
      <c r="AM496" s="116"/>
      <c r="AN496" s="116"/>
      <c r="AO496" s="116"/>
      <c r="AP496" s="116"/>
      <c r="AQ496" s="50" t="s">
        <v>8938</v>
      </c>
      <c r="AR496" s="50" t="s">
        <v>2278</v>
      </c>
      <c r="AS496" s="116"/>
      <c r="AT496" s="50" t="s">
        <v>5540</v>
      </c>
      <c r="AU496" s="117">
        <v>6436.0</v>
      </c>
      <c r="AV496" s="50" t="s">
        <v>8941</v>
      </c>
      <c r="AW496" s="50" t="s">
        <v>8942</v>
      </c>
      <c r="AX496" s="117">
        <v>495.0</v>
      </c>
    </row>
    <row r="497">
      <c r="A497" s="50" t="s">
        <v>8943</v>
      </c>
      <c r="B497" s="50" t="s">
        <v>8944</v>
      </c>
      <c r="C497" s="116"/>
      <c r="D497" s="116"/>
      <c r="E497" s="50">
        <v>3.5215509147374E14</v>
      </c>
      <c r="F497" s="50">
        <v>55.0</v>
      </c>
      <c r="G497" s="50">
        <v>12.0</v>
      </c>
      <c r="H497" s="116"/>
      <c r="I497" s="116"/>
      <c r="J497" s="116"/>
      <c r="K497" s="116"/>
      <c r="L497" s="50" t="s">
        <v>1877</v>
      </c>
      <c r="M497" s="50" t="s">
        <v>1877</v>
      </c>
      <c r="N497" s="50">
        <v>4.0</v>
      </c>
      <c r="O497" s="50" t="s">
        <v>8946</v>
      </c>
      <c r="P497" s="116"/>
      <c r="Q497" s="50" t="s">
        <v>8949</v>
      </c>
      <c r="R497" s="50">
        <v>22.5634322</v>
      </c>
      <c r="S497" s="50">
        <v>88.3772646</v>
      </c>
      <c r="T497" s="50">
        <v>-77.0</v>
      </c>
      <c r="U497" s="50">
        <v>5.0</v>
      </c>
      <c r="V497" s="50">
        <v>1.0</v>
      </c>
      <c r="W497" s="50">
        <v>0.0</v>
      </c>
      <c r="X497" s="50">
        <v>0.0</v>
      </c>
      <c r="Y497" s="50">
        <v>0.0</v>
      </c>
      <c r="Z497" s="116"/>
      <c r="AA497" s="116"/>
      <c r="AB497" s="116"/>
      <c r="AC497" s="116"/>
      <c r="AD497" s="116"/>
      <c r="AE497" s="50">
        <v>1.0</v>
      </c>
      <c r="AF497" s="50">
        <v>2.0</v>
      </c>
      <c r="AG497" s="50">
        <v>4.0</v>
      </c>
      <c r="AH497" s="50">
        <v>4.0</v>
      </c>
      <c r="AI497" s="116"/>
      <c r="AJ497" s="116"/>
      <c r="AK497" s="116"/>
      <c r="AL497" s="116"/>
      <c r="AM497" s="116"/>
      <c r="AN497" s="116"/>
      <c r="AO497" s="116"/>
      <c r="AP497" s="116"/>
      <c r="AQ497" s="116"/>
      <c r="AR497" s="50" t="s">
        <v>2302</v>
      </c>
      <c r="AS497" s="50">
        <v>0.0</v>
      </c>
      <c r="AT497" s="50" t="s">
        <v>5540</v>
      </c>
      <c r="AU497" s="117">
        <v>6439.0</v>
      </c>
      <c r="AV497" s="50" t="s">
        <v>8953</v>
      </c>
      <c r="AW497" s="50" t="s">
        <v>8954</v>
      </c>
      <c r="AX497" s="117">
        <v>496.0</v>
      </c>
    </row>
    <row r="498">
      <c r="A498" s="50" t="s">
        <v>8956</v>
      </c>
      <c r="B498" s="50" t="s">
        <v>8957</v>
      </c>
      <c r="C498" s="116"/>
      <c r="D498" s="116"/>
      <c r="E498" s="50">
        <v>3.5215509147374E14</v>
      </c>
      <c r="F498" s="50">
        <v>55.0</v>
      </c>
      <c r="G498" s="50">
        <v>99.0</v>
      </c>
      <c r="H498" s="116"/>
      <c r="I498" s="116"/>
      <c r="J498" s="116"/>
      <c r="K498" s="50">
        <v>1.0</v>
      </c>
      <c r="L498" s="50" t="s">
        <v>1878</v>
      </c>
      <c r="M498" s="50" t="s">
        <v>1878</v>
      </c>
      <c r="N498" s="116"/>
      <c r="O498" s="116"/>
      <c r="P498" s="50" t="s">
        <v>8960</v>
      </c>
      <c r="Q498" s="50" t="s">
        <v>8961</v>
      </c>
      <c r="R498" s="50">
        <v>22.563527</v>
      </c>
      <c r="S498" s="50">
        <v>88.377207</v>
      </c>
      <c r="T498" s="50">
        <v>-60.599998474121</v>
      </c>
      <c r="U498" s="50">
        <v>5.0</v>
      </c>
      <c r="V498" s="50">
        <v>1.0</v>
      </c>
      <c r="W498" s="50">
        <v>0.0</v>
      </c>
      <c r="X498" s="50">
        <v>0.0</v>
      </c>
      <c r="Y498" s="50">
        <v>0.0</v>
      </c>
      <c r="Z498" s="116"/>
      <c r="AA498" s="116"/>
      <c r="AB498" s="116"/>
      <c r="AC498" s="116"/>
      <c r="AD498" s="116"/>
      <c r="AE498" s="116"/>
      <c r="AF498" s="116"/>
      <c r="AG498" s="116"/>
      <c r="AH498" s="116"/>
      <c r="AI498" s="116"/>
      <c r="AJ498" s="116"/>
      <c r="AK498" s="116"/>
      <c r="AL498" s="116"/>
      <c r="AM498" s="116"/>
      <c r="AN498" s="116"/>
      <c r="AO498" s="116"/>
      <c r="AP498" s="116"/>
      <c r="AQ498" s="116"/>
      <c r="AR498" s="50" t="s">
        <v>2302</v>
      </c>
      <c r="AS498" s="116"/>
      <c r="AT498" s="50" t="s">
        <v>5540</v>
      </c>
      <c r="AU498" s="117">
        <v>6440.0</v>
      </c>
      <c r="AV498" s="50" t="s">
        <v>8965</v>
      </c>
      <c r="AW498" s="50" t="s">
        <v>8966</v>
      </c>
      <c r="AX498" s="117">
        <v>497.0</v>
      </c>
    </row>
    <row r="499">
      <c r="A499" s="50" t="s">
        <v>8968</v>
      </c>
      <c r="B499" s="50" t="s">
        <v>8969</v>
      </c>
      <c r="C499" s="116"/>
      <c r="D499" s="116"/>
      <c r="E499" s="50">
        <v>3.5215509147374E14</v>
      </c>
      <c r="F499" s="50">
        <v>57.0</v>
      </c>
      <c r="G499" s="50">
        <v>12.0</v>
      </c>
      <c r="H499" s="116"/>
      <c r="I499" s="116"/>
      <c r="J499" s="116"/>
      <c r="K499" s="116"/>
      <c r="L499" s="50" t="s">
        <v>1879</v>
      </c>
      <c r="M499" s="50" t="s">
        <v>1879</v>
      </c>
      <c r="N499" s="50">
        <v>2.0</v>
      </c>
      <c r="O499" s="50" t="s">
        <v>8970</v>
      </c>
      <c r="P499" s="116"/>
      <c r="Q499" s="50" t="s">
        <v>8971</v>
      </c>
      <c r="R499" s="50">
        <v>22.5543278</v>
      </c>
      <c r="S499" s="50">
        <v>88.3967415</v>
      </c>
      <c r="T499" s="50">
        <v>-35.5</v>
      </c>
      <c r="U499" s="50">
        <v>5.0</v>
      </c>
      <c r="V499" s="50">
        <v>1.0</v>
      </c>
      <c r="W499" s="50">
        <v>0.0</v>
      </c>
      <c r="X499" s="50">
        <v>0.0</v>
      </c>
      <c r="Y499" s="50">
        <v>0.0</v>
      </c>
      <c r="Z499" s="116"/>
      <c r="AA499" s="116"/>
      <c r="AB499" s="116"/>
      <c r="AC499" s="116"/>
      <c r="AD499" s="116"/>
      <c r="AE499" s="50">
        <v>1.0</v>
      </c>
      <c r="AF499" s="50">
        <v>2.0</v>
      </c>
      <c r="AG499" s="50">
        <v>3.0</v>
      </c>
      <c r="AH499" s="50">
        <v>4.0</v>
      </c>
      <c r="AI499" s="116"/>
      <c r="AJ499" s="116"/>
      <c r="AK499" s="116"/>
      <c r="AL499" s="116"/>
      <c r="AM499" s="116"/>
      <c r="AN499" s="116"/>
      <c r="AO499" s="116"/>
      <c r="AP499" s="116"/>
      <c r="AQ499" s="116"/>
      <c r="AR499" s="50" t="s">
        <v>2302</v>
      </c>
      <c r="AS499" s="50">
        <v>0.0</v>
      </c>
      <c r="AT499" s="50" t="s">
        <v>5540</v>
      </c>
      <c r="AU499" s="117">
        <v>6441.0</v>
      </c>
      <c r="AV499" s="50" t="s">
        <v>8976</v>
      </c>
      <c r="AW499" s="50" t="s">
        <v>8977</v>
      </c>
      <c r="AX499" s="117">
        <v>498.0</v>
      </c>
    </row>
    <row r="500">
      <c r="A500" s="50" t="s">
        <v>8978</v>
      </c>
      <c r="B500" s="50" t="s">
        <v>8979</v>
      </c>
      <c r="C500" s="116"/>
      <c r="D500" s="116"/>
      <c r="E500" s="50">
        <v>3.5215509147374E14</v>
      </c>
      <c r="F500" s="50">
        <v>57.0</v>
      </c>
      <c r="G500" s="50">
        <v>99.0</v>
      </c>
      <c r="H500" s="116"/>
      <c r="I500" s="116"/>
      <c r="J500" s="116"/>
      <c r="K500" s="50">
        <v>1.0</v>
      </c>
      <c r="L500" s="50" t="s">
        <v>1880</v>
      </c>
      <c r="M500" s="50" t="s">
        <v>1880</v>
      </c>
      <c r="N500" s="116"/>
      <c r="O500" s="116"/>
      <c r="P500" s="50" t="s">
        <v>8983</v>
      </c>
      <c r="Q500" s="50" t="s">
        <v>8984</v>
      </c>
      <c r="R500" s="50">
        <v>22.5542724</v>
      </c>
      <c r="S500" s="50">
        <v>88.3966312</v>
      </c>
      <c r="T500" s="50">
        <v>-60.2999992370605</v>
      </c>
      <c r="U500" s="50">
        <v>5.0</v>
      </c>
      <c r="V500" s="50">
        <v>1.0</v>
      </c>
      <c r="W500" s="50">
        <v>0.0</v>
      </c>
      <c r="X500" s="50">
        <v>0.0</v>
      </c>
      <c r="Y500" s="50">
        <v>0.0</v>
      </c>
      <c r="Z500" s="116"/>
      <c r="AA500" s="116"/>
      <c r="AB500" s="116"/>
      <c r="AC500" s="116"/>
      <c r="AD500" s="116"/>
      <c r="AE500" s="116"/>
      <c r="AF500" s="116"/>
      <c r="AG500" s="116"/>
      <c r="AH500" s="116"/>
      <c r="AI500" s="116"/>
      <c r="AJ500" s="116"/>
      <c r="AK500" s="116"/>
      <c r="AL500" s="116"/>
      <c r="AM500" s="116"/>
      <c r="AN500" s="116"/>
      <c r="AO500" s="116"/>
      <c r="AP500" s="116"/>
      <c r="AQ500" s="116"/>
      <c r="AR500" s="50" t="s">
        <v>2302</v>
      </c>
      <c r="AS500" s="116"/>
      <c r="AT500" s="50" t="s">
        <v>5540</v>
      </c>
      <c r="AU500" s="117">
        <v>6442.0</v>
      </c>
      <c r="AV500" s="50" t="s">
        <v>8990</v>
      </c>
      <c r="AW500" s="50" t="s">
        <v>8991</v>
      </c>
      <c r="AX500" s="117">
        <v>499.0</v>
      </c>
    </row>
    <row r="501">
      <c r="A501" s="50" t="s">
        <v>8992</v>
      </c>
      <c r="B501" s="50" t="s">
        <v>8993</v>
      </c>
      <c r="C501" s="116"/>
      <c r="D501" s="116"/>
      <c r="E501" s="50">
        <v>3.52155090281144E14</v>
      </c>
      <c r="F501" s="50">
        <v>59.0</v>
      </c>
      <c r="G501" s="50">
        <v>11.0</v>
      </c>
      <c r="H501" s="50">
        <v>1.0</v>
      </c>
      <c r="I501" s="116"/>
      <c r="J501" s="116"/>
      <c r="K501" s="116"/>
      <c r="L501" s="50" t="s">
        <v>345</v>
      </c>
      <c r="M501" s="50" t="s">
        <v>345</v>
      </c>
      <c r="N501" s="116"/>
      <c r="O501" s="116"/>
      <c r="P501" s="50" t="s">
        <v>8996</v>
      </c>
      <c r="Q501" s="50" t="s">
        <v>8998</v>
      </c>
      <c r="R501" s="50">
        <v>22.5400276</v>
      </c>
      <c r="S501" s="50">
        <v>88.3872342</v>
      </c>
      <c r="T501" s="50">
        <v>-54.7999992370605</v>
      </c>
      <c r="U501" s="50">
        <v>5.0</v>
      </c>
      <c r="V501" s="50">
        <v>1.0</v>
      </c>
      <c r="W501" s="50">
        <v>0.0</v>
      </c>
      <c r="X501" s="50">
        <v>0.0</v>
      </c>
      <c r="Y501" s="50">
        <v>0.0</v>
      </c>
      <c r="Z501" s="116"/>
      <c r="AA501" s="50">
        <v>2.0</v>
      </c>
      <c r="AB501" s="50">
        <v>4.0</v>
      </c>
      <c r="AC501" s="116"/>
      <c r="AD501" s="116"/>
      <c r="AE501" s="116"/>
      <c r="AF501" s="116"/>
      <c r="AG501" s="116"/>
      <c r="AH501" s="116"/>
      <c r="AI501" s="116"/>
      <c r="AJ501" s="116"/>
      <c r="AK501" s="116"/>
      <c r="AL501" s="116"/>
      <c r="AM501" s="116"/>
      <c r="AN501" s="116"/>
      <c r="AO501" s="116"/>
      <c r="AP501" s="116"/>
      <c r="AQ501" s="50" t="s">
        <v>3200</v>
      </c>
      <c r="AR501" s="50" t="s">
        <v>2327</v>
      </c>
      <c r="AS501" s="50">
        <v>0.0</v>
      </c>
      <c r="AT501" s="50" t="s">
        <v>5540</v>
      </c>
      <c r="AU501" s="117">
        <v>6497.0</v>
      </c>
      <c r="AV501" s="50" t="s">
        <v>9004</v>
      </c>
      <c r="AW501" s="50" t="s">
        <v>9005</v>
      </c>
      <c r="AX501" s="117">
        <v>500.0</v>
      </c>
    </row>
    <row r="502">
      <c r="A502" s="50" t="s">
        <v>9006</v>
      </c>
      <c r="B502" s="50" t="s">
        <v>9007</v>
      </c>
      <c r="C502" s="116"/>
      <c r="D502" s="116"/>
      <c r="E502" s="50">
        <v>3.52155090281144E14</v>
      </c>
      <c r="F502" s="50">
        <v>66.0</v>
      </c>
      <c r="G502" s="50">
        <v>12.0</v>
      </c>
      <c r="H502" s="116"/>
      <c r="I502" s="116"/>
      <c r="J502" s="116"/>
      <c r="K502" s="116"/>
      <c r="L502" s="50" t="s">
        <v>1895</v>
      </c>
      <c r="M502" s="50" t="s">
        <v>1895</v>
      </c>
      <c r="N502" s="50">
        <v>5.0</v>
      </c>
      <c r="O502" s="50" t="s">
        <v>9011</v>
      </c>
      <c r="P502" s="116"/>
      <c r="Q502" s="50" t="s">
        <v>9013</v>
      </c>
      <c r="R502" s="50">
        <v>22.5345853</v>
      </c>
      <c r="S502" s="50">
        <v>88.3958428</v>
      </c>
      <c r="T502" s="50">
        <v>-36.099998474121</v>
      </c>
      <c r="U502" s="50">
        <v>5.0</v>
      </c>
      <c r="V502" s="50">
        <v>1.0</v>
      </c>
      <c r="W502" s="50">
        <v>0.0</v>
      </c>
      <c r="X502" s="50">
        <v>0.0</v>
      </c>
      <c r="Y502" s="50">
        <v>0.0</v>
      </c>
      <c r="Z502" s="116"/>
      <c r="AA502" s="116"/>
      <c r="AB502" s="116"/>
      <c r="AC502" s="116"/>
      <c r="AD502" s="116"/>
      <c r="AE502" s="50">
        <v>1.0</v>
      </c>
      <c r="AF502" s="50">
        <v>2.0</v>
      </c>
      <c r="AG502" s="50">
        <v>3.0</v>
      </c>
      <c r="AH502" s="50">
        <v>4.0</v>
      </c>
      <c r="AI502" s="116"/>
      <c r="AJ502" s="116"/>
      <c r="AK502" s="116"/>
      <c r="AL502" s="116"/>
      <c r="AM502" s="116"/>
      <c r="AN502" s="116"/>
      <c r="AO502" s="116"/>
      <c r="AP502" s="116"/>
      <c r="AQ502" s="50" t="s">
        <v>3243</v>
      </c>
      <c r="AR502" s="50" t="s">
        <v>2302</v>
      </c>
      <c r="AS502" s="50">
        <v>0.0</v>
      </c>
      <c r="AT502" s="50" t="s">
        <v>5540</v>
      </c>
      <c r="AU502" s="117">
        <v>6545.0</v>
      </c>
      <c r="AV502" s="50" t="s">
        <v>9017</v>
      </c>
      <c r="AW502" s="50" t="s">
        <v>9018</v>
      </c>
      <c r="AX502" s="117">
        <v>501.0</v>
      </c>
    </row>
    <row r="503">
      <c r="A503" s="50" t="s">
        <v>9019</v>
      </c>
      <c r="B503" s="50" t="s">
        <v>9021</v>
      </c>
      <c r="C503" s="116"/>
      <c r="D503" s="116"/>
      <c r="E503" s="50">
        <v>3.52155090281144E14</v>
      </c>
      <c r="F503" s="50">
        <v>66.0</v>
      </c>
      <c r="G503" s="50">
        <v>99.0</v>
      </c>
      <c r="H503" s="116"/>
      <c r="I503" s="116"/>
      <c r="J503" s="116"/>
      <c r="K503" s="50">
        <v>1.0</v>
      </c>
      <c r="L503" s="50" t="s">
        <v>1896</v>
      </c>
      <c r="M503" s="50" t="s">
        <v>1896</v>
      </c>
      <c r="N503" s="116"/>
      <c r="O503" s="116"/>
      <c r="P503" s="50" t="s">
        <v>9022</v>
      </c>
      <c r="Q503" s="50" t="s">
        <v>9023</v>
      </c>
      <c r="R503" s="50">
        <v>22.5346694</v>
      </c>
      <c r="S503" s="50">
        <v>88.3959048</v>
      </c>
      <c r="T503" s="50">
        <v>-26.7000007629394</v>
      </c>
      <c r="U503" s="50">
        <v>5.0</v>
      </c>
      <c r="V503" s="50">
        <v>1.0</v>
      </c>
      <c r="W503" s="50">
        <v>0.0</v>
      </c>
      <c r="X503" s="50">
        <v>0.0</v>
      </c>
      <c r="Y503" s="50">
        <v>0.0</v>
      </c>
      <c r="Z503" s="116"/>
      <c r="AA503" s="116"/>
      <c r="AB503" s="116"/>
      <c r="AC503" s="116"/>
      <c r="AD503" s="116"/>
      <c r="AE503" s="116"/>
      <c r="AF503" s="116"/>
      <c r="AG503" s="116"/>
      <c r="AH503" s="116"/>
      <c r="AI503" s="116"/>
      <c r="AJ503" s="116"/>
      <c r="AK503" s="116"/>
      <c r="AL503" s="116"/>
      <c r="AM503" s="116"/>
      <c r="AN503" s="116"/>
      <c r="AO503" s="116"/>
      <c r="AP503" s="116"/>
      <c r="AQ503" s="50" t="s">
        <v>3243</v>
      </c>
      <c r="AR503" s="50" t="s">
        <v>2302</v>
      </c>
      <c r="AS503" s="116"/>
      <c r="AT503" s="50" t="s">
        <v>5540</v>
      </c>
      <c r="AU503" s="117">
        <v>6546.0</v>
      </c>
      <c r="AV503" s="50" t="s">
        <v>9027</v>
      </c>
      <c r="AW503" s="50" t="s">
        <v>9028</v>
      </c>
      <c r="AX503" s="117">
        <v>502.0</v>
      </c>
    </row>
    <row r="504">
      <c r="A504" s="50" t="s">
        <v>9030</v>
      </c>
      <c r="B504" s="50" t="s">
        <v>9031</v>
      </c>
      <c r="C504" s="116"/>
      <c r="D504" s="116"/>
      <c r="E504" s="50">
        <v>3.52155090281144E14</v>
      </c>
      <c r="F504" s="50">
        <v>59.0</v>
      </c>
      <c r="G504" s="50">
        <v>12.0</v>
      </c>
      <c r="H504" s="116"/>
      <c r="I504" s="116"/>
      <c r="J504" s="116"/>
      <c r="K504" s="116"/>
      <c r="L504" s="50" t="s">
        <v>1898</v>
      </c>
      <c r="M504" s="50" t="s">
        <v>1898</v>
      </c>
      <c r="N504" s="50">
        <v>6.0</v>
      </c>
      <c r="O504" s="50" t="s">
        <v>9036</v>
      </c>
      <c r="P504" s="116"/>
      <c r="Q504" s="50" t="s">
        <v>9037</v>
      </c>
      <c r="R504" s="50">
        <v>22.5400558</v>
      </c>
      <c r="S504" s="50">
        <v>88.3873157</v>
      </c>
      <c r="T504" s="50">
        <v>-47.099998474121</v>
      </c>
      <c r="U504" s="50">
        <v>4.5</v>
      </c>
      <c r="V504" s="50">
        <v>1.0</v>
      </c>
      <c r="W504" s="50">
        <v>0.0</v>
      </c>
      <c r="X504" s="50">
        <v>0.0</v>
      </c>
      <c r="Y504" s="50">
        <v>0.0</v>
      </c>
      <c r="Z504" s="116"/>
      <c r="AA504" s="116"/>
      <c r="AB504" s="116"/>
      <c r="AC504" s="116"/>
      <c r="AD504" s="116"/>
      <c r="AE504" s="50">
        <v>1.0</v>
      </c>
      <c r="AF504" s="50">
        <v>2.0</v>
      </c>
      <c r="AG504" s="50">
        <v>4.0</v>
      </c>
      <c r="AH504" s="50">
        <v>4.0</v>
      </c>
      <c r="AI504" s="116"/>
      <c r="AJ504" s="116"/>
      <c r="AK504" s="116"/>
      <c r="AL504" s="116"/>
      <c r="AM504" s="116"/>
      <c r="AN504" s="116"/>
      <c r="AO504" s="116"/>
      <c r="AP504" s="116"/>
      <c r="AQ504" s="50" t="s">
        <v>3200</v>
      </c>
      <c r="AR504" s="50" t="s">
        <v>3142</v>
      </c>
      <c r="AS504" s="50">
        <v>0.0</v>
      </c>
      <c r="AT504" s="50" t="s">
        <v>5540</v>
      </c>
      <c r="AU504" s="117">
        <v>6547.0</v>
      </c>
      <c r="AV504" s="50" t="s">
        <v>9038</v>
      </c>
      <c r="AW504" s="50" t="s">
        <v>9039</v>
      </c>
      <c r="AX504" s="117">
        <v>503.0</v>
      </c>
    </row>
    <row r="505">
      <c r="A505" s="50" t="s">
        <v>9040</v>
      </c>
      <c r="B505" s="50" t="s">
        <v>9041</v>
      </c>
      <c r="C505" s="116"/>
      <c r="D505" s="116"/>
      <c r="E505" s="50">
        <v>3.52155090281144E14</v>
      </c>
      <c r="F505" s="50">
        <v>59.0</v>
      </c>
      <c r="G505" s="50">
        <v>99.0</v>
      </c>
      <c r="H505" s="116"/>
      <c r="I505" s="116"/>
      <c r="J505" s="116"/>
      <c r="K505" s="50">
        <v>1.0</v>
      </c>
      <c r="L505" s="50" t="s">
        <v>1899</v>
      </c>
      <c r="M505" s="50" t="s">
        <v>1899</v>
      </c>
      <c r="N505" s="116"/>
      <c r="O505" s="116"/>
      <c r="P505" s="50" t="s">
        <v>9045</v>
      </c>
      <c r="Q505" s="50" t="s">
        <v>9046</v>
      </c>
      <c r="R505" s="50">
        <v>22.5400054</v>
      </c>
      <c r="S505" s="50">
        <v>88.3872515</v>
      </c>
      <c r="T505" s="50">
        <v>-48.7999992370605</v>
      </c>
      <c r="U505" s="50">
        <v>5.0</v>
      </c>
      <c r="V505" s="50">
        <v>1.0</v>
      </c>
      <c r="W505" s="50">
        <v>0.0</v>
      </c>
      <c r="X505" s="50">
        <v>0.0</v>
      </c>
      <c r="Y505" s="50">
        <v>0.0</v>
      </c>
      <c r="Z505" s="116"/>
      <c r="AA505" s="116"/>
      <c r="AB505" s="116"/>
      <c r="AC505" s="116"/>
      <c r="AD505" s="116"/>
      <c r="AE505" s="116"/>
      <c r="AF505" s="116"/>
      <c r="AG505" s="116"/>
      <c r="AH505" s="116"/>
      <c r="AI505" s="116"/>
      <c r="AJ505" s="116"/>
      <c r="AK505" s="116"/>
      <c r="AL505" s="116"/>
      <c r="AM505" s="116"/>
      <c r="AN505" s="116"/>
      <c r="AO505" s="116"/>
      <c r="AP505" s="116"/>
      <c r="AQ505" s="50" t="s">
        <v>3200</v>
      </c>
      <c r="AR505" s="50" t="s">
        <v>3142</v>
      </c>
      <c r="AS505" s="116"/>
      <c r="AT505" s="50" t="s">
        <v>5540</v>
      </c>
      <c r="AU505" s="117">
        <v>6548.0</v>
      </c>
      <c r="AV505" s="50" t="s">
        <v>9051</v>
      </c>
      <c r="AW505" s="50" t="s">
        <v>9052</v>
      </c>
      <c r="AX505" s="117">
        <v>504.0</v>
      </c>
    </row>
    <row r="506">
      <c r="A506" s="50" t="s">
        <v>9053</v>
      </c>
      <c r="B506" s="50" t="s">
        <v>9054</v>
      </c>
      <c r="C506" s="116"/>
      <c r="D506" s="116"/>
      <c r="E506" s="50">
        <v>3.52155090180007E14</v>
      </c>
      <c r="F506" s="50">
        <v>59.0</v>
      </c>
      <c r="G506" s="50">
        <v>11.0</v>
      </c>
      <c r="H506" s="50">
        <v>4.0</v>
      </c>
      <c r="I506" s="50">
        <v>1.0</v>
      </c>
      <c r="J506" s="50" t="s">
        <v>7653</v>
      </c>
      <c r="K506" s="116"/>
      <c r="L506" s="50" t="s">
        <v>1901</v>
      </c>
      <c r="M506" s="50" t="s">
        <v>1901</v>
      </c>
      <c r="N506" s="116"/>
      <c r="O506" s="116"/>
      <c r="P506" s="50" t="s">
        <v>9058</v>
      </c>
      <c r="Q506" s="50" t="s">
        <v>9059</v>
      </c>
      <c r="R506" s="50">
        <v>22.5407145</v>
      </c>
      <c r="S506" s="50">
        <v>88.3764334</v>
      </c>
      <c r="T506" s="50">
        <v>-27.5</v>
      </c>
      <c r="U506" s="50">
        <v>4.5</v>
      </c>
      <c r="V506" s="50">
        <v>1.0</v>
      </c>
      <c r="W506" s="50">
        <v>0.0</v>
      </c>
      <c r="X506" s="50">
        <v>0.0</v>
      </c>
      <c r="Y506" s="50">
        <v>0.0</v>
      </c>
      <c r="Z506" s="116"/>
      <c r="AA506" s="50">
        <v>2.0</v>
      </c>
      <c r="AB506" s="50">
        <v>4.0</v>
      </c>
      <c r="AC506" s="116"/>
      <c r="AD506" s="116"/>
      <c r="AE506" s="116"/>
      <c r="AF506" s="116"/>
      <c r="AG506" s="116"/>
      <c r="AH506" s="116"/>
      <c r="AI506" s="116"/>
      <c r="AJ506" s="116"/>
      <c r="AK506" s="116"/>
      <c r="AL506" s="116"/>
      <c r="AM506" s="116"/>
      <c r="AN506" s="116"/>
      <c r="AO506" s="116"/>
      <c r="AP506" s="116"/>
      <c r="AQ506" s="50" t="s">
        <v>9060</v>
      </c>
      <c r="AR506" s="50" t="s">
        <v>2327</v>
      </c>
      <c r="AS506" s="50">
        <v>1.0</v>
      </c>
      <c r="AT506" s="50" t="s">
        <v>5540</v>
      </c>
      <c r="AU506" s="117">
        <v>6549.0</v>
      </c>
      <c r="AV506" s="50" t="s">
        <v>9062</v>
      </c>
      <c r="AW506" s="50" t="s">
        <v>9063</v>
      </c>
      <c r="AX506" s="117">
        <v>505.0</v>
      </c>
    </row>
    <row r="507">
      <c r="A507" s="50" t="s">
        <v>9064</v>
      </c>
      <c r="B507" s="50" t="s">
        <v>9066</v>
      </c>
      <c r="C507" s="116"/>
      <c r="D507" s="116"/>
      <c r="E507" s="50">
        <v>3.52155090180007E14</v>
      </c>
      <c r="F507" s="50">
        <v>59.0</v>
      </c>
      <c r="G507" s="50">
        <v>99.0</v>
      </c>
      <c r="H507" s="116"/>
      <c r="I507" s="116"/>
      <c r="J507" s="116"/>
      <c r="K507" s="50">
        <v>2.0</v>
      </c>
      <c r="L507" s="50" t="s">
        <v>1902</v>
      </c>
      <c r="M507" s="50" t="s">
        <v>1902</v>
      </c>
      <c r="N507" s="116"/>
      <c r="O507" s="116"/>
      <c r="P507" s="50" t="s">
        <v>9069</v>
      </c>
      <c r="Q507" s="50" t="s">
        <v>9070</v>
      </c>
      <c r="R507" s="50">
        <v>22.540568</v>
      </c>
      <c r="S507" s="50">
        <v>88.3762374</v>
      </c>
      <c r="T507" s="50">
        <v>-74.6999969482421</v>
      </c>
      <c r="U507" s="50">
        <v>5.0</v>
      </c>
      <c r="V507" s="50">
        <v>1.0</v>
      </c>
      <c r="W507" s="50">
        <v>0.0</v>
      </c>
      <c r="X507" s="50">
        <v>0.0</v>
      </c>
      <c r="Y507" s="50">
        <v>0.0</v>
      </c>
      <c r="Z507" s="116"/>
      <c r="AA507" s="116"/>
      <c r="AB507" s="116"/>
      <c r="AC507" s="116"/>
      <c r="AD507" s="116"/>
      <c r="AE507" s="116"/>
      <c r="AF507" s="116"/>
      <c r="AG507" s="116"/>
      <c r="AH507" s="116"/>
      <c r="AI507" s="116"/>
      <c r="AJ507" s="116"/>
      <c r="AK507" s="116"/>
      <c r="AL507" s="116"/>
      <c r="AM507" s="116"/>
      <c r="AN507" s="116"/>
      <c r="AO507" s="116"/>
      <c r="AP507" s="116"/>
      <c r="AQ507" s="50" t="s">
        <v>9074</v>
      </c>
      <c r="AR507" s="50" t="s">
        <v>2327</v>
      </c>
      <c r="AS507" s="116"/>
      <c r="AT507" s="50" t="s">
        <v>5540</v>
      </c>
      <c r="AU507" s="117">
        <v>6550.0</v>
      </c>
      <c r="AV507" s="50" t="s">
        <v>9076</v>
      </c>
      <c r="AW507" s="50" t="s">
        <v>9077</v>
      </c>
      <c r="AX507" s="117">
        <v>506.0</v>
      </c>
    </row>
    <row r="508">
      <c r="A508" s="50" t="s">
        <v>9079</v>
      </c>
      <c r="B508" s="50" t="s">
        <v>9081</v>
      </c>
      <c r="C508" s="116"/>
      <c r="D508" s="116"/>
      <c r="E508" s="50">
        <v>3.52155090180007E14</v>
      </c>
      <c r="F508" s="50">
        <v>59.0</v>
      </c>
      <c r="G508" s="50">
        <v>11.0</v>
      </c>
      <c r="H508" s="50">
        <v>4.0</v>
      </c>
      <c r="I508" s="50">
        <v>1.0</v>
      </c>
      <c r="J508" s="50" t="s">
        <v>9083</v>
      </c>
      <c r="K508" s="116"/>
      <c r="L508" s="50" t="s">
        <v>1904</v>
      </c>
      <c r="M508" s="50" t="s">
        <v>1904</v>
      </c>
      <c r="N508" s="116"/>
      <c r="O508" s="116"/>
      <c r="P508" s="50" t="s">
        <v>9086</v>
      </c>
      <c r="Q508" s="50" t="s">
        <v>9089</v>
      </c>
      <c r="R508" s="50">
        <v>22.5409723</v>
      </c>
      <c r="S508" s="50">
        <v>88.3758442</v>
      </c>
      <c r="T508" s="50">
        <v>-42.9000015258789</v>
      </c>
      <c r="U508" s="50">
        <v>5.0</v>
      </c>
      <c r="V508" s="50">
        <v>1.0</v>
      </c>
      <c r="W508" s="50">
        <v>0.0</v>
      </c>
      <c r="X508" s="50">
        <v>0.0</v>
      </c>
      <c r="Y508" s="50">
        <v>0.0</v>
      </c>
      <c r="Z508" s="116"/>
      <c r="AA508" s="50">
        <v>2.0</v>
      </c>
      <c r="AB508" s="50">
        <v>4.0</v>
      </c>
      <c r="AC508" s="116"/>
      <c r="AD508" s="116"/>
      <c r="AE508" s="116"/>
      <c r="AF508" s="116"/>
      <c r="AG508" s="116"/>
      <c r="AH508" s="116"/>
      <c r="AI508" s="116"/>
      <c r="AJ508" s="116"/>
      <c r="AK508" s="116"/>
      <c r="AL508" s="116"/>
      <c r="AM508" s="116"/>
      <c r="AN508" s="116"/>
      <c r="AO508" s="116"/>
      <c r="AP508" s="116"/>
      <c r="AQ508" s="50" t="s">
        <v>3149</v>
      </c>
      <c r="AR508" s="50" t="s">
        <v>2472</v>
      </c>
      <c r="AS508" s="50">
        <v>1.0</v>
      </c>
      <c r="AT508" s="50" t="s">
        <v>5540</v>
      </c>
      <c r="AU508" s="117">
        <v>6551.0</v>
      </c>
      <c r="AV508" s="50" t="s">
        <v>9093</v>
      </c>
      <c r="AW508" s="50" t="s">
        <v>9094</v>
      </c>
      <c r="AX508" s="117">
        <v>507.0</v>
      </c>
    </row>
    <row r="509">
      <c r="A509" s="50" t="s">
        <v>9095</v>
      </c>
      <c r="B509" s="50" t="s">
        <v>9097</v>
      </c>
      <c r="C509" s="116"/>
      <c r="D509" s="116"/>
      <c r="E509" s="50">
        <v>3.52155090180007E14</v>
      </c>
      <c r="F509" s="50">
        <v>59.0</v>
      </c>
      <c r="G509" s="50">
        <v>99.0</v>
      </c>
      <c r="H509" s="116"/>
      <c r="I509" s="116"/>
      <c r="J509" s="116"/>
      <c r="K509" s="50">
        <v>2.0</v>
      </c>
      <c r="L509" s="50" t="s">
        <v>1905</v>
      </c>
      <c r="M509" s="50" t="s">
        <v>1905</v>
      </c>
      <c r="N509" s="116"/>
      <c r="O509" s="116"/>
      <c r="P509" s="50" t="s">
        <v>9099</v>
      </c>
      <c r="Q509" s="50" t="s">
        <v>9100</v>
      </c>
      <c r="R509" s="50">
        <v>22.5409435</v>
      </c>
      <c r="S509" s="50">
        <v>88.3757143</v>
      </c>
      <c r="T509" s="50">
        <v>-37.099998474121</v>
      </c>
      <c r="U509" s="50">
        <v>5.0</v>
      </c>
      <c r="V509" s="50">
        <v>1.0</v>
      </c>
      <c r="W509" s="50">
        <v>0.0</v>
      </c>
      <c r="X509" s="50">
        <v>0.0</v>
      </c>
      <c r="Y509" s="50">
        <v>0.0</v>
      </c>
      <c r="Z509" s="116"/>
      <c r="AA509" s="116"/>
      <c r="AB509" s="116"/>
      <c r="AC509" s="116"/>
      <c r="AD509" s="116"/>
      <c r="AE509" s="116"/>
      <c r="AF509" s="116"/>
      <c r="AG509" s="116"/>
      <c r="AH509" s="116"/>
      <c r="AI509" s="116"/>
      <c r="AJ509" s="116"/>
      <c r="AK509" s="116"/>
      <c r="AL509" s="116"/>
      <c r="AM509" s="116"/>
      <c r="AN509" s="116"/>
      <c r="AO509" s="116"/>
      <c r="AP509" s="116"/>
      <c r="AQ509" s="50" t="s">
        <v>9104</v>
      </c>
      <c r="AR509" s="50" t="s">
        <v>2472</v>
      </c>
      <c r="AS509" s="116"/>
      <c r="AT509" s="50" t="s">
        <v>5540</v>
      </c>
      <c r="AU509" s="117">
        <v>6552.0</v>
      </c>
      <c r="AV509" s="50" t="s">
        <v>9106</v>
      </c>
      <c r="AW509" s="50" t="s">
        <v>9107</v>
      </c>
      <c r="AX509" s="117">
        <v>508.0</v>
      </c>
    </row>
    <row r="510">
      <c r="A510" s="50" t="s">
        <v>9109</v>
      </c>
      <c r="B510" s="50" t="s">
        <v>9110</v>
      </c>
      <c r="C510" s="116"/>
      <c r="D510" s="116"/>
      <c r="E510" s="50">
        <v>3.52155090180007E14</v>
      </c>
      <c r="F510" s="50">
        <v>59.0</v>
      </c>
      <c r="G510" s="50">
        <v>11.0</v>
      </c>
      <c r="H510" s="50">
        <v>4.0</v>
      </c>
      <c r="I510" s="50">
        <v>1.0</v>
      </c>
      <c r="J510" s="50" t="s">
        <v>9111</v>
      </c>
      <c r="K510" s="116"/>
      <c r="L510" s="50" t="s">
        <v>1907</v>
      </c>
      <c r="M510" s="50" t="s">
        <v>1907</v>
      </c>
      <c r="N510" s="116"/>
      <c r="O510" s="116"/>
      <c r="P510" s="50" t="s">
        <v>9112</v>
      </c>
      <c r="Q510" s="50" t="s">
        <v>9113</v>
      </c>
      <c r="R510" s="50">
        <v>22.5413836</v>
      </c>
      <c r="S510" s="50">
        <v>88.376075</v>
      </c>
      <c r="T510" s="50">
        <v>-62.7000007629394</v>
      </c>
      <c r="U510" s="50">
        <v>5.0</v>
      </c>
      <c r="V510" s="50">
        <v>1.0</v>
      </c>
      <c r="W510" s="50">
        <v>0.0</v>
      </c>
      <c r="X510" s="50">
        <v>0.0</v>
      </c>
      <c r="Y510" s="50">
        <v>0.0</v>
      </c>
      <c r="Z510" s="116"/>
      <c r="AA510" s="50">
        <v>2.0</v>
      </c>
      <c r="AB510" s="50">
        <v>4.0</v>
      </c>
      <c r="AC510" s="116"/>
      <c r="AD510" s="116"/>
      <c r="AE510" s="116"/>
      <c r="AF510" s="116"/>
      <c r="AG510" s="116"/>
      <c r="AH510" s="116"/>
      <c r="AI510" s="116"/>
      <c r="AJ510" s="116"/>
      <c r="AK510" s="116"/>
      <c r="AL510" s="116"/>
      <c r="AM510" s="116"/>
      <c r="AN510" s="116"/>
      <c r="AO510" s="116"/>
      <c r="AP510" s="116"/>
      <c r="AQ510" s="50" t="s">
        <v>2949</v>
      </c>
      <c r="AR510" s="50" t="s">
        <v>2826</v>
      </c>
      <c r="AS510" s="50">
        <v>1.0</v>
      </c>
      <c r="AT510" s="50" t="s">
        <v>5540</v>
      </c>
      <c r="AU510" s="117">
        <v>6553.0</v>
      </c>
      <c r="AV510" s="50" t="s">
        <v>9118</v>
      </c>
      <c r="AW510" s="50" t="s">
        <v>9119</v>
      </c>
      <c r="AX510" s="117">
        <v>509.0</v>
      </c>
    </row>
    <row r="511">
      <c r="A511" s="50" t="s">
        <v>9120</v>
      </c>
      <c r="B511" s="50" t="s">
        <v>9121</v>
      </c>
      <c r="C511" s="116"/>
      <c r="D511" s="116"/>
      <c r="E511" s="50">
        <v>3.52155090180007E14</v>
      </c>
      <c r="F511" s="50">
        <v>59.0</v>
      </c>
      <c r="G511" s="50">
        <v>99.0</v>
      </c>
      <c r="H511" s="116"/>
      <c r="I511" s="116"/>
      <c r="J511" s="116"/>
      <c r="K511" s="50">
        <v>2.0</v>
      </c>
      <c r="L511" s="50" t="s">
        <v>1908</v>
      </c>
      <c r="M511" s="50" t="s">
        <v>1908</v>
      </c>
      <c r="N511" s="116"/>
      <c r="O511" s="116"/>
      <c r="P511" s="50" t="s">
        <v>9125</v>
      </c>
      <c r="Q511" s="50" t="s">
        <v>9126</v>
      </c>
      <c r="R511" s="50">
        <v>22.5414006</v>
      </c>
      <c r="S511" s="50">
        <v>88.3760415</v>
      </c>
      <c r="T511" s="50">
        <v>-49.7999992370605</v>
      </c>
      <c r="U511" s="50">
        <v>5.0</v>
      </c>
      <c r="V511" s="50">
        <v>1.0</v>
      </c>
      <c r="W511" s="50">
        <v>0.0</v>
      </c>
      <c r="X511" s="50">
        <v>0.0</v>
      </c>
      <c r="Y511" s="50">
        <v>0.0</v>
      </c>
      <c r="Z511" s="116"/>
      <c r="AA511" s="116"/>
      <c r="AB511" s="116"/>
      <c r="AC511" s="116"/>
      <c r="AD511" s="116"/>
      <c r="AE511" s="116"/>
      <c r="AF511" s="116"/>
      <c r="AG511" s="116"/>
      <c r="AH511" s="116"/>
      <c r="AI511" s="116"/>
      <c r="AJ511" s="116"/>
      <c r="AK511" s="116"/>
      <c r="AL511" s="116"/>
      <c r="AM511" s="116"/>
      <c r="AN511" s="116"/>
      <c r="AO511" s="116"/>
      <c r="AP511" s="116"/>
      <c r="AQ511" s="50" t="s">
        <v>9131</v>
      </c>
      <c r="AR511" s="50" t="s">
        <v>2826</v>
      </c>
      <c r="AS511" s="116"/>
      <c r="AT511" s="50" t="s">
        <v>5540</v>
      </c>
      <c r="AU511" s="117">
        <v>6554.0</v>
      </c>
      <c r="AV511" s="50" t="s">
        <v>9132</v>
      </c>
      <c r="AW511" s="50" t="s">
        <v>9133</v>
      </c>
      <c r="AX511" s="117">
        <v>510.0</v>
      </c>
    </row>
    <row r="512">
      <c r="A512" s="50" t="s">
        <v>9134</v>
      </c>
      <c r="B512" s="50" t="s">
        <v>9136</v>
      </c>
      <c r="C512" s="116"/>
      <c r="D512" s="116"/>
      <c r="E512" s="50">
        <v>3.52155090180007E14</v>
      </c>
      <c r="F512" s="50">
        <v>59.0</v>
      </c>
      <c r="G512" s="50">
        <v>11.0</v>
      </c>
      <c r="H512" s="50">
        <v>4.0</v>
      </c>
      <c r="I512" s="50">
        <v>1.0</v>
      </c>
      <c r="J512" s="50" t="s">
        <v>7933</v>
      </c>
      <c r="K512" s="116"/>
      <c r="L512" s="50" t="s">
        <v>1910</v>
      </c>
      <c r="M512" s="50" t="s">
        <v>1910</v>
      </c>
      <c r="N512" s="116"/>
      <c r="O512" s="116"/>
      <c r="P512" s="50" t="s">
        <v>9139</v>
      </c>
      <c r="Q512" s="50" t="s">
        <v>9141</v>
      </c>
      <c r="R512" s="50">
        <v>22.5416874</v>
      </c>
      <c r="S512" s="50">
        <v>88.3747756</v>
      </c>
      <c r="T512" s="50">
        <v>-62.099998474121</v>
      </c>
      <c r="U512" s="50">
        <v>5.0</v>
      </c>
      <c r="V512" s="50">
        <v>1.0</v>
      </c>
      <c r="W512" s="50">
        <v>0.0</v>
      </c>
      <c r="X512" s="50">
        <v>0.0</v>
      </c>
      <c r="Y512" s="50">
        <v>0.0</v>
      </c>
      <c r="Z512" s="116"/>
      <c r="AA512" s="50">
        <v>2.0</v>
      </c>
      <c r="AB512" s="50">
        <v>4.0</v>
      </c>
      <c r="AC512" s="116"/>
      <c r="AD512" s="116"/>
      <c r="AE512" s="116"/>
      <c r="AF512" s="116"/>
      <c r="AG512" s="116"/>
      <c r="AH512" s="116"/>
      <c r="AI512" s="116"/>
      <c r="AJ512" s="116"/>
      <c r="AK512" s="116"/>
      <c r="AL512" s="116"/>
      <c r="AM512" s="116"/>
      <c r="AN512" s="116"/>
      <c r="AO512" s="116"/>
      <c r="AP512" s="116"/>
      <c r="AQ512" s="50" t="s">
        <v>2979</v>
      </c>
      <c r="AR512" s="50" t="s">
        <v>2286</v>
      </c>
      <c r="AS512" s="50">
        <v>1.0</v>
      </c>
      <c r="AT512" s="50" t="s">
        <v>5540</v>
      </c>
      <c r="AU512" s="117">
        <v>6555.0</v>
      </c>
      <c r="AV512" s="50" t="s">
        <v>9145</v>
      </c>
      <c r="AW512" s="50" t="s">
        <v>9146</v>
      </c>
      <c r="AX512" s="117">
        <v>511.0</v>
      </c>
    </row>
    <row r="513">
      <c r="A513" s="50" t="s">
        <v>9147</v>
      </c>
      <c r="B513" s="50" t="s">
        <v>9149</v>
      </c>
      <c r="C513" s="116"/>
      <c r="D513" s="116"/>
      <c r="E513" s="50">
        <v>3.52155090180007E14</v>
      </c>
      <c r="F513" s="50">
        <v>59.0</v>
      </c>
      <c r="G513" s="50">
        <v>99.0</v>
      </c>
      <c r="H513" s="116"/>
      <c r="I513" s="116"/>
      <c r="J513" s="116"/>
      <c r="K513" s="50">
        <v>2.0</v>
      </c>
      <c r="L513" s="50" t="s">
        <v>1911</v>
      </c>
      <c r="M513" s="50" t="s">
        <v>1911</v>
      </c>
      <c r="N513" s="116"/>
      <c r="O513" s="116"/>
      <c r="P513" s="50" t="s">
        <v>9153</v>
      </c>
      <c r="Q513" s="50" t="s">
        <v>9154</v>
      </c>
      <c r="R513" s="50">
        <v>22.5417424</v>
      </c>
      <c r="S513" s="50">
        <v>88.3748193</v>
      </c>
      <c r="T513" s="50">
        <v>-46.599998474121</v>
      </c>
      <c r="U513" s="50">
        <v>5.0</v>
      </c>
      <c r="V513" s="50">
        <v>1.0</v>
      </c>
      <c r="W513" s="50">
        <v>0.0</v>
      </c>
      <c r="X513" s="50">
        <v>0.0</v>
      </c>
      <c r="Y513" s="50">
        <v>0.0</v>
      </c>
      <c r="Z513" s="116"/>
      <c r="AA513" s="116"/>
      <c r="AB513" s="116"/>
      <c r="AC513" s="116"/>
      <c r="AD513" s="116"/>
      <c r="AE513" s="116"/>
      <c r="AF513" s="116"/>
      <c r="AG513" s="116"/>
      <c r="AH513" s="116"/>
      <c r="AI513" s="116"/>
      <c r="AJ513" s="116"/>
      <c r="AK513" s="116"/>
      <c r="AL513" s="116"/>
      <c r="AM513" s="116"/>
      <c r="AN513" s="116"/>
      <c r="AO513" s="116"/>
      <c r="AP513" s="116"/>
      <c r="AQ513" s="50" t="s">
        <v>9157</v>
      </c>
      <c r="AR513" s="50" t="s">
        <v>2286</v>
      </c>
      <c r="AS513" s="116"/>
      <c r="AT513" s="50" t="s">
        <v>5540</v>
      </c>
      <c r="AU513" s="117">
        <v>6556.0</v>
      </c>
      <c r="AV513" s="50" t="s">
        <v>9158</v>
      </c>
      <c r="AW513" s="50" t="s">
        <v>9159</v>
      </c>
      <c r="AX513" s="117">
        <v>512.0</v>
      </c>
    </row>
    <row r="514">
      <c r="A514" s="50" t="s">
        <v>9160</v>
      </c>
      <c r="B514" s="50" t="s">
        <v>9161</v>
      </c>
      <c r="C514" s="116"/>
      <c r="D514" s="116"/>
      <c r="E514" s="50">
        <v>3.52155090180007E14</v>
      </c>
      <c r="F514" s="50">
        <v>59.0</v>
      </c>
      <c r="G514" s="50">
        <v>11.0</v>
      </c>
      <c r="H514" s="50">
        <v>4.0</v>
      </c>
      <c r="I514" s="50">
        <v>1.0</v>
      </c>
      <c r="J514" s="50" t="s">
        <v>9165</v>
      </c>
      <c r="K514" s="116"/>
      <c r="L514" s="50" t="s">
        <v>1913</v>
      </c>
      <c r="M514" s="50" t="s">
        <v>1913</v>
      </c>
      <c r="N514" s="116"/>
      <c r="O514" s="116"/>
      <c r="P514" s="50" t="s">
        <v>9167</v>
      </c>
      <c r="Q514" s="50" t="s">
        <v>9168</v>
      </c>
      <c r="R514" s="50">
        <v>22.5410869</v>
      </c>
      <c r="S514" s="50">
        <v>88.374388</v>
      </c>
      <c r="T514" s="50">
        <v>-36.7999992370605</v>
      </c>
      <c r="U514" s="50">
        <v>5.0</v>
      </c>
      <c r="V514" s="50">
        <v>1.0</v>
      </c>
      <c r="W514" s="50">
        <v>0.0</v>
      </c>
      <c r="X514" s="50">
        <v>0.0</v>
      </c>
      <c r="Y514" s="50">
        <v>0.0</v>
      </c>
      <c r="Z514" s="116"/>
      <c r="AA514" s="50">
        <v>2.0</v>
      </c>
      <c r="AB514" s="50">
        <v>4.0</v>
      </c>
      <c r="AC514" s="116"/>
      <c r="AD514" s="116"/>
      <c r="AE514" s="116"/>
      <c r="AF514" s="116"/>
      <c r="AG514" s="116"/>
      <c r="AH514" s="116"/>
      <c r="AI514" s="116"/>
      <c r="AJ514" s="116"/>
      <c r="AK514" s="116"/>
      <c r="AL514" s="116"/>
      <c r="AM514" s="116"/>
      <c r="AN514" s="116"/>
      <c r="AO514" s="116"/>
      <c r="AP514" s="116"/>
      <c r="AQ514" s="50" t="s">
        <v>9060</v>
      </c>
      <c r="AR514" s="50" t="s">
        <v>2327</v>
      </c>
      <c r="AS514" s="50">
        <v>1.0</v>
      </c>
      <c r="AT514" s="50" t="s">
        <v>5540</v>
      </c>
      <c r="AU514" s="117">
        <v>6557.0</v>
      </c>
      <c r="AV514" s="50" t="s">
        <v>9174</v>
      </c>
      <c r="AW514" s="50" t="s">
        <v>9175</v>
      </c>
      <c r="AX514" s="117">
        <v>513.0</v>
      </c>
    </row>
    <row r="515">
      <c r="A515" s="50" t="s">
        <v>9178</v>
      </c>
      <c r="B515" s="50" t="s">
        <v>9179</v>
      </c>
      <c r="C515" s="116"/>
      <c r="D515" s="116"/>
      <c r="E515" s="50">
        <v>3.52155090180007E14</v>
      </c>
      <c r="F515" s="50">
        <v>59.0</v>
      </c>
      <c r="G515" s="50">
        <v>99.0</v>
      </c>
      <c r="H515" s="116"/>
      <c r="I515" s="116"/>
      <c r="J515" s="116"/>
      <c r="K515" s="50">
        <v>2.0</v>
      </c>
      <c r="L515" s="50" t="s">
        <v>1914</v>
      </c>
      <c r="M515" s="50" t="s">
        <v>1914</v>
      </c>
      <c r="N515" s="116"/>
      <c r="O515" s="116"/>
      <c r="P515" s="50" t="s">
        <v>9181</v>
      </c>
      <c r="Q515" s="50" t="s">
        <v>9182</v>
      </c>
      <c r="R515" s="50">
        <v>22.5411111</v>
      </c>
      <c r="S515" s="50">
        <v>88.3744066</v>
      </c>
      <c r="T515" s="50">
        <v>-40.9000015258789</v>
      </c>
      <c r="U515" s="50">
        <v>5.0</v>
      </c>
      <c r="V515" s="50">
        <v>1.0</v>
      </c>
      <c r="W515" s="50">
        <v>0.0</v>
      </c>
      <c r="X515" s="50">
        <v>0.0</v>
      </c>
      <c r="Y515" s="50">
        <v>0.0</v>
      </c>
      <c r="Z515" s="116"/>
      <c r="AA515" s="116"/>
      <c r="AB515" s="116"/>
      <c r="AC515" s="116"/>
      <c r="AD515" s="116"/>
      <c r="AE515" s="116"/>
      <c r="AF515" s="116"/>
      <c r="AG515" s="116"/>
      <c r="AH515" s="116"/>
      <c r="AI515" s="116"/>
      <c r="AJ515" s="116"/>
      <c r="AK515" s="116"/>
      <c r="AL515" s="116"/>
      <c r="AM515" s="116"/>
      <c r="AN515" s="116"/>
      <c r="AO515" s="116"/>
      <c r="AP515" s="116"/>
      <c r="AQ515" s="50" t="s">
        <v>9184</v>
      </c>
      <c r="AR515" s="50" t="s">
        <v>2327</v>
      </c>
      <c r="AS515" s="116"/>
      <c r="AT515" s="50" t="s">
        <v>5540</v>
      </c>
      <c r="AU515" s="117">
        <v>6558.0</v>
      </c>
      <c r="AV515" s="50" t="s">
        <v>9187</v>
      </c>
      <c r="AW515" s="50" t="s">
        <v>9188</v>
      </c>
      <c r="AX515" s="117">
        <v>514.0</v>
      </c>
    </row>
    <row r="516">
      <c r="A516" s="50" t="s">
        <v>9189</v>
      </c>
      <c r="B516" s="50" t="s">
        <v>9190</v>
      </c>
      <c r="C516" s="116"/>
      <c r="D516" s="116"/>
      <c r="E516" s="50">
        <v>3.52155090180007E14</v>
      </c>
      <c r="F516" s="50">
        <v>58.0</v>
      </c>
      <c r="G516" s="50">
        <v>11.0</v>
      </c>
      <c r="H516" s="50">
        <v>4.0</v>
      </c>
      <c r="I516" s="50">
        <v>1.0</v>
      </c>
      <c r="J516" s="50" t="s">
        <v>7872</v>
      </c>
      <c r="K516" s="116"/>
      <c r="L516" s="50" t="s">
        <v>1916</v>
      </c>
      <c r="M516" s="50" t="s">
        <v>1916</v>
      </c>
      <c r="N516" s="116"/>
      <c r="O516" s="116"/>
      <c r="P516" s="50" t="s">
        <v>9195</v>
      </c>
      <c r="Q516" s="50" t="s">
        <v>9196</v>
      </c>
      <c r="R516" s="50">
        <v>22.5535227</v>
      </c>
      <c r="S516" s="50">
        <v>88.3856469</v>
      </c>
      <c r="T516" s="50">
        <v>-55.2000007629394</v>
      </c>
      <c r="U516" s="50">
        <v>5.0</v>
      </c>
      <c r="V516" s="50">
        <v>1.0</v>
      </c>
      <c r="W516" s="50">
        <v>0.0</v>
      </c>
      <c r="X516" s="50">
        <v>0.0</v>
      </c>
      <c r="Y516" s="50">
        <v>0.0</v>
      </c>
      <c r="Z516" s="116"/>
      <c r="AA516" s="50">
        <v>2.0</v>
      </c>
      <c r="AB516" s="50">
        <v>4.0</v>
      </c>
      <c r="AC516" s="116"/>
      <c r="AD516" s="116"/>
      <c r="AE516" s="116"/>
      <c r="AF516" s="116"/>
      <c r="AG516" s="116"/>
      <c r="AH516" s="116"/>
      <c r="AI516" s="116"/>
      <c r="AJ516" s="116"/>
      <c r="AK516" s="116"/>
      <c r="AL516" s="116"/>
      <c r="AM516" s="116"/>
      <c r="AN516" s="116"/>
      <c r="AO516" s="116"/>
      <c r="AP516" s="116"/>
      <c r="AQ516" s="50" t="s">
        <v>2979</v>
      </c>
      <c r="AR516" s="50" t="s">
        <v>2327</v>
      </c>
      <c r="AS516" s="50">
        <v>1.0</v>
      </c>
      <c r="AT516" s="50" t="s">
        <v>5540</v>
      </c>
      <c r="AU516" s="117">
        <v>6559.0</v>
      </c>
      <c r="AV516" s="50" t="s">
        <v>9201</v>
      </c>
      <c r="AW516" s="50" t="s">
        <v>9202</v>
      </c>
      <c r="AX516" s="117">
        <v>515.0</v>
      </c>
    </row>
    <row r="517">
      <c r="A517" s="50" t="s">
        <v>9203</v>
      </c>
      <c r="B517" s="50" t="s">
        <v>9204</v>
      </c>
      <c r="C517" s="116"/>
      <c r="D517" s="116"/>
      <c r="E517" s="50">
        <v>3.52155090180007E14</v>
      </c>
      <c r="F517" s="50">
        <v>58.0</v>
      </c>
      <c r="G517" s="50">
        <v>99.0</v>
      </c>
      <c r="H517" s="116"/>
      <c r="I517" s="116"/>
      <c r="J517" s="116"/>
      <c r="K517" s="50">
        <v>2.0</v>
      </c>
      <c r="L517" s="50" t="s">
        <v>1917</v>
      </c>
      <c r="M517" s="50" t="s">
        <v>1917</v>
      </c>
      <c r="N517" s="116"/>
      <c r="O517" s="116"/>
      <c r="P517" s="50" t="s">
        <v>9207</v>
      </c>
      <c r="Q517" s="50" t="s">
        <v>9208</v>
      </c>
      <c r="R517" s="50">
        <v>22.5535516</v>
      </c>
      <c r="S517" s="50">
        <v>88.3856411</v>
      </c>
      <c r="T517" s="50">
        <v>-56.4000015258789</v>
      </c>
      <c r="U517" s="50">
        <v>5.0</v>
      </c>
      <c r="V517" s="50">
        <v>1.0</v>
      </c>
      <c r="W517" s="50">
        <v>0.0</v>
      </c>
      <c r="X517" s="50">
        <v>0.0</v>
      </c>
      <c r="Y517" s="50">
        <v>0.0</v>
      </c>
      <c r="Z517" s="116"/>
      <c r="AA517" s="116"/>
      <c r="AB517" s="116"/>
      <c r="AC517" s="116"/>
      <c r="AD517" s="116"/>
      <c r="AE517" s="116"/>
      <c r="AF517" s="116"/>
      <c r="AG517" s="116"/>
      <c r="AH517" s="116"/>
      <c r="AI517" s="116"/>
      <c r="AJ517" s="116"/>
      <c r="AK517" s="116"/>
      <c r="AL517" s="116"/>
      <c r="AM517" s="116"/>
      <c r="AN517" s="116"/>
      <c r="AO517" s="116"/>
      <c r="AP517" s="116"/>
      <c r="AQ517" s="50" t="s">
        <v>9213</v>
      </c>
      <c r="AR517" s="50" t="s">
        <v>2472</v>
      </c>
      <c r="AS517" s="116"/>
      <c r="AT517" s="50" t="s">
        <v>5540</v>
      </c>
      <c r="AU517" s="117">
        <v>6560.0</v>
      </c>
      <c r="AV517" s="50" t="s">
        <v>9214</v>
      </c>
      <c r="AW517" s="50" t="s">
        <v>9215</v>
      </c>
      <c r="AX517" s="117">
        <v>516.0</v>
      </c>
    </row>
    <row r="518">
      <c r="A518" s="74" t="s">
        <v>9218</v>
      </c>
      <c r="B518" s="74" t="s">
        <v>9220</v>
      </c>
      <c r="C518" s="119"/>
      <c r="D518" s="119"/>
      <c r="E518" s="74">
        <v>3.52155090281144E14</v>
      </c>
      <c r="F518" s="74">
        <v>59.0</v>
      </c>
      <c r="G518" s="74">
        <v>11.0</v>
      </c>
      <c r="H518" s="74">
        <v>4.0</v>
      </c>
      <c r="I518" s="74">
        <v>1.0</v>
      </c>
      <c r="J518" s="74" t="s">
        <v>9111</v>
      </c>
      <c r="K518" s="119"/>
      <c r="L518" s="74" t="s">
        <v>1920</v>
      </c>
      <c r="M518" s="74" t="s">
        <v>1920</v>
      </c>
      <c r="N518" s="119"/>
      <c r="O518" s="119"/>
      <c r="P518" s="74" t="s">
        <v>9222</v>
      </c>
      <c r="Q518" s="74" t="s">
        <v>9223</v>
      </c>
      <c r="R518" s="74">
        <v>22.5413885</v>
      </c>
      <c r="S518" s="74">
        <v>88.3760497</v>
      </c>
      <c r="T518" s="74">
        <v>-53.5</v>
      </c>
      <c r="U518" s="74">
        <v>5.0</v>
      </c>
      <c r="V518" s="74">
        <v>1.0</v>
      </c>
      <c r="W518" s="74">
        <v>0.0</v>
      </c>
      <c r="X518" s="74">
        <v>0.0</v>
      </c>
      <c r="Y518" s="74">
        <v>0.0</v>
      </c>
      <c r="Z518" s="119"/>
      <c r="AA518" s="74">
        <v>2.0</v>
      </c>
      <c r="AB518" s="74">
        <v>4.0</v>
      </c>
      <c r="AC518" s="119"/>
      <c r="AD518" s="119"/>
      <c r="AE518" s="119"/>
      <c r="AF518" s="119"/>
      <c r="AG518" s="119"/>
      <c r="AH518" s="119"/>
      <c r="AI518" s="119"/>
      <c r="AJ518" s="119"/>
      <c r="AK518" s="119"/>
      <c r="AL518" s="119"/>
      <c r="AM518" s="119"/>
      <c r="AN518" s="119"/>
      <c r="AO518" s="119"/>
      <c r="AP518" s="119"/>
      <c r="AQ518" s="74" t="s">
        <v>3185</v>
      </c>
      <c r="AR518" s="74" t="s">
        <v>2327</v>
      </c>
      <c r="AS518" s="74">
        <v>1.0</v>
      </c>
      <c r="AT518" s="74" t="s">
        <v>5540</v>
      </c>
      <c r="AU518" s="120">
        <v>6633.0</v>
      </c>
      <c r="AV518" s="74" t="s">
        <v>9231</v>
      </c>
      <c r="AW518" s="74" t="s">
        <v>9233</v>
      </c>
      <c r="AX518" s="120">
        <v>517.0</v>
      </c>
    </row>
    <row r="519">
      <c r="A519" s="74" t="s">
        <v>9234</v>
      </c>
      <c r="B519" s="74" t="s">
        <v>9235</v>
      </c>
      <c r="C519" s="119"/>
      <c r="D519" s="119"/>
      <c r="E519" s="74">
        <v>3.52155090281144E14</v>
      </c>
      <c r="F519" s="74">
        <v>59.0</v>
      </c>
      <c r="G519" s="74">
        <v>99.0</v>
      </c>
      <c r="H519" s="119"/>
      <c r="I519" s="119"/>
      <c r="J519" s="119"/>
      <c r="K519" s="74">
        <v>2.0</v>
      </c>
      <c r="L519" s="74" t="s">
        <v>1921</v>
      </c>
      <c r="M519" s="74" t="s">
        <v>1921</v>
      </c>
      <c r="N519" s="119"/>
      <c r="O519" s="119"/>
      <c r="P519" s="74" t="s">
        <v>9236</v>
      </c>
      <c r="Q519" s="74" t="s">
        <v>9237</v>
      </c>
      <c r="R519" s="74">
        <v>22.541324</v>
      </c>
      <c r="S519" s="74">
        <v>88.3760673</v>
      </c>
      <c r="T519" s="74">
        <v>-40.7000007629394</v>
      </c>
      <c r="U519" s="74">
        <v>5.0</v>
      </c>
      <c r="V519" s="74">
        <v>1.0</v>
      </c>
      <c r="W519" s="74">
        <v>0.0</v>
      </c>
      <c r="X519" s="74">
        <v>0.0</v>
      </c>
      <c r="Y519" s="74">
        <v>0.0</v>
      </c>
      <c r="Z519" s="119"/>
      <c r="AA519" s="119"/>
      <c r="AB519" s="119"/>
      <c r="AC519" s="119"/>
      <c r="AD519" s="119"/>
      <c r="AE519" s="119"/>
      <c r="AF519" s="119"/>
      <c r="AG519" s="119"/>
      <c r="AH519" s="119"/>
      <c r="AI519" s="119"/>
      <c r="AJ519" s="119"/>
      <c r="AK519" s="119"/>
      <c r="AL519" s="119"/>
      <c r="AM519" s="119"/>
      <c r="AN519" s="119"/>
      <c r="AO519" s="119"/>
      <c r="AP519" s="119"/>
      <c r="AQ519" s="74" t="s">
        <v>9243</v>
      </c>
      <c r="AR519" s="74" t="s">
        <v>2327</v>
      </c>
      <c r="AS519" s="119"/>
      <c r="AT519" s="74" t="s">
        <v>5540</v>
      </c>
      <c r="AU519" s="120">
        <v>6634.0</v>
      </c>
      <c r="AV519" s="74" t="s">
        <v>9245</v>
      </c>
      <c r="AW519" s="74" t="s">
        <v>9246</v>
      </c>
      <c r="AX519" s="120">
        <v>518.0</v>
      </c>
    </row>
    <row r="520">
      <c r="A520" s="74" t="s">
        <v>9247</v>
      </c>
      <c r="B520" s="74" t="s">
        <v>9248</v>
      </c>
      <c r="C520" s="119"/>
      <c r="D520" s="119"/>
      <c r="E520" s="74">
        <v>3.52155090281144E14</v>
      </c>
      <c r="F520" s="74">
        <v>59.0</v>
      </c>
      <c r="G520" s="74">
        <v>11.0</v>
      </c>
      <c r="H520" s="74">
        <v>4.0</v>
      </c>
      <c r="I520" s="74">
        <v>1.0</v>
      </c>
      <c r="J520" s="74" t="s">
        <v>9250</v>
      </c>
      <c r="K520" s="119"/>
      <c r="L520" s="74" t="s">
        <v>1923</v>
      </c>
      <c r="M520" s="74" t="s">
        <v>1923</v>
      </c>
      <c r="N520" s="119"/>
      <c r="O520" s="119"/>
      <c r="P520" s="74" t="s">
        <v>9252</v>
      </c>
      <c r="Q520" s="74" t="s">
        <v>9254</v>
      </c>
      <c r="R520" s="74">
        <v>22.5409209</v>
      </c>
      <c r="S520" s="74">
        <v>88.3758066</v>
      </c>
      <c r="T520" s="74">
        <v>-49.5</v>
      </c>
      <c r="U520" s="74">
        <v>5.0</v>
      </c>
      <c r="V520" s="74">
        <v>1.0</v>
      </c>
      <c r="W520" s="74">
        <v>0.0</v>
      </c>
      <c r="X520" s="74">
        <v>0.0</v>
      </c>
      <c r="Y520" s="74">
        <v>0.0</v>
      </c>
      <c r="Z520" s="119"/>
      <c r="AA520" s="74">
        <v>2.0</v>
      </c>
      <c r="AB520" s="74">
        <v>4.0</v>
      </c>
      <c r="AC520" s="119"/>
      <c r="AD520" s="119"/>
      <c r="AE520" s="119"/>
      <c r="AF520" s="119"/>
      <c r="AG520" s="119"/>
      <c r="AH520" s="119"/>
      <c r="AI520" s="119"/>
      <c r="AJ520" s="119"/>
      <c r="AK520" s="119"/>
      <c r="AL520" s="119"/>
      <c r="AM520" s="119"/>
      <c r="AN520" s="119"/>
      <c r="AO520" s="119"/>
      <c r="AP520" s="119"/>
      <c r="AQ520" s="74" t="s">
        <v>3149</v>
      </c>
      <c r="AR520" s="74" t="s">
        <v>2472</v>
      </c>
      <c r="AS520" s="74">
        <v>1.0</v>
      </c>
      <c r="AT520" s="74" t="s">
        <v>5540</v>
      </c>
      <c r="AU520" s="120">
        <v>6635.0</v>
      </c>
      <c r="AV520" s="74" t="s">
        <v>9256</v>
      </c>
      <c r="AW520" s="74" t="s">
        <v>9257</v>
      </c>
      <c r="AX520" s="120">
        <v>519.0</v>
      </c>
    </row>
    <row r="521">
      <c r="A521" s="74" t="s">
        <v>9258</v>
      </c>
      <c r="B521" s="74" t="s">
        <v>9260</v>
      </c>
      <c r="C521" s="119"/>
      <c r="D521" s="119"/>
      <c r="E521" s="74">
        <v>3.52155090281144E14</v>
      </c>
      <c r="F521" s="74">
        <v>59.0</v>
      </c>
      <c r="G521" s="74">
        <v>99.0</v>
      </c>
      <c r="H521" s="119"/>
      <c r="I521" s="119"/>
      <c r="J521" s="119"/>
      <c r="K521" s="74">
        <v>2.0</v>
      </c>
      <c r="L521" s="74" t="s">
        <v>1924</v>
      </c>
      <c r="M521" s="74" t="s">
        <v>1924</v>
      </c>
      <c r="N521" s="119"/>
      <c r="O521" s="119"/>
      <c r="P521" s="74" t="s">
        <v>9262</v>
      </c>
      <c r="Q521" s="74" t="s">
        <v>9264</v>
      </c>
      <c r="R521" s="74">
        <v>22.5409626</v>
      </c>
      <c r="S521" s="74">
        <v>88.3757566</v>
      </c>
      <c r="T521" s="74">
        <v>-58.7999992370605</v>
      </c>
      <c r="U521" s="74">
        <v>5.0</v>
      </c>
      <c r="V521" s="74">
        <v>1.0</v>
      </c>
      <c r="W521" s="74">
        <v>0.0</v>
      </c>
      <c r="X521" s="74">
        <v>0.0</v>
      </c>
      <c r="Y521" s="74">
        <v>0.0</v>
      </c>
      <c r="Z521" s="119"/>
      <c r="AA521" s="119"/>
      <c r="AB521" s="119"/>
      <c r="AC521" s="119"/>
      <c r="AD521" s="119"/>
      <c r="AE521" s="119"/>
      <c r="AF521" s="119"/>
      <c r="AG521" s="119"/>
      <c r="AH521" s="119"/>
      <c r="AI521" s="119"/>
      <c r="AJ521" s="119"/>
      <c r="AK521" s="119"/>
      <c r="AL521" s="119"/>
      <c r="AM521" s="119"/>
      <c r="AN521" s="119"/>
      <c r="AO521" s="119"/>
      <c r="AP521" s="119"/>
      <c r="AQ521" s="74" t="s">
        <v>9267</v>
      </c>
      <c r="AR521" s="74" t="s">
        <v>2472</v>
      </c>
      <c r="AS521" s="119"/>
      <c r="AT521" s="74" t="s">
        <v>5540</v>
      </c>
      <c r="AU521" s="120">
        <v>6636.0</v>
      </c>
      <c r="AV521" s="74" t="s">
        <v>9268</v>
      </c>
      <c r="AW521" s="74" t="s">
        <v>9269</v>
      </c>
      <c r="AX521" s="120">
        <v>520.0</v>
      </c>
    </row>
    <row r="522">
      <c r="A522" s="74" t="s">
        <v>9270</v>
      </c>
      <c r="B522" s="74" t="s">
        <v>9271</v>
      </c>
      <c r="C522" s="119"/>
      <c r="D522" s="119"/>
      <c r="E522" s="74">
        <v>3.52155090281144E14</v>
      </c>
      <c r="F522" s="74">
        <v>59.0</v>
      </c>
      <c r="G522" s="74">
        <v>11.0</v>
      </c>
      <c r="H522" s="74">
        <v>4.0</v>
      </c>
      <c r="I522" s="74">
        <v>1.0</v>
      </c>
      <c r="J522" s="74" t="s">
        <v>9275</v>
      </c>
      <c r="K522" s="119"/>
      <c r="L522" s="74" t="s">
        <v>1926</v>
      </c>
      <c r="M522" s="74" t="s">
        <v>1926</v>
      </c>
      <c r="N522" s="119"/>
      <c r="O522" s="119"/>
      <c r="P522" s="74" t="s">
        <v>9277</v>
      </c>
      <c r="Q522" s="74" t="s">
        <v>9278</v>
      </c>
      <c r="R522" s="74">
        <v>22.5411321</v>
      </c>
      <c r="S522" s="74">
        <v>88.3742883</v>
      </c>
      <c r="T522" s="74">
        <v>-41.2999992370605</v>
      </c>
      <c r="U522" s="74">
        <v>5.0</v>
      </c>
      <c r="V522" s="74">
        <v>1.0</v>
      </c>
      <c r="W522" s="74">
        <v>0.0</v>
      </c>
      <c r="X522" s="74">
        <v>0.0</v>
      </c>
      <c r="Y522" s="74">
        <v>0.0</v>
      </c>
      <c r="Z522" s="119"/>
      <c r="AA522" s="74">
        <v>2.0</v>
      </c>
      <c r="AB522" s="74">
        <v>4.0</v>
      </c>
      <c r="AC522" s="119"/>
      <c r="AD522" s="119"/>
      <c r="AE522" s="119"/>
      <c r="AF522" s="119"/>
      <c r="AG522" s="119"/>
      <c r="AH522" s="119"/>
      <c r="AI522" s="119"/>
      <c r="AJ522" s="119"/>
      <c r="AK522" s="119"/>
      <c r="AL522" s="119"/>
      <c r="AM522" s="119"/>
      <c r="AN522" s="119"/>
      <c r="AO522" s="119"/>
      <c r="AP522" s="119"/>
      <c r="AQ522" s="74" t="s">
        <v>2949</v>
      </c>
      <c r="AR522" s="74" t="s">
        <v>2278</v>
      </c>
      <c r="AS522" s="74">
        <v>1.0</v>
      </c>
      <c r="AT522" s="74" t="s">
        <v>5540</v>
      </c>
      <c r="AU522" s="120">
        <v>6637.0</v>
      </c>
      <c r="AV522" s="74" t="s">
        <v>9281</v>
      </c>
      <c r="AW522" s="74" t="s">
        <v>9283</v>
      </c>
      <c r="AX522" s="120">
        <v>521.0</v>
      </c>
    </row>
    <row r="523">
      <c r="A523" s="74" t="s">
        <v>9285</v>
      </c>
      <c r="B523" s="74" t="s">
        <v>9286</v>
      </c>
      <c r="C523" s="119"/>
      <c r="D523" s="119"/>
      <c r="E523" s="74">
        <v>3.52155090281144E14</v>
      </c>
      <c r="F523" s="74">
        <v>59.0</v>
      </c>
      <c r="G523" s="74">
        <v>99.0</v>
      </c>
      <c r="H523" s="119"/>
      <c r="I523" s="119"/>
      <c r="J523" s="119"/>
      <c r="K523" s="74">
        <v>2.0</v>
      </c>
      <c r="L523" s="74" t="s">
        <v>1927</v>
      </c>
      <c r="M523" s="74" t="s">
        <v>1927</v>
      </c>
      <c r="N523" s="119"/>
      <c r="O523" s="119"/>
      <c r="P523" s="74" t="s">
        <v>9288</v>
      </c>
      <c r="Q523" s="74" t="s">
        <v>9289</v>
      </c>
      <c r="R523" s="74">
        <v>22.5410939</v>
      </c>
      <c r="S523" s="74">
        <v>88.3743551</v>
      </c>
      <c r="T523" s="74">
        <v>-51.599998474121</v>
      </c>
      <c r="U523" s="74">
        <v>5.0</v>
      </c>
      <c r="V523" s="74">
        <v>1.0</v>
      </c>
      <c r="W523" s="74">
        <v>0.0</v>
      </c>
      <c r="X523" s="74">
        <v>0.0</v>
      </c>
      <c r="Y523" s="74">
        <v>0.0</v>
      </c>
      <c r="Z523" s="119"/>
      <c r="AA523" s="119"/>
      <c r="AB523" s="119"/>
      <c r="AC523" s="119"/>
      <c r="AD523" s="119"/>
      <c r="AE523" s="119"/>
      <c r="AF523" s="119"/>
      <c r="AG523" s="119"/>
      <c r="AH523" s="119"/>
      <c r="AI523" s="119"/>
      <c r="AJ523" s="119"/>
      <c r="AK523" s="119"/>
      <c r="AL523" s="119"/>
      <c r="AM523" s="119"/>
      <c r="AN523" s="119"/>
      <c r="AO523" s="119"/>
      <c r="AP523" s="119"/>
      <c r="AQ523" s="74" t="s">
        <v>9293</v>
      </c>
      <c r="AR523" s="74" t="s">
        <v>2278</v>
      </c>
      <c r="AS523" s="119"/>
      <c r="AT523" s="74" t="s">
        <v>5540</v>
      </c>
      <c r="AU523" s="120">
        <v>6638.0</v>
      </c>
      <c r="AV523" s="74" t="s">
        <v>9295</v>
      </c>
      <c r="AW523" s="74" t="s">
        <v>9296</v>
      </c>
      <c r="AX523" s="120">
        <v>522.0</v>
      </c>
    </row>
    <row r="524">
      <c r="A524" s="74" t="s">
        <v>9297</v>
      </c>
      <c r="B524" s="74" t="s">
        <v>9298</v>
      </c>
      <c r="C524" s="119"/>
      <c r="D524" s="119"/>
      <c r="E524" s="74">
        <v>3.52155090281144E14</v>
      </c>
      <c r="F524" s="74">
        <v>59.0</v>
      </c>
      <c r="G524" s="74">
        <v>11.0</v>
      </c>
      <c r="H524" s="74">
        <v>4.0</v>
      </c>
      <c r="I524" s="74">
        <v>1.0</v>
      </c>
      <c r="J524" s="74" t="s">
        <v>8348</v>
      </c>
      <c r="K524" s="119"/>
      <c r="L524" s="74" t="s">
        <v>1929</v>
      </c>
      <c r="M524" s="74" t="s">
        <v>1929</v>
      </c>
      <c r="N524" s="119"/>
      <c r="O524" s="119"/>
      <c r="P524" s="74" t="s">
        <v>9299</v>
      </c>
      <c r="Q524" s="74" t="s">
        <v>9300</v>
      </c>
      <c r="R524" s="74">
        <v>22.5414785</v>
      </c>
      <c r="S524" s="74">
        <v>88.3753743</v>
      </c>
      <c r="T524" s="74">
        <v>-40.7000007629394</v>
      </c>
      <c r="U524" s="74">
        <v>5.0</v>
      </c>
      <c r="V524" s="74">
        <v>1.0</v>
      </c>
      <c r="W524" s="74">
        <v>0.0</v>
      </c>
      <c r="X524" s="74">
        <v>0.0</v>
      </c>
      <c r="Y524" s="74">
        <v>0.0</v>
      </c>
      <c r="Z524" s="119"/>
      <c r="AA524" s="74">
        <v>2.0</v>
      </c>
      <c r="AB524" s="74">
        <v>4.0</v>
      </c>
      <c r="AC524" s="119"/>
      <c r="AD524" s="119"/>
      <c r="AE524" s="119"/>
      <c r="AF524" s="119"/>
      <c r="AG524" s="119"/>
      <c r="AH524" s="119"/>
      <c r="AI524" s="119"/>
      <c r="AJ524" s="119"/>
      <c r="AK524" s="119"/>
      <c r="AL524" s="119"/>
      <c r="AM524" s="119"/>
      <c r="AN524" s="119"/>
      <c r="AO524" s="119"/>
      <c r="AP524" s="119"/>
      <c r="AQ524" s="74" t="s">
        <v>2979</v>
      </c>
      <c r="AR524" s="74" t="s">
        <v>2286</v>
      </c>
      <c r="AS524" s="74">
        <v>1.0</v>
      </c>
      <c r="AT524" s="74" t="s">
        <v>5540</v>
      </c>
      <c r="AU524" s="120">
        <v>6639.0</v>
      </c>
      <c r="AV524" s="74" t="s">
        <v>9305</v>
      </c>
      <c r="AW524" s="74" t="s">
        <v>9307</v>
      </c>
      <c r="AX524" s="120">
        <v>523.0</v>
      </c>
    </row>
    <row r="525">
      <c r="A525" s="74" t="s">
        <v>9310</v>
      </c>
      <c r="B525" s="74" t="s">
        <v>9311</v>
      </c>
      <c r="C525" s="119"/>
      <c r="D525" s="119"/>
      <c r="E525" s="74">
        <v>3.52155090281144E14</v>
      </c>
      <c r="F525" s="74">
        <v>59.0</v>
      </c>
      <c r="G525" s="74">
        <v>99.0</v>
      </c>
      <c r="H525" s="119"/>
      <c r="I525" s="119"/>
      <c r="J525" s="119"/>
      <c r="K525" s="74">
        <v>2.0</v>
      </c>
      <c r="L525" s="74" t="s">
        <v>1930</v>
      </c>
      <c r="M525" s="74" t="s">
        <v>1930</v>
      </c>
      <c r="N525" s="119"/>
      <c r="O525" s="119"/>
      <c r="P525" s="74" t="s">
        <v>9312</v>
      </c>
      <c r="Q525" s="74" t="s">
        <v>9313</v>
      </c>
      <c r="R525" s="74">
        <v>22.5414194</v>
      </c>
      <c r="S525" s="74">
        <v>88.3755709</v>
      </c>
      <c r="T525" s="74">
        <v>-57.2000007629394</v>
      </c>
      <c r="U525" s="74">
        <v>5.0</v>
      </c>
      <c r="V525" s="74">
        <v>1.0</v>
      </c>
      <c r="W525" s="74">
        <v>0.0</v>
      </c>
      <c r="X525" s="74">
        <v>0.0</v>
      </c>
      <c r="Y525" s="74">
        <v>0.0</v>
      </c>
      <c r="Z525" s="119"/>
      <c r="AA525" s="119"/>
      <c r="AB525" s="119"/>
      <c r="AC525" s="119"/>
      <c r="AD525" s="119"/>
      <c r="AE525" s="119"/>
      <c r="AF525" s="119"/>
      <c r="AG525" s="119"/>
      <c r="AH525" s="119"/>
      <c r="AI525" s="119"/>
      <c r="AJ525" s="119"/>
      <c r="AK525" s="119"/>
      <c r="AL525" s="119"/>
      <c r="AM525" s="119"/>
      <c r="AN525" s="119"/>
      <c r="AO525" s="119"/>
      <c r="AP525" s="119"/>
      <c r="AQ525" s="74" t="s">
        <v>9319</v>
      </c>
      <c r="AR525" s="74" t="s">
        <v>2286</v>
      </c>
      <c r="AS525" s="119"/>
      <c r="AT525" s="74" t="s">
        <v>5540</v>
      </c>
      <c r="AU525" s="120">
        <v>6640.0</v>
      </c>
      <c r="AV525" s="74" t="s">
        <v>9321</v>
      </c>
      <c r="AW525" s="74" t="s">
        <v>9322</v>
      </c>
      <c r="AX525" s="120">
        <v>524.0</v>
      </c>
    </row>
    <row r="526">
      <c r="A526" s="74" t="s">
        <v>9325</v>
      </c>
      <c r="B526" s="74" t="s">
        <v>9326</v>
      </c>
      <c r="C526" s="119"/>
      <c r="D526" s="119"/>
      <c r="E526" s="74">
        <v>3.52155090281144E14</v>
      </c>
      <c r="F526" s="74">
        <v>66.0</v>
      </c>
      <c r="G526" s="74">
        <v>12.0</v>
      </c>
      <c r="H526" s="119"/>
      <c r="I526" s="119"/>
      <c r="J526" s="119"/>
      <c r="K526" s="119"/>
      <c r="L526" s="74" t="s">
        <v>1953</v>
      </c>
      <c r="M526" s="74" t="s">
        <v>1953</v>
      </c>
      <c r="N526" s="74">
        <v>5.0</v>
      </c>
      <c r="O526" s="74" t="s">
        <v>9327</v>
      </c>
      <c r="P526" s="119"/>
      <c r="Q526" s="74" t="s">
        <v>9328</v>
      </c>
      <c r="R526" s="74">
        <v>22.5345909</v>
      </c>
      <c r="S526" s="74">
        <v>88.3960658</v>
      </c>
      <c r="T526" s="74">
        <v>-42.599998474121</v>
      </c>
      <c r="U526" s="74">
        <v>5.0</v>
      </c>
      <c r="V526" s="74">
        <v>2.0</v>
      </c>
      <c r="W526" s="74">
        <v>1.0</v>
      </c>
      <c r="X526" s="119"/>
      <c r="Y526" s="119"/>
      <c r="Z526" s="119"/>
      <c r="AA526" s="119"/>
      <c r="AB526" s="119"/>
      <c r="AC526" s="119"/>
      <c r="AD526" s="119"/>
      <c r="AE526" s="74">
        <v>1.0</v>
      </c>
      <c r="AF526" s="74">
        <v>2.0</v>
      </c>
      <c r="AG526" s="74">
        <v>3.0</v>
      </c>
      <c r="AH526" s="74">
        <v>4.0</v>
      </c>
      <c r="AI526" s="119"/>
      <c r="AJ526" s="119"/>
      <c r="AK526" s="119"/>
      <c r="AL526" s="119"/>
      <c r="AM526" s="119"/>
      <c r="AN526" s="119"/>
      <c r="AO526" s="119"/>
      <c r="AP526" s="119"/>
      <c r="AQ526" s="74" t="s">
        <v>3200</v>
      </c>
      <c r="AR526" s="74" t="s">
        <v>2327</v>
      </c>
      <c r="AS526" s="74">
        <v>0.0</v>
      </c>
      <c r="AT526" s="74" t="s">
        <v>5540</v>
      </c>
      <c r="AU526" s="120">
        <v>6733.0</v>
      </c>
      <c r="AV526" s="74" t="s">
        <v>9336</v>
      </c>
      <c r="AW526" s="74" t="s">
        <v>9337</v>
      </c>
      <c r="AX526" s="120">
        <v>525.0</v>
      </c>
    </row>
    <row r="527">
      <c r="A527" s="74" t="s">
        <v>9338</v>
      </c>
      <c r="B527" s="74" t="s">
        <v>9339</v>
      </c>
      <c r="C527" s="119"/>
      <c r="D527" s="119"/>
      <c r="E527" s="74">
        <v>3.52155090281144E14</v>
      </c>
      <c r="F527" s="74">
        <v>66.0</v>
      </c>
      <c r="G527" s="74">
        <v>99.0</v>
      </c>
      <c r="H527" s="119"/>
      <c r="I527" s="119"/>
      <c r="J527" s="119"/>
      <c r="K527" s="74">
        <v>1.0</v>
      </c>
      <c r="L527" s="74" t="s">
        <v>1954</v>
      </c>
      <c r="M527" s="74" t="s">
        <v>1954</v>
      </c>
      <c r="N527" s="119"/>
      <c r="O527" s="119"/>
      <c r="P527" s="74" t="s">
        <v>9341</v>
      </c>
      <c r="Q527" s="74" t="s">
        <v>9343</v>
      </c>
      <c r="R527" s="74">
        <v>22.5345535</v>
      </c>
      <c r="S527" s="74">
        <v>88.3958884</v>
      </c>
      <c r="T527" s="74">
        <v>-41.099998474121</v>
      </c>
      <c r="U527" s="74">
        <v>5.0</v>
      </c>
      <c r="V527" s="74">
        <v>2.0</v>
      </c>
      <c r="W527" s="74">
        <v>1.0</v>
      </c>
      <c r="X527" s="119"/>
      <c r="Y527" s="119"/>
      <c r="Z527" s="119"/>
      <c r="AA527" s="119"/>
      <c r="AB527" s="119"/>
      <c r="AC527" s="119"/>
      <c r="AD527" s="119"/>
      <c r="AE527" s="119"/>
      <c r="AF527" s="119"/>
      <c r="AG527" s="119"/>
      <c r="AH527" s="119"/>
      <c r="AI527" s="119"/>
      <c r="AJ527" s="119"/>
      <c r="AK527" s="119"/>
      <c r="AL527" s="119"/>
      <c r="AM527" s="119"/>
      <c r="AN527" s="119"/>
      <c r="AO527" s="119"/>
      <c r="AP527" s="119"/>
      <c r="AQ527" s="74" t="s">
        <v>3200</v>
      </c>
      <c r="AR527" s="74" t="s">
        <v>2327</v>
      </c>
      <c r="AS527" s="119"/>
      <c r="AT527" s="74" t="s">
        <v>5540</v>
      </c>
      <c r="AU527" s="120">
        <v>6734.0</v>
      </c>
      <c r="AV527" s="74" t="s">
        <v>9349</v>
      </c>
      <c r="AW527" s="74" t="s">
        <v>9350</v>
      </c>
      <c r="AX527" s="120">
        <v>526.0</v>
      </c>
    </row>
    <row r="528">
      <c r="A528" s="74" t="s">
        <v>9352</v>
      </c>
      <c r="B528" s="74" t="s">
        <v>9354</v>
      </c>
      <c r="C528" s="119"/>
      <c r="D528" s="119"/>
      <c r="E528" s="74">
        <v>3.52155090281144E14</v>
      </c>
      <c r="F528" s="74">
        <v>59.0</v>
      </c>
      <c r="G528" s="74">
        <v>12.0</v>
      </c>
      <c r="H528" s="119"/>
      <c r="I528" s="119"/>
      <c r="J528" s="119"/>
      <c r="K528" s="119"/>
      <c r="L528" s="74" t="s">
        <v>1956</v>
      </c>
      <c r="M528" s="74" t="s">
        <v>1956</v>
      </c>
      <c r="N528" s="74">
        <v>6.0</v>
      </c>
      <c r="O528" s="74" t="s">
        <v>9355</v>
      </c>
      <c r="P528" s="119"/>
      <c r="Q528" s="74" t="s">
        <v>9356</v>
      </c>
      <c r="R528" s="74">
        <v>22.539997</v>
      </c>
      <c r="S528" s="74">
        <v>88.387201</v>
      </c>
      <c r="T528" s="74">
        <v>-53.2000007629394</v>
      </c>
      <c r="U528" s="74">
        <v>5.0</v>
      </c>
      <c r="V528" s="74">
        <v>2.0</v>
      </c>
      <c r="W528" s="74">
        <v>1.0</v>
      </c>
      <c r="X528" s="119"/>
      <c r="Y528" s="119"/>
      <c r="Z528" s="119"/>
      <c r="AA528" s="119"/>
      <c r="AB528" s="119"/>
      <c r="AC528" s="119"/>
      <c r="AD528" s="119"/>
      <c r="AE528" s="74">
        <v>1.0</v>
      </c>
      <c r="AF528" s="74">
        <v>2.0</v>
      </c>
      <c r="AG528" s="74">
        <v>4.0</v>
      </c>
      <c r="AH528" s="74">
        <v>4.0</v>
      </c>
      <c r="AI528" s="119"/>
      <c r="AJ528" s="119"/>
      <c r="AK528" s="119"/>
      <c r="AL528" s="119"/>
      <c r="AM528" s="119"/>
      <c r="AN528" s="119"/>
      <c r="AO528" s="119"/>
      <c r="AP528" s="119"/>
      <c r="AQ528" s="74" t="s">
        <v>3149</v>
      </c>
      <c r="AR528" s="74" t="s">
        <v>2472</v>
      </c>
      <c r="AS528" s="74">
        <v>0.0</v>
      </c>
      <c r="AT528" s="74" t="s">
        <v>5540</v>
      </c>
      <c r="AU528" s="120">
        <v>6735.0</v>
      </c>
      <c r="AV528" s="74" t="s">
        <v>9360</v>
      </c>
      <c r="AW528" s="74" t="s">
        <v>9361</v>
      </c>
      <c r="AX528" s="120">
        <v>527.0</v>
      </c>
    </row>
    <row r="529">
      <c r="A529" s="74" t="s">
        <v>9362</v>
      </c>
      <c r="B529" s="74" t="s">
        <v>9363</v>
      </c>
      <c r="C529" s="119"/>
      <c r="D529" s="119"/>
      <c r="E529" s="74">
        <v>3.52155090281144E14</v>
      </c>
      <c r="F529" s="74">
        <v>59.0</v>
      </c>
      <c r="G529" s="74">
        <v>99.0</v>
      </c>
      <c r="H529" s="119"/>
      <c r="I529" s="119"/>
      <c r="J529" s="119"/>
      <c r="K529" s="74">
        <v>1.0</v>
      </c>
      <c r="L529" s="74" t="s">
        <v>1951</v>
      </c>
      <c r="M529" s="74" t="s">
        <v>1951</v>
      </c>
      <c r="N529" s="119"/>
      <c r="O529" s="119"/>
      <c r="P529" s="74" t="s">
        <v>9366</v>
      </c>
      <c r="Q529" s="74" t="s">
        <v>9368</v>
      </c>
      <c r="R529" s="74">
        <v>22.5400312</v>
      </c>
      <c r="S529" s="74">
        <v>88.3872133</v>
      </c>
      <c r="T529" s="74">
        <v>-54.5</v>
      </c>
      <c r="U529" s="74">
        <v>5.0</v>
      </c>
      <c r="V529" s="74">
        <v>2.0</v>
      </c>
      <c r="W529" s="74">
        <v>1.0</v>
      </c>
      <c r="X529" s="119"/>
      <c r="Y529" s="119"/>
      <c r="Z529" s="119"/>
      <c r="AA529" s="119"/>
      <c r="AB529" s="119"/>
      <c r="AC529" s="119"/>
      <c r="AD529" s="119"/>
      <c r="AE529" s="119"/>
      <c r="AF529" s="119"/>
      <c r="AG529" s="119"/>
      <c r="AH529" s="119"/>
      <c r="AI529" s="119"/>
      <c r="AJ529" s="119"/>
      <c r="AK529" s="119"/>
      <c r="AL529" s="119"/>
      <c r="AM529" s="119"/>
      <c r="AN529" s="119"/>
      <c r="AO529" s="119"/>
      <c r="AP529" s="119"/>
      <c r="AQ529" s="74" t="s">
        <v>3149</v>
      </c>
      <c r="AR529" s="74" t="s">
        <v>2472</v>
      </c>
      <c r="AS529" s="119"/>
      <c r="AT529" s="74" t="s">
        <v>5540</v>
      </c>
      <c r="AU529" s="120">
        <v>6736.0</v>
      </c>
      <c r="AV529" s="74" t="s">
        <v>9373</v>
      </c>
      <c r="AW529" s="74" t="s">
        <v>9375</v>
      </c>
      <c r="AX529" s="120">
        <v>528.0</v>
      </c>
    </row>
    <row r="530">
      <c r="A530" s="74" t="s">
        <v>9376</v>
      </c>
      <c r="B530" s="74" t="s">
        <v>9377</v>
      </c>
      <c r="C530" s="119"/>
      <c r="D530" s="119"/>
      <c r="E530" s="74">
        <v>3.52155090180007E14</v>
      </c>
      <c r="F530" s="74">
        <v>59.0</v>
      </c>
      <c r="G530" s="74">
        <v>11.0</v>
      </c>
      <c r="H530" s="74">
        <v>4.0</v>
      </c>
      <c r="I530" s="74">
        <v>1.0</v>
      </c>
      <c r="J530" s="74" t="s">
        <v>9111</v>
      </c>
      <c r="K530" s="119"/>
      <c r="L530" s="74" t="s">
        <v>1934</v>
      </c>
      <c r="M530" s="74" t="s">
        <v>1934</v>
      </c>
      <c r="N530" s="119"/>
      <c r="O530" s="119"/>
      <c r="P530" s="74" t="s">
        <v>9380</v>
      </c>
      <c r="Q530" s="74" t="s">
        <v>9381</v>
      </c>
      <c r="R530" s="74">
        <v>22.541348</v>
      </c>
      <c r="S530" s="74">
        <v>88.3760346</v>
      </c>
      <c r="T530" s="74">
        <v>-44.7999992370605</v>
      </c>
      <c r="U530" s="74">
        <v>5.0</v>
      </c>
      <c r="V530" s="74">
        <v>2.0</v>
      </c>
      <c r="W530" s="74">
        <v>0.0</v>
      </c>
      <c r="X530" s="74">
        <v>0.0</v>
      </c>
      <c r="Y530" s="74">
        <v>0.0</v>
      </c>
      <c r="Z530" s="119"/>
      <c r="AA530" s="74">
        <v>2.0</v>
      </c>
      <c r="AB530" s="74">
        <v>4.0</v>
      </c>
      <c r="AC530" s="119"/>
      <c r="AD530" s="119"/>
      <c r="AE530" s="119"/>
      <c r="AF530" s="119"/>
      <c r="AG530" s="119"/>
      <c r="AH530" s="119"/>
      <c r="AI530" s="119"/>
      <c r="AJ530" s="119"/>
      <c r="AK530" s="119"/>
      <c r="AL530" s="119"/>
      <c r="AM530" s="119"/>
      <c r="AN530" s="119"/>
      <c r="AO530" s="119"/>
      <c r="AP530" s="119"/>
      <c r="AQ530" s="74" t="s">
        <v>2949</v>
      </c>
      <c r="AR530" s="74" t="s">
        <v>2302</v>
      </c>
      <c r="AS530" s="74">
        <v>1.0</v>
      </c>
      <c r="AT530" s="74" t="s">
        <v>5540</v>
      </c>
      <c r="AU530" s="120">
        <v>6740.0</v>
      </c>
      <c r="AV530" s="74" t="s">
        <v>9385</v>
      </c>
      <c r="AW530" s="74" t="s">
        <v>9387</v>
      </c>
      <c r="AX530" s="120">
        <v>529.0</v>
      </c>
    </row>
    <row r="531">
      <c r="A531" s="74" t="s">
        <v>9388</v>
      </c>
      <c r="B531" s="74" t="s">
        <v>9389</v>
      </c>
      <c r="C531" s="119"/>
      <c r="D531" s="119"/>
      <c r="E531" s="74">
        <v>3.52155090180007E14</v>
      </c>
      <c r="F531" s="74">
        <v>59.0</v>
      </c>
      <c r="G531" s="74">
        <v>99.0</v>
      </c>
      <c r="H531" s="119"/>
      <c r="I531" s="119"/>
      <c r="J531" s="119"/>
      <c r="K531" s="74">
        <v>2.0</v>
      </c>
      <c r="L531" s="74" t="s">
        <v>1935</v>
      </c>
      <c r="M531" s="74" t="s">
        <v>1935</v>
      </c>
      <c r="N531" s="119"/>
      <c r="O531" s="119"/>
      <c r="P531" s="74" t="s">
        <v>9392</v>
      </c>
      <c r="Q531" s="74" t="s">
        <v>9393</v>
      </c>
      <c r="R531" s="74">
        <v>22.5413831</v>
      </c>
      <c r="S531" s="74">
        <v>88.3761267</v>
      </c>
      <c r="T531" s="74">
        <v>-34.0</v>
      </c>
      <c r="U531" s="74">
        <v>5.0</v>
      </c>
      <c r="V531" s="74">
        <v>2.0</v>
      </c>
      <c r="W531" s="74">
        <v>0.0</v>
      </c>
      <c r="X531" s="74">
        <v>0.0</v>
      </c>
      <c r="Y531" s="74">
        <v>0.0</v>
      </c>
      <c r="Z531" s="119"/>
      <c r="AA531" s="119"/>
      <c r="AB531" s="119"/>
      <c r="AC531" s="119"/>
      <c r="AD531" s="119"/>
      <c r="AE531" s="119"/>
      <c r="AF531" s="119"/>
      <c r="AG531" s="119"/>
      <c r="AH531" s="119"/>
      <c r="AI531" s="119"/>
      <c r="AJ531" s="119"/>
      <c r="AK531" s="119"/>
      <c r="AL531" s="119"/>
      <c r="AM531" s="119"/>
      <c r="AN531" s="119"/>
      <c r="AO531" s="119"/>
      <c r="AP531" s="119"/>
      <c r="AQ531" s="74" t="s">
        <v>9397</v>
      </c>
      <c r="AR531" s="74" t="s">
        <v>2302</v>
      </c>
      <c r="AS531" s="119"/>
      <c r="AT531" s="74" t="s">
        <v>5540</v>
      </c>
      <c r="AU531" s="120">
        <v>6741.0</v>
      </c>
      <c r="AV531" s="74" t="s">
        <v>9398</v>
      </c>
      <c r="AW531" s="74" t="s">
        <v>9399</v>
      </c>
      <c r="AX531" s="120">
        <v>530.0</v>
      </c>
    </row>
    <row r="532">
      <c r="A532" s="74" t="s">
        <v>9401</v>
      </c>
      <c r="B532" s="74" t="s">
        <v>9402</v>
      </c>
      <c r="C532" s="119"/>
      <c r="D532" s="119"/>
      <c r="E532" s="74">
        <v>3.52155090180007E14</v>
      </c>
      <c r="F532" s="74">
        <v>59.0</v>
      </c>
      <c r="G532" s="74">
        <v>11.0</v>
      </c>
      <c r="H532" s="74">
        <v>4.0</v>
      </c>
      <c r="I532" s="74">
        <v>1.0</v>
      </c>
      <c r="J532" s="74" t="s">
        <v>9405</v>
      </c>
      <c r="K532" s="119"/>
      <c r="L532" s="74" t="s">
        <v>1937</v>
      </c>
      <c r="M532" s="74" t="s">
        <v>1937</v>
      </c>
      <c r="N532" s="119"/>
      <c r="O532" s="119"/>
      <c r="P532" s="74" t="s">
        <v>9406</v>
      </c>
      <c r="Q532" s="74" t="s">
        <v>9407</v>
      </c>
      <c r="R532" s="74">
        <v>22.5409122</v>
      </c>
      <c r="S532" s="74">
        <v>88.3757935</v>
      </c>
      <c r="T532" s="74">
        <v>-47.5</v>
      </c>
      <c r="U532" s="74">
        <v>5.0</v>
      </c>
      <c r="V532" s="74">
        <v>2.0</v>
      </c>
      <c r="W532" s="74">
        <v>0.0</v>
      </c>
      <c r="X532" s="74">
        <v>0.0</v>
      </c>
      <c r="Y532" s="74">
        <v>0.0</v>
      </c>
      <c r="Z532" s="119"/>
      <c r="AA532" s="74">
        <v>2.0</v>
      </c>
      <c r="AB532" s="74">
        <v>4.0</v>
      </c>
      <c r="AC532" s="119"/>
      <c r="AD532" s="119"/>
      <c r="AE532" s="119"/>
      <c r="AF532" s="119"/>
      <c r="AG532" s="119"/>
      <c r="AH532" s="119"/>
      <c r="AI532" s="119"/>
      <c r="AJ532" s="119"/>
      <c r="AK532" s="119"/>
      <c r="AL532" s="119"/>
      <c r="AM532" s="119"/>
      <c r="AN532" s="119"/>
      <c r="AO532" s="119"/>
      <c r="AP532" s="119"/>
      <c r="AQ532" s="74" t="s">
        <v>3149</v>
      </c>
      <c r="AR532" s="74" t="s">
        <v>2472</v>
      </c>
      <c r="AS532" s="74">
        <v>1.0</v>
      </c>
      <c r="AT532" s="74" t="s">
        <v>5540</v>
      </c>
      <c r="AU532" s="120">
        <v>6742.0</v>
      </c>
      <c r="AV532" s="74" t="s">
        <v>9412</v>
      </c>
      <c r="AW532" s="74" t="s">
        <v>9413</v>
      </c>
      <c r="AX532" s="120">
        <v>531.0</v>
      </c>
    </row>
    <row r="533">
      <c r="A533" s="74" t="s">
        <v>9415</v>
      </c>
      <c r="B533" s="74" t="s">
        <v>9416</v>
      </c>
      <c r="C533" s="119"/>
      <c r="D533" s="119"/>
      <c r="E533" s="74">
        <v>3.52155090180007E14</v>
      </c>
      <c r="F533" s="74">
        <v>59.0</v>
      </c>
      <c r="G533" s="74">
        <v>99.0</v>
      </c>
      <c r="H533" s="119"/>
      <c r="I533" s="119"/>
      <c r="J533" s="119"/>
      <c r="K533" s="74">
        <v>2.0</v>
      </c>
      <c r="L533" s="74" t="s">
        <v>1938</v>
      </c>
      <c r="M533" s="74" t="s">
        <v>1938</v>
      </c>
      <c r="N533" s="119"/>
      <c r="O533" s="119"/>
      <c r="P533" s="74" t="s">
        <v>9418</v>
      </c>
      <c r="Q533" s="74" t="s">
        <v>9419</v>
      </c>
      <c r="R533" s="74">
        <v>22.5409767</v>
      </c>
      <c r="S533" s="74">
        <v>88.3758671</v>
      </c>
      <c r="T533" s="74">
        <v>-55.4000015258789</v>
      </c>
      <c r="U533" s="74">
        <v>5.0</v>
      </c>
      <c r="V533" s="74">
        <v>2.0</v>
      </c>
      <c r="W533" s="74">
        <v>0.0</v>
      </c>
      <c r="X533" s="74">
        <v>0.0</v>
      </c>
      <c r="Y533" s="74">
        <v>0.0</v>
      </c>
      <c r="Z533" s="119"/>
      <c r="AA533" s="119"/>
      <c r="AB533" s="119"/>
      <c r="AC533" s="119"/>
      <c r="AD533" s="119"/>
      <c r="AE533" s="119"/>
      <c r="AF533" s="119"/>
      <c r="AG533" s="119"/>
      <c r="AH533" s="119"/>
      <c r="AI533" s="119"/>
      <c r="AJ533" s="119"/>
      <c r="AK533" s="119"/>
      <c r="AL533" s="119"/>
      <c r="AM533" s="119"/>
      <c r="AN533" s="119"/>
      <c r="AO533" s="119"/>
      <c r="AP533" s="119"/>
      <c r="AQ533" s="74" t="s">
        <v>9426</v>
      </c>
      <c r="AR533" s="74" t="s">
        <v>2472</v>
      </c>
      <c r="AS533" s="119"/>
      <c r="AT533" s="74" t="s">
        <v>5540</v>
      </c>
      <c r="AU533" s="120">
        <v>6743.0</v>
      </c>
      <c r="AV533" s="74" t="s">
        <v>9427</v>
      </c>
      <c r="AW533" s="74" t="s">
        <v>9428</v>
      </c>
      <c r="AX533" s="120">
        <v>532.0</v>
      </c>
    </row>
    <row r="534">
      <c r="A534" s="74" t="s">
        <v>9429</v>
      </c>
      <c r="B534" s="74" t="s">
        <v>9430</v>
      </c>
      <c r="C534" s="119"/>
      <c r="D534" s="119"/>
      <c r="E534" s="74">
        <v>3.52155090180007E14</v>
      </c>
      <c r="F534" s="74">
        <v>59.0</v>
      </c>
      <c r="G534" s="74">
        <v>11.0</v>
      </c>
      <c r="H534" s="74">
        <v>4.0</v>
      </c>
      <c r="I534" s="74">
        <v>1.0</v>
      </c>
      <c r="J534" s="74" t="s">
        <v>8348</v>
      </c>
      <c r="K534" s="119"/>
      <c r="L534" s="74" t="s">
        <v>1940</v>
      </c>
      <c r="M534" s="74" t="s">
        <v>1940</v>
      </c>
      <c r="N534" s="119"/>
      <c r="O534" s="119"/>
      <c r="P534" s="74" t="s">
        <v>9434</v>
      </c>
      <c r="Q534" s="74" t="s">
        <v>9435</v>
      </c>
      <c r="R534" s="74">
        <v>22.5413604</v>
      </c>
      <c r="S534" s="74">
        <v>88.3751857</v>
      </c>
      <c r="T534" s="74">
        <v>-83.5</v>
      </c>
      <c r="U534" s="74">
        <v>4.0</v>
      </c>
      <c r="V534" s="74">
        <v>2.0</v>
      </c>
      <c r="W534" s="74">
        <v>0.0</v>
      </c>
      <c r="X534" s="74">
        <v>0.0</v>
      </c>
      <c r="Y534" s="74">
        <v>0.0</v>
      </c>
      <c r="Z534" s="119"/>
      <c r="AA534" s="74">
        <v>2.0</v>
      </c>
      <c r="AB534" s="74">
        <v>4.0</v>
      </c>
      <c r="AC534" s="119"/>
      <c r="AD534" s="119"/>
      <c r="AE534" s="119"/>
      <c r="AF534" s="119"/>
      <c r="AG534" s="119"/>
      <c r="AH534" s="119"/>
      <c r="AI534" s="119"/>
      <c r="AJ534" s="119"/>
      <c r="AK534" s="119"/>
      <c r="AL534" s="119"/>
      <c r="AM534" s="119"/>
      <c r="AN534" s="119"/>
      <c r="AO534" s="119"/>
      <c r="AP534" s="119"/>
      <c r="AQ534" s="74" t="s">
        <v>3200</v>
      </c>
      <c r="AR534" s="74" t="s">
        <v>2327</v>
      </c>
      <c r="AS534" s="74">
        <v>1.0</v>
      </c>
      <c r="AT534" s="74" t="s">
        <v>5540</v>
      </c>
      <c r="AU534" s="120">
        <v>6744.0</v>
      </c>
      <c r="AV534" s="74" t="s">
        <v>9438</v>
      </c>
      <c r="AW534" s="74" t="s">
        <v>9439</v>
      </c>
      <c r="AX534" s="120">
        <v>533.0</v>
      </c>
    </row>
    <row r="535">
      <c r="A535" s="74" t="s">
        <v>9440</v>
      </c>
      <c r="B535" s="74" t="s">
        <v>9441</v>
      </c>
      <c r="C535" s="119"/>
      <c r="D535" s="119"/>
      <c r="E535" s="74">
        <v>3.52155090180007E14</v>
      </c>
      <c r="F535" s="74">
        <v>59.0</v>
      </c>
      <c r="G535" s="74">
        <v>99.0</v>
      </c>
      <c r="H535" s="119"/>
      <c r="I535" s="119"/>
      <c r="J535" s="119"/>
      <c r="K535" s="74">
        <v>2.0</v>
      </c>
      <c r="L535" s="74" t="s">
        <v>1941</v>
      </c>
      <c r="M535" s="74" t="s">
        <v>1941</v>
      </c>
      <c r="N535" s="119"/>
      <c r="O535" s="119"/>
      <c r="P535" s="74" t="s">
        <v>9445</v>
      </c>
      <c r="Q535" s="74" t="s">
        <v>9446</v>
      </c>
      <c r="R535" s="74">
        <v>22.5412682</v>
      </c>
      <c r="S535" s="74">
        <v>88.3750998</v>
      </c>
      <c r="T535" s="74">
        <v>-99.5</v>
      </c>
      <c r="U535" s="74">
        <v>5.0</v>
      </c>
      <c r="V535" s="74">
        <v>2.0</v>
      </c>
      <c r="W535" s="74">
        <v>0.0</v>
      </c>
      <c r="X535" s="74">
        <v>0.0</v>
      </c>
      <c r="Y535" s="74">
        <v>0.0</v>
      </c>
      <c r="Z535" s="119"/>
      <c r="AA535" s="119"/>
      <c r="AB535" s="119"/>
      <c r="AC535" s="119"/>
      <c r="AD535" s="119"/>
      <c r="AE535" s="119"/>
      <c r="AF535" s="119"/>
      <c r="AG535" s="119"/>
      <c r="AH535" s="119"/>
      <c r="AI535" s="119"/>
      <c r="AJ535" s="119"/>
      <c r="AK535" s="119"/>
      <c r="AL535" s="119"/>
      <c r="AM535" s="119"/>
      <c r="AN535" s="119"/>
      <c r="AO535" s="119"/>
      <c r="AP535" s="119"/>
      <c r="AQ535" s="74" t="s">
        <v>9454</v>
      </c>
      <c r="AR535" s="74" t="s">
        <v>2327</v>
      </c>
      <c r="AS535" s="119"/>
      <c r="AT535" s="74" t="s">
        <v>5540</v>
      </c>
      <c r="AU535" s="120">
        <v>6745.0</v>
      </c>
      <c r="AV535" s="74" t="s">
        <v>9455</v>
      </c>
      <c r="AW535" s="74" t="s">
        <v>9456</v>
      </c>
      <c r="AX535" s="120">
        <v>534.0</v>
      </c>
    </row>
    <row r="536">
      <c r="A536" s="74" t="s">
        <v>9458</v>
      </c>
      <c r="B536" s="74" t="s">
        <v>9459</v>
      </c>
      <c r="C536" s="119"/>
      <c r="D536" s="119"/>
      <c r="E536" s="74">
        <v>3.52155090180007E14</v>
      </c>
      <c r="F536" s="74">
        <v>59.0</v>
      </c>
      <c r="G536" s="74">
        <v>11.0</v>
      </c>
      <c r="H536" s="74">
        <v>4.0</v>
      </c>
      <c r="I536" s="74">
        <v>1.0</v>
      </c>
      <c r="J536" s="74" t="s">
        <v>9275</v>
      </c>
      <c r="K536" s="119"/>
      <c r="L536" s="74" t="s">
        <v>1943</v>
      </c>
      <c r="M536" s="74" t="s">
        <v>1943</v>
      </c>
      <c r="N536" s="119"/>
      <c r="O536" s="119"/>
      <c r="P536" s="74" t="s">
        <v>9460</v>
      </c>
      <c r="Q536" s="74" t="s">
        <v>9461</v>
      </c>
      <c r="R536" s="74">
        <v>22.5410753</v>
      </c>
      <c r="S536" s="74">
        <v>88.3743655</v>
      </c>
      <c r="T536" s="74">
        <v>-35.599998474121</v>
      </c>
      <c r="U536" s="74">
        <v>5.0</v>
      </c>
      <c r="V536" s="74">
        <v>2.0</v>
      </c>
      <c r="W536" s="74">
        <v>0.0</v>
      </c>
      <c r="X536" s="74">
        <v>0.0</v>
      </c>
      <c r="Y536" s="74">
        <v>0.0</v>
      </c>
      <c r="Z536" s="119"/>
      <c r="AA536" s="74">
        <v>2.0</v>
      </c>
      <c r="AB536" s="74">
        <v>4.0</v>
      </c>
      <c r="AC536" s="119"/>
      <c r="AD536" s="119"/>
      <c r="AE536" s="119"/>
      <c r="AF536" s="119"/>
      <c r="AG536" s="119"/>
      <c r="AH536" s="119"/>
      <c r="AI536" s="119"/>
      <c r="AJ536" s="119"/>
      <c r="AK536" s="119"/>
      <c r="AL536" s="119"/>
      <c r="AM536" s="119"/>
      <c r="AN536" s="119"/>
      <c r="AO536" s="119"/>
      <c r="AP536" s="119"/>
      <c r="AQ536" s="74" t="s">
        <v>2979</v>
      </c>
      <c r="AR536" s="74" t="s">
        <v>2286</v>
      </c>
      <c r="AS536" s="74">
        <v>1.0</v>
      </c>
      <c r="AT536" s="74" t="s">
        <v>5540</v>
      </c>
      <c r="AU536" s="120">
        <v>6746.0</v>
      </c>
      <c r="AV536" s="74" t="s">
        <v>9466</v>
      </c>
      <c r="AW536" s="74" t="s">
        <v>9467</v>
      </c>
      <c r="AX536" s="120">
        <v>535.0</v>
      </c>
    </row>
    <row r="537">
      <c r="A537" s="74" t="s">
        <v>9471</v>
      </c>
      <c r="B537" s="74" t="s">
        <v>9472</v>
      </c>
      <c r="C537" s="119"/>
      <c r="D537" s="119"/>
      <c r="E537" s="74">
        <v>3.52155090180007E14</v>
      </c>
      <c r="F537" s="74">
        <v>59.0</v>
      </c>
      <c r="G537" s="74">
        <v>99.0</v>
      </c>
      <c r="H537" s="119"/>
      <c r="I537" s="119"/>
      <c r="J537" s="119"/>
      <c r="K537" s="74">
        <v>2.0</v>
      </c>
      <c r="L537" s="74" t="s">
        <v>1944</v>
      </c>
      <c r="M537" s="74" t="s">
        <v>1944</v>
      </c>
      <c r="N537" s="119"/>
      <c r="O537" s="119"/>
      <c r="P537" s="74" t="s">
        <v>9474</v>
      </c>
      <c r="Q537" s="74" t="s">
        <v>9475</v>
      </c>
      <c r="R537" s="74">
        <v>22.5411131</v>
      </c>
      <c r="S537" s="74">
        <v>88.3743038</v>
      </c>
      <c r="T537" s="74">
        <v>-70.5</v>
      </c>
      <c r="U537" s="74">
        <v>5.0</v>
      </c>
      <c r="V537" s="74">
        <v>2.0</v>
      </c>
      <c r="W537" s="74">
        <v>0.0</v>
      </c>
      <c r="X537" s="74">
        <v>0.0</v>
      </c>
      <c r="Y537" s="74">
        <v>0.0</v>
      </c>
      <c r="Z537" s="119"/>
      <c r="AA537" s="119"/>
      <c r="AB537" s="119"/>
      <c r="AC537" s="119"/>
      <c r="AD537" s="119"/>
      <c r="AE537" s="119"/>
      <c r="AF537" s="119"/>
      <c r="AG537" s="119"/>
      <c r="AH537" s="119"/>
      <c r="AI537" s="119"/>
      <c r="AJ537" s="119"/>
      <c r="AK537" s="119"/>
      <c r="AL537" s="119"/>
      <c r="AM537" s="119"/>
      <c r="AN537" s="119"/>
      <c r="AO537" s="119"/>
      <c r="AP537" s="119"/>
      <c r="AQ537" s="74" t="s">
        <v>9480</v>
      </c>
      <c r="AR537" s="74" t="s">
        <v>2286</v>
      </c>
      <c r="AS537" s="119"/>
      <c r="AT537" s="74" t="s">
        <v>5540</v>
      </c>
      <c r="AU537" s="120">
        <v>6747.0</v>
      </c>
      <c r="AV537" s="74" t="s">
        <v>9484</v>
      </c>
      <c r="AW537" s="74" t="s">
        <v>9485</v>
      </c>
      <c r="AX537" s="120">
        <v>536.0</v>
      </c>
    </row>
    <row r="538">
      <c r="A538" s="74" t="s">
        <v>9486</v>
      </c>
      <c r="B538" s="74" t="s">
        <v>9487</v>
      </c>
      <c r="C538" s="119"/>
      <c r="D538" s="119"/>
      <c r="E538" s="74">
        <v>3.52155090180007E14</v>
      </c>
      <c r="F538" s="74">
        <v>59.0</v>
      </c>
      <c r="G538" s="74">
        <v>11.0</v>
      </c>
      <c r="H538" s="74">
        <v>4.0</v>
      </c>
      <c r="I538" s="74">
        <v>1.0</v>
      </c>
      <c r="J538" s="74" t="s">
        <v>7732</v>
      </c>
      <c r="K538" s="119"/>
      <c r="L538" s="74" t="s">
        <v>334</v>
      </c>
      <c r="M538" s="74" t="s">
        <v>334</v>
      </c>
      <c r="N538" s="119"/>
      <c r="O538" s="119"/>
      <c r="P538" s="74" t="s">
        <v>9491</v>
      </c>
      <c r="Q538" s="74" t="s">
        <v>9492</v>
      </c>
      <c r="R538" s="74">
        <v>22.5399645</v>
      </c>
      <c r="S538" s="74">
        <v>88.3767263</v>
      </c>
      <c r="T538" s="74">
        <v>3.0</v>
      </c>
      <c r="U538" s="74">
        <v>5.0</v>
      </c>
      <c r="V538" s="74">
        <v>2.0</v>
      </c>
      <c r="W538" s="74">
        <v>1.0</v>
      </c>
      <c r="X538" s="119"/>
      <c r="Y538" s="119"/>
      <c r="Z538" s="119"/>
      <c r="AA538" s="74">
        <v>2.0</v>
      </c>
      <c r="AB538" s="74">
        <v>4.0</v>
      </c>
      <c r="AC538" s="119"/>
      <c r="AD538" s="119"/>
      <c r="AE538" s="119"/>
      <c r="AF538" s="119"/>
      <c r="AG538" s="119"/>
      <c r="AH538" s="119"/>
      <c r="AI538" s="119"/>
      <c r="AJ538" s="119"/>
      <c r="AK538" s="119"/>
      <c r="AL538" s="119"/>
      <c r="AM538" s="119"/>
      <c r="AN538" s="119"/>
      <c r="AO538" s="119"/>
      <c r="AP538" s="119"/>
      <c r="AQ538" s="74" t="s">
        <v>2949</v>
      </c>
      <c r="AR538" s="74" t="s">
        <v>2302</v>
      </c>
      <c r="AS538" s="74">
        <v>1.0</v>
      </c>
      <c r="AT538" s="74" t="s">
        <v>5540</v>
      </c>
      <c r="AU538" s="120">
        <v>6748.0</v>
      </c>
      <c r="AV538" s="74" t="s">
        <v>9499</v>
      </c>
      <c r="AW538" s="74" t="s">
        <v>9500</v>
      </c>
      <c r="AX538" s="120">
        <v>537.0</v>
      </c>
    </row>
    <row r="539">
      <c r="A539" s="74" t="s">
        <v>9501</v>
      </c>
      <c r="B539" s="74" t="s">
        <v>9503</v>
      </c>
      <c r="C539" s="119"/>
      <c r="D539" s="119"/>
      <c r="E539" s="74">
        <v>3.52155090180007E14</v>
      </c>
      <c r="F539" s="74">
        <v>59.0</v>
      </c>
      <c r="G539" s="74">
        <v>99.0</v>
      </c>
      <c r="H539" s="119"/>
      <c r="I539" s="119"/>
      <c r="J539" s="119"/>
      <c r="K539" s="74">
        <v>2.0</v>
      </c>
      <c r="L539" s="74" t="s">
        <v>1948</v>
      </c>
      <c r="M539" s="74" t="s">
        <v>1948</v>
      </c>
      <c r="N539" s="119"/>
      <c r="O539" s="119"/>
      <c r="P539" s="74" t="s">
        <v>9506</v>
      </c>
      <c r="Q539" s="74" t="s">
        <v>9508</v>
      </c>
      <c r="R539" s="74">
        <v>22.54002</v>
      </c>
      <c r="S539" s="74">
        <v>88.3768409</v>
      </c>
      <c r="T539" s="74">
        <v>-34.7000007629394</v>
      </c>
      <c r="U539" s="74">
        <v>5.0</v>
      </c>
      <c r="V539" s="74">
        <v>2.0</v>
      </c>
      <c r="W539" s="74">
        <v>1.0</v>
      </c>
      <c r="X539" s="119"/>
      <c r="Y539" s="119"/>
      <c r="Z539" s="119"/>
      <c r="AA539" s="119"/>
      <c r="AB539" s="119"/>
      <c r="AC539" s="119"/>
      <c r="AD539" s="119"/>
      <c r="AE539" s="119"/>
      <c r="AF539" s="119"/>
      <c r="AG539" s="119"/>
      <c r="AH539" s="119"/>
      <c r="AI539" s="119"/>
      <c r="AJ539" s="119"/>
      <c r="AK539" s="119"/>
      <c r="AL539" s="119"/>
      <c r="AM539" s="119"/>
      <c r="AN539" s="119"/>
      <c r="AO539" s="119"/>
      <c r="AP539" s="119"/>
      <c r="AQ539" s="74" t="s">
        <v>9512</v>
      </c>
      <c r="AR539" s="74" t="s">
        <v>2302</v>
      </c>
      <c r="AS539" s="119"/>
      <c r="AT539" s="74" t="s">
        <v>5540</v>
      </c>
      <c r="AU539" s="120">
        <v>6749.0</v>
      </c>
      <c r="AV539" s="74" t="s">
        <v>9514</v>
      </c>
      <c r="AW539" s="74" t="s">
        <v>9515</v>
      </c>
      <c r="AX539" s="120">
        <v>538.0</v>
      </c>
    </row>
    <row r="540">
      <c r="A540" s="74" t="s">
        <v>9517</v>
      </c>
      <c r="B540" s="74" t="s">
        <v>9518</v>
      </c>
      <c r="C540" s="119"/>
      <c r="D540" s="119"/>
      <c r="E540" s="74">
        <v>3.52155090180007E14</v>
      </c>
      <c r="F540" s="74">
        <v>59.0</v>
      </c>
      <c r="G540" s="74">
        <v>11.0</v>
      </c>
      <c r="H540" s="74">
        <v>4.0</v>
      </c>
      <c r="I540" s="74">
        <v>1.0</v>
      </c>
      <c r="J540" s="74" t="s">
        <v>8058</v>
      </c>
      <c r="K540" s="119"/>
      <c r="L540" s="74" t="s">
        <v>1950</v>
      </c>
      <c r="M540" s="74" t="s">
        <v>1950</v>
      </c>
      <c r="N540" s="119"/>
      <c r="O540" s="119"/>
      <c r="P540" s="74" t="s">
        <v>9520</v>
      </c>
      <c r="Q540" s="74" t="s">
        <v>9521</v>
      </c>
      <c r="R540" s="74">
        <v>22.5451688</v>
      </c>
      <c r="S540" s="74">
        <v>88.3834561</v>
      </c>
      <c r="T540" s="74">
        <v>-58.7000007629394</v>
      </c>
      <c r="U540" s="74">
        <v>4.5</v>
      </c>
      <c r="V540" s="74">
        <v>2.0</v>
      </c>
      <c r="W540" s="74">
        <v>1.0</v>
      </c>
      <c r="X540" s="119"/>
      <c r="Y540" s="119"/>
      <c r="Z540" s="119"/>
      <c r="AA540" s="74">
        <v>2.0</v>
      </c>
      <c r="AB540" s="74">
        <v>4.0</v>
      </c>
      <c r="AC540" s="119"/>
      <c r="AD540" s="119"/>
      <c r="AE540" s="119"/>
      <c r="AF540" s="119"/>
      <c r="AG540" s="119"/>
      <c r="AH540" s="119"/>
      <c r="AI540" s="119"/>
      <c r="AJ540" s="119"/>
      <c r="AK540" s="119"/>
      <c r="AL540" s="119"/>
      <c r="AM540" s="119"/>
      <c r="AN540" s="119"/>
      <c r="AO540" s="119"/>
      <c r="AP540" s="119"/>
      <c r="AQ540" s="74" t="s">
        <v>3149</v>
      </c>
      <c r="AR540" s="74" t="s">
        <v>2472</v>
      </c>
      <c r="AS540" s="74">
        <v>1.0</v>
      </c>
      <c r="AT540" s="74" t="s">
        <v>5540</v>
      </c>
      <c r="AU540" s="120">
        <v>6750.0</v>
      </c>
      <c r="AV540" s="74" t="s">
        <v>9528</v>
      </c>
      <c r="AW540" s="74" t="s">
        <v>9530</v>
      </c>
      <c r="AX540" s="120">
        <v>539.0</v>
      </c>
    </row>
    <row r="541">
      <c r="A541" s="74" t="s">
        <v>9531</v>
      </c>
      <c r="B541" s="74" t="s">
        <v>9532</v>
      </c>
      <c r="C541" s="119"/>
      <c r="D541" s="119"/>
      <c r="E541" s="74">
        <v>3.52155090180007E14</v>
      </c>
      <c r="F541" s="74">
        <v>59.0</v>
      </c>
      <c r="G541" s="74">
        <v>99.0</v>
      </c>
      <c r="H541" s="119"/>
      <c r="I541" s="119"/>
      <c r="J541" s="119"/>
      <c r="K541" s="74">
        <v>2.0</v>
      </c>
      <c r="L541" s="74" t="s">
        <v>1957</v>
      </c>
      <c r="M541" s="74" t="s">
        <v>1957</v>
      </c>
      <c r="N541" s="119"/>
      <c r="O541" s="119"/>
      <c r="P541" s="74" t="s">
        <v>9533</v>
      </c>
      <c r="Q541" s="74" t="s">
        <v>9534</v>
      </c>
      <c r="R541" s="74">
        <v>22.5451681</v>
      </c>
      <c r="S541" s="74">
        <v>88.3834668</v>
      </c>
      <c r="T541" s="74">
        <v>-63.4000015258789</v>
      </c>
      <c r="U541" s="74">
        <v>5.0</v>
      </c>
      <c r="V541" s="74">
        <v>2.0</v>
      </c>
      <c r="W541" s="74">
        <v>1.0</v>
      </c>
      <c r="X541" s="119"/>
      <c r="Y541" s="119"/>
      <c r="Z541" s="119"/>
      <c r="AA541" s="119"/>
      <c r="AB541" s="119"/>
      <c r="AC541" s="119"/>
      <c r="AD541" s="119"/>
      <c r="AE541" s="119"/>
      <c r="AF541" s="119"/>
      <c r="AG541" s="119"/>
      <c r="AH541" s="119"/>
      <c r="AI541" s="119"/>
      <c r="AJ541" s="119"/>
      <c r="AK541" s="119"/>
      <c r="AL541" s="119"/>
      <c r="AM541" s="119"/>
      <c r="AN541" s="119"/>
      <c r="AO541" s="119"/>
      <c r="AP541" s="119"/>
      <c r="AQ541" s="74" t="s">
        <v>9538</v>
      </c>
      <c r="AR541" s="74" t="s">
        <v>2472</v>
      </c>
      <c r="AS541" s="119"/>
      <c r="AT541" s="74" t="s">
        <v>5540</v>
      </c>
      <c r="AU541" s="120">
        <v>6751.0</v>
      </c>
      <c r="AV541" s="74" t="s">
        <v>9540</v>
      </c>
      <c r="AW541" s="74" t="s">
        <v>9541</v>
      </c>
      <c r="AX541" s="120">
        <v>540.0</v>
      </c>
    </row>
    <row r="542">
      <c r="A542" s="74" t="s">
        <v>9542</v>
      </c>
      <c r="B542" s="74" t="s">
        <v>9543</v>
      </c>
      <c r="C542" s="119"/>
      <c r="D542" s="119"/>
      <c r="E542" s="74">
        <v>3.52155090180007E14</v>
      </c>
      <c r="F542" s="74">
        <v>59.0</v>
      </c>
      <c r="G542" s="74">
        <v>11.0</v>
      </c>
      <c r="H542" s="74">
        <v>4.0</v>
      </c>
      <c r="I542" s="74">
        <v>1.0</v>
      </c>
      <c r="J542" s="74" t="s">
        <v>9111</v>
      </c>
      <c r="K542" s="119"/>
      <c r="L542" s="74" t="s">
        <v>1960</v>
      </c>
      <c r="M542" s="74" t="s">
        <v>1960</v>
      </c>
      <c r="N542" s="119"/>
      <c r="O542" s="119"/>
      <c r="P542" s="74" t="s">
        <v>9544</v>
      </c>
      <c r="Q542" s="74" t="s">
        <v>9545</v>
      </c>
      <c r="R542" s="74">
        <v>22.5414331</v>
      </c>
      <c r="S542" s="74">
        <v>88.3761543</v>
      </c>
      <c r="T542" s="74">
        <v>-65.4000015258789</v>
      </c>
      <c r="U542" s="74">
        <v>7.5</v>
      </c>
      <c r="V542" s="74">
        <v>1.0</v>
      </c>
      <c r="W542" s="74">
        <v>0.0</v>
      </c>
      <c r="X542" s="74">
        <v>1.0</v>
      </c>
      <c r="Y542" s="119"/>
      <c r="Z542" s="119"/>
      <c r="AA542" s="74">
        <v>2.0</v>
      </c>
      <c r="AB542" s="74">
        <v>4.0</v>
      </c>
      <c r="AC542" s="119"/>
      <c r="AD542" s="119"/>
      <c r="AE542" s="119"/>
      <c r="AF542" s="119"/>
      <c r="AG542" s="119"/>
      <c r="AH542" s="119"/>
      <c r="AI542" s="119"/>
      <c r="AJ542" s="119"/>
      <c r="AK542" s="119"/>
      <c r="AL542" s="119"/>
      <c r="AM542" s="119"/>
      <c r="AN542" s="119"/>
      <c r="AO542" s="119"/>
      <c r="AP542" s="119"/>
      <c r="AQ542" s="74" t="s">
        <v>3258</v>
      </c>
      <c r="AR542" s="74" t="s">
        <v>2286</v>
      </c>
      <c r="AS542" s="74">
        <v>1.0</v>
      </c>
      <c r="AT542" s="74" t="s">
        <v>5540</v>
      </c>
      <c r="AU542" s="120">
        <v>6752.0</v>
      </c>
      <c r="AV542" s="74" t="s">
        <v>9553</v>
      </c>
      <c r="AW542" s="74" t="s">
        <v>9554</v>
      </c>
      <c r="AX542" s="120">
        <v>541.0</v>
      </c>
    </row>
    <row r="543">
      <c r="A543" s="74" t="s">
        <v>9555</v>
      </c>
      <c r="B543" s="74" t="s">
        <v>9556</v>
      </c>
      <c r="C543" s="119"/>
      <c r="D543" s="119"/>
      <c r="E543" s="74">
        <v>3.52155090180007E14</v>
      </c>
      <c r="F543" s="74">
        <v>59.0</v>
      </c>
      <c r="G543" s="74">
        <v>99.0</v>
      </c>
      <c r="H543" s="119"/>
      <c r="I543" s="119"/>
      <c r="J543" s="119"/>
      <c r="K543" s="74">
        <v>2.0</v>
      </c>
      <c r="L543" s="74" t="s">
        <v>1961</v>
      </c>
      <c r="M543" s="74" t="s">
        <v>1961</v>
      </c>
      <c r="N543" s="119"/>
      <c r="O543" s="119"/>
      <c r="P543" s="74" t="s">
        <v>9557</v>
      </c>
      <c r="Q543" s="74" t="s">
        <v>9558</v>
      </c>
      <c r="R543" s="74">
        <v>22.5412847</v>
      </c>
      <c r="S543" s="74">
        <v>88.3761649</v>
      </c>
      <c r="T543" s="74">
        <v>-44.4000015258789</v>
      </c>
      <c r="U543" s="74">
        <v>7.0</v>
      </c>
      <c r="V543" s="74">
        <v>1.0</v>
      </c>
      <c r="W543" s="74">
        <v>0.0</v>
      </c>
      <c r="X543" s="74">
        <v>1.0</v>
      </c>
      <c r="Y543" s="119"/>
      <c r="Z543" s="119"/>
      <c r="AA543" s="119"/>
      <c r="AB543" s="119"/>
      <c r="AC543" s="119"/>
      <c r="AD543" s="119"/>
      <c r="AE543" s="119"/>
      <c r="AF543" s="119"/>
      <c r="AG543" s="119"/>
      <c r="AH543" s="119"/>
      <c r="AI543" s="119"/>
      <c r="AJ543" s="119"/>
      <c r="AK543" s="119"/>
      <c r="AL543" s="119"/>
      <c r="AM543" s="119"/>
      <c r="AN543" s="119"/>
      <c r="AO543" s="119"/>
      <c r="AP543" s="119"/>
      <c r="AQ543" s="74" t="s">
        <v>3193</v>
      </c>
      <c r="AR543" s="74" t="s">
        <v>2286</v>
      </c>
      <c r="AS543" s="119"/>
      <c r="AT543" s="74" t="s">
        <v>5540</v>
      </c>
      <c r="AU543" s="120">
        <v>6753.0</v>
      </c>
      <c r="AV543" s="74" t="s">
        <v>9564</v>
      </c>
      <c r="AW543" s="74" t="s">
        <v>9565</v>
      </c>
      <c r="AX543" s="120">
        <v>542.0</v>
      </c>
    </row>
    <row r="544">
      <c r="A544" s="74" t="s">
        <v>9566</v>
      </c>
      <c r="B544" s="74" t="s">
        <v>9567</v>
      </c>
      <c r="C544" s="119"/>
      <c r="D544" s="119"/>
      <c r="E544" s="74">
        <v>3.5215509147374E14</v>
      </c>
      <c r="F544" s="74">
        <v>59.0</v>
      </c>
      <c r="G544" s="74">
        <v>11.0</v>
      </c>
      <c r="H544" s="74">
        <v>4.0</v>
      </c>
      <c r="I544" s="74">
        <v>1.0</v>
      </c>
      <c r="J544" s="74" t="s">
        <v>9405</v>
      </c>
      <c r="K544" s="119"/>
      <c r="L544" s="74" t="s">
        <v>1963</v>
      </c>
      <c r="M544" s="74" t="s">
        <v>1963</v>
      </c>
      <c r="N544" s="119"/>
      <c r="O544" s="119"/>
      <c r="P544" s="74" t="s">
        <v>9571</v>
      </c>
      <c r="Q544" s="74" t="s">
        <v>9572</v>
      </c>
      <c r="R544" s="74">
        <v>22.5409504</v>
      </c>
      <c r="S544" s="74">
        <v>88.3758742</v>
      </c>
      <c r="T544" s="74">
        <v>-72.5999984741211</v>
      </c>
      <c r="U544" s="74">
        <v>5.0</v>
      </c>
      <c r="V544" s="74">
        <v>1.0</v>
      </c>
      <c r="W544" s="74">
        <v>0.0</v>
      </c>
      <c r="X544" s="74">
        <v>1.0</v>
      </c>
      <c r="Y544" s="119"/>
      <c r="Z544" s="119"/>
      <c r="AA544" s="74">
        <v>2.0</v>
      </c>
      <c r="AB544" s="74">
        <v>4.0</v>
      </c>
      <c r="AC544" s="119"/>
      <c r="AD544" s="119"/>
      <c r="AE544" s="119"/>
      <c r="AF544" s="119"/>
      <c r="AG544" s="119"/>
      <c r="AH544" s="119"/>
      <c r="AI544" s="119"/>
      <c r="AJ544" s="119"/>
      <c r="AK544" s="119"/>
      <c r="AL544" s="119"/>
      <c r="AM544" s="119"/>
      <c r="AN544" s="119"/>
      <c r="AO544" s="119"/>
      <c r="AP544" s="119"/>
      <c r="AQ544" s="74" t="s">
        <v>6125</v>
      </c>
      <c r="AR544" s="74" t="s">
        <v>2278</v>
      </c>
      <c r="AS544" s="74">
        <v>1.0</v>
      </c>
      <c r="AT544" s="74" t="s">
        <v>5540</v>
      </c>
      <c r="AU544" s="120">
        <v>6754.0</v>
      </c>
      <c r="AV544" s="74" t="s">
        <v>9574</v>
      </c>
      <c r="AW544" s="74" t="s">
        <v>9575</v>
      </c>
      <c r="AX544" s="120">
        <v>543.0</v>
      </c>
    </row>
    <row r="545">
      <c r="A545" s="74" t="s">
        <v>9576</v>
      </c>
      <c r="B545" s="74" t="s">
        <v>9577</v>
      </c>
      <c r="C545" s="119"/>
      <c r="D545" s="119"/>
      <c r="E545" s="74">
        <v>3.5215509147374E14</v>
      </c>
      <c r="F545" s="74">
        <v>59.0</v>
      </c>
      <c r="G545" s="74">
        <v>99.0</v>
      </c>
      <c r="H545" s="119"/>
      <c r="I545" s="119"/>
      <c r="J545" s="119"/>
      <c r="K545" s="74">
        <v>2.0</v>
      </c>
      <c r="L545" s="74" t="s">
        <v>1964</v>
      </c>
      <c r="M545" s="74" t="s">
        <v>1964</v>
      </c>
      <c r="N545" s="119"/>
      <c r="O545" s="119"/>
      <c r="P545" s="74" t="s">
        <v>9582</v>
      </c>
      <c r="Q545" s="74" t="s">
        <v>9583</v>
      </c>
      <c r="R545" s="74">
        <v>22.5408945</v>
      </c>
      <c r="S545" s="74">
        <v>88.3758237</v>
      </c>
      <c r="T545" s="74">
        <v>-64.5</v>
      </c>
      <c r="U545" s="74">
        <v>5.0</v>
      </c>
      <c r="V545" s="74">
        <v>1.0</v>
      </c>
      <c r="W545" s="74">
        <v>0.0</v>
      </c>
      <c r="X545" s="74">
        <v>1.0</v>
      </c>
      <c r="Y545" s="119"/>
      <c r="Z545" s="119"/>
      <c r="AA545" s="119"/>
      <c r="AB545" s="119"/>
      <c r="AC545" s="119"/>
      <c r="AD545" s="119"/>
      <c r="AE545" s="119"/>
      <c r="AF545" s="119"/>
      <c r="AG545" s="119"/>
      <c r="AH545" s="119"/>
      <c r="AI545" s="119"/>
      <c r="AJ545" s="119"/>
      <c r="AK545" s="119"/>
      <c r="AL545" s="119"/>
      <c r="AM545" s="119"/>
      <c r="AN545" s="119"/>
      <c r="AO545" s="119"/>
      <c r="AP545" s="119"/>
      <c r="AQ545" s="74" t="s">
        <v>3193</v>
      </c>
      <c r="AR545" s="74" t="s">
        <v>2899</v>
      </c>
      <c r="AS545" s="119"/>
      <c r="AT545" s="74" t="s">
        <v>5540</v>
      </c>
      <c r="AU545" s="120">
        <v>6755.0</v>
      </c>
      <c r="AV545" s="74" t="s">
        <v>9589</v>
      </c>
      <c r="AW545" s="74" t="s">
        <v>9590</v>
      </c>
      <c r="AX545" s="120">
        <v>544.0</v>
      </c>
    </row>
    <row r="546">
      <c r="A546" s="74" t="s">
        <v>9591</v>
      </c>
      <c r="B546" s="74" t="s">
        <v>9592</v>
      </c>
      <c r="C546" s="119"/>
      <c r="D546" s="119"/>
      <c r="E546" s="74">
        <v>3.5215509147374E14</v>
      </c>
      <c r="F546" s="74">
        <v>59.0</v>
      </c>
      <c r="G546" s="74">
        <v>11.0</v>
      </c>
      <c r="H546" s="74">
        <v>4.0</v>
      </c>
      <c r="I546" s="74">
        <v>1.0</v>
      </c>
      <c r="J546" s="74" t="s">
        <v>9275</v>
      </c>
      <c r="K546" s="119"/>
      <c r="L546" s="74" t="s">
        <v>1966</v>
      </c>
      <c r="M546" s="74" t="s">
        <v>1966</v>
      </c>
      <c r="N546" s="119"/>
      <c r="O546" s="119"/>
      <c r="P546" s="74" t="s">
        <v>9596</v>
      </c>
      <c r="Q546" s="74" t="s">
        <v>9597</v>
      </c>
      <c r="R546" s="74">
        <v>22.5411262</v>
      </c>
      <c r="S546" s="74">
        <v>88.3744416</v>
      </c>
      <c r="T546" s="74">
        <v>-40.0</v>
      </c>
      <c r="U546" s="74">
        <v>5.0</v>
      </c>
      <c r="V546" s="74">
        <v>1.0</v>
      </c>
      <c r="W546" s="74">
        <v>0.0</v>
      </c>
      <c r="X546" s="74">
        <v>1.0</v>
      </c>
      <c r="Y546" s="119"/>
      <c r="Z546" s="119"/>
      <c r="AA546" s="74">
        <v>2.0</v>
      </c>
      <c r="AB546" s="74">
        <v>4.0</v>
      </c>
      <c r="AC546" s="119"/>
      <c r="AD546" s="119"/>
      <c r="AE546" s="119"/>
      <c r="AF546" s="119"/>
      <c r="AG546" s="119"/>
      <c r="AH546" s="119"/>
      <c r="AI546" s="119"/>
      <c r="AJ546" s="119"/>
      <c r="AK546" s="119"/>
      <c r="AL546" s="119"/>
      <c r="AM546" s="119"/>
      <c r="AN546" s="119"/>
      <c r="AO546" s="119"/>
      <c r="AP546" s="119"/>
      <c r="AQ546" s="74" t="s">
        <v>6125</v>
      </c>
      <c r="AR546" s="74" t="s">
        <v>2899</v>
      </c>
      <c r="AS546" s="74">
        <v>0.0</v>
      </c>
      <c r="AT546" s="74" t="s">
        <v>5540</v>
      </c>
      <c r="AU546" s="120">
        <v>6756.0</v>
      </c>
      <c r="AV546" s="74" t="s">
        <v>9599</v>
      </c>
      <c r="AW546" s="74" t="s">
        <v>9600</v>
      </c>
      <c r="AX546" s="120">
        <v>545.0</v>
      </c>
    </row>
    <row r="547">
      <c r="A547" s="74" t="s">
        <v>9601</v>
      </c>
      <c r="B547" s="74" t="s">
        <v>9602</v>
      </c>
      <c r="C547" s="119"/>
      <c r="D547" s="119"/>
      <c r="E547" s="74">
        <v>3.5215509147374E14</v>
      </c>
      <c r="F547" s="74">
        <v>59.0</v>
      </c>
      <c r="G547" s="74">
        <v>99.0</v>
      </c>
      <c r="H547" s="119"/>
      <c r="I547" s="119"/>
      <c r="J547" s="119"/>
      <c r="K547" s="74">
        <v>2.0</v>
      </c>
      <c r="L547" s="74" t="s">
        <v>1967</v>
      </c>
      <c r="M547" s="74" t="s">
        <v>1967</v>
      </c>
      <c r="N547" s="119"/>
      <c r="O547" s="119"/>
      <c r="P547" s="74" t="s">
        <v>9605</v>
      </c>
      <c r="Q547" s="74" t="s">
        <v>9607</v>
      </c>
      <c r="R547" s="74">
        <v>22.5411057</v>
      </c>
      <c r="S547" s="74">
        <v>88.3743545</v>
      </c>
      <c r="T547" s="74">
        <v>-57.7000007629394</v>
      </c>
      <c r="U547" s="74">
        <v>5.0</v>
      </c>
      <c r="V547" s="74">
        <v>1.0</v>
      </c>
      <c r="W547" s="74">
        <v>0.0</v>
      </c>
      <c r="X547" s="74">
        <v>1.0</v>
      </c>
      <c r="Y547" s="119"/>
      <c r="Z547" s="119"/>
      <c r="AA547" s="119"/>
      <c r="AB547" s="119"/>
      <c r="AC547" s="119"/>
      <c r="AD547" s="119"/>
      <c r="AE547" s="119"/>
      <c r="AF547" s="119"/>
      <c r="AG547" s="119"/>
      <c r="AH547" s="119"/>
      <c r="AI547" s="119"/>
      <c r="AJ547" s="119"/>
      <c r="AK547" s="119"/>
      <c r="AL547" s="119"/>
      <c r="AM547" s="119"/>
      <c r="AN547" s="119"/>
      <c r="AO547" s="119"/>
      <c r="AP547" s="119"/>
      <c r="AQ547" s="74" t="s">
        <v>6125</v>
      </c>
      <c r="AR547" s="74" t="s">
        <v>2899</v>
      </c>
      <c r="AS547" s="119"/>
      <c r="AT547" s="74" t="s">
        <v>5540</v>
      </c>
      <c r="AU547" s="120">
        <v>6757.0</v>
      </c>
      <c r="AV547" s="74" t="s">
        <v>9614</v>
      </c>
      <c r="AW547" s="74" t="s">
        <v>9615</v>
      </c>
      <c r="AX547" s="120">
        <v>546.0</v>
      </c>
    </row>
    <row r="548">
      <c r="A548" s="74" t="s">
        <v>9616</v>
      </c>
      <c r="B548" s="74" t="s">
        <v>9617</v>
      </c>
      <c r="C548" s="119"/>
      <c r="D548" s="119"/>
      <c r="E548" s="74">
        <v>3.5215509147374E14</v>
      </c>
      <c r="F548" s="74">
        <v>59.0</v>
      </c>
      <c r="G548" s="74">
        <v>11.0</v>
      </c>
      <c r="H548" s="74">
        <v>4.0</v>
      </c>
      <c r="I548" s="74">
        <v>1.0</v>
      </c>
      <c r="J548" s="74" t="s">
        <v>8348</v>
      </c>
      <c r="K548" s="119"/>
      <c r="L548" s="74" t="s">
        <v>1969</v>
      </c>
      <c r="M548" s="74" t="s">
        <v>1969</v>
      </c>
      <c r="N548" s="119"/>
      <c r="O548" s="119"/>
      <c r="P548" s="74" t="s">
        <v>9621</v>
      </c>
      <c r="Q548" s="74" t="s">
        <v>9622</v>
      </c>
      <c r="R548" s="74">
        <v>22.5414908</v>
      </c>
      <c r="S548" s="74">
        <v>88.3753265</v>
      </c>
      <c r="T548" s="74">
        <v>-56.2000007629394</v>
      </c>
      <c r="U548" s="74">
        <v>5.0</v>
      </c>
      <c r="V548" s="74">
        <v>1.0</v>
      </c>
      <c r="W548" s="74">
        <v>0.0</v>
      </c>
      <c r="X548" s="74">
        <v>1.0</v>
      </c>
      <c r="Y548" s="119"/>
      <c r="Z548" s="119"/>
      <c r="AA548" s="74">
        <v>2.0</v>
      </c>
      <c r="AB548" s="74">
        <v>4.0</v>
      </c>
      <c r="AC548" s="119"/>
      <c r="AD548" s="119"/>
      <c r="AE548" s="119"/>
      <c r="AF548" s="119"/>
      <c r="AG548" s="119"/>
      <c r="AH548" s="119"/>
      <c r="AI548" s="119"/>
      <c r="AJ548" s="119"/>
      <c r="AK548" s="119"/>
      <c r="AL548" s="119"/>
      <c r="AM548" s="119"/>
      <c r="AN548" s="119"/>
      <c r="AO548" s="119"/>
      <c r="AP548" s="119"/>
      <c r="AQ548" s="74" t="s">
        <v>3258</v>
      </c>
      <c r="AR548" s="74" t="s">
        <v>2899</v>
      </c>
      <c r="AS548" s="74">
        <v>1.0</v>
      </c>
      <c r="AT548" s="74" t="s">
        <v>5540</v>
      </c>
      <c r="AU548" s="120">
        <v>6758.0</v>
      </c>
      <c r="AV548" s="74" t="s">
        <v>9627</v>
      </c>
      <c r="AW548" s="74" t="s">
        <v>9628</v>
      </c>
      <c r="AX548" s="120">
        <v>547.0</v>
      </c>
    </row>
    <row r="549">
      <c r="A549" s="74" t="s">
        <v>9629</v>
      </c>
      <c r="B549" s="74" t="s">
        <v>9630</v>
      </c>
      <c r="C549" s="119"/>
      <c r="D549" s="119"/>
      <c r="E549" s="74">
        <v>3.5215509147374E14</v>
      </c>
      <c r="F549" s="74">
        <v>59.0</v>
      </c>
      <c r="G549" s="74">
        <v>99.0</v>
      </c>
      <c r="H549" s="119"/>
      <c r="I549" s="119"/>
      <c r="J549" s="119"/>
      <c r="K549" s="74">
        <v>2.0</v>
      </c>
      <c r="L549" s="74" t="s">
        <v>1970</v>
      </c>
      <c r="M549" s="74" t="s">
        <v>1970</v>
      </c>
      <c r="N549" s="119"/>
      <c r="O549" s="119"/>
      <c r="P549" s="74" t="s">
        <v>9634</v>
      </c>
      <c r="Q549" s="74" t="s">
        <v>9635</v>
      </c>
      <c r="R549" s="74">
        <v>22.5414977</v>
      </c>
      <c r="S549" s="74">
        <v>88.3753189</v>
      </c>
      <c r="T549" s="74">
        <v>-58.5</v>
      </c>
      <c r="U549" s="74">
        <v>4.5</v>
      </c>
      <c r="V549" s="74">
        <v>1.0</v>
      </c>
      <c r="W549" s="74">
        <v>0.0</v>
      </c>
      <c r="X549" s="74">
        <v>1.0</v>
      </c>
      <c r="Y549" s="119"/>
      <c r="Z549" s="119"/>
      <c r="AA549" s="119"/>
      <c r="AB549" s="119"/>
      <c r="AC549" s="119"/>
      <c r="AD549" s="119"/>
      <c r="AE549" s="119"/>
      <c r="AF549" s="119"/>
      <c r="AG549" s="119"/>
      <c r="AH549" s="119"/>
      <c r="AI549" s="119"/>
      <c r="AJ549" s="119"/>
      <c r="AK549" s="119"/>
      <c r="AL549" s="119"/>
      <c r="AM549" s="119"/>
      <c r="AN549" s="119"/>
      <c r="AO549" s="119"/>
      <c r="AP549" s="119"/>
      <c r="AQ549" s="74" t="s">
        <v>3193</v>
      </c>
      <c r="AR549" s="74" t="s">
        <v>2899</v>
      </c>
      <c r="AS549" s="119"/>
      <c r="AT549" s="74" t="s">
        <v>5540</v>
      </c>
      <c r="AU549" s="120">
        <v>6759.0</v>
      </c>
      <c r="AV549" s="74" t="s">
        <v>9640</v>
      </c>
      <c r="AW549" s="74" t="s">
        <v>9641</v>
      </c>
      <c r="AX549" s="120">
        <v>548.0</v>
      </c>
    </row>
    <row r="550">
      <c r="A550" s="74" t="s">
        <v>9642</v>
      </c>
      <c r="B550" s="74" t="s">
        <v>9643</v>
      </c>
      <c r="C550" s="119"/>
      <c r="D550" s="119"/>
      <c r="E550" s="74">
        <v>3.52155090281144E14</v>
      </c>
      <c r="F550" s="74">
        <v>55.0</v>
      </c>
      <c r="G550" s="74">
        <v>12.0</v>
      </c>
      <c r="H550" s="119"/>
      <c r="I550" s="119"/>
      <c r="J550" s="119"/>
      <c r="K550" s="119"/>
      <c r="L550" s="74" t="s">
        <v>1973</v>
      </c>
      <c r="M550" s="74" t="s">
        <v>1973</v>
      </c>
      <c r="N550" s="74">
        <v>4.0</v>
      </c>
      <c r="O550" s="74" t="s">
        <v>9644</v>
      </c>
      <c r="P550" s="119"/>
      <c r="Q550" s="74" t="s">
        <v>9645</v>
      </c>
      <c r="R550" s="74">
        <v>22.5636705</v>
      </c>
      <c r="S550" s="74">
        <v>88.3772848</v>
      </c>
      <c r="T550" s="74">
        <v>-24.6000003814697</v>
      </c>
      <c r="U550" s="74">
        <v>4.5</v>
      </c>
      <c r="V550" s="74">
        <v>1.0</v>
      </c>
      <c r="W550" s="74">
        <v>0.0</v>
      </c>
      <c r="X550" s="74">
        <v>1.0</v>
      </c>
      <c r="Y550" s="119"/>
      <c r="Z550" s="119"/>
      <c r="AA550" s="119"/>
      <c r="AB550" s="119"/>
      <c r="AC550" s="119"/>
      <c r="AD550" s="119"/>
      <c r="AE550" s="74">
        <v>1.0</v>
      </c>
      <c r="AF550" s="74">
        <v>2.0</v>
      </c>
      <c r="AG550" s="74">
        <v>4.0</v>
      </c>
      <c r="AH550" s="74">
        <v>4.0</v>
      </c>
      <c r="AI550" s="119"/>
      <c r="AJ550" s="119"/>
      <c r="AK550" s="119"/>
      <c r="AL550" s="119"/>
      <c r="AM550" s="119"/>
      <c r="AN550" s="119"/>
      <c r="AO550" s="119"/>
      <c r="AP550" s="119"/>
      <c r="AQ550" s="74" t="s">
        <v>3200</v>
      </c>
      <c r="AR550" s="74" t="s">
        <v>3142</v>
      </c>
      <c r="AS550" s="74">
        <v>0.0</v>
      </c>
      <c r="AT550" s="74" t="s">
        <v>5540</v>
      </c>
      <c r="AU550" s="120">
        <v>6907.0</v>
      </c>
      <c r="AV550" s="74" t="s">
        <v>9649</v>
      </c>
      <c r="AW550" s="74" t="s">
        <v>9650</v>
      </c>
      <c r="AX550" s="120">
        <v>549.0</v>
      </c>
    </row>
    <row r="551">
      <c r="A551" s="74" t="s">
        <v>9651</v>
      </c>
      <c r="B551" s="74" t="s">
        <v>9652</v>
      </c>
      <c r="C551" s="119"/>
      <c r="D551" s="119"/>
      <c r="E551" s="74">
        <v>3.52155090281144E14</v>
      </c>
      <c r="F551" s="74">
        <v>55.0</v>
      </c>
      <c r="G551" s="74">
        <v>99.0</v>
      </c>
      <c r="H551" s="119"/>
      <c r="I551" s="119"/>
      <c r="J551" s="119"/>
      <c r="K551" s="74">
        <v>1.0</v>
      </c>
      <c r="L551" s="74" t="s">
        <v>1974</v>
      </c>
      <c r="M551" s="74" t="s">
        <v>1974</v>
      </c>
      <c r="N551" s="119"/>
      <c r="O551" s="119"/>
      <c r="P551" s="74" t="s">
        <v>9653</v>
      </c>
      <c r="Q551" s="74" t="s">
        <v>9654</v>
      </c>
      <c r="R551" s="74">
        <v>22.5636762</v>
      </c>
      <c r="S551" s="74">
        <v>88.3772576</v>
      </c>
      <c r="T551" s="74">
        <v>-32.4000015258789</v>
      </c>
      <c r="U551" s="74">
        <v>3.5</v>
      </c>
      <c r="V551" s="74">
        <v>1.0</v>
      </c>
      <c r="W551" s="74">
        <v>0.0</v>
      </c>
      <c r="X551" s="74">
        <v>1.0</v>
      </c>
      <c r="Y551" s="119"/>
      <c r="Z551" s="119"/>
      <c r="AA551" s="119"/>
      <c r="AB551" s="119"/>
      <c r="AC551" s="119"/>
      <c r="AD551" s="119"/>
      <c r="AE551" s="119"/>
      <c r="AF551" s="119"/>
      <c r="AG551" s="119"/>
      <c r="AH551" s="119"/>
      <c r="AI551" s="119"/>
      <c r="AJ551" s="119"/>
      <c r="AK551" s="119"/>
      <c r="AL551" s="119"/>
      <c r="AM551" s="119"/>
      <c r="AN551" s="119"/>
      <c r="AO551" s="119"/>
      <c r="AP551" s="119"/>
      <c r="AQ551" s="74" t="s">
        <v>3200</v>
      </c>
      <c r="AR551" s="74" t="s">
        <v>3142</v>
      </c>
      <c r="AS551" s="119"/>
      <c r="AT551" s="74" t="s">
        <v>5540</v>
      </c>
      <c r="AU551" s="120">
        <v>6908.0</v>
      </c>
      <c r="AV551" s="74" t="s">
        <v>9659</v>
      </c>
      <c r="AW551" s="74" t="s">
        <v>9660</v>
      </c>
      <c r="AX551" s="120">
        <v>550.0</v>
      </c>
    </row>
    <row r="552">
      <c r="A552" s="74" t="s">
        <v>9661</v>
      </c>
      <c r="B552" s="74" t="s">
        <v>9662</v>
      </c>
      <c r="C552" s="119"/>
      <c r="D552" s="119"/>
      <c r="E552" s="74">
        <v>3.52155090281144E14</v>
      </c>
      <c r="F552" s="74">
        <v>57.0</v>
      </c>
      <c r="G552" s="74">
        <v>12.0</v>
      </c>
      <c r="H552" s="119"/>
      <c r="I552" s="119"/>
      <c r="J552" s="119"/>
      <c r="K552" s="119"/>
      <c r="L552" s="74" t="s">
        <v>1976</v>
      </c>
      <c r="M552" s="74" t="s">
        <v>1976</v>
      </c>
      <c r="N552" s="74">
        <v>7.0</v>
      </c>
      <c r="O552" s="74" t="s">
        <v>9663</v>
      </c>
      <c r="P552" s="119"/>
      <c r="Q552" s="74" t="s">
        <v>9665</v>
      </c>
      <c r="R552" s="74">
        <v>22.5576826</v>
      </c>
      <c r="S552" s="74">
        <v>88.3896352</v>
      </c>
      <c r="T552" s="74">
        <v>-99.0</v>
      </c>
      <c r="U552" s="74">
        <v>4.5</v>
      </c>
      <c r="V552" s="74">
        <v>1.0</v>
      </c>
      <c r="W552" s="74">
        <v>0.0</v>
      </c>
      <c r="X552" s="74">
        <v>1.0</v>
      </c>
      <c r="Y552" s="119"/>
      <c r="Z552" s="119"/>
      <c r="AA552" s="119"/>
      <c r="AB552" s="119"/>
      <c r="AC552" s="119"/>
      <c r="AD552" s="119"/>
      <c r="AE552" s="74">
        <v>1.0</v>
      </c>
      <c r="AF552" s="74">
        <v>2.0</v>
      </c>
      <c r="AG552" s="74">
        <v>3.0</v>
      </c>
      <c r="AH552" s="74">
        <v>4.0</v>
      </c>
      <c r="AI552" s="119"/>
      <c r="AJ552" s="119"/>
      <c r="AK552" s="119"/>
      <c r="AL552" s="119"/>
      <c r="AM552" s="119"/>
      <c r="AN552" s="119"/>
      <c r="AO552" s="119"/>
      <c r="AP552" s="119"/>
      <c r="AQ552" s="74" t="s">
        <v>2979</v>
      </c>
      <c r="AR552" s="74" t="s">
        <v>2327</v>
      </c>
      <c r="AS552" s="74">
        <v>0.0</v>
      </c>
      <c r="AT552" s="74" t="s">
        <v>5540</v>
      </c>
      <c r="AU552" s="120">
        <v>6909.0</v>
      </c>
      <c r="AV552" s="74" t="s">
        <v>9669</v>
      </c>
      <c r="AW552" s="74" t="s">
        <v>9670</v>
      </c>
      <c r="AX552" s="120">
        <v>551.0</v>
      </c>
    </row>
    <row r="553">
      <c r="A553" s="74" t="s">
        <v>9671</v>
      </c>
      <c r="B553" s="74" t="s">
        <v>9672</v>
      </c>
      <c r="C553" s="119"/>
      <c r="D553" s="119"/>
      <c r="E553" s="74">
        <v>3.52155090281144E14</v>
      </c>
      <c r="F553" s="74">
        <v>57.0</v>
      </c>
      <c r="G553" s="74">
        <v>99.0</v>
      </c>
      <c r="H553" s="119"/>
      <c r="I553" s="119"/>
      <c r="J553" s="119"/>
      <c r="K553" s="74">
        <v>1.0</v>
      </c>
      <c r="L553" s="74" t="s">
        <v>1977</v>
      </c>
      <c r="M553" s="74" t="s">
        <v>1977</v>
      </c>
      <c r="N553" s="119"/>
      <c r="O553" s="119"/>
      <c r="P553" s="74" t="s">
        <v>9676</v>
      </c>
      <c r="Q553" s="74" t="s">
        <v>9677</v>
      </c>
      <c r="R553" s="74">
        <v>22.5579494</v>
      </c>
      <c r="S553" s="74">
        <v>88.3896445</v>
      </c>
      <c r="T553" s="74">
        <v>-48.9000015258789</v>
      </c>
      <c r="U553" s="74">
        <v>4.5</v>
      </c>
      <c r="V553" s="74">
        <v>1.0</v>
      </c>
      <c r="W553" s="74">
        <v>0.0</v>
      </c>
      <c r="X553" s="74">
        <v>1.0</v>
      </c>
      <c r="Y553" s="119"/>
      <c r="Z553" s="119"/>
      <c r="AA553" s="119"/>
      <c r="AB553" s="119"/>
      <c r="AC553" s="119"/>
      <c r="AD553" s="119"/>
      <c r="AE553" s="119"/>
      <c r="AF553" s="119"/>
      <c r="AG553" s="119"/>
      <c r="AH553" s="119"/>
      <c r="AI553" s="119"/>
      <c r="AJ553" s="119"/>
      <c r="AK553" s="119"/>
      <c r="AL553" s="119"/>
      <c r="AM553" s="119"/>
      <c r="AN553" s="119"/>
      <c r="AO553" s="119"/>
      <c r="AP553" s="119"/>
      <c r="AQ553" s="74" t="s">
        <v>2979</v>
      </c>
      <c r="AR553" s="74" t="s">
        <v>2327</v>
      </c>
      <c r="AS553" s="119"/>
      <c r="AT553" s="74" t="s">
        <v>5540</v>
      </c>
      <c r="AU553" s="120">
        <v>6910.0</v>
      </c>
      <c r="AV553" s="74" t="s">
        <v>9683</v>
      </c>
      <c r="AW553" s="74" t="s">
        <v>9684</v>
      </c>
      <c r="AX553" s="120">
        <v>552.0</v>
      </c>
    </row>
    <row r="554">
      <c r="A554" s="74" t="s">
        <v>9686</v>
      </c>
      <c r="B554" s="74" t="s">
        <v>9687</v>
      </c>
      <c r="C554" s="119"/>
      <c r="D554" s="119"/>
      <c r="E554" s="74">
        <v>3.52155090281144E14</v>
      </c>
      <c r="F554" s="74">
        <v>57.0</v>
      </c>
      <c r="G554" s="74">
        <v>11.0</v>
      </c>
      <c r="H554" s="74">
        <v>1.0</v>
      </c>
      <c r="I554" s="119"/>
      <c r="J554" s="119"/>
      <c r="K554" s="119"/>
      <c r="L554" s="74" t="s">
        <v>1982</v>
      </c>
      <c r="M554" s="74" t="s">
        <v>1982</v>
      </c>
      <c r="N554" s="119"/>
      <c r="O554" s="119"/>
      <c r="P554" s="74" t="s">
        <v>9691</v>
      </c>
      <c r="Q554" s="74" t="s">
        <v>9692</v>
      </c>
      <c r="R554" s="74">
        <v>22.5579185</v>
      </c>
      <c r="S554" s="74">
        <v>88.3896187</v>
      </c>
      <c r="T554" s="74">
        <v>-64.5999984741211</v>
      </c>
      <c r="U554" s="74">
        <v>5.0</v>
      </c>
      <c r="V554" s="74">
        <v>1.0</v>
      </c>
      <c r="W554" s="74">
        <v>0.0</v>
      </c>
      <c r="X554" s="74">
        <v>1.0</v>
      </c>
      <c r="Y554" s="119"/>
      <c r="Z554" s="119"/>
      <c r="AA554" s="74">
        <v>1.0</v>
      </c>
      <c r="AB554" s="74">
        <v>4.0</v>
      </c>
      <c r="AC554" s="119"/>
      <c r="AD554" s="119"/>
      <c r="AE554" s="119"/>
      <c r="AF554" s="119"/>
      <c r="AG554" s="119"/>
      <c r="AH554" s="119"/>
      <c r="AI554" s="119"/>
      <c r="AJ554" s="119"/>
      <c r="AK554" s="119"/>
      <c r="AL554" s="119"/>
      <c r="AM554" s="119"/>
      <c r="AN554" s="119"/>
      <c r="AO554" s="119"/>
      <c r="AP554" s="119"/>
      <c r="AQ554" s="74" t="s">
        <v>3243</v>
      </c>
      <c r="AR554" s="74" t="s">
        <v>4697</v>
      </c>
      <c r="AS554" s="74">
        <v>0.0</v>
      </c>
      <c r="AT554" s="74" t="s">
        <v>5540</v>
      </c>
      <c r="AU554" s="120">
        <v>6911.0</v>
      </c>
      <c r="AV554" s="74" t="s">
        <v>9696</v>
      </c>
      <c r="AW554" s="74" t="s">
        <v>9697</v>
      </c>
      <c r="AX554" s="120">
        <v>553.0</v>
      </c>
    </row>
    <row r="555">
      <c r="A555" s="74" t="s">
        <v>9699</v>
      </c>
      <c r="B555" s="74" t="s">
        <v>9701</v>
      </c>
      <c r="C555" s="119"/>
      <c r="D555" s="119"/>
      <c r="E555" s="74">
        <v>3.52155090281144E14</v>
      </c>
      <c r="F555" s="74">
        <v>57.0</v>
      </c>
      <c r="G555" s="74">
        <v>12.0</v>
      </c>
      <c r="H555" s="119"/>
      <c r="I555" s="119"/>
      <c r="J555" s="119"/>
      <c r="K555" s="119"/>
      <c r="L555" s="74" t="s">
        <v>1979</v>
      </c>
      <c r="M555" s="74" t="s">
        <v>1979</v>
      </c>
      <c r="N555" s="74">
        <v>2.0</v>
      </c>
      <c r="O555" s="74" t="s">
        <v>9703</v>
      </c>
      <c r="P555" s="119"/>
      <c r="Q555" s="74" t="s">
        <v>9704</v>
      </c>
      <c r="R555" s="74">
        <v>22.5541816</v>
      </c>
      <c r="S555" s="74">
        <v>88.3967178</v>
      </c>
      <c r="T555" s="74">
        <v>-52.4000015258789</v>
      </c>
      <c r="U555" s="74">
        <v>5.0</v>
      </c>
      <c r="V555" s="74">
        <v>1.0</v>
      </c>
      <c r="W555" s="74">
        <v>0.0</v>
      </c>
      <c r="X555" s="74">
        <v>1.0</v>
      </c>
      <c r="Y555" s="119"/>
      <c r="Z555" s="119"/>
      <c r="AA555" s="119"/>
      <c r="AB555" s="119"/>
      <c r="AC555" s="119"/>
      <c r="AD555" s="119"/>
      <c r="AE555" s="74">
        <v>1.0</v>
      </c>
      <c r="AF555" s="74">
        <v>2.0</v>
      </c>
      <c r="AG555" s="74">
        <v>3.0</v>
      </c>
      <c r="AH555" s="74">
        <v>4.0</v>
      </c>
      <c r="AI555" s="119"/>
      <c r="AJ555" s="119"/>
      <c r="AK555" s="119"/>
      <c r="AL555" s="119"/>
      <c r="AM555" s="119"/>
      <c r="AN555" s="119"/>
      <c r="AO555" s="119"/>
      <c r="AP555" s="119"/>
      <c r="AQ555" s="74" t="s">
        <v>3200</v>
      </c>
      <c r="AR555" s="74" t="s">
        <v>3142</v>
      </c>
      <c r="AS555" s="74">
        <v>0.0</v>
      </c>
      <c r="AT555" s="74" t="s">
        <v>5540</v>
      </c>
      <c r="AU555" s="120">
        <v>6912.0</v>
      </c>
      <c r="AV555" s="74" t="s">
        <v>9708</v>
      </c>
      <c r="AW555" s="74" t="s">
        <v>9709</v>
      </c>
      <c r="AX555" s="120">
        <v>554.0</v>
      </c>
    </row>
    <row r="556">
      <c r="A556" s="74" t="s">
        <v>9711</v>
      </c>
      <c r="B556" s="74" t="s">
        <v>9712</v>
      </c>
      <c r="C556" s="119"/>
      <c r="D556" s="119"/>
      <c r="E556" s="74">
        <v>3.52155090281144E14</v>
      </c>
      <c r="F556" s="74">
        <v>57.0</v>
      </c>
      <c r="G556" s="74">
        <v>99.0</v>
      </c>
      <c r="H556" s="119"/>
      <c r="I556" s="119"/>
      <c r="J556" s="119"/>
      <c r="K556" s="74">
        <v>1.0</v>
      </c>
      <c r="L556" s="74" t="s">
        <v>1980</v>
      </c>
      <c r="M556" s="74" t="s">
        <v>1980</v>
      </c>
      <c r="N556" s="119"/>
      <c r="O556" s="119"/>
      <c r="P556" s="74" t="s">
        <v>9717</v>
      </c>
      <c r="Q556" s="74" t="s">
        <v>9719</v>
      </c>
      <c r="R556" s="74">
        <v>22.5542331</v>
      </c>
      <c r="S556" s="74">
        <v>88.3967413</v>
      </c>
      <c r="T556" s="74">
        <v>-34.599998474121</v>
      </c>
      <c r="U556" s="74">
        <v>5.0</v>
      </c>
      <c r="V556" s="74">
        <v>1.0</v>
      </c>
      <c r="W556" s="74">
        <v>0.0</v>
      </c>
      <c r="X556" s="74">
        <v>1.0</v>
      </c>
      <c r="Y556" s="119"/>
      <c r="Z556" s="119"/>
      <c r="AA556" s="119"/>
      <c r="AB556" s="119"/>
      <c r="AC556" s="119"/>
      <c r="AD556" s="119"/>
      <c r="AE556" s="119"/>
      <c r="AF556" s="119"/>
      <c r="AG556" s="119"/>
      <c r="AH556" s="119"/>
      <c r="AI556" s="119"/>
      <c r="AJ556" s="119"/>
      <c r="AK556" s="119"/>
      <c r="AL556" s="119"/>
      <c r="AM556" s="119"/>
      <c r="AN556" s="119"/>
      <c r="AO556" s="119"/>
      <c r="AP556" s="119"/>
      <c r="AQ556" s="74" t="s">
        <v>3200</v>
      </c>
      <c r="AR556" s="74" t="s">
        <v>3142</v>
      </c>
      <c r="AS556" s="119"/>
      <c r="AT556" s="74" t="s">
        <v>5540</v>
      </c>
      <c r="AU556" s="120">
        <v>6913.0</v>
      </c>
      <c r="AV556" s="74" t="s">
        <v>9721</v>
      </c>
      <c r="AW556" s="74" t="s">
        <v>9722</v>
      </c>
      <c r="AX556" s="120">
        <v>555.0</v>
      </c>
    </row>
    <row r="557">
      <c r="A557" s="74" t="s">
        <v>9723</v>
      </c>
      <c r="B557" s="74" t="s">
        <v>9725</v>
      </c>
      <c r="C557" s="119"/>
      <c r="D557" s="119"/>
      <c r="E557" s="74">
        <v>3.52155090281144E14</v>
      </c>
      <c r="F557" s="74">
        <v>59.0</v>
      </c>
      <c r="G557" s="74">
        <v>11.0</v>
      </c>
      <c r="H557" s="74">
        <v>4.0</v>
      </c>
      <c r="I557" s="74">
        <v>1.0</v>
      </c>
      <c r="J557" s="74" t="s">
        <v>8058</v>
      </c>
      <c r="K557" s="119"/>
      <c r="L557" s="74" t="s">
        <v>1988</v>
      </c>
      <c r="M557" s="74" t="s">
        <v>1988</v>
      </c>
      <c r="N557" s="119"/>
      <c r="O557" s="119"/>
      <c r="P557" s="74" t="s">
        <v>9728</v>
      </c>
      <c r="Q557" s="74" t="s">
        <v>9729</v>
      </c>
      <c r="R557" s="74">
        <v>22.5451346</v>
      </c>
      <c r="S557" s="74">
        <v>88.3833951</v>
      </c>
      <c r="T557" s="74">
        <v>-52.4000015258789</v>
      </c>
      <c r="U557" s="74">
        <v>5.0</v>
      </c>
      <c r="V557" s="74">
        <v>2.0</v>
      </c>
      <c r="W557" s="74">
        <v>0.0</v>
      </c>
      <c r="X557" s="74">
        <v>0.0</v>
      </c>
      <c r="Y557" s="74">
        <v>1.0</v>
      </c>
      <c r="Z557" s="119"/>
      <c r="AA557" s="74">
        <v>2.0</v>
      </c>
      <c r="AB557" s="74">
        <v>4.0</v>
      </c>
      <c r="AC557" s="119"/>
      <c r="AD557" s="119"/>
      <c r="AE557" s="119"/>
      <c r="AF557" s="119"/>
      <c r="AG557" s="119"/>
      <c r="AH557" s="119"/>
      <c r="AI557" s="119"/>
      <c r="AJ557" s="119"/>
      <c r="AK557" s="119"/>
      <c r="AL557" s="119"/>
      <c r="AM557" s="119"/>
      <c r="AN557" s="119"/>
      <c r="AO557" s="119"/>
      <c r="AP557" s="119"/>
      <c r="AQ557" s="74" t="s">
        <v>3185</v>
      </c>
      <c r="AR557" s="74" t="s">
        <v>3142</v>
      </c>
      <c r="AS557" s="74">
        <v>1.0</v>
      </c>
      <c r="AT557" s="74" t="s">
        <v>5540</v>
      </c>
      <c r="AU557" s="120">
        <v>6914.0</v>
      </c>
      <c r="AV557" s="74" t="s">
        <v>9730</v>
      </c>
      <c r="AW557" s="74" t="s">
        <v>9731</v>
      </c>
      <c r="AX557" s="120">
        <v>556.0</v>
      </c>
    </row>
    <row r="558">
      <c r="A558" s="74" t="s">
        <v>9732</v>
      </c>
      <c r="B558" s="74" t="s">
        <v>9734</v>
      </c>
      <c r="C558" s="119"/>
      <c r="D558" s="119"/>
      <c r="E558" s="74">
        <v>3.52155090281144E14</v>
      </c>
      <c r="F558" s="74">
        <v>59.0</v>
      </c>
      <c r="G558" s="74">
        <v>99.0</v>
      </c>
      <c r="H558" s="119"/>
      <c r="I558" s="119"/>
      <c r="J558" s="119"/>
      <c r="K558" s="74">
        <v>2.0</v>
      </c>
      <c r="L558" s="74" t="s">
        <v>1989</v>
      </c>
      <c r="M558" s="74" t="s">
        <v>1989</v>
      </c>
      <c r="N558" s="119"/>
      <c r="O558" s="119"/>
      <c r="P558" s="74" t="s">
        <v>9739</v>
      </c>
      <c r="Q558" s="74" t="s">
        <v>9740</v>
      </c>
      <c r="R558" s="74">
        <v>22.5451365</v>
      </c>
      <c r="S558" s="74">
        <v>88.3834043</v>
      </c>
      <c r="T558" s="74">
        <v>-49.7000007629394</v>
      </c>
      <c r="U558" s="74">
        <v>5.0</v>
      </c>
      <c r="V558" s="74">
        <v>2.0</v>
      </c>
      <c r="W558" s="74">
        <v>0.0</v>
      </c>
      <c r="X558" s="74">
        <v>0.0</v>
      </c>
      <c r="Y558" s="74">
        <v>1.0</v>
      </c>
      <c r="Z558" s="119"/>
      <c r="AA558" s="119"/>
      <c r="AB558" s="119"/>
      <c r="AC558" s="119"/>
      <c r="AD558" s="119"/>
      <c r="AE558" s="119"/>
      <c r="AF558" s="119"/>
      <c r="AG558" s="119"/>
      <c r="AH558" s="119"/>
      <c r="AI558" s="119"/>
      <c r="AJ558" s="119"/>
      <c r="AK558" s="119"/>
      <c r="AL558" s="119"/>
      <c r="AM558" s="119"/>
      <c r="AN558" s="119"/>
      <c r="AO558" s="119"/>
      <c r="AP558" s="119"/>
      <c r="AQ558" s="74" t="s">
        <v>9741</v>
      </c>
      <c r="AR558" s="74" t="s">
        <v>3142</v>
      </c>
      <c r="AS558" s="119"/>
      <c r="AT558" s="74" t="s">
        <v>5540</v>
      </c>
      <c r="AU558" s="120">
        <v>6915.0</v>
      </c>
      <c r="AV558" s="74" t="s">
        <v>9742</v>
      </c>
      <c r="AW558" s="74" t="s">
        <v>9743</v>
      </c>
      <c r="AX558" s="120">
        <v>557.0</v>
      </c>
    </row>
    <row r="559">
      <c r="A559" s="74" t="s">
        <v>9744</v>
      </c>
      <c r="B559" s="74" t="s">
        <v>9746</v>
      </c>
      <c r="C559" s="119"/>
      <c r="D559" s="119"/>
      <c r="E559" s="74">
        <v>3.52155090281144E14</v>
      </c>
      <c r="F559" s="74">
        <v>59.0</v>
      </c>
      <c r="G559" s="74">
        <v>11.0</v>
      </c>
      <c r="H559" s="74">
        <v>4.0</v>
      </c>
      <c r="I559" s="74">
        <v>1.0</v>
      </c>
      <c r="J559" s="74" t="s">
        <v>9111</v>
      </c>
      <c r="K559" s="119"/>
      <c r="L559" s="74" t="s">
        <v>1991</v>
      </c>
      <c r="M559" s="74" t="s">
        <v>1991</v>
      </c>
      <c r="N559" s="119"/>
      <c r="O559" s="119"/>
      <c r="P559" s="74" t="s">
        <v>9749</v>
      </c>
      <c r="Q559" s="74" t="s">
        <v>9751</v>
      </c>
      <c r="R559" s="74">
        <v>22.5412892</v>
      </c>
      <c r="S559" s="74">
        <v>88.3759717</v>
      </c>
      <c r="T559" s="74">
        <v>-17.6000003814697</v>
      </c>
      <c r="U559" s="74">
        <v>5.0</v>
      </c>
      <c r="V559" s="74">
        <v>2.0</v>
      </c>
      <c r="W559" s="74">
        <v>0.0</v>
      </c>
      <c r="X559" s="74">
        <v>0.0</v>
      </c>
      <c r="Y559" s="74">
        <v>1.0</v>
      </c>
      <c r="Z559" s="119"/>
      <c r="AA559" s="74">
        <v>2.0</v>
      </c>
      <c r="AB559" s="74">
        <v>4.0</v>
      </c>
      <c r="AC559" s="119"/>
      <c r="AD559" s="119"/>
      <c r="AE559" s="119"/>
      <c r="AF559" s="119"/>
      <c r="AG559" s="119"/>
      <c r="AH559" s="119"/>
      <c r="AI559" s="119"/>
      <c r="AJ559" s="119"/>
      <c r="AK559" s="119"/>
      <c r="AL559" s="119"/>
      <c r="AM559" s="119"/>
      <c r="AN559" s="119"/>
      <c r="AO559" s="119"/>
      <c r="AP559" s="119"/>
      <c r="AQ559" s="74" t="s">
        <v>2949</v>
      </c>
      <c r="AR559" s="74" t="s">
        <v>2472</v>
      </c>
      <c r="AS559" s="74">
        <v>1.0</v>
      </c>
      <c r="AT559" s="74" t="s">
        <v>5540</v>
      </c>
      <c r="AU559" s="120">
        <v>6916.0</v>
      </c>
      <c r="AV559" s="74" t="s">
        <v>9752</v>
      </c>
      <c r="AW559" s="74" t="s">
        <v>9754</v>
      </c>
      <c r="AX559" s="120">
        <v>558.0</v>
      </c>
    </row>
    <row r="560">
      <c r="A560" s="74" t="s">
        <v>9755</v>
      </c>
      <c r="B560" s="74" t="s">
        <v>9756</v>
      </c>
      <c r="C560" s="119"/>
      <c r="D560" s="119"/>
      <c r="E560" s="74">
        <v>3.52155090281144E14</v>
      </c>
      <c r="F560" s="74">
        <v>59.0</v>
      </c>
      <c r="G560" s="74">
        <v>99.0</v>
      </c>
      <c r="H560" s="119"/>
      <c r="I560" s="119"/>
      <c r="J560" s="119"/>
      <c r="K560" s="74">
        <v>2.0</v>
      </c>
      <c r="L560" s="74" t="s">
        <v>1992</v>
      </c>
      <c r="M560" s="74" t="s">
        <v>1992</v>
      </c>
      <c r="N560" s="119"/>
      <c r="O560" s="119"/>
      <c r="P560" s="74" t="s">
        <v>9760</v>
      </c>
      <c r="Q560" s="74" t="s">
        <v>9761</v>
      </c>
      <c r="R560" s="74">
        <v>22.5413262</v>
      </c>
      <c r="S560" s="74">
        <v>88.3759776</v>
      </c>
      <c r="T560" s="74">
        <v>-66.9000015258789</v>
      </c>
      <c r="U560" s="74">
        <v>5.0</v>
      </c>
      <c r="V560" s="74">
        <v>2.0</v>
      </c>
      <c r="W560" s="74">
        <v>0.0</v>
      </c>
      <c r="X560" s="74">
        <v>0.0</v>
      </c>
      <c r="Y560" s="74">
        <v>1.0</v>
      </c>
      <c r="Z560" s="119"/>
      <c r="AA560" s="119"/>
      <c r="AB560" s="119"/>
      <c r="AC560" s="119"/>
      <c r="AD560" s="119"/>
      <c r="AE560" s="119"/>
      <c r="AF560" s="119"/>
      <c r="AG560" s="119"/>
      <c r="AH560" s="119"/>
      <c r="AI560" s="119"/>
      <c r="AJ560" s="119"/>
      <c r="AK560" s="119"/>
      <c r="AL560" s="119"/>
      <c r="AM560" s="119"/>
      <c r="AN560" s="119"/>
      <c r="AO560" s="119"/>
      <c r="AP560" s="119"/>
      <c r="AQ560" s="74" t="s">
        <v>9765</v>
      </c>
      <c r="AR560" s="74" t="s">
        <v>2472</v>
      </c>
      <c r="AS560" s="119"/>
      <c r="AT560" s="74" t="s">
        <v>5540</v>
      </c>
      <c r="AU560" s="120">
        <v>6917.0</v>
      </c>
      <c r="AV560" s="74" t="s">
        <v>9768</v>
      </c>
      <c r="AW560" s="74" t="s">
        <v>9769</v>
      </c>
      <c r="AX560" s="120">
        <v>559.0</v>
      </c>
    </row>
    <row r="561">
      <c r="A561" s="74" t="s">
        <v>9770</v>
      </c>
      <c r="B561" s="74" t="s">
        <v>9772</v>
      </c>
      <c r="C561" s="119"/>
      <c r="D561" s="119"/>
      <c r="E561" s="74">
        <v>3.52155090281144E14</v>
      </c>
      <c r="F561" s="74">
        <v>59.0</v>
      </c>
      <c r="G561" s="74">
        <v>11.0</v>
      </c>
      <c r="H561" s="74">
        <v>4.0</v>
      </c>
      <c r="I561" s="74">
        <v>1.0</v>
      </c>
      <c r="J561" s="74" t="s">
        <v>9250</v>
      </c>
      <c r="K561" s="119"/>
      <c r="L561" s="74" t="s">
        <v>1994</v>
      </c>
      <c r="M561" s="74" t="s">
        <v>1994</v>
      </c>
      <c r="N561" s="119"/>
      <c r="O561" s="119"/>
      <c r="P561" s="74" t="s">
        <v>9773</v>
      </c>
      <c r="Q561" s="74" t="s">
        <v>9774</v>
      </c>
      <c r="R561" s="74">
        <v>22.5409096</v>
      </c>
      <c r="S561" s="74">
        <v>88.3759857</v>
      </c>
      <c r="T561" s="74">
        <v>-98.5999984741211</v>
      </c>
      <c r="U561" s="74">
        <v>4.5</v>
      </c>
      <c r="V561" s="74">
        <v>2.0</v>
      </c>
      <c r="W561" s="74">
        <v>0.0</v>
      </c>
      <c r="X561" s="74">
        <v>0.0</v>
      </c>
      <c r="Y561" s="74">
        <v>1.0</v>
      </c>
      <c r="Z561" s="119"/>
      <c r="AA561" s="74">
        <v>2.0</v>
      </c>
      <c r="AB561" s="74">
        <v>4.0</v>
      </c>
      <c r="AC561" s="119"/>
      <c r="AD561" s="119"/>
      <c r="AE561" s="119"/>
      <c r="AF561" s="119"/>
      <c r="AG561" s="119"/>
      <c r="AH561" s="119"/>
      <c r="AI561" s="119"/>
      <c r="AJ561" s="119"/>
      <c r="AK561" s="119"/>
      <c r="AL561" s="119"/>
      <c r="AM561" s="119"/>
      <c r="AN561" s="119"/>
      <c r="AO561" s="119"/>
      <c r="AP561" s="119"/>
      <c r="AQ561" s="74" t="s">
        <v>3243</v>
      </c>
      <c r="AR561" s="74" t="s">
        <v>2278</v>
      </c>
      <c r="AS561" s="74">
        <v>1.0</v>
      </c>
      <c r="AT561" s="74" t="s">
        <v>5540</v>
      </c>
      <c r="AU561" s="120">
        <v>6918.0</v>
      </c>
      <c r="AV561" s="74" t="s">
        <v>9778</v>
      </c>
      <c r="AW561" s="74" t="s">
        <v>9779</v>
      </c>
      <c r="AX561" s="120">
        <v>560.0</v>
      </c>
    </row>
    <row r="562">
      <c r="A562" s="74" t="s">
        <v>9780</v>
      </c>
      <c r="B562" s="74" t="s">
        <v>9781</v>
      </c>
      <c r="C562" s="119"/>
      <c r="D562" s="119"/>
      <c r="E562" s="74">
        <v>3.52155090281144E14</v>
      </c>
      <c r="F562" s="74">
        <v>59.0</v>
      </c>
      <c r="G562" s="74">
        <v>99.0</v>
      </c>
      <c r="H562" s="119"/>
      <c r="I562" s="119"/>
      <c r="J562" s="119"/>
      <c r="K562" s="74">
        <v>2.0</v>
      </c>
      <c r="L562" s="74" t="s">
        <v>1995</v>
      </c>
      <c r="M562" s="74" t="s">
        <v>1995</v>
      </c>
      <c r="N562" s="119"/>
      <c r="O562" s="119"/>
      <c r="P562" s="74" t="s">
        <v>9783</v>
      </c>
      <c r="Q562" s="74" t="s">
        <v>9784</v>
      </c>
      <c r="R562" s="74">
        <v>22.5408345</v>
      </c>
      <c r="S562" s="74">
        <v>88.3757358</v>
      </c>
      <c r="T562" s="74">
        <v>-19.5</v>
      </c>
      <c r="U562" s="74">
        <v>5.0</v>
      </c>
      <c r="V562" s="74">
        <v>2.0</v>
      </c>
      <c r="W562" s="74">
        <v>0.0</v>
      </c>
      <c r="X562" s="74">
        <v>0.0</v>
      </c>
      <c r="Y562" s="74">
        <v>1.0</v>
      </c>
      <c r="Z562" s="119"/>
      <c r="AA562" s="119"/>
      <c r="AB562" s="119"/>
      <c r="AC562" s="119"/>
      <c r="AD562" s="119"/>
      <c r="AE562" s="119"/>
      <c r="AF562" s="119"/>
      <c r="AG562" s="119"/>
      <c r="AH562" s="119"/>
      <c r="AI562" s="119"/>
      <c r="AJ562" s="119"/>
      <c r="AK562" s="119"/>
      <c r="AL562" s="119"/>
      <c r="AM562" s="119"/>
      <c r="AN562" s="119"/>
      <c r="AO562" s="119"/>
      <c r="AP562" s="119"/>
      <c r="AQ562" s="74" t="s">
        <v>9786</v>
      </c>
      <c r="AR562" s="74" t="s">
        <v>2278</v>
      </c>
      <c r="AS562" s="119"/>
      <c r="AT562" s="74" t="s">
        <v>5540</v>
      </c>
      <c r="AU562" s="120">
        <v>6919.0</v>
      </c>
      <c r="AV562" s="74" t="s">
        <v>9789</v>
      </c>
      <c r="AW562" s="74" t="s">
        <v>9790</v>
      </c>
      <c r="AX562" s="120">
        <v>561.0</v>
      </c>
    </row>
    <row r="563">
      <c r="A563" s="74" t="s">
        <v>9791</v>
      </c>
      <c r="B563" s="74" t="s">
        <v>9792</v>
      </c>
      <c r="C563" s="119"/>
      <c r="D563" s="119"/>
      <c r="E563" s="74">
        <v>3.52155090281144E14</v>
      </c>
      <c r="F563" s="74">
        <v>59.0</v>
      </c>
      <c r="G563" s="74">
        <v>11.0</v>
      </c>
      <c r="H563" s="74">
        <v>4.0</v>
      </c>
      <c r="I563" s="74">
        <v>1.0</v>
      </c>
      <c r="J563" s="74" t="s">
        <v>8348</v>
      </c>
      <c r="K563" s="119"/>
      <c r="L563" s="74" t="s">
        <v>1997</v>
      </c>
      <c r="M563" s="74" t="s">
        <v>1997</v>
      </c>
      <c r="N563" s="119"/>
      <c r="O563" s="119"/>
      <c r="P563" s="74" t="s">
        <v>9794</v>
      </c>
      <c r="Q563" s="74" t="s">
        <v>9795</v>
      </c>
      <c r="R563" s="74">
        <v>22.5415415</v>
      </c>
      <c r="S563" s="74">
        <v>88.3753921</v>
      </c>
      <c r="T563" s="74">
        <v>-70.0</v>
      </c>
      <c r="U563" s="74">
        <v>5.0</v>
      </c>
      <c r="V563" s="74">
        <v>2.0</v>
      </c>
      <c r="W563" s="74">
        <v>0.0</v>
      </c>
      <c r="X563" s="74">
        <v>0.0</v>
      </c>
      <c r="Y563" s="74">
        <v>1.0</v>
      </c>
      <c r="Z563" s="119"/>
      <c r="AA563" s="74">
        <v>2.0</v>
      </c>
      <c r="AB563" s="74">
        <v>4.0</v>
      </c>
      <c r="AC563" s="119"/>
      <c r="AD563" s="119"/>
      <c r="AE563" s="119"/>
      <c r="AF563" s="119"/>
      <c r="AG563" s="119"/>
      <c r="AH563" s="119"/>
      <c r="AI563" s="119"/>
      <c r="AJ563" s="119"/>
      <c r="AK563" s="119"/>
      <c r="AL563" s="119"/>
      <c r="AM563" s="119"/>
      <c r="AN563" s="119"/>
      <c r="AO563" s="119"/>
      <c r="AP563" s="119"/>
      <c r="AQ563" s="74" t="s">
        <v>2979</v>
      </c>
      <c r="AR563" s="74" t="s">
        <v>2327</v>
      </c>
      <c r="AS563" s="74">
        <v>0.0</v>
      </c>
      <c r="AT563" s="74" t="s">
        <v>5540</v>
      </c>
      <c r="AU563" s="120">
        <v>6920.0</v>
      </c>
      <c r="AV563" s="74" t="s">
        <v>9797</v>
      </c>
      <c r="AW563" s="74" t="s">
        <v>9798</v>
      </c>
      <c r="AX563" s="120">
        <v>562.0</v>
      </c>
    </row>
    <row r="564">
      <c r="A564" s="74" t="s">
        <v>9799</v>
      </c>
      <c r="B564" s="74" t="s">
        <v>9800</v>
      </c>
      <c r="C564" s="119"/>
      <c r="D564" s="119"/>
      <c r="E564" s="74">
        <v>3.52155090281144E14</v>
      </c>
      <c r="F564" s="74">
        <v>59.0</v>
      </c>
      <c r="G564" s="74">
        <v>99.0</v>
      </c>
      <c r="H564" s="119"/>
      <c r="I564" s="119"/>
      <c r="J564" s="119"/>
      <c r="K564" s="74">
        <v>2.0</v>
      </c>
      <c r="L564" s="74" t="s">
        <v>1998</v>
      </c>
      <c r="M564" s="74" t="s">
        <v>1998</v>
      </c>
      <c r="N564" s="119"/>
      <c r="O564" s="119"/>
      <c r="P564" s="74" t="s">
        <v>9803</v>
      </c>
      <c r="Q564" s="74" t="s">
        <v>9805</v>
      </c>
      <c r="R564" s="74">
        <v>22.5414966</v>
      </c>
      <c r="S564" s="74">
        <v>88.3753817</v>
      </c>
      <c r="T564" s="74">
        <v>-58.2000007629394</v>
      </c>
      <c r="U564" s="74">
        <v>5.0</v>
      </c>
      <c r="V564" s="74">
        <v>2.0</v>
      </c>
      <c r="W564" s="74">
        <v>0.0</v>
      </c>
      <c r="X564" s="74">
        <v>0.0</v>
      </c>
      <c r="Y564" s="74">
        <v>1.0</v>
      </c>
      <c r="Z564" s="119"/>
      <c r="AA564" s="119"/>
      <c r="AB564" s="119"/>
      <c r="AC564" s="119"/>
      <c r="AD564" s="119"/>
      <c r="AE564" s="119"/>
      <c r="AF564" s="119"/>
      <c r="AG564" s="119"/>
      <c r="AH564" s="119"/>
      <c r="AI564" s="119"/>
      <c r="AJ564" s="119"/>
      <c r="AK564" s="119"/>
      <c r="AL564" s="119"/>
      <c r="AM564" s="119"/>
      <c r="AN564" s="119"/>
      <c r="AO564" s="119"/>
      <c r="AP564" s="119"/>
      <c r="AQ564" s="74" t="s">
        <v>9806</v>
      </c>
      <c r="AR564" s="74" t="s">
        <v>2327</v>
      </c>
      <c r="AS564" s="119"/>
      <c r="AT564" s="74" t="s">
        <v>5540</v>
      </c>
      <c r="AU564" s="120">
        <v>6921.0</v>
      </c>
      <c r="AV564" s="74" t="s">
        <v>9807</v>
      </c>
      <c r="AW564" s="74" t="s">
        <v>9808</v>
      </c>
      <c r="AX564" s="120">
        <v>563.0</v>
      </c>
    </row>
    <row r="565">
      <c r="A565" s="74" t="s">
        <v>9810</v>
      </c>
      <c r="B565" s="74" t="s">
        <v>9811</v>
      </c>
      <c r="C565" s="119"/>
      <c r="D565" s="119"/>
      <c r="E565" s="74">
        <v>3.52155090281144E14</v>
      </c>
      <c r="F565" s="74">
        <v>59.0</v>
      </c>
      <c r="G565" s="74">
        <v>11.0</v>
      </c>
      <c r="H565" s="74">
        <v>4.0</v>
      </c>
      <c r="I565" s="74">
        <v>1.0</v>
      </c>
      <c r="J565" s="74" t="s">
        <v>9275</v>
      </c>
      <c r="K565" s="119"/>
      <c r="L565" s="74" t="s">
        <v>2000</v>
      </c>
      <c r="M565" s="74" t="s">
        <v>2000</v>
      </c>
      <c r="N565" s="119"/>
      <c r="O565" s="119"/>
      <c r="P565" s="74" t="s">
        <v>9814</v>
      </c>
      <c r="Q565" s="74" t="s">
        <v>9816</v>
      </c>
      <c r="R565" s="74">
        <v>22.5411259</v>
      </c>
      <c r="S565" s="74">
        <v>88.374347</v>
      </c>
      <c r="T565" s="74">
        <v>-45.7999992370605</v>
      </c>
      <c r="U565" s="74">
        <v>5.0</v>
      </c>
      <c r="V565" s="74">
        <v>2.0</v>
      </c>
      <c r="W565" s="74">
        <v>0.0</v>
      </c>
      <c r="X565" s="74">
        <v>0.0</v>
      </c>
      <c r="Y565" s="74">
        <v>1.0</v>
      </c>
      <c r="Z565" s="119"/>
      <c r="AA565" s="74">
        <v>2.0</v>
      </c>
      <c r="AB565" s="74">
        <v>4.0</v>
      </c>
      <c r="AC565" s="119"/>
      <c r="AD565" s="119"/>
      <c r="AE565" s="119"/>
      <c r="AF565" s="119"/>
      <c r="AG565" s="119"/>
      <c r="AH565" s="119"/>
      <c r="AI565" s="119"/>
      <c r="AJ565" s="119"/>
      <c r="AK565" s="119"/>
      <c r="AL565" s="119"/>
      <c r="AM565" s="119"/>
      <c r="AN565" s="119"/>
      <c r="AO565" s="119"/>
      <c r="AP565" s="119"/>
      <c r="AQ565" s="74" t="s">
        <v>3185</v>
      </c>
      <c r="AR565" s="74" t="s">
        <v>3142</v>
      </c>
      <c r="AS565" s="74">
        <v>1.0</v>
      </c>
      <c r="AT565" s="74" t="s">
        <v>5540</v>
      </c>
      <c r="AU565" s="120">
        <v>6922.0</v>
      </c>
      <c r="AV565" s="74" t="s">
        <v>9817</v>
      </c>
      <c r="AW565" s="74" t="s">
        <v>9818</v>
      </c>
      <c r="AX565" s="120">
        <v>564.0</v>
      </c>
    </row>
    <row r="566">
      <c r="A566" s="74" t="s">
        <v>9819</v>
      </c>
      <c r="B566" s="74" t="s">
        <v>9820</v>
      </c>
      <c r="C566" s="119"/>
      <c r="D566" s="119"/>
      <c r="E566" s="74">
        <v>3.52155090281144E14</v>
      </c>
      <c r="F566" s="74">
        <v>59.0</v>
      </c>
      <c r="G566" s="74">
        <v>99.0</v>
      </c>
      <c r="H566" s="119"/>
      <c r="I566" s="119"/>
      <c r="J566" s="119"/>
      <c r="K566" s="74">
        <v>2.0</v>
      </c>
      <c r="L566" s="74" t="s">
        <v>2001</v>
      </c>
      <c r="M566" s="74" t="s">
        <v>2001</v>
      </c>
      <c r="N566" s="119"/>
      <c r="O566" s="119"/>
      <c r="P566" s="74" t="s">
        <v>9824</v>
      </c>
      <c r="Q566" s="74" t="s">
        <v>9825</v>
      </c>
      <c r="R566" s="74">
        <v>22.5411561</v>
      </c>
      <c r="S566" s="74">
        <v>88.3743062</v>
      </c>
      <c r="T566" s="74">
        <v>-62.599998474121</v>
      </c>
      <c r="U566" s="74">
        <v>5.0</v>
      </c>
      <c r="V566" s="74">
        <v>2.0</v>
      </c>
      <c r="W566" s="74">
        <v>0.0</v>
      </c>
      <c r="X566" s="74">
        <v>0.0</v>
      </c>
      <c r="Y566" s="74">
        <v>1.0</v>
      </c>
      <c r="Z566" s="119"/>
      <c r="AA566" s="119"/>
      <c r="AB566" s="119"/>
      <c r="AC566" s="119"/>
      <c r="AD566" s="119"/>
      <c r="AE566" s="119"/>
      <c r="AF566" s="119"/>
      <c r="AG566" s="119"/>
      <c r="AH566" s="119"/>
      <c r="AI566" s="119"/>
      <c r="AJ566" s="119"/>
      <c r="AK566" s="119"/>
      <c r="AL566" s="119"/>
      <c r="AM566" s="119"/>
      <c r="AN566" s="119"/>
      <c r="AO566" s="119"/>
      <c r="AP566" s="119"/>
      <c r="AQ566" s="74" t="s">
        <v>9827</v>
      </c>
      <c r="AR566" s="74" t="s">
        <v>3142</v>
      </c>
      <c r="AS566" s="119"/>
      <c r="AT566" s="74" t="s">
        <v>5540</v>
      </c>
      <c r="AU566" s="120">
        <v>6923.0</v>
      </c>
      <c r="AV566" s="74" t="s">
        <v>9828</v>
      </c>
      <c r="AW566" s="74" t="s">
        <v>9829</v>
      </c>
      <c r="AX566" s="120">
        <v>565.0</v>
      </c>
    </row>
    <row r="567">
      <c r="A567" s="74" t="s">
        <v>9831</v>
      </c>
      <c r="B567" s="74" t="s">
        <v>9832</v>
      </c>
      <c r="C567" s="119"/>
      <c r="D567" s="119"/>
      <c r="E567" s="74">
        <v>3.5215509147374E14</v>
      </c>
      <c r="F567" s="74">
        <v>66.0</v>
      </c>
      <c r="G567" s="74">
        <v>12.0</v>
      </c>
      <c r="H567" s="119"/>
      <c r="I567" s="119"/>
      <c r="J567" s="119"/>
      <c r="K567" s="119"/>
      <c r="L567" s="74" t="s">
        <v>2003</v>
      </c>
      <c r="M567" s="74" t="s">
        <v>2003</v>
      </c>
      <c r="N567" s="74">
        <v>5.0</v>
      </c>
      <c r="O567" s="74" t="s">
        <v>9836</v>
      </c>
      <c r="P567" s="119"/>
      <c r="Q567" s="74" t="s">
        <v>9837</v>
      </c>
      <c r="R567" s="74">
        <v>22.5345947</v>
      </c>
      <c r="S567" s="74">
        <v>88.3959418</v>
      </c>
      <c r="T567" s="74">
        <v>-56.4000015258789</v>
      </c>
      <c r="U567" s="74">
        <v>5.0</v>
      </c>
      <c r="V567" s="74">
        <v>2.0</v>
      </c>
      <c r="W567" s="74">
        <v>0.0</v>
      </c>
      <c r="X567" s="74">
        <v>1.0</v>
      </c>
      <c r="Y567" s="119"/>
      <c r="Z567" s="119"/>
      <c r="AA567" s="119"/>
      <c r="AB567" s="119"/>
      <c r="AC567" s="119"/>
      <c r="AD567" s="119"/>
      <c r="AE567" s="74">
        <v>1.0</v>
      </c>
      <c r="AF567" s="74">
        <v>2.0</v>
      </c>
      <c r="AG567" s="74">
        <v>3.0</v>
      </c>
      <c r="AH567" s="74">
        <v>4.0</v>
      </c>
      <c r="AI567" s="119"/>
      <c r="AJ567" s="119"/>
      <c r="AK567" s="119"/>
      <c r="AL567" s="119"/>
      <c r="AM567" s="119"/>
      <c r="AN567" s="119"/>
      <c r="AO567" s="119"/>
      <c r="AP567" s="119"/>
      <c r="AQ567" s="74" t="s">
        <v>3149</v>
      </c>
      <c r="AR567" s="74" t="s">
        <v>2302</v>
      </c>
      <c r="AS567" s="74">
        <v>0.0</v>
      </c>
      <c r="AT567" s="74" t="s">
        <v>5540</v>
      </c>
      <c r="AU567" s="120">
        <v>6929.0</v>
      </c>
      <c r="AV567" s="74" t="s">
        <v>9839</v>
      </c>
      <c r="AW567" s="74" t="s">
        <v>9840</v>
      </c>
      <c r="AX567" s="120">
        <v>566.0</v>
      </c>
    </row>
    <row r="568">
      <c r="A568" s="74" t="s">
        <v>9841</v>
      </c>
      <c r="B568" s="74" t="s">
        <v>9843</v>
      </c>
      <c r="C568" s="119"/>
      <c r="D568" s="119"/>
      <c r="E568" s="74">
        <v>3.5215509147374E14</v>
      </c>
      <c r="F568" s="74">
        <v>66.0</v>
      </c>
      <c r="G568" s="74">
        <v>99.0</v>
      </c>
      <c r="H568" s="119"/>
      <c r="I568" s="119"/>
      <c r="J568" s="119"/>
      <c r="K568" s="74">
        <v>1.0</v>
      </c>
      <c r="L568" s="74" t="s">
        <v>2004</v>
      </c>
      <c r="M568" s="74" t="s">
        <v>2004</v>
      </c>
      <c r="N568" s="119"/>
      <c r="O568" s="119"/>
      <c r="P568" s="74" t="s">
        <v>9846</v>
      </c>
      <c r="Q568" s="74" t="s">
        <v>9847</v>
      </c>
      <c r="R568" s="74">
        <v>22.5346722</v>
      </c>
      <c r="S568" s="74">
        <v>88.3958914</v>
      </c>
      <c r="T568" s="74">
        <v>-53.5</v>
      </c>
      <c r="U568" s="74">
        <v>4.5</v>
      </c>
      <c r="V568" s="74">
        <v>2.0</v>
      </c>
      <c r="W568" s="74">
        <v>0.0</v>
      </c>
      <c r="X568" s="74">
        <v>1.0</v>
      </c>
      <c r="Y568" s="119"/>
      <c r="Z568" s="119"/>
      <c r="AA568" s="119"/>
      <c r="AB568" s="119"/>
      <c r="AC568" s="119"/>
      <c r="AD568" s="119"/>
      <c r="AE568" s="119"/>
      <c r="AF568" s="119"/>
      <c r="AG568" s="119"/>
      <c r="AH568" s="119"/>
      <c r="AI568" s="119"/>
      <c r="AJ568" s="119"/>
      <c r="AK568" s="119"/>
      <c r="AL568" s="119"/>
      <c r="AM568" s="119"/>
      <c r="AN568" s="119"/>
      <c r="AO568" s="119"/>
      <c r="AP568" s="119"/>
      <c r="AQ568" s="74" t="s">
        <v>3149</v>
      </c>
      <c r="AR568" s="74" t="s">
        <v>2302</v>
      </c>
      <c r="AS568" s="119"/>
      <c r="AT568" s="74" t="s">
        <v>5540</v>
      </c>
      <c r="AU568" s="120">
        <v>6930.0</v>
      </c>
      <c r="AV568" s="74" t="s">
        <v>9851</v>
      </c>
      <c r="AW568" s="74" t="s">
        <v>9852</v>
      </c>
      <c r="AX568" s="120">
        <v>567.0</v>
      </c>
    </row>
    <row r="569">
      <c r="A569" s="74" t="s">
        <v>9853</v>
      </c>
      <c r="B569" s="74" t="s">
        <v>9854</v>
      </c>
      <c r="C569" s="119"/>
      <c r="D569" s="119"/>
      <c r="E569" s="74">
        <v>3.5215509147374E14</v>
      </c>
      <c r="F569" s="74">
        <v>59.0</v>
      </c>
      <c r="G569" s="74">
        <v>12.0</v>
      </c>
      <c r="H569" s="119"/>
      <c r="I569" s="119"/>
      <c r="J569" s="119"/>
      <c r="K569" s="119"/>
      <c r="L569" s="74" t="s">
        <v>2006</v>
      </c>
      <c r="M569" s="74" t="s">
        <v>2006</v>
      </c>
      <c r="N569" s="74">
        <v>6.0</v>
      </c>
      <c r="O569" s="74" t="s">
        <v>9860</v>
      </c>
      <c r="P569" s="119"/>
      <c r="Q569" s="74" t="s">
        <v>9861</v>
      </c>
      <c r="R569" s="74">
        <v>22.5401048</v>
      </c>
      <c r="S569" s="74">
        <v>88.3872131</v>
      </c>
      <c r="T569" s="74">
        <v>-39.099998474121</v>
      </c>
      <c r="U569" s="74">
        <v>5.0</v>
      </c>
      <c r="V569" s="74">
        <v>2.0</v>
      </c>
      <c r="W569" s="74">
        <v>0.0</v>
      </c>
      <c r="X569" s="74">
        <v>1.0</v>
      </c>
      <c r="Y569" s="119"/>
      <c r="Z569" s="119"/>
      <c r="AA569" s="119"/>
      <c r="AB569" s="119"/>
      <c r="AC569" s="119"/>
      <c r="AD569" s="119"/>
      <c r="AE569" s="74">
        <v>1.0</v>
      </c>
      <c r="AF569" s="74">
        <v>2.0</v>
      </c>
      <c r="AG569" s="74">
        <v>4.0</v>
      </c>
      <c r="AH569" s="74">
        <v>4.0</v>
      </c>
      <c r="AI569" s="119"/>
      <c r="AJ569" s="119"/>
      <c r="AK569" s="119"/>
      <c r="AL569" s="119"/>
      <c r="AM569" s="119"/>
      <c r="AN569" s="119"/>
      <c r="AO569" s="119"/>
      <c r="AP569" s="119"/>
      <c r="AQ569" s="74" t="s">
        <v>3200</v>
      </c>
      <c r="AR569" s="74" t="s">
        <v>2286</v>
      </c>
      <c r="AS569" s="74">
        <v>0.0</v>
      </c>
      <c r="AT569" s="74" t="s">
        <v>5540</v>
      </c>
      <c r="AU569" s="120">
        <v>6931.0</v>
      </c>
      <c r="AV569" s="74" t="s">
        <v>9865</v>
      </c>
      <c r="AW569" s="74" t="s">
        <v>9867</v>
      </c>
      <c r="AX569" s="120">
        <v>568.0</v>
      </c>
    </row>
    <row r="570">
      <c r="A570" s="74" t="s">
        <v>9868</v>
      </c>
      <c r="B570" s="74" t="s">
        <v>9869</v>
      </c>
      <c r="C570" s="119"/>
      <c r="D570" s="119"/>
      <c r="E570" s="74">
        <v>3.5215509147374E14</v>
      </c>
      <c r="F570" s="74">
        <v>59.0</v>
      </c>
      <c r="G570" s="74">
        <v>99.0</v>
      </c>
      <c r="H570" s="119"/>
      <c r="I570" s="119"/>
      <c r="J570" s="119"/>
      <c r="K570" s="74">
        <v>1.0</v>
      </c>
      <c r="L570" s="74" t="s">
        <v>2007</v>
      </c>
      <c r="M570" s="74" t="s">
        <v>2007</v>
      </c>
      <c r="N570" s="119"/>
      <c r="O570" s="119"/>
      <c r="P570" s="74" t="s">
        <v>9871</v>
      </c>
      <c r="Q570" s="74" t="s">
        <v>9872</v>
      </c>
      <c r="R570" s="74">
        <v>22.5400497</v>
      </c>
      <c r="S570" s="74">
        <v>88.3873063</v>
      </c>
      <c r="T570" s="74">
        <v>-75.8000030517578</v>
      </c>
      <c r="U570" s="74">
        <v>5.0</v>
      </c>
      <c r="V570" s="74">
        <v>2.0</v>
      </c>
      <c r="W570" s="74">
        <v>0.0</v>
      </c>
      <c r="X570" s="74">
        <v>1.0</v>
      </c>
      <c r="Y570" s="119"/>
      <c r="Z570" s="119"/>
      <c r="AA570" s="119"/>
      <c r="AB570" s="119"/>
      <c r="AC570" s="119"/>
      <c r="AD570" s="119"/>
      <c r="AE570" s="119"/>
      <c r="AF570" s="119"/>
      <c r="AG570" s="119"/>
      <c r="AH570" s="119"/>
      <c r="AI570" s="119"/>
      <c r="AJ570" s="119"/>
      <c r="AK570" s="119"/>
      <c r="AL570" s="119"/>
      <c r="AM570" s="119"/>
      <c r="AN570" s="119"/>
      <c r="AO570" s="119"/>
      <c r="AP570" s="119"/>
      <c r="AQ570" s="74" t="s">
        <v>3200</v>
      </c>
      <c r="AR570" s="74" t="s">
        <v>2286</v>
      </c>
      <c r="AS570" s="119"/>
      <c r="AT570" s="74" t="s">
        <v>5540</v>
      </c>
      <c r="AU570" s="120">
        <v>6932.0</v>
      </c>
      <c r="AV570" s="74" t="s">
        <v>9876</v>
      </c>
      <c r="AW570" s="74" t="s">
        <v>9878</v>
      </c>
      <c r="AX570" s="120">
        <v>569.0</v>
      </c>
    </row>
    <row r="571">
      <c r="A571" s="74" t="s">
        <v>9879</v>
      </c>
      <c r="B571" s="74" t="s">
        <v>9880</v>
      </c>
      <c r="C571" s="119"/>
      <c r="D571" s="119"/>
      <c r="E571" s="74">
        <v>3.5215509147374E14</v>
      </c>
      <c r="F571" s="74">
        <v>65.0</v>
      </c>
      <c r="G571" s="74">
        <v>12.0</v>
      </c>
      <c r="H571" s="119"/>
      <c r="I571" s="119"/>
      <c r="J571" s="119"/>
      <c r="K571" s="119"/>
      <c r="L571" s="74" t="s">
        <v>2009</v>
      </c>
      <c r="M571" s="74" t="s">
        <v>2009</v>
      </c>
      <c r="N571" s="74">
        <v>8.0</v>
      </c>
      <c r="O571" s="74" t="s">
        <v>9773</v>
      </c>
      <c r="P571" s="119"/>
      <c r="Q571" s="74" t="s">
        <v>9881</v>
      </c>
      <c r="R571" s="74">
        <v>22.5361419</v>
      </c>
      <c r="S571" s="74">
        <v>88.3745476</v>
      </c>
      <c r="T571" s="74">
        <v>-61.5</v>
      </c>
      <c r="U571" s="74">
        <v>5.0</v>
      </c>
      <c r="V571" s="74">
        <v>2.0</v>
      </c>
      <c r="W571" s="74">
        <v>0.0</v>
      </c>
      <c r="X571" s="74">
        <v>1.0</v>
      </c>
      <c r="Y571" s="119"/>
      <c r="Z571" s="119"/>
      <c r="AA571" s="119"/>
      <c r="AB571" s="119"/>
      <c r="AC571" s="119"/>
      <c r="AD571" s="119"/>
      <c r="AE571" s="74">
        <v>1.0</v>
      </c>
      <c r="AF571" s="74">
        <v>2.0</v>
      </c>
      <c r="AG571" s="74">
        <v>4.0</v>
      </c>
      <c r="AH571" s="74">
        <v>4.0</v>
      </c>
      <c r="AI571" s="119"/>
      <c r="AJ571" s="119"/>
      <c r="AK571" s="119"/>
      <c r="AL571" s="119"/>
      <c r="AM571" s="119"/>
      <c r="AN571" s="119"/>
      <c r="AO571" s="119"/>
      <c r="AP571" s="119"/>
      <c r="AQ571" s="74" t="s">
        <v>3149</v>
      </c>
      <c r="AR571" s="74" t="s">
        <v>2302</v>
      </c>
      <c r="AS571" s="74">
        <v>0.0</v>
      </c>
      <c r="AT571" s="74" t="s">
        <v>5540</v>
      </c>
      <c r="AU571" s="120">
        <v>6933.0</v>
      </c>
      <c r="AV571" s="74" t="s">
        <v>9886</v>
      </c>
      <c r="AW571" s="74" t="s">
        <v>9887</v>
      </c>
      <c r="AX571" s="120">
        <v>570.0</v>
      </c>
    </row>
    <row r="572">
      <c r="A572" s="74" t="s">
        <v>9888</v>
      </c>
      <c r="B572" s="74" t="s">
        <v>9889</v>
      </c>
      <c r="C572" s="119"/>
      <c r="D572" s="119"/>
      <c r="E572" s="74">
        <v>3.5215509147374E14</v>
      </c>
      <c r="F572" s="74">
        <v>65.0</v>
      </c>
      <c r="G572" s="74">
        <v>99.0</v>
      </c>
      <c r="H572" s="119"/>
      <c r="I572" s="119"/>
      <c r="J572" s="119"/>
      <c r="K572" s="74">
        <v>1.0</v>
      </c>
      <c r="L572" s="74" t="s">
        <v>2010</v>
      </c>
      <c r="M572" s="74" t="s">
        <v>2010</v>
      </c>
      <c r="N572" s="119"/>
      <c r="O572" s="119"/>
      <c r="P572" s="74" t="s">
        <v>9891</v>
      </c>
      <c r="Q572" s="74" t="s">
        <v>9892</v>
      </c>
      <c r="R572" s="74">
        <v>22.5362388</v>
      </c>
      <c r="S572" s="74">
        <v>88.3745401</v>
      </c>
      <c r="T572" s="74">
        <v>-54.099998474121</v>
      </c>
      <c r="U572" s="74">
        <v>5.0</v>
      </c>
      <c r="V572" s="74">
        <v>2.0</v>
      </c>
      <c r="W572" s="74">
        <v>0.0</v>
      </c>
      <c r="X572" s="74">
        <v>1.0</v>
      </c>
      <c r="Y572" s="119"/>
      <c r="Z572" s="119"/>
      <c r="AA572" s="119"/>
      <c r="AB572" s="119"/>
      <c r="AC572" s="119"/>
      <c r="AD572" s="119"/>
      <c r="AE572" s="119"/>
      <c r="AF572" s="119"/>
      <c r="AG572" s="119"/>
      <c r="AH572" s="119"/>
      <c r="AI572" s="119"/>
      <c r="AJ572" s="119"/>
      <c r="AK572" s="119"/>
      <c r="AL572" s="119"/>
      <c r="AM572" s="119"/>
      <c r="AN572" s="119"/>
      <c r="AO572" s="119"/>
      <c r="AP572" s="119"/>
      <c r="AQ572" s="74" t="s">
        <v>3149</v>
      </c>
      <c r="AR572" s="74" t="s">
        <v>2302</v>
      </c>
      <c r="AS572" s="119"/>
      <c r="AT572" s="74" t="s">
        <v>5540</v>
      </c>
      <c r="AU572" s="120">
        <v>6934.0</v>
      </c>
      <c r="AV572" s="74" t="s">
        <v>9897</v>
      </c>
      <c r="AW572" s="74" t="s">
        <v>9898</v>
      </c>
      <c r="AX572" s="120">
        <v>571.0</v>
      </c>
    </row>
    <row r="573">
      <c r="A573" s="74" t="s">
        <v>9899</v>
      </c>
      <c r="B573" s="74" t="s">
        <v>9900</v>
      </c>
      <c r="C573" s="119"/>
      <c r="D573" s="119"/>
      <c r="E573" s="74">
        <v>3.5215509147374E14</v>
      </c>
      <c r="F573" s="74">
        <v>59.0</v>
      </c>
      <c r="G573" s="74">
        <v>11.0</v>
      </c>
      <c r="H573" s="74">
        <v>4.0</v>
      </c>
      <c r="I573" s="74">
        <v>1.0</v>
      </c>
      <c r="J573" s="74" t="s">
        <v>9111</v>
      </c>
      <c r="K573" s="119"/>
      <c r="L573" s="74" t="s">
        <v>2014</v>
      </c>
      <c r="M573" s="74" t="s">
        <v>2014</v>
      </c>
      <c r="N573" s="119"/>
      <c r="O573" s="119"/>
      <c r="P573" s="74" t="s">
        <v>9906</v>
      </c>
      <c r="Q573" s="74" t="s">
        <v>9907</v>
      </c>
      <c r="R573" s="74">
        <v>22.5413135</v>
      </c>
      <c r="S573" s="74">
        <v>88.3760988</v>
      </c>
      <c r="T573" s="74">
        <v>-50.9000015258789</v>
      </c>
      <c r="U573" s="74">
        <v>5.0</v>
      </c>
      <c r="V573" s="74">
        <v>1.0</v>
      </c>
      <c r="W573" s="74">
        <v>0.0</v>
      </c>
      <c r="X573" s="74">
        <v>1.0</v>
      </c>
      <c r="Y573" s="119"/>
      <c r="Z573" s="119"/>
      <c r="AA573" s="74">
        <v>2.0</v>
      </c>
      <c r="AB573" s="74">
        <v>4.0</v>
      </c>
      <c r="AC573" s="119"/>
      <c r="AD573" s="119"/>
      <c r="AE573" s="119"/>
      <c r="AF573" s="119"/>
      <c r="AG573" s="119"/>
      <c r="AH573" s="119"/>
      <c r="AI573" s="119"/>
      <c r="AJ573" s="119"/>
      <c r="AK573" s="119"/>
      <c r="AL573" s="119"/>
      <c r="AM573" s="119"/>
      <c r="AN573" s="119"/>
      <c r="AO573" s="119"/>
      <c r="AP573" s="119"/>
      <c r="AQ573" s="74" t="s">
        <v>2949</v>
      </c>
      <c r="AR573" s="74" t="s">
        <v>2278</v>
      </c>
      <c r="AS573" s="74">
        <v>1.0</v>
      </c>
      <c r="AT573" s="74" t="s">
        <v>5540</v>
      </c>
      <c r="AU573" s="120">
        <v>6969.0</v>
      </c>
      <c r="AV573" s="74" t="s">
        <v>9911</v>
      </c>
      <c r="AW573" s="74" t="s">
        <v>9912</v>
      </c>
      <c r="AX573" s="120">
        <v>572.0</v>
      </c>
    </row>
    <row r="574">
      <c r="A574" s="74" t="s">
        <v>9913</v>
      </c>
      <c r="B574" s="74" t="s">
        <v>9914</v>
      </c>
      <c r="C574" s="119"/>
      <c r="D574" s="119"/>
      <c r="E574" s="74">
        <v>3.5215509147374E14</v>
      </c>
      <c r="F574" s="74">
        <v>59.0</v>
      </c>
      <c r="G574" s="74">
        <v>99.0</v>
      </c>
      <c r="H574" s="119"/>
      <c r="I574" s="119"/>
      <c r="J574" s="119"/>
      <c r="K574" s="74">
        <v>2.0</v>
      </c>
      <c r="L574" s="74" t="s">
        <v>2015</v>
      </c>
      <c r="M574" s="74" t="s">
        <v>2015</v>
      </c>
      <c r="N574" s="119"/>
      <c r="O574" s="119"/>
      <c r="P574" s="74" t="s">
        <v>9917</v>
      </c>
      <c r="Q574" s="74" t="s">
        <v>9918</v>
      </c>
      <c r="R574" s="74">
        <v>22.5413594</v>
      </c>
      <c r="S574" s="74">
        <v>88.3761244</v>
      </c>
      <c r="T574" s="74">
        <v>-50.599998474121</v>
      </c>
      <c r="U574" s="74">
        <v>5.0</v>
      </c>
      <c r="V574" s="74">
        <v>1.0</v>
      </c>
      <c r="W574" s="74">
        <v>0.0</v>
      </c>
      <c r="X574" s="74">
        <v>1.0</v>
      </c>
      <c r="Y574" s="119"/>
      <c r="Z574" s="119"/>
      <c r="AA574" s="119"/>
      <c r="AB574" s="119"/>
      <c r="AC574" s="119"/>
      <c r="AD574" s="119"/>
      <c r="AE574" s="119"/>
      <c r="AF574" s="119"/>
      <c r="AG574" s="119"/>
      <c r="AH574" s="119"/>
      <c r="AI574" s="119"/>
      <c r="AJ574" s="119"/>
      <c r="AK574" s="119"/>
      <c r="AL574" s="119"/>
      <c r="AM574" s="119"/>
      <c r="AN574" s="119"/>
      <c r="AO574" s="119"/>
      <c r="AP574" s="119"/>
      <c r="AQ574" s="74" t="s">
        <v>9921</v>
      </c>
      <c r="AR574" s="74" t="s">
        <v>2278</v>
      </c>
      <c r="AS574" s="119"/>
      <c r="AT574" s="74" t="s">
        <v>5540</v>
      </c>
      <c r="AU574" s="120">
        <v>6970.0</v>
      </c>
      <c r="AV574" s="74" t="s">
        <v>9923</v>
      </c>
      <c r="AW574" s="74" t="s">
        <v>9924</v>
      </c>
      <c r="AX574" s="120">
        <v>573.0</v>
      </c>
    </row>
    <row r="575">
      <c r="A575" s="74" t="s">
        <v>9927</v>
      </c>
      <c r="B575" s="74" t="s">
        <v>9928</v>
      </c>
      <c r="C575" s="119"/>
      <c r="D575" s="119"/>
      <c r="E575" s="74">
        <v>3.5215509147374E14</v>
      </c>
      <c r="F575" s="74">
        <v>59.0</v>
      </c>
      <c r="G575" s="74">
        <v>11.0</v>
      </c>
      <c r="H575" s="74">
        <v>4.0</v>
      </c>
      <c r="I575" s="74">
        <v>1.0</v>
      </c>
      <c r="J575" s="74" t="s">
        <v>9931</v>
      </c>
      <c r="K575" s="119"/>
      <c r="L575" s="74" t="s">
        <v>2019</v>
      </c>
      <c r="M575" s="74" t="s">
        <v>2019</v>
      </c>
      <c r="N575" s="119"/>
      <c r="O575" s="119"/>
      <c r="P575" s="74" t="s">
        <v>9935</v>
      </c>
      <c r="Q575" s="74" t="s">
        <v>9938</v>
      </c>
      <c r="R575" s="74">
        <v>22.5408567</v>
      </c>
      <c r="S575" s="74">
        <v>88.3757745</v>
      </c>
      <c r="T575" s="74">
        <v>-57.4000015258789</v>
      </c>
      <c r="U575" s="74">
        <v>5.0</v>
      </c>
      <c r="V575" s="74">
        <v>1.0</v>
      </c>
      <c r="W575" s="74">
        <v>0.0</v>
      </c>
      <c r="X575" s="74">
        <v>1.0</v>
      </c>
      <c r="Y575" s="119"/>
      <c r="Z575" s="119"/>
      <c r="AA575" s="74">
        <v>2.0</v>
      </c>
      <c r="AB575" s="74">
        <v>4.0</v>
      </c>
      <c r="AC575" s="119"/>
      <c r="AD575" s="119"/>
      <c r="AE575" s="119"/>
      <c r="AF575" s="119"/>
      <c r="AG575" s="119"/>
      <c r="AH575" s="119"/>
      <c r="AI575" s="119"/>
      <c r="AJ575" s="119"/>
      <c r="AK575" s="119"/>
      <c r="AL575" s="119"/>
      <c r="AM575" s="119"/>
      <c r="AN575" s="119"/>
      <c r="AO575" s="119"/>
      <c r="AP575" s="119"/>
      <c r="AQ575" s="74" t="s">
        <v>3149</v>
      </c>
      <c r="AR575" s="74" t="s">
        <v>2472</v>
      </c>
      <c r="AS575" s="74">
        <v>1.0</v>
      </c>
      <c r="AT575" s="74" t="s">
        <v>5540</v>
      </c>
      <c r="AU575" s="120">
        <v>6971.0</v>
      </c>
      <c r="AV575" s="74" t="s">
        <v>9969</v>
      </c>
      <c r="AW575" s="74" t="s">
        <v>9972</v>
      </c>
      <c r="AX575" s="120">
        <v>574.0</v>
      </c>
    </row>
    <row r="576">
      <c r="A576" s="74" t="s">
        <v>9976</v>
      </c>
      <c r="B576" s="74" t="s">
        <v>9979</v>
      </c>
      <c r="C576" s="119"/>
      <c r="D576" s="119"/>
      <c r="E576" s="74">
        <v>3.5215509147374E14</v>
      </c>
      <c r="F576" s="74">
        <v>59.0</v>
      </c>
      <c r="G576" s="74">
        <v>99.0</v>
      </c>
      <c r="H576" s="119"/>
      <c r="I576" s="119"/>
      <c r="J576" s="119"/>
      <c r="K576" s="74">
        <v>2.0</v>
      </c>
      <c r="L576" s="74" t="s">
        <v>2020</v>
      </c>
      <c r="M576" s="74" t="s">
        <v>2020</v>
      </c>
      <c r="N576" s="119"/>
      <c r="O576" s="119"/>
      <c r="P576" s="74" t="s">
        <v>9992</v>
      </c>
      <c r="Q576" s="74" t="s">
        <v>9994</v>
      </c>
      <c r="R576" s="74">
        <v>22.5409563</v>
      </c>
      <c r="S576" s="74">
        <v>88.3759035</v>
      </c>
      <c r="T576" s="74">
        <v>-33.2999992370605</v>
      </c>
      <c r="U576" s="74">
        <v>5.0</v>
      </c>
      <c r="V576" s="74">
        <v>1.0</v>
      </c>
      <c r="W576" s="74">
        <v>0.0</v>
      </c>
      <c r="X576" s="74">
        <v>1.0</v>
      </c>
      <c r="Y576" s="119"/>
      <c r="Z576" s="119"/>
      <c r="AA576" s="119"/>
      <c r="AB576" s="119"/>
      <c r="AC576" s="119"/>
      <c r="AD576" s="119"/>
      <c r="AE576" s="119"/>
      <c r="AF576" s="119"/>
      <c r="AG576" s="119"/>
      <c r="AH576" s="119"/>
      <c r="AI576" s="119"/>
      <c r="AJ576" s="119"/>
      <c r="AK576" s="119"/>
      <c r="AL576" s="119"/>
      <c r="AM576" s="119"/>
      <c r="AN576" s="119"/>
      <c r="AO576" s="119"/>
      <c r="AP576" s="119"/>
      <c r="AQ576" s="74" t="s">
        <v>10009</v>
      </c>
      <c r="AR576" s="74" t="s">
        <v>2472</v>
      </c>
      <c r="AS576" s="119"/>
      <c r="AT576" s="74" t="s">
        <v>5540</v>
      </c>
      <c r="AU576" s="120">
        <v>6972.0</v>
      </c>
      <c r="AV576" s="74" t="s">
        <v>10014</v>
      </c>
      <c r="AW576" s="74" t="s">
        <v>10016</v>
      </c>
      <c r="AX576" s="120">
        <v>575.0</v>
      </c>
    </row>
    <row r="577">
      <c r="A577" s="74" t="s">
        <v>10020</v>
      </c>
      <c r="B577" s="74" t="s">
        <v>10022</v>
      </c>
      <c r="C577" s="119"/>
      <c r="D577" s="119"/>
      <c r="E577" s="74">
        <v>3.5215509147374E14</v>
      </c>
      <c r="F577" s="74">
        <v>59.0</v>
      </c>
      <c r="G577" s="74">
        <v>11.0</v>
      </c>
      <c r="H577" s="74">
        <v>4.0</v>
      </c>
      <c r="I577" s="74">
        <v>1.0</v>
      </c>
      <c r="J577" s="74" t="s">
        <v>9275</v>
      </c>
      <c r="K577" s="119"/>
      <c r="L577" s="74" t="s">
        <v>2023</v>
      </c>
      <c r="M577" s="74" t="s">
        <v>2023</v>
      </c>
      <c r="N577" s="119"/>
      <c r="O577" s="119"/>
      <c r="P577" s="74" t="s">
        <v>10025</v>
      </c>
      <c r="Q577" s="74" t="s">
        <v>10026</v>
      </c>
      <c r="R577" s="74">
        <v>22.5410933</v>
      </c>
      <c r="S577" s="74">
        <v>88.374545</v>
      </c>
      <c r="T577" s="74">
        <v>-36.9000015258789</v>
      </c>
      <c r="U577" s="74">
        <v>5.0</v>
      </c>
      <c r="V577" s="74">
        <v>1.0</v>
      </c>
      <c r="W577" s="74">
        <v>0.0</v>
      </c>
      <c r="X577" s="74">
        <v>1.0</v>
      </c>
      <c r="Y577" s="119"/>
      <c r="Z577" s="119"/>
      <c r="AA577" s="74">
        <v>2.0</v>
      </c>
      <c r="AB577" s="74">
        <v>4.0</v>
      </c>
      <c r="AC577" s="119"/>
      <c r="AD577" s="119"/>
      <c r="AE577" s="119"/>
      <c r="AF577" s="119"/>
      <c r="AG577" s="119"/>
      <c r="AH577" s="119"/>
      <c r="AI577" s="119"/>
      <c r="AJ577" s="119"/>
      <c r="AK577" s="119"/>
      <c r="AL577" s="119"/>
      <c r="AM577" s="119"/>
      <c r="AN577" s="119"/>
      <c r="AO577" s="119"/>
      <c r="AP577" s="119"/>
      <c r="AQ577" s="74" t="s">
        <v>3185</v>
      </c>
      <c r="AR577" s="74" t="s">
        <v>2327</v>
      </c>
      <c r="AS577" s="74">
        <v>1.0</v>
      </c>
      <c r="AT577" s="74" t="s">
        <v>5540</v>
      </c>
      <c r="AU577" s="120">
        <v>6973.0</v>
      </c>
      <c r="AV577" s="74" t="s">
        <v>10035</v>
      </c>
      <c r="AW577" s="74" t="s">
        <v>10036</v>
      </c>
      <c r="AX577" s="120">
        <v>576.0</v>
      </c>
    </row>
    <row r="578">
      <c r="A578" s="74" t="s">
        <v>10037</v>
      </c>
      <c r="B578" s="74" t="s">
        <v>10038</v>
      </c>
      <c r="C578" s="119"/>
      <c r="D578" s="119"/>
      <c r="E578" s="74">
        <v>3.5215509147374E14</v>
      </c>
      <c r="F578" s="74">
        <v>59.0</v>
      </c>
      <c r="G578" s="74">
        <v>99.0</v>
      </c>
      <c r="H578" s="119"/>
      <c r="I578" s="119"/>
      <c r="J578" s="119"/>
      <c r="K578" s="74">
        <v>2.0</v>
      </c>
      <c r="L578" s="74" t="s">
        <v>2024</v>
      </c>
      <c r="M578" s="74" t="s">
        <v>2024</v>
      </c>
      <c r="N578" s="119"/>
      <c r="O578" s="119"/>
      <c r="P578" s="74" t="s">
        <v>10039</v>
      </c>
      <c r="Q578" s="74" t="s">
        <v>10040</v>
      </c>
      <c r="R578" s="74">
        <v>22.5409881</v>
      </c>
      <c r="S578" s="74">
        <v>88.3743073</v>
      </c>
      <c r="T578" s="74">
        <v>-69.3000030517578</v>
      </c>
      <c r="U578" s="74">
        <v>5.0</v>
      </c>
      <c r="V578" s="74">
        <v>1.0</v>
      </c>
      <c r="W578" s="74">
        <v>0.0</v>
      </c>
      <c r="X578" s="74">
        <v>1.0</v>
      </c>
      <c r="Y578" s="119"/>
      <c r="Z578" s="119"/>
      <c r="AA578" s="119"/>
      <c r="AB578" s="119"/>
      <c r="AC578" s="119"/>
      <c r="AD578" s="119"/>
      <c r="AE578" s="119"/>
      <c r="AF578" s="119"/>
      <c r="AG578" s="119"/>
      <c r="AH578" s="119"/>
      <c r="AI578" s="119"/>
      <c r="AJ578" s="119"/>
      <c r="AK578" s="119"/>
      <c r="AL578" s="119"/>
      <c r="AM578" s="119"/>
      <c r="AN578" s="119"/>
      <c r="AO578" s="119"/>
      <c r="AP578" s="119"/>
      <c r="AQ578" s="74" t="s">
        <v>10049</v>
      </c>
      <c r="AR578" s="74" t="s">
        <v>2327</v>
      </c>
      <c r="AS578" s="119"/>
      <c r="AT578" s="74" t="s">
        <v>5540</v>
      </c>
      <c r="AU578" s="120">
        <v>6974.0</v>
      </c>
      <c r="AV578" s="74" t="s">
        <v>10051</v>
      </c>
      <c r="AW578" s="74" t="s">
        <v>10052</v>
      </c>
      <c r="AX578" s="120">
        <v>577.0</v>
      </c>
    </row>
    <row r="579">
      <c r="A579" s="74" t="s">
        <v>10053</v>
      </c>
      <c r="B579" s="74" t="s">
        <v>10054</v>
      </c>
      <c r="C579" s="119"/>
      <c r="D579" s="119"/>
      <c r="E579" s="74">
        <v>3.5215509147374E14</v>
      </c>
      <c r="F579" s="74">
        <v>59.0</v>
      </c>
      <c r="G579" s="74">
        <v>11.0</v>
      </c>
      <c r="H579" s="74">
        <v>4.0</v>
      </c>
      <c r="I579" s="74">
        <v>1.0</v>
      </c>
      <c r="J579" s="74" t="s">
        <v>8348</v>
      </c>
      <c r="K579" s="119"/>
      <c r="L579" s="74" t="s">
        <v>2027</v>
      </c>
      <c r="M579" s="74" t="s">
        <v>2027</v>
      </c>
      <c r="N579" s="119"/>
      <c r="O579" s="119"/>
      <c r="P579" s="74" t="s">
        <v>10058</v>
      </c>
      <c r="Q579" s="74" t="s">
        <v>10059</v>
      </c>
      <c r="R579" s="74">
        <v>22.541428</v>
      </c>
      <c r="S579" s="74">
        <v>88.3752943</v>
      </c>
      <c r="T579" s="74">
        <v>-62.9000015258789</v>
      </c>
      <c r="U579" s="74">
        <v>5.0</v>
      </c>
      <c r="V579" s="74">
        <v>1.0</v>
      </c>
      <c r="W579" s="74">
        <v>0.0</v>
      </c>
      <c r="X579" s="74">
        <v>1.0</v>
      </c>
      <c r="Y579" s="119"/>
      <c r="Z579" s="119"/>
      <c r="AA579" s="74">
        <v>2.0</v>
      </c>
      <c r="AB579" s="74">
        <v>4.0</v>
      </c>
      <c r="AC579" s="119"/>
      <c r="AD579" s="119"/>
      <c r="AE579" s="119"/>
      <c r="AF579" s="119"/>
      <c r="AG579" s="119"/>
      <c r="AH579" s="119"/>
      <c r="AI579" s="119"/>
      <c r="AJ579" s="119"/>
      <c r="AK579" s="119"/>
      <c r="AL579" s="119"/>
      <c r="AM579" s="119"/>
      <c r="AN579" s="119"/>
      <c r="AO579" s="119"/>
      <c r="AP579" s="119"/>
      <c r="AQ579" s="74" t="s">
        <v>10069</v>
      </c>
      <c r="AR579" s="74" t="s">
        <v>2286</v>
      </c>
      <c r="AS579" s="74">
        <v>1.0</v>
      </c>
      <c r="AT579" s="74" t="s">
        <v>5540</v>
      </c>
      <c r="AU579" s="120">
        <v>6975.0</v>
      </c>
      <c r="AV579" s="74" t="s">
        <v>10072</v>
      </c>
      <c r="AW579" s="74" t="s">
        <v>10073</v>
      </c>
      <c r="AX579" s="120">
        <v>578.0</v>
      </c>
    </row>
    <row r="580">
      <c r="A580" s="74" t="s">
        <v>10074</v>
      </c>
      <c r="B580" s="74" t="s">
        <v>10077</v>
      </c>
      <c r="C580" s="119"/>
      <c r="D580" s="119"/>
      <c r="E580" s="74">
        <v>3.5215509147374E14</v>
      </c>
      <c r="F580" s="74">
        <v>59.0</v>
      </c>
      <c r="G580" s="74">
        <v>99.0</v>
      </c>
      <c r="H580" s="119"/>
      <c r="I580" s="119"/>
      <c r="J580" s="119"/>
      <c r="K580" s="74">
        <v>2.0</v>
      </c>
      <c r="L580" s="74" t="s">
        <v>2028</v>
      </c>
      <c r="M580" s="74" t="s">
        <v>2028</v>
      </c>
      <c r="N580" s="119"/>
      <c r="O580" s="119"/>
      <c r="P580" s="74" t="s">
        <v>10080</v>
      </c>
      <c r="Q580" s="74" t="s">
        <v>10081</v>
      </c>
      <c r="R580" s="74">
        <v>22.5413875</v>
      </c>
      <c r="S580" s="74">
        <v>88.3753242</v>
      </c>
      <c r="T580" s="74">
        <v>-72.9000015258789</v>
      </c>
      <c r="U580" s="74">
        <v>5.0</v>
      </c>
      <c r="V580" s="74">
        <v>1.0</v>
      </c>
      <c r="W580" s="74">
        <v>0.0</v>
      </c>
      <c r="X580" s="74">
        <v>1.0</v>
      </c>
      <c r="Y580" s="119"/>
      <c r="Z580" s="119"/>
      <c r="AA580" s="119"/>
      <c r="AB580" s="119"/>
      <c r="AC580" s="119"/>
      <c r="AD580" s="119"/>
      <c r="AE580" s="119"/>
      <c r="AF580" s="119"/>
      <c r="AG580" s="119"/>
      <c r="AH580" s="119"/>
      <c r="AI580" s="119"/>
      <c r="AJ580" s="119"/>
      <c r="AK580" s="119"/>
      <c r="AL580" s="119"/>
      <c r="AM580" s="119"/>
      <c r="AN580" s="119"/>
      <c r="AO580" s="119"/>
      <c r="AP580" s="119"/>
      <c r="AQ580" s="74" t="s">
        <v>10082</v>
      </c>
      <c r="AR580" s="74" t="s">
        <v>2286</v>
      </c>
      <c r="AS580" s="119"/>
      <c r="AT580" s="74" t="s">
        <v>5540</v>
      </c>
      <c r="AU580" s="120">
        <v>6976.0</v>
      </c>
      <c r="AV580" s="74" t="s">
        <v>10084</v>
      </c>
      <c r="AW580" s="74" t="s">
        <v>10085</v>
      </c>
      <c r="AX580" s="120">
        <v>579.0</v>
      </c>
    </row>
    <row r="581">
      <c r="A581" s="74" t="s">
        <v>10086</v>
      </c>
      <c r="B581" s="74" t="s">
        <v>10088</v>
      </c>
      <c r="C581" s="119"/>
      <c r="D581" s="119"/>
      <c r="E581" s="74">
        <v>3.52155090281144E14</v>
      </c>
      <c r="F581" s="74">
        <v>57.0</v>
      </c>
      <c r="G581" s="74">
        <v>12.0</v>
      </c>
      <c r="H581" s="119"/>
      <c r="I581" s="119"/>
      <c r="J581" s="119"/>
      <c r="K581" s="119"/>
      <c r="L581" s="74" t="s">
        <v>2032</v>
      </c>
      <c r="M581" s="74" t="s">
        <v>2032</v>
      </c>
      <c r="N581" s="74">
        <v>2.0</v>
      </c>
      <c r="O581" s="74" t="s">
        <v>10091</v>
      </c>
      <c r="P581" s="119"/>
      <c r="Q581" s="74" t="s">
        <v>10092</v>
      </c>
      <c r="R581" s="74">
        <v>22.5542969</v>
      </c>
      <c r="S581" s="74">
        <v>88.3967931</v>
      </c>
      <c r="T581" s="74">
        <v>-27.8999996185302</v>
      </c>
      <c r="U581" s="74">
        <v>5.0</v>
      </c>
      <c r="V581" s="74">
        <v>1.0</v>
      </c>
      <c r="W581" s="74">
        <v>0.0</v>
      </c>
      <c r="X581" s="74">
        <v>1.0</v>
      </c>
      <c r="Y581" s="119"/>
      <c r="Z581" s="119"/>
      <c r="AA581" s="119"/>
      <c r="AB581" s="119"/>
      <c r="AC581" s="119"/>
      <c r="AD581" s="119"/>
      <c r="AE581" s="74">
        <v>1.0</v>
      </c>
      <c r="AF581" s="74">
        <v>2.0</v>
      </c>
      <c r="AG581" s="74">
        <v>3.0</v>
      </c>
      <c r="AH581" s="74">
        <v>4.0</v>
      </c>
      <c r="AI581" s="119"/>
      <c r="AJ581" s="119"/>
      <c r="AK581" s="119"/>
      <c r="AL581" s="119"/>
      <c r="AM581" s="119"/>
      <c r="AN581" s="119"/>
      <c r="AO581" s="119"/>
      <c r="AP581" s="119"/>
      <c r="AQ581" s="74" t="s">
        <v>2949</v>
      </c>
      <c r="AR581" s="74" t="s">
        <v>2302</v>
      </c>
      <c r="AS581" s="74">
        <v>0.0</v>
      </c>
      <c r="AT581" s="74" t="s">
        <v>5540</v>
      </c>
      <c r="AU581" s="120">
        <v>7035.0</v>
      </c>
      <c r="AV581" s="74" t="s">
        <v>10100</v>
      </c>
      <c r="AW581" s="74" t="s">
        <v>10102</v>
      </c>
      <c r="AX581" s="120">
        <v>580.0</v>
      </c>
    </row>
    <row r="582">
      <c r="A582" s="74" t="s">
        <v>10103</v>
      </c>
      <c r="B582" s="74" t="s">
        <v>10105</v>
      </c>
      <c r="C582" s="119"/>
      <c r="D582" s="119"/>
      <c r="E582" s="74">
        <v>3.52155090281144E14</v>
      </c>
      <c r="F582" s="74">
        <v>57.0</v>
      </c>
      <c r="G582" s="74">
        <v>99.0</v>
      </c>
      <c r="H582" s="119"/>
      <c r="I582" s="119"/>
      <c r="J582" s="119"/>
      <c r="K582" s="74">
        <v>1.0</v>
      </c>
      <c r="L582" s="74" t="s">
        <v>2033</v>
      </c>
      <c r="M582" s="74" t="s">
        <v>2033</v>
      </c>
      <c r="N582" s="119"/>
      <c r="O582" s="119"/>
      <c r="P582" s="74" t="s">
        <v>10109</v>
      </c>
      <c r="Q582" s="74" t="s">
        <v>10110</v>
      </c>
      <c r="R582" s="74">
        <v>22.5541778</v>
      </c>
      <c r="S582" s="74">
        <v>88.3967949</v>
      </c>
      <c r="T582" s="74">
        <v>-60.0</v>
      </c>
      <c r="U582" s="74">
        <v>5.0</v>
      </c>
      <c r="V582" s="74">
        <v>1.0</v>
      </c>
      <c r="W582" s="74">
        <v>0.0</v>
      </c>
      <c r="X582" s="74">
        <v>1.0</v>
      </c>
      <c r="Y582" s="119"/>
      <c r="Z582" s="119"/>
      <c r="AA582" s="119"/>
      <c r="AB582" s="119"/>
      <c r="AC582" s="119"/>
      <c r="AD582" s="119"/>
      <c r="AE582" s="119"/>
      <c r="AF582" s="119"/>
      <c r="AG582" s="119"/>
      <c r="AH582" s="119"/>
      <c r="AI582" s="119"/>
      <c r="AJ582" s="119"/>
      <c r="AK582" s="119"/>
      <c r="AL582" s="119"/>
      <c r="AM582" s="119"/>
      <c r="AN582" s="119"/>
      <c r="AO582" s="119"/>
      <c r="AP582" s="119"/>
      <c r="AQ582" s="74" t="s">
        <v>2949</v>
      </c>
      <c r="AR582" s="74" t="s">
        <v>2302</v>
      </c>
      <c r="AS582" s="119"/>
      <c r="AT582" s="74" t="s">
        <v>5540</v>
      </c>
      <c r="AU582" s="120">
        <v>7036.0</v>
      </c>
      <c r="AV582" s="74" t="s">
        <v>10115</v>
      </c>
      <c r="AW582" s="74" t="s">
        <v>10116</v>
      </c>
      <c r="AX582" s="120">
        <v>581.0</v>
      </c>
    </row>
    <row r="583">
      <c r="A583" s="74" t="s">
        <v>10117</v>
      </c>
      <c r="B583" s="74" t="s">
        <v>10119</v>
      </c>
      <c r="C583" s="119"/>
      <c r="D583" s="119"/>
      <c r="E583" s="74">
        <v>3.52155090281144E14</v>
      </c>
      <c r="F583" s="74">
        <v>57.0</v>
      </c>
      <c r="G583" s="74">
        <v>12.0</v>
      </c>
      <c r="H583" s="119"/>
      <c r="I583" s="119"/>
      <c r="J583" s="119"/>
      <c r="K583" s="119"/>
      <c r="L583" s="74" t="s">
        <v>2035</v>
      </c>
      <c r="M583" s="74" t="s">
        <v>2035</v>
      </c>
      <c r="N583" s="74">
        <v>7.0</v>
      </c>
      <c r="O583" s="74" t="s">
        <v>10121</v>
      </c>
      <c r="P583" s="119"/>
      <c r="Q583" s="74" t="s">
        <v>10122</v>
      </c>
      <c r="R583" s="74">
        <v>22.5579238</v>
      </c>
      <c r="S583" s="74">
        <v>88.3896205</v>
      </c>
      <c r="T583" s="74">
        <v>-59.5</v>
      </c>
      <c r="U583" s="74">
        <v>5.0</v>
      </c>
      <c r="V583" s="74">
        <v>1.0</v>
      </c>
      <c r="W583" s="74">
        <v>0.0</v>
      </c>
      <c r="X583" s="74">
        <v>1.0</v>
      </c>
      <c r="Y583" s="119"/>
      <c r="Z583" s="119"/>
      <c r="AA583" s="119"/>
      <c r="AB583" s="119"/>
      <c r="AC583" s="119"/>
      <c r="AD583" s="119"/>
      <c r="AE583" s="74">
        <v>1.0</v>
      </c>
      <c r="AF583" s="74">
        <v>2.0</v>
      </c>
      <c r="AG583" s="74">
        <v>4.0</v>
      </c>
      <c r="AH583" s="74">
        <v>4.0</v>
      </c>
      <c r="AI583" s="119"/>
      <c r="AJ583" s="119"/>
      <c r="AK583" s="119"/>
      <c r="AL583" s="119"/>
      <c r="AM583" s="119"/>
      <c r="AN583" s="119"/>
      <c r="AO583" s="119"/>
      <c r="AP583" s="119"/>
      <c r="AQ583" s="74" t="s">
        <v>3200</v>
      </c>
      <c r="AR583" s="74" t="s">
        <v>3142</v>
      </c>
      <c r="AS583" s="74">
        <v>0.0</v>
      </c>
      <c r="AT583" s="74" t="s">
        <v>5540</v>
      </c>
      <c r="AU583" s="120">
        <v>7037.0</v>
      </c>
      <c r="AV583" s="74" t="s">
        <v>10127</v>
      </c>
      <c r="AW583" s="74" t="s">
        <v>10128</v>
      </c>
      <c r="AX583" s="120">
        <v>582.0</v>
      </c>
    </row>
    <row r="584">
      <c r="A584" s="74" t="s">
        <v>10129</v>
      </c>
      <c r="B584" s="74" t="s">
        <v>10131</v>
      </c>
      <c r="C584" s="119"/>
      <c r="D584" s="119"/>
      <c r="E584" s="74">
        <v>3.52155090281144E14</v>
      </c>
      <c r="F584" s="74">
        <v>57.0</v>
      </c>
      <c r="G584" s="74">
        <v>99.0</v>
      </c>
      <c r="H584" s="119"/>
      <c r="I584" s="119"/>
      <c r="J584" s="119"/>
      <c r="K584" s="74">
        <v>1.0</v>
      </c>
      <c r="L584" s="74" t="s">
        <v>2036</v>
      </c>
      <c r="M584" s="74" t="s">
        <v>2036</v>
      </c>
      <c r="N584" s="119"/>
      <c r="O584" s="119"/>
      <c r="P584" s="74" t="s">
        <v>10136</v>
      </c>
      <c r="Q584" s="74" t="s">
        <v>10137</v>
      </c>
      <c r="R584" s="74">
        <v>22.5579807</v>
      </c>
      <c r="S584" s="74">
        <v>88.3895998</v>
      </c>
      <c r="T584" s="74">
        <v>-49.9000015258789</v>
      </c>
      <c r="U584" s="74">
        <v>5.0</v>
      </c>
      <c r="V584" s="74">
        <v>1.0</v>
      </c>
      <c r="W584" s="74">
        <v>0.0</v>
      </c>
      <c r="X584" s="74">
        <v>1.0</v>
      </c>
      <c r="Y584" s="119"/>
      <c r="Z584" s="119"/>
      <c r="AA584" s="119"/>
      <c r="AB584" s="119"/>
      <c r="AC584" s="119"/>
      <c r="AD584" s="119"/>
      <c r="AE584" s="119"/>
      <c r="AF584" s="119"/>
      <c r="AG584" s="119"/>
      <c r="AH584" s="119"/>
      <c r="AI584" s="119"/>
      <c r="AJ584" s="119"/>
      <c r="AK584" s="119"/>
      <c r="AL584" s="119"/>
      <c r="AM584" s="119"/>
      <c r="AN584" s="119"/>
      <c r="AO584" s="119"/>
      <c r="AP584" s="119"/>
      <c r="AQ584" s="74" t="s">
        <v>3200</v>
      </c>
      <c r="AR584" s="74" t="s">
        <v>3142</v>
      </c>
      <c r="AS584" s="119"/>
      <c r="AT584" s="74" t="s">
        <v>5540</v>
      </c>
      <c r="AU584" s="120">
        <v>7038.0</v>
      </c>
      <c r="AV584" s="74" t="s">
        <v>10144</v>
      </c>
      <c r="AW584" s="74" t="s">
        <v>10145</v>
      </c>
      <c r="AX584" s="120">
        <v>583.0</v>
      </c>
    </row>
    <row r="585">
      <c r="A585" s="74" t="s">
        <v>10146</v>
      </c>
      <c r="B585" s="74" t="s">
        <v>10147</v>
      </c>
      <c r="C585" s="119"/>
      <c r="D585" s="119"/>
      <c r="E585" s="74">
        <v>3.52155090281144E14</v>
      </c>
      <c r="F585" s="74">
        <v>57.0</v>
      </c>
      <c r="G585" s="74">
        <v>11.0</v>
      </c>
      <c r="H585" s="74">
        <v>1.0</v>
      </c>
      <c r="I585" s="119"/>
      <c r="J585" s="119"/>
      <c r="K585" s="119"/>
      <c r="L585" s="74" t="s">
        <v>2041</v>
      </c>
      <c r="M585" s="74" t="s">
        <v>2041</v>
      </c>
      <c r="N585" s="119"/>
      <c r="O585" s="119"/>
      <c r="P585" s="74" t="s">
        <v>10148</v>
      </c>
      <c r="Q585" s="74" t="s">
        <v>10150</v>
      </c>
      <c r="R585" s="74">
        <v>22.5580139</v>
      </c>
      <c r="S585" s="74">
        <v>88.3895938</v>
      </c>
      <c r="T585" s="74">
        <v>-51.4000015258789</v>
      </c>
      <c r="U585" s="74">
        <v>5.0</v>
      </c>
      <c r="V585" s="74">
        <v>1.0</v>
      </c>
      <c r="W585" s="74">
        <v>0.0</v>
      </c>
      <c r="X585" s="74">
        <v>1.0</v>
      </c>
      <c r="Y585" s="119"/>
      <c r="Z585" s="119"/>
      <c r="AA585" s="74">
        <v>1.0</v>
      </c>
      <c r="AB585" s="74">
        <v>4.0</v>
      </c>
      <c r="AC585" s="119"/>
      <c r="AD585" s="119"/>
      <c r="AE585" s="119"/>
      <c r="AF585" s="119"/>
      <c r="AG585" s="119"/>
      <c r="AH585" s="119"/>
      <c r="AI585" s="119"/>
      <c r="AJ585" s="119"/>
      <c r="AK585" s="119"/>
      <c r="AL585" s="119"/>
      <c r="AM585" s="119"/>
      <c r="AN585" s="119"/>
      <c r="AO585" s="119"/>
      <c r="AP585" s="119"/>
      <c r="AQ585" s="74" t="s">
        <v>3200</v>
      </c>
      <c r="AR585" s="74" t="s">
        <v>3142</v>
      </c>
      <c r="AS585" s="74">
        <v>0.0</v>
      </c>
      <c r="AT585" s="74" t="s">
        <v>5540</v>
      </c>
      <c r="AU585" s="120">
        <v>7039.0</v>
      </c>
      <c r="AV585" s="74" t="s">
        <v>10154</v>
      </c>
      <c r="AW585" s="74" t="s">
        <v>10155</v>
      </c>
      <c r="AX585" s="120">
        <v>584.0</v>
      </c>
    </row>
    <row r="586">
      <c r="A586" s="74" t="s">
        <v>10156</v>
      </c>
      <c r="B586" s="74" t="s">
        <v>10157</v>
      </c>
      <c r="C586" s="119"/>
      <c r="D586" s="119"/>
      <c r="E586" s="74">
        <v>3.52155090281144E14</v>
      </c>
      <c r="F586" s="74">
        <v>55.0</v>
      </c>
      <c r="G586" s="74">
        <v>12.0</v>
      </c>
      <c r="H586" s="119"/>
      <c r="I586" s="119"/>
      <c r="J586" s="119"/>
      <c r="K586" s="119"/>
      <c r="L586" s="74" t="s">
        <v>2038</v>
      </c>
      <c r="M586" s="74" t="s">
        <v>2038</v>
      </c>
      <c r="N586" s="74">
        <v>4.0</v>
      </c>
      <c r="O586" s="74" t="s">
        <v>10158</v>
      </c>
      <c r="P586" s="119"/>
      <c r="Q586" s="74" t="s">
        <v>10159</v>
      </c>
      <c r="R586" s="74">
        <v>22.5635056</v>
      </c>
      <c r="S586" s="74">
        <v>88.3772499</v>
      </c>
      <c r="T586" s="74">
        <v>-48.099998474121</v>
      </c>
      <c r="U586" s="74">
        <v>5.0</v>
      </c>
      <c r="V586" s="74">
        <v>1.0</v>
      </c>
      <c r="W586" s="74">
        <v>0.0</v>
      </c>
      <c r="X586" s="74">
        <v>1.0</v>
      </c>
      <c r="Y586" s="119"/>
      <c r="Z586" s="119"/>
      <c r="AA586" s="119"/>
      <c r="AB586" s="119"/>
      <c r="AC586" s="119"/>
      <c r="AD586" s="119"/>
      <c r="AE586" s="74">
        <v>1.0</v>
      </c>
      <c r="AF586" s="74">
        <v>2.0</v>
      </c>
      <c r="AG586" s="74">
        <v>4.0</v>
      </c>
      <c r="AH586" s="74">
        <v>4.0</v>
      </c>
      <c r="AI586" s="119"/>
      <c r="AJ586" s="119"/>
      <c r="AK586" s="119"/>
      <c r="AL586" s="119"/>
      <c r="AM586" s="119"/>
      <c r="AN586" s="119"/>
      <c r="AO586" s="119"/>
      <c r="AP586" s="119"/>
      <c r="AQ586" s="74" t="s">
        <v>2949</v>
      </c>
      <c r="AR586" s="74" t="s">
        <v>3142</v>
      </c>
      <c r="AS586" s="74">
        <v>0.0</v>
      </c>
      <c r="AT586" s="74" t="s">
        <v>5540</v>
      </c>
      <c r="AU586" s="120">
        <v>7040.0</v>
      </c>
      <c r="AV586" s="74" t="s">
        <v>10161</v>
      </c>
      <c r="AW586" s="74" t="s">
        <v>10162</v>
      </c>
      <c r="AX586" s="120">
        <v>585.0</v>
      </c>
    </row>
    <row r="587">
      <c r="A587" s="74" t="s">
        <v>10163</v>
      </c>
      <c r="B587" s="74" t="s">
        <v>10165</v>
      </c>
      <c r="C587" s="119"/>
      <c r="D587" s="119"/>
      <c r="E587" s="74">
        <v>3.52155090281144E14</v>
      </c>
      <c r="F587" s="74">
        <v>55.0</v>
      </c>
      <c r="G587" s="74">
        <v>99.0</v>
      </c>
      <c r="H587" s="119"/>
      <c r="I587" s="119"/>
      <c r="J587" s="119"/>
      <c r="K587" s="74">
        <v>1.0</v>
      </c>
      <c r="L587" s="74" t="s">
        <v>2039</v>
      </c>
      <c r="M587" s="74" t="s">
        <v>2039</v>
      </c>
      <c r="N587" s="119"/>
      <c r="O587" s="119"/>
      <c r="P587" s="74" t="s">
        <v>10173</v>
      </c>
      <c r="Q587" s="74" t="s">
        <v>10174</v>
      </c>
      <c r="R587" s="74">
        <v>22.5636376</v>
      </c>
      <c r="S587" s="74">
        <v>88.3772939</v>
      </c>
      <c r="T587" s="74">
        <v>-37.4000015258789</v>
      </c>
      <c r="U587" s="74">
        <v>5.0</v>
      </c>
      <c r="V587" s="74">
        <v>1.0</v>
      </c>
      <c r="W587" s="74">
        <v>0.0</v>
      </c>
      <c r="X587" s="74">
        <v>1.0</v>
      </c>
      <c r="Y587" s="119"/>
      <c r="Z587" s="119"/>
      <c r="AA587" s="119"/>
      <c r="AB587" s="119"/>
      <c r="AC587" s="119"/>
      <c r="AD587" s="119"/>
      <c r="AE587" s="119"/>
      <c r="AF587" s="119"/>
      <c r="AG587" s="119"/>
      <c r="AH587" s="119"/>
      <c r="AI587" s="119"/>
      <c r="AJ587" s="119"/>
      <c r="AK587" s="119"/>
      <c r="AL587" s="119"/>
      <c r="AM587" s="119"/>
      <c r="AN587" s="119"/>
      <c r="AO587" s="119"/>
      <c r="AP587" s="119"/>
      <c r="AQ587" s="74" t="s">
        <v>2949</v>
      </c>
      <c r="AR587" s="74" t="s">
        <v>3142</v>
      </c>
      <c r="AS587" s="119"/>
      <c r="AT587" s="74" t="s">
        <v>5540</v>
      </c>
      <c r="AU587" s="120">
        <v>7041.0</v>
      </c>
      <c r="AV587" s="74" t="s">
        <v>10179</v>
      </c>
      <c r="AW587" s="74" t="s">
        <v>10180</v>
      </c>
      <c r="AX587" s="120">
        <v>586.0</v>
      </c>
    </row>
    <row r="588">
      <c r="A588" s="74" t="s">
        <v>10182</v>
      </c>
      <c r="B588" s="74" t="s">
        <v>10184</v>
      </c>
      <c r="C588" s="119"/>
      <c r="D588" s="119"/>
      <c r="E588" s="74">
        <v>3.52155090281144E14</v>
      </c>
      <c r="F588" s="74">
        <v>59.0</v>
      </c>
      <c r="G588" s="74">
        <v>11.0</v>
      </c>
      <c r="H588" s="74">
        <v>4.0</v>
      </c>
      <c r="I588" s="74">
        <v>1.0</v>
      </c>
      <c r="J588" s="74" t="s">
        <v>9111</v>
      </c>
      <c r="K588" s="119"/>
      <c r="L588" s="74" t="s">
        <v>2057</v>
      </c>
      <c r="M588" s="74" t="s">
        <v>2057</v>
      </c>
      <c r="N588" s="119"/>
      <c r="O588" s="119"/>
      <c r="P588" s="74" t="s">
        <v>10188</v>
      </c>
      <c r="Q588" s="74" t="s">
        <v>10191</v>
      </c>
      <c r="R588" s="74">
        <v>22.5412435</v>
      </c>
      <c r="S588" s="74">
        <v>88.3760708</v>
      </c>
      <c r="T588" s="74">
        <v>-67.3000030517578</v>
      </c>
      <c r="U588" s="74">
        <v>5.0</v>
      </c>
      <c r="V588" s="74">
        <v>1.0</v>
      </c>
      <c r="W588" s="74">
        <v>0.0</v>
      </c>
      <c r="X588" s="74">
        <v>1.0</v>
      </c>
      <c r="Y588" s="119"/>
      <c r="Z588" s="119"/>
      <c r="AA588" s="74">
        <v>2.0</v>
      </c>
      <c r="AB588" s="74">
        <v>4.0</v>
      </c>
      <c r="AC588" s="119"/>
      <c r="AD588" s="119"/>
      <c r="AE588" s="119"/>
      <c r="AF588" s="119"/>
      <c r="AG588" s="119"/>
      <c r="AH588" s="119"/>
      <c r="AI588" s="119"/>
      <c r="AJ588" s="119"/>
      <c r="AK588" s="119"/>
      <c r="AL588" s="119"/>
      <c r="AM588" s="119"/>
      <c r="AN588" s="119"/>
      <c r="AO588" s="119"/>
      <c r="AP588" s="119"/>
      <c r="AQ588" s="74" t="s">
        <v>3185</v>
      </c>
      <c r="AR588" s="74" t="s">
        <v>2472</v>
      </c>
      <c r="AS588" s="74">
        <v>1.0</v>
      </c>
      <c r="AT588" s="74" t="s">
        <v>5540</v>
      </c>
      <c r="AU588" s="120">
        <v>7125.0</v>
      </c>
      <c r="AV588" s="74" t="s">
        <v>10199</v>
      </c>
      <c r="AW588" s="74" t="s">
        <v>10201</v>
      </c>
      <c r="AX588" s="120">
        <v>587.0</v>
      </c>
    </row>
    <row r="589">
      <c r="A589" s="74" t="s">
        <v>10203</v>
      </c>
      <c r="B589" s="74" t="s">
        <v>10204</v>
      </c>
      <c r="C589" s="119"/>
      <c r="D589" s="119"/>
      <c r="E589" s="74">
        <v>3.52155090281144E14</v>
      </c>
      <c r="F589" s="74">
        <v>59.0</v>
      </c>
      <c r="G589" s="74">
        <v>99.0</v>
      </c>
      <c r="H589" s="119"/>
      <c r="I589" s="119"/>
      <c r="J589" s="119"/>
      <c r="K589" s="74">
        <v>2.0</v>
      </c>
      <c r="L589" s="74" t="s">
        <v>2058</v>
      </c>
      <c r="M589" s="74" t="s">
        <v>2058</v>
      </c>
      <c r="N589" s="119"/>
      <c r="O589" s="119"/>
      <c r="P589" s="74" t="s">
        <v>10207</v>
      </c>
      <c r="Q589" s="74" t="s">
        <v>10209</v>
      </c>
      <c r="R589" s="74">
        <v>22.541335</v>
      </c>
      <c r="S589" s="74">
        <v>88.3760477</v>
      </c>
      <c r="T589" s="74">
        <v>-66.6999969482421</v>
      </c>
      <c r="U589" s="74">
        <v>5.0</v>
      </c>
      <c r="V589" s="74">
        <v>1.0</v>
      </c>
      <c r="W589" s="74">
        <v>0.0</v>
      </c>
      <c r="X589" s="74">
        <v>1.0</v>
      </c>
      <c r="Y589" s="119"/>
      <c r="Z589" s="119"/>
      <c r="AA589" s="119"/>
      <c r="AB589" s="119"/>
      <c r="AC589" s="119"/>
      <c r="AD589" s="119"/>
      <c r="AE589" s="119"/>
      <c r="AF589" s="119"/>
      <c r="AG589" s="119"/>
      <c r="AH589" s="119"/>
      <c r="AI589" s="119"/>
      <c r="AJ589" s="119"/>
      <c r="AK589" s="119"/>
      <c r="AL589" s="119"/>
      <c r="AM589" s="119"/>
      <c r="AN589" s="119"/>
      <c r="AO589" s="119"/>
      <c r="AP589" s="119"/>
      <c r="AQ589" s="74" t="s">
        <v>10215</v>
      </c>
      <c r="AR589" s="74" t="s">
        <v>2472</v>
      </c>
      <c r="AS589" s="119"/>
      <c r="AT589" s="74" t="s">
        <v>5540</v>
      </c>
      <c r="AU589" s="120">
        <v>7126.0</v>
      </c>
      <c r="AV589" s="74" t="s">
        <v>10216</v>
      </c>
      <c r="AW589" s="74" t="s">
        <v>10219</v>
      </c>
      <c r="AX589" s="120">
        <v>588.0</v>
      </c>
    </row>
    <row r="590">
      <c r="A590" s="74" t="s">
        <v>10221</v>
      </c>
      <c r="B590" s="74" t="s">
        <v>10222</v>
      </c>
      <c r="C590" s="119"/>
      <c r="D590" s="119"/>
      <c r="E590" s="74">
        <v>3.5215509147374E14</v>
      </c>
      <c r="F590" s="74">
        <v>59.0</v>
      </c>
      <c r="G590" s="74">
        <v>12.0</v>
      </c>
      <c r="H590" s="119"/>
      <c r="I590" s="119"/>
      <c r="J590" s="119"/>
      <c r="K590" s="119"/>
      <c r="L590" s="74" t="s">
        <v>2054</v>
      </c>
      <c r="M590" s="74" t="s">
        <v>2054</v>
      </c>
      <c r="N590" s="74">
        <v>6.0</v>
      </c>
      <c r="O590" s="74" t="s">
        <v>10228</v>
      </c>
      <c r="P590" s="119"/>
      <c r="Q590" s="74" t="s">
        <v>10229</v>
      </c>
      <c r="R590" s="74">
        <v>22.5400225</v>
      </c>
      <c r="S590" s="74">
        <v>88.3873002</v>
      </c>
      <c r="T590" s="74">
        <v>-74.3000030517578</v>
      </c>
      <c r="U590" s="74">
        <v>5.0</v>
      </c>
      <c r="V590" s="74">
        <v>1.0</v>
      </c>
      <c r="W590" s="74">
        <v>0.0</v>
      </c>
      <c r="X590" s="74">
        <v>1.0</v>
      </c>
      <c r="Y590" s="119"/>
      <c r="Z590" s="119"/>
      <c r="AA590" s="119"/>
      <c r="AB590" s="119"/>
      <c r="AC590" s="119"/>
      <c r="AD590" s="119"/>
      <c r="AE590" s="74">
        <v>1.0</v>
      </c>
      <c r="AF590" s="74">
        <v>2.0</v>
      </c>
      <c r="AG590" s="74">
        <v>4.0</v>
      </c>
      <c r="AH590" s="74">
        <v>4.0</v>
      </c>
      <c r="AI590" s="119"/>
      <c r="AJ590" s="119"/>
      <c r="AK590" s="119"/>
      <c r="AL590" s="119"/>
      <c r="AM590" s="119"/>
      <c r="AN590" s="119"/>
      <c r="AO590" s="119"/>
      <c r="AP590" s="119"/>
      <c r="AQ590" s="74" t="s">
        <v>3200</v>
      </c>
      <c r="AR590" s="74" t="s">
        <v>2327</v>
      </c>
      <c r="AS590" s="74">
        <v>0.0</v>
      </c>
      <c r="AT590" s="74" t="s">
        <v>5540</v>
      </c>
      <c r="AU590" s="120">
        <v>7132.0</v>
      </c>
      <c r="AV590" s="74" t="s">
        <v>10241</v>
      </c>
      <c r="AW590" s="74" t="s">
        <v>10242</v>
      </c>
      <c r="AX590" s="120">
        <v>589.0</v>
      </c>
    </row>
    <row r="591">
      <c r="A591" s="74" t="s">
        <v>10243</v>
      </c>
      <c r="B591" s="74" t="s">
        <v>10244</v>
      </c>
      <c r="C591" s="119"/>
      <c r="D591" s="119"/>
      <c r="E591" s="74">
        <v>3.5215509147374E14</v>
      </c>
      <c r="F591" s="74">
        <v>59.0</v>
      </c>
      <c r="G591" s="74">
        <v>99.0</v>
      </c>
      <c r="H591" s="119"/>
      <c r="I591" s="119"/>
      <c r="J591" s="119"/>
      <c r="K591" s="74">
        <v>1.0</v>
      </c>
      <c r="L591" s="74" t="s">
        <v>2052</v>
      </c>
      <c r="M591" s="74" t="s">
        <v>2052</v>
      </c>
      <c r="N591" s="119"/>
      <c r="O591" s="119"/>
      <c r="P591" s="74" t="s">
        <v>10247</v>
      </c>
      <c r="Q591" s="74" t="s">
        <v>10248</v>
      </c>
      <c r="R591" s="74">
        <v>22.5401327</v>
      </c>
      <c r="S591" s="74">
        <v>88.3873119</v>
      </c>
      <c r="T591" s="74">
        <v>-40.9000015258789</v>
      </c>
      <c r="U591" s="74">
        <v>4.5</v>
      </c>
      <c r="V591" s="74">
        <v>1.0</v>
      </c>
      <c r="W591" s="74">
        <v>0.0</v>
      </c>
      <c r="X591" s="74">
        <v>1.0</v>
      </c>
      <c r="Y591" s="119"/>
      <c r="Z591" s="119"/>
      <c r="AA591" s="119"/>
      <c r="AB591" s="119"/>
      <c r="AC591" s="119"/>
      <c r="AD591" s="119"/>
      <c r="AE591" s="119"/>
      <c r="AF591" s="119"/>
      <c r="AG591" s="119"/>
      <c r="AH591" s="119"/>
      <c r="AI591" s="119"/>
      <c r="AJ591" s="119"/>
      <c r="AK591" s="119"/>
      <c r="AL591" s="119"/>
      <c r="AM591" s="119"/>
      <c r="AN591" s="119"/>
      <c r="AO591" s="119"/>
      <c r="AP591" s="119"/>
      <c r="AQ591" s="74" t="s">
        <v>3200</v>
      </c>
      <c r="AR591" s="74" t="s">
        <v>2327</v>
      </c>
      <c r="AS591" s="119"/>
      <c r="AT591" s="74" t="s">
        <v>5540</v>
      </c>
      <c r="AU591" s="120">
        <v>7133.0</v>
      </c>
      <c r="AV591" s="74" t="s">
        <v>10252</v>
      </c>
      <c r="AW591" s="74" t="s">
        <v>10253</v>
      </c>
      <c r="AX591" s="120">
        <v>590.0</v>
      </c>
    </row>
    <row r="592">
      <c r="A592" s="74" t="s">
        <v>10254</v>
      </c>
      <c r="B592" s="74" t="s">
        <v>10255</v>
      </c>
      <c r="C592" s="119"/>
      <c r="D592" s="119"/>
      <c r="E592" s="74">
        <v>3.5215509147374E14</v>
      </c>
      <c r="F592" s="74">
        <v>65.0</v>
      </c>
      <c r="G592" s="74">
        <v>12.0</v>
      </c>
      <c r="H592" s="119"/>
      <c r="I592" s="119"/>
      <c r="J592" s="119"/>
      <c r="K592" s="119"/>
      <c r="L592" s="74" t="s">
        <v>2051</v>
      </c>
      <c r="M592" s="74" t="s">
        <v>2051</v>
      </c>
      <c r="N592" s="74">
        <v>8.0</v>
      </c>
      <c r="O592" s="74" t="s">
        <v>10259</v>
      </c>
      <c r="P592" s="119"/>
      <c r="Q592" s="74" t="s">
        <v>10261</v>
      </c>
      <c r="R592" s="74">
        <v>22.5360794</v>
      </c>
      <c r="S592" s="74">
        <v>88.3746028</v>
      </c>
      <c r="T592" s="74">
        <v>-58.9000015258789</v>
      </c>
      <c r="U592" s="74">
        <v>4.5</v>
      </c>
      <c r="V592" s="74">
        <v>1.0</v>
      </c>
      <c r="W592" s="74">
        <v>0.0</v>
      </c>
      <c r="X592" s="74">
        <v>1.0</v>
      </c>
      <c r="Y592" s="119"/>
      <c r="Z592" s="119"/>
      <c r="AA592" s="119"/>
      <c r="AB592" s="119"/>
      <c r="AC592" s="119"/>
      <c r="AD592" s="119"/>
      <c r="AE592" s="74">
        <v>1.0</v>
      </c>
      <c r="AF592" s="74">
        <v>2.0</v>
      </c>
      <c r="AG592" s="74">
        <v>4.0</v>
      </c>
      <c r="AH592" s="74">
        <v>4.0</v>
      </c>
      <c r="AI592" s="119"/>
      <c r="AJ592" s="119"/>
      <c r="AK592" s="119"/>
      <c r="AL592" s="119"/>
      <c r="AM592" s="119"/>
      <c r="AN592" s="119"/>
      <c r="AO592" s="119"/>
      <c r="AP592" s="119"/>
      <c r="AQ592" s="74" t="s">
        <v>2979</v>
      </c>
      <c r="AR592" s="74" t="s">
        <v>2278</v>
      </c>
      <c r="AS592" s="74">
        <v>0.0</v>
      </c>
      <c r="AT592" s="74" t="s">
        <v>5540</v>
      </c>
      <c r="AU592" s="120">
        <v>7134.0</v>
      </c>
      <c r="AV592" s="74" t="s">
        <v>10269</v>
      </c>
      <c r="AW592" s="74" t="s">
        <v>10271</v>
      </c>
      <c r="AX592" s="120">
        <v>591.0</v>
      </c>
    </row>
    <row r="593">
      <c r="A593" s="74" t="s">
        <v>10272</v>
      </c>
      <c r="B593" s="74" t="s">
        <v>10273</v>
      </c>
      <c r="C593" s="119"/>
      <c r="D593" s="119"/>
      <c r="E593" s="74">
        <v>3.5215509147374E14</v>
      </c>
      <c r="F593" s="74">
        <v>65.0</v>
      </c>
      <c r="G593" s="74">
        <v>99.0</v>
      </c>
      <c r="H593" s="119"/>
      <c r="I593" s="119"/>
      <c r="J593" s="119"/>
      <c r="K593" s="74">
        <v>1.0</v>
      </c>
      <c r="L593" s="74" t="s">
        <v>2055</v>
      </c>
      <c r="M593" s="74" t="s">
        <v>2055</v>
      </c>
      <c r="N593" s="119"/>
      <c r="O593" s="119"/>
      <c r="P593" s="74" t="s">
        <v>10278</v>
      </c>
      <c r="Q593" s="74" t="s">
        <v>10279</v>
      </c>
      <c r="R593" s="74">
        <v>22.5361136</v>
      </c>
      <c r="S593" s="74">
        <v>88.3745707</v>
      </c>
      <c r="T593" s="74">
        <v>-55.0</v>
      </c>
      <c r="U593" s="74">
        <v>5.0</v>
      </c>
      <c r="V593" s="74">
        <v>1.0</v>
      </c>
      <c r="W593" s="74">
        <v>0.0</v>
      </c>
      <c r="X593" s="74">
        <v>1.0</v>
      </c>
      <c r="Y593" s="119"/>
      <c r="Z593" s="119"/>
      <c r="AA593" s="119"/>
      <c r="AB593" s="119"/>
      <c r="AC593" s="119"/>
      <c r="AD593" s="119"/>
      <c r="AE593" s="119"/>
      <c r="AF593" s="119"/>
      <c r="AG593" s="119"/>
      <c r="AH593" s="119"/>
      <c r="AI593" s="119"/>
      <c r="AJ593" s="119"/>
      <c r="AK593" s="119"/>
      <c r="AL593" s="119"/>
      <c r="AM593" s="119"/>
      <c r="AN593" s="119"/>
      <c r="AO593" s="119"/>
      <c r="AP593" s="119"/>
      <c r="AQ593" s="74" t="s">
        <v>2979</v>
      </c>
      <c r="AR593" s="74" t="s">
        <v>2278</v>
      </c>
      <c r="AS593" s="119"/>
      <c r="AT593" s="74" t="s">
        <v>5540</v>
      </c>
      <c r="AU593" s="120">
        <v>7135.0</v>
      </c>
      <c r="AV593" s="74" t="s">
        <v>10283</v>
      </c>
      <c r="AW593" s="74" t="s">
        <v>10284</v>
      </c>
      <c r="AX593" s="120">
        <v>592.0</v>
      </c>
    </row>
    <row r="594">
      <c r="A594" s="74" t="s">
        <v>10286</v>
      </c>
      <c r="B594" s="74" t="s">
        <v>10287</v>
      </c>
      <c r="C594" s="119"/>
      <c r="D594" s="119"/>
      <c r="E594" s="74">
        <v>3.5215509147374E14</v>
      </c>
      <c r="F594" s="74">
        <v>59.0</v>
      </c>
      <c r="G594" s="74">
        <v>11.0</v>
      </c>
      <c r="H594" s="74">
        <v>4.0</v>
      </c>
      <c r="I594" s="74">
        <v>1.0</v>
      </c>
      <c r="J594" s="74" t="s">
        <v>9111</v>
      </c>
      <c r="K594" s="119"/>
      <c r="L594" s="74" t="s">
        <v>2063</v>
      </c>
      <c r="M594" s="74" t="s">
        <v>2063</v>
      </c>
      <c r="N594" s="119"/>
      <c r="O594" s="119"/>
      <c r="P594" s="74" t="s">
        <v>10289</v>
      </c>
      <c r="Q594" s="74" t="s">
        <v>10290</v>
      </c>
      <c r="R594" s="74">
        <v>22.541337</v>
      </c>
      <c r="S594" s="74">
        <v>88.3761603</v>
      </c>
      <c r="T594" s="74">
        <v>-56.599998474121</v>
      </c>
      <c r="U594" s="74">
        <v>5.0</v>
      </c>
      <c r="V594" s="74">
        <v>1.0</v>
      </c>
      <c r="W594" s="74">
        <v>0.0</v>
      </c>
      <c r="X594" s="74">
        <v>1.0</v>
      </c>
      <c r="Y594" s="119"/>
      <c r="Z594" s="119"/>
      <c r="AA594" s="74">
        <v>2.0</v>
      </c>
      <c r="AB594" s="74">
        <v>4.0</v>
      </c>
      <c r="AC594" s="119"/>
      <c r="AD594" s="119"/>
      <c r="AE594" s="119"/>
      <c r="AF594" s="119"/>
      <c r="AG594" s="119"/>
      <c r="AH594" s="119"/>
      <c r="AI594" s="119"/>
      <c r="AJ594" s="119"/>
      <c r="AK594" s="119"/>
      <c r="AL594" s="119"/>
      <c r="AM594" s="119"/>
      <c r="AN594" s="119"/>
      <c r="AO594" s="119"/>
      <c r="AP594" s="119"/>
      <c r="AQ594" s="74" t="s">
        <v>2949</v>
      </c>
      <c r="AR594" s="74" t="s">
        <v>2278</v>
      </c>
      <c r="AS594" s="74">
        <v>1.0</v>
      </c>
      <c r="AT594" s="74" t="s">
        <v>5540</v>
      </c>
      <c r="AU594" s="120">
        <v>7170.0</v>
      </c>
      <c r="AV594" s="74" t="s">
        <v>10303</v>
      </c>
      <c r="AW594" s="74" t="s">
        <v>10304</v>
      </c>
      <c r="AX594" s="120">
        <v>593.0</v>
      </c>
    </row>
    <row r="595">
      <c r="A595" s="74" t="s">
        <v>10306</v>
      </c>
      <c r="B595" s="74" t="s">
        <v>10308</v>
      </c>
      <c r="C595" s="119"/>
      <c r="D595" s="119"/>
      <c r="E595" s="74">
        <v>3.5215509147374E14</v>
      </c>
      <c r="F595" s="74">
        <v>59.0</v>
      </c>
      <c r="G595" s="74">
        <v>99.0</v>
      </c>
      <c r="H595" s="119"/>
      <c r="I595" s="119"/>
      <c r="J595" s="119"/>
      <c r="K595" s="74">
        <v>2.0</v>
      </c>
      <c r="L595" s="74" t="s">
        <v>2064</v>
      </c>
      <c r="M595" s="74" t="s">
        <v>2064</v>
      </c>
      <c r="N595" s="119"/>
      <c r="O595" s="119"/>
      <c r="P595" s="74" t="s">
        <v>10313</v>
      </c>
      <c r="Q595" s="74" t="s">
        <v>10314</v>
      </c>
      <c r="R595" s="74">
        <v>22.5413372</v>
      </c>
      <c r="S595" s="74">
        <v>88.3760625</v>
      </c>
      <c r="T595" s="74">
        <v>-56.2000007629394</v>
      </c>
      <c r="U595" s="74">
        <v>5.0</v>
      </c>
      <c r="V595" s="74">
        <v>1.0</v>
      </c>
      <c r="W595" s="74">
        <v>0.0</v>
      </c>
      <c r="X595" s="74">
        <v>1.0</v>
      </c>
      <c r="Y595" s="119"/>
      <c r="Z595" s="119"/>
      <c r="AA595" s="119"/>
      <c r="AB595" s="119"/>
      <c r="AC595" s="119"/>
      <c r="AD595" s="119"/>
      <c r="AE595" s="119"/>
      <c r="AF595" s="119"/>
      <c r="AG595" s="119"/>
      <c r="AH595" s="119"/>
      <c r="AI595" s="119"/>
      <c r="AJ595" s="119"/>
      <c r="AK595" s="119"/>
      <c r="AL595" s="119"/>
      <c r="AM595" s="119"/>
      <c r="AN595" s="119"/>
      <c r="AO595" s="119"/>
      <c r="AP595" s="119"/>
      <c r="AQ595" s="74" t="s">
        <v>10320</v>
      </c>
      <c r="AR595" s="74" t="s">
        <v>2278</v>
      </c>
      <c r="AS595" s="119"/>
      <c r="AT595" s="74" t="s">
        <v>5540</v>
      </c>
      <c r="AU595" s="120">
        <v>7171.0</v>
      </c>
      <c r="AV595" s="74" t="s">
        <v>10324</v>
      </c>
      <c r="AW595" s="74" t="s">
        <v>10325</v>
      </c>
      <c r="AX595" s="120">
        <v>594.0</v>
      </c>
    </row>
    <row r="596">
      <c r="A596" s="74" t="s">
        <v>10326</v>
      </c>
      <c r="B596" s="74" t="s">
        <v>10327</v>
      </c>
      <c r="C596" s="119"/>
      <c r="D596" s="119"/>
      <c r="E596" s="74">
        <v>3.5215509147374E14</v>
      </c>
      <c r="F596" s="74">
        <v>59.0</v>
      </c>
      <c r="G596" s="74">
        <v>11.0</v>
      </c>
      <c r="H596" s="74">
        <v>4.0</v>
      </c>
      <c r="I596" s="74">
        <v>1.0</v>
      </c>
      <c r="J596" s="74" t="s">
        <v>9405</v>
      </c>
      <c r="K596" s="119"/>
      <c r="L596" s="74" t="s">
        <v>2066</v>
      </c>
      <c r="M596" s="74" t="s">
        <v>2066</v>
      </c>
      <c r="N596" s="119"/>
      <c r="O596" s="119"/>
      <c r="P596" s="74" t="s">
        <v>10337</v>
      </c>
      <c r="Q596" s="74" t="s">
        <v>10338</v>
      </c>
      <c r="R596" s="74">
        <v>22.5409542</v>
      </c>
      <c r="S596" s="74">
        <v>88.3758443</v>
      </c>
      <c r="T596" s="74">
        <v>-64.8000030517578</v>
      </c>
      <c r="U596" s="74">
        <v>5.0</v>
      </c>
      <c r="V596" s="74">
        <v>1.0</v>
      </c>
      <c r="W596" s="74">
        <v>0.0</v>
      </c>
      <c r="X596" s="74">
        <v>1.0</v>
      </c>
      <c r="Y596" s="119"/>
      <c r="Z596" s="119"/>
      <c r="AA596" s="74">
        <v>2.0</v>
      </c>
      <c r="AB596" s="74">
        <v>4.0</v>
      </c>
      <c r="AC596" s="119"/>
      <c r="AD596" s="119"/>
      <c r="AE596" s="119"/>
      <c r="AF596" s="119"/>
      <c r="AG596" s="119"/>
      <c r="AH596" s="119"/>
      <c r="AI596" s="119"/>
      <c r="AJ596" s="119"/>
      <c r="AK596" s="119"/>
      <c r="AL596" s="119"/>
      <c r="AM596" s="119"/>
      <c r="AN596" s="119"/>
      <c r="AO596" s="119"/>
      <c r="AP596" s="119"/>
      <c r="AQ596" s="74" t="s">
        <v>3149</v>
      </c>
      <c r="AR596" s="74" t="s">
        <v>2472</v>
      </c>
      <c r="AS596" s="74">
        <v>1.0</v>
      </c>
      <c r="AT596" s="74" t="s">
        <v>5540</v>
      </c>
      <c r="AU596" s="120">
        <v>7172.0</v>
      </c>
      <c r="AV596" s="74" t="s">
        <v>10350</v>
      </c>
      <c r="AW596" s="74" t="s">
        <v>10351</v>
      </c>
      <c r="AX596" s="120">
        <v>595.0</v>
      </c>
    </row>
    <row r="597">
      <c r="A597" s="74" t="s">
        <v>10353</v>
      </c>
      <c r="B597" s="74" t="s">
        <v>10354</v>
      </c>
      <c r="C597" s="119"/>
      <c r="D597" s="119"/>
      <c r="E597" s="74">
        <v>3.5215509147374E14</v>
      </c>
      <c r="F597" s="74">
        <v>59.0</v>
      </c>
      <c r="G597" s="74">
        <v>99.0</v>
      </c>
      <c r="H597" s="119"/>
      <c r="I597" s="119"/>
      <c r="J597" s="119"/>
      <c r="K597" s="74">
        <v>2.0</v>
      </c>
      <c r="L597" s="74" t="s">
        <v>2067</v>
      </c>
      <c r="M597" s="74" t="s">
        <v>2067</v>
      </c>
      <c r="N597" s="119"/>
      <c r="O597" s="119"/>
      <c r="P597" s="74" t="s">
        <v>10355</v>
      </c>
      <c r="Q597" s="74" t="s">
        <v>10357</v>
      </c>
      <c r="R597" s="74">
        <v>22.5409444</v>
      </c>
      <c r="S597" s="74">
        <v>88.3758371</v>
      </c>
      <c r="T597" s="74">
        <v>-64.0</v>
      </c>
      <c r="U597" s="74">
        <v>5.0</v>
      </c>
      <c r="V597" s="74">
        <v>1.0</v>
      </c>
      <c r="W597" s="74">
        <v>0.0</v>
      </c>
      <c r="X597" s="74">
        <v>1.0</v>
      </c>
      <c r="Y597" s="119"/>
      <c r="Z597" s="119"/>
      <c r="AA597" s="119"/>
      <c r="AB597" s="119"/>
      <c r="AC597" s="119"/>
      <c r="AD597" s="119"/>
      <c r="AE597" s="119"/>
      <c r="AF597" s="119"/>
      <c r="AG597" s="119"/>
      <c r="AH597" s="119"/>
      <c r="AI597" s="119"/>
      <c r="AJ597" s="119"/>
      <c r="AK597" s="119"/>
      <c r="AL597" s="119"/>
      <c r="AM597" s="119"/>
      <c r="AN597" s="119"/>
      <c r="AO597" s="119"/>
      <c r="AP597" s="119"/>
      <c r="AQ597" s="74" t="s">
        <v>10368</v>
      </c>
      <c r="AR597" s="74" t="s">
        <v>2472</v>
      </c>
      <c r="AS597" s="119"/>
      <c r="AT597" s="74" t="s">
        <v>5540</v>
      </c>
      <c r="AU597" s="120">
        <v>7173.0</v>
      </c>
      <c r="AV597" s="74" t="s">
        <v>10371</v>
      </c>
      <c r="AW597" s="74" t="s">
        <v>10373</v>
      </c>
      <c r="AX597" s="120">
        <v>596.0</v>
      </c>
    </row>
    <row r="598">
      <c r="A598" s="74" t="s">
        <v>10375</v>
      </c>
      <c r="B598" s="74" t="s">
        <v>10376</v>
      </c>
      <c r="C598" s="119"/>
      <c r="D598" s="119"/>
      <c r="E598" s="74">
        <v>3.5215509147374E14</v>
      </c>
      <c r="F598" s="74">
        <v>59.0</v>
      </c>
      <c r="G598" s="74">
        <v>11.0</v>
      </c>
      <c r="H598" s="74">
        <v>4.0</v>
      </c>
      <c r="I598" s="74">
        <v>1.0</v>
      </c>
      <c r="J598" s="74" t="s">
        <v>8348</v>
      </c>
      <c r="K598" s="119"/>
      <c r="L598" s="74" t="s">
        <v>2069</v>
      </c>
      <c r="M598" s="74" t="s">
        <v>2069</v>
      </c>
      <c r="N598" s="119"/>
      <c r="O598" s="119"/>
      <c r="P598" s="74" t="s">
        <v>10382</v>
      </c>
      <c r="Q598" s="74" t="s">
        <v>10383</v>
      </c>
      <c r="R598" s="74">
        <v>22.5414915</v>
      </c>
      <c r="S598" s="74">
        <v>88.3754044</v>
      </c>
      <c r="T598" s="74">
        <v>-42.2000007629394</v>
      </c>
      <c r="U598" s="74">
        <v>5.0</v>
      </c>
      <c r="V598" s="74">
        <v>1.0</v>
      </c>
      <c r="W598" s="74">
        <v>0.0</v>
      </c>
      <c r="X598" s="74">
        <v>1.0</v>
      </c>
      <c r="Y598" s="119"/>
      <c r="Z598" s="119"/>
      <c r="AA598" s="74">
        <v>2.0</v>
      </c>
      <c r="AB598" s="74">
        <v>4.0</v>
      </c>
      <c r="AC598" s="119"/>
      <c r="AD598" s="119"/>
      <c r="AE598" s="119"/>
      <c r="AF598" s="119"/>
      <c r="AG598" s="119"/>
      <c r="AH598" s="119"/>
      <c r="AI598" s="119"/>
      <c r="AJ598" s="119"/>
      <c r="AK598" s="119"/>
      <c r="AL598" s="119"/>
      <c r="AM598" s="119"/>
      <c r="AN598" s="119"/>
      <c r="AO598" s="119"/>
      <c r="AP598" s="119"/>
      <c r="AQ598" s="74" t="s">
        <v>3185</v>
      </c>
      <c r="AR598" s="74" t="s">
        <v>2327</v>
      </c>
      <c r="AS598" s="74">
        <v>1.0</v>
      </c>
      <c r="AT598" s="74" t="s">
        <v>5540</v>
      </c>
      <c r="AU598" s="120">
        <v>7174.0</v>
      </c>
      <c r="AV598" s="74" t="s">
        <v>10388</v>
      </c>
      <c r="AW598" s="74" t="s">
        <v>10389</v>
      </c>
      <c r="AX598" s="120">
        <v>597.0</v>
      </c>
    </row>
    <row r="599">
      <c r="A599" s="74" t="s">
        <v>10390</v>
      </c>
      <c r="B599" s="74" t="s">
        <v>10391</v>
      </c>
      <c r="C599" s="119"/>
      <c r="D599" s="119"/>
      <c r="E599" s="74">
        <v>3.5215509147374E14</v>
      </c>
      <c r="F599" s="74">
        <v>59.0</v>
      </c>
      <c r="G599" s="74">
        <v>99.0</v>
      </c>
      <c r="H599" s="119"/>
      <c r="I599" s="119"/>
      <c r="J599" s="119"/>
      <c r="K599" s="74">
        <v>2.0</v>
      </c>
      <c r="L599" s="74" t="s">
        <v>2070</v>
      </c>
      <c r="M599" s="74" t="s">
        <v>2070</v>
      </c>
      <c r="N599" s="119"/>
      <c r="O599" s="119"/>
      <c r="P599" s="74" t="s">
        <v>10392</v>
      </c>
      <c r="Q599" s="74" t="s">
        <v>10393</v>
      </c>
      <c r="R599" s="74">
        <v>22.5414634</v>
      </c>
      <c r="S599" s="74">
        <v>88.375359</v>
      </c>
      <c r="T599" s="74">
        <v>-50.099998474121</v>
      </c>
      <c r="U599" s="74">
        <v>5.0</v>
      </c>
      <c r="V599" s="74">
        <v>1.0</v>
      </c>
      <c r="W599" s="74">
        <v>0.0</v>
      </c>
      <c r="X599" s="74">
        <v>1.0</v>
      </c>
      <c r="Y599" s="119"/>
      <c r="Z599" s="119"/>
      <c r="AA599" s="119"/>
      <c r="AB599" s="119"/>
      <c r="AC599" s="119"/>
      <c r="AD599" s="119"/>
      <c r="AE599" s="119"/>
      <c r="AF599" s="119"/>
      <c r="AG599" s="119"/>
      <c r="AH599" s="119"/>
      <c r="AI599" s="119"/>
      <c r="AJ599" s="119"/>
      <c r="AK599" s="119"/>
      <c r="AL599" s="119"/>
      <c r="AM599" s="119"/>
      <c r="AN599" s="119"/>
      <c r="AO599" s="119"/>
      <c r="AP599" s="119"/>
      <c r="AQ599" s="74" t="s">
        <v>10406</v>
      </c>
      <c r="AR599" s="74" t="s">
        <v>2327</v>
      </c>
      <c r="AS599" s="119"/>
      <c r="AT599" s="74" t="s">
        <v>5540</v>
      </c>
      <c r="AU599" s="120">
        <v>7175.0</v>
      </c>
      <c r="AV599" s="74" t="s">
        <v>10407</v>
      </c>
      <c r="AW599" s="74" t="s">
        <v>10409</v>
      </c>
      <c r="AX599" s="120">
        <v>598.0</v>
      </c>
    </row>
    <row r="600">
      <c r="A600" s="74" t="s">
        <v>10410</v>
      </c>
      <c r="B600" s="74" t="s">
        <v>10411</v>
      </c>
      <c r="C600" s="119"/>
      <c r="D600" s="119"/>
      <c r="E600" s="74">
        <v>3.5215509147374E14</v>
      </c>
      <c r="F600" s="74">
        <v>59.0</v>
      </c>
      <c r="G600" s="74">
        <v>11.0</v>
      </c>
      <c r="H600" s="74">
        <v>4.0</v>
      </c>
      <c r="I600" s="74">
        <v>1.0</v>
      </c>
      <c r="J600" s="74" t="s">
        <v>9275</v>
      </c>
      <c r="K600" s="119"/>
      <c r="L600" s="74" t="s">
        <v>2072</v>
      </c>
      <c r="M600" s="74" t="s">
        <v>2072</v>
      </c>
      <c r="N600" s="119"/>
      <c r="O600" s="119"/>
      <c r="P600" s="74" t="s">
        <v>10415</v>
      </c>
      <c r="Q600" s="74" t="s">
        <v>10416</v>
      </c>
      <c r="R600" s="74">
        <v>22.5410746</v>
      </c>
      <c r="S600" s="74">
        <v>88.3743336</v>
      </c>
      <c r="T600" s="74">
        <v>-57.599998474121</v>
      </c>
      <c r="U600" s="74">
        <v>5.0</v>
      </c>
      <c r="V600" s="74">
        <v>1.0</v>
      </c>
      <c r="W600" s="74">
        <v>0.0</v>
      </c>
      <c r="X600" s="74">
        <v>1.0</v>
      </c>
      <c r="Y600" s="119"/>
      <c r="Z600" s="119"/>
      <c r="AA600" s="74">
        <v>2.0</v>
      </c>
      <c r="AB600" s="74">
        <v>4.0</v>
      </c>
      <c r="AC600" s="119"/>
      <c r="AD600" s="119"/>
      <c r="AE600" s="119"/>
      <c r="AF600" s="119"/>
      <c r="AG600" s="119"/>
      <c r="AH600" s="119"/>
      <c r="AI600" s="119"/>
      <c r="AJ600" s="119"/>
      <c r="AK600" s="119"/>
      <c r="AL600" s="119"/>
      <c r="AM600" s="119"/>
      <c r="AN600" s="119"/>
      <c r="AO600" s="119"/>
      <c r="AP600" s="119"/>
      <c r="AQ600" s="74" t="s">
        <v>2979</v>
      </c>
      <c r="AR600" s="74" t="s">
        <v>2286</v>
      </c>
      <c r="AS600" s="74">
        <v>1.0</v>
      </c>
      <c r="AT600" s="74" t="s">
        <v>5540</v>
      </c>
      <c r="AU600" s="120">
        <v>7176.0</v>
      </c>
      <c r="AV600" s="74" t="s">
        <v>10422</v>
      </c>
      <c r="AW600" s="74" t="s">
        <v>10424</v>
      </c>
      <c r="AX600" s="120">
        <v>599.0</v>
      </c>
    </row>
    <row r="601">
      <c r="A601" s="74" t="s">
        <v>10426</v>
      </c>
      <c r="B601" s="74" t="s">
        <v>10427</v>
      </c>
      <c r="C601" s="119"/>
      <c r="D601" s="119"/>
      <c r="E601" s="74">
        <v>3.5215509147374E14</v>
      </c>
      <c r="F601" s="74">
        <v>59.0</v>
      </c>
      <c r="G601" s="74">
        <v>99.0</v>
      </c>
      <c r="H601" s="119"/>
      <c r="I601" s="119"/>
      <c r="J601" s="119"/>
      <c r="K601" s="74">
        <v>2.0</v>
      </c>
      <c r="L601" s="74" t="s">
        <v>2073</v>
      </c>
      <c r="M601" s="74" t="s">
        <v>2073</v>
      </c>
      <c r="N601" s="119"/>
      <c r="O601" s="119"/>
      <c r="P601" s="74" t="s">
        <v>10430</v>
      </c>
      <c r="Q601" s="74" t="s">
        <v>10431</v>
      </c>
      <c r="R601" s="74">
        <v>22.5410569</v>
      </c>
      <c r="S601" s="74">
        <v>88.3742908</v>
      </c>
      <c r="T601" s="74">
        <v>-67.8000030517578</v>
      </c>
      <c r="U601" s="74">
        <v>5.0</v>
      </c>
      <c r="V601" s="74">
        <v>1.0</v>
      </c>
      <c r="W601" s="74">
        <v>0.0</v>
      </c>
      <c r="X601" s="74">
        <v>1.0</v>
      </c>
      <c r="Y601" s="119"/>
      <c r="Z601" s="119"/>
      <c r="AA601" s="119"/>
      <c r="AB601" s="119"/>
      <c r="AC601" s="119"/>
      <c r="AD601" s="119"/>
      <c r="AE601" s="119"/>
      <c r="AF601" s="119"/>
      <c r="AG601" s="119"/>
      <c r="AH601" s="119"/>
      <c r="AI601" s="119"/>
      <c r="AJ601" s="119"/>
      <c r="AK601" s="119"/>
      <c r="AL601" s="119"/>
      <c r="AM601" s="119"/>
      <c r="AN601" s="119"/>
      <c r="AO601" s="119"/>
      <c r="AP601" s="119"/>
      <c r="AQ601" s="74" t="s">
        <v>10440</v>
      </c>
      <c r="AR601" s="74" t="s">
        <v>2286</v>
      </c>
      <c r="AS601" s="119"/>
      <c r="AT601" s="74" t="s">
        <v>5540</v>
      </c>
      <c r="AU601" s="120">
        <v>7177.0</v>
      </c>
      <c r="AV601" s="74" t="s">
        <v>10442</v>
      </c>
      <c r="AW601" s="74" t="s">
        <v>10443</v>
      </c>
      <c r="AX601" s="120">
        <v>600.0</v>
      </c>
    </row>
    <row r="602">
      <c r="A602" s="74" t="s">
        <v>10444</v>
      </c>
      <c r="B602" s="74" t="s">
        <v>10445</v>
      </c>
      <c r="C602" s="119"/>
      <c r="D602" s="119"/>
      <c r="E602" s="74">
        <v>3.52155090281144E14</v>
      </c>
      <c r="F602" s="74">
        <v>55.0</v>
      </c>
      <c r="G602" s="74">
        <v>12.0</v>
      </c>
      <c r="H602" s="119"/>
      <c r="I602" s="119"/>
      <c r="J602" s="119"/>
      <c r="K602" s="119"/>
      <c r="L602" s="74" t="s">
        <v>2083</v>
      </c>
      <c r="M602" s="74" t="s">
        <v>2083</v>
      </c>
      <c r="N602" s="74">
        <v>4.0</v>
      </c>
      <c r="O602" s="74" t="s">
        <v>10448</v>
      </c>
      <c r="P602" s="119"/>
      <c r="Q602" s="74" t="s">
        <v>10449</v>
      </c>
      <c r="R602" s="74">
        <v>22.5636002</v>
      </c>
      <c r="S602" s="74">
        <v>88.3772296</v>
      </c>
      <c r="T602" s="74">
        <v>-60.7999992370605</v>
      </c>
      <c r="U602" s="74">
        <v>5.0</v>
      </c>
      <c r="V602" s="74">
        <v>1.0</v>
      </c>
      <c r="W602" s="74">
        <v>0.0</v>
      </c>
      <c r="X602" s="74">
        <v>1.0</v>
      </c>
      <c r="Y602" s="119"/>
      <c r="Z602" s="119"/>
      <c r="AA602" s="119"/>
      <c r="AB602" s="119"/>
      <c r="AC602" s="119"/>
      <c r="AD602" s="119"/>
      <c r="AE602" s="74">
        <v>1.0</v>
      </c>
      <c r="AF602" s="74">
        <v>1.0</v>
      </c>
      <c r="AG602" s="74">
        <v>4.0</v>
      </c>
      <c r="AH602" s="74">
        <v>4.0</v>
      </c>
      <c r="AI602" s="119"/>
      <c r="AJ602" s="119"/>
      <c r="AK602" s="119"/>
      <c r="AL602" s="119"/>
      <c r="AM602" s="119"/>
      <c r="AN602" s="119"/>
      <c r="AO602" s="119"/>
      <c r="AP602" s="119"/>
      <c r="AQ602" s="74" t="s">
        <v>3185</v>
      </c>
      <c r="AR602" s="74" t="s">
        <v>2286</v>
      </c>
      <c r="AS602" s="74">
        <v>0.0</v>
      </c>
      <c r="AT602" s="74" t="s">
        <v>5540</v>
      </c>
      <c r="AU602" s="120">
        <v>7227.0</v>
      </c>
      <c r="AV602" s="74" t="s">
        <v>10457</v>
      </c>
      <c r="AW602" s="74" t="s">
        <v>10458</v>
      </c>
      <c r="AX602" s="120">
        <v>601.0</v>
      </c>
    </row>
    <row r="603">
      <c r="A603" s="74" t="s">
        <v>10459</v>
      </c>
      <c r="B603" s="74" t="s">
        <v>10460</v>
      </c>
      <c r="C603" s="119"/>
      <c r="D603" s="119"/>
      <c r="E603" s="74">
        <v>3.52155090281144E14</v>
      </c>
      <c r="F603" s="74">
        <v>55.0</v>
      </c>
      <c r="G603" s="74">
        <v>99.0</v>
      </c>
      <c r="H603" s="119"/>
      <c r="I603" s="119"/>
      <c r="J603" s="119"/>
      <c r="K603" s="74">
        <v>1.0</v>
      </c>
      <c r="L603" s="74" t="s">
        <v>2084</v>
      </c>
      <c r="M603" s="74" t="s">
        <v>2084</v>
      </c>
      <c r="N603" s="119"/>
      <c r="O603" s="119"/>
      <c r="P603" s="74" t="s">
        <v>10468</v>
      </c>
      <c r="Q603" s="74" t="s">
        <v>10469</v>
      </c>
      <c r="R603" s="74">
        <v>22.5636111</v>
      </c>
      <c r="S603" s="74">
        <v>88.3773276</v>
      </c>
      <c r="T603" s="74">
        <v>-66.3000030517578</v>
      </c>
      <c r="U603" s="74">
        <v>5.0</v>
      </c>
      <c r="V603" s="74">
        <v>1.0</v>
      </c>
      <c r="W603" s="74">
        <v>0.0</v>
      </c>
      <c r="X603" s="74">
        <v>1.0</v>
      </c>
      <c r="Y603" s="119"/>
      <c r="Z603" s="119"/>
      <c r="AA603" s="119"/>
      <c r="AB603" s="119"/>
      <c r="AC603" s="119"/>
      <c r="AD603" s="119"/>
      <c r="AE603" s="119"/>
      <c r="AF603" s="119"/>
      <c r="AG603" s="119"/>
      <c r="AH603" s="119"/>
      <c r="AI603" s="119"/>
      <c r="AJ603" s="119"/>
      <c r="AK603" s="119"/>
      <c r="AL603" s="119"/>
      <c r="AM603" s="119"/>
      <c r="AN603" s="119"/>
      <c r="AO603" s="119"/>
      <c r="AP603" s="119"/>
      <c r="AQ603" s="74" t="s">
        <v>10475</v>
      </c>
      <c r="AR603" s="74" t="s">
        <v>2286</v>
      </c>
      <c r="AS603" s="119"/>
      <c r="AT603" s="74" t="s">
        <v>5540</v>
      </c>
      <c r="AU603" s="120">
        <v>7228.0</v>
      </c>
      <c r="AV603" s="74" t="s">
        <v>10477</v>
      </c>
      <c r="AW603" s="74" t="s">
        <v>10479</v>
      </c>
      <c r="AX603" s="120">
        <v>602.0</v>
      </c>
    </row>
    <row r="604">
      <c r="A604" s="74" t="s">
        <v>10481</v>
      </c>
      <c r="B604" s="74" t="s">
        <v>10482</v>
      </c>
      <c r="C604" s="119"/>
      <c r="D604" s="119"/>
      <c r="E604" s="74">
        <v>3.52155090281144E14</v>
      </c>
      <c r="F604" s="74">
        <v>57.0</v>
      </c>
      <c r="G604" s="74">
        <v>12.0</v>
      </c>
      <c r="H604" s="119"/>
      <c r="I604" s="119"/>
      <c r="J604" s="119"/>
      <c r="K604" s="119"/>
      <c r="L604" s="74" t="s">
        <v>2077</v>
      </c>
      <c r="M604" s="74" t="s">
        <v>2077</v>
      </c>
      <c r="N604" s="74">
        <v>2.0</v>
      </c>
      <c r="O604" s="74" t="s">
        <v>10487</v>
      </c>
      <c r="P604" s="119"/>
      <c r="Q604" s="74" t="s">
        <v>10488</v>
      </c>
      <c r="R604" s="74">
        <v>22.5542177</v>
      </c>
      <c r="S604" s="74">
        <v>88.3967588</v>
      </c>
      <c r="T604" s="74">
        <v>-57.7999992370605</v>
      </c>
      <c r="U604" s="74">
        <v>5.0</v>
      </c>
      <c r="V604" s="74">
        <v>1.0</v>
      </c>
      <c r="W604" s="74">
        <v>0.0</v>
      </c>
      <c r="X604" s="74">
        <v>1.0</v>
      </c>
      <c r="Y604" s="119"/>
      <c r="Z604" s="119"/>
      <c r="AA604" s="119"/>
      <c r="AB604" s="119"/>
      <c r="AC604" s="119"/>
      <c r="AD604" s="119"/>
      <c r="AE604" s="74">
        <v>1.0</v>
      </c>
      <c r="AF604" s="74">
        <v>2.0</v>
      </c>
      <c r="AG604" s="74">
        <v>3.0</v>
      </c>
      <c r="AH604" s="74">
        <v>4.0</v>
      </c>
      <c r="AI604" s="119"/>
      <c r="AJ604" s="119"/>
      <c r="AK604" s="119"/>
      <c r="AL604" s="119"/>
      <c r="AM604" s="119"/>
      <c r="AN604" s="119"/>
      <c r="AO604" s="119"/>
      <c r="AP604" s="119"/>
      <c r="AQ604" s="74" t="s">
        <v>3149</v>
      </c>
      <c r="AR604" s="74" t="s">
        <v>2472</v>
      </c>
      <c r="AS604" s="74">
        <v>0.0</v>
      </c>
      <c r="AT604" s="74" t="s">
        <v>5540</v>
      </c>
      <c r="AU604" s="120">
        <v>7229.0</v>
      </c>
      <c r="AV604" s="74" t="s">
        <v>10499</v>
      </c>
      <c r="AW604" s="74" t="s">
        <v>10500</v>
      </c>
      <c r="AX604" s="120">
        <v>603.0</v>
      </c>
    </row>
    <row r="605">
      <c r="A605" s="74" t="s">
        <v>10502</v>
      </c>
      <c r="B605" s="74" t="s">
        <v>10503</v>
      </c>
      <c r="C605" s="119"/>
      <c r="D605" s="119"/>
      <c r="E605" s="74">
        <v>3.52155090281144E14</v>
      </c>
      <c r="F605" s="74">
        <v>57.0</v>
      </c>
      <c r="G605" s="74">
        <v>99.0</v>
      </c>
      <c r="H605" s="119"/>
      <c r="I605" s="119"/>
      <c r="J605" s="119"/>
      <c r="K605" s="74">
        <v>1.0</v>
      </c>
      <c r="L605" s="74" t="s">
        <v>2078</v>
      </c>
      <c r="M605" s="74" t="s">
        <v>2078</v>
      </c>
      <c r="N605" s="119"/>
      <c r="O605" s="119"/>
      <c r="P605" s="74" t="s">
        <v>10510</v>
      </c>
      <c r="Q605" s="74" t="s">
        <v>10511</v>
      </c>
      <c r="R605" s="74">
        <v>22.5542033</v>
      </c>
      <c r="S605" s="74">
        <v>88.3967331</v>
      </c>
      <c r="T605" s="74">
        <v>-57.5</v>
      </c>
      <c r="U605" s="74">
        <v>4.5</v>
      </c>
      <c r="V605" s="74">
        <v>1.0</v>
      </c>
      <c r="W605" s="74">
        <v>0.0</v>
      </c>
      <c r="X605" s="74">
        <v>1.0</v>
      </c>
      <c r="Y605" s="119"/>
      <c r="Z605" s="119"/>
      <c r="AA605" s="119"/>
      <c r="AB605" s="119"/>
      <c r="AC605" s="119"/>
      <c r="AD605" s="119"/>
      <c r="AE605" s="119"/>
      <c r="AF605" s="119"/>
      <c r="AG605" s="119"/>
      <c r="AH605" s="119"/>
      <c r="AI605" s="119"/>
      <c r="AJ605" s="119"/>
      <c r="AK605" s="119"/>
      <c r="AL605" s="119"/>
      <c r="AM605" s="119"/>
      <c r="AN605" s="119"/>
      <c r="AO605" s="119"/>
      <c r="AP605" s="119"/>
      <c r="AQ605" s="74" t="s">
        <v>10513</v>
      </c>
      <c r="AR605" s="74" t="s">
        <v>2472</v>
      </c>
      <c r="AS605" s="119"/>
      <c r="AT605" s="74" t="s">
        <v>5540</v>
      </c>
      <c r="AU605" s="120">
        <v>7230.0</v>
      </c>
      <c r="AV605" s="74" t="s">
        <v>10515</v>
      </c>
      <c r="AW605" s="74" t="s">
        <v>10516</v>
      </c>
      <c r="AX605" s="120">
        <v>604.0</v>
      </c>
    </row>
    <row r="606">
      <c r="A606" s="74" t="s">
        <v>10519</v>
      </c>
      <c r="B606" s="74" t="s">
        <v>10520</v>
      </c>
      <c r="C606" s="119"/>
      <c r="D606" s="119"/>
      <c r="E606" s="74">
        <v>3.52155090281144E14</v>
      </c>
      <c r="F606" s="74">
        <v>57.0</v>
      </c>
      <c r="G606" s="74">
        <v>12.0</v>
      </c>
      <c r="H606" s="119"/>
      <c r="I606" s="119"/>
      <c r="J606" s="119"/>
      <c r="K606" s="119"/>
      <c r="L606" s="74" t="s">
        <v>2080</v>
      </c>
      <c r="M606" s="74" t="s">
        <v>2080</v>
      </c>
      <c r="N606" s="74">
        <v>7.0</v>
      </c>
      <c r="O606" s="74" t="s">
        <v>10523</v>
      </c>
      <c r="P606" s="119"/>
      <c r="Q606" s="74" t="s">
        <v>10524</v>
      </c>
      <c r="R606" s="74">
        <v>22.5580276</v>
      </c>
      <c r="S606" s="74">
        <v>88.389527</v>
      </c>
      <c r="T606" s="74">
        <v>-43.599998474121</v>
      </c>
      <c r="U606" s="74">
        <v>5.0</v>
      </c>
      <c r="V606" s="74">
        <v>1.0</v>
      </c>
      <c r="W606" s="74">
        <v>0.0</v>
      </c>
      <c r="X606" s="74">
        <v>1.0</v>
      </c>
      <c r="Y606" s="119"/>
      <c r="Z606" s="119"/>
      <c r="AA606" s="119"/>
      <c r="AB606" s="119"/>
      <c r="AC606" s="119"/>
      <c r="AD606" s="119"/>
      <c r="AE606" s="74">
        <v>2.0</v>
      </c>
      <c r="AF606" s="74">
        <v>2.0</v>
      </c>
      <c r="AG606" s="74">
        <v>3.0</v>
      </c>
      <c r="AH606" s="74">
        <v>4.0</v>
      </c>
      <c r="AI606" s="119"/>
      <c r="AJ606" s="119"/>
      <c r="AK606" s="119"/>
      <c r="AL606" s="119"/>
      <c r="AM606" s="119"/>
      <c r="AN606" s="119"/>
      <c r="AO606" s="119"/>
      <c r="AP606" s="119"/>
      <c r="AQ606" s="74" t="s">
        <v>3185</v>
      </c>
      <c r="AR606" s="74" t="s">
        <v>2472</v>
      </c>
      <c r="AS606" s="74">
        <v>0.0</v>
      </c>
      <c r="AT606" s="74" t="s">
        <v>5540</v>
      </c>
      <c r="AU606" s="120">
        <v>7231.0</v>
      </c>
      <c r="AV606" s="74" t="s">
        <v>10534</v>
      </c>
      <c r="AW606" s="74" t="s">
        <v>10535</v>
      </c>
      <c r="AX606" s="120">
        <v>605.0</v>
      </c>
    </row>
    <row r="607">
      <c r="A607" s="74" t="s">
        <v>10536</v>
      </c>
      <c r="B607" s="74" t="s">
        <v>10537</v>
      </c>
      <c r="C607" s="119"/>
      <c r="D607" s="119"/>
      <c r="E607" s="74">
        <v>3.52155090281144E14</v>
      </c>
      <c r="F607" s="74">
        <v>57.0</v>
      </c>
      <c r="G607" s="74">
        <v>99.0</v>
      </c>
      <c r="H607" s="119"/>
      <c r="I607" s="119"/>
      <c r="J607" s="119"/>
      <c r="K607" s="74">
        <v>1.0</v>
      </c>
      <c r="L607" s="74" t="s">
        <v>2081</v>
      </c>
      <c r="M607" s="74" t="s">
        <v>2081</v>
      </c>
      <c r="N607" s="119"/>
      <c r="O607" s="119"/>
      <c r="P607" s="74" t="s">
        <v>10542</v>
      </c>
      <c r="Q607" s="74" t="s">
        <v>10543</v>
      </c>
      <c r="R607" s="74">
        <v>22.5580006</v>
      </c>
      <c r="S607" s="74">
        <v>88.3895571</v>
      </c>
      <c r="T607" s="74">
        <v>-51.5</v>
      </c>
      <c r="U607" s="74">
        <v>5.0</v>
      </c>
      <c r="V607" s="74">
        <v>1.0</v>
      </c>
      <c r="W607" s="74">
        <v>0.0</v>
      </c>
      <c r="X607" s="74">
        <v>1.0</v>
      </c>
      <c r="Y607" s="119"/>
      <c r="Z607" s="119"/>
      <c r="AA607" s="119"/>
      <c r="AB607" s="119"/>
      <c r="AC607" s="119"/>
      <c r="AD607" s="119"/>
      <c r="AE607" s="119"/>
      <c r="AF607" s="119"/>
      <c r="AG607" s="119"/>
      <c r="AH607" s="119"/>
      <c r="AI607" s="119"/>
      <c r="AJ607" s="119"/>
      <c r="AK607" s="119"/>
      <c r="AL607" s="119"/>
      <c r="AM607" s="119"/>
      <c r="AN607" s="119"/>
      <c r="AO607" s="119"/>
      <c r="AP607" s="119"/>
      <c r="AQ607" s="74" t="s">
        <v>10545</v>
      </c>
      <c r="AR607" s="74" t="s">
        <v>2472</v>
      </c>
      <c r="AS607" s="119"/>
      <c r="AT607" s="74" t="s">
        <v>5540</v>
      </c>
      <c r="AU607" s="120">
        <v>7232.0</v>
      </c>
      <c r="AV607" s="74" t="s">
        <v>10546</v>
      </c>
      <c r="AW607" s="74" t="s">
        <v>10548</v>
      </c>
      <c r="AX607" s="120">
        <v>606.0</v>
      </c>
    </row>
    <row r="608">
      <c r="A608" s="74" t="s">
        <v>10549</v>
      </c>
      <c r="B608" s="74" t="s">
        <v>10552</v>
      </c>
      <c r="C608" s="119"/>
      <c r="D608" s="119"/>
      <c r="E608" s="74">
        <v>3.52155090281144E14</v>
      </c>
      <c r="F608" s="74">
        <v>57.0</v>
      </c>
      <c r="G608" s="74">
        <v>11.0</v>
      </c>
      <c r="H608" s="74">
        <v>1.0</v>
      </c>
      <c r="I608" s="119"/>
      <c r="J608" s="119"/>
      <c r="K608" s="119"/>
      <c r="L608" s="74" t="s">
        <v>2086</v>
      </c>
      <c r="M608" s="74" t="s">
        <v>2086</v>
      </c>
      <c r="N608" s="119"/>
      <c r="O608" s="119"/>
      <c r="P608" s="74" t="s">
        <v>10554</v>
      </c>
      <c r="Q608" s="74" t="s">
        <v>10555</v>
      </c>
      <c r="R608" s="74">
        <v>22.5580045</v>
      </c>
      <c r="S608" s="74">
        <v>88.3895931</v>
      </c>
      <c r="T608" s="74">
        <v>-54.2000007629394</v>
      </c>
      <c r="U608" s="74">
        <v>5.0</v>
      </c>
      <c r="V608" s="74">
        <v>1.0</v>
      </c>
      <c r="W608" s="74">
        <v>0.0</v>
      </c>
      <c r="X608" s="74">
        <v>1.0</v>
      </c>
      <c r="Y608" s="119"/>
      <c r="Z608" s="119"/>
      <c r="AA608" s="74">
        <v>1.0</v>
      </c>
      <c r="AB608" s="74">
        <v>4.0</v>
      </c>
      <c r="AC608" s="119"/>
      <c r="AD608" s="119"/>
      <c r="AE608" s="119"/>
      <c r="AF608" s="119"/>
      <c r="AG608" s="119"/>
      <c r="AH608" s="119"/>
      <c r="AI608" s="119"/>
      <c r="AJ608" s="119"/>
      <c r="AK608" s="119"/>
      <c r="AL608" s="119"/>
      <c r="AM608" s="119"/>
      <c r="AN608" s="119"/>
      <c r="AO608" s="119"/>
      <c r="AP608" s="119"/>
      <c r="AQ608" s="74" t="s">
        <v>3149</v>
      </c>
      <c r="AR608" s="74" t="s">
        <v>2278</v>
      </c>
      <c r="AS608" s="74">
        <v>0.0</v>
      </c>
      <c r="AT608" s="74" t="s">
        <v>5540</v>
      </c>
      <c r="AU608" s="120">
        <v>7233.0</v>
      </c>
      <c r="AV608" s="74" t="s">
        <v>10565</v>
      </c>
      <c r="AW608" s="74" t="s">
        <v>10566</v>
      </c>
      <c r="AX608" s="120">
        <v>607.0</v>
      </c>
    </row>
    <row r="609">
      <c r="A609" s="74" t="s">
        <v>10567</v>
      </c>
      <c r="B609" s="74" t="s">
        <v>10569</v>
      </c>
      <c r="C609" s="119"/>
      <c r="D609" s="119"/>
      <c r="E609" s="74">
        <v>3.52155090281144E14</v>
      </c>
      <c r="F609" s="74">
        <v>59.0</v>
      </c>
      <c r="G609" s="74">
        <v>11.0</v>
      </c>
      <c r="H609" s="74">
        <v>4.0</v>
      </c>
      <c r="I609" s="74">
        <v>1.0</v>
      </c>
      <c r="J609" s="74" t="s">
        <v>10571</v>
      </c>
      <c r="K609" s="119"/>
      <c r="L609" s="74" t="s">
        <v>2108</v>
      </c>
      <c r="M609" s="74" t="s">
        <v>2108</v>
      </c>
      <c r="N609" s="119"/>
      <c r="O609" s="119"/>
      <c r="P609" s="74" t="s">
        <v>10572</v>
      </c>
      <c r="Q609" s="74" t="s">
        <v>10573</v>
      </c>
      <c r="R609" s="74">
        <v>22.5412228</v>
      </c>
      <c r="S609" s="74">
        <v>88.3743853</v>
      </c>
      <c r="T609" s="74">
        <v>-44.5</v>
      </c>
      <c r="U609" s="74">
        <v>4.5</v>
      </c>
      <c r="V609" s="74">
        <v>1.0</v>
      </c>
      <c r="W609" s="74">
        <v>0.0</v>
      </c>
      <c r="X609" s="74">
        <v>1.0</v>
      </c>
      <c r="Y609" s="119"/>
      <c r="Z609" s="119"/>
      <c r="AA609" s="74">
        <v>2.0</v>
      </c>
      <c r="AB609" s="74">
        <v>4.0</v>
      </c>
      <c r="AC609" s="119"/>
      <c r="AD609" s="119"/>
      <c r="AE609" s="119"/>
      <c r="AF609" s="119"/>
      <c r="AG609" s="119"/>
      <c r="AH609" s="119"/>
      <c r="AI609" s="119"/>
      <c r="AJ609" s="119"/>
      <c r="AK609" s="119"/>
      <c r="AL609" s="119"/>
      <c r="AM609" s="119"/>
      <c r="AN609" s="119"/>
      <c r="AO609" s="119"/>
      <c r="AP609" s="119"/>
      <c r="AQ609" s="74" t="s">
        <v>3185</v>
      </c>
      <c r="AR609" s="74" t="s">
        <v>2472</v>
      </c>
      <c r="AS609" s="74">
        <v>1.0</v>
      </c>
      <c r="AT609" s="74" t="s">
        <v>5540</v>
      </c>
      <c r="AU609" s="120">
        <v>7257.0</v>
      </c>
      <c r="AV609" s="74" t="s">
        <v>10578</v>
      </c>
      <c r="AW609" s="74" t="s">
        <v>10579</v>
      </c>
      <c r="AX609" s="120">
        <v>608.0</v>
      </c>
    </row>
    <row r="610">
      <c r="A610" s="74" t="s">
        <v>10580</v>
      </c>
      <c r="B610" s="74" t="s">
        <v>10581</v>
      </c>
      <c r="C610" s="119"/>
      <c r="D610" s="119"/>
      <c r="E610" s="74">
        <v>3.52155090281144E14</v>
      </c>
      <c r="F610" s="74">
        <v>59.0</v>
      </c>
      <c r="G610" s="74">
        <v>99.0</v>
      </c>
      <c r="H610" s="119"/>
      <c r="I610" s="119"/>
      <c r="J610" s="119"/>
      <c r="K610" s="74">
        <v>2.0</v>
      </c>
      <c r="L610" s="74" t="s">
        <v>2109</v>
      </c>
      <c r="M610" s="74" t="s">
        <v>2109</v>
      </c>
      <c r="N610" s="119"/>
      <c r="O610" s="119"/>
      <c r="P610" s="74" t="s">
        <v>10589</v>
      </c>
      <c r="Q610" s="74" t="s">
        <v>10590</v>
      </c>
      <c r="R610" s="74">
        <v>22.5412623</v>
      </c>
      <c r="S610" s="74">
        <v>88.3743815</v>
      </c>
      <c r="T610" s="74">
        <v>-48.0</v>
      </c>
      <c r="U610" s="74">
        <v>5.0</v>
      </c>
      <c r="V610" s="74">
        <v>1.0</v>
      </c>
      <c r="W610" s="74">
        <v>0.0</v>
      </c>
      <c r="X610" s="74">
        <v>1.0</v>
      </c>
      <c r="Y610" s="119"/>
      <c r="Z610" s="119"/>
      <c r="AA610" s="119"/>
      <c r="AB610" s="119"/>
      <c r="AC610" s="119"/>
      <c r="AD610" s="119"/>
      <c r="AE610" s="119"/>
      <c r="AF610" s="119"/>
      <c r="AG610" s="119"/>
      <c r="AH610" s="119"/>
      <c r="AI610" s="119"/>
      <c r="AJ610" s="119"/>
      <c r="AK610" s="119"/>
      <c r="AL610" s="119"/>
      <c r="AM610" s="119"/>
      <c r="AN610" s="119"/>
      <c r="AO610" s="119"/>
      <c r="AP610" s="119"/>
      <c r="AQ610" s="74" t="s">
        <v>10598</v>
      </c>
      <c r="AR610" s="74" t="s">
        <v>2472</v>
      </c>
      <c r="AS610" s="119"/>
      <c r="AT610" s="74" t="s">
        <v>5540</v>
      </c>
      <c r="AU610" s="120">
        <v>7258.0</v>
      </c>
      <c r="AV610" s="74" t="s">
        <v>10599</v>
      </c>
      <c r="AW610" s="74" t="s">
        <v>10600</v>
      </c>
      <c r="AX610" s="120">
        <v>609.0</v>
      </c>
    </row>
    <row r="611">
      <c r="A611" s="74" t="s">
        <v>10601</v>
      </c>
      <c r="B611" s="74" t="s">
        <v>10602</v>
      </c>
      <c r="C611" s="119"/>
      <c r="D611" s="119"/>
      <c r="E611" s="74">
        <v>3.52155090281144E14</v>
      </c>
      <c r="F611" s="74">
        <v>59.0</v>
      </c>
      <c r="G611" s="74">
        <v>11.0</v>
      </c>
      <c r="H611" s="74">
        <v>4.0</v>
      </c>
      <c r="I611" s="74">
        <v>1.0</v>
      </c>
      <c r="J611" s="74" t="s">
        <v>9111</v>
      </c>
      <c r="K611" s="119"/>
      <c r="L611" s="74" t="s">
        <v>2111</v>
      </c>
      <c r="M611" s="74" t="s">
        <v>2111</v>
      </c>
      <c r="N611" s="119"/>
      <c r="O611" s="119"/>
      <c r="P611" s="74" t="s">
        <v>10607</v>
      </c>
      <c r="Q611" s="74" t="s">
        <v>10608</v>
      </c>
      <c r="R611" s="74">
        <v>22.5413268</v>
      </c>
      <c r="S611" s="74">
        <v>88.3760589</v>
      </c>
      <c r="T611" s="74">
        <v>-66.0999984741211</v>
      </c>
      <c r="U611" s="74">
        <v>5.0</v>
      </c>
      <c r="V611" s="74">
        <v>1.0</v>
      </c>
      <c r="W611" s="74">
        <v>0.0</v>
      </c>
      <c r="X611" s="74">
        <v>1.0</v>
      </c>
      <c r="Y611" s="119"/>
      <c r="Z611" s="119"/>
      <c r="AA611" s="74">
        <v>2.0</v>
      </c>
      <c r="AB611" s="74">
        <v>4.0</v>
      </c>
      <c r="AC611" s="119"/>
      <c r="AD611" s="119"/>
      <c r="AE611" s="119"/>
      <c r="AF611" s="119"/>
      <c r="AG611" s="119"/>
      <c r="AH611" s="119"/>
      <c r="AI611" s="119"/>
      <c r="AJ611" s="119"/>
      <c r="AK611" s="119"/>
      <c r="AL611" s="119"/>
      <c r="AM611" s="119"/>
      <c r="AN611" s="119"/>
      <c r="AO611" s="119"/>
      <c r="AP611" s="119"/>
      <c r="AQ611" s="74" t="s">
        <v>3200</v>
      </c>
      <c r="AR611" s="74" t="s">
        <v>3142</v>
      </c>
      <c r="AS611" s="74">
        <v>1.0</v>
      </c>
      <c r="AT611" s="74" t="s">
        <v>5540</v>
      </c>
      <c r="AU611" s="120">
        <v>7259.0</v>
      </c>
      <c r="AV611" s="74" t="s">
        <v>10617</v>
      </c>
      <c r="AW611" s="74" t="s">
        <v>10618</v>
      </c>
      <c r="AX611" s="120">
        <v>610.0</v>
      </c>
    </row>
    <row r="612">
      <c r="A612" s="74" t="s">
        <v>10619</v>
      </c>
      <c r="B612" s="74" t="s">
        <v>10621</v>
      </c>
      <c r="C612" s="119"/>
      <c r="D612" s="119"/>
      <c r="E612" s="74">
        <v>3.52155090281144E14</v>
      </c>
      <c r="F612" s="74">
        <v>59.0</v>
      </c>
      <c r="G612" s="74">
        <v>99.0</v>
      </c>
      <c r="H612" s="119"/>
      <c r="I612" s="119"/>
      <c r="J612" s="119"/>
      <c r="K612" s="74">
        <v>2.0</v>
      </c>
      <c r="L612" s="74" t="s">
        <v>2112</v>
      </c>
      <c r="M612" s="74" t="s">
        <v>2112</v>
      </c>
      <c r="N612" s="119"/>
      <c r="O612" s="119"/>
      <c r="P612" s="74" t="s">
        <v>10626</v>
      </c>
      <c r="Q612" s="74" t="s">
        <v>10627</v>
      </c>
      <c r="R612" s="74">
        <v>22.5413246</v>
      </c>
      <c r="S612" s="74">
        <v>88.3760426</v>
      </c>
      <c r="T612" s="74">
        <v>-50.0</v>
      </c>
      <c r="U612" s="74">
        <v>5.0</v>
      </c>
      <c r="V612" s="74">
        <v>1.0</v>
      </c>
      <c r="W612" s="74">
        <v>0.0</v>
      </c>
      <c r="X612" s="74">
        <v>1.0</v>
      </c>
      <c r="Y612" s="119"/>
      <c r="Z612" s="119"/>
      <c r="AA612" s="119"/>
      <c r="AB612" s="119"/>
      <c r="AC612" s="119"/>
      <c r="AD612" s="119"/>
      <c r="AE612" s="119"/>
      <c r="AF612" s="119"/>
      <c r="AG612" s="119"/>
      <c r="AH612" s="119"/>
      <c r="AI612" s="119"/>
      <c r="AJ612" s="119"/>
      <c r="AK612" s="119"/>
      <c r="AL612" s="119"/>
      <c r="AM612" s="119"/>
      <c r="AN612" s="119"/>
      <c r="AO612" s="119"/>
      <c r="AP612" s="119"/>
      <c r="AQ612" s="74" t="s">
        <v>10633</v>
      </c>
      <c r="AR612" s="74" t="s">
        <v>2472</v>
      </c>
      <c r="AS612" s="119"/>
      <c r="AT612" s="74" t="s">
        <v>5540</v>
      </c>
      <c r="AU612" s="120">
        <v>7260.0</v>
      </c>
      <c r="AV612" s="74" t="s">
        <v>10634</v>
      </c>
      <c r="AW612" s="74" t="s">
        <v>10635</v>
      </c>
      <c r="AX612" s="120">
        <v>611.0</v>
      </c>
    </row>
    <row r="613">
      <c r="A613" s="74" t="s">
        <v>10636</v>
      </c>
      <c r="B613" s="74" t="s">
        <v>10637</v>
      </c>
      <c r="C613" s="119"/>
      <c r="D613" s="119"/>
      <c r="E613" s="74">
        <v>3.52155090281144E14</v>
      </c>
      <c r="F613" s="74">
        <v>66.0</v>
      </c>
      <c r="G613" s="74">
        <v>12.0</v>
      </c>
      <c r="H613" s="119"/>
      <c r="I613" s="119"/>
      <c r="J613" s="119"/>
      <c r="K613" s="119"/>
      <c r="L613" s="74" t="s">
        <v>2102</v>
      </c>
      <c r="M613" s="74" t="s">
        <v>2102</v>
      </c>
      <c r="N613" s="74">
        <v>5.0</v>
      </c>
      <c r="O613" s="74" t="s">
        <v>10641</v>
      </c>
      <c r="P613" s="119"/>
      <c r="Q613" s="74" t="s">
        <v>10642</v>
      </c>
      <c r="R613" s="74">
        <v>22.5346615</v>
      </c>
      <c r="S613" s="74">
        <v>88.3958123</v>
      </c>
      <c r="T613" s="74">
        <v>-67.3000030517578</v>
      </c>
      <c r="U613" s="74">
        <v>5.0</v>
      </c>
      <c r="V613" s="74">
        <v>1.0</v>
      </c>
      <c r="W613" s="74">
        <v>0.0</v>
      </c>
      <c r="X613" s="74">
        <v>0.0</v>
      </c>
      <c r="Y613" s="74">
        <v>1.0</v>
      </c>
      <c r="Z613" s="119"/>
      <c r="AA613" s="119"/>
      <c r="AB613" s="119"/>
      <c r="AC613" s="119"/>
      <c r="AD613" s="119"/>
      <c r="AE613" s="74">
        <v>1.0</v>
      </c>
      <c r="AF613" s="74">
        <v>2.0</v>
      </c>
      <c r="AG613" s="74">
        <v>3.0</v>
      </c>
      <c r="AH613" s="74">
        <v>4.0</v>
      </c>
      <c r="AI613" s="119"/>
      <c r="AJ613" s="119"/>
      <c r="AK613" s="119"/>
      <c r="AL613" s="119"/>
      <c r="AM613" s="119"/>
      <c r="AN613" s="119"/>
      <c r="AO613" s="119"/>
      <c r="AP613" s="119"/>
      <c r="AQ613" s="74" t="s">
        <v>3149</v>
      </c>
      <c r="AR613" s="74" t="s">
        <v>2327</v>
      </c>
      <c r="AS613" s="74">
        <v>0.0</v>
      </c>
      <c r="AT613" s="74" t="s">
        <v>5540</v>
      </c>
      <c r="AU613" s="120">
        <v>7261.0</v>
      </c>
      <c r="AV613" s="74" t="s">
        <v>10652</v>
      </c>
      <c r="AW613" s="74" t="s">
        <v>10653</v>
      </c>
      <c r="AX613" s="120">
        <v>612.0</v>
      </c>
    </row>
    <row r="614">
      <c r="A614" s="74" t="s">
        <v>10654</v>
      </c>
      <c r="B614" s="74" t="s">
        <v>10656</v>
      </c>
      <c r="C614" s="119"/>
      <c r="D614" s="119"/>
      <c r="E614" s="74">
        <v>3.52155090281144E14</v>
      </c>
      <c r="F614" s="74">
        <v>66.0</v>
      </c>
      <c r="G614" s="74">
        <v>99.0</v>
      </c>
      <c r="H614" s="119"/>
      <c r="I614" s="119"/>
      <c r="J614" s="119"/>
      <c r="K614" s="74">
        <v>1.0</v>
      </c>
      <c r="L614" s="74" t="s">
        <v>2103</v>
      </c>
      <c r="M614" s="74" t="s">
        <v>2103</v>
      </c>
      <c r="N614" s="119"/>
      <c r="O614" s="119"/>
      <c r="P614" s="74" t="s">
        <v>10661</v>
      </c>
      <c r="Q614" s="74" t="s">
        <v>10662</v>
      </c>
      <c r="R614" s="74">
        <v>22.5346875</v>
      </c>
      <c r="S614" s="74">
        <v>88.3959497</v>
      </c>
      <c r="T614" s="74">
        <v>-50.9000015258789</v>
      </c>
      <c r="U614" s="74">
        <v>5.0</v>
      </c>
      <c r="V614" s="74">
        <v>1.0</v>
      </c>
      <c r="W614" s="74">
        <v>0.0</v>
      </c>
      <c r="X614" s="74">
        <v>0.0</v>
      </c>
      <c r="Y614" s="74">
        <v>1.0</v>
      </c>
      <c r="Z614" s="119"/>
      <c r="AA614" s="119"/>
      <c r="AB614" s="119"/>
      <c r="AC614" s="119"/>
      <c r="AD614" s="119"/>
      <c r="AE614" s="119"/>
      <c r="AF614" s="119"/>
      <c r="AG614" s="119"/>
      <c r="AH614" s="119"/>
      <c r="AI614" s="119"/>
      <c r="AJ614" s="119"/>
      <c r="AK614" s="119"/>
      <c r="AL614" s="119"/>
      <c r="AM614" s="119"/>
      <c r="AN614" s="119"/>
      <c r="AO614" s="119"/>
      <c r="AP614" s="119"/>
      <c r="AQ614" s="74" t="s">
        <v>3149</v>
      </c>
      <c r="AR614" s="74" t="s">
        <v>2327</v>
      </c>
      <c r="AS614" s="119"/>
      <c r="AT614" s="74" t="s">
        <v>5540</v>
      </c>
      <c r="AU614" s="120">
        <v>7262.0</v>
      </c>
      <c r="AV614" s="74" t="s">
        <v>10667</v>
      </c>
      <c r="AW614" s="74" t="s">
        <v>10668</v>
      </c>
      <c r="AX614" s="120">
        <v>613.0</v>
      </c>
    </row>
    <row r="615">
      <c r="A615" s="74" t="s">
        <v>10669</v>
      </c>
      <c r="B615" s="74" t="s">
        <v>10670</v>
      </c>
      <c r="C615" s="119"/>
      <c r="D615" s="119"/>
      <c r="E615" s="74">
        <v>3.52155090281144E14</v>
      </c>
      <c r="F615" s="74">
        <v>65.0</v>
      </c>
      <c r="G615" s="74">
        <v>12.0</v>
      </c>
      <c r="H615" s="119"/>
      <c r="I615" s="119"/>
      <c r="J615" s="119"/>
      <c r="K615" s="119"/>
      <c r="L615" s="74" t="s">
        <v>2105</v>
      </c>
      <c r="M615" s="74" t="s">
        <v>2105</v>
      </c>
      <c r="N615" s="74">
        <v>8.0</v>
      </c>
      <c r="O615" s="74" t="s">
        <v>10672</v>
      </c>
      <c r="P615" s="119"/>
      <c r="Q615" s="74" t="s">
        <v>10673</v>
      </c>
      <c r="R615" s="74">
        <v>22.5361349</v>
      </c>
      <c r="S615" s="74">
        <v>88.3746364</v>
      </c>
      <c r="T615" s="74">
        <v>-26.1000003814697</v>
      </c>
      <c r="U615" s="74">
        <v>5.0</v>
      </c>
      <c r="V615" s="74">
        <v>1.0</v>
      </c>
      <c r="W615" s="74">
        <v>0.0</v>
      </c>
      <c r="X615" s="74">
        <v>0.0</v>
      </c>
      <c r="Y615" s="74">
        <v>1.0</v>
      </c>
      <c r="Z615" s="119"/>
      <c r="AA615" s="119"/>
      <c r="AB615" s="119"/>
      <c r="AC615" s="119"/>
      <c r="AD615" s="119"/>
      <c r="AE615" s="74">
        <v>2.0</v>
      </c>
      <c r="AF615" s="74">
        <v>1.0</v>
      </c>
      <c r="AG615" s="74">
        <v>4.0</v>
      </c>
      <c r="AH615" s="74">
        <v>4.0</v>
      </c>
      <c r="AI615" s="119"/>
      <c r="AJ615" s="119"/>
      <c r="AK615" s="119"/>
      <c r="AL615" s="119"/>
      <c r="AM615" s="119"/>
      <c r="AN615" s="119"/>
      <c r="AO615" s="119"/>
      <c r="AP615" s="119"/>
      <c r="AQ615" s="74" t="s">
        <v>2949</v>
      </c>
      <c r="AR615" s="74" t="s">
        <v>2318</v>
      </c>
      <c r="AS615" s="74">
        <v>0.0</v>
      </c>
      <c r="AT615" s="74" t="s">
        <v>5540</v>
      </c>
      <c r="AU615" s="120">
        <v>7263.0</v>
      </c>
      <c r="AV615" s="74" t="s">
        <v>10680</v>
      </c>
      <c r="AW615" s="74" t="s">
        <v>10682</v>
      </c>
      <c r="AX615" s="120">
        <v>614.0</v>
      </c>
    </row>
    <row r="616">
      <c r="A616" s="74" t="s">
        <v>10683</v>
      </c>
      <c r="B616" s="74" t="s">
        <v>10685</v>
      </c>
      <c r="C616" s="119"/>
      <c r="D616" s="119"/>
      <c r="E616" s="74">
        <v>3.52155090281144E14</v>
      </c>
      <c r="F616" s="74">
        <v>65.0</v>
      </c>
      <c r="G616" s="74">
        <v>99.0</v>
      </c>
      <c r="H616" s="119"/>
      <c r="I616" s="119"/>
      <c r="J616" s="119"/>
      <c r="K616" s="74">
        <v>1.0</v>
      </c>
      <c r="L616" s="74" t="s">
        <v>2106</v>
      </c>
      <c r="M616" s="74" t="s">
        <v>2106</v>
      </c>
      <c r="N616" s="119"/>
      <c r="O616" s="119"/>
      <c r="P616" s="74" t="s">
        <v>10686</v>
      </c>
      <c r="Q616" s="74" t="s">
        <v>10687</v>
      </c>
      <c r="R616" s="74">
        <v>22.5361061</v>
      </c>
      <c r="S616" s="74">
        <v>88.3746118</v>
      </c>
      <c r="T616" s="74">
        <v>-51.0</v>
      </c>
      <c r="U616" s="74">
        <v>5.0</v>
      </c>
      <c r="V616" s="74">
        <v>1.0</v>
      </c>
      <c r="W616" s="74">
        <v>0.0</v>
      </c>
      <c r="X616" s="74">
        <v>0.0</v>
      </c>
      <c r="Y616" s="74">
        <v>1.0</v>
      </c>
      <c r="Z616" s="119"/>
      <c r="AA616" s="119"/>
      <c r="AB616" s="119"/>
      <c r="AC616" s="119"/>
      <c r="AD616" s="119"/>
      <c r="AE616" s="119"/>
      <c r="AF616" s="119"/>
      <c r="AG616" s="119"/>
      <c r="AH616" s="119"/>
      <c r="AI616" s="119"/>
      <c r="AJ616" s="119"/>
      <c r="AK616" s="119"/>
      <c r="AL616" s="119"/>
      <c r="AM616" s="119"/>
      <c r="AN616" s="119"/>
      <c r="AO616" s="119"/>
      <c r="AP616" s="119"/>
      <c r="AQ616" s="74" t="s">
        <v>2949</v>
      </c>
      <c r="AR616" s="74" t="s">
        <v>2318</v>
      </c>
      <c r="AS616" s="119"/>
      <c r="AT616" s="74" t="s">
        <v>5540</v>
      </c>
      <c r="AU616" s="120">
        <v>7264.0</v>
      </c>
      <c r="AV616" s="74" t="s">
        <v>10693</v>
      </c>
      <c r="AW616" s="74" t="s">
        <v>10694</v>
      </c>
      <c r="AX616" s="120">
        <v>615.0</v>
      </c>
    </row>
    <row r="617">
      <c r="A617" s="74" t="s">
        <v>10695</v>
      </c>
      <c r="B617" s="74" t="s">
        <v>10696</v>
      </c>
      <c r="C617" s="119"/>
      <c r="D617" s="119"/>
      <c r="E617" s="74">
        <v>3.5215509147374E14</v>
      </c>
      <c r="F617" s="74">
        <v>59.0</v>
      </c>
      <c r="G617" s="74">
        <v>11.0</v>
      </c>
      <c r="H617" s="74">
        <v>4.0</v>
      </c>
      <c r="I617" s="74">
        <v>1.0</v>
      </c>
      <c r="J617" s="74" t="s">
        <v>9111</v>
      </c>
      <c r="K617" s="119"/>
      <c r="L617" s="74" t="s">
        <v>2122</v>
      </c>
      <c r="M617" s="74" t="s">
        <v>2122</v>
      </c>
      <c r="N617" s="119"/>
      <c r="O617" s="119"/>
      <c r="P617" s="74" t="s">
        <v>10697</v>
      </c>
      <c r="Q617" s="74" t="s">
        <v>10698</v>
      </c>
      <c r="R617" s="74">
        <v>22.5413465</v>
      </c>
      <c r="S617" s="74">
        <v>88.3760438</v>
      </c>
      <c r="T617" s="74">
        <v>-36.0</v>
      </c>
      <c r="U617" s="74">
        <v>5.0</v>
      </c>
      <c r="V617" s="74">
        <v>1.0</v>
      </c>
      <c r="W617" s="74">
        <v>0.0</v>
      </c>
      <c r="X617" s="74">
        <v>0.0</v>
      </c>
      <c r="Y617" s="74">
        <v>1.0</v>
      </c>
      <c r="Z617" s="119"/>
      <c r="AA617" s="74">
        <v>2.0</v>
      </c>
      <c r="AB617" s="74">
        <v>4.0</v>
      </c>
      <c r="AC617" s="119"/>
      <c r="AD617" s="119"/>
      <c r="AE617" s="119"/>
      <c r="AF617" s="119"/>
      <c r="AG617" s="119"/>
      <c r="AH617" s="119"/>
      <c r="AI617" s="119"/>
      <c r="AJ617" s="119"/>
      <c r="AK617" s="119"/>
      <c r="AL617" s="119"/>
      <c r="AM617" s="119"/>
      <c r="AN617" s="119"/>
      <c r="AO617" s="119"/>
      <c r="AP617" s="119"/>
      <c r="AQ617" s="74" t="s">
        <v>3149</v>
      </c>
      <c r="AR617" s="74" t="s">
        <v>2472</v>
      </c>
      <c r="AS617" s="74">
        <v>1.0</v>
      </c>
      <c r="AT617" s="74" t="s">
        <v>5540</v>
      </c>
      <c r="AU617" s="120">
        <v>7342.0</v>
      </c>
      <c r="AV617" s="74" t="s">
        <v>10706</v>
      </c>
      <c r="AW617" s="74" t="s">
        <v>10707</v>
      </c>
      <c r="AX617" s="120">
        <v>616.0</v>
      </c>
    </row>
    <row r="618">
      <c r="A618" s="74" t="s">
        <v>10708</v>
      </c>
      <c r="B618" s="74" t="s">
        <v>10709</v>
      </c>
      <c r="C618" s="119"/>
      <c r="D618" s="119"/>
      <c r="E618" s="74">
        <v>3.5215509147374E14</v>
      </c>
      <c r="F618" s="74">
        <v>59.0</v>
      </c>
      <c r="G618" s="74">
        <v>99.0</v>
      </c>
      <c r="H618" s="119"/>
      <c r="I618" s="119"/>
      <c r="J618" s="119"/>
      <c r="K618" s="74">
        <v>2.0</v>
      </c>
      <c r="L618" s="74" t="s">
        <v>2123</v>
      </c>
      <c r="M618" s="74" t="s">
        <v>2123</v>
      </c>
      <c r="N618" s="119"/>
      <c r="O618" s="119"/>
      <c r="P618" s="74" t="s">
        <v>10711</v>
      </c>
      <c r="Q618" s="74" t="s">
        <v>10712</v>
      </c>
      <c r="R618" s="74">
        <v>22.5413146</v>
      </c>
      <c r="S618" s="74">
        <v>88.3760942</v>
      </c>
      <c r="T618" s="74">
        <v>-45.7000007629394</v>
      </c>
      <c r="U618" s="74">
        <v>4.5</v>
      </c>
      <c r="V618" s="74">
        <v>1.0</v>
      </c>
      <c r="W618" s="74">
        <v>0.0</v>
      </c>
      <c r="X618" s="74">
        <v>0.0</v>
      </c>
      <c r="Y618" s="74">
        <v>1.0</v>
      </c>
      <c r="Z618" s="119"/>
      <c r="AA618" s="119"/>
      <c r="AB618" s="119"/>
      <c r="AC618" s="119"/>
      <c r="AD618" s="119"/>
      <c r="AE618" s="119"/>
      <c r="AF618" s="119"/>
      <c r="AG618" s="119"/>
      <c r="AH618" s="119"/>
      <c r="AI618" s="119"/>
      <c r="AJ618" s="119"/>
      <c r="AK618" s="119"/>
      <c r="AL618" s="119"/>
      <c r="AM618" s="119"/>
      <c r="AN618" s="119"/>
      <c r="AO618" s="119"/>
      <c r="AP618" s="119"/>
      <c r="AQ618" s="74" t="s">
        <v>10717</v>
      </c>
      <c r="AR618" s="74" t="s">
        <v>2472</v>
      </c>
      <c r="AS618" s="119"/>
      <c r="AT618" s="74" t="s">
        <v>5540</v>
      </c>
      <c r="AU618" s="120">
        <v>7343.0</v>
      </c>
      <c r="AV618" s="74" t="s">
        <v>10718</v>
      </c>
      <c r="AW618" s="74" t="s">
        <v>10719</v>
      </c>
      <c r="AX618" s="120">
        <v>617.0</v>
      </c>
    </row>
    <row r="619">
      <c r="A619" s="74" t="s">
        <v>10720</v>
      </c>
      <c r="B619" s="74" t="s">
        <v>10721</v>
      </c>
      <c r="C619" s="119"/>
      <c r="D619" s="119"/>
      <c r="E619" s="74">
        <v>3.5215509147374E14</v>
      </c>
      <c r="F619" s="74">
        <v>59.0</v>
      </c>
      <c r="G619" s="74">
        <v>11.0</v>
      </c>
      <c r="H619" s="74">
        <v>4.0</v>
      </c>
      <c r="I619" s="74">
        <v>1.0</v>
      </c>
      <c r="J619" s="74" t="s">
        <v>10571</v>
      </c>
      <c r="K619" s="119"/>
      <c r="L619" s="74" t="s">
        <v>2125</v>
      </c>
      <c r="M619" s="74" t="s">
        <v>2125</v>
      </c>
      <c r="N619" s="119"/>
      <c r="O619" s="119"/>
      <c r="P619" s="74" t="s">
        <v>10722</v>
      </c>
      <c r="Q619" s="74" t="s">
        <v>10724</v>
      </c>
      <c r="R619" s="74">
        <v>22.5412381</v>
      </c>
      <c r="S619" s="74">
        <v>88.37436</v>
      </c>
      <c r="T619" s="74">
        <v>-56.0</v>
      </c>
      <c r="U619" s="74">
        <v>5.0</v>
      </c>
      <c r="V619" s="74">
        <v>1.0</v>
      </c>
      <c r="W619" s="74">
        <v>0.0</v>
      </c>
      <c r="X619" s="74">
        <v>0.0</v>
      </c>
      <c r="Y619" s="74">
        <v>1.0</v>
      </c>
      <c r="Z619" s="119"/>
      <c r="AA619" s="74">
        <v>2.0</v>
      </c>
      <c r="AB619" s="74">
        <v>4.0</v>
      </c>
      <c r="AC619" s="119"/>
      <c r="AD619" s="119"/>
      <c r="AE619" s="119"/>
      <c r="AF619" s="119"/>
      <c r="AG619" s="119"/>
      <c r="AH619" s="119"/>
      <c r="AI619" s="119"/>
      <c r="AJ619" s="119"/>
      <c r="AK619" s="119"/>
      <c r="AL619" s="119"/>
      <c r="AM619" s="119"/>
      <c r="AN619" s="119"/>
      <c r="AO619" s="119"/>
      <c r="AP619" s="119"/>
      <c r="AQ619" s="74" t="s">
        <v>2949</v>
      </c>
      <c r="AR619" s="74" t="s">
        <v>2278</v>
      </c>
      <c r="AS619" s="74">
        <v>1.0</v>
      </c>
      <c r="AT619" s="74" t="s">
        <v>5540</v>
      </c>
      <c r="AU619" s="120">
        <v>7344.0</v>
      </c>
      <c r="AV619" s="74" t="s">
        <v>10731</v>
      </c>
      <c r="AW619" s="74" t="s">
        <v>10732</v>
      </c>
      <c r="AX619" s="120">
        <v>618.0</v>
      </c>
    </row>
    <row r="620">
      <c r="A620" s="74" t="s">
        <v>10733</v>
      </c>
      <c r="B620" s="74" t="s">
        <v>10734</v>
      </c>
      <c r="C620" s="119"/>
      <c r="D620" s="119"/>
      <c r="E620" s="74">
        <v>3.5215509147374E14</v>
      </c>
      <c r="F620" s="74">
        <v>59.0</v>
      </c>
      <c r="G620" s="74">
        <v>99.0</v>
      </c>
      <c r="H620" s="119"/>
      <c r="I620" s="119"/>
      <c r="J620" s="119"/>
      <c r="K620" s="74">
        <v>2.0</v>
      </c>
      <c r="L620" s="74" t="s">
        <v>2126</v>
      </c>
      <c r="M620" s="74" t="s">
        <v>2126</v>
      </c>
      <c r="N620" s="119"/>
      <c r="O620" s="119"/>
      <c r="P620" s="74" t="s">
        <v>10738</v>
      </c>
      <c r="Q620" s="74" t="s">
        <v>10739</v>
      </c>
      <c r="R620" s="74">
        <v>22.5412027</v>
      </c>
      <c r="S620" s="74">
        <v>88.3743852</v>
      </c>
      <c r="T620" s="74">
        <v>-42.9000015258789</v>
      </c>
      <c r="U620" s="74">
        <v>4.5</v>
      </c>
      <c r="V620" s="74">
        <v>1.0</v>
      </c>
      <c r="W620" s="74">
        <v>0.0</v>
      </c>
      <c r="X620" s="74">
        <v>0.0</v>
      </c>
      <c r="Y620" s="74">
        <v>1.0</v>
      </c>
      <c r="Z620" s="119"/>
      <c r="AA620" s="119"/>
      <c r="AB620" s="119"/>
      <c r="AC620" s="119"/>
      <c r="AD620" s="119"/>
      <c r="AE620" s="119"/>
      <c r="AF620" s="119"/>
      <c r="AG620" s="119"/>
      <c r="AH620" s="119"/>
      <c r="AI620" s="119"/>
      <c r="AJ620" s="119"/>
      <c r="AK620" s="119"/>
      <c r="AL620" s="119"/>
      <c r="AM620" s="119"/>
      <c r="AN620" s="119"/>
      <c r="AO620" s="119"/>
      <c r="AP620" s="119"/>
      <c r="AQ620" s="74" t="s">
        <v>10745</v>
      </c>
      <c r="AR620" s="74" t="s">
        <v>2278</v>
      </c>
      <c r="AS620" s="119"/>
      <c r="AT620" s="74" t="s">
        <v>5540</v>
      </c>
      <c r="AU620" s="120">
        <v>7345.0</v>
      </c>
      <c r="AV620" s="74" t="s">
        <v>10746</v>
      </c>
      <c r="AW620" s="74" t="s">
        <v>10747</v>
      </c>
      <c r="AX620" s="120">
        <v>619.0</v>
      </c>
    </row>
    <row r="621">
      <c r="A621" s="74" t="s">
        <v>10748</v>
      </c>
      <c r="B621" s="74" t="s">
        <v>10749</v>
      </c>
      <c r="C621" s="119"/>
      <c r="D621" s="119"/>
      <c r="E621" s="74">
        <v>3.5215509147374E14</v>
      </c>
      <c r="F621" s="74">
        <v>59.0</v>
      </c>
      <c r="G621" s="74">
        <v>11.0</v>
      </c>
      <c r="H621" s="74">
        <v>4.0</v>
      </c>
      <c r="I621" s="74">
        <v>1.0</v>
      </c>
      <c r="J621" s="74" t="s">
        <v>8348</v>
      </c>
      <c r="K621" s="119"/>
      <c r="L621" s="74" t="s">
        <v>2128</v>
      </c>
      <c r="M621" s="74" t="s">
        <v>2128</v>
      </c>
      <c r="N621" s="119"/>
      <c r="O621" s="119"/>
      <c r="P621" s="74" t="s">
        <v>10753</v>
      </c>
      <c r="Q621" s="74" t="s">
        <v>10754</v>
      </c>
      <c r="R621" s="74">
        <v>22.541384</v>
      </c>
      <c r="S621" s="74">
        <v>88.3753704</v>
      </c>
      <c r="T621" s="74">
        <v>-69.1999969482421</v>
      </c>
      <c r="U621" s="74">
        <v>5.0</v>
      </c>
      <c r="V621" s="74">
        <v>1.0</v>
      </c>
      <c r="W621" s="74">
        <v>0.0</v>
      </c>
      <c r="X621" s="74">
        <v>0.0</v>
      </c>
      <c r="Y621" s="74">
        <v>1.0</v>
      </c>
      <c r="Z621" s="119"/>
      <c r="AA621" s="74">
        <v>2.0</v>
      </c>
      <c r="AB621" s="74">
        <v>4.0</v>
      </c>
      <c r="AC621" s="119"/>
      <c r="AD621" s="119"/>
      <c r="AE621" s="119"/>
      <c r="AF621" s="119"/>
      <c r="AG621" s="119"/>
      <c r="AH621" s="119"/>
      <c r="AI621" s="119"/>
      <c r="AJ621" s="119"/>
      <c r="AK621" s="119"/>
      <c r="AL621" s="119"/>
      <c r="AM621" s="119"/>
      <c r="AN621" s="119"/>
      <c r="AO621" s="119"/>
      <c r="AP621" s="119"/>
      <c r="AQ621" s="74" t="s">
        <v>3134</v>
      </c>
      <c r="AR621" s="74" t="s">
        <v>2278</v>
      </c>
      <c r="AS621" s="74">
        <v>1.0</v>
      </c>
      <c r="AT621" s="74" t="s">
        <v>5540</v>
      </c>
      <c r="AU621" s="120">
        <v>7346.0</v>
      </c>
      <c r="AV621" s="74" t="s">
        <v>10761</v>
      </c>
      <c r="AW621" s="74" t="s">
        <v>10762</v>
      </c>
      <c r="AX621" s="120">
        <v>620.0</v>
      </c>
    </row>
    <row r="622">
      <c r="A622" s="74" t="s">
        <v>10763</v>
      </c>
      <c r="B622" s="74" t="s">
        <v>10764</v>
      </c>
      <c r="C622" s="119"/>
      <c r="D622" s="119"/>
      <c r="E622" s="74">
        <v>3.5215509147374E14</v>
      </c>
      <c r="F622" s="74">
        <v>59.0</v>
      </c>
      <c r="G622" s="74">
        <v>99.0</v>
      </c>
      <c r="H622" s="119"/>
      <c r="I622" s="119"/>
      <c r="J622" s="119"/>
      <c r="K622" s="74">
        <v>2.0</v>
      </c>
      <c r="L622" s="74" t="s">
        <v>2130</v>
      </c>
      <c r="M622" s="74" t="s">
        <v>2130</v>
      </c>
      <c r="N622" s="119"/>
      <c r="O622" s="119"/>
      <c r="P622" s="74" t="s">
        <v>10766</v>
      </c>
      <c r="Q622" s="74" t="s">
        <v>10767</v>
      </c>
      <c r="R622" s="74">
        <v>22.5413722</v>
      </c>
      <c r="S622" s="74">
        <v>88.3754687</v>
      </c>
      <c r="T622" s="74">
        <v>-67.0</v>
      </c>
      <c r="U622" s="74">
        <v>5.0</v>
      </c>
      <c r="V622" s="74">
        <v>1.0</v>
      </c>
      <c r="W622" s="74">
        <v>0.0</v>
      </c>
      <c r="X622" s="74">
        <v>0.0</v>
      </c>
      <c r="Y622" s="74">
        <v>1.0</v>
      </c>
      <c r="Z622" s="119"/>
      <c r="AA622" s="119"/>
      <c r="AB622" s="119"/>
      <c r="AC622" s="119"/>
      <c r="AD622" s="119"/>
      <c r="AE622" s="119"/>
      <c r="AF622" s="119"/>
      <c r="AG622" s="119"/>
      <c r="AH622" s="119"/>
      <c r="AI622" s="119"/>
      <c r="AJ622" s="119"/>
      <c r="AK622" s="119"/>
      <c r="AL622" s="119"/>
      <c r="AM622" s="119"/>
      <c r="AN622" s="119"/>
      <c r="AO622" s="119"/>
      <c r="AP622" s="119"/>
      <c r="AQ622" s="74" t="s">
        <v>10772</v>
      </c>
      <c r="AR622" s="74" t="s">
        <v>2278</v>
      </c>
      <c r="AS622" s="119"/>
      <c r="AT622" s="74" t="s">
        <v>5540</v>
      </c>
      <c r="AU622" s="120">
        <v>7347.0</v>
      </c>
      <c r="AV622" s="74" t="s">
        <v>10773</v>
      </c>
      <c r="AW622" s="74" t="s">
        <v>10774</v>
      </c>
      <c r="AX622" s="120">
        <v>621.0</v>
      </c>
    </row>
    <row r="623">
      <c r="A623" s="74" t="s">
        <v>10775</v>
      </c>
      <c r="B623" s="74" t="s">
        <v>10776</v>
      </c>
      <c r="C623" s="119"/>
      <c r="D623" s="119"/>
      <c r="E623" s="74">
        <v>3.52155090281144E14</v>
      </c>
      <c r="F623" s="74">
        <v>55.0</v>
      </c>
      <c r="G623" s="74">
        <v>12.0</v>
      </c>
      <c r="H623" s="119"/>
      <c r="I623" s="119"/>
      <c r="J623" s="119"/>
      <c r="K623" s="119"/>
      <c r="L623" s="74" t="s">
        <v>2144</v>
      </c>
      <c r="M623" s="74" t="s">
        <v>2144</v>
      </c>
      <c r="N623" s="74">
        <v>4.0</v>
      </c>
      <c r="O623" s="74" t="s">
        <v>10777</v>
      </c>
      <c r="P623" s="119"/>
      <c r="Q623" s="74" t="s">
        <v>10779</v>
      </c>
      <c r="R623" s="74">
        <v>22.563603</v>
      </c>
      <c r="S623" s="74">
        <v>88.3773199</v>
      </c>
      <c r="T623" s="74">
        <v>-39.5</v>
      </c>
      <c r="U623" s="74">
        <v>5.0</v>
      </c>
      <c r="V623" s="74">
        <v>1.0</v>
      </c>
      <c r="W623" s="74">
        <v>0.0</v>
      </c>
      <c r="X623" s="74">
        <v>0.0</v>
      </c>
      <c r="Y623" s="74">
        <v>1.0</v>
      </c>
      <c r="Z623" s="119"/>
      <c r="AA623" s="119"/>
      <c r="AB623" s="119"/>
      <c r="AC623" s="119"/>
      <c r="AD623" s="119"/>
      <c r="AE623" s="74">
        <v>2.0</v>
      </c>
      <c r="AF623" s="74">
        <v>1.0</v>
      </c>
      <c r="AG623" s="74">
        <v>4.0</v>
      </c>
      <c r="AH623" s="74">
        <v>4.0</v>
      </c>
      <c r="AI623" s="119"/>
      <c r="AJ623" s="119"/>
      <c r="AK623" s="119"/>
      <c r="AL623" s="119"/>
      <c r="AM623" s="119"/>
      <c r="AN623" s="119"/>
      <c r="AO623" s="119"/>
      <c r="AP623" s="119"/>
      <c r="AQ623" s="74" t="s">
        <v>3185</v>
      </c>
      <c r="AR623" s="74" t="s">
        <v>2286</v>
      </c>
      <c r="AS623" s="74">
        <v>0.0</v>
      </c>
      <c r="AT623" s="74" t="s">
        <v>5540</v>
      </c>
      <c r="AU623" s="120">
        <v>7406.0</v>
      </c>
      <c r="AV623" s="74" t="s">
        <v>10787</v>
      </c>
      <c r="AW623" s="74" t="s">
        <v>10788</v>
      </c>
      <c r="AX623" s="120">
        <v>622.0</v>
      </c>
    </row>
    <row r="624">
      <c r="A624" s="74" t="s">
        <v>10789</v>
      </c>
      <c r="B624" s="74" t="s">
        <v>10790</v>
      </c>
      <c r="C624" s="119"/>
      <c r="D624" s="119"/>
      <c r="E624" s="74">
        <v>3.52155090281144E14</v>
      </c>
      <c r="F624" s="74">
        <v>55.0</v>
      </c>
      <c r="G624" s="74">
        <v>99.0</v>
      </c>
      <c r="H624" s="119"/>
      <c r="I624" s="119"/>
      <c r="J624" s="119"/>
      <c r="K624" s="74">
        <v>1.0</v>
      </c>
      <c r="L624" s="74" t="s">
        <v>2146</v>
      </c>
      <c r="M624" s="74" t="s">
        <v>2146</v>
      </c>
      <c r="N624" s="119"/>
      <c r="O624" s="119"/>
      <c r="P624" s="74" t="s">
        <v>10791</v>
      </c>
      <c r="Q624" s="74" t="s">
        <v>10792</v>
      </c>
      <c r="R624" s="74">
        <v>22.5636552</v>
      </c>
      <c r="S624" s="74">
        <v>88.3773385</v>
      </c>
      <c r="T624" s="74">
        <v>-64.9000015258789</v>
      </c>
      <c r="U624" s="74">
        <v>5.0</v>
      </c>
      <c r="V624" s="74">
        <v>1.0</v>
      </c>
      <c r="W624" s="74">
        <v>0.0</v>
      </c>
      <c r="X624" s="74">
        <v>0.0</v>
      </c>
      <c r="Y624" s="74">
        <v>1.0</v>
      </c>
      <c r="Z624" s="119"/>
      <c r="AA624" s="119"/>
      <c r="AB624" s="119"/>
      <c r="AC624" s="119"/>
      <c r="AD624" s="119"/>
      <c r="AE624" s="119"/>
      <c r="AF624" s="119"/>
      <c r="AG624" s="119"/>
      <c r="AH624" s="119"/>
      <c r="AI624" s="119"/>
      <c r="AJ624" s="119"/>
      <c r="AK624" s="119"/>
      <c r="AL624" s="119"/>
      <c r="AM624" s="119"/>
      <c r="AN624" s="119"/>
      <c r="AO624" s="119"/>
      <c r="AP624" s="119"/>
      <c r="AQ624" s="74" t="s">
        <v>10797</v>
      </c>
      <c r="AR624" s="74" t="s">
        <v>2278</v>
      </c>
      <c r="AS624" s="119"/>
      <c r="AT624" s="74" t="s">
        <v>5540</v>
      </c>
      <c r="AU624" s="120">
        <v>7407.0</v>
      </c>
      <c r="AV624" s="74" t="s">
        <v>10798</v>
      </c>
      <c r="AW624" s="74" t="s">
        <v>10799</v>
      </c>
      <c r="AX624" s="120">
        <v>623.0</v>
      </c>
    </row>
    <row r="625">
      <c r="A625" s="74" t="s">
        <v>10800</v>
      </c>
      <c r="B625" s="74" t="s">
        <v>10801</v>
      </c>
      <c r="C625" s="119"/>
      <c r="D625" s="119"/>
      <c r="E625" s="74">
        <v>3.52155090281144E14</v>
      </c>
      <c r="F625" s="74">
        <v>57.0</v>
      </c>
      <c r="G625" s="74">
        <v>12.0</v>
      </c>
      <c r="H625" s="119"/>
      <c r="I625" s="119"/>
      <c r="J625" s="119"/>
      <c r="K625" s="119"/>
      <c r="L625" s="74" t="s">
        <v>2137</v>
      </c>
      <c r="M625" s="74" t="s">
        <v>2137</v>
      </c>
      <c r="N625" s="74">
        <v>7.0</v>
      </c>
      <c r="O625" s="74" t="s">
        <v>10802</v>
      </c>
      <c r="P625" s="119"/>
      <c r="Q625" s="74" t="s">
        <v>10803</v>
      </c>
      <c r="R625" s="74">
        <v>22.5579426</v>
      </c>
      <c r="S625" s="74">
        <v>88.3896292</v>
      </c>
      <c r="T625" s="74">
        <v>-50.5</v>
      </c>
      <c r="U625" s="74">
        <v>5.0</v>
      </c>
      <c r="V625" s="74">
        <v>1.0</v>
      </c>
      <c r="W625" s="74">
        <v>0.0</v>
      </c>
      <c r="X625" s="74">
        <v>0.0</v>
      </c>
      <c r="Y625" s="74">
        <v>1.0</v>
      </c>
      <c r="Z625" s="119"/>
      <c r="AA625" s="119"/>
      <c r="AB625" s="119"/>
      <c r="AC625" s="119"/>
      <c r="AD625" s="119"/>
      <c r="AE625" s="74">
        <v>2.0</v>
      </c>
      <c r="AF625" s="74">
        <v>2.0</v>
      </c>
      <c r="AG625" s="74">
        <v>3.0</v>
      </c>
      <c r="AH625" s="74">
        <v>4.0</v>
      </c>
      <c r="AI625" s="119"/>
      <c r="AJ625" s="119"/>
      <c r="AK625" s="119"/>
      <c r="AL625" s="119"/>
      <c r="AM625" s="119"/>
      <c r="AN625" s="119"/>
      <c r="AO625" s="119"/>
      <c r="AP625" s="119"/>
      <c r="AQ625" s="74" t="s">
        <v>2949</v>
      </c>
      <c r="AR625" s="74" t="s">
        <v>2472</v>
      </c>
      <c r="AS625" s="74">
        <v>0.0</v>
      </c>
      <c r="AT625" s="74" t="s">
        <v>5540</v>
      </c>
      <c r="AU625" s="120">
        <v>7408.0</v>
      </c>
      <c r="AV625" s="74" t="s">
        <v>10812</v>
      </c>
      <c r="AW625" s="74" t="s">
        <v>10813</v>
      </c>
      <c r="AX625" s="120">
        <v>624.0</v>
      </c>
    </row>
    <row r="626">
      <c r="A626" s="74" t="s">
        <v>10814</v>
      </c>
      <c r="B626" s="74" t="s">
        <v>10815</v>
      </c>
      <c r="C626" s="119"/>
      <c r="D626" s="119"/>
      <c r="E626" s="74">
        <v>3.52155090281144E14</v>
      </c>
      <c r="F626" s="74">
        <v>57.0</v>
      </c>
      <c r="G626" s="74">
        <v>99.0</v>
      </c>
      <c r="H626" s="119"/>
      <c r="I626" s="119"/>
      <c r="J626" s="119"/>
      <c r="K626" s="74">
        <v>1.0</v>
      </c>
      <c r="L626" s="74" t="s">
        <v>2140</v>
      </c>
      <c r="M626" s="74" t="s">
        <v>2140</v>
      </c>
      <c r="N626" s="119"/>
      <c r="O626" s="119"/>
      <c r="P626" s="74" t="s">
        <v>10816</v>
      </c>
      <c r="Q626" s="74" t="s">
        <v>10817</v>
      </c>
      <c r="R626" s="74">
        <v>22.5579602</v>
      </c>
      <c r="S626" s="74">
        <v>88.3896268</v>
      </c>
      <c r="T626" s="74">
        <v>-56.5</v>
      </c>
      <c r="U626" s="74">
        <v>5.0</v>
      </c>
      <c r="V626" s="74">
        <v>1.0</v>
      </c>
      <c r="W626" s="74">
        <v>0.0</v>
      </c>
      <c r="X626" s="74">
        <v>0.0</v>
      </c>
      <c r="Y626" s="74">
        <v>1.0</v>
      </c>
      <c r="Z626" s="119"/>
      <c r="AA626" s="119"/>
      <c r="AB626" s="119"/>
      <c r="AC626" s="119"/>
      <c r="AD626" s="119"/>
      <c r="AE626" s="119"/>
      <c r="AF626" s="119"/>
      <c r="AG626" s="119"/>
      <c r="AH626" s="119"/>
      <c r="AI626" s="119"/>
      <c r="AJ626" s="119"/>
      <c r="AK626" s="119"/>
      <c r="AL626" s="119"/>
      <c r="AM626" s="119"/>
      <c r="AN626" s="119"/>
      <c r="AO626" s="119"/>
      <c r="AP626" s="119"/>
      <c r="AQ626" s="74" t="s">
        <v>10821</v>
      </c>
      <c r="AR626" s="74" t="s">
        <v>2472</v>
      </c>
      <c r="AS626" s="119"/>
      <c r="AT626" s="74" t="s">
        <v>5540</v>
      </c>
      <c r="AU626" s="120">
        <v>7409.0</v>
      </c>
      <c r="AV626" s="74" t="s">
        <v>10822</v>
      </c>
      <c r="AW626" s="74" t="s">
        <v>10823</v>
      </c>
      <c r="AX626" s="120">
        <v>625.0</v>
      </c>
    </row>
    <row r="627">
      <c r="A627" s="74" t="s">
        <v>10825</v>
      </c>
      <c r="B627" s="74" t="s">
        <v>10826</v>
      </c>
      <c r="C627" s="119"/>
      <c r="D627" s="119"/>
      <c r="E627" s="74">
        <v>3.52155090281144E14</v>
      </c>
      <c r="F627" s="74">
        <v>57.0</v>
      </c>
      <c r="G627" s="74">
        <v>11.0</v>
      </c>
      <c r="H627" s="74">
        <v>1.0</v>
      </c>
      <c r="I627" s="119"/>
      <c r="J627" s="119"/>
      <c r="K627" s="119"/>
      <c r="L627" s="74" t="s">
        <v>2148</v>
      </c>
      <c r="M627" s="74" t="s">
        <v>2148</v>
      </c>
      <c r="N627" s="119"/>
      <c r="O627" s="119"/>
      <c r="P627" s="74" t="s">
        <v>10827</v>
      </c>
      <c r="Q627" s="74" t="s">
        <v>10828</v>
      </c>
      <c r="R627" s="74">
        <v>22.5579552</v>
      </c>
      <c r="S627" s="74">
        <v>88.3896759</v>
      </c>
      <c r="T627" s="74">
        <v>-61.599998474121</v>
      </c>
      <c r="U627" s="74">
        <v>5.0</v>
      </c>
      <c r="V627" s="74">
        <v>1.0</v>
      </c>
      <c r="W627" s="74">
        <v>0.0</v>
      </c>
      <c r="X627" s="74">
        <v>0.0</v>
      </c>
      <c r="Y627" s="74">
        <v>1.0</v>
      </c>
      <c r="Z627" s="119"/>
      <c r="AA627" s="74">
        <v>1.0</v>
      </c>
      <c r="AB627" s="74">
        <v>4.0</v>
      </c>
      <c r="AC627" s="119"/>
      <c r="AD627" s="119"/>
      <c r="AE627" s="119"/>
      <c r="AF627" s="119"/>
      <c r="AG627" s="119"/>
      <c r="AH627" s="119"/>
      <c r="AI627" s="119"/>
      <c r="AJ627" s="119"/>
      <c r="AK627" s="119"/>
      <c r="AL627" s="119"/>
      <c r="AM627" s="119"/>
      <c r="AN627" s="119"/>
      <c r="AO627" s="119"/>
      <c r="AP627" s="119"/>
      <c r="AQ627" s="74" t="s">
        <v>3149</v>
      </c>
      <c r="AR627" s="74" t="s">
        <v>2327</v>
      </c>
      <c r="AS627" s="74">
        <v>0.0</v>
      </c>
      <c r="AT627" s="74" t="s">
        <v>5540</v>
      </c>
      <c r="AU627" s="120">
        <v>7410.0</v>
      </c>
      <c r="AV627" s="74" t="s">
        <v>10837</v>
      </c>
      <c r="AW627" s="74" t="s">
        <v>10838</v>
      </c>
      <c r="AX627" s="120">
        <v>626.0</v>
      </c>
    </row>
    <row r="628">
      <c r="A628" s="74" t="s">
        <v>10839</v>
      </c>
      <c r="B628" s="74" t="s">
        <v>10840</v>
      </c>
      <c r="C628" s="119"/>
      <c r="D628" s="119"/>
      <c r="E628" s="74">
        <v>3.52155090281144E14</v>
      </c>
      <c r="F628" s="74">
        <v>57.0</v>
      </c>
      <c r="G628" s="74">
        <v>12.0</v>
      </c>
      <c r="H628" s="119"/>
      <c r="I628" s="119"/>
      <c r="J628" s="119"/>
      <c r="K628" s="119"/>
      <c r="L628" s="74" t="s">
        <v>2134</v>
      </c>
      <c r="M628" s="74" t="s">
        <v>2134</v>
      </c>
      <c r="N628" s="74">
        <v>2.0</v>
      </c>
      <c r="O628" s="74" t="s">
        <v>10841</v>
      </c>
      <c r="P628" s="119"/>
      <c r="Q628" s="74" t="s">
        <v>10842</v>
      </c>
      <c r="R628" s="74">
        <v>22.5541924</v>
      </c>
      <c r="S628" s="74">
        <v>88.3968199</v>
      </c>
      <c r="T628" s="74">
        <v>-63.099998474121</v>
      </c>
      <c r="U628" s="74">
        <v>5.0</v>
      </c>
      <c r="V628" s="74">
        <v>1.0</v>
      </c>
      <c r="W628" s="74">
        <v>0.0</v>
      </c>
      <c r="X628" s="74">
        <v>0.0</v>
      </c>
      <c r="Y628" s="74">
        <v>1.0</v>
      </c>
      <c r="Z628" s="119"/>
      <c r="AA628" s="119"/>
      <c r="AB628" s="119"/>
      <c r="AC628" s="119"/>
      <c r="AD628" s="119"/>
      <c r="AE628" s="74">
        <v>1.0</v>
      </c>
      <c r="AF628" s="74">
        <v>2.0</v>
      </c>
      <c r="AG628" s="74">
        <v>3.0</v>
      </c>
      <c r="AH628" s="74">
        <v>4.0</v>
      </c>
      <c r="AI628" s="119"/>
      <c r="AJ628" s="119"/>
      <c r="AK628" s="119"/>
      <c r="AL628" s="119"/>
      <c r="AM628" s="119"/>
      <c r="AN628" s="119"/>
      <c r="AO628" s="119"/>
      <c r="AP628" s="119"/>
      <c r="AQ628" s="74" t="s">
        <v>2949</v>
      </c>
      <c r="AR628" s="74" t="s">
        <v>2278</v>
      </c>
      <c r="AS628" s="74">
        <v>0.0</v>
      </c>
      <c r="AT628" s="74" t="s">
        <v>5540</v>
      </c>
      <c r="AU628" s="120">
        <v>7411.0</v>
      </c>
      <c r="AV628" s="74" t="s">
        <v>10847</v>
      </c>
      <c r="AW628" s="74" t="s">
        <v>10848</v>
      </c>
      <c r="AX628" s="120">
        <v>627.0</v>
      </c>
    </row>
    <row r="629">
      <c r="A629" s="74" t="s">
        <v>10849</v>
      </c>
      <c r="B629" s="74" t="s">
        <v>10850</v>
      </c>
      <c r="C629" s="119"/>
      <c r="D629" s="119"/>
      <c r="E629" s="74">
        <v>3.52155090281144E14</v>
      </c>
      <c r="F629" s="74">
        <v>57.0</v>
      </c>
      <c r="G629" s="74">
        <v>99.0</v>
      </c>
      <c r="H629" s="119"/>
      <c r="I629" s="119"/>
      <c r="J629" s="119"/>
      <c r="K629" s="74">
        <v>1.0</v>
      </c>
      <c r="L629" s="74" t="s">
        <v>2135</v>
      </c>
      <c r="M629" s="74" t="s">
        <v>2135</v>
      </c>
      <c r="N629" s="119"/>
      <c r="O629" s="119"/>
      <c r="P629" s="74" t="s">
        <v>10852</v>
      </c>
      <c r="Q629" s="74" t="s">
        <v>10854</v>
      </c>
      <c r="R629" s="74">
        <v>22.5542164</v>
      </c>
      <c r="S629" s="74">
        <v>88.3967509</v>
      </c>
      <c r="T629" s="74">
        <v>-54.099998474121</v>
      </c>
      <c r="U629" s="74">
        <v>5.0</v>
      </c>
      <c r="V629" s="74">
        <v>1.0</v>
      </c>
      <c r="W629" s="74">
        <v>0.0</v>
      </c>
      <c r="X629" s="74">
        <v>0.0</v>
      </c>
      <c r="Y629" s="74">
        <v>1.0</v>
      </c>
      <c r="Z629" s="119"/>
      <c r="AA629" s="119"/>
      <c r="AB629" s="119"/>
      <c r="AC629" s="119"/>
      <c r="AD629" s="119"/>
      <c r="AE629" s="119"/>
      <c r="AF629" s="119"/>
      <c r="AG629" s="119"/>
      <c r="AH629" s="119"/>
      <c r="AI629" s="119"/>
      <c r="AJ629" s="119"/>
      <c r="AK629" s="119"/>
      <c r="AL629" s="119"/>
      <c r="AM629" s="119"/>
      <c r="AN629" s="119"/>
      <c r="AO629" s="119"/>
      <c r="AP629" s="119"/>
      <c r="AQ629" s="74" t="s">
        <v>10858</v>
      </c>
      <c r="AR629" s="74" t="s">
        <v>2278</v>
      </c>
      <c r="AS629" s="119"/>
      <c r="AT629" s="74" t="s">
        <v>5540</v>
      </c>
      <c r="AU629" s="120">
        <v>7412.0</v>
      </c>
      <c r="AV629" s="74" t="s">
        <v>10859</v>
      </c>
      <c r="AW629" s="74" t="s">
        <v>10861</v>
      </c>
      <c r="AX629" s="120">
        <v>628.0</v>
      </c>
    </row>
    <row r="630">
      <c r="A630" s="74" t="s">
        <v>10863</v>
      </c>
      <c r="B630" s="74" t="s">
        <v>10864</v>
      </c>
      <c r="C630" s="119"/>
      <c r="D630" s="119"/>
      <c r="E630" s="74">
        <v>3.52155090281144E14</v>
      </c>
      <c r="F630" s="74">
        <v>66.0</v>
      </c>
      <c r="G630" s="74">
        <v>12.0</v>
      </c>
      <c r="H630" s="119"/>
      <c r="I630" s="119"/>
      <c r="J630" s="119"/>
      <c r="K630" s="119"/>
      <c r="L630" s="74" t="s">
        <v>2152</v>
      </c>
      <c r="M630" s="74" t="s">
        <v>2152</v>
      </c>
      <c r="N630" s="74">
        <v>5.0</v>
      </c>
      <c r="O630" s="74" t="s">
        <v>10868</v>
      </c>
      <c r="P630" s="119"/>
      <c r="Q630" s="74" t="s">
        <v>10870</v>
      </c>
      <c r="R630" s="74">
        <v>22.5346443</v>
      </c>
      <c r="S630" s="74">
        <v>88.3959663</v>
      </c>
      <c r="T630" s="74">
        <v>-53.5</v>
      </c>
      <c r="U630" s="74">
        <v>4.0</v>
      </c>
      <c r="V630" s="74">
        <v>1.0</v>
      </c>
      <c r="W630" s="74">
        <v>0.0</v>
      </c>
      <c r="X630" s="74">
        <v>0.0</v>
      </c>
      <c r="Y630" s="74">
        <v>1.0</v>
      </c>
      <c r="Z630" s="119"/>
      <c r="AA630" s="119"/>
      <c r="AB630" s="119"/>
      <c r="AC630" s="119"/>
      <c r="AD630" s="119"/>
      <c r="AE630" s="74">
        <v>1.0</v>
      </c>
      <c r="AF630" s="74">
        <v>1.0</v>
      </c>
      <c r="AG630" s="74">
        <v>3.0</v>
      </c>
      <c r="AH630" s="74">
        <v>4.0</v>
      </c>
      <c r="AI630" s="119"/>
      <c r="AJ630" s="119"/>
      <c r="AK630" s="119"/>
      <c r="AL630" s="119"/>
      <c r="AM630" s="119"/>
      <c r="AN630" s="119"/>
      <c r="AO630" s="119"/>
      <c r="AP630" s="119"/>
      <c r="AQ630" s="74" t="s">
        <v>3149</v>
      </c>
      <c r="AR630" s="74" t="s">
        <v>3142</v>
      </c>
      <c r="AS630" s="74">
        <v>0.0</v>
      </c>
      <c r="AT630" s="74" t="s">
        <v>5540</v>
      </c>
      <c r="AU630" s="120">
        <v>7414.0</v>
      </c>
      <c r="AV630" s="74" t="s">
        <v>10874</v>
      </c>
      <c r="AW630" s="74" t="s">
        <v>10876</v>
      </c>
      <c r="AX630" s="120">
        <v>629.0</v>
      </c>
    </row>
    <row r="631">
      <c r="A631" s="74" t="s">
        <v>10877</v>
      </c>
      <c r="B631" s="74" t="s">
        <v>10878</v>
      </c>
      <c r="C631" s="119"/>
      <c r="D631" s="119"/>
      <c r="E631" s="74">
        <v>3.52155090281144E14</v>
      </c>
      <c r="F631" s="74">
        <v>66.0</v>
      </c>
      <c r="G631" s="74">
        <v>99.0</v>
      </c>
      <c r="H631" s="119"/>
      <c r="I631" s="119"/>
      <c r="J631" s="119"/>
      <c r="K631" s="74">
        <v>1.0</v>
      </c>
      <c r="L631" s="74" t="s">
        <v>2153</v>
      </c>
      <c r="M631" s="74" t="s">
        <v>2153</v>
      </c>
      <c r="N631" s="119"/>
      <c r="O631" s="119"/>
      <c r="P631" s="74" t="s">
        <v>4220</v>
      </c>
      <c r="Q631" s="74" t="s">
        <v>10883</v>
      </c>
      <c r="R631" s="74">
        <v>22.5346685</v>
      </c>
      <c r="S631" s="74">
        <v>88.3959393</v>
      </c>
      <c r="T631" s="74">
        <v>-39.099998474121</v>
      </c>
      <c r="U631" s="74">
        <v>5.0</v>
      </c>
      <c r="V631" s="74">
        <v>1.0</v>
      </c>
      <c r="W631" s="74">
        <v>0.0</v>
      </c>
      <c r="X631" s="74">
        <v>0.0</v>
      </c>
      <c r="Y631" s="74">
        <v>1.0</v>
      </c>
      <c r="Z631" s="119"/>
      <c r="AA631" s="119"/>
      <c r="AB631" s="119"/>
      <c r="AC631" s="119"/>
      <c r="AD631" s="119"/>
      <c r="AE631" s="119"/>
      <c r="AF631" s="119"/>
      <c r="AG631" s="119"/>
      <c r="AH631" s="119"/>
      <c r="AI631" s="119"/>
      <c r="AJ631" s="119"/>
      <c r="AK631" s="119"/>
      <c r="AL631" s="119"/>
      <c r="AM631" s="119"/>
      <c r="AN631" s="119"/>
      <c r="AO631" s="119"/>
      <c r="AP631" s="119"/>
      <c r="AQ631" s="74" t="s">
        <v>3149</v>
      </c>
      <c r="AR631" s="74" t="s">
        <v>3142</v>
      </c>
      <c r="AS631" s="119"/>
      <c r="AT631" s="74" t="s">
        <v>5540</v>
      </c>
      <c r="AU631" s="120">
        <v>7415.0</v>
      </c>
      <c r="AV631" s="74" t="s">
        <v>10886</v>
      </c>
      <c r="AW631" s="74" t="s">
        <v>10888</v>
      </c>
      <c r="AX631" s="120">
        <v>630.0</v>
      </c>
    </row>
    <row r="632">
      <c r="A632" s="74" t="s">
        <v>10890</v>
      </c>
      <c r="B632" s="74" t="s">
        <v>10891</v>
      </c>
      <c r="C632" s="119"/>
      <c r="D632" s="119"/>
      <c r="E632" s="74">
        <v>3.52155090281144E14</v>
      </c>
      <c r="F632" s="74">
        <v>59.0</v>
      </c>
      <c r="G632" s="74">
        <v>12.0</v>
      </c>
      <c r="H632" s="119"/>
      <c r="I632" s="119"/>
      <c r="J632" s="119"/>
      <c r="K632" s="119"/>
      <c r="L632" s="74" t="s">
        <v>2155</v>
      </c>
      <c r="M632" s="74" t="s">
        <v>2155</v>
      </c>
      <c r="N632" s="74">
        <v>6.0</v>
      </c>
      <c r="O632" s="74" t="s">
        <v>10893</v>
      </c>
      <c r="P632" s="119"/>
      <c r="Q632" s="74" t="s">
        <v>10894</v>
      </c>
      <c r="R632" s="74">
        <v>22.5399995</v>
      </c>
      <c r="S632" s="74">
        <v>88.3872355</v>
      </c>
      <c r="T632" s="74">
        <v>-74.1999969482421</v>
      </c>
      <c r="U632" s="74">
        <v>5.0</v>
      </c>
      <c r="V632" s="74">
        <v>1.0</v>
      </c>
      <c r="W632" s="74">
        <v>0.0</v>
      </c>
      <c r="X632" s="74">
        <v>0.0</v>
      </c>
      <c r="Y632" s="74">
        <v>1.0</v>
      </c>
      <c r="Z632" s="119"/>
      <c r="AA632" s="119"/>
      <c r="AB632" s="119"/>
      <c r="AC632" s="119"/>
      <c r="AD632" s="119"/>
      <c r="AE632" s="74">
        <v>1.0</v>
      </c>
      <c r="AF632" s="74">
        <v>1.0</v>
      </c>
      <c r="AG632" s="74">
        <v>4.0</v>
      </c>
      <c r="AH632" s="74">
        <v>4.0</v>
      </c>
      <c r="AI632" s="119"/>
      <c r="AJ632" s="119"/>
      <c r="AK632" s="119"/>
      <c r="AL632" s="119"/>
      <c r="AM632" s="119"/>
      <c r="AN632" s="119"/>
      <c r="AO632" s="119"/>
      <c r="AP632" s="119"/>
      <c r="AQ632" s="74" t="s">
        <v>3200</v>
      </c>
      <c r="AR632" s="74" t="s">
        <v>2286</v>
      </c>
      <c r="AS632" s="74">
        <v>0.0</v>
      </c>
      <c r="AT632" s="74" t="s">
        <v>5540</v>
      </c>
      <c r="AU632" s="120">
        <v>7416.0</v>
      </c>
      <c r="AV632" s="74" t="s">
        <v>10900</v>
      </c>
      <c r="AW632" s="74" t="s">
        <v>10902</v>
      </c>
      <c r="AX632" s="120">
        <v>631.0</v>
      </c>
    </row>
    <row r="633">
      <c r="A633" s="74" t="s">
        <v>10903</v>
      </c>
      <c r="B633" s="74" t="s">
        <v>10905</v>
      </c>
      <c r="C633" s="119"/>
      <c r="D633" s="119"/>
      <c r="E633" s="74">
        <v>3.52155090281144E14</v>
      </c>
      <c r="F633" s="74">
        <v>59.0</v>
      </c>
      <c r="G633" s="74">
        <v>99.0</v>
      </c>
      <c r="H633" s="119"/>
      <c r="I633" s="119"/>
      <c r="J633" s="119"/>
      <c r="K633" s="74">
        <v>1.0</v>
      </c>
      <c r="L633" s="74" t="s">
        <v>2156</v>
      </c>
      <c r="M633" s="74" t="s">
        <v>2156</v>
      </c>
      <c r="N633" s="119"/>
      <c r="O633" s="119"/>
      <c r="P633" s="74" t="s">
        <v>10910</v>
      </c>
      <c r="Q633" s="74" t="s">
        <v>10911</v>
      </c>
      <c r="R633" s="74">
        <v>22.5399901</v>
      </c>
      <c r="S633" s="74">
        <v>88.3872599</v>
      </c>
      <c r="T633" s="74">
        <v>-42.9000015258789</v>
      </c>
      <c r="U633" s="74">
        <v>5.0</v>
      </c>
      <c r="V633" s="74">
        <v>1.0</v>
      </c>
      <c r="W633" s="74">
        <v>0.0</v>
      </c>
      <c r="X633" s="74">
        <v>0.0</v>
      </c>
      <c r="Y633" s="74">
        <v>1.0</v>
      </c>
      <c r="Z633" s="119"/>
      <c r="AA633" s="119"/>
      <c r="AB633" s="119"/>
      <c r="AC633" s="119"/>
      <c r="AD633" s="119"/>
      <c r="AE633" s="119"/>
      <c r="AF633" s="119"/>
      <c r="AG633" s="119"/>
      <c r="AH633" s="119"/>
      <c r="AI633" s="119"/>
      <c r="AJ633" s="119"/>
      <c r="AK633" s="119"/>
      <c r="AL633" s="119"/>
      <c r="AM633" s="119"/>
      <c r="AN633" s="119"/>
      <c r="AO633" s="119"/>
      <c r="AP633" s="119"/>
      <c r="AQ633" s="74" t="s">
        <v>3200</v>
      </c>
      <c r="AR633" s="74" t="s">
        <v>2286</v>
      </c>
      <c r="AS633" s="119"/>
      <c r="AT633" s="74" t="s">
        <v>5540</v>
      </c>
      <c r="AU633" s="120">
        <v>7417.0</v>
      </c>
      <c r="AV633" s="74" t="s">
        <v>10915</v>
      </c>
      <c r="AW633" s="74" t="s">
        <v>10916</v>
      </c>
      <c r="AX633" s="120">
        <v>632.0</v>
      </c>
    </row>
    <row r="634">
      <c r="A634" s="74" t="s">
        <v>10918</v>
      </c>
      <c r="B634" s="74" t="s">
        <v>10919</v>
      </c>
      <c r="C634" s="119"/>
      <c r="D634" s="119"/>
      <c r="E634" s="74">
        <v>3.52155090281144E14</v>
      </c>
      <c r="F634" s="74">
        <v>65.0</v>
      </c>
      <c r="G634" s="74">
        <v>12.0</v>
      </c>
      <c r="H634" s="119"/>
      <c r="I634" s="119"/>
      <c r="J634" s="119"/>
      <c r="K634" s="119"/>
      <c r="L634" s="74" t="s">
        <v>2158</v>
      </c>
      <c r="M634" s="74" t="s">
        <v>2158</v>
      </c>
      <c r="N634" s="74">
        <v>8.0</v>
      </c>
      <c r="O634" s="74" t="s">
        <v>10924</v>
      </c>
      <c r="P634" s="119"/>
      <c r="Q634" s="74" t="s">
        <v>10925</v>
      </c>
      <c r="R634" s="74">
        <v>22.5360583</v>
      </c>
      <c r="S634" s="74">
        <v>88.3744562</v>
      </c>
      <c r="T634" s="74">
        <v>-82.5999984741211</v>
      </c>
      <c r="U634" s="74">
        <v>5.0</v>
      </c>
      <c r="V634" s="74">
        <v>1.0</v>
      </c>
      <c r="W634" s="74">
        <v>0.0</v>
      </c>
      <c r="X634" s="74">
        <v>0.0</v>
      </c>
      <c r="Y634" s="74">
        <v>1.0</v>
      </c>
      <c r="Z634" s="119"/>
      <c r="AA634" s="119"/>
      <c r="AB634" s="119"/>
      <c r="AC634" s="119"/>
      <c r="AD634" s="119"/>
      <c r="AE634" s="74">
        <v>1.0</v>
      </c>
      <c r="AF634" s="74">
        <v>1.0</v>
      </c>
      <c r="AG634" s="74">
        <v>4.0</v>
      </c>
      <c r="AH634" s="74">
        <v>4.0</v>
      </c>
      <c r="AI634" s="119"/>
      <c r="AJ634" s="119"/>
      <c r="AK634" s="119"/>
      <c r="AL634" s="119"/>
      <c r="AM634" s="119"/>
      <c r="AN634" s="119"/>
      <c r="AO634" s="119"/>
      <c r="AP634" s="119"/>
      <c r="AQ634" s="74" t="s">
        <v>3200</v>
      </c>
      <c r="AR634" s="74" t="s">
        <v>3142</v>
      </c>
      <c r="AS634" s="74">
        <v>0.0</v>
      </c>
      <c r="AT634" s="74" t="s">
        <v>5540</v>
      </c>
      <c r="AU634" s="120">
        <v>7418.0</v>
      </c>
      <c r="AV634" s="74" t="s">
        <v>10929</v>
      </c>
      <c r="AW634" s="74" t="s">
        <v>10930</v>
      </c>
      <c r="AX634" s="120">
        <v>633.0</v>
      </c>
    </row>
    <row r="635">
      <c r="A635" s="74" t="s">
        <v>10931</v>
      </c>
      <c r="B635" s="74" t="s">
        <v>10933</v>
      </c>
      <c r="C635" s="119"/>
      <c r="D635" s="119"/>
      <c r="E635" s="74">
        <v>3.52155090281144E14</v>
      </c>
      <c r="F635" s="74">
        <v>65.0</v>
      </c>
      <c r="G635" s="74">
        <v>11.0</v>
      </c>
      <c r="H635" s="74">
        <v>1.0</v>
      </c>
      <c r="I635" s="119"/>
      <c r="J635" s="119"/>
      <c r="K635" s="119"/>
      <c r="L635" s="74" t="s">
        <v>2174</v>
      </c>
      <c r="M635" s="74" t="s">
        <v>2174</v>
      </c>
      <c r="N635" s="119"/>
      <c r="O635" s="119"/>
      <c r="P635" s="74" t="s">
        <v>10938</v>
      </c>
      <c r="Q635" s="74" t="s">
        <v>10939</v>
      </c>
      <c r="R635" s="74">
        <v>22.5360801</v>
      </c>
      <c r="S635" s="74">
        <v>88.3745694</v>
      </c>
      <c r="T635" s="74">
        <v>-58.2000007629394</v>
      </c>
      <c r="U635" s="74">
        <v>5.0</v>
      </c>
      <c r="V635" s="74">
        <v>1.0</v>
      </c>
      <c r="W635" s="74">
        <v>0.0</v>
      </c>
      <c r="X635" s="74">
        <v>0.0</v>
      </c>
      <c r="Y635" s="74">
        <v>1.0</v>
      </c>
      <c r="Z635" s="119"/>
      <c r="AA635" s="74">
        <v>1.0</v>
      </c>
      <c r="AB635" s="74">
        <v>4.0</v>
      </c>
      <c r="AC635" s="119"/>
      <c r="AD635" s="119"/>
      <c r="AE635" s="119"/>
      <c r="AF635" s="119"/>
      <c r="AG635" s="119"/>
      <c r="AH635" s="119"/>
      <c r="AI635" s="119"/>
      <c r="AJ635" s="119"/>
      <c r="AK635" s="119"/>
      <c r="AL635" s="119"/>
      <c r="AM635" s="119"/>
      <c r="AN635" s="119"/>
      <c r="AO635" s="119"/>
      <c r="AP635" s="119"/>
      <c r="AQ635" s="74" t="s">
        <v>3200</v>
      </c>
      <c r="AR635" s="74" t="s">
        <v>3142</v>
      </c>
      <c r="AS635" s="74">
        <v>0.0</v>
      </c>
      <c r="AT635" s="74" t="s">
        <v>5540</v>
      </c>
      <c r="AU635" s="120">
        <v>7419.0</v>
      </c>
      <c r="AV635" s="74" t="s">
        <v>10943</v>
      </c>
      <c r="AW635" s="74" t="s">
        <v>10944</v>
      </c>
      <c r="AX635" s="120">
        <v>634.0</v>
      </c>
    </row>
    <row r="636">
      <c r="A636" s="74" t="s">
        <v>10946</v>
      </c>
      <c r="B636" s="74" t="s">
        <v>10947</v>
      </c>
      <c r="C636" s="119"/>
      <c r="D636" s="119"/>
      <c r="E636" s="74">
        <v>3.52155090281144E14</v>
      </c>
      <c r="F636" s="74">
        <v>65.0</v>
      </c>
      <c r="G636" s="74">
        <v>99.0</v>
      </c>
      <c r="H636" s="119"/>
      <c r="I636" s="119"/>
      <c r="J636" s="119"/>
      <c r="K636" s="74">
        <v>1.0</v>
      </c>
      <c r="L636" s="74" t="s">
        <v>2159</v>
      </c>
      <c r="M636" s="74" t="s">
        <v>2159</v>
      </c>
      <c r="N636" s="119"/>
      <c r="O636" s="119"/>
      <c r="P636" s="74" t="s">
        <v>10948</v>
      </c>
      <c r="Q636" s="74" t="s">
        <v>10949</v>
      </c>
      <c r="R636" s="74">
        <v>22.5361533</v>
      </c>
      <c r="S636" s="74">
        <v>88.3745978</v>
      </c>
      <c r="T636" s="74">
        <v>-51.9000015258789</v>
      </c>
      <c r="U636" s="74">
        <v>5.0</v>
      </c>
      <c r="V636" s="74">
        <v>1.0</v>
      </c>
      <c r="W636" s="74">
        <v>0.0</v>
      </c>
      <c r="X636" s="74">
        <v>0.0</v>
      </c>
      <c r="Y636" s="74">
        <v>1.0</v>
      </c>
      <c r="Z636" s="119"/>
      <c r="AA636" s="119"/>
      <c r="AB636" s="119"/>
      <c r="AC636" s="119"/>
      <c r="AD636" s="119"/>
      <c r="AE636" s="119"/>
      <c r="AF636" s="119"/>
      <c r="AG636" s="119"/>
      <c r="AH636" s="119"/>
      <c r="AI636" s="119"/>
      <c r="AJ636" s="119"/>
      <c r="AK636" s="119"/>
      <c r="AL636" s="119"/>
      <c r="AM636" s="119"/>
      <c r="AN636" s="119"/>
      <c r="AO636" s="119"/>
      <c r="AP636" s="119"/>
      <c r="AQ636" s="74" t="s">
        <v>3200</v>
      </c>
      <c r="AR636" s="74" t="s">
        <v>3142</v>
      </c>
      <c r="AS636" s="119"/>
      <c r="AT636" s="74" t="s">
        <v>5540</v>
      </c>
      <c r="AU636" s="120">
        <v>7420.0</v>
      </c>
      <c r="AV636" s="74" t="s">
        <v>10961</v>
      </c>
      <c r="AW636" s="74" t="s">
        <v>10962</v>
      </c>
      <c r="AX636" s="120">
        <v>635.0</v>
      </c>
    </row>
    <row r="637">
      <c r="A637" s="74" t="s">
        <v>10963</v>
      </c>
      <c r="B637" s="74" t="s">
        <v>10964</v>
      </c>
      <c r="C637" s="119"/>
      <c r="D637" s="119"/>
      <c r="E637" s="74">
        <v>3.52155090281144E14</v>
      </c>
      <c r="F637" s="74">
        <v>59.0</v>
      </c>
      <c r="G637" s="74">
        <v>11.0</v>
      </c>
      <c r="H637" s="74">
        <v>4.0</v>
      </c>
      <c r="I637" s="74">
        <v>1.0</v>
      </c>
      <c r="J637" s="74" t="s">
        <v>10571</v>
      </c>
      <c r="K637" s="119"/>
      <c r="L637" s="74" t="s">
        <v>2291</v>
      </c>
      <c r="M637" s="74" t="s">
        <v>2291</v>
      </c>
      <c r="N637" s="119"/>
      <c r="O637" s="119"/>
      <c r="P637" s="74" t="s">
        <v>10965</v>
      </c>
      <c r="Q637" s="74" t="s">
        <v>10966</v>
      </c>
      <c r="R637" s="74">
        <v>22.5412104</v>
      </c>
      <c r="S637" s="74">
        <v>88.3743538</v>
      </c>
      <c r="T637" s="74">
        <v>-47.5</v>
      </c>
      <c r="U637" s="74">
        <v>5.0</v>
      </c>
      <c r="V637" s="74">
        <v>1.0</v>
      </c>
      <c r="W637" s="74">
        <v>0.0</v>
      </c>
      <c r="X637" s="74">
        <v>0.0</v>
      </c>
      <c r="Y637" s="74">
        <v>1.0</v>
      </c>
      <c r="Z637" s="119"/>
      <c r="AA637" s="74">
        <v>2.0</v>
      </c>
      <c r="AB637" s="74">
        <v>4.0</v>
      </c>
      <c r="AC637" s="119"/>
      <c r="AD637" s="119"/>
      <c r="AE637" s="119"/>
      <c r="AF637" s="119"/>
      <c r="AG637" s="119"/>
      <c r="AH637" s="119"/>
      <c r="AI637" s="119"/>
      <c r="AJ637" s="119"/>
      <c r="AK637" s="119"/>
      <c r="AL637" s="119"/>
      <c r="AM637" s="119"/>
      <c r="AN637" s="119"/>
      <c r="AO637" s="119"/>
      <c r="AP637" s="119"/>
      <c r="AQ637" s="74" t="s">
        <v>3200</v>
      </c>
      <c r="AR637" s="74" t="s">
        <v>3142</v>
      </c>
      <c r="AS637" s="74">
        <v>1.0</v>
      </c>
      <c r="AT637" s="74" t="s">
        <v>5540</v>
      </c>
      <c r="AU637" s="120">
        <v>7561.0</v>
      </c>
      <c r="AV637" s="74" t="s">
        <v>10973</v>
      </c>
      <c r="AW637" s="74" t="s">
        <v>10974</v>
      </c>
      <c r="AX637" s="120">
        <v>636.0</v>
      </c>
    </row>
    <row r="638">
      <c r="A638" s="74" t="s">
        <v>10975</v>
      </c>
      <c r="B638" s="74" t="s">
        <v>10976</v>
      </c>
      <c r="C638" s="119"/>
      <c r="D638" s="119"/>
      <c r="E638" s="74">
        <v>3.52155090281144E14</v>
      </c>
      <c r="F638" s="74">
        <v>59.0</v>
      </c>
      <c r="G638" s="74">
        <v>99.0</v>
      </c>
      <c r="H638" s="119"/>
      <c r="I638" s="119"/>
      <c r="J638" s="119"/>
      <c r="K638" s="74">
        <v>2.0</v>
      </c>
      <c r="L638" s="74" t="s">
        <v>2301</v>
      </c>
      <c r="M638" s="74" t="s">
        <v>2301</v>
      </c>
      <c r="N638" s="119"/>
      <c r="O638" s="119"/>
      <c r="P638" s="74" t="s">
        <v>10978</v>
      </c>
      <c r="Q638" s="74" t="s">
        <v>10980</v>
      </c>
      <c r="R638" s="74">
        <v>22.5412478</v>
      </c>
      <c r="S638" s="74">
        <v>88.3744125</v>
      </c>
      <c r="T638" s="74">
        <v>-33.0</v>
      </c>
      <c r="U638" s="74">
        <v>5.0</v>
      </c>
      <c r="V638" s="74">
        <v>1.0</v>
      </c>
      <c r="W638" s="74">
        <v>0.0</v>
      </c>
      <c r="X638" s="74">
        <v>0.0</v>
      </c>
      <c r="Y638" s="74">
        <v>1.0</v>
      </c>
      <c r="Z638" s="119"/>
      <c r="AA638" s="119"/>
      <c r="AB638" s="119"/>
      <c r="AC638" s="119"/>
      <c r="AD638" s="119"/>
      <c r="AE638" s="119"/>
      <c r="AF638" s="119"/>
      <c r="AG638" s="119"/>
      <c r="AH638" s="119"/>
      <c r="AI638" s="119"/>
      <c r="AJ638" s="119"/>
      <c r="AK638" s="119"/>
      <c r="AL638" s="119"/>
      <c r="AM638" s="119"/>
      <c r="AN638" s="119"/>
      <c r="AO638" s="119"/>
      <c r="AP638" s="119"/>
      <c r="AQ638" s="74" t="s">
        <v>10989</v>
      </c>
      <c r="AR638" s="74" t="s">
        <v>3142</v>
      </c>
      <c r="AS638" s="119"/>
      <c r="AT638" s="74" t="s">
        <v>5540</v>
      </c>
      <c r="AU638" s="120">
        <v>7562.0</v>
      </c>
      <c r="AV638" s="74" t="s">
        <v>10990</v>
      </c>
      <c r="AW638" s="74" t="s">
        <v>10991</v>
      </c>
      <c r="AX638" s="120">
        <v>637.0</v>
      </c>
    </row>
    <row r="639">
      <c r="A639" s="74" t="s">
        <v>10992</v>
      </c>
      <c r="B639" s="74" t="s">
        <v>10993</v>
      </c>
      <c r="C639" s="119"/>
      <c r="D639" s="119"/>
      <c r="E639" s="74">
        <v>3.52155090281144E14</v>
      </c>
      <c r="F639" s="74">
        <v>55.0</v>
      </c>
      <c r="G639" s="74">
        <v>12.0</v>
      </c>
      <c r="H639" s="119"/>
      <c r="I639" s="119"/>
      <c r="J639" s="119"/>
      <c r="K639" s="119"/>
      <c r="L639" s="74" t="s">
        <v>2347</v>
      </c>
      <c r="M639" s="74" t="s">
        <v>2347</v>
      </c>
      <c r="N639" s="74">
        <v>4.0</v>
      </c>
      <c r="O639" s="74" t="s">
        <v>10996</v>
      </c>
      <c r="P639" s="119"/>
      <c r="Q639" s="74" t="s">
        <v>10998</v>
      </c>
      <c r="R639" s="74">
        <v>22.56364</v>
      </c>
      <c r="S639" s="74">
        <v>88.3773417</v>
      </c>
      <c r="T639" s="74">
        <v>-52.599998474121</v>
      </c>
      <c r="U639" s="74">
        <v>5.0</v>
      </c>
      <c r="V639" s="74">
        <v>1.0</v>
      </c>
      <c r="W639" s="74">
        <v>0.0</v>
      </c>
      <c r="X639" s="74">
        <v>0.0</v>
      </c>
      <c r="Y639" s="74">
        <v>1.0</v>
      </c>
      <c r="Z639" s="119"/>
      <c r="AA639" s="119"/>
      <c r="AB639" s="119"/>
      <c r="AC639" s="119"/>
      <c r="AD639" s="119"/>
      <c r="AE639" s="74">
        <v>1.0</v>
      </c>
      <c r="AF639" s="74">
        <v>1.0</v>
      </c>
      <c r="AG639" s="74">
        <v>4.0</v>
      </c>
      <c r="AH639" s="74">
        <v>4.0</v>
      </c>
      <c r="AI639" s="119"/>
      <c r="AJ639" s="119"/>
      <c r="AK639" s="119"/>
      <c r="AL639" s="119"/>
      <c r="AM639" s="119"/>
      <c r="AN639" s="119"/>
      <c r="AO639" s="119"/>
      <c r="AP639" s="119"/>
      <c r="AQ639" s="74" t="s">
        <v>2949</v>
      </c>
      <c r="AR639" s="74" t="s">
        <v>3142</v>
      </c>
      <c r="AS639" s="74">
        <v>0.0</v>
      </c>
      <c r="AT639" s="74" t="s">
        <v>5540</v>
      </c>
      <c r="AU639" s="120">
        <v>7623.0</v>
      </c>
      <c r="AV639" s="74" t="s">
        <v>11000</v>
      </c>
      <c r="AW639" s="74" t="s">
        <v>11001</v>
      </c>
      <c r="AX639" s="120">
        <v>638.0</v>
      </c>
    </row>
    <row r="640">
      <c r="A640" s="74" t="s">
        <v>11002</v>
      </c>
      <c r="B640" s="74" t="s">
        <v>11003</v>
      </c>
      <c r="C640" s="119"/>
      <c r="D640" s="119"/>
      <c r="E640" s="74">
        <v>3.52155090281144E14</v>
      </c>
      <c r="F640" s="74">
        <v>55.0</v>
      </c>
      <c r="G640" s="74">
        <v>99.0</v>
      </c>
      <c r="H640" s="119"/>
      <c r="I640" s="119"/>
      <c r="J640" s="119"/>
      <c r="K640" s="74">
        <v>1.0</v>
      </c>
      <c r="L640" s="74" t="s">
        <v>2358</v>
      </c>
      <c r="M640" s="74" t="s">
        <v>2358</v>
      </c>
      <c r="N640" s="119"/>
      <c r="O640" s="119"/>
      <c r="P640" s="74" t="s">
        <v>11011</v>
      </c>
      <c r="Q640" s="74" t="s">
        <v>11012</v>
      </c>
      <c r="R640" s="74">
        <v>22.5636885</v>
      </c>
      <c r="S640" s="74">
        <v>88.3774091</v>
      </c>
      <c r="T640" s="74">
        <v>-40.2999992370605</v>
      </c>
      <c r="U640" s="74">
        <v>5.0</v>
      </c>
      <c r="V640" s="74">
        <v>1.0</v>
      </c>
      <c r="W640" s="74">
        <v>0.0</v>
      </c>
      <c r="X640" s="74">
        <v>0.0</v>
      </c>
      <c r="Y640" s="74">
        <v>1.0</v>
      </c>
      <c r="Z640" s="119"/>
      <c r="AA640" s="119"/>
      <c r="AB640" s="119"/>
      <c r="AC640" s="119"/>
      <c r="AD640" s="119"/>
      <c r="AE640" s="119"/>
      <c r="AF640" s="119"/>
      <c r="AG640" s="119"/>
      <c r="AH640" s="119"/>
      <c r="AI640" s="119"/>
      <c r="AJ640" s="119"/>
      <c r="AK640" s="119"/>
      <c r="AL640" s="119"/>
      <c r="AM640" s="119"/>
      <c r="AN640" s="119"/>
      <c r="AO640" s="119"/>
      <c r="AP640" s="119"/>
      <c r="AQ640" s="74" t="s">
        <v>11018</v>
      </c>
      <c r="AR640" s="74" t="s">
        <v>3142</v>
      </c>
      <c r="AS640" s="119"/>
      <c r="AT640" s="74" t="s">
        <v>5540</v>
      </c>
      <c r="AU640" s="120">
        <v>7624.0</v>
      </c>
      <c r="AV640" s="74" t="s">
        <v>11019</v>
      </c>
      <c r="AW640" s="74" t="s">
        <v>11020</v>
      </c>
      <c r="AX640" s="120">
        <v>639.0</v>
      </c>
    </row>
    <row r="641">
      <c r="A641" s="74" t="s">
        <v>11022</v>
      </c>
      <c r="B641" s="74" t="s">
        <v>11023</v>
      </c>
      <c r="C641" s="119"/>
      <c r="D641" s="119"/>
      <c r="E641" s="74">
        <v>3.52155090281144E14</v>
      </c>
      <c r="F641" s="74">
        <v>57.0</v>
      </c>
      <c r="G641" s="74">
        <v>12.0</v>
      </c>
      <c r="H641" s="119"/>
      <c r="I641" s="119"/>
      <c r="J641" s="119"/>
      <c r="K641" s="119"/>
      <c r="L641" s="74" t="s">
        <v>2379</v>
      </c>
      <c r="M641" s="74" t="s">
        <v>2379</v>
      </c>
      <c r="N641" s="74">
        <v>7.0</v>
      </c>
      <c r="O641" s="74" t="s">
        <v>11027</v>
      </c>
      <c r="P641" s="119"/>
      <c r="Q641" s="74" t="s">
        <v>11028</v>
      </c>
      <c r="R641" s="74">
        <v>22.5580005</v>
      </c>
      <c r="S641" s="74">
        <v>88.3895944</v>
      </c>
      <c r="T641" s="74">
        <v>-27.5</v>
      </c>
      <c r="U641" s="74">
        <v>5.0</v>
      </c>
      <c r="V641" s="74">
        <v>1.0</v>
      </c>
      <c r="W641" s="74">
        <v>0.0</v>
      </c>
      <c r="X641" s="74">
        <v>0.0</v>
      </c>
      <c r="Y641" s="74">
        <v>1.0</v>
      </c>
      <c r="Z641" s="119"/>
      <c r="AA641" s="119"/>
      <c r="AB641" s="119"/>
      <c r="AC641" s="119"/>
      <c r="AD641" s="119"/>
      <c r="AE641" s="74">
        <v>1.0</v>
      </c>
      <c r="AF641" s="74">
        <v>2.0</v>
      </c>
      <c r="AG641" s="74">
        <v>3.0</v>
      </c>
      <c r="AH641" s="74">
        <v>4.0</v>
      </c>
      <c r="AI641" s="119"/>
      <c r="AJ641" s="119"/>
      <c r="AK641" s="119"/>
      <c r="AL641" s="119"/>
      <c r="AM641" s="119"/>
      <c r="AN641" s="119"/>
      <c r="AO641" s="119"/>
      <c r="AP641" s="119"/>
      <c r="AQ641" s="74" t="s">
        <v>3185</v>
      </c>
      <c r="AR641" s="74" t="s">
        <v>2472</v>
      </c>
      <c r="AS641" s="74">
        <v>0.0</v>
      </c>
      <c r="AT641" s="74" t="s">
        <v>5540</v>
      </c>
      <c r="AU641" s="120">
        <v>7625.0</v>
      </c>
      <c r="AV641" s="74" t="s">
        <v>11033</v>
      </c>
      <c r="AW641" s="74" t="s">
        <v>11034</v>
      </c>
      <c r="AX641" s="120">
        <v>640.0</v>
      </c>
    </row>
    <row r="642">
      <c r="A642" s="74" t="s">
        <v>11037</v>
      </c>
      <c r="B642" s="74" t="s">
        <v>11039</v>
      </c>
      <c r="C642" s="119"/>
      <c r="D642" s="119"/>
      <c r="E642" s="74">
        <v>3.52155090281144E14</v>
      </c>
      <c r="F642" s="74">
        <v>57.0</v>
      </c>
      <c r="G642" s="74">
        <v>99.0</v>
      </c>
      <c r="H642" s="119"/>
      <c r="I642" s="119"/>
      <c r="J642" s="119"/>
      <c r="K642" s="74">
        <v>1.0</v>
      </c>
      <c r="L642" s="74" t="s">
        <v>2387</v>
      </c>
      <c r="M642" s="74" t="s">
        <v>2387</v>
      </c>
      <c r="N642" s="119"/>
      <c r="O642" s="119"/>
      <c r="P642" s="74" t="s">
        <v>11042</v>
      </c>
      <c r="Q642" s="74" t="s">
        <v>11043</v>
      </c>
      <c r="R642" s="74">
        <v>22.5580158</v>
      </c>
      <c r="S642" s="74">
        <v>88.3895687</v>
      </c>
      <c r="T642" s="74">
        <v>-29.1000003814697</v>
      </c>
      <c r="U642" s="74">
        <v>5.0</v>
      </c>
      <c r="V642" s="74">
        <v>1.0</v>
      </c>
      <c r="W642" s="74">
        <v>0.0</v>
      </c>
      <c r="X642" s="74">
        <v>0.0</v>
      </c>
      <c r="Y642" s="74">
        <v>1.0</v>
      </c>
      <c r="Z642" s="119"/>
      <c r="AA642" s="119"/>
      <c r="AB642" s="119"/>
      <c r="AC642" s="119"/>
      <c r="AD642" s="119"/>
      <c r="AE642" s="119"/>
      <c r="AF642" s="119"/>
      <c r="AG642" s="119"/>
      <c r="AH642" s="119"/>
      <c r="AI642" s="119"/>
      <c r="AJ642" s="119"/>
      <c r="AK642" s="119"/>
      <c r="AL642" s="119"/>
      <c r="AM642" s="119"/>
      <c r="AN642" s="119"/>
      <c r="AO642" s="119"/>
      <c r="AP642" s="119"/>
      <c r="AQ642" s="74" t="s">
        <v>11048</v>
      </c>
      <c r="AR642" s="74" t="s">
        <v>2472</v>
      </c>
      <c r="AS642" s="119"/>
      <c r="AT642" s="74" t="s">
        <v>5540</v>
      </c>
      <c r="AU642" s="120">
        <v>7626.0</v>
      </c>
      <c r="AV642" s="74" t="s">
        <v>11052</v>
      </c>
      <c r="AW642" s="74" t="s">
        <v>11053</v>
      </c>
      <c r="AX642" s="120">
        <v>641.0</v>
      </c>
    </row>
    <row r="643">
      <c r="A643" s="74" t="s">
        <v>11055</v>
      </c>
      <c r="B643" s="74" t="s">
        <v>11057</v>
      </c>
      <c r="C643" s="119"/>
      <c r="D643" s="119"/>
      <c r="E643" s="74">
        <v>3.52155090281144E14</v>
      </c>
      <c r="F643" s="74">
        <v>57.0</v>
      </c>
      <c r="G643" s="74">
        <v>11.0</v>
      </c>
      <c r="H643" s="74">
        <v>1.0</v>
      </c>
      <c r="I643" s="119"/>
      <c r="J643" s="119"/>
      <c r="K643" s="119"/>
      <c r="L643" s="74" t="s">
        <v>2435</v>
      </c>
      <c r="M643" s="74" t="s">
        <v>2435</v>
      </c>
      <c r="N643" s="119"/>
      <c r="O643" s="119"/>
      <c r="P643" s="74" t="s">
        <v>11059</v>
      </c>
      <c r="Q643" s="74" t="s">
        <v>11060</v>
      </c>
      <c r="R643" s="74">
        <v>22.5579987</v>
      </c>
      <c r="S643" s="74">
        <v>88.3896003</v>
      </c>
      <c r="T643" s="74">
        <v>-50.4000015258789</v>
      </c>
      <c r="U643" s="74">
        <v>5.0</v>
      </c>
      <c r="V643" s="74">
        <v>1.0</v>
      </c>
      <c r="W643" s="74">
        <v>0.0</v>
      </c>
      <c r="X643" s="74">
        <v>0.0</v>
      </c>
      <c r="Y643" s="74">
        <v>1.0</v>
      </c>
      <c r="Z643" s="119"/>
      <c r="AA643" s="74">
        <v>1.0</v>
      </c>
      <c r="AB643" s="74">
        <v>4.0</v>
      </c>
      <c r="AC643" s="119"/>
      <c r="AD643" s="119"/>
      <c r="AE643" s="119"/>
      <c r="AF643" s="119"/>
      <c r="AG643" s="119"/>
      <c r="AH643" s="119"/>
      <c r="AI643" s="119"/>
      <c r="AJ643" s="119"/>
      <c r="AK643" s="119"/>
      <c r="AL643" s="119"/>
      <c r="AM643" s="119"/>
      <c r="AN643" s="119"/>
      <c r="AO643" s="119"/>
      <c r="AP643" s="119"/>
      <c r="AQ643" s="74" t="s">
        <v>3243</v>
      </c>
      <c r="AR643" s="74" t="s">
        <v>2327</v>
      </c>
      <c r="AS643" s="74">
        <v>0.0</v>
      </c>
      <c r="AT643" s="74" t="s">
        <v>5540</v>
      </c>
      <c r="AU643" s="120">
        <v>7627.0</v>
      </c>
      <c r="AV643" s="74" t="s">
        <v>11068</v>
      </c>
      <c r="AW643" s="74" t="s">
        <v>11069</v>
      </c>
      <c r="AX643" s="120">
        <v>642.0</v>
      </c>
    </row>
    <row r="644">
      <c r="A644" s="74" t="s">
        <v>11072</v>
      </c>
      <c r="B644" s="74" t="s">
        <v>11073</v>
      </c>
      <c r="C644" s="119"/>
      <c r="D644" s="119"/>
      <c r="E644" s="74">
        <v>3.52155090281144E14</v>
      </c>
      <c r="F644" s="74">
        <v>57.0</v>
      </c>
      <c r="G644" s="74">
        <v>12.0</v>
      </c>
      <c r="H644" s="119"/>
      <c r="I644" s="119"/>
      <c r="J644" s="119"/>
      <c r="K644" s="119"/>
      <c r="L644" s="74" t="s">
        <v>2408</v>
      </c>
      <c r="M644" s="74" t="s">
        <v>2408</v>
      </c>
      <c r="N644" s="74">
        <v>2.0</v>
      </c>
      <c r="O644" s="74" t="s">
        <v>11078</v>
      </c>
      <c r="P644" s="119"/>
      <c r="Q644" s="74" t="s">
        <v>11079</v>
      </c>
      <c r="R644" s="74">
        <v>22.5542156</v>
      </c>
      <c r="S644" s="74">
        <v>88.3967052</v>
      </c>
      <c r="T644" s="74">
        <v>-50.2999992370605</v>
      </c>
      <c r="U644" s="74">
        <v>4.5</v>
      </c>
      <c r="V644" s="74">
        <v>1.0</v>
      </c>
      <c r="W644" s="74">
        <v>0.0</v>
      </c>
      <c r="X644" s="74">
        <v>0.0</v>
      </c>
      <c r="Y644" s="74">
        <v>1.0</v>
      </c>
      <c r="Z644" s="119"/>
      <c r="AA644" s="119"/>
      <c r="AB644" s="119"/>
      <c r="AC644" s="119"/>
      <c r="AD644" s="119"/>
      <c r="AE644" s="74">
        <v>1.0</v>
      </c>
      <c r="AF644" s="74">
        <v>2.0</v>
      </c>
      <c r="AG644" s="74">
        <v>3.0</v>
      </c>
      <c r="AH644" s="74">
        <v>4.0</v>
      </c>
      <c r="AI644" s="119"/>
      <c r="AJ644" s="119"/>
      <c r="AK644" s="119"/>
      <c r="AL644" s="119"/>
      <c r="AM644" s="119"/>
      <c r="AN644" s="119"/>
      <c r="AO644" s="119"/>
      <c r="AP644" s="119"/>
      <c r="AQ644" s="74" t="s">
        <v>3185</v>
      </c>
      <c r="AR644" s="74" t="s">
        <v>3142</v>
      </c>
      <c r="AS644" s="74">
        <v>0.0</v>
      </c>
      <c r="AT644" s="74" t="s">
        <v>5540</v>
      </c>
      <c r="AU644" s="120">
        <v>7628.0</v>
      </c>
      <c r="AV644" s="74" t="s">
        <v>11087</v>
      </c>
      <c r="AW644" s="74" t="s">
        <v>11088</v>
      </c>
      <c r="AX644" s="120">
        <v>643.0</v>
      </c>
    </row>
    <row r="645">
      <c r="A645" s="74" t="s">
        <v>11092</v>
      </c>
      <c r="B645" s="74" t="s">
        <v>11096</v>
      </c>
      <c r="C645" s="119"/>
      <c r="D645" s="119"/>
      <c r="E645" s="74">
        <v>3.52155090281144E14</v>
      </c>
      <c r="F645" s="74">
        <v>57.0</v>
      </c>
      <c r="G645" s="74">
        <v>99.0</v>
      </c>
      <c r="H645" s="119"/>
      <c r="I645" s="119"/>
      <c r="J645" s="119"/>
      <c r="K645" s="74">
        <v>1.0</v>
      </c>
      <c r="L645" s="74" t="s">
        <v>2415</v>
      </c>
      <c r="M645" s="74" t="s">
        <v>2415</v>
      </c>
      <c r="N645" s="119"/>
      <c r="O645" s="119"/>
      <c r="P645" s="74" t="s">
        <v>11105</v>
      </c>
      <c r="Q645" s="74" t="s">
        <v>11107</v>
      </c>
      <c r="R645" s="74">
        <v>22.5542083</v>
      </c>
      <c r="S645" s="74">
        <v>88.3967189</v>
      </c>
      <c r="T645" s="74">
        <v>-51.9000015258789</v>
      </c>
      <c r="U645" s="74">
        <v>5.0</v>
      </c>
      <c r="V645" s="74">
        <v>1.0</v>
      </c>
      <c r="W645" s="74">
        <v>0.0</v>
      </c>
      <c r="X645" s="74">
        <v>0.0</v>
      </c>
      <c r="Y645" s="74">
        <v>1.0</v>
      </c>
      <c r="Z645" s="119"/>
      <c r="AA645" s="119"/>
      <c r="AB645" s="119"/>
      <c r="AC645" s="119"/>
      <c r="AD645" s="119"/>
      <c r="AE645" s="119"/>
      <c r="AF645" s="119"/>
      <c r="AG645" s="119"/>
      <c r="AH645" s="119"/>
      <c r="AI645" s="119"/>
      <c r="AJ645" s="119"/>
      <c r="AK645" s="119"/>
      <c r="AL645" s="119"/>
      <c r="AM645" s="119"/>
      <c r="AN645" s="119"/>
      <c r="AO645" s="119"/>
      <c r="AP645" s="119"/>
      <c r="AQ645" s="74" t="s">
        <v>11111</v>
      </c>
      <c r="AR645" s="74" t="s">
        <v>3142</v>
      </c>
      <c r="AS645" s="119"/>
      <c r="AT645" s="74" t="s">
        <v>5540</v>
      </c>
      <c r="AU645" s="120">
        <v>7629.0</v>
      </c>
      <c r="AV645" s="74" t="s">
        <v>11114</v>
      </c>
      <c r="AW645" s="74" t="s">
        <v>11115</v>
      </c>
      <c r="AX645" s="120">
        <v>644.0</v>
      </c>
    </row>
    <row r="646">
      <c r="A646" s="74" t="s">
        <v>11117</v>
      </c>
      <c r="B646" s="74" t="s">
        <v>11119</v>
      </c>
      <c r="C646" s="119"/>
      <c r="D646" s="119"/>
      <c r="E646" s="74">
        <v>3.52155090281144E14</v>
      </c>
      <c r="F646" s="74">
        <v>59.0</v>
      </c>
      <c r="G646" s="74">
        <v>11.0</v>
      </c>
      <c r="H646" s="74">
        <v>4.0</v>
      </c>
      <c r="I646" s="74">
        <v>1.0</v>
      </c>
      <c r="J646" s="74" t="s">
        <v>9111</v>
      </c>
      <c r="K646" s="119"/>
      <c r="L646" s="74" t="s">
        <v>2471</v>
      </c>
      <c r="M646" s="74" t="s">
        <v>2471</v>
      </c>
      <c r="N646" s="119"/>
      <c r="O646" s="119"/>
      <c r="P646" s="74" t="s">
        <v>11121</v>
      </c>
      <c r="Q646" s="74" t="s">
        <v>11123</v>
      </c>
      <c r="R646" s="74">
        <v>22.5412898</v>
      </c>
      <c r="S646" s="74">
        <v>88.3760479</v>
      </c>
      <c r="T646" s="74">
        <v>-43.5</v>
      </c>
      <c r="U646" s="74">
        <v>5.0</v>
      </c>
      <c r="V646" s="74">
        <v>1.0</v>
      </c>
      <c r="W646" s="74">
        <v>0.0</v>
      </c>
      <c r="X646" s="74">
        <v>1.0</v>
      </c>
      <c r="Y646" s="119"/>
      <c r="Z646" s="119"/>
      <c r="AA646" s="74">
        <v>1.0</v>
      </c>
      <c r="AB646" s="74">
        <v>4.0</v>
      </c>
      <c r="AC646" s="119"/>
      <c r="AD646" s="119"/>
      <c r="AE646" s="119"/>
      <c r="AF646" s="119"/>
      <c r="AG646" s="119"/>
      <c r="AH646" s="119"/>
      <c r="AI646" s="119"/>
      <c r="AJ646" s="119"/>
      <c r="AK646" s="119"/>
      <c r="AL646" s="119"/>
      <c r="AM646" s="119"/>
      <c r="AN646" s="119"/>
      <c r="AO646" s="119"/>
      <c r="AP646" s="119"/>
      <c r="AQ646" s="74" t="s">
        <v>3149</v>
      </c>
      <c r="AR646" s="74" t="s">
        <v>2472</v>
      </c>
      <c r="AS646" s="74">
        <v>1.0</v>
      </c>
      <c r="AT646" s="74" t="s">
        <v>5540</v>
      </c>
      <c r="AU646" s="120">
        <v>7657.0</v>
      </c>
      <c r="AV646" s="74" t="s">
        <v>11134</v>
      </c>
      <c r="AW646" s="74" t="s">
        <v>11135</v>
      </c>
      <c r="AX646" s="120">
        <v>645.0</v>
      </c>
    </row>
    <row r="647">
      <c r="A647" s="74" t="s">
        <v>11137</v>
      </c>
      <c r="B647" s="74" t="s">
        <v>11138</v>
      </c>
      <c r="C647" s="119"/>
      <c r="D647" s="119"/>
      <c r="E647" s="74">
        <v>3.52155090281144E14</v>
      </c>
      <c r="F647" s="74">
        <v>59.0</v>
      </c>
      <c r="G647" s="74">
        <v>99.0</v>
      </c>
      <c r="H647" s="119"/>
      <c r="I647" s="119"/>
      <c r="J647" s="119"/>
      <c r="K647" s="74">
        <v>2.0</v>
      </c>
      <c r="L647" s="74" t="s">
        <v>2490</v>
      </c>
      <c r="M647" s="74" t="s">
        <v>2490</v>
      </c>
      <c r="N647" s="119"/>
      <c r="O647" s="119"/>
      <c r="P647" s="74" t="s">
        <v>11139</v>
      </c>
      <c r="Q647" s="74" t="s">
        <v>11140</v>
      </c>
      <c r="R647" s="74">
        <v>22.5413391</v>
      </c>
      <c r="S647" s="74">
        <v>88.3760017</v>
      </c>
      <c r="T647" s="74">
        <v>-61.7000007629394</v>
      </c>
      <c r="U647" s="74">
        <v>5.0</v>
      </c>
      <c r="V647" s="74">
        <v>1.0</v>
      </c>
      <c r="W647" s="74">
        <v>0.0</v>
      </c>
      <c r="X647" s="74">
        <v>1.0</v>
      </c>
      <c r="Y647" s="119"/>
      <c r="Z647" s="119"/>
      <c r="AA647" s="119"/>
      <c r="AB647" s="119"/>
      <c r="AC647" s="119"/>
      <c r="AD647" s="119"/>
      <c r="AE647" s="119"/>
      <c r="AF647" s="119"/>
      <c r="AG647" s="119"/>
      <c r="AH647" s="119"/>
      <c r="AI647" s="119"/>
      <c r="AJ647" s="119"/>
      <c r="AK647" s="119"/>
      <c r="AL647" s="119"/>
      <c r="AM647" s="119"/>
      <c r="AN647" s="119"/>
      <c r="AO647" s="119"/>
      <c r="AP647" s="119"/>
      <c r="AQ647" s="74" t="s">
        <v>11144</v>
      </c>
      <c r="AR647" s="74" t="s">
        <v>2472</v>
      </c>
      <c r="AS647" s="119"/>
      <c r="AT647" s="74" t="s">
        <v>5540</v>
      </c>
      <c r="AU647" s="120">
        <v>7658.0</v>
      </c>
      <c r="AV647" s="74" t="s">
        <v>11145</v>
      </c>
      <c r="AW647" s="74" t="s">
        <v>11147</v>
      </c>
      <c r="AX647" s="120">
        <v>646.0</v>
      </c>
    </row>
    <row r="648">
      <c r="A648" s="74" t="s">
        <v>11148</v>
      </c>
      <c r="B648" s="74" t="s">
        <v>11149</v>
      </c>
      <c r="C648" s="119"/>
      <c r="D648" s="119"/>
      <c r="E648" s="74">
        <v>3.52155090281144E14</v>
      </c>
      <c r="F648" s="74">
        <v>59.0</v>
      </c>
      <c r="G648" s="74">
        <v>11.0</v>
      </c>
      <c r="H648" s="74">
        <v>4.0</v>
      </c>
      <c r="I648" s="74">
        <v>1.0</v>
      </c>
      <c r="J648" s="74" t="s">
        <v>8348</v>
      </c>
      <c r="K648" s="119"/>
      <c r="L648" s="74" t="s">
        <v>2515</v>
      </c>
      <c r="M648" s="74" t="s">
        <v>2515</v>
      </c>
      <c r="N648" s="119"/>
      <c r="O648" s="119"/>
      <c r="P648" s="74" t="s">
        <v>11150</v>
      </c>
      <c r="Q648" s="74" t="s">
        <v>11151</v>
      </c>
      <c r="R648" s="74">
        <v>22.5414694</v>
      </c>
      <c r="S648" s="74">
        <v>88.3754008</v>
      </c>
      <c r="T648" s="74">
        <v>-50.099998474121</v>
      </c>
      <c r="U648" s="74">
        <v>5.0</v>
      </c>
      <c r="V648" s="74">
        <v>1.0</v>
      </c>
      <c r="W648" s="74">
        <v>0.0</v>
      </c>
      <c r="X648" s="74">
        <v>1.0</v>
      </c>
      <c r="Y648" s="119"/>
      <c r="Z648" s="119"/>
      <c r="AA648" s="74">
        <v>1.0</v>
      </c>
      <c r="AB648" s="74">
        <v>4.0</v>
      </c>
      <c r="AC648" s="119"/>
      <c r="AD648" s="119"/>
      <c r="AE648" s="119"/>
      <c r="AF648" s="119"/>
      <c r="AG648" s="119"/>
      <c r="AH648" s="119"/>
      <c r="AI648" s="119"/>
      <c r="AJ648" s="119"/>
      <c r="AK648" s="119"/>
      <c r="AL648" s="119"/>
      <c r="AM648" s="119"/>
      <c r="AN648" s="119"/>
      <c r="AO648" s="119"/>
      <c r="AP648" s="119"/>
      <c r="AQ648" s="74" t="s">
        <v>3185</v>
      </c>
      <c r="AR648" s="74" t="s">
        <v>2327</v>
      </c>
      <c r="AS648" s="74">
        <v>1.0</v>
      </c>
      <c r="AT648" s="74" t="s">
        <v>5540</v>
      </c>
      <c r="AU648" s="120">
        <v>7659.0</v>
      </c>
      <c r="AV648" s="74" t="s">
        <v>11161</v>
      </c>
      <c r="AW648" s="74" t="s">
        <v>11162</v>
      </c>
      <c r="AX648" s="120">
        <v>647.0</v>
      </c>
    </row>
    <row r="649">
      <c r="A649" s="74" t="s">
        <v>11163</v>
      </c>
      <c r="B649" s="74" t="s">
        <v>11164</v>
      </c>
      <c r="C649" s="119"/>
      <c r="D649" s="119"/>
      <c r="E649" s="74">
        <v>3.52155090281144E14</v>
      </c>
      <c r="F649" s="74">
        <v>59.0</v>
      </c>
      <c r="G649" s="74">
        <v>99.0</v>
      </c>
      <c r="H649" s="119"/>
      <c r="I649" s="119"/>
      <c r="J649" s="119"/>
      <c r="K649" s="74">
        <v>2.0</v>
      </c>
      <c r="L649" s="74" t="s">
        <v>2529</v>
      </c>
      <c r="M649" s="74" t="s">
        <v>2529</v>
      </c>
      <c r="N649" s="119"/>
      <c r="O649" s="119"/>
      <c r="P649" s="74" t="s">
        <v>11168</v>
      </c>
      <c r="Q649" s="74" t="s">
        <v>11169</v>
      </c>
      <c r="R649" s="74">
        <v>22.5414399</v>
      </c>
      <c r="S649" s="74">
        <v>88.3753728</v>
      </c>
      <c r="T649" s="74">
        <v>-55.7999992370605</v>
      </c>
      <c r="U649" s="74">
        <v>5.0</v>
      </c>
      <c r="V649" s="74">
        <v>1.0</v>
      </c>
      <c r="W649" s="74">
        <v>0.0</v>
      </c>
      <c r="X649" s="74">
        <v>1.0</v>
      </c>
      <c r="Y649" s="119"/>
      <c r="Z649" s="119"/>
      <c r="AA649" s="119"/>
      <c r="AB649" s="119"/>
      <c r="AC649" s="119"/>
      <c r="AD649" s="119"/>
      <c r="AE649" s="119"/>
      <c r="AF649" s="119"/>
      <c r="AG649" s="119"/>
      <c r="AH649" s="119"/>
      <c r="AI649" s="119"/>
      <c r="AJ649" s="119"/>
      <c r="AK649" s="119"/>
      <c r="AL649" s="119"/>
      <c r="AM649" s="119"/>
      <c r="AN649" s="119"/>
      <c r="AO649" s="119"/>
      <c r="AP649" s="119"/>
      <c r="AQ649" s="74" t="s">
        <v>11171</v>
      </c>
      <c r="AR649" s="74" t="s">
        <v>2327</v>
      </c>
      <c r="AS649" s="119"/>
      <c r="AT649" s="74" t="s">
        <v>5540</v>
      </c>
      <c r="AU649" s="120">
        <v>7660.0</v>
      </c>
      <c r="AV649" s="74" t="s">
        <v>11172</v>
      </c>
      <c r="AW649" s="74" t="s">
        <v>11173</v>
      </c>
      <c r="AX649" s="120">
        <v>648.0</v>
      </c>
    </row>
    <row r="650">
      <c r="A650" s="74" t="s">
        <v>11174</v>
      </c>
      <c r="B650" s="74" t="s">
        <v>11175</v>
      </c>
      <c r="C650" s="119"/>
      <c r="D650" s="119"/>
      <c r="E650" s="74">
        <v>3.52155090281144E14</v>
      </c>
      <c r="F650" s="74">
        <v>59.0</v>
      </c>
      <c r="G650" s="74">
        <v>11.0</v>
      </c>
      <c r="H650" s="74">
        <v>4.0</v>
      </c>
      <c r="I650" s="74">
        <v>1.0</v>
      </c>
      <c r="J650" s="74" t="s">
        <v>10571</v>
      </c>
      <c r="K650" s="119"/>
      <c r="L650" s="74" t="s">
        <v>2549</v>
      </c>
      <c r="M650" s="74" t="s">
        <v>2549</v>
      </c>
      <c r="N650" s="119"/>
      <c r="O650" s="119"/>
      <c r="P650" s="74" t="s">
        <v>11179</v>
      </c>
      <c r="Q650" s="74" t="s">
        <v>11180</v>
      </c>
      <c r="R650" s="74">
        <v>22.5412663</v>
      </c>
      <c r="S650" s="74">
        <v>88.3743736</v>
      </c>
      <c r="T650" s="74">
        <v>-47.7999992370605</v>
      </c>
      <c r="U650" s="74">
        <v>5.0</v>
      </c>
      <c r="V650" s="74">
        <v>1.0</v>
      </c>
      <c r="W650" s="74">
        <v>0.0</v>
      </c>
      <c r="X650" s="74">
        <v>1.0</v>
      </c>
      <c r="Y650" s="119"/>
      <c r="Z650" s="119"/>
      <c r="AA650" s="74">
        <v>1.0</v>
      </c>
      <c r="AB650" s="74">
        <v>4.0</v>
      </c>
      <c r="AC650" s="119"/>
      <c r="AD650" s="119"/>
      <c r="AE650" s="119"/>
      <c r="AF650" s="119"/>
      <c r="AG650" s="119"/>
      <c r="AH650" s="119"/>
      <c r="AI650" s="119"/>
      <c r="AJ650" s="119"/>
      <c r="AK650" s="119"/>
      <c r="AL650" s="119"/>
      <c r="AM650" s="119"/>
      <c r="AN650" s="119"/>
      <c r="AO650" s="119"/>
      <c r="AP650" s="119"/>
      <c r="AQ650" s="74" t="s">
        <v>2949</v>
      </c>
      <c r="AR650" s="74" t="s">
        <v>2472</v>
      </c>
      <c r="AS650" s="74">
        <v>1.0</v>
      </c>
      <c r="AT650" s="74" t="s">
        <v>5540</v>
      </c>
      <c r="AU650" s="120">
        <v>7661.0</v>
      </c>
      <c r="AV650" s="74" t="s">
        <v>11186</v>
      </c>
      <c r="AW650" s="74" t="s">
        <v>11187</v>
      </c>
      <c r="AX650" s="120">
        <v>649.0</v>
      </c>
    </row>
    <row r="651">
      <c r="A651" s="74" t="s">
        <v>11188</v>
      </c>
      <c r="B651" s="74" t="s">
        <v>11189</v>
      </c>
      <c r="C651" s="119"/>
      <c r="D651" s="119"/>
      <c r="E651" s="74">
        <v>3.52155090281144E14</v>
      </c>
      <c r="F651" s="74">
        <v>59.0</v>
      </c>
      <c r="G651" s="74">
        <v>99.0</v>
      </c>
      <c r="H651" s="119"/>
      <c r="I651" s="119"/>
      <c r="J651" s="119"/>
      <c r="K651" s="74">
        <v>2.0</v>
      </c>
      <c r="L651" s="74" t="s">
        <v>2562</v>
      </c>
      <c r="M651" s="74" t="s">
        <v>2562</v>
      </c>
      <c r="N651" s="119"/>
      <c r="O651" s="119"/>
      <c r="P651" s="74" t="s">
        <v>11191</v>
      </c>
      <c r="Q651" s="74" t="s">
        <v>11192</v>
      </c>
      <c r="R651" s="74">
        <v>22.5412431</v>
      </c>
      <c r="S651" s="74">
        <v>88.3743765</v>
      </c>
      <c r="T651" s="74">
        <v>-45.7999992370605</v>
      </c>
      <c r="U651" s="74">
        <v>4.0</v>
      </c>
      <c r="V651" s="74">
        <v>1.0</v>
      </c>
      <c r="W651" s="74">
        <v>0.0</v>
      </c>
      <c r="X651" s="74">
        <v>1.0</v>
      </c>
      <c r="Y651" s="119"/>
      <c r="Z651" s="119"/>
      <c r="AA651" s="119"/>
      <c r="AB651" s="119"/>
      <c r="AC651" s="119"/>
      <c r="AD651" s="119"/>
      <c r="AE651" s="119"/>
      <c r="AF651" s="119"/>
      <c r="AG651" s="119"/>
      <c r="AH651" s="119"/>
      <c r="AI651" s="119"/>
      <c r="AJ651" s="119"/>
      <c r="AK651" s="119"/>
      <c r="AL651" s="119"/>
      <c r="AM651" s="119"/>
      <c r="AN651" s="119"/>
      <c r="AO651" s="119"/>
      <c r="AP651" s="119"/>
      <c r="AQ651" s="74" t="s">
        <v>11196</v>
      </c>
      <c r="AR651" s="74" t="s">
        <v>2472</v>
      </c>
      <c r="AS651" s="119"/>
      <c r="AT651" s="74" t="s">
        <v>5540</v>
      </c>
      <c r="AU651" s="120">
        <v>7662.0</v>
      </c>
      <c r="AV651" s="74" t="s">
        <v>11197</v>
      </c>
      <c r="AW651" s="74" t="s">
        <v>11198</v>
      </c>
      <c r="AX651" s="120">
        <v>650.0</v>
      </c>
    </row>
    <row r="652">
      <c r="A652" s="74" t="s">
        <v>11199</v>
      </c>
      <c r="B652" s="74" t="s">
        <v>11200</v>
      </c>
      <c r="C652" s="119"/>
      <c r="D652" s="119"/>
      <c r="E652" s="74">
        <v>3.52155090180007E14</v>
      </c>
      <c r="F652" s="74">
        <v>59.0</v>
      </c>
      <c r="G652" s="74">
        <v>11.0</v>
      </c>
      <c r="H652" s="74">
        <v>4.0</v>
      </c>
      <c r="I652" s="74">
        <v>1.0</v>
      </c>
      <c r="J652" s="74" t="s">
        <v>11202</v>
      </c>
      <c r="K652" s="119"/>
      <c r="L652" s="74" t="s">
        <v>2590</v>
      </c>
      <c r="M652" s="74" t="s">
        <v>2590</v>
      </c>
      <c r="N652" s="119"/>
      <c r="O652" s="119"/>
      <c r="P652" s="74" t="s">
        <v>11203</v>
      </c>
      <c r="Q652" s="74" t="s">
        <v>11205</v>
      </c>
      <c r="R652" s="74">
        <v>22.5454542</v>
      </c>
      <c r="S652" s="74">
        <v>88.3810779</v>
      </c>
      <c r="T652" s="74">
        <v>-45.599998474121</v>
      </c>
      <c r="U652" s="74">
        <v>5.0</v>
      </c>
      <c r="V652" s="74">
        <v>1.0</v>
      </c>
      <c r="W652" s="74">
        <v>0.0</v>
      </c>
      <c r="X652" s="74">
        <v>1.0</v>
      </c>
      <c r="Y652" s="119"/>
      <c r="Z652" s="119"/>
      <c r="AA652" s="74">
        <v>2.0</v>
      </c>
      <c r="AB652" s="74">
        <v>4.0</v>
      </c>
      <c r="AC652" s="119"/>
      <c r="AD652" s="119"/>
      <c r="AE652" s="119"/>
      <c r="AF652" s="119"/>
      <c r="AG652" s="119"/>
      <c r="AH652" s="119"/>
      <c r="AI652" s="119"/>
      <c r="AJ652" s="119"/>
      <c r="AK652" s="119"/>
      <c r="AL652" s="119"/>
      <c r="AM652" s="119"/>
      <c r="AN652" s="119"/>
      <c r="AO652" s="119"/>
      <c r="AP652" s="119"/>
      <c r="AQ652" s="74" t="s">
        <v>9060</v>
      </c>
      <c r="AR652" s="74" t="s">
        <v>2286</v>
      </c>
      <c r="AS652" s="74">
        <v>1.0</v>
      </c>
      <c r="AT652" s="74" t="s">
        <v>5540</v>
      </c>
      <c r="AU652" s="120">
        <v>7692.0</v>
      </c>
      <c r="AV652" s="74" t="s">
        <v>11211</v>
      </c>
      <c r="AW652" s="74" t="s">
        <v>11212</v>
      </c>
      <c r="AX652" s="120">
        <v>651.0</v>
      </c>
    </row>
    <row r="653">
      <c r="A653" s="74" t="s">
        <v>11213</v>
      </c>
      <c r="B653" s="74" t="s">
        <v>11214</v>
      </c>
      <c r="C653" s="119"/>
      <c r="D653" s="119"/>
      <c r="E653" s="74">
        <v>3.52155090180007E14</v>
      </c>
      <c r="F653" s="74">
        <v>59.0</v>
      </c>
      <c r="G653" s="74">
        <v>99.0</v>
      </c>
      <c r="H653" s="119"/>
      <c r="I653" s="119"/>
      <c r="J653" s="119"/>
      <c r="K653" s="74">
        <v>2.0</v>
      </c>
      <c r="L653" s="74" t="s">
        <v>2607</v>
      </c>
      <c r="M653" s="74" t="s">
        <v>2607</v>
      </c>
      <c r="N653" s="119"/>
      <c r="O653" s="119"/>
      <c r="P653" s="74" t="s">
        <v>11216</v>
      </c>
      <c r="Q653" s="74" t="s">
        <v>11217</v>
      </c>
      <c r="R653" s="74">
        <v>22.545397</v>
      </c>
      <c r="S653" s="74">
        <v>88.3810729</v>
      </c>
      <c r="T653" s="74">
        <v>-48.4000015258789</v>
      </c>
      <c r="U653" s="74">
        <v>5.0</v>
      </c>
      <c r="V653" s="74">
        <v>1.0</v>
      </c>
      <c r="W653" s="74">
        <v>1.0</v>
      </c>
      <c r="X653" s="119"/>
      <c r="Y653" s="119"/>
      <c r="Z653" s="119"/>
      <c r="AA653" s="119"/>
      <c r="AB653" s="119"/>
      <c r="AC653" s="119"/>
      <c r="AD653" s="119"/>
      <c r="AE653" s="119"/>
      <c r="AF653" s="119"/>
      <c r="AG653" s="119"/>
      <c r="AH653" s="119"/>
      <c r="AI653" s="119"/>
      <c r="AJ653" s="119"/>
      <c r="AK653" s="119"/>
      <c r="AL653" s="119"/>
      <c r="AM653" s="119"/>
      <c r="AN653" s="119"/>
      <c r="AO653" s="119"/>
      <c r="AP653" s="119"/>
      <c r="AQ653" s="74" t="s">
        <v>11221</v>
      </c>
      <c r="AR653" s="74" t="s">
        <v>2286</v>
      </c>
      <c r="AS653" s="119"/>
      <c r="AT653" s="74" t="s">
        <v>5540</v>
      </c>
      <c r="AU653" s="120">
        <v>7693.0</v>
      </c>
      <c r="AV653" s="74" t="s">
        <v>11223</v>
      </c>
      <c r="AW653" s="74" t="s">
        <v>11224</v>
      </c>
      <c r="AX653" s="120">
        <v>652.0</v>
      </c>
    </row>
    <row r="654">
      <c r="A654" s="74" t="s">
        <v>11225</v>
      </c>
      <c r="B654" s="74" t="s">
        <v>11226</v>
      </c>
      <c r="C654" s="119"/>
      <c r="D654" s="119"/>
      <c r="E654" s="74">
        <v>3.52155090281144E14</v>
      </c>
      <c r="F654" s="74">
        <v>57.0</v>
      </c>
      <c r="G654" s="74">
        <v>12.0</v>
      </c>
      <c r="H654" s="119"/>
      <c r="I654" s="119"/>
      <c r="J654" s="119"/>
      <c r="K654" s="119"/>
      <c r="L654" s="74" t="s">
        <v>2653</v>
      </c>
      <c r="M654" s="74" t="s">
        <v>2653</v>
      </c>
      <c r="N654" s="74">
        <v>2.0</v>
      </c>
      <c r="O654" s="74" t="s">
        <v>11227</v>
      </c>
      <c r="P654" s="119"/>
      <c r="Q654" s="74" t="s">
        <v>11228</v>
      </c>
      <c r="R654" s="74">
        <v>22.5543082</v>
      </c>
      <c r="S654" s="74">
        <v>88.3966641</v>
      </c>
      <c r="T654" s="74">
        <v>-22.2000007629394</v>
      </c>
      <c r="U654" s="74">
        <v>5.0</v>
      </c>
      <c r="V654" s="74">
        <v>1.0</v>
      </c>
      <c r="W654" s="74">
        <v>0.0</v>
      </c>
      <c r="X654" s="74">
        <v>0.0</v>
      </c>
      <c r="Y654" s="74">
        <v>1.0</v>
      </c>
      <c r="Z654" s="119"/>
      <c r="AA654" s="119"/>
      <c r="AB654" s="119"/>
      <c r="AC654" s="119"/>
      <c r="AD654" s="119"/>
      <c r="AE654" s="74">
        <v>1.0</v>
      </c>
      <c r="AF654" s="74">
        <v>2.0</v>
      </c>
      <c r="AG654" s="74">
        <v>3.0</v>
      </c>
      <c r="AH654" s="74">
        <v>4.0</v>
      </c>
      <c r="AI654" s="119"/>
      <c r="AJ654" s="119"/>
      <c r="AK654" s="119"/>
      <c r="AL654" s="119"/>
      <c r="AM654" s="119"/>
      <c r="AN654" s="119"/>
      <c r="AO654" s="119"/>
      <c r="AP654" s="119"/>
      <c r="AQ654" s="74" t="s">
        <v>2949</v>
      </c>
      <c r="AR654" s="74" t="s">
        <v>2472</v>
      </c>
      <c r="AS654" s="74">
        <v>0.0</v>
      </c>
      <c r="AT654" s="74" t="s">
        <v>5540</v>
      </c>
      <c r="AU654" s="120">
        <v>7694.0</v>
      </c>
      <c r="AV654" s="74" t="s">
        <v>11234</v>
      </c>
      <c r="AW654" s="74" t="s">
        <v>11236</v>
      </c>
      <c r="AX654" s="120">
        <v>653.0</v>
      </c>
    </row>
    <row r="655">
      <c r="A655" s="74" t="s">
        <v>11237</v>
      </c>
      <c r="B655" s="74" t="s">
        <v>11239</v>
      </c>
      <c r="C655" s="119"/>
      <c r="D655" s="119"/>
      <c r="E655" s="74">
        <v>3.52155090281144E14</v>
      </c>
      <c r="F655" s="74">
        <v>57.0</v>
      </c>
      <c r="G655" s="74">
        <v>99.0</v>
      </c>
      <c r="H655" s="119"/>
      <c r="I655" s="119"/>
      <c r="J655" s="119"/>
      <c r="K655" s="74">
        <v>1.0</v>
      </c>
      <c r="L655" s="74" t="s">
        <v>2661</v>
      </c>
      <c r="M655" s="74" t="s">
        <v>2661</v>
      </c>
      <c r="N655" s="119"/>
      <c r="O655" s="119"/>
      <c r="P655" s="74" t="s">
        <v>11244</v>
      </c>
      <c r="Q655" s="74" t="s">
        <v>11245</v>
      </c>
      <c r="R655" s="74">
        <v>22.5542464</v>
      </c>
      <c r="S655" s="74">
        <v>88.3966836</v>
      </c>
      <c r="T655" s="74">
        <v>-21.0</v>
      </c>
      <c r="U655" s="74">
        <v>5.0</v>
      </c>
      <c r="V655" s="74">
        <v>1.0</v>
      </c>
      <c r="W655" s="74">
        <v>0.0</v>
      </c>
      <c r="X655" s="74">
        <v>0.0</v>
      </c>
      <c r="Y655" s="74">
        <v>1.0</v>
      </c>
      <c r="Z655" s="119"/>
      <c r="AA655" s="119"/>
      <c r="AB655" s="119"/>
      <c r="AC655" s="119"/>
      <c r="AD655" s="119"/>
      <c r="AE655" s="119"/>
      <c r="AF655" s="119"/>
      <c r="AG655" s="119"/>
      <c r="AH655" s="119"/>
      <c r="AI655" s="119"/>
      <c r="AJ655" s="119"/>
      <c r="AK655" s="119"/>
      <c r="AL655" s="119"/>
      <c r="AM655" s="119"/>
      <c r="AN655" s="119"/>
      <c r="AO655" s="119"/>
      <c r="AP655" s="119"/>
      <c r="AQ655" s="74" t="s">
        <v>2949</v>
      </c>
      <c r="AR655" s="74" t="s">
        <v>2472</v>
      </c>
      <c r="AS655" s="119"/>
      <c r="AT655" s="74" t="s">
        <v>5540</v>
      </c>
      <c r="AU655" s="120">
        <v>7695.0</v>
      </c>
      <c r="AV655" s="74" t="s">
        <v>11247</v>
      </c>
      <c r="AW655" s="74" t="s">
        <v>11248</v>
      </c>
      <c r="AX655" s="120">
        <v>654.0</v>
      </c>
    </row>
    <row r="656">
      <c r="A656" s="74" t="s">
        <v>11249</v>
      </c>
      <c r="B656" s="74" t="s">
        <v>11250</v>
      </c>
      <c r="C656" s="119"/>
      <c r="D656" s="119"/>
      <c r="E656" s="74">
        <v>3.52155090281144E14</v>
      </c>
      <c r="F656" s="74">
        <v>57.0</v>
      </c>
      <c r="G656" s="74">
        <v>12.0</v>
      </c>
      <c r="H656" s="119"/>
      <c r="I656" s="119"/>
      <c r="J656" s="119"/>
      <c r="K656" s="119"/>
      <c r="L656" s="74" t="s">
        <v>2681</v>
      </c>
      <c r="M656" s="74" t="s">
        <v>2681</v>
      </c>
      <c r="N656" s="74">
        <v>7.0</v>
      </c>
      <c r="O656" s="74" t="s">
        <v>11253</v>
      </c>
      <c r="P656" s="119"/>
      <c r="Q656" s="74" t="s">
        <v>11254</v>
      </c>
      <c r="R656" s="74">
        <v>22.5579508</v>
      </c>
      <c r="S656" s="74">
        <v>88.3896249</v>
      </c>
      <c r="T656" s="74">
        <v>-42.5</v>
      </c>
      <c r="U656" s="74">
        <v>5.0</v>
      </c>
      <c r="V656" s="74">
        <v>1.0</v>
      </c>
      <c r="W656" s="74">
        <v>0.0</v>
      </c>
      <c r="X656" s="74">
        <v>0.0</v>
      </c>
      <c r="Y656" s="74">
        <v>1.0</v>
      </c>
      <c r="Z656" s="119"/>
      <c r="AA656" s="119"/>
      <c r="AB656" s="119"/>
      <c r="AC656" s="119"/>
      <c r="AD656" s="119"/>
      <c r="AE656" s="74">
        <v>1.0</v>
      </c>
      <c r="AF656" s="74">
        <v>2.0</v>
      </c>
      <c r="AG656" s="74">
        <v>4.0</v>
      </c>
      <c r="AH656" s="74">
        <v>4.0</v>
      </c>
      <c r="AI656" s="119"/>
      <c r="AJ656" s="119"/>
      <c r="AK656" s="119"/>
      <c r="AL656" s="119"/>
      <c r="AM656" s="119"/>
      <c r="AN656" s="119"/>
      <c r="AO656" s="119"/>
      <c r="AP656" s="119"/>
      <c r="AQ656" s="74" t="s">
        <v>3200</v>
      </c>
      <c r="AR656" s="74" t="s">
        <v>3142</v>
      </c>
      <c r="AS656" s="74">
        <v>0.0</v>
      </c>
      <c r="AT656" s="74" t="s">
        <v>5540</v>
      </c>
      <c r="AU656" s="120">
        <v>7696.0</v>
      </c>
      <c r="AV656" s="74" t="s">
        <v>11256</v>
      </c>
      <c r="AW656" s="74" t="s">
        <v>11257</v>
      </c>
      <c r="AX656" s="120">
        <v>655.0</v>
      </c>
    </row>
    <row r="657">
      <c r="A657" s="74" t="s">
        <v>11258</v>
      </c>
      <c r="B657" s="74" t="s">
        <v>11259</v>
      </c>
      <c r="C657" s="119"/>
      <c r="D657" s="119"/>
      <c r="E657" s="74">
        <v>3.52155090281144E14</v>
      </c>
      <c r="F657" s="74">
        <v>57.0</v>
      </c>
      <c r="G657" s="74">
        <v>99.0</v>
      </c>
      <c r="H657" s="119"/>
      <c r="I657" s="119"/>
      <c r="J657" s="119"/>
      <c r="K657" s="74">
        <v>1.0</v>
      </c>
      <c r="L657" s="74" t="s">
        <v>2688</v>
      </c>
      <c r="M657" s="74" t="s">
        <v>2688</v>
      </c>
      <c r="N657" s="119"/>
      <c r="O657" s="119"/>
      <c r="P657" s="74" t="s">
        <v>11260</v>
      </c>
      <c r="Q657" s="74" t="s">
        <v>11261</v>
      </c>
      <c r="R657" s="74">
        <v>22.5580241</v>
      </c>
      <c r="S657" s="74">
        <v>88.3895843</v>
      </c>
      <c r="T657" s="74">
        <v>-58.2999992370605</v>
      </c>
      <c r="U657" s="74">
        <v>5.0</v>
      </c>
      <c r="V657" s="74">
        <v>1.0</v>
      </c>
      <c r="W657" s="74">
        <v>0.0</v>
      </c>
      <c r="X657" s="74">
        <v>0.0</v>
      </c>
      <c r="Y657" s="74">
        <v>1.0</v>
      </c>
      <c r="Z657" s="119"/>
      <c r="AA657" s="119"/>
      <c r="AB657" s="119"/>
      <c r="AC657" s="119"/>
      <c r="AD657" s="119"/>
      <c r="AE657" s="119"/>
      <c r="AF657" s="119"/>
      <c r="AG657" s="119"/>
      <c r="AH657" s="119"/>
      <c r="AI657" s="119"/>
      <c r="AJ657" s="119"/>
      <c r="AK657" s="119"/>
      <c r="AL657" s="119"/>
      <c r="AM657" s="119"/>
      <c r="AN657" s="119"/>
      <c r="AO657" s="119"/>
      <c r="AP657" s="119"/>
      <c r="AQ657" s="74" t="s">
        <v>3200</v>
      </c>
      <c r="AR657" s="74" t="s">
        <v>3142</v>
      </c>
      <c r="AS657" s="119"/>
      <c r="AT657" s="74" t="s">
        <v>5540</v>
      </c>
      <c r="AU657" s="120">
        <v>7697.0</v>
      </c>
      <c r="AV657" s="74" t="s">
        <v>11269</v>
      </c>
      <c r="AW657" s="74" t="s">
        <v>11271</v>
      </c>
      <c r="AX657" s="120">
        <v>656.0</v>
      </c>
    </row>
    <row r="658">
      <c r="A658" s="74" t="s">
        <v>11272</v>
      </c>
      <c r="B658" s="74" t="s">
        <v>11273</v>
      </c>
      <c r="C658" s="119"/>
      <c r="D658" s="119"/>
      <c r="E658" s="74">
        <v>3.52155090281144E14</v>
      </c>
      <c r="F658" s="74">
        <v>57.0</v>
      </c>
      <c r="G658" s="74">
        <v>11.0</v>
      </c>
      <c r="H658" s="74">
        <v>1.0</v>
      </c>
      <c r="I658" s="119"/>
      <c r="J658" s="119"/>
      <c r="K658" s="119"/>
      <c r="L658" s="74" t="s">
        <v>2730</v>
      </c>
      <c r="M658" s="74" t="s">
        <v>2730</v>
      </c>
      <c r="N658" s="119"/>
      <c r="O658" s="119"/>
      <c r="P658" s="74" t="s">
        <v>11203</v>
      </c>
      <c r="Q658" s="74" t="s">
        <v>11275</v>
      </c>
      <c r="R658" s="74">
        <v>22.5580027</v>
      </c>
      <c r="S658" s="74">
        <v>88.3896111</v>
      </c>
      <c r="T658" s="74">
        <v>-44.099998474121</v>
      </c>
      <c r="U658" s="74">
        <v>5.0</v>
      </c>
      <c r="V658" s="74">
        <v>1.0</v>
      </c>
      <c r="W658" s="74">
        <v>0.0</v>
      </c>
      <c r="X658" s="74">
        <v>0.0</v>
      </c>
      <c r="Y658" s="74">
        <v>1.0</v>
      </c>
      <c r="Z658" s="119"/>
      <c r="AA658" s="74">
        <v>1.0</v>
      </c>
      <c r="AB658" s="74">
        <v>4.0</v>
      </c>
      <c r="AC658" s="119"/>
      <c r="AD658" s="119"/>
      <c r="AE658" s="119"/>
      <c r="AF658" s="119"/>
      <c r="AG658" s="119"/>
      <c r="AH658" s="119"/>
      <c r="AI658" s="119"/>
      <c r="AJ658" s="119"/>
      <c r="AK658" s="119"/>
      <c r="AL658" s="119"/>
      <c r="AM658" s="119"/>
      <c r="AN658" s="119"/>
      <c r="AO658" s="119"/>
      <c r="AP658" s="119"/>
      <c r="AQ658" s="74" t="s">
        <v>3200</v>
      </c>
      <c r="AR658" s="74" t="s">
        <v>3142</v>
      </c>
      <c r="AS658" s="74">
        <v>0.0</v>
      </c>
      <c r="AT658" s="74" t="s">
        <v>5540</v>
      </c>
      <c r="AU658" s="120">
        <v>7698.0</v>
      </c>
      <c r="AV658" s="74" t="s">
        <v>11279</v>
      </c>
      <c r="AW658" s="74" t="s">
        <v>11280</v>
      </c>
      <c r="AX658" s="120">
        <v>657.0</v>
      </c>
    </row>
    <row r="659">
      <c r="A659" s="74" t="s">
        <v>11281</v>
      </c>
      <c r="B659" s="74" t="s">
        <v>11282</v>
      </c>
      <c r="C659" s="119"/>
      <c r="D659" s="119"/>
      <c r="E659" s="74">
        <v>3.52155090281144E14</v>
      </c>
      <c r="F659" s="74">
        <v>55.0</v>
      </c>
      <c r="G659" s="74">
        <v>12.0</v>
      </c>
      <c r="H659" s="119"/>
      <c r="I659" s="119"/>
      <c r="J659" s="119"/>
      <c r="K659" s="119"/>
      <c r="L659" s="74" t="s">
        <v>2708</v>
      </c>
      <c r="M659" s="74" t="s">
        <v>2708</v>
      </c>
      <c r="N659" s="74">
        <v>4.0</v>
      </c>
      <c r="O659" s="74" t="s">
        <v>11285</v>
      </c>
      <c r="P659" s="119"/>
      <c r="Q659" s="74" t="s">
        <v>11286</v>
      </c>
      <c r="R659" s="74">
        <v>22.5635031</v>
      </c>
      <c r="S659" s="74">
        <v>88.3773112</v>
      </c>
      <c r="T659" s="74">
        <v>-19.7000007629394</v>
      </c>
      <c r="U659" s="74">
        <v>5.0</v>
      </c>
      <c r="V659" s="74">
        <v>1.0</v>
      </c>
      <c r="W659" s="74">
        <v>0.0</v>
      </c>
      <c r="X659" s="74">
        <v>0.0</v>
      </c>
      <c r="Y659" s="74">
        <v>1.0</v>
      </c>
      <c r="Z659" s="119"/>
      <c r="AA659" s="119"/>
      <c r="AB659" s="119"/>
      <c r="AC659" s="119"/>
      <c r="AD659" s="119"/>
      <c r="AE659" s="74">
        <v>1.0</v>
      </c>
      <c r="AF659" s="74">
        <v>2.0</v>
      </c>
      <c r="AG659" s="74">
        <v>4.0</v>
      </c>
      <c r="AH659" s="74">
        <v>4.0</v>
      </c>
      <c r="AI659" s="119"/>
      <c r="AJ659" s="119"/>
      <c r="AK659" s="119"/>
      <c r="AL659" s="119"/>
      <c r="AM659" s="119"/>
      <c r="AN659" s="119"/>
      <c r="AO659" s="119"/>
      <c r="AP659" s="119"/>
      <c r="AQ659" s="74" t="s">
        <v>2979</v>
      </c>
      <c r="AR659" s="74" t="s">
        <v>2327</v>
      </c>
      <c r="AS659" s="74">
        <v>0.0</v>
      </c>
      <c r="AT659" s="74" t="s">
        <v>5540</v>
      </c>
      <c r="AU659" s="120">
        <v>7699.0</v>
      </c>
      <c r="AV659" s="74" t="s">
        <v>11288</v>
      </c>
      <c r="AW659" s="74" t="s">
        <v>11289</v>
      </c>
      <c r="AX659" s="120">
        <v>658.0</v>
      </c>
    </row>
    <row r="660">
      <c r="A660" s="74" t="s">
        <v>11290</v>
      </c>
      <c r="B660" s="74" t="s">
        <v>11291</v>
      </c>
      <c r="C660" s="119"/>
      <c r="D660" s="119"/>
      <c r="E660" s="74">
        <v>3.52155090281144E14</v>
      </c>
      <c r="F660" s="74">
        <v>55.0</v>
      </c>
      <c r="G660" s="74">
        <v>99.0</v>
      </c>
      <c r="H660" s="119"/>
      <c r="I660" s="119"/>
      <c r="J660" s="119"/>
      <c r="K660" s="74">
        <v>1.0</v>
      </c>
      <c r="L660" s="74" t="s">
        <v>2715</v>
      </c>
      <c r="M660" s="74" t="s">
        <v>2715</v>
      </c>
      <c r="N660" s="119"/>
      <c r="O660" s="119"/>
      <c r="P660" s="74" t="s">
        <v>11292</v>
      </c>
      <c r="Q660" s="74" t="s">
        <v>11293</v>
      </c>
      <c r="R660" s="74">
        <v>22.5635691</v>
      </c>
      <c r="S660" s="74">
        <v>88.3772849</v>
      </c>
      <c r="T660" s="74">
        <v>-36.5</v>
      </c>
      <c r="U660" s="74">
        <v>5.0</v>
      </c>
      <c r="V660" s="74">
        <v>1.0</v>
      </c>
      <c r="W660" s="74">
        <v>0.0</v>
      </c>
      <c r="X660" s="74">
        <v>0.0</v>
      </c>
      <c r="Y660" s="74">
        <v>1.0</v>
      </c>
      <c r="Z660" s="119"/>
      <c r="AA660" s="119"/>
      <c r="AB660" s="119"/>
      <c r="AC660" s="119"/>
      <c r="AD660" s="119"/>
      <c r="AE660" s="119"/>
      <c r="AF660" s="119"/>
      <c r="AG660" s="119"/>
      <c r="AH660" s="119"/>
      <c r="AI660" s="119"/>
      <c r="AJ660" s="119"/>
      <c r="AK660" s="119"/>
      <c r="AL660" s="119"/>
      <c r="AM660" s="119"/>
      <c r="AN660" s="119"/>
      <c r="AO660" s="119"/>
      <c r="AP660" s="119"/>
      <c r="AQ660" s="74" t="s">
        <v>2979</v>
      </c>
      <c r="AR660" s="74" t="s">
        <v>2327</v>
      </c>
      <c r="AS660" s="119"/>
      <c r="AT660" s="74" t="s">
        <v>5540</v>
      </c>
      <c r="AU660" s="120">
        <v>7700.0</v>
      </c>
      <c r="AV660" s="74" t="s">
        <v>11303</v>
      </c>
      <c r="AW660" s="74" t="s">
        <v>11304</v>
      </c>
      <c r="AX660" s="120">
        <v>659.0</v>
      </c>
    </row>
    <row r="661">
      <c r="A661" s="74" t="s">
        <v>11305</v>
      </c>
      <c r="B661" s="74" t="s">
        <v>11306</v>
      </c>
      <c r="C661" s="119"/>
      <c r="D661" s="119"/>
      <c r="E661" s="74">
        <v>3.52155090281144E14</v>
      </c>
      <c r="F661" s="74">
        <v>65.0</v>
      </c>
      <c r="G661" s="74">
        <v>11.0</v>
      </c>
      <c r="H661" s="74">
        <v>1.0</v>
      </c>
      <c r="I661" s="119"/>
      <c r="J661" s="119"/>
      <c r="K661" s="119"/>
      <c r="L661" s="74" t="s">
        <v>2895</v>
      </c>
      <c r="M661" s="74" t="s">
        <v>2895</v>
      </c>
      <c r="N661" s="119"/>
      <c r="O661" s="119"/>
      <c r="P661" s="74" t="s">
        <v>11308</v>
      </c>
      <c r="Q661" s="74" t="s">
        <v>11309</v>
      </c>
      <c r="R661" s="74">
        <v>22.5361757</v>
      </c>
      <c r="S661" s="74">
        <v>88.3749698</v>
      </c>
      <c r="T661" s="74">
        <v>-59.7999992370605</v>
      </c>
      <c r="U661" s="74">
        <v>5.0</v>
      </c>
      <c r="V661" s="74">
        <v>1.0</v>
      </c>
      <c r="W661" s="74">
        <v>0.0</v>
      </c>
      <c r="X661" s="74">
        <v>1.0</v>
      </c>
      <c r="Y661" s="119"/>
      <c r="Z661" s="119"/>
      <c r="AA661" s="74">
        <v>1.0</v>
      </c>
      <c r="AB661" s="74">
        <v>4.0</v>
      </c>
      <c r="AC661" s="119"/>
      <c r="AD661" s="119"/>
      <c r="AE661" s="119"/>
      <c r="AF661" s="119"/>
      <c r="AG661" s="119"/>
      <c r="AH661" s="119"/>
      <c r="AI661" s="119"/>
      <c r="AJ661" s="119"/>
      <c r="AK661" s="119"/>
      <c r="AL661" s="119"/>
      <c r="AM661" s="119"/>
      <c r="AN661" s="119"/>
      <c r="AO661" s="119"/>
      <c r="AP661" s="119"/>
      <c r="AQ661" s="74" t="s">
        <v>7377</v>
      </c>
      <c r="AR661" s="74" t="s">
        <v>11311</v>
      </c>
      <c r="AS661" s="74">
        <v>0.0</v>
      </c>
      <c r="AT661" s="74" t="s">
        <v>5540</v>
      </c>
      <c r="AU661" s="120">
        <v>7731.0</v>
      </c>
      <c r="AV661" s="74" t="s">
        <v>11313</v>
      </c>
      <c r="AW661" s="74" t="s">
        <v>11314</v>
      </c>
      <c r="AX661" s="120">
        <v>660.0</v>
      </c>
    </row>
    <row r="662">
      <c r="A662" s="74" t="s">
        <v>11316</v>
      </c>
      <c r="B662" s="74" t="s">
        <v>11317</v>
      </c>
      <c r="C662" s="119"/>
      <c r="D662" s="119"/>
      <c r="E662" s="74">
        <v>3.52155090281144E14</v>
      </c>
      <c r="F662" s="74">
        <v>66.0</v>
      </c>
      <c r="G662" s="74">
        <v>12.0</v>
      </c>
      <c r="H662" s="119"/>
      <c r="I662" s="119"/>
      <c r="J662" s="119"/>
      <c r="K662" s="119"/>
      <c r="L662" s="74" t="s">
        <v>2939</v>
      </c>
      <c r="M662" s="74" t="s">
        <v>2939</v>
      </c>
      <c r="N662" s="74">
        <v>5.0</v>
      </c>
      <c r="O662" s="74" t="s">
        <v>11319</v>
      </c>
      <c r="P662" s="119"/>
      <c r="Q662" s="74" t="s">
        <v>11320</v>
      </c>
      <c r="R662" s="74">
        <v>22.5346913</v>
      </c>
      <c r="S662" s="74">
        <v>88.3959524</v>
      </c>
      <c r="T662" s="74">
        <v>-28.3999996185302</v>
      </c>
      <c r="U662" s="74">
        <v>5.0</v>
      </c>
      <c r="V662" s="74">
        <v>1.0</v>
      </c>
      <c r="W662" s="74">
        <v>0.0</v>
      </c>
      <c r="X662" s="74">
        <v>1.0</v>
      </c>
      <c r="Y662" s="119"/>
      <c r="Z662" s="119"/>
      <c r="AA662" s="119"/>
      <c r="AB662" s="119"/>
      <c r="AC662" s="119"/>
      <c r="AD662" s="119"/>
      <c r="AE662" s="74">
        <v>1.0</v>
      </c>
      <c r="AF662" s="74">
        <v>2.0</v>
      </c>
      <c r="AG662" s="74">
        <v>3.0</v>
      </c>
      <c r="AH662" s="74">
        <v>4.0</v>
      </c>
      <c r="AI662" s="119"/>
      <c r="AJ662" s="119"/>
      <c r="AK662" s="119"/>
      <c r="AL662" s="119"/>
      <c r="AM662" s="119"/>
      <c r="AN662" s="119"/>
      <c r="AO662" s="119"/>
      <c r="AP662" s="119"/>
      <c r="AQ662" s="119"/>
      <c r="AR662" s="74" t="s">
        <v>2899</v>
      </c>
      <c r="AS662" s="74">
        <v>0.0</v>
      </c>
      <c r="AT662" s="74" t="s">
        <v>5540</v>
      </c>
      <c r="AU662" s="120">
        <v>7732.0</v>
      </c>
      <c r="AV662" s="74" t="s">
        <v>11324</v>
      </c>
      <c r="AW662" s="74" t="s">
        <v>11326</v>
      </c>
      <c r="AX662" s="120">
        <v>661.0</v>
      </c>
    </row>
    <row r="663">
      <c r="A663" s="74" t="s">
        <v>11329</v>
      </c>
      <c r="B663" s="74" t="s">
        <v>11330</v>
      </c>
      <c r="C663" s="119"/>
      <c r="D663" s="119"/>
      <c r="E663" s="74">
        <v>3.52155090281144E14</v>
      </c>
      <c r="F663" s="74">
        <v>66.0</v>
      </c>
      <c r="G663" s="74">
        <v>99.0</v>
      </c>
      <c r="H663" s="119"/>
      <c r="I663" s="119"/>
      <c r="J663" s="119"/>
      <c r="K663" s="74">
        <v>1.0</v>
      </c>
      <c r="L663" s="74" t="s">
        <v>2947</v>
      </c>
      <c r="M663" s="74" t="s">
        <v>2947</v>
      </c>
      <c r="N663" s="119"/>
      <c r="O663" s="119"/>
      <c r="P663" s="74" t="s">
        <v>11333</v>
      </c>
      <c r="Q663" s="74" t="s">
        <v>11334</v>
      </c>
      <c r="R663" s="74">
        <v>22.5346668</v>
      </c>
      <c r="S663" s="74">
        <v>88.396052</v>
      </c>
      <c r="T663" s="74">
        <v>-45.4000015258789</v>
      </c>
      <c r="U663" s="74">
        <v>5.0</v>
      </c>
      <c r="V663" s="74">
        <v>1.0</v>
      </c>
      <c r="W663" s="74">
        <v>0.0</v>
      </c>
      <c r="X663" s="74">
        <v>1.0</v>
      </c>
      <c r="Y663" s="119"/>
      <c r="Z663" s="119"/>
      <c r="AA663" s="119"/>
      <c r="AB663" s="119"/>
      <c r="AC663" s="119"/>
      <c r="AD663" s="119"/>
      <c r="AE663" s="119"/>
      <c r="AF663" s="119"/>
      <c r="AG663" s="119"/>
      <c r="AH663" s="119"/>
      <c r="AI663" s="119"/>
      <c r="AJ663" s="119"/>
      <c r="AK663" s="119"/>
      <c r="AL663" s="119"/>
      <c r="AM663" s="119"/>
      <c r="AN663" s="119"/>
      <c r="AO663" s="119"/>
      <c r="AP663" s="119"/>
      <c r="AQ663" s="74" t="s">
        <v>7377</v>
      </c>
      <c r="AR663" s="74" t="s">
        <v>7379</v>
      </c>
      <c r="AS663" s="119"/>
      <c r="AT663" s="74" t="s">
        <v>5540</v>
      </c>
      <c r="AU663" s="120">
        <v>7733.0</v>
      </c>
      <c r="AV663" s="74" t="s">
        <v>11335</v>
      </c>
      <c r="AW663" s="74" t="s">
        <v>11336</v>
      </c>
      <c r="AX663" s="120">
        <v>662.0</v>
      </c>
    </row>
    <row r="664">
      <c r="A664" s="74" t="s">
        <v>11338</v>
      </c>
      <c r="B664" s="74" t="s">
        <v>11339</v>
      </c>
      <c r="C664" s="119"/>
      <c r="D664" s="119"/>
      <c r="E664" s="74">
        <v>3.52155090281144E14</v>
      </c>
      <c r="F664" s="74">
        <v>59.0</v>
      </c>
      <c r="G664" s="74">
        <v>12.0</v>
      </c>
      <c r="H664" s="119"/>
      <c r="I664" s="119"/>
      <c r="J664" s="119"/>
      <c r="K664" s="119"/>
      <c r="L664" s="74" t="s">
        <v>2964</v>
      </c>
      <c r="M664" s="74" t="s">
        <v>2964</v>
      </c>
      <c r="N664" s="74">
        <v>6.0</v>
      </c>
      <c r="O664" s="74" t="s">
        <v>11342</v>
      </c>
      <c r="P664" s="119"/>
      <c r="Q664" s="74" t="s">
        <v>11343</v>
      </c>
      <c r="R664" s="74">
        <v>22.540037</v>
      </c>
      <c r="S664" s="74">
        <v>88.3872449</v>
      </c>
      <c r="T664" s="74">
        <v>-57.2999992370605</v>
      </c>
      <c r="U664" s="74">
        <v>5.0</v>
      </c>
      <c r="V664" s="74">
        <v>1.0</v>
      </c>
      <c r="W664" s="74">
        <v>0.0</v>
      </c>
      <c r="X664" s="74">
        <v>1.0</v>
      </c>
      <c r="Y664" s="119"/>
      <c r="Z664" s="119"/>
      <c r="AA664" s="119"/>
      <c r="AB664" s="119"/>
      <c r="AC664" s="119"/>
      <c r="AD664" s="119"/>
      <c r="AE664" s="74">
        <v>1.0</v>
      </c>
      <c r="AF664" s="74">
        <v>2.0</v>
      </c>
      <c r="AG664" s="74">
        <v>3.0</v>
      </c>
      <c r="AH664" s="74">
        <v>4.0</v>
      </c>
      <c r="AI664" s="119"/>
      <c r="AJ664" s="119"/>
      <c r="AK664" s="119"/>
      <c r="AL664" s="119"/>
      <c r="AM664" s="119"/>
      <c r="AN664" s="119"/>
      <c r="AO664" s="119"/>
      <c r="AP664" s="119"/>
      <c r="AQ664" s="119"/>
      <c r="AR664" s="74" t="s">
        <v>2899</v>
      </c>
      <c r="AS664" s="74">
        <v>0.0</v>
      </c>
      <c r="AT664" s="74" t="s">
        <v>5540</v>
      </c>
      <c r="AU664" s="120">
        <v>7734.0</v>
      </c>
      <c r="AV664" s="74" t="s">
        <v>11345</v>
      </c>
      <c r="AW664" s="74" t="s">
        <v>11346</v>
      </c>
      <c r="AX664" s="120">
        <v>663.0</v>
      </c>
    </row>
    <row r="665">
      <c r="A665" s="74" t="s">
        <v>11348</v>
      </c>
      <c r="B665" s="74" t="s">
        <v>11349</v>
      </c>
      <c r="C665" s="119"/>
      <c r="D665" s="119"/>
      <c r="E665" s="74">
        <v>3.52155090281144E14</v>
      </c>
      <c r="F665" s="74">
        <v>59.0</v>
      </c>
      <c r="G665" s="74">
        <v>99.0</v>
      </c>
      <c r="H665" s="119"/>
      <c r="I665" s="119"/>
      <c r="J665" s="119"/>
      <c r="K665" s="74">
        <v>1.0</v>
      </c>
      <c r="L665" s="74" t="s">
        <v>2972</v>
      </c>
      <c r="M665" s="74" t="s">
        <v>2972</v>
      </c>
      <c r="N665" s="119"/>
      <c r="O665" s="119"/>
      <c r="P665" s="74" t="s">
        <v>11355</v>
      </c>
      <c r="Q665" s="74" t="s">
        <v>11356</v>
      </c>
      <c r="R665" s="74">
        <v>22.5400719</v>
      </c>
      <c r="S665" s="74">
        <v>88.3871686</v>
      </c>
      <c r="T665" s="74">
        <v>-41.7000007629394</v>
      </c>
      <c r="U665" s="74">
        <v>5.0</v>
      </c>
      <c r="V665" s="74">
        <v>1.0</v>
      </c>
      <c r="W665" s="74">
        <v>0.0</v>
      </c>
      <c r="X665" s="74">
        <v>1.0</v>
      </c>
      <c r="Y665" s="119"/>
      <c r="Z665" s="119"/>
      <c r="AA665" s="119"/>
      <c r="AB665" s="119"/>
      <c r="AC665" s="119"/>
      <c r="AD665" s="119"/>
      <c r="AE665" s="119"/>
      <c r="AF665" s="119"/>
      <c r="AG665" s="119"/>
      <c r="AH665" s="119"/>
      <c r="AI665" s="119"/>
      <c r="AJ665" s="119"/>
      <c r="AK665" s="119"/>
      <c r="AL665" s="119"/>
      <c r="AM665" s="119"/>
      <c r="AN665" s="119"/>
      <c r="AO665" s="119"/>
      <c r="AP665" s="119"/>
      <c r="AQ665" s="74" t="s">
        <v>7377</v>
      </c>
      <c r="AR665" s="74" t="s">
        <v>7379</v>
      </c>
      <c r="AS665" s="119"/>
      <c r="AT665" s="74" t="s">
        <v>5540</v>
      </c>
      <c r="AU665" s="120">
        <v>7735.0</v>
      </c>
      <c r="AV665" s="74" t="s">
        <v>11360</v>
      </c>
      <c r="AW665" s="74" t="s">
        <v>11361</v>
      </c>
      <c r="AX665" s="120">
        <v>664.0</v>
      </c>
    </row>
    <row r="666">
      <c r="A666" s="74" t="s">
        <v>11362</v>
      </c>
      <c r="B666" s="74" t="s">
        <v>11363</v>
      </c>
      <c r="C666" s="119"/>
      <c r="D666" s="119"/>
      <c r="E666" s="74">
        <v>3.52155090281144E14</v>
      </c>
      <c r="F666" s="74">
        <v>65.0</v>
      </c>
      <c r="G666" s="74">
        <v>12.0</v>
      </c>
      <c r="H666" s="119"/>
      <c r="I666" s="119"/>
      <c r="J666" s="119"/>
      <c r="K666" s="119"/>
      <c r="L666" s="74" t="s">
        <v>3001</v>
      </c>
      <c r="M666" s="74" t="s">
        <v>3001</v>
      </c>
      <c r="N666" s="74">
        <v>8.0</v>
      </c>
      <c r="O666" s="74" t="s">
        <v>11365</v>
      </c>
      <c r="P666" s="119"/>
      <c r="Q666" s="74" t="s">
        <v>11366</v>
      </c>
      <c r="R666" s="74">
        <v>22.5361059</v>
      </c>
      <c r="S666" s="74">
        <v>88.3745743</v>
      </c>
      <c r="T666" s="74">
        <v>-45.2999992370605</v>
      </c>
      <c r="U666" s="74">
        <v>5.0</v>
      </c>
      <c r="V666" s="74">
        <v>1.0</v>
      </c>
      <c r="W666" s="74">
        <v>0.0</v>
      </c>
      <c r="X666" s="74">
        <v>1.0</v>
      </c>
      <c r="Y666" s="119"/>
      <c r="Z666" s="119"/>
      <c r="AA666" s="119"/>
      <c r="AB666" s="119"/>
      <c r="AC666" s="119"/>
      <c r="AD666" s="119"/>
      <c r="AE666" s="74">
        <v>1.0</v>
      </c>
      <c r="AF666" s="74">
        <v>1.0</v>
      </c>
      <c r="AG666" s="74">
        <v>4.0</v>
      </c>
      <c r="AH666" s="74">
        <v>4.0</v>
      </c>
      <c r="AI666" s="119"/>
      <c r="AJ666" s="119"/>
      <c r="AK666" s="119"/>
      <c r="AL666" s="119"/>
      <c r="AM666" s="119"/>
      <c r="AN666" s="119"/>
      <c r="AO666" s="119"/>
      <c r="AP666" s="119"/>
      <c r="AQ666" s="119"/>
      <c r="AR666" s="74" t="s">
        <v>2899</v>
      </c>
      <c r="AS666" s="74">
        <v>0.0</v>
      </c>
      <c r="AT666" s="74" t="s">
        <v>5540</v>
      </c>
      <c r="AU666" s="120">
        <v>7736.0</v>
      </c>
      <c r="AV666" s="74" t="s">
        <v>11370</v>
      </c>
      <c r="AW666" s="74" t="s">
        <v>11371</v>
      </c>
      <c r="AX666" s="120">
        <v>665.0</v>
      </c>
    </row>
    <row r="667">
      <c r="A667" s="74" t="s">
        <v>11372</v>
      </c>
      <c r="B667" s="74" t="s">
        <v>11373</v>
      </c>
      <c r="C667" s="119"/>
      <c r="D667" s="119"/>
      <c r="E667" s="74">
        <v>3.52155090281144E14</v>
      </c>
      <c r="F667" s="74">
        <v>65.0</v>
      </c>
      <c r="G667" s="74">
        <v>99.0</v>
      </c>
      <c r="H667" s="119"/>
      <c r="I667" s="119"/>
      <c r="J667" s="119"/>
      <c r="K667" s="74">
        <v>1.0</v>
      </c>
      <c r="L667" s="74" t="s">
        <v>3182</v>
      </c>
      <c r="M667" s="74" t="s">
        <v>3182</v>
      </c>
      <c r="N667" s="119"/>
      <c r="O667" s="119"/>
      <c r="P667" s="74" t="s">
        <v>11374</v>
      </c>
      <c r="Q667" s="74" t="s">
        <v>11375</v>
      </c>
      <c r="R667" s="74">
        <v>22.5360505</v>
      </c>
      <c r="S667" s="74">
        <v>88.3745546</v>
      </c>
      <c r="T667" s="74">
        <v>-42.0</v>
      </c>
      <c r="U667" s="74">
        <v>5.0</v>
      </c>
      <c r="V667" s="74">
        <v>1.0</v>
      </c>
      <c r="W667" s="74">
        <v>0.0</v>
      </c>
      <c r="X667" s="74">
        <v>1.0</v>
      </c>
      <c r="Y667" s="119"/>
      <c r="Z667" s="119"/>
      <c r="AA667" s="119"/>
      <c r="AB667" s="119"/>
      <c r="AC667" s="119"/>
      <c r="AD667" s="119"/>
      <c r="AE667" s="119"/>
      <c r="AF667" s="119"/>
      <c r="AG667" s="119"/>
      <c r="AH667" s="119"/>
      <c r="AI667" s="119"/>
      <c r="AJ667" s="119"/>
      <c r="AK667" s="119"/>
      <c r="AL667" s="119"/>
      <c r="AM667" s="119"/>
      <c r="AN667" s="119"/>
      <c r="AO667" s="119"/>
      <c r="AP667" s="119"/>
      <c r="AQ667" s="74" t="s">
        <v>7377</v>
      </c>
      <c r="AR667" s="74" t="s">
        <v>7379</v>
      </c>
      <c r="AS667" s="119"/>
      <c r="AT667" s="74" t="s">
        <v>5540</v>
      </c>
      <c r="AU667" s="120">
        <v>7737.0</v>
      </c>
      <c r="AV667" s="74" t="s">
        <v>11384</v>
      </c>
      <c r="AW667" s="74" t="s">
        <v>11385</v>
      </c>
      <c r="AX667" s="120">
        <v>666.0</v>
      </c>
    </row>
    <row r="668">
      <c r="A668" s="74" t="s">
        <v>11387</v>
      </c>
      <c r="B668" s="74" t="s">
        <v>11389</v>
      </c>
      <c r="C668" s="119"/>
      <c r="D668" s="119"/>
      <c r="E668" s="74">
        <v>3.5215509147374E14</v>
      </c>
      <c r="F668" s="74">
        <v>59.0</v>
      </c>
      <c r="G668" s="74">
        <v>11.0</v>
      </c>
      <c r="H668" s="74">
        <v>4.0</v>
      </c>
      <c r="I668" s="74">
        <v>1.0</v>
      </c>
      <c r="J668" s="74" t="s">
        <v>10571</v>
      </c>
      <c r="K668" s="119"/>
      <c r="L668" s="74" t="s">
        <v>3037</v>
      </c>
      <c r="M668" s="74" t="s">
        <v>3037</v>
      </c>
      <c r="N668" s="119"/>
      <c r="O668" s="119"/>
      <c r="P668" s="74" t="s">
        <v>11393</v>
      </c>
      <c r="Q668" s="74" t="s">
        <v>11394</v>
      </c>
      <c r="R668" s="74">
        <v>22.5412348</v>
      </c>
      <c r="S668" s="74">
        <v>88.3743734</v>
      </c>
      <c r="T668" s="74">
        <v>-48.4000015258789</v>
      </c>
      <c r="U668" s="74">
        <v>5.0</v>
      </c>
      <c r="V668" s="74">
        <v>1.0</v>
      </c>
      <c r="W668" s="74">
        <v>0.0</v>
      </c>
      <c r="X668" s="74">
        <v>1.0</v>
      </c>
      <c r="Y668" s="119"/>
      <c r="Z668" s="119"/>
      <c r="AA668" s="74">
        <v>1.0</v>
      </c>
      <c r="AB668" s="74">
        <v>4.0</v>
      </c>
      <c r="AC668" s="119"/>
      <c r="AD668" s="119"/>
      <c r="AE668" s="119"/>
      <c r="AF668" s="119"/>
      <c r="AG668" s="119"/>
      <c r="AH668" s="119"/>
      <c r="AI668" s="119"/>
      <c r="AJ668" s="119"/>
      <c r="AK668" s="119"/>
      <c r="AL668" s="119"/>
      <c r="AM668" s="119"/>
      <c r="AN668" s="119"/>
      <c r="AO668" s="119"/>
      <c r="AP668" s="119"/>
      <c r="AQ668" s="74" t="s">
        <v>2949</v>
      </c>
      <c r="AR668" s="74" t="s">
        <v>2278</v>
      </c>
      <c r="AS668" s="74">
        <v>1.0</v>
      </c>
      <c r="AT668" s="74" t="s">
        <v>5540</v>
      </c>
      <c r="AU668" s="120">
        <v>7744.0</v>
      </c>
      <c r="AV668" s="74" t="s">
        <v>11401</v>
      </c>
      <c r="AW668" s="74" t="s">
        <v>11402</v>
      </c>
      <c r="AX668" s="120">
        <v>667.0</v>
      </c>
    </row>
    <row r="669">
      <c r="A669" s="74" t="s">
        <v>11403</v>
      </c>
      <c r="B669" s="74" t="s">
        <v>11404</v>
      </c>
      <c r="C669" s="119"/>
      <c r="D669" s="119"/>
      <c r="E669" s="74">
        <v>3.5215509147374E14</v>
      </c>
      <c r="F669" s="74">
        <v>59.0</v>
      </c>
      <c r="G669" s="74">
        <v>99.0</v>
      </c>
      <c r="H669" s="119"/>
      <c r="I669" s="119"/>
      <c r="J669" s="119"/>
      <c r="K669" s="74">
        <v>2.0</v>
      </c>
      <c r="L669" s="74" t="s">
        <v>3050</v>
      </c>
      <c r="M669" s="74" t="s">
        <v>3050</v>
      </c>
      <c r="N669" s="119"/>
      <c r="O669" s="119"/>
      <c r="P669" s="74" t="s">
        <v>11406</v>
      </c>
      <c r="Q669" s="74" t="s">
        <v>11408</v>
      </c>
      <c r="R669" s="74">
        <v>22.5412683</v>
      </c>
      <c r="S669" s="74">
        <v>88.3743618</v>
      </c>
      <c r="T669" s="74">
        <v>-59.4000015258789</v>
      </c>
      <c r="U669" s="74">
        <v>5.0</v>
      </c>
      <c r="V669" s="74">
        <v>1.0</v>
      </c>
      <c r="W669" s="74">
        <v>0.0</v>
      </c>
      <c r="X669" s="74">
        <v>1.0</v>
      </c>
      <c r="Y669" s="119"/>
      <c r="Z669" s="119"/>
      <c r="AA669" s="119"/>
      <c r="AB669" s="119"/>
      <c r="AC669" s="119"/>
      <c r="AD669" s="119"/>
      <c r="AE669" s="119"/>
      <c r="AF669" s="119"/>
      <c r="AG669" s="119"/>
      <c r="AH669" s="119"/>
      <c r="AI669" s="119"/>
      <c r="AJ669" s="119"/>
      <c r="AK669" s="119"/>
      <c r="AL669" s="119"/>
      <c r="AM669" s="119"/>
      <c r="AN669" s="119"/>
      <c r="AO669" s="119"/>
      <c r="AP669" s="119"/>
      <c r="AQ669" s="74" t="s">
        <v>11415</v>
      </c>
      <c r="AR669" s="74" t="s">
        <v>2278</v>
      </c>
      <c r="AS669" s="119"/>
      <c r="AT669" s="74" t="s">
        <v>5540</v>
      </c>
      <c r="AU669" s="120">
        <v>7745.0</v>
      </c>
      <c r="AV669" s="74" t="s">
        <v>11417</v>
      </c>
      <c r="AW669" s="74" t="s">
        <v>11420</v>
      </c>
      <c r="AX669" s="120">
        <v>668.0</v>
      </c>
    </row>
    <row r="670">
      <c r="A670" s="74" t="s">
        <v>11421</v>
      </c>
      <c r="B670" s="74" t="s">
        <v>11422</v>
      </c>
      <c r="C670" s="119"/>
      <c r="D670" s="119"/>
      <c r="E670" s="74">
        <v>3.52155090281144E14</v>
      </c>
      <c r="F670" s="74">
        <v>59.0</v>
      </c>
      <c r="G670" s="74">
        <v>11.0</v>
      </c>
      <c r="H670" s="74">
        <v>4.0</v>
      </c>
      <c r="I670" s="74">
        <v>1.0</v>
      </c>
      <c r="J670" s="74" t="s">
        <v>11425</v>
      </c>
      <c r="K670" s="119"/>
      <c r="L670" s="74" t="s">
        <v>3226</v>
      </c>
      <c r="M670" s="74" t="s">
        <v>3226</v>
      </c>
      <c r="N670" s="119"/>
      <c r="O670" s="119"/>
      <c r="P670" s="74" t="s">
        <v>11428</v>
      </c>
      <c r="Q670" s="74" t="s">
        <v>11429</v>
      </c>
      <c r="R670" s="74">
        <v>22.5408121</v>
      </c>
      <c r="S670" s="74">
        <v>88.3743453</v>
      </c>
      <c r="T670" s="74">
        <v>-53.5</v>
      </c>
      <c r="U670" s="74">
        <v>5.0</v>
      </c>
      <c r="V670" s="74">
        <v>1.0</v>
      </c>
      <c r="W670" s="74">
        <v>0.0</v>
      </c>
      <c r="X670" s="74">
        <v>1.0</v>
      </c>
      <c r="Y670" s="119"/>
      <c r="Z670" s="119"/>
      <c r="AA670" s="74">
        <v>1.0</v>
      </c>
      <c r="AB670" s="74">
        <v>4.0</v>
      </c>
      <c r="AC670" s="119"/>
      <c r="AD670" s="119"/>
      <c r="AE670" s="119"/>
      <c r="AF670" s="119"/>
      <c r="AG670" s="119"/>
      <c r="AH670" s="119"/>
      <c r="AI670" s="119"/>
      <c r="AJ670" s="119"/>
      <c r="AK670" s="119"/>
      <c r="AL670" s="119"/>
      <c r="AM670" s="119"/>
      <c r="AN670" s="119"/>
      <c r="AO670" s="119"/>
      <c r="AP670" s="119"/>
      <c r="AQ670" s="74" t="s">
        <v>3149</v>
      </c>
      <c r="AR670" s="74" t="s">
        <v>2472</v>
      </c>
      <c r="AS670" s="74">
        <v>1.0</v>
      </c>
      <c r="AT670" s="74" t="s">
        <v>5540</v>
      </c>
      <c r="AU670" s="120">
        <v>7793.0</v>
      </c>
      <c r="AV670" s="74" t="s">
        <v>11432</v>
      </c>
      <c r="AW670" s="74" t="s">
        <v>11433</v>
      </c>
      <c r="AX670" s="120">
        <v>669.0</v>
      </c>
    </row>
    <row r="671">
      <c r="A671" s="74" t="s">
        <v>11435</v>
      </c>
      <c r="B671" s="74" t="s">
        <v>11436</v>
      </c>
      <c r="C671" s="119"/>
      <c r="D671" s="119"/>
      <c r="E671" s="74">
        <v>3.52155090281144E14</v>
      </c>
      <c r="F671" s="74">
        <v>59.0</v>
      </c>
      <c r="G671" s="74">
        <v>99.0</v>
      </c>
      <c r="H671" s="119"/>
      <c r="I671" s="119"/>
      <c r="J671" s="119"/>
      <c r="K671" s="74">
        <v>2.0</v>
      </c>
      <c r="L671" s="74" t="s">
        <v>3235</v>
      </c>
      <c r="M671" s="74" t="s">
        <v>3235</v>
      </c>
      <c r="N671" s="119"/>
      <c r="O671" s="119"/>
      <c r="P671" s="74" t="s">
        <v>11442</v>
      </c>
      <c r="Q671" s="74" t="s">
        <v>11443</v>
      </c>
      <c r="R671" s="74">
        <v>22.5407787</v>
      </c>
      <c r="S671" s="74">
        <v>88.3744072</v>
      </c>
      <c r="T671" s="74">
        <v>-55.2999992370605</v>
      </c>
      <c r="U671" s="74">
        <v>5.0</v>
      </c>
      <c r="V671" s="74">
        <v>1.0</v>
      </c>
      <c r="W671" s="74">
        <v>0.0</v>
      </c>
      <c r="X671" s="74">
        <v>0.0</v>
      </c>
      <c r="Y671" s="74">
        <v>1.0</v>
      </c>
      <c r="Z671" s="119"/>
      <c r="AA671" s="119"/>
      <c r="AB671" s="119"/>
      <c r="AC671" s="119"/>
      <c r="AD671" s="119"/>
      <c r="AE671" s="119"/>
      <c r="AF671" s="119"/>
      <c r="AG671" s="119"/>
      <c r="AH671" s="119"/>
      <c r="AI671" s="119"/>
      <c r="AJ671" s="119"/>
      <c r="AK671" s="119"/>
      <c r="AL671" s="119"/>
      <c r="AM671" s="119"/>
      <c r="AN671" s="119"/>
      <c r="AO671" s="119"/>
      <c r="AP671" s="119"/>
      <c r="AQ671" s="74" t="s">
        <v>11451</v>
      </c>
      <c r="AR671" s="74" t="s">
        <v>2472</v>
      </c>
      <c r="AS671" s="119"/>
      <c r="AT671" s="74" t="s">
        <v>5540</v>
      </c>
      <c r="AU671" s="120">
        <v>7794.0</v>
      </c>
      <c r="AV671" s="74" t="s">
        <v>11452</v>
      </c>
      <c r="AW671" s="74" t="s">
        <v>11453</v>
      </c>
      <c r="AX671" s="120">
        <v>670.0</v>
      </c>
    </row>
    <row r="672">
      <c r="A672" s="74" t="s">
        <v>11454</v>
      </c>
      <c r="B672" s="74" t="s">
        <v>11455</v>
      </c>
      <c r="C672" s="119"/>
      <c r="D672" s="119"/>
      <c r="E672" s="74">
        <v>3.52155090281144E14</v>
      </c>
      <c r="F672" s="74">
        <v>59.0</v>
      </c>
      <c r="G672" s="74">
        <v>11.0</v>
      </c>
      <c r="H672" s="74">
        <v>4.0</v>
      </c>
      <c r="I672" s="74">
        <v>1.0</v>
      </c>
      <c r="J672" s="74" t="s">
        <v>11202</v>
      </c>
      <c r="K672" s="119"/>
      <c r="L672" s="74" t="s">
        <v>3263</v>
      </c>
      <c r="M672" s="74" t="s">
        <v>3263</v>
      </c>
      <c r="N672" s="119"/>
      <c r="O672" s="119"/>
      <c r="P672" s="74" t="s">
        <v>11461</v>
      </c>
      <c r="Q672" s="74" t="s">
        <v>11462</v>
      </c>
      <c r="R672" s="74">
        <v>22.5453443</v>
      </c>
      <c r="S672" s="74">
        <v>88.381067</v>
      </c>
      <c r="T672" s="74">
        <v>-48.099998474121</v>
      </c>
      <c r="U672" s="74">
        <v>5.0</v>
      </c>
      <c r="V672" s="74">
        <v>1.0</v>
      </c>
      <c r="W672" s="74">
        <v>0.0</v>
      </c>
      <c r="X672" s="74">
        <v>0.0</v>
      </c>
      <c r="Y672" s="74">
        <v>1.0</v>
      </c>
      <c r="Z672" s="119"/>
      <c r="AA672" s="74">
        <v>2.0</v>
      </c>
      <c r="AB672" s="74">
        <v>4.0</v>
      </c>
      <c r="AC672" s="119"/>
      <c r="AD672" s="119"/>
      <c r="AE672" s="119"/>
      <c r="AF672" s="119"/>
      <c r="AG672" s="119"/>
      <c r="AH672" s="119"/>
      <c r="AI672" s="119"/>
      <c r="AJ672" s="119"/>
      <c r="AK672" s="119"/>
      <c r="AL672" s="119"/>
      <c r="AM672" s="119"/>
      <c r="AN672" s="119"/>
      <c r="AO672" s="119"/>
      <c r="AP672" s="119"/>
      <c r="AQ672" s="74" t="s">
        <v>3200</v>
      </c>
      <c r="AR672" s="74" t="s">
        <v>2472</v>
      </c>
      <c r="AS672" s="74">
        <v>1.0</v>
      </c>
      <c r="AT672" s="74" t="s">
        <v>5540</v>
      </c>
      <c r="AU672" s="120">
        <v>7795.0</v>
      </c>
      <c r="AV672" s="74" t="s">
        <v>11470</v>
      </c>
      <c r="AW672" s="74" t="s">
        <v>11473</v>
      </c>
      <c r="AX672" s="120">
        <v>671.0</v>
      </c>
    </row>
    <row r="673">
      <c r="A673" s="74" t="s">
        <v>11474</v>
      </c>
      <c r="B673" s="74" t="s">
        <v>11475</v>
      </c>
      <c r="C673" s="119"/>
      <c r="D673" s="119"/>
      <c r="E673" s="74">
        <v>3.52155090281144E14</v>
      </c>
      <c r="F673" s="74">
        <v>59.0</v>
      </c>
      <c r="G673" s="74">
        <v>99.0</v>
      </c>
      <c r="H673" s="119"/>
      <c r="I673" s="119"/>
      <c r="J673" s="119"/>
      <c r="K673" s="74">
        <v>2.0</v>
      </c>
      <c r="L673" s="74" t="s">
        <v>3272</v>
      </c>
      <c r="M673" s="74" t="s">
        <v>3272</v>
      </c>
      <c r="N673" s="119"/>
      <c r="O673" s="119"/>
      <c r="P673" s="74" t="s">
        <v>11481</v>
      </c>
      <c r="Q673" s="74" t="s">
        <v>11482</v>
      </c>
      <c r="R673" s="74">
        <v>22.5452366</v>
      </c>
      <c r="S673" s="74">
        <v>88.3810165</v>
      </c>
      <c r="T673" s="74">
        <v>-81.5</v>
      </c>
      <c r="U673" s="74">
        <v>5.0</v>
      </c>
      <c r="V673" s="74">
        <v>1.0</v>
      </c>
      <c r="W673" s="74">
        <v>0.0</v>
      </c>
      <c r="X673" s="74">
        <v>0.0</v>
      </c>
      <c r="Y673" s="74">
        <v>1.0</v>
      </c>
      <c r="Z673" s="119"/>
      <c r="AA673" s="119"/>
      <c r="AB673" s="119"/>
      <c r="AC673" s="119"/>
      <c r="AD673" s="119"/>
      <c r="AE673" s="119"/>
      <c r="AF673" s="119"/>
      <c r="AG673" s="119"/>
      <c r="AH673" s="119"/>
      <c r="AI673" s="119"/>
      <c r="AJ673" s="119"/>
      <c r="AK673" s="119"/>
      <c r="AL673" s="119"/>
      <c r="AM673" s="119"/>
      <c r="AN673" s="119"/>
      <c r="AO673" s="119"/>
      <c r="AP673" s="119"/>
      <c r="AQ673" s="74" t="s">
        <v>11485</v>
      </c>
      <c r="AR673" s="74" t="s">
        <v>2472</v>
      </c>
      <c r="AS673" s="119"/>
      <c r="AT673" s="74" t="s">
        <v>5540</v>
      </c>
      <c r="AU673" s="120">
        <v>7796.0</v>
      </c>
      <c r="AV673" s="74" t="s">
        <v>11488</v>
      </c>
      <c r="AW673" s="74" t="s">
        <v>11490</v>
      </c>
      <c r="AX673" s="120">
        <v>672.0</v>
      </c>
    </row>
    <row r="674">
      <c r="A674" s="74" t="s">
        <v>11491</v>
      </c>
      <c r="B674" s="74" t="s">
        <v>11492</v>
      </c>
      <c r="C674" s="119"/>
      <c r="D674" s="119"/>
      <c r="E674" s="74">
        <v>3.5215509147374E14</v>
      </c>
      <c r="F674" s="74">
        <v>59.0</v>
      </c>
      <c r="G674" s="74">
        <v>11.0</v>
      </c>
      <c r="H674" s="74">
        <v>4.0</v>
      </c>
      <c r="I674" s="74">
        <v>1.0</v>
      </c>
      <c r="J674" s="74" t="s">
        <v>11202</v>
      </c>
      <c r="K674" s="119"/>
      <c r="L674" s="74" t="s">
        <v>3294</v>
      </c>
      <c r="M674" s="74" t="s">
        <v>3294</v>
      </c>
      <c r="N674" s="119"/>
      <c r="O674" s="119"/>
      <c r="P674" s="74" t="s">
        <v>11493</v>
      </c>
      <c r="Q674" s="74" t="s">
        <v>11494</v>
      </c>
      <c r="R674" s="74">
        <v>22.5454509</v>
      </c>
      <c r="S674" s="74">
        <v>88.3810045</v>
      </c>
      <c r="T674" s="74">
        <v>-48.099998474121</v>
      </c>
      <c r="U674" s="74">
        <v>5.0</v>
      </c>
      <c r="V674" s="74">
        <v>1.0</v>
      </c>
      <c r="W674" s="74">
        <v>0.0</v>
      </c>
      <c r="X674" s="74">
        <v>0.0</v>
      </c>
      <c r="Y674" s="74">
        <v>1.0</v>
      </c>
      <c r="Z674" s="119"/>
      <c r="AA674" s="74">
        <v>2.0</v>
      </c>
      <c r="AB674" s="74">
        <v>4.0</v>
      </c>
      <c r="AC674" s="119"/>
      <c r="AD674" s="119"/>
      <c r="AE674" s="119"/>
      <c r="AF674" s="119"/>
      <c r="AG674" s="119"/>
      <c r="AH674" s="119"/>
      <c r="AI674" s="119"/>
      <c r="AJ674" s="119"/>
      <c r="AK674" s="119"/>
      <c r="AL674" s="119"/>
      <c r="AM674" s="119"/>
      <c r="AN674" s="119"/>
      <c r="AO674" s="119"/>
      <c r="AP674" s="119"/>
      <c r="AQ674" s="74" t="s">
        <v>3149</v>
      </c>
      <c r="AR674" s="74" t="s">
        <v>2327</v>
      </c>
      <c r="AS674" s="74">
        <v>1.0</v>
      </c>
      <c r="AT674" s="74" t="s">
        <v>5540</v>
      </c>
      <c r="AU674" s="120">
        <v>7814.0</v>
      </c>
      <c r="AV674" s="74" t="s">
        <v>11504</v>
      </c>
      <c r="AW674" s="74" t="s">
        <v>11505</v>
      </c>
      <c r="AX674" s="120">
        <v>673.0</v>
      </c>
    </row>
    <row r="675">
      <c r="A675" s="74" t="s">
        <v>11508</v>
      </c>
      <c r="B675" s="74" t="s">
        <v>11509</v>
      </c>
      <c r="C675" s="119"/>
      <c r="D675" s="119"/>
      <c r="E675" s="74">
        <v>3.5215509147374E14</v>
      </c>
      <c r="F675" s="74">
        <v>59.0</v>
      </c>
      <c r="G675" s="74">
        <v>99.0</v>
      </c>
      <c r="H675" s="119"/>
      <c r="I675" s="119"/>
      <c r="J675" s="119"/>
      <c r="K675" s="74">
        <v>2.0</v>
      </c>
      <c r="L675" s="74" t="s">
        <v>3302</v>
      </c>
      <c r="M675" s="74" t="s">
        <v>3302</v>
      </c>
      <c r="N675" s="119"/>
      <c r="O675" s="119"/>
      <c r="P675" s="74" t="s">
        <v>11510</v>
      </c>
      <c r="Q675" s="74" t="s">
        <v>11511</v>
      </c>
      <c r="R675" s="74">
        <v>22.5455094</v>
      </c>
      <c r="S675" s="74">
        <v>88.3810272</v>
      </c>
      <c r="T675" s="74">
        <v>-40.7999992370605</v>
      </c>
      <c r="U675" s="74">
        <v>5.0</v>
      </c>
      <c r="V675" s="74">
        <v>1.0</v>
      </c>
      <c r="W675" s="74">
        <v>0.0</v>
      </c>
      <c r="X675" s="74">
        <v>0.0</v>
      </c>
      <c r="Y675" s="74">
        <v>1.0</v>
      </c>
      <c r="Z675" s="119"/>
      <c r="AA675" s="119"/>
      <c r="AB675" s="119"/>
      <c r="AC675" s="119"/>
      <c r="AD675" s="119"/>
      <c r="AE675" s="119"/>
      <c r="AF675" s="119"/>
      <c r="AG675" s="119"/>
      <c r="AH675" s="119"/>
      <c r="AI675" s="119"/>
      <c r="AJ675" s="119"/>
      <c r="AK675" s="119"/>
      <c r="AL675" s="119"/>
      <c r="AM675" s="119"/>
      <c r="AN675" s="119"/>
      <c r="AO675" s="119"/>
      <c r="AP675" s="119"/>
      <c r="AQ675" s="74" t="s">
        <v>11514</v>
      </c>
      <c r="AR675" s="74" t="s">
        <v>2327</v>
      </c>
      <c r="AS675" s="119"/>
      <c r="AT675" s="74" t="s">
        <v>5540</v>
      </c>
      <c r="AU675" s="120">
        <v>7815.0</v>
      </c>
      <c r="AV675" s="74" t="s">
        <v>11516</v>
      </c>
      <c r="AW675" s="74" t="s">
        <v>11517</v>
      </c>
      <c r="AX675" s="120">
        <v>674.0</v>
      </c>
    </row>
    <row r="676">
      <c r="A676" s="74" t="s">
        <v>11518</v>
      </c>
      <c r="B676" s="74" t="s">
        <v>11519</v>
      </c>
      <c r="C676" s="119"/>
      <c r="D676" s="119"/>
      <c r="E676" s="74">
        <v>3.5215509147374E14</v>
      </c>
      <c r="F676" s="74">
        <v>59.0</v>
      </c>
      <c r="G676" s="74">
        <v>11.0</v>
      </c>
      <c r="H676" s="74">
        <v>4.0</v>
      </c>
      <c r="I676" s="74">
        <v>1.0</v>
      </c>
      <c r="J676" s="74" t="s">
        <v>11425</v>
      </c>
      <c r="K676" s="119"/>
      <c r="L676" s="74" t="s">
        <v>3323</v>
      </c>
      <c r="M676" s="74" t="s">
        <v>3323</v>
      </c>
      <c r="N676" s="119"/>
      <c r="O676" s="119"/>
      <c r="P676" s="74" t="s">
        <v>11521</v>
      </c>
      <c r="Q676" s="74" t="s">
        <v>11522</v>
      </c>
      <c r="R676" s="74">
        <v>22.5408541</v>
      </c>
      <c r="S676" s="74">
        <v>88.374401</v>
      </c>
      <c r="T676" s="74">
        <v>-33.0</v>
      </c>
      <c r="U676" s="74">
        <v>5.0</v>
      </c>
      <c r="V676" s="74">
        <v>1.0</v>
      </c>
      <c r="W676" s="74">
        <v>0.0</v>
      </c>
      <c r="X676" s="74">
        <v>0.0</v>
      </c>
      <c r="Y676" s="74">
        <v>1.0</v>
      </c>
      <c r="Z676" s="119"/>
      <c r="AA676" s="74">
        <v>1.0</v>
      </c>
      <c r="AB676" s="74">
        <v>4.0</v>
      </c>
      <c r="AC676" s="119"/>
      <c r="AD676" s="119"/>
      <c r="AE676" s="119"/>
      <c r="AF676" s="119"/>
      <c r="AG676" s="119"/>
      <c r="AH676" s="119"/>
      <c r="AI676" s="119"/>
      <c r="AJ676" s="119"/>
      <c r="AK676" s="119"/>
      <c r="AL676" s="119"/>
      <c r="AM676" s="119"/>
      <c r="AN676" s="119"/>
      <c r="AO676" s="119"/>
      <c r="AP676" s="119"/>
      <c r="AQ676" s="74" t="s">
        <v>2949</v>
      </c>
      <c r="AR676" s="74" t="s">
        <v>2472</v>
      </c>
      <c r="AS676" s="74">
        <v>1.0</v>
      </c>
      <c r="AT676" s="74" t="s">
        <v>5540</v>
      </c>
      <c r="AU676" s="120">
        <v>7816.0</v>
      </c>
      <c r="AV676" s="74" t="s">
        <v>11531</v>
      </c>
      <c r="AW676" s="74" t="s">
        <v>11533</v>
      </c>
      <c r="AX676" s="120">
        <v>675.0</v>
      </c>
    </row>
    <row r="677">
      <c r="A677" s="74" t="s">
        <v>11535</v>
      </c>
      <c r="B677" s="74" t="s">
        <v>11537</v>
      </c>
      <c r="C677" s="119"/>
      <c r="D677" s="119"/>
      <c r="E677" s="74">
        <v>3.5215509147374E14</v>
      </c>
      <c r="F677" s="74">
        <v>59.0</v>
      </c>
      <c r="G677" s="74">
        <v>99.0</v>
      </c>
      <c r="H677" s="119"/>
      <c r="I677" s="119"/>
      <c r="J677" s="119"/>
      <c r="K677" s="74">
        <v>2.0</v>
      </c>
      <c r="L677" s="74" t="s">
        <v>3331</v>
      </c>
      <c r="M677" s="74" t="s">
        <v>3331</v>
      </c>
      <c r="N677" s="119"/>
      <c r="O677" s="119"/>
      <c r="P677" s="74" t="s">
        <v>11539</v>
      </c>
      <c r="Q677" s="74" t="s">
        <v>11540</v>
      </c>
      <c r="R677" s="74">
        <v>22.5408367</v>
      </c>
      <c r="S677" s="74">
        <v>88.3743432</v>
      </c>
      <c r="T677" s="74">
        <v>-58.2000007629394</v>
      </c>
      <c r="U677" s="74">
        <v>5.0</v>
      </c>
      <c r="V677" s="74">
        <v>1.0</v>
      </c>
      <c r="W677" s="74">
        <v>0.0</v>
      </c>
      <c r="X677" s="74">
        <v>0.0</v>
      </c>
      <c r="Y677" s="74">
        <v>1.0</v>
      </c>
      <c r="Z677" s="119"/>
      <c r="AA677" s="119"/>
      <c r="AB677" s="119"/>
      <c r="AC677" s="119"/>
      <c r="AD677" s="119"/>
      <c r="AE677" s="119"/>
      <c r="AF677" s="119"/>
      <c r="AG677" s="119"/>
      <c r="AH677" s="119"/>
      <c r="AI677" s="119"/>
      <c r="AJ677" s="119"/>
      <c r="AK677" s="119"/>
      <c r="AL677" s="119"/>
      <c r="AM677" s="119"/>
      <c r="AN677" s="119"/>
      <c r="AO677" s="119"/>
      <c r="AP677" s="119"/>
      <c r="AQ677" s="74" t="s">
        <v>11543</v>
      </c>
      <c r="AR677" s="74" t="s">
        <v>2472</v>
      </c>
      <c r="AS677" s="119"/>
      <c r="AT677" s="74" t="s">
        <v>5540</v>
      </c>
      <c r="AU677" s="120">
        <v>7817.0</v>
      </c>
      <c r="AV677" s="74" t="s">
        <v>11545</v>
      </c>
      <c r="AW677" s="74" t="s">
        <v>11547</v>
      </c>
      <c r="AX677" s="120">
        <v>676.0</v>
      </c>
    </row>
    <row r="678">
      <c r="A678" s="74" t="s">
        <v>11549</v>
      </c>
      <c r="B678" s="74" t="s">
        <v>11550</v>
      </c>
      <c r="C678" s="119"/>
      <c r="D678" s="119"/>
      <c r="E678" s="74">
        <v>3.5215509147374E14</v>
      </c>
      <c r="F678" s="74">
        <v>59.0</v>
      </c>
      <c r="G678" s="74">
        <v>11.0</v>
      </c>
      <c r="H678" s="74">
        <v>4.0</v>
      </c>
      <c r="I678" s="74">
        <v>1.0</v>
      </c>
      <c r="J678" s="74" t="s">
        <v>11552</v>
      </c>
      <c r="K678" s="119"/>
      <c r="L678" s="74" t="s">
        <v>3356</v>
      </c>
      <c r="M678" s="74" t="s">
        <v>3356</v>
      </c>
      <c r="N678" s="119"/>
      <c r="O678" s="119"/>
      <c r="P678" s="74" t="s">
        <v>11553</v>
      </c>
      <c r="Q678" s="74" t="s">
        <v>11554</v>
      </c>
      <c r="R678" s="74">
        <v>22.5416022</v>
      </c>
      <c r="S678" s="74">
        <v>88.374872</v>
      </c>
      <c r="T678" s="74">
        <v>-55.5</v>
      </c>
      <c r="U678" s="74">
        <v>5.0</v>
      </c>
      <c r="V678" s="74">
        <v>1.0</v>
      </c>
      <c r="W678" s="74">
        <v>0.0</v>
      </c>
      <c r="X678" s="74">
        <v>0.0</v>
      </c>
      <c r="Y678" s="74">
        <v>1.0</v>
      </c>
      <c r="Z678" s="119"/>
      <c r="AA678" s="74">
        <v>2.0</v>
      </c>
      <c r="AB678" s="74">
        <v>4.0</v>
      </c>
      <c r="AC678" s="119"/>
      <c r="AD678" s="119"/>
      <c r="AE678" s="119"/>
      <c r="AF678" s="119"/>
      <c r="AG678" s="119"/>
      <c r="AH678" s="119"/>
      <c r="AI678" s="119"/>
      <c r="AJ678" s="119"/>
      <c r="AK678" s="119"/>
      <c r="AL678" s="119"/>
      <c r="AM678" s="119"/>
      <c r="AN678" s="119"/>
      <c r="AO678" s="119"/>
      <c r="AP678" s="119"/>
      <c r="AQ678" s="74" t="s">
        <v>3149</v>
      </c>
      <c r="AR678" s="74" t="s">
        <v>2472</v>
      </c>
      <c r="AS678" s="74">
        <v>1.0</v>
      </c>
      <c r="AT678" s="74" t="s">
        <v>5540</v>
      </c>
      <c r="AU678" s="120">
        <v>7818.0</v>
      </c>
      <c r="AV678" s="74" t="s">
        <v>11558</v>
      </c>
      <c r="AW678" s="74" t="s">
        <v>11559</v>
      </c>
      <c r="AX678" s="120">
        <v>677.0</v>
      </c>
    </row>
    <row r="679">
      <c r="A679" s="74" t="s">
        <v>11561</v>
      </c>
      <c r="B679" s="74" t="s">
        <v>11562</v>
      </c>
      <c r="C679" s="119"/>
      <c r="D679" s="119"/>
      <c r="E679" s="74">
        <v>3.5215509147374E14</v>
      </c>
      <c r="F679" s="74">
        <v>59.0</v>
      </c>
      <c r="G679" s="74">
        <v>99.0</v>
      </c>
      <c r="H679" s="119"/>
      <c r="I679" s="119"/>
      <c r="J679" s="119"/>
      <c r="K679" s="74">
        <v>2.0</v>
      </c>
      <c r="L679" s="74" t="s">
        <v>3365</v>
      </c>
      <c r="M679" s="74" t="s">
        <v>3365</v>
      </c>
      <c r="N679" s="119"/>
      <c r="O679" s="119"/>
      <c r="P679" s="74" t="s">
        <v>11571</v>
      </c>
      <c r="Q679" s="74" t="s">
        <v>11572</v>
      </c>
      <c r="R679" s="74">
        <v>22.5415222</v>
      </c>
      <c r="S679" s="74">
        <v>88.3749635</v>
      </c>
      <c r="T679" s="74">
        <v>-60.099998474121</v>
      </c>
      <c r="U679" s="74">
        <v>5.0</v>
      </c>
      <c r="V679" s="74">
        <v>1.0</v>
      </c>
      <c r="W679" s="74">
        <v>0.0</v>
      </c>
      <c r="X679" s="74">
        <v>0.0</v>
      </c>
      <c r="Y679" s="74">
        <v>1.0</v>
      </c>
      <c r="Z679" s="119"/>
      <c r="AA679" s="119"/>
      <c r="AB679" s="119"/>
      <c r="AC679" s="119"/>
      <c r="AD679" s="119"/>
      <c r="AE679" s="119"/>
      <c r="AF679" s="119"/>
      <c r="AG679" s="119"/>
      <c r="AH679" s="119"/>
      <c r="AI679" s="119"/>
      <c r="AJ679" s="119"/>
      <c r="AK679" s="119"/>
      <c r="AL679" s="119"/>
      <c r="AM679" s="119"/>
      <c r="AN679" s="119"/>
      <c r="AO679" s="119"/>
      <c r="AP679" s="119"/>
      <c r="AQ679" s="74" t="s">
        <v>11574</v>
      </c>
      <c r="AR679" s="74" t="s">
        <v>2472</v>
      </c>
      <c r="AS679" s="119"/>
      <c r="AT679" s="74" t="s">
        <v>5540</v>
      </c>
      <c r="AU679" s="120">
        <v>7819.0</v>
      </c>
      <c r="AV679" s="74" t="s">
        <v>11575</v>
      </c>
      <c r="AW679" s="74" t="s">
        <v>11576</v>
      </c>
      <c r="AX679" s="120">
        <v>678.0</v>
      </c>
    </row>
    <row r="680">
      <c r="A680" s="74" t="s">
        <v>11580</v>
      </c>
      <c r="B680" s="74" t="s">
        <v>11581</v>
      </c>
      <c r="C680" s="119"/>
      <c r="D680" s="119"/>
      <c r="E680" s="74">
        <v>3.5215509147374E14</v>
      </c>
      <c r="F680" s="74">
        <v>59.0</v>
      </c>
      <c r="G680" s="74">
        <v>11.0</v>
      </c>
      <c r="H680" s="74">
        <v>4.0</v>
      </c>
      <c r="I680" s="74">
        <v>1.0</v>
      </c>
      <c r="J680" s="74" t="s">
        <v>8348</v>
      </c>
      <c r="K680" s="119"/>
      <c r="L680" s="74" t="s">
        <v>3380</v>
      </c>
      <c r="M680" s="74" t="s">
        <v>3380</v>
      </c>
      <c r="N680" s="119"/>
      <c r="O680" s="119"/>
      <c r="P680" s="74" t="s">
        <v>11586</v>
      </c>
      <c r="Q680" s="74" t="s">
        <v>11587</v>
      </c>
      <c r="R680" s="74">
        <v>22.5415874</v>
      </c>
      <c r="S680" s="74">
        <v>88.375361</v>
      </c>
      <c r="T680" s="74">
        <v>-54.4000015258789</v>
      </c>
      <c r="U680" s="74">
        <v>5.0</v>
      </c>
      <c r="V680" s="74">
        <v>1.0</v>
      </c>
      <c r="W680" s="74">
        <v>0.0</v>
      </c>
      <c r="X680" s="74">
        <v>0.0</v>
      </c>
      <c r="Y680" s="74">
        <v>1.0</v>
      </c>
      <c r="Z680" s="119"/>
      <c r="AA680" s="74">
        <v>1.0</v>
      </c>
      <c r="AB680" s="74">
        <v>4.0</v>
      </c>
      <c r="AC680" s="119"/>
      <c r="AD680" s="119"/>
      <c r="AE680" s="119"/>
      <c r="AF680" s="119"/>
      <c r="AG680" s="119"/>
      <c r="AH680" s="119"/>
      <c r="AI680" s="119"/>
      <c r="AJ680" s="119"/>
      <c r="AK680" s="119"/>
      <c r="AL680" s="119"/>
      <c r="AM680" s="119"/>
      <c r="AN680" s="119"/>
      <c r="AO680" s="119"/>
      <c r="AP680" s="119"/>
      <c r="AQ680" s="74" t="s">
        <v>2949</v>
      </c>
      <c r="AR680" s="74" t="s">
        <v>2286</v>
      </c>
      <c r="AS680" s="74">
        <v>1.0</v>
      </c>
      <c r="AT680" s="74" t="s">
        <v>5540</v>
      </c>
      <c r="AU680" s="120">
        <v>7820.0</v>
      </c>
      <c r="AV680" s="74" t="s">
        <v>11595</v>
      </c>
      <c r="AW680" s="74" t="s">
        <v>11596</v>
      </c>
      <c r="AX680" s="120">
        <v>679.0</v>
      </c>
    </row>
    <row r="681">
      <c r="A681" s="74" t="s">
        <v>11598</v>
      </c>
      <c r="B681" s="74" t="s">
        <v>11599</v>
      </c>
      <c r="C681" s="119"/>
      <c r="D681" s="119"/>
      <c r="E681" s="74">
        <v>3.5215509147374E14</v>
      </c>
      <c r="F681" s="74">
        <v>59.0</v>
      </c>
      <c r="G681" s="74">
        <v>99.0</v>
      </c>
      <c r="H681" s="119"/>
      <c r="I681" s="119"/>
      <c r="J681" s="119"/>
      <c r="K681" s="74">
        <v>2.0</v>
      </c>
      <c r="L681" s="74" t="s">
        <v>3395</v>
      </c>
      <c r="M681" s="74" t="s">
        <v>3395</v>
      </c>
      <c r="N681" s="119"/>
      <c r="O681" s="119"/>
      <c r="P681" s="74" t="s">
        <v>11600</v>
      </c>
      <c r="Q681" s="74" t="s">
        <v>11601</v>
      </c>
      <c r="R681" s="74">
        <v>22.5415905</v>
      </c>
      <c r="S681" s="74">
        <v>88.3752394</v>
      </c>
      <c r="T681" s="74">
        <v>-59.4000015258789</v>
      </c>
      <c r="U681" s="74">
        <v>5.0</v>
      </c>
      <c r="V681" s="74">
        <v>1.0</v>
      </c>
      <c r="W681" s="74">
        <v>0.0</v>
      </c>
      <c r="X681" s="74">
        <v>0.0</v>
      </c>
      <c r="Y681" s="74">
        <v>1.0</v>
      </c>
      <c r="Z681" s="119"/>
      <c r="AA681" s="119"/>
      <c r="AB681" s="119"/>
      <c r="AC681" s="119"/>
      <c r="AD681" s="119"/>
      <c r="AE681" s="119"/>
      <c r="AF681" s="119"/>
      <c r="AG681" s="119"/>
      <c r="AH681" s="119"/>
      <c r="AI681" s="119"/>
      <c r="AJ681" s="119"/>
      <c r="AK681" s="119"/>
      <c r="AL681" s="119"/>
      <c r="AM681" s="119"/>
      <c r="AN681" s="119"/>
      <c r="AO681" s="119"/>
      <c r="AP681" s="119"/>
      <c r="AQ681" s="74" t="s">
        <v>11606</v>
      </c>
      <c r="AR681" s="74" t="s">
        <v>2286</v>
      </c>
      <c r="AS681" s="119"/>
      <c r="AT681" s="74" t="s">
        <v>5540</v>
      </c>
      <c r="AU681" s="120">
        <v>7821.0</v>
      </c>
      <c r="AV681" s="74" t="s">
        <v>11608</v>
      </c>
      <c r="AW681" s="74" t="s">
        <v>11609</v>
      </c>
      <c r="AX681" s="120">
        <v>680.0</v>
      </c>
    </row>
    <row r="682">
      <c r="A682" s="74" t="s">
        <v>11610</v>
      </c>
      <c r="B682" s="74" t="s">
        <v>11611</v>
      </c>
      <c r="C682" s="119"/>
      <c r="D682" s="119"/>
      <c r="E682" s="74">
        <v>3.5215509147374E14</v>
      </c>
      <c r="F682" s="74">
        <v>59.0</v>
      </c>
      <c r="G682" s="74">
        <v>11.0</v>
      </c>
      <c r="H682" s="74">
        <v>4.0</v>
      </c>
      <c r="I682" s="74">
        <v>1.0</v>
      </c>
      <c r="J682" s="74" t="s">
        <v>9111</v>
      </c>
      <c r="K682" s="119"/>
      <c r="L682" s="74" t="s">
        <v>3412</v>
      </c>
      <c r="M682" s="74" t="s">
        <v>3412</v>
      </c>
      <c r="N682" s="119"/>
      <c r="O682" s="119"/>
      <c r="P682" s="74" t="s">
        <v>11613</v>
      </c>
      <c r="Q682" s="74" t="s">
        <v>11614</v>
      </c>
      <c r="R682" s="74">
        <v>22.541354</v>
      </c>
      <c r="S682" s="74">
        <v>88.3760916</v>
      </c>
      <c r="T682" s="74">
        <v>-60.4000015258789</v>
      </c>
      <c r="U682" s="74">
        <v>5.0</v>
      </c>
      <c r="V682" s="74">
        <v>1.0</v>
      </c>
      <c r="W682" s="74">
        <v>0.0</v>
      </c>
      <c r="X682" s="74">
        <v>0.0</v>
      </c>
      <c r="Y682" s="74">
        <v>1.0</v>
      </c>
      <c r="Z682" s="119"/>
      <c r="AA682" s="74">
        <v>1.0</v>
      </c>
      <c r="AB682" s="74">
        <v>4.0</v>
      </c>
      <c r="AC682" s="119"/>
      <c r="AD682" s="119"/>
      <c r="AE682" s="119"/>
      <c r="AF682" s="119"/>
      <c r="AG682" s="119"/>
      <c r="AH682" s="119"/>
      <c r="AI682" s="119"/>
      <c r="AJ682" s="119"/>
      <c r="AK682" s="119"/>
      <c r="AL682" s="119"/>
      <c r="AM682" s="119"/>
      <c r="AN682" s="119"/>
      <c r="AO682" s="119"/>
      <c r="AP682" s="119"/>
      <c r="AQ682" s="74" t="s">
        <v>2979</v>
      </c>
      <c r="AR682" s="74" t="s">
        <v>2327</v>
      </c>
      <c r="AS682" s="74">
        <v>1.0</v>
      </c>
      <c r="AT682" s="74" t="s">
        <v>5540</v>
      </c>
      <c r="AU682" s="120">
        <v>7822.0</v>
      </c>
      <c r="AV682" s="74" t="s">
        <v>11628</v>
      </c>
      <c r="AW682" s="74" t="s">
        <v>11629</v>
      </c>
      <c r="AX682" s="120">
        <v>681.0</v>
      </c>
    </row>
    <row r="683">
      <c r="A683" s="74" t="s">
        <v>11631</v>
      </c>
      <c r="B683" s="74" t="s">
        <v>11633</v>
      </c>
      <c r="C683" s="119"/>
      <c r="D683" s="119"/>
      <c r="E683" s="74">
        <v>3.5215509147374E14</v>
      </c>
      <c r="F683" s="74">
        <v>59.0</v>
      </c>
      <c r="G683" s="74">
        <v>99.0</v>
      </c>
      <c r="H683" s="119"/>
      <c r="I683" s="119"/>
      <c r="J683" s="119"/>
      <c r="K683" s="74">
        <v>2.0</v>
      </c>
      <c r="L683" s="74" t="s">
        <v>3421</v>
      </c>
      <c r="M683" s="74" t="s">
        <v>3421</v>
      </c>
      <c r="N683" s="119"/>
      <c r="O683" s="119"/>
      <c r="P683" s="74" t="s">
        <v>11636</v>
      </c>
      <c r="Q683" s="74" t="s">
        <v>11637</v>
      </c>
      <c r="R683" s="74">
        <v>22.5413232</v>
      </c>
      <c r="S683" s="74">
        <v>88.3760427</v>
      </c>
      <c r="T683" s="74">
        <v>-48.2000007629394</v>
      </c>
      <c r="U683" s="74">
        <v>5.0</v>
      </c>
      <c r="V683" s="74">
        <v>1.0</v>
      </c>
      <c r="W683" s="74">
        <v>0.0</v>
      </c>
      <c r="X683" s="74">
        <v>0.0</v>
      </c>
      <c r="Y683" s="74">
        <v>1.0</v>
      </c>
      <c r="Z683" s="119"/>
      <c r="AA683" s="119"/>
      <c r="AB683" s="119"/>
      <c r="AC683" s="119"/>
      <c r="AD683" s="119"/>
      <c r="AE683" s="119"/>
      <c r="AF683" s="119"/>
      <c r="AG683" s="119"/>
      <c r="AH683" s="119"/>
      <c r="AI683" s="119"/>
      <c r="AJ683" s="119"/>
      <c r="AK683" s="119"/>
      <c r="AL683" s="119"/>
      <c r="AM683" s="119"/>
      <c r="AN683" s="119"/>
      <c r="AO683" s="119"/>
      <c r="AP683" s="119"/>
      <c r="AQ683" s="74" t="s">
        <v>11643</v>
      </c>
      <c r="AR683" s="74" t="s">
        <v>2327</v>
      </c>
      <c r="AS683" s="119"/>
      <c r="AT683" s="74" t="s">
        <v>5540</v>
      </c>
      <c r="AU683" s="120">
        <v>7823.0</v>
      </c>
      <c r="AV683" s="74" t="s">
        <v>11645</v>
      </c>
      <c r="AW683" s="74" t="s">
        <v>11646</v>
      </c>
      <c r="AX683" s="120">
        <v>682.0</v>
      </c>
    </row>
    <row r="684">
      <c r="A684" s="74" t="s">
        <v>11647</v>
      </c>
      <c r="B684" s="74" t="s">
        <v>11648</v>
      </c>
      <c r="C684" s="119"/>
      <c r="D684" s="119"/>
      <c r="E684" s="74">
        <v>3.52155090281144E14</v>
      </c>
      <c r="F684" s="74">
        <v>55.0</v>
      </c>
      <c r="G684" s="74">
        <v>12.0</v>
      </c>
      <c r="H684" s="119"/>
      <c r="I684" s="119"/>
      <c r="J684" s="119"/>
      <c r="K684" s="119"/>
      <c r="L684" s="74" t="s">
        <v>3463</v>
      </c>
      <c r="M684" s="74" t="s">
        <v>3463</v>
      </c>
      <c r="N684" s="74">
        <v>4.0</v>
      </c>
      <c r="O684" s="74" t="s">
        <v>11649</v>
      </c>
      <c r="P684" s="119"/>
      <c r="Q684" s="74" t="s">
        <v>11650</v>
      </c>
      <c r="R684" s="74">
        <v>22.56364</v>
      </c>
      <c r="S684" s="74">
        <v>88.377326</v>
      </c>
      <c r="T684" s="74">
        <v>-53.7999992370605</v>
      </c>
      <c r="U684" s="74">
        <v>5.0</v>
      </c>
      <c r="V684" s="74">
        <v>1.0</v>
      </c>
      <c r="W684" s="74">
        <v>0.0</v>
      </c>
      <c r="X684" s="74">
        <v>1.0</v>
      </c>
      <c r="Y684" s="119"/>
      <c r="Z684" s="119"/>
      <c r="AA684" s="119"/>
      <c r="AB684" s="119"/>
      <c r="AC684" s="119"/>
      <c r="AD684" s="119"/>
      <c r="AE684" s="74">
        <v>1.0</v>
      </c>
      <c r="AF684" s="74">
        <v>1.0</v>
      </c>
      <c r="AG684" s="74">
        <v>4.0</v>
      </c>
      <c r="AH684" s="74">
        <v>4.0</v>
      </c>
      <c r="AI684" s="119"/>
      <c r="AJ684" s="119"/>
      <c r="AK684" s="119"/>
      <c r="AL684" s="119"/>
      <c r="AM684" s="119"/>
      <c r="AN684" s="119"/>
      <c r="AO684" s="119"/>
      <c r="AP684" s="119"/>
      <c r="AQ684" s="119"/>
      <c r="AR684" s="74" t="s">
        <v>2899</v>
      </c>
      <c r="AS684" s="74">
        <v>0.0</v>
      </c>
      <c r="AT684" s="74" t="s">
        <v>5540</v>
      </c>
      <c r="AU684" s="120">
        <v>7830.0</v>
      </c>
      <c r="AV684" s="74" t="s">
        <v>11658</v>
      </c>
      <c r="AW684" s="74" t="s">
        <v>11659</v>
      </c>
      <c r="AX684" s="120">
        <v>683.0</v>
      </c>
    </row>
    <row r="685">
      <c r="A685" s="74" t="s">
        <v>11660</v>
      </c>
      <c r="B685" s="74" t="s">
        <v>11661</v>
      </c>
      <c r="C685" s="119"/>
      <c r="D685" s="119"/>
      <c r="E685" s="74">
        <v>3.52155090281144E14</v>
      </c>
      <c r="F685" s="74">
        <v>55.0</v>
      </c>
      <c r="G685" s="74">
        <v>99.0</v>
      </c>
      <c r="H685" s="119"/>
      <c r="I685" s="119"/>
      <c r="J685" s="119"/>
      <c r="K685" s="74">
        <v>1.0</v>
      </c>
      <c r="L685" s="74" t="s">
        <v>3483</v>
      </c>
      <c r="M685" s="74" t="s">
        <v>3483</v>
      </c>
      <c r="N685" s="119"/>
      <c r="O685" s="119"/>
      <c r="P685" s="74" t="s">
        <v>11663</v>
      </c>
      <c r="Q685" s="74" t="s">
        <v>11664</v>
      </c>
      <c r="R685" s="74">
        <v>22.5635385</v>
      </c>
      <c r="S685" s="74">
        <v>88.3772473</v>
      </c>
      <c r="T685" s="74">
        <v>-20.5</v>
      </c>
      <c r="U685" s="74">
        <v>5.0</v>
      </c>
      <c r="V685" s="74">
        <v>1.0</v>
      </c>
      <c r="W685" s="74">
        <v>0.0</v>
      </c>
      <c r="X685" s="74">
        <v>1.0</v>
      </c>
      <c r="Y685" s="119"/>
      <c r="Z685" s="119"/>
      <c r="AA685" s="119"/>
      <c r="AB685" s="119"/>
      <c r="AC685" s="119"/>
      <c r="AD685" s="119"/>
      <c r="AE685" s="119"/>
      <c r="AF685" s="119"/>
      <c r="AG685" s="119"/>
      <c r="AH685" s="119"/>
      <c r="AI685" s="119"/>
      <c r="AJ685" s="119"/>
      <c r="AK685" s="119"/>
      <c r="AL685" s="119"/>
      <c r="AM685" s="119"/>
      <c r="AN685" s="119"/>
      <c r="AO685" s="119"/>
      <c r="AP685" s="119"/>
      <c r="AQ685" s="74" t="s">
        <v>11665</v>
      </c>
      <c r="AR685" s="74" t="s">
        <v>2899</v>
      </c>
      <c r="AS685" s="119"/>
      <c r="AT685" s="74" t="s">
        <v>5540</v>
      </c>
      <c r="AU685" s="120">
        <v>7831.0</v>
      </c>
      <c r="AV685" s="74" t="s">
        <v>11666</v>
      </c>
      <c r="AW685" s="74" t="s">
        <v>11667</v>
      </c>
      <c r="AX685" s="120">
        <v>684.0</v>
      </c>
    </row>
    <row r="686">
      <c r="A686" s="74" t="s">
        <v>11668</v>
      </c>
      <c r="B686" s="74" t="s">
        <v>11669</v>
      </c>
      <c r="C686" s="119"/>
      <c r="D686" s="119"/>
      <c r="E686" s="74">
        <v>3.52155090281144E14</v>
      </c>
      <c r="F686" s="74">
        <v>57.0</v>
      </c>
      <c r="G686" s="74">
        <v>12.0</v>
      </c>
      <c r="H686" s="119"/>
      <c r="I686" s="119"/>
      <c r="J686" s="119"/>
      <c r="K686" s="119"/>
      <c r="L686" s="74" t="s">
        <v>3541</v>
      </c>
      <c r="M686" s="74" t="s">
        <v>3541</v>
      </c>
      <c r="N686" s="74">
        <v>7.0</v>
      </c>
      <c r="O686" s="74" t="s">
        <v>11671</v>
      </c>
      <c r="P686" s="119"/>
      <c r="Q686" s="74" t="s">
        <v>11673</v>
      </c>
      <c r="R686" s="74">
        <v>22.558025</v>
      </c>
      <c r="S686" s="74">
        <v>88.3896824</v>
      </c>
      <c r="T686" s="74">
        <v>-34.7999992370605</v>
      </c>
      <c r="U686" s="74">
        <v>5.0</v>
      </c>
      <c r="V686" s="74">
        <v>1.0</v>
      </c>
      <c r="W686" s="74">
        <v>0.0</v>
      </c>
      <c r="X686" s="74">
        <v>1.0</v>
      </c>
      <c r="Y686" s="119"/>
      <c r="Z686" s="119"/>
      <c r="AA686" s="119"/>
      <c r="AB686" s="119"/>
      <c r="AC686" s="119"/>
      <c r="AD686" s="119"/>
      <c r="AE686" s="74">
        <v>1.0</v>
      </c>
      <c r="AF686" s="74">
        <v>2.0</v>
      </c>
      <c r="AG686" s="74">
        <v>3.0</v>
      </c>
      <c r="AH686" s="74">
        <v>4.0</v>
      </c>
      <c r="AI686" s="119"/>
      <c r="AJ686" s="119"/>
      <c r="AK686" s="119"/>
      <c r="AL686" s="119"/>
      <c r="AM686" s="119"/>
      <c r="AN686" s="119"/>
      <c r="AO686" s="119"/>
      <c r="AP686" s="119"/>
      <c r="AQ686" s="74" t="s">
        <v>11681</v>
      </c>
      <c r="AR686" s="74" t="s">
        <v>2899</v>
      </c>
      <c r="AS686" s="74">
        <v>0.0</v>
      </c>
      <c r="AT686" s="74" t="s">
        <v>5540</v>
      </c>
      <c r="AU686" s="120">
        <v>7832.0</v>
      </c>
      <c r="AV686" s="74" t="s">
        <v>11683</v>
      </c>
      <c r="AW686" s="74" t="s">
        <v>11684</v>
      </c>
      <c r="AX686" s="120">
        <v>685.0</v>
      </c>
    </row>
    <row r="687">
      <c r="A687" s="74" t="s">
        <v>11685</v>
      </c>
      <c r="B687" s="74" t="s">
        <v>11686</v>
      </c>
      <c r="C687" s="119"/>
      <c r="D687" s="119"/>
      <c r="E687" s="74">
        <v>3.52155090281144E14</v>
      </c>
      <c r="F687" s="74">
        <v>57.0</v>
      </c>
      <c r="G687" s="74">
        <v>99.0</v>
      </c>
      <c r="H687" s="119"/>
      <c r="I687" s="119"/>
      <c r="J687" s="119"/>
      <c r="K687" s="74">
        <v>1.0</v>
      </c>
      <c r="L687" s="74" t="s">
        <v>3556</v>
      </c>
      <c r="M687" s="74" t="s">
        <v>3556</v>
      </c>
      <c r="N687" s="119"/>
      <c r="O687" s="119"/>
      <c r="P687" s="74" t="s">
        <v>3329</v>
      </c>
      <c r="Q687" s="74" t="s">
        <v>11690</v>
      </c>
      <c r="R687" s="74">
        <v>22.5579776</v>
      </c>
      <c r="S687" s="74">
        <v>88.3896365</v>
      </c>
      <c r="T687" s="74">
        <v>-38.7000007629394</v>
      </c>
      <c r="U687" s="74">
        <v>4.5</v>
      </c>
      <c r="V687" s="74">
        <v>1.0</v>
      </c>
      <c r="W687" s="74">
        <v>0.0</v>
      </c>
      <c r="X687" s="74">
        <v>1.0</v>
      </c>
      <c r="Y687" s="119"/>
      <c r="Z687" s="119"/>
      <c r="AA687" s="119"/>
      <c r="AB687" s="119"/>
      <c r="AC687" s="119"/>
      <c r="AD687" s="119"/>
      <c r="AE687" s="119"/>
      <c r="AF687" s="119"/>
      <c r="AG687" s="119"/>
      <c r="AH687" s="119"/>
      <c r="AI687" s="119"/>
      <c r="AJ687" s="119"/>
      <c r="AK687" s="119"/>
      <c r="AL687" s="119"/>
      <c r="AM687" s="119"/>
      <c r="AN687" s="119"/>
      <c r="AO687" s="119"/>
      <c r="AP687" s="119"/>
      <c r="AQ687" s="74" t="s">
        <v>11692</v>
      </c>
      <c r="AR687" s="74" t="s">
        <v>2899</v>
      </c>
      <c r="AS687" s="119"/>
      <c r="AT687" s="74" t="s">
        <v>5540</v>
      </c>
      <c r="AU687" s="120">
        <v>7833.0</v>
      </c>
      <c r="AV687" s="74" t="s">
        <v>11693</v>
      </c>
      <c r="AW687" s="74" t="s">
        <v>11694</v>
      </c>
      <c r="AX687" s="120">
        <v>686.0</v>
      </c>
    </row>
    <row r="688">
      <c r="A688" s="74" t="s">
        <v>11696</v>
      </c>
      <c r="B688" s="74" t="s">
        <v>11697</v>
      </c>
      <c r="C688" s="119"/>
      <c r="D688" s="119"/>
      <c r="E688" s="74">
        <v>3.52155090281144E14</v>
      </c>
      <c r="F688" s="74">
        <v>57.0</v>
      </c>
      <c r="G688" s="74">
        <v>11.0</v>
      </c>
      <c r="H688" s="74">
        <v>1.0</v>
      </c>
      <c r="I688" s="119"/>
      <c r="J688" s="119"/>
      <c r="K688" s="119"/>
      <c r="L688" s="74" t="s">
        <v>3755</v>
      </c>
      <c r="M688" s="74" t="s">
        <v>3755</v>
      </c>
      <c r="N688" s="119"/>
      <c r="O688" s="119"/>
      <c r="P688" s="74" t="s">
        <v>11701</v>
      </c>
      <c r="Q688" s="74" t="s">
        <v>11702</v>
      </c>
      <c r="R688" s="74">
        <v>22.558006</v>
      </c>
      <c r="S688" s="74">
        <v>88.3895825</v>
      </c>
      <c r="T688" s="74">
        <v>-41.7999992370605</v>
      </c>
      <c r="U688" s="74">
        <v>5.0</v>
      </c>
      <c r="V688" s="74">
        <v>1.0</v>
      </c>
      <c r="W688" s="74">
        <v>0.0</v>
      </c>
      <c r="X688" s="74">
        <v>1.0</v>
      </c>
      <c r="Y688" s="119"/>
      <c r="Z688" s="119"/>
      <c r="AA688" s="74">
        <v>2.0</v>
      </c>
      <c r="AB688" s="74">
        <v>4.0</v>
      </c>
      <c r="AC688" s="119"/>
      <c r="AD688" s="119"/>
      <c r="AE688" s="119"/>
      <c r="AF688" s="119"/>
      <c r="AG688" s="119"/>
      <c r="AH688" s="119"/>
      <c r="AI688" s="119"/>
      <c r="AJ688" s="119"/>
      <c r="AK688" s="119"/>
      <c r="AL688" s="119"/>
      <c r="AM688" s="119"/>
      <c r="AN688" s="119"/>
      <c r="AO688" s="119"/>
      <c r="AP688" s="119"/>
      <c r="AQ688" s="74" t="s">
        <v>7377</v>
      </c>
      <c r="AR688" s="74" t="s">
        <v>7379</v>
      </c>
      <c r="AS688" s="74">
        <v>0.0</v>
      </c>
      <c r="AT688" s="74" t="s">
        <v>5540</v>
      </c>
      <c r="AU688" s="120">
        <v>7834.0</v>
      </c>
      <c r="AV688" s="74" t="s">
        <v>11710</v>
      </c>
      <c r="AW688" s="74" t="s">
        <v>11711</v>
      </c>
      <c r="AX688" s="120">
        <v>687.0</v>
      </c>
    </row>
    <row r="689">
      <c r="A689" s="74" t="s">
        <v>11713</v>
      </c>
      <c r="B689" s="74" t="s">
        <v>11715</v>
      </c>
      <c r="C689" s="119"/>
      <c r="D689" s="119"/>
      <c r="E689" s="74">
        <v>3.52155090281144E14</v>
      </c>
      <c r="F689" s="74">
        <v>57.0</v>
      </c>
      <c r="G689" s="74">
        <v>12.0</v>
      </c>
      <c r="H689" s="119"/>
      <c r="I689" s="119"/>
      <c r="J689" s="119"/>
      <c r="K689" s="119"/>
      <c r="L689" s="74" t="s">
        <v>3588</v>
      </c>
      <c r="M689" s="74" t="s">
        <v>3588</v>
      </c>
      <c r="N689" s="74">
        <v>3.0</v>
      </c>
      <c r="O689" s="74" t="s">
        <v>11717</v>
      </c>
      <c r="P689" s="119"/>
      <c r="Q689" s="74" t="s">
        <v>11718</v>
      </c>
      <c r="R689" s="74">
        <v>22.556361</v>
      </c>
      <c r="S689" s="74">
        <v>88.3921806</v>
      </c>
      <c r="T689" s="74">
        <v>-5.59999990463256</v>
      </c>
      <c r="U689" s="74">
        <v>5.0</v>
      </c>
      <c r="V689" s="74">
        <v>1.0</v>
      </c>
      <c r="W689" s="74">
        <v>0.0</v>
      </c>
      <c r="X689" s="74">
        <v>1.0</v>
      </c>
      <c r="Y689" s="119"/>
      <c r="Z689" s="119"/>
      <c r="AA689" s="119"/>
      <c r="AB689" s="119"/>
      <c r="AC689" s="119"/>
      <c r="AD689" s="119"/>
      <c r="AE689" s="74">
        <v>1.0</v>
      </c>
      <c r="AF689" s="74">
        <v>2.0</v>
      </c>
      <c r="AG689" s="74">
        <v>3.0</v>
      </c>
      <c r="AH689" s="74">
        <v>4.0</v>
      </c>
      <c r="AI689" s="119"/>
      <c r="AJ689" s="119"/>
      <c r="AK689" s="119"/>
      <c r="AL689" s="119"/>
      <c r="AM689" s="119"/>
      <c r="AN689" s="119"/>
      <c r="AO689" s="119"/>
      <c r="AP689" s="119"/>
      <c r="AQ689" s="74" t="s">
        <v>3388</v>
      </c>
      <c r="AR689" s="74" t="s">
        <v>11719</v>
      </c>
      <c r="AS689" s="74">
        <v>0.0</v>
      </c>
      <c r="AT689" s="74" t="s">
        <v>5540</v>
      </c>
      <c r="AU689" s="120">
        <v>7835.0</v>
      </c>
      <c r="AV689" s="74" t="s">
        <v>11720</v>
      </c>
      <c r="AW689" s="74" t="s">
        <v>11722</v>
      </c>
      <c r="AX689" s="120">
        <v>688.0</v>
      </c>
    </row>
    <row r="690">
      <c r="A690" s="74" t="s">
        <v>11724</v>
      </c>
      <c r="B690" s="74" t="s">
        <v>11725</v>
      </c>
      <c r="C690" s="119"/>
      <c r="D690" s="119"/>
      <c r="E690" s="74">
        <v>3.52155090281144E14</v>
      </c>
      <c r="F690" s="74">
        <v>57.0</v>
      </c>
      <c r="G690" s="74">
        <v>99.0</v>
      </c>
      <c r="H690" s="119"/>
      <c r="I690" s="119"/>
      <c r="J690" s="119"/>
      <c r="K690" s="74">
        <v>1.0</v>
      </c>
      <c r="L690" s="74" t="s">
        <v>3589</v>
      </c>
      <c r="M690" s="74" t="s">
        <v>3589</v>
      </c>
      <c r="N690" s="119"/>
      <c r="O690" s="119"/>
      <c r="P690" s="74" t="s">
        <v>3354</v>
      </c>
      <c r="Q690" s="74" t="s">
        <v>11731</v>
      </c>
      <c r="R690" s="74">
        <v>22.5563011</v>
      </c>
      <c r="S690" s="74">
        <v>88.3922497</v>
      </c>
      <c r="T690" s="74">
        <v>-45.5</v>
      </c>
      <c r="U690" s="74">
        <v>5.0</v>
      </c>
      <c r="V690" s="74">
        <v>1.0</v>
      </c>
      <c r="W690" s="74">
        <v>0.0</v>
      </c>
      <c r="X690" s="74">
        <v>1.0</v>
      </c>
      <c r="Y690" s="119"/>
      <c r="Z690" s="119"/>
      <c r="AA690" s="119"/>
      <c r="AB690" s="119"/>
      <c r="AC690" s="119"/>
      <c r="AD690" s="119"/>
      <c r="AE690" s="119"/>
      <c r="AF690" s="119"/>
      <c r="AG690" s="119"/>
      <c r="AH690" s="119"/>
      <c r="AI690" s="119"/>
      <c r="AJ690" s="119"/>
      <c r="AK690" s="119"/>
      <c r="AL690" s="119"/>
      <c r="AM690" s="119"/>
      <c r="AN690" s="119"/>
      <c r="AO690" s="119"/>
      <c r="AP690" s="119"/>
      <c r="AQ690" s="74" t="s">
        <v>11738</v>
      </c>
      <c r="AR690" s="74" t="s">
        <v>11311</v>
      </c>
      <c r="AS690" s="119"/>
      <c r="AT690" s="74" t="s">
        <v>5540</v>
      </c>
      <c r="AU690" s="120">
        <v>7836.0</v>
      </c>
      <c r="AV690" s="74" t="s">
        <v>11741</v>
      </c>
      <c r="AW690" s="74" t="s">
        <v>11742</v>
      </c>
      <c r="AX690" s="120">
        <v>689.0</v>
      </c>
    </row>
    <row r="691">
      <c r="A691" s="74" t="s">
        <v>11743</v>
      </c>
      <c r="B691" s="74" t="s">
        <v>11745</v>
      </c>
      <c r="C691" s="119"/>
      <c r="D691" s="119"/>
      <c r="E691" s="74">
        <v>3.52155090281144E14</v>
      </c>
      <c r="F691" s="74">
        <v>57.0</v>
      </c>
      <c r="G691" s="74">
        <v>12.0</v>
      </c>
      <c r="H691" s="119"/>
      <c r="I691" s="119"/>
      <c r="J691" s="119"/>
      <c r="K691" s="119"/>
      <c r="L691" s="74" t="s">
        <v>3709</v>
      </c>
      <c r="M691" s="74" t="s">
        <v>3709</v>
      </c>
      <c r="N691" s="74">
        <v>1.0</v>
      </c>
      <c r="O691" s="74" t="s">
        <v>11746</v>
      </c>
      <c r="P691" s="119"/>
      <c r="Q691" s="74" t="s">
        <v>11747</v>
      </c>
      <c r="R691" s="74">
        <v>22.5577304</v>
      </c>
      <c r="S691" s="74">
        <v>88.4112386</v>
      </c>
      <c r="T691" s="74">
        <v>-46.7000007629394</v>
      </c>
      <c r="U691" s="74">
        <v>5.0</v>
      </c>
      <c r="V691" s="74">
        <v>1.0</v>
      </c>
      <c r="W691" s="74">
        <v>0.0</v>
      </c>
      <c r="X691" s="74">
        <v>1.0</v>
      </c>
      <c r="Y691" s="119"/>
      <c r="Z691" s="119"/>
      <c r="AA691" s="119"/>
      <c r="AB691" s="119"/>
      <c r="AC691" s="119"/>
      <c r="AD691" s="119"/>
      <c r="AE691" s="74">
        <v>1.0</v>
      </c>
      <c r="AF691" s="74">
        <v>1.0</v>
      </c>
      <c r="AG691" s="74">
        <v>4.0</v>
      </c>
      <c r="AH691" s="74">
        <v>4.0</v>
      </c>
      <c r="AI691" s="119"/>
      <c r="AJ691" s="119"/>
      <c r="AK691" s="119"/>
      <c r="AL691" s="119"/>
      <c r="AM691" s="119"/>
      <c r="AN691" s="119"/>
      <c r="AO691" s="119"/>
      <c r="AP691" s="119"/>
      <c r="AQ691" s="74" t="s">
        <v>11751</v>
      </c>
      <c r="AR691" s="74" t="s">
        <v>2899</v>
      </c>
      <c r="AS691" s="74">
        <v>0.0</v>
      </c>
      <c r="AT691" s="74" t="s">
        <v>5540</v>
      </c>
      <c r="AU691" s="120">
        <v>7837.0</v>
      </c>
      <c r="AV691" s="74" t="s">
        <v>11753</v>
      </c>
      <c r="AW691" s="74" t="s">
        <v>11754</v>
      </c>
      <c r="AX691" s="120">
        <v>690.0</v>
      </c>
    </row>
    <row r="692">
      <c r="A692" s="74" t="s">
        <v>11755</v>
      </c>
      <c r="B692" s="74" t="s">
        <v>11757</v>
      </c>
      <c r="C692" s="119"/>
      <c r="D692" s="119"/>
      <c r="E692" s="74">
        <v>3.52155090281144E14</v>
      </c>
      <c r="F692" s="74">
        <v>57.0</v>
      </c>
      <c r="G692" s="74">
        <v>99.0</v>
      </c>
      <c r="H692" s="119"/>
      <c r="I692" s="119"/>
      <c r="J692" s="119"/>
      <c r="K692" s="74">
        <v>1.0</v>
      </c>
      <c r="L692" s="74" t="s">
        <v>3711</v>
      </c>
      <c r="M692" s="74" t="s">
        <v>3711</v>
      </c>
      <c r="N692" s="119"/>
      <c r="O692" s="119"/>
      <c r="P692" s="74" t="s">
        <v>11764</v>
      </c>
      <c r="Q692" s="74" t="s">
        <v>11766</v>
      </c>
      <c r="R692" s="74">
        <v>22.5579841</v>
      </c>
      <c r="S692" s="74">
        <v>88.4107754</v>
      </c>
      <c r="T692" s="74">
        <v>-61.2999992370605</v>
      </c>
      <c r="U692" s="74">
        <v>5.0</v>
      </c>
      <c r="V692" s="74">
        <v>1.0</v>
      </c>
      <c r="W692" s="74">
        <v>0.0</v>
      </c>
      <c r="X692" s="74">
        <v>1.0</v>
      </c>
      <c r="Y692" s="119"/>
      <c r="Z692" s="119"/>
      <c r="AA692" s="119"/>
      <c r="AB692" s="119"/>
      <c r="AC692" s="119"/>
      <c r="AD692" s="119"/>
      <c r="AE692" s="119"/>
      <c r="AF692" s="119"/>
      <c r="AG692" s="119"/>
      <c r="AH692" s="119"/>
      <c r="AI692" s="119"/>
      <c r="AJ692" s="119"/>
      <c r="AK692" s="119"/>
      <c r="AL692" s="119"/>
      <c r="AM692" s="119"/>
      <c r="AN692" s="119"/>
      <c r="AO692" s="119"/>
      <c r="AP692" s="119"/>
      <c r="AQ692" s="74" t="s">
        <v>11770</v>
      </c>
      <c r="AR692" s="74" t="s">
        <v>2899</v>
      </c>
      <c r="AS692" s="119"/>
      <c r="AT692" s="74" t="s">
        <v>5540</v>
      </c>
      <c r="AU692" s="120">
        <v>7838.0</v>
      </c>
      <c r="AV692" s="74" t="s">
        <v>11772</v>
      </c>
      <c r="AW692" s="74" t="s">
        <v>11773</v>
      </c>
      <c r="AX692" s="120">
        <v>691.0</v>
      </c>
    </row>
    <row r="693">
      <c r="A693" s="74" t="s">
        <v>11774</v>
      </c>
      <c r="B693" s="74" t="s">
        <v>11775</v>
      </c>
      <c r="C693" s="119"/>
      <c r="D693" s="119"/>
      <c r="E693" s="74">
        <v>3.5215509147374E14</v>
      </c>
      <c r="F693" s="74">
        <v>58.0</v>
      </c>
      <c r="G693" s="74">
        <v>11.0</v>
      </c>
      <c r="H693" s="74">
        <v>4.0</v>
      </c>
      <c r="I693" s="74">
        <v>0.0</v>
      </c>
      <c r="J693" s="119"/>
      <c r="K693" s="119"/>
      <c r="L693" s="74" t="s">
        <v>3805</v>
      </c>
      <c r="M693" s="74" t="s">
        <v>3805</v>
      </c>
      <c r="N693" s="119"/>
      <c r="O693" s="119"/>
      <c r="P693" s="74" t="s">
        <v>11776</v>
      </c>
      <c r="Q693" s="74" t="s">
        <v>11777</v>
      </c>
      <c r="R693" s="74">
        <v>22.555647</v>
      </c>
      <c r="S693" s="74">
        <v>88.3823328</v>
      </c>
      <c r="T693" s="74">
        <v>-41.2999992370605</v>
      </c>
      <c r="U693" s="74">
        <v>5.0</v>
      </c>
      <c r="V693" s="74">
        <v>1.0</v>
      </c>
      <c r="W693" s="74">
        <v>0.0</v>
      </c>
      <c r="X693" s="74">
        <v>1.0</v>
      </c>
      <c r="Y693" s="119"/>
      <c r="Z693" s="119"/>
      <c r="AA693" s="74">
        <v>2.0</v>
      </c>
      <c r="AB693" s="74">
        <v>4.0</v>
      </c>
      <c r="AC693" s="119"/>
      <c r="AD693" s="119"/>
      <c r="AE693" s="119"/>
      <c r="AF693" s="119"/>
      <c r="AG693" s="119"/>
      <c r="AH693" s="119"/>
      <c r="AI693" s="119"/>
      <c r="AJ693" s="119"/>
      <c r="AK693" s="119"/>
      <c r="AL693" s="119"/>
      <c r="AM693" s="119"/>
      <c r="AN693" s="119"/>
      <c r="AO693" s="119"/>
      <c r="AP693" s="119"/>
      <c r="AQ693" s="74" t="s">
        <v>3149</v>
      </c>
      <c r="AR693" s="74" t="s">
        <v>2472</v>
      </c>
      <c r="AS693" s="74">
        <v>1.0</v>
      </c>
      <c r="AT693" s="74" t="s">
        <v>5540</v>
      </c>
      <c r="AU693" s="120">
        <v>7903.0</v>
      </c>
      <c r="AV693" s="74" t="s">
        <v>11784</v>
      </c>
      <c r="AW693" s="74" t="s">
        <v>11785</v>
      </c>
      <c r="AX693" s="120">
        <v>692.0</v>
      </c>
    </row>
    <row r="694">
      <c r="A694" s="74" t="s">
        <v>11788</v>
      </c>
      <c r="B694" s="74" t="s">
        <v>11789</v>
      </c>
      <c r="C694" s="119"/>
      <c r="D694" s="119"/>
      <c r="E694" s="74">
        <v>3.5215509147374E14</v>
      </c>
      <c r="F694" s="74">
        <v>58.0</v>
      </c>
      <c r="G694" s="74">
        <v>99.0</v>
      </c>
      <c r="H694" s="119"/>
      <c r="I694" s="119"/>
      <c r="J694" s="119"/>
      <c r="K694" s="74">
        <v>2.0</v>
      </c>
      <c r="L694" s="74" t="s">
        <v>3812</v>
      </c>
      <c r="M694" s="74" t="s">
        <v>3812</v>
      </c>
      <c r="N694" s="119"/>
      <c r="O694" s="119"/>
      <c r="P694" s="74" t="s">
        <v>11791</v>
      </c>
      <c r="Q694" s="74" t="s">
        <v>11792</v>
      </c>
      <c r="R694" s="74">
        <v>22.5556066</v>
      </c>
      <c r="S694" s="74">
        <v>88.382352</v>
      </c>
      <c r="T694" s="74">
        <v>-44.0</v>
      </c>
      <c r="U694" s="74">
        <v>5.0</v>
      </c>
      <c r="V694" s="74">
        <v>1.0</v>
      </c>
      <c r="W694" s="74">
        <v>0.0</v>
      </c>
      <c r="X694" s="74">
        <v>1.0</v>
      </c>
      <c r="Y694" s="119"/>
      <c r="Z694" s="119"/>
      <c r="AA694" s="119"/>
      <c r="AB694" s="119"/>
      <c r="AC694" s="119"/>
      <c r="AD694" s="119"/>
      <c r="AE694" s="119"/>
      <c r="AF694" s="119"/>
      <c r="AG694" s="119"/>
      <c r="AH694" s="119"/>
      <c r="AI694" s="119"/>
      <c r="AJ694" s="119"/>
      <c r="AK694" s="119"/>
      <c r="AL694" s="119"/>
      <c r="AM694" s="119"/>
      <c r="AN694" s="119"/>
      <c r="AO694" s="119"/>
      <c r="AP694" s="119"/>
      <c r="AQ694" s="74" t="s">
        <v>11796</v>
      </c>
      <c r="AR694" s="74" t="s">
        <v>2472</v>
      </c>
      <c r="AS694" s="119"/>
      <c r="AT694" s="74" t="s">
        <v>5540</v>
      </c>
      <c r="AU694" s="120">
        <v>7904.0</v>
      </c>
      <c r="AV694" s="74" t="s">
        <v>11797</v>
      </c>
      <c r="AW694" s="74" t="s">
        <v>11798</v>
      </c>
      <c r="AX694" s="120">
        <v>693.0</v>
      </c>
    </row>
    <row r="695">
      <c r="A695" s="74" t="s">
        <v>11799</v>
      </c>
      <c r="B695" s="74" t="s">
        <v>11801</v>
      </c>
      <c r="C695" s="119"/>
      <c r="D695" s="119"/>
      <c r="E695" s="74">
        <v>3.5215509147374E14</v>
      </c>
      <c r="F695" s="74">
        <v>58.0</v>
      </c>
      <c r="G695" s="74">
        <v>11.0</v>
      </c>
      <c r="H695" s="74">
        <v>4.0</v>
      </c>
      <c r="I695" s="74">
        <v>0.0</v>
      </c>
      <c r="J695" s="119"/>
      <c r="K695" s="119"/>
      <c r="L695" s="74" t="s">
        <v>3821</v>
      </c>
      <c r="M695" s="74" t="s">
        <v>3821</v>
      </c>
      <c r="N695" s="119"/>
      <c r="O695" s="119"/>
      <c r="P695" s="74" t="s">
        <v>11804</v>
      </c>
      <c r="Q695" s="74" t="s">
        <v>11805</v>
      </c>
      <c r="R695" s="74">
        <v>22.5562066</v>
      </c>
      <c r="S695" s="74">
        <v>88.3832123</v>
      </c>
      <c r="T695" s="74">
        <v>-52.599998474121</v>
      </c>
      <c r="U695" s="74">
        <v>5.0</v>
      </c>
      <c r="V695" s="74">
        <v>1.0</v>
      </c>
      <c r="W695" s="74">
        <v>0.0</v>
      </c>
      <c r="X695" s="74">
        <v>1.0</v>
      </c>
      <c r="Y695" s="119"/>
      <c r="Z695" s="119"/>
      <c r="AA695" s="74">
        <v>2.0</v>
      </c>
      <c r="AB695" s="74">
        <v>4.0</v>
      </c>
      <c r="AC695" s="119"/>
      <c r="AD695" s="119"/>
      <c r="AE695" s="119"/>
      <c r="AF695" s="119"/>
      <c r="AG695" s="119"/>
      <c r="AH695" s="119"/>
      <c r="AI695" s="119"/>
      <c r="AJ695" s="119"/>
      <c r="AK695" s="119"/>
      <c r="AL695" s="119"/>
      <c r="AM695" s="119"/>
      <c r="AN695" s="119"/>
      <c r="AO695" s="119"/>
      <c r="AP695" s="119"/>
      <c r="AQ695" s="74" t="s">
        <v>2949</v>
      </c>
      <c r="AR695" s="74" t="s">
        <v>2472</v>
      </c>
      <c r="AS695" s="74">
        <v>1.0</v>
      </c>
      <c r="AT695" s="74" t="s">
        <v>5540</v>
      </c>
      <c r="AU695" s="120">
        <v>7905.0</v>
      </c>
      <c r="AV695" s="74" t="s">
        <v>11811</v>
      </c>
      <c r="AW695" s="74" t="s">
        <v>11812</v>
      </c>
      <c r="AX695" s="120">
        <v>694.0</v>
      </c>
    </row>
    <row r="696">
      <c r="A696" s="74" t="s">
        <v>11813</v>
      </c>
      <c r="B696" s="74" t="s">
        <v>11814</v>
      </c>
      <c r="C696" s="119"/>
      <c r="D696" s="119"/>
      <c r="E696" s="74">
        <v>3.5215509147374E14</v>
      </c>
      <c r="F696" s="74">
        <v>58.0</v>
      </c>
      <c r="G696" s="74">
        <v>99.0</v>
      </c>
      <c r="H696" s="119"/>
      <c r="I696" s="119"/>
      <c r="J696" s="119"/>
      <c r="K696" s="74">
        <v>2.0</v>
      </c>
      <c r="L696" s="74" t="s">
        <v>3827</v>
      </c>
      <c r="M696" s="74" t="s">
        <v>3827</v>
      </c>
      <c r="N696" s="119"/>
      <c r="O696" s="119"/>
      <c r="P696" s="74" t="s">
        <v>11815</v>
      </c>
      <c r="Q696" s="74" t="s">
        <v>11816</v>
      </c>
      <c r="R696" s="74">
        <v>22.5562808</v>
      </c>
      <c r="S696" s="74">
        <v>88.3831966</v>
      </c>
      <c r="T696" s="74">
        <v>-74.1999969482421</v>
      </c>
      <c r="U696" s="74">
        <v>5.0</v>
      </c>
      <c r="V696" s="74">
        <v>1.0</v>
      </c>
      <c r="W696" s="74">
        <v>0.0</v>
      </c>
      <c r="X696" s="74">
        <v>1.0</v>
      </c>
      <c r="Y696" s="119"/>
      <c r="Z696" s="119"/>
      <c r="AA696" s="119"/>
      <c r="AB696" s="119"/>
      <c r="AC696" s="119"/>
      <c r="AD696" s="119"/>
      <c r="AE696" s="119"/>
      <c r="AF696" s="119"/>
      <c r="AG696" s="119"/>
      <c r="AH696" s="119"/>
      <c r="AI696" s="119"/>
      <c r="AJ696" s="119"/>
      <c r="AK696" s="119"/>
      <c r="AL696" s="119"/>
      <c r="AM696" s="119"/>
      <c r="AN696" s="119"/>
      <c r="AO696" s="119"/>
      <c r="AP696" s="119"/>
      <c r="AQ696" s="74" t="s">
        <v>11820</v>
      </c>
      <c r="AR696" s="74" t="s">
        <v>2472</v>
      </c>
      <c r="AS696" s="119"/>
      <c r="AT696" s="74" t="s">
        <v>5540</v>
      </c>
      <c r="AU696" s="120">
        <v>7906.0</v>
      </c>
      <c r="AV696" s="74" t="s">
        <v>11821</v>
      </c>
      <c r="AW696" s="74" t="s">
        <v>11822</v>
      </c>
      <c r="AX696" s="120">
        <v>695.0</v>
      </c>
    </row>
    <row r="697">
      <c r="A697" s="74" t="s">
        <v>11824</v>
      </c>
      <c r="B697" s="74" t="s">
        <v>11825</v>
      </c>
      <c r="C697" s="119"/>
      <c r="D697" s="119"/>
      <c r="E697" s="74">
        <v>3.52155090281144E14</v>
      </c>
      <c r="F697" s="74">
        <v>65.0</v>
      </c>
      <c r="G697" s="74">
        <v>11.0</v>
      </c>
      <c r="H697" s="74">
        <v>1.0</v>
      </c>
      <c r="I697" s="119"/>
      <c r="J697" s="119"/>
      <c r="K697" s="119"/>
      <c r="L697" s="74" t="s">
        <v>3838</v>
      </c>
      <c r="M697" s="74" t="s">
        <v>3838</v>
      </c>
      <c r="N697" s="119"/>
      <c r="O697" s="119"/>
      <c r="P697" s="74" t="s">
        <v>11826</v>
      </c>
      <c r="Q697" s="74" t="s">
        <v>11827</v>
      </c>
      <c r="R697" s="74">
        <v>22.536171</v>
      </c>
      <c r="S697" s="74">
        <v>88.3745919</v>
      </c>
      <c r="T697" s="74">
        <v>-29.1000003814697</v>
      </c>
      <c r="U697" s="74">
        <v>5.0</v>
      </c>
      <c r="V697" s="74">
        <v>1.0</v>
      </c>
      <c r="W697" s="74">
        <v>0.0</v>
      </c>
      <c r="X697" s="74">
        <v>1.0</v>
      </c>
      <c r="Y697" s="119"/>
      <c r="Z697" s="119"/>
      <c r="AA697" s="74">
        <v>1.0</v>
      </c>
      <c r="AB697" s="74">
        <v>4.0</v>
      </c>
      <c r="AC697" s="119"/>
      <c r="AD697" s="119"/>
      <c r="AE697" s="119"/>
      <c r="AF697" s="119"/>
      <c r="AG697" s="119"/>
      <c r="AH697" s="119"/>
      <c r="AI697" s="119"/>
      <c r="AJ697" s="119"/>
      <c r="AK697" s="119"/>
      <c r="AL697" s="119"/>
      <c r="AM697" s="119"/>
      <c r="AN697" s="119"/>
      <c r="AO697" s="119"/>
      <c r="AP697" s="119"/>
      <c r="AQ697" s="74" t="s">
        <v>3193</v>
      </c>
      <c r="AR697" s="74" t="s">
        <v>2899</v>
      </c>
      <c r="AS697" s="74">
        <v>0.0</v>
      </c>
      <c r="AT697" s="74" t="s">
        <v>5540</v>
      </c>
      <c r="AU697" s="120">
        <v>7909.0</v>
      </c>
      <c r="AV697" s="74" t="s">
        <v>11834</v>
      </c>
      <c r="AW697" s="74" t="s">
        <v>11835</v>
      </c>
      <c r="AX697" s="120">
        <v>696.0</v>
      </c>
    </row>
    <row r="698">
      <c r="A698" s="74" t="s">
        <v>11838</v>
      </c>
      <c r="B698" s="74" t="s">
        <v>11839</v>
      </c>
      <c r="C698" s="119"/>
      <c r="D698" s="119"/>
      <c r="E698" s="74">
        <v>3.52155090281144E14</v>
      </c>
      <c r="F698" s="74">
        <v>29.0</v>
      </c>
      <c r="G698" s="74">
        <v>12.0</v>
      </c>
      <c r="H698" s="119"/>
      <c r="I698" s="119"/>
      <c r="J698" s="119"/>
      <c r="K698" s="119"/>
      <c r="L698" s="74" t="s">
        <v>3768</v>
      </c>
      <c r="M698" s="74" t="s">
        <v>3768</v>
      </c>
      <c r="N698" s="74">
        <v>12.0</v>
      </c>
      <c r="O698" s="74" t="s">
        <v>11843</v>
      </c>
      <c r="P698" s="119"/>
      <c r="Q698" s="74" t="s">
        <v>11844</v>
      </c>
      <c r="R698" s="74">
        <v>22.604295</v>
      </c>
      <c r="S698" s="74">
        <v>88.4166844</v>
      </c>
      <c r="T698" s="74">
        <v>-42.2999992370605</v>
      </c>
      <c r="U698" s="74">
        <v>5.0</v>
      </c>
      <c r="V698" s="74">
        <v>1.0</v>
      </c>
      <c r="W698" s="74">
        <v>0.0</v>
      </c>
      <c r="X698" s="74">
        <v>1.0</v>
      </c>
      <c r="Y698" s="119"/>
      <c r="Z698" s="119"/>
      <c r="AA698" s="119"/>
      <c r="AB698" s="119"/>
      <c r="AC698" s="119"/>
      <c r="AD698" s="119"/>
      <c r="AE698" s="74">
        <v>1.0</v>
      </c>
      <c r="AF698" s="74">
        <v>1.0</v>
      </c>
      <c r="AG698" s="74">
        <v>3.0</v>
      </c>
      <c r="AH698" s="74">
        <v>4.0</v>
      </c>
      <c r="AI698" s="119"/>
      <c r="AJ698" s="119"/>
      <c r="AK698" s="119"/>
      <c r="AL698" s="119"/>
      <c r="AM698" s="119"/>
      <c r="AN698" s="119"/>
      <c r="AO698" s="119"/>
      <c r="AP698" s="119"/>
      <c r="AQ698" s="74" t="s">
        <v>11845</v>
      </c>
      <c r="AR698" s="74" t="s">
        <v>7379</v>
      </c>
      <c r="AS698" s="74">
        <v>0.0</v>
      </c>
      <c r="AT698" s="74" t="s">
        <v>5540</v>
      </c>
      <c r="AU698" s="120">
        <v>7911.0</v>
      </c>
      <c r="AV698" s="74" t="s">
        <v>11847</v>
      </c>
      <c r="AW698" s="74" t="s">
        <v>11848</v>
      </c>
      <c r="AX698" s="120">
        <v>697.0</v>
      </c>
    </row>
    <row r="699">
      <c r="A699" s="74" t="s">
        <v>11850</v>
      </c>
      <c r="B699" s="74" t="s">
        <v>11851</v>
      </c>
      <c r="C699" s="119"/>
      <c r="D699" s="119"/>
      <c r="E699" s="74">
        <v>3.52155090281144E14</v>
      </c>
      <c r="F699" s="74">
        <v>29.0</v>
      </c>
      <c r="G699" s="74">
        <v>99.0</v>
      </c>
      <c r="H699" s="119"/>
      <c r="I699" s="119"/>
      <c r="J699" s="119"/>
      <c r="K699" s="74">
        <v>1.0</v>
      </c>
      <c r="L699" s="74" t="s">
        <v>3774</v>
      </c>
      <c r="M699" s="74" t="s">
        <v>3774</v>
      </c>
      <c r="N699" s="119"/>
      <c r="O699" s="119"/>
      <c r="P699" s="74" t="s">
        <v>11855</v>
      </c>
      <c r="Q699" s="74" t="s">
        <v>11857</v>
      </c>
      <c r="R699" s="74">
        <v>22.6043084</v>
      </c>
      <c r="S699" s="74">
        <v>88.416645</v>
      </c>
      <c r="T699" s="74">
        <v>-38.5</v>
      </c>
      <c r="U699" s="74">
        <v>5.0</v>
      </c>
      <c r="V699" s="74">
        <v>1.0</v>
      </c>
      <c r="W699" s="74">
        <v>0.0</v>
      </c>
      <c r="X699" s="74">
        <v>1.0</v>
      </c>
      <c r="Y699" s="119"/>
      <c r="Z699" s="119"/>
      <c r="AA699" s="119"/>
      <c r="AB699" s="119"/>
      <c r="AC699" s="119"/>
      <c r="AD699" s="119"/>
      <c r="AE699" s="119"/>
      <c r="AF699" s="119"/>
      <c r="AG699" s="119"/>
      <c r="AH699" s="119"/>
      <c r="AI699" s="119"/>
      <c r="AJ699" s="119"/>
      <c r="AK699" s="119"/>
      <c r="AL699" s="119"/>
      <c r="AM699" s="119"/>
      <c r="AN699" s="119"/>
      <c r="AO699" s="119"/>
      <c r="AP699" s="119"/>
      <c r="AQ699" s="74" t="s">
        <v>3193</v>
      </c>
      <c r="AR699" s="74" t="s">
        <v>7379</v>
      </c>
      <c r="AS699" s="119"/>
      <c r="AT699" s="74" t="s">
        <v>5540</v>
      </c>
      <c r="AU699" s="120">
        <v>7912.0</v>
      </c>
      <c r="AV699" s="74" t="s">
        <v>11858</v>
      </c>
      <c r="AW699" s="74" t="s">
        <v>11859</v>
      </c>
      <c r="AX699" s="120">
        <v>698.0</v>
      </c>
    </row>
    <row r="700">
      <c r="A700" s="74" t="s">
        <v>11860</v>
      </c>
      <c r="B700" s="74" t="s">
        <v>11861</v>
      </c>
      <c r="C700" s="119"/>
      <c r="D700" s="119"/>
      <c r="E700" s="74">
        <v>3.52155090281144E14</v>
      </c>
      <c r="F700" s="74">
        <v>3.0</v>
      </c>
      <c r="G700" s="74">
        <v>12.0</v>
      </c>
      <c r="H700" s="119"/>
      <c r="I700" s="119"/>
      <c r="J700" s="119"/>
      <c r="K700" s="119"/>
      <c r="L700" s="74" t="s">
        <v>3785</v>
      </c>
      <c r="M700" s="74" t="s">
        <v>3785</v>
      </c>
      <c r="N700" s="74">
        <v>10.0</v>
      </c>
      <c r="O700" s="74" t="s">
        <v>11864</v>
      </c>
      <c r="P700" s="119"/>
      <c r="Q700" s="74" t="s">
        <v>11866</v>
      </c>
      <c r="R700" s="74">
        <v>22.6075334</v>
      </c>
      <c r="S700" s="74">
        <v>88.3926163</v>
      </c>
      <c r="T700" s="74">
        <v>-33.099998474121</v>
      </c>
      <c r="U700" s="74">
        <v>5.0</v>
      </c>
      <c r="V700" s="74">
        <v>1.0</v>
      </c>
      <c r="W700" s="74">
        <v>0.0</v>
      </c>
      <c r="X700" s="74">
        <v>1.0</v>
      </c>
      <c r="Y700" s="119"/>
      <c r="Z700" s="119"/>
      <c r="AA700" s="119"/>
      <c r="AB700" s="119"/>
      <c r="AC700" s="119"/>
      <c r="AD700" s="119"/>
      <c r="AE700" s="74">
        <v>1.0</v>
      </c>
      <c r="AF700" s="74">
        <v>1.0</v>
      </c>
      <c r="AG700" s="74">
        <v>3.0</v>
      </c>
      <c r="AH700" s="74">
        <v>4.0</v>
      </c>
      <c r="AI700" s="119"/>
      <c r="AJ700" s="119"/>
      <c r="AK700" s="119"/>
      <c r="AL700" s="119"/>
      <c r="AM700" s="119"/>
      <c r="AN700" s="119"/>
      <c r="AO700" s="119"/>
      <c r="AP700" s="119"/>
      <c r="AQ700" s="74" t="s">
        <v>3388</v>
      </c>
      <c r="AR700" s="74" t="s">
        <v>2899</v>
      </c>
      <c r="AS700" s="74">
        <v>0.0</v>
      </c>
      <c r="AT700" s="74" t="s">
        <v>5540</v>
      </c>
      <c r="AU700" s="120">
        <v>7913.0</v>
      </c>
      <c r="AV700" s="74" t="s">
        <v>11871</v>
      </c>
      <c r="AW700" s="74" t="s">
        <v>11872</v>
      </c>
      <c r="AX700" s="120">
        <v>699.0</v>
      </c>
    </row>
    <row r="701">
      <c r="A701" s="74" t="s">
        <v>11873</v>
      </c>
      <c r="B701" s="74" t="s">
        <v>11874</v>
      </c>
      <c r="C701" s="119"/>
      <c r="D701" s="119"/>
      <c r="E701" s="74">
        <v>3.52155090281144E14</v>
      </c>
      <c r="F701" s="74">
        <v>3.0</v>
      </c>
      <c r="G701" s="74">
        <v>99.0</v>
      </c>
      <c r="H701" s="119"/>
      <c r="I701" s="119"/>
      <c r="J701" s="119"/>
      <c r="K701" s="74">
        <v>1.0</v>
      </c>
      <c r="L701" s="74" t="s">
        <v>3792</v>
      </c>
      <c r="M701" s="74" t="s">
        <v>3792</v>
      </c>
      <c r="N701" s="119"/>
      <c r="O701" s="119"/>
      <c r="P701" s="74" t="s">
        <v>11879</v>
      </c>
      <c r="Q701" s="74" t="s">
        <v>11880</v>
      </c>
      <c r="R701" s="74">
        <v>22.6076549</v>
      </c>
      <c r="S701" s="74">
        <v>88.392551</v>
      </c>
      <c r="T701" s="74">
        <v>-19.7999992370605</v>
      </c>
      <c r="U701" s="74">
        <v>4.5</v>
      </c>
      <c r="V701" s="74">
        <v>1.0</v>
      </c>
      <c r="W701" s="74">
        <v>0.0</v>
      </c>
      <c r="X701" s="74">
        <v>1.0</v>
      </c>
      <c r="Y701" s="119"/>
      <c r="Z701" s="119"/>
      <c r="AA701" s="119"/>
      <c r="AB701" s="119"/>
      <c r="AC701" s="119"/>
      <c r="AD701" s="119"/>
      <c r="AE701" s="119"/>
      <c r="AF701" s="119"/>
      <c r="AG701" s="119"/>
      <c r="AH701" s="119"/>
      <c r="AI701" s="119"/>
      <c r="AJ701" s="119"/>
      <c r="AK701" s="119"/>
      <c r="AL701" s="119"/>
      <c r="AM701" s="119"/>
      <c r="AN701" s="119"/>
      <c r="AO701" s="119"/>
      <c r="AP701" s="119"/>
      <c r="AQ701" s="74" t="s">
        <v>11882</v>
      </c>
      <c r="AR701" s="74" t="s">
        <v>2899</v>
      </c>
      <c r="AS701" s="119"/>
      <c r="AT701" s="74" t="s">
        <v>5540</v>
      </c>
      <c r="AU701" s="120">
        <v>7914.0</v>
      </c>
      <c r="AV701" s="74" t="s">
        <v>11883</v>
      </c>
      <c r="AW701" s="74" t="s">
        <v>11884</v>
      </c>
      <c r="AX701" s="120">
        <v>700.0</v>
      </c>
    </row>
    <row r="702">
      <c r="A702" s="74" t="s">
        <v>11885</v>
      </c>
      <c r="B702" s="74" t="s">
        <v>11886</v>
      </c>
      <c r="C702" s="119"/>
      <c r="D702" s="119"/>
      <c r="E702" s="74">
        <v>3.52155090281144E14</v>
      </c>
      <c r="F702" s="74">
        <v>66.0</v>
      </c>
      <c r="G702" s="74">
        <v>12.0</v>
      </c>
      <c r="H702" s="119"/>
      <c r="I702" s="119"/>
      <c r="J702" s="119"/>
      <c r="K702" s="119"/>
      <c r="L702" s="74" t="s">
        <v>3854</v>
      </c>
      <c r="M702" s="74" t="s">
        <v>3854</v>
      </c>
      <c r="N702" s="74">
        <v>5.0</v>
      </c>
      <c r="O702" s="74" t="s">
        <v>11891</v>
      </c>
      <c r="P702" s="119"/>
      <c r="Q702" s="74" t="s">
        <v>11893</v>
      </c>
      <c r="R702" s="74">
        <v>22.5347134</v>
      </c>
      <c r="S702" s="74">
        <v>88.3960117</v>
      </c>
      <c r="T702" s="74">
        <v>-65.8000030517578</v>
      </c>
      <c r="U702" s="74">
        <v>5.0</v>
      </c>
      <c r="V702" s="74">
        <v>1.0</v>
      </c>
      <c r="W702" s="74">
        <v>0.0</v>
      </c>
      <c r="X702" s="74">
        <v>1.0</v>
      </c>
      <c r="Y702" s="119"/>
      <c r="Z702" s="119"/>
      <c r="AA702" s="119"/>
      <c r="AB702" s="119"/>
      <c r="AC702" s="119"/>
      <c r="AD702" s="119"/>
      <c r="AE702" s="74">
        <v>1.0</v>
      </c>
      <c r="AF702" s="74">
        <v>2.0</v>
      </c>
      <c r="AG702" s="74">
        <v>3.0</v>
      </c>
      <c r="AH702" s="74">
        <v>4.0</v>
      </c>
      <c r="AI702" s="119"/>
      <c r="AJ702" s="119"/>
      <c r="AK702" s="119"/>
      <c r="AL702" s="119"/>
      <c r="AM702" s="119"/>
      <c r="AN702" s="119"/>
      <c r="AO702" s="119"/>
      <c r="AP702" s="119"/>
      <c r="AQ702" s="74" t="s">
        <v>11897</v>
      </c>
      <c r="AR702" s="74" t="s">
        <v>2899</v>
      </c>
      <c r="AS702" s="74">
        <v>0.0</v>
      </c>
      <c r="AT702" s="74" t="s">
        <v>5540</v>
      </c>
      <c r="AU702" s="120">
        <v>7950.0</v>
      </c>
      <c r="AV702" s="74" t="s">
        <v>11898</v>
      </c>
      <c r="AW702" s="74" t="s">
        <v>11900</v>
      </c>
      <c r="AX702" s="120">
        <v>701.0</v>
      </c>
    </row>
    <row r="703">
      <c r="A703" s="74" t="s">
        <v>11901</v>
      </c>
      <c r="B703" s="74" t="s">
        <v>11903</v>
      </c>
      <c r="C703" s="119"/>
      <c r="D703" s="119"/>
      <c r="E703" s="74">
        <v>3.52155090281144E14</v>
      </c>
      <c r="F703" s="74">
        <v>66.0</v>
      </c>
      <c r="G703" s="74">
        <v>99.0</v>
      </c>
      <c r="H703" s="119"/>
      <c r="I703" s="119"/>
      <c r="J703" s="119"/>
      <c r="K703" s="74">
        <v>1.0</v>
      </c>
      <c r="L703" s="74" t="s">
        <v>3856</v>
      </c>
      <c r="M703" s="74" t="s">
        <v>3856</v>
      </c>
      <c r="N703" s="119"/>
      <c r="O703" s="119"/>
      <c r="P703" s="74" t="s">
        <v>11904</v>
      </c>
      <c r="Q703" s="74" t="s">
        <v>11905</v>
      </c>
      <c r="R703" s="74">
        <v>22.5346488</v>
      </c>
      <c r="S703" s="74">
        <v>88.3960567</v>
      </c>
      <c r="T703" s="74">
        <v>-30.0</v>
      </c>
      <c r="U703" s="74">
        <v>4.5</v>
      </c>
      <c r="V703" s="74">
        <v>1.0</v>
      </c>
      <c r="W703" s="74">
        <v>0.0</v>
      </c>
      <c r="X703" s="74">
        <v>1.0</v>
      </c>
      <c r="Y703" s="119"/>
      <c r="Z703" s="119"/>
      <c r="AA703" s="119"/>
      <c r="AB703" s="119"/>
      <c r="AC703" s="119"/>
      <c r="AD703" s="119"/>
      <c r="AE703" s="119"/>
      <c r="AF703" s="119"/>
      <c r="AG703" s="119"/>
      <c r="AH703" s="119"/>
      <c r="AI703" s="119"/>
      <c r="AJ703" s="119"/>
      <c r="AK703" s="119"/>
      <c r="AL703" s="119"/>
      <c r="AM703" s="119"/>
      <c r="AN703" s="119"/>
      <c r="AO703" s="119"/>
      <c r="AP703" s="119"/>
      <c r="AQ703" s="74" t="s">
        <v>11908</v>
      </c>
      <c r="AR703" s="74" t="s">
        <v>2899</v>
      </c>
      <c r="AS703" s="119"/>
      <c r="AT703" s="74" t="s">
        <v>5540</v>
      </c>
      <c r="AU703" s="120">
        <v>7951.0</v>
      </c>
      <c r="AV703" s="74" t="s">
        <v>11909</v>
      </c>
      <c r="AW703" s="74" t="s">
        <v>11910</v>
      </c>
      <c r="AX703" s="120">
        <v>702.0</v>
      </c>
    </row>
    <row r="704">
      <c r="A704" s="74" t="s">
        <v>11911</v>
      </c>
      <c r="B704" s="74" t="s">
        <v>11912</v>
      </c>
      <c r="C704" s="119"/>
      <c r="D704" s="119"/>
      <c r="E704" s="74">
        <v>3.52155090281144E14</v>
      </c>
      <c r="F704" s="74">
        <v>59.0</v>
      </c>
      <c r="G704" s="74">
        <v>12.0</v>
      </c>
      <c r="H704" s="119"/>
      <c r="I704" s="119"/>
      <c r="J704" s="119"/>
      <c r="K704" s="119"/>
      <c r="L704" s="74" t="s">
        <v>3868</v>
      </c>
      <c r="M704" s="74" t="s">
        <v>3868</v>
      </c>
      <c r="N704" s="74">
        <v>6.0</v>
      </c>
      <c r="O704" s="74" t="s">
        <v>11916</v>
      </c>
      <c r="P704" s="119"/>
      <c r="Q704" s="74" t="s">
        <v>11918</v>
      </c>
      <c r="R704" s="74">
        <v>22.5403541</v>
      </c>
      <c r="S704" s="74">
        <v>88.3870714</v>
      </c>
      <c r="T704" s="74">
        <v>-42.0</v>
      </c>
      <c r="U704" s="74">
        <v>4.5</v>
      </c>
      <c r="V704" s="74">
        <v>1.0</v>
      </c>
      <c r="W704" s="74">
        <v>0.0</v>
      </c>
      <c r="X704" s="74">
        <v>1.0</v>
      </c>
      <c r="Y704" s="119"/>
      <c r="Z704" s="119"/>
      <c r="AA704" s="119"/>
      <c r="AB704" s="119"/>
      <c r="AC704" s="119"/>
      <c r="AD704" s="119"/>
      <c r="AE704" s="74">
        <v>1.0</v>
      </c>
      <c r="AF704" s="74">
        <v>1.0</v>
      </c>
      <c r="AG704" s="74">
        <v>3.0</v>
      </c>
      <c r="AH704" s="74">
        <v>4.0</v>
      </c>
      <c r="AI704" s="119"/>
      <c r="AJ704" s="119"/>
      <c r="AK704" s="119"/>
      <c r="AL704" s="119"/>
      <c r="AM704" s="119"/>
      <c r="AN704" s="119"/>
      <c r="AO704" s="119"/>
      <c r="AP704" s="119"/>
      <c r="AQ704" s="74" t="s">
        <v>11681</v>
      </c>
      <c r="AR704" s="74" t="s">
        <v>2899</v>
      </c>
      <c r="AS704" s="74">
        <v>0.0</v>
      </c>
      <c r="AT704" s="74" t="s">
        <v>5540</v>
      </c>
      <c r="AU704" s="120">
        <v>7952.0</v>
      </c>
      <c r="AV704" s="74" t="s">
        <v>11926</v>
      </c>
      <c r="AW704" s="74" t="s">
        <v>11927</v>
      </c>
      <c r="AX704" s="120">
        <v>703.0</v>
      </c>
    </row>
    <row r="705">
      <c r="A705" s="74" t="s">
        <v>11929</v>
      </c>
      <c r="B705" s="74" t="s">
        <v>11930</v>
      </c>
      <c r="C705" s="119"/>
      <c r="D705" s="119"/>
      <c r="E705" s="74">
        <v>3.52155090281144E14</v>
      </c>
      <c r="F705" s="74">
        <v>59.0</v>
      </c>
      <c r="G705" s="74">
        <v>99.0</v>
      </c>
      <c r="H705" s="119"/>
      <c r="I705" s="119"/>
      <c r="J705" s="119"/>
      <c r="K705" s="74">
        <v>1.0</v>
      </c>
      <c r="L705" s="74" t="s">
        <v>3872</v>
      </c>
      <c r="M705" s="74" t="s">
        <v>3872</v>
      </c>
      <c r="N705" s="119"/>
      <c r="O705" s="119"/>
      <c r="P705" s="74" t="s">
        <v>11932</v>
      </c>
      <c r="Q705" s="74" t="s">
        <v>11933</v>
      </c>
      <c r="R705" s="74">
        <v>22.5400161</v>
      </c>
      <c r="S705" s="74">
        <v>88.3873707</v>
      </c>
      <c r="T705" s="74">
        <v>-42.9000015258789</v>
      </c>
      <c r="U705" s="74">
        <v>4.5</v>
      </c>
      <c r="V705" s="74">
        <v>1.0</v>
      </c>
      <c r="W705" s="74">
        <v>0.0</v>
      </c>
      <c r="X705" s="74">
        <v>1.0</v>
      </c>
      <c r="Y705" s="119"/>
      <c r="Z705" s="119"/>
      <c r="AA705" s="119"/>
      <c r="AB705" s="119"/>
      <c r="AC705" s="119"/>
      <c r="AD705" s="119"/>
      <c r="AE705" s="119"/>
      <c r="AF705" s="119"/>
      <c r="AG705" s="119"/>
      <c r="AH705" s="119"/>
      <c r="AI705" s="119"/>
      <c r="AJ705" s="119"/>
      <c r="AK705" s="119"/>
      <c r="AL705" s="119"/>
      <c r="AM705" s="119"/>
      <c r="AN705" s="119"/>
      <c r="AO705" s="119"/>
      <c r="AP705" s="119"/>
      <c r="AQ705" s="74" t="s">
        <v>11937</v>
      </c>
      <c r="AR705" s="74" t="s">
        <v>2899</v>
      </c>
      <c r="AS705" s="119"/>
      <c r="AT705" s="74" t="s">
        <v>5540</v>
      </c>
      <c r="AU705" s="120">
        <v>7953.0</v>
      </c>
      <c r="AV705" s="74" t="s">
        <v>11939</v>
      </c>
      <c r="AW705" s="74" t="s">
        <v>11940</v>
      </c>
      <c r="AX705" s="120">
        <v>704.0</v>
      </c>
    </row>
    <row r="706">
      <c r="A706" s="74" t="s">
        <v>11941</v>
      </c>
      <c r="B706" s="74" t="s">
        <v>11942</v>
      </c>
      <c r="C706" s="119"/>
      <c r="D706" s="119"/>
      <c r="E706" s="74">
        <v>3.52155090281144E14</v>
      </c>
      <c r="F706" s="74">
        <v>65.0</v>
      </c>
      <c r="G706" s="74">
        <v>12.0</v>
      </c>
      <c r="H706" s="119"/>
      <c r="I706" s="119"/>
      <c r="J706" s="119"/>
      <c r="K706" s="119"/>
      <c r="L706" s="74" t="s">
        <v>3884</v>
      </c>
      <c r="M706" s="74" t="s">
        <v>3884</v>
      </c>
      <c r="N706" s="74">
        <v>8.0</v>
      </c>
      <c r="O706" s="74" t="s">
        <v>11944</v>
      </c>
      <c r="P706" s="119"/>
      <c r="Q706" s="74" t="s">
        <v>11945</v>
      </c>
      <c r="R706" s="74">
        <v>22.536179</v>
      </c>
      <c r="S706" s="74">
        <v>88.3745749</v>
      </c>
      <c r="T706" s="74">
        <v>-51.0</v>
      </c>
      <c r="U706" s="74">
        <v>5.0</v>
      </c>
      <c r="V706" s="74">
        <v>1.0</v>
      </c>
      <c r="W706" s="74">
        <v>0.0</v>
      </c>
      <c r="X706" s="74">
        <v>1.0</v>
      </c>
      <c r="Y706" s="119"/>
      <c r="Z706" s="119"/>
      <c r="AA706" s="119"/>
      <c r="AB706" s="119"/>
      <c r="AC706" s="119"/>
      <c r="AD706" s="119"/>
      <c r="AE706" s="74">
        <v>1.0</v>
      </c>
      <c r="AF706" s="74">
        <v>1.0</v>
      </c>
      <c r="AG706" s="74">
        <v>4.0</v>
      </c>
      <c r="AH706" s="74">
        <v>4.0</v>
      </c>
      <c r="AI706" s="119"/>
      <c r="AJ706" s="119"/>
      <c r="AK706" s="119"/>
      <c r="AL706" s="119"/>
      <c r="AM706" s="119"/>
      <c r="AN706" s="119"/>
      <c r="AO706" s="119"/>
      <c r="AP706" s="119"/>
      <c r="AQ706" s="74" t="s">
        <v>3388</v>
      </c>
      <c r="AR706" s="74" t="s">
        <v>2899</v>
      </c>
      <c r="AS706" s="74">
        <v>0.0</v>
      </c>
      <c r="AT706" s="74" t="s">
        <v>5540</v>
      </c>
      <c r="AU706" s="120">
        <v>7954.0</v>
      </c>
      <c r="AV706" s="74" t="s">
        <v>11952</v>
      </c>
      <c r="AW706" s="74" t="s">
        <v>11953</v>
      </c>
      <c r="AX706" s="120">
        <v>705.0</v>
      </c>
    </row>
    <row r="707">
      <c r="A707" s="74" t="s">
        <v>11954</v>
      </c>
      <c r="B707" s="74" t="s">
        <v>11955</v>
      </c>
      <c r="C707" s="119"/>
      <c r="D707" s="119"/>
      <c r="E707" s="74">
        <v>3.52155090281144E14</v>
      </c>
      <c r="F707" s="74">
        <v>65.0</v>
      </c>
      <c r="G707" s="74">
        <v>99.0</v>
      </c>
      <c r="H707" s="119"/>
      <c r="I707" s="119"/>
      <c r="J707" s="119"/>
      <c r="K707" s="74">
        <v>1.0</v>
      </c>
      <c r="L707" s="74" t="s">
        <v>3886</v>
      </c>
      <c r="M707" s="74" t="s">
        <v>3886</v>
      </c>
      <c r="N707" s="119"/>
      <c r="O707" s="119"/>
      <c r="P707" s="74" t="s">
        <v>11960</v>
      </c>
      <c r="Q707" s="74" t="s">
        <v>11962</v>
      </c>
      <c r="R707" s="74">
        <v>22.5361365</v>
      </c>
      <c r="S707" s="74">
        <v>88.3746341</v>
      </c>
      <c r="T707" s="74">
        <v>-46.2000007629394</v>
      </c>
      <c r="U707" s="74">
        <v>5.0</v>
      </c>
      <c r="V707" s="74">
        <v>1.0</v>
      </c>
      <c r="W707" s="74">
        <v>0.0</v>
      </c>
      <c r="X707" s="74">
        <v>1.0</v>
      </c>
      <c r="Y707" s="119"/>
      <c r="Z707" s="119"/>
      <c r="AA707" s="119"/>
      <c r="AB707" s="119"/>
      <c r="AC707" s="119"/>
      <c r="AD707" s="119"/>
      <c r="AE707" s="119"/>
      <c r="AF707" s="119"/>
      <c r="AG707" s="119"/>
      <c r="AH707" s="119"/>
      <c r="AI707" s="119"/>
      <c r="AJ707" s="119"/>
      <c r="AK707" s="119"/>
      <c r="AL707" s="119"/>
      <c r="AM707" s="119"/>
      <c r="AN707" s="119"/>
      <c r="AO707" s="119"/>
      <c r="AP707" s="119"/>
      <c r="AQ707" s="74" t="s">
        <v>11965</v>
      </c>
      <c r="AR707" s="74" t="s">
        <v>2899</v>
      </c>
      <c r="AS707" s="119"/>
      <c r="AT707" s="74" t="s">
        <v>5540</v>
      </c>
      <c r="AU707" s="120">
        <v>7955.0</v>
      </c>
      <c r="AV707" s="74" t="s">
        <v>11966</v>
      </c>
      <c r="AW707" s="74" t="s">
        <v>11967</v>
      </c>
      <c r="AX707" s="120">
        <v>706.0</v>
      </c>
    </row>
    <row r="708">
      <c r="A708" s="74" t="s">
        <v>11968</v>
      </c>
      <c r="B708" s="74" t="s">
        <v>11969</v>
      </c>
      <c r="C708" s="119"/>
      <c r="D708" s="119"/>
      <c r="E708" s="74">
        <v>3.52155090281144E14</v>
      </c>
      <c r="F708" s="74">
        <v>59.0</v>
      </c>
      <c r="G708" s="74">
        <v>11.0</v>
      </c>
      <c r="H708" s="74">
        <v>4.0</v>
      </c>
      <c r="I708" s="74">
        <v>1.0</v>
      </c>
      <c r="J708" s="74" t="s">
        <v>11425</v>
      </c>
      <c r="K708" s="119"/>
      <c r="L708" s="74" t="s">
        <v>3896</v>
      </c>
      <c r="M708" s="74" t="s">
        <v>3896</v>
      </c>
      <c r="N708" s="119"/>
      <c r="O708" s="119"/>
      <c r="P708" s="74" t="s">
        <v>11970</v>
      </c>
      <c r="Q708" s="74" t="s">
        <v>11971</v>
      </c>
      <c r="R708" s="74">
        <v>22.5408475</v>
      </c>
      <c r="S708" s="74">
        <v>88.374439</v>
      </c>
      <c r="T708" s="74">
        <v>-33.2000007629394</v>
      </c>
      <c r="U708" s="74">
        <v>5.0</v>
      </c>
      <c r="V708" s="74">
        <v>1.0</v>
      </c>
      <c r="W708" s="74">
        <v>0.0</v>
      </c>
      <c r="X708" s="74">
        <v>1.0</v>
      </c>
      <c r="Y708" s="119"/>
      <c r="Z708" s="119"/>
      <c r="AA708" s="74">
        <v>2.0</v>
      </c>
      <c r="AB708" s="74">
        <v>4.0</v>
      </c>
      <c r="AC708" s="119"/>
      <c r="AD708" s="119"/>
      <c r="AE708" s="119"/>
      <c r="AF708" s="119"/>
      <c r="AG708" s="119"/>
      <c r="AH708" s="119"/>
      <c r="AI708" s="119"/>
      <c r="AJ708" s="119"/>
      <c r="AK708" s="119"/>
      <c r="AL708" s="119"/>
      <c r="AM708" s="119"/>
      <c r="AN708" s="119"/>
      <c r="AO708" s="119"/>
      <c r="AP708" s="119"/>
      <c r="AQ708" s="74" t="s">
        <v>11681</v>
      </c>
      <c r="AR708" s="74" t="s">
        <v>2899</v>
      </c>
      <c r="AS708" s="74">
        <v>1.0</v>
      </c>
      <c r="AT708" s="74" t="s">
        <v>5540</v>
      </c>
      <c r="AU708" s="120">
        <v>7956.0</v>
      </c>
      <c r="AV708" s="74" t="s">
        <v>11975</v>
      </c>
      <c r="AW708" s="74" t="s">
        <v>11976</v>
      </c>
      <c r="AX708" s="120">
        <v>707.0</v>
      </c>
    </row>
    <row r="709">
      <c r="A709" s="74" t="s">
        <v>11978</v>
      </c>
      <c r="B709" s="74" t="s">
        <v>11979</v>
      </c>
      <c r="C709" s="119"/>
      <c r="D709" s="119"/>
      <c r="E709" s="74">
        <v>3.52155090281144E14</v>
      </c>
      <c r="F709" s="74">
        <v>59.0</v>
      </c>
      <c r="G709" s="74">
        <v>99.0</v>
      </c>
      <c r="H709" s="119"/>
      <c r="I709" s="119"/>
      <c r="J709" s="119"/>
      <c r="K709" s="74">
        <v>2.0</v>
      </c>
      <c r="L709" s="74" t="s">
        <v>3899</v>
      </c>
      <c r="M709" s="74" t="s">
        <v>3899</v>
      </c>
      <c r="N709" s="119"/>
      <c r="O709" s="119"/>
      <c r="P709" s="74" t="s">
        <v>11980</v>
      </c>
      <c r="Q709" s="74" t="s">
        <v>11981</v>
      </c>
      <c r="R709" s="74">
        <v>22.5407759</v>
      </c>
      <c r="S709" s="74">
        <v>88.3745771</v>
      </c>
      <c r="T709" s="74">
        <v>41.9000015258789</v>
      </c>
      <c r="U709" s="74">
        <v>4.5</v>
      </c>
      <c r="V709" s="74">
        <v>1.0</v>
      </c>
      <c r="W709" s="74">
        <v>0.0</v>
      </c>
      <c r="X709" s="74">
        <v>1.0</v>
      </c>
      <c r="Y709" s="119"/>
      <c r="Z709" s="119"/>
      <c r="AA709" s="119"/>
      <c r="AB709" s="119"/>
      <c r="AC709" s="119"/>
      <c r="AD709" s="119"/>
      <c r="AE709" s="119"/>
      <c r="AF709" s="119"/>
      <c r="AG709" s="119"/>
      <c r="AH709" s="119"/>
      <c r="AI709" s="119"/>
      <c r="AJ709" s="119"/>
      <c r="AK709" s="119"/>
      <c r="AL709" s="119"/>
      <c r="AM709" s="119"/>
      <c r="AN709" s="119"/>
      <c r="AO709" s="119"/>
      <c r="AP709" s="119"/>
      <c r="AQ709" s="74" t="s">
        <v>11987</v>
      </c>
      <c r="AR709" s="74" t="s">
        <v>2899</v>
      </c>
      <c r="AS709" s="119"/>
      <c r="AT709" s="74" t="s">
        <v>5540</v>
      </c>
      <c r="AU709" s="120">
        <v>7957.0</v>
      </c>
      <c r="AV709" s="74" t="s">
        <v>11990</v>
      </c>
      <c r="AW709" s="74" t="s">
        <v>11991</v>
      </c>
      <c r="AX709" s="120">
        <v>708.0</v>
      </c>
    </row>
    <row r="710">
      <c r="A710" s="74" t="s">
        <v>11994</v>
      </c>
      <c r="B710" s="74" t="s">
        <v>11995</v>
      </c>
      <c r="C710" s="119"/>
      <c r="D710" s="119"/>
      <c r="E710" s="74">
        <v>3.52155090281144E14</v>
      </c>
      <c r="F710" s="74">
        <v>59.0</v>
      </c>
      <c r="G710" s="74">
        <v>11.0</v>
      </c>
      <c r="H710" s="74">
        <v>4.0</v>
      </c>
      <c r="I710" s="74">
        <v>1.0</v>
      </c>
      <c r="J710" s="74" t="s">
        <v>11997</v>
      </c>
      <c r="K710" s="119"/>
      <c r="L710" s="74" t="s">
        <v>3911</v>
      </c>
      <c r="M710" s="74" t="s">
        <v>3911</v>
      </c>
      <c r="N710" s="119"/>
      <c r="O710" s="119"/>
      <c r="P710" s="74" t="s">
        <v>11998</v>
      </c>
      <c r="Q710" s="74" t="s">
        <v>11999</v>
      </c>
      <c r="R710" s="74">
        <v>22.5412257</v>
      </c>
      <c r="S710" s="74">
        <v>88.3749982</v>
      </c>
      <c r="T710" s="74">
        <v>-20.5</v>
      </c>
      <c r="U710" s="74">
        <v>5.0</v>
      </c>
      <c r="V710" s="74">
        <v>1.0</v>
      </c>
      <c r="W710" s="74">
        <v>0.0</v>
      </c>
      <c r="X710" s="74">
        <v>1.0</v>
      </c>
      <c r="Y710" s="119"/>
      <c r="Z710" s="119"/>
      <c r="AA710" s="74">
        <v>2.0</v>
      </c>
      <c r="AB710" s="74">
        <v>4.0</v>
      </c>
      <c r="AC710" s="119"/>
      <c r="AD710" s="119"/>
      <c r="AE710" s="119"/>
      <c r="AF710" s="119"/>
      <c r="AG710" s="119"/>
      <c r="AH710" s="119"/>
      <c r="AI710" s="119"/>
      <c r="AJ710" s="119"/>
      <c r="AK710" s="119"/>
      <c r="AL710" s="119"/>
      <c r="AM710" s="119"/>
      <c r="AN710" s="119"/>
      <c r="AO710" s="119"/>
      <c r="AP710" s="119"/>
      <c r="AQ710" s="74" t="s">
        <v>3193</v>
      </c>
      <c r="AR710" s="74" t="s">
        <v>2899</v>
      </c>
      <c r="AS710" s="74">
        <v>0.0</v>
      </c>
      <c r="AT710" s="74" t="s">
        <v>5540</v>
      </c>
      <c r="AU710" s="120">
        <v>7958.0</v>
      </c>
      <c r="AV710" s="74" t="s">
        <v>12007</v>
      </c>
      <c r="AW710" s="74" t="s">
        <v>12010</v>
      </c>
      <c r="AX710" s="120">
        <v>709.0</v>
      </c>
    </row>
    <row r="711">
      <c r="A711" s="74" t="s">
        <v>12011</v>
      </c>
      <c r="B711" s="74" t="s">
        <v>12012</v>
      </c>
      <c r="C711" s="119"/>
      <c r="D711" s="119"/>
      <c r="E711" s="74">
        <v>3.52155090281144E14</v>
      </c>
      <c r="F711" s="74">
        <v>59.0</v>
      </c>
      <c r="G711" s="74">
        <v>99.0</v>
      </c>
      <c r="H711" s="119"/>
      <c r="I711" s="119"/>
      <c r="J711" s="119"/>
      <c r="K711" s="74">
        <v>2.0</v>
      </c>
      <c r="L711" s="74" t="s">
        <v>3916</v>
      </c>
      <c r="M711" s="74" t="s">
        <v>3916</v>
      </c>
      <c r="N711" s="119"/>
      <c r="O711" s="119"/>
      <c r="P711" s="74" t="s">
        <v>12017</v>
      </c>
      <c r="Q711" s="74" t="s">
        <v>12018</v>
      </c>
      <c r="R711" s="74">
        <v>22.5410235</v>
      </c>
      <c r="S711" s="74">
        <v>88.3750898</v>
      </c>
      <c r="T711" s="74">
        <v>50.4000015258789</v>
      </c>
      <c r="U711" s="74">
        <v>5.0</v>
      </c>
      <c r="V711" s="74">
        <v>1.0</v>
      </c>
      <c r="W711" s="74">
        <v>0.0</v>
      </c>
      <c r="X711" s="74">
        <v>1.0</v>
      </c>
      <c r="Y711" s="119"/>
      <c r="Z711" s="119"/>
      <c r="AA711" s="119"/>
      <c r="AB711" s="119"/>
      <c r="AC711" s="119"/>
      <c r="AD711" s="119"/>
      <c r="AE711" s="119"/>
      <c r="AF711" s="119"/>
      <c r="AG711" s="119"/>
      <c r="AH711" s="119"/>
      <c r="AI711" s="119"/>
      <c r="AJ711" s="119"/>
      <c r="AK711" s="119"/>
      <c r="AL711" s="119"/>
      <c r="AM711" s="119"/>
      <c r="AN711" s="119"/>
      <c r="AO711" s="119"/>
      <c r="AP711" s="119"/>
      <c r="AQ711" s="74" t="s">
        <v>3193</v>
      </c>
      <c r="AR711" s="74" t="s">
        <v>2899</v>
      </c>
      <c r="AS711" s="119"/>
      <c r="AT711" s="74" t="s">
        <v>5540</v>
      </c>
      <c r="AU711" s="120">
        <v>7959.0</v>
      </c>
      <c r="AV711" s="74" t="s">
        <v>12024</v>
      </c>
      <c r="AW711" s="74" t="s">
        <v>12025</v>
      </c>
      <c r="AX711" s="120">
        <v>710.0</v>
      </c>
    </row>
    <row r="712">
      <c r="A712" s="74" t="s">
        <v>12027</v>
      </c>
      <c r="B712" s="74" t="s">
        <v>12028</v>
      </c>
      <c r="C712" s="119"/>
      <c r="D712" s="119"/>
      <c r="E712" s="74">
        <v>3.52155090281144E14</v>
      </c>
      <c r="F712" s="74">
        <v>59.0</v>
      </c>
      <c r="G712" s="74">
        <v>11.0</v>
      </c>
      <c r="H712" s="74">
        <v>4.0</v>
      </c>
      <c r="I712" s="74">
        <v>1.0</v>
      </c>
      <c r="J712" s="74" t="s">
        <v>11202</v>
      </c>
      <c r="K712" s="119"/>
      <c r="L712" s="74" t="s">
        <v>3931</v>
      </c>
      <c r="M712" s="74" t="s">
        <v>3931</v>
      </c>
      <c r="N712" s="119"/>
      <c r="O712" s="119"/>
      <c r="P712" s="74" t="s">
        <v>4383</v>
      </c>
      <c r="Q712" s="74" t="s">
        <v>12032</v>
      </c>
      <c r="R712" s="74">
        <v>22.545502</v>
      </c>
      <c r="S712" s="74">
        <v>88.3809633</v>
      </c>
      <c r="T712" s="74">
        <v>-52.7999992370605</v>
      </c>
      <c r="U712" s="74">
        <v>5.0</v>
      </c>
      <c r="V712" s="74">
        <v>1.0</v>
      </c>
      <c r="W712" s="74">
        <v>0.0</v>
      </c>
      <c r="X712" s="74">
        <v>1.0</v>
      </c>
      <c r="Y712" s="119"/>
      <c r="Z712" s="119"/>
      <c r="AA712" s="74">
        <v>1.0</v>
      </c>
      <c r="AB712" s="74">
        <v>4.0</v>
      </c>
      <c r="AC712" s="119"/>
      <c r="AD712" s="119"/>
      <c r="AE712" s="119"/>
      <c r="AF712" s="119"/>
      <c r="AG712" s="119"/>
      <c r="AH712" s="119"/>
      <c r="AI712" s="119"/>
      <c r="AJ712" s="119"/>
      <c r="AK712" s="119"/>
      <c r="AL712" s="119"/>
      <c r="AM712" s="119"/>
      <c r="AN712" s="119"/>
      <c r="AO712" s="119"/>
      <c r="AP712" s="119"/>
      <c r="AQ712" s="74" t="s">
        <v>3388</v>
      </c>
      <c r="AR712" s="74" t="s">
        <v>2899</v>
      </c>
      <c r="AS712" s="74">
        <v>1.0</v>
      </c>
      <c r="AT712" s="74" t="s">
        <v>5540</v>
      </c>
      <c r="AU712" s="120">
        <v>7960.0</v>
      </c>
      <c r="AV712" s="74" t="s">
        <v>12038</v>
      </c>
      <c r="AW712" s="74" t="s">
        <v>12040</v>
      </c>
      <c r="AX712" s="120">
        <v>711.0</v>
      </c>
    </row>
    <row r="713">
      <c r="A713" s="74" t="s">
        <v>12044</v>
      </c>
      <c r="B713" s="74" t="s">
        <v>12045</v>
      </c>
      <c r="C713" s="119"/>
      <c r="D713" s="119"/>
      <c r="E713" s="74">
        <v>3.52155090281144E14</v>
      </c>
      <c r="F713" s="74">
        <v>59.0</v>
      </c>
      <c r="G713" s="74">
        <v>99.0</v>
      </c>
      <c r="H713" s="119"/>
      <c r="I713" s="119"/>
      <c r="J713" s="119"/>
      <c r="K713" s="74">
        <v>2.0</v>
      </c>
      <c r="L713" s="74" t="s">
        <v>3938</v>
      </c>
      <c r="M713" s="74" t="s">
        <v>3938</v>
      </c>
      <c r="N713" s="119"/>
      <c r="O713" s="119"/>
      <c r="P713" s="74" t="s">
        <v>12048</v>
      </c>
      <c r="Q713" s="74" t="s">
        <v>12049</v>
      </c>
      <c r="R713" s="74">
        <v>22.5454136</v>
      </c>
      <c r="S713" s="74">
        <v>88.3809533</v>
      </c>
      <c r="T713" s="74">
        <v>-31.1000003814697</v>
      </c>
      <c r="U713" s="74">
        <v>5.0</v>
      </c>
      <c r="V713" s="74">
        <v>1.0</v>
      </c>
      <c r="W713" s="74">
        <v>0.0</v>
      </c>
      <c r="X713" s="74">
        <v>1.0</v>
      </c>
      <c r="Y713" s="119"/>
      <c r="Z713" s="119"/>
      <c r="AA713" s="119"/>
      <c r="AB713" s="119"/>
      <c r="AC713" s="119"/>
      <c r="AD713" s="119"/>
      <c r="AE713" s="119"/>
      <c r="AF713" s="119"/>
      <c r="AG713" s="119"/>
      <c r="AH713" s="119"/>
      <c r="AI713" s="119"/>
      <c r="AJ713" s="119"/>
      <c r="AK713" s="119"/>
      <c r="AL713" s="119"/>
      <c r="AM713" s="119"/>
      <c r="AN713" s="119"/>
      <c r="AO713" s="119"/>
      <c r="AP713" s="119"/>
      <c r="AQ713" s="74" t="s">
        <v>12055</v>
      </c>
      <c r="AR713" s="74" t="s">
        <v>2899</v>
      </c>
      <c r="AS713" s="119"/>
      <c r="AT713" s="74" t="s">
        <v>5540</v>
      </c>
      <c r="AU713" s="120">
        <v>7961.0</v>
      </c>
      <c r="AV713" s="74" t="s">
        <v>12056</v>
      </c>
      <c r="AW713" s="74" t="s">
        <v>12057</v>
      </c>
      <c r="AX713" s="120">
        <v>712.0</v>
      </c>
    </row>
    <row r="714">
      <c r="A714" s="74" t="s">
        <v>12058</v>
      </c>
      <c r="B714" s="74" t="s">
        <v>12059</v>
      </c>
      <c r="C714" s="119"/>
      <c r="D714" s="119"/>
      <c r="E714" s="74">
        <v>3.5215509147374E14</v>
      </c>
      <c r="F714" s="74">
        <v>59.0</v>
      </c>
      <c r="G714" s="74">
        <v>11.0</v>
      </c>
      <c r="H714" s="74">
        <v>4.0</v>
      </c>
      <c r="I714" s="74">
        <v>1.0</v>
      </c>
      <c r="J714" s="74" t="s">
        <v>11202</v>
      </c>
      <c r="K714" s="119"/>
      <c r="L714" s="74" t="s">
        <v>4000</v>
      </c>
      <c r="M714" s="74" t="s">
        <v>4000</v>
      </c>
      <c r="N714" s="119"/>
      <c r="O714" s="119"/>
      <c r="P714" s="74" t="s">
        <v>12065</v>
      </c>
      <c r="Q714" s="74" t="s">
        <v>12066</v>
      </c>
      <c r="R714" s="74">
        <v>22.5454356</v>
      </c>
      <c r="S714" s="74">
        <v>88.3810412</v>
      </c>
      <c r="T714" s="74">
        <v>-46.099998474121</v>
      </c>
      <c r="U714" s="74">
        <v>5.0</v>
      </c>
      <c r="V714" s="74">
        <v>1.0</v>
      </c>
      <c r="W714" s="74">
        <v>0.0</v>
      </c>
      <c r="X714" s="74">
        <v>0.0</v>
      </c>
      <c r="Y714" s="74">
        <v>1.0</v>
      </c>
      <c r="Z714" s="119"/>
      <c r="AA714" s="74">
        <v>2.0</v>
      </c>
      <c r="AB714" s="74">
        <v>4.0</v>
      </c>
      <c r="AC714" s="119"/>
      <c r="AD714" s="119"/>
      <c r="AE714" s="119"/>
      <c r="AF714" s="119"/>
      <c r="AG714" s="119"/>
      <c r="AH714" s="119"/>
      <c r="AI714" s="119"/>
      <c r="AJ714" s="119"/>
      <c r="AK714" s="119"/>
      <c r="AL714" s="119"/>
      <c r="AM714" s="119"/>
      <c r="AN714" s="119"/>
      <c r="AO714" s="119"/>
      <c r="AP714" s="119"/>
      <c r="AQ714" s="74" t="s">
        <v>3149</v>
      </c>
      <c r="AR714" s="74" t="s">
        <v>2472</v>
      </c>
      <c r="AS714" s="74">
        <v>1.0</v>
      </c>
      <c r="AT714" s="74" t="s">
        <v>5540</v>
      </c>
      <c r="AU714" s="120">
        <v>8006.0</v>
      </c>
      <c r="AV714" s="74" t="s">
        <v>12072</v>
      </c>
      <c r="AW714" s="74" t="s">
        <v>12073</v>
      </c>
      <c r="AX714" s="120">
        <v>713.0</v>
      </c>
    </row>
    <row r="715">
      <c r="A715" s="74" t="s">
        <v>12074</v>
      </c>
      <c r="B715" s="74" t="s">
        <v>12075</v>
      </c>
      <c r="C715" s="119"/>
      <c r="D715" s="119"/>
      <c r="E715" s="74">
        <v>3.5215509147374E14</v>
      </c>
      <c r="F715" s="74">
        <v>59.0</v>
      </c>
      <c r="G715" s="74">
        <v>99.0</v>
      </c>
      <c r="H715" s="119"/>
      <c r="I715" s="119"/>
      <c r="J715" s="119"/>
      <c r="K715" s="74">
        <v>2.0</v>
      </c>
      <c r="L715" s="74" t="s">
        <v>4001</v>
      </c>
      <c r="M715" s="74" t="s">
        <v>4001</v>
      </c>
      <c r="N715" s="119"/>
      <c r="O715" s="119"/>
      <c r="P715" s="74" t="s">
        <v>12080</v>
      </c>
      <c r="Q715" s="74" t="s">
        <v>12081</v>
      </c>
      <c r="R715" s="74">
        <v>22.5454394</v>
      </c>
      <c r="S715" s="74">
        <v>88.3810072</v>
      </c>
      <c r="T715" s="74">
        <v>-72.0</v>
      </c>
      <c r="U715" s="74">
        <v>5.0</v>
      </c>
      <c r="V715" s="74">
        <v>1.0</v>
      </c>
      <c r="W715" s="74">
        <v>0.0</v>
      </c>
      <c r="X715" s="74">
        <v>0.0</v>
      </c>
      <c r="Y715" s="74">
        <v>1.0</v>
      </c>
      <c r="Z715" s="119"/>
      <c r="AA715" s="119"/>
      <c r="AB715" s="119"/>
      <c r="AC715" s="119"/>
      <c r="AD715" s="119"/>
      <c r="AE715" s="119"/>
      <c r="AF715" s="119"/>
      <c r="AG715" s="119"/>
      <c r="AH715" s="119"/>
      <c r="AI715" s="119"/>
      <c r="AJ715" s="119"/>
      <c r="AK715" s="119"/>
      <c r="AL715" s="119"/>
      <c r="AM715" s="119"/>
      <c r="AN715" s="119"/>
      <c r="AO715" s="119"/>
      <c r="AP715" s="119"/>
      <c r="AQ715" s="74" t="s">
        <v>12086</v>
      </c>
      <c r="AR715" s="74" t="s">
        <v>2472</v>
      </c>
      <c r="AS715" s="119"/>
      <c r="AT715" s="74" t="s">
        <v>5540</v>
      </c>
      <c r="AU715" s="120">
        <v>8007.0</v>
      </c>
      <c r="AV715" s="74" t="s">
        <v>12088</v>
      </c>
      <c r="AW715" s="74" t="s">
        <v>12089</v>
      </c>
      <c r="AX715" s="120">
        <v>714.0</v>
      </c>
    </row>
    <row r="716">
      <c r="A716" s="74" t="s">
        <v>12090</v>
      </c>
      <c r="B716" s="74" t="s">
        <v>12091</v>
      </c>
      <c r="C716" s="119"/>
      <c r="D716" s="119"/>
      <c r="E716" s="74">
        <v>3.5215509147374E14</v>
      </c>
      <c r="F716" s="74">
        <v>59.0</v>
      </c>
      <c r="G716" s="74">
        <v>11.0</v>
      </c>
      <c r="H716" s="74">
        <v>4.0</v>
      </c>
      <c r="I716" s="74">
        <v>1.0</v>
      </c>
      <c r="J716" s="74" t="s">
        <v>11425</v>
      </c>
      <c r="K716" s="119"/>
      <c r="L716" s="74" t="s">
        <v>4009</v>
      </c>
      <c r="M716" s="74" t="s">
        <v>4009</v>
      </c>
      <c r="N716" s="119"/>
      <c r="O716" s="119"/>
      <c r="P716" s="74" t="s">
        <v>12095</v>
      </c>
      <c r="Q716" s="74" t="s">
        <v>12096</v>
      </c>
      <c r="R716" s="74">
        <v>22.54089</v>
      </c>
      <c r="S716" s="74">
        <v>88.3743978</v>
      </c>
      <c r="T716" s="74">
        <v>-67.8000030517578</v>
      </c>
      <c r="U716" s="74">
        <v>5.0</v>
      </c>
      <c r="V716" s="74">
        <v>1.0</v>
      </c>
      <c r="W716" s="74">
        <v>0.0</v>
      </c>
      <c r="X716" s="74">
        <v>0.0</v>
      </c>
      <c r="Y716" s="74">
        <v>1.0</v>
      </c>
      <c r="Z716" s="119"/>
      <c r="AA716" s="74">
        <v>1.0</v>
      </c>
      <c r="AB716" s="74">
        <v>4.0</v>
      </c>
      <c r="AC716" s="119"/>
      <c r="AD716" s="119"/>
      <c r="AE716" s="119"/>
      <c r="AF716" s="119"/>
      <c r="AG716" s="119"/>
      <c r="AH716" s="119"/>
      <c r="AI716" s="119"/>
      <c r="AJ716" s="119"/>
      <c r="AK716" s="119"/>
      <c r="AL716" s="119"/>
      <c r="AM716" s="119"/>
      <c r="AN716" s="119"/>
      <c r="AO716" s="119"/>
      <c r="AP716" s="119"/>
      <c r="AQ716" s="74" t="s">
        <v>2949</v>
      </c>
      <c r="AR716" s="74" t="s">
        <v>2302</v>
      </c>
      <c r="AS716" s="74">
        <v>1.0</v>
      </c>
      <c r="AT716" s="74" t="s">
        <v>5540</v>
      </c>
      <c r="AU716" s="120">
        <v>8008.0</v>
      </c>
      <c r="AV716" s="74" t="s">
        <v>12103</v>
      </c>
      <c r="AW716" s="74" t="s">
        <v>12104</v>
      </c>
      <c r="AX716" s="120">
        <v>715.0</v>
      </c>
    </row>
    <row r="717">
      <c r="A717" s="74" t="s">
        <v>12105</v>
      </c>
      <c r="B717" s="74" t="s">
        <v>12106</v>
      </c>
      <c r="C717" s="119"/>
      <c r="D717" s="119"/>
      <c r="E717" s="74">
        <v>3.5215509147374E14</v>
      </c>
      <c r="F717" s="74">
        <v>59.0</v>
      </c>
      <c r="G717" s="74">
        <v>99.0</v>
      </c>
      <c r="H717" s="119"/>
      <c r="I717" s="119"/>
      <c r="J717" s="119"/>
      <c r="K717" s="74">
        <v>2.0</v>
      </c>
      <c r="L717" s="74" t="s">
        <v>4015</v>
      </c>
      <c r="M717" s="74" t="s">
        <v>4015</v>
      </c>
      <c r="N717" s="119"/>
      <c r="O717" s="119"/>
      <c r="P717" s="74" t="s">
        <v>12107</v>
      </c>
      <c r="Q717" s="74" t="s">
        <v>12108</v>
      </c>
      <c r="R717" s="74">
        <v>22.5409232</v>
      </c>
      <c r="S717" s="74">
        <v>88.3743987</v>
      </c>
      <c r="T717" s="74">
        <v>-55.2999992370605</v>
      </c>
      <c r="U717" s="74">
        <v>5.0</v>
      </c>
      <c r="V717" s="74">
        <v>1.0</v>
      </c>
      <c r="W717" s="74">
        <v>0.0</v>
      </c>
      <c r="X717" s="74">
        <v>0.0</v>
      </c>
      <c r="Y717" s="74">
        <v>1.0</v>
      </c>
      <c r="Z717" s="119"/>
      <c r="AA717" s="119"/>
      <c r="AB717" s="119"/>
      <c r="AC717" s="119"/>
      <c r="AD717" s="119"/>
      <c r="AE717" s="119"/>
      <c r="AF717" s="119"/>
      <c r="AG717" s="119"/>
      <c r="AH717" s="119"/>
      <c r="AI717" s="119"/>
      <c r="AJ717" s="119"/>
      <c r="AK717" s="119"/>
      <c r="AL717" s="119"/>
      <c r="AM717" s="119"/>
      <c r="AN717" s="119"/>
      <c r="AO717" s="119"/>
      <c r="AP717" s="119"/>
      <c r="AQ717" s="74" t="s">
        <v>12112</v>
      </c>
      <c r="AR717" s="74" t="s">
        <v>2302</v>
      </c>
      <c r="AS717" s="119"/>
      <c r="AT717" s="74" t="s">
        <v>5540</v>
      </c>
      <c r="AU717" s="120">
        <v>8009.0</v>
      </c>
      <c r="AV717" s="74" t="s">
        <v>12113</v>
      </c>
      <c r="AW717" s="74" t="s">
        <v>12114</v>
      </c>
      <c r="AX717" s="120">
        <v>716.0</v>
      </c>
    </row>
    <row r="718">
      <c r="A718" s="74" t="s">
        <v>12115</v>
      </c>
      <c r="B718" s="74" t="s">
        <v>12117</v>
      </c>
      <c r="C718" s="119"/>
      <c r="D718" s="119"/>
      <c r="E718" s="74">
        <v>3.5215509147374E14</v>
      </c>
      <c r="F718" s="74">
        <v>59.0</v>
      </c>
      <c r="G718" s="74">
        <v>11.0</v>
      </c>
      <c r="H718" s="74">
        <v>4.0</v>
      </c>
      <c r="I718" s="74">
        <v>1.0</v>
      </c>
      <c r="J718" s="74" t="s">
        <v>8348</v>
      </c>
      <c r="K718" s="119"/>
      <c r="L718" s="74" t="s">
        <v>4022</v>
      </c>
      <c r="M718" s="74" t="s">
        <v>4022</v>
      </c>
      <c r="N718" s="119"/>
      <c r="O718" s="119"/>
      <c r="P718" s="74" t="s">
        <v>12120</v>
      </c>
      <c r="Q718" s="74" t="s">
        <v>12122</v>
      </c>
      <c r="R718" s="74">
        <v>22.5415947</v>
      </c>
      <c r="S718" s="74">
        <v>88.3753668</v>
      </c>
      <c r="T718" s="74">
        <v>-44.099998474121</v>
      </c>
      <c r="U718" s="74">
        <v>5.0</v>
      </c>
      <c r="V718" s="74">
        <v>1.0</v>
      </c>
      <c r="W718" s="74">
        <v>0.0</v>
      </c>
      <c r="X718" s="74">
        <v>0.0</v>
      </c>
      <c r="Y718" s="74">
        <v>1.0</v>
      </c>
      <c r="Z718" s="119"/>
      <c r="AA718" s="74">
        <v>1.0</v>
      </c>
      <c r="AB718" s="74">
        <v>4.0</v>
      </c>
      <c r="AC718" s="119"/>
      <c r="AD718" s="119"/>
      <c r="AE718" s="119"/>
      <c r="AF718" s="119"/>
      <c r="AG718" s="119"/>
      <c r="AH718" s="119"/>
      <c r="AI718" s="119"/>
      <c r="AJ718" s="119"/>
      <c r="AK718" s="119"/>
      <c r="AL718" s="119"/>
      <c r="AM718" s="119"/>
      <c r="AN718" s="119"/>
      <c r="AO718" s="119"/>
      <c r="AP718" s="119"/>
      <c r="AQ718" s="74" t="s">
        <v>3149</v>
      </c>
      <c r="AR718" s="74" t="s">
        <v>2472</v>
      </c>
      <c r="AS718" s="74">
        <v>1.0</v>
      </c>
      <c r="AT718" s="74" t="s">
        <v>5540</v>
      </c>
      <c r="AU718" s="120">
        <v>8010.0</v>
      </c>
      <c r="AV718" s="74" t="s">
        <v>12123</v>
      </c>
      <c r="AW718" s="74" t="s">
        <v>12124</v>
      </c>
      <c r="AX718" s="120">
        <v>717.0</v>
      </c>
    </row>
    <row r="719">
      <c r="A719" s="74" t="s">
        <v>12127</v>
      </c>
      <c r="B719" s="74" t="s">
        <v>12128</v>
      </c>
      <c r="C719" s="119"/>
      <c r="D719" s="119"/>
      <c r="E719" s="74">
        <v>3.5215509147374E14</v>
      </c>
      <c r="F719" s="74">
        <v>59.0</v>
      </c>
      <c r="G719" s="74">
        <v>99.0</v>
      </c>
      <c r="H719" s="119"/>
      <c r="I719" s="119"/>
      <c r="J719" s="119"/>
      <c r="K719" s="74">
        <v>2.0</v>
      </c>
      <c r="L719" s="74" t="s">
        <v>4027</v>
      </c>
      <c r="M719" s="74" t="s">
        <v>4027</v>
      </c>
      <c r="N719" s="119"/>
      <c r="O719" s="119"/>
      <c r="P719" s="74" t="s">
        <v>12131</v>
      </c>
      <c r="Q719" s="74" t="s">
        <v>12132</v>
      </c>
      <c r="R719" s="74">
        <v>22.5415199</v>
      </c>
      <c r="S719" s="74">
        <v>88.3754156</v>
      </c>
      <c r="T719" s="74">
        <v>-53.4000015258789</v>
      </c>
      <c r="U719" s="74">
        <v>5.0</v>
      </c>
      <c r="V719" s="74">
        <v>1.0</v>
      </c>
      <c r="W719" s="74">
        <v>0.0</v>
      </c>
      <c r="X719" s="74">
        <v>0.0</v>
      </c>
      <c r="Y719" s="74">
        <v>1.0</v>
      </c>
      <c r="Z719" s="119"/>
      <c r="AA719" s="119"/>
      <c r="AB719" s="119"/>
      <c r="AC719" s="119"/>
      <c r="AD719" s="119"/>
      <c r="AE719" s="119"/>
      <c r="AF719" s="119"/>
      <c r="AG719" s="119"/>
      <c r="AH719" s="119"/>
      <c r="AI719" s="119"/>
      <c r="AJ719" s="119"/>
      <c r="AK719" s="119"/>
      <c r="AL719" s="119"/>
      <c r="AM719" s="119"/>
      <c r="AN719" s="119"/>
      <c r="AO719" s="119"/>
      <c r="AP719" s="119"/>
      <c r="AQ719" s="74" t="s">
        <v>12140</v>
      </c>
      <c r="AR719" s="74" t="s">
        <v>2472</v>
      </c>
      <c r="AS719" s="119"/>
      <c r="AT719" s="74" t="s">
        <v>5540</v>
      </c>
      <c r="AU719" s="120">
        <v>8011.0</v>
      </c>
      <c r="AV719" s="74" t="s">
        <v>12141</v>
      </c>
      <c r="AW719" s="74" t="s">
        <v>12142</v>
      </c>
      <c r="AX719" s="120">
        <v>718.0</v>
      </c>
    </row>
    <row r="720">
      <c r="A720" s="74" t="s">
        <v>12144</v>
      </c>
      <c r="B720" s="74" t="s">
        <v>12145</v>
      </c>
      <c r="C720" s="119"/>
      <c r="D720" s="119"/>
      <c r="E720" s="74">
        <v>3.5215509147374E14</v>
      </c>
      <c r="F720" s="74">
        <v>59.0</v>
      </c>
      <c r="G720" s="74">
        <v>11.0</v>
      </c>
      <c r="H720" s="74">
        <v>4.0</v>
      </c>
      <c r="I720" s="74">
        <v>1.0</v>
      </c>
      <c r="J720" s="74" t="s">
        <v>11552</v>
      </c>
      <c r="K720" s="119"/>
      <c r="L720" s="74" t="s">
        <v>4035</v>
      </c>
      <c r="M720" s="74" t="s">
        <v>4035</v>
      </c>
      <c r="N720" s="119"/>
      <c r="O720" s="119"/>
      <c r="P720" s="74" t="s">
        <v>12149</v>
      </c>
      <c r="Q720" s="74" t="s">
        <v>12150</v>
      </c>
      <c r="R720" s="74">
        <v>22.5414973</v>
      </c>
      <c r="S720" s="74">
        <v>88.3748862</v>
      </c>
      <c r="T720" s="74">
        <v>-48.2000007629394</v>
      </c>
      <c r="U720" s="74">
        <v>5.0</v>
      </c>
      <c r="V720" s="74">
        <v>1.0</v>
      </c>
      <c r="W720" s="74">
        <v>0.0</v>
      </c>
      <c r="X720" s="74">
        <v>0.0</v>
      </c>
      <c r="Y720" s="74">
        <v>1.0</v>
      </c>
      <c r="Z720" s="119"/>
      <c r="AA720" s="74">
        <v>2.0</v>
      </c>
      <c r="AB720" s="74">
        <v>4.0</v>
      </c>
      <c r="AC720" s="119"/>
      <c r="AD720" s="119"/>
      <c r="AE720" s="119"/>
      <c r="AF720" s="119"/>
      <c r="AG720" s="119"/>
      <c r="AH720" s="119"/>
      <c r="AI720" s="119"/>
      <c r="AJ720" s="119"/>
      <c r="AK720" s="119"/>
      <c r="AL720" s="119"/>
      <c r="AM720" s="119"/>
      <c r="AN720" s="119"/>
      <c r="AO720" s="119"/>
      <c r="AP720" s="119"/>
      <c r="AQ720" s="74" t="s">
        <v>3200</v>
      </c>
      <c r="AR720" s="74" t="s">
        <v>2327</v>
      </c>
      <c r="AS720" s="74">
        <v>1.0</v>
      </c>
      <c r="AT720" s="74" t="s">
        <v>5540</v>
      </c>
      <c r="AU720" s="120">
        <v>8012.0</v>
      </c>
      <c r="AV720" s="74" t="s">
        <v>12155</v>
      </c>
      <c r="AW720" s="74" t="s">
        <v>12156</v>
      </c>
      <c r="AX720" s="120">
        <v>719.0</v>
      </c>
    </row>
    <row r="721">
      <c r="A721" s="74" t="s">
        <v>12157</v>
      </c>
      <c r="B721" s="74" t="s">
        <v>12158</v>
      </c>
      <c r="C721" s="119"/>
      <c r="D721" s="119"/>
      <c r="E721" s="74">
        <v>3.5215509147374E14</v>
      </c>
      <c r="F721" s="74">
        <v>59.0</v>
      </c>
      <c r="G721" s="74">
        <v>99.0</v>
      </c>
      <c r="H721" s="119"/>
      <c r="I721" s="119"/>
      <c r="J721" s="119"/>
      <c r="K721" s="74">
        <v>2.0</v>
      </c>
      <c r="L721" s="74" t="s">
        <v>4042</v>
      </c>
      <c r="M721" s="74" t="s">
        <v>4042</v>
      </c>
      <c r="N721" s="119"/>
      <c r="O721" s="119"/>
      <c r="P721" s="74" t="s">
        <v>12161</v>
      </c>
      <c r="Q721" s="74" t="s">
        <v>12162</v>
      </c>
      <c r="R721" s="74">
        <v>22.5415258</v>
      </c>
      <c r="S721" s="74">
        <v>88.3749105</v>
      </c>
      <c r="T721" s="74">
        <v>-59.0</v>
      </c>
      <c r="U721" s="74">
        <v>5.0</v>
      </c>
      <c r="V721" s="74">
        <v>1.0</v>
      </c>
      <c r="W721" s="74">
        <v>0.0</v>
      </c>
      <c r="X721" s="74">
        <v>0.0</v>
      </c>
      <c r="Y721" s="74">
        <v>1.0</v>
      </c>
      <c r="Z721" s="119"/>
      <c r="AA721" s="119"/>
      <c r="AB721" s="119"/>
      <c r="AC721" s="119"/>
      <c r="AD721" s="119"/>
      <c r="AE721" s="119"/>
      <c r="AF721" s="119"/>
      <c r="AG721" s="119"/>
      <c r="AH721" s="119"/>
      <c r="AI721" s="119"/>
      <c r="AJ721" s="119"/>
      <c r="AK721" s="119"/>
      <c r="AL721" s="119"/>
      <c r="AM721" s="119"/>
      <c r="AN721" s="119"/>
      <c r="AO721" s="119"/>
      <c r="AP721" s="119"/>
      <c r="AQ721" s="74" t="s">
        <v>12164</v>
      </c>
      <c r="AR721" s="74" t="s">
        <v>2327</v>
      </c>
      <c r="AS721" s="119"/>
      <c r="AT721" s="74" t="s">
        <v>5540</v>
      </c>
      <c r="AU721" s="120">
        <v>8013.0</v>
      </c>
      <c r="AV721" s="74" t="s">
        <v>12167</v>
      </c>
      <c r="AW721" s="74" t="s">
        <v>12168</v>
      </c>
      <c r="AX721" s="120">
        <v>720.0</v>
      </c>
    </row>
    <row r="722">
      <c r="A722" s="74" t="s">
        <v>12170</v>
      </c>
      <c r="B722" s="74" t="s">
        <v>12171</v>
      </c>
      <c r="C722" s="119"/>
      <c r="D722" s="119"/>
      <c r="E722" s="74">
        <v>3.5215509147374E14</v>
      </c>
      <c r="F722" s="74">
        <v>59.0</v>
      </c>
      <c r="G722" s="74">
        <v>11.0</v>
      </c>
      <c r="H722" s="74">
        <v>4.0</v>
      </c>
      <c r="I722" s="74">
        <v>1.0</v>
      </c>
      <c r="J722" s="74" t="s">
        <v>9111</v>
      </c>
      <c r="K722" s="119"/>
      <c r="L722" s="74" t="s">
        <v>4050</v>
      </c>
      <c r="M722" s="74" t="s">
        <v>4050</v>
      </c>
      <c r="N722" s="119"/>
      <c r="O722" s="119"/>
      <c r="P722" s="74" t="s">
        <v>12176</v>
      </c>
      <c r="Q722" s="74" t="s">
        <v>12177</v>
      </c>
      <c r="R722" s="74">
        <v>22.5413657</v>
      </c>
      <c r="S722" s="74">
        <v>88.3758792</v>
      </c>
      <c r="T722" s="74">
        <v>-1.5</v>
      </c>
      <c r="U722" s="74">
        <v>5.0</v>
      </c>
      <c r="V722" s="74">
        <v>1.0</v>
      </c>
      <c r="W722" s="74">
        <v>0.0</v>
      </c>
      <c r="X722" s="74">
        <v>0.0</v>
      </c>
      <c r="Y722" s="74">
        <v>1.0</v>
      </c>
      <c r="Z722" s="119"/>
      <c r="AA722" s="74">
        <v>1.0</v>
      </c>
      <c r="AB722" s="74">
        <v>4.0</v>
      </c>
      <c r="AC722" s="119"/>
      <c r="AD722" s="119"/>
      <c r="AE722" s="119"/>
      <c r="AF722" s="119"/>
      <c r="AG722" s="119"/>
      <c r="AH722" s="119"/>
      <c r="AI722" s="119"/>
      <c r="AJ722" s="119"/>
      <c r="AK722" s="119"/>
      <c r="AL722" s="119"/>
      <c r="AM722" s="119"/>
      <c r="AN722" s="119"/>
      <c r="AO722" s="119"/>
      <c r="AP722" s="119"/>
      <c r="AQ722" s="74" t="s">
        <v>2979</v>
      </c>
      <c r="AR722" s="74" t="s">
        <v>2286</v>
      </c>
      <c r="AS722" s="74">
        <v>1.0</v>
      </c>
      <c r="AT722" s="74" t="s">
        <v>5540</v>
      </c>
      <c r="AU722" s="120">
        <v>8014.0</v>
      </c>
      <c r="AV722" s="74" t="s">
        <v>12180</v>
      </c>
      <c r="AW722" s="74" t="s">
        <v>12181</v>
      </c>
      <c r="AX722" s="120">
        <v>721.0</v>
      </c>
    </row>
    <row r="723">
      <c r="A723" s="74" t="s">
        <v>12182</v>
      </c>
      <c r="B723" s="74" t="s">
        <v>12183</v>
      </c>
      <c r="C723" s="119"/>
      <c r="D723" s="119"/>
      <c r="E723" s="74">
        <v>3.5215509147374E14</v>
      </c>
      <c r="F723" s="74">
        <v>59.0</v>
      </c>
      <c r="G723" s="74">
        <v>99.0</v>
      </c>
      <c r="H723" s="119"/>
      <c r="I723" s="119"/>
      <c r="J723" s="119"/>
      <c r="K723" s="74">
        <v>2.0</v>
      </c>
      <c r="L723" s="74" t="s">
        <v>4056</v>
      </c>
      <c r="M723" s="74" t="s">
        <v>4056</v>
      </c>
      <c r="N723" s="119"/>
      <c r="O723" s="119"/>
      <c r="P723" s="74" t="s">
        <v>12187</v>
      </c>
      <c r="Q723" s="74" t="s">
        <v>12188</v>
      </c>
      <c r="R723" s="74">
        <v>22.5413934</v>
      </c>
      <c r="S723" s="74">
        <v>88.3760228</v>
      </c>
      <c r="T723" s="74">
        <v>-72.5999984741211</v>
      </c>
      <c r="U723" s="74">
        <v>5.0</v>
      </c>
      <c r="V723" s="74">
        <v>1.0</v>
      </c>
      <c r="W723" s="74">
        <v>0.0</v>
      </c>
      <c r="X723" s="74">
        <v>0.0</v>
      </c>
      <c r="Y723" s="74">
        <v>1.0</v>
      </c>
      <c r="Z723" s="119"/>
      <c r="AA723" s="119"/>
      <c r="AB723" s="119"/>
      <c r="AC723" s="119"/>
      <c r="AD723" s="119"/>
      <c r="AE723" s="119"/>
      <c r="AF723" s="119"/>
      <c r="AG723" s="119"/>
      <c r="AH723" s="119"/>
      <c r="AI723" s="119"/>
      <c r="AJ723" s="119"/>
      <c r="AK723" s="119"/>
      <c r="AL723" s="119"/>
      <c r="AM723" s="119"/>
      <c r="AN723" s="119"/>
      <c r="AO723" s="119"/>
      <c r="AP723" s="119"/>
      <c r="AQ723" s="74" t="s">
        <v>12190</v>
      </c>
      <c r="AR723" s="74" t="s">
        <v>2286</v>
      </c>
      <c r="AS723" s="119"/>
      <c r="AT723" s="74" t="s">
        <v>5540</v>
      </c>
      <c r="AU723" s="120">
        <v>8015.0</v>
      </c>
      <c r="AV723" s="74" t="s">
        <v>12191</v>
      </c>
      <c r="AW723" s="74" t="s">
        <v>12192</v>
      </c>
      <c r="AX723" s="120">
        <v>722.0</v>
      </c>
    </row>
    <row r="724">
      <c r="A724" s="74" t="s">
        <v>12193</v>
      </c>
      <c r="B724" s="74" t="s">
        <v>12194</v>
      </c>
      <c r="C724" s="119"/>
      <c r="D724" s="119"/>
      <c r="E724" s="74">
        <v>3.5215509147374E14</v>
      </c>
      <c r="F724" s="74">
        <v>55.0</v>
      </c>
      <c r="G724" s="74">
        <v>12.0</v>
      </c>
      <c r="H724" s="119"/>
      <c r="I724" s="119"/>
      <c r="J724" s="119"/>
      <c r="K724" s="119"/>
      <c r="L724" s="74" t="s">
        <v>4085</v>
      </c>
      <c r="M724" s="74" t="s">
        <v>4085</v>
      </c>
      <c r="N724" s="74">
        <v>4.0</v>
      </c>
      <c r="O724" s="74" t="s">
        <v>12195</v>
      </c>
      <c r="P724" s="119"/>
      <c r="Q724" s="74" t="s">
        <v>12196</v>
      </c>
      <c r="R724" s="74">
        <v>22.563638</v>
      </c>
      <c r="S724" s="74">
        <v>88.3772049</v>
      </c>
      <c r="T724" s="74">
        <v>-76.3000030517578</v>
      </c>
      <c r="U724" s="74">
        <v>5.0</v>
      </c>
      <c r="V724" s="74">
        <v>1.0</v>
      </c>
      <c r="W724" s="74">
        <v>0.0</v>
      </c>
      <c r="X724" s="74">
        <v>0.0</v>
      </c>
      <c r="Y724" s="74">
        <v>1.0</v>
      </c>
      <c r="Z724" s="119"/>
      <c r="AA724" s="119"/>
      <c r="AB724" s="119"/>
      <c r="AC724" s="119"/>
      <c r="AD724" s="119"/>
      <c r="AE724" s="74">
        <v>1.0</v>
      </c>
      <c r="AF724" s="74">
        <v>1.0</v>
      </c>
      <c r="AG724" s="74">
        <v>4.0</v>
      </c>
      <c r="AH724" s="74">
        <v>4.0</v>
      </c>
      <c r="AI724" s="119"/>
      <c r="AJ724" s="119"/>
      <c r="AK724" s="119"/>
      <c r="AL724" s="119"/>
      <c r="AM724" s="119"/>
      <c r="AN724" s="119"/>
      <c r="AO724" s="119"/>
      <c r="AP724" s="119"/>
      <c r="AQ724" s="74" t="s">
        <v>3149</v>
      </c>
      <c r="AR724" s="74" t="s">
        <v>2472</v>
      </c>
      <c r="AS724" s="74">
        <v>0.0</v>
      </c>
      <c r="AT724" s="74" t="s">
        <v>5540</v>
      </c>
      <c r="AU724" s="120">
        <v>8066.0</v>
      </c>
      <c r="AV724" s="74" t="s">
        <v>12202</v>
      </c>
      <c r="AW724" s="74" t="s">
        <v>12203</v>
      </c>
      <c r="AX724" s="120">
        <v>723.0</v>
      </c>
    </row>
    <row r="725">
      <c r="A725" s="74" t="s">
        <v>12204</v>
      </c>
      <c r="B725" s="74" t="s">
        <v>12205</v>
      </c>
      <c r="C725" s="119"/>
      <c r="D725" s="119"/>
      <c r="E725" s="74">
        <v>3.5215509147374E14</v>
      </c>
      <c r="F725" s="74">
        <v>55.0</v>
      </c>
      <c r="G725" s="74">
        <v>99.0</v>
      </c>
      <c r="H725" s="119"/>
      <c r="I725" s="119"/>
      <c r="J725" s="119"/>
      <c r="K725" s="74">
        <v>1.0</v>
      </c>
      <c r="L725" s="74" t="s">
        <v>4087</v>
      </c>
      <c r="M725" s="74" t="s">
        <v>4087</v>
      </c>
      <c r="N725" s="119"/>
      <c r="O725" s="119"/>
      <c r="P725" s="74" t="s">
        <v>3363</v>
      </c>
      <c r="Q725" s="74" t="s">
        <v>12209</v>
      </c>
      <c r="R725" s="74">
        <v>22.5636745</v>
      </c>
      <c r="S725" s="74">
        <v>88.3773134</v>
      </c>
      <c r="T725" s="74">
        <v>-42.0</v>
      </c>
      <c r="U725" s="74">
        <v>5.0</v>
      </c>
      <c r="V725" s="74">
        <v>1.0</v>
      </c>
      <c r="W725" s="74">
        <v>0.0</v>
      </c>
      <c r="X725" s="74">
        <v>0.0</v>
      </c>
      <c r="Y725" s="74">
        <v>1.0</v>
      </c>
      <c r="Z725" s="119"/>
      <c r="AA725" s="119"/>
      <c r="AB725" s="119"/>
      <c r="AC725" s="119"/>
      <c r="AD725" s="119"/>
      <c r="AE725" s="119"/>
      <c r="AF725" s="119"/>
      <c r="AG725" s="119"/>
      <c r="AH725" s="119"/>
      <c r="AI725" s="119"/>
      <c r="AJ725" s="119"/>
      <c r="AK725" s="119"/>
      <c r="AL725" s="119"/>
      <c r="AM725" s="119"/>
      <c r="AN725" s="119"/>
      <c r="AO725" s="119"/>
      <c r="AP725" s="119"/>
      <c r="AQ725" s="74" t="s">
        <v>12217</v>
      </c>
      <c r="AR725" s="74" t="s">
        <v>2472</v>
      </c>
      <c r="AS725" s="119"/>
      <c r="AT725" s="74" t="s">
        <v>5540</v>
      </c>
      <c r="AU725" s="120">
        <v>8067.0</v>
      </c>
      <c r="AV725" s="74" t="s">
        <v>12219</v>
      </c>
      <c r="AW725" s="74" t="s">
        <v>12220</v>
      </c>
      <c r="AX725" s="120">
        <v>724.0</v>
      </c>
    </row>
    <row r="726">
      <c r="A726" s="74" t="s">
        <v>12221</v>
      </c>
      <c r="B726" s="74" t="s">
        <v>12222</v>
      </c>
      <c r="C726" s="119"/>
      <c r="D726" s="119"/>
      <c r="E726" s="74">
        <v>3.5215509147374E14</v>
      </c>
      <c r="F726" s="74">
        <v>57.0</v>
      </c>
      <c r="G726" s="74">
        <v>12.0</v>
      </c>
      <c r="H726" s="119"/>
      <c r="I726" s="119"/>
      <c r="J726" s="119"/>
      <c r="K726" s="119"/>
      <c r="L726" s="74" t="s">
        <v>4101</v>
      </c>
      <c r="M726" s="74" t="s">
        <v>4101</v>
      </c>
      <c r="N726" s="74">
        <v>7.0</v>
      </c>
      <c r="O726" s="74" t="s">
        <v>12224</v>
      </c>
      <c r="P726" s="119"/>
      <c r="Q726" s="74" t="s">
        <v>12225</v>
      </c>
      <c r="R726" s="74">
        <v>22.5580842</v>
      </c>
      <c r="S726" s="74">
        <v>88.3895917</v>
      </c>
      <c r="T726" s="74">
        <v>-39.7999992370605</v>
      </c>
      <c r="U726" s="74">
        <v>5.0</v>
      </c>
      <c r="V726" s="74">
        <v>1.0</v>
      </c>
      <c r="W726" s="74">
        <v>0.0</v>
      </c>
      <c r="X726" s="74">
        <v>0.0</v>
      </c>
      <c r="Y726" s="74">
        <v>1.0</v>
      </c>
      <c r="Z726" s="119"/>
      <c r="AA726" s="119"/>
      <c r="AB726" s="119"/>
      <c r="AC726" s="119"/>
      <c r="AD726" s="119"/>
      <c r="AE726" s="74">
        <v>2.0</v>
      </c>
      <c r="AF726" s="74">
        <v>2.0</v>
      </c>
      <c r="AG726" s="74">
        <v>3.0</v>
      </c>
      <c r="AH726" s="74">
        <v>4.0</v>
      </c>
      <c r="AI726" s="119"/>
      <c r="AJ726" s="119"/>
      <c r="AK726" s="119"/>
      <c r="AL726" s="119"/>
      <c r="AM726" s="119"/>
      <c r="AN726" s="119"/>
      <c r="AO726" s="119"/>
      <c r="AP726" s="119"/>
      <c r="AQ726" s="74" t="s">
        <v>2949</v>
      </c>
      <c r="AR726" s="74" t="s">
        <v>2472</v>
      </c>
      <c r="AS726" s="74">
        <v>0.0</v>
      </c>
      <c r="AT726" s="74" t="s">
        <v>5540</v>
      </c>
      <c r="AU726" s="120">
        <v>8068.0</v>
      </c>
      <c r="AV726" s="74" t="s">
        <v>12228</v>
      </c>
      <c r="AW726" s="74" t="s">
        <v>12229</v>
      </c>
      <c r="AX726" s="120">
        <v>725.0</v>
      </c>
    </row>
    <row r="727">
      <c r="A727" s="74" t="s">
        <v>12231</v>
      </c>
      <c r="B727" s="74" t="s">
        <v>12232</v>
      </c>
      <c r="C727" s="119"/>
      <c r="D727" s="119"/>
      <c r="E727" s="74">
        <v>3.5215509147374E14</v>
      </c>
      <c r="F727" s="74">
        <v>57.0</v>
      </c>
      <c r="G727" s="74">
        <v>99.0</v>
      </c>
      <c r="H727" s="119"/>
      <c r="I727" s="119"/>
      <c r="J727" s="119"/>
      <c r="K727" s="74">
        <v>1.0</v>
      </c>
      <c r="L727" s="74" t="s">
        <v>4102</v>
      </c>
      <c r="M727" s="74" t="s">
        <v>4102</v>
      </c>
      <c r="N727" s="119"/>
      <c r="O727" s="119"/>
      <c r="P727" s="74" t="s">
        <v>12236</v>
      </c>
      <c r="Q727" s="74" t="s">
        <v>12238</v>
      </c>
      <c r="R727" s="74">
        <v>22.5580126</v>
      </c>
      <c r="S727" s="74">
        <v>88.3896729</v>
      </c>
      <c r="T727" s="74">
        <v>-39.7000007629394</v>
      </c>
      <c r="U727" s="74">
        <v>5.0</v>
      </c>
      <c r="V727" s="74">
        <v>1.0</v>
      </c>
      <c r="W727" s="74">
        <v>0.0</v>
      </c>
      <c r="X727" s="74">
        <v>0.0</v>
      </c>
      <c r="Y727" s="74">
        <v>1.0</v>
      </c>
      <c r="Z727" s="119"/>
      <c r="AA727" s="119"/>
      <c r="AB727" s="119"/>
      <c r="AC727" s="119"/>
      <c r="AD727" s="119"/>
      <c r="AE727" s="119"/>
      <c r="AF727" s="119"/>
      <c r="AG727" s="119"/>
      <c r="AH727" s="119"/>
      <c r="AI727" s="119"/>
      <c r="AJ727" s="119"/>
      <c r="AK727" s="119"/>
      <c r="AL727" s="119"/>
      <c r="AM727" s="119"/>
      <c r="AN727" s="119"/>
      <c r="AO727" s="119"/>
      <c r="AP727" s="119"/>
      <c r="AQ727" s="74" t="s">
        <v>12241</v>
      </c>
      <c r="AR727" s="74" t="s">
        <v>2472</v>
      </c>
      <c r="AS727" s="119"/>
      <c r="AT727" s="74" t="s">
        <v>5540</v>
      </c>
      <c r="AU727" s="120">
        <v>8069.0</v>
      </c>
      <c r="AV727" s="74" t="s">
        <v>12243</v>
      </c>
      <c r="AW727" s="74" t="s">
        <v>12244</v>
      </c>
      <c r="AX727" s="120">
        <v>726.0</v>
      </c>
    </row>
    <row r="728">
      <c r="A728" s="74" t="s">
        <v>12246</v>
      </c>
      <c r="B728" s="74" t="s">
        <v>12247</v>
      </c>
      <c r="C728" s="119"/>
      <c r="D728" s="119"/>
      <c r="E728" s="74">
        <v>3.5215509147374E14</v>
      </c>
      <c r="F728" s="74">
        <v>57.0</v>
      </c>
      <c r="G728" s="74">
        <v>11.0</v>
      </c>
      <c r="H728" s="74">
        <v>1.0</v>
      </c>
      <c r="I728" s="119"/>
      <c r="J728" s="119"/>
      <c r="K728" s="119"/>
      <c r="L728" s="74" t="s">
        <v>4168</v>
      </c>
      <c r="M728" s="74" t="s">
        <v>4168</v>
      </c>
      <c r="N728" s="119"/>
      <c r="O728" s="119"/>
      <c r="P728" s="74" t="s">
        <v>12249</v>
      </c>
      <c r="Q728" s="74" t="s">
        <v>12250</v>
      </c>
      <c r="R728" s="74">
        <v>22.5580345</v>
      </c>
      <c r="S728" s="74">
        <v>88.3895744</v>
      </c>
      <c r="T728" s="74">
        <v>-43.5</v>
      </c>
      <c r="U728" s="74">
        <v>4.5</v>
      </c>
      <c r="V728" s="74">
        <v>1.0</v>
      </c>
      <c r="W728" s="74">
        <v>0.0</v>
      </c>
      <c r="X728" s="74">
        <v>0.0</v>
      </c>
      <c r="Y728" s="74">
        <v>1.0</v>
      </c>
      <c r="Z728" s="119"/>
      <c r="AA728" s="74">
        <v>1.0</v>
      </c>
      <c r="AB728" s="74">
        <v>4.0</v>
      </c>
      <c r="AC728" s="119"/>
      <c r="AD728" s="119"/>
      <c r="AE728" s="119"/>
      <c r="AF728" s="119"/>
      <c r="AG728" s="119"/>
      <c r="AH728" s="119"/>
      <c r="AI728" s="119"/>
      <c r="AJ728" s="119"/>
      <c r="AK728" s="119"/>
      <c r="AL728" s="119"/>
      <c r="AM728" s="119"/>
      <c r="AN728" s="119"/>
      <c r="AO728" s="119"/>
      <c r="AP728" s="119"/>
      <c r="AQ728" s="74" t="s">
        <v>3149</v>
      </c>
      <c r="AR728" s="74" t="s">
        <v>2327</v>
      </c>
      <c r="AS728" s="74">
        <v>0.0</v>
      </c>
      <c r="AT728" s="74" t="s">
        <v>5540</v>
      </c>
      <c r="AU728" s="120">
        <v>8070.0</v>
      </c>
      <c r="AV728" s="74" t="s">
        <v>12254</v>
      </c>
      <c r="AW728" s="74" t="s">
        <v>12255</v>
      </c>
      <c r="AX728" s="120">
        <v>727.0</v>
      </c>
    </row>
    <row r="729">
      <c r="A729" s="74" t="s">
        <v>12256</v>
      </c>
      <c r="B729" s="74" t="s">
        <v>12257</v>
      </c>
      <c r="C729" s="119"/>
      <c r="D729" s="119"/>
      <c r="E729" s="74">
        <v>3.5215509147374E14</v>
      </c>
      <c r="F729" s="74">
        <v>57.0</v>
      </c>
      <c r="G729" s="74">
        <v>12.0</v>
      </c>
      <c r="H729" s="119"/>
      <c r="I729" s="119"/>
      <c r="J729" s="119"/>
      <c r="K729" s="119"/>
      <c r="L729" s="74" t="s">
        <v>4114</v>
      </c>
      <c r="M729" s="74" t="s">
        <v>4114</v>
      </c>
      <c r="N729" s="74">
        <v>3.0</v>
      </c>
      <c r="O729" s="74" t="s">
        <v>12259</v>
      </c>
      <c r="P729" s="119"/>
      <c r="Q729" s="74" t="s">
        <v>12260</v>
      </c>
      <c r="R729" s="74">
        <v>22.5563608</v>
      </c>
      <c r="S729" s="74">
        <v>88.3921584</v>
      </c>
      <c r="T729" s="74">
        <v>-52.099998474121</v>
      </c>
      <c r="U729" s="74">
        <v>5.0</v>
      </c>
      <c r="V729" s="74">
        <v>1.0</v>
      </c>
      <c r="W729" s="74">
        <v>0.0</v>
      </c>
      <c r="X729" s="74">
        <v>0.0</v>
      </c>
      <c r="Y729" s="74">
        <v>1.0</v>
      </c>
      <c r="Z729" s="119"/>
      <c r="AA729" s="119"/>
      <c r="AB729" s="119"/>
      <c r="AC729" s="119"/>
      <c r="AD729" s="119"/>
      <c r="AE729" s="74">
        <v>1.0</v>
      </c>
      <c r="AF729" s="74">
        <v>1.0</v>
      </c>
      <c r="AG729" s="74">
        <v>3.0</v>
      </c>
      <c r="AH729" s="74">
        <v>4.0</v>
      </c>
      <c r="AI729" s="119"/>
      <c r="AJ729" s="119"/>
      <c r="AK729" s="119"/>
      <c r="AL729" s="119"/>
      <c r="AM729" s="119"/>
      <c r="AN729" s="119"/>
      <c r="AO729" s="119"/>
      <c r="AP729" s="119"/>
      <c r="AQ729" s="74" t="s">
        <v>2979</v>
      </c>
      <c r="AR729" s="74" t="s">
        <v>2286</v>
      </c>
      <c r="AS729" s="74">
        <v>0.0</v>
      </c>
      <c r="AT729" s="74" t="s">
        <v>5540</v>
      </c>
      <c r="AU729" s="120">
        <v>8071.0</v>
      </c>
      <c r="AV729" s="74" t="s">
        <v>12265</v>
      </c>
      <c r="AW729" s="74" t="s">
        <v>12266</v>
      </c>
      <c r="AX729" s="120">
        <v>728.0</v>
      </c>
    </row>
    <row r="730">
      <c r="A730" s="74" t="s">
        <v>12267</v>
      </c>
      <c r="B730" s="74" t="s">
        <v>12269</v>
      </c>
      <c r="C730" s="119"/>
      <c r="D730" s="119"/>
      <c r="E730" s="74">
        <v>3.5215509147374E14</v>
      </c>
      <c r="F730" s="74">
        <v>57.0</v>
      </c>
      <c r="G730" s="74">
        <v>99.0</v>
      </c>
      <c r="H730" s="119"/>
      <c r="I730" s="119"/>
      <c r="J730" s="119"/>
      <c r="K730" s="74">
        <v>1.0</v>
      </c>
      <c r="L730" s="74" t="s">
        <v>4122</v>
      </c>
      <c r="M730" s="74" t="s">
        <v>4122</v>
      </c>
      <c r="N730" s="119"/>
      <c r="O730" s="119"/>
      <c r="P730" s="74" t="s">
        <v>12273</v>
      </c>
      <c r="Q730" s="74" t="s">
        <v>12274</v>
      </c>
      <c r="R730" s="74">
        <v>22.5563849</v>
      </c>
      <c r="S730" s="74">
        <v>88.392241</v>
      </c>
      <c r="T730" s="74">
        <v>-50.2000007629394</v>
      </c>
      <c r="U730" s="74">
        <v>5.0</v>
      </c>
      <c r="V730" s="74">
        <v>1.0</v>
      </c>
      <c r="W730" s="74">
        <v>0.0</v>
      </c>
      <c r="X730" s="74">
        <v>0.0</v>
      </c>
      <c r="Y730" s="74">
        <v>1.0</v>
      </c>
      <c r="Z730" s="119"/>
      <c r="AA730" s="119"/>
      <c r="AB730" s="119"/>
      <c r="AC730" s="119"/>
      <c r="AD730" s="119"/>
      <c r="AE730" s="119"/>
      <c r="AF730" s="119"/>
      <c r="AG730" s="119"/>
      <c r="AH730" s="119"/>
      <c r="AI730" s="119"/>
      <c r="AJ730" s="119"/>
      <c r="AK730" s="119"/>
      <c r="AL730" s="119"/>
      <c r="AM730" s="119"/>
      <c r="AN730" s="119"/>
      <c r="AO730" s="119"/>
      <c r="AP730" s="119"/>
      <c r="AQ730" s="74" t="s">
        <v>12277</v>
      </c>
      <c r="AR730" s="74" t="s">
        <v>2286</v>
      </c>
      <c r="AS730" s="119"/>
      <c r="AT730" s="74" t="s">
        <v>5540</v>
      </c>
      <c r="AU730" s="120">
        <v>8072.0</v>
      </c>
      <c r="AV730" s="74" t="s">
        <v>12278</v>
      </c>
      <c r="AW730" s="74" t="s">
        <v>12280</v>
      </c>
      <c r="AX730" s="120">
        <v>729.0</v>
      </c>
    </row>
    <row r="731">
      <c r="A731" s="74" t="s">
        <v>12281</v>
      </c>
      <c r="B731" s="74" t="s">
        <v>12282</v>
      </c>
      <c r="C731" s="119"/>
      <c r="D731" s="119"/>
      <c r="E731" s="74">
        <v>3.5215509147374E14</v>
      </c>
      <c r="F731" s="74">
        <v>57.0</v>
      </c>
      <c r="G731" s="74">
        <v>12.0</v>
      </c>
      <c r="H731" s="119"/>
      <c r="I731" s="119"/>
      <c r="J731" s="119"/>
      <c r="K731" s="119"/>
      <c r="L731" s="74" t="s">
        <v>4130</v>
      </c>
      <c r="M731" s="74" t="s">
        <v>4130</v>
      </c>
      <c r="N731" s="74">
        <v>1.0</v>
      </c>
      <c r="O731" s="74" t="s">
        <v>12283</v>
      </c>
      <c r="P731" s="119"/>
      <c r="Q731" s="74" t="s">
        <v>12284</v>
      </c>
      <c r="R731" s="74">
        <v>22.5579048</v>
      </c>
      <c r="S731" s="74">
        <v>88.4109464</v>
      </c>
      <c r="T731" s="74">
        <v>-33.0</v>
      </c>
      <c r="U731" s="74">
        <v>5.0</v>
      </c>
      <c r="V731" s="74">
        <v>1.0</v>
      </c>
      <c r="W731" s="74">
        <v>0.0</v>
      </c>
      <c r="X731" s="74">
        <v>0.0</v>
      </c>
      <c r="Y731" s="74">
        <v>1.0</v>
      </c>
      <c r="Z731" s="119"/>
      <c r="AA731" s="119"/>
      <c r="AB731" s="119"/>
      <c r="AC731" s="119"/>
      <c r="AD731" s="119"/>
      <c r="AE731" s="74">
        <v>2.0</v>
      </c>
      <c r="AF731" s="74">
        <v>1.0</v>
      </c>
      <c r="AG731" s="74">
        <v>4.0</v>
      </c>
      <c r="AH731" s="74">
        <v>4.0</v>
      </c>
      <c r="AI731" s="119"/>
      <c r="AJ731" s="119"/>
      <c r="AK731" s="119"/>
      <c r="AL731" s="119"/>
      <c r="AM731" s="119"/>
      <c r="AN731" s="119"/>
      <c r="AO731" s="119"/>
      <c r="AP731" s="119"/>
      <c r="AQ731" s="74" t="s">
        <v>2949</v>
      </c>
      <c r="AR731" s="74" t="s">
        <v>2286</v>
      </c>
      <c r="AS731" s="74">
        <v>0.0</v>
      </c>
      <c r="AT731" s="74" t="s">
        <v>5540</v>
      </c>
      <c r="AU731" s="120">
        <v>8073.0</v>
      </c>
      <c r="AV731" s="74" t="s">
        <v>12293</v>
      </c>
      <c r="AW731" s="74" t="s">
        <v>12294</v>
      </c>
      <c r="AX731" s="120">
        <v>730.0</v>
      </c>
    </row>
    <row r="732">
      <c r="A732" s="74" t="s">
        <v>12296</v>
      </c>
      <c r="B732" s="74" t="s">
        <v>12298</v>
      </c>
      <c r="C732" s="119"/>
      <c r="D732" s="119"/>
      <c r="E732" s="74">
        <v>3.5215509147374E14</v>
      </c>
      <c r="F732" s="74">
        <v>57.0</v>
      </c>
      <c r="G732" s="74">
        <v>99.0</v>
      </c>
      <c r="H732" s="119"/>
      <c r="I732" s="119"/>
      <c r="J732" s="119"/>
      <c r="K732" s="74">
        <v>1.0</v>
      </c>
      <c r="L732" s="74" t="s">
        <v>4137</v>
      </c>
      <c r="M732" s="74" t="s">
        <v>4137</v>
      </c>
      <c r="N732" s="119"/>
      <c r="O732" s="119"/>
      <c r="P732" s="74" t="s">
        <v>12301</v>
      </c>
      <c r="Q732" s="74" t="s">
        <v>12302</v>
      </c>
      <c r="R732" s="74">
        <v>22.5579321</v>
      </c>
      <c r="S732" s="74">
        <v>88.4109778</v>
      </c>
      <c r="T732" s="74">
        <v>-63.0</v>
      </c>
      <c r="U732" s="74">
        <v>5.0</v>
      </c>
      <c r="V732" s="74">
        <v>1.0</v>
      </c>
      <c r="W732" s="74">
        <v>0.0</v>
      </c>
      <c r="X732" s="74">
        <v>0.0</v>
      </c>
      <c r="Y732" s="74">
        <v>1.0</v>
      </c>
      <c r="Z732" s="119"/>
      <c r="AA732" s="119"/>
      <c r="AB732" s="119"/>
      <c r="AC732" s="119"/>
      <c r="AD732" s="119"/>
      <c r="AE732" s="119"/>
      <c r="AF732" s="119"/>
      <c r="AG732" s="119"/>
      <c r="AH732" s="119"/>
      <c r="AI732" s="119"/>
      <c r="AJ732" s="119"/>
      <c r="AK732" s="119"/>
      <c r="AL732" s="119"/>
      <c r="AM732" s="119"/>
      <c r="AN732" s="119"/>
      <c r="AO732" s="119"/>
      <c r="AP732" s="119"/>
      <c r="AQ732" s="74" t="s">
        <v>12308</v>
      </c>
      <c r="AR732" s="74" t="s">
        <v>2286</v>
      </c>
      <c r="AS732" s="119"/>
      <c r="AT732" s="74" t="s">
        <v>5540</v>
      </c>
      <c r="AU732" s="120">
        <v>8074.0</v>
      </c>
      <c r="AV732" s="74" t="s">
        <v>12309</v>
      </c>
      <c r="AW732" s="74" t="s">
        <v>12311</v>
      </c>
      <c r="AX732" s="120">
        <v>731.0</v>
      </c>
    </row>
    <row r="733">
      <c r="A733" s="74" t="s">
        <v>12312</v>
      </c>
      <c r="B733" s="74" t="s">
        <v>12314</v>
      </c>
      <c r="C733" s="119"/>
      <c r="D733" s="119"/>
      <c r="E733" s="74">
        <v>3.5215509147374E14</v>
      </c>
      <c r="F733" s="74">
        <v>6.0</v>
      </c>
      <c r="G733" s="74">
        <v>12.0</v>
      </c>
      <c r="H733" s="119"/>
      <c r="I733" s="119"/>
      <c r="J733" s="119"/>
      <c r="K733" s="119"/>
      <c r="L733" s="74" t="s">
        <v>4185</v>
      </c>
      <c r="M733" s="74" t="s">
        <v>4185</v>
      </c>
      <c r="N733" s="74">
        <v>13.0</v>
      </c>
      <c r="O733" s="74" t="s">
        <v>12321</v>
      </c>
      <c r="P733" s="119"/>
      <c r="Q733" s="74" t="s">
        <v>12322</v>
      </c>
      <c r="R733" s="74">
        <v>22.606078</v>
      </c>
      <c r="S733" s="74">
        <v>88.3734794</v>
      </c>
      <c r="T733" s="74">
        <v>-55.5</v>
      </c>
      <c r="U733" s="74">
        <v>5.0</v>
      </c>
      <c r="V733" s="74">
        <v>1.0</v>
      </c>
      <c r="W733" s="74">
        <v>0.0</v>
      </c>
      <c r="X733" s="74">
        <v>0.0</v>
      </c>
      <c r="Y733" s="74">
        <v>1.0</v>
      </c>
      <c r="Z733" s="119"/>
      <c r="AA733" s="119"/>
      <c r="AB733" s="119"/>
      <c r="AC733" s="119"/>
      <c r="AD733" s="119"/>
      <c r="AE733" s="74">
        <v>1.0</v>
      </c>
      <c r="AF733" s="74">
        <v>2.0</v>
      </c>
      <c r="AG733" s="74">
        <v>4.0</v>
      </c>
      <c r="AH733" s="74">
        <v>4.0</v>
      </c>
      <c r="AI733" s="119"/>
      <c r="AJ733" s="119"/>
      <c r="AK733" s="119"/>
      <c r="AL733" s="119"/>
      <c r="AM733" s="119"/>
      <c r="AN733" s="119"/>
      <c r="AO733" s="119"/>
      <c r="AP733" s="119"/>
      <c r="AQ733" s="74" t="s">
        <v>3200</v>
      </c>
      <c r="AR733" s="74" t="s">
        <v>2286</v>
      </c>
      <c r="AS733" s="74">
        <v>0.0</v>
      </c>
      <c r="AT733" s="74" t="s">
        <v>5540</v>
      </c>
      <c r="AU733" s="120">
        <v>8087.0</v>
      </c>
      <c r="AV733" s="74" t="s">
        <v>12330</v>
      </c>
      <c r="AW733" s="74" t="s">
        <v>12332</v>
      </c>
      <c r="AX733" s="120">
        <v>732.0</v>
      </c>
    </row>
    <row r="734">
      <c r="A734" s="74" t="s">
        <v>12333</v>
      </c>
      <c r="B734" s="74" t="s">
        <v>12334</v>
      </c>
      <c r="C734" s="119"/>
      <c r="D734" s="119"/>
      <c r="E734" s="74">
        <v>3.5215509147374E14</v>
      </c>
      <c r="F734" s="74">
        <v>6.0</v>
      </c>
      <c r="G734" s="74">
        <v>99.0</v>
      </c>
      <c r="H734" s="119"/>
      <c r="I734" s="119"/>
      <c r="J734" s="119"/>
      <c r="K734" s="74">
        <v>1.0</v>
      </c>
      <c r="L734" s="74" t="s">
        <v>4192</v>
      </c>
      <c r="M734" s="74" t="s">
        <v>4192</v>
      </c>
      <c r="N734" s="119"/>
      <c r="O734" s="119"/>
      <c r="P734" s="74" t="s">
        <v>12337</v>
      </c>
      <c r="Q734" s="74" t="s">
        <v>12338</v>
      </c>
      <c r="R734" s="74">
        <v>22.6061232</v>
      </c>
      <c r="S734" s="74">
        <v>88.3735651</v>
      </c>
      <c r="T734" s="74">
        <v>-50.5</v>
      </c>
      <c r="U734" s="74">
        <v>5.0</v>
      </c>
      <c r="V734" s="74">
        <v>1.0</v>
      </c>
      <c r="W734" s="74">
        <v>0.0</v>
      </c>
      <c r="X734" s="74">
        <v>0.0</v>
      </c>
      <c r="Y734" s="74">
        <v>1.0</v>
      </c>
      <c r="Z734" s="119"/>
      <c r="AA734" s="119"/>
      <c r="AB734" s="119"/>
      <c r="AC734" s="119"/>
      <c r="AD734" s="119"/>
      <c r="AE734" s="119"/>
      <c r="AF734" s="119"/>
      <c r="AG734" s="119"/>
      <c r="AH734" s="119"/>
      <c r="AI734" s="119"/>
      <c r="AJ734" s="119"/>
      <c r="AK734" s="119"/>
      <c r="AL734" s="119"/>
      <c r="AM734" s="119"/>
      <c r="AN734" s="119"/>
      <c r="AO734" s="119"/>
      <c r="AP734" s="119"/>
      <c r="AQ734" s="74" t="s">
        <v>12347</v>
      </c>
      <c r="AR734" s="74" t="s">
        <v>2286</v>
      </c>
      <c r="AS734" s="119"/>
      <c r="AT734" s="74" t="s">
        <v>5540</v>
      </c>
      <c r="AU734" s="120">
        <v>8088.0</v>
      </c>
      <c r="AV734" s="74" t="s">
        <v>12348</v>
      </c>
      <c r="AW734" s="74" t="s">
        <v>12349</v>
      </c>
      <c r="AX734" s="120">
        <v>733.0</v>
      </c>
    </row>
    <row r="735">
      <c r="A735" s="74" t="s">
        <v>12350</v>
      </c>
      <c r="B735" s="74" t="s">
        <v>12351</v>
      </c>
      <c r="C735" s="119"/>
      <c r="D735" s="119"/>
      <c r="E735" s="74">
        <v>3.5215509147374E14</v>
      </c>
      <c r="F735" s="74">
        <v>3.0</v>
      </c>
      <c r="G735" s="74">
        <v>12.0</v>
      </c>
      <c r="H735" s="119"/>
      <c r="I735" s="119"/>
      <c r="J735" s="119"/>
      <c r="K735" s="119"/>
      <c r="L735" s="74" t="s">
        <v>4206</v>
      </c>
      <c r="M735" s="74" t="s">
        <v>4206</v>
      </c>
      <c r="N735" s="74">
        <v>10.0</v>
      </c>
      <c r="O735" s="74" t="s">
        <v>12356</v>
      </c>
      <c r="P735" s="119"/>
      <c r="Q735" s="74" t="s">
        <v>12357</v>
      </c>
      <c r="R735" s="74">
        <v>22.6075881</v>
      </c>
      <c r="S735" s="74">
        <v>88.3923679</v>
      </c>
      <c r="T735" s="74">
        <v>-50.7000007629394</v>
      </c>
      <c r="U735" s="74">
        <v>5.0</v>
      </c>
      <c r="V735" s="74">
        <v>1.0</v>
      </c>
      <c r="W735" s="74">
        <v>0.0</v>
      </c>
      <c r="X735" s="74">
        <v>1.0</v>
      </c>
      <c r="Y735" s="119"/>
      <c r="Z735" s="119"/>
      <c r="AA735" s="119"/>
      <c r="AB735" s="119"/>
      <c r="AC735" s="119"/>
      <c r="AD735" s="119"/>
      <c r="AE735" s="74">
        <v>1.0</v>
      </c>
      <c r="AF735" s="74">
        <v>1.0</v>
      </c>
      <c r="AG735" s="74">
        <v>4.0</v>
      </c>
      <c r="AH735" s="74">
        <v>4.0</v>
      </c>
      <c r="AI735" s="119"/>
      <c r="AJ735" s="119"/>
      <c r="AK735" s="119"/>
      <c r="AL735" s="119"/>
      <c r="AM735" s="119"/>
      <c r="AN735" s="119"/>
      <c r="AO735" s="119"/>
      <c r="AP735" s="119"/>
      <c r="AQ735" s="74" t="s">
        <v>3149</v>
      </c>
      <c r="AR735" s="74" t="s">
        <v>2302</v>
      </c>
      <c r="AS735" s="74">
        <v>0.0</v>
      </c>
      <c r="AT735" s="74" t="s">
        <v>5540</v>
      </c>
      <c r="AU735" s="120">
        <v>8089.0</v>
      </c>
      <c r="AV735" s="74" t="s">
        <v>12359</v>
      </c>
      <c r="AW735" s="74" t="s">
        <v>12362</v>
      </c>
      <c r="AX735" s="120">
        <v>734.0</v>
      </c>
    </row>
    <row r="736">
      <c r="A736" s="74" t="s">
        <v>12363</v>
      </c>
      <c r="B736" s="74" t="s">
        <v>12365</v>
      </c>
      <c r="C736" s="119"/>
      <c r="D736" s="119"/>
      <c r="E736" s="74">
        <v>3.5215509147374E14</v>
      </c>
      <c r="F736" s="74">
        <v>3.0</v>
      </c>
      <c r="G736" s="74">
        <v>99.0</v>
      </c>
      <c r="H736" s="119"/>
      <c r="I736" s="119"/>
      <c r="J736" s="119"/>
      <c r="K736" s="74">
        <v>1.0</v>
      </c>
      <c r="L736" s="74" t="s">
        <v>4208</v>
      </c>
      <c r="M736" s="74" t="s">
        <v>4208</v>
      </c>
      <c r="N736" s="119"/>
      <c r="O736" s="119"/>
      <c r="P736" s="74" t="s">
        <v>12370</v>
      </c>
      <c r="Q736" s="74" t="s">
        <v>12371</v>
      </c>
      <c r="R736" s="74">
        <v>22.6076073</v>
      </c>
      <c r="S736" s="74">
        <v>88.3923517</v>
      </c>
      <c r="T736" s="74">
        <v>-58.5</v>
      </c>
      <c r="U736" s="74">
        <v>5.0</v>
      </c>
      <c r="V736" s="74">
        <v>1.0</v>
      </c>
      <c r="W736" s="74">
        <v>0.0</v>
      </c>
      <c r="X736" s="74">
        <v>0.0</v>
      </c>
      <c r="Y736" s="74">
        <v>1.0</v>
      </c>
      <c r="Z736" s="119"/>
      <c r="AA736" s="119"/>
      <c r="AB736" s="119"/>
      <c r="AC736" s="119"/>
      <c r="AD736" s="119"/>
      <c r="AE736" s="119"/>
      <c r="AF736" s="119"/>
      <c r="AG736" s="119"/>
      <c r="AH736" s="119"/>
      <c r="AI736" s="119"/>
      <c r="AJ736" s="119"/>
      <c r="AK736" s="119"/>
      <c r="AL736" s="119"/>
      <c r="AM736" s="119"/>
      <c r="AN736" s="119"/>
      <c r="AO736" s="119"/>
      <c r="AP736" s="119"/>
      <c r="AQ736" s="74" t="s">
        <v>12375</v>
      </c>
      <c r="AR736" s="74" t="s">
        <v>2302</v>
      </c>
      <c r="AS736" s="119"/>
      <c r="AT736" s="74" t="s">
        <v>5540</v>
      </c>
      <c r="AU736" s="120">
        <v>8090.0</v>
      </c>
      <c r="AV736" s="74" t="s">
        <v>12377</v>
      </c>
      <c r="AW736" s="74" t="s">
        <v>12378</v>
      </c>
      <c r="AX736" s="120">
        <v>735.0</v>
      </c>
    </row>
    <row r="737">
      <c r="A737" s="74" t="s">
        <v>12380</v>
      </c>
      <c r="B737" s="74" t="s">
        <v>12381</v>
      </c>
      <c r="C737" s="119"/>
      <c r="D737" s="119"/>
      <c r="E737" s="74">
        <v>3.5215509147374E14</v>
      </c>
      <c r="F737" s="74">
        <v>29.0</v>
      </c>
      <c r="G737" s="74">
        <v>12.0</v>
      </c>
      <c r="H737" s="119"/>
      <c r="I737" s="119"/>
      <c r="J737" s="119"/>
      <c r="K737" s="119"/>
      <c r="L737" s="74" t="s">
        <v>4221</v>
      </c>
      <c r="M737" s="74" t="s">
        <v>4221</v>
      </c>
      <c r="N737" s="74">
        <v>12.0</v>
      </c>
      <c r="O737" s="74" t="s">
        <v>12386</v>
      </c>
      <c r="P737" s="119"/>
      <c r="Q737" s="74" t="s">
        <v>12387</v>
      </c>
      <c r="R737" s="74">
        <v>22.6041576</v>
      </c>
      <c r="S737" s="74">
        <v>88.4165914</v>
      </c>
      <c r="T737" s="74">
        <v>-41.2999992370605</v>
      </c>
      <c r="U737" s="74">
        <v>5.0</v>
      </c>
      <c r="V737" s="74">
        <v>1.0</v>
      </c>
      <c r="W737" s="74">
        <v>0.0</v>
      </c>
      <c r="X737" s="74">
        <v>0.0</v>
      </c>
      <c r="Y737" s="74">
        <v>1.0</v>
      </c>
      <c r="Z737" s="119"/>
      <c r="AA737" s="119"/>
      <c r="AB737" s="119"/>
      <c r="AC737" s="119"/>
      <c r="AD737" s="119"/>
      <c r="AE737" s="74">
        <v>1.0</v>
      </c>
      <c r="AF737" s="74">
        <v>1.0</v>
      </c>
      <c r="AG737" s="74">
        <v>3.0</v>
      </c>
      <c r="AH737" s="74">
        <v>4.0</v>
      </c>
      <c r="AI737" s="119"/>
      <c r="AJ737" s="119"/>
      <c r="AK737" s="119"/>
      <c r="AL737" s="119"/>
      <c r="AM737" s="119"/>
      <c r="AN737" s="119"/>
      <c r="AO737" s="119"/>
      <c r="AP737" s="119"/>
      <c r="AQ737" s="74" t="s">
        <v>12392</v>
      </c>
      <c r="AR737" s="74" t="s">
        <v>2286</v>
      </c>
      <c r="AS737" s="74">
        <v>0.0</v>
      </c>
      <c r="AT737" s="74" t="s">
        <v>5540</v>
      </c>
      <c r="AU737" s="120">
        <v>8091.0</v>
      </c>
      <c r="AV737" s="74" t="s">
        <v>12395</v>
      </c>
      <c r="AW737" s="74" t="s">
        <v>12396</v>
      </c>
      <c r="AX737" s="120">
        <v>736.0</v>
      </c>
    </row>
    <row r="738">
      <c r="A738" s="74" t="s">
        <v>12399</v>
      </c>
      <c r="B738" s="74" t="s">
        <v>12400</v>
      </c>
      <c r="C738" s="119"/>
      <c r="D738" s="119"/>
      <c r="E738" s="74">
        <v>3.5215509147374E14</v>
      </c>
      <c r="F738" s="74">
        <v>29.0</v>
      </c>
      <c r="G738" s="74">
        <v>99.0</v>
      </c>
      <c r="H738" s="119"/>
      <c r="I738" s="119"/>
      <c r="J738" s="119"/>
      <c r="K738" s="74">
        <v>1.0</v>
      </c>
      <c r="L738" s="74" t="s">
        <v>4224</v>
      </c>
      <c r="M738" s="74" t="s">
        <v>4224</v>
      </c>
      <c r="N738" s="119"/>
      <c r="O738" s="119"/>
      <c r="P738" s="74" t="s">
        <v>12404</v>
      </c>
      <c r="Q738" s="74" t="s">
        <v>12405</v>
      </c>
      <c r="R738" s="74">
        <v>22.6041829</v>
      </c>
      <c r="S738" s="74">
        <v>88.4167196</v>
      </c>
      <c r="T738" s="74">
        <v>-53.4000015258789</v>
      </c>
      <c r="U738" s="74">
        <v>5.0</v>
      </c>
      <c r="V738" s="74">
        <v>1.0</v>
      </c>
      <c r="W738" s="74">
        <v>0.0</v>
      </c>
      <c r="X738" s="74">
        <v>0.0</v>
      </c>
      <c r="Y738" s="74">
        <v>1.0</v>
      </c>
      <c r="Z738" s="119"/>
      <c r="AA738" s="119"/>
      <c r="AB738" s="119"/>
      <c r="AC738" s="119"/>
      <c r="AD738" s="119"/>
      <c r="AE738" s="119"/>
      <c r="AF738" s="119"/>
      <c r="AG738" s="119"/>
      <c r="AH738" s="119"/>
      <c r="AI738" s="119"/>
      <c r="AJ738" s="119"/>
      <c r="AK738" s="119"/>
      <c r="AL738" s="119"/>
      <c r="AM738" s="119"/>
      <c r="AN738" s="119"/>
      <c r="AO738" s="119"/>
      <c r="AP738" s="119"/>
      <c r="AQ738" s="74" t="s">
        <v>12410</v>
      </c>
      <c r="AR738" s="74" t="s">
        <v>2286</v>
      </c>
      <c r="AS738" s="119"/>
      <c r="AT738" s="74" t="s">
        <v>5540</v>
      </c>
      <c r="AU738" s="120">
        <v>8092.0</v>
      </c>
      <c r="AV738" s="74" t="s">
        <v>12411</v>
      </c>
      <c r="AW738" s="74" t="s">
        <v>12412</v>
      </c>
      <c r="AX738" s="120">
        <v>737.0</v>
      </c>
    </row>
    <row r="739">
      <c r="A739" s="74" t="s">
        <v>12413</v>
      </c>
      <c r="B739" s="74" t="s">
        <v>12414</v>
      </c>
      <c r="C739" s="119"/>
      <c r="D739" s="119"/>
      <c r="E739" s="74">
        <v>3.5215509147374E14</v>
      </c>
      <c r="F739" s="74">
        <v>58.0</v>
      </c>
      <c r="G739" s="74">
        <v>11.0</v>
      </c>
      <c r="H739" s="74">
        <v>4.0</v>
      </c>
      <c r="I739" s="74">
        <v>0.0</v>
      </c>
      <c r="J739" s="119"/>
      <c r="K739" s="119"/>
      <c r="L739" s="74" t="s">
        <v>4236</v>
      </c>
      <c r="M739" s="74" t="s">
        <v>4236</v>
      </c>
      <c r="N739" s="119"/>
      <c r="O739" s="119"/>
      <c r="P739" s="74" t="s">
        <v>12415</v>
      </c>
      <c r="Q739" s="74" t="s">
        <v>12416</v>
      </c>
      <c r="R739" s="74">
        <v>22.5541096</v>
      </c>
      <c r="S739" s="74">
        <v>88.3868101</v>
      </c>
      <c r="T739" s="74">
        <v>-38.099998474121</v>
      </c>
      <c r="U739" s="74">
        <v>5.0</v>
      </c>
      <c r="V739" s="74">
        <v>1.0</v>
      </c>
      <c r="W739" s="74">
        <v>0.0</v>
      </c>
      <c r="X739" s="74">
        <v>0.0</v>
      </c>
      <c r="Y739" s="74">
        <v>1.0</v>
      </c>
      <c r="Z739" s="119"/>
      <c r="AA739" s="74">
        <v>1.0</v>
      </c>
      <c r="AB739" s="74">
        <v>4.0</v>
      </c>
      <c r="AC739" s="119"/>
      <c r="AD739" s="119"/>
      <c r="AE739" s="119"/>
      <c r="AF739" s="119"/>
      <c r="AG739" s="119"/>
      <c r="AH739" s="119"/>
      <c r="AI739" s="119"/>
      <c r="AJ739" s="119"/>
      <c r="AK739" s="119"/>
      <c r="AL739" s="119"/>
      <c r="AM739" s="119"/>
      <c r="AN739" s="119"/>
      <c r="AO739" s="119"/>
      <c r="AP739" s="119"/>
      <c r="AQ739" s="74" t="s">
        <v>3149</v>
      </c>
      <c r="AR739" s="74" t="s">
        <v>2302</v>
      </c>
      <c r="AS739" s="74">
        <v>1.0</v>
      </c>
      <c r="AT739" s="74" t="s">
        <v>5540</v>
      </c>
      <c r="AU739" s="120">
        <v>8093.0</v>
      </c>
      <c r="AV739" s="74" t="s">
        <v>12424</v>
      </c>
      <c r="AW739" s="74" t="s">
        <v>12426</v>
      </c>
      <c r="AX739" s="120">
        <v>738.0</v>
      </c>
    </row>
    <row r="740">
      <c r="A740" s="74" t="s">
        <v>12427</v>
      </c>
      <c r="B740" s="74" t="s">
        <v>12428</v>
      </c>
      <c r="C740" s="119"/>
      <c r="D740" s="119"/>
      <c r="E740" s="74">
        <v>3.5215509147374E14</v>
      </c>
      <c r="F740" s="74">
        <v>58.0</v>
      </c>
      <c r="G740" s="74">
        <v>99.0</v>
      </c>
      <c r="H740" s="119"/>
      <c r="I740" s="119"/>
      <c r="J740" s="119"/>
      <c r="K740" s="74">
        <v>2.0</v>
      </c>
      <c r="L740" s="74" t="s">
        <v>4237</v>
      </c>
      <c r="M740" s="74" t="s">
        <v>4237</v>
      </c>
      <c r="N740" s="119"/>
      <c r="O740" s="119"/>
      <c r="P740" s="74" t="s">
        <v>12430</v>
      </c>
      <c r="Q740" s="74" t="s">
        <v>12431</v>
      </c>
      <c r="R740" s="74">
        <v>22.5541134</v>
      </c>
      <c r="S740" s="74">
        <v>88.3867416</v>
      </c>
      <c r="T740" s="74">
        <v>-42.099998474121</v>
      </c>
      <c r="U740" s="74">
        <v>5.0</v>
      </c>
      <c r="V740" s="74">
        <v>1.0</v>
      </c>
      <c r="W740" s="74">
        <v>0.0</v>
      </c>
      <c r="X740" s="74">
        <v>0.0</v>
      </c>
      <c r="Y740" s="74">
        <v>1.0</v>
      </c>
      <c r="Z740" s="119"/>
      <c r="AA740" s="119"/>
      <c r="AB740" s="119"/>
      <c r="AC740" s="119"/>
      <c r="AD740" s="119"/>
      <c r="AE740" s="119"/>
      <c r="AF740" s="119"/>
      <c r="AG740" s="119"/>
      <c r="AH740" s="119"/>
      <c r="AI740" s="119"/>
      <c r="AJ740" s="119"/>
      <c r="AK740" s="119"/>
      <c r="AL740" s="119"/>
      <c r="AM740" s="119"/>
      <c r="AN740" s="119"/>
      <c r="AO740" s="119"/>
      <c r="AP740" s="119"/>
      <c r="AQ740" s="74" t="s">
        <v>12432</v>
      </c>
      <c r="AR740" s="74" t="s">
        <v>2302</v>
      </c>
      <c r="AS740" s="119"/>
      <c r="AT740" s="74" t="s">
        <v>5540</v>
      </c>
      <c r="AU740" s="120">
        <v>8094.0</v>
      </c>
      <c r="AV740" s="74" t="s">
        <v>12434</v>
      </c>
      <c r="AW740" s="74" t="s">
        <v>12435</v>
      </c>
      <c r="AX740" s="120">
        <v>739.0</v>
      </c>
    </row>
    <row r="741">
      <c r="A741" s="74" t="s">
        <v>12438</v>
      </c>
      <c r="B741" s="74" t="s">
        <v>12439</v>
      </c>
      <c r="C741" s="119"/>
      <c r="D741" s="119"/>
      <c r="E741" s="74">
        <v>3.5215509147374E14</v>
      </c>
      <c r="F741" s="74">
        <v>58.0</v>
      </c>
      <c r="G741" s="74">
        <v>11.0</v>
      </c>
      <c r="H741" s="74">
        <v>4.0</v>
      </c>
      <c r="I741" s="74">
        <v>0.0</v>
      </c>
      <c r="J741" s="119"/>
      <c r="K741" s="119"/>
      <c r="L741" s="74" t="s">
        <v>4244</v>
      </c>
      <c r="M741" s="74" t="s">
        <v>4244</v>
      </c>
      <c r="N741" s="119"/>
      <c r="O741" s="119"/>
      <c r="P741" s="74" t="s">
        <v>12442</v>
      </c>
      <c r="Q741" s="74" t="s">
        <v>12443</v>
      </c>
      <c r="R741" s="74">
        <v>22.5571937</v>
      </c>
      <c r="S741" s="74">
        <v>88.3833974</v>
      </c>
      <c r="T741" s="74">
        <v>-50.7000007629394</v>
      </c>
      <c r="U741" s="74">
        <v>5.0</v>
      </c>
      <c r="V741" s="74">
        <v>1.0</v>
      </c>
      <c r="W741" s="74">
        <v>0.0</v>
      </c>
      <c r="X741" s="74">
        <v>0.0</v>
      </c>
      <c r="Y741" s="74">
        <v>1.0</v>
      </c>
      <c r="Z741" s="119"/>
      <c r="AA741" s="74">
        <v>2.0</v>
      </c>
      <c r="AB741" s="74">
        <v>4.0</v>
      </c>
      <c r="AC741" s="119"/>
      <c r="AD741" s="119"/>
      <c r="AE741" s="119"/>
      <c r="AF741" s="119"/>
      <c r="AG741" s="119"/>
      <c r="AH741" s="119"/>
      <c r="AI741" s="119"/>
      <c r="AJ741" s="119"/>
      <c r="AK741" s="119"/>
      <c r="AL741" s="119"/>
      <c r="AM741" s="119"/>
      <c r="AN741" s="119"/>
      <c r="AO741" s="119"/>
      <c r="AP741" s="119"/>
      <c r="AQ741" s="74" t="s">
        <v>3200</v>
      </c>
      <c r="AR741" s="74" t="s">
        <v>2472</v>
      </c>
      <c r="AS741" s="74">
        <v>1.0</v>
      </c>
      <c r="AT741" s="74" t="s">
        <v>5540</v>
      </c>
      <c r="AU741" s="120">
        <v>8095.0</v>
      </c>
      <c r="AV741" s="74" t="s">
        <v>12449</v>
      </c>
      <c r="AW741" s="74" t="s">
        <v>12450</v>
      </c>
      <c r="AX741" s="120">
        <v>740.0</v>
      </c>
    </row>
    <row r="742">
      <c r="A742" s="74" t="s">
        <v>12452</v>
      </c>
      <c r="B742" s="74" t="s">
        <v>12454</v>
      </c>
      <c r="C742" s="119"/>
      <c r="D742" s="119"/>
      <c r="E742" s="74">
        <v>3.5215509147374E14</v>
      </c>
      <c r="F742" s="74">
        <v>58.0</v>
      </c>
      <c r="G742" s="74">
        <v>99.0</v>
      </c>
      <c r="H742" s="119"/>
      <c r="I742" s="119"/>
      <c r="J742" s="119"/>
      <c r="K742" s="74">
        <v>2.0</v>
      </c>
      <c r="L742" s="74" t="s">
        <v>4250</v>
      </c>
      <c r="M742" s="74" t="s">
        <v>4250</v>
      </c>
      <c r="N742" s="119"/>
      <c r="O742" s="119"/>
      <c r="P742" s="74" t="s">
        <v>12456</v>
      </c>
      <c r="Q742" s="74" t="s">
        <v>12457</v>
      </c>
      <c r="R742" s="74">
        <v>22.5572014</v>
      </c>
      <c r="S742" s="74">
        <v>88.3833502</v>
      </c>
      <c r="T742" s="74">
        <v>-52.9000015258789</v>
      </c>
      <c r="U742" s="74">
        <v>5.0</v>
      </c>
      <c r="V742" s="74">
        <v>1.0</v>
      </c>
      <c r="W742" s="74">
        <v>0.0</v>
      </c>
      <c r="X742" s="74">
        <v>0.0</v>
      </c>
      <c r="Y742" s="74">
        <v>1.0</v>
      </c>
      <c r="Z742" s="119"/>
      <c r="AA742" s="119"/>
      <c r="AB742" s="119"/>
      <c r="AC742" s="119"/>
      <c r="AD742" s="119"/>
      <c r="AE742" s="119"/>
      <c r="AF742" s="119"/>
      <c r="AG742" s="119"/>
      <c r="AH742" s="119"/>
      <c r="AI742" s="119"/>
      <c r="AJ742" s="119"/>
      <c r="AK742" s="119"/>
      <c r="AL742" s="119"/>
      <c r="AM742" s="119"/>
      <c r="AN742" s="119"/>
      <c r="AO742" s="119"/>
      <c r="AP742" s="119"/>
      <c r="AQ742" s="74" t="s">
        <v>12459</v>
      </c>
      <c r="AR742" s="74" t="s">
        <v>2472</v>
      </c>
      <c r="AS742" s="119"/>
      <c r="AT742" s="74" t="s">
        <v>5540</v>
      </c>
      <c r="AU742" s="120">
        <v>8096.0</v>
      </c>
      <c r="AV742" s="74" t="s">
        <v>12460</v>
      </c>
      <c r="AW742" s="74" t="s">
        <v>12461</v>
      </c>
      <c r="AX742" s="120">
        <v>741.0</v>
      </c>
    </row>
    <row r="743">
      <c r="A743" s="74" t="s">
        <v>12462</v>
      </c>
      <c r="B743" s="74" t="s">
        <v>12463</v>
      </c>
      <c r="C743" s="119"/>
      <c r="D743" s="119"/>
      <c r="E743" s="74">
        <v>3.52155090281144E14</v>
      </c>
      <c r="F743" s="74">
        <v>65.0</v>
      </c>
      <c r="G743" s="74">
        <v>11.0</v>
      </c>
      <c r="H743" s="74">
        <v>1.0</v>
      </c>
      <c r="I743" s="119"/>
      <c r="J743" s="119"/>
      <c r="K743" s="119"/>
      <c r="L743" s="74" t="s">
        <v>4260</v>
      </c>
      <c r="M743" s="74" t="s">
        <v>4260</v>
      </c>
      <c r="N743" s="119"/>
      <c r="O743" s="119"/>
      <c r="P743" s="74" t="s">
        <v>12464</v>
      </c>
      <c r="Q743" s="74" t="s">
        <v>12465</v>
      </c>
      <c r="R743" s="74">
        <v>22.5362158</v>
      </c>
      <c r="S743" s="74">
        <v>88.3749347</v>
      </c>
      <c r="T743" s="74">
        <v>-47.7999992370605</v>
      </c>
      <c r="U743" s="74">
        <v>4.5</v>
      </c>
      <c r="V743" s="74">
        <v>1.0</v>
      </c>
      <c r="W743" s="74">
        <v>0.0</v>
      </c>
      <c r="X743" s="74">
        <v>0.0</v>
      </c>
      <c r="Y743" s="74">
        <v>1.0</v>
      </c>
      <c r="Z743" s="119"/>
      <c r="AA743" s="74">
        <v>1.0</v>
      </c>
      <c r="AB743" s="74">
        <v>4.0</v>
      </c>
      <c r="AC743" s="119"/>
      <c r="AD743" s="119"/>
      <c r="AE743" s="119"/>
      <c r="AF743" s="119"/>
      <c r="AG743" s="119"/>
      <c r="AH743" s="119"/>
      <c r="AI743" s="119"/>
      <c r="AJ743" s="119"/>
      <c r="AK743" s="119"/>
      <c r="AL743" s="119"/>
      <c r="AM743" s="119"/>
      <c r="AN743" s="119"/>
      <c r="AO743" s="119"/>
      <c r="AP743" s="119"/>
      <c r="AQ743" s="74" t="s">
        <v>3185</v>
      </c>
      <c r="AR743" s="74" t="s">
        <v>2327</v>
      </c>
      <c r="AS743" s="74">
        <v>0.0</v>
      </c>
      <c r="AT743" s="74" t="s">
        <v>5540</v>
      </c>
      <c r="AU743" s="120">
        <v>8168.0</v>
      </c>
      <c r="AV743" s="74" t="s">
        <v>12470</v>
      </c>
      <c r="AW743" s="74" t="s">
        <v>12471</v>
      </c>
      <c r="AX743" s="120">
        <v>742.0</v>
      </c>
    </row>
    <row r="744">
      <c r="A744" s="74" t="s">
        <v>12472</v>
      </c>
      <c r="B744" s="74" t="s">
        <v>12473</v>
      </c>
      <c r="C744" s="119"/>
      <c r="D744" s="119"/>
      <c r="E744" s="74">
        <v>3.52155090281144E14</v>
      </c>
      <c r="F744" s="74">
        <v>11.0</v>
      </c>
      <c r="G744" s="74">
        <v>12.0</v>
      </c>
      <c r="H744" s="119"/>
      <c r="I744" s="119"/>
      <c r="J744" s="119"/>
      <c r="K744" s="119"/>
      <c r="L744" s="74" t="s">
        <v>4277</v>
      </c>
      <c r="M744" s="74" t="s">
        <v>4277</v>
      </c>
      <c r="N744" s="74">
        <v>14.0</v>
      </c>
      <c r="O744" s="74" t="s">
        <v>12474</v>
      </c>
      <c r="P744" s="119"/>
      <c r="Q744" s="74" t="s">
        <v>12475</v>
      </c>
      <c r="R744" s="74">
        <v>22.4742567</v>
      </c>
      <c r="S744" s="74">
        <v>88.3927587</v>
      </c>
      <c r="T744" s="74">
        <v>-74.0999984741211</v>
      </c>
      <c r="U744" s="74">
        <v>5.0</v>
      </c>
      <c r="V744" s="74">
        <v>1.0</v>
      </c>
      <c r="W744" s="74">
        <v>0.0</v>
      </c>
      <c r="X744" s="74">
        <v>0.0</v>
      </c>
      <c r="Y744" s="74">
        <v>0.0</v>
      </c>
      <c r="Z744" s="119"/>
      <c r="AA744" s="119"/>
      <c r="AB744" s="119"/>
      <c r="AC744" s="119"/>
      <c r="AD744" s="119"/>
      <c r="AE744" s="74">
        <v>1.0</v>
      </c>
      <c r="AF744" s="74">
        <v>2.0</v>
      </c>
      <c r="AG744" s="74">
        <v>3.0</v>
      </c>
      <c r="AH744" s="74">
        <v>4.0</v>
      </c>
      <c r="AI744" s="119"/>
      <c r="AJ744" s="119"/>
      <c r="AK744" s="119"/>
      <c r="AL744" s="119"/>
      <c r="AM744" s="119"/>
      <c r="AN744" s="119"/>
      <c r="AO744" s="119"/>
      <c r="AP744" s="119"/>
      <c r="AQ744" s="74" t="s">
        <v>12480</v>
      </c>
      <c r="AR744" s="74" t="s">
        <v>2327</v>
      </c>
      <c r="AS744" s="74">
        <v>0.0</v>
      </c>
      <c r="AT744" s="74" t="s">
        <v>5540</v>
      </c>
      <c r="AU744" s="120">
        <v>8169.0</v>
      </c>
      <c r="AV744" s="74" t="s">
        <v>12481</v>
      </c>
      <c r="AW744" s="74" t="s">
        <v>12482</v>
      </c>
      <c r="AX744" s="120">
        <v>743.0</v>
      </c>
    </row>
    <row r="745">
      <c r="A745" s="74" t="s">
        <v>12484</v>
      </c>
      <c r="B745" s="74" t="s">
        <v>12485</v>
      </c>
      <c r="C745" s="119"/>
      <c r="D745" s="119"/>
      <c r="E745" s="74">
        <v>3.52155090281144E14</v>
      </c>
      <c r="F745" s="74">
        <v>11.0</v>
      </c>
      <c r="G745" s="74">
        <v>99.0</v>
      </c>
      <c r="H745" s="119"/>
      <c r="I745" s="119"/>
      <c r="J745" s="119"/>
      <c r="K745" s="74">
        <v>1.0</v>
      </c>
      <c r="L745" s="74" t="s">
        <v>4282</v>
      </c>
      <c r="M745" s="74" t="s">
        <v>4282</v>
      </c>
      <c r="N745" s="119"/>
      <c r="O745" s="119"/>
      <c r="P745" s="74" t="s">
        <v>12488</v>
      </c>
      <c r="Q745" s="74" t="s">
        <v>12489</v>
      </c>
      <c r="R745" s="74">
        <v>22.4742442</v>
      </c>
      <c r="S745" s="74">
        <v>88.3927737</v>
      </c>
      <c r="T745" s="74">
        <v>-55.099998474121</v>
      </c>
      <c r="U745" s="74">
        <v>5.0</v>
      </c>
      <c r="V745" s="74">
        <v>1.0</v>
      </c>
      <c r="W745" s="74">
        <v>0.0</v>
      </c>
      <c r="X745" s="74">
        <v>0.0</v>
      </c>
      <c r="Y745" s="74">
        <v>0.0</v>
      </c>
      <c r="Z745" s="119"/>
      <c r="AA745" s="119"/>
      <c r="AB745" s="119"/>
      <c r="AC745" s="119"/>
      <c r="AD745" s="119"/>
      <c r="AE745" s="119"/>
      <c r="AF745" s="119"/>
      <c r="AG745" s="119"/>
      <c r="AH745" s="119"/>
      <c r="AI745" s="119"/>
      <c r="AJ745" s="119"/>
      <c r="AK745" s="119"/>
      <c r="AL745" s="119"/>
      <c r="AM745" s="119"/>
      <c r="AN745" s="119"/>
      <c r="AO745" s="119"/>
      <c r="AP745" s="119"/>
      <c r="AQ745" s="74" t="s">
        <v>12490</v>
      </c>
      <c r="AR745" s="74" t="s">
        <v>2327</v>
      </c>
      <c r="AS745" s="119"/>
      <c r="AT745" s="74" t="s">
        <v>5540</v>
      </c>
      <c r="AU745" s="120">
        <v>8170.0</v>
      </c>
      <c r="AV745" s="74" t="s">
        <v>12492</v>
      </c>
      <c r="AW745" s="74" t="s">
        <v>12493</v>
      </c>
      <c r="AX745" s="120">
        <v>744.0</v>
      </c>
    </row>
    <row r="746">
      <c r="A746" s="74" t="s">
        <v>12494</v>
      </c>
      <c r="B746" s="74" t="s">
        <v>12495</v>
      </c>
      <c r="C746" s="119"/>
      <c r="D746" s="119"/>
      <c r="E746" s="74">
        <v>3.52155090281144E14</v>
      </c>
      <c r="F746" s="74">
        <v>10.0</v>
      </c>
      <c r="G746" s="74">
        <v>12.0</v>
      </c>
      <c r="H746" s="119"/>
      <c r="I746" s="119"/>
      <c r="J746" s="119"/>
      <c r="K746" s="119"/>
      <c r="L746" s="74" t="s">
        <v>4291</v>
      </c>
      <c r="M746" s="74" t="s">
        <v>4291</v>
      </c>
      <c r="N746" s="74">
        <v>15.0</v>
      </c>
      <c r="O746" s="74" t="s">
        <v>12498</v>
      </c>
      <c r="P746" s="119"/>
      <c r="Q746" s="74" t="s">
        <v>12499</v>
      </c>
      <c r="R746" s="74">
        <v>22.4956147</v>
      </c>
      <c r="S746" s="74">
        <v>88.3915216</v>
      </c>
      <c r="T746" s="74">
        <v>-51.599998474121</v>
      </c>
      <c r="U746" s="74">
        <v>5.0</v>
      </c>
      <c r="V746" s="74">
        <v>1.0</v>
      </c>
      <c r="W746" s="74">
        <v>0.0</v>
      </c>
      <c r="X746" s="74">
        <v>0.0</v>
      </c>
      <c r="Y746" s="74">
        <v>0.0</v>
      </c>
      <c r="Z746" s="119"/>
      <c r="AA746" s="119"/>
      <c r="AB746" s="119"/>
      <c r="AC746" s="119"/>
      <c r="AD746" s="119"/>
      <c r="AE746" s="74">
        <v>3.0</v>
      </c>
      <c r="AF746" s="74">
        <v>2.0</v>
      </c>
      <c r="AG746" s="74">
        <v>3.0</v>
      </c>
      <c r="AH746" s="74">
        <v>4.0</v>
      </c>
      <c r="AI746" s="119"/>
      <c r="AJ746" s="119"/>
      <c r="AK746" s="119"/>
      <c r="AL746" s="119"/>
      <c r="AM746" s="119"/>
      <c r="AN746" s="119"/>
      <c r="AO746" s="119"/>
      <c r="AP746" s="119"/>
      <c r="AQ746" s="74" t="s">
        <v>12501</v>
      </c>
      <c r="AR746" s="74" t="s">
        <v>2278</v>
      </c>
      <c r="AS746" s="74">
        <v>0.0</v>
      </c>
      <c r="AT746" s="74" t="s">
        <v>5540</v>
      </c>
      <c r="AU746" s="120">
        <v>8171.0</v>
      </c>
      <c r="AV746" s="74" t="s">
        <v>12502</v>
      </c>
      <c r="AW746" s="74" t="s">
        <v>12503</v>
      </c>
      <c r="AX746" s="120">
        <v>745.0</v>
      </c>
    </row>
    <row r="747">
      <c r="A747" s="74" t="s">
        <v>12505</v>
      </c>
      <c r="B747" s="74" t="s">
        <v>12507</v>
      </c>
      <c r="C747" s="119"/>
      <c r="D747" s="119"/>
      <c r="E747" s="74">
        <v>3.52155090281144E14</v>
      </c>
      <c r="F747" s="74">
        <v>10.0</v>
      </c>
      <c r="G747" s="74">
        <v>99.0</v>
      </c>
      <c r="H747" s="119"/>
      <c r="I747" s="119"/>
      <c r="J747" s="119"/>
      <c r="K747" s="74">
        <v>1.0</v>
      </c>
      <c r="L747" s="74" t="s">
        <v>4297</v>
      </c>
      <c r="M747" s="74" t="s">
        <v>4297</v>
      </c>
      <c r="N747" s="119"/>
      <c r="O747" s="119"/>
      <c r="P747" s="74" t="s">
        <v>12510</v>
      </c>
      <c r="Q747" s="74" t="s">
        <v>12511</v>
      </c>
      <c r="R747" s="74">
        <v>22.4955309</v>
      </c>
      <c r="S747" s="74">
        <v>88.3915539</v>
      </c>
      <c r="T747" s="74">
        <v>-43.099998474121</v>
      </c>
      <c r="U747" s="74">
        <v>4.0</v>
      </c>
      <c r="V747" s="74">
        <v>1.0</v>
      </c>
      <c r="W747" s="74">
        <v>0.0</v>
      </c>
      <c r="X747" s="74">
        <v>0.0</v>
      </c>
      <c r="Y747" s="74">
        <v>0.0</v>
      </c>
      <c r="Z747" s="119"/>
      <c r="AA747" s="119"/>
      <c r="AB747" s="119"/>
      <c r="AC747" s="119"/>
      <c r="AD747" s="119"/>
      <c r="AE747" s="119"/>
      <c r="AF747" s="119"/>
      <c r="AG747" s="119"/>
      <c r="AH747" s="119"/>
      <c r="AI747" s="119"/>
      <c r="AJ747" s="119"/>
      <c r="AK747" s="119"/>
      <c r="AL747" s="119"/>
      <c r="AM747" s="119"/>
      <c r="AN747" s="119"/>
      <c r="AO747" s="119"/>
      <c r="AP747" s="119"/>
      <c r="AQ747" s="74" t="s">
        <v>12517</v>
      </c>
      <c r="AR747" s="74" t="s">
        <v>12518</v>
      </c>
      <c r="AS747" s="119"/>
      <c r="AT747" s="74" t="s">
        <v>5540</v>
      </c>
      <c r="AU747" s="120">
        <v>8172.0</v>
      </c>
      <c r="AV747" s="74" t="s">
        <v>12520</v>
      </c>
      <c r="AW747" s="74" t="s">
        <v>12521</v>
      </c>
      <c r="AX747" s="120">
        <v>746.0</v>
      </c>
    </row>
    <row r="748">
      <c r="A748" s="74" t="s">
        <v>12522</v>
      </c>
      <c r="B748" s="74" t="s">
        <v>12523</v>
      </c>
      <c r="C748" s="119"/>
      <c r="D748" s="119"/>
      <c r="E748" s="74">
        <v>3.52155090281144E14</v>
      </c>
      <c r="F748" s="74">
        <v>66.0</v>
      </c>
      <c r="G748" s="74">
        <v>12.0</v>
      </c>
      <c r="H748" s="119"/>
      <c r="I748" s="119"/>
      <c r="J748" s="119"/>
      <c r="K748" s="119"/>
      <c r="L748" s="74" t="s">
        <v>4311</v>
      </c>
      <c r="M748" s="74" t="s">
        <v>4311</v>
      </c>
      <c r="N748" s="74">
        <v>5.0</v>
      </c>
      <c r="O748" s="74" t="s">
        <v>12528</v>
      </c>
      <c r="P748" s="119"/>
      <c r="Q748" s="74" t="s">
        <v>12529</v>
      </c>
      <c r="R748" s="74">
        <v>22.5346613</v>
      </c>
      <c r="S748" s="74">
        <v>88.3959272</v>
      </c>
      <c r="T748" s="74">
        <v>-30.7000007629394</v>
      </c>
      <c r="U748" s="74">
        <v>5.0</v>
      </c>
      <c r="V748" s="74">
        <v>1.0</v>
      </c>
      <c r="W748" s="74">
        <v>0.0</v>
      </c>
      <c r="X748" s="74">
        <v>0.0</v>
      </c>
      <c r="Y748" s="74">
        <v>0.0</v>
      </c>
      <c r="Z748" s="119"/>
      <c r="AA748" s="119"/>
      <c r="AB748" s="119"/>
      <c r="AC748" s="119"/>
      <c r="AD748" s="119"/>
      <c r="AE748" s="74">
        <v>1.0</v>
      </c>
      <c r="AF748" s="74">
        <v>2.0</v>
      </c>
      <c r="AG748" s="74">
        <v>3.0</v>
      </c>
      <c r="AH748" s="74">
        <v>4.0</v>
      </c>
      <c r="AI748" s="119"/>
      <c r="AJ748" s="119"/>
      <c r="AK748" s="119"/>
      <c r="AL748" s="119"/>
      <c r="AM748" s="119"/>
      <c r="AN748" s="119"/>
      <c r="AO748" s="119"/>
      <c r="AP748" s="119"/>
      <c r="AQ748" s="74" t="s">
        <v>3185</v>
      </c>
      <c r="AR748" s="74" t="s">
        <v>2327</v>
      </c>
      <c r="AS748" s="74">
        <v>0.0</v>
      </c>
      <c r="AT748" s="74" t="s">
        <v>5540</v>
      </c>
      <c r="AU748" s="120">
        <v>8173.0</v>
      </c>
      <c r="AV748" s="74" t="s">
        <v>12535</v>
      </c>
      <c r="AW748" s="74" t="s">
        <v>12536</v>
      </c>
      <c r="AX748" s="120">
        <v>747.0</v>
      </c>
    </row>
    <row r="749">
      <c r="A749" s="74" t="s">
        <v>12537</v>
      </c>
      <c r="B749" s="74" t="s">
        <v>12538</v>
      </c>
      <c r="C749" s="119"/>
      <c r="D749" s="119"/>
      <c r="E749" s="74">
        <v>3.52155090281144E14</v>
      </c>
      <c r="F749" s="74">
        <v>66.0</v>
      </c>
      <c r="G749" s="74">
        <v>99.0</v>
      </c>
      <c r="H749" s="119"/>
      <c r="I749" s="119"/>
      <c r="J749" s="119"/>
      <c r="K749" s="74">
        <v>1.0</v>
      </c>
      <c r="L749" s="74" t="s">
        <v>4318</v>
      </c>
      <c r="M749" s="74" t="s">
        <v>4318</v>
      </c>
      <c r="N749" s="119"/>
      <c r="O749" s="119"/>
      <c r="P749" s="74" t="s">
        <v>12540</v>
      </c>
      <c r="Q749" s="74" t="s">
        <v>12542</v>
      </c>
      <c r="R749" s="74">
        <v>22.5346728</v>
      </c>
      <c r="S749" s="74">
        <v>88.3959119</v>
      </c>
      <c r="T749" s="74">
        <v>-44.7000007629394</v>
      </c>
      <c r="U749" s="74">
        <v>5.0</v>
      </c>
      <c r="V749" s="74">
        <v>1.0</v>
      </c>
      <c r="W749" s="74">
        <v>0.0</v>
      </c>
      <c r="X749" s="74">
        <v>0.0</v>
      </c>
      <c r="Y749" s="74">
        <v>0.0</v>
      </c>
      <c r="Z749" s="119"/>
      <c r="AA749" s="119"/>
      <c r="AB749" s="119"/>
      <c r="AC749" s="119"/>
      <c r="AD749" s="119"/>
      <c r="AE749" s="119"/>
      <c r="AF749" s="119"/>
      <c r="AG749" s="119"/>
      <c r="AH749" s="119"/>
      <c r="AI749" s="119"/>
      <c r="AJ749" s="119"/>
      <c r="AK749" s="119"/>
      <c r="AL749" s="119"/>
      <c r="AM749" s="119"/>
      <c r="AN749" s="119"/>
      <c r="AO749" s="119"/>
      <c r="AP749" s="119"/>
      <c r="AQ749" s="74" t="s">
        <v>12549</v>
      </c>
      <c r="AR749" s="74" t="s">
        <v>2327</v>
      </c>
      <c r="AS749" s="119"/>
      <c r="AT749" s="74" t="s">
        <v>5540</v>
      </c>
      <c r="AU749" s="120">
        <v>8174.0</v>
      </c>
      <c r="AV749" s="74" t="s">
        <v>12551</v>
      </c>
      <c r="AW749" s="74" t="s">
        <v>12553</v>
      </c>
      <c r="AX749" s="120">
        <v>748.0</v>
      </c>
    </row>
    <row r="750">
      <c r="A750" s="74" t="s">
        <v>12554</v>
      </c>
      <c r="B750" s="74" t="s">
        <v>12555</v>
      </c>
      <c r="C750" s="119"/>
      <c r="D750" s="119"/>
      <c r="E750" s="74">
        <v>3.52155090281144E14</v>
      </c>
      <c r="F750" s="74">
        <v>59.0</v>
      </c>
      <c r="G750" s="74">
        <v>12.0</v>
      </c>
      <c r="H750" s="119"/>
      <c r="I750" s="119"/>
      <c r="J750" s="119"/>
      <c r="K750" s="119"/>
      <c r="L750" s="74" t="s">
        <v>4327</v>
      </c>
      <c r="M750" s="74" t="s">
        <v>4327</v>
      </c>
      <c r="N750" s="74">
        <v>6.0</v>
      </c>
      <c r="O750" s="74" t="s">
        <v>12558</v>
      </c>
      <c r="P750" s="119"/>
      <c r="Q750" s="74" t="s">
        <v>12559</v>
      </c>
      <c r="R750" s="74">
        <v>22.5400738</v>
      </c>
      <c r="S750" s="74">
        <v>88.3872291</v>
      </c>
      <c r="T750" s="74">
        <v>-26.1000003814697</v>
      </c>
      <c r="U750" s="74">
        <v>5.0</v>
      </c>
      <c r="V750" s="74">
        <v>1.0</v>
      </c>
      <c r="W750" s="74">
        <v>0.0</v>
      </c>
      <c r="X750" s="74">
        <v>0.0</v>
      </c>
      <c r="Y750" s="74">
        <v>0.0</v>
      </c>
      <c r="Z750" s="119"/>
      <c r="AA750" s="119"/>
      <c r="AB750" s="119"/>
      <c r="AC750" s="119"/>
      <c r="AD750" s="119"/>
      <c r="AE750" s="74">
        <v>1.0</v>
      </c>
      <c r="AF750" s="74">
        <v>2.0</v>
      </c>
      <c r="AG750" s="74">
        <v>4.0</v>
      </c>
      <c r="AH750" s="74">
        <v>4.0</v>
      </c>
      <c r="AI750" s="119"/>
      <c r="AJ750" s="119"/>
      <c r="AK750" s="119"/>
      <c r="AL750" s="119"/>
      <c r="AM750" s="119"/>
      <c r="AN750" s="119"/>
      <c r="AO750" s="119"/>
      <c r="AP750" s="119"/>
      <c r="AQ750" s="74" t="s">
        <v>2949</v>
      </c>
      <c r="AR750" s="74" t="s">
        <v>2278</v>
      </c>
      <c r="AS750" s="74">
        <v>0.0</v>
      </c>
      <c r="AT750" s="74" t="s">
        <v>5540</v>
      </c>
      <c r="AU750" s="120">
        <v>8175.0</v>
      </c>
      <c r="AV750" s="74" t="s">
        <v>12561</v>
      </c>
      <c r="AW750" s="74" t="s">
        <v>12562</v>
      </c>
      <c r="AX750" s="120">
        <v>749.0</v>
      </c>
    </row>
    <row r="751">
      <c r="A751" s="74" t="s">
        <v>12563</v>
      </c>
      <c r="B751" s="74" t="s">
        <v>12565</v>
      </c>
      <c r="C751" s="119"/>
      <c r="D751" s="119"/>
      <c r="E751" s="74">
        <v>3.52155090281144E14</v>
      </c>
      <c r="F751" s="74">
        <v>59.0</v>
      </c>
      <c r="G751" s="74">
        <v>99.0</v>
      </c>
      <c r="H751" s="119"/>
      <c r="I751" s="119"/>
      <c r="J751" s="119"/>
      <c r="K751" s="74">
        <v>1.0</v>
      </c>
      <c r="L751" s="74" t="s">
        <v>4332</v>
      </c>
      <c r="M751" s="74" t="s">
        <v>4332</v>
      </c>
      <c r="N751" s="119"/>
      <c r="O751" s="119"/>
      <c r="P751" s="74" t="s">
        <v>12570</v>
      </c>
      <c r="Q751" s="74" t="s">
        <v>12571</v>
      </c>
      <c r="R751" s="74">
        <v>22.5400882</v>
      </c>
      <c r="S751" s="74">
        <v>88.3872552</v>
      </c>
      <c r="T751" s="74">
        <v>-51.7000007629394</v>
      </c>
      <c r="U751" s="74">
        <v>4.5</v>
      </c>
      <c r="V751" s="74">
        <v>1.0</v>
      </c>
      <c r="W751" s="74">
        <v>0.0</v>
      </c>
      <c r="X751" s="74">
        <v>0.0</v>
      </c>
      <c r="Y751" s="74">
        <v>0.0</v>
      </c>
      <c r="Z751" s="119"/>
      <c r="AA751" s="119"/>
      <c r="AB751" s="119"/>
      <c r="AC751" s="119"/>
      <c r="AD751" s="119"/>
      <c r="AE751" s="119"/>
      <c r="AF751" s="119"/>
      <c r="AG751" s="119"/>
      <c r="AH751" s="119"/>
      <c r="AI751" s="119"/>
      <c r="AJ751" s="119"/>
      <c r="AK751" s="119"/>
      <c r="AL751" s="119"/>
      <c r="AM751" s="119"/>
      <c r="AN751" s="119"/>
      <c r="AO751" s="119"/>
      <c r="AP751" s="119"/>
      <c r="AQ751" s="74" t="s">
        <v>12576</v>
      </c>
      <c r="AR751" s="74" t="s">
        <v>2327</v>
      </c>
      <c r="AS751" s="119"/>
      <c r="AT751" s="74" t="s">
        <v>5540</v>
      </c>
      <c r="AU751" s="120">
        <v>8176.0</v>
      </c>
      <c r="AV751" s="74" t="s">
        <v>12577</v>
      </c>
      <c r="AW751" s="74" t="s">
        <v>12578</v>
      </c>
      <c r="AX751" s="120">
        <v>750.0</v>
      </c>
    </row>
    <row r="752">
      <c r="A752" s="74" t="s">
        <v>12579</v>
      </c>
      <c r="B752" s="74" t="s">
        <v>12581</v>
      </c>
      <c r="C752" s="119"/>
      <c r="D752" s="119"/>
      <c r="E752" s="74">
        <v>3.52155090281144E14</v>
      </c>
      <c r="F752" s="74">
        <v>65.0</v>
      </c>
      <c r="G752" s="74">
        <v>99.0</v>
      </c>
      <c r="H752" s="119"/>
      <c r="I752" s="119"/>
      <c r="J752" s="119"/>
      <c r="K752" s="74">
        <v>1.0</v>
      </c>
      <c r="L752" s="74" t="s">
        <v>4346</v>
      </c>
      <c r="M752" s="74" t="s">
        <v>4346</v>
      </c>
      <c r="N752" s="119"/>
      <c r="O752" s="119"/>
      <c r="P752" s="74" t="s">
        <v>12585</v>
      </c>
      <c r="Q752" s="74" t="s">
        <v>12587</v>
      </c>
      <c r="R752" s="74">
        <v>22.5362239</v>
      </c>
      <c r="S752" s="74">
        <v>88.3746683</v>
      </c>
      <c r="T752" s="74">
        <v>-36.599998474121</v>
      </c>
      <c r="U752" s="74">
        <v>5.0</v>
      </c>
      <c r="V752" s="74">
        <v>1.0</v>
      </c>
      <c r="W752" s="74">
        <v>0.0</v>
      </c>
      <c r="X752" s="74">
        <v>0.0</v>
      </c>
      <c r="Y752" s="74">
        <v>0.0</v>
      </c>
      <c r="Z752" s="119"/>
      <c r="AA752" s="119"/>
      <c r="AB752" s="119"/>
      <c r="AC752" s="119"/>
      <c r="AD752" s="119"/>
      <c r="AE752" s="119"/>
      <c r="AF752" s="119"/>
      <c r="AG752" s="119"/>
      <c r="AH752" s="119"/>
      <c r="AI752" s="119"/>
      <c r="AJ752" s="119"/>
      <c r="AK752" s="119"/>
      <c r="AL752" s="119"/>
      <c r="AM752" s="119"/>
      <c r="AN752" s="119"/>
      <c r="AO752" s="119"/>
      <c r="AP752" s="119"/>
      <c r="AQ752" s="74" t="s">
        <v>12593</v>
      </c>
      <c r="AR752" s="74" t="s">
        <v>2278</v>
      </c>
      <c r="AS752" s="119"/>
      <c r="AT752" s="74" t="s">
        <v>5540</v>
      </c>
      <c r="AU752" s="120">
        <v>8177.0</v>
      </c>
      <c r="AV752" s="74" t="s">
        <v>12594</v>
      </c>
      <c r="AW752" s="74" t="s">
        <v>12595</v>
      </c>
      <c r="AX752" s="120">
        <v>751.0</v>
      </c>
    </row>
    <row r="753">
      <c r="A753" s="74" t="s">
        <v>12596</v>
      </c>
      <c r="B753" s="74" t="s">
        <v>12597</v>
      </c>
      <c r="C753" s="119"/>
      <c r="D753" s="119"/>
      <c r="E753" s="74">
        <v>3.52155090281144E14</v>
      </c>
      <c r="F753" s="74">
        <v>65.0</v>
      </c>
      <c r="G753" s="74">
        <v>12.0</v>
      </c>
      <c r="H753" s="119"/>
      <c r="I753" s="119"/>
      <c r="J753" s="119"/>
      <c r="K753" s="119"/>
      <c r="L753" s="74" t="s">
        <v>4343</v>
      </c>
      <c r="M753" s="74" t="s">
        <v>4343</v>
      </c>
      <c r="N753" s="74">
        <v>8.0</v>
      </c>
      <c r="O753" s="74" t="s">
        <v>12598</v>
      </c>
      <c r="P753" s="119"/>
      <c r="Q753" s="74" t="s">
        <v>12599</v>
      </c>
      <c r="R753" s="74">
        <v>22.536118</v>
      </c>
      <c r="S753" s="74">
        <v>88.374925</v>
      </c>
      <c r="T753" s="74">
        <v>50.2000007629394</v>
      </c>
      <c r="U753" s="74">
        <v>5.0</v>
      </c>
      <c r="V753" s="74">
        <v>1.0</v>
      </c>
      <c r="W753" s="74">
        <v>0.0</v>
      </c>
      <c r="X753" s="74">
        <v>0.0</v>
      </c>
      <c r="Y753" s="74">
        <v>0.0</v>
      </c>
      <c r="Z753" s="119"/>
      <c r="AA753" s="119"/>
      <c r="AB753" s="119"/>
      <c r="AC753" s="119"/>
      <c r="AD753" s="119"/>
      <c r="AE753" s="74">
        <v>1.0</v>
      </c>
      <c r="AF753" s="74">
        <v>1.0</v>
      </c>
      <c r="AG753" s="74">
        <v>3.0</v>
      </c>
      <c r="AH753" s="74">
        <v>4.0</v>
      </c>
      <c r="AI753" s="119"/>
      <c r="AJ753" s="119"/>
      <c r="AK753" s="119"/>
      <c r="AL753" s="119"/>
      <c r="AM753" s="119"/>
      <c r="AN753" s="119"/>
      <c r="AO753" s="119"/>
      <c r="AP753" s="119"/>
      <c r="AQ753" s="74" t="s">
        <v>2327</v>
      </c>
      <c r="AR753" s="74" t="s">
        <v>2278</v>
      </c>
      <c r="AS753" s="74">
        <v>0.0</v>
      </c>
      <c r="AT753" s="74" t="s">
        <v>5540</v>
      </c>
      <c r="AU753" s="120">
        <v>8178.0</v>
      </c>
      <c r="AV753" s="74" t="s">
        <v>12600</v>
      </c>
      <c r="AW753" s="74" t="s">
        <v>12601</v>
      </c>
      <c r="AX753" s="120">
        <v>752.0</v>
      </c>
    </row>
    <row r="754">
      <c r="A754" s="74" t="s">
        <v>12602</v>
      </c>
      <c r="B754" s="74" t="s">
        <v>12603</v>
      </c>
      <c r="C754" s="119"/>
      <c r="D754" s="119"/>
      <c r="E754" s="74">
        <v>3.5215509147374E14</v>
      </c>
      <c r="F754" s="74">
        <v>59.0</v>
      </c>
      <c r="G754" s="74">
        <v>11.0</v>
      </c>
      <c r="H754" s="74">
        <v>4.0</v>
      </c>
      <c r="I754" s="74">
        <v>1.0</v>
      </c>
      <c r="J754" s="74" t="s">
        <v>11202</v>
      </c>
      <c r="K754" s="119"/>
      <c r="L754" s="74" t="s">
        <v>4354</v>
      </c>
      <c r="M754" s="74" t="s">
        <v>4354</v>
      </c>
      <c r="N754" s="119"/>
      <c r="O754" s="119"/>
      <c r="P754" s="74" t="s">
        <v>12605</v>
      </c>
      <c r="Q754" s="74" t="s">
        <v>12607</v>
      </c>
      <c r="R754" s="74">
        <v>22.5453698</v>
      </c>
      <c r="S754" s="74">
        <v>88.3808896</v>
      </c>
      <c r="T754" s="74">
        <v>-67.3000030517578</v>
      </c>
      <c r="U754" s="74">
        <v>5.0</v>
      </c>
      <c r="V754" s="74">
        <v>1.0</v>
      </c>
      <c r="W754" s="74">
        <v>0.0</v>
      </c>
      <c r="X754" s="74">
        <v>0.0</v>
      </c>
      <c r="Y754" s="74">
        <v>1.0</v>
      </c>
      <c r="Z754" s="119"/>
      <c r="AA754" s="74">
        <v>2.0</v>
      </c>
      <c r="AB754" s="74">
        <v>4.0</v>
      </c>
      <c r="AC754" s="119"/>
      <c r="AD754" s="119"/>
      <c r="AE754" s="119"/>
      <c r="AF754" s="119"/>
      <c r="AG754" s="119"/>
      <c r="AH754" s="119"/>
      <c r="AI754" s="119"/>
      <c r="AJ754" s="119"/>
      <c r="AK754" s="119"/>
      <c r="AL754" s="119"/>
      <c r="AM754" s="119"/>
      <c r="AN754" s="119"/>
      <c r="AO754" s="119"/>
      <c r="AP754" s="119"/>
      <c r="AQ754" s="74" t="s">
        <v>3149</v>
      </c>
      <c r="AR754" s="74" t="s">
        <v>2472</v>
      </c>
      <c r="AS754" s="74">
        <v>1.0</v>
      </c>
      <c r="AT754" s="74" t="s">
        <v>5540</v>
      </c>
      <c r="AU754" s="120">
        <v>8185.0</v>
      </c>
      <c r="AV754" s="74" t="s">
        <v>12612</v>
      </c>
      <c r="AW754" s="74" t="s">
        <v>12614</v>
      </c>
      <c r="AX754" s="120">
        <v>753.0</v>
      </c>
    </row>
    <row r="755">
      <c r="A755" s="74" t="s">
        <v>12615</v>
      </c>
      <c r="B755" s="74" t="s">
        <v>12617</v>
      </c>
      <c r="C755" s="119"/>
      <c r="D755" s="119"/>
      <c r="E755" s="74">
        <v>3.5215509147374E14</v>
      </c>
      <c r="F755" s="74">
        <v>59.0</v>
      </c>
      <c r="G755" s="74">
        <v>99.0</v>
      </c>
      <c r="H755" s="119"/>
      <c r="I755" s="119"/>
      <c r="J755" s="119"/>
      <c r="K755" s="74">
        <v>2.0</v>
      </c>
      <c r="L755" s="74" t="s">
        <v>4360</v>
      </c>
      <c r="M755" s="74" t="s">
        <v>4360</v>
      </c>
      <c r="N755" s="119"/>
      <c r="O755" s="119"/>
      <c r="P755" s="74" t="s">
        <v>12619</v>
      </c>
      <c r="Q755" s="74" t="s">
        <v>12620</v>
      </c>
      <c r="R755" s="74">
        <v>22.5454912</v>
      </c>
      <c r="S755" s="74">
        <v>88.3810515</v>
      </c>
      <c r="T755" s="74">
        <v>-42.2000007629394</v>
      </c>
      <c r="U755" s="74">
        <v>5.0</v>
      </c>
      <c r="V755" s="74">
        <v>1.0</v>
      </c>
      <c r="W755" s="74">
        <v>0.0</v>
      </c>
      <c r="X755" s="74">
        <v>0.0</v>
      </c>
      <c r="Y755" s="74">
        <v>1.0</v>
      </c>
      <c r="Z755" s="119"/>
      <c r="AA755" s="119"/>
      <c r="AB755" s="119"/>
      <c r="AC755" s="119"/>
      <c r="AD755" s="119"/>
      <c r="AE755" s="119"/>
      <c r="AF755" s="119"/>
      <c r="AG755" s="119"/>
      <c r="AH755" s="119"/>
      <c r="AI755" s="119"/>
      <c r="AJ755" s="119"/>
      <c r="AK755" s="119"/>
      <c r="AL755" s="119"/>
      <c r="AM755" s="119"/>
      <c r="AN755" s="119"/>
      <c r="AO755" s="119"/>
      <c r="AP755" s="119"/>
      <c r="AQ755" s="74" t="s">
        <v>12624</v>
      </c>
      <c r="AR755" s="74" t="s">
        <v>2472</v>
      </c>
      <c r="AS755" s="119"/>
      <c r="AT755" s="74" t="s">
        <v>5540</v>
      </c>
      <c r="AU755" s="120">
        <v>8186.0</v>
      </c>
      <c r="AV755" s="74" t="s">
        <v>12625</v>
      </c>
      <c r="AW755" s="74" t="s">
        <v>12626</v>
      </c>
      <c r="AX755" s="120">
        <v>754.0</v>
      </c>
    </row>
    <row r="756">
      <c r="A756" s="74" t="s">
        <v>12628</v>
      </c>
      <c r="B756" s="74" t="s">
        <v>12629</v>
      </c>
      <c r="C756" s="119"/>
      <c r="D756" s="119"/>
      <c r="E756" s="74">
        <v>3.5215509147374E14</v>
      </c>
      <c r="F756" s="74">
        <v>59.0</v>
      </c>
      <c r="G756" s="74">
        <v>11.0</v>
      </c>
      <c r="H756" s="74">
        <v>4.0</v>
      </c>
      <c r="I756" s="74">
        <v>1.0</v>
      </c>
      <c r="J756" s="74" t="s">
        <v>11425</v>
      </c>
      <c r="K756" s="119"/>
      <c r="L756" s="74" t="s">
        <v>4372</v>
      </c>
      <c r="M756" s="74" t="s">
        <v>4372</v>
      </c>
      <c r="N756" s="119"/>
      <c r="O756" s="119"/>
      <c r="P756" s="74" t="s">
        <v>12632</v>
      </c>
      <c r="Q756" s="74" t="s">
        <v>12633</v>
      </c>
      <c r="R756" s="74">
        <v>22.5407558</v>
      </c>
      <c r="S756" s="74">
        <v>88.3743278</v>
      </c>
      <c r="T756" s="74">
        <v>-41.099998474121</v>
      </c>
      <c r="U756" s="74">
        <v>5.0</v>
      </c>
      <c r="V756" s="74">
        <v>1.0</v>
      </c>
      <c r="W756" s="74">
        <v>0.0</v>
      </c>
      <c r="X756" s="74">
        <v>0.0</v>
      </c>
      <c r="Y756" s="74">
        <v>1.0</v>
      </c>
      <c r="Z756" s="119"/>
      <c r="AA756" s="74">
        <v>1.0</v>
      </c>
      <c r="AB756" s="74">
        <v>4.0</v>
      </c>
      <c r="AC756" s="119"/>
      <c r="AD756" s="119"/>
      <c r="AE756" s="119"/>
      <c r="AF756" s="119"/>
      <c r="AG756" s="119"/>
      <c r="AH756" s="119"/>
      <c r="AI756" s="119"/>
      <c r="AJ756" s="119"/>
      <c r="AK756" s="119"/>
      <c r="AL756" s="119"/>
      <c r="AM756" s="119"/>
      <c r="AN756" s="119"/>
      <c r="AO756" s="119"/>
      <c r="AP756" s="119"/>
      <c r="AQ756" s="74" t="s">
        <v>3200</v>
      </c>
      <c r="AR756" s="74" t="s">
        <v>2286</v>
      </c>
      <c r="AS756" s="74">
        <v>1.0</v>
      </c>
      <c r="AT756" s="74" t="s">
        <v>5540</v>
      </c>
      <c r="AU756" s="120">
        <v>8187.0</v>
      </c>
      <c r="AV756" s="74" t="s">
        <v>12638</v>
      </c>
      <c r="AW756" s="74" t="s">
        <v>12639</v>
      </c>
      <c r="AX756" s="120">
        <v>755.0</v>
      </c>
    </row>
    <row r="757">
      <c r="A757" s="74" t="s">
        <v>12640</v>
      </c>
      <c r="B757" s="74" t="s">
        <v>12641</v>
      </c>
      <c r="C757" s="119"/>
      <c r="D757" s="119"/>
      <c r="E757" s="74">
        <v>3.5215509147374E14</v>
      </c>
      <c r="F757" s="74">
        <v>59.0</v>
      </c>
      <c r="G757" s="74">
        <v>99.0</v>
      </c>
      <c r="H757" s="119"/>
      <c r="I757" s="119"/>
      <c r="J757" s="119"/>
      <c r="K757" s="74">
        <v>2.0</v>
      </c>
      <c r="L757" s="74" t="s">
        <v>4378</v>
      </c>
      <c r="M757" s="74" t="s">
        <v>4378</v>
      </c>
      <c r="N757" s="119"/>
      <c r="O757" s="119"/>
      <c r="P757" s="74" t="s">
        <v>12645</v>
      </c>
      <c r="Q757" s="74" t="s">
        <v>12647</v>
      </c>
      <c r="R757" s="74">
        <v>22.540773</v>
      </c>
      <c r="S757" s="74">
        <v>88.3743926</v>
      </c>
      <c r="T757" s="74">
        <v>-48.4000015258789</v>
      </c>
      <c r="U757" s="74">
        <v>5.0</v>
      </c>
      <c r="V757" s="74">
        <v>1.0</v>
      </c>
      <c r="W757" s="74">
        <v>0.0</v>
      </c>
      <c r="X757" s="74">
        <v>0.0</v>
      </c>
      <c r="Y757" s="74">
        <v>1.0</v>
      </c>
      <c r="Z757" s="119"/>
      <c r="AA757" s="119"/>
      <c r="AB757" s="119"/>
      <c r="AC757" s="119"/>
      <c r="AD757" s="119"/>
      <c r="AE757" s="119"/>
      <c r="AF757" s="119"/>
      <c r="AG757" s="119"/>
      <c r="AH757" s="119"/>
      <c r="AI757" s="119"/>
      <c r="AJ757" s="119"/>
      <c r="AK757" s="119"/>
      <c r="AL757" s="119"/>
      <c r="AM757" s="119"/>
      <c r="AN757" s="119"/>
      <c r="AO757" s="119"/>
      <c r="AP757" s="119"/>
      <c r="AQ757" s="74" t="s">
        <v>12653</v>
      </c>
      <c r="AR757" s="74" t="s">
        <v>2286</v>
      </c>
      <c r="AS757" s="119"/>
      <c r="AT757" s="74" t="s">
        <v>5540</v>
      </c>
      <c r="AU757" s="120">
        <v>8188.0</v>
      </c>
      <c r="AV757" s="74" t="s">
        <v>12654</v>
      </c>
      <c r="AW757" s="74" t="s">
        <v>12655</v>
      </c>
      <c r="AX757" s="120">
        <v>756.0</v>
      </c>
    </row>
    <row r="758">
      <c r="A758" s="74" t="s">
        <v>12656</v>
      </c>
      <c r="B758" s="74" t="s">
        <v>12657</v>
      </c>
      <c r="C758" s="119"/>
      <c r="D758" s="119"/>
      <c r="E758" s="74">
        <v>3.5215509147374E14</v>
      </c>
      <c r="F758" s="74">
        <v>59.0</v>
      </c>
      <c r="G758" s="74">
        <v>11.0</v>
      </c>
      <c r="H758" s="74">
        <v>4.0</v>
      </c>
      <c r="I758" s="74">
        <v>1.0</v>
      </c>
      <c r="J758" s="74" t="s">
        <v>11552</v>
      </c>
      <c r="K758" s="119"/>
      <c r="L758" s="74" t="s">
        <v>4391</v>
      </c>
      <c r="M758" s="74" t="s">
        <v>4391</v>
      </c>
      <c r="N758" s="119"/>
      <c r="O758" s="119"/>
      <c r="P758" s="74" t="s">
        <v>12661</v>
      </c>
      <c r="Q758" s="74" t="s">
        <v>12663</v>
      </c>
      <c r="R758" s="74">
        <v>22.5416496</v>
      </c>
      <c r="S758" s="74">
        <v>88.3750049</v>
      </c>
      <c r="T758" s="74">
        <v>-28.3999996185302</v>
      </c>
      <c r="U758" s="74">
        <v>5.0</v>
      </c>
      <c r="V758" s="74">
        <v>1.0</v>
      </c>
      <c r="W758" s="74">
        <v>0.0</v>
      </c>
      <c r="X758" s="74">
        <v>0.0</v>
      </c>
      <c r="Y758" s="74">
        <v>1.0</v>
      </c>
      <c r="Z758" s="119"/>
      <c r="AA758" s="74">
        <v>2.0</v>
      </c>
      <c r="AB758" s="74">
        <v>4.0</v>
      </c>
      <c r="AC758" s="119"/>
      <c r="AD758" s="119"/>
      <c r="AE758" s="119"/>
      <c r="AF758" s="119"/>
      <c r="AG758" s="119"/>
      <c r="AH758" s="119"/>
      <c r="AI758" s="119"/>
      <c r="AJ758" s="119"/>
      <c r="AK758" s="119"/>
      <c r="AL758" s="119"/>
      <c r="AM758" s="119"/>
      <c r="AN758" s="119"/>
      <c r="AO758" s="119"/>
      <c r="AP758" s="119"/>
      <c r="AQ758" s="74" t="s">
        <v>3149</v>
      </c>
      <c r="AR758" s="74" t="s">
        <v>2302</v>
      </c>
      <c r="AS758" s="74">
        <v>1.0</v>
      </c>
      <c r="AT758" s="74" t="s">
        <v>5540</v>
      </c>
      <c r="AU758" s="120">
        <v>8189.0</v>
      </c>
      <c r="AV758" s="74" t="s">
        <v>12670</v>
      </c>
      <c r="AW758" s="74" t="s">
        <v>12672</v>
      </c>
      <c r="AX758" s="120">
        <v>757.0</v>
      </c>
    </row>
    <row r="759">
      <c r="A759" s="74" t="s">
        <v>12673</v>
      </c>
      <c r="B759" s="74" t="s">
        <v>12674</v>
      </c>
      <c r="C759" s="119"/>
      <c r="D759" s="119"/>
      <c r="E759" s="74">
        <v>3.5215509147374E14</v>
      </c>
      <c r="F759" s="74">
        <v>59.0</v>
      </c>
      <c r="G759" s="74">
        <v>99.0</v>
      </c>
      <c r="H759" s="119"/>
      <c r="I759" s="119"/>
      <c r="J759" s="119"/>
      <c r="K759" s="74">
        <v>2.0</v>
      </c>
      <c r="L759" s="74" t="s">
        <v>4397</v>
      </c>
      <c r="M759" s="74" t="s">
        <v>4397</v>
      </c>
      <c r="N759" s="119"/>
      <c r="O759" s="119"/>
      <c r="P759" s="74" t="s">
        <v>12676</v>
      </c>
      <c r="Q759" s="74" t="s">
        <v>12677</v>
      </c>
      <c r="R759" s="74">
        <v>22.541573</v>
      </c>
      <c r="S759" s="74">
        <v>88.374956</v>
      </c>
      <c r="T759" s="74">
        <v>-26.6000003814697</v>
      </c>
      <c r="U759" s="74">
        <v>5.0</v>
      </c>
      <c r="V759" s="74">
        <v>1.0</v>
      </c>
      <c r="W759" s="74">
        <v>0.0</v>
      </c>
      <c r="X759" s="74">
        <v>0.0</v>
      </c>
      <c r="Y759" s="74">
        <v>1.0</v>
      </c>
      <c r="Z759" s="119"/>
      <c r="AA759" s="119"/>
      <c r="AB759" s="119"/>
      <c r="AC759" s="119"/>
      <c r="AD759" s="119"/>
      <c r="AE759" s="119"/>
      <c r="AF759" s="119"/>
      <c r="AG759" s="119"/>
      <c r="AH759" s="119"/>
      <c r="AI759" s="119"/>
      <c r="AJ759" s="119"/>
      <c r="AK759" s="119"/>
      <c r="AL759" s="119"/>
      <c r="AM759" s="119"/>
      <c r="AN759" s="119"/>
      <c r="AO759" s="119"/>
      <c r="AP759" s="119"/>
      <c r="AQ759" s="74" t="s">
        <v>12684</v>
      </c>
      <c r="AR759" s="74" t="s">
        <v>2302</v>
      </c>
      <c r="AS759" s="119"/>
      <c r="AT759" s="74" t="s">
        <v>5540</v>
      </c>
      <c r="AU759" s="120">
        <v>8190.0</v>
      </c>
      <c r="AV759" s="74" t="s">
        <v>12688</v>
      </c>
      <c r="AW759" s="74" t="s">
        <v>12689</v>
      </c>
      <c r="AX759" s="120">
        <v>758.0</v>
      </c>
    </row>
    <row r="760">
      <c r="A760" s="74" t="s">
        <v>12690</v>
      </c>
      <c r="B760" s="74" t="s">
        <v>12691</v>
      </c>
      <c r="C760" s="119"/>
      <c r="D760" s="119"/>
      <c r="E760" s="74">
        <v>3.5215509147374E14</v>
      </c>
      <c r="F760" s="74">
        <v>59.0</v>
      </c>
      <c r="G760" s="74">
        <v>11.0</v>
      </c>
      <c r="H760" s="74">
        <v>4.0</v>
      </c>
      <c r="I760" s="74">
        <v>1.0</v>
      </c>
      <c r="J760" s="74" t="s">
        <v>12695</v>
      </c>
      <c r="K760" s="119"/>
      <c r="L760" s="74" t="s">
        <v>4451</v>
      </c>
      <c r="M760" s="74" t="s">
        <v>4451</v>
      </c>
      <c r="N760" s="119"/>
      <c r="O760" s="119"/>
      <c r="P760" s="74" t="s">
        <v>12697</v>
      </c>
      <c r="Q760" s="74" t="s">
        <v>12698</v>
      </c>
      <c r="R760" s="74">
        <v>22.5415116</v>
      </c>
      <c r="S760" s="74">
        <v>88.3760111</v>
      </c>
      <c r="T760" s="74">
        <v>-55.0</v>
      </c>
      <c r="U760" s="74">
        <v>4.5</v>
      </c>
      <c r="V760" s="74">
        <v>2.0</v>
      </c>
      <c r="W760" s="74">
        <v>0.0</v>
      </c>
      <c r="X760" s="74">
        <v>0.0</v>
      </c>
      <c r="Y760" s="74">
        <v>1.0</v>
      </c>
      <c r="Z760" s="119"/>
      <c r="AA760" s="74">
        <v>2.0</v>
      </c>
      <c r="AB760" s="74">
        <v>4.0</v>
      </c>
      <c r="AC760" s="119"/>
      <c r="AD760" s="119"/>
      <c r="AE760" s="119"/>
      <c r="AF760" s="119"/>
      <c r="AG760" s="119"/>
      <c r="AH760" s="119"/>
      <c r="AI760" s="119"/>
      <c r="AJ760" s="119"/>
      <c r="AK760" s="119"/>
      <c r="AL760" s="119"/>
      <c r="AM760" s="119"/>
      <c r="AN760" s="119"/>
      <c r="AO760" s="119"/>
      <c r="AP760" s="119"/>
      <c r="AQ760" s="74" t="s">
        <v>3149</v>
      </c>
      <c r="AR760" s="74" t="s">
        <v>2472</v>
      </c>
      <c r="AS760" s="74">
        <v>1.0</v>
      </c>
      <c r="AT760" s="74" t="s">
        <v>5540</v>
      </c>
      <c r="AU760" s="120">
        <v>8271.0</v>
      </c>
      <c r="AV760" s="74" t="s">
        <v>12703</v>
      </c>
      <c r="AW760" s="74" t="s">
        <v>12704</v>
      </c>
      <c r="AX760" s="120">
        <v>759.0</v>
      </c>
    </row>
    <row r="761">
      <c r="A761" s="74" t="s">
        <v>12705</v>
      </c>
      <c r="B761" s="74" t="s">
        <v>12706</v>
      </c>
      <c r="C761" s="119"/>
      <c r="D761" s="119"/>
      <c r="E761" s="74">
        <v>3.5215509147374E14</v>
      </c>
      <c r="F761" s="74">
        <v>59.0</v>
      </c>
      <c r="G761" s="74">
        <v>99.0</v>
      </c>
      <c r="H761" s="119"/>
      <c r="I761" s="119"/>
      <c r="J761" s="119"/>
      <c r="K761" s="74">
        <v>2.0</v>
      </c>
      <c r="L761" s="74" t="s">
        <v>4452</v>
      </c>
      <c r="M761" s="74" t="s">
        <v>4452</v>
      </c>
      <c r="N761" s="119"/>
      <c r="O761" s="119"/>
      <c r="P761" s="74" t="s">
        <v>12707</v>
      </c>
      <c r="Q761" s="74" t="s">
        <v>12709</v>
      </c>
      <c r="R761" s="74">
        <v>22.5414893</v>
      </c>
      <c r="S761" s="74">
        <v>88.3758479</v>
      </c>
      <c r="T761" s="74">
        <v>-57.2999992370605</v>
      </c>
      <c r="U761" s="74">
        <v>5.0</v>
      </c>
      <c r="V761" s="74">
        <v>2.0</v>
      </c>
      <c r="W761" s="74">
        <v>0.0</v>
      </c>
      <c r="X761" s="74">
        <v>0.0</v>
      </c>
      <c r="Y761" s="74">
        <v>1.0</v>
      </c>
      <c r="Z761" s="119"/>
      <c r="AA761" s="119"/>
      <c r="AB761" s="119"/>
      <c r="AC761" s="119"/>
      <c r="AD761" s="119"/>
      <c r="AE761" s="119"/>
      <c r="AF761" s="119"/>
      <c r="AG761" s="119"/>
      <c r="AH761" s="119"/>
      <c r="AI761" s="119"/>
      <c r="AJ761" s="119"/>
      <c r="AK761" s="119"/>
      <c r="AL761" s="119"/>
      <c r="AM761" s="119"/>
      <c r="AN761" s="119"/>
      <c r="AO761" s="119"/>
      <c r="AP761" s="119"/>
      <c r="AQ761" s="74" t="s">
        <v>12716</v>
      </c>
      <c r="AR761" s="74" t="s">
        <v>2472</v>
      </c>
      <c r="AS761" s="119"/>
      <c r="AT761" s="74" t="s">
        <v>5540</v>
      </c>
      <c r="AU761" s="120">
        <v>8272.0</v>
      </c>
      <c r="AV761" s="74" t="s">
        <v>12717</v>
      </c>
      <c r="AW761" s="74" t="s">
        <v>12718</v>
      </c>
      <c r="AX761" s="120">
        <v>760.0</v>
      </c>
    </row>
    <row r="762">
      <c r="A762" s="74" t="s">
        <v>12724</v>
      </c>
      <c r="B762" s="74" t="s">
        <v>12725</v>
      </c>
      <c r="C762" s="119"/>
      <c r="D762" s="119"/>
      <c r="E762" s="74">
        <v>3.5215509147374E14</v>
      </c>
      <c r="F762" s="74">
        <v>59.0</v>
      </c>
      <c r="G762" s="74">
        <v>11.0</v>
      </c>
      <c r="H762" s="74">
        <v>4.0</v>
      </c>
      <c r="I762" s="74">
        <v>1.0</v>
      </c>
      <c r="J762" s="74" t="s">
        <v>11425</v>
      </c>
      <c r="K762" s="119"/>
      <c r="L762" s="74" t="s">
        <v>4466</v>
      </c>
      <c r="M762" s="74" t="s">
        <v>4466</v>
      </c>
      <c r="N762" s="119"/>
      <c r="O762" s="119"/>
      <c r="P762" s="74" t="s">
        <v>12729</v>
      </c>
      <c r="Q762" s="74" t="s">
        <v>12732</v>
      </c>
      <c r="R762" s="74">
        <v>22.5408417</v>
      </c>
      <c r="S762" s="74">
        <v>88.3743654</v>
      </c>
      <c r="T762" s="74">
        <v>-56.5</v>
      </c>
      <c r="U762" s="74">
        <v>5.0</v>
      </c>
      <c r="V762" s="74">
        <v>2.0</v>
      </c>
      <c r="W762" s="74">
        <v>0.0</v>
      </c>
      <c r="X762" s="74">
        <v>0.0</v>
      </c>
      <c r="Y762" s="74">
        <v>1.0</v>
      </c>
      <c r="Z762" s="119"/>
      <c r="AA762" s="74">
        <v>1.0</v>
      </c>
      <c r="AB762" s="74">
        <v>4.0</v>
      </c>
      <c r="AC762" s="119"/>
      <c r="AD762" s="119"/>
      <c r="AE762" s="119"/>
      <c r="AF762" s="119"/>
      <c r="AG762" s="119"/>
      <c r="AH762" s="119"/>
      <c r="AI762" s="119"/>
      <c r="AJ762" s="119"/>
      <c r="AK762" s="119"/>
      <c r="AL762" s="119"/>
      <c r="AM762" s="119"/>
      <c r="AN762" s="119"/>
      <c r="AO762" s="119"/>
      <c r="AP762" s="119"/>
      <c r="AQ762" s="74" t="s">
        <v>2949</v>
      </c>
      <c r="AR762" s="74" t="s">
        <v>2278</v>
      </c>
      <c r="AS762" s="74">
        <v>1.0</v>
      </c>
      <c r="AT762" s="74" t="s">
        <v>5540</v>
      </c>
      <c r="AU762" s="120">
        <v>8273.0</v>
      </c>
      <c r="AV762" s="74" t="s">
        <v>12737</v>
      </c>
      <c r="AW762" s="74" t="s">
        <v>12738</v>
      </c>
      <c r="AX762" s="120">
        <v>761.0</v>
      </c>
    </row>
    <row r="763">
      <c r="A763" s="74" t="s">
        <v>12740</v>
      </c>
      <c r="B763" s="74" t="s">
        <v>12741</v>
      </c>
      <c r="C763" s="119"/>
      <c r="D763" s="119"/>
      <c r="E763" s="74">
        <v>3.5215509147374E14</v>
      </c>
      <c r="F763" s="74">
        <v>59.0</v>
      </c>
      <c r="G763" s="74">
        <v>99.0</v>
      </c>
      <c r="H763" s="119"/>
      <c r="I763" s="119"/>
      <c r="J763" s="119"/>
      <c r="K763" s="74">
        <v>2.0</v>
      </c>
      <c r="L763" s="74" t="s">
        <v>4469</v>
      </c>
      <c r="M763" s="74" t="s">
        <v>4469</v>
      </c>
      <c r="N763" s="119"/>
      <c r="O763" s="119"/>
      <c r="P763" s="74" t="s">
        <v>12742</v>
      </c>
      <c r="Q763" s="74" t="s">
        <v>12743</v>
      </c>
      <c r="R763" s="74">
        <v>22.5408684</v>
      </c>
      <c r="S763" s="74">
        <v>88.3743852</v>
      </c>
      <c r="T763" s="74">
        <v>-42.7000007629394</v>
      </c>
      <c r="U763" s="74">
        <v>5.0</v>
      </c>
      <c r="V763" s="74">
        <v>2.0</v>
      </c>
      <c r="W763" s="74">
        <v>0.0</v>
      </c>
      <c r="X763" s="74">
        <v>0.0</v>
      </c>
      <c r="Y763" s="74">
        <v>1.0</v>
      </c>
      <c r="Z763" s="119"/>
      <c r="AA763" s="119"/>
      <c r="AB763" s="119"/>
      <c r="AC763" s="119"/>
      <c r="AD763" s="119"/>
      <c r="AE763" s="119"/>
      <c r="AF763" s="119"/>
      <c r="AG763" s="119"/>
      <c r="AH763" s="119"/>
      <c r="AI763" s="119"/>
      <c r="AJ763" s="119"/>
      <c r="AK763" s="119"/>
      <c r="AL763" s="119"/>
      <c r="AM763" s="119"/>
      <c r="AN763" s="119"/>
      <c r="AO763" s="119"/>
      <c r="AP763" s="119"/>
      <c r="AQ763" s="74" t="s">
        <v>12747</v>
      </c>
      <c r="AR763" s="74" t="s">
        <v>2278</v>
      </c>
      <c r="AS763" s="119"/>
      <c r="AT763" s="74" t="s">
        <v>5540</v>
      </c>
      <c r="AU763" s="120">
        <v>8274.0</v>
      </c>
      <c r="AV763" s="74" t="s">
        <v>12749</v>
      </c>
      <c r="AW763" s="74" t="s">
        <v>12750</v>
      </c>
      <c r="AX763" s="120">
        <v>762.0</v>
      </c>
    </row>
    <row r="764">
      <c r="A764" s="74" t="s">
        <v>12752</v>
      </c>
      <c r="B764" s="74" t="s">
        <v>12754</v>
      </c>
      <c r="C764" s="119"/>
      <c r="D764" s="119"/>
      <c r="E764" s="74">
        <v>3.5215509147374E14</v>
      </c>
      <c r="F764" s="74">
        <v>59.0</v>
      </c>
      <c r="G764" s="74">
        <v>11.0</v>
      </c>
      <c r="H764" s="74">
        <v>4.0</v>
      </c>
      <c r="I764" s="74">
        <v>1.0</v>
      </c>
      <c r="J764" s="74" t="s">
        <v>11552</v>
      </c>
      <c r="K764" s="119"/>
      <c r="L764" s="74" t="s">
        <v>4479</v>
      </c>
      <c r="M764" s="74" t="s">
        <v>4479</v>
      </c>
      <c r="N764" s="119"/>
      <c r="O764" s="119"/>
      <c r="P764" s="74" t="s">
        <v>12757</v>
      </c>
      <c r="Q764" s="74" t="s">
        <v>12759</v>
      </c>
      <c r="R764" s="74">
        <v>22.5414972</v>
      </c>
      <c r="S764" s="74">
        <v>88.3750801</v>
      </c>
      <c r="T764" s="74">
        <v>-52.7999992370605</v>
      </c>
      <c r="U764" s="74">
        <v>5.0</v>
      </c>
      <c r="V764" s="74">
        <v>2.0</v>
      </c>
      <c r="W764" s="74">
        <v>0.0</v>
      </c>
      <c r="X764" s="74">
        <v>0.0</v>
      </c>
      <c r="Y764" s="74">
        <v>1.0</v>
      </c>
      <c r="Z764" s="119"/>
      <c r="AA764" s="74">
        <v>2.0</v>
      </c>
      <c r="AB764" s="74">
        <v>4.0</v>
      </c>
      <c r="AC764" s="119"/>
      <c r="AD764" s="119"/>
      <c r="AE764" s="119"/>
      <c r="AF764" s="119"/>
      <c r="AG764" s="119"/>
      <c r="AH764" s="119"/>
      <c r="AI764" s="119"/>
      <c r="AJ764" s="119"/>
      <c r="AK764" s="119"/>
      <c r="AL764" s="119"/>
      <c r="AM764" s="119"/>
      <c r="AN764" s="119"/>
      <c r="AO764" s="119"/>
      <c r="AP764" s="119"/>
      <c r="AQ764" s="74" t="s">
        <v>3185</v>
      </c>
      <c r="AR764" s="74" t="s">
        <v>2286</v>
      </c>
      <c r="AS764" s="74">
        <v>1.0</v>
      </c>
      <c r="AT764" s="74" t="s">
        <v>5540</v>
      </c>
      <c r="AU764" s="120">
        <v>8275.0</v>
      </c>
      <c r="AV764" s="74" t="s">
        <v>12769</v>
      </c>
      <c r="AW764" s="74" t="s">
        <v>12770</v>
      </c>
      <c r="AX764" s="120">
        <v>763.0</v>
      </c>
    </row>
    <row r="765">
      <c r="A765" s="74" t="s">
        <v>12771</v>
      </c>
      <c r="B765" s="74" t="s">
        <v>12772</v>
      </c>
      <c r="C765" s="119"/>
      <c r="D765" s="119"/>
      <c r="E765" s="74">
        <v>3.5215509147374E14</v>
      </c>
      <c r="F765" s="74">
        <v>59.0</v>
      </c>
      <c r="G765" s="74">
        <v>99.0</v>
      </c>
      <c r="H765" s="119"/>
      <c r="I765" s="119"/>
      <c r="J765" s="119"/>
      <c r="K765" s="74">
        <v>2.0</v>
      </c>
      <c r="L765" s="74" t="s">
        <v>4484</v>
      </c>
      <c r="M765" s="74" t="s">
        <v>4484</v>
      </c>
      <c r="N765" s="119"/>
      <c r="O765" s="119"/>
      <c r="P765" s="74" t="s">
        <v>12776</v>
      </c>
      <c r="Q765" s="74" t="s">
        <v>12777</v>
      </c>
      <c r="R765" s="74">
        <v>22.5416523</v>
      </c>
      <c r="S765" s="74">
        <v>88.3750187</v>
      </c>
      <c r="T765" s="74">
        <v>-31.6000003814697</v>
      </c>
      <c r="U765" s="74">
        <v>5.0</v>
      </c>
      <c r="V765" s="74">
        <v>2.0</v>
      </c>
      <c r="W765" s="74">
        <v>0.0</v>
      </c>
      <c r="X765" s="74">
        <v>0.0</v>
      </c>
      <c r="Y765" s="74">
        <v>1.0</v>
      </c>
      <c r="Z765" s="119"/>
      <c r="AA765" s="119"/>
      <c r="AB765" s="119"/>
      <c r="AC765" s="119"/>
      <c r="AD765" s="119"/>
      <c r="AE765" s="119"/>
      <c r="AF765" s="119"/>
      <c r="AG765" s="119"/>
      <c r="AH765" s="119"/>
      <c r="AI765" s="119"/>
      <c r="AJ765" s="119"/>
      <c r="AK765" s="119"/>
      <c r="AL765" s="119"/>
      <c r="AM765" s="119"/>
      <c r="AN765" s="119"/>
      <c r="AO765" s="119"/>
      <c r="AP765" s="119"/>
      <c r="AQ765" s="74" t="s">
        <v>12783</v>
      </c>
      <c r="AR765" s="74" t="s">
        <v>2286</v>
      </c>
      <c r="AS765" s="119"/>
      <c r="AT765" s="74" t="s">
        <v>5540</v>
      </c>
      <c r="AU765" s="120">
        <v>8276.0</v>
      </c>
      <c r="AV765" s="74" t="s">
        <v>12784</v>
      </c>
      <c r="AW765" s="74" t="s">
        <v>12785</v>
      </c>
      <c r="AX765" s="120">
        <v>764.0</v>
      </c>
    </row>
    <row r="766">
      <c r="A766" s="74" t="s">
        <v>12786</v>
      </c>
      <c r="B766" s="74" t="s">
        <v>12787</v>
      </c>
      <c r="C766" s="119"/>
      <c r="D766" s="119"/>
      <c r="E766" s="74">
        <v>3.5215509147374E14</v>
      </c>
      <c r="F766" s="74">
        <v>59.0</v>
      </c>
      <c r="G766" s="74">
        <v>11.0</v>
      </c>
      <c r="H766" s="74">
        <v>4.0</v>
      </c>
      <c r="I766" s="74">
        <v>1.0</v>
      </c>
      <c r="J766" s="74" t="s">
        <v>8348</v>
      </c>
      <c r="K766" s="119"/>
      <c r="L766" s="74" t="s">
        <v>4492</v>
      </c>
      <c r="M766" s="74" t="s">
        <v>4492</v>
      </c>
      <c r="N766" s="119"/>
      <c r="O766" s="119"/>
      <c r="P766" s="74" t="s">
        <v>12792</v>
      </c>
      <c r="Q766" s="74" t="s">
        <v>12793</v>
      </c>
      <c r="R766" s="74">
        <v>22.5414916</v>
      </c>
      <c r="S766" s="74">
        <v>88.3753442</v>
      </c>
      <c r="T766" s="74">
        <v>-46.7999992370605</v>
      </c>
      <c r="U766" s="74">
        <v>5.0</v>
      </c>
      <c r="V766" s="74">
        <v>2.0</v>
      </c>
      <c r="W766" s="74">
        <v>0.0</v>
      </c>
      <c r="X766" s="74">
        <v>0.0</v>
      </c>
      <c r="Y766" s="74">
        <v>1.0</v>
      </c>
      <c r="Z766" s="119"/>
      <c r="AA766" s="74">
        <v>1.0</v>
      </c>
      <c r="AB766" s="74">
        <v>4.0</v>
      </c>
      <c r="AC766" s="119"/>
      <c r="AD766" s="119"/>
      <c r="AE766" s="119"/>
      <c r="AF766" s="119"/>
      <c r="AG766" s="119"/>
      <c r="AH766" s="119"/>
      <c r="AI766" s="119"/>
      <c r="AJ766" s="119"/>
      <c r="AK766" s="119"/>
      <c r="AL766" s="119"/>
      <c r="AM766" s="119"/>
      <c r="AN766" s="119"/>
      <c r="AO766" s="119"/>
      <c r="AP766" s="119"/>
      <c r="AQ766" s="74" t="s">
        <v>2979</v>
      </c>
      <c r="AR766" s="74" t="s">
        <v>2278</v>
      </c>
      <c r="AS766" s="74">
        <v>1.0</v>
      </c>
      <c r="AT766" s="74" t="s">
        <v>5540</v>
      </c>
      <c r="AU766" s="120">
        <v>8277.0</v>
      </c>
      <c r="AV766" s="74" t="s">
        <v>12799</v>
      </c>
      <c r="AW766" s="74" t="s">
        <v>12800</v>
      </c>
      <c r="AX766" s="120">
        <v>765.0</v>
      </c>
    </row>
    <row r="767">
      <c r="A767" s="74" t="s">
        <v>12801</v>
      </c>
      <c r="B767" s="74" t="s">
        <v>12802</v>
      </c>
      <c r="C767" s="119"/>
      <c r="D767" s="119"/>
      <c r="E767" s="74">
        <v>3.5215509147374E14</v>
      </c>
      <c r="F767" s="74">
        <v>59.0</v>
      </c>
      <c r="G767" s="74">
        <v>99.0</v>
      </c>
      <c r="H767" s="119"/>
      <c r="I767" s="119"/>
      <c r="J767" s="119"/>
      <c r="K767" s="74">
        <v>2.0</v>
      </c>
      <c r="L767" s="74" t="s">
        <v>4498</v>
      </c>
      <c r="M767" s="74" t="s">
        <v>4498</v>
      </c>
      <c r="N767" s="119"/>
      <c r="O767" s="119"/>
      <c r="P767" s="74" t="s">
        <v>12807</v>
      </c>
      <c r="Q767" s="74" t="s">
        <v>12808</v>
      </c>
      <c r="R767" s="74">
        <v>22.5415721</v>
      </c>
      <c r="S767" s="74">
        <v>88.3753247</v>
      </c>
      <c r="T767" s="74">
        <v>-43.9000015258789</v>
      </c>
      <c r="U767" s="74">
        <v>5.0</v>
      </c>
      <c r="V767" s="74">
        <v>2.0</v>
      </c>
      <c r="W767" s="74">
        <v>0.0</v>
      </c>
      <c r="X767" s="74">
        <v>0.0</v>
      </c>
      <c r="Y767" s="74">
        <v>1.0</v>
      </c>
      <c r="Z767" s="119"/>
      <c r="AA767" s="119"/>
      <c r="AB767" s="119"/>
      <c r="AC767" s="119"/>
      <c r="AD767" s="119"/>
      <c r="AE767" s="119"/>
      <c r="AF767" s="119"/>
      <c r="AG767" s="119"/>
      <c r="AH767" s="119"/>
      <c r="AI767" s="119"/>
      <c r="AJ767" s="119"/>
      <c r="AK767" s="119"/>
      <c r="AL767" s="119"/>
      <c r="AM767" s="119"/>
      <c r="AN767" s="119"/>
      <c r="AO767" s="119"/>
      <c r="AP767" s="119"/>
      <c r="AQ767" s="74" t="s">
        <v>12814</v>
      </c>
      <c r="AR767" s="74" t="s">
        <v>2278</v>
      </c>
      <c r="AS767" s="119"/>
      <c r="AT767" s="74" t="s">
        <v>5540</v>
      </c>
      <c r="AU767" s="120">
        <v>8278.0</v>
      </c>
      <c r="AV767" s="74" t="s">
        <v>12817</v>
      </c>
      <c r="AW767" s="74" t="s">
        <v>12818</v>
      </c>
      <c r="AX767" s="120">
        <v>766.0</v>
      </c>
    </row>
    <row r="768">
      <c r="A768" s="74" t="s">
        <v>12820</v>
      </c>
      <c r="B768" s="74" t="s">
        <v>12821</v>
      </c>
      <c r="C768" s="119"/>
      <c r="D768" s="119"/>
      <c r="E768" s="74">
        <v>3.5215509147374E14</v>
      </c>
      <c r="F768" s="74">
        <v>59.0</v>
      </c>
      <c r="G768" s="74">
        <v>11.0</v>
      </c>
      <c r="H768" s="74">
        <v>4.0</v>
      </c>
      <c r="I768" s="74">
        <v>1.0</v>
      </c>
      <c r="J768" s="74" t="s">
        <v>9111</v>
      </c>
      <c r="K768" s="119"/>
      <c r="L768" s="74" t="s">
        <v>4505</v>
      </c>
      <c r="M768" s="74" t="s">
        <v>4505</v>
      </c>
      <c r="N768" s="119"/>
      <c r="O768" s="119"/>
      <c r="P768" s="74" t="s">
        <v>12830</v>
      </c>
      <c r="Q768" s="74" t="s">
        <v>12831</v>
      </c>
      <c r="R768" s="74">
        <v>22.5413584</v>
      </c>
      <c r="S768" s="74">
        <v>88.3760472</v>
      </c>
      <c r="T768" s="74">
        <v>-55.599998474121</v>
      </c>
      <c r="U768" s="74">
        <v>5.0</v>
      </c>
      <c r="V768" s="74">
        <v>2.0</v>
      </c>
      <c r="W768" s="74">
        <v>0.0</v>
      </c>
      <c r="X768" s="74">
        <v>0.0</v>
      </c>
      <c r="Y768" s="74">
        <v>1.0</v>
      </c>
      <c r="Z768" s="119"/>
      <c r="AA768" s="74">
        <v>1.0</v>
      </c>
      <c r="AB768" s="74">
        <v>4.0</v>
      </c>
      <c r="AC768" s="119"/>
      <c r="AD768" s="119"/>
      <c r="AE768" s="119"/>
      <c r="AF768" s="119"/>
      <c r="AG768" s="119"/>
      <c r="AH768" s="119"/>
      <c r="AI768" s="119"/>
      <c r="AJ768" s="119"/>
      <c r="AK768" s="119"/>
      <c r="AL768" s="119"/>
      <c r="AM768" s="119"/>
      <c r="AN768" s="119"/>
      <c r="AO768" s="119"/>
      <c r="AP768" s="119"/>
      <c r="AQ768" s="74" t="s">
        <v>3185</v>
      </c>
      <c r="AR768" s="74" t="s">
        <v>2286</v>
      </c>
      <c r="AS768" s="74">
        <v>1.0</v>
      </c>
      <c r="AT768" s="74" t="s">
        <v>5540</v>
      </c>
      <c r="AU768" s="120">
        <v>8279.0</v>
      </c>
      <c r="AV768" s="74" t="s">
        <v>12839</v>
      </c>
      <c r="AW768" s="74" t="s">
        <v>12840</v>
      </c>
      <c r="AX768" s="120">
        <v>767.0</v>
      </c>
    </row>
    <row r="769">
      <c r="A769" s="74" t="s">
        <v>12841</v>
      </c>
      <c r="B769" s="74" t="s">
        <v>12842</v>
      </c>
      <c r="C769" s="119"/>
      <c r="D769" s="119"/>
      <c r="E769" s="74">
        <v>3.5215509147374E14</v>
      </c>
      <c r="F769" s="74">
        <v>59.0</v>
      </c>
      <c r="G769" s="74">
        <v>99.0</v>
      </c>
      <c r="H769" s="119"/>
      <c r="I769" s="119"/>
      <c r="J769" s="119"/>
      <c r="K769" s="74">
        <v>2.0</v>
      </c>
      <c r="L769" s="74" t="s">
        <v>4508</v>
      </c>
      <c r="M769" s="74" t="s">
        <v>4508</v>
      </c>
      <c r="N769" s="119"/>
      <c r="O769" s="119"/>
      <c r="P769" s="74" t="s">
        <v>12847</v>
      </c>
      <c r="Q769" s="74" t="s">
        <v>12849</v>
      </c>
      <c r="R769" s="74">
        <v>22.5413757</v>
      </c>
      <c r="S769" s="74">
        <v>88.3760331</v>
      </c>
      <c r="T769" s="74">
        <v>-65.3000030517578</v>
      </c>
      <c r="U769" s="74">
        <v>5.0</v>
      </c>
      <c r="V769" s="74">
        <v>2.0</v>
      </c>
      <c r="W769" s="74">
        <v>0.0</v>
      </c>
      <c r="X769" s="74">
        <v>0.0</v>
      </c>
      <c r="Y769" s="74">
        <v>1.0</v>
      </c>
      <c r="Z769" s="119"/>
      <c r="AA769" s="119"/>
      <c r="AB769" s="119"/>
      <c r="AC769" s="119"/>
      <c r="AD769" s="119"/>
      <c r="AE769" s="119"/>
      <c r="AF769" s="119"/>
      <c r="AG769" s="119"/>
      <c r="AH769" s="119"/>
      <c r="AI769" s="119"/>
      <c r="AJ769" s="119"/>
      <c r="AK769" s="119"/>
      <c r="AL769" s="119"/>
      <c r="AM769" s="119"/>
      <c r="AN769" s="119"/>
      <c r="AO769" s="119"/>
      <c r="AP769" s="119"/>
      <c r="AQ769" s="74" t="s">
        <v>12857</v>
      </c>
      <c r="AR769" s="74" t="s">
        <v>2286</v>
      </c>
      <c r="AS769" s="119"/>
      <c r="AT769" s="74" t="s">
        <v>5540</v>
      </c>
      <c r="AU769" s="120">
        <v>8280.0</v>
      </c>
      <c r="AV769" s="74" t="s">
        <v>12860</v>
      </c>
      <c r="AW769" s="74" t="s">
        <v>12861</v>
      </c>
      <c r="AX769" s="120">
        <v>768.0</v>
      </c>
    </row>
    <row r="770">
      <c r="A770" s="74" t="s">
        <v>12862</v>
      </c>
      <c r="B770" s="74" t="s">
        <v>12863</v>
      </c>
      <c r="C770" s="119"/>
      <c r="D770" s="119"/>
      <c r="E770" s="74">
        <v>3.52155090281144E14</v>
      </c>
      <c r="F770" s="74">
        <v>57.0</v>
      </c>
      <c r="G770" s="74">
        <v>99.0</v>
      </c>
      <c r="H770" s="119"/>
      <c r="I770" s="119"/>
      <c r="J770" s="119"/>
      <c r="K770" s="74">
        <v>1.0</v>
      </c>
      <c r="L770" s="74" t="s">
        <v>4634</v>
      </c>
      <c r="M770" s="74" t="s">
        <v>4634</v>
      </c>
      <c r="N770" s="119"/>
      <c r="O770" s="119"/>
      <c r="P770" s="74" t="s">
        <v>12864</v>
      </c>
      <c r="Q770" s="74" t="s">
        <v>12866</v>
      </c>
      <c r="R770" s="74">
        <v>22.5579457</v>
      </c>
      <c r="S770" s="74">
        <v>88.3895737</v>
      </c>
      <c r="T770" s="74">
        <v>-30.0</v>
      </c>
      <c r="U770" s="74">
        <v>5.0</v>
      </c>
      <c r="V770" s="74">
        <v>3.0</v>
      </c>
      <c r="W770" s="74">
        <v>1.0</v>
      </c>
      <c r="X770" s="119"/>
      <c r="Y770" s="119"/>
      <c r="Z770" s="119"/>
      <c r="AA770" s="119"/>
      <c r="AB770" s="119"/>
      <c r="AC770" s="119"/>
      <c r="AD770" s="119"/>
      <c r="AE770" s="119"/>
      <c r="AF770" s="119"/>
      <c r="AG770" s="119"/>
      <c r="AH770" s="119"/>
      <c r="AI770" s="119"/>
      <c r="AJ770" s="119"/>
      <c r="AK770" s="119"/>
      <c r="AL770" s="119"/>
      <c r="AM770" s="119"/>
      <c r="AN770" s="119"/>
      <c r="AO770" s="119"/>
      <c r="AP770" s="119"/>
      <c r="AQ770" s="74" t="s">
        <v>12873</v>
      </c>
      <c r="AR770" s="74" t="s">
        <v>3142</v>
      </c>
      <c r="AS770" s="119"/>
      <c r="AT770" s="74" t="s">
        <v>5540</v>
      </c>
      <c r="AU770" s="120">
        <v>8291.0</v>
      </c>
      <c r="AV770" s="74" t="s">
        <v>12874</v>
      </c>
      <c r="AW770" s="74" t="s">
        <v>12875</v>
      </c>
      <c r="AX770" s="120">
        <v>769.0</v>
      </c>
    </row>
    <row r="771">
      <c r="A771" s="74" t="s">
        <v>12876</v>
      </c>
      <c r="B771" s="74" t="s">
        <v>12877</v>
      </c>
      <c r="C771" s="119"/>
      <c r="D771" s="119"/>
      <c r="E771" s="74">
        <v>3.52155090281144E14</v>
      </c>
      <c r="F771" s="74">
        <v>57.0</v>
      </c>
      <c r="G771" s="74">
        <v>12.0</v>
      </c>
      <c r="H771" s="119"/>
      <c r="I771" s="119"/>
      <c r="J771" s="119"/>
      <c r="K771" s="119"/>
      <c r="L771" s="74" t="s">
        <v>4662</v>
      </c>
      <c r="M771" s="74" t="s">
        <v>4662</v>
      </c>
      <c r="N771" s="74">
        <v>4.0</v>
      </c>
      <c r="O771" s="74" t="s">
        <v>12878</v>
      </c>
      <c r="P771" s="119"/>
      <c r="Q771" s="74" t="s">
        <v>12880</v>
      </c>
      <c r="R771" s="74">
        <v>22.5635785</v>
      </c>
      <c r="S771" s="74">
        <v>88.3773225</v>
      </c>
      <c r="T771" s="74">
        <v>-33.0</v>
      </c>
      <c r="U771" s="74">
        <v>5.0</v>
      </c>
      <c r="V771" s="74">
        <v>3.0</v>
      </c>
      <c r="W771" s="74">
        <v>1.0</v>
      </c>
      <c r="X771" s="119"/>
      <c r="Y771" s="119"/>
      <c r="Z771" s="119"/>
      <c r="AA771" s="119"/>
      <c r="AB771" s="119"/>
      <c r="AC771" s="119"/>
      <c r="AD771" s="119"/>
      <c r="AE771" s="74">
        <v>2.0</v>
      </c>
      <c r="AF771" s="74">
        <v>1.0</v>
      </c>
      <c r="AG771" s="74">
        <v>3.0</v>
      </c>
      <c r="AH771" s="74">
        <v>4.0</v>
      </c>
      <c r="AI771" s="119"/>
      <c r="AJ771" s="119"/>
      <c r="AK771" s="119"/>
      <c r="AL771" s="119"/>
      <c r="AM771" s="119"/>
      <c r="AN771" s="119"/>
      <c r="AO771" s="119"/>
      <c r="AP771" s="119"/>
      <c r="AQ771" s="74" t="s">
        <v>3243</v>
      </c>
      <c r="AR771" s="74" t="s">
        <v>2278</v>
      </c>
      <c r="AS771" s="74">
        <v>0.0</v>
      </c>
      <c r="AT771" s="74" t="s">
        <v>5540</v>
      </c>
      <c r="AU771" s="120">
        <v>8292.0</v>
      </c>
      <c r="AV771" s="74" t="s">
        <v>12889</v>
      </c>
      <c r="AW771" s="74" t="s">
        <v>12890</v>
      </c>
      <c r="AX771" s="120">
        <v>770.0</v>
      </c>
    </row>
    <row r="772">
      <c r="A772" s="74" t="s">
        <v>12892</v>
      </c>
      <c r="B772" s="74" t="s">
        <v>12893</v>
      </c>
      <c r="C772" s="119"/>
      <c r="D772" s="119"/>
      <c r="E772" s="74">
        <v>3.52155090281144E14</v>
      </c>
      <c r="F772" s="74">
        <v>57.0</v>
      </c>
      <c r="G772" s="74">
        <v>99.0</v>
      </c>
      <c r="H772" s="119"/>
      <c r="I772" s="119"/>
      <c r="J772" s="119"/>
      <c r="K772" s="74">
        <v>1.0</v>
      </c>
      <c r="L772" s="74" t="s">
        <v>4670</v>
      </c>
      <c r="M772" s="74" t="s">
        <v>4670</v>
      </c>
      <c r="N772" s="119"/>
      <c r="O772" s="119"/>
      <c r="P772" s="74" t="s">
        <v>12895</v>
      </c>
      <c r="Q772" s="74" t="s">
        <v>12896</v>
      </c>
      <c r="R772" s="74">
        <v>22.563623</v>
      </c>
      <c r="S772" s="74">
        <v>88.3772951</v>
      </c>
      <c r="T772" s="74">
        <v>-50.5</v>
      </c>
      <c r="U772" s="74">
        <v>5.0</v>
      </c>
      <c r="V772" s="74">
        <v>3.0</v>
      </c>
      <c r="W772" s="74">
        <v>1.0</v>
      </c>
      <c r="X772" s="119"/>
      <c r="Y772" s="119"/>
      <c r="Z772" s="119"/>
      <c r="AA772" s="119"/>
      <c r="AB772" s="119"/>
      <c r="AC772" s="119"/>
      <c r="AD772" s="119"/>
      <c r="AE772" s="119"/>
      <c r="AF772" s="119"/>
      <c r="AG772" s="119"/>
      <c r="AH772" s="119"/>
      <c r="AI772" s="119"/>
      <c r="AJ772" s="119"/>
      <c r="AK772" s="119"/>
      <c r="AL772" s="119"/>
      <c r="AM772" s="119"/>
      <c r="AN772" s="119"/>
      <c r="AO772" s="119"/>
      <c r="AP772" s="119"/>
      <c r="AQ772" s="74" t="s">
        <v>12904</v>
      </c>
      <c r="AR772" s="74" t="s">
        <v>12906</v>
      </c>
      <c r="AS772" s="119"/>
      <c r="AT772" s="74" t="s">
        <v>5540</v>
      </c>
      <c r="AU772" s="120">
        <v>8293.0</v>
      </c>
      <c r="AV772" s="74" t="s">
        <v>12907</v>
      </c>
      <c r="AW772" s="74" t="s">
        <v>12908</v>
      </c>
      <c r="AX772" s="120">
        <v>771.0</v>
      </c>
    </row>
    <row r="773">
      <c r="A773" s="74" t="s">
        <v>12909</v>
      </c>
      <c r="B773" s="74" t="s">
        <v>12910</v>
      </c>
      <c r="C773" s="119"/>
      <c r="D773" s="119"/>
      <c r="E773" s="74">
        <v>3.52155090281144E14</v>
      </c>
      <c r="F773" s="74">
        <v>57.0</v>
      </c>
      <c r="G773" s="74">
        <v>12.0</v>
      </c>
      <c r="H773" s="119"/>
      <c r="I773" s="119"/>
      <c r="J773" s="119"/>
      <c r="K773" s="119"/>
      <c r="L773" s="74" t="s">
        <v>4549</v>
      </c>
      <c r="M773" s="74" t="s">
        <v>4549</v>
      </c>
      <c r="N773" s="74">
        <v>1.0</v>
      </c>
      <c r="O773" s="74" t="s">
        <v>12912</v>
      </c>
      <c r="P773" s="119"/>
      <c r="Q773" s="74" t="s">
        <v>12915</v>
      </c>
      <c r="R773" s="74">
        <v>22.5579197</v>
      </c>
      <c r="S773" s="74">
        <v>88.4107422</v>
      </c>
      <c r="T773" s="74">
        <v>-21.8999996185302</v>
      </c>
      <c r="U773" s="74">
        <v>5.0</v>
      </c>
      <c r="V773" s="74">
        <v>3.0</v>
      </c>
      <c r="W773" s="74">
        <v>1.0</v>
      </c>
      <c r="X773" s="119"/>
      <c r="Y773" s="119"/>
      <c r="Z773" s="119"/>
      <c r="AA773" s="119"/>
      <c r="AB773" s="119"/>
      <c r="AC773" s="119"/>
      <c r="AD773" s="119"/>
      <c r="AE773" s="74">
        <v>1.0</v>
      </c>
      <c r="AF773" s="74">
        <v>2.0</v>
      </c>
      <c r="AG773" s="74">
        <v>3.0</v>
      </c>
      <c r="AH773" s="74">
        <v>4.0</v>
      </c>
      <c r="AI773" s="119"/>
      <c r="AJ773" s="119"/>
      <c r="AK773" s="119"/>
      <c r="AL773" s="119"/>
      <c r="AM773" s="119"/>
      <c r="AN773" s="119"/>
      <c r="AO773" s="119"/>
      <c r="AP773" s="119"/>
      <c r="AQ773" s="74" t="s">
        <v>3185</v>
      </c>
      <c r="AR773" s="74" t="s">
        <v>3142</v>
      </c>
      <c r="AS773" s="74">
        <v>0.0</v>
      </c>
      <c r="AT773" s="74" t="s">
        <v>5540</v>
      </c>
      <c r="AU773" s="120">
        <v>8294.0</v>
      </c>
      <c r="AV773" s="74" t="s">
        <v>12918</v>
      </c>
      <c r="AW773" s="74" t="s">
        <v>12919</v>
      </c>
      <c r="AX773" s="120">
        <v>772.0</v>
      </c>
    </row>
    <row r="774">
      <c r="A774" s="74" t="s">
        <v>12921</v>
      </c>
      <c r="B774" s="74" t="s">
        <v>12922</v>
      </c>
      <c r="C774" s="119"/>
      <c r="D774" s="119"/>
      <c r="E774" s="74">
        <v>3.52155090281144E14</v>
      </c>
      <c r="F774" s="74">
        <v>57.0</v>
      </c>
      <c r="G774" s="74">
        <v>99.0</v>
      </c>
      <c r="H774" s="119"/>
      <c r="I774" s="119"/>
      <c r="J774" s="119"/>
      <c r="K774" s="74">
        <v>1.0</v>
      </c>
      <c r="L774" s="74" t="s">
        <v>4561</v>
      </c>
      <c r="M774" s="74" t="s">
        <v>4561</v>
      </c>
      <c r="N774" s="119"/>
      <c r="O774" s="119"/>
      <c r="P774" s="74" t="s">
        <v>12928</v>
      </c>
      <c r="Q774" s="74" t="s">
        <v>12929</v>
      </c>
      <c r="R774" s="74">
        <v>22.5579546</v>
      </c>
      <c r="S774" s="74">
        <v>88.4108486</v>
      </c>
      <c r="T774" s="74">
        <v>-22.7999992370605</v>
      </c>
      <c r="U774" s="74">
        <v>5.0</v>
      </c>
      <c r="V774" s="74">
        <v>3.0</v>
      </c>
      <c r="W774" s="74">
        <v>1.0</v>
      </c>
      <c r="X774" s="119"/>
      <c r="Y774" s="119"/>
      <c r="Z774" s="119"/>
      <c r="AA774" s="119"/>
      <c r="AB774" s="119"/>
      <c r="AC774" s="119"/>
      <c r="AD774" s="119"/>
      <c r="AE774" s="119"/>
      <c r="AF774" s="119"/>
      <c r="AG774" s="119"/>
      <c r="AH774" s="119"/>
      <c r="AI774" s="119"/>
      <c r="AJ774" s="119"/>
      <c r="AK774" s="119"/>
      <c r="AL774" s="119"/>
      <c r="AM774" s="119"/>
      <c r="AN774" s="119"/>
      <c r="AO774" s="119"/>
      <c r="AP774" s="119"/>
      <c r="AQ774" s="74" t="s">
        <v>12933</v>
      </c>
      <c r="AR774" s="74" t="s">
        <v>3142</v>
      </c>
      <c r="AS774" s="119"/>
      <c r="AT774" s="74" t="s">
        <v>5540</v>
      </c>
      <c r="AU774" s="120">
        <v>8295.0</v>
      </c>
      <c r="AV774" s="74" t="s">
        <v>12935</v>
      </c>
      <c r="AW774" s="74" t="s">
        <v>12936</v>
      </c>
      <c r="AX774" s="120">
        <v>773.0</v>
      </c>
    </row>
    <row r="775">
      <c r="A775" s="74" t="s">
        <v>12938</v>
      </c>
      <c r="B775" s="74" t="s">
        <v>12941</v>
      </c>
      <c r="C775" s="119"/>
      <c r="D775" s="119"/>
      <c r="E775" s="74">
        <v>3.52155090281144E14</v>
      </c>
      <c r="F775" s="74">
        <v>57.0</v>
      </c>
      <c r="G775" s="74">
        <v>12.0</v>
      </c>
      <c r="H775" s="119"/>
      <c r="I775" s="119"/>
      <c r="J775" s="119"/>
      <c r="K775" s="119"/>
      <c r="L775" s="74" t="s">
        <v>4590</v>
      </c>
      <c r="M775" s="74" t="s">
        <v>4590</v>
      </c>
      <c r="N775" s="74">
        <v>3.0</v>
      </c>
      <c r="O775" s="74" t="s">
        <v>12944</v>
      </c>
      <c r="P775" s="119"/>
      <c r="Q775" s="74" t="s">
        <v>12945</v>
      </c>
      <c r="R775" s="74">
        <v>22.5563588</v>
      </c>
      <c r="S775" s="74">
        <v>88.3921979</v>
      </c>
      <c r="T775" s="74">
        <v>-45.5</v>
      </c>
      <c r="U775" s="74">
        <v>5.0</v>
      </c>
      <c r="V775" s="74">
        <v>3.0</v>
      </c>
      <c r="W775" s="74">
        <v>1.0</v>
      </c>
      <c r="X775" s="119"/>
      <c r="Y775" s="119"/>
      <c r="Z775" s="119"/>
      <c r="AA775" s="119"/>
      <c r="AB775" s="119"/>
      <c r="AC775" s="119"/>
      <c r="AD775" s="119"/>
      <c r="AE775" s="74">
        <v>1.0</v>
      </c>
      <c r="AF775" s="74">
        <v>2.0</v>
      </c>
      <c r="AG775" s="74">
        <v>4.0</v>
      </c>
      <c r="AH775" s="74">
        <v>4.0</v>
      </c>
      <c r="AI775" s="119"/>
      <c r="AJ775" s="119"/>
      <c r="AK775" s="119"/>
      <c r="AL775" s="119"/>
      <c r="AM775" s="119"/>
      <c r="AN775" s="119"/>
      <c r="AO775" s="119"/>
      <c r="AP775" s="119"/>
      <c r="AQ775" s="74" t="s">
        <v>3243</v>
      </c>
      <c r="AR775" s="74" t="s">
        <v>2278</v>
      </c>
      <c r="AS775" s="74">
        <v>0.0</v>
      </c>
      <c r="AT775" s="74" t="s">
        <v>5540</v>
      </c>
      <c r="AU775" s="120">
        <v>8296.0</v>
      </c>
      <c r="AV775" s="74" t="s">
        <v>12949</v>
      </c>
      <c r="AW775" s="74" t="s">
        <v>12950</v>
      </c>
      <c r="AX775" s="120">
        <v>774.0</v>
      </c>
    </row>
    <row r="776">
      <c r="A776" s="74" t="s">
        <v>12951</v>
      </c>
      <c r="B776" s="74" t="s">
        <v>12952</v>
      </c>
      <c r="C776" s="119"/>
      <c r="D776" s="119"/>
      <c r="E776" s="74">
        <v>3.52155090281144E14</v>
      </c>
      <c r="F776" s="74">
        <v>57.0</v>
      </c>
      <c r="G776" s="74">
        <v>99.0</v>
      </c>
      <c r="H776" s="119"/>
      <c r="I776" s="119"/>
      <c r="J776" s="119"/>
      <c r="K776" s="74">
        <v>1.0</v>
      </c>
      <c r="L776" s="74" t="s">
        <v>4602</v>
      </c>
      <c r="M776" s="74" t="s">
        <v>4602</v>
      </c>
      <c r="N776" s="119"/>
      <c r="O776" s="119"/>
      <c r="P776" s="74" t="s">
        <v>12953</v>
      </c>
      <c r="Q776" s="74" t="s">
        <v>12954</v>
      </c>
      <c r="R776" s="74">
        <v>22.5563431</v>
      </c>
      <c r="S776" s="74">
        <v>88.3922431</v>
      </c>
      <c r="T776" s="74">
        <v>-27.8999996185302</v>
      </c>
      <c r="U776" s="74">
        <v>5.0</v>
      </c>
      <c r="V776" s="74">
        <v>3.0</v>
      </c>
      <c r="W776" s="74">
        <v>1.0</v>
      </c>
      <c r="X776" s="119"/>
      <c r="Y776" s="119"/>
      <c r="Z776" s="119"/>
      <c r="AA776" s="119"/>
      <c r="AB776" s="119"/>
      <c r="AC776" s="119"/>
      <c r="AD776" s="119"/>
      <c r="AE776" s="119"/>
      <c r="AF776" s="119"/>
      <c r="AG776" s="119"/>
      <c r="AH776" s="119"/>
      <c r="AI776" s="119"/>
      <c r="AJ776" s="119"/>
      <c r="AK776" s="119"/>
      <c r="AL776" s="119"/>
      <c r="AM776" s="119"/>
      <c r="AN776" s="119"/>
      <c r="AO776" s="119"/>
      <c r="AP776" s="119"/>
      <c r="AQ776" s="74" t="s">
        <v>12963</v>
      </c>
      <c r="AR776" s="74" t="s">
        <v>2278</v>
      </c>
      <c r="AS776" s="119"/>
      <c r="AT776" s="74" t="s">
        <v>5540</v>
      </c>
      <c r="AU776" s="120">
        <v>8297.0</v>
      </c>
      <c r="AV776" s="74" t="s">
        <v>12968</v>
      </c>
      <c r="AW776" s="74" t="s">
        <v>12970</v>
      </c>
      <c r="AX776" s="120">
        <v>775.0</v>
      </c>
    </row>
    <row r="777">
      <c r="A777" s="74" t="s">
        <v>12972</v>
      </c>
      <c r="B777" s="74" t="s">
        <v>12973</v>
      </c>
      <c r="C777" s="119"/>
      <c r="D777" s="119"/>
      <c r="E777" s="74">
        <v>3.52155090281144E14</v>
      </c>
      <c r="F777" s="74">
        <v>57.0</v>
      </c>
      <c r="G777" s="74">
        <v>12.0</v>
      </c>
      <c r="H777" s="119"/>
      <c r="I777" s="119"/>
      <c r="J777" s="119"/>
      <c r="K777" s="119"/>
      <c r="L777" s="74" t="s">
        <v>4626</v>
      </c>
      <c r="M777" s="74" t="s">
        <v>4626</v>
      </c>
      <c r="N777" s="74">
        <v>7.0</v>
      </c>
      <c r="O777" s="74" t="s">
        <v>12976</v>
      </c>
      <c r="P777" s="119"/>
      <c r="Q777" s="74" t="s">
        <v>12979</v>
      </c>
      <c r="R777" s="74">
        <v>22.558138</v>
      </c>
      <c r="S777" s="74">
        <v>88.3894525</v>
      </c>
      <c r="T777" s="74">
        <v>-55.9000015258789</v>
      </c>
      <c r="U777" s="74">
        <v>5.0</v>
      </c>
      <c r="V777" s="74">
        <v>3.0</v>
      </c>
      <c r="W777" s="74">
        <v>1.0</v>
      </c>
      <c r="X777" s="119"/>
      <c r="Y777" s="119"/>
      <c r="Z777" s="119"/>
      <c r="AA777" s="119"/>
      <c r="AB777" s="119"/>
      <c r="AC777" s="119"/>
      <c r="AD777" s="119"/>
      <c r="AE777" s="74">
        <v>2.0</v>
      </c>
      <c r="AF777" s="74">
        <v>1.0</v>
      </c>
      <c r="AG777" s="74">
        <v>3.0</v>
      </c>
      <c r="AH777" s="74">
        <v>4.0</v>
      </c>
      <c r="AI777" s="119"/>
      <c r="AJ777" s="119"/>
      <c r="AK777" s="119"/>
      <c r="AL777" s="119"/>
      <c r="AM777" s="119"/>
      <c r="AN777" s="119"/>
      <c r="AO777" s="119"/>
      <c r="AP777" s="119"/>
      <c r="AQ777" s="74" t="s">
        <v>3185</v>
      </c>
      <c r="AR777" s="74" t="s">
        <v>3142</v>
      </c>
      <c r="AS777" s="74">
        <v>0.0</v>
      </c>
      <c r="AT777" s="74" t="s">
        <v>5540</v>
      </c>
      <c r="AU777" s="120">
        <v>8298.0</v>
      </c>
      <c r="AV777" s="74" t="s">
        <v>12983</v>
      </c>
      <c r="AW777" s="74" t="s">
        <v>12984</v>
      </c>
      <c r="AX777" s="120">
        <v>776.0</v>
      </c>
    </row>
    <row r="778">
      <c r="A778" s="74" t="s">
        <v>12987</v>
      </c>
      <c r="B778" s="74" t="s">
        <v>12988</v>
      </c>
      <c r="C778" s="119"/>
      <c r="D778" s="119"/>
      <c r="E778" s="74">
        <v>3.52155090281144E14</v>
      </c>
      <c r="F778" s="74">
        <v>57.0</v>
      </c>
      <c r="G778" s="74">
        <v>11.0</v>
      </c>
      <c r="H778" s="74">
        <v>1.0</v>
      </c>
      <c r="I778" s="119"/>
      <c r="J778" s="119"/>
      <c r="K778" s="119"/>
      <c r="L778" s="74" t="s">
        <v>4696</v>
      </c>
      <c r="M778" s="74" t="s">
        <v>4696</v>
      </c>
      <c r="N778" s="119"/>
      <c r="O778" s="119"/>
      <c r="P778" s="74" t="s">
        <v>12990</v>
      </c>
      <c r="Q778" s="74" t="s">
        <v>12991</v>
      </c>
      <c r="R778" s="74">
        <v>22.5579842</v>
      </c>
      <c r="S778" s="74">
        <v>88.3896172</v>
      </c>
      <c r="T778" s="74">
        <v>-49.5</v>
      </c>
      <c r="U778" s="74">
        <v>5.0</v>
      </c>
      <c r="V778" s="74">
        <v>3.0</v>
      </c>
      <c r="W778" s="74">
        <v>1.0</v>
      </c>
      <c r="X778" s="119"/>
      <c r="Y778" s="119"/>
      <c r="Z778" s="119"/>
      <c r="AA778" s="74">
        <v>1.0</v>
      </c>
      <c r="AB778" s="74">
        <v>4.0</v>
      </c>
      <c r="AC778" s="119"/>
      <c r="AD778" s="119"/>
      <c r="AE778" s="119"/>
      <c r="AF778" s="119"/>
      <c r="AG778" s="119"/>
      <c r="AH778" s="119"/>
      <c r="AI778" s="119"/>
      <c r="AJ778" s="119"/>
      <c r="AK778" s="119"/>
      <c r="AL778" s="119"/>
      <c r="AM778" s="119"/>
      <c r="AN778" s="119"/>
      <c r="AO778" s="119"/>
      <c r="AP778" s="119"/>
      <c r="AQ778" s="74" t="s">
        <v>3243</v>
      </c>
      <c r="AR778" s="74" t="s">
        <v>2278</v>
      </c>
      <c r="AS778" s="74">
        <v>0.0</v>
      </c>
      <c r="AT778" s="74" t="s">
        <v>5540</v>
      </c>
      <c r="AU778" s="120">
        <v>8299.0</v>
      </c>
      <c r="AV778" s="74" t="s">
        <v>12993</v>
      </c>
      <c r="AW778" s="74" t="s">
        <v>12994</v>
      </c>
      <c r="AX778" s="120">
        <v>777.0</v>
      </c>
    </row>
    <row r="779">
      <c r="A779" s="74" t="s">
        <v>12995</v>
      </c>
      <c r="B779" s="74" t="s">
        <v>12996</v>
      </c>
      <c r="C779" s="119"/>
      <c r="D779" s="119"/>
      <c r="E779" s="74">
        <v>3.5215509147374E14</v>
      </c>
      <c r="F779" s="74">
        <v>65.0</v>
      </c>
      <c r="G779" s="74">
        <v>11.0</v>
      </c>
      <c r="H779" s="74">
        <v>1.0</v>
      </c>
      <c r="I779" s="119"/>
      <c r="J779" s="119"/>
      <c r="K779" s="119"/>
      <c r="L779" s="74" t="s">
        <v>4957</v>
      </c>
      <c r="M779" s="74" t="s">
        <v>4957</v>
      </c>
      <c r="N779" s="119"/>
      <c r="O779" s="119"/>
      <c r="P779" s="74" t="s">
        <v>12999</v>
      </c>
      <c r="Q779" s="74" t="s">
        <v>13000</v>
      </c>
      <c r="R779" s="74">
        <v>22.5359862</v>
      </c>
      <c r="S779" s="74">
        <v>88.3746372</v>
      </c>
      <c r="T779" s="74">
        <v>-56.099998474121</v>
      </c>
      <c r="U779" s="74">
        <v>5.0</v>
      </c>
      <c r="V779" s="74">
        <v>1.0</v>
      </c>
      <c r="W779" s="74">
        <v>1.0</v>
      </c>
      <c r="X779" s="119"/>
      <c r="Y779" s="119"/>
      <c r="Z779" s="119"/>
      <c r="AA779" s="74">
        <v>1.0</v>
      </c>
      <c r="AB779" s="74">
        <v>4.0</v>
      </c>
      <c r="AC779" s="119"/>
      <c r="AD779" s="119"/>
      <c r="AE779" s="119"/>
      <c r="AF779" s="119"/>
      <c r="AG779" s="119"/>
      <c r="AH779" s="119"/>
      <c r="AI779" s="119"/>
      <c r="AJ779" s="119"/>
      <c r="AK779" s="119"/>
      <c r="AL779" s="119"/>
      <c r="AM779" s="119"/>
      <c r="AN779" s="119"/>
      <c r="AO779" s="119"/>
      <c r="AP779" s="119"/>
      <c r="AQ779" s="74" t="s">
        <v>3200</v>
      </c>
      <c r="AR779" s="74" t="s">
        <v>2472</v>
      </c>
      <c r="AS779" s="74">
        <v>0.0</v>
      </c>
      <c r="AT779" s="74" t="s">
        <v>5540</v>
      </c>
      <c r="AU779" s="120">
        <v>8336.0</v>
      </c>
      <c r="AV779" s="74" t="s">
        <v>13005</v>
      </c>
      <c r="AW779" s="74" t="s">
        <v>13006</v>
      </c>
      <c r="AX779" s="120">
        <v>778.0</v>
      </c>
    </row>
    <row r="780">
      <c r="A780" s="74" t="s">
        <v>13009</v>
      </c>
      <c r="B780" s="74" t="s">
        <v>13010</v>
      </c>
      <c r="C780" s="119"/>
      <c r="D780" s="119"/>
      <c r="E780" s="74">
        <v>3.52155090281144E14</v>
      </c>
      <c r="F780" s="74">
        <v>6.0</v>
      </c>
      <c r="G780" s="74">
        <v>12.0</v>
      </c>
      <c r="H780" s="119"/>
      <c r="I780" s="119"/>
      <c r="J780" s="119"/>
      <c r="K780" s="119"/>
      <c r="L780" s="74" t="s">
        <v>4776</v>
      </c>
      <c r="M780" s="74" t="s">
        <v>4776</v>
      </c>
      <c r="N780" s="74">
        <v>13.0</v>
      </c>
      <c r="O780" s="74" t="s">
        <v>13013</v>
      </c>
      <c r="P780" s="119"/>
      <c r="Q780" s="74" t="s">
        <v>13015</v>
      </c>
      <c r="R780" s="74">
        <v>22.6061021</v>
      </c>
      <c r="S780" s="74">
        <v>88.3734421</v>
      </c>
      <c r="T780" s="74">
        <v>-54.0</v>
      </c>
      <c r="U780" s="74">
        <v>5.0</v>
      </c>
      <c r="V780" s="74">
        <v>1.0</v>
      </c>
      <c r="W780" s="74">
        <v>1.0</v>
      </c>
      <c r="X780" s="119"/>
      <c r="Y780" s="119"/>
      <c r="Z780" s="119"/>
      <c r="AA780" s="119"/>
      <c r="AB780" s="119"/>
      <c r="AC780" s="119"/>
      <c r="AD780" s="119"/>
      <c r="AE780" s="74">
        <v>2.0</v>
      </c>
      <c r="AF780" s="74">
        <v>2.0</v>
      </c>
      <c r="AG780" s="74">
        <v>3.0</v>
      </c>
      <c r="AH780" s="74">
        <v>4.0</v>
      </c>
      <c r="AI780" s="119"/>
      <c r="AJ780" s="119"/>
      <c r="AK780" s="119"/>
      <c r="AL780" s="119"/>
      <c r="AM780" s="119"/>
      <c r="AN780" s="119"/>
      <c r="AO780" s="119"/>
      <c r="AP780" s="119"/>
      <c r="AQ780" s="74" t="s">
        <v>3185</v>
      </c>
      <c r="AR780" s="74" t="s">
        <v>3142</v>
      </c>
      <c r="AS780" s="74">
        <v>0.0</v>
      </c>
      <c r="AT780" s="74" t="s">
        <v>5540</v>
      </c>
      <c r="AU780" s="120">
        <v>8337.0</v>
      </c>
      <c r="AV780" s="74" t="s">
        <v>13016</v>
      </c>
      <c r="AW780" s="74" t="s">
        <v>13017</v>
      </c>
      <c r="AX780" s="120">
        <v>779.0</v>
      </c>
    </row>
    <row r="781">
      <c r="A781" s="74" t="s">
        <v>13019</v>
      </c>
      <c r="B781" s="74" t="s">
        <v>13021</v>
      </c>
      <c r="C781" s="119"/>
      <c r="D781" s="119"/>
      <c r="E781" s="74">
        <v>3.52155090281144E14</v>
      </c>
      <c r="F781" s="74">
        <v>6.0</v>
      </c>
      <c r="G781" s="74">
        <v>99.0</v>
      </c>
      <c r="H781" s="119"/>
      <c r="I781" s="119"/>
      <c r="J781" s="119"/>
      <c r="K781" s="74">
        <v>1.0</v>
      </c>
      <c r="L781" s="74" t="s">
        <v>4849</v>
      </c>
      <c r="M781" s="74" t="s">
        <v>4849</v>
      </c>
      <c r="N781" s="119"/>
      <c r="O781" s="119"/>
      <c r="P781" s="74" t="s">
        <v>13027</v>
      </c>
      <c r="Q781" s="74" t="s">
        <v>13028</v>
      </c>
      <c r="R781" s="74">
        <v>22.6060444</v>
      </c>
      <c r="S781" s="74">
        <v>88.3735423</v>
      </c>
      <c r="T781" s="74">
        <v>-41.9000015258789</v>
      </c>
      <c r="U781" s="74">
        <v>5.0</v>
      </c>
      <c r="V781" s="74">
        <v>1.0</v>
      </c>
      <c r="W781" s="74">
        <v>1.0</v>
      </c>
      <c r="X781" s="119"/>
      <c r="Y781" s="119"/>
      <c r="Z781" s="119"/>
      <c r="AA781" s="119"/>
      <c r="AB781" s="119"/>
      <c r="AC781" s="119"/>
      <c r="AD781" s="119"/>
      <c r="AE781" s="119"/>
      <c r="AF781" s="119"/>
      <c r="AG781" s="119"/>
      <c r="AH781" s="119"/>
      <c r="AI781" s="119"/>
      <c r="AJ781" s="119"/>
      <c r="AK781" s="119"/>
      <c r="AL781" s="119"/>
      <c r="AM781" s="119"/>
      <c r="AN781" s="119"/>
      <c r="AO781" s="119"/>
      <c r="AP781" s="119"/>
      <c r="AQ781" s="74" t="s">
        <v>13030</v>
      </c>
      <c r="AR781" s="74" t="s">
        <v>3142</v>
      </c>
      <c r="AS781" s="119"/>
      <c r="AT781" s="74" t="s">
        <v>5540</v>
      </c>
      <c r="AU781" s="120">
        <v>8338.0</v>
      </c>
      <c r="AV781" s="74" t="s">
        <v>13032</v>
      </c>
      <c r="AW781" s="74" t="s">
        <v>13034</v>
      </c>
      <c r="AX781" s="120">
        <v>780.0</v>
      </c>
    </row>
    <row r="782">
      <c r="A782" s="74" t="s">
        <v>13036</v>
      </c>
      <c r="B782" s="74" t="s">
        <v>13037</v>
      </c>
      <c r="C782" s="119"/>
      <c r="D782" s="119"/>
      <c r="E782" s="74">
        <v>3.52155090281144E14</v>
      </c>
      <c r="F782" s="74">
        <v>3.0</v>
      </c>
      <c r="G782" s="74">
        <v>12.0</v>
      </c>
      <c r="H782" s="119"/>
      <c r="I782" s="119"/>
      <c r="J782" s="119"/>
      <c r="K782" s="119"/>
      <c r="L782" s="74" t="s">
        <v>4807</v>
      </c>
      <c r="M782" s="74" t="s">
        <v>4807</v>
      </c>
      <c r="N782" s="74">
        <v>10.0</v>
      </c>
      <c r="O782" s="74" t="s">
        <v>13041</v>
      </c>
      <c r="P782" s="119"/>
      <c r="Q782" s="74" t="s">
        <v>13042</v>
      </c>
      <c r="R782" s="74">
        <v>22.607595</v>
      </c>
      <c r="S782" s="74">
        <v>88.3925137</v>
      </c>
      <c r="T782" s="74">
        <v>-39.0</v>
      </c>
      <c r="U782" s="74">
        <v>5.0</v>
      </c>
      <c r="V782" s="74">
        <v>1.0</v>
      </c>
      <c r="W782" s="74">
        <v>1.0</v>
      </c>
      <c r="X782" s="119"/>
      <c r="Y782" s="119"/>
      <c r="Z782" s="119"/>
      <c r="AA782" s="119"/>
      <c r="AB782" s="119"/>
      <c r="AC782" s="119"/>
      <c r="AD782" s="119"/>
      <c r="AE782" s="74">
        <v>1.0</v>
      </c>
      <c r="AF782" s="74">
        <v>1.0</v>
      </c>
      <c r="AG782" s="74">
        <v>3.0</v>
      </c>
      <c r="AH782" s="74">
        <v>4.0</v>
      </c>
      <c r="AI782" s="119"/>
      <c r="AJ782" s="119"/>
      <c r="AK782" s="119"/>
      <c r="AL782" s="119"/>
      <c r="AM782" s="119"/>
      <c r="AN782" s="119"/>
      <c r="AO782" s="119"/>
      <c r="AP782" s="119"/>
      <c r="AQ782" s="74" t="s">
        <v>3243</v>
      </c>
      <c r="AR782" s="74" t="s">
        <v>2278</v>
      </c>
      <c r="AS782" s="74">
        <v>0.0</v>
      </c>
      <c r="AT782" s="74" t="s">
        <v>5540</v>
      </c>
      <c r="AU782" s="120">
        <v>8339.0</v>
      </c>
      <c r="AV782" s="74" t="s">
        <v>13049</v>
      </c>
      <c r="AW782" s="74" t="s">
        <v>13050</v>
      </c>
      <c r="AX782" s="120">
        <v>781.0</v>
      </c>
    </row>
    <row r="783">
      <c r="A783" s="74" t="s">
        <v>13051</v>
      </c>
      <c r="B783" s="74" t="s">
        <v>13053</v>
      </c>
      <c r="C783" s="119"/>
      <c r="D783" s="119"/>
      <c r="E783" s="74">
        <v>3.52155090281144E14</v>
      </c>
      <c r="F783" s="74">
        <v>3.0</v>
      </c>
      <c r="G783" s="74">
        <v>99.0</v>
      </c>
      <c r="H783" s="119"/>
      <c r="I783" s="119"/>
      <c r="J783" s="119"/>
      <c r="K783" s="74">
        <v>1.0</v>
      </c>
      <c r="L783" s="74" t="s">
        <v>4891</v>
      </c>
      <c r="M783" s="74" t="s">
        <v>4891</v>
      </c>
      <c r="N783" s="119"/>
      <c r="O783" s="119"/>
      <c r="P783" s="74" t="s">
        <v>13058</v>
      </c>
      <c r="Q783" s="74" t="s">
        <v>13059</v>
      </c>
      <c r="R783" s="74">
        <v>22.6076054</v>
      </c>
      <c r="S783" s="74">
        <v>88.3925297</v>
      </c>
      <c r="T783" s="74">
        <v>-36.5</v>
      </c>
      <c r="U783" s="74">
        <v>5.0</v>
      </c>
      <c r="V783" s="74">
        <v>1.0</v>
      </c>
      <c r="W783" s="74">
        <v>1.0</v>
      </c>
      <c r="X783" s="119"/>
      <c r="Y783" s="119"/>
      <c r="Z783" s="119"/>
      <c r="AA783" s="119"/>
      <c r="AB783" s="119"/>
      <c r="AC783" s="119"/>
      <c r="AD783" s="119"/>
      <c r="AE783" s="119"/>
      <c r="AF783" s="119"/>
      <c r="AG783" s="119"/>
      <c r="AH783" s="119"/>
      <c r="AI783" s="119"/>
      <c r="AJ783" s="119"/>
      <c r="AK783" s="119"/>
      <c r="AL783" s="119"/>
      <c r="AM783" s="119"/>
      <c r="AN783" s="119"/>
      <c r="AO783" s="119"/>
      <c r="AP783" s="119"/>
      <c r="AQ783" s="74" t="s">
        <v>13064</v>
      </c>
      <c r="AR783" s="74" t="s">
        <v>2278</v>
      </c>
      <c r="AS783" s="119"/>
      <c r="AT783" s="74" t="s">
        <v>5540</v>
      </c>
      <c r="AU783" s="120">
        <v>8340.0</v>
      </c>
      <c r="AV783" s="74" t="s">
        <v>13066</v>
      </c>
      <c r="AW783" s="74" t="s">
        <v>13067</v>
      </c>
      <c r="AX783" s="120">
        <v>782.0</v>
      </c>
    </row>
    <row r="784">
      <c r="A784" s="74" t="s">
        <v>13068</v>
      </c>
      <c r="B784" s="74" t="s">
        <v>13069</v>
      </c>
      <c r="C784" s="119"/>
      <c r="D784" s="119"/>
      <c r="E784" s="74">
        <v>3.52155090281144E14</v>
      </c>
      <c r="F784" s="74">
        <v>29.0</v>
      </c>
      <c r="G784" s="74">
        <v>12.0</v>
      </c>
      <c r="H784" s="119"/>
      <c r="I784" s="119"/>
      <c r="J784" s="119"/>
      <c r="K784" s="119"/>
      <c r="L784" s="74" t="s">
        <v>4842</v>
      </c>
      <c r="M784" s="74" t="s">
        <v>4842</v>
      </c>
      <c r="N784" s="74">
        <v>12.0</v>
      </c>
      <c r="O784" s="74" t="s">
        <v>13071</v>
      </c>
      <c r="P784" s="119"/>
      <c r="Q784" s="74" t="s">
        <v>13072</v>
      </c>
      <c r="R784" s="74">
        <v>22.6042123</v>
      </c>
      <c r="S784" s="74">
        <v>88.4165554</v>
      </c>
      <c r="T784" s="74">
        <v>-42.0</v>
      </c>
      <c r="U784" s="74">
        <v>5.0</v>
      </c>
      <c r="V784" s="74">
        <v>1.0</v>
      </c>
      <c r="W784" s="74">
        <v>1.0</v>
      </c>
      <c r="X784" s="119"/>
      <c r="Y784" s="119"/>
      <c r="Z784" s="119"/>
      <c r="AA784" s="119"/>
      <c r="AB784" s="119"/>
      <c r="AC784" s="119"/>
      <c r="AD784" s="119"/>
      <c r="AE784" s="74">
        <v>2.0</v>
      </c>
      <c r="AF784" s="74">
        <v>1.0</v>
      </c>
      <c r="AG784" s="74">
        <v>3.0</v>
      </c>
      <c r="AH784" s="74">
        <v>4.0</v>
      </c>
      <c r="AI784" s="119"/>
      <c r="AJ784" s="119"/>
      <c r="AK784" s="119"/>
      <c r="AL784" s="119"/>
      <c r="AM784" s="119"/>
      <c r="AN784" s="119"/>
      <c r="AO784" s="119"/>
      <c r="AP784" s="119"/>
      <c r="AQ784" s="74" t="s">
        <v>13076</v>
      </c>
      <c r="AR784" s="74" t="s">
        <v>3142</v>
      </c>
      <c r="AS784" s="74">
        <v>0.0</v>
      </c>
      <c r="AT784" s="74" t="s">
        <v>5540</v>
      </c>
      <c r="AU784" s="120">
        <v>8341.0</v>
      </c>
      <c r="AV784" s="74" t="s">
        <v>13079</v>
      </c>
      <c r="AW784" s="74" t="s">
        <v>13080</v>
      </c>
      <c r="AX784" s="120">
        <v>783.0</v>
      </c>
    </row>
    <row r="785">
      <c r="A785" s="74" t="s">
        <v>13081</v>
      </c>
      <c r="B785" s="74" t="s">
        <v>13082</v>
      </c>
      <c r="C785" s="119"/>
      <c r="D785" s="119"/>
      <c r="E785" s="74">
        <v>3.52155090281144E14</v>
      </c>
      <c r="F785" s="74">
        <v>29.0</v>
      </c>
      <c r="G785" s="74">
        <v>99.0</v>
      </c>
      <c r="H785" s="119"/>
      <c r="I785" s="119"/>
      <c r="J785" s="119"/>
      <c r="K785" s="74">
        <v>1.0</v>
      </c>
      <c r="L785" s="74" t="s">
        <v>4930</v>
      </c>
      <c r="M785" s="74" t="s">
        <v>4930</v>
      </c>
      <c r="N785" s="119"/>
      <c r="O785" s="119"/>
      <c r="P785" s="74" t="s">
        <v>13084</v>
      </c>
      <c r="Q785" s="74" t="s">
        <v>13085</v>
      </c>
      <c r="R785" s="74">
        <v>22.604241</v>
      </c>
      <c r="S785" s="74">
        <v>88.4165834</v>
      </c>
      <c r="T785" s="74">
        <v>-54.0</v>
      </c>
      <c r="U785" s="74">
        <v>5.0</v>
      </c>
      <c r="V785" s="74">
        <v>1.0</v>
      </c>
      <c r="W785" s="74">
        <v>1.0</v>
      </c>
      <c r="X785" s="119"/>
      <c r="Y785" s="119"/>
      <c r="Z785" s="119"/>
      <c r="AA785" s="119"/>
      <c r="AB785" s="119"/>
      <c r="AC785" s="119"/>
      <c r="AD785" s="119"/>
      <c r="AE785" s="119"/>
      <c r="AF785" s="119"/>
      <c r="AG785" s="119"/>
      <c r="AH785" s="119"/>
      <c r="AI785" s="119"/>
      <c r="AJ785" s="119"/>
      <c r="AK785" s="119"/>
      <c r="AL785" s="119"/>
      <c r="AM785" s="119"/>
      <c r="AN785" s="119"/>
      <c r="AO785" s="119"/>
      <c r="AP785" s="119"/>
      <c r="AQ785" s="74" t="s">
        <v>13090</v>
      </c>
      <c r="AR785" s="74" t="s">
        <v>3142</v>
      </c>
      <c r="AS785" s="119"/>
      <c r="AT785" s="74" t="s">
        <v>5540</v>
      </c>
      <c r="AU785" s="120">
        <v>8342.0</v>
      </c>
      <c r="AV785" s="74" t="s">
        <v>13091</v>
      </c>
      <c r="AW785" s="74" t="s">
        <v>13092</v>
      </c>
      <c r="AX785" s="120">
        <v>784.0</v>
      </c>
    </row>
    <row r="786">
      <c r="A786" s="74" t="s">
        <v>13093</v>
      </c>
      <c r="B786" s="74" t="s">
        <v>13094</v>
      </c>
      <c r="C786" s="119"/>
      <c r="D786" s="119"/>
      <c r="E786" s="74">
        <v>3.52155090281144E14</v>
      </c>
      <c r="F786" s="74">
        <v>58.0</v>
      </c>
      <c r="G786" s="74">
        <v>11.0</v>
      </c>
      <c r="H786" s="74">
        <v>4.0</v>
      </c>
      <c r="I786" s="74">
        <v>0.0</v>
      </c>
      <c r="J786" s="119"/>
      <c r="K786" s="119"/>
      <c r="L786" s="74" t="s">
        <v>4876</v>
      </c>
      <c r="M786" s="74" t="s">
        <v>4876</v>
      </c>
      <c r="N786" s="119"/>
      <c r="O786" s="119"/>
      <c r="P786" s="74" t="s">
        <v>13098</v>
      </c>
      <c r="Q786" s="74" t="s">
        <v>13099</v>
      </c>
      <c r="R786" s="74">
        <v>22.5517916</v>
      </c>
      <c r="S786" s="74">
        <v>88.3849062</v>
      </c>
      <c r="T786" s="74">
        <v>60.5</v>
      </c>
      <c r="U786" s="74">
        <v>5.0</v>
      </c>
      <c r="V786" s="74">
        <v>2.0</v>
      </c>
      <c r="W786" s="74">
        <v>1.0</v>
      </c>
      <c r="X786" s="119"/>
      <c r="Y786" s="119"/>
      <c r="Z786" s="119"/>
      <c r="AA786" s="74">
        <v>2.0</v>
      </c>
      <c r="AB786" s="74">
        <v>4.0</v>
      </c>
      <c r="AC786" s="119"/>
      <c r="AD786" s="119"/>
      <c r="AE786" s="119"/>
      <c r="AF786" s="119"/>
      <c r="AG786" s="119"/>
      <c r="AH786" s="119"/>
      <c r="AI786" s="119"/>
      <c r="AJ786" s="119"/>
      <c r="AK786" s="119"/>
      <c r="AL786" s="119"/>
      <c r="AM786" s="119"/>
      <c r="AN786" s="119"/>
      <c r="AO786" s="119"/>
      <c r="AP786" s="119"/>
      <c r="AQ786" s="74" t="s">
        <v>11681</v>
      </c>
      <c r="AR786" s="74" t="s">
        <v>2899</v>
      </c>
      <c r="AS786" s="74">
        <v>1.0</v>
      </c>
      <c r="AT786" s="74" t="s">
        <v>5540</v>
      </c>
      <c r="AU786" s="120">
        <v>8343.0</v>
      </c>
      <c r="AV786" s="74" t="s">
        <v>13102</v>
      </c>
      <c r="AW786" s="74" t="s">
        <v>13103</v>
      </c>
      <c r="AX786" s="120">
        <v>785.0</v>
      </c>
    </row>
    <row r="787">
      <c r="A787" s="74" t="s">
        <v>13105</v>
      </c>
      <c r="B787" s="74" t="s">
        <v>13107</v>
      </c>
      <c r="C787" s="119"/>
      <c r="D787" s="119"/>
      <c r="E787" s="74">
        <v>3.52155090281144E14</v>
      </c>
      <c r="F787" s="74">
        <v>58.0</v>
      </c>
      <c r="G787" s="74">
        <v>99.0</v>
      </c>
      <c r="H787" s="119"/>
      <c r="I787" s="119"/>
      <c r="J787" s="119"/>
      <c r="K787" s="74">
        <v>2.0</v>
      </c>
      <c r="L787" s="74" t="s">
        <v>4785</v>
      </c>
      <c r="M787" s="74" t="s">
        <v>4785</v>
      </c>
      <c r="N787" s="119"/>
      <c r="O787" s="119"/>
      <c r="P787" s="74" t="s">
        <v>13112</v>
      </c>
      <c r="Q787" s="74" t="s">
        <v>13113</v>
      </c>
      <c r="R787" s="74">
        <v>22.5517947</v>
      </c>
      <c r="S787" s="74">
        <v>88.3850717</v>
      </c>
      <c r="T787" s="74">
        <v>96.5</v>
      </c>
      <c r="U787" s="74">
        <v>5.0</v>
      </c>
      <c r="V787" s="74">
        <v>2.0</v>
      </c>
      <c r="W787" s="74">
        <v>1.0</v>
      </c>
      <c r="X787" s="119"/>
      <c r="Y787" s="119"/>
      <c r="Z787" s="119"/>
      <c r="AA787" s="119"/>
      <c r="AB787" s="119"/>
      <c r="AC787" s="119"/>
      <c r="AD787" s="119"/>
      <c r="AE787" s="119"/>
      <c r="AF787" s="119"/>
      <c r="AG787" s="119"/>
      <c r="AH787" s="119"/>
      <c r="AI787" s="119"/>
      <c r="AJ787" s="119"/>
      <c r="AK787" s="119"/>
      <c r="AL787" s="119"/>
      <c r="AM787" s="119"/>
      <c r="AN787" s="119"/>
      <c r="AO787" s="119"/>
      <c r="AP787" s="119"/>
      <c r="AQ787" s="74" t="s">
        <v>7377</v>
      </c>
      <c r="AR787" s="74" t="s">
        <v>11719</v>
      </c>
      <c r="AS787" s="119"/>
      <c r="AT787" s="74" t="s">
        <v>5540</v>
      </c>
      <c r="AU787" s="120">
        <v>8344.0</v>
      </c>
      <c r="AV787" s="74" t="s">
        <v>13117</v>
      </c>
      <c r="AW787" s="74" t="s">
        <v>13118</v>
      </c>
      <c r="AX787" s="120">
        <v>786.0</v>
      </c>
    </row>
    <row r="788">
      <c r="A788" s="74" t="s">
        <v>13120</v>
      </c>
      <c r="B788" s="74" t="s">
        <v>13121</v>
      </c>
      <c r="C788" s="119"/>
      <c r="D788" s="119"/>
      <c r="E788" s="74">
        <v>3.52155090281144E14</v>
      </c>
      <c r="F788" s="74">
        <v>58.0</v>
      </c>
      <c r="G788" s="74">
        <v>11.0</v>
      </c>
      <c r="H788" s="74">
        <v>4.0</v>
      </c>
      <c r="I788" s="74">
        <v>0.0</v>
      </c>
      <c r="J788" s="119"/>
      <c r="K788" s="119"/>
      <c r="L788" s="74" t="s">
        <v>4915</v>
      </c>
      <c r="M788" s="74" t="s">
        <v>4915</v>
      </c>
      <c r="N788" s="119"/>
      <c r="O788" s="119"/>
      <c r="P788" s="74" t="s">
        <v>13122</v>
      </c>
      <c r="Q788" s="74" t="s">
        <v>13123</v>
      </c>
      <c r="R788" s="74">
        <v>22.5518062</v>
      </c>
      <c r="S788" s="74">
        <v>88.3845086</v>
      </c>
      <c r="T788" s="74">
        <v>-62.0</v>
      </c>
      <c r="U788" s="74">
        <v>4.5</v>
      </c>
      <c r="V788" s="74">
        <v>2.0</v>
      </c>
      <c r="W788" s="74">
        <v>1.0</v>
      </c>
      <c r="X788" s="119"/>
      <c r="Y788" s="119"/>
      <c r="Z788" s="119"/>
      <c r="AA788" s="74">
        <v>2.0</v>
      </c>
      <c r="AB788" s="74">
        <v>4.0</v>
      </c>
      <c r="AC788" s="119"/>
      <c r="AD788" s="119"/>
      <c r="AE788" s="119"/>
      <c r="AF788" s="119"/>
      <c r="AG788" s="119"/>
      <c r="AH788" s="119"/>
      <c r="AI788" s="119"/>
      <c r="AJ788" s="119"/>
      <c r="AK788" s="119"/>
      <c r="AL788" s="119"/>
      <c r="AM788" s="119"/>
      <c r="AN788" s="119"/>
      <c r="AO788" s="119"/>
      <c r="AP788" s="119"/>
      <c r="AQ788" s="74" t="s">
        <v>6125</v>
      </c>
      <c r="AR788" s="74" t="s">
        <v>2899</v>
      </c>
      <c r="AS788" s="74">
        <v>1.0</v>
      </c>
      <c r="AT788" s="74" t="s">
        <v>5540</v>
      </c>
      <c r="AU788" s="120">
        <v>8345.0</v>
      </c>
      <c r="AV788" s="74" t="s">
        <v>13131</v>
      </c>
      <c r="AW788" s="74" t="s">
        <v>13132</v>
      </c>
      <c r="AX788" s="120">
        <v>787.0</v>
      </c>
    </row>
    <row r="789">
      <c r="A789" s="74" t="s">
        <v>13134</v>
      </c>
      <c r="B789" s="74" t="s">
        <v>13136</v>
      </c>
      <c r="C789" s="119"/>
      <c r="D789" s="119"/>
      <c r="E789" s="74">
        <v>3.52155090281144E14</v>
      </c>
      <c r="F789" s="74">
        <v>58.0</v>
      </c>
      <c r="G789" s="74">
        <v>99.0</v>
      </c>
      <c r="H789" s="119"/>
      <c r="I789" s="119"/>
      <c r="J789" s="119"/>
      <c r="K789" s="74">
        <v>2.0</v>
      </c>
      <c r="L789" s="74" t="s">
        <v>4815</v>
      </c>
      <c r="M789" s="74" t="s">
        <v>4815</v>
      </c>
      <c r="N789" s="119"/>
      <c r="O789" s="119"/>
      <c r="P789" s="74" t="s">
        <v>13142</v>
      </c>
      <c r="Q789" s="74" t="s">
        <v>13143</v>
      </c>
      <c r="R789" s="74">
        <v>22.5518463</v>
      </c>
      <c r="S789" s="74">
        <v>88.3844848</v>
      </c>
      <c r="T789" s="74">
        <v>-36.9000015258789</v>
      </c>
      <c r="U789" s="74">
        <v>5.0</v>
      </c>
      <c r="V789" s="74">
        <v>2.0</v>
      </c>
      <c r="W789" s="74">
        <v>1.0</v>
      </c>
      <c r="X789" s="119"/>
      <c r="Y789" s="119"/>
      <c r="Z789" s="119"/>
      <c r="AA789" s="119"/>
      <c r="AB789" s="119"/>
      <c r="AC789" s="119"/>
      <c r="AD789" s="119"/>
      <c r="AE789" s="119"/>
      <c r="AF789" s="119"/>
      <c r="AG789" s="119"/>
      <c r="AH789" s="119"/>
      <c r="AI789" s="119"/>
      <c r="AJ789" s="119"/>
      <c r="AK789" s="119"/>
      <c r="AL789" s="119"/>
      <c r="AM789" s="119"/>
      <c r="AN789" s="119"/>
      <c r="AO789" s="119"/>
      <c r="AP789" s="119"/>
      <c r="AQ789" s="74" t="s">
        <v>3193</v>
      </c>
      <c r="AR789" s="74" t="s">
        <v>2899</v>
      </c>
      <c r="AS789" s="119"/>
      <c r="AT789" s="74" t="s">
        <v>5540</v>
      </c>
      <c r="AU789" s="120">
        <v>8346.0</v>
      </c>
      <c r="AV789" s="74" t="s">
        <v>13151</v>
      </c>
      <c r="AW789" s="74" t="s">
        <v>13152</v>
      </c>
      <c r="AX789" s="120">
        <v>788.0</v>
      </c>
    </row>
    <row r="790">
      <c r="A790" s="50" t="s">
        <v>13153</v>
      </c>
      <c r="B790" s="50" t="s">
        <v>13154</v>
      </c>
      <c r="C790" s="116"/>
      <c r="D790" s="116"/>
      <c r="E790" s="50">
        <v>3.52155090281144E14</v>
      </c>
      <c r="F790" s="50">
        <v>11.0</v>
      </c>
      <c r="G790" s="50">
        <v>12.0</v>
      </c>
      <c r="H790" s="116"/>
      <c r="I790" s="116"/>
      <c r="J790" s="116"/>
      <c r="K790" s="116"/>
      <c r="L790" s="50" t="s">
        <v>5125</v>
      </c>
      <c r="M790" s="50" t="s">
        <v>5125</v>
      </c>
      <c r="N790" s="50">
        <v>14.0</v>
      </c>
      <c r="O790" s="50" t="s">
        <v>13156</v>
      </c>
      <c r="P790" s="116"/>
      <c r="Q790" s="50" t="s">
        <v>13157</v>
      </c>
      <c r="R790" s="50">
        <v>22.4743415</v>
      </c>
      <c r="S790" s="50">
        <v>88.3928038</v>
      </c>
      <c r="T790" s="50">
        <v>-61.2000007629394</v>
      </c>
      <c r="U790" s="50">
        <v>5.0</v>
      </c>
      <c r="V790" s="50">
        <v>1.0</v>
      </c>
      <c r="W790" s="50">
        <v>1.0</v>
      </c>
      <c r="X790" s="116"/>
      <c r="Y790" s="116"/>
      <c r="Z790" s="116"/>
      <c r="AA790" s="116"/>
      <c r="AB790" s="116"/>
      <c r="AC790" s="116"/>
      <c r="AD790" s="116"/>
      <c r="AE790" s="50">
        <v>1.0</v>
      </c>
      <c r="AF790" s="50">
        <v>2.0</v>
      </c>
      <c r="AG790" s="50">
        <v>3.0</v>
      </c>
      <c r="AH790" s="50">
        <v>4.0</v>
      </c>
      <c r="AI790" s="116"/>
      <c r="AJ790" s="116"/>
      <c r="AK790" s="116"/>
      <c r="AL790" s="116"/>
      <c r="AM790" s="116"/>
      <c r="AN790" s="116"/>
      <c r="AO790" s="116"/>
      <c r="AP790" s="116"/>
      <c r="AQ790" s="50" t="s">
        <v>13161</v>
      </c>
      <c r="AR790" s="50" t="s">
        <v>2327</v>
      </c>
      <c r="AS790" s="50">
        <v>0.0</v>
      </c>
      <c r="AT790" s="50" t="s">
        <v>5540</v>
      </c>
      <c r="AU790" s="117">
        <v>8383.0</v>
      </c>
      <c r="AV790" s="50" t="s">
        <v>13164</v>
      </c>
      <c r="AW790" s="50" t="s">
        <v>13165</v>
      </c>
      <c r="AX790" s="117">
        <v>789.0</v>
      </c>
    </row>
    <row r="791">
      <c r="A791" s="50" t="s">
        <v>13166</v>
      </c>
      <c r="B791" s="50" t="s">
        <v>13167</v>
      </c>
      <c r="C791" s="116"/>
      <c r="D791" s="116"/>
      <c r="E791" s="50">
        <v>3.52155090281144E14</v>
      </c>
      <c r="F791" s="50">
        <v>11.0</v>
      </c>
      <c r="G791" s="50">
        <v>99.0</v>
      </c>
      <c r="H791" s="116"/>
      <c r="I791" s="116"/>
      <c r="J791" s="116"/>
      <c r="K791" s="50">
        <v>1.0</v>
      </c>
      <c r="L791" s="50" t="s">
        <v>5136</v>
      </c>
      <c r="M791" s="50" t="s">
        <v>5136</v>
      </c>
      <c r="N791" s="116"/>
      <c r="O791" s="116"/>
      <c r="P791" s="50" t="s">
        <v>13173</v>
      </c>
      <c r="Q791" s="50" t="s">
        <v>13174</v>
      </c>
      <c r="R791" s="50">
        <v>22.4742646</v>
      </c>
      <c r="S791" s="50">
        <v>88.3927593</v>
      </c>
      <c r="T791" s="50">
        <v>-52.599998474121</v>
      </c>
      <c r="U791" s="50">
        <v>5.0</v>
      </c>
      <c r="V791" s="50">
        <v>1.0</v>
      </c>
      <c r="W791" s="50">
        <v>1.0</v>
      </c>
      <c r="X791" s="116"/>
      <c r="Y791" s="116"/>
      <c r="Z791" s="116"/>
      <c r="AA791" s="116"/>
      <c r="AB791" s="116"/>
      <c r="AC791" s="116"/>
      <c r="AD791" s="116"/>
      <c r="AE791" s="116"/>
      <c r="AF791" s="116"/>
      <c r="AG791" s="116"/>
      <c r="AH791" s="116"/>
      <c r="AI791" s="116"/>
      <c r="AJ791" s="116"/>
      <c r="AK791" s="116"/>
      <c r="AL791" s="116"/>
      <c r="AM791" s="116"/>
      <c r="AN791" s="116"/>
      <c r="AO791" s="116"/>
      <c r="AP791" s="116"/>
      <c r="AQ791" s="50" t="s">
        <v>13161</v>
      </c>
      <c r="AR791" s="50" t="s">
        <v>2327</v>
      </c>
      <c r="AS791" s="116"/>
      <c r="AT791" s="50" t="s">
        <v>5540</v>
      </c>
      <c r="AU791" s="117">
        <v>8384.0</v>
      </c>
      <c r="AV791" s="50" t="s">
        <v>13179</v>
      </c>
      <c r="AW791" s="50" t="s">
        <v>13181</v>
      </c>
      <c r="AX791" s="117">
        <v>790.0</v>
      </c>
    </row>
    <row r="792">
      <c r="A792" s="50" t="s">
        <v>13183</v>
      </c>
      <c r="B792" s="50" t="s">
        <v>13184</v>
      </c>
      <c r="C792" s="116"/>
      <c r="D792" s="116"/>
      <c r="E792" s="50">
        <v>3.52155090281144E14</v>
      </c>
      <c r="F792" s="50">
        <v>10.0</v>
      </c>
      <c r="G792" s="50">
        <v>12.0</v>
      </c>
      <c r="H792" s="116"/>
      <c r="I792" s="116"/>
      <c r="J792" s="116"/>
      <c r="K792" s="116"/>
      <c r="L792" s="50" t="s">
        <v>5165</v>
      </c>
      <c r="M792" s="50" t="s">
        <v>5165</v>
      </c>
      <c r="N792" s="50">
        <v>15.0</v>
      </c>
      <c r="O792" s="50" t="s">
        <v>13188</v>
      </c>
      <c r="P792" s="116"/>
      <c r="Q792" s="50" t="s">
        <v>13189</v>
      </c>
      <c r="R792" s="50">
        <v>22.4956148</v>
      </c>
      <c r="S792" s="50">
        <v>88.3916815</v>
      </c>
      <c r="T792" s="50">
        <v>-53.599998474121</v>
      </c>
      <c r="U792" s="50">
        <v>5.0</v>
      </c>
      <c r="V792" s="50">
        <v>1.0</v>
      </c>
      <c r="W792" s="50">
        <v>1.0</v>
      </c>
      <c r="X792" s="116"/>
      <c r="Y792" s="116"/>
      <c r="Z792" s="116"/>
      <c r="AA792" s="116"/>
      <c r="AB792" s="116"/>
      <c r="AC792" s="116"/>
      <c r="AD792" s="116"/>
      <c r="AE792" s="50">
        <v>1.0</v>
      </c>
      <c r="AF792" s="50">
        <v>2.0</v>
      </c>
      <c r="AG792" s="50">
        <v>3.0</v>
      </c>
      <c r="AH792" s="50">
        <v>4.0</v>
      </c>
      <c r="AI792" s="116"/>
      <c r="AJ792" s="116"/>
      <c r="AK792" s="116"/>
      <c r="AL792" s="116"/>
      <c r="AM792" s="116"/>
      <c r="AN792" s="116"/>
      <c r="AO792" s="116"/>
      <c r="AP792" s="116"/>
      <c r="AQ792" s="50" t="s">
        <v>12501</v>
      </c>
      <c r="AR792" s="50" t="s">
        <v>12906</v>
      </c>
      <c r="AS792" s="50">
        <v>0.0</v>
      </c>
      <c r="AT792" s="50" t="s">
        <v>5540</v>
      </c>
      <c r="AU792" s="117">
        <v>8385.0</v>
      </c>
      <c r="AV792" s="50" t="s">
        <v>13200</v>
      </c>
      <c r="AW792" s="50" t="s">
        <v>13201</v>
      </c>
      <c r="AX792" s="117">
        <v>791.0</v>
      </c>
    </row>
    <row r="793">
      <c r="A793" s="50" t="s">
        <v>13202</v>
      </c>
      <c r="B793" s="50" t="s">
        <v>13203</v>
      </c>
      <c r="C793" s="116"/>
      <c r="D793" s="116"/>
      <c r="E793" s="50">
        <v>3.52155090281144E14</v>
      </c>
      <c r="F793" s="50">
        <v>10.0</v>
      </c>
      <c r="G793" s="50">
        <v>99.0</v>
      </c>
      <c r="H793" s="116"/>
      <c r="I793" s="116"/>
      <c r="J793" s="116"/>
      <c r="K793" s="50">
        <v>1.0</v>
      </c>
      <c r="L793" s="50" t="s">
        <v>5172</v>
      </c>
      <c r="M793" s="50" t="s">
        <v>5172</v>
      </c>
      <c r="N793" s="116"/>
      <c r="O793" s="116"/>
      <c r="P793" s="50" t="s">
        <v>13208</v>
      </c>
      <c r="Q793" s="50" t="s">
        <v>13209</v>
      </c>
      <c r="R793" s="50">
        <v>22.4956268</v>
      </c>
      <c r="S793" s="50">
        <v>88.3916883</v>
      </c>
      <c r="T793" s="50">
        <v>-60.4000015258789</v>
      </c>
      <c r="U793" s="50">
        <v>5.0</v>
      </c>
      <c r="V793" s="50">
        <v>1.0</v>
      </c>
      <c r="W793" s="50">
        <v>1.0</v>
      </c>
      <c r="X793" s="116"/>
      <c r="Y793" s="116"/>
      <c r="Z793" s="116"/>
      <c r="AA793" s="116"/>
      <c r="AB793" s="116"/>
      <c r="AC793" s="116"/>
      <c r="AD793" s="116"/>
      <c r="AE793" s="116"/>
      <c r="AF793" s="116"/>
      <c r="AG793" s="116"/>
      <c r="AH793" s="116"/>
      <c r="AI793" s="116"/>
      <c r="AJ793" s="116"/>
      <c r="AK793" s="116"/>
      <c r="AL793" s="116"/>
      <c r="AM793" s="116"/>
      <c r="AN793" s="116"/>
      <c r="AO793" s="116"/>
      <c r="AP793" s="116"/>
      <c r="AQ793" s="50" t="s">
        <v>2949</v>
      </c>
      <c r="AR793" s="50" t="s">
        <v>12906</v>
      </c>
      <c r="AS793" s="116"/>
      <c r="AT793" s="50" t="s">
        <v>5540</v>
      </c>
      <c r="AU793" s="117">
        <v>8386.0</v>
      </c>
      <c r="AV793" s="50" t="s">
        <v>13223</v>
      </c>
      <c r="AW793" s="50" t="s">
        <v>13224</v>
      </c>
      <c r="AX793" s="117">
        <v>792.0</v>
      </c>
    </row>
    <row r="794">
      <c r="A794" s="50" t="s">
        <v>13226</v>
      </c>
      <c r="B794" s="50" t="s">
        <v>13227</v>
      </c>
      <c r="C794" s="116"/>
      <c r="D794" s="116"/>
      <c r="E794" s="50">
        <v>3.52155090281144E14</v>
      </c>
      <c r="F794" s="50">
        <v>66.0</v>
      </c>
      <c r="G794" s="50">
        <v>12.0</v>
      </c>
      <c r="H794" s="116"/>
      <c r="I794" s="116"/>
      <c r="J794" s="116"/>
      <c r="K794" s="116"/>
      <c r="L794" s="50" t="s">
        <v>5198</v>
      </c>
      <c r="M794" s="50" t="s">
        <v>5198</v>
      </c>
      <c r="N794" s="50">
        <v>5.0</v>
      </c>
      <c r="O794" s="50" t="s">
        <v>13232</v>
      </c>
      <c r="P794" s="116"/>
      <c r="Q794" s="50" t="s">
        <v>13233</v>
      </c>
      <c r="R794" s="50">
        <v>22.5345807</v>
      </c>
      <c r="S794" s="50">
        <v>88.3959696</v>
      </c>
      <c r="T794" s="50">
        <v>-46.099998474121</v>
      </c>
      <c r="U794" s="50">
        <v>5.0</v>
      </c>
      <c r="V794" s="50">
        <v>1.0</v>
      </c>
      <c r="W794" s="50">
        <v>1.0</v>
      </c>
      <c r="X794" s="116"/>
      <c r="Y794" s="116"/>
      <c r="Z794" s="116"/>
      <c r="AA794" s="116"/>
      <c r="AB794" s="116"/>
      <c r="AC794" s="116"/>
      <c r="AD794" s="116"/>
      <c r="AE794" s="50">
        <v>1.0</v>
      </c>
      <c r="AF794" s="50">
        <v>2.0</v>
      </c>
      <c r="AG794" s="50">
        <v>3.0</v>
      </c>
      <c r="AH794" s="50">
        <v>4.0</v>
      </c>
      <c r="AI794" s="116"/>
      <c r="AJ794" s="116"/>
      <c r="AK794" s="116"/>
      <c r="AL794" s="116"/>
      <c r="AM794" s="116"/>
      <c r="AN794" s="116"/>
      <c r="AO794" s="116"/>
      <c r="AP794" s="116"/>
      <c r="AQ794" s="50" t="s">
        <v>3200</v>
      </c>
      <c r="AR794" s="50" t="s">
        <v>2327</v>
      </c>
      <c r="AS794" s="50">
        <v>0.0</v>
      </c>
      <c r="AT794" s="50" t="s">
        <v>5540</v>
      </c>
      <c r="AU794" s="117">
        <v>8387.0</v>
      </c>
      <c r="AV794" s="50" t="s">
        <v>13239</v>
      </c>
      <c r="AW794" s="50" t="s">
        <v>13240</v>
      </c>
      <c r="AX794" s="117">
        <v>793.0</v>
      </c>
    </row>
    <row r="795">
      <c r="A795" s="50" t="s">
        <v>13241</v>
      </c>
      <c r="B795" s="50" t="s">
        <v>13242</v>
      </c>
      <c r="C795" s="116"/>
      <c r="D795" s="116"/>
      <c r="E795" s="50">
        <v>3.52155090281144E14</v>
      </c>
      <c r="F795" s="50">
        <v>66.0</v>
      </c>
      <c r="G795" s="50">
        <v>99.0</v>
      </c>
      <c r="H795" s="116"/>
      <c r="I795" s="116"/>
      <c r="J795" s="116"/>
      <c r="K795" s="50">
        <v>1.0</v>
      </c>
      <c r="L795" s="50" t="s">
        <v>5209</v>
      </c>
      <c r="M795" s="50" t="s">
        <v>5209</v>
      </c>
      <c r="N795" s="116"/>
      <c r="O795" s="116"/>
      <c r="P795" s="50" t="s">
        <v>13251</v>
      </c>
      <c r="Q795" s="50" t="s">
        <v>13252</v>
      </c>
      <c r="R795" s="50">
        <v>22.5346184</v>
      </c>
      <c r="S795" s="50">
        <v>88.3958901</v>
      </c>
      <c r="T795" s="50">
        <v>-48.0</v>
      </c>
      <c r="U795" s="50">
        <v>5.0</v>
      </c>
      <c r="V795" s="50">
        <v>1.0</v>
      </c>
      <c r="W795" s="50">
        <v>1.0</v>
      </c>
      <c r="X795" s="116"/>
      <c r="Y795" s="116"/>
      <c r="Z795" s="116"/>
      <c r="AA795" s="116"/>
      <c r="AB795" s="116"/>
      <c r="AC795" s="116"/>
      <c r="AD795" s="116"/>
      <c r="AE795" s="116"/>
      <c r="AF795" s="116"/>
      <c r="AG795" s="116"/>
      <c r="AH795" s="116"/>
      <c r="AI795" s="116"/>
      <c r="AJ795" s="116"/>
      <c r="AK795" s="116"/>
      <c r="AL795" s="116"/>
      <c r="AM795" s="116"/>
      <c r="AN795" s="116"/>
      <c r="AO795" s="116"/>
      <c r="AP795" s="116"/>
      <c r="AQ795" s="50" t="s">
        <v>3200</v>
      </c>
      <c r="AR795" s="50" t="s">
        <v>2327</v>
      </c>
      <c r="AS795" s="116"/>
      <c r="AT795" s="50" t="s">
        <v>5540</v>
      </c>
      <c r="AU795" s="117">
        <v>8388.0</v>
      </c>
      <c r="AV795" s="50" t="s">
        <v>13258</v>
      </c>
      <c r="AW795" s="50" t="s">
        <v>13259</v>
      </c>
      <c r="AX795" s="117">
        <v>794.0</v>
      </c>
    </row>
    <row r="796">
      <c r="A796" s="50" t="s">
        <v>13261</v>
      </c>
      <c r="B796" s="50" t="s">
        <v>13262</v>
      </c>
      <c r="C796" s="116"/>
      <c r="D796" s="116"/>
      <c r="E796" s="50">
        <v>3.52155090281144E14</v>
      </c>
      <c r="F796" s="50">
        <v>59.0</v>
      </c>
      <c r="G796" s="50">
        <v>12.0</v>
      </c>
      <c r="H796" s="116"/>
      <c r="I796" s="116"/>
      <c r="J796" s="116"/>
      <c r="K796" s="116"/>
      <c r="L796" s="50" t="s">
        <v>5228</v>
      </c>
      <c r="M796" s="50" t="s">
        <v>5228</v>
      </c>
      <c r="N796" s="50">
        <v>6.0</v>
      </c>
      <c r="O796" s="50" t="s">
        <v>13263</v>
      </c>
      <c r="P796" s="116"/>
      <c r="Q796" s="50" t="s">
        <v>13264</v>
      </c>
      <c r="R796" s="50">
        <v>22.540051</v>
      </c>
      <c r="S796" s="50">
        <v>88.3872117</v>
      </c>
      <c r="T796" s="50">
        <v>-50.4000015258789</v>
      </c>
      <c r="U796" s="50">
        <v>5.0</v>
      </c>
      <c r="V796" s="50">
        <v>1.0</v>
      </c>
      <c r="W796" s="50">
        <v>1.0</v>
      </c>
      <c r="X796" s="116"/>
      <c r="Y796" s="116"/>
      <c r="Z796" s="116"/>
      <c r="AA796" s="116"/>
      <c r="AB796" s="116"/>
      <c r="AC796" s="116"/>
      <c r="AD796" s="116"/>
      <c r="AE796" s="50">
        <v>1.0</v>
      </c>
      <c r="AF796" s="50">
        <v>1.0</v>
      </c>
      <c r="AG796" s="50">
        <v>3.0</v>
      </c>
      <c r="AH796" s="50">
        <v>4.0</v>
      </c>
      <c r="AI796" s="116"/>
      <c r="AJ796" s="116"/>
      <c r="AK796" s="116"/>
      <c r="AL796" s="116"/>
      <c r="AM796" s="116"/>
      <c r="AN796" s="116"/>
      <c r="AO796" s="116"/>
      <c r="AP796" s="116"/>
      <c r="AQ796" s="50" t="s">
        <v>3200</v>
      </c>
      <c r="AR796" s="50" t="s">
        <v>12906</v>
      </c>
      <c r="AS796" s="50">
        <v>0.0</v>
      </c>
      <c r="AT796" s="50" t="s">
        <v>5540</v>
      </c>
      <c r="AU796" s="117">
        <v>8389.0</v>
      </c>
      <c r="AV796" s="50" t="s">
        <v>13273</v>
      </c>
      <c r="AW796" s="50" t="s">
        <v>13274</v>
      </c>
      <c r="AX796" s="117">
        <v>795.0</v>
      </c>
    </row>
    <row r="797">
      <c r="A797" s="50" t="s">
        <v>13276</v>
      </c>
      <c r="B797" s="50" t="s">
        <v>13278</v>
      </c>
      <c r="C797" s="116"/>
      <c r="D797" s="116"/>
      <c r="E797" s="50">
        <v>3.52155090281144E14</v>
      </c>
      <c r="F797" s="50">
        <v>59.0</v>
      </c>
      <c r="G797" s="50">
        <v>99.0</v>
      </c>
      <c r="H797" s="116"/>
      <c r="I797" s="116"/>
      <c r="J797" s="116"/>
      <c r="K797" s="50">
        <v>1.0</v>
      </c>
      <c r="L797" s="50" t="s">
        <v>5235</v>
      </c>
      <c r="M797" s="50" t="s">
        <v>5235</v>
      </c>
      <c r="N797" s="116"/>
      <c r="O797" s="116"/>
      <c r="P797" s="50" t="s">
        <v>13280</v>
      </c>
      <c r="Q797" s="50" t="s">
        <v>13281</v>
      </c>
      <c r="R797" s="50">
        <v>22.5400413</v>
      </c>
      <c r="S797" s="50">
        <v>88.3872416</v>
      </c>
      <c r="T797" s="50">
        <v>-61.7000007629394</v>
      </c>
      <c r="U797" s="50">
        <v>5.0</v>
      </c>
      <c r="V797" s="50">
        <v>1.0</v>
      </c>
      <c r="W797" s="50">
        <v>1.0</v>
      </c>
      <c r="X797" s="116"/>
      <c r="Y797" s="116"/>
      <c r="Z797" s="116"/>
      <c r="AA797" s="116"/>
      <c r="AB797" s="116"/>
      <c r="AC797" s="116"/>
      <c r="AD797" s="116"/>
      <c r="AE797" s="116"/>
      <c r="AF797" s="116"/>
      <c r="AG797" s="116"/>
      <c r="AH797" s="116"/>
      <c r="AI797" s="116"/>
      <c r="AJ797" s="116"/>
      <c r="AK797" s="116"/>
      <c r="AL797" s="116"/>
      <c r="AM797" s="116"/>
      <c r="AN797" s="116"/>
      <c r="AO797" s="116"/>
      <c r="AP797" s="116"/>
      <c r="AQ797" s="50" t="s">
        <v>3200</v>
      </c>
      <c r="AR797" s="50" t="s">
        <v>12906</v>
      </c>
      <c r="AS797" s="116"/>
      <c r="AT797" s="50" t="s">
        <v>5540</v>
      </c>
      <c r="AU797" s="117">
        <v>8390.0</v>
      </c>
      <c r="AV797" s="50" t="s">
        <v>13292</v>
      </c>
      <c r="AW797" s="50" t="s">
        <v>13293</v>
      </c>
      <c r="AX797" s="117">
        <v>796.0</v>
      </c>
    </row>
    <row r="798">
      <c r="A798" s="50" t="s">
        <v>13294</v>
      </c>
      <c r="B798" s="50" t="s">
        <v>13295</v>
      </c>
      <c r="C798" s="116"/>
      <c r="D798" s="116"/>
      <c r="E798" s="50">
        <v>3.52155090281144E14</v>
      </c>
      <c r="F798" s="50">
        <v>65.0</v>
      </c>
      <c r="G798" s="50">
        <v>12.0</v>
      </c>
      <c r="H798" s="116"/>
      <c r="I798" s="116"/>
      <c r="J798" s="116"/>
      <c r="K798" s="116"/>
      <c r="L798" s="50" t="s">
        <v>5254</v>
      </c>
      <c r="M798" s="50" t="s">
        <v>5254</v>
      </c>
      <c r="N798" s="50">
        <v>8.0</v>
      </c>
      <c r="O798" s="50" t="s">
        <v>13300</v>
      </c>
      <c r="P798" s="116"/>
      <c r="Q798" s="50" t="s">
        <v>13301</v>
      </c>
      <c r="R798" s="50">
        <v>22.536067</v>
      </c>
      <c r="S798" s="50">
        <v>88.3746792</v>
      </c>
      <c r="T798" s="50">
        <v>-42.2000007629394</v>
      </c>
      <c r="U798" s="50">
        <v>5.0</v>
      </c>
      <c r="V798" s="50">
        <v>1.0</v>
      </c>
      <c r="W798" s="50">
        <v>1.0</v>
      </c>
      <c r="X798" s="116"/>
      <c r="Y798" s="116"/>
      <c r="Z798" s="116"/>
      <c r="AA798" s="116"/>
      <c r="AB798" s="116"/>
      <c r="AC798" s="116"/>
      <c r="AD798" s="116"/>
      <c r="AE798" s="50">
        <v>1.0</v>
      </c>
      <c r="AF798" s="50">
        <v>2.0</v>
      </c>
      <c r="AG798" s="50">
        <v>4.0</v>
      </c>
      <c r="AH798" s="50">
        <v>4.0</v>
      </c>
      <c r="AI798" s="116"/>
      <c r="AJ798" s="116"/>
      <c r="AK798" s="116"/>
      <c r="AL798" s="116"/>
      <c r="AM798" s="116"/>
      <c r="AN798" s="116"/>
      <c r="AO798" s="116"/>
      <c r="AP798" s="116"/>
      <c r="AQ798" s="50" t="s">
        <v>2949</v>
      </c>
      <c r="AR798" s="50" t="s">
        <v>12906</v>
      </c>
      <c r="AS798" s="50">
        <v>0.0</v>
      </c>
      <c r="AT798" s="50" t="s">
        <v>5540</v>
      </c>
      <c r="AU798" s="117">
        <v>8391.0</v>
      </c>
      <c r="AV798" s="50" t="s">
        <v>13312</v>
      </c>
      <c r="AW798" s="50" t="s">
        <v>13313</v>
      </c>
      <c r="AX798" s="117">
        <v>797.0</v>
      </c>
    </row>
    <row r="799">
      <c r="A799" s="50" t="s">
        <v>13314</v>
      </c>
      <c r="B799" s="50" t="s">
        <v>13315</v>
      </c>
      <c r="C799" s="116"/>
      <c r="D799" s="116"/>
      <c r="E799" s="50">
        <v>3.52155090281144E14</v>
      </c>
      <c r="F799" s="50">
        <v>65.0</v>
      </c>
      <c r="G799" s="50">
        <v>99.0</v>
      </c>
      <c r="H799" s="116"/>
      <c r="I799" s="116"/>
      <c r="J799" s="116"/>
      <c r="K799" s="50">
        <v>1.0</v>
      </c>
      <c r="L799" s="50" t="s">
        <v>5261</v>
      </c>
      <c r="M799" s="50" t="s">
        <v>5261</v>
      </c>
      <c r="N799" s="116"/>
      <c r="O799" s="116"/>
      <c r="P799" s="50" t="s">
        <v>13317</v>
      </c>
      <c r="Q799" s="50" t="s">
        <v>13318</v>
      </c>
      <c r="R799" s="50">
        <v>22.5361221</v>
      </c>
      <c r="S799" s="50">
        <v>88.3746732</v>
      </c>
      <c r="T799" s="50">
        <v>-41.4000015258789</v>
      </c>
      <c r="U799" s="50">
        <v>5.0</v>
      </c>
      <c r="V799" s="50">
        <v>1.0</v>
      </c>
      <c r="W799" s="50">
        <v>1.0</v>
      </c>
      <c r="X799" s="116"/>
      <c r="Y799" s="116"/>
      <c r="Z799" s="116"/>
      <c r="AA799" s="116"/>
      <c r="AB799" s="116"/>
      <c r="AC799" s="116"/>
      <c r="AD799" s="116"/>
      <c r="AE799" s="116"/>
      <c r="AF799" s="116"/>
      <c r="AG799" s="116"/>
      <c r="AH799" s="116"/>
      <c r="AI799" s="116"/>
      <c r="AJ799" s="116"/>
      <c r="AK799" s="116"/>
      <c r="AL799" s="116"/>
      <c r="AM799" s="116"/>
      <c r="AN799" s="116"/>
      <c r="AO799" s="116"/>
      <c r="AP799" s="116"/>
      <c r="AQ799" s="50" t="s">
        <v>2949</v>
      </c>
      <c r="AR799" s="50" t="s">
        <v>3142</v>
      </c>
      <c r="AS799" s="116"/>
      <c r="AT799" s="50" t="s">
        <v>5540</v>
      </c>
      <c r="AU799" s="117">
        <v>8392.0</v>
      </c>
      <c r="AV799" s="50" t="s">
        <v>13324</v>
      </c>
      <c r="AW799" s="50" t="s">
        <v>13325</v>
      </c>
      <c r="AX799" s="117">
        <v>798.0</v>
      </c>
    </row>
    <row r="800">
      <c r="A800" s="50" t="s">
        <v>13327</v>
      </c>
      <c r="B800" s="50" t="s">
        <v>13329</v>
      </c>
      <c r="C800" s="116"/>
      <c r="D800" s="116"/>
      <c r="E800" s="50">
        <v>3.5215509147374E14</v>
      </c>
      <c r="F800" s="50">
        <v>59.0</v>
      </c>
      <c r="G800" s="50">
        <v>11.0</v>
      </c>
      <c r="H800" s="50">
        <v>4.0</v>
      </c>
      <c r="I800" s="50">
        <v>1.0</v>
      </c>
      <c r="J800" s="50" t="s">
        <v>11425</v>
      </c>
      <c r="K800" s="116"/>
      <c r="L800" s="50" t="s">
        <v>4996</v>
      </c>
      <c r="M800" s="50" t="s">
        <v>4996</v>
      </c>
      <c r="N800" s="116"/>
      <c r="O800" s="116"/>
      <c r="P800" s="50" t="s">
        <v>13208</v>
      </c>
      <c r="Q800" s="50" t="s">
        <v>13334</v>
      </c>
      <c r="R800" s="50">
        <v>22.5408067</v>
      </c>
      <c r="S800" s="50">
        <v>88.3744432</v>
      </c>
      <c r="T800" s="50">
        <v>-54.0</v>
      </c>
      <c r="U800" s="50">
        <v>5.0</v>
      </c>
      <c r="V800" s="50">
        <v>1.0</v>
      </c>
      <c r="W800" s="50">
        <v>0.0</v>
      </c>
      <c r="X800" s="50">
        <v>1.0</v>
      </c>
      <c r="Y800" s="116"/>
      <c r="Z800" s="116"/>
      <c r="AA800" s="50">
        <v>1.0</v>
      </c>
      <c r="AB800" s="50">
        <v>4.0</v>
      </c>
      <c r="AC800" s="116"/>
      <c r="AD800" s="116"/>
      <c r="AE800" s="116"/>
      <c r="AF800" s="116"/>
      <c r="AG800" s="116"/>
      <c r="AH800" s="116"/>
      <c r="AI800" s="116"/>
      <c r="AJ800" s="116"/>
      <c r="AK800" s="116"/>
      <c r="AL800" s="116"/>
      <c r="AM800" s="116"/>
      <c r="AN800" s="116"/>
      <c r="AO800" s="116"/>
      <c r="AP800" s="116"/>
      <c r="AQ800" s="50" t="s">
        <v>3185</v>
      </c>
      <c r="AR800" s="50" t="s">
        <v>2472</v>
      </c>
      <c r="AS800" s="50">
        <v>1.0</v>
      </c>
      <c r="AT800" s="50" t="s">
        <v>5540</v>
      </c>
      <c r="AU800" s="117">
        <v>8399.0</v>
      </c>
      <c r="AV800" s="50" t="s">
        <v>13343</v>
      </c>
      <c r="AW800" s="50" t="s">
        <v>13344</v>
      </c>
      <c r="AX800" s="117">
        <v>799.0</v>
      </c>
    </row>
    <row r="801">
      <c r="A801" s="50" t="s">
        <v>13347</v>
      </c>
      <c r="B801" s="50" t="s">
        <v>13348</v>
      </c>
      <c r="C801" s="116"/>
      <c r="D801" s="116"/>
      <c r="E801" s="50">
        <v>3.5215509147374E14</v>
      </c>
      <c r="F801" s="50">
        <v>59.0</v>
      </c>
      <c r="G801" s="50">
        <v>99.0</v>
      </c>
      <c r="H801" s="116"/>
      <c r="I801" s="116"/>
      <c r="J801" s="116"/>
      <c r="K801" s="50">
        <v>2.0</v>
      </c>
      <c r="L801" s="50" t="s">
        <v>5009</v>
      </c>
      <c r="M801" s="50" t="s">
        <v>5009</v>
      </c>
      <c r="N801" s="116"/>
      <c r="O801" s="116"/>
      <c r="P801" s="50" t="s">
        <v>13352</v>
      </c>
      <c r="Q801" s="50" t="s">
        <v>13353</v>
      </c>
      <c r="R801" s="50">
        <v>22.5408445</v>
      </c>
      <c r="S801" s="50">
        <v>88.3744364</v>
      </c>
      <c r="T801" s="50">
        <v>-50.5</v>
      </c>
      <c r="U801" s="50">
        <v>5.0</v>
      </c>
      <c r="V801" s="50">
        <v>1.0</v>
      </c>
      <c r="W801" s="50">
        <v>0.0</v>
      </c>
      <c r="X801" s="50">
        <v>1.0</v>
      </c>
      <c r="Y801" s="116"/>
      <c r="Z801" s="116"/>
      <c r="AA801" s="116"/>
      <c r="AB801" s="116"/>
      <c r="AC801" s="116"/>
      <c r="AD801" s="116"/>
      <c r="AE801" s="116"/>
      <c r="AF801" s="116"/>
      <c r="AG801" s="116"/>
      <c r="AH801" s="116"/>
      <c r="AI801" s="116"/>
      <c r="AJ801" s="116"/>
      <c r="AK801" s="116"/>
      <c r="AL801" s="116"/>
      <c r="AM801" s="116"/>
      <c r="AN801" s="116"/>
      <c r="AO801" s="116"/>
      <c r="AP801" s="116"/>
      <c r="AQ801" s="50" t="s">
        <v>13361</v>
      </c>
      <c r="AR801" s="50" t="s">
        <v>2472</v>
      </c>
      <c r="AS801" s="116"/>
      <c r="AT801" s="50" t="s">
        <v>5540</v>
      </c>
      <c r="AU801" s="117">
        <v>8400.0</v>
      </c>
      <c r="AV801" s="50" t="s">
        <v>13362</v>
      </c>
      <c r="AW801" s="50" t="s">
        <v>13363</v>
      </c>
      <c r="AX801" s="117">
        <v>800.0</v>
      </c>
    </row>
    <row r="802">
      <c r="A802" s="50" t="s">
        <v>13364</v>
      </c>
      <c r="B802" s="50" t="s">
        <v>13365</v>
      </c>
      <c r="C802" s="116"/>
      <c r="D802" s="116"/>
      <c r="E802" s="50">
        <v>3.5215509147374E14</v>
      </c>
      <c r="F802" s="50">
        <v>59.0</v>
      </c>
      <c r="G802" s="50">
        <v>11.0</v>
      </c>
      <c r="H802" s="50">
        <v>4.0</v>
      </c>
      <c r="I802" s="50">
        <v>1.0</v>
      </c>
      <c r="J802" s="50" t="s">
        <v>11552</v>
      </c>
      <c r="K802" s="116"/>
      <c r="L802" s="50" t="s">
        <v>5038</v>
      </c>
      <c r="M802" s="50" t="s">
        <v>5038</v>
      </c>
      <c r="N802" s="116"/>
      <c r="O802" s="116"/>
      <c r="P802" s="50" t="s">
        <v>13370</v>
      </c>
      <c r="Q802" s="50" t="s">
        <v>13373</v>
      </c>
      <c r="R802" s="50">
        <v>22.5415052</v>
      </c>
      <c r="S802" s="50">
        <v>88.3749423</v>
      </c>
      <c r="T802" s="50">
        <v>-46.7000007629394</v>
      </c>
      <c r="U802" s="50">
        <v>5.0</v>
      </c>
      <c r="V802" s="50">
        <v>1.0</v>
      </c>
      <c r="W802" s="50">
        <v>0.0</v>
      </c>
      <c r="X802" s="50">
        <v>1.0</v>
      </c>
      <c r="Y802" s="116"/>
      <c r="Z802" s="116"/>
      <c r="AA802" s="50">
        <v>2.0</v>
      </c>
      <c r="AB802" s="50">
        <v>4.0</v>
      </c>
      <c r="AC802" s="116"/>
      <c r="AD802" s="116"/>
      <c r="AE802" s="116"/>
      <c r="AF802" s="116"/>
      <c r="AG802" s="116"/>
      <c r="AH802" s="116"/>
      <c r="AI802" s="116"/>
      <c r="AJ802" s="116"/>
      <c r="AK802" s="116"/>
      <c r="AL802" s="116"/>
      <c r="AM802" s="116"/>
      <c r="AN802" s="116"/>
      <c r="AO802" s="116"/>
      <c r="AP802" s="116"/>
      <c r="AQ802" s="50" t="s">
        <v>3149</v>
      </c>
      <c r="AR802" s="50" t="s">
        <v>2278</v>
      </c>
      <c r="AS802" s="50">
        <v>1.0</v>
      </c>
      <c r="AT802" s="50" t="s">
        <v>5540</v>
      </c>
      <c r="AU802" s="117">
        <v>8401.0</v>
      </c>
      <c r="AV802" s="50" t="s">
        <v>13386</v>
      </c>
      <c r="AW802" s="50" t="s">
        <v>13387</v>
      </c>
      <c r="AX802" s="117">
        <v>801.0</v>
      </c>
    </row>
    <row r="803">
      <c r="A803" s="50" t="s">
        <v>13388</v>
      </c>
      <c r="B803" s="50" t="s">
        <v>13389</v>
      </c>
      <c r="C803" s="116"/>
      <c r="D803" s="116"/>
      <c r="E803" s="50">
        <v>3.5215509147374E14</v>
      </c>
      <c r="F803" s="50">
        <v>59.0</v>
      </c>
      <c r="G803" s="50">
        <v>99.0</v>
      </c>
      <c r="H803" s="116"/>
      <c r="I803" s="116"/>
      <c r="J803" s="116"/>
      <c r="K803" s="50">
        <v>2.0</v>
      </c>
      <c r="L803" s="50" t="s">
        <v>5051</v>
      </c>
      <c r="M803" s="50" t="s">
        <v>5051</v>
      </c>
      <c r="N803" s="116"/>
      <c r="O803" s="116"/>
      <c r="P803" s="50" t="s">
        <v>13393</v>
      </c>
      <c r="Q803" s="50" t="s">
        <v>13394</v>
      </c>
      <c r="R803" s="50">
        <v>22.5418723</v>
      </c>
      <c r="S803" s="50">
        <v>88.3748995</v>
      </c>
      <c r="T803" s="50">
        <v>9.10000038146972</v>
      </c>
      <c r="U803" s="50">
        <v>5.0</v>
      </c>
      <c r="V803" s="50">
        <v>1.0</v>
      </c>
      <c r="W803" s="50">
        <v>0.0</v>
      </c>
      <c r="X803" s="50">
        <v>1.0</v>
      </c>
      <c r="Y803" s="116"/>
      <c r="Z803" s="116"/>
      <c r="AA803" s="116"/>
      <c r="AB803" s="116"/>
      <c r="AC803" s="116"/>
      <c r="AD803" s="116"/>
      <c r="AE803" s="116"/>
      <c r="AF803" s="116"/>
      <c r="AG803" s="116"/>
      <c r="AH803" s="116"/>
      <c r="AI803" s="116"/>
      <c r="AJ803" s="116"/>
      <c r="AK803" s="116"/>
      <c r="AL803" s="116"/>
      <c r="AM803" s="116"/>
      <c r="AN803" s="116"/>
      <c r="AO803" s="116"/>
      <c r="AP803" s="116"/>
      <c r="AQ803" s="50" t="s">
        <v>13396</v>
      </c>
      <c r="AR803" s="50" t="s">
        <v>2278</v>
      </c>
      <c r="AS803" s="116"/>
      <c r="AT803" s="50" t="s">
        <v>5540</v>
      </c>
      <c r="AU803" s="117">
        <v>8402.0</v>
      </c>
      <c r="AV803" s="50" t="s">
        <v>13398</v>
      </c>
      <c r="AW803" s="50" t="s">
        <v>13399</v>
      </c>
      <c r="AX803" s="117">
        <v>802.0</v>
      </c>
    </row>
    <row r="804">
      <c r="A804" s="50" t="s">
        <v>13402</v>
      </c>
      <c r="B804" s="50" t="s">
        <v>13405</v>
      </c>
      <c r="C804" s="116"/>
      <c r="D804" s="116"/>
      <c r="E804" s="50">
        <v>3.5215509147374E14</v>
      </c>
      <c r="F804" s="50">
        <v>59.0</v>
      </c>
      <c r="G804" s="50">
        <v>11.0</v>
      </c>
      <c r="H804" s="50">
        <v>4.0</v>
      </c>
      <c r="I804" s="50">
        <v>1.0</v>
      </c>
      <c r="J804" s="50" t="s">
        <v>12695</v>
      </c>
      <c r="K804" s="116"/>
      <c r="L804" s="50" t="s">
        <v>5079</v>
      </c>
      <c r="M804" s="50" t="s">
        <v>5079</v>
      </c>
      <c r="N804" s="116"/>
      <c r="O804" s="116"/>
      <c r="P804" s="50" t="s">
        <v>13410</v>
      </c>
      <c r="Q804" s="50" t="s">
        <v>13413</v>
      </c>
      <c r="R804" s="50">
        <v>22.5415817</v>
      </c>
      <c r="S804" s="50">
        <v>88.3759194</v>
      </c>
      <c r="T804" s="50">
        <v>-21.7000007629394</v>
      </c>
      <c r="U804" s="50">
        <v>5.0</v>
      </c>
      <c r="V804" s="50">
        <v>1.0</v>
      </c>
      <c r="W804" s="50">
        <v>0.0</v>
      </c>
      <c r="X804" s="50">
        <v>1.0</v>
      </c>
      <c r="Y804" s="116"/>
      <c r="Z804" s="116"/>
      <c r="AA804" s="50">
        <v>1.0</v>
      </c>
      <c r="AB804" s="50">
        <v>4.0</v>
      </c>
      <c r="AC804" s="116"/>
      <c r="AD804" s="116"/>
      <c r="AE804" s="116"/>
      <c r="AF804" s="116"/>
      <c r="AG804" s="116"/>
      <c r="AH804" s="116"/>
      <c r="AI804" s="116"/>
      <c r="AJ804" s="116"/>
      <c r="AK804" s="116"/>
      <c r="AL804" s="116"/>
      <c r="AM804" s="116"/>
      <c r="AN804" s="116"/>
      <c r="AO804" s="116"/>
      <c r="AP804" s="116"/>
      <c r="AQ804" s="50" t="s">
        <v>3185</v>
      </c>
      <c r="AR804" s="50" t="s">
        <v>2286</v>
      </c>
      <c r="AS804" s="50">
        <v>1.0</v>
      </c>
      <c r="AT804" s="50" t="s">
        <v>5540</v>
      </c>
      <c r="AU804" s="117">
        <v>8403.0</v>
      </c>
      <c r="AV804" s="50" t="s">
        <v>13418</v>
      </c>
      <c r="AW804" s="50" t="s">
        <v>13420</v>
      </c>
      <c r="AX804" s="117">
        <v>803.0</v>
      </c>
    </row>
    <row r="805">
      <c r="A805" s="50" t="s">
        <v>13421</v>
      </c>
      <c r="B805" s="50" t="s">
        <v>13422</v>
      </c>
      <c r="C805" s="116"/>
      <c r="D805" s="116"/>
      <c r="E805" s="50">
        <v>3.5215509147374E14</v>
      </c>
      <c r="F805" s="50">
        <v>59.0</v>
      </c>
      <c r="G805" s="50">
        <v>99.0</v>
      </c>
      <c r="H805" s="116"/>
      <c r="I805" s="116"/>
      <c r="J805" s="116"/>
      <c r="K805" s="50">
        <v>2.0</v>
      </c>
      <c r="L805" s="50" t="s">
        <v>5098</v>
      </c>
      <c r="M805" s="50" t="s">
        <v>5098</v>
      </c>
      <c r="N805" s="116"/>
      <c r="O805" s="116"/>
      <c r="P805" s="50" t="s">
        <v>13427</v>
      </c>
      <c r="Q805" s="50" t="s">
        <v>13428</v>
      </c>
      <c r="R805" s="50">
        <v>22.541583</v>
      </c>
      <c r="S805" s="50">
        <v>88.3758862</v>
      </c>
      <c r="T805" s="50">
        <v>-43.599998474121</v>
      </c>
      <c r="U805" s="50">
        <v>5.0</v>
      </c>
      <c r="V805" s="50">
        <v>1.0</v>
      </c>
      <c r="W805" s="50">
        <v>0.0</v>
      </c>
      <c r="X805" s="50">
        <v>1.0</v>
      </c>
      <c r="Y805" s="116"/>
      <c r="Z805" s="116"/>
      <c r="AA805" s="116"/>
      <c r="AB805" s="116"/>
      <c r="AC805" s="116"/>
      <c r="AD805" s="116"/>
      <c r="AE805" s="116"/>
      <c r="AF805" s="116"/>
      <c r="AG805" s="116"/>
      <c r="AH805" s="116"/>
      <c r="AI805" s="116"/>
      <c r="AJ805" s="116"/>
      <c r="AK805" s="116"/>
      <c r="AL805" s="116"/>
      <c r="AM805" s="116"/>
      <c r="AN805" s="116"/>
      <c r="AO805" s="116"/>
      <c r="AP805" s="116"/>
      <c r="AQ805" s="50" t="s">
        <v>13436</v>
      </c>
      <c r="AR805" s="50" t="s">
        <v>2286</v>
      </c>
      <c r="AS805" s="116"/>
      <c r="AT805" s="50" t="s">
        <v>5540</v>
      </c>
      <c r="AU805" s="117">
        <v>8404.0</v>
      </c>
      <c r="AV805" s="50" t="s">
        <v>13437</v>
      </c>
      <c r="AW805" s="50" t="s">
        <v>13439</v>
      </c>
      <c r="AX805" s="117">
        <v>804.0</v>
      </c>
    </row>
    <row r="806">
      <c r="A806" s="50" t="s">
        <v>13440</v>
      </c>
      <c r="B806" s="50" t="s">
        <v>13443</v>
      </c>
      <c r="C806" s="116"/>
      <c r="D806" s="116"/>
      <c r="E806" s="50">
        <v>3.5215509147374E14</v>
      </c>
      <c r="F806" s="50">
        <v>59.0</v>
      </c>
      <c r="G806" s="50">
        <v>11.0</v>
      </c>
      <c r="H806" s="50">
        <v>4.0</v>
      </c>
      <c r="I806" s="50">
        <v>1.0</v>
      </c>
      <c r="J806" s="50" t="s">
        <v>9111</v>
      </c>
      <c r="K806" s="116"/>
      <c r="L806" s="50" t="s">
        <v>5350</v>
      </c>
      <c r="M806" s="50" t="s">
        <v>5350</v>
      </c>
      <c r="N806" s="116"/>
      <c r="O806" s="116"/>
      <c r="P806" s="50" t="s">
        <v>13448</v>
      </c>
      <c r="Q806" s="50" t="s">
        <v>13450</v>
      </c>
      <c r="R806" s="50">
        <v>22.5413302</v>
      </c>
      <c r="S806" s="50">
        <v>88.3762045</v>
      </c>
      <c r="T806" s="50">
        <v>-28.7999992370605</v>
      </c>
      <c r="U806" s="50">
        <v>5.0</v>
      </c>
      <c r="V806" s="50">
        <v>1.0</v>
      </c>
      <c r="W806" s="50">
        <v>0.0</v>
      </c>
      <c r="X806" s="50">
        <v>1.0</v>
      </c>
      <c r="Y806" s="116"/>
      <c r="Z806" s="116"/>
      <c r="AA806" s="50">
        <v>1.0</v>
      </c>
      <c r="AB806" s="50">
        <v>4.0</v>
      </c>
      <c r="AC806" s="116"/>
      <c r="AD806" s="116"/>
      <c r="AE806" s="116"/>
      <c r="AF806" s="116"/>
      <c r="AG806" s="116"/>
      <c r="AH806" s="116"/>
      <c r="AI806" s="116"/>
      <c r="AJ806" s="116"/>
      <c r="AK806" s="116"/>
      <c r="AL806" s="116"/>
      <c r="AM806" s="116"/>
      <c r="AN806" s="116"/>
      <c r="AO806" s="116"/>
      <c r="AP806" s="116"/>
      <c r="AQ806" s="50" t="s">
        <v>3149</v>
      </c>
      <c r="AR806" s="50" t="s">
        <v>2327</v>
      </c>
      <c r="AS806" s="50">
        <v>1.0</v>
      </c>
      <c r="AT806" s="50" t="s">
        <v>13460</v>
      </c>
      <c r="AU806" s="117">
        <v>8465.0</v>
      </c>
      <c r="AV806" s="50" t="s">
        <v>13461</v>
      </c>
      <c r="AW806" s="50" t="s">
        <v>13462</v>
      </c>
      <c r="AX806" s="117">
        <v>805.0</v>
      </c>
    </row>
    <row r="807">
      <c r="A807" s="50" t="s">
        <v>13463</v>
      </c>
      <c r="B807" s="50" t="s">
        <v>13464</v>
      </c>
      <c r="C807" s="116"/>
      <c r="D807" s="116"/>
      <c r="E807" s="50">
        <v>3.5215509147374E14</v>
      </c>
      <c r="F807" s="50">
        <v>59.0</v>
      </c>
      <c r="G807" s="50">
        <v>99.0</v>
      </c>
      <c r="H807" s="116"/>
      <c r="I807" s="116"/>
      <c r="J807" s="116"/>
      <c r="K807" s="50">
        <v>2.0</v>
      </c>
      <c r="L807" s="50" t="s">
        <v>5363</v>
      </c>
      <c r="M807" s="50" t="s">
        <v>5363</v>
      </c>
      <c r="N807" s="116"/>
      <c r="O807" s="116"/>
      <c r="P807" s="50" t="s">
        <v>13471</v>
      </c>
      <c r="Q807" s="50" t="s">
        <v>13474</v>
      </c>
      <c r="R807" s="50">
        <v>22.5414031</v>
      </c>
      <c r="S807" s="50">
        <v>88.375925</v>
      </c>
      <c r="T807" s="50">
        <v>-90.3000030517578</v>
      </c>
      <c r="U807" s="50">
        <v>5.0</v>
      </c>
      <c r="V807" s="50">
        <v>1.0</v>
      </c>
      <c r="W807" s="50">
        <v>0.0</v>
      </c>
      <c r="X807" s="50">
        <v>1.0</v>
      </c>
      <c r="Y807" s="116"/>
      <c r="Z807" s="116"/>
      <c r="AA807" s="116"/>
      <c r="AB807" s="116"/>
      <c r="AC807" s="116"/>
      <c r="AD807" s="116"/>
      <c r="AE807" s="116"/>
      <c r="AF807" s="116"/>
      <c r="AG807" s="116"/>
      <c r="AH807" s="116"/>
      <c r="AI807" s="116"/>
      <c r="AJ807" s="116"/>
      <c r="AK807" s="116"/>
      <c r="AL807" s="116"/>
      <c r="AM807" s="116"/>
      <c r="AN807" s="116"/>
      <c r="AO807" s="116"/>
      <c r="AP807" s="116"/>
      <c r="AQ807" s="50" t="s">
        <v>13477</v>
      </c>
      <c r="AR807" s="50" t="s">
        <v>2327</v>
      </c>
      <c r="AS807" s="116"/>
      <c r="AT807" s="50" t="s">
        <v>13460</v>
      </c>
      <c r="AU807" s="117">
        <v>8466.0</v>
      </c>
      <c r="AV807" s="50" t="s">
        <v>13479</v>
      </c>
      <c r="AW807" s="50" t="s">
        <v>13480</v>
      </c>
      <c r="AX807" s="117">
        <v>806.0</v>
      </c>
    </row>
    <row r="808">
      <c r="A808" s="50" t="s">
        <v>13482</v>
      </c>
      <c r="B808" s="50" t="s">
        <v>13483</v>
      </c>
      <c r="C808" s="116"/>
      <c r="D808" s="116"/>
      <c r="E808" s="50">
        <v>3.5215509147374E14</v>
      </c>
      <c r="F808" s="50">
        <v>59.0</v>
      </c>
      <c r="G808" s="50">
        <v>11.0</v>
      </c>
      <c r="H808" s="50">
        <v>4.0</v>
      </c>
      <c r="I808" s="50">
        <v>1.0</v>
      </c>
      <c r="J808" s="50" t="s">
        <v>8348</v>
      </c>
      <c r="K808" s="116"/>
      <c r="L808" s="50" t="s">
        <v>5378</v>
      </c>
      <c r="M808" s="50" t="s">
        <v>5378</v>
      </c>
      <c r="N808" s="116"/>
      <c r="O808" s="116"/>
      <c r="P808" s="50" t="s">
        <v>13484</v>
      </c>
      <c r="Q808" s="50" t="s">
        <v>13485</v>
      </c>
      <c r="R808" s="50">
        <v>22.541507</v>
      </c>
      <c r="S808" s="50">
        <v>88.3753575</v>
      </c>
      <c r="T808" s="50">
        <v>-54.7999992370605</v>
      </c>
      <c r="U808" s="50">
        <v>4.5</v>
      </c>
      <c r="V808" s="50">
        <v>1.0</v>
      </c>
      <c r="W808" s="50">
        <v>0.0</v>
      </c>
      <c r="X808" s="50">
        <v>1.0</v>
      </c>
      <c r="Y808" s="116"/>
      <c r="Z808" s="116"/>
      <c r="AA808" s="50">
        <v>1.0</v>
      </c>
      <c r="AB808" s="50">
        <v>4.0</v>
      </c>
      <c r="AC808" s="116"/>
      <c r="AD808" s="116"/>
      <c r="AE808" s="116"/>
      <c r="AF808" s="116"/>
      <c r="AG808" s="116"/>
      <c r="AH808" s="116"/>
      <c r="AI808" s="116"/>
      <c r="AJ808" s="116"/>
      <c r="AK808" s="116"/>
      <c r="AL808" s="116"/>
      <c r="AM808" s="116"/>
      <c r="AN808" s="116"/>
      <c r="AO808" s="116"/>
      <c r="AP808" s="116"/>
      <c r="AQ808" s="50" t="s">
        <v>2949</v>
      </c>
      <c r="AR808" s="50" t="s">
        <v>2472</v>
      </c>
      <c r="AS808" s="50">
        <v>1.0</v>
      </c>
      <c r="AT808" s="50" t="s">
        <v>13460</v>
      </c>
      <c r="AU808" s="117">
        <v>8467.0</v>
      </c>
      <c r="AV808" s="50" t="s">
        <v>13493</v>
      </c>
      <c r="AW808" s="50" t="s">
        <v>13494</v>
      </c>
      <c r="AX808" s="117">
        <v>807.0</v>
      </c>
    </row>
    <row r="809">
      <c r="A809" s="50" t="s">
        <v>13495</v>
      </c>
      <c r="B809" s="50" t="s">
        <v>13497</v>
      </c>
      <c r="C809" s="116"/>
      <c r="D809" s="116"/>
      <c r="E809" s="50">
        <v>3.5215509147374E14</v>
      </c>
      <c r="F809" s="50">
        <v>59.0</v>
      </c>
      <c r="G809" s="50">
        <v>99.0</v>
      </c>
      <c r="H809" s="116"/>
      <c r="I809" s="116"/>
      <c r="J809" s="116"/>
      <c r="K809" s="50">
        <v>2.0</v>
      </c>
      <c r="L809" s="50" t="s">
        <v>5393</v>
      </c>
      <c r="M809" s="50" t="s">
        <v>5393</v>
      </c>
      <c r="N809" s="116"/>
      <c r="O809" s="116"/>
      <c r="P809" s="50" t="s">
        <v>13498</v>
      </c>
      <c r="Q809" s="50" t="s">
        <v>13499</v>
      </c>
      <c r="R809" s="50">
        <v>22.5414935</v>
      </c>
      <c r="S809" s="50">
        <v>88.3753131</v>
      </c>
      <c r="T809" s="50">
        <v>-66.5</v>
      </c>
      <c r="U809" s="50">
        <v>5.0</v>
      </c>
      <c r="V809" s="50">
        <v>1.0</v>
      </c>
      <c r="W809" s="50">
        <v>0.0</v>
      </c>
      <c r="X809" s="50">
        <v>1.0</v>
      </c>
      <c r="Y809" s="116"/>
      <c r="Z809" s="116"/>
      <c r="AA809" s="116"/>
      <c r="AB809" s="116"/>
      <c r="AC809" s="116"/>
      <c r="AD809" s="116"/>
      <c r="AE809" s="116"/>
      <c r="AF809" s="116"/>
      <c r="AG809" s="116"/>
      <c r="AH809" s="116"/>
      <c r="AI809" s="116"/>
      <c r="AJ809" s="116"/>
      <c r="AK809" s="116"/>
      <c r="AL809" s="116"/>
      <c r="AM809" s="116"/>
      <c r="AN809" s="116"/>
      <c r="AO809" s="116"/>
      <c r="AP809" s="116"/>
      <c r="AQ809" s="50" t="s">
        <v>13504</v>
      </c>
      <c r="AR809" s="50" t="s">
        <v>2472</v>
      </c>
      <c r="AS809" s="116"/>
      <c r="AT809" s="50" t="s">
        <v>13460</v>
      </c>
      <c r="AU809" s="117">
        <v>8468.0</v>
      </c>
      <c r="AV809" s="50" t="s">
        <v>13505</v>
      </c>
      <c r="AW809" s="50" t="s">
        <v>13507</v>
      </c>
      <c r="AX809" s="117">
        <v>808.0</v>
      </c>
    </row>
    <row r="810">
      <c r="A810" s="50" t="s">
        <v>13509</v>
      </c>
      <c r="B810" s="50" t="s">
        <v>13510</v>
      </c>
      <c r="C810" s="116"/>
      <c r="D810" s="116"/>
      <c r="E810" s="50">
        <v>3.5215509147374E14</v>
      </c>
      <c r="F810" s="50">
        <v>59.0</v>
      </c>
      <c r="G810" s="50">
        <v>11.0</v>
      </c>
      <c r="H810" s="50">
        <v>4.0</v>
      </c>
      <c r="I810" s="50">
        <v>1.0</v>
      </c>
      <c r="J810" s="50" t="s">
        <v>12695</v>
      </c>
      <c r="K810" s="116"/>
      <c r="L810" s="50" t="s">
        <v>5406</v>
      </c>
      <c r="M810" s="50" t="s">
        <v>5406</v>
      </c>
      <c r="N810" s="116"/>
      <c r="O810" s="116"/>
      <c r="P810" s="50" t="s">
        <v>13515</v>
      </c>
      <c r="Q810" s="50" t="s">
        <v>13516</v>
      </c>
      <c r="R810" s="50">
        <v>22.5414987</v>
      </c>
      <c r="S810" s="50">
        <v>88.3759245</v>
      </c>
      <c r="T810" s="50">
        <v>-67.4000015258789</v>
      </c>
      <c r="U810" s="50">
        <v>5.0</v>
      </c>
      <c r="V810" s="50">
        <v>1.0</v>
      </c>
      <c r="W810" s="50">
        <v>0.0</v>
      </c>
      <c r="X810" s="50">
        <v>1.0</v>
      </c>
      <c r="Y810" s="116"/>
      <c r="Z810" s="116"/>
      <c r="AA810" s="50">
        <v>1.0</v>
      </c>
      <c r="AB810" s="50">
        <v>4.0</v>
      </c>
      <c r="AC810" s="116"/>
      <c r="AD810" s="116"/>
      <c r="AE810" s="116"/>
      <c r="AF810" s="116"/>
      <c r="AG810" s="116"/>
      <c r="AH810" s="116"/>
      <c r="AI810" s="116"/>
      <c r="AJ810" s="116"/>
      <c r="AK810" s="116"/>
      <c r="AL810" s="116"/>
      <c r="AM810" s="116"/>
      <c r="AN810" s="116"/>
      <c r="AO810" s="116"/>
      <c r="AP810" s="116"/>
      <c r="AQ810" s="50" t="s">
        <v>2979</v>
      </c>
      <c r="AR810" s="50" t="s">
        <v>2286</v>
      </c>
      <c r="AS810" s="50">
        <v>1.0</v>
      </c>
      <c r="AT810" s="50" t="s">
        <v>13460</v>
      </c>
      <c r="AU810" s="117">
        <v>8469.0</v>
      </c>
      <c r="AV810" s="50" t="s">
        <v>13519</v>
      </c>
      <c r="AW810" s="50" t="s">
        <v>13520</v>
      </c>
      <c r="AX810" s="117">
        <v>809.0</v>
      </c>
    </row>
    <row r="811">
      <c r="A811" s="50" t="s">
        <v>13523</v>
      </c>
      <c r="B811" s="50" t="s">
        <v>13525</v>
      </c>
      <c r="C811" s="116"/>
      <c r="D811" s="116"/>
      <c r="E811" s="50">
        <v>3.5215509147374E14</v>
      </c>
      <c r="F811" s="50">
        <v>59.0</v>
      </c>
      <c r="G811" s="50">
        <v>99.0</v>
      </c>
      <c r="H811" s="116"/>
      <c r="I811" s="116"/>
      <c r="J811" s="116"/>
      <c r="K811" s="50">
        <v>2.0</v>
      </c>
      <c r="L811" s="50" t="s">
        <v>5417</v>
      </c>
      <c r="M811" s="50" t="s">
        <v>5417</v>
      </c>
      <c r="N811" s="116"/>
      <c r="O811" s="116"/>
      <c r="P811" s="50" t="s">
        <v>13527</v>
      </c>
      <c r="Q811" s="50" t="s">
        <v>13528</v>
      </c>
      <c r="R811" s="50">
        <v>22.5415851</v>
      </c>
      <c r="S811" s="50">
        <v>88.3758412</v>
      </c>
      <c r="T811" s="50">
        <v>-81.0</v>
      </c>
      <c r="U811" s="50">
        <v>5.0</v>
      </c>
      <c r="V811" s="50">
        <v>1.0</v>
      </c>
      <c r="W811" s="50">
        <v>0.0</v>
      </c>
      <c r="X811" s="50">
        <v>1.0</v>
      </c>
      <c r="Y811" s="116"/>
      <c r="Z811" s="116"/>
      <c r="AA811" s="116"/>
      <c r="AB811" s="116"/>
      <c r="AC811" s="116"/>
      <c r="AD811" s="116"/>
      <c r="AE811" s="116"/>
      <c r="AF811" s="116"/>
      <c r="AG811" s="116"/>
      <c r="AH811" s="116"/>
      <c r="AI811" s="116"/>
      <c r="AJ811" s="116"/>
      <c r="AK811" s="116"/>
      <c r="AL811" s="116"/>
      <c r="AM811" s="116"/>
      <c r="AN811" s="116"/>
      <c r="AO811" s="116"/>
      <c r="AP811" s="116"/>
      <c r="AQ811" s="50" t="s">
        <v>13529</v>
      </c>
      <c r="AR811" s="50" t="s">
        <v>2286</v>
      </c>
      <c r="AS811" s="116"/>
      <c r="AT811" s="50" t="s">
        <v>13460</v>
      </c>
      <c r="AU811" s="117">
        <v>8470.0</v>
      </c>
      <c r="AV811" s="50" t="s">
        <v>13530</v>
      </c>
      <c r="AW811" s="50" t="s">
        <v>13531</v>
      </c>
      <c r="AX811" s="117">
        <v>810.0</v>
      </c>
    </row>
    <row r="812">
      <c r="A812" s="50" t="s">
        <v>13532</v>
      </c>
      <c r="B812" s="50" t="s">
        <v>13533</v>
      </c>
      <c r="C812" s="116"/>
      <c r="D812" s="116"/>
      <c r="E812" s="50">
        <v>3.52155090281144E14</v>
      </c>
      <c r="F812" s="50">
        <v>57.0</v>
      </c>
      <c r="G812" s="50">
        <v>12.0</v>
      </c>
      <c r="H812" s="116"/>
      <c r="I812" s="116"/>
      <c r="J812" s="116"/>
      <c r="K812" s="116"/>
      <c r="L812" s="50" t="s">
        <v>5438</v>
      </c>
      <c r="M812" s="50" t="s">
        <v>5438</v>
      </c>
      <c r="N812" s="50">
        <v>1.0</v>
      </c>
      <c r="O812" s="50" t="s">
        <v>13539</v>
      </c>
      <c r="P812" s="116"/>
      <c r="Q812" s="50" t="s">
        <v>13541</v>
      </c>
      <c r="R812" s="50">
        <v>22.5578815</v>
      </c>
      <c r="S812" s="50">
        <v>88.4108882</v>
      </c>
      <c r="T812" s="50">
        <v>-54.0</v>
      </c>
      <c r="U812" s="50">
        <v>5.0</v>
      </c>
      <c r="V812" s="50">
        <v>1.0</v>
      </c>
      <c r="W812" s="50">
        <v>0.0</v>
      </c>
      <c r="X812" s="50">
        <v>1.0</v>
      </c>
      <c r="Y812" s="116"/>
      <c r="Z812" s="116"/>
      <c r="AA812" s="116"/>
      <c r="AB812" s="116"/>
      <c r="AC812" s="116"/>
      <c r="AD812" s="116"/>
      <c r="AE812" s="50">
        <v>1.0</v>
      </c>
      <c r="AF812" s="50">
        <v>1.0</v>
      </c>
      <c r="AG812" s="50">
        <v>4.0</v>
      </c>
      <c r="AH812" s="50">
        <v>4.0</v>
      </c>
      <c r="AI812" s="116"/>
      <c r="AJ812" s="116"/>
      <c r="AK812" s="116"/>
      <c r="AL812" s="116"/>
      <c r="AM812" s="116"/>
      <c r="AN812" s="116"/>
      <c r="AO812" s="116"/>
      <c r="AP812" s="116"/>
      <c r="AQ812" s="50" t="s">
        <v>2979</v>
      </c>
      <c r="AR812" s="50" t="s">
        <v>2286</v>
      </c>
      <c r="AS812" s="50">
        <v>0.0</v>
      </c>
      <c r="AT812" s="50" t="s">
        <v>13460</v>
      </c>
      <c r="AU812" s="117">
        <v>8482.0</v>
      </c>
      <c r="AV812" s="50" t="s">
        <v>13548</v>
      </c>
      <c r="AW812" s="50" t="s">
        <v>13549</v>
      </c>
      <c r="AX812" s="117">
        <v>811.0</v>
      </c>
    </row>
    <row r="813">
      <c r="A813" s="50" t="s">
        <v>13550</v>
      </c>
      <c r="B813" s="50" t="s">
        <v>13551</v>
      </c>
      <c r="C813" s="116"/>
      <c r="D813" s="116"/>
      <c r="E813" s="50">
        <v>3.52155090281144E14</v>
      </c>
      <c r="F813" s="50">
        <v>57.0</v>
      </c>
      <c r="G813" s="50">
        <v>99.0</v>
      </c>
      <c r="H813" s="116"/>
      <c r="I813" s="116"/>
      <c r="J813" s="116"/>
      <c r="K813" s="50">
        <v>1.0</v>
      </c>
      <c r="L813" s="50" t="s">
        <v>5507</v>
      </c>
      <c r="M813" s="50" t="s">
        <v>5507</v>
      </c>
      <c r="N813" s="116"/>
      <c r="O813" s="116"/>
      <c r="P813" s="50" t="s">
        <v>13555</v>
      </c>
      <c r="Q813" s="50" t="s">
        <v>13556</v>
      </c>
      <c r="R813" s="50">
        <v>22.5578214</v>
      </c>
      <c r="S813" s="50">
        <v>88.4109346</v>
      </c>
      <c r="T813" s="50">
        <v>-13.8999996185302</v>
      </c>
      <c r="U813" s="50">
        <v>5.0</v>
      </c>
      <c r="V813" s="50">
        <v>1.0</v>
      </c>
      <c r="W813" s="50">
        <v>0.0</v>
      </c>
      <c r="X813" s="50">
        <v>1.0</v>
      </c>
      <c r="Y813" s="116"/>
      <c r="Z813" s="116"/>
      <c r="AA813" s="116"/>
      <c r="AB813" s="116"/>
      <c r="AC813" s="116"/>
      <c r="AD813" s="116"/>
      <c r="AE813" s="116"/>
      <c r="AF813" s="116"/>
      <c r="AG813" s="116"/>
      <c r="AH813" s="116"/>
      <c r="AI813" s="116"/>
      <c r="AJ813" s="116"/>
      <c r="AK813" s="116"/>
      <c r="AL813" s="116"/>
      <c r="AM813" s="116"/>
      <c r="AN813" s="116"/>
      <c r="AO813" s="116"/>
      <c r="AP813" s="116"/>
      <c r="AQ813" s="50" t="s">
        <v>13559</v>
      </c>
      <c r="AR813" s="50" t="s">
        <v>2286</v>
      </c>
      <c r="AS813" s="116"/>
      <c r="AT813" s="50" t="s">
        <v>13460</v>
      </c>
      <c r="AU813" s="117">
        <v>8483.0</v>
      </c>
      <c r="AV813" s="50" t="s">
        <v>13560</v>
      </c>
      <c r="AW813" s="50" t="s">
        <v>13561</v>
      </c>
      <c r="AX813" s="117">
        <v>812.0</v>
      </c>
    </row>
    <row r="814">
      <c r="A814" s="50" t="s">
        <v>13562</v>
      </c>
      <c r="B814" s="50" t="s">
        <v>13563</v>
      </c>
      <c r="C814" s="116"/>
      <c r="D814" s="116"/>
      <c r="E814" s="50">
        <v>3.52155090281144E14</v>
      </c>
      <c r="F814" s="50">
        <v>57.0</v>
      </c>
      <c r="G814" s="50">
        <v>12.0</v>
      </c>
      <c r="H814" s="116"/>
      <c r="I814" s="116"/>
      <c r="J814" s="116"/>
      <c r="K814" s="116"/>
      <c r="L814" s="50" t="s">
        <v>5464</v>
      </c>
      <c r="M814" s="50" t="s">
        <v>5464</v>
      </c>
      <c r="N814" s="50">
        <v>3.0</v>
      </c>
      <c r="O814" s="50" t="s">
        <v>13568</v>
      </c>
      <c r="P814" s="116"/>
      <c r="Q814" s="50" t="s">
        <v>13569</v>
      </c>
      <c r="R814" s="50">
        <v>22.5563521</v>
      </c>
      <c r="S814" s="50">
        <v>88.3921885</v>
      </c>
      <c r="T814" s="50">
        <v>-55.599998474121</v>
      </c>
      <c r="U814" s="50">
        <v>5.0</v>
      </c>
      <c r="V814" s="50">
        <v>1.0</v>
      </c>
      <c r="W814" s="50">
        <v>0.0</v>
      </c>
      <c r="X814" s="50">
        <v>1.0</v>
      </c>
      <c r="Y814" s="116"/>
      <c r="Z814" s="116"/>
      <c r="AA814" s="116"/>
      <c r="AB814" s="116"/>
      <c r="AC814" s="116"/>
      <c r="AD814" s="116"/>
      <c r="AE814" s="50">
        <v>2.0</v>
      </c>
      <c r="AF814" s="50">
        <v>2.0</v>
      </c>
      <c r="AG814" s="50">
        <v>3.0</v>
      </c>
      <c r="AH814" s="50">
        <v>4.0</v>
      </c>
      <c r="AI814" s="116"/>
      <c r="AJ814" s="116"/>
      <c r="AK814" s="116"/>
      <c r="AL814" s="116"/>
      <c r="AM814" s="116"/>
      <c r="AN814" s="116"/>
      <c r="AO814" s="116"/>
      <c r="AP814" s="116"/>
      <c r="AQ814" s="50" t="s">
        <v>3185</v>
      </c>
      <c r="AR814" s="50" t="s">
        <v>2286</v>
      </c>
      <c r="AS814" s="50">
        <v>0.0</v>
      </c>
      <c r="AT814" s="50" t="s">
        <v>13460</v>
      </c>
      <c r="AU814" s="117">
        <v>8484.0</v>
      </c>
      <c r="AV814" s="50" t="s">
        <v>13578</v>
      </c>
      <c r="AW814" s="50" t="s">
        <v>13579</v>
      </c>
      <c r="AX814" s="117">
        <v>813.0</v>
      </c>
    </row>
    <row r="815">
      <c r="A815" s="50" t="s">
        <v>13580</v>
      </c>
      <c r="B815" s="50" t="s">
        <v>13582</v>
      </c>
      <c r="C815" s="116"/>
      <c r="D815" s="116"/>
      <c r="E815" s="50">
        <v>3.52155090281144E14</v>
      </c>
      <c r="F815" s="50">
        <v>57.0</v>
      </c>
      <c r="G815" s="50">
        <v>99.0</v>
      </c>
      <c r="H815" s="116"/>
      <c r="I815" s="116"/>
      <c r="J815" s="116"/>
      <c r="K815" s="50">
        <v>1.0</v>
      </c>
      <c r="L815" s="50" t="s">
        <v>5528</v>
      </c>
      <c r="M815" s="50" t="s">
        <v>5528</v>
      </c>
      <c r="N815" s="116"/>
      <c r="O815" s="116"/>
      <c r="P815" s="50" t="s">
        <v>13585</v>
      </c>
      <c r="Q815" s="50" t="s">
        <v>13586</v>
      </c>
      <c r="R815" s="50">
        <v>22.5563407</v>
      </c>
      <c r="S815" s="50">
        <v>88.3922699</v>
      </c>
      <c r="T815" s="50">
        <v>-46.099998474121</v>
      </c>
      <c r="U815" s="50">
        <v>5.0</v>
      </c>
      <c r="V815" s="50">
        <v>1.0</v>
      </c>
      <c r="W815" s="50">
        <v>0.0</v>
      </c>
      <c r="X815" s="50">
        <v>1.0</v>
      </c>
      <c r="Y815" s="116"/>
      <c r="Z815" s="116"/>
      <c r="AA815" s="116"/>
      <c r="AB815" s="116"/>
      <c r="AC815" s="116"/>
      <c r="AD815" s="116"/>
      <c r="AE815" s="116"/>
      <c r="AF815" s="116"/>
      <c r="AG815" s="116"/>
      <c r="AH815" s="116"/>
      <c r="AI815" s="116"/>
      <c r="AJ815" s="116"/>
      <c r="AK815" s="116"/>
      <c r="AL815" s="116"/>
      <c r="AM815" s="116"/>
      <c r="AN815" s="116"/>
      <c r="AO815" s="116"/>
      <c r="AP815" s="116"/>
      <c r="AQ815" s="50" t="s">
        <v>13588</v>
      </c>
      <c r="AR815" s="50" t="s">
        <v>2286</v>
      </c>
      <c r="AS815" s="116"/>
      <c r="AT815" s="50" t="s">
        <v>13460</v>
      </c>
      <c r="AU815" s="117">
        <v>8485.0</v>
      </c>
      <c r="AV815" s="50" t="s">
        <v>13590</v>
      </c>
      <c r="AW815" s="50" t="s">
        <v>13591</v>
      </c>
      <c r="AX815" s="117">
        <v>814.0</v>
      </c>
    </row>
    <row r="816">
      <c r="A816" s="50" t="s">
        <v>13592</v>
      </c>
      <c r="B816" s="50" t="s">
        <v>13594</v>
      </c>
      <c r="C816" s="116"/>
      <c r="D816" s="116"/>
      <c r="E816" s="50">
        <v>3.52155090281144E14</v>
      </c>
      <c r="F816" s="50">
        <v>57.0</v>
      </c>
      <c r="G816" s="50">
        <v>12.0</v>
      </c>
      <c r="H816" s="116"/>
      <c r="I816" s="116"/>
      <c r="J816" s="116"/>
      <c r="K816" s="116"/>
      <c r="L816" s="50" t="s">
        <v>5493</v>
      </c>
      <c r="M816" s="50" t="s">
        <v>5493</v>
      </c>
      <c r="N816" s="50">
        <v>7.0</v>
      </c>
      <c r="O816" s="50" t="s">
        <v>13599</v>
      </c>
      <c r="P816" s="116"/>
      <c r="Q816" s="50" t="s">
        <v>13600</v>
      </c>
      <c r="R816" s="50">
        <v>22.557955</v>
      </c>
      <c r="S816" s="50">
        <v>88.3896151</v>
      </c>
      <c r="T816" s="50">
        <v>-33.7999992370605</v>
      </c>
      <c r="U816" s="50">
        <v>5.0</v>
      </c>
      <c r="V816" s="50">
        <v>1.0</v>
      </c>
      <c r="W816" s="50">
        <v>0.0</v>
      </c>
      <c r="X816" s="50">
        <v>1.0</v>
      </c>
      <c r="Y816" s="116"/>
      <c r="Z816" s="116"/>
      <c r="AA816" s="116"/>
      <c r="AB816" s="116"/>
      <c r="AC816" s="116"/>
      <c r="AD816" s="116"/>
      <c r="AE816" s="50">
        <v>2.0</v>
      </c>
      <c r="AF816" s="50">
        <v>2.0</v>
      </c>
      <c r="AG816" s="50">
        <v>3.0</v>
      </c>
      <c r="AH816" s="50">
        <v>4.0</v>
      </c>
      <c r="AI816" s="116"/>
      <c r="AJ816" s="116"/>
      <c r="AK816" s="116"/>
      <c r="AL816" s="116"/>
      <c r="AM816" s="116"/>
      <c r="AN816" s="116"/>
      <c r="AO816" s="116"/>
      <c r="AP816" s="116"/>
      <c r="AQ816" s="50" t="s">
        <v>3149</v>
      </c>
      <c r="AR816" s="50" t="s">
        <v>2472</v>
      </c>
      <c r="AS816" s="50">
        <v>0.0</v>
      </c>
      <c r="AT816" s="50" t="s">
        <v>13460</v>
      </c>
      <c r="AU816" s="117">
        <v>8486.0</v>
      </c>
      <c r="AV816" s="50" t="s">
        <v>13606</v>
      </c>
      <c r="AW816" s="50" t="s">
        <v>13607</v>
      </c>
      <c r="AX816" s="117">
        <v>815.0</v>
      </c>
    </row>
    <row r="817">
      <c r="A817" s="50" t="s">
        <v>13609</v>
      </c>
      <c r="B817" s="50" t="s">
        <v>13610</v>
      </c>
      <c r="C817" s="116"/>
      <c r="D817" s="116"/>
      <c r="E817" s="50">
        <v>3.52155090281144E14</v>
      </c>
      <c r="F817" s="50">
        <v>57.0</v>
      </c>
      <c r="G817" s="50">
        <v>99.0</v>
      </c>
      <c r="H817" s="116"/>
      <c r="I817" s="116"/>
      <c r="J817" s="116"/>
      <c r="K817" s="50">
        <v>1.0</v>
      </c>
      <c r="L817" s="50" t="s">
        <v>5547</v>
      </c>
      <c r="M817" s="50" t="s">
        <v>5547</v>
      </c>
      <c r="N817" s="116"/>
      <c r="O817" s="116"/>
      <c r="P817" s="50" t="s">
        <v>13614</v>
      </c>
      <c r="Q817" s="50" t="s">
        <v>13615</v>
      </c>
      <c r="R817" s="50">
        <v>22.5579798</v>
      </c>
      <c r="S817" s="50">
        <v>88.3895942</v>
      </c>
      <c r="T817" s="50">
        <v>-48.099998474121</v>
      </c>
      <c r="U817" s="50">
        <v>5.0</v>
      </c>
      <c r="V817" s="50">
        <v>1.0</v>
      </c>
      <c r="W817" s="50">
        <v>0.0</v>
      </c>
      <c r="X817" s="50">
        <v>1.0</v>
      </c>
      <c r="Y817" s="116"/>
      <c r="Z817" s="116"/>
      <c r="AA817" s="116"/>
      <c r="AB817" s="116"/>
      <c r="AC817" s="116"/>
      <c r="AD817" s="116"/>
      <c r="AE817" s="116"/>
      <c r="AF817" s="116"/>
      <c r="AG817" s="116"/>
      <c r="AH817" s="116"/>
      <c r="AI817" s="116"/>
      <c r="AJ817" s="116"/>
      <c r="AK817" s="116"/>
      <c r="AL817" s="116"/>
      <c r="AM817" s="116"/>
      <c r="AN817" s="116"/>
      <c r="AO817" s="116"/>
      <c r="AP817" s="116"/>
      <c r="AQ817" s="50" t="s">
        <v>13617</v>
      </c>
      <c r="AR817" s="50" t="s">
        <v>2472</v>
      </c>
      <c r="AS817" s="116"/>
      <c r="AT817" s="50" t="s">
        <v>13460</v>
      </c>
      <c r="AU817" s="117">
        <v>8487.0</v>
      </c>
      <c r="AV817" s="50" t="s">
        <v>13620</v>
      </c>
      <c r="AW817" s="50" t="s">
        <v>13621</v>
      </c>
      <c r="AX817" s="117">
        <v>816.0</v>
      </c>
    </row>
    <row r="818">
      <c r="A818" s="50" t="s">
        <v>13623</v>
      </c>
      <c r="B818" s="50" t="s">
        <v>13625</v>
      </c>
      <c r="C818" s="116"/>
      <c r="D818" s="116"/>
      <c r="E818" s="50">
        <v>3.52155090281144E14</v>
      </c>
      <c r="F818" s="50">
        <v>57.0</v>
      </c>
      <c r="G818" s="50">
        <v>11.0</v>
      </c>
      <c r="H818" s="50">
        <v>1.0</v>
      </c>
      <c r="I818" s="116"/>
      <c r="J818" s="116"/>
      <c r="K818" s="116"/>
      <c r="L818" s="50" t="s">
        <v>5577</v>
      </c>
      <c r="M818" s="50" t="s">
        <v>5577</v>
      </c>
      <c r="N818" s="116"/>
      <c r="O818" s="116"/>
      <c r="P818" s="50" t="s">
        <v>13628</v>
      </c>
      <c r="Q818" s="50" t="s">
        <v>13629</v>
      </c>
      <c r="R818" s="50">
        <v>22.5578801</v>
      </c>
      <c r="S818" s="50">
        <v>88.389743</v>
      </c>
      <c r="T818" s="50">
        <v>-61.2000007629394</v>
      </c>
      <c r="U818" s="50">
        <v>5.0</v>
      </c>
      <c r="V818" s="50">
        <v>1.0</v>
      </c>
      <c r="W818" s="50">
        <v>0.0</v>
      </c>
      <c r="X818" s="50">
        <v>1.0</v>
      </c>
      <c r="Y818" s="116"/>
      <c r="Z818" s="116"/>
      <c r="AA818" s="50">
        <v>1.0</v>
      </c>
      <c r="AB818" s="50">
        <v>4.0</v>
      </c>
      <c r="AC818" s="116"/>
      <c r="AD818" s="116"/>
      <c r="AE818" s="116"/>
      <c r="AF818" s="116"/>
      <c r="AG818" s="116"/>
      <c r="AH818" s="116"/>
      <c r="AI818" s="116"/>
      <c r="AJ818" s="116"/>
      <c r="AK818" s="116"/>
      <c r="AL818" s="116"/>
      <c r="AM818" s="116"/>
      <c r="AN818" s="116"/>
      <c r="AO818" s="116"/>
      <c r="AP818" s="116"/>
      <c r="AQ818" s="50" t="s">
        <v>3185</v>
      </c>
      <c r="AR818" s="50" t="s">
        <v>2286</v>
      </c>
      <c r="AS818" s="50">
        <v>0.0</v>
      </c>
      <c r="AT818" s="50" t="s">
        <v>13460</v>
      </c>
      <c r="AU818" s="117">
        <v>8488.0</v>
      </c>
      <c r="AV818" s="50" t="s">
        <v>13632</v>
      </c>
      <c r="AW818" s="50" t="s">
        <v>13633</v>
      </c>
      <c r="AX818" s="117">
        <v>817.0</v>
      </c>
    </row>
    <row r="819">
      <c r="A819" s="50" t="s">
        <v>13634</v>
      </c>
      <c r="B819" s="50" t="s">
        <v>13636</v>
      </c>
      <c r="C819" s="116"/>
      <c r="D819" s="116"/>
      <c r="E819" s="50">
        <v>3.52155090281144E14</v>
      </c>
      <c r="F819" s="50">
        <v>55.0</v>
      </c>
      <c r="G819" s="50">
        <v>12.0</v>
      </c>
      <c r="H819" s="116"/>
      <c r="I819" s="116"/>
      <c r="J819" s="116"/>
      <c r="K819" s="116"/>
      <c r="L819" s="50" t="s">
        <v>5518</v>
      </c>
      <c r="M819" s="50" t="s">
        <v>5518</v>
      </c>
      <c r="N819" s="50">
        <v>4.0</v>
      </c>
      <c r="O819" s="50" t="s">
        <v>13637</v>
      </c>
      <c r="P819" s="116"/>
      <c r="Q819" s="50" t="s">
        <v>13638</v>
      </c>
      <c r="R819" s="50">
        <v>22.5635459</v>
      </c>
      <c r="S819" s="50">
        <v>88.3772675</v>
      </c>
      <c r="T819" s="50">
        <v>-47.099998474121</v>
      </c>
      <c r="U819" s="50">
        <v>5.0</v>
      </c>
      <c r="V819" s="50">
        <v>1.0</v>
      </c>
      <c r="W819" s="50">
        <v>0.0</v>
      </c>
      <c r="X819" s="50">
        <v>1.0</v>
      </c>
      <c r="Y819" s="116"/>
      <c r="Z819" s="116"/>
      <c r="AA819" s="116"/>
      <c r="AB819" s="116"/>
      <c r="AC819" s="116"/>
      <c r="AD819" s="116"/>
      <c r="AE819" s="50">
        <v>1.0</v>
      </c>
      <c r="AF819" s="50">
        <v>1.0</v>
      </c>
      <c r="AG819" s="50">
        <v>4.0</v>
      </c>
      <c r="AH819" s="50">
        <v>4.0</v>
      </c>
      <c r="AI819" s="116"/>
      <c r="AJ819" s="116"/>
      <c r="AK819" s="116"/>
      <c r="AL819" s="116"/>
      <c r="AM819" s="116"/>
      <c r="AN819" s="116"/>
      <c r="AO819" s="116"/>
      <c r="AP819" s="116"/>
      <c r="AQ819" s="50" t="s">
        <v>3149</v>
      </c>
      <c r="AR819" s="50" t="s">
        <v>2472</v>
      </c>
      <c r="AS819" s="50">
        <v>0.0</v>
      </c>
      <c r="AT819" s="50" t="s">
        <v>13460</v>
      </c>
      <c r="AU819" s="117">
        <v>8489.0</v>
      </c>
      <c r="AV819" s="50" t="s">
        <v>13644</v>
      </c>
      <c r="AW819" s="50" t="s">
        <v>13647</v>
      </c>
      <c r="AX819" s="117">
        <v>818.0</v>
      </c>
    </row>
    <row r="820">
      <c r="A820" s="50" t="s">
        <v>13648</v>
      </c>
      <c r="B820" s="50" t="s">
        <v>13649</v>
      </c>
      <c r="C820" s="116"/>
      <c r="D820" s="116"/>
      <c r="E820" s="50">
        <v>3.52155090281144E14</v>
      </c>
      <c r="F820" s="50">
        <v>55.0</v>
      </c>
      <c r="G820" s="50">
        <v>99.0</v>
      </c>
      <c r="H820" s="116"/>
      <c r="I820" s="116"/>
      <c r="J820" s="116"/>
      <c r="K820" s="50">
        <v>1.0</v>
      </c>
      <c r="L820" s="50" t="s">
        <v>5569</v>
      </c>
      <c r="M820" s="50" t="s">
        <v>5569</v>
      </c>
      <c r="N820" s="116"/>
      <c r="O820" s="116"/>
      <c r="P820" s="50" t="s">
        <v>13650</v>
      </c>
      <c r="Q820" s="50" t="s">
        <v>13651</v>
      </c>
      <c r="R820" s="50">
        <v>22.5634915</v>
      </c>
      <c r="S820" s="50">
        <v>88.3772549</v>
      </c>
      <c r="T820" s="50">
        <v>-73.5999984741211</v>
      </c>
      <c r="U820" s="50">
        <v>5.0</v>
      </c>
      <c r="V820" s="50">
        <v>1.0</v>
      </c>
      <c r="W820" s="50">
        <v>0.0</v>
      </c>
      <c r="X820" s="50">
        <v>1.0</v>
      </c>
      <c r="Y820" s="116"/>
      <c r="Z820" s="116"/>
      <c r="AA820" s="116"/>
      <c r="AB820" s="116"/>
      <c r="AC820" s="116"/>
      <c r="AD820" s="116"/>
      <c r="AE820" s="116"/>
      <c r="AF820" s="116"/>
      <c r="AG820" s="116"/>
      <c r="AH820" s="116"/>
      <c r="AI820" s="116"/>
      <c r="AJ820" s="116"/>
      <c r="AK820" s="116"/>
      <c r="AL820" s="116"/>
      <c r="AM820" s="116"/>
      <c r="AN820" s="116"/>
      <c r="AO820" s="116"/>
      <c r="AP820" s="116"/>
      <c r="AQ820" s="50" t="s">
        <v>13655</v>
      </c>
      <c r="AR820" s="50" t="s">
        <v>2472</v>
      </c>
      <c r="AS820" s="116"/>
      <c r="AT820" s="50" t="s">
        <v>13460</v>
      </c>
      <c r="AU820" s="117">
        <v>8490.0</v>
      </c>
      <c r="AV820" s="50" t="s">
        <v>13657</v>
      </c>
      <c r="AW820" s="50" t="s">
        <v>13658</v>
      </c>
      <c r="AX820" s="117">
        <v>819.0</v>
      </c>
    </row>
    <row r="821">
      <c r="A821" s="50" t="s">
        <v>13659</v>
      </c>
      <c r="B821" s="50" t="s">
        <v>13660</v>
      </c>
      <c r="C821" s="116"/>
      <c r="D821" s="116"/>
      <c r="E821" s="50">
        <v>3.5215509147374E14</v>
      </c>
      <c r="F821" s="50">
        <v>6.0</v>
      </c>
      <c r="G821" s="50">
        <v>12.0</v>
      </c>
      <c r="H821" s="116"/>
      <c r="I821" s="116"/>
      <c r="J821" s="116"/>
      <c r="K821" s="116"/>
      <c r="L821" s="50" t="s">
        <v>5661</v>
      </c>
      <c r="M821" s="50" t="s">
        <v>5661</v>
      </c>
      <c r="N821" s="50">
        <v>13.0</v>
      </c>
      <c r="O821" s="50" t="s">
        <v>13661</v>
      </c>
      <c r="P821" s="116"/>
      <c r="Q821" s="50" t="s">
        <v>13662</v>
      </c>
      <c r="R821" s="50">
        <v>22.6061423</v>
      </c>
      <c r="S821" s="50">
        <v>88.3734771</v>
      </c>
      <c r="T821" s="50">
        <v>-36.2000007629394</v>
      </c>
      <c r="U821" s="50">
        <v>5.0</v>
      </c>
      <c r="V821" s="50">
        <v>1.0</v>
      </c>
      <c r="W821" s="50">
        <v>1.0</v>
      </c>
      <c r="X821" s="116"/>
      <c r="Y821" s="116"/>
      <c r="Z821" s="116"/>
      <c r="AA821" s="116"/>
      <c r="AB821" s="116"/>
      <c r="AC821" s="116"/>
      <c r="AD821" s="116"/>
      <c r="AE821" s="50">
        <v>1.0</v>
      </c>
      <c r="AF821" s="50">
        <v>2.0</v>
      </c>
      <c r="AG821" s="50">
        <v>3.0</v>
      </c>
      <c r="AH821" s="50">
        <v>4.0</v>
      </c>
      <c r="AI821" s="116"/>
      <c r="AJ821" s="116"/>
      <c r="AK821" s="116"/>
      <c r="AL821" s="116"/>
      <c r="AM821" s="116"/>
      <c r="AN821" s="116"/>
      <c r="AO821" s="116"/>
      <c r="AP821" s="116"/>
      <c r="AQ821" s="50" t="s">
        <v>3200</v>
      </c>
      <c r="AR821" s="50" t="s">
        <v>12906</v>
      </c>
      <c r="AS821" s="50">
        <v>0.0</v>
      </c>
      <c r="AT821" s="50" t="s">
        <v>13460</v>
      </c>
      <c r="AU821" s="117">
        <v>8542.0</v>
      </c>
      <c r="AV821" s="50" t="s">
        <v>13671</v>
      </c>
      <c r="AW821" s="50" t="s">
        <v>13672</v>
      </c>
      <c r="AX821" s="117">
        <v>820.0</v>
      </c>
    </row>
    <row r="822">
      <c r="A822" s="50" t="s">
        <v>13673</v>
      </c>
      <c r="B822" s="50" t="s">
        <v>13674</v>
      </c>
      <c r="C822" s="116"/>
      <c r="D822" s="116"/>
      <c r="E822" s="50">
        <v>3.5215509147374E14</v>
      </c>
      <c r="F822" s="50">
        <v>6.0</v>
      </c>
      <c r="G822" s="50">
        <v>99.0</v>
      </c>
      <c r="H822" s="116"/>
      <c r="I822" s="116"/>
      <c r="J822" s="116"/>
      <c r="K822" s="50">
        <v>1.0</v>
      </c>
      <c r="L822" s="50" t="s">
        <v>5675</v>
      </c>
      <c r="M822" s="50" t="s">
        <v>5675</v>
      </c>
      <c r="N822" s="116"/>
      <c r="O822" s="116"/>
      <c r="P822" s="50" t="s">
        <v>13676</v>
      </c>
      <c r="Q822" s="50" t="s">
        <v>13677</v>
      </c>
      <c r="R822" s="50">
        <v>22.6060679</v>
      </c>
      <c r="S822" s="50">
        <v>88.373532</v>
      </c>
      <c r="T822" s="50">
        <v>-32.7000007629394</v>
      </c>
      <c r="U822" s="50">
        <v>5.0</v>
      </c>
      <c r="V822" s="50">
        <v>1.0</v>
      </c>
      <c r="W822" s="50">
        <v>1.0</v>
      </c>
      <c r="X822" s="116"/>
      <c r="Y822" s="116"/>
      <c r="Z822" s="116"/>
      <c r="AA822" s="116"/>
      <c r="AB822" s="116"/>
      <c r="AC822" s="116"/>
      <c r="AD822" s="116"/>
      <c r="AE822" s="116"/>
      <c r="AF822" s="116"/>
      <c r="AG822" s="116"/>
      <c r="AH822" s="116"/>
      <c r="AI822" s="116"/>
      <c r="AJ822" s="116"/>
      <c r="AK822" s="116"/>
      <c r="AL822" s="116"/>
      <c r="AM822" s="116"/>
      <c r="AN822" s="116"/>
      <c r="AO822" s="116"/>
      <c r="AP822" s="116"/>
      <c r="AQ822" s="50" t="s">
        <v>3200</v>
      </c>
      <c r="AR822" s="50" t="s">
        <v>12906</v>
      </c>
      <c r="AS822" s="116"/>
      <c r="AT822" s="50" t="s">
        <v>13460</v>
      </c>
      <c r="AU822" s="117">
        <v>8543.0</v>
      </c>
      <c r="AV822" s="50" t="s">
        <v>13681</v>
      </c>
      <c r="AW822" s="50" t="s">
        <v>13682</v>
      </c>
      <c r="AX822" s="117">
        <v>821.0</v>
      </c>
    </row>
    <row r="823">
      <c r="A823" s="50" t="s">
        <v>13683</v>
      </c>
      <c r="B823" s="50" t="s">
        <v>13684</v>
      </c>
      <c r="C823" s="116"/>
      <c r="D823" s="116"/>
      <c r="E823" s="50">
        <v>3.5215509147374E14</v>
      </c>
      <c r="F823" s="50">
        <v>3.0</v>
      </c>
      <c r="G823" s="50">
        <v>12.0</v>
      </c>
      <c r="H823" s="116"/>
      <c r="I823" s="116"/>
      <c r="J823" s="116"/>
      <c r="K823" s="116"/>
      <c r="L823" s="50" t="s">
        <v>5687</v>
      </c>
      <c r="M823" s="50" t="s">
        <v>5687</v>
      </c>
      <c r="N823" s="50">
        <v>10.0</v>
      </c>
      <c r="O823" s="50" t="s">
        <v>13688</v>
      </c>
      <c r="P823" s="116"/>
      <c r="Q823" s="50" t="s">
        <v>13690</v>
      </c>
      <c r="R823" s="50">
        <v>22.6074963</v>
      </c>
      <c r="S823" s="50">
        <v>88.3925019</v>
      </c>
      <c r="T823" s="50">
        <v>-40.7000007629394</v>
      </c>
      <c r="U823" s="50">
        <v>4.5</v>
      </c>
      <c r="V823" s="50">
        <v>1.0</v>
      </c>
      <c r="W823" s="50">
        <v>0.0</v>
      </c>
      <c r="X823" s="50">
        <v>1.0</v>
      </c>
      <c r="Y823" s="116"/>
      <c r="Z823" s="116"/>
      <c r="AA823" s="116"/>
      <c r="AB823" s="116"/>
      <c r="AC823" s="116"/>
      <c r="AD823" s="116"/>
      <c r="AE823" s="50">
        <v>1.0</v>
      </c>
      <c r="AF823" s="50">
        <v>1.0</v>
      </c>
      <c r="AG823" s="50">
        <v>3.0</v>
      </c>
      <c r="AH823" s="50">
        <v>4.0</v>
      </c>
      <c r="AI823" s="116"/>
      <c r="AJ823" s="116"/>
      <c r="AK823" s="116"/>
      <c r="AL823" s="116"/>
      <c r="AM823" s="116"/>
      <c r="AN823" s="116"/>
      <c r="AO823" s="116"/>
      <c r="AP823" s="116"/>
      <c r="AQ823" s="50" t="s">
        <v>6185</v>
      </c>
      <c r="AR823" s="50" t="s">
        <v>2302</v>
      </c>
      <c r="AS823" s="50">
        <v>0.0</v>
      </c>
      <c r="AT823" s="50" t="s">
        <v>13460</v>
      </c>
      <c r="AU823" s="117">
        <v>8544.0</v>
      </c>
      <c r="AV823" s="50" t="s">
        <v>13694</v>
      </c>
      <c r="AW823" s="50" t="s">
        <v>13695</v>
      </c>
      <c r="AX823" s="117">
        <v>822.0</v>
      </c>
    </row>
    <row r="824">
      <c r="A824" s="50" t="s">
        <v>13696</v>
      </c>
      <c r="B824" s="50" t="s">
        <v>13697</v>
      </c>
      <c r="C824" s="116"/>
      <c r="D824" s="116"/>
      <c r="E824" s="50">
        <v>3.5215509147374E14</v>
      </c>
      <c r="F824" s="50">
        <v>3.0</v>
      </c>
      <c r="G824" s="50">
        <v>99.0</v>
      </c>
      <c r="H824" s="116"/>
      <c r="I824" s="116"/>
      <c r="J824" s="116"/>
      <c r="K824" s="50">
        <v>1.0</v>
      </c>
      <c r="L824" s="50" t="s">
        <v>5704</v>
      </c>
      <c r="M824" s="50" t="s">
        <v>5704</v>
      </c>
      <c r="N824" s="116"/>
      <c r="O824" s="116"/>
      <c r="P824" s="50" t="s">
        <v>13698</v>
      </c>
      <c r="Q824" s="50" t="s">
        <v>13699</v>
      </c>
      <c r="R824" s="50">
        <v>22.6076328</v>
      </c>
      <c r="S824" s="50">
        <v>88.3924226</v>
      </c>
      <c r="T824" s="50">
        <v>-68.0999984741211</v>
      </c>
      <c r="U824" s="50">
        <v>5.0</v>
      </c>
      <c r="V824" s="50">
        <v>1.0</v>
      </c>
      <c r="W824" s="50">
        <v>1.0</v>
      </c>
      <c r="X824" s="116"/>
      <c r="Y824" s="116"/>
      <c r="Z824" s="116"/>
      <c r="AA824" s="116"/>
      <c r="AB824" s="116"/>
      <c r="AC824" s="116"/>
      <c r="AD824" s="116"/>
      <c r="AE824" s="116"/>
      <c r="AF824" s="116"/>
      <c r="AG824" s="116"/>
      <c r="AH824" s="116"/>
      <c r="AI824" s="116"/>
      <c r="AJ824" s="116"/>
      <c r="AK824" s="116"/>
      <c r="AL824" s="116"/>
      <c r="AM824" s="116"/>
      <c r="AN824" s="116"/>
      <c r="AO824" s="116"/>
      <c r="AP824" s="116"/>
      <c r="AQ824" s="50" t="s">
        <v>6185</v>
      </c>
      <c r="AR824" s="50" t="s">
        <v>2302</v>
      </c>
      <c r="AS824" s="116"/>
      <c r="AT824" s="50" t="s">
        <v>13460</v>
      </c>
      <c r="AU824" s="117">
        <v>8545.0</v>
      </c>
      <c r="AV824" s="50" t="s">
        <v>13710</v>
      </c>
      <c r="AW824" s="50" t="s">
        <v>13711</v>
      </c>
      <c r="AX824" s="117">
        <v>823.0</v>
      </c>
    </row>
    <row r="825">
      <c r="A825" s="50" t="s">
        <v>13712</v>
      </c>
      <c r="B825" s="50" t="s">
        <v>13713</v>
      </c>
      <c r="C825" s="116"/>
      <c r="D825" s="116"/>
      <c r="E825" s="50">
        <v>3.5215509147374E14</v>
      </c>
      <c r="F825" s="50">
        <v>29.0</v>
      </c>
      <c r="G825" s="50">
        <v>12.0</v>
      </c>
      <c r="H825" s="116"/>
      <c r="I825" s="116"/>
      <c r="J825" s="116"/>
      <c r="K825" s="116"/>
      <c r="L825" s="50" t="s">
        <v>5723</v>
      </c>
      <c r="M825" s="50" t="s">
        <v>5723</v>
      </c>
      <c r="N825" s="50">
        <v>12.0</v>
      </c>
      <c r="O825" s="50" t="s">
        <v>13717</v>
      </c>
      <c r="P825" s="116"/>
      <c r="Q825" s="50" t="s">
        <v>13719</v>
      </c>
      <c r="R825" s="50">
        <v>22.6041599</v>
      </c>
      <c r="S825" s="50">
        <v>88.4166484</v>
      </c>
      <c r="T825" s="50">
        <v>-31.7999992370605</v>
      </c>
      <c r="U825" s="50">
        <v>5.0</v>
      </c>
      <c r="V825" s="50">
        <v>1.0</v>
      </c>
      <c r="W825" s="50">
        <v>1.0</v>
      </c>
      <c r="X825" s="116"/>
      <c r="Y825" s="116"/>
      <c r="Z825" s="116"/>
      <c r="AA825" s="116"/>
      <c r="AB825" s="116"/>
      <c r="AC825" s="116"/>
      <c r="AD825" s="116"/>
      <c r="AE825" s="50">
        <v>1.0</v>
      </c>
      <c r="AF825" s="50">
        <v>1.0</v>
      </c>
      <c r="AG825" s="50">
        <v>4.0</v>
      </c>
      <c r="AH825" s="50">
        <v>4.0</v>
      </c>
      <c r="AI825" s="116"/>
      <c r="AJ825" s="116"/>
      <c r="AK825" s="116"/>
      <c r="AL825" s="116"/>
      <c r="AM825" s="116"/>
      <c r="AN825" s="116"/>
      <c r="AO825" s="116"/>
      <c r="AP825" s="116"/>
      <c r="AQ825" s="50" t="s">
        <v>13724</v>
      </c>
      <c r="AR825" s="50" t="s">
        <v>12906</v>
      </c>
      <c r="AS825" s="50">
        <v>0.0</v>
      </c>
      <c r="AT825" s="50" t="s">
        <v>13460</v>
      </c>
      <c r="AU825" s="117">
        <v>8546.0</v>
      </c>
      <c r="AV825" s="50" t="s">
        <v>13726</v>
      </c>
      <c r="AW825" s="50" t="s">
        <v>13728</v>
      </c>
      <c r="AX825" s="117">
        <v>824.0</v>
      </c>
    </row>
    <row r="826">
      <c r="A826" s="50" t="s">
        <v>13729</v>
      </c>
      <c r="B826" s="50" t="s">
        <v>13730</v>
      </c>
      <c r="C826" s="116"/>
      <c r="D826" s="116"/>
      <c r="E826" s="50">
        <v>3.5215509147374E14</v>
      </c>
      <c r="F826" s="50">
        <v>29.0</v>
      </c>
      <c r="G826" s="50">
        <v>99.0</v>
      </c>
      <c r="H826" s="116"/>
      <c r="I826" s="116"/>
      <c r="J826" s="116"/>
      <c r="K826" s="50">
        <v>1.0</v>
      </c>
      <c r="L826" s="50" t="s">
        <v>5740</v>
      </c>
      <c r="M826" s="50" t="s">
        <v>5740</v>
      </c>
      <c r="N826" s="116"/>
      <c r="O826" s="116"/>
      <c r="P826" s="50" t="s">
        <v>13736</v>
      </c>
      <c r="Q826" s="50" t="s">
        <v>13737</v>
      </c>
      <c r="R826" s="50">
        <v>22.6041742</v>
      </c>
      <c r="S826" s="50">
        <v>88.4167365</v>
      </c>
      <c r="T826" s="50">
        <v>-43.0</v>
      </c>
      <c r="U826" s="50">
        <v>5.0</v>
      </c>
      <c r="V826" s="50">
        <v>1.0</v>
      </c>
      <c r="W826" s="50">
        <v>1.0</v>
      </c>
      <c r="X826" s="116"/>
      <c r="Y826" s="116"/>
      <c r="Z826" s="116"/>
      <c r="AA826" s="116"/>
      <c r="AB826" s="116"/>
      <c r="AC826" s="116"/>
      <c r="AD826" s="116"/>
      <c r="AE826" s="116"/>
      <c r="AF826" s="116"/>
      <c r="AG826" s="116"/>
      <c r="AH826" s="116"/>
      <c r="AI826" s="116"/>
      <c r="AJ826" s="116"/>
      <c r="AK826" s="116"/>
      <c r="AL826" s="116"/>
      <c r="AM826" s="116"/>
      <c r="AN826" s="116"/>
      <c r="AO826" s="116"/>
      <c r="AP826" s="116"/>
      <c r="AQ826" s="50" t="s">
        <v>3200</v>
      </c>
      <c r="AR826" s="50" t="s">
        <v>12906</v>
      </c>
      <c r="AS826" s="116"/>
      <c r="AT826" s="50" t="s">
        <v>13460</v>
      </c>
      <c r="AU826" s="117">
        <v>8547.0</v>
      </c>
      <c r="AV826" s="50" t="s">
        <v>13740</v>
      </c>
      <c r="AW826" s="50" t="s">
        <v>13742</v>
      </c>
      <c r="AX826" s="117">
        <v>825.0</v>
      </c>
    </row>
    <row r="827">
      <c r="A827" s="50" t="s">
        <v>13744</v>
      </c>
      <c r="B827" s="50" t="s">
        <v>13745</v>
      </c>
      <c r="C827" s="116"/>
      <c r="D827" s="116"/>
      <c r="E827" s="50">
        <v>3.52155090281144E14</v>
      </c>
      <c r="F827" s="50">
        <v>65.0</v>
      </c>
      <c r="G827" s="50">
        <v>11.0</v>
      </c>
      <c r="H827" s="50">
        <v>1.0</v>
      </c>
      <c r="I827" s="116"/>
      <c r="J827" s="116"/>
      <c r="K827" s="116"/>
      <c r="L827" s="50" t="s">
        <v>5762</v>
      </c>
      <c r="M827" s="50" t="s">
        <v>5762</v>
      </c>
      <c r="N827" s="116"/>
      <c r="O827" s="116"/>
      <c r="P827" s="50" t="s">
        <v>13747</v>
      </c>
      <c r="Q827" s="50" t="s">
        <v>13748</v>
      </c>
      <c r="R827" s="50">
        <v>22.5362056</v>
      </c>
      <c r="S827" s="50">
        <v>88.3746492</v>
      </c>
      <c r="T827" s="50">
        <v>-83.5</v>
      </c>
      <c r="U827" s="50">
        <v>5.0</v>
      </c>
      <c r="V827" s="50">
        <v>1.0</v>
      </c>
      <c r="W827" s="50">
        <v>1.0</v>
      </c>
      <c r="X827" s="116"/>
      <c r="Y827" s="116"/>
      <c r="Z827" s="116"/>
      <c r="AA827" s="50">
        <v>1.0</v>
      </c>
      <c r="AB827" s="50">
        <v>4.0</v>
      </c>
      <c r="AC827" s="116"/>
      <c r="AD827" s="116"/>
      <c r="AE827" s="116"/>
      <c r="AF827" s="116"/>
      <c r="AG827" s="116"/>
      <c r="AH827" s="116"/>
      <c r="AI827" s="116"/>
      <c r="AJ827" s="116"/>
      <c r="AK827" s="116"/>
      <c r="AL827" s="116"/>
      <c r="AM827" s="116"/>
      <c r="AN827" s="116"/>
      <c r="AO827" s="116"/>
      <c r="AP827" s="116"/>
      <c r="AQ827" s="50" t="s">
        <v>3149</v>
      </c>
      <c r="AR827" s="50" t="s">
        <v>2278</v>
      </c>
      <c r="AS827" s="50">
        <v>0.0</v>
      </c>
      <c r="AT827" s="50" t="s">
        <v>13460</v>
      </c>
      <c r="AU827" s="117">
        <v>8553.0</v>
      </c>
      <c r="AV827" s="50" t="s">
        <v>13754</v>
      </c>
      <c r="AW827" s="50" t="s">
        <v>13756</v>
      </c>
      <c r="AX827" s="117">
        <v>826.0</v>
      </c>
    </row>
    <row r="828">
      <c r="A828" s="50" t="s">
        <v>13757</v>
      </c>
      <c r="B828" s="50" t="s">
        <v>13759</v>
      </c>
      <c r="C828" s="116"/>
      <c r="D828" s="116"/>
      <c r="E828" s="50">
        <v>3.52155090281144E14</v>
      </c>
      <c r="F828" s="50">
        <v>58.0</v>
      </c>
      <c r="G828" s="50">
        <v>11.0</v>
      </c>
      <c r="H828" s="50">
        <v>4.0</v>
      </c>
      <c r="I828" s="50">
        <v>0.0</v>
      </c>
      <c r="J828" s="116"/>
      <c r="K828" s="116"/>
      <c r="L828" s="50" t="s">
        <v>5593</v>
      </c>
      <c r="M828" s="50" t="s">
        <v>5593</v>
      </c>
      <c r="N828" s="116"/>
      <c r="O828" s="116"/>
      <c r="P828" s="50" t="s">
        <v>13763</v>
      </c>
      <c r="Q828" s="50" t="s">
        <v>13764</v>
      </c>
      <c r="R828" s="50">
        <v>22.5526791</v>
      </c>
      <c r="S828" s="50">
        <v>88.3851663</v>
      </c>
      <c r="T828" s="50">
        <v>-40.7999992370605</v>
      </c>
      <c r="U828" s="50">
        <v>5.0</v>
      </c>
      <c r="V828" s="50">
        <v>1.0</v>
      </c>
      <c r="W828" s="50">
        <v>1.0</v>
      </c>
      <c r="X828" s="116"/>
      <c r="Y828" s="116"/>
      <c r="Z828" s="116"/>
      <c r="AA828" s="50">
        <v>2.0</v>
      </c>
      <c r="AB828" s="50">
        <v>4.0</v>
      </c>
      <c r="AC828" s="116"/>
      <c r="AD828" s="116"/>
      <c r="AE828" s="116"/>
      <c r="AF828" s="116"/>
      <c r="AG828" s="116"/>
      <c r="AH828" s="116"/>
      <c r="AI828" s="116"/>
      <c r="AJ828" s="116"/>
      <c r="AK828" s="116"/>
      <c r="AL828" s="116"/>
      <c r="AM828" s="116"/>
      <c r="AN828" s="116"/>
      <c r="AO828" s="116"/>
      <c r="AP828" s="116"/>
      <c r="AQ828" s="50" t="s">
        <v>3185</v>
      </c>
      <c r="AR828" s="50" t="s">
        <v>2472</v>
      </c>
      <c r="AS828" s="50">
        <v>1.0</v>
      </c>
      <c r="AT828" s="50" t="s">
        <v>13460</v>
      </c>
      <c r="AU828" s="117">
        <v>8554.0</v>
      </c>
      <c r="AV828" s="50" t="s">
        <v>13770</v>
      </c>
      <c r="AW828" s="50" t="s">
        <v>13771</v>
      </c>
      <c r="AX828" s="117">
        <v>827.0</v>
      </c>
    </row>
    <row r="829">
      <c r="A829" s="50" t="s">
        <v>13774</v>
      </c>
      <c r="B829" s="50" t="s">
        <v>13776</v>
      </c>
      <c r="C829" s="116"/>
      <c r="D829" s="116"/>
      <c r="E829" s="50">
        <v>3.52155090281144E14</v>
      </c>
      <c r="F829" s="50">
        <v>58.0</v>
      </c>
      <c r="G829" s="50">
        <v>99.0</v>
      </c>
      <c r="H829" s="116"/>
      <c r="I829" s="116"/>
      <c r="J829" s="116"/>
      <c r="K829" s="50">
        <v>2.0</v>
      </c>
      <c r="L829" s="50" t="s">
        <v>5609</v>
      </c>
      <c r="M829" s="50" t="s">
        <v>5609</v>
      </c>
      <c r="N829" s="116"/>
      <c r="O829" s="116"/>
      <c r="P829" s="50" t="s">
        <v>13784</v>
      </c>
      <c r="Q829" s="50" t="s">
        <v>13785</v>
      </c>
      <c r="R829" s="50">
        <v>22.5525749</v>
      </c>
      <c r="S829" s="50">
        <v>88.3851603</v>
      </c>
      <c r="T829" s="50">
        <v>-79.4000015258789</v>
      </c>
      <c r="U829" s="50">
        <v>5.0</v>
      </c>
      <c r="V829" s="50">
        <v>1.0</v>
      </c>
      <c r="W829" s="50">
        <v>1.0</v>
      </c>
      <c r="X829" s="116"/>
      <c r="Y829" s="116"/>
      <c r="Z829" s="116"/>
      <c r="AA829" s="116"/>
      <c r="AB829" s="116"/>
      <c r="AC829" s="116"/>
      <c r="AD829" s="116"/>
      <c r="AE829" s="116"/>
      <c r="AF829" s="116"/>
      <c r="AG829" s="116"/>
      <c r="AH829" s="116"/>
      <c r="AI829" s="116"/>
      <c r="AJ829" s="116"/>
      <c r="AK829" s="116"/>
      <c r="AL829" s="116"/>
      <c r="AM829" s="116"/>
      <c r="AN829" s="116"/>
      <c r="AO829" s="116"/>
      <c r="AP829" s="116"/>
      <c r="AQ829" s="50" t="s">
        <v>13788</v>
      </c>
      <c r="AR829" s="50" t="s">
        <v>2472</v>
      </c>
      <c r="AS829" s="116"/>
      <c r="AT829" s="50" t="s">
        <v>13460</v>
      </c>
      <c r="AU829" s="117">
        <v>8555.0</v>
      </c>
      <c r="AV829" s="50" t="s">
        <v>13789</v>
      </c>
      <c r="AW829" s="50" t="s">
        <v>13790</v>
      </c>
      <c r="AX829" s="117">
        <v>828.0</v>
      </c>
    </row>
    <row r="830">
      <c r="A830" s="50" t="s">
        <v>13791</v>
      </c>
      <c r="B830" s="50" t="s">
        <v>13792</v>
      </c>
      <c r="C830" s="116"/>
      <c r="D830" s="116"/>
      <c r="E830" s="50">
        <v>3.52155090281144E14</v>
      </c>
      <c r="F830" s="50">
        <v>58.0</v>
      </c>
      <c r="G830" s="50">
        <v>11.0</v>
      </c>
      <c r="H830" s="50">
        <v>4.0</v>
      </c>
      <c r="I830" s="50">
        <v>0.0</v>
      </c>
      <c r="J830" s="116"/>
      <c r="K830" s="116"/>
      <c r="L830" s="50" t="s">
        <v>5628</v>
      </c>
      <c r="M830" s="50" t="s">
        <v>5628</v>
      </c>
      <c r="N830" s="116"/>
      <c r="O830" s="116"/>
      <c r="P830" s="50" t="s">
        <v>13800</v>
      </c>
      <c r="Q830" s="50" t="s">
        <v>13801</v>
      </c>
      <c r="R830" s="50">
        <v>22.5525544</v>
      </c>
      <c r="S830" s="50">
        <v>88.3852307</v>
      </c>
      <c r="T830" s="50">
        <v>-63.7999992370605</v>
      </c>
      <c r="U830" s="50">
        <v>5.0</v>
      </c>
      <c r="V830" s="50">
        <v>1.0</v>
      </c>
      <c r="W830" s="50">
        <v>1.0</v>
      </c>
      <c r="X830" s="116"/>
      <c r="Y830" s="116"/>
      <c r="Z830" s="116"/>
      <c r="AA830" s="50">
        <v>2.0</v>
      </c>
      <c r="AB830" s="50">
        <v>4.0</v>
      </c>
      <c r="AC830" s="116"/>
      <c r="AD830" s="116"/>
      <c r="AE830" s="116"/>
      <c r="AF830" s="116"/>
      <c r="AG830" s="116"/>
      <c r="AH830" s="116"/>
      <c r="AI830" s="116"/>
      <c r="AJ830" s="116"/>
      <c r="AK830" s="116"/>
      <c r="AL830" s="116"/>
      <c r="AM830" s="116"/>
      <c r="AN830" s="116"/>
      <c r="AO830" s="116"/>
      <c r="AP830" s="116"/>
      <c r="AQ830" s="50" t="s">
        <v>3149</v>
      </c>
      <c r="AR830" s="50" t="s">
        <v>2472</v>
      </c>
      <c r="AS830" s="50">
        <v>1.0</v>
      </c>
      <c r="AT830" s="50" t="s">
        <v>13460</v>
      </c>
      <c r="AU830" s="117">
        <v>8556.0</v>
      </c>
      <c r="AV830" s="50" t="s">
        <v>13807</v>
      </c>
      <c r="AW830" s="50" t="s">
        <v>13809</v>
      </c>
      <c r="AX830" s="117">
        <v>829.0</v>
      </c>
    </row>
    <row r="831">
      <c r="A831" s="50" t="s">
        <v>13812</v>
      </c>
      <c r="B831" s="50" t="s">
        <v>13813</v>
      </c>
      <c r="C831" s="116"/>
      <c r="D831" s="116"/>
      <c r="E831" s="50">
        <v>3.52155090281144E14</v>
      </c>
      <c r="F831" s="50">
        <v>58.0</v>
      </c>
      <c r="G831" s="50">
        <v>99.0</v>
      </c>
      <c r="H831" s="116"/>
      <c r="I831" s="116"/>
      <c r="J831" s="116"/>
      <c r="K831" s="50">
        <v>2.0</v>
      </c>
      <c r="L831" s="50" t="s">
        <v>5642</v>
      </c>
      <c r="M831" s="50" t="s">
        <v>5642</v>
      </c>
      <c r="N831" s="116"/>
      <c r="O831" s="116"/>
      <c r="P831" s="50" t="s">
        <v>13815</v>
      </c>
      <c r="Q831" s="50" t="s">
        <v>13816</v>
      </c>
      <c r="R831" s="50">
        <v>22.5525824</v>
      </c>
      <c r="S831" s="50">
        <v>88.3852087</v>
      </c>
      <c r="T831" s="50">
        <v>-65.6999969482421</v>
      </c>
      <c r="U831" s="50">
        <v>4.5</v>
      </c>
      <c r="V831" s="50">
        <v>1.0</v>
      </c>
      <c r="W831" s="50">
        <v>1.0</v>
      </c>
      <c r="X831" s="116"/>
      <c r="Y831" s="116"/>
      <c r="Z831" s="116"/>
      <c r="AA831" s="116"/>
      <c r="AB831" s="116"/>
      <c r="AC831" s="116"/>
      <c r="AD831" s="116"/>
      <c r="AE831" s="116"/>
      <c r="AF831" s="116"/>
      <c r="AG831" s="116"/>
      <c r="AH831" s="116"/>
      <c r="AI831" s="116"/>
      <c r="AJ831" s="116"/>
      <c r="AK831" s="116"/>
      <c r="AL831" s="116"/>
      <c r="AM831" s="116"/>
      <c r="AN831" s="116"/>
      <c r="AO831" s="116"/>
      <c r="AP831" s="116"/>
      <c r="AQ831" s="50" t="s">
        <v>13822</v>
      </c>
      <c r="AR831" s="50" t="s">
        <v>2472</v>
      </c>
      <c r="AS831" s="116"/>
      <c r="AT831" s="50" t="s">
        <v>13460</v>
      </c>
      <c r="AU831" s="117">
        <v>8557.0</v>
      </c>
      <c r="AV831" s="50" t="s">
        <v>13825</v>
      </c>
      <c r="AW831" s="50" t="s">
        <v>13827</v>
      </c>
      <c r="AX831" s="117">
        <v>830.0</v>
      </c>
    </row>
    <row r="832">
      <c r="A832" s="1" t="s">
        <v>13833</v>
      </c>
      <c r="B832" s="1" t="s">
        <v>13834</v>
      </c>
      <c r="E832" s="1">
        <v>3.5215509147374E14</v>
      </c>
      <c r="F832" s="1">
        <v>59.0</v>
      </c>
      <c r="G832" s="1">
        <v>11.0</v>
      </c>
      <c r="H832" s="1">
        <v>4.0</v>
      </c>
      <c r="I832" s="1">
        <v>1.0</v>
      </c>
      <c r="J832" s="1" t="s">
        <v>12695</v>
      </c>
      <c r="L832" s="1" t="s">
        <v>5795</v>
      </c>
      <c r="M832" s="1" t="s">
        <v>5795</v>
      </c>
      <c r="P832" s="1" t="s">
        <v>13835</v>
      </c>
      <c r="Q832" s="1" t="s">
        <v>13836</v>
      </c>
      <c r="R832" s="1">
        <v>22.5415153</v>
      </c>
      <c r="S832" s="1">
        <v>88.3760407</v>
      </c>
      <c r="T832" s="1">
        <v>-35.599998474121</v>
      </c>
      <c r="U832" s="1">
        <v>5.0</v>
      </c>
      <c r="V832" s="1">
        <v>1.0</v>
      </c>
      <c r="W832" s="1">
        <v>1.0</v>
      </c>
      <c r="AA832" s="1">
        <v>2.0</v>
      </c>
      <c r="AB832" s="1">
        <v>4.0</v>
      </c>
      <c r="AQ832" s="1" t="s">
        <v>3149</v>
      </c>
      <c r="AR832" s="1" t="s">
        <v>2278</v>
      </c>
      <c r="AS832" s="1">
        <v>1.0</v>
      </c>
      <c r="AT832" s="1" t="s">
        <v>13460</v>
      </c>
      <c r="AU832" s="121">
        <v>8683.0</v>
      </c>
      <c r="AV832" s="1" t="s">
        <v>13840</v>
      </c>
      <c r="AW832" s="1" t="s">
        <v>13842</v>
      </c>
      <c r="AX832" s="121">
        <v>831.0</v>
      </c>
    </row>
    <row r="833">
      <c r="A833" s="1" t="s">
        <v>13843</v>
      </c>
      <c r="B833" s="1" t="s">
        <v>13844</v>
      </c>
      <c r="E833" s="1">
        <v>3.5215509147374E14</v>
      </c>
      <c r="F833" s="1">
        <v>59.0</v>
      </c>
      <c r="G833" s="1">
        <v>99.0</v>
      </c>
      <c r="K833" s="1">
        <v>2.0</v>
      </c>
      <c r="L833" s="1" t="s">
        <v>5817</v>
      </c>
      <c r="M833" s="1" t="s">
        <v>5817</v>
      </c>
      <c r="P833" s="1" t="s">
        <v>13846</v>
      </c>
      <c r="Q833" s="1" t="s">
        <v>13849</v>
      </c>
      <c r="R833" s="1">
        <v>22.5414216</v>
      </c>
      <c r="S833" s="1">
        <v>88.3759058</v>
      </c>
      <c r="T833" s="1">
        <v>-53.4000015258789</v>
      </c>
      <c r="U833" s="1">
        <v>5.0</v>
      </c>
      <c r="V833" s="1">
        <v>1.0</v>
      </c>
      <c r="W833" s="1">
        <v>1.0</v>
      </c>
      <c r="AQ833" s="1" t="s">
        <v>13853</v>
      </c>
      <c r="AR833" s="1" t="s">
        <v>2278</v>
      </c>
      <c r="AT833" s="1" t="s">
        <v>13460</v>
      </c>
      <c r="AU833" s="121">
        <v>8684.0</v>
      </c>
      <c r="AV833" s="1" t="s">
        <v>13855</v>
      </c>
      <c r="AW833" s="1" t="s">
        <v>13856</v>
      </c>
      <c r="AX833" s="121">
        <v>832.0</v>
      </c>
    </row>
    <row r="834">
      <c r="A834" s="1" t="s">
        <v>13858</v>
      </c>
      <c r="B834" s="1" t="s">
        <v>13859</v>
      </c>
      <c r="E834" s="1">
        <v>3.5215509147374E14</v>
      </c>
      <c r="F834" s="1">
        <v>59.0</v>
      </c>
      <c r="G834" s="1">
        <v>11.0</v>
      </c>
      <c r="H834" s="1">
        <v>4.0</v>
      </c>
      <c r="I834" s="1">
        <v>1.0</v>
      </c>
      <c r="J834" s="1" t="s">
        <v>13862</v>
      </c>
      <c r="L834" s="1" t="s">
        <v>5836</v>
      </c>
      <c r="M834" s="1" t="s">
        <v>5836</v>
      </c>
      <c r="P834" s="1" t="s">
        <v>13864</v>
      </c>
      <c r="Q834" s="1" t="s">
        <v>13865</v>
      </c>
      <c r="R834" s="1">
        <v>22.5418185</v>
      </c>
      <c r="S834" s="1">
        <v>88.3747339</v>
      </c>
      <c r="T834" s="1">
        <v>-57.4000015258789</v>
      </c>
      <c r="U834" s="1">
        <v>5.0</v>
      </c>
      <c r="V834" s="1">
        <v>1.0</v>
      </c>
      <c r="W834" s="1">
        <v>1.0</v>
      </c>
      <c r="AA834" s="1">
        <v>1.0</v>
      </c>
      <c r="AB834" s="1">
        <v>4.0</v>
      </c>
      <c r="AQ834" s="1" t="s">
        <v>3185</v>
      </c>
      <c r="AR834" s="1" t="s">
        <v>2286</v>
      </c>
      <c r="AS834" s="1">
        <v>1.0</v>
      </c>
      <c r="AT834" s="1" t="s">
        <v>13460</v>
      </c>
      <c r="AU834" s="121">
        <v>8685.0</v>
      </c>
      <c r="AV834" s="1" t="s">
        <v>13866</v>
      </c>
      <c r="AW834" s="1" t="s">
        <v>13867</v>
      </c>
      <c r="AX834" s="121">
        <v>833.0</v>
      </c>
    </row>
    <row r="835">
      <c r="A835" s="1" t="s">
        <v>13868</v>
      </c>
      <c r="B835" s="1" t="s">
        <v>13869</v>
      </c>
      <c r="E835" s="1">
        <v>3.5215509147374E14</v>
      </c>
      <c r="F835" s="1">
        <v>59.0</v>
      </c>
      <c r="G835" s="1">
        <v>99.0</v>
      </c>
      <c r="K835" s="1">
        <v>2.0</v>
      </c>
      <c r="L835" s="1" t="s">
        <v>5849</v>
      </c>
      <c r="M835" s="1" t="s">
        <v>5849</v>
      </c>
      <c r="P835" s="1" t="s">
        <v>13873</v>
      </c>
      <c r="Q835" s="1" t="s">
        <v>13874</v>
      </c>
      <c r="R835" s="1">
        <v>22.541833</v>
      </c>
      <c r="S835" s="1">
        <v>88.3746682</v>
      </c>
      <c r="T835" s="1">
        <v>-48.599998474121</v>
      </c>
      <c r="U835" s="1">
        <v>5.0</v>
      </c>
      <c r="V835" s="1">
        <v>1.0</v>
      </c>
      <c r="W835" s="1">
        <v>1.0</v>
      </c>
      <c r="AQ835" s="1" t="s">
        <v>13876</v>
      </c>
      <c r="AR835" s="1" t="s">
        <v>2286</v>
      </c>
      <c r="AT835" s="1" t="s">
        <v>13460</v>
      </c>
      <c r="AU835" s="121">
        <v>8686.0</v>
      </c>
      <c r="AV835" s="1" t="s">
        <v>13877</v>
      </c>
      <c r="AW835" s="1" t="s">
        <v>13878</v>
      </c>
      <c r="AX835" s="121">
        <v>834.0</v>
      </c>
    </row>
    <row r="836">
      <c r="A836" s="1" t="s">
        <v>13879</v>
      </c>
      <c r="B836" s="1" t="s">
        <v>13880</v>
      </c>
      <c r="E836" s="1">
        <v>3.5215509147374E14</v>
      </c>
      <c r="F836" s="1">
        <v>10.0</v>
      </c>
      <c r="G836" s="1">
        <v>12.0</v>
      </c>
      <c r="L836" s="1" t="s">
        <v>6182</v>
      </c>
      <c r="M836" s="1" t="s">
        <v>6182</v>
      </c>
      <c r="N836" s="1">
        <v>15.0</v>
      </c>
      <c r="O836" s="1" t="s">
        <v>13881</v>
      </c>
      <c r="Q836" s="1" t="s">
        <v>13882</v>
      </c>
      <c r="R836" s="1">
        <v>22.4955518</v>
      </c>
      <c r="S836" s="1">
        <v>88.3915189</v>
      </c>
      <c r="T836" s="1">
        <v>-54.099998474121</v>
      </c>
      <c r="U836" s="1">
        <v>4.5</v>
      </c>
      <c r="V836" s="1">
        <v>1.0</v>
      </c>
      <c r="W836" s="1">
        <v>1.0</v>
      </c>
      <c r="AE836" s="1">
        <v>1.0</v>
      </c>
      <c r="AF836" s="1">
        <v>2.0</v>
      </c>
      <c r="AG836" s="1">
        <v>4.0</v>
      </c>
      <c r="AH836" s="1">
        <v>4.0</v>
      </c>
      <c r="AQ836" s="1" t="s">
        <v>13887</v>
      </c>
      <c r="AR836" s="1" t="s">
        <v>3142</v>
      </c>
      <c r="AS836" s="1">
        <v>0.0</v>
      </c>
      <c r="AT836" s="1" t="s">
        <v>13460</v>
      </c>
      <c r="AU836" s="121">
        <v>8692.0</v>
      </c>
      <c r="AV836" s="1" t="s">
        <v>13890</v>
      </c>
      <c r="AW836" s="1" t="s">
        <v>13891</v>
      </c>
      <c r="AX836" s="121">
        <v>835.0</v>
      </c>
    </row>
    <row r="837">
      <c r="A837" s="1" t="s">
        <v>13893</v>
      </c>
      <c r="B837" s="1" t="s">
        <v>13894</v>
      </c>
      <c r="E837" s="1">
        <v>3.5215509147374E14</v>
      </c>
      <c r="F837" s="1">
        <v>66.0</v>
      </c>
      <c r="G837" s="1">
        <v>12.0</v>
      </c>
      <c r="L837" s="1" t="s">
        <v>6190</v>
      </c>
      <c r="M837" s="1" t="s">
        <v>6190</v>
      </c>
      <c r="N837" s="1">
        <v>5.0</v>
      </c>
      <c r="O837" s="1" t="s">
        <v>13896</v>
      </c>
      <c r="Q837" s="1" t="s">
        <v>13897</v>
      </c>
      <c r="R837" s="1">
        <v>22.5345725</v>
      </c>
      <c r="S837" s="1">
        <v>88.3960966</v>
      </c>
      <c r="T837" s="1">
        <v>-48.4000015258789</v>
      </c>
      <c r="U837" s="1">
        <v>5.0</v>
      </c>
      <c r="V837" s="1">
        <v>1.0</v>
      </c>
      <c r="W837" s="1">
        <v>1.0</v>
      </c>
      <c r="AE837" s="1">
        <v>1.0</v>
      </c>
      <c r="AF837" s="1">
        <v>2.0</v>
      </c>
      <c r="AG837" s="1">
        <v>3.0</v>
      </c>
      <c r="AH837" s="1">
        <v>4.0</v>
      </c>
      <c r="AQ837" s="1" t="s">
        <v>6185</v>
      </c>
      <c r="AR837" s="1" t="s">
        <v>2302</v>
      </c>
      <c r="AS837" s="1">
        <v>0.0</v>
      </c>
      <c r="AT837" s="1" t="s">
        <v>13460</v>
      </c>
      <c r="AU837" s="121">
        <v>8693.0</v>
      </c>
      <c r="AV837" s="1" t="s">
        <v>13898</v>
      </c>
      <c r="AW837" s="1" t="s">
        <v>13899</v>
      </c>
      <c r="AX837" s="121">
        <v>836.0</v>
      </c>
    </row>
    <row r="838">
      <c r="A838" s="1" t="s">
        <v>13900</v>
      </c>
      <c r="B838" s="1" t="s">
        <v>13901</v>
      </c>
      <c r="E838" s="1">
        <v>3.5215509147374E14</v>
      </c>
      <c r="F838" s="1">
        <v>59.0</v>
      </c>
      <c r="G838" s="1">
        <v>12.0</v>
      </c>
      <c r="L838" s="1" t="s">
        <v>6198</v>
      </c>
      <c r="M838" s="1" t="s">
        <v>6198</v>
      </c>
      <c r="N838" s="1">
        <v>6.0</v>
      </c>
      <c r="O838" s="1" t="s">
        <v>13903</v>
      </c>
      <c r="Q838" s="1" t="s">
        <v>13904</v>
      </c>
      <c r="R838" s="1">
        <v>22.5400851</v>
      </c>
      <c r="S838" s="1">
        <v>88.3872442</v>
      </c>
      <c r="T838" s="1">
        <v>-40.0</v>
      </c>
      <c r="U838" s="1">
        <v>5.0</v>
      </c>
      <c r="V838" s="1">
        <v>1.0</v>
      </c>
      <c r="W838" s="1">
        <v>1.0</v>
      </c>
      <c r="AE838" s="1">
        <v>1.0</v>
      </c>
      <c r="AF838" s="1">
        <v>2.0</v>
      </c>
      <c r="AG838" s="1">
        <v>4.0</v>
      </c>
      <c r="AH838" s="1">
        <v>4.0</v>
      </c>
      <c r="AQ838" s="1" t="s">
        <v>3200</v>
      </c>
      <c r="AR838" s="1" t="s">
        <v>3142</v>
      </c>
      <c r="AS838" s="1">
        <v>0.0</v>
      </c>
      <c r="AT838" s="1" t="s">
        <v>13460</v>
      </c>
      <c r="AU838" s="121">
        <v>8694.0</v>
      </c>
      <c r="AV838" s="1" t="s">
        <v>13908</v>
      </c>
      <c r="AW838" s="1" t="s">
        <v>13909</v>
      </c>
      <c r="AX838" s="121">
        <v>837.0</v>
      </c>
    </row>
    <row r="839">
      <c r="A839" s="1" t="s">
        <v>13910</v>
      </c>
      <c r="B839" s="1" t="s">
        <v>13911</v>
      </c>
      <c r="E839" s="1">
        <v>3.5215509147374E14</v>
      </c>
      <c r="F839" s="1">
        <v>65.0</v>
      </c>
      <c r="G839" s="1">
        <v>12.0</v>
      </c>
      <c r="L839" s="1" t="s">
        <v>6206</v>
      </c>
      <c r="M839" s="1" t="s">
        <v>6206</v>
      </c>
      <c r="N839" s="1">
        <v>8.0</v>
      </c>
      <c r="O839" s="1" t="s">
        <v>13912</v>
      </c>
      <c r="Q839" s="1" t="s">
        <v>13913</v>
      </c>
      <c r="R839" s="1">
        <v>22.5361596</v>
      </c>
      <c r="S839" s="1">
        <v>88.374499</v>
      </c>
      <c r="T839" s="1">
        <v>-23.3999996185302</v>
      </c>
      <c r="U839" s="1">
        <v>5.0</v>
      </c>
      <c r="V839" s="1">
        <v>1.0</v>
      </c>
      <c r="W839" s="1">
        <v>1.0</v>
      </c>
      <c r="AE839" s="1">
        <v>1.0</v>
      </c>
      <c r="AF839" s="1">
        <v>2.0</v>
      </c>
      <c r="AG839" s="1">
        <v>4.0</v>
      </c>
      <c r="AH839" s="1">
        <v>4.0</v>
      </c>
      <c r="AQ839" s="1" t="s">
        <v>3200</v>
      </c>
      <c r="AR839" s="1" t="s">
        <v>3142</v>
      </c>
      <c r="AS839" s="1">
        <v>0.0</v>
      </c>
      <c r="AT839" s="1" t="s">
        <v>13460</v>
      </c>
      <c r="AU839" s="121">
        <v>8695.0</v>
      </c>
      <c r="AV839" s="1" t="s">
        <v>13919</v>
      </c>
      <c r="AW839" s="1" t="s">
        <v>13920</v>
      </c>
      <c r="AX839" s="121">
        <v>838.0</v>
      </c>
    </row>
    <row r="840">
      <c r="A840" s="1" t="s">
        <v>13921</v>
      </c>
      <c r="B840" s="1" t="s">
        <v>13924</v>
      </c>
      <c r="E840" s="1">
        <v>3.5215509147374E14</v>
      </c>
      <c r="F840" s="1">
        <v>65.0</v>
      </c>
      <c r="G840" s="1">
        <v>99.0</v>
      </c>
      <c r="K840" s="1">
        <v>1.0</v>
      </c>
      <c r="L840" s="1" t="s">
        <v>6215</v>
      </c>
      <c r="M840" s="1" t="s">
        <v>6215</v>
      </c>
      <c r="P840" s="1" t="s">
        <v>13925</v>
      </c>
      <c r="Q840" s="1" t="s">
        <v>13926</v>
      </c>
      <c r="R840" s="1">
        <v>22.5362686</v>
      </c>
      <c r="S840" s="1">
        <v>88.3746782</v>
      </c>
      <c r="T840" s="1">
        <v>-14.6000003814697</v>
      </c>
      <c r="U840" s="1">
        <v>5.0</v>
      </c>
      <c r="V840" s="1">
        <v>1.0</v>
      </c>
      <c r="W840" s="1">
        <v>1.0</v>
      </c>
      <c r="AQ840" s="1" t="s">
        <v>13927</v>
      </c>
      <c r="AR840" s="1" t="s">
        <v>3142</v>
      </c>
      <c r="AT840" s="1" t="s">
        <v>13460</v>
      </c>
      <c r="AU840" s="121">
        <v>8696.0</v>
      </c>
      <c r="AV840" s="1" t="s">
        <v>13928</v>
      </c>
      <c r="AW840" s="1" t="s">
        <v>13929</v>
      </c>
      <c r="AX840" s="121">
        <v>839.0</v>
      </c>
    </row>
    <row r="841">
      <c r="A841" s="1" t="s">
        <v>13930</v>
      </c>
      <c r="B841" s="1" t="s">
        <v>13931</v>
      </c>
      <c r="E841" s="1">
        <v>3.5215509147374E14</v>
      </c>
      <c r="F841" s="1">
        <v>11.0</v>
      </c>
      <c r="G841" s="1">
        <v>12.0</v>
      </c>
      <c r="L841" s="1" t="s">
        <v>6165</v>
      </c>
      <c r="M841" s="1" t="s">
        <v>6165</v>
      </c>
      <c r="N841" s="1">
        <v>14.0</v>
      </c>
      <c r="O841" s="1" t="s">
        <v>13933</v>
      </c>
      <c r="Q841" s="1" t="s">
        <v>13934</v>
      </c>
      <c r="R841" s="1">
        <v>22.4742807</v>
      </c>
      <c r="S841" s="1">
        <v>88.3927219</v>
      </c>
      <c r="T841" s="1">
        <v>-61.099998474121</v>
      </c>
      <c r="U841" s="1">
        <v>5.0</v>
      </c>
      <c r="V841" s="1">
        <v>1.0</v>
      </c>
      <c r="W841" s="1">
        <v>1.0</v>
      </c>
      <c r="AE841" s="1">
        <v>1.0</v>
      </c>
      <c r="AF841" s="1">
        <v>2.0</v>
      </c>
      <c r="AG841" s="1">
        <v>3.0</v>
      </c>
      <c r="AH841" s="1">
        <v>4.0</v>
      </c>
      <c r="AQ841" s="1" t="s">
        <v>13161</v>
      </c>
      <c r="AR841" s="1" t="s">
        <v>3142</v>
      </c>
      <c r="AS841" s="1">
        <v>0.0</v>
      </c>
      <c r="AT841" s="1" t="s">
        <v>13460</v>
      </c>
      <c r="AU841" s="121">
        <v>8697.0</v>
      </c>
      <c r="AV841" s="1" t="s">
        <v>13938</v>
      </c>
      <c r="AW841" s="1" t="s">
        <v>13939</v>
      </c>
      <c r="AX841" s="121">
        <v>840.0</v>
      </c>
    </row>
    <row r="842">
      <c r="A842" s="1" t="s">
        <v>13940</v>
      </c>
      <c r="B842" s="1" t="s">
        <v>13941</v>
      </c>
      <c r="E842" s="1">
        <v>3.52155090281144E14</v>
      </c>
      <c r="F842" s="1">
        <v>11.0</v>
      </c>
      <c r="G842" s="1">
        <v>12.0</v>
      </c>
      <c r="L842" s="1" t="s">
        <v>5867</v>
      </c>
      <c r="M842" s="1" t="s">
        <v>5867</v>
      </c>
      <c r="N842" s="1">
        <v>14.0</v>
      </c>
      <c r="O842" s="1" t="s">
        <v>13942</v>
      </c>
      <c r="Q842" s="1" t="s">
        <v>13943</v>
      </c>
      <c r="R842" s="1">
        <v>22.4742088</v>
      </c>
      <c r="S842" s="1">
        <v>88.392837</v>
      </c>
      <c r="T842" s="1">
        <v>-38.599998474121</v>
      </c>
      <c r="U842" s="1">
        <v>5.0</v>
      </c>
      <c r="V842" s="1">
        <v>1.0</v>
      </c>
      <c r="W842" s="1">
        <v>1.0</v>
      </c>
      <c r="AE842" s="1">
        <v>2.0</v>
      </c>
      <c r="AF842" s="1">
        <v>1.0</v>
      </c>
      <c r="AG842" s="1">
        <v>3.0</v>
      </c>
      <c r="AH842" s="1">
        <v>4.0</v>
      </c>
      <c r="AQ842" s="1" t="s">
        <v>13161</v>
      </c>
      <c r="AR842" s="1" t="s">
        <v>2472</v>
      </c>
      <c r="AS842" s="1">
        <v>0.0</v>
      </c>
      <c r="AT842" s="1" t="s">
        <v>13460</v>
      </c>
      <c r="AU842" s="121">
        <v>8698.0</v>
      </c>
      <c r="AV842" s="1" t="s">
        <v>13951</v>
      </c>
      <c r="AW842" s="1" t="s">
        <v>13952</v>
      </c>
      <c r="AX842" s="121">
        <v>841.0</v>
      </c>
    </row>
    <row r="843">
      <c r="A843" s="1" t="s">
        <v>13953</v>
      </c>
      <c r="B843" s="1" t="s">
        <v>13954</v>
      </c>
      <c r="E843" s="1">
        <v>3.52155090281144E14</v>
      </c>
      <c r="F843" s="1">
        <v>11.0</v>
      </c>
      <c r="G843" s="1">
        <v>99.0</v>
      </c>
      <c r="K843" s="1">
        <v>1.0</v>
      </c>
      <c r="L843" s="1" t="s">
        <v>5887</v>
      </c>
      <c r="M843" s="1" t="s">
        <v>5887</v>
      </c>
      <c r="P843" s="1" t="s">
        <v>13956</v>
      </c>
      <c r="Q843" s="1" t="s">
        <v>13957</v>
      </c>
      <c r="R843" s="1">
        <v>22.4742463</v>
      </c>
      <c r="S843" s="1">
        <v>88.3927786</v>
      </c>
      <c r="T843" s="1">
        <v>-55.9000015258789</v>
      </c>
      <c r="U843" s="1">
        <v>5.0</v>
      </c>
      <c r="V843" s="1">
        <v>1.0</v>
      </c>
      <c r="W843" s="1">
        <v>1.0</v>
      </c>
      <c r="AQ843" s="1" t="s">
        <v>13958</v>
      </c>
      <c r="AR843" s="1" t="s">
        <v>2472</v>
      </c>
      <c r="AT843" s="1" t="s">
        <v>13460</v>
      </c>
      <c r="AU843" s="121">
        <v>8699.0</v>
      </c>
      <c r="AV843" s="1" t="s">
        <v>13959</v>
      </c>
      <c r="AW843" s="1" t="s">
        <v>13960</v>
      </c>
      <c r="AX843" s="121">
        <v>842.0</v>
      </c>
    </row>
    <row r="844">
      <c r="A844" s="1" t="s">
        <v>13961</v>
      </c>
      <c r="B844" s="1" t="s">
        <v>13962</v>
      </c>
      <c r="E844" s="1">
        <v>3.52155090281144E14</v>
      </c>
      <c r="F844" s="1">
        <v>10.0</v>
      </c>
      <c r="G844" s="1">
        <v>12.0</v>
      </c>
      <c r="L844" s="1" t="s">
        <v>5909</v>
      </c>
      <c r="M844" s="1" t="s">
        <v>5909</v>
      </c>
      <c r="N844" s="1">
        <v>15.0</v>
      </c>
      <c r="O844" s="1" t="s">
        <v>13965</v>
      </c>
      <c r="Q844" s="1" t="s">
        <v>13966</v>
      </c>
      <c r="R844" s="1">
        <v>22.4955994</v>
      </c>
      <c r="S844" s="1">
        <v>88.3916006</v>
      </c>
      <c r="T844" s="1">
        <v>-48.4000015258789</v>
      </c>
      <c r="U844" s="1">
        <v>5.0</v>
      </c>
      <c r="V844" s="1">
        <v>1.0</v>
      </c>
      <c r="W844" s="1">
        <v>1.0</v>
      </c>
      <c r="AE844" s="1">
        <v>2.0</v>
      </c>
      <c r="AF844" s="1">
        <v>1.0</v>
      </c>
      <c r="AG844" s="1">
        <v>3.0</v>
      </c>
      <c r="AH844" s="1">
        <v>4.0</v>
      </c>
      <c r="AQ844" s="1" t="s">
        <v>13972</v>
      </c>
      <c r="AR844" s="1" t="s">
        <v>2302</v>
      </c>
      <c r="AS844" s="1">
        <v>0.0</v>
      </c>
      <c r="AT844" s="1" t="s">
        <v>13460</v>
      </c>
      <c r="AU844" s="121">
        <v>8700.0</v>
      </c>
      <c r="AV844" s="1" t="s">
        <v>13973</v>
      </c>
      <c r="AW844" s="1" t="s">
        <v>13974</v>
      </c>
      <c r="AX844" s="121">
        <v>843.0</v>
      </c>
    </row>
    <row r="845">
      <c r="A845" s="1" t="s">
        <v>13975</v>
      </c>
      <c r="B845" s="1" t="s">
        <v>13976</v>
      </c>
      <c r="E845" s="1">
        <v>3.52155090281144E14</v>
      </c>
      <c r="F845" s="1">
        <v>10.0</v>
      </c>
      <c r="G845" s="1">
        <v>99.0</v>
      </c>
      <c r="K845" s="1">
        <v>1.0</v>
      </c>
      <c r="L845" s="1" t="s">
        <v>5920</v>
      </c>
      <c r="M845" s="1" t="s">
        <v>5920</v>
      </c>
      <c r="P845" s="1" t="s">
        <v>13981</v>
      </c>
      <c r="Q845" s="1" t="s">
        <v>13982</v>
      </c>
      <c r="R845" s="1">
        <v>22.4956158</v>
      </c>
      <c r="S845" s="1">
        <v>88.3915537</v>
      </c>
      <c r="T845" s="1">
        <v>-53.099998474121</v>
      </c>
      <c r="U845" s="1">
        <v>4.5</v>
      </c>
      <c r="V845" s="1">
        <v>1.0</v>
      </c>
      <c r="W845" s="1">
        <v>1.0</v>
      </c>
      <c r="AQ845" s="1" t="s">
        <v>13986</v>
      </c>
      <c r="AR845" s="1" t="s">
        <v>2302</v>
      </c>
      <c r="AT845" s="1" t="s">
        <v>13460</v>
      </c>
      <c r="AU845" s="121">
        <v>8701.0</v>
      </c>
      <c r="AV845" s="1" t="s">
        <v>13988</v>
      </c>
      <c r="AW845" s="1" t="s">
        <v>13990</v>
      </c>
      <c r="AX845" s="121">
        <v>844.0</v>
      </c>
    </row>
    <row r="846">
      <c r="A846" s="1" t="s">
        <v>13991</v>
      </c>
      <c r="B846" s="1" t="s">
        <v>13992</v>
      </c>
      <c r="E846" s="1">
        <v>3.52155090281144E14</v>
      </c>
      <c r="F846" s="1">
        <v>66.0</v>
      </c>
      <c r="G846" s="1">
        <v>12.0</v>
      </c>
      <c r="L846" s="1" t="s">
        <v>5933</v>
      </c>
      <c r="M846" s="1" t="s">
        <v>5933</v>
      </c>
      <c r="N846" s="1">
        <v>5.0</v>
      </c>
      <c r="O846" s="1" t="s">
        <v>13994</v>
      </c>
      <c r="Q846" s="1" t="s">
        <v>13995</v>
      </c>
      <c r="R846" s="1">
        <v>22.5345939</v>
      </c>
      <c r="S846" s="1">
        <v>88.3959969</v>
      </c>
      <c r="T846" s="1">
        <v>-38.599998474121</v>
      </c>
      <c r="U846" s="1">
        <v>5.0</v>
      </c>
      <c r="V846" s="1">
        <v>1.0</v>
      </c>
      <c r="W846" s="1">
        <v>1.0</v>
      </c>
      <c r="AE846" s="1">
        <v>1.0</v>
      </c>
      <c r="AF846" s="1">
        <v>1.0</v>
      </c>
      <c r="AG846" s="1">
        <v>3.0</v>
      </c>
      <c r="AH846" s="1">
        <v>4.0</v>
      </c>
      <c r="AQ846" s="1" t="s">
        <v>3200</v>
      </c>
      <c r="AR846" s="1" t="s">
        <v>2472</v>
      </c>
      <c r="AS846" s="1">
        <v>0.0</v>
      </c>
      <c r="AT846" s="1" t="s">
        <v>13460</v>
      </c>
      <c r="AU846" s="121">
        <v>8702.0</v>
      </c>
      <c r="AV846" s="1" t="s">
        <v>14000</v>
      </c>
      <c r="AW846" s="1" t="s">
        <v>14001</v>
      </c>
      <c r="AX846" s="121">
        <v>845.0</v>
      </c>
    </row>
    <row r="847">
      <c r="A847" s="1" t="s">
        <v>14005</v>
      </c>
      <c r="B847" s="1" t="s">
        <v>14006</v>
      </c>
      <c r="E847" s="1">
        <v>3.52155090281144E14</v>
      </c>
      <c r="F847" s="1">
        <v>66.0</v>
      </c>
      <c r="G847" s="1">
        <v>99.0</v>
      </c>
      <c r="K847" s="1">
        <v>1.0</v>
      </c>
      <c r="L847" s="1" t="s">
        <v>5946</v>
      </c>
      <c r="M847" s="1" t="s">
        <v>5946</v>
      </c>
      <c r="P847" s="1" t="s">
        <v>14007</v>
      </c>
      <c r="Q847" s="1" t="s">
        <v>14008</v>
      </c>
      <c r="R847" s="1">
        <v>22.5346549</v>
      </c>
      <c r="S847" s="1">
        <v>88.3959576</v>
      </c>
      <c r="T847" s="1">
        <v>-31.1000003814697</v>
      </c>
      <c r="U847" s="1">
        <v>5.0</v>
      </c>
      <c r="V847" s="1">
        <v>1.0</v>
      </c>
      <c r="W847" s="1">
        <v>1.0</v>
      </c>
      <c r="AQ847" s="1" t="s">
        <v>14010</v>
      </c>
      <c r="AR847" s="1" t="s">
        <v>2472</v>
      </c>
      <c r="AT847" s="1" t="s">
        <v>13460</v>
      </c>
      <c r="AU847" s="121">
        <v>8703.0</v>
      </c>
      <c r="AV847" s="1" t="s">
        <v>14011</v>
      </c>
      <c r="AW847" s="1" t="s">
        <v>14012</v>
      </c>
      <c r="AX847" s="121">
        <v>846.0</v>
      </c>
    </row>
    <row r="848">
      <c r="A848" s="1" t="s">
        <v>14013</v>
      </c>
      <c r="B848" s="1" t="s">
        <v>14014</v>
      </c>
      <c r="E848" s="1">
        <v>3.52155090281144E14</v>
      </c>
      <c r="F848" s="1">
        <v>59.0</v>
      </c>
      <c r="G848" s="1">
        <v>12.0</v>
      </c>
      <c r="L848" s="1" t="s">
        <v>5959</v>
      </c>
      <c r="M848" s="1" t="s">
        <v>5959</v>
      </c>
      <c r="N848" s="1">
        <v>6.0</v>
      </c>
      <c r="O848" s="1" t="s">
        <v>14017</v>
      </c>
      <c r="Q848" s="1" t="s">
        <v>14018</v>
      </c>
      <c r="R848" s="1">
        <v>22.5401431</v>
      </c>
      <c r="S848" s="1">
        <v>88.3872741</v>
      </c>
      <c r="T848" s="1">
        <v>-38.4000015258789</v>
      </c>
      <c r="U848" s="1">
        <v>5.0</v>
      </c>
      <c r="V848" s="1">
        <v>1.0</v>
      </c>
      <c r="W848" s="1">
        <v>1.0</v>
      </c>
      <c r="AE848" s="1">
        <v>1.0</v>
      </c>
      <c r="AF848" s="1">
        <v>2.0</v>
      </c>
      <c r="AG848" s="1">
        <v>4.0</v>
      </c>
      <c r="AH848" s="1">
        <v>4.0</v>
      </c>
      <c r="AQ848" s="1" t="s">
        <v>2979</v>
      </c>
      <c r="AR848" s="1" t="s">
        <v>2302</v>
      </c>
      <c r="AS848" s="1">
        <v>0.0</v>
      </c>
      <c r="AT848" s="1" t="s">
        <v>13460</v>
      </c>
      <c r="AU848" s="121">
        <v>8704.0</v>
      </c>
      <c r="AV848" s="1" t="s">
        <v>14024</v>
      </c>
      <c r="AW848" s="1" t="s">
        <v>14025</v>
      </c>
      <c r="AX848" s="121">
        <v>847.0</v>
      </c>
    </row>
    <row r="849">
      <c r="A849" s="1" t="s">
        <v>14027</v>
      </c>
      <c r="B849" s="1" t="s">
        <v>14028</v>
      </c>
      <c r="E849" s="1">
        <v>3.52155090281144E14</v>
      </c>
      <c r="F849" s="1">
        <v>59.0</v>
      </c>
      <c r="G849" s="1">
        <v>99.0</v>
      </c>
      <c r="K849" s="1">
        <v>1.0</v>
      </c>
      <c r="L849" s="1" t="s">
        <v>5973</v>
      </c>
      <c r="M849" s="1" t="s">
        <v>5973</v>
      </c>
      <c r="P849" s="1" t="s">
        <v>14030</v>
      </c>
      <c r="Q849" s="1" t="s">
        <v>14031</v>
      </c>
      <c r="R849" s="1">
        <v>22.5400993</v>
      </c>
      <c r="S849" s="1">
        <v>88.3872519</v>
      </c>
      <c r="T849" s="1">
        <v>-43.099998474121</v>
      </c>
      <c r="U849" s="1">
        <v>4.5</v>
      </c>
      <c r="V849" s="1">
        <v>1.0</v>
      </c>
      <c r="W849" s="1">
        <v>1.0</v>
      </c>
      <c r="AQ849" s="1" t="s">
        <v>14035</v>
      </c>
      <c r="AR849" s="1" t="s">
        <v>2302</v>
      </c>
      <c r="AT849" s="1" t="s">
        <v>13460</v>
      </c>
      <c r="AU849" s="121">
        <v>8705.0</v>
      </c>
      <c r="AV849" s="1" t="s">
        <v>14036</v>
      </c>
      <c r="AW849" s="1" t="s">
        <v>14037</v>
      </c>
      <c r="AX849" s="121">
        <v>848.0</v>
      </c>
    </row>
    <row r="850">
      <c r="A850" s="1" t="s">
        <v>14038</v>
      </c>
      <c r="B850" s="1" t="s">
        <v>14039</v>
      </c>
      <c r="E850" s="1">
        <v>3.52155090281144E14</v>
      </c>
      <c r="F850" s="1">
        <v>65.0</v>
      </c>
      <c r="G850" s="1">
        <v>12.0</v>
      </c>
      <c r="L850" s="1" t="s">
        <v>5992</v>
      </c>
      <c r="M850" s="1" t="s">
        <v>5992</v>
      </c>
      <c r="N850" s="1">
        <v>8.0</v>
      </c>
      <c r="O850" s="1" t="s">
        <v>14043</v>
      </c>
      <c r="Q850" s="1" t="s">
        <v>14045</v>
      </c>
      <c r="R850" s="1">
        <v>22.5362017</v>
      </c>
      <c r="S850" s="1">
        <v>88.3746091</v>
      </c>
      <c r="T850" s="1">
        <v>-43.7000007629394</v>
      </c>
      <c r="U850" s="1">
        <v>5.0</v>
      </c>
      <c r="V850" s="1">
        <v>1.0</v>
      </c>
      <c r="W850" s="1">
        <v>1.0</v>
      </c>
      <c r="AE850" s="1">
        <v>2.0</v>
      </c>
      <c r="AF850" s="1">
        <v>1.0</v>
      </c>
      <c r="AG850" s="1">
        <v>4.0</v>
      </c>
      <c r="AH850" s="1">
        <v>4.0</v>
      </c>
      <c r="AQ850" s="1" t="s">
        <v>3200</v>
      </c>
      <c r="AR850" s="1" t="s">
        <v>2472</v>
      </c>
      <c r="AS850" s="1">
        <v>0.0</v>
      </c>
      <c r="AT850" s="1" t="s">
        <v>13460</v>
      </c>
      <c r="AU850" s="121">
        <v>8706.0</v>
      </c>
      <c r="AV850" s="1" t="s">
        <v>14047</v>
      </c>
      <c r="AW850" s="1" t="s">
        <v>14048</v>
      </c>
      <c r="AX850" s="121">
        <v>849.0</v>
      </c>
    </row>
    <row r="851">
      <c r="A851" s="1" t="s">
        <v>14049</v>
      </c>
      <c r="B851" s="1" t="s">
        <v>14050</v>
      </c>
      <c r="E851" s="1">
        <v>3.52155090281144E14</v>
      </c>
      <c r="F851" s="1">
        <v>65.0</v>
      </c>
      <c r="G851" s="1">
        <v>99.0</v>
      </c>
      <c r="K851" s="1">
        <v>1.0</v>
      </c>
      <c r="L851" s="1" t="s">
        <v>6005</v>
      </c>
      <c r="M851" s="1" t="s">
        <v>6005</v>
      </c>
      <c r="P851" s="1" t="s">
        <v>14051</v>
      </c>
      <c r="Q851" s="1" t="s">
        <v>14052</v>
      </c>
      <c r="R851" s="1">
        <v>22.5361852</v>
      </c>
      <c r="S851" s="1">
        <v>88.3745379</v>
      </c>
      <c r="T851" s="1">
        <v>-52.0</v>
      </c>
      <c r="U851" s="1">
        <v>5.0</v>
      </c>
      <c r="V851" s="1">
        <v>1.0</v>
      </c>
      <c r="W851" s="1">
        <v>1.0</v>
      </c>
      <c r="AQ851" s="1" t="s">
        <v>14057</v>
      </c>
      <c r="AR851" s="1" t="s">
        <v>2472</v>
      </c>
      <c r="AT851" s="1" t="s">
        <v>13460</v>
      </c>
      <c r="AU851" s="121">
        <v>8707.0</v>
      </c>
      <c r="AV851" s="1" t="s">
        <v>14060</v>
      </c>
      <c r="AW851" s="1" t="s">
        <v>14062</v>
      </c>
      <c r="AX851" s="121">
        <v>850.0</v>
      </c>
    </row>
    <row r="852">
      <c r="A852" s="1" t="s">
        <v>14064</v>
      </c>
      <c r="B852" s="1" t="s">
        <v>14066</v>
      </c>
      <c r="E852" s="1">
        <v>3.52155090281144E14</v>
      </c>
      <c r="F852" s="1">
        <v>58.0</v>
      </c>
      <c r="G852" s="1">
        <v>11.0</v>
      </c>
      <c r="H852" s="1">
        <v>4.0</v>
      </c>
      <c r="I852" s="1">
        <v>0.0</v>
      </c>
      <c r="L852" s="1" t="s">
        <v>6124</v>
      </c>
      <c r="M852" s="1" t="s">
        <v>6124</v>
      </c>
      <c r="P852" s="1" t="s">
        <v>14068</v>
      </c>
      <c r="Q852" s="1" t="s">
        <v>14069</v>
      </c>
      <c r="R852" s="1">
        <v>22.5540729</v>
      </c>
      <c r="S852" s="1">
        <v>88.3865684</v>
      </c>
      <c r="T852" s="1">
        <v>-40.7000007629394</v>
      </c>
      <c r="U852" s="1">
        <v>5.0</v>
      </c>
      <c r="V852" s="1">
        <v>1.0</v>
      </c>
      <c r="W852" s="1">
        <v>0.0</v>
      </c>
      <c r="X852" s="1">
        <v>1.0</v>
      </c>
      <c r="AA852" s="1">
        <v>2.0</v>
      </c>
      <c r="AB852" s="1">
        <v>4.0</v>
      </c>
      <c r="AQ852" s="1" t="s">
        <v>3149</v>
      </c>
      <c r="AR852" s="1" t="s">
        <v>2472</v>
      </c>
      <c r="AS852" s="1">
        <v>1.0</v>
      </c>
      <c r="AT852" s="1" t="s">
        <v>13460</v>
      </c>
      <c r="AU852" s="121">
        <v>8713.0</v>
      </c>
      <c r="AV852" s="1" t="s">
        <v>14070</v>
      </c>
      <c r="AW852" s="1" t="s">
        <v>14071</v>
      </c>
      <c r="AX852" s="121">
        <v>851.0</v>
      </c>
    </row>
    <row r="853">
      <c r="A853" s="1" t="s">
        <v>14072</v>
      </c>
      <c r="B853" s="1" t="s">
        <v>14073</v>
      </c>
      <c r="E853" s="1">
        <v>3.52155090281144E14</v>
      </c>
      <c r="F853" s="1">
        <v>58.0</v>
      </c>
      <c r="G853" s="1">
        <v>11.0</v>
      </c>
      <c r="H853" s="1">
        <v>4.0</v>
      </c>
      <c r="I853" s="1">
        <v>0.0</v>
      </c>
      <c r="L853" s="1" t="s">
        <v>6138</v>
      </c>
      <c r="M853" s="1" t="s">
        <v>6138</v>
      </c>
      <c r="P853" s="1" t="s">
        <v>14074</v>
      </c>
      <c r="Q853" s="1" t="s">
        <v>14075</v>
      </c>
      <c r="R853" s="1">
        <v>22.5525009</v>
      </c>
      <c r="S853" s="1">
        <v>88.3855496</v>
      </c>
      <c r="T853" s="1">
        <v>-42.099998474121</v>
      </c>
      <c r="U853" s="1">
        <v>5.0</v>
      </c>
      <c r="V853" s="1">
        <v>1.0</v>
      </c>
      <c r="W853" s="1">
        <v>0.0</v>
      </c>
      <c r="X853" s="1">
        <v>1.0</v>
      </c>
      <c r="AA853" s="1">
        <v>2.0</v>
      </c>
      <c r="AB853" s="1">
        <v>4.0</v>
      </c>
      <c r="AQ853" s="1" t="s">
        <v>2949</v>
      </c>
      <c r="AR853" s="1" t="s">
        <v>2278</v>
      </c>
      <c r="AS853" s="1">
        <v>1.0</v>
      </c>
      <c r="AT853" s="1" t="s">
        <v>13460</v>
      </c>
      <c r="AU853" s="121">
        <v>8714.0</v>
      </c>
      <c r="AV853" s="1" t="s">
        <v>14079</v>
      </c>
      <c r="AW853" s="1" t="s">
        <v>14080</v>
      </c>
      <c r="AX853" s="121">
        <v>852.0</v>
      </c>
    </row>
    <row r="854">
      <c r="A854" s="1" t="s">
        <v>14082</v>
      </c>
      <c r="B854" s="1" t="s">
        <v>14083</v>
      </c>
      <c r="E854" s="1">
        <v>3.52155090281144E14</v>
      </c>
      <c r="F854" s="1">
        <v>58.0</v>
      </c>
      <c r="G854" s="1">
        <v>99.0</v>
      </c>
      <c r="K854" s="1">
        <v>2.0</v>
      </c>
      <c r="L854" s="1" t="s">
        <v>6145</v>
      </c>
      <c r="M854" s="1" t="s">
        <v>6145</v>
      </c>
      <c r="P854" s="1" t="s">
        <v>14088</v>
      </c>
      <c r="Q854" s="1" t="s">
        <v>14090</v>
      </c>
      <c r="R854" s="1">
        <v>22.5525392</v>
      </c>
      <c r="S854" s="1">
        <v>88.3855249</v>
      </c>
      <c r="T854" s="1">
        <v>-53.599998474121</v>
      </c>
      <c r="U854" s="1">
        <v>5.0</v>
      </c>
      <c r="V854" s="1">
        <v>1.0</v>
      </c>
      <c r="W854" s="1">
        <v>0.0</v>
      </c>
      <c r="X854" s="1">
        <v>1.0</v>
      </c>
      <c r="AQ854" s="1" t="s">
        <v>2949</v>
      </c>
      <c r="AR854" s="1" t="s">
        <v>2278</v>
      </c>
      <c r="AT854" s="1" t="s">
        <v>13460</v>
      </c>
      <c r="AU854" s="121">
        <v>8715.0</v>
      </c>
      <c r="AV854" s="1" t="s">
        <v>14093</v>
      </c>
      <c r="AW854" s="1" t="s">
        <v>14094</v>
      </c>
      <c r="AX854" s="121">
        <v>853.0</v>
      </c>
    </row>
    <row r="855">
      <c r="A855" s="1" t="s">
        <v>14095</v>
      </c>
      <c r="B855" s="1" t="s">
        <v>14096</v>
      </c>
      <c r="E855" s="1">
        <v>3.52155090281144E14</v>
      </c>
      <c r="F855" s="1">
        <v>59.0</v>
      </c>
      <c r="G855" s="1">
        <v>11.0</v>
      </c>
      <c r="H855" s="1">
        <v>4.0</v>
      </c>
      <c r="I855" s="1">
        <v>1.0</v>
      </c>
      <c r="J855" s="1" t="s">
        <v>12695</v>
      </c>
      <c r="L855" s="1" t="s">
        <v>6229</v>
      </c>
      <c r="M855" s="1" t="s">
        <v>6229</v>
      </c>
      <c r="P855" s="1" t="s">
        <v>14097</v>
      </c>
      <c r="Q855" s="1" t="s">
        <v>14098</v>
      </c>
      <c r="R855" s="1">
        <v>22.5415126</v>
      </c>
      <c r="S855" s="1">
        <v>88.3759375</v>
      </c>
      <c r="T855" s="1">
        <v>-54.7000007629394</v>
      </c>
      <c r="U855" s="1">
        <v>5.0</v>
      </c>
      <c r="V855" s="1">
        <v>1.0</v>
      </c>
      <c r="W855" s="1">
        <v>0.0</v>
      </c>
      <c r="X855" s="1">
        <v>1.0</v>
      </c>
      <c r="AA855" s="1">
        <v>1.0</v>
      </c>
      <c r="AB855" s="1">
        <v>4.0</v>
      </c>
      <c r="AQ855" s="1" t="s">
        <v>3149</v>
      </c>
      <c r="AR855" s="1" t="s">
        <v>2472</v>
      </c>
      <c r="AS855" s="1">
        <v>1.0</v>
      </c>
      <c r="AT855" s="1" t="s">
        <v>13460</v>
      </c>
      <c r="AU855" s="121">
        <v>8716.0</v>
      </c>
      <c r="AV855" s="1" t="s">
        <v>14102</v>
      </c>
      <c r="AW855" s="1" t="s">
        <v>14103</v>
      </c>
      <c r="AX855" s="121">
        <v>854.0</v>
      </c>
    </row>
    <row r="856">
      <c r="A856" s="1" t="s">
        <v>14105</v>
      </c>
      <c r="B856" s="1" t="s">
        <v>14106</v>
      </c>
      <c r="E856" s="1">
        <v>3.52155090281144E14</v>
      </c>
      <c r="F856" s="1">
        <v>59.0</v>
      </c>
      <c r="G856" s="1">
        <v>11.0</v>
      </c>
      <c r="H856" s="1">
        <v>4.0</v>
      </c>
      <c r="I856" s="1">
        <v>1.0</v>
      </c>
      <c r="J856" s="1" t="s">
        <v>13862</v>
      </c>
      <c r="L856" s="1" t="s">
        <v>6243</v>
      </c>
      <c r="M856" s="1" t="s">
        <v>6243</v>
      </c>
      <c r="P856" s="1" t="s">
        <v>14107</v>
      </c>
      <c r="Q856" s="1" t="s">
        <v>14108</v>
      </c>
      <c r="R856" s="1">
        <v>22.5418391</v>
      </c>
      <c r="S856" s="1">
        <v>88.3748166</v>
      </c>
      <c r="T856" s="1">
        <v>-38.099998474121</v>
      </c>
      <c r="U856" s="1">
        <v>5.0</v>
      </c>
      <c r="V856" s="1">
        <v>1.0</v>
      </c>
      <c r="W856" s="1">
        <v>0.0</v>
      </c>
      <c r="X856" s="1">
        <v>1.0</v>
      </c>
      <c r="AA856" s="1">
        <v>1.0</v>
      </c>
      <c r="AB856" s="1">
        <v>4.0</v>
      </c>
      <c r="AQ856" s="1" t="s">
        <v>2949</v>
      </c>
      <c r="AR856" s="1" t="s">
        <v>2472</v>
      </c>
      <c r="AS856" s="1">
        <v>1.0</v>
      </c>
      <c r="AT856" s="1" t="s">
        <v>13460</v>
      </c>
      <c r="AU856" s="121">
        <v>8717.0</v>
      </c>
      <c r="AV856" s="1" t="s">
        <v>14109</v>
      </c>
      <c r="AW856" s="1" t="s">
        <v>14110</v>
      </c>
      <c r="AX856" s="121">
        <v>855.0</v>
      </c>
    </row>
    <row r="857">
      <c r="A857" s="1" t="s">
        <v>14111</v>
      </c>
      <c r="B857" s="1" t="s">
        <v>14112</v>
      </c>
      <c r="E857" s="1">
        <v>3.52155090281144E14</v>
      </c>
      <c r="F857" s="1">
        <v>59.0</v>
      </c>
      <c r="G857" s="1">
        <v>99.0</v>
      </c>
      <c r="K857" s="1">
        <v>2.0</v>
      </c>
      <c r="L857" s="1" t="s">
        <v>6250</v>
      </c>
      <c r="M857" s="1" t="s">
        <v>6250</v>
      </c>
      <c r="P857" s="1" t="s">
        <v>14113</v>
      </c>
      <c r="Q857" s="1" t="s">
        <v>14114</v>
      </c>
      <c r="R857" s="1">
        <v>22.5416988</v>
      </c>
      <c r="S857" s="1">
        <v>88.3747859</v>
      </c>
      <c r="T857" s="1">
        <v>-78.5</v>
      </c>
      <c r="U857" s="1">
        <v>5.0</v>
      </c>
      <c r="V857" s="1">
        <v>1.0</v>
      </c>
      <c r="W857" s="1">
        <v>0.0</v>
      </c>
      <c r="X857" s="1">
        <v>1.0</v>
      </c>
      <c r="AQ857" s="1" t="s">
        <v>2949</v>
      </c>
      <c r="AR857" s="1" t="s">
        <v>2472</v>
      </c>
      <c r="AT857" s="1" t="s">
        <v>13460</v>
      </c>
      <c r="AU857" s="121">
        <v>8718.0</v>
      </c>
      <c r="AV857" s="1" t="s">
        <v>14120</v>
      </c>
      <c r="AW857" s="1" t="s">
        <v>14121</v>
      </c>
      <c r="AX857" s="121">
        <v>856.0</v>
      </c>
    </row>
    <row r="858">
      <c r="A858" s="1" t="s">
        <v>14123</v>
      </c>
      <c r="B858" s="1" t="s">
        <v>14124</v>
      </c>
      <c r="E858" s="1">
        <v>3.52155090281144E14</v>
      </c>
      <c r="F858" s="1">
        <v>65.0</v>
      </c>
      <c r="G858" s="1">
        <v>11.0</v>
      </c>
      <c r="H858" s="1">
        <v>1.0</v>
      </c>
      <c r="L858" s="1" t="s">
        <v>6262</v>
      </c>
      <c r="M858" s="1" t="s">
        <v>6262</v>
      </c>
      <c r="P858" s="1" t="s">
        <v>14126</v>
      </c>
      <c r="Q858" s="1" t="s">
        <v>14127</v>
      </c>
      <c r="R858" s="1">
        <v>22.5361075</v>
      </c>
      <c r="S858" s="1">
        <v>88.3747197</v>
      </c>
      <c r="T858" s="1">
        <v>-67.1999969482421</v>
      </c>
      <c r="U858" s="1">
        <v>5.0</v>
      </c>
      <c r="V858" s="1">
        <v>1.0</v>
      </c>
      <c r="W858" s="1">
        <v>0.0</v>
      </c>
      <c r="X858" s="1">
        <v>1.0</v>
      </c>
      <c r="AA858" s="1">
        <v>1.0</v>
      </c>
      <c r="AB858" s="1">
        <v>4.0</v>
      </c>
      <c r="AQ858" s="1" t="s">
        <v>2979</v>
      </c>
      <c r="AR858" s="1" t="s">
        <v>2286</v>
      </c>
      <c r="AS858" s="1">
        <v>0.0</v>
      </c>
      <c r="AT858" s="1" t="s">
        <v>13460</v>
      </c>
      <c r="AU858" s="121">
        <v>8719.0</v>
      </c>
      <c r="AV858" s="1" t="s">
        <v>14128</v>
      </c>
      <c r="AW858" s="1" t="s">
        <v>14129</v>
      </c>
      <c r="AX858" s="121">
        <v>857.0</v>
      </c>
    </row>
    <row r="859">
      <c r="A859" s="1" t="s">
        <v>14130</v>
      </c>
      <c r="B859" s="1" t="s">
        <v>14131</v>
      </c>
      <c r="E859" s="1">
        <v>3.52155090281144E14</v>
      </c>
      <c r="F859" s="1">
        <v>59.0</v>
      </c>
      <c r="G859" s="1">
        <v>11.0</v>
      </c>
      <c r="H859" s="1">
        <v>4.0</v>
      </c>
      <c r="I859" s="1">
        <v>1.0</v>
      </c>
      <c r="J859" s="1" t="s">
        <v>12695</v>
      </c>
      <c r="L859" s="1" t="s">
        <v>6364</v>
      </c>
      <c r="M859" s="1" t="s">
        <v>6364</v>
      </c>
      <c r="P859" s="1" t="s">
        <v>14132</v>
      </c>
      <c r="Q859" s="1" t="s">
        <v>14133</v>
      </c>
      <c r="R859" s="1">
        <v>22.5416525</v>
      </c>
      <c r="S859" s="1">
        <v>88.3760006</v>
      </c>
      <c r="T859" s="1">
        <v>-43.4000015258789</v>
      </c>
      <c r="U859" s="1">
        <v>4.5</v>
      </c>
      <c r="V859" s="1">
        <v>1.0</v>
      </c>
      <c r="W859" s="1">
        <v>0.0</v>
      </c>
      <c r="X859" s="1">
        <v>0.0</v>
      </c>
      <c r="Y859" s="1">
        <v>1.0</v>
      </c>
      <c r="AA859" s="1">
        <v>1.0</v>
      </c>
      <c r="AB859" s="1">
        <v>4.0</v>
      </c>
      <c r="AQ859" s="1" t="s">
        <v>3149</v>
      </c>
      <c r="AR859" s="1" t="s">
        <v>2472</v>
      </c>
      <c r="AS859" s="1">
        <v>1.0</v>
      </c>
      <c r="AT859" s="1" t="s">
        <v>13460</v>
      </c>
      <c r="AU859" s="121">
        <v>8802.0</v>
      </c>
      <c r="AV859" s="1" t="s">
        <v>14135</v>
      </c>
      <c r="AW859" s="1" t="s">
        <v>14136</v>
      </c>
      <c r="AX859" s="121">
        <v>858.0</v>
      </c>
    </row>
    <row r="860">
      <c r="A860" s="1" t="s">
        <v>14137</v>
      </c>
      <c r="B860" s="1" t="s">
        <v>14138</v>
      </c>
      <c r="E860" s="1">
        <v>3.52155090281144E14</v>
      </c>
      <c r="F860" s="1">
        <v>59.0</v>
      </c>
      <c r="G860" s="1">
        <v>11.0</v>
      </c>
      <c r="H860" s="1">
        <v>4.0</v>
      </c>
      <c r="I860" s="1">
        <v>1.0</v>
      </c>
      <c r="J860" s="1" t="s">
        <v>13862</v>
      </c>
      <c r="L860" s="1" t="s">
        <v>6378</v>
      </c>
      <c r="M860" s="1" t="s">
        <v>6378</v>
      </c>
      <c r="P860" s="1" t="s">
        <v>14140</v>
      </c>
      <c r="Q860" s="1" t="s">
        <v>14142</v>
      </c>
      <c r="R860" s="1">
        <v>22.5418402</v>
      </c>
      <c r="S860" s="1">
        <v>88.3748337</v>
      </c>
      <c r="T860" s="1">
        <v>-23.7999992370605</v>
      </c>
      <c r="U860" s="1">
        <v>5.0</v>
      </c>
      <c r="V860" s="1">
        <v>1.0</v>
      </c>
      <c r="W860" s="1">
        <v>0.0</v>
      </c>
      <c r="X860" s="1">
        <v>0.0</v>
      </c>
      <c r="Y860" s="1">
        <v>1.0</v>
      </c>
      <c r="AA860" s="1">
        <v>1.0</v>
      </c>
      <c r="AB860" s="1">
        <v>4.0</v>
      </c>
      <c r="AQ860" s="1" t="s">
        <v>3243</v>
      </c>
      <c r="AR860" s="1" t="s">
        <v>2472</v>
      </c>
      <c r="AS860" s="1">
        <v>1.0</v>
      </c>
      <c r="AT860" s="1" t="s">
        <v>13460</v>
      </c>
      <c r="AU860" s="121">
        <v>8803.0</v>
      </c>
      <c r="AV860" s="1" t="s">
        <v>14144</v>
      </c>
      <c r="AW860" s="1" t="s">
        <v>14145</v>
      </c>
      <c r="AX860" s="121">
        <v>859.0</v>
      </c>
    </row>
    <row r="861">
      <c r="A861" s="1" t="s">
        <v>14146</v>
      </c>
      <c r="B861" s="1" t="s">
        <v>14147</v>
      </c>
      <c r="E861" s="1">
        <v>3.52155090281144E14</v>
      </c>
      <c r="F861" s="1">
        <v>59.0</v>
      </c>
      <c r="G861" s="1">
        <v>99.0</v>
      </c>
      <c r="K861" s="1">
        <v>2.0</v>
      </c>
      <c r="L861" s="1" t="s">
        <v>6392</v>
      </c>
      <c r="M861" s="1" t="s">
        <v>6392</v>
      </c>
      <c r="P861" s="1" t="s">
        <v>14148</v>
      </c>
      <c r="Q861" s="1" t="s">
        <v>14149</v>
      </c>
      <c r="R861" s="1">
        <v>22.5419342</v>
      </c>
      <c r="S861" s="1">
        <v>88.3761541</v>
      </c>
      <c r="T861" s="1">
        <v>-28.2999992370605</v>
      </c>
      <c r="U861" s="1">
        <v>5.0</v>
      </c>
      <c r="V861" s="1">
        <v>1.0</v>
      </c>
      <c r="W861" s="1">
        <v>0.0</v>
      </c>
      <c r="X861" s="1">
        <v>0.0</v>
      </c>
      <c r="Y861" s="1">
        <v>1.0</v>
      </c>
      <c r="AQ861" s="1" t="s">
        <v>3243</v>
      </c>
      <c r="AR861" s="1" t="s">
        <v>2472</v>
      </c>
      <c r="AT861" s="1" t="s">
        <v>13460</v>
      </c>
      <c r="AU861" s="121">
        <v>8807.0</v>
      </c>
      <c r="AV861" s="1" t="s">
        <v>14150</v>
      </c>
      <c r="AW861" s="1" t="s">
        <v>14151</v>
      </c>
      <c r="AX861" s="121">
        <v>860.0</v>
      </c>
    </row>
    <row r="862">
      <c r="A862" s="1" t="s">
        <v>14152</v>
      </c>
      <c r="B862" s="1" t="s">
        <v>14153</v>
      </c>
      <c r="E862" s="1">
        <v>3.52155090281144E14</v>
      </c>
      <c r="F862" s="1">
        <v>57.0</v>
      </c>
      <c r="G862" s="1">
        <v>12.0</v>
      </c>
      <c r="L862" s="1" t="s">
        <v>6409</v>
      </c>
      <c r="M862" s="1" t="s">
        <v>6409</v>
      </c>
      <c r="N862" s="1">
        <v>3.0</v>
      </c>
      <c r="O862" s="1" t="s">
        <v>14158</v>
      </c>
      <c r="Q862" s="1" t="s">
        <v>14160</v>
      </c>
      <c r="R862" s="1">
        <v>22.5563355</v>
      </c>
      <c r="S862" s="1">
        <v>88.3921736</v>
      </c>
      <c r="T862" s="1">
        <v>-30.5</v>
      </c>
      <c r="U862" s="1">
        <v>5.0</v>
      </c>
      <c r="V862" s="1">
        <v>1.0</v>
      </c>
      <c r="W862" s="1">
        <v>0.0</v>
      </c>
      <c r="X862" s="1">
        <v>0.0</v>
      </c>
      <c r="Y862" s="1">
        <v>1.0</v>
      </c>
      <c r="AE862" s="1">
        <v>1.0</v>
      </c>
      <c r="AF862" s="1">
        <v>2.0</v>
      </c>
      <c r="AG862" s="1">
        <v>3.0</v>
      </c>
      <c r="AH862" s="1">
        <v>4.0</v>
      </c>
      <c r="AQ862" s="1" t="s">
        <v>3149</v>
      </c>
      <c r="AR862" s="1" t="s">
        <v>2472</v>
      </c>
      <c r="AS862" s="1">
        <v>0.0</v>
      </c>
      <c r="AT862" s="1" t="s">
        <v>13460</v>
      </c>
      <c r="AU862" s="121">
        <v>8861.0</v>
      </c>
      <c r="AV862" s="1" t="s">
        <v>14164</v>
      </c>
      <c r="AW862" s="1" t="s">
        <v>14165</v>
      </c>
      <c r="AX862" s="121">
        <v>861.0</v>
      </c>
    </row>
    <row r="863">
      <c r="A863" s="1" t="s">
        <v>14167</v>
      </c>
      <c r="B863" s="1" t="s">
        <v>14168</v>
      </c>
      <c r="E863" s="1">
        <v>3.52155090281144E14</v>
      </c>
      <c r="F863" s="1">
        <v>57.0</v>
      </c>
      <c r="G863" s="1">
        <v>12.0</v>
      </c>
      <c r="L863" s="1" t="s">
        <v>6422</v>
      </c>
      <c r="M863" s="1" t="s">
        <v>6422</v>
      </c>
      <c r="N863" s="1">
        <v>7.0</v>
      </c>
      <c r="O863" s="1" t="s">
        <v>14171</v>
      </c>
      <c r="Q863" s="1" t="s">
        <v>14172</v>
      </c>
      <c r="R863" s="1">
        <v>22.5580188</v>
      </c>
      <c r="S863" s="1">
        <v>88.3895929</v>
      </c>
      <c r="T863" s="1">
        <v>-55.2000007629394</v>
      </c>
      <c r="U863" s="1">
        <v>5.0</v>
      </c>
      <c r="V863" s="1">
        <v>1.0</v>
      </c>
      <c r="W863" s="1">
        <v>0.0</v>
      </c>
      <c r="X863" s="1">
        <v>0.0</v>
      </c>
      <c r="Y863" s="1">
        <v>1.0</v>
      </c>
      <c r="AE863" s="1">
        <v>2.0</v>
      </c>
      <c r="AF863" s="1">
        <v>2.0</v>
      </c>
      <c r="AG863" s="1">
        <v>3.0</v>
      </c>
      <c r="AH863" s="1">
        <v>4.0</v>
      </c>
      <c r="AQ863" s="1" t="s">
        <v>2979</v>
      </c>
      <c r="AR863" s="1" t="s">
        <v>2286</v>
      </c>
      <c r="AS863" s="1">
        <v>0.0</v>
      </c>
      <c r="AT863" s="1" t="s">
        <v>13460</v>
      </c>
      <c r="AU863" s="121">
        <v>8862.0</v>
      </c>
      <c r="AV863" s="1" t="s">
        <v>14176</v>
      </c>
      <c r="AW863" s="1" t="s">
        <v>14177</v>
      </c>
      <c r="AX863" s="121">
        <v>862.0</v>
      </c>
    </row>
    <row r="864">
      <c r="A864" s="1" t="s">
        <v>14178</v>
      </c>
      <c r="B864" s="1" t="s">
        <v>14179</v>
      </c>
      <c r="E864" s="1">
        <v>3.52155090281144E14</v>
      </c>
      <c r="F864" s="1">
        <v>57.0</v>
      </c>
      <c r="G864" s="1">
        <v>11.0</v>
      </c>
      <c r="H864" s="1">
        <v>1.0</v>
      </c>
      <c r="L864" s="1" t="s">
        <v>6445</v>
      </c>
      <c r="M864" s="1" t="s">
        <v>6445</v>
      </c>
      <c r="P864" s="1" t="s">
        <v>14181</v>
      </c>
      <c r="Q864" s="1" t="s">
        <v>14182</v>
      </c>
      <c r="R864" s="1">
        <v>22.5580029</v>
      </c>
      <c r="S864" s="1">
        <v>88.3896592</v>
      </c>
      <c r="T864" s="1">
        <v>-46.099998474121</v>
      </c>
      <c r="U864" s="1">
        <v>5.0</v>
      </c>
      <c r="V864" s="1">
        <v>1.0</v>
      </c>
      <c r="W864" s="1">
        <v>0.0</v>
      </c>
      <c r="X864" s="1">
        <v>0.0</v>
      </c>
      <c r="Y864" s="1">
        <v>1.0</v>
      </c>
      <c r="AA864" s="1">
        <v>1.0</v>
      </c>
      <c r="AB864" s="1">
        <v>4.0</v>
      </c>
      <c r="AQ864" s="1" t="s">
        <v>3149</v>
      </c>
      <c r="AR864" s="1" t="s">
        <v>2472</v>
      </c>
      <c r="AS864" s="1">
        <v>0.0</v>
      </c>
      <c r="AT864" s="1" t="s">
        <v>13460</v>
      </c>
      <c r="AU864" s="121">
        <v>8863.0</v>
      </c>
      <c r="AV864" s="1" t="s">
        <v>14187</v>
      </c>
      <c r="AW864" s="1" t="s">
        <v>14188</v>
      </c>
      <c r="AX864" s="121">
        <v>863.0</v>
      </c>
    </row>
    <row r="865">
      <c r="A865" s="1" t="s">
        <v>14189</v>
      </c>
      <c r="B865" s="1" t="s">
        <v>14190</v>
      </c>
      <c r="E865" s="1">
        <v>3.52155090281144E14</v>
      </c>
      <c r="F865" s="1">
        <v>55.0</v>
      </c>
      <c r="G865" s="1">
        <v>12.0</v>
      </c>
      <c r="L865" s="1" t="s">
        <v>6434</v>
      </c>
      <c r="M865" s="1" t="s">
        <v>6434</v>
      </c>
      <c r="N865" s="1">
        <v>4.0</v>
      </c>
      <c r="O865" s="1" t="s">
        <v>14192</v>
      </c>
      <c r="Q865" s="1" t="s">
        <v>14194</v>
      </c>
      <c r="R865" s="1">
        <v>22.5636022</v>
      </c>
      <c r="S865" s="1">
        <v>88.3772972</v>
      </c>
      <c r="T865" s="1">
        <v>-35.2000007629394</v>
      </c>
      <c r="U865" s="1">
        <v>5.0</v>
      </c>
      <c r="V865" s="1">
        <v>1.0</v>
      </c>
      <c r="W865" s="1">
        <v>0.0</v>
      </c>
      <c r="X865" s="1">
        <v>0.0</v>
      </c>
      <c r="Y865" s="1">
        <v>1.0</v>
      </c>
      <c r="AE865" s="1">
        <v>2.0</v>
      </c>
      <c r="AF865" s="1">
        <v>1.0</v>
      </c>
      <c r="AG865" s="1">
        <v>4.0</v>
      </c>
      <c r="AH865" s="1">
        <v>4.0</v>
      </c>
      <c r="AQ865" s="1" t="s">
        <v>3149</v>
      </c>
      <c r="AR865" s="1" t="s">
        <v>2472</v>
      </c>
      <c r="AS865" s="1">
        <v>0.0</v>
      </c>
      <c r="AT865" s="1" t="s">
        <v>13460</v>
      </c>
      <c r="AU865" s="121">
        <v>8864.0</v>
      </c>
      <c r="AV865" s="1" t="s">
        <v>14197</v>
      </c>
      <c r="AW865" s="1" t="s">
        <v>14199</v>
      </c>
      <c r="AX865" s="121">
        <v>864.0</v>
      </c>
    </row>
    <row r="866">
      <c r="A866" s="1" t="s">
        <v>14201</v>
      </c>
      <c r="B866" s="1" t="s">
        <v>14202</v>
      </c>
      <c r="E866" s="1">
        <v>3.52155090281144E14</v>
      </c>
      <c r="F866" s="1">
        <v>57.0</v>
      </c>
      <c r="G866" s="1">
        <v>12.0</v>
      </c>
      <c r="L866" s="1" t="s">
        <v>6437</v>
      </c>
      <c r="M866" s="1" t="s">
        <v>6437</v>
      </c>
      <c r="N866" s="1">
        <v>1.0</v>
      </c>
      <c r="O866" s="1" t="s">
        <v>14204</v>
      </c>
      <c r="Q866" s="1" t="s">
        <v>14205</v>
      </c>
      <c r="R866" s="1">
        <v>22.5578795</v>
      </c>
      <c r="S866" s="1">
        <v>88.4109037</v>
      </c>
      <c r="T866" s="1">
        <v>-42.7999992370605</v>
      </c>
      <c r="U866" s="1">
        <v>5.0</v>
      </c>
      <c r="V866" s="1">
        <v>1.0</v>
      </c>
      <c r="W866" s="1">
        <v>0.0</v>
      </c>
      <c r="X866" s="1">
        <v>0.0</v>
      </c>
      <c r="Y866" s="1">
        <v>1.0</v>
      </c>
      <c r="AE866" s="1">
        <v>2.0</v>
      </c>
      <c r="AF866" s="1">
        <v>1.0</v>
      </c>
      <c r="AG866" s="1">
        <v>4.0</v>
      </c>
      <c r="AH866" s="1">
        <v>4.0</v>
      </c>
      <c r="AQ866" s="1" t="s">
        <v>2979</v>
      </c>
      <c r="AR866" s="1" t="s">
        <v>2286</v>
      </c>
      <c r="AS866" s="1">
        <v>0.0</v>
      </c>
      <c r="AT866" s="1" t="s">
        <v>13460</v>
      </c>
      <c r="AU866" s="121">
        <v>8865.0</v>
      </c>
      <c r="AV866" s="1" t="s">
        <v>14211</v>
      </c>
      <c r="AW866" s="1" t="s">
        <v>14212</v>
      </c>
      <c r="AX866" s="121">
        <v>865.0</v>
      </c>
    </row>
    <row r="867">
      <c r="A867" s="1" t="s">
        <v>14214</v>
      </c>
      <c r="B867" s="1" t="s">
        <v>14215</v>
      </c>
      <c r="E867" s="1">
        <v>3.52155090281144E14</v>
      </c>
      <c r="F867" s="1">
        <v>57.0</v>
      </c>
      <c r="G867" s="1">
        <v>99.0</v>
      </c>
      <c r="K867" s="1">
        <v>1.0</v>
      </c>
      <c r="L867" s="1" t="s">
        <v>6458</v>
      </c>
      <c r="M867" s="1" t="s">
        <v>6458</v>
      </c>
      <c r="P867" s="1" t="s">
        <v>14217</v>
      </c>
      <c r="Q867" s="1" t="s">
        <v>14218</v>
      </c>
      <c r="R867" s="1">
        <v>22.557885</v>
      </c>
      <c r="S867" s="1">
        <v>88.4108253</v>
      </c>
      <c r="T867" s="1">
        <v>-67.9000015258789</v>
      </c>
      <c r="U867" s="1">
        <v>5.0</v>
      </c>
      <c r="V867" s="1">
        <v>1.0</v>
      </c>
      <c r="W867" s="1">
        <v>0.0</v>
      </c>
      <c r="X867" s="1">
        <v>0.0</v>
      </c>
      <c r="Y867" s="1">
        <v>1.0</v>
      </c>
      <c r="AQ867" s="1" t="s">
        <v>2979</v>
      </c>
      <c r="AR867" s="1" t="s">
        <v>2286</v>
      </c>
      <c r="AT867" s="1" t="s">
        <v>13460</v>
      </c>
      <c r="AU867" s="121">
        <v>8866.0</v>
      </c>
      <c r="AV867" s="1" t="s">
        <v>14222</v>
      </c>
      <c r="AW867" s="1" t="s">
        <v>14223</v>
      </c>
      <c r="AX867" s="121">
        <v>866.0</v>
      </c>
    </row>
    <row r="868">
      <c r="A868" s="1" t="s">
        <v>14224</v>
      </c>
      <c r="B868" s="1" t="s">
        <v>14225</v>
      </c>
      <c r="E868" s="1">
        <v>3.5215509147374E14</v>
      </c>
      <c r="F868" s="1">
        <v>65.0</v>
      </c>
      <c r="G868" s="1">
        <v>11.0</v>
      </c>
      <c r="H868" s="1">
        <v>1.0</v>
      </c>
      <c r="L868" s="1" t="s">
        <v>6562</v>
      </c>
      <c r="M868" s="1" t="s">
        <v>6562</v>
      </c>
      <c r="P868" s="1" t="s">
        <v>14228</v>
      </c>
      <c r="Q868" s="1" t="s">
        <v>14229</v>
      </c>
      <c r="R868" s="1">
        <v>22.536128</v>
      </c>
      <c r="S868" s="1">
        <v>88.3746935</v>
      </c>
      <c r="T868" s="1">
        <v>-18.1000003814697</v>
      </c>
      <c r="U868" s="1">
        <v>5.0</v>
      </c>
      <c r="V868" s="1">
        <v>1.0</v>
      </c>
      <c r="W868" s="1">
        <v>0.0</v>
      </c>
      <c r="X868" s="1">
        <v>0.0</v>
      </c>
      <c r="Y868" s="1">
        <v>1.0</v>
      </c>
      <c r="AA868" s="1">
        <v>1.0</v>
      </c>
      <c r="AB868" s="1">
        <v>4.0</v>
      </c>
      <c r="AQ868" s="1" t="s">
        <v>2979</v>
      </c>
      <c r="AR868" s="1" t="s">
        <v>2494</v>
      </c>
      <c r="AS868" s="1">
        <v>0.0</v>
      </c>
      <c r="AT868" s="1" t="s">
        <v>13460</v>
      </c>
      <c r="AU868" s="121">
        <v>8976.0</v>
      </c>
      <c r="AV868" s="1" t="s">
        <v>14232</v>
      </c>
      <c r="AW868" s="1" t="s">
        <v>14233</v>
      </c>
      <c r="AX868" s="121">
        <v>867.0</v>
      </c>
    </row>
    <row r="869">
      <c r="A869" s="1" t="s">
        <v>14236</v>
      </c>
      <c r="B869" s="1" t="s">
        <v>14238</v>
      </c>
      <c r="E869" s="1">
        <v>3.5215509147374E14</v>
      </c>
      <c r="F869" s="1">
        <v>59.0</v>
      </c>
      <c r="G869" s="1">
        <v>11.0</v>
      </c>
      <c r="H869" s="1">
        <v>4.0</v>
      </c>
      <c r="I869" s="1">
        <v>1.0</v>
      </c>
      <c r="J869" s="1" t="s">
        <v>13862</v>
      </c>
      <c r="L869" s="1" t="s">
        <v>6624</v>
      </c>
      <c r="M869" s="1" t="s">
        <v>6624</v>
      </c>
      <c r="P869" s="1" t="s">
        <v>14239</v>
      </c>
      <c r="Q869" s="1" t="s">
        <v>14240</v>
      </c>
      <c r="R869" s="1">
        <v>22.5419003</v>
      </c>
      <c r="S869" s="1">
        <v>88.3748513</v>
      </c>
      <c r="T869" s="1">
        <v>-18.8999996185302</v>
      </c>
      <c r="U869" s="1">
        <v>5.0</v>
      </c>
      <c r="V869" s="1">
        <v>1.0</v>
      </c>
      <c r="W869" s="1">
        <v>0.0</v>
      </c>
      <c r="X869" s="1">
        <v>0.0</v>
      </c>
      <c r="Y869" s="1">
        <v>1.0</v>
      </c>
      <c r="AA869" s="1">
        <v>1.0</v>
      </c>
      <c r="AB869" s="1">
        <v>4.0</v>
      </c>
      <c r="AQ869" s="1" t="s">
        <v>3149</v>
      </c>
      <c r="AR869" s="1" t="s">
        <v>2472</v>
      </c>
      <c r="AS869" s="1">
        <v>1.0</v>
      </c>
      <c r="AT869" s="1" t="s">
        <v>13460</v>
      </c>
      <c r="AU869" s="121">
        <v>8980.0</v>
      </c>
      <c r="AV869" s="1" t="s">
        <v>14245</v>
      </c>
      <c r="AW869" s="1" t="s">
        <v>14247</v>
      </c>
      <c r="AX869" s="121">
        <v>868.0</v>
      </c>
    </row>
    <row r="870">
      <c r="A870" s="1" t="s">
        <v>14248</v>
      </c>
      <c r="B870" s="1" t="s">
        <v>14249</v>
      </c>
      <c r="E870" s="1">
        <v>3.5215509147374E14</v>
      </c>
      <c r="F870" s="1">
        <v>59.0</v>
      </c>
      <c r="G870" s="1">
        <v>11.0</v>
      </c>
      <c r="H870" s="1">
        <v>4.0</v>
      </c>
      <c r="I870" s="1">
        <v>1.0</v>
      </c>
      <c r="J870" s="1" t="s">
        <v>14252</v>
      </c>
      <c r="L870" s="1" t="s">
        <v>6632</v>
      </c>
      <c r="M870" s="1" t="s">
        <v>6632</v>
      </c>
      <c r="P870" s="1" t="s">
        <v>14253</v>
      </c>
      <c r="Q870" s="1" t="s">
        <v>14254</v>
      </c>
      <c r="R870" s="1">
        <v>22.5414364</v>
      </c>
      <c r="S870" s="1">
        <v>88.3742006</v>
      </c>
      <c r="T870" s="1">
        <v>-53.2999992370605</v>
      </c>
      <c r="U870" s="1">
        <v>5.0</v>
      </c>
      <c r="V870" s="1">
        <v>1.0</v>
      </c>
      <c r="W870" s="1">
        <v>0.0</v>
      </c>
      <c r="X870" s="1">
        <v>0.0</v>
      </c>
      <c r="Y870" s="1">
        <v>1.0</v>
      </c>
      <c r="AA870" s="1">
        <v>2.0</v>
      </c>
      <c r="AB870" s="1">
        <v>4.0</v>
      </c>
      <c r="AQ870" s="1" t="s">
        <v>2949</v>
      </c>
      <c r="AR870" s="1" t="s">
        <v>2472</v>
      </c>
      <c r="AS870" s="1">
        <v>1.0</v>
      </c>
      <c r="AT870" s="1" t="s">
        <v>13460</v>
      </c>
      <c r="AU870" s="121">
        <v>8981.0</v>
      </c>
      <c r="AV870" s="1" t="s">
        <v>14259</v>
      </c>
      <c r="AW870" s="1" t="s">
        <v>14260</v>
      </c>
      <c r="AX870" s="121">
        <v>869.0</v>
      </c>
    </row>
    <row r="871">
      <c r="A871" s="1" t="s">
        <v>14262</v>
      </c>
      <c r="B871" s="1" t="s">
        <v>14263</v>
      </c>
      <c r="E871" s="1">
        <v>3.5215509147374E14</v>
      </c>
      <c r="F871" s="1">
        <v>59.0</v>
      </c>
      <c r="G871" s="1">
        <v>99.0</v>
      </c>
      <c r="K871" s="1">
        <v>2.0</v>
      </c>
      <c r="L871" s="1" t="s">
        <v>6641</v>
      </c>
      <c r="M871" s="1" t="s">
        <v>6641</v>
      </c>
      <c r="P871" s="1" t="s">
        <v>14264</v>
      </c>
      <c r="Q871" s="1" t="s">
        <v>14265</v>
      </c>
      <c r="R871" s="1">
        <v>22.5414538</v>
      </c>
      <c r="S871" s="1">
        <v>88.3742341</v>
      </c>
      <c r="T871" s="1">
        <v>-39.099998474121</v>
      </c>
      <c r="U871" s="1">
        <v>5.0</v>
      </c>
      <c r="V871" s="1">
        <v>1.0</v>
      </c>
      <c r="W871" s="1">
        <v>0.0</v>
      </c>
      <c r="X871" s="1">
        <v>0.0</v>
      </c>
      <c r="Y871" s="1">
        <v>1.0</v>
      </c>
      <c r="AQ871" s="1" t="s">
        <v>2949</v>
      </c>
      <c r="AR871" s="1" t="s">
        <v>2472</v>
      </c>
      <c r="AT871" s="1" t="s">
        <v>13460</v>
      </c>
      <c r="AU871" s="121">
        <v>8982.0</v>
      </c>
      <c r="AV871" s="1" t="s">
        <v>14267</v>
      </c>
      <c r="AW871" s="1" t="s">
        <v>14268</v>
      </c>
      <c r="AX871" s="121">
        <v>870.0</v>
      </c>
    </row>
    <row r="872">
      <c r="A872" s="1" t="s">
        <v>14271</v>
      </c>
      <c r="B872" s="1" t="s">
        <v>14273</v>
      </c>
      <c r="E872" s="1">
        <v>3.52155090281144E14</v>
      </c>
      <c r="F872" s="1">
        <v>6.0</v>
      </c>
      <c r="G872" s="1">
        <v>12.0</v>
      </c>
      <c r="L872" s="1" t="s">
        <v>6472</v>
      </c>
      <c r="M872" s="1" t="s">
        <v>6472</v>
      </c>
      <c r="N872" s="1">
        <v>13.0</v>
      </c>
      <c r="O872" s="1" t="s">
        <v>14274</v>
      </c>
      <c r="Q872" s="1" t="s">
        <v>14275</v>
      </c>
      <c r="R872" s="1">
        <v>22.6061183</v>
      </c>
      <c r="S872" s="1">
        <v>88.3734336</v>
      </c>
      <c r="T872" s="1">
        <v>-57.7000007629394</v>
      </c>
      <c r="U872" s="1">
        <v>5.0</v>
      </c>
      <c r="V872" s="1">
        <v>1.0</v>
      </c>
      <c r="W872" s="1">
        <v>0.0</v>
      </c>
      <c r="X872" s="1">
        <v>1.0</v>
      </c>
      <c r="AE872" s="1">
        <v>1.0</v>
      </c>
      <c r="AF872" s="1">
        <v>2.0</v>
      </c>
      <c r="AG872" s="1">
        <v>3.0</v>
      </c>
      <c r="AH872" s="1">
        <v>4.0</v>
      </c>
      <c r="AQ872" s="1" t="s">
        <v>3200</v>
      </c>
      <c r="AR872" s="1" t="s">
        <v>2327</v>
      </c>
      <c r="AS872" s="1">
        <v>0.0</v>
      </c>
      <c r="AT872" s="1" t="s">
        <v>13460</v>
      </c>
      <c r="AU872" s="121">
        <v>8985.0</v>
      </c>
      <c r="AV872" s="1" t="s">
        <v>14277</v>
      </c>
      <c r="AW872" s="1" t="s">
        <v>14278</v>
      </c>
      <c r="AX872" s="121">
        <v>871.0</v>
      </c>
    </row>
    <row r="873">
      <c r="A873" s="1" t="s">
        <v>14279</v>
      </c>
      <c r="B873" s="1" t="s">
        <v>14280</v>
      </c>
      <c r="E873" s="1">
        <v>3.52155090281144E14</v>
      </c>
      <c r="F873" s="1">
        <v>3.0</v>
      </c>
      <c r="G873" s="1">
        <v>12.0</v>
      </c>
      <c r="L873" s="1" t="s">
        <v>6484</v>
      </c>
      <c r="M873" s="1" t="s">
        <v>6484</v>
      </c>
      <c r="N873" s="1">
        <v>10.0</v>
      </c>
      <c r="O873" s="1" t="s">
        <v>14281</v>
      </c>
      <c r="Q873" s="1" t="s">
        <v>14282</v>
      </c>
      <c r="R873" s="1">
        <v>22.6076073</v>
      </c>
      <c r="S873" s="1">
        <v>88.3925341</v>
      </c>
      <c r="T873" s="1">
        <v>-37.2999992370605</v>
      </c>
      <c r="U873" s="1">
        <v>5.0</v>
      </c>
      <c r="V873" s="1">
        <v>1.0</v>
      </c>
      <c r="W873" s="1">
        <v>0.0</v>
      </c>
      <c r="X873" s="1">
        <v>1.0</v>
      </c>
      <c r="AE873" s="1">
        <v>1.0</v>
      </c>
      <c r="AF873" s="1">
        <v>2.0</v>
      </c>
      <c r="AG873" s="1">
        <v>3.0</v>
      </c>
      <c r="AH873" s="1">
        <v>4.0</v>
      </c>
      <c r="AQ873" s="1" t="s">
        <v>3149</v>
      </c>
      <c r="AR873" s="1" t="s">
        <v>3142</v>
      </c>
      <c r="AS873" s="1">
        <v>0.0</v>
      </c>
      <c r="AT873" s="1" t="s">
        <v>13460</v>
      </c>
      <c r="AU873" s="121">
        <v>8986.0</v>
      </c>
      <c r="AV873" s="1" t="s">
        <v>14285</v>
      </c>
      <c r="AW873" s="1" t="s">
        <v>14286</v>
      </c>
      <c r="AX873" s="121">
        <v>872.0</v>
      </c>
    </row>
    <row r="874">
      <c r="A874" s="1" t="s">
        <v>14288</v>
      </c>
      <c r="B874" s="1" t="s">
        <v>14290</v>
      </c>
      <c r="E874" s="1">
        <v>3.52155090281144E14</v>
      </c>
      <c r="F874" s="1">
        <v>29.0</v>
      </c>
      <c r="G874" s="1">
        <v>12.0</v>
      </c>
      <c r="L874" s="1" t="s">
        <v>6500</v>
      </c>
      <c r="M874" s="1" t="s">
        <v>6500</v>
      </c>
      <c r="N874" s="1">
        <v>12.0</v>
      </c>
      <c r="O874" s="1" t="s">
        <v>14293</v>
      </c>
      <c r="Q874" s="1" t="s">
        <v>14295</v>
      </c>
      <c r="R874" s="1">
        <v>22.6041232</v>
      </c>
      <c r="S874" s="1">
        <v>88.4166462</v>
      </c>
      <c r="T874" s="1">
        <v>-56.4000015258789</v>
      </c>
      <c r="U874" s="1">
        <v>5.0</v>
      </c>
      <c r="V874" s="1">
        <v>1.0</v>
      </c>
      <c r="W874" s="1">
        <v>0.0</v>
      </c>
      <c r="X874" s="1">
        <v>1.0</v>
      </c>
      <c r="AE874" s="1">
        <v>1.0</v>
      </c>
      <c r="AF874" s="1">
        <v>2.0</v>
      </c>
      <c r="AG874" s="1">
        <v>4.0</v>
      </c>
      <c r="AH874" s="1">
        <v>4.0</v>
      </c>
      <c r="AQ874" s="1" t="s">
        <v>14298</v>
      </c>
      <c r="AR874" s="1" t="s">
        <v>2327</v>
      </c>
      <c r="AS874" s="1">
        <v>0.0</v>
      </c>
      <c r="AT874" s="1" t="s">
        <v>13460</v>
      </c>
      <c r="AU874" s="121">
        <v>8987.0</v>
      </c>
      <c r="AV874" s="1" t="s">
        <v>14299</v>
      </c>
      <c r="AW874" s="1" t="s">
        <v>14301</v>
      </c>
      <c r="AX874" s="121">
        <v>873.0</v>
      </c>
    </row>
    <row r="875">
      <c r="A875" s="1" t="s">
        <v>14302</v>
      </c>
      <c r="B875" s="1" t="s">
        <v>14303</v>
      </c>
      <c r="E875" s="1">
        <v>3.52155090281144E14</v>
      </c>
      <c r="F875" s="1">
        <v>29.0</v>
      </c>
      <c r="G875" s="1">
        <v>99.0</v>
      </c>
      <c r="K875" s="1">
        <v>1.0</v>
      </c>
      <c r="L875" s="1" t="s">
        <v>6508</v>
      </c>
      <c r="M875" s="1" t="s">
        <v>6508</v>
      </c>
      <c r="P875" s="1" t="s">
        <v>14306</v>
      </c>
      <c r="Q875" s="1" t="s">
        <v>14308</v>
      </c>
      <c r="R875" s="1">
        <v>22.6040723</v>
      </c>
      <c r="S875" s="1">
        <v>88.4166492</v>
      </c>
      <c r="T875" s="1">
        <v>-29.1000003814697</v>
      </c>
      <c r="U875" s="1">
        <v>4.5</v>
      </c>
      <c r="V875" s="1">
        <v>1.0</v>
      </c>
      <c r="W875" s="1">
        <v>0.0</v>
      </c>
      <c r="X875" s="1">
        <v>1.0</v>
      </c>
      <c r="AQ875" s="1" t="s">
        <v>14309</v>
      </c>
      <c r="AR875" s="1" t="s">
        <v>2327</v>
      </c>
      <c r="AT875" s="1" t="s">
        <v>13460</v>
      </c>
      <c r="AU875" s="121">
        <v>8988.0</v>
      </c>
      <c r="AV875" s="1" t="s">
        <v>14310</v>
      </c>
      <c r="AW875" s="1" t="s">
        <v>14311</v>
      </c>
      <c r="AX875" s="121">
        <v>874.0</v>
      </c>
    </row>
    <row r="876">
      <c r="A876" s="1" t="s">
        <v>14312</v>
      </c>
      <c r="B876" s="1" t="s">
        <v>14313</v>
      </c>
      <c r="E876" s="1">
        <v>3.52155090281144E14</v>
      </c>
      <c r="F876" s="1">
        <v>58.0</v>
      </c>
      <c r="G876" s="1">
        <v>11.0</v>
      </c>
      <c r="H876" s="1">
        <v>4.0</v>
      </c>
      <c r="I876" s="1">
        <v>0.0</v>
      </c>
      <c r="L876" s="1" t="s">
        <v>6525</v>
      </c>
      <c r="M876" s="1" t="s">
        <v>6525</v>
      </c>
      <c r="P876" s="1" t="s">
        <v>14314</v>
      </c>
      <c r="Q876" s="1" t="s">
        <v>14315</v>
      </c>
      <c r="R876" s="1">
        <v>22.5566007</v>
      </c>
      <c r="S876" s="1">
        <v>88.3828154</v>
      </c>
      <c r="T876" s="1">
        <v>-50.0</v>
      </c>
      <c r="U876" s="1">
        <v>5.0</v>
      </c>
      <c r="V876" s="1">
        <v>1.0</v>
      </c>
      <c r="W876" s="1">
        <v>0.0</v>
      </c>
      <c r="X876" s="1">
        <v>0.0</v>
      </c>
      <c r="Y876" s="1">
        <v>1.0</v>
      </c>
      <c r="AA876" s="1">
        <v>2.0</v>
      </c>
      <c r="AB876" s="1">
        <v>4.0</v>
      </c>
      <c r="AQ876" s="1" t="s">
        <v>3149</v>
      </c>
      <c r="AR876" s="1" t="s">
        <v>2302</v>
      </c>
      <c r="AS876" s="1">
        <v>1.0</v>
      </c>
      <c r="AT876" s="1" t="s">
        <v>13460</v>
      </c>
      <c r="AU876" s="121">
        <v>8989.0</v>
      </c>
      <c r="AV876" s="1" t="s">
        <v>14319</v>
      </c>
      <c r="AW876" s="1" t="s">
        <v>14320</v>
      </c>
      <c r="AX876" s="121">
        <v>875.0</v>
      </c>
    </row>
    <row r="877">
      <c r="A877" s="1" t="s">
        <v>14322</v>
      </c>
      <c r="B877" s="1" t="s">
        <v>14323</v>
      </c>
      <c r="E877" s="1">
        <v>3.52155090281144E14</v>
      </c>
      <c r="F877" s="1">
        <v>58.0</v>
      </c>
      <c r="G877" s="1">
        <v>11.0</v>
      </c>
      <c r="H877" s="1">
        <v>4.0</v>
      </c>
      <c r="I877" s="1">
        <v>0.0</v>
      </c>
      <c r="L877" s="1" t="s">
        <v>6537</v>
      </c>
      <c r="M877" s="1" t="s">
        <v>6537</v>
      </c>
      <c r="P877" s="1" t="s">
        <v>14325</v>
      </c>
      <c r="Q877" s="1" t="s">
        <v>14326</v>
      </c>
      <c r="R877" s="1">
        <v>22.5568457</v>
      </c>
      <c r="S877" s="1">
        <v>88.382829</v>
      </c>
      <c r="T877" s="1">
        <v>-51.099998474121</v>
      </c>
      <c r="U877" s="1">
        <v>5.0</v>
      </c>
      <c r="V877" s="1">
        <v>1.0</v>
      </c>
      <c r="W877" s="1">
        <v>0.0</v>
      </c>
      <c r="X877" s="1">
        <v>0.0</v>
      </c>
      <c r="Y877" s="1">
        <v>1.0</v>
      </c>
      <c r="AA877" s="1">
        <v>2.0</v>
      </c>
      <c r="AB877" s="1">
        <v>4.0</v>
      </c>
      <c r="AQ877" s="1" t="s">
        <v>2949</v>
      </c>
      <c r="AR877" s="1" t="s">
        <v>2302</v>
      </c>
      <c r="AS877" s="1">
        <v>1.0</v>
      </c>
      <c r="AT877" s="1" t="s">
        <v>13460</v>
      </c>
      <c r="AU877" s="121">
        <v>8990.0</v>
      </c>
      <c r="AV877" s="1" t="s">
        <v>14332</v>
      </c>
      <c r="AW877" s="1" t="s">
        <v>14333</v>
      </c>
      <c r="AX877" s="121">
        <v>876.0</v>
      </c>
    </row>
    <row r="878">
      <c r="A878" s="1" t="s">
        <v>14336</v>
      </c>
      <c r="B878" s="1" t="s">
        <v>14337</v>
      </c>
      <c r="E878" s="1">
        <v>3.52155090281144E14</v>
      </c>
      <c r="F878" s="1">
        <v>58.0</v>
      </c>
      <c r="G878" s="1">
        <v>99.0</v>
      </c>
      <c r="K878" s="1">
        <v>2.0</v>
      </c>
      <c r="L878" s="1" t="s">
        <v>6551</v>
      </c>
      <c r="M878" s="1" t="s">
        <v>6551</v>
      </c>
      <c r="P878" s="1" t="s">
        <v>14338</v>
      </c>
      <c r="Q878" s="1" t="s">
        <v>14339</v>
      </c>
      <c r="R878" s="1">
        <v>22.5568596</v>
      </c>
      <c r="S878" s="1">
        <v>88.3828281</v>
      </c>
      <c r="T878" s="1">
        <v>-42.5</v>
      </c>
      <c r="U878" s="1">
        <v>5.0</v>
      </c>
      <c r="V878" s="1">
        <v>1.0</v>
      </c>
      <c r="W878" s="1">
        <v>0.0</v>
      </c>
      <c r="X878" s="1">
        <v>0.0</v>
      </c>
      <c r="Y878" s="1">
        <v>1.0</v>
      </c>
      <c r="AQ878" s="1" t="s">
        <v>2949</v>
      </c>
      <c r="AR878" s="1" t="s">
        <v>2302</v>
      </c>
      <c r="AT878" s="1" t="s">
        <v>13460</v>
      </c>
      <c r="AU878" s="121">
        <v>8991.0</v>
      </c>
      <c r="AV878" s="1" t="s">
        <v>14342</v>
      </c>
      <c r="AW878" s="1" t="s">
        <v>14343</v>
      </c>
      <c r="AX878" s="121">
        <v>877.0</v>
      </c>
    </row>
    <row r="879">
      <c r="A879" s="1" t="s">
        <v>14344</v>
      </c>
      <c r="B879" s="1" t="s">
        <v>14345</v>
      </c>
      <c r="E879" s="1">
        <v>3.52155090281144E14</v>
      </c>
      <c r="F879" s="1">
        <v>11.0</v>
      </c>
      <c r="G879" s="1">
        <v>12.0</v>
      </c>
      <c r="L879" s="1" t="s">
        <v>6651</v>
      </c>
      <c r="M879" s="1" t="s">
        <v>6651</v>
      </c>
      <c r="N879" s="1">
        <v>14.0</v>
      </c>
      <c r="O879" s="1" t="s">
        <v>14346</v>
      </c>
      <c r="Q879" s="1" t="s">
        <v>14347</v>
      </c>
      <c r="R879" s="1">
        <v>22.4742538</v>
      </c>
      <c r="S879" s="1">
        <v>88.3928121</v>
      </c>
      <c r="T879" s="1">
        <v>-20.6000003814697</v>
      </c>
      <c r="U879" s="1">
        <v>5.0</v>
      </c>
      <c r="V879" s="1">
        <v>1.0</v>
      </c>
      <c r="W879" s="1">
        <v>0.0</v>
      </c>
      <c r="X879" s="1">
        <v>0.0</v>
      </c>
      <c r="Y879" s="1">
        <v>1.0</v>
      </c>
      <c r="AE879" s="1">
        <v>1.0</v>
      </c>
      <c r="AF879" s="1">
        <v>2.0</v>
      </c>
      <c r="AG879" s="1">
        <v>3.0</v>
      </c>
      <c r="AH879" s="1">
        <v>4.0</v>
      </c>
      <c r="AQ879" s="1" t="s">
        <v>14348</v>
      </c>
      <c r="AR879" s="1" t="s">
        <v>3142</v>
      </c>
      <c r="AS879" s="1">
        <v>0.0</v>
      </c>
      <c r="AT879" s="1" t="s">
        <v>13460</v>
      </c>
      <c r="AU879" s="121">
        <v>8992.0</v>
      </c>
      <c r="AV879" s="1" t="s">
        <v>14349</v>
      </c>
      <c r="AW879" s="1" t="s">
        <v>14350</v>
      </c>
      <c r="AX879" s="121">
        <v>878.0</v>
      </c>
    </row>
    <row r="880">
      <c r="A880" s="1" t="s">
        <v>14351</v>
      </c>
      <c r="B880" s="1" t="s">
        <v>14352</v>
      </c>
      <c r="E880" s="1">
        <v>3.52155090281144E14</v>
      </c>
      <c r="F880" s="1">
        <v>10.0</v>
      </c>
      <c r="G880" s="1">
        <v>12.0</v>
      </c>
      <c r="L880" s="1" t="s">
        <v>6659</v>
      </c>
      <c r="M880" s="1" t="s">
        <v>6659</v>
      </c>
      <c r="N880" s="1">
        <v>15.0</v>
      </c>
      <c r="O880" s="1" t="s">
        <v>14354</v>
      </c>
      <c r="Q880" s="1" t="s">
        <v>14355</v>
      </c>
      <c r="R880" s="1">
        <v>22.49555</v>
      </c>
      <c r="S880" s="1">
        <v>88.3915927</v>
      </c>
      <c r="T880" s="1">
        <v>-34.7999992370605</v>
      </c>
      <c r="U880" s="1">
        <v>5.0</v>
      </c>
      <c r="V880" s="1">
        <v>1.0</v>
      </c>
      <c r="W880" s="1">
        <v>0.0</v>
      </c>
      <c r="X880" s="1">
        <v>0.0</v>
      </c>
      <c r="Y880" s="1">
        <v>1.0</v>
      </c>
      <c r="AE880" s="1">
        <v>1.0</v>
      </c>
      <c r="AF880" s="1">
        <v>2.0</v>
      </c>
      <c r="AG880" s="1">
        <v>3.0</v>
      </c>
      <c r="AH880" s="1">
        <v>4.0</v>
      </c>
      <c r="AQ880" s="1" t="s">
        <v>14360</v>
      </c>
      <c r="AR880" s="1" t="s">
        <v>2302</v>
      </c>
      <c r="AS880" s="1">
        <v>0.0</v>
      </c>
      <c r="AT880" s="1" t="s">
        <v>13460</v>
      </c>
      <c r="AU880" s="121">
        <v>8993.0</v>
      </c>
      <c r="AV880" s="1" t="s">
        <v>14361</v>
      </c>
      <c r="AW880" s="1" t="s">
        <v>14362</v>
      </c>
      <c r="AX880" s="121">
        <v>879.0</v>
      </c>
    </row>
    <row r="881">
      <c r="A881" s="1" t="s">
        <v>14363</v>
      </c>
      <c r="B881" s="1" t="s">
        <v>14364</v>
      </c>
      <c r="E881" s="1">
        <v>3.52155090281144E14</v>
      </c>
      <c r="F881" s="1">
        <v>66.0</v>
      </c>
      <c r="G881" s="1">
        <v>12.0</v>
      </c>
      <c r="L881" s="1" t="s">
        <v>6668</v>
      </c>
      <c r="M881" s="1" t="s">
        <v>6668</v>
      </c>
      <c r="N881" s="1">
        <v>5.0</v>
      </c>
      <c r="O881" s="1" t="s">
        <v>14365</v>
      </c>
      <c r="Q881" s="1" t="s">
        <v>14366</v>
      </c>
      <c r="R881" s="1">
        <v>22.5347101</v>
      </c>
      <c r="S881" s="1">
        <v>88.3959052</v>
      </c>
      <c r="T881" s="1">
        <v>-35.7999992370605</v>
      </c>
      <c r="U881" s="1">
        <v>5.0</v>
      </c>
      <c r="V881" s="1">
        <v>1.0</v>
      </c>
      <c r="W881" s="1">
        <v>0.0</v>
      </c>
      <c r="X881" s="1">
        <v>0.0</v>
      </c>
      <c r="Y881" s="1">
        <v>1.0</v>
      </c>
      <c r="AE881" s="1">
        <v>1.0</v>
      </c>
      <c r="AF881" s="1">
        <v>2.0</v>
      </c>
      <c r="AG881" s="1">
        <v>3.0</v>
      </c>
      <c r="AH881" s="1">
        <v>4.0</v>
      </c>
      <c r="AQ881" s="1" t="s">
        <v>3200</v>
      </c>
      <c r="AR881" s="1" t="s">
        <v>3142</v>
      </c>
      <c r="AS881" s="1">
        <v>0.0</v>
      </c>
      <c r="AT881" s="1" t="s">
        <v>13460</v>
      </c>
      <c r="AU881" s="121">
        <v>8994.0</v>
      </c>
      <c r="AV881" s="1" t="s">
        <v>14373</v>
      </c>
      <c r="AW881" s="1" t="s">
        <v>14374</v>
      </c>
      <c r="AX881" s="121">
        <v>880.0</v>
      </c>
    </row>
    <row r="882">
      <c r="A882" s="1" t="s">
        <v>14376</v>
      </c>
      <c r="B882" s="1" t="s">
        <v>14377</v>
      </c>
      <c r="E882" s="1">
        <v>3.52155090281144E14</v>
      </c>
      <c r="F882" s="1">
        <v>59.0</v>
      </c>
      <c r="G882" s="1">
        <v>12.0</v>
      </c>
      <c r="L882" s="1" t="s">
        <v>6676</v>
      </c>
      <c r="M882" s="1" t="s">
        <v>6676</v>
      </c>
      <c r="N882" s="1">
        <v>6.0</v>
      </c>
      <c r="O882" s="1" t="s">
        <v>14380</v>
      </c>
      <c r="Q882" s="1" t="s">
        <v>14381</v>
      </c>
      <c r="R882" s="1">
        <v>22.5400898</v>
      </c>
      <c r="S882" s="1">
        <v>88.3872008</v>
      </c>
      <c r="T882" s="1">
        <v>-41.4000015258789</v>
      </c>
      <c r="U882" s="1">
        <v>5.0</v>
      </c>
      <c r="V882" s="1">
        <v>1.0</v>
      </c>
      <c r="W882" s="1">
        <v>0.0</v>
      </c>
      <c r="X882" s="1">
        <v>0.0</v>
      </c>
      <c r="Y882" s="1">
        <v>1.0</v>
      </c>
      <c r="AE882" s="1">
        <v>1.0</v>
      </c>
      <c r="AF882" s="1">
        <v>2.0</v>
      </c>
      <c r="AG882" s="1">
        <v>4.0</v>
      </c>
      <c r="AH882" s="1">
        <v>4.0</v>
      </c>
      <c r="AQ882" s="1" t="s">
        <v>3200</v>
      </c>
      <c r="AR882" s="1" t="s">
        <v>12906</v>
      </c>
      <c r="AS882" s="1">
        <v>0.0</v>
      </c>
      <c r="AT882" s="1" t="s">
        <v>13460</v>
      </c>
      <c r="AU882" s="121">
        <v>8995.0</v>
      </c>
      <c r="AV882" s="1" t="s">
        <v>14387</v>
      </c>
      <c r="AW882" s="1" t="s">
        <v>14388</v>
      </c>
      <c r="AX882" s="121">
        <v>881.0</v>
      </c>
    </row>
    <row r="883">
      <c r="A883" s="1" t="s">
        <v>14390</v>
      </c>
      <c r="B883" s="1" t="s">
        <v>14391</v>
      </c>
      <c r="E883" s="1">
        <v>3.52155090281144E14</v>
      </c>
      <c r="F883" s="1">
        <v>65.0</v>
      </c>
      <c r="G883" s="1">
        <v>12.0</v>
      </c>
      <c r="L883" s="1" t="s">
        <v>6684</v>
      </c>
      <c r="M883" s="1" t="s">
        <v>6684</v>
      </c>
      <c r="N883" s="1">
        <v>8.0</v>
      </c>
      <c r="O883" s="1" t="s">
        <v>14394</v>
      </c>
      <c r="Q883" s="1" t="s">
        <v>14395</v>
      </c>
      <c r="R883" s="1">
        <v>22.5360327</v>
      </c>
      <c r="S883" s="1">
        <v>88.3746146</v>
      </c>
      <c r="T883" s="1">
        <v>-41.7000007629394</v>
      </c>
      <c r="U883" s="1">
        <v>5.0</v>
      </c>
      <c r="V883" s="1">
        <v>1.0</v>
      </c>
      <c r="W883" s="1">
        <v>0.0</v>
      </c>
      <c r="X883" s="1">
        <v>0.0</v>
      </c>
      <c r="Y883" s="1">
        <v>1.0</v>
      </c>
      <c r="AE883" s="1">
        <v>1.0</v>
      </c>
      <c r="AF883" s="1">
        <v>2.0</v>
      </c>
      <c r="AG883" s="1">
        <v>4.0</v>
      </c>
      <c r="AH883" s="1">
        <v>4.0</v>
      </c>
      <c r="AQ883" s="1" t="s">
        <v>3200</v>
      </c>
      <c r="AR883" s="1" t="s">
        <v>3142</v>
      </c>
      <c r="AS883" s="1">
        <v>0.0</v>
      </c>
      <c r="AT883" s="1" t="s">
        <v>13460</v>
      </c>
      <c r="AU883" s="121">
        <v>8996.0</v>
      </c>
      <c r="AV883" s="1" t="s">
        <v>14397</v>
      </c>
      <c r="AW883" s="1" t="s">
        <v>14398</v>
      </c>
      <c r="AX883" s="121">
        <v>882.0</v>
      </c>
    </row>
    <row r="884">
      <c r="A884" s="1" t="s">
        <v>14399</v>
      </c>
      <c r="B884" s="1" t="s">
        <v>14400</v>
      </c>
      <c r="E884" s="1">
        <v>3.52155090281144E14</v>
      </c>
      <c r="F884" s="1">
        <v>65.0</v>
      </c>
      <c r="G884" s="1">
        <v>99.0</v>
      </c>
      <c r="K884" s="1">
        <v>1.0</v>
      </c>
      <c r="L884" s="1" t="s">
        <v>6692</v>
      </c>
      <c r="M884" s="1" t="s">
        <v>6692</v>
      </c>
      <c r="P884" s="1" t="s">
        <v>3583</v>
      </c>
      <c r="Q884" s="1" t="s">
        <v>14404</v>
      </c>
      <c r="R884" s="1">
        <v>22.5361319</v>
      </c>
      <c r="S884" s="1">
        <v>88.3745877</v>
      </c>
      <c r="T884" s="1">
        <v>-36.9000015258789</v>
      </c>
      <c r="U884" s="1">
        <v>5.0</v>
      </c>
      <c r="V884" s="1">
        <v>1.0</v>
      </c>
      <c r="W884" s="1">
        <v>0.0</v>
      </c>
      <c r="X884" s="1">
        <v>0.0</v>
      </c>
      <c r="Y884" s="1">
        <v>1.0</v>
      </c>
      <c r="AQ884" s="1" t="s">
        <v>14406</v>
      </c>
      <c r="AR884" s="1" t="s">
        <v>12906</v>
      </c>
      <c r="AT884" s="1" t="s">
        <v>13460</v>
      </c>
      <c r="AU884" s="121">
        <v>8997.0</v>
      </c>
      <c r="AV884" s="1" t="s">
        <v>14407</v>
      </c>
      <c r="AW884" s="1" t="s">
        <v>14408</v>
      </c>
      <c r="AX884" s="121">
        <v>883.0</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8.29"/>
    <col customWidth="1" min="2" max="2" width="19.86"/>
    <col customWidth="1" min="14" max="14" width="28.29"/>
    <col customWidth="1" min="15" max="15" width="30.71"/>
    <col customWidth="1" min="37" max="37" width="252.0"/>
  </cols>
  <sheetData>
    <row r="1">
      <c r="A1" s="50" t="s">
        <v>6827</v>
      </c>
      <c r="B1" s="50" t="s">
        <v>2187</v>
      </c>
      <c r="C1" s="50" t="s">
        <v>2188</v>
      </c>
      <c r="D1" s="50" t="s">
        <v>2189</v>
      </c>
      <c r="E1" s="50" t="s">
        <v>6830</v>
      </c>
      <c r="F1" s="50" t="s">
        <v>6831</v>
      </c>
      <c r="G1" s="50" t="s">
        <v>6832</v>
      </c>
      <c r="H1" s="50" t="s">
        <v>6834</v>
      </c>
      <c r="I1" s="50" t="s">
        <v>6835</v>
      </c>
      <c r="J1" s="50" t="s">
        <v>6838</v>
      </c>
      <c r="K1" s="50" t="s">
        <v>6839</v>
      </c>
      <c r="L1" s="50" t="s">
        <v>1274</v>
      </c>
      <c r="M1" s="50" t="s">
        <v>6842</v>
      </c>
      <c r="N1" s="50" t="s">
        <v>6843</v>
      </c>
      <c r="O1" s="50" t="s">
        <v>6844</v>
      </c>
      <c r="P1" s="50" t="s">
        <v>6845</v>
      </c>
      <c r="Q1" s="50" t="s">
        <v>6846</v>
      </c>
      <c r="R1" s="50" t="s">
        <v>6847</v>
      </c>
      <c r="S1" s="50" t="s">
        <v>6848</v>
      </c>
      <c r="T1" s="50" t="s">
        <v>6850</v>
      </c>
      <c r="U1" s="50" t="s">
        <v>6852</v>
      </c>
      <c r="V1" s="50" t="s">
        <v>6853</v>
      </c>
      <c r="W1" s="50" t="s">
        <v>6854</v>
      </c>
      <c r="X1" s="50" t="s">
        <v>6855</v>
      </c>
      <c r="Y1" s="50" t="s">
        <v>6856</v>
      </c>
      <c r="Z1" s="50" t="s">
        <v>6857</v>
      </c>
      <c r="AA1" s="50" t="s">
        <v>6858</v>
      </c>
      <c r="AB1" s="50" t="s">
        <v>6859</v>
      </c>
      <c r="AC1" s="50" t="s">
        <v>6860</v>
      </c>
      <c r="AD1" s="50" t="s">
        <v>6861</v>
      </c>
      <c r="AE1" s="50" t="s">
        <v>6862</v>
      </c>
      <c r="AF1" s="50" t="s">
        <v>6863</v>
      </c>
      <c r="AG1" s="50" t="s">
        <v>6864</v>
      </c>
      <c r="AH1" s="50" t="s">
        <v>6865</v>
      </c>
      <c r="AI1" s="50" t="s">
        <v>6866</v>
      </c>
      <c r="AJ1" s="50" t="s">
        <v>6867</v>
      </c>
      <c r="AK1" s="50" t="s">
        <v>6868</v>
      </c>
      <c r="AL1" s="50" t="s">
        <v>6869</v>
      </c>
      <c r="AM1" s="50" t="s">
        <v>6871</v>
      </c>
      <c r="AN1" s="50" t="s">
        <v>2267</v>
      </c>
      <c r="AO1" s="50" t="s">
        <v>2268</v>
      </c>
      <c r="AP1" s="50" t="s">
        <v>2269</v>
      </c>
      <c r="AQ1" s="50" t="s">
        <v>2270</v>
      </c>
      <c r="AR1" s="50" t="s">
        <v>2271</v>
      </c>
    </row>
    <row r="2">
      <c r="A2" s="50" t="s">
        <v>6875</v>
      </c>
      <c r="B2" s="50" t="s">
        <v>6876</v>
      </c>
      <c r="C2" s="50" t="s">
        <v>6877</v>
      </c>
      <c r="D2" s="50" t="s">
        <v>6878</v>
      </c>
      <c r="E2" s="144">
        <v>43588.0</v>
      </c>
      <c r="F2" s="50" t="s">
        <v>6888</v>
      </c>
      <c r="G2" s="50">
        <v>58.0</v>
      </c>
      <c r="H2" s="50">
        <v>1.0</v>
      </c>
      <c r="I2" s="50">
        <v>7.0</v>
      </c>
      <c r="J2" s="116"/>
      <c r="K2" s="116"/>
      <c r="L2" s="50" t="s">
        <v>6890</v>
      </c>
      <c r="M2" s="50" t="s">
        <v>6890</v>
      </c>
      <c r="N2" s="50" t="s">
        <v>6891</v>
      </c>
      <c r="O2" s="50" t="s">
        <v>6892</v>
      </c>
      <c r="P2" s="50" t="s">
        <v>6893</v>
      </c>
      <c r="Q2" s="50" t="s">
        <v>6894</v>
      </c>
      <c r="R2" s="116"/>
      <c r="S2" s="116"/>
      <c r="T2" s="116"/>
      <c r="U2" s="116"/>
      <c r="V2" s="116"/>
      <c r="W2" s="50">
        <v>4.0</v>
      </c>
      <c r="X2" s="50">
        <v>1.0</v>
      </c>
      <c r="Y2" s="50">
        <v>2.0</v>
      </c>
      <c r="Z2" s="116"/>
      <c r="AA2" s="50">
        <v>3.0</v>
      </c>
      <c r="AB2" s="50">
        <v>1.0</v>
      </c>
      <c r="AC2" s="50">
        <v>2.0</v>
      </c>
      <c r="AD2" s="116"/>
      <c r="AE2" s="50">
        <v>0.0</v>
      </c>
      <c r="AF2" s="116"/>
      <c r="AG2" s="116"/>
      <c r="AH2" s="116"/>
      <c r="AI2" s="116"/>
      <c r="AJ2" s="116"/>
      <c r="AK2" s="50" t="s">
        <v>6899</v>
      </c>
      <c r="AL2" s="50" t="s">
        <v>6900</v>
      </c>
      <c r="AM2" s="50">
        <v>0.0</v>
      </c>
      <c r="AN2" s="50" t="s">
        <v>6901</v>
      </c>
      <c r="AO2" s="117">
        <v>2751.0</v>
      </c>
      <c r="AP2" s="50" t="s">
        <v>6903</v>
      </c>
      <c r="AQ2" s="50" t="s">
        <v>6905</v>
      </c>
      <c r="AR2" s="117">
        <v>1.0</v>
      </c>
    </row>
    <row r="3">
      <c r="A3" s="50" t="s">
        <v>6906</v>
      </c>
      <c r="B3" s="50" t="s">
        <v>6876</v>
      </c>
      <c r="C3" s="50" t="s">
        <v>6877</v>
      </c>
      <c r="D3" s="50" t="s">
        <v>6907</v>
      </c>
      <c r="E3" s="144">
        <v>43598.0</v>
      </c>
      <c r="F3" s="50" t="s">
        <v>6908</v>
      </c>
      <c r="G3" s="50">
        <v>58.0</v>
      </c>
      <c r="H3" s="50">
        <v>2.0</v>
      </c>
      <c r="I3" s="50">
        <v>2.0</v>
      </c>
      <c r="J3" s="116"/>
      <c r="K3" s="116"/>
      <c r="L3" s="51" t="s">
        <v>140</v>
      </c>
      <c r="M3" s="50" t="s">
        <v>333</v>
      </c>
      <c r="N3" s="50" t="s">
        <v>6912</v>
      </c>
      <c r="O3" s="50" t="s">
        <v>6913</v>
      </c>
      <c r="P3" s="50" t="s">
        <v>6916</v>
      </c>
      <c r="Q3" s="50" t="s">
        <v>6917</v>
      </c>
      <c r="R3" s="50">
        <v>116.2</v>
      </c>
      <c r="S3" s="116"/>
      <c r="T3" s="116"/>
      <c r="U3" s="116"/>
      <c r="V3" s="116"/>
      <c r="W3" s="50">
        <v>7.0</v>
      </c>
      <c r="X3" s="50">
        <v>10.0</v>
      </c>
      <c r="Y3" s="50">
        <v>3.0</v>
      </c>
      <c r="Z3" s="50">
        <v>0.0</v>
      </c>
      <c r="AA3" s="50">
        <v>7.0</v>
      </c>
      <c r="AB3" s="50">
        <v>1.0</v>
      </c>
      <c r="AC3" s="50">
        <v>3.0</v>
      </c>
      <c r="AD3" s="50">
        <v>0.0</v>
      </c>
      <c r="AE3" s="50">
        <v>1.0</v>
      </c>
      <c r="AF3" s="50">
        <v>6.0</v>
      </c>
      <c r="AG3" s="50">
        <v>1.0</v>
      </c>
      <c r="AH3" s="50">
        <v>3.0</v>
      </c>
      <c r="AI3" s="50">
        <v>0.0</v>
      </c>
      <c r="AJ3" s="116"/>
      <c r="AK3" s="50" t="s">
        <v>6921</v>
      </c>
      <c r="AL3" s="50" t="s">
        <v>6922</v>
      </c>
      <c r="AM3" s="50">
        <v>0.0</v>
      </c>
      <c r="AN3" s="50" t="s">
        <v>6901</v>
      </c>
      <c r="AO3" s="117">
        <v>2757.0</v>
      </c>
      <c r="AP3" s="50" t="s">
        <v>6923</v>
      </c>
      <c r="AQ3" s="50" t="s">
        <v>6924</v>
      </c>
      <c r="AR3" s="117">
        <v>2.0</v>
      </c>
    </row>
    <row r="4">
      <c r="A4" s="50" t="s">
        <v>6927</v>
      </c>
      <c r="B4" s="50" t="s">
        <v>6876</v>
      </c>
      <c r="C4" s="50" t="s">
        <v>6877</v>
      </c>
      <c r="D4" s="50" t="s">
        <v>6878</v>
      </c>
      <c r="E4" s="144">
        <v>43598.0</v>
      </c>
      <c r="F4" s="50" t="s">
        <v>6930</v>
      </c>
      <c r="G4" s="50">
        <v>58.0</v>
      </c>
      <c r="H4" s="50">
        <v>2.0</v>
      </c>
      <c r="I4" s="50">
        <v>2.0</v>
      </c>
      <c r="J4" s="116"/>
      <c r="K4" s="116"/>
      <c r="L4" s="51" t="s">
        <v>178</v>
      </c>
      <c r="M4" s="50" t="s">
        <v>349</v>
      </c>
      <c r="N4" s="50" t="s">
        <v>6933</v>
      </c>
      <c r="O4" s="50" t="s">
        <v>6934</v>
      </c>
      <c r="P4" s="50" t="s">
        <v>6935</v>
      </c>
      <c r="Q4" s="50" t="s">
        <v>6936</v>
      </c>
      <c r="R4" s="50">
        <v>171.4</v>
      </c>
      <c r="S4" s="116"/>
      <c r="T4" s="116"/>
      <c r="U4" s="116"/>
      <c r="V4" s="116"/>
      <c r="W4" s="50">
        <v>7.0</v>
      </c>
      <c r="X4" s="50">
        <v>10.0</v>
      </c>
      <c r="Y4" s="50">
        <v>3.0</v>
      </c>
      <c r="Z4" s="50">
        <v>1.0</v>
      </c>
      <c r="AA4" s="50">
        <v>7.0</v>
      </c>
      <c r="AB4" s="50">
        <v>1.0</v>
      </c>
      <c r="AC4" s="50">
        <v>3.0</v>
      </c>
      <c r="AD4" s="50">
        <v>0.0</v>
      </c>
      <c r="AE4" s="50">
        <v>1.0</v>
      </c>
      <c r="AF4" s="50">
        <v>6.0</v>
      </c>
      <c r="AG4" s="50">
        <v>10.0</v>
      </c>
      <c r="AH4" s="50">
        <v>3.0</v>
      </c>
      <c r="AI4" s="50">
        <v>0.0</v>
      </c>
      <c r="AJ4" s="116"/>
      <c r="AK4" s="50" t="s">
        <v>6938</v>
      </c>
      <c r="AL4" s="50">
        <v>3.0</v>
      </c>
      <c r="AM4" s="50">
        <v>0.0</v>
      </c>
      <c r="AN4" s="50" t="s">
        <v>6901</v>
      </c>
      <c r="AO4" s="117">
        <v>2761.0</v>
      </c>
      <c r="AP4" s="50" t="s">
        <v>6941</v>
      </c>
      <c r="AQ4" s="50" t="s">
        <v>6942</v>
      </c>
      <c r="AR4" s="117">
        <v>3.0</v>
      </c>
    </row>
    <row r="5">
      <c r="A5" s="50" t="s">
        <v>6945</v>
      </c>
      <c r="B5" s="50" t="s">
        <v>6876</v>
      </c>
      <c r="C5" s="50" t="s">
        <v>6877</v>
      </c>
      <c r="D5" s="50" t="s">
        <v>6878</v>
      </c>
      <c r="E5" s="144">
        <v>43598.0</v>
      </c>
      <c r="F5" s="50" t="s">
        <v>6948</v>
      </c>
      <c r="G5" s="50">
        <v>58.0</v>
      </c>
      <c r="H5" s="50">
        <v>2.0</v>
      </c>
      <c r="I5" s="50">
        <v>8.0</v>
      </c>
      <c r="J5" s="116"/>
      <c r="K5" s="116"/>
      <c r="L5" s="51" t="s">
        <v>197</v>
      </c>
      <c r="M5" s="50" t="s">
        <v>330</v>
      </c>
      <c r="N5" s="50" t="s">
        <v>6949</v>
      </c>
      <c r="O5" s="50" t="s">
        <v>6950</v>
      </c>
      <c r="P5" s="50" t="s">
        <v>6935</v>
      </c>
      <c r="Q5" s="50" t="s">
        <v>6936</v>
      </c>
      <c r="R5" s="116"/>
      <c r="S5" s="116"/>
      <c r="T5" s="116"/>
      <c r="U5" s="50">
        <v>36.0</v>
      </c>
      <c r="V5" s="116"/>
      <c r="W5" s="50">
        <v>7.0</v>
      </c>
      <c r="X5" s="50">
        <v>1.0</v>
      </c>
      <c r="Y5" s="50">
        <v>2.0</v>
      </c>
      <c r="Z5" s="116"/>
      <c r="AA5" s="50">
        <v>6.0</v>
      </c>
      <c r="AB5" s="50">
        <v>1.0</v>
      </c>
      <c r="AC5" s="50">
        <v>2.0</v>
      </c>
      <c r="AD5" s="116"/>
      <c r="AE5" s="50">
        <v>1.0</v>
      </c>
      <c r="AF5" s="50">
        <v>5.0</v>
      </c>
      <c r="AG5" s="50">
        <v>1.0</v>
      </c>
      <c r="AH5" s="50">
        <v>2.0</v>
      </c>
      <c r="AI5" s="116"/>
      <c r="AJ5" s="116"/>
      <c r="AK5" s="50" t="s">
        <v>6955</v>
      </c>
      <c r="AL5" s="50">
        <v>3.0</v>
      </c>
      <c r="AM5" s="50">
        <v>0.0</v>
      </c>
      <c r="AN5" s="50" t="s">
        <v>6901</v>
      </c>
      <c r="AO5" s="117">
        <v>2774.0</v>
      </c>
      <c r="AP5" s="50" t="s">
        <v>6957</v>
      </c>
      <c r="AQ5" s="50" t="s">
        <v>6959</v>
      </c>
      <c r="AR5" s="117">
        <v>4.0</v>
      </c>
    </row>
    <row r="6">
      <c r="A6" s="50" t="s">
        <v>6960</v>
      </c>
      <c r="B6" s="50" t="s">
        <v>6876</v>
      </c>
      <c r="C6" s="50" t="s">
        <v>6877</v>
      </c>
      <c r="D6" s="50" t="s">
        <v>6878</v>
      </c>
      <c r="E6" s="144">
        <v>43598.0</v>
      </c>
      <c r="F6" s="50" t="s">
        <v>6961</v>
      </c>
      <c r="G6" s="50">
        <v>58.0</v>
      </c>
      <c r="H6" s="50">
        <v>2.0</v>
      </c>
      <c r="I6" s="50">
        <v>8.0</v>
      </c>
      <c r="J6" s="116"/>
      <c r="K6" s="116"/>
      <c r="L6" s="51" t="s">
        <v>210</v>
      </c>
      <c r="M6" s="50" t="s">
        <v>2183</v>
      </c>
      <c r="N6" s="50" t="s">
        <v>6964</v>
      </c>
      <c r="O6" s="50" t="s">
        <v>6950</v>
      </c>
      <c r="P6" s="50" t="s">
        <v>6935</v>
      </c>
      <c r="Q6" s="50" t="s">
        <v>6936</v>
      </c>
      <c r="R6" s="116"/>
      <c r="S6" s="116"/>
      <c r="T6" s="116"/>
      <c r="U6" s="50">
        <v>40.0</v>
      </c>
      <c r="V6" s="116"/>
      <c r="W6" s="50">
        <v>7.0</v>
      </c>
      <c r="X6" s="50">
        <v>1.0</v>
      </c>
      <c r="Y6" s="50">
        <v>3.0</v>
      </c>
      <c r="Z6" s="50">
        <v>0.0</v>
      </c>
      <c r="AA6" s="50">
        <v>6.0</v>
      </c>
      <c r="AB6" s="50">
        <v>1.0</v>
      </c>
      <c r="AC6" s="50">
        <v>2.0</v>
      </c>
      <c r="AD6" s="116"/>
      <c r="AE6" s="50">
        <v>1.0</v>
      </c>
      <c r="AF6" s="50">
        <v>5.0</v>
      </c>
      <c r="AG6" s="50">
        <v>1.0</v>
      </c>
      <c r="AH6" s="50">
        <v>2.0</v>
      </c>
      <c r="AI6" s="116"/>
      <c r="AJ6" s="116"/>
      <c r="AK6" s="50" t="s">
        <v>6970</v>
      </c>
      <c r="AL6" s="50">
        <v>3.0</v>
      </c>
      <c r="AM6" s="50">
        <v>0.0</v>
      </c>
      <c r="AN6" s="50" t="s">
        <v>6901</v>
      </c>
      <c r="AO6" s="117">
        <v>2777.0</v>
      </c>
      <c r="AP6" s="50" t="s">
        <v>6971</v>
      </c>
      <c r="AQ6" s="50" t="s">
        <v>6972</v>
      </c>
      <c r="AR6" s="117">
        <v>5.0</v>
      </c>
    </row>
    <row r="7">
      <c r="A7" s="50" t="s">
        <v>6973</v>
      </c>
      <c r="B7" s="50" t="s">
        <v>6876</v>
      </c>
      <c r="C7" s="50" t="s">
        <v>6877</v>
      </c>
      <c r="D7" s="50" t="s">
        <v>6878</v>
      </c>
      <c r="E7" s="144">
        <v>43598.0</v>
      </c>
      <c r="F7" s="50" t="s">
        <v>6978</v>
      </c>
      <c r="G7" s="50">
        <v>58.0</v>
      </c>
      <c r="H7" s="50">
        <v>2.0</v>
      </c>
      <c r="I7" s="50">
        <v>3.0</v>
      </c>
      <c r="J7" s="116"/>
      <c r="K7" s="116"/>
      <c r="L7" s="50" t="s">
        <v>2098</v>
      </c>
      <c r="M7" s="50" t="s">
        <v>2098</v>
      </c>
      <c r="N7" s="50" t="s">
        <v>6981</v>
      </c>
      <c r="O7" s="50" t="s">
        <v>6982</v>
      </c>
      <c r="P7" s="50" t="s">
        <v>6983</v>
      </c>
      <c r="Q7" s="50" t="s">
        <v>6984</v>
      </c>
      <c r="R7" s="116"/>
      <c r="S7" s="116"/>
      <c r="T7" s="116"/>
      <c r="U7" s="116"/>
      <c r="V7" s="116"/>
      <c r="W7" s="50">
        <v>7.0</v>
      </c>
      <c r="X7" s="50">
        <v>10.0</v>
      </c>
      <c r="Y7" s="50">
        <v>3.0</v>
      </c>
      <c r="Z7" s="50">
        <v>0.0</v>
      </c>
      <c r="AA7" s="50">
        <v>7.0</v>
      </c>
      <c r="AB7" s="50">
        <v>100.0</v>
      </c>
      <c r="AC7" s="50">
        <v>3.0</v>
      </c>
      <c r="AD7" s="50">
        <v>0.0</v>
      </c>
      <c r="AE7" s="50">
        <v>0.0</v>
      </c>
      <c r="AF7" s="116"/>
      <c r="AG7" s="116"/>
      <c r="AH7" s="116"/>
      <c r="AI7" s="116"/>
      <c r="AJ7" s="116"/>
      <c r="AK7" s="50" t="s">
        <v>6990</v>
      </c>
      <c r="AL7" s="50" t="s">
        <v>6991</v>
      </c>
      <c r="AM7" s="50">
        <v>0.0</v>
      </c>
      <c r="AN7" s="50" t="s">
        <v>6901</v>
      </c>
      <c r="AO7" s="117">
        <v>2799.0</v>
      </c>
      <c r="AP7" s="50" t="s">
        <v>6992</v>
      </c>
      <c r="AQ7" s="50" t="s">
        <v>6993</v>
      </c>
      <c r="AR7" s="117">
        <v>6.0</v>
      </c>
    </row>
    <row r="8">
      <c r="A8" s="50" t="s">
        <v>6978</v>
      </c>
      <c r="B8" s="50" t="s">
        <v>6876</v>
      </c>
      <c r="C8" s="50" t="s">
        <v>6877</v>
      </c>
      <c r="D8" s="50" t="s">
        <v>6878</v>
      </c>
      <c r="E8" s="144">
        <v>43598.0</v>
      </c>
      <c r="F8" s="50" t="s">
        <v>6996</v>
      </c>
      <c r="G8" s="50">
        <v>58.0</v>
      </c>
      <c r="H8" s="50">
        <v>2.0</v>
      </c>
      <c r="I8" s="50">
        <v>9.0</v>
      </c>
      <c r="J8" s="116"/>
      <c r="K8" s="116"/>
      <c r="L8" s="51" t="s">
        <v>365</v>
      </c>
      <c r="M8" s="50" t="s">
        <v>2180</v>
      </c>
      <c r="N8" s="50" t="s">
        <v>6997</v>
      </c>
      <c r="O8" s="50" t="s">
        <v>6998</v>
      </c>
      <c r="P8" s="50" t="s">
        <v>6983</v>
      </c>
      <c r="Q8" s="50" t="s">
        <v>6984</v>
      </c>
      <c r="R8" s="116"/>
      <c r="S8" s="116"/>
      <c r="T8" s="116"/>
      <c r="U8" s="116"/>
      <c r="V8" s="116"/>
      <c r="W8" s="50">
        <v>7.0</v>
      </c>
      <c r="X8" s="50">
        <v>10.0</v>
      </c>
      <c r="Y8" s="50">
        <v>3.0</v>
      </c>
      <c r="Z8" s="50">
        <v>0.0</v>
      </c>
      <c r="AA8" s="50">
        <v>7.0</v>
      </c>
      <c r="AB8" s="50">
        <v>100.0</v>
      </c>
      <c r="AC8" s="50">
        <v>3.0</v>
      </c>
      <c r="AD8" s="50">
        <v>0.0</v>
      </c>
      <c r="AE8" s="50">
        <v>0.0</v>
      </c>
      <c r="AF8" s="116"/>
      <c r="AG8" s="116"/>
      <c r="AH8" s="116"/>
      <c r="AI8" s="116"/>
      <c r="AJ8" s="116"/>
      <c r="AK8" s="50" t="s">
        <v>7005</v>
      </c>
      <c r="AL8" s="50" t="s">
        <v>6991</v>
      </c>
      <c r="AM8" s="50">
        <v>0.0</v>
      </c>
      <c r="AN8" s="50" t="s">
        <v>6901</v>
      </c>
      <c r="AO8" s="117">
        <v>2800.0</v>
      </c>
      <c r="AP8" s="50" t="s">
        <v>7006</v>
      </c>
      <c r="AQ8" s="50" t="s">
        <v>7007</v>
      </c>
      <c r="AR8" s="117">
        <v>7.0</v>
      </c>
    </row>
    <row r="9">
      <c r="A9" s="50" t="s">
        <v>6996</v>
      </c>
      <c r="B9" s="50" t="s">
        <v>6876</v>
      </c>
      <c r="C9" s="50" t="s">
        <v>6877</v>
      </c>
      <c r="D9" s="50" t="s">
        <v>6878</v>
      </c>
      <c r="E9" s="144">
        <v>43598.0</v>
      </c>
      <c r="F9" s="50" t="s">
        <v>7008</v>
      </c>
      <c r="G9" s="50">
        <v>58.0</v>
      </c>
      <c r="H9" s="50">
        <v>2.0</v>
      </c>
      <c r="I9" s="50">
        <v>5.0</v>
      </c>
      <c r="J9" s="116"/>
      <c r="K9" s="116"/>
      <c r="L9" s="51" t="s">
        <v>374</v>
      </c>
      <c r="M9" s="51" t="s">
        <v>374</v>
      </c>
      <c r="N9" s="50" t="s">
        <v>7014</v>
      </c>
      <c r="O9" s="50" t="s">
        <v>7015</v>
      </c>
      <c r="P9" s="50" t="s">
        <v>6983</v>
      </c>
      <c r="Q9" s="50" t="s">
        <v>6984</v>
      </c>
      <c r="R9" s="116"/>
      <c r="S9" s="116"/>
      <c r="T9" s="116"/>
      <c r="U9" s="116"/>
      <c r="V9" s="116"/>
      <c r="W9" s="50">
        <v>7.0</v>
      </c>
      <c r="X9" s="50">
        <v>1.0</v>
      </c>
      <c r="Y9" s="50">
        <v>3.0</v>
      </c>
      <c r="Z9" s="50">
        <v>2.0</v>
      </c>
      <c r="AA9" s="50">
        <v>7.0</v>
      </c>
      <c r="AB9" s="50">
        <v>10.0</v>
      </c>
      <c r="AC9" s="50">
        <v>3.0</v>
      </c>
      <c r="AD9" s="50">
        <v>25.0</v>
      </c>
      <c r="AE9" s="50">
        <v>0.0</v>
      </c>
      <c r="AF9" s="116"/>
      <c r="AG9" s="116"/>
      <c r="AH9" s="116"/>
      <c r="AI9" s="116"/>
      <c r="AJ9" s="116"/>
      <c r="AK9" s="116"/>
      <c r="AL9" s="50" t="s">
        <v>6991</v>
      </c>
      <c r="AM9" s="50">
        <v>1.0</v>
      </c>
      <c r="AN9" s="50" t="s">
        <v>6901</v>
      </c>
      <c r="AO9" s="117">
        <v>2801.0</v>
      </c>
      <c r="AP9" s="50" t="s">
        <v>7019</v>
      </c>
      <c r="AQ9" s="50" t="s">
        <v>7021</v>
      </c>
      <c r="AR9" s="117">
        <v>8.0</v>
      </c>
    </row>
    <row r="10">
      <c r="A10" s="50" t="s">
        <v>7024</v>
      </c>
      <c r="B10" s="50" t="s">
        <v>6876</v>
      </c>
      <c r="C10" s="50" t="s">
        <v>6877</v>
      </c>
      <c r="D10" s="50" t="s">
        <v>6878</v>
      </c>
      <c r="E10" s="144">
        <v>43598.0</v>
      </c>
      <c r="F10" s="50" t="s">
        <v>7025</v>
      </c>
      <c r="G10" s="50">
        <v>58.0</v>
      </c>
      <c r="H10" s="50">
        <v>2.0</v>
      </c>
      <c r="I10" s="50">
        <v>10.0</v>
      </c>
      <c r="J10" s="116"/>
      <c r="K10" s="116"/>
      <c r="L10" s="51" t="s">
        <v>366</v>
      </c>
      <c r="M10" s="51" t="s">
        <v>366</v>
      </c>
      <c r="N10" s="50" t="s">
        <v>7028</v>
      </c>
      <c r="O10" s="50" t="s">
        <v>7029</v>
      </c>
      <c r="P10" s="50" t="s">
        <v>7030</v>
      </c>
      <c r="Q10" s="50" t="s">
        <v>7031</v>
      </c>
      <c r="R10" s="116"/>
      <c r="S10" s="50">
        <v>120.0</v>
      </c>
      <c r="T10" s="116"/>
      <c r="U10" s="116"/>
      <c r="V10" s="116"/>
      <c r="W10" s="50">
        <v>7.0</v>
      </c>
      <c r="X10" s="50">
        <v>1.0</v>
      </c>
      <c r="Y10" s="50">
        <v>3.0</v>
      </c>
      <c r="Z10" s="50">
        <v>0.0</v>
      </c>
      <c r="AA10" s="50">
        <v>6.0</v>
      </c>
      <c r="AB10" s="50">
        <v>1.0</v>
      </c>
      <c r="AC10" s="50">
        <v>3.0</v>
      </c>
      <c r="AD10" s="50">
        <v>0.0</v>
      </c>
      <c r="AE10" s="50">
        <v>1.0</v>
      </c>
      <c r="AF10" s="50">
        <v>5.0</v>
      </c>
      <c r="AG10" s="50">
        <v>1.0</v>
      </c>
      <c r="AH10" s="50">
        <v>3.0</v>
      </c>
      <c r="AI10" s="50">
        <v>0.0</v>
      </c>
      <c r="AJ10" s="116"/>
      <c r="AK10" s="50" t="s">
        <v>7036</v>
      </c>
      <c r="AL10" s="50" t="s">
        <v>6991</v>
      </c>
      <c r="AM10" s="50">
        <v>0.0</v>
      </c>
      <c r="AN10" s="50" t="s">
        <v>6901</v>
      </c>
      <c r="AO10" s="117">
        <v>2802.0</v>
      </c>
      <c r="AP10" s="50" t="s">
        <v>7037</v>
      </c>
      <c r="AQ10" s="50" t="s">
        <v>7039</v>
      </c>
      <c r="AR10" s="117">
        <v>9.0</v>
      </c>
    </row>
    <row r="11">
      <c r="A11" s="50" t="s">
        <v>7041</v>
      </c>
      <c r="B11" s="50" t="s">
        <v>6876</v>
      </c>
      <c r="C11" s="50" t="s">
        <v>6877</v>
      </c>
      <c r="D11" s="50" t="s">
        <v>6878</v>
      </c>
      <c r="E11" s="144">
        <v>43598.0</v>
      </c>
      <c r="F11" s="50" t="s">
        <v>7042</v>
      </c>
      <c r="G11" s="50">
        <v>58.0</v>
      </c>
      <c r="H11" s="50">
        <v>2.0</v>
      </c>
      <c r="I11" s="50">
        <v>11.0</v>
      </c>
      <c r="J11" s="116"/>
      <c r="K11" s="116"/>
      <c r="L11" s="50" t="s">
        <v>4595</v>
      </c>
      <c r="M11" s="50" t="s">
        <v>4595</v>
      </c>
      <c r="N11" s="50" t="s">
        <v>7044</v>
      </c>
      <c r="O11" s="50" t="s">
        <v>7045</v>
      </c>
      <c r="P11" s="50" t="s">
        <v>7047</v>
      </c>
      <c r="Q11" s="50" t="s">
        <v>7049</v>
      </c>
      <c r="R11" s="116"/>
      <c r="S11" s="116"/>
      <c r="T11" s="116"/>
      <c r="U11" s="116"/>
      <c r="V11" s="116"/>
      <c r="W11" s="50">
        <v>4.0</v>
      </c>
      <c r="X11" s="50">
        <v>1.0</v>
      </c>
      <c r="Y11" s="50">
        <v>2.0</v>
      </c>
      <c r="Z11" s="116"/>
      <c r="AA11" s="50">
        <v>3.0</v>
      </c>
      <c r="AB11" s="50">
        <v>1.0</v>
      </c>
      <c r="AC11" s="50">
        <v>2.0</v>
      </c>
      <c r="AD11" s="116"/>
      <c r="AE11" s="50">
        <v>0.0</v>
      </c>
      <c r="AF11" s="116"/>
      <c r="AG11" s="116"/>
      <c r="AH11" s="116"/>
      <c r="AI11" s="116"/>
      <c r="AJ11" s="116"/>
      <c r="AK11" s="116"/>
      <c r="AL11" s="50" t="s">
        <v>6922</v>
      </c>
      <c r="AM11" s="50">
        <v>0.0</v>
      </c>
      <c r="AN11" s="50" t="s">
        <v>6901</v>
      </c>
      <c r="AO11" s="117">
        <v>2805.0</v>
      </c>
      <c r="AP11" s="50" t="s">
        <v>7054</v>
      </c>
      <c r="AQ11" s="50" t="s">
        <v>7055</v>
      </c>
      <c r="AR11" s="117">
        <v>10.0</v>
      </c>
    </row>
    <row r="12">
      <c r="A12" s="50" t="s">
        <v>7056</v>
      </c>
      <c r="B12" s="50" t="s">
        <v>6876</v>
      </c>
      <c r="C12" s="50" t="s">
        <v>6877</v>
      </c>
      <c r="D12" s="50" t="s">
        <v>6878</v>
      </c>
      <c r="E12" s="144">
        <v>43598.0</v>
      </c>
      <c r="F12" s="50" t="s">
        <v>7057</v>
      </c>
      <c r="G12" s="50">
        <v>58.0</v>
      </c>
      <c r="H12" s="50">
        <v>2.0</v>
      </c>
      <c r="I12" s="50">
        <v>7.0</v>
      </c>
      <c r="J12" s="116"/>
      <c r="K12" s="116"/>
      <c r="L12" s="49" t="s">
        <v>375</v>
      </c>
      <c r="M12" s="49" t="s">
        <v>375</v>
      </c>
      <c r="N12" s="50" t="s">
        <v>7062</v>
      </c>
      <c r="O12" s="50" t="s">
        <v>7047</v>
      </c>
      <c r="P12" s="50" t="s">
        <v>7047</v>
      </c>
      <c r="Q12" s="50" t="s">
        <v>7049</v>
      </c>
      <c r="R12" s="116"/>
      <c r="S12" s="116"/>
      <c r="T12" s="116"/>
      <c r="U12" s="116"/>
      <c r="V12" s="116"/>
      <c r="W12" s="50">
        <v>7.0</v>
      </c>
      <c r="X12" s="50">
        <v>10.0</v>
      </c>
      <c r="Y12" s="50">
        <v>2.0</v>
      </c>
      <c r="Z12" s="116"/>
      <c r="AA12" s="50">
        <v>6.0</v>
      </c>
      <c r="AB12" s="50">
        <v>1.0</v>
      </c>
      <c r="AC12" s="50">
        <v>2.0</v>
      </c>
      <c r="AD12" s="116"/>
      <c r="AE12" s="50">
        <v>0.0</v>
      </c>
      <c r="AF12" s="116"/>
      <c r="AG12" s="116"/>
      <c r="AH12" s="116"/>
      <c r="AI12" s="116"/>
      <c r="AJ12" s="116"/>
      <c r="AK12" s="50" t="s">
        <v>7066</v>
      </c>
      <c r="AL12" s="50" t="s">
        <v>6922</v>
      </c>
      <c r="AM12" s="50">
        <v>0.0</v>
      </c>
      <c r="AN12" s="50" t="s">
        <v>6901</v>
      </c>
      <c r="AO12" s="117">
        <v>2806.0</v>
      </c>
      <c r="AP12" s="50" t="s">
        <v>7069</v>
      </c>
      <c r="AQ12" s="50" t="s">
        <v>7071</v>
      </c>
      <c r="AR12" s="117">
        <v>11.0</v>
      </c>
    </row>
    <row r="13">
      <c r="A13" s="50" t="s">
        <v>7073</v>
      </c>
      <c r="B13" s="50" t="s">
        <v>6876</v>
      </c>
      <c r="C13" s="50" t="s">
        <v>6877</v>
      </c>
      <c r="D13" s="50" t="s">
        <v>6878</v>
      </c>
      <c r="E13" s="144">
        <v>43600.0</v>
      </c>
      <c r="F13" s="50" t="s">
        <v>7074</v>
      </c>
      <c r="G13" s="50">
        <v>105.0</v>
      </c>
      <c r="H13" s="50">
        <v>1.0</v>
      </c>
      <c r="I13" s="50">
        <v>97.0</v>
      </c>
      <c r="J13" s="116"/>
      <c r="K13" s="116"/>
      <c r="L13" s="50" t="s">
        <v>2274</v>
      </c>
      <c r="M13" s="50" t="s">
        <v>2274</v>
      </c>
      <c r="N13" s="50" t="s">
        <v>6891</v>
      </c>
      <c r="O13" s="50" t="s">
        <v>6892</v>
      </c>
      <c r="P13" s="50" t="s">
        <v>6893</v>
      </c>
      <c r="Q13" s="50" t="s">
        <v>7077</v>
      </c>
      <c r="R13" s="116"/>
      <c r="S13" s="116"/>
      <c r="T13" s="116"/>
      <c r="U13" s="116"/>
      <c r="V13" s="116"/>
      <c r="W13" s="50">
        <v>7.0</v>
      </c>
      <c r="X13" s="50">
        <v>10.0</v>
      </c>
      <c r="Y13" s="50">
        <v>3.0</v>
      </c>
      <c r="Z13" s="50">
        <v>3.0</v>
      </c>
      <c r="AA13" s="116"/>
      <c r="AB13" s="116"/>
      <c r="AC13" s="116"/>
      <c r="AD13" s="116"/>
      <c r="AE13" s="116"/>
      <c r="AF13" s="116"/>
      <c r="AG13" s="116"/>
      <c r="AH13" s="116"/>
      <c r="AI13" s="116"/>
      <c r="AJ13" s="116"/>
      <c r="AK13" s="50" t="s">
        <v>7078</v>
      </c>
      <c r="AL13" s="50" t="s">
        <v>7080</v>
      </c>
      <c r="AM13" s="50">
        <v>0.0</v>
      </c>
      <c r="AN13" s="50" t="s">
        <v>6901</v>
      </c>
      <c r="AO13" s="117">
        <v>2840.0</v>
      </c>
      <c r="AP13" s="50" t="s">
        <v>7084</v>
      </c>
      <c r="AQ13" s="50" t="s">
        <v>7085</v>
      </c>
      <c r="AR13" s="117">
        <v>12.0</v>
      </c>
    </row>
    <row r="14">
      <c r="A14" s="50" t="s">
        <v>7086</v>
      </c>
      <c r="B14" s="50" t="s">
        <v>6876</v>
      </c>
      <c r="C14" s="50" t="s">
        <v>6877</v>
      </c>
      <c r="D14" s="50" t="s">
        <v>6878</v>
      </c>
      <c r="E14" s="144">
        <v>43600.0</v>
      </c>
      <c r="F14" s="50" t="s">
        <v>7088</v>
      </c>
      <c r="G14" s="50">
        <v>58.0</v>
      </c>
      <c r="H14" s="50">
        <v>2.0</v>
      </c>
      <c r="I14" s="50">
        <v>2.0</v>
      </c>
      <c r="J14" s="116"/>
      <c r="K14" s="116"/>
      <c r="L14" s="51" t="s">
        <v>346</v>
      </c>
      <c r="M14" s="51" t="s">
        <v>346</v>
      </c>
      <c r="N14" s="50" t="s">
        <v>7090</v>
      </c>
      <c r="O14" s="50" t="s">
        <v>7091</v>
      </c>
      <c r="P14" s="50" t="s">
        <v>7092</v>
      </c>
      <c r="Q14" s="50" t="s">
        <v>7093</v>
      </c>
      <c r="R14" s="50">
        <v>21.9</v>
      </c>
      <c r="S14" s="116"/>
      <c r="T14" s="116"/>
      <c r="U14" s="116"/>
      <c r="V14" s="116"/>
      <c r="W14" s="50">
        <v>7.0</v>
      </c>
      <c r="X14" s="50">
        <v>10.0</v>
      </c>
      <c r="Y14" s="50">
        <v>3.0</v>
      </c>
      <c r="Z14" s="50">
        <v>0.0</v>
      </c>
      <c r="AA14" s="50">
        <v>7.0</v>
      </c>
      <c r="AB14" s="50">
        <v>1.0</v>
      </c>
      <c r="AC14" s="50">
        <v>3.0</v>
      </c>
      <c r="AD14" s="50">
        <v>0.0</v>
      </c>
      <c r="AE14" s="50">
        <v>1.0</v>
      </c>
      <c r="AF14" s="50">
        <v>6.0</v>
      </c>
      <c r="AG14" s="50">
        <v>1.0</v>
      </c>
      <c r="AH14" s="50">
        <v>3.0</v>
      </c>
      <c r="AI14" s="50">
        <v>0.0</v>
      </c>
      <c r="AJ14" s="116"/>
      <c r="AK14" s="50" t="s">
        <v>7099</v>
      </c>
      <c r="AL14" s="50">
        <v>4.0</v>
      </c>
      <c r="AM14" s="50">
        <v>0.0</v>
      </c>
      <c r="AN14" s="50" t="s">
        <v>6901</v>
      </c>
      <c r="AO14" s="117">
        <v>2850.0</v>
      </c>
      <c r="AP14" s="50" t="s">
        <v>7100</v>
      </c>
      <c r="AQ14" s="50" t="s">
        <v>7102</v>
      </c>
      <c r="AR14" s="117">
        <v>13.0</v>
      </c>
    </row>
    <row r="15">
      <c r="A15" s="50" t="s">
        <v>7104</v>
      </c>
      <c r="B15" s="50" t="s">
        <v>6876</v>
      </c>
      <c r="C15" s="50" t="s">
        <v>6877</v>
      </c>
      <c r="D15" s="50" t="s">
        <v>6878</v>
      </c>
      <c r="E15" s="144">
        <v>43600.0</v>
      </c>
      <c r="F15" s="50" t="s">
        <v>7105</v>
      </c>
      <c r="G15" s="50">
        <v>58.0</v>
      </c>
      <c r="H15" s="50">
        <v>2.0</v>
      </c>
      <c r="I15" s="50">
        <v>2.0</v>
      </c>
      <c r="J15" s="116"/>
      <c r="K15" s="116"/>
      <c r="L15" s="51" t="s">
        <v>357</v>
      </c>
      <c r="M15" s="51" t="s">
        <v>357</v>
      </c>
      <c r="N15" s="50" t="s">
        <v>7106</v>
      </c>
      <c r="O15" s="50" t="s">
        <v>7091</v>
      </c>
      <c r="P15" s="50" t="s">
        <v>7092</v>
      </c>
      <c r="Q15" s="50" t="s">
        <v>7109</v>
      </c>
      <c r="R15" s="50">
        <v>21.9</v>
      </c>
      <c r="S15" s="116"/>
      <c r="T15" s="116"/>
      <c r="U15" s="116"/>
      <c r="V15" s="116"/>
      <c r="W15" s="50">
        <v>7.0</v>
      </c>
      <c r="X15" s="50">
        <v>10.0</v>
      </c>
      <c r="Y15" s="50">
        <v>2.0</v>
      </c>
      <c r="Z15" s="116"/>
      <c r="AA15" s="50">
        <v>7.0</v>
      </c>
      <c r="AB15" s="50">
        <v>1.0</v>
      </c>
      <c r="AC15" s="50">
        <v>2.0</v>
      </c>
      <c r="AD15" s="116"/>
      <c r="AE15" s="50">
        <v>1.0</v>
      </c>
      <c r="AF15" s="50">
        <v>6.0</v>
      </c>
      <c r="AG15" s="50">
        <v>1.0</v>
      </c>
      <c r="AH15" s="50">
        <v>2.0</v>
      </c>
      <c r="AI15" s="116"/>
      <c r="AJ15" s="116"/>
      <c r="AK15" s="50" t="s">
        <v>7114</v>
      </c>
      <c r="AL15" s="50">
        <v>4.0</v>
      </c>
      <c r="AM15" s="50">
        <v>0.0</v>
      </c>
      <c r="AN15" s="50" t="s">
        <v>6901</v>
      </c>
      <c r="AO15" s="117">
        <v>2851.0</v>
      </c>
      <c r="AP15" s="50" t="s">
        <v>7115</v>
      </c>
      <c r="AQ15" s="50" t="s">
        <v>7116</v>
      </c>
      <c r="AR15" s="117">
        <v>14.0</v>
      </c>
    </row>
    <row r="16">
      <c r="A16" s="50" t="s">
        <v>7105</v>
      </c>
      <c r="B16" s="50" t="s">
        <v>6876</v>
      </c>
      <c r="C16" s="50" t="s">
        <v>6877</v>
      </c>
      <c r="D16" s="50" t="s">
        <v>6878</v>
      </c>
      <c r="E16" s="144">
        <v>43600.0</v>
      </c>
      <c r="F16" s="50" t="s">
        <v>7118</v>
      </c>
      <c r="G16" s="50">
        <v>58.0</v>
      </c>
      <c r="H16" s="50">
        <v>2.0</v>
      </c>
      <c r="I16" s="50">
        <v>8.0</v>
      </c>
      <c r="J16" s="116"/>
      <c r="K16" s="116"/>
      <c r="L16" s="50" t="s">
        <v>2384</v>
      </c>
      <c r="M16" s="50" t="s">
        <v>2384</v>
      </c>
      <c r="N16" s="50" t="s">
        <v>7123</v>
      </c>
      <c r="O16" s="50" t="s">
        <v>7124</v>
      </c>
      <c r="P16" s="50" t="s">
        <v>7125</v>
      </c>
      <c r="Q16" s="50" t="s">
        <v>7093</v>
      </c>
      <c r="R16" s="116"/>
      <c r="S16" s="116"/>
      <c r="T16" s="116"/>
      <c r="U16" s="50">
        <v>35.0</v>
      </c>
      <c r="V16" s="116"/>
      <c r="W16" s="50">
        <v>7.0</v>
      </c>
      <c r="X16" s="50">
        <v>1.0</v>
      </c>
      <c r="Y16" s="50">
        <v>2.0</v>
      </c>
      <c r="Z16" s="116"/>
      <c r="AA16" s="50">
        <v>6.0</v>
      </c>
      <c r="AB16" s="50">
        <v>1.0</v>
      </c>
      <c r="AC16" s="50">
        <v>3.0</v>
      </c>
      <c r="AD16" s="50">
        <v>5.0</v>
      </c>
      <c r="AE16" s="50">
        <v>1.0</v>
      </c>
      <c r="AF16" s="50">
        <v>5.0</v>
      </c>
      <c r="AG16" s="50">
        <v>1.0</v>
      </c>
      <c r="AH16" s="50">
        <v>3.0</v>
      </c>
      <c r="AI16" s="50">
        <v>0.0</v>
      </c>
      <c r="AJ16" s="116"/>
      <c r="AK16" s="50" t="s">
        <v>7128</v>
      </c>
      <c r="AL16" s="50">
        <v>4.0</v>
      </c>
      <c r="AM16" s="50">
        <v>0.0</v>
      </c>
      <c r="AN16" s="50" t="s">
        <v>6901</v>
      </c>
      <c r="AO16" s="117">
        <v>2852.0</v>
      </c>
      <c r="AP16" s="50" t="s">
        <v>7129</v>
      </c>
      <c r="AQ16" s="50" t="s">
        <v>7130</v>
      </c>
      <c r="AR16" s="117">
        <v>15.0</v>
      </c>
    </row>
    <row r="17">
      <c r="A17" s="50" t="s">
        <v>7118</v>
      </c>
      <c r="B17" s="50" t="s">
        <v>6876</v>
      </c>
      <c r="C17" s="50" t="s">
        <v>6877</v>
      </c>
      <c r="D17" s="50" t="s">
        <v>6878</v>
      </c>
      <c r="E17" s="144">
        <v>43600.0</v>
      </c>
      <c r="F17" s="50" t="s">
        <v>7135</v>
      </c>
      <c r="G17" s="50">
        <v>58.0</v>
      </c>
      <c r="H17" s="50">
        <v>2.0</v>
      </c>
      <c r="I17" s="50">
        <v>8.0</v>
      </c>
      <c r="J17" s="116"/>
      <c r="K17" s="116"/>
      <c r="L17" s="51" t="s">
        <v>353</v>
      </c>
      <c r="M17" s="51" t="s">
        <v>353</v>
      </c>
      <c r="N17" s="50" t="s">
        <v>7138</v>
      </c>
      <c r="O17" s="50" t="s">
        <v>7124</v>
      </c>
      <c r="P17" s="50" t="s">
        <v>7125</v>
      </c>
      <c r="Q17" s="50" t="s">
        <v>7093</v>
      </c>
      <c r="R17" s="116"/>
      <c r="S17" s="116"/>
      <c r="T17" s="116"/>
      <c r="U17" s="50">
        <v>23.0</v>
      </c>
      <c r="V17" s="116"/>
      <c r="W17" s="50">
        <v>7.0</v>
      </c>
      <c r="X17" s="50">
        <v>1.0</v>
      </c>
      <c r="Y17" s="50">
        <v>3.0</v>
      </c>
      <c r="Z17" s="50">
        <v>0.0</v>
      </c>
      <c r="AA17" s="50">
        <v>6.0</v>
      </c>
      <c r="AB17" s="50">
        <v>1.0</v>
      </c>
      <c r="AC17" s="50">
        <v>3.0</v>
      </c>
      <c r="AD17" s="50">
        <v>0.0</v>
      </c>
      <c r="AE17" s="50">
        <v>1.0</v>
      </c>
      <c r="AF17" s="50">
        <v>5.0</v>
      </c>
      <c r="AG17" s="50">
        <v>1.0</v>
      </c>
      <c r="AH17" s="50">
        <v>3.0</v>
      </c>
      <c r="AI17" s="50">
        <v>0.0</v>
      </c>
      <c r="AJ17" s="116"/>
      <c r="AK17" s="50" t="s">
        <v>7141</v>
      </c>
      <c r="AL17" s="50">
        <v>4.0</v>
      </c>
      <c r="AM17" s="50">
        <v>0.0</v>
      </c>
      <c r="AN17" s="50" t="s">
        <v>6901</v>
      </c>
      <c r="AO17" s="117">
        <v>2853.0</v>
      </c>
      <c r="AP17" s="50" t="s">
        <v>7145</v>
      </c>
      <c r="AQ17" s="50" t="s">
        <v>7146</v>
      </c>
      <c r="AR17" s="117">
        <v>16.0</v>
      </c>
    </row>
    <row r="18">
      <c r="A18" s="50" t="s">
        <v>7147</v>
      </c>
      <c r="B18" s="50" t="s">
        <v>6876</v>
      </c>
      <c r="C18" s="50" t="s">
        <v>6877</v>
      </c>
      <c r="D18" s="50" t="s">
        <v>6878</v>
      </c>
      <c r="E18" s="144">
        <v>43600.0</v>
      </c>
      <c r="F18" s="50" t="s">
        <v>7150</v>
      </c>
      <c r="G18" s="50">
        <v>59.0</v>
      </c>
      <c r="H18" s="50">
        <v>1.0</v>
      </c>
      <c r="I18" s="50">
        <v>11.0</v>
      </c>
      <c r="J18" s="116"/>
      <c r="K18" s="116"/>
      <c r="L18" s="50" t="s">
        <v>381</v>
      </c>
      <c r="M18" s="50" t="s">
        <v>381</v>
      </c>
      <c r="N18" s="50" t="s">
        <v>7151</v>
      </c>
      <c r="O18" s="50" t="s">
        <v>7152</v>
      </c>
      <c r="P18" s="50" t="s">
        <v>7153</v>
      </c>
      <c r="Q18" s="50" t="s">
        <v>7154</v>
      </c>
      <c r="R18" s="116"/>
      <c r="S18" s="116"/>
      <c r="T18" s="116"/>
      <c r="U18" s="116"/>
      <c r="V18" s="116"/>
      <c r="W18" s="50">
        <v>4.0</v>
      </c>
      <c r="X18" s="50">
        <v>1.0</v>
      </c>
      <c r="Y18" s="50">
        <v>3.0</v>
      </c>
      <c r="Z18" s="50">
        <v>146.0</v>
      </c>
      <c r="AA18" s="50">
        <v>3.0</v>
      </c>
      <c r="AB18" s="50">
        <v>1.0</v>
      </c>
      <c r="AC18" s="50">
        <v>3.0</v>
      </c>
      <c r="AD18" s="50">
        <v>20.0</v>
      </c>
      <c r="AE18" s="50">
        <v>0.0</v>
      </c>
      <c r="AF18" s="116"/>
      <c r="AG18" s="116"/>
      <c r="AH18" s="116"/>
      <c r="AI18" s="116"/>
      <c r="AJ18" s="116"/>
      <c r="AK18" s="50" t="s">
        <v>7159</v>
      </c>
      <c r="AL18" s="50">
        <v>4.0</v>
      </c>
      <c r="AM18" s="50">
        <v>0.0</v>
      </c>
      <c r="AN18" s="50" t="s">
        <v>6901</v>
      </c>
      <c r="AO18" s="117">
        <v>2854.0</v>
      </c>
      <c r="AP18" s="50" t="s">
        <v>7161</v>
      </c>
      <c r="AQ18" s="50" t="s">
        <v>7163</v>
      </c>
      <c r="AR18" s="117">
        <v>17.0</v>
      </c>
    </row>
    <row r="19">
      <c r="A19" s="50" t="s">
        <v>7150</v>
      </c>
      <c r="B19" s="50" t="s">
        <v>6876</v>
      </c>
      <c r="C19" s="50" t="s">
        <v>6877</v>
      </c>
      <c r="D19" s="50" t="s">
        <v>6878</v>
      </c>
      <c r="E19" s="144">
        <v>43600.0</v>
      </c>
      <c r="F19" s="50" t="s">
        <v>7164</v>
      </c>
      <c r="G19" s="50">
        <v>58.0</v>
      </c>
      <c r="H19" s="50">
        <v>2.0</v>
      </c>
      <c r="I19" s="50">
        <v>11.0</v>
      </c>
      <c r="J19" s="116"/>
      <c r="K19" s="116"/>
      <c r="L19" s="50" t="s">
        <v>4609</v>
      </c>
      <c r="M19" s="50" t="s">
        <v>4609</v>
      </c>
      <c r="N19" s="50" t="s">
        <v>7166</v>
      </c>
      <c r="O19" s="50" t="s">
        <v>7152</v>
      </c>
      <c r="P19" s="50" t="s">
        <v>7153</v>
      </c>
      <c r="Q19" s="50" t="s">
        <v>7154</v>
      </c>
      <c r="R19" s="116"/>
      <c r="S19" s="116"/>
      <c r="T19" s="116"/>
      <c r="U19" s="116"/>
      <c r="V19" s="116"/>
      <c r="W19" s="50">
        <v>4.0</v>
      </c>
      <c r="X19" s="50">
        <v>1.0</v>
      </c>
      <c r="Y19" s="50">
        <v>3.0</v>
      </c>
      <c r="Z19" s="50">
        <v>11.0</v>
      </c>
      <c r="AA19" s="50">
        <v>3.0</v>
      </c>
      <c r="AB19" s="50">
        <v>1.0</v>
      </c>
      <c r="AC19" s="50">
        <v>3.0</v>
      </c>
      <c r="AD19" s="50">
        <v>0.0</v>
      </c>
      <c r="AE19" s="50">
        <v>0.0</v>
      </c>
      <c r="AF19" s="116"/>
      <c r="AG19" s="116"/>
      <c r="AH19" s="116"/>
      <c r="AI19" s="116"/>
      <c r="AJ19" s="116"/>
      <c r="AK19" s="50" t="s">
        <v>7173</v>
      </c>
      <c r="AL19" s="50" t="s">
        <v>7080</v>
      </c>
      <c r="AM19" s="50">
        <v>0.0</v>
      </c>
      <c r="AN19" s="50" t="s">
        <v>6901</v>
      </c>
      <c r="AO19" s="117">
        <v>2855.0</v>
      </c>
      <c r="AP19" s="50" t="s">
        <v>7174</v>
      </c>
      <c r="AQ19" s="50" t="s">
        <v>7175</v>
      </c>
      <c r="AR19" s="117">
        <v>18.0</v>
      </c>
    </row>
    <row r="20">
      <c r="A20" s="50" t="s">
        <v>7164</v>
      </c>
      <c r="B20" s="50" t="s">
        <v>6876</v>
      </c>
      <c r="C20" s="50" t="s">
        <v>6877</v>
      </c>
      <c r="D20" s="50" t="s">
        <v>6878</v>
      </c>
      <c r="E20" s="144">
        <v>43600.0</v>
      </c>
      <c r="F20" s="50" t="s">
        <v>7177</v>
      </c>
      <c r="G20" s="50">
        <v>58.0</v>
      </c>
      <c r="H20" s="50">
        <v>1.0</v>
      </c>
      <c r="I20" s="50">
        <v>3.0</v>
      </c>
      <c r="J20" s="116"/>
      <c r="K20" s="116"/>
      <c r="L20" s="50" t="s">
        <v>385</v>
      </c>
      <c r="M20" s="50" t="s">
        <v>385</v>
      </c>
      <c r="N20" s="50" t="s">
        <v>7181</v>
      </c>
      <c r="O20" s="50" t="s">
        <v>7184</v>
      </c>
      <c r="P20" s="50" t="s">
        <v>7185</v>
      </c>
      <c r="Q20" s="50" t="s">
        <v>7186</v>
      </c>
      <c r="R20" s="116"/>
      <c r="S20" s="116"/>
      <c r="T20" s="116"/>
      <c r="U20" s="116"/>
      <c r="V20" s="116"/>
      <c r="W20" s="50">
        <v>7.0</v>
      </c>
      <c r="X20" s="50">
        <v>100.0</v>
      </c>
      <c r="Y20" s="50">
        <v>3.0</v>
      </c>
      <c r="Z20" s="50">
        <v>0.0</v>
      </c>
      <c r="AA20" s="50">
        <v>7.0</v>
      </c>
      <c r="AB20" s="50">
        <v>10.0</v>
      </c>
      <c r="AC20" s="50">
        <v>3.0</v>
      </c>
      <c r="AD20" s="50">
        <v>0.0</v>
      </c>
      <c r="AE20" s="50">
        <v>0.0</v>
      </c>
      <c r="AF20" s="116"/>
      <c r="AG20" s="116"/>
      <c r="AH20" s="116"/>
      <c r="AI20" s="116"/>
      <c r="AJ20" s="116"/>
      <c r="AK20" s="50" t="s">
        <v>7191</v>
      </c>
      <c r="AL20" s="50">
        <v>3.0</v>
      </c>
      <c r="AM20" s="50">
        <v>0.0</v>
      </c>
      <c r="AN20" s="50" t="s">
        <v>6901</v>
      </c>
      <c r="AO20" s="117">
        <v>2856.0</v>
      </c>
      <c r="AP20" s="50" t="s">
        <v>7192</v>
      </c>
      <c r="AQ20" s="50" t="s">
        <v>7193</v>
      </c>
      <c r="AR20" s="117">
        <v>19.0</v>
      </c>
    </row>
    <row r="21">
      <c r="A21" s="50" t="s">
        <v>7177</v>
      </c>
      <c r="B21" s="50" t="s">
        <v>6876</v>
      </c>
      <c r="C21" s="50" t="s">
        <v>6877</v>
      </c>
      <c r="D21" s="50" t="s">
        <v>6878</v>
      </c>
      <c r="E21" s="144">
        <v>43600.0</v>
      </c>
      <c r="F21" s="50" t="s">
        <v>7195</v>
      </c>
      <c r="G21" s="50">
        <v>58.0</v>
      </c>
      <c r="H21" s="50">
        <v>1.0</v>
      </c>
      <c r="I21" s="50">
        <v>1.0</v>
      </c>
      <c r="J21" s="116"/>
      <c r="K21" s="116"/>
      <c r="L21" s="50" t="s">
        <v>389</v>
      </c>
      <c r="M21" s="50" t="s">
        <v>389</v>
      </c>
      <c r="N21" s="50" t="s">
        <v>7181</v>
      </c>
      <c r="O21" s="50" t="s">
        <v>7184</v>
      </c>
      <c r="P21" s="50" t="s">
        <v>7185</v>
      </c>
      <c r="Q21" s="50" t="s">
        <v>7186</v>
      </c>
      <c r="R21" s="116"/>
      <c r="S21" s="116"/>
      <c r="T21" s="116"/>
      <c r="U21" s="116"/>
      <c r="V21" s="116"/>
      <c r="W21" s="50">
        <v>4.0</v>
      </c>
      <c r="X21" s="50">
        <v>1.0</v>
      </c>
      <c r="Y21" s="50">
        <v>3.0</v>
      </c>
      <c r="Z21" s="50">
        <v>3.0</v>
      </c>
      <c r="AA21" s="50">
        <v>3.0</v>
      </c>
      <c r="AB21" s="50">
        <v>1.0</v>
      </c>
      <c r="AC21" s="50">
        <v>3.0</v>
      </c>
      <c r="AD21" s="50">
        <v>0.0</v>
      </c>
      <c r="AE21" s="50">
        <v>0.0</v>
      </c>
      <c r="AF21" s="116"/>
      <c r="AG21" s="116"/>
      <c r="AH21" s="116"/>
      <c r="AI21" s="116"/>
      <c r="AJ21" s="116"/>
      <c r="AK21" s="50" t="s">
        <v>7201</v>
      </c>
      <c r="AL21" s="50" t="s">
        <v>7080</v>
      </c>
      <c r="AM21" s="50">
        <v>0.0</v>
      </c>
      <c r="AN21" s="50" t="s">
        <v>6901</v>
      </c>
      <c r="AO21" s="117">
        <v>2857.0</v>
      </c>
      <c r="AP21" s="50" t="s">
        <v>7202</v>
      </c>
      <c r="AQ21" s="50" t="s">
        <v>7203</v>
      </c>
      <c r="AR21" s="117">
        <v>20.0</v>
      </c>
    </row>
    <row r="22">
      <c r="A22" s="50" t="s">
        <v>7195</v>
      </c>
      <c r="B22" s="50" t="s">
        <v>6876</v>
      </c>
      <c r="C22" s="50" t="s">
        <v>6877</v>
      </c>
      <c r="D22" s="50" t="s">
        <v>6878</v>
      </c>
      <c r="E22" s="144">
        <v>43600.0</v>
      </c>
      <c r="F22" s="50" t="s">
        <v>7206</v>
      </c>
      <c r="G22" s="50">
        <v>58.0</v>
      </c>
      <c r="H22" s="50">
        <v>1.0</v>
      </c>
      <c r="I22" s="50">
        <v>10.0</v>
      </c>
      <c r="J22" s="116"/>
      <c r="K22" s="116"/>
      <c r="L22" s="50" t="s">
        <v>325</v>
      </c>
      <c r="M22" s="50" t="s">
        <v>325</v>
      </c>
      <c r="N22" s="50" t="s">
        <v>7207</v>
      </c>
      <c r="O22" s="50" t="s">
        <v>7184</v>
      </c>
      <c r="P22" s="50" t="s">
        <v>7185</v>
      </c>
      <c r="Q22" s="50" t="s">
        <v>7186</v>
      </c>
      <c r="R22" s="116"/>
      <c r="S22" s="50">
        <v>150.0</v>
      </c>
      <c r="T22" s="116"/>
      <c r="U22" s="116"/>
      <c r="V22" s="116"/>
      <c r="W22" s="50">
        <v>7.0</v>
      </c>
      <c r="X22" s="50">
        <v>10.0</v>
      </c>
      <c r="Y22" s="50">
        <v>2.0</v>
      </c>
      <c r="Z22" s="116"/>
      <c r="AA22" s="50">
        <v>7.0</v>
      </c>
      <c r="AB22" s="50">
        <v>1.0</v>
      </c>
      <c r="AC22" s="50">
        <v>1.0</v>
      </c>
      <c r="AD22" s="116"/>
      <c r="AE22" s="50">
        <v>1.0</v>
      </c>
      <c r="AF22" s="50">
        <v>6.0</v>
      </c>
      <c r="AG22" s="50">
        <v>1.0</v>
      </c>
      <c r="AH22" s="50">
        <v>1.0</v>
      </c>
      <c r="AI22" s="116"/>
      <c r="AJ22" s="116"/>
      <c r="AK22" s="50" t="s">
        <v>7214</v>
      </c>
      <c r="AL22" s="50">
        <v>4.0</v>
      </c>
      <c r="AM22" s="50">
        <v>0.0</v>
      </c>
      <c r="AN22" s="50" t="s">
        <v>6901</v>
      </c>
      <c r="AO22" s="117">
        <v>2858.0</v>
      </c>
      <c r="AP22" s="50" t="s">
        <v>7215</v>
      </c>
      <c r="AQ22" s="50" t="s">
        <v>7216</v>
      </c>
      <c r="AR22" s="117">
        <v>21.0</v>
      </c>
    </row>
    <row r="23">
      <c r="A23" s="50" t="s">
        <v>7206</v>
      </c>
      <c r="B23" s="50" t="s">
        <v>6876</v>
      </c>
      <c r="C23" s="50" t="s">
        <v>6877</v>
      </c>
      <c r="D23" s="50" t="s">
        <v>6878</v>
      </c>
      <c r="E23" s="144">
        <v>43600.0</v>
      </c>
      <c r="F23" s="50" t="s">
        <v>7217</v>
      </c>
      <c r="G23" s="50">
        <v>58.0</v>
      </c>
      <c r="H23" s="50">
        <v>1.0</v>
      </c>
      <c r="I23" s="50">
        <v>10.0</v>
      </c>
      <c r="J23" s="116"/>
      <c r="K23" s="116"/>
      <c r="L23" s="50" t="s">
        <v>392</v>
      </c>
      <c r="M23" s="50" t="s">
        <v>392</v>
      </c>
      <c r="N23" s="50" t="s">
        <v>7221</v>
      </c>
      <c r="O23" s="50" t="s">
        <v>7184</v>
      </c>
      <c r="P23" s="50" t="s">
        <v>7185</v>
      </c>
      <c r="Q23" s="50" t="s">
        <v>7186</v>
      </c>
      <c r="R23" s="116"/>
      <c r="S23" s="50">
        <v>200.0</v>
      </c>
      <c r="T23" s="116"/>
      <c r="U23" s="116"/>
      <c r="V23" s="116"/>
      <c r="W23" s="50">
        <v>7.0</v>
      </c>
      <c r="X23" s="50">
        <v>10.0</v>
      </c>
      <c r="Y23" s="50">
        <v>3.0</v>
      </c>
      <c r="Z23" s="50">
        <v>3.0</v>
      </c>
      <c r="AA23" s="50">
        <v>7.0</v>
      </c>
      <c r="AB23" s="50">
        <v>1.0</v>
      </c>
      <c r="AC23" s="50">
        <v>3.0</v>
      </c>
      <c r="AD23" s="50">
        <v>0.0</v>
      </c>
      <c r="AE23" s="50">
        <v>1.0</v>
      </c>
      <c r="AF23" s="50">
        <v>6.0</v>
      </c>
      <c r="AG23" s="50">
        <v>1.0</v>
      </c>
      <c r="AH23" s="50">
        <v>3.0</v>
      </c>
      <c r="AI23" s="50">
        <v>0.0</v>
      </c>
      <c r="AJ23" s="116"/>
      <c r="AK23" s="50" t="s">
        <v>7226</v>
      </c>
      <c r="AL23" s="50">
        <v>4.0</v>
      </c>
      <c r="AM23" s="50">
        <v>0.0</v>
      </c>
      <c r="AN23" s="50" t="s">
        <v>6901</v>
      </c>
      <c r="AO23" s="117">
        <v>2859.0</v>
      </c>
      <c r="AP23" s="50" t="s">
        <v>7227</v>
      </c>
      <c r="AQ23" s="50" t="s">
        <v>7228</v>
      </c>
      <c r="AR23" s="117">
        <v>22.0</v>
      </c>
    </row>
    <row r="24">
      <c r="A24" s="50" t="s">
        <v>7217</v>
      </c>
      <c r="B24" s="50" t="s">
        <v>6876</v>
      </c>
      <c r="C24" s="50" t="s">
        <v>6877</v>
      </c>
      <c r="D24" s="50" t="s">
        <v>6878</v>
      </c>
      <c r="E24" s="144">
        <v>43600.0</v>
      </c>
      <c r="F24" s="50" t="s">
        <v>7233</v>
      </c>
      <c r="G24" s="50">
        <v>58.0</v>
      </c>
      <c r="H24" s="50">
        <v>1.0</v>
      </c>
      <c r="I24" s="50">
        <v>5.0</v>
      </c>
      <c r="J24" s="116"/>
      <c r="K24" s="116"/>
      <c r="L24" s="50" t="s">
        <v>394</v>
      </c>
      <c r="M24" s="50" t="s">
        <v>394</v>
      </c>
      <c r="N24" s="50" t="s">
        <v>7235</v>
      </c>
      <c r="O24" s="50" t="s">
        <v>7185</v>
      </c>
      <c r="P24" s="50" t="s">
        <v>7237</v>
      </c>
      <c r="Q24" s="50" t="s">
        <v>7238</v>
      </c>
      <c r="R24" s="116"/>
      <c r="S24" s="116"/>
      <c r="T24" s="116"/>
      <c r="U24" s="116"/>
      <c r="V24" s="116"/>
      <c r="W24" s="50">
        <v>7.0</v>
      </c>
      <c r="X24" s="50">
        <v>10.0</v>
      </c>
      <c r="Y24" s="50">
        <v>2.0</v>
      </c>
      <c r="Z24" s="116"/>
      <c r="AA24" s="50">
        <v>7.0</v>
      </c>
      <c r="AB24" s="50">
        <v>1.0</v>
      </c>
      <c r="AC24" s="50">
        <v>2.0</v>
      </c>
      <c r="AD24" s="116"/>
      <c r="AE24" s="50">
        <v>0.0</v>
      </c>
      <c r="AF24" s="116"/>
      <c r="AG24" s="116"/>
      <c r="AH24" s="116"/>
      <c r="AI24" s="116"/>
      <c r="AJ24" s="116"/>
      <c r="AK24" s="50" t="s">
        <v>7241</v>
      </c>
      <c r="AL24" s="50">
        <v>4.0</v>
      </c>
      <c r="AM24" s="50">
        <v>0.0</v>
      </c>
      <c r="AN24" s="50" t="s">
        <v>6901</v>
      </c>
      <c r="AO24" s="117">
        <v>2860.0</v>
      </c>
      <c r="AP24" s="50" t="s">
        <v>7244</v>
      </c>
      <c r="AQ24" s="50" t="s">
        <v>7245</v>
      </c>
      <c r="AR24" s="117">
        <v>23.0</v>
      </c>
    </row>
    <row r="25">
      <c r="A25" s="50" t="s">
        <v>7246</v>
      </c>
      <c r="B25" s="50" t="s">
        <v>6876</v>
      </c>
      <c r="C25" s="50" t="s">
        <v>6877</v>
      </c>
      <c r="D25" s="50" t="s">
        <v>6878</v>
      </c>
      <c r="E25" s="144">
        <v>43609.0</v>
      </c>
      <c r="F25" s="50" t="s">
        <v>7249</v>
      </c>
      <c r="G25" s="50">
        <v>58.0</v>
      </c>
      <c r="H25" s="50">
        <v>1.0</v>
      </c>
      <c r="I25" s="50">
        <v>11.0</v>
      </c>
      <c r="J25" s="116"/>
      <c r="K25" s="116"/>
      <c r="L25" s="50" t="s">
        <v>396</v>
      </c>
      <c r="M25" s="50" t="s">
        <v>396</v>
      </c>
      <c r="N25" s="50" t="s">
        <v>7250</v>
      </c>
      <c r="O25" s="50" t="s">
        <v>7251</v>
      </c>
      <c r="P25" s="50" t="s">
        <v>7252</v>
      </c>
      <c r="Q25" s="50" t="s">
        <v>7254</v>
      </c>
      <c r="R25" s="116"/>
      <c r="S25" s="116"/>
      <c r="T25" s="116"/>
      <c r="U25" s="116"/>
      <c r="V25" s="116"/>
      <c r="W25" s="50">
        <v>4.0</v>
      </c>
      <c r="X25" s="50">
        <v>1.0</v>
      </c>
      <c r="Y25" s="50">
        <v>3.0</v>
      </c>
      <c r="Z25" s="50">
        <v>3.0</v>
      </c>
      <c r="AA25" s="50">
        <v>3.0</v>
      </c>
      <c r="AB25" s="50">
        <v>1.0</v>
      </c>
      <c r="AC25" s="50">
        <v>3.0</v>
      </c>
      <c r="AD25" s="50">
        <v>1.0</v>
      </c>
      <c r="AE25" s="50">
        <v>0.0</v>
      </c>
      <c r="AF25" s="116"/>
      <c r="AG25" s="116"/>
      <c r="AH25" s="116"/>
      <c r="AI25" s="116"/>
      <c r="AJ25" s="116"/>
      <c r="AK25" s="50" t="s">
        <v>7261</v>
      </c>
      <c r="AL25" s="50">
        <v>4.0</v>
      </c>
      <c r="AM25" s="50">
        <v>0.0</v>
      </c>
      <c r="AN25" s="50" t="s">
        <v>6901</v>
      </c>
      <c r="AO25" s="117">
        <v>2939.0</v>
      </c>
      <c r="AP25" s="50" t="s">
        <v>7262</v>
      </c>
      <c r="AQ25" s="50" t="s">
        <v>7263</v>
      </c>
      <c r="AR25" s="117">
        <v>24.0</v>
      </c>
    </row>
    <row r="26">
      <c r="A26" s="50" t="s">
        <v>7249</v>
      </c>
      <c r="B26" s="50" t="s">
        <v>6876</v>
      </c>
      <c r="C26" s="50" t="s">
        <v>6877</v>
      </c>
      <c r="D26" s="50" t="s">
        <v>6878</v>
      </c>
      <c r="E26" s="144">
        <v>43609.0</v>
      </c>
      <c r="F26" s="50" t="s">
        <v>7266</v>
      </c>
      <c r="G26" s="50">
        <v>58.0</v>
      </c>
      <c r="H26" s="50">
        <v>1.0</v>
      </c>
      <c r="I26" s="50">
        <v>7.0</v>
      </c>
      <c r="J26" s="116"/>
      <c r="K26" s="116"/>
      <c r="L26" s="50" t="s">
        <v>400</v>
      </c>
      <c r="M26" s="50" t="s">
        <v>400</v>
      </c>
      <c r="N26" s="50" t="s">
        <v>7250</v>
      </c>
      <c r="O26" s="50" t="s">
        <v>7251</v>
      </c>
      <c r="P26" s="50" t="s">
        <v>7252</v>
      </c>
      <c r="Q26" s="50" t="s">
        <v>7254</v>
      </c>
      <c r="R26" s="116"/>
      <c r="S26" s="116"/>
      <c r="T26" s="116"/>
      <c r="U26" s="116"/>
      <c r="V26" s="116"/>
      <c r="W26" s="50">
        <v>7.0</v>
      </c>
      <c r="X26" s="50">
        <v>10.0</v>
      </c>
      <c r="Y26" s="50">
        <v>3.0</v>
      </c>
      <c r="Z26" s="50">
        <v>1.0</v>
      </c>
      <c r="AA26" s="50">
        <v>6.0</v>
      </c>
      <c r="AB26" s="50">
        <v>1.0</v>
      </c>
      <c r="AC26" s="50">
        <v>3.0</v>
      </c>
      <c r="AD26" s="50">
        <v>0.0</v>
      </c>
      <c r="AE26" s="50">
        <v>0.0</v>
      </c>
      <c r="AF26" s="116"/>
      <c r="AG26" s="116"/>
      <c r="AH26" s="116"/>
      <c r="AI26" s="116"/>
      <c r="AJ26" s="116"/>
      <c r="AK26" s="50" t="s">
        <v>7271</v>
      </c>
      <c r="AL26" s="50">
        <v>4.0</v>
      </c>
      <c r="AM26" s="50">
        <v>0.0</v>
      </c>
      <c r="AN26" s="50" t="s">
        <v>6901</v>
      </c>
      <c r="AO26" s="117">
        <v>2940.0</v>
      </c>
      <c r="AP26" s="50" t="s">
        <v>7273</v>
      </c>
      <c r="AQ26" s="50" t="s">
        <v>7274</v>
      </c>
      <c r="AR26" s="117">
        <v>25.0</v>
      </c>
    </row>
    <row r="27">
      <c r="A27" s="50" t="s">
        <v>7266</v>
      </c>
      <c r="B27" s="50" t="s">
        <v>6876</v>
      </c>
      <c r="C27" s="50" t="s">
        <v>6877</v>
      </c>
      <c r="D27" s="50" t="s">
        <v>6878</v>
      </c>
      <c r="E27" s="144">
        <v>43609.0</v>
      </c>
      <c r="F27" s="50" t="s">
        <v>7279</v>
      </c>
      <c r="G27" s="50">
        <v>58.0</v>
      </c>
      <c r="H27" s="50">
        <v>1.0</v>
      </c>
      <c r="I27" s="50">
        <v>7.0</v>
      </c>
      <c r="J27" s="116"/>
      <c r="K27" s="116"/>
      <c r="L27" s="50" t="s">
        <v>401</v>
      </c>
      <c r="M27" s="50" t="s">
        <v>401</v>
      </c>
      <c r="N27" s="50" t="s">
        <v>7250</v>
      </c>
      <c r="O27" s="50" t="s">
        <v>7251</v>
      </c>
      <c r="P27" s="50" t="s">
        <v>7252</v>
      </c>
      <c r="Q27" s="50" t="s">
        <v>7254</v>
      </c>
      <c r="R27" s="116"/>
      <c r="S27" s="116"/>
      <c r="T27" s="116"/>
      <c r="U27" s="116"/>
      <c r="V27" s="116"/>
      <c r="W27" s="50">
        <v>7.0</v>
      </c>
      <c r="X27" s="50">
        <v>10.0</v>
      </c>
      <c r="Y27" s="50">
        <v>3.0</v>
      </c>
      <c r="Z27" s="50">
        <v>2.0</v>
      </c>
      <c r="AA27" s="50">
        <v>6.0</v>
      </c>
      <c r="AB27" s="50">
        <v>1.0</v>
      </c>
      <c r="AC27" s="50">
        <v>3.0</v>
      </c>
      <c r="AD27" s="50">
        <v>0.0</v>
      </c>
      <c r="AE27" s="50">
        <v>0.0</v>
      </c>
      <c r="AF27" s="116"/>
      <c r="AG27" s="116"/>
      <c r="AH27" s="116"/>
      <c r="AI27" s="116"/>
      <c r="AJ27" s="116"/>
      <c r="AK27" s="50" t="s">
        <v>7286</v>
      </c>
      <c r="AL27" s="50">
        <v>4.0</v>
      </c>
      <c r="AM27" s="50">
        <v>0.0</v>
      </c>
      <c r="AN27" s="50" t="s">
        <v>6901</v>
      </c>
      <c r="AO27" s="117">
        <v>2941.0</v>
      </c>
      <c r="AP27" s="50" t="s">
        <v>7287</v>
      </c>
      <c r="AQ27" s="50" t="s">
        <v>7288</v>
      </c>
      <c r="AR27" s="117">
        <v>26.0</v>
      </c>
    </row>
    <row r="28">
      <c r="A28" s="50" t="s">
        <v>7279</v>
      </c>
      <c r="B28" s="50" t="s">
        <v>6876</v>
      </c>
      <c r="C28" s="50" t="s">
        <v>6877</v>
      </c>
      <c r="D28" s="50" t="s">
        <v>6878</v>
      </c>
      <c r="E28" s="144">
        <v>43609.0</v>
      </c>
      <c r="F28" s="50" t="s">
        <v>7291</v>
      </c>
      <c r="G28" s="50">
        <v>58.0</v>
      </c>
      <c r="H28" s="50">
        <v>1.0</v>
      </c>
      <c r="I28" s="50">
        <v>7.0</v>
      </c>
      <c r="J28" s="116"/>
      <c r="K28" s="116"/>
      <c r="L28" s="50" t="s">
        <v>403</v>
      </c>
      <c r="M28" s="50" t="s">
        <v>403</v>
      </c>
      <c r="N28" s="50" t="s">
        <v>7250</v>
      </c>
      <c r="O28" s="50" t="s">
        <v>7251</v>
      </c>
      <c r="P28" s="50" t="s">
        <v>7252</v>
      </c>
      <c r="Q28" s="50" t="s">
        <v>7254</v>
      </c>
      <c r="R28" s="116"/>
      <c r="S28" s="116"/>
      <c r="T28" s="116"/>
      <c r="U28" s="116"/>
      <c r="V28" s="116"/>
      <c r="W28" s="50">
        <v>7.0</v>
      </c>
      <c r="X28" s="50">
        <v>10.0</v>
      </c>
      <c r="Y28" s="50">
        <v>3.0</v>
      </c>
      <c r="Z28" s="50">
        <v>2.0</v>
      </c>
      <c r="AA28" s="50">
        <v>6.0</v>
      </c>
      <c r="AB28" s="50">
        <v>1.0</v>
      </c>
      <c r="AC28" s="50">
        <v>3.0</v>
      </c>
      <c r="AD28" s="50">
        <v>0.0</v>
      </c>
      <c r="AE28" s="50">
        <v>0.0</v>
      </c>
      <c r="AF28" s="116"/>
      <c r="AG28" s="116"/>
      <c r="AH28" s="116"/>
      <c r="AI28" s="116"/>
      <c r="AJ28" s="116"/>
      <c r="AK28" s="50" t="s">
        <v>7296</v>
      </c>
      <c r="AL28" s="50">
        <v>4.0</v>
      </c>
      <c r="AM28" s="50">
        <v>0.0</v>
      </c>
      <c r="AN28" s="50" t="s">
        <v>6901</v>
      </c>
      <c r="AO28" s="117">
        <v>2942.0</v>
      </c>
      <c r="AP28" s="50" t="s">
        <v>7298</v>
      </c>
      <c r="AQ28" s="50" t="s">
        <v>7299</v>
      </c>
      <c r="AR28" s="117">
        <v>27.0</v>
      </c>
    </row>
    <row r="29">
      <c r="A29" s="50" t="s">
        <v>7291</v>
      </c>
      <c r="B29" s="50" t="s">
        <v>6876</v>
      </c>
      <c r="C29" s="50" t="s">
        <v>6877</v>
      </c>
      <c r="D29" s="50" t="s">
        <v>6878</v>
      </c>
      <c r="E29" s="144">
        <v>43609.0</v>
      </c>
      <c r="F29" s="50" t="s">
        <v>7302</v>
      </c>
      <c r="G29" s="50">
        <v>59.0</v>
      </c>
      <c r="H29" s="50">
        <v>1.0</v>
      </c>
      <c r="I29" s="50">
        <v>11.0</v>
      </c>
      <c r="J29" s="116"/>
      <c r="K29" s="116"/>
      <c r="L29" s="50" t="s">
        <v>408</v>
      </c>
      <c r="M29" s="50" t="s">
        <v>408</v>
      </c>
      <c r="N29" s="50" t="s">
        <v>7303</v>
      </c>
      <c r="O29" s="50" t="s">
        <v>7304</v>
      </c>
      <c r="P29" s="50" t="s">
        <v>7305</v>
      </c>
      <c r="Q29" s="50" t="s">
        <v>7306</v>
      </c>
      <c r="R29" s="116"/>
      <c r="S29" s="116"/>
      <c r="T29" s="116"/>
      <c r="U29" s="116"/>
      <c r="V29" s="116"/>
      <c r="W29" s="50">
        <v>4.0</v>
      </c>
      <c r="X29" s="50">
        <v>1.0</v>
      </c>
      <c r="Y29" s="50">
        <v>3.0</v>
      </c>
      <c r="Z29" s="50">
        <v>13.0</v>
      </c>
      <c r="AA29" s="50">
        <v>3.0</v>
      </c>
      <c r="AB29" s="50">
        <v>1.0</v>
      </c>
      <c r="AC29" s="50">
        <v>3.0</v>
      </c>
      <c r="AD29" s="50">
        <v>2.0</v>
      </c>
      <c r="AE29" s="50">
        <v>0.0</v>
      </c>
      <c r="AF29" s="116"/>
      <c r="AG29" s="116"/>
      <c r="AH29" s="116"/>
      <c r="AI29" s="116"/>
      <c r="AJ29" s="116"/>
      <c r="AK29" s="50" t="s">
        <v>7308</v>
      </c>
      <c r="AL29" s="50">
        <v>4.0</v>
      </c>
      <c r="AM29" s="50">
        <v>0.0</v>
      </c>
      <c r="AN29" s="50" t="s">
        <v>6901</v>
      </c>
      <c r="AO29" s="117">
        <v>2943.0</v>
      </c>
      <c r="AP29" s="50" t="s">
        <v>7312</v>
      </c>
      <c r="AQ29" s="50" t="s">
        <v>7313</v>
      </c>
      <c r="AR29" s="117">
        <v>28.0</v>
      </c>
    </row>
    <row r="30">
      <c r="A30" s="50" t="s">
        <v>7314</v>
      </c>
      <c r="B30" s="50" t="s">
        <v>6876</v>
      </c>
      <c r="C30" s="50" t="s">
        <v>6877</v>
      </c>
      <c r="D30" s="50" t="s">
        <v>6878</v>
      </c>
      <c r="E30" s="144">
        <v>43609.0</v>
      </c>
      <c r="F30" s="50" t="s">
        <v>7315</v>
      </c>
      <c r="G30" s="50">
        <v>59.0</v>
      </c>
      <c r="H30" s="50">
        <v>1.0</v>
      </c>
      <c r="I30" s="50">
        <v>11.0</v>
      </c>
      <c r="J30" s="116"/>
      <c r="K30" s="116"/>
      <c r="L30" s="50" t="s">
        <v>409</v>
      </c>
      <c r="M30" s="50" t="s">
        <v>409</v>
      </c>
      <c r="N30" s="50" t="s">
        <v>7318</v>
      </c>
      <c r="O30" s="50" t="s">
        <v>7319</v>
      </c>
      <c r="P30" s="50" t="s">
        <v>7320</v>
      </c>
      <c r="Q30" s="50" t="s">
        <v>7321</v>
      </c>
      <c r="R30" s="116"/>
      <c r="S30" s="116"/>
      <c r="T30" s="116"/>
      <c r="U30" s="116"/>
      <c r="V30" s="116"/>
      <c r="W30" s="50">
        <v>4.0</v>
      </c>
      <c r="X30" s="50">
        <v>1.0</v>
      </c>
      <c r="Y30" s="50">
        <v>3.0</v>
      </c>
      <c r="Z30" s="50">
        <v>97.0</v>
      </c>
      <c r="AA30" s="50">
        <v>3.0</v>
      </c>
      <c r="AB30" s="50">
        <v>1.0</v>
      </c>
      <c r="AC30" s="50">
        <v>3.0</v>
      </c>
      <c r="AD30" s="50">
        <v>2.0</v>
      </c>
      <c r="AE30" s="50">
        <v>0.0</v>
      </c>
      <c r="AF30" s="116"/>
      <c r="AG30" s="116"/>
      <c r="AH30" s="116"/>
      <c r="AI30" s="116"/>
      <c r="AJ30" s="116"/>
      <c r="AK30" s="50" t="s">
        <v>7323</v>
      </c>
      <c r="AL30" s="50">
        <v>4.0</v>
      </c>
      <c r="AM30" s="50">
        <v>0.0</v>
      </c>
      <c r="AN30" s="50" t="s">
        <v>6901</v>
      </c>
      <c r="AO30" s="117">
        <v>2944.0</v>
      </c>
      <c r="AP30" s="50" t="s">
        <v>7324</v>
      </c>
      <c r="AQ30" s="50" t="s">
        <v>7326</v>
      </c>
      <c r="AR30" s="117">
        <v>29.0</v>
      </c>
    </row>
    <row r="31">
      <c r="A31" s="50" t="s">
        <v>7315</v>
      </c>
      <c r="B31" s="50" t="s">
        <v>6876</v>
      </c>
      <c r="C31" s="50" t="s">
        <v>6877</v>
      </c>
      <c r="D31" s="50" t="s">
        <v>6878</v>
      </c>
      <c r="E31" s="144">
        <v>43609.0</v>
      </c>
      <c r="F31" s="50" t="s">
        <v>7330</v>
      </c>
      <c r="G31" s="50">
        <v>58.0</v>
      </c>
      <c r="H31" s="50">
        <v>1.0</v>
      </c>
      <c r="I31" s="50">
        <v>3.0</v>
      </c>
      <c r="J31" s="116"/>
      <c r="K31" s="116"/>
      <c r="L31" s="50" t="s">
        <v>410</v>
      </c>
      <c r="M31" s="50" t="s">
        <v>410</v>
      </c>
      <c r="N31" s="50" t="s">
        <v>7331</v>
      </c>
      <c r="O31" s="50" t="s">
        <v>7332</v>
      </c>
      <c r="P31" s="50" t="s">
        <v>7333</v>
      </c>
      <c r="Q31" s="50" t="s">
        <v>7335</v>
      </c>
      <c r="R31" s="116"/>
      <c r="S31" s="116"/>
      <c r="T31" s="116"/>
      <c r="U31" s="116"/>
      <c r="V31" s="116"/>
      <c r="W31" s="50">
        <v>7.0</v>
      </c>
      <c r="X31" s="50">
        <v>100.0</v>
      </c>
      <c r="Y31" s="50">
        <v>3.0</v>
      </c>
      <c r="Z31" s="50">
        <v>1.0</v>
      </c>
      <c r="AA31" s="50">
        <v>7.0</v>
      </c>
      <c r="AB31" s="50">
        <v>10.0</v>
      </c>
      <c r="AC31" s="50">
        <v>3.0</v>
      </c>
      <c r="AD31" s="50">
        <v>0.0</v>
      </c>
      <c r="AE31" s="50">
        <v>0.0</v>
      </c>
      <c r="AF31" s="116"/>
      <c r="AG31" s="116"/>
      <c r="AH31" s="116"/>
      <c r="AI31" s="116"/>
      <c r="AJ31" s="116"/>
      <c r="AK31" s="50" t="s">
        <v>7337</v>
      </c>
      <c r="AL31" s="50">
        <v>4.0</v>
      </c>
      <c r="AM31" s="50">
        <v>0.0</v>
      </c>
      <c r="AN31" s="50" t="s">
        <v>6901</v>
      </c>
      <c r="AO31" s="117">
        <v>2945.0</v>
      </c>
      <c r="AP31" s="50" t="s">
        <v>7338</v>
      </c>
      <c r="AQ31" s="50" t="s">
        <v>7339</v>
      </c>
      <c r="AR31" s="117">
        <v>30.0</v>
      </c>
    </row>
    <row r="32">
      <c r="A32" s="50" t="s">
        <v>7340</v>
      </c>
      <c r="B32" s="50" t="s">
        <v>6876</v>
      </c>
      <c r="C32" s="50" t="s">
        <v>6877</v>
      </c>
      <c r="D32" s="50" t="s">
        <v>6907</v>
      </c>
      <c r="E32" s="144">
        <v>43609.0</v>
      </c>
      <c r="F32" s="50" t="s">
        <v>7341</v>
      </c>
      <c r="G32" s="50">
        <v>58.0</v>
      </c>
      <c r="H32" s="50">
        <v>1.0</v>
      </c>
      <c r="I32" s="50">
        <v>2.0</v>
      </c>
      <c r="J32" s="116"/>
      <c r="K32" s="116"/>
      <c r="L32" s="50" t="s">
        <v>413</v>
      </c>
      <c r="M32" s="50" t="s">
        <v>413</v>
      </c>
      <c r="N32" s="50" t="s">
        <v>7344</v>
      </c>
      <c r="O32" s="50" t="s">
        <v>7345</v>
      </c>
      <c r="P32" s="50" t="s">
        <v>7347</v>
      </c>
      <c r="Q32" s="50" t="s">
        <v>7349</v>
      </c>
      <c r="R32" s="50">
        <v>100.0</v>
      </c>
      <c r="S32" s="116"/>
      <c r="T32" s="116"/>
      <c r="U32" s="116"/>
      <c r="V32" s="116"/>
      <c r="W32" s="50">
        <v>7.0</v>
      </c>
      <c r="X32" s="50">
        <v>10.0</v>
      </c>
      <c r="Y32" s="50">
        <v>3.0</v>
      </c>
      <c r="Z32" s="50">
        <v>0.0</v>
      </c>
      <c r="AA32" s="50">
        <v>7.0</v>
      </c>
      <c r="AB32" s="50">
        <v>1.0</v>
      </c>
      <c r="AC32" s="50">
        <v>3.0</v>
      </c>
      <c r="AD32" s="50">
        <v>0.0</v>
      </c>
      <c r="AE32" s="50">
        <v>1.0</v>
      </c>
      <c r="AF32" s="50">
        <v>6.0</v>
      </c>
      <c r="AG32" s="50">
        <v>1.0</v>
      </c>
      <c r="AH32" s="50">
        <v>3.0</v>
      </c>
      <c r="AI32" s="50">
        <v>0.0</v>
      </c>
      <c r="AJ32" s="116"/>
      <c r="AK32" s="50" t="s">
        <v>7352</v>
      </c>
      <c r="AL32" s="50">
        <v>4.0</v>
      </c>
      <c r="AM32" s="50">
        <v>0.0</v>
      </c>
      <c r="AN32" s="50" t="s">
        <v>6901</v>
      </c>
      <c r="AO32" s="117">
        <v>2946.0</v>
      </c>
      <c r="AP32" s="50" t="s">
        <v>7353</v>
      </c>
      <c r="AQ32" s="50" t="s">
        <v>7354</v>
      </c>
      <c r="AR32" s="117">
        <v>31.0</v>
      </c>
    </row>
    <row r="33">
      <c r="A33" s="50" t="s">
        <v>7341</v>
      </c>
      <c r="B33" s="50" t="s">
        <v>6876</v>
      </c>
      <c r="C33" s="50" t="s">
        <v>6877</v>
      </c>
      <c r="D33" s="50" t="s">
        <v>6907</v>
      </c>
      <c r="E33" s="144">
        <v>43609.0</v>
      </c>
      <c r="F33" s="50" t="s">
        <v>7355</v>
      </c>
      <c r="G33" s="50">
        <v>58.0</v>
      </c>
      <c r="H33" s="50">
        <v>1.0</v>
      </c>
      <c r="I33" s="50">
        <v>2.0</v>
      </c>
      <c r="J33" s="116"/>
      <c r="K33" s="116"/>
      <c r="L33" s="50" t="s">
        <v>414</v>
      </c>
      <c r="M33" s="50" t="s">
        <v>414</v>
      </c>
      <c r="N33" s="50" t="s">
        <v>7344</v>
      </c>
      <c r="O33" s="50" t="s">
        <v>7345</v>
      </c>
      <c r="P33" s="50" t="s">
        <v>7347</v>
      </c>
      <c r="Q33" s="50" t="s">
        <v>7349</v>
      </c>
      <c r="R33" s="50">
        <v>198.0</v>
      </c>
      <c r="S33" s="116"/>
      <c r="T33" s="116"/>
      <c r="U33" s="116"/>
      <c r="V33" s="116"/>
      <c r="W33" s="50">
        <v>7.0</v>
      </c>
      <c r="X33" s="50">
        <v>10.0</v>
      </c>
      <c r="Y33" s="50">
        <v>3.0</v>
      </c>
      <c r="Z33" s="50">
        <v>6.0</v>
      </c>
      <c r="AA33" s="50">
        <v>7.0</v>
      </c>
      <c r="AB33" s="50">
        <v>1.0</v>
      </c>
      <c r="AC33" s="50">
        <v>3.0</v>
      </c>
      <c r="AD33" s="50">
        <v>2.0</v>
      </c>
      <c r="AE33" s="50">
        <v>1.0</v>
      </c>
      <c r="AF33" s="50">
        <v>6.0</v>
      </c>
      <c r="AG33" s="50">
        <v>1.0</v>
      </c>
      <c r="AH33" s="50">
        <v>3.0</v>
      </c>
      <c r="AI33" s="50">
        <v>0.0</v>
      </c>
      <c r="AJ33" s="116"/>
      <c r="AK33" s="50" t="s">
        <v>7361</v>
      </c>
      <c r="AL33" s="50">
        <v>4.0</v>
      </c>
      <c r="AM33" s="50">
        <v>0.0</v>
      </c>
      <c r="AN33" s="50" t="s">
        <v>6901</v>
      </c>
      <c r="AO33" s="117">
        <v>2947.0</v>
      </c>
      <c r="AP33" s="50" t="s">
        <v>7363</v>
      </c>
      <c r="AQ33" s="50" t="s">
        <v>7364</v>
      </c>
      <c r="AR33" s="117">
        <v>32.0</v>
      </c>
    </row>
    <row r="34">
      <c r="A34" s="50" t="s">
        <v>7355</v>
      </c>
      <c r="B34" s="50" t="s">
        <v>6876</v>
      </c>
      <c r="C34" s="50" t="s">
        <v>6877</v>
      </c>
      <c r="D34" s="50" t="s">
        <v>6907</v>
      </c>
      <c r="E34" s="144">
        <v>43609.0</v>
      </c>
      <c r="F34" s="50" t="s">
        <v>7366</v>
      </c>
      <c r="G34" s="50">
        <v>58.0</v>
      </c>
      <c r="H34" s="50">
        <v>1.0</v>
      </c>
      <c r="I34" s="50">
        <v>1.0</v>
      </c>
      <c r="J34" s="116"/>
      <c r="K34" s="116"/>
      <c r="L34" s="50" t="s">
        <v>411</v>
      </c>
      <c r="M34" s="50" t="s">
        <v>411</v>
      </c>
      <c r="N34" s="50" t="s">
        <v>7344</v>
      </c>
      <c r="O34" s="50" t="s">
        <v>7345</v>
      </c>
      <c r="P34" s="50" t="s">
        <v>7347</v>
      </c>
      <c r="Q34" s="50" t="s">
        <v>7349</v>
      </c>
      <c r="R34" s="116"/>
      <c r="S34" s="116"/>
      <c r="T34" s="116"/>
      <c r="U34" s="116"/>
      <c r="V34" s="116"/>
      <c r="W34" s="50">
        <v>4.0</v>
      </c>
      <c r="X34" s="50">
        <v>1.0</v>
      </c>
      <c r="Y34" s="50">
        <v>3.0</v>
      </c>
      <c r="Z34" s="50">
        <v>45.0</v>
      </c>
      <c r="AA34" s="50">
        <v>3.0</v>
      </c>
      <c r="AB34" s="50">
        <v>1.0</v>
      </c>
      <c r="AC34" s="50">
        <v>3.0</v>
      </c>
      <c r="AD34" s="50">
        <v>4.0</v>
      </c>
      <c r="AE34" s="50">
        <v>0.0</v>
      </c>
      <c r="AF34" s="116"/>
      <c r="AG34" s="116"/>
      <c r="AH34" s="116"/>
      <c r="AI34" s="116"/>
      <c r="AJ34" s="116"/>
      <c r="AK34" s="50" t="s">
        <v>7369</v>
      </c>
      <c r="AL34" s="50">
        <v>4.0</v>
      </c>
      <c r="AM34" s="50">
        <v>0.0</v>
      </c>
      <c r="AN34" s="50" t="s">
        <v>6901</v>
      </c>
      <c r="AO34" s="117">
        <v>2948.0</v>
      </c>
      <c r="AP34" s="50" t="s">
        <v>7372</v>
      </c>
      <c r="AQ34" s="50" t="s">
        <v>7373</v>
      </c>
      <c r="AR34" s="117">
        <v>33.0</v>
      </c>
    </row>
    <row r="35">
      <c r="A35" s="50" t="s">
        <v>7366</v>
      </c>
      <c r="B35" s="50" t="s">
        <v>6876</v>
      </c>
      <c r="C35" s="50" t="s">
        <v>6877</v>
      </c>
      <c r="D35" s="50" t="s">
        <v>6907</v>
      </c>
      <c r="E35" s="144">
        <v>43609.0</v>
      </c>
      <c r="F35" s="50" t="s">
        <v>7374</v>
      </c>
      <c r="G35" s="50">
        <v>58.0</v>
      </c>
      <c r="H35" s="50">
        <v>1.0</v>
      </c>
      <c r="I35" s="50">
        <v>10.0</v>
      </c>
      <c r="J35" s="116"/>
      <c r="K35" s="116"/>
      <c r="L35" s="50" t="s">
        <v>415</v>
      </c>
      <c r="M35" s="50" t="s">
        <v>415</v>
      </c>
      <c r="N35" s="50" t="s">
        <v>7344</v>
      </c>
      <c r="O35" s="50" t="s">
        <v>7345</v>
      </c>
      <c r="P35" s="50" t="s">
        <v>7347</v>
      </c>
      <c r="Q35" s="50" t="s">
        <v>7349</v>
      </c>
      <c r="R35" s="116"/>
      <c r="S35" s="50">
        <v>300.0</v>
      </c>
      <c r="T35" s="116"/>
      <c r="U35" s="116"/>
      <c r="V35" s="116"/>
      <c r="W35" s="50">
        <v>7.0</v>
      </c>
      <c r="X35" s="50">
        <v>10.0</v>
      </c>
      <c r="Y35" s="50">
        <v>3.0</v>
      </c>
      <c r="Z35" s="50">
        <v>23.0</v>
      </c>
      <c r="AA35" s="50">
        <v>7.0</v>
      </c>
      <c r="AB35" s="50">
        <v>1.0</v>
      </c>
      <c r="AC35" s="50">
        <v>3.0</v>
      </c>
      <c r="AD35" s="50">
        <v>6.0</v>
      </c>
      <c r="AE35" s="50">
        <v>1.0</v>
      </c>
      <c r="AF35" s="50">
        <v>6.0</v>
      </c>
      <c r="AG35" s="50">
        <v>1.0</v>
      </c>
      <c r="AH35" s="50">
        <v>3.0</v>
      </c>
      <c r="AI35" s="50">
        <v>2.0</v>
      </c>
      <c r="AJ35" s="116"/>
      <c r="AK35" s="50" t="s">
        <v>7378</v>
      </c>
      <c r="AL35" s="50">
        <v>4.0</v>
      </c>
      <c r="AM35" s="50">
        <v>0.0</v>
      </c>
      <c r="AN35" s="50" t="s">
        <v>6901</v>
      </c>
      <c r="AO35" s="117">
        <v>2949.0</v>
      </c>
      <c r="AP35" s="50" t="s">
        <v>7381</v>
      </c>
      <c r="AQ35" s="50" t="s">
        <v>7383</v>
      </c>
      <c r="AR35" s="117">
        <v>34.0</v>
      </c>
    </row>
    <row r="36">
      <c r="A36" s="50" t="s">
        <v>7385</v>
      </c>
      <c r="B36" s="50" t="s">
        <v>6876</v>
      </c>
      <c r="C36" s="50" t="s">
        <v>6877</v>
      </c>
      <c r="D36" s="50" t="s">
        <v>6878</v>
      </c>
      <c r="E36" s="144">
        <v>43612.0</v>
      </c>
      <c r="F36" s="50" t="s">
        <v>7387</v>
      </c>
      <c r="G36" s="50">
        <v>58.0</v>
      </c>
      <c r="H36" s="50">
        <v>1.0</v>
      </c>
      <c r="I36" s="50">
        <v>5.0</v>
      </c>
      <c r="J36" s="116"/>
      <c r="K36" s="116"/>
      <c r="L36" s="50" t="s">
        <v>418</v>
      </c>
      <c r="M36" s="50" t="s">
        <v>418</v>
      </c>
      <c r="N36" s="50" t="s">
        <v>7388</v>
      </c>
      <c r="O36" s="50" t="s">
        <v>7332</v>
      </c>
      <c r="P36" s="50" t="s">
        <v>7333</v>
      </c>
      <c r="Q36" s="50" t="s">
        <v>7335</v>
      </c>
      <c r="R36" s="116"/>
      <c r="S36" s="116"/>
      <c r="T36" s="116"/>
      <c r="U36" s="116"/>
      <c r="V36" s="116"/>
      <c r="W36" s="50">
        <v>7.0</v>
      </c>
      <c r="X36" s="50">
        <v>10.0</v>
      </c>
      <c r="Y36" s="50">
        <v>1.0</v>
      </c>
      <c r="Z36" s="116"/>
      <c r="AA36" s="50">
        <v>7.0</v>
      </c>
      <c r="AB36" s="50">
        <v>1.0</v>
      </c>
      <c r="AC36" s="50">
        <v>1.0</v>
      </c>
      <c r="AD36" s="116"/>
      <c r="AE36" s="50">
        <v>0.0</v>
      </c>
      <c r="AF36" s="116"/>
      <c r="AG36" s="116"/>
      <c r="AH36" s="116"/>
      <c r="AI36" s="116"/>
      <c r="AJ36" s="116"/>
      <c r="AK36" s="50" t="s">
        <v>7391</v>
      </c>
      <c r="AL36" s="50">
        <v>4.0</v>
      </c>
      <c r="AM36" s="50">
        <v>0.0</v>
      </c>
      <c r="AN36" s="50" t="s">
        <v>6901</v>
      </c>
      <c r="AO36" s="117">
        <v>2950.0</v>
      </c>
      <c r="AP36" s="50" t="s">
        <v>7392</v>
      </c>
      <c r="AQ36" s="50" t="s">
        <v>7393</v>
      </c>
      <c r="AR36" s="117">
        <v>35.0</v>
      </c>
    </row>
    <row r="37">
      <c r="A37" s="50" t="s">
        <v>7387</v>
      </c>
      <c r="B37" s="50" t="s">
        <v>6876</v>
      </c>
      <c r="C37" s="50" t="s">
        <v>6877</v>
      </c>
      <c r="D37" s="50" t="s">
        <v>6878</v>
      </c>
      <c r="E37" s="144">
        <v>43612.0</v>
      </c>
      <c r="F37" s="50" t="s">
        <v>7397</v>
      </c>
      <c r="G37" s="50">
        <v>58.0</v>
      </c>
      <c r="H37" s="50">
        <v>1.0</v>
      </c>
      <c r="I37" s="50">
        <v>10.0</v>
      </c>
      <c r="J37" s="116"/>
      <c r="K37" s="116"/>
      <c r="L37" s="50" t="s">
        <v>417</v>
      </c>
      <c r="M37" s="50" t="s">
        <v>417</v>
      </c>
      <c r="N37" s="50" t="s">
        <v>7399</v>
      </c>
      <c r="O37" s="50" t="s">
        <v>7400</v>
      </c>
      <c r="P37" s="50" t="s">
        <v>7401</v>
      </c>
      <c r="Q37" s="50" t="s">
        <v>7335</v>
      </c>
      <c r="R37" s="116"/>
      <c r="S37" s="50">
        <v>300.0</v>
      </c>
      <c r="T37" s="116"/>
      <c r="U37" s="116"/>
      <c r="V37" s="116"/>
      <c r="W37" s="50">
        <v>7.0</v>
      </c>
      <c r="X37" s="50">
        <v>10.0</v>
      </c>
      <c r="Y37" s="50">
        <v>3.0</v>
      </c>
      <c r="Z37" s="50">
        <v>1.0</v>
      </c>
      <c r="AA37" s="50">
        <v>7.0</v>
      </c>
      <c r="AB37" s="50">
        <v>1.0</v>
      </c>
      <c r="AC37" s="50">
        <v>3.0</v>
      </c>
      <c r="AD37" s="50">
        <v>0.0</v>
      </c>
      <c r="AE37" s="50">
        <v>1.0</v>
      </c>
      <c r="AF37" s="50">
        <v>6.0</v>
      </c>
      <c r="AG37" s="50">
        <v>1.0</v>
      </c>
      <c r="AH37" s="50">
        <v>3.0</v>
      </c>
      <c r="AI37" s="50">
        <v>0.0</v>
      </c>
      <c r="AJ37" s="116"/>
      <c r="AK37" s="50" t="s">
        <v>7403</v>
      </c>
      <c r="AL37" s="50">
        <v>4.0</v>
      </c>
      <c r="AM37" s="50">
        <v>0.0</v>
      </c>
      <c r="AN37" s="50" t="s">
        <v>6901</v>
      </c>
      <c r="AO37" s="117">
        <v>2959.0</v>
      </c>
      <c r="AP37" s="50" t="s">
        <v>7404</v>
      </c>
      <c r="AQ37" s="50" t="s">
        <v>7405</v>
      </c>
      <c r="AR37" s="117">
        <v>36.0</v>
      </c>
    </row>
    <row r="38">
      <c r="A38" s="50" t="s">
        <v>7397</v>
      </c>
      <c r="B38" s="50" t="s">
        <v>6876</v>
      </c>
      <c r="C38" s="50" t="s">
        <v>6877</v>
      </c>
      <c r="D38" s="50" t="s">
        <v>6878</v>
      </c>
      <c r="E38" s="144">
        <v>43612.0</v>
      </c>
      <c r="F38" s="50" t="s">
        <v>7407</v>
      </c>
      <c r="G38" s="50">
        <v>58.0</v>
      </c>
      <c r="H38" s="50">
        <v>1.0</v>
      </c>
      <c r="I38" s="50">
        <v>3.0</v>
      </c>
      <c r="J38" s="116"/>
      <c r="K38" s="116"/>
      <c r="L38" s="50" t="s">
        <v>421</v>
      </c>
      <c r="M38" s="50" t="s">
        <v>421</v>
      </c>
      <c r="N38" s="50" t="s">
        <v>7411</v>
      </c>
      <c r="O38" s="50" t="s">
        <v>7412</v>
      </c>
      <c r="P38" s="50" t="s">
        <v>7413</v>
      </c>
      <c r="Q38" s="50" t="s">
        <v>7414</v>
      </c>
      <c r="R38" s="116"/>
      <c r="S38" s="116"/>
      <c r="T38" s="116"/>
      <c r="U38" s="116"/>
      <c r="V38" s="116"/>
      <c r="W38" s="50">
        <v>7.0</v>
      </c>
      <c r="X38" s="50">
        <v>100.0</v>
      </c>
      <c r="Y38" s="50">
        <v>3.0</v>
      </c>
      <c r="Z38" s="50">
        <v>0.0</v>
      </c>
      <c r="AA38" s="50">
        <v>7.0</v>
      </c>
      <c r="AB38" s="50">
        <v>10.0</v>
      </c>
      <c r="AC38" s="50">
        <v>3.0</v>
      </c>
      <c r="AD38" s="50">
        <v>0.0</v>
      </c>
      <c r="AE38" s="50">
        <v>0.0</v>
      </c>
      <c r="AF38" s="116"/>
      <c r="AG38" s="116"/>
      <c r="AH38" s="116"/>
      <c r="AI38" s="116"/>
      <c r="AJ38" s="116"/>
      <c r="AK38" s="50" t="s">
        <v>7417</v>
      </c>
      <c r="AL38" s="50">
        <v>4.0</v>
      </c>
      <c r="AM38" s="50">
        <v>0.0</v>
      </c>
      <c r="AN38" s="50" t="s">
        <v>6901</v>
      </c>
      <c r="AO38" s="117">
        <v>2960.0</v>
      </c>
      <c r="AP38" s="50" t="s">
        <v>7418</v>
      </c>
      <c r="AQ38" s="50" t="s">
        <v>7419</v>
      </c>
      <c r="AR38" s="117">
        <v>37.0</v>
      </c>
    </row>
    <row r="39">
      <c r="A39" s="50" t="s">
        <v>7407</v>
      </c>
      <c r="B39" s="50" t="s">
        <v>6876</v>
      </c>
      <c r="C39" s="50" t="s">
        <v>6877</v>
      </c>
      <c r="D39" s="50" t="s">
        <v>6878</v>
      </c>
      <c r="E39" s="144">
        <v>43612.0</v>
      </c>
      <c r="F39" s="50" t="s">
        <v>7420</v>
      </c>
      <c r="G39" s="50">
        <v>58.0</v>
      </c>
      <c r="H39" s="50">
        <v>1.0</v>
      </c>
      <c r="I39" s="50">
        <v>7.0</v>
      </c>
      <c r="J39" s="116"/>
      <c r="K39" s="116"/>
      <c r="L39" s="50" t="s">
        <v>425</v>
      </c>
      <c r="M39" s="50" t="s">
        <v>425</v>
      </c>
      <c r="N39" s="50" t="s">
        <v>7421</v>
      </c>
      <c r="O39" s="50" t="s">
        <v>7412</v>
      </c>
      <c r="P39" s="50" t="s">
        <v>7413</v>
      </c>
      <c r="Q39" s="50" t="s">
        <v>7414</v>
      </c>
      <c r="R39" s="116"/>
      <c r="S39" s="116"/>
      <c r="T39" s="116"/>
      <c r="U39" s="116"/>
      <c r="V39" s="116"/>
      <c r="W39" s="50">
        <v>7.0</v>
      </c>
      <c r="X39" s="50">
        <v>10.0</v>
      </c>
      <c r="Y39" s="50">
        <v>3.0</v>
      </c>
      <c r="Z39" s="50">
        <v>34.0</v>
      </c>
      <c r="AA39" s="50">
        <v>6.0</v>
      </c>
      <c r="AB39" s="50">
        <v>1.0</v>
      </c>
      <c r="AC39" s="50">
        <v>3.0</v>
      </c>
      <c r="AD39" s="50">
        <v>0.0</v>
      </c>
      <c r="AE39" s="50">
        <v>0.0</v>
      </c>
      <c r="AF39" s="116"/>
      <c r="AG39" s="116"/>
      <c r="AH39" s="116"/>
      <c r="AI39" s="116"/>
      <c r="AJ39" s="116"/>
      <c r="AK39" s="50" t="s">
        <v>7426</v>
      </c>
      <c r="AL39" s="50">
        <v>4.0</v>
      </c>
      <c r="AM39" s="50">
        <v>0.0</v>
      </c>
      <c r="AN39" s="50" t="s">
        <v>6901</v>
      </c>
      <c r="AO39" s="117">
        <v>2961.0</v>
      </c>
      <c r="AP39" s="50" t="s">
        <v>7427</v>
      </c>
      <c r="AQ39" s="50" t="s">
        <v>7428</v>
      </c>
      <c r="AR39" s="117">
        <v>38.0</v>
      </c>
    </row>
    <row r="40">
      <c r="A40" s="50" t="s">
        <v>7420</v>
      </c>
      <c r="B40" s="50" t="s">
        <v>6876</v>
      </c>
      <c r="C40" s="50" t="s">
        <v>6877</v>
      </c>
      <c r="D40" s="50" t="s">
        <v>6878</v>
      </c>
      <c r="E40" s="144">
        <v>43612.0</v>
      </c>
      <c r="F40" s="50" t="s">
        <v>7431</v>
      </c>
      <c r="G40" s="50">
        <v>58.0</v>
      </c>
      <c r="H40" s="50">
        <v>1.0</v>
      </c>
      <c r="I40" s="50">
        <v>7.0</v>
      </c>
      <c r="J40" s="116"/>
      <c r="K40" s="116"/>
      <c r="L40" s="50" t="s">
        <v>427</v>
      </c>
      <c r="M40" s="50" t="s">
        <v>427</v>
      </c>
      <c r="N40" s="50" t="s">
        <v>7421</v>
      </c>
      <c r="O40" s="50" t="s">
        <v>7412</v>
      </c>
      <c r="P40" s="50" t="s">
        <v>7413</v>
      </c>
      <c r="Q40" s="50" t="s">
        <v>7414</v>
      </c>
      <c r="R40" s="116"/>
      <c r="S40" s="116"/>
      <c r="T40" s="116"/>
      <c r="U40" s="116"/>
      <c r="V40" s="116"/>
      <c r="W40" s="50">
        <v>7.0</v>
      </c>
      <c r="X40" s="50">
        <v>10.0</v>
      </c>
      <c r="Y40" s="50">
        <v>3.0</v>
      </c>
      <c r="Z40" s="50">
        <v>2.0</v>
      </c>
      <c r="AA40" s="50">
        <v>6.0</v>
      </c>
      <c r="AB40" s="50">
        <v>1.0</v>
      </c>
      <c r="AC40" s="50">
        <v>3.0</v>
      </c>
      <c r="AD40" s="50">
        <v>0.0</v>
      </c>
      <c r="AE40" s="50">
        <v>0.0</v>
      </c>
      <c r="AF40" s="116"/>
      <c r="AG40" s="116"/>
      <c r="AH40" s="116"/>
      <c r="AI40" s="116"/>
      <c r="AJ40" s="116"/>
      <c r="AK40" s="50" t="s">
        <v>7434</v>
      </c>
      <c r="AL40" s="50">
        <v>4.0</v>
      </c>
      <c r="AM40" s="50">
        <v>0.0</v>
      </c>
      <c r="AN40" s="50" t="s">
        <v>6901</v>
      </c>
      <c r="AO40" s="117">
        <v>2962.0</v>
      </c>
      <c r="AP40" s="50" t="s">
        <v>7437</v>
      </c>
      <c r="AQ40" s="50" t="s">
        <v>7438</v>
      </c>
      <c r="AR40" s="117">
        <v>39.0</v>
      </c>
    </row>
    <row r="41">
      <c r="A41" s="50" t="s">
        <v>7431</v>
      </c>
      <c r="B41" s="50" t="s">
        <v>6876</v>
      </c>
      <c r="C41" s="50" t="s">
        <v>6877</v>
      </c>
      <c r="D41" s="50" t="s">
        <v>6878</v>
      </c>
      <c r="E41" s="144">
        <v>43612.0</v>
      </c>
      <c r="F41" s="50" t="s">
        <v>7439</v>
      </c>
      <c r="G41" s="50">
        <v>58.0</v>
      </c>
      <c r="H41" s="50">
        <v>1.0</v>
      </c>
      <c r="I41" s="50">
        <v>7.0</v>
      </c>
      <c r="J41" s="116"/>
      <c r="K41" s="116"/>
      <c r="L41" s="50" t="s">
        <v>428</v>
      </c>
      <c r="M41" s="50" t="s">
        <v>428</v>
      </c>
      <c r="N41" s="50" t="s">
        <v>7421</v>
      </c>
      <c r="O41" s="50" t="s">
        <v>7412</v>
      </c>
      <c r="P41" s="50" t="s">
        <v>7413</v>
      </c>
      <c r="Q41" s="50" t="s">
        <v>7414</v>
      </c>
      <c r="R41" s="116"/>
      <c r="S41" s="116"/>
      <c r="T41" s="116"/>
      <c r="U41" s="116"/>
      <c r="V41" s="116"/>
      <c r="W41" s="50">
        <v>7.0</v>
      </c>
      <c r="X41" s="50">
        <v>10.0</v>
      </c>
      <c r="Y41" s="50">
        <v>3.0</v>
      </c>
      <c r="Z41" s="50">
        <v>20.0</v>
      </c>
      <c r="AA41" s="50">
        <v>6.0</v>
      </c>
      <c r="AB41" s="50">
        <v>1.0</v>
      </c>
      <c r="AC41" s="50">
        <v>3.0</v>
      </c>
      <c r="AD41" s="50">
        <v>4.0</v>
      </c>
      <c r="AE41" s="50">
        <v>0.0</v>
      </c>
      <c r="AF41" s="116"/>
      <c r="AG41" s="116"/>
      <c r="AH41" s="116"/>
      <c r="AI41" s="116"/>
      <c r="AJ41" s="116"/>
      <c r="AK41" s="50" t="s">
        <v>7442</v>
      </c>
      <c r="AL41" s="50">
        <v>4.0</v>
      </c>
      <c r="AM41" s="50">
        <v>0.0</v>
      </c>
      <c r="AN41" s="50" t="s">
        <v>6901</v>
      </c>
      <c r="AO41" s="117">
        <v>2963.0</v>
      </c>
      <c r="AP41" s="50" t="s">
        <v>7444</v>
      </c>
      <c r="AQ41" s="50" t="s">
        <v>7445</v>
      </c>
      <c r="AR41" s="117">
        <v>40.0</v>
      </c>
    </row>
    <row r="42">
      <c r="A42" s="50" t="s">
        <v>7446</v>
      </c>
      <c r="B42" s="50" t="s">
        <v>6876</v>
      </c>
      <c r="C42" s="50" t="s">
        <v>6877</v>
      </c>
      <c r="D42" s="50" t="s">
        <v>6878</v>
      </c>
      <c r="E42" s="144">
        <v>43612.0</v>
      </c>
      <c r="F42" s="50" t="s">
        <v>7449</v>
      </c>
      <c r="G42" s="50">
        <v>58.0</v>
      </c>
      <c r="H42" s="50">
        <v>1.0</v>
      </c>
      <c r="I42" s="50">
        <v>11.0</v>
      </c>
      <c r="J42" s="116"/>
      <c r="K42" s="116"/>
      <c r="L42" s="50" t="s">
        <v>419</v>
      </c>
      <c r="M42" s="50" t="s">
        <v>419</v>
      </c>
      <c r="N42" s="50" t="s">
        <v>7421</v>
      </c>
      <c r="O42" s="50" t="s">
        <v>7452</v>
      </c>
      <c r="P42" s="50" t="s">
        <v>7413</v>
      </c>
      <c r="Q42" s="50" t="s">
        <v>7414</v>
      </c>
      <c r="R42" s="116"/>
      <c r="S42" s="116"/>
      <c r="T42" s="116"/>
      <c r="U42" s="116"/>
      <c r="V42" s="116"/>
      <c r="W42" s="50">
        <v>3.0</v>
      </c>
      <c r="X42" s="50">
        <v>1.0</v>
      </c>
      <c r="Y42" s="50">
        <v>3.0</v>
      </c>
      <c r="Z42" s="50">
        <v>2.0</v>
      </c>
      <c r="AA42" s="50">
        <v>2.0</v>
      </c>
      <c r="AB42" s="50">
        <v>1.0</v>
      </c>
      <c r="AC42" s="50">
        <v>3.0</v>
      </c>
      <c r="AD42" s="50">
        <v>0.0</v>
      </c>
      <c r="AE42" s="50">
        <v>1.0</v>
      </c>
      <c r="AF42" s="50">
        <v>1.0</v>
      </c>
      <c r="AG42" s="50">
        <v>1.0</v>
      </c>
      <c r="AH42" s="50">
        <v>3.0</v>
      </c>
      <c r="AI42" s="50">
        <v>0.0</v>
      </c>
      <c r="AJ42" s="116"/>
      <c r="AK42" s="50" t="s">
        <v>7455</v>
      </c>
      <c r="AL42" s="50">
        <v>4.0</v>
      </c>
      <c r="AM42" s="50">
        <v>0.0</v>
      </c>
      <c r="AN42" s="50" t="s">
        <v>6901</v>
      </c>
      <c r="AO42" s="117">
        <v>2964.0</v>
      </c>
      <c r="AP42" s="50" t="s">
        <v>7456</v>
      </c>
      <c r="AQ42" s="50" t="s">
        <v>7457</v>
      </c>
      <c r="AR42" s="117">
        <v>41.0</v>
      </c>
    </row>
    <row r="43">
      <c r="A43" s="50" t="s">
        <v>7449</v>
      </c>
      <c r="B43" s="50" t="s">
        <v>6876</v>
      </c>
      <c r="C43" s="50" t="s">
        <v>6877</v>
      </c>
      <c r="D43" s="50" t="s">
        <v>6878</v>
      </c>
      <c r="E43" s="144">
        <v>43612.0</v>
      </c>
      <c r="F43" s="50" t="s">
        <v>7458</v>
      </c>
      <c r="G43" s="50">
        <v>58.0</v>
      </c>
      <c r="H43" s="50">
        <v>1.0</v>
      </c>
      <c r="I43" s="50">
        <v>98.0</v>
      </c>
      <c r="J43" s="116"/>
      <c r="K43" s="116"/>
      <c r="L43" s="50" t="s">
        <v>7459</v>
      </c>
      <c r="M43" s="50" t="s">
        <v>7459</v>
      </c>
      <c r="N43" s="50" t="s">
        <v>7460</v>
      </c>
      <c r="O43" s="50" t="s">
        <v>7460</v>
      </c>
      <c r="P43" s="50" t="s">
        <v>7413</v>
      </c>
      <c r="Q43" s="50" t="s">
        <v>7414</v>
      </c>
      <c r="R43" s="116"/>
      <c r="S43" s="116"/>
      <c r="T43" s="116"/>
      <c r="U43" s="116"/>
      <c r="V43" s="116"/>
      <c r="W43" s="50">
        <v>7.0</v>
      </c>
      <c r="X43" s="50">
        <v>100.0</v>
      </c>
      <c r="Y43" s="50">
        <v>3.0</v>
      </c>
      <c r="Z43" s="50">
        <v>0.0</v>
      </c>
      <c r="AA43" s="116"/>
      <c r="AB43" s="116"/>
      <c r="AC43" s="116"/>
      <c r="AD43" s="116"/>
      <c r="AE43" s="116"/>
      <c r="AF43" s="116"/>
      <c r="AG43" s="116"/>
      <c r="AH43" s="116"/>
      <c r="AI43" s="116"/>
      <c r="AJ43" s="116"/>
      <c r="AK43" s="50" t="s">
        <v>7465</v>
      </c>
      <c r="AL43" s="50">
        <v>4.0</v>
      </c>
      <c r="AM43" s="50">
        <v>0.0</v>
      </c>
      <c r="AN43" s="50" t="s">
        <v>6901</v>
      </c>
      <c r="AO43" s="117">
        <v>2965.0</v>
      </c>
      <c r="AP43" s="50" t="s">
        <v>7466</v>
      </c>
      <c r="AQ43" s="50" t="s">
        <v>7467</v>
      </c>
      <c r="AR43" s="117">
        <v>42.0</v>
      </c>
    </row>
    <row r="44">
      <c r="A44" s="50" t="s">
        <v>7458</v>
      </c>
      <c r="B44" s="50" t="s">
        <v>6876</v>
      </c>
      <c r="C44" s="50" t="s">
        <v>6877</v>
      </c>
      <c r="D44" s="50" t="s">
        <v>6878</v>
      </c>
      <c r="E44" s="144">
        <v>43612.0</v>
      </c>
      <c r="F44" s="50" t="s">
        <v>7470</v>
      </c>
      <c r="G44" s="50">
        <v>59.0</v>
      </c>
      <c r="H44" s="50">
        <v>1.0</v>
      </c>
      <c r="I44" s="50">
        <v>11.0</v>
      </c>
      <c r="J44" s="116"/>
      <c r="K44" s="116"/>
      <c r="L44" s="50" t="s">
        <v>429</v>
      </c>
      <c r="M44" s="50" t="s">
        <v>429</v>
      </c>
      <c r="N44" s="50" t="s">
        <v>7471</v>
      </c>
      <c r="O44" s="50" t="s">
        <v>7472</v>
      </c>
      <c r="P44" s="50" t="s">
        <v>7473</v>
      </c>
      <c r="Q44" s="50" t="s">
        <v>7474</v>
      </c>
      <c r="R44" s="116"/>
      <c r="S44" s="116"/>
      <c r="T44" s="116"/>
      <c r="U44" s="116"/>
      <c r="V44" s="116"/>
      <c r="W44" s="50">
        <v>3.0</v>
      </c>
      <c r="X44" s="50">
        <v>1.0</v>
      </c>
      <c r="Y44" s="50">
        <v>3.0</v>
      </c>
      <c r="Z44" s="50">
        <v>42.0</v>
      </c>
      <c r="AA44" s="50">
        <v>2.0</v>
      </c>
      <c r="AB44" s="50">
        <v>1.0</v>
      </c>
      <c r="AC44" s="50">
        <v>3.0</v>
      </c>
      <c r="AD44" s="50">
        <v>8.0</v>
      </c>
      <c r="AE44" s="50">
        <v>1.0</v>
      </c>
      <c r="AF44" s="50">
        <v>1.0</v>
      </c>
      <c r="AG44" s="50">
        <v>1.0</v>
      </c>
      <c r="AH44" s="50">
        <v>3.0</v>
      </c>
      <c r="AI44" s="50">
        <v>3.0</v>
      </c>
      <c r="AJ44" s="116"/>
      <c r="AK44" s="50" t="s">
        <v>7476</v>
      </c>
      <c r="AL44" s="50">
        <v>4.0</v>
      </c>
      <c r="AM44" s="50">
        <v>0.0</v>
      </c>
      <c r="AN44" s="50" t="s">
        <v>6901</v>
      </c>
      <c r="AO44" s="117">
        <v>2983.0</v>
      </c>
      <c r="AP44" s="50" t="s">
        <v>7477</v>
      </c>
      <c r="AQ44" s="50" t="s">
        <v>7478</v>
      </c>
      <c r="AR44" s="117">
        <v>43.0</v>
      </c>
    </row>
    <row r="45">
      <c r="A45" s="50" t="s">
        <v>7480</v>
      </c>
      <c r="B45" s="50" t="s">
        <v>6876</v>
      </c>
      <c r="C45" s="50" t="s">
        <v>6877</v>
      </c>
      <c r="D45" s="50" t="s">
        <v>6878</v>
      </c>
      <c r="E45" s="144">
        <v>43620.0</v>
      </c>
      <c r="F45" s="50" t="s">
        <v>7483</v>
      </c>
      <c r="G45" s="50">
        <v>59.0</v>
      </c>
      <c r="H45" s="50">
        <v>1.0</v>
      </c>
      <c r="I45" s="50">
        <v>11.0</v>
      </c>
      <c r="J45" s="116"/>
      <c r="K45" s="116"/>
      <c r="L45" s="50" t="s">
        <v>432</v>
      </c>
      <c r="M45" s="50" t="s">
        <v>432</v>
      </c>
      <c r="N45" s="50" t="s">
        <v>7485</v>
      </c>
      <c r="O45" s="50" t="s">
        <v>7486</v>
      </c>
      <c r="P45" s="50" t="s">
        <v>7487</v>
      </c>
      <c r="Q45" s="50" t="s">
        <v>7488</v>
      </c>
      <c r="R45" s="116"/>
      <c r="S45" s="116"/>
      <c r="T45" s="116"/>
      <c r="U45" s="116"/>
      <c r="V45" s="116"/>
      <c r="W45" s="50">
        <v>4.0</v>
      </c>
      <c r="X45" s="50">
        <v>1.0</v>
      </c>
      <c r="Y45" s="50">
        <v>1.0</v>
      </c>
      <c r="Z45" s="116"/>
      <c r="AA45" s="50">
        <v>3.0</v>
      </c>
      <c r="AB45" s="50">
        <v>1.0</v>
      </c>
      <c r="AC45" s="50">
        <v>3.0</v>
      </c>
      <c r="AD45" s="50">
        <v>2.0</v>
      </c>
      <c r="AE45" s="50">
        <v>1.0</v>
      </c>
      <c r="AF45" s="50">
        <v>2.0</v>
      </c>
      <c r="AG45" s="50">
        <v>1.0</v>
      </c>
      <c r="AH45" s="50">
        <v>3.0</v>
      </c>
      <c r="AI45" s="50">
        <v>1.0</v>
      </c>
      <c r="AJ45" s="116"/>
      <c r="AK45" s="50" t="s">
        <v>7491</v>
      </c>
      <c r="AL45" s="50" t="s">
        <v>6922</v>
      </c>
      <c r="AM45" s="50">
        <v>0.0</v>
      </c>
      <c r="AN45" s="50" t="s">
        <v>6901</v>
      </c>
      <c r="AO45" s="117">
        <v>3054.0</v>
      </c>
      <c r="AP45" s="50" t="s">
        <v>7492</v>
      </c>
      <c r="AQ45" s="50" t="s">
        <v>7493</v>
      </c>
      <c r="AR45" s="117">
        <v>44.0</v>
      </c>
    </row>
    <row r="46">
      <c r="A46" s="50" t="s">
        <v>7494</v>
      </c>
      <c r="B46" s="50" t="s">
        <v>6876</v>
      </c>
      <c r="C46" s="50" t="s">
        <v>6877</v>
      </c>
      <c r="D46" s="50" t="s">
        <v>6878</v>
      </c>
      <c r="E46" s="144">
        <v>43620.0</v>
      </c>
      <c r="F46" s="50" t="s">
        <v>7495</v>
      </c>
      <c r="G46" s="50">
        <v>57.0</v>
      </c>
      <c r="H46" s="50">
        <v>1.0</v>
      </c>
      <c r="I46" s="50">
        <v>2.0</v>
      </c>
      <c r="J46" s="116"/>
      <c r="K46" s="116"/>
      <c r="L46" s="50" t="s">
        <v>435</v>
      </c>
      <c r="M46" s="50" t="s">
        <v>435</v>
      </c>
      <c r="N46" s="50" t="s">
        <v>7498</v>
      </c>
      <c r="O46" s="50" t="s">
        <v>7499</v>
      </c>
      <c r="P46" s="50" t="s">
        <v>7487</v>
      </c>
      <c r="Q46" s="50" t="s">
        <v>7488</v>
      </c>
      <c r="R46" s="50">
        <v>57.8</v>
      </c>
      <c r="S46" s="116"/>
      <c r="T46" s="116"/>
      <c r="U46" s="116"/>
      <c r="V46" s="116"/>
      <c r="W46" s="50">
        <v>7.0</v>
      </c>
      <c r="X46" s="50">
        <v>10.0</v>
      </c>
      <c r="Y46" s="50">
        <v>3.0</v>
      </c>
      <c r="Z46" s="50">
        <v>0.0</v>
      </c>
      <c r="AA46" s="50">
        <v>7.0</v>
      </c>
      <c r="AB46" s="50">
        <v>1.0</v>
      </c>
      <c r="AC46" s="50">
        <v>3.0</v>
      </c>
      <c r="AD46" s="50">
        <v>0.0</v>
      </c>
      <c r="AE46" s="50">
        <v>1.0</v>
      </c>
      <c r="AF46" s="50">
        <v>6.0</v>
      </c>
      <c r="AG46" s="50">
        <v>1.0</v>
      </c>
      <c r="AH46" s="50">
        <v>3.0</v>
      </c>
      <c r="AI46" s="50">
        <v>0.0</v>
      </c>
      <c r="AJ46" s="116"/>
      <c r="AK46" s="50" t="s">
        <v>7504</v>
      </c>
      <c r="AL46" s="50" t="s">
        <v>7080</v>
      </c>
      <c r="AM46" s="50">
        <v>0.0</v>
      </c>
      <c r="AN46" s="50" t="s">
        <v>6901</v>
      </c>
      <c r="AO46" s="117">
        <v>3055.0</v>
      </c>
      <c r="AP46" s="50" t="s">
        <v>7505</v>
      </c>
      <c r="AQ46" s="50" t="s">
        <v>7506</v>
      </c>
      <c r="AR46" s="117">
        <v>45.0</v>
      </c>
    </row>
    <row r="47">
      <c r="A47" s="50" t="s">
        <v>7495</v>
      </c>
      <c r="B47" s="50" t="s">
        <v>6876</v>
      </c>
      <c r="C47" s="50" t="s">
        <v>6877</v>
      </c>
      <c r="D47" s="50" t="s">
        <v>6878</v>
      </c>
      <c r="E47" s="144">
        <v>43620.0</v>
      </c>
      <c r="F47" s="50" t="s">
        <v>7507</v>
      </c>
      <c r="G47" s="50">
        <v>57.0</v>
      </c>
      <c r="H47" s="50">
        <v>1.0</v>
      </c>
      <c r="I47" s="50">
        <v>8.0</v>
      </c>
      <c r="J47" s="116"/>
      <c r="K47" s="116"/>
      <c r="L47" s="50" t="s">
        <v>436</v>
      </c>
      <c r="M47" s="50" t="s">
        <v>436</v>
      </c>
      <c r="N47" s="50" t="s">
        <v>7510</v>
      </c>
      <c r="O47" s="50" t="s">
        <v>7499</v>
      </c>
      <c r="P47" s="50" t="s">
        <v>7487</v>
      </c>
      <c r="Q47" s="50" t="s">
        <v>7513</v>
      </c>
      <c r="R47" s="116"/>
      <c r="S47" s="116"/>
      <c r="T47" s="116"/>
      <c r="U47" s="50">
        <v>117.0</v>
      </c>
      <c r="V47" s="116"/>
      <c r="W47" s="50">
        <v>7.0</v>
      </c>
      <c r="X47" s="50">
        <v>1.0</v>
      </c>
      <c r="Y47" s="50">
        <v>2.0</v>
      </c>
      <c r="Z47" s="116"/>
      <c r="AA47" s="50">
        <v>6.0</v>
      </c>
      <c r="AB47" s="50">
        <v>1.0</v>
      </c>
      <c r="AC47" s="50">
        <v>2.0</v>
      </c>
      <c r="AD47" s="116"/>
      <c r="AE47" s="50">
        <v>1.0</v>
      </c>
      <c r="AF47" s="50">
        <v>5.0</v>
      </c>
      <c r="AG47" s="50">
        <v>1.0</v>
      </c>
      <c r="AH47" s="50">
        <v>3.0</v>
      </c>
      <c r="AI47" s="50">
        <v>101.0</v>
      </c>
      <c r="AJ47" s="116"/>
      <c r="AK47" s="50" t="s">
        <v>7516</v>
      </c>
      <c r="AL47" s="50" t="s">
        <v>7080</v>
      </c>
      <c r="AM47" s="50">
        <v>0.0</v>
      </c>
      <c r="AN47" s="50" t="s">
        <v>6901</v>
      </c>
      <c r="AO47" s="117">
        <v>3056.0</v>
      </c>
      <c r="AP47" s="50" t="s">
        <v>7517</v>
      </c>
      <c r="AQ47" s="50" t="s">
        <v>7518</v>
      </c>
      <c r="AR47" s="117">
        <v>46.0</v>
      </c>
    </row>
    <row r="48">
      <c r="A48" s="50" t="s">
        <v>7519</v>
      </c>
      <c r="B48" s="50" t="s">
        <v>6876</v>
      </c>
      <c r="C48" s="50" t="s">
        <v>6877</v>
      </c>
      <c r="D48" s="50" t="s">
        <v>6878</v>
      </c>
      <c r="E48" s="144">
        <v>43620.0</v>
      </c>
      <c r="F48" s="50" t="s">
        <v>7520</v>
      </c>
      <c r="G48" s="50">
        <v>58.0</v>
      </c>
      <c r="H48" s="50">
        <v>1.0</v>
      </c>
      <c r="I48" s="50">
        <v>2.0</v>
      </c>
      <c r="J48" s="116"/>
      <c r="K48" s="116"/>
      <c r="L48" s="50" t="s">
        <v>433</v>
      </c>
      <c r="M48" s="50" t="s">
        <v>433</v>
      </c>
      <c r="N48" s="50" t="s">
        <v>7498</v>
      </c>
      <c r="O48" s="50" t="s">
        <v>7499</v>
      </c>
      <c r="P48" s="50" t="s">
        <v>7487</v>
      </c>
      <c r="Q48" s="50" t="s">
        <v>7488</v>
      </c>
      <c r="R48" s="50">
        <v>29.4</v>
      </c>
      <c r="S48" s="116"/>
      <c r="T48" s="116"/>
      <c r="U48" s="116"/>
      <c r="V48" s="116"/>
      <c r="W48" s="50">
        <v>7.0</v>
      </c>
      <c r="X48" s="50">
        <v>10.0</v>
      </c>
      <c r="Y48" s="50">
        <v>2.0</v>
      </c>
      <c r="Z48" s="116"/>
      <c r="AA48" s="50">
        <v>7.0</v>
      </c>
      <c r="AB48" s="50">
        <v>1.0</v>
      </c>
      <c r="AC48" s="50">
        <v>2.0</v>
      </c>
      <c r="AD48" s="116"/>
      <c r="AE48" s="50">
        <v>1.0</v>
      </c>
      <c r="AF48" s="50">
        <v>6.0</v>
      </c>
      <c r="AG48" s="50">
        <v>1.0</v>
      </c>
      <c r="AH48" s="50">
        <v>3.0</v>
      </c>
      <c r="AI48" s="50">
        <v>41.0</v>
      </c>
      <c r="AJ48" s="116"/>
      <c r="AK48" s="50" t="s">
        <v>7527</v>
      </c>
      <c r="AL48" s="50" t="s">
        <v>7080</v>
      </c>
      <c r="AM48" s="50">
        <v>0.0</v>
      </c>
      <c r="AN48" s="50" t="s">
        <v>6901</v>
      </c>
      <c r="AO48" s="117">
        <v>3057.0</v>
      </c>
      <c r="AP48" s="50" t="s">
        <v>7528</v>
      </c>
      <c r="AQ48" s="50" t="s">
        <v>7529</v>
      </c>
      <c r="AR48" s="117">
        <v>47.0</v>
      </c>
    </row>
    <row r="49">
      <c r="A49" s="50" t="s">
        <v>7520</v>
      </c>
      <c r="B49" s="50" t="s">
        <v>6876</v>
      </c>
      <c r="C49" s="50" t="s">
        <v>6877</v>
      </c>
      <c r="D49" s="50" t="s">
        <v>6878</v>
      </c>
      <c r="E49" s="144">
        <v>43620.0</v>
      </c>
      <c r="F49" s="50" t="s">
        <v>7534</v>
      </c>
      <c r="G49" s="50">
        <v>58.0</v>
      </c>
      <c r="H49" s="50">
        <v>1.0</v>
      </c>
      <c r="I49" s="50">
        <v>8.0</v>
      </c>
      <c r="J49" s="116"/>
      <c r="K49" s="116"/>
      <c r="L49" s="50" t="s">
        <v>440</v>
      </c>
      <c r="M49" s="50" t="s">
        <v>440</v>
      </c>
      <c r="N49" s="50" t="s">
        <v>7535</v>
      </c>
      <c r="O49" s="50" t="s">
        <v>7499</v>
      </c>
      <c r="P49" s="50" t="s">
        <v>7487</v>
      </c>
      <c r="Q49" s="50" t="s">
        <v>7488</v>
      </c>
      <c r="R49" s="116"/>
      <c r="S49" s="116"/>
      <c r="T49" s="116"/>
      <c r="U49" s="50">
        <v>117.0</v>
      </c>
      <c r="V49" s="116"/>
      <c r="W49" s="50">
        <v>7.0</v>
      </c>
      <c r="X49" s="50">
        <v>1.0</v>
      </c>
      <c r="Y49" s="50">
        <v>3.0</v>
      </c>
      <c r="Z49" s="50">
        <v>49.0</v>
      </c>
      <c r="AA49" s="50">
        <v>6.0</v>
      </c>
      <c r="AB49" s="50">
        <v>1.0</v>
      </c>
      <c r="AC49" s="50">
        <v>3.0</v>
      </c>
      <c r="AD49" s="50">
        <v>0.0</v>
      </c>
      <c r="AE49" s="50">
        <v>1.0</v>
      </c>
      <c r="AF49" s="50">
        <v>5.0</v>
      </c>
      <c r="AG49" s="50">
        <v>1.0</v>
      </c>
      <c r="AH49" s="50">
        <v>3.0</v>
      </c>
      <c r="AI49" s="50">
        <v>0.0</v>
      </c>
      <c r="AJ49" s="116"/>
      <c r="AK49" s="50" t="s">
        <v>7538</v>
      </c>
      <c r="AL49" s="50" t="s">
        <v>7080</v>
      </c>
      <c r="AM49" s="50">
        <v>0.0</v>
      </c>
      <c r="AN49" s="50" t="s">
        <v>6901</v>
      </c>
      <c r="AO49" s="117">
        <v>3058.0</v>
      </c>
      <c r="AP49" s="50" t="s">
        <v>7541</v>
      </c>
      <c r="AQ49" s="50" t="s">
        <v>7542</v>
      </c>
      <c r="AR49" s="117">
        <v>48.0</v>
      </c>
    </row>
    <row r="50">
      <c r="A50" s="50" t="s">
        <v>7545</v>
      </c>
      <c r="B50" s="50" t="s">
        <v>6876</v>
      </c>
      <c r="C50" s="50" t="s">
        <v>6877</v>
      </c>
      <c r="D50" s="50" t="s">
        <v>6878</v>
      </c>
      <c r="E50" s="144">
        <v>43620.0</v>
      </c>
      <c r="F50" s="50" t="s">
        <v>7546</v>
      </c>
      <c r="G50" s="50">
        <v>58.0</v>
      </c>
      <c r="H50" s="50">
        <v>1.0</v>
      </c>
      <c r="I50" s="50">
        <v>11.0</v>
      </c>
      <c r="J50" s="116"/>
      <c r="K50" s="116"/>
      <c r="L50" s="50" t="s">
        <v>431</v>
      </c>
      <c r="M50" s="50" t="s">
        <v>431</v>
      </c>
      <c r="N50" s="50" t="s">
        <v>7549</v>
      </c>
      <c r="O50" s="50" t="s">
        <v>7499</v>
      </c>
      <c r="P50" s="50" t="s">
        <v>7487</v>
      </c>
      <c r="Q50" s="50" t="s">
        <v>7488</v>
      </c>
      <c r="R50" s="116"/>
      <c r="S50" s="116"/>
      <c r="T50" s="116"/>
      <c r="U50" s="116"/>
      <c r="V50" s="116"/>
      <c r="W50" s="50">
        <v>4.0</v>
      </c>
      <c r="X50" s="50">
        <v>1.0</v>
      </c>
      <c r="Y50" s="50">
        <v>1.0</v>
      </c>
      <c r="Z50" s="116"/>
      <c r="AA50" s="50">
        <v>3.0</v>
      </c>
      <c r="AB50" s="50">
        <v>1.0</v>
      </c>
      <c r="AC50" s="50">
        <v>3.0</v>
      </c>
      <c r="AD50" s="50">
        <v>80.0</v>
      </c>
      <c r="AE50" s="50">
        <v>1.0</v>
      </c>
      <c r="AF50" s="50">
        <v>2.0</v>
      </c>
      <c r="AG50" s="50">
        <v>1.0</v>
      </c>
      <c r="AH50" s="50">
        <v>3.0</v>
      </c>
      <c r="AI50" s="50">
        <v>7.0</v>
      </c>
      <c r="AJ50" s="116"/>
      <c r="AK50" s="50" t="s">
        <v>7551</v>
      </c>
      <c r="AL50" s="50" t="s">
        <v>7080</v>
      </c>
      <c r="AM50" s="50">
        <v>0.0</v>
      </c>
      <c r="AN50" s="50" t="s">
        <v>6901</v>
      </c>
      <c r="AO50" s="117">
        <v>3075.0</v>
      </c>
      <c r="AP50" s="50" t="s">
        <v>7553</v>
      </c>
      <c r="AQ50" s="50" t="s">
        <v>7555</v>
      </c>
      <c r="AR50" s="117">
        <v>49.0</v>
      </c>
    </row>
    <row r="51">
      <c r="A51" s="50" t="s">
        <v>7546</v>
      </c>
      <c r="B51" s="50" t="s">
        <v>6876</v>
      </c>
      <c r="C51" s="50" t="s">
        <v>6877</v>
      </c>
      <c r="D51" s="50" t="s">
        <v>6878</v>
      </c>
      <c r="E51" s="144">
        <v>43620.0</v>
      </c>
      <c r="F51" s="50" t="s">
        <v>7558</v>
      </c>
      <c r="G51" s="50">
        <v>58.0</v>
      </c>
      <c r="H51" s="50">
        <v>1.0</v>
      </c>
      <c r="I51" s="50">
        <v>5.0</v>
      </c>
      <c r="J51" s="116"/>
      <c r="K51" s="116"/>
      <c r="L51" s="50" t="s">
        <v>450</v>
      </c>
      <c r="M51" s="50" t="s">
        <v>450</v>
      </c>
      <c r="N51" s="50" t="s">
        <v>7560</v>
      </c>
      <c r="O51" s="50" t="s">
        <v>7562</v>
      </c>
      <c r="P51" s="50" t="s">
        <v>7563</v>
      </c>
      <c r="Q51" s="50" t="s">
        <v>7564</v>
      </c>
      <c r="R51" s="116"/>
      <c r="S51" s="116"/>
      <c r="T51" s="116"/>
      <c r="U51" s="116"/>
      <c r="V51" s="116"/>
      <c r="W51" s="50">
        <v>7.0</v>
      </c>
      <c r="X51" s="50">
        <v>10.0</v>
      </c>
      <c r="Y51" s="50">
        <v>1.0</v>
      </c>
      <c r="Z51" s="116"/>
      <c r="AA51" s="50">
        <v>7.0</v>
      </c>
      <c r="AB51" s="50">
        <v>1.0</v>
      </c>
      <c r="AC51" s="50">
        <v>1.0</v>
      </c>
      <c r="AD51" s="116"/>
      <c r="AE51" s="50">
        <v>0.0</v>
      </c>
      <c r="AF51" s="116"/>
      <c r="AG51" s="116"/>
      <c r="AH51" s="116"/>
      <c r="AI51" s="116"/>
      <c r="AJ51" s="116"/>
      <c r="AK51" s="50" t="s">
        <v>7565</v>
      </c>
      <c r="AL51" s="50" t="s">
        <v>7080</v>
      </c>
      <c r="AM51" s="50">
        <v>0.0</v>
      </c>
      <c r="AN51" s="50" t="s">
        <v>6901</v>
      </c>
      <c r="AO51" s="117">
        <v>3076.0</v>
      </c>
      <c r="AP51" s="50" t="s">
        <v>7566</v>
      </c>
      <c r="AQ51" s="50" t="s">
        <v>7567</v>
      </c>
      <c r="AR51" s="117">
        <v>50.0</v>
      </c>
    </row>
    <row r="52">
      <c r="A52" s="50" t="s">
        <v>7568</v>
      </c>
      <c r="B52" s="50" t="s">
        <v>6876</v>
      </c>
      <c r="C52" s="50" t="s">
        <v>6877</v>
      </c>
      <c r="D52" s="50" t="s">
        <v>6878</v>
      </c>
      <c r="E52" s="144">
        <v>43620.0</v>
      </c>
      <c r="F52" s="50" t="s">
        <v>7572</v>
      </c>
      <c r="G52" s="50">
        <v>58.0</v>
      </c>
      <c r="H52" s="50">
        <v>1.0</v>
      </c>
      <c r="I52" s="50">
        <v>9.0</v>
      </c>
      <c r="J52" s="116"/>
      <c r="K52" s="116"/>
      <c r="L52" s="50" t="s">
        <v>445</v>
      </c>
      <c r="M52" s="50" t="s">
        <v>445</v>
      </c>
      <c r="N52" s="50" t="s">
        <v>7574</v>
      </c>
      <c r="O52" s="50" t="s">
        <v>7562</v>
      </c>
      <c r="P52" s="50" t="s">
        <v>7563</v>
      </c>
      <c r="Q52" s="50" t="s">
        <v>7564</v>
      </c>
      <c r="R52" s="116"/>
      <c r="S52" s="116"/>
      <c r="T52" s="116"/>
      <c r="U52" s="116"/>
      <c r="V52" s="116"/>
      <c r="W52" s="50">
        <v>7.0</v>
      </c>
      <c r="X52" s="50">
        <v>100.0</v>
      </c>
      <c r="Y52" s="50">
        <v>3.0</v>
      </c>
      <c r="Z52" s="50">
        <v>0.0</v>
      </c>
      <c r="AA52" s="50">
        <v>7.0</v>
      </c>
      <c r="AB52" s="50">
        <v>10.0</v>
      </c>
      <c r="AC52" s="50">
        <v>3.0</v>
      </c>
      <c r="AD52" s="50">
        <v>0.0</v>
      </c>
      <c r="AE52" s="50">
        <v>0.0</v>
      </c>
      <c r="AF52" s="116"/>
      <c r="AG52" s="116"/>
      <c r="AH52" s="116"/>
      <c r="AI52" s="116"/>
      <c r="AJ52" s="116"/>
      <c r="AK52" s="50" t="s">
        <v>7577</v>
      </c>
      <c r="AL52" s="50" t="s">
        <v>7080</v>
      </c>
      <c r="AM52" s="50">
        <v>0.0</v>
      </c>
      <c r="AN52" s="50" t="s">
        <v>6901</v>
      </c>
      <c r="AO52" s="117">
        <v>3077.0</v>
      </c>
      <c r="AP52" s="50" t="s">
        <v>7578</v>
      </c>
      <c r="AQ52" s="50" t="s">
        <v>7579</v>
      </c>
      <c r="AR52" s="117">
        <v>51.0</v>
      </c>
    </row>
    <row r="53">
      <c r="A53" s="50" t="s">
        <v>7580</v>
      </c>
      <c r="B53" s="50" t="s">
        <v>6876</v>
      </c>
      <c r="C53" s="50" t="s">
        <v>6877</v>
      </c>
      <c r="D53" s="50" t="s">
        <v>6878</v>
      </c>
      <c r="E53" s="144">
        <v>43620.0</v>
      </c>
      <c r="F53" s="50" t="s">
        <v>7581</v>
      </c>
      <c r="G53" s="50">
        <v>58.0</v>
      </c>
      <c r="H53" s="50">
        <v>1.0</v>
      </c>
      <c r="I53" s="50">
        <v>3.0</v>
      </c>
      <c r="J53" s="116"/>
      <c r="K53" s="116"/>
      <c r="L53" s="50" t="s">
        <v>446</v>
      </c>
      <c r="M53" s="50" t="s">
        <v>446</v>
      </c>
      <c r="N53" s="50" t="s">
        <v>7583</v>
      </c>
      <c r="O53" s="50" t="s">
        <v>7562</v>
      </c>
      <c r="P53" s="50" t="s">
        <v>7563</v>
      </c>
      <c r="Q53" s="50" t="s">
        <v>7564</v>
      </c>
      <c r="R53" s="116"/>
      <c r="S53" s="116"/>
      <c r="T53" s="116"/>
      <c r="U53" s="116"/>
      <c r="V53" s="116"/>
      <c r="W53" s="50">
        <v>7.0</v>
      </c>
      <c r="X53" s="50">
        <v>100.0</v>
      </c>
      <c r="Y53" s="50">
        <v>3.0</v>
      </c>
      <c r="Z53" s="50">
        <v>2.0</v>
      </c>
      <c r="AA53" s="50">
        <v>7.0</v>
      </c>
      <c r="AB53" s="50">
        <v>10.0</v>
      </c>
      <c r="AC53" s="50">
        <v>3.0</v>
      </c>
      <c r="AD53" s="50">
        <v>0.0</v>
      </c>
      <c r="AE53" s="50">
        <v>0.0</v>
      </c>
      <c r="AF53" s="116"/>
      <c r="AG53" s="116"/>
      <c r="AH53" s="116"/>
      <c r="AI53" s="116"/>
      <c r="AJ53" s="116"/>
      <c r="AK53" s="50" t="s">
        <v>7588</v>
      </c>
      <c r="AL53" s="50" t="s">
        <v>7080</v>
      </c>
      <c r="AM53" s="50">
        <v>0.0</v>
      </c>
      <c r="AN53" s="50" t="s">
        <v>6901</v>
      </c>
      <c r="AO53" s="117">
        <v>3078.0</v>
      </c>
      <c r="AP53" s="50" t="s">
        <v>7589</v>
      </c>
      <c r="AQ53" s="50" t="s">
        <v>7591</v>
      </c>
      <c r="AR53" s="117">
        <v>52.0</v>
      </c>
    </row>
    <row r="54">
      <c r="A54" s="50" t="s">
        <v>7593</v>
      </c>
      <c r="B54" s="50" t="s">
        <v>6876</v>
      </c>
      <c r="C54" s="50" t="s">
        <v>6877</v>
      </c>
      <c r="D54" s="50" t="s">
        <v>6878</v>
      </c>
      <c r="E54" s="144">
        <v>43620.0</v>
      </c>
      <c r="F54" s="50" t="s">
        <v>7594</v>
      </c>
      <c r="G54" s="50">
        <v>58.0</v>
      </c>
      <c r="H54" s="50">
        <v>1.0</v>
      </c>
      <c r="I54" s="50">
        <v>10.0</v>
      </c>
      <c r="J54" s="116"/>
      <c r="K54" s="116"/>
      <c r="L54" s="50" t="s">
        <v>448</v>
      </c>
      <c r="M54" s="50" t="s">
        <v>448</v>
      </c>
      <c r="N54" s="50" t="s">
        <v>7595</v>
      </c>
      <c r="O54" s="50" t="s">
        <v>7596</v>
      </c>
      <c r="P54" s="50" t="s">
        <v>7597</v>
      </c>
      <c r="Q54" s="50" t="s">
        <v>7598</v>
      </c>
      <c r="R54" s="116"/>
      <c r="S54" s="50">
        <v>135.0</v>
      </c>
      <c r="T54" s="116"/>
      <c r="U54" s="116"/>
      <c r="V54" s="116"/>
      <c r="W54" s="50">
        <v>7.0</v>
      </c>
      <c r="X54" s="50">
        <v>10.0</v>
      </c>
      <c r="Y54" s="50">
        <v>2.0</v>
      </c>
      <c r="Z54" s="116"/>
      <c r="AA54" s="50">
        <v>7.0</v>
      </c>
      <c r="AB54" s="50">
        <v>1.0</v>
      </c>
      <c r="AC54" s="50">
        <v>1.0</v>
      </c>
      <c r="AD54" s="116"/>
      <c r="AE54" s="50">
        <v>1.0</v>
      </c>
      <c r="AF54" s="50">
        <v>6.0</v>
      </c>
      <c r="AG54" s="50">
        <v>1.0</v>
      </c>
      <c r="AH54" s="50">
        <v>3.0</v>
      </c>
      <c r="AI54" s="50">
        <v>9.0</v>
      </c>
      <c r="AJ54" s="116"/>
      <c r="AK54" s="50" t="s">
        <v>7603</v>
      </c>
      <c r="AL54" s="50" t="s">
        <v>7080</v>
      </c>
      <c r="AM54" s="50">
        <v>0.0</v>
      </c>
      <c r="AN54" s="50" t="s">
        <v>6901</v>
      </c>
      <c r="AO54" s="117">
        <v>3079.0</v>
      </c>
      <c r="AP54" s="50" t="s">
        <v>7604</v>
      </c>
      <c r="AQ54" s="50" t="s">
        <v>7605</v>
      </c>
      <c r="AR54" s="117">
        <v>53.0</v>
      </c>
    </row>
    <row r="55">
      <c r="A55" s="50" t="s">
        <v>7608</v>
      </c>
      <c r="B55" s="50" t="s">
        <v>6876</v>
      </c>
      <c r="C55" s="50" t="s">
        <v>6877</v>
      </c>
      <c r="D55" s="50" t="s">
        <v>6878</v>
      </c>
      <c r="E55" s="144">
        <v>43620.0</v>
      </c>
      <c r="F55" s="50" t="s">
        <v>7609</v>
      </c>
      <c r="G55" s="50">
        <v>58.0</v>
      </c>
      <c r="H55" s="50">
        <v>1.0</v>
      </c>
      <c r="I55" s="50">
        <v>98.0</v>
      </c>
      <c r="J55" s="116"/>
      <c r="K55" s="116"/>
      <c r="L55" s="50" t="s">
        <v>7459</v>
      </c>
      <c r="M55" s="50" t="s">
        <v>7459</v>
      </c>
      <c r="N55" s="50" t="s">
        <v>7596</v>
      </c>
      <c r="O55" s="50" t="s">
        <v>7596</v>
      </c>
      <c r="P55" s="50" t="s">
        <v>7597</v>
      </c>
      <c r="Q55" s="50" t="s">
        <v>7598</v>
      </c>
      <c r="R55" s="116"/>
      <c r="S55" s="116"/>
      <c r="T55" s="116"/>
      <c r="U55" s="116"/>
      <c r="V55" s="116"/>
      <c r="W55" s="50">
        <v>7.0</v>
      </c>
      <c r="X55" s="50">
        <v>100.0</v>
      </c>
      <c r="Y55" s="50">
        <v>3.0</v>
      </c>
      <c r="Z55" s="50">
        <v>0.0</v>
      </c>
      <c r="AA55" s="116"/>
      <c r="AB55" s="116"/>
      <c r="AC55" s="116"/>
      <c r="AD55" s="116"/>
      <c r="AE55" s="116"/>
      <c r="AF55" s="116"/>
      <c r="AG55" s="116"/>
      <c r="AH55" s="116"/>
      <c r="AI55" s="116"/>
      <c r="AJ55" s="116"/>
      <c r="AK55" s="50" t="s">
        <v>7613</v>
      </c>
      <c r="AL55" s="50" t="s">
        <v>7080</v>
      </c>
      <c r="AM55" s="50">
        <v>0.0</v>
      </c>
      <c r="AN55" s="50" t="s">
        <v>6901</v>
      </c>
      <c r="AO55" s="117">
        <v>3080.0</v>
      </c>
      <c r="AP55" s="50" t="s">
        <v>7616</v>
      </c>
      <c r="AQ55" s="50" t="s">
        <v>7617</v>
      </c>
      <c r="AR55" s="117">
        <v>54.0</v>
      </c>
    </row>
    <row r="56">
      <c r="A56" s="50" t="s">
        <v>7618</v>
      </c>
      <c r="B56" s="50" t="s">
        <v>6876</v>
      </c>
      <c r="C56" s="50" t="s">
        <v>6877</v>
      </c>
      <c r="D56" s="50" t="s">
        <v>6907</v>
      </c>
      <c r="E56" s="144">
        <v>43621.0</v>
      </c>
      <c r="F56" s="50" t="s">
        <v>7620</v>
      </c>
      <c r="G56" s="50">
        <v>58.0</v>
      </c>
      <c r="H56" s="50">
        <v>1.0</v>
      </c>
      <c r="I56" s="50">
        <v>10.0</v>
      </c>
      <c r="J56" s="116"/>
      <c r="K56" s="116"/>
      <c r="L56" s="50" t="s">
        <v>449</v>
      </c>
      <c r="M56" s="50" t="s">
        <v>449</v>
      </c>
      <c r="N56" s="50" t="s">
        <v>7623</v>
      </c>
      <c r="O56" s="50" t="s">
        <v>7624</v>
      </c>
      <c r="P56" s="50" t="s">
        <v>7625</v>
      </c>
      <c r="Q56" s="50" t="s">
        <v>7626</v>
      </c>
      <c r="R56" s="116"/>
      <c r="S56" s="50">
        <v>250.0</v>
      </c>
      <c r="T56" s="116"/>
      <c r="U56" s="116"/>
      <c r="V56" s="116"/>
      <c r="W56" s="50">
        <v>7.0</v>
      </c>
      <c r="X56" s="50">
        <v>10.0</v>
      </c>
      <c r="Y56" s="50">
        <v>2.0</v>
      </c>
      <c r="Z56" s="116"/>
      <c r="AA56" s="50">
        <v>7.0</v>
      </c>
      <c r="AB56" s="50">
        <v>1.0</v>
      </c>
      <c r="AC56" s="50">
        <v>2.0</v>
      </c>
      <c r="AD56" s="116"/>
      <c r="AE56" s="50">
        <v>1.0</v>
      </c>
      <c r="AF56" s="50">
        <v>6.0</v>
      </c>
      <c r="AG56" s="50">
        <v>1.0</v>
      </c>
      <c r="AH56" s="50">
        <v>3.0</v>
      </c>
      <c r="AI56" s="50">
        <v>32.0</v>
      </c>
      <c r="AJ56" s="116"/>
      <c r="AK56" s="50" t="s">
        <v>7627</v>
      </c>
      <c r="AL56" s="50" t="s">
        <v>6991</v>
      </c>
      <c r="AM56" s="50">
        <v>0.0</v>
      </c>
      <c r="AN56" s="50" t="s">
        <v>6901</v>
      </c>
      <c r="AO56" s="117">
        <v>3081.0</v>
      </c>
      <c r="AP56" s="50" t="s">
        <v>7628</v>
      </c>
      <c r="AQ56" s="50" t="s">
        <v>7629</v>
      </c>
      <c r="AR56" s="117">
        <v>55.0</v>
      </c>
    </row>
    <row r="57">
      <c r="A57" s="50" t="s">
        <v>7630</v>
      </c>
      <c r="B57" s="50" t="s">
        <v>6876</v>
      </c>
      <c r="C57" s="50" t="s">
        <v>6877</v>
      </c>
      <c r="D57" s="50" t="s">
        <v>6907</v>
      </c>
      <c r="E57" s="144">
        <v>43621.0</v>
      </c>
      <c r="F57" s="50" t="s">
        <v>7632</v>
      </c>
      <c r="G57" s="50">
        <v>58.0</v>
      </c>
      <c r="H57" s="50">
        <v>1.0</v>
      </c>
      <c r="I57" s="50">
        <v>3.0</v>
      </c>
      <c r="J57" s="116"/>
      <c r="K57" s="116"/>
      <c r="L57" s="50" t="s">
        <v>453</v>
      </c>
      <c r="M57" s="50" t="s">
        <v>453</v>
      </c>
      <c r="N57" s="50" t="s">
        <v>7624</v>
      </c>
      <c r="O57" s="50" t="s">
        <v>7636</v>
      </c>
      <c r="P57" s="50" t="s">
        <v>7637</v>
      </c>
      <c r="Q57" s="50" t="s">
        <v>7638</v>
      </c>
      <c r="R57" s="116"/>
      <c r="S57" s="116"/>
      <c r="T57" s="116"/>
      <c r="U57" s="116"/>
      <c r="V57" s="116"/>
      <c r="W57" s="50">
        <v>7.0</v>
      </c>
      <c r="X57" s="50">
        <v>100.0</v>
      </c>
      <c r="Y57" s="50">
        <v>3.0</v>
      </c>
      <c r="Z57" s="50">
        <v>4.0</v>
      </c>
      <c r="AA57" s="50">
        <v>7.0</v>
      </c>
      <c r="AB57" s="50">
        <v>10.0</v>
      </c>
      <c r="AC57" s="50">
        <v>3.0</v>
      </c>
      <c r="AD57" s="50">
        <v>0.0</v>
      </c>
      <c r="AE57" s="50">
        <v>0.0</v>
      </c>
      <c r="AF57" s="116"/>
      <c r="AG57" s="116"/>
      <c r="AH57" s="116"/>
      <c r="AI57" s="116"/>
      <c r="AJ57" s="116"/>
      <c r="AK57" s="50" t="s">
        <v>7641</v>
      </c>
      <c r="AL57" s="50" t="s">
        <v>7080</v>
      </c>
      <c r="AM57" s="50">
        <v>0.0</v>
      </c>
      <c r="AN57" s="50" t="s">
        <v>6901</v>
      </c>
      <c r="AO57" s="117">
        <v>3082.0</v>
      </c>
      <c r="AP57" s="50" t="s">
        <v>7642</v>
      </c>
      <c r="AQ57" s="50" t="s">
        <v>7643</v>
      </c>
      <c r="AR57" s="117">
        <v>56.0</v>
      </c>
    </row>
    <row r="58">
      <c r="A58" s="50" t="s">
        <v>7632</v>
      </c>
      <c r="B58" s="50" t="s">
        <v>6876</v>
      </c>
      <c r="C58" s="50" t="s">
        <v>6877</v>
      </c>
      <c r="D58" s="50" t="s">
        <v>6907</v>
      </c>
      <c r="E58" s="144">
        <v>43621.0</v>
      </c>
      <c r="F58" s="50" t="s">
        <v>7645</v>
      </c>
      <c r="G58" s="50">
        <v>58.0</v>
      </c>
      <c r="H58" s="50">
        <v>1.0</v>
      </c>
      <c r="I58" s="50">
        <v>7.0</v>
      </c>
      <c r="J58" s="116"/>
      <c r="K58" s="116"/>
      <c r="L58" s="50" t="s">
        <v>456</v>
      </c>
      <c r="M58" s="50" t="s">
        <v>456</v>
      </c>
      <c r="N58" s="50" t="s">
        <v>7649</v>
      </c>
      <c r="O58" s="50" t="s">
        <v>7650</v>
      </c>
      <c r="P58" s="50" t="s">
        <v>7651</v>
      </c>
      <c r="Q58" s="50" t="s">
        <v>7652</v>
      </c>
      <c r="R58" s="116"/>
      <c r="S58" s="116"/>
      <c r="T58" s="116"/>
      <c r="U58" s="116"/>
      <c r="V58" s="116"/>
      <c r="W58" s="50">
        <v>7.0</v>
      </c>
      <c r="X58" s="50">
        <v>10.0</v>
      </c>
      <c r="Y58" s="50">
        <v>3.0</v>
      </c>
      <c r="Z58" s="50">
        <v>2.0</v>
      </c>
      <c r="AA58" s="50">
        <v>6.0</v>
      </c>
      <c r="AB58" s="50">
        <v>1.0</v>
      </c>
      <c r="AC58" s="50">
        <v>3.0</v>
      </c>
      <c r="AD58" s="50">
        <v>0.0</v>
      </c>
      <c r="AE58" s="50">
        <v>0.0</v>
      </c>
      <c r="AF58" s="116"/>
      <c r="AG58" s="116"/>
      <c r="AH58" s="116"/>
      <c r="AI58" s="116"/>
      <c r="AJ58" s="116"/>
      <c r="AK58" s="50" t="s">
        <v>7656</v>
      </c>
      <c r="AL58" s="50" t="s">
        <v>7080</v>
      </c>
      <c r="AM58" s="50">
        <v>0.0</v>
      </c>
      <c r="AN58" s="50" t="s">
        <v>6901</v>
      </c>
      <c r="AO58" s="117">
        <v>3083.0</v>
      </c>
      <c r="AP58" s="50" t="s">
        <v>7657</v>
      </c>
      <c r="AQ58" s="50" t="s">
        <v>7658</v>
      </c>
      <c r="AR58" s="117">
        <v>57.0</v>
      </c>
    </row>
    <row r="59">
      <c r="A59" s="50" t="s">
        <v>7645</v>
      </c>
      <c r="B59" s="50" t="s">
        <v>6876</v>
      </c>
      <c r="C59" s="50" t="s">
        <v>6877</v>
      </c>
      <c r="D59" s="50" t="s">
        <v>6907</v>
      </c>
      <c r="E59" s="144">
        <v>43621.0</v>
      </c>
      <c r="F59" s="50" t="s">
        <v>7659</v>
      </c>
      <c r="G59" s="50">
        <v>58.0</v>
      </c>
      <c r="H59" s="50">
        <v>1.0</v>
      </c>
      <c r="I59" s="50">
        <v>7.0</v>
      </c>
      <c r="J59" s="116"/>
      <c r="K59" s="116"/>
      <c r="L59" s="50" t="s">
        <v>457</v>
      </c>
      <c r="M59" s="50" t="s">
        <v>457</v>
      </c>
      <c r="N59" s="50" t="s">
        <v>7649</v>
      </c>
      <c r="O59" s="50" t="s">
        <v>7650</v>
      </c>
      <c r="P59" s="50" t="s">
        <v>7651</v>
      </c>
      <c r="Q59" s="50" t="s">
        <v>7652</v>
      </c>
      <c r="R59" s="116"/>
      <c r="S59" s="116"/>
      <c r="T59" s="116"/>
      <c r="U59" s="116"/>
      <c r="V59" s="116"/>
      <c r="W59" s="50">
        <v>7.0</v>
      </c>
      <c r="X59" s="50">
        <v>10.0</v>
      </c>
      <c r="Y59" s="50">
        <v>1.0</v>
      </c>
      <c r="Z59" s="116"/>
      <c r="AA59" s="50">
        <v>6.0</v>
      </c>
      <c r="AB59" s="50">
        <v>1.0</v>
      </c>
      <c r="AC59" s="50">
        <v>3.0</v>
      </c>
      <c r="AD59" s="50">
        <v>3.0</v>
      </c>
      <c r="AE59" s="50">
        <v>0.0</v>
      </c>
      <c r="AF59" s="116"/>
      <c r="AG59" s="116"/>
      <c r="AH59" s="116"/>
      <c r="AI59" s="116"/>
      <c r="AJ59" s="116"/>
      <c r="AK59" s="50" t="s">
        <v>7662</v>
      </c>
      <c r="AL59" s="50" t="s">
        <v>7080</v>
      </c>
      <c r="AM59" s="50">
        <v>0.0</v>
      </c>
      <c r="AN59" s="50" t="s">
        <v>6901</v>
      </c>
      <c r="AO59" s="117">
        <v>3084.0</v>
      </c>
      <c r="AP59" s="50" t="s">
        <v>7665</v>
      </c>
      <c r="AQ59" s="50" t="s">
        <v>7666</v>
      </c>
      <c r="AR59" s="117">
        <v>58.0</v>
      </c>
    </row>
    <row r="60">
      <c r="A60" s="50" t="s">
        <v>7659</v>
      </c>
      <c r="B60" s="50" t="s">
        <v>6876</v>
      </c>
      <c r="C60" s="50" t="s">
        <v>6877</v>
      </c>
      <c r="D60" s="50" t="s">
        <v>6907</v>
      </c>
      <c r="E60" s="144">
        <v>43621.0</v>
      </c>
      <c r="F60" s="50" t="s">
        <v>7667</v>
      </c>
      <c r="G60" s="50">
        <v>58.0</v>
      </c>
      <c r="H60" s="50">
        <v>1.0</v>
      </c>
      <c r="I60" s="50">
        <v>11.0</v>
      </c>
      <c r="J60" s="116"/>
      <c r="K60" s="116"/>
      <c r="L60" s="50" t="s">
        <v>452</v>
      </c>
      <c r="M60" s="50" t="s">
        <v>452</v>
      </c>
      <c r="N60" s="50" t="s">
        <v>7649</v>
      </c>
      <c r="O60" s="50" t="s">
        <v>7650</v>
      </c>
      <c r="P60" s="50" t="s">
        <v>7651</v>
      </c>
      <c r="Q60" s="50" t="s">
        <v>7652</v>
      </c>
      <c r="R60" s="116"/>
      <c r="S60" s="116"/>
      <c r="T60" s="116"/>
      <c r="U60" s="116"/>
      <c r="V60" s="116"/>
      <c r="W60" s="50">
        <v>4.0</v>
      </c>
      <c r="X60" s="50">
        <v>1.0</v>
      </c>
      <c r="Y60" s="50">
        <v>1.0</v>
      </c>
      <c r="Z60" s="116"/>
      <c r="AA60" s="50">
        <v>3.0</v>
      </c>
      <c r="AB60" s="50">
        <v>1.0</v>
      </c>
      <c r="AC60" s="50">
        <v>3.0</v>
      </c>
      <c r="AD60" s="50">
        <v>34.0</v>
      </c>
      <c r="AE60" s="50">
        <v>1.0</v>
      </c>
      <c r="AF60" s="50">
        <v>2.0</v>
      </c>
      <c r="AG60" s="50">
        <v>1.0</v>
      </c>
      <c r="AH60" s="50">
        <v>3.0</v>
      </c>
      <c r="AI60" s="50">
        <v>7.0</v>
      </c>
      <c r="AJ60" s="116"/>
      <c r="AK60" s="50" t="s">
        <v>7670</v>
      </c>
      <c r="AL60" s="50" t="s">
        <v>7080</v>
      </c>
      <c r="AM60" s="50">
        <v>0.0</v>
      </c>
      <c r="AN60" s="50" t="s">
        <v>6901</v>
      </c>
      <c r="AO60" s="117">
        <v>3085.0</v>
      </c>
      <c r="AP60" s="50" t="s">
        <v>7671</v>
      </c>
      <c r="AQ60" s="50" t="s">
        <v>7673</v>
      </c>
      <c r="AR60" s="117">
        <v>59.0</v>
      </c>
    </row>
    <row r="61">
      <c r="A61" s="50" t="s">
        <v>7667</v>
      </c>
      <c r="B61" s="50" t="s">
        <v>6876</v>
      </c>
      <c r="C61" s="50" t="s">
        <v>6877</v>
      </c>
      <c r="D61" s="50" t="s">
        <v>6907</v>
      </c>
      <c r="E61" s="144">
        <v>43621.0</v>
      </c>
      <c r="F61" s="50" t="s">
        <v>7674</v>
      </c>
      <c r="G61" s="50">
        <v>59.0</v>
      </c>
      <c r="H61" s="50">
        <v>1.0</v>
      </c>
      <c r="I61" s="50">
        <v>11.0</v>
      </c>
      <c r="J61" s="116"/>
      <c r="K61" s="116"/>
      <c r="L61" s="50" t="s">
        <v>464</v>
      </c>
      <c r="M61" s="50" t="s">
        <v>464</v>
      </c>
      <c r="N61" s="50" t="s">
        <v>7679</v>
      </c>
      <c r="O61" s="50" t="s">
        <v>7680</v>
      </c>
      <c r="P61" s="50" t="s">
        <v>7652</v>
      </c>
      <c r="Q61" s="50" t="s">
        <v>7681</v>
      </c>
      <c r="R61" s="116"/>
      <c r="S61" s="116"/>
      <c r="T61" s="116"/>
      <c r="U61" s="116"/>
      <c r="V61" s="116"/>
      <c r="W61" s="50">
        <v>4.0</v>
      </c>
      <c r="X61" s="50">
        <v>1.0</v>
      </c>
      <c r="Y61" s="50">
        <v>3.0</v>
      </c>
      <c r="Z61" s="50">
        <v>75.0</v>
      </c>
      <c r="AA61" s="50">
        <v>3.0</v>
      </c>
      <c r="AB61" s="50">
        <v>1.0</v>
      </c>
      <c r="AC61" s="50">
        <v>3.0</v>
      </c>
      <c r="AD61" s="50">
        <v>51.0</v>
      </c>
      <c r="AE61" s="50">
        <v>1.0</v>
      </c>
      <c r="AF61" s="50">
        <v>2.0</v>
      </c>
      <c r="AG61" s="50">
        <v>1.0</v>
      </c>
      <c r="AH61" s="50">
        <v>3.0</v>
      </c>
      <c r="AI61" s="50">
        <v>27.0</v>
      </c>
      <c r="AJ61" s="116"/>
      <c r="AK61" s="50" t="s">
        <v>7684</v>
      </c>
      <c r="AL61" s="50" t="s">
        <v>7080</v>
      </c>
      <c r="AM61" s="50">
        <v>0.0</v>
      </c>
      <c r="AN61" s="50" t="s">
        <v>6901</v>
      </c>
      <c r="AO61" s="117">
        <v>3086.0</v>
      </c>
      <c r="AP61" s="50" t="s">
        <v>7685</v>
      </c>
      <c r="AQ61" s="50" t="s">
        <v>7686</v>
      </c>
      <c r="AR61" s="117">
        <v>60.0</v>
      </c>
    </row>
    <row r="62">
      <c r="A62" s="50" t="s">
        <v>7674</v>
      </c>
      <c r="B62" s="50" t="s">
        <v>6876</v>
      </c>
      <c r="C62" s="50" t="s">
        <v>6877</v>
      </c>
      <c r="D62" s="50" t="s">
        <v>6907</v>
      </c>
      <c r="E62" s="144">
        <v>43621.0</v>
      </c>
      <c r="F62" s="50" t="s">
        <v>7687</v>
      </c>
      <c r="G62" s="50">
        <v>59.0</v>
      </c>
      <c r="H62" s="50">
        <v>1.0</v>
      </c>
      <c r="I62" s="50">
        <v>99.0</v>
      </c>
      <c r="J62" s="116"/>
      <c r="K62" s="116"/>
      <c r="L62" s="50" t="s">
        <v>459</v>
      </c>
      <c r="M62" s="50" t="s">
        <v>459</v>
      </c>
      <c r="N62" s="50" t="s">
        <v>7679</v>
      </c>
      <c r="O62" s="50" t="s">
        <v>7680</v>
      </c>
      <c r="P62" s="50" t="s">
        <v>7652</v>
      </c>
      <c r="Q62" s="50" t="s">
        <v>7681</v>
      </c>
      <c r="R62" s="116"/>
      <c r="S62" s="116"/>
      <c r="T62" s="116"/>
      <c r="U62" s="116"/>
      <c r="V62" s="116"/>
      <c r="W62" s="50">
        <v>7.0</v>
      </c>
      <c r="X62" s="50">
        <v>10.0</v>
      </c>
      <c r="Y62" s="50">
        <v>3.0</v>
      </c>
      <c r="Z62" s="50">
        <v>0.0</v>
      </c>
      <c r="AA62" s="116"/>
      <c r="AB62" s="116"/>
      <c r="AC62" s="116"/>
      <c r="AD62" s="116"/>
      <c r="AE62" s="116"/>
      <c r="AF62" s="116"/>
      <c r="AG62" s="116"/>
      <c r="AH62" s="116"/>
      <c r="AI62" s="116"/>
      <c r="AJ62" s="116"/>
      <c r="AK62" s="50" t="s">
        <v>7694</v>
      </c>
      <c r="AL62" s="50" t="s">
        <v>7080</v>
      </c>
      <c r="AM62" s="50">
        <v>0.0</v>
      </c>
      <c r="AN62" s="50" t="s">
        <v>6901</v>
      </c>
      <c r="AO62" s="117">
        <v>3087.0</v>
      </c>
      <c r="AP62" s="50" t="s">
        <v>7695</v>
      </c>
      <c r="AQ62" s="50" t="s">
        <v>7696</v>
      </c>
      <c r="AR62" s="117">
        <v>61.0</v>
      </c>
    </row>
    <row r="63">
      <c r="A63" s="50" t="s">
        <v>7697</v>
      </c>
      <c r="B63" s="50" t="s">
        <v>6876</v>
      </c>
      <c r="C63" s="50" t="s">
        <v>6877</v>
      </c>
      <c r="D63" s="50" t="s">
        <v>6878</v>
      </c>
      <c r="E63" s="144">
        <v>43635.0</v>
      </c>
      <c r="F63" s="50" t="s">
        <v>7698</v>
      </c>
      <c r="G63" s="50">
        <v>58.0</v>
      </c>
      <c r="H63" s="50">
        <v>1.0</v>
      </c>
      <c r="I63" s="50">
        <v>11.0</v>
      </c>
      <c r="J63" s="116"/>
      <c r="K63" s="116"/>
      <c r="L63" s="50" t="s">
        <v>468</v>
      </c>
      <c r="M63" s="50" t="s">
        <v>468</v>
      </c>
      <c r="N63" s="50" t="s">
        <v>7701</v>
      </c>
      <c r="O63" s="50" t="s">
        <v>7703</v>
      </c>
      <c r="P63" s="50" t="s">
        <v>7704</v>
      </c>
      <c r="Q63" s="50" t="s">
        <v>7706</v>
      </c>
      <c r="R63" s="116"/>
      <c r="S63" s="116"/>
      <c r="T63" s="116"/>
      <c r="U63" s="116"/>
      <c r="V63" s="116"/>
      <c r="W63" s="50">
        <v>4.0</v>
      </c>
      <c r="X63" s="50">
        <v>1.0</v>
      </c>
      <c r="Y63" s="50">
        <v>3.0</v>
      </c>
      <c r="Z63" s="50">
        <v>48.0</v>
      </c>
      <c r="AA63" s="50">
        <v>3.0</v>
      </c>
      <c r="AB63" s="50">
        <v>1.0</v>
      </c>
      <c r="AC63" s="50">
        <v>3.0</v>
      </c>
      <c r="AD63" s="50">
        <v>10.0</v>
      </c>
      <c r="AE63" s="50">
        <v>1.0</v>
      </c>
      <c r="AF63" s="50">
        <v>2.0</v>
      </c>
      <c r="AG63" s="50">
        <v>1.0</v>
      </c>
      <c r="AH63" s="50">
        <v>3.0</v>
      </c>
      <c r="AI63" s="50">
        <v>0.0</v>
      </c>
      <c r="AJ63" s="116"/>
      <c r="AK63" s="50" t="s">
        <v>7711</v>
      </c>
      <c r="AL63" s="50">
        <v>4.0</v>
      </c>
      <c r="AM63" s="50">
        <v>0.0</v>
      </c>
      <c r="AN63" s="50" t="s">
        <v>6901</v>
      </c>
      <c r="AO63" s="117">
        <v>3152.0</v>
      </c>
      <c r="AP63" s="50" t="s">
        <v>7712</v>
      </c>
      <c r="AQ63" s="50" t="s">
        <v>7713</v>
      </c>
      <c r="AR63" s="117">
        <v>62.0</v>
      </c>
    </row>
    <row r="64">
      <c r="A64" s="50" t="s">
        <v>7714</v>
      </c>
      <c r="B64" s="50" t="s">
        <v>6876</v>
      </c>
      <c r="C64" s="50" t="s">
        <v>6877</v>
      </c>
      <c r="D64" s="50" t="s">
        <v>6878</v>
      </c>
      <c r="E64" s="144">
        <v>43635.0</v>
      </c>
      <c r="F64" s="50" t="s">
        <v>7719</v>
      </c>
      <c r="G64" s="50">
        <v>58.0</v>
      </c>
      <c r="H64" s="50">
        <v>1.0</v>
      </c>
      <c r="I64" s="50">
        <v>99.0</v>
      </c>
      <c r="J64" s="116"/>
      <c r="K64" s="116"/>
      <c r="L64" s="50" t="s">
        <v>467</v>
      </c>
      <c r="M64" s="50" t="s">
        <v>467</v>
      </c>
      <c r="N64" s="50" t="s">
        <v>7721</v>
      </c>
      <c r="O64" s="50" t="s">
        <v>7703</v>
      </c>
      <c r="P64" s="50" t="s">
        <v>7704</v>
      </c>
      <c r="Q64" s="50" t="s">
        <v>7706</v>
      </c>
      <c r="R64" s="116"/>
      <c r="S64" s="116"/>
      <c r="T64" s="116"/>
      <c r="U64" s="116"/>
      <c r="V64" s="116"/>
      <c r="W64" s="50">
        <v>7.0</v>
      </c>
      <c r="X64" s="50">
        <v>10.0</v>
      </c>
      <c r="Y64" s="50">
        <v>3.0</v>
      </c>
      <c r="Z64" s="50">
        <v>0.0</v>
      </c>
      <c r="AA64" s="116"/>
      <c r="AB64" s="116"/>
      <c r="AC64" s="116"/>
      <c r="AD64" s="116"/>
      <c r="AE64" s="116"/>
      <c r="AF64" s="116"/>
      <c r="AG64" s="116"/>
      <c r="AH64" s="116"/>
      <c r="AI64" s="116"/>
      <c r="AJ64" s="116"/>
      <c r="AK64" s="50" t="s">
        <v>7724</v>
      </c>
      <c r="AL64" s="50">
        <v>4.0</v>
      </c>
      <c r="AM64" s="50">
        <v>0.0</v>
      </c>
      <c r="AN64" s="50" t="s">
        <v>6901</v>
      </c>
      <c r="AO64" s="117">
        <v>3153.0</v>
      </c>
      <c r="AP64" s="50" t="s">
        <v>7728</v>
      </c>
      <c r="AQ64" s="50" t="s">
        <v>7730</v>
      </c>
      <c r="AR64" s="117">
        <v>63.0</v>
      </c>
    </row>
    <row r="65">
      <c r="A65" s="50" t="s">
        <v>7731</v>
      </c>
      <c r="B65" s="50" t="s">
        <v>6876</v>
      </c>
      <c r="C65" s="50" t="s">
        <v>6877</v>
      </c>
      <c r="D65" s="50" t="s">
        <v>6878</v>
      </c>
      <c r="E65" s="144">
        <v>43635.0</v>
      </c>
      <c r="F65" s="50" t="s">
        <v>7733</v>
      </c>
      <c r="G65" s="50">
        <v>58.0</v>
      </c>
      <c r="H65" s="50">
        <v>1.0</v>
      </c>
      <c r="I65" s="50">
        <v>8.0</v>
      </c>
      <c r="J65" s="116"/>
      <c r="K65" s="116"/>
      <c r="L65" s="50" t="s">
        <v>473</v>
      </c>
      <c r="M65" s="50" t="s">
        <v>473</v>
      </c>
      <c r="N65" s="50" t="s">
        <v>7736</v>
      </c>
      <c r="O65" s="50" t="s">
        <v>7737</v>
      </c>
      <c r="P65" s="50" t="s">
        <v>7704</v>
      </c>
      <c r="Q65" s="50" t="s">
        <v>7706</v>
      </c>
      <c r="R65" s="116"/>
      <c r="S65" s="116"/>
      <c r="T65" s="116"/>
      <c r="U65" s="50">
        <v>100.0</v>
      </c>
      <c r="V65" s="116"/>
      <c r="W65" s="50">
        <v>7.0</v>
      </c>
      <c r="X65" s="50">
        <v>1.0</v>
      </c>
      <c r="Y65" s="50">
        <v>3.0</v>
      </c>
      <c r="Z65" s="50">
        <v>27.0</v>
      </c>
      <c r="AA65" s="50">
        <v>6.0</v>
      </c>
      <c r="AB65" s="50">
        <v>1.0</v>
      </c>
      <c r="AC65" s="50">
        <v>3.0</v>
      </c>
      <c r="AD65" s="50">
        <v>7.0</v>
      </c>
      <c r="AE65" s="50">
        <v>1.0</v>
      </c>
      <c r="AF65" s="50">
        <v>5.0</v>
      </c>
      <c r="AG65" s="50">
        <v>1.0</v>
      </c>
      <c r="AH65" s="50">
        <v>3.0</v>
      </c>
      <c r="AI65" s="50">
        <v>4.0</v>
      </c>
      <c r="AJ65" s="116"/>
      <c r="AK65" s="50" t="s">
        <v>7738</v>
      </c>
      <c r="AL65" s="50">
        <v>4.0</v>
      </c>
      <c r="AM65" s="50">
        <v>0.0</v>
      </c>
      <c r="AN65" s="50" t="s">
        <v>6901</v>
      </c>
      <c r="AO65" s="117">
        <v>3154.0</v>
      </c>
      <c r="AP65" s="50" t="s">
        <v>7742</v>
      </c>
      <c r="AQ65" s="50" t="s">
        <v>7744</v>
      </c>
      <c r="AR65" s="117">
        <v>64.0</v>
      </c>
    </row>
    <row r="66">
      <c r="A66" s="50" t="s">
        <v>7733</v>
      </c>
      <c r="B66" s="50" t="s">
        <v>6876</v>
      </c>
      <c r="C66" s="50" t="s">
        <v>6877</v>
      </c>
      <c r="D66" s="50" t="s">
        <v>6878</v>
      </c>
      <c r="E66" s="144">
        <v>43635.0</v>
      </c>
      <c r="F66" s="50" t="s">
        <v>7745</v>
      </c>
      <c r="G66" s="50">
        <v>58.0</v>
      </c>
      <c r="H66" s="50">
        <v>1.0</v>
      </c>
      <c r="I66" s="50">
        <v>8.0</v>
      </c>
      <c r="J66" s="116"/>
      <c r="K66" s="116"/>
      <c r="L66" s="50" t="s">
        <v>475</v>
      </c>
      <c r="M66" s="50" t="s">
        <v>475</v>
      </c>
      <c r="N66" s="50" t="s">
        <v>7748</v>
      </c>
      <c r="O66" s="50" t="s">
        <v>7737</v>
      </c>
      <c r="P66" s="50" t="s">
        <v>7704</v>
      </c>
      <c r="Q66" s="50" t="s">
        <v>7706</v>
      </c>
      <c r="R66" s="116"/>
      <c r="S66" s="116"/>
      <c r="T66" s="116"/>
      <c r="U66" s="50">
        <v>100.0</v>
      </c>
      <c r="V66" s="116"/>
      <c r="W66" s="50">
        <v>7.0</v>
      </c>
      <c r="X66" s="50">
        <v>1.0</v>
      </c>
      <c r="Y66" s="50">
        <v>2.0</v>
      </c>
      <c r="Z66" s="116"/>
      <c r="AA66" s="50">
        <v>6.0</v>
      </c>
      <c r="AB66" s="50">
        <v>1.0</v>
      </c>
      <c r="AC66" s="50">
        <v>1.0</v>
      </c>
      <c r="AD66" s="116"/>
      <c r="AE66" s="50">
        <v>1.0</v>
      </c>
      <c r="AF66" s="50">
        <v>5.0</v>
      </c>
      <c r="AG66" s="50">
        <v>1.0</v>
      </c>
      <c r="AH66" s="50">
        <v>3.0</v>
      </c>
      <c r="AI66" s="50">
        <v>180.0</v>
      </c>
      <c r="AJ66" s="116"/>
      <c r="AK66" s="50" t="s">
        <v>7753</v>
      </c>
      <c r="AL66" s="50">
        <v>4.0</v>
      </c>
      <c r="AM66" s="50">
        <v>0.0</v>
      </c>
      <c r="AN66" s="50" t="s">
        <v>6901</v>
      </c>
      <c r="AO66" s="117">
        <v>3155.0</v>
      </c>
      <c r="AP66" s="50" t="s">
        <v>7755</v>
      </c>
      <c r="AQ66" s="50" t="s">
        <v>7756</v>
      </c>
      <c r="AR66" s="117">
        <v>65.0</v>
      </c>
    </row>
    <row r="67">
      <c r="A67" s="50" t="s">
        <v>7745</v>
      </c>
      <c r="B67" s="50" t="s">
        <v>6876</v>
      </c>
      <c r="C67" s="50" t="s">
        <v>6877</v>
      </c>
      <c r="D67" s="50" t="s">
        <v>6878</v>
      </c>
      <c r="E67" s="144">
        <v>43635.0</v>
      </c>
      <c r="F67" s="50" t="s">
        <v>7759</v>
      </c>
      <c r="G67" s="50">
        <v>58.0</v>
      </c>
      <c r="H67" s="50">
        <v>1.0</v>
      </c>
      <c r="I67" s="50">
        <v>2.0</v>
      </c>
      <c r="J67" s="116"/>
      <c r="K67" s="116"/>
      <c r="L67" s="50" t="s">
        <v>470</v>
      </c>
      <c r="M67" s="50" t="s">
        <v>470</v>
      </c>
      <c r="N67" s="50" t="s">
        <v>7760</v>
      </c>
      <c r="O67" s="50" t="s">
        <v>7703</v>
      </c>
      <c r="P67" s="50" t="s">
        <v>7704</v>
      </c>
      <c r="Q67" s="50" t="s">
        <v>7706</v>
      </c>
      <c r="R67" s="50">
        <v>103.0</v>
      </c>
      <c r="S67" s="116"/>
      <c r="T67" s="116"/>
      <c r="U67" s="116"/>
      <c r="V67" s="116"/>
      <c r="W67" s="50">
        <v>7.0</v>
      </c>
      <c r="X67" s="50">
        <v>10.0</v>
      </c>
      <c r="Y67" s="50">
        <v>2.0</v>
      </c>
      <c r="Z67" s="116"/>
      <c r="AA67" s="50">
        <v>7.0</v>
      </c>
      <c r="AB67" s="50">
        <v>1.0</v>
      </c>
      <c r="AC67" s="50">
        <v>2.0</v>
      </c>
      <c r="AD67" s="116"/>
      <c r="AE67" s="50">
        <v>1.0</v>
      </c>
      <c r="AF67" s="50">
        <v>6.0</v>
      </c>
      <c r="AG67" s="50">
        <v>1.0</v>
      </c>
      <c r="AH67" s="50">
        <v>3.0</v>
      </c>
      <c r="AI67" s="50">
        <v>8.0</v>
      </c>
      <c r="AJ67" s="116"/>
      <c r="AK67" s="50" t="s">
        <v>7766</v>
      </c>
      <c r="AL67" s="50">
        <v>4.0</v>
      </c>
      <c r="AM67" s="50">
        <v>0.0</v>
      </c>
      <c r="AN67" s="50" t="s">
        <v>6901</v>
      </c>
      <c r="AO67" s="117">
        <v>3156.0</v>
      </c>
      <c r="AP67" s="50" t="s">
        <v>7768</v>
      </c>
      <c r="AQ67" s="50" t="s">
        <v>7769</v>
      </c>
      <c r="AR67" s="117">
        <v>66.0</v>
      </c>
    </row>
    <row r="68">
      <c r="A68" s="50" t="s">
        <v>7759</v>
      </c>
      <c r="B68" s="50" t="s">
        <v>6876</v>
      </c>
      <c r="C68" s="50" t="s">
        <v>6877</v>
      </c>
      <c r="D68" s="50" t="s">
        <v>6878</v>
      </c>
      <c r="E68" s="144">
        <v>43635.0</v>
      </c>
      <c r="F68" s="50" t="s">
        <v>7770</v>
      </c>
      <c r="G68" s="50">
        <v>58.0</v>
      </c>
      <c r="H68" s="50">
        <v>1.0</v>
      </c>
      <c r="I68" s="50">
        <v>2.0</v>
      </c>
      <c r="J68" s="116"/>
      <c r="K68" s="116"/>
      <c r="L68" s="50" t="s">
        <v>471</v>
      </c>
      <c r="M68" s="50" t="s">
        <v>471</v>
      </c>
      <c r="N68" s="50" t="s">
        <v>7760</v>
      </c>
      <c r="O68" s="50" t="s">
        <v>7703</v>
      </c>
      <c r="P68" s="50" t="s">
        <v>7704</v>
      </c>
      <c r="Q68" s="50" t="s">
        <v>7706</v>
      </c>
      <c r="R68" s="50">
        <v>57.5</v>
      </c>
      <c r="S68" s="116"/>
      <c r="T68" s="116"/>
      <c r="U68" s="116"/>
      <c r="V68" s="116"/>
      <c r="W68" s="50">
        <v>7.0</v>
      </c>
      <c r="X68" s="50">
        <v>10.0</v>
      </c>
      <c r="Y68" s="50">
        <v>2.0</v>
      </c>
      <c r="Z68" s="116"/>
      <c r="AA68" s="50">
        <v>7.0</v>
      </c>
      <c r="AB68" s="50">
        <v>1.0</v>
      </c>
      <c r="AC68" s="50">
        <v>3.0</v>
      </c>
      <c r="AD68" s="50">
        <v>0.0</v>
      </c>
      <c r="AE68" s="50">
        <v>1.0</v>
      </c>
      <c r="AF68" s="50">
        <v>6.0</v>
      </c>
      <c r="AG68" s="50">
        <v>1.0</v>
      </c>
      <c r="AH68" s="50">
        <v>3.0</v>
      </c>
      <c r="AI68" s="50">
        <v>0.0</v>
      </c>
      <c r="AJ68" s="116"/>
      <c r="AK68" s="50" t="s">
        <v>7775</v>
      </c>
      <c r="AL68" s="50" t="s">
        <v>7776</v>
      </c>
      <c r="AM68" s="50">
        <v>0.0</v>
      </c>
      <c r="AN68" s="50" t="s">
        <v>6901</v>
      </c>
      <c r="AO68" s="117">
        <v>3157.0</v>
      </c>
      <c r="AP68" s="50" t="s">
        <v>7779</v>
      </c>
      <c r="AQ68" s="50" t="s">
        <v>7780</v>
      </c>
      <c r="AR68" s="117">
        <v>67.0</v>
      </c>
    </row>
    <row r="69">
      <c r="A69" s="50" t="s">
        <v>7781</v>
      </c>
      <c r="B69" s="50" t="s">
        <v>6876</v>
      </c>
      <c r="C69" s="50" t="s">
        <v>6877</v>
      </c>
      <c r="D69" s="50" t="s">
        <v>6878</v>
      </c>
      <c r="E69" s="144">
        <v>43635.0</v>
      </c>
      <c r="F69" s="50" t="s">
        <v>7782</v>
      </c>
      <c r="G69" s="50">
        <v>58.0</v>
      </c>
      <c r="H69" s="50">
        <v>1.0</v>
      </c>
      <c r="I69" s="50">
        <v>3.0</v>
      </c>
      <c r="J69" s="116"/>
      <c r="K69" s="116"/>
      <c r="L69" s="50" t="s">
        <v>485</v>
      </c>
      <c r="M69" s="50" t="s">
        <v>485</v>
      </c>
      <c r="N69" s="50" t="s">
        <v>7783</v>
      </c>
      <c r="O69" s="50" t="s">
        <v>7784</v>
      </c>
      <c r="P69" s="50" t="s">
        <v>7786</v>
      </c>
      <c r="Q69" s="50" t="s">
        <v>7788</v>
      </c>
      <c r="R69" s="116"/>
      <c r="S69" s="116"/>
      <c r="T69" s="116"/>
      <c r="U69" s="116"/>
      <c r="V69" s="116"/>
      <c r="W69" s="50">
        <v>7.0</v>
      </c>
      <c r="X69" s="50">
        <v>100.0</v>
      </c>
      <c r="Y69" s="50">
        <v>3.0</v>
      </c>
      <c r="Z69" s="50">
        <v>0.0</v>
      </c>
      <c r="AA69" s="50">
        <v>7.0</v>
      </c>
      <c r="AB69" s="50">
        <v>10.0</v>
      </c>
      <c r="AC69" s="50">
        <v>3.0</v>
      </c>
      <c r="AD69" s="50">
        <v>0.0</v>
      </c>
      <c r="AE69" s="50">
        <v>0.0</v>
      </c>
      <c r="AF69" s="116"/>
      <c r="AG69" s="116"/>
      <c r="AH69" s="116"/>
      <c r="AI69" s="116"/>
      <c r="AJ69" s="116"/>
      <c r="AK69" s="50" t="s">
        <v>7793</v>
      </c>
      <c r="AL69" s="50">
        <v>3.0</v>
      </c>
      <c r="AM69" s="50">
        <v>0.0</v>
      </c>
      <c r="AN69" s="50" t="s">
        <v>6901</v>
      </c>
      <c r="AO69" s="117">
        <v>3158.0</v>
      </c>
      <c r="AP69" s="50" t="s">
        <v>7794</v>
      </c>
      <c r="AQ69" s="50" t="s">
        <v>7795</v>
      </c>
      <c r="AR69" s="117">
        <v>68.0</v>
      </c>
    </row>
    <row r="70">
      <c r="A70" s="50" t="s">
        <v>7796</v>
      </c>
      <c r="B70" s="50" t="s">
        <v>6876</v>
      </c>
      <c r="C70" s="50" t="s">
        <v>6877</v>
      </c>
      <c r="D70" s="50" t="s">
        <v>6878</v>
      </c>
      <c r="E70" s="144">
        <v>43635.0</v>
      </c>
      <c r="F70" s="50" t="s">
        <v>7797</v>
      </c>
      <c r="G70" s="50">
        <v>58.0</v>
      </c>
      <c r="H70" s="50">
        <v>1.0</v>
      </c>
      <c r="I70" s="50">
        <v>1.0</v>
      </c>
      <c r="J70" s="116"/>
      <c r="K70" s="116"/>
      <c r="L70" s="50" t="s">
        <v>486</v>
      </c>
      <c r="M70" s="50" t="s">
        <v>486</v>
      </c>
      <c r="N70" s="50" t="s">
        <v>7783</v>
      </c>
      <c r="O70" s="50" t="s">
        <v>7784</v>
      </c>
      <c r="P70" s="50" t="s">
        <v>7786</v>
      </c>
      <c r="Q70" s="50" t="s">
        <v>7788</v>
      </c>
      <c r="R70" s="116"/>
      <c r="S70" s="116"/>
      <c r="T70" s="116"/>
      <c r="U70" s="116"/>
      <c r="V70" s="116"/>
      <c r="W70" s="50">
        <v>4.0</v>
      </c>
      <c r="X70" s="50">
        <v>1.0</v>
      </c>
      <c r="Y70" s="50">
        <v>3.0</v>
      </c>
      <c r="Z70" s="50">
        <v>42.0</v>
      </c>
      <c r="AA70" s="50">
        <v>3.0</v>
      </c>
      <c r="AB70" s="50">
        <v>1.0</v>
      </c>
      <c r="AC70" s="50">
        <v>3.0</v>
      </c>
      <c r="AD70" s="50">
        <v>8.0</v>
      </c>
      <c r="AE70" s="50">
        <v>0.0</v>
      </c>
      <c r="AF70" s="116"/>
      <c r="AG70" s="116"/>
      <c r="AH70" s="116"/>
      <c r="AI70" s="116"/>
      <c r="AJ70" s="116"/>
      <c r="AK70" s="50" t="s">
        <v>7802</v>
      </c>
      <c r="AL70" s="50">
        <v>3.0</v>
      </c>
      <c r="AM70" s="50">
        <v>0.0</v>
      </c>
      <c r="AN70" s="50" t="s">
        <v>6901</v>
      </c>
      <c r="AO70" s="117">
        <v>3159.0</v>
      </c>
      <c r="AP70" s="50" t="s">
        <v>7805</v>
      </c>
      <c r="AQ70" s="50" t="s">
        <v>7806</v>
      </c>
      <c r="AR70" s="117">
        <v>69.0</v>
      </c>
    </row>
    <row r="71">
      <c r="A71" s="50" t="s">
        <v>7807</v>
      </c>
      <c r="B71" s="50" t="s">
        <v>6876</v>
      </c>
      <c r="C71" s="50" t="s">
        <v>6877</v>
      </c>
      <c r="D71" s="50" t="s">
        <v>6878</v>
      </c>
      <c r="E71" s="144">
        <v>43635.0</v>
      </c>
      <c r="F71" s="50" t="s">
        <v>7808</v>
      </c>
      <c r="G71" s="50">
        <v>58.0</v>
      </c>
      <c r="H71" s="50">
        <v>1.0</v>
      </c>
      <c r="I71" s="50">
        <v>5.0</v>
      </c>
      <c r="J71" s="116"/>
      <c r="K71" s="116"/>
      <c r="L71" s="50" t="s">
        <v>493</v>
      </c>
      <c r="M71" s="50" t="s">
        <v>493</v>
      </c>
      <c r="N71" s="50" t="s">
        <v>7784</v>
      </c>
      <c r="O71" s="50" t="s">
        <v>7809</v>
      </c>
      <c r="P71" s="50" t="s">
        <v>7786</v>
      </c>
      <c r="Q71" s="50" t="s">
        <v>7788</v>
      </c>
      <c r="R71" s="116"/>
      <c r="S71" s="116"/>
      <c r="T71" s="116"/>
      <c r="U71" s="116"/>
      <c r="V71" s="116"/>
      <c r="W71" s="50">
        <v>7.0</v>
      </c>
      <c r="X71" s="50">
        <v>10.0</v>
      </c>
      <c r="Y71" s="50">
        <v>2.0</v>
      </c>
      <c r="Z71" s="116"/>
      <c r="AA71" s="50">
        <v>7.0</v>
      </c>
      <c r="AB71" s="50">
        <v>1.0</v>
      </c>
      <c r="AC71" s="50">
        <v>2.0</v>
      </c>
      <c r="AD71" s="116"/>
      <c r="AE71" s="50">
        <v>0.0</v>
      </c>
      <c r="AF71" s="116"/>
      <c r="AG71" s="116"/>
      <c r="AH71" s="116"/>
      <c r="AI71" s="116"/>
      <c r="AJ71" s="116"/>
      <c r="AK71" s="50" t="s">
        <v>7814</v>
      </c>
      <c r="AL71" s="50">
        <v>3.0</v>
      </c>
      <c r="AM71" s="50">
        <v>0.0</v>
      </c>
      <c r="AN71" s="50" t="s">
        <v>6901</v>
      </c>
      <c r="AO71" s="117">
        <v>3160.0</v>
      </c>
      <c r="AP71" s="50" t="s">
        <v>7815</v>
      </c>
      <c r="AQ71" s="50" t="s">
        <v>7817</v>
      </c>
      <c r="AR71" s="117">
        <v>70.0</v>
      </c>
    </row>
    <row r="72">
      <c r="A72" s="50" t="s">
        <v>7819</v>
      </c>
      <c r="B72" s="50" t="s">
        <v>6876</v>
      </c>
      <c r="C72" s="50" t="s">
        <v>6877</v>
      </c>
      <c r="D72" s="50" t="s">
        <v>6878</v>
      </c>
      <c r="E72" s="144">
        <v>43635.0</v>
      </c>
      <c r="F72" s="50" t="s">
        <v>7820</v>
      </c>
      <c r="G72" s="50">
        <v>58.0</v>
      </c>
      <c r="H72" s="50">
        <v>1.0</v>
      </c>
      <c r="I72" s="50">
        <v>10.0</v>
      </c>
      <c r="J72" s="116"/>
      <c r="K72" s="116"/>
      <c r="L72" s="50" t="s">
        <v>488</v>
      </c>
      <c r="M72" s="50" t="s">
        <v>488</v>
      </c>
      <c r="N72" s="50" t="s">
        <v>7784</v>
      </c>
      <c r="O72" s="50" t="s">
        <v>7809</v>
      </c>
      <c r="P72" s="50" t="s">
        <v>7786</v>
      </c>
      <c r="Q72" s="50" t="s">
        <v>7788</v>
      </c>
      <c r="R72" s="116"/>
      <c r="S72" s="50">
        <v>150.0</v>
      </c>
      <c r="T72" s="116"/>
      <c r="U72" s="116"/>
      <c r="V72" s="116"/>
      <c r="W72" s="50">
        <v>7.0</v>
      </c>
      <c r="X72" s="50">
        <v>10.0</v>
      </c>
      <c r="Y72" s="50">
        <v>3.0</v>
      </c>
      <c r="Z72" s="50">
        <v>2.0</v>
      </c>
      <c r="AA72" s="50">
        <v>7.0</v>
      </c>
      <c r="AB72" s="50">
        <v>1.0</v>
      </c>
      <c r="AC72" s="50">
        <v>3.0</v>
      </c>
      <c r="AD72" s="50">
        <v>0.0</v>
      </c>
      <c r="AE72" s="50">
        <v>1.0</v>
      </c>
      <c r="AF72" s="50">
        <v>6.0</v>
      </c>
      <c r="AG72" s="50">
        <v>1.0</v>
      </c>
      <c r="AH72" s="50">
        <v>3.0</v>
      </c>
      <c r="AI72" s="50">
        <v>0.0</v>
      </c>
      <c r="AJ72" s="116"/>
      <c r="AK72" s="50" t="s">
        <v>7825</v>
      </c>
      <c r="AL72" s="50">
        <v>3.0</v>
      </c>
      <c r="AM72" s="50">
        <v>0.0</v>
      </c>
      <c r="AN72" s="50" t="s">
        <v>6901</v>
      </c>
      <c r="AO72" s="117">
        <v>3174.0</v>
      </c>
      <c r="AP72" s="50" t="s">
        <v>7826</v>
      </c>
      <c r="AQ72" s="50" t="s">
        <v>7827</v>
      </c>
      <c r="AR72" s="117">
        <v>71.0</v>
      </c>
    </row>
    <row r="73">
      <c r="A73" s="50" t="s">
        <v>7830</v>
      </c>
      <c r="B73" s="50" t="s">
        <v>6876</v>
      </c>
      <c r="C73" s="50" t="s">
        <v>6877</v>
      </c>
      <c r="D73" s="50" t="s">
        <v>7831</v>
      </c>
      <c r="E73" s="144">
        <v>43650.0</v>
      </c>
      <c r="F73" s="50" t="s">
        <v>7832</v>
      </c>
      <c r="G73" s="50">
        <v>59.0</v>
      </c>
      <c r="H73" s="50">
        <v>1.0</v>
      </c>
      <c r="I73" s="50">
        <v>11.0</v>
      </c>
      <c r="J73" s="116"/>
      <c r="K73" s="116"/>
      <c r="L73" s="50" t="s">
        <v>809</v>
      </c>
      <c r="M73" s="50" t="s">
        <v>809</v>
      </c>
      <c r="N73" s="50" t="s">
        <v>7833</v>
      </c>
      <c r="O73" s="50" t="s">
        <v>7834</v>
      </c>
      <c r="P73" s="50" t="s">
        <v>7835</v>
      </c>
      <c r="Q73" s="50" t="s">
        <v>7836</v>
      </c>
      <c r="R73" s="116"/>
      <c r="S73" s="116"/>
      <c r="T73" s="116"/>
      <c r="U73" s="116"/>
      <c r="V73" s="116"/>
      <c r="W73" s="50">
        <v>4.0</v>
      </c>
      <c r="X73" s="50">
        <v>1.0</v>
      </c>
      <c r="Y73" s="50">
        <v>1.0</v>
      </c>
      <c r="Z73" s="116"/>
      <c r="AA73" s="50">
        <v>3.0</v>
      </c>
      <c r="AB73" s="50">
        <v>1.0</v>
      </c>
      <c r="AC73" s="50">
        <v>3.0</v>
      </c>
      <c r="AD73" s="50">
        <v>55.0</v>
      </c>
      <c r="AE73" s="50">
        <v>1.0</v>
      </c>
      <c r="AF73" s="50">
        <v>2.0</v>
      </c>
      <c r="AG73" s="50">
        <v>1.0</v>
      </c>
      <c r="AH73" s="50">
        <v>3.0</v>
      </c>
      <c r="AI73" s="50">
        <v>2.0</v>
      </c>
      <c r="AJ73" s="116"/>
      <c r="AK73" s="50" t="s">
        <v>7841</v>
      </c>
      <c r="AL73" s="50">
        <v>3.0</v>
      </c>
      <c r="AM73" s="50">
        <v>0.0</v>
      </c>
      <c r="AN73" s="50" t="s">
        <v>6901</v>
      </c>
      <c r="AO73" s="117">
        <v>3378.0</v>
      </c>
      <c r="AP73" s="50" t="s">
        <v>7842</v>
      </c>
      <c r="AQ73" s="50" t="s">
        <v>7843</v>
      </c>
      <c r="AR73" s="117">
        <v>72.0</v>
      </c>
    </row>
    <row r="74">
      <c r="A74" s="50" t="s">
        <v>7846</v>
      </c>
      <c r="B74" s="50" t="s">
        <v>6876</v>
      </c>
      <c r="C74" s="50" t="s">
        <v>6877</v>
      </c>
      <c r="D74" s="50" t="s">
        <v>7831</v>
      </c>
      <c r="E74" s="144">
        <v>43650.0</v>
      </c>
      <c r="F74" s="50" t="s">
        <v>7847</v>
      </c>
      <c r="G74" s="50">
        <v>58.0</v>
      </c>
      <c r="H74" s="50">
        <v>1.0</v>
      </c>
      <c r="I74" s="50">
        <v>11.0</v>
      </c>
      <c r="J74" s="116"/>
      <c r="K74" s="116"/>
      <c r="L74" s="50" t="s">
        <v>7848</v>
      </c>
      <c r="M74" s="50" t="s">
        <v>7848</v>
      </c>
      <c r="N74" s="50" t="s">
        <v>7849</v>
      </c>
      <c r="O74" s="50" t="s">
        <v>7834</v>
      </c>
      <c r="P74" s="50" t="s">
        <v>7835</v>
      </c>
      <c r="Q74" s="50" t="s">
        <v>7836</v>
      </c>
      <c r="R74" s="116"/>
      <c r="S74" s="116"/>
      <c r="T74" s="116"/>
      <c r="U74" s="116"/>
      <c r="V74" s="116"/>
      <c r="W74" s="50">
        <v>4.0</v>
      </c>
      <c r="X74" s="50">
        <v>1.0</v>
      </c>
      <c r="Y74" s="50">
        <v>3.0</v>
      </c>
      <c r="Z74" s="50">
        <v>65.0</v>
      </c>
      <c r="AA74" s="50">
        <v>3.0</v>
      </c>
      <c r="AB74" s="50">
        <v>1.0</v>
      </c>
      <c r="AC74" s="50">
        <v>3.0</v>
      </c>
      <c r="AD74" s="50">
        <v>11.0</v>
      </c>
      <c r="AE74" s="50">
        <v>1.0</v>
      </c>
      <c r="AF74" s="50">
        <v>2.0</v>
      </c>
      <c r="AG74" s="50">
        <v>1.0</v>
      </c>
      <c r="AH74" s="50">
        <v>3.0</v>
      </c>
      <c r="AI74" s="50">
        <v>0.0</v>
      </c>
      <c r="AJ74" s="116"/>
      <c r="AK74" s="50" t="s">
        <v>7854</v>
      </c>
      <c r="AL74" s="50">
        <v>3.0</v>
      </c>
      <c r="AM74" s="50">
        <v>0.0</v>
      </c>
      <c r="AN74" s="50" t="s">
        <v>6901</v>
      </c>
      <c r="AO74" s="117">
        <v>3379.0</v>
      </c>
      <c r="AP74" s="50" t="s">
        <v>7855</v>
      </c>
      <c r="AQ74" s="50" t="s">
        <v>7856</v>
      </c>
      <c r="AR74" s="117">
        <v>73.0</v>
      </c>
    </row>
    <row r="75">
      <c r="A75" s="50" t="s">
        <v>7857</v>
      </c>
      <c r="B75" s="50" t="s">
        <v>6876</v>
      </c>
      <c r="C75" s="50" t="s">
        <v>6877</v>
      </c>
      <c r="D75" s="50" t="s">
        <v>7831</v>
      </c>
      <c r="E75" s="144">
        <v>43656.0</v>
      </c>
      <c r="F75" s="50" t="s">
        <v>7860</v>
      </c>
      <c r="G75" s="50">
        <v>58.0</v>
      </c>
      <c r="H75" s="50">
        <v>1.0</v>
      </c>
      <c r="I75" s="50">
        <v>11.0</v>
      </c>
      <c r="J75" s="116"/>
      <c r="K75" s="116"/>
      <c r="L75" s="50" t="s">
        <v>840</v>
      </c>
      <c r="M75" s="50" t="s">
        <v>840</v>
      </c>
      <c r="N75" s="50" t="s">
        <v>7861</v>
      </c>
      <c r="O75" s="50" t="s">
        <v>7862</v>
      </c>
      <c r="P75" s="50" t="s">
        <v>7863</v>
      </c>
      <c r="Q75" s="50" t="s">
        <v>7864</v>
      </c>
      <c r="R75" s="116"/>
      <c r="S75" s="116"/>
      <c r="T75" s="116"/>
      <c r="U75" s="116"/>
      <c r="V75" s="116"/>
      <c r="W75" s="50">
        <v>4.0</v>
      </c>
      <c r="X75" s="50">
        <v>1.0</v>
      </c>
      <c r="Y75" s="50">
        <v>3.0</v>
      </c>
      <c r="Z75" s="50">
        <v>60.0</v>
      </c>
      <c r="AA75" s="50">
        <v>3.0</v>
      </c>
      <c r="AB75" s="50">
        <v>1.0</v>
      </c>
      <c r="AC75" s="50">
        <v>3.0</v>
      </c>
      <c r="AD75" s="50">
        <v>10.0</v>
      </c>
      <c r="AE75" s="50">
        <v>1.0</v>
      </c>
      <c r="AF75" s="50">
        <v>2.0</v>
      </c>
      <c r="AG75" s="50">
        <v>1.0</v>
      </c>
      <c r="AH75" s="50">
        <v>3.0</v>
      </c>
      <c r="AI75" s="50">
        <v>1.0</v>
      </c>
      <c r="AJ75" s="116"/>
      <c r="AK75" s="50" t="s">
        <v>7868</v>
      </c>
      <c r="AL75" s="50">
        <v>4.0</v>
      </c>
      <c r="AM75" s="50">
        <v>0.0</v>
      </c>
      <c r="AN75" s="50" t="s">
        <v>6901</v>
      </c>
      <c r="AO75" s="117">
        <v>3415.0</v>
      </c>
      <c r="AP75" s="50" t="s">
        <v>7870</v>
      </c>
      <c r="AQ75" s="50" t="s">
        <v>7871</v>
      </c>
      <c r="AR75" s="117">
        <v>74.0</v>
      </c>
    </row>
    <row r="76">
      <c r="A76" s="50" t="s">
        <v>7873</v>
      </c>
      <c r="B76" s="50" t="s">
        <v>6876</v>
      </c>
      <c r="C76" s="50" t="s">
        <v>6877</v>
      </c>
      <c r="D76" s="50" t="s">
        <v>6907</v>
      </c>
      <c r="E76" s="144">
        <v>43658.0</v>
      </c>
      <c r="F76" s="50" t="s">
        <v>7875</v>
      </c>
      <c r="G76" s="50">
        <v>59.0</v>
      </c>
      <c r="H76" s="50">
        <v>1.0</v>
      </c>
      <c r="I76" s="50">
        <v>11.0</v>
      </c>
      <c r="J76" s="116"/>
      <c r="K76" s="116"/>
      <c r="L76" s="50" t="s">
        <v>855</v>
      </c>
      <c r="M76" s="50" t="s">
        <v>855</v>
      </c>
      <c r="N76" s="50" t="s">
        <v>7877</v>
      </c>
      <c r="O76" s="50" t="s">
        <v>7878</v>
      </c>
      <c r="P76" s="50" t="s">
        <v>7879</v>
      </c>
      <c r="Q76" s="50" t="s">
        <v>7880</v>
      </c>
      <c r="R76" s="116"/>
      <c r="S76" s="116"/>
      <c r="T76" s="116"/>
      <c r="U76" s="116"/>
      <c r="V76" s="116"/>
      <c r="W76" s="50">
        <v>4.0</v>
      </c>
      <c r="X76" s="50">
        <v>1.0</v>
      </c>
      <c r="Y76" s="50">
        <v>1.0</v>
      </c>
      <c r="Z76" s="116"/>
      <c r="AA76" s="50">
        <v>3.0</v>
      </c>
      <c r="AB76" s="50">
        <v>1.0</v>
      </c>
      <c r="AC76" s="50">
        <v>3.0</v>
      </c>
      <c r="AD76" s="50">
        <v>39.0</v>
      </c>
      <c r="AE76" s="50">
        <v>1.0</v>
      </c>
      <c r="AF76" s="50">
        <v>2.0</v>
      </c>
      <c r="AG76" s="50">
        <v>1.0</v>
      </c>
      <c r="AH76" s="50">
        <v>3.0</v>
      </c>
      <c r="AI76" s="50">
        <v>4.0</v>
      </c>
      <c r="AJ76" s="116"/>
      <c r="AK76" s="50" t="s">
        <v>7881</v>
      </c>
      <c r="AL76" s="50">
        <v>4.0</v>
      </c>
      <c r="AM76" s="50">
        <v>0.0</v>
      </c>
      <c r="AN76" s="50" t="s">
        <v>6901</v>
      </c>
      <c r="AO76" s="117">
        <v>3433.0</v>
      </c>
      <c r="AP76" s="50" t="s">
        <v>7886</v>
      </c>
      <c r="AQ76" s="50" t="s">
        <v>7887</v>
      </c>
      <c r="AR76" s="117">
        <v>75.0</v>
      </c>
    </row>
    <row r="77">
      <c r="A77" s="50" t="s">
        <v>7888</v>
      </c>
      <c r="B77" s="50" t="s">
        <v>6876</v>
      </c>
      <c r="C77" s="50" t="s">
        <v>6877</v>
      </c>
      <c r="D77" s="50" t="s">
        <v>6907</v>
      </c>
      <c r="E77" s="144">
        <v>43658.0</v>
      </c>
      <c r="F77" s="50" t="s">
        <v>7889</v>
      </c>
      <c r="G77" s="50">
        <v>59.0</v>
      </c>
      <c r="H77" s="50">
        <v>1.0</v>
      </c>
      <c r="I77" s="50">
        <v>99.0</v>
      </c>
      <c r="J77" s="116"/>
      <c r="K77" s="116"/>
      <c r="L77" s="50" t="s">
        <v>858</v>
      </c>
      <c r="M77" s="50" t="s">
        <v>858</v>
      </c>
      <c r="N77" s="50" t="s">
        <v>7877</v>
      </c>
      <c r="O77" s="50" t="s">
        <v>7892</v>
      </c>
      <c r="P77" s="50" t="s">
        <v>7893</v>
      </c>
      <c r="Q77" s="50" t="s">
        <v>7894</v>
      </c>
      <c r="R77" s="116"/>
      <c r="S77" s="116"/>
      <c r="T77" s="116"/>
      <c r="U77" s="116"/>
      <c r="V77" s="116"/>
      <c r="W77" s="50">
        <v>7.0</v>
      </c>
      <c r="X77" s="50">
        <v>100.0</v>
      </c>
      <c r="Y77" s="50">
        <v>3.0</v>
      </c>
      <c r="Z77" s="50">
        <v>0.0</v>
      </c>
      <c r="AA77" s="116"/>
      <c r="AB77" s="116"/>
      <c r="AC77" s="116"/>
      <c r="AD77" s="116"/>
      <c r="AE77" s="116"/>
      <c r="AF77" s="116"/>
      <c r="AG77" s="116"/>
      <c r="AH77" s="116"/>
      <c r="AI77" s="116"/>
      <c r="AJ77" s="116"/>
      <c r="AK77" s="50" t="s">
        <v>7896</v>
      </c>
      <c r="AL77" s="50">
        <v>4.0</v>
      </c>
      <c r="AM77" s="50">
        <v>0.0</v>
      </c>
      <c r="AN77" s="50" t="s">
        <v>6901</v>
      </c>
      <c r="AO77" s="117">
        <v>3434.0</v>
      </c>
      <c r="AP77" s="50" t="s">
        <v>7900</v>
      </c>
      <c r="AQ77" s="50" t="s">
        <v>7902</v>
      </c>
      <c r="AR77" s="117">
        <v>76.0</v>
      </c>
    </row>
    <row r="78">
      <c r="A78" s="50" t="s">
        <v>7889</v>
      </c>
      <c r="B78" s="50" t="s">
        <v>6876</v>
      </c>
      <c r="C78" s="50" t="s">
        <v>6877</v>
      </c>
      <c r="D78" s="50" t="s">
        <v>6907</v>
      </c>
      <c r="E78" s="144">
        <v>43658.0</v>
      </c>
      <c r="F78" s="50" t="s">
        <v>7903</v>
      </c>
      <c r="G78" s="50">
        <v>59.0</v>
      </c>
      <c r="H78" s="50">
        <v>1.0</v>
      </c>
      <c r="I78" s="50">
        <v>99.0</v>
      </c>
      <c r="J78" s="116"/>
      <c r="K78" s="116"/>
      <c r="L78" s="50" t="s">
        <v>851</v>
      </c>
      <c r="M78" s="50" t="s">
        <v>851</v>
      </c>
      <c r="N78" s="50" t="s">
        <v>7906</v>
      </c>
      <c r="O78" s="50" t="s">
        <v>7907</v>
      </c>
      <c r="P78" s="50" t="s">
        <v>7908</v>
      </c>
      <c r="Q78" s="50" t="s">
        <v>7878</v>
      </c>
      <c r="R78" s="116"/>
      <c r="S78" s="116"/>
      <c r="T78" s="116"/>
      <c r="U78" s="116"/>
      <c r="V78" s="116"/>
      <c r="W78" s="50">
        <v>7.0</v>
      </c>
      <c r="X78" s="50">
        <v>100.0</v>
      </c>
      <c r="Y78" s="50">
        <v>3.0</v>
      </c>
      <c r="Z78" s="50">
        <v>0.0</v>
      </c>
      <c r="AA78" s="116"/>
      <c r="AB78" s="116"/>
      <c r="AC78" s="116"/>
      <c r="AD78" s="116"/>
      <c r="AE78" s="116"/>
      <c r="AF78" s="116"/>
      <c r="AG78" s="116"/>
      <c r="AH78" s="116"/>
      <c r="AI78" s="116"/>
      <c r="AJ78" s="116"/>
      <c r="AK78" s="50" t="s">
        <v>7909</v>
      </c>
      <c r="AL78" s="50">
        <v>3.0</v>
      </c>
      <c r="AM78" s="50">
        <v>0.0</v>
      </c>
      <c r="AN78" s="50" t="s">
        <v>6901</v>
      </c>
      <c r="AO78" s="117">
        <v>3435.0</v>
      </c>
      <c r="AP78" s="50" t="s">
        <v>7910</v>
      </c>
      <c r="AQ78" s="50" t="s">
        <v>7912</v>
      </c>
      <c r="AR78" s="117">
        <v>77.0</v>
      </c>
    </row>
    <row r="79">
      <c r="A79" s="50" t="s">
        <v>7915</v>
      </c>
      <c r="B79" s="50" t="s">
        <v>6876</v>
      </c>
      <c r="C79" s="50" t="s">
        <v>6877</v>
      </c>
      <c r="D79" s="50" t="s">
        <v>6907</v>
      </c>
      <c r="E79" s="144">
        <v>43663.0</v>
      </c>
      <c r="F79" s="50" t="s">
        <v>7917</v>
      </c>
      <c r="G79" s="50">
        <v>58.0</v>
      </c>
      <c r="H79" s="50">
        <v>1.0</v>
      </c>
      <c r="I79" s="50">
        <v>11.0</v>
      </c>
      <c r="J79" s="116"/>
      <c r="K79" s="116"/>
      <c r="L79" s="50" t="s">
        <v>884</v>
      </c>
      <c r="M79" s="50" t="s">
        <v>884</v>
      </c>
      <c r="N79" s="50" t="s">
        <v>7918</v>
      </c>
      <c r="O79" s="50" t="s">
        <v>7919</v>
      </c>
      <c r="P79" s="50" t="s">
        <v>7921</v>
      </c>
      <c r="Q79" s="50" t="s">
        <v>7923</v>
      </c>
      <c r="R79" s="116"/>
      <c r="S79" s="116"/>
      <c r="T79" s="116"/>
      <c r="U79" s="116"/>
      <c r="V79" s="116"/>
      <c r="W79" s="50">
        <v>4.0</v>
      </c>
      <c r="X79" s="50">
        <v>1.0</v>
      </c>
      <c r="Y79" s="50">
        <v>3.0</v>
      </c>
      <c r="Z79" s="50">
        <v>12.0</v>
      </c>
      <c r="AA79" s="50">
        <v>3.0</v>
      </c>
      <c r="AB79" s="50">
        <v>1.0</v>
      </c>
      <c r="AC79" s="50">
        <v>3.0</v>
      </c>
      <c r="AD79" s="50">
        <v>4.0</v>
      </c>
      <c r="AE79" s="50">
        <v>1.0</v>
      </c>
      <c r="AF79" s="50">
        <v>2.0</v>
      </c>
      <c r="AG79" s="50">
        <v>1.0</v>
      </c>
      <c r="AH79" s="50">
        <v>3.0</v>
      </c>
      <c r="AI79" s="50">
        <v>0.0</v>
      </c>
      <c r="AJ79" s="116"/>
      <c r="AK79" s="50" t="s">
        <v>7924</v>
      </c>
      <c r="AL79" s="50">
        <v>3.0</v>
      </c>
      <c r="AM79" s="50">
        <v>0.0</v>
      </c>
      <c r="AN79" s="50" t="s">
        <v>6901</v>
      </c>
      <c r="AO79" s="117">
        <v>3469.0</v>
      </c>
      <c r="AP79" s="50" t="s">
        <v>7926</v>
      </c>
      <c r="AQ79" s="50" t="s">
        <v>7927</v>
      </c>
      <c r="AR79" s="117">
        <v>78.0</v>
      </c>
    </row>
    <row r="80">
      <c r="A80" s="50" t="s">
        <v>7860</v>
      </c>
      <c r="B80" s="50" t="s">
        <v>6876</v>
      </c>
      <c r="C80" s="50" t="s">
        <v>6877</v>
      </c>
      <c r="D80" s="50" t="s">
        <v>7831</v>
      </c>
      <c r="E80" s="144">
        <v>43656.0</v>
      </c>
      <c r="F80" s="50" t="s">
        <v>7932</v>
      </c>
      <c r="G80" s="50">
        <v>57.0</v>
      </c>
      <c r="H80" s="50">
        <v>1.0</v>
      </c>
      <c r="I80" s="50">
        <v>99.0</v>
      </c>
      <c r="J80" s="116"/>
      <c r="K80" s="116"/>
      <c r="L80" s="50" t="s">
        <v>898</v>
      </c>
      <c r="M80" s="50" t="s">
        <v>898</v>
      </c>
      <c r="N80" s="50" t="s">
        <v>7936</v>
      </c>
      <c r="O80" s="50" t="s">
        <v>7937</v>
      </c>
      <c r="P80" s="50" t="s">
        <v>7938</v>
      </c>
      <c r="Q80" s="50" t="s">
        <v>7939</v>
      </c>
      <c r="R80" s="116"/>
      <c r="S80" s="116"/>
      <c r="T80" s="116"/>
      <c r="U80" s="116"/>
      <c r="V80" s="116"/>
      <c r="W80" s="50">
        <v>7.0</v>
      </c>
      <c r="X80" s="50">
        <v>100.0</v>
      </c>
      <c r="Y80" s="50">
        <v>3.0</v>
      </c>
      <c r="Z80" s="50">
        <v>0.0</v>
      </c>
      <c r="AA80" s="116"/>
      <c r="AB80" s="116"/>
      <c r="AC80" s="116"/>
      <c r="AD80" s="116"/>
      <c r="AE80" s="116"/>
      <c r="AF80" s="116"/>
      <c r="AG80" s="116"/>
      <c r="AH80" s="116"/>
      <c r="AI80" s="116"/>
      <c r="AJ80" s="116"/>
      <c r="AK80" s="50" t="s">
        <v>7940</v>
      </c>
      <c r="AL80" s="50">
        <v>2.0</v>
      </c>
      <c r="AM80" s="50">
        <v>0.0</v>
      </c>
      <c r="AN80" s="50" t="s">
        <v>6901</v>
      </c>
      <c r="AO80" s="117">
        <v>3516.0</v>
      </c>
      <c r="AP80" s="50" t="s">
        <v>7941</v>
      </c>
      <c r="AQ80" s="50" t="s">
        <v>7942</v>
      </c>
      <c r="AR80" s="117">
        <v>79.0</v>
      </c>
    </row>
    <row r="81">
      <c r="A81" s="50" t="s">
        <v>7945</v>
      </c>
      <c r="B81" s="50" t="s">
        <v>6876</v>
      </c>
      <c r="C81" s="50" t="s">
        <v>6877</v>
      </c>
      <c r="D81" s="50" t="s">
        <v>7831</v>
      </c>
      <c r="E81" s="144">
        <v>43665.0</v>
      </c>
      <c r="F81" s="50" t="s">
        <v>7948</v>
      </c>
      <c r="G81" s="50">
        <v>59.0</v>
      </c>
      <c r="H81" s="50">
        <v>1.0</v>
      </c>
      <c r="I81" s="50">
        <v>11.0</v>
      </c>
      <c r="J81" s="116"/>
      <c r="K81" s="116"/>
      <c r="L81" s="50" t="s">
        <v>907</v>
      </c>
      <c r="M81" s="50" t="s">
        <v>907</v>
      </c>
      <c r="N81" s="50" t="s">
        <v>7949</v>
      </c>
      <c r="O81" s="50" t="s">
        <v>7950</v>
      </c>
      <c r="P81" s="50" t="s">
        <v>7939</v>
      </c>
      <c r="Q81" s="50" t="s">
        <v>7952</v>
      </c>
      <c r="R81" s="116"/>
      <c r="S81" s="116"/>
      <c r="T81" s="116"/>
      <c r="U81" s="116"/>
      <c r="V81" s="116"/>
      <c r="W81" s="50">
        <v>4.0</v>
      </c>
      <c r="X81" s="50">
        <v>1.0</v>
      </c>
      <c r="Y81" s="50">
        <v>3.0</v>
      </c>
      <c r="Z81" s="50">
        <v>32.0</v>
      </c>
      <c r="AA81" s="50">
        <v>3.0</v>
      </c>
      <c r="AB81" s="50">
        <v>1.0</v>
      </c>
      <c r="AC81" s="50">
        <v>3.0</v>
      </c>
      <c r="AD81" s="50">
        <v>10.0</v>
      </c>
      <c r="AE81" s="50">
        <v>1.0</v>
      </c>
      <c r="AF81" s="50">
        <v>2.0</v>
      </c>
      <c r="AG81" s="50">
        <v>1.0</v>
      </c>
      <c r="AH81" s="50">
        <v>3.0</v>
      </c>
      <c r="AI81" s="50">
        <v>3.0</v>
      </c>
      <c r="AJ81" s="116"/>
      <c r="AK81" s="50" t="s">
        <v>7954</v>
      </c>
      <c r="AL81" s="50">
        <v>2.0</v>
      </c>
      <c r="AM81" s="50">
        <v>0.0</v>
      </c>
      <c r="AN81" s="50" t="s">
        <v>6901</v>
      </c>
      <c r="AO81" s="117">
        <v>3550.0</v>
      </c>
      <c r="AP81" s="50" t="s">
        <v>7956</v>
      </c>
      <c r="AQ81" s="50" t="s">
        <v>7957</v>
      </c>
      <c r="AR81" s="117">
        <v>80.0</v>
      </c>
    </row>
    <row r="82">
      <c r="A82" s="50" t="s">
        <v>7948</v>
      </c>
      <c r="B82" s="50" t="s">
        <v>6876</v>
      </c>
      <c r="C82" s="50" t="s">
        <v>6877</v>
      </c>
      <c r="D82" s="50" t="s">
        <v>7831</v>
      </c>
      <c r="E82" s="144">
        <v>43665.0</v>
      </c>
      <c r="F82" s="50" t="s">
        <v>7962</v>
      </c>
      <c r="G82" s="50">
        <v>59.0</v>
      </c>
      <c r="H82" s="50">
        <v>1.0</v>
      </c>
      <c r="I82" s="50">
        <v>99.0</v>
      </c>
      <c r="J82" s="116"/>
      <c r="K82" s="116"/>
      <c r="L82" s="50" t="s">
        <v>910</v>
      </c>
      <c r="M82" s="50" t="s">
        <v>910</v>
      </c>
      <c r="N82" s="50" t="s">
        <v>7949</v>
      </c>
      <c r="O82" s="50" t="s">
        <v>7950</v>
      </c>
      <c r="P82" s="50" t="s">
        <v>7939</v>
      </c>
      <c r="Q82" s="50" t="s">
        <v>7952</v>
      </c>
      <c r="R82" s="116"/>
      <c r="S82" s="116"/>
      <c r="T82" s="116"/>
      <c r="U82" s="116"/>
      <c r="V82" s="116"/>
      <c r="W82" s="50">
        <v>7.0</v>
      </c>
      <c r="X82" s="50">
        <v>100.0</v>
      </c>
      <c r="Y82" s="50">
        <v>3.0</v>
      </c>
      <c r="Z82" s="50">
        <v>0.0</v>
      </c>
      <c r="AA82" s="116"/>
      <c r="AB82" s="116"/>
      <c r="AC82" s="116"/>
      <c r="AD82" s="116"/>
      <c r="AE82" s="116"/>
      <c r="AF82" s="116"/>
      <c r="AG82" s="116"/>
      <c r="AH82" s="116"/>
      <c r="AI82" s="116"/>
      <c r="AJ82" s="116"/>
      <c r="AK82" s="50" t="s">
        <v>7965</v>
      </c>
      <c r="AL82" s="50">
        <v>3.0</v>
      </c>
      <c r="AM82" s="50">
        <v>0.0</v>
      </c>
      <c r="AN82" s="50" t="s">
        <v>6901</v>
      </c>
      <c r="AO82" s="117">
        <v>3551.0</v>
      </c>
      <c r="AP82" s="50" t="s">
        <v>7966</v>
      </c>
      <c r="AQ82" s="50" t="s">
        <v>7967</v>
      </c>
      <c r="AR82" s="117">
        <v>81.0</v>
      </c>
    </row>
    <row r="83">
      <c r="A83" s="50" t="s">
        <v>7968</v>
      </c>
      <c r="B83" s="50" t="s">
        <v>6876</v>
      </c>
      <c r="C83" s="50" t="s">
        <v>6877</v>
      </c>
      <c r="D83" s="50" t="s">
        <v>7831</v>
      </c>
      <c r="E83" s="144">
        <v>43668.0</v>
      </c>
      <c r="F83" s="50" t="s">
        <v>7969</v>
      </c>
      <c r="G83" s="50">
        <v>33.0</v>
      </c>
      <c r="H83" s="50">
        <v>1.0</v>
      </c>
      <c r="I83" s="50">
        <v>98.0</v>
      </c>
      <c r="J83" s="116"/>
      <c r="K83" s="116"/>
      <c r="L83" s="50" t="s">
        <v>801</v>
      </c>
      <c r="M83" s="50" t="s">
        <v>801</v>
      </c>
      <c r="N83" s="50" t="s">
        <v>7834</v>
      </c>
      <c r="O83" s="50" t="s">
        <v>7834</v>
      </c>
      <c r="P83" s="50" t="s">
        <v>7835</v>
      </c>
      <c r="Q83" s="50" t="s">
        <v>7836</v>
      </c>
      <c r="R83" s="116"/>
      <c r="S83" s="116"/>
      <c r="T83" s="116"/>
      <c r="U83" s="116"/>
      <c r="V83" s="116"/>
      <c r="W83" s="50">
        <v>7.0</v>
      </c>
      <c r="X83" s="50">
        <v>100.0</v>
      </c>
      <c r="Y83" s="50">
        <v>3.0</v>
      </c>
      <c r="Z83" s="50">
        <v>0.0</v>
      </c>
      <c r="AA83" s="116"/>
      <c r="AB83" s="116"/>
      <c r="AC83" s="116"/>
      <c r="AD83" s="116"/>
      <c r="AE83" s="116"/>
      <c r="AF83" s="116"/>
      <c r="AG83" s="116"/>
      <c r="AH83" s="116"/>
      <c r="AI83" s="116"/>
      <c r="AJ83" s="116"/>
      <c r="AK83" s="50" t="s">
        <v>7976</v>
      </c>
      <c r="AL83" s="50">
        <v>3.0</v>
      </c>
      <c r="AM83" s="50">
        <v>0.0</v>
      </c>
      <c r="AN83" s="50" t="s">
        <v>6901</v>
      </c>
      <c r="AO83" s="117">
        <v>3557.0</v>
      </c>
      <c r="AP83" s="50" t="s">
        <v>7977</v>
      </c>
      <c r="AQ83" s="50" t="s">
        <v>7978</v>
      </c>
      <c r="AR83" s="117">
        <v>82.0</v>
      </c>
    </row>
    <row r="84">
      <c r="A84" s="50" t="s">
        <v>7979</v>
      </c>
      <c r="B84" s="50" t="s">
        <v>6876</v>
      </c>
      <c r="C84" s="50" t="s">
        <v>6877</v>
      </c>
      <c r="D84" s="50" t="s">
        <v>7831</v>
      </c>
      <c r="E84" s="144">
        <v>43668.0</v>
      </c>
      <c r="F84" s="50" t="s">
        <v>7983</v>
      </c>
      <c r="G84" s="50">
        <v>33.0</v>
      </c>
      <c r="H84" s="50">
        <v>1.0</v>
      </c>
      <c r="I84" s="50">
        <v>98.0</v>
      </c>
      <c r="J84" s="116"/>
      <c r="K84" s="116"/>
      <c r="L84" s="50" t="s">
        <v>842</v>
      </c>
      <c r="M84" s="50" t="s">
        <v>842</v>
      </c>
      <c r="N84" s="50" t="s">
        <v>7986</v>
      </c>
      <c r="O84" s="50" t="s">
        <v>7986</v>
      </c>
      <c r="P84" s="50" t="s">
        <v>7988</v>
      </c>
      <c r="Q84" s="50" t="s">
        <v>7990</v>
      </c>
      <c r="R84" s="116"/>
      <c r="S84" s="116"/>
      <c r="T84" s="116"/>
      <c r="U84" s="116"/>
      <c r="V84" s="116"/>
      <c r="W84" s="50">
        <v>7.0</v>
      </c>
      <c r="X84" s="50">
        <v>100.0</v>
      </c>
      <c r="Y84" s="50">
        <v>3.0</v>
      </c>
      <c r="Z84" s="50">
        <v>0.0</v>
      </c>
      <c r="AA84" s="116"/>
      <c r="AB84" s="116"/>
      <c r="AC84" s="116"/>
      <c r="AD84" s="116"/>
      <c r="AE84" s="116"/>
      <c r="AF84" s="116"/>
      <c r="AG84" s="116"/>
      <c r="AH84" s="116"/>
      <c r="AI84" s="116"/>
      <c r="AJ84" s="116"/>
      <c r="AK84" s="50" t="s">
        <v>7991</v>
      </c>
      <c r="AL84" s="50">
        <v>4.0</v>
      </c>
      <c r="AM84" s="50">
        <v>0.0</v>
      </c>
      <c r="AN84" s="50" t="s">
        <v>6901</v>
      </c>
      <c r="AO84" s="117">
        <v>3558.0</v>
      </c>
      <c r="AP84" s="50" t="s">
        <v>7992</v>
      </c>
      <c r="AQ84" s="50" t="s">
        <v>7994</v>
      </c>
      <c r="AR84" s="117">
        <v>83.0</v>
      </c>
    </row>
    <row r="85">
      <c r="A85" s="50" t="s">
        <v>7997</v>
      </c>
      <c r="B85" s="50" t="s">
        <v>6876</v>
      </c>
      <c r="C85" s="50" t="s">
        <v>6877</v>
      </c>
      <c r="D85" s="50" t="s">
        <v>7831</v>
      </c>
      <c r="E85" s="144">
        <v>43668.0</v>
      </c>
      <c r="F85" s="50" t="s">
        <v>7999</v>
      </c>
      <c r="G85" s="50">
        <v>33.0</v>
      </c>
      <c r="H85" s="50">
        <v>1.0</v>
      </c>
      <c r="I85" s="50">
        <v>98.0</v>
      </c>
      <c r="J85" s="116"/>
      <c r="K85" s="116"/>
      <c r="L85" s="50" t="s">
        <v>863</v>
      </c>
      <c r="M85" s="50" t="s">
        <v>863</v>
      </c>
      <c r="N85" s="50" t="s">
        <v>8002</v>
      </c>
      <c r="O85" s="50" t="s">
        <v>8002</v>
      </c>
      <c r="P85" s="50" t="s">
        <v>8003</v>
      </c>
      <c r="Q85" s="50" t="s">
        <v>8004</v>
      </c>
      <c r="R85" s="116"/>
      <c r="S85" s="116"/>
      <c r="T85" s="116"/>
      <c r="U85" s="116"/>
      <c r="V85" s="116"/>
      <c r="W85" s="50">
        <v>7.0</v>
      </c>
      <c r="X85" s="50">
        <v>100.0</v>
      </c>
      <c r="Y85" s="50">
        <v>3.0</v>
      </c>
      <c r="Z85" s="50">
        <v>0.0</v>
      </c>
      <c r="AA85" s="116"/>
      <c r="AB85" s="116"/>
      <c r="AC85" s="116"/>
      <c r="AD85" s="116"/>
      <c r="AE85" s="116"/>
      <c r="AF85" s="116"/>
      <c r="AG85" s="116"/>
      <c r="AH85" s="116"/>
      <c r="AI85" s="116"/>
      <c r="AJ85" s="116"/>
      <c r="AK85" s="50" t="s">
        <v>7991</v>
      </c>
      <c r="AL85" s="50">
        <v>4.0</v>
      </c>
      <c r="AM85" s="50">
        <v>0.0</v>
      </c>
      <c r="AN85" s="50" t="s">
        <v>6901</v>
      </c>
      <c r="AO85" s="117">
        <v>3559.0</v>
      </c>
      <c r="AP85" s="50" t="s">
        <v>8010</v>
      </c>
      <c r="AQ85" s="50" t="s">
        <v>8011</v>
      </c>
      <c r="AR85" s="117">
        <v>84.0</v>
      </c>
    </row>
    <row r="86">
      <c r="A86" s="50" t="s">
        <v>8014</v>
      </c>
      <c r="B86" s="50" t="s">
        <v>6876</v>
      </c>
      <c r="C86" s="50" t="s">
        <v>6877</v>
      </c>
      <c r="D86" s="50" t="s">
        <v>7831</v>
      </c>
      <c r="E86" s="144">
        <v>43668.0</v>
      </c>
      <c r="F86" s="50" t="s">
        <v>8015</v>
      </c>
      <c r="G86" s="50">
        <v>33.0</v>
      </c>
      <c r="H86" s="50">
        <v>1.0</v>
      </c>
      <c r="I86" s="50">
        <v>98.0</v>
      </c>
      <c r="J86" s="116"/>
      <c r="K86" s="116"/>
      <c r="L86" s="50" t="s">
        <v>886</v>
      </c>
      <c r="M86" s="50" t="s">
        <v>886</v>
      </c>
      <c r="N86" s="50" t="s">
        <v>8016</v>
      </c>
      <c r="O86" s="50" t="s">
        <v>8016</v>
      </c>
      <c r="P86" s="50" t="s">
        <v>8017</v>
      </c>
      <c r="Q86" s="50" t="s">
        <v>8018</v>
      </c>
      <c r="R86" s="116"/>
      <c r="S86" s="116"/>
      <c r="T86" s="116"/>
      <c r="U86" s="116"/>
      <c r="V86" s="116"/>
      <c r="W86" s="50">
        <v>7.0</v>
      </c>
      <c r="X86" s="50">
        <v>100.0</v>
      </c>
      <c r="Y86" s="50">
        <v>3.0</v>
      </c>
      <c r="Z86" s="50">
        <v>0.0</v>
      </c>
      <c r="AA86" s="116"/>
      <c r="AB86" s="116"/>
      <c r="AC86" s="116"/>
      <c r="AD86" s="116"/>
      <c r="AE86" s="116"/>
      <c r="AF86" s="116"/>
      <c r="AG86" s="116"/>
      <c r="AH86" s="116"/>
      <c r="AI86" s="116"/>
      <c r="AJ86" s="116"/>
      <c r="AK86" s="50" t="s">
        <v>7991</v>
      </c>
      <c r="AL86" s="50">
        <v>3.0</v>
      </c>
      <c r="AM86" s="50">
        <v>0.0</v>
      </c>
      <c r="AN86" s="50" t="s">
        <v>6901</v>
      </c>
      <c r="AO86" s="117">
        <v>3560.0</v>
      </c>
      <c r="AP86" s="50" t="s">
        <v>8025</v>
      </c>
      <c r="AQ86" s="50" t="s">
        <v>8026</v>
      </c>
      <c r="AR86" s="117">
        <v>85.0</v>
      </c>
    </row>
    <row r="87">
      <c r="A87" s="50" t="s">
        <v>8015</v>
      </c>
      <c r="B87" s="50" t="s">
        <v>6876</v>
      </c>
      <c r="C87" s="50" t="s">
        <v>6877</v>
      </c>
      <c r="D87" s="50" t="s">
        <v>7831</v>
      </c>
      <c r="E87" s="144">
        <v>43668.0</v>
      </c>
      <c r="F87" s="50" t="s">
        <v>8030</v>
      </c>
      <c r="G87" s="50">
        <v>33.0</v>
      </c>
      <c r="H87" s="50">
        <v>1.0</v>
      </c>
      <c r="I87" s="50">
        <v>98.0</v>
      </c>
      <c r="J87" s="116"/>
      <c r="K87" s="116"/>
      <c r="L87" s="50" t="s">
        <v>913</v>
      </c>
      <c r="M87" s="50" t="s">
        <v>913</v>
      </c>
      <c r="N87" s="50" t="s">
        <v>7950</v>
      </c>
      <c r="O87" s="50" t="s">
        <v>7950</v>
      </c>
      <c r="P87" s="50" t="s">
        <v>7939</v>
      </c>
      <c r="Q87" s="50" t="s">
        <v>7952</v>
      </c>
      <c r="R87" s="116"/>
      <c r="S87" s="116"/>
      <c r="T87" s="116"/>
      <c r="U87" s="116"/>
      <c r="V87" s="116"/>
      <c r="W87" s="50">
        <v>7.0</v>
      </c>
      <c r="X87" s="50">
        <v>100.0</v>
      </c>
      <c r="Y87" s="50">
        <v>3.0</v>
      </c>
      <c r="Z87" s="50">
        <v>0.0</v>
      </c>
      <c r="AA87" s="116"/>
      <c r="AB87" s="116"/>
      <c r="AC87" s="116"/>
      <c r="AD87" s="116"/>
      <c r="AE87" s="116"/>
      <c r="AF87" s="116"/>
      <c r="AG87" s="116"/>
      <c r="AH87" s="116"/>
      <c r="AI87" s="116"/>
      <c r="AJ87" s="116"/>
      <c r="AK87" s="50" t="s">
        <v>7991</v>
      </c>
      <c r="AL87" s="50">
        <v>4.0</v>
      </c>
      <c r="AM87" s="50">
        <v>0.0</v>
      </c>
      <c r="AN87" s="50" t="s">
        <v>6901</v>
      </c>
      <c r="AO87" s="117">
        <v>3561.0</v>
      </c>
      <c r="AP87" s="50" t="s">
        <v>8035</v>
      </c>
      <c r="AQ87" s="50" t="s">
        <v>8036</v>
      </c>
      <c r="AR87" s="117">
        <v>86.0</v>
      </c>
    </row>
    <row r="88">
      <c r="A88" s="50" t="s">
        <v>8037</v>
      </c>
      <c r="B88" s="50" t="s">
        <v>6876</v>
      </c>
      <c r="C88" s="50" t="s">
        <v>6877</v>
      </c>
      <c r="D88" s="50" t="s">
        <v>7831</v>
      </c>
      <c r="E88" s="144">
        <v>43670.0</v>
      </c>
      <c r="F88" s="50" t="s">
        <v>8042</v>
      </c>
      <c r="G88" s="50">
        <v>58.0</v>
      </c>
      <c r="H88" s="50">
        <v>1.0</v>
      </c>
      <c r="I88" s="50">
        <v>11.0</v>
      </c>
      <c r="J88" s="116"/>
      <c r="K88" s="116"/>
      <c r="L88" s="50" t="s">
        <v>924</v>
      </c>
      <c r="M88" s="50" t="s">
        <v>924</v>
      </c>
      <c r="N88" s="50" t="s">
        <v>8043</v>
      </c>
      <c r="O88" s="50" t="s">
        <v>8045</v>
      </c>
      <c r="P88" s="50" t="s">
        <v>8047</v>
      </c>
      <c r="Q88" s="50" t="s">
        <v>8048</v>
      </c>
      <c r="R88" s="116"/>
      <c r="S88" s="116"/>
      <c r="T88" s="116"/>
      <c r="U88" s="116"/>
      <c r="V88" s="116"/>
      <c r="W88" s="50">
        <v>4.0</v>
      </c>
      <c r="X88" s="50">
        <v>1.0</v>
      </c>
      <c r="Y88" s="50">
        <v>3.0</v>
      </c>
      <c r="Z88" s="50">
        <v>15.0</v>
      </c>
      <c r="AA88" s="50">
        <v>3.0</v>
      </c>
      <c r="AB88" s="50">
        <v>1.0</v>
      </c>
      <c r="AC88" s="50">
        <v>3.0</v>
      </c>
      <c r="AD88" s="50">
        <v>0.0</v>
      </c>
      <c r="AE88" s="50">
        <v>1.0</v>
      </c>
      <c r="AF88" s="50">
        <v>2.0</v>
      </c>
      <c r="AG88" s="50">
        <v>1.0</v>
      </c>
      <c r="AH88" s="50">
        <v>3.0</v>
      </c>
      <c r="AI88" s="50">
        <v>0.0</v>
      </c>
      <c r="AJ88" s="116"/>
      <c r="AK88" s="50" t="s">
        <v>8049</v>
      </c>
      <c r="AL88" s="50">
        <v>4.0</v>
      </c>
      <c r="AM88" s="50">
        <v>0.0</v>
      </c>
      <c r="AN88" s="50" t="s">
        <v>6901</v>
      </c>
      <c r="AO88" s="117">
        <v>3606.0</v>
      </c>
      <c r="AP88" s="50" t="s">
        <v>8051</v>
      </c>
      <c r="AQ88" s="50" t="s">
        <v>8052</v>
      </c>
      <c r="AR88" s="117">
        <v>87.0</v>
      </c>
    </row>
    <row r="89">
      <c r="A89" s="50" t="s">
        <v>8042</v>
      </c>
      <c r="B89" s="50" t="s">
        <v>6876</v>
      </c>
      <c r="C89" s="50" t="s">
        <v>6877</v>
      </c>
      <c r="D89" s="50" t="s">
        <v>7831</v>
      </c>
      <c r="E89" s="144">
        <v>43670.0</v>
      </c>
      <c r="F89" s="50" t="s">
        <v>8057</v>
      </c>
      <c r="G89" s="50">
        <v>33.0</v>
      </c>
      <c r="H89" s="50">
        <v>1.0</v>
      </c>
      <c r="I89" s="50">
        <v>98.0</v>
      </c>
      <c r="J89" s="116"/>
      <c r="K89" s="116"/>
      <c r="L89" s="50" t="s">
        <v>926</v>
      </c>
      <c r="M89" s="50" t="s">
        <v>926</v>
      </c>
      <c r="N89" s="50" t="s">
        <v>8059</v>
      </c>
      <c r="O89" s="50" t="s">
        <v>8059</v>
      </c>
      <c r="P89" s="50" t="s">
        <v>8061</v>
      </c>
      <c r="Q89" s="50" t="s">
        <v>8063</v>
      </c>
      <c r="R89" s="116"/>
      <c r="S89" s="116"/>
      <c r="T89" s="116"/>
      <c r="U89" s="116"/>
      <c r="V89" s="116"/>
      <c r="W89" s="50">
        <v>7.0</v>
      </c>
      <c r="X89" s="50">
        <v>100.0</v>
      </c>
      <c r="Y89" s="50">
        <v>3.0</v>
      </c>
      <c r="Z89" s="50">
        <v>0.0</v>
      </c>
      <c r="AA89" s="116"/>
      <c r="AB89" s="116"/>
      <c r="AC89" s="116"/>
      <c r="AD89" s="116"/>
      <c r="AE89" s="116"/>
      <c r="AF89" s="116"/>
      <c r="AG89" s="116"/>
      <c r="AH89" s="116"/>
      <c r="AI89" s="116"/>
      <c r="AJ89" s="116"/>
      <c r="AK89" s="116"/>
      <c r="AL89" s="50">
        <v>4.0</v>
      </c>
      <c r="AM89" s="50">
        <v>0.0</v>
      </c>
      <c r="AN89" s="50" t="s">
        <v>6901</v>
      </c>
      <c r="AO89" s="117">
        <v>3607.0</v>
      </c>
      <c r="AP89" s="50" t="s">
        <v>8064</v>
      </c>
      <c r="AQ89" s="50" t="s">
        <v>8065</v>
      </c>
      <c r="AR89" s="117">
        <v>88.0</v>
      </c>
    </row>
    <row r="90">
      <c r="A90" s="50" t="s">
        <v>8066</v>
      </c>
      <c r="B90" s="50" t="s">
        <v>6876</v>
      </c>
      <c r="C90" s="50" t="s">
        <v>6877</v>
      </c>
      <c r="D90" s="50" t="s">
        <v>8069</v>
      </c>
      <c r="E90" s="144">
        <v>43671.0</v>
      </c>
      <c r="F90" s="50" t="s">
        <v>8071</v>
      </c>
      <c r="G90" s="50">
        <v>58.0</v>
      </c>
      <c r="H90" s="50">
        <v>1.0</v>
      </c>
      <c r="I90" s="50">
        <v>8.0</v>
      </c>
      <c r="J90" s="116"/>
      <c r="K90" s="116"/>
      <c r="L90" s="50" t="s">
        <v>942</v>
      </c>
      <c r="M90" s="50" t="s">
        <v>942</v>
      </c>
      <c r="N90" s="50" t="s">
        <v>8073</v>
      </c>
      <c r="O90" s="50" t="s">
        <v>8074</v>
      </c>
      <c r="P90" s="50" t="s">
        <v>8075</v>
      </c>
      <c r="Q90" s="50" t="s">
        <v>8078</v>
      </c>
      <c r="R90" s="116"/>
      <c r="S90" s="116"/>
      <c r="T90" s="116"/>
      <c r="U90" s="50">
        <v>100.0</v>
      </c>
      <c r="V90" s="116"/>
      <c r="W90" s="50">
        <v>7.0</v>
      </c>
      <c r="X90" s="50">
        <v>1.0</v>
      </c>
      <c r="Y90" s="50">
        <v>1.0</v>
      </c>
      <c r="Z90" s="116"/>
      <c r="AA90" s="50">
        <v>6.0</v>
      </c>
      <c r="AB90" s="50">
        <v>1.0</v>
      </c>
      <c r="AC90" s="50">
        <v>3.0</v>
      </c>
      <c r="AD90" s="50">
        <v>72.0</v>
      </c>
      <c r="AE90" s="50">
        <v>1.0</v>
      </c>
      <c r="AF90" s="50">
        <v>5.0</v>
      </c>
      <c r="AG90" s="50">
        <v>1.0</v>
      </c>
      <c r="AH90" s="50">
        <v>3.0</v>
      </c>
      <c r="AI90" s="50">
        <v>0.0</v>
      </c>
      <c r="AJ90" s="116"/>
      <c r="AK90" s="50" t="s">
        <v>8079</v>
      </c>
      <c r="AL90" s="50">
        <v>4.0</v>
      </c>
      <c r="AM90" s="50">
        <v>0.0</v>
      </c>
      <c r="AN90" s="50" t="s">
        <v>6901</v>
      </c>
      <c r="AO90" s="117">
        <v>3616.0</v>
      </c>
      <c r="AP90" s="50" t="s">
        <v>8081</v>
      </c>
      <c r="AQ90" s="50" t="s">
        <v>8082</v>
      </c>
      <c r="AR90" s="117">
        <v>89.0</v>
      </c>
    </row>
    <row r="91">
      <c r="A91" s="50" t="s">
        <v>8071</v>
      </c>
      <c r="B91" s="50" t="s">
        <v>6876</v>
      </c>
      <c r="C91" s="50" t="s">
        <v>6877</v>
      </c>
      <c r="D91" s="50" t="s">
        <v>8069</v>
      </c>
      <c r="E91" s="144">
        <v>43671.0</v>
      </c>
      <c r="F91" s="50" t="s">
        <v>8086</v>
      </c>
      <c r="G91" s="50">
        <v>58.0</v>
      </c>
      <c r="H91" s="50">
        <v>1.0</v>
      </c>
      <c r="I91" s="50">
        <v>8.0</v>
      </c>
      <c r="J91" s="116"/>
      <c r="K91" s="116"/>
      <c r="L91" s="50" t="s">
        <v>944</v>
      </c>
      <c r="M91" s="50" t="s">
        <v>944</v>
      </c>
      <c r="N91" s="50" t="s">
        <v>8073</v>
      </c>
      <c r="O91" s="50" t="s">
        <v>8074</v>
      </c>
      <c r="P91" s="50" t="s">
        <v>8075</v>
      </c>
      <c r="Q91" s="50" t="s">
        <v>8078</v>
      </c>
      <c r="R91" s="116"/>
      <c r="S91" s="116"/>
      <c r="T91" s="116"/>
      <c r="U91" s="50">
        <v>110.0</v>
      </c>
      <c r="V91" s="116"/>
      <c r="W91" s="50">
        <v>7.0</v>
      </c>
      <c r="X91" s="50">
        <v>1.0</v>
      </c>
      <c r="Y91" s="50">
        <v>3.0</v>
      </c>
      <c r="Z91" s="50">
        <v>0.0</v>
      </c>
      <c r="AA91" s="50">
        <v>6.0</v>
      </c>
      <c r="AB91" s="50">
        <v>1.0</v>
      </c>
      <c r="AC91" s="50">
        <v>3.0</v>
      </c>
      <c r="AD91" s="50">
        <v>0.0</v>
      </c>
      <c r="AE91" s="50">
        <v>1.0</v>
      </c>
      <c r="AF91" s="50">
        <v>5.0</v>
      </c>
      <c r="AG91" s="50">
        <v>1.0</v>
      </c>
      <c r="AH91" s="50">
        <v>3.0</v>
      </c>
      <c r="AI91" s="50">
        <v>0.0</v>
      </c>
      <c r="AJ91" s="116"/>
      <c r="AK91" s="50" t="s">
        <v>8090</v>
      </c>
      <c r="AL91" s="50">
        <v>4.0</v>
      </c>
      <c r="AM91" s="50">
        <v>0.0</v>
      </c>
      <c r="AN91" s="50" t="s">
        <v>6901</v>
      </c>
      <c r="AO91" s="117">
        <v>3617.0</v>
      </c>
      <c r="AP91" s="50" t="s">
        <v>8091</v>
      </c>
      <c r="AQ91" s="50" t="s">
        <v>8092</v>
      </c>
      <c r="AR91" s="117">
        <v>90.0</v>
      </c>
    </row>
    <row r="92">
      <c r="A92" s="50" t="s">
        <v>8093</v>
      </c>
      <c r="B92" s="50" t="s">
        <v>6876</v>
      </c>
      <c r="C92" s="50" t="s">
        <v>6877</v>
      </c>
      <c r="D92" s="50" t="s">
        <v>8069</v>
      </c>
      <c r="E92" s="144">
        <v>43671.0</v>
      </c>
      <c r="F92" s="50" t="s">
        <v>8096</v>
      </c>
      <c r="G92" s="50">
        <v>66.0</v>
      </c>
      <c r="H92" s="50">
        <v>1.0</v>
      </c>
      <c r="I92" s="50">
        <v>99.0</v>
      </c>
      <c r="J92" s="116"/>
      <c r="K92" s="116"/>
      <c r="L92" s="50" t="s">
        <v>939</v>
      </c>
      <c r="M92" s="50" t="s">
        <v>939</v>
      </c>
      <c r="N92" s="50" t="s">
        <v>8073</v>
      </c>
      <c r="O92" s="50" t="s">
        <v>8099</v>
      </c>
      <c r="P92" s="50" t="s">
        <v>8075</v>
      </c>
      <c r="Q92" s="50" t="s">
        <v>8078</v>
      </c>
      <c r="R92" s="116"/>
      <c r="S92" s="116"/>
      <c r="T92" s="116"/>
      <c r="U92" s="116"/>
      <c r="V92" s="116"/>
      <c r="W92" s="50">
        <v>7.0</v>
      </c>
      <c r="X92" s="50">
        <v>100.0</v>
      </c>
      <c r="Y92" s="50">
        <v>3.0</v>
      </c>
      <c r="Z92" s="50">
        <v>0.0</v>
      </c>
      <c r="AA92" s="116"/>
      <c r="AB92" s="116"/>
      <c r="AC92" s="116"/>
      <c r="AD92" s="116"/>
      <c r="AE92" s="116"/>
      <c r="AF92" s="116"/>
      <c r="AG92" s="116"/>
      <c r="AH92" s="116"/>
      <c r="AI92" s="116"/>
      <c r="AJ92" s="116"/>
      <c r="AK92" s="50" t="s">
        <v>8101</v>
      </c>
      <c r="AL92" s="50">
        <v>4.0</v>
      </c>
      <c r="AM92" s="50">
        <v>0.0</v>
      </c>
      <c r="AN92" s="50" t="s">
        <v>6901</v>
      </c>
      <c r="AO92" s="117">
        <v>3618.0</v>
      </c>
      <c r="AP92" s="50" t="s">
        <v>8103</v>
      </c>
      <c r="AQ92" s="50" t="s">
        <v>8104</v>
      </c>
      <c r="AR92" s="117">
        <v>91.0</v>
      </c>
    </row>
    <row r="93">
      <c r="A93" s="50" t="s">
        <v>8096</v>
      </c>
      <c r="B93" s="50" t="s">
        <v>6876</v>
      </c>
      <c r="C93" s="50" t="s">
        <v>6877</v>
      </c>
      <c r="D93" s="50" t="s">
        <v>8069</v>
      </c>
      <c r="E93" s="144">
        <v>43671.0</v>
      </c>
      <c r="F93" s="50" t="s">
        <v>8105</v>
      </c>
      <c r="G93" s="50">
        <v>33.0</v>
      </c>
      <c r="H93" s="50">
        <v>1.0</v>
      </c>
      <c r="I93" s="50">
        <v>98.0</v>
      </c>
      <c r="J93" s="116"/>
      <c r="K93" s="116"/>
      <c r="L93" s="50" t="s">
        <v>946</v>
      </c>
      <c r="M93" s="50" t="s">
        <v>946</v>
      </c>
      <c r="N93" s="50" t="s">
        <v>8099</v>
      </c>
      <c r="O93" s="50" t="s">
        <v>8106</v>
      </c>
      <c r="P93" s="50" t="s">
        <v>8075</v>
      </c>
      <c r="Q93" s="50" t="s">
        <v>8078</v>
      </c>
      <c r="R93" s="116"/>
      <c r="S93" s="116"/>
      <c r="T93" s="116"/>
      <c r="U93" s="116"/>
      <c r="V93" s="116"/>
      <c r="W93" s="50">
        <v>7.0</v>
      </c>
      <c r="X93" s="50">
        <v>100.0</v>
      </c>
      <c r="Y93" s="50">
        <v>3.0</v>
      </c>
      <c r="Z93" s="50">
        <v>0.0</v>
      </c>
      <c r="AA93" s="116"/>
      <c r="AB93" s="116"/>
      <c r="AC93" s="116"/>
      <c r="AD93" s="116"/>
      <c r="AE93" s="116"/>
      <c r="AF93" s="116"/>
      <c r="AG93" s="116"/>
      <c r="AH93" s="116"/>
      <c r="AI93" s="116"/>
      <c r="AJ93" s="116"/>
      <c r="AK93" s="50" t="s">
        <v>8108</v>
      </c>
      <c r="AL93" s="50">
        <v>4.0</v>
      </c>
      <c r="AM93" s="50">
        <v>0.0</v>
      </c>
      <c r="AN93" s="50" t="s">
        <v>6901</v>
      </c>
      <c r="AO93" s="117">
        <v>3619.0</v>
      </c>
      <c r="AP93" s="50" t="s">
        <v>8111</v>
      </c>
      <c r="AQ93" s="50" t="s">
        <v>8112</v>
      </c>
      <c r="AR93" s="117">
        <v>92.0</v>
      </c>
    </row>
    <row r="94">
      <c r="A94" s="50" t="s">
        <v>8115</v>
      </c>
      <c r="B94" s="50" t="s">
        <v>6876</v>
      </c>
      <c r="C94" s="50" t="s">
        <v>6877</v>
      </c>
      <c r="D94" s="50" t="s">
        <v>8069</v>
      </c>
      <c r="E94" s="144">
        <v>43672.0</v>
      </c>
      <c r="F94" s="50" t="s">
        <v>8116</v>
      </c>
      <c r="G94" s="50">
        <v>58.0</v>
      </c>
      <c r="H94" s="50">
        <v>1.0</v>
      </c>
      <c r="I94" s="50">
        <v>10.0</v>
      </c>
      <c r="J94" s="116"/>
      <c r="K94" s="116"/>
      <c r="L94" s="50" t="s">
        <v>958</v>
      </c>
      <c r="M94" s="50" t="s">
        <v>958</v>
      </c>
      <c r="N94" s="50" t="s">
        <v>8117</v>
      </c>
      <c r="O94" s="50" t="s">
        <v>8118</v>
      </c>
      <c r="P94" s="50" t="s">
        <v>8078</v>
      </c>
      <c r="Q94" s="50" t="s">
        <v>8119</v>
      </c>
      <c r="R94" s="116"/>
      <c r="S94" s="50">
        <v>255.0</v>
      </c>
      <c r="T94" s="116"/>
      <c r="U94" s="116"/>
      <c r="V94" s="116"/>
      <c r="W94" s="50">
        <v>7.0</v>
      </c>
      <c r="X94" s="50">
        <v>10.0</v>
      </c>
      <c r="Y94" s="50">
        <v>3.0</v>
      </c>
      <c r="Z94" s="50">
        <v>2.0</v>
      </c>
      <c r="AA94" s="50">
        <v>7.0</v>
      </c>
      <c r="AB94" s="50">
        <v>1.0</v>
      </c>
      <c r="AC94" s="50">
        <v>3.0</v>
      </c>
      <c r="AD94" s="50">
        <v>0.0</v>
      </c>
      <c r="AE94" s="50">
        <v>1.0</v>
      </c>
      <c r="AF94" s="50">
        <v>6.0</v>
      </c>
      <c r="AG94" s="50">
        <v>1.0</v>
      </c>
      <c r="AH94" s="50">
        <v>3.0</v>
      </c>
      <c r="AI94" s="50">
        <v>0.0</v>
      </c>
      <c r="AJ94" s="116"/>
      <c r="AK94" s="50" t="s">
        <v>8122</v>
      </c>
      <c r="AL94" s="50">
        <v>3.0</v>
      </c>
      <c r="AM94" s="50">
        <v>0.0</v>
      </c>
      <c r="AN94" s="50" t="s">
        <v>6901</v>
      </c>
      <c r="AO94" s="117">
        <v>3642.0</v>
      </c>
      <c r="AP94" s="50" t="s">
        <v>8123</v>
      </c>
      <c r="AQ94" s="50" t="s">
        <v>8124</v>
      </c>
      <c r="AR94" s="117">
        <v>93.0</v>
      </c>
    </row>
    <row r="95">
      <c r="A95" s="50" t="s">
        <v>8125</v>
      </c>
      <c r="B95" s="50" t="s">
        <v>6876</v>
      </c>
      <c r="C95" s="50" t="s">
        <v>6877</v>
      </c>
      <c r="D95" s="50" t="s">
        <v>8069</v>
      </c>
      <c r="E95" s="144">
        <v>43672.0</v>
      </c>
      <c r="F95" s="50" t="s">
        <v>8126</v>
      </c>
      <c r="G95" s="50">
        <v>58.0</v>
      </c>
      <c r="H95" s="50">
        <v>1.0</v>
      </c>
      <c r="I95" s="50">
        <v>10.0</v>
      </c>
      <c r="J95" s="116"/>
      <c r="K95" s="116"/>
      <c r="L95" s="50" t="s">
        <v>959</v>
      </c>
      <c r="M95" s="50" t="s">
        <v>959</v>
      </c>
      <c r="N95" s="50" t="s">
        <v>8127</v>
      </c>
      <c r="O95" s="50" t="s">
        <v>8128</v>
      </c>
      <c r="P95" s="50" t="s">
        <v>8129</v>
      </c>
      <c r="Q95" s="50" t="s">
        <v>8130</v>
      </c>
      <c r="R95" s="116"/>
      <c r="S95" s="50">
        <v>200.0</v>
      </c>
      <c r="T95" s="116"/>
      <c r="U95" s="116"/>
      <c r="V95" s="116"/>
      <c r="W95" s="50">
        <v>7.0</v>
      </c>
      <c r="X95" s="50">
        <v>10.0</v>
      </c>
      <c r="Y95" s="50">
        <v>2.0</v>
      </c>
      <c r="Z95" s="116"/>
      <c r="AA95" s="50">
        <v>7.0</v>
      </c>
      <c r="AB95" s="50">
        <v>1.0</v>
      </c>
      <c r="AC95" s="50">
        <v>2.0</v>
      </c>
      <c r="AD95" s="116"/>
      <c r="AE95" s="50">
        <v>1.0</v>
      </c>
      <c r="AF95" s="50">
        <v>6.0</v>
      </c>
      <c r="AG95" s="50">
        <v>1.0</v>
      </c>
      <c r="AH95" s="50">
        <v>3.0</v>
      </c>
      <c r="AI95" s="50">
        <v>2.0</v>
      </c>
      <c r="AJ95" s="116"/>
      <c r="AK95" s="50" t="s">
        <v>8133</v>
      </c>
      <c r="AL95" s="50">
        <v>4.0</v>
      </c>
      <c r="AM95" s="50">
        <v>0.0</v>
      </c>
      <c r="AN95" s="50" t="s">
        <v>6901</v>
      </c>
      <c r="AO95" s="117">
        <v>3643.0</v>
      </c>
      <c r="AP95" s="50" t="s">
        <v>8136</v>
      </c>
      <c r="AQ95" s="50" t="s">
        <v>8137</v>
      </c>
      <c r="AR95" s="117">
        <v>94.0</v>
      </c>
    </row>
    <row r="96">
      <c r="A96" s="50" t="s">
        <v>8126</v>
      </c>
      <c r="B96" s="50" t="s">
        <v>6876</v>
      </c>
      <c r="C96" s="50" t="s">
        <v>6877</v>
      </c>
      <c r="D96" s="50" t="s">
        <v>8069</v>
      </c>
      <c r="E96" s="144">
        <v>43672.0</v>
      </c>
      <c r="F96" s="50" t="s">
        <v>8138</v>
      </c>
      <c r="G96" s="50">
        <v>59.0</v>
      </c>
      <c r="H96" s="50">
        <v>1.0</v>
      </c>
      <c r="I96" s="50">
        <v>11.0</v>
      </c>
      <c r="J96" s="116"/>
      <c r="K96" s="116"/>
      <c r="L96" s="50" t="s">
        <v>953</v>
      </c>
      <c r="M96" s="50" t="s">
        <v>953</v>
      </c>
      <c r="N96" s="50" t="s">
        <v>8139</v>
      </c>
      <c r="O96" s="50" t="s">
        <v>8141</v>
      </c>
      <c r="P96" s="50" t="s">
        <v>8078</v>
      </c>
      <c r="Q96" s="50" t="s">
        <v>8119</v>
      </c>
      <c r="R96" s="116"/>
      <c r="S96" s="116"/>
      <c r="T96" s="116"/>
      <c r="U96" s="116"/>
      <c r="V96" s="116"/>
      <c r="W96" s="50">
        <v>4.0</v>
      </c>
      <c r="X96" s="50">
        <v>1.0</v>
      </c>
      <c r="Y96" s="50">
        <v>3.0</v>
      </c>
      <c r="Z96" s="50">
        <v>132.0</v>
      </c>
      <c r="AA96" s="50">
        <v>3.0</v>
      </c>
      <c r="AB96" s="50">
        <v>1.0</v>
      </c>
      <c r="AC96" s="50">
        <v>3.0</v>
      </c>
      <c r="AD96" s="50">
        <v>20.0</v>
      </c>
      <c r="AE96" s="50">
        <v>1.0</v>
      </c>
      <c r="AF96" s="50">
        <v>2.0</v>
      </c>
      <c r="AG96" s="50">
        <v>1.0</v>
      </c>
      <c r="AH96" s="50">
        <v>3.0</v>
      </c>
      <c r="AI96" s="50">
        <v>2.0</v>
      </c>
      <c r="AJ96" s="116"/>
      <c r="AK96" s="50" t="s">
        <v>8143</v>
      </c>
      <c r="AL96" s="50">
        <v>3.0</v>
      </c>
      <c r="AM96" s="50">
        <v>0.0</v>
      </c>
      <c r="AN96" s="50" t="s">
        <v>6901</v>
      </c>
      <c r="AO96" s="117">
        <v>3644.0</v>
      </c>
      <c r="AP96" s="50" t="s">
        <v>8144</v>
      </c>
      <c r="AQ96" s="50" t="s">
        <v>8145</v>
      </c>
      <c r="AR96" s="117">
        <v>95.0</v>
      </c>
    </row>
    <row r="97">
      <c r="A97" s="50" t="s">
        <v>8138</v>
      </c>
      <c r="B97" s="50" t="s">
        <v>6876</v>
      </c>
      <c r="C97" s="50" t="s">
        <v>6877</v>
      </c>
      <c r="D97" s="50" t="s">
        <v>8069</v>
      </c>
      <c r="E97" s="144">
        <v>43672.0</v>
      </c>
      <c r="F97" s="50" t="s">
        <v>8146</v>
      </c>
      <c r="G97" s="50">
        <v>59.0</v>
      </c>
      <c r="H97" s="50">
        <v>1.0</v>
      </c>
      <c r="I97" s="50">
        <v>99.0</v>
      </c>
      <c r="J97" s="116"/>
      <c r="K97" s="116"/>
      <c r="L97" s="50" t="s">
        <v>955</v>
      </c>
      <c r="M97" s="50" t="s">
        <v>955</v>
      </c>
      <c r="N97" s="50" t="s">
        <v>8147</v>
      </c>
      <c r="O97" s="50" t="s">
        <v>8141</v>
      </c>
      <c r="P97" s="50" t="s">
        <v>8078</v>
      </c>
      <c r="Q97" s="50" t="s">
        <v>8119</v>
      </c>
      <c r="R97" s="116"/>
      <c r="S97" s="116"/>
      <c r="T97" s="116"/>
      <c r="U97" s="116"/>
      <c r="V97" s="116"/>
      <c r="W97" s="50">
        <v>7.0</v>
      </c>
      <c r="X97" s="50">
        <v>100.0</v>
      </c>
      <c r="Y97" s="50">
        <v>3.0</v>
      </c>
      <c r="Z97" s="50">
        <v>0.0</v>
      </c>
      <c r="AA97" s="116"/>
      <c r="AB97" s="116"/>
      <c r="AC97" s="116"/>
      <c r="AD97" s="116"/>
      <c r="AE97" s="116"/>
      <c r="AF97" s="116"/>
      <c r="AG97" s="116"/>
      <c r="AH97" s="116"/>
      <c r="AI97" s="116"/>
      <c r="AJ97" s="116"/>
      <c r="AK97" s="50" t="s">
        <v>8108</v>
      </c>
      <c r="AL97" s="50">
        <v>3.0</v>
      </c>
      <c r="AM97" s="50">
        <v>0.0</v>
      </c>
      <c r="AN97" s="50" t="s">
        <v>6901</v>
      </c>
      <c r="AO97" s="117">
        <v>3645.0</v>
      </c>
      <c r="AP97" s="50" t="s">
        <v>8152</v>
      </c>
      <c r="AQ97" s="50" t="s">
        <v>8153</v>
      </c>
      <c r="AR97" s="117">
        <v>96.0</v>
      </c>
    </row>
    <row r="98">
      <c r="A98" s="50" t="s">
        <v>8146</v>
      </c>
      <c r="B98" s="50" t="s">
        <v>6876</v>
      </c>
      <c r="C98" s="50" t="s">
        <v>6877</v>
      </c>
      <c r="D98" s="50" t="s">
        <v>8069</v>
      </c>
      <c r="E98" s="144">
        <v>43672.0</v>
      </c>
      <c r="F98" s="50" t="s">
        <v>8154</v>
      </c>
      <c r="G98" s="50">
        <v>33.0</v>
      </c>
      <c r="H98" s="50">
        <v>1.0</v>
      </c>
      <c r="I98" s="50">
        <v>98.0</v>
      </c>
      <c r="J98" s="116"/>
      <c r="K98" s="116"/>
      <c r="L98" s="50" t="s">
        <v>961</v>
      </c>
      <c r="M98" s="50" t="s">
        <v>961</v>
      </c>
      <c r="N98" s="50" t="s">
        <v>8141</v>
      </c>
      <c r="O98" s="50" t="s">
        <v>8141</v>
      </c>
      <c r="P98" s="50" t="s">
        <v>8078</v>
      </c>
      <c r="Q98" s="50" t="s">
        <v>8119</v>
      </c>
      <c r="R98" s="116"/>
      <c r="S98" s="116"/>
      <c r="T98" s="116"/>
      <c r="U98" s="116"/>
      <c r="V98" s="116"/>
      <c r="W98" s="50">
        <v>7.0</v>
      </c>
      <c r="X98" s="50">
        <v>100.0</v>
      </c>
      <c r="Y98" s="50">
        <v>3.0</v>
      </c>
      <c r="Z98" s="50">
        <v>0.0</v>
      </c>
      <c r="AA98" s="116"/>
      <c r="AB98" s="116"/>
      <c r="AC98" s="116"/>
      <c r="AD98" s="116"/>
      <c r="AE98" s="116"/>
      <c r="AF98" s="116"/>
      <c r="AG98" s="116"/>
      <c r="AH98" s="116"/>
      <c r="AI98" s="116"/>
      <c r="AJ98" s="116"/>
      <c r="AK98" s="50" t="s">
        <v>8157</v>
      </c>
      <c r="AL98" s="50">
        <v>3.0</v>
      </c>
      <c r="AM98" s="50">
        <v>0.0</v>
      </c>
      <c r="AN98" s="50" t="s">
        <v>6901</v>
      </c>
      <c r="AO98" s="117">
        <v>3646.0</v>
      </c>
      <c r="AP98" s="50" t="s">
        <v>8158</v>
      </c>
      <c r="AQ98" s="50" t="s">
        <v>8159</v>
      </c>
      <c r="AR98" s="117">
        <v>97.0</v>
      </c>
    </row>
    <row r="99">
      <c r="A99" s="50" t="s">
        <v>8160</v>
      </c>
      <c r="B99" s="50" t="s">
        <v>6876</v>
      </c>
      <c r="C99" s="50" t="s">
        <v>6877</v>
      </c>
      <c r="D99" s="50" t="s">
        <v>8161</v>
      </c>
      <c r="E99" s="144">
        <v>43677.0</v>
      </c>
      <c r="F99" s="50" t="s">
        <v>8162</v>
      </c>
      <c r="G99" s="50">
        <v>58.0</v>
      </c>
      <c r="H99" s="50">
        <v>1.0</v>
      </c>
      <c r="I99" s="50">
        <v>2.0</v>
      </c>
      <c r="J99" s="116"/>
      <c r="K99" s="116"/>
      <c r="L99" s="50" t="s">
        <v>978</v>
      </c>
      <c r="M99" s="50" t="s">
        <v>978</v>
      </c>
      <c r="N99" s="50" t="s">
        <v>8163</v>
      </c>
      <c r="O99" s="50" t="s">
        <v>8165</v>
      </c>
      <c r="P99" s="50" t="s">
        <v>8166</v>
      </c>
      <c r="Q99" s="50" t="s">
        <v>8168</v>
      </c>
      <c r="R99" s="50">
        <v>82.0</v>
      </c>
      <c r="S99" s="116"/>
      <c r="T99" s="116"/>
      <c r="U99" s="116"/>
      <c r="V99" s="116"/>
      <c r="W99" s="50">
        <v>7.0</v>
      </c>
      <c r="X99" s="50">
        <v>10.0</v>
      </c>
      <c r="Y99" s="50">
        <v>2.0</v>
      </c>
      <c r="Z99" s="116"/>
      <c r="AA99" s="50">
        <v>7.0</v>
      </c>
      <c r="AB99" s="50">
        <v>1.0</v>
      </c>
      <c r="AC99" s="50">
        <v>3.0</v>
      </c>
      <c r="AD99" s="50">
        <v>4.0</v>
      </c>
      <c r="AE99" s="50">
        <v>1.0</v>
      </c>
      <c r="AF99" s="50">
        <v>6.0</v>
      </c>
      <c r="AG99" s="50">
        <v>1.0</v>
      </c>
      <c r="AH99" s="50">
        <v>3.0</v>
      </c>
      <c r="AI99" s="50">
        <v>3.0</v>
      </c>
      <c r="AJ99" s="116"/>
      <c r="AK99" s="50" t="s">
        <v>8171</v>
      </c>
      <c r="AL99" s="50">
        <v>2.0</v>
      </c>
      <c r="AM99" s="50">
        <v>1.0</v>
      </c>
      <c r="AN99" s="50" t="s">
        <v>6901</v>
      </c>
      <c r="AO99" s="117">
        <v>3687.0</v>
      </c>
      <c r="AP99" s="50" t="s">
        <v>8172</v>
      </c>
      <c r="AQ99" s="50" t="s">
        <v>8173</v>
      </c>
      <c r="AR99" s="117">
        <v>98.0</v>
      </c>
    </row>
    <row r="100">
      <c r="A100" s="50" t="s">
        <v>8176</v>
      </c>
      <c r="B100" s="50" t="s">
        <v>6876</v>
      </c>
      <c r="C100" s="50" t="s">
        <v>6877</v>
      </c>
      <c r="D100" s="50" t="s">
        <v>8161</v>
      </c>
      <c r="E100" s="144">
        <v>43677.0</v>
      </c>
      <c r="F100" s="50" t="s">
        <v>8177</v>
      </c>
      <c r="G100" s="50">
        <v>58.0</v>
      </c>
      <c r="H100" s="50">
        <v>1.0</v>
      </c>
      <c r="I100" s="50">
        <v>2.0</v>
      </c>
      <c r="J100" s="116"/>
      <c r="K100" s="116"/>
      <c r="L100" s="50" t="s">
        <v>979</v>
      </c>
      <c r="M100" s="50" t="s">
        <v>979</v>
      </c>
      <c r="N100" s="50" t="s">
        <v>8163</v>
      </c>
      <c r="O100" s="50" t="s">
        <v>8165</v>
      </c>
      <c r="P100" s="50" t="s">
        <v>8166</v>
      </c>
      <c r="Q100" s="50" t="s">
        <v>8168</v>
      </c>
      <c r="R100" s="50">
        <v>9.7</v>
      </c>
      <c r="S100" s="116"/>
      <c r="T100" s="116"/>
      <c r="U100" s="116"/>
      <c r="V100" s="116"/>
      <c r="W100" s="50">
        <v>7.0</v>
      </c>
      <c r="X100" s="50">
        <v>10.0</v>
      </c>
      <c r="Y100" s="50">
        <v>2.0</v>
      </c>
      <c r="Z100" s="116"/>
      <c r="AA100" s="50">
        <v>7.0</v>
      </c>
      <c r="AB100" s="50">
        <v>1.0</v>
      </c>
      <c r="AC100" s="50">
        <v>2.0</v>
      </c>
      <c r="AD100" s="116"/>
      <c r="AE100" s="50">
        <v>1.0</v>
      </c>
      <c r="AF100" s="50">
        <v>6.0</v>
      </c>
      <c r="AG100" s="50">
        <v>1.0</v>
      </c>
      <c r="AH100" s="50">
        <v>3.0</v>
      </c>
      <c r="AI100" s="50">
        <v>8.0</v>
      </c>
      <c r="AJ100" s="116"/>
      <c r="AK100" s="50" t="s">
        <v>8178</v>
      </c>
      <c r="AL100" s="50">
        <v>2.0</v>
      </c>
      <c r="AM100" s="50">
        <v>1.0</v>
      </c>
      <c r="AN100" s="50" t="s">
        <v>6901</v>
      </c>
      <c r="AO100" s="117">
        <v>3688.0</v>
      </c>
      <c r="AP100" s="50" t="s">
        <v>8180</v>
      </c>
      <c r="AQ100" s="50" t="s">
        <v>8181</v>
      </c>
      <c r="AR100" s="117">
        <v>99.0</v>
      </c>
    </row>
    <row r="101">
      <c r="A101" s="50" t="s">
        <v>8177</v>
      </c>
      <c r="B101" s="50" t="s">
        <v>6876</v>
      </c>
      <c r="C101" s="50" t="s">
        <v>6877</v>
      </c>
      <c r="D101" s="50" t="s">
        <v>8161</v>
      </c>
      <c r="E101" s="144">
        <v>43677.0</v>
      </c>
      <c r="F101" s="50" t="s">
        <v>8185</v>
      </c>
      <c r="G101" s="50">
        <v>58.0</v>
      </c>
      <c r="H101" s="50">
        <v>1.0</v>
      </c>
      <c r="I101" s="50">
        <v>2.0</v>
      </c>
      <c r="J101" s="116"/>
      <c r="K101" s="116"/>
      <c r="L101" s="50" t="s">
        <v>981</v>
      </c>
      <c r="M101" s="50" t="s">
        <v>981</v>
      </c>
      <c r="N101" s="50" t="s">
        <v>8163</v>
      </c>
      <c r="O101" s="50" t="s">
        <v>8165</v>
      </c>
      <c r="P101" s="50" t="s">
        <v>8166</v>
      </c>
      <c r="Q101" s="50" t="s">
        <v>8168</v>
      </c>
      <c r="R101" s="50">
        <v>206.8</v>
      </c>
      <c r="S101" s="116"/>
      <c r="T101" s="116"/>
      <c r="U101" s="116"/>
      <c r="V101" s="116"/>
      <c r="W101" s="50">
        <v>7.0</v>
      </c>
      <c r="X101" s="50">
        <v>10.0</v>
      </c>
      <c r="Y101" s="50">
        <v>2.0</v>
      </c>
      <c r="Z101" s="116"/>
      <c r="AA101" s="50">
        <v>7.0</v>
      </c>
      <c r="AB101" s="50">
        <v>1.0</v>
      </c>
      <c r="AC101" s="50">
        <v>2.0</v>
      </c>
      <c r="AD101" s="116"/>
      <c r="AE101" s="50">
        <v>1.0</v>
      </c>
      <c r="AF101" s="50">
        <v>6.0</v>
      </c>
      <c r="AG101" s="50">
        <v>1.0</v>
      </c>
      <c r="AH101" s="50">
        <v>3.0</v>
      </c>
      <c r="AI101" s="50">
        <v>4.0</v>
      </c>
      <c r="AJ101" s="116"/>
      <c r="AK101" s="50" t="s">
        <v>8188</v>
      </c>
      <c r="AL101" s="50">
        <v>2.0</v>
      </c>
      <c r="AM101" s="50">
        <v>1.0</v>
      </c>
      <c r="AN101" s="50" t="s">
        <v>6901</v>
      </c>
      <c r="AO101" s="117">
        <v>3689.0</v>
      </c>
      <c r="AP101" s="50" t="s">
        <v>8189</v>
      </c>
      <c r="AQ101" s="50" t="s">
        <v>8190</v>
      </c>
      <c r="AR101" s="117">
        <v>100.0</v>
      </c>
    </row>
    <row r="102">
      <c r="A102" s="50" t="s">
        <v>8185</v>
      </c>
      <c r="B102" s="50" t="s">
        <v>6876</v>
      </c>
      <c r="C102" s="50" t="s">
        <v>6877</v>
      </c>
      <c r="D102" s="50" t="s">
        <v>8161</v>
      </c>
      <c r="E102" s="144">
        <v>43677.0</v>
      </c>
      <c r="F102" s="50" t="s">
        <v>8191</v>
      </c>
      <c r="G102" s="50">
        <v>58.0</v>
      </c>
      <c r="H102" s="50">
        <v>1.0</v>
      </c>
      <c r="I102" s="50">
        <v>11.0</v>
      </c>
      <c r="J102" s="116"/>
      <c r="K102" s="116"/>
      <c r="L102" s="50" t="s">
        <v>973</v>
      </c>
      <c r="M102" s="50" t="s">
        <v>973</v>
      </c>
      <c r="N102" s="50" t="s">
        <v>8163</v>
      </c>
      <c r="O102" s="50" t="s">
        <v>8192</v>
      </c>
      <c r="P102" s="50" t="s">
        <v>8166</v>
      </c>
      <c r="Q102" s="50" t="s">
        <v>8168</v>
      </c>
      <c r="R102" s="116"/>
      <c r="S102" s="116"/>
      <c r="T102" s="116"/>
      <c r="U102" s="116"/>
      <c r="V102" s="116"/>
      <c r="W102" s="50">
        <v>4.0</v>
      </c>
      <c r="X102" s="50">
        <v>1.0</v>
      </c>
      <c r="Y102" s="50">
        <v>3.0</v>
      </c>
      <c r="Z102" s="50">
        <v>21.0</v>
      </c>
      <c r="AA102" s="50">
        <v>3.0</v>
      </c>
      <c r="AB102" s="50">
        <v>1.0</v>
      </c>
      <c r="AC102" s="50">
        <v>3.0</v>
      </c>
      <c r="AD102" s="50">
        <v>1.0</v>
      </c>
      <c r="AE102" s="50">
        <v>1.0</v>
      </c>
      <c r="AF102" s="50">
        <v>2.0</v>
      </c>
      <c r="AG102" s="50">
        <v>1.0</v>
      </c>
      <c r="AH102" s="50">
        <v>3.0</v>
      </c>
      <c r="AI102" s="50">
        <v>0.0</v>
      </c>
      <c r="AJ102" s="116"/>
      <c r="AK102" s="50" t="s">
        <v>8196</v>
      </c>
      <c r="AL102" s="50">
        <v>4.0</v>
      </c>
      <c r="AM102" s="50">
        <v>1.0</v>
      </c>
      <c r="AN102" s="50" t="s">
        <v>6901</v>
      </c>
      <c r="AO102" s="117">
        <v>3690.0</v>
      </c>
      <c r="AP102" s="50" t="s">
        <v>8198</v>
      </c>
      <c r="AQ102" s="50" t="s">
        <v>8199</v>
      </c>
      <c r="AR102" s="117">
        <v>101.0</v>
      </c>
    </row>
    <row r="103">
      <c r="A103" s="50" t="s">
        <v>8200</v>
      </c>
      <c r="B103" s="50" t="s">
        <v>6876</v>
      </c>
      <c r="C103" s="50" t="s">
        <v>6877</v>
      </c>
      <c r="D103" s="50" t="s">
        <v>8161</v>
      </c>
      <c r="E103" s="144">
        <v>43677.0</v>
      </c>
      <c r="F103" s="50" t="s">
        <v>8201</v>
      </c>
      <c r="G103" s="50">
        <v>58.0</v>
      </c>
      <c r="H103" s="50">
        <v>1.0</v>
      </c>
      <c r="I103" s="50">
        <v>99.0</v>
      </c>
      <c r="J103" s="116"/>
      <c r="K103" s="116"/>
      <c r="L103" s="50" t="s">
        <v>975</v>
      </c>
      <c r="M103" s="50" t="s">
        <v>975</v>
      </c>
      <c r="N103" s="50" t="s">
        <v>8163</v>
      </c>
      <c r="O103" s="50" t="s">
        <v>8165</v>
      </c>
      <c r="P103" s="50" t="s">
        <v>8166</v>
      </c>
      <c r="Q103" s="50" t="s">
        <v>8168</v>
      </c>
      <c r="R103" s="116"/>
      <c r="S103" s="116"/>
      <c r="T103" s="116"/>
      <c r="U103" s="116"/>
      <c r="V103" s="116"/>
      <c r="W103" s="50">
        <v>7.0</v>
      </c>
      <c r="X103" s="50">
        <v>100.0</v>
      </c>
      <c r="Y103" s="50">
        <v>3.0</v>
      </c>
      <c r="Z103" s="50">
        <v>28.0</v>
      </c>
      <c r="AA103" s="116"/>
      <c r="AB103" s="116"/>
      <c r="AC103" s="116"/>
      <c r="AD103" s="116"/>
      <c r="AE103" s="116"/>
      <c r="AF103" s="116"/>
      <c r="AG103" s="116"/>
      <c r="AH103" s="116"/>
      <c r="AI103" s="116"/>
      <c r="AJ103" s="116"/>
      <c r="AK103" s="50" t="s">
        <v>8204</v>
      </c>
      <c r="AL103" s="50">
        <v>4.0</v>
      </c>
      <c r="AM103" s="50">
        <v>1.0</v>
      </c>
      <c r="AN103" s="50" t="s">
        <v>6901</v>
      </c>
      <c r="AO103" s="117">
        <v>3691.0</v>
      </c>
      <c r="AP103" s="50" t="s">
        <v>8205</v>
      </c>
      <c r="AQ103" s="50" t="s">
        <v>8206</v>
      </c>
      <c r="AR103" s="117">
        <v>102.0</v>
      </c>
    </row>
    <row r="104">
      <c r="A104" s="50" t="s">
        <v>8201</v>
      </c>
      <c r="B104" s="50" t="s">
        <v>6876</v>
      </c>
      <c r="C104" s="50" t="s">
        <v>6877</v>
      </c>
      <c r="D104" s="50" t="s">
        <v>8161</v>
      </c>
      <c r="E104" s="144">
        <v>43677.0</v>
      </c>
      <c r="F104" s="50" t="s">
        <v>8207</v>
      </c>
      <c r="G104" s="50">
        <v>33.0</v>
      </c>
      <c r="H104" s="50">
        <v>1.0</v>
      </c>
      <c r="I104" s="50">
        <v>98.0</v>
      </c>
      <c r="J104" s="116"/>
      <c r="K104" s="116"/>
      <c r="L104" s="50" t="s">
        <v>983</v>
      </c>
      <c r="M104" s="50" t="s">
        <v>983</v>
      </c>
      <c r="N104" s="50" t="s">
        <v>8165</v>
      </c>
      <c r="O104" s="50" t="s">
        <v>8165</v>
      </c>
      <c r="P104" s="50" t="s">
        <v>8166</v>
      </c>
      <c r="Q104" s="50" t="s">
        <v>8168</v>
      </c>
      <c r="R104" s="116"/>
      <c r="S104" s="116"/>
      <c r="T104" s="116"/>
      <c r="U104" s="116"/>
      <c r="V104" s="116"/>
      <c r="W104" s="50">
        <v>7.0</v>
      </c>
      <c r="X104" s="50">
        <v>100.0</v>
      </c>
      <c r="Y104" s="50">
        <v>3.0</v>
      </c>
      <c r="Z104" s="50">
        <v>0.0</v>
      </c>
      <c r="AA104" s="116"/>
      <c r="AB104" s="116"/>
      <c r="AC104" s="116"/>
      <c r="AD104" s="116"/>
      <c r="AE104" s="116"/>
      <c r="AF104" s="116"/>
      <c r="AG104" s="116"/>
      <c r="AH104" s="116"/>
      <c r="AI104" s="116"/>
      <c r="AJ104" s="116"/>
      <c r="AK104" s="50" t="s">
        <v>8213</v>
      </c>
      <c r="AL104" s="50">
        <v>4.0</v>
      </c>
      <c r="AM104" s="50">
        <v>1.0</v>
      </c>
      <c r="AN104" s="50" t="s">
        <v>6901</v>
      </c>
      <c r="AO104" s="117">
        <v>3692.0</v>
      </c>
      <c r="AP104" s="50" t="s">
        <v>8214</v>
      </c>
      <c r="AQ104" s="50" t="s">
        <v>8215</v>
      </c>
      <c r="AR104" s="117">
        <v>103.0</v>
      </c>
    </row>
    <row r="105">
      <c r="A105" s="50" t="s">
        <v>8217</v>
      </c>
      <c r="B105" s="50" t="s">
        <v>6876</v>
      </c>
      <c r="C105" s="50" t="s">
        <v>6877</v>
      </c>
      <c r="D105" s="50" t="s">
        <v>8161</v>
      </c>
      <c r="E105" s="144">
        <v>43678.0</v>
      </c>
      <c r="F105" s="50" t="s">
        <v>8219</v>
      </c>
      <c r="G105" s="50">
        <v>59.0</v>
      </c>
      <c r="H105" s="50">
        <v>1.0</v>
      </c>
      <c r="I105" s="50">
        <v>99.0</v>
      </c>
      <c r="J105" s="116"/>
      <c r="K105" s="116"/>
      <c r="L105" s="50" t="s">
        <v>985</v>
      </c>
      <c r="M105" s="50" t="s">
        <v>985</v>
      </c>
      <c r="N105" s="50" t="s">
        <v>8220</v>
      </c>
      <c r="O105" s="50" t="s">
        <v>8221</v>
      </c>
      <c r="P105" s="50" t="s">
        <v>8222</v>
      </c>
      <c r="Q105" s="50" t="s">
        <v>8223</v>
      </c>
      <c r="R105" s="116"/>
      <c r="S105" s="116"/>
      <c r="T105" s="116"/>
      <c r="U105" s="116"/>
      <c r="V105" s="116"/>
      <c r="W105" s="50">
        <v>7.0</v>
      </c>
      <c r="X105" s="50">
        <v>100.0</v>
      </c>
      <c r="Y105" s="50">
        <v>3.0</v>
      </c>
      <c r="Z105" s="50">
        <v>41.0</v>
      </c>
      <c r="AA105" s="116"/>
      <c r="AB105" s="116"/>
      <c r="AC105" s="116"/>
      <c r="AD105" s="116"/>
      <c r="AE105" s="116"/>
      <c r="AF105" s="116"/>
      <c r="AG105" s="116"/>
      <c r="AH105" s="116"/>
      <c r="AI105" s="116"/>
      <c r="AJ105" s="116"/>
      <c r="AK105" s="50" t="s">
        <v>8224</v>
      </c>
      <c r="AL105" s="50">
        <v>4.0</v>
      </c>
      <c r="AM105" s="50">
        <v>1.0</v>
      </c>
      <c r="AN105" s="50" t="s">
        <v>6901</v>
      </c>
      <c r="AO105" s="117">
        <v>3710.0</v>
      </c>
      <c r="AP105" s="50" t="s">
        <v>8225</v>
      </c>
      <c r="AQ105" s="50" t="s">
        <v>8226</v>
      </c>
      <c r="AR105" s="117">
        <v>104.0</v>
      </c>
    </row>
    <row r="106">
      <c r="A106" s="50" t="s">
        <v>8219</v>
      </c>
      <c r="B106" s="50" t="s">
        <v>6876</v>
      </c>
      <c r="C106" s="50" t="s">
        <v>6877</v>
      </c>
      <c r="D106" s="50" t="s">
        <v>8161</v>
      </c>
      <c r="E106" s="144">
        <v>43678.0</v>
      </c>
      <c r="F106" s="50" t="s">
        <v>8229</v>
      </c>
      <c r="G106" s="50">
        <v>58.0</v>
      </c>
      <c r="H106" s="50">
        <v>1.0</v>
      </c>
      <c r="I106" s="50">
        <v>99.0</v>
      </c>
      <c r="J106" s="116"/>
      <c r="K106" s="116"/>
      <c r="L106" s="50" t="s">
        <v>987</v>
      </c>
      <c r="M106" s="50" t="s">
        <v>987</v>
      </c>
      <c r="N106" s="50" t="s">
        <v>8220</v>
      </c>
      <c r="O106" s="50" t="s">
        <v>8221</v>
      </c>
      <c r="P106" s="50" t="s">
        <v>8222</v>
      </c>
      <c r="Q106" s="50" t="s">
        <v>8223</v>
      </c>
      <c r="R106" s="116"/>
      <c r="S106" s="116"/>
      <c r="T106" s="116"/>
      <c r="U106" s="116"/>
      <c r="V106" s="116"/>
      <c r="W106" s="50">
        <v>7.0</v>
      </c>
      <c r="X106" s="50">
        <v>100.0</v>
      </c>
      <c r="Y106" s="50">
        <v>3.0</v>
      </c>
      <c r="Z106" s="50">
        <v>1.0</v>
      </c>
      <c r="AA106" s="116"/>
      <c r="AB106" s="116"/>
      <c r="AC106" s="116"/>
      <c r="AD106" s="116"/>
      <c r="AE106" s="116"/>
      <c r="AF106" s="116"/>
      <c r="AG106" s="116"/>
      <c r="AH106" s="116"/>
      <c r="AI106" s="116"/>
      <c r="AJ106" s="116"/>
      <c r="AK106" s="50" t="s">
        <v>8234</v>
      </c>
      <c r="AL106" s="50">
        <v>4.0</v>
      </c>
      <c r="AM106" s="50">
        <v>1.0</v>
      </c>
      <c r="AN106" s="50" t="s">
        <v>6901</v>
      </c>
      <c r="AO106" s="117">
        <v>3711.0</v>
      </c>
      <c r="AP106" s="50" t="s">
        <v>8235</v>
      </c>
      <c r="AQ106" s="50" t="s">
        <v>8236</v>
      </c>
      <c r="AR106" s="117">
        <v>105.0</v>
      </c>
    </row>
    <row r="107">
      <c r="A107" s="50" t="s">
        <v>8237</v>
      </c>
      <c r="B107" s="50" t="s">
        <v>6876</v>
      </c>
      <c r="C107" s="50" t="s">
        <v>6877</v>
      </c>
      <c r="D107" s="50" t="s">
        <v>8161</v>
      </c>
      <c r="E107" s="144">
        <v>43678.0</v>
      </c>
      <c r="F107" s="50" t="s">
        <v>8238</v>
      </c>
      <c r="G107" s="50">
        <v>58.0</v>
      </c>
      <c r="H107" s="50">
        <v>1.0</v>
      </c>
      <c r="I107" s="50">
        <v>5.0</v>
      </c>
      <c r="J107" s="116"/>
      <c r="K107" s="116"/>
      <c r="L107" s="50" t="s">
        <v>998</v>
      </c>
      <c r="M107" s="50" t="s">
        <v>998</v>
      </c>
      <c r="N107" s="50" t="s">
        <v>8220</v>
      </c>
      <c r="O107" s="50" t="s">
        <v>8222</v>
      </c>
      <c r="P107" s="50" t="s">
        <v>8239</v>
      </c>
      <c r="Q107" s="50" t="s">
        <v>8240</v>
      </c>
      <c r="R107" s="116"/>
      <c r="S107" s="116"/>
      <c r="T107" s="116"/>
      <c r="U107" s="116"/>
      <c r="V107" s="116"/>
      <c r="W107" s="50">
        <v>7.0</v>
      </c>
      <c r="X107" s="50">
        <v>10.0</v>
      </c>
      <c r="Y107" s="50">
        <v>2.0</v>
      </c>
      <c r="Z107" s="116"/>
      <c r="AA107" s="50">
        <v>7.0</v>
      </c>
      <c r="AB107" s="50">
        <v>1.0</v>
      </c>
      <c r="AC107" s="50">
        <v>2.0</v>
      </c>
      <c r="AD107" s="116"/>
      <c r="AE107" s="50">
        <v>0.0</v>
      </c>
      <c r="AF107" s="116"/>
      <c r="AG107" s="116"/>
      <c r="AH107" s="116"/>
      <c r="AI107" s="116"/>
      <c r="AJ107" s="116"/>
      <c r="AK107" s="116"/>
      <c r="AL107" s="50">
        <v>4.0</v>
      </c>
      <c r="AM107" s="50">
        <v>1.0</v>
      </c>
      <c r="AN107" s="50" t="s">
        <v>6901</v>
      </c>
      <c r="AO107" s="117">
        <v>3712.0</v>
      </c>
      <c r="AP107" s="50" t="s">
        <v>8245</v>
      </c>
      <c r="AQ107" s="50" t="s">
        <v>8246</v>
      </c>
      <c r="AR107" s="117">
        <v>106.0</v>
      </c>
    </row>
    <row r="108">
      <c r="A108" s="50" t="s">
        <v>8238</v>
      </c>
      <c r="B108" s="50" t="s">
        <v>6876</v>
      </c>
      <c r="C108" s="50" t="s">
        <v>6877</v>
      </c>
      <c r="D108" s="50" t="s">
        <v>8161</v>
      </c>
      <c r="E108" s="144">
        <v>43678.0</v>
      </c>
      <c r="F108" s="50" t="s">
        <v>8247</v>
      </c>
      <c r="G108" s="50">
        <v>58.0</v>
      </c>
      <c r="H108" s="50">
        <v>1.0</v>
      </c>
      <c r="I108" s="50">
        <v>5.0</v>
      </c>
      <c r="J108" s="116"/>
      <c r="K108" s="116"/>
      <c r="L108" s="50" t="s">
        <v>999</v>
      </c>
      <c r="M108" s="50" t="s">
        <v>999</v>
      </c>
      <c r="N108" s="50" t="s">
        <v>8220</v>
      </c>
      <c r="O108" s="50" t="s">
        <v>8248</v>
      </c>
      <c r="P108" s="50" t="s">
        <v>8250</v>
      </c>
      <c r="Q108" s="50" t="s">
        <v>8251</v>
      </c>
      <c r="R108" s="116"/>
      <c r="S108" s="116"/>
      <c r="T108" s="116"/>
      <c r="U108" s="116"/>
      <c r="V108" s="116"/>
      <c r="W108" s="50">
        <v>7.0</v>
      </c>
      <c r="X108" s="50">
        <v>10.0</v>
      </c>
      <c r="Y108" s="50">
        <v>2.0</v>
      </c>
      <c r="Z108" s="116"/>
      <c r="AA108" s="50">
        <v>7.0</v>
      </c>
      <c r="AB108" s="50">
        <v>1.0</v>
      </c>
      <c r="AC108" s="50">
        <v>2.0</v>
      </c>
      <c r="AD108" s="116"/>
      <c r="AE108" s="50">
        <v>0.0</v>
      </c>
      <c r="AF108" s="116"/>
      <c r="AG108" s="116"/>
      <c r="AH108" s="116"/>
      <c r="AI108" s="116"/>
      <c r="AJ108" s="116"/>
      <c r="AK108" s="116"/>
      <c r="AL108" s="50">
        <v>4.0</v>
      </c>
      <c r="AM108" s="50">
        <v>1.0</v>
      </c>
      <c r="AN108" s="50" t="s">
        <v>6901</v>
      </c>
      <c r="AO108" s="117">
        <v>3713.0</v>
      </c>
      <c r="AP108" s="50" t="s">
        <v>8253</v>
      </c>
      <c r="AQ108" s="50" t="s">
        <v>8254</v>
      </c>
      <c r="AR108" s="117">
        <v>107.0</v>
      </c>
    </row>
    <row r="109">
      <c r="A109" s="50" t="s">
        <v>8247</v>
      </c>
      <c r="B109" s="50" t="s">
        <v>6876</v>
      </c>
      <c r="C109" s="50" t="s">
        <v>6877</v>
      </c>
      <c r="D109" s="50" t="s">
        <v>8161</v>
      </c>
      <c r="E109" s="144">
        <v>43678.0</v>
      </c>
      <c r="F109" s="50" t="s">
        <v>8255</v>
      </c>
      <c r="G109" s="50">
        <v>33.0</v>
      </c>
      <c r="H109" s="50">
        <v>1.0</v>
      </c>
      <c r="I109" s="50">
        <v>98.0</v>
      </c>
      <c r="J109" s="116"/>
      <c r="K109" s="116"/>
      <c r="L109" s="50" t="s">
        <v>997</v>
      </c>
      <c r="M109" s="50" t="s">
        <v>997</v>
      </c>
      <c r="N109" s="50" t="s">
        <v>8221</v>
      </c>
      <c r="O109" s="50" t="s">
        <v>8221</v>
      </c>
      <c r="P109" s="50" t="s">
        <v>8222</v>
      </c>
      <c r="Q109" s="50" t="s">
        <v>8223</v>
      </c>
      <c r="R109" s="116"/>
      <c r="S109" s="116"/>
      <c r="T109" s="116"/>
      <c r="U109" s="116"/>
      <c r="V109" s="116"/>
      <c r="W109" s="50">
        <v>7.0</v>
      </c>
      <c r="X109" s="50">
        <v>100.0</v>
      </c>
      <c r="Y109" s="50">
        <v>3.0</v>
      </c>
      <c r="Z109" s="50">
        <v>0.0</v>
      </c>
      <c r="AA109" s="116"/>
      <c r="AB109" s="116"/>
      <c r="AC109" s="116"/>
      <c r="AD109" s="116"/>
      <c r="AE109" s="116"/>
      <c r="AF109" s="116"/>
      <c r="AG109" s="116"/>
      <c r="AH109" s="116"/>
      <c r="AI109" s="116"/>
      <c r="AJ109" s="116"/>
      <c r="AK109" s="50" t="s">
        <v>8259</v>
      </c>
      <c r="AL109" s="50">
        <v>4.0</v>
      </c>
      <c r="AM109" s="50">
        <v>1.0</v>
      </c>
      <c r="AN109" s="50" t="s">
        <v>6901</v>
      </c>
      <c r="AO109" s="117">
        <v>3714.0</v>
      </c>
      <c r="AP109" s="50" t="s">
        <v>8261</v>
      </c>
      <c r="AQ109" s="50" t="s">
        <v>8262</v>
      </c>
      <c r="AR109" s="117">
        <v>108.0</v>
      </c>
    </row>
    <row r="110">
      <c r="A110" s="50" t="s">
        <v>8263</v>
      </c>
      <c r="B110" s="50" t="s">
        <v>6876</v>
      </c>
      <c r="C110" s="50" t="s">
        <v>6877</v>
      </c>
      <c r="D110" s="50" t="s">
        <v>8161</v>
      </c>
      <c r="E110" s="144">
        <v>43679.0</v>
      </c>
      <c r="F110" s="50" t="s">
        <v>8264</v>
      </c>
      <c r="G110" s="50">
        <v>58.0</v>
      </c>
      <c r="H110" s="50">
        <v>1.0</v>
      </c>
      <c r="I110" s="50">
        <v>8.0</v>
      </c>
      <c r="J110" s="116"/>
      <c r="K110" s="116"/>
      <c r="L110" s="50" t="s">
        <v>1006</v>
      </c>
      <c r="M110" s="50" t="s">
        <v>1006</v>
      </c>
      <c r="N110" s="50" t="s">
        <v>8265</v>
      </c>
      <c r="O110" s="50" t="s">
        <v>8266</v>
      </c>
      <c r="P110" s="50" t="s">
        <v>8267</v>
      </c>
      <c r="Q110" s="50" t="s">
        <v>8269</v>
      </c>
      <c r="R110" s="116"/>
      <c r="S110" s="116"/>
      <c r="T110" s="116"/>
      <c r="U110" s="50">
        <v>112.6</v>
      </c>
      <c r="V110" s="116"/>
      <c r="W110" s="50">
        <v>7.0</v>
      </c>
      <c r="X110" s="50">
        <v>1.0</v>
      </c>
      <c r="Y110" s="50">
        <v>2.0</v>
      </c>
      <c r="Z110" s="116"/>
      <c r="AA110" s="50">
        <v>6.0</v>
      </c>
      <c r="AB110" s="50">
        <v>1.0</v>
      </c>
      <c r="AC110" s="50">
        <v>3.0</v>
      </c>
      <c r="AD110" s="50">
        <v>26.0</v>
      </c>
      <c r="AE110" s="50">
        <v>1.0</v>
      </c>
      <c r="AF110" s="50">
        <v>5.0</v>
      </c>
      <c r="AG110" s="50">
        <v>1.0</v>
      </c>
      <c r="AH110" s="50">
        <v>3.0</v>
      </c>
      <c r="AI110" s="50">
        <v>3.0</v>
      </c>
      <c r="AJ110" s="116"/>
      <c r="AK110" s="50" t="s">
        <v>8271</v>
      </c>
      <c r="AL110" s="50">
        <v>4.0</v>
      </c>
      <c r="AM110" s="50">
        <v>1.0</v>
      </c>
      <c r="AN110" s="50" t="s">
        <v>6901</v>
      </c>
      <c r="AO110" s="117">
        <v>3726.0</v>
      </c>
      <c r="AP110" s="50" t="s">
        <v>8272</v>
      </c>
      <c r="AQ110" s="50" t="s">
        <v>8273</v>
      </c>
      <c r="AR110" s="117">
        <v>109.0</v>
      </c>
    </row>
    <row r="111">
      <c r="A111" s="50" t="s">
        <v>8264</v>
      </c>
      <c r="B111" s="50" t="s">
        <v>6876</v>
      </c>
      <c r="C111" s="50" t="s">
        <v>6877</v>
      </c>
      <c r="D111" s="50" t="s">
        <v>8161</v>
      </c>
      <c r="E111" s="144">
        <v>43679.0</v>
      </c>
      <c r="F111" s="50" t="s">
        <v>8274</v>
      </c>
      <c r="G111" s="50">
        <v>58.0</v>
      </c>
      <c r="H111" s="50">
        <v>1.0</v>
      </c>
      <c r="I111" s="50">
        <v>8.0</v>
      </c>
      <c r="J111" s="116"/>
      <c r="K111" s="116"/>
      <c r="L111" s="50" t="s">
        <v>1008</v>
      </c>
      <c r="M111" s="50" t="s">
        <v>1008</v>
      </c>
      <c r="N111" s="50" t="s">
        <v>8265</v>
      </c>
      <c r="O111" s="50" t="s">
        <v>8266</v>
      </c>
      <c r="P111" s="50" t="s">
        <v>8267</v>
      </c>
      <c r="Q111" s="50" t="s">
        <v>8269</v>
      </c>
      <c r="R111" s="116"/>
      <c r="S111" s="116"/>
      <c r="T111" s="116"/>
      <c r="U111" s="50">
        <v>103.0</v>
      </c>
      <c r="V111" s="116"/>
      <c r="W111" s="50">
        <v>7.0</v>
      </c>
      <c r="X111" s="50">
        <v>1.0</v>
      </c>
      <c r="Y111" s="50">
        <v>3.0</v>
      </c>
      <c r="Z111" s="50">
        <v>0.0</v>
      </c>
      <c r="AA111" s="50">
        <v>6.0</v>
      </c>
      <c r="AB111" s="50">
        <v>1.0</v>
      </c>
      <c r="AC111" s="50">
        <v>3.0</v>
      </c>
      <c r="AD111" s="50">
        <v>0.0</v>
      </c>
      <c r="AE111" s="50">
        <v>1.0</v>
      </c>
      <c r="AF111" s="50">
        <v>5.0</v>
      </c>
      <c r="AG111" s="50">
        <v>1.0</v>
      </c>
      <c r="AH111" s="50">
        <v>3.0</v>
      </c>
      <c r="AI111" s="50">
        <v>0.0</v>
      </c>
      <c r="AJ111" s="116"/>
      <c r="AK111" s="50" t="s">
        <v>8279</v>
      </c>
      <c r="AL111" s="50">
        <v>4.0</v>
      </c>
      <c r="AM111" s="50">
        <v>1.0</v>
      </c>
      <c r="AN111" s="50" t="s">
        <v>6901</v>
      </c>
      <c r="AO111" s="117">
        <v>3727.0</v>
      </c>
      <c r="AP111" s="50" t="s">
        <v>8280</v>
      </c>
      <c r="AQ111" s="50" t="s">
        <v>8281</v>
      </c>
      <c r="AR111" s="117">
        <v>110.0</v>
      </c>
    </row>
    <row r="112">
      <c r="A112" s="50" t="s">
        <v>8274</v>
      </c>
      <c r="B112" s="50" t="s">
        <v>6876</v>
      </c>
      <c r="C112" s="50" t="s">
        <v>6877</v>
      </c>
      <c r="D112" s="50" t="s">
        <v>8161</v>
      </c>
      <c r="E112" s="144">
        <v>43679.0</v>
      </c>
      <c r="F112" s="50" t="s">
        <v>8282</v>
      </c>
      <c r="G112" s="50">
        <v>59.0</v>
      </c>
      <c r="H112" s="50">
        <v>1.0</v>
      </c>
      <c r="I112" s="50">
        <v>99.0</v>
      </c>
      <c r="J112" s="116"/>
      <c r="K112" s="116"/>
      <c r="L112" s="50" t="s">
        <v>1003</v>
      </c>
      <c r="M112" s="50" t="s">
        <v>1003</v>
      </c>
      <c r="N112" s="50" t="s">
        <v>8285</v>
      </c>
      <c r="O112" s="50" t="s">
        <v>8286</v>
      </c>
      <c r="P112" s="50" t="s">
        <v>8223</v>
      </c>
      <c r="Q112" s="50" t="s">
        <v>8287</v>
      </c>
      <c r="R112" s="116"/>
      <c r="S112" s="116"/>
      <c r="T112" s="116"/>
      <c r="U112" s="116"/>
      <c r="V112" s="116"/>
      <c r="W112" s="50">
        <v>7.0</v>
      </c>
      <c r="X112" s="50">
        <v>100.0</v>
      </c>
      <c r="Y112" s="50">
        <v>2.0</v>
      </c>
      <c r="Z112" s="116"/>
      <c r="AA112" s="116"/>
      <c r="AB112" s="116"/>
      <c r="AC112" s="116"/>
      <c r="AD112" s="116"/>
      <c r="AE112" s="116"/>
      <c r="AF112" s="116"/>
      <c r="AG112" s="116"/>
      <c r="AH112" s="116"/>
      <c r="AI112" s="116"/>
      <c r="AJ112" s="116"/>
      <c r="AK112" s="50" t="s">
        <v>8288</v>
      </c>
      <c r="AL112" s="50">
        <v>2.0</v>
      </c>
      <c r="AM112" s="50">
        <v>1.0</v>
      </c>
      <c r="AN112" s="50" t="s">
        <v>6901</v>
      </c>
      <c r="AO112" s="117">
        <v>3728.0</v>
      </c>
      <c r="AP112" s="50" t="s">
        <v>8289</v>
      </c>
      <c r="AQ112" s="50" t="s">
        <v>8290</v>
      </c>
      <c r="AR112" s="117">
        <v>111.0</v>
      </c>
    </row>
    <row r="113">
      <c r="A113" s="50" t="s">
        <v>8282</v>
      </c>
      <c r="B113" s="50" t="s">
        <v>6876</v>
      </c>
      <c r="C113" s="50" t="s">
        <v>6877</v>
      </c>
      <c r="D113" s="50" t="s">
        <v>8161</v>
      </c>
      <c r="E113" s="144">
        <v>43679.0</v>
      </c>
      <c r="F113" s="50" t="s">
        <v>8291</v>
      </c>
      <c r="G113" s="50">
        <v>59.0</v>
      </c>
      <c r="H113" s="50">
        <v>1.0</v>
      </c>
      <c r="I113" s="50">
        <v>11.0</v>
      </c>
      <c r="J113" s="116"/>
      <c r="K113" s="116"/>
      <c r="L113" s="50" t="s">
        <v>1002</v>
      </c>
      <c r="M113" s="50" t="s">
        <v>1002</v>
      </c>
      <c r="N113" s="50" t="s">
        <v>8285</v>
      </c>
      <c r="O113" s="50" t="s">
        <v>8286</v>
      </c>
      <c r="P113" s="50" t="s">
        <v>8292</v>
      </c>
      <c r="Q113" s="50" t="s">
        <v>8293</v>
      </c>
      <c r="R113" s="116"/>
      <c r="S113" s="116"/>
      <c r="T113" s="116"/>
      <c r="U113" s="116"/>
      <c r="V113" s="116"/>
      <c r="W113" s="50">
        <v>4.0</v>
      </c>
      <c r="X113" s="50">
        <v>1.0</v>
      </c>
      <c r="Y113" s="50">
        <v>3.0</v>
      </c>
      <c r="Z113" s="50">
        <v>2.0</v>
      </c>
      <c r="AA113" s="50">
        <v>3.0</v>
      </c>
      <c r="AB113" s="50">
        <v>1.0</v>
      </c>
      <c r="AC113" s="50">
        <v>3.0</v>
      </c>
      <c r="AD113" s="50">
        <v>2.0</v>
      </c>
      <c r="AE113" s="50">
        <v>1.0</v>
      </c>
      <c r="AF113" s="50">
        <v>2.0</v>
      </c>
      <c r="AG113" s="50">
        <v>1.0</v>
      </c>
      <c r="AH113" s="50">
        <v>3.0</v>
      </c>
      <c r="AI113" s="50">
        <v>0.0</v>
      </c>
      <c r="AJ113" s="116"/>
      <c r="AK113" s="50" t="s">
        <v>8298</v>
      </c>
      <c r="AL113" s="50">
        <v>2.0</v>
      </c>
      <c r="AM113" s="50">
        <v>1.0</v>
      </c>
      <c r="AN113" s="50" t="s">
        <v>6901</v>
      </c>
      <c r="AO113" s="117">
        <v>3729.0</v>
      </c>
      <c r="AP113" s="50" t="s">
        <v>8299</v>
      </c>
      <c r="AQ113" s="50" t="s">
        <v>8300</v>
      </c>
      <c r="AR113" s="117">
        <v>112.0</v>
      </c>
    </row>
    <row r="114">
      <c r="A114" s="50" t="s">
        <v>8291</v>
      </c>
      <c r="B114" s="50" t="s">
        <v>6876</v>
      </c>
      <c r="C114" s="50" t="s">
        <v>6877</v>
      </c>
      <c r="D114" s="50" t="s">
        <v>8161</v>
      </c>
      <c r="E114" s="144">
        <v>43679.0</v>
      </c>
      <c r="F114" s="50" t="s">
        <v>8301</v>
      </c>
      <c r="G114" s="50">
        <v>33.0</v>
      </c>
      <c r="H114" s="50">
        <v>1.0</v>
      </c>
      <c r="I114" s="50">
        <v>98.0</v>
      </c>
      <c r="J114" s="116"/>
      <c r="K114" s="116"/>
      <c r="L114" s="50" t="s">
        <v>1009</v>
      </c>
      <c r="M114" s="50" t="s">
        <v>1009</v>
      </c>
      <c r="N114" s="50" t="s">
        <v>8223</v>
      </c>
      <c r="O114" s="50" t="s">
        <v>8223</v>
      </c>
      <c r="P114" s="50" t="s">
        <v>8303</v>
      </c>
      <c r="Q114" s="50" t="s">
        <v>8304</v>
      </c>
      <c r="R114" s="116"/>
      <c r="S114" s="116"/>
      <c r="T114" s="116"/>
      <c r="U114" s="116"/>
      <c r="V114" s="116"/>
      <c r="W114" s="50">
        <v>7.0</v>
      </c>
      <c r="X114" s="50">
        <v>100.0</v>
      </c>
      <c r="Y114" s="50">
        <v>3.0</v>
      </c>
      <c r="Z114" s="50">
        <v>0.0</v>
      </c>
      <c r="AA114" s="116"/>
      <c r="AB114" s="116"/>
      <c r="AC114" s="116"/>
      <c r="AD114" s="116"/>
      <c r="AE114" s="116"/>
      <c r="AF114" s="116"/>
      <c r="AG114" s="116"/>
      <c r="AH114" s="116"/>
      <c r="AI114" s="116"/>
      <c r="AJ114" s="116"/>
      <c r="AK114" s="50" t="s">
        <v>8213</v>
      </c>
      <c r="AL114" s="50">
        <v>4.0</v>
      </c>
      <c r="AM114" s="50">
        <v>1.0</v>
      </c>
      <c r="AN114" s="50" t="s">
        <v>6901</v>
      </c>
      <c r="AO114" s="117">
        <v>3730.0</v>
      </c>
      <c r="AP114" s="50" t="s">
        <v>8305</v>
      </c>
      <c r="AQ114" s="50" t="s">
        <v>8307</v>
      </c>
      <c r="AR114" s="117">
        <v>113.0</v>
      </c>
    </row>
    <row r="115">
      <c r="A115" s="50" t="s">
        <v>8308</v>
      </c>
      <c r="B115" s="50" t="s">
        <v>6876</v>
      </c>
      <c r="C115" s="50" t="s">
        <v>6877</v>
      </c>
      <c r="D115" s="50" t="s">
        <v>8310</v>
      </c>
      <c r="E115" s="144">
        <v>43682.0</v>
      </c>
      <c r="F115" s="50" t="s">
        <v>8312</v>
      </c>
      <c r="G115" s="50">
        <v>57.0</v>
      </c>
      <c r="H115" s="50">
        <v>1.0</v>
      </c>
      <c r="I115" s="50">
        <v>99.0</v>
      </c>
      <c r="J115" s="116"/>
      <c r="K115" s="116"/>
      <c r="L115" s="50" t="s">
        <v>1017</v>
      </c>
      <c r="M115" s="50" t="s">
        <v>1017</v>
      </c>
      <c r="N115" s="50" t="s">
        <v>8315</v>
      </c>
      <c r="O115" s="50" t="s">
        <v>8316</v>
      </c>
      <c r="P115" s="50" t="s">
        <v>8317</v>
      </c>
      <c r="Q115" s="50" t="s">
        <v>8318</v>
      </c>
      <c r="R115" s="116"/>
      <c r="S115" s="116"/>
      <c r="T115" s="116"/>
      <c r="U115" s="116"/>
      <c r="V115" s="116"/>
      <c r="W115" s="50">
        <v>7.0</v>
      </c>
      <c r="X115" s="50">
        <v>100.0</v>
      </c>
      <c r="Y115" s="50">
        <v>3.0</v>
      </c>
      <c r="Z115" s="50">
        <v>0.0</v>
      </c>
      <c r="AA115" s="116"/>
      <c r="AB115" s="116"/>
      <c r="AC115" s="116"/>
      <c r="AD115" s="116"/>
      <c r="AE115" s="116"/>
      <c r="AF115" s="116"/>
      <c r="AG115" s="116"/>
      <c r="AH115" s="116"/>
      <c r="AI115" s="116"/>
      <c r="AJ115" s="116"/>
      <c r="AK115" s="50" t="s">
        <v>8259</v>
      </c>
      <c r="AL115" s="50" t="s">
        <v>8322</v>
      </c>
      <c r="AM115" s="50">
        <v>0.0</v>
      </c>
      <c r="AN115" s="50" t="s">
        <v>6901</v>
      </c>
      <c r="AO115" s="117">
        <v>3735.0</v>
      </c>
      <c r="AP115" s="50" t="s">
        <v>8323</v>
      </c>
      <c r="AQ115" s="50" t="s">
        <v>8324</v>
      </c>
      <c r="AR115" s="117">
        <v>114.0</v>
      </c>
    </row>
    <row r="116">
      <c r="A116" s="50" t="s">
        <v>8312</v>
      </c>
      <c r="B116" s="50" t="s">
        <v>6876</v>
      </c>
      <c r="C116" s="50" t="s">
        <v>6877</v>
      </c>
      <c r="D116" s="50" t="s">
        <v>8310</v>
      </c>
      <c r="E116" s="144">
        <v>43682.0</v>
      </c>
      <c r="F116" s="50" t="s">
        <v>8325</v>
      </c>
      <c r="G116" s="50">
        <v>33.0</v>
      </c>
      <c r="H116" s="50">
        <v>1.0</v>
      </c>
      <c r="I116" s="50">
        <v>98.0</v>
      </c>
      <c r="J116" s="116"/>
      <c r="K116" s="116"/>
      <c r="L116" s="50" t="s">
        <v>1020</v>
      </c>
      <c r="M116" s="50" t="s">
        <v>1020</v>
      </c>
      <c r="N116" s="50" t="s">
        <v>8316</v>
      </c>
      <c r="O116" s="50" t="s">
        <v>8316</v>
      </c>
      <c r="P116" s="50" t="s">
        <v>8317</v>
      </c>
      <c r="Q116" s="50" t="s">
        <v>8318</v>
      </c>
      <c r="R116" s="116"/>
      <c r="S116" s="116"/>
      <c r="T116" s="116"/>
      <c r="U116" s="116"/>
      <c r="V116" s="116"/>
      <c r="W116" s="50">
        <v>7.0</v>
      </c>
      <c r="X116" s="50">
        <v>100.0</v>
      </c>
      <c r="Y116" s="50">
        <v>3.0</v>
      </c>
      <c r="Z116" s="50">
        <v>0.0</v>
      </c>
      <c r="AA116" s="116"/>
      <c r="AB116" s="116"/>
      <c r="AC116" s="116"/>
      <c r="AD116" s="116"/>
      <c r="AE116" s="116"/>
      <c r="AF116" s="116"/>
      <c r="AG116" s="116"/>
      <c r="AH116" s="116"/>
      <c r="AI116" s="116"/>
      <c r="AJ116" s="116"/>
      <c r="AK116" s="50" t="s">
        <v>8213</v>
      </c>
      <c r="AL116" s="50">
        <v>4.0</v>
      </c>
      <c r="AM116" s="50">
        <v>0.0</v>
      </c>
      <c r="AN116" s="50" t="s">
        <v>6901</v>
      </c>
      <c r="AO116" s="117">
        <v>3736.0</v>
      </c>
      <c r="AP116" s="50" t="s">
        <v>8330</v>
      </c>
      <c r="AQ116" s="50" t="s">
        <v>8331</v>
      </c>
      <c r="AR116" s="117">
        <v>115.0</v>
      </c>
    </row>
    <row r="117">
      <c r="A117" s="50" t="s">
        <v>8332</v>
      </c>
      <c r="B117" s="50" t="s">
        <v>6876</v>
      </c>
      <c r="C117" s="50" t="s">
        <v>6877</v>
      </c>
      <c r="D117" s="50" t="s">
        <v>8310</v>
      </c>
      <c r="E117" s="144">
        <v>43685.0</v>
      </c>
      <c r="F117" s="50" t="s">
        <v>8333</v>
      </c>
      <c r="G117" s="50">
        <v>58.0</v>
      </c>
      <c r="H117" s="50">
        <v>1.0</v>
      </c>
      <c r="I117" s="50">
        <v>8.0</v>
      </c>
      <c r="J117" s="116"/>
      <c r="K117" s="116"/>
      <c r="L117" s="50" t="s">
        <v>1033</v>
      </c>
      <c r="M117" s="50" t="s">
        <v>1033</v>
      </c>
      <c r="N117" s="50" t="s">
        <v>8336</v>
      </c>
      <c r="O117" s="50" t="s">
        <v>8337</v>
      </c>
      <c r="P117" s="50" t="s">
        <v>8338</v>
      </c>
      <c r="Q117" s="50" t="s">
        <v>8339</v>
      </c>
      <c r="R117" s="116"/>
      <c r="S117" s="116"/>
      <c r="T117" s="116"/>
      <c r="U117" s="50">
        <v>108.6</v>
      </c>
      <c r="V117" s="116"/>
      <c r="W117" s="50">
        <v>7.0</v>
      </c>
      <c r="X117" s="50">
        <v>1.0</v>
      </c>
      <c r="Y117" s="50">
        <v>2.0</v>
      </c>
      <c r="Z117" s="116"/>
      <c r="AA117" s="50">
        <v>6.0</v>
      </c>
      <c r="AB117" s="50">
        <v>1.0</v>
      </c>
      <c r="AC117" s="50">
        <v>2.0</v>
      </c>
      <c r="AD117" s="116"/>
      <c r="AE117" s="50">
        <v>1.0</v>
      </c>
      <c r="AF117" s="50">
        <v>5.0</v>
      </c>
      <c r="AG117" s="50">
        <v>1.0</v>
      </c>
      <c r="AH117" s="50">
        <v>2.0</v>
      </c>
      <c r="AI117" s="116"/>
      <c r="AJ117" s="116"/>
      <c r="AK117" s="50" t="s">
        <v>8343</v>
      </c>
      <c r="AL117" s="50">
        <v>4.0</v>
      </c>
      <c r="AM117" s="50">
        <v>1.0</v>
      </c>
      <c r="AN117" s="50" t="s">
        <v>6901</v>
      </c>
      <c r="AO117" s="117">
        <v>3770.0</v>
      </c>
      <c r="AP117" s="50" t="s">
        <v>8346</v>
      </c>
      <c r="AQ117" s="50" t="s">
        <v>8347</v>
      </c>
      <c r="AR117" s="117">
        <v>116.0</v>
      </c>
    </row>
    <row r="118">
      <c r="A118" s="50" t="s">
        <v>8333</v>
      </c>
      <c r="B118" s="50" t="s">
        <v>6876</v>
      </c>
      <c r="C118" s="50" t="s">
        <v>6877</v>
      </c>
      <c r="D118" s="50" t="s">
        <v>8310</v>
      </c>
      <c r="E118" s="144">
        <v>43685.0</v>
      </c>
      <c r="F118" s="50" t="s">
        <v>8349</v>
      </c>
      <c r="G118" s="50">
        <v>58.0</v>
      </c>
      <c r="H118" s="50">
        <v>1.0</v>
      </c>
      <c r="I118" s="50">
        <v>11.0</v>
      </c>
      <c r="J118" s="116"/>
      <c r="K118" s="116"/>
      <c r="L118" s="50" t="s">
        <v>1028</v>
      </c>
      <c r="M118" s="50" t="s">
        <v>1028</v>
      </c>
      <c r="N118" s="50" t="s">
        <v>8352</v>
      </c>
      <c r="O118" s="50" t="s">
        <v>8353</v>
      </c>
      <c r="P118" s="50" t="s">
        <v>8354</v>
      </c>
      <c r="Q118" s="50" t="s">
        <v>8355</v>
      </c>
      <c r="R118" s="116"/>
      <c r="S118" s="116"/>
      <c r="T118" s="116"/>
      <c r="U118" s="116"/>
      <c r="V118" s="116"/>
      <c r="W118" s="50">
        <v>4.0</v>
      </c>
      <c r="X118" s="50">
        <v>1.0</v>
      </c>
      <c r="Y118" s="50">
        <v>3.0</v>
      </c>
      <c r="Z118" s="50">
        <v>112.0</v>
      </c>
      <c r="AA118" s="50">
        <v>3.0</v>
      </c>
      <c r="AB118" s="50">
        <v>1.0</v>
      </c>
      <c r="AC118" s="50">
        <v>3.0</v>
      </c>
      <c r="AD118" s="50">
        <v>11.0</v>
      </c>
      <c r="AE118" s="50">
        <v>1.0</v>
      </c>
      <c r="AF118" s="50">
        <v>2.0</v>
      </c>
      <c r="AG118" s="50">
        <v>1.0</v>
      </c>
      <c r="AH118" s="50">
        <v>3.0</v>
      </c>
      <c r="AI118" s="50">
        <v>0.0</v>
      </c>
      <c r="AJ118" s="116"/>
      <c r="AK118" s="50" t="s">
        <v>8356</v>
      </c>
      <c r="AL118" s="50">
        <v>3.0</v>
      </c>
      <c r="AM118" s="50">
        <v>1.0</v>
      </c>
      <c r="AN118" s="50" t="s">
        <v>6901</v>
      </c>
      <c r="AO118" s="117">
        <v>3771.0</v>
      </c>
      <c r="AP118" s="50" t="s">
        <v>8359</v>
      </c>
      <c r="AQ118" s="50" t="s">
        <v>8360</v>
      </c>
      <c r="AR118" s="117">
        <v>117.0</v>
      </c>
    </row>
    <row r="119">
      <c r="A119" s="50" t="s">
        <v>8363</v>
      </c>
      <c r="B119" s="50" t="s">
        <v>6876</v>
      </c>
      <c r="C119" s="50" t="s">
        <v>6877</v>
      </c>
      <c r="D119" s="50" t="s">
        <v>8310</v>
      </c>
      <c r="E119" s="144">
        <v>43685.0</v>
      </c>
      <c r="F119" s="50" t="s">
        <v>8364</v>
      </c>
      <c r="G119" s="50">
        <v>58.0</v>
      </c>
      <c r="H119" s="50">
        <v>1.0</v>
      </c>
      <c r="I119" s="50">
        <v>99.0</v>
      </c>
      <c r="J119" s="116"/>
      <c r="K119" s="116"/>
      <c r="L119" s="50" t="s">
        <v>1030</v>
      </c>
      <c r="M119" s="50" t="s">
        <v>1030</v>
      </c>
      <c r="N119" s="50" t="s">
        <v>8352</v>
      </c>
      <c r="O119" s="50" t="s">
        <v>8367</v>
      </c>
      <c r="P119" s="50" t="s">
        <v>8338</v>
      </c>
      <c r="Q119" s="50" t="s">
        <v>8339</v>
      </c>
      <c r="R119" s="116"/>
      <c r="S119" s="116"/>
      <c r="T119" s="116"/>
      <c r="U119" s="116"/>
      <c r="V119" s="116"/>
      <c r="W119" s="50">
        <v>7.0</v>
      </c>
      <c r="X119" s="50">
        <v>100.0</v>
      </c>
      <c r="Y119" s="50">
        <v>3.0</v>
      </c>
      <c r="Z119" s="50">
        <v>0.0</v>
      </c>
      <c r="AA119" s="116"/>
      <c r="AB119" s="116"/>
      <c r="AC119" s="116"/>
      <c r="AD119" s="116"/>
      <c r="AE119" s="116"/>
      <c r="AF119" s="116"/>
      <c r="AG119" s="116"/>
      <c r="AH119" s="116"/>
      <c r="AI119" s="116"/>
      <c r="AJ119" s="116"/>
      <c r="AK119" s="50" t="s">
        <v>8368</v>
      </c>
      <c r="AL119" s="50">
        <v>3.0</v>
      </c>
      <c r="AM119" s="50">
        <v>1.0</v>
      </c>
      <c r="AN119" s="50" t="s">
        <v>6901</v>
      </c>
      <c r="AO119" s="117">
        <v>3772.0</v>
      </c>
      <c r="AP119" s="50" t="s">
        <v>8370</v>
      </c>
      <c r="AQ119" s="50" t="s">
        <v>8371</v>
      </c>
      <c r="AR119" s="117">
        <v>118.0</v>
      </c>
    </row>
    <row r="120">
      <c r="A120" s="50" t="s">
        <v>8373</v>
      </c>
      <c r="B120" s="50" t="s">
        <v>6876</v>
      </c>
      <c r="C120" s="50" t="s">
        <v>6877</v>
      </c>
      <c r="D120" s="50" t="s">
        <v>8310</v>
      </c>
      <c r="E120" s="144">
        <v>43685.0</v>
      </c>
      <c r="F120" s="50" t="s">
        <v>8377</v>
      </c>
      <c r="G120" s="50">
        <v>58.0</v>
      </c>
      <c r="H120" s="50">
        <v>1.0</v>
      </c>
      <c r="I120" s="50">
        <v>5.0</v>
      </c>
      <c r="J120" s="116"/>
      <c r="K120" s="116"/>
      <c r="L120" s="50" t="s">
        <v>1023</v>
      </c>
      <c r="M120" s="50" t="s">
        <v>1023</v>
      </c>
      <c r="N120" s="50" t="s">
        <v>8378</v>
      </c>
      <c r="O120" s="50" t="s">
        <v>8379</v>
      </c>
      <c r="P120" s="50" t="s">
        <v>8380</v>
      </c>
      <c r="Q120" s="50" t="s">
        <v>8381</v>
      </c>
      <c r="R120" s="116"/>
      <c r="S120" s="116"/>
      <c r="T120" s="116"/>
      <c r="U120" s="116"/>
      <c r="V120" s="116"/>
      <c r="W120" s="50">
        <v>7.0</v>
      </c>
      <c r="X120" s="50">
        <v>10.0</v>
      </c>
      <c r="Y120" s="50">
        <v>2.0</v>
      </c>
      <c r="Z120" s="116"/>
      <c r="AA120" s="50">
        <v>7.0</v>
      </c>
      <c r="AB120" s="50">
        <v>1.0</v>
      </c>
      <c r="AC120" s="50">
        <v>2.0</v>
      </c>
      <c r="AD120" s="116"/>
      <c r="AE120" s="50">
        <v>0.0</v>
      </c>
      <c r="AF120" s="116"/>
      <c r="AG120" s="116"/>
      <c r="AH120" s="116"/>
      <c r="AI120" s="116"/>
      <c r="AJ120" s="116"/>
      <c r="AK120" s="50" t="s">
        <v>8384</v>
      </c>
      <c r="AL120" s="50">
        <v>3.0</v>
      </c>
      <c r="AM120" s="50">
        <v>1.0</v>
      </c>
      <c r="AN120" s="50" t="s">
        <v>6901</v>
      </c>
      <c r="AO120" s="117">
        <v>3773.0</v>
      </c>
      <c r="AP120" s="50" t="s">
        <v>8385</v>
      </c>
      <c r="AQ120" s="50" t="s">
        <v>8386</v>
      </c>
      <c r="AR120" s="117">
        <v>119.0</v>
      </c>
    </row>
    <row r="121">
      <c r="A121" s="50" t="s">
        <v>8387</v>
      </c>
      <c r="B121" s="50" t="s">
        <v>6876</v>
      </c>
      <c r="C121" s="50" t="s">
        <v>6877</v>
      </c>
      <c r="D121" s="50" t="s">
        <v>8310</v>
      </c>
      <c r="E121" s="144">
        <v>43685.0</v>
      </c>
      <c r="F121" s="50" t="s">
        <v>8388</v>
      </c>
      <c r="G121" s="50">
        <v>58.0</v>
      </c>
      <c r="H121" s="50">
        <v>1.0</v>
      </c>
      <c r="I121" s="50">
        <v>99.0</v>
      </c>
      <c r="J121" s="116"/>
      <c r="K121" s="116"/>
      <c r="L121" s="50" t="s">
        <v>1025</v>
      </c>
      <c r="M121" s="50" t="s">
        <v>1025</v>
      </c>
      <c r="N121" s="50" t="s">
        <v>8378</v>
      </c>
      <c r="O121" s="50" t="s">
        <v>8393</v>
      </c>
      <c r="P121" s="50" t="s">
        <v>8394</v>
      </c>
      <c r="Q121" s="50" t="s">
        <v>8395</v>
      </c>
      <c r="R121" s="116"/>
      <c r="S121" s="116"/>
      <c r="T121" s="116"/>
      <c r="U121" s="116"/>
      <c r="V121" s="116"/>
      <c r="W121" s="50">
        <v>7.0</v>
      </c>
      <c r="X121" s="50">
        <v>100.0</v>
      </c>
      <c r="Y121" s="50">
        <v>3.0</v>
      </c>
      <c r="Z121" s="50">
        <v>0.0</v>
      </c>
      <c r="AA121" s="116"/>
      <c r="AB121" s="116"/>
      <c r="AC121" s="116"/>
      <c r="AD121" s="116"/>
      <c r="AE121" s="116"/>
      <c r="AF121" s="116"/>
      <c r="AG121" s="116"/>
      <c r="AH121" s="116"/>
      <c r="AI121" s="116"/>
      <c r="AJ121" s="116"/>
      <c r="AK121" s="50" t="s">
        <v>8398</v>
      </c>
      <c r="AL121" s="50">
        <v>4.0</v>
      </c>
      <c r="AM121" s="50">
        <v>1.0</v>
      </c>
      <c r="AN121" s="50" t="s">
        <v>6901</v>
      </c>
      <c r="AO121" s="117">
        <v>3774.0</v>
      </c>
      <c r="AP121" s="50" t="s">
        <v>8399</v>
      </c>
      <c r="AQ121" s="50" t="s">
        <v>8400</v>
      </c>
      <c r="AR121" s="117">
        <v>120.0</v>
      </c>
    </row>
    <row r="122">
      <c r="A122" s="50" t="s">
        <v>8401</v>
      </c>
      <c r="B122" s="50" t="s">
        <v>6876</v>
      </c>
      <c r="C122" s="50" t="s">
        <v>6877</v>
      </c>
      <c r="D122" s="50" t="s">
        <v>8310</v>
      </c>
      <c r="E122" s="144">
        <v>43685.0</v>
      </c>
      <c r="F122" s="50" t="s">
        <v>8402</v>
      </c>
      <c r="G122" s="50">
        <v>33.0</v>
      </c>
      <c r="H122" s="50">
        <v>1.0</v>
      </c>
      <c r="I122" s="50">
        <v>98.0</v>
      </c>
      <c r="J122" s="116"/>
      <c r="K122" s="116"/>
      <c r="L122" s="50" t="s">
        <v>1036</v>
      </c>
      <c r="M122" s="50" t="s">
        <v>1036</v>
      </c>
      <c r="N122" s="50" t="s">
        <v>8367</v>
      </c>
      <c r="O122" s="50" t="s">
        <v>8367</v>
      </c>
      <c r="P122" s="50" t="s">
        <v>8338</v>
      </c>
      <c r="Q122" s="50" t="s">
        <v>8339</v>
      </c>
      <c r="R122" s="116"/>
      <c r="S122" s="116"/>
      <c r="T122" s="116"/>
      <c r="U122" s="116"/>
      <c r="V122" s="116"/>
      <c r="W122" s="50">
        <v>7.0</v>
      </c>
      <c r="X122" s="50">
        <v>100.0</v>
      </c>
      <c r="Y122" s="50">
        <v>3.0</v>
      </c>
      <c r="Z122" s="50">
        <v>0.0</v>
      </c>
      <c r="AA122" s="116"/>
      <c r="AB122" s="116"/>
      <c r="AC122" s="116"/>
      <c r="AD122" s="116"/>
      <c r="AE122" s="116"/>
      <c r="AF122" s="116"/>
      <c r="AG122" s="116"/>
      <c r="AH122" s="116"/>
      <c r="AI122" s="116"/>
      <c r="AJ122" s="116"/>
      <c r="AK122" s="50" t="s">
        <v>8259</v>
      </c>
      <c r="AL122" s="50">
        <v>4.0</v>
      </c>
      <c r="AM122" s="50">
        <v>1.0</v>
      </c>
      <c r="AN122" s="50" t="s">
        <v>6901</v>
      </c>
      <c r="AO122" s="117">
        <v>3775.0</v>
      </c>
      <c r="AP122" s="50" t="s">
        <v>8410</v>
      </c>
      <c r="AQ122" s="50" t="s">
        <v>8411</v>
      </c>
      <c r="AR122" s="117">
        <v>121.0</v>
      </c>
    </row>
    <row r="123">
      <c r="A123" s="50" t="s">
        <v>8402</v>
      </c>
      <c r="B123" s="50" t="s">
        <v>6876</v>
      </c>
      <c r="C123" s="50" t="s">
        <v>6877</v>
      </c>
      <c r="D123" s="50" t="s">
        <v>8310</v>
      </c>
      <c r="E123" s="144">
        <v>43685.0</v>
      </c>
      <c r="F123" s="50" t="s">
        <v>8412</v>
      </c>
      <c r="G123" s="50">
        <v>39.0</v>
      </c>
      <c r="H123" s="50">
        <v>1.0</v>
      </c>
      <c r="I123" s="50">
        <v>99.0</v>
      </c>
      <c r="J123" s="116"/>
      <c r="K123" s="116"/>
      <c r="L123" s="50" t="s">
        <v>1039</v>
      </c>
      <c r="M123" s="50" t="s">
        <v>1039</v>
      </c>
      <c r="N123" s="50" t="s">
        <v>8413</v>
      </c>
      <c r="O123" s="50" t="s">
        <v>8414</v>
      </c>
      <c r="P123" s="50" t="s">
        <v>8415</v>
      </c>
      <c r="Q123" s="50" t="s">
        <v>8416</v>
      </c>
      <c r="R123" s="116"/>
      <c r="S123" s="116"/>
      <c r="T123" s="116"/>
      <c r="U123" s="116"/>
      <c r="V123" s="116"/>
      <c r="W123" s="50">
        <v>7.0</v>
      </c>
      <c r="X123" s="50">
        <v>100.0</v>
      </c>
      <c r="Y123" s="50">
        <v>3.0</v>
      </c>
      <c r="Z123" s="50">
        <v>0.0</v>
      </c>
      <c r="AA123" s="116"/>
      <c r="AB123" s="116"/>
      <c r="AC123" s="116"/>
      <c r="AD123" s="116"/>
      <c r="AE123" s="116"/>
      <c r="AF123" s="116"/>
      <c r="AG123" s="116"/>
      <c r="AH123" s="116"/>
      <c r="AI123" s="116"/>
      <c r="AJ123" s="116"/>
      <c r="AK123" s="50" t="s">
        <v>8421</v>
      </c>
      <c r="AL123" s="50">
        <v>4.0</v>
      </c>
      <c r="AM123" s="50">
        <v>1.0</v>
      </c>
      <c r="AN123" s="50" t="s">
        <v>6901</v>
      </c>
      <c r="AO123" s="117">
        <v>3776.0</v>
      </c>
      <c r="AP123" s="50" t="s">
        <v>8422</v>
      </c>
      <c r="AQ123" s="50" t="s">
        <v>8425</v>
      </c>
      <c r="AR123" s="117">
        <v>122.0</v>
      </c>
    </row>
    <row r="124">
      <c r="A124" s="50" t="s">
        <v>8412</v>
      </c>
      <c r="B124" s="50" t="s">
        <v>6876</v>
      </c>
      <c r="C124" s="50" t="s">
        <v>6877</v>
      </c>
      <c r="D124" s="50" t="s">
        <v>8310</v>
      </c>
      <c r="E124" s="144">
        <v>43685.0</v>
      </c>
      <c r="F124" s="50" t="s">
        <v>8426</v>
      </c>
      <c r="G124" s="50">
        <v>58.0</v>
      </c>
      <c r="H124" s="50">
        <v>1.0</v>
      </c>
      <c r="I124" s="50">
        <v>6.0</v>
      </c>
      <c r="J124" s="116"/>
      <c r="K124" s="116"/>
      <c r="L124" s="50" t="s">
        <v>1048</v>
      </c>
      <c r="M124" s="50" t="s">
        <v>1048</v>
      </c>
      <c r="N124" s="50" t="s">
        <v>8428</v>
      </c>
      <c r="O124" s="50" t="s">
        <v>8429</v>
      </c>
      <c r="P124" s="50" t="s">
        <v>8430</v>
      </c>
      <c r="Q124" s="50" t="s">
        <v>8431</v>
      </c>
      <c r="R124" s="116"/>
      <c r="S124" s="116"/>
      <c r="T124" s="116"/>
      <c r="U124" s="116"/>
      <c r="V124" s="116"/>
      <c r="W124" s="50">
        <v>7.0</v>
      </c>
      <c r="X124" s="50">
        <v>1.0</v>
      </c>
      <c r="Y124" s="50">
        <v>2.0</v>
      </c>
      <c r="Z124" s="116"/>
      <c r="AA124" s="50">
        <v>6.0</v>
      </c>
      <c r="AB124" s="50">
        <v>1.0</v>
      </c>
      <c r="AC124" s="50">
        <v>2.0</v>
      </c>
      <c r="AD124" s="116"/>
      <c r="AE124" s="50">
        <v>1.0</v>
      </c>
      <c r="AF124" s="50">
        <v>5.0</v>
      </c>
      <c r="AG124" s="50">
        <v>1.0</v>
      </c>
      <c r="AH124" s="50">
        <v>2.0</v>
      </c>
      <c r="AI124" s="116"/>
      <c r="AJ124" s="116"/>
      <c r="AK124" s="50" t="s">
        <v>8436</v>
      </c>
      <c r="AL124" s="50">
        <v>4.0</v>
      </c>
      <c r="AM124" s="50">
        <v>1.0</v>
      </c>
      <c r="AN124" s="50" t="s">
        <v>6901</v>
      </c>
      <c r="AO124" s="117">
        <v>3777.0</v>
      </c>
      <c r="AP124" s="50" t="s">
        <v>8439</v>
      </c>
      <c r="AQ124" s="50" t="s">
        <v>8440</v>
      </c>
      <c r="AR124" s="117">
        <v>123.0</v>
      </c>
    </row>
    <row r="125">
      <c r="A125" s="50" t="s">
        <v>8426</v>
      </c>
      <c r="B125" s="50" t="s">
        <v>6876</v>
      </c>
      <c r="C125" s="50" t="s">
        <v>6877</v>
      </c>
      <c r="D125" s="50" t="s">
        <v>8310</v>
      </c>
      <c r="E125" s="144">
        <v>43685.0</v>
      </c>
      <c r="F125" s="50" t="s">
        <v>8441</v>
      </c>
      <c r="G125" s="50">
        <v>58.0</v>
      </c>
      <c r="H125" s="50">
        <v>1.0</v>
      </c>
      <c r="I125" s="50">
        <v>1.0</v>
      </c>
      <c r="J125" s="116"/>
      <c r="K125" s="116"/>
      <c r="L125" s="50" t="s">
        <v>1050</v>
      </c>
      <c r="M125" s="50" t="s">
        <v>1050</v>
      </c>
      <c r="N125" s="50" t="s">
        <v>8428</v>
      </c>
      <c r="O125" s="50" t="s">
        <v>8442</v>
      </c>
      <c r="P125" s="50" t="s">
        <v>8443</v>
      </c>
      <c r="Q125" s="50" t="s">
        <v>8444</v>
      </c>
      <c r="R125" s="116"/>
      <c r="S125" s="116"/>
      <c r="T125" s="116"/>
      <c r="U125" s="116"/>
      <c r="V125" s="116"/>
      <c r="W125" s="50">
        <v>4.0</v>
      </c>
      <c r="X125" s="50">
        <v>1.0</v>
      </c>
      <c r="Y125" s="50">
        <v>2.0</v>
      </c>
      <c r="Z125" s="116"/>
      <c r="AA125" s="50">
        <v>3.0</v>
      </c>
      <c r="AB125" s="50">
        <v>1.0</v>
      </c>
      <c r="AC125" s="50">
        <v>3.0</v>
      </c>
      <c r="AD125" s="50">
        <v>14.0</v>
      </c>
      <c r="AE125" s="50">
        <v>0.0</v>
      </c>
      <c r="AF125" s="116"/>
      <c r="AG125" s="116"/>
      <c r="AH125" s="116"/>
      <c r="AI125" s="116"/>
      <c r="AJ125" s="116"/>
      <c r="AK125" s="50" t="s">
        <v>8449</v>
      </c>
      <c r="AL125" s="50">
        <v>3.0</v>
      </c>
      <c r="AM125" s="50">
        <v>1.0</v>
      </c>
      <c r="AN125" s="50" t="s">
        <v>6901</v>
      </c>
      <c r="AO125" s="117">
        <v>3778.0</v>
      </c>
      <c r="AP125" s="50" t="s">
        <v>8452</v>
      </c>
      <c r="AQ125" s="50" t="s">
        <v>8453</v>
      </c>
      <c r="AR125" s="117">
        <v>124.0</v>
      </c>
    </row>
    <row r="126">
      <c r="A126" s="50" t="s">
        <v>8454</v>
      </c>
      <c r="B126" s="50" t="s">
        <v>6876</v>
      </c>
      <c r="C126" s="50" t="s">
        <v>6877</v>
      </c>
      <c r="D126" s="50" t="s">
        <v>8310</v>
      </c>
      <c r="E126" s="144">
        <v>43685.0</v>
      </c>
      <c r="F126" s="50" t="s">
        <v>8455</v>
      </c>
      <c r="G126" s="50">
        <v>58.0</v>
      </c>
      <c r="H126" s="50">
        <v>1.0</v>
      </c>
      <c r="I126" s="50">
        <v>1.0</v>
      </c>
      <c r="J126" s="116"/>
      <c r="K126" s="116"/>
      <c r="L126" s="50" t="s">
        <v>1051</v>
      </c>
      <c r="M126" s="50" t="s">
        <v>1051</v>
      </c>
      <c r="N126" s="50" t="s">
        <v>8428</v>
      </c>
      <c r="O126" s="50" t="s">
        <v>8457</v>
      </c>
      <c r="P126" s="50" t="s">
        <v>8458</v>
      </c>
      <c r="Q126" s="50" t="s">
        <v>8459</v>
      </c>
      <c r="R126" s="116"/>
      <c r="S126" s="116"/>
      <c r="T126" s="116"/>
      <c r="U126" s="116"/>
      <c r="V126" s="116"/>
      <c r="W126" s="50">
        <v>4.0</v>
      </c>
      <c r="X126" s="50">
        <v>1.0</v>
      </c>
      <c r="Y126" s="50">
        <v>2.0</v>
      </c>
      <c r="Z126" s="116"/>
      <c r="AA126" s="50">
        <v>3.0</v>
      </c>
      <c r="AB126" s="50">
        <v>1.0</v>
      </c>
      <c r="AC126" s="50">
        <v>3.0</v>
      </c>
      <c r="AD126" s="50">
        <v>13.0</v>
      </c>
      <c r="AE126" s="50">
        <v>0.0</v>
      </c>
      <c r="AF126" s="116"/>
      <c r="AG126" s="116"/>
      <c r="AH126" s="116"/>
      <c r="AI126" s="116"/>
      <c r="AJ126" s="116"/>
      <c r="AK126" s="50" t="s">
        <v>8465</v>
      </c>
      <c r="AL126" s="50">
        <v>3.0</v>
      </c>
      <c r="AM126" s="50">
        <v>1.0</v>
      </c>
      <c r="AN126" s="50" t="s">
        <v>6901</v>
      </c>
      <c r="AO126" s="117">
        <v>3779.0</v>
      </c>
      <c r="AP126" s="50" t="s">
        <v>8468</v>
      </c>
      <c r="AQ126" s="50" t="s">
        <v>8469</v>
      </c>
      <c r="AR126" s="117">
        <v>125.0</v>
      </c>
    </row>
    <row r="127">
      <c r="A127" s="50" t="s">
        <v>8455</v>
      </c>
      <c r="B127" s="50" t="s">
        <v>6876</v>
      </c>
      <c r="C127" s="50" t="s">
        <v>6877</v>
      </c>
      <c r="D127" s="50" t="s">
        <v>8310</v>
      </c>
      <c r="E127" s="144">
        <v>43685.0</v>
      </c>
      <c r="F127" s="50" t="s">
        <v>8470</v>
      </c>
      <c r="G127" s="50">
        <v>58.0</v>
      </c>
      <c r="H127" s="50">
        <v>1.0</v>
      </c>
      <c r="I127" s="50">
        <v>99.0</v>
      </c>
      <c r="J127" s="116"/>
      <c r="K127" s="116"/>
      <c r="L127" s="50" t="s">
        <v>1043</v>
      </c>
      <c r="M127" s="50" t="s">
        <v>1043</v>
      </c>
      <c r="N127" s="50" t="s">
        <v>8428</v>
      </c>
      <c r="O127" s="50" t="s">
        <v>8471</v>
      </c>
      <c r="P127" s="50" t="s">
        <v>8415</v>
      </c>
      <c r="Q127" s="50" t="s">
        <v>8416</v>
      </c>
      <c r="R127" s="116"/>
      <c r="S127" s="116"/>
      <c r="T127" s="116"/>
      <c r="U127" s="116"/>
      <c r="V127" s="116"/>
      <c r="W127" s="50">
        <v>7.0</v>
      </c>
      <c r="X127" s="50">
        <v>100.0</v>
      </c>
      <c r="Y127" s="50">
        <v>3.0</v>
      </c>
      <c r="Z127" s="50">
        <v>0.0</v>
      </c>
      <c r="AA127" s="116"/>
      <c r="AB127" s="116"/>
      <c r="AC127" s="116"/>
      <c r="AD127" s="116"/>
      <c r="AE127" s="116"/>
      <c r="AF127" s="116"/>
      <c r="AG127" s="116"/>
      <c r="AH127" s="116"/>
      <c r="AI127" s="116"/>
      <c r="AJ127" s="116"/>
      <c r="AK127" s="50" t="s">
        <v>8476</v>
      </c>
      <c r="AL127" s="50">
        <v>4.0</v>
      </c>
      <c r="AM127" s="50">
        <v>1.0</v>
      </c>
      <c r="AN127" s="50" t="s">
        <v>6901</v>
      </c>
      <c r="AO127" s="117">
        <v>3780.0</v>
      </c>
      <c r="AP127" s="50" t="s">
        <v>8477</v>
      </c>
      <c r="AQ127" s="50" t="s">
        <v>8478</v>
      </c>
      <c r="AR127" s="117">
        <v>126.0</v>
      </c>
    </row>
    <row r="128">
      <c r="A128" s="50" t="s">
        <v>8480</v>
      </c>
      <c r="B128" s="50" t="s">
        <v>6876</v>
      </c>
      <c r="C128" s="50" t="s">
        <v>6877</v>
      </c>
      <c r="D128" s="50" t="s">
        <v>8310</v>
      </c>
      <c r="E128" s="144">
        <v>43685.0</v>
      </c>
      <c r="F128" s="50" t="s">
        <v>8482</v>
      </c>
      <c r="G128" s="50">
        <v>33.0</v>
      </c>
      <c r="H128" s="50">
        <v>1.0</v>
      </c>
      <c r="I128" s="50">
        <v>98.0</v>
      </c>
      <c r="J128" s="116"/>
      <c r="K128" s="116"/>
      <c r="L128" s="50" t="s">
        <v>1052</v>
      </c>
      <c r="M128" s="50" t="s">
        <v>1052</v>
      </c>
      <c r="N128" s="50" t="s">
        <v>8483</v>
      </c>
      <c r="O128" s="50" t="s">
        <v>8483</v>
      </c>
      <c r="P128" s="50" t="s">
        <v>8414</v>
      </c>
      <c r="Q128" s="50" t="s">
        <v>8484</v>
      </c>
      <c r="R128" s="116"/>
      <c r="S128" s="116"/>
      <c r="T128" s="116"/>
      <c r="U128" s="116"/>
      <c r="V128" s="116"/>
      <c r="W128" s="50">
        <v>7.0</v>
      </c>
      <c r="X128" s="50">
        <v>100.0</v>
      </c>
      <c r="Y128" s="50">
        <v>3.0</v>
      </c>
      <c r="Z128" s="50">
        <v>0.0</v>
      </c>
      <c r="AA128" s="116"/>
      <c r="AB128" s="116"/>
      <c r="AC128" s="116"/>
      <c r="AD128" s="116"/>
      <c r="AE128" s="116"/>
      <c r="AF128" s="116"/>
      <c r="AG128" s="116"/>
      <c r="AH128" s="116"/>
      <c r="AI128" s="116"/>
      <c r="AJ128" s="116"/>
      <c r="AK128" s="50" t="s">
        <v>8259</v>
      </c>
      <c r="AL128" s="50">
        <v>4.0</v>
      </c>
      <c r="AM128" s="50">
        <v>1.0</v>
      </c>
      <c r="AN128" s="50" t="s">
        <v>6901</v>
      </c>
      <c r="AO128" s="117">
        <v>3781.0</v>
      </c>
      <c r="AP128" s="50" t="s">
        <v>8486</v>
      </c>
      <c r="AQ128" s="50" t="s">
        <v>8488</v>
      </c>
      <c r="AR128" s="117">
        <v>127.0</v>
      </c>
    </row>
    <row r="129">
      <c r="A129" s="50" t="s">
        <v>8490</v>
      </c>
      <c r="B129" s="50" t="s">
        <v>6876</v>
      </c>
      <c r="C129" s="50" t="s">
        <v>6877</v>
      </c>
      <c r="D129" s="50" t="s">
        <v>8493</v>
      </c>
      <c r="E129" s="144">
        <v>43686.0</v>
      </c>
      <c r="F129" s="50" t="s">
        <v>8494</v>
      </c>
      <c r="G129" s="50">
        <v>59.0</v>
      </c>
      <c r="H129" s="50">
        <v>1.0</v>
      </c>
      <c r="I129" s="50">
        <v>11.0</v>
      </c>
      <c r="J129" s="116"/>
      <c r="K129" s="116"/>
      <c r="L129" s="50" t="s">
        <v>1055</v>
      </c>
      <c r="M129" s="50" t="s">
        <v>1055</v>
      </c>
      <c r="N129" s="50" t="s">
        <v>8495</v>
      </c>
      <c r="O129" s="50" t="s">
        <v>8496</v>
      </c>
      <c r="P129" s="50" t="s">
        <v>8497</v>
      </c>
      <c r="Q129" s="50" t="s">
        <v>8499</v>
      </c>
      <c r="R129" s="116"/>
      <c r="S129" s="116"/>
      <c r="T129" s="116"/>
      <c r="U129" s="116"/>
      <c r="V129" s="116"/>
      <c r="W129" s="50">
        <v>4.0</v>
      </c>
      <c r="X129" s="50">
        <v>1.0</v>
      </c>
      <c r="Y129" s="50">
        <v>3.0</v>
      </c>
      <c r="Z129" s="50">
        <v>4.0</v>
      </c>
      <c r="AA129" s="50">
        <v>3.0</v>
      </c>
      <c r="AB129" s="50">
        <v>1.0</v>
      </c>
      <c r="AC129" s="50">
        <v>3.0</v>
      </c>
      <c r="AD129" s="50">
        <v>1.0</v>
      </c>
      <c r="AE129" s="50">
        <v>1.0</v>
      </c>
      <c r="AF129" s="50">
        <v>2.0</v>
      </c>
      <c r="AG129" s="50">
        <v>1.0</v>
      </c>
      <c r="AH129" s="50">
        <v>3.0</v>
      </c>
      <c r="AI129" s="50">
        <v>0.0</v>
      </c>
      <c r="AJ129" s="116"/>
      <c r="AK129" s="50" t="s">
        <v>8501</v>
      </c>
      <c r="AL129" s="50">
        <v>4.0</v>
      </c>
      <c r="AM129" s="50">
        <v>1.0</v>
      </c>
      <c r="AN129" s="50" t="s">
        <v>6901</v>
      </c>
      <c r="AO129" s="117">
        <v>3833.0</v>
      </c>
      <c r="AP129" s="50" t="s">
        <v>8502</v>
      </c>
      <c r="AQ129" s="50" t="s">
        <v>8503</v>
      </c>
      <c r="AR129" s="117">
        <v>128.0</v>
      </c>
    </row>
    <row r="130">
      <c r="A130" s="50" t="s">
        <v>8494</v>
      </c>
      <c r="B130" s="50" t="s">
        <v>6876</v>
      </c>
      <c r="C130" s="50" t="s">
        <v>6877</v>
      </c>
      <c r="D130" s="50" t="s">
        <v>8493</v>
      </c>
      <c r="E130" s="144">
        <v>43686.0</v>
      </c>
      <c r="F130" s="50" t="s">
        <v>8504</v>
      </c>
      <c r="G130" s="50">
        <v>59.0</v>
      </c>
      <c r="H130" s="50">
        <v>1.0</v>
      </c>
      <c r="I130" s="50">
        <v>99.0</v>
      </c>
      <c r="J130" s="116"/>
      <c r="K130" s="116"/>
      <c r="L130" s="50" t="s">
        <v>1057</v>
      </c>
      <c r="M130" s="50" t="s">
        <v>1057</v>
      </c>
      <c r="N130" s="50" t="s">
        <v>8495</v>
      </c>
      <c r="O130" s="50" t="s">
        <v>8507</v>
      </c>
      <c r="P130" s="50" t="s">
        <v>8508</v>
      </c>
      <c r="Q130" s="50" t="s">
        <v>8510</v>
      </c>
      <c r="R130" s="116"/>
      <c r="S130" s="116"/>
      <c r="T130" s="116"/>
      <c r="U130" s="116"/>
      <c r="V130" s="116"/>
      <c r="W130" s="50">
        <v>7.0</v>
      </c>
      <c r="X130" s="50">
        <v>100.0</v>
      </c>
      <c r="Y130" s="50">
        <v>3.0</v>
      </c>
      <c r="Z130" s="50">
        <v>0.0</v>
      </c>
      <c r="AA130" s="116"/>
      <c r="AB130" s="116"/>
      <c r="AC130" s="116"/>
      <c r="AD130" s="116"/>
      <c r="AE130" s="116"/>
      <c r="AF130" s="116"/>
      <c r="AG130" s="116"/>
      <c r="AH130" s="116"/>
      <c r="AI130" s="116"/>
      <c r="AJ130" s="116"/>
      <c r="AK130" s="50" t="s">
        <v>8512</v>
      </c>
      <c r="AL130" s="50">
        <v>4.0</v>
      </c>
      <c r="AM130" s="50">
        <v>1.0</v>
      </c>
      <c r="AN130" s="50" t="s">
        <v>6901</v>
      </c>
      <c r="AO130" s="117">
        <v>3841.0</v>
      </c>
      <c r="AP130" s="50" t="s">
        <v>8515</v>
      </c>
      <c r="AQ130" s="50" t="s">
        <v>8516</v>
      </c>
      <c r="AR130" s="117">
        <v>129.0</v>
      </c>
    </row>
    <row r="131">
      <c r="A131" s="50" t="s">
        <v>8504</v>
      </c>
      <c r="B131" s="50" t="s">
        <v>6876</v>
      </c>
      <c r="C131" s="50" t="s">
        <v>6877</v>
      </c>
      <c r="D131" s="50" t="s">
        <v>8493</v>
      </c>
      <c r="E131" s="144">
        <v>43686.0</v>
      </c>
      <c r="F131" s="50" t="s">
        <v>8517</v>
      </c>
      <c r="G131" s="50">
        <v>58.0</v>
      </c>
      <c r="H131" s="50">
        <v>1.0</v>
      </c>
      <c r="I131" s="50">
        <v>6.0</v>
      </c>
      <c r="J131" s="116"/>
      <c r="K131" s="116"/>
      <c r="L131" s="50" t="s">
        <v>1059</v>
      </c>
      <c r="M131" s="50" t="s">
        <v>1059</v>
      </c>
      <c r="N131" s="50" t="s">
        <v>8518</v>
      </c>
      <c r="O131" s="50" t="s">
        <v>8519</v>
      </c>
      <c r="P131" s="50" t="s">
        <v>8520</v>
      </c>
      <c r="Q131" s="50" t="s">
        <v>8521</v>
      </c>
      <c r="R131" s="116"/>
      <c r="S131" s="116"/>
      <c r="T131" s="116"/>
      <c r="U131" s="116"/>
      <c r="V131" s="116"/>
      <c r="W131" s="50">
        <v>7.0</v>
      </c>
      <c r="X131" s="50">
        <v>1.0</v>
      </c>
      <c r="Y131" s="50">
        <v>2.0</v>
      </c>
      <c r="Z131" s="116"/>
      <c r="AA131" s="50">
        <v>6.0</v>
      </c>
      <c r="AB131" s="50">
        <v>1.0</v>
      </c>
      <c r="AC131" s="50">
        <v>2.0</v>
      </c>
      <c r="AD131" s="116"/>
      <c r="AE131" s="50">
        <v>1.0</v>
      </c>
      <c r="AF131" s="50">
        <v>5.0</v>
      </c>
      <c r="AG131" s="50">
        <v>1.0</v>
      </c>
      <c r="AH131" s="50">
        <v>3.0</v>
      </c>
      <c r="AI131" s="50">
        <v>81.0</v>
      </c>
      <c r="AJ131" s="116"/>
      <c r="AK131" s="50" t="s">
        <v>8522</v>
      </c>
      <c r="AL131" s="50">
        <v>4.0</v>
      </c>
      <c r="AM131" s="50">
        <v>1.0</v>
      </c>
      <c r="AN131" s="50" t="s">
        <v>6901</v>
      </c>
      <c r="AO131" s="117">
        <v>3842.0</v>
      </c>
      <c r="AP131" s="50" t="s">
        <v>8524</v>
      </c>
      <c r="AQ131" s="50" t="s">
        <v>8525</v>
      </c>
      <c r="AR131" s="117">
        <v>130.0</v>
      </c>
    </row>
    <row r="132">
      <c r="A132" s="50" t="s">
        <v>8517</v>
      </c>
      <c r="B132" s="50" t="s">
        <v>6876</v>
      </c>
      <c r="C132" s="50" t="s">
        <v>6877</v>
      </c>
      <c r="D132" s="50" t="s">
        <v>8493</v>
      </c>
      <c r="E132" s="144">
        <v>43686.0</v>
      </c>
      <c r="F132" s="50" t="s">
        <v>8528</v>
      </c>
      <c r="G132" s="50">
        <v>58.0</v>
      </c>
      <c r="H132" s="50">
        <v>1.0</v>
      </c>
      <c r="I132" s="50">
        <v>99.0</v>
      </c>
      <c r="J132" s="116"/>
      <c r="K132" s="116"/>
      <c r="L132" s="50" t="s">
        <v>1061</v>
      </c>
      <c r="M132" s="50" t="s">
        <v>1061</v>
      </c>
      <c r="N132" s="50" t="s">
        <v>8518</v>
      </c>
      <c r="O132" s="50" t="s">
        <v>8531</v>
      </c>
      <c r="P132" s="50" t="s">
        <v>8532</v>
      </c>
      <c r="Q132" s="50" t="s">
        <v>8533</v>
      </c>
      <c r="R132" s="116"/>
      <c r="S132" s="116"/>
      <c r="T132" s="116"/>
      <c r="U132" s="116"/>
      <c r="V132" s="116"/>
      <c r="W132" s="50">
        <v>7.0</v>
      </c>
      <c r="X132" s="50">
        <v>100.0</v>
      </c>
      <c r="Y132" s="50">
        <v>3.0</v>
      </c>
      <c r="Z132" s="50">
        <v>0.0</v>
      </c>
      <c r="AA132" s="116"/>
      <c r="AB132" s="116"/>
      <c r="AC132" s="116"/>
      <c r="AD132" s="116"/>
      <c r="AE132" s="116"/>
      <c r="AF132" s="116"/>
      <c r="AG132" s="116"/>
      <c r="AH132" s="116"/>
      <c r="AI132" s="116"/>
      <c r="AJ132" s="116"/>
      <c r="AK132" s="50" t="s">
        <v>8536</v>
      </c>
      <c r="AL132" s="50">
        <v>4.0</v>
      </c>
      <c r="AM132" s="50">
        <v>1.0</v>
      </c>
      <c r="AN132" s="50" t="s">
        <v>6901</v>
      </c>
      <c r="AO132" s="117">
        <v>3843.0</v>
      </c>
      <c r="AP132" s="50" t="s">
        <v>8537</v>
      </c>
      <c r="AQ132" s="50" t="s">
        <v>8538</v>
      </c>
      <c r="AR132" s="117">
        <v>131.0</v>
      </c>
    </row>
    <row r="133">
      <c r="A133" s="50" t="s">
        <v>8528</v>
      </c>
      <c r="B133" s="50" t="s">
        <v>6876</v>
      </c>
      <c r="C133" s="50" t="s">
        <v>6877</v>
      </c>
      <c r="D133" s="50" t="s">
        <v>8493</v>
      </c>
      <c r="E133" s="144">
        <v>43686.0</v>
      </c>
      <c r="F133" s="50" t="s">
        <v>8539</v>
      </c>
      <c r="G133" s="50">
        <v>58.0</v>
      </c>
      <c r="H133" s="50">
        <v>1.0</v>
      </c>
      <c r="I133" s="50">
        <v>15.0</v>
      </c>
      <c r="J133" s="116"/>
      <c r="K133" s="50">
        <v>151.0</v>
      </c>
      <c r="L133" s="50" t="s">
        <v>2138</v>
      </c>
      <c r="M133" s="50" t="s">
        <v>2138</v>
      </c>
      <c r="N133" s="50" t="s">
        <v>8518</v>
      </c>
      <c r="O133" s="50" t="s">
        <v>8540</v>
      </c>
      <c r="P133" s="50" t="s">
        <v>8541</v>
      </c>
      <c r="Q133" s="50" t="s">
        <v>8542</v>
      </c>
      <c r="R133" s="116"/>
      <c r="S133" s="116"/>
      <c r="T133" s="116"/>
      <c r="U133" s="116"/>
      <c r="V133" s="116"/>
      <c r="W133" s="50">
        <v>7.0</v>
      </c>
      <c r="X133" s="50">
        <v>10.0</v>
      </c>
      <c r="Y133" s="50">
        <v>2.0</v>
      </c>
      <c r="Z133" s="116"/>
      <c r="AA133" s="50">
        <v>6.0</v>
      </c>
      <c r="AB133" s="50">
        <v>1.0</v>
      </c>
      <c r="AC133" s="50">
        <v>1.0</v>
      </c>
      <c r="AD133" s="116"/>
      <c r="AE133" s="50">
        <v>0.0</v>
      </c>
      <c r="AF133" s="116"/>
      <c r="AG133" s="116"/>
      <c r="AH133" s="116"/>
      <c r="AI133" s="116"/>
      <c r="AJ133" s="116"/>
      <c r="AK133" s="116"/>
      <c r="AL133" s="50">
        <v>1.0</v>
      </c>
      <c r="AM133" s="50">
        <v>1.0</v>
      </c>
      <c r="AN133" s="50" t="s">
        <v>6901</v>
      </c>
      <c r="AO133" s="117">
        <v>3844.0</v>
      </c>
      <c r="AP133" s="50" t="s">
        <v>8545</v>
      </c>
      <c r="AQ133" s="50" t="s">
        <v>8546</v>
      </c>
      <c r="AR133" s="117">
        <v>132.0</v>
      </c>
    </row>
    <row r="134">
      <c r="A134" s="50" t="s">
        <v>8539</v>
      </c>
      <c r="B134" s="50" t="s">
        <v>6876</v>
      </c>
      <c r="C134" s="50" t="s">
        <v>6877</v>
      </c>
      <c r="D134" s="50" t="s">
        <v>8493</v>
      </c>
      <c r="E134" s="144">
        <v>43686.0</v>
      </c>
      <c r="F134" s="50" t="s">
        <v>8549</v>
      </c>
      <c r="G134" s="50">
        <v>58.0</v>
      </c>
      <c r="H134" s="50">
        <v>1.0</v>
      </c>
      <c r="I134" s="50">
        <v>15.0</v>
      </c>
      <c r="J134" s="116"/>
      <c r="K134" s="50">
        <v>152.0</v>
      </c>
      <c r="L134" s="50" t="s">
        <v>2142</v>
      </c>
      <c r="M134" s="50" t="s">
        <v>2142</v>
      </c>
      <c r="N134" s="50" t="s">
        <v>8518</v>
      </c>
      <c r="O134" s="50" t="s">
        <v>8540</v>
      </c>
      <c r="P134" s="50" t="s">
        <v>8552</v>
      </c>
      <c r="Q134" s="50" t="s">
        <v>8542</v>
      </c>
      <c r="R134" s="116"/>
      <c r="S134" s="116"/>
      <c r="T134" s="116"/>
      <c r="U134" s="116"/>
      <c r="V134" s="116"/>
      <c r="W134" s="50">
        <v>7.0</v>
      </c>
      <c r="X134" s="50">
        <v>10.0</v>
      </c>
      <c r="Y134" s="50">
        <v>2.0</v>
      </c>
      <c r="Z134" s="116"/>
      <c r="AA134" s="50">
        <v>6.0</v>
      </c>
      <c r="AB134" s="50">
        <v>1.0</v>
      </c>
      <c r="AC134" s="50">
        <v>1.0</v>
      </c>
      <c r="AD134" s="116"/>
      <c r="AE134" s="50">
        <v>0.0</v>
      </c>
      <c r="AF134" s="116"/>
      <c r="AG134" s="116"/>
      <c r="AH134" s="116"/>
      <c r="AI134" s="116"/>
      <c r="AJ134" s="116"/>
      <c r="AK134" s="50" t="s">
        <v>8554</v>
      </c>
      <c r="AL134" s="50">
        <v>1.0</v>
      </c>
      <c r="AM134" s="50">
        <v>1.0</v>
      </c>
      <c r="AN134" s="50" t="s">
        <v>6901</v>
      </c>
      <c r="AO134" s="117">
        <v>3845.0</v>
      </c>
      <c r="AP134" s="50" t="s">
        <v>8556</v>
      </c>
      <c r="AQ134" s="50" t="s">
        <v>8558</v>
      </c>
      <c r="AR134" s="117">
        <v>133.0</v>
      </c>
    </row>
    <row r="135">
      <c r="A135" s="50" t="s">
        <v>8549</v>
      </c>
      <c r="B135" s="50" t="s">
        <v>6876</v>
      </c>
      <c r="C135" s="50" t="s">
        <v>6877</v>
      </c>
      <c r="D135" s="50" t="s">
        <v>8493</v>
      </c>
      <c r="E135" s="144">
        <v>43686.0</v>
      </c>
      <c r="F135" s="50" t="s">
        <v>8561</v>
      </c>
      <c r="G135" s="50">
        <v>58.0</v>
      </c>
      <c r="H135" s="50">
        <v>1.0</v>
      </c>
      <c r="I135" s="50">
        <v>15.0</v>
      </c>
      <c r="J135" s="116"/>
      <c r="K135" s="50">
        <v>151.0</v>
      </c>
      <c r="L135" s="50" t="s">
        <v>2139</v>
      </c>
      <c r="M135" s="50" t="s">
        <v>2139</v>
      </c>
      <c r="N135" s="50" t="s">
        <v>8518</v>
      </c>
      <c r="O135" s="50" t="s">
        <v>8540</v>
      </c>
      <c r="P135" s="50" t="s">
        <v>8552</v>
      </c>
      <c r="Q135" s="50" t="s">
        <v>8542</v>
      </c>
      <c r="R135" s="116"/>
      <c r="S135" s="116"/>
      <c r="T135" s="116"/>
      <c r="U135" s="116"/>
      <c r="V135" s="116"/>
      <c r="W135" s="50">
        <v>7.0</v>
      </c>
      <c r="X135" s="50">
        <v>10.0</v>
      </c>
      <c r="Y135" s="50">
        <v>3.0</v>
      </c>
      <c r="Z135" s="50">
        <v>3.0</v>
      </c>
      <c r="AA135" s="50">
        <v>6.0</v>
      </c>
      <c r="AB135" s="50">
        <v>1.0</v>
      </c>
      <c r="AC135" s="50">
        <v>3.0</v>
      </c>
      <c r="AD135" s="50">
        <v>1.0</v>
      </c>
      <c r="AE135" s="50">
        <v>0.0</v>
      </c>
      <c r="AF135" s="116"/>
      <c r="AG135" s="116"/>
      <c r="AH135" s="116"/>
      <c r="AI135" s="116"/>
      <c r="AJ135" s="116"/>
      <c r="AK135" s="50" t="s">
        <v>8564</v>
      </c>
      <c r="AL135" s="50">
        <v>3.0</v>
      </c>
      <c r="AM135" s="50">
        <v>1.0</v>
      </c>
      <c r="AN135" s="50" t="s">
        <v>6901</v>
      </c>
      <c r="AO135" s="117">
        <v>3846.0</v>
      </c>
      <c r="AP135" s="50" t="s">
        <v>8568</v>
      </c>
      <c r="AQ135" s="50" t="s">
        <v>8570</v>
      </c>
      <c r="AR135" s="117">
        <v>134.0</v>
      </c>
    </row>
    <row r="136">
      <c r="A136" s="50" t="s">
        <v>8561</v>
      </c>
      <c r="B136" s="50" t="s">
        <v>6876</v>
      </c>
      <c r="C136" s="50" t="s">
        <v>6877</v>
      </c>
      <c r="D136" s="50" t="s">
        <v>8493</v>
      </c>
      <c r="E136" s="144">
        <v>43686.0</v>
      </c>
      <c r="F136" s="50" t="s">
        <v>8571</v>
      </c>
      <c r="G136" s="50">
        <v>58.0</v>
      </c>
      <c r="H136" s="50">
        <v>1.0</v>
      </c>
      <c r="I136" s="50">
        <v>15.0</v>
      </c>
      <c r="J136" s="116"/>
      <c r="K136" s="50">
        <v>152.0</v>
      </c>
      <c r="L136" s="50" t="s">
        <v>2143</v>
      </c>
      <c r="M136" s="50" t="s">
        <v>2143</v>
      </c>
      <c r="N136" s="50" t="s">
        <v>8518</v>
      </c>
      <c r="O136" s="50" t="s">
        <v>8540</v>
      </c>
      <c r="P136" s="50" t="s">
        <v>8574</v>
      </c>
      <c r="Q136" s="50" t="s">
        <v>8542</v>
      </c>
      <c r="R136" s="116"/>
      <c r="S136" s="116"/>
      <c r="T136" s="116"/>
      <c r="U136" s="116"/>
      <c r="V136" s="116"/>
      <c r="W136" s="50">
        <v>7.0</v>
      </c>
      <c r="X136" s="50">
        <v>10.0</v>
      </c>
      <c r="Y136" s="50">
        <v>3.0</v>
      </c>
      <c r="Z136" s="50">
        <v>0.0</v>
      </c>
      <c r="AA136" s="50">
        <v>6.0</v>
      </c>
      <c r="AB136" s="50">
        <v>1.0</v>
      </c>
      <c r="AC136" s="50">
        <v>3.0</v>
      </c>
      <c r="AD136" s="50">
        <v>0.0</v>
      </c>
      <c r="AE136" s="50">
        <v>0.0</v>
      </c>
      <c r="AF136" s="116"/>
      <c r="AG136" s="116"/>
      <c r="AH136" s="116"/>
      <c r="AI136" s="116"/>
      <c r="AJ136" s="116"/>
      <c r="AK136" s="50" t="s">
        <v>8578</v>
      </c>
      <c r="AL136" s="50">
        <v>3.0</v>
      </c>
      <c r="AM136" s="50">
        <v>1.0</v>
      </c>
      <c r="AN136" s="50" t="s">
        <v>6901</v>
      </c>
      <c r="AO136" s="117">
        <v>3847.0</v>
      </c>
      <c r="AP136" s="50" t="s">
        <v>8580</v>
      </c>
      <c r="AQ136" s="50" t="s">
        <v>8581</v>
      </c>
      <c r="AR136" s="117">
        <v>135.0</v>
      </c>
    </row>
    <row r="137">
      <c r="A137" s="50" t="s">
        <v>8571</v>
      </c>
      <c r="B137" s="50" t="s">
        <v>6876</v>
      </c>
      <c r="C137" s="50" t="s">
        <v>6877</v>
      </c>
      <c r="D137" s="50" t="s">
        <v>8493</v>
      </c>
      <c r="E137" s="144">
        <v>43686.0</v>
      </c>
      <c r="F137" s="50" t="s">
        <v>8584</v>
      </c>
      <c r="G137" s="50">
        <v>33.0</v>
      </c>
      <c r="H137" s="50">
        <v>1.0</v>
      </c>
      <c r="I137" s="50">
        <v>98.0</v>
      </c>
      <c r="J137" s="116"/>
      <c r="K137" s="116"/>
      <c r="L137" s="50" t="s">
        <v>1064</v>
      </c>
      <c r="M137" s="50" t="s">
        <v>1064</v>
      </c>
      <c r="N137" s="50" t="s">
        <v>8586</v>
      </c>
      <c r="O137" s="50" t="s">
        <v>8586</v>
      </c>
      <c r="P137" s="50" t="s">
        <v>8508</v>
      </c>
      <c r="Q137" s="50" t="s">
        <v>8510</v>
      </c>
      <c r="R137" s="116"/>
      <c r="S137" s="116"/>
      <c r="T137" s="116"/>
      <c r="U137" s="116"/>
      <c r="V137" s="116"/>
      <c r="W137" s="50">
        <v>7.0</v>
      </c>
      <c r="X137" s="50">
        <v>100.0</v>
      </c>
      <c r="Y137" s="50">
        <v>3.0</v>
      </c>
      <c r="Z137" s="50">
        <v>0.0</v>
      </c>
      <c r="AA137" s="116"/>
      <c r="AB137" s="116"/>
      <c r="AC137" s="116"/>
      <c r="AD137" s="116"/>
      <c r="AE137" s="116"/>
      <c r="AF137" s="116"/>
      <c r="AG137" s="116"/>
      <c r="AH137" s="116"/>
      <c r="AI137" s="116"/>
      <c r="AJ137" s="116"/>
      <c r="AK137" s="50" t="s">
        <v>8213</v>
      </c>
      <c r="AL137" s="50">
        <v>3.0</v>
      </c>
      <c r="AM137" s="50">
        <v>1.0</v>
      </c>
      <c r="AN137" s="50" t="s">
        <v>6901</v>
      </c>
      <c r="AO137" s="117">
        <v>3848.0</v>
      </c>
      <c r="AP137" s="50" t="s">
        <v>8593</v>
      </c>
      <c r="AQ137" s="50" t="s">
        <v>8594</v>
      </c>
      <c r="AR137" s="117">
        <v>136.0</v>
      </c>
    </row>
    <row r="138">
      <c r="A138" s="50" t="s">
        <v>8596</v>
      </c>
      <c r="B138" s="50" t="s">
        <v>6876</v>
      </c>
      <c r="C138" s="50" t="s">
        <v>6877</v>
      </c>
      <c r="D138" s="50" t="s">
        <v>8310</v>
      </c>
      <c r="E138" s="144">
        <v>43691.0</v>
      </c>
      <c r="F138" s="50" t="s">
        <v>8601</v>
      </c>
      <c r="G138" s="50">
        <v>57.0</v>
      </c>
      <c r="H138" s="50">
        <v>1.0</v>
      </c>
      <c r="I138" s="50">
        <v>99.0</v>
      </c>
      <c r="J138" s="116"/>
      <c r="K138" s="116"/>
      <c r="L138" s="50" t="s">
        <v>1071</v>
      </c>
      <c r="M138" s="50" t="s">
        <v>1071</v>
      </c>
      <c r="N138" s="50" t="s">
        <v>8604</v>
      </c>
      <c r="O138" s="50" t="s">
        <v>8605</v>
      </c>
      <c r="P138" s="50" t="s">
        <v>8606</v>
      </c>
      <c r="Q138" s="50" t="s">
        <v>8607</v>
      </c>
      <c r="R138" s="116"/>
      <c r="S138" s="116"/>
      <c r="T138" s="116"/>
      <c r="U138" s="116"/>
      <c r="V138" s="116"/>
      <c r="W138" s="50">
        <v>7.0</v>
      </c>
      <c r="X138" s="50">
        <v>100.0</v>
      </c>
      <c r="Y138" s="50">
        <v>3.0</v>
      </c>
      <c r="Z138" s="50">
        <v>0.0</v>
      </c>
      <c r="AA138" s="116"/>
      <c r="AB138" s="116"/>
      <c r="AC138" s="116"/>
      <c r="AD138" s="116"/>
      <c r="AE138" s="116"/>
      <c r="AF138" s="116"/>
      <c r="AG138" s="116"/>
      <c r="AH138" s="116"/>
      <c r="AI138" s="116"/>
      <c r="AJ138" s="116"/>
      <c r="AK138" s="50" t="s">
        <v>8608</v>
      </c>
      <c r="AL138" s="50">
        <v>2.0</v>
      </c>
      <c r="AM138" s="50">
        <v>1.0</v>
      </c>
      <c r="AN138" s="50" t="s">
        <v>6901</v>
      </c>
      <c r="AO138" s="117">
        <v>3864.0</v>
      </c>
      <c r="AP138" s="50" t="s">
        <v>8610</v>
      </c>
      <c r="AQ138" s="50" t="s">
        <v>8612</v>
      </c>
      <c r="AR138" s="117">
        <v>137.0</v>
      </c>
    </row>
    <row r="139">
      <c r="A139" s="50" t="s">
        <v>8601</v>
      </c>
      <c r="B139" s="50" t="s">
        <v>6876</v>
      </c>
      <c r="C139" s="50" t="s">
        <v>6877</v>
      </c>
      <c r="D139" s="50" t="s">
        <v>8310</v>
      </c>
      <c r="E139" s="144">
        <v>43691.0</v>
      </c>
      <c r="F139" s="50" t="s">
        <v>8616</v>
      </c>
      <c r="G139" s="50">
        <v>58.0</v>
      </c>
      <c r="H139" s="50">
        <v>1.0</v>
      </c>
      <c r="I139" s="50">
        <v>6.0</v>
      </c>
      <c r="J139" s="116"/>
      <c r="K139" s="116"/>
      <c r="L139" s="50" t="s">
        <v>1074</v>
      </c>
      <c r="M139" s="50" t="s">
        <v>1074</v>
      </c>
      <c r="N139" s="50" t="s">
        <v>8617</v>
      </c>
      <c r="O139" s="50" t="s">
        <v>8618</v>
      </c>
      <c r="P139" s="50" t="s">
        <v>8621</v>
      </c>
      <c r="Q139" s="50" t="s">
        <v>8622</v>
      </c>
      <c r="R139" s="116"/>
      <c r="S139" s="116"/>
      <c r="T139" s="116"/>
      <c r="U139" s="116"/>
      <c r="V139" s="116"/>
      <c r="W139" s="50">
        <v>7.0</v>
      </c>
      <c r="X139" s="50">
        <v>1.0</v>
      </c>
      <c r="Y139" s="50">
        <v>2.0</v>
      </c>
      <c r="Z139" s="116"/>
      <c r="AA139" s="50">
        <v>6.0</v>
      </c>
      <c r="AB139" s="50">
        <v>1.0</v>
      </c>
      <c r="AC139" s="50">
        <v>2.0</v>
      </c>
      <c r="AD139" s="116"/>
      <c r="AE139" s="50">
        <v>1.0</v>
      </c>
      <c r="AF139" s="50">
        <v>5.0</v>
      </c>
      <c r="AG139" s="50">
        <v>1.0</v>
      </c>
      <c r="AH139" s="50">
        <v>3.0</v>
      </c>
      <c r="AI139" s="50">
        <v>9.0</v>
      </c>
      <c r="AJ139" s="116"/>
      <c r="AK139" s="50" t="s">
        <v>8623</v>
      </c>
      <c r="AL139" s="50">
        <v>2.0</v>
      </c>
      <c r="AM139" s="50">
        <v>1.0</v>
      </c>
      <c r="AN139" s="50" t="s">
        <v>6901</v>
      </c>
      <c r="AO139" s="117">
        <v>3865.0</v>
      </c>
      <c r="AP139" s="50" t="s">
        <v>8624</v>
      </c>
      <c r="AQ139" s="50" t="s">
        <v>8625</v>
      </c>
      <c r="AR139" s="117">
        <v>138.0</v>
      </c>
    </row>
    <row r="140">
      <c r="A140" s="50" t="s">
        <v>8616</v>
      </c>
      <c r="B140" s="50" t="s">
        <v>6876</v>
      </c>
      <c r="C140" s="50" t="s">
        <v>6877</v>
      </c>
      <c r="D140" s="50" t="s">
        <v>8310</v>
      </c>
      <c r="E140" s="144">
        <v>43691.0</v>
      </c>
      <c r="F140" s="50" t="s">
        <v>8629</v>
      </c>
      <c r="G140" s="50">
        <v>33.0</v>
      </c>
      <c r="H140" s="50">
        <v>1.0</v>
      </c>
      <c r="I140" s="50">
        <v>98.0</v>
      </c>
      <c r="J140" s="116"/>
      <c r="K140" s="116"/>
      <c r="L140" s="50" t="s">
        <v>1076</v>
      </c>
      <c r="M140" s="50" t="s">
        <v>1076</v>
      </c>
      <c r="N140" s="50" t="s">
        <v>8631</v>
      </c>
      <c r="O140" s="50" t="s">
        <v>8631</v>
      </c>
      <c r="P140" s="50" t="s">
        <v>8632</v>
      </c>
      <c r="Q140" s="50" t="s">
        <v>8633</v>
      </c>
      <c r="R140" s="116"/>
      <c r="S140" s="116"/>
      <c r="T140" s="116"/>
      <c r="U140" s="116"/>
      <c r="V140" s="116"/>
      <c r="W140" s="50">
        <v>7.0</v>
      </c>
      <c r="X140" s="50">
        <v>100.0</v>
      </c>
      <c r="Y140" s="50">
        <v>3.0</v>
      </c>
      <c r="Z140" s="50">
        <v>0.0</v>
      </c>
      <c r="AA140" s="116"/>
      <c r="AB140" s="116"/>
      <c r="AC140" s="116"/>
      <c r="AD140" s="116"/>
      <c r="AE140" s="116"/>
      <c r="AF140" s="116"/>
      <c r="AG140" s="116"/>
      <c r="AH140" s="116"/>
      <c r="AI140" s="116"/>
      <c r="AJ140" s="116"/>
      <c r="AK140" s="50" t="s">
        <v>8213</v>
      </c>
      <c r="AL140" s="50">
        <v>2.0</v>
      </c>
      <c r="AM140" s="50">
        <v>1.0</v>
      </c>
      <c r="AN140" s="50" t="s">
        <v>6901</v>
      </c>
      <c r="AO140" s="117">
        <v>3866.0</v>
      </c>
      <c r="AP140" s="50" t="s">
        <v>8636</v>
      </c>
      <c r="AQ140" s="50" t="s">
        <v>8637</v>
      </c>
      <c r="AR140" s="117">
        <v>139.0</v>
      </c>
    </row>
    <row r="141">
      <c r="A141" s="50" t="s">
        <v>8639</v>
      </c>
      <c r="B141" s="50" t="s">
        <v>6876</v>
      </c>
      <c r="C141" s="50" t="s">
        <v>6877</v>
      </c>
      <c r="D141" s="50" t="s">
        <v>8310</v>
      </c>
      <c r="E141" s="144">
        <v>43691.0</v>
      </c>
      <c r="F141" s="50" t="s">
        <v>8642</v>
      </c>
      <c r="G141" s="50">
        <v>58.0</v>
      </c>
      <c r="H141" s="50">
        <v>1.0</v>
      </c>
      <c r="I141" s="50">
        <v>14.0</v>
      </c>
      <c r="J141" s="50">
        <v>141.0</v>
      </c>
      <c r="K141" s="116"/>
      <c r="L141" s="50" t="s">
        <v>2162</v>
      </c>
      <c r="M141" s="50" t="s">
        <v>2162</v>
      </c>
      <c r="N141" s="50" t="s">
        <v>8645</v>
      </c>
      <c r="O141" s="50" t="s">
        <v>8646</v>
      </c>
      <c r="P141" s="50" t="s">
        <v>8648</v>
      </c>
      <c r="Q141" s="50" t="s">
        <v>8649</v>
      </c>
      <c r="R141" s="116"/>
      <c r="S141" s="116"/>
      <c r="T141" s="116"/>
      <c r="U141" s="116"/>
      <c r="V141" s="116"/>
      <c r="W141" s="50">
        <v>7.0</v>
      </c>
      <c r="X141" s="50">
        <v>10.0</v>
      </c>
      <c r="Y141" s="50">
        <v>2.0</v>
      </c>
      <c r="Z141" s="116"/>
      <c r="AA141" s="50">
        <v>6.0</v>
      </c>
      <c r="AB141" s="50">
        <v>1.0</v>
      </c>
      <c r="AC141" s="50">
        <v>2.0</v>
      </c>
      <c r="AD141" s="116"/>
      <c r="AE141" s="50">
        <v>0.0</v>
      </c>
      <c r="AF141" s="116"/>
      <c r="AG141" s="116"/>
      <c r="AH141" s="116"/>
      <c r="AI141" s="116"/>
      <c r="AJ141" s="116"/>
      <c r="AK141" s="50" t="s">
        <v>8652</v>
      </c>
      <c r="AL141" s="50">
        <v>4.0</v>
      </c>
      <c r="AM141" s="50">
        <v>1.0</v>
      </c>
      <c r="AN141" s="50" t="s">
        <v>6901</v>
      </c>
      <c r="AO141" s="117">
        <v>3867.0</v>
      </c>
      <c r="AP141" s="50" t="s">
        <v>8653</v>
      </c>
      <c r="AQ141" s="50" t="s">
        <v>8654</v>
      </c>
      <c r="AR141" s="117">
        <v>140.0</v>
      </c>
    </row>
    <row r="142">
      <c r="A142" s="50" t="s">
        <v>8642</v>
      </c>
      <c r="B142" s="50" t="s">
        <v>6876</v>
      </c>
      <c r="C142" s="50" t="s">
        <v>6877</v>
      </c>
      <c r="D142" s="50" t="s">
        <v>8310</v>
      </c>
      <c r="E142" s="144">
        <v>43691.0</v>
      </c>
      <c r="F142" s="50" t="s">
        <v>8659</v>
      </c>
      <c r="G142" s="50">
        <v>58.0</v>
      </c>
      <c r="H142" s="50">
        <v>1.0</v>
      </c>
      <c r="I142" s="50">
        <v>14.0</v>
      </c>
      <c r="J142" s="50">
        <v>143.0</v>
      </c>
      <c r="K142" s="116"/>
      <c r="L142" s="50" t="s">
        <v>2165</v>
      </c>
      <c r="M142" s="50" t="s">
        <v>2165</v>
      </c>
      <c r="N142" s="50" t="s">
        <v>8663</v>
      </c>
      <c r="O142" s="50" t="s">
        <v>8646</v>
      </c>
      <c r="P142" s="50" t="s">
        <v>8648</v>
      </c>
      <c r="Q142" s="50" t="s">
        <v>8649</v>
      </c>
      <c r="R142" s="116"/>
      <c r="S142" s="116"/>
      <c r="T142" s="116"/>
      <c r="U142" s="116"/>
      <c r="V142" s="116"/>
      <c r="W142" s="50">
        <v>7.0</v>
      </c>
      <c r="X142" s="50">
        <v>10.0</v>
      </c>
      <c r="Y142" s="50">
        <v>2.0</v>
      </c>
      <c r="Z142" s="116"/>
      <c r="AA142" s="50">
        <v>6.0</v>
      </c>
      <c r="AB142" s="50">
        <v>1.0</v>
      </c>
      <c r="AC142" s="50">
        <v>3.0</v>
      </c>
      <c r="AD142" s="50">
        <v>16.0</v>
      </c>
      <c r="AE142" s="50">
        <v>0.0</v>
      </c>
      <c r="AF142" s="116"/>
      <c r="AG142" s="116"/>
      <c r="AH142" s="116"/>
      <c r="AI142" s="116"/>
      <c r="AJ142" s="116"/>
      <c r="AK142" s="50" t="s">
        <v>8670</v>
      </c>
      <c r="AL142" s="50">
        <v>4.0</v>
      </c>
      <c r="AM142" s="50">
        <v>1.0</v>
      </c>
      <c r="AN142" s="50" t="s">
        <v>6901</v>
      </c>
      <c r="AO142" s="117">
        <v>3868.0</v>
      </c>
      <c r="AP142" s="50" t="s">
        <v>8671</v>
      </c>
      <c r="AQ142" s="50" t="s">
        <v>8672</v>
      </c>
      <c r="AR142" s="117">
        <v>141.0</v>
      </c>
    </row>
    <row r="143">
      <c r="A143" s="50" t="s">
        <v>8659</v>
      </c>
      <c r="B143" s="50" t="s">
        <v>6876</v>
      </c>
      <c r="C143" s="50" t="s">
        <v>6877</v>
      </c>
      <c r="D143" s="50" t="s">
        <v>8310</v>
      </c>
      <c r="E143" s="144">
        <v>43691.0</v>
      </c>
      <c r="F143" s="50" t="s">
        <v>8673</v>
      </c>
      <c r="G143" s="50">
        <v>58.0</v>
      </c>
      <c r="H143" s="50">
        <v>1.0</v>
      </c>
      <c r="I143" s="50">
        <v>14.0</v>
      </c>
      <c r="J143" s="50">
        <v>143.0</v>
      </c>
      <c r="K143" s="116"/>
      <c r="L143" s="50" t="s">
        <v>2166</v>
      </c>
      <c r="M143" s="50" t="s">
        <v>2166</v>
      </c>
      <c r="N143" s="50" t="s">
        <v>8663</v>
      </c>
      <c r="O143" s="50" t="s">
        <v>8646</v>
      </c>
      <c r="P143" s="50" t="s">
        <v>8648</v>
      </c>
      <c r="Q143" s="50" t="s">
        <v>8649</v>
      </c>
      <c r="R143" s="116"/>
      <c r="S143" s="116"/>
      <c r="T143" s="116"/>
      <c r="U143" s="116"/>
      <c r="V143" s="116"/>
      <c r="W143" s="50">
        <v>7.0</v>
      </c>
      <c r="X143" s="50">
        <v>10.0</v>
      </c>
      <c r="Y143" s="50">
        <v>2.0</v>
      </c>
      <c r="Z143" s="116"/>
      <c r="AA143" s="50">
        <v>6.0</v>
      </c>
      <c r="AB143" s="50">
        <v>1.0</v>
      </c>
      <c r="AC143" s="50">
        <v>3.0</v>
      </c>
      <c r="AD143" s="50">
        <v>3.0</v>
      </c>
      <c r="AE143" s="50">
        <v>0.0</v>
      </c>
      <c r="AF143" s="116"/>
      <c r="AG143" s="116"/>
      <c r="AH143" s="116"/>
      <c r="AI143" s="116"/>
      <c r="AJ143" s="116"/>
      <c r="AK143" s="50" t="s">
        <v>8678</v>
      </c>
      <c r="AL143" s="50">
        <v>4.0</v>
      </c>
      <c r="AM143" s="50">
        <v>1.0</v>
      </c>
      <c r="AN143" s="50" t="s">
        <v>6901</v>
      </c>
      <c r="AO143" s="117">
        <v>3869.0</v>
      </c>
      <c r="AP143" s="50" t="s">
        <v>8680</v>
      </c>
      <c r="AQ143" s="50" t="s">
        <v>8682</v>
      </c>
      <c r="AR143" s="117">
        <v>142.0</v>
      </c>
    </row>
    <row r="144">
      <c r="A144" s="50" t="s">
        <v>8673</v>
      </c>
      <c r="B144" s="50" t="s">
        <v>6876</v>
      </c>
      <c r="C144" s="50" t="s">
        <v>6877</v>
      </c>
      <c r="D144" s="50" t="s">
        <v>8310</v>
      </c>
      <c r="E144" s="144">
        <v>43691.0</v>
      </c>
      <c r="F144" s="50" t="s">
        <v>8683</v>
      </c>
      <c r="G144" s="50">
        <v>58.0</v>
      </c>
      <c r="H144" s="50">
        <v>1.0</v>
      </c>
      <c r="I144" s="50">
        <v>99.0</v>
      </c>
      <c r="J144" s="116"/>
      <c r="K144" s="116"/>
      <c r="L144" s="50" t="s">
        <v>1080</v>
      </c>
      <c r="M144" s="50" t="s">
        <v>1080</v>
      </c>
      <c r="N144" s="50" t="s">
        <v>8663</v>
      </c>
      <c r="O144" s="50" t="s">
        <v>8646</v>
      </c>
      <c r="P144" s="50" t="s">
        <v>8648</v>
      </c>
      <c r="Q144" s="50" t="s">
        <v>8649</v>
      </c>
      <c r="R144" s="116"/>
      <c r="S144" s="116"/>
      <c r="T144" s="116"/>
      <c r="U144" s="116"/>
      <c r="V144" s="116"/>
      <c r="W144" s="50">
        <v>7.0</v>
      </c>
      <c r="X144" s="50">
        <v>100.0</v>
      </c>
      <c r="Y144" s="50">
        <v>3.0</v>
      </c>
      <c r="Z144" s="50">
        <v>0.0</v>
      </c>
      <c r="AA144" s="116"/>
      <c r="AB144" s="116"/>
      <c r="AC144" s="116"/>
      <c r="AD144" s="116"/>
      <c r="AE144" s="116"/>
      <c r="AF144" s="116"/>
      <c r="AG144" s="116"/>
      <c r="AH144" s="116"/>
      <c r="AI144" s="116"/>
      <c r="AJ144" s="116"/>
      <c r="AK144" s="50" t="s">
        <v>8687</v>
      </c>
      <c r="AL144" s="50">
        <v>4.0</v>
      </c>
      <c r="AM144" s="50">
        <v>1.0</v>
      </c>
      <c r="AN144" s="50" t="s">
        <v>6901</v>
      </c>
      <c r="AO144" s="117">
        <v>3870.0</v>
      </c>
      <c r="AP144" s="50" t="s">
        <v>8690</v>
      </c>
      <c r="AQ144" s="50" t="s">
        <v>8691</v>
      </c>
      <c r="AR144" s="117">
        <v>143.0</v>
      </c>
    </row>
    <row r="145">
      <c r="A145" s="50" t="s">
        <v>8683</v>
      </c>
      <c r="B145" s="50" t="s">
        <v>6876</v>
      </c>
      <c r="C145" s="50" t="s">
        <v>6877</v>
      </c>
      <c r="D145" s="50" t="s">
        <v>8310</v>
      </c>
      <c r="E145" s="144">
        <v>43691.0</v>
      </c>
      <c r="F145" s="50" t="s">
        <v>8692</v>
      </c>
      <c r="G145" s="50">
        <v>33.0</v>
      </c>
      <c r="H145" s="50">
        <v>1.0</v>
      </c>
      <c r="I145" s="50">
        <v>98.0</v>
      </c>
      <c r="J145" s="116"/>
      <c r="K145" s="116"/>
      <c r="L145" s="50" t="s">
        <v>1078</v>
      </c>
      <c r="M145" s="50" t="s">
        <v>1078</v>
      </c>
      <c r="N145" s="50" t="s">
        <v>8646</v>
      </c>
      <c r="O145" s="50" t="s">
        <v>8646</v>
      </c>
      <c r="P145" s="50" t="s">
        <v>8648</v>
      </c>
      <c r="Q145" s="50" t="s">
        <v>8649</v>
      </c>
      <c r="R145" s="116"/>
      <c r="S145" s="116"/>
      <c r="T145" s="116"/>
      <c r="U145" s="116"/>
      <c r="V145" s="116"/>
      <c r="W145" s="50">
        <v>7.0</v>
      </c>
      <c r="X145" s="50">
        <v>100.0</v>
      </c>
      <c r="Y145" s="50">
        <v>3.0</v>
      </c>
      <c r="Z145" s="50">
        <v>0.0</v>
      </c>
      <c r="AA145" s="116"/>
      <c r="AB145" s="116"/>
      <c r="AC145" s="116"/>
      <c r="AD145" s="116"/>
      <c r="AE145" s="116"/>
      <c r="AF145" s="116"/>
      <c r="AG145" s="116"/>
      <c r="AH145" s="116"/>
      <c r="AI145" s="116"/>
      <c r="AJ145" s="116"/>
      <c r="AK145" s="50" t="s">
        <v>8213</v>
      </c>
      <c r="AL145" s="50">
        <v>4.0</v>
      </c>
      <c r="AM145" s="50">
        <v>1.0</v>
      </c>
      <c r="AN145" s="50" t="s">
        <v>6901</v>
      </c>
      <c r="AO145" s="117">
        <v>3871.0</v>
      </c>
      <c r="AP145" s="50" t="s">
        <v>8697</v>
      </c>
      <c r="AQ145" s="50" t="s">
        <v>8700</v>
      </c>
      <c r="AR145" s="117">
        <v>144.0</v>
      </c>
    </row>
    <row r="146">
      <c r="A146" s="50" t="s">
        <v>8701</v>
      </c>
      <c r="B146" s="50" t="s">
        <v>6876</v>
      </c>
      <c r="C146" s="50" t="s">
        <v>6877</v>
      </c>
      <c r="D146" s="50" t="s">
        <v>8493</v>
      </c>
      <c r="E146" s="144">
        <v>43699.0</v>
      </c>
      <c r="F146" s="50" t="s">
        <v>8704</v>
      </c>
      <c r="G146" s="50">
        <v>33.0</v>
      </c>
      <c r="H146" s="50">
        <v>1.0</v>
      </c>
      <c r="I146" s="50">
        <v>98.0</v>
      </c>
      <c r="J146" s="116"/>
      <c r="K146" s="116"/>
      <c r="L146" s="50" t="s">
        <v>1085</v>
      </c>
      <c r="M146" s="50" t="s">
        <v>1085</v>
      </c>
      <c r="N146" s="50" t="s">
        <v>8705</v>
      </c>
      <c r="O146" s="50" t="s">
        <v>8705</v>
      </c>
      <c r="P146" s="50" t="s">
        <v>8706</v>
      </c>
      <c r="Q146" s="50" t="s">
        <v>8707</v>
      </c>
      <c r="R146" s="116"/>
      <c r="S146" s="116"/>
      <c r="T146" s="116"/>
      <c r="U146" s="116"/>
      <c r="V146" s="116"/>
      <c r="W146" s="50">
        <v>7.0</v>
      </c>
      <c r="X146" s="50">
        <v>100.0</v>
      </c>
      <c r="Y146" s="50">
        <v>3.0</v>
      </c>
      <c r="Z146" s="50">
        <v>0.0</v>
      </c>
      <c r="AA146" s="116"/>
      <c r="AB146" s="116"/>
      <c r="AC146" s="116"/>
      <c r="AD146" s="116"/>
      <c r="AE146" s="116"/>
      <c r="AF146" s="116"/>
      <c r="AG146" s="116"/>
      <c r="AH146" s="116"/>
      <c r="AI146" s="116"/>
      <c r="AJ146" s="116"/>
      <c r="AK146" s="50" t="s">
        <v>8213</v>
      </c>
      <c r="AL146" s="50">
        <v>4.0</v>
      </c>
      <c r="AM146" s="50">
        <v>1.0</v>
      </c>
      <c r="AN146" s="50" t="s">
        <v>6901</v>
      </c>
      <c r="AO146" s="117">
        <v>3945.0</v>
      </c>
      <c r="AP146" s="50" t="s">
        <v>8713</v>
      </c>
      <c r="AQ146" s="50" t="s">
        <v>8714</v>
      </c>
      <c r="AR146" s="117">
        <v>145.0</v>
      </c>
    </row>
    <row r="147">
      <c r="A147" s="50" t="s">
        <v>8704</v>
      </c>
      <c r="B147" s="50" t="s">
        <v>6876</v>
      </c>
      <c r="C147" s="50" t="s">
        <v>6877</v>
      </c>
      <c r="D147" s="50" t="s">
        <v>8493</v>
      </c>
      <c r="E147" s="144">
        <v>43699.0</v>
      </c>
      <c r="F147" s="50" t="s">
        <v>8717</v>
      </c>
      <c r="G147" s="50">
        <v>58.0</v>
      </c>
      <c r="H147" s="50">
        <v>1.0</v>
      </c>
      <c r="I147" s="50">
        <v>5.0</v>
      </c>
      <c r="J147" s="116"/>
      <c r="K147" s="116"/>
      <c r="L147" s="50" t="s">
        <v>1093</v>
      </c>
      <c r="M147" s="50" t="s">
        <v>1093</v>
      </c>
      <c r="N147" s="50" t="s">
        <v>8718</v>
      </c>
      <c r="O147" s="50" t="s">
        <v>8719</v>
      </c>
      <c r="P147" s="50" t="s">
        <v>8720</v>
      </c>
      <c r="Q147" s="50" t="s">
        <v>8721</v>
      </c>
      <c r="R147" s="116"/>
      <c r="S147" s="116"/>
      <c r="T147" s="116"/>
      <c r="U147" s="116"/>
      <c r="V147" s="116"/>
      <c r="W147" s="50">
        <v>7.0</v>
      </c>
      <c r="X147" s="50">
        <v>10.0</v>
      </c>
      <c r="Y147" s="50">
        <v>2.0</v>
      </c>
      <c r="Z147" s="116"/>
      <c r="AA147" s="50">
        <v>7.0</v>
      </c>
      <c r="AB147" s="50">
        <v>1.0</v>
      </c>
      <c r="AC147" s="50">
        <v>2.0</v>
      </c>
      <c r="AD147" s="116"/>
      <c r="AE147" s="50">
        <v>0.0</v>
      </c>
      <c r="AF147" s="116"/>
      <c r="AG147" s="116"/>
      <c r="AH147" s="116"/>
      <c r="AI147" s="116"/>
      <c r="AJ147" s="116"/>
      <c r="AK147" s="50" t="s">
        <v>8722</v>
      </c>
      <c r="AL147" s="50">
        <v>4.0</v>
      </c>
      <c r="AM147" s="50">
        <v>1.0</v>
      </c>
      <c r="AN147" s="50" t="s">
        <v>6901</v>
      </c>
      <c r="AO147" s="117">
        <v>3946.0</v>
      </c>
      <c r="AP147" s="50" t="s">
        <v>8726</v>
      </c>
      <c r="AQ147" s="50" t="s">
        <v>8728</v>
      </c>
      <c r="AR147" s="117">
        <v>146.0</v>
      </c>
    </row>
    <row r="148">
      <c r="A148" s="50" t="s">
        <v>8717</v>
      </c>
      <c r="B148" s="50" t="s">
        <v>6876</v>
      </c>
      <c r="C148" s="50" t="s">
        <v>6877</v>
      </c>
      <c r="D148" s="50" t="s">
        <v>8493</v>
      </c>
      <c r="E148" s="144">
        <v>43699.0</v>
      </c>
      <c r="F148" s="50" t="s">
        <v>8729</v>
      </c>
      <c r="G148" s="50">
        <v>58.0</v>
      </c>
      <c r="H148" s="50">
        <v>1.0</v>
      </c>
      <c r="I148" s="50">
        <v>8.0</v>
      </c>
      <c r="J148" s="116"/>
      <c r="K148" s="116"/>
      <c r="L148" s="50" t="s">
        <v>1092</v>
      </c>
      <c r="M148" s="50" t="s">
        <v>1092</v>
      </c>
      <c r="N148" s="50" t="s">
        <v>8718</v>
      </c>
      <c r="O148" s="50" t="s">
        <v>8730</v>
      </c>
      <c r="P148" s="50" t="s">
        <v>8731</v>
      </c>
      <c r="Q148" s="50" t="s">
        <v>8733</v>
      </c>
      <c r="R148" s="116"/>
      <c r="S148" s="116"/>
      <c r="T148" s="116"/>
      <c r="U148" s="50">
        <v>122.3</v>
      </c>
      <c r="V148" s="116"/>
      <c r="W148" s="50">
        <v>7.0</v>
      </c>
      <c r="X148" s="50">
        <v>1.0</v>
      </c>
      <c r="Y148" s="50">
        <v>2.0</v>
      </c>
      <c r="Z148" s="116"/>
      <c r="AA148" s="50">
        <v>6.0</v>
      </c>
      <c r="AB148" s="50">
        <v>1.0</v>
      </c>
      <c r="AC148" s="50">
        <v>2.0</v>
      </c>
      <c r="AD148" s="116"/>
      <c r="AE148" s="50">
        <v>1.0</v>
      </c>
      <c r="AF148" s="50">
        <v>5.0</v>
      </c>
      <c r="AG148" s="50">
        <v>1.0</v>
      </c>
      <c r="AH148" s="50">
        <v>1.0</v>
      </c>
      <c r="AI148" s="116"/>
      <c r="AJ148" s="116"/>
      <c r="AK148" s="50" t="s">
        <v>8522</v>
      </c>
      <c r="AL148" s="50">
        <v>4.0</v>
      </c>
      <c r="AM148" s="50">
        <v>1.0</v>
      </c>
      <c r="AN148" s="50" t="s">
        <v>6901</v>
      </c>
      <c r="AO148" s="117">
        <v>3947.0</v>
      </c>
      <c r="AP148" s="50" t="s">
        <v>8736</v>
      </c>
      <c r="AQ148" s="50" t="s">
        <v>8737</v>
      </c>
      <c r="AR148" s="117">
        <v>147.0</v>
      </c>
    </row>
    <row r="149">
      <c r="A149" s="50" t="s">
        <v>8729</v>
      </c>
      <c r="B149" s="50" t="s">
        <v>6876</v>
      </c>
      <c r="C149" s="50" t="s">
        <v>6877</v>
      </c>
      <c r="D149" s="50" t="s">
        <v>8493</v>
      </c>
      <c r="E149" s="144">
        <v>43699.0</v>
      </c>
      <c r="F149" s="50" t="s">
        <v>8741</v>
      </c>
      <c r="G149" s="50">
        <v>58.0</v>
      </c>
      <c r="H149" s="50">
        <v>1.0</v>
      </c>
      <c r="I149" s="50">
        <v>99.0</v>
      </c>
      <c r="J149" s="116"/>
      <c r="K149" s="116"/>
      <c r="L149" s="50" t="s">
        <v>1094</v>
      </c>
      <c r="M149" s="50" t="s">
        <v>1094</v>
      </c>
      <c r="N149" s="50" t="s">
        <v>8718</v>
      </c>
      <c r="O149" s="50" t="s">
        <v>8743</v>
      </c>
      <c r="P149" s="50" t="s">
        <v>8744</v>
      </c>
      <c r="Q149" s="50" t="s">
        <v>8745</v>
      </c>
      <c r="R149" s="116"/>
      <c r="S149" s="116"/>
      <c r="T149" s="116"/>
      <c r="U149" s="116"/>
      <c r="V149" s="116"/>
      <c r="W149" s="50">
        <v>7.0</v>
      </c>
      <c r="X149" s="50">
        <v>100.0</v>
      </c>
      <c r="Y149" s="50">
        <v>3.0</v>
      </c>
      <c r="Z149" s="50">
        <v>0.0</v>
      </c>
      <c r="AA149" s="116"/>
      <c r="AB149" s="116"/>
      <c r="AC149" s="116"/>
      <c r="AD149" s="116"/>
      <c r="AE149" s="116"/>
      <c r="AF149" s="116"/>
      <c r="AG149" s="116"/>
      <c r="AH149" s="116"/>
      <c r="AI149" s="116"/>
      <c r="AJ149" s="116"/>
      <c r="AK149" s="50" t="s">
        <v>8213</v>
      </c>
      <c r="AL149" s="50">
        <v>4.0</v>
      </c>
      <c r="AM149" s="50">
        <v>1.0</v>
      </c>
      <c r="AN149" s="50" t="s">
        <v>6901</v>
      </c>
      <c r="AO149" s="117">
        <v>3948.0</v>
      </c>
      <c r="AP149" s="50" t="s">
        <v>8748</v>
      </c>
      <c r="AQ149" s="50" t="s">
        <v>8749</v>
      </c>
      <c r="AR149" s="117">
        <v>148.0</v>
      </c>
    </row>
    <row r="150">
      <c r="A150" s="50" t="s">
        <v>8741</v>
      </c>
      <c r="B150" s="50" t="s">
        <v>6876</v>
      </c>
      <c r="C150" s="50" t="s">
        <v>6877</v>
      </c>
      <c r="D150" s="50" t="s">
        <v>8493</v>
      </c>
      <c r="E150" s="144">
        <v>43699.0</v>
      </c>
      <c r="F150" s="50" t="s">
        <v>8750</v>
      </c>
      <c r="G150" s="50">
        <v>58.0</v>
      </c>
      <c r="H150" s="50">
        <v>1.0</v>
      </c>
      <c r="I150" s="50">
        <v>11.0</v>
      </c>
      <c r="J150" s="116"/>
      <c r="K150" s="116"/>
      <c r="L150" s="50" t="s">
        <v>1087</v>
      </c>
      <c r="M150" s="50" t="s">
        <v>1087</v>
      </c>
      <c r="N150" s="50" t="s">
        <v>8751</v>
      </c>
      <c r="O150" s="50" t="s">
        <v>8753</v>
      </c>
      <c r="P150" s="50" t="s">
        <v>8755</v>
      </c>
      <c r="Q150" s="50" t="s">
        <v>8756</v>
      </c>
      <c r="R150" s="116"/>
      <c r="S150" s="116"/>
      <c r="T150" s="116"/>
      <c r="U150" s="116"/>
      <c r="V150" s="116"/>
      <c r="W150" s="50">
        <v>4.0</v>
      </c>
      <c r="X150" s="50">
        <v>1.0</v>
      </c>
      <c r="Y150" s="50">
        <v>1.0</v>
      </c>
      <c r="Z150" s="116"/>
      <c r="AA150" s="50">
        <v>3.0</v>
      </c>
      <c r="AB150" s="50">
        <v>1.0</v>
      </c>
      <c r="AC150" s="50">
        <v>1.0</v>
      </c>
      <c r="AD150" s="116"/>
      <c r="AE150" s="50">
        <v>1.0</v>
      </c>
      <c r="AF150" s="50">
        <v>2.0</v>
      </c>
      <c r="AG150" s="50">
        <v>1.0</v>
      </c>
      <c r="AH150" s="50">
        <v>3.0</v>
      </c>
      <c r="AI150" s="50">
        <v>56.0</v>
      </c>
      <c r="AJ150" s="116"/>
      <c r="AK150" s="50" t="s">
        <v>8760</v>
      </c>
      <c r="AL150" s="50">
        <v>4.0</v>
      </c>
      <c r="AM150" s="50">
        <v>1.0</v>
      </c>
      <c r="AN150" s="50" t="s">
        <v>6901</v>
      </c>
      <c r="AO150" s="117">
        <v>3949.0</v>
      </c>
      <c r="AP150" s="50" t="s">
        <v>8762</v>
      </c>
      <c r="AQ150" s="50" t="s">
        <v>8763</v>
      </c>
      <c r="AR150" s="117">
        <v>149.0</v>
      </c>
    </row>
    <row r="151">
      <c r="A151" s="50" t="s">
        <v>8750</v>
      </c>
      <c r="B151" s="50" t="s">
        <v>6876</v>
      </c>
      <c r="C151" s="50" t="s">
        <v>6877</v>
      </c>
      <c r="D151" s="50" t="s">
        <v>8493</v>
      </c>
      <c r="E151" s="144">
        <v>43699.0</v>
      </c>
      <c r="F151" s="50" t="s">
        <v>8764</v>
      </c>
      <c r="G151" s="50">
        <v>58.0</v>
      </c>
      <c r="H151" s="50">
        <v>1.0</v>
      </c>
      <c r="I151" s="50">
        <v>99.0</v>
      </c>
      <c r="J151" s="116"/>
      <c r="K151" s="116"/>
      <c r="L151" s="50" t="s">
        <v>1088</v>
      </c>
      <c r="M151" s="50" t="s">
        <v>1088</v>
      </c>
      <c r="N151" s="50" t="s">
        <v>8751</v>
      </c>
      <c r="O151" s="50" t="s">
        <v>8743</v>
      </c>
      <c r="P151" s="50" t="s">
        <v>8766</v>
      </c>
      <c r="Q151" s="50" t="s">
        <v>8767</v>
      </c>
      <c r="R151" s="116"/>
      <c r="S151" s="116"/>
      <c r="T151" s="116"/>
      <c r="U151" s="116"/>
      <c r="V151" s="116"/>
      <c r="W151" s="50">
        <v>7.0</v>
      </c>
      <c r="X151" s="50">
        <v>100.0</v>
      </c>
      <c r="Y151" s="50">
        <v>3.0</v>
      </c>
      <c r="Z151" s="50">
        <v>0.0</v>
      </c>
      <c r="AA151" s="116"/>
      <c r="AB151" s="116"/>
      <c r="AC151" s="116"/>
      <c r="AD151" s="116"/>
      <c r="AE151" s="116"/>
      <c r="AF151" s="116"/>
      <c r="AG151" s="116"/>
      <c r="AH151" s="116"/>
      <c r="AI151" s="116"/>
      <c r="AJ151" s="116"/>
      <c r="AK151" s="50" t="s">
        <v>8772</v>
      </c>
      <c r="AL151" s="50">
        <v>4.0</v>
      </c>
      <c r="AM151" s="50">
        <v>1.0</v>
      </c>
      <c r="AN151" s="50" t="s">
        <v>6901</v>
      </c>
      <c r="AO151" s="117">
        <v>3950.0</v>
      </c>
      <c r="AP151" s="50" t="s">
        <v>8773</v>
      </c>
      <c r="AQ151" s="50" t="s">
        <v>8774</v>
      </c>
      <c r="AR151" s="117">
        <v>150.0</v>
      </c>
    </row>
    <row r="152">
      <c r="A152" s="50" t="s">
        <v>8764</v>
      </c>
      <c r="B152" s="50" t="s">
        <v>6876</v>
      </c>
      <c r="C152" s="50" t="s">
        <v>6877</v>
      </c>
      <c r="D152" s="50" t="s">
        <v>8493</v>
      </c>
      <c r="E152" s="144">
        <v>43699.0</v>
      </c>
      <c r="F152" s="50" t="s">
        <v>8777</v>
      </c>
      <c r="G152" s="50">
        <v>33.0</v>
      </c>
      <c r="H152" s="50">
        <v>1.0</v>
      </c>
      <c r="I152" s="50">
        <v>98.0</v>
      </c>
      <c r="J152" s="116"/>
      <c r="K152" s="116"/>
      <c r="L152" s="50" t="s">
        <v>1097</v>
      </c>
      <c r="M152" s="50" t="s">
        <v>1097</v>
      </c>
      <c r="N152" s="50" t="s">
        <v>8778</v>
      </c>
      <c r="O152" s="50" t="s">
        <v>8778</v>
      </c>
      <c r="P152" s="50" t="s">
        <v>8744</v>
      </c>
      <c r="Q152" s="50" t="s">
        <v>8745</v>
      </c>
      <c r="R152" s="116"/>
      <c r="S152" s="116"/>
      <c r="T152" s="116"/>
      <c r="U152" s="116"/>
      <c r="V152" s="116"/>
      <c r="W152" s="50">
        <v>7.0</v>
      </c>
      <c r="X152" s="50">
        <v>100.0</v>
      </c>
      <c r="Y152" s="50">
        <v>3.0</v>
      </c>
      <c r="Z152" s="50">
        <v>0.0</v>
      </c>
      <c r="AA152" s="116"/>
      <c r="AB152" s="116"/>
      <c r="AC152" s="116"/>
      <c r="AD152" s="116"/>
      <c r="AE152" s="116"/>
      <c r="AF152" s="116"/>
      <c r="AG152" s="116"/>
      <c r="AH152" s="116"/>
      <c r="AI152" s="116"/>
      <c r="AJ152" s="116"/>
      <c r="AK152" s="50" t="s">
        <v>8213</v>
      </c>
      <c r="AL152" s="50">
        <v>4.0</v>
      </c>
      <c r="AM152" s="50">
        <v>1.0</v>
      </c>
      <c r="AN152" s="50" t="s">
        <v>6901</v>
      </c>
      <c r="AO152" s="117">
        <v>3951.0</v>
      </c>
      <c r="AP152" s="50" t="s">
        <v>8783</v>
      </c>
      <c r="AQ152" s="50" t="s">
        <v>8784</v>
      </c>
      <c r="AR152" s="117">
        <v>151.0</v>
      </c>
    </row>
    <row r="153">
      <c r="A153" s="50" t="s">
        <v>8785</v>
      </c>
      <c r="B153" s="50" t="s">
        <v>6876</v>
      </c>
      <c r="C153" s="50" t="s">
        <v>6877</v>
      </c>
      <c r="D153" s="50" t="s">
        <v>8493</v>
      </c>
      <c r="E153" s="144">
        <v>43702.0</v>
      </c>
      <c r="F153" s="50" t="s">
        <v>8786</v>
      </c>
      <c r="G153" s="50">
        <v>58.0</v>
      </c>
      <c r="H153" s="50">
        <v>1.0</v>
      </c>
      <c r="I153" s="50">
        <v>14.0</v>
      </c>
      <c r="J153" s="50">
        <v>141.0</v>
      </c>
      <c r="K153" s="116"/>
      <c r="L153" s="50" t="s">
        <v>537</v>
      </c>
      <c r="M153" s="50" t="s">
        <v>537</v>
      </c>
      <c r="N153" s="50" t="s">
        <v>8789</v>
      </c>
      <c r="O153" s="50" t="s">
        <v>8745</v>
      </c>
      <c r="P153" s="50" t="s">
        <v>8790</v>
      </c>
      <c r="Q153" s="50" t="s">
        <v>8791</v>
      </c>
      <c r="R153" s="116"/>
      <c r="S153" s="116"/>
      <c r="T153" s="116"/>
      <c r="U153" s="116"/>
      <c r="V153" s="116"/>
      <c r="W153" s="50">
        <v>7.0</v>
      </c>
      <c r="X153" s="50">
        <v>10.0</v>
      </c>
      <c r="Y153" s="50">
        <v>2.0</v>
      </c>
      <c r="Z153" s="116"/>
      <c r="AA153" s="50">
        <v>6.0</v>
      </c>
      <c r="AB153" s="50">
        <v>1.0</v>
      </c>
      <c r="AC153" s="50">
        <v>2.0</v>
      </c>
      <c r="AD153" s="116"/>
      <c r="AE153" s="50">
        <v>0.0</v>
      </c>
      <c r="AF153" s="116"/>
      <c r="AG153" s="116"/>
      <c r="AH153" s="116"/>
      <c r="AI153" s="116"/>
      <c r="AJ153" s="116"/>
      <c r="AK153" s="50" t="s">
        <v>8797</v>
      </c>
      <c r="AL153" s="50">
        <v>4.0</v>
      </c>
      <c r="AM153" s="50">
        <v>1.0</v>
      </c>
      <c r="AN153" s="50" t="s">
        <v>6901</v>
      </c>
      <c r="AO153" s="117">
        <v>3981.0</v>
      </c>
      <c r="AP153" s="50" t="s">
        <v>8798</v>
      </c>
      <c r="AQ153" s="50" t="s">
        <v>8799</v>
      </c>
      <c r="AR153" s="117">
        <v>152.0</v>
      </c>
    </row>
    <row r="154">
      <c r="A154" s="50" t="s">
        <v>8786</v>
      </c>
      <c r="B154" s="50" t="s">
        <v>6876</v>
      </c>
      <c r="C154" s="50" t="s">
        <v>6877</v>
      </c>
      <c r="D154" s="50" t="s">
        <v>8493</v>
      </c>
      <c r="E154" s="144">
        <v>43702.0</v>
      </c>
      <c r="F154" s="50" t="s">
        <v>8801</v>
      </c>
      <c r="G154" s="50">
        <v>58.0</v>
      </c>
      <c r="H154" s="50">
        <v>1.0</v>
      </c>
      <c r="I154" s="50">
        <v>14.0</v>
      </c>
      <c r="J154" s="50">
        <v>143.0</v>
      </c>
      <c r="K154" s="116"/>
      <c r="L154" s="50" t="s">
        <v>543</v>
      </c>
      <c r="M154" s="50" t="s">
        <v>543</v>
      </c>
      <c r="N154" s="50" t="s">
        <v>8789</v>
      </c>
      <c r="O154" s="50" t="s">
        <v>8745</v>
      </c>
      <c r="P154" s="50" t="s">
        <v>8790</v>
      </c>
      <c r="Q154" s="50" t="s">
        <v>8791</v>
      </c>
      <c r="R154" s="116"/>
      <c r="S154" s="116"/>
      <c r="T154" s="116"/>
      <c r="U154" s="116"/>
      <c r="V154" s="116"/>
      <c r="W154" s="50">
        <v>7.0</v>
      </c>
      <c r="X154" s="50">
        <v>10.0</v>
      </c>
      <c r="Y154" s="50">
        <v>2.0</v>
      </c>
      <c r="Z154" s="116"/>
      <c r="AA154" s="50">
        <v>6.0</v>
      </c>
      <c r="AB154" s="50">
        <v>1.0</v>
      </c>
      <c r="AC154" s="50">
        <v>1.0</v>
      </c>
      <c r="AD154" s="116"/>
      <c r="AE154" s="50">
        <v>0.0</v>
      </c>
      <c r="AF154" s="116"/>
      <c r="AG154" s="116"/>
      <c r="AH154" s="116"/>
      <c r="AI154" s="116"/>
      <c r="AJ154" s="116"/>
      <c r="AK154" s="50" t="s">
        <v>8807</v>
      </c>
      <c r="AL154" s="50">
        <v>3.0</v>
      </c>
      <c r="AM154" s="50">
        <v>1.0</v>
      </c>
      <c r="AN154" s="50" t="s">
        <v>6901</v>
      </c>
      <c r="AO154" s="117">
        <v>3982.0</v>
      </c>
      <c r="AP154" s="50" t="s">
        <v>8808</v>
      </c>
      <c r="AQ154" s="50" t="s">
        <v>8809</v>
      </c>
      <c r="AR154" s="117">
        <v>153.0</v>
      </c>
    </row>
    <row r="155">
      <c r="A155" s="50" t="s">
        <v>8801</v>
      </c>
      <c r="B155" s="50" t="s">
        <v>6876</v>
      </c>
      <c r="C155" s="50" t="s">
        <v>6877</v>
      </c>
      <c r="D155" s="50" t="s">
        <v>8493</v>
      </c>
      <c r="E155" s="144">
        <v>43702.0</v>
      </c>
      <c r="F155" s="50" t="s">
        <v>8812</v>
      </c>
      <c r="G155" s="50">
        <v>58.0</v>
      </c>
      <c r="H155" s="50">
        <v>1.0</v>
      </c>
      <c r="I155" s="50">
        <v>14.0</v>
      </c>
      <c r="J155" s="50">
        <v>142.0</v>
      </c>
      <c r="K155" s="116"/>
      <c r="L155" s="50" t="s">
        <v>539</v>
      </c>
      <c r="M155" s="50" t="s">
        <v>539</v>
      </c>
      <c r="N155" s="50" t="s">
        <v>8789</v>
      </c>
      <c r="O155" s="50" t="s">
        <v>8813</v>
      </c>
      <c r="P155" s="50" t="s">
        <v>8814</v>
      </c>
      <c r="Q155" s="50" t="s">
        <v>8815</v>
      </c>
      <c r="R155" s="116"/>
      <c r="S155" s="116"/>
      <c r="T155" s="116"/>
      <c r="U155" s="116"/>
      <c r="V155" s="116"/>
      <c r="W155" s="50">
        <v>7.0</v>
      </c>
      <c r="X155" s="50">
        <v>10.0</v>
      </c>
      <c r="Y155" s="50">
        <v>3.0</v>
      </c>
      <c r="Z155" s="50">
        <v>0.0</v>
      </c>
      <c r="AA155" s="50">
        <v>6.0</v>
      </c>
      <c r="AB155" s="50">
        <v>1.0</v>
      </c>
      <c r="AC155" s="50">
        <v>3.0</v>
      </c>
      <c r="AD155" s="50">
        <v>0.0</v>
      </c>
      <c r="AE155" s="50">
        <v>0.0</v>
      </c>
      <c r="AF155" s="116"/>
      <c r="AG155" s="116"/>
      <c r="AH155" s="116"/>
      <c r="AI155" s="116"/>
      <c r="AJ155" s="116"/>
      <c r="AK155" s="50" t="s">
        <v>8821</v>
      </c>
      <c r="AL155" s="50">
        <v>3.0</v>
      </c>
      <c r="AM155" s="50">
        <v>1.0</v>
      </c>
      <c r="AN155" s="50" t="s">
        <v>6901</v>
      </c>
      <c r="AO155" s="117">
        <v>3983.0</v>
      </c>
      <c r="AP155" s="50" t="s">
        <v>8822</v>
      </c>
      <c r="AQ155" s="50" t="s">
        <v>8823</v>
      </c>
      <c r="AR155" s="117">
        <v>154.0</v>
      </c>
    </row>
    <row r="156">
      <c r="A156" s="50" t="s">
        <v>8812</v>
      </c>
      <c r="B156" s="50" t="s">
        <v>6876</v>
      </c>
      <c r="C156" s="50" t="s">
        <v>6877</v>
      </c>
      <c r="D156" s="50" t="s">
        <v>8493</v>
      </c>
      <c r="E156" s="144">
        <v>43702.0</v>
      </c>
      <c r="F156" s="50" t="s">
        <v>8824</v>
      </c>
      <c r="G156" s="50">
        <v>58.0</v>
      </c>
      <c r="H156" s="50">
        <v>1.0</v>
      </c>
      <c r="I156" s="50">
        <v>14.0</v>
      </c>
      <c r="J156" s="50">
        <v>145.0</v>
      </c>
      <c r="K156" s="116"/>
      <c r="L156" s="50" t="s">
        <v>548</v>
      </c>
      <c r="M156" s="50" t="s">
        <v>548</v>
      </c>
      <c r="N156" s="50" t="s">
        <v>8789</v>
      </c>
      <c r="O156" s="50" t="s">
        <v>8827</v>
      </c>
      <c r="P156" s="50" t="s">
        <v>8733</v>
      </c>
      <c r="Q156" s="50" t="s">
        <v>8828</v>
      </c>
      <c r="R156" s="116"/>
      <c r="S156" s="116"/>
      <c r="T156" s="116"/>
      <c r="U156" s="116"/>
      <c r="V156" s="116"/>
      <c r="W156" s="50">
        <v>7.0</v>
      </c>
      <c r="X156" s="50">
        <v>10.0</v>
      </c>
      <c r="Y156" s="50">
        <v>3.0</v>
      </c>
      <c r="Z156" s="50">
        <v>6.0</v>
      </c>
      <c r="AA156" s="50">
        <v>6.0</v>
      </c>
      <c r="AB156" s="50">
        <v>1.0</v>
      </c>
      <c r="AC156" s="50">
        <v>3.0</v>
      </c>
      <c r="AD156" s="50">
        <v>0.0</v>
      </c>
      <c r="AE156" s="50">
        <v>0.0</v>
      </c>
      <c r="AF156" s="116"/>
      <c r="AG156" s="116"/>
      <c r="AH156" s="116"/>
      <c r="AI156" s="116"/>
      <c r="AJ156" s="116"/>
      <c r="AK156" s="50" t="s">
        <v>8829</v>
      </c>
      <c r="AL156" s="50">
        <v>3.0</v>
      </c>
      <c r="AM156" s="50">
        <v>1.0</v>
      </c>
      <c r="AN156" s="50" t="s">
        <v>6901</v>
      </c>
      <c r="AO156" s="117">
        <v>3984.0</v>
      </c>
      <c r="AP156" s="50" t="s">
        <v>8830</v>
      </c>
      <c r="AQ156" s="50" t="s">
        <v>8832</v>
      </c>
      <c r="AR156" s="117">
        <v>155.0</v>
      </c>
    </row>
    <row r="157">
      <c r="A157" s="50" t="s">
        <v>8824</v>
      </c>
      <c r="B157" s="50" t="s">
        <v>6876</v>
      </c>
      <c r="C157" s="50" t="s">
        <v>6877</v>
      </c>
      <c r="D157" s="50" t="s">
        <v>8493</v>
      </c>
      <c r="E157" s="144">
        <v>43702.0</v>
      </c>
      <c r="F157" s="50" t="s">
        <v>8836</v>
      </c>
      <c r="G157" s="50">
        <v>58.0</v>
      </c>
      <c r="H157" s="50">
        <v>1.0</v>
      </c>
      <c r="I157" s="50">
        <v>14.0</v>
      </c>
      <c r="J157" s="50">
        <v>144.0</v>
      </c>
      <c r="K157" s="116"/>
      <c r="L157" s="50" t="s">
        <v>545</v>
      </c>
      <c r="M157" s="50" t="s">
        <v>545</v>
      </c>
      <c r="N157" s="50" t="s">
        <v>8789</v>
      </c>
      <c r="O157" s="50" t="s">
        <v>8837</v>
      </c>
      <c r="P157" s="50" t="s">
        <v>8733</v>
      </c>
      <c r="Q157" s="50" t="s">
        <v>8828</v>
      </c>
      <c r="R157" s="116"/>
      <c r="S157" s="116"/>
      <c r="T157" s="116"/>
      <c r="U157" s="116"/>
      <c r="V157" s="116"/>
      <c r="W157" s="50">
        <v>7.0</v>
      </c>
      <c r="X157" s="50">
        <v>10.0</v>
      </c>
      <c r="Y157" s="50">
        <v>3.0</v>
      </c>
      <c r="Z157" s="50">
        <v>0.0</v>
      </c>
      <c r="AA157" s="50">
        <v>6.0</v>
      </c>
      <c r="AB157" s="50">
        <v>1.0</v>
      </c>
      <c r="AC157" s="50">
        <v>3.0</v>
      </c>
      <c r="AD157" s="50">
        <v>0.0</v>
      </c>
      <c r="AE157" s="50">
        <v>0.0</v>
      </c>
      <c r="AF157" s="116"/>
      <c r="AG157" s="116"/>
      <c r="AH157" s="116"/>
      <c r="AI157" s="116"/>
      <c r="AJ157" s="116"/>
      <c r="AK157" s="50" t="s">
        <v>8840</v>
      </c>
      <c r="AL157" s="50">
        <v>3.0</v>
      </c>
      <c r="AM157" s="50">
        <v>1.0</v>
      </c>
      <c r="AN157" s="50" t="s">
        <v>6901</v>
      </c>
      <c r="AO157" s="117">
        <v>3985.0</v>
      </c>
      <c r="AP157" s="50" t="s">
        <v>8842</v>
      </c>
      <c r="AQ157" s="50" t="s">
        <v>8844</v>
      </c>
      <c r="AR157" s="117">
        <v>156.0</v>
      </c>
    </row>
    <row r="158">
      <c r="A158" s="50" t="s">
        <v>8836</v>
      </c>
      <c r="B158" s="50" t="s">
        <v>6876</v>
      </c>
      <c r="C158" s="50" t="s">
        <v>6877</v>
      </c>
      <c r="D158" s="50" t="s">
        <v>8493</v>
      </c>
      <c r="E158" s="144">
        <v>43702.0</v>
      </c>
      <c r="F158" s="50" t="s">
        <v>8846</v>
      </c>
      <c r="G158" s="50">
        <v>58.0</v>
      </c>
      <c r="H158" s="50">
        <v>1.0</v>
      </c>
      <c r="I158" s="50">
        <v>99.0</v>
      </c>
      <c r="J158" s="116"/>
      <c r="K158" s="116"/>
      <c r="L158" s="50" t="s">
        <v>1100</v>
      </c>
      <c r="M158" s="50" t="s">
        <v>1100</v>
      </c>
      <c r="N158" s="50" t="s">
        <v>8789</v>
      </c>
      <c r="O158" s="50" t="s">
        <v>8849</v>
      </c>
      <c r="P158" s="50" t="s">
        <v>8745</v>
      </c>
      <c r="Q158" s="50" t="s">
        <v>8850</v>
      </c>
      <c r="R158" s="116"/>
      <c r="S158" s="116"/>
      <c r="T158" s="116"/>
      <c r="U158" s="116"/>
      <c r="V158" s="116"/>
      <c r="W158" s="50">
        <v>7.0</v>
      </c>
      <c r="X158" s="50">
        <v>100.0</v>
      </c>
      <c r="Y158" s="50">
        <v>3.0</v>
      </c>
      <c r="Z158" s="50">
        <v>0.0</v>
      </c>
      <c r="AA158" s="116"/>
      <c r="AB158" s="116"/>
      <c r="AC158" s="116"/>
      <c r="AD158" s="116"/>
      <c r="AE158" s="116"/>
      <c r="AF158" s="116"/>
      <c r="AG158" s="116"/>
      <c r="AH158" s="116"/>
      <c r="AI158" s="116"/>
      <c r="AJ158" s="116"/>
      <c r="AK158" s="50" t="s">
        <v>8213</v>
      </c>
      <c r="AL158" s="50">
        <v>3.0</v>
      </c>
      <c r="AM158" s="50">
        <v>1.0</v>
      </c>
      <c r="AN158" s="50" t="s">
        <v>6901</v>
      </c>
      <c r="AO158" s="117">
        <v>3986.0</v>
      </c>
      <c r="AP158" s="50" t="s">
        <v>8853</v>
      </c>
      <c r="AQ158" s="50" t="s">
        <v>8854</v>
      </c>
      <c r="AR158" s="117">
        <v>157.0</v>
      </c>
    </row>
    <row r="159">
      <c r="A159" s="50" t="s">
        <v>8846</v>
      </c>
      <c r="B159" s="50" t="s">
        <v>6876</v>
      </c>
      <c r="C159" s="50" t="s">
        <v>6877</v>
      </c>
      <c r="D159" s="50" t="s">
        <v>8493</v>
      </c>
      <c r="E159" s="144">
        <v>43702.0</v>
      </c>
      <c r="F159" s="50" t="s">
        <v>8855</v>
      </c>
      <c r="G159" s="50">
        <v>58.0</v>
      </c>
      <c r="H159" s="50">
        <v>1.0</v>
      </c>
      <c r="I159" s="50">
        <v>99.0</v>
      </c>
      <c r="J159" s="116"/>
      <c r="K159" s="116"/>
      <c r="L159" s="50" t="s">
        <v>1104</v>
      </c>
      <c r="M159" s="50" t="s">
        <v>1104</v>
      </c>
      <c r="N159" s="50" t="s">
        <v>8789</v>
      </c>
      <c r="O159" s="50" t="s">
        <v>8849</v>
      </c>
      <c r="P159" s="50" t="s">
        <v>8745</v>
      </c>
      <c r="Q159" s="50" t="s">
        <v>8850</v>
      </c>
      <c r="R159" s="116"/>
      <c r="S159" s="116"/>
      <c r="T159" s="116"/>
      <c r="U159" s="116"/>
      <c r="V159" s="116"/>
      <c r="W159" s="50">
        <v>7.0</v>
      </c>
      <c r="X159" s="50">
        <v>100.0</v>
      </c>
      <c r="Y159" s="50">
        <v>3.0</v>
      </c>
      <c r="Z159" s="50">
        <v>0.0</v>
      </c>
      <c r="AA159" s="116"/>
      <c r="AB159" s="116"/>
      <c r="AC159" s="116"/>
      <c r="AD159" s="116"/>
      <c r="AE159" s="116"/>
      <c r="AF159" s="116"/>
      <c r="AG159" s="116"/>
      <c r="AH159" s="116"/>
      <c r="AI159" s="116"/>
      <c r="AJ159" s="116"/>
      <c r="AK159" s="50" t="s">
        <v>8213</v>
      </c>
      <c r="AL159" s="50">
        <v>3.0</v>
      </c>
      <c r="AM159" s="50">
        <v>1.0</v>
      </c>
      <c r="AN159" s="50" t="s">
        <v>6901</v>
      </c>
      <c r="AO159" s="117">
        <v>3987.0</v>
      </c>
      <c r="AP159" s="50" t="s">
        <v>8862</v>
      </c>
      <c r="AQ159" s="50" t="s">
        <v>8863</v>
      </c>
      <c r="AR159" s="117">
        <v>158.0</v>
      </c>
    </row>
    <row r="160">
      <c r="A160" s="50" t="s">
        <v>8855</v>
      </c>
      <c r="B160" s="50" t="s">
        <v>6876</v>
      </c>
      <c r="C160" s="50" t="s">
        <v>6877</v>
      </c>
      <c r="D160" s="50" t="s">
        <v>8493</v>
      </c>
      <c r="E160" s="144">
        <v>43702.0</v>
      </c>
      <c r="F160" s="50" t="s">
        <v>8864</v>
      </c>
      <c r="G160" s="50">
        <v>33.0</v>
      </c>
      <c r="H160" s="50">
        <v>1.0</v>
      </c>
      <c r="I160" s="50">
        <v>98.0</v>
      </c>
      <c r="J160" s="116"/>
      <c r="K160" s="116"/>
      <c r="L160" s="50" t="s">
        <v>1109</v>
      </c>
      <c r="M160" s="50" t="s">
        <v>1109</v>
      </c>
      <c r="N160" s="50" t="s">
        <v>8866</v>
      </c>
      <c r="O160" s="50" t="s">
        <v>8866</v>
      </c>
      <c r="P160" s="50" t="s">
        <v>8745</v>
      </c>
      <c r="Q160" s="50" t="s">
        <v>8850</v>
      </c>
      <c r="R160" s="116"/>
      <c r="S160" s="116"/>
      <c r="T160" s="116"/>
      <c r="U160" s="116"/>
      <c r="V160" s="116"/>
      <c r="W160" s="50">
        <v>7.0</v>
      </c>
      <c r="X160" s="50">
        <v>100.0</v>
      </c>
      <c r="Y160" s="50">
        <v>3.0</v>
      </c>
      <c r="Z160" s="50">
        <v>0.0</v>
      </c>
      <c r="AA160" s="116"/>
      <c r="AB160" s="116"/>
      <c r="AC160" s="116"/>
      <c r="AD160" s="116"/>
      <c r="AE160" s="116"/>
      <c r="AF160" s="116"/>
      <c r="AG160" s="116"/>
      <c r="AH160" s="116"/>
      <c r="AI160" s="116"/>
      <c r="AJ160" s="116"/>
      <c r="AK160" s="50" t="s">
        <v>8213</v>
      </c>
      <c r="AL160" s="50">
        <v>3.0</v>
      </c>
      <c r="AM160" s="50">
        <v>1.0</v>
      </c>
      <c r="AN160" s="50" t="s">
        <v>6901</v>
      </c>
      <c r="AO160" s="117">
        <v>3988.0</v>
      </c>
      <c r="AP160" s="50" t="s">
        <v>8874</v>
      </c>
      <c r="AQ160" s="50" t="s">
        <v>8875</v>
      </c>
      <c r="AR160" s="117">
        <v>159.0</v>
      </c>
    </row>
    <row r="161">
      <c r="A161" s="50" t="s">
        <v>8876</v>
      </c>
      <c r="B161" s="50" t="s">
        <v>6876</v>
      </c>
      <c r="C161" s="50" t="s">
        <v>6877</v>
      </c>
      <c r="D161" s="50" t="s">
        <v>8493</v>
      </c>
      <c r="E161" s="144">
        <v>43702.0</v>
      </c>
      <c r="F161" s="50" t="s">
        <v>8877</v>
      </c>
      <c r="G161" s="50">
        <v>58.0</v>
      </c>
      <c r="H161" s="50">
        <v>1.0</v>
      </c>
      <c r="I161" s="50">
        <v>15.0</v>
      </c>
      <c r="J161" s="116"/>
      <c r="K161" s="50">
        <v>151.0</v>
      </c>
      <c r="L161" s="50" t="s">
        <v>551</v>
      </c>
      <c r="M161" s="50" t="s">
        <v>551</v>
      </c>
      <c r="N161" s="50" t="s">
        <v>8878</v>
      </c>
      <c r="O161" s="50" t="s">
        <v>8879</v>
      </c>
      <c r="P161" s="50" t="s">
        <v>8815</v>
      </c>
      <c r="Q161" s="50" t="s">
        <v>8882</v>
      </c>
      <c r="R161" s="116"/>
      <c r="S161" s="116"/>
      <c r="T161" s="116"/>
      <c r="U161" s="116"/>
      <c r="V161" s="116"/>
      <c r="W161" s="50">
        <v>7.0</v>
      </c>
      <c r="X161" s="50">
        <v>10.0</v>
      </c>
      <c r="Y161" s="50">
        <v>2.0</v>
      </c>
      <c r="Z161" s="116"/>
      <c r="AA161" s="50">
        <v>6.0</v>
      </c>
      <c r="AB161" s="50">
        <v>1.0</v>
      </c>
      <c r="AC161" s="50">
        <v>1.0</v>
      </c>
      <c r="AD161" s="116"/>
      <c r="AE161" s="50">
        <v>0.0</v>
      </c>
      <c r="AF161" s="116"/>
      <c r="AG161" s="116"/>
      <c r="AH161" s="116"/>
      <c r="AI161" s="116"/>
      <c r="AJ161" s="116"/>
      <c r="AK161" s="50" t="s">
        <v>8807</v>
      </c>
      <c r="AL161" s="50">
        <v>4.0</v>
      </c>
      <c r="AM161" s="50">
        <v>1.0</v>
      </c>
      <c r="AN161" s="50" t="s">
        <v>6901</v>
      </c>
      <c r="AO161" s="117">
        <v>3989.0</v>
      </c>
      <c r="AP161" s="50" t="s">
        <v>8887</v>
      </c>
      <c r="AQ161" s="50" t="s">
        <v>8888</v>
      </c>
      <c r="AR161" s="117">
        <v>160.0</v>
      </c>
    </row>
    <row r="162">
      <c r="A162" s="50" t="s">
        <v>8889</v>
      </c>
      <c r="B162" s="50" t="s">
        <v>6876</v>
      </c>
      <c r="C162" s="50" t="s">
        <v>6877</v>
      </c>
      <c r="D162" s="50" t="s">
        <v>8493</v>
      </c>
      <c r="E162" s="144">
        <v>43702.0</v>
      </c>
      <c r="F162" s="50" t="s">
        <v>8890</v>
      </c>
      <c r="G162" s="50">
        <v>58.0</v>
      </c>
      <c r="H162" s="50">
        <v>1.0</v>
      </c>
      <c r="I162" s="50">
        <v>15.0</v>
      </c>
      <c r="J162" s="116"/>
      <c r="K162" s="50">
        <v>152.0</v>
      </c>
      <c r="L162" s="50" t="s">
        <v>556</v>
      </c>
      <c r="M162" s="50" t="s">
        <v>556</v>
      </c>
      <c r="N162" s="50" t="s">
        <v>8878</v>
      </c>
      <c r="O162" s="50" t="s">
        <v>8879</v>
      </c>
      <c r="P162" s="50" t="s">
        <v>8815</v>
      </c>
      <c r="Q162" s="50" t="s">
        <v>8882</v>
      </c>
      <c r="R162" s="116"/>
      <c r="S162" s="116"/>
      <c r="T162" s="116"/>
      <c r="U162" s="116"/>
      <c r="V162" s="116"/>
      <c r="W162" s="50">
        <v>7.0</v>
      </c>
      <c r="X162" s="50">
        <v>10.0</v>
      </c>
      <c r="Y162" s="50">
        <v>2.0</v>
      </c>
      <c r="Z162" s="116"/>
      <c r="AA162" s="50">
        <v>6.0</v>
      </c>
      <c r="AB162" s="50">
        <v>1.0</v>
      </c>
      <c r="AC162" s="50">
        <v>1.0</v>
      </c>
      <c r="AD162" s="116"/>
      <c r="AE162" s="50">
        <v>0.0</v>
      </c>
      <c r="AF162" s="116"/>
      <c r="AG162" s="116"/>
      <c r="AH162" s="116"/>
      <c r="AI162" s="116"/>
      <c r="AJ162" s="116"/>
      <c r="AK162" s="50" t="s">
        <v>8807</v>
      </c>
      <c r="AL162" s="50">
        <v>4.0</v>
      </c>
      <c r="AM162" s="50">
        <v>1.0</v>
      </c>
      <c r="AN162" s="50" t="s">
        <v>6901</v>
      </c>
      <c r="AO162" s="117">
        <v>3990.0</v>
      </c>
      <c r="AP162" s="50" t="s">
        <v>8898</v>
      </c>
      <c r="AQ162" s="50" t="s">
        <v>8899</v>
      </c>
      <c r="AR162" s="117">
        <v>161.0</v>
      </c>
    </row>
    <row r="163">
      <c r="A163" s="50" t="s">
        <v>8890</v>
      </c>
      <c r="B163" s="50" t="s">
        <v>6876</v>
      </c>
      <c r="C163" s="50" t="s">
        <v>6877</v>
      </c>
      <c r="D163" s="50" t="s">
        <v>8493</v>
      </c>
      <c r="E163" s="144">
        <v>43702.0</v>
      </c>
      <c r="F163" s="50" t="s">
        <v>8900</v>
      </c>
      <c r="G163" s="50">
        <v>58.0</v>
      </c>
      <c r="H163" s="50">
        <v>1.0</v>
      </c>
      <c r="I163" s="50">
        <v>15.0</v>
      </c>
      <c r="J163" s="116"/>
      <c r="K163" s="50">
        <v>152.0</v>
      </c>
      <c r="L163" s="50" t="s">
        <v>558</v>
      </c>
      <c r="M163" s="50" t="s">
        <v>558</v>
      </c>
      <c r="N163" s="50" t="s">
        <v>8878</v>
      </c>
      <c r="O163" s="50" t="s">
        <v>8902</v>
      </c>
      <c r="P163" s="50" t="s">
        <v>8904</v>
      </c>
      <c r="Q163" s="50" t="s">
        <v>8906</v>
      </c>
      <c r="R163" s="116"/>
      <c r="S163" s="116"/>
      <c r="T163" s="116"/>
      <c r="U163" s="116"/>
      <c r="V163" s="116"/>
      <c r="W163" s="50">
        <v>7.0</v>
      </c>
      <c r="X163" s="50">
        <v>10.0</v>
      </c>
      <c r="Y163" s="50">
        <v>2.0</v>
      </c>
      <c r="Z163" s="116"/>
      <c r="AA163" s="50">
        <v>6.0</v>
      </c>
      <c r="AB163" s="50">
        <v>1.0</v>
      </c>
      <c r="AC163" s="50">
        <v>3.0</v>
      </c>
      <c r="AD163" s="50">
        <v>0.0</v>
      </c>
      <c r="AE163" s="50">
        <v>0.0</v>
      </c>
      <c r="AF163" s="116"/>
      <c r="AG163" s="116"/>
      <c r="AH163" s="116"/>
      <c r="AI163" s="116"/>
      <c r="AJ163" s="116"/>
      <c r="AK163" s="50" t="s">
        <v>8910</v>
      </c>
      <c r="AL163" s="50">
        <v>4.0</v>
      </c>
      <c r="AM163" s="50">
        <v>1.0</v>
      </c>
      <c r="AN163" s="50" t="s">
        <v>6901</v>
      </c>
      <c r="AO163" s="117">
        <v>3991.0</v>
      </c>
      <c r="AP163" s="50" t="s">
        <v>8911</v>
      </c>
      <c r="AQ163" s="50" t="s">
        <v>8912</v>
      </c>
      <c r="AR163" s="117">
        <v>162.0</v>
      </c>
    </row>
    <row r="164">
      <c r="A164" s="50" t="s">
        <v>8900</v>
      </c>
      <c r="B164" s="50" t="s">
        <v>6876</v>
      </c>
      <c r="C164" s="50" t="s">
        <v>6877</v>
      </c>
      <c r="D164" s="50" t="s">
        <v>8493</v>
      </c>
      <c r="E164" s="144">
        <v>43702.0</v>
      </c>
      <c r="F164" s="50" t="s">
        <v>8913</v>
      </c>
      <c r="G164" s="50">
        <v>58.0</v>
      </c>
      <c r="H164" s="50">
        <v>1.0</v>
      </c>
      <c r="I164" s="50">
        <v>15.0</v>
      </c>
      <c r="J164" s="116"/>
      <c r="K164" s="50">
        <v>152.0</v>
      </c>
      <c r="L164" s="50" t="s">
        <v>215</v>
      </c>
      <c r="M164" s="50" t="s">
        <v>215</v>
      </c>
      <c r="N164" s="50" t="s">
        <v>8878</v>
      </c>
      <c r="O164" s="50" t="s">
        <v>8902</v>
      </c>
      <c r="P164" s="50" t="s">
        <v>8904</v>
      </c>
      <c r="Q164" s="50" t="s">
        <v>8906</v>
      </c>
      <c r="R164" s="116"/>
      <c r="S164" s="116"/>
      <c r="T164" s="116"/>
      <c r="U164" s="116"/>
      <c r="V164" s="116"/>
      <c r="W164" s="50">
        <v>7.0</v>
      </c>
      <c r="X164" s="50">
        <v>10.0</v>
      </c>
      <c r="Y164" s="50">
        <v>2.0</v>
      </c>
      <c r="Z164" s="116"/>
      <c r="AA164" s="50">
        <v>6.0</v>
      </c>
      <c r="AB164" s="50">
        <v>1.0</v>
      </c>
      <c r="AC164" s="50">
        <v>3.0</v>
      </c>
      <c r="AD164" s="50">
        <v>3.0</v>
      </c>
      <c r="AE164" s="50">
        <v>0.0</v>
      </c>
      <c r="AF164" s="116"/>
      <c r="AG164" s="116"/>
      <c r="AH164" s="116"/>
      <c r="AI164" s="116"/>
      <c r="AJ164" s="116"/>
      <c r="AK164" s="50" t="s">
        <v>8807</v>
      </c>
      <c r="AL164" s="50">
        <v>4.0</v>
      </c>
      <c r="AM164" s="50">
        <v>1.0</v>
      </c>
      <c r="AN164" s="50" t="s">
        <v>6901</v>
      </c>
      <c r="AO164" s="117">
        <v>3992.0</v>
      </c>
      <c r="AP164" s="50" t="s">
        <v>8919</v>
      </c>
      <c r="AQ164" s="50" t="s">
        <v>8921</v>
      </c>
      <c r="AR164" s="117">
        <v>163.0</v>
      </c>
    </row>
    <row r="165">
      <c r="A165" s="50" t="s">
        <v>8913</v>
      </c>
      <c r="B165" s="50" t="s">
        <v>6876</v>
      </c>
      <c r="C165" s="50" t="s">
        <v>6877</v>
      </c>
      <c r="D165" s="50" t="s">
        <v>8493</v>
      </c>
      <c r="E165" s="144">
        <v>43702.0</v>
      </c>
      <c r="F165" s="50" t="s">
        <v>8923</v>
      </c>
      <c r="G165" s="50">
        <v>58.0</v>
      </c>
      <c r="H165" s="50">
        <v>1.0</v>
      </c>
      <c r="I165" s="50">
        <v>99.0</v>
      </c>
      <c r="J165" s="116"/>
      <c r="K165" s="116"/>
      <c r="L165" s="50" t="s">
        <v>1114</v>
      </c>
      <c r="M165" s="50" t="s">
        <v>1114</v>
      </c>
      <c r="N165" s="50" t="s">
        <v>8878</v>
      </c>
      <c r="O165" s="50" t="s">
        <v>8924</v>
      </c>
      <c r="P165" s="50" t="s">
        <v>8902</v>
      </c>
      <c r="Q165" s="50" t="s">
        <v>8925</v>
      </c>
      <c r="R165" s="116"/>
      <c r="S165" s="116"/>
      <c r="T165" s="116"/>
      <c r="U165" s="116"/>
      <c r="V165" s="116"/>
      <c r="W165" s="50">
        <v>7.0</v>
      </c>
      <c r="X165" s="50">
        <v>100.0</v>
      </c>
      <c r="Y165" s="50">
        <v>3.0</v>
      </c>
      <c r="Z165" s="50">
        <v>0.0</v>
      </c>
      <c r="AA165" s="116"/>
      <c r="AB165" s="116"/>
      <c r="AC165" s="116"/>
      <c r="AD165" s="116"/>
      <c r="AE165" s="116"/>
      <c r="AF165" s="116"/>
      <c r="AG165" s="116"/>
      <c r="AH165" s="116"/>
      <c r="AI165" s="116"/>
      <c r="AJ165" s="116"/>
      <c r="AK165" s="50" t="s">
        <v>8213</v>
      </c>
      <c r="AL165" s="50">
        <v>4.0</v>
      </c>
      <c r="AM165" s="50">
        <v>1.0</v>
      </c>
      <c r="AN165" s="50" t="s">
        <v>6901</v>
      </c>
      <c r="AO165" s="117">
        <v>3993.0</v>
      </c>
      <c r="AP165" s="50" t="s">
        <v>8930</v>
      </c>
      <c r="AQ165" s="50" t="s">
        <v>8931</v>
      </c>
      <c r="AR165" s="117">
        <v>164.0</v>
      </c>
    </row>
    <row r="166">
      <c r="A166" s="50" t="s">
        <v>8932</v>
      </c>
      <c r="B166" s="50" t="s">
        <v>6876</v>
      </c>
      <c r="C166" s="50" t="s">
        <v>6877</v>
      </c>
      <c r="D166" s="50" t="s">
        <v>8493</v>
      </c>
      <c r="E166" s="144">
        <v>43703.0</v>
      </c>
      <c r="F166" s="50" t="s">
        <v>8933</v>
      </c>
      <c r="G166" s="50">
        <v>58.0</v>
      </c>
      <c r="H166" s="50">
        <v>1.0</v>
      </c>
      <c r="I166" s="50">
        <v>15.0</v>
      </c>
      <c r="J166" s="116"/>
      <c r="K166" s="50">
        <v>151.0</v>
      </c>
      <c r="L166" s="50" t="s">
        <v>553</v>
      </c>
      <c r="M166" s="50" t="s">
        <v>553</v>
      </c>
      <c r="N166" s="50" t="s">
        <v>8878</v>
      </c>
      <c r="O166" s="50" t="s">
        <v>8879</v>
      </c>
      <c r="P166" s="50" t="s">
        <v>8936</v>
      </c>
      <c r="Q166" s="50" t="s">
        <v>8937</v>
      </c>
      <c r="R166" s="116"/>
      <c r="S166" s="116"/>
      <c r="T166" s="116"/>
      <c r="U166" s="116"/>
      <c r="V166" s="116"/>
      <c r="W166" s="50">
        <v>7.0</v>
      </c>
      <c r="X166" s="50">
        <v>10.0</v>
      </c>
      <c r="Y166" s="50">
        <v>2.0</v>
      </c>
      <c r="Z166" s="116"/>
      <c r="AA166" s="50">
        <v>6.0</v>
      </c>
      <c r="AB166" s="50">
        <v>1.0</v>
      </c>
      <c r="AC166" s="50">
        <v>1.0</v>
      </c>
      <c r="AD166" s="116"/>
      <c r="AE166" s="50">
        <v>0.0</v>
      </c>
      <c r="AF166" s="116"/>
      <c r="AG166" s="116"/>
      <c r="AH166" s="116"/>
      <c r="AI166" s="116"/>
      <c r="AJ166" s="116"/>
      <c r="AK166" s="50" t="s">
        <v>8807</v>
      </c>
      <c r="AL166" s="50">
        <v>4.0</v>
      </c>
      <c r="AM166" s="50">
        <v>1.0</v>
      </c>
      <c r="AN166" s="50" t="s">
        <v>6901</v>
      </c>
      <c r="AO166" s="117">
        <v>3994.0</v>
      </c>
      <c r="AP166" s="50" t="s">
        <v>8939</v>
      </c>
      <c r="AQ166" s="50" t="s">
        <v>8940</v>
      </c>
      <c r="AR166" s="117">
        <v>165.0</v>
      </c>
    </row>
    <row r="167">
      <c r="A167" s="50" t="s">
        <v>8933</v>
      </c>
      <c r="B167" s="50" t="s">
        <v>6876</v>
      </c>
      <c r="C167" s="50" t="s">
        <v>6877</v>
      </c>
      <c r="D167" s="50" t="s">
        <v>8493</v>
      </c>
      <c r="E167" s="144">
        <v>43703.0</v>
      </c>
      <c r="F167" s="50" t="s">
        <v>8945</v>
      </c>
      <c r="G167" s="50">
        <v>58.0</v>
      </c>
      <c r="H167" s="50">
        <v>1.0</v>
      </c>
      <c r="I167" s="50">
        <v>15.0</v>
      </c>
      <c r="J167" s="116"/>
      <c r="K167" s="50">
        <v>152.0</v>
      </c>
      <c r="L167" s="50" t="s">
        <v>562</v>
      </c>
      <c r="M167" s="50" t="s">
        <v>562</v>
      </c>
      <c r="N167" s="50" t="s">
        <v>8878</v>
      </c>
      <c r="O167" s="50" t="s">
        <v>8947</v>
      </c>
      <c r="P167" s="50" t="s">
        <v>8948</v>
      </c>
      <c r="Q167" s="50" t="s">
        <v>8950</v>
      </c>
      <c r="R167" s="116"/>
      <c r="S167" s="116"/>
      <c r="T167" s="116"/>
      <c r="U167" s="116"/>
      <c r="V167" s="116"/>
      <c r="W167" s="50">
        <v>7.0</v>
      </c>
      <c r="X167" s="50">
        <v>10.0</v>
      </c>
      <c r="Y167" s="50">
        <v>2.0</v>
      </c>
      <c r="Z167" s="116"/>
      <c r="AA167" s="50">
        <v>6.0</v>
      </c>
      <c r="AB167" s="50">
        <v>1.0</v>
      </c>
      <c r="AC167" s="50">
        <v>3.0</v>
      </c>
      <c r="AD167" s="50">
        <v>0.0</v>
      </c>
      <c r="AE167" s="50">
        <v>0.0</v>
      </c>
      <c r="AF167" s="116"/>
      <c r="AG167" s="116"/>
      <c r="AH167" s="116"/>
      <c r="AI167" s="116"/>
      <c r="AJ167" s="116"/>
      <c r="AK167" s="50" t="s">
        <v>8807</v>
      </c>
      <c r="AL167" s="50">
        <v>4.0</v>
      </c>
      <c r="AM167" s="50">
        <v>1.0</v>
      </c>
      <c r="AN167" s="50" t="s">
        <v>6901</v>
      </c>
      <c r="AO167" s="117">
        <v>3995.0</v>
      </c>
      <c r="AP167" s="50" t="s">
        <v>8951</v>
      </c>
      <c r="AQ167" s="50" t="s">
        <v>8952</v>
      </c>
      <c r="AR167" s="117">
        <v>166.0</v>
      </c>
    </row>
    <row r="168">
      <c r="A168" s="50" t="s">
        <v>8945</v>
      </c>
      <c r="B168" s="50" t="s">
        <v>6876</v>
      </c>
      <c r="C168" s="50" t="s">
        <v>6877</v>
      </c>
      <c r="D168" s="50" t="s">
        <v>8493</v>
      </c>
      <c r="E168" s="144">
        <v>43703.0</v>
      </c>
      <c r="F168" s="50" t="s">
        <v>8955</v>
      </c>
      <c r="G168" s="50">
        <v>58.0</v>
      </c>
      <c r="H168" s="50">
        <v>1.0</v>
      </c>
      <c r="I168" s="50">
        <v>15.0</v>
      </c>
      <c r="J168" s="116"/>
      <c r="K168" s="50">
        <v>152.0</v>
      </c>
      <c r="L168" s="50" t="s">
        <v>565</v>
      </c>
      <c r="M168" s="50" t="s">
        <v>565</v>
      </c>
      <c r="N168" s="50" t="s">
        <v>8878</v>
      </c>
      <c r="O168" s="50" t="s">
        <v>8947</v>
      </c>
      <c r="P168" s="50" t="s">
        <v>8958</v>
      </c>
      <c r="Q168" s="50" t="s">
        <v>8959</v>
      </c>
      <c r="R168" s="116"/>
      <c r="S168" s="116"/>
      <c r="T168" s="116"/>
      <c r="U168" s="116"/>
      <c r="V168" s="116"/>
      <c r="W168" s="50">
        <v>7.0</v>
      </c>
      <c r="X168" s="50">
        <v>10.0</v>
      </c>
      <c r="Y168" s="50">
        <v>2.0</v>
      </c>
      <c r="Z168" s="116"/>
      <c r="AA168" s="50">
        <v>6.0</v>
      </c>
      <c r="AB168" s="50">
        <v>1.0</v>
      </c>
      <c r="AC168" s="50">
        <v>1.0</v>
      </c>
      <c r="AD168" s="116"/>
      <c r="AE168" s="50">
        <v>0.0</v>
      </c>
      <c r="AF168" s="116"/>
      <c r="AG168" s="116"/>
      <c r="AH168" s="116"/>
      <c r="AI168" s="116"/>
      <c r="AJ168" s="116"/>
      <c r="AK168" s="50" t="s">
        <v>8962</v>
      </c>
      <c r="AL168" s="50">
        <v>4.0</v>
      </c>
      <c r="AM168" s="50">
        <v>1.0</v>
      </c>
      <c r="AN168" s="50" t="s">
        <v>6901</v>
      </c>
      <c r="AO168" s="117">
        <v>3996.0</v>
      </c>
      <c r="AP168" s="50" t="s">
        <v>8963</v>
      </c>
      <c r="AQ168" s="50" t="s">
        <v>8964</v>
      </c>
      <c r="AR168" s="117">
        <v>167.0</v>
      </c>
    </row>
    <row r="169">
      <c r="A169" s="50" t="s">
        <v>8955</v>
      </c>
      <c r="B169" s="50" t="s">
        <v>6876</v>
      </c>
      <c r="C169" s="50" t="s">
        <v>6877</v>
      </c>
      <c r="D169" s="50" t="s">
        <v>8493</v>
      </c>
      <c r="E169" s="144">
        <v>43703.0</v>
      </c>
      <c r="F169" s="50" t="s">
        <v>8967</v>
      </c>
      <c r="G169" s="50">
        <v>58.0</v>
      </c>
      <c r="H169" s="50">
        <v>1.0</v>
      </c>
      <c r="I169" s="50">
        <v>15.0</v>
      </c>
      <c r="J169" s="116"/>
      <c r="K169" s="50">
        <v>152.0</v>
      </c>
      <c r="L169" s="50" t="s">
        <v>567</v>
      </c>
      <c r="M169" s="50" t="s">
        <v>567</v>
      </c>
      <c r="N169" s="50" t="s">
        <v>8878</v>
      </c>
      <c r="O169" s="50" t="s">
        <v>8947</v>
      </c>
      <c r="P169" s="50" t="s">
        <v>8958</v>
      </c>
      <c r="Q169" s="50" t="s">
        <v>8959</v>
      </c>
      <c r="R169" s="116"/>
      <c r="S169" s="116"/>
      <c r="T169" s="116"/>
      <c r="U169" s="116"/>
      <c r="V169" s="116"/>
      <c r="W169" s="50">
        <v>7.0</v>
      </c>
      <c r="X169" s="50">
        <v>10.0</v>
      </c>
      <c r="Y169" s="50">
        <v>2.0</v>
      </c>
      <c r="Z169" s="116"/>
      <c r="AA169" s="50">
        <v>6.0</v>
      </c>
      <c r="AB169" s="50">
        <v>1.0</v>
      </c>
      <c r="AC169" s="50">
        <v>3.0</v>
      </c>
      <c r="AD169" s="50">
        <v>0.0</v>
      </c>
      <c r="AE169" s="50">
        <v>0.0</v>
      </c>
      <c r="AF169" s="116"/>
      <c r="AG169" s="116"/>
      <c r="AH169" s="116"/>
      <c r="AI169" s="116"/>
      <c r="AJ169" s="116"/>
      <c r="AK169" s="50" t="s">
        <v>8972</v>
      </c>
      <c r="AL169" s="50">
        <v>4.0</v>
      </c>
      <c r="AM169" s="50">
        <v>1.0</v>
      </c>
      <c r="AN169" s="50" t="s">
        <v>6901</v>
      </c>
      <c r="AO169" s="117">
        <v>3997.0</v>
      </c>
      <c r="AP169" s="50" t="s">
        <v>8973</v>
      </c>
      <c r="AQ169" s="50" t="s">
        <v>8974</v>
      </c>
      <c r="AR169" s="117">
        <v>168.0</v>
      </c>
    </row>
    <row r="170">
      <c r="A170" s="50" t="s">
        <v>8967</v>
      </c>
      <c r="B170" s="50" t="s">
        <v>6876</v>
      </c>
      <c r="C170" s="50" t="s">
        <v>6877</v>
      </c>
      <c r="D170" s="50" t="s">
        <v>8493</v>
      </c>
      <c r="E170" s="144">
        <v>43703.0</v>
      </c>
      <c r="F170" s="50" t="s">
        <v>8975</v>
      </c>
      <c r="G170" s="50">
        <v>58.0</v>
      </c>
      <c r="H170" s="50">
        <v>1.0</v>
      </c>
      <c r="I170" s="50">
        <v>99.0</v>
      </c>
      <c r="J170" s="116"/>
      <c r="K170" s="116"/>
      <c r="L170" s="50" t="s">
        <v>1119</v>
      </c>
      <c r="M170" s="50" t="s">
        <v>1119</v>
      </c>
      <c r="N170" s="50" t="s">
        <v>8878</v>
      </c>
      <c r="O170" s="50" t="s">
        <v>8980</v>
      </c>
      <c r="P170" s="50" t="s">
        <v>8981</v>
      </c>
      <c r="Q170" s="50" t="s">
        <v>8982</v>
      </c>
      <c r="R170" s="116"/>
      <c r="S170" s="116"/>
      <c r="T170" s="116"/>
      <c r="U170" s="116"/>
      <c r="V170" s="116"/>
      <c r="W170" s="50">
        <v>7.0</v>
      </c>
      <c r="X170" s="50">
        <v>100.0</v>
      </c>
      <c r="Y170" s="50">
        <v>3.0</v>
      </c>
      <c r="Z170" s="50">
        <v>0.0</v>
      </c>
      <c r="AA170" s="116"/>
      <c r="AB170" s="116"/>
      <c r="AC170" s="116"/>
      <c r="AD170" s="116"/>
      <c r="AE170" s="116"/>
      <c r="AF170" s="116"/>
      <c r="AG170" s="116"/>
      <c r="AH170" s="116"/>
      <c r="AI170" s="116"/>
      <c r="AJ170" s="116"/>
      <c r="AK170" s="50" t="s">
        <v>8213</v>
      </c>
      <c r="AL170" s="50">
        <v>4.0</v>
      </c>
      <c r="AM170" s="50">
        <v>1.0</v>
      </c>
      <c r="AN170" s="50" t="s">
        <v>6901</v>
      </c>
      <c r="AO170" s="117">
        <v>3998.0</v>
      </c>
      <c r="AP170" s="50" t="s">
        <v>8985</v>
      </c>
      <c r="AQ170" s="50" t="s">
        <v>8986</v>
      </c>
      <c r="AR170" s="117">
        <v>169.0</v>
      </c>
    </row>
    <row r="171">
      <c r="A171" s="50" t="s">
        <v>8975</v>
      </c>
      <c r="B171" s="50" t="s">
        <v>6876</v>
      </c>
      <c r="C171" s="50" t="s">
        <v>6877</v>
      </c>
      <c r="D171" s="50" t="s">
        <v>8493</v>
      </c>
      <c r="E171" s="144">
        <v>43703.0</v>
      </c>
      <c r="F171" s="50" t="s">
        <v>8987</v>
      </c>
      <c r="G171" s="50">
        <v>33.0</v>
      </c>
      <c r="H171" s="50">
        <v>1.0</v>
      </c>
      <c r="I171" s="50">
        <v>98.0</v>
      </c>
      <c r="J171" s="116"/>
      <c r="K171" s="116"/>
      <c r="L171" s="50" t="s">
        <v>1122</v>
      </c>
      <c r="M171" s="50" t="s">
        <v>1122</v>
      </c>
      <c r="N171" s="50" t="s">
        <v>8988</v>
      </c>
      <c r="O171" s="50" t="s">
        <v>8988</v>
      </c>
      <c r="P171" s="50" t="s">
        <v>8924</v>
      </c>
      <c r="Q171" s="50" t="s">
        <v>8989</v>
      </c>
      <c r="R171" s="116"/>
      <c r="S171" s="116"/>
      <c r="T171" s="116"/>
      <c r="U171" s="116"/>
      <c r="V171" s="116"/>
      <c r="W171" s="50">
        <v>7.0</v>
      </c>
      <c r="X171" s="50">
        <v>100.0</v>
      </c>
      <c r="Y171" s="50">
        <v>3.0</v>
      </c>
      <c r="Z171" s="50">
        <v>0.0</v>
      </c>
      <c r="AA171" s="116"/>
      <c r="AB171" s="116"/>
      <c r="AC171" s="116"/>
      <c r="AD171" s="116"/>
      <c r="AE171" s="116"/>
      <c r="AF171" s="116"/>
      <c r="AG171" s="116"/>
      <c r="AH171" s="116"/>
      <c r="AI171" s="116"/>
      <c r="AJ171" s="116"/>
      <c r="AK171" s="50" t="s">
        <v>8213</v>
      </c>
      <c r="AL171" s="50">
        <v>4.0</v>
      </c>
      <c r="AM171" s="50">
        <v>1.0</v>
      </c>
      <c r="AN171" s="50" t="s">
        <v>6901</v>
      </c>
      <c r="AO171" s="117">
        <v>3999.0</v>
      </c>
      <c r="AP171" s="50" t="s">
        <v>8994</v>
      </c>
      <c r="AQ171" s="50" t="s">
        <v>8995</v>
      </c>
      <c r="AR171" s="117">
        <v>170.0</v>
      </c>
    </row>
    <row r="172">
      <c r="A172" s="50" t="s">
        <v>8997</v>
      </c>
      <c r="B172" s="50" t="s">
        <v>6876</v>
      </c>
      <c r="C172" s="50" t="s">
        <v>6877</v>
      </c>
      <c r="D172" s="50" t="s">
        <v>8493</v>
      </c>
      <c r="E172" s="144">
        <v>43719.0</v>
      </c>
      <c r="F172" s="50" t="s">
        <v>8999</v>
      </c>
      <c r="G172" s="50">
        <v>65.0</v>
      </c>
      <c r="H172" s="50">
        <v>1.0</v>
      </c>
      <c r="I172" s="50">
        <v>3.0</v>
      </c>
      <c r="J172" s="116"/>
      <c r="K172" s="116"/>
      <c r="L172" s="50" t="s">
        <v>1132</v>
      </c>
      <c r="M172" s="50" t="s">
        <v>1132</v>
      </c>
      <c r="N172" s="50" t="s">
        <v>9000</v>
      </c>
      <c r="O172" s="50" t="s">
        <v>9001</v>
      </c>
      <c r="P172" s="50" t="s">
        <v>9002</v>
      </c>
      <c r="Q172" s="50" t="s">
        <v>9003</v>
      </c>
      <c r="R172" s="116"/>
      <c r="S172" s="116"/>
      <c r="T172" s="116"/>
      <c r="U172" s="116"/>
      <c r="V172" s="116"/>
      <c r="W172" s="50">
        <v>7.0</v>
      </c>
      <c r="X172" s="50">
        <v>100.0</v>
      </c>
      <c r="Y172" s="50">
        <v>3.0</v>
      </c>
      <c r="Z172" s="50">
        <v>0.0</v>
      </c>
      <c r="AA172" s="50">
        <v>7.0</v>
      </c>
      <c r="AB172" s="50">
        <v>10.0</v>
      </c>
      <c r="AC172" s="50">
        <v>3.0</v>
      </c>
      <c r="AD172" s="50">
        <v>0.0</v>
      </c>
      <c r="AE172" s="50">
        <v>0.0</v>
      </c>
      <c r="AF172" s="116"/>
      <c r="AG172" s="116"/>
      <c r="AH172" s="116"/>
      <c r="AI172" s="116"/>
      <c r="AJ172" s="116"/>
      <c r="AK172" s="50" t="s">
        <v>9008</v>
      </c>
      <c r="AL172" s="50">
        <v>3.0</v>
      </c>
      <c r="AM172" s="50">
        <v>0.0</v>
      </c>
      <c r="AN172" s="50" t="s">
        <v>6901</v>
      </c>
      <c r="AO172" s="117">
        <v>4066.0</v>
      </c>
      <c r="AP172" s="50" t="s">
        <v>9009</v>
      </c>
      <c r="AQ172" s="50" t="s">
        <v>9010</v>
      </c>
      <c r="AR172" s="117">
        <v>171.0</v>
      </c>
    </row>
    <row r="173">
      <c r="A173" s="50" t="s">
        <v>8999</v>
      </c>
      <c r="B173" s="50" t="s">
        <v>6876</v>
      </c>
      <c r="C173" s="50" t="s">
        <v>6877</v>
      </c>
      <c r="D173" s="50" t="s">
        <v>8493</v>
      </c>
      <c r="E173" s="144">
        <v>43720.0</v>
      </c>
      <c r="F173" s="50" t="s">
        <v>9012</v>
      </c>
      <c r="G173" s="50">
        <v>65.0</v>
      </c>
      <c r="H173" s="50">
        <v>1.0</v>
      </c>
      <c r="I173" s="50">
        <v>99.0</v>
      </c>
      <c r="J173" s="116"/>
      <c r="K173" s="116"/>
      <c r="L173" s="50" t="s">
        <v>1134</v>
      </c>
      <c r="M173" s="50" t="s">
        <v>1134</v>
      </c>
      <c r="N173" s="50" t="s">
        <v>9000</v>
      </c>
      <c r="O173" s="50" t="s">
        <v>9001</v>
      </c>
      <c r="P173" s="50" t="s">
        <v>9002</v>
      </c>
      <c r="Q173" s="50" t="s">
        <v>9003</v>
      </c>
      <c r="R173" s="116"/>
      <c r="S173" s="116"/>
      <c r="T173" s="116"/>
      <c r="U173" s="116"/>
      <c r="V173" s="116"/>
      <c r="W173" s="50">
        <v>7.0</v>
      </c>
      <c r="X173" s="50">
        <v>100.0</v>
      </c>
      <c r="Y173" s="50">
        <v>3.0</v>
      </c>
      <c r="Z173" s="50">
        <v>0.0</v>
      </c>
      <c r="AA173" s="116"/>
      <c r="AB173" s="116"/>
      <c r="AC173" s="116"/>
      <c r="AD173" s="116"/>
      <c r="AE173" s="116"/>
      <c r="AF173" s="116"/>
      <c r="AG173" s="116"/>
      <c r="AH173" s="116"/>
      <c r="AI173" s="116"/>
      <c r="AJ173" s="116"/>
      <c r="AK173" s="50" t="s">
        <v>8213</v>
      </c>
      <c r="AL173" s="50">
        <v>3.0</v>
      </c>
      <c r="AM173" s="50">
        <v>0.0</v>
      </c>
      <c r="AN173" s="50" t="s">
        <v>6901</v>
      </c>
      <c r="AO173" s="117">
        <v>4067.0</v>
      </c>
      <c r="AP173" s="50" t="s">
        <v>9014</v>
      </c>
      <c r="AQ173" s="50" t="s">
        <v>9015</v>
      </c>
      <c r="AR173" s="117">
        <v>172.0</v>
      </c>
    </row>
    <row r="174">
      <c r="A174" s="50" t="s">
        <v>9016</v>
      </c>
      <c r="B174" s="50" t="s">
        <v>6876</v>
      </c>
      <c r="C174" s="50" t="s">
        <v>6877</v>
      </c>
      <c r="D174" s="50" t="s">
        <v>8493</v>
      </c>
      <c r="E174" s="144">
        <v>43720.0</v>
      </c>
      <c r="F174" s="50" t="s">
        <v>9020</v>
      </c>
      <c r="G174" s="50">
        <v>33.0</v>
      </c>
      <c r="H174" s="50">
        <v>1.0</v>
      </c>
      <c r="I174" s="50">
        <v>98.0</v>
      </c>
      <c r="J174" s="116"/>
      <c r="K174" s="116"/>
      <c r="L174" s="50" t="s">
        <v>1138</v>
      </c>
      <c r="M174" s="50" t="s">
        <v>1138</v>
      </c>
      <c r="N174" s="50" t="s">
        <v>9001</v>
      </c>
      <c r="O174" s="50" t="s">
        <v>9001</v>
      </c>
      <c r="P174" s="50" t="s">
        <v>9002</v>
      </c>
      <c r="Q174" s="50" t="s">
        <v>9003</v>
      </c>
      <c r="R174" s="116"/>
      <c r="S174" s="116"/>
      <c r="T174" s="116"/>
      <c r="U174" s="116"/>
      <c r="V174" s="116"/>
      <c r="W174" s="50">
        <v>7.0</v>
      </c>
      <c r="X174" s="50">
        <v>100.0</v>
      </c>
      <c r="Y174" s="50">
        <v>3.0</v>
      </c>
      <c r="Z174" s="50">
        <v>0.0</v>
      </c>
      <c r="AA174" s="116"/>
      <c r="AB174" s="116"/>
      <c r="AC174" s="116"/>
      <c r="AD174" s="116"/>
      <c r="AE174" s="116"/>
      <c r="AF174" s="116"/>
      <c r="AG174" s="116"/>
      <c r="AH174" s="116"/>
      <c r="AI174" s="116"/>
      <c r="AJ174" s="116"/>
      <c r="AK174" s="50" t="s">
        <v>9024</v>
      </c>
      <c r="AL174" s="50">
        <v>3.0</v>
      </c>
      <c r="AM174" s="50">
        <v>0.0</v>
      </c>
      <c r="AN174" s="50" t="s">
        <v>6901</v>
      </c>
      <c r="AO174" s="117">
        <v>4068.0</v>
      </c>
      <c r="AP174" s="50" t="s">
        <v>9025</v>
      </c>
      <c r="AQ174" s="50" t="s">
        <v>9026</v>
      </c>
      <c r="AR174" s="117">
        <v>173.0</v>
      </c>
    </row>
    <row r="175">
      <c r="A175" s="50" t="s">
        <v>9020</v>
      </c>
      <c r="B175" s="50" t="s">
        <v>6876</v>
      </c>
      <c r="C175" s="50" t="s">
        <v>6877</v>
      </c>
      <c r="D175" s="50" t="s">
        <v>8493</v>
      </c>
      <c r="E175" s="144">
        <v>43720.0</v>
      </c>
      <c r="F175" s="50" t="s">
        <v>9029</v>
      </c>
      <c r="G175" s="50">
        <v>59.0</v>
      </c>
      <c r="H175" s="50">
        <v>1.0</v>
      </c>
      <c r="I175" s="50">
        <v>11.0</v>
      </c>
      <c r="J175" s="116"/>
      <c r="K175" s="116"/>
      <c r="L175" s="50" t="s">
        <v>1144</v>
      </c>
      <c r="M175" s="50" t="s">
        <v>1144</v>
      </c>
      <c r="N175" s="50" t="s">
        <v>9032</v>
      </c>
      <c r="O175" s="50" t="s">
        <v>9033</v>
      </c>
      <c r="P175" s="50" t="s">
        <v>9034</v>
      </c>
      <c r="Q175" s="50" t="s">
        <v>9035</v>
      </c>
      <c r="R175" s="116"/>
      <c r="S175" s="116"/>
      <c r="T175" s="116"/>
      <c r="U175" s="116"/>
      <c r="V175" s="116"/>
      <c r="W175" s="50">
        <v>4.0</v>
      </c>
      <c r="X175" s="50">
        <v>1.0</v>
      </c>
      <c r="Y175" s="50">
        <v>2.0</v>
      </c>
      <c r="Z175" s="116"/>
      <c r="AA175" s="50">
        <v>3.0</v>
      </c>
      <c r="AB175" s="50">
        <v>1.0</v>
      </c>
      <c r="AC175" s="50">
        <v>1.0</v>
      </c>
      <c r="AD175" s="116"/>
      <c r="AE175" s="50">
        <v>1.0</v>
      </c>
      <c r="AF175" s="50">
        <v>2.0</v>
      </c>
      <c r="AG175" s="50">
        <v>1.0</v>
      </c>
      <c r="AH175" s="50">
        <v>3.0</v>
      </c>
      <c r="AI175" s="50">
        <v>12.0</v>
      </c>
      <c r="AJ175" s="116"/>
      <c r="AK175" s="50" t="s">
        <v>9042</v>
      </c>
      <c r="AL175" s="50">
        <v>3.0</v>
      </c>
      <c r="AM175" s="50">
        <v>0.0</v>
      </c>
      <c r="AN175" s="50" t="s">
        <v>6901</v>
      </c>
      <c r="AO175" s="117">
        <v>4069.0</v>
      </c>
      <c r="AP175" s="50" t="s">
        <v>9043</v>
      </c>
      <c r="AQ175" s="50" t="s">
        <v>9044</v>
      </c>
      <c r="AR175" s="117">
        <v>174.0</v>
      </c>
    </row>
    <row r="176">
      <c r="A176" s="50" t="s">
        <v>9029</v>
      </c>
      <c r="B176" s="50" t="s">
        <v>6876</v>
      </c>
      <c r="C176" s="50" t="s">
        <v>6877</v>
      </c>
      <c r="D176" s="50" t="s">
        <v>8493</v>
      </c>
      <c r="E176" s="144">
        <v>43720.0</v>
      </c>
      <c r="F176" s="50" t="s">
        <v>9047</v>
      </c>
      <c r="G176" s="50">
        <v>59.0</v>
      </c>
      <c r="H176" s="50">
        <v>1.0</v>
      </c>
      <c r="I176" s="50">
        <v>99.0</v>
      </c>
      <c r="J176" s="116"/>
      <c r="K176" s="116"/>
      <c r="L176" s="50" t="s">
        <v>1147</v>
      </c>
      <c r="M176" s="50" t="s">
        <v>1147</v>
      </c>
      <c r="N176" s="50" t="s">
        <v>9032</v>
      </c>
      <c r="O176" s="50" t="s">
        <v>9048</v>
      </c>
      <c r="P176" s="50" t="s">
        <v>9049</v>
      </c>
      <c r="Q176" s="50" t="s">
        <v>9050</v>
      </c>
      <c r="R176" s="116"/>
      <c r="S176" s="116"/>
      <c r="T176" s="116"/>
      <c r="U176" s="116"/>
      <c r="V176" s="116"/>
      <c r="W176" s="50">
        <v>7.0</v>
      </c>
      <c r="X176" s="50">
        <v>100.0</v>
      </c>
      <c r="Y176" s="50">
        <v>3.0</v>
      </c>
      <c r="Z176" s="50">
        <v>0.0</v>
      </c>
      <c r="AA176" s="116"/>
      <c r="AB176" s="116"/>
      <c r="AC176" s="116"/>
      <c r="AD176" s="116"/>
      <c r="AE176" s="116"/>
      <c r="AF176" s="116"/>
      <c r="AG176" s="116"/>
      <c r="AH176" s="116"/>
      <c r="AI176" s="116"/>
      <c r="AJ176" s="116"/>
      <c r="AK176" s="50" t="s">
        <v>8213</v>
      </c>
      <c r="AL176" s="50">
        <v>3.0</v>
      </c>
      <c r="AM176" s="50">
        <v>0.0</v>
      </c>
      <c r="AN176" s="50" t="s">
        <v>6901</v>
      </c>
      <c r="AO176" s="117">
        <v>4070.0</v>
      </c>
      <c r="AP176" s="50" t="s">
        <v>9055</v>
      </c>
      <c r="AQ176" s="50" t="s">
        <v>9056</v>
      </c>
      <c r="AR176" s="117">
        <v>175.0</v>
      </c>
    </row>
    <row r="177">
      <c r="A177" s="50" t="s">
        <v>9047</v>
      </c>
      <c r="B177" s="50" t="s">
        <v>6876</v>
      </c>
      <c r="C177" s="50" t="s">
        <v>6877</v>
      </c>
      <c r="D177" s="50" t="s">
        <v>8493</v>
      </c>
      <c r="E177" s="144">
        <v>43720.0</v>
      </c>
      <c r="F177" s="50" t="s">
        <v>9057</v>
      </c>
      <c r="G177" s="50">
        <v>57.0</v>
      </c>
      <c r="H177" s="50">
        <v>1.0</v>
      </c>
      <c r="I177" s="50">
        <v>99.0</v>
      </c>
      <c r="J177" s="116"/>
      <c r="K177" s="116"/>
      <c r="L177" s="50" t="s">
        <v>1141</v>
      </c>
      <c r="M177" s="50" t="s">
        <v>1141</v>
      </c>
      <c r="N177" s="50" t="s">
        <v>9032</v>
      </c>
      <c r="O177" s="50" t="s">
        <v>9048</v>
      </c>
      <c r="P177" s="50" t="s">
        <v>9049</v>
      </c>
      <c r="Q177" s="50" t="s">
        <v>9050</v>
      </c>
      <c r="R177" s="116"/>
      <c r="S177" s="116"/>
      <c r="T177" s="116"/>
      <c r="U177" s="116"/>
      <c r="V177" s="116"/>
      <c r="W177" s="50">
        <v>7.0</v>
      </c>
      <c r="X177" s="50">
        <v>100.0</v>
      </c>
      <c r="Y177" s="50">
        <v>3.0</v>
      </c>
      <c r="Z177" s="50">
        <v>0.0</v>
      </c>
      <c r="AA177" s="116"/>
      <c r="AB177" s="116"/>
      <c r="AC177" s="116"/>
      <c r="AD177" s="116"/>
      <c r="AE177" s="116"/>
      <c r="AF177" s="116"/>
      <c r="AG177" s="116"/>
      <c r="AH177" s="116"/>
      <c r="AI177" s="116"/>
      <c r="AJ177" s="116"/>
      <c r="AK177" s="50" t="s">
        <v>9061</v>
      </c>
      <c r="AL177" s="50">
        <v>4.0</v>
      </c>
      <c r="AM177" s="50">
        <v>0.0</v>
      </c>
      <c r="AN177" s="50" t="s">
        <v>6901</v>
      </c>
      <c r="AO177" s="117">
        <v>4081.0</v>
      </c>
      <c r="AP177" s="50" t="s">
        <v>9065</v>
      </c>
      <c r="AQ177" s="50" t="s">
        <v>9067</v>
      </c>
      <c r="AR177" s="117">
        <v>176.0</v>
      </c>
    </row>
    <row r="178">
      <c r="A178" s="50" t="s">
        <v>9057</v>
      </c>
      <c r="B178" s="50" t="s">
        <v>6876</v>
      </c>
      <c r="C178" s="50" t="s">
        <v>6877</v>
      </c>
      <c r="D178" s="50" t="s">
        <v>8493</v>
      </c>
      <c r="E178" s="144">
        <v>43720.0</v>
      </c>
      <c r="F178" s="50" t="s">
        <v>9068</v>
      </c>
      <c r="G178" s="50">
        <v>33.0</v>
      </c>
      <c r="H178" s="50">
        <v>1.0</v>
      </c>
      <c r="I178" s="50">
        <v>98.0</v>
      </c>
      <c r="J178" s="116"/>
      <c r="K178" s="116"/>
      <c r="L178" s="50" t="s">
        <v>1152</v>
      </c>
      <c r="M178" s="50" t="s">
        <v>1152</v>
      </c>
      <c r="N178" s="50" t="s">
        <v>9071</v>
      </c>
      <c r="O178" s="50" t="s">
        <v>9071</v>
      </c>
      <c r="P178" s="50" t="s">
        <v>9072</v>
      </c>
      <c r="Q178" s="50" t="s">
        <v>9073</v>
      </c>
      <c r="R178" s="116"/>
      <c r="S178" s="116"/>
      <c r="T178" s="116"/>
      <c r="U178" s="116"/>
      <c r="V178" s="116"/>
      <c r="W178" s="50">
        <v>7.0</v>
      </c>
      <c r="X178" s="50">
        <v>100.0</v>
      </c>
      <c r="Y178" s="50">
        <v>3.0</v>
      </c>
      <c r="Z178" s="50">
        <v>0.0</v>
      </c>
      <c r="AA178" s="116"/>
      <c r="AB178" s="116"/>
      <c r="AC178" s="116"/>
      <c r="AD178" s="116"/>
      <c r="AE178" s="116"/>
      <c r="AF178" s="116"/>
      <c r="AG178" s="116"/>
      <c r="AH178" s="116"/>
      <c r="AI178" s="116"/>
      <c r="AJ178" s="116"/>
      <c r="AK178" s="50" t="s">
        <v>9075</v>
      </c>
      <c r="AL178" s="50">
        <v>4.0</v>
      </c>
      <c r="AM178" s="50">
        <v>0.0</v>
      </c>
      <c r="AN178" s="50" t="s">
        <v>6901</v>
      </c>
      <c r="AO178" s="117">
        <v>4082.0</v>
      </c>
      <c r="AP178" s="50" t="s">
        <v>9078</v>
      </c>
      <c r="AQ178" s="50" t="s">
        <v>9080</v>
      </c>
      <c r="AR178" s="117">
        <v>177.0</v>
      </c>
    </row>
    <row r="179">
      <c r="A179" s="50" t="s">
        <v>9068</v>
      </c>
      <c r="B179" s="50" t="s">
        <v>6876</v>
      </c>
      <c r="C179" s="50" t="s">
        <v>6877</v>
      </c>
      <c r="D179" s="50" t="s">
        <v>8493</v>
      </c>
      <c r="E179" s="144">
        <v>43720.0</v>
      </c>
      <c r="F179" s="50" t="s">
        <v>9082</v>
      </c>
      <c r="G179" s="50">
        <v>58.0</v>
      </c>
      <c r="H179" s="50">
        <v>1.0</v>
      </c>
      <c r="I179" s="50">
        <v>10.0</v>
      </c>
      <c r="J179" s="116"/>
      <c r="K179" s="116"/>
      <c r="L179" s="50" t="s">
        <v>1153</v>
      </c>
      <c r="M179" s="50" t="s">
        <v>1153</v>
      </c>
      <c r="N179" s="50" t="s">
        <v>9084</v>
      </c>
      <c r="O179" s="50" t="s">
        <v>9085</v>
      </c>
      <c r="P179" s="50" t="s">
        <v>9087</v>
      </c>
      <c r="Q179" s="50" t="s">
        <v>9088</v>
      </c>
      <c r="R179" s="116"/>
      <c r="S179" s="50">
        <v>148.0</v>
      </c>
      <c r="T179" s="116"/>
      <c r="U179" s="116"/>
      <c r="V179" s="116"/>
      <c r="W179" s="50">
        <v>7.0</v>
      </c>
      <c r="X179" s="50">
        <v>10.0</v>
      </c>
      <c r="Y179" s="50">
        <v>1.0</v>
      </c>
      <c r="Z179" s="116"/>
      <c r="AA179" s="50">
        <v>7.0</v>
      </c>
      <c r="AB179" s="50">
        <v>1.0</v>
      </c>
      <c r="AC179" s="50">
        <v>3.0</v>
      </c>
      <c r="AD179" s="50">
        <v>3.0</v>
      </c>
      <c r="AE179" s="50">
        <v>1.0</v>
      </c>
      <c r="AF179" s="50">
        <v>6.0</v>
      </c>
      <c r="AG179" s="50">
        <v>1.0</v>
      </c>
      <c r="AH179" s="50">
        <v>3.0</v>
      </c>
      <c r="AI179" s="50">
        <v>0.0</v>
      </c>
      <c r="AJ179" s="116"/>
      <c r="AK179" s="50" t="s">
        <v>9090</v>
      </c>
      <c r="AL179" s="50">
        <v>4.0</v>
      </c>
      <c r="AM179" s="50">
        <v>0.0</v>
      </c>
      <c r="AN179" s="50" t="s">
        <v>6901</v>
      </c>
      <c r="AO179" s="117">
        <v>4083.0</v>
      </c>
      <c r="AP179" s="50" t="s">
        <v>9091</v>
      </c>
      <c r="AQ179" s="50" t="s">
        <v>9092</v>
      </c>
      <c r="AR179" s="117">
        <v>178.0</v>
      </c>
    </row>
    <row r="180">
      <c r="A180" s="50" t="s">
        <v>9082</v>
      </c>
      <c r="B180" s="50" t="s">
        <v>6876</v>
      </c>
      <c r="C180" s="50" t="s">
        <v>6877</v>
      </c>
      <c r="D180" s="50" t="s">
        <v>8493</v>
      </c>
      <c r="E180" s="144">
        <v>43720.0</v>
      </c>
      <c r="F180" s="50" t="s">
        <v>9096</v>
      </c>
      <c r="G180" s="50">
        <v>58.0</v>
      </c>
      <c r="H180" s="50">
        <v>1.0</v>
      </c>
      <c r="I180" s="50">
        <v>10.0</v>
      </c>
      <c r="J180" s="116"/>
      <c r="K180" s="116"/>
      <c r="L180" s="50" t="s">
        <v>9098</v>
      </c>
      <c r="M180" s="50" t="s">
        <v>9098</v>
      </c>
      <c r="N180" s="50" t="s">
        <v>9084</v>
      </c>
      <c r="O180" s="50" t="s">
        <v>9085</v>
      </c>
      <c r="P180" s="50" t="s">
        <v>9087</v>
      </c>
      <c r="Q180" s="50" t="s">
        <v>9088</v>
      </c>
      <c r="R180" s="116"/>
      <c r="S180" s="50">
        <v>109.7</v>
      </c>
      <c r="T180" s="116"/>
      <c r="U180" s="116"/>
      <c r="V180" s="116"/>
      <c r="W180" s="50">
        <v>7.0</v>
      </c>
      <c r="X180" s="50">
        <v>10.0</v>
      </c>
      <c r="Y180" s="50">
        <v>2.0</v>
      </c>
      <c r="Z180" s="116"/>
      <c r="AA180" s="50">
        <v>7.0</v>
      </c>
      <c r="AB180" s="50">
        <v>1.0</v>
      </c>
      <c r="AC180" s="50">
        <v>2.0</v>
      </c>
      <c r="AD180" s="116"/>
      <c r="AE180" s="50">
        <v>1.0</v>
      </c>
      <c r="AF180" s="50">
        <v>6.0</v>
      </c>
      <c r="AG180" s="50">
        <v>1.0</v>
      </c>
      <c r="AH180" s="50">
        <v>3.0</v>
      </c>
      <c r="AI180" s="50">
        <v>0.0</v>
      </c>
      <c r="AJ180" s="116"/>
      <c r="AK180" s="50" t="s">
        <v>9101</v>
      </c>
      <c r="AL180" s="50">
        <v>4.0</v>
      </c>
      <c r="AM180" s="50">
        <v>0.0</v>
      </c>
      <c r="AN180" s="50" t="s">
        <v>6901</v>
      </c>
      <c r="AO180" s="117">
        <v>4084.0</v>
      </c>
      <c r="AP180" s="50" t="s">
        <v>9102</v>
      </c>
      <c r="AQ180" s="50" t="s">
        <v>9103</v>
      </c>
      <c r="AR180" s="117">
        <v>179.0</v>
      </c>
    </row>
    <row r="181">
      <c r="A181" s="50" t="s">
        <v>9096</v>
      </c>
      <c r="B181" s="50" t="s">
        <v>6876</v>
      </c>
      <c r="C181" s="50" t="s">
        <v>6877</v>
      </c>
      <c r="D181" s="50" t="s">
        <v>8493</v>
      </c>
      <c r="E181" s="144">
        <v>43720.0</v>
      </c>
      <c r="F181" s="50" t="s">
        <v>9105</v>
      </c>
      <c r="G181" s="50">
        <v>58.0</v>
      </c>
      <c r="H181" s="50">
        <v>1.0</v>
      </c>
      <c r="I181" s="50">
        <v>10.0</v>
      </c>
      <c r="J181" s="116"/>
      <c r="K181" s="116"/>
      <c r="L181" s="50" t="s">
        <v>9108</v>
      </c>
      <c r="M181" s="50" t="s">
        <v>9108</v>
      </c>
      <c r="N181" s="50" t="s">
        <v>9084</v>
      </c>
      <c r="O181" s="50" t="s">
        <v>9085</v>
      </c>
      <c r="P181" s="50" t="s">
        <v>9087</v>
      </c>
      <c r="Q181" s="50" t="s">
        <v>9088</v>
      </c>
      <c r="R181" s="116"/>
      <c r="S181" s="50">
        <v>111.0</v>
      </c>
      <c r="T181" s="116"/>
      <c r="U181" s="116"/>
      <c r="V181" s="116"/>
      <c r="W181" s="50">
        <v>7.0</v>
      </c>
      <c r="X181" s="50">
        <v>10.0</v>
      </c>
      <c r="Y181" s="50">
        <v>2.0</v>
      </c>
      <c r="Z181" s="116"/>
      <c r="AA181" s="50">
        <v>7.0</v>
      </c>
      <c r="AB181" s="50">
        <v>1.0</v>
      </c>
      <c r="AC181" s="50">
        <v>2.0</v>
      </c>
      <c r="AD181" s="116"/>
      <c r="AE181" s="50">
        <v>1.0</v>
      </c>
      <c r="AF181" s="50">
        <v>6.0</v>
      </c>
      <c r="AG181" s="50">
        <v>1.0</v>
      </c>
      <c r="AH181" s="50">
        <v>3.0</v>
      </c>
      <c r="AI181" s="50">
        <v>0.0</v>
      </c>
      <c r="AJ181" s="116"/>
      <c r="AK181" s="50" t="s">
        <v>9114</v>
      </c>
      <c r="AL181" s="50">
        <v>4.0</v>
      </c>
      <c r="AM181" s="50">
        <v>0.0</v>
      </c>
      <c r="AN181" s="50" t="s">
        <v>6901</v>
      </c>
      <c r="AO181" s="117">
        <v>4085.0</v>
      </c>
      <c r="AP181" s="50" t="s">
        <v>9115</v>
      </c>
      <c r="AQ181" s="50" t="s">
        <v>9116</v>
      </c>
      <c r="AR181" s="117">
        <v>180.0</v>
      </c>
    </row>
    <row r="182">
      <c r="A182" s="50" t="s">
        <v>9105</v>
      </c>
      <c r="B182" s="50" t="s">
        <v>6876</v>
      </c>
      <c r="C182" s="50" t="s">
        <v>6877</v>
      </c>
      <c r="D182" s="50" t="s">
        <v>8493</v>
      </c>
      <c r="E182" s="144">
        <v>43720.0</v>
      </c>
      <c r="F182" s="50" t="s">
        <v>9117</v>
      </c>
      <c r="G182" s="50">
        <v>58.0</v>
      </c>
      <c r="H182" s="50">
        <v>1.0</v>
      </c>
      <c r="I182" s="50">
        <v>8.0</v>
      </c>
      <c r="J182" s="116"/>
      <c r="K182" s="116"/>
      <c r="L182" s="50" t="s">
        <v>1165</v>
      </c>
      <c r="M182" s="50" t="s">
        <v>1165</v>
      </c>
      <c r="N182" s="50" t="s">
        <v>9084</v>
      </c>
      <c r="O182" s="50" t="s">
        <v>9085</v>
      </c>
      <c r="P182" s="50" t="s">
        <v>9087</v>
      </c>
      <c r="Q182" s="50" t="s">
        <v>9088</v>
      </c>
      <c r="R182" s="116"/>
      <c r="S182" s="116"/>
      <c r="T182" s="116"/>
      <c r="U182" s="50">
        <v>112.6</v>
      </c>
      <c r="V182" s="116"/>
      <c r="W182" s="50">
        <v>5.0</v>
      </c>
      <c r="X182" s="50">
        <v>1.0</v>
      </c>
      <c r="Y182" s="50">
        <v>3.0</v>
      </c>
      <c r="Z182" s="50">
        <v>0.0</v>
      </c>
      <c r="AA182" s="50">
        <v>4.0</v>
      </c>
      <c r="AB182" s="50">
        <v>1.0</v>
      </c>
      <c r="AC182" s="50">
        <v>3.0</v>
      </c>
      <c r="AD182" s="50">
        <v>0.0</v>
      </c>
      <c r="AE182" s="50">
        <v>0.0</v>
      </c>
      <c r="AF182" s="116"/>
      <c r="AG182" s="116"/>
      <c r="AH182" s="116"/>
      <c r="AI182" s="116"/>
      <c r="AJ182" s="116"/>
      <c r="AK182" s="50" t="s">
        <v>9122</v>
      </c>
      <c r="AL182" s="50">
        <v>4.0</v>
      </c>
      <c r="AM182" s="50">
        <v>0.0</v>
      </c>
      <c r="AN182" s="50" t="s">
        <v>6901</v>
      </c>
      <c r="AO182" s="117">
        <v>4086.0</v>
      </c>
      <c r="AP182" s="50" t="s">
        <v>9123</v>
      </c>
      <c r="AQ182" s="50" t="s">
        <v>9124</v>
      </c>
      <c r="AR182" s="117">
        <v>181.0</v>
      </c>
    </row>
    <row r="183">
      <c r="A183" s="50" t="s">
        <v>9117</v>
      </c>
      <c r="B183" s="50" t="s">
        <v>6876</v>
      </c>
      <c r="C183" s="50" t="s">
        <v>6877</v>
      </c>
      <c r="D183" s="50" t="s">
        <v>8493</v>
      </c>
      <c r="E183" s="144">
        <v>43720.0</v>
      </c>
      <c r="F183" s="50" t="s">
        <v>9127</v>
      </c>
      <c r="G183" s="50">
        <v>58.0</v>
      </c>
      <c r="H183" s="50">
        <v>1.0</v>
      </c>
      <c r="I183" s="50">
        <v>99.0</v>
      </c>
      <c r="J183" s="116"/>
      <c r="K183" s="116"/>
      <c r="L183" s="50" t="s">
        <v>1155</v>
      </c>
      <c r="M183" s="50" t="s">
        <v>1155</v>
      </c>
      <c r="N183" s="50" t="s">
        <v>9084</v>
      </c>
      <c r="O183" s="50" t="s">
        <v>9128</v>
      </c>
      <c r="P183" s="50" t="s">
        <v>9129</v>
      </c>
      <c r="Q183" s="50" t="s">
        <v>9130</v>
      </c>
      <c r="R183" s="116"/>
      <c r="S183" s="116"/>
      <c r="T183" s="116"/>
      <c r="U183" s="116"/>
      <c r="V183" s="116"/>
      <c r="W183" s="50">
        <v>7.0</v>
      </c>
      <c r="X183" s="50">
        <v>100.0</v>
      </c>
      <c r="Y183" s="50">
        <v>3.0</v>
      </c>
      <c r="Z183" s="50">
        <v>0.0</v>
      </c>
      <c r="AA183" s="116"/>
      <c r="AB183" s="116"/>
      <c r="AC183" s="116"/>
      <c r="AD183" s="116"/>
      <c r="AE183" s="116"/>
      <c r="AF183" s="116"/>
      <c r="AG183" s="116"/>
      <c r="AH183" s="116"/>
      <c r="AI183" s="116"/>
      <c r="AJ183" s="116"/>
      <c r="AK183" s="50" t="s">
        <v>9135</v>
      </c>
      <c r="AL183" s="50">
        <v>4.0</v>
      </c>
      <c r="AM183" s="50">
        <v>0.0</v>
      </c>
      <c r="AN183" s="50" t="s">
        <v>6901</v>
      </c>
      <c r="AO183" s="117">
        <v>4087.0</v>
      </c>
      <c r="AP183" s="50" t="s">
        <v>9137</v>
      </c>
      <c r="AQ183" s="50" t="s">
        <v>9138</v>
      </c>
      <c r="AR183" s="117">
        <v>182.0</v>
      </c>
    </row>
    <row r="184">
      <c r="A184" s="50" t="s">
        <v>9127</v>
      </c>
      <c r="B184" s="50" t="s">
        <v>6876</v>
      </c>
      <c r="C184" s="50" t="s">
        <v>6877</v>
      </c>
      <c r="D184" s="50" t="s">
        <v>8493</v>
      </c>
      <c r="E184" s="144">
        <v>43720.0</v>
      </c>
      <c r="F184" s="50" t="s">
        <v>9140</v>
      </c>
      <c r="G184" s="50">
        <v>58.0</v>
      </c>
      <c r="H184" s="50">
        <v>1.0</v>
      </c>
      <c r="I184" s="50">
        <v>99.0</v>
      </c>
      <c r="J184" s="116"/>
      <c r="K184" s="116"/>
      <c r="L184" s="50" t="s">
        <v>1162</v>
      </c>
      <c r="M184" s="50" t="s">
        <v>1162</v>
      </c>
      <c r="N184" s="50" t="s">
        <v>9084</v>
      </c>
      <c r="O184" s="50" t="s">
        <v>9128</v>
      </c>
      <c r="P184" s="50" t="s">
        <v>9142</v>
      </c>
      <c r="Q184" s="50" t="s">
        <v>9143</v>
      </c>
      <c r="R184" s="116"/>
      <c r="S184" s="116"/>
      <c r="T184" s="116"/>
      <c r="U184" s="116"/>
      <c r="V184" s="116"/>
      <c r="W184" s="50">
        <v>7.0</v>
      </c>
      <c r="X184" s="50">
        <v>100.0</v>
      </c>
      <c r="Y184" s="50">
        <v>3.0</v>
      </c>
      <c r="Z184" s="50">
        <v>0.0</v>
      </c>
      <c r="AA184" s="116"/>
      <c r="AB184" s="116"/>
      <c r="AC184" s="116"/>
      <c r="AD184" s="116"/>
      <c r="AE184" s="116"/>
      <c r="AF184" s="116"/>
      <c r="AG184" s="116"/>
      <c r="AH184" s="116"/>
      <c r="AI184" s="116"/>
      <c r="AJ184" s="116"/>
      <c r="AK184" s="50" t="s">
        <v>9144</v>
      </c>
      <c r="AL184" s="50">
        <v>4.0</v>
      </c>
      <c r="AM184" s="50">
        <v>0.0</v>
      </c>
      <c r="AN184" s="50" t="s">
        <v>6901</v>
      </c>
      <c r="AO184" s="117">
        <v>4088.0</v>
      </c>
      <c r="AP184" s="50" t="s">
        <v>9148</v>
      </c>
      <c r="AQ184" s="50" t="s">
        <v>9150</v>
      </c>
      <c r="AR184" s="117">
        <v>183.0</v>
      </c>
    </row>
    <row r="185">
      <c r="A185" s="50" t="s">
        <v>9151</v>
      </c>
      <c r="B185" s="50" t="s">
        <v>6876</v>
      </c>
      <c r="C185" s="50" t="s">
        <v>6877</v>
      </c>
      <c r="D185" s="50" t="s">
        <v>8493</v>
      </c>
      <c r="E185" s="144">
        <v>43720.0</v>
      </c>
      <c r="F185" s="50" t="s">
        <v>9152</v>
      </c>
      <c r="G185" s="50">
        <v>33.0</v>
      </c>
      <c r="H185" s="50">
        <v>1.0</v>
      </c>
      <c r="I185" s="50">
        <v>98.0</v>
      </c>
      <c r="J185" s="116"/>
      <c r="K185" s="116"/>
      <c r="L185" s="50" t="s">
        <v>1167</v>
      </c>
      <c r="M185" s="50" t="s">
        <v>1167</v>
      </c>
      <c r="N185" s="50" t="s">
        <v>9155</v>
      </c>
      <c r="O185" s="50" t="s">
        <v>9155</v>
      </c>
      <c r="P185" s="50" t="s">
        <v>9128</v>
      </c>
      <c r="Q185" s="50" t="s">
        <v>9156</v>
      </c>
      <c r="R185" s="116"/>
      <c r="S185" s="116"/>
      <c r="T185" s="116"/>
      <c r="U185" s="116"/>
      <c r="V185" s="116"/>
      <c r="W185" s="50">
        <v>7.0</v>
      </c>
      <c r="X185" s="50">
        <v>100.0</v>
      </c>
      <c r="Y185" s="50">
        <v>3.0</v>
      </c>
      <c r="Z185" s="50">
        <v>0.0</v>
      </c>
      <c r="AA185" s="116"/>
      <c r="AB185" s="116"/>
      <c r="AC185" s="116"/>
      <c r="AD185" s="116"/>
      <c r="AE185" s="116"/>
      <c r="AF185" s="116"/>
      <c r="AG185" s="116"/>
      <c r="AH185" s="116"/>
      <c r="AI185" s="116"/>
      <c r="AJ185" s="116"/>
      <c r="AK185" s="50" t="s">
        <v>8213</v>
      </c>
      <c r="AL185" s="50">
        <v>4.0</v>
      </c>
      <c r="AM185" s="50">
        <v>0.0</v>
      </c>
      <c r="AN185" s="50" t="s">
        <v>6901</v>
      </c>
      <c r="AO185" s="117">
        <v>4089.0</v>
      </c>
      <c r="AP185" s="50" t="s">
        <v>9162</v>
      </c>
      <c r="AQ185" s="50" t="s">
        <v>9163</v>
      </c>
      <c r="AR185" s="117">
        <v>184.0</v>
      </c>
    </row>
    <row r="186">
      <c r="A186" s="50" t="s">
        <v>9164</v>
      </c>
      <c r="B186" s="50" t="s">
        <v>6876</v>
      </c>
      <c r="C186" s="50" t="s">
        <v>6877</v>
      </c>
      <c r="D186" s="50" t="s">
        <v>8493</v>
      </c>
      <c r="E186" s="144">
        <v>43720.0</v>
      </c>
      <c r="F186" s="50" t="s">
        <v>9166</v>
      </c>
      <c r="G186" s="50">
        <v>58.0</v>
      </c>
      <c r="H186" s="50">
        <v>1.0</v>
      </c>
      <c r="I186" s="50">
        <v>3.0</v>
      </c>
      <c r="J186" s="116"/>
      <c r="K186" s="116"/>
      <c r="L186" s="50" t="s">
        <v>1168</v>
      </c>
      <c r="M186" s="50" t="s">
        <v>1168</v>
      </c>
      <c r="N186" s="50" t="s">
        <v>9169</v>
      </c>
      <c r="O186" s="50" t="s">
        <v>9170</v>
      </c>
      <c r="P186" s="50" t="s">
        <v>9171</v>
      </c>
      <c r="Q186" s="50" t="s">
        <v>9172</v>
      </c>
      <c r="R186" s="116"/>
      <c r="S186" s="116"/>
      <c r="T186" s="116"/>
      <c r="U186" s="116"/>
      <c r="V186" s="116"/>
      <c r="W186" s="50">
        <v>7.0</v>
      </c>
      <c r="X186" s="50">
        <v>100.0</v>
      </c>
      <c r="Y186" s="50">
        <v>3.0</v>
      </c>
      <c r="Z186" s="50">
        <v>1.0</v>
      </c>
      <c r="AA186" s="50">
        <v>7.0</v>
      </c>
      <c r="AB186" s="50">
        <v>10.0</v>
      </c>
      <c r="AC186" s="50">
        <v>3.0</v>
      </c>
      <c r="AD186" s="50">
        <v>0.0</v>
      </c>
      <c r="AE186" s="50">
        <v>0.0</v>
      </c>
      <c r="AF186" s="116"/>
      <c r="AG186" s="116"/>
      <c r="AH186" s="116"/>
      <c r="AI186" s="116"/>
      <c r="AJ186" s="116"/>
      <c r="AK186" s="50" t="s">
        <v>9173</v>
      </c>
      <c r="AL186" s="50">
        <v>6.0</v>
      </c>
      <c r="AM186" s="50">
        <v>0.0</v>
      </c>
      <c r="AN186" s="50" t="s">
        <v>6901</v>
      </c>
      <c r="AO186" s="117">
        <v>4090.0</v>
      </c>
      <c r="AP186" s="50" t="s">
        <v>9176</v>
      </c>
      <c r="AQ186" s="50" t="s">
        <v>9177</v>
      </c>
      <c r="AR186" s="117">
        <v>185.0</v>
      </c>
    </row>
    <row r="187">
      <c r="A187" s="50" t="s">
        <v>9166</v>
      </c>
      <c r="B187" s="50" t="s">
        <v>6876</v>
      </c>
      <c r="C187" s="50" t="s">
        <v>6877</v>
      </c>
      <c r="D187" s="50" t="s">
        <v>8493</v>
      </c>
      <c r="E187" s="144">
        <v>43720.0</v>
      </c>
      <c r="F187" s="50" t="s">
        <v>9180</v>
      </c>
      <c r="G187" s="50">
        <v>58.0</v>
      </c>
      <c r="H187" s="50">
        <v>1.0</v>
      </c>
      <c r="I187" s="50">
        <v>99.0</v>
      </c>
      <c r="J187" s="116"/>
      <c r="K187" s="116"/>
      <c r="L187" s="50" t="s">
        <v>1169</v>
      </c>
      <c r="M187" s="50" t="s">
        <v>1169</v>
      </c>
      <c r="N187" s="50" t="s">
        <v>9169</v>
      </c>
      <c r="O187" s="50" t="s">
        <v>9170</v>
      </c>
      <c r="P187" s="50" t="s">
        <v>9171</v>
      </c>
      <c r="Q187" s="50" t="s">
        <v>9172</v>
      </c>
      <c r="R187" s="116"/>
      <c r="S187" s="116"/>
      <c r="T187" s="116"/>
      <c r="U187" s="116"/>
      <c r="V187" s="116"/>
      <c r="W187" s="50">
        <v>7.0</v>
      </c>
      <c r="X187" s="50">
        <v>100.0</v>
      </c>
      <c r="Y187" s="50">
        <v>3.0</v>
      </c>
      <c r="Z187" s="50">
        <v>0.0</v>
      </c>
      <c r="AA187" s="116"/>
      <c r="AB187" s="116"/>
      <c r="AC187" s="116"/>
      <c r="AD187" s="116"/>
      <c r="AE187" s="116"/>
      <c r="AF187" s="116"/>
      <c r="AG187" s="116"/>
      <c r="AH187" s="116"/>
      <c r="AI187" s="116"/>
      <c r="AJ187" s="116"/>
      <c r="AK187" s="50" t="s">
        <v>9183</v>
      </c>
      <c r="AL187" s="50">
        <v>6.0</v>
      </c>
      <c r="AM187" s="50">
        <v>0.0</v>
      </c>
      <c r="AN187" s="50" t="s">
        <v>6901</v>
      </c>
      <c r="AO187" s="117">
        <v>4091.0</v>
      </c>
      <c r="AP187" s="50" t="s">
        <v>9185</v>
      </c>
      <c r="AQ187" s="50" t="s">
        <v>9186</v>
      </c>
      <c r="AR187" s="117">
        <v>186.0</v>
      </c>
    </row>
    <row r="188">
      <c r="A188" s="50" t="s">
        <v>9180</v>
      </c>
      <c r="B188" s="50" t="s">
        <v>6876</v>
      </c>
      <c r="C188" s="50" t="s">
        <v>6877</v>
      </c>
      <c r="D188" s="50" t="s">
        <v>8493</v>
      </c>
      <c r="E188" s="144">
        <v>43720.0</v>
      </c>
      <c r="F188" s="50" t="s">
        <v>9191</v>
      </c>
      <c r="G188" s="50">
        <v>58.0</v>
      </c>
      <c r="H188" s="50">
        <v>1.0</v>
      </c>
      <c r="I188" s="50">
        <v>8.0</v>
      </c>
      <c r="J188" s="116"/>
      <c r="K188" s="116"/>
      <c r="L188" s="50" t="s">
        <v>1172</v>
      </c>
      <c r="M188" s="50" t="s">
        <v>1172</v>
      </c>
      <c r="N188" s="50" t="s">
        <v>9192</v>
      </c>
      <c r="O188" s="50" t="s">
        <v>9170</v>
      </c>
      <c r="P188" s="50" t="s">
        <v>9193</v>
      </c>
      <c r="Q188" s="50" t="s">
        <v>9194</v>
      </c>
      <c r="R188" s="116"/>
      <c r="S188" s="116"/>
      <c r="T188" s="116"/>
      <c r="U188" s="50">
        <v>111.9</v>
      </c>
      <c r="V188" s="116"/>
      <c r="W188" s="50">
        <v>5.0</v>
      </c>
      <c r="X188" s="50">
        <v>1.0</v>
      </c>
      <c r="Y188" s="50">
        <v>3.0</v>
      </c>
      <c r="Z188" s="50">
        <v>0.0</v>
      </c>
      <c r="AA188" s="50">
        <v>4.0</v>
      </c>
      <c r="AB188" s="50">
        <v>1.0</v>
      </c>
      <c r="AC188" s="50">
        <v>3.0</v>
      </c>
      <c r="AD188" s="50">
        <v>0.0</v>
      </c>
      <c r="AE188" s="50">
        <v>0.0</v>
      </c>
      <c r="AF188" s="116"/>
      <c r="AG188" s="116"/>
      <c r="AH188" s="116"/>
      <c r="AI188" s="116"/>
      <c r="AJ188" s="116"/>
      <c r="AK188" s="50" t="s">
        <v>9197</v>
      </c>
      <c r="AL188" s="50">
        <v>7.0</v>
      </c>
      <c r="AM188" s="50">
        <v>0.0</v>
      </c>
      <c r="AN188" s="50" t="s">
        <v>6901</v>
      </c>
      <c r="AO188" s="117">
        <v>4092.0</v>
      </c>
      <c r="AP188" s="50" t="s">
        <v>9198</v>
      </c>
      <c r="AQ188" s="50" t="s">
        <v>9199</v>
      </c>
      <c r="AR188" s="117">
        <v>187.0</v>
      </c>
    </row>
    <row r="189">
      <c r="A189" s="50" t="s">
        <v>9191</v>
      </c>
      <c r="B189" s="50" t="s">
        <v>6876</v>
      </c>
      <c r="C189" s="50" t="s">
        <v>6877</v>
      </c>
      <c r="D189" s="50" t="s">
        <v>8493</v>
      </c>
      <c r="E189" s="144">
        <v>43720.0</v>
      </c>
      <c r="F189" s="50" t="s">
        <v>9200</v>
      </c>
      <c r="G189" s="50">
        <v>58.0</v>
      </c>
      <c r="H189" s="50">
        <v>1.0</v>
      </c>
      <c r="I189" s="50">
        <v>99.0</v>
      </c>
      <c r="J189" s="116"/>
      <c r="K189" s="116"/>
      <c r="L189" s="50" t="s">
        <v>1174</v>
      </c>
      <c r="M189" s="50" t="s">
        <v>1174</v>
      </c>
      <c r="N189" s="50" t="s">
        <v>9192</v>
      </c>
      <c r="O189" s="50" t="s">
        <v>9170</v>
      </c>
      <c r="P189" s="50" t="s">
        <v>9205</v>
      </c>
      <c r="Q189" s="50" t="s">
        <v>9206</v>
      </c>
      <c r="R189" s="116"/>
      <c r="S189" s="116"/>
      <c r="T189" s="116"/>
      <c r="U189" s="116"/>
      <c r="V189" s="116"/>
      <c r="W189" s="50">
        <v>7.0</v>
      </c>
      <c r="X189" s="50">
        <v>100.0</v>
      </c>
      <c r="Y189" s="50">
        <v>3.0</v>
      </c>
      <c r="Z189" s="50">
        <v>0.0</v>
      </c>
      <c r="AA189" s="116"/>
      <c r="AB189" s="116"/>
      <c r="AC189" s="116"/>
      <c r="AD189" s="116"/>
      <c r="AE189" s="116"/>
      <c r="AF189" s="116"/>
      <c r="AG189" s="116"/>
      <c r="AH189" s="116"/>
      <c r="AI189" s="116"/>
      <c r="AJ189" s="116"/>
      <c r="AK189" s="50" t="s">
        <v>9209</v>
      </c>
      <c r="AL189" s="50">
        <v>6.0</v>
      </c>
      <c r="AM189" s="50">
        <v>0.0</v>
      </c>
      <c r="AN189" s="50" t="s">
        <v>6901</v>
      </c>
      <c r="AO189" s="117">
        <v>4093.0</v>
      </c>
      <c r="AP189" s="50" t="s">
        <v>9210</v>
      </c>
      <c r="AQ189" s="50" t="s">
        <v>9211</v>
      </c>
      <c r="AR189" s="117">
        <v>188.0</v>
      </c>
    </row>
    <row r="190">
      <c r="A190" s="50" t="s">
        <v>9200</v>
      </c>
      <c r="B190" s="50" t="s">
        <v>6876</v>
      </c>
      <c r="C190" s="50" t="s">
        <v>6877</v>
      </c>
      <c r="D190" s="50" t="s">
        <v>8493</v>
      </c>
      <c r="E190" s="144">
        <v>43720.0</v>
      </c>
      <c r="F190" s="50" t="s">
        <v>9212</v>
      </c>
      <c r="G190" s="50">
        <v>57.0</v>
      </c>
      <c r="H190" s="50">
        <v>1.0</v>
      </c>
      <c r="I190" s="50">
        <v>16.0</v>
      </c>
      <c r="J190" s="116"/>
      <c r="K190" s="116"/>
      <c r="L190" s="50" t="s">
        <v>1189</v>
      </c>
      <c r="M190" s="50" t="s">
        <v>1189</v>
      </c>
      <c r="N190" s="50" t="s">
        <v>9216</v>
      </c>
      <c r="O190" s="50" t="s">
        <v>9217</v>
      </c>
      <c r="P190" s="50" t="s">
        <v>9219</v>
      </c>
      <c r="Q190" s="50" t="s">
        <v>9221</v>
      </c>
      <c r="R190" s="116"/>
      <c r="S190" s="116"/>
      <c r="T190" s="116"/>
      <c r="U190" s="116"/>
      <c r="V190" s="116"/>
      <c r="W190" s="50">
        <v>4.0</v>
      </c>
      <c r="X190" s="50">
        <v>1.0</v>
      </c>
      <c r="Y190" s="50">
        <v>3.0</v>
      </c>
      <c r="Z190" s="50">
        <v>7.0</v>
      </c>
      <c r="AA190" s="50">
        <v>3.0</v>
      </c>
      <c r="AB190" s="50">
        <v>1.0</v>
      </c>
      <c r="AC190" s="50">
        <v>3.0</v>
      </c>
      <c r="AD190" s="50">
        <v>0.0</v>
      </c>
      <c r="AE190" s="50">
        <v>0.0</v>
      </c>
      <c r="AF190" s="116"/>
      <c r="AG190" s="116"/>
      <c r="AH190" s="116"/>
      <c r="AI190" s="116"/>
      <c r="AJ190" s="116"/>
      <c r="AK190" s="50" t="s">
        <v>9224</v>
      </c>
      <c r="AL190" s="50">
        <v>7.0</v>
      </c>
      <c r="AM190" s="50">
        <v>0.0</v>
      </c>
      <c r="AN190" s="50" t="s">
        <v>6901</v>
      </c>
      <c r="AO190" s="117">
        <v>4094.0</v>
      </c>
      <c r="AP190" s="50" t="s">
        <v>9225</v>
      </c>
      <c r="AQ190" s="50" t="s">
        <v>9226</v>
      </c>
      <c r="AR190" s="117">
        <v>189.0</v>
      </c>
    </row>
    <row r="191">
      <c r="A191" s="50" t="s">
        <v>9212</v>
      </c>
      <c r="B191" s="50" t="s">
        <v>6876</v>
      </c>
      <c r="C191" s="50" t="s">
        <v>6877</v>
      </c>
      <c r="D191" s="50" t="s">
        <v>8493</v>
      </c>
      <c r="E191" s="144">
        <v>43720.0</v>
      </c>
      <c r="F191" s="50" t="s">
        <v>9227</v>
      </c>
      <c r="G191" s="50">
        <v>58.0</v>
      </c>
      <c r="H191" s="50">
        <v>1.0</v>
      </c>
      <c r="I191" s="50">
        <v>5.0</v>
      </c>
      <c r="J191" s="116"/>
      <c r="K191" s="116"/>
      <c r="L191" s="50" t="s">
        <v>1177</v>
      </c>
      <c r="M191" s="50" t="s">
        <v>1177</v>
      </c>
      <c r="N191" s="50" t="s">
        <v>9228</v>
      </c>
      <c r="O191" s="50" t="s">
        <v>9229</v>
      </c>
      <c r="P191" s="50" t="s">
        <v>9230</v>
      </c>
      <c r="Q191" s="50" t="s">
        <v>9232</v>
      </c>
      <c r="R191" s="116"/>
      <c r="S191" s="116"/>
      <c r="T191" s="116"/>
      <c r="U191" s="116"/>
      <c r="V191" s="116"/>
      <c r="W191" s="50">
        <v>5.0</v>
      </c>
      <c r="X191" s="50">
        <v>1.0</v>
      </c>
      <c r="Y191" s="50">
        <v>2.0</v>
      </c>
      <c r="Z191" s="116"/>
      <c r="AA191" s="50">
        <v>4.0</v>
      </c>
      <c r="AB191" s="50">
        <v>1.0</v>
      </c>
      <c r="AC191" s="50">
        <v>3.0</v>
      </c>
      <c r="AD191" s="50">
        <v>58.0</v>
      </c>
      <c r="AE191" s="50">
        <v>0.0</v>
      </c>
      <c r="AF191" s="116"/>
      <c r="AG191" s="116"/>
      <c r="AH191" s="116"/>
      <c r="AI191" s="116"/>
      <c r="AJ191" s="116"/>
      <c r="AK191" s="50" t="s">
        <v>9238</v>
      </c>
      <c r="AL191" s="50">
        <v>7.0</v>
      </c>
      <c r="AM191" s="50">
        <v>0.0</v>
      </c>
      <c r="AN191" s="50" t="s">
        <v>6901</v>
      </c>
      <c r="AO191" s="117">
        <v>4095.0</v>
      </c>
      <c r="AP191" s="50" t="s">
        <v>9239</v>
      </c>
      <c r="AQ191" s="50" t="s">
        <v>9240</v>
      </c>
      <c r="AR191" s="117">
        <v>190.0</v>
      </c>
    </row>
    <row r="192">
      <c r="A192" s="50" t="s">
        <v>9241</v>
      </c>
      <c r="B192" s="50" t="s">
        <v>6876</v>
      </c>
      <c r="C192" s="50" t="s">
        <v>6877</v>
      </c>
      <c r="D192" s="50" t="s">
        <v>8493</v>
      </c>
      <c r="E192" s="144">
        <v>43720.0</v>
      </c>
      <c r="F192" s="50" t="s">
        <v>9242</v>
      </c>
      <c r="G192" s="50">
        <v>58.0</v>
      </c>
      <c r="H192" s="50">
        <v>1.0</v>
      </c>
      <c r="I192" s="50">
        <v>99.0</v>
      </c>
      <c r="J192" s="116"/>
      <c r="K192" s="116"/>
      <c r="L192" s="50" t="s">
        <v>1178</v>
      </c>
      <c r="M192" s="50" t="s">
        <v>1178</v>
      </c>
      <c r="N192" s="50" t="s">
        <v>9228</v>
      </c>
      <c r="O192" s="50" t="s">
        <v>9244</v>
      </c>
      <c r="P192" s="50" t="s">
        <v>9205</v>
      </c>
      <c r="Q192" s="50" t="s">
        <v>9206</v>
      </c>
      <c r="R192" s="116"/>
      <c r="S192" s="116"/>
      <c r="T192" s="116"/>
      <c r="U192" s="116"/>
      <c r="V192" s="116"/>
      <c r="W192" s="50">
        <v>7.0</v>
      </c>
      <c r="X192" s="50">
        <v>100.0</v>
      </c>
      <c r="Y192" s="50">
        <v>3.0</v>
      </c>
      <c r="Z192" s="50">
        <v>0.0</v>
      </c>
      <c r="AA192" s="116"/>
      <c r="AB192" s="116"/>
      <c r="AC192" s="116"/>
      <c r="AD192" s="116"/>
      <c r="AE192" s="116"/>
      <c r="AF192" s="116"/>
      <c r="AG192" s="116"/>
      <c r="AH192" s="116"/>
      <c r="AI192" s="116"/>
      <c r="AJ192" s="116"/>
      <c r="AK192" s="50" t="s">
        <v>9249</v>
      </c>
      <c r="AL192" s="50">
        <v>6.0</v>
      </c>
      <c r="AM192" s="50">
        <v>0.0</v>
      </c>
      <c r="AN192" s="50" t="s">
        <v>6901</v>
      </c>
      <c r="AO192" s="117">
        <v>4097.0</v>
      </c>
      <c r="AP192" s="50" t="s">
        <v>9251</v>
      </c>
      <c r="AQ192" s="50" t="s">
        <v>9253</v>
      </c>
      <c r="AR192" s="117">
        <v>191.0</v>
      </c>
    </row>
    <row r="193">
      <c r="A193" s="50" t="s">
        <v>9242</v>
      </c>
      <c r="B193" s="50" t="s">
        <v>6876</v>
      </c>
      <c r="C193" s="50" t="s">
        <v>6877</v>
      </c>
      <c r="D193" s="50" t="s">
        <v>8493</v>
      </c>
      <c r="E193" s="144">
        <v>43720.0</v>
      </c>
      <c r="F193" s="50" t="s">
        <v>9255</v>
      </c>
      <c r="G193" s="50">
        <v>58.0</v>
      </c>
      <c r="H193" s="50">
        <v>1.0</v>
      </c>
      <c r="I193" s="50">
        <v>7.0</v>
      </c>
      <c r="J193" s="116"/>
      <c r="K193" s="116"/>
      <c r="L193" s="50" t="s">
        <v>1181</v>
      </c>
      <c r="M193" s="50" t="s">
        <v>1181</v>
      </c>
      <c r="N193" s="50" t="s">
        <v>9228</v>
      </c>
      <c r="O193" s="50" t="s">
        <v>9244</v>
      </c>
      <c r="P193" s="50" t="s">
        <v>9205</v>
      </c>
      <c r="Q193" s="50" t="s">
        <v>9206</v>
      </c>
      <c r="R193" s="116"/>
      <c r="S193" s="116"/>
      <c r="T193" s="116"/>
      <c r="U193" s="116"/>
      <c r="V193" s="116"/>
      <c r="W193" s="50">
        <v>7.0</v>
      </c>
      <c r="X193" s="50">
        <v>10.0</v>
      </c>
      <c r="Y193" s="50">
        <v>2.0</v>
      </c>
      <c r="Z193" s="116"/>
      <c r="AA193" s="50">
        <v>6.0</v>
      </c>
      <c r="AB193" s="50">
        <v>1.0</v>
      </c>
      <c r="AC193" s="50">
        <v>3.0</v>
      </c>
      <c r="AD193" s="50">
        <v>0.0</v>
      </c>
      <c r="AE193" s="50">
        <v>0.0</v>
      </c>
      <c r="AF193" s="116"/>
      <c r="AG193" s="116"/>
      <c r="AH193" s="116"/>
      <c r="AI193" s="116"/>
      <c r="AJ193" s="116"/>
      <c r="AK193" s="50" t="s">
        <v>9259</v>
      </c>
      <c r="AL193" s="50">
        <v>7.0</v>
      </c>
      <c r="AM193" s="50">
        <v>0.0</v>
      </c>
      <c r="AN193" s="50" t="s">
        <v>6901</v>
      </c>
      <c r="AO193" s="117">
        <v>4098.0</v>
      </c>
      <c r="AP193" s="50" t="s">
        <v>9261</v>
      </c>
      <c r="AQ193" s="50" t="s">
        <v>9263</v>
      </c>
      <c r="AR193" s="117">
        <v>192.0</v>
      </c>
    </row>
    <row r="194">
      <c r="A194" s="50" t="s">
        <v>9255</v>
      </c>
      <c r="B194" s="50" t="s">
        <v>6876</v>
      </c>
      <c r="C194" s="50" t="s">
        <v>6877</v>
      </c>
      <c r="D194" s="50" t="s">
        <v>8493</v>
      </c>
      <c r="E194" s="144">
        <v>43720.0</v>
      </c>
      <c r="F194" s="50" t="s">
        <v>9265</v>
      </c>
      <c r="G194" s="50">
        <v>58.0</v>
      </c>
      <c r="H194" s="50">
        <v>1.0</v>
      </c>
      <c r="I194" s="50">
        <v>99.0</v>
      </c>
      <c r="J194" s="116"/>
      <c r="K194" s="116"/>
      <c r="L194" s="50" t="s">
        <v>1186</v>
      </c>
      <c r="M194" s="50" t="s">
        <v>1186</v>
      </c>
      <c r="N194" s="50" t="s">
        <v>9228</v>
      </c>
      <c r="O194" s="50" t="s">
        <v>9266</v>
      </c>
      <c r="P194" s="50" t="s">
        <v>9205</v>
      </c>
      <c r="Q194" s="50" t="s">
        <v>9206</v>
      </c>
      <c r="R194" s="116"/>
      <c r="S194" s="116"/>
      <c r="T194" s="116"/>
      <c r="U194" s="116"/>
      <c r="V194" s="116"/>
      <c r="W194" s="50">
        <v>7.0</v>
      </c>
      <c r="X194" s="50">
        <v>100.0</v>
      </c>
      <c r="Y194" s="50">
        <v>3.0</v>
      </c>
      <c r="Z194" s="50">
        <v>0.0</v>
      </c>
      <c r="AA194" s="116"/>
      <c r="AB194" s="116"/>
      <c r="AC194" s="116"/>
      <c r="AD194" s="116"/>
      <c r="AE194" s="116"/>
      <c r="AF194" s="116"/>
      <c r="AG194" s="116"/>
      <c r="AH194" s="116"/>
      <c r="AI194" s="116"/>
      <c r="AJ194" s="116"/>
      <c r="AK194" s="50" t="s">
        <v>9272</v>
      </c>
      <c r="AL194" s="50">
        <v>6.0</v>
      </c>
      <c r="AM194" s="50">
        <v>0.0</v>
      </c>
      <c r="AN194" s="50" t="s">
        <v>6901</v>
      </c>
      <c r="AO194" s="117">
        <v>4099.0</v>
      </c>
      <c r="AP194" s="50" t="s">
        <v>9273</v>
      </c>
      <c r="AQ194" s="50" t="s">
        <v>9274</v>
      </c>
      <c r="AR194" s="117">
        <v>193.0</v>
      </c>
    </row>
    <row r="195">
      <c r="A195" s="50" t="s">
        <v>9276</v>
      </c>
      <c r="B195" s="50" t="s">
        <v>6876</v>
      </c>
      <c r="C195" s="50" t="s">
        <v>6877</v>
      </c>
      <c r="D195" s="50" t="s">
        <v>8493</v>
      </c>
      <c r="E195" s="144">
        <v>43720.0</v>
      </c>
      <c r="F195" s="50" t="s">
        <v>9279</v>
      </c>
      <c r="G195" s="50">
        <v>58.0</v>
      </c>
      <c r="H195" s="50">
        <v>1.0</v>
      </c>
      <c r="I195" s="50">
        <v>7.0</v>
      </c>
      <c r="J195" s="116"/>
      <c r="K195" s="116"/>
      <c r="L195" s="50" t="s">
        <v>1183</v>
      </c>
      <c r="M195" s="50" t="s">
        <v>1183</v>
      </c>
      <c r="N195" s="50" t="s">
        <v>9228</v>
      </c>
      <c r="O195" s="50" t="s">
        <v>9170</v>
      </c>
      <c r="P195" s="50" t="s">
        <v>9230</v>
      </c>
      <c r="Q195" s="50" t="s">
        <v>9232</v>
      </c>
      <c r="R195" s="116"/>
      <c r="S195" s="116"/>
      <c r="T195" s="116"/>
      <c r="U195" s="116"/>
      <c r="V195" s="116"/>
      <c r="W195" s="50">
        <v>7.0</v>
      </c>
      <c r="X195" s="50">
        <v>10.0</v>
      </c>
      <c r="Y195" s="50">
        <v>2.0</v>
      </c>
      <c r="Z195" s="116"/>
      <c r="AA195" s="50">
        <v>6.0</v>
      </c>
      <c r="AB195" s="50">
        <v>1.0</v>
      </c>
      <c r="AC195" s="50">
        <v>3.0</v>
      </c>
      <c r="AD195" s="50">
        <v>0.0</v>
      </c>
      <c r="AE195" s="50">
        <v>0.0</v>
      </c>
      <c r="AF195" s="116"/>
      <c r="AG195" s="116"/>
      <c r="AH195" s="116"/>
      <c r="AI195" s="116"/>
      <c r="AJ195" s="116"/>
      <c r="AK195" s="50" t="s">
        <v>9280</v>
      </c>
      <c r="AL195" s="50">
        <v>7.0</v>
      </c>
      <c r="AM195" s="50">
        <v>0.0</v>
      </c>
      <c r="AN195" s="50" t="s">
        <v>6901</v>
      </c>
      <c r="AO195" s="117">
        <v>4100.0</v>
      </c>
      <c r="AP195" s="50" t="s">
        <v>9282</v>
      </c>
      <c r="AQ195" s="50" t="s">
        <v>9284</v>
      </c>
      <c r="AR195" s="117">
        <v>194.0</v>
      </c>
    </row>
    <row r="196">
      <c r="A196" s="50" t="s">
        <v>9279</v>
      </c>
      <c r="B196" s="50" t="s">
        <v>6876</v>
      </c>
      <c r="C196" s="50" t="s">
        <v>6877</v>
      </c>
      <c r="D196" s="50" t="s">
        <v>8493</v>
      </c>
      <c r="E196" s="144">
        <v>43720.0</v>
      </c>
      <c r="F196" s="50" t="s">
        <v>9287</v>
      </c>
      <c r="G196" s="50">
        <v>53.0</v>
      </c>
      <c r="H196" s="50">
        <v>1.0</v>
      </c>
      <c r="I196" s="50">
        <v>7.0</v>
      </c>
      <c r="J196" s="116"/>
      <c r="K196" s="116"/>
      <c r="L196" s="50" t="s">
        <v>1184</v>
      </c>
      <c r="M196" s="50" t="s">
        <v>1184</v>
      </c>
      <c r="N196" s="50" t="s">
        <v>9228</v>
      </c>
      <c r="O196" s="50" t="s">
        <v>9170</v>
      </c>
      <c r="P196" s="50" t="s">
        <v>9230</v>
      </c>
      <c r="Q196" s="50" t="s">
        <v>9232</v>
      </c>
      <c r="R196" s="116"/>
      <c r="S196" s="116"/>
      <c r="T196" s="116"/>
      <c r="U196" s="116"/>
      <c r="V196" s="116"/>
      <c r="W196" s="50">
        <v>7.0</v>
      </c>
      <c r="X196" s="50">
        <v>10.0</v>
      </c>
      <c r="Y196" s="50">
        <v>3.0</v>
      </c>
      <c r="Z196" s="50">
        <v>31.0</v>
      </c>
      <c r="AA196" s="50">
        <v>6.0</v>
      </c>
      <c r="AB196" s="50">
        <v>1.0</v>
      </c>
      <c r="AC196" s="50">
        <v>3.0</v>
      </c>
      <c r="AD196" s="50">
        <v>0.0</v>
      </c>
      <c r="AE196" s="50">
        <v>0.0</v>
      </c>
      <c r="AF196" s="116"/>
      <c r="AG196" s="116"/>
      <c r="AH196" s="116"/>
      <c r="AI196" s="116"/>
      <c r="AJ196" s="116"/>
      <c r="AK196" s="50" t="s">
        <v>9290</v>
      </c>
      <c r="AL196" s="50">
        <v>7.0</v>
      </c>
      <c r="AM196" s="50">
        <v>0.0</v>
      </c>
      <c r="AN196" s="50" t="s">
        <v>6901</v>
      </c>
      <c r="AO196" s="117">
        <v>4101.0</v>
      </c>
      <c r="AP196" s="50" t="s">
        <v>9291</v>
      </c>
      <c r="AQ196" s="50" t="s">
        <v>9292</v>
      </c>
      <c r="AR196" s="117">
        <v>195.0</v>
      </c>
    </row>
    <row r="197">
      <c r="A197" s="50" t="s">
        <v>9287</v>
      </c>
      <c r="B197" s="50" t="s">
        <v>6876</v>
      </c>
      <c r="C197" s="50" t="s">
        <v>6877</v>
      </c>
      <c r="D197" s="50" t="s">
        <v>8493</v>
      </c>
      <c r="E197" s="144">
        <v>43720.0</v>
      </c>
      <c r="F197" s="50" t="s">
        <v>9294</v>
      </c>
      <c r="G197" s="50">
        <v>33.0</v>
      </c>
      <c r="H197" s="50">
        <v>1.0</v>
      </c>
      <c r="I197" s="50">
        <v>98.0</v>
      </c>
      <c r="J197" s="116"/>
      <c r="K197" s="116"/>
      <c r="L197" s="50" t="s">
        <v>1190</v>
      </c>
      <c r="M197" s="50" t="s">
        <v>1190</v>
      </c>
      <c r="N197" s="50" t="s">
        <v>9170</v>
      </c>
      <c r="O197" s="50" t="s">
        <v>9170</v>
      </c>
      <c r="P197" s="50" t="s">
        <v>9205</v>
      </c>
      <c r="Q197" s="50" t="s">
        <v>9206</v>
      </c>
      <c r="R197" s="116"/>
      <c r="S197" s="116"/>
      <c r="T197" s="116"/>
      <c r="U197" s="116"/>
      <c r="V197" s="116"/>
      <c r="W197" s="50">
        <v>7.0</v>
      </c>
      <c r="X197" s="50">
        <v>100.0</v>
      </c>
      <c r="Y197" s="50">
        <v>3.0</v>
      </c>
      <c r="Z197" s="50">
        <v>0.0</v>
      </c>
      <c r="AA197" s="116"/>
      <c r="AB197" s="116"/>
      <c r="AC197" s="116"/>
      <c r="AD197" s="116"/>
      <c r="AE197" s="116"/>
      <c r="AF197" s="116"/>
      <c r="AG197" s="116"/>
      <c r="AH197" s="116"/>
      <c r="AI197" s="116"/>
      <c r="AJ197" s="116"/>
      <c r="AK197" s="50" t="s">
        <v>8213</v>
      </c>
      <c r="AL197" s="50">
        <v>6.0</v>
      </c>
      <c r="AM197" s="50">
        <v>0.0</v>
      </c>
      <c r="AN197" s="50" t="s">
        <v>6901</v>
      </c>
      <c r="AO197" s="117">
        <v>4102.0</v>
      </c>
      <c r="AP197" s="50" t="s">
        <v>9301</v>
      </c>
      <c r="AQ197" s="50" t="s">
        <v>9302</v>
      </c>
      <c r="AR197" s="117">
        <v>196.0</v>
      </c>
    </row>
    <row r="198">
      <c r="A198" s="50" t="s">
        <v>9294</v>
      </c>
      <c r="B198" s="50" t="s">
        <v>6876</v>
      </c>
      <c r="C198" s="50" t="s">
        <v>6877</v>
      </c>
      <c r="D198" s="50" t="s">
        <v>8493</v>
      </c>
      <c r="E198" s="144">
        <v>43720.0</v>
      </c>
      <c r="F198" s="50" t="s">
        <v>9303</v>
      </c>
      <c r="G198" s="50">
        <v>57.0</v>
      </c>
      <c r="H198" s="50">
        <v>1.0</v>
      </c>
      <c r="I198" s="50">
        <v>99.0</v>
      </c>
      <c r="J198" s="116"/>
      <c r="K198" s="116"/>
      <c r="L198" s="50" t="s">
        <v>1195</v>
      </c>
      <c r="M198" s="50" t="s">
        <v>1195</v>
      </c>
      <c r="N198" s="50" t="s">
        <v>9304</v>
      </c>
      <c r="O198" s="50" t="s">
        <v>9306</v>
      </c>
      <c r="P198" s="50" t="s">
        <v>9308</v>
      </c>
      <c r="Q198" s="50" t="s">
        <v>9309</v>
      </c>
      <c r="R198" s="116"/>
      <c r="S198" s="116"/>
      <c r="T198" s="116"/>
      <c r="U198" s="116"/>
      <c r="V198" s="116"/>
      <c r="W198" s="50">
        <v>7.0</v>
      </c>
      <c r="X198" s="50">
        <v>100.0</v>
      </c>
      <c r="Y198" s="50">
        <v>3.0</v>
      </c>
      <c r="Z198" s="50">
        <v>0.0</v>
      </c>
      <c r="AA198" s="116"/>
      <c r="AB198" s="116"/>
      <c r="AC198" s="116"/>
      <c r="AD198" s="116"/>
      <c r="AE198" s="116"/>
      <c r="AF198" s="116"/>
      <c r="AG198" s="116"/>
      <c r="AH198" s="116"/>
      <c r="AI198" s="116"/>
      <c r="AJ198" s="116"/>
      <c r="AK198" s="50" t="s">
        <v>9314</v>
      </c>
      <c r="AL198" s="50">
        <v>7.0</v>
      </c>
      <c r="AM198" s="50">
        <v>0.0</v>
      </c>
      <c r="AN198" s="50" t="s">
        <v>6901</v>
      </c>
      <c r="AO198" s="117">
        <v>4103.0</v>
      </c>
      <c r="AP198" s="50" t="s">
        <v>9315</v>
      </c>
      <c r="AQ198" s="50" t="s">
        <v>9316</v>
      </c>
      <c r="AR198" s="117">
        <v>197.0</v>
      </c>
    </row>
    <row r="199">
      <c r="A199" s="50" t="s">
        <v>9317</v>
      </c>
      <c r="B199" s="50" t="s">
        <v>6876</v>
      </c>
      <c r="C199" s="50" t="s">
        <v>6877</v>
      </c>
      <c r="D199" s="50" t="s">
        <v>8493</v>
      </c>
      <c r="E199" s="144">
        <v>43720.0</v>
      </c>
      <c r="F199" s="50" t="s">
        <v>9318</v>
      </c>
      <c r="G199" s="50">
        <v>57.0</v>
      </c>
      <c r="H199" s="50">
        <v>1.0</v>
      </c>
      <c r="I199" s="50">
        <v>16.0</v>
      </c>
      <c r="J199" s="116"/>
      <c r="K199" s="116"/>
      <c r="L199" s="50" t="s">
        <v>1203</v>
      </c>
      <c r="M199" s="50" t="s">
        <v>1203</v>
      </c>
      <c r="N199" s="50" t="s">
        <v>9304</v>
      </c>
      <c r="O199" s="50" t="s">
        <v>9320</v>
      </c>
      <c r="P199" s="50" t="s">
        <v>9323</v>
      </c>
      <c r="Q199" s="50" t="s">
        <v>9324</v>
      </c>
      <c r="R199" s="116"/>
      <c r="S199" s="116"/>
      <c r="T199" s="116"/>
      <c r="U199" s="116"/>
      <c r="V199" s="116"/>
      <c r="W199" s="50">
        <v>5.0</v>
      </c>
      <c r="X199" s="50">
        <v>1.0</v>
      </c>
      <c r="Y199" s="50">
        <v>2.0</v>
      </c>
      <c r="Z199" s="116"/>
      <c r="AA199" s="50">
        <v>4.0</v>
      </c>
      <c r="AB199" s="50">
        <v>1.0</v>
      </c>
      <c r="AC199" s="50">
        <v>1.0</v>
      </c>
      <c r="AD199" s="116"/>
      <c r="AE199" s="50">
        <v>1.0</v>
      </c>
      <c r="AF199" s="50">
        <v>3.0</v>
      </c>
      <c r="AG199" s="50">
        <v>1.0</v>
      </c>
      <c r="AH199" s="50">
        <v>3.0</v>
      </c>
      <c r="AI199" s="50">
        <v>11.0</v>
      </c>
      <c r="AJ199" s="116"/>
      <c r="AK199" s="50" t="s">
        <v>9329</v>
      </c>
      <c r="AL199" s="50">
        <v>7.0</v>
      </c>
      <c r="AM199" s="50">
        <v>0.0</v>
      </c>
      <c r="AN199" s="50" t="s">
        <v>6901</v>
      </c>
      <c r="AO199" s="117">
        <v>4104.0</v>
      </c>
      <c r="AP199" s="50" t="s">
        <v>9330</v>
      </c>
      <c r="AQ199" s="50" t="s">
        <v>9331</v>
      </c>
      <c r="AR199" s="117">
        <v>198.0</v>
      </c>
    </row>
    <row r="200">
      <c r="A200" s="50" t="s">
        <v>9318</v>
      </c>
      <c r="B200" s="50" t="s">
        <v>6876</v>
      </c>
      <c r="C200" s="50" t="s">
        <v>6877</v>
      </c>
      <c r="D200" s="50" t="s">
        <v>8493</v>
      </c>
      <c r="E200" s="144">
        <v>43720.0</v>
      </c>
      <c r="F200" s="50" t="s">
        <v>9332</v>
      </c>
      <c r="G200" s="50">
        <v>58.0</v>
      </c>
      <c r="H200" s="50">
        <v>1.0</v>
      </c>
      <c r="I200" s="50">
        <v>11.0</v>
      </c>
      <c r="J200" s="116"/>
      <c r="K200" s="116"/>
      <c r="L200" s="50" t="s">
        <v>1198</v>
      </c>
      <c r="M200" s="50" t="s">
        <v>1198</v>
      </c>
      <c r="N200" s="50" t="s">
        <v>9304</v>
      </c>
      <c r="O200" s="50" t="s">
        <v>9333</v>
      </c>
      <c r="P200" s="50" t="s">
        <v>9334</v>
      </c>
      <c r="Q200" s="50" t="s">
        <v>9335</v>
      </c>
      <c r="R200" s="116"/>
      <c r="S200" s="116"/>
      <c r="T200" s="116"/>
      <c r="U200" s="116"/>
      <c r="V200" s="116"/>
      <c r="W200" s="50">
        <v>3.0</v>
      </c>
      <c r="X200" s="50">
        <v>1.0</v>
      </c>
      <c r="Y200" s="50">
        <v>3.0</v>
      </c>
      <c r="Z200" s="50">
        <v>10.0</v>
      </c>
      <c r="AA200" s="50">
        <v>2.0</v>
      </c>
      <c r="AB200" s="50">
        <v>1.0</v>
      </c>
      <c r="AC200" s="50">
        <v>3.0</v>
      </c>
      <c r="AD200" s="50">
        <v>0.0</v>
      </c>
      <c r="AE200" s="50">
        <v>1.0</v>
      </c>
      <c r="AF200" s="50">
        <v>1.0</v>
      </c>
      <c r="AG200" s="50">
        <v>1.0</v>
      </c>
      <c r="AH200" s="50">
        <v>3.0</v>
      </c>
      <c r="AI200" s="50">
        <v>0.0</v>
      </c>
      <c r="AJ200" s="116"/>
      <c r="AK200" s="50" t="s">
        <v>9340</v>
      </c>
      <c r="AL200" s="50">
        <v>6.0</v>
      </c>
      <c r="AM200" s="50">
        <v>0.0</v>
      </c>
      <c r="AN200" s="50" t="s">
        <v>6901</v>
      </c>
      <c r="AO200" s="117">
        <v>4105.0</v>
      </c>
      <c r="AP200" s="50" t="s">
        <v>9342</v>
      </c>
      <c r="AQ200" s="50" t="s">
        <v>9344</v>
      </c>
      <c r="AR200" s="117">
        <v>199.0</v>
      </c>
    </row>
    <row r="201">
      <c r="A201" s="50" t="s">
        <v>9345</v>
      </c>
      <c r="B201" s="50" t="s">
        <v>6876</v>
      </c>
      <c r="C201" s="50" t="s">
        <v>6877</v>
      </c>
      <c r="D201" s="50" t="s">
        <v>8493</v>
      </c>
      <c r="E201" s="144">
        <v>43720.0</v>
      </c>
      <c r="F201" s="50" t="s">
        <v>9346</v>
      </c>
      <c r="G201" s="50">
        <v>58.0</v>
      </c>
      <c r="H201" s="50">
        <v>1.0</v>
      </c>
      <c r="I201" s="50">
        <v>8.0</v>
      </c>
      <c r="J201" s="116"/>
      <c r="K201" s="116"/>
      <c r="L201" s="50" t="s">
        <v>1233</v>
      </c>
      <c r="M201" s="50" t="s">
        <v>1233</v>
      </c>
      <c r="N201" s="50" t="s">
        <v>9347</v>
      </c>
      <c r="O201" s="50" t="s">
        <v>9348</v>
      </c>
      <c r="P201" s="50" t="s">
        <v>9351</v>
      </c>
      <c r="Q201" s="50" t="s">
        <v>9353</v>
      </c>
      <c r="R201" s="116"/>
      <c r="S201" s="116"/>
      <c r="T201" s="116"/>
      <c r="U201" s="50">
        <v>110.0</v>
      </c>
      <c r="V201" s="116"/>
      <c r="W201" s="50">
        <v>5.0</v>
      </c>
      <c r="X201" s="50">
        <v>1.0</v>
      </c>
      <c r="Y201" s="50">
        <v>3.0</v>
      </c>
      <c r="Z201" s="50">
        <v>6.0</v>
      </c>
      <c r="AA201" s="50">
        <v>4.0</v>
      </c>
      <c r="AB201" s="50">
        <v>1.0</v>
      </c>
      <c r="AC201" s="50">
        <v>3.0</v>
      </c>
      <c r="AD201" s="50">
        <v>3.0</v>
      </c>
      <c r="AE201" s="50">
        <v>0.0</v>
      </c>
      <c r="AF201" s="116"/>
      <c r="AG201" s="116"/>
      <c r="AH201" s="116"/>
      <c r="AI201" s="116"/>
      <c r="AJ201" s="116"/>
      <c r="AK201" s="50" t="s">
        <v>9357</v>
      </c>
      <c r="AL201" s="50">
        <v>4.0</v>
      </c>
      <c r="AM201" s="50">
        <v>1.0</v>
      </c>
      <c r="AN201" s="50" t="s">
        <v>6901</v>
      </c>
      <c r="AO201" s="117">
        <v>4106.0</v>
      </c>
      <c r="AP201" s="50" t="s">
        <v>9358</v>
      </c>
      <c r="AQ201" s="50" t="s">
        <v>9359</v>
      </c>
      <c r="AR201" s="117">
        <v>200.0</v>
      </c>
    </row>
    <row r="202">
      <c r="A202" s="50" t="s">
        <v>9346</v>
      </c>
      <c r="B202" s="50" t="s">
        <v>6876</v>
      </c>
      <c r="C202" s="50" t="s">
        <v>6877</v>
      </c>
      <c r="D202" s="50" t="s">
        <v>8493</v>
      </c>
      <c r="E202" s="144">
        <v>43720.0</v>
      </c>
      <c r="F202" s="50" t="s">
        <v>9364</v>
      </c>
      <c r="G202" s="50">
        <v>58.0</v>
      </c>
      <c r="H202" s="50">
        <v>1.0</v>
      </c>
      <c r="I202" s="50">
        <v>99.0</v>
      </c>
      <c r="J202" s="116"/>
      <c r="K202" s="116"/>
      <c r="L202" s="50" t="s">
        <v>1234</v>
      </c>
      <c r="M202" s="50" t="s">
        <v>1234</v>
      </c>
      <c r="N202" s="50" t="s">
        <v>9347</v>
      </c>
      <c r="O202" s="50" t="s">
        <v>9365</v>
      </c>
      <c r="P202" s="50" t="s">
        <v>9367</v>
      </c>
      <c r="Q202" s="50" t="s">
        <v>9369</v>
      </c>
      <c r="R202" s="116"/>
      <c r="S202" s="116"/>
      <c r="T202" s="116"/>
      <c r="U202" s="116"/>
      <c r="V202" s="116"/>
      <c r="W202" s="50">
        <v>7.0</v>
      </c>
      <c r="X202" s="50">
        <v>100.0</v>
      </c>
      <c r="Y202" s="50">
        <v>3.0</v>
      </c>
      <c r="Z202" s="50">
        <v>2.0</v>
      </c>
      <c r="AA202" s="116"/>
      <c r="AB202" s="116"/>
      <c r="AC202" s="116"/>
      <c r="AD202" s="116"/>
      <c r="AE202" s="116"/>
      <c r="AF202" s="116"/>
      <c r="AG202" s="116"/>
      <c r="AH202" s="116"/>
      <c r="AI202" s="116"/>
      <c r="AJ202" s="116"/>
      <c r="AK202" s="50" t="s">
        <v>9370</v>
      </c>
      <c r="AL202" s="50">
        <v>4.0</v>
      </c>
      <c r="AM202" s="50">
        <v>1.0</v>
      </c>
      <c r="AN202" s="50" t="s">
        <v>6901</v>
      </c>
      <c r="AO202" s="117">
        <v>4107.0</v>
      </c>
      <c r="AP202" s="50" t="s">
        <v>9371</v>
      </c>
      <c r="AQ202" s="50" t="s">
        <v>9372</v>
      </c>
      <c r="AR202" s="117">
        <v>201.0</v>
      </c>
    </row>
    <row r="203">
      <c r="A203" s="50" t="s">
        <v>9374</v>
      </c>
      <c r="B203" s="50" t="s">
        <v>6876</v>
      </c>
      <c r="C203" s="50" t="s">
        <v>6877</v>
      </c>
      <c r="D203" s="50" t="s">
        <v>8493</v>
      </c>
      <c r="E203" s="144">
        <v>43720.0</v>
      </c>
      <c r="F203" s="50" t="s">
        <v>9378</v>
      </c>
      <c r="G203" s="50">
        <v>58.0</v>
      </c>
      <c r="H203" s="50">
        <v>1.0</v>
      </c>
      <c r="I203" s="50">
        <v>5.0</v>
      </c>
      <c r="J203" s="116"/>
      <c r="K203" s="116"/>
      <c r="L203" s="50" t="s">
        <v>1237</v>
      </c>
      <c r="M203" s="50" t="s">
        <v>1237</v>
      </c>
      <c r="N203" s="50" t="s">
        <v>9347</v>
      </c>
      <c r="O203" s="50" t="s">
        <v>9379</v>
      </c>
      <c r="P203" s="50" t="s">
        <v>9351</v>
      </c>
      <c r="Q203" s="50" t="s">
        <v>9353</v>
      </c>
      <c r="R203" s="116"/>
      <c r="S203" s="116"/>
      <c r="T203" s="116"/>
      <c r="U203" s="116"/>
      <c r="V203" s="116"/>
      <c r="W203" s="50">
        <v>5.0</v>
      </c>
      <c r="X203" s="50">
        <v>1.0</v>
      </c>
      <c r="Y203" s="50">
        <v>2.0</v>
      </c>
      <c r="Z203" s="116"/>
      <c r="AA203" s="50">
        <v>4.0</v>
      </c>
      <c r="AB203" s="50">
        <v>1.0</v>
      </c>
      <c r="AC203" s="50">
        <v>2.0</v>
      </c>
      <c r="AD203" s="116"/>
      <c r="AE203" s="50">
        <v>0.0</v>
      </c>
      <c r="AF203" s="116"/>
      <c r="AG203" s="116"/>
      <c r="AH203" s="116"/>
      <c r="AI203" s="116"/>
      <c r="AJ203" s="116"/>
      <c r="AK203" s="50" t="s">
        <v>9382</v>
      </c>
      <c r="AL203" s="50">
        <v>6.0</v>
      </c>
      <c r="AM203" s="50">
        <v>1.0</v>
      </c>
      <c r="AN203" s="50" t="s">
        <v>6901</v>
      </c>
      <c r="AO203" s="117">
        <v>4108.0</v>
      </c>
      <c r="AP203" s="50" t="s">
        <v>9383</v>
      </c>
      <c r="AQ203" s="50" t="s">
        <v>9384</v>
      </c>
      <c r="AR203" s="117">
        <v>202.0</v>
      </c>
    </row>
    <row r="204">
      <c r="A204" s="50" t="s">
        <v>9378</v>
      </c>
      <c r="B204" s="50" t="s">
        <v>6876</v>
      </c>
      <c r="C204" s="50" t="s">
        <v>6877</v>
      </c>
      <c r="D204" s="50" t="s">
        <v>8493</v>
      </c>
      <c r="E204" s="144">
        <v>43720.0</v>
      </c>
      <c r="F204" s="50" t="s">
        <v>9386</v>
      </c>
      <c r="G204" s="50">
        <v>58.0</v>
      </c>
      <c r="H204" s="50">
        <v>1.0</v>
      </c>
      <c r="I204" s="50">
        <v>99.0</v>
      </c>
      <c r="J204" s="116"/>
      <c r="K204" s="116"/>
      <c r="L204" s="50" t="s">
        <v>1239</v>
      </c>
      <c r="M204" s="50" t="s">
        <v>1239</v>
      </c>
      <c r="N204" s="50" t="s">
        <v>9347</v>
      </c>
      <c r="O204" s="50" t="s">
        <v>9365</v>
      </c>
      <c r="P204" s="50" t="s">
        <v>9390</v>
      </c>
      <c r="Q204" s="50" t="s">
        <v>9391</v>
      </c>
      <c r="R204" s="116"/>
      <c r="S204" s="116"/>
      <c r="T204" s="116"/>
      <c r="U204" s="116"/>
      <c r="V204" s="116"/>
      <c r="W204" s="50">
        <v>7.0</v>
      </c>
      <c r="X204" s="50">
        <v>100.0</v>
      </c>
      <c r="Y204" s="50">
        <v>3.0</v>
      </c>
      <c r="Z204" s="50">
        <v>0.0</v>
      </c>
      <c r="AA204" s="116"/>
      <c r="AB204" s="116"/>
      <c r="AC204" s="116"/>
      <c r="AD204" s="116"/>
      <c r="AE204" s="116"/>
      <c r="AF204" s="116"/>
      <c r="AG204" s="116"/>
      <c r="AH204" s="116"/>
      <c r="AI204" s="116"/>
      <c r="AJ204" s="116"/>
      <c r="AK204" s="50" t="s">
        <v>9394</v>
      </c>
      <c r="AL204" s="50">
        <v>6.0</v>
      </c>
      <c r="AM204" s="50">
        <v>1.0</v>
      </c>
      <c r="AN204" s="50" t="s">
        <v>6901</v>
      </c>
      <c r="AO204" s="117">
        <v>4109.0</v>
      </c>
      <c r="AP204" s="50" t="s">
        <v>9395</v>
      </c>
      <c r="AQ204" s="50" t="s">
        <v>9396</v>
      </c>
      <c r="AR204" s="117">
        <v>203.0</v>
      </c>
    </row>
    <row r="205">
      <c r="A205" s="50" t="s">
        <v>9386</v>
      </c>
      <c r="B205" s="50" t="s">
        <v>6876</v>
      </c>
      <c r="C205" s="50" t="s">
        <v>6877</v>
      </c>
      <c r="D205" s="50" t="s">
        <v>8493</v>
      </c>
      <c r="E205" s="144">
        <v>43720.0</v>
      </c>
      <c r="F205" s="50" t="s">
        <v>9400</v>
      </c>
      <c r="G205" s="50">
        <v>33.0</v>
      </c>
      <c r="H205" s="50">
        <v>1.0</v>
      </c>
      <c r="I205" s="50">
        <v>98.0</v>
      </c>
      <c r="J205" s="116"/>
      <c r="K205" s="116"/>
      <c r="L205" s="50" t="s">
        <v>1242</v>
      </c>
      <c r="M205" s="50" t="s">
        <v>1242</v>
      </c>
      <c r="N205" s="50" t="s">
        <v>9347</v>
      </c>
      <c r="O205" s="50" t="s">
        <v>9365</v>
      </c>
      <c r="P205" s="50" t="s">
        <v>9403</v>
      </c>
      <c r="Q205" s="50" t="s">
        <v>9404</v>
      </c>
      <c r="R205" s="116"/>
      <c r="S205" s="116"/>
      <c r="T205" s="116"/>
      <c r="U205" s="116"/>
      <c r="V205" s="116"/>
      <c r="W205" s="50">
        <v>7.0</v>
      </c>
      <c r="X205" s="50">
        <v>100.0</v>
      </c>
      <c r="Y205" s="50">
        <v>3.0</v>
      </c>
      <c r="Z205" s="50">
        <v>0.0</v>
      </c>
      <c r="AA205" s="116"/>
      <c r="AB205" s="116"/>
      <c r="AC205" s="116"/>
      <c r="AD205" s="116"/>
      <c r="AE205" s="116"/>
      <c r="AF205" s="116"/>
      <c r="AG205" s="116"/>
      <c r="AH205" s="116"/>
      <c r="AI205" s="116"/>
      <c r="AJ205" s="116"/>
      <c r="AK205" s="50" t="s">
        <v>8213</v>
      </c>
      <c r="AL205" s="50">
        <v>6.0</v>
      </c>
      <c r="AM205" s="50">
        <v>1.0</v>
      </c>
      <c r="AN205" s="50" t="s">
        <v>6901</v>
      </c>
      <c r="AO205" s="117">
        <v>4110.0</v>
      </c>
      <c r="AP205" s="50" t="s">
        <v>9408</v>
      </c>
      <c r="AQ205" s="50" t="s">
        <v>9409</v>
      </c>
      <c r="AR205" s="117">
        <v>204.0</v>
      </c>
    </row>
    <row r="206">
      <c r="A206" s="50" t="s">
        <v>9410</v>
      </c>
      <c r="B206" s="50" t="s">
        <v>6876</v>
      </c>
      <c r="C206" s="50" t="s">
        <v>6877</v>
      </c>
      <c r="D206" s="50" t="s">
        <v>8493</v>
      </c>
      <c r="E206" s="144">
        <v>43721.0</v>
      </c>
      <c r="F206" s="50" t="s">
        <v>9411</v>
      </c>
      <c r="G206" s="50">
        <v>59.0</v>
      </c>
      <c r="H206" s="50">
        <v>1.0</v>
      </c>
      <c r="I206" s="50">
        <v>11.0</v>
      </c>
      <c r="J206" s="116"/>
      <c r="K206" s="116"/>
      <c r="L206" s="50" t="s">
        <v>1199</v>
      </c>
      <c r="M206" s="50" t="s">
        <v>1199</v>
      </c>
      <c r="N206" s="50" t="s">
        <v>9304</v>
      </c>
      <c r="O206" s="50" t="s">
        <v>9333</v>
      </c>
      <c r="P206" s="50" t="s">
        <v>9206</v>
      </c>
      <c r="Q206" s="50" t="s">
        <v>9414</v>
      </c>
      <c r="R206" s="116"/>
      <c r="S206" s="116"/>
      <c r="T206" s="116"/>
      <c r="U206" s="116"/>
      <c r="V206" s="116"/>
      <c r="W206" s="50">
        <v>3.0</v>
      </c>
      <c r="X206" s="50">
        <v>1.0</v>
      </c>
      <c r="Y206" s="50">
        <v>3.0</v>
      </c>
      <c r="Z206" s="50">
        <v>4.0</v>
      </c>
      <c r="AA206" s="50">
        <v>2.0</v>
      </c>
      <c r="AB206" s="50">
        <v>1.0</v>
      </c>
      <c r="AC206" s="50">
        <v>3.0</v>
      </c>
      <c r="AD206" s="50">
        <v>0.0</v>
      </c>
      <c r="AE206" s="50">
        <v>1.0</v>
      </c>
      <c r="AF206" s="50">
        <v>1.0</v>
      </c>
      <c r="AG206" s="50">
        <v>1.0</v>
      </c>
      <c r="AH206" s="50">
        <v>3.0</v>
      </c>
      <c r="AI206" s="50">
        <v>0.0</v>
      </c>
      <c r="AJ206" s="116"/>
      <c r="AK206" s="50" t="s">
        <v>9417</v>
      </c>
      <c r="AL206" s="50">
        <v>6.0</v>
      </c>
      <c r="AM206" s="50">
        <v>0.0</v>
      </c>
      <c r="AN206" s="50" t="s">
        <v>6901</v>
      </c>
      <c r="AO206" s="117">
        <v>4116.0</v>
      </c>
      <c r="AP206" s="50" t="s">
        <v>9420</v>
      </c>
      <c r="AQ206" s="50" t="s">
        <v>9421</v>
      </c>
      <c r="AR206" s="117">
        <v>205.0</v>
      </c>
    </row>
    <row r="207">
      <c r="A207" s="50" t="s">
        <v>9411</v>
      </c>
      <c r="B207" s="50" t="s">
        <v>6876</v>
      </c>
      <c r="C207" s="50" t="s">
        <v>6877</v>
      </c>
      <c r="D207" s="50" t="s">
        <v>8493</v>
      </c>
      <c r="E207" s="144">
        <v>43721.0</v>
      </c>
      <c r="F207" s="50" t="s">
        <v>9422</v>
      </c>
      <c r="G207" s="50">
        <v>59.0</v>
      </c>
      <c r="H207" s="50">
        <v>1.0</v>
      </c>
      <c r="I207" s="50">
        <v>99.0</v>
      </c>
      <c r="J207" s="116"/>
      <c r="K207" s="116"/>
      <c r="L207" s="50" t="s">
        <v>1200</v>
      </c>
      <c r="M207" s="50" t="s">
        <v>1200</v>
      </c>
      <c r="N207" s="50" t="s">
        <v>9304</v>
      </c>
      <c r="O207" s="50" t="s">
        <v>9423</v>
      </c>
      <c r="P207" s="50" t="s">
        <v>9424</v>
      </c>
      <c r="Q207" s="50" t="s">
        <v>9425</v>
      </c>
      <c r="R207" s="116"/>
      <c r="S207" s="116"/>
      <c r="T207" s="116"/>
      <c r="U207" s="116"/>
      <c r="V207" s="116"/>
      <c r="W207" s="50">
        <v>7.0</v>
      </c>
      <c r="X207" s="50">
        <v>100.0</v>
      </c>
      <c r="Y207" s="50">
        <v>3.0</v>
      </c>
      <c r="Z207" s="50">
        <v>0.0</v>
      </c>
      <c r="AA207" s="116"/>
      <c r="AB207" s="116"/>
      <c r="AC207" s="116"/>
      <c r="AD207" s="116"/>
      <c r="AE207" s="116"/>
      <c r="AF207" s="116"/>
      <c r="AG207" s="116"/>
      <c r="AH207" s="116"/>
      <c r="AI207" s="116"/>
      <c r="AJ207" s="116"/>
      <c r="AK207" s="50" t="s">
        <v>9431</v>
      </c>
      <c r="AL207" s="50">
        <v>7.0</v>
      </c>
      <c r="AM207" s="50">
        <v>0.0</v>
      </c>
      <c r="AN207" s="50" t="s">
        <v>6901</v>
      </c>
      <c r="AO207" s="117">
        <v>4117.0</v>
      </c>
      <c r="AP207" s="50" t="s">
        <v>9432</v>
      </c>
      <c r="AQ207" s="50" t="s">
        <v>9433</v>
      </c>
      <c r="AR207" s="117">
        <v>206.0</v>
      </c>
    </row>
    <row r="208">
      <c r="A208" s="50" t="s">
        <v>9422</v>
      </c>
      <c r="B208" s="50" t="s">
        <v>6876</v>
      </c>
      <c r="C208" s="50" t="s">
        <v>6877</v>
      </c>
      <c r="D208" s="50" t="s">
        <v>8493</v>
      </c>
      <c r="E208" s="144">
        <v>43721.0</v>
      </c>
      <c r="F208" s="50" t="s">
        <v>9436</v>
      </c>
      <c r="G208" s="50">
        <v>33.0</v>
      </c>
      <c r="H208" s="50">
        <v>1.0</v>
      </c>
      <c r="I208" s="50">
        <v>98.0</v>
      </c>
      <c r="J208" s="116"/>
      <c r="K208" s="116"/>
      <c r="L208" s="50" t="s">
        <v>1205</v>
      </c>
      <c r="M208" s="50" t="s">
        <v>1205</v>
      </c>
      <c r="N208" s="50" t="s">
        <v>9306</v>
      </c>
      <c r="O208" s="50" t="s">
        <v>9306</v>
      </c>
      <c r="P208" s="50" t="s">
        <v>9333</v>
      </c>
      <c r="Q208" s="50" t="s">
        <v>9437</v>
      </c>
      <c r="R208" s="116"/>
      <c r="S208" s="116"/>
      <c r="T208" s="116"/>
      <c r="U208" s="116"/>
      <c r="V208" s="116"/>
      <c r="W208" s="50">
        <v>7.0</v>
      </c>
      <c r="X208" s="50">
        <v>100.0</v>
      </c>
      <c r="Y208" s="50">
        <v>3.0</v>
      </c>
      <c r="Z208" s="50">
        <v>0.0</v>
      </c>
      <c r="AA208" s="116"/>
      <c r="AB208" s="116"/>
      <c r="AC208" s="116"/>
      <c r="AD208" s="116"/>
      <c r="AE208" s="116"/>
      <c r="AF208" s="116"/>
      <c r="AG208" s="116"/>
      <c r="AH208" s="116"/>
      <c r="AI208" s="116"/>
      <c r="AJ208" s="116"/>
      <c r="AK208" s="50" t="s">
        <v>8213</v>
      </c>
      <c r="AL208" s="50">
        <v>7.0</v>
      </c>
      <c r="AM208" s="50">
        <v>0.0</v>
      </c>
      <c r="AN208" s="50" t="s">
        <v>6901</v>
      </c>
      <c r="AO208" s="117">
        <v>4118.0</v>
      </c>
      <c r="AP208" s="50" t="s">
        <v>9442</v>
      </c>
      <c r="AQ208" s="50" t="s">
        <v>9443</v>
      </c>
      <c r="AR208" s="117">
        <v>207.0</v>
      </c>
    </row>
    <row r="209">
      <c r="A209" s="50" t="s">
        <v>9436</v>
      </c>
      <c r="B209" s="50" t="s">
        <v>6876</v>
      </c>
      <c r="C209" s="50" t="s">
        <v>6877</v>
      </c>
      <c r="D209" s="50" t="s">
        <v>8493</v>
      </c>
      <c r="E209" s="144">
        <v>43721.0</v>
      </c>
      <c r="F209" s="50" t="s">
        <v>9444</v>
      </c>
      <c r="G209" s="50">
        <v>58.0</v>
      </c>
      <c r="H209" s="50">
        <v>1.0</v>
      </c>
      <c r="I209" s="50">
        <v>2.0</v>
      </c>
      <c r="J209" s="116"/>
      <c r="K209" s="116"/>
      <c r="L209" s="50" t="s">
        <v>1219</v>
      </c>
      <c r="M209" s="50" t="s">
        <v>1219</v>
      </c>
      <c r="N209" s="50" t="s">
        <v>9447</v>
      </c>
      <c r="O209" s="50" t="s">
        <v>9448</v>
      </c>
      <c r="P209" s="50" t="s">
        <v>9449</v>
      </c>
      <c r="Q209" s="50" t="s">
        <v>9450</v>
      </c>
      <c r="R209" s="50">
        <v>74.2</v>
      </c>
      <c r="S209" s="116"/>
      <c r="T209" s="116"/>
      <c r="U209" s="116"/>
      <c r="V209" s="116"/>
      <c r="W209" s="50">
        <v>6.0</v>
      </c>
      <c r="X209" s="50">
        <v>1.0</v>
      </c>
      <c r="Y209" s="50">
        <v>3.0</v>
      </c>
      <c r="Z209" s="50">
        <v>0.0</v>
      </c>
      <c r="AA209" s="50">
        <v>5.0</v>
      </c>
      <c r="AB209" s="50">
        <v>1.0</v>
      </c>
      <c r="AC209" s="50">
        <v>3.0</v>
      </c>
      <c r="AD209" s="50">
        <v>0.0</v>
      </c>
      <c r="AE209" s="50">
        <v>0.0</v>
      </c>
      <c r="AF209" s="116"/>
      <c r="AG209" s="116"/>
      <c r="AH209" s="116"/>
      <c r="AI209" s="116"/>
      <c r="AJ209" s="116"/>
      <c r="AK209" s="50" t="s">
        <v>9451</v>
      </c>
      <c r="AL209" s="50">
        <v>6.0</v>
      </c>
      <c r="AM209" s="50">
        <v>0.0</v>
      </c>
      <c r="AN209" s="50" t="s">
        <v>6901</v>
      </c>
      <c r="AO209" s="117">
        <v>4119.0</v>
      </c>
      <c r="AP209" s="50" t="s">
        <v>9452</v>
      </c>
      <c r="AQ209" s="50" t="s">
        <v>9453</v>
      </c>
      <c r="AR209" s="117">
        <v>208.0</v>
      </c>
    </row>
    <row r="210">
      <c r="A210" s="50" t="s">
        <v>9444</v>
      </c>
      <c r="B210" s="50" t="s">
        <v>6876</v>
      </c>
      <c r="C210" s="50" t="s">
        <v>6877</v>
      </c>
      <c r="D210" s="50" t="s">
        <v>8493</v>
      </c>
      <c r="E210" s="144">
        <v>43721.0</v>
      </c>
      <c r="F210" s="50" t="s">
        <v>9457</v>
      </c>
      <c r="G210" s="50">
        <v>58.0</v>
      </c>
      <c r="H210" s="50">
        <v>1.0</v>
      </c>
      <c r="I210" s="50">
        <v>2.0</v>
      </c>
      <c r="J210" s="116"/>
      <c r="K210" s="116"/>
      <c r="L210" s="50" t="s">
        <v>1221</v>
      </c>
      <c r="M210" s="50" t="s">
        <v>1221</v>
      </c>
      <c r="N210" s="50" t="s">
        <v>9447</v>
      </c>
      <c r="O210" s="50" t="s">
        <v>9448</v>
      </c>
      <c r="P210" s="50" t="s">
        <v>9449</v>
      </c>
      <c r="Q210" s="50" t="s">
        <v>9450</v>
      </c>
      <c r="R210" s="50">
        <v>18.29</v>
      </c>
      <c r="S210" s="116"/>
      <c r="T210" s="116"/>
      <c r="U210" s="116"/>
      <c r="V210" s="116"/>
      <c r="W210" s="50">
        <v>6.0</v>
      </c>
      <c r="X210" s="50">
        <v>1.0</v>
      </c>
      <c r="Y210" s="50">
        <v>1.0</v>
      </c>
      <c r="Z210" s="116"/>
      <c r="AA210" s="50">
        <v>5.0</v>
      </c>
      <c r="AB210" s="50">
        <v>1.0</v>
      </c>
      <c r="AC210" s="50">
        <v>3.0</v>
      </c>
      <c r="AD210" s="50">
        <v>30.0</v>
      </c>
      <c r="AE210" s="50">
        <v>0.0</v>
      </c>
      <c r="AF210" s="116"/>
      <c r="AG210" s="116"/>
      <c r="AH210" s="116"/>
      <c r="AI210" s="116"/>
      <c r="AJ210" s="116"/>
      <c r="AK210" s="50" t="s">
        <v>9462</v>
      </c>
      <c r="AL210" s="50">
        <v>6.0</v>
      </c>
      <c r="AM210" s="50">
        <v>0.0</v>
      </c>
      <c r="AN210" s="50" t="s">
        <v>6901</v>
      </c>
      <c r="AO210" s="117">
        <v>4120.0</v>
      </c>
      <c r="AP210" s="50" t="s">
        <v>9463</v>
      </c>
      <c r="AQ210" s="50" t="s">
        <v>9464</v>
      </c>
      <c r="AR210" s="117">
        <v>209.0</v>
      </c>
    </row>
    <row r="211">
      <c r="A211" s="50" t="s">
        <v>9457</v>
      </c>
      <c r="B211" s="50" t="s">
        <v>6876</v>
      </c>
      <c r="C211" s="50" t="s">
        <v>6877</v>
      </c>
      <c r="D211" s="50" t="s">
        <v>8493</v>
      </c>
      <c r="E211" s="144">
        <v>43721.0</v>
      </c>
      <c r="F211" s="50" t="s">
        <v>9465</v>
      </c>
      <c r="G211" s="50">
        <v>58.0</v>
      </c>
      <c r="H211" s="50">
        <v>1.0</v>
      </c>
      <c r="I211" s="50">
        <v>99.0</v>
      </c>
      <c r="J211" s="116"/>
      <c r="K211" s="116"/>
      <c r="L211" s="50" t="s">
        <v>1222</v>
      </c>
      <c r="M211" s="50" t="s">
        <v>1222</v>
      </c>
      <c r="N211" s="50" t="s">
        <v>9447</v>
      </c>
      <c r="O211" s="50" t="s">
        <v>9468</v>
      </c>
      <c r="P211" s="50" t="s">
        <v>9469</v>
      </c>
      <c r="Q211" s="50" t="s">
        <v>9470</v>
      </c>
      <c r="R211" s="116"/>
      <c r="S211" s="116"/>
      <c r="T211" s="116"/>
      <c r="U211" s="116"/>
      <c r="V211" s="116"/>
      <c r="W211" s="50">
        <v>7.0</v>
      </c>
      <c r="X211" s="50">
        <v>100.0</v>
      </c>
      <c r="Y211" s="50">
        <v>3.0</v>
      </c>
      <c r="Z211" s="50">
        <v>0.0</v>
      </c>
      <c r="AA211" s="116"/>
      <c r="AB211" s="116"/>
      <c r="AC211" s="116"/>
      <c r="AD211" s="116"/>
      <c r="AE211" s="116"/>
      <c r="AF211" s="116"/>
      <c r="AG211" s="116"/>
      <c r="AH211" s="116"/>
      <c r="AI211" s="116"/>
      <c r="AJ211" s="116"/>
      <c r="AK211" s="50" t="s">
        <v>9473</v>
      </c>
      <c r="AL211" s="50">
        <v>6.0</v>
      </c>
      <c r="AM211" s="50">
        <v>0.0</v>
      </c>
      <c r="AN211" s="50" t="s">
        <v>6901</v>
      </c>
      <c r="AO211" s="117">
        <v>4121.0</v>
      </c>
      <c r="AP211" s="50" t="s">
        <v>9476</v>
      </c>
      <c r="AQ211" s="50" t="s">
        <v>9477</v>
      </c>
      <c r="AR211" s="117">
        <v>210.0</v>
      </c>
    </row>
    <row r="212">
      <c r="A212" s="50" t="s">
        <v>9465</v>
      </c>
      <c r="B212" s="50" t="s">
        <v>6876</v>
      </c>
      <c r="C212" s="50" t="s">
        <v>6877</v>
      </c>
      <c r="D212" s="50" t="s">
        <v>8493</v>
      </c>
      <c r="E212" s="144">
        <v>43721.0</v>
      </c>
      <c r="F212" s="50" t="s">
        <v>9478</v>
      </c>
      <c r="G212" s="50">
        <v>58.0</v>
      </c>
      <c r="H212" s="50">
        <v>1.0</v>
      </c>
      <c r="I212" s="50">
        <v>10.0</v>
      </c>
      <c r="J212" s="116"/>
      <c r="K212" s="116"/>
      <c r="L212" s="50" t="s">
        <v>1225</v>
      </c>
      <c r="M212" s="50" t="s">
        <v>1225</v>
      </c>
      <c r="N212" s="50" t="s">
        <v>9479</v>
      </c>
      <c r="O212" s="50" t="s">
        <v>9481</v>
      </c>
      <c r="P212" s="50" t="s">
        <v>9482</v>
      </c>
      <c r="Q212" s="50" t="s">
        <v>9483</v>
      </c>
      <c r="R212" s="116"/>
      <c r="S212" s="50">
        <v>221.8</v>
      </c>
      <c r="T212" s="116"/>
      <c r="U212" s="116"/>
      <c r="V212" s="116"/>
      <c r="W212" s="50">
        <v>7.0</v>
      </c>
      <c r="X212" s="50">
        <v>1.0</v>
      </c>
      <c r="Y212" s="50">
        <v>2.0</v>
      </c>
      <c r="Z212" s="116"/>
      <c r="AA212" s="50">
        <v>6.0</v>
      </c>
      <c r="AB212" s="50">
        <v>1.0</v>
      </c>
      <c r="AC212" s="50">
        <v>3.0</v>
      </c>
      <c r="AD212" s="50">
        <v>1.0</v>
      </c>
      <c r="AE212" s="50">
        <v>1.0</v>
      </c>
      <c r="AF212" s="50">
        <v>5.0</v>
      </c>
      <c r="AG212" s="50">
        <v>1.0</v>
      </c>
      <c r="AH212" s="50">
        <v>3.0</v>
      </c>
      <c r="AI212" s="50">
        <v>0.0</v>
      </c>
      <c r="AJ212" s="116"/>
      <c r="AK212" s="50" t="s">
        <v>9488</v>
      </c>
      <c r="AL212" s="50">
        <v>7.0</v>
      </c>
      <c r="AM212" s="50">
        <v>0.0</v>
      </c>
      <c r="AN212" s="50" t="s">
        <v>6901</v>
      </c>
      <c r="AO212" s="117">
        <v>4122.0</v>
      </c>
      <c r="AP212" s="50" t="s">
        <v>9489</v>
      </c>
      <c r="AQ212" s="50" t="s">
        <v>9490</v>
      </c>
      <c r="AR212" s="117">
        <v>211.0</v>
      </c>
    </row>
    <row r="213">
      <c r="A213" s="50" t="s">
        <v>9478</v>
      </c>
      <c r="B213" s="50" t="s">
        <v>6876</v>
      </c>
      <c r="C213" s="50" t="s">
        <v>6877</v>
      </c>
      <c r="D213" s="50" t="s">
        <v>8493</v>
      </c>
      <c r="E213" s="144">
        <v>43721.0</v>
      </c>
      <c r="F213" s="50" t="s">
        <v>9493</v>
      </c>
      <c r="G213" s="50">
        <v>58.0</v>
      </c>
      <c r="H213" s="50">
        <v>1.0</v>
      </c>
      <c r="I213" s="50">
        <v>99.0</v>
      </c>
      <c r="J213" s="116"/>
      <c r="K213" s="116"/>
      <c r="L213" s="50" t="s">
        <v>1217</v>
      </c>
      <c r="M213" s="50" t="s">
        <v>1217</v>
      </c>
      <c r="N213" s="50" t="s">
        <v>9479</v>
      </c>
      <c r="O213" s="50" t="s">
        <v>9494</v>
      </c>
      <c r="P213" s="50" t="s">
        <v>9495</v>
      </c>
      <c r="Q213" s="50" t="s">
        <v>9496</v>
      </c>
      <c r="R213" s="116"/>
      <c r="S213" s="116"/>
      <c r="T213" s="116"/>
      <c r="U213" s="116"/>
      <c r="V213" s="116"/>
      <c r="W213" s="50">
        <v>7.0</v>
      </c>
      <c r="X213" s="50">
        <v>100.0</v>
      </c>
      <c r="Y213" s="50">
        <v>3.0</v>
      </c>
      <c r="Z213" s="50">
        <v>0.0</v>
      </c>
      <c r="AA213" s="116"/>
      <c r="AB213" s="116"/>
      <c r="AC213" s="116"/>
      <c r="AD213" s="116"/>
      <c r="AE213" s="116"/>
      <c r="AF213" s="116"/>
      <c r="AG213" s="116"/>
      <c r="AH213" s="116"/>
      <c r="AI213" s="116"/>
      <c r="AJ213" s="116"/>
      <c r="AK213" s="50" t="s">
        <v>9497</v>
      </c>
      <c r="AL213" s="50">
        <v>7.0</v>
      </c>
      <c r="AM213" s="50">
        <v>0.0</v>
      </c>
      <c r="AN213" s="50" t="s">
        <v>6901</v>
      </c>
      <c r="AO213" s="117">
        <v>4123.0</v>
      </c>
      <c r="AP213" s="50" t="s">
        <v>9498</v>
      </c>
      <c r="AQ213" s="50" t="s">
        <v>9502</v>
      </c>
      <c r="AR213" s="117">
        <v>212.0</v>
      </c>
    </row>
    <row r="214">
      <c r="A214" s="50" t="s">
        <v>9493</v>
      </c>
      <c r="B214" s="50" t="s">
        <v>6876</v>
      </c>
      <c r="C214" s="50" t="s">
        <v>6877</v>
      </c>
      <c r="D214" s="50" t="s">
        <v>8493</v>
      </c>
      <c r="E214" s="144">
        <v>43721.0</v>
      </c>
      <c r="F214" s="50" t="s">
        <v>9504</v>
      </c>
      <c r="G214" s="50">
        <v>58.0</v>
      </c>
      <c r="H214" s="50">
        <v>1.0</v>
      </c>
      <c r="I214" s="50">
        <v>11.0</v>
      </c>
      <c r="J214" s="116"/>
      <c r="K214" s="116"/>
      <c r="L214" s="50" t="s">
        <v>1211</v>
      </c>
      <c r="M214" s="50" t="s">
        <v>1211</v>
      </c>
      <c r="N214" s="50" t="s">
        <v>9479</v>
      </c>
      <c r="O214" s="50" t="s">
        <v>9505</v>
      </c>
      <c r="P214" s="50" t="s">
        <v>9507</v>
      </c>
      <c r="Q214" s="50" t="s">
        <v>9509</v>
      </c>
      <c r="R214" s="116"/>
      <c r="S214" s="116"/>
      <c r="T214" s="116"/>
      <c r="U214" s="116"/>
      <c r="V214" s="116"/>
      <c r="W214" s="50">
        <v>3.0</v>
      </c>
      <c r="X214" s="50">
        <v>1.0</v>
      </c>
      <c r="Y214" s="50">
        <v>3.0</v>
      </c>
      <c r="Z214" s="50">
        <v>3.0</v>
      </c>
      <c r="AA214" s="50">
        <v>2.0</v>
      </c>
      <c r="AB214" s="50">
        <v>1.0</v>
      </c>
      <c r="AC214" s="50">
        <v>3.0</v>
      </c>
      <c r="AD214" s="50">
        <v>0.0</v>
      </c>
      <c r="AE214" s="50">
        <v>1.0</v>
      </c>
      <c r="AF214" s="50">
        <v>1.0</v>
      </c>
      <c r="AG214" s="50">
        <v>1.0</v>
      </c>
      <c r="AH214" s="50">
        <v>3.0</v>
      </c>
      <c r="AI214" s="50">
        <v>0.0</v>
      </c>
      <c r="AJ214" s="116"/>
      <c r="AK214" s="50" t="s">
        <v>9510</v>
      </c>
      <c r="AL214" s="50">
        <v>7.0</v>
      </c>
      <c r="AM214" s="50">
        <v>0.0</v>
      </c>
      <c r="AN214" s="50" t="s">
        <v>6901</v>
      </c>
      <c r="AO214" s="117">
        <v>4124.0</v>
      </c>
      <c r="AP214" s="50" t="s">
        <v>9511</v>
      </c>
      <c r="AQ214" s="50" t="s">
        <v>9513</v>
      </c>
      <c r="AR214" s="117">
        <v>213.0</v>
      </c>
    </row>
    <row r="215">
      <c r="A215" s="50" t="s">
        <v>9504</v>
      </c>
      <c r="B215" s="50" t="s">
        <v>6876</v>
      </c>
      <c r="C215" s="50" t="s">
        <v>6877</v>
      </c>
      <c r="D215" s="50" t="s">
        <v>8493</v>
      </c>
      <c r="E215" s="144">
        <v>43721.0</v>
      </c>
      <c r="F215" s="50" t="s">
        <v>9516</v>
      </c>
      <c r="G215" s="50">
        <v>58.0</v>
      </c>
      <c r="H215" s="50">
        <v>1.0</v>
      </c>
      <c r="I215" s="50">
        <v>99.0</v>
      </c>
      <c r="J215" s="116"/>
      <c r="K215" s="116"/>
      <c r="L215" s="50" t="s">
        <v>1212</v>
      </c>
      <c r="M215" s="50" t="s">
        <v>1212</v>
      </c>
      <c r="N215" s="50" t="s">
        <v>9479</v>
      </c>
      <c r="O215" s="50" t="s">
        <v>9494</v>
      </c>
      <c r="P215" s="50" t="s">
        <v>9437</v>
      </c>
      <c r="Q215" s="50" t="s">
        <v>9519</v>
      </c>
      <c r="R215" s="116"/>
      <c r="S215" s="116"/>
      <c r="T215" s="116"/>
      <c r="U215" s="116"/>
      <c r="V215" s="116"/>
      <c r="W215" s="50">
        <v>7.0</v>
      </c>
      <c r="X215" s="50">
        <v>100.0</v>
      </c>
      <c r="Y215" s="50">
        <v>3.0</v>
      </c>
      <c r="Z215" s="50">
        <v>16.0</v>
      </c>
      <c r="AA215" s="116"/>
      <c r="AB215" s="116"/>
      <c r="AC215" s="116"/>
      <c r="AD215" s="116"/>
      <c r="AE215" s="116"/>
      <c r="AF215" s="116"/>
      <c r="AG215" s="116"/>
      <c r="AH215" s="116"/>
      <c r="AI215" s="116"/>
      <c r="AJ215" s="116"/>
      <c r="AK215" s="50" t="s">
        <v>9522</v>
      </c>
      <c r="AL215" s="50">
        <v>7.0</v>
      </c>
      <c r="AM215" s="50">
        <v>0.0</v>
      </c>
      <c r="AN215" s="50" t="s">
        <v>6901</v>
      </c>
      <c r="AO215" s="117">
        <v>4125.0</v>
      </c>
      <c r="AP215" s="50" t="s">
        <v>9523</v>
      </c>
      <c r="AQ215" s="50" t="s">
        <v>9524</v>
      </c>
      <c r="AR215" s="117">
        <v>214.0</v>
      </c>
    </row>
    <row r="216">
      <c r="A216" s="50" t="s">
        <v>9516</v>
      </c>
      <c r="B216" s="50" t="s">
        <v>6876</v>
      </c>
      <c r="C216" s="50" t="s">
        <v>6877</v>
      </c>
      <c r="D216" s="50" t="s">
        <v>8493</v>
      </c>
      <c r="E216" s="144">
        <v>43721.0</v>
      </c>
      <c r="F216" s="50" t="s">
        <v>9525</v>
      </c>
      <c r="G216" s="50">
        <v>57.0</v>
      </c>
      <c r="H216" s="50">
        <v>1.0</v>
      </c>
      <c r="I216" s="50">
        <v>16.0</v>
      </c>
      <c r="J216" s="116"/>
      <c r="K216" s="116"/>
      <c r="L216" s="50" t="s">
        <v>1230</v>
      </c>
      <c r="M216" s="50" t="s">
        <v>1230</v>
      </c>
      <c r="N216" s="50" t="s">
        <v>9479</v>
      </c>
      <c r="O216" s="50" t="s">
        <v>9526</v>
      </c>
      <c r="P216" s="50" t="s">
        <v>9527</v>
      </c>
      <c r="Q216" s="50" t="s">
        <v>9529</v>
      </c>
      <c r="R216" s="116"/>
      <c r="S216" s="116"/>
      <c r="T216" s="116"/>
      <c r="U216" s="116"/>
      <c r="V216" s="116"/>
      <c r="W216" s="50">
        <v>4.0</v>
      </c>
      <c r="X216" s="50">
        <v>1.0</v>
      </c>
      <c r="Y216" s="50">
        <v>1.0</v>
      </c>
      <c r="Z216" s="116"/>
      <c r="AA216" s="50">
        <v>3.0</v>
      </c>
      <c r="AB216" s="50">
        <v>1.0</v>
      </c>
      <c r="AC216" s="50">
        <v>3.0</v>
      </c>
      <c r="AD216" s="50">
        <v>60.0</v>
      </c>
      <c r="AE216" s="50">
        <v>1.0</v>
      </c>
      <c r="AF216" s="50">
        <v>2.0</v>
      </c>
      <c r="AG216" s="50">
        <v>1.0</v>
      </c>
      <c r="AH216" s="50">
        <v>3.0</v>
      </c>
      <c r="AI216" s="50">
        <v>3.0</v>
      </c>
      <c r="AJ216" s="116"/>
      <c r="AK216" s="50" t="s">
        <v>9535</v>
      </c>
      <c r="AL216" s="50">
        <v>6.0</v>
      </c>
      <c r="AM216" s="50">
        <v>0.0</v>
      </c>
      <c r="AN216" s="50" t="s">
        <v>6901</v>
      </c>
      <c r="AO216" s="117">
        <v>4126.0</v>
      </c>
      <c r="AP216" s="50" t="s">
        <v>9536</v>
      </c>
      <c r="AQ216" s="50" t="s">
        <v>9537</v>
      </c>
      <c r="AR216" s="117">
        <v>215.0</v>
      </c>
    </row>
    <row r="217">
      <c r="A217" s="50" t="s">
        <v>9525</v>
      </c>
      <c r="B217" s="50" t="s">
        <v>6876</v>
      </c>
      <c r="C217" s="50" t="s">
        <v>6877</v>
      </c>
      <c r="D217" s="50" t="s">
        <v>8493</v>
      </c>
      <c r="E217" s="144">
        <v>43721.0</v>
      </c>
      <c r="F217" s="50" t="s">
        <v>9539</v>
      </c>
      <c r="G217" s="50">
        <v>33.0</v>
      </c>
      <c r="H217" s="50">
        <v>1.0</v>
      </c>
      <c r="I217" s="50">
        <v>98.0</v>
      </c>
      <c r="J217" s="116"/>
      <c r="K217" s="116"/>
      <c r="L217" s="50" t="s">
        <v>1231</v>
      </c>
      <c r="M217" s="50" t="s">
        <v>1231</v>
      </c>
      <c r="N217" s="50" t="s">
        <v>9526</v>
      </c>
      <c r="O217" s="50" t="s">
        <v>9526</v>
      </c>
      <c r="P217" s="50" t="s">
        <v>9527</v>
      </c>
      <c r="Q217" s="50" t="s">
        <v>9529</v>
      </c>
      <c r="R217" s="116"/>
      <c r="S217" s="116"/>
      <c r="T217" s="116"/>
      <c r="U217" s="116"/>
      <c r="V217" s="116"/>
      <c r="W217" s="50">
        <v>7.0</v>
      </c>
      <c r="X217" s="50">
        <v>100.0</v>
      </c>
      <c r="Y217" s="50">
        <v>3.0</v>
      </c>
      <c r="Z217" s="50">
        <v>0.0</v>
      </c>
      <c r="AA217" s="116"/>
      <c r="AB217" s="116"/>
      <c r="AC217" s="116"/>
      <c r="AD217" s="116"/>
      <c r="AE217" s="116"/>
      <c r="AF217" s="116"/>
      <c r="AG217" s="116"/>
      <c r="AH217" s="116"/>
      <c r="AI217" s="116"/>
      <c r="AJ217" s="116"/>
      <c r="AK217" s="50" t="s">
        <v>8213</v>
      </c>
      <c r="AL217" s="50">
        <v>6.0</v>
      </c>
      <c r="AM217" s="50">
        <v>0.0</v>
      </c>
      <c r="AN217" s="50" t="s">
        <v>6901</v>
      </c>
      <c r="AO217" s="117">
        <v>4127.0</v>
      </c>
      <c r="AP217" s="50" t="s">
        <v>9546</v>
      </c>
      <c r="AQ217" s="50" t="s">
        <v>9547</v>
      </c>
      <c r="AR217" s="117">
        <v>216.0</v>
      </c>
    </row>
    <row r="218">
      <c r="A218" s="50" t="s">
        <v>9539</v>
      </c>
      <c r="B218" s="50" t="s">
        <v>6876</v>
      </c>
      <c r="C218" s="50" t="s">
        <v>6877</v>
      </c>
      <c r="D218" s="50" t="s">
        <v>8493</v>
      </c>
      <c r="E218" s="144">
        <v>43721.0</v>
      </c>
      <c r="F218" s="50" t="s">
        <v>9548</v>
      </c>
      <c r="G218" s="50">
        <v>58.0</v>
      </c>
      <c r="H218" s="50">
        <v>1.0</v>
      </c>
      <c r="I218" s="50">
        <v>10.0</v>
      </c>
      <c r="J218" s="116"/>
      <c r="K218" s="116"/>
      <c r="L218" s="50" t="s">
        <v>1227</v>
      </c>
      <c r="M218" s="50" t="s">
        <v>1227</v>
      </c>
      <c r="N218" s="50" t="s">
        <v>9549</v>
      </c>
      <c r="O218" s="50" t="s">
        <v>9550</v>
      </c>
      <c r="P218" s="50" t="s">
        <v>9551</v>
      </c>
      <c r="Q218" s="50" t="s">
        <v>9552</v>
      </c>
      <c r="R218" s="116"/>
      <c r="S218" s="50">
        <v>122.0</v>
      </c>
      <c r="T218" s="116"/>
      <c r="U218" s="116"/>
      <c r="V218" s="116"/>
      <c r="W218" s="50">
        <v>7.0</v>
      </c>
      <c r="X218" s="50">
        <v>1.0</v>
      </c>
      <c r="Y218" s="50">
        <v>2.0</v>
      </c>
      <c r="Z218" s="116"/>
      <c r="AA218" s="50">
        <v>6.0</v>
      </c>
      <c r="AB218" s="50">
        <v>1.0</v>
      </c>
      <c r="AC218" s="50">
        <v>2.0</v>
      </c>
      <c r="AD218" s="116"/>
      <c r="AE218" s="50">
        <v>1.0</v>
      </c>
      <c r="AF218" s="50">
        <v>5.0</v>
      </c>
      <c r="AG218" s="50">
        <v>1.0</v>
      </c>
      <c r="AH218" s="50">
        <v>3.0</v>
      </c>
      <c r="AI218" s="50">
        <v>0.0</v>
      </c>
      <c r="AJ218" s="116"/>
      <c r="AK218" s="50" t="s">
        <v>9559</v>
      </c>
      <c r="AL218" s="50">
        <v>7.0</v>
      </c>
      <c r="AM218" s="50">
        <v>0.0</v>
      </c>
      <c r="AN218" s="50" t="s">
        <v>6901</v>
      </c>
      <c r="AO218" s="117">
        <v>4128.0</v>
      </c>
      <c r="AP218" s="50" t="s">
        <v>9560</v>
      </c>
      <c r="AQ218" s="50" t="s">
        <v>9561</v>
      </c>
      <c r="AR218" s="117">
        <v>217.0</v>
      </c>
    </row>
    <row r="219">
      <c r="A219" s="50" t="s">
        <v>9562</v>
      </c>
      <c r="B219" s="50" t="s">
        <v>6876</v>
      </c>
      <c r="C219" s="50" t="s">
        <v>6877</v>
      </c>
      <c r="D219" s="50" t="s">
        <v>8493</v>
      </c>
      <c r="E219" s="144">
        <v>43721.0</v>
      </c>
      <c r="F219" s="50" t="s">
        <v>9563</v>
      </c>
      <c r="G219" s="50">
        <v>58.0</v>
      </c>
      <c r="H219" s="50">
        <v>1.0</v>
      </c>
      <c r="I219" s="50">
        <v>10.0</v>
      </c>
      <c r="J219" s="116"/>
      <c r="K219" s="116"/>
      <c r="L219" s="50" t="s">
        <v>1228</v>
      </c>
      <c r="M219" s="50" t="s">
        <v>1228</v>
      </c>
      <c r="N219" s="50" t="s">
        <v>9549</v>
      </c>
      <c r="O219" s="50" t="s">
        <v>9550</v>
      </c>
      <c r="P219" s="50" t="s">
        <v>9551</v>
      </c>
      <c r="Q219" s="50" t="s">
        <v>9552</v>
      </c>
      <c r="R219" s="116"/>
      <c r="S219" s="50">
        <v>107.2</v>
      </c>
      <c r="T219" s="116"/>
      <c r="U219" s="116"/>
      <c r="V219" s="116"/>
      <c r="W219" s="50">
        <v>7.0</v>
      </c>
      <c r="X219" s="50">
        <v>1.0</v>
      </c>
      <c r="Y219" s="50">
        <v>3.0</v>
      </c>
      <c r="Z219" s="50">
        <v>0.0</v>
      </c>
      <c r="AA219" s="50">
        <v>6.0</v>
      </c>
      <c r="AB219" s="50">
        <v>1.0</v>
      </c>
      <c r="AC219" s="50">
        <v>3.0</v>
      </c>
      <c r="AD219" s="50">
        <v>0.0</v>
      </c>
      <c r="AE219" s="50">
        <v>1.0</v>
      </c>
      <c r="AF219" s="50">
        <v>5.0</v>
      </c>
      <c r="AG219" s="50">
        <v>1.0</v>
      </c>
      <c r="AH219" s="50">
        <v>3.0</v>
      </c>
      <c r="AI219" s="50">
        <v>0.0</v>
      </c>
      <c r="AJ219" s="116"/>
      <c r="AK219" s="50" t="s">
        <v>9568</v>
      </c>
      <c r="AL219" s="50">
        <v>7.0</v>
      </c>
      <c r="AM219" s="50">
        <v>0.0</v>
      </c>
      <c r="AN219" s="50" t="s">
        <v>6901</v>
      </c>
      <c r="AO219" s="117">
        <v>4129.0</v>
      </c>
      <c r="AP219" s="50" t="s">
        <v>9569</v>
      </c>
      <c r="AQ219" s="50" t="s">
        <v>9570</v>
      </c>
      <c r="AR219" s="117">
        <v>218.0</v>
      </c>
    </row>
    <row r="220">
      <c r="A220" s="50" t="s">
        <v>9563</v>
      </c>
      <c r="B220" s="50" t="s">
        <v>6876</v>
      </c>
      <c r="C220" s="50" t="s">
        <v>6877</v>
      </c>
      <c r="D220" s="50" t="s">
        <v>8493</v>
      </c>
      <c r="E220" s="144">
        <v>43721.0</v>
      </c>
      <c r="F220" s="50" t="s">
        <v>9573</v>
      </c>
      <c r="G220" s="50">
        <v>58.0</v>
      </c>
      <c r="H220" s="50">
        <v>1.0</v>
      </c>
      <c r="I220" s="50">
        <v>99.0</v>
      </c>
      <c r="J220" s="116"/>
      <c r="K220" s="116"/>
      <c r="L220" s="50" t="s">
        <v>1208</v>
      </c>
      <c r="M220" s="50" t="s">
        <v>1208</v>
      </c>
      <c r="N220" s="50" t="s">
        <v>9549</v>
      </c>
      <c r="O220" s="50" t="s">
        <v>9550</v>
      </c>
      <c r="P220" s="50" t="s">
        <v>9551</v>
      </c>
      <c r="Q220" s="50" t="s">
        <v>9552</v>
      </c>
      <c r="R220" s="116"/>
      <c r="S220" s="116"/>
      <c r="T220" s="116"/>
      <c r="U220" s="116"/>
      <c r="V220" s="116"/>
      <c r="W220" s="50">
        <v>7.0</v>
      </c>
      <c r="X220" s="50">
        <v>100.0</v>
      </c>
      <c r="Y220" s="50">
        <v>3.0</v>
      </c>
      <c r="Z220" s="50">
        <v>0.0</v>
      </c>
      <c r="AA220" s="116"/>
      <c r="AB220" s="116"/>
      <c r="AC220" s="116"/>
      <c r="AD220" s="116"/>
      <c r="AE220" s="116"/>
      <c r="AF220" s="116"/>
      <c r="AG220" s="116"/>
      <c r="AH220" s="116"/>
      <c r="AI220" s="116"/>
      <c r="AJ220" s="116"/>
      <c r="AK220" s="50" t="s">
        <v>9578</v>
      </c>
      <c r="AL220" s="50">
        <v>6.0</v>
      </c>
      <c r="AM220" s="50">
        <v>0.0</v>
      </c>
      <c r="AN220" s="50" t="s">
        <v>6901</v>
      </c>
      <c r="AO220" s="117">
        <v>4130.0</v>
      </c>
      <c r="AP220" s="50" t="s">
        <v>9579</v>
      </c>
      <c r="AQ220" s="50" t="s">
        <v>9580</v>
      </c>
      <c r="AR220" s="117">
        <v>219.0</v>
      </c>
    </row>
    <row r="221">
      <c r="A221" s="50" t="s">
        <v>9581</v>
      </c>
      <c r="B221" s="50" t="s">
        <v>6876</v>
      </c>
      <c r="C221" s="50" t="s">
        <v>6877</v>
      </c>
      <c r="D221" s="50" t="s">
        <v>8493</v>
      </c>
      <c r="E221" s="144">
        <v>43721.0</v>
      </c>
      <c r="F221" s="50" t="s">
        <v>9584</v>
      </c>
      <c r="G221" s="50">
        <v>58.0</v>
      </c>
      <c r="H221" s="50">
        <v>1.0</v>
      </c>
      <c r="I221" s="50">
        <v>99.0</v>
      </c>
      <c r="J221" s="116"/>
      <c r="K221" s="116"/>
      <c r="L221" s="50" t="s">
        <v>1129</v>
      </c>
      <c r="M221" s="50" t="s">
        <v>1129</v>
      </c>
      <c r="N221" s="50" t="s">
        <v>9585</v>
      </c>
      <c r="O221" s="50" t="s">
        <v>9586</v>
      </c>
      <c r="P221" s="50" t="s">
        <v>9587</v>
      </c>
      <c r="Q221" s="50" t="s">
        <v>9588</v>
      </c>
      <c r="R221" s="116"/>
      <c r="S221" s="116"/>
      <c r="T221" s="116"/>
      <c r="U221" s="116"/>
      <c r="V221" s="116"/>
      <c r="W221" s="50">
        <v>7.0</v>
      </c>
      <c r="X221" s="50">
        <v>100.0</v>
      </c>
      <c r="Y221" s="50">
        <v>3.0</v>
      </c>
      <c r="Z221" s="50">
        <v>0.0</v>
      </c>
      <c r="AA221" s="116"/>
      <c r="AB221" s="116"/>
      <c r="AC221" s="116"/>
      <c r="AD221" s="116"/>
      <c r="AE221" s="116"/>
      <c r="AF221" s="116"/>
      <c r="AG221" s="116"/>
      <c r="AH221" s="116"/>
      <c r="AI221" s="116"/>
      <c r="AJ221" s="116"/>
      <c r="AK221" s="50" t="s">
        <v>9593</v>
      </c>
      <c r="AL221" s="50">
        <v>3.0</v>
      </c>
      <c r="AM221" s="50">
        <v>0.0</v>
      </c>
      <c r="AN221" s="50" t="s">
        <v>6901</v>
      </c>
      <c r="AO221" s="117">
        <v>4131.0</v>
      </c>
      <c r="AP221" s="50" t="s">
        <v>9594</v>
      </c>
      <c r="AQ221" s="50" t="s">
        <v>9595</v>
      </c>
      <c r="AR221" s="117">
        <v>220.0</v>
      </c>
    </row>
    <row r="222">
      <c r="A222" s="50" t="s">
        <v>9584</v>
      </c>
      <c r="B222" s="50" t="s">
        <v>6876</v>
      </c>
      <c r="C222" s="50" t="s">
        <v>6877</v>
      </c>
      <c r="D222" s="50" t="s">
        <v>8493</v>
      </c>
      <c r="E222" s="144">
        <v>43721.0</v>
      </c>
      <c r="F222" s="50" t="s">
        <v>9598</v>
      </c>
      <c r="G222" s="50">
        <v>58.0</v>
      </c>
      <c r="H222" s="50">
        <v>1.0</v>
      </c>
      <c r="I222" s="50">
        <v>99.0</v>
      </c>
      <c r="J222" s="116"/>
      <c r="K222" s="116"/>
      <c r="L222" s="50" t="s">
        <v>1125</v>
      </c>
      <c r="M222" s="50" t="s">
        <v>1125</v>
      </c>
      <c r="N222" s="50" t="s">
        <v>9585</v>
      </c>
      <c r="O222" s="50" t="s">
        <v>9586</v>
      </c>
      <c r="P222" s="50" t="s">
        <v>9587</v>
      </c>
      <c r="Q222" s="50" t="s">
        <v>9588</v>
      </c>
      <c r="R222" s="116"/>
      <c r="S222" s="116"/>
      <c r="T222" s="116"/>
      <c r="U222" s="116"/>
      <c r="V222" s="116"/>
      <c r="W222" s="50">
        <v>7.0</v>
      </c>
      <c r="X222" s="50">
        <v>100.0</v>
      </c>
      <c r="Y222" s="50">
        <v>3.0</v>
      </c>
      <c r="Z222" s="50">
        <v>0.0</v>
      </c>
      <c r="AA222" s="116"/>
      <c r="AB222" s="116"/>
      <c r="AC222" s="116"/>
      <c r="AD222" s="116"/>
      <c r="AE222" s="116"/>
      <c r="AF222" s="116"/>
      <c r="AG222" s="116"/>
      <c r="AH222" s="116"/>
      <c r="AI222" s="116"/>
      <c r="AJ222" s="116"/>
      <c r="AK222" s="50" t="s">
        <v>9603</v>
      </c>
      <c r="AL222" s="50">
        <v>3.0</v>
      </c>
      <c r="AM222" s="50">
        <v>0.0</v>
      </c>
      <c r="AN222" s="50" t="s">
        <v>6901</v>
      </c>
      <c r="AO222" s="117">
        <v>4132.0</v>
      </c>
      <c r="AP222" s="50" t="s">
        <v>9604</v>
      </c>
      <c r="AQ222" s="50" t="s">
        <v>9606</v>
      </c>
      <c r="AR222" s="117">
        <v>221.0</v>
      </c>
    </row>
    <row r="223">
      <c r="A223" s="50" t="s">
        <v>9608</v>
      </c>
      <c r="B223" s="50" t="s">
        <v>6876</v>
      </c>
      <c r="C223" s="50" t="s">
        <v>6877</v>
      </c>
      <c r="D223" s="50" t="s">
        <v>8493</v>
      </c>
      <c r="E223" s="144">
        <v>43724.0</v>
      </c>
      <c r="F223" s="50" t="s">
        <v>9609</v>
      </c>
      <c r="G223" s="50">
        <v>58.0</v>
      </c>
      <c r="H223" s="50">
        <v>1.0</v>
      </c>
      <c r="I223" s="50">
        <v>99.0</v>
      </c>
      <c r="J223" s="116"/>
      <c r="K223" s="116"/>
      <c r="L223" s="50" t="s">
        <v>1246</v>
      </c>
      <c r="M223" s="50" t="s">
        <v>1246</v>
      </c>
      <c r="N223" s="50" t="s">
        <v>9610</v>
      </c>
      <c r="O223" s="50" t="s">
        <v>9611</v>
      </c>
      <c r="P223" s="50" t="s">
        <v>9612</v>
      </c>
      <c r="Q223" s="50" t="s">
        <v>9613</v>
      </c>
      <c r="R223" s="116"/>
      <c r="S223" s="116"/>
      <c r="T223" s="116"/>
      <c r="U223" s="116"/>
      <c r="V223" s="116"/>
      <c r="W223" s="50">
        <v>7.0</v>
      </c>
      <c r="X223" s="50">
        <v>100.0</v>
      </c>
      <c r="Y223" s="50">
        <v>3.0</v>
      </c>
      <c r="Z223" s="50">
        <v>10.0</v>
      </c>
      <c r="AA223" s="116"/>
      <c r="AB223" s="116"/>
      <c r="AC223" s="116"/>
      <c r="AD223" s="116"/>
      <c r="AE223" s="116"/>
      <c r="AF223" s="116"/>
      <c r="AG223" s="116"/>
      <c r="AH223" s="116"/>
      <c r="AI223" s="116"/>
      <c r="AJ223" s="116"/>
      <c r="AK223" s="50" t="s">
        <v>9618</v>
      </c>
      <c r="AL223" s="50">
        <v>6.0</v>
      </c>
      <c r="AM223" s="50">
        <v>1.0</v>
      </c>
      <c r="AN223" s="50" t="s">
        <v>6901</v>
      </c>
      <c r="AO223" s="117">
        <v>4280.0</v>
      </c>
      <c r="AP223" s="50" t="s">
        <v>9619</v>
      </c>
      <c r="AQ223" s="50" t="s">
        <v>9620</v>
      </c>
      <c r="AR223" s="117">
        <v>222.0</v>
      </c>
    </row>
    <row r="224">
      <c r="A224" s="50" t="s">
        <v>9609</v>
      </c>
      <c r="B224" s="50" t="s">
        <v>6876</v>
      </c>
      <c r="C224" s="50" t="s">
        <v>6877</v>
      </c>
      <c r="D224" s="50" t="s">
        <v>8493</v>
      </c>
      <c r="E224" s="144">
        <v>43724.0</v>
      </c>
      <c r="F224" s="50" t="s">
        <v>9623</v>
      </c>
      <c r="G224" s="50">
        <v>58.0</v>
      </c>
      <c r="H224" s="50">
        <v>1.0</v>
      </c>
      <c r="I224" s="50">
        <v>14.0</v>
      </c>
      <c r="J224" s="50">
        <v>141.0</v>
      </c>
      <c r="K224" s="116"/>
      <c r="L224" s="50" t="s">
        <v>638</v>
      </c>
      <c r="M224" s="50" t="s">
        <v>638</v>
      </c>
      <c r="N224" s="50" t="s">
        <v>9610</v>
      </c>
      <c r="O224" s="50" t="s">
        <v>9611</v>
      </c>
      <c r="P224" s="50" t="s">
        <v>9612</v>
      </c>
      <c r="Q224" s="50" t="s">
        <v>9613</v>
      </c>
      <c r="R224" s="116"/>
      <c r="S224" s="116"/>
      <c r="T224" s="116"/>
      <c r="U224" s="116"/>
      <c r="V224" s="116"/>
      <c r="W224" s="50">
        <v>7.0</v>
      </c>
      <c r="X224" s="50">
        <v>10.0</v>
      </c>
      <c r="Y224" s="50">
        <v>2.0</v>
      </c>
      <c r="Z224" s="116"/>
      <c r="AA224" s="50">
        <v>6.0</v>
      </c>
      <c r="AB224" s="50">
        <v>1.0</v>
      </c>
      <c r="AC224" s="50">
        <v>3.0</v>
      </c>
      <c r="AD224" s="50">
        <v>0.0</v>
      </c>
      <c r="AE224" s="50">
        <v>0.0</v>
      </c>
      <c r="AF224" s="116"/>
      <c r="AG224" s="116"/>
      <c r="AH224" s="116"/>
      <c r="AI224" s="116"/>
      <c r="AJ224" s="116"/>
      <c r="AK224" s="50" t="s">
        <v>9624</v>
      </c>
      <c r="AL224" s="50">
        <v>4.0</v>
      </c>
      <c r="AM224" s="50">
        <v>1.0</v>
      </c>
      <c r="AN224" s="50" t="s">
        <v>6901</v>
      </c>
      <c r="AO224" s="117">
        <v>4281.0</v>
      </c>
      <c r="AP224" s="50" t="s">
        <v>9625</v>
      </c>
      <c r="AQ224" s="50" t="s">
        <v>9626</v>
      </c>
      <c r="AR224" s="117">
        <v>223.0</v>
      </c>
    </row>
    <row r="225">
      <c r="A225" s="50" t="s">
        <v>9623</v>
      </c>
      <c r="B225" s="50" t="s">
        <v>6876</v>
      </c>
      <c r="C225" s="50" t="s">
        <v>6877</v>
      </c>
      <c r="D225" s="50" t="s">
        <v>8493</v>
      </c>
      <c r="E225" s="144">
        <v>43724.0</v>
      </c>
      <c r="F225" s="50" t="s">
        <v>9631</v>
      </c>
      <c r="G225" s="50">
        <v>58.0</v>
      </c>
      <c r="H225" s="50">
        <v>1.0</v>
      </c>
      <c r="I225" s="50">
        <v>14.0</v>
      </c>
      <c r="J225" s="50">
        <v>143.0</v>
      </c>
      <c r="K225" s="116"/>
      <c r="L225" s="50" t="s">
        <v>641</v>
      </c>
      <c r="M225" s="50" t="s">
        <v>641</v>
      </c>
      <c r="N225" s="50" t="s">
        <v>9610</v>
      </c>
      <c r="O225" s="50" t="s">
        <v>9612</v>
      </c>
      <c r="P225" s="50" t="s">
        <v>9632</v>
      </c>
      <c r="Q225" s="50" t="s">
        <v>9633</v>
      </c>
      <c r="R225" s="116"/>
      <c r="S225" s="116"/>
      <c r="T225" s="116"/>
      <c r="U225" s="116"/>
      <c r="V225" s="116"/>
      <c r="W225" s="50">
        <v>7.0</v>
      </c>
      <c r="X225" s="50">
        <v>10.0</v>
      </c>
      <c r="Y225" s="50">
        <v>3.0</v>
      </c>
      <c r="Z225" s="50">
        <v>0.0</v>
      </c>
      <c r="AA225" s="50">
        <v>6.0</v>
      </c>
      <c r="AB225" s="50">
        <v>1.0</v>
      </c>
      <c r="AC225" s="50">
        <v>3.0</v>
      </c>
      <c r="AD225" s="50">
        <v>0.0</v>
      </c>
      <c r="AE225" s="50">
        <v>0.0</v>
      </c>
      <c r="AF225" s="116"/>
      <c r="AG225" s="116"/>
      <c r="AH225" s="116"/>
      <c r="AI225" s="116"/>
      <c r="AJ225" s="116"/>
      <c r="AK225" s="50" t="s">
        <v>9636</v>
      </c>
      <c r="AL225" s="50">
        <v>4.0</v>
      </c>
      <c r="AM225" s="50">
        <v>1.0</v>
      </c>
      <c r="AN225" s="50" t="s">
        <v>6901</v>
      </c>
      <c r="AO225" s="117">
        <v>4282.0</v>
      </c>
      <c r="AP225" s="50" t="s">
        <v>9637</v>
      </c>
      <c r="AQ225" s="50" t="s">
        <v>9638</v>
      </c>
      <c r="AR225" s="117">
        <v>224.0</v>
      </c>
    </row>
    <row r="226">
      <c r="A226" s="50" t="s">
        <v>9631</v>
      </c>
      <c r="B226" s="50" t="s">
        <v>6876</v>
      </c>
      <c r="C226" s="50" t="s">
        <v>6877</v>
      </c>
      <c r="D226" s="50" t="s">
        <v>8493</v>
      </c>
      <c r="E226" s="144">
        <v>43724.0</v>
      </c>
      <c r="F226" s="50" t="s">
        <v>9639</v>
      </c>
      <c r="G226" s="50">
        <v>58.0</v>
      </c>
      <c r="H226" s="50">
        <v>1.0</v>
      </c>
      <c r="I226" s="50">
        <v>14.0</v>
      </c>
      <c r="J226" s="50">
        <v>143.0</v>
      </c>
      <c r="K226" s="116"/>
      <c r="L226" s="50" t="s">
        <v>644</v>
      </c>
      <c r="M226" s="50" t="s">
        <v>644</v>
      </c>
      <c r="N226" s="50" t="s">
        <v>9610</v>
      </c>
      <c r="O226" s="50" t="s">
        <v>9612</v>
      </c>
      <c r="P226" s="50" t="s">
        <v>9632</v>
      </c>
      <c r="Q226" s="50" t="s">
        <v>9633</v>
      </c>
      <c r="R226" s="116"/>
      <c r="S226" s="116"/>
      <c r="T226" s="116"/>
      <c r="U226" s="116"/>
      <c r="V226" s="116"/>
      <c r="W226" s="50">
        <v>7.0</v>
      </c>
      <c r="X226" s="50">
        <v>10.0</v>
      </c>
      <c r="Y226" s="50">
        <v>2.0</v>
      </c>
      <c r="Z226" s="116"/>
      <c r="AA226" s="50">
        <v>6.0</v>
      </c>
      <c r="AB226" s="50">
        <v>1.0</v>
      </c>
      <c r="AC226" s="50">
        <v>3.0</v>
      </c>
      <c r="AD226" s="50">
        <v>8.0</v>
      </c>
      <c r="AE226" s="50">
        <v>0.0</v>
      </c>
      <c r="AF226" s="116"/>
      <c r="AG226" s="116"/>
      <c r="AH226" s="116"/>
      <c r="AI226" s="116"/>
      <c r="AJ226" s="116"/>
      <c r="AK226" s="50" t="s">
        <v>8807</v>
      </c>
      <c r="AL226" s="50">
        <v>4.0</v>
      </c>
      <c r="AM226" s="50">
        <v>1.0</v>
      </c>
      <c r="AN226" s="50" t="s">
        <v>6901</v>
      </c>
      <c r="AO226" s="117">
        <v>4283.0</v>
      </c>
      <c r="AP226" s="50" t="s">
        <v>9646</v>
      </c>
      <c r="AQ226" s="50" t="s">
        <v>9647</v>
      </c>
      <c r="AR226" s="117">
        <v>225.0</v>
      </c>
    </row>
    <row r="227">
      <c r="A227" s="50" t="s">
        <v>9639</v>
      </c>
      <c r="B227" s="50" t="s">
        <v>6876</v>
      </c>
      <c r="C227" s="50" t="s">
        <v>6877</v>
      </c>
      <c r="D227" s="50" t="s">
        <v>8493</v>
      </c>
      <c r="E227" s="144">
        <v>43724.0</v>
      </c>
      <c r="F227" s="50" t="s">
        <v>9648</v>
      </c>
      <c r="G227" s="50">
        <v>58.0</v>
      </c>
      <c r="H227" s="50">
        <v>1.0</v>
      </c>
      <c r="I227" s="50">
        <v>14.0</v>
      </c>
      <c r="J227" s="50">
        <v>144.0</v>
      </c>
      <c r="K227" s="116"/>
      <c r="L227" s="50" t="s">
        <v>646</v>
      </c>
      <c r="M227" s="50" t="s">
        <v>646</v>
      </c>
      <c r="N227" s="50" t="s">
        <v>9610</v>
      </c>
      <c r="O227" s="50" t="s">
        <v>9612</v>
      </c>
      <c r="P227" s="50" t="s">
        <v>9632</v>
      </c>
      <c r="Q227" s="50" t="s">
        <v>9633</v>
      </c>
      <c r="R227" s="116"/>
      <c r="S227" s="116"/>
      <c r="T227" s="116"/>
      <c r="U227" s="116"/>
      <c r="V227" s="116"/>
      <c r="W227" s="50">
        <v>7.0</v>
      </c>
      <c r="X227" s="50">
        <v>10.0</v>
      </c>
      <c r="Y227" s="50">
        <v>3.0</v>
      </c>
      <c r="Z227" s="50">
        <v>14.0</v>
      </c>
      <c r="AA227" s="50">
        <v>6.0</v>
      </c>
      <c r="AB227" s="50">
        <v>1.0</v>
      </c>
      <c r="AC227" s="50">
        <v>3.0</v>
      </c>
      <c r="AD227" s="50">
        <v>1.0</v>
      </c>
      <c r="AE227" s="50">
        <v>0.0</v>
      </c>
      <c r="AF227" s="116"/>
      <c r="AG227" s="116"/>
      <c r="AH227" s="116"/>
      <c r="AI227" s="116"/>
      <c r="AJ227" s="116"/>
      <c r="AK227" s="50" t="s">
        <v>9655</v>
      </c>
      <c r="AL227" s="50">
        <v>4.0</v>
      </c>
      <c r="AM227" s="50">
        <v>1.0</v>
      </c>
      <c r="AN227" s="50" t="s">
        <v>6901</v>
      </c>
      <c r="AO227" s="117">
        <v>4284.0</v>
      </c>
      <c r="AP227" s="50" t="s">
        <v>9656</v>
      </c>
      <c r="AQ227" s="50" t="s">
        <v>9657</v>
      </c>
      <c r="AR227" s="117">
        <v>226.0</v>
      </c>
    </row>
    <row r="228">
      <c r="A228" s="50" t="s">
        <v>9648</v>
      </c>
      <c r="B228" s="50" t="s">
        <v>6876</v>
      </c>
      <c r="C228" s="50" t="s">
        <v>6877</v>
      </c>
      <c r="D228" s="50" t="s">
        <v>8493</v>
      </c>
      <c r="E228" s="144">
        <v>43724.0</v>
      </c>
      <c r="F228" s="50" t="s">
        <v>9658</v>
      </c>
      <c r="G228" s="50">
        <v>58.0</v>
      </c>
      <c r="H228" s="50">
        <v>1.0</v>
      </c>
      <c r="I228" s="50">
        <v>14.0</v>
      </c>
      <c r="J228" s="50">
        <v>145.0</v>
      </c>
      <c r="K228" s="116"/>
      <c r="L228" s="50" t="s">
        <v>649</v>
      </c>
      <c r="M228" s="50" t="s">
        <v>649</v>
      </c>
      <c r="N228" s="50" t="s">
        <v>9610</v>
      </c>
      <c r="O228" s="50" t="s">
        <v>9612</v>
      </c>
      <c r="P228" s="50" t="s">
        <v>9632</v>
      </c>
      <c r="Q228" s="50" t="s">
        <v>9633</v>
      </c>
      <c r="R228" s="116"/>
      <c r="S228" s="116"/>
      <c r="T228" s="116"/>
      <c r="U228" s="116"/>
      <c r="V228" s="116"/>
      <c r="W228" s="50">
        <v>7.0</v>
      </c>
      <c r="X228" s="50">
        <v>10.0</v>
      </c>
      <c r="Y228" s="50">
        <v>2.0</v>
      </c>
      <c r="Z228" s="116"/>
      <c r="AA228" s="50">
        <v>6.0</v>
      </c>
      <c r="AB228" s="50">
        <v>1.0</v>
      </c>
      <c r="AC228" s="50">
        <v>3.0</v>
      </c>
      <c r="AD228" s="50">
        <v>3.0</v>
      </c>
      <c r="AE228" s="50">
        <v>0.0</v>
      </c>
      <c r="AF228" s="116"/>
      <c r="AG228" s="116"/>
      <c r="AH228" s="116"/>
      <c r="AI228" s="116"/>
      <c r="AJ228" s="116"/>
      <c r="AK228" s="50" t="s">
        <v>9664</v>
      </c>
      <c r="AL228" s="50">
        <v>4.0</v>
      </c>
      <c r="AM228" s="50">
        <v>1.0</v>
      </c>
      <c r="AN228" s="50" t="s">
        <v>6901</v>
      </c>
      <c r="AO228" s="117">
        <v>4285.0</v>
      </c>
      <c r="AP228" s="50" t="s">
        <v>9666</v>
      </c>
      <c r="AQ228" s="50" t="s">
        <v>9667</v>
      </c>
      <c r="AR228" s="117">
        <v>227.0</v>
      </c>
    </row>
    <row r="229">
      <c r="A229" s="50" t="s">
        <v>9658</v>
      </c>
      <c r="B229" s="50" t="s">
        <v>6876</v>
      </c>
      <c r="C229" s="50" t="s">
        <v>6877</v>
      </c>
      <c r="D229" s="50" t="s">
        <v>8493</v>
      </c>
      <c r="E229" s="144">
        <v>43724.0</v>
      </c>
      <c r="F229" s="50" t="s">
        <v>9668</v>
      </c>
      <c r="G229" s="50">
        <v>33.0</v>
      </c>
      <c r="H229" s="50">
        <v>1.0</v>
      </c>
      <c r="I229" s="50">
        <v>98.0</v>
      </c>
      <c r="J229" s="116"/>
      <c r="K229" s="116"/>
      <c r="L229" s="50" t="s">
        <v>1249</v>
      </c>
      <c r="M229" s="50" t="s">
        <v>1249</v>
      </c>
      <c r="N229" s="50" t="s">
        <v>9610</v>
      </c>
      <c r="O229" s="50" t="s">
        <v>9612</v>
      </c>
      <c r="P229" s="50" t="s">
        <v>9632</v>
      </c>
      <c r="Q229" s="50" t="s">
        <v>9633</v>
      </c>
      <c r="R229" s="116"/>
      <c r="S229" s="116"/>
      <c r="T229" s="116"/>
      <c r="U229" s="116"/>
      <c r="V229" s="116"/>
      <c r="W229" s="50">
        <v>7.0</v>
      </c>
      <c r="X229" s="50">
        <v>100.0</v>
      </c>
      <c r="Y229" s="50">
        <v>3.0</v>
      </c>
      <c r="Z229" s="50">
        <v>0.0</v>
      </c>
      <c r="AA229" s="116"/>
      <c r="AB229" s="116"/>
      <c r="AC229" s="116"/>
      <c r="AD229" s="116"/>
      <c r="AE229" s="116"/>
      <c r="AF229" s="116"/>
      <c r="AG229" s="116"/>
      <c r="AH229" s="116"/>
      <c r="AI229" s="116"/>
      <c r="AJ229" s="116"/>
      <c r="AK229" s="50" t="s">
        <v>8213</v>
      </c>
      <c r="AL229" s="50">
        <v>4.0</v>
      </c>
      <c r="AM229" s="50">
        <v>1.0</v>
      </c>
      <c r="AN229" s="50" t="s">
        <v>6901</v>
      </c>
      <c r="AO229" s="117">
        <v>4286.0</v>
      </c>
      <c r="AP229" s="50" t="s">
        <v>9673</v>
      </c>
      <c r="AQ229" s="50" t="s">
        <v>9674</v>
      </c>
      <c r="AR229" s="117">
        <v>228.0</v>
      </c>
    </row>
    <row r="230">
      <c r="A230" s="50" t="s">
        <v>9675</v>
      </c>
      <c r="B230" s="50" t="s">
        <v>6876</v>
      </c>
      <c r="C230" s="50" t="s">
        <v>6877</v>
      </c>
      <c r="D230" s="50" t="s">
        <v>8493</v>
      </c>
      <c r="E230" s="144">
        <v>43725.0</v>
      </c>
      <c r="F230" s="50" t="s">
        <v>9678</v>
      </c>
      <c r="G230" s="50">
        <v>59.0</v>
      </c>
      <c r="H230" s="50">
        <v>1.0</v>
      </c>
      <c r="I230" s="50">
        <v>11.0</v>
      </c>
      <c r="J230" s="116"/>
      <c r="K230" s="116"/>
      <c r="L230" s="50" t="s">
        <v>1250</v>
      </c>
      <c r="M230" s="50" t="s">
        <v>1250</v>
      </c>
      <c r="N230" s="50" t="s">
        <v>9679</v>
      </c>
      <c r="O230" s="50" t="s">
        <v>9680</v>
      </c>
      <c r="P230" s="50" t="s">
        <v>9681</v>
      </c>
      <c r="Q230" s="50" t="s">
        <v>9682</v>
      </c>
      <c r="R230" s="116"/>
      <c r="S230" s="116"/>
      <c r="T230" s="116"/>
      <c r="U230" s="116"/>
      <c r="V230" s="116"/>
      <c r="W230" s="50">
        <v>3.0</v>
      </c>
      <c r="X230" s="50">
        <v>1.0</v>
      </c>
      <c r="Y230" s="50">
        <v>3.0</v>
      </c>
      <c r="Z230" s="50">
        <v>82.0</v>
      </c>
      <c r="AA230" s="50">
        <v>2.0</v>
      </c>
      <c r="AB230" s="50">
        <v>1.0</v>
      </c>
      <c r="AC230" s="50">
        <v>3.0</v>
      </c>
      <c r="AD230" s="50">
        <v>7.0</v>
      </c>
      <c r="AE230" s="50">
        <v>1.0</v>
      </c>
      <c r="AF230" s="50">
        <v>1.0</v>
      </c>
      <c r="AG230" s="50">
        <v>1.0</v>
      </c>
      <c r="AH230" s="50">
        <v>3.0</v>
      </c>
      <c r="AI230" s="50">
        <v>1.0</v>
      </c>
      <c r="AJ230" s="116"/>
      <c r="AK230" s="50" t="s">
        <v>9685</v>
      </c>
      <c r="AL230" s="50">
        <v>7.0</v>
      </c>
      <c r="AM230" s="50">
        <v>1.0</v>
      </c>
      <c r="AN230" s="50" t="s">
        <v>6901</v>
      </c>
      <c r="AO230" s="117">
        <v>4306.0</v>
      </c>
      <c r="AP230" s="50" t="s">
        <v>9688</v>
      </c>
      <c r="AQ230" s="50" t="s">
        <v>9689</v>
      </c>
      <c r="AR230" s="117">
        <v>229.0</v>
      </c>
    </row>
    <row r="231">
      <c r="A231" s="50" t="s">
        <v>9678</v>
      </c>
      <c r="B231" s="50" t="s">
        <v>6876</v>
      </c>
      <c r="C231" s="50" t="s">
        <v>6877</v>
      </c>
      <c r="D231" s="50" t="s">
        <v>8493</v>
      </c>
      <c r="E231" s="144">
        <v>43725.0</v>
      </c>
      <c r="F231" s="50" t="s">
        <v>9690</v>
      </c>
      <c r="G231" s="50">
        <v>59.0</v>
      </c>
      <c r="H231" s="50">
        <v>1.0</v>
      </c>
      <c r="I231" s="50">
        <v>99.0</v>
      </c>
      <c r="J231" s="116"/>
      <c r="K231" s="116"/>
      <c r="L231" s="50" t="s">
        <v>1253</v>
      </c>
      <c r="M231" s="50" t="s">
        <v>1253</v>
      </c>
      <c r="N231" s="50" t="s">
        <v>9679</v>
      </c>
      <c r="O231" s="50" t="s">
        <v>9693</v>
      </c>
      <c r="P231" s="50" t="s">
        <v>9680</v>
      </c>
      <c r="Q231" s="50" t="s">
        <v>9694</v>
      </c>
      <c r="R231" s="116"/>
      <c r="S231" s="116"/>
      <c r="T231" s="116"/>
      <c r="U231" s="116"/>
      <c r="V231" s="116"/>
      <c r="W231" s="50">
        <v>7.0</v>
      </c>
      <c r="X231" s="50">
        <v>100.0</v>
      </c>
      <c r="Y231" s="50">
        <v>3.0</v>
      </c>
      <c r="Z231" s="50">
        <v>0.0</v>
      </c>
      <c r="AA231" s="116"/>
      <c r="AB231" s="116"/>
      <c r="AC231" s="116"/>
      <c r="AD231" s="116"/>
      <c r="AE231" s="116"/>
      <c r="AF231" s="116"/>
      <c r="AG231" s="116"/>
      <c r="AH231" s="116"/>
      <c r="AI231" s="116"/>
      <c r="AJ231" s="116"/>
      <c r="AK231" s="50" t="s">
        <v>9695</v>
      </c>
      <c r="AL231" s="50">
        <v>7.0</v>
      </c>
      <c r="AM231" s="50">
        <v>1.0</v>
      </c>
      <c r="AN231" s="50" t="s">
        <v>6901</v>
      </c>
      <c r="AO231" s="117">
        <v>4307.0</v>
      </c>
      <c r="AP231" s="50" t="s">
        <v>9698</v>
      </c>
      <c r="AQ231" s="50" t="s">
        <v>9700</v>
      </c>
      <c r="AR231" s="117">
        <v>230.0</v>
      </c>
    </row>
    <row r="232">
      <c r="A232" s="50" t="s">
        <v>9690</v>
      </c>
      <c r="B232" s="50" t="s">
        <v>6876</v>
      </c>
      <c r="C232" s="50" t="s">
        <v>6877</v>
      </c>
      <c r="D232" s="50" t="s">
        <v>8493</v>
      </c>
      <c r="E232" s="144">
        <v>43725.0</v>
      </c>
      <c r="F232" s="50" t="s">
        <v>9702</v>
      </c>
      <c r="G232" s="50">
        <v>33.0</v>
      </c>
      <c r="H232" s="50">
        <v>1.0</v>
      </c>
      <c r="I232" s="50">
        <v>98.0</v>
      </c>
      <c r="J232" s="116"/>
      <c r="K232" s="116"/>
      <c r="L232" s="50" t="s">
        <v>1256</v>
      </c>
      <c r="M232" s="50" t="s">
        <v>1256</v>
      </c>
      <c r="N232" s="50" t="s">
        <v>9705</v>
      </c>
      <c r="O232" s="50" t="s">
        <v>9705</v>
      </c>
      <c r="P232" s="50" t="s">
        <v>9680</v>
      </c>
      <c r="Q232" s="50" t="s">
        <v>9694</v>
      </c>
      <c r="R232" s="116"/>
      <c r="S232" s="116"/>
      <c r="T232" s="116"/>
      <c r="U232" s="116"/>
      <c r="V232" s="116"/>
      <c r="W232" s="50">
        <v>7.0</v>
      </c>
      <c r="X232" s="50">
        <v>100.0</v>
      </c>
      <c r="Y232" s="50">
        <v>3.0</v>
      </c>
      <c r="Z232" s="50">
        <v>0.0</v>
      </c>
      <c r="AA232" s="116"/>
      <c r="AB232" s="116"/>
      <c r="AC232" s="116"/>
      <c r="AD232" s="116"/>
      <c r="AE232" s="116"/>
      <c r="AF232" s="116"/>
      <c r="AG232" s="116"/>
      <c r="AH232" s="116"/>
      <c r="AI232" s="116"/>
      <c r="AJ232" s="116"/>
      <c r="AK232" s="50" t="s">
        <v>8213</v>
      </c>
      <c r="AL232" s="50">
        <v>7.0</v>
      </c>
      <c r="AM232" s="50">
        <v>1.0</v>
      </c>
      <c r="AN232" s="50" t="s">
        <v>6901</v>
      </c>
      <c r="AO232" s="117">
        <v>4308.0</v>
      </c>
      <c r="AP232" s="50" t="s">
        <v>9706</v>
      </c>
      <c r="AQ232" s="50" t="s">
        <v>9707</v>
      </c>
      <c r="AR232" s="117">
        <v>231.0</v>
      </c>
    </row>
    <row r="233">
      <c r="A233" s="50" t="s">
        <v>9710</v>
      </c>
      <c r="B233" s="50" t="s">
        <v>6876</v>
      </c>
      <c r="C233" s="50" t="s">
        <v>6877</v>
      </c>
      <c r="D233" s="50" t="s">
        <v>8493</v>
      </c>
      <c r="E233" s="144">
        <v>43726.0</v>
      </c>
      <c r="F233" s="50" t="s">
        <v>9713</v>
      </c>
      <c r="G233" s="50">
        <v>58.0</v>
      </c>
      <c r="H233" s="50">
        <v>1.0</v>
      </c>
      <c r="I233" s="50">
        <v>15.0</v>
      </c>
      <c r="J233" s="116"/>
      <c r="K233" s="50">
        <v>151.0</v>
      </c>
      <c r="L233" s="50" t="s">
        <v>216</v>
      </c>
      <c r="M233" s="50" t="s">
        <v>216</v>
      </c>
      <c r="N233" s="50" t="s">
        <v>9714</v>
      </c>
      <c r="O233" s="50" t="s">
        <v>9715</v>
      </c>
      <c r="P233" s="50" t="s">
        <v>9716</v>
      </c>
      <c r="Q233" s="50" t="s">
        <v>9718</v>
      </c>
      <c r="R233" s="116"/>
      <c r="S233" s="116"/>
      <c r="T233" s="116"/>
      <c r="U233" s="116"/>
      <c r="V233" s="116"/>
      <c r="W233" s="50">
        <v>6.0</v>
      </c>
      <c r="X233" s="50">
        <v>1.0</v>
      </c>
      <c r="Y233" s="50">
        <v>2.0</v>
      </c>
      <c r="Z233" s="116"/>
      <c r="AA233" s="50">
        <v>5.0</v>
      </c>
      <c r="AB233" s="50">
        <v>1.0</v>
      </c>
      <c r="AC233" s="50">
        <v>3.0</v>
      </c>
      <c r="AD233" s="50">
        <v>6.0</v>
      </c>
      <c r="AE233" s="50">
        <v>1.0</v>
      </c>
      <c r="AF233" s="50">
        <v>4.0</v>
      </c>
      <c r="AG233" s="50">
        <v>1.0</v>
      </c>
      <c r="AH233" s="50">
        <v>3.0</v>
      </c>
      <c r="AI233" s="50">
        <v>3.0</v>
      </c>
      <c r="AJ233" s="116"/>
      <c r="AK233" s="50" t="s">
        <v>9720</v>
      </c>
      <c r="AL233" s="50">
        <v>7.0</v>
      </c>
      <c r="AM233" s="50">
        <v>1.0</v>
      </c>
      <c r="AN233" s="50" t="s">
        <v>6901</v>
      </c>
      <c r="AO233" s="117">
        <v>4312.0</v>
      </c>
      <c r="AP233" s="50" t="s">
        <v>9724</v>
      </c>
      <c r="AQ233" s="50" t="s">
        <v>9726</v>
      </c>
      <c r="AR233" s="117">
        <v>232.0</v>
      </c>
    </row>
    <row r="234">
      <c r="A234" s="50" t="s">
        <v>9713</v>
      </c>
      <c r="B234" s="50" t="s">
        <v>6876</v>
      </c>
      <c r="C234" s="50" t="s">
        <v>6877</v>
      </c>
      <c r="D234" s="50" t="s">
        <v>8493</v>
      </c>
      <c r="E234" s="144">
        <v>43726.0</v>
      </c>
      <c r="F234" s="50" t="s">
        <v>9727</v>
      </c>
      <c r="G234" s="50">
        <v>58.0</v>
      </c>
      <c r="H234" s="50">
        <v>1.0</v>
      </c>
      <c r="I234" s="50">
        <v>15.0</v>
      </c>
      <c r="J234" s="116"/>
      <c r="K234" s="50">
        <v>152.0</v>
      </c>
      <c r="L234" s="50" t="s">
        <v>572</v>
      </c>
      <c r="M234" s="50" t="s">
        <v>572</v>
      </c>
      <c r="N234" s="50" t="s">
        <v>9714</v>
      </c>
      <c r="O234" s="50" t="s">
        <v>9715</v>
      </c>
      <c r="P234" s="50" t="s">
        <v>9716</v>
      </c>
      <c r="Q234" s="50" t="s">
        <v>9718</v>
      </c>
      <c r="R234" s="116"/>
      <c r="S234" s="116"/>
      <c r="T234" s="116"/>
      <c r="U234" s="116"/>
      <c r="V234" s="116"/>
      <c r="W234" s="50">
        <v>6.0</v>
      </c>
      <c r="X234" s="50">
        <v>1.0</v>
      </c>
      <c r="Y234" s="50">
        <v>3.0</v>
      </c>
      <c r="Z234" s="50">
        <v>0.0</v>
      </c>
      <c r="AA234" s="50">
        <v>5.0</v>
      </c>
      <c r="AB234" s="50">
        <v>1.0</v>
      </c>
      <c r="AC234" s="50">
        <v>3.0</v>
      </c>
      <c r="AD234" s="50">
        <v>0.0</v>
      </c>
      <c r="AE234" s="50">
        <v>1.0</v>
      </c>
      <c r="AF234" s="50">
        <v>4.0</v>
      </c>
      <c r="AG234" s="50">
        <v>1.0</v>
      </c>
      <c r="AH234" s="50">
        <v>3.0</v>
      </c>
      <c r="AI234" s="50">
        <v>0.0</v>
      </c>
      <c r="AJ234" s="116"/>
      <c r="AK234" s="50" t="s">
        <v>9733</v>
      </c>
      <c r="AL234" s="50">
        <v>7.0</v>
      </c>
      <c r="AM234" s="50">
        <v>1.0</v>
      </c>
      <c r="AN234" s="50" t="s">
        <v>6901</v>
      </c>
      <c r="AO234" s="117">
        <v>4313.0</v>
      </c>
      <c r="AP234" s="50" t="s">
        <v>9735</v>
      </c>
      <c r="AQ234" s="50" t="s">
        <v>9736</v>
      </c>
      <c r="AR234" s="117">
        <v>233.0</v>
      </c>
    </row>
    <row r="235">
      <c r="A235" s="50" t="s">
        <v>9737</v>
      </c>
      <c r="B235" s="50" t="s">
        <v>6876</v>
      </c>
      <c r="C235" s="50" t="s">
        <v>6877</v>
      </c>
      <c r="D235" s="50" t="s">
        <v>8493</v>
      </c>
      <c r="E235" s="144">
        <v>43726.0</v>
      </c>
      <c r="F235" s="50" t="s">
        <v>9738</v>
      </c>
      <c r="G235" s="50">
        <v>58.0</v>
      </c>
      <c r="H235" s="50">
        <v>1.0</v>
      </c>
      <c r="I235" s="50">
        <v>15.0</v>
      </c>
      <c r="J235" s="116"/>
      <c r="K235" s="50">
        <v>152.0</v>
      </c>
      <c r="L235" s="50" t="s">
        <v>573</v>
      </c>
      <c r="M235" s="50" t="s">
        <v>573</v>
      </c>
      <c r="N235" s="50" t="s">
        <v>9714</v>
      </c>
      <c r="O235" s="50" t="s">
        <v>9715</v>
      </c>
      <c r="P235" s="50" t="s">
        <v>9716</v>
      </c>
      <c r="Q235" s="50" t="s">
        <v>9718</v>
      </c>
      <c r="R235" s="116"/>
      <c r="S235" s="116"/>
      <c r="T235" s="116"/>
      <c r="U235" s="116"/>
      <c r="V235" s="116"/>
      <c r="W235" s="50">
        <v>6.0</v>
      </c>
      <c r="X235" s="50">
        <v>1.0</v>
      </c>
      <c r="Y235" s="50">
        <v>3.0</v>
      </c>
      <c r="Z235" s="50">
        <v>0.0</v>
      </c>
      <c r="AA235" s="50">
        <v>5.0</v>
      </c>
      <c r="AB235" s="50">
        <v>1.0</v>
      </c>
      <c r="AC235" s="50">
        <v>3.0</v>
      </c>
      <c r="AD235" s="50">
        <v>1.0</v>
      </c>
      <c r="AE235" s="50">
        <v>1.0</v>
      </c>
      <c r="AF235" s="50">
        <v>4.0</v>
      </c>
      <c r="AG235" s="50">
        <v>1.0</v>
      </c>
      <c r="AH235" s="50">
        <v>3.0</v>
      </c>
      <c r="AI235" s="50">
        <v>0.0</v>
      </c>
      <c r="AJ235" s="116"/>
      <c r="AK235" s="50" t="s">
        <v>9745</v>
      </c>
      <c r="AL235" s="50">
        <v>7.0</v>
      </c>
      <c r="AM235" s="50">
        <v>1.0</v>
      </c>
      <c r="AN235" s="50" t="s">
        <v>6901</v>
      </c>
      <c r="AO235" s="117">
        <v>4314.0</v>
      </c>
      <c r="AP235" s="50" t="s">
        <v>9747</v>
      </c>
      <c r="AQ235" s="50" t="s">
        <v>9748</v>
      </c>
      <c r="AR235" s="117">
        <v>234.0</v>
      </c>
    </row>
    <row r="236">
      <c r="A236" s="50" t="s">
        <v>9738</v>
      </c>
      <c r="B236" s="50" t="s">
        <v>6876</v>
      </c>
      <c r="C236" s="50" t="s">
        <v>6877</v>
      </c>
      <c r="D236" s="50" t="s">
        <v>8493</v>
      </c>
      <c r="E236" s="144">
        <v>43726.0</v>
      </c>
      <c r="F236" s="50" t="s">
        <v>9750</v>
      </c>
      <c r="G236" s="50">
        <v>58.0</v>
      </c>
      <c r="H236" s="50">
        <v>1.0</v>
      </c>
      <c r="I236" s="50">
        <v>15.0</v>
      </c>
      <c r="J236" s="116"/>
      <c r="K236" s="50">
        <v>152.0</v>
      </c>
      <c r="L236" s="50" t="s">
        <v>575</v>
      </c>
      <c r="M236" s="50" t="s">
        <v>575</v>
      </c>
      <c r="N236" s="50" t="s">
        <v>9714</v>
      </c>
      <c r="O236" s="50" t="s">
        <v>9715</v>
      </c>
      <c r="P236" s="50" t="s">
        <v>9716</v>
      </c>
      <c r="Q236" s="50" t="s">
        <v>9718</v>
      </c>
      <c r="R236" s="116"/>
      <c r="S236" s="116"/>
      <c r="T236" s="116"/>
      <c r="U236" s="116"/>
      <c r="V236" s="116"/>
      <c r="W236" s="50">
        <v>6.0</v>
      </c>
      <c r="X236" s="50">
        <v>1.0</v>
      </c>
      <c r="Y236" s="50">
        <v>3.0</v>
      </c>
      <c r="Z236" s="50">
        <v>0.0</v>
      </c>
      <c r="AA236" s="50">
        <v>5.0</v>
      </c>
      <c r="AB236" s="50">
        <v>1.0</v>
      </c>
      <c r="AC236" s="50">
        <v>3.0</v>
      </c>
      <c r="AD236" s="50">
        <v>0.0</v>
      </c>
      <c r="AE236" s="50">
        <v>1.0</v>
      </c>
      <c r="AF236" s="50">
        <v>4.0</v>
      </c>
      <c r="AG236" s="50">
        <v>1.0</v>
      </c>
      <c r="AH236" s="50">
        <v>3.0</v>
      </c>
      <c r="AI236" s="50">
        <v>0.0</v>
      </c>
      <c r="AJ236" s="116"/>
      <c r="AK236" s="50" t="s">
        <v>9753</v>
      </c>
      <c r="AL236" s="50">
        <v>7.0</v>
      </c>
      <c r="AM236" s="50">
        <v>1.0</v>
      </c>
      <c r="AN236" s="50" t="s">
        <v>6901</v>
      </c>
      <c r="AO236" s="117">
        <v>4315.0</v>
      </c>
      <c r="AP236" s="50" t="s">
        <v>9757</v>
      </c>
      <c r="AQ236" s="50" t="s">
        <v>9758</v>
      </c>
      <c r="AR236" s="117">
        <v>235.0</v>
      </c>
    </row>
    <row r="237">
      <c r="A237" s="50" t="s">
        <v>9750</v>
      </c>
      <c r="B237" s="50" t="s">
        <v>6876</v>
      </c>
      <c r="C237" s="50" t="s">
        <v>6877</v>
      </c>
      <c r="D237" s="50" t="s">
        <v>8493</v>
      </c>
      <c r="E237" s="144">
        <v>43726.0</v>
      </c>
      <c r="F237" s="50" t="s">
        <v>9759</v>
      </c>
      <c r="G237" s="50">
        <v>58.0</v>
      </c>
      <c r="H237" s="50">
        <v>1.0</v>
      </c>
      <c r="I237" s="50">
        <v>99.0</v>
      </c>
      <c r="J237" s="116"/>
      <c r="K237" s="116"/>
      <c r="L237" s="50" t="s">
        <v>1264</v>
      </c>
      <c r="M237" s="50" t="s">
        <v>1264</v>
      </c>
      <c r="N237" s="50" t="s">
        <v>9714</v>
      </c>
      <c r="O237" s="50" t="s">
        <v>9715</v>
      </c>
      <c r="P237" s="50" t="s">
        <v>9762</v>
      </c>
      <c r="Q237" s="50" t="s">
        <v>9763</v>
      </c>
      <c r="R237" s="116"/>
      <c r="S237" s="116"/>
      <c r="T237" s="116"/>
      <c r="U237" s="116"/>
      <c r="V237" s="116"/>
      <c r="W237" s="50">
        <v>7.0</v>
      </c>
      <c r="X237" s="50">
        <v>100.0</v>
      </c>
      <c r="Y237" s="50">
        <v>3.0</v>
      </c>
      <c r="Z237" s="50">
        <v>0.0</v>
      </c>
      <c r="AA237" s="116"/>
      <c r="AB237" s="116"/>
      <c r="AC237" s="116"/>
      <c r="AD237" s="116"/>
      <c r="AE237" s="116"/>
      <c r="AF237" s="116"/>
      <c r="AG237" s="116"/>
      <c r="AH237" s="116"/>
      <c r="AI237" s="116"/>
      <c r="AJ237" s="116"/>
      <c r="AK237" s="50" t="s">
        <v>9764</v>
      </c>
      <c r="AL237" s="50">
        <v>7.0</v>
      </c>
      <c r="AM237" s="50">
        <v>1.0</v>
      </c>
      <c r="AN237" s="50" t="s">
        <v>6901</v>
      </c>
      <c r="AO237" s="117">
        <v>4316.0</v>
      </c>
      <c r="AP237" s="50" t="s">
        <v>9766</v>
      </c>
      <c r="AQ237" s="50" t="s">
        <v>9767</v>
      </c>
      <c r="AR237" s="117">
        <v>236.0</v>
      </c>
    </row>
    <row r="238">
      <c r="A238" s="50" t="s">
        <v>9759</v>
      </c>
      <c r="B238" s="50" t="s">
        <v>6876</v>
      </c>
      <c r="C238" s="50" t="s">
        <v>6877</v>
      </c>
      <c r="D238" s="50" t="s">
        <v>8493</v>
      </c>
      <c r="E238" s="144">
        <v>43726.0</v>
      </c>
      <c r="F238" s="50" t="s">
        <v>9771</v>
      </c>
      <c r="G238" s="50">
        <v>58.0</v>
      </c>
      <c r="H238" s="50">
        <v>1.0</v>
      </c>
      <c r="I238" s="50">
        <v>15.0</v>
      </c>
      <c r="J238" s="116"/>
      <c r="K238" s="50">
        <v>151.0</v>
      </c>
      <c r="L238" s="50" t="s">
        <v>578</v>
      </c>
      <c r="M238" s="50" t="s">
        <v>578</v>
      </c>
      <c r="N238" s="50" t="s">
        <v>9714</v>
      </c>
      <c r="O238" s="50" t="s">
        <v>9715</v>
      </c>
      <c r="P238" s="50" t="s">
        <v>9716</v>
      </c>
      <c r="Q238" s="50" t="s">
        <v>9718</v>
      </c>
      <c r="R238" s="116"/>
      <c r="S238" s="116"/>
      <c r="T238" s="116"/>
      <c r="U238" s="116"/>
      <c r="V238" s="116"/>
      <c r="W238" s="50">
        <v>6.0</v>
      </c>
      <c r="X238" s="50">
        <v>1.0</v>
      </c>
      <c r="Y238" s="50">
        <v>1.0</v>
      </c>
      <c r="Z238" s="116"/>
      <c r="AA238" s="50">
        <v>5.0</v>
      </c>
      <c r="AB238" s="50">
        <v>1.0</v>
      </c>
      <c r="AC238" s="50">
        <v>3.0</v>
      </c>
      <c r="AD238" s="50">
        <v>7.0</v>
      </c>
      <c r="AE238" s="50">
        <v>1.0</v>
      </c>
      <c r="AF238" s="50">
        <v>4.0</v>
      </c>
      <c r="AG238" s="50">
        <v>1.0</v>
      </c>
      <c r="AH238" s="50">
        <v>3.0</v>
      </c>
      <c r="AI238" s="50">
        <v>0.0</v>
      </c>
      <c r="AJ238" s="116"/>
      <c r="AK238" s="50" t="s">
        <v>9775</v>
      </c>
      <c r="AL238" s="50">
        <v>7.0</v>
      </c>
      <c r="AM238" s="50">
        <v>1.0</v>
      </c>
      <c r="AN238" s="50" t="s">
        <v>6901</v>
      </c>
      <c r="AO238" s="117">
        <v>4317.0</v>
      </c>
      <c r="AP238" s="50" t="s">
        <v>9776</v>
      </c>
      <c r="AQ238" s="50" t="s">
        <v>9777</v>
      </c>
      <c r="AR238" s="117">
        <v>237.0</v>
      </c>
    </row>
    <row r="239">
      <c r="A239" s="50" t="s">
        <v>9771</v>
      </c>
      <c r="B239" s="50" t="s">
        <v>6876</v>
      </c>
      <c r="C239" s="50" t="s">
        <v>6877</v>
      </c>
      <c r="D239" s="50" t="s">
        <v>8493</v>
      </c>
      <c r="E239" s="144">
        <v>43726.0</v>
      </c>
      <c r="F239" s="50" t="s">
        <v>9782</v>
      </c>
      <c r="G239" s="50">
        <v>58.0</v>
      </c>
      <c r="H239" s="50">
        <v>1.0</v>
      </c>
      <c r="I239" s="50">
        <v>15.0</v>
      </c>
      <c r="J239" s="116"/>
      <c r="K239" s="50">
        <v>152.0</v>
      </c>
      <c r="L239" s="50" t="s">
        <v>580</v>
      </c>
      <c r="M239" s="50" t="s">
        <v>580</v>
      </c>
      <c r="N239" s="50" t="s">
        <v>9714</v>
      </c>
      <c r="O239" s="50" t="s">
        <v>9715</v>
      </c>
      <c r="P239" s="50" t="s">
        <v>9716</v>
      </c>
      <c r="Q239" s="50" t="s">
        <v>9718</v>
      </c>
      <c r="R239" s="116"/>
      <c r="S239" s="116"/>
      <c r="T239" s="116"/>
      <c r="U239" s="116"/>
      <c r="V239" s="116"/>
      <c r="W239" s="50">
        <v>6.0</v>
      </c>
      <c r="X239" s="50">
        <v>1.0</v>
      </c>
      <c r="Y239" s="50">
        <v>3.0</v>
      </c>
      <c r="Z239" s="50">
        <v>0.0</v>
      </c>
      <c r="AA239" s="50">
        <v>5.0</v>
      </c>
      <c r="AB239" s="50">
        <v>1.0</v>
      </c>
      <c r="AC239" s="50">
        <v>3.0</v>
      </c>
      <c r="AD239" s="50">
        <v>0.0</v>
      </c>
      <c r="AE239" s="50">
        <v>1.0</v>
      </c>
      <c r="AF239" s="50">
        <v>4.0</v>
      </c>
      <c r="AG239" s="50">
        <v>1.0</v>
      </c>
      <c r="AH239" s="50">
        <v>3.0</v>
      </c>
      <c r="AI239" s="50">
        <v>0.0</v>
      </c>
      <c r="AJ239" s="116"/>
      <c r="AK239" s="50" t="s">
        <v>9785</v>
      </c>
      <c r="AL239" s="50">
        <v>4.0</v>
      </c>
      <c r="AM239" s="50">
        <v>1.0</v>
      </c>
      <c r="AN239" s="50" t="s">
        <v>6901</v>
      </c>
      <c r="AO239" s="117">
        <v>4318.0</v>
      </c>
      <c r="AP239" s="50" t="s">
        <v>9787</v>
      </c>
      <c r="AQ239" s="50" t="s">
        <v>9788</v>
      </c>
      <c r="AR239" s="117">
        <v>238.0</v>
      </c>
    </row>
    <row r="240">
      <c r="A240" s="50" t="s">
        <v>9782</v>
      </c>
      <c r="B240" s="50" t="s">
        <v>6876</v>
      </c>
      <c r="C240" s="50" t="s">
        <v>6877</v>
      </c>
      <c r="D240" s="50" t="s">
        <v>8493</v>
      </c>
      <c r="E240" s="144">
        <v>43726.0</v>
      </c>
      <c r="F240" s="50" t="s">
        <v>9793</v>
      </c>
      <c r="G240" s="50">
        <v>58.0</v>
      </c>
      <c r="H240" s="50">
        <v>1.0</v>
      </c>
      <c r="I240" s="50">
        <v>15.0</v>
      </c>
      <c r="J240" s="116"/>
      <c r="K240" s="50">
        <v>152.0</v>
      </c>
      <c r="L240" s="50" t="s">
        <v>582</v>
      </c>
      <c r="M240" s="50" t="s">
        <v>582</v>
      </c>
      <c r="N240" s="50" t="s">
        <v>9714</v>
      </c>
      <c r="O240" s="50" t="s">
        <v>9715</v>
      </c>
      <c r="P240" s="50" t="s">
        <v>9716</v>
      </c>
      <c r="Q240" s="50" t="s">
        <v>9718</v>
      </c>
      <c r="R240" s="116"/>
      <c r="S240" s="116"/>
      <c r="T240" s="116"/>
      <c r="U240" s="116"/>
      <c r="V240" s="116"/>
      <c r="W240" s="50">
        <v>6.0</v>
      </c>
      <c r="X240" s="50">
        <v>1.0</v>
      </c>
      <c r="Y240" s="50">
        <v>3.0</v>
      </c>
      <c r="Z240" s="50">
        <v>1.0</v>
      </c>
      <c r="AA240" s="50">
        <v>5.0</v>
      </c>
      <c r="AB240" s="50">
        <v>1.0</v>
      </c>
      <c r="AC240" s="50">
        <v>3.0</v>
      </c>
      <c r="AD240" s="50">
        <v>0.0</v>
      </c>
      <c r="AE240" s="50">
        <v>1.0</v>
      </c>
      <c r="AF240" s="50">
        <v>4.0</v>
      </c>
      <c r="AG240" s="50">
        <v>1.0</v>
      </c>
      <c r="AH240" s="50">
        <v>3.0</v>
      </c>
      <c r="AI240" s="50">
        <v>0.0</v>
      </c>
      <c r="AJ240" s="116"/>
      <c r="AK240" s="50" t="s">
        <v>9796</v>
      </c>
      <c r="AL240" s="50">
        <v>4.0</v>
      </c>
      <c r="AM240" s="50">
        <v>1.0</v>
      </c>
      <c r="AN240" s="50" t="s">
        <v>6901</v>
      </c>
      <c r="AO240" s="117">
        <v>4319.0</v>
      </c>
      <c r="AP240" s="50" t="s">
        <v>9801</v>
      </c>
      <c r="AQ240" s="50" t="s">
        <v>9802</v>
      </c>
      <c r="AR240" s="117">
        <v>239.0</v>
      </c>
    </row>
    <row r="241">
      <c r="A241" s="50" t="s">
        <v>9793</v>
      </c>
      <c r="B241" s="50" t="s">
        <v>6876</v>
      </c>
      <c r="C241" s="50" t="s">
        <v>6877</v>
      </c>
      <c r="D241" s="50" t="s">
        <v>8493</v>
      </c>
      <c r="E241" s="144">
        <v>43726.0</v>
      </c>
      <c r="F241" s="50" t="s">
        <v>9804</v>
      </c>
      <c r="G241" s="50">
        <v>58.0</v>
      </c>
      <c r="H241" s="50">
        <v>1.0</v>
      </c>
      <c r="I241" s="50">
        <v>15.0</v>
      </c>
      <c r="J241" s="116"/>
      <c r="K241" s="50">
        <v>152.0</v>
      </c>
      <c r="L241" s="50" t="s">
        <v>584</v>
      </c>
      <c r="M241" s="50" t="s">
        <v>584</v>
      </c>
      <c r="N241" s="50" t="s">
        <v>9714</v>
      </c>
      <c r="O241" s="50" t="s">
        <v>9715</v>
      </c>
      <c r="P241" s="50" t="s">
        <v>9716</v>
      </c>
      <c r="Q241" s="50" t="s">
        <v>9718</v>
      </c>
      <c r="R241" s="116"/>
      <c r="S241" s="116"/>
      <c r="T241" s="116"/>
      <c r="U241" s="116"/>
      <c r="V241" s="116"/>
      <c r="W241" s="50">
        <v>6.0</v>
      </c>
      <c r="X241" s="50">
        <v>1.0</v>
      </c>
      <c r="Y241" s="50">
        <v>3.0</v>
      </c>
      <c r="Z241" s="50">
        <v>7.0</v>
      </c>
      <c r="AA241" s="50">
        <v>5.0</v>
      </c>
      <c r="AB241" s="50">
        <v>1.0</v>
      </c>
      <c r="AC241" s="50">
        <v>3.0</v>
      </c>
      <c r="AD241" s="50">
        <v>0.0</v>
      </c>
      <c r="AE241" s="50">
        <v>1.0</v>
      </c>
      <c r="AF241" s="50">
        <v>4.0</v>
      </c>
      <c r="AG241" s="50">
        <v>1.0</v>
      </c>
      <c r="AH241" s="50">
        <v>3.0</v>
      </c>
      <c r="AI241" s="50">
        <v>0.0</v>
      </c>
      <c r="AJ241" s="116"/>
      <c r="AK241" s="50" t="s">
        <v>9809</v>
      </c>
      <c r="AL241" s="50">
        <v>4.0</v>
      </c>
      <c r="AM241" s="50">
        <v>1.0</v>
      </c>
      <c r="AN241" s="50" t="s">
        <v>6901</v>
      </c>
      <c r="AO241" s="117">
        <v>4320.0</v>
      </c>
      <c r="AP241" s="50" t="s">
        <v>9812</v>
      </c>
      <c r="AQ241" s="50" t="s">
        <v>9813</v>
      </c>
      <c r="AR241" s="117">
        <v>240.0</v>
      </c>
    </row>
    <row r="242">
      <c r="A242" s="50" t="s">
        <v>9804</v>
      </c>
      <c r="B242" s="50" t="s">
        <v>6876</v>
      </c>
      <c r="C242" s="50" t="s">
        <v>6877</v>
      </c>
      <c r="D242" s="50" t="s">
        <v>8493</v>
      </c>
      <c r="E242" s="144">
        <v>43726.0</v>
      </c>
      <c r="F242" s="50" t="s">
        <v>9815</v>
      </c>
      <c r="G242" s="50">
        <v>58.0</v>
      </c>
      <c r="H242" s="50">
        <v>1.0</v>
      </c>
      <c r="I242" s="50">
        <v>15.0</v>
      </c>
      <c r="J242" s="116"/>
      <c r="K242" s="50">
        <v>152.0</v>
      </c>
      <c r="L242" s="50" t="s">
        <v>587</v>
      </c>
      <c r="M242" s="50" t="s">
        <v>587</v>
      </c>
      <c r="N242" s="50" t="s">
        <v>9714</v>
      </c>
      <c r="O242" s="50" t="s">
        <v>9715</v>
      </c>
      <c r="P242" s="50" t="s">
        <v>9716</v>
      </c>
      <c r="Q242" s="50" t="s">
        <v>9718</v>
      </c>
      <c r="R242" s="116"/>
      <c r="S242" s="116"/>
      <c r="T242" s="116"/>
      <c r="U242" s="116"/>
      <c r="V242" s="116"/>
      <c r="W242" s="50">
        <v>6.0</v>
      </c>
      <c r="X242" s="50">
        <v>1.0</v>
      </c>
      <c r="Y242" s="50">
        <v>3.0</v>
      </c>
      <c r="Z242" s="50">
        <v>0.0</v>
      </c>
      <c r="AA242" s="50">
        <v>5.0</v>
      </c>
      <c r="AB242" s="50">
        <v>1.0</v>
      </c>
      <c r="AC242" s="50">
        <v>3.0</v>
      </c>
      <c r="AD242" s="50">
        <v>0.0</v>
      </c>
      <c r="AE242" s="50">
        <v>1.0</v>
      </c>
      <c r="AF242" s="50">
        <v>4.0</v>
      </c>
      <c r="AG242" s="50">
        <v>1.0</v>
      </c>
      <c r="AH242" s="50">
        <v>3.0</v>
      </c>
      <c r="AI242" s="50">
        <v>0.0</v>
      </c>
      <c r="AJ242" s="116"/>
      <c r="AK242" s="50" t="s">
        <v>9821</v>
      </c>
      <c r="AL242" s="50">
        <v>4.0</v>
      </c>
      <c r="AM242" s="50">
        <v>1.0</v>
      </c>
      <c r="AN242" s="50" t="s">
        <v>6901</v>
      </c>
      <c r="AO242" s="117">
        <v>4321.0</v>
      </c>
      <c r="AP242" s="50" t="s">
        <v>9822</v>
      </c>
      <c r="AQ242" s="50" t="s">
        <v>9823</v>
      </c>
      <c r="AR242" s="117">
        <v>241.0</v>
      </c>
    </row>
    <row r="243">
      <c r="A243" s="50" t="s">
        <v>9815</v>
      </c>
      <c r="B243" s="50" t="s">
        <v>6876</v>
      </c>
      <c r="C243" s="50" t="s">
        <v>6877</v>
      </c>
      <c r="D243" s="50" t="s">
        <v>8493</v>
      </c>
      <c r="E243" s="144">
        <v>43726.0</v>
      </c>
      <c r="F243" s="50" t="s">
        <v>9826</v>
      </c>
      <c r="G243" s="50">
        <v>58.0</v>
      </c>
      <c r="H243" s="50">
        <v>1.0</v>
      </c>
      <c r="I243" s="50">
        <v>99.0</v>
      </c>
      <c r="J243" s="116"/>
      <c r="K243" s="116"/>
      <c r="L243" s="50" t="s">
        <v>1269</v>
      </c>
      <c r="M243" s="50" t="s">
        <v>1269</v>
      </c>
      <c r="N243" s="50" t="s">
        <v>9714</v>
      </c>
      <c r="O243" s="50" t="s">
        <v>9715</v>
      </c>
      <c r="P243" s="50" t="s">
        <v>9762</v>
      </c>
      <c r="Q243" s="50" t="s">
        <v>9763</v>
      </c>
      <c r="R243" s="116"/>
      <c r="S243" s="116"/>
      <c r="T243" s="116"/>
      <c r="U243" s="116"/>
      <c r="V243" s="116"/>
      <c r="W243" s="50">
        <v>7.0</v>
      </c>
      <c r="X243" s="50">
        <v>100.0</v>
      </c>
      <c r="Y243" s="50">
        <v>3.0</v>
      </c>
      <c r="Z243" s="50">
        <v>1.0</v>
      </c>
      <c r="AA243" s="116"/>
      <c r="AB243" s="116"/>
      <c r="AC243" s="116"/>
      <c r="AD243" s="116"/>
      <c r="AE243" s="116"/>
      <c r="AF243" s="116"/>
      <c r="AG243" s="116"/>
      <c r="AH243" s="116"/>
      <c r="AI243" s="116"/>
      <c r="AJ243" s="116"/>
      <c r="AK243" s="50" t="s">
        <v>9830</v>
      </c>
      <c r="AL243" s="50">
        <v>4.0</v>
      </c>
      <c r="AM243" s="50">
        <v>1.0</v>
      </c>
      <c r="AN243" s="50" t="s">
        <v>6901</v>
      </c>
      <c r="AO243" s="117">
        <v>4322.0</v>
      </c>
      <c r="AP243" s="50" t="s">
        <v>9833</v>
      </c>
      <c r="AQ243" s="50" t="s">
        <v>9834</v>
      </c>
      <c r="AR243" s="117">
        <v>242.0</v>
      </c>
    </row>
    <row r="244">
      <c r="A244" s="50" t="s">
        <v>9826</v>
      </c>
      <c r="B244" s="50" t="s">
        <v>6876</v>
      </c>
      <c r="C244" s="50" t="s">
        <v>6877</v>
      </c>
      <c r="D244" s="50" t="s">
        <v>8493</v>
      </c>
      <c r="E244" s="144">
        <v>43726.0</v>
      </c>
      <c r="F244" s="50" t="s">
        <v>9835</v>
      </c>
      <c r="G244" s="50">
        <v>57.0</v>
      </c>
      <c r="H244" s="50">
        <v>1.0</v>
      </c>
      <c r="I244" s="50">
        <v>99.0</v>
      </c>
      <c r="J244" s="116"/>
      <c r="K244" s="116"/>
      <c r="L244" s="50" t="s">
        <v>1259</v>
      </c>
      <c r="M244" s="50" t="s">
        <v>1259</v>
      </c>
      <c r="N244" s="50" t="s">
        <v>9714</v>
      </c>
      <c r="O244" s="50" t="s">
        <v>9715</v>
      </c>
      <c r="P244" s="50" t="s">
        <v>9762</v>
      </c>
      <c r="Q244" s="50" t="s">
        <v>9763</v>
      </c>
      <c r="R244" s="116"/>
      <c r="S244" s="116"/>
      <c r="T244" s="116"/>
      <c r="U244" s="116"/>
      <c r="V244" s="116"/>
      <c r="W244" s="50">
        <v>7.0</v>
      </c>
      <c r="X244" s="50">
        <v>100.0</v>
      </c>
      <c r="Y244" s="50">
        <v>3.0</v>
      </c>
      <c r="Z244" s="50">
        <v>0.0</v>
      </c>
      <c r="AA244" s="116"/>
      <c r="AB244" s="116"/>
      <c r="AC244" s="116"/>
      <c r="AD244" s="116"/>
      <c r="AE244" s="116"/>
      <c r="AF244" s="116"/>
      <c r="AG244" s="116"/>
      <c r="AH244" s="116"/>
      <c r="AI244" s="116"/>
      <c r="AJ244" s="116"/>
      <c r="AK244" s="50" t="s">
        <v>9838</v>
      </c>
      <c r="AL244" s="50">
        <v>4.0</v>
      </c>
      <c r="AM244" s="50">
        <v>1.0</v>
      </c>
      <c r="AN244" s="50" t="s">
        <v>6901</v>
      </c>
      <c r="AO244" s="117">
        <v>4323.0</v>
      </c>
      <c r="AP244" s="50" t="s">
        <v>9842</v>
      </c>
      <c r="AQ244" s="50" t="s">
        <v>9844</v>
      </c>
      <c r="AR244" s="117">
        <v>243.0</v>
      </c>
    </row>
    <row r="245">
      <c r="A245" s="50" t="s">
        <v>9835</v>
      </c>
      <c r="B245" s="50" t="s">
        <v>6876</v>
      </c>
      <c r="C245" s="50" t="s">
        <v>6877</v>
      </c>
      <c r="D245" s="50" t="s">
        <v>8493</v>
      </c>
      <c r="E245" s="144">
        <v>43726.0</v>
      </c>
      <c r="F245" s="50" t="s">
        <v>9845</v>
      </c>
      <c r="G245" s="50">
        <v>33.0</v>
      </c>
      <c r="H245" s="50">
        <v>1.0</v>
      </c>
      <c r="I245" s="50">
        <v>98.0</v>
      </c>
      <c r="J245" s="116"/>
      <c r="K245" s="116"/>
      <c r="L245" s="50" t="s">
        <v>1280</v>
      </c>
      <c r="M245" s="50" t="s">
        <v>1280</v>
      </c>
      <c r="N245" s="50" t="s">
        <v>9714</v>
      </c>
      <c r="O245" s="50" t="s">
        <v>9715</v>
      </c>
      <c r="P245" s="50" t="s">
        <v>9762</v>
      </c>
      <c r="Q245" s="50" t="s">
        <v>9763</v>
      </c>
      <c r="R245" s="116"/>
      <c r="S245" s="116"/>
      <c r="T245" s="116"/>
      <c r="U245" s="116"/>
      <c r="V245" s="116"/>
      <c r="W245" s="50">
        <v>7.0</v>
      </c>
      <c r="X245" s="50">
        <v>100.0</v>
      </c>
      <c r="Y245" s="50">
        <v>3.0</v>
      </c>
      <c r="Z245" s="50">
        <v>0.0</v>
      </c>
      <c r="AA245" s="116"/>
      <c r="AB245" s="116"/>
      <c r="AC245" s="116"/>
      <c r="AD245" s="116"/>
      <c r="AE245" s="116"/>
      <c r="AF245" s="116"/>
      <c r="AG245" s="116"/>
      <c r="AH245" s="116"/>
      <c r="AI245" s="116"/>
      <c r="AJ245" s="116"/>
      <c r="AK245" s="50" t="s">
        <v>8213</v>
      </c>
      <c r="AL245" s="50">
        <v>4.0</v>
      </c>
      <c r="AM245" s="50">
        <v>1.0</v>
      </c>
      <c r="AN245" s="50" t="s">
        <v>6901</v>
      </c>
      <c r="AO245" s="117">
        <v>4324.0</v>
      </c>
      <c r="AP245" s="50" t="s">
        <v>9848</v>
      </c>
      <c r="AQ245" s="50" t="s">
        <v>9849</v>
      </c>
      <c r="AR245" s="117">
        <v>244.0</v>
      </c>
    </row>
    <row r="246">
      <c r="A246" s="50" t="s">
        <v>9850</v>
      </c>
      <c r="B246" s="50" t="s">
        <v>6876</v>
      </c>
      <c r="C246" s="50" t="s">
        <v>6877</v>
      </c>
      <c r="D246" s="50" t="s">
        <v>8493</v>
      </c>
      <c r="E246" s="144">
        <v>43731.0</v>
      </c>
      <c r="F246" s="50" t="s">
        <v>9855</v>
      </c>
      <c r="G246" s="50">
        <v>59.0</v>
      </c>
      <c r="H246" s="50">
        <v>1.0</v>
      </c>
      <c r="I246" s="50">
        <v>11.0</v>
      </c>
      <c r="J246" s="116"/>
      <c r="K246" s="116"/>
      <c r="L246" s="50" t="s">
        <v>1284</v>
      </c>
      <c r="M246" s="50" t="s">
        <v>1284</v>
      </c>
      <c r="N246" s="50" t="s">
        <v>9856</v>
      </c>
      <c r="O246" s="50" t="s">
        <v>9857</v>
      </c>
      <c r="P246" s="50" t="s">
        <v>9858</v>
      </c>
      <c r="Q246" s="50" t="s">
        <v>9859</v>
      </c>
      <c r="R246" s="116"/>
      <c r="S246" s="116"/>
      <c r="T246" s="116"/>
      <c r="U246" s="116"/>
      <c r="V246" s="116"/>
      <c r="W246" s="50">
        <v>3.0</v>
      </c>
      <c r="X246" s="50">
        <v>1.0</v>
      </c>
      <c r="Y246" s="50">
        <v>3.0</v>
      </c>
      <c r="Z246" s="50">
        <v>22.0</v>
      </c>
      <c r="AA246" s="50">
        <v>2.0</v>
      </c>
      <c r="AB246" s="50">
        <v>1.0</v>
      </c>
      <c r="AC246" s="50">
        <v>3.0</v>
      </c>
      <c r="AD246" s="50">
        <v>2.0</v>
      </c>
      <c r="AE246" s="50">
        <v>1.0</v>
      </c>
      <c r="AF246" s="50">
        <v>1.0</v>
      </c>
      <c r="AG246" s="50">
        <v>1.0</v>
      </c>
      <c r="AH246" s="50">
        <v>3.0</v>
      </c>
      <c r="AI246" s="50">
        <v>0.0</v>
      </c>
      <c r="AJ246" s="116"/>
      <c r="AK246" s="50" t="s">
        <v>9862</v>
      </c>
      <c r="AL246" s="50">
        <v>4.0</v>
      </c>
      <c r="AM246" s="50">
        <v>1.0</v>
      </c>
      <c r="AN246" s="50" t="s">
        <v>6901</v>
      </c>
      <c r="AO246" s="117">
        <v>4349.0</v>
      </c>
      <c r="AP246" s="50" t="s">
        <v>9863</v>
      </c>
      <c r="AQ246" s="50" t="s">
        <v>9864</v>
      </c>
      <c r="AR246" s="117">
        <v>245.0</v>
      </c>
    </row>
    <row r="247">
      <c r="A247" s="50" t="s">
        <v>9855</v>
      </c>
      <c r="B247" s="50" t="s">
        <v>6876</v>
      </c>
      <c r="C247" s="50" t="s">
        <v>6877</v>
      </c>
      <c r="D247" s="50" t="s">
        <v>8493</v>
      </c>
      <c r="E247" s="144">
        <v>43731.0</v>
      </c>
      <c r="F247" s="50" t="s">
        <v>9866</v>
      </c>
      <c r="G247" s="50">
        <v>59.0</v>
      </c>
      <c r="H247" s="50">
        <v>1.0</v>
      </c>
      <c r="I247" s="50">
        <v>99.0</v>
      </c>
      <c r="J247" s="116"/>
      <c r="K247" s="116"/>
      <c r="L247" s="50" t="s">
        <v>1286</v>
      </c>
      <c r="M247" s="50" t="s">
        <v>1286</v>
      </c>
      <c r="N247" s="50" t="s">
        <v>9856</v>
      </c>
      <c r="O247" s="50" t="s">
        <v>9870</v>
      </c>
      <c r="P247" s="50" t="s">
        <v>9858</v>
      </c>
      <c r="Q247" s="50" t="s">
        <v>9859</v>
      </c>
      <c r="R247" s="116"/>
      <c r="S247" s="116"/>
      <c r="T247" s="116"/>
      <c r="U247" s="116"/>
      <c r="V247" s="116"/>
      <c r="W247" s="50">
        <v>7.0</v>
      </c>
      <c r="X247" s="50">
        <v>100.0</v>
      </c>
      <c r="Y247" s="50">
        <v>3.0</v>
      </c>
      <c r="Z247" s="50">
        <v>0.0</v>
      </c>
      <c r="AA247" s="116"/>
      <c r="AB247" s="116"/>
      <c r="AC247" s="116"/>
      <c r="AD247" s="116"/>
      <c r="AE247" s="116"/>
      <c r="AF247" s="116"/>
      <c r="AG247" s="116"/>
      <c r="AH247" s="116"/>
      <c r="AI247" s="116"/>
      <c r="AJ247" s="116"/>
      <c r="AK247" s="50" t="s">
        <v>9873</v>
      </c>
      <c r="AL247" s="50">
        <v>4.0</v>
      </c>
      <c r="AM247" s="50">
        <v>1.0</v>
      </c>
      <c r="AN247" s="50" t="s">
        <v>6901</v>
      </c>
      <c r="AO247" s="117">
        <v>4350.0</v>
      </c>
      <c r="AP247" s="50" t="s">
        <v>9874</v>
      </c>
      <c r="AQ247" s="50" t="s">
        <v>9875</v>
      </c>
      <c r="AR247" s="117">
        <v>246.0</v>
      </c>
    </row>
    <row r="248">
      <c r="A248" s="50" t="s">
        <v>9866</v>
      </c>
      <c r="B248" s="50" t="s">
        <v>6876</v>
      </c>
      <c r="C248" s="50" t="s">
        <v>6877</v>
      </c>
      <c r="D248" s="50" t="s">
        <v>8493</v>
      </c>
      <c r="E248" s="144">
        <v>43731.0</v>
      </c>
      <c r="F248" s="50" t="s">
        <v>9877</v>
      </c>
      <c r="G248" s="50">
        <v>57.0</v>
      </c>
      <c r="H248" s="50">
        <v>1.0</v>
      </c>
      <c r="I248" s="50">
        <v>99.0</v>
      </c>
      <c r="J248" s="116"/>
      <c r="K248" s="116"/>
      <c r="L248" s="50" t="s">
        <v>271</v>
      </c>
      <c r="M248" s="50" t="s">
        <v>271</v>
      </c>
      <c r="N248" s="50" t="s">
        <v>9856</v>
      </c>
      <c r="O248" s="50" t="s">
        <v>9870</v>
      </c>
      <c r="P248" s="50" t="s">
        <v>9858</v>
      </c>
      <c r="Q248" s="50" t="s">
        <v>9859</v>
      </c>
      <c r="R248" s="116"/>
      <c r="S248" s="116"/>
      <c r="T248" s="116"/>
      <c r="U248" s="116"/>
      <c r="V248" s="116"/>
      <c r="W248" s="50">
        <v>7.0</v>
      </c>
      <c r="X248" s="50">
        <v>100.0</v>
      </c>
      <c r="Y248" s="50">
        <v>3.0</v>
      </c>
      <c r="Z248" s="50">
        <v>0.0</v>
      </c>
      <c r="AA248" s="116"/>
      <c r="AB248" s="116"/>
      <c r="AC248" s="116"/>
      <c r="AD248" s="116"/>
      <c r="AE248" s="116"/>
      <c r="AF248" s="116"/>
      <c r="AG248" s="116"/>
      <c r="AH248" s="116"/>
      <c r="AI248" s="116"/>
      <c r="AJ248" s="116"/>
      <c r="AK248" s="50" t="s">
        <v>9882</v>
      </c>
      <c r="AL248" s="50">
        <v>4.0</v>
      </c>
      <c r="AM248" s="50">
        <v>1.0</v>
      </c>
      <c r="AN248" s="50" t="s">
        <v>6901</v>
      </c>
      <c r="AO248" s="117">
        <v>4351.0</v>
      </c>
      <c r="AP248" s="50" t="s">
        <v>9883</v>
      </c>
      <c r="AQ248" s="50" t="s">
        <v>9884</v>
      </c>
      <c r="AR248" s="117">
        <v>247.0</v>
      </c>
    </row>
    <row r="249">
      <c r="A249" s="50" t="s">
        <v>9885</v>
      </c>
      <c r="B249" s="50" t="s">
        <v>6876</v>
      </c>
      <c r="C249" s="50" t="s">
        <v>6877</v>
      </c>
      <c r="D249" s="50" t="s">
        <v>8493</v>
      </c>
      <c r="E249" s="144">
        <v>43731.0</v>
      </c>
      <c r="F249" s="50" t="s">
        <v>9890</v>
      </c>
      <c r="G249" s="50">
        <v>33.0</v>
      </c>
      <c r="H249" s="50">
        <v>1.0</v>
      </c>
      <c r="I249" s="50">
        <v>98.0</v>
      </c>
      <c r="J249" s="116"/>
      <c r="K249" s="116"/>
      <c r="L249" s="50" t="s">
        <v>1291</v>
      </c>
      <c r="M249" s="50" t="s">
        <v>1291</v>
      </c>
      <c r="N249" s="50" t="s">
        <v>9856</v>
      </c>
      <c r="O249" s="50" t="s">
        <v>9870</v>
      </c>
      <c r="P249" s="50" t="s">
        <v>9858</v>
      </c>
      <c r="Q249" s="50" t="s">
        <v>9859</v>
      </c>
      <c r="R249" s="116"/>
      <c r="S249" s="116"/>
      <c r="T249" s="116"/>
      <c r="U249" s="116"/>
      <c r="V249" s="116"/>
      <c r="W249" s="50">
        <v>7.0</v>
      </c>
      <c r="X249" s="50">
        <v>100.0</v>
      </c>
      <c r="Y249" s="50">
        <v>3.0</v>
      </c>
      <c r="Z249" s="50">
        <v>0.0</v>
      </c>
      <c r="AA249" s="116"/>
      <c r="AB249" s="116"/>
      <c r="AC249" s="116"/>
      <c r="AD249" s="116"/>
      <c r="AE249" s="116"/>
      <c r="AF249" s="116"/>
      <c r="AG249" s="116"/>
      <c r="AH249" s="116"/>
      <c r="AI249" s="116"/>
      <c r="AJ249" s="116"/>
      <c r="AK249" s="50" t="s">
        <v>9893</v>
      </c>
      <c r="AL249" s="50">
        <v>4.0</v>
      </c>
      <c r="AM249" s="50">
        <v>1.0</v>
      </c>
      <c r="AN249" s="50" t="s">
        <v>6901</v>
      </c>
      <c r="AO249" s="117">
        <v>4352.0</v>
      </c>
      <c r="AP249" s="50" t="s">
        <v>9894</v>
      </c>
      <c r="AQ249" s="50" t="s">
        <v>9895</v>
      </c>
      <c r="AR249" s="117">
        <v>248.0</v>
      </c>
    </row>
    <row r="250">
      <c r="A250" s="50" t="s">
        <v>9896</v>
      </c>
      <c r="B250" s="50" t="s">
        <v>6876</v>
      </c>
      <c r="C250" s="50" t="s">
        <v>6877</v>
      </c>
      <c r="D250" s="50" t="s">
        <v>8493</v>
      </c>
      <c r="E250" s="144">
        <v>43733.0</v>
      </c>
      <c r="F250" s="50" t="s">
        <v>9901</v>
      </c>
      <c r="G250" s="50">
        <v>59.0</v>
      </c>
      <c r="H250" s="50">
        <v>1.0</v>
      </c>
      <c r="I250" s="50">
        <v>99.0</v>
      </c>
      <c r="J250" s="116"/>
      <c r="K250" s="116"/>
      <c r="L250" s="50" t="s">
        <v>1295</v>
      </c>
      <c r="M250" s="50" t="s">
        <v>1295</v>
      </c>
      <c r="N250" s="50" t="s">
        <v>9902</v>
      </c>
      <c r="O250" s="50" t="s">
        <v>9903</v>
      </c>
      <c r="P250" s="50" t="s">
        <v>9904</v>
      </c>
      <c r="Q250" s="50" t="s">
        <v>9905</v>
      </c>
      <c r="R250" s="116"/>
      <c r="S250" s="116"/>
      <c r="T250" s="116"/>
      <c r="U250" s="116"/>
      <c r="V250" s="116"/>
      <c r="W250" s="50">
        <v>7.0</v>
      </c>
      <c r="X250" s="50">
        <v>100.0</v>
      </c>
      <c r="Y250" s="50">
        <v>3.0</v>
      </c>
      <c r="Z250" s="50">
        <v>0.0</v>
      </c>
      <c r="AA250" s="116"/>
      <c r="AB250" s="116"/>
      <c r="AC250" s="116"/>
      <c r="AD250" s="116"/>
      <c r="AE250" s="116"/>
      <c r="AF250" s="116"/>
      <c r="AG250" s="116"/>
      <c r="AH250" s="116"/>
      <c r="AI250" s="116"/>
      <c r="AJ250" s="116"/>
      <c r="AK250" s="50" t="s">
        <v>9908</v>
      </c>
      <c r="AL250" s="50">
        <v>4.0</v>
      </c>
      <c r="AM250" s="50">
        <v>1.0</v>
      </c>
      <c r="AN250" s="50" t="s">
        <v>6901</v>
      </c>
      <c r="AO250" s="117">
        <v>4370.0</v>
      </c>
      <c r="AP250" s="50" t="s">
        <v>9909</v>
      </c>
      <c r="AQ250" s="50" t="s">
        <v>9910</v>
      </c>
      <c r="AR250" s="117">
        <v>249.0</v>
      </c>
    </row>
    <row r="251">
      <c r="A251" s="50" t="s">
        <v>9901</v>
      </c>
      <c r="B251" s="50" t="s">
        <v>6876</v>
      </c>
      <c r="C251" s="50" t="s">
        <v>6877</v>
      </c>
      <c r="D251" s="50" t="s">
        <v>8493</v>
      </c>
      <c r="E251" s="144">
        <v>43733.0</v>
      </c>
      <c r="F251" s="50" t="s">
        <v>9915</v>
      </c>
      <c r="G251" s="50">
        <v>59.0</v>
      </c>
      <c r="H251" s="50">
        <v>1.0</v>
      </c>
      <c r="I251" s="50">
        <v>11.0</v>
      </c>
      <c r="J251" s="116"/>
      <c r="K251" s="116"/>
      <c r="L251" s="50" t="s">
        <v>1292</v>
      </c>
      <c r="M251" s="50" t="s">
        <v>1292</v>
      </c>
      <c r="N251" s="50" t="s">
        <v>9902</v>
      </c>
      <c r="O251" s="50" t="s">
        <v>9916</v>
      </c>
      <c r="P251" s="50" t="s">
        <v>9919</v>
      </c>
      <c r="Q251" s="50" t="s">
        <v>9920</v>
      </c>
      <c r="R251" s="116"/>
      <c r="S251" s="116"/>
      <c r="T251" s="116"/>
      <c r="U251" s="116"/>
      <c r="V251" s="116"/>
      <c r="W251" s="50">
        <v>3.0</v>
      </c>
      <c r="X251" s="50">
        <v>1.0</v>
      </c>
      <c r="Y251" s="50">
        <v>3.0</v>
      </c>
      <c r="Z251" s="50">
        <v>168.0</v>
      </c>
      <c r="AA251" s="50">
        <v>2.0</v>
      </c>
      <c r="AB251" s="50">
        <v>1.0</v>
      </c>
      <c r="AC251" s="50">
        <v>3.0</v>
      </c>
      <c r="AD251" s="50">
        <v>11.0</v>
      </c>
      <c r="AE251" s="50">
        <v>1.0</v>
      </c>
      <c r="AF251" s="50">
        <v>1.0</v>
      </c>
      <c r="AG251" s="50">
        <v>1.0</v>
      </c>
      <c r="AH251" s="50">
        <v>3.0</v>
      </c>
      <c r="AI251" s="50">
        <v>2.0</v>
      </c>
      <c r="AJ251" s="116"/>
      <c r="AK251" s="50" t="s">
        <v>9922</v>
      </c>
      <c r="AL251" s="50">
        <v>4.0</v>
      </c>
      <c r="AM251" s="50">
        <v>1.0</v>
      </c>
      <c r="AN251" s="50" t="s">
        <v>6901</v>
      </c>
      <c r="AO251" s="117">
        <v>4371.0</v>
      </c>
      <c r="AP251" s="50" t="s">
        <v>9925</v>
      </c>
      <c r="AQ251" s="50" t="s">
        <v>9926</v>
      </c>
      <c r="AR251" s="117">
        <v>250.0</v>
      </c>
    </row>
    <row r="252">
      <c r="A252" s="50" t="s">
        <v>9929</v>
      </c>
      <c r="B252" s="50" t="s">
        <v>6876</v>
      </c>
      <c r="C252" s="50" t="s">
        <v>6877</v>
      </c>
      <c r="D252" s="50" t="s">
        <v>8493</v>
      </c>
      <c r="E252" s="144">
        <v>43733.0</v>
      </c>
      <c r="F252" s="50" t="s">
        <v>9930</v>
      </c>
      <c r="G252" s="50">
        <v>33.0</v>
      </c>
      <c r="H252" s="50">
        <v>1.0</v>
      </c>
      <c r="I252" s="50">
        <v>98.0</v>
      </c>
      <c r="J252" s="116"/>
      <c r="K252" s="116"/>
      <c r="L252" s="50" t="s">
        <v>1300</v>
      </c>
      <c r="M252" s="50" t="s">
        <v>1300</v>
      </c>
      <c r="N252" s="50" t="s">
        <v>9936</v>
      </c>
      <c r="O252" s="50" t="s">
        <v>9936</v>
      </c>
      <c r="P252" s="50" t="s">
        <v>9940</v>
      </c>
      <c r="Q252" s="50" t="s">
        <v>9942</v>
      </c>
      <c r="R252" s="116"/>
      <c r="S252" s="116"/>
      <c r="T252" s="116"/>
      <c r="U252" s="116"/>
      <c r="V252" s="116"/>
      <c r="W252" s="50">
        <v>7.0</v>
      </c>
      <c r="X252" s="50">
        <v>100.0</v>
      </c>
      <c r="Y252" s="50">
        <v>3.0</v>
      </c>
      <c r="Z252" s="50">
        <v>0.0</v>
      </c>
      <c r="AA252" s="116"/>
      <c r="AB252" s="116"/>
      <c r="AC252" s="116"/>
      <c r="AD252" s="116"/>
      <c r="AE252" s="116"/>
      <c r="AF252" s="116"/>
      <c r="AG252" s="116"/>
      <c r="AH252" s="116"/>
      <c r="AI252" s="116"/>
      <c r="AJ252" s="116"/>
      <c r="AK252" s="50" t="s">
        <v>8213</v>
      </c>
      <c r="AL252" s="50">
        <v>4.0</v>
      </c>
      <c r="AM252" s="50">
        <v>1.0</v>
      </c>
      <c r="AN252" s="50" t="s">
        <v>6901</v>
      </c>
      <c r="AO252" s="117">
        <v>4372.0</v>
      </c>
      <c r="AP252" s="50" t="s">
        <v>9964</v>
      </c>
      <c r="AQ252" s="50" t="s">
        <v>9966</v>
      </c>
      <c r="AR252" s="117">
        <v>251.0</v>
      </c>
    </row>
    <row r="253">
      <c r="A253" s="50" t="s">
        <v>9970</v>
      </c>
      <c r="B253" s="50" t="s">
        <v>6876</v>
      </c>
      <c r="C253" s="50" t="s">
        <v>6877</v>
      </c>
      <c r="D253" s="50" t="s">
        <v>8493</v>
      </c>
      <c r="E253" s="144">
        <v>43734.0</v>
      </c>
      <c r="F253" s="50" t="s">
        <v>9978</v>
      </c>
      <c r="G253" s="50">
        <v>57.0</v>
      </c>
      <c r="H253" s="50">
        <v>1.0</v>
      </c>
      <c r="I253" s="50">
        <v>99.0</v>
      </c>
      <c r="J253" s="116"/>
      <c r="K253" s="116"/>
      <c r="L253" s="50" t="s">
        <v>1303</v>
      </c>
      <c r="M253" s="50" t="s">
        <v>1303</v>
      </c>
      <c r="N253" s="50" t="s">
        <v>9983</v>
      </c>
      <c r="O253" s="50" t="s">
        <v>9985</v>
      </c>
      <c r="P253" s="50" t="s">
        <v>9987</v>
      </c>
      <c r="Q253" s="50" t="s">
        <v>9989</v>
      </c>
      <c r="R253" s="116"/>
      <c r="S253" s="116"/>
      <c r="T253" s="116"/>
      <c r="U253" s="116"/>
      <c r="V253" s="116"/>
      <c r="W253" s="50">
        <v>7.0</v>
      </c>
      <c r="X253" s="50">
        <v>100.0</v>
      </c>
      <c r="Y253" s="50">
        <v>3.0</v>
      </c>
      <c r="Z253" s="50">
        <v>0.0</v>
      </c>
      <c r="AA253" s="116"/>
      <c r="AB253" s="116"/>
      <c r="AC253" s="116"/>
      <c r="AD253" s="116"/>
      <c r="AE253" s="116"/>
      <c r="AF253" s="116"/>
      <c r="AG253" s="116"/>
      <c r="AH253" s="116"/>
      <c r="AI253" s="116"/>
      <c r="AJ253" s="116"/>
      <c r="AK253" s="50" t="s">
        <v>10003</v>
      </c>
      <c r="AL253" s="50">
        <v>4.0</v>
      </c>
      <c r="AM253" s="50">
        <v>1.0</v>
      </c>
      <c r="AN253" s="50" t="s">
        <v>6901</v>
      </c>
      <c r="AO253" s="117">
        <v>4391.0</v>
      </c>
      <c r="AP253" s="50" t="s">
        <v>10007</v>
      </c>
      <c r="AQ253" s="50" t="s">
        <v>10010</v>
      </c>
      <c r="AR253" s="117">
        <v>252.0</v>
      </c>
    </row>
    <row r="254">
      <c r="A254" s="50" t="s">
        <v>9978</v>
      </c>
      <c r="B254" s="50" t="s">
        <v>6876</v>
      </c>
      <c r="C254" s="50" t="s">
        <v>6877</v>
      </c>
      <c r="D254" s="50" t="s">
        <v>8493</v>
      </c>
      <c r="E254" s="144">
        <v>43734.0</v>
      </c>
      <c r="F254" s="50" t="s">
        <v>10018</v>
      </c>
      <c r="G254" s="50">
        <v>55.0</v>
      </c>
      <c r="H254" s="50">
        <v>1.0</v>
      </c>
      <c r="I254" s="50">
        <v>99.0</v>
      </c>
      <c r="J254" s="116"/>
      <c r="K254" s="116"/>
      <c r="L254" s="50" t="s">
        <v>1307</v>
      </c>
      <c r="M254" s="50" t="s">
        <v>1307</v>
      </c>
      <c r="N254" s="50" t="s">
        <v>9983</v>
      </c>
      <c r="O254" s="50" t="s">
        <v>9985</v>
      </c>
      <c r="P254" s="50" t="s">
        <v>9987</v>
      </c>
      <c r="Q254" s="50" t="s">
        <v>9989</v>
      </c>
      <c r="R254" s="116"/>
      <c r="S254" s="116"/>
      <c r="T254" s="116"/>
      <c r="U254" s="116"/>
      <c r="V254" s="116"/>
      <c r="W254" s="50">
        <v>7.0</v>
      </c>
      <c r="X254" s="50">
        <v>100.0</v>
      </c>
      <c r="Y254" s="50">
        <v>3.0</v>
      </c>
      <c r="Z254" s="50">
        <v>0.0</v>
      </c>
      <c r="AA254" s="116"/>
      <c r="AB254" s="116"/>
      <c r="AC254" s="116"/>
      <c r="AD254" s="116"/>
      <c r="AE254" s="116"/>
      <c r="AF254" s="116"/>
      <c r="AG254" s="116"/>
      <c r="AH254" s="116"/>
      <c r="AI254" s="116"/>
      <c r="AJ254" s="116"/>
      <c r="AK254" s="50" t="s">
        <v>10028</v>
      </c>
      <c r="AL254" s="50">
        <v>4.0</v>
      </c>
      <c r="AM254" s="50">
        <v>1.0</v>
      </c>
      <c r="AN254" s="50" t="s">
        <v>6901</v>
      </c>
      <c r="AO254" s="117">
        <v>4392.0</v>
      </c>
      <c r="AP254" s="50" t="s">
        <v>10029</v>
      </c>
      <c r="AQ254" s="50" t="s">
        <v>10030</v>
      </c>
      <c r="AR254" s="117">
        <v>253.0</v>
      </c>
    </row>
    <row r="255">
      <c r="A255" s="50" t="s">
        <v>10018</v>
      </c>
      <c r="B255" s="50" t="s">
        <v>6876</v>
      </c>
      <c r="C255" s="50" t="s">
        <v>6877</v>
      </c>
      <c r="D255" s="50" t="s">
        <v>8493</v>
      </c>
      <c r="E255" s="144">
        <v>43734.0</v>
      </c>
      <c r="F255" s="50" t="s">
        <v>10033</v>
      </c>
      <c r="G255" s="50">
        <v>33.0</v>
      </c>
      <c r="H255" s="50">
        <v>1.0</v>
      </c>
      <c r="I255" s="50">
        <v>98.0</v>
      </c>
      <c r="J255" s="116"/>
      <c r="K255" s="116"/>
      <c r="L255" s="50" t="s">
        <v>1312</v>
      </c>
      <c r="M255" s="50" t="s">
        <v>1312</v>
      </c>
      <c r="N255" s="50" t="s">
        <v>9985</v>
      </c>
      <c r="O255" s="50" t="s">
        <v>9985</v>
      </c>
      <c r="P255" s="50" t="s">
        <v>9987</v>
      </c>
      <c r="Q255" s="50" t="s">
        <v>9989</v>
      </c>
      <c r="R255" s="116"/>
      <c r="S255" s="116"/>
      <c r="T255" s="116"/>
      <c r="U255" s="116"/>
      <c r="V255" s="116"/>
      <c r="W255" s="50">
        <v>7.0</v>
      </c>
      <c r="X255" s="50">
        <v>100.0</v>
      </c>
      <c r="Y255" s="50">
        <v>3.0</v>
      </c>
      <c r="Z255" s="50">
        <v>0.0</v>
      </c>
      <c r="AA255" s="116"/>
      <c r="AB255" s="116"/>
      <c r="AC255" s="116"/>
      <c r="AD255" s="116"/>
      <c r="AE255" s="116"/>
      <c r="AF255" s="116"/>
      <c r="AG255" s="116"/>
      <c r="AH255" s="116"/>
      <c r="AI255" s="116"/>
      <c r="AJ255" s="116"/>
      <c r="AK255" s="50" t="s">
        <v>8259</v>
      </c>
      <c r="AL255" s="50">
        <v>4.0</v>
      </c>
      <c r="AM255" s="50">
        <v>1.0</v>
      </c>
      <c r="AN255" s="50" t="s">
        <v>6901</v>
      </c>
      <c r="AO255" s="117">
        <v>4393.0</v>
      </c>
      <c r="AP255" s="50" t="s">
        <v>10041</v>
      </c>
      <c r="AQ255" s="50" t="s">
        <v>10042</v>
      </c>
      <c r="AR255" s="117">
        <v>254.0</v>
      </c>
    </row>
    <row r="256">
      <c r="A256" s="50" t="s">
        <v>10043</v>
      </c>
      <c r="B256" s="50" t="s">
        <v>6876</v>
      </c>
      <c r="C256" s="50" t="s">
        <v>6877</v>
      </c>
      <c r="D256" s="50" t="s">
        <v>8493</v>
      </c>
      <c r="E256" s="144">
        <v>43738.0</v>
      </c>
      <c r="F256" s="50" t="s">
        <v>10044</v>
      </c>
      <c r="G256" s="50">
        <v>59.0</v>
      </c>
      <c r="H256" s="50">
        <v>1.0</v>
      </c>
      <c r="I256" s="50">
        <v>11.0</v>
      </c>
      <c r="J256" s="116"/>
      <c r="K256" s="116"/>
      <c r="L256" s="50" t="s">
        <v>1325</v>
      </c>
      <c r="M256" s="50" t="s">
        <v>1325</v>
      </c>
      <c r="N256" s="50" t="s">
        <v>10045</v>
      </c>
      <c r="O256" s="50" t="s">
        <v>10047</v>
      </c>
      <c r="P256" s="50" t="s">
        <v>10048</v>
      </c>
      <c r="Q256" s="50" t="s">
        <v>10050</v>
      </c>
      <c r="R256" s="116"/>
      <c r="S256" s="116"/>
      <c r="T256" s="116"/>
      <c r="U256" s="116"/>
      <c r="V256" s="116"/>
      <c r="W256" s="50">
        <v>3.0</v>
      </c>
      <c r="X256" s="50">
        <v>1.0</v>
      </c>
      <c r="Y256" s="50">
        <v>3.0</v>
      </c>
      <c r="Z256" s="50">
        <v>185.0</v>
      </c>
      <c r="AA256" s="50">
        <v>2.0</v>
      </c>
      <c r="AB256" s="50">
        <v>1.0</v>
      </c>
      <c r="AC256" s="50">
        <v>3.0</v>
      </c>
      <c r="AD256" s="50">
        <v>15.0</v>
      </c>
      <c r="AE256" s="50">
        <v>1.0</v>
      </c>
      <c r="AF256" s="50">
        <v>1.0</v>
      </c>
      <c r="AG256" s="50">
        <v>1.0</v>
      </c>
      <c r="AH256" s="50">
        <v>3.0</v>
      </c>
      <c r="AI256" s="50">
        <v>1.0</v>
      </c>
      <c r="AJ256" s="116"/>
      <c r="AK256" s="50" t="s">
        <v>10055</v>
      </c>
      <c r="AL256" s="50">
        <v>4.0</v>
      </c>
      <c r="AM256" s="50">
        <v>1.0</v>
      </c>
      <c r="AN256" s="50" t="s">
        <v>6901</v>
      </c>
      <c r="AO256" s="117">
        <v>4411.0</v>
      </c>
      <c r="AP256" s="50" t="s">
        <v>10056</v>
      </c>
      <c r="AQ256" s="50" t="s">
        <v>10057</v>
      </c>
      <c r="AR256" s="117">
        <v>255.0</v>
      </c>
    </row>
    <row r="257">
      <c r="A257" s="50" t="s">
        <v>10044</v>
      </c>
      <c r="B257" s="50" t="s">
        <v>6876</v>
      </c>
      <c r="C257" s="50" t="s">
        <v>6877</v>
      </c>
      <c r="D257" s="50" t="s">
        <v>8493</v>
      </c>
      <c r="E257" s="144">
        <v>43738.0</v>
      </c>
      <c r="F257" s="50" t="s">
        <v>10060</v>
      </c>
      <c r="G257" s="50">
        <v>59.0</v>
      </c>
      <c r="H257" s="50">
        <v>1.0</v>
      </c>
      <c r="I257" s="50">
        <v>99.0</v>
      </c>
      <c r="J257" s="116"/>
      <c r="K257" s="116"/>
      <c r="L257" s="50" t="s">
        <v>1327</v>
      </c>
      <c r="M257" s="50" t="s">
        <v>1327</v>
      </c>
      <c r="N257" s="50" t="s">
        <v>10045</v>
      </c>
      <c r="O257" s="50" t="s">
        <v>10063</v>
      </c>
      <c r="P257" s="50" t="s">
        <v>10064</v>
      </c>
      <c r="Q257" s="50" t="s">
        <v>10065</v>
      </c>
      <c r="R257" s="116"/>
      <c r="S257" s="116"/>
      <c r="T257" s="116"/>
      <c r="U257" s="116"/>
      <c r="V257" s="116"/>
      <c r="W257" s="50">
        <v>7.0</v>
      </c>
      <c r="X257" s="50">
        <v>100.0</v>
      </c>
      <c r="Y257" s="50">
        <v>3.0</v>
      </c>
      <c r="Z257" s="50">
        <v>0.0</v>
      </c>
      <c r="AA257" s="116"/>
      <c r="AB257" s="116"/>
      <c r="AC257" s="116"/>
      <c r="AD257" s="116"/>
      <c r="AE257" s="116"/>
      <c r="AF257" s="116"/>
      <c r="AG257" s="116"/>
      <c r="AH257" s="116"/>
      <c r="AI257" s="116"/>
      <c r="AJ257" s="116"/>
      <c r="AK257" s="50" t="s">
        <v>10071</v>
      </c>
      <c r="AL257" s="50">
        <v>4.0</v>
      </c>
      <c r="AM257" s="50">
        <v>1.0</v>
      </c>
      <c r="AN257" s="50" t="s">
        <v>6901</v>
      </c>
      <c r="AO257" s="117">
        <v>4412.0</v>
      </c>
      <c r="AP257" s="50" t="s">
        <v>10076</v>
      </c>
      <c r="AQ257" s="50" t="s">
        <v>10078</v>
      </c>
      <c r="AR257" s="117">
        <v>256.0</v>
      </c>
    </row>
    <row r="258">
      <c r="A258" s="50" t="s">
        <v>10060</v>
      </c>
      <c r="B258" s="50" t="s">
        <v>6876</v>
      </c>
      <c r="C258" s="50" t="s">
        <v>6877</v>
      </c>
      <c r="D258" s="50" t="s">
        <v>8493</v>
      </c>
      <c r="E258" s="144">
        <v>43738.0</v>
      </c>
      <c r="F258" s="50" t="s">
        <v>10079</v>
      </c>
      <c r="G258" s="50">
        <v>66.0</v>
      </c>
      <c r="H258" s="50">
        <v>1.0</v>
      </c>
      <c r="I258" s="50">
        <v>99.0</v>
      </c>
      <c r="J258" s="116"/>
      <c r="K258" s="116"/>
      <c r="L258" s="50" t="s">
        <v>1316</v>
      </c>
      <c r="M258" s="50" t="s">
        <v>1316</v>
      </c>
      <c r="N258" s="50" t="s">
        <v>10045</v>
      </c>
      <c r="O258" s="50" t="s">
        <v>10063</v>
      </c>
      <c r="P258" s="50" t="s">
        <v>10064</v>
      </c>
      <c r="Q258" s="50" t="s">
        <v>10065</v>
      </c>
      <c r="R258" s="116"/>
      <c r="S258" s="116"/>
      <c r="T258" s="116"/>
      <c r="U258" s="116"/>
      <c r="V258" s="116"/>
      <c r="W258" s="50">
        <v>7.0</v>
      </c>
      <c r="X258" s="50">
        <v>100.0</v>
      </c>
      <c r="Y258" s="50">
        <v>3.0</v>
      </c>
      <c r="Z258" s="50">
        <v>0.0</v>
      </c>
      <c r="AA258" s="116"/>
      <c r="AB258" s="116"/>
      <c r="AC258" s="116"/>
      <c r="AD258" s="116"/>
      <c r="AE258" s="116"/>
      <c r="AF258" s="116"/>
      <c r="AG258" s="116"/>
      <c r="AH258" s="116"/>
      <c r="AI258" s="116"/>
      <c r="AJ258" s="116"/>
      <c r="AK258" s="50" t="s">
        <v>10083</v>
      </c>
      <c r="AL258" s="50">
        <v>4.0</v>
      </c>
      <c r="AM258" s="50">
        <v>1.0</v>
      </c>
      <c r="AN258" s="50" t="s">
        <v>6901</v>
      </c>
      <c r="AO258" s="117">
        <v>4413.0</v>
      </c>
      <c r="AP258" s="50" t="s">
        <v>10087</v>
      </c>
      <c r="AQ258" s="50" t="s">
        <v>10089</v>
      </c>
      <c r="AR258" s="117">
        <v>257.0</v>
      </c>
    </row>
    <row r="259">
      <c r="A259" s="50" t="s">
        <v>10079</v>
      </c>
      <c r="B259" s="50" t="s">
        <v>6876</v>
      </c>
      <c r="C259" s="50" t="s">
        <v>6877</v>
      </c>
      <c r="D259" s="50" t="s">
        <v>8493</v>
      </c>
      <c r="E259" s="144">
        <v>43738.0</v>
      </c>
      <c r="F259" s="50" t="s">
        <v>10090</v>
      </c>
      <c r="G259" s="50">
        <v>59.0</v>
      </c>
      <c r="H259" s="50">
        <v>1.0</v>
      </c>
      <c r="I259" s="50">
        <v>99.0</v>
      </c>
      <c r="J259" s="116"/>
      <c r="K259" s="116"/>
      <c r="L259" s="50" t="s">
        <v>1321</v>
      </c>
      <c r="M259" s="50" t="s">
        <v>1321</v>
      </c>
      <c r="N259" s="50" t="s">
        <v>10045</v>
      </c>
      <c r="O259" s="50" t="s">
        <v>10063</v>
      </c>
      <c r="P259" s="50" t="s">
        <v>10064</v>
      </c>
      <c r="Q259" s="50" t="s">
        <v>10065</v>
      </c>
      <c r="R259" s="116"/>
      <c r="S259" s="116"/>
      <c r="T259" s="116"/>
      <c r="U259" s="116"/>
      <c r="V259" s="116"/>
      <c r="W259" s="50">
        <v>7.0</v>
      </c>
      <c r="X259" s="50">
        <v>100.0</v>
      </c>
      <c r="Y259" s="50">
        <v>3.0</v>
      </c>
      <c r="Z259" s="50">
        <v>0.0</v>
      </c>
      <c r="AA259" s="116"/>
      <c r="AB259" s="116"/>
      <c r="AC259" s="116"/>
      <c r="AD259" s="116"/>
      <c r="AE259" s="116"/>
      <c r="AF259" s="116"/>
      <c r="AG259" s="116"/>
      <c r="AH259" s="116"/>
      <c r="AI259" s="116"/>
      <c r="AJ259" s="116"/>
      <c r="AK259" s="50" t="s">
        <v>10095</v>
      </c>
      <c r="AL259" s="50">
        <v>4.0</v>
      </c>
      <c r="AM259" s="50">
        <v>1.0</v>
      </c>
      <c r="AN259" s="50" t="s">
        <v>6901</v>
      </c>
      <c r="AO259" s="117">
        <v>4414.0</v>
      </c>
      <c r="AP259" s="50" t="s">
        <v>10098</v>
      </c>
      <c r="AQ259" s="50" t="s">
        <v>10099</v>
      </c>
      <c r="AR259" s="117">
        <v>258.0</v>
      </c>
    </row>
    <row r="260">
      <c r="A260" s="50" t="s">
        <v>10090</v>
      </c>
      <c r="B260" s="50" t="s">
        <v>6876</v>
      </c>
      <c r="C260" s="50" t="s">
        <v>6877</v>
      </c>
      <c r="D260" s="50" t="s">
        <v>8493</v>
      </c>
      <c r="E260" s="144">
        <v>43738.0</v>
      </c>
      <c r="F260" s="50" t="s">
        <v>10106</v>
      </c>
      <c r="G260" s="50">
        <v>33.0</v>
      </c>
      <c r="H260" s="50">
        <v>1.0</v>
      </c>
      <c r="I260" s="50">
        <v>98.0</v>
      </c>
      <c r="J260" s="116"/>
      <c r="K260" s="116"/>
      <c r="L260" s="50" t="s">
        <v>1332</v>
      </c>
      <c r="M260" s="50" t="s">
        <v>1332</v>
      </c>
      <c r="N260" s="50" t="s">
        <v>10108</v>
      </c>
      <c r="O260" s="50" t="s">
        <v>10108</v>
      </c>
      <c r="P260" s="50" t="s">
        <v>10063</v>
      </c>
      <c r="Q260" s="50" t="s">
        <v>10111</v>
      </c>
      <c r="R260" s="116"/>
      <c r="S260" s="116"/>
      <c r="T260" s="116"/>
      <c r="U260" s="116"/>
      <c r="V260" s="116"/>
      <c r="W260" s="50">
        <v>7.0</v>
      </c>
      <c r="X260" s="50">
        <v>100.0</v>
      </c>
      <c r="Y260" s="50">
        <v>3.0</v>
      </c>
      <c r="Z260" s="50">
        <v>0.0</v>
      </c>
      <c r="AA260" s="116"/>
      <c r="AB260" s="116"/>
      <c r="AC260" s="116"/>
      <c r="AD260" s="116"/>
      <c r="AE260" s="116"/>
      <c r="AF260" s="116"/>
      <c r="AG260" s="116"/>
      <c r="AH260" s="116"/>
      <c r="AI260" s="116"/>
      <c r="AJ260" s="116"/>
      <c r="AK260" s="50" t="s">
        <v>8213</v>
      </c>
      <c r="AL260" s="50">
        <v>4.0</v>
      </c>
      <c r="AM260" s="50">
        <v>1.0</v>
      </c>
      <c r="AN260" s="50" t="s">
        <v>6901</v>
      </c>
      <c r="AO260" s="117">
        <v>4415.0</v>
      </c>
      <c r="AP260" s="50" t="s">
        <v>10112</v>
      </c>
      <c r="AQ260" s="50" t="s">
        <v>10113</v>
      </c>
      <c r="AR260" s="117">
        <v>259.0</v>
      </c>
    </row>
    <row r="261">
      <c r="A261" s="50" t="s">
        <v>10114</v>
      </c>
      <c r="B261" s="50" t="s">
        <v>6876</v>
      </c>
      <c r="C261" s="50" t="s">
        <v>6877</v>
      </c>
      <c r="D261" s="50" t="s">
        <v>8493</v>
      </c>
      <c r="E261" s="144">
        <v>43741.0</v>
      </c>
      <c r="F261" s="50" t="s">
        <v>10118</v>
      </c>
      <c r="G261" s="50">
        <v>59.0</v>
      </c>
      <c r="H261" s="50">
        <v>1.0</v>
      </c>
      <c r="I261" s="50">
        <v>11.0</v>
      </c>
      <c r="J261" s="116"/>
      <c r="K261" s="116"/>
      <c r="L261" s="50" t="s">
        <v>1335</v>
      </c>
      <c r="M261" s="50" t="s">
        <v>1335</v>
      </c>
      <c r="N261" s="50" t="s">
        <v>10123</v>
      </c>
      <c r="O261" s="50" t="s">
        <v>10124</v>
      </c>
      <c r="P261" s="50" t="s">
        <v>10125</v>
      </c>
      <c r="Q261" s="50" t="s">
        <v>10126</v>
      </c>
      <c r="R261" s="116"/>
      <c r="S261" s="116"/>
      <c r="T261" s="116"/>
      <c r="U261" s="116"/>
      <c r="V261" s="116"/>
      <c r="W261" s="50">
        <v>3.0</v>
      </c>
      <c r="X261" s="50">
        <v>1.0</v>
      </c>
      <c r="Y261" s="50">
        <v>3.0</v>
      </c>
      <c r="Z261" s="50">
        <v>13.0</v>
      </c>
      <c r="AA261" s="50">
        <v>2.0</v>
      </c>
      <c r="AB261" s="50">
        <v>1.0</v>
      </c>
      <c r="AC261" s="50">
        <v>3.0</v>
      </c>
      <c r="AD261" s="50">
        <v>2.0</v>
      </c>
      <c r="AE261" s="50">
        <v>1.0</v>
      </c>
      <c r="AF261" s="50">
        <v>1.0</v>
      </c>
      <c r="AG261" s="50">
        <v>1.0</v>
      </c>
      <c r="AH261" s="50">
        <v>3.0</v>
      </c>
      <c r="AI261" s="50">
        <v>0.0</v>
      </c>
      <c r="AJ261" s="116"/>
      <c r="AK261" s="50" t="s">
        <v>10130</v>
      </c>
      <c r="AL261" s="50">
        <v>4.0</v>
      </c>
      <c r="AM261" s="50">
        <v>1.0</v>
      </c>
      <c r="AN261" s="50" t="s">
        <v>6901</v>
      </c>
      <c r="AO261" s="117">
        <v>4448.0</v>
      </c>
      <c r="AP261" s="50" t="s">
        <v>10134</v>
      </c>
      <c r="AQ261" s="50" t="s">
        <v>10135</v>
      </c>
      <c r="AR261" s="117">
        <v>260.0</v>
      </c>
    </row>
    <row r="262">
      <c r="A262" s="50" t="s">
        <v>10118</v>
      </c>
      <c r="B262" s="50" t="s">
        <v>6876</v>
      </c>
      <c r="C262" s="50" t="s">
        <v>6877</v>
      </c>
      <c r="D262" s="50" t="s">
        <v>8493</v>
      </c>
      <c r="E262" s="144">
        <v>43741.0</v>
      </c>
      <c r="F262" s="50" t="s">
        <v>10139</v>
      </c>
      <c r="G262" s="50">
        <v>59.0</v>
      </c>
      <c r="H262" s="50">
        <v>1.0</v>
      </c>
      <c r="I262" s="50">
        <v>99.0</v>
      </c>
      <c r="J262" s="116"/>
      <c r="K262" s="116"/>
      <c r="L262" s="50" t="s">
        <v>1338</v>
      </c>
      <c r="M262" s="50" t="s">
        <v>1338</v>
      </c>
      <c r="N262" s="50" t="s">
        <v>10123</v>
      </c>
      <c r="O262" s="50" t="s">
        <v>10141</v>
      </c>
      <c r="P262" s="50" t="s">
        <v>10142</v>
      </c>
      <c r="Q262" s="50" t="s">
        <v>10143</v>
      </c>
      <c r="R262" s="116"/>
      <c r="S262" s="116"/>
      <c r="T262" s="116"/>
      <c r="U262" s="116"/>
      <c r="V262" s="116"/>
      <c r="W262" s="50">
        <v>7.0</v>
      </c>
      <c r="X262" s="50">
        <v>100.0</v>
      </c>
      <c r="Y262" s="50">
        <v>3.0</v>
      </c>
      <c r="Z262" s="50">
        <v>0.0</v>
      </c>
      <c r="AA262" s="116"/>
      <c r="AB262" s="116"/>
      <c r="AC262" s="116"/>
      <c r="AD262" s="116"/>
      <c r="AE262" s="116"/>
      <c r="AF262" s="116"/>
      <c r="AG262" s="116"/>
      <c r="AH262" s="116"/>
      <c r="AI262" s="116"/>
      <c r="AJ262" s="116"/>
      <c r="AK262" s="50" t="s">
        <v>10149</v>
      </c>
      <c r="AL262" s="50">
        <v>3.0</v>
      </c>
      <c r="AM262" s="50">
        <v>1.0</v>
      </c>
      <c r="AN262" s="50" t="s">
        <v>6901</v>
      </c>
      <c r="AO262" s="117">
        <v>4449.0</v>
      </c>
      <c r="AP262" s="50" t="s">
        <v>10151</v>
      </c>
      <c r="AQ262" s="50" t="s">
        <v>10152</v>
      </c>
      <c r="AR262" s="117">
        <v>261.0</v>
      </c>
    </row>
    <row r="263">
      <c r="A263" s="50" t="s">
        <v>10139</v>
      </c>
      <c r="B263" s="50" t="s">
        <v>6876</v>
      </c>
      <c r="C263" s="50" t="s">
        <v>6877</v>
      </c>
      <c r="D263" s="50" t="s">
        <v>8493</v>
      </c>
      <c r="E263" s="144">
        <v>43741.0</v>
      </c>
      <c r="F263" s="50" t="s">
        <v>10153</v>
      </c>
      <c r="G263" s="50">
        <v>59.0</v>
      </c>
      <c r="H263" s="50">
        <v>1.0</v>
      </c>
      <c r="I263" s="50">
        <v>11.0</v>
      </c>
      <c r="J263" s="116"/>
      <c r="K263" s="116"/>
      <c r="L263" s="50" t="s">
        <v>1341</v>
      </c>
      <c r="M263" s="50" t="s">
        <v>1341</v>
      </c>
      <c r="N263" s="50" t="s">
        <v>10123</v>
      </c>
      <c r="O263" s="50" t="s">
        <v>10124</v>
      </c>
      <c r="P263" s="50" t="s">
        <v>10125</v>
      </c>
      <c r="Q263" s="50" t="s">
        <v>10126</v>
      </c>
      <c r="R263" s="116"/>
      <c r="S263" s="116"/>
      <c r="T263" s="116"/>
      <c r="U263" s="116"/>
      <c r="V263" s="116"/>
      <c r="W263" s="50">
        <v>3.0</v>
      </c>
      <c r="X263" s="50">
        <v>1.0</v>
      </c>
      <c r="Y263" s="50">
        <v>3.0</v>
      </c>
      <c r="Z263" s="50">
        <v>14.0</v>
      </c>
      <c r="AA263" s="50">
        <v>2.0</v>
      </c>
      <c r="AB263" s="50">
        <v>1.0</v>
      </c>
      <c r="AC263" s="50">
        <v>3.0</v>
      </c>
      <c r="AD263" s="50">
        <v>0.0</v>
      </c>
      <c r="AE263" s="50">
        <v>1.0</v>
      </c>
      <c r="AF263" s="50">
        <v>1.0</v>
      </c>
      <c r="AG263" s="50">
        <v>1.0</v>
      </c>
      <c r="AH263" s="50">
        <v>3.0</v>
      </c>
      <c r="AI263" s="50">
        <v>0.0</v>
      </c>
      <c r="AJ263" s="116"/>
      <c r="AK263" s="50" t="s">
        <v>10160</v>
      </c>
      <c r="AL263" s="50">
        <v>4.0</v>
      </c>
      <c r="AM263" s="50">
        <v>1.0</v>
      </c>
      <c r="AN263" s="50" t="s">
        <v>6901</v>
      </c>
      <c r="AO263" s="117">
        <v>4450.0</v>
      </c>
      <c r="AP263" s="50" t="s">
        <v>10166</v>
      </c>
      <c r="AQ263" s="50" t="s">
        <v>10167</v>
      </c>
      <c r="AR263" s="117">
        <v>262.0</v>
      </c>
    </row>
    <row r="264">
      <c r="A264" s="50" t="s">
        <v>10153</v>
      </c>
      <c r="B264" s="50" t="s">
        <v>6876</v>
      </c>
      <c r="C264" s="50" t="s">
        <v>6877</v>
      </c>
      <c r="D264" s="50" t="s">
        <v>8493</v>
      </c>
      <c r="E264" s="144">
        <v>43741.0</v>
      </c>
      <c r="F264" s="50" t="s">
        <v>10171</v>
      </c>
      <c r="G264" s="50">
        <v>59.0</v>
      </c>
      <c r="H264" s="50">
        <v>1.0</v>
      </c>
      <c r="I264" s="50">
        <v>99.0</v>
      </c>
      <c r="J264" s="116"/>
      <c r="K264" s="116"/>
      <c r="L264" s="50" t="s">
        <v>1344</v>
      </c>
      <c r="M264" s="50" t="s">
        <v>1344</v>
      </c>
      <c r="N264" s="50" t="s">
        <v>10123</v>
      </c>
      <c r="O264" s="50" t="s">
        <v>10124</v>
      </c>
      <c r="P264" s="50" t="s">
        <v>10125</v>
      </c>
      <c r="Q264" s="50" t="s">
        <v>10126</v>
      </c>
      <c r="R264" s="116"/>
      <c r="S264" s="116"/>
      <c r="T264" s="116"/>
      <c r="U264" s="116"/>
      <c r="V264" s="116"/>
      <c r="W264" s="50">
        <v>7.0</v>
      </c>
      <c r="X264" s="50">
        <v>100.0</v>
      </c>
      <c r="Y264" s="50">
        <v>3.0</v>
      </c>
      <c r="Z264" s="50">
        <v>0.0</v>
      </c>
      <c r="AA264" s="116"/>
      <c r="AB264" s="116"/>
      <c r="AC264" s="116"/>
      <c r="AD264" s="116"/>
      <c r="AE264" s="116"/>
      <c r="AF264" s="116"/>
      <c r="AG264" s="116"/>
      <c r="AH264" s="116"/>
      <c r="AI264" s="116"/>
      <c r="AJ264" s="116"/>
      <c r="AK264" s="50" t="s">
        <v>10178</v>
      </c>
      <c r="AL264" s="50">
        <v>3.0</v>
      </c>
      <c r="AM264" s="50">
        <v>1.0</v>
      </c>
      <c r="AN264" s="50" t="s">
        <v>6901</v>
      </c>
      <c r="AO264" s="117">
        <v>4451.0</v>
      </c>
      <c r="AP264" s="50" t="s">
        <v>10181</v>
      </c>
      <c r="AQ264" s="50" t="s">
        <v>10183</v>
      </c>
      <c r="AR264" s="117">
        <v>263.0</v>
      </c>
    </row>
    <row r="265">
      <c r="A265" s="50" t="s">
        <v>10171</v>
      </c>
      <c r="B265" s="50" t="s">
        <v>6876</v>
      </c>
      <c r="C265" s="50" t="s">
        <v>6877</v>
      </c>
      <c r="D265" s="50" t="s">
        <v>8493</v>
      </c>
      <c r="E265" s="144">
        <v>43741.0</v>
      </c>
      <c r="F265" s="50" t="s">
        <v>10187</v>
      </c>
      <c r="G265" s="50">
        <v>59.0</v>
      </c>
      <c r="H265" s="50">
        <v>1.0</v>
      </c>
      <c r="I265" s="50">
        <v>11.0</v>
      </c>
      <c r="J265" s="116"/>
      <c r="K265" s="116"/>
      <c r="L265" s="50" t="s">
        <v>1346</v>
      </c>
      <c r="M265" s="50" t="s">
        <v>1346</v>
      </c>
      <c r="N265" s="50" t="s">
        <v>10123</v>
      </c>
      <c r="O265" s="50" t="s">
        <v>10189</v>
      </c>
      <c r="P265" s="50" t="s">
        <v>10190</v>
      </c>
      <c r="Q265" s="50" t="s">
        <v>10192</v>
      </c>
      <c r="R265" s="116"/>
      <c r="S265" s="116"/>
      <c r="T265" s="116"/>
      <c r="U265" s="116"/>
      <c r="V265" s="116"/>
      <c r="W265" s="50">
        <v>3.0</v>
      </c>
      <c r="X265" s="50">
        <v>1.0</v>
      </c>
      <c r="Y265" s="50">
        <v>3.0</v>
      </c>
      <c r="Z265" s="50">
        <v>0.0</v>
      </c>
      <c r="AA265" s="50">
        <v>2.0</v>
      </c>
      <c r="AB265" s="50">
        <v>1.0</v>
      </c>
      <c r="AC265" s="50">
        <v>3.0</v>
      </c>
      <c r="AD265" s="50">
        <v>0.0</v>
      </c>
      <c r="AE265" s="50">
        <v>1.0</v>
      </c>
      <c r="AF265" s="50">
        <v>1.0</v>
      </c>
      <c r="AG265" s="50">
        <v>1.0</v>
      </c>
      <c r="AH265" s="50">
        <v>3.0</v>
      </c>
      <c r="AI265" s="50">
        <v>0.0</v>
      </c>
      <c r="AJ265" s="116"/>
      <c r="AK265" s="50" t="s">
        <v>10193</v>
      </c>
      <c r="AL265" s="50">
        <v>3.0</v>
      </c>
      <c r="AM265" s="50">
        <v>1.0</v>
      </c>
      <c r="AN265" s="50" t="s">
        <v>6901</v>
      </c>
      <c r="AO265" s="117">
        <v>4452.0</v>
      </c>
      <c r="AP265" s="50" t="s">
        <v>10194</v>
      </c>
      <c r="AQ265" s="50" t="s">
        <v>10195</v>
      </c>
      <c r="AR265" s="117">
        <v>264.0</v>
      </c>
    </row>
    <row r="266">
      <c r="A266" s="50" t="s">
        <v>10187</v>
      </c>
      <c r="B266" s="50" t="s">
        <v>6876</v>
      </c>
      <c r="C266" s="50" t="s">
        <v>6877</v>
      </c>
      <c r="D266" s="50" t="s">
        <v>8493</v>
      </c>
      <c r="E266" s="144">
        <v>43741.0</v>
      </c>
      <c r="F266" s="50" t="s">
        <v>10196</v>
      </c>
      <c r="G266" s="50">
        <v>59.0</v>
      </c>
      <c r="H266" s="50">
        <v>1.0</v>
      </c>
      <c r="I266" s="50">
        <v>99.0</v>
      </c>
      <c r="J266" s="116"/>
      <c r="K266" s="116"/>
      <c r="L266" s="50" t="s">
        <v>1349</v>
      </c>
      <c r="M266" s="50" t="s">
        <v>1349</v>
      </c>
      <c r="N266" s="50" t="s">
        <v>10123</v>
      </c>
      <c r="O266" s="50" t="s">
        <v>10200</v>
      </c>
      <c r="P266" s="50" t="s">
        <v>10142</v>
      </c>
      <c r="Q266" s="50" t="s">
        <v>10143</v>
      </c>
      <c r="R266" s="116"/>
      <c r="S266" s="116"/>
      <c r="T266" s="116"/>
      <c r="U266" s="116"/>
      <c r="V266" s="116"/>
      <c r="W266" s="50">
        <v>7.0</v>
      </c>
      <c r="X266" s="50">
        <v>100.0</v>
      </c>
      <c r="Y266" s="50">
        <v>3.0</v>
      </c>
      <c r="Z266" s="50">
        <v>0.0</v>
      </c>
      <c r="AA266" s="116"/>
      <c r="AB266" s="116"/>
      <c r="AC266" s="116"/>
      <c r="AD266" s="116"/>
      <c r="AE266" s="116"/>
      <c r="AF266" s="116"/>
      <c r="AG266" s="116"/>
      <c r="AH266" s="116"/>
      <c r="AI266" s="116"/>
      <c r="AJ266" s="116"/>
      <c r="AK266" s="50" t="s">
        <v>10206</v>
      </c>
      <c r="AL266" s="50">
        <v>3.0</v>
      </c>
      <c r="AM266" s="50">
        <v>1.0</v>
      </c>
      <c r="AN266" s="50" t="s">
        <v>6901</v>
      </c>
      <c r="AO266" s="117">
        <v>4453.0</v>
      </c>
      <c r="AP266" s="50" t="s">
        <v>10208</v>
      </c>
      <c r="AQ266" s="50" t="s">
        <v>10210</v>
      </c>
      <c r="AR266" s="117">
        <v>265.0</v>
      </c>
    </row>
    <row r="267">
      <c r="A267" s="50" t="s">
        <v>10196</v>
      </c>
      <c r="B267" s="50" t="s">
        <v>6876</v>
      </c>
      <c r="C267" s="50" t="s">
        <v>6877</v>
      </c>
      <c r="D267" s="50" t="s">
        <v>8493</v>
      </c>
      <c r="E267" s="144">
        <v>43741.0</v>
      </c>
      <c r="F267" s="50" t="s">
        <v>10211</v>
      </c>
      <c r="G267" s="50">
        <v>33.0</v>
      </c>
      <c r="H267" s="50">
        <v>1.0</v>
      </c>
      <c r="I267" s="50">
        <v>98.0</v>
      </c>
      <c r="J267" s="116"/>
      <c r="K267" s="116"/>
      <c r="L267" s="50" t="s">
        <v>1353</v>
      </c>
      <c r="M267" s="50" t="s">
        <v>1353</v>
      </c>
      <c r="N267" s="50" t="s">
        <v>10212</v>
      </c>
      <c r="O267" s="50" t="s">
        <v>10212</v>
      </c>
      <c r="P267" s="50" t="s">
        <v>10213</v>
      </c>
      <c r="Q267" s="50" t="s">
        <v>10214</v>
      </c>
      <c r="R267" s="116"/>
      <c r="S267" s="116"/>
      <c r="T267" s="116"/>
      <c r="U267" s="116"/>
      <c r="V267" s="116"/>
      <c r="W267" s="50">
        <v>7.0</v>
      </c>
      <c r="X267" s="50">
        <v>100.0</v>
      </c>
      <c r="Y267" s="50">
        <v>3.0</v>
      </c>
      <c r="Z267" s="50">
        <v>0.0</v>
      </c>
      <c r="AA267" s="116"/>
      <c r="AB267" s="116"/>
      <c r="AC267" s="116"/>
      <c r="AD267" s="116"/>
      <c r="AE267" s="116"/>
      <c r="AF267" s="116"/>
      <c r="AG267" s="116"/>
      <c r="AH267" s="116"/>
      <c r="AI267" s="116"/>
      <c r="AJ267" s="116"/>
      <c r="AK267" s="50" t="s">
        <v>8213</v>
      </c>
      <c r="AL267" s="50">
        <v>3.0</v>
      </c>
      <c r="AM267" s="50">
        <v>1.0</v>
      </c>
      <c r="AN267" s="50" t="s">
        <v>6901</v>
      </c>
      <c r="AO267" s="117">
        <v>4454.0</v>
      </c>
      <c r="AP267" s="50" t="s">
        <v>10217</v>
      </c>
      <c r="AQ267" s="50" t="s">
        <v>10218</v>
      </c>
      <c r="AR267" s="117">
        <v>266.0</v>
      </c>
    </row>
    <row r="268">
      <c r="A268" s="50" t="s">
        <v>10220</v>
      </c>
      <c r="B268" s="50" t="s">
        <v>6876</v>
      </c>
      <c r="C268" s="50" t="s">
        <v>6877</v>
      </c>
      <c r="D268" s="50" t="s">
        <v>8493</v>
      </c>
      <c r="E268" s="144">
        <v>43747.0</v>
      </c>
      <c r="F268" s="50" t="s">
        <v>10223</v>
      </c>
      <c r="G268" s="50">
        <v>59.0</v>
      </c>
      <c r="H268" s="50">
        <v>1.0</v>
      </c>
      <c r="I268" s="50">
        <v>11.0</v>
      </c>
      <c r="J268" s="116"/>
      <c r="K268" s="116"/>
      <c r="L268" s="50" t="s">
        <v>1356</v>
      </c>
      <c r="M268" s="50" t="s">
        <v>1356</v>
      </c>
      <c r="N268" s="50" t="s">
        <v>10224</v>
      </c>
      <c r="O268" s="50" t="s">
        <v>10225</v>
      </c>
      <c r="P268" s="50" t="s">
        <v>10226</v>
      </c>
      <c r="Q268" s="50" t="s">
        <v>10227</v>
      </c>
      <c r="R268" s="116"/>
      <c r="S268" s="116"/>
      <c r="T268" s="116"/>
      <c r="U268" s="116"/>
      <c r="V268" s="116"/>
      <c r="W268" s="50">
        <v>3.0</v>
      </c>
      <c r="X268" s="50">
        <v>1.0</v>
      </c>
      <c r="Y268" s="50">
        <v>3.0</v>
      </c>
      <c r="Z268" s="50">
        <v>40.0</v>
      </c>
      <c r="AA268" s="50">
        <v>2.0</v>
      </c>
      <c r="AB268" s="50">
        <v>1.0</v>
      </c>
      <c r="AC268" s="50">
        <v>3.0</v>
      </c>
      <c r="AD268" s="50">
        <v>46.0</v>
      </c>
      <c r="AE268" s="50">
        <v>1.0</v>
      </c>
      <c r="AF268" s="50">
        <v>1.0</v>
      </c>
      <c r="AG268" s="50">
        <v>1.0</v>
      </c>
      <c r="AH268" s="50">
        <v>3.0</v>
      </c>
      <c r="AI268" s="50">
        <v>11.0</v>
      </c>
      <c r="AJ268" s="116"/>
      <c r="AK268" s="50" t="s">
        <v>10230</v>
      </c>
      <c r="AL268" s="50">
        <v>3.0</v>
      </c>
      <c r="AM268" s="50">
        <v>0.0</v>
      </c>
      <c r="AN268" s="50" t="s">
        <v>6901</v>
      </c>
      <c r="AO268" s="117">
        <v>4468.0</v>
      </c>
      <c r="AP268" s="50" t="s">
        <v>10231</v>
      </c>
      <c r="AQ268" s="50" t="s">
        <v>10232</v>
      </c>
      <c r="AR268" s="117">
        <v>267.0</v>
      </c>
    </row>
    <row r="269">
      <c r="A269" s="50" t="s">
        <v>10223</v>
      </c>
      <c r="B269" s="50" t="s">
        <v>6876</v>
      </c>
      <c r="C269" s="50" t="s">
        <v>6877</v>
      </c>
      <c r="D269" s="50" t="s">
        <v>8493</v>
      </c>
      <c r="E269" s="144">
        <v>43747.0</v>
      </c>
      <c r="F269" s="50" t="s">
        <v>10233</v>
      </c>
      <c r="G269" s="50">
        <v>59.0</v>
      </c>
      <c r="H269" s="50">
        <v>1.0</v>
      </c>
      <c r="I269" s="50">
        <v>99.0</v>
      </c>
      <c r="J269" s="116"/>
      <c r="K269" s="116"/>
      <c r="L269" s="50" t="s">
        <v>1358</v>
      </c>
      <c r="M269" s="50" t="s">
        <v>1358</v>
      </c>
      <c r="N269" s="50" t="s">
        <v>10237</v>
      </c>
      <c r="O269" s="50" t="s">
        <v>10238</v>
      </c>
      <c r="P269" s="50" t="s">
        <v>10239</v>
      </c>
      <c r="Q269" s="50" t="s">
        <v>10240</v>
      </c>
      <c r="R269" s="116"/>
      <c r="S269" s="116"/>
      <c r="T269" s="116"/>
      <c r="U269" s="116"/>
      <c r="V269" s="116"/>
      <c r="W269" s="50">
        <v>7.0</v>
      </c>
      <c r="X269" s="50">
        <v>100.0</v>
      </c>
      <c r="Y269" s="50">
        <v>3.0</v>
      </c>
      <c r="Z269" s="50">
        <v>0.0</v>
      </c>
      <c r="AA269" s="116"/>
      <c r="AB269" s="116"/>
      <c r="AC269" s="116"/>
      <c r="AD269" s="116"/>
      <c r="AE269" s="116"/>
      <c r="AF269" s="116"/>
      <c r="AG269" s="116"/>
      <c r="AH269" s="116"/>
      <c r="AI269" s="116"/>
      <c r="AJ269" s="116"/>
      <c r="AK269" s="50" t="s">
        <v>10246</v>
      </c>
      <c r="AL269" s="50">
        <v>3.0</v>
      </c>
      <c r="AM269" s="50">
        <v>0.0</v>
      </c>
      <c r="AN269" s="50" t="s">
        <v>6901</v>
      </c>
      <c r="AO269" s="117">
        <v>4469.0</v>
      </c>
      <c r="AP269" s="50" t="s">
        <v>10249</v>
      </c>
      <c r="AQ269" s="50" t="s">
        <v>10250</v>
      </c>
      <c r="AR269" s="117">
        <v>268.0</v>
      </c>
    </row>
    <row r="270">
      <c r="A270" s="50" t="s">
        <v>10233</v>
      </c>
      <c r="B270" s="50" t="s">
        <v>6876</v>
      </c>
      <c r="C270" s="50" t="s">
        <v>6877</v>
      </c>
      <c r="D270" s="50" t="s">
        <v>8493</v>
      </c>
      <c r="E270" s="144">
        <v>43747.0</v>
      </c>
      <c r="F270" s="50" t="s">
        <v>10251</v>
      </c>
      <c r="G270" s="50">
        <v>59.0</v>
      </c>
      <c r="H270" s="50">
        <v>1.0</v>
      </c>
      <c r="I270" s="50">
        <v>11.0</v>
      </c>
      <c r="J270" s="116"/>
      <c r="K270" s="116"/>
      <c r="L270" s="50" t="s">
        <v>1361</v>
      </c>
      <c r="M270" s="50" t="s">
        <v>1361</v>
      </c>
      <c r="N270" s="50" t="s">
        <v>10237</v>
      </c>
      <c r="O270" s="50" t="s">
        <v>10225</v>
      </c>
      <c r="P270" s="50" t="s">
        <v>10226</v>
      </c>
      <c r="Q270" s="50" t="s">
        <v>10227</v>
      </c>
      <c r="R270" s="116"/>
      <c r="S270" s="116"/>
      <c r="T270" s="116"/>
      <c r="U270" s="116"/>
      <c r="V270" s="116"/>
      <c r="W270" s="50">
        <v>3.0</v>
      </c>
      <c r="X270" s="50">
        <v>1.0</v>
      </c>
      <c r="Y270" s="50">
        <v>3.0</v>
      </c>
      <c r="Z270" s="50">
        <v>192.0</v>
      </c>
      <c r="AA270" s="50">
        <v>2.0</v>
      </c>
      <c r="AB270" s="50">
        <v>1.0</v>
      </c>
      <c r="AC270" s="50">
        <v>3.0</v>
      </c>
      <c r="AD270" s="50">
        <v>92.0</v>
      </c>
      <c r="AE270" s="50">
        <v>1.0</v>
      </c>
      <c r="AF270" s="50">
        <v>1.0</v>
      </c>
      <c r="AG270" s="50">
        <v>1.0</v>
      </c>
      <c r="AH270" s="50">
        <v>3.0</v>
      </c>
      <c r="AI270" s="50">
        <v>3.0</v>
      </c>
      <c r="AJ270" s="116"/>
      <c r="AK270" s="50" t="s">
        <v>10256</v>
      </c>
      <c r="AL270" s="50">
        <v>3.0</v>
      </c>
      <c r="AM270" s="50">
        <v>0.0</v>
      </c>
      <c r="AN270" s="50" t="s">
        <v>6901</v>
      </c>
      <c r="AO270" s="117">
        <v>4470.0</v>
      </c>
      <c r="AP270" s="50" t="s">
        <v>10257</v>
      </c>
      <c r="AQ270" s="50" t="s">
        <v>10258</v>
      </c>
      <c r="AR270" s="117">
        <v>269.0</v>
      </c>
    </row>
    <row r="271">
      <c r="A271" s="50" t="s">
        <v>10251</v>
      </c>
      <c r="B271" s="50" t="s">
        <v>6876</v>
      </c>
      <c r="C271" s="50" t="s">
        <v>6877</v>
      </c>
      <c r="D271" s="50" t="s">
        <v>8493</v>
      </c>
      <c r="E271" s="144">
        <v>43747.0</v>
      </c>
      <c r="F271" s="50" t="s">
        <v>10260</v>
      </c>
      <c r="G271" s="50">
        <v>59.0</v>
      </c>
      <c r="H271" s="50">
        <v>1.0</v>
      </c>
      <c r="I271" s="50">
        <v>99.0</v>
      </c>
      <c r="J271" s="116"/>
      <c r="K271" s="116"/>
      <c r="L271" s="50" t="s">
        <v>220</v>
      </c>
      <c r="M271" s="50" t="s">
        <v>220</v>
      </c>
      <c r="N271" s="50" t="s">
        <v>10237</v>
      </c>
      <c r="O271" s="50" t="s">
        <v>10238</v>
      </c>
      <c r="P271" s="50" t="s">
        <v>10239</v>
      </c>
      <c r="Q271" s="50" t="s">
        <v>10240</v>
      </c>
      <c r="R271" s="116"/>
      <c r="S271" s="116"/>
      <c r="T271" s="116"/>
      <c r="U271" s="116"/>
      <c r="V271" s="116"/>
      <c r="W271" s="50">
        <v>7.0</v>
      </c>
      <c r="X271" s="50">
        <v>100.0</v>
      </c>
      <c r="Y271" s="50">
        <v>3.0</v>
      </c>
      <c r="Z271" s="50">
        <v>0.0</v>
      </c>
      <c r="AA271" s="116"/>
      <c r="AB271" s="116"/>
      <c r="AC271" s="116"/>
      <c r="AD271" s="116"/>
      <c r="AE271" s="116"/>
      <c r="AF271" s="116"/>
      <c r="AG271" s="116"/>
      <c r="AH271" s="116"/>
      <c r="AI271" s="116"/>
      <c r="AJ271" s="116"/>
      <c r="AK271" s="50" t="s">
        <v>10262</v>
      </c>
      <c r="AL271" s="50">
        <v>3.0</v>
      </c>
      <c r="AM271" s="50">
        <v>0.0</v>
      </c>
      <c r="AN271" s="50" t="s">
        <v>6901</v>
      </c>
      <c r="AO271" s="117">
        <v>4471.0</v>
      </c>
      <c r="AP271" s="50" t="s">
        <v>10263</v>
      </c>
      <c r="AQ271" s="50" t="s">
        <v>10264</v>
      </c>
      <c r="AR271" s="117">
        <v>270.0</v>
      </c>
    </row>
    <row r="272">
      <c r="A272" s="50" t="s">
        <v>10260</v>
      </c>
      <c r="B272" s="50" t="s">
        <v>6876</v>
      </c>
      <c r="C272" s="50" t="s">
        <v>6877</v>
      </c>
      <c r="D272" s="50" t="s">
        <v>8493</v>
      </c>
      <c r="E272" s="144">
        <v>43747.0</v>
      </c>
      <c r="F272" s="50" t="s">
        <v>10268</v>
      </c>
      <c r="G272" s="50">
        <v>59.0</v>
      </c>
      <c r="H272" s="50">
        <v>1.0</v>
      </c>
      <c r="I272" s="50">
        <v>11.0</v>
      </c>
      <c r="J272" s="116"/>
      <c r="K272" s="116"/>
      <c r="L272" s="50" t="s">
        <v>1364</v>
      </c>
      <c r="M272" s="50" t="s">
        <v>1364</v>
      </c>
      <c r="N272" s="50" t="s">
        <v>10237</v>
      </c>
      <c r="O272" s="50" t="s">
        <v>10225</v>
      </c>
      <c r="P272" s="50" t="s">
        <v>10226</v>
      </c>
      <c r="Q272" s="50" t="s">
        <v>10227</v>
      </c>
      <c r="R272" s="116"/>
      <c r="S272" s="116"/>
      <c r="T272" s="116"/>
      <c r="U272" s="116"/>
      <c r="V272" s="116"/>
      <c r="W272" s="50">
        <v>3.0</v>
      </c>
      <c r="X272" s="50">
        <v>1.0</v>
      </c>
      <c r="Y272" s="50">
        <v>3.0</v>
      </c>
      <c r="Z272" s="50">
        <v>8.0</v>
      </c>
      <c r="AA272" s="50">
        <v>2.0</v>
      </c>
      <c r="AB272" s="50">
        <v>1.0</v>
      </c>
      <c r="AC272" s="50">
        <v>3.0</v>
      </c>
      <c r="AD272" s="50">
        <v>6.0</v>
      </c>
      <c r="AE272" s="50">
        <v>1.0</v>
      </c>
      <c r="AF272" s="50">
        <v>1.0</v>
      </c>
      <c r="AG272" s="50">
        <v>1.0</v>
      </c>
      <c r="AH272" s="50">
        <v>3.0</v>
      </c>
      <c r="AI272" s="50">
        <v>2.0</v>
      </c>
      <c r="AJ272" s="116"/>
      <c r="AK272" s="50" t="s">
        <v>10274</v>
      </c>
      <c r="AL272" s="50">
        <v>3.0</v>
      </c>
      <c r="AM272" s="50">
        <v>0.0</v>
      </c>
      <c r="AN272" s="50" t="s">
        <v>6901</v>
      </c>
      <c r="AO272" s="117">
        <v>4472.0</v>
      </c>
      <c r="AP272" s="50" t="s">
        <v>10275</v>
      </c>
      <c r="AQ272" s="50" t="s">
        <v>10276</v>
      </c>
      <c r="AR272" s="117">
        <v>271.0</v>
      </c>
    </row>
    <row r="273">
      <c r="A273" s="50" t="s">
        <v>10268</v>
      </c>
      <c r="B273" s="50" t="s">
        <v>6876</v>
      </c>
      <c r="C273" s="50" t="s">
        <v>6877</v>
      </c>
      <c r="D273" s="50" t="s">
        <v>8493</v>
      </c>
      <c r="E273" s="144">
        <v>43747.0</v>
      </c>
      <c r="F273" s="50" t="s">
        <v>10277</v>
      </c>
      <c r="G273" s="50">
        <v>59.0</v>
      </c>
      <c r="H273" s="50">
        <v>1.0</v>
      </c>
      <c r="I273" s="50">
        <v>99.0</v>
      </c>
      <c r="J273" s="116"/>
      <c r="K273" s="116"/>
      <c r="L273" s="50" t="s">
        <v>219</v>
      </c>
      <c r="M273" s="50" t="s">
        <v>219</v>
      </c>
      <c r="N273" s="50" t="s">
        <v>10237</v>
      </c>
      <c r="O273" s="50" t="s">
        <v>10238</v>
      </c>
      <c r="P273" s="50" t="s">
        <v>10239</v>
      </c>
      <c r="Q273" s="50" t="s">
        <v>10240</v>
      </c>
      <c r="R273" s="116"/>
      <c r="S273" s="116"/>
      <c r="T273" s="116"/>
      <c r="U273" s="116"/>
      <c r="V273" s="116"/>
      <c r="W273" s="50">
        <v>7.0</v>
      </c>
      <c r="X273" s="50">
        <v>100.0</v>
      </c>
      <c r="Y273" s="50">
        <v>3.0</v>
      </c>
      <c r="Z273" s="50">
        <v>0.0</v>
      </c>
      <c r="AA273" s="116"/>
      <c r="AB273" s="116"/>
      <c r="AC273" s="116"/>
      <c r="AD273" s="116"/>
      <c r="AE273" s="116"/>
      <c r="AF273" s="116"/>
      <c r="AG273" s="116"/>
      <c r="AH273" s="116"/>
      <c r="AI273" s="116"/>
      <c r="AJ273" s="116"/>
      <c r="AK273" s="50" t="s">
        <v>10280</v>
      </c>
      <c r="AL273" s="50">
        <v>3.0</v>
      </c>
      <c r="AM273" s="50">
        <v>0.0</v>
      </c>
      <c r="AN273" s="50" t="s">
        <v>6901</v>
      </c>
      <c r="AO273" s="117">
        <v>4473.0</v>
      </c>
      <c r="AP273" s="50" t="s">
        <v>10281</v>
      </c>
      <c r="AQ273" s="50" t="s">
        <v>10282</v>
      </c>
      <c r="AR273" s="117">
        <v>272.0</v>
      </c>
    </row>
    <row r="274">
      <c r="A274" s="50" t="s">
        <v>10277</v>
      </c>
      <c r="B274" s="50" t="s">
        <v>6876</v>
      </c>
      <c r="C274" s="50" t="s">
        <v>6877</v>
      </c>
      <c r="D274" s="50" t="s">
        <v>8493</v>
      </c>
      <c r="E274" s="144">
        <v>43747.0</v>
      </c>
      <c r="F274" s="50" t="s">
        <v>10285</v>
      </c>
      <c r="G274" s="50">
        <v>33.0</v>
      </c>
      <c r="H274" s="50">
        <v>1.0</v>
      </c>
      <c r="I274" s="50">
        <v>98.0</v>
      </c>
      <c r="J274" s="116"/>
      <c r="K274" s="116"/>
      <c r="L274" s="50" t="s">
        <v>1369</v>
      </c>
      <c r="M274" s="50" t="s">
        <v>1369</v>
      </c>
      <c r="N274" s="50" t="s">
        <v>10237</v>
      </c>
      <c r="O274" s="50" t="s">
        <v>10237</v>
      </c>
      <c r="P274" s="50" t="s">
        <v>10238</v>
      </c>
      <c r="Q274" s="50" t="s">
        <v>10288</v>
      </c>
      <c r="R274" s="116"/>
      <c r="S274" s="116"/>
      <c r="T274" s="116"/>
      <c r="U274" s="116"/>
      <c r="V274" s="116"/>
      <c r="W274" s="50">
        <v>7.0</v>
      </c>
      <c r="X274" s="50">
        <v>100.0</v>
      </c>
      <c r="Y274" s="50">
        <v>3.0</v>
      </c>
      <c r="Z274" s="50">
        <v>0.0</v>
      </c>
      <c r="AA274" s="116"/>
      <c r="AB274" s="116"/>
      <c r="AC274" s="116"/>
      <c r="AD274" s="116"/>
      <c r="AE274" s="116"/>
      <c r="AF274" s="116"/>
      <c r="AG274" s="116"/>
      <c r="AH274" s="116"/>
      <c r="AI274" s="116"/>
      <c r="AJ274" s="116"/>
      <c r="AK274" s="50" t="s">
        <v>8213</v>
      </c>
      <c r="AL274" s="50">
        <v>3.0</v>
      </c>
      <c r="AM274" s="50">
        <v>0.0</v>
      </c>
      <c r="AN274" s="50" t="s">
        <v>6901</v>
      </c>
      <c r="AO274" s="117">
        <v>4474.0</v>
      </c>
      <c r="AP274" s="50" t="s">
        <v>10291</v>
      </c>
      <c r="AQ274" s="50" t="s">
        <v>10292</v>
      </c>
      <c r="AR274" s="117">
        <v>273.0</v>
      </c>
    </row>
    <row r="275">
      <c r="A275" s="50" t="s">
        <v>10294</v>
      </c>
      <c r="B275" s="50" t="s">
        <v>6876</v>
      </c>
      <c r="C275" s="50" t="s">
        <v>6877</v>
      </c>
      <c r="D275" s="50" t="s">
        <v>8493</v>
      </c>
      <c r="E275" s="144">
        <v>43754.0</v>
      </c>
      <c r="F275" s="50" t="s">
        <v>10296</v>
      </c>
      <c r="G275" s="50">
        <v>59.0</v>
      </c>
      <c r="H275" s="50">
        <v>1.0</v>
      </c>
      <c r="I275" s="50">
        <v>11.0</v>
      </c>
      <c r="J275" s="116"/>
      <c r="K275" s="116"/>
      <c r="L275" s="50" t="s">
        <v>1371</v>
      </c>
      <c r="M275" s="50" t="s">
        <v>1371</v>
      </c>
      <c r="N275" s="50" t="s">
        <v>10298</v>
      </c>
      <c r="O275" s="50" t="s">
        <v>10299</v>
      </c>
      <c r="P275" s="50" t="s">
        <v>10300</v>
      </c>
      <c r="Q275" s="50" t="s">
        <v>10301</v>
      </c>
      <c r="R275" s="116"/>
      <c r="S275" s="116"/>
      <c r="T275" s="116"/>
      <c r="U275" s="116"/>
      <c r="V275" s="116"/>
      <c r="W275" s="50">
        <v>3.0</v>
      </c>
      <c r="X275" s="50">
        <v>1.0</v>
      </c>
      <c r="Y275" s="50">
        <v>1.0</v>
      </c>
      <c r="Z275" s="116"/>
      <c r="AA275" s="50">
        <v>2.0</v>
      </c>
      <c r="AB275" s="50">
        <v>1.0</v>
      </c>
      <c r="AC275" s="50">
        <v>3.0</v>
      </c>
      <c r="AD275" s="50">
        <v>19.0</v>
      </c>
      <c r="AE275" s="50">
        <v>1.0</v>
      </c>
      <c r="AF275" s="50">
        <v>1.0</v>
      </c>
      <c r="AG275" s="50">
        <v>1.0</v>
      </c>
      <c r="AH275" s="50">
        <v>3.0</v>
      </c>
      <c r="AI275" s="50">
        <v>4.0</v>
      </c>
      <c r="AJ275" s="116"/>
      <c r="AK275" s="50" t="s">
        <v>10302</v>
      </c>
      <c r="AL275" s="50">
        <v>4.0</v>
      </c>
      <c r="AM275" s="50">
        <v>1.0</v>
      </c>
      <c r="AN275" s="50" t="s">
        <v>6901</v>
      </c>
      <c r="AO275" s="117">
        <v>4513.0</v>
      </c>
      <c r="AP275" s="50" t="s">
        <v>10305</v>
      </c>
      <c r="AQ275" s="50" t="s">
        <v>10307</v>
      </c>
      <c r="AR275" s="117">
        <v>274.0</v>
      </c>
    </row>
    <row r="276">
      <c r="A276" s="50" t="s">
        <v>10296</v>
      </c>
      <c r="B276" s="50" t="s">
        <v>6876</v>
      </c>
      <c r="C276" s="50" t="s">
        <v>6877</v>
      </c>
      <c r="D276" s="50" t="s">
        <v>8493</v>
      </c>
      <c r="E276" s="144">
        <v>43754.0</v>
      </c>
      <c r="F276" s="50" t="s">
        <v>10309</v>
      </c>
      <c r="G276" s="50">
        <v>59.0</v>
      </c>
      <c r="H276" s="50">
        <v>1.0</v>
      </c>
      <c r="I276" s="50">
        <v>99.0</v>
      </c>
      <c r="J276" s="116"/>
      <c r="K276" s="116"/>
      <c r="L276" s="50" t="s">
        <v>1374</v>
      </c>
      <c r="M276" s="50" t="s">
        <v>1374</v>
      </c>
      <c r="N276" s="50" t="s">
        <v>10298</v>
      </c>
      <c r="O276" s="50" t="s">
        <v>10310</v>
      </c>
      <c r="P276" s="50" t="s">
        <v>10311</v>
      </c>
      <c r="Q276" s="50" t="s">
        <v>10312</v>
      </c>
      <c r="R276" s="116"/>
      <c r="S276" s="116"/>
      <c r="T276" s="116"/>
      <c r="U276" s="116"/>
      <c r="V276" s="116"/>
      <c r="W276" s="50">
        <v>7.0</v>
      </c>
      <c r="X276" s="50">
        <v>100.0</v>
      </c>
      <c r="Y276" s="50">
        <v>3.0</v>
      </c>
      <c r="Z276" s="50">
        <v>0.0</v>
      </c>
      <c r="AA276" s="116"/>
      <c r="AB276" s="116"/>
      <c r="AC276" s="116"/>
      <c r="AD276" s="116"/>
      <c r="AE276" s="116"/>
      <c r="AF276" s="116"/>
      <c r="AG276" s="116"/>
      <c r="AH276" s="116"/>
      <c r="AI276" s="116"/>
      <c r="AJ276" s="116"/>
      <c r="AK276" s="50" t="s">
        <v>10315</v>
      </c>
      <c r="AL276" s="50">
        <v>4.0</v>
      </c>
      <c r="AM276" s="50">
        <v>1.0</v>
      </c>
      <c r="AN276" s="50" t="s">
        <v>6901</v>
      </c>
      <c r="AO276" s="117">
        <v>4514.0</v>
      </c>
      <c r="AP276" s="50" t="s">
        <v>10316</v>
      </c>
      <c r="AQ276" s="50" t="s">
        <v>10317</v>
      </c>
      <c r="AR276" s="117">
        <v>275.0</v>
      </c>
    </row>
    <row r="277">
      <c r="A277" s="50" t="s">
        <v>10309</v>
      </c>
      <c r="B277" s="50" t="s">
        <v>6876</v>
      </c>
      <c r="C277" s="50" t="s">
        <v>6877</v>
      </c>
      <c r="D277" s="50" t="s">
        <v>8493</v>
      </c>
      <c r="E277" s="144">
        <v>43754.0</v>
      </c>
      <c r="F277" s="50" t="s">
        <v>10318</v>
      </c>
      <c r="G277" s="50">
        <v>59.0</v>
      </c>
      <c r="H277" s="50">
        <v>1.0</v>
      </c>
      <c r="I277" s="50">
        <v>11.0</v>
      </c>
      <c r="J277" s="116"/>
      <c r="K277" s="116"/>
      <c r="L277" s="50" t="s">
        <v>10319</v>
      </c>
      <c r="M277" s="50" t="s">
        <v>10319</v>
      </c>
      <c r="N277" s="50" t="s">
        <v>10298</v>
      </c>
      <c r="O277" s="50" t="s">
        <v>10321</v>
      </c>
      <c r="P277" s="50" t="s">
        <v>10322</v>
      </c>
      <c r="Q277" s="50" t="s">
        <v>10323</v>
      </c>
      <c r="R277" s="116"/>
      <c r="S277" s="116"/>
      <c r="T277" s="116"/>
      <c r="U277" s="116"/>
      <c r="V277" s="116"/>
      <c r="W277" s="50">
        <v>3.0</v>
      </c>
      <c r="X277" s="50">
        <v>1.0</v>
      </c>
      <c r="Y277" s="50">
        <v>3.0</v>
      </c>
      <c r="Z277" s="50">
        <v>0.0</v>
      </c>
      <c r="AA277" s="50">
        <v>2.0</v>
      </c>
      <c r="AB277" s="50">
        <v>1.0</v>
      </c>
      <c r="AC277" s="50">
        <v>3.0</v>
      </c>
      <c r="AD277" s="50">
        <v>0.0</v>
      </c>
      <c r="AE277" s="50">
        <v>1.0</v>
      </c>
      <c r="AF277" s="50">
        <v>1.0</v>
      </c>
      <c r="AG277" s="50">
        <v>1.0</v>
      </c>
      <c r="AH277" s="50">
        <v>3.0</v>
      </c>
      <c r="AI277" s="50">
        <v>0.0</v>
      </c>
      <c r="AJ277" s="116"/>
      <c r="AK277" s="50" t="s">
        <v>10328</v>
      </c>
      <c r="AL277" s="50">
        <v>6.0</v>
      </c>
      <c r="AM277" s="50">
        <v>1.0</v>
      </c>
      <c r="AN277" s="50" t="s">
        <v>6901</v>
      </c>
      <c r="AO277" s="117">
        <v>4515.0</v>
      </c>
      <c r="AP277" s="50" t="s">
        <v>10331</v>
      </c>
      <c r="AQ277" s="50" t="s">
        <v>10332</v>
      </c>
      <c r="AR277" s="117">
        <v>276.0</v>
      </c>
    </row>
    <row r="278">
      <c r="A278" s="50" t="s">
        <v>10334</v>
      </c>
      <c r="B278" s="50" t="s">
        <v>6876</v>
      </c>
      <c r="C278" s="50" t="s">
        <v>6877</v>
      </c>
      <c r="D278" s="50" t="s">
        <v>8493</v>
      </c>
      <c r="E278" s="144">
        <v>43754.0</v>
      </c>
      <c r="F278" s="50" t="s">
        <v>10335</v>
      </c>
      <c r="G278" s="50">
        <v>59.0</v>
      </c>
      <c r="H278" s="50">
        <v>1.0</v>
      </c>
      <c r="I278" s="50">
        <v>99.0</v>
      </c>
      <c r="J278" s="116"/>
      <c r="K278" s="116"/>
      <c r="L278" s="50" t="s">
        <v>1379</v>
      </c>
      <c r="M278" s="50" t="s">
        <v>1379</v>
      </c>
      <c r="N278" s="50" t="s">
        <v>10298</v>
      </c>
      <c r="O278" s="50" t="s">
        <v>10339</v>
      </c>
      <c r="P278" s="50" t="s">
        <v>10341</v>
      </c>
      <c r="Q278" s="50" t="s">
        <v>10342</v>
      </c>
      <c r="R278" s="116"/>
      <c r="S278" s="116"/>
      <c r="T278" s="116"/>
      <c r="U278" s="116"/>
      <c r="V278" s="116"/>
      <c r="W278" s="50">
        <v>7.0</v>
      </c>
      <c r="X278" s="50">
        <v>100.0</v>
      </c>
      <c r="Y278" s="50">
        <v>3.0</v>
      </c>
      <c r="Z278" s="50">
        <v>0.0</v>
      </c>
      <c r="AA278" s="116"/>
      <c r="AB278" s="116"/>
      <c r="AC278" s="116"/>
      <c r="AD278" s="116"/>
      <c r="AE278" s="116"/>
      <c r="AF278" s="116"/>
      <c r="AG278" s="116"/>
      <c r="AH278" s="116"/>
      <c r="AI278" s="116"/>
      <c r="AJ278" s="116"/>
      <c r="AK278" s="50" t="s">
        <v>10345</v>
      </c>
      <c r="AL278" s="50">
        <v>6.0</v>
      </c>
      <c r="AM278" s="50">
        <v>1.0</v>
      </c>
      <c r="AN278" s="50" t="s">
        <v>6901</v>
      </c>
      <c r="AO278" s="117">
        <v>4516.0</v>
      </c>
      <c r="AP278" s="50" t="s">
        <v>10346</v>
      </c>
      <c r="AQ278" s="50" t="s">
        <v>10347</v>
      </c>
      <c r="AR278" s="117">
        <v>277.0</v>
      </c>
    </row>
    <row r="279">
      <c r="A279" s="50" t="s">
        <v>10335</v>
      </c>
      <c r="B279" s="50" t="s">
        <v>6876</v>
      </c>
      <c r="C279" s="50" t="s">
        <v>6877</v>
      </c>
      <c r="D279" s="50" t="s">
        <v>8493</v>
      </c>
      <c r="E279" s="144">
        <v>43754.0</v>
      </c>
      <c r="F279" s="50" t="s">
        <v>10348</v>
      </c>
      <c r="G279" s="50">
        <v>33.0</v>
      </c>
      <c r="H279" s="50">
        <v>1.0</v>
      </c>
      <c r="I279" s="50">
        <v>98.0</v>
      </c>
      <c r="J279" s="116"/>
      <c r="K279" s="116"/>
      <c r="L279" s="50" t="s">
        <v>1384</v>
      </c>
      <c r="M279" s="50" t="s">
        <v>1384</v>
      </c>
      <c r="N279" s="50" t="s">
        <v>10349</v>
      </c>
      <c r="O279" s="50" t="s">
        <v>10349</v>
      </c>
      <c r="P279" s="50" t="s">
        <v>10339</v>
      </c>
      <c r="Q279" s="50" t="s">
        <v>10352</v>
      </c>
      <c r="R279" s="116"/>
      <c r="S279" s="116"/>
      <c r="T279" s="116"/>
      <c r="U279" s="116"/>
      <c r="V279" s="116"/>
      <c r="W279" s="50">
        <v>7.0</v>
      </c>
      <c r="X279" s="50">
        <v>100.0</v>
      </c>
      <c r="Y279" s="50">
        <v>3.0</v>
      </c>
      <c r="Z279" s="50">
        <v>0.0</v>
      </c>
      <c r="AA279" s="116"/>
      <c r="AB279" s="116"/>
      <c r="AC279" s="116"/>
      <c r="AD279" s="116"/>
      <c r="AE279" s="116"/>
      <c r="AF279" s="116"/>
      <c r="AG279" s="116"/>
      <c r="AH279" s="116"/>
      <c r="AI279" s="116"/>
      <c r="AJ279" s="116"/>
      <c r="AK279" s="50" t="s">
        <v>8213</v>
      </c>
      <c r="AL279" s="50">
        <v>4.0</v>
      </c>
      <c r="AM279" s="50">
        <v>1.0</v>
      </c>
      <c r="AN279" s="50" t="s">
        <v>6901</v>
      </c>
      <c r="AO279" s="117">
        <v>4517.0</v>
      </c>
      <c r="AP279" s="50" t="s">
        <v>10356</v>
      </c>
      <c r="AQ279" s="50" t="s">
        <v>10358</v>
      </c>
      <c r="AR279" s="117">
        <v>278.0</v>
      </c>
    </row>
    <row r="280">
      <c r="A280" s="50" t="s">
        <v>10359</v>
      </c>
      <c r="B280" s="50" t="s">
        <v>6876</v>
      </c>
      <c r="C280" s="50" t="s">
        <v>6877</v>
      </c>
      <c r="D280" s="50" t="s">
        <v>8493</v>
      </c>
      <c r="E280" s="144">
        <v>43755.0</v>
      </c>
      <c r="F280" s="50" t="s">
        <v>10360</v>
      </c>
      <c r="G280" s="50">
        <v>57.0</v>
      </c>
      <c r="H280" s="50">
        <v>1.0</v>
      </c>
      <c r="I280" s="50">
        <v>99.0</v>
      </c>
      <c r="J280" s="116"/>
      <c r="K280" s="116"/>
      <c r="L280" s="50" t="s">
        <v>1387</v>
      </c>
      <c r="M280" s="50" t="s">
        <v>1387</v>
      </c>
      <c r="N280" s="50" t="s">
        <v>10361</v>
      </c>
      <c r="O280" s="50" t="s">
        <v>10363</v>
      </c>
      <c r="P280" s="50" t="s">
        <v>10352</v>
      </c>
      <c r="Q280" s="50" t="s">
        <v>10364</v>
      </c>
      <c r="R280" s="116"/>
      <c r="S280" s="116"/>
      <c r="T280" s="116"/>
      <c r="U280" s="116"/>
      <c r="V280" s="116"/>
      <c r="W280" s="50">
        <v>7.0</v>
      </c>
      <c r="X280" s="50">
        <v>100.0</v>
      </c>
      <c r="Y280" s="50">
        <v>3.0</v>
      </c>
      <c r="Z280" s="50">
        <v>0.0</v>
      </c>
      <c r="AA280" s="116"/>
      <c r="AB280" s="116"/>
      <c r="AC280" s="116"/>
      <c r="AD280" s="116"/>
      <c r="AE280" s="116"/>
      <c r="AF280" s="116"/>
      <c r="AG280" s="116"/>
      <c r="AH280" s="116"/>
      <c r="AI280" s="116"/>
      <c r="AJ280" s="116"/>
      <c r="AK280" s="50" t="s">
        <v>10369</v>
      </c>
      <c r="AL280" s="50">
        <v>4.0</v>
      </c>
      <c r="AM280" s="50">
        <v>1.0</v>
      </c>
      <c r="AN280" s="50" t="s">
        <v>6901</v>
      </c>
      <c r="AO280" s="117">
        <v>4523.0</v>
      </c>
      <c r="AP280" s="50" t="s">
        <v>10372</v>
      </c>
      <c r="AQ280" s="50" t="s">
        <v>10374</v>
      </c>
      <c r="AR280" s="117">
        <v>279.0</v>
      </c>
    </row>
    <row r="281">
      <c r="A281" s="50" t="s">
        <v>10360</v>
      </c>
      <c r="B281" s="50" t="s">
        <v>6876</v>
      </c>
      <c r="C281" s="50" t="s">
        <v>6877</v>
      </c>
      <c r="D281" s="50" t="s">
        <v>8493</v>
      </c>
      <c r="E281" s="144">
        <v>43755.0</v>
      </c>
      <c r="F281" s="50" t="s">
        <v>10378</v>
      </c>
      <c r="G281" s="50">
        <v>55.0</v>
      </c>
      <c r="H281" s="50">
        <v>1.0</v>
      </c>
      <c r="I281" s="50">
        <v>99.0</v>
      </c>
      <c r="J281" s="116"/>
      <c r="K281" s="116"/>
      <c r="L281" s="50" t="s">
        <v>1392</v>
      </c>
      <c r="M281" s="50" t="s">
        <v>1392</v>
      </c>
      <c r="N281" s="50" t="s">
        <v>10361</v>
      </c>
      <c r="O281" s="50" t="s">
        <v>10363</v>
      </c>
      <c r="P281" s="50" t="s">
        <v>10352</v>
      </c>
      <c r="Q281" s="50" t="s">
        <v>10364</v>
      </c>
      <c r="R281" s="116"/>
      <c r="S281" s="116"/>
      <c r="T281" s="116"/>
      <c r="U281" s="116"/>
      <c r="V281" s="116"/>
      <c r="W281" s="50">
        <v>7.0</v>
      </c>
      <c r="X281" s="50">
        <v>100.0</v>
      </c>
      <c r="Y281" s="50">
        <v>3.0</v>
      </c>
      <c r="Z281" s="50">
        <v>0.0</v>
      </c>
      <c r="AA281" s="116"/>
      <c r="AB281" s="116"/>
      <c r="AC281" s="116"/>
      <c r="AD281" s="116"/>
      <c r="AE281" s="116"/>
      <c r="AF281" s="116"/>
      <c r="AG281" s="116"/>
      <c r="AH281" s="116"/>
      <c r="AI281" s="116"/>
      <c r="AJ281" s="116"/>
      <c r="AK281" s="50" t="s">
        <v>10384</v>
      </c>
      <c r="AL281" s="50">
        <v>6.0</v>
      </c>
      <c r="AM281" s="50">
        <v>1.0</v>
      </c>
      <c r="AN281" s="50" t="s">
        <v>6901</v>
      </c>
      <c r="AO281" s="117">
        <v>4524.0</v>
      </c>
      <c r="AP281" s="50" t="s">
        <v>10385</v>
      </c>
      <c r="AQ281" s="50" t="s">
        <v>10386</v>
      </c>
      <c r="AR281" s="117">
        <v>280.0</v>
      </c>
    </row>
    <row r="282">
      <c r="A282" s="50" t="s">
        <v>10378</v>
      </c>
      <c r="B282" s="50" t="s">
        <v>6876</v>
      </c>
      <c r="C282" s="50" t="s">
        <v>6877</v>
      </c>
      <c r="D282" s="50" t="s">
        <v>8493</v>
      </c>
      <c r="E282" s="144">
        <v>43755.0</v>
      </c>
      <c r="F282" s="50" t="s">
        <v>10387</v>
      </c>
      <c r="G282" s="50">
        <v>33.0</v>
      </c>
      <c r="H282" s="50">
        <v>1.0</v>
      </c>
      <c r="I282" s="50">
        <v>98.0</v>
      </c>
      <c r="J282" s="116"/>
      <c r="K282" s="116"/>
      <c r="L282" s="50" t="s">
        <v>1395</v>
      </c>
      <c r="M282" s="50" t="s">
        <v>1395</v>
      </c>
      <c r="N282" s="50" t="s">
        <v>10361</v>
      </c>
      <c r="O282" s="50" t="s">
        <v>10363</v>
      </c>
      <c r="P282" s="50" t="s">
        <v>10352</v>
      </c>
      <c r="Q282" s="50" t="s">
        <v>10364</v>
      </c>
      <c r="R282" s="116"/>
      <c r="S282" s="116"/>
      <c r="T282" s="116"/>
      <c r="U282" s="116"/>
      <c r="V282" s="116"/>
      <c r="W282" s="50">
        <v>7.0</v>
      </c>
      <c r="X282" s="50">
        <v>100.0</v>
      </c>
      <c r="Y282" s="50">
        <v>3.0</v>
      </c>
      <c r="Z282" s="50">
        <v>0.0</v>
      </c>
      <c r="AA282" s="116"/>
      <c r="AB282" s="116"/>
      <c r="AC282" s="116"/>
      <c r="AD282" s="116"/>
      <c r="AE282" s="116"/>
      <c r="AF282" s="116"/>
      <c r="AG282" s="116"/>
      <c r="AH282" s="116"/>
      <c r="AI282" s="116"/>
      <c r="AJ282" s="116"/>
      <c r="AK282" s="50" t="s">
        <v>9893</v>
      </c>
      <c r="AL282" s="50">
        <v>4.0</v>
      </c>
      <c r="AM282" s="50">
        <v>1.0</v>
      </c>
      <c r="AN282" s="50" t="s">
        <v>6901</v>
      </c>
      <c r="AO282" s="117">
        <v>4525.0</v>
      </c>
      <c r="AP282" s="50" t="s">
        <v>10394</v>
      </c>
      <c r="AQ282" s="50" t="s">
        <v>10395</v>
      </c>
      <c r="AR282" s="117">
        <v>281.0</v>
      </c>
    </row>
    <row r="283">
      <c r="A283" s="50" t="s">
        <v>10396</v>
      </c>
      <c r="B283" s="50" t="s">
        <v>6876</v>
      </c>
      <c r="C283" s="50" t="s">
        <v>6877</v>
      </c>
      <c r="D283" s="50" t="s">
        <v>8493</v>
      </c>
      <c r="E283" s="144">
        <v>43759.0</v>
      </c>
      <c r="F283" s="50" t="s">
        <v>10398</v>
      </c>
      <c r="G283" s="50">
        <v>59.0</v>
      </c>
      <c r="H283" s="50">
        <v>1.0</v>
      </c>
      <c r="I283" s="50">
        <v>11.0</v>
      </c>
      <c r="J283" s="116"/>
      <c r="K283" s="116"/>
      <c r="L283" s="50" t="s">
        <v>1406</v>
      </c>
      <c r="M283" s="50" t="s">
        <v>1406</v>
      </c>
      <c r="N283" s="50" t="s">
        <v>10401</v>
      </c>
      <c r="O283" s="50" t="s">
        <v>10402</v>
      </c>
      <c r="P283" s="50" t="s">
        <v>10403</v>
      </c>
      <c r="Q283" s="50" t="s">
        <v>10405</v>
      </c>
      <c r="R283" s="116"/>
      <c r="S283" s="116"/>
      <c r="T283" s="116"/>
      <c r="U283" s="116"/>
      <c r="V283" s="116"/>
      <c r="W283" s="50">
        <v>3.0</v>
      </c>
      <c r="X283" s="50">
        <v>1.0</v>
      </c>
      <c r="Y283" s="50">
        <v>3.0</v>
      </c>
      <c r="Z283" s="50">
        <v>13.0</v>
      </c>
      <c r="AA283" s="50">
        <v>2.0</v>
      </c>
      <c r="AB283" s="50">
        <v>1.0</v>
      </c>
      <c r="AC283" s="50">
        <v>3.0</v>
      </c>
      <c r="AD283" s="50">
        <v>3.0</v>
      </c>
      <c r="AE283" s="50">
        <v>1.0</v>
      </c>
      <c r="AF283" s="50">
        <v>1.0</v>
      </c>
      <c r="AG283" s="50">
        <v>1.0</v>
      </c>
      <c r="AH283" s="50">
        <v>3.0</v>
      </c>
      <c r="AI283" s="50">
        <v>2.0</v>
      </c>
      <c r="AJ283" s="116"/>
      <c r="AK283" s="50" t="s">
        <v>10412</v>
      </c>
      <c r="AL283" s="50">
        <v>4.0</v>
      </c>
      <c r="AM283" s="50">
        <v>1.0</v>
      </c>
      <c r="AN283" s="50" t="s">
        <v>6901</v>
      </c>
      <c r="AO283" s="117">
        <v>4554.0</v>
      </c>
      <c r="AP283" s="50" t="s">
        <v>10413</v>
      </c>
      <c r="AQ283" s="50" t="s">
        <v>10414</v>
      </c>
      <c r="AR283" s="117">
        <v>282.0</v>
      </c>
    </row>
    <row r="284">
      <c r="A284" s="50" t="s">
        <v>10398</v>
      </c>
      <c r="B284" s="50" t="s">
        <v>6876</v>
      </c>
      <c r="C284" s="50" t="s">
        <v>6877</v>
      </c>
      <c r="D284" s="50" t="s">
        <v>8493</v>
      </c>
      <c r="E284" s="144">
        <v>43759.0</v>
      </c>
      <c r="F284" s="50" t="s">
        <v>10417</v>
      </c>
      <c r="G284" s="50">
        <v>59.0</v>
      </c>
      <c r="H284" s="50">
        <v>1.0</v>
      </c>
      <c r="I284" s="50">
        <v>99.0</v>
      </c>
      <c r="J284" s="116"/>
      <c r="K284" s="116"/>
      <c r="L284" s="50" t="s">
        <v>1409</v>
      </c>
      <c r="M284" s="50" t="s">
        <v>1409</v>
      </c>
      <c r="N284" s="50" t="s">
        <v>10401</v>
      </c>
      <c r="O284" s="50" t="s">
        <v>10418</v>
      </c>
      <c r="P284" s="50" t="s">
        <v>10419</v>
      </c>
      <c r="Q284" s="50" t="s">
        <v>10420</v>
      </c>
      <c r="R284" s="116"/>
      <c r="S284" s="116"/>
      <c r="T284" s="116"/>
      <c r="U284" s="116"/>
      <c r="V284" s="116"/>
      <c r="W284" s="50">
        <v>7.0</v>
      </c>
      <c r="X284" s="50">
        <v>100.0</v>
      </c>
      <c r="Y284" s="50">
        <v>3.0</v>
      </c>
      <c r="Z284" s="50">
        <v>0.0</v>
      </c>
      <c r="AA284" s="116"/>
      <c r="AB284" s="116"/>
      <c r="AC284" s="116"/>
      <c r="AD284" s="116"/>
      <c r="AE284" s="116"/>
      <c r="AF284" s="116"/>
      <c r="AG284" s="116"/>
      <c r="AH284" s="116"/>
      <c r="AI284" s="116"/>
      <c r="AJ284" s="116"/>
      <c r="AK284" s="50" t="s">
        <v>10421</v>
      </c>
      <c r="AL284" s="50">
        <v>4.0</v>
      </c>
      <c r="AM284" s="50">
        <v>1.0</v>
      </c>
      <c r="AN284" s="50" t="s">
        <v>6901</v>
      </c>
      <c r="AO284" s="117">
        <v>4555.0</v>
      </c>
      <c r="AP284" s="50" t="s">
        <v>10423</v>
      </c>
      <c r="AQ284" s="50" t="s">
        <v>10425</v>
      </c>
      <c r="AR284" s="117">
        <v>283.0</v>
      </c>
    </row>
    <row r="285">
      <c r="A285" s="50" t="s">
        <v>10417</v>
      </c>
      <c r="B285" s="50" t="s">
        <v>6876</v>
      </c>
      <c r="C285" s="50" t="s">
        <v>6877</v>
      </c>
      <c r="D285" s="50" t="s">
        <v>8493</v>
      </c>
      <c r="E285" s="144">
        <v>43759.0</v>
      </c>
      <c r="F285" s="50" t="s">
        <v>10428</v>
      </c>
      <c r="G285" s="50">
        <v>59.0</v>
      </c>
      <c r="H285" s="50">
        <v>1.0</v>
      </c>
      <c r="I285" s="50">
        <v>11.0</v>
      </c>
      <c r="J285" s="116"/>
      <c r="K285" s="116"/>
      <c r="L285" s="50" t="s">
        <v>1412</v>
      </c>
      <c r="M285" s="50" t="s">
        <v>1412</v>
      </c>
      <c r="N285" s="50" t="s">
        <v>10401</v>
      </c>
      <c r="O285" s="50" t="s">
        <v>10429</v>
      </c>
      <c r="P285" s="50" t="s">
        <v>10403</v>
      </c>
      <c r="Q285" s="50" t="s">
        <v>10405</v>
      </c>
      <c r="R285" s="116"/>
      <c r="S285" s="116"/>
      <c r="T285" s="116"/>
      <c r="U285" s="116"/>
      <c r="V285" s="116"/>
      <c r="W285" s="50">
        <v>3.0</v>
      </c>
      <c r="X285" s="50">
        <v>1.0</v>
      </c>
      <c r="Y285" s="50">
        <v>3.0</v>
      </c>
      <c r="Z285" s="50">
        <v>68.0</v>
      </c>
      <c r="AA285" s="50">
        <v>2.0</v>
      </c>
      <c r="AB285" s="50">
        <v>1.0</v>
      </c>
      <c r="AC285" s="50">
        <v>3.0</v>
      </c>
      <c r="AD285" s="50">
        <v>0.0</v>
      </c>
      <c r="AE285" s="50">
        <v>1.0</v>
      </c>
      <c r="AF285" s="50">
        <v>1.0</v>
      </c>
      <c r="AG285" s="50">
        <v>1.0</v>
      </c>
      <c r="AH285" s="50">
        <v>3.0</v>
      </c>
      <c r="AI285" s="50">
        <v>0.0</v>
      </c>
      <c r="AJ285" s="116"/>
      <c r="AK285" s="50" t="s">
        <v>10436</v>
      </c>
      <c r="AL285" s="50">
        <v>6.0</v>
      </c>
      <c r="AM285" s="50">
        <v>1.0</v>
      </c>
      <c r="AN285" s="50" t="s">
        <v>6901</v>
      </c>
      <c r="AO285" s="117">
        <v>4556.0</v>
      </c>
      <c r="AP285" s="50" t="s">
        <v>10438</v>
      </c>
      <c r="AQ285" s="50" t="s">
        <v>10439</v>
      </c>
      <c r="AR285" s="117">
        <v>284.0</v>
      </c>
    </row>
    <row r="286">
      <c r="A286" s="50" t="s">
        <v>10428</v>
      </c>
      <c r="B286" s="50" t="s">
        <v>6876</v>
      </c>
      <c r="C286" s="50" t="s">
        <v>6877</v>
      </c>
      <c r="D286" s="50" t="s">
        <v>8493</v>
      </c>
      <c r="E286" s="144">
        <v>43759.0</v>
      </c>
      <c r="F286" s="50" t="s">
        <v>10441</v>
      </c>
      <c r="G286" s="50">
        <v>59.0</v>
      </c>
      <c r="H286" s="50">
        <v>1.0</v>
      </c>
      <c r="I286" s="50">
        <v>99.0</v>
      </c>
      <c r="J286" s="116"/>
      <c r="K286" s="116"/>
      <c r="L286" s="50" t="s">
        <v>1415</v>
      </c>
      <c r="M286" s="50" t="s">
        <v>1415</v>
      </c>
      <c r="N286" s="50" t="s">
        <v>10401</v>
      </c>
      <c r="O286" s="50" t="s">
        <v>10418</v>
      </c>
      <c r="P286" s="50" t="s">
        <v>10446</v>
      </c>
      <c r="Q286" s="50" t="s">
        <v>10447</v>
      </c>
      <c r="R286" s="116"/>
      <c r="S286" s="116"/>
      <c r="T286" s="116"/>
      <c r="U286" s="116"/>
      <c r="V286" s="116"/>
      <c r="W286" s="50">
        <v>7.0</v>
      </c>
      <c r="X286" s="50">
        <v>100.0</v>
      </c>
      <c r="Y286" s="50">
        <v>3.0</v>
      </c>
      <c r="Z286" s="50">
        <v>0.0</v>
      </c>
      <c r="AA286" s="116"/>
      <c r="AB286" s="116"/>
      <c r="AC286" s="116"/>
      <c r="AD286" s="116"/>
      <c r="AE286" s="116"/>
      <c r="AF286" s="116"/>
      <c r="AG286" s="116"/>
      <c r="AH286" s="116"/>
      <c r="AI286" s="116"/>
      <c r="AJ286" s="116"/>
      <c r="AK286" s="50" t="s">
        <v>10450</v>
      </c>
      <c r="AL286" s="50">
        <v>4.0</v>
      </c>
      <c r="AM286" s="50">
        <v>1.0</v>
      </c>
      <c r="AN286" s="50" t="s">
        <v>6901</v>
      </c>
      <c r="AO286" s="117">
        <v>4557.0</v>
      </c>
      <c r="AP286" s="50" t="s">
        <v>10451</v>
      </c>
      <c r="AQ286" s="50" t="s">
        <v>10452</v>
      </c>
      <c r="AR286" s="117">
        <v>285.0</v>
      </c>
    </row>
    <row r="287">
      <c r="A287" s="50" t="s">
        <v>10441</v>
      </c>
      <c r="B287" s="50" t="s">
        <v>6876</v>
      </c>
      <c r="C287" s="50" t="s">
        <v>6877</v>
      </c>
      <c r="D287" s="50" t="s">
        <v>8493</v>
      </c>
      <c r="E287" s="144">
        <v>43759.0</v>
      </c>
      <c r="F287" s="50" t="s">
        <v>10453</v>
      </c>
      <c r="G287" s="50">
        <v>59.0</v>
      </c>
      <c r="H287" s="50">
        <v>1.0</v>
      </c>
      <c r="I287" s="50">
        <v>99.0</v>
      </c>
      <c r="J287" s="116"/>
      <c r="K287" s="116"/>
      <c r="L287" s="50" t="s">
        <v>1404</v>
      </c>
      <c r="M287" s="50" t="s">
        <v>1404</v>
      </c>
      <c r="N287" s="50" t="s">
        <v>10401</v>
      </c>
      <c r="O287" s="50" t="s">
        <v>10454</v>
      </c>
      <c r="P287" s="50" t="s">
        <v>10455</v>
      </c>
      <c r="Q287" s="50" t="s">
        <v>10456</v>
      </c>
      <c r="R287" s="116"/>
      <c r="S287" s="116"/>
      <c r="T287" s="116"/>
      <c r="U287" s="116"/>
      <c r="V287" s="116"/>
      <c r="W287" s="50">
        <v>7.0</v>
      </c>
      <c r="X287" s="50">
        <v>100.0</v>
      </c>
      <c r="Y287" s="50">
        <v>3.0</v>
      </c>
      <c r="Z287" s="50">
        <v>0.0</v>
      </c>
      <c r="AA287" s="116"/>
      <c r="AB287" s="116"/>
      <c r="AC287" s="116"/>
      <c r="AD287" s="116"/>
      <c r="AE287" s="116"/>
      <c r="AF287" s="116"/>
      <c r="AG287" s="116"/>
      <c r="AH287" s="116"/>
      <c r="AI287" s="116"/>
      <c r="AJ287" s="116"/>
      <c r="AK287" s="50" t="s">
        <v>10461</v>
      </c>
      <c r="AL287" s="50">
        <v>6.0</v>
      </c>
      <c r="AM287" s="50">
        <v>1.0</v>
      </c>
      <c r="AN287" s="50" t="s">
        <v>6901</v>
      </c>
      <c r="AO287" s="117">
        <v>4558.0</v>
      </c>
      <c r="AP287" s="50" t="s">
        <v>10463</v>
      </c>
      <c r="AQ287" s="50" t="s">
        <v>10465</v>
      </c>
      <c r="AR287" s="117">
        <v>286.0</v>
      </c>
    </row>
    <row r="288">
      <c r="A288" s="50" t="s">
        <v>10466</v>
      </c>
      <c r="B288" s="50" t="s">
        <v>6876</v>
      </c>
      <c r="C288" s="50" t="s">
        <v>6877</v>
      </c>
      <c r="D288" s="50" t="s">
        <v>8493</v>
      </c>
      <c r="E288" s="144">
        <v>43759.0</v>
      </c>
      <c r="F288" s="50" t="s">
        <v>10470</v>
      </c>
      <c r="G288" s="50">
        <v>66.0</v>
      </c>
      <c r="H288" s="50">
        <v>1.0</v>
      </c>
      <c r="I288" s="50">
        <v>99.0</v>
      </c>
      <c r="J288" s="116"/>
      <c r="K288" s="116"/>
      <c r="L288" s="50" t="s">
        <v>1404</v>
      </c>
      <c r="M288" s="50" t="s">
        <v>1404</v>
      </c>
      <c r="N288" s="50" t="s">
        <v>10401</v>
      </c>
      <c r="O288" s="50" t="s">
        <v>10454</v>
      </c>
      <c r="P288" s="50" t="s">
        <v>10455</v>
      </c>
      <c r="Q288" s="50" t="s">
        <v>10456</v>
      </c>
      <c r="R288" s="116"/>
      <c r="S288" s="116"/>
      <c r="T288" s="116"/>
      <c r="U288" s="116"/>
      <c r="V288" s="116"/>
      <c r="W288" s="50">
        <v>7.0</v>
      </c>
      <c r="X288" s="50">
        <v>100.0</v>
      </c>
      <c r="Y288" s="50">
        <v>3.0</v>
      </c>
      <c r="Z288" s="50">
        <v>0.0</v>
      </c>
      <c r="AA288" s="116"/>
      <c r="AB288" s="116"/>
      <c r="AC288" s="116"/>
      <c r="AD288" s="116"/>
      <c r="AE288" s="116"/>
      <c r="AF288" s="116"/>
      <c r="AG288" s="116"/>
      <c r="AH288" s="116"/>
      <c r="AI288" s="116"/>
      <c r="AJ288" s="116"/>
      <c r="AK288" s="50" t="s">
        <v>10476</v>
      </c>
      <c r="AL288" s="50">
        <v>6.0</v>
      </c>
      <c r="AM288" s="50">
        <v>1.0</v>
      </c>
      <c r="AN288" s="50" t="s">
        <v>6901</v>
      </c>
      <c r="AO288" s="117">
        <v>4559.0</v>
      </c>
      <c r="AP288" s="50" t="s">
        <v>10478</v>
      </c>
      <c r="AQ288" s="50" t="s">
        <v>10480</v>
      </c>
      <c r="AR288" s="117">
        <v>287.0</v>
      </c>
    </row>
    <row r="289">
      <c r="A289" s="50" t="s">
        <v>10470</v>
      </c>
      <c r="B289" s="50" t="s">
        <v>6876</v>
      </c>
      <c r="C289" s="50" t="s">
        <v>6877</v>
      </c>
      <c r="D289" s="50" t="s">
        <v>8493</v>
      </c>
      <c r="E289" s="144">
        <v>43759.0</v>
      </c>
      <c r="F289" s="50" t="s">
        <v>10483</v>
      </c>
      <c r="G289" s="50">
        <v>33.0</v>
      </c>
      <c r="H289" s="50">
        <v>1.0</v>
      </c>
      <c r="I289" s="50">
        <v>98.0</v>
      </c>
      <c r="J289" s="116"/>
      <c r="K289" s="116"/>
      <c r="L289" s="50" t="s">
        <v>1419</v>
      </c>
      <c r="M289" s="50" t="s">
        <v>1419</v>
      </c>
      <c r="N289" s="50" t="s">
        <v>10484</v>
      </c>
      <c r="O289" s="50" t="s">
        <v>10484</v>
      </c>
      <c r="P289" s="50" t="s">
        <v>10485</v>
      </c>
      <c r="Q289" s="50" t="s">
        <v>10486</v>
      </c>
      <c r="R289" s="116"/>
      <c r="S289" s="116"/>
      <c r="T289" s="116"/>
      <c r="U289" s="116"/>
      <c r="V289" s="116"/>
      <c r="W289" s="50">
        <v>7.0</v>
      </c>
      <c r="X289" s="50">
        <v>100.0</v>
      </c>
      <c r="Y289" s="50">
        <v>3.0</v>
      </c>
      <c r="Z289" s="50">
        <v>0.0</v>
      </c>
      <c r="AA289" s="116"/>
      <c r="AB289" s="116"/>
      <c r="AC289" s="116"/>
      <c r="AD289" s="116"/>
      <c r="AE289" s="116"/>
      <c r="AF289" s="116"/>
      <c r="AG289" s="116"/>
      <c r="AH289" s="116"/>
      <c r="AI289" s="116"/>
      <c r="AJ289" s="116"/>
      <c r="AK289" s="50" t="s">
        <v>8213</v>
      </c>
      <c r="AL289" s="50">
        <v>4.0</v>
      </c>
      <c r="AM289" s="50">
        <v>1.0</v>
      </c>
      <c r="AN289" s="50" t="s">
        <v>6901</v>
      </c>
      <c r="AO289" s="117">
        <v>4560.0</v>
      </c>
      <c r="AP289" s="50" t="s">
        <v>10489</v>
      </c>
      <c r="AQ289" s="50" t="s">
        <v>10490</v>
      </c>
      <c r="AR289" s="117">
        <v>288.0</v>
      </c>
    </row>
    <row r="290">
      <c r="A290" s="50" t="s">
        <v>10491</v>
      </c>
      <c r="B290" s="50" t="s">
        <v>6876</v>
      </c>
      <c r="C290" s="50" t="s">
        <v>6877</v>
      </c>
      <c r="D290" s="50" t="s">
        <v>8493</v>
      </c>
      <c r="E290" s="144">
        <v>43761.0</v>
      </c>
      <c r="F290" s="50" t="s">
        <v>10492</v>
      </c>
      <c r="G290" s="50">
        <v>59.0</v>
      </c>
      <c r="H290" s="50">
        <v>1.0</v>
      </c>
      <c r="I290" s="50">
        <v>11.0</v>
      </c>
      <c r="J290" s="116"/>
      <c r="K290" s="116"/>
      <c r="L290" s="50" t="s">
        <v>1422</v>
      </c>
      <c r="M290" s="50" t="s">
        <v>1422</v>
      </c>
      <c r="N290" s="50" t="s">
        <v>10493</v>
      </c>
      <c r="O290" s="50" t="s">
        <v>10494</v>
      </c>
      <c r="P290" s="50" t="s">
        <v>10495</v>
      </c>
      <c r="Q290" s="50" t="s">
        <v>10497</v>
      </c>
      <c r="R290" s="116"/>
      <c r="S290" s="116"/>
      <c r="T290" s="116"/>
      <c r="U290" s="116"/>
      <c r="V290" s="116"/>
      <c r="W290" s="50">
        <v>3.0</v>
      </c>
      <c r="X290" s="50">
        <v>1.0</v>
      </c>
      <c r="Y290" s="50">
        <v>3.0</v>
      </c>
      <c r="Z290" s="50">
        <v>13.0</v>
      </c>
      <c r="AA290" s="50">
        <v>2.0</v>
      </c>
      <c r="AB290" s="50">
        <v>1.0</v>
      </c>
      <c r="AC290" s="50">
        <v>3.0</v>
      </c>
      <c r="AD290" s="50">
        <v>8.0</v>
      </c>
      <c r="AE290" s="50">
        <v>1.0</v>
      </c>
      <c r="AF290" s="50">
        <v>1.0</v>
      </c>
      <c r="AG290" s="50">
        <v>1.0</v>
      </c>
      <c r="AH290" s="50">
        <v>3.0</v>
      </c>
      <c r="AI290" s="50">
        <v>0.0</v>
      </c>
      <c r="AJ290" s="116"/>
      <c r="AK290" s="50" t="s">
        <v>10505</v>
      </c>
      <c r="AL290" s="50">
        <v>6.0</v>
      </c>
      <c r="AM290" s="50">
        <v>1.0</v>
      </c>
      <c r="AN290" s="50" t="s">
        <v>6901</v>
      </c>
      <c r="AO290" s="117">
        <v>4614.0</v>
      </c>
      <c r="AP290" s="50" t="s">
        <v>10507</v>
      </c>
      <c r="AQ290" s="50" t="s">
        <v>10508</v>
      </c>
      <c r="AR290" s="117">
        <v>289.0</v>
      </c>
    </row>
    <row r="291">
      <c r="A291" s="50" t="s">
        <v>10509</v>
      </c>
      <c r="B291" s="50" t="s">
        <v>6876</v>
      </c>
      <c r="C291" s="50" t="s">
        <v>6877</v>
      </c>
      <c r="D291" s="50" t="s">
        <v>8493</v>
      </c>
      <c r="E291" s="144">
        <v>43761.0</v>
      </c>
      <c r="F291" s="50" t="s">
        <v>10512</v>
      </c>
      <c r="G291" s="50">
        <v>59.0</v>
      </c>
      <c r="H291" s="50">
        <v>1.0</v>
      </c>
      <c r="I291" s="50">
        <v>99.0</v>
      </c>
      <c r="J291" s="116"/>
      <c r="K291" s="116"/>
      <c r="L291" s="50" t="s">
        <v>1424</v>
      </c>
      <c r="M291" s="50" t="s">
        <v>1424</v>
      </c>
      <c r="N291" s="50" t="s">
        <v>10493</v>
      </c>
      <c r="O291" s="50" t="s">
        <v>10494</v>
      </c>
      <c r="P291" s="50" t="s">
        <v>10495</v>
      </c>
      <c r="Q291" s="50" t="s">
        <v>10497</v>
      </c>
      <c r="R291" s="116"/>
      <c r="S291" s="116"/>
      <c r="T291" s="116"/>
      <c r="U291" s="116"/>
      <c r="V291" s="116"/>
      <c r="W291" s="50">
        <v>7.0</v>
      </c>
      <c r="X291" s="50">
        <v>100.0</v>
      </c>
      <c r="Y291" s="50">
        <v>3.0</v>
      </c>
      <c r="Z291" s="50">
        <v>0.0</v>
      </c>
      <c r="AA291" s="116"/>
      <c r="AB291" s="116"/>
      <c r="AC291" s="116"/>
      <c r="AD291" s="116"/>
      <c r="AE291" s="116"/>
      <c r="AF291" s="116"/>
      <c r="AG291" s="116"/>
      <c r="AH291" s="116"/>
      <c r="AI291" s="116"/>
      <c r="AJ291" s="116"/>
      <c r="AK291" s="50" t="s">
        <v>10514</v>
      </c>
      <c r="AL291" s="50">
        <v>1.0</v>
      </c>
      <c r="AM291" s="50">
        <v>1.0</v>
      </c>
      <c r="AN291" s="50" t="s">
        <v>6901</v>
      </c>
      <c r="AO291" s="117">
        <v>4615.0</v>
      </c>
      <c r="AP291" s="50" t="s">
        <v>10517</v>
      </c>
      <c r="AQ291" s="50" t="s">
        <v>10518</v>
      </c>
      <c r="AR291" s="117">
        <v>290.0</v>
      </c>
    </row>
    <row r="292">
      <c r="A292" s="50" t="s">
        <v>10521</v>
      </c>
      <c r="B292" s="50" t="s">
        <v>6876</v>
      </c>
      <c r="C292" s="50" t="s">
        <v>6877</v>
      </c>
      <c r="D292" s="50" t="s">
        <v>8493</v>
      </c>
      <c r="E292" s="144">
        <v>43761.0</v>
      </c>
      <c r="F292" s="50" t="s">
        <v>10522</v>
      </c>
      <c r="G292" s="50">
        <v>59.0</v>
      </c>
      <c r="H292" s="50">
        <v>1.0</v>
      </c>
      <c r="I292" s="50">
        <v>11.0</v>
      </c>
      <c r="J292" s="116"/>
      <c r="K292" s="116"/>
      <c r="L292" s="50" t="s">
        <v>1426</v>
      </c>
      <c r="M292" s="50" t="s">
        <v>1426</v>
      </c>
      <c r="N292" s="50" t="s">
        <v>10493</v>
      </c>
      <c r="O292" s="50" t="s">
        <v>10494</v>
      </c>
      <c r="P292" s="50" t="s">
        <v>10495</v>
      </c>
      <c r="Q292" s="50" t="s">
        <v>10497</v>
      </c>
      <c r="R292" s="116"/>
      <c r="S292" s="116"/>
      <c r="T292" s="116"/>
      <c r="U292" s="116"/>
      <c r="V292" s="116"/>
      <c r="W292" s="50">
        <v>3.0</v>
      </c>
      <c r="X292" s="50">
        <v>1.0</v>
      </c>
      <c r="Y292" s="50">
        <v>3.0</v>
      </c>
      <c r="Z292" s="50">
        <v>80.0</v>
      </c>
      <c r="AA292" s="50">
        <v>2.0</v>
      </c>
      <c r="AB292" s="50">
        <v>1.0</v>
      </c>
      <c r="AC292" s="50">
        <v>3.0</v>
      </c>
      <c r="AD292" s="50">
        <v>14.0</v>
      </c>
      <c r="AE292" s="50">
        <v>1.0</v>
      </c>
      <c r="AF292" s="50">
        <v>1.0</v>
      </c>
      <c r="AG292" s="50">
        <v>1.0</v>
      </c>
      <c r="AH292" s="50">
        <v>3.0</v>
      </c>
      <c r="AI292" s="50">
        <v>3.0</v>
      </c>
      <c r="AJ292" s="116"/>
      <c r="AK292" s="50" t="s">
        <v>10525</v>
      </c>
      <c r="AL292" s="50">
        <v>6.0</v>
      </c>
      <c r="AM292" s="50">
        <v>1.0</v>
      </c>
      <c r="AN292" s="50" t="s">
        <v>6901</v>
      </c>
      <c r="AO292" s="117">
        <v>4616.0</v>
      </c>
      <c r="AP292" s="50" t="s">
        <v>10526</v>
      </c>
      <c r="AQ292" s="50" t="s">
        <v>10527</v>
      </c>
      <c r="AR292" s="117">
        <v>291.0</v>
      </c>
    </row>
    <row r="293">
      <c r="A293" s="50" t="s">
        <v>10522</v>
      </c>
      <c r="B293" s="50" t="s">
        <v>6876</v>
      </c>
      <c r="C293" s="50" t="s">
        <v>6877</v>
      </c>
      <c r="D293" s="50" t="s">
        <v>8493</v>
      </c>
      <c r="E293" s="144">
        <v>43761.0</v>
      </c>
      <c r="F293" s="50" t="s">
        <v>10530</v>
      </c>
      <c r="G293" s="50">
        <v>59.0</v>
      </c>
      <c r="H293" s="50">
        <v>1.0</v>
      </c>
      <c r="I293" s="50">
        <v>99.0</v>
      </c>
      <c r="J293" s="116"/>
      <c r="K293" s="116"/>
      <c r="L293" s="50" t="s">
        <v>1428</v>
      </c>
      <c r="M293" s="50" t="s">
        <v>1428</v>
      </c>
      <c r="N293" s="50" t="s">
        <v>10493</v>
      </c>
      <c r="O293" s="50" t="s">
        <v>10494</v>
      </c>
      <c r="P293" s="50" t="s">
        <v>10495</v>
      </c>
      <c r="Q293" s="50" t="s">
        <v>10497</v>
      </c>
      <c r="R293" s="116"/>
      <c r="S293" s="116"/>
      <c r="T293" s="116"/>
      <c r="U293" s="116"/>
      <c r="V293" s="116"/>
      <c r="W293" s="50">
        <v>7.0</v>
      </c>
      <c r="X293" s="50">
        <v>100.0</v>
      </c>
      <c r="Y293" s="50">
        <v>3.0</v>
      </c>
      <c r="Z293" s="50">
        <v>0.0</v>
      </c>
      <c r="AA293" s="116"/>
      <c r="AB293" s="116"/>
      <c r="AC293" s="116"/>
      <c r="AD293" s="116"/>
      <c r="AE293" s="116"/>
      <c r="AF293" s="116"/>
      <c r="AG293" s="116"/>
      <c r="AH293" s="116"/>
      <c r="AI293" s="116"/>
      <c r="AJ293" s="116"/>
      <c r="AK293" s="50" t="s">
        <v>10538</v>
      </c>
      <c r="AL293" s="50">
        <v>1.0</v>
      </c>
      <c r="AM293" s="50">
        <v>1.0</v>
      </c>
      <c r="AN293" s="50" t="s">
        <v>6901</v>
      </c>
      <c r="AO293" s="117">
        <v>4617.0</v>
      </c>
      <c r="AP293" s="50" t="s">
        <v>10539</v>
      </c>
      <c r="AQ293" s="50" t="s">
        <v>10540</v>
      </c>
      <c r="AR293" s="117">
        <v>292.0</v>
      </c>
    </row>
    <row r="294">
      <c r="A294" s="50" t="s">
        <v>10541</v>
      </c>
      <c r="B294" s="50" t="s">
        <v>6876</v>
      </c>
      <c r="C294" s="50" t="s">
        <v>6877</v>
      </c>
      <c r="D294" s="50" t="s">
        <v>8493</v>
      </c>
      <c r="E294" s="144">
        <v>43761.0</v>
      </c>
      <c r="F294" s="50" t="s">
        <v>10544</v>
      </c>
      <c r="G294" s="50">
        <v>59.0</v>
      </c>
      <c r="H294" s="50">
        <v>1.0</v>
      </c>
      <c r="I294" s="50">
        <v>11.0</v>
      </c>
      <c r="J294" s="116"/>
      <c r="K294" s="116"/>
      <c r="L294" s="50" t="s">
        <v>1430</v>
      </c>
      <c r="M294" s="50" t="s">
        <v>1430</v>
      </c>
      <c r="N294" s="50" t="s">
        <v>10493</v>
      </c>
      <c r="O294" s="50" t="s">
        <v>10494</v>
      </c>
      <c r="P294" s="50" t="s">
        <v>10495</v>
      </c>
      <c r="Q294" s="50" t="s">
        <v>10497</v>
      </c>
      <c r="R294" s="116"/>
      <c r="S294" s="116"/>
      <c r="T294" s="116"/>
      <c r="U294" s="116"/>
      <c r="V294" s="116"/>
      <c r="W294" s="50">
        <v>3.0</v>
      </c>
      <c r="X294" s="50">
        <v>1.0</v>
      </c>
      <c r="Y294" s="50">
        <v>3.0</v>
      </c>
      <c r="Z294" s="50">
        <v>53.0</v>
      </c>
      <c r="AA294" s="50">
        <v>2.0</v>
      </c>
      <c r="AB294" s="50">
        <v>1.0</v>
      </c>
      <c r="AC294" s="50">
        <v>3.0</v>
      </c>
      <c r="AD294" s="50">
        <v>10.0</v>
      </c>
      <c r="AE294" s="50">
        <v>1.0</v>
      </c>
      <c r="AF294" s="50">
        <v>1.0</v>
      </c>
      <c r="AG294" s="50">
        <v>1.0</v>
      </c>
      <c r="AH294" s="50">
        <v>3.0</v>
      </c>
      <c r="AI294" s="50">
        <v>2.0</v>
      </c>
      <c r="AJ294" s="116"/>
      <c r="AK294" s="50" t="s">
        <v>10547</v>
      </c>
      <c r="AL294" s="50">
        <v>6.0</v>
      </c>
      <c r="AM294" s="50">
        <v>1.0</v>
      </c>
      <c r="AN294" s="50" t="s">
        <v>6901</v>
      </c>
      <c r="AO294" s="117">
        <v>4618.0</v>
      </c>
      <c r="AP294" s="50" t="s">
        <v>10550</v>
      </c>
      <c r="AQ294" s="50" t="s">
        <v>10551</v>
      </c>
      <c r="AR294" s="117">
        <v>293.0</v>
      </c>
    </row>
    <row r="295">
      <c r="A295" s="50" t="s">
        <v>10544</v>
      </c>
      <c r="B295" s="50" t="s">
        <v>6876</v>
      </c>
      <c r="C295" s="50" t="s">
        <v>6877</v>
      </c>
      <c r="D295" s="50" t="s">
        <v>8493</v>
      </c>
      <c r="E295" s="144">
        <v>43761.0</v>
      </c>
      <c r="F295" s="50" t="s">
        <v>10553</v>
      </c>
      <c r="G295" s="50">
        <v>59.0</v>
      </c>
      <c r="H295" s="50">
        <v>1.0</v>
      </c>
      <c r="I295" s="50">
        <v>99.0</v>
      </c>
      <c r="J295" s="116"/>
      <c r="K295" s="116"/>
      <c r="L295" s="50" t="s">
        <v>1432</v>
      </c>
      <c r="M295" s="50" t="s">
        <v>1432</v>
      </c>
      <c r="N295" s="50" t="s">
        <v>10493</v>
      </c>
      <c r="O295" s="50" t="s">
        <v>10494</v>
      </c>
      <c r="P295" s="50" t="s">
        <v>10495</v>
      </c>
      <c r="Q295" s="50" t="s">
        <v>10497</v>
      </c>
      <c r="R295" s="116"/>
      <c r="S295" s="116"/>
      <c r="T295" s="116"/>
      <c r="U295" s="116"/>
      <c r="V295" s="116"/>
      <c r="W295" s="50">
        <v>7.0</v>
      </c>
      <c r="X295" s="50">
        <v>100.0</v>
      </c>
      <c r="Y295" s="50">
        <v>3.0</v>
      </c>
      <c r="Z295" s="50">
        <v>0.0</v>
      </c>
      <c r="AA295" s="116"/>
      <c r="AB295" s="116"/>
      <c r="AC295" s="116"/>
      <c r="AD295" s="116"/>
      <c r="AE295" s="116"/>
      <c r="AF295" s="116"/>
      <c r="AG295" s="116"/>
      <c r="AH295" s="116"/>
      <c r="AI295" s="116"/>
      <c r="AJ295" s="116"/>
      <c r="AK295" s="50" t="s">
        <v>10561</v>
      </c>
      <c r="AL295" s="50">
        <v>1.0</v>
      </c>
      <c r="AM295" s="50">
        <v>1.0</v>
      </c>
      <c r="AN295" s="50" t="s">
        <v>6901</v>
      </c>
      <c r="AO295" s="117">
        <v>4619.0</v>
      </c>
      <c r="AP295" s="50" t="s">
        <v>10563</v>
      </c>
      <c r="AQ295" s="50" t="s">
        <v>10564</v>
      </c>
      <c r="AR295" s="117">
        <v>294.0</v>
      </c>
    </row>
    <row r="296">
      <c r="A296" s="50" t="s">
        <v>10553</v>
      </c>
      <c r="B296" s="50" t="s">
        <v>6876</v>
      </c>
      <c r="C296" s="50" t="s">
        <v>6877</v>
      </c>
      <c r="D296" s="50" t="s">
        <v>8493</v>
      </c>
      <c r="E296" s="144">
        <v>43761.0</v>
      </c>
      <c r="F296" s="50" t="s">
        <v>10568</v>
      </c>
      <c r="G296" s="50">
        <v>59.0</v>
      </c>
      <c r="H296" s="50">
        <v>1.0</v>
      </c>
      <c r="I296" s="50">
        <v>11.0</v>
      </c>
      <c r="J296" s="116"/>
      <c r="K296" s="116"/>
      <c r="L296" s="50" t="s">
        <v>1434</v>
      </c>
      <c r="M296" s="50" t="s">
        <v>1434</v>
      </c>
      <c r="N296" s="50" t="s">
        <v>10570</v>
      </c>
      <c r="O296" s="50" t="s">
        <v>10494</v>
      </c>
      <c r="P296" s="50" t="s">
        <v>10495</v>
      </c>
      <c r="Q296" s="50" t="s">
        <v>10497</v>
      </c>
      <c r="R296" s="116"/>
      <c r="S296" s="116"/>
      <c r="T296" s="116"/>
      <c r="U296" s="116"/>
      <c r="V296" s="116"/>
      <c r="W296" s="50">
        <v>3.0</v>
      </c>
      <c r="X296" s="50">
        <v>1.0</v>
      </c>
      <c r="Y296" s="50">
        <v>3.0</v>
      </c>
      <c r="Z296" s="50">
        <v>4.0</v>
      </c>
      <c r="AA296" s="50">
        <v>2.0</v>
      </c>
      <c r="AB296" s="50">
        <v>1.0</v>
      </c>
      <c r="AC296" s="50">
        <v>3.0</v>
      </c>
      <c r="AD296" s="50">
        <v>0.0</v>
      </c>
      <c r="AE296" s="50">
        <v>1.0</v>
      </c>
      <c r="AF296" s="50">
        <v>1.0</v>
      </c>
      <c r="AG296" s="50">
        <v>1.0</v>
      </c>
      <c r="AH296" s="50">
        <v>3.0</v>
      </c>
      <c r="AI296" s="50">
        <v>0.0</v>
      </c>
      <c r="AJ296" s="116"/>
      <c r="AK296" s="50" t="s">
        <v>10574</v>
      </c>
      <c r="AL296" s="50">
        <v>6.0</v>
      </c>
      <c r="AM296" s="50">
        <v>1.0</v>
      </c>
      <c r="AN296" s="50" t="s">
        <v>6901</v>
      </c>
      <c r="AO296" s="117">
        <v>4620.0</v>
      </c>
      <c r="AP296" s="50" t="s">
        <v>10575</v>
      </c>
      <c r="AQ296" s="50" t="s">
        <v>10576</v>
      </c>
      <c r="AR296" s="117">
        <v>295.0</v>
      </c>
    </row>
    <row r="297">
      <c r="A297" s="50" t="s">
        <v>10568</v>
      </c>
      <c r="B297" s="50" t="s">
        <v>6876</v>
      </c>
      <c r="C297" s="50" t="s">
        <v>6877</v>
      </c>
      <c r="D297" s="50" t="s">
        <v>8493</v>
      </c>
      <c r="E297" s="144">
        <v>43761.0</v>
      </c>
      <c r="F297" s="50" t="s">
        <v>10577</v>
      </c>
      <c r="G297" s="50">
        <v>59.0</v>
      </c>
      <c r="H297" s="50">
        <v>1.0</v>
      </c>
      <c r="I297" s="50">
        <v>99.0</v>
      </c>
      <c r="J297" s="116"/>
      <c r="K297" s="116"/>
      <c r="L297" s="50" t="s">
        <v>1435</v>
      </c>
      <c r="M297" s="50" t="s">
        <v>1435</v>
      </c>
      <c r="N297" s="50" t="s">
        <v>10493</v>
      </c>
      <c r="O297" s="50" t="s">
        <v>10494</v>
      </c>
      <c r="P297" s="50" t="s">
        <v>10495</v>
      </c>
      <c r="Q297" s="50" t="s">
        <v>10497</v>
      </c>
      <c r="R297" s="116"/>
      <c r="S297" s="116"/>
      <c r="T297" s="116"/>
      <c r="U297" s="116"/>
      <c r="V297" s="116"/>
      <c r="W297" s="50">
        <v>7.0</v>
      </c>
      <c r="X297" s="50">
        <v>100.0</v>
      </c>
      <c r="Y297" s="50">
        <v>3.0</v>
      </c>
      <c r="Z297" s="50">
        <v>0.0</v>
      </c>
      <c r="AA297" s="116"/>
      <c r="AB297" s="116"/>
      <c r="AC297" s="116"/>
      <c r="AD297" s="116"/>
      <c r="AE297" s="116"/>
      <c r="AF297" s="116"/>
      <c r="AG297" s="116"/>
      <c r="AH297" s="116"/>
      <c r="AI297" s="116"/>
      <c r="AJ297" s="116"/>
      <c r="AK297" s="50" t="s">
        <v>10582</v>
      </c>
      <c r="AL297" s="50">
        <v>1.0</v>
      </c>
      <c r="AM297" s="50">
        <v>1.0</v>
      </c>
      <c r="AN297" s="50" t="s">
        <v>6901</v>
      </c>
      <c r="AO297" s="117">
        <v>4621.0</v>
      </c>
      <c r="AP297" s="50" t="s">
        <v>10583</v>
      </c>
      <c r="AQ297" s="50" t="s">
        <v>10584</v>
      </c>
      <c r="AR297" s="117">
        <v>296.0</v>
      </c>
    </row>
    <row r="298">
      <c r="A298" s="50" t="s">
        <v>10577</v>
      </c>
      <c r="B298" s="50" t="s">
        <v>6876</v>
      </c>
      <c r="C298" s="50" t="s">
        <v>6877</v>
      </c>
      <c r="D298" s="50" t="s">
        <v>8493</v>
      </c>
      <c r="E298" s="144">
        <v>43761.0</v>
      </c>
      <c r="F298" s="50" t="s">
        <v>10587</v>
      </c>
      <c r="G298" s="50">
        <v>59.0</v>
      </c>
      <c r="H298" s="50">
        <v>1.0</v>
      </c>
      <c r="I298" s="50">
        <v>11.0</v>
      </c>
      <c r="J298" s="116"/>
      <c r="K298" s="116"/>
      <c r="L298" s="50" t="s">
        <v>1438</v>
      </c>
      <c r="M298" s="50" t="s">
        <v>1438</v>
      </c>
      <c r="N298" s="50" t="s">
        <v>10493</v>
      </c>
      <c r="O298" s="50" t="s">
        <v>10494</v>
      </c>
      <c r="P298" s="50" t="s">
        <v>10495</v>
      </c>
      <c r="Q298" s="50" t="s">
        <v>10497</v>
      </c>
      <c r="R298" s="116"/>
      <c r="S298" s="116"/>
      <c r="T298" s="116"/>
      <c r="U298" s="116"/>
      <c r="V298" s="116"/>
      <c r="W298" s="50">
        <v>3.0</v>
      </c>
      <c r="X298" s="50">
        <v>1.0</v>
      </c>
      <c r="Y298" s="50">
        <v>3.0</v>
      </c>
      <c r="Z298" s="50">
        <v>140.0</v>
      </c>
      <c r="AA298" s="50">
        <v>2.0</v>
      </c>
      <c r="AB298" s="50">
        <v>1.0</v>
      </c>
      <c r="AC298" s="50">
        <v>3.0</v>
      </c>
      <c r="AD298" s="50">
        <v>2.0</v>
      </c>
      <c r="AE298" s="50">
        <v>1.0</v>
      </c>
      <c r="AF298" s="50">
        <v>1.0</v>
      </c>
      <c r="AG298" s="50">
        <v>1.0</v>
      </c>
      <c r="AH298" s="50">
        <v>3.0</v>
      </c>
      <c r="AI298" s="50">
        <v>1.0</v>
      </c>
      <c r="AJ298" s="116"/>
      <c r="AK298" s="50" t="s">
        <v>10594</v>
      </c>
      <c r="AL298" s="50">
        <v>6.0</v>
      </c>
      <c r="AM298" s="50">
        <v>1.0</v>
      </c>
      <c r="AN298" s="50" t="s">
        <v>6901</v>
      </c>
      <c r="AO298" s="117">
        <v>4622.0</v>
      </c>
      <c r="AP298" s="50" t="s">
        <v>10595</v>
      </c>
      <c r="AQ298" s="50" t="s">
        <v>10596</v>
      </c>
      <c r="AR298" s="117">
        <v>297.0</v>
      </c>
    </row>
    <row r="299">
      <c r="A299" s="50" t="s">
        <v>10587</v>
      </c>
      <c r="B299" s="50" t="s">
        <v>6876</v>
      </c>
      <c r="C299" s="50" t="s">
        <v>6877</v>
      </c>
      <c r="D299" s="50" t="s">
        <v>8493</v>
      </c>
      <c r="E299" s="144">
        <v>43761.0</v>
      </c>
      <c r="F299" s="50" t="s">
        <v>10597</v>
      </c>
      <c r="G299" s="50">
        <v>59.0</v>
      </c>
      <c r="H299" s="50">
        <v>1.0</v>
      </c>
      <c r="I299" s="50">
        <v>99.0</v>
      </c>
      <c r="J299" s="116"/>
      <c r="K299" s="116"/>
      <c r="L299" s="50" t="s">
        <v>1435</v>
      </c>
      <c r="M299" s="50" t="s">
        <v>1435</v>
      </c>
      <c r="N299" s="50" t="s">
        <v>10493</v>
      </c>
      <c r="O299" s="50" t="s">
        <v>10494</v>
      </c>
      <c r="P299" s="50" t="s">
        <v>10495</v>
      </c>
      <c r="Q299" s="50" t="s">
        <v>10497</v>
      </c>
      <c r="R299" s="116"/>
      <c r="S299" s="116"/>
      <c r="T299" s="116"/>
      <c r="U299" s="116"/>
      <c r="V299" s="116"/>
      <c r="W299" s="50">
        <v>7.0</v>
      </c>
      <c r="X299" s="50">
        <v>100.0</v>
      </c>
      <c r="Y299" s="50">
        <v>3.0</v>
      </c>
      <c r="Z299" s="50">
        <v>0.0</v>
      </c>
      <c r="AA299" s="116"/>
      <c r="AB299" s="116"/>
      <c r="AC299" s="116"/>
      <c r="AD299" s="116"/>
      <c r="AE299" s="116"/>
      <c r="AF299" s="116"/>
      <c r="AG299" s="116"/>
      <c r="AH299" s="116"/>
      <c r="AI299" s="116"/>
      <c r="AJ299" s="116"/>
      <c r="AK299" s="50" t="s">
        <v>10603</v>
      </c>
      <c r="AL299" s="50">
        <v>1.0</v>
      </c>
      <c r="AM299" s="50">
        <v>1.0</v>
      </c>
      <c r="AN299" s="50" t="s">
        <v>6901</v>
      </c>
      <c r="AO299" s="117">
        <v>4623.0</v>
      </c>
      <c r="AP299" s="50" t="s">
        <v>10604</v>
      </c>
      <c r="AQ299" s="50" t="s">
        <v>10605</v>
      </c>
      <c r="AR299" s="117">
        <v>298.0</v>
      </c>
    </row>
    <row r="300">
      <c r="A300" s="50" t="s">
        <v>10597</v>
      </c>
      <c r="B300" s="50" t="s">
        <v>6876</v>
      </c>
      <c r="C300" s="50" t="s">
        <v>6877</v>
      </c>
      <c r="D300" s="50" t="s">
        <v>8493</v>
      </c>
      <c r="E300" s="144">
        <v>43761.0</v>
      </c>
      <c r="F300" s="50" t="s">
        <v>10606</v>
      </c>
      <c r="G300" s="50">
        <v>33.0</v>
      </c>
      <c r="H300" s="50">
        <v>1.0</v>
      </c>
      <c r="I300" s="50">
        <v>98.0</v>
      </c>
      <c r="J300" s="116"/>
      <c r="K300" s="116"/>
      <c r="L300" s="50" t="s">
        <v>1443</v>
      </c>
      <c r="M300" s="50" t="s">
        <v>1443</v>
      </c>
      <c r="N300" s="50" t="s">
        <v>10494</v>
      </c>
      <c r="O300" s="50" t="s">
        <v>10494</v>
      </c>
      <c r="P300" s="50" t="s">
        <v>10495</v>
      </c>
      <c r="Q300" s="50" t="s">
        <v>10497</v>
      </c>
      <c r="R300" s="116"/>
      <c r="S300" s="116"/>
      <c r="T300" s="116"/>
      <c r="U300" s="116"/>
      <c r="V300" s="116"/>
      <c r="W300" s="50">
        <v>7.0</v>
      </c>
      <c r="X300" s="50">
        <v>100.0</v>
      </c>
      <c r="Y300" s="50">
        <v>3.0</v>
      </c>
      <c r="Z300" s="50">
        <v>0.0</v>
      </c>
      <c r="AA300" s="116"/>
      <c r="AB300" s="116"/>
      <c r="AC300" s="116"/>
      <c r="AD300" s="116"/>
      <c r="AE300" s="116"/>
      <c r="AF300" s="116"/>
      <c r="AG300" s="116"/>
      <c r="AH300" s="116"/>
      <c r="AI300" s="116"/>
      <c r="AJ300" s="116"/>
      <c r="AK300" s="50" t="s">
        <v>8213</v>
      </c>
      <c r="AL300" s="50">
        <v>1.0</v>
      </c>
      <c r="AM300" s="50">
        <v>1.0</v>
      </c>
      <c r="AN300" s="50" t="s">
        <v>6901</v>
      </c>
      <c r="AO300" s="117">
        <v>4624.0</v>
      </c>
      <c r="AP300" s="50" t="s">
        <v>10611</v>
      </c>
      <c r="AQ300" s="50" t="s">
        <v>10612</v>
      </c>
      <c r="AR300" s="117">
        <v>299.0</v>
      </c>
    </row>
    <row r="301">
      <c r="A301" s="50" t="s">
        <v>10614</v>
      </c>
      <c r="B301" s="50" t="s">
        <v>6876</v>
      </c>
      <c r="C301" s="50" t="s">
        <v>6877</v>
      </c>
      <c r="D301" s="50" t="s">
        <v>8493</v>
      </c>
      <c r="E301" s="144">
        <v>43762.0</v>
      </c>
      <c r="F301" s="50" t="s">
        <v>10616</v>
      </c>
      <c r="G301" s="50">
        <v>57.0</v>
      </c>
      <c r="H301" s="50">
        <v>1.0</v>
      </c>
      <c r="I301" s="50">
        <v>99.0</v>
      </c>
      <c r="J301" s="116"/>
      <c r="K301" s="116"/>
      <c r="L301" s="50" t="s">
        <v>1448</v>
      </c>
      <c r="M301" s="50" t="s">
        <v>1448</v>
      </c>
      <c r="N301" s="50" t="s">
        <v>10622</v>
      </c>
      <c r="O301" s="50" t="s">
        <v>10623</v>
      </c>
      <c r="P301" s="50" t="s">
        <v>10624</v>
      </c>
      <c r="Q301" s="50" t="s">
        <v>10625</v>
      </c>
      <c r="R301" s="116"/>
      <c r="S301" s="116"/>
      <c r="T301" s="116"/>
      <c r="U301" s="116"/>
      <c r="V301" s="116"/>
      <c r="W301" s="50">
        <v>7.0</v>
      </c>
      <c r="X301" s="50">
        <v>100.0</v>
      </c>
      <c r="Y301" s="50">
        <v>3.0</v>
      </c>
      <c r="Z301" s="50">
        <v>0.0</v>
      </c>
      <c r="AA301" s="116"/>
      <c r="AB301" s="116"/>
      <c r="AC301" s="116"/>
      <c r="AD301" s="116"/>
      <c r="AE301" s="116"/>
      <c r="AF301" s="116"/>
      <c r="AG301" s="116"/>
      <c r="AH301" s="116"/>
      <c r="AI301" s="116"/>
      <c r="AJ301" s="116"/>
      <c r="AK301" s="50" t="s">
        <v>10628</v>
      </c>
      <c r="AL301" s="50">
        <v>4.0</v>
      </c>
      <c r="AM301" s="50">
        <v>1.0</v>
      </c>
      <c r="AN301" s="50" t="s">
        <v>10629</v>
      </c>
      <c r="AO301" s="117">
        <v>4643.0</v>
      </c>
      <c r="AP301" s="50" t="s">
        <v>10630</v>
      </c>
      <c r="AQ301" s="50" t="s">
        <v>10631</v>
      </c>
      <c r="AR301" s="117">
        <v>300.0</v>
      </c>
    </row>
    <row r="302">
      <c r="A302" s="50" t="s">
        <v>10616</v>
      </c>
      <c r="B302" s="50" t="s">
        <v>6876</v>
      </c>
      <c r="C302" s="50" t="s">
        <v>6877</v>
      </c>
      <c r="D302" s="50" t="s">
        <v>8493</v>
      </c>
      <c r="E302" s="144">
        <v>43762.0</v>
      </c>
      <c r="F302" s="50" t="s">
        <v>10632</v>
      </c>
      <c r="G302" s="50">
        <v>55.0</v>
      </c>
      <c r="H302" s="50">
        <v>1.0</v>
      </c>
      <c r="I302" s="50">
        <v>99.0</v>
      </c>
      <c r="J302" s="116"/>
      <c r="K302" s="116"/>
      <c r="L302" s="50" t="s">
        <v>1455</v>
      </c>
      <c r="M302" s="50" t="s">
        <v>1455</v>
      </c>
      <c r="N302" s="50" t="s">
        <v>10622</v>
      </c>
      <c r="O302" s="50" t="s">
        <v>10623</v>
      </c>
      <c r="P302" s="50" t="s">
        <v>10624</v>
      </c>
      <c r="Q302" s="50" t="s">
        <v>10625</v>
      </c>
      <c r="R302" s="116"/>
      <c r="S302" s="116"/>
      <c r="T302" s="116"/>
      <c r="U302" s="116"/>
      <c r="V302" s="116"/>
      <c r="W302" s="50">
        <v>7.0</v>
      </c>
      <c r="X302" s="50">
        <v>100.0</v>
      </c>
      <c r="Y302" s="50">
        <v>3.0</v>
      </c>
      <c r="Z302" s="50">
        <v>0.0</v>
      </c>
      <c r="AA302" s="116"/>
      <c r="AB302" s="116"/>
      <c r="AC302" s="116"/>
      <c r="AD302" s="116"/>
      <c r="AE302" s="116"/>
      <c r="AF302" s="116"/>
      <c r="AG302" s="116"/>
      <c r="AH302" s="116"/>
      <c r="AI302" s="116"/>
      <c r="AJ302" s="116"/>
      <c r="AK302" s="50" t="s">
        <v>10638</v>
      </c>
      <c r="AL302" s="50">
        <v>6.0</v>
      </c>
      <c r="AM302" s="50">
        <v>1.0</v>
      </c>
      <c r="AN302" s="50" t="s">
        <v>10629</v>
      </c>
      <c r="AO302" s="117">
        <v>4644.0</v>
      </c>
      <c r="AP302" s="50" t="s">
        <v>10639</v>
      </c>
      <c r="AQ302" s="50" t="s">
        <v>10640</v>
      </c>
      <c r="AR302" s="117">
        <v>301.0</v>
      </c>
    </row>
    <row r="303">
      <c r="A303" s="50" t="s">
        <v>10632</v>
      </c>
      <c r="B303" s="50" t="s">
        <v>6876</v>
      </c>
      <c r="C303" s="50" t="s">
        <v>6877</v>
      </c>
      <c r="D303" s="50" t="s">
        <v>8493</v>
      </c>
      <c r="E303" s="144">
        <v>43762.0</v>
      </c>
      <c r="F303" s="50" t="s">
        <v>10643</v>
      </c>
      <c r="G303" s="50">
        <v>33.0</v>
      </c>
      <c r="H303" s="50">
        <v>1.0</v>
      </c>
      <c r="I303" s="50">
        <v>98.0</v>
      </c>
      <c r="J303" s="116"/>
      <c r="K303" s="116"/>
      <c r="L303" s="50" t="s">
        <v>1459</v>
      </c>
      <c r="M303" s="50" t="s">
        <v>1459</v>
      </c>
      <c r="N303" s="50" t="s">
        <v>10623</v>
      </c>
      <c r="O303" s="50" t="s">
        <v>10623</v>
      </c>
      <c r="P303" s="50" t="s">
        <v>10624</v>
      </c>
      <c r="Q303" s="50" t="s">
        <v>10625</v>
      </c>
      <c r="R303" s="116"/>
      <c r="S303" s="116"/>
      <c r="T303" s="116"/>
      <c r="U303" s="116"/>
      <c r="V303" s="116"/>
      <c r="W303" s="50">
        <v>7.0</v>
      </c>
      <c r="X303" s="50">
        <v>100.0</v>
      </c>
      <c r="Y303" s="50">
        <v>3.0</v>
      </c>
      <c r="Z303" s="50">
        <v>0.0</v>
      </c>
      <c r="AA303" s="116"/>
      <c r="AB303" s="116"/>
      <c r="AC303" s="116"/>
      <c r="AD303" s="116"/>
      <c r="AE303" s="116"/>
      <c r="AF303" s="116"/>
      <c r="AG303" s="116"/>
      <c r="AH303" s="116"/>
      <c r="AI303" s="116"/>
      <c r="AJ303" s="116"/>
      <c r="AK303" s="50" t="s">
        <v>8213</v>
      </c>
      <c r="AL303" s="50">
        <v>4.0</v>
      </c>
      <c r="AM303" s="50">
        <v>1.0</v>
      </c>
      <c r="AN303" s="50" t="s">
        <v>10629</v>
      </c>
      <c r="AO303" s="117">
        <v>4645.0</v>
      </c>
      <c r="AP303" s="50" t="s">
        <v>10648</v>
      </c>
      <c r="AQ303" s="50" t="s">
        <v>10650</v>
      </c>
      <c r="AR303" s="117">
        <v>302.0</v>
      </c>
    </row>
    <row r="304">
      <c r="A304" s="50" t="s">
        <v>10651</v>
      </c>
      <c r="B304" s="50" t="s">
        <v>6876</v>
      </c>
      <c r="C304" s="50" t="s">
        <v>6877</v>
      </c>
      <c r="D304" s="50" t="s">
        <v>8493</v>
      </c>
      <c r="E304" s="144">
        <v>43763.0</v>
      </c>
      <c r="F304" s="50" t="s">
        <v>10655</v>
      </c>
      <c r="G304" s="50">
        <v>58.0</v>
      </c>
      <c r="H304" s="50">
        <v>1.0</v>
      </c>
      <c r="I304" s="50">
        <v>14.0</v>
      </c>
      <c r="J304" s="50">
        <v>141.0</v>
      </c>
      <c r="K304" s="116"/>
      <c r="L304" s="50" t="s">
        <v>223</v>
      </c>
      <c r="M304" s="50" t="s">
        <v>223</v>
      </c>
      <c r="N304" s="50" t="s">
        <v>10657</v>
      </c>
      <c r="O304" s="50" t="s">
        <v>10658</v>
      </c>
      <c r="P304" s="50" t="s">
        <v>10659</v>
      </c>
      <c r="Q304" s="50" t="s">
        <v>10660</v>
      </c>
      <c r="R304" s="116"/>
      <c r="S304" s="116"/>
      <c r="T304" s="116"/>
      <c r="U304" s="116"/>
      <c r="V304" s="116"/>
      <c r="W304" s="50">
        <v>6.0</v>
      </c>
      <c r="X304" s="50">
        <v>1.0</v>
      </c>
      <c r="Y304" s="50">
        <v>3.0</v>
      </c>
      <c r="Z304" s="50">
        <v>0.0</v>
      </c>
      <c r="AA304" s="50">
        <v>5.0</v>
      </c>
      <c r="AB304" s="50">
        <v>1.0</v>
      </c>
      <c r="AC304" s="50">
        <v>3.0</v>
      </c>
      <c r="AD304" s="50">
        <v>0.0</v>
      </c>
      <c r="AE304" s="50">
        <v>1.0</v>
      </c>
      <c r="AF304" s="50">
        <v>4.0</v>
      </c>
      <c r="AG304" s="50">
        <v>1.0</v>
      </c>
      <c r="AH304" s="50">
        <v>3.0</v>
      </c>
      <c r="AI304" s="50">
        <v>0.0</v>
      </c>
      <c r="AJ304" s="116"/>
      <c r="AK304" s="50" t="s">
        <v>10663</v>
      </c>
      <c r="AL304" s="50">
        <v>4.0</v>
      </c>
      <c r="AM304" s="50">
        <v>1.0</v>
      </c>
      <c r="AN304" s="50" t="s">
        <v>10629</v>
      </c>
      <c r="AO304" s="117">
        <v>4682.0</v>
      </c>
      <c r="AP304" s="50" t="s">
        <v>10665</v>
      </c>
      <c r="AQ304" s="50" t="s">
        <v>10666</v>
      </c>
      <c r="AR304" s="117">
        <v>303.0</v>
      </c>
    </row>
    <row r="305">
      <c r="A305" s="50" t="s">
        <v>10655</v>
      </c>
      <c r="B305" s="50" t="s">
        <v>6876</v>
      </c>
      <c r="C305" s="50" t="s">
        <v>6877</v>
      </c>
      <c r="D305" s="50" t="s">
        <v>8493</v>
      </c>
      <c r="E305" s="144">
        <v>43763.0</v>
      </c>
      <c r="F305" s="50" t="s">
        <v>10671</v>
      </c>
      <c r="G305" s="50">
        <v>58.0</v>
      </c>
      <c r="H305" s="50">
        <v>1.0</v>
      </c>
      <c r="I305" s="50">
        <v>14.0</v>
      </c>
      <c r="J305" s="50">
        <v>142.0</v>
      </c>
      <c r="K305" s="116"/>
      <c r="L305" s="50" t="s">
        <v>225</v>
      </c>
      <c r="M305" s="50" t="s">
        <v>225</v>
      </c>
      <c r="N305" s="50" t="s">
        <v>10657</v>
      </c>
      <c r="O305" s="50" t="s">
        <v>10658</v>
      </c>
      <c r="P305" s="50" t="s">
        <v>10659</v>
      </c>
      <c r="Q305" s="50" t="s">
        <v>10660</v>
      </c>
      <c r="R305" s="116"/>
      <c r="S305" s="116"/>
      <c r="T305" s="116"/>
      <c r="U305" s="116"/>
      <c r="V305" s="116"/>
      <c r="W305" s="50">
        <v>7.0</v>
      </c>
      <c r="X305" s="50">
        <v>100.0</v>
      </c>
      <c r="Y305" s="50">
        <v>2.0</v>
      </c>
      <c r="Z305" s="116"/>
      <c r="AA305" s="50">
        <v>7.0</v>
      </c>
      <c r="AB305" s="50">
        <v>10.0</v>
      </c>
      <c r="AC305" s="50">
        <v>3.0</v>
      </c>
      <c r="AD305" s="50">
        <v>1.0</v>
      </c>
      <c r="AE305" s="50">
        <v>1.0</v>
      </c>
      <c r="AF305" s="50">
        <v>6.0</v>
      </c>
      <c r="AG305" s="50">
        <v>1.0</v>
      </c>
      <c r="AH305" s="50">
        <v>3.0</v>
      </c>
      <c r="AI305" s="50">
        <v>0.0</v>
      </c>
      <c r="AJ305" s="116"/>
      <c r="AK305" s="50" t="s">
        <v>10676</v>
      </c>
      <c r="AL305" s="50">
        <v>6.0</v>
      </c>
      <c r="AM305" s="50">
        <v>1.0</v>
      </c>
      <c r="AN305" s="50" t="s">
        <v>10629</v>
      </c>
      <c r="AO305" s="117">
        <v>4683.0</v>
      </c>
      <c r="AP305" s="50" t="s">
        <v>10678</v>
      </c>
      <c r="AQ305" s="50" t="s">
        <v>10679</v>
      </c>
      <c r="AR305" s="117">
        <v>304.0</v>
      </c>
    </row>
    <row r="306">
      <c r="A306" s="50" t="s">
        <v>10671</v>
      </c>
      <c r="B306" s="50" t="s">
        <v>6876</v>
      </c>
      <c r="C306" s="50" t="s">
        <v>6877</v>
      </c>
      <c r="D306" s="50" t="s">
        <v>8493</v>
      </c>
      <c r="E306" s="144">
        <v>43763.0</v>
      </c>
      <c r="F306" s="50" t="s">
        <v>10684</v>
      </c>
      <c r="G306" s="50">
        <v>58.0</v>
      </c>
      <c r="H306" s="50">
        <v>1.0</v>
      </c>
      <c r="I306" s="50">
        <v>14.0</v>
      </c>
      <c r="J306" s="50">
        <v>143.0</v>
      </c>
      <c r="K306" s="116"/>
      <c r="L306" s="50" t="s">
        <v>227</v>
      </c>
      <c r="M306" s="50" t="s">
        <v>227</v>
      </c>
      <c r="N306" s="50" t="s">
        <v>10657</v>
      </c>
      <c r="O306" s="50" t="s">
        <v>10658</v>
      </c>
      <c r="P306" s="50" t="s">
        <v>10659</v>
      </c>
      <c r="Q306" s="50" t="s">
        <v>10660</v>
      </c>
      <c r="R306" s="116"/>
      <c r="S306" s="116"/>
      <c r="T306" s="116"/>
      <c r="U306" s="116"/>
      <c r="V306" s="116"/>
      <c r="W306" s="50">
        <v>6.0</v>
      </c>
      <c r="X306" s="50">
        <v>1.0</v>
      </c>
      <c r="Y306" s="50">
        <v>2.0</v>
      </c>
      <c r="Z306" s="116"/>
      <c r="AA306" s="50">
        <v>5.0</v>
      </c>
      <c r="AB306" s="50">
        <v>1.0</v>
      </c>
      <c r="AC306" s="50">
        <v>3.0</v>
      </c>
      <c r="AD306" s="50">
        <v>22.0</v>
      </c>
      <c r="AE306" s="50">
        <v>1.0</v>
      </c>
      <c r="AF306" s="50">
        <v>4.0</v>
      </c>
      <c r="AG306" s="50">
        <v>1.0</v>
      </c>
      <c r="AH306" s="50">
        <v>3.0</v>
      </c>
      <c r="AI306" s="50">
        <v>1.0</v>
      </c>
      <c r="AJ306" s="116"/>
      <c r="AK306" s="50" t="s">
        <v>10688</v>
      </c>
      <c r="AL306" s="50">
        <v>4.0</v>
      </c>
      <c r="AM306" s="50">
        <v>1.0</v>
      </c>
      <c r="AN306" s="50" t="s">
        <v>10629</v>
      </c>
      <c r="AO306" s="117">
        <v>4684.0</v>
      </c>
      <c r="AP306" s="50" t="s">
        <v>10689</v>
      </c>
      <c r="AQ306" s="50" t="s">
        <v>10690</v>
      </c>
      <c r="AR306" s="117">
        <v>305.0</v>
      </c>
    </row>
    <row r="307">
      <c r="A307" s="50" t="s">
        <v>10691</v>
      </c>
      <c r="B307" s="50" t="s">
        <v>6876</v>
      </c>
      <c r="C307" s="50" t="s">
        <v>6877</v>
      </c>
      <c r="D307" s="50" t="s">
        <v>8493</v>
      </c>
      <c r="E307" s="144">
        <v>43763.0</v>
      </c>
      <c r="F307" s="50" t="s">
        <v>10692</v>
      </c>
      <c r="G307" s="50">
        <v>58.0</v>
      </c>
      <c r="H307" s="50">
        <v>1.0</v>
      </c>
      <c r="I307" s="50">
        <v>14.0</v>
      </c>
      <c r="J307" s="50">
        <v>144.0</v>
      </c>
      <c r="K307" s="116"/>
      <c r="L307" s="50" t="s">
        <v>229</v>
      </c>
      <c r="M307" s="50" t="s">
        <v>229</v>
      </c>
      <c r="N307" s="50" t="s">
        <v>10657</v>
      </c>
      <c r="O307" s="50" t="s">
        <v>10658</v>
      </c>
      <c r="P307" s="50" t="s">
        <v>10659</v>
      </c>
      <c r="Q307" s="50" t="s">
        <v>10660</v>
      </c>
      <c r="R307" s="116"/>
      <c r="S307" s="116"/>
      <c r="T307" s="116"/>
      <c r="U307" s="116"/>
      <c r="V307" s="116"/>
      <c r="W307" s="50">
        <v>7.0</v>
      </c>
      <c r="X307" s="50">
        <v>100.0</v>
      </c>
      <c r="Y307" s="50">
        <v>3.0</v>
      </c>
      <c r="Z307" s="50">
        <v>4.0</v>
      </c>
      <c r="AA307" s="50">
        <v>7.0</v>
      </c>
      <c r="AB307" s="50">
        <v>10.0</v>
      </c>
      <c r="AC307" s="50">
        <v>3.0</v>
      </c>
      <c r="AD307" s="50">
        <v>0.0</v>
      </c>
      <c r="AE307" s="50">
        <v>1.0</v>
      </c>
      <c r="AF307" s="50">
        <v>6.0</v>
      </c>
      <c r="AG307" s="50">
        <v>1.0</v>
      </c>
      <c r="AH307" s="50">
        <v>3.0</v>
      </c>
      <c r="AI307" s="50">
        <v>0.0</v>
      </c>
      <c r="AJ307" s="116"/>
      <c r="AK307" s="50" t="s">
        <v>10699</v>
      </c>
      <c r="AL307" s="50">
        <v>6.0</v>
      </c>
      <c r="AM307" s="50">
        <v>1.0</v>
      </c>
      <c r="AN307" s="50" t="s">
        <v>10629</v>
      </c>
      <c r="AO307" s="117">
        <v>4685.0</v>
      </c>
      <c r="AP307" s="50" t="s">
        <v>10700</v>
      </c>
      <c r="AQ307" s="50" t="s">
        <v>10701</v>
      </c>
      <c r="AR307" s="117">
        <v>306.0</v>
      </c>
    </row>
    <row r="308">
      <c r="A308" s="50" t="s">
        <v>10692</v>
      </c>
      <c r="B308" s="50" t="s">
        <v>6876</v>
      </c>
      <c r="C308" s="50" t="s">
        <v>6877</v>
      </c>
      <c r="D308" s="50" t="s">
        <v>8493</v>
      </c>
      <c r="E308" s="144">
        <v>43763.0</v>
      </c>
      <c r="F308" s="50" t="s">
        <v>10704</v>
      </c>
      <c r="G308" s="50">
        <v>58.0</v>
      </c>
      <c r="H308" s="50">
        <v>1.0</v>
      </c>
      <c r="I308" s="50">
        <v>14.0</v>
      </c>
      <c r="J308" s="50">
        <v>145.0</v>
      </c>
      <c r="K308" s="116"/>
      <c r="L308" s="50" t="s">
        <v>231</v>
      </c>
      <c r="M308" s="50" t="s">
        <v>231</v>
      </c>
      <c r="N308" s="50" t="s">
        <v>10657</v>
      </c>
      <c r="O308" s="50" t="s">
        <v>10658</v>
      </c>
      <c r="P308" s="50" t="s">
        <v>10659</v>
      </c>
      <c r="Q308" s="50" t="s">
        <v>10660</v>
      </c>
      <c r="R308" s="116"/>
      <c r="S308" s="116"/>
      <c r="T308" s="116"/>
      <c r="U308" s="116"/>
      <c r="V308" s="116"/>
      <c r="W308" s="50">
        <v>7.0</v>
      </c>
      <c r="X308" s="50">
        <v>100.0</v>
      </c>
      <c r="Y308" s="50">
        <v>3.0</v>
      </c>
      <c r="Z308" s="50">
        <v>0.0</v>
      </c>
      <c r="AA308" s="50">
        <v>7.0</v>
      </c>
      <c r="AB308" s="50">
        <v>10.0</v>
      </c>
      <c r="AC308" s="50">
        <v>3.0</v>
      </c>
      <c r="AD308" s="50">
        <v>0.0</v>
      </c>
      <c r="AE308" s="50">
        <v>1.0</v>
      </c>
      <c r="AF308" s="50">
        <v>6.0</v>
      </c>
      <c r="AG308" s="50">
        <v>1.0</v>
      </c>
      <c r="AH308" s="50">
        <v>3.0</v>
      </c>
      <c r="AI308" s="50">
        <v>0.0</v>
      </c>
      <c r="AJ308" s="116"/>
      <c r="AK308" s="50" t="s">
        <v>10713</v>
      </c>
      <c r="AL308" s="50">
        <v>6.0</v>
      </c>
      <c r="AM308" s="50">
        <v>1.0</v>
      </c>
      <c r="AN308" s="50" t="s">
        <v>10629</v>
      </c>
      <c r="AO308" s="117">
        <v>4686.0</v>
      </c>
      <c r="AP308" s="50" t="s">
        <v>10714</v>
      </c>
      <c r="AQ308" s="50" t="s">
        <v>10715</v>
      </c>
      <c r="AR308" s="117">
        <v>307.0</v>
      </c>
    </row>
    <row r="309">
      <c r="A309" s="50" t="s">
        <v>10704</v>
      </c>
      <c r="B309" s="50" t="s">
        <v>6876</v>
      </c>
      <c r="C309" s="50" t="s">
        <v>6877</v>
      </c>
      <c r="D309" s="50" t="s">
        <v>8493</v>
      </c>
      <c r="E309" s="144">
        <v>43763.0</v>
      </c>
      <c r="F309" s="50" t="s">
        <v>10716</v>
      </c>
      <c r="G309" s="50">
        <v>58.0</v>
      </c>
      <c r="H309" s="50">
        <v>1.0</v>
      </c>
      <c r="I309" s="50">
        <v>99.0</v>
      </c>
      <c r="J309" s="116"/>
      <c r="K309" s="116"/>
      <c r="L309" s="50" t="s">
        <v>603</v>
      </c>
      <c r="M309" s="50" t="s">
        <v>603</v>
      </c>
      <c r="N309" s="50" t="s">
        <v>10657</v>
      </c>
      <c r="O309" s="50" t="s">
        <v>10658</v>
      </c>
      <c r="P309" s="50" t="s">
        <v>10659</v>
      </c>
      <c r="Q309" s="50" t="s">
        <v>10660</v>
      </c>
      <c r="R309" s="116"/>
      <c r="S309" s="116"/>
      <c r="T309" s="116"/>
      <c r="U309" s="116"/>
      <c r="V309" s="116"/>
      <c r="W309" s="50">
        <v>7.0</v>
      </c>
      <c r="X309" s="50">
        <v>100.0</v>
      </c>
      <c r="Y309" s="50">
        <v>3.0</v>
      </c>
      <c r="Z309" s="50">
        <v>0.0</v>
      </c>
      <c r="AA309" s="116"/>
      <c r="AB309" s="116"/>
      <c r="AC309" s="116"/>
      <c r="AD309" s="116"/>
      <c r="AE309" s="116"/>
      <c r="AF309" s="116"/>
      <c r="AG309" s="116"/>
      <c r="AH309" s="116"/>
      <c r="AI309" s="116"/>
      <c r="AJ309" s="116"/>
      <c r="AK309" s="50" t="s">
        <v>10723</v>
      </c>
      <c r="AL309" s="50">
        <v>4.0</v>
      </c>
      <c r="AM309" s="50">
        <v>1.0</v>
      </c>
      <c r="AN309" s="50" t="s">
        <v>10629</v>
      </c>
      <c r="AO309" s="117">
        <v>4687.0</v>
      </c>
      <c r="AP309" s="50" t="s">
        <v>10725</v>
      </c>
      <c r="AQ309" s="50" t="s">
        <v>10726</v>
      </c>
      <c r="AR309" s="117">
        <v>308.0</v>
      </c>
    </row>
    <row r="310">
      <c r="A310" s="50" t="s">
        <v>10716</v>
      </c>
      <c r="B310" s="50" t="s">
        <v>6876</v>
      </c>
      <c r="C310" s="50" t="s">
        <v>6877</v>
      </c>
      <c r="D310" s="50" t="s">
        <v>8493</v>
      </c>
      <c r="E310" s="144">
        <v>43763.0</v>
      </c>
      <c r="F310" s="50" t="s">
        <v>10729</v>
      </c>
      <c r="G310" s="50">
        <v>33.0</v>
      </c>
      <c r="H310" s="50">
        <v>1.0</v>
      </c>
      <c r="I310" s="50">
        <v>98.0</v>
      </c>
      <c r="J310" s="116"/>
      <c r="K310" s="116"/>
      <c r="L310" s="50" t="s">
        <v>1465</v>
      </c>
      <c r="M310" s="50" t="s">
        <v>1465</v>
      </c>
      <c r="N310" s="50" t="s">
        <v>10657</v>
      </c>
      <c r="O310" s="50" t="s">
        <v>10658</v>
      </c>
      <c r="P310" s="50" t="s">
        <v>10659</v>
      </c>
      <c r="Q310" s="50" t="s">
        <v>10660</v>
      </c>
      <c r="R310" s="116"/>
      <c r="S310" s="116"/>
      <c r="T310" s="116"/>
      <c r="U310" s="116"/>
      <c r="V310" s="116"/>
      <c r="W310" s="50">
        <v>7.0</v>
      </c>
      <c r="X310" s="50">
        <v>100.0</v>
      </c>
      <c r="Y310" s="50">
        <v>3.0</v>
      </c>
      <c r="Z310" s="50">
        <v>0.0</v>
      </c>
      <c r="AA310" s="116"/>
      <c r="AB310" s="116"/>
      <c r="AC310" s="116"/>
      <c r="AD310" s="116"/>
      <c r="AE310" s="116"/>
      <c r="AF310" s="116"/>
      <c r="AG310" s="116"/>
      <c r="AH310" s="116"/>
      <c r="AI310" s="116"/>
      <c r="AJ310" s="116"/>
      <c r="AK310" s="50" t="s">
        <v>8213</v>
      </c>
      <c r="AL310" s="50">
        <v>4.0</v>
      </c>
      <c r="AM310" s="50">
        <v>1.0</v>
      </c>
      <c r="AN310" s="50" t="s">
        <v>10629</v>
      </c>
      <c r="AO310" s="117">
        <v>4688.0</v>
      </c>
      <c r="AP310" s="50" t="s">
        <v>10735</v>
      </c>
      <c r="AQ310" s="50" t="s">
        <v>10736</v>
      </c>
      <c r="AR310" s="117">
        <v>309.0</v>
      </c>
    </row>
    <row r="311">
      <c r="A311" s="50" t="s">
        <v>10737</v>
      </c>
      <c r="B311" s="50" t="s">
        <v>6876</v>
      </c>
      <c r="C311" s="50" t="s">
        <v>6877</v>
      </c>
      <c r="D311" s="50" t="s">
        <v>8493</v>
      </c>
      <c r="E311" s="144">
        <v>43768.0</v>
      </c>
      <c r="F311" s="50" t="s">
        <v>10740</v>
      </c>
      <c r="G311" s="50">
        <v>66.0</v>
      </c>
      <c r="H311" s="50">
        <v>1.0</v>
      </c>
      <c r="I311" s="50">
        <v>99.0</v>
      </c>
      <c r="J311" s="116"/>
      <c r="K311" s="116"/>
      <c r="L311" s="50" t="s">
        <v>994</v>
      </c>
      <c r="M311" s="50" t="s">
        <v>994</v>
      </c>
      <c r="N311" s="50" t="s">
        <v>10741</v>
      </c>
      <c r="O311" s="50" t="s">
        <v>10742</v>
      </c>
      <c r="P311" s="50" t="s">
        <v>10743</v>
      </c>
      <c r="Q311" s="50" t="s">
        <v>10744</v>
      </c>
      <c r="R311" s="116"/>
      <c r="S311" s="116"/>
      <c r="T311" s="116"/>
      <c r="U311" s="116"/>
      <c r="V311" s="116"/>
      <c r="W311" s="50">
        <v>7.0</v>
      </c>
      <c r="X311" s="50">
        <v>100.0</v>
      </c>
      <c r="Y311" s="50">
        <v>3.0</v>
      </c>
      <c r="Z311" s="50">
        <v>0.0</v>
      </c>
      <c r="AA311" s="116"/>
      <c r="AB311" s="116"/>
      <c r="AC311" s="116"/>
      <c r="AD311" s="116"/>
      <c r="AE311" s="116"/>
      <c r="AF311" s="116"/>
      <c r="AG311" s="116"/>
      <c r="AH311" s="116"/>
      <c r="AI311" s="116"/>
      <c r="AJ311" s="116"/>
      <c r="AK311" s="50" t="s">
        <v>10750</v>
      </c>
      <c r="AL311" s="50">
        <v>4.0</v>
      </c>
      <c r="AM311" s="50">
        <v>1.0</v>
      </c>
      <c r="AN311" s="50" t="s">
        <v>10629</v>
      </c>
      <c r="AO311" s="117">
        <v>4709.0</v>
      </c>
      <c r="AP311" s="50" t="s">
        <v>10751</v>
      </c>
      <c r="AQ311" s="50" t="s">
        <v>10752</v>
      </c>
      <c r="AR311" s="117">
        <v>310.0</v>
      </c>
    </row>
    <row r="312">
      <c r="A312" s="50" t="s">
        <v>10740</v>
      </c>
      <c r="B312" s="50" t="s">
        <v>6876</v>
      </c>
      <c r="C312" s="50" t="s">
        <v>6877</v>
      </c>
      <c r="D312" s="50" t="s">
        <v>8493</v>
      </c>
      <c r="E312" s="144">
        <v>43768.0</v>
      </c>
      <c r="F312" s="50" t="s">
        <v>10756</v>
      </c>
      <c r="G312" s="50">
        <v>59.0</v>
      </c>
      <c r="H312" s="50">
        <v>1.0</v>
      </c>
      <c r="I312" s="50">
        <v>99.0</v>
      </c>
      <c r="J312" s="116"/>
      <c r="K312" s="116"/>
      <c r="L312" s="50" t="s">
        <v>233</v>
      </c>
      <c r="M312" s="50" t="s">
        <v>233</v>
      </c>
      <c r="N312" s="50" t="s">
        <v>10741</v>
      </c>
      <c r="O312" s="50" t="s">
        <v>10742</v>
      </c>
      <c r="P312" s="50" t="s">
        <v>10743</v>
      </c>
      <c r="Q312" s="50" t="s">
        <v>10744</v>
      </c>
      <c r="R312" s="116"/>
      <c r="S312" s="116"/>
      <c r="T312" s="116"/>
      <c r="U312" s="116"/>
      <c r="V312" s="116"/>
      <c r="W312" s="50">
        <v>7.0</v>
      </c>
      <c r="X312" s="50">
        <v>100.0</v>
      </c>
      <c r="Y312" s="50">
        <v>3.0</v>
      </c>
      <c r="Z312" s="50">
        <v>0.0</v>
      </c>
      <c r="AA312" s="116"/>
      <c r="AB312" s="116"/>
      <c r="AC312" s="116"/>
      <c r="AD312" s="116"/>
      <c r="AE312" s="116"/>
      <c r="AF312" s="116"/>
      <c r="AG312" s="116"/>
      <c r="AH312" s="116"/>
      <c r="AI312" s="116"/>
      <c r="AJ312" s="116"/>
      <c r="AK312" s="50" t="s">
        <v>10768</v>
      </c>
      <c r="AL312" s="50">
        <v>4.0</v>
      </c>
      <c r="AM312" s="50">
        <v>1.0</v>
      </c>
      <c r="AN312" s="50" t="s">
        <v>10629</v>
      </c>
      <c r="AO312" s="117">
        <v>4710.0</v>
      </c>
      <c r="AP312" s="50" t="s">
        <v>10769</v>
      </c>
      <c r="AQ312" s="50" t="s">
        <v>10770</v>
      </c>
      <c r="AR312" s="117">
        <v>311.0</v>
      </c>
    </row>
    <row r="313">
      <c r="A313" s="50" t="s">
        <v>10756</v>
      </c>
      <c r="B313" s="50" t="s">
        <v>6876</v>
      </c>
      <c r="C313" s="50" t="s">
        <v>6877</v>
      </c>
      <c r="D313" s="50" t="s">
        <v>8493</v>
      </c>
      <c r="E313" s="144">
        <v>43768.0</v>
      </c>
      <c r="F313" s="50" t="s">
        <v>10771</v>
      </c>
      <c r="G313" s="50">
        <v>59.0</v>
      </c>
      <c r="H313" s="50">
        <v>1.0</v>
      </c>
      <c r="I313" s="50">
        <v>11.0</v>
      </c>
      <c r="J313" s="116"/>
      <c r="K313" s="116"/>
      <c r="L313" s="50" t="s">
        <v>1473</v>
      </c>
      <c r="M313" s="50" t="s">
        <v>1473</v>
      </c>
      <c r="N313" s="50" t="s">
        <v>10741</v>
      </c>
      <c r="O313" s="50" t="s">
        <v>10742</v>
      </c>
      <c r="P313" s="50" t="s">
        <v>10743</v>
      </c>
      <c r="Q313" s="50" t="s">
        <v>10744</v>
      </c>
      <c r="R313" s="116"/>
      <c r="S313" s="116"/>
      <c r="T313" s="116"/>
      <c r="U313" s="116"/>
      <c r="V313" s="116"/>
      <c r="W313" s="50">
        <v>3.0</v>
      </c>
      <c r="X313" s="50">
        <v>1.0</v>
      </c>
      <c r="Y313" s="50">
        <v>3.0</v>
      </c>
      <c r="Z313" s="50">
        <v>12.0</v>
      </c>
      <c r="AA313" s="50">
        <v>2.0</v>
      </c>
      <c r="AB313" s="50">
        <v>1.0</v>
      </c>
      <c r="AC313" s="50">
        <v>3.0</v>
      </c>
      <c r="AD313" s="50">
        <v>1.0</v>
      </c>
      <c r="AE313" s="50">
        <v>1.0</v>
      </c>
      <c r="AF313" s="50">
        <v>1.0</v>
      </c>
      <c r="AG313" s="50">
        <v>1.0</v>
      </c>
      <c r="AH313" s="50">
        <v>3.0</v>
      </c>
      <c r="AI313" s="50">
        <v>0.0</v>
      </c>
      <c r="AJ313" s="116"/>
      <c r="AK313" s="50" t="s">
        <v>10778</v>
      </c>
      <c r="AL313" s="50">
        <v>4.0</v>
      </c>
      <c r="AM313" s="50">
        <v>1.0</v>
      </c>
      <c r="AN313" s="50" t="s">
        <v>10629</v>
      </c>
      <c r="AO313" s="117">
        <v>4711.0</v>
      </c>
      <c r="AP313" s="50" t="s">
        <v>10780</v>
      </c>
      <c r="AQ313" s="50" t="s">
        <v>10781</v>
      </c>
      <c r="AR313" s="117">
        <v>312.0</v>
      </c>
    </row>
    <row r="314">
      <c r="A314" s="50" t="s">
        <v>10771</v>
      </c>
      <c r="B314" s="50" t="s">
        <v>6876</v>
      </c>
      <c r="C314" s="50" t="s">
        <v>6877</v>
      </c>
      <c r="D314" s="50" t="s">
        <v>8493</v>
      </c>
      <c r="E314" s="144">
        <v>43768.0</v>
      </c>
      <c r="F314" s="50" t="s">
        <v>10785</v>
      </c>
      <c r="G314" s="50">
        <v>59.0</v>
      </c>
      <c r="H314" s="50">
        <v>1.0</v>
      </c>
      <c r="I314" s="50">
        <v>99.0</v>
      </c>
      <c r="J314" s="116"/>
      <c r="K314" s="116"/>
      <c r="L314" s="50" t="s">
        <v>237</v>
      </c>
      <c r="M314" s="50" t="s">
        <v>237</v>
      </c>
      <c r="N314" s="50" t="s">
        <v>10741</v>
      </c>
      <c r="O314" s="50" t="s">
        <v>10742</v>
      </c>
      <c r="P314" s="50" t="s">
        <v>10743</v>
      </c>
      <c r="Q314" s="50" t="s">
        <v>10744</v>
      </c>
      <c r="R314" s="116"/>
      <c r="S314" s="116"/>
      <c r="T314" s="116"/>
      <c r="U314" s="116"/>
      <c r="V314" s="116"/>
      <c r="W314" s="50">
        <v>7.0</v>
      </c>
      <c r="X314" s="50">
        <v>100.0</v>
      </c>
      <c r="Y314" s="50">
        <v>3.0</v>
      </c>
      <c r="Z314" s="50">
        <v>0.0</v>
      </c>
      <c r="AA314" s="116"/>
      <c r="AB314" s="116"/>
      <c r="AC314" s="116"/>
      <c r="AD314" s="116"/>
      <c r="AE314" s="116"/>
      <c r="AF314" s="116"/>
      <c r="AG314" s="116"/>
      <c r="AH314" s="116"/>
      <c r="AI314" s="116"/>
      <c r="AJ314" s="116"/>
      <c r="AK314" s="50" t="s">
        <v>10793</v>
      </c>
      <c r="AL314" s="50">
        <v>4.0</v>
      </c>
      <c r="AM314" s="50">
        <v>1.0</v>
      </c>
      <c r="AN314" s="50" t="s">
        <v>10629</v>
      </c>
      <c r="AO314" s="117">
        <v>4712.0</v>
      </c>
      <c r="AP314" s="50" t="s">
        <v>10794</v>
      </c>
      <c r="AQ314" s="50" t="s">
        <v>10795</v>
      </c>
      <c r="AR314" s="117">
        <v>313.0</v>
      </c>
    </row>
    <row r="315">
      <c r="A315" s="50" t="s">
        <v>10785</v>
      </c>
      <c r="B315" s="50" t="s">
        <v>6876</v>
      </c>
      <c r="C315" s="50" t="s">
        <v>6877</v>
      </c>
      <c r="D315" s="50" t="s">
        <v>8493</v>
      </c>
      <c r="E315" s="144">
        <v>43768.0</v>
      </c>
      <c r="F315" s="50" t="s">
        <v>10796</v>
      </c>
      <c r="G315" s="50">
        <v>59.0</v>
      </c>
      <c r="H315" s="50">
        <v>1.0</v>
      </c>
      <c r="I315" s="50">
        <v>11.0</v>
      </c>
      <c r="J315" s="116"/>
      <c r="K315" s="116"/>
      <c r="L315" s="50" t="s">
        <v>1476</v>
      </c>
      <c r="M315" s="50" t="s">
        <v>1476</v>
      </c>
      <c r="N315" s="50" t="s">
        <v>10741</v>
      </c>
      <c r="O315" s="50" t="s">
        <v>10742</v>
      </c>
      <c r="P315" s="50" t="s">
        <v>10743</v>
      </c>
      <c r="Q315" s="50" t="s">
        <v>10744</v>
      </c>
      <c r="R315" s="116"/>
      <c r="S315" s="116"/>
      <c r="T315" s="116"/>
      <c r="U315" s="116"/>
      <c r="V315" s="116"/>
      <c r="W315" s="50">
        <v>3.0</v>
      </c>
      <c r="X315" s="50">
        <v>1.0</v>
      </c>
      <c r="Y315" s="50">
        <v>3.0</v>
      </c>
      <c r="Z315" s="50">
        <v>5.0</v>
      </c>
      <c r="AA315" s="50">
        <v>2.0</v>
      </c>
      <c r="AB315" s="50">
        <v>1.0</v>
      </c>
      <c r="AC315" s="50">
        <v>3.0</v>
      </c>
      <c r="AD315" s="50">
        <v>0.0</v>
      </c>
      <c r="AE315" s="50">
        <v>1.0</v>
      </c>
      <c r="AF315" s="50">
        <v>1.0</v>
      </c>
      <c r="AG315" s="50">
        <v>1.0</v>
      </c>
      <c r="AH315" s="50">
        <v>3.0</v>
      </c>
      <c r="AI315" s="50">
        <v>0.0</v>
      </c>
      <c r="AJ315" s="116"/>
      <c r="AK315" s="50" t="s">
        <v>10804</v>
      </c>
      <c r="AL315" s="50">
        <v>4.0</v>
      </c>
      <c r="AM315" s="50">
        <v>1.0</v>
      </c>
      <c r="AN315" s="50" t="s">
        <v>10629</v>
      </c>
      <c r="AO315" s="117">
        <v>4713.0</v>
      </c>
      <c r="AP315" s="50" t="s">
        <v>10807</v>
      </c>
      <c r="AQ315" s="50" t="s">
        <v>10808</v>
      </c>
      <c r="AR315" s="117">
        <v>314.0</v>
      </c>
    </row>
    <row r="316">
      <c r="A316" s="50" t="s">
        <v>10796</v>
      </c>
      <c r="B316" s="50" t="s">
        <v>6876</v>
      </c>
      <c r="C316" s="50" t="s">
        <v>6877</v>
      </c>
      <c r="D316" s="50" t="s">
        <v>8493</v>
      </c>
      <c r="E316" s="144">
        <v>43768.0</v>
      </c>
      <c r="F316" s="50" t="s">
        <v>10811</v>
      </c>
      <c r="G316" s="50">
        <v>59.0</v>
      </c>
      <c r="H316" s="50">
        <v>1.0</v>
      </c>
      <c r="I316" s="50">
        <v>99.0</v>
      </c>
      <c r="J316" s="116"/>
      <c r="K316" s="116"/>
      <c r="L316" s="50" t="s">
        <v>240</v>
      </c>
      <c r="M316" s="50" t="s">
        <v>240</v>
      </c>
      <c r="N316" s="50" t="s">
        <v>10741</v>
      </c>
      <c r="O316" s="50" t="s">
        <v>10742</v>
      </c>
      <c r="P316" s="50" t="s">
        <v>10743</v>
      </c>
      <c r="Q316" s="50" t="s">
        <v>10744</v>
      </c>
      <c r="R316" s="116"/>
      <c r="S316" s="116"/>
      <c r="T316" s="116"/>
      <c r="U316" s="116"/>
      <c r="V316" s="116"/>
      <c r="W316" s="50">
        <v>7.0</v>
      </c>
      <c r="X316" s="50">
        <v>100.0</v>
      </c>
      <c r="Y316" s="50">
        <v>3.0</v>
      </c>
      <c r="Z316" s="50">
        <v>0.0</v>
      </c>
      <c r="AA316" s="116"/>
      <c r="AB316" s="116"/>
      <c r="AC316" s="116"/>
      <c r="AD316" s="116"/>
      <c r="AE316" s="116"/>
      <c r="AF316" s="116"/>
      <c r="AG316" s="116"/>
      <c r="AH316" s="116"/>
      <c r="AI316" s="116"/>
      <c r="AJ316" s="116"/>
      <c r="AK316" s="50" t="s">
        <v>10818</v>
      </c>
      <c r="AL316" s="50">
        <v>4.0</v>
      </c>
      <c r="AM316" s="50">
        <v>1.0</v>
      </c>
      <c r="AN316" s="50" t="s">
        <v>10629</v>
      </c>
      <c r="AO316" s="117">
        <v>4714.0</v>
      </c>
      <c r="AP316" s="50" t="s">
        <v>10819</v>
      </c>
      <c r="AQ316" s="50" t="s">
        <v>10820</v>
      </c>
      <c r="AR316" s="117">
        <v>315.0</v>
      </c>
    </row>
    <row r="317">
      <c r="A317" s="50" t="s">
        <v>10811</v>
      </c>
      <c r="B317" s="50" t="s">
        <v>6876</v>
      </c>
      <c r="C317" s="50" t="s">
        <v>6877</v>
      </c>
      <c r="D317" s="50" t="s">
        <v>8493</v>
      </c>
      <c r="E317" s="144">
        <v>43768.0</v>
      </c>
      <c r="F317" s="50" t="s">
        <v>10824</v>
      </c>
      <c r="G317" s="50">
        <v>59.0</v>
      </c>
      <c r="H317" s="50">
        <v>1.0</v>
      </c>
      <c r="I317" s="50">
        <v>11.0</v>
      </c>
      <c r="J317" s="116"/>
      <c r="K317" s="116"/>
      <c r="L317" s="50" t="s">
        <v>1479</v>
      </c>
      <c r="M317" s="50" t="s">
        <v>1479</v>
      </c>
      <c r="N317" s="50" t="s">
        <v>10741</v>
      </c>
      <c r="O317" s="50" t="s">
        <v>10742</v>
      </c>
      <c r="P317" s="50" t="s">
        <v>10743</v>
      </c>
      <c r="Q317" s="50" t="s">
        <v>10744</v>
      </c>
      <c r="R317" s="116"/>
      <c r="S317" s="116"/>
      <c r="T317" s="116"/>
      <c r="U317" s="116"/>
      <c r="V317" s="116"/>
      <c r="W317" s="50">
        <v>3.0</v>
      </c>
      <c r="X317" s="50">
        <v>1.0</v>
      </c>
      <c r="Y317" s="50">
        <v>3.0</v>
      </c>
      <c r="Z317" s="50">
        <v>3.0</v>
      </c>
      <c r="AA317" s="50">
        <v>2.0</v>
      </c>
      <c r="AB317" s="50">
        <v>1.0</v>
      </c>
      <c r="AC317" s="50">
        <v>3.0</v>
      </c>
      <c r="AD317" s="50">
        <v>0.0</v>
      </c>
      <c r="AE317" s="50">
        <v>1.0</v>
      </c>
      <c r="AF317" s="50">
        <v>1.0</v>
      </c>
      <c r="AG317" s="50">
        <v>1.0</v>
      </c>
      <c r="AH317" s="50">
        <v>3.0</v>
      </c>
      <c r="AI317" s="50">
        <v>0.0</v>
      </c>
      <c r="AJ317" s="116"/>
      <c r="AK317" s="50" t="s">
        <v>10829</v>
      </c>
      <c r="AL317" s="50">
        <v>4.0</v>
      </c>
      <c r="AM317" s="50">
        <v>1.0</v>
      </c>
      <c r="AN317" s="50" t="s">
        <v>10629</v>
      </c>
      <c r="AO317" s="117">
        <v>4715.0</v>
      </c>
      <c r="AP317" s="50" t="s">
        <v>10831</v>
      </c>
      <c r="AQ317" s="50" t="s">
        <v>10833</v>
      </c>
      <c r="AR317" s="117">
        <v>316.0</v>
      </c>
    </row>
    <row r="318">
      <c r="A318" s="50" t="s">
        <v>10824</v>
      </c>
      <c r="B318" s="50" t="s">
        <v>6876</v>
      </c>
      <c r="C318" s="50" t="s">
        <v>6877</v>
      </c>
      <c r="D318" s="50" t="s">
        <v>8493</v>
      </c>
      <c r="E318" s="144">
        <v>43768.0</v>
      </c>
      <c r="F318" s="50" t="s">
        <v>10836</v>
      </c>
      <c r="G318" s="50">
        <v>59.0</v>
      </c>
      <c r="H318" s="50">
        <v>1.0</v>
      </c>
      <c r="I318" s="50">
        <v>99.0</v>
      </c>
      <c r="J318" s="116"/>
      <c r="K318" s="116"/>
      <c r="L318" s="50" t="s">
        <v>243</v>
      </c>
      <c r="M318" s="50" t="s">
        <v>243</v>
      </c>
      <c r="N318" s="50" t="s">
        <v>10741</v>
      </c>
      <c r="O318" s="50" t="s">
        <v>10742</v>
      </c>
      <c r="P318" s="50" t="s">
        <v>10743</v>
      </c>
      <c r="Q318" s="50" t="s">
        <v>10744</v>
      </c>
      <c r="R318" s="116"/>
      <c r="S318" s="116"/>
      <c r="T318" s="116"/>
      <c r="U318" s="116"/>
      <c r="V318" s="116"/>
      <c r="W318" s="50">
        <v>7.0</v>
      </c>
      <c r="X318" s="50">
        <v>100.0</v>
      </c>
      <c r="Y318" s="50">
        <v>3.0</v>
      </c>
      <c r="Z318" s="50">
        <v>0.0</v>
      </c>
      <c r="AA318" s="116"/>
      <c r="AB318" s="116"/>
      <c r="AC318" s="116"/>
      <c r="AD318" s="116"/>
      <c r="AE318" s="116"/>
      <c r="AF318" s="116"/>
      <c r="AG318" s="116"/>
      <c r="AH318" s="116"/>
      <c r="AI318" s="116"/>
      <c r="AJ318" s="116"/>
      <c r="AK318" s="50" t="s">
        <v>10843</v>
      </c>
      <c r="AL318" s="50">
        <v>4.0</v>
      </c>
      <c r="AM318" s="50">
        <v>1.0</v>
      </c>
      <c r="AN318" s="50" t="s">
        <v>10629</v>
      </c>
      <c r="AO318" s="117">
        <v>4716.0</v>
      </c>
      <c r="AP318" s="50" t="s">
        <v>10844</v>
      </c>
      <c r="AQ318" s="50" t="s">
        <v>10845</v>
      </c>
      <c r="AR318" s="117">
        <v>317.0</v>
      </c>
    </row>
    <row r="319">
      <c r="A319" s="50" t="s">
        <v>10836</v>
      </c>
      <c r="B319" s="50" t="s">
        <v>6876</v>
      </c>
      <c r="C319" s="50" t="s">
        <v>6877</v>
      </c>
      <c r="D319" s="50" t="s">
        <v>8493</v>
      </c>
      <c r="E319" s="144">
        <v>43768.0</v>
      </c>
      <c r="F319" s="50" t="s">
        <v>10846</v>
      </c>
      <c r="G319" s="50">
        <v>59.0</v>
      </c>
      <c r="H319" s="50">
        <v>1.0</v>
      </c>
      <c r="I319" s="50">
        <v>11.0</v>
      </c>
      <c r="J319" s="116"/>
      <c r="K319" s="116"/>
      <c r="L319" s="50" t="s">
        <v>1481</v>
      </c>
      <c r="M319" s="50" t="s">
        <v>1481</v>
      </c>
      <c r="N319" s="50" t="s">
        <v>10741</v>
      </c>
      <c r="O319" s="50" t="s">
        <v>10742</v>
      </c>
      <c r="P319" s="50" t="s">
        <v>10743</v>
      </c>
      <c r="Q319" s="50" t="s">
        <v>10744</v>
      </c>
      <c r="R319" s="116"/>
      <c r="S319" s="116"/>
      <c r="T319" s="116"/>
      <c r="U319" s="116"/>
      <c r="V319" s="116"/>
      <c r="W319" s="50">
        <v>3.0</v>
      </c>
      <c r="X319" s="50">
        <v>1.0</v>
      </c>
      <c r="Y319" s="50">
        <v>3.0</v>
      </c>
      <c r="Z319" s="50">
        <v>44.0</v>
      </c>
      <c r="AA319" s="50">
        <v>2.0</v>
      </c>
      <c r="AB319" s="50">
        <v>1.0</v>
      </c>
      <c r="AC319" s="50">
        <v>3.0</v>
      </c>
      <c r="AD319" s="50">
        <v>0.0</v>
      </c>
      <c r="AE319" s="50">
        <v>1.0</v>
      </c>
      <c r="AF319" s="50">
        <v>1.0</v>
      </c>
      <c r="AG319" s="50">
        <v>1.0</v>
      </c>
      <c r="AH319" s="50">
        <v>3.0</v>
      </c>
      <c r="AI319" s="50">
        <v>0.0</v>
      </c>
      <c r="AJ319" s="116"/>
      <c r="AK319" s="50" t="s">
        <v>10851</v>
      </c>
      <c r="AL319" s="50">
        <v>4.0</v>
      </c>
      <c r="AM319" s="50">
        <v>1.0</v>
      </c>
      <c r="AN319" s="50" t="s">
        <v>10629</v>
      </c>
      <c r="AO319" s="117">
        <v>4717.0</v>
      </c>
      <c r="AP319" s="50" t="s">
        <v>10853</v>
      </c>
      <c r="AQ319" s="50" t="s">
        <v>10855</v>
      </c>
      <c r="AR319" s="117">
        <v>318.0</v>
      </c>
    </row>
    <row r="320">
      <c r="A320" s="50" t="s">
        <v>10856</v>
      </c>
      <c r="B320" s="50" t="s">
        <v>6876</v>
      </c>
      <c r="C320" s="50" t="s">
        <v>6877</v>
      </c>
      <c r="D320" s="50" t="s">
        <v>8493</v>
      </c>
      <c r="E320" s="144">
        <v>43768.0</v>
      </c>
      <c r="F320" s="50" t="s">
        <v>10857</v>
      </c>
      <c r="G320" s="50">
        <v>59.0</v>
      </c>
      <c r="H320" s="50">
        <v>1.0</v>
      </c>
      <c r="I320" s="50">
        <v>99.0</v>
      </c>
      <c r="J320" s="116"/>
      <c r="K320" s="116"/>
      <c r="L320" s="50" t="s">
        <v>247</v>
      </c>
      <c r="M320" s="50" t="s">
        <v>247</v>
      </c>
      <c r="N320" s="50" t="s">
        <v>10741</v>
      </c>
      <c r="O320" s="50" t="s">
        <v>10742</v>
      </c>
      <c r="P320" s="50" t="s">
        <v>10743</v>
      </c>
      <c r="Q320" s="50" t="s">
        <v>10744</v>
      </c>
      <c r="R320" s="116"/>
      <c r="S320" s="116"/>
      <c r="T320" s="116"/>
      <c r="U320" s="116"/>
      <c r="V320" s="116"/>
      <c r="W320" s="50">
        <v>7.0</v>
      </c>
      <c r="X320" s="50">
        <v>100.0</v>
      </c>
      <c r="Y320" s="50">
        <v>3.0</v>
      </c>
      <c r="Z320" s="50">
        <v>0.0</v>
      </c>
      <c r="AA320" s="116"/>
      <c r="AB320" s="116"/>
      <c r="AC320" s="116"/>
      <c r="AD320" s="116"/>
      <c r="AE320" s="116"/>
      <c r="AF320" s="116"/>
      <c r="AG320" s="116"/>
      <c r="AH320" s="116"/>
      <c r="AI320" s="116"/>
      <c r="AJ320" s="116"/>
      <c r="AK320" s="50" t="s">
        <v>10865</v>
      </c>
      <c r="AL320" s="50">
        <v>4.0</v>
      </c>
      <c r="AM320" s="50">
        <v>1.0</v>
      </c>
      <c r="AN320" s="50" t="s">
        <v>10629</v>
      </c>
      <c r="AO320" s="117">
        <v>4718.0</v>
      </c>
      <c r="AP320" s="50" t="s">
        <v>10867</v>
      </c>
      <c r="AQ320" s="50" t="s">
        <v>10869</v>
      </c>
      <c r="AR320" s="117">
        <v>319.0</v>
      </c>
    </row>
    <row r="321">
      <c r="A321" s="50" t="s">
        <v>10857</v>
      </c>
      <c r="B321" s="50" t="s">
        <v>6876</v>
      </c>
      <c r="C321" s="50" t="s">
        <v>6877</v>
      </c>
      <c r="D321" s="50" t="s">
        <v>8493</v>
      </c>
      <c r="E321" s="144">
        <v>43768.0</v>
      </c>
      <c r="F321" s="50" t="s">
        <v>10873</v>
      </c>
      <c r="G321" s="50">
        <v>59.0</v>
      </c>
      <c r="H321" s="50">
        <v>1.0</v>
      </c>
      <c r="I321" s="50">
        <v>11.0</v>
      </c>
      <c r="J321" s="116"/>
      <c r="K321" s="116"/>
      <c r="L321" s="50" t="s">
        <v>1483</v>
      </c>
      <c r="M321" s="50" t="s">
        <v>1483</v>
      </c>
      <c r="N321" s="50" t="s">
        <v>10741</v>
      </c>
      <c r="O321" s="50" t="s">
        <v>10742</v>
      </c>
      <c r="P321" s="50" t="s">
        <v>10743</v>
      </c>
      <c r="Q321" s="50" t="s">
        <v>10744</v>
      </c>
      <c r="R321" s="116"/>
      <c r="S321" s="116"/>
      <c r="T321" s="116"/>
      <c r="U321" s="116"/>
      <c r="V321" s="116"/>
      <c r="W321" s="50">
        <v>3.0</v>
      </c>
      <c r="X321" s="50">
        <v>1.0</v>
      </c>
      <c r="Y321" s="50">
        <v>3.0</v>
      </c>
      <c r="Z321" s="50">
        <v>140.0</v>
      </c>
      <c r="AA321" s="50">
        <v>2.0</v>
      </c>
      <c r="AB321" s="50">
        <v>1.0</v>
      </c>
      <c r="AC321" s="50">
        <v>3.0</v>
      </c>
      <c r="AD321" s="50">
        <v>25.0</v>
      </c>
      <c r="AE321" s="50">
        <v>1.0</v>
      </c>
      <c r="AF321" s="50">
        <v>1.0</v>
      </c>
      <c r="AG321" s="50">
        <v>1.0</v>
      </c>
      <c r="AH321" s="50">
        <v>3.0</v>
      </c>
      <c r="AI321" s="50">
        <v>0.0</v>
      </c>
      <c r="AJ321" s="116"/>
      <c r="AK321" s="50" t="s">
        <v>10875</v>
      </c>
      <c r="AL321" s="50">
        <v>4.0</v>
      </c>
      <c r="AM321" s="50">
        <v>1.0</v>
      </c>
      <c r="AN321" s="50" t="s">
        <v>10629</v>
      </c>
      <c r="AO321" s="117">
        <v>4719.0</v>
      </c>
      <c r="AP321" s="50" t="s">
        <v>10879</v>
      </c>
      <c r="AQ321" s="50" t="s">
        <v>10880</v>
      </c>
      <c r="AR321" s="117">
        <v>320.0</v>
      </c>
    </row>
    <row r="322">
      <c r="A322" s="50" t="s">
        <v>10881</v>
      </c>
      <c r="B322" s="50" t="s">
        <v>6876</v>
      </c>
      <c r="C322" s="50" t="s">
        <v>6877</v>
      </c>
      <c r="D322" s="50" t="s">
        <v>8493</v>
      </c>
      <c r="E322" s="144">
        <v>43768.0</v>
      </c>
      <c r="F322" s="50" t="s">
        <v>10882</v>
      </c>
      <c r="G322" s="50">
        <v>59.0</v>
      </c>
      <c r="H322" s="50">
        <v>1.0</v>
      </c>
      <c r="I322" s="50">
        <v>99.0</v>
      </c>
      <c r="J322" s="116"/>
      <c r="K322" s="116"/>
      <c r="L322" s="50" t="s">
        <v>250</v>
      </c>
      <c r="M322" s="50" t="s">
        <v>250</v>
      </c>
      <c r="N322" s="50" t="s">
        <v>10741</v>
      </c>
      <c r="O322" s="50" t="s">
        <v>10742</v>
      </c>
      <c r="P322" s="50" t="s">
        <v>10743</v>
      </c>
      <c r="Q322" s="50" t="s">
        <v>10744</v>
      </c>
      <c r="R322" s="116"/>
      <c r="S322" s="116"/>
      <c r="T322" s="116"/>
      <c r="U322" s="116"/>
      <c r="V322" s="116"/>
      <c r="W322" s="50">
        <v>7.0</v>
      </c>
      <c r="X322" s="50">
        <v>100.0</v>
      </c>
      <c r="Y322" s="50">
        <v>3.0</v>
      </c>
      <c r="Z322" s="50">
        <v>0.0</v>
      </c>
      <c r="AA322" s="116"/>
      <c r="AB322" s="116"/>
      <c r="AC322" s="116"/>
      <c r="AD322" s="116"/>
      <c r="AE322" s="116"/>
      <c r="AF322" s="116"/>
      <c r="AG322" s="116"/>
      <c r="AH322" s="116"/>
      <c r="AI322" s="116"/>
      <c r="AJ322" s="116"/>
      <c r="AK322" s="50" t="s">
        <v>10885</v>
      </c>
      <c r="AL322" s="50">
        <v>4.0</v>
      </c>
      <c r="AM322" s="50">
        <v>1.0</v>
      </c>
      <c r="AN322" s="50" t="s">
        <v>10629</v>
      </c>
      <c r="AO322" s="117">
        <v>4720.0</v>
      </c>
      <c r="AP322" s="50" t="s">
        <v>10887</v>
      </c>
      <c r="AQ322" s="50" t="s">
        <v>10889</v>
      </c>
      <c r="AR322" s="117">
        <v>321.0</v>
      </c>
    </row>
    <row r="323">
      <c r="A323" s="50" t="s">
        <v>10882</v>
      </c>
      <c r="B323" s="50" t="s">
        <v>6876</v>
      </c>
      <c r="C323" s="50" t="s">
        <v>6877</v>
      </c>
      <c r="D323" s="50" t="s">
        <v>8493</v>
      </c>
      <c r="E323" s="144">
        <v>43768.0</v>
      </c>
      <c r="F323" s="50" t="s">
        <v>10892</v>
      </c>
      <c r="G323" s="50">
        <v>33.0</v>
      </c>
      <c r="H323" s="50">
        <v>1.0</v>
      </c>
      <c r="I323" s="50">
        <v>98.0</v>
      </c>
      <c r="J323" s="116"/>
      <c r="K323" s="116"/>
      <c r="L323" s="50" t="s">
        <v>1485</v>
      </c>
      <c r="M323" s="50" t="s">
        <v>1485</v>
      </c>
      <c r="N323" s="50" t="s">
        <v>10741</v>
      </c>
      <c r="O323" s="50" t="s">
        <v>10742</v>
      </c>
      <c r="P323" s="50" t="s">
        <v>10743</v>
      </c>
      <c r="Q323" s="50" t="s">
        <v>10744</v>
      </c>
      <c r="R323" s="116"/>
      <c r="S323" s="116"/>
      <c r="T323" s="116"/>
      <c r="U323" s="116"/>
      <c r="V323" s="116"/>
      <c r="W323" s="50">
        <v>7.0</v>
      </c>
      <c r="X323" s="50">
        <v>100.0</v>
      </c>
      <c r="Y323" s="50">
        <v>3.0</v>
      </c>
      <c r="Z323" s="50">
        <v>0.0</v>
      </c>
      <c r="AA323" s="116"/>
      <c r="AB323" s="116"/>
      <c r="AC323" s="116"/>
      <c r="AD323" s="116"/>
      <c r="AE323" s="116"/>
      <c r="AF323" s="116"/>
      <c r="AG323" s="116"/>
      <c r="AH323" s="116"/>
      <c r="AI323" s="116"/>
      <c r="AJ323" s="116"/>
      <c r="AK323" s="50" t="s">
        <v>8213</v>
      </c>
      <c r="AL323" s="50">
        <v>4.0</v>
      </c>
      <c r="AM323" s="50">
        <v>1.0</v>
      </c>
      <c r="AN323" s="50" t="s">
        <v>10629</v>
      </c>
      <c r="AO323" s="117">
        <v>4721.0</v>
      </c>
      <c r="AP323" s="50" t="s">
        <v>10898</v>
      </c>
      <c r="AQ323" s="50" t="s">
        <v>10899</v>
      </c>
      <c r="AR323" s="117">
        <v>322.0</v>
      </c>
    </row>
    <row r="324">
      <c r="A324" s="50" t="s">
        <v>10892</v>
      </c>
      <c r="B324" s="50" t="s">
        <v>6876</v>
      </c>
      <c r="C324" s="50" t="s">
        <v>6877</v>
      </c>
      <c r="D324" s="50" t="s">
        <v>8493</v>
      </c>
      <c r="E324" s="144">
        <v>43768.0</v>
      </c>
      <c r="F324" s="50" t="s">
        <v>10904</v>
      </c>
      <c r="G324" s="50">
        <v>59.0</v>
      </c>
      <c r="H324" s="50">
        <v>1.0</v>
      </c>
      <c r="I324" s="50">
        <v>11.0</v>
      </c>
      <c r="J324" s="116"/>
      <c r="K324" s="116"/>
      <c r="L324" s="50" t="s">
        <v>6212</v>
      </c>
      <c r="M324" s="50" t="s">
        <v>6212</v>
      </c>
      <c r="N324" s="50" t="s">
        <v>10906</v>
      </c>
      <c r="O324" s="50" t="s">
        <v>10907</v>
      </c>
      <c r="P324" s="50" t="s">
        <v>10908</v>
      </c>
      <c r="Q324" s="50" t="s">
        <v>10909</v>
      </c>
      <c r="R324" s="116"/>
      <c r="S324" s="116"/>
      <c r="T324" s="116"/>
      <c r="U324" s="116"/>
      <c r="V324" s="116"/>
      <c r="W324" s="50">
        <v>3.0</v>
      </c>
      <c r="X324" s="50">
        <v>1.0</v>
      </c>
      <c r="Y324" s="50">
        <v>3.0</v>
      </c>
      <c r="Z324" s="50">
        <v>28.0</v>
      </c>
      <c r="AA324" s="50">
        <v>2.0</v>
      </c>
      <c r="AB324" s="50">
        <v>1.0</v>
      </c>
      <c r="AC324" s="50">
        <v>3.0</v>
      </c>
      <c r="AD324" s="50">
        <v>3.0</v>
      </c>
      <c r="AE324" s="50">
        <v>1.0</v>
      </c>
      <c r="AF324" s="50">
        <v>1.0</v>
      </c>
      <c r="AG324" s="50">
        <v>1.0</v>
      </c>
      <c r="AH324" s="50">
        <v>3.0</v>
      </c>
      <c r="AI324" s="50">
        <v>0.0</v>
      </c>
      <c r="AJ324" s="116"/>
      <c r="AK324" s="50" t="s">
        <v>10912</v>
      </c>
      <c r="AL324" s="50">
        <v>6.0</v>
      </c>
      <c r="AM324" s="50">
        <v>1.0</v>
      </c>
      <c r="AN324" s="50" t="s">
        <v>10629</v>
      </c>
      <c r="AO324" s="117">
        <v>4722.0</v>
      </c>
      <c r="AP324" s="50" t="s">
        <v>10913</v>
      </c>
      <c r="AQ324" s="50" t="s">
        <v>10914</v>
      </c>
      <c r="AR324" s="117">
        <v>323.0</v>
      </c>
    </row>
    <row r="325">
      <c r="A325" s="50" t="s">
        <v>10917</v>
      </c>
      <c r="B325" s="50" t="s">
        <v>6876</v>
      </c>
      <c r="C325" s="50" t="s">
        <v>6877</v>
      </c>
      <c r="D325" s="50" t="s">
        <v>8493</v>
      </c>
      <c r="E325" s="144">
        <v>43769.0</v>
      </c>
      <c r="F325" s="50" t="s">
        <v>10920</v>
      </c>
      <c r="G325" s="50">
        <v>59.0</v>
      </c>
      <c r="H325" s="50">
        <v>1.0</v>
      </c>
      <c r="I325" s="50">
        <v>99.0</v>
      </c>
      <c r="J325" s="116"/>
      <c r="K325" s="116"/>
      <c r="L325" s="50" t="s">
        <v>253</v>
      </c>
      <c r="M325" s="50" t="s">
        <v>253</v>
      </c>
      <c r="N325" s="50" t="s">
        <v>10906</v>
      </c>
      <c r="O325" s="50" t="s">
        <v>10921</v>
      </c>
      <c r="P325" s="50" t="s">
        <v>10922</v>
      </c>
      <c r="Q325" s="50" t="s">
        <v>10923</v>
      </c>
      <c r="R325" s="116"/>
      <c r="S325" s="116"/>
      <c r="T325" s="116"/>
      <c r="U325" s="116"/>
      <c r="V325" s="116"/>
      <c r="W325" s="50">
        <v>7.0</v>
      </c>
      <c r="X325" s="50">
        <v>100.0</v>
      </c>
      <c r="Y325" s="50">
        <v>3.0</v>
      </c>
      <c r="Z325" s="50">
        <v>0.0</v>
      </c>
      <c r="AA325" s="116"/>
      <c r="AB325" s="116"/>
      <c r="AC325" s="116"/>
      <c r="AD325" s="116"/>
      <c r="AE325" s="116"/>
      <c r="AF325" s="116"/>
      <c r="AG325" s="116"/>
      <c r="AH325" s="116"/>
      <c r="AI325" s="116"/>
      <c r="AJ325" s="116"/>
      <c r="AK325" s="50" t="s">
        <v>10926</v>
      </c>
      <c r="AL325" s="50">
        <v>6.0</v>
      </c>
      <c r="AM325" s="50">
        <v>0.0</v>
      </c>
      <c r="AN325" s="50" t="s">
        <v>10629</v>
      </c>
      <c r="AO325" s="117">
        <v>4742.0</v>
      </c>
      <c r="AP325" s="50" t="s">
        <v>10927</v>
      </c>
      <c r="AQ325" s="50" t="s">
        <v>10928</v>
      </c>
      <c r="AR325" s="117">
        <v>325.0</v>
      </c>
    </row>
    <row r="326">
      <c r="A326" s="50" t="s">
        <v>10920</v>
      </c>
      <c r="B326" s="50" t="s">
        <v>6876</v>
      </c>
      <c r="C326" s="50" t="s">
        <v>6877</v>
      </c>
      <c r="D326" s="50" t="s">
        <v>8493</v>
      </c>
      <c r="E326" s="144">
        <v>43769.0</v>
      </c>
      <c r="F326" s="50" t="s">
        <v>10932</v>
      </c>
      <c r="G326" s="50">
        <v>59.0</v>
      </c>
      <c r="H326" s="50">
        <v>1.0</v>
      </c>
      <c r="I326" s="50">
        <v>11.0</v>
      </c>
      <c r="J326" s="116"/>
      <c r="K326" s="116"/>
      <c r="L326" s="50" t="s">
        <v>6220</v>
      </c>
      <c r="M326" s="50" t="s">
        <v>6220</v>
      </c>
      <c r="N326" s="50" t="s">
        <v>10906</v>
      </c>
      <c r="O326" s="50" t="s">
        <v>10907</v>
      </c>
      <c r="P326" s="50" t="s">
        <v>10908</v>
      </c>
      <c r="Q326" s="50" t="s">
        <v>10909</v>
      </c>
      <c r="R326" s="116"/>
      <c r="S326" s="116"/>
      <c r="T326" s="116"/>
      <c r="U326" s="116"/>
      <c r="V326" s="116"/>
      <c r="W326" s="50">
        <v>3.0</v>
      </c>
      <c r="X326" s="50">
        <v>1.0</v>
      </c>
      <c r="Y326" s="50">
        <v>3.0</v>
      </c>
      <c r="Z326" s="50">
        <v>71.0</v>
      </c>
      <c r="AA326" s="50">
        <v>2.0</v>
      </c>
      <c r="AB326" s="50">
        <v>1.0</v>
      </c>
      <c r="AC326" s="50">
        <v>3.0</v>
      </c>
      <c r="AD326" s="50">
        <v>7.0</v>
      </c>
      <c r="AE326" s="50">
        <v>1.0</v>
      </c>
      <c r="AF326" s="50">
        <v>1.0</v>
      </c>
      <c r="AG326" s="50">
        <v>1.0</v>
      </c>
      <c r="AH326" s="50">
        <v>3.0</v>
      </c>
      <c r="AI326" s="50">
        <v>1.0</v>
      </c>
      <c r="AJ326" s="116"/>
      <c r="AK326" s="50" t="s">
        <v>10940</v>
      </c>
      <c r="AL326" s="50">
        <v>6.0</v>
      </c>
      <c r="AM326" s="50">
        <v>0.0</v>
      </c>
      <c r="AN326" s="50" t="s">
        <v>10629</v>
      </c>
      <c r="AO326" s="117">
        <v>4743.0</v>
      </c>
      <c r="AP326" s="50" t="s">
        <v>10941</v>
      </c>
      <c r="AQ326" s="50" t="s">
        <v>10942</v>
      </c>
      <c r="AR326" s="117">
        <v>326.0</v>
      </c>
    </row>
    <row r="327">
      <c r="A327" s="50" t="s">
        <v>10932</v>
      </c>
      <c r="B327" s="50" t="s">
        <v>6876</v>
      </c>
      <c r="C327" s="50" t="s">
        <v>6877</v>
      </c>
      <c r="D327" s="50" t="s">
        <v>8493</v>
      </c>
      <c r="E327" s="144">
        <v>43769.0</v>
      </c>
      <c r="F327" s="50" t="s">
        <v>10945</v>
      </c>
      <c r="G327" s="50">
        <v>59.0</v>
      </c>
      <c r="H327" s="50">
        <v>1.0</v>
      </c>
      <c r="I327" s="50">
        <v>99.0</v>
      </c>
      <c r="J327" s="116"/>
      <c r="K327" s="116"/>
      <c r="L327" s="50" t="s">
        <v>256</v>
      </c>
      <c r="M327" s="50" t="s">
        <v>256</v>
      </c>
      <c r="N327" s="50" t="s">
        <v>10906</v>
      </c>
      <c r="O327" s="50" t="s">
        <v>10921</v>
      </c>
      <c r="P327" s="50" t="s">
        <v>10922</v>
      </c>
      <c r="Q327" s="50" t="s">
        <v>10923</v>
      </c>
      <c r="R327" s="116"/>
      <c r="S327" s="116"/>
      <c r="T327" s="116"/>
      <c r="U327" s="116"/>
      <c r="V327" s="116"/>
      <c r="W327" s="50">
        <v>7.0</v>
      </c>
      <c r="X327" s="50">
        <v>100.0</v>
      </c>
      <c r="Y327" s="50">
        <v>3.0</v>
      </c>
      <c r="Z327" s="50">
        <v>0.0</v>
      </c>
      <c r="AA327" s="116"/>
      <c r="AB327" s="116"/>
      <c r="AC327" s="116"/>
      <c r="AD327" s="116"/>
      <c r="AE327" s="116"/>
      <c r="AF327" s="116"/>
      <c r="AG327" s="116"/>
      <c r="AH327" s="116"/>
      <c r="AI327" s="116"/>
      <c r="AJ327" s="116"/>
      <c r="AK327" s="50" t="s">
        <v>10950</v>
      </c>
      <c r="AL327" s="50">
        <v>4.0</v>
      </c>
      <c r="AM327" s="50">
        <v>0.0</v>
      </c>
      <c r="AN327" s="50" t="s">
        <v>10629</v>
      </c>
      <c r="AO327" s="117">
        <v>4744.0</v>
      </c>
      <c r="AP327" s="50" t="s">
        <v>10951</v>
      </c>
      <c r="AQ327" s="50" t="s">
        <v>10952</v>
      </c>
      <c r="AR327" s="117">
        <v>327.0</v>
      </c>
    </row>
    <row r="328">
      <c r="A328" s="50" t="s">
        <v>10954</v>
      </c>
      <c r="B328" s="50" t="s">
        <v>6876</v>
      </c>
      <c r="C328" s="50" t="s">
        <v>6877</v>
      </c>
      <c r="D328" s="50" t="s">
        <v>8493</v>
      </c>
      <c r="E328" s="144">
        <v>43769.0</v>
      </c>
      <c r="F328" s="50" t="s">
        <v>10957</v>
      </c>
      <c r="G328" s="50">
        <v>59.0</v>
      </c>
      <c r="H328" s="50">
        <v>1.0</v>
      </c>
      <c r="I328" s="50">
        <v>11.0</v>
      </c>
      <c r="J328" s="116"/>
      <c r="K328" s="116"/>
      <c r="L328" s="50" t="s">
        <v>6240</v>
      </c>
      <c r="M328" s="50" t="s">
        <v>6240</v>
      </c>
      <c r="N328" s="50" t="s">
        <v>10906</v>
      </c>
      <c r="O328" s="50" t="s">
        <v>10960</v>
      </c>
      <c r="P328" s="50" t="s">
        <v>10908</v>
      </c>
      <c r="Q328" s="50" t="s">
        <v>10909</v>
      </c>
      <c r="R328" s="116"/>
      <c r="S328" s="116"/>
      <c r="T328" s="116"/>
      <c r="U328" s="116"/>
      <c r="V328" s="116"/>
      <c r="W328" s="50">
        <v>3.0</v>
      </c>
      <c r="X328" s="50">
        <v>1.0</v>
      </c>
      <c r="Y328" s="50">
        <v>1.0</v>
      </c>
      <c r="Z328" s="116"/>
      <c r="AA328" s="50">
        <v>2.0</v>
      </c>
      <c r="AB328" s="50">
        <v>1.0</v>
      </c>
      <c r="AC328" s="50">
        <v>3.0</v>
      </c>
      <c r="AD328" s="50">
        <v>20.0</v>
      </c>
      <c r="AE328" s="50">
        <v>1.0</v>
      </c>
      <c r="AF328" s="50">
        <v>1.0</v>
      </c>
      <c r="AG328" s="50">
        <v>1.0</v>
      </c>
      <c r="AH328" s="50">
        <v>3.0</v>
      </c>
      <c r="AI328" s="50">
        <v>10.0</v>
      </c>
      <c r="AJ328" s="116"/>
      <c r="AK328" s="50" t="s">
        <v>10967</v>
      </c>
      <c r="AL328" s="50">
        <v>6.0</v>
      </c>
      <c r="AM328" s="50">
        <v>0.0</v>
      </c>
      <c r="AN328" s="50" t="s">
        <v>10629</v>
      </c>
      <c r="AO328" s="117">
        <v>4745.0</v>
      </c>
      <c r="AP328" s="50" t="s">
        <v>10968</v>
      </c>
      <c r="AQ328" s="50" t="s">
        <v>10969</v>
      </c>
      <c r="AR328" s="117">
        <v>328.0</v>
      </c>
    </row>
    <row r="329">
      <c r="A329" s="50" t="s">
        <v>10957</v>
      </c>
      <c r="B329" s="50" t="s">
        <v>6876</v>
      </c>
      <c r="C329" s="50" t="s">
        <v>6877</v>
      </c>
      <c r="D329" s="50" t="s">
        <v>8493</v>
      </c>
      <c r="E329" s="144">
        <v>43769.0</v>
      </c>
      <c r="F329" s="50" t="s">
        <v>10970</v>
      </c>
      <c r="G329" s="50">
        <v>59.0</v>
      </c>
      <c r="H329" s="50">
        <v>1.0</v>
      </c>
      <c r="I329" s="50">
        <v>99.0</v>
      </c>
      <c r="J329" s="116"/>
      <c r="K329" s="116"/>
      <c r="L329" s="50" t="s">
        <v>259</v>
      </c>
      <c r="M329" s="50" t="s">
        <v>259</v>
      </c>
      <c r="N329" s="50" t="s">
        <v>10906</v>
      </c>
      <c r="O329" s="50" t="s">
        <v>10921</v>
      </c>
      <c r="P329" s="50" t="s">
        <v>10971</v>
      </c>
      <c r="Q329" s="50" t="s">
        <v>10972</v>
      </c>
      <c r="R329" s="116"/>
      <c r="S329" s="116"/>
      <c r="T329" s="116"/>
      <c r="U329" s="116"/>
      <c r="V329" s="116"/>
      <c r="W329" s="50">
        <v>7.0</v>
      </c>
      <c r="X329" s="50">
        <v>100.0</v>
      </c>
      <c r="Y329" s="50">
        <v>3.0</v>
      </c>
      <c r="Z329" s="50">
        <v>0.0</v>
      </c>
      <c r="AA329" s="116"/>
      <c r="AB329" s="116"/>
      <c r="AC329" s="116"/>
      <c r="AD329" s="116"/>
      <c r="AE329" s="116"/>
      <c r="AF329" s="116"/>
      <c r="AG329" s="116"/>
      <c r="AH329" s="116"/>
      <c r="AI329" s="116"/>
      <c r="AJ329" s="116"/>
      <c r="AK329" s="50" t="s">
        <v>10977</v>
      </c>
      <c r="AL329" s="50">
        <v>6.0</v>
      </c>
      <c r="AM329" s="50">
        <v>0.0</v>
      </c>
      <c r="AN329" s="50" t="s">
        <v>10629</v>
      </c>
      <c r="AO329" s="117">
        <v>4746.0</v>
      </c>
      <c r="AP329" s="50" t="s">
        <v>10979</v>
      </c>
      <c r="AQ329" s="50" t="s">
        <v>10981</v>
      </c>
      <c r="AR329" s="117">
        <v>329.0</v>
      </c>
    </row>
    <row r="330">
      <c r="A330" s="50" t="s">
        <v>10982</v>
      </c>
      <c r="B330" s="50" t="s">
        <v>6876</v>
      </c>
      <c r="C330" s="50" t="s">
        <v>6877</v>
      </c>
      <c r="D330" s="50" t="s">
        <v>8493</v>
      </c>
      <c r="E330" s="144">
        <v>43769.0</v>
      </c>
      <c r="F330" s="50" t="s">
        <v>10985</v>
      </c>
      <c r="G330" s="50">
        <v>59.0</v>
      </c>
      <c r="H330" s="50">
        <v>1.0</v>
      </c>
      <c r="I330" s="50">
        <v>11.0</v>
      </c>
      <c r="J330" s="116"/>
      <c r="K330" s="116"/>
      <c r="L330" s="50" t="s">
        <v>6255</v>
      </c>
      <c r="M330" s="50" t="s">
        <v>6255</v>
      </c>
      <c r="N330" s="50" t="s">
        <v>10906</v>
      </c>
      <c r="O330" s="50" t="s">
        <v>10988</v>
      </c>
      <c r="P330" s="50" t="s">
        <v>10908</v>
      </c>
      <c r="Q330" s="50" t="s">
        <v>10909</v>
      </c>
      <c r="R330" s="116"/>
      <c r="S330" s="116"/>
      <c r="T330" s="116"/>
      <c r="U330" s="116"/>
      <c r="V330" s="116"/>
      <c r="W330" s="50">
        <v>3.0</v>
      </c>
      <c r="X330" s="50">
        <v>1.0</v>
      </c>
      <c r="Y330" s="50">
        <v>3.0</v>
      </c>
      <c r="Z330" s="50">
        <v>4.0</v>
      </c>
      <c r="AA330" s="50">
        <v>2.0</v>
      </c>
      <c r="AB330" s="50">
        <v>1.0</v>
      </c>
      <c r="AC330" s="50">
        <v>3.0</v>
      </c>
      <c r="AD330" s="50">
        <v>0.0</v>
      </c>
      <c r="AE330" s="50">
        <v>1.0</v>
      </c>
      <c r="AF330" s="50">
        <v>1.0</v>
      </c>
      <c r="AG330" s="50">
        <v>1.0</v>
      </c>
      <c r="AH330" s="50">
        <v>3.0</v>
      </c>
      <c r="AI330" s="50">
        <v>0.0</v>
      </c>
      <c r="AJ330" s="116"/>
      <c r="AK330" s="50" t="s">
        <v>10994</v>
      </c>
      <c r="AL330" s="50">
        <v>6.0</v>
      </c>
      <c r="AM330" s="50">
        <v>0.0</v>
      </c>
      <c r="AN330" s="50" t="s">
        <v>10629</v>
      </c>
      <c r="AO330" s="117">
        <v>4747.0</v>
      </c>
      <c r="AP330" s="50" t="s">
        <v>10995</v>
      </c>
      <c r="AQ330" s="50" t="s">
        <v>10997</v>
      </c>
      <c r="AR330" s="117">
        <v>330.0</v>
      </c>
    </row>
    <row r="331">
      <c r="A331" s="50" t="s">
        <v>10985</v>
      </c>
      <c r="B331" s="50" t="s">
        <v>6876</v>
      </c>
      <c r="C331" s="50" t="s">
        <v>6877</v>
      </c>
      <c r="D331" s="50" t="s">
        <v>8493</v>
      </c>
      <c r="E331" s="144">
        <v>43769.0</v>
      </c>
      <c r="F331" s="50" t="s">
        <v>10999</v>
      </c>
      <c r="G331" s="50">
        <v>59.0</v>
      </c>
      <c r="H331" s="50">
        <v>1.0</v>
      </c>
      <c r="I331" s="50">
        <v>99.0</v>
      </c>
      <c r="J331" s="116"/>
      <c r="K331" s="116"/>
      <c r="L331" s="50" t="s">
        <v>262</v>
      </c>
      <c r="M331" s="50" t="s">
        <v>262</v>
      </c>
      <c r="N331" s="50" t="s">
        <v>10906</v>
      </c>
      <c r="O331" s="50" t="s">
        <v>10921</v>
      </c>
      <c r="P331" s="50" t="s">
        <v>10971</v>
      </c>
      <c r="Q331" s="50" t="s">
        <v>10972</v>
      </c>
      <c r="R331" s="116"/>
      <c r="S331" s="116"/>
      <c r="T331" s="116"/>
      <c r="U331" s="116"/>
      <c r="V331" s="116"/>
      <c r="W331" s="50">
        <v>7.0</v>
      </c>
      <c r="X331" s="50">
        <v>100.0</v>
      </c>
      <c r="Y331" s="50">
        <v>3.0</v>
      </c>
      <c r="Z331" s="50">
        <v>0.0</v>
      </c>
      <c r="AA331" s="116"/>
      <c r="AB331" s="116"/>
      <c r="AC331" s="116"/>
      <c r="AD331" s="116"/>
      <c r="AE331" s="116"/>
      <c r="AF331" s="116"/>
      <c r="AG331" s="116"/>
      <c r="AH331" s="116"/>
      <c r="AI331" s="116"/>
      <c r="AJ331" s="116"/>
      <c r="AK331" s="50" t="s">
        <v>11004</v>
      </c>
      <c r="AL331" s="50">
        <v>4.0</v>
      </c>
      <c r="AM331" s="50">
        <v>0.0</v>
      </c>
      <c r="AN331" s="50" t="s">
        <v>10629</v>
      </c>
      <c r="AO331" s="117">
        <v>4748.0</v>
      </c>
      <c r="AP331" s="50" t="s">
        <v>11008</v>
      </c>
      <c r="AQ331" s="50" t="s">
        <v>11009</v>
      </c>
      <c r="AR331" s="117">
        <v>331.0</v>
      </c>
    </row>
    <row r="332">
      <c r="A332" s="50" t="s">
        <v>10999</v>
      </c>
      <c r="B332" s="50" t="s">
        <v>6876</v>
      </c>
      <c r="C332" s="50" t="s">
        <v>6877</v>
      </c>
      <c r="D332" s="50" t="s">
        <v>8493</v>
      </c>
      <c r="E332" s="144">
        <v>43769.0</v>
      </c>
      <c r="F332" s="50" t="s">
        <v>11013</v>
      </c>
      <c r="G332" s="50">
        <v>59.0</v>
      </c>
      <c r="H332" s="50">
        <v>1.0</v>
      </c>
      <c r="I332" s="50">
        <v>11.0</v>
      </c>
      <c r="J332" s="116"/>
      <c r="K332" s="116"/>
      <c r="L332" s="50" t="s">
        <v>6270</v>
      </c>
      <c r="M332" s="50" t="s">
        <v>6270</v>
      </c>
      <c r="N332" s="50" t="s">
        <v>10906</v>
      </c>
      <c r="O332" s="50" t="s">
        <v>10988</v>
      </c>
      <c r="P332" s="50" t="s">
        <v>10908</v>
      </c>
      <c r="Q332" s="50" t="s">
        <v>10909</v>
      </c>
      <c r="R332" s="116"/>
      <c r="S332" s="116"/>
      <c r="T332" s="116"/>
      <c r="U332" s="116"/>
      <c r="V332" s="116"/>
      <c r="W332" s="50">
        <v>3.0</v>
      </c>
      <c r="X332" s="50">
        <v>1.0</v>
      </c>
      <c r="Y332" s="50">
        <v>3.0</v>
      </c>
      <c r="Z332" s="50">
        <v>0.0</v>
      </c>
      <c r="AA332" s="50">
        <v>2.0</v>
      </c>
      <c r="AB332" s="50">
        <v>1.0</v>
      </c>
      <c r="AC332" s="50">
        <v>3.0</v>
      </c>
      <c r="AD332" s="50">
        <v>0.0</v>
      </c>
      <c r="AE332" s="50">
        <v>1.0</v>
      </c>
      <c r="AF332" s="50">
        <v>1.0</v>
      </c>
      <c r="AG332" s="50">
        <v>1.0</v>
      </c>
      <c r="AH332" s="50">
        <v>3.0</v>
      </c>
      <c r="AI332" s="50">
        <v>0.0</v>
      </c>
      <c r="AJ332" s="116"/>
      <c r="AK332" s="50" t="s">
        <v>11021</v>
      </c>
      <c r="AL332" s="50">
        <v>6.0</v>
      </c>
      <c r="AM332" s="50">
        <v>0.0</v>
      </c>
      <c r="AN332" s="50" t="s">
        <v>10629</v>
      </c>
      <c r="AO332" s="117">
        <v>4749.0</v>
      </c>
      <c r="AP332" s="50" t="s">
        <v>11024</v>
      </c>
      <c r="AQ332" s="50" t="s">
        <v>11025</v>
      </c>
      <c r="AR332" s="117">
        <v>332.0</v>
      </c>
    </row>
    <row r="333">
      <c r="A333" s="50" t="s">
        <v>11013</v>
      </c>
      <c r="B333" s="50" t="s">
        <v>6876</v>
      </c>
      <c r="C333" s="50" t="s">
        <v>6877</v>
      </c>
      <c r="D333" s="50" t="s">
        <v>8493</v>
      </c>
      <c r="E333" s="144">
        <v>43769.0</v>
      </c>
      <c r="F333" s="50" t="s">
        <v>11026</v>
      </c>
      <c r="G333" s="50">
        <v>59.0</v>
      </c>
      <c r="H333" s="50">
        <v>1.0</v>
      </c>
      <c r="I333" s="50">
        <v>99.0</v>
      </c>
      <c r="J333" s="116"/>
      <c r="K333" s="116"/>
      <c r="L333" s="50" t="s">
        <v>265</v>
      </c>
      <c r="M333" s="50" t="s">
        <v>265</v>
      </c>
      <c r="N333" s="50" t="s">
        <v>10906</v>
      </c>
      <c r="O333" s="50" t="s">
        <v>10921</v>
      </c>
      <c r="P333" s="50" t="s">
        <v>10971</v>
      </c>
      <c r="Q333" s="50" t="s">
        <v>10972</v>
      </c>
      <c r="R333" s="116"/>
      <c r="S333" s="116"/>
      <c r="T333" s="116"/>
      <c r="U333" s="116"/>
      <c r="V333" s="116"/>
      <c r="W333" s="50">
        <v>7.0</v>
      </c>
      <c r="X333" s="50">
        <v>100.0</v>
      </c>
      <c r="Y333" s="50">
        <v>3.0</v>
      </c>
      <c r="Z333" s="50">
        <v>0.0</v>
      </c>
      <c r="AA333" s="116"/>
      <c r="AB333" s="116"/>
      <c r="AC333" s="116"/>
      <c r="AD333" s="116"/>
      <c r="AE333" s="116"/>
      <c r="AF333" s="116"/>
      <c r="AG333" s="116"/>
      <c r="AH333" s="116"/>
      <c r="AI333" s="116"/>
      <c r="AJ333" s="116"/>
      <c r="AK333" s="50" t="s">
        <v>11032</v>
      </c>
      <c r="AL333" s="50">
        <v>4.0</v>
      </c>
      <c r="AM333" s="50">
        <v>0.0</v>
      </c>
      <c r="AN333" s="50" t="s">
        <v>10629</v>
      </c>
      <c r="AO333" s="117">
        <v>4750.0</v>
      </c>
      <c r="AP333" s="50" t="s">
        <v>11036</v>
      </c>
      <c r="AQ333" s="50" t="s">
        <v>11038</v>
      </c>
      <c r="AR333" s="117">
        <v>333.0</v>
      </c>
    </row>
    <row r="334">
      <c r="A334" s="50" t="s">
        <v>11040</v>
      </c>
      <c r="B334" s="50" t="s">
        <v>6876</v>
      </c>
      <c r="C334" s="50" t="s">
        <v>6877</v>
      </c>
      <c r="D334" s="50" t="s">
        <v>8493</v>
      </c>
      <c r="E334" s="144">
        <v>43769.0</v>
      </c>
      <c r="F334" s="50" t="s">
        <v>11041</v>
      </c>
      <c r="G334" s="50">
        <v>57.0</v>
      </c>
      <c r="H334" s="50">
        <v>1.0</v>
      </c>
      <c r="I334" s="50">
        <v>99.0</v>
      </c>
      <c r="J334" s="116"/>
      <c r="K334" s="116"/>
      <c r="L334" s="50" t="s">
        <v>1495</v>
      </c>
      <c r="M334" s="50" t="s">
        <v>1495</v>
      </c>
      <c r="N334" s="50" t="s">
        <v>11044</v>
      </c>
      <c r="O334" s="50" t="s">
        <v>11045</v>
      </c>
      <c r="P334" s="50" t="s">
        <v>11046</v>
      </c>
      <c r="Q334" s="50" t="s">
        <v>11047</v>
      </c>
      <c r="R334" s="116"/>
      <c r="S334" s="116"/>
      <c r="T334" s="116"/>
      <c r="U334" s="116"/>
      <c r="V334" s="116"/>
      <c r="W334" s="50">
        <v>7.0</v>
      </c>
      <c r="X334" s="50">
        <v>100.0</v>
      </c>
      <c r="Y334" s="50">
        <v>3.0</v>
      </c>
      <c r="Z334" s="50">
        <v>0.0</v>
      </c>
      <c r="AA334" s="116"/>
      <c r="AB334" s="116"/>
      <c r="AC334" s="116"/>
      <c r="AD334" s="116"/>
      <c r="AE334" s="116"/>
      <c r="AF334" s="116"/>
      <c r="AG334" s="116"/>
      <c r="AH334" s="116"/>
      <c r="AI334" s="116"/>
      <c r="AJ334" s="116"/>
      <c r="AK334" s="50" t="s">
        <v>11050</v>
      </c>
      <c r="AL334" s="50">
        <v>6.0</v>
      </c>
      <c r="AM334" s="50">
        <v>0.0</v>
      </c>
      <c r="AN334" s="50" t="s">
        <v>10629</v>
      </c>
      <c r="AO334" s="117">
        <v>4751.0</v>
      </c>
      <c r="AP334" s="50" t="s">
        <v>11054</v>
      </c>
      <c r="AQ334" s="50" t="s">
        <v>11056</v>
      </c>
      <c r="AR334" s="117">
        <v>334.0</v>
      </c>
    </row>
    <row r="335">
      <c r="A335" s="50" t="s">
        <v>11041</v>
      </c>
      <c r="B335" s="50" t="s">
        <v>6876</v>
      </c>
      <c r="C335" s="50" t="s">
        <v>6877</v>
      </c>
      <c r="D335" s="50" t="s">
        <v>8493</v>
      </c>
      <c r="E335" s="144">
        <v>43769.0</v>
      </c>
      <c r="F335" s="50" t="s">
        <v>11058</v>
      </c>
      <c r="G335" s="50">
        <v>55.0</v>
      </c>
      <c r="H335" s="50">
        <v>1.0</v>
      </c>
      <c r="I335" s="50">
        <v>99.0</v>
      </c>
      <c r="J335" s="116"/>
      <c r="K335" s="116"/>
      <c r="L335" s="50" t="s">
        <v>1498</v>
      </c>
      <c r="M335" s="50" t="s">
        <v>1498</v>
      </c>
      <c r="N335" s="50" t="s">
        <v>11044</v>
      </c>
      <c r="O335" s="50" t="s">
        <v>11045</v>
      </c>
      <c r="P335" s="50" t="s">
        <v>11046</v>
      </c>
      <c r="Q335" s="50" t="s">
        <v>11047</v>
      </c>
      <c r="R335" s="116"/>
      <c r="S335" s="116"/>
      <c r="T335" s="116"/>
      <c r="U335" s="116"/>
      <c r="V335" s="116"/>
      <c r="W335" s="50">
        <v>7.0</v>
      </c>
      <c r="X335" s="50">
        <v>100.0</v>
      </c>
      <c r="Y335" s="50">
        <v>3.0</v>
      </c>
      <c r="Z335" s="50">
        <v>0.0</v>
      </c>
      <c r="AA335" s="116"/>
      <c r="AB335" s="116"/>
      <c r="AC335" s="116"/>
      <c r="AD335" s="116"/>
      <c r="AE335" s="116"/>
      <c r="AF335" s="116"/>
      <c r="AG335" s="116"/>
      <c r="AH335" s="116"/>
      <c r="AI335" s="116"/>
      <c r="AJ335" s="116"/>
      <c r="AK335" s="50" t="s">
        <v>11063</v>
      </c>
      <c r="AL335" s="50">
        <v>6.0</v>
      </c>
      <c r="AM335" s="50">
        <v>0.0</v>
      </c>
      <c r="AN335" s="50" t="s">
        <v>10629</v>
      </c>
      <c r="AO335" s="117">
        <v>4752.0</v>
      </c>
      <c r="AP335" s="50" t="s">
        <v>11065</v>
      </c>
      <c r="AQ335" s="50" t="s">
        <v>11066</v>
      </c>
      <c r="AR335" s="117">
        <v>335.0</v>
      </c>
    </row>
    <row r="336">
      <c r="A336" s="50" t="s">
        <v>11058</v>
      </c>
      <c r="B336" s="50" t="s">
        <v>6876</v>
      </c>
      <c r="C336" s="50" t="s">
        <v>6877</v>
      </c>
      <c r="D336" s="50" t="s">
        <v>8493</v>
      </c>
      <c r="E336" s="144">
        <v>43769.0</v>
      </c>
      <c r="F336" s="50" t="s">
        <v>11067</v>
      </c>
      <c r="G336" s="50">
        <v>33.0</v>
      </c>
      <c r="H336" s="50">
        <v>1.0</v>
      </c>
      <c r="I336" s="50">
        <v>98.0</v>
      </c>
      <c r="J336" s="116"/>
      <c r="K336" s="116"/>
      <c r="L336" s="50" t="s">
        <v>1493</v>
      </c>
      <c r="M336" s="50" t="s">
        <v>1493</v>
      </c>
      <c r="N336" s="50" t="s">
        <v>10906</v>
      </c>
      <c r="O336" s="50" t="s">
        <v>11070</v>
      </c>
      <c r="P336" s="50" t="s">
        <v>10921</v>
      </c>
      <c r="Q336" s="50" t="s">
        <v>11071</v>
      </c>
      <c r="R336" s="116"/>
      <c r="S336" s="116"/>
      <c r="T336" s="116"/>
      <c r="U336" s="116"/>
      <c r="V336" s="116"/>
      <c r="W336" s="50">
        <v>7.0</v>
      </c>
      <c r="X336" s="50">
        <v>100.0</v>
      </c>
      <c r="Y336" s="50">
        <v>3.0</v>
      </c>
      <c r="Z336" s="50">
        <v>0.0</v>
      </c>
      <c r="AA336" s="116"/>
      <c r="AB336" s="116"/>
      <c r="AC336" s="116"/>
      <c r="AD336" s="116"/>
      <c r="AE336" s="116"/>
      <c r="AF336" s="116"/>
      <c r="AG336" s="116"/>
      <c r="AH336" s="116"/>
      <c r="AI336" s="116"/>
      <c r="AJ336" s="116"/>
      <c r="AK336" s="50" t="s">
        <v>11074</v>
      </c>
      <c r="AL336" s="50">
        <v>6.0</v>
      </c>
      <c r="AM336" s="50">
        <v>0.0</v>
      </c>
      <c r="AN336" s="50" t="s">
        <v>10629</v>
      </c>
      <c r="AO336" s="117">
        <v>4753.0</v>
      </c>
      <c r="AP336" s="50" t="s">
        <v>11075</v>
      </c>
      <c r="AQ336" s="50" t="s">
        <v>11076</v>
      </c>
      <c r="AR336" s="117">
        <v>336.0</v>
      </c>
    </row>
    <row r="337">
      <c r="A337" s="50" t="s">
        <v>11067</v>
      </c>
      <c r="B337" s="50" t="s">
        <v>6876</v>
      </c>
      <c r="C337" s="50" t="s">
        <v>6877</v>
      </c>
      <c r="D337" s="50" t="s">
        <v>8493</v>
      </c>
      <c r="E337" s="144">
        <v>43769.0</v>
      </c>
      <c r="F337" s="50" t="s">
        <v>11077</v>
      </c>
      <c r="G337" s="50">
        <v>33.0</v>
      </c>
      <c r="H337" s="50">
        <v>1.0</v>
      </c>
      <c r="I337" s="50">
        <v>98.0</v>
      </c>
      <c r="J337" s="116"/>
      <c r="K337" s="116"/>
      <c r="L337" s="50" t="s">
        <v>1501</v>
      </c>
      <c r="M337" s="50" t="s">
        <v>1501</v>
      </c>
      <c r="N337" s="50" t="s">
        <v>11044</v>
      </c>
      <c r="O337" s="50" t="s">
        <v>11080</v>
      </c>
      <c r="P337" s="50" t="s">
        <v>11045</v>
      </c>
      <c r="Q337" s="50" t="s">
        <v>11081</v>
      </c>
      <c r="R337" s="116"/>
      <c r="S337" s="116"/>
      <c r="T337" s="116"/>
      <c r="U337" s="116"/>
      <c r="V337" s="116"/>
      <c r="W337" s="50">
        <v>7.0</v>
      </c>
      <c r="X337" s="50">
        <v>100.0</v>
      </c>
      <c r="Y337" s="50">
        <v>3.0</v>
      </c>
      <c r="Z337" s="50">
        <v>0.0</v>
      </c>
      <c r="AA337" s="116"/>
      <c r="AB337" s="116"/>
      <c r="AC337" s="116"/>
      <c r="AD337" s="116"/>
      <c r="AE337" s="116"/>
      <c r="AF337" s="116"/>
      <c r="AG337" s="116"/>
      <c r="AH337" s="116"/>
      <c r="AI337" s="116"/>
      <c r="AJ337" s="116"/>
      <c r="AK337" s="50" t="s">
        <v>11082</v>
      </c>
      <c r="AL337" s="50">
        <v>6.0</v>
      </c>
      <c r="AM337" s="50">
        <v>0.0</v>
      </c>
      <c r="AN337" s="50" t="s">
        <v>10629</v>
      </c>
      <c r="AO337" s="117">
        <v>4754.0</v>
      </c>
      <c r="AP337" s="50" t="s">
        <v>11083</v>
      </c>
      <c r="AQ337" s="50" t="s">
        <v>11084</v>
      </c>
      <c r="AR337" s="117">
        <v>337.0</v>
      </c>
    </row>
    <row r="338">
      <c r="A338" s="50" t="s">
        <v>11085</v>
      </c>
      <c r="B338" s="50" t="s">
        <v>6876</v>
      </c>
      <c r="C338" s="50" t="s">
        <v>6877</v>
      </c>
      <c r="D338" s="50" t="s">
        <v>8493</v>
      </c>
      <c r="E338" s="144">
        <v>43773.0</v>
      </c>
      <c r="F338" s="50" t="s">
        <v>11086</v>
      </c>
      <c r="G338" s="50">
        <v>59.0</v>
      </c>
      <c r="H338" s="50">
        <v>1.0</v>
      </c>
      <c r="I338" s="50">
        <v>11.0</v>
      </c>
      <c r="J338" s="116"/>
      <c r="K338" s="116"/>
      <c r="L338" s="50" t="s">
        <v>1508</v>
      </c>
      <c r="M338" s="50" t="s">
        <v>1508</v>
      </c>
      <c r="N338" s="50" t="s">
        <v>11091</v>
      </c>
      <c r="O338" s="50" t="s">
        <v>11093</v>
      </c>
      <c r="P338" s="50" t="s">
        <v>11094</v>
      </c>
      <c r="Q338" s="50" t="s">
        <v>11097</v>
      </c>
      <c r="R338" s="116"/>
      <c r="S338" s="116"/>
      <c r="T338" s="116"/>
      <c r="U338" s="116"/>
      <c r="V338" s="116"/>
      <c r="W338" s="50">
        <v>3.0</v>
      </c>
      <c r="X338" s="50">
        <v>1.0</v>
      </c>
      <c r="Y338" s="50">
        <v>3.0</v>
      </c>
      <c r="Z338" s="50">
        <v>98.0</v>
      </c>
      <c r="AA338" s="50">
        <v>2.0</v>
      </c>
      <c r="AB338" s="50">
        <v>1.0</v>
      </c>
      <c r="AC338" s="50">
        <v>3.0</v>
      </c>
      <c r="AD338" s="50">
        <v>1.0</v>
      </c>
      <c r="AE338" s="50">
        <v>1.0</v>
      </c>
      <c r="AF338" s="50">
        <v>1.0</v>
      </c>
      <c r="AG338" s="50">
        <v>1.0</v>
      </c>
      <c r="AH338" s="50">
        <v>3.0</v>
      </c>
      <c r="AI338" s="50">
        <v>0.0</v>
      </c>
      <c r="AJ338" s="116"/>
      <c r="AK338" s="50" t="s">
        <v>11099</v>
      </c>
      <c r="AL338" s="50">
        <v>6.0</v>
      </c>
      <c r="AM338" s="50">
        <v>0.0</v>
      </c>
      <c r="AN338" s="50" t="s">
        <v>10629</v>
      </c>
      <c r="AO338" s="117">
        <v>4835.0</v>
      </c>
      <c r="AP338" s="50" t="s">
        <v>11101</v>
      </c>
      <c r="AQ338" s="50" t="s">
        <v>11103</v>
      </c>
      <c r="AR338" s="117">
        <v>338.0</v>
      </c>
    </row>
    <row r="339">
      <c r="A339" s="50" t="s">
        <v>11086</v>
      </c>
      <c r="B339" s="50" t="s">
        <v>6876</v>
      </c>
      <c r="C339" s="50" t="s">
        <v>6877</v>
      </c>
      <c r="D339" s="50" t="s">
        <v>8493</v>
      </c>
      <c r="E339" s="144">
        <v>43773.0</v>
      </c>
      <c r="F339" s="50" t="s">
        <v>11106</v>
      </c>
      <c r="G339" s="50">
        <v>59.0</v>
      </c>
      <c r="H339" s="50">
        <v>1.0</v>
      </c>
      <c r="I339" s="50">
        <v>99.0</v>
      </c>
      <c r="J339" s="116"/>
      <c r="K339" s="116"/>
      <c r="L339" s="50" t="s">
        <v>1509</v>
      </c>
      <c r="M339" s="50" t="s">
        <v>1509</v>
      </c>
      <c r="N339" s="50" t="s">
        <v>11091</v>
      </c>
      <c r="O339" s="50" t="s">
        <v>11093</v>
      </c>
      <c r="P339" s="50" t="s">
        <v>11094</v>
      </c>
      <c r="Q339" s="50" t="s">
        <v>11097</v>
      </c>
      <c r="R339" s="116"/>
      <c r="S339" s="116"/>
      <c r="T339" s="116"/>
      <c r="U339" s="116"/>
      <c r="V339" s="116"/>
      <c r="W339" s="50">
        <v>7.0</v>
      </c>
      <c r="X339" s="50">
        <v>100.0</v>
      </c>
      <c r="Y339" s="50">
        <v>3.0</v>
      </c>
      <c r="Z339" s="50">
        <v>0.0</v>
      </c>
      <c r="AA339" s="116"/>
      <c r="AB339" s="116"/>
      <c r="AC339" s="116"/>
      <c r="AD339" s="116"/>
      <c r="AE339" s="116"/>
      <c r="AF339" s="116"/>
      <c r="AG339" s="116"/>
      <c r="AH339" s="116"/>
      <c r="AI339" s="116"/>
      <c r="AJ339" s="116"/>
      <c r="AK339" s="50" t="s">
        <v>11108</v>
      </c>
      <c r="AL339" s="50">
        <v>6.0</v>
      </c>
      <c r="AM339" s="50">
        <v>0.0</v>
      </c>
      <c r="AN339" s="50" t="s">
        <v>10629</v>
      </c>
      <c r="AO339" s="117">
        <v>4836.0</v>
      </c>
      <c r="AP339" s="50" t="s">
        <v>11109</v>
      </c>
      <c r="AQ339" s="50" t="s">
        <v>11110</v>
      </c>
      <c r="AR339" s="117">
        <v>339.0</v>
      </c>
    </row>
    <row r="340">
      <c r="A340" s="50" t="s">
        <v>11106</v>
      </c>
      <c r="B340" s="50" t="s">
        <v>6876</v>
      </c>
      <c r="C340" s="50" t="s">
        <v>6877</v>
      </c>
      <c r="D340" s="50" t="s">
        <v>8493</v>
      </c>
      <c r="E340" s="144">
        <v>43773.0</v>
      </c>
      <c r="F340" s="50" t="s">
        <v>11113</v>
      </c>
      <c r="G340" s="50">
        <v>59.0</v>
      </c>
      <c r="H340" s="50">
        <v>1.0</v>
      </c>
      <c r="I340" s="50">
        <v>11.0</v>
      </c>
      <c r="J340" s="116"/>
      <c r="K340" s="116"/>
      <c r="L340" s="50" t="s">
        <v>1511</v>
      </c>
      <c r="M340" s="50" t="s">
        <v>1511</v>
      </c>
      <c r="N340" s="50" t="s">
        <v>11091</v>
      </c>
      <c r="O340" s="50" t="s">
        <v>11093</v>
      </c>
      <c r="P340" s="50" t="s">
        <v>11116</v>
      </c>
      <c r="Q340" s="50" t="s">
        <v>11118</v>
      </c>
      <c r="R340" s="116"/>
      <c r="S340" s="116"/>
      <c r="T340" s="116"/>
      <c r="U340" s="116"/>
      <c r="V340" s="116"/>
      <c r="W340" s="50">
        <v>3.0</v>
      </c>
      <c r="X340" s="50">
        <v>1.0</v>
      </c>
      <c r="Y340" s="50">
        <v>3.0</v>
      </c>
      <c r="Z340" s="50">
        <v>1.0</v>
      </c>
      <c r="AA340" s="50">
        <v>2.0</v>
      </c>
      <c r="AB340" s="50">
        <v>1.0</v>
      </c>
      <c r="AC340" s="50">
        <v>3.0</v>
      </c>
      <c r="AD340" s="50">
        <v>0.0</v>
      </c>
      <c r="AE340" s="50">
        <v>1.0</v>
      </c>
      <c r="AF340" s="50">
        <v>1.0</v>
      </c>
      <c r="AG340" s="50">
        <v>1.0</v>
      </c>
      <c r="AH340" s="50">
        <v>3.0</v>
      </c>
      <c r="AI340" s="50">
        <v>0.0</v>
      </c>
      <c r="AJ340" s="116"/>
      <c r="AK340" s="50" t="s">
        <v>11120</v>
      </c>
      <c r="AL340" s="50">
        <v>6.0</v>
      </c>
      <c r="AM340" s="50">
        <v>1.0</v>
      </c>
      <c r="AN340" s="50" t="s">
        <v>10629</v>
      </c>
      <c r="AO340" s="117">
        <v>4837.0</v>
      </c>
      <c r="AP340" s="50" t="s">
        <v>11122</v>
      </c>
      <c r="AQ340" s="50" t="s">
        <v>11124</v>
      </c>
      <c r="AR340" s="117">
        <v>340.0</v>
      </c>
    </row>
    <row r="341">
      <c r="A341" s="50" t="s">
        <v>11125</v>
      </c>
      <c r="B341" s="50" t="s">
        <v>6876</v>
      </c>
      <c r="C341" s="50" t="s">
        <v>6877</v>
      </c>
      <c r="D341" s="50" t="s">
        <v>8493</v>
      </c>
      <c r="E341" s="144">
        <v>43773.0</v>
      </c>
      <c r="F341" s="50" t="s">
        <v>11126</v>
      </c>
      <c r="G341" s="50">
        <v>59.0</v>
      </c>
      <c r="H341" s="50">
        <v>1.0</v>
      </c>
      <c r="I341" s="50">
        <v>11.0</v>
      </c>
      <c r="J341" s="116"/>
      <c r="K341" s="116"/>
      <c r="L341" s="50" t="s">
        <v>1514</v>
      </c>
      <c r="M341" s="50" t="s">
        <v>1514</v>
      </c>
      <c r="N341" s="50" t="s">
        <v>11091</v>
      </c>
      <c r="O341" s="50" t="s">
        <v>11093</v>
      </c>
      <c r="P341" s="50" t="s">
        <v>11116</v>
      </c>
      <c r="Q341" s="50" t="s">
        <v>11118</v>
      </c>
      <c r="R341" s="116"/>
      <c r="S341" s="116"/>
      <c r="T341" s="116"/>
      <c r="U341" s="116"/>
      <c r="V341" s="116"/>
      <c r="W341" s="50">
        <v>3.0</v>
      </c>
      <c r="X341" s="50">
        <v>1.0</v>
      </c>
      <c r="Y341" s="50">
        <v>3.0</v>
      </c>
      <c r="Z341" s="50">
        <v>0.0</v>
      </c>
      <c r="AA341" s="50">
        <v>2.0</v>
      </c>
      <c r="AB341" s="50">
        <v>1.0</v>
      </c>
      <c r="AC341" s="50">
        <v>3.0</v>
      </c>
      <c r="AD341" s="50">
        <v>0.0</v>
      </c>
      <c r="AE341" s="50">
        <v>1.0</v>
      </c>
      <c r="AF341" s="50">
        <v>1.0</v>
      </c>
      <c r="AG341" s="50">
        <v>1.0</v>
      </c>
      <c r="AH341" s="50">
        <v>3.0</v>
      </c>
      <c r="AI341" s="50">
        <v>0.0</v>
      </c>
      <c r="AJ341" s="116"/>
      <c r="AK341" s="50" t="s">
        <v>11131</v>
      </c>
      <c r="AL341" s="50">
        <v>6.0</v>
      </c>
      <c r="AM341" s="50">
        <v>1.0</v>
      </c>
      <c r="AN341" s="50" t="s">
        <v>10629</v>
      </c>
      <c r="AO341" s="117">
        <v>4838.0</v>
      </c>
      <c r="AP341" s="50" t="s">
        <v>11132</v>
      </c>
      <c r="AQ341" s="50" t="s">
        <v>11133</v>
      </c>
      <c r="AR341" s="117">
        <v>341.0</v>
      </c>
    </row>
    <row r="342">
      <c r="A342" s="50" t="s">
        <v>11126</v>
      </c>
      <c r="B342" s="50" t="s">
        <v>6876</v>
      </c>
      <c r="C342" s="50" t="s">
        <v>6877</v>
      </c>
      <c r="D342" s="50" t="s">
        <v>8493</v>
      </c>
      <c r="E342" s="144">
        <v>43773.0</v>
      </c>
      <c r="F342" s="50" t="s">
        <v>11136</v>
      </c>
      <c r="G342" s="50">
        <v>59.0</v>
      </c>
      <c r="H342" s="50">
        <v>1.0</v>
      </c>
      <c r="I342" s="50">
        <v>99.0</v>
      </c>
      <c r="J342" s="116"/>
      <c r="K342" s="116"/>
      <c r="L342" s="50" t="s">
        <v>1515</v>
      </c>
      <c r="M342" s="50" t="s">
        <v>1515</v>
      </c>
      <c r="N342" s="50" t="s">
        <v>11091</v>
      </c>
      <c r="O342" s="50" t="s">
        <v>11093</v>
      </c>
      <c r="P342" s="50" t="s">
        <v>11116</v>
      </c>
      <c r="Q342" s="50" t="s">
        <v>11118</v>
      </c>
      <c r="R342" s="116"/>
      <c r="S342" s="116"/>
      <c r="T342" s="116"/>
      <c r="U342" s="116"/>
      <c r="V342" s="116"/>
      <c r="W342" s="50">
        <v>7.0</v>
      </c>
      <c r="X342" s="50">
        <v>100.0</v>
      </c>
      <c r="Y342" s="50">
        <v>3.0</v>
      </c>
      <c r="Z342" s="50">
        <v>0.0</v>
      </c>
      <c r="AA342" s="116"/>
      <c r="AB342" s="116"/>
      <c r="AC342" s="116"/>
      <c r="AD342" s="116"/>
      <c r="AE342" s="116"/>
      <c r="AF342" s="116"/>
      <c r="AG342" s="116"/>
      <c r="AH342" s="116"/>
      <c r="AI342" s="116"/>
      <c r="AJ342" s="116"/>
      <c r="AK342" s="50" t="s">
        <v>11141</v>
      </c>
      <c r="AL342" s="50">
        <v>6.0</v>
      </c>
      <c r="AM342" s="50">
        <v>1.0</v>
      </c>
      <c r="AN342" s="50" t="s">
        <v>10629</v>
      </c>
      <c r="AO342" s="117">
        <v>4839.0</v>
      </c>
      <c r="AP342" s="50" t="s">
        <v>11142</v>
      </c>
      <c r="AQ342" s="50" t="s">
        <v>11143</v>
      </c>
      <c r="AR342" s="117">
        <v>342.0</v>
      </c>
    </row>
    <row r="343">
      <c r="A343" s="50" t="s">
        <v>11136</v>
      </c>
      <c r="B343" s="50" t="s">
        <v>6876</v>
      </c>
      <c r="C343" s="50" t="s">
        <v>6877</v>
      </c>
      <c r="D343" s="50" t="s">
        <v>8493</v>
      </c>
      <c r="E343" s="144">
        <v>43773.0</v>
      </c>
      <c r="F343" s="50" t="s">
        <v>11146</v>
      </c>
      <c r="G343" s="50">
        <v>59.0</v>
      </c>
      <c r="H343" s="50">
        <v>1.0</v>
      </c>
      <c r="I343" s="50">
        <v>11.0</v>
      </c>
      <c r="J343" s="116"/>
      <c r="K343" s="116"/>
      <c r="L343" s="50" t="s">
        <v>1517</v>
      </c>
      <c r="M343" s="50" t="s">
        <v>1517</v>
      </c>
      <c r="N343" s="50" t="s">
        <v>11091</v>
      </c>
      <c r="O343" s="50" t="s">
        <v>11093</v>
      </c>
      <c r="P343" s="50" t="s">
        <v>11116</v>
      </c>
      <c r="Q343" s="50" t="s">
        <v>11118</v>
      </c>
      <c r="R343" s="116"/>
      <c r="S343" s="116"/>
      <c r="T343" s="116"/>
      <c r="U343" s="116"/>
      <c r="V343" s="116"/>
      <c r="W343" s="50">
        <v>3.0</v>
      </c>
      <c r="X343" s="50">
        <v>1.0</v>
      </c>
      <c r="Y343" s="50">
        <v>3.0</v>
      </c>
      <c r="Z343" s="50">
        <v>21.0</v>
      </c>
      <c r="AA343" s="50">
        <v>2.0</v>
      </c>
      <c r="AB343" s="50">
        <v>1.0</v>
      </c>
      <c r="AC343" s="50">
        <v>3.0</v>
      </c>
      <c r="AD343" s="50">
        <v>0.0</v>
      </c>
      <c r="AE343" s="50">
        <v>1.0</v>
      </c>
      <c r="AF343" s="50">
        <v>1.0</v>
      </c>
      <c r="AG343" s="50">
        <v>1.0</v>
      </c>
      <c r="AH343" s="50">
        <v>3.0</v>
      </c>
      <c r="AI343" s="50">
        <v>0.0</v>
      </c>
      <c r="AJ343" s="116"/>
      <c r="AK343" s="50" t="s">
        <v>11153</v>
      </c>
      <c r="AL343" s="50">
        <v>6.0</v>
      </c>
      <c r="AM343" s="50">
        <v>1.0</v>
      </c>
      <c r="AN343" s="50" t="s">
        <v>10629</v>
      </c>
      <c r="AO343" s="117">
        <v>4840.0</v>
      </c>
      <c r="AP343" s="50" t="s">
        <v>11156</v>
      </c>
      <c r="AQ343" s="50" t="s">
        <v>11157</v>
      </c>
      <c r="AR343" s="117">
        <v>343.0</v>
      </c>
    </row>
    <row r="344">
      <c r="A344" s="50" t="s">
        <v>11158</v>
      </c>
      <c r="B344" s="50" t="s">
        <v>6876</v>
      </c>
      <c r="C344" s="50" t="s">
        <v>6877</v>
      </c>
      <c r="D344" s="50" t="s">
        <v>8493</v>
      </c>
      <c r="E344" s="144">
        <v>43773.0</v>
      </c>
      <c r="F344" s="50" t="s">
        <v>11160</v>
      </c>
      <c r="G344" s="50">
        <v>59.0</v>
      </c>
      <c r="H344" s="50">
        <v>1.0</v>
      </c>
      <c r="I344" s="50">
        <v>99.0</v>
      </c>
      <c r="J344" s="116"/>
      <c r="K344" s="116"/>
      <c r="L344" s="50" t="s">
        <v>1518</v>
      </c>
      <c r="M344" s="50" t="s">
        <v>1518</v>
      </c>
      <c r="N344" s="50" t="s">
        <v>11091</v>
      </c>
      <c r="O344" s="50" t="s">
        <v>11093</v>
      </c>
      <c r="P344" s="50" t="s">
        <v>11116</v>
      </c>
      <c r="Q344" s="50" t="s">
        <v>11118</v>
      </c>
      <c r="R344" s="116"/>
      <c r="S344" s="116"/>
      <c r="T344" s="116"/>
      <c r="U344" s="116"/>
      <c r="V344" s="116"/>
      <c r="W344" s="50">
        <v>7.0</v>
      </c>
      <c r="X344" s="50">
        <v>100.0</v>
      </c>
      <c r="Y344" s="50">
        <v>3.0</v>
      </c>
      <c r="Z344" s="50">
        <v>0.0</v>
      </c>
      <c r="AA344" s="116"/>
      <c r="AB344" s="116"/>
      <c r="AC344" s="116"/>
      <c r="AD344" s="116"/>
      <c r="AE344" s="116"/>
      <c r="AF344" s="116"/>
      <c r="AG344" s="116"/>
      <c r="AH344" s="116"/>
      <c r="AI344" s="116"/>
      <c r="AJ344" s="116"/>
      <c r="AK344" s="50" t="s">
        <v>11165</v>
      </c>
      <c r="AL344" s="50">
        <v>6.0</v>
      </c>
      <c r="AM344" s="50">
        <v>1.0</v>
      </c>
      <c r="AN344" s="50" t="s">
        <v>10629</v>
      </c>
      <c r="AO344" s="117">
        <v>4841.0</v>
      </c>
      <c r="AP344" s="50" t="s">
        <v>11166</v>
      </c>
      <c r="AQ344" s="50" t="s">
        <v>11167</v>
      </c>
      <c r="AR344" s="117">
        <v>344.0</v>
      </c>
    </row>
    <row r="345">
      <c r="A345" s="50" t="s">
        <v>11160</v>
      </c>
      <c r="B345" s="50" t="s">
        <v>6876</v>
      </c>
      <c r="C345" s="50" t="s">
        <v>6877</v>
      </c>
      <c r="D345" s="50" t="s">
        <v>8493</v>
      </c>
      <c r="E345" s="144">
        <v>43773.0</v>
      </c>
      <c r="F345" s="50" t="s">
        <v>11170</v>
      </c>
      <c r="G345" s="50">
        <v>59.0</v>
      </c>
      <c r="H345" s="50">
        <v>1.0</v>
      </c>
      <c r="I345" s="50">
        <v>11.0</v>
      </c>
      <c r="J345" s="116"/>
      <c r="K345" s="116"/>
      <c r="L345" s="50" t="s">
        <v>1520</v>
      </c>
      <c r="M345" s="50" t="s">
        <v>1520</v>
      </c>
      <c r="N345" s="50" t="s">
        <v>11091</v>
      </c>
      <c r="O345" s="50" t="s">
        <v>11093</v>
      </c>
      <c r="P345" s="50" t="s">
        <v>11116</v>
      </c>
      <c r="Q345" s="50" t="s">
        <v>11118</v>
      </c>
      <c r="R345" s="116"/>
      <c r="S345" s="116"/>
      <c r="T345" s="116"/>
      <c r="U345" s="116"/>
      <c r="V345" s="116"/>
      <c r="W345" s="50">
        <v>3.0</v>
      </c>
      <c r="X345" s="50">
        <v>1.0</v>
      </c>
      <c r="Y345" s="50">
        <v>3.0</v>
      </c>
      <c r="Z345" s="50">
        <v>38.0</v>
      </c>
      <c r="AA345" s="50">
        <v>2.0</v>
      </c>
      <c r="AB345" s="50">
        <v>1.0</v>
      </c>
      <c r="AC345" s="50">
        <v>3.0</v>
      </c>
      <c r="AD345" s="50">
        <v>5.0</v>
      </c>
      <c r="AE345" s="50">
        <v>1.0</v>
      </c>
      <c r="AF345" s="50">
        <v>1.0</v>
      </c>
      <c r="AG345" s="50">
        <v>1.0</v>
      </c>
      <c r="AH345" s="50">
        <v>3.0</v>
      </c>
      <c r="AI345" s="50">
        <v>0.0</v>
      </c>
      <c r="AJ345" s="116"/>
      <c r="AK345" s="50" t="s">
        <v>11176</v>
      </c>
      <c r="AL345" s="50">
        <v>6.0</v>
      </c>
      <c r="AM345" s="50">
        <v>1.0</v>
      </c>
      <c r="AN345" s="50" t="s">
        <v>10629</v>
      </c>
      <c r="AO345" s="117">
        <v>4842.0</v>
      </c>
      <c r="AP345" s="50" t="s">
        <v>11177</v>
      </c>
      <c r="AQ345" s="50" t="s">
        <v>11178</v>
      </c>
      <c r="AR345" s="117">
        <v>345.0</v>
      </c>
    </row>
    <row r="346">
      <c r="A346" s="50" t="s">
        <v>11170</v>
      </c>
      <c r="B346" s="50" t="s">
        <v>6876</v>
      </c>
      <c r="C346" s="50" t="s">
        <v>6877</v>
      </c>
      <c r="D346" s="50" t="s">
        <v>8493</v>
      </c>
      <c r="E346" s="144">
        <v>43773.0</v>
      </c>
      <c r="F346" s="50" t="s">
        <v>11181</v>
      </c>
      <c r="G346" s="50">
        <v>59.0</v>
      </c>
      <c r="H346" s="50">
        <v>1.0</v>
      </c>
      <c r="I346" s="50">
        <v>99.0</v>
      </c>
      <c r="J346" s="116"/>
      <c r="K346" s="116"/>
      <c r="L346" s="50" t="s">
        <v>1521</v>
      </c>
      <c r="M346" s="50" t="s">
        <v>1521</v>
      </c>
      <c r="N346" s="50" t="s">
        <v>11091</v>
      </c>
      <c r="O346" s="50" t="s">
        <v>11093</v>
      </c>
      <c r="P346" s="50" t="s">
        <v>11116</v>
      </c>
      <c r="Q346" s="50" t="s">
        <v>11118</v>
      </c>
      <c r="R346" s="116"/>
      <c r="S346" s="116"/>
      <c r="T346" s="116"/>
      <c r="U346" s="116"/>
      <c r="V346" s="116"/>
      <c r="W346" s="50">
        <v>7.0</v>
      </c>
      <c r="X346" s="50">
        <v>100.0</v>
      </c>
      <c r="Y346" s="50">
        <v>3.0</v>
      </c>
      <c r="Z346" s="50">
        <v>0.0</v>
      </c>
      <c r="AA346" s="116"/>
      <c r="AB346" s="116"/>
      <c r="AC346" s="116"/>
      <c r="AD346" s="116"/>
      <c r="AE346" s="116"/>
      <c r="AF346" s="116"/>
      <c r="AG346" s="116"/>
      <c r="AH346" s="116"/>
      <c r="AI346" s="116"/>
      <c r="AJ346" s="116"/>
      <c r="AK346" s="50" t="s">
        <v>11190</v>
      </c>
      <c r="AL346" s="50">
        <v>6.0</v>
      </c>
      <c r="AM346" s="50">
        <v>1.0</v>
      </c>
      <c r="AN346" s="50" t="s">
        <v>10629</v>
      </c>
      <c r="AO346" s="117">
        <v>4843.0</v>
      </c>
      <c r="AP346" s="50" t="s">
        <v>11193</v>
      </c>
      <c r="AQ346" s="50" t="s">
        <v>11194</v>
      </c>
      <c r="AR346" s="117">
        <v>346.0</v>
      </c>
    </row>
    <row r="347">
      <c r="A347" s="50" t="s">
        <v>11181</v>
      </c>
      <c r="B347" s="50" t="s">
        <v>6876</v>
      </c>
      <c r="C347" s="50" t="s">
        <v>6877</v>
      </c>
      <c r="D347" s="50" t="s">
        <v>8493</v>
      </c>
      <c r="E347" s="144">
        <v>43773.0</v>
      </c>
      <c r="F347" s="50" t="s">
        <v>11195</v>
      </c>
      <c r="G347" s="50">
        <v>66.0</v>
      </c>
      <c r="H347" s="50">
        <v>1.0</v>
      </c>
      <c r="I347" s="50">
        <v>99.0</v>
      </c>
      <c r="J347" s="116"/>
      <c r="K347" s="116"/>
      <c r="L347" s="50" t="s">
        <v>1503</v>
      </c>
      <c r="M347" s="50" t="s">
        <v>1503</v>
      </c>
      <c r="N347" s="50" t="s">
        <v>11091</v>
      </c>
      <c r="O347" s="50" t="s">
        <v>11093</v>
      </c>
      <c r="P347" s="50" t="s">
        <v>11116</v>
      </c>
      <c r="Q347" s="50" t="s">
        <v>11118</v>
      </c>
      <c r="R347" s="116"/>
      <c r="S347" s="116"/>
      <c r="T347" s="116"/>
      <c r="U347" s="116"/>
      <c r="V347" s="116"/>
      <c r="W347" s="50">
        <v>7.0</v>
      </c>
      <c r="X347" s="50">
        <v>100.0</v>
      </c>
      <c r="Y347" s="50">
        <v>3.0</v>
      </c>
      <c r="Z347" s="50">
        <v>0.0</v>
      </c>
      <c r="AA347" s="116"/>
      <c r="AB347" s="116"/>
      <c r="AC347" s="116"/>
      <c r="AD347" s="116"/>
      <c r="AE347" s="116"/>
      <c r="AF347" s="116"/>
      <c r="AG347" s="116"/>
      <c r="AH347" s="116"/>
      <c r="AI347" s="116"/>
      <c r="AJ347" s="116"/>
      <c r="AK347" s="50" t="s">
        <v>11201</v>
      </c>
      <c r="AL347" s="50">
        <v>6.0</v>
      </c>
      <c r="AM347" s="50">
        <v>1.0</v>
      </c>
      <c r="AN347" s="50" t="s">
        <v>10629</v>
      </c>
      <c r="AO347" s="117">
        <v>4844.0</v>
      </c>
      <c r="AP347" s="50" t="s">
        <v>11204</v>
      </c>
      <c r="AQ347" s="50" t="s">
        <v>11206</v>
      </c>
      <c r="AR347" s="117">
        <v>347.0</v>
      </c>
    </row>
    <row r="348">
      <c r="A348" s="50" t="s">
        <v>11195</v>
      </c>
      <c r="B348" s="50" t="s">
        <v>6876</v>
      </c>
      <c r="C348" s="50" t="s">
        <v>6877</v>
      </c>
      <c r="D348" s="50" t="s">
        <v>8493</v>
      </c>
      <c r="E348" s="144">
        <v>43773.0</v>
      </c>
      <c r="F348" s="50" t="s">
        <v>11207</v>
      </c>
      <c r="G348" s="50">
        <v>59.0</v>
      </c>
      <c r="H348" s="50">
        <v>1.0</v>
      </c>
      <c r="I348" s="50">
        <v>99.0</v>
      </c>
      <c r="J348" s="116"/>
      <c r="K348" s="116"/>
      <c r="L348" s="50" t="s">
        <v>1506</v>
      </c>
      <c r="M348" s="50" t="s">
        <v>1506</v>
      </c>
      <c r="N348" s="50" t="s">
        <v>11091</v>
      </c>
      <c r="O348" s="50" t="s">
        <v>11093</v>
      </c>
      <c r="P348" s="50" t="s">
        <v>11116</v>
      </c>
      <c r="Q348" s="50" t="s">
        <v>11118</v>
      </c>
      <c r="R348" s="116"/>
      <c r="S348" s="116"/>
      <c r="T348" s="116"/>
      <c r="U348" s="116"/>
      <c r="V348" s="116"/>
      <c r="W348" s="50">
        <v>7.0</v>
      </c>
      <c r="X348" s="50">
        <v>100.0</v>
      </c>
      <c r="Y348" s="50">
        <v>3.0</v>
      </c>
      <c r="Z348" s="50">
        <v>0.0</v>
      </c>
      <c r="AA348" s="116"/>
      <c r="AB348" s="116"/>
      <c r="AC348" s="116"/>
      <c r="AD348" s="116"/>
      <c r="AE348" s="116"/>
      <c r="AF348" s="116"/>
      <c r="AG348" s="116"/>
      <c r="AH348" s="116"/>
      <c r="AI348" s="116"/>
      <c r="AJ348" s="116"/>
      <c r="AK348" s="50" t="s">
        <v>11218</v>
      </c>
      <c r="AL348" s="50">
        <v>6.0</v>
      </c>
      <c r="AM348" s="50">
        <v>1.0</v>
      </c>
      <c r="AN348" s="50" t="s">
        <v>10629</v>
      </c>
      <c r="AO348" s="117">
        <v>4845.0</v>
      </c>
      <c r="AP348" s="50" t="s">
        <v>11219</v>
      </c>
      <c r="AQ348" s="50" t="s">
        <v>11220</v>
      </c>
      <c r="AR348" s="117">
        <v>348.0</v>
      </c>
    </row>
    <row r="349">
      <c r="A349" s="50" t="s">
        <v>11207</v>
      </c>
      <c r="B349" s="50" t="s">
        <v>6876</v>
      </c>
      <c r="C349" s="50" t="s">
        <v>6877</v>
      </c>
      <c r="D349" s="50" t="s">
        <v>8493</v>
      </c>
      <c r="E349" s="144">
        <v>43773.0</v>
      </c>
      <c r="F349" s="50" t="s">
        <v>11222</v>
      </c>
      <c r="G349" s="50">
        <v>33.0</v>
      </c>
      <c r="H349" s="50">
        <v>1.0</v>
      </c>
      <c r="I349" s="50">
        <v>98.0</v>
      </c>
      <c r="J349" s="116"/>
      <c r="K349" s="116"/>
      <c r="L349" s="50" t="s">
        <v>1524</v>
      </c>
      <c r="M349" s="50" t="s">
        <v>1524</v>
      </c>
      <c r="N349" s="50" t="s">
        <v>11091</v>
      </c>
      <c r="O349" s="50" t="s">
        <v>11093</v>
      </c>
      <c r="P349" s="50" t="s">
        <v>11116</v>
      </c>
      <c r="Q349" s="50" t="s">
        <v>11118</v>
      </c>
      <c r="R349" s="116"/>
      <c r="S349" s="116"/>
      <c r="T349" s="116"/>
      <c r="U349" s="116"/>
      <c r="V349" s="116"/>
      <c r="W349" s="50">
        <v>7.0</v>
      </c>
      <c r="X349" s="50">
        <v>100.0</v>
      </c>
      <c r="Y349" s="50">
        <v>3.0</v>
      </c>
      <c r="Z349" s="50">
        <v>0.0</v>
      </c>
      <c r="AA349" s="116"/>
      <c r="AB349" s="116"/>
      <c r="AC349" s="116"/>
      <c r="AD349" s="116"/>
      <c r="AE349" s="116"/>
      <c r="AF349" s="116"/>
      <c r="AG349" s="116"/>
      <c r="AH349" s="116"/>
      <c r="AI349" s="116"/>
      <c r="AJ349" s="116"/>
      <c r="AK349" s="50" t="s">
        <v>11229</v>
      </c>
      <c r="AL349" s="50">
        <v>6.0</v>
      </c>
      <c r="AM349" s="50">
        <v>1.0</v>
      </c>
      <c r="AN349" s="50" t="s">
        <v>10629</v>
      </c>
      <c r="AO349" s="117">
        <v>4846.0</v>
      </c>
      <c r="AP349" s="50" t="s">
        <v>11230</v>
      </c>
      <c r="AQ349" s="50" t="s">
        <v>11231</v>
      </c>
      <c r="AR349" s="117">
        <v>349.0</v>
      </c>
    </row>
    <row r="350">
      <c r="A350" s="50" t="s">
        <v>11222</v>
      </c>
      <c r="B350" s="50" t="s">
        <v>6876</v>
      </c>
      <c r="C350" s="50" t="s">
        <v>6877</v>
      </c>
      <c r="D350" s="50" t="s">
        <v>8493</v>
      </c>
      <c r="E350" s="144">
        <v>43773.0</v>
      </c>
      <c r="F350" s="50" t="s">
        <v>11232</v>
      </c>
      <c r="G350" s="50">
        <v>58.0</v>
      </c>
      <c r="H350" s="50">
        <v>1.0</v>
      </c>
      <c r="I350" s="50">
        <v>15.0</v>
      </c>
      <c r="J350" s="116"/>
      <c r="K350" s="50">
        <v>151.0</v>
      </c>
      <c r="L350" s="50" t="s">
        <v>609</v>
      </c>
      <c r="M350" s="50" t="s">
        <v>609</v>
      </c>
      <c r="N350" s="50" t="s">
        <v>11240</v>
      </c>
      <c r="O350" s="50" t="s">
        <v>11118</v>
      </c>
      <c r="P350" s="50" t="s">
        <v>11242</v>
      </c>
      <c r="Q350" s="50" t="s">
        <v>11243</v>
      </c>
      <c r="R350" s="116"/>
      <c r="S350" s="116"/>
      <c r="T350" s="116"/>
      <c r="U350" s="116"/>
      <c r="V350" s="116"/>
      <c r="W350" s="50">
        <v>6.0</v>
      </c>
      <c r="X350" s="50">
        <v>1.0</v>
      </c>
      <c r="Y350" s="50">
        <v>3.0</v>
      </c>
      <c r="Z350" s="50">
        <v>3.0</v>
      </c>
      <c r="AA350" s="50">
        <v>5.0</v>
      </c>
      <c r="AB350" s="50">
        <v>1.0</v>
      </c>
      <c r="AC350" s="50">
        <v>3.0</v>
      </c>
      <c r="AD350" s="50">
        <v>1.0</v>
      </c>
      <c r="AE350" s="50">
        <v>1.0</v>
      </c>
      <c r="AF350" s="50">
        <v>4.0</v>
      </c>
      <c r="AG350" s="50">
        <v>1.0</v>
      </c>
      <c r="AH350" s="50">
        <v>3.0</v>
      </c>
      <c r="AI350" s="50">
        <v>0.0</v>
      </c>
      <c r="AJ350" s="116"/>
      <c r="AK350" s="50" t="s">
        <v>11246</v>
      </c>
      <c r="AL350" s="50">
        <v>4.0</v>
      </c>
      <c r="AM350" s="50">
        <v>1.0</v>
      </c>
      <c r="AN350" s="50" t="s">
        <v>10629</v>
      </c>
      <c r="AO350" s="117">
        <v>4847.0</v>
      </c>
      <c r="AP350" s="50" t="s">
        <v>11251</v>
      </c>
      <c r="AQ350" s="50" t="s">
        <v>11252</v>
      </c>
      <c r="AR350" s="117">
        <v>350.0</v>
      </c>
    </row>
    <row r="351">
      <c r="A351" s="50" t="s">
        <v>11232</v>
      </c>
      <c r="B351" s="50" t="s">
        <v>6876</v>
      </c>
      <c r="C351" s="50" t="s">
        <v>6877</v>
      </c>
      <c r="D351" s="50" t="s">
        <v>8493</v>
      </c>
      <c r="E351" s="144">
        <v>43773.0</v>
      </c>
      <c r="F351" s="50" t="s">
        <v>11255</v>
      </c>
      <c r="G351" s="50">
        <v>58.0</v>
      </c>
      <c r="H351" s="50">
        <v>1.0</v>
      </c>
      <c r="I351" s="50">
        <v>15.0</v>
      </c>
      <c r="J351" s="116"/>
      <c r="K351" s="50">
        <v>152.0</v>
      </c>
      <c r="L351" s="50" t="s">
        <v>606</v>
      </c>
      <c r="M351" s="50" t="s">
        <v>606</v>
      </c>
      <c r="N351" s="50" t="s">
        <v>11240</v>
      </c>
      <c r="O351" s="50" t="s">
        <v>11118</v>
      </c>
      <c r="P351" s="50" t="s">
        <v>11242</v>
      </c>
      <c r="Q351" s="50" t="s">
        <v>11243</v>
      </c>
      <c r="R351" s="116"/>
      <c r="S351" s="116"/>
      <c r="T351" s="116"/>
      <c r="U351" s="116"/>
      <c r="V351" s="116"/>
      <c r="W351" s="50">
        <v>6.0</v>
      </c>
      <c r="X351" s="50">
        <v>1.0</v>
      </c>
      <c r="Y351" s="50">
        <v>3.0</v>
      </c>
      <c r="Z351" s="50">
        <v>0.0</v>
      </c>
      <c r="AA351" s="50">
        <v>5.0</v>
      </c>
      <c r="AB351" s="50">
        <v>1.0</v>
      </c>
      <c r="AC351" s="50">
        <v>3.0</v>
      </c>
      <c r="AD351" s="50">
        <v>0.0</v>
      </c>
      <c r="AE351" s="50">
        <v>1.0</v>
      </c>
      <c r="AF351" s="50">
        <v>4.0</v>
      </c>
      <c r="AG351" s="50">
        <v>1.0</v>
      </c>
      <c r="AH351" s="50">
        <v>3.0</v>
      </c>
      <c r="AI351" s="50">
        <v>0.0</v>
      </c>
      <c r="AJ351" s="116"/>
      <c r="AK351" s="50" t="s">
        <v>11262</v>
      </c>
      <c r="AL351" s="50">
        <v>6.0</v>
      </c>
      <c r="AM351" s="50">
        <v>1.0</v>
      </c>
      <c r="AN351" s="50" t="s">
        <v>10629</v>
      </c>
      <c r="AO351" s="117">
        <v>4848.0</v>
      </c>
      <c r="AP351" s="50" t="s">
        <v>11263</v>
      </c>
      <c r="AQ351" s="50" t="s">
        <v>11264</v>
      </c>
      <c r="AR351" s="117">
        <v>351.0</v>
      </c>
    </row>
    <row r="352">
      <c r="A352" s="50" t="s">
        <v>11255</v>
      </c>
      <c r="B352" s="50" t="s">
        <v>6876</v>
      </c>
      <c r="C352" s="50" t="s">
        <v>6877</v>
      </c>
      <c r="D352" s="50" t="s">
        <v>8493</v>
      </c>
      <c r="E352" s="144">
        <v>43773.0</v>
      </c>
      <c r="F352" s="50" t="s">
        <v>11268</v>
      </c>
      <c r="G352" s="50">
        <v>58.0</v>
      </c>
      <c r="H352" s="50">
        <v>1.0</v>
      </c>
      <c r="I352" s="50">
        <v>15.0</v>
      </c>
      <c r="J352" s="116"/>
      <c r="K352" s="50">
        <v>152.0</v>
      </c>
      <c r="L352" s="50" t="s">
        <v>610</v>
      </c>
      <c r="M352" s="50" t="s">
        <v>610</v>
      </c>
      <c r="N352" s="50" t="s">
        <v>11240</v>
      </c>
      <c r="O352" s="50" t="s">
        <v>11118</v>
      </c>
      <c r="P352" s="50" t="s">
        <v>11242</v>
      </c>
      <c r="Q352" s="50" t="s">
        <v>11243</v>
      </c>
      <c r="R352" s="116"/>
      <c r="S352" s="116"/>
      <c r="T352" s="116"/>
      <c r="U352" s="116"/>
      <c r="V352" s="116"/>
      <c r="W352" s="50">
        <v>6.0</v>
      </c>
      <c r="X352" s="50">
        <v>1.0</v>
      </c>
      <c r="Y352" s="50">
        <v>3.0</v>
      </c>
      <c r="Z352" s="50">
        <v>0.0</v>
      </c>
      <c r="AA352" s="50">
        <v>5.0</v>
      </c>
      <c r="AB352" s="50">
        <v>1.0</v>
      </c>
      <c r="AC352" s="50">
        <v>3.0</v>
      </c>
      <c r="AD352" s="50">
        <v>0.0</v>
      </c>
      <c r="AE352" s="50">
        <v>1.0</v>
      </c>
      <c r="AF352" s="50">
        <v>4.0</v>
      </c>
      <c r="AG352" s="50">
        <v>1.0</v>
      </c>
      <c r="AH352" s="50">
        <v>3.0</v>
      </c>
      <c r="AI352" s="50">
        <v>0.0</v>
      </c>
      <c r="AJ352" s="116"/>
      <c r="AK352" s="50" t="s">
        <v>11278</v>
      </c>
      <c r="AL352" s="50">
        <v>4.0</v>
      </c>
      <c r="AM352" s="50">
        <v>1.0</v>
      </c>
      <c r="AN352" s="50" t="s">
        <v>10629</v>
      </c>
      <c r="AO352" s="117">
        <v>4849.0</v>
      </c>
      <c r="AP352" s="50" t="s">
        <v>11283</v>
      </c>
      <c r="AQ352" s="50" t="s">
        <v>11284</v>
      </c>
      <c r="AR352" s="117">
        <v>352.0</v>
      </c>
    </row>
    <row r="353">
      <c r="A353" s="50" t="s">
        <v>11268</v>
      </c>
      <c r="B353" s="50" t="s">
        <v>6876</v>
      </c>
      <c r="C353" s="50" t="s">
        <v>6877</v>
      </c>
      <c r="D353" s="50" t="s">
        <v>8493</v>
      </c>
      <c r="E353" s="144">
        <v>43773.0</v>
      </c>
      <c r="F353" s="50" t="s">
        <v>11287</v>
      </c>
      <c r="G353" s="50">
        <v>58.0</v>
      </c>
      <c r="H353" s="50">
        <v>1.0</v>
      </c>
      <c r="I353" s="50">
        <v>15.0</v>
      </c>
      <c r="J353" s="116"/>
      <c r="K353" s="50">
        <v>152.0</v>
      </c>
      <c r="L353" s="50" t="s">
        <v>612</v>
      </c>
      <c r="M353" s="50" t="s">
        <v>612</v>
      </c>
      <c r="N353" s="50" t="s">
        <v>11240</v>
      </c>
      <c r="O353" s="50" t="s">
        <v>11118</v>
      </c>
      <c r="P353" s="50" t="s">
        <v>11242</v>
      </c>
      <c r="Q353" s="50" t="s">
        <v>11243</v>
      </c>
      <c r="R353" s="116"/>
      <c r="S353" s="116"/>
      <c r="T353" s="116"/>
      <c r="U353" s="116"/>
      <c r="V353" s="116"/>
      <c r="W353" s="50">
        <v>6.0</v>
      </c>
      <c r="X353" s="50">
        <v>1.0</v>
      </c>
      <c r="Y353" s="50">
        <v>2.0</v>
      </c>
      <c r="Z353" s="116"/>
      <c r="AA353" s="50">
        <v>5.0</v>
      </c>
      <c r="AB353" s="50">
        <v>1.0</v>
      </c>
      <c r="AC353" s="50">
        <v>3.0</v>
      </c>
      <c r="AD353" s="50">
        <v>1.0</v>
      </c>
      <c r="AE353" s="50">
        <v>1.0</v>
      </c>
      <c r="AF353" s="50">
        <v>4.0</v>
      </c>
      <c r="AG353" s="50">
        <v>1.0</v>
      </c>
      <c r="AH353" s="50">
        <v>3.0</v>
      </c>
      <c r="AI353" s="50">
        <v>1.0</v>
      </c>
      <c r="AJ353" s="116"/>
      <c r="AK353" s="50" t="s">
        <v>11294</v>
      </c>
      <c r="AL353" s="50">
        <v>6.0</v>
      </c>
      <c r="AM353" s="50">
        <v>1.0</v>
      </c>
      <c r="AN353" s="50" t="s">
        <v>10629</v>
      </c>
      <c r="AO353" s="117">
        <v>4850.0</v>
      </c>
      <c r="AP353" s="50" t="s">
        <v>11295</v>
      </c>
      <c r="AQ353" s="50" t="s">
        <v>11296</v>
      </c>
      <c r="AR353" s="117">
        <v>353.0</v>
      </c>
    </row>
    <row r="354">
      <c r="A354" s="50" t="s">
        <v>11299</v>
      </c>
      <c r="B354" s="50" t="s">
        <v>6876</v>
      </c>
      <c r="C354" s="50" t="s">
        <v>6877</v>
      </c>
      <c r="D354" s="50" t="s">
        <v>8493</v>
      </c>
      <c r="E354" s="144">
        <v>43773.0</v>
      </c>
      <c r="F354" s="50" t="s">
        <v>11301</v>
      </c>
      <c r="G354" s="50">
        <v>58.0</v>
      </c>
      <c r="H354" s="50">
        <v>1.0</v>
      </c>
      <c r="I354" s="50">
        <v>99.0</v>
      </c>
      <c r="J354" s="116"/>
      <c r="K354" s="116"/>
      <c r="L354" s="50" t="s">
        <v>614</v>
      </c>
      <c r="M354" s="50" t="s">
        <v>614</v>
      </c>
      <c r="N354" s="50" t="s">
        <v>11240</v>
      </c>
      <c r="O354" s="50" t="s">
        <v>11118</v>
      </c>
      <c r="P354" s="50" t="s">
        <v>11242</v>
      </c>
      <c r="Q354" s="50" t="s">
        <v>11243</v>
      </c>
      <c r="R354" s="116"/>
      <c r="S354" s="116"/>
      <c r="T354" s="116"/>
      <c r="U354" s="116"/>
      <c r="V354" s="116"/>
      <c r="W354" s="50">
        <v>7.0</v>
      </c>
      <c r="X354" s="50">
        <v>100.0</v>
      </c>
      <c r="Y354" s="50">
        <v>3.0</v>
      </c>
      <c r="Z354" s="50">
        <v>0.0</v>
      </c>
      <c r="AA354" s="116"/>
      <c r="AB354" s="116"/>
      <c r="AC354" s="116"/>
      <c r="AD354" s="116"/>
      <c r="AE354" s="116"/>
      <c r="AF354" s="116"/>
      <c r="AG354" s="116"/>
      <c r="AH354" s="116"/>
      <c r="AI354" s="116"/>
      <c r="AJ354" s="116"/>
      <c r="AK354" s="50" t="s">
        <v>11310</v>
      </c>
      <c r="AL354" s="50">
        <v>6.0</v>
      </c>
      <c r="AM354" s="50">
        <v>1.0</v>
      </c>
      <c r="AN354" s="50" t="s">
        <v>10629</v>
      </c>
      <c r="AO354" s="117">
        <v>4851.0</v>
      </c>
      <c r="AP354" s="50" t="s">
        <v>11312</v>
      </c>
      <c r="AQ354" s="50" t="s">
        <v>11315</v>
      </c>
      <c r="AR354" s="117">
        <v>354.0</v>
      </c>
    </row>
    <row r="355">
      <c r="A355" s="50" t="s">
        <v>11301</v>
      </c>
      <c r="B355" s="50" t="s">
        <v>6876</v>
      </c>
      <c r="C355" s="50" t="s">
        <v>6877</v>
      </c>
      <c r="D355" s="50" t="s">
        <v>8493</v>
      </c>
      <c r="E355" s="144">
        <v>43773.0</v>
      </c>
      <c r="F355" s="50" t="s">
        <v>11318</v>
      </c>
      <c r="G355" s="50">
        <v>59.0</v>
      </c>
      <c r="H355" s="50">
        <v>1.0</v>
      </c>
      <c r="I355" s="50">
        <v>11.0</v>
      </c>
      <c r="J355" s="116"/>
      <c r="K355" s="116"/>
      <c r="L355" s="50" t="s">
        <v>1525</v>
      </c>
      <c r="M355" s="50" t="s">
        <v>1525</v>
      </c>
      <c r="N355" s="50" t="s">
        <v>11240</v>
      </c>
      <c r="O355" s="50" t="s">
        <v>11118</v>
      </c>
      <c r="P355" s="50" t="s">
        <v>11242</v>
      </c>
      <c r="Q355" s="50" t="s">
        <v>11243</v>
      </c>
      <c r="R355" s="116"/>
      <c r="S355" s="116"/>
      <c r="T355" s="116"/>
      <c r="U355" s="116"/>
      <c r="V355" s="116"/>
      <c r="W355" s="50">
        <v>3.0</v>
      </c>
      <c r="X355" s="50">
        <v>1.0</v>
      </c>
      <c r="Y355" s="50">
        <v>3.0</v>
      </c>
      <c r="Z355" s="50">
        <v>34.0</v>
      </c>
      <c r="AA355" s="50">
        <v>2.0</v>
      </c>
      <c r="AB355" s="50">
        <v>1.0</v>
      </c>
      <c r="AC355" s="50">
        <v>3.0</v>
      </c>
      <c r="AD355" s="50">
        <v>6.0</v>
      </c>
      <c r="AE355" s="50">
        <v>1.0</v>
      </c>
      <c r="AF355" s="50">
        <v>1.0</v>
      </c>
      <c r="AG355" s="50">
        <v>1.0</v>
      </c>
      <c r="AH355" s="50">
        <v>3.0</v>
      </c>
      <c r="AI355" s="50">
        <v>1.0</v>
      </c>
      <c r="AJ355" s="116"/>
      <c r="AK355" s="50" t="s">
        <v>11321</v>
      </c>
      <c r="AL355" s="50">
        <v>6.0</v>
      </c>
      <c r="AM355" s="50">
        <v>1.0</v>
      </c>
      <c r="AN355" s="50" t="s">
        <v>10629</v>
      </c>
      <c r="AO355" s="117">
        <v>4852.0</v>
      </c>
      <c r="AP355" s="50" t="s">
        <v>11323</v>
      </c>
      <c r="AQ355" s="50" t="s">
        <v>11327</v>
      </c>
      <c r="AR355" s="117">
        <v>355.0</v>
      </c>
    </row>
    <row r="356">
      <c r="A356" s="50" t="s">
        <v>11318</v>
      </c>
      <c r="B356" s="50" t="s">
        <v>6876</v>
      </c>
      <c r="C356" s="50" t="s">
        <v>6877</v>
      </c>
      <c r="D356" s="50" t="s">
        <v>8493</v>
      </c>
      <c r="E356" s="144">
        <v>43773.0</v>
      </c>
      <c r="F356" s="50" t="s">
        <v>11332</v>
      </c>
      <c r="G356" s="50">
        <v>59.0</v>
      </c>
      <c r="H356" s="50">
        <v>1.0</v>
      </c>
      <c r="I356" s="50">
        <v>99.0</v>
      </c>
      <c r="J356" s="116"/>
      <c r="K356" s="116"/>
      <c r="L356" s="50" t="s">
        <v>1526</v>
      </c>
      <c r="M356" s="50" t="s">
        <v>1526</v>
      </c>
      <c r="N356" s="50" t="s">
        <v>11240</v>
      </c>
      <c r="O356" s="50" t="s">
        <v>11118</v>
      </c>
      <c r="P356" s="50" t="s">
        <v>11242</v>
      </c>
      <c r="Q356" s="50" t="s">
        <v>11243</v>
      </c>
      <c r="R356" s="116"/>
      <c r="S356" s="116"/>
      <c r="T356" s="116"/>
      <c r="U356" s="116"/>
      <c r="V356" s="116"/>
      <c r="W356" s="50">
        <v>7.0</v>
      </c>
      <c r="X356" s="50">
        <v>100.0</v>
      </c>
      <c r="Y356" s="50">
        <v>3.0</v>
      </c>
      <c r="Z356" s="50">
        <v>0.0</v>
      </c>
      <c r="AA356" s="116"/>
      <c r="AB356" s="116"/>
      <c r="AC356" s="116"/>
      <c r="AD356" s="116"/>
      <c r="AE356" s="116"/>
      <c r="AF356" s="116"/>
      <c r="AG356" s="116"/>
      <c r="AH356" s="116"/>
      <c r="AI356" s="116"/>
      <c r="AJ356" s="116"/>
      <c r="AK356" s="50" t="s">
        <v>11337</v>
      </c>
      <c r="AL356" s="50">
        <v>4.0</v>
      </c>
      <c r="AM356" s="50">
        <v>1.0</v>
      </c>
      <c r="AN356" s="50" t="s">
        <v>10629</v>
      </c>
      <c r="AO356" s="117">
        <v>4853.0</v>
      </c>
      <c r="AP356" s="50" t="s">
        <v>11340</v>
      </c>
      <c r="AQ356" s="50" t="s">
        <v>11341</v>
      </c>
      <c r="AR356" s="117">
        <v>356.0</v>
      </c>
    </row>
    <row r="357">
      <c r="A357" s="50" t="s">
        <v>11332</v>
      </c>
      <c r="B357" s="50" t="s">
        <v>6876</v>
      </c>
      <c r="C357" s="50" t="s">
        <v>6877</v>
      </c>
      <c r="D357" s="50" t="s">
        <v>8493</v>
      </c>
      <c r="E357" s="144">
        <v>43773.0</v>
      </c>
      <c r="F357" s="50" t="s">
        <v>11344</v>
      </c>
      <c r="G357" s="50">
        <v>59.0</v>
      </c>
      <c r="H357" s="50">
        <v>1.0</v>
      </c>
      <c r="I357" s="50">
        <v>11.0</v>
      </c>
      <c r="J357" s="116"/>
      <c r="K357" s="116"/>
      <c r="L357" s="50" t="s">
        <v>1528</v>
      </c>
      <c r="M357" s="50" t="s">
        <v>1528</v>
      </c>
      <c r="N357" s="50" t="s">
        <v>11240</v>
      </c>
      <c r="O357" s="50" t="s">
        <v>11118</v>
      </c>
      <c r="P357" s="50" t="s">
        <v>11242</v>
      </c>
      <c r="Q357" s="50" t="s">
        <v>11243</v>
      </c>
      <c r="R357" s="116"/>
      <c r="S357" s="116"/>
      <c r="T357" s="116"/>
      <c r="U357" s="116"/>
      <c r="V357" s="116"/>
      <c r="W357" s="50">
        <v>3.0</v>
      </c>
      <c r="X357" s="50">
        <v>1.0</v>
      </c>
      <c r="Y357" s="50">
        <v>3.0</v>
      </c>
      <c r="Z357" s="50">
        <v>30.0</v>
      </c>
      <c r="AA357" s="50">
        <v>2.0</v>
      </c>
      <c r="AB357" s="50">
        <v>1.0</v>
      </c>
      <c r="AC357" s="50">
        <v>3.0</v>
      </c>
      <c r="AD357" s="50">
        <v>5.0</v>
      </c>
      <c r="AE357" s="50">
        <v>1.0</v>
      </c>
      <c r="AF357" s="50">
        <v>1.0</v>
      </c>
      <c r="AG357" s="50">
        <v>1.0</v>
      </c>
      <c r="AH357" s="50">
        <v>3.0</v>
      </c>
      <c r="AI357" s="50">
        <v>0.0</v>
      </c>
      <c r="AJ357" s="116"/>
      <c r="AK357" s="50" t="s">
        <v>11347</v>
      </c>
      <c r="AL357" s="50">
        <v>4.0</v>
      </c>
      <c r="AM357" s="50">
        <v>1.0</v>
      </c>
      <c r="AN357" s="50" t="s">
        <v>10629</v>
      </c>
      <c r="AO357" s="117">
        <v>4854.0</v>
      </c>
      <c r="AP357" s="50" t="s">
        <v>11350</v>
      </c>
      <c r="AQ357" s="50" t="s">
        <v>11351</v>
      </c>
      <c r="AR357" s="117">
        <v>357.0</v>
      </c>
    </row>
    <row r="358">
      <c r="A358" s="50" t="s">
        <v>11352</v>
      </c>
      <c r="B358" s="50" t="s">
        <v>6876</v>
      </c>
      <c r="C358" s="50" t="s">
        <v>6877</v>
      </c>
      <c r="D358" s="50" t="s">
        <v>8493</v>
      </c>
      <c r="E358" s="144">
        <v>43773.0</v>
      </c>
      <c r="F358" s="50" t="s">
        <v>11358</v>
      </c>
      <c r="G358" s="50">
        <v>59.0</v>
      </c>
      <c r="H358" s="50">
        <v>1.0</v>
      </c>
      <c r="I358" s="50">
        <v>99.0</v>
      </c>
      <c r="J358" s="116"/>
      <c r="K358" s="116"/>
      <c r="L358" s="50" t="s">
        <v>1529</v>
      </c>
      <c r="M358" s="50" t="s">
        <v>1529</v>
      </c>
      <c r="N358" s="50" t="s">
        <v>11240</v>
      </c>
      <c r="O358" s="50" t="s">
        <v>11118</v>
      </c>
      <c r="P358" s="50" t="s">
        <v>11242</v>
      </c>
      <c r="Q358" s="50" t="s">
        <v>11243</v>
      </c>
      <c r="R358" s="116"/>
      <c r="S358" s="116"/>
      <c r="T358" s="116"/>
      <c r="U358" s="116"/>
      <c r="V358" s="116"/>
      <c r="W358" s="50">
        <v>7.0</v>
      </c>
      <c r="X358" s="50">
        <v>100.0</v>
      </c>
      <c r="Y358" s="50">
        <v>3.0</v>
      </c>
      <c r="Z358" s="50">
        <v>0.0</v>
      </c>
      <c r="AA358" s="116"/>
      <c r="AB358" s="116"/>
      <c r="AC358" s="116"/>
      <c r="AD358" s="116"/>
      <c r="AE358" s="116"/>
      <c r="AF358" s="116"/>
      <c r="AG358" s="116"/>
      <c r="AH358" s="116"/>
      <c r="AI358" s="116"/>
      <c r="AJ358" s="116"/>
      <c r="AK358" s="50" t="s">
        <v>11364</v>
      </c>
      <c r="AL358" s="50">
        <v>4.0</v>
      </c>
      <c r="AM358" s="50">
        <v>1.0</v>
      </c>
      <c r="AN358" s="50" t="s">
        <v>10629</v>
      </c>
      <c r="AO358" s="117">
        <v>4855.0</v>
      </c>
      <c r="AP358" s="50" t="s">
        <v>11367</v>
      </c>
      <c r="AQ358" s="50" t="s">
        <v>11368</v>
      </c>
      <c r="AR358" s="117">
        <v>358.0</v>
      </c>
    </row>
    <row r="359">
      <c r="A359" s="50" t="s">
        <v>11358</v>
      </c>
      <c r="B359" s="50" t="s">
        <v>6876</v>
      </c>
      <c r="C359" s="50" t="s">
        <v>6877</v>
      </c>
      <c r="D359" s="50" t="s">
        <v>8493</v>
      </c>
      <c r="E359" s="144">
        <v>43773.0</v>
      </c>
      <c r="F359" s="50" t="s">
        <v>11369</v>
      </c>
      <c r="G359" s="50">
        <v>33.0</v>
      </c>
      <c r="H359" s="50">
        <v>1.0</v>
      </c>
      <c r="I359" s="50">
        <v>98.0</v>
      </c>
      <c r="J359" s="116"/>
      <c r="K359" s="116"/>
      <c r="L359" s="50" t="s">
        <v>1533</v>
      </c>
      <c r="M359" s="50" t="s">
        <v>1533</v>
      </c>
      <c r="N359" s="50" t="s">
        <v>11240</v>
      </c>
      <c r="O359" s="50" t="s">
        <v>11118</v>
      </c>
      <c r="P359" s="50" t="s">
        <v>11242</v>
      </c>
      <c r="Q359" s="50" t="s">
        <v>11243</v>
      </c>
      <c r="R359" s="116"/>
      <c r="S359" s="116"/>
      <c r="T359" s="116"/>
      <c r="U359" s="116"/>
      <c r="V359" s="116"/>
      <c r="W359" s="50">
        <v>7.0</v>
      </c>
      <c r="X359" s="50">
        <v>100.0</v>
      </c>
      <c r="Y359" s="50">
        <v>3.0</v>
      </c>
      <c r="Z359" s="50">
        <v>0.0</v>
      </c>
      <c r="AA359" s="116"/>
      <c r="AB359" s="116"/>
      <c r="AC359" s="116"/>
      <c r="AD359" s="116"/>
      <c r="AE359" s="116"/>
      <c r="AF359" s="116"/>
      <c r="AG359" s="116"/>
      <c r="AH359" s="116"/>
      <c r="AI359" s="116"/>
      <c r="AJ359" s="116"/>
      <c r="AK359" s="50" t="s">
        <v>11376</v>
      </c>
      <c r="AL359" s="50">
        <v>4.0</v>
      </c>
      <c r="AM359" s="50">
        <v>1.0</v>
      </c>
      <c r="AN359" s="50" t="s">
        <v>10629</v>
      </c>
      <c r="AO359" s="117">
        <v>4856.0</v>
      </c>
      <c r="AP359" s="50" t="s">
        <v>11377</v>
      </c>
      <c r="AQ359" s="50" t="s">
        <v>11378</v>
      </c>
      <c r="AR359" s="117">
        <v>359.0</v>
      </c>
    </row>
    <row r="360">
      <c r="A360" s="50" t="s">
        <v>11379</v>
      </c>
      <c r="B360" s="50" t="s">
        <v>6876</v>
      </c>
      <c r="C360" s="50" t="s">
        <v>6877</v>
      </c>
      <c r="D360" s="50" t="s">
        <v>8310</v>
      </c>
      <c r="E360" s="144">
        <v>43776.0</v>
      </c>
      <c r="F360" s="50" t="s">
        <v>11382</v>
      </c>
      <c r="G360" s="50">
        <v>59.0</v>
      </c>
      <c r="H360" s="50">
        <v>1.0</v>
      </c>
      <c r="I360" s="50">
        <v>11.0</v>
      </c>
      <c r="J360" s="116"/>
      <c r="K360" s="116"/>
      <c r="L360" s="50" t="s">
        <v>1535</v>
      </c>
      <c r="M360" s="50" t="s">
        <v>1535</v>
      </c>
      <c r="N360" s="50" t="s">
        <v>11388</v>
      </c>
      <c r="O360" s="50" t="s">
        <v>11390</v>
      </c>
      <c r="P360" s="50" t="s">
        <v>11391</v>
      </c>
      <c r="Q360" s="50" t="s">
        <v>11392</v>
      </c>
      <c r="R360" s="116"/>
      <c r="S360" s="116"/>
      <c r="T360" s="116"/>
      <c r="U360" s="116"/>
      <c r="V360" s="116"/>
      <c r="W360" s="50">
        <v>3.0</v>
      </c>
      <c r="X360" s="50">
        <v>1.0</v>
      </c>
      <c r="Y360" s="50">
        <v>3.0</v>
      </c>
      <c r="Z360" s="50">
        <v>182.0</v>
      </c>
      <c r="AA360" s="50">
        <v>2.0</v>
      </c>
      <c r="AB360" s="50">
        <v>1.0</v>
      </c>
      <c r="AC360" s="50">
        <v>3.0</v>
      </c>
      <c r="AD360" s="50">
        <v>21.0</v>
      </c>
      <c r="AE360" s="50">
        <v>1.0</v>
      </c>
      <c r="AF360" s="50">
        <v>1.0</v>
      </c>
      <c r="AG360" s="50">
        <v>1.0</v>
      </c>
      <c r="AH360" s="50">
        <v>3.0</v>
      </c>
      <c r="AI360" s="50">
        <v>2.0</v>
      </c>
      <c r="AJ360" s="116"/>
      <c r="AK360" s="50" t="s">
        <v>11395</v>
      </c>
      <c r="AL360" s="50">
        <v>4.0</v>
      </c>
      <c r="AM360" s="50">
        <v>1.0</v>
      </c>
      <c r="AN360" s="50" t="s">
        <v>10629</v>
      </c>
      <c r="AO360" s="117">
        <v>4933.0</v>
      </c>
      <c r="AP360" s="50" t="s">
        <v>11396</v>
      </c>
      <c r="AQ360" s="50" t="s">
        <v>11397</v>
      </c>
      <c r="AR360" s="117">
        <v>360.0</v>
      </c>
    </row>
    <row r="361">
      <c r="A361" s="50" t="s">
        <v>11382</v>
      </c>
      <c r="B361" s="50" t="s">
        <v>6876</v>
      </c>
      <c r="C361" s="50" t="s">
        <v>6877</v>
      </c>
      <c r="D361" s="50" t="s">
        <v>8310</v>
      </c>
      <c r="E361" s="144">
        <v>43776.0</v>
      </c>
      <c r="F361" s="50" t="s">
        <v>11398</v>
      </c>
      <c r="G361" s="50">
        <v>59.0</v>
      </c>
      <c r="H361" s="50">
        <v>1.0</v>
      </c>
      <c r="I361" s="50">
        <v>99.0</v>
      </c>
      <c r="J361" s="116"/>
      <c r="K361" s="116"/>
      <c r="L361" s="50" t="s">
        <v>1536</v>
      </c>
      <c r="M361" s="50" t="s">
        <v>1536</v>
      </c>
      <c r="N361" s="50" t="s">
        <v>11388</v>
      </c>
      <c r="O361" s="50" t="s">
        <v>11399</v>
      </c>
      <c r="P361" s="50" t="s">
        <v>11390</v>
      </c>
      <c r="Q361" s="50" t="s">
        <v>11400</v>
      </c>
      <c r="R361" s="116"/>
      <c r="S361" s="116"/>
      <c r="T361" s="116"/>
      <c r="U361" s="116"/>
      <c r="V361" s="116"/>
      <c r="W361" s="50">
        <v>7.0</v>
      </c>
      <c r="X361" s="50">
        <v>100.0</v>
      </c>
      <c r="Y361" s="50">
        <v>3.0</v>
      </c>
      <c r="Z361" s="50">
        <v>0.0</v>
      </c>
      <c r="AA361" s="116"/>
      <c r="AB361" s="116"/>
      <c r="AC361" s="116"/>
      <c r="AD361" s="116"/>
      <c r="AE361" s="116"/>
      <c r="AF361" s="116"/>
      <c r="AG361" s="116"/>
      <c r="AH361" s="116"/>
      <c r="AI361" s="116"/>
      <c r="AJ361" s="116"/>
      <c r="AK361" s="50" t="s">
        <v>11405</v>
      </c>
      <c r="AL361" s="50">
        <v>4.0</v>
      </c>
      <c r="AM361" s="50">
        <v>1.0</v>
      </c>
      <c r="AN361" s="50" t="s">
        <v>10629</v>
      </c>
      <c r="AO361" s="117">
        <v>4934.0</v>
      </c>
      <c r="AP361" s="50" t="s">
        <v>11407</v>
      </c>
      <c r="AQ361" s="50" t="s">
        <v>11409</v>
      </c>
      <c r="AR361" s="117">
        <v>361.0</v>
      </c>
    </row>
    <row r="362">
      <c r="A362" s="50" t="s">
        <v>11398</v>
      </c>
      <c r="B362" s="50" t="s">
        <v>6876</v>
      </c>
      <c r="C362" s="50" t="s">
        <v>6877</v>
      </c>
      <c r="D362" s="50" t="s">
        <v>8310</v>
      </c>
      <c r="E362" s="144">
        <v>43776.0</v>
      </c>
      <c r="F362" s="50" t="s">
        <v>11411</v>
      </c>
      <c r="G362" s="50">
        <v>59.0</v>
      </c>
      <c r="H362" s="50">
        <v>1.0</v>
      </c>
      <c r="I362" s="50">
        <v>11.0</v>
      </c>
      <c r="J362" s="116"/>
      <c r="K362" s="116"/>
      <c r="L362" s="50" t="s">
        <v>1538</v>
      </c>
      <c r="M362" s="50" t="s">
        <v>1538</v>
      </c>
      <c r="N362" s="50" t="s">
        <v>11388</v>
      </c>
      <c r="O362" s="50" t="s">
        <v>11390</v>
      </c>
      <c r="P362" s="50" t="s">
        <v>11391</v>
      </c>
      <c r="Q362" s="50" t="s">
        <v>11392</v>
      </c>
      <c r="R362" s="116"/>
      <c r="S362" s="116"/>
      <c r="T362" s="116"/>
      <c r="U362" s="116"/>
      <c r="V362" s="116"/>
      <c r="W362" s="50">
        <v>3.0</v>
      </c>
      <c r="X362" s="50">
        <v>1.0</v>
      </c>
      <c r="Y362" s="50">
        <v>3.0</v>
      </c>
      <c r="Z362" s="50">
        <v>15.0</v>
      </c>
      <c r="AA362" s="50">
        <v>2.0</v>
      </c>
      <c r="AB362" s="50">
        <v>1.0</v>
      </c>
      <c r="AC362" s="50">
        <v>3.0</v>
      </c>
      <c r="AD362" s="50">
        <v>0.0</v>
      </c>
      <c r="AE362" s="50">
        <v>1.0</v>
      </c>
      <c r="AF362" s="50">
        <v>1.0</v>
      </c>
      <c r="AG362" s="50">
        <v>1.0</v>
      </c>
      <c r="AH362" s="50">
        <v>3.0</v>
      </c>
      <c r="AI362" s="50">
        <v>0.0</v>
      </c>
      <c r="AJ362" s="116"/>
      <c r="AK362" s="50" t="s">
        <v>11423</v>
      </c>
      <c r="AL362" s="50">
        <v>6.0</v>
      </c>
      <c r="AM362" s="50">
        <v>1.0</v>
      </c>
      <c r="AN362" s="50" t="s">
        <v>10629</v>
      </c>
      <c r="AO362" s="117">
        <v>4935.0</v>
      </c>
      <c r="AP362" s="50" t="s">
        <v>11424</v>
      </c>
      <c r="AQ362" s="50" t="s">
        <v>11426</v>
      </c>
      <c r="AR362" s="117">
        <v>362.0</v>
      </c>
    </row>
    <row r="363">
      <c r="A363" s="50" t="s">
        <v>11427</v>
      </c>
      <c r="B363" s="50" t="s">
        <v>6876</v>
      </c>
      <c r="C363" s="50" t="s">
        <v>6877</v>
      </c>
      <c r="D363" s="50" t="s">
        <v>8310</v>
      </c>
      <c r="E363" s="144">
        <v>43776.0</v>
      </c>
      <c r="F363" s="50" t="s">
        <v>11430</v>
      </c>
      <c r="G363" s="50">
        <v>59.0</v>
      </c>
      <c r="H363" s="50">
        <v>1.0</v>
      </c>
      <c r="I363" s="50">
        <v>99.0</v>
      </c>
      <c r="J363" s="116"/>
      <c r="K363" s="116"/>
      <c r="L363" s="50" t="s">
        <v>1539</v>
      </c>
      <c r="M363" s="50" t="s">
        <v>1539</v>
      </c>
      <c r="N363" s="50" t="s">
        <v>11388</v>
      </c>
      <c r="O363" s="50" t="s">
        <v>11399</v>
      </c>
      <c r="P363" s="50" t="s">
        <v>11390</v>
      </c>
      <c r="Q363" s="50" t="s">
        <v>11400</v>
      </c>
      <c r="R363" s="116"/>
      <c r="S363" s="116"/>
      <c r="T363" s="116"/>
      <c r="U363" s="116"/>
      <c r="V363" s="116"/>
      <c r="W363" s="50">
        <v>7.0</v>
      </c>
      <c r="X363" s="50">
        <v>100.0</v>
      </c>
      <c r="Y363" s="50">
        <v>3.0</v>
      </c>
      <c r="Z363" s="50">
        <v>0.0</v>
      </c>
      <c r="AA363" s="116"/>
      <c r="AB363" s="116"/>
      <c r="AC363" s="116"/>
      <c r="AD363" s="116"/>
      <c r="AE363" s="116"/>
      <c r="AF363" s="116"/>
      <c r="AG363" s="116"/>
      <c r="AH363" s="116"/>
      <c r="AI363" s="116"/>
      <c r="AJ363" s="116"/>
      <c r="AK363" s="50" t="s">
        <v>11434</v>
      </c>
      <c r="AL363" s="50">
        <v>6.0</v>
      </c>
      <c r="AM363" s="50">
        <v>1.0</v>
      </c>
      <c r="AN363" s="50" t="s">
        <v>10629</v>
      </c>
      <c r="AO363" s="117">
        <v>4936.0</v>
      </c>
      <c r="AP363" s="50" t="s">
        <v>11437</v>
      </c>
      <c r="AQ363" s="50" t="s">
        <v>11438</v>
      </c>
      <c r="AR363" s="117">
        <v>363.0</v>
      </c>
    </row>
    <row r="364">
      <c r="A364" s="50" t="s">
        <v>11430</v>
      </c>
      <c r="B364" s="50" t="s">
        <v>6876</v>
      </c>
      <c r="C364" s="50" t="s">
        <v>6877</v>
      </c>
      <c r="D364" s="50" t="s">
        <v>8310</v>
      </c>
      <c r="E364" s="144">
        <v>43776.0</v>
      </c>
      <c r="F364" s="50" t="s">
        <v>11439</v>
      </c>
      <c r="G364" s="50">
        <v>59.0</v>
      </c>
      <c r="H364" s="50">
        <v>1.0</v>
      </c>
      <c r="I364" s="50">
        <v>11.0</v>
      </c>
      <c r="J364" s="116"/>
      <c r="K364" s="116"/>
      <c r="L364" s="50" t="s">
        <v>1541</v>
      </c>
      <c r="M364" s="50" t="s">
        <v>1541</v>
      </c>
      <c r="N364" s="50" t="s">
        <v>11388</v>
      </c>
      <c r="O364" s="50" t="s">
        <v>11390</v>
      </c>
      <c r="P364" s="50" t="s">
        <v>11391</v>
      </c>
      <c r="Q364" s="50" t="s">
        <v>11392</v>
      </c>
      <c r="R364" s="116"/>
      <c r="S364" s="116"/>
      <c r="T364" s="116"/>
      <c r="U364" s="116"/>
      <c r="V364" s="116"/>
      <c r="W364" s="50">
        <v>3.0</v>
      </c>
      <c r="X364" s="50">
        <v>1.0</v>
      </c>
      <c r="Y364" s="50">
        <v>3.0</v>
      </c>
      <c r="Z364" s="50">
        <v>88.0</v>
      </c>
      <c r="AA364" s="50">
        <v>2.0</v>
      </c>
      <c r="AB364" s="50">
        <v>1.0</v>
      </c>
      <c r="AC364" s="50">
        <v>3.0</v>
      </c>
      <c r="AD364" s="50">
        <v>9.0</v>
      </c>
      <c r="AE364" s="50">
        <v>1.0</v>
      </c>
      <c r="AF364" s="50">
        <v>1.0</v>
      </c>
      <c r="AG364" s="50">
        <v>1.0</v>
      </c>
      <c r="AH364" s="50">
        <v>3.0</v>
      </c>
      <c r="AI364" s="50">
        <v>1.0</v>
      </c>
      <c r="AJ364" s="116"/>
      <c r="AK364" s="50" t="s">
        <v>11446</v>
      </c>
      <c r="AL364" s="50">
        <v>6.0</v>
      </c>
      <c r="AM364" s="50">
        <v>1.0</v>
      </c>
      <c r="AN364" s="50" t="s">
        <v>10629</v>
      </c>
      <c r="AO364" s="117">
        <v>4937.0</v>
      </c>
      <c r="AP364" s="50" t="s">
        <v>11447</v>
      </c>
      <c r="AQ364" s="50" t="s">
        <v>11448</v>
      </c>
      <c r="AR364" s="117">
        <v>364.0</v>
      </c>
    </row>
    <row r="365">
      <c r="A365" s="50" t="s">
        <v>11449</v>
      </c>
      <c r="B365" s="50" t="s">
        <v>6876</v>
      </c>
      <c r="C365" s="50" t="s">
        <v>6877</v>
      </c>
      <c r="D365" s="50" t="s">
        <v>8310</v>
      </c>
      <c r="E365" s="144">
        <v>43776.0</v>
      </c>
      <c r="F365" s="50" t="s">
        <v>11450</v>
      </c>
      <c r="G365" s="50">
        <v>59.0</v>
      </c>
      <c r="H365" s="50">
        <v>1.0</v>
      </c>
      <c r="I365" s="50">
        <v>99.0</v>
      </c>
      <c r="J365" s="116"/>
      <c r="K365" s="116"/>
      <c r="L365" s="50" t="s">
        <v>1542</v>
      </c>
      <c r="M365" s="50" t="s">
        <v>1542</v>
      </c>
      <c r="N365" s="50" t="s">
        <v>11388</v>
      </c>
      <c r="O365" s="50" t="s">
        <v>11399</v>
      </c>
      <c r="P365" s="50" t="s">
        <v>11390</v>
      </c>
      <c r="Q365" s="50" t="s">
        <v>11400</v>
      </c>
      <c r="R365" s="116"/>
      <c r="S365" s="116"/>
      <c r="T365" s="116"/>
      <c r="U365" s="116"/>
      <c r="V365" s="116"/>
      <c r="W365" s="50">
        <v>7.0</v>
      </c>
      <c r="X365" s="50">
        <v>100.0</v>
      </c>
      <c r="Y365" s="50">
        <v>3.0</v>
      </c>
      <c r="Z365" s="50">
        <v>0.0</v>
      </c>
      <c r="AA365" s="116"/>
      <c r="AB365" s="116"/>
      <c r="AC365" s="116"/>
      <c r="AD365" s="116"/>
      <c r="AE365" s="116"/>
      <c r="AF365" s="116"/>
      <c r="AG365" s="116"/>
      <c r="AH365" s="116"/>
      <c r="AI365" s="116"/>
      <c r="AJ365" s="116"/>
      <c r="AK365" s="50" t="s">
        <v>11456</v>
      </c>
      <c r="AL365" s="50">
        <v>6.0</v>
      </c>
      <c r="AM365" s="50">
        <v>1.0</v>
      </c>
      <c r="AN365" s="50" t="s">
        <v>10629</v>
      </c>
      <c r="AO365" s="117">
        <v>4938.0</v>
      </c>
      <c r="AP365" s="50" t="s">
        <v>11458</v>
      </c>
      <c r="AQ365" s="50" t="s">
        <v>11459</v>
      </c>
      <c r="AR365" s="117">
        <v>365.0</v>
      </c>
    </row>
    <row r="366">
      <c r="A366" s="50" t="s">
        <v>11450</v>
      </c>
      <c r="B366" s="50" t="s">
        <v>6876</v>
      </c>
      <c r="C366" s="50" t="s">
        <v>6877</v>
      </c>
      <c r="D366" s="50" t="s">
        <v>8310</v>
      </c>
      <c r="E366" s="144">
        <v>43776.0</v>
      </c>
      <c r="F366" s="50" t="s">
        <v>11460</v>
      </c>
      <c r="G366" s="50">
        <v>59.0</v>
      </c>
      <c r="H366" s="50">
        <v>1.0</v>
      </c>
      <c r="I366" s="50">
        <v>11.0</v>
      </c>
      <c r="J366" s="116"/>
      <c r="K366" s="116"/>
      <c r="L366" s="50" t="s">
        <v>1547</v>
      </c>
      <c r="M366" s="50" t="s">
        <v>1547</v>
      </c>
      <c r="N366" s="50" t="s">
        <v>11388</v>
      </c>
      <c r="O366" s="50" t="s">
        <v>11390</v>
      </c>
      <c r="P366" s="50" t="s">
        <v>11391</v>
      </c>
      <c r="Q366" s="50" t="s">
        <v>11392</v>
      </c>
      <c r="R366" s="116"/>
      <c r="S366" s="116"/>
      <c r="T366" s="116"/>
      <c r="U366" s="116"/>
      <c r="V366" s="116"/>
      <c r="W366" s="50">
        <v>3.0</v>
      </c>
      <c r="X366" s="50">
        <v>1.0</v>
      </c>
      <c r="Y366" s="50">
        <v>3.0</v>
      </c>
      <c r="Z366" s="50">
        <v>4.0</v>
      </c>
      <c r="AA366" s="50">
        <v>2.0</v>
      </c>
      <c r="AB366" s="50">
        <v>1.0</v>
      </c>
      <c r="AC366" s="50">
        <v>3.0</v>
      </c>
      <c r="AD366" s="50">
        <v>0.0</v>
      </c>
      <c r="AE366" s="50">
        <v>1.0</v>
      </c>
      <c r="AF366" s="50">
        <v>1.0</v>
      </c>
      <c r="AG366" s="50">
        <v>1.0</v>
      </c>
      <c r="AH366" s="50">
        <v>3.0</v>
      </c>
      <c r="AI366" s="50">
        <v>0.0</v>
      </c>
      <c r="AJ366" s="116"/>
      <c r="AK366" s="50" t="s">
        <v>11463</v>
      </c>
      <c r="AL366" s="50">
        <v>4.0</v>
      </c>
      <c r="AM366" s="50">
        <v>1.0</v>
      </c>
      <c r="AN366" s="50" t="s">
        <v>10629</v>
      </c>
      <c r="AO366" s="117">
        <v>4939.0</v>
      </c>
      <c r="AP366" s="50" t="s">
        <v>11465</v>
      </c>
      <c r="AQ366" s="50" t="s">
        <v>11466</v>
      </c>
      <c r="AR366" s="117">
        <v>366.0</v>
      </c>
    </row>
    <row r="367">
      <c r="A367" s="50" t="s">
        <v>11460</v>
      </c>
      <c r="B367" s="50" t="s">
        <v>6876</v>
      </c>
      <c r="C367" s="50" t="s">
        <v>6877</v>
      </c>
      <c r="D367" s="50" t="s">
        <v>8310</v>
      </c>
      <c r="E367" s="144">
        <v>43776.0</v>
      </c>
      <c r="F367" s="50" t="s">
        <v>11468</v>
      </c>
      <c r="G367" s="50">
        <v>59.0</v>
      </c>
      <c r="H367" s="50">
        <v>1.0</v>
      </c>
      <c r="I367" s="50">
        <v>99.0</v>
      </c>
      <c r="J367" s="116"/>
      <c r="K367" s="116"/>
      <c r="L367" s="50" t="s">
        <v>1548</v>
      </c>
      <c r="M367" s="50" t="s">
        <v>1548</v>
      </c>
      <c r="N367" s="50" t="s">
        <v>11388</v>
      </c>
      <c r="O367" s="50" t="s">
        <v>11399</v>
      </c>
      <c r="P367" s="50" t="s">
        <v>11390</v>
      </c>
      <c r="Q367" s="50" t="s">
        <v>11400</v>
      </c>
      <c r="R367" s="116"/>
      <c r="S367" s="116"/>
      <c r="T367" s="116"/>
      <c r="U367" s="116"/>
      <c r="V367" s="116"/>
      <c r="W367" s="50">
        <v>7.0</v>
      </c>
      <c r="X367" s="50">
        <v>100.0</v>
      </c>
      <c r="Y367" s="50">
        <v>3.0</v>
      </c>
      <c r="Z367" s="50">
        <v>0.0</v>
      </c>
      <c r="AA367" s="116"/>
      <c r="AB367" s="116"/>
      <c r="AC367" s="116"/>
      <c r="AD367" s="116"/>
      <c r="AE367" s="116"/>
      <c r="AF367" s="116"/>
      <c r="AG367" s="116"/>
      <c r="AH367" s="116"/>
      <c r="AI367" s="116"/>
      <c r="AJ367" s="116"/>
      <c r="AK367" s="50" t="s">
        <v>11476</v>
      </c>
      <c r="AL367" s="50">
        <v>4.0</v>
      </c>
      <c r="AM367" s="50">
        <v>1.0</v>
      </c>
      <c r="AN367" s="50" t="s">
        <v>10629</v>
      </c>
      <c r="AO367" s="117">
        <v>4940.0</v>
      </c>
      <c r="AP367" s="50" t="s">
        <v>11477</v>
      </c>
      <c r="AQ367" s="50" t="s">
        <v>11478</v>
      </c>
      <c r="AR367" s="117">
        <v>367.0</v>
      </c>
    </row>
    <row r="368">
      <c r="A368" s="50" t="s">
        <v>11479</v>
      </c>
      <c r="B368" s="50" t="s">
        <v>6876</v>
      </c>
      <c r="C368" s="50" t="s">
        <v>6877</v>
      </c>
      <c r="D368" s="50" t="s">
        <v>8310</v>
      </c>
      <c r="E368" s="144">
        <v>43776.0</v>
      </c>
      <c r="F368" s="50" t="s">
        <v>11480</v>
      </c>
      <c r="G368" s="50">
        <v>59.0</v>
      </c>
      <c r="H368" s="50">
        <v>1.0</v>
      </c>
      <c r="I368" s="50">
        <v>11.0</v>
      </c>
      <c r="J368" s="116"/>
      <c r="K368" s="116"/>
      <c r="L368" s="50" t="s">
        <v>1550</v>
      </c>
      <c r="M368" s="50" t="s">
        <v>1550</v>
      </c>
      <c r="N368" s="50" t="s">
        <v>11388</v>
      </c>
      <c r="O368" s="50" t="s">
        <v>11390</v>
      </c>
      <c r="P368" s="50" t="s">
        <v>11391</v>
      </c>
      <c r="Q368" s="50" t="s">
        <v>11392</v>
      </c>
      <c r="R368" s="116"/>
      <c r="S368" s="116"/>
      <c r="T368" s="116"/>
      <c r="U368" s="116"/>
      <c r="V368" s="116"/>
      <c r="W368" s="50">
        <v>3.0</v>
      </c>
      <c r="X368" s="50">
        <v>1.0</v>
      </c>
      <c r="Y368" s="50">
        <v>1.0</v>
      </c>
      <c r="Z368" s="116"/>
      <c r="AA368" s="50">
        <v>2.0</v>
      </c>
      <c r="AB368" s="50">
        <v>1.0</v>
      </c>
      <c r="AC368" s="50">
        <v>3.0</v>
      </c>
      <c r="AD368" s="50">
        <v>62.0</v>
      </c>
      <c r="AE368" s="50">
        <v>1.0</v>
      </c>
      <c r="AF368" s="50">
        <v>1.0</v>
      </c>
      <c r="AG368" s="50">
        <v>1.0</v>
      </c>
      <c r="AH368" s="50">
        <v>3.0</v>
      </c>
      <c r="AI368" s="50">
        <v>4.0</v>
      </c>
      <c r="AJ368" s="116"/>
      <c r="AK368" s="50" t="s">
        <v>11483</v>
      </c>
      <c r="AL368" s="50">
        <v>6.0</v>
      </c>
      <c r="AM368" s="50">
        <v>1.0</v>
      </c>
      <c r="AN368" s="50" t="s">
        <v>10629</v>
      </c>
      <c r="AO368" s="117">
        <v>4941.0</v>
      </c>
      <c r="AP368" s="50" t="s">
        <v>11484</v>
      </c>
      <c r="AQ368" s="50" t="s">
        <v>11486</v>
      </c>
      <c r="AR368" s="117">
        <v>368.0</v>
      </c>
    </row>
    <row r="369">
      <c r="A369" s="50" t="s">
        <v>11480</v>
      </c>
      <c r="B369" s="50" t="s">
        <v>6876</v>
      </c>
      <c r="C369" s="50" t="s">
        <v>6877</v>
      </c>
      <c r="D369" s="50" t="s">
        <v>8310</v>
      </c>
      <c r="E369" s="144">
        <v>43776.0</v>
      </c>
      <c r="F369" s="50" t="s">
        <v>11489</v>
      </c>
      <c r="G369" s="50">
        <v>59.0</v>
      </c>
      <c r="H369" s="50">
        <v>1.0</v>
      </c>
      <c r="I369" s="50">
        <v>99.0</v>
      </c>
      <c r="J369" s="116"/>
      <c r="K369" s="116"/>
      <c r="L369" s="50" t="s">
        <v>1551</v>
      </c>
      <c r="M369" s="50" t="s">
        <v>1551</v>
      </c>
      <c r="N369" s="50" t="s">
        <v>11388</v>
      </c>
      <c r="O369" s="50" t="s">
        <v>11399</v>
      </c>
      <c r="P369" s="50" t="s">
        <v>11390</v>
      </c>
      <c r="Q369" s="50" t="s">
        <v>11400</v>
      </c>
      <c r="R369" s="116"/>
      <c r="S369" s="116"/>
      <c r="T369" s="116"/>
      <c r="U369" s="116"/>
      <c r="V369" s="116"/>
      <c r="W369" s="50">
        <v>7.0</v>
      </c>
      <c r="X369" s="50">
        <v>100.0</v>
      </c>
      <c r="Y369" s="50">
        <v>3.0</v>
      </c>
      <c r="Z369" s="50">
        <v>0.0</v>
      </c>
      <c r="AA369" s="116"/>
      <c r="AB369" s="116"/>
      <c r="AC369" s="116"/>
      <c r="AD369" s="116"/>
      <c r="AE369" s="116"/>
      <c r="AF369" s="116"/>
      <c r="AG369" s="116"/>
      <c r="AH369" s="116"/>
      <c r="AI369" s="116"/>
      <c r="AJ369" s="116"/>
      <c r="AK369" s="50" t="s">
        <v>11495</v>
      </c>
      <c r="AL369" s="50">
        <v>6.0</v>
      </c>
      <c r="AM369" s="50">
        <v>1.0</v>
      </c>
      <c r="AN369" s="50" t="s">
        <v>10629</v>
      </c>
      <c r="AO369" s="117">
        <v>4942.0</v>
      </c>
      <c r="AP369" s="50" t="s">
        <v>11496</v>
      </c>
      <c r="AQ369" s="50" t="s">
        <v>11498</v>
      </c>
      <c r="AR369" s="117">
        <v>369.0</v>
      </c>
    </row>
    <row r="370">
      <c r="A370" s="50" t="s">
        <v>11500</v>
      </c>
      <c r="B370" s="50" t="s">
        <v>6876</v>
      </c>
      <c r="C370" s="50" t="s">
        <v>6877</v>
      </c>
      <c r="D370" s="50" t="s">
        <v>8310</v>
      </c>
      <c r="E370" s="144">
        <v>43776.0</v>
      </c>
      <c r="F370" s="50" t="s">
        <v>11503</v>
      </c>
      <c r="G370" s="50">
        <v>33.0</v>
      </c>
      <c r="H370" s="50">
        <v>1.0</v>
      </c>
      <c r="I370" s="50">
        <v>98.0</v>
      </c>
      <c r="J370" s="116"/>
      <c r="K370" s="116"/>
      <c r="L370" s="50" t="s">
        <v>1555</v>
      </c>
      <c r="M370" s="50" t="s">
        <v>1555</v>
      </c>
      <c r="N370" s="50" t="s">
        <v>11388</v>
      </c>
      <c r="O370" s="50" t="s">
        <v>11506</v>
      </c>
      <c r="P370" s="50" t="s">
        <v>11399</v>
      </c>
      <c r="Q370" s="50" t="s">
        <v>11507</v>
      </c>
      <c r="R370" s="116"/>
      <c r="S370" s="116"/>
      <c r="T370" s="116"/>
      <c r="U370" s="116"/>
      <c r="V370" s="116"/>
      <c r="W370" s="50">
        <v>7.0</v>
      </c>
      <c r="X370" s="50">
        <v>100.0</v>
      </c>
      <c r="Y370" s="50">
        <v>3.0</v>
      </c>
      <c r="Z370" s="50">
        <v>0.0</v>
      </c>
      <c r="AA370" s="116"/>
      <c r="AB370" s="116"/>
      <c r="AC370" s="116"/>
      <c r="AD370" s="116"/>
      <c r="AE370" s="116"/>
      <c r="AF370" s="116"/>
      <c r="AG370" s="116"/>
      <c r="AH370" s="116"/>
      <c r="AI370" s="116"/>
      <c r="AJ370" s="116"/>
      <c r="AK370" s="50" t="s">
        <v>11512</v>
      </c>
      <c r="AL370" s="50">
        <v>4.0</v>
      </c>
      <c r="AM370" s="50">
        <v>1.0</v>
      </c>
      <c r="AN370" s="50" t="s">
        <v>10629</v>
      </c>
      <c r="AO370" s="117">
        <v>4943.0</v>
      </c>
      <c r="AP370" s="50" t="s">
        <v>11513</v>
      </c>
      <c r="AQ370" s="50" t="s">
        <v>11515</v>
      </c>
      <c r="AR370" s="117">
        <v>370.0</v>
      </c>
    </row>
    <row r="371">
      <c r="A371" s="50" t="s">
        <v>11503</v>
      </c>
      <c r="B371" s="50" t="s">
        <v>6876</v>
      </c>
      <c r="C371" s="50" t="s">
        <v>6877</v>
      </c>
      <c r="D371" s="50" t="s">
        <v>8310</v>
      </c>
      <c r="E371" s="144">
        <v>43776.0</v>
      </c>
      <c r="F371" s="50" t="s">
        <v>11520</v>
      </c>
      <c r="G371" s="50">
        <v>59.0</v>
      </c>
      <c r="H371" s="50">
        <v>1.0</v>
      </c>
      <c r="I371" s="50">
        <v>11.0</v>
      </c>
      <c r="J371" s="116"/>
      <c r="K371" s="116"/>
      <c r="L371" s="50" t="s">
        <v>1561</v>
      </c>
      <c r="M371" s="50" t="s">
        <v>1561</v>
      </c>
      <c r="N371" s="50" t="s">
        <v>11523</v>
      </c>
      <c r="O371" s="50" t="s">
        <v>11507</v>
      </c>
      <c r="P371" s="50" t="s">
        <v>11524</v>
      </c>
      <c r="Q371" s="50" t="s">
        <v>11525</v>
      </c>
      <c r="R371" s="116"/>
      <c r="S371" s="116"/>
      <c r="T371" s="116"/>
      <c r="U371" s="116"/>
      <c r="V371" s="116"/>
      <c r="W371" s="50">
        <v>3.0</v>
      </c>
      <c r="X371" s="50">
        <v>1.0</v>
      </c>
      <c r="Y371" s="50">
        <v>3.0</v>
      </c>
      <c r="Z371" s="50">
        <v>52.0</v>
      </c>
      <c r="AA371" s="50">
        <v>2.0</v>
      </c>
      <c r="AB371" s="50">
        <v>1.0</v>
      </c>
      <c r="AC371" s="50">
        <v>3.0</v>
      </c>
      <c r="AD371" s="50">
        <v>4.0</v>
      </c>
      <c r="AE371" s="50">
        <v>1.0</v>
      </c>
      <c r="AF371" s="50">
        <v>1.0</v>
      </c>
      <c r="AG371" s="50">
        <v>1.0</v>
      </c>
      <c r="AH371" s="50">
        <v>3.0</v>
      </c>
      <c r="AI371" s="50">
        <v>0.0</v>
      </c>
      <c r="AJ371" s="116"/>
      <c r="AK371" s="50" t="s">
        <v>11530</v>
      </c>
      <c r="AL371" s="50">
        <v>4.0</v>
      </c>
      <c r="AM371" s="50">
        <v>1.0</v>
      </c>
      <c r="AN371" s="50" t="s">
        <v>10629</v>
      </c>
      <c r="AO371" s="117">
        <v>4944.0</v>
      </c>
      <c r="AP371" s="50" t="s">
        <v>11534</v>
      </c>
      <c r="AQ371" s="50" t="s">
        <v>11536</v>
      </c>
      <c r="AR371" s="117">
        <v>371.0</v>
      </c>
    </row>
    <row r="372">
      <c r="A372" s="50" t="s">
        <v>11520</v>
      </c>
      <c r="B372" s="50" t="s">
        <v>6876</v>
      </c>
      <c r="C372" s="50" t="s">
        <v>6877</v>
      </c>
      <c r="D372" s="50" t="s">
        <v>8310</v>
      </c>
      <c r="E372" s="144">
        <v>43776.0</v>
      </c>
      <c r="F372" s="50" t="s">
        <v>11538</v>
      </c>
      <c r="G372" s="50">
        <v>59.0</v>
      </c>
      <c r="H372" s="50">
        <v>1.0</v>
      </c>
      <c r="I372" s="50">
        <v>99.0</v>
      </c>
      <c r="J372" s="116"/>
      <c r="K372" s="116"/>
      <c r="L372" s="50" t="s">
        <v>1562</v>
      </c>
      <c r="M372" s="50" t="s">
        <v>1562</v>
      </c>
      <c r="N372" s="50" t="s">
        <v>11523</v>
      </c>
      <c r="O372" s="50" t="s">
        <v>11541</v>
      </c>
      <c r="P372" s="50" t="s">
        <v>11507</v>
      </c>
      <c r="Q372" s="50" t="s">
        <v>11542</v>
      </c>
      <c r="R372" s="116"/>
      <c r="S372" s="116"/>
      <c r="T372" s="116"/>
      <c r="U372" s="116"/>
      <c r="V372" s="116"/>
      <c r="W372" s="50">
        <v>7.0</v>
      </c>
      <c r="X372" s="50">
        <v>100.0</v>
      </c>
      <c r="Y372" s="50">
        <v>3.0</v>
      </c>
      <c r="Z372" s="50">
        <v>0.0</v>
      </c>
      <c r="AA372" s="116"/>
      <c r="AB372" s="116"/>
      <c r="AC372" s="116"/>
      <c r="AD372" s="116"/>
      <c r="AE372" s="116"/>
      <c r="AF372" s="116"/>
      <c r="AG372" s="116"/>
      <c r="AH372" s="116"/>
      <c r="AI372" s="116"/>
      <c r="AJ372" s="116"/>
      <c r="AK372" s="50" t="s">
        <v>11544</v>
      </c>
      <c r="AL372" s="50">
        <v>4.0</v>
      </c>
      <c r="AM372" s="50">
        <v>1.0</v>
      </c>
      <c r="AN372" s="50" t="s">
        <v>10629</v>
      </c>
      <c r="AO372" s="117">
        <v>4945.0</v>
      </c>
      <c r="AP372" s="50" t="s">
        <v>11546</v>
      </c>
      <c r="AQ372" s="50" t="s">
        <v>11548</v>
      </c>
      <c r="AR372" s="117">
        <v>372.0</v>
      </c>
    </row>
    <row r="373">
      <c r="A373" s="50" t="s">
        <v>11538</v>
      </c>
      <c r="B373" s="50" t="s">
        <v>6876</v>
      </c>
      <c r="C373" s="50" t="s">
        <v>6877</v>
      </c>
      <c r="D373" s="50" t="s">
        <v>8310</v>
      </c>
      <c r="E373" s="144">
        <v>43776.0</v>
      </c>
      <c r="F373" s="50" t="s">
        <v>11551</v>
      </c>
      <c r="G373" s="50">
        <v>59.0</v>
      </c>
      <c r="H373" s="50">
        <v>1.0</v>
      </c>
      <c r="I373" s="50">
        <v>11.0</v>
      </c>
      <c r="J373" s="116"/>
      <c r="K373" s="116"/>
      <c r="L373" s="50" t="s">
        <v>1564</v>
      </c>
      <c r="M373" s="50" t="s">
        <v>1564</v>
      </c>
      <c r="N373" s="50" t="s">
        <v>11523</v>
      </c>
      <c r="O373" s="50" t="s">
        <v>11507</v>
      </c>
      <c r="P373" s="50" t="s">
        <v>11524</v>
      </c>
      <c r="Q373" s="50" t="s">
        <v>11525</v>
      </c>
      <c r="R373" s="116"/>
      <c r="S373" s="116"/>
      <c r="T373" s="116"/>
      <c r="U373" s="116"/>
      <c r="V373" s="116"/>
      <c r="W373" s="50">
        <v>3.0</v>
      </c>
      <c r="X373" s="50">
        <v>1.0</v>
      </c>
      <c r="Y373" s="50">
        <v>3.0</v>
      </c>
      <c r="Z373" s="50">
        <v>196.0</v>
      </c>
      <c r="AA373" s="50">
        <v>2.0</v>
      </c>
      <c r="AB373" s="50">
        <v>1.0</v>
      </c>
      <c r="AC373" s="50">
        <v>3.0</v>
      </c>
      <c r="AD373" s="50">
        <v>26.0</v>
      </c>
      <c r="AE373" s="50">
        <v>1.0</v>
      </c>
      <c r="AF373" s="50">
        <v>1.0</v>
      </c>
      <c r="AG373" s="50">
        <v>1.0</v>
      </c>
      <c r="AH373" s="50">
        <v>3.0</v>
      </c>
      <c r="AI373" s="50">
        <v>2.0</v>
      </c>
      <c r="AJ373" s="116"/>
      <c r="AK373" s="50" t="s">
        <v>11563</v>
      </c>
      <c r="AL373" s="50">
        <v>4.0</v>
      </c>
      <c r="AM373" s="50">
        <v>1.0</v>
      </c>
      <c r="AN373" s="50" t="s">
        <v>10629</v>
      </c>
      <c r="AO373" s="117">
        <v>4946.0</v>
      </c>
      <c r="AP373" s="50" t="s">
        <v>11565</v>
      </c>
      <c r="AQ373" s="50" t="s">
        <v>11566</v>
      </c>
      <c r="AR373" s="117">
        <v>373.0</v>
      </c>
    </row>
    <row r="374">
      <c r="A374" s="50" t="s">
        <v>11569</v>
      </c>
      <c r="B374" s="50" t="s">
        <v>6876</v>
      </c>
      <c r="C374" s="50" t="s">
        <v>6877</v>
      </c>
      <c r="D374" s="50" t="s">
        <v>8310</v>
      </c>
      <c r="E374" s="144">
        <v>43776.0</v>
      </c>
      <c r="F374" s="50" t="s">
        <v>11573</v>
      </c>
      <c r="G374" s="50">
        <v>59.0</v>
      </c>
      <c r="H374" s="50">
        <v>1.0</v>
      </c>
      <c r="I374" s="50">
        <v>99.0</v>
      </c>
      <c r="J374" s="116"/>
      <c r="K374" s="116"/>
      <c r="L374" s="50" t="s">
        <v>1565</v>
      </c>
      <c r="M374" s="50" t="s">
        <v>1565</v>
      </c>
      <c r="N374" s="50" t="s">
        <v>11523</v>
      </c>
      <c r="O374" s="50" t="s">
        <v>11541</v>
      </c>
      <c r="P374" s="50" t="s">
        <v>11507</v>
      </c>
      <c r="Q374" s="50" t="s">
        <v>11542</v>
      </c>
      <c r="R374" s="116"/>
      <c r="S374" s="116"/>
      <c r="T374" s="116"/>
      <c r="U374" s="116"/>
      <c r="V374" s="116"/>
      <c r="W374" s="50">
        <v>7.0</v>
      </c>
      <c r="X374" s="50">
        <v>100.0</v>
      </c>
      <c r="Y374" s="50">
        <v>3.0</v>
      </c>
      <c r="Z374" s="50">
        <v>0.0</v>
      </c>
      <c r="AA374" s="116"/>
      <c r="AB374" s="116"/>
      <c r="AC374" s="116"/>
      <c r="AD374" s="116"/>
      <c r="AE374" s="116"/>
      <c r="AF374" s="116"/>
      <c r="AG374" s="116"/>
      <c r="AH374" s="116"/>
      <c r="AI374" s="116"/>
      <c r="AJ374" s="116"/>
      <c r="AK374" s="50" t="s">
        <v>11579</v>
      </c>
      <c r="AL374" s="50">
        <v>4.0</v>
      </c>
      <c r="AM374" s="50">
        <v>1.0</v>
      </c>
      <c r="AN374" s="50" t="s">
        <v>10629</v>
      </c>
      <c r="AO374" s="117">
        <v>4947.0</v>
      </c>
      <c r="AP374" s="50" t="s">
        <v>11582</v>
      </c>
      <c r="AQ374" s="50" t="s">
        <v>11583</v>
      </c>
      <c r="AR374" s="117">
        <v>374.0</v>
      </c>
    </row>
    <row r="375">
      <c r="A375" s="50" t="s">
        <v>11584</v>
      </c>
      <c r="B375" s="50" t="s">
        <v>6876</v>
      </c>
      <c r="C375" s="50" t="s">
        <v>6877</v>
      </c>
      <c r="D375" s="50" t="s">
        <v>8310</v>
      </c>
      <c r="E375" s="144">
        <v>43776.0</v>
      </c>
      <c r="F375" s="50" t="s">
        <v>11585</v>
      </c>
      <c r="G375" s="50">
        <v>57.0</v>
      </c>
      <c r="H375" s="50">
        <v>1.0</v>
      </c>
      <c r="I375" s="50">
        <v>99.0</v>
      </c>
      <c r="J375" s="116"/>
      <c r="K375" s="116"/>
      <c r="L375" s="50" t="s">
        <v>1559</v>
      </c>
      <c r="M375" s="50" t="s">
        <v>1559</v>
      </c>
      <c r="N375" s="50" t="s">
        <v>11523</v>
      </c>
      <c r="O375" s="50" t="s">
        <v>11541</v>
      </c>
      <c r="P375" s="50" t="s">
        <v>11507</v>
      </c>
      <c r="Q375" s="50" t="s">
        <v>11542</v>
      </c>
      <c r="R375" s="116"/>
      <c r="S375" s="116"/>
      <c r="T375" s="116"/>
      <c r="U375" s="116"/>
      <c r="V375" s="116"/>
      <c r="W375" s="50">
        <v>7.0</v>
      </c>
      <c r="X375" s="50">
        <v>100.0</v>
      </c>
      <c r="Y375" s="50">
        <v>3.0</v>
      </c>
      <c r="Z375" s="50">
        <v>0.0</v>
      </c>
      <c r="AA375" s="116"/>
      <c r="AB375" s="116"/>
      <c r="AC375" s="116"/>
      <c r="AD375" s="116"/>
      <c r="AE375" s="116"/>
      <c r="AF375" s="116"/>
      <c r="AG375" s="116"/>
      <c r="AH375" s="116"/>
      <c r="AI375" s="116"/>
      <c r="AJ375" s="116"/>
      <c r="AK375" s="50" t="s">
        <v>11589</v>
      </c>
      <c r="AL375" s="50">
        <v>4.0</v>
      </c>
      <c r="AM375" s="50">
        <v>1.0</v>
      </c>
      <c r="AN375" s="50" t="s">
        <v>10629</v>
      </c>
      <c r="AO375" s="117">
        <v>4948.0</v>
      </c>
      <c r="AP375" s="50" t="s">
        <v>11592</v>
      </c>
      <c r="AQ375" s="50" t="s">
        <v>11593</v>
      </c>
      <c r="AR375" s="117">
        <v>375.0</v>
      </c>
    </row>
    <row r="376">
      <c r="A376" s="50" t="s">
        <v>11585</v>
      </c>
      <c r="B376" s="50" t="s">
        <v>6876</v>
      </c>
      <c r="C376" s="50" t="s">
        <v>6877</v>
      </c>
      <c r="D376" s="50" t="s">
        <v>8310</v>
      </c>
      <c r="E376" s="144">
        <v>43776.0</v>
      </c>
      <c r="F376" s="50" t="s">
        <v>11597</v>
      </c>
      <c r="G376" s="50">
        <v>55.0</v>
      </c>
      <c r="H376" s="50">
        <v>1.0</v>
      </c>
      <c r="I376" s="50">
        <v>99.0</v>
      </c>
      <c r="J376" s="116"/>
      <c r="K376" s="116"/>
      <c r="L376" s="50" t="s">
        <v>269</v>
      </c>
      <c r="M376" s="50" t="s">
        <v>269</v>
      </c>
      <c r="N376" s="50" t="s">
        <v>11523</v>
      </c>
      <c r="O376" s="50" t="s">
        <v>11541</v>
      </c>
      <c r="P376" s="50" t="s">
        <v>11507</v>
      </c>
      <c r="Q376" s="50" t="s">
        <v>11542</v>
      </c>
      <c r="R376" s="116"/>
      <c r="S376" s="116"/>
      <c r="T376" s="116"/>
      <c r="U376" s="116"/>
      <c r="V376" s="116"/>
      <c r="W376" s="50">
        <v>7.0</v>
      </c>
      <c r="X376" s="50">
        <v>100.0</v>
      </c>
      <c r="Y376" s="50">
        <v>3.0</v>
      </c>
      <c r="Z376" s="50">
        <v>0.0</v>
      </c>
      <c r="AA376" s="116"/>
      <c r="AB376" s="116"/>
      <c r="AC376" s="116"/>
      <c r="AD376" s="116"/>
      <c r="AE376" s="116"/>
      <c r="AF376" s="116"/>
      <c r="AG376" s="116"/>
      <c r="AH376" s="116"/>
      <c r="AI376" s="116"/>
      <c r="AJ376" s="116"/>
      <c r="AK376" s="50" t="s">
        <v>11602</v>
      </c>
      <c r="AL376" s="50">
        <v>4.0</v>
      </c>
      <c r="AM376" s="50">
        <v>1.0</v>
      </c>
      <c r="AN376" s="50" t="s">
        <v>10629</v>
      </c>
      <c r="AO376" s="117">
        <v>4949.0</v>
      </c>
      <c r="AP376" s="50" t="s">
        <v>11603</v>
      </c>
      <c r="AQ376" s="50" t="s">
        <v>11604</v>
      </c>
      <c r="AR376" s="117">
        <v>376.0</v>
      </c>
    </row>
    <row r="377">
      <c r="A377" s="50" t="s">
        <v>11605</v>
      </c>
      <c r="B377" s="50" t="s">
        <v>6876</v>
      </c>
      <c r="C377" s="50" t="s">
        <v>6877</v>
      </c>
      <c r="D377" s="50" t="s">
        <v>8310</v>
      </c>
      <c r="E377" s="144">
        <v>43776.0</v>
      </c>
      <c r="F377" s="50" t="s">
        <v>11607</v>
      </c>
      <c r="G377" s="50">
        <v>33.0</v>
      </c>
      <c r="H377" s="50">
        <v>1.0</v>
      </c>
      <c r="I377" s="50">
        <v>98.0</v>
      </c>
      <c r="J377" s="116"/>
      <c r="K377" s="116"/>
      <c r="L377" s="50" t="s">
        <v>1568</v>
      </c>
      <c r="M377" s="50" t="s">
        <v>1568</v>
      </c>
      <c r="N377" s="50" t="s">
        <v>11523</v>
      </c>
      <c r="O377" s="50" t="s">
        <v>11612</v>
      </c>
      <c r="P377" s="50" t="s">
        <v>11507</v>
      </c>
      <c r="Q377" s="50" t="s">
        <v>11542</v>
      </c>
      <c r="R377" s="116"/>
      <c r="S377" s="116"/>
      <c r="T377" s="116"/>
      <c r="U377" s="116"/>
      <c r="V377" s="116"/>
      <c r="W377" s="50">
        <v>7.0</v>
      </c>
      <c r="X377" s="50">
        <v>100.0</v>
      </c>
      <c r="Y377" s="50">
        <v>3.0</v>
      </c>
      <c r="Z377" s="50">
        <v>0.0</v>
      </c>
      <c r="AA377" s="116"/>
      <c r="AB377" s="116"/>
      <c r="AC377" s="116"/>
      <c r="AD377" s="116"/>
      <c r="AE377" s="116"/>
      <c r="AF377" s="116"/>
      <c r="AG377" s="116"/>
      <c r="AH377" s="116"/>
      <c r="AI377" s="116"/>
      <c r="AJ377" s="116"/>
      <c r="AK377" s="50" t="s">
        <v>11512</v>
      </c>
      <c r="AL377" s="50">
        <v>4.0</v>
      </c>
      <c r="AM377" s="50">
        <v>1.0</v>
      </c>
      <c r="AN377" s="50" t="s">
        <v>10629</v>
      </c>
      <c r="AO377" s="117">
        <v>4950.0</v>
      </c>
      <c r="AP377" s="50" t="s">
        <v>11619</v>
      </c>
      <c r="AQ377" s="50" t="s">
        <v>11621</v>
      </c>
      <c r="AR377" s="117">
        <v>377.0</v>
      </c>
    </row>
    <row r="378">
      <c r="A378" s="50" t="s">
        <v>11622</v>
      </c>
      <c r="B378" s="50" t="s">
        <v>6876</v>
      </c>
      <c r="C378" s="50" t="s">
        <v>6877</v>
      </c>
      <c r="D378" s="50" t="s">
        <v>11623</v>
      </c>
      <c r="E378" s="144">
        <v>43788.0</v>
      </c>
      <c r="F378" s="50" t="s">
        <v>11625</v>
      </c>
      <c r="G378" s="50">
        <v>58.0</v>
      </c>
      <c r="H378" s="50">
        <v>1.0</v>
      </c>
      <c r="I378" s="50">
        <v>14.0</v>
      </c>
      <c r="J378" s="50">
        <v>144.0</v>
      </c>
      <c r="K378" s="116"/>
      <c r="L378" s="50" t="s">
        <v>598</v>
      </c>
      <c r="M378" s="50" t="s">
        <v>598</v>
      </c>
      <c r="N378" s="50" t="s">
        <v>11630</v>
      </c>
      <c r="O378" s="50" t="s">
        <v>11632</v>
      </c>
      <c r="P378" s="50" t="s">
        <v>11634</v>
      </c>
      <c r="Q378" s="50" t="s">
        <v>11635</v>
      </c>
      <c r="R378" s="116"/>
      <c r="S378" s="116"/>
      <c r="T378" s="116"/>
      <c r="U378" s="116"/>
      <c r="V378" s="116"/>
      <c r="W378" s="50">
        <v>7.0</v>
      </c>
      <c r="X378" s="50">
        <v>100.0</v>
      </c>
      <c r="Y378" s="50">
        <v>3.0</v>
      </c>
      <c r="Z378" s="50">
        <v>0.0</v>
      </c>
      <c r="AA378" s="50">
        <v>7.0</v>
      </c>
      <c r="AB378" s="50">
        <v>10.0</v>
      </c>
      <c r="AC378" s="50">
        <v>3.0</v>
      </c>
      <c r="AD378" s="50">
        <v>0.0</v>
      </c>
      <c r="AE378" s="50">
        <v>1.0</v>
      </c>
      <c r="AF378" s="50">
        <v>6.0</v>
      </c>
      <c r="AG378" s="50">
        <v>1.0</v>
      </c>
      <c r="AH378" s="50">
        <v>3.0</v>
      </c>
      <c r="AI378" s="50">
        <v>0.0</v>
      </c>
      <c r="AJ378" s="116"/>
      <c r="AK378" s="50" t="s">
        <v>11639</v>
      </c>
      <c r="AL378" s="50">
        <v>4.0</v>
      </c>
      <c r="AM378" s="50">
        <v>1.0</v>
      </c>
      <c r="AN378" s="50" t="s">
        <v>10629</v>
      </c>
      <c r="AO378" s="117">
        <v>5256.0</v>
      </c>
      <c r="AP378" s="50" t="s">
        <v>11641</v>
      </c>
      <c r="AQ378" s="50" t="s">
        <v>11642</v>
      </c>
      <c r="AR378" s="117">
        <v>378.0</v>
      </c>
    </row>
    <row r="379">
      <c r="A379" s="50" t="s">
        <v>11625</v>
      </c>
      <c r="B379" s="50" t="s">
        <v>6876</v>
      </c>
      <c r="C379" s="50" t="s">
        <v>6877</v>
      </c>
      <c r="D379" s="50" t="s">
        <v>11623</v>
      </c>
      <c r="E379" s="144">
        <v>43788.0</v>
      </c>
      <c r="F379" s="50" t="s">
        <v>11644</v>
      </c>
      <c r="G379" s="50">
        <v>58.0</v>
      </c>
      <c r="H379" s="50">
        <v>1.0</v>
      </c>
      <c r="I379" s="50">
        <v>14.0</v>
      </c>
      <c r="J379" s="50">
        <v>142.0</v>
      </c>
      <c r="K379" s="116"/>
      <c r="L379" s="50" t="s">
        <v>591</v>
      </c>
      <c r="M379" s="50" t="s">
        <v>591</v>
      </c>
      <c r="N379" s="50" t="s">
        <v>11630</v>
      </c>
      <c r="O379" s="50" t="s">
        <v>11632</v>
      </c>
      <c r="P379" s="50" t="s">
        <v>11634</v>
      </c>
      <c r="Q379" s="50" t="s">
        <v>11635</v>
      </c>
      <c r="R379" s="116"/>
      <c r="S379" s="116"/>
      <c r="T379" s="116"/>
      <c r="U379" s="116"/>
      <c r="V379" s="116"/>
      <c r="W379" s="50">
        <v>7.0</v>
      </c>
      <c r="X379" s="50">
        <v>100.0</v>
      </c>
      <c r="Y379" s="50">
        <v>3.0</v>
      </c>
      <c r="Z379" s="50">
        <v>0.0</v>
      </c>
      <c r="AA379" s="50">
        <v>7.0</v>
      </c>
      <c r="AB379" s="50">
        <v>10.0</v>
      </c>
      <c r="AC379" s="50">
        <v>3.0</v>
      </c>
      <c r="AD379" s="50">
        <v>0.0</v>
      </c>
      <c r="AE379" s="50">
        <v>1.0</v>
      </c>
      <c r="AF379" s="50">
        <v>6.0</v>
      </c>
      <c r="AG379" s="50">
        <v>1.0</v>
      </c>
      <c r="AH379" s="50">
        <v>3.0</v>
      </c>
      <c r="AI379" s="50">
        <v>0.0</v>
      </c>
      <c r="AJ379" s="116"/>
      <c r="AK379" s="50" t="s">
        <v>11655</v>
      </c>
      <c r="AL379" s="50">
        <v>4.0</v>
      </c>
      <c r="AM379" s="50">
        <v>1.0</v>
      </c>
      <c r="AN379" s="50" t="s">
        <v>10629</v>
      </c>
      <c r="AO379" s="117">
        <v>5257.0</v>
      </c>
      <c r="AP379" s="50" t="s">
        <v>11656</v>
      </c>
      <c r="AQ379" s="50" t="s">
        <v>11657</v>
      </c>
      <c r="AR379" s="117">
        <v>379.0</v>
      </c>
    </row>
    <row r="380">
      <c r="A380" s="50" t="s">
        <v>11644</v>
      </c>
      <c r="B380" s="50" t="s">
        <v>6876</v>
      </c>
      <c r="C380" s="50" t="s">
        <v>6877</v>
      </c>
      <c r="D380" s="50" t="s">
        <v>11623</v>
      </c>
      <c r="E380" s="144">
        <v>43788.0</v>
      </c>
      <c r="F380" s="50" t="s">
        <v>11662</v>
      </c>
      <c r="G380" s="50">
        <v>58.0</v>
      </c>
      <c r="H380" s="50">
        <v>1.0</v>
      </c>
      <c r="I380" s="50">
        <v>14.0</v>
      </c>
      <c r="J380" s="50">
        <v>145.0</v>
      </c>
      <c r="K380" s="116"/>
      <c r="L380" s="50" t="s">
        <v>601</v>
      </c>
      <c r="M380" s="50" t="s">
        <v>601</v>
      </c>
      <c r="N380" s="50" t="s">
        <v>11630</v>
      </c>
      <c r="O380" s="50" t="s">
        <v>11632</v>
      </c>
      <c r="P380" s="50" t="s">
        <v>11634</v>
      </c>
      <c r="Q380" s="50" t="s">
        <v>11635</v>
      </c>
      <c r="R380" s="116"/>
      <c r="S380" s="116"/>
      <c r="T380" s="116"/>
      <c r="U380" s="116"/>
      <c r="V380" s="116"/>
      <c r="W380" s="50">
        <v>7.0</v>
      </c>
      <c r="X380" s="50">
        <v>100.0</v>
      </c>
      <c r="Y380" s="50">
        <v>3.0</v>
      </c>
      <c r="Z380" s="50">
        <v>0.0</v>
      </c>
      <c r="AA380" s="50">
        <v>7.0</v>
      </c>
      <c r="AB380" s="50">
        <v>10.0</v>
      </c>
      <c r="AC380" s="50">
        <v>3.0</v>
      </c>
      <c r="AD380" s="50">
        <v>0.0</v>
      </c>
      <c r="AE380" s="50">
        <v>1.0</v>
      </c>
      <c r="AF380" s="50">
        <v>7.0</v>
      </c>
      <c r="AG380" s="50">
        <v>1.0</v>
      </c>
      <c r="AH380" s="50">
        <v>3.0</v>
      </c>
      <c r="AI380" s="50">
        <v>0.0</v>
      </c>
      <c r="AJ380" s="116"/>
      <c r="AK380" s="50" t="s">
        <v>11670</v>
      </c>
      <c r="AL380" s="50">
        <v>4.0</v>
      </c>
      <c r="AM380" s="50">
        <v>1.0</v>
      </c>
      <c r="AN380" s="50" t="s">
        <v>10629</v>
      </c>
      <c r="AO380" s="117">
        <v>5258.0</v>
      </c>
      <c r="AP380" s="50" t="s">
        <v>11672</v>
      </c>
      <c r="AQ380" s="50" t="s">
        <v>11674</v>
      </c>
      <c r="AR380" s="117">
        <v>380.0</v>
      </c>
    </row>
    <row r="381">
      <c r="A381" s="50" t="s">
        <v>11662</v>
      </c>
      <c r="B381" s="50" t="s">
        <v>6876</v>
      </c>
      <c r="C381" s="50" t="s">
        <v>6877</v>
      </c>
      <c r="D381" s="50" t="s">
        <v>11623</v>
      </c>
      <c r="E381" s="144">
        <v>43788.0</v>
      </c>
      <c r="F381" s="50" t="s">
        <v>11675</v>
      </c>
      <c r="G381" s="50">
        <v>58.0</v>
      </c>
      <c r="H381" s="50">
        <v>1.0</v>
      </c>
      <c r="I381" s="50">
        <v>14.0</v>
      </c>
      <c r="J381" s="50">
        <v>141.0</v>
      </c>
      <c r="K381" s="116"/>
      <c r="L381" s="50" t="s">
        <v>589</v>
      </c>
      <c r="M381" s="50" t="s">
        <v>589</v>
      </c>
      <c r="N381" s="50" t="s">
        <v>11630</v>
      </c>
      <c r="O381" s="50" t="s">
        <v>11676</v>
      </c>
      <c r="P381" s="50" t="s">
        <v>11677</v>
      </c>
      <c r="Q381" s="50" t="s">
        <v>11678</v>
      </c>
      <c r="R381" s="116"/>
      <c r="S381" s="116"/>
      <c r="T381" s="116"/>
      <c r="U381" s="116"/>
      <c r="V381" s="116"/>
      <c r="W381" s="50">
        <v>6.0</v>
      </c>
      <c r="X381" s="50">
        <v>1.0</v>
      </c>
      <c r="Y381" s="50">
        <v>3.0</v>
      </c>
      <c r="Z381" s="50">
        <v>0.0</v>
      </c>
      <c r="AA381" s="50">
        <v>5.0</v>
      </c>
      <c r="AB381" s="50">
        <v>1.0</v>
      </c>
      <c r="AC381" s="50">
        <v>3.0</v>
      </c>
      <c r="AD381" s="50">
        <v>0.0</v>
      </c>
      <c r="AE381" s="50">
        <v>1.0</v>
      </c>
      <c r="AF381" s="50">
        <v>4.0</v>
      </c>
      <c r="AG381" s="50">
        <v>1.0</v>
      </c>
      <c r="AH381" s="50">
        <v>3.0</v>
      </c>
      <c r="AI381" s="50">
        <v>0.0</v>
      </c>
      <c r="AJ381" s="116"/>
      <c r="AK381" s="50" t="s">
        <v>11687</v>
      </c>
      <c r="AL381" s="50">
        <v>4.0</v>
      </c>
      <c r="AM381" s="50">
        <v>1.0</v>
      </c>
      <c r="AN381" s="50" t="s">
        <v>10629</v>
      </c>
      <c r="AO381" s="117">
        <v>5259.0</v>
      </c>
      <c r="AP381" s="50" t="s">
        <v>11688</v>
      </c>
      <c r="AQ381" s="50" t="s">
        <v>11689</v>
      </c>
      <c r="AR381" s="117">
        <v>381.0</v>
      </c>
    </row>
    <row r="382">
      <c r="A382" s="50" t="s">
        <v>11675</v>
      </c>
      <c r="B382" s="50" t="s">
        <v>6876</v>
      </c>
      <c r="C382" s="50" t="s">
        <v>6877</v>
      </c>
      <c r="D382" s="50" t="s">
        <v>11623</v>
      </c>
      <c r="E382" s="144">
        <v>43788.0</v>
      </c>
      <c r="F382" s="50" t="s">
        <v>11691</v>
      </c>
      <c r="G382" s="50">
        <v>58.0</v>
      </c>
      <c r="H382" s="50">
        <v>1.0</v>
      </c>
      <c r="I382" s="50">
        <v>14.0</v>
      </c>
      <c r="J382" s="50">
        <v>143.0</v>
      </c>
      <c r="K382" s="116"/>
      <c r="L382" s="50" t="s">
        <v>594</v>
      </c>
      <c r="M382" s="50" t="s">
        <v>594</v>
      </c>
      <c r="N382" s="50" t="s">
        <v>11630</v>
      </c>
      <c r="O382" s="50" t="s">
        <v>11676</v>
      </c>
      <c r="P382" s="50" t="s">
        <v>11677</v>
      </c>
      <c r="Q382" s="50" t="s">
        <v>11678</v>
      </c>
      <c r="R382" s="116"/>
      <c r="S382" s="116"/>
      <c r="T382" s="116"/>
      <c r="U382" s="116"/>
      <c r="V382" s="116"/>
      <c r="W382" s="50">
        <v>6.0</v>
      </c>
      <c r="X382" s="50">
        <v>1.0</v>
      </c>
      <c r="Y382" s="50">
        <v>3.0</v>
      </c>
      <c r="Z382" s="50">
        <v>0.0</v>
      </c>
      <c r="AA382" s="50">
        <v>5.0</v>
      </c>
      <c r="AB382" s="50">
        <v>1.0</v>
      </c>
      <c r="AC382" s="50">
        <v>3.0</v>
      </c>
      <c r="AD382" s="50">
        <v>0.0</v>
      </c>
      <c r="AE382" s="50">
        <v>1.0</v>
      </c>
      <c r="AF382" s="50">
        <v>4.0</v>
      </c>
      <c r="AG382" s="50">
        <v>1.0</v>
      </c>
      <c r="AH382" s="50">
        <v>3.0</v>
      </c>
      <c r="AI382" s="50">
        <v>0.0</v>
      </c>
      <c r="AJ382" s="116"/>
      <c r="AK382" s="50" t="s">
        <v>11695</v>
      </c>
      <c r="AL382" s="50">
        <v>4.0</v>
      </c>
      <c r="AM382" s="50">
        <v>1.0</v>
      </c>
      <c r="AN382" s="50" t="s">
        <v>10629</v>
      </c>
      <c r="AO382" s="117">
        <v>5260.0</v>
      </c>
      <c r="AP382" s="50" t="s">
        <v>11698</v>
      </c>
      <c r="AQ382" s="50" t="s">
        <v>11699</v>
      </c>
      <c r="AR382" s="117">
        <v>382.0</v>
      </c>
    </row>
    <row r="383">
      <c r="A383" s="50" t="s">
        <v>11691</v>
      </c>
      <c r="B383" s="50" t="s">
        <v>6876</v>
      </c>
      <c r="C383" s="50" t="s">
        <v>6877</v>
      </c>
      <c r="D383" s="50" t="s">
        <v>11623</v>
      </c>
      <c r="E383" s="144">
        <v>43788.0</v>
      </c>
      <c r="F383" s="50" t="s">
        <v>11700</v>
      </c>
      <c r="G383" s="50">
        <v>58.0</v>
      </c>
      <c r="H383" s="50">
        <v>1.0</v>
      </c>
      <c r="I383" s="50">
        <v>99.0</v>
      </c>
      <c r="J383" s="116"/>
      <c r="K383" s="116"/>
      <c r="L383" s="50" t="s">
        <v>617</v>
      </c>
      <c r="M383" s="50" t="s">
        <v>617</v>
      </c>
      <c r="N383" s="50" t="s">
        <v>11630</v>
      </c>
      <c r="O383" s="50" t="s">
        <v>11703</v>
      </c>
      <c r="P383" s="50" t="s">
        <v>11704</v>
      </c>
      <c r="Q383" s="50" t="s">
        <v>11705</v>
      </c>
      <c r="R383" s="116"/>
      <c r="S383" s="116"/>
      <c r="T383" s="116"/>
      <c r="U383" s="116"/>
      <c r="V383" s="116"/>
      <c r="W383" s="50">
        <v>7.0</v>
      </c>
      <c r="X383" s="50">
        <v>100.0</v>
      </c>
      <c r="Y383" s="50">
        <v>3.0</v>
      </c>
      <c r="Z383" s="50">
        <v>0.0</v>
      </c>
      <c r="AA383" s="116"/>
      <c r="AB383" s="116"/>
      <c r="AC383" s="116"/>
      <c r="AD383" s="116"/>
      <c r="AE383" s="116"/>
      <c r="AF383" s="116"/>
      <c r="AG383" s="116"/>
      <c r="AH383" s="116"/>
      <c r="AI383" s="116"/>
      <c r="AJ383" s="116"/>
      <c r="AK383" s="50" t="s">
        <v>11709</v>
      </c>
      <c r="AL383" s="50">
        <v>4.0</v>
      </c>
      <c r="AM383" s="50">
        <v>1.0</v>
      </c>
      <c r="AN383" s="50" t="s">
        <v>10629</v>
      </c>
      <c r="AO383" s="117">
        <v>5261.0</v>
      </c>
      <c r="AP383" s="50" t="s">
        <v>11712</v>
      </c>
      <c r="AQ383" s="50" t="s">
        <v>11714</v>
      </c>
      <c r="AR383" s="117">
        <v>383.0</v>
      </c>
    </row>
    <row r="384">
      <c r="A384" s="50" t="s">
        <v>11700</v>
      </c>
      <c r="B384" s="50" t="s">
        <v>6876</v>
      </c>
      <c r="C384" s="50" t="s">
        <v>6877</v>
      </c>
      <c r="D384" s="50" t="s">
        <v>11623</v>
      </c>
      <c r="E384" s="144">
        <v>43788.0</v>
      </c>
      <c r="F384" s="50" t="s">
        <v>11716</v>
      </c>
      <c r="G384" s="50">
        <v>33.0</v>
      </c>
      <c r="H384" s="50">
        <v>1.0</v>
      </c>
      <c r="I384" s="50">
        <v>98.0</v>
      </c>
      <c r="J384" s="116"/>
      <c r="K384" s="116"/>
      <c r="L384" s="50" t="s">
        <v>1571</v>
      </c>
      <c r="M384" s="50" t="s">
        <v>1571</v>
      </c>
      <c r="N384" s="50" t="s">
        <v>11630</v>
      </c>
      <c r="O384" s="50" t="s">
        <v>11703</v>
      </c>
      <c r="P384" s="50" t="s">
        <v>11704</v>
      </c>
      <c r="Q384" s="50" t="s">
        <v>11705</v>
      </c>
      <c r="R384" s="116"/>
      <c r="S384" s="116"/>
      <c r="T384" s="116"/>
      <c r="U384" s="116"/>
      <c r="V384" s="116"/>
      <c r="W384" s="50">
        <v>7.0</v>
      </c>
      <c r="X384" s="50">
        <v>100.0</v>
      </c>
      <c r="Y384" s="50">
        <v>3.0</v>
      </c>
      <c r="Z384" s="50">
        <v>0.0</v>
      </c>
      <c r="AA384" s="116"/>
      <c r="AB384" s="116"/>
      <c r="AC384" s="116"/>
      <c r="AD384" s="116"/>
      <c r="AE384" s="116"/>
      <c r="AF384" s="116"/>
      <c r="AG384" s="116"/>
      <c r="AH384" s="116"/>
      <c r="AI384" s="116"/>
      <c r="AJ384" s="116"/>
      <c r="AK384" s="50" t="s">
        <v>11376</v>
      </c>
      <c r="AL384" s="50">
        <v>4.0</v>
      </c>
      <c r="AM384" s="50">
        <v>1.0</v>
      </c>
      <c r="AN384" s="50" t="s">
        <v>10629</v>
      </c>
      <c r="AO384" s="117">
        <v>5262.0</v>
      </c>
      <c r="AP384" s="50" t="s">
        <v>11721</v>
      </c>
      <c r="AQ384" s="50" t="s">
        <v>11723</v>
      </c>
      <c r="AR384" s="117">
        <v>384.0</v>
      </c>
    </row>
    <row r="385">
      <c r="A385" s="50" t="s">
        <v>11716</v>
      </c>
      <c r="B385" s="50" t="s">
        <v>6876</v>
      </c>
      <c r="C385" s="50" t="s">
        <v>6877</v>
      </c>
      <c r="D385" s="50" t="s">
        <v>11623</v>
      </c>
      <c r="E385" s="144">
        <v>43788.0</v>
      </c>
      <c r="F385" s="50" t="s">
        <v>11726</v>
      </c>
      <c r="G385" s="50">
        <v>66.0</v>
      </c>
      <c r="H385" s="50">
        <v>1.0</v>
      </c>
      <c r="I385" s="50">
        <v>99.0</v>
      </c>
      <c r="J385" s="116"/>
      <c r="K385" s="116"/>
      <c r="L385" s="50" t="s">
        <v>1574</v>
      </c>
      <c r="M385" s="50" t="s">
        <v>1574</v>
      </c>
      <c r="N385" s="50" t="s">
        <v>11727</v>
      </c>
      <c r="O385" s="50" t="s">
        <v>11728</v>
      </c>
      <c r="P385" s="50" t="s">
        <v>11730</v>
      </c>
      <c r="Q385" s="50" t="s">
        <v>11732</v>
      </c>
      <c r="R385" s="116"/>
      <c r="S385" s="116"/>
      <c r="T385" s="116"/>
      <c r="U385" s="116"/>
      <c r="V385" s="116"/>
      <c r="W385" s="50">
        <v>7.0</v>
      </c>
      <c r="X385" s="50">
        <v>100.0</v>
      </c>
      <c r="Y385" s="50">
        <v>3.0</v>
      </c>
      <c r="Z385" s="50">
        <v>0.0</v>
      </c>
      <c r="AA385" s="116"/>
      <c r="AB385" s="116"/>
      <c r="AC385" s="116"/>
      <c r="AD385" s="116"/>
      <c r="AE385" s="116"/>
      <c r="AF385" s="116"/>
      <c r="AG385" s="116"/>
      <c r="AH385" s="116"/>
      <c r="AI385" s="116"/>
      <c r="AJ385" s="116"/>
      <c r="AK385" s="50" t="s">
        <v>11737</v>
      </c>
      <c r="AL385" s="50">
        <v>4.0</v>
      </c>
      <c r="AM385" s="50">
        <v>1.0</v>
      </c>
      <c r="AN385" s="50" t="s">
        <v>10629</v>
      </c>
      <c r="AO385" s="117">
        <v>5263.0</v>
      </c>
      <c r="AP385" s="50" t="s">
        <v>11739</v>
      </c>
      <c r="AQ385" s="50" t="s">
        <v>11740</v>
      </c>
      <c r="AR385" s="117">
        <v>385.0</v>
      </c>
    </row>
    <row r="386">
      <c r="A386" s="50" t="s">
        <v>11726</v>
      </c>
      <c r="B386" s="50" t="s">
        <v>6876</v>
      </c>
      <c r="C386" s="50" t="s">
        <v>6877</v>
      </c>
      <c r="D386" s="50" t="s">
        <v>11623</v>
      </c>
      <c r="E386" s="144">
        <v>43788.0</v>
      </c>
      <c r="F386" s="50" t="s">
        <v>11744</v>
      </c>
      <c r="G386" s="50">
        <v>59.0</v>
      </c>
      <c r="H386" s="50">
        <v>1.0</v>
      </c>
      <c r="I386" s="50">
        <v>99.0</v>
      </c>
      <c r="J386" s="116"/>
      <c r="K386" s="116"/>
      <c r="L386" s="50" t="s">
        <v>1577</v>
      </c>
      <c r="M386" s="50" t="s">
        <v>1577</v>
      </c>
      <c r="N386" s="50" t="s">
        <v>11727</v>
      </c>
      <c r="O386" s="50" t="s">
        <v>11728</v>
      </c>
      <c r="P386" s="50" t="s">
        <v>11730</v>
      </c>
      <c r="Q386" s="50" t="s">
        <v>11732</v>
      </c>
      <c r="R386" s="116"/>
      <c r="S386" s="116"/>
      <c r="T386" s="116"/>
      <c r="U386" s="116"/>
      <c r="V386" s="116"/>
      <c r="W386" s="50">
        <v>7.0</v>
      </c>
      <c r="X386" s="50">
        <v>100.0</v>
      </c>
      <c r="Y386" s="50">
        <v>3.0</v>
      </c>
      <c r="Z386" s="50">
        <v>0.0</v>
      </c>
      <c r="AA386" s="116"/>
      <c r="AB386" s="116"/>
      <c r="AC386" s="116"/>
      <c r="AD386" s="116"/>
      <c r="AE386" s="116"/>
      <c r="AF386" s="116"/>
      <c r="AG386" s="116"/>
      <c r="AH386" s="116"/>
      <c r="AI386" s="116"/>
      <c r="AJ386" s="116"/>
      <c r="AK386" s="50" t="s">
        <v>11748</v>
      </c>
      <c r="AL386" s="50">
        <v>4.0</v>
      </c>
      <c r="AM386" s="50">
        <v>1.0</v>
      </c>
      <c r="AN386" s="50" t="s">
        <v>10629</v>
      </c>
      <c r="AO386" s="117">
        <v>5264.0</v>
      </c>
      <c r="AP386" s="50" t="s">
        <v>11749</v>
      </c>
      <c r="AQ386" s="50" t="s">
        <v>11750</v>
      </c>
      <c r="AR386" s="117">
        <v>386.0</v>
      </c>
    </row>
    <row r="387">
      <c r="A387" s="50" t="s">
        <v>11744</v>
      </c>
      <c r="B387" s="50" t="s">
        <v>6876</v>
      </c>
      <c r="C387" s="50" t="s">
        <v>6877</v>
      </c>
      <c r="D387" s="50" t="s">
        <v>11623</v>
      </c>
      <c r="E387" s="144">
        <v>43788.0</v>
      </c>
      <c r="F387" s="50" t="s">
        <v>11752</v>
      </c>
      <c r="G387" s="50">
        <v>59.0</v>
      </c>
      <c r="H387" s="50">
        <v>1.0</v>
      </c>
      <c r="I387" s="50">
        <v>11.0</v>
      </c>
      <c r="J387" s="116"/>
      <c r="K387" s="116"/>
      <c r="L387" s="50" t="s">
        <v>1579</v>
      </c>
      <c r="M387" s="50" t="s">
        <v>1579</v>
      </c>
      <c r="N387" s="50" t="s">
        <v>11727</v>
      </c>
      <c r="O387" s="50" t="s">
        <v>11758</v>
      </c>
      <c r="P387" s="50" t="s">
        <v>11759</v>
      </c>
      <c r="Q387" s="50" t="s">
        <v>11761</v>
      </c>
      <c r="R387" s="116"/>
      <c r="S387" s="116"/>
      <c r="T387" s="116"/>
      <c r="U387" s="116"/>
      <c r="V387" s="116"/>
      <c r="W387" s="50">
        <v>3.0</v>
      </c>
      <c r="X387" s="50">
        <v>1.0</v>
      </c>
      <c r="Y387" s="50">
        <v>3.0</v>
      </c>
      <c r="Z387" s="50">
        <v>22.0</v>
      </c>
      <c r="AA387" s="50">
        <v>2.0</v>
      </c>
      <c r="AB387" s="50">
        <v>1.0</v>
      </c>
      <c r="AC387" s="50">
        <v>3.0</v>
      </c>
      <c r="AD387" s="50">
        <v>5.0</v>
      </c>
      <c r="AE387" s="50">
        <v>1.0</v>
      </c>
      <c r="AF387" s="50">
        <v>1.0</v>
      </c>
      <c r="AG387" s="50">
        <v>1.0</v>
      </c>
      <c r="AH387" s="50">
        <v>3.0</v>
      </c>
      <c r="AI387" s="50">
        <v>0.0</v>
      </c>
      <c r="AJ387" s="116"/>
      <c r="AK387" s="50" t="s">
        <v>11767</v>
      </c>
      <c r="AL387" s="50">
        <v>4.0</v>
      </c>
      <c r="AM387" s="50">
        <v>1.0</v>
      </c>
      <c r="AN387" s="50" t="s">
        <v>10629</v>
      </c>
      <c r="AO387" s="117">
        <v>5265.0</v>
      </c>
      <c r="AP387" s="50" t="s">
        <v>11768</v>
      </c>
      <c r="AQ387" s="50" t="s">
        <v>11769</v>
      </c>
      <c r="AR387" s="117">
        <v>387.0</v>
      </c>
    </row>
    <row r="388">
      <c r="A388" s="50" t="s">
        <v>11752</v>
      </c>
      <c r="B388" s="50" t="s">
        <v>6876</v>
      </c>
      <c r="C388" s="50" t="s">
        <v>6877</v>
      </c>
      <c r="D388" s="50" t="s">
        <v>11623</v>
      </c>
      <c r="E388" s="144">
        <v>43788.0</v>
      </c>
      <c r="F388" s="50" t="s">
        <v>11771</v>
      </c>
      <c r="G388" s="50">
        <v>59.0</v>
      </c>
      <c r="H388" s="50">
        <v>1.0</v>
      </c>
      <c r="I388" s="50">
        <v>99.0</v>
      </c>
      <c r="J388" s="116"/>
      <c r="K388" s="116"/>
      <c r="L388" s="50" t="s">
        <v>1580</v>
      </c>
      <c r="M388" s="50" t="s">
        <v>1580</v>
      </c>
      <c r="N388" s="50" t="s">
        <v>11727</v>
      </c>
      <c r="O388" s="50" t="s">
        <v>11728</v>
      </c>
      <c r="P388" s="50" t="s">
        <v>11730</v>
      </c>
      <c r="Q388" s="50" t="s">
        <v>11732</v>
      </c>
      <c r="R388" s="116"/>
      <c r="S388" s="116"/>
      <c r="T388" s="116"/>
      <c r="U388" s="116"/>
      <c r="V388" s="116"/>
      <c r="W388" s="50">
        <v>7.0</v>
      </c>
      <c r="X388" s="50">
        <v>100.0</v>
      </c>
      <c r="Y388" s="50">
        <v>3.0</v>
      </c>
      <c r="Z388" s="50">
        <v>0.0</v>
      </c>
      <c r="AA388" s="116"/>
      <c r="AB388" s="116"/>
      <c r="AC388" s="116"/>
      <c r="AD388" s="116"/>
      <c r="AE388" s="116"/>
      <c r="AF388" s="116"/>
      <c r="AG388" s="116"/>
      <c r="AH388" s="116"/>
      <c r="AI388" s="116"/>
      <c r="AJ388" s="116"/>
      <c r="AK388" s="50" t="s">
        <v>11778</v>
      </c>
      <c r="AL388" s="50">
        <v>4.0</v>
      </c>
      <c r="AM388" s="50">
        <v>1.0</v>
      </c>
      <c r="AN388" s="50" t="s">
        <v>10629</v>
      </c>
      <c r="AO388" s="117">
        <v>5266.0</v>
      </c>
      <c r="AP388" s="50" t="s">
        <v>11779</v>
      </c>
      <c r="AQ388" s="50" t="s">
        <v>11780</v>
      </c>
      <c r="AR388" s="117">
        <v>388.0</v>
      </c>
    </row>
    <row r="389">
      <c r="A389" s="50" t="s">
        <v>11771</v>
      </c>
      <c r="B389" s="50" t="s">
        <v>6876</v>
      </c>
      <c r="C389" s="50" t="s">
        <v>6877</v>
      </c>
      <c r="D389" s="50" t="s">
        <v>11623</v>
      </c>
      <c r="E389" s="144">
        <v>43788.0</v>
      </c>
      <c r="F389" s="50" t="s">
        <v>11781</v>
      </c>
      <c r="G389" s="50">
        <v>59.0</v>
      </c>
      <c r="H389" s="50">
        <v>1.0</v>
      </c>
      <c r="I389" s="50">
        <v>11.0</v>
      </c>
      <c r="J389" s="116"/>
      <c r="K389" s="116"/>
      <c r="L389" s="50" t="s">
        <v>1582</v>
      </c>
      <c r="M389" s="50" t="s">
        <v>1582</v>
      </c>
      <c r="N389" s="50" t="s">
        <v>11727</v>
      </c>
      <c r="O389" s="50" t="s">
        <v>11758</v>
      </c>
      <c r="P389" s="50" t="s">
        <v>11759</v>
      </c>
      <c r="Q389" s="50" t="s">
        <v>11761</v>
      </c>
      <c r="R389" s="116"/>
      <c r="S389" s="116"/>
      <c r="T389" s="116"/>
      <c r="U389" s="116"/>
      <c r="V389" s="116"/>
      <c r="W389" s="50">
        <v>3.0</v>
      </c>
      <c r="X389" s="50">
        <v>1.0</v>
      </c>
      <c r="Y389" s="50">
        <v>3.0</v>
      </c>
      <c r="Z389" s="50">
        <v>48.0</v>
      </c>
      <c r="AA389" s="50">
        <v>2.0</v>
      </c>
      <c r="AB389" s="50">
        <v>1.0</v>
      </c>
      <c r="AC389" s="50">
        <v>3.0</v>
      </c>
      <c r="AD389" s="50">
        <v>3.0</v>
      </c>
      <c r="AE389" s="50">
        <v>1.0</v>
      </c>
      <c r="AF389" s="50">
        <v>1.0</v>
      </c>
      <c r="AG389" s="50">
        <v>1.0</v>
      </c>
      <c r="AH389" s="50">
        <v>3.0</v>
      </c>
      <c r="AI389" s="50">
        <v>0.0</v>
      </c>
      <c r="AJ389" s="116"/>
      <c r="AK389" s="50" t="s">
        <v>11790</v>
      </c>
      <c r="AL389" s="50">
        <v>4.0</v>
      </c>
      <c r="AM389" s="50">
        <v>1.0</v>
      </c>
      <c r="AN389" s="50" t="s">
        <v>10629</v>
      </c>
      <c r="AO389" s="117">
        <v>5267.0</v>
      </c>
      <c r="AP389" s="50" t="s">
        <v>11793</v>
      </c>
      <c r="AQ389" s="50" t="s">
        <v>11794</v>
      </c>
      <c r="AR389" s="117">
        <v>389.0</v>
      </c>
    </row>
    <row r="390">
      <c r="A390" s="50" t="s">
        <v>11781</v>
      </c>
      <c r="B390" s="50" t="s">
        <v>6876</v>
      </c>
      <c r="C390" s="50" t="s">
        <v>6877</v>
      </c>
      <c r="D390" s="50" t="s">
        <v>11623</v>
      </c>
      <c r="E390" s="144">
        <v>43788.0</v>
      </c>
      <c r="F390" s="50" t="s">
        <v>11795</v>
      </c>
      <c r="G390" s="50">
        <v>59.0</v>
      </c>
      <c r="H390" s="50">
        <v>1.0</v>
      </c>
      <c r="I390" s="50">
        <v>99.0</v>
      </c>
      <c r="J390" s="116"/>
      <c r="K390" s="116"/>
      <c r="L390" s="50" t="s">
        <v>275</v>
      </c>
      <c r="M390" s="50" t="s">
        <v>275</v>
      </c>
      <c r="N390" s="50" t="s">
        <v>11727</v>
      </c>
      <c r="O390" s="50" t="s">
        <v>11728</v>
      </c>
      <c r="P390" s="50" t="s">
        <v>11730</v>
      </c>
      <c r="Q390" s="50" t="s">
        <v>11732</v>
      </c>
      <c r="R390" s="116"/>
      <c r="S390" s="116"/>
      <c r="T390" s="116"/>
      <c r="U390" s="116"/>
      <c r="V390" s="116"/>
      <c r="W390" s="50">
        <v>7.0</v>
      </c>
      <c r="X390" s="50">
        <v>100.0</v>
      </c>
      <c r="Y390" s="50">
        <v>3.0</v>
      </c>
      <c r="Z390" s="50">
        <v>1.0</v>
      </c>
      <c r="AA390" s="116"/>
      <c r="AB390" s="116"/>
      <c r="AC390" s="116"/>
      <c r="AD390" s="116"/>
      <c r="AE390" s="116"/>
      <c r="AF390" s="116"/>
      <c r="AG390" s="116"/>
      <c r="AH390" s="116"/>
      <c r="AI390" s="116"/>
      <c r="AJ390" s="116"/>
      <c r="AK390" s="50" t="s">
        <v>11800</v>
      </c>
      <c r="AL390" s="50">
        <v>4.0</v>
      </c>
      <c r="AM390" s="50">
        <v>1.0</v>
      </c>
      <c r="AN390" s="50" t="s">
        <v>10629</v>
      </c>
      <c r="AO390" s="117">
        <v>5268.0</v>
      </c>
      <c r="AP390" s="50" t="s">
        <v>11802</v>
      </c>
      <c r="AQ390" s="50" t="s">
        <v>11803</v>
      </c>
      <c r="AR390" s="117">
        <v>390.0</v>
      </c>
    </row>
    <row r="391">
      <c r="A391" s="50" t="s">
        <v>11795</v>
      </c>
      <c r="B391" s="50" t="s">
        <v>6876</v>
      </c>
      <c r="C391" s="50" t="s">
        <v>6877</v>
      </c>
      <c r="D391" s="50" t="s">
        <v>11623</v>
      </c>
      <c r="E391" s="144">
        <v>43788.0</v>
      </c>
      <c r="F391" s="50" t="s">
        <v>11808</v>
      </c>
      <c r="G391" s="50">
        <v>59.0</v>
      </c>
      <c r="H391" s="50">
        <v>1.0</v>
      </c>
      <c r="I391" s="50">
        <v>11.0</v>
      </c>
      <c r="J391" s="116"/>
      <c r="K391" s="116"/>
      <c r="L391" s="50" t="s">
        <v>1583</v>
      </c>
      <c r="M391" s="50" t="s">
        <v>1583</v>
      </c>
      <c r="N391" s="50" t="s">
        <v>11727</v>
      </c>
      <c r="O391" s="50" t="s">
        <v>11758</v>
      </c>
      <c r="P391" s="50" t="s">
        <v>11759</v>
      </c>
      <c r="Q391" s="50" t="s">
        <v>11761</v>
      </c>
      <c r="R391" s="116"/>
      <c r="S391" s="116"/>
      <c r="T391" s="116"/>
      <c r="U391" s="116"/>
      <c r="V391" s="116"/>
      <c r="W391" s="50">
        <v>3.0</v>
      </c>
      <c r="X391" s="50">
        <v>1.0</v>
      </c>
      <c r="Y391" s="50">
        <v>3.0</v>
      </c>
      <c r="Z391" s="50">
        <v>10.0</v>
      </c>
      <c r="AA391" s="50">
        <v>2.0</v>
      </c>
      <c r="AB391" s="50">
        <v>1.0</v>
      </c>
      <c r="AC391" s="50">
        <v>3.0</v>
      </c>
      <c r="AD391" s="50">
        <v>3.0</v>
      </c>
      <c r="AE391" s="50">
        <v>1.0</v>
      </c>
      <c r="AF391" s="50">
        <v>1.0</v>
      </c>
      <c r="AG391" s="50">
        <v>1.0</v>
      </c>
      <c r="AH391" s="50">
        <v>3.0</v>
      </c>
      <c r="AI391" s="50">
        <v>2.0</v>
      </c>
      <c r="AJ391" s="116"/>
      <c r="AK391" s="50" t="s">
        <v>11817</v>
      </c>
      <c r="AL391" s="50">
        <v>4.0</v>
      </c>
      <c r="AM391" s="50">
        <v>1.0</v>
      </c>
      <c r="AN391" s="50" t="s">
        <v>10629</v>
      </c>
      <c r="AO391" s="117">
        <v>5269.0</v>
      </c>
      <c r="AP391" s="50" t="s">
        <v>11818</v>
      </c>
      <c r="AQ391" s="50" t="s">
        <v>11819</v>
      </c>
      <c r="AR391" s="117">
        <v>391.0</v>
      </c>
    </row>
    <row r="392">
      <c r="A392" s="50" t="s">
        <v>11808</v>
      </c>
      <c r="B392" s="50" t="s">
        <v>6876</v>
      </c>
      <c r="C392" s="50" t="s">
        <v>6877</v>
      </c>
      <c r="D392" s="50" t="s">
        <v>11623</v>
      </c>
      <c r="E392" s="144">
        <v>43788.0</v>
      </c>
      <c r="F392" s="50" t="s">
        <v>11823</v>
      </c>
      <c r="G392" s="50">
        <v>59.0</v>
      </c>
      <c r="H392" s="50">
        <v>1.0</v>
      </c>
      <c r="I392" s="50">
        <v>99.0</v>
      </c>
      <c r="J392" s="116"/>
      <c r="K392" s="116"/>
      <c r="L392" s="50" t="s">
        <v>1584</v>
      </c>
      <c r="M392" s="50" t="s">
        <v>1584</v>
      </c>
      <c r="N392" s="50" t="s">
        <v>11727</v>
      </c>
      <c r="O392" s="50" t="s">
        <v>11728</v>
      </c>
      <c r="P392" s="50" t="s">
        <v>11730</v>
      </c>
      <c r="Q392" s="50" t="s">
        <v>11732</v>
      </c>
      <c r="R392" s="116"/>
      <c r="S392" s="116"/>
      <c r="T392" s="116"/>
      <c r="U392" s="116"/>
      <c r="V392" s="116"/>
      <c r="W392" s="50">
        <v>7.0</v>
      </c>
      <c r="X392" s="50">
        <v>100.0</v>
      </c>
      <c r="Y392" s="50">
        <v>3.0</v>
      </c>
      <c r="Z392" s="50">
        <v>0.0</v>
      </c>
      <c r="AA392" s="116"/>
      <c r="AB392" s="116"/>
      <c r="AC392" s="116"/>
      <c r="AD392" s="116"/>
      <c r="AE392" s="116"/>
      <c r="AF392" s="116"/>
      <c r="AG392" s="116"/>
      <c r="AH392" s="116"/>
      <c r="AI392" s="116"/>
      <c r="AJ392" s="116"/>
      <c r="AK392" s="50" t="s">
        <v>11828</v>
      </c>
      <c r="AL392" s="50">
        <v>4.0</v>
      </c>
      <c r="AM392" s="50">
        <v>1.0</v>
      </c>
      <c r="AN392" s="50" t="s">
        <v>10629</v>
      </c>
      <c r="AO392" s="117">
        <v>5270.0</v>
      </c>
      <c r="AP392" s="50" t="s">
        <v>11830</v>
      </c>
      <c r="AQ392" s="50" t="s">
        <v>11832</v>
      </c>
      <c r="AR392" s="117">
        <v>392.0</v>
      </c>
    </row>
    <row r="393">
      <c r="A393" s="50" t="s">
        <v>11823</v>
      </c>
      <c r="B393" s="50" t="s">
        <v>6876</v>
      </c>
      <c r="C393" s="50" t="s">
        <v>6877</v>
      </c>
      <c r="D393" s="50" t="s">
        <v>11623</v>
      </c>
      <c r="E393" s="144">
        <v>43788.0</v>
      </c>
      <c r="F393" s="50" t="s">
        <v>11837</v>
      </c>
      <c r="G393" s="50">
        <v>59.0</v>
      </c>
      <c r="H393" s="50">
        <v>1.0</v>
      </c>
      <c r="I393" s="50">
        <v>11.0</v>
      </c>
      <c r="J393" s="116"/>
      <c r="K393" s="116"/>
      <c r="L393" s="50" t="s">
        <v>1586</v>
      </c>
      <c r="M393" s="50" t="s">
        <v>1586</v>
      </c>
      <c r="N393" s="50" t="s">
        <v>11727</v>
      </c>
      <c r="O393" s="50" t="s">
        <v>11758</v>
      </c>
      <c r="P393" s="50" t="s">
        <v>11759</v>
      </c>
      <c r="Q393" s="50" t="s">
        <v>11761</v>
      </c>
      <c r="R393" s="116"/>
      <c r="S393" s="116"/>
      <c r="T393" s="116"/>
      <c r="U393" s="116"/>
      <c r="V393" s="116"/>
      <c r="W393" s="50">
        <v>3.0</v>
      </c>
      <c r="X393" s="50">
        <v>1.0</v>
      </c>
      <c r="Y393" s="50">
        <v>3.0</v>
      </c>
      <c r="Z393" s="50">
        <v>1.0</v>
      </c>
      <c r="AA393" s="50">
        <v>2.0</v>
      </c>
      <c r="AB393" s="50">
        <v>1.0</v>
      </c>
      <c r="AC393" s="50">
        <v>3.0</v>
      </c>
      <c r="AD393" s="50">
        <v>1.0</v>
      </c>
      <c r="AE393" s="50">
        <v>1.0</v>
      </c>
      <c r="AF393" s="50">
        <v>1.0</v>
      </c>
      <c r="AG393" s="50">
        <v>1.0</v>
      </c>
      <c r="AH393" s="50">
        <v>3.0</v>
      </c>
      <c r="AI393" s="50">
        <v>0.0</v>
      </c>
      <c r="AJ393" s="116"/>
      <c r="AK393" s="50" t="s">
        <v>11846</v>
      </c>
      <c r="AL393" s="50">
        <v>4.0</v>
      </c>
      <c r="AM393" s="50">
        <v>1.0</v>
      </c>
      <c r="AN393" s="50" t="s">
        <v>10629</v>
      </c>
      <c r="AO393" s="117">
        <v>5271.0</v>
      </c>
      <c r="AP393" s="50" t="s">
        <v>11849</v>
      </c>
      <c r="AQ393" s="50" t="s">
        <v>11852</v>
      </c>
      <c r="AR393" s="117">
        <v>393.0</v>
      </c>
    </row>
    <row r="394">
      <c r="A394" s="50" t="s">
        <v>11837</v>
      </c>
      <c r="B394" s="50" t="s">
        <v>6876</v>
      </c>
      <c r="C394" s="50" t="s">
        <v>6877</v>
      </c>
      <c r="D394" s="50" t="s">
        <v>11623</v>
      </c>
      <c r="E394" s="144">
        <v>43788.0</v>
      </c>
      <c r="F394" s="50" t="s">
        <v>11856</v>
      </c>
      <c r="G394" s="50">
        <v>59.0</v>
      </c>
      <c r="H394" s="50">
        <v>1.0</v>
      </c>
      <c r="I394" s="50">
        <v>99.0</v>
      </c>
      <c r="J394" s="116"/>
      <c r="K394" s="116"/>
      <c r="L394" s="50" t="s">
        <v>1587</v>
      </c>
      <c r="M394" s="50" t="s">
        <v>1587</v>
      </c>
      <c r="N394" s="50" t="s">
        <v>11727</v>
      </c>
      <c r="O394" s="50" t="s">
        <v>11728</v>
      </c>
      <c r="P394" s="50" t="s">
        <v>11730</v>
      </c>
      <c r="Q394" s="50" t="s">
        <v>11732</v>
      </c>
      <c r="R394" s="116"/>
      <c r="S394" s="116"/>
      <c r="T394" s="116"/>
      <c r="U394" s="116"/>
      <c r="V394" s="116"/>
      <c r="W394" s="50">
        <v>7.0</v>
      </c>
      <c r="X394" s="50">
        <v>100.0</v>
      </c>
      <c r="Y394" s="50">
        <v>3.0</v>
      </c>
      <c r="Z394" s="50">
        <v>0.0</v>
      </c>
      <c r="AA394" s="116"/>
      <c r="AB394" s="116"/>
      <c r="AC394" s="116"/>
      <c r="AD394" s="116"/>
      <c r="AE394" s="116"/>
      <c r="AF394" s="116"/>
      <c r="AG394" s="116"/>
      <c r="AH394" s="116"/>
      <c r="AI394" s="116"/>
      <c r="AJ394" s="116"/>
      <c r="AK394" s="50" t="s">
        <v>11862</v>
      </c>
      <c r="AL394" s="50">
        <v>4.0</v>
      </c>
      <c r="AM394" s="50">
        <v>1.0</v>
      </c>
      <c r="AN394" s="50" t="s">
        <v>10629</v>
      </c>
      <c r="AO394" s="117">
        <v>5272.0</v>
      </c>
      <c r="AP394" s="50" t="s">
        <v>11867</v>
      </c>
      <c r="AQ394" s="50" t="s">
        <v>11868</v>
      </c>
      <c r="AR394" s="117">
        <v>394.0</v>
      </c>
    </row>
    <row r="395">
      <c r="A395" s="50" t="s">
        <v>11856</v>
      </c>
      <c r="B395" s="50" t="s">
        <v>6876</v>
      </c>
      <c r="C395" s="50" t="s">
        <v>6877</v>
      </c>
      <c r="D395" s="50" t="s">
        <v>11623</v>
      </c>
      <c r="E395" s="144">
        <v>43788.0</v>
      </c>
      <c r="F395" s="50" t="s">
        <v>11870</v>
      </c>
      <c r="G395" s="50">
        <v>59.0</v>
      </c>
      <c r="H395" s="50">
        <v>1.0</v>
      </c>
      <c r="I395" s="50">
        <v>11.0</v>
      </c>
      <c r="J395" s="116"/>
      <c r="K395" s="116"/>
      <c r="L395" s="50" t="s">
        <v>1589</v>
      </c>
      <c r="M395" s="50" t="s">
        <v>1589</v>
      </c>
      <c r="N395" s="50" t="s">
        <v>11727</v>
      </c>
      <c r="O395" s="50" t="s">
        <v>11758</v>
      </c>
      <c r="P395" s="50" t="s">
        <v>11759</v>
      </c>
      <c r="Q395" s="50" t="s">
        <v>11761</v>
      </c>
      <c r="R395" s="116"/>
      <c r="S395" s="116"/>
      <c r="T395" s="116"/>
      <c r="U395" s="116"/>
      <c r="V395" s="116"/>
      <c r="W395" s="50">
        <v>3.0</v>
      </c>
      <c r="X395" s="50">
        <v>1.0</v>
      </c>
      <c r="Y395" s="50">
        <v>3.0</v>
      </c>
      <c r="Z395" s="50">
        <v>2.0</v>
      </c>
      <c r="AA395" s="50">
        <v>2.0</v>
      </c>
      <c r="AB395" s="50">
        <v>1.0</v>
      </c>
      <c r="AC395" s="50">
        <v>3.0</v>
      </c>
      <c r="AD395" s="50">
        <v>0.0</v>
      </c>
      <c r="AE395" s="50">
        <v>1.0</v>
      </c>
      <c r="AF395" s="50">
        <v>1.0</v>
      </c>
      <c r="AG395" s="50">
        <v>1.0</v>
      </c>
      <c r="AH395" s="50">
        <v>3.0</v>
      </c>
      <c r="AI395" s="50">
        <v>0.0</v>
      </c>
      <c r="AJ395" s="116"/>
      <c r="AK395" s="50" t="s">
        <v>11875</v>
      </c>
      <c r="AL395" s="50">
        <v>4.0</v>
      </c>
      <c r="AM395" s="50">
        <v>1.0</v>
      </c>
      <c r="AN395" s="50" t="s">
        <v>10629</v>
      </c>
      <c r="AO395" s="117">
        <v>5273.0</v>
      </c>
      <c r="AP395" s="50" t="s">
        <v>11876</v>
      </c>
      <c r="AQ395" s="50" t="s">
        <v>11877</v>
      </c>
      <c r="AR395" s="117">
        <v>395.0</v>
      </c>
    </row>
    <row r="396">
      <c r="A396" s="50" t="s">
        <v>11878</v>
      </c>
      <c r="B396" s="50" t="s">
        <v>6876</v>
      </c>
      <c r="C396" s="50" t="s">
        <v>6877</v>
      </c>
      <c r="D396" s="50" t="s">
        <v>11623</v>
      </c>
      <c r="E396" s="144">
        <v>43788.0</v>
      </c>
      <c r="F396" s="50" t="s">
        <v>11881</v>
      </c>
      <c r="G396" s="50">
        <v>59.0</v>
      </c>
      <c r="H396" s="50">
        <v>1.0</v>
      </c>
      <c r="I396" s="50">
        <v>99.0</v>
      </c>
      <c r="J396" s="116"/>
      <c r="K396" s="116"/>
      <c r="L396" s="50" t="s">
        <v>1590</v>
      </c>
      <c r="M396" s="50" t="s">
        <v>1590</v>
      </c>
      <c r="N396" s="50" t="s">
        <v>11727</v>
      </c>
      <c r="O396" s="50" t="s">
        <v>11728</v>
      </c>
      <c r="P396" s="50" t="s">
        <v>11730</v>
      </c>
      <c r="Q396" s="50" t="s">
        <v>11732</v>
      </c>
      <c r="R396" s="116"/>
      <c r="S396" s="116"/>
      <c r="T396" s="116"/>
      <c r="U396" s="116"/>
      <c r="V396" s="116"/>
      <c r="W396" s="50">
        <v>7.0</v>
      </c>
      <c r="X396" s="50">
        <v>100.0</v>
      </c>
      <c r="Y396" s="50">
        <v>3.0</v>
      </c>
      <c r="Z396" s="50">
        <v>0.0</v>
      </c>
      <c r="AA396" s="116"/>
      <c r="AB396" s="116"/>
      <c r="AC396" s="116"/>
      <c r="AD396" s="116"/>
      <c r="AE396" s="116"/>
      <c r="AF396" s="116"/>
      <c r="AG396" s="116"/>
      <c r="AH396" s="116"/>
      <c r="AI396" s="116"/>
      <c r="AJ396" s="116"/>
      <c r="AK396" s="50" t="s">
        <v>11888</v>
      </c>
      <c r="AL396" s="50">
        <v>4.0</v>
      </c>
      <c r="AM396" s="50">
        <v>1.0</v>
      </c>
      <c r="AN396" s="50" t="s">
        <v>10629</v>
      </c>
      <c r="AO396" s="117">
        <v>5274.0</v>
      </c>
      <c r="AP396" s="50" t="s">
        <v>11892</v>
      </c>
      <c r="AQ396" s="50" t="s">
        <v>11894</v>
      </c>
      <c r="AR396" s="117">
        <v>396.0</v>
      </c>
    </row>
    <row r="397">
      <c r="A397" s="50" t="s">
        <v>11881</v>
      </c>
      <c r="B397" s="50" t="s">
        <v>6876</v>
      </c>
      <c r="C397" s="50" t="s">
        <v>6877</v>
      </c>
      <c r="D397" s="50" t="s">
        <v>11623</v>
      </c>
      <c r="E397" s="144">
        <v>43788.0</v>
      </c>
      <c r="F397" s="50" t="s">
        <v>11896</v>
      </c>
      <c r="G397" s="50">
        <v>33.0</v>
      </c>
      <c r="H397" s="50">
        <v>1.0</v>
      </c>
      <c r="I397" s="50">
        <v>98.0</v>
      </c>
      <c r="J397" s="116"/>
      <c r="K397" s="116"/>
      <c r="L397" s="50" t="s">
        <v>1593</v>
      </c>
      <c r="M397" s="50" t="s">
        <v>1593</v>
      </c>
      <c r="N397" s="50" t="s">
        <v>11727</v>
      </c>
      <c r="O397" s="50" t="s">
        <v>11899</v>
      </c>
      <c r="P397" s="50" t="s">
        <v>11728</v>
      </c>
      <c r="Q397" s="50" t="s">
        <v>11902</v>
      </c>
      <c r="R397" s="116"/>
      <c r="S397" s="116"/>
      <c r="T397" s="116"/>
      <c r="U397" s="116"/>
      <c r="V397" s="116"/>
      <c r="W397" s="50">
        <v>7.0</v>
      </c>
      <c r="X397" s="50">
        <v>100.0</v>
      </c>
      <c r="Y397" s="50">
        <v>3.0</v>
      </c>
      <c r="Z397" s="50">
        <v>0.0</v>
      </c>
      <c r="AA397" s="116"/>
      <c r="AB397" s="116"/>
      <c r="AC397" s="116"/>
      <c r="AD397" s="116"/>
      <c r="AE397" s="116"/>
      <c r="AF397" s="116"/>
      <c r="AG397" s="116"/>
      <c r="AH397" s="116"/>
      <c r="AI397" s="116"/>
      <c r="AJ397" s="116"/>
      <c r="AK397" s="50" t="s">
        <v>11512</v>
      </c>
      <c r="AL397" s="50">
        <v>4.0</v>
      </c>
      <c r="AM397" s="50">
        <v>1.0</v>
      </c>
      <c r="AN397" s="50" t="s">
        <v>10629</v>
      </c>
      <c r="AO397" s="117">
        <v>5275.0</v>
      </c>
      <c r="AP397" s="50" t="s">
        <v>11906</v>
      </c>
      <c r="AQ397" s="50" t="s">
        <v>11907</v>
      </c>
      <c r="AR397" s="117">
        <v>397.0</v>
      </c>
    </row>
    <row r="398">
      <c r="A398" s="50" t="s">
        <v>11896</v>
      </c>
      <c r="B398" s="50" t="s">
        <v>6876</v>
      </c>
      <c r="C398" s="50" t="s">
        <v>6877</v>
      </c>
      <c r="D398" s="50" t="s">
        <v>11623</v>
      </c>
      <c r="E398" s="144">
        <v>43788.0</v>
      </c>
      <c r="F398" s="50" t="s">
        <v>11913</v>
      </c>
      <c r="G398" s="50">
        <v>58.0</v>
      </c>
      <c r="H398" s="50">
        <v>1.0</v>
      </c>
      <c r="I398" s="50">
        <v>15.0</v>
      </c>
      <c r="J398" s="116"/>
      <c r="K398" s="50">
        <v>151.0</v>
      </c>
      <c r="L398" s="50" t="s">
        <v>628</v>
      </c>
      <c r="M398" s="50" t="s">
        <v>628</v>
      </c>
      <c r="N398" s="50" t="s">
        <v>11914</v>
      </c>
      <c r="O398" s="50" t="s">
        <v>11915</v>
      </c>
      <c r="P398" s="50" t="s">
        <v>11761</v>
      </c>
      <c r="Q398" s="50" t="s">
        <v>11917</v>
      </c>
      <c r="R398" s="116"/>
      <c r="S398" s="116"/>
      <c r="T398" s="116"/>
      <c r="U398" s="116"/>
      <c r="V398" s="116"/>
      <c r="W398" s="50">
        <v>6.0</v>
      </c>
      <c r="X398" s="50">
        <v>1.0</v>
      </c>
      <c r="Y398" s="50">
        <v>3.0</v>
      </c>
      <c r="Z398" s="50">
        <v>3.0</v>
      </c>
      <c r="AA398" s="50">
        <v>5.0</v>
      </c>
      <c r="AB398" s="50">
        <v>1.0</v>
      </c>
      <c r="AC398" s="50">
        <v>3.0</v>
      </c>
      <c r="AD398" s="50">
        <v>0.0</v>
      </c>
      <c r="AE398" s="50">
        <v>1.0</v>
      </c>
      <c r="AF398" s="50">
        <v>4.0</v>
      </c>
      <c r="AG398" s="50">
        <v>1.0</v>
      </c>
      <c r="AH398" s="50">
        <v>3.0</v>
      </c>
      <c r="AI398" s="50">
        <v>0.0</v>
      </c>
      <c r="AJ398" s="116"/>
      <c r="AK398" s="50" t="s">
        <v>11922</v>
      </c>
      <c r="AL398" s="50">
        <v>4.0</v>
      </c>
      <c r="AM398" s="50">
        <v>1.0</v>
      </c>
      <c r="AN398" s="50" t="s">
        <v>10629</v>
      </c>
      <c r="AO398" s="117">
        <v>5276.0</v>
      </c>
      <c r="AP398" s="50" t="s">
        <v>11924</v>
      </c>
      <c r="AQ398" s="50" t="s">
        <v>11925</v>
      </c>
      <c r="AR398" s="117">
        <v>398.0</v>
      </c>
    </row>
    <row r="399">
      <c r="A399" s="50" t="s">
        <v>11913</v>
      </c>
      <c r="B399" s="50" t="s">
        <v>6876</v>
      </c>
      <c r="C399" s="50" t="s">
        <v>6877</v>
      </c>
      <c r="D399" s="50" t="s">
        <v>11623</v>
      </c>
      <c r="E399" s="144">
        <v>43788.0</v>
      </c>
      <c r="F399" s="50" t="s">
        <v>11928</v>
      </c>
      <c r="G399" s="50">
        <v>58.0</v>
      </c>
      <c r="H399" s="50">
        <v>1.0</v>
      </c>
      <c r="I399" s="50">
        <v>15.0</v>
      </c>
      <c r="J399" s="116"/>
      <c r="K399" s="50">
        <v>152.0</v>
      </c>
      <c r="L399" s="50" t="s">
        <v>631</v>
      </c>
      <c r="M399" s="50" t="s">
        <v>631</v>
      </c>
      <c r="N399" s="50" t="s">
        <v>11914</v>
      </c>
      <c r="O399" s="50" t="s">
        <v>11931</v>
      </c>
      <c r="P399" s="50" t="s">
        <v>11761</v>
      </c>
      <c r="Q399" s="50" t="s">
        <v>11917</v>
      </c>
      <c r="R399" s="116"/>
      <c r="S399" s="116"/>
      <c r="T399" s="116"/>
      <c r="U399" s="116"/>
      <c r="V399" s="116"/>
      <c r="W399" s="50">
        <v>6.0</v>
      </c>
      <c r="X399" s="50">
        <v>1.0</v>
      </c>
      <c r="Y399" s="50">
        <v>3.0</v>
      </c>
      <c r="Z399" s="50">
        <v>0.0</v>
      </c>
      <c r="AA399" s="50">
        <v>5.0</v>
      </c>
      <c r="AB399" s="50">
        <v>1.0</v>
      </c>
      <c r="AC399" s="50">
        <v>3.0</v>
      </c>
      <c r="AD399" s="50">
        <v>1.0</v>
      </c>
      <c r="AE399" s="50">
        <v>1.0</v>
      </c>
      <c r="AF399" s="50">
        <v>4.0</v>
      </c>
      <c r="AG399" s="50">
        <v>1.0</v>
      </c>
      <c r="AH399" s="50">
        <v>3.0</v>
      </c>
      <c r="AI399" s="50">
        <v>0.0</v>
      </c>
      <c r="AJ399" s="116"/>
      <c r="AK399" s="50" t="s">
        <v>11934</v>
      </c>
      <c r="AL399" s="50">
        <v>6.0</v>
      </c>
      <c r="AM399" s="50">
        <v>1.0</v>
      </c>
      <c r="AN399" s="50" t="s">
        <v>10629</v>
      </c>
      <c r="AO399" s="117">
        <v>5277.0</v>
      </c>
      <c r="AP399" s="50" t="s">
        <v>11935</v>
      </c>
      <c r="AQ399" s="50" t="s">
        <v>11936</v>
      </c>
      <c r="AR399" s="117">
        <v>399.0</v>
      </c>
    </row>
    <row r="400">
      <c r="A400" s="50" t="s">
        <v>11938</v>
      </c>
      <c r="B400" s="50" t="s">
        <v>6876</v>
      </c>
      <c r="C400" s="50" t="s">
        <v>6877</v>
      </c>
      <c r="D400" s="50" t="s">
        <v>11623</v>
      </c>
      <c r="E400" s="144">
        <v>43788.0</v>
      </c>
      <c r="F400" s="50" t="s">
        <v>11943</v>
      </c>
      <c r="G400" s="50">
        <v>58.0</v>
      </c>
      <c r="H400" s="50">
        <v>1.0</v>
      </c>
      <c r="I400" s="50">
        <v>15.0</v>
      </c>
      <c r="J400" s="116"/>
      <c r="K400" s="50">
        <v>152.0</v>
      </c>
      <c r="L400" s="50" t="s">
        <v>633</v>
      </c>
      <c r="M400" s="50" t="s">
        <v>633</v>
      </c>
      <c r="N400" s="50" t="s">
        <v>11914</v>
      </c>
      <c r="O400" s="50" t="s">
        <v>11946</v>
      </c>
      <c r="P400" s="50" t="s">
        <v>11761</v>
      </c>
      <c r="Q400" s="50" t="s">
        <v>11917</v>
      </c>
      <c r="R400" s="116"/>
      <c r="S400" s="116"/>
      <c r="T400" s="116"/>
      <c r="U400" s="116"/>
      <c r="V400" s="116"/>
      <c r="W400" s="50">
        <v>6.0</v>
      </c>
      <c r="X400" s="50">
        <v>1.0</v>
      </c>
      <c r="Y400" s="50">
        <v>3.0</v>
      </c>
      <c r="Z400" s="50">
        <v>1.0</v>
      </c>
      <c r="AA400" s="50">
        <v>5.0</v>
      </c>
      <c r="AB400" s="50">
        <v>1.0</v>
      </c>
      <c r="AC400" s="50">
        <v>3.0</v>
      </c>
      <c r="AD400" s="50">
        <v>0.0</v>
      </c>
      <c r="AE400" s="50">
        <v>1.0</v>
      </c>
      <c r="AF400" s="50">
        <v>4.0</v>
      </c>
      <c r="AG400" s="50">
        <v>1.0</v>
      </c>
      <c r="AH400" s="50">
        <v>3.0</v>
      </c>
      <c r="AI400" s="50">
        <v>1.0</v>
      </c>
      <c r="AJ400" s="116"/>
      <c r="AK400" s="50" t="s">
        <v>11956</v>
      </c>
      <c r="AL400" s="50">
        <v>6.0</v>
      </c>
      <c r="AM400" s="50">
        <v>1.0</v>
      </c>
      <c r="AN400" s="50" t="s">
        <v>10629</v>
      </c>
      <c r="AO400" s="117">
        <v>5278.0</v>
      </c>
      <c r="AP400" s="50" t="s">
        <v>11958</v>
      </c>
      <c r="AQ400" s="50" t="s">
        <v>11959</v>
      </c>
      <c r="AR400" s="117">
        <v>400.0</v>
      </c>
    </row>
    <row r="401">
      <c r="A401" s="50" t="s">
        <v>11961</v>
      </c>
      <c r="B401" s="50" t="s">
        <v>6876</v>
      </c>
      <c r="C401" s="50" t="s">
        <v>6877</v>
      </c>
      <c r="D401" s="50" t="s">
        <v>11623</v>
      </c>
      <c r="E401" s="144">
        <v>43788.0</v>
      </c>
      <c r="F401" s="50" t="s">
        <v>11963</v>
      </c>
      <c r="G401" s="50">
        <v>58.0</v>
      </c>
      <c r="H401" s="50">
        <v>1.0</v>
      </c>
      <c r="I401" s="50">
        <v>15.0</v>
      </c>
      <c r="J401" s="116"/>
      <c r="K401" s="50">
        <v>152.0</v>
      </c>
      <c r="L401" s="50" t="s">
        <v>634</v>
      </c>
      <c r="M401" s="50" t="s">
        <v>634</v>
      </c>
      <c r="N401" s="50" t="s">
        <v>11914</v>
      </c>
      <c r="O401" s="50" t="s">
        <v>11964</v>
      </c>
      <c r="P401" s="50" t="s">
        <v>11761</v>
      </c>
      <c r="Q401" s="50" t="s">
        <v>11917</v>
      </c>
      <c r="R401" s="116"/>
      <c r="S401" s="116"/>
      <c r="T401" s="116"/>
      <c r="U401" s="116"/>
      <c r="V401" s="116"/>
      <c r="W401" s="50">
        <v>6.0</v>
      </c>
      <c r="X401" s="50">
        <v>1.0</v>
      </c>
      <c r="Y401" s="50">
        <v>3.0</v>
      </c>
      <c r="Z401" s="50">
        <v>1.0</v>
      </c>
      <c r="AA401" s="50">
        <v>5.0</v>
      </c>
      <c r="AB401" s="50">
        <v>1.0</v>
      </c>
      <c r="AC401" s="50">
        <v>3.0</v>
      </c>
      <c r="AD401" s="50">
        <v>1.0</v>
      </c>
      <c r="AE401" s="50">
        <v>1.0</v>
      </c>
      <c r="AF401" s="50">
        <v>4.0</v>
      </c>
      <c r="AG401" s="50">
        <v>1.0</v>
      </c>
      <c r="AH401" s="50">
        <v>3.0</v>
      </c>
      <c r="AI401" s="50">
        <v>0.0</v>
      </c>
      <c r="AJ401" s="116"/>
      <c r="AK401" s="50" t="s">
        <v>11972</v>
      </c>
      <c r="AL401" s="50">
        <v>4.0</v>
      </c>
      <c r="AM401" s="50">
        <v>1.0</v>
      </c>
      <c r="AN401" s="50" t="s">
        <v>10629</v>
      </c>
      <c r="AO401" s="117">
        <v>5279.0</v>
      </c>
      <c r="AP401" s="50" t="s">
        <v>11973</v>
      </c>
      <c r="AQ401" s="50" t="s">
        <v>11974</v>
      </c>
      <c r="AR401" s="117">
        <v>401.0</v>
      </c>
    </row>
    <row r="402">
      <c r="A402" s="50" t="s">
        <v>11963</v>
      </c>
      <c r="B402" s="50" t="s">
        <v>6876</v>
      </c>
      <c r="C402" s="50" t="s">
        <v>6877</v>
      </c>
      <c r="D402" s="50" t="s">
        <v>11623</v>
      </c>
      <c r="E402" s="144">
        <v>43788.0</v>
      </c>
      <c r="F402" s="50" t="s">
        <v>11977</v>
      </c>
      <c r="G402" s="50">
        <v>58.0</v>
      </c>
      <c r="H402" s="50">
        <v>1.0</v>
      </c>
      <c r="I402" s="50">
        <v>99.0</v>
      </c>
      <c r="J402" s="116"/>
      <c r="K402" s="116"/>
      <c r="L402" s="50" t="s">
        <v>277</v>
      </c>
      <c r="M402" s="50" t="s">
        <v>277</v>
      </c>
      <c r="N402" s="50" t="s">
        <v>11914</v>
      </c>
      <c r="O402" s="50" t="s">
        <v>11902</v>
      </c>
      <c r="P402" s="50" t="s">
        <v>11732</v>
      </c>
      <c r="Q402" s="50" t="s">
        <v>11983</v>
      </c>
      <c r="R402" s="116"/>
      <c r="S402" s="116"/>
      <c r="T402" s="116"/>
      <c r="U402" s="116"/>
      <c r="V402" s="116"/>
      <c r="W402" s="50">
        <v>7.0</v>
      </c>
      <c r="X402" s="50">
        <v>100.0</v>
      </c>
      <c r="Y402" s="50">
        <v>3.0</v>
      </c>
      <c r="Z402" s="50">
        <v>0.0</v>
      </c>
      <c r="AA402" s="116"/>
      <c r="AB402" s="116"/>
      <c r="AC402" s="116"/>
      <c r="AD402" s="116"/>
      <c r="AE402" s="116"/>
      <c r="AF402" s="116"/>
      <c r="AG402" s="116"/>
      <c r="AH402" s="116"/>
      <c r="AI402" s="116"/>
      <c r="AJ402" s="116"/>
      <c r="AK402" s="50" t="s">
        <v>11989</v>
      </c>
      <c r="AL402" s="50">
        <v>4.0</v>
      </c>
      <c r="AM402" s="50">
        <v>1.0</v>
      </c>
      <c r="AN402" s="50" t="s">
        <v>10629</v>
      </c>
      <c r="AO402" s="117">
        <v>5280.0</v>
      </c>
      <c r="AP402" s="50" t="s">
        <v>11992</v>
      </c>
      <c r="AQ402" s="50" t="s">
        <v>11993</v>
      </c>
      <c r="AR402" s="117">
        <v>402.0</v>
      </c>
    </row>
    <row r="403">
      <c r="A403" s="50" t="s">
        <v>11977</v>
      </c>
      <c r="B403" s="50" t="s">
        <v>6876</v>
      </c>
      <c r="C403" s="50" t="s">
        <v>6877</v>
      </c>
      <c r="D403" s="50" t="s">
        <v>11623</v>
      </c>
      <c r="E403" s="144">
        <v>43788.0</v>
      </c>
      <c r="F403" s="50" t="s">
        <v>11996</v>
      </c>
      <c r="G403" s="50">
        <v>59.0</v>
      </c>
      <c r="H403" s="50">
        <v>1.0</v>
      </c>
      <c r="I403" s="50">
        <v>11.0</v>
      </c>
      <c r="J403" s="116"/>
      <c r="K403" s="116"/>
      <c r="L403" s="50" t="s">
        <v>1595</v>
      </c>
      <c r="M403" s="50" t="s">
        <v>1595</v>
      </c>
      <c r="N403" s="50" t="s">
        <v>11914</v>
      </c>
      <c r="O403" s="50" t="s">
        <v>12000</v>
      </c>
      <c r="P403" s="50" t="s">
        <v>12001</v>
      </c>
      <c r="Q403" s="50" t="s">
        <v>12002</v>
      </c>
      <c r="R403" s="116"/>
      <c r="S403" s="116"/>
      <c r="T403" s="116"/>
      <c r="U403" s="116"/>
      <c r="V403" s="116"/>
      <c r="W403" s="50">
        <v>3.0</v>
      </c>
      <c r="X403" s="50">
        <v>1.0</v>
      </c>
      <c r="Y403" s="50">
        <v>3.0</v>
      </c>
      <c r="Z403" s="50">
        <v>80.0</v>
      </c>
      <c r="AA403" s="50">
        <v>2.0</v>
      </c>
      <c r="AB403" s="50">
        <v>1.0</v>
      </c>
      <c r="AC403" s="50">
        <v>3.0</v>
      </c>
      <c r="AD403" s="50">
        <v>12.0</v>
      </c>
      <c r="AE403" s="50">
        <v>1.0</v>
      </c>
      <c r="AF403" s="50">
        <v>1.0</v>
      </c>
      <c r="AG403" s="50">
        <v>1.0</v>
      </c>
      <c r="AH403" s="50">
        <v>3.0</v>
      </c>
      <c r="AI403" s="50">
        <v>10.0</v>
      </c>
      <c r="AJ403" s="116"/>
      <c r="AK403" s="50" t="s">
        <v>12003</v>
      </c>
      <c r="AL403" s="50">
        <v>6.0</v>
      </c>
      <c r="AM403" s="50">
        <v>1.0</v>
      </c>
      <c r="AN403" s="50" t="s">
        <v>10629</v>
      </c>
      <c r="AO403" s="117">
        <v>5281.0</v>
      </c>
      <c r="AP403" s="50" t="s">
        <v>12004</v>
      </c>
      <c r="AQ403" s="50" t="s">
        <v>12005</v>
      </c>
      <c r="AR403" s="117">
        <v>403.0</v>
      </c>
    </row>
    <row r="404">
      <c r="A404" s="50" t="s">
        <v>12006</v>
      </c>
      <c r="B404" s="50" t="s">
        <v>6876</v>
      </c>
      <c r="C404" s="50" t="s">
        <v>6877</v>
      </c>
      <c r="D404" s="50" t="s">
        <v>11623</v>
      </c>
      <c r="E404" s="144">
        <v>43788.0</v>
      </c>
      <c r="F404" s="50" t="s">
        <v>12008</v>
      </c>
      <c r="G404" s="50">
        <v>59.0</v>
      </c>
      <c r="H404" s="50">
        <v>1.0</v>
      </c>
      <c r="I404" s="50">
        <v>99.0</v>
      </c>
      <c r="J404" s="116"/>
      <c r="K404" s="116"/>
      <c r="L404" s="50" t="s">
        <v>279</v>
      </c>
      <c r="M404" s="50" t="s">
        <v>279</v>
      </c>
      <c r="N404" s="50" t="s">
        <v>11914</v>
      </c>
      <c r="O404" s="50" t="s">
        <v>11902</v>
      </c>
      <c r="P404" s="50" t="s">
        <v>11732</v>
      </c>
      <c r="Q404" s="50" t="s">
        <v>11983</v>
      </c>
      <c r="R404" s="116"/>
      <c r="S404" s="116"/>
      <c r="T404" s="116"/>
      <c r="U404" s="116"/>
      <c r="V404" s="116"/>
      <c r="W404" s="50">
        <v>7.0</v>
      </c>
      <c r="X404" s="50">
        <v>100.0</v>
      </c>
      <c r="Y404" s="50">
        <v>3.0</v>
      </c>
      <c r="Z404" s="50">
        <v>0.0</v>
      </c>
      <c r="AA404" s="116"/>
      <c r="AB404" s="116"/>
      <c r="AC404" s="116"/>
      <c r="AD404" s="116"/>
      <c r="AE404" s="116"/>
      <c r="AF404" s="116"/>
      <c r="AG404" s="116"/>
      <c r="AH404" s="116"/>
      <c r="AI404" s="116"/>
      <c r="AJ404" s="116"/>
      <c r="AK404" s="50" t="s">
        <v>12019</v>
      </c>
      <c r="AL404" s="50">
        <v>4.0</v>
      </c>
      <c r="AM404" s="50">
        <v>1.0</v>
      </c>
      <c r="AN404" s="50" t="s">
        <v>10629</v>
      </c>
      <c r="AO404" s="117">
        <v>5282.0</v>
      </c>
      <c r="AP404" s="50" t="s">
        <v>12020</v>
      </c>
      <c r="AQ404" s="50" t="s">
        <v>12021</v>
      </c>
      <c r="AR404" s="117">
        <v>404.0</v>
      </c>
    </row>
    <row r="405">
      <c r="A405" s="50" t="s">
        <v>12022</v>
      </c>
      <c r="B405" s="50" t="s">
        <v>6876</v>
      </c>
      <c r="C405" s="50" t="s">
        <v>6877</v>
      </c>
      <c r="D405" s="50" t="s">
        <v>11623</v>
      </c>
      <c r="E405" s="144">
        <v>43788.0</v>
      </c>
      <c r="F405" s="50" t="s">
        <v>12023</v>
      </c>
      <c r="G405" s="50">
        <v>59.0</v>
      </c>
      <c r="H405" s="50">
        <v>1.0</v>
      </c>
      <c r="I405" s="50">
        <v>11.0</v>
      </c>
      <c r="J405" s="116"/>
      <c r="K405" s="116"/>
      <c r="L405" s="50" t="s">
        <v>1596</v>
      </c>
      <c r="M405" s="50" t="s">
        <v>1596</v>
      </c>
      <c r="N405" s="50" t="s">
        <v>11914</v>
      </c>
      <c r="O405" s="50" t="s">
        <v>12026</v>
      </c>
      <c r="P405" s="50" t="s">
        <v>12001</v>
      </c>
      <c r="Q405" s="50" t="s">
        <v>12002</v>
      </c>
      <c r="R405" s="116"/>
      <c r="S405" s="116"/>
      <c r="T405" s="116"/>
      <c r="U405" s="116"/>
      <c r="V405" s="116"/>
      <c r="W405" s="50">
        <v>3.0</v>
      </c>
      <c r="X405" s="50">
        <v>1.0</v>
      </c>
      <c r="Y405" s="50">
        <v>3.0</v>
      </c>
      <c r="Z405" s="50">
        <v>40.0</v>
      </c>
      <c r="AA405" s="50">
        <v>2.0</v>
      </c>
      <c r="AB405" s="50">
        <v>1.0</v>
      </c>
      <c r="AC405" s="50">
        <v>3.0</v>
      </c>
      <c r="AD405" s="50">
        <v>4.0</v>
      </c>
      <c r="AE405" s="50">
        <v>1.0</v>
      </c>
      <c r="AF405" s="50">
        <v>1.0</v>
      </c>
      <c r="AG405" s="50">
        <v>1.0</v>
      </c>
      <c r="AH405" s="50">
        <v>3.0</v>
      </c>
      <c r="AI405" s="50">
        <v>0.0</v>
      </c>
      <c r="AJ405" s="116"/>
      <c r="AK405" s="50" t="s">
        <v>12029</v>
      </c>
      <c r="AL405" s="50">
        <v>6.0</v>
      </c>
      <c r="AM405" s="50">
        <v>1.0</v>
      </c>
      <c r="AN405" s="50" t="s">
        <v>10629</v>
      </c>
      <c r="AO405" s="117">
        <v>5283.0</v>
      </c>
      <c r="AP405" s="50" t="s">
        <v>12030</v>
      </c>
      <c r="AQ405" s="50" t="s">
        <v>12031</v>
      </c>
      <c r="AR405" s="117">
        <v>405.0</v>
      </c>
    </row>
    <row r="406">
      <c r="A406" s="50" t="s">
        <v>12023</v>
      </c>
      <c r="B406" s="50" t="s">
        <v>6876</v>
      </c>
      <c r="C406" s="50" t="s">
        <v>6877</v>
      </c>
      <c r="D406" s="50" t="s">
        <v>11623</v>
      </c>
      <c r="E406" s="144">
        <v>43788.0</v>
      </c>
      <c r="F406" s="50" t="s">
        <v>12033</v>
      </c>
      <c r="G406" s="50">
        <v>59.0</v>
      </c>
      <c r="H406" s="50">
        <v>1.0</v>
      </c>
      <c r="I406" s="50">
        <v>99.0</v>
      </c>
      <c r="J406" s="116"/>
      <c r="K406" s="116"/>
      <c r="L406" s="50" t="s">
        <v>1597</v>
      </c>
      <c r="M406" s="50" t="s">
        <v>1597</v>
      </c>
      <c r="N406" s="50" t="s">
        <v>11914</v>
      </c>
      <c r="O406" s="50" t="s">
        <v>11902</v>
      </c>
      <c r="P406" s="50" t="s">
        <v>12001</v>
      </c>
      <c r="Q406" s="50" t="s">
        <v>11983</v>
      </c>
      <c r="R406" s="116"/>
      <c r="S406" s="116"/>
      <c r="T406" s="116"/>
      <c r="U406" s="116"/>
      <c r="V406" s="116"/>
      <c r="W406" s="50">
        <v>7.0</v>
      </c>
      <c r="X406" s="50">
        <v>100.0</v>
      </c>
      <c r="Y406" s="50">
        <v>3.0</v>
      </c>
      <c r="Z406" s="50">
        <v>0.0</v>
      </c>
      <c r="AA406" s="116"/>
      <c r="AB406" s="116"/>
      <c r="AC406" s="116"/>
      <c r="AD406" s="116"/>
      <c r="AE406" s="116"/>
      <c r="AF406" s="116"/>
      <c r="AG406" s="116"/>
      <c r="AH406" s="116"/>
      <c r="AI406" s="116"/>
      <c r="AJ406" s="116"/>
      <c r="AK406" s="50" t="s">
        <v>12039</v>
      </c>
      <c r="AL406" s="50">
        <v>4.0</v>
      </c>
      <c r="AM406" s="50">
        <v>1.0</v>
      </c>
      <c r="AN406" s="50" t="s">
        <v>10629</v>
      </c>
      <c r="AO406" s="117">
        <v>5284.0</v>
      </c>
      <c r="AP406" s="50" t="s">
        <v>12042</v>
      </c>
      <c r="AQ406" s="50" t="s">
        <v>12043</v>
      </c>
      <c r="AR406" s="117">
        <v>406.0</v>
      </c>
    </row>
    <row r="407">
      <c r="A407" s="50" t="s">
        <v>12033</v>
      </c>
      <c r="B407" s="50" t="s">
        <v>6876</v>
      </c>
      <c r="C407" s="50" t="s">
        <v>6877</v>
      </c>
      <c r="D407" s="50" t="s">
        <v>11623</v>
      </c>
      <c r="E407" s="144">
        <v>43788.0</v>
      </c>
      <c r="F407" s="50" t="s">
        <v>12046</v>
      </c>
      <c r="G407" s="50">
        <v>58.0</v>
      </c>
      <c r="H407" s="50">
        <v>1.0</v>
      </c>
      <c r="I407" s="50">
        <v>11.0</v>
      </c>
      <c r="J407" s="116"/>
      <c r="K407" s="116"/>
      <c r="L407" s="50" t="s">
        <v>1599</v>
      </c>
      <c r="M407" s="50" t="s">
        <v>1599</v>
      </c>
      <c r="N407" s="50" t="s">
        <v>11914</v>
      </c>
      <c r="O407" s="50" t="s">
        <v>12047</v>
      </c>
      <c r="P407" s="50" t="s">
        <v>12001</v>
      </c>
      <c r="Q407" s="50" t="s">
        <v>12002</v>
      </c>
      <c r="R407" s="116"/>
      <c r="S407" s="116"/>
      <c r="T407" s="116"/>
      <c r="U407" s="116"/>
      <c r="V407" s="116"/>
      <c r="W407" s="50">
        <v>3.0</v>
      </c>
      <c r="X407" s="50">
        <v>1.0</v>
      </c>
      <c r="Y407" s="50">
        <v>1.0</v>
      </c>
      <c r="Z407" s="116"/>
      <c r="AA407" s="50">
        <v>2.0</v>
      </c>
      <c r="AB407" s="50">
        <v>1.0</v>
      </c>
      <c r="AC407" s="50">
        <v>3.0</v>
      </c>
      <c r="AD407" s="50">
        <v>31.0</v>
      </c>
      <c r="AE407" s="50">
        <v>1.0</v>
      </c>
      <c r="AF407" s="50">
        <v>1.0</v>
      </c>
      <c r="AG407" s="50">
        <v>1.0</v>
      </c>
      <c r="AH407" s="50">
        <v>3.0</v>
      </c>
      <c r="AI407" s="50">
        <v>1.0</v>
      </c>
      <c r="AJ407" s="116"/>
      <c r="AK407" s="50" t="s">
        <v>12050</v>
      </c>
      <c r="AL407" s="50">
        <v>6.0</v>
      </c>
      <c r="AM407" s="50">
        <v>1.0</v>
      </c>
      <c r="AN407" s="50" t="s">
        <v>10629</v>
      </c>
      <c r="AO407" s="117">
        <v>5285.0</v>
      </c>
      <c r="AP407" s="50" t="s">
        <v>12051</v>
      </c>
      <c r="AQ407" s="50" t="s">
        <v>12052</v>
      </c>
      <c r="AR407" s="117">
        <v>407.0</v>
      </c>
    </row>
    <row r="408">
      <c r="A408" s="50" t="s">
        <v>12053</v>
      </c>
      <c r="B408" s="50" t="s">
        <v>6876</v>
      </c>
      <c r="C408" s="50" t="s">
        <v>6877</v>
      </c>
      <c r="D408" s="50" t="s">
        <v>11623</v>
      </c>
      <c r="E408" s="144">
        <v>43788.0</v>
      </c>
      <c r="F408" s="50" t="s">
        <v>12054</v>
      </c>
      <c r="G408" s="50">
        <v>58.0</v>
      </c>
      <c r="H408" s="50">
        <v>1.0</v>
      </c>
      <c r="I408" s="50">
        <v>99.0</v>
      </c>
      <c r="J408" s="116"/>
      <c r="K408" s="116"/>
      <c r="L408" s="50" t="s">
        <v>282</v>
      </c>
      <c r="M408" s="50" t="s">
        <v>282</v>
      </c>
      <c r="N408" s="50" t="s">
        <v>11914</v>
      </c>
      <c r="O408" s="50" t="s">
        <v>11902</v>
      </c>
      <c r="P408" s="50" t="s">
        <v>11732</v>
      </c>
      <c r="Q408" s="50" t="s">
        <v>11983</v>
      </c>
      <c r="R408" s="116"/>
      <c r="S408" s="116"/>
      <c r="T408" s="116"/>
      <c r="U408" s="116"/>
      <c r="V408" s="116"/>
      <c r="W408" s="50">
        <v>7.0</v>
      </c>
      <c r="X408" s="50">
        <v>100.0</v>
      </c>
      <c r="Y408" s="50">
        <v>3.0</v>
      </c>
      <c r="Z408" s="50">
        <v>0.0</v>
      </c>
      <c r="AA408" s="116"/>
      <c r="AB408" s="116"/>
      <c r="AC408" s="116"/>
      <c r="AD408" s="116"/>
      <c r="AE408" s="116"/>
      <c r="AF408" s="116"/>
      <c r="AG408" s="116"/>
      <c r="AH408" s="116"/>
      <c r="AI408" s="116"/>
      <c r="AJ408" s="116"/>
      <c r="AK408" s="50" t="s">
        <v>12060</v>
      </c>
      <c r="AL408" s="50">
        <v>6.0</v>
      </c>
      <c r="AM408" s="50">
        <v>1.0</v>
      </c>
      <c r="AN408" s="50" t="s">
        <v>10629</v>
      </c>
      <c r="AO408" s="117">
        <v>5286.0</v>
      </c>
      <c r="AP408" s="50" t="s">
        <v>12061</v>
      </c>
      <c r="AQ408" s="50" t="s">
        <v>12062</v>
      </c>
      <c r="AR408" s="117">
        <v>408.0</v>
      </c>
    </row>
    <row r="409">
      <c r="A409" s="50" t="s">
        <v>12063</v>
      </c>
      <c r="B409" s="50" t="s">
        <v>6876</v>
      </c>
      <c r="C409" s="50" t="s">
        <v>6877</v>
      </c>
      <c r="D409" s="50" t="s">
        <v>11623</v>
      </c>
      <c r="E409" s="144">
        <v>43788.0</v>
      </c>
      <c r="F409" s="50" t="s">
        <v>12064</v>
      </c>
      <c r="G409" s="50">
        <v>33.0</v>
      </c>
      <c r="H409" s="50">
        <v>1.0</v>
      </c>
      <c r="I409" s="50">
        <v>98.0</v>
      </c>
      <c r="J409" s="116"/>
      <c r="K409" s="116"/>
      <c r="L409" s="50" t="s">
        <v>1601</v>
      </c>
      <c r="M409" s="50" t="s">
        <v>1601</v>
      </c>
      <c r="N409" s="50" t="s">
        <v>11914</v>
      </c>
      <c r="O409" s="50" t="s">
        <v>11902</v>
      </c>
      <c r="P409" s="50" t="s">
        <v>11732</v>
      </c>
      <c r="Q409" s="50" t="s">
        <v>11983</v>
      </c>
      <c r="R409" s="116"/>
      <c r="S409" s="116"/>
      <c r="T409" s="116"/>
      <c r="U409" s="116"/>
      <c r="V409" s="116"/>
      <c r="W409" s="50">
        <v>7.0</v>
      </c>
      <c r="X409" s="50">
        <v>100.0</v>
      </c>
      <c r="Y409" s="50">
        <v>3.0</v>
      </c>
      <c r="Z409" s="50">
        <v>0.0</v>
      </c>
      <c r="AA409" s="116"/>
      <c r="AB409" s="116"/>
      <c r="AC409" s="116"/>
      <c r="AD409" s="116"/>
      <c r="AE409" s="116"/>
      <c r="AF409" s="116"/>
      <c r="AG409" s="116"/>
      <c r="AH409" s="116"/>
      <c r="AI409" s="116"/>
      <c r="AJ409" s="116"/>
      <c r="AK409" s="50" t="s">
        <v>11376</v>
      </c>
      <c r="AL409" s="50">
        <v>6.0</v>
      </c>
      <c r="AM409" s="50">
        <v>1.0</v>
      </c>
      <c r="AN409" s="50" t="s">
        <v>10629</v>
      </c>
      <c r="AO409" s="117">
        <v>5287.0</v>
      </c>
      <c r="AP409" s="50" t="s">
        <v>12076</v>
      </c>
      <c r="AQ409" s="50" t="s">
        <v>12077</v>
      </c>
      <c r="AR409" s="117">
        <v>409.0</v>
      </c>
    </row>
    <row r="410">
      <c r="A410" s="50" t="s">
        <v>12078</v>
      </c>
      <c r="B410" s="50" t="s">
        <v>6876</v>
      </c>
      <c r="C410" s="50" t="s">
        <v>6877</v>
      </c>
      <c r="D410" s="50" t="s">
        <v>11623</v>
      </c>
      <c r="E410" s="144">
        <v>43788.0</v>
      </c>
      <c r="F410" s="50" t="s">
        <v>12079</v>
      </c>
      <c r="G410" s="50">
        <v>66.0</v>
      </c>
      <c r="H410" s="50">
        <v>1.0</v>
      </c>
      <c r="I410" s="50">
        <v>99.0</v>
      </c>
      <c r="J410" s="116"/>
      <c r="K410" s="116"/>
      <c r="L410" s="50" t="s">
        <v>1604</v>
      </c>
      <c r="M410" s="50" t="s">
        <v>1604</v>
      </c>
      <c r="N410" s="50" t="s">
        <v>12082</v>
      </c>
      <c r="O410" s="50" t="s">
        <v>12083</v>
      </c>
      <c r="P410" s="50" t="s">
        <v>12084</v>
      </c>
      <c r="Q410" s="50" t="s">
        <v>12085</v>
      </c>
      <c r="R410" s="116"/>
      <c r="S410" s="116"/>
      <c r="T410" s="116"/>
      <c r="U410" s="116"/>
      <c r="V410" s="116"/>
      <c r="W410" s="50">
        <v>7.0</v>
      </c>
      <c r="X410" s="50">
        <v>100.0</v>
      </c>
      <c r="Y410" s="50">
        <v>3.0</v>
      </c>
      <c r="Z410" s="50">
        <v>0.0</v>
      </c>
      <c r="AA410" s="116"/>
      <c r="AB410" s="116"/>
      <c r="AC410" s="116"/>
      <c r="AD410" s="116"/>
      <c r="AE410" s="116"/>
      <c r="AF410" s="116"/>
      <c r="AG410" s="116"/>
      <c r="AH410" s="116"/>
      <c r="AI410" s="116"/>
      <c r="AJ410" s="116"/>
      <c r="AK410" s="50" t="s">
        <v>12087</v>
      </c>
      <c r="AL410" s="50">
        <v>4.0</v>
      </c>
      <c r="AM410" s="50">
        <v>1.0</v>
      </c>
      <c r="AN410" s="50" t="s">
        <v>10629</v>
      </c>
      <c r="AO410" s="117">
        <v>5288.0</v>
      </c>
      <c r="AP410" s="50" t="s">
        <v>12092</v>
      </c>
      <c r="AQ410" s="50" t="s">
        <v>12093</v>
      </c>
      <c r="AR410" s="117">
        <v>410.0</v>
      </c>
    </row>
    <row r="411">
      <c r="A411" s="50" t="s">
        <v>12094</v>
      </c>
      <c r="B411" s="50" t="s">
        <v>6876</v>
      </c>
      <c r="C411" s="50" t="s">
        <v>6877</v>
      </c>
      <c r="D411" s="50" t="s">
        <v>11623</v>
      </c>
      <c r="E411" s="144">
        <v>43788.0</v>
      </c>
      <c r="F411" s="50" t="s">
        <v>12097</v>
      </c>
      <c r="G411" s="50">
        <v>59.0</v>
      </c>
      <c r="H411" s="50">
        <v>1.0</v>
      </c>
      <c r="I411" s="50">
        <v>99.0</v>
      </c>
      <c r="J411" s="116"/>
      <c r="K411" s="116"/>
      <c r="L411" s="50" t="s">
        <v>1607</v>
      </c>
      <c r="M411" s="50" t="s">
        <v>1607</v>
      </c>
      <c r="N411" s="50" t="s">
        <v>12082</v>
      </c>
      <c r="O411" s="50" t="s">
        <v>12083</v>
      </c>
      <c r="P411" s="50" t="s">
        <v>12084</v>
      </c>
      <c r="Q411" s="50" t="s">
        <v>12085</v>
      </c>
      <c r="R411" s="116"/>
      <c r="S411" s="116"/>
      <c r="T411" s="116"/>
      <c r="U411" s="116"/>
      <c r="V411" s="116"/>
      <c r="W411" s="50">
        <v>7.0</v>
      </c>
      <c r="X411" s="50">
        <v>100.0</v>
      </c>
      <c r="Y411" s="50">
        <v>3.0</v>
      </c>
      <c r="Z411" s="50">
        <v>0.0</v>
      </c>
      <c r="AA411" s="116"/>
      <c r="AB411" s="116"/>
      <c r="AC411" s="116"/>
      <c r="AD411" s="116"/>
      <c r="AE411" s="116"/>
      <c r="AF411" s="116"/>
      <c r="AG411" s="116"/>
      <c r="AH411" s="116"/>
      <c r="AI411" s="116"/>
      <c r="AJ411" s="116"/>
      <c r="AK411" s="50" t="s">
        <v>12109</v>
      </c>
      <c r="AL411" s="50">
        <v>4.0</v>
      </c>
      <c r="AM411" s="50">
        <v>1.0</v>
      </c>
      <c r="AN411" s="50" t="s">
        <v>10629</v>
      </c>
      <c r="AO411" s="117">
        <v>5289.0</v>
      </c>
      <c r="AP411" s="50" t="s">
        <v>12110</v>
      </c>
      <c r="AQ411" s="50" t="s">
        <v>12111</v>
      </c>
      <c r="AR411" s="117">
        <v>411.0</v>
      </c>
    </row>
    <row r="412">
      <c r="A412" s="50" t="s">
        <v>12097</v>
      </c>
      <c r="B412" s="50" t="s">
        <v>6876</v>
      </c>
      <c r="C412" s="50" t="s">
        <v>6877</v>
      </c>
      <c r="D412" s="50" t="s">
        <v>11623</v>
      </c>
      <c r="E412" s="144">
        <v>43788.0</v>
      </c>
      <c r="F412" s="50" t="s">
        <v>12116</v>
      </c>
      <c r="G412" s="50">
        <v>33.0</v>
      </c>
      <c r="H412" s="50">
        <v>1.0</v>
      </c>
      <c r="I412" s="50">
        <v>98.0</v>
      </c>
      <c r="J412" s="116"/>
      <c r="K412" s="116"/>
      <c r="L412" s="50" t="s">
        <v>1609</v>
      </c>
      <c r="M412" s="50" t="s">
        <v>1609</v>
      </c>
      <c r="N412" s="50" t="s">
        <v>12082</v>
      </c>
      <c r="O412" s="50" t="s">
        <v>12118</v>
      </c>
      <c r="P412" s="50" t="s">
        <v>12119</v>
      </c>
      <c r="Q412" s="50" t="s">
        <v>12121</v>
      </c>
      <c r="R412" s="116"/>
      <c r="S412" s="116"/>
      <c r="T412" s="116"/>
      <c r="U412" s="116"/>
      <c r="V412" s="116"/>
      <c r="W412" s="50">
        <v>7.0</v>
      </c>
      <c r="X412" s="50">
        <v>100.0</v>
      </c>
      <c r="Y412" s="50">
        <v>3.0</v>
      </c>
      <c r="Z412" s="50">
        <v>0.0</v>
      </c>
      <c r="AA412" s="116"/>
      <c r="AB412" s="116"/>
      <c r="AC412" s="116"/>
      <c r="AD412" s="116"/>
      <c r="AE412" s="116"/>
      <c r="AF412" s="116"/>
      <c r="AG412" s="116"/>
      <c r="AH412" s="116"/>
      <c r="AI412" s="116"/>
      <c r="AJ412" s="116"/>
      <c r="AK412" s="50" t="s">
        <v>11376</v>
      </c>
      <c r="AL412" s="50">
        <v>4.0</v>
      </c>
      <c r="AM412" s="50">
        <v>1.0</v>
      </c>
      <c r="AN412" s="50" t="s">
        <v>10629</v>
      </c>
      <c r="AO412" s="117">
        <v>5290.0</v>
      </c>
      <c r="AP412" s="50" t="s">
        <v>12125</v>
      </c>
      <c r="AQ412" s="50" t="s">
        <v>12126</v>
      </c>
      <c r="AR412" s="117">
        <v>412.0</v>
      </c>
    </row>
    <row r="413">
      <c r="A413" s="50" t="s">
        <v>12116</v>
      </c>
      <c r="B413" s="50" t="s">
        <v>6876</v>
      </c>
      <c r="C413" s="50" t="s">
        <v>6877</v>
      </c>
      <c r="D413" s="50" t="s">
        <v>11623</v>
      </c>
      <c r="E413" s="144">
        <v>43788.0</v>
      </c>
      <c r="F413" s="50" t="s">
        <v>12130</v>
      </c>
      <c r="G413" s="50">
        <v>58.0</v>
      </c>
      <c r="H413" s="50">
        <v>1.0</v>
      </c>
      <c r="I413" s="50">
        <v>14.0</v>
      </c>
      <c r="J413" s="50">
        <v>141.0</v>
      </c>
      <c r="K413" s="116"/>
      <c r="L413" s="50" t="s">
        <v>666</v>
      </c>
      <c r="M413" s="50" t="s">
        <v>666</v>
      </c>
      <c r="N413" s="50" t="s">
        <v>12134</v>
      </c>
      <c r="O413" s="50" t="s">
        <v>12135</v>
      </c>
      <c r="P413" s="50" t="s">
        <v>12136</v>
      </c>
      <c r="Q413" s="50" t="s">
        <v>12138</v>
      </c>
      <c r="R413" s="116"/>
      <c r="S413" s="116"/>
      <c r="T413" s="116"/>
      <c r="U413" s="116"/>
      <c r="V413" s="116"/>
      <c r="W413" s="50">
        <v>6.0</v>
      </c>
      <c r="X413" s="50">
        <v>10.0</v>
      </c>
      <c r="Y413" s="50">
        <v>3.0</v>
      </c>
      <c r="Z413" s="50">
        <v>1.0</v>
      </c>
      <c r="AA413" s="50">
        <v>5.0</v>
      </c>
      <c r="AB413" s="50">
        <v>1.0</v>
      </c>
      <c r="AC413" s="50">
        <v>3.0</v>
      </c>
      <c r="AD413" s="50">
        <v>0.0</v>
      </c>
      <c r="AE413" s="50">
        <v>1.0</v>
      </c>
      <c r="AF413" s="50">
        <v>4.0</v>
      </c>
      <c r="AG413" s="50">
        <v>1.0</v>
      </c>
      <c r="AH413" s="50">
        <v>3.0</v>
      </c>
      <c r="AI413" s="50">
        <v>0.0</v>
      </c>
      <c r="AJ413" s="116"/>
      <c r="AK413" s="50" t="s">
        <v>12151</v>
      </c>
      <c r="AL413" s="50">
        <v>6.0</v>
      </c>
      <c r="AM413" s="50">
        <v>1.0</v>
      </c>
      <c r="AN413" s="50" t="s">
        <v>10629</v>
      </c>
      <c r="AO413" s="117">
        <v>5291.0</v>
      </c>
      <c r="AP413" s="50" t="s">
        <v>12152</v>
      </c>
      <c r="AQ413" s="50" t="s">
        <v>12153</v>
      </c>
      <c r="AR413" s="117">
        <v>413.0</v>
      </c>
    </row>
    <row r="414">
      <c r="A414" s="50" t="s">
        <v>12130</v>
      </c>
      <c r="B414" s="50" t="s">
        <v>6876</v>
      </c>
      <c r="C414" s="50" t="s">
        <v>6877</v>
      </c>
      <c r="D414" s="50" t="s">
        <v>11623</v>
      </c>
      <c r="E414" s="144">
        <v>43788.0</v>
      </c>
      <c r="F414" s="50" t="s">
        <v>12154</v>
      </c>
      <c r="G414" s="50">
        <v>58.0</v>
      </c>
      <c r="H414" s="50">
        <v>1.0</v>
      </c>
      <c r="I414" s="50">
        <v>14.0</v>
      </c>
      <c r="J414" s="50">
        <v>142.0</v>
      </c>
      <c r="K414" s="116"/>
      <c r="L414" s="50" t="s">
        <v>667</v>
      </c>
      <c r="M414" s="50" t="s">
        <v>667</v>
      </c>
      <c r="N414" s="50" t="s">
        <v>12134</v>
      </c>
      <c r="O414" s="50" t="s">
        <v>12135</v>
      </c>
      <c r="P414" s="50" t="s">
        <v>12136</v>
      </c>
      <c r="Q414" s="50" t="s">
        <v>12138</v>
      </c>
      <c r="R414" s="116"/>
      <c r="S414" s="116"/>
      <c r="T414" s="116"/>
      <c r="U414" s="116"/>
      <c r="V414" s="116"/>
      <c r="W414" s="50">
        <v>7.0</v>
      </c>
      <c r="X414" s="50">
        <v>100.0</v>
      </c>
      <c r="Y414" s="50">
        <v>2.0</v>
      </c>
      <c r="Z414" s="116"/>
      <c r="AA414" s="50">
        <v>7.0</v>
      </c>
      <c r="AB414" s="50">
        <v>10.0</v>
      </c>
      <c r="AC414" s="50">
        <v>3.0</v>
      </c>
      <c r="AD414" s="50">
        <v>28.0</v>
      </c>
      <c r="AE414" s="50">
        <v>1.0</v>
      </c>
      <c r="AF414" s="50">
        <v>6.0</v>
      </c>
      <c r="AG414" s="50">
        <v>1.0</v>
      </c>
      <c r="AH414" s="50">
        <v>3.0</v>
      </c>
      <c r="AI414" s="50">
        <v>2.0</v>
      </c>
      <c r="AJ414" s="116"/>
      <c r="AK414" s="50" t="s">
        <v>12163</v>
      </c>
      <c r="AL414" s="50">
        <v>6.0</v>
      </c>
      <c r="AM414" s="50">
        <v>1.0</v>
      </c>
      <c r="AN414" s="50" t="s">
        <v>10629</v>
      </c>
      <c r="AO414" s="117">
        <v>5292.0</v>
      </c>
      <c r="AP414" s="50" t="s">
        <v>12165</v>
      </c>
      <c r="AQ414" s="50" t="s">
        <v>12166</v>
      </c>
      <c r="AR414" s="117">
        <v>414.0</v>
      </c>
    </row>
    <row r="415">
      <c r="A415" s="50" t="s">
        <v>12169</v>
      </c>
      <c r="B415" s="50" t="s">
        <v>6876</v>
      </c>
      <c r="C415" s="50" t="s">
        <v>6877</v>
      </c>
      <c r="D415" s="50" t="s">
        <v>11623</v>
      </c>
      <c r="E415" s="144">
        <v>43788.0</v>
      </c>
      <c r="F415" s="50" t="s">
        <v>12173</v>
      </c>
      <c r="G415" s="50">
        <v>58.0</v>
      </c>
      <c r="H415" s="50">
        <v>1.0</v>
      </c>
      <c r="I415" s="50">
        <v>14.0</v>
      </c>
      <c r="J415" s="50">
        <v>143.0</v>
      </c>
      <c r="K415" s="116"/>
      <c r="L415" s="50" t="s">
        <v>669</v>
      </c>
      <c r="M415" s="50" t="s">
        <v>669</v>
      </c>
      <c r="N415" s="50" t="s">
        <v>12134</v>
      </c>
      <c r="O415" s="50" t="s">
        <v>12135</v>
      </c>
      <c r="P415" s="50" t="s">
        <v>12136</v>
      </c>
      <c r="Q415" s="50" t="s">
        <v>12138</v>
      </c>
      <c r="R415" s="116"/>
      <c r="S415" s="116"/>
      <c r="T415" s="116"/>
      <c r="U415" s="116"/>
      <c r="V415" s="116"/>
      <c r="W415" s="50">
        <v>6.0</v>
      </c>
      <c r="X415" s="50">
        <v>1.0</v>
      </c>
      <c r="Y415" s="50">
        <v>3.0</v>
      </c>
      <c r="Z415" s="50">
        <v>1.0</v>
      </c>
      <c r="AA415" s="50">
        <v>5.0</v>
      </c>
      <c r="AB415" s="50">
        <v>1.0</v>
      </c>
      <c r="AC415" s="50">
        <v>3.0</v>
      </c>
      <c r="AD415" s="50">
        <v>0.0</v>
      </c>
      <c r="AE415" s="50">
        <v>1.0</v>
      </c>
      <c r="AF415" s="50">
        <v>4.0</v>
      </c>
      <c r="AG415" s="50">
        <v>1.0</v>
      </c>
      <c r="AH415" s="50">
        <v>3.0</v>
      </c>
      <c r="AI415" s="50">
        <v>0.0</v>
      </c>
      <c r="AJ415" s="116"/>
      <c r="AK415" s="50" t="s">
        <v>12184</v>
      </c>
      <c r="AL415" s="50">
        <v>6.0</v>
      </c>
      <c r="AM415" s="50">
        <v>1.0</v>
      </c>
      <c r="AN415" s="50" t="s">
        <v>10629</v>
      </c>
      <c r="AO415" s="117">
        <v>5293.0</v>
      </c>
      <c r="AP415" s="50" t="s">
        <v>12185</v>
      </c>
      <c r="AQ415" s="50" t="s">
        <v>12186</v>
      </c>
      <c r="AR415" s="117">
        <v>415.0</v>
      </c>
    </row>
    <row r="416">
      <c r="A416" s="50" t="s">
        <v>12173</v>
      </c>
      <c r="B416" s="50" t="s">
        <v>6876</v>
      </c>
      <c r="C416" s="50" t="s">
        <v>6877</v>
      </c>
      <c r="D416" s="50" t="s">
        <v>11623</v>
      </c>
      <c r="E416" s="144">
        <v>43788.0</v>
      </c>
      <c r="F416" s="50" t="s">
        <v>12189</v>
      </c>
      <c r="G416" s="50">
        <v>58.0</v>
      </c>
      <c r="H416" s="50">
        <v>1.0</v>
      </c>
      <c r="I416" s="50">
        <v>14.0</v>
      </c>
      <c r="J416" s="50">
        <v>144.0</v>
      </c>
      <c r="K416" s="116"/>
      <c r="L416" s="50" t="s">
        <v>671</v>
      </c>
      <c r="M416" s="50" t="s">
        <v>671</v>
      </c>
      <c r="N416" s="50" t="s">
        <v>12134</v>
      </c>
      <c r="O416" s="50" t="s">
        <v>12135</v>
      </c>
      <c r="P416" s="50" t="s">
        <v>12136</v>
      </c>
      <c r="Q416" s="50" t="s">
        <v>12138</v>
      </c>
      <c r="R416" s="116"/>
      <c r="S416" s="116"/>
      <c r="T416" s="116"/>
      <c r="U416" s="116"/>
      <c r="V416" s="116"/>
      <c r="W416" s="50">
        <v>7.0</v>
      </c>
      <c r="X416" s="50">
        <v>100.0</v>
      </c>
      <c r="Y416" s="50">
        <v>3.0</v>
      </c>
      <c r="Z416" s="50">
        <v>0.0</v>
      </c>
      <c r="AA416" s="50">
        <v>7.0</v>
      </c>
      <c r="AB416" s="50">
        <v>10.0</v>
      </c>
      <c r="AC416" s="50">
        <v>3.0</v>
      </c>
      <c r="AD416" s="50">
        <v>0.0</v>
      </c>
      <c r="AE416" s="50">
        <v>1.0</v>
      </c>
      <c r="AF416" s="50">
        <v>6.0</v>
      </c>
      <c r="AG416" s="50">
        <v>1.0</v>
      </c>
      <c r="AH416" s="50">
        <v>3.0</v>
      </c>
      <c r="AI416" s="50">
        <v>0.0</v>
      </c>
      <c r="AJ416" s="116"/>
      <c r="AK416" s="50" t="s">
        <v>12197</v>
      </c>
      <c r="AL416" s="50">
        <v>6.0</v>
      </c>
      <c r="AM416" s="50">
        <v>1.0</v>
      </c>
      <c r="AN416" s="50" t="s">
        <v>10629</v>
      </c>
      <c r="AO416" s="117">
        <v>5294.0</v>
      </c>
      <c r="AP416" s="50" t="s">
        <v>12198</v>
      </c>
      <c r="AQ416" s="50" t="s">
        <v>12199</v>
      </c>
      <c r="AR416" s="117">
        <v>416.0</v>
      </c>
    </row>
    <row r="417">
      <c r="A417" s="50" t="s">
        <v>12189</v>
      </c>
      <c r="B417" s="50" t="s">
        <v>6876</v>
      </c>
      <c r="C417" s="50" t="s">
        <v>6877</v>
      </c>
      <c r="D417" s="50" t="s">
        <v>11623</v>
      </c>
      <c r="E417" s="144">
        <v>43788.0</v>
      </c>
      <c r="F417" s="50" t="s">
        <v>12200</v>
      </c>
      <c r="G417" s="50">
        <v>58.0</v>
      </c>
      <c r="H417" s="50">
        <v>1.0</v>
      </c>
      <c r="I417" s="50">
        <v>14.0</v>
      </c>
      <c r="J417" s="50">
        <v>145.0</v>
      </c>
      <c r="K417" s="116"/>
      <c r="L417" s="50" t="s">
        <v>673</v>
      </c>
      <c r="M417" s="50" t="s">
        <v>673</v>
      </c>
      <c r="N417" s="50" t="s">
        <v>12134</v>
      </c>
      <c r="O417" s="50" t="s">
        <v>12135</v>
      </c>
      <c r="P417" s="50" t="s">
        <v>12136</v>
      </c>
      <c r="Q417" s="50" t="s">
        <v>12138</v>
      </c>
      <c r="R417" s="116"/>
      <c r="S417" s="116"/>
      <c r="T417" s="116"/>
      <c r="U417" s="116"/>
      <c r="V417" s="116"/>
      <c r="W417" s="50">
        <v>7.0</v>
      </c>
      <c r="X417" s="50">
        <v>100.0</v>
      </c>
      <c r="Y417" s="50">
        <v>3.0</v>
      </c>
      <c r="Z417" s="50">
        <v>0.0</v>
      </c>
      <c r="AA417" s="50">
        <v>7.0</v>
      </c>
      <c r="AB417" s="50">
        <v>10.0</v>
      </c>
      <c r="AC417" s="50">
        <v>3.0</v>
      </c>
      <c r="AD417" s="50">
        <v>0.0</v>
      </c>
      <c r="AE417" s="50">
        <v>1.0</v>
      </c>
      <c r="AF417" s="50">
        <v>6.0</v>
      </c>
      <c r="AG417" s="50">
        <v>1.0</v>
      </c>
      <c r="AH417" s="50">
        <v>3.0</v>
      </c>
      <c r="AI417" s="50">
        <v>0.0</v>
      </c>
      <c r="AJ417" s="116"/>
      <c r="AK417" s="50" t="s">
        <v>12215</v>
      </c>
      <c r="AL417" s="50">
        <v>6.0</v>
      </c>
      <c r="AM417" s="50">
        <v>1.0</v>
      </c>
      <c r="AN417" s="50" t="s">
        <v>10629</v>
      </c>
      <c r="AO417" s="117">
        <v>5295.0</v>
      </c>
      <c r="AP417" s="50" t="s">
        <v>12216</v>
      </c>
      <c r="AQ417" s="50" t="s">
        <v>12218</v>
      </c>
      <c r="AR417" s="117">
        <v>417.0</v>
      </c>
    </row>
    <row r="418">
      <c r="A418" s="50" t="s">
        <v>12200</v>
      </c>
      <c r="B418" s="50" t="s">
        <v>6876</v>
      </c>
      <c r="C418" s="50" t="s">
        <v>6877</v>
      </c>
      <c r="D418" s="50" t="s">
        <v>11623</v>
      </c>
      <c r="E418" s="144">
        <v>43788.0</v>
      </c>
      <c r="F418" s="50" t="s">
        <v>12223</v>
      </c>
      <c r="G418" s="50">
        <v>59.0</v>
      </c>
      <c r="H418" s="50">
        <v>1.0</v>
      </c>
      <c r="I418" s="50">
        <v>11.0</v>
      </c>
      <c r="J418" s="116"/>
      <c r="K418" s="116"/>
      <c r="L418" s="50" t="s">
        <v>1611</v>
      </c>
      <c r="M418" s="50" t="s">
        <v>1611</v>
      </c>
      <c r="N418" s="50" t="s">
        <v>12134</v>
      </c>
      <c r="O418" s="50" t="s">
        <v>12121</v>
      </c>
      <c r="P418" s="50" t="s">
        <v>12226</v>
      </c>
      <c r="Q418" s="50" t="s">
        <v>12227</v>
      </c>
      <c r="R418" s="116"/>
      <c r="S418" s="116"/>
      <c r="T418" s="116"/>
      <c r="U418" s="116"/>
      <c r="V418" s="116"/>
      <c r="W418" s="50">
        <v>3.0</v>
      </c>
      <c r="X418" s="50">
        <v>1.0</v>
      </c>
      <c r="Y418" s="50">
        <v>3.0</v>
      </c>
      <c r="Z418" s="50">
        <v>24.0</v>
      </c>
      <c r="AA418" s="50">
        <v>2.0</v>
      </c>
      <c r="AB418" s="50">
        <v>1.0</v>
      </c>
      <c r="AC418" s="50">
        <v>3.0</v>
      </c>
      <c r="AD418" s="50">
        <v>1.0</v>
      </c>
      <c r="AE418" s="50">
        <v>1.0</v>
      </c>
      <c r="AF418" s="50">
        <v>1.0</v>
      </c>
      <c r="AG418" s="50">
        <v>1.0</v>
      </c>
      <c r="AH418" s="50">
        <v>3.0</v>
      </c>
      <c r="AI418" s="50">
        <v>0.0</v>
      </c>
      <c r="AJ418" s="116"/>
      <c r="AK418" s="50" t="s">
        <v>12230</v>
      </c>
      <c r="AL418" s="50">
        <v>4.0</v>
      </c>
      <c r="AM418" s="50">
        <v>1.0</v>
      </c>
      <c r="AN418" s="50" t="s">
        <v>10629</v>
      </c>
      <c r="AO418" s="117">
        <v>5296.0</v>
      </c>
      <c r="AP418" s="50" t="s">
        <v>12233</v>
      </c>
      <c r="AQ418" s="50" t="s">
        <v>12234</v>
      </c>
      <c r="AR418" s="117">
        <v>418.0</v>
      </c>
    </row>
    <row r="419">
      <c r="A419" s="50" t="s">
        <v>12235</v>
      </c>
      <c r="B419" s="50" t="s">
        <v>6876</v>
      </c>
      <c r="C419" s="50" t="s">
        <v>6877</v>
      </c>
      <c r="D419" s="50" t="s">
        <v>11623</v>
      </c>
      <c r="E419" s="144">
        <v>43788.0</v>
      </c>
      <c r="F419" s="50" t="s">
        <v>12237</v>
      </c>
      <c r="G419" s="50">
        <v>59.0</v>
      </c>
      <c r="H419" s="50">
        <v>1.0</v>
      </c>
      <c r="I419" s="50">
        <v>11.0</v>
      </c>
      <c r="J419" s="116"/>
      <c r="K419" s="116"/>
      <c r="L419" s="50" t="s">
        <v>1613</v>
      </c>
      <c r="M419" s="50" t="s">
        <v>1613</v>
      </c>
      <c r="N419" s="50" t="s">
        <v>12134</v>
      </c>
      <c r="O419" s="50" t="s">
        <v>12121</v>
      </c>
      <c r="P419" s="50" t="s">
        <v>12226</v>
      </c>
      <c r="Q419" s="50" t="s">
        <v>12227</v>
      </c>
      <c r="R419" s="116"/>
      <c r="S419" s="116"/>
      <c r="T419" s="116"/>
      <c r="U419" s="116"/>
      <c r="V419" s="116"/>
      <c r="W419" s="50">
        <v>3.0</v>
      </c>
      <c r="X419" s="50">
        <v>1.0</v>
      </c>
      <c r="Y419" s="50">
        <v>3.0</v>
      </c>
      <c r="Z419" s="50">
        <v>45.0</v>
      </c>
      <c r="AA419" s="50">
        <v>2.0</v>
      </c>
      <c r="AB419" s="50">
        <v>1.0</v>
      </c>
      <c r="AC419" s="50">
        <v>3.0</v>
      </c>
      <c r="AD419" s="50">
        <v>5.0</v>
      </c>
      <c r="AE419" s="50">
        <v>1.0</v>
      </c>
      <c r="AF419" s="50">
        <v>1.0</v>
      </c>
      <c r="AG419" s="50">
        <v>1.0</v>
      </c>
      <c r="AH419" s="50">
        <v>3.0</v>
      </c>
      <c r="AI419" s="50">
        <v>0.0</v>
      </c>
      <c r="AJ419" s="116"/>
      <c r="AK419" s="50" t="s">
        <v>12248</v>
      </c>
      <c r="AL419" s="50">
        <v>6.0</v>
      </c>
      <c r="AM419" s="50">
        <v>1.0</v>
      </c>
      <c r="AN419" s="50" t="s">
        <v>10629</v>
      </c>
      <c r="AO419" s="117">
        <v>5297.0</v>
      </c>
      <c r="AP419" s="50" t="s">
        <v>12251</v>
      </c>
      <c r="AQ419" s="50" t="s">
        <v>12252</v>
      </c>
      <c r="AR419" s="117">
        <v>419.0</v>
      </c>
    </row>
    <row r="420">
      <c r="A420" s="50" t="s">
        <v>12237</v>
      </c>
      <c r="B420" s="50" t="s">
        <v>6876</v>
      </c>
      <c r="C420" s="50" t="s">
        <v>6877</v>
      </c>
      <c r="D420" s="50" t="s">
        <v>11623</v>
      </c>
      <c r="E420" s="144">
        <v>43788.0</v>
      </c>
      <c r="F420" s="50" t="s">
        <v>12253</v>
      </c>
      <c r="G420" s="50">
        <v>59.0</v>
      </c>
      <c r="H420" s="50">
        <v>1.0</v>
      </c>
      <c r="I420" s="50">
        <v>11.0</v>
      </c>
      <c r="J420" s="116"/>
      <c r="K420" s="116"/>
      <c r="L420" s="50" t="s">
        <v>1616</v>
      </c>
      <c r="M420" s="50" t="s">
        <v>1616</v>
      </c>
      <c r="N420" s="50" t="s">
        <v>12134</v>
      </c>
      <c r="O420" s="50" t="s">
        <v>12121</v>
      </c>
      <c r="P420" s="50" t="s">
        <v>12226</v>
      </c>
      <c r="Q420" s="50" t="s">
        <v>12227</v>
      </c>
      <c r="R420" s="116"/>
      <c r="S420" s="116"/>
      <c r="T420" s="116"/>
      <c r="U420" s="116"/>
      <c r="V420" s="116"/>
      <c r="W420" s="50">
        <v>3.0</v>
      </c>
      <c r="X420" s="50">
        <v>1.0</v>
      </c>
      <c r="Y420" s="50">
        <v>2.0</v>
      </c>
      <c r="Z420" s="116"/>
      <c r="AA420" s="50">
        <v>2.0</v>
      </c>
      <c r="AB420" s="50">
        <v>1.0</v>
      </c>
      <c r="AC420" s="50">
        <v>3.0</v>
      </c>
      <c r="AD420" s="50">
        <v>39.0</v>
      </c>
      <c r="AE420" s="50">
        <v>1.0</v>
      </c>
      <c r="AF420" s="50">
        <v>1.0</v>
      </c>
      <c r="AG420" s="50">
        <v>1.0</v>
      </c>
      <c r="AH420" s="50">
        <v>3.0</v>
      </c>
      <c r="AI420" s="50">
        <v>3.0</v>
      </c>
      <c r="AJ420" s="116"/>
      <c r="AK420" s="50" t="s">
        <v>12261</v>
      </c>
      <c r="AL420" s="50">
        <v>6.0</v>
      </c>
      <c r="AM420" s="50">
        <v>1.0</v>
      </c>
      <c r="AN420" s="50" t="s">
        <v>10629</v>
      </c>
      <c r="AO420" s="117">
        <v>5298.0</v>
      </c>
      <c r="AP420" s="50" t="s">
        <v>12262</v>
      </c>
      <c r="AQ420" s="50" t="s">
        <v>12263</v>
      </c>
      <c r="AR420" s="117">
        <v>420.0</v>
      </c>
    </row>
    <row r="421">
      <c r="A421" s="50" t="s">
        <v>12253</v>
      </c>
      <c r="B421" s="50" t="s">
        <v>6876</v>
      </c>
      <c r="C421" s="50" t="s">
        <v>6877</v>
      </c>
      <c r="D421" s="50" t="s">
        <v>11623</v>
      </c>
      <c r="E421" s="144">
        <v>43788.0</v>
      </c>
      <c r="F421" s="50" t="s">
        <v>12264</v>
      </c>
      <c r="G421" s="50">
        <v>50.0</v>
      </c>
      <c r="H421" s="50">
        <v>1.0</v>
      </c>
      <c r="I421" s="50">
        <v>11.0</v>
      </c>
      <c r="J421" s="116"/>
      <c r="K421" s="116"/>
      <c r="L421" s="50" t="s">
        <v>1619</v>
      </c>
      <c r="M421" s="50" t="s">
        <v>1619</v>
      </c>
      <c r="N421" s="50" t="s">
        <v>12134</v>
      </c>
      <c r="O421" s="50" t="s">
        <v>12121</v>
      </c>
      <c r="P421" s="50" t="s">
        <v>12226</v>
      </c>
      <c r="Q421" s="50" t="s">
        <v>12227</v>
      </c>
      <c r="R421" s="116"/>
      <c r="S421" s="116"/>
      <c r="T421" s="116"/>
      <c r="U421" s="116"/>
      <c r="V421" s="116"/>
      <c r="W421" s="50">
        <v>3.0</v>
      </c>
      <c r="X421" s="50">
        <v>1.0</v>
      </c>
      <c r="Y421" s="50">
        <v>3.0</v>
      </c>
      <c r="Z421" s="50">
        <v>0.0</v>
      </c>
      <c r="AA421" s="50">
        <v>2.0</v>
      </c>
      <c r="AB421" s="50">
        <v>1.0</v>
      </c>
      <c r="AC421" s="50">
        <v>3.0</v>
      </c>
      <c r="AD421" s="50">
        <v>0.0</v>
      </c>
      <c r="AE421" s="50">
        <v>1.0</v>
      </c>
      <c r="AF421" s="50">
        <v>1.0</v>
      </c>
      <c r="AG421" s="50">
        <v>1.0</v>
      </c>
      <c r="AH421" s="50">
        <v>3.0</v>
      </c>
      <c r="AI421" s="50">
        <v>0.0</v>
      </c>
      <c r="AJ421" s="116"/>
      <c r="AK421" s="50" t="s">
        <v>11875</v>
      </c>
      <c r="AL421" s="50">
        <v>6.0</v>
      </c>
      <c r="AM421" s="50">
        <v>1.0</v>
      </c>
      <c r="AN421" s="50" t="s">
        <v>10629</v>
      </c>
      <c r="AO421" s="117">
        <v>5299.0</v>
      </c>
      <c r="AP421" s="50" t="s">
        <v>12275</v>
      </c>
      <c r="AQ421" s="50" t="s">
        <v>12276</v>
      </c>
      <c r="AR421" s="117">
        <v>421.0</v>
      </c>
    </row>
    <row r="422">
      <c r="A422" s="50" t="s">
        <v>12264</v>
      </c>
      <c r="B422" s="50" t="s">
        <v>6876</v>
      </c>
      <c r="C422" s="50" t="s">
        <v>6877</v>
      </c>
      <c r="D422" s="50" t="s">
        <v>11623</v>
      </c>
      <c r="E422" s="144">
        <v>43788.0</v>
      </c>
      <c r="F422" s="50" t="s">
        <v>12279</v>
      </c>
      <c r="G422" s="50">
        <v>58.0</v>
      </c>
      <c r="H422" s="50">
        <v>1.0</v>
      </c>
      <c r="I422" s="50">
        <v>11.0</v>
      </c>
      <c r="J422" s="116"/>
      <c r="K422" s="116"/>
      <c r="L422" s="50" t="s">
        <v>1622</v>
      </c>
      <c r="M422" s="50" t="s">
        <v>1622</v>
      </c>
      <c r="N422" s="50" t="s">
        <v>12134</v>
      </c>
      <c r="O422" s="50" t="s">
        <v>12121</v>
      </c>
      <c r="P422" s="50" t="s">
        <v>12226</v>
      </c>
      <c r="Q422" s="50" t="s">
        <v>12227</v>
      </c>
      <c r="R422" s="116"/>
      <c r="S422" s="116"/>
      <c r="T422" s="116"/>
      <c r="U422" s="116"/>
      <c r="V422" s="116"/>
      <c r="W422" s="50">
        <v>3.0</v>
      </c>
      <c r="X422" s="50">
        <v>1.0</v>
      </c>
      <c r="Y422" s="50">
        <v>3.0</v>
      </c>
      <c r="Z422" s="50">
        <v>101.0</v>
      </c>
      <c r="AA422" s="50">
        <v>2.0</v>
      </c>
      <c r="AB422" s="50">
        <v>1.0</v>
      </c>
      <c r="AC422" s="50">
        <v>3.0</v>
      </c>
      <c r="AD422" s="50">
        <v>11.0</v>
      </c>
      <c r="AE422" s="50">
        <v>1.0</v>
      </c>
      <c r="AF422" s="50">
        <v>1.0</v>
      </c>
      <c r="AG422" s="50">
        <v>1.0</v>
      </c>
      <c r="AH422" s="50">
        <v>3.0</v>
      </c>
      <c r="AI422" s="50">
        <v>0.0</v>
      </c>
      <c r="AJ422" s="116"/>
      <c r="AK422" s="50" t="s">
        <v>12286</v>
      </c>
      <c r="AL422" s="50">
        <v>6.0</v>
      </c>
      <c r="AM422" s="50">
        <v>1.0</v>
      </c>
      <c r="AN422" s="50" t="s">
        <v>10629</v>
      </c>
      <c r="AO422" s="117">
        <v>5300.0</v>
      </c>
      <c r="AP422" s="50" t="s">
        <v>12289</v>
      </c>
      <c r="AQ422" s="50" t="s">
        <v>12291</v>
      </c>
      <c r="AR422" s="117">
        <v>422.0</v>
      </c>
    </row>
    <row r="423">
      <c r="A423" s="50" t="s">
        <v>12279</v>
      </c>
      <c r="B423" s="50" t="s">
        <v>6876</v>
      </c>
      <c r="C423" s="50" t="s">
        <v>6877</v>
      </c>
      <c r="D423" s="50" t="s">
        <v>11623</v>
      </c>
      <c r="E423" s="144">
        <v>43788.0</v>
      </c>
      <c r="F423" s="50" t="s">
        <v>12292</v>
      </c>
      <c r="G423" s="50">
        <v>59.0</v>
      </c>
      <c r="H423" s="50">
        <v>1.0</v>
      </c>
      <c r="I423" s="50">
        <v>99.0</v>
      </c>
      <c r="J423" s="116"/>
      <c r="K423" s="116"/>
      <c r="L423" s="50" t="s">
        <v>12295</v>
      </c>
      <c r="M423" s="50" t="s">
        <v>12295</v>
      </c>
      <c r="N423" s="50" t="s">
        <v>12134</v>
      </c>
      <c r="O423" s="50" t="s">
        <v>12297</v>
      </c>
      <c r="P423" s="50" t="s">
        <v>12299</v>
      </c>
      <c r="Q423" s="50" t="s">
        <v>12300</v>
      </c>
      <c r="R423" s="116"/>
      <c r="S423" s="116"/>
      <c r="T423" s="116"/>
      <c r="U423" s="116"/>
      <c r="V423" s="116"/>
      <c r="W423" s="50">
        <v>7.0</v>
      </c>
      <c r="X423" s="50">
        <v>100.0</v>
      </c>
      <c r="Y423" s="50">
        <v>3.0</v>
      </c>
      <c r="Z423" s="50">
        <v>0.0</v>
      </c>
      <c r="AA423" s="116"/>
      <c r="AB423" s="116"/>
      <c r="AC423" s="116"/>
      <c r="AD423" s="116"/>
      <c r="AE423" s="116"/>
      <c r="AF423" s="116"/>
      <c r="AG423" s="116"/>
      <c r="AH423" s="116"/>
      <c r="AI423" s="116"/>
      <c r="AJ423" s="116"/>
      <c r="AK423" s="50" t="s">
        <v>12303</v>
      </c>
      <c r="AL423" s="50">
        <v>6.0</v>
      </c>
      <c r="AM423" s="50">
        <v>1.0</v>
      </c>
      <c r="AN423" s="50" t="s">
        <v>10629</v>
      </c>
      <c r="AO423" s="117">
        <v>5301.0</v>
      </c>
      <c r="AP423" s="50" t="s">
        <v>12304</v>
      </c>
      <c r="AQ423" s="50" t="s">
        <v>12305</v>
      </c>
      <c r="AR423" s="117">
        <v>423.0</v>
      </c>
    </row>
    <row r="424">
      <c r="A424" s="50" t="s">
        <v>12306</v>
      </c>
      <c r="B424" s="50" t="s">
        <v>6876</v>
      </c>
      <c r="C424" s="50" t="s">
        <v>6877</v>
      </c>
      <c r="D424" s="50" t="s">
        <v>11623</v>
      </c>
      <c r="E424" s="144">
        <v>43788.0</v>
      </c>
      <c r="F424" s="50" t="s">
        <v>12307</v>
      </c>
      <c r="G424" s="50">
        <v>59.0</v>
      </c>
      <c r="H424" s="50">
        <v>1.0</v>
      </c>
      <c r="I424" s="50">
        <v>99.0</v>
      </c>
      <c r="J424" s="116"/>
      <c r="K424" s="116"/>
      <c r="L424" s="50" t="s">
        <v>1614</v>
      </c>
      <c r="M424" s="50" t="s">
        <v>1614</v>
      </c>
      <c r="N424" s="50" t="s">
        <v>12134</v>
      </c>
      <c r="O424" s="50" t="s">
        <v>12297</v>
      </c>
      <c r="P424" s="50" t="s">
        <v>12299</v>
      </c>
      <c r="Q424" s="50" t="s">
        <v>12300</v>
      </c>
      <c r="R424" s="116"/>
      <c r="S424" s="116"/>
      <c r="T424" s="116"/>
      <c r="U424" s="116"/>
      <c r="V424" s="116"/>
      <c r="W424" s="50">
        <v>7.0</v>
      </c>
      <c r="X424" s="50">
        <v>100.0</v>
      </c>
      <c r="Y424" s="50">
        <v>3.0</v>
      </c>
      <c r="Z424" s="50">
        <v>0.0</v>
      </c>
      <c r="AA424" s="116"/>
      <c r="AB424" s="116"/>
      <c r="AC424" s="116"/>
      <c r="AD424" s="116"/>
      <c r="AE424" s="116"/>
      <c r="AF424" s="116"/>
      <c r="AG424" s="116"/>
      <c r="AH424" s="116"/>
      <c r="AI424" s="116"/>
      <c r="AJ424" s="116"/>
      <c r="AK424" s="50" t="s">
        <v>12310</v>
      </c>
      <c r="AL424" s="50">
        <v>4.0</v>
      </c>
      <c r="AM424" s="50">
        <v>1.0</v>
      </c>
      <c r="AN424" s="50" t="s">
        <v>10629</v>
      </c>
      <c r="AO424" s="117">
        <v>5302.0</v>
      </c>
      <c r="AP424" s="50" t="s">
        <v>12313</v>
      </c>
      <c r="AQ424" s="50" t="s">
        <v>12315</v>
      </c>
      <c r="AR424" s="117">
        <v>424.0</v>
      </c>
    </row>
    <row r="425">
      <c r="A425" s="50" t="s">
        <v>12307</v>
      </c>
      <c r="B425" s="50" t="s">
        <v>6876</v>
      </c>
      <c r="C425" s="50" t="s">
        <v>6877</v>
      </c>
      <c r="D425" s="50" t="s">
        <v>11623</v>
      </c>
      <c r="E425" s="144">
        <v>43788.0</v>
      </c>
      <c r="F425" s="50" t="s">
        <v>12319</v>
      </c>
      <c r="G425" s="50">
        <v>59.0</v>
      </c>
      <c r="H425" s="50">
        <v>1.0</v>
      </c>
      <c r="I425" s="50">
        <v>99.0</v>
      </c>
      <c r="J425" s="116"/>
      <c r="K425" s="116"/>
      <c r="L425" s="50" t="s">
        <v>1617</v>
      </c>
      <c r="M425" s="50" t="s">
        <v>1617</v>
      </c>
      <c r="N425" s="50" t="s">
        <v>12134</v>
      </c>
      <c r="O425" s="50" t="s">
        <v>12297</v>
      </c>
      <c r="P425" s="50" t="s">
        <v>12299</v>
      </c>
      <c r="Q425" s="50" t="s">
        <v>12300</v>
      </c>
      <c r="R425" s="116"/>
      <c r="S425" s="116"/>
      <c r="T425" s="116"/>
      <c r="U425" s="116"/>
      <c r="V425" s="116"/>
      <c r="W425" s="50">
        <v>7.0</v>
      </c>
      <c r="X425" s="50">
        <v>100.0</v>
      </c>
      <c r="Y425" s="50">
        <v>3.0</v>
      </c>
      <c r="Z425" s="50">
        <v>0.0</v>
      </c>
      <c r="AA425" s="116"/>
      <c r="AB425" s="116"/>
      <c r="AC425" s="116"/>
      <c r="AD425" s="116"/>
      <c r="AE425" s="116"/>
      <c r="AF425" s="116"/>
      <c r="AG425" s="116"/>
      <c r="AH425" s="116"/>
      <c r="AI425" s="116"/>
      <c r="AJ425" s="116"/>
      <c r="AK425" s="50" t="s">
        <v>12325</v>
      </c>
      <c r="AL425" s="50">
        <v>6.0</v>
      </c>
      <c r="AM425" s="50">
        <v>1.0</v>
      </c>
      <c r="AN425" s="50" t="s">
        <v>10629</v>
      </c>
      <c r="AO425" s="117">
        <v>5303.0</v>
      </c>
      <c r="AP425" s="50" t="s">
        <v>12326</v>
      </c>
      <c r="AQ425" s="50" t="s">
        <v>12327</v>
      </c>
      <c r="AR425" s="117">
        <v>425.0</v>
      </c>
    </row>
    <row r="426">
      <c r="A426" s="50" t="s">
        <v>12319</v>
      </c>
      <c r="B426" s="50" t="s">
        <v>6876</v>
      </c>
      <c r="C426" s="50" t="s">
        <v>6877</v>
      </c>
      <c r="D426" s="50" t="s">
        <v>11623</v>
      </c>
      <c r="E426" s="144">
        <v>43788.0</v>
      </c>
      <c r="F426" s="50" t="s">
        <v>12328</v>
      </c>
      <c r="G426" s="50">
        <v>50.0</v>
      </c>
      <c r="H426" s="50">
        <v>1.0</v>
      </c>
      <c r="I426" s="50">
        <v>99.0</v>
      </c>
      <c r="J426" s="116"/>
      <c r="K426" s="116"/>
      <c r="L426" s="50" t="s">
        <v>1620</v>
      </c>
      <c r="M426" s="50" t="s">
        <v>1620</v>
      </c>
      <c r="N426" s="50" t="s">
        <v>12134</v>
      </c>
      <c r="O426" s="50" t="s">
        <v>12297</v>
      </c>
      <c r="P426" s="50" t="s">
        <v>12335</v>
      </c>
      <c r="Q426" s="50" t="s">
        <v>12300</v>
      </c>
      <c r="R426" s="116"/>
      <c r="S426" s="116"/>
      <c r="T426" s="116"/>
      <c r="U426" s="116"/>
      <c r="V426" s="116"/>
      <c r="W426" s="50">
        <v>7.0</v>
      </c>
      <c r="X426" s="50">
        <v>100.0</v>
      </c>
      <c r="Y426" s="50">
        <v>3.0</v>
      </c>
      <c r="Z426" s="50">
        <v>0.0</v>
      </c>
      <c r="AA426" s="116"/>
      <c r="AB426" s="116"/>
      <c r="AC426" s="116"/>
      <c r="AD426" s="116"/>
      <c r="AE426" s="116"/>
      <c r="AF426" s="116"/>
      <c r="AG426" s="116"/>
      <c r="AH426" s="116"/>
      <c r="AI426" s="116"/>
      <c r="AJ426" s="116"/>
      <c r="AK426" s="50" t="s">
        <v>12336</v>
      </c>
      <c r="AL426" s="50">
        <v>6.0</v>
      </c>
      <c r="AM426" s="50">
        <v>1.0</v>
      </c>
      <c r="AN426" s="50" t="s">
        <v>10629</v>
      </c>
      <c r="AO426" s="117">
        <v>5304.0</v>
      </c>
      <c r="AP426" s="50" t="s">
        <v>12339</v>
      </c>
      <c r="AQ426" s="50" t="s">
        <v>12340</v>
      </c>
      <c r="AR426" s="117">
        <v>426.0</v>
      </c>
    </row>
    <row r="427">
      <c r="A427" s="50" t="s">
        <v>12342</v>
      </c>
      <c r="B427" s="50" t="s">
        <v>6876</v>
      </c>
      <c r="C427" s="50" t="s">
        <v>6877</v>
      </c>
      <c r="D427" s="50" t="s">
        <v>11623</v>
      </c>
      <c r="E427" s="144">
        <v>43788.0</v>
      </c>
      <c r="F427" s="50" t="s">
        <v>12343</v>
      </c>
      <c r="G427" s="50">
        <v>58.0</v>
      </c>
      <c r="H427" s="50">
        <v>1.0</v>
      </c>
      <c r="I427" s="50">
        <v>99.0</v>
      </c>
      <c r="J427" s="116"/>
      <c r="K427" s="116"/>
      <c r="L427" s="50" t="s">
        <v>1623</v>
      </c>
      <c r="M427" s="50" t="s">
        <v>1623</v>
      </c>
      <c r="N427" s="50" t="s">
        <v>12134</v>
      </c>
      <c r="O427" s="50" t="s">
        <v>12297</v>
      </c>
      <c r="P427" s="50" t="s">
        <v>12299</v>
      </c>
      <c r="Q427" s="50" t="s">
        <v>12300</v>
      </c>
      <c r="R427" s="116"/>
      <c r="S427" s="116"/>
      <c r="T427" s="116"/>
      <c r="U427" s="116"/>
      <c r="V427" s="116"/>
      <c r="W427" s="50">
        <v>7.0</v>
      </c>
      <c r="X427" s="50">
        <v>100.0</v>
      </c>
      <c r="Y427" s="50">
        <v>3.0</v>
      </c>
      <c r="Z427" s="50">
        <v>0.0</v>
      </c>
      <c r="AA427" s="116"/>
      <c r="AB427" s="116"/>
      <c r="AC427" s="116"/>
      <c r="AD427" s="116"/>
      <c r="AE427" s="116"/>
      <c r="AF427" s="116"/>
      <c r="AG427" s="116"/>
      <c r="AH427" s="116"/>
      <c r="AI427" s="116"/>
      <c r="AJ427" s="116"/>
      <c r="AK427" s="50" t="s">
        <v>12352</v>
      </c>
      <c r="AL427" s="50">
        <v>6.0</v>
      </c>
      <c r="AM427" s="50">
        <v>1.0</v>
      </c>
      <c r="AN427" s="50" t="s">
        <v>10629</v>
      </c>
      <c r="AO427" s="117">
        <v>5305.0</v>
      </c>
      <c r="AP427" s="50" t="s">
        <v>12353</v>
      </c>
      <c r="AQ427" s="50" t="s">
        <v>12354</v>
      </c>
      <c r="AR427" s="117">
        <v>427.0</v>
      </c>
    </row>
    <row r="428">
      <c r="A428" s="50" t="s">
        <v>12355</v>
      </c>
      <c r="B428" s="50" t="s">
        <v>6876</v>
      </c>
      <c r="C428" s="50" t="s">
        <v>6877</v>
      </c>
      <c r="D428" s="50" t="s">
        <v>11623</v>
      </c>
      <c r="E428" s="144">
        <v>43788.0</v>
      </c>
      <c r="F428" s="50" t="s">
        <v>12358</v>
      </c>
      <c r="G428" s="50">
        <v>33.0</v>
      </c>
      <c r="H428" s="50">
        <v>1.0</v>
      </c>
      <c r="I428" s="50">
        <v>98.0</v>
      </c>
      <c r="J428" s="116"/>
      <c r="K428" s="116"/>
      <c r="L428" s="50" t="s">
        <v>1626</v>
      </c>
      <c r="M428" s="50" t="s">
        <v>1626</v>
      </c>
      <c r="N428" s="50" t="s">
        <v>12134</v>
      </c>
      <c r="O428" s="50" t="s">
        <v>12297</v>
      </c>
      <c r="P428" s="50" t="s">
        <v>12299</v>
      </c>
      <c r="Q428" s="50" t="s">
        <v>12300</v>
      </c>
      <c r="R428" s="116"/>
      <c r="S428" s="116"/>
      <c r="T428" s="116"/>
      <c r="U428" s="116"/>
      <c r="V428" s="116"/>
      <c r="W428" s="50">
        <v>7.0</v>
      </c>
      <c r="X428" s="50">
        <v>100.0</v>
      </c>
      <c r="Y428" s="50">
        <v>3.0</v>
      </c>
      <c r="Z428" s="50">
        <v>0.0</v>
      </c>
      <c r="AA428" s="116"/>
      <c r="AB428" s="116"/>
      <c r="AC428" s="116"/>
      <c r="AD428" s="116"/>
      <c r="AE428" s="116"/>
      <c r="AF428" s="116"/>
      <c r="AG428" s="116"/>
      <c r="AH428" s="116"/>
      <c r="AI428" s="116"/>
      <c r="AJ428" s="116"/>
      <c r="AK428" s="50" t="s">
        <v>11376</v>
      </c>
      <c r="AL428" s="50">
        <v>6.0</v>
      </c>
      <c r="AM428" s="50">
        <v>1.0</v>
      </c>
      <c r="AN428" s="50" t="s">
        <v>10629</v>
      </c>
      <c r="AO428" s="117">
        <v>5306.0</v>
      </c>
      <c r="AP428" s="50" t="s">
        <v>12360</v>
      </c>
      <c r="AQ428" s="50" t="s">
        <v>12361</v>
      </c>
      <c r="AR428" s="117">
        <v>428.0</v>
      </c>
    </row>
    <row r="429">
      <c r="A429" s="50" t="s">
        <v>12358</v>
      </c>
      <c r="B429" s="50" t="s">
        <v>6876</v>
      </c>
      <c r="C429" s="50" t="s">
        <v>6877</v>
      </c>
      <c r="D429" s="50" t="s">
        <v>11623</v>
      </c>
      <c r="E429" s="144">
        <v>43788.0</v>
      </c>
      <c r="F429" s="50" t="s">
        <v>12367</v>
      </c>
      <c r="G429" s="50">
        <v>58.0</v>
      </c>
      <c r="H429" s="50">
        <v>1.0</v>
      </c>
      <c r="I429" s="50">
        <v>99.0</v>
      </c>
      <c r="J429" s="116"/>
      <c r="K429" s="116"/>
      <c r="L429" s="50" t="s">
        <v>651</v>
      </c>
      <c r="M429" s="50" t="s">
        <v>651</v>
      </c>
      <c r="N429" s="50" t="s">
        <v>12134</v>
      </c>
      <c r="O429" s="50" t="s">
        <v>12297</v>
      </c>
      <c r="P429" s="50" t="s">
        <v>12299</v>
      </c>
      <c r="Q429" s="50" t="s">
        <v>12300</v>
      </c>
      <c r="R429" s="116"/>
      <c r="S429" s="116"/>
      <c r="T429" s="116"/>
      <c r="U429" s="116"/>
      <c r="V429" s="116"/>
      <c r="W429" s="50">
        <v>7.0</v>
      </c>
      <c r="X429" s="50">
        <v>100.0</v>
      </c>
      <c r="Y429" s="50">
        <v>3.0</v>
      </c>
      <c r="Z429" s="50">
        <v>0.0</v>
      </c>
      <c r="AA429" s="116"/>
      <c r="AB429" s="116"/>
      <c r="AC429" s="116"/>
      <c r="AD429" s="116"/>
      <c r="AE429" s="116"/>
      <c r="AF429" s="116"/>
      <c r="AG429" s="116"/>
      <c r="AH429" s="116"/>
      <c r="AI429" s="116"/>
      <c r="AJ429" s="116"/>
      <c r="AK429" s="50" t="s">
        <v>12372</v>
      </c>
      <c r="AL429" s="50">
        <v>6.0</v>
      </c>
      <c r="AM429" s="50">
        <v>1.0</v>
      </c>
      <c r="AN429" s="50" t="s">
        <v>10629</v>
      </c>
      <c r="AO429" s="117">
        <v>5307.0</v>
      </c>
      <c r="AP429" s="50" t="s">
        <v>12373</v>
      </c>
      <c r="AQ429" s="50" t="s">
        <v>12374</v>
      </c>
      <c r="AR429" s="117">
        <v>429.0</v>
      </c>
    </row>
    <row r="430">
      <c r="A430" s="50" t="s">
        <v>12376</v>
      </c>
      <c r="B430" s="50" t="s">
        <v>6876</v>
      </c>
      <c r="C430" s="50" t="s">
        <v>6877</v>
      </c>
      <c r="D430" s="50" t="s">
        <v>11623</v>
      </c>
      <c r="E430" s="144">
        <v>43794.0</v>
      </c>
      <c r="F430" s="50" t="s">
        <v>12379</v>
      </c>
      <c r="G430" s="50">
        <v>59.0</v>
      </c>
      <c r="H430" s="50">
        <v>1.0</v>
      </c>
      <c r="I430" s="50">
        <v>11.0</v>
      </c>
      <c r="J430" s="116"/>
      <c r="K430" s="116"/>
      <c r="L430" s="50" t="s">
        <v>1628</v>
      </c>
      <c r="M430" s="50" t="s">
        <v>1628</v>
      </c>
      <c r="N430" s="50" t="s">
        <v>12382</v>
      </c>
      <c r="O430" s="50" t="s">
        <v>12383</v>
      </c>
      <c r="P430" s="50" t="s">
        <v>12384</v>
      </c>
      <c r="Q430" s="50" t="s">
        <v>12385</v>
      </c>
      <c r="R430" s="116"/>
      <c r="S430" s="116"/>
      <c r="T430" s="116"/>
      <c r="U430" s="116"/>
      <c r="V430" s="116"/>
      <c r="W430" s="50">
        <v>3.0</v>
      </c>
      <c r="X430" s="50">
        <v>1.0</v>
      </c>
      <c r="Y430" s="50">
        <v>1.0</v>
      </c>
      <c r="Z430" s="116"/>
      <c r="AA430" s="50">
        <v>2.0</v>
      </c>
      <c r="AB430" s="50">
        <v>1.0</v>
      </c>
      <c r="AC430" s="50">
        <v>3.0</v>
      </c>
      <c r="AD430" s="50">
        <v>108.0</v>
      </c>
      <c r="AE430" s="50">
        <v>1.0</v>
      </c>
      <c r="AF430" s="50">
        <v>1.0</v>
      </c>
      <c r="AG430" s="50">
        <v>1.0</v>
      </c>
      <c r="AH430" s="50">
        <v>3.0</v>
      </c>
      <c r="AI430" s="50">
        <v>10.0</v>
      </c>
      <c r="AJ430" s="116"/>
      <c r="AK430" s="50" t="s">
        <v>12388</v>
      </c>
      <c r="AL430" s="50">
        <v>4.0</v>
      </c>
      <c r="AM430" s="50">
        <v>1.0</v>
      </c>
      <c r="AN430" s="50" t="s">
        <v>10629</v>
      </c>
      <c r="AO430" s="117">
        <v>5496.0</v>
      </c>
      <c r="AP430" s="50" t="s">
        <v>12389</v>
      </c>
      <c r="AQ430" s="50" t="s">
        <v>12390</v>
      </c>
      <c r="AR430" s="117">
        <v>430.0</v>
      </c>
    </row>
    <row r="431">
      <c r="A431" s="50" t="s">
        <v>12379</v>
      </c>
      <c r="B431" s="50" t="s">
        <v>6876</v>
      </c>
      <c r="C431" s="50" t="s">
        <v>6877</v>
      </c>
      <c r="D431" s="50" t="s">
        <v>11623</v>
      </c>
      <c r="E431" s="144">
        <v>43794.0</v>
      </c>
      <c r="F431" s="50" t="s">
        <v>12397</v>
      </c>
      <c r="G431" s="50">
        <v>59.0</v>
      </c>
      <c r="H431" s="50">
        <v>1.0</v>
      </c>
      <c r="I431" s="50">
        <v>99.0</v>
      </c>
      <c r="J431" s="116"/>
      <c r="K431" s="116"/>
      <c r="L431" s="50" t="s">
        <v>1629</v>
      </c>
      <c r="M431" s="50" t="s">
        <v>1629</v>
      </c>
      <c r="N431" s="50" t="s">
        <v>12382</v>
      </c>
      <c r="O431" s="50" t="s">
        <v>12401</v>
      </c>
      <c r="P431" s="50" t="s">
        <v>12402</v>
      </c>
      <c r="Q431" s="50" t="s">
        <v>12403</v>
      </c>
      <c r="R431" s="116"/>
      <c r="S431" s="116"/>
      <c r="T431" s="116"/>
      <c r="U431" s="116"/>
      <c r="V431" s="116"/>
      <c r="W431" s="50">
        <v>7.0</v>
      </c>
      <c r="X431" s="50">
        <v>100.0</v>
      </c>
      <c r="Y431" s="50">
        <v>3.0</v>
      </c>
      <c r="Z431" s="50">
        <v>0.0</v>
      </c>
      <c r="AA431" s="116"/>
      <c r="AB431" s="116"/>
      <c r="AC431" s="116"/>
      <c r="AD431" s="116"/>
      <c r="AE431" s="116"/>
      <c r="AF431" s="116"/>
      <c r="AG431" s="116"/>
      <c r="AH431" s="116"/>
      <c r="AI431" s="116"/>
      <c r="AJ431" s="116"/>
      <c r="AK431" s="50" t="s">
        <v>12406</v>
      </c>
      <c r="AL431" s="50">
        <v>4.0</v>
      </c>
      <c r="AM431" s="50">
        <v>1.0</v>
      </c>
      <c r="AN431" s="50" t="s">
        <v>10629</v>
      </c>
      <c r="AO431" s="117">
        <v>5497.0</v>
      </c>
      <c r="AP431" s="50" t="s">
        <v>12407</v>
      </c>
      <c r="AQ431" s="50" t="s">
        <v>12408</v>
      </c>
      <c r="AR431" s="117">
        <v>431.0</v>
      </c>
    </row>
    <row r="432">
      <c r="A432" s="50" t="s">
        <v>12397</v>
      </c>
      <c r="B432" s="50" t="s">
        <v>6876</v>
      </c>
      <c r="C432" s="50" t="s">
        <v>6877</v>
      </c>
      <c r="D432" s="50" t="s">
        <v>11623</v>
      </c>
      <c r="E432" s="144">
        <v>43794.0</v>
      </c>
      <c r="F432" s="50" t="s">
        <v>12409</v>
      </c>
      <c r="G432" s="50">
        <v>59.0</v>
      </c>
      <c r="H432" s="50">
        <v>1.0</v>
      </c>
      <c r="I432" s="50">
        <v>11.0</v>
      </c>
      <c r="J432" s="116"/>
      <c r="K432" s="116"/>
      <c r="L432" s="50" t="s">
        <v>1631</v>
      </c>
      <c r="M432" s="50" t="s">
        <v>1631</v>
      </c>
      <c r="N432" s="50" t="s">
        <v>12382</v>
      </c>
      <c r="O432" s="50" t="s">
        <v>12383</v>
      </c>
      <c r="P432" s="50" t="s">
        <v>12384</v>
      </c>
      <c r="Q432" s="50" t="s">
        <v>12385</v>
      </c>
      <c r="R432" s="116"/>
      <c r="S432" s="116"/>
      <c r="T432" s="116"/>
      <c r="U432" s="116"/>
      <c r="V432" s="116"/>
      <c r="W432" s="50">
        <v>3.0</v>
      </c>
      <c r="X432" s="50">
        <v>1.0</v>
      </c>
      <c r="Y432" s="50">
        <v>3.0</v>
      </c>
      <c r="Z432" s="50">
        <v>101.0</v>
      </c>
      <c r="AA432" s="50">
        <v>2.0</v>
      </c>
      <c r="AB432" s="50">
        <v>1.0</v>
      </c>
      <c r="AC432" s="50">
        <v>3.0</v>
      </c>
      <c r="AD432" s="50">
        <v>10.0</v>
      </c>
      <c r="AE432" s="50">
        <v>1.0</v>
      </c>
      <c r="AF432" s="50">
        <v>1.0</v>
      </c>
      <c r="AG432" s="50">
        <v>1.0</v>
      </c>
      <c r="AH432" s="50">
        <v>3.0</v>
      </c>
      <c r="AI432" s="50">
        <v>2.0</v>
      </c>
      <c r="AJ432" s="116"/>
      <c r="AK432" s="50" t="s">
        <v>12417</v>
      </c>
      <c r="AL432" s="50">
        <v>4.0</v>
      </c>
      <c r="AM432" s="50">
        <v>1.0</v>
      </c>
      <c r="AN432" s="50" t="s">
        <v>10629</v>
      </c>
      <c r="AO432" s="117">
        <v>5498.0</v>
      </c>
      <c r="AP432" s="50" t="s">
        <v>12419</v>
      </c>
      <c r="AQ432" s="50" t="s">
        <v>12420</v>
      </c>
      <c r="AR432" s="117">
        <v>432.0</v>
      </c>
    </row>
    <row r="433">
      <c r="A433" s="50" t="s">
        <v>12409</v>
      </c>
      <c r="B433" s="50" t="s">
        <v>6876</v>
      </c>
      <c r="C433" s="50" t="s">
        <v>6877</v>
      </c>
      <c r="D433" s="50" t="s">
        <v>11623</v>
      </c>
      <c r="E433" s="144">
        <v>43794.0</v>
      </c>
      <c r="F433" s="50" t="s">
        <v>12429</v>
      </c>
      <c r="G433" s="50">
        <v>59.0</v>
      </c>
      <c r="H433" s="50">
        <v>1.0</v>
      </c>
      <c r="I433" s="50">
        <v>99.0</v>
      </c>
      <c r="J433" s="116"/>
      <c r="K433" s="116"/>
      <c r="L433" s="50" t="s">
        <v>1632</v>
      </c>
      <c r="M433" s="50" t="s">
        <v>1632</v>
      </c>
      <c r="N433" s="50" t="s">
        <v>12382</v>
      </c>
      <c r="O433" s="50" t="s">
        <v>12401</v>
      </c>
      <c r="P433" s="50" t="s">
        <v>12402</v>
      </c>
      <c r="Q433" s="50" t="s">
        <v>12403</v>
      </c>
      <c r="R433" s="116"/>
      <c r="S433" s="116"/>
      <c r="T433" s="116"/>
      <c r="U433" s="116"/>
      <c r="V433" s="116"/>
      <c r="W433" s="50">
        <v>7.0</v>
      </c>
      <c r="X433" s="50">
        <v>100.0</v>
      </c>
      <c r="Y433" s="50">
        <v>3.0</v>
      </c>
      <c r="Z433" s="50">
        <v>0.0</v>
      </c>
      <c r="AA433" s="116"/>
      <c r="AB433" s="116"/>
      <c r="AC433" s="116"/>
      <c r="AD433" s="116"/>
      <c r="AE433" s="116"/>
      <c r="AF433" s="116"/>
      <c r="AG433" s="116"/>
      <c r="AH433" s="116"/>
      <c r="AI433" s="116"/>
      <c r="AJ433" s="116"/>
      <c r="AK433" s="50" t="s">
        <v>12433</v>
      </c>
      <c r="AL433" s="50">
        <v>4.0</v>
      </c>
      <c r="AM433" s="50">
        <v>1.0</v>
      </c>
      <c r="AN433" s="50" t="s">
        <v>10629</v>
      </c>
      <c r="AO433" s="117">
        <v>5499.0</v>
      </c>
      <c r="AP433" s="50" t="s">
        <v>12436</v>
      </c>
      <c r="AQ433" s="50" t="s">
        <v>12437</v>
      </c>
      <c r="AR433" s="117">
        <v>433.0</v>
      </c>
    </row>
    <row r="434">
      <c r="A434" s="50" t="s">
        <v>12440</v>
      </c>
      <c r="B434" s="50" t="s">
        <v>6876</v>
      </c>
      <c r="C434" s="50" t="s">
        <v>6877</v>
      </c>
      <c r="D434" s="50" t="s">
        <v>11623</v>
      </c>
      <c r="E434" s="144">
        <v>43794.0</v>
      </c>
      <c r="F434" s="50" t="s">
        <v>12441</v>
      </c>
      <c r="G434" s="50">
        <v>59.0</v>
      </c>
      <c r="H434" s="50">
        <v>1.0</v>
      </c>
      <c r="I434" s="50">
        <v>11.0</v>
      </c>
      <c r="J434" s="116"/>
      <c r="K434" s="116"/>
      <c r="L434" s="50" t="s">
        <v>1634</v>
      </c>
      <c r="M434" s="50" t="s">
        <v>1634</v>
      </c>
      <c r="N434" s="50" t="s">
        <v>12382</v>
      </c>
      <c r="O434" s="50" t="s">
        <v>12383</v>
      </c>
      <c r="P434" s="50" t="s">
        <v>12384</v>
      </c>
      <c r="Q434" s="50" t="s">
        <v>12385</v>
      </c>
      <c r="R434" s="116"/>
      <c r="S434" s="116"/>
      <c r="T434" s="116"/>
      <c r="U434" s="116"/>
      <c r="V434" s="116"/>
      <c r="W434" s="50">
        <v>3.0</v>
      </c>
      <c r="X434" s="50">
        <v>1.0</v>
      </c>
      <c r="Y434" s="50">
        <v>3.0</v>
      </c>
      <c r="Z434" s="50">
        <v>161.0</v>
      </c>
      <c r="AA434" s="50">
        <v>2.0</v>
      </c>
      <c r="AB434" s="50">
        <v>1.0</v>
      </c>
      <c r="AC434" s="50">
        <v>3.0</v>
      </c>
      <c r="AD434" s="50">
        <v>17.0</v>
      </c>
      <c r="AE434" s="50">
        <v>1.0</v>
      </c>
      <c r="AF434" s="50">
        <v>1.0</v>
      </c>
      <c r="AG434" s="50">
        <v>1.0</v>
      </c>
      <c r="AH434" s="50">
        <v>3.0</v>
      </c>
      <c r="AI434" s="50">
        <v>5.0</v>
      </c>
      <c r="AJ434" s="116"/>
      <c r="AK434" s="50" t="s">
        <v>12448</v>
      </c>
      <c r="AL434" s="50">
        <v>4.0</v>
      </c>
      <c r="AM434" s="50">
        <v>1.0</v>
      </c>
      <c r="AN434" s="50" t="s">
        <v>10629</v>
      </c>
      <c r="AO434" s="117">
        <v>5500.0</v>
      </c>
      <c r="AP434" s="50" t="s">
        <v>12453</v>
      </c>
      <c r="AQ434" s="50" t="s">
        <v>12455</v>
      </c>
      <c r="AR434" s="117">
        <v>434.0</v>
      </c>
    </row>
    <row r="435">
      <c r="A435" s="50" t="s">
        <v>12441</v>
      </c>
      <c r="B435" s="50" t="s">
        <v>6876</v>
      </c>
      <c r="C435" s="50" t="s">
        <v>6877</v>
      </c>
      <c r="D435" s="50" t="s">
        <v>11623</v>
      </c>
      <c r="E435" s="144">
        <v>43794.0</v>
      </c>
      <c r="F435" s="50" t="s">
        <v>12458</v>
      </c>
      <c r="G435" s="50">
        <v>59.0</v>
      </c>
      <c r="H435" s="50">
        <v>1.0</v>
      </c>
      <c r="I435" s="50">
        <v>99.0</v>
      </c>
      <c r="J435" s="116"/>
      <c r="K435" s="116"/>
      <c r="L435" s="50" t="s">
        <v>1635</v>
      </c>
      <c r="M435" s="50" t="s">
        <v>1635</v>
      </c>
      <c r="N435" s="50" t="s">
        <v>12382</v>
      </c>
      <c r="O435" s="50" t="s">
        <v>12401</v>
      </c>
      <c r="P435" s="50" t="s">
        <v>12402</v>
      </c>
      <c r="Q435" s="50" t="s">
        <v>12403</v>
      </c>
      <c r="R435" s="116"/>
      <c r="S435" s="116"/>
      <c r="T435" s="116"/>
      <c r="U435" s="116"/>
      <c r="V435" s="116"/>
      <c r="W435" s="50">
        <v>7.0</v>
      </c>
      <c r="X435" s="50">
        <v>100.0</v>
      </c>
      <c r="Y435" s="50">
        <v>3.0</v>
      </c>
      <c r="Z435" s="50">
        <v>0.0</v>
      </c>
      <c r="AA435" s="116"/>
      <c r="AB435" s="116"/>
      <c r="AC435" s="116"/>
      <c r="AD435" s="116"/>
      <c r="AE435" s="116"/>
      <c r="AF435" s="116"/>
      <c r="AG435" s="116"/>
      <c r="AH435" s="116"/>
      <c r="AI435" s="116"/>
      <c r="AJ435" s="116"/>
      <c r="AK435" s="50" t="s">
        <v>12466</v>
      </c>
      <c r="AL435" s="50">
        <v>4.0</v>
      </c>
      <c r="AM435" s="50">
        <v>1.0</v>
      </c>
      <c r="AN435" s="50" t="s">
        <v>10629</v>
      </c>
      <c r="AO435" s="117">
        <v>5501.0</v>
      </c>
      <c r="AP435" s="50" t="s">
        <v>12467</v>
      </c>
      <c r="AQ435" s="50" t="s">
        <v>12468</v>
      </c>
      <c r="AR435" s="117">
        <v>435.0</v>
      </c>
    </row>
    <row r="436">
      <c r="A436" s="50" t="s">
        <v>12458</v>
      </c>
      <c r="B436" s="50" t="s">
        <v>6876</v>
      </c>
      <c r="C436" s="50" t="s">
        <v>6877</v>
      </c>
      <c r="D436" s="50" t="s">
        <v>11623</v>
      </c>
      <c r="E436" s="144">
        <v>43794.0</v>
      </c>
      <c r="F436" s="50" t="s">
        <v>12469</v>
      </c>
      <c r="G436" s="50">
        <v>58.0</v>
      </c>
      <c r="H436" s="50">
        <v>1.0</v>
      </c>
      <c r="I436" s="50">
        <v>11.0</v>
      </c>
      <c r="J436" s="116"/>
      <c r="K436" s="116"/>
      <c r="L436" s="50" t="s">
        <v>1637</v>
      </c>
      <c r="M436" s="50" t="s">
        <v>1637</v>
      </c>
      <c r="N436" s="50" t="s">
        <v>12382</v>
      </c>
      <c r="O436" s="50" t="s">
        <v>12383</v>
      </c>
      <c r="P436" s="50" t="s">
        <v>12384</v>
      </c>
      <c r="Q436" s="50" t="s">
        <v>12385</v>
      </c>
      <c r="R436" s="116"/>
      <c r="S436" s="116"/>
      <c r="T436" s="116"/>
      <c r="U436" s="116"/>
      <c r="V436" s="116"/>
      <c r="W436" s="50">
        <v>3.0</v>
      </c>
      <c r="X436" s="50">
        <v>1.0</v>
      </c>
      <c r="Y436" s="50">
        <v>3.0</v>
      </c>
      <c r="Z436" s="50">
        <v>78.0</v>
      </c>
      <c r="AA436" s="50">
        <v>2.0</v>
      </c>
      <c r="AB436" s="50">
        <v>1.0</v>
      </c>
      <c r="AC436" s="50">
        <v>3.0</v>
      </c>
      <c r="AD436" s="50">
        <v>8.0</v>
      </c>
      <c r="AE436" s="50">
        <v>1.0</v>
      </c>
      <c r="AF436" s="50">
        <v>1.0</v>
      </c>
      <c r="AG436" s="50">
        <v>1.0</v>
      </c>
      <c r="AH436" s="50">
        <v>3.0</v>
      </c>
      <c r="AI436" s="50">
        <v>1.0</v>
      </c>
      <c r="AJ436" s="116"/>
      <c r="AK436" s="50" t="s">
        <v>12479</v>
      </c>
      <c r="AL436" s="50">
        <v>4.0</v>
      </c>
      <c r="AM436" s="50">
        <v>1.0</v>
      </c>
      <c r="AN436" s="50" t="s">
        <v>10629</v>
      </c>
      <c r="AO436" s="117">
        <v>5502.0</v>
      </c>
      <c r="AP436" s="50" t="s">
        <v>12483</v>
      </c>
      <c r="AQ436" s="50" t="s">
        <v>12486</v>
      </c>
      <c r="AR436" s="117">
        <v>436.0</v>
      </c>
    </row>
    <row r="437">
      <c r="A437" s="50" t="s">
        <v>12469</v>
      </c>
      <c r="B437" s="50" t="s">
        <v>6876</v>
      </c>
      <c r="C437" s="50" t="s">
        <v>6877</v>
      </c>
      <c r="D437" s="50" t="s">
        <v>11623</v>
      </c>
      <c r="E437" s="144">
        <v>43794.0</v>
      </c>
      <c r="F437" s="50" t="s">
        <v>12487</v>
      </c>
      <c r="G437" s="50">
        <v>58.0</v>
      </c>
      <c r="H437" s="50">
        <v>1.0</v>
      </c>
      <c r="I437" s="50">
        <v>99.0</v>
      </c>
      <c r="J437" s="116"/>
      <c r="K437" s="116"/>
      <c r="L437" s="50" t="s">
        <v>1638</v>
      </c>
      <c r="M437" s="50" t="s">
        <v>1638</v>
      </c>
      <c r="N437" s="50" t="s">
        <v>12382</v>
      </c>
      <c r="O437" s="50" t="s">
        <v>12401</v>
      </c>
      <c r="P437" s="50" t="s">
        <v>12402</v>
      </c>
      <c r="Q437" s="50" t="s">
        <v>12403</v>
      </c>
      <c r="R437" s="116"/>
      <c r="S437" s="116"/>
      <c r="T437" s="116"/>
      <c r="U437" s="116"/>
      <c r="V437" s="116"/>
      <c r="W437" s="50">
        <v>7.0</v>
      </c>
      <c r="X437" s="50">
        <v>100.0</v>
      </c>
      <c r="Y437" s="50">
        <v>3.0</v>
      </c>
      <c r="Z437" s="50">
        <v>0.0</v>
      </c>
      <c r="AA437" s="116"/>
      <c r="AB437" s="116"/>
      <c r="AC437" s="116"/>
      <c r="AD437" s="116"/>
      <c r="AE437" s="116"/>
      <c r="AF437" s="116"/>
      <c r="AG437" s="116"/>
      <c r="AH437" s="116"/>
      <c r="AI437" s="116"/>
      <c r="AJ437" s="116"/>
      <c r="AK437" s="50" t="s">
        <v>12491</v>
      </c>
      <c r="AL437" s="50">
        <v>4.0</v>
      </c>
      <c r="AM437" s="50">
        <v>1.0</v>
      </c>
      <c r="AN437" s="50" t="s">
        <v>10629</v>
      </c>
      <c r="AO437" s="117">
        <v>5503.0</v>
      </c>
      <c r="AP437" s="50" t="s">
        <v>12496</v>
      </c>
      <c r="AQ437" s="50" t="s">
        <v>12497</v>
      </c>
      <c r="AR437" s="117">
        <v>437.0</v>
      </c>
    </row>
    <row r="438">
      <c r="A438" s="50" t="s">
        <v>12487</v>
      </c>
      <c r="B438" s="50" t="s">
        <v>6876</v>
      </c>
      <c r="C438" s="50" t="s">
        <v>6877</v>
      </c>
      <c r="D438" s="50" t="s">
        <v>11623</v>
      </c>
      <c r="E438" s="144">
        <v>43794.0</v>
      </c>
      <c r="F438" s="50" t="s">
        <v>12500</v>
      </c>
      <c r="G438" s="50">
        <v>33.0</v>
      </c>
      <c r="H438" s="50">
        <v>1.0</v>
      </c>
      <c r="I438" s="50">
        <v>98.0</v>
      </c>
      <c r="J438" s="116"/>
      <c r="K438" s="116"/>
      <c r="L438" s="50" t="s">
        <v>1640</v>
      </c>
      <c r="M438" s="50" t="s">
        <v>1640</v>
      </c>
      <c r="N438" s="50" t="s">
        <v>12382</v>
      </c>
      <c r="O438" s="50" t="s">
        <v>12401</v>
      </c>
      <c r="P438" s="50" t="s">
        <v>12402</v>
      </c>
      <c r="Q438" s="50" t="s">
        <v>12403</v>
      </c>
      <c r="R438" s="116"/>
      <c r="S438" s="116"/>
      <c r="T438" s="116"/>
      <c r="U438" s="116"/>
      <c r="V438" s="116"/>
      <c r="W438" s="50">
        <v>7.0</v>
      </c>
      <c r="X438" s="50">
        <v>100.0</v>
      </c>
      <c r="Y438" s="50">
        <v>3.0</v>
      </c>
      <c r="Z438" s="50">
        <v>0.0</v>
      </c>
      <c r="AA438" s="116"/>
      <c r="AB438" s="116"/>
      <c r="AC438" s="116"/>
      <c r="AD438" s="116"/>
      <c r="AE438" s="116"/>
      <c r="AF438" s="116"/>
      <c r="AG438" s="116"/>
      <c r="AH438" s="116"/>
      <c r="AI438" s="116"/>
      <c r="AJ438" s="116"/>
      <c r="AK438" s="50" t="s">
        <v>11376</v>
      </c>
      <c r="AL438" s="50">
        <v>4.0</v>
      </c>
      <c r="AM438" s="50">
        <v>1.0</v>
      </c>
      <c r="AN438" s="50" t="s">
        <v>10629</v>
      </c>
      <c r="AO438" s="117">
        <v>5504.0</v>
      </c>
      <c r="AP438" s="50" t="s">
        <v>12513</v>
      </c>
      <c r="AQ438" s="50" t="s">
        <v>12515</v>
      </c>
      <c r="AR438" s="117">
        <v>438.0</v>
      </c>
    </row>
    <row r="439">
      <c r="A439" s="50" t="s">
        <v>12500</v>
      </c>
      <c r="B439" s="50" t="s">
        <v>6876</v>
      </c>
      <c r="C439" s="50" t="s">
        <v>6877</v>
      </c>
      <c r="D439" s="50" t="s">
        <v>11623</v>
      </c>
      <c r="E439" s="144">
        <v>43794.0</v>
      </c>
      <c r="F439" s="50" t="s">
        <v>12519</v>
      </c>
      <c r="G439" s="50">
        <v>59.0</v>
      </c>
      <c r="H439" s="50">
        <v>1.0</v>
      </c>
      <c r="I439" s="50">
        <v>11.0</v>
      </c>
      <c r="J439" s="116"/>
      <c r="K439" s="116"/>
      <c r="L439" s="50" t="s">
        <v>1643</v>
      </c>
      <c r="M439" s="50" t="s">
        <v>1643</v>
      </c>
      <c r="N439" s="50" t="s">
        <v>12524</v>
      </c>
      <c r="O439" s="50" t="s">
        <v>12525</v>
      </c>
      <c r="P439" s="50" t="s">
        <v>12526</v>
      </c>
      <c r="Q439" s="50" t="s">
        <v>12527</v>
      </c>
      <c r="R439" s="116"/>
      <c r="S439" s="116"/>
      <c r="T439" s="116"/>
      <c r="U439" s="116"/>
      <c r="V439" s="116"/>
      <c r="W439" s="50">
        <v>3.0</v>
      </c>
      <c r="X439" s="50">
        <v>1.0</v>
      </c>
      <c r="Y439" s="50">
        <v>3.0</v>
      </c>
      <c r="Z439" s="50">
        <v>39.0</v>
      </c>
      <c r="AA439" s="50">
        <v>2.0</v>
      </c>
      <c r="AB439" s="50">
        <v>1.0</v>
      </c>
      <c r="AC439" s="50">
        <v>3.0</v>
      </c>
      <c r="AD439" s="50">
        <v>3.0</v>
      </c>
      <c r="AE439" s="50">
        <v>1.0</v>
      </c>
      <c r="AF439" s="50">
        <v>1.0</v>
      </c>
      <c r="AG439" s="50">
        <v>1.0</v>
      </c>
      <c r="AH439" s="50">
        <v>3.0</v>
      </c>
      <c r="AI439" s="50">
        <v>2.0</v>
      </c>
      <c r="AJ439" s="116"/>
      <c r="AK439" s="50" t="s">
        <v>12532</v>
      </c>
      <c r="AL439" s="50">
        <v>4.0</v>
      </c>
      <c r="AM439" s="50">
        <v>1.0</v>
      </c>
      <c r="AN439" s="50" t="s">
        <v>10629</v>
      </c>
      <c r="AO439" s="117">
        <v>5505.0</v>
      </c>
      <c r="AP439" s="50" t="s">
        <v>12533</v>
      </c>
      <c r="AQ439" s="50" t="s">
        <v>12534</v>
      </c>
      <c r="AR439" s="117">
        <v>439.0</v>
      </c>
    </row>
    <row r="440">
      <c r="A440" s="50" t="s">
        <v>12519</v>
      </c>
      <c r="B440" s="50" t="s">
        <v>6876</v>
      </c>
      <c r="C440" s="50" t="s">
        <v>6877</v>
      </c>
      <c r="D440" s="50" t="s">
        <v>11623</v>
      </c>
      <c r="E440" s="144">
        <v>43794.0</v>
      </c>
      <c r="F440" s="50" t="s">
        <v>12539</v>
      </c>
      <c r="G440" s="50">
        <v>59.0</v>
      </c>
      <c r="H440" s="50">
        <v>1.0</v>
      </c>
      <c r="I440" s="50">
        <v>99.0</v>
      </c>
      <c r="J440" s="116"/>
      <c r="K440" s="116"/>
      <c r="L440" s="50" t="s">
        <v>287</v>
      </c>
      <c r="M440" s="50" t="s">
        <v>287</v>
      </c>
      <c r="N440" s="50" t="s">
        <v>12524</v>
      </c>
      <c r="O440" s="50" t="s">
        <v>12541</v>
      </c>
      <c r="P440" s="50" t="s">
        <v>12543</v>
      </c>
      <c r="Q440" s="50" t="s">
        <v>12545</v>
      </c>
      <c r="R440" s="116"/>
      <c r="S440" s="116"/>
      <c r="T440" s="116"/>
      <c r="U440" s="116"/>
      <c r="V440" s="116"/>
      <c r="W440" s="50">
        <v>7.0</v>
      </c>
      <c r="X440" s="50">
        <v>100.0</v>
      </c>
      <c r="Y440" s="50">
        <v>3.0</v>
      </c>
      <c r="Z440" s="50">
        <v>0.0</v>
      </c>
      <c r="AA440" s="116"/>
      <c r="AB440" s="116"/>
      <c r="AC440" s="116"/>
      <c r="AD440" s="116"/>
      <c r="AE440" s="116"/>
      <c r="AF440" s="116"/>
      <c r="AG440" s="116"/>
      <c r="AH440" s="116"/>
      <c r="AI440" s="116"/>
      <c r="AJ440" s="116"/>
      <c r="AK440" s="50" t="s">
        <v>12552</v>
      </c>
      <c r="AL440" s="50">
        <v>4.0</v>
      </c>
      <c r="AM440" s="50">
        <v>1.0</v>
      </c>
      <c r="AN440" s="50" t="s">
        <v>10629</v>
      </c>
      <c r="AO440" s="117">
        <v>5506.0</v>
      </c>
      <c r="AP440" s="50" t="s">
        <v>12556</v>
      </c>
      <c r="AQ440" s="50" t="s">
        <v>12557</v>
      </c>
      <c r="AR440" s="117">
        <v>440.0</v>
      </c>
    </row>
    <row r="441">
      <c r="A441" s="50" t="s">
        <v>12539</v>
      </c>
      <c r="B441" s="50" t="s">
        <v>6876</v>
      </c>
      <c r="C441" s="50" t="s">
        <v>6877</v>
      </c>
      <c r="D441" s="50" t="s">
        <v>11623</v>
      </c>
      <c r="E441" s="144">
        <v>43794.0</v>
      </c>
      <c r="F441" s="50" t="s">
        <v>12560</v>
      </c>
      <c r="G441" s="50">
        <v>59.0</v>
      </c>
      <c r="H441" s="50">
        <v>1.0</v>
      </c>
      <c r="I441" s="50">
        <v>11.0</v>
      </c>
      <c r="J441" s="116"/>
      <c r="K441" s="116"/>
      <c r="L441" s="50" t="s">
        <v>1644</v>
      </c>
      <c r="M441" s="50" t="s">
        <v>1644</v>
      </c>
      <c r="N441" s="50" t="s">
        <v>12524</v>
      </c>
      <c r="O441" s="50" t="s">
        <v>12525</v>
      </c>
      <c r="P441" s="50" t="s">
        <v>12526</v>
      </c>
      <c r="Q441" s="50" t="s">
        <v>12527</v>
      </c>
      <c r="R441" s="116"/>
      <c r="S441" s="116"/>
      <c r="T441" s="116"/>
      <c r="U441" s="116"/>
      <c r="V441" s="116"/>
      <c r="W441" s="50">
        <v>3.0</v>
      </c>
      <c r="X441" s="50">
        <v>1.0</v>
      </c>
      <c r="Y441" s="50">
        <v>1.0</v>
      </c>
      <c r="Z441" s="116"/>
      <c r="AA441" s="50">
        <v>2.0</v>
      </c>
      <c r="AB441" s="50">
        <v>1.0</v>
      </c>
      <c r="AC441" s="50">
        <v>3.0</v>
      </c>
      <c r="AD441" s="50">
        <v>198.0</v>
      </c>
      <c r="AE441" s="50">
        <v>1.0</v>
      </c>
      <c r="AF441" s="50">
        <v>1.0</v>
      </c>
      <c r="AG441" s="50">
        <v>1.0</v>
      </c>
      <c r="AH441" s="50">
        <v>3.0</v>
      </c>
      <c r="AI441" s="50">
        <v>21.0</v>
      </c>
      <c r="AJ441" s="116"/>
      <c r="AK441" s="50" t="s">
        <v>12564</v>
      </c>
      <c r="AL441" s="50">
        <v>4.0</v>
      </c>
      <c r="AM441" s="50">
        <v>1.0</v>
      </c>
      <c r="AN441" s="50" t="s">
        <v>10629</v>
      </c>
      <c r="AO441" s="117">
        <v>5507.0</v>
      </c>
      <c r="AP441" s="50" t="s">
        <v>12566</v>
      </c>
      <c r="AQ441" s="50" t="s">
        <v>12567</v>
      </c>
      <c r="AR441" s="117">
        <v>441.0</v>
      </c>
    </row>
    <row r="442">
      <c r="A442" s="50" t="s">
        <v>12560</v>
      </c>
      <c r="B442" s="50" t="s">
        <v>6876</v>
      </c>
      <c r="C442" s="50" t="s">
        <v>6877</v>
      </c>
      <c r="D442" s="50" t="s">
        <v>11623</v>
      </c>
      <c r="E442" s="144">
        <v>43794.0</v>
      </c>
      <c r="F442" s="50" t="s">
        <v>12572</v>
      </c>
      <c r="G442" s="50">
        <v>59.0</v>
      </c>
      <c r="H442" s="50">
        <v>1.0</v>
      </c>
      <c r="I442" s="50">
        <v>99.0</v>
      </c>
      <c r="J442" s="116"/>
      <c r="K442" s="116"/>
      <c r="L442" s="50" t="s">
        <v>290</v>
      </c>
      <c r="M442" s="50" t="s">
        <v>290</v>
      </c>
      <c r="N442" s="50" t="s">
        <v>12524</v>
      </c>
      <c r="O442" s="50" t="s">
        <v>12573</v>
      </c>
      <c r="P442" s="50" t="s">
        <v>12574</v>
      </c>
      <c r="Q442" s="50" t="s">
        <v>12575</v>
      </c>
      <c r="R442" s="116"/>
      <c r="S442" s="116"/>
      <c r="T442" s="116"/>
      <c r="U442" s="116"/>
      <c r="V442" s="116"/>
      <c r="W442" s="50">
        <v>7.0</v>
      </c>
      <c r="X442" s="50">
        <v>100.0</v>
      </c>
      <c r="Y442" s="50">
        <v>3.0</v>
      </c>
      <c r="Z442" s="50">
        <v>0.0</v>
      </c>
      <c r="AA442" s="116"/>
      <c r="AB442" s="116"/>
      <c r="AC442" s="116"/>
      <c r="AD442" s="116"/>
      <c r="AE442" s="116"/>
      <c r="AF442" s="116"/>
      <c r="AG442" s="116"/>
      <c r="AH442" s="116"/>
      <c r="AI442" s="116"/>
      <c r="AJ442" s="116"/>
      <c r="AK442" s="50" t="s">
        <v>12584</v>
      </c>
      <c r="AL442" s="50">
        <v>4.0</v>
      </c>
      <c r="AM442" s="50">
        <v>1.0</v>
      </c>
      <c r="AN442" s="50" t="s">
        <v>10629</v>
      </c>
      <c r="AO442" s="117">
        <v>5508.0</v>
      </c>
      <c r="AP442" s="50" t="s">
        <v>12588</v>
      </c>
      <c r="AQ442" s="50" t="s">
        <v>12589</v>
      </c>
      <c r="AR442" s="117">
        <v>442.0</v>
      </c>
    </row>
    <row r="443">
      <c r="A443" s="50" t="s">
        <v>12591</v>
      </c>
      <c r="B443" s="50" t="s">
        <v>6876</v>
      </c>
      <c r="C443" s="50" t="s">
        <v>6877</v>
      </c>
      <c r="D443" s="50" t="s">
        <v>11623</v>
      </c>
      <c r="E443" s="144">
        <v>43794.0</v>
      </c>
      <c r="F443" s="50" t="s">
        <v>12592</v>
      </c>
      <c r="G443" s="50">
        <v>59.0</v>
      </c>
      <c r="H443" s="50">
        <v>1.0</v>
      </c>
      <c r="I443" s="50">
        <v>11.0</v>
      </c>
      <c r="J443" s="116"/>
      <c r="K443" s="116"/>
      <c r="L443" s="50" t="s">
        <v>1645</v>
      </c>
      <c r="M443" s="50" t="s">
        <v>1645</v>
      </c>
      <c r="N443" s="50" t="s">
        <v>12524</v>
      </c>
      <c r="O443" s="50" t="s">
        <v>12525</v>
      </c>
      <c r="P443" s="50" t="s">
        <v>12526</v>
      </c>
      <c r="Q443" s="50" t="s">
        <v>12527</v>
      </c>
      <c r="R443" s="116"/>
      <c r="S443" s="116"/>
      <c r="T443" s="116"/>
      <c r="U443" s="116"/>
      <c r="V443" s="116"/>
      <c r="W443" s="50">
        <v>3.0</v>
      </c>
      <c r="X443" s="50">
        <v>1.0</v>
      </c>
      <c r="Y443" s="50">
        <v>3.0</v>
      </c>
      <c r="Z443" s="50">
        <v>1.0</v>
      </c>
      <c r="AA443" s="50">
        <v>2.0</v>
      </c>
      <c r="AB443" s="50">
        <v>1.0</v>
      </c>
      <c r="AC443" s="50">
        <v>3.0</v>
      </c>
      <c r="AD443" s="50">
        <v>0.0</v>
      </c>
      <c r="AE443" s="50">
        <v>1.0</v>
      </c>
      <c r="AF443" s="50">
        <v>1.0</v>
      </c>
      <c r="AG443" s="50">
        <v>1.0</v>
      </c>
      <c r="AH443" s="50">
        <v>3.0</v>
      </c>
      <c r="AI443" s="50">
        <v>0.0</v>
      </c>
      <c r="AJ443" s="116"/>
      <c r="AK443" s="50" t="s">
        <v>12604</v>
      </c>
      <c r="AL443" s="50">
        <v>4.0</v>
      </c>
      <c r="AM443" s="50">
        <v>1.0</v>
      </c>
      <c r="AN443" s="50" t="s">
        <v>10629</v>
      </c>
      <c r="AO443" s="117">
        <v>5509.0</v>
      </c>
      <c r="AP443" s="50" t="s">
        <v>12606</v>
      </c>
      <c r="AQ443" s="50" t="s">
        <v>12608</v>
      </c>
      <c r="AR443" s="117">
        <v>443.0</v>
      </c>
    </row>
    <row r="444">
      <c r="A444" s="50" t="s">
        <v>12592</v>
      </c>
      <c r="B444" s="50" t="s">
        <v>6876</v>
      </c>
      <c r="C444" s="50" t="s">
        <v>6877</v>
      </c>
      <c r="D444" s="50" t="s">
        <v>11623</v>
      </c>
      <c r="E444" s="144">
        <v>43794.0</v>
      </c>
      <c r="F444" s="50" t="s">
        <v>12609</v>
      </c>
      <c r="G444" s="50">
        <v>59.0</v>
      </c>
      <c r="H444" s="50">
        <v>1.0</v>
      </c>
      <c r="I444" s="50">
        <v>99.0</v>
      </c>
      <c r="J444" s="116"/>
      <c r="K444" s="116"/>
      <c r="L444" s="50" t="s">
        <v>292</v>
      </c>
      <c r="M444" s="50" t="s">
        <v>292</v>
      </c>
      <c r="N444" s="50" t="s">
        <v>12524</v>
      </c>
      <c r="O444" s="50" t="s">
        <v>12573</v>
      </c>
      <c r="P444" s="50" t="s">
        <v>12574</v>
      </c>
      <c r="Q444" s="50" t="s">
        <v>12575</v>
      </c>
      <c r="R444" s="116"/>
      <c r="S444" s="116"/>
      <c r="T444" s="116"/>
      <c r="U444" s="116"/>
      <c r="V444" s="116"/>
      <c r="W444" s="50">
        <v>7.0</v>
      </c>
      <c r="X444" s="50">
        <v>100.0</v>
      </c>
      <c r="Y444" s="50">
        <v>3.0</v>
      </c>
      <c r="Z444" s="50">
        <v>0.0</v>
      </c>
      <c r="AA444" s="116"/>
      <c r="AB444" s="116"/>
      <c r="AC444" s="116"/>
      <c r="AD444" s="116"/>
      <c r="AE444" s="116"/>
      <c r="AF444" s="116"/>
      <c r="AG444" s="116"/>
      <c r="AH444" s="116"/>
      <c r="AI444" s="116"/>
      <c r="AJ444" s="116"/>
      <c r="AK444" s="50" t="s">
        <v>12621</v>
      </c>
      <c r="AL444" s="50">
        <v>4.0</v>
      </c>
      <c r="AM444" s="50">
        <v>1.0</v>
      </c>
      <c r="AN444" s="50" t="s">
        <v>10629</v>
      </c>
      <c r="AO444" s="117">
        <v>5510.0</v>
      </c>
      <c r="AP444" s="50" t="s">
        <v>12622</v>
      </c>
      <c r="AQ444" s="50" t="s">
        <v>12623</v>
      </c>
      <c r="AR444" s="117">
        <v>444.0</v>
      </c>
    </row>
    <row r="445">
      <c r="A445" s="50" t="s">
        <v>12609</v>
      </c>
      <c r="B445" s="50" t="s">
        <v>6876</v>
      </c>
      <c r="C445" s="50" t="s">
        <v>6877</v>
      </c>
      <c r="D445" s="50" t="s">
        <v>11623</v>
      </c>
      <c r="E445" s="144">
        <v>43794.0</v>
      </c>
      <c r="F445" s="50" t="s">
        <v>12627</v>
      </c>
      <c r="G445" s="50">
        <v>55.0</v>
      </c>
      <c r="H445" s="50">
        <v>1.0</v>
      </c>
      <c r="I445" s="50">
        <v>99.0</v>
      </c>
      <c r="J445" s="116"/>
      <c r="K445" s="116"/>
      <c r="L445" s="50" t="s">
        <v>294</v>
      </c>
      <c r="M445" s="50" t="s">
        <v>294</v>
      </c>
      <c r="N445" s="50" t="s">
        <v>12524</v>
      </c>
      <c r="O445" s="50" t="s">
        <v>12573</v>
      </c>
      <c r="P445" s="50" t="s">
        <v>12630</v>
      </c>
      <c r="Q445" s="50" t="s">
        <v>12631</v>
      </c>
      <c r="R445" s="116"/>
      <c r="S445" s="116"/>
      <c r="T445" s="116"/>
      <c r="U445" s="116"/>
      <c r="V445" s="116"/>
      <c r="W445" s="50">
        <v>7.0</v>
      </c>
      <c r="X445" s="50">
        <v>100.0</v>
      </c>
      <c r="Y445" s="50">
        <v>3.0</v>
      </c>
      <c r="Z445" s="50">
        <v>0.0</v>
      </c>
      <c r="AA445" s="116"/>
      <c r="AB445" s="116"/>
      <c r="AC445" s="116"/>
      <c r="AD445" s="116"/>
      <c r="AE445" s="116"/>
      <c r="AF445" s="116"/>
      <c r="AG445" s="116"/>
      <c r="AH445" s="116"/>
      <c r="AI445" s="116"/>
      <c r="AJ445" s="116"/>
      <c r="AK445" s="50" t="s">
        <v>12634</v>
      </c>
      <c r="AL445" s="50">
        <v>4.0</v>
      </c>
      <c r="AM445" s="50">
        <v>1.0</v>
      </c>
      <c r="AN445" s="50" t="s">
        <v>10629</v>
      </c>
      <c r="AO445" s="117">
        <v>5511.0</v>
      </c>
      <c r="AP445" s="50" t="s">
        <v>12635</v>
      </c>
      <c r="AQ445" s="50" t="s">
        <v>12636</v>
      </c>
      <c r="AR445" s="117">
        <v>445.0</v>
      </c>
    </row>
    <row r="446">
      <c r="A446" s="50" t="s">
        <v>12627</v>
      </c>
      <c r="B446" s="50" t="s">
        <v>6876</v>
      </c>
      <c r="C446" s="50" t="s">
        <v>6877</v>
      </c>
      <c r="D446" s="50" t="s">
        <v>11623</v>
      </c>
      <c r="E446" s="144">
        <v>43794.0</v>
      </c>
      <c r="F446" s="50" t="s">
        <v>12637</v>
      </c>
      <c r="G446" s="50">
        <v>57.0</v>
      </c>
      <c r="H446" s="50">
        <v>1.0</v>
      </c>
      <c r="I446" s="50">
        <v>99.0</v>
      </c>
      <c r="J446" s="116"/>
      <c r="K446" s="116"/>
      <c r="L446" s="50" t="s">
        <v>296</v>
      </c>
      <c r="M446" s="50" t="s">
        <v>296</v>
      </c>
      <c r="N446" s="50" t="s">
        <v>12524</v>
      </c>
      <c r="O446" s="50" t="s">
        <v>12573</v>
      </c>
      <c r="P446" s="50" t="s">
        <v>12630</v>
      </c>
      <c r="Q446" s="50" t="s">
        <v>12631</v>
      </c>
      <c r="R446" s="116"/>
      <c r="S446" s="116"/>
      <c r="T446" s="116"/>
      <c r="U446" s="116"/>
      <c r="V446" s="116"/>
      <c r="W446" s="50">
        <v>7.0</v>
      </c>
      <c r="X446" s="50">
        <v>100.0</v>
      </c>
      <c r="Y446" s="50">
        <v>3.0</v>
      </c>
      <c r="Z446" s="50">
        <v>0.0</v>
      </c>
      <c r="AA446" s="116"/>
      <c r="AB446" s="116"/>
      <c r="AC446" s="116"/>
      <c r="AD446" s="116"/>
      <c r="AE446" s="116"/>
      <c r="AF446" s="116"/>
      <c r="AG446" s="116"/>
      <c r="AH446" s="116"/>
      <c r="AI446" s="116"/>
      <c r="AJ446" s="116"/>
      <c r="AK446" s="50" t="s">
        <v>12644</v>
      </c>
      <c r="AL446" s="50">
        <v>4.0</v>
      </c>
      <c r="AM446" s="50">
        <v>1.0</v>
      </c>
      <c r="AN446" s="50" t="s">
        <v>10629</v>
      </c>
      <c r="AO446" s="117">
        <v>5512.0</v>
      </c>
      <c r="AP446" s="50" t="s">
        <v>12649</v>
      </c>
      <c r="AQ446" s="50" t="s">
        <v>12650</v>
      </c>
      <c r="AR446" s="117">
        <v>446.0</v>
      </c>
    </row>
    <row r="447">
      <c r="A447" s="50" t="s">
        <v>12637</v>
      </c>
      <c r="B447" s="50" t="s">
        <v>6876</v>
      </c>
      <c r="C447" s="50" t="s">
        <v>6877</v>
      </c>
      <c r="D447" s="50" t="s">
        <v>11623</v>
      </c>
      <c r="E447" s="144">
        <v>43794.0</v>
      </c>
      <c r="F447" s="50" t="s">
        <v>12652</v>
      </c>
      <c r="G447" s="50">
        <v>33.0</v>
      </c>
      <c r="H447" s="50">
        <v>1.0</v>
      </c>
      <c r="I447" s="50">
        <v>98.0</v>
      </c>
      <c r="J447" s="116"/>
      <c r="K447" s="116"/>
      <c r="L447" s="50" t="s">
        <v>1647</v>
      </c>
      <c r="M447" s="50" t="s">
        <v>1647</v>
      </c>
      <c r="N447" s="50" t="s">
        <v>12524</v>
      </c>
      <c r="O447" s="50" t="s">
        <v>12573</v>
      </c>
      <c r="P447" s="50" t="s">
        <v>12630</v>
      </c>
      <c r="Q447" s="50" t="s">
        <v>12631</v>
      </c>
      <c r="R447" s="116"/>
      <c r="S447" s="116"/>
      <c r="T447" s="116"/>
      <c r="U447" s="116"/>
      <c r="V447" s="116"/>
      <c r="W447" s="50">
        <v>7.0</v>
      </c>
      <c r="X447" s="50">
        <v>100.0</v>
      </c>
      <c r="Y447" s="50">
        <v>3.0</v>
      </c>
      <c r="Z447" s="50">
        <v>0.0</v>
      </c>
      <c r="AA447" s="116"/>
      <c r="AB447" s="116"/>
      <c r="AC447" s="116"/>
      <c r="AD447" s="116"/>
      <c r="AE447" s="116"/>
      <c r="AF447" s="116"/>
      <c r="AG447" s="116"/>
      <c r="AH447" s="116"/>
      <c r="AI447" s="116"/>
      <c r="AJ447" s="116"/>
      <c r="AK447" s="50" t="s">
        <v>11376</v>
      </c>
      <c r="AL447" s="50">
        <v>4.0</v>
      </c>
      <c r="AM447" s="50">
        <v>1.0</v>
      </c>
      <c r="AN447" s="50" t="s">
        <v>10629</v>
      </c>
      <c r="AO447" s="117">
        <v>5513.0</v>
      </c>
      <c r="AP447" s="50" t="s">
        <v>12658</v>
      </c>
      <c r="AQ447" s="50" t="s">
        <v>12659</v>
      </c>
      <c r="AR447" s="117">
        <v>447.0</v>
      </c>
    </row>
    <row r="448">
      <c r="A448" s="50" t="s">
        <v>12652</v>
      </c>
      <c r="B448" s="50" t="s">
        <v>6876</v>
      </c>
      <c r="C448" s="50" t="s">
        <v>6877</v>
      </c>
      <c r="D448" s="50" t="s">
        <v>11623</v>
      </c>
      <c r="E448" s="144">
        <v>43794.0</v>
      </c>
      <c r="F448" s="50" t="s">
        <v>12660</v>
      </c>
      <c r="G448" s="50">
        <v>66.0</v>
      </c>
      <c r="H448" s="50">
        <v>1.0</v>
      </c>
      <c r="I448" s="50">
        <v>16.0</v>
      </c>
      <c r="J448" s="116"/>
      <c r="K448" s="116"/>
      <c r="L448" s="50" t="s">
        <v>1653</v>
      </c>
      <c r="M448" s="50" t="s">
        <v>1653</v>
      </c>
      <c r="N448" s="50" t="s">
        <v>12662</v>
      </c>
      <c r="O448" s="50" t="s">
        <v>12664</v>
      </c>
      <c r="P448" s="50" t="s">
        <v>12665</v>
      </c>
      <c r="Q448" s="50" t="s">
        <v>12666</v>
      </c>
      <c r="R448" s="116"/>
      <c r="S448" s="116"/>
      <c r="T448" s="116"/>
      <c r="U448" s="116"/>
      <c r="V448" s="116"/>
      <c r="W448" s="50">
        <v>4.0</v>
      </c>
      <c r="X448" s="50">
        <v>1.0</v>
      </c>
      <c r="Y448" s="50">
        <v>3.0</v>
      </c>
      <c r="Z448" s="50">
        <v>180.0</v>
      </c>
      <c r="AA448" s="50">
        <v>3.0</v>
      </c>
      <c r="AB448" s="50">
        <v>1.0</v>
      </c>
      <c r="AC448" s="50">
        <v>3.0</v>
      </c>
      <c r="AD448" s="50">
        <v>35.0</v>
      </c>
      <c r="AE448" s="50">
        <v>1.0</v>
      </c>
      <c r="AF448" s="50">
        <v>2.0</v>
      </c>
      <c r="AG448" s="50">
        <v>1.0</v>
      </c>
      <c r="AH448" s="50">
        <v>3.0</v>
      </c>
      <c r="AI448" s="50">
        <v>1.0</v>
      </c>
      <c r="AJ448" s="116"/>
      <c r="AK448" s="50" t="s">
        <v>12667</v>
      </c>
      <c r="AL448" s="50">
        <v>4.0</v>
      </c>
      <c r="AM448" s="50">
        <v>1.0</v>
      </c>
      <c r="AN448" s="50" t="s">
        <v>10629</v>
      </c>
      <c r="AO448" s="117">
        <v>5514.0</v>
      </c>
      <c r="AP448" s="50" t="s">
        <v>12668</v>
      </c>
      <c r="AQ448" s="50" t="s">
        <v>12669</v>
      </c>
      <c r="AR448" s="117">
        <v>448.0</v>
      </c>
    </row>
    <row r="449">
      <c r="A449" s="50" t="s">
        <v>12671</v>
      </c>
      <c r="B449" s="50" t="s">
        <v>6876</v>
      </c>
      <c r="C449" s="50" t="s">
        <v>6877</v>
      </c>
      <c r="D449" s="50" t="s">
        <v>11623</v>
      </c>
      <c r="E449" s="144">
        <v>43794.0</v>
      </c>
      <c r="F449" s="50" t="s">
        <v>12675</v>
      </c>
      <c r="G449" s="50">
        <v>58.0</v>
      </c>
      <c r="H449" s="50">
        <v>1.0</v>
      </c>
      <c r="I449" s="50">
        <v>15.0</v>
      </c>
      <c r="J449" s="116"/>
      <c r="K449" s="50">
        <v>151.0</v>
      </c>
      <c r="L449" s="50" t="s">
        <v>654</v>
      </c>
      <c r="M449" s="50" t="s">
        <v>654</v>
      </c>
      <c r="N449" s="50" t="s">
        <v>12662</v>
      </c>
      <c r="O449" s="50" t="s">
        <v>12664</v>
      </c>
      <c r="P449" s="50" t="s">
        <v>12665</v>
      </c>
      <c r="Q449" s="50" t="s">
        <v>12666</v>
      </c>
      <c r="R449" s="116"/>
      <c r="S449" s="116"/>
      <c r="T449" s="116"/>
      <c r="U449" s="116"/>
      <c r="V449" s="116"/>
      <c r="W449" s="50">
        <v>6.0</v>
      </c>
      <c r="X449" s="50">
        <v>1.0</v>
      </c>
      <c r="Y449" s="50">
        <v>3.0</v>
      </c>
      <c r="Z449" s="50">
        <v>1.0</v>
      </c>
      <c r="AA449" s="50">
        <v>5.0</v>
      </c>
      <c r="AB449" s="50">
        <v>1.0</v>
      </c>
      <c r="AC449" s="50">
        <v>3.0</v>
      </c>
      <c r="AD449" s="50">
        <v>0.0</v>
      </c>
      <c r="AE449" s="50">
        <v>1.0</v>
      </c>
      <c r="AF449" s="50">
        <v>4.0</v>
      </c>
      <c r="AG449" s="50">
        <v>1.0</v>
      </c>
      <c r="AH449" s="50">
        <v>3.0</v>
      </c>
      <c r="AI449" s="50">
        <v>0.0</v>
      </c>
      <c r="AJ449" s="116"/>
      <c r="AK449" s="50" t="s">
        <v>12678</v>
      </c>
      <c r="AL449" s="50">
        <v>4.0</v>
      </c>
      <c r="AM449" s="50">
        <v>1.0</v>
      </c>
      <c r="AN449" s="50" t="s">
        <v>10629</v>
      </c>
      <c r="AO449" s="117">
        <v>5515.0</v>
      </c>
      <c r="AP449" s="50" t="s">
        <v>12681</v>
      </c>
      <c r="AQ449" s="50" t="s">
        <v>12682</v>
      </c>
      <c r="AR449" s="117">
        <v>449.0</v>
      </c>
    </row>
    <row r="450">
      <c r="A450" s="50" t="s">
        <v>12675</v>
      </c>
      <c r="B450" s="50" t="s">
        <v>6876</v>
      </c>
      <c r="C450" s="50" t="s">
        <v>6877</v>
      </c>
      <c r="D450" s="50" t="s">
        <v>11623</v>
      </c>
      <c r="E450" s="144">
        <v>43794.0</v>
      </c>
      <c r="F450" s="50" t="s">
        <v>12686</v>
      </c>
      <c r="G450" s="50">
        <v>58.0</v>
      </c>
      <c r="H450" s="50">
        <v>1.0</v>
      </c>
      <c r="I450" s="50">
        <v>15.0</v>
      </c>
      <c r="J450" s="116"/>
      <c r="K450" s="50">
        <v>152.0</v>
      </c>
      <c r="L450" s="50" t="s">
        <v>657</v>
      </c>
      <c r="M450" s="50" t="s">
        <v>657</v>
      </c>
      <c r="N450" s="50" t="s">
        <v>12662</v>
      </c>
      <c r="O450" s="50" t="s">
        <v>12664</v>
      </c>
      <c r="P450" s="50" t="s">
        <v>12693</v>
      </c>
      <c r="Q450" s="50" t="s">
        <v>12694</v>
      </c>
      <c r="R450" s="116"/>
      <c r="S450" s="116"/>
      <c r="T450" s="116"/>
      <c r="U450" s="116"/>
      <c r="V450" s="116"/>
      <c r="W450" s="50">
        <v>6.0</v>
      </c>
      <c r="X450" s="50">
        <v>1.0</v>
      </c>
      <c r="Y450" s="50">
        <v>3.0</v>
      </c>
      <c r="Z450" s="50">
        <v>2.0</v>
      </c>
      <c r="AA450" s="50">
        <v>5.0</v>
      </c>
      <c r="AB450" s="50">
        <v>1.0</v>
      </c>
      <c r="AC450" s="50">
        <v>3.0</v>
      </c>
      <c r="AD450" s="50">
        <v>0.0</v>
      </c>
      <c r="AE450" s="50">
        <v>1.0</v>
      </c>
      <c r="AF450" s="50">
        <v>4.0</v>
      </c>
      <c r="AG450" s="50">
        <v>1.0</v>
      </c>
      <c r="AH450" s="50">
        <v>3.0</v>
      </c>
      <c r="AI450" s="50">
        <v>0.0</v>
      </c>
      <c r="AJ450" s="116"/>
      <c r="AK450" s="50" t="s">
        <v>12699</v>
      </c>
      <c r="AL450" s="50">
        <v>4.0</v>
      </c>
      <c r="AM450" s="50">
        <v>1.0</v>
      </c>
      <c r="AN450" s="50" t="s">
        <v>10629</v>
      </c>
      <c r="AO450" s="117">
        <v>5516.0</v>
      </c>
      <c r="AP450" s="50" t="s">
        <v>12700</v>
      </c>
      <c r="AQ450" s="50" t="s">
        <v>12701</v>
      </c>
      <c r="AR450" s="117">
        <v>450.0</v>
      </c>
    </row>
    <row r="451">
      <c r="A451" s="50" t="s">
        <v>12686</v>
      </c>
      <c r="B451" s="50" t="s">
        <v>6876</v>
      </c>
      <c r="C451" s="50" t="s">
        <v>6877</v>
      </c>
      <c r="D451" s="50" t="s">
        <v>11623</v>
      </c>
      <c r="E451" s="144">
        <v>43794.0</v>
      </c>
      <c r="F451" s="50" t="s">
        <v>12702</v>
      </c>
      <c r="G451" s="50">
        <v>58.0</v>
      </c>
      <c r="H451" s="50">
        <v>1.0</v>
      </c>
      <c r="I451" s="50">
        <v>15.0</v>
      </c>
      <c r="J451" s="116"/>
      <c r="K451" s="50">
        <v>152.0</v>
      </c>
      <c r="L451" s="50" t="s">
        <v>659</v>
      </c>
      <c r="M451" s="50" t="s">
        <v>659</v>
      </c>
      <c r="N451" s="50" t="s">
        <v>12662</v>
      </c>
      <c r="O451" s="50" t="s">
        <v>12664</v>
      </c>
      <c r="P451" s="50" t="s">
        <v>12693</v>
      </c>
      <c r="Q451" s="50" t="s">
        <v>12694</v>
      </c>
      <c r="R451" s="116"/>
      <c r="S451" s="116"/>
      <c r="T451" s="116"/>
      <c r="U451" s="116"/>
      <c r="V451" s="116"/>
      <c r="W451" s="50">
        <v>6.0</v>
      </c>
      <c r="X451" s="50">
        <v>1.0</v>
      </c>
      <c r="Y451" s="50">
        <v>3.0</v>
      </c>
      <c r="Z451" s="50">
        <v>3.0</v>
      </c>
      <c r="AA451" s="50">
        <v>5.0</v>
      </c>
      <c r="AB451" s="50">
        <v>1.0</v>
      </c>
      <c r="AC451" s="50">
        <v>3.0</v>
      </c>
      <c r="AD451" s="50">
        <v>0.0</v>
      </c>
      <c r="AE451" s="50">
        <v>1.0</v>
      </c>
      <c r="AF451" s="50">
        <v>4.0</v>
      </c>
      <c r="AG451" s="50">
        <v>1.0</v>
      </c>
      <c r="AH451" s="50">
        <v>3.0</v>
      </c>
      <c r="AI451" s="50">
        <v>0.0</v>
      </c>
      <c r="AJ451" s="116"/>
      <c r="AK451" s="50" t="s">
        <v>12708</v>
      </c>
      <c r="AL451" s="50">
        <v>4.0</v>
      </c>
      <c r="AM451" s="50">
        <v>1.0</v>
      </c>
      <c r="AN451" s="50" t="s">
        <v>10629</v>
      </c>
      <c r="AO451" s="117">
        <v>5517.0</v>
      </c>
      <c r="AP451" s="50" t="s">
        <v>12710</v>
      </c>
      <c r="AQ451" s="50" t="s">
        <v>12711</v>
      </c>
      <c r="AR451" s="117">
        <v>451.0</v>
      </c>
    </row>
    <row r="452">
      <c r="A452" s="50" t="s">
        <v>12712</v>
      </c>
      <c r="B452" s="50" t="s">
        <v>6876</v>
      </c>
      <c r="C452" s="50" t="s">
        <v>6877</v>
      </c>
      <c r="D452" s="50" t="s">
        <v>11623</v>
      </c>
      <c r="E452" s="144">
        <v>43794.0</v>
      </c>
      <c r="F452" s="50" t="s">
        <v>12713</v>
      </c>
      <c r="G452" s="50">
        <v>58.0</v>
      </c>
      <c r="H452" s="50">
        <v>1.0</v>
      </c>
      <c r="I452" s="50">
        <v>15.0</v>
      </c>
      <c r="J452" s="116"/>
      <c r="K452" s="50">
        <v>152.0</v>
      </c>
      <c r="L452" s="50" t="s">
        <v>661</v>
      </c>
      <c r="M452" s="50" t="s">
        <v>661</v>
      </c>
      <c r="N452" s="50" t="s">
        <v>12662</v>
      </c>
      <c r="O452" s="50" t="s">
        <v>12664</v>
      </c>
      <c r="P452" s="50" t="s">
        <v>12714</v>
      </c>
      <c r="Q452" s="50" t="s">
        <v>12715</v>
      </c>
      <c r="R452" s="116"/>
      <c r="S452" s="116"/>
      <c r="T452" s="116"/>
      <c r="U452" s="116"/>
      <c r="V452" s="116"/>
      <c r="W452" s="50">
        <v>6.0</v>
      </c>
      <c r="X452" s="50">
        <v>1.0</v>
      </c>
      <c r="Y452" s="50">
        <v>3.0</v>
      </c>
      <c r="Z452" s="50">
        <v>10.0</v>
      </c>
      <c r="AA452" s="50">
        <v>5.0</v>
      </c>
      <c r="AB452" s="50">
        <v>1.0</v>
      </c>
      <c r="AC452" s="50">
        <v>3.0</v>
      </c>
      <c r="AD452" s="50">
        <v>0.0</v>
      </c>
      <c r="AE452" s="50">
        <v>1.0</v>
      </c>
      <c r="AF452" s="50">
        <v>4.0</v>
      </c>
      <c r="AG452" s="50">
        <v>1.0</v>
      </c>
      <c r="AH452" s="50">
        <v>3.0</v>
      </c>
      <c r="AI452" s="50">
        <v>0.0</v>
      </c>
      <c r="AJ452" s="116"/>
      <c r="AK452" s="50" t="s">
        <v>12719</v>
      </c>
      <c r="AL452" s="50">
        <v>4.0</v>
      </c>
      <c r="AM452" s="50">
        <v>1.0</v>
      </c>
      <c r="AN452" s="50" t="s">
        <v>10629</v>
      </c>
      <c r="AO452" s="117">
        <v>5518.0</v>
      </c>
      <c r="AP452" s="50" t="s">
        <v>12721</v>
      </c>
      <c r="AQ452" s="50" t="s">
        <v>12723</v>
      </c>
      <c r="AR452" s="117">
        <v>452.0</v>
      </c>
    </row>
    <row r="453">
      <c r="A453" s="50" t="s">
        <v>12713</v>
      </c>
      <c r="B453" s="50" t="s">
        <v>6876</v>
      </c>
      <c r="C453" s="50" t="s">
        <v>6877</v>
      </c>
      <c r="D453" s="50" t="s">
        <v>11623</v>
      </c>
      <c r="E453" s="144">
        <v>43794.0</v>
      </c>
      <c r="F453" s="50" t="s">
        <v>12727</v>
      </c>
      <c r="G453" s="50">
        <v>58.0</v>
      </c>
      <c r="H453" s="50">
        <v>1.0</v>
      </c>
      <c r="I453" s="50">
        <v>99.0</v>
      </c>
      <c r="J453" s="116"/>
      <c r="K453" s="116"/>
      <c r="L453" s="50" t="s">
        <v>664</v>
      </c>
      <c r="M453" s="50" t="s">
        <v>664</v>
      </c>
      <c r="N453" s="50" t="s">
        <v>12662</v>
      </c>
      <c r="O453" s="50" t="s">
        <v>12631</v>
      </c>
      <c r="P453" s="50" t="s">
        <v>12731</v>
      </c>
      <c r="Q453" s="50" t="s">
        <v>12733</v>
      </c>
      <c r="R453" s="116"/>
      <c r="S453" s="116"/>
      <c r="T453" s="116"/>
      <c r="U453" s="116"/>
      <c r="V453" s="116"/>
      <c r="W453" s="50">
        <v>7.0</v>
      </c>
      <c r="X453" s="50">
        <v>100.0</v>
      </c>
      <c r="Y453" s="50">
        <v>3.0</v>
      </c>
      <c r="Z453" s="50">
        <v>0.0</v>
      </c>
      <c r="AA453" s="116"/>
      <c r="AB453" s="116"/>
      <c r="AC453" s="116"/>
      <c r="AD453" s="116"/>
      <c r="AE453" s="116"/>
      <c r="AF453" s="116"/>
      <c r="AG453" s="116"/>
      <c r="AH453" s="116"/>
      <c r="AI453" s="116"/>
      <c r="AJ453" s="116"/>
      <c r="AK453" s="50" t="s">
        <v>12734</v>
      </c>
      <c r="AL453" s="50">
        <v>4.0</v>
      </c>
      <c r="AM453" s="50">
        <v>1.0</v>
      </c>
      <c r="AN453" s="50" t="s">
        <v>10629</v>
      </c>
      <c r="AO453" s="117">
        <v>5519.0</v>
      </c>
      <c r="AP453" s="50" t="s">
        <v>12735</v>
      </c>
      <c r="AQ453" s="50" t="s">
        <v>12736</v>
      </c>
      <c r="AR453" s="117">
        <v>453.0</v>
      </c>
    </row>
    <row r="454">
      <c r="A454" s="50" t="s">
        <v>12727</v>
      </c>
      <c r="B454" s="50" t="s">
        <v>6876</v>
      </c>
      <c r="C454" s="50" t="s">
        <v>6877</v>
      </c>
      <c r="D454" s="50" t="s">
        <v>11623</v>
      </c>
      <c r="E454" s="144">
        <v>43794.0</v>
      </c>
      <c r="F454" s="50" t="s">
        <v>12739</v>
      </c>
      <c r="G454" s="50">
        <v>33.0</v>
      </c>
      <c r="H454" s="50">
        <v>1.0</v>
      </c>
      <c r="I454" s="50">
        <v>98.0</v>
      </c>
      <c r="J454" s="116"/>
      <c r="K454" s="116"/>
      <c r="L454" s="50" t="s">
        <v>1651</v>
      </c>
      <c r="M454" s="50" t="s">
        <v>1651</v>
      </c>
      <c r="N454" s="50" t="s">
        <v>12662</v>
      </c>
      <c r="O454" s="50" t="s">
        <v>12631</v>
      </c>
      <c r="P454" s="50" t="s">
        <v>12731</v>
      </c>
      <c r="Q454" s="50" t="s">
        <v>12733</v>
      </c>
      <c r="R454" s="116"/>
      <c r="S454" s="116"/>
      <c r="T454" s="116"/>
      <c r="U454" s="116"/>
      <c r="V454" s="116"/>
      <c r="W454" s="50">
        <v>7.0</v>
      </c>
      <c r="X454" s="50">
        <v>100.0</v>
      </c>
      <c r="Y454" s="50">
        <v>3.0</v>
      </c>
      <c r="Z454" s="50">
        <v>0.0</v>
      </c>
      <c r="AA454" s="116"/>
      <c r="AB454" s="116"/>
      <c r="AC454" s="116"/>
      <c r="AD454" s="116"/>
      <c r="AE454" s="116"/>
      <c r="AF454" s="116"/>
      <c r="AG454" s="116"/>
      <c r="AH454" s="116"/>
      <c r="AI454" s="116"/>
      <c r="AJ454" s="116"/>
      <c r="AK454" s="50" t="s">
        <v>11376</v>
      </c>
      <c r="AL454" s="50">
        <v>4.0</v>
      </c>
      <c r="AM454" s="50">
        <v>1.0</v>
      </c>
      <c r="AN454" s="50" t="s">
        <v>10629</v>
      </c>
      <c r="AO454" s="117">
        <v>5520.0</v>
      </c>
      <c r="AP454" s="50" t="s">
        <v>12744</v>
      </c>
      <c r="AQ454" s="50" t="s">
        <v>12745</v>
      </c>
      <c r="AR454" s="117">
        <v>454.0</v>
      </c>
    </row>
    <row r="455">
      <c r="A455" s="50" t="s">
        <v>12746</v>
      </c>
      <c r="B455" s="50" t="s">
        <v>6876</v>
      </c>
      <c r="C455" s="50" t="s">
        <v>6877</v>
      </c>
      <c r="D455" s="50" t="s">
        <v>11623</v>
      </c>
      <c r="E455" s="144">
        <v>43794.0</v>
      </c>
      <c r="F455" s="50" t="s">
        <v>12748</v>
      </c>
      <c r="G455" s="50">
        <v>59.0</v>
      </c>
      <c r="H455" s="50">
        <v>1.0</v>
      </c>
      <c r="I455" s="50">
        <v>11.0</v>
      </c>
      <c r="J455" s="116"/>
      <c r="K455" s="116"/>
      <c r="L455" s="50" t="s">
        <v>1657</v>
      </c>
      <c r="M455" s="50" t="s">
        <v>1657</v>
      </c>
      <c r="N455" s="50" t="s">
        <v>12751</v>
      </c>
      <c r="O455" s="50" t="s">
        <v>12753</v>
      </c>
      <c r="P455" s="50" t="s">
        <v>12755</v>
      </c>
      <c r="Q455" s="50" t="s">
        <v>12756</v>
      </c>
      <c r="R455" s="116"/>
      <c r="S455" s="116"/>
      <c r="T455" s="116"/>
      <c r="U455" s="116"/>
      <c r="V455" s="116"/>
      <c r="W455" s="50">
        <v>3.0</v>
      </c>
      <c r="X455" s="50">
        <v>1.0</v>
      </c>
      <c r="Y455" s="50">
        <v>3.0</v>
      </c>
      <c r="Z455" s="50">
        <v>101.0</v>
      </c>
      <c r="AA455" s="50">
        <v>2.0</v>
      </c>
      <c r="AB455" s="50">
        <v>1.0</v>
      </c>
      <c r="AC455" s="50">
        <v>3.0</v>
      </c>
      <c r="AD455" s="50">
        <v>15.0</v>
      </c>
      <c r="AE455" s="50">
        <v>1.0</v>
      </c>
      <c r="AF455" s="50">
        <v>1.0</v>
      </c>
      <c r="AG455" s="50">
        <v>1.0</v>
      </c>
      <c r="AH455" s="50">
        <v>3.0</v>
      </c>
      <c r="AI455" s="50">
        <v>0.0</v>
      </c>
      <c r="AJ455" s="116"/>
      <c r="AK455" s="50" t="s">
        <v>12762</v>
      </c>
      <c r="AL455" s="50">
        <v>4.0</v>
      </c>
      <c r="AM455" s="50">
        <v>1.0</v>
      </c>
      <c r="AN455" s="50" t="s">
        <v>10629</v>
      </c>
      <c r="AO455" s="117">
        <v>5521.0</v>
      </c>
      <c r="AP455" s="50" t="s">
        <v>12763</v>
      </c>
      <c r="AQ455" s="50" t="s">
        <v>12765</v>
      </c>
      <c r="AR455" s="117">
        <v>455.0</v>
      </c>
    </row>
    <row r="456">
      <c r="A456" s="50" t="s">
        <v>12766</v>
      </c>
      <c r="B456" s="50" t="s">
        <v>6876</v>
      </c>
      <c r="C456" s="50" t="s">
        <v>6877</v>
      </c>
      <c r="D456" s="50" t="s">
        <v>11623</v>
      </c>
      <c r="E456" s="144">
        <v>43794.0</v>
      </c>
      <c r="F456" s="50" t="s">
        <v>12768</v>
      </c>
      <c r="G456" s="50">
        <v>59.0</v>
      </c>
      <c r="H456" s="50">
        <v>1.0</v>
      </c>
      <c r="I456" s="50">
        <v>99.0</v>
      </c>
      <c r="J456" s="116"/>
      <c r="K456" s="116"/>
      <c r="L456" s="50" t="s">
        <v>298</v>
      </c>
      <c r="M456" s="50" t="s">
        <v>298</v>
      </c>
      <c r="N456" s="50" t="s">
        <v>12751</v>
      </c>
      <c r="O456" s="50" t="s">
        <v>12773</v>
      </c>
      <c r="P456" s="50" t="s">
        <v>12774</v>
      </c>
      <c r="Q456" s="50" t="s">
        <v>12775</v>
      </c>
      <c r="R456" s="116"/>
      <c r="S456" s="116"/>
      <c r="T456" s="116"/>
      <c r="U456" s="116"/>
      <c r="V456" s="116"/>
      <c r="W456" s="50">
        <v>7.0</v>
      </c>
      <c r="X456" s="50">
        <v>100.0</v>
      </c>
      <c r="Y456" s="50">
        <v>3.0</v>
      </c>
      <c r="Z456" s="50">
        <v>0.0</v>
      </c>
      <c r="AA456" s="116"/>
      <c r="AB456" s="116"/>
      <c r="AC456" s="116"/>
      <c r="AD456" s="116"/>
      <c r="AE456" s="116"/>
      <c r="AF456" s="116"/>
      <c r="AG456" s="116"/>
      <c r="AH456" s="116"/>
      <c r="AI456" s="116"/>
      <c r="AJ456" s="116"/>
      <c r="AK456" s="50" t="s">
        <v>12778</v>
      </c>
      <c r="AL456" s="50">
        <v>4.0</v>
      </c>
      <c r="AM456" s="50">
        <v>1.0</v>
      </c>
      <c r="AN456" s="50" t="s">
        <v>10629</v>
      </c>
      <c r="AO456" s="117">
        <v>5522.0</v>
      </c>
      <c r="AP456" s="50" t="s">
        <v>12779</v>
      </c>
      <c r="AQ456" s="50" t="s">
        <v>12780</v>
      </c>
      <c r="AR456" s="117">
        <v>456.0</v>
      </c>
    </row>
    <row r="457">
      <c r="A457" s="50" t="s">
        <v>12781</v>
      </c>
      <c r="B457" s="50" t="s">
        <v>6876</v>
      </c>
      <c r="C457" s="50" t="s">
        <v>6877</v>
      </c>
      <c r="D457" s="50" t="s">
        <v>11623</v>
      </c>
      <c r="E457" s="144">
        <v>43794.0</v>
      </c>
      <c r="F457" s="50" t="s">
        <v>12782</v>
      </c>
      <c r="G457" s="50">
        <v>59.0</v>
      </c>
      <c r="H457" s="50">
        <v>1.0</v>
      </c>
      <c r="I457" s="50">
        <v>11.0</v>
      </c>
      <c r="J457" s="116"/>
      <c r="K457" s="116"/>
      <c r="L457" s="50" t="s">
        <v>1658</v>
      </c>
      <c r="M457" s="50" t="s">
        <v>1658</v>
      </c>
      <c r="N457" s="50" t="s">
        <v>12751</v>
      </c>
      <c r="O457" s="50" t="s">
        <v>12753</v>
      </c>
      <c r="P457" s="50" t="s">
        <v>12755</v>
      </c>
      <c r="Q457" s="50" t="s">
        <v>12756</v>
      </c>
      <c r="R457" s="116"/>
      <c r="S457" s="116"/>
      <c r="T457" s="116"/>
      <c r="U457" s="116"/>
      <c r="V457" s="116"/>
      <c r="W457" s="50">
        <v>3.0</v>
      </c>
      <c r="X457" s="50">
        <v>1.0</v>
      </c>
      <c r="Y457" s="50">
        <v>3.0</v>
      </c>
      <c r="Z457" s="50">
        <v>29.0</v>
      </c>
      <c r="AA457" s="50">
        <v>2.0</v>
      </c>
      <c r="AB457" s="50">
        <v>1.0</v>
      </c>
      <c r="AC457" s="50">
        <v>3.0</v>
      </c>
      <c r="AD457" s="50">
        <v>2.0</v>
      </c>
      <c r="AE457" s="50">
        <v>1.0</v>
      </c>
      <c r="AF457" s="50">
        <v>1.0</v>
      </c>
      <c r="AG457" s="50">
        <v>1.0</v>
      </c>
      <c r="AH457" s="50">
        <v>3.0</v>
      </c>
      <c r="AI457" s="50">
        <v>0.0</v>
      </c>
      <c r="AJ457" s="116"/>
      <c r="AK457" s="50" t="s">
        <v>12790</v>
      </c>
      <c r="AL457" s="50">
        <v>4.0</v>
      </c>
      <c r="AM457" s="50">
        <v>1.0</v>
      </c>
      <c r="AN457" s="50" t="s">
        <v>10629</v>
      </c>
      <c r="AO457" s="117">
        <v>5523.0</v>
      </c>
      <c r="AP457" s="50" t="s">
        <v>12795</v>
      </c>
      <c r="AQ457" s="50" t="s">
        <v>12796</v>
      </c>
      <c r="AR457" s="117">
        <v>457.0</v>
      </c>
    </row>
    <row r="458">
      <c r="A458" s="50" t="s">
        <v>12782</v>
      </c>
      <c r="B458" s="50" t="s">
        <v>6876</v>
      </c>
      <c r="C458" s="50" t="s">
        <v>6877</v>
      </c>
      <c r="D458" s="50" t="s">
        <v>11623</v>
      </c>
      <c r="E458" s="144">
        <v>43794.0</v>
      </c>
      <c r="F458" s="50" t="s">
        <v>12798</v>
      </c>
      <c r="G458" s="50">
        <v>59.0</v>
      </c>
      <c r="H458" s="50">
        <v>1.0</v>
      </c>
      <c r="I458" s="50">
        <v>99.0</v>
      </c>
      <c r="J458" s="116"/>
      <c r="K458" s="116"/>
      <c r="L458" s="50" t="s">
        <v>300</v>
      </c>
      <c r="M458" s="50" t="s">
        <v>300</v>
      </c>
      <c r="N458" s="50" t="s">
        <v>12751</v>
      </c>
      <c r="O458" s="50" t="s">
        <v>12773</v>
      </c>
      <c r="P458" s="50" t="s">
        <v>12774</v>
      </c>
      <c r="Q458" s="50" t="s">
        <v>12775</v>
      </c>
      <c r="R458" s="116"/>
      <c r="S458" s="116"/>
      <c r="T458" s="116"/>
      <c r="U458" s="116"/>
      <c r="V458" s="116"/>
      <c r="W458" s="50">
        <v>7.0</v>
      </c>
      <c r="X458" s="50">
        <v>100.0</v>
      </c>
      <c r="Y458" s="50">
        <v>3.0</v>
      </c>
      <c r="Z458" s="50">
        <v>0.0</v>
      </c>
      <c r="AA458" s="116"/>
      <c r="AB458" s="116"/>
      <c r="AC458" s="116"/>
      <c r="AD458" s="116"/>
      <c r="AE458" s="116"/>
      <c r="AF458" s="116"/>
      <c r="AG458" s="116"/>
      <c r="AH458" s="116"/>
      <c r="AI458" s="116"/>
      <c r="AJ458" s="116"/>
      <c r="AK458" s="50" t="s">
        <v>12803</v>
      </c>
      <c r="AL458" s="50">
        <v>4.0</v>
      </c>
      <c r="AM458" s="50">
        <v>1.0</v>
      </c>
      <c r="AN458" s="50" t="s">
        <v>10629</v>
      </c>
      <c r="AO458" s="117">
        <v>5524.0</v>
      </c>
      <c r="AP458" s="50" t="s">
        <v>12804</v>
      </c>
      <c r="AQ458" s="50" t="s">
        <v>12805</v>
      </c>
      <c r="AR458" s="117">
        <v>458.0</v>
      </c>
    </row>
    <row r="459">
      <c r="A459" s="50" t="s">
        <v>12798</v>
      </c>
      <c r="B459" s="50" t="s">
        <v>6876</v>
      </c>
      <c r="C459" s="50" t="s">
        <v>6877</v>
      </c>
      <c r="D459" s="50" t="s">
        <v>11623</v>
      </c>
      <c r="E459" s="144">
        <v>43794.0</v>
      </c>
      <c r="F459" s="50" t="s">
        <v>12806</v>
      </c>
      <c r="G459" s="50">
        <v>59.0</v>
      </c>
      <c r="H459" s="50">
        <v>1.0</v>
      </c>
      <c r="I459" s="50">
        <v>11.0</v>
      </c>
      <c r="J459" s="116"/>
      <c r="K459" s="116"/>
      <c r="L459" s="50" t="s">
        <v>1659</v>
      </c>
      <c r="M459" s="50" t="s">
        <v>1659</v>
      </c>
      <c r="N459" s="50" t="s">
        <v>12751</v>
      </c>
      <c r="O459" s="50" t="s">
        <v>12753</v>
      </c>
      <c r="P459" s="50" t="s">
        <v>12755</v>
      </c>
      <c r="Q459" s="50" t="s">
        <v>12756</v>
      </c>
      <c r="R459" s="116"/>
      <c r="S459" s="116"/>
      <c r="T459" s="116"/>
      <c r="U459" s="116"/>
      <c r="V459" s="116"/>
      <c r="W459" s="50">
        <v>3.0</v>
      </c>
      <c r="X459" s="50">
        <v>1.0</v>
      </c>
      <c r="Y459" s="50">
        <v>3.0</v>
      </c>
      <c r="Z459" s="50">
        <v>4.0</v>
      </c>
      <c r="AA459" s="50">
        <v>2.0</v>
      </c>
      <c r="AB459" s="50">
        <v>1.0</v>
      </c>
      <c r="AC459" s="50">
        <v>3.0</v>
      </c>
      <c r="AD459" s="50">
        <v>0.0</v>
      </c>
      <c r="AE459" s="50">
        <v>1.0</v>
      </c>
      <c r="AF459" s="50">
        <v>1.0</v>
      </c>
      <c r="AG459" s="50">
        <v>1.0</v>
      </c>
      <c r="AH459" s="50">
        <v>3.0</v>
      </c>
      <c r="AI459" s="50">
        <v>0.0</v>
      </c>
      <c r="AJ459" s="116"/>
      <c r="AK459" s="50" t="s">
        <v>12809</v>
      </c>
      <c r="AL459" s="50">
        <v>4.0</v>
      </c>
      <c r="AM459" s="50">
        <v>1.0</v>
      </c>
      <c r="AN459" s="50" t="s">
        <v>10629</v>
      </c>
      <c r="AO459" s="117">
        <v>5525.0</v>
      </c>
      <c r="AP459" s="50" t="s">
        <v>12810</v>
      </c>
      <c r="AQ459" s="50" t="s">
        <v>12811</v>
      </c>
      <c r="AR459" s="117">
        <v>459.0</v>
      </c>
    </row>
    <row r="460">
      <c r="A460" s="50" t="s">
        <v>12812</v>
      </c>
      <c r="B460" s="50" t="s">
        <v>6876</v>
      </c>
      <c r="C460" s="50" t="s">
        <v>6877</v>
      </c>
      <c r="D460" s="50" t="s">
        <v>11623</v>
      </c>
      <c r="E460" s="144">
        <v>43794.0</v>
      </c>
      <c r="F460" s="50" t="s">
        <v>12813</v>
      </c>
      <c r="G460" s="50">
        <v>59.0</v>
      </c>
      <c r="H460" s="50">
        <v>1.0</v>
      </c>
      <c r="I460" s="50">
        <v>99.0</v>
      </c>
      <c r="J460" s="116"/>
      <c r="K460" s="116"/>
      <c r="L460" s="50" t="s">
        <v>302</v>
      </c>
      <c r="M460" s="50" t="s">
        <v>302</v>
      </c>
      <c r="N460" s="50" t="s">
        <v>12751</v>
      </c>
      <c r="O460" s="50" t="s">
        <v>12773</v>
      </c>
      <c r="P460" s="50" t="s">
        <v>12774</v>
      </c>
      <c r="Q460" s="50" t="s">
        <v>12775</v>
      </c>
      <c r="R460" s="116"/>
      <c r="S460" s="116"/>
      <c r="T460" s="116"/>
      <c r="U460" s="116"/>
      <c r="V460" s="116"/>
      <c r="W460" s="50">
        <v>7.0</v>
      </c>
      <c r="X460" s="50">
        <v>100.0</v>
      </c>
      <c r="Y460" s="50">
        <v>3.0</v>
      </c>
      <c r="Z460" s="50">
        <v>0.0</v>
      </c>
      <c r="AA460" s="116"/>
      <c r="AB460" s="116"/>
      <c r="AC460" s="116"/>
      <c r="AD460" s="116"/>
      <c r="AE460" s="116"/>
      <c r="AF460" s="116"/>
      <c r="AG460" s="116"/>
      <c r="AH460" s="116"/>
      <c r="AI460" s="116"/>
      <c r="AJ460" s="116"/>
      <c r="AK460" s="50" t="s">
        <v>12823</v>
      </c>
      <c r="AL460" s="50">
        <v>4.0</v>
      </c>
      <c r="AM460" s="50">
        <v>1.0</v>
      </c>
      <c r="AN460" s="50" t="s">
        <v>10629</v>
      </c>
      <c r="AO460" s="117">
        <v>5526.0</v>
      </c>
      <c r="AP460" s="50" t="s">
        <v>12824</v>
      </c>
      <c r="AQ460" s="50" t="s">
        <v>12825</v>
      </c>
      <c r="AR460" s="117">
        <v>460.0</v>
      </c>
    </row>
    <row r="461">
      <c r="A461" s="50" t="s">
        <v>12813</v>
      </c>
      <c r="B461" s="50" t="s">
        <v>6876</v>
      </c>
      <c r="C461" s="50" t="s">
        <v>6877</v>
      </c>
      <c r="D461" s="50" t="s">
        <v>11623</v>
      </c>
      <c r="E461" s="144">
        <v>43794.0</v>
      </c>
      <c r="F461" s="50" t="s">
        <v>12828</v>
      </c>
      <c r="G461" s="50">
        <v>58.0</v>
      </c>
      <c r="H461" s="50">
        <v>1.0</v>
      </c>
      <c r="I461" s="50">
        <v>11.0</v>
      </c>
      <c r="J461" s="116"/>
      <c r="K461" s="116"/>
      <c r="L461" s="50" t="s">
        <v>1660</v>
      </c>
      <c r="M461" s="50" t="s">
        <v>1660</v>
      </c>
      <c r="N461" s="50" t="s">
        <v>12751</v>
      </c>
      <c r="O461" s="50" t="s">
        <v>12753</v>
      </c>
      <c r="P461" s="50" t="s">
        <v>12755</v>
      </c>
      <c r="Q461" s="50" t="s">
        <v>12756</v>
      </c>
      <c r="R461" s="116"/>
      <c r="S461" s="116"/>
      <c r="T461" s="116"/>
      <c r="U461" s="116"/>
      <c r="V461" s="116"/>
      <c r="W461" s="50">
        <v>3.0</v>
      </c>
      <c r="X461" s="50">
        <v>1.0</v>
      </c>
      <c r="Y461" s="50">
        <v>3.0</v>
      </c>
      <c r="Z461" s="50">
        <v>1.0</v>
      </c>
      <c r="AA461" s="50">
        <v>2.0</v>
      </c>
      <c r="AB461" s="50">
        <v>1.0</v>
      </c>
      <c r="AC461" s="50">
        <v>3.0</v>
      </c>
      <c r="AD461" s="50">
        <v>1.0</v>
      </c>
      <c r="AE461" s="50">
        <v>1.0</v>
      </c>
      <c r="AF461" s="50">
        <v>1.0</v>
      </c>
      <c r="AG461" s="50">
        <v>1.0</v>
      </c>
      <c r="AH461" s="50">
        <v>3.0</v>
      </c>
      <c r="AI461" s="50">
        <v>0.0</v>
      </c>
      <c r="AJ461" s="116"/>
      <c r="AK461" s="50" t="s">
        <v>12832</v>
      </c>
      <c r="AL461" s="50">
        <v>4.0</v>
      </c>
      <c r="AM461" s="50">
        <v>1.0</v>
      </c>
      <c r="AN461" s="50" t="s">
        <v>10629</v>
      </c>
      <c r="AO461" s="117">
        <v>5527.0</v>
      </c>
      <c r="AP461" s="50" t="s">
        <v>12833</v>
      </c>
      <c r="AQ461" s="50" t="s">
        <v>12834</v>
      </c>
      <c r="AR461" s="117">
        <v>461.0</v>
      </c>
    </row>
    <row r="462">
      <c r="A462" s="50" t="s">
        <v>12835</v>
      </c>
      <c r="B462" s="50" t="s">
        <v>6876</v>
      </c>
      <c r="C462" s="50" t="s">
        <v>6877</v>
      </c>
      <c r="D462" s="50" t="s">
        <v>11623</v>
      </c>
      <c r="E462" s="144">
        <v>43794.0</v>
      </c>
      <c r="F462" s="50" t="s">
        <v>12836</v>
      </c>
      <c r="G462" s="50">
        <v>58.0</v>
      </c>
      <c r="H462" s="50">
        <v>1.0</v>
      </c>
      <c r="I462" s="50">
        <v>99.0</v>
      </c>
      <c r="J462" s="116"/>
      <c r="K462" s="116"/>
      <c r="L462" s="50" t="s">
        <v>304</v>
      </c>
      <c r="M462" s="50" t="s">
        <v>304</v>
      </c>
      <c r="N462" s="50" t="s">
        <v>12751</v>
      </c>
      <c r="O462" s="50" t="s">
        <v>12773</v>
      </c>
      <c r="P462" s="50" t="s">
        <v>12774</v>
      </c>
      <c r="Q462" s="50" t="s">
        <v>12775</v>
      </c>
      <c r="R462" s="116"/>
      <c r="S462" s="116"/>
      <c r="T462" s="116"/>
      <c r="U462" s="116"/>
      <c r="V462" s="116"/>
      <c r="W462" s="50">
        <v>7.0</v>
      </c>
      <c r="X462" s="50">
        <v>100.0</v>
      </c>
      <c r="Y462" s="50">
        <v>3.0</v>
      </c>
      <c r="Z462" s="50">
        <v>0.0</v>
      </c>
      <c r="AA462" s="116"/>
      <c r="AB462" s="116"/>
      <c r="AC462" s="116"/>
      <c r="AD462" s="116"/>
      <c r="AE462" s="116"/>
      <c r="AF462" s="116"/>
      <c r="AG462" s="116"/>
      <c r="AH462" s="116"/>
      <c r="AI462" s="116"/>
      <c r="AJ462" s="116"/>
      <c r="AK462" s="50" t="s">
        <v>12843</v>
      </c>
      <c r="AL462" s="50">
        <v>4.0</v>
      </c>
      <c r="AM462" s="50">
        <v>1.0</v>
      </c>
      <c r="AN462" s="50" t="s">
        <v>10629</v>
      </c>
      <c r="AO462" s="117">
        <v>5528.0</v>
      </c>
      <c r="AP462" s="50" t="s">
        <v>12844</v>
      </c>
      <c r="AQ462" s="50" t="s">
        <v>12845</v>
      </c>
      <c r="AR462" s="117">
        <v>462.0</v>
      </c>
    </row>
    <row r="463">
      <c r="A463" s="50" t="s">
        <v>12846</v>
      </c>
      <c r="B463" s="50" t="s">
        <v>6876</v>
      </c>
      <c r="C463" s="50" t="s">
        <v>6877</v>
      </c>
      <c r="D463" s="50" t="s">
        <v>11623</v>
      </c>
      <c r="E463" s="144">
        <v>43794.0</v>
      </c>
      <c r="F463" s="50" t="s">
        <v>12848</v>
      </c>
      <c r="G463" s="50">
        <v>66.0</v>
      </c>
      <c r="H463" s="50">
        <v>1.0</v>
      </c>
      <c r="I463" s="50">
        <v>99.0</v>
      </c>
      <c r="J463" s="116"/>
      <c r="K463" s="116"/>
      <c r="L463" s="50" t="s">
        <v>306</v>
      </c>
      <c r="M463" s="50" t="s">
        <v>306</v>
      </c>
      <c r="N463" s="50" t="s">
        <v>12751</v>
      </c>
      <c r="O463" s="50" t="s">
        <v>12773</v>
      </c>
      <c r="P463" s="50" t="s">
        <v>12774</v>
      </c>
      <c r="Q463" s="50" t="s">
        <v>12775</v>
      </c>
      <c r="R463" s="116"/>
      <c r="S463" s="116"/>
      <c r="T463" s="116"/>
      <c r="U463" s="116"/>
      <c r="V463" s="116"/>
      <c r="W463" s="50">
        <v>7.0</v>
      </c>
      <c r="X463" s="50">
        <v>100.0</v>
      </c>
      <c r="Y463" s="50">
        <v>3.0</v>
      </c>
      <c r="Z463" s="50">
        <v>0.0</v>
      </c>
      <c r="AA463" s="116"/>
      <c r="AB463" s="116"/>
      <c r="AC463" s="116"/>
      <c r="AD463" s="116"/>
      <c r="AE463" s="116"/>
      <c r="AF463" s="116"/>
      <c r="AG463" s="116"/>
      <c r="AH463" s="116"/>
      <c r="AI463" s="116"/>
      <c r="AJ463" s="116"/>
      <c r="AK463" s="50" t="s">
        <v>12853</v>
      </c>
      <c r="AL463" s="50">
        <v>4.0</v>
      </c>
      <c r="AM463" s="50">
        <v>1.0</v>
      </c>
      <c r="AN463" s="50" t="s">
        <v>10629</v>
      </c>
      <c r="AO463" s="117">
        <v>5529.0</v>
      </c>
      <c r="AP463" s="50" t="s">
        <v>12854</v>
      </c>
      <c r="AQ463" s="50" t="s">
        <v>12855</v>
      </c>
      <c r="AR463" s="117">
        <v>463.0</v>
      </c>
    </row>
    <row r="464">
      <c r="A464" s="50" t="s">
        <v>12858</v>
      </c>
      <c r="B464" s="50" t="s">
        <v>6876</v>
      </c>
      <c r="C464" s="50" t="s">
        <v>6877</v>
      </c>
      <c r="D464" s="50" t="s">
        <v>11623</v>
      </c>
      <c r="E464" s="144">
        <v>43794.0</v>
      </c>
      <c r="F464" s="50" t="s">
        <v>12859</v>
      </c>
      <c r="G464" s="50">
        <v>33.0</v>
      </c>
      <c r="H464" s="50">
        <v>1.0</v>
      </c>
      <c r="I464" s="50">
        <v>98.0</v>
      </c>
      <c r="J464" s="116"/>
      <c r="K464" s="116"/>
      <c r="L464" s="50" t="s">
        <v>1662</v>
      </c>
      <c r="M464" s="50" t="s">
        <v>1662</v>
      </c>
      <c r="N464" s="50" t="s">
        <v>12751</v>
      </c>
      <c r="O464" s="50" t="s">
        <v>12773</v>
      </c>
      <c r="P464" s="50" t="s">
        <v>12774</v>
      </c>
      <c r="Q464" s="50" t="s">
        <v>12775</v>
      </c>
      <c r="R464" s="116"/>
      <c r="S464" s="116"/>
      <c r="T464" s="116"/>
      <c r="U464" s="116"/>
      <c r="V464" s="116"/>
      <c r="W464" s="50">
        <v>7.0</v>
      </c>
      <c r="X464" s="50">
        <v>100.0</v>
      </c>
      <c r="Y464" s="50">
        <v>3.0</v>
      </c>
      <c r="Z464" s="50">
        <v>0.0</v>
      </c>
      <c r="AA464" s="116"/>
      <c r="AB464" s="116"/>
      <c r="AC464" s="116"/>
      <c r="AD464" s="116"/>
      <c r="AE464" s="116"/>
      <c r="AF464" s="116"/>
      <c r="AG464" s="116"/>
      <c r="AH464" s="116"/>
      <c r="AI464" s="116"/>
      <c r="AJ464" s="116"/>
      <c r="AK464" s="50" t="s">
        <v>11376</v>
      </c>
      <c r="AL464" s="50">
        <v>4.0</v>
      </c>
      <c r="AM464" s="50">
        <v>1.0</v>
      </c>
      <c r="AN464" s="50" t="s">
        <v>10629</v>
      </c>
      <c r="AO464" s="117">
        <v>5530.0</v>
      </c>
      <c r="AP464" s="50" t="s">
        <v>12865</v>
      </c>
      <c r="AQ464" s="50" t="s">
        <v>12867</v>
      </c>
      <c r="AR464" s="117">
        <v>464.0</v>
      </c>
    </row>
    <row r="465">
      <c r="A465" s="50" t="s">
        <v>12868</v>
      </c>
      <c r="B465" s="50" t="s">
        <v>6876</v>
      </c>
      <c r="C465" s="50" t="s">
        <v>6877</v>
      </c>
      <c r="D465" s="50" t="s">
        <v>11623</v>
      </c>
      <c r="E465" s="144">
        <v>43794.0</v>
      </c>
      <c r="F465" s="50" t="s">
        <v>12869</v>
      </c>
      <c r="G465" s="50">
        <v>59.0</v>
      </c>
      <c r="H465" s="50">
        <v>1.0</v>
      </c>
      <c r="I465" s="50">
        <v>11.0</v>
      </c>
      <c r="J465" s="116"/>
      <c r="K465" s="116"/>
      <c r="L465" s="50" t="s">
        <v>1664</v>
      </c>
      <c r="M465" s="50" t="s">
        <v>1664</v>
      </c>
      <c r="N465" s="50" t="s">
        <v>12870</v>
      </c>
      <c r="O465" s="50" t="s">
        <v>12871</v>
      </c>
      <c r="P465" s="50" t="s">
        <v>12756</v>
      </c>
      <c r="Q465" s="50" t="s">
        <v>12872</v>
      </c>
      <c r="R465" s="116"/>
      <c r="S465" s="116"/>
      <c r="T465" s="116"/>
      <c r="U465" s="116"/>
      <c r="V465" s="116"/>
      <c r="W465" s="50">
        <v>3.0</v>
      </c>
      <c r="X465" s="50">
        <v>1.0</v>
      </c>
      <c r="Y465" s="50">
        <v>2.0</v>
      </c>
      <c r="Z465" s="116"/>
      <c r="AA465" s="50">
        <v>2.0</v>
      </c>
      <c r="AB465" s="50">
        <v>1.0</v>
      </c>
      <c r="AC465" s="50">
        <v>2.0</v>
      </c>
      <c r="AD465" s="116"/>
      <c r="AE465" s="50">
        <v>1.0</v>
      </c>
      <c r="AF465" s="50">
        <v>1.0</v>
      </c>
      <c r="AG465" s="50">
        <v>1.0</v>
      </c>
      <c r="AH465" s="50">
        <v>3.0</v>
      </c>
      <c r="AI465" s="50">
        <v>28.0</v>
      </c>
      <c r="AJ465" s="116"/>
      <c r="AK465" s="50" t="s">
        <v>12879</v>
      </c>
      <c r="AL465" s="50">
        <v>4.0</v>
      </c>
      <c r="AM465" s="50">
        <v>1.0</v>
      </c>
      <c r="AN465" s="50" t="s">
        <v>10629</v>
      </c>
      <c r="AO465" s="117">
        <v>5531.0</v>
      </c>
      <c r="AP465" s="50" t="s">
        <v>12881</v>
      </c>
      <c r="AQ465" s="50" t="s">
        <v>12882</v>
      </c>
      <c r="AR465" s="117">
        <v>465.0</v>
      </c>
    </row>
    <row r="466">
      <c r="A466" s="50" t="s">
        <v>12883</v>
      </c>
      <c r="B466" s="50" t="s">
        <v>6876</v>
      </c>
      <c r="C466" s="50" t="s">
        <v>6877</v>
      </c>
      <c r="D466" s="50" t="s">
        <v>11623</v>
      </c>
      <c r="E466" s="144">
        <v>43794.0</v>
      </c>
      <c r="F466" s="50" t="s">
        <v>12885</v>
      </c>
      <c r="G466" s="50">
        <v>59.0</v>
      </c>
      <c r="H466" s="50">
        <v>1.0</v>
      </c>
      <c r="I466" s="50">
        <v>99.0</v>
      </c>
      <c r="J466" s="116"/>
      <c r="K466" s="116"/>
      <c r="L466" s="50" t="s">
        <v>308</v>
      </c>
      <c r="M466" s="50" t="s">
        <v>308</v>
      </c>
      <c r="N466" s="50" t="s">
        <v>12870</v>
      </c>
      <c r="O466" s="50" t="s">
        <v>12888</v>
      </c>
      <c r="P466" s="50" t="s">
        <v>12775</v>
      </c>
      <c r="Q466" s="50" t="s">
        <v>12891</v>
      </c>
      <c r="R466" s="116"/>
      <c r="S466" s="116"/>
      <c r="T466" s="116"/>
      <c r="U466" s="116"/>
      <c r="V466" s="116"/>
      <c r="W466" s="50">
        <v>7.0</v>
      </c>
      <c r="X466" s="50">
        <v>100.0</v>
      </c>
      <c r="Y466" s="50">
        <v>3.0</v>
      </c>
      <c r="Z466" s="50">
        <v>0.0</v>
      </c>
      <c r="AA466" s="116"/>
      <c r="AB466" s="116"/>
      <c r="AC466" s="116"/>
      <c r="AD466" s="116"/>
      <c r="AE466" s="116"/>
      <c r="AF466" s="116"/>
      <c r="AG466" s="116"/>
      <c r="AH466" s="116"/>
      <c r="AI466" s="116"/>
      <c r="AJ466" s="116"/>
      <c r="AK466" s="50" t="s">
        <v>12897</v>
      </c>
      <c r="AL466" s="50">
        <v>4.0</v>
      </c>
      <c r="AM466" s="50">
        <v>1.0</v>
      </c>
      <c r="AN466" s="50" t="s">
        <v>10629</v>
      </c>
      <c r="AO466" s="117">
        <v>5532.0</v>
      </c>
      <c r="AP466" s="50" t="s">
        <v>12898</v>
      </c>
      <c r="AQ466" s="50" t="s">
        <v>12899</v>
      </c>
      <c r="AR466" s="117">
        <v>466.0</v>
      </c>
    </row>
    <row r="467">
      <c r="A467" s="50" t="s">
        <v>12902</v>
      </c>
      <c r="B467" s="50" t="s">
        <v>6876</v>
      </c>
      <c r="C467" s="50" t="s">
        <v>6877</v>
      </c>
      <c r="D467" s="50" t="s">
        <v>11623</v>
      </c>
      <c r="E467" s="144">
        <v>43794.0</v>
      </c>
      <c r="F467" s="50" t="s">
        <v>12903</v>
      </c>
      <c r="G467" s="50">
        <v>59.0</v>
      </c>
      <c r="H467" s="50">
        <v>1.0</v>
      </c>
      <c r="I467" s="50">
        <v>11.0</v>
      </c>
      <c r="J467" s="116"/>
      <c r="K467" s="116"/>
      <c r="L467" s="50" t="s">
        <v>1665</v>
      </c>
      <c r="M467" s="50" t="s">
        <v>1665</v>
      </c>
      <c r="N467" s="50" t="s">
        <v>12870</v>
      </c>
      <c r="O467" s="50" t="s">
        <v>12871</v>
      </c>
      <c r="P467" s="50" t="s">
        <v>12872</v>
      </c>
      <c r="Q467" s="50" t="s">
        <v>12905</v>
      </c>
      <c r="R467" s="116"/>
      <c r="S467" s="116"/>
      <c r="T467" s="116"/>
      <c r="U467" s="116"/>
      <c r="V467" s="116"/>
      <c r="W467" s="50">
        <v>3.0</v>
      </c>
      <c r="X467" s="50">
        <v>1.0</v>
      </c>
      <c r="Y467" s="50">
        <v>3.0</v>
      </c>
      <c r="Z467" s="50">
        <v>200.0</v>
      </c>
      <c r="AA467" s="50">
        <v>2.0</v>
      </c>
      <c r="AB467" s="50">
        <v>1.0</v>
      </c>
      <c r="AC467" s="50">
        <v>3.0</v>
      </c>
      <c r="AD467" s="50">
        <v>21.0</v>
      </c>
      <c r="AE467" s="50">
        <v>1.0</v>
      </c>
      <c r="AF467" s="50">
        <v>1.0</v>
      </c>
      <c r="AG467" s="50">
        <v>1.0</v>
      </c>
      <c r="AH467" s="50">
        <v>3.0</v>
      </c>
      <c r="AI467" s="50">
        <v>2.0</v>
      </c>
      <c r="AJ467" s="116"/>
      <c r="AK467" s="50" t="s">
        <v>12911</v>
      </c>
      <c r="AL467" s="50">
        <v>4.0</v>
      </c>
      <c r="AM467" s="50">
        <v>1.0</v>
      </c>
      <c r="AN467" s="50" t="s">
        <v>10629</v>
      </c>
      <c r="AO467" s="117">
        <v>5533.0</v>
      </c>
      <c r="AP467" s="50" t="s">
        <v>12913</v>
      </c>
      <c r="AQ467" s="50" t="s">
        <v>12914</v>
      </c>
      <c r="AR467" s="117">
        <v>467.0</v>
      </c>
    </row>
    <row r="468">
      <c r="A468" s="50" t="s">
        <v>12916</v>
      </c>
      <c r="B468" s="50" t="s">
        <v>6876</v>
      </c>
      <c r="C468" s="50" t="s">
        <v>6877</v>
      </c>
      <c r="D468" s="50" t="s">
        <v>11623</v>
      </c>
      <c r="E468" s="144">
        <v>43794.0</v>
      </c>
      <c r="F468" s="50" t="s">
        <v>12917</v>
      </c>
      <c r="G468" s="50">
        <v>59.0</v>
      </c>
      <c r="H468" s="50">
        <v>1.0</v>
      </c>
      <c r="I468" s="50">
        <v>99.0</v>
      </c>
      <c r="J468" s="116"/>
      <c r="K468" s="116"/>
      <c r="L468" s="50" t="s">
        <v>310</v>
      </c>
      <c r="M468" s="50" t="s">
        <v>310</v>
      </c>
      <c r="N468" s="50" t="s">
        <v>12870</v>
      </c>
      <c r="O468" s="50" t="s">
        <v>12888</v>
      </c>
      <c r="P468" s="50" t="s">
        <v>12775</v>
      </c>
      <c r="Q468" s="50" t="s">
        <v>12891</v>
      </c>
      <c r="R468" s="116"/>
      <c r="S468" s="116"/>
      <c r="T468" s="116"/>
      <c r="U468" s="116"/>
      <c r="V468" s="116"/>
      <c r="W468" s="50">
        <v>7.0</v>
      </c>
      <c r="X468" s="50">
        <v>100.0</v>
      </c>
      <c r="Y468" s="50">
        <v>3.0</v>
      </c>
      <c r="Z468" s="50">
        <v>0.0</v>
      </c>
      <c r="AA468" s="116"/>
      <c r="AB468" s="116"/>
      <c r="AC468" s="116"/>
      <c r="AD468" s="116"/>
      <c r="AE468" s="116"/>
      <c r="AF468" s="116"/>
      <c r="AG468" s="116"/>
      <c r="AH468" s="116"/>
      <c r="AI468" s="116"/>
      <c r="AJ468" s="116"/>
      <c r="AK468" s="50" t="s">
        <v>12920</v>
      </c>
      <c r="AL468" s="50">
        <v>4.0</v>
      </c>
      <c r="AM468" s="50">
        <v>1.0</v>
      </c>
      <c r="AN468" s="50" t="s">
        <v>10629</v>
      </c>
      <c r="AO468" s="117">
        <v>5534.0</v>
      </c>
      <c r="AP468" s="50" t="s">
        <v>12923</v>
      </c>
      <c r="AQ468" s="50" t="s">
        <v>12924</v>
      </c>
      <c r="AR468" s="117">
        <v>468.0</v>
      </c>
    </row>
    <row r="469">
      <c r="A469" s="50" t="s">
        <v>12925</v>
      </c>
      <c r="B469" s="50" t="s">
        <v>6876</v>
      </c>
      <c r="C469" s="50" t="s">
        <v>6877</v>
      </c>
      <c r="D469" s="50" t="s">
        <v>11623</v>
      </c>
      <c r="E469" s="144">
        <v>43794.0</v>
      </c>
      <c r="F469" s="50" t="s">
        <v>12926</v>
      </c>
      <c r="G469" s="50">
        <v>59.0</v>
      </c>
      <c r="H469" s="50">
        <v>1.0</v>
      </c>
      <c r="I469" s="50">
        <v>11.0</v>
      </c>
      <c r="J469" s="116"/>
      <c r="K469" s="116"/>
      <c r="L469" s="50" t="s">
        <v>1666</v>
      </c>
      <c r="M469" s="50" t="s">
        <v>1666</v>
      </c>
      <c r="N469" s="50" t="s">
        <v>12870</v>
      </c>
      <c r="O469" s="50" t="s">
        <v>12871</v>
      </c>
      <c r="P469" s="50" t="s">
        <v>12756</v>
      </c>
      <c r="Q469" s="50" t="s">
        <v>12872</v>
      </c>
      <c r="R469" s="116"/>
      <c r="S469" s="116"/>
      <c r="T469" s="116"/>
      <c r="U469" s="116"/>
      <c r="V469" s="116"/>
      <c r="W469" s="50">
        <v>3.0</v>
      </c>
      <c r="X469" s="50">
        <v>1.0</v>
      </c>
      <c r="Y469" s="50">
        <v>3.0</v>
      </c>
      <c r="Z469" s="50">
        <v>6.0</v>
      </c>
      <c r="AA469" s="50">
        <v>2.0</v>
      </c>
      <c r="AB469" s="50">
        <v>1.0</v>
      </c>
      <c r="AC469" s="50">
        <v>3.0</v>
      </c>
      <c r="AD469" s="50">
        <v>0.0</v>
      </c>
      <c r="AE469" s="50">
        <v>1.0</v>
      </c>
      <c r="AF469" s="50">
        <v>1.0</v>
      </c>
      <c r="AG469" s="50">
        <v>1.0</v>
      </c>
      <c r="AH469" s="50">
        <v>3.0</v>
      </c>
      <c r="AI469" s="50">
        <v>0.0</v>
      </c>
      <c r="AJ469" s="116"/>
      <c r="AK469" s="50" t="s">
        <v>12934</v>
      </c>
      <c r="AL469" s="50">
        <v>4.0</v>
      </c>
      <c r="AM469" s="50">
        <v>1.0</v>
      </c>
      <c r="AN469" s="50" t="s">
        <v>10629</v>
      </c>
      <c r="AO469" s="117">
        <v>5535.0</v>
      </c>
      <c r="AP469" s="50" t="s">
        <v>12937</v>
      </c>
      <c r="AQ469" s="50" t="s">
        <v>12940</v>
      </c>
      <c r="AR469" s="117">
        <v>469.0</v>
      </c>
    </row>
    <row r="470">
      <c r="A470" s="50" t="s">
        <v>12926</v>
      </c>
      <c r="B470" s="50" t="s">
        <v>6876</v>
      </c>
      <c r="C470" s="50" t="s">
        <v>6877</v>
      </c>
      <c r="D470" s="50" t="s">
        <v>11623</v>
      </c>
      <c r="E470" s="144">
        <v>43794.0</v>
      </c>
      <c r="F470" s="50" t="s">
        <v>12943</v>
      </c>
      <c r="G470" s="50">
        <v>59.0</v>
      </c>
      <c r="H470" s="50">
        <v>1.0</v>
      </c>
      <c r="I470" s="50">
        <v>99.0</v>
      </c>
      <c r="J470" s="116"/>
      <c r="K470" s="116"/>
      <c r="L470" s="50" t="s">
        <v>312</v>
      </c>
      <c r="M470" s="50" t="s">
        <v>312</v>
      </c>
      <c r="N470" s="50" t="s">
        <v>12870</v>
      </c>
      <c r="O470" s="50" t="s">
        <v>12888</v>
      </c>
      <c r="P470" s="50" t="s">
        <v>12775</v>
      </c>
      <c r="Q470" s="50" t="s">
        <v>12891</v>
      </c>
      <c r="R470" s="116"/>
      <c r="S470" s="116"/>
      <c r="T470" s="116"/>
      <c r="U470" s="116"/>
      <c r="V470" s="116"/>
      <c r="W470" s="50">
        <v>7.0</v>
      </c>
      <c r="X470" s="50">
        <v>100.0</v>
      </c>
      <c r="Y470" s="50">
        <v>3.0</v>
      </c>
      <c r="Z470" s="50">
        <v>0.0</v>
      </c>
      <c r="AA470" s="116"/>
      <c r="AB470" s="116"/>
      <c r="AC470" s="116"/>
      <c r="AD470" s="116"/>
      <c r="AE470" s="116"/>
      <c r="AF470" s="116"/>
      <c r="AG470" s="116"/>
      <c r="AH470" s="116"/>
      <c r="AI470" s="116"/>
      <c r="AJ470" s="116"/>
      <c r="AK470" s="50" t="s">
        <v>11376</v>
      </c>
      <c r="AL470" s="50">
        <v>4.0</v>
      </c>
      <c r="AM470" s="50">
        <v>1.0</v>
      </c>
      <c r="AN470" s="50" t="s">
        <v>10629</v>
      </c>
      <c r="AO470" s="117">
        <v>5536.0</v>
      </c>
      <c r="AP470" s="50" t="s">
        <v>12946</v>
      </c>
      <c r="AQ470" s="50" t="s">
        <v>12947</v>
      </c>
      <c r="AR470" s="117">
        <v>470.0</v>
      </c>
    </row>
    <row r="471">
      <c r="A471" s="50" t="s">
        <v>12943</v>
      </c>
      <c r="B471" s="50" t="s">
        <v>6876</v>
      </c>
      <c r="C471" s="50" t="s">
        <v>6877</v>
      </c>
      <c r="D471" s="50" t="s">
        <v>11623</v>
      </c>
      <c r="E471" s="144">
        <v>43794.0</v>
      </c>
      <c r="F471" s="50" t="s">
        <v>12948</v>
      </c>
      <c r="G471" s="50">
        <v>33.0</v>
      </c>
      <c r="H471" s="50">
        <v>1.0</v>
      </c>
      <c r="I471" s="50">
        <v>98.0</v>
      </c>
      <c r="J471" s="116"/>
      <c r="K471" s="116"/>
      <c r="L471" s="50" t="s">
        <v>1668</v>
      </c>
      <c r="M471" s="50" t="s">
        <v>1668</v>
      </c>
      <c r="N471" s="50" t="s">
        <v>12870</v>
      </c>
      <c r="O471" s="50" t="s">
        <v>12888</v>
      </c>
      <c r="P471" s="50" t="s">
        <v>12775</v>
      </c>
      <c r="Q471" s="50" t="s">
        <v>12891</v>
      </c>
      <c r="R471" s="116"/>
      <c r="S471" s="116"/>
      <c r="T471" s="116"/>
      <c r="U471" s="116"/>
      <c r="V471" s="116"/>
      <c r="W471" s="50">
        <v>7.0</v>
      </c>
      <c r="X471" s="50">
        <v>100.0</v>
      </c>
      <c r="Y471" s="50">
        <v>3.0</v>
      </c>
      <c r="Z471" s="50">
        <v>0.0</v>
      </c>
      <c r="AA471" s="116"/>
      <c r="AB471" s="116"/>
      <c r="AC471" s="116"/>
      <c r="AD471" s="116"/>
      <c r="AE471" s="116"/>
      <c r="AF471" s="116"/>
      <c r="AG471" s="116"/>
      <c r="AH471" s="116"/>
      <c r="AI471" s="116"/>
      <c r="AJ471" s="116"/>
      <c r="AK471" s="50" t="s">
        <v>11376</v>
      </c>
      <c r="AL471" s="50">
        <v>4.0</v>
      </c>
      <c r="AM471" s="50">
        <v>1.0</v>
      </c>
      <c r="AN471" s="50" t="s">
        <v>10629</v>
      </c>
      <c r="AO471" s="117">
        <v>5537.0</v>
      </c>
      <c r="AP471" s="50" t="s">
        <v>12955</v>
      </c>
      <c r="AQ471" s="50" t="s">
        <v>12956</v>
      </c>
      <c r="AR471" s="117">
        <v>471.0</v>
      </c>
    </row>
    <row r="472">
      <c r="A472" s="50" t="s">
        <v>12957</v>
      </c>
      <c r="B472" s="50" t="s">
        <v>6876</v>
      </c>
      <c r="C472" s="50" t="s">
        <v>6877</v>
      </c>
      <c r="D472" s="50" t="s">
        <v>11623</v>
      </c>
      <c r="E472" s="144">
        <v>43798.0</v>
      </c>
      <c r="F472" s="50" t="s">
        <v>12958</v>
      </c>
      <c r="G472" s="50">
        <v>58.0</v>
      </c>
      <c r="H472" s="50">
        <v>1.0</v>
      </c>
      <c r="I472" s="50">
        <v>11.0</v>
      </c>
      <c r="J472" s="116"/>
      <c r="K472" s="116"/>
      <c r="L472" s="50" t="s">
        <v>1670</v>
      </c>
      <c r="M472" s="50" t="s">
        <v>1670</v>
      </c>
      <c r="N472" s="50" t="s">
        <v>12959</v>
      </c>
      <c r="O472" s="50" t="s">
        <v>12960</v>
      </c>
      <c r="P472" s="50" t="s">
        <v>12961</v>
      </c>
      <c r="Q472" s="50" t="s">
        <v>12962</v>
      </c>
      <c r="R472" s="116"/>
      <c r="S472" s="116"/>
      <c r="T472" s="116"/>
      <c r="U472" s="116"/>
      <c r="V472" s="116"/>
      <c r="W472" s="50">
        <v>3.0</v>
      </c>
      <c r="X472" s="50">
        <v>1.0</v>
      </c>
      <c r="Y472" s="50">
        <v>3.0</v>
      </c>
      <c r="Z472" s="50">
        <v>0.0</v>
      </c>
      <c r="AA472" s="50">
        <v>2.0</v>
      </c>
      <c r="AB472" s="50">
        <v>1.0</v>
      </c>
      <c r="AC472" s="50">
        <v>3.0</v>
      </c>
      <c r="AD472" s="50">
        <v>0.0</v>
      </c>
      <c r="AE472" s="50">
        <v>1.0</v>
      </c>
      <c r="AF472" s="50">
        <v>1.0</v>
      </c>
      <c r="AG472" s="50">
        <v>1.0</v>
      </c>
      <c r="AH472" s="50">
        <v>3.0</v>
      </c>
      <c r="AI472" s="50">
        <v>0.0</v>
      </c>
      <c r="AJ472" s="116"/>
      <c r="AK472" s="50" t="s">
        <v>12964</v>
      </c>
      <c r="AL472" s="50">
        <v>7.0</v>
      </c>
      <c r="AM472" s="50">
        <v>1.0</v>
      </c>
      <c r="AN472" s="50" t="s">
        <v>10629</v>
      </c>
      <c r="AO472" s="117">
        <v>5710.0</v>
      </c>
      <c r="AP472" s="50" t="s">
        <v>12967</v>
      </c>
      <c r="AQ472" s="50" t="s">
        <v>12969</v>
      </c>
      <c r="AR472" s="117">
        <v>472.0</v>
      </c>
    </row>
    <row r="473">
      <c r="A473" s="50" t="s">
        <v>12958</v>
      </c>
      <c r="B473" s="50" t="s">
        <v>6876</v>
      </c>
      <c r="C473" s="50" t="s">
        <v>6877</v>
      </c>
      <c r="D473" s="50" t="s">
        <v>11623</v>
      </c>
      <c r="E473" s="144">
        <v>43798.0</v>
      </c>
      <c r="F473" s="50" t="s">
        <v>12974</v>
      </c>
      <c r="G473" s="50">
        <v>58.0</v>
      </c>
      <c r="H473" s="50">
        <v>1.0</v>
      </c>
      <c r="I473" s="50">
        <v>99.0</v>
      </c>
      <c r="J473" s="116"/>
      <c r="K473" s="116"/>
      <c r="L473" s="50" t="s">
        <v>1671</v>
      </c>
      <c r="M473" s="50" t="s">
        <v>1671</v>
      </c>
      <c r="N473" s="50" t="s">
        <v>12959</v>
      </c>
      <c r="O473" s="50" t="s">
        <v>12977</v>
      </c>
      <c r="P473" s="50" t="s">
        <v>12978</v>
      </c>
      <c r="Q473" s="50" t="s">
        <v>12980</v>
      </c>
      <c r="R473" s="116"/>
      <c r="S473" s="116"/>
      <c r="T473" s="116"/>
      <c r="U473" s="116"/>
      <c r="V473" s="116"/>
      <c r="W473" s="50">
        <v>7.0</v>
      </c>
      <c r="X473" s="50">
        <v>100.0</v>
      </c>
      <c r="Y473" s="50">
        <v>3.0</v>
      </c>
      <c r="Z473" s="50">
        <v>0.0</v>
      </c>
      <c r="AA473" s="116"/>
      <c r="AB473" s="116"/>
      <c r="AC473" s="116"/>
      <c r="AD473" s="116"/>
      <c r="AE473" s="116"/>
      <c r="AF473" s="116"/>
      <c r="AG473" s="116"/>
      <c r="AH473" s="116"/>
      <c r="AI473" s="116"/>
      <c r="AJ473" s="116"/>
      <c r="AK473" s="50" t="s">
        <v>12982</v>
      </c>
      <c r="AL473" s="50">
        <v>7.0</v>
      </c>
      <c r="AM473" s="50">
        <v>1.0</v>
      </c>
      <c r="AN473" s="50" t="s">
        <v>10629</v>
      </c>
      <c r="AO473" s="117">
        <v>5711.0</v>
      </c>
      <c r="AP473" s="50" t="s">
        <v>12985</v>
      </c>
      <c r="AQ473" s="50" t="s">
        <v>12986</v>
      </c>
      <c r="AR473" s="117">
        <v>473.0</v>
      </c>
    </row>
    <row r="474">
      <c r="A474" s="50" t="s">
        <v>12974</v>
      </c>
      <c r="B474" s="50" t="s">
        <v>6876</v>
      </c>
      <c r="C474" s="50" t="s">
        <v>6877</v>
      </c>
      <c r="D474" s="50" t="s">
        <v>11623</v>
      </c>
      <c r="E474" s="144">
        <v>43798.0</v>
      </c>
      <c r="F474" s="50" t="s">
        <v>12989</v>
      </c>
      <c r="G474" s="50">
        <v>59.0</v>
      </c>
      <c r="H474" s="50">
        <v>1.0</v>
      </c>
      <c r="I474" s="50">
        <v>11.0</v>
      </c>
      <c r="J474" s="116"/>
      <c r="K474" s="116"/>
      <c r="L474" s="50" t="s">
        <v>1673</v>
      </c>
      <c r="M474" s="50" t="s">
        <v>1673</v>
      </c>
      <c r="N474" s="50" t="s">
        <v>12959</v>
      </c>
      <c r="O474" s="50" t="s">
        <v>12978</v>
      </c>
      <c r="P474" s="50" t="s">
        <v>12961</v>
      </c>
      <c r="Q474" s="50" t="s">
        <v>12962</v>
      </c>
      <c r="R474" s="116"/>
      <c r="S474" s="116"/>
      <c r="T474" s="116"/>
      <c r="U474" s="116"/>
      <c r="V474" s="116"/>
      <c r="W474" s="50">
        <v>3.0</v>
      </c>
      <c r="X474" s="50">
        <v>1.0</v>
      </c>
      <c r="Y474" s="50">
        <v>3.0</v>
      </c>
      <c r="Z474" s="50">
        <v>12.0</v>
      </c>
      <c r="AA474" s="50">
        <v>2.0</v>
      </c>
      <c r="AB474" s="50">
        <v>1.0</v>
      </c>
      <c r="AC474" s="50">
        <v>3.0</v>
      </c>
      <c r="AD474" s="50">
        <v>4.0</v>
      </c>
      <c r="AE474" s="50">
        <v>1.0</v>
      </c>
      <c r="AF474" s="50">
        <v>1.0</v>
      </c>
      <c r="AG474" s="50">
        <v>1.0</v>
      </c>
      <c r="AH474" s="50">
        <v>3.0</v>
      </c>
      <c r="AI474" s="50">
        <v>0.0</v>
      </c>
      <c r="AJ474" s="116"/>
      <c r="AK474" s="50" t="s">
        <v>12992</v>
      </c>
      <c r="AL474" s="50">
        <v>7.0</v>
      </c>
      <c r="AM474" s="50">
        <v>1.0</v>
      </c>
      <c r="AN474" s="50" t="s">
        <v>10629</v>
      </c>
      <c r="AO474" s="117">
        <v>5712.0</v>
      </c>
      <c r="AP474" s="50" t="s">
        <v>12997</v>
      </c>
      <c r="AQ474" s="50" t="s">
        <v>12998</v>
      </c>
      <c r="AR474" s="117">
        <v>474.0</v>
      </c>
    </row>
    <row r="475">
      <c r="A475" s="50" t="s">
        <v>12989</v>
      </c>
      <c r="B475" s="50" t="s">
        <v>6876</v>
      </c>
      <c r="C475" s="50" t="s">
        <v>6877</v>
      </c>
      <c r="D475" s="50" t="s">
        <v>11623</v>
      </c>
      <c r="E475" s="144">
        <v>43798.0</v>
      </c>
      <c r="F475" s="50" t="s">
        <v>13001</v>
      </c>
      <c r="G475" s="50">
        <v>59.0</v>
      </c>
      <c r="H475" s="50">
        <v>1.0</v>
      </c>
      <c r="I475" s="50">
        <v>99.0</v>
      </c>
      <c r="J475" s="116"/>
      <c r="K475" s="116"/>
      <c r="L475" s="50" t="s">
        <v>1674</v>
      </c>
      <c r="M475" s="50" t="s">
        <v>1674</v>
      </c>
      <c r="N475" s="50" t="s">
        <v>12959</v>
      </c>
      <c r="O475" s="50" t="s">
        <v>12977</v>
      </c>
      <c r="P475" s="50" t="s">
        <v>12978</v>
      </c>
      <c r="Q475" s="50" t="s">
        <v>12980</v>
      </c>
      <c r="R475" s="116"/>
      <c r="S475" s="116"/>
      <c r="T475" s="116"/>
      <c r="U475" s="116"/>
      <c r="V475" s="116"/>
      <c r="W475" s="50">
        <v>7.0</v>
      </c>
      <c r="X475" s="50">
        <v>100.0</v>
      </c>
      <c r="Y475" s="50">
        <v>3.0</v>
      </c>
      <c r="Z475" s="50">
        <v>0.0</v>
      </c>
      <c r="AA475" s="116"/>
      <c r="AB475" s="116"/>
      <c r="AC475" s="116"/>
      <c r="AD475" s="116"/>
      <c r="AE475" s="116"/>
      <c r="AF475" s="116"/>
      <c r="AG475" s="116"/>
      <c r="AH475" s="116"/>
      <c r="AI475" s="116"/>
      <c r="AJ475" s="116"/>
      <c r="AK475" s="50" t="s">
        <v>13008</v>
      </c>
      <c r="AL475" s="50">
        <v>7.0</v>
      </c>
      <c r="AM475" s="50">
        <v>1.0</v>
      </c>
      <c r="AN475" s="50" t="s">
        <v>10629</v>
      </c>
      <c r="AO475" s="117">
        <v>5713.0</v>
      </c>
      <c r="AP475" s="50" t="s">
        <v>13011</v>
      </c>
      <c r="AQ475" s="50" t="s">
        <v>13012</v>
      </c>
      <c r="AR475" s="117">
        <v>475.0</v>
      </c>
    </row>
    <row r="476">
      <c r="A476" s="50" t="s">
        <v>13001</v>
      </c>
      <c r="B476" s="50" t="s">
        <v>6876</v>
      </c>
      <c r="C476" s="50" t="s">
        <v>6877</v>
      </c>
      <c r="D476" s="50" t="s">
        <v>11623</v>
      </c>
      <c r="E476" s="144">
        <v>43798.0</v>
      </c>
      <c r="F476" s="50" t="s">
        <v>13014</v>
      </c>
      <c r="G476" s="50">
        <v>33.0</v>
      </c>
      <c r="H476" s="50">
        <v>1.0</v>
      </c>
      <c r="I476" s="50">
        <v>98.0</v>
      </c>
      <c r="J476" s="116"/>
      <c r="K476" s="116"/>
      <c r="L476" s="50" t="s">
        <v>1677</v>
      </c>
      <c r="M476" s="50" t="s">
        <v>1677</v>
      </c>
      <c r="N476" s="50" t="s">
        <v>12959</v>
      </c>
      <c r="O476" s="50" t="s">
        <v>12977</v>
      </c>
      <c r="P476" s="50" t="s">
        <v>12978</v>
      </c>
      <c r="Q476" s="50" t="s">
        <v>12980</v>
      </c>
      <c r="R476" s="116"/>
      <c r="S476" s="116"/>
      <c r="T476" s="116"/>
      <c r="U476" s="116"/>
      <c r="V476" s="116"/>
      <c r="W476" s="50">
        <v>7.0</v>
      </c>
      <c r="X476" s="50">
        <v>100.0</v>
      </c>
      <c r="Y476" s="50">
        <v>3.0</v>
      </c>
      <c r="Z476" s="50">
        <v>0.0</v>
      </c>
      <c r="AA476" s="116"/>
      <c r="AB476" s="116"/>
      <c r="AC476" s="116"/>
      <c r="AD476" s="116"/>
      <c r="AE476" s="116"/>
      <c r="AF476" s="116"/>
      <c r="AG476" s="116"/>
      <c r="AH476" s="116"/>
      <c r="AI476" s="116"/>
      <c r="AJ476" s="116"/>
      <c r="AK476" s="50" t="s">
        <v>11376</v>
      </c>
      <c r="AL476" s="50">
        <v>7.0</v>
      </c>
      <c r="AM476" s="50">
        <v>1.0</v>
      </c>
      <c r="AN476" s="50" t="s">
        <v>10629</v>
      </c>
      <c r="AO476" s="117">
        <v>5714.0</v>
      </c>
      <c r="AP476" s="50" t="s">
        <v>13018</v>
      </c>
      <c r="AQ476" s="50" t="s">
        <v>13020</v>
      </c>
      <c r="AR476" s="117">
        <v>476.0</v>
      </c>
    </row>
    <row r="477">
      <c r="A477" s="50" t="s">
        <v>13014</v>
      </c>
      <c r="B477" s="50" t="s">
        <v>6876</v>
      </c>
      <c r="C477" s="50" t="s">
        <v>6877</v>
      </c>
      <c r="D477" s="50" t="s">
        <v>11623</v>
      </c>
      <c r="E477" s="144">
        <v>43798.0</v>
      </c>
      <c r="F477" s="50" t="s">
        <v>13022</v>
      </c>
      <c r="G477" s="50">
        <v>55.0</v>
      </c>
      <c r="H477" s="50">
        <v>1.0</v>
      </c>
      <c r="I477" s="50">
        <v>99.0</v>
      </c>
      <c r="J477" s="116"/>
      <c r="K477" s="116"/>
      <c r="L477" s="50" t="s">
        <v>1682</v>
      </c>
      <c r="M477" s="50" t="s">
        <v>1682</v>
      </c>
      <c r="N477" s="50" t="s">
        <v>13023</v>
      </c>
      <c r="O477" s="50" t="s">
        <v>13024</v>
      </c>
      <c r="P477" s="50" t="s">
        <v>13025</v>
      </c>
      <c r="Q477" s="50" t="s">
        <v>13026</v>
      </c>
      <c r="R477" s="116"/>
      <c r="S477" s="116"/>
      <c r="T477" s="116"/>
      <c r="U477" s="116"/>
      <c r="V477" s="116"/>
      <c r="W477" s="50">
        <v>7.0</v>
      </c>
      <c r="X477" s="50">
        <v>100.0</v>
      </c>
      <c r="Y477" s="50">
        <v>3.0</v>
      </c>
      <c r="Z477" s="50">
        <v>0.0</v>
      </c>
      <c r="AA477" s="116"/>
      <c r="AB477" s="116"/>
      <c r="AC477" s="116"/>
      <c r="AD477" s="116"/>
      <c r="AE477" s="116"/>
      <c r="AF477" s="116"/>
      <c r="AG477" s="116"/>
      <c r="AH477" s="116"/>
      <c r="AI477" s="116"/>
      <c r="AJ477" s="116"/>
      <c r="AK477" s="50" t="s">
        <v>13029</v>
      </c>
      <c r="AL477" s="50">
        <v>7.0</v>
      </c>
      <c r="AM477" s="50">
        <v>1.0</v>
      </c>
      <c r="AN477" s="50" t="s">
        <v>10629</v>
      </c>
      <c r="AO477" s="117">
        <v>5715.0</v>
      </c>
      <c r="AP477" s="50" t="s">
        <v>13031</v>
      </c>
      <c r="AQ477" s="50" t="s">
        <v>13033</v>
      </c>
      <c r="AR477" s="117">
        <v>477.0</v>
      </c>
    </row>
    <row r="478">
      <c r="A478" s="50" t="s">
        <v>13035</v>
      </c>
      <c r="B478" s="50" t="s">
        <v>6876</v>
      </c>
      <c r="C478" s="50" t="s">
        <v>6877</v>
      </c>
      <c r="D478" s="50" t="s">
        <v>11623</v>
      </c>
      <c r="E478" s="144">
        <v>43798.0</v>
      </c>
      <c r="F478" s="50" t="s">
        <v>13038</v>
      </c>
      <c r="G478" s="50">
        <v>57.0</v>
      </c>
      <c r="H478" s="50">
        <v>1.0</v>
      </c>
      <c r="I478" s="50">
        <v>99.0</v>
      </c>
      <c r="J478" s="116"/>
      <c r="K478" s="116"/>
      <c r="L478" s="50" t="s">
        <v>1679</v>
      </c>
      <c r="M478" s="50" t="s">
        <v>1679</v>
      </c>
      <c r="N478" s="50" t="s">
        <v>13023</v>
      </c>
      <c r="O478" s="50" t="s">
        <v>13024</v>
      </c>
      <c r="P478" s="50" t="s">
        <v>13025</v>
      </c>
      <c r="Q478" s="50" t="s">
        <v>13026</v>
      </c>
      <c r="R478" s="116"/>
      <c r="S478" s="116"/>
      <c r="T478" s="116"/>
      <c r="U478" s="116"/>
      <c r="V478" s="116"/>
      <c r="W478" s="50">
        <v>7.0</v>
      </c>
      <c r="X478" s="50">
        <v>100.0</v>
      </c>
      <c r="Y478" s="50">
        <v>3.0</v>
      </c>
      <c r="Z478" s="50">
        <v>0.0</v>
      </c>
      <c r="AA478" s="116"/>
      <c r="AB478" s="116"/>
      <c r="AC478" s="116"/>
      <c r="AD478" s="116"/>
      <c r="AE478" s="116"/>
      <c r="AF478" s="116"/>
      <c r="AG478" s="116"/>
      <c r="AH478" s="116"/>
      <c r="AI478" s="116"/>
      <c r="AJ478" s="116"/>
      <c r="AK478" s="50" t="s">
        <v>13045</v>
      </c>
      <c r="AL478" s="50">
        <v>7.0</v>
      </c>
      <c r="AM478" s="50">
        <v>1.0</v>
      </c>
      <c r="AN478" s="50" t="s">
        <v>10629</v>
      </c>
      <c r="AO478" s="117">
        <v>5716.0</v>
      </c>
      <c r="AP478" s="50" t="s">
        <v>13046</v>
      </c>
      <c r="AQ478" s="50" t="s">
        <v>13047</v>
      </c>
      <c r="AR478" s="117">
        <v>478.0</v>
      </c>
    </row>
    <row r="479">
      <c r="A479" s="50" t="s">
        <v>13048</v>
      </c>
      <c r="B479" s="50" t="s">
        <v>6876</v>
      </c>
      <c r="C479" s="50" t="s">
        <v>6877</v>
      </c>
      <c r="D479" s="50" t="s">
        <v>11623</v>
      </c>
      <c r="E479" s="144">
        <v>43798.0</v>
      </c>
      <c r="F479" s="50" t="s">
        <v>13052</v>
      </c>
      <c r="G479" s="50">
        <v>59.0</v>
      </c>
      <c r="H479" s="50">
        <v>1.0</v>
      </c>
      <c r="I479" s="50">
        <v>11.0</v>
      </c>
      <c r="J479" s="116"/>
      <c r="K479" s="116"/>
      <c r="L479" s="50" t="s">
        <v>1684</v>
      </c>
      <c r="M479" s="50" t="s">
        <v>1684</v>
      </c>
      <c r="N479" s="50" t="s">
        <v>13054</v>
      </c>
      <c r="O479" s="50" t="s">
        <v>13055</v>
      </c>
      <c r="P479" s="50" t="s">
        <v>13056</v>
      </c>
      <c r="Q479" s="50" t="s">
        <v>13057</v>
      </c>
      <c r="R479" s="116"/>
      <c r="S479" s="116"/>
      <c r="T479" s="116"/>
      <c r="U479" s="116"/>
      <c r="V479" s="116"/>
      <c r="W479" s="50">
        <v>3.0</v>
      </c>
      <c r="X479" s="50">
        <v>1.0</v>
      </c>
      <c r="Y479" s="50">
        <v>1.0</v>
      </c>
      <c r="Z479" s="116"/>
      <c r="AA479" s="50">
        <v>2.0</v>
      </c>
      <c r="AB479" s="50">
        <v>1.0</v>
      </c>
      <c r="AC479" s="50">
        <v>1.0</v>
      </c>
      <c r="AD479" s="116"/>
      <c r="AE479" s="50">
        <v>1.0</v>
      </c>
      <c r="AF479" s="50">
        <v>1.0</v>
      </c>
      <c r="AG479" s="50">
        <v>1.0</v>
      </c>
      <c r="AH479" s="50">
        <v>3.0</v>
      </c>
      <c r="AI479" s="50">
        <v>56.0</v>
      </c>
      <c r="AJ479" s="116"/>
      <c r="AK479" s="50" t="s">
        <v>13060</v>
      </c>
      <c r="AL479" s="50">
        <v>7.0</v>
      </c>
      <c r="AM479" s="50">
        <v>1.0</v>
      </c>
      <c r="AN479" s="50" t="s">
        <v>10629</v>
      </c>
      <c r="AO479" s="117">
        <v>5719.0</v>
      </c>
      <c r="AP479" s="50" t="s">
        <v>13061</v>
      </c>
      <c r="AQ479" s="50" t="s">
        <v>13062</v>
      </c>
      <c r="AR479" s="117">
        <v>479.0</v>
      </c>
    </row>
    <row r="480">
      <c r="A480" s="50" t="s">
        <v>13052</v>
      </c>
      <c r="B480" s="50" t="s">
        <v>6876</v>
      </c>
      <c r="C480" s="50" t="s">
        <v>6877</v>
      </c>
      <c r="D480" s="50" t="s">
        <v>11623</v>
      </c>
      <c r="E480" s="144">
        <v>43798.0</v>
      </c>
      <c r="F480" s="50" t="s">
        <v>13063</v>
      </c>
      <c r="G480" s="50">
        <v>59.0</v>
      </c>
      <c r="H480" s="50">
        <v>1.0</v>
      </c>
      <c r="I480" s="50">
        <v>99.0</v>
      </c>
      <c r="J480" s="116"/>
      <c r="K480" s="116"/>
      <c r="L480" s="50" t="s">
        <v>1685</v>
      </c>
      <c r="M480" s="50" t="s">
        <v>1685</v>
      </c>
      <c r="N480" s="50" t="s">
        <v>13065</v>
      </c>
      <c r="O480" s="50" t="s">
        <v>13024</v>
      </c>
      <c r="P480" s="50" t="s">
        <v>13025</v>
      </c>
      <c r="Q480" s="50" t="s">
        <v>13026</v>
      </c>
      <c r="R480" s="116"/>
      <c r="S480" s="116"/>
      <c r="T480" s="116"/>
      <c r="U480" s="116"/>
      <c r="V480" s="116"/>
      <c r="W480" s="50">
        <v>7.0</v>
      </c>
      <c r="X480" s="50">
        <v>100.0</v>
      </c>
      <c r="Y480" s="50">
        <v>3.0</v>
      </c>
      <c r="Z480" s="50">
        <v>0.0</v>
      </c>
      <c r="AA480" s="116"/>
      <c r="AB480" s="116"/>
      <c r="AC480" s="116"/>
      <c r="AD480" s="116"/>
      <c r="AE480" s="116"/>
      <c r="AF480" s="116"/>
      <c r="AG480" s="116"/>
      <c r="AH480" s="116"/>
      <c r="AI480" s="116"/>
      <c r="AJ480" s="116"/>
      <c r="AK480" s="50" t="s">
        <v>13070</v>
      </c>
      <c r="AL480" s="50">
        <v>7.0</v>
      </c>
      <c r="AM480" s="50">
        <v>1.0</v>
      </c>
      <c r="AN480" s="50" t="s">
        <v>10629</v>
      </c>
      <c r="AO480" s="117">
        <v>5720.0</v>
      </c>
      <c r="AP480" s="50" t="s">
        <v>13073</v>
      </c>
      <c r="AQ480" s="50" t="s">
        <v>13074</v>
      </c>
      <c r="AR480" s="117">
        <v>480.0</v>
      </c>
    </row>
    <row r="481">
      <c r="A481" s="50" t="s">
        <v>13063</v>
      </c>
      <c r="B481" s="50" t="s">
        <v>6876</v>
      </c>
      <c r="C481" s="50" t="s">
        <v>6877</v>
      </c>
      <c r="D481" s="50" t="s">
        <v>11623</v>
      </c>
      <c r="E481" s="144">
        <v>43798.0</v>
      </c>
      <c r="F481" s="50" t="s">
        <v>13075</v>
      </c>
      <c r="G481" s="50">
        <v>59.0</v>
      </c>
      <c r="H481" s="50">
        <v>1.0</v>
      </c>
      <c r="I481" s="50">
        <v>11.0</v>
      </c>
      <c r="J481" s="116"/>
      <c r="K481" s="116"/>
      <c r="L481" s="50" t="s">
        <v>1687</v>
      </c>
      <c r="M481" s="50" t="s">
        <v>1687</v>
      </c>
      <c r="N481" s="50" t="s">
        <v>13065</v>
      </c>
      <c r="O481" s="50" t="s">
        <v>13055</v>
      </c>
      <c r="P481" s="50" t="s">
        <v>13056</v>
      </c>
      <c r="Q481" s="50" t="s">
        <v>13057</v>
      </c>
      <c r="R481" s="116"/>
      <c r="S481" s="116"/>
      <c r="T481" s="116"/>
      <c r="U481" s="116"/>
      <c r="V481" s="116"/>
      <c r="W481" s="50">
        <v>3.0</v>
      </c>
      <c r="X481" s="50">
        <v>1.0</v>
      </c>
      <c r="Y481" s="50">
        <v>3.0</v>
      </c>
      <c r="Z481" s="50">
        <v>98.0</v>
      </c>
      <c r="AA481" s="50">
        <v>2.0</v>
      </c>
      <c r="AB481" s="50">
        <v>1.0</v>
      </c>
      <c r="AC481" s="50">
        <v>3.0</v>
      </c>
      <c r="AD481" s="50">
        <v>5.0</v>
      </c>
      <c r="AE481" s="50">
        <v>1.0</v>
      </c>
      <c r="AF481" s="50">
        <v>1.0</v>
      </c>
      <c r="AG481" s="50">
        <v>1.0</v>
      </c>
      <c r="AH481" s="50">
        <v>3.0</v>
      </c>
      <c r="AI481" s="50">
        <v>0.0</v>
      </c>
      <c r="AJ481" s="116"/>
      <c r="AK481" s="50" t="s">
        <v>13086</v>
      </c>
      <c r="AL481" s="50">
        <v>7.0</v>
      </c>
      <c r="AM481" s="50">
        <v>1.0</v>
      </c>
      <c r="AN481" s="50" t="s">
        <v>10629</v>
      </c>
      <c r="AO481" s="117">
        <v>5721.0</v>
      </c>
      <c r="AP481" s="50" t="s">
        <v>13087</v>
      </c>
      <c r="AQ481" s="50" t="s">
        <v>13088</v>
      </c>
      <c r="AR481" s="117">
        <v>481.0</v>
      </c>
    </row>
    <row r="482">
      <c r="A482" s="50" t="s">
        <v>13075</v>
      </c>
      <c r="B482" s="50" t="s">
        <v>6876</v>
      </c>
      <c r="C482" s="50" t="s">
        <v>6877</v>
      </c>
      <c r="D482" s="50" t="s">
        <v>11623</v>
      </c>
      <c r="E482" s="144">
        <v>43798.0</v>
      </c>
      <c r="F482" s="50" t="s">
        <v>13089</v>
      </c>
      <c r="G482" s="50">
        <v>59.0</v>
      </c>
      <c r="H482" s="50">
        <v>1.0</v>
      </c>
      <c r="I482" s="50">
        <v>99.0</v>
      </c>
      <c r="J482" s="116"/>
      <c r="K482" s="116"/>
      <c r="L482" s="50" t="s">
        <v>1688</v>
      </c>
      <c r="M482" s="50" t="s">
        <v>1688</v>
      </c>
      <c r="N482" s="50" t="s">
        <v>13065</v>
      </c>
      <c r="O482" s="50" t="s">
        <v>13024</v>
      </c>
      <c r="P482" s="50" t="s">
        <v>13025</v>
      </c>
      <c r="Q482" s="50" t="s">
        <v>13026</v>
      </c>
      <c r="R482" s="116"/>
      <c r="S482" s="116"/>
      <c r="T482" s="116"/>
      <c r="U482" s="116"/>
      <c r="V482" s="116"/>
      <c r="W482" s="50">
        <v>7.0</v>
      </c>
      <c r="X482" s="50">
        <v>100.0</v>
      </c>
      <c r="Y482" s="50">
        <v>3.0</v>
      </c>
      <c r="Z482" s="50">
        <v>0.0</v>
      </c>
      <c r="AA482" s="116"/>
      <c r="AB482" s="116"/>
      <c r="AC482" s="116"/>
      <c r="AD482" s="116"/>
      <c r="AE482" s="116"/>
      <c r="AF482" s="116"/>
      <c r="AG482" s="116"/>
      <c r="AH482" s="116"/>
      <c r="AI482" s="116"/>
      <c r="AJ482" s="116"/>
      <c r="AK482" s="50" t="s">
        <v>13095</v>
      </c>
      <c r="AL482" s="50">
        <v>7.0</v>
      </c>
      <c r="AM482" s="50">
        <v>1.0</v>
      </c>
      <c r="AN482" s="50" t="s">
        <v>10629</v>
      </c>
      <c r="AO482" s="117">
        <v>5722.0</v>
      </c>
      <c r="AP482" s="50" t="s">
        <v>13096</v>
      </c>
      <c r="AQ482" s="50" t="s">
        <v>13097</v>
      </c>
      <c r="AR482" s="117">
        <v>482.0</v>
      </c>
    </row>
    <row r="483">
      <c r="A483" s="50" t="s">
        <v>13089</v>
      </c>
      <c r="B483" s="50" t="s">
        <v>6876</v>
      </c>
      <c r="C483" s="50" t="s">
        <v>6877</v>
      </c>
      <c r="D483" s="50" t="s">
        <v>11623</v>
      </c>
      <c r="E483" s="144">
        <v>43798.0</v>
      </c>
      <c r="F483" s="50" t="s">
        <v>13100</v>
      </c>
      <c r="G483" s="50">
        <v>59.0</v>
      </c>
      <c r="H483" s="50">
        <v>1.0</v>
      </c>
      <c r="I483" s="50">
        <v>11.0</v>
      </c>
      <c r="J483" s="116"/>
      <c r="K483" s="116"/>
      <c r="L483" s="50" t="s">
        <v>1690</v>
      </c>
      <c r="M483" s="50" t="s">
        <v>1690</v>
      </c>
      <c r="N483" s="50" t="s">
        <v>13065</v>
      </c>
      <c r="O483" s="50" t="s">
        <v>13055</v>
      </c>
      <c r="P483" s="50" t="s">
        <v>13056</v>
      </c>
      <c r="Q483" s="50" t="s">
        <v>13057</v>
      </c>
      <c r="R483" s="116"/>
      <c r="S483" s="116"/>
      <c r="T483" s="116"/>
      <c r="U483" s="116"/>
      <c r="V483" s="116"/>
      <c r="W483" s="50">
        <v>3.0</v>
      </c>
      <c r="X483" s="50">
        <v>1.0</v>
      </c>
      <c r="Y483" s="50">
        <v>3.0</v>
      </c>
      <c r="Z483" s="50">
        <v>13.0</v>
      </c>
      <c r="AA483" s="50">
        <v>2.0</v>
      </c>
      <c r="AB483" s="50">
        <v>1.0</v>
      </c>
      <c r="AC483" s="50">
        <v>3.0</v>
      </c>
      <c r="AD483" s="50">
        <v>1.0</v>
      </c>
      <c r="AE483" s="50">
        <v>1.0</v>
      </c>
      <c r="AF483" s="50">
        <v>1.0</v>
      </c>
      <c r="AG483" s="50">
        <v>1.0</v>
      </c>
      <c r="AH483" s="50">
        <v>3.0</v>
      </c>
      <c r="AI483" s="50">
        <v>0.0</v>
      </c>
      <c r="AJ483" s="116"/>
      <c r="AK483" s="50" t="s">
        <v>13101</v>
      </c>
      <c r="AL483" s="50">
        <v>7.0</v>
      </c>
      <c r="AM483" s="50">
        <v>1.0</v>
      </c>
      <c r="AN483" s="50" t="s">
        <v>10629</v>
      </c>
      <c r="AO483" s="117">
        <v>5723.0</v>
      </c>
      <c r="AP483" s="50" t="s">
        <v>13104</v>
      </c>
      <c r="AQ483" s="50" t="s">
        <v>13106</v>
      </c>
      <c r="AR483" s="117">
        <v>483.0</v>
      </c>
    </row>
    <row r="484">
      <c r="A484" s="50" t="s">
        <v>13100</v>
      </c>
      <c r="B484" s="50" t="s">
        <v>6876</v>
      </c>
      <c r="C484" s="50" t="s">
        <v>6877</v>
      </c>
      <c r="D484" s="50" t="s">
        <v>11623</v>
      </c>
      <c r="E484" s="144">
        <v>43798.0</v>
      </c>
      <c r="F484" s="50" t="s">
        <v>13110</v>
      </c>
      <c r="G484" s="50">
        <v>59.0</v>
      </c>
      <c r="H484" s="50">
        <v>1.0</v>
      </c>
      <c r="I484" s="50">
        <v>99.0</v>
      </c>
      <c r="J484" s="116"/>
      <c r="K484" s="116"/>
      <c r="L484" s="50" t="s">
        <v>1691</v>
      </c>
      <c r="M484" s="50" t="s">
        <v>1691</v>
      </c>
      <c r="N484" s="50" t="s">
        <v>13065</v>
      </c>
      <c r="O484" s="50" t="s">
        <v>13055</v>
      </c>
      <c r="P484" s="50" t="s">
        <v>13056</v>
      </c>
      <c r="Q484" s="50" t="s">
        <v>13057</v>
      </c>
      <c r="R484" s="116"/>
      <c r="S484" s="116"/>
      <c r="T484" s="116"/>
      <c r="U484" s="116"/>
      <c r="V484" s="116"/>
      <c r="W484" s="50">
        <v>7.0</v>
      </c>
      <c r="X484" s="50">
        <v>100.0</v>
      </c>
      <c r="Y484" s="50">
        <v>3.0</v>
      </c>
      <c r="Z484" s="50">
        <v>0.0</v>
      </c>
      <c r="AA484" s="116"/>
      <c r="AB484" s="116"/>
      <c r="AC484" s="116"/>
      <c r="AD484" s="116"/>
      <c r="AE484" s="116"/>
      <c r="AF484" s="116"/>
      <c r="AG484" s="116"/>
      <c r="AH484" s="116"/>
      <c r="AI484" s="116"/>
      <c r="AJ484" s="116"/>
      <c r="AK484" s="50" t="s">
        <v>13008</v>
      </c>
      <c r="AL484" s="50">
        <v>7.0</v>
      </c>
      <c r="AM484" s="50">
        <v>1.0</v>
      </c>
      <c r="AN484" s="50" t="s">
        <v>10629</v>
      </c>
      <c r="AO484" s="117">
        <v>5724.0</v>
      </c>
      <c r="AP484" s="50" t="s">
        <v>13115</v>
      </c>
      <c r="AQ484" s="50" t="s">
        <v>13116</v>
      </c>
      <c r="AR484" s="117">
        <v>484.0</v>
      </c>
    </row>
    <row r="485">
      <c r="A485" s="50" t="s">
        <v>13110</v>
      </c>
      <c r="B485" s="50" t="s">
        <v>6876</v>
      </c>
      <c r="C485" s="50" t="s">
        <v>6877</v>
      </c>
      <c r="D485" s="50" t="s">
        <v>11623</v>
      </c>
      <c r="E485" s="144">
        <v>43798.0</v>
      </c>
      <c r="F485" s="50" t="s">
        <v>13119</v>
      </c>
      <c r="G485" s="50">
        <v>33.0</v>
      </c>
      <c r="H485" s="50">
        <v>1.0</v>
      </c>
      <c r="I485" s="50">
        <v>98.0</v>
      </c>
      <c r="J485" s="116"/>
      <c r="K485" s="116"/>
      <c r="L485" s="50" t="s">
        <v>1694</v>
      </c>
      <c r="M485" s="50" t="s">
        <v>1694</v>
      </c>
      <c r="N485" s="50" t="s">
        <v>13065</v>
      </c>
      <c r="O485" s="50" t="s">
        <v>13055</v>
      </c>
      <c r="P485" s="50" t="s">
        <v>13056</v>
      </c>
      <c r="Q485" s="50" t="s">
        <v>13057</v>
      </c>
      <c r="R485" s="116"/>
      <c r="S485" s="116"/>
      <c r="T485" s="116"/>
      <c r="U485" s="116"/>
      <c r="V485" s="116"/>
      <c r="W485" s="50">
        <v>7.0</v>
      </c>
      <c r="X485" s="50">
        <v>100.0</v>
      </c>
      <c r="Y485" s="50">
        <v>3.0</v>
      </c>
      <c r="Z485" s="50">
        <v>0.0</v>
      </c>
      <c r="AA485" s="116"/>
      <c r="AB485" s="116"/>
      <c r="AC485" s="116"/>
      <c r="AD485" s="116"/>
      <c r="AE485" s="116"/>
      <c r="AF485" s="116"/>
      <c r="AG485" s="116"/>
      <c r="AH485" s="116"/>
      <c r="AI485" s="116"/>
      <c r="AJ485" s="116"/>
      <c r="AK485" s="50" t="s">
        <v>11376</v>
      </c>
      <c r="AL485" s="50">
        <v>7.0</v>
      </c>
      <c r="AM485" s="50">
        <v>1.0</v>
      </c>
      <c r="AN485" s="50" t="s">
        <v>10629</v>
      </c>
      <c r="AO485" s="117">
        <v>5725.0</v>
      </c>
      <c r="AP485" s="50" t="s">
        <v>13124</v>
      </c>
      <c r="AQ485" s="50" t="s">
        <v>13125</v>
      </c>
      <c r="AR485" s="117">
        <v>485.0</v>
      </c>
    </row>
    <row r="486">
      <c r="A486" s="50" t="s">
        <v>13119</v>
      </c>
      <c r="B486" s="50" t="s">
        <v>6876</v>
      </c>
      <c r="C486" s="50" t="s">
        <v>6877</v>
      </c>
      <c r="D486" s="50" t="s">
        <v>11623</v>
      </c>
      <c r="E486" s="144">
        <v>43798.0</v>
      </c>
      <c r="F486" s="50" t="s">
        <v>13126</v>
      </c>
      <c r="G486" s="50">
        <v>58.0</v>
      </c>
      <c r="H486" s="50">
        <v>1.0</v>
      </c>
      <c r="I486" s="50">
        <v>14.0</v>
      </c>
      <c r="J486" s="50">
        <v>141.0</v>
      </c>
      <c r="K486" s="116"/>
      <c r="L486" s="50" t="s">
        <v>532</v>
      </c>
      <c r="M486" s="50" t="s">
        <v>532</v>
      </c>
      <c r="N486" s="50" t="s">
        <v>13127</v>
      </c>
      <c r="O486" s="50" t="s">
        <v>13128</v>
      </c>
      <c r="P486" s="50" t="s">
        <v>13129</v>
      </c>
      <c r="Q486" s="50" t="s">
        <v>13130</v>
      </c>
      <c r="R486" s="116"/>
      <c r="S486" s="116"/>
      <c r="T486" s="116"/>
      <c r="U486" s="116"/>
      <c r="V486" s="116"/>
      <c r="W486" s="50">
        <v>6.0</v>
      </c>
      <c r="X486" s="50">
        <v>1.0</v>
      </c>
      <c r="Y486" s="50">
        <v>3.0</v>
      </c>
      <c r="Z486" s="50">
        <v>0.0</v>
      </c>
      <c r="AA486" s="50">
        <v>5.0</v>
      </c>
      <c r="AB486" s="50">
        <v>1.0</v>
      </c>
      <c r="AC486" s="50">
        <v>3.0</v>
      </c>
      <c r="AD486" s="50">
        <v>0.0</v>
      </c>
      <c r="AE486" s="50">
        <v>1.0</v>
      </c>
      <c r="AF486" s="50">
        <v>4.0</v>
      </c>
      <c r="AG486" s="50">
        <v>1.0</v>
      </c>
      <c r="AH486" s="50">
        <v>3.0</v>
      </c>
      <c r="AI486" s="50">
        <v>0.0</v>
      </c>
      <c r="AJ486" s="116"/>
      <c r="AK486" s="50" t="s">
        <v>13133</v>
      </c>
      <c r="AL486" s="50">
        <v>4.0</v>
      </c>
      <c r="AM486" s="50">
        <v>1.0</v>
      </c>
      <c r="AN486" s="50" t="s">
        <v>10629</v>
      </c>
      <c r="AO486" s="117">
        <v>5726.0</v>
      </c>
      <c r="AP486" s="50" t="s">
        <v>13138</v>
      </c>
      <c r="AQ486" s="50" t="s">
        <v>13139</v>
      </c>
      <c r="AR486" s="117">
        <v>486.0</v>
      </c>
    </row>
    <row r="487">
      <c r="A487" s="50" t="s">
        <v>13126</v>
      </c>
      <c r="B487" s="50" t="s">
        <v>6876</v>
      </c>
      <c r="C487" s="50" t="s">
        <v>6877</v>
      </c>
      <c r="D487" s="50" t="s">
        <v>11623</v>
      </c>
      <c r="E487" s="144">
        <v>43798.0</v>
      </c>
      <c r="F487" s="50" t="s">
        <v>13141</v>
      </c>
      <c r="G487" s="50">
        <v>58.0</v>
      </c>
      <c r="H487" s="50">
        <v>1.0</v>
      </c>
      <c r="I487" s="50">
        <v>14.0</v>
      </c>
      <c r="J487" s="50">
        <v>142.0</v>
      </c>
      <c r="K487" s="116"/>
      <c r="L487" s="50" t="s">
        <v>530</v>
      </c>
      <c r="M487" s="50" t="s">
        <v>530</v>
      </c>
      <c r="N487" s="50" t="s">
        <v>13127</v>
      </c>
      <c r="O487" s="50" t="s">
        <v>13128</v>
      </c>
      <c r="P487" s="50" t="s">
        <v>13129</v>
      </c>
      <c r="Q487" s="50" t="s">
        <v>13130</v>
      </c>
      <c r="R487" s="116"/>
      <c r="S487" s="116"/>
      <c r="T487" s="116"/>
      <c r="U487" s="116"/>
      <c r="V487" s="116"/>
      <c r="W487" s="50">
        <v>7.0</v>
      </c>
      <c r="X487" s="50">
        <v>100.0</v>
      </c>
      <c r="Y487" s="50">
        <v>3.0</v>
      </c>
      <c r="Z487" s="50">
        <v>0.0</v>
      </c>
      <c r="AA487" s="50">
        <v>7.0</v>
      </c>
      <c r="AB487" s="50">
        <v>10.0</v>
      </c>
      <c r="AC487" s="50">
        <v>3.0</v>
      </c>
      <c r="AD487" s="50">
        <v>0.0</v>
      </c>
      <c r="AE487" s="50">
        <v>1.0</v>
      </c>
      <c r="AF487" s="50">
        <v>6.0</v>
      </c>
      <c r="AG487" s="50">
        <v>1.0</v>
      </c>
      <c r="AH487" s="50">
        <v>3.0</v>
      </c>
      <c r="AI487" s="50">
        <v>0.0</v>
      </c>
      <c r="AJ487" s="116"/>
      <c r="AK487" s="50" t="s">
        <v>13147</v>
      </c>
      <c r="AL487" s="50">
        <v>4.0</v>
      </c>
      <c r="AM487" s="50">
        <v>1.0</v>
      </c>
      <c r="AN487" s="50" t="s">
        <v>10629</v>
      </c>
      <c r="AO487" s="117">
        <v>5727.0</v>
      </c>
      <c r="AP487" s="50" t="s">
        <v>13148</v>
      </c>
      <c r="AQ487" s="50" t="s">
        <v>13149</v>
      </c>
      <c r="AR487" s="117">
        <v>487.0</v>
      </c>
    </row>
    <row r="488">
      <c r="A488" s="50" t="s">
        <v>13141</v>
      </c>
      <c r="B488" s="50" t="s">
        <v>6876</v>
      </c>
      <c r="C488" s="50" t="s">
        <v>6877</v>
      </c>
      <c r="D488" s="50" t="s">
        <v>11623</v>
      </c>
      <c r="E488" s="144">
        <v>43798.0</v>
      </c>
      <c r="F488" s="50" t="s">
        <v>13150</v>
      </c>
      <c r="G488" s="50">
        <v>58.0</v>
      </c>
      <c r="H488" s="50">
        <v>1.0</v>
      </c>
      <c r="I488" s="50">
        <v>14.0</v>
      </c>
      <c r="J488" s="50">
        <v>143.0</v>
      </c>
      <c r="K488" s="116"/>
      <c r="L488" s="50" t="s">
        <v>533</v>
      </c>
      <c r="M488" s="50" t="s">
        <v>533</v>
      </c>
      <c r="N488" s="50" t="s">
        <v>13127</v>
      </c>
      <c r="O488" s="50" t="s">
        <v>13128</v>
      </c>
      <c r="P488" s="50" t="s">
        <v>13129</v>
      </c>
      <c r="Q488" s="50" t="s">
        <v>13130</v>
      </c>
      <c r="R488" s="116"/>
      <c r="S488" s="116"/>
      <c r="T488" s="116"/>
      <c r="U488" s="116"/>
      <c r="V488" s="116"/>
      <c r="W488" s="50">
        <v>6.0</v>
      </c>
      <c r="X488" s="50">
        <v>1.0</v>
      </c>
      <c r="Y488" s="50">
        <v>3.0</v>
      </c>
      <c r="Z488" s="50">
        <v>0.0</v>
      </c>
      <c r="AA488" s="50">
        <v>5.0</v>
      </c>
      <c r="AB488" s="50">
        <v>1.0</v>
      </c>
      <c r="AC488" s="50">
        <v>3.0</v>
      </c>
      <c r="AD488" s="50">
        <v>0.0</v>
      </c>
      <c r="AE488" s="50">
        <v>1.0</v>
      </c>
      <c r="AF488" s="50">
        <v>4.0</v>
      </c>
      <c r="AG488" s="50">
        <v>1.0</v>
      </c>
      <c r="AH488" s="50">
        <v>3.0</v>
      </c>
      <c r="AI488" s="50">
        <v>0.0</v>
      </c>
      <c r="AJ488" s="116"/>
      <c r="AK488" s="50" t="s">
        <v>13155</v>
      </c>
      <c r="AL488" s="50">
        <v>7.0</v>
      </c>
      <c r="AM488" s="50">
        <v>1.0</v>
      </c>
      <c r="AN488" s="50" t="s">
        <v>10629</v>
      </c>
      <c r="AO488" s="117">
        <v>5728.0</v>
      </c>
      <c r="AP488" s="50" t="s">
        <v>13158</v>
      </c>
      <c r="AQ488" s="50" t="s">
        <v>13159</v>
      </c>
      <c r="AR488" s="117">
        <v>488.0</v>
      </c>
    </row>
    <row r="489">
      <c r="A489" s="50" t="s">
        <v>13150</v>
      </c>
      <c r="B489" s="50" t="s">
        <v>6876</v>
      </c>
      <c r="C489" s="50" t="s">
        <v>6877</v>
      </c>
      <c r="D489" s="50" t="s">
        <v>11623</v>
      </c>
      <c r="E489" s="144">
        <v>43798.0</v>
      </c>
      <c r="F489" s="50" t="s">
        <v>13160</v>
      </c>
      <c r="G489" s="50">
        <v>58.0</v>
      </c>
      <c r="H489" s="50">
        <v>1.0</v>
      </c>
      <c r="I489" s="50">
        <v>14.0</v>
      </c>
      <c r="J489" s="50">
        <v>144.0</v>
      </c>
      <c r="K489" s="116"/>
      <c r="L489" s="50" t="s">
        <v>528</v>
      </c>
      <c r="M489" s="50" t="s">
        <v>528</v>
      </c>
      <c r="N489" s="50" t="s">
        <v>13127</v>
      </c>
      <c r="O489" s="50" t="s">
        <v>13128</v>
      </c>
      <c r="P489" s="50" t="s">
        <v>13129</v>
      </c>
      <c r="Q489" s="50" t="s">
        <v>13130</v>
      </c>
      <c r="R489" s="116"/>
      <c r="S489" s="116"/>
      <c r="T489" s="116"/>
      <c r="U489" s="116"/>
      <c r="V489" s="116"/>
      <c r="W489" s="50">
        <v>7.0</v>
      </c>
      <c r="X489" s="50">
        <v>100.0</v>
      </c>
      <c r="Y489" s="50">
        <v>3.0</v>
      </c>
      <c r="Z489" s="50">
        <v>0.0</v>
      </c>
      <c r="AA489" s="50">
        <v>7.0</v>
      </c>
      <c r="AB489" s="50">
        <v>10.0</v>
      </c>
      <c r="AC489" s="50">
        <v>3.0</v>
      </c>
      <c r="AD489" s="50">
        <v>0.0</v>
      </c>
      <c r="AE489" s="50">
        <v>1.0</v>
      </c>
      <c r="AF489" s="50">
        <v>6.0</v>
      </c>
      <c r="AG489" s="50">
        <v>1.0</v>
      </c>
      <c r="AH489" s="50">
        <v>3.0</v>
      </c>
      <c r="AI489" s="50">
        <v>0.0</v>
      </c>
      <c r="AJ489" s="116"/>
      <c r="AK489" s="50" t="s">
        <v>13147</v>
      </c>
      <c r="AL489" s="50">
        <v>7.0</v>
      </c>
      <c r="AM489" s="50">
        <v>1.0</v>
      </c>
      <c r="AN489" s="50" t="s">
        <v>10629</v>
      </c>
      <c r="AO489" s="117">
        <v>5729.0</v>
      </c>
      <c r="AP489" s="50" t="s">
        <v>13169</v>
      </c>
      <c r="AQ489" s="50" t="s">
        <v>13170</v>
      </c>
      <c r="AR489" s="117">
        <v>489.0</v>
      </c>
    </row>
    <row r="490">
      <c r="A490" s="50" t="s">
        <v>13171</v>
      </c>
      <c r="B490" s="50" t="s">
        <v>6876</v>
      </c>
      <c r="C490" s="50" t="s">
        <v>6877</v>
      </c>
      <c r="D490" s="50" t="s">
        <v>11623</v>
      </c>
      <c r="E490" s="144">
        <v>43798.0</v>
      </c>
      <c r="F490" s="50" t="s">
        <v>13172</v>
      </c>
      <c r="G490" s="50">
        <v>58.0</v>
      </c>
      <c r="H490" s="50">
        <v>1.0</v>
      </c>
      <c r="I490" s="50">
        <v>14.0</v>
      </c>
      <c r="J490" s="50">
        <v>145.0</v>
      </c>
      <c r="K490" s="116"/>
      <c r="L490" s="50" t="s">
        <v>535</v>
      </c>
      <c r="M490" s="50" t="s">
        <v>535</v>
      </c>
      <c r="N490" s="50" t="s">
        <v>13127</v>
      </c>
      <c r="O490" s="50" t="s">
        <v>13128</v>
      </c>
      <c r="P490" s="50" t="s">
        <v>13129</v>
      </c>
      <c r="Q490" s="50" t="s">
        <v>13130</v>
      </c>
      <c r="R490" s="116"/>
      <c r="S490" s="116"/>
      <c r="T490" s="116"/>
      <c r="U490" s="116"/>
      <c r="V490" s="116"/>
      <c r="W490" s="50">
        <v>7.0</v>
      </c>
      <c r="X490" s="50">
        <v>100.0</v>
      </c>
      <c r="Y490" s="50">
        <v>3.0</v>
      </c>
      <c r="Z490" s="50">
        <v>1.0</v>
      </c>
      <c r="AA490" s="50">
        <v>7.0</v>
      </c>
      <c r="AB490" s="50">
        <v>10.0</v>
      </c>
      <c r="AC490" s="50">
        <v>3.0</v>
      </c>
      <c r="AD490" s="50">
        <v>0.0</v>
      </c>
      <c r="AE490" s="50">
        <v>1.0</v>
      </c>
      <c r="AF490" s="50">
        <v>6.0</v>
      </c>
      <c r="AG490" s="50">
        <v>1.0</v>
      </c>
      <c r="AH490" s="50">
        <v>3.0</v>
      </c>
      <c r="AI490" s="50">
        <v>0.0</v>
      </c>
      <c r="AJ490" s="116"/>
      <c r="AK490" s="50" t="s">
        <v>13147</v>
      </c>
      <c r="AL490" s="50">
        <v>4.0</v>
      </c>
      <c r="AM490" s="50">
        <v>1.0</v>
      </c>
      <c r="AN490" s="50" t="s">
        <v>10629</v>
      </c>
      <c r="AO490" s="117">
        <v>5730.0</v>
      </c>
      <c r="AP490" s="50" t="s">
        <v>13175</v>
      </c>
      <c r="AQ490" s="50" t="s">
        <v>13176</v>
      </c>
      <c r="AR490" s="117">
        <v>490.0</v>
      </c>
    </row>
    <row r="491">
      <c r="A491" s="50" t="s">
        <v>13177</v>
      </c>
      <c r="B491" s="50" t="s">
        <v>6876</v>
      </c>
      <c r="C491" s="50" t="s">
        <v>6877</v>
      </c>
      <c r="D491" s="50" t="s">
        <v>11623</v>
      </c>
      <c r="E491" s="144">
        <v>43798.0</v>
      </c>
      <c r="F491" s="50" t="s">
        <v>13178</v>
      </c>
      <c r="G491" s="50">
        <v>58.0</v>
      </c>
      <c r="H491" s="50">
        <v>1.0</v>
      </c>
      <c r="I491" s="50">
        <v>99.0</v>
      </c>
      <c r="J491" s="116"/>
      <c r="K491" s="116"/>
      <c r="L491" s="50" t="s">
        <v>674</v>
      </c>
      <c r="M491" s="50" t="s">
        <v>674</v>
      </c>
      <c r="N491" s="50" t="s">
        <v>13127</v>
      </c>
      <c r="O491" s="50" t="s">
        <v>13180</v>
      </c>
      <c r="P491" s="50" t="s">
        <v>13128</v>
      </c>
      <c r="Q491" s="50" t="s">
        <v>13182</v>
      </c>
      <c r="R491" s="116"/>
      <c r="S491" s="116"/>
      <c r="T491" s="116"/>
      <c r="U491" s="116"/>
      <c r="V491" s="116"/>
      <c r="W491" s="50">
        <v>7.0</v>
      </c>
      <c r="X491" s="50">
        <v>100.0</v>
      </c>
      <c r="Y491" s="50">
        <v>3.0</v>
      </c>
      <c r="Z491" s="50">
        <v>0.0</v>
      </c>
      <c r="AA491" s="116"/>
      <c r="AB491" s="116"/>
      <c r="AC491" s="116"/>
      <c r="AD491" s="116"/>
      <c r="AE491" s="116"/>
      <c r="AF491" s="116"/>
      <c r="AG491" s="116"/>
      <c r="AH491" s="116"/>
      <c r="AI491" s="116"/>
      <c r="AJ491" s="116"/>
      <c r="AK491" s="50" t="s">
        <v>13185</v>
      </c>
      <c r="AL491" s="50">
        <v>4.0</v>
      </c>
      <c r="AM491" s="50">
        <v>1.0</v>
      </c>
      <c r="AN491" s="50" t="s">
        <v>10629</v>
      </c>
      <c r="AO491" s="117">
        <v>5731.0</v>
      </c>
      <c r="AP491" s="50" t="s">
        <v>13186</v>
      </c>
      <c r="AQ491" s="50" t="s">
        <v>13187</v>
      </c>
      <c r="AR491" s="117">
        <v>491.0</v>
      </c>
    </row>
    <row r="492">
      <c r="A492" s="50" t="s">
        <v>13178</v>
      </c>
      <c r="B492" s="50" t="s">
        <v>6876</v>
      </c>
      <c r="C492" s="50" t="s">
        <v>6877</v>
      </c>
      <c r="D492" s="50" t="s">
        <v>11623</v>
      </c>
      <c r="E492" s="144">
        <v>43798.0</v>
      </c>
      <c r="F492" s="50" t="s">
        <v>13190</v>
      </c>
      <c r="G492" s="50">
        <v>66.0</v>
      </c>
      <c r="H492" s="50">
        <v>1.0</v>
      </c>
      <c r="I492" s="50">
        <v>16.0</v>
      </c>
      <c r="J492" s="116"/>
      <c r="K492" s="116"/>
      <c r="L492" s="50" t="s">
        <v>1699</v>
      </c>
      <c r="M492" s="50" t="s">
        <v>1699</v>
      </c>
      <c r="N492" s="50" t="s">
        <v>13127</v>
      </c>
      <c r="O492" s="50" t="s">
        <v>13128</v>
      </c>
      <c r="P492" s="50" t="s">
        <v>13191</v>
      </c>
      <c r="Q492" s="50" t="s">
        <v>13192</v>
      </c>
      <c r="R492" s="116"/>
      <c r="S492" s="116"/>
      <c r="T492" s="116"/>
      <c r="U492" s="116"/>
      <c r="V492" s="116"/>
      <c r="W492" s="50">
        <v>4.0</v>
      </c>
      <c r="X492" s="50">
        <v>1.0</v>
      </c>
      <c r="Y492" s="50">
        <v>3.0</v>
      </c>
      <c r="Z492" s="50">
        <v>18.0</v>
      </c>
      <c r="AA492" s="50">
        <v>3.0</v>
      </c>
      <c r="AB492" s="50">
        <v>1.0</v>
      </c>
      <c r="AC492" s="50">
        <v>3.0</v>
      </c>
      <c r="AD492" s="50">
        <v>7.0</v>
      </c>
      <c r="AE492" s="50">
        <v>1.0</v>
      </c>
      <c r="AF492" s="50">
        <v>2.0</v>
      </c>
      <c r="AG492" s="50">
        <v>1.0</v>
      </c>
      <c r="AH492" s="50">
        <v>3.0</v>
      </c>
      <c r="AI492" s="50">
        <v>1.0</v>
      </c>
      <c r="AJ492" s="116"/>
      <c r="AK492" s="50" t="s">
        <v>13196</v>
      </c>
      <c r="AL492" s="50">
        <v>7.0</v>
      </c>
      <c r="AM492" s="50">
        <v>1.0</v>
      </c>
      <c r="AN492" s="50" t="s">
        <v>10629</v>
      </c>
      <c r="AO492" s="117">
        <v>5732.0</v>
      </c>
      <c r="AP492" s="50" t="s">
        <v>13197</v>
      </c>
      <c r="AQ492" s="50" t="s">
        <v>13198</v>
      </c>
      <c r="AR492" s="117">
        <v>492.0</v>
      </c>
    </row>
    <row r="493">
      <c r="A493" s="50" t="s">
        <v>13190</v>
      </c>
      <c r="B493" s="50" t="s">
        <v>6876</v>
      </c>
      <c r="C493" s="50" t="s">
        <v>6877</v>
      </c>
      <c r="D493" s="50" t="s">
        <v>11623</v>
      </c>
      <c r="E493" s="144">
        <v>43798.0</v>
      </c>
      <c r="F493" s="50" t="s">
        <v>13199</v>
      </c>
      <c r="G493" s="50">
        <v>33.0</v>
      </c>
      <c r="H493" s="50">
        <v>1.0</v>
      </c>
      <c r="I493" s="50">
        <v>98.0</v>
      </c>
      <c r="J493" s="116"/>
      <c r="K493" s="116"/>
      <c r="L493" s="50" t="s">
        <v>1698</v>
      </c>
      <c r="M493" s="50" t="s">
        <v>1698</v>
      </c>
      <c r="N493" s="50" t="s">
        <v>13127</v>
      </c>
      <c r="O493" s="50" t="s">
        <v>13180</v>
      </c>
      <c r="P493" s="50" t="s">
        <v>13128</v>
      </c>
      <c r="Q493" s="50" t="s">
        <v>13182</v>
      </c>
      <c r="R493" s="116"/>
      <c r="S493" s="116"/>
      <c r="T493" s="116"/>
      <c r="U493" s="116"/>
      <c r="V493" s="116"/>
      <c r="W493" s="50">
        <v>7.0</v>
      </c>
      <c r="X493" s="50">
        <v>100.0</v>
      </c>
      <c r="Y493" s="50">
        <v>3.0</v>
      </c>
      <c r="Z493" s="50">
        <v>0.0</v>
      </c>
      <c r="AA493" s="116"/>
      <c r="AB493" s="116"/>
      <c r="AC493" s="116"/>
      <c r="AD493" s="116"/>
      <c r="AE493" s="116"/>
      <c r="AF493" s="116"/>
      <c r="AG493" s="116"/>
      <c r="AH493" s="116"/>
      <c r="AI493" s="116"/>
      <c r="AJ493" s="116"/>
      <c r="AK493" s="50" t="s">
        <v>11376</v>
      </c>
      <c r="AL493" s="50">
        <v>4.0</v>
      </c>
      <c r="AM493" s="50">
        <v>1.0</v>
      </c>
      <c r="AN493" s="50" t="s">
        <v>10629</v>
      </c>
      <c r="AO493" s="117">
        <v>5733.0</v>
      </c>
      <c r="AP493" s="50" t="s">
        <v>13204</v>
      </c>
      <c r="AQ493" s="50" t="s">
        <v>13205</v>
      </c>
      <c r="AR493" s="117">
        <v>493.0</v>
      </c>
    </row>
    <row r="494">
      <c r="A494" s="50" t="s">
        <v>13206</v>
      </c>
      <c r="B494" s="50" t="s">
        <v>6876</v>
      </c>
      <c r="C494" s="50" t="s">
        <v>6877</v>
      </c>
      <c r="D494" s="50" t="s">
        <v>11623</v>
      </c>
      <c r="E494" s="144">
        <v>43801.0</v>
      </c>
      <c r="F494" s="50" t="s">
        <v>13207</v>
      </c>
      <c r="G494" s="50">
        <v>58.0</v>
      </c>
      <c r="H494" s="50">
        <v>1.0</v>
      </c>
      <c r="I494" s="50">
        <v>11.0</v>
      </c>
      <c r="J494" s="116"/>
      <c r="K494" s="116"/>
      <c r="L494" s="50" t="s">
        <v>1704</v>
      </c>
      <c r="M494" s="50" t="s">
        <v>1704</v>
      </c>
      <c r="N494" s="50" t="s">
        <v>13210</v>
      </c>
      <c r="O494" s="50" t="s">
        <v>13182</v>
      </c>
      <c r="P494" s="50" t="s">
        <v>13211</v>
      </c>
      <c r="Q494" s="50" t="s">
        <v>13212</v>
      </c>
      <c r="R494" s="116"/>
      <c r="S494" s="116"/>
      <c r="T494" s="116"/>
      <c r="U494" s="116"/>
      <c r="V494" s="116"/>
      <c r="W494" s="50">
        <v>3.0</v>
      </c>
      <c r="X494" s="50">
        <v>1.0</v>
      </c>
      <c r="Y494" s="50">
        <v>3.0</v>
      </c>
      <c r="Z494" s="50">
        <v>0.0</v>
      </c>
      <c r="AA494" s="50">
        <v>2.0</v>
      </c>
      <c r="AB494" s="50">
        <v>1.0</v>
      </c>
      <c r="AC494" s="50">
        <v>3.0</v>
      </c>
      <c r="AD494" s="50">
        <v>0.0</v>
      </c>
      <c r="AE494" s="50">
        <v>1.0</v>
      </c>
      <c r="AF494" s="50">
        <v>1.0</v>
      </c>
      <c r="AG494" s="50">
        <v>1.0</v>
      </c>
      <c r="AH494" s="50">
        <v>3.0</v>
      </c>
      <c r="AI494" s="50">
        <v>0.0</v>
      </c>
      <c r="AJ494" s="116"/>
      <c r="AK494" s="50" t="s">
        <v>13213</v>
      </c>
      <c r="AL494" s="50">
        <v>4.0</v>
      </c>
      <c r="AM494" s="50">
        <v>1.0</v>
      </c>
      <c r="AN494" s="50" t="s">
        <v>10629</v>
      </c>
      <c r="AO494" s="117">
        <v>5758.0</v>
      </c>
      <c r="AP494" s="50" t="s">
        <v>13214</v>
      </c>
      <c r="AQ494" s="50" t="s">
        <v>13215</v>
      </c>
      <c r="AR494" s="117">
        <v>494.0</v>
      </c>
    </row>
    <row r="495">
      <c r="A495" s="50" t="s">
        <v>13216</v>
      </c>
      <c r="B495" s="50" t="s">
        <v>6876</v>
      </c>
      <c r="C495" s="50" t="s">
        <v>6877</v>
      </c>
      <c r="D495" s="50" t="s">
        <v>11623</v>
      </c>
      <c r="E495" s="144">
        <v>43801.0</v>
      </c>
      <c r="F495" s="50" t="s">
        <v>13217</v>
      </c>
      <c r="G495" s="50">
        <v>58.0</v>
      </c>
      <c r="H495" s="50">
        <v>1.0</v>
      </c>
      <c r="I495" s="50">
        <v>99.0</v>
      </c>
      <c r="J495" s="116"/>
      <c r="K495" s="116"/>
      <c r="L495" s="50" t="s">
        <v>314</v>
      </c>
      <c r="M495" s="50" t="s">
        <v>314</v>
      </c>
      <c r="N495" s="50" t="s">
        <v>13210</v>
      </c>
      <c r="O495" s="50" t="s">
        <v>13219</v>
      </c>
      <c r="P495" s="50" t="s">
        <v>13182</v>
      </c>
      <c r="Q495" s="50" t="s">
        <v>13221</v>
      </c>
      <c r="R495" s="116"/>
      <c r="S495" s="116"/>
      <c r="T495" s="116"/>
      <c r="U495" s="116"/>
      <c r="V495" s="116"/>
      <c r="W495" s="50">
        <v>7.0</v>
      </c>
      <c r="X495" s="50">
        <v>100.0</v>
      </c>
      <c r="Y495" s="50">
        <v>3.0</v>
      </c>
      <c r="Z495" s="50">
        <v>0.0</v>
      </c>
      <c r="AA495" s="116"/>
      <c r="AB495" s="116"/>
      <c r="AC495" s="116"/>
      <c r="AD495" s="116"/>
      <c r="AE495" s="116"/>
      <c r="AF495" s="116"/>
      <c r="AG495" s="116"/>
      <c r="AH495" s="116"/>
      <c r="AI495" s="116"/>
      <c r="AJ495" s="116"/>
      <c r="AK495" s="50" t="s">
        <v>13225</v>
      </c>
      <c r="AL495" s="50">
        <v>4.0</v>
      </c>
      <c r="AM495" s="50">
        <v>1.0</v>
      </c>
      <c r="AN495" s="50" t="s">
        <v>10629</v>
      </c>
      <c r="AO495" s="117">
        <v>5759.0</v>
      </c>
      <c r="AP495" s="50" t="s">
        <v>13228</v>
      </c>
      <c r="AQ495" s="50" t="s">
        <v>13229</v>
      </c>
      <c r="AR495" s="117">
        <v>495.0</v>
      </c>
    </row>
    <row r="496">
      <c r="A496" s="50" t="s">
        <v>13230</v>
      </c>
      <c r="B496" s="50" t="s">
        <v>6876</v>
      </c>
      <c r="C496" s="50" t="s">
        <v>6877</v>
      </c>
      <c r="D496" s="50" t="s">
        <v>11623</v>
      </c>
      <c r="E496" s="144">
        <v>43801.0</v>
      </c>
      <c r="F496" s="50" t="s">
        <v>13231</v>
      </c>
      <c r="G496" s="50">
        <v>59.0</v>
      </c>
      <c r="H496" s="50">
        <v>1.0</v>
      </c>
      <c r="I496" s="50">
        <v>11.0</v>
      </c>
      <c r="J496" s="116"/>
      <c r="K496" s="116"/>
      <c r="L496" s="50" t="s">
        <v>1705</v>
      </c>
      <c r="M496" s="50" t="s">
        <v>1705</v>
      </c>
      <c r="N496" s="50" t="s">
        <v>13210</v>
      </c>
      <c r="O496" s="50" t="s">
        <v>13182</v>
      </c>
      <c r="P496" s="50" t="s">
        <v>13211</v>
      </c>
      <c r="Q496" s="50" t="s">
        <v>13212</v>
      </c>
      <c r="R496" s="116"/>
      <c r="S496" s="116"/>
      <c r="T496" s="116"/>
      <c r="U496" s="116"/>
      <c r="V496" s="116"/>
      <c r="W496" s="50">
        <v>3.0</v>
      </c>
      <c r="X496" s="50">
        <v>1.0</v>
      </c>
      <c r="Y496" s="50">
        <v>3.0</v>
      </c>
      <c r="Z496" s="50">
        <v>24.0</v>
      </c>
      <c r="AA496" s="50">
        <v>2.0</v>
      </c>
      <c r="AB496" s="50">
        <v>1.0</v>
      </c>
      <c r="AC496" s="50">
        <v>3.0</v>
      </c>
      <c r="AD496" s="50">
        <v>4.0</v>
      </c>
      <c r="AE496" s="50">
        <v>1.0</v>
      </c>
      <c r="AF496" s="50">
        <v>1.0</v>
      </c>
      <c r="AG496" s="50">
        <v>1.0</v>
      </c>
      <c r="AH496" s="50">
        <v>3.0</v>
      </c>
      <c r="AI496" s="50">
        <v>1.0</v>
      </c>
      <c r="AJ496" s="116"/>
      <c r="AK496" s="50" t="s">
        <v>13234</v>
      </c>
      <c r="AL496" s="50">
        <v>4.0</v>
      </c>
      <c r="AM496" s="50">
        <v>1.0</v>
      </c>
      <c r="AN496" s="50" t="s">
        <v>10629</v>
      </c>
      <c r="AO496" s="117">
        <v>5760.0</v>
      </c>
      <c r="AP496" s="50" t="s">
        <v>13235</v>
      </c>
      <c r="AQ496" s="50" t="s">
        <v>13236</v>
      </c>
      <c r="AR496" s="117">
        <v>496.0</v>
      </c>
    </row>
    <row r="497">
      <c r="A497" s="50" t="s">
        <v>13237</v>
      </c>
      <c r="B497" s="50" t="s">
        <v>6876</v>
      </c>
      <c r="C497" s="50" t="s">
        <v>6877</v>
      </c>
      <c r="D497" s="50" t="s">
        <v>11623</v>
      </c>
      <c r="E497" s="144">
        <v>43801.0</v>
      </c>
      <c r="F497" s="50" t="s">
        <v>13238</v>
      </c>
      <c r="G497" s="50">
        <v>59.0</v>
      </c>
      <c r="H497" s="50">
        <v>1.0</v>
      </c>
      <c r="I497" s="50">
        <v>99.0</v>
      </c>
      <c r="J497" s="116"/>
      <c r="K497" s="116"/>
      <c r="L497" s="50" t="s">
        <v>316</v>
      </c>
      <c r="M497" s="50" t="s">
        <v>316</v>
      </c>
      <c r="N497" s="50" t="s">
        <v>13210</v>
      </c>
      <c r="O497" s="50" t="s">
        <v>13219</v>
      </c>
      <c r="P497" s="50" t="s">
        <v>13182</v>
      </c>
      <c r="Q497" s="50" t="s">
        <v>13221</v>
      </c>
      <c r="R497" s="116"/>
      <c r="S497" s="116"/>
      <c r="T497" s="116"/>
      <c r="U497" s="116"/>
      <c r="V497" s="116"/>
      <c r="W497" s="50">
        <v>7.0</v>
      </c>
      <c r="X497" s="50">
        <v>100.0</v>
      </c>
      <c r="Y497" s="50">
        <v>3.0</v>
      </c>
      <c r="Z497" s="50">
        <v>0.0</v>
      </c>
      <c r="AA497" s="116"/>
      <c r="AB497" s="116"/>
      <c r="AC497" s="116"/>
      <c r="AD497" s="116"/>
      <c r="AE497" s="116"/>
      <c r="AF497" s="116"/>
      <c r="AG497" s="116"/>
      <c r="AH497" s="116"/>
      <c r="AI497" s="116"/>
      <c r="AJ497" s="116"/>
      <c r="AK497" s="50" t="s">
        <v>13243</v>
      </c>
      <c r="AL497" s="50">
        <v>4.0</v>
      </c>
      <c r="AM497" s="50">
        <v>1.0</v>
      </c>
      <c r="AN497" s="50" t="s">
        <v>10629</v>
      </c>
      <c r="AO497" s="117">
        <v>5761.0</v>
      </c>
      <c r="AP497" s="50" t="s">
        <v>13244</v>
      </c>
      <c r="AQ497" s="50" t="s">
        <v>13245</v>
      </c>
      <c r="AR497" s="117">
        <v>497.0</v>
      </c>
    </row>
    <row r="498">
      <c r="A498" s="50" t="s">
        <v>13246</v>
      </c>
      <c r="B498" s="50" t="s">
        <v>6876</v>
      </c>
      <c r="C498" s="50" t="s">
        <v>6877</v>
      </c>
      <c r="D498" s="50" t="s">
        <v>11623</v>
      </c>
      <c r="E498" s="144">
        <v>43801.0</v>
      </c>
      <c r="F498" s="50" t="s">
        <v>13249</v>
      </c>
      <c r="G498" s="50">
        <v>66.0</v>
      </c>
      <c r="H498" s="50">
        <v>1.0</v>
      </c>
      <c r="I498" s="50">
        <v>99.0</v>
      </c>
      <c r="J498" s="116"/>
      <c r="K498" s="116"/>
      <c r="L498" s="50" t="s">
        <v>318</v>
      </c>
      <c r="M498" s="50" t="s">
        <v>318</v>
      </c>
      <c r="N498" s="50" t="s">
        <v>13210</v>
      </c>
      <c r="O498" s="50" t="s">
        <v>13219</v>
      </c>
      <c r="P498" s="50" t="s">
        <v>13182</v>
      </c>
      <c r="Q498" s="50" t="s">
        <v>13221</v>
      </c>
      <c r="R498" s="116"/>
      <c r="S498" s="116"/>
      <c r="T498" s="116"/>
      <c r="U498" s="116"/>
      <c r="V498" s="116"/>
      <c r="W498" s="50">
        <v>7.0</v>
      </c>
      <c r="X498" s="50">
        <v>100.0</v>
      </c>
      <c r="Y498" s="50">
        <v>3.0</v>
      </c>
      <c r="Z498" s="50">
        <v>0.0</v>
      </c>
      <c r="AA498" s="116"/>
      <c r="AB498" s="116"/>
      <c r="AC498" s="116"/>
      <c r="AD498" s="116"/>
      <c r="AE498" s="116"/>
      <c r="AF498" s="116"/>
      <c r="AG498" s="116"/>
      <c r="AH498" s="116"/>
      <c r="AI498" s="116"/>
      <c r="AJ498" s="116"/>
      <c r="AK498" s="50" t="s">
        <v>13254</v>
      </c>
      <c r="AL498" s="50">
        <v>4.0</v>
      </c>
      <c r="AM498" s="50">
        <v>1.0</v>
      </c>
      <c r="AN498" s="50" t="s">
        <v>10629</v>
      </c>
      <c r="AO498" s="117">
        <v>5762.0</v>
      </c>
      <c r="AP498" s="50" t="s">
        <v>13255</v>
      </c>
      <c r="AQ498" s="50" t="s">
        <v>13256</v>
      </c>
      <c r="AR498" s="117">
        <v>498.0</v>
      </c>
    </row>
    <row r="499">
      <c r="A499" s="50" t="s">
        <v>13257</v>
      </c>
      <c r="B499" s="50" t="s">
        <v>6876</v>
      </c>
      <c r="C499" s="50" t="s">
        <v>6877</v>
      </c>
      <c r="D499" s="50" t="s">
        <v>11623</v>
      </c>
      <c r="E499" s="144">
        <v>43801.0</v>
      </c>
      <c r="F499" s="50" t="s">
        <v>13260</v>
      </c>
      <c r="G499" s="50">
        <v>59.0</v>
      </c>
      <c r="H499" s="50">
        <v>1.0</v>
      </c>
      <c r="I499" s="50">
        <v>99.0</v>
      </c>
      <c r="J499" s="116"/>
      <c r="K499" s="116"/>
      <c r="L499" s="50" t="s">
        <v>320</v>
      </c>
      <c r="M499" s="50" t="s">
        <v>320</v>
      </c>
      <c r="N499" s="50" t="s">
        <v>13210</v>
      </c>
      <c r="O499" s="50" t="s">
        <v>13219</v>
      </c>
      <c r="P499" s="50" t="s">
        <v>13182</v>
      </c>
      <c r="Q499" s="50" t="s">
        <v>13221</v>
      </c>
      <c r="R499" s="116"/>
      <c r="S499" s="116"/>
      <c r="T499" s="116"/>
      <c r="U499" s="116"/>
      <c r="V499" s="116"/>
      <c r="W499" s="50">
        <v>7.0</v>
      </c>
      <c r="X499" s="50">
        <v>100.0</v>
      </c>
      <c r="Y499" s="50">
        <v>3.0</v>
      </c>
      <c r="Z499" s="50">
        <v>0.0</v>
      </c>
      <c r="AA499" s="116"/>
      <c r="AB499" s="116"/>
      <c r="AC499" s="116"/>
      <c r="AD499" s="116"/>
      <c r="AE499" s="116"/>
      <c r="AF499" s="116"/>
      <c r="AG499" s="116"/>
      <c r="AH499" s="116"/>
      <c r="AI499" s="116"/>
      <c r="AJ499" s="116"/>
      <c r="AK499" s="50" t="s">
        <v>13265</v>
      </c>
      <c r="AL499" s="50">
        <v>4.0</v>
      </c>
      <c r="AM499" s="50">
        <v>1.0</v>
      </c>
      <c r="AN499" s="50" t="s">
        <v>10629</v>
      </c>
      <c r="AO499" s="117">
        <v>5763.0</v>
      </c>
      <c r="AP499" s="50" t="s">
        <v>13268</v>
      </c>
      <c r="AQ499" s="50" t="s">
        <v>13269</v>
      </c>
      <c r="AR499" s="117">
        <v>499.0</v>
      </c>
    </row>
    <row r="500">
      <c r="A500" s="50" t="s">
        <v>13271</v>
      </c>
      <c r="B500" s="50" t="s">
        <v>6876</v>
      </c>
      <c r="C500" s="50" t="s">
        <v>6877</v>
      </c>
      <c r="D500" s="50" t="s">
        <v>11623</v>
      </c>
      <c r="E500" s="144">
        <v>43801.0</v>
      </c>
      <c r="F500" s="50" t="s">
        <v>13272</v>
      </c>
      <c r="G500" s="50">
        <v>33.0</v>
      </c>
      <c r="H500" s="50">
        <v>1.0</v>
      </c>
      <c r="I500" s="50">
        <v>98.0</v>
      </c>
      <c r="J500" s="116"/>
      <c r="K500" s="116"/>
      <c r="L500" s="50" t="s">
        <v>1706</v>
      </c>
      <c r="M500" s="50" t="s">
        <v>1706</v>
      </c>
      <c r="N500" s="50" t="s">
        <v>13210</v>
      </c>
      <c r="O500" s="50" t="s">
        <v>13275</v>
      </c>
      <c r="P500" s="50" t="s">
        <v>13277</v>
      </c>
      <c r="Q500" s="50" t="s">
        <v>13279</v>
      </c>
      <c r="R500" s="116"/>
      <c r="S500" s="116"/>
      <c r="T500" s="116"/>
      <c r="U500" s="116"/>
      <c r="V500" s="116"/>
      <c r="W500" s="50">
        <v>7.0</v>
      </c>
      <c r="X500" s="50">
        <v>100.0</v>
      </c>
      <c r="Y500" s="50">
        <v>3.0</v>
      </c>
      <c r="Z500" s="50">
        <v>0.0</v>
      </c>
      <c r="AA500" s="116"/>
      <c r="AB500" s="116"/>
      <c r="AC500" s="116"/>
      <c r="AD500" s="116"/>
      <c r="AE500" s="116"/>
      <c r="AF500" s="116"/>
      <c r="AG500" s="116"/>
      <c r="AH500" s="116"/>
      <c r="AI500" s="116"/>
      <c r="AJ500" s="116"/>
      <c r="AK500" s="50" t="s">
        <v>11376</v>
      </c>
      <c r="AL500" s="50">
        <v>4.0</v>
      </c>
      <c r="AM500" s="50">
        <v>1.0</v>
      </c>
      <c r="AN500" s="50" t="s">
        <v>10629</v>
      </c>
      <c r="AO500" s="117">
        <v>5764.0</v>
      </c>
      <c r="AP500" s="50" t="s">
        <v>13282</v>
      </c>
      <c r="AQ500" s="50" t="s">
        <v>13283</v>
      </c>
      <c r="AR500" s="117">
        <v>500.0</v>
      </c>
    </row>
    <row r="501">
      <c r="A501" s="50" t="s">
        <v>13284</v>
      </c>
      <c r="B501" s="50" t="s">
        <v>6876</v>
      </c>
      <c r="C501" s="50" t="s">
        <v>6877</v>
      </c>
      <c r="D501" s="50" t="s">
        <v>11623</v>
      </c>
      <c r="E501" s="144">
        <v>43801.0</v>
      </c>
      <c r="F501" s="50" t="s">
        <v>13285</v>
      </c>
      <c r="G501" s="50">
        <v>59.0</v>
      </c>
      <c r="H501" s="50">
        <v>1.0</v>
      </c>
      <c r="I501" s="50">
        <v>11.0</v>
      </c>
      <c r="J501" s="116"/>
      <c r="K501" s="116"/>
      <c r="L501" s="50" t="s">
        <v>1709</v>
      </c>
      <c r="M501" s="50" t="s">
        <v>1709</v>
      </c>
      <c r="N501" s="50" t="s">
        <v>13286</v>
      </c>
      <c r="O501" s="50" t="s">
        <v>13287</v>
      </c>
      <c r="P501" s="50" t="s">
        <v>13221</v>
      </c>
      <c r="Q501" s="50" t="s">
        <v>13290</v>
      </c>
      <c r="R501" s="116"/>
      <c r="S501" s="116"/>
      <c r="T501" s="116"/>
      <c r="U501" s="116"/>
      <c r="V501" s="116"/>
      <c r="W501" s="50">
        <v>3.0</v>
      </c>
      <c r="X501" s="50">
        <v>1.0</v>
      </c>
      <c r="Y501" s="50">
        <v>3.0</v>
      </c>
      <c r="Z501" s="50">
        <v>0.0</v>
      </c>
      <c r="AA501" s="50">
        <v>2.0</v>
      </c>
      <c r="AB501" s="50">
        <v>1.0</v>
      </c>
      <c r="AC501" s="50">
        <v>3.0</v>
      </c>
      <c r="AD501" s="50">
        <v>0.0</v>
      </c>
      <c r="AE501" s="50">
        <v>1.0</v>
      </c>
      <c r="AF501" s="50">
        <v>1.0</v>
      </c>
      <c r="AG501" s="50">
        <v>1.0</v>
      </c>
      <c r="AH501" s="50">
        <v>3.0</v>
      </c>
      <c r="AI501" s="50">
        <v>0.0</v>
      </c>
      <c r="AJ501" s="116"/>
      <c r="AK501" s="50" t="s">
        <v>13296</v>
      </c>
      <c r="AL501" s="50">
        <v>4.0</v>
      </c>
      <c r="AM501" s="50">
        <v>1.0</v>
      </c>
      <c r="AN501" s="50" t="s">
        <v>10629</v>
      </c>
      <c r="AO501" s="117">
        <v>5801.0</v>
      </c>
      <c r="AP501" s="50" t="s">
        <v>13297</v>
      </c>
      <c r="AQ501" s="50" t="s">
        <v>13298</v>
      </c>
      <c r="AR501" s="117">
        <v>501.0</v>
      </c>
    </row>
    <row r="502">
      <c r="A502" s="50" t="s">
        <v>13285</v>
      </c>
      <c r="B502" s="50" t="s">
        <v>6876</v>
      </c>
      <c r="C502" s="50" t="s">
        <v>6877</v>
      </c>
      <c r="D502" s="50" t="s">
        <v>11623</v>
      </c>
      <c r="E502" s="144">
        <v>43801.0</v>
      </c>
      <c r="F502" s="50" t="s">
        <v>13299</v>
      </c>
      <c r="G502" s="50">
        <v>59.0</v>
      </c>
      <c r="H502" s="50">
        <v>1.0</v>
      </c>
      <c r="I502" s="50">
        <v>99.0</v>
      </c>
      <c r="J502" s="116"/>
      <c r="K502" s="116"/>
      <c r="L502" s="50" t="s">
        <v>1710</v>
      </c>
      <c r="M502" s="50" t="s">
        <v>1710</v>
      </c>
      <c r="N502" s="50" t="s">
        <v>13286</v>
      </c>
      <c r="O502" s="50" t="s">
        <v>13302</v>
      </c>
      <c r="P502" s="50" t="s">
        <v>13303</v>
      </c>
      <c r="Q502" s="50" t="s">
        <v>13304</v>
      </c>
      <c r="R502" s="116"/>
      <c r="S502" s="116"/>
      <c r="T502" s="116"/>
      <c r="U502" s="116"/>
      <c r="V502" s="116"/>
      <c r="W502" s="50">
        <v>7.0</v>
      </c>
      <c r="X502" s="50">
        <v>100.0</v>
      </c>
      <c r="Y502" s="50">
        <v>3.0</v>
      </c>
      <c r="Z502" s="50">
        <v>0.0</v>
      </c>
      <c r="AA502" s="116"/>
      <c r="AB502" s="116"/>
      <c r="AC502" s="116"/>
      <c r="AD502" s="116"/>
      <c r="AE502" s="116"/>
      <c r="AF502" s="116"/>
      <c r="AG502" s="116"/>
      <c r="AH502" s="116"/>
      <c r="AI502" s="116"/>
      <c r="AJ502" s="116"/>
      <c r="AK502" s="50" t="s">
        <v>13309</v>
      </c>
      <c r="AL502" s="50">
        <v>4.0</v>
      </c>
      <c r="AM502" s="50">
        <v>1.0</v>
      </c>
      <c r="AN502" s="50" t="s">
        <v>10629</v>
      </c>
      <c r="AO502" s="117">
        <v>5802.0</v>
      </c>
      <c r="AP502" s="50" t="s">
        <v>13310</v>
      </c>
      <c r="AQ502" s="50" t="s">
        <v>13311</v>
      </c>
      <c r="AR502" s="117">
        <v>502.0</v>
      </c>
    </row>
    <row r="503">
      <c r="A503" s="50" t="s">
        <v>13299</v>
      </c>
      <c r="B503" s="50" t="s">
        <v>6876</v>
      </c>
      <c r="C503" s="50" t="s">
        <v>6877</v>
      </c>
      <c r="D503" s="50" t="s">
        <v>11623</v>
      </c>
      <c r="E503" s="144">
        <v>43801.0</v>
      </c>
      <c r="F503" s="50" t="s">
        <v>13316</v>
      </c>
      <c r="G503" s="50">
        <v>59.0</v>
      </c>
      <c r="H503" s="50">
        <v>1.0</v>
      </c>
      <c r="I503" s="50">
        <v>11.0</v>
      </c>
      <c r="J503" s="116"/>
      <c r="K503" s="116"/>
      <c r="L503" s="50" t="s">
        <v>1712</v>
      </c>
      <c r="M503" s="50" t="s">
        <v>1712</v>
      </c>
      <c r="N503" s="50" t="s">
        <v>13286</v>
      </c>
      <c r="O503" s="50" t="s">
        <v>13287</v>
      </c>
      <c r="P503" s="50" t="s">
        <v>13221</v>
      </c>
      <c r="Q503" s="50" t="s">
        <v>13290</v>
      </c>
      <c r="R503" s="116"/>
      <c r="S503" s="116"/>
      <c r="T503" s="116"/>
      <c r="U503" s="116"/>
      <c r="V503" s="116"/>
      <c r="W503" s="50">
        <v>3.0</v>
      </c>
      <c r="X503" s="50">
        <v>1.0</v>
      </c>
      <c r="Y503" s="50">
        <v>3.0</v>
      </c>
      <c r="Z503" s="50">
        <v>1.0</v>
      </c>
      <c r="AA503" s="50">
        <v>2.0</v>
      </c>
      <c r="AB503" s="50">
        <v>1.0</v>
      </c>
      <c r="AC503" s="50">
        <v>3.0</v>
      </c>
      <c r="AD503" s="50">
        <v>0.0</v>
      </c>
      <c r="AE503" s="50">
        <v>1.0</v>
      </c>
      <c r="AF503" s="50">
        <v>1.0</v>
      </c>
      <c r="AG503" s="50">
        <v>1.0</v>
      </c>
      <c r="AH503" s="50">
        <v>3.0</v>
      </c>
      <c r="AI503" s="50">
        <v>0.0</v>
      </c>
      <c r="AJ503" s="116"/>
      <c r="AK503" s="50" t="s">
        <v>13296</v>
      </c>
      <c r="AL503" s="50">
        <v>4.0</v>
      </c>
      <c r="AM503" s="50">
        <v>1.0</v>
      </c>
      <c r="AN503" s="50" t="s">
        <v>10629</v>
      </c>
      <c r="AO503" s="117">
        <v>5803.0</v>
      </c>
      <c r="AP503" s="50" t="s">
        <v>13319</v>
      </c>
      <c r="AQ503" s="50" t="s">
        <v>13320</v>
      </c>
      <c r="AR503" s="117">
        <v>503.0</v>
      </c>
    </row>
    <row r="504">
      <c r="A504" s="50" t="s">
        <v>13316</v>
      </c>
      <c r="B504" s="50" t="s">
        <v>6876</v>
      </c>
      <c r="C504" s="50" t="s">
        <v>6877</v>
      </c>
      <c r="D504" s="50" t="s">
        <v>11623</v>
      </c>
      <c r="E504" s="144">
        <v>43801.0</v>
      </c>
      <c r="F504" s="50" t="s">
        <v>13321</v>
      </c>
      <c r="G504" s="50">
        <v>59.0</v>
      </c>
      <c r="H504" s="50">
        <v>1.0</v>
      </c>
      <c r="I504" s="50">
        <v>99.0</v>
      </c>
      <c r="J504" s="116"/>
      <c r="K504" s="116"/>
      <c r="L504" s="50" t="s">
        <v>1713</v>
      </c>
      <c r="M504" s="50" t="s">
        <v>1713</v>
      </c>
      <c r="N504" s="50" t="s">
        <v>13286</v>
      </c>
      <c r="O504" s="50" t="s">
        <v>13302</v>
      </c>
      <c r="P504" s="50" t="s">
        <v>13303</v>
      </c>
      <c r="Q504" s="50" t="s">
        <v>13304</v>
      </c>
      <c r="R504" s="116"/>
      <c r="S504" s="116"/>
      <c r="T504" s="116"/>
      <c r="U504" s="116"/>
      <c r="V504" s="116"/>
      <c r="W504" s="50">
        <v>7.0</v>
      </c>
      <c r="X504" s="50">
        <v>100.0</v>
      </c>
      <c r="Y504" s="50">
        <v>3.0</v>
      </c>
      <c r="Z504" s="50">
        <v>0.0</v>
      </c>
      <c r="AA504" s="116"/>
      <c r="AB504" s="116"/>
      <c r="AC504" s="116"/>
      <c r="AD504" s="116"/>
      <c r="AE504" s="116"/>
      <c r="AF504" s="116"/>
      <c r="AG504" s="116"/>
      <c r="AH504" s="116"/>
      <c r="AI504" s="116"/>
      <c r="AJ504" s="116"/>
      <c r="AK504" s="50" t="s">
        <v>13333</v>
      </c>
      <c r="AL504" s="50">
        <v>4.0</v>
      </c>
      <c r="AM504" s="50">
        <v>1.0</v>
      </c>
      <c r="AN504" s="50" t="s">
        <v>10629</v>
      </c>
      <c r="AO504" s="117">
        <v>5804.0</v>
      </c>
      <c r="AP504" s="50" t="s">
        <v>13335</v>
      </c>
      <c r="AQ504" s="50" t="s">
        <v>13336</v>
      </c>
      <c r="AR504" s="117">
        <v>504.0</v>
      </c>
    </row>
    <row r="505">
      <c r="A505" s="50" t="s">
        <v>13321</v>
      </c>
      <c r="B505" s="50" t="s">
        <v>6876</v>
      </c>
      <c r="C505" s="50" t="s">
        <v>6877</v>
      </c>
      <c r="D505" s="50" t="s">
        <v>11623</v>
      </c>
      <c r="E505" s="144">
        <v>43801.0</v>
      </c>
      <c r="F505" s="50" t="s">
        <v>13337</v>
      </c>
      <c r="G505" s="50">
        <v>59.0</v>
      </c>
      <c r="H505" s="50">
        <v>1.0</v>
      </c>
      <c r="I505" s="50">
        <v>11.0</v>
      </c>
      <c r="J505" s="116"/>
      <c r="K505" s="116"/>
      <c r="L505" s="50" t="s">
        <v>1715</v>
      </c>
      <c r="M505" s="50" t="s">
        <v>1715</v>
      </c>
      <c r="N505" s="50" t="s">
        <v>13286</v>
      </c>
      <c r="O505" s="50" t="s">
        <v>13287</v>
      </c>
      <c r="P505" s="50" t="s">
        <v>13221</v>
      </c>
      <c r="Q505" s="50" t="s">
        <v>13290</v>
      </c>
      <c r="R505" s="116"/>
      <c r="S505" s="116"/>
      <c r="T505" s="116"/>
      <c r="U505" s="116"/>
      <c r="V505" s="116"/>
      <c r="W505" s="50">
        <v>3.0</v>
      </c>
      <c r="X505" s="50">
        <v>1.0</v>
      </c>
      <c r="Y505" s="50">
        <v>3.0</v>
      </c>
      <c r="Z505" s="50">
        <v>1.0</v>
      </c>
      <c r="AA505" s="50">
        <v>2.0</v>
      </c>
      <c r="AB505" s="50">
        <v>1.0</v>
      </c>
      <c r="AC505" s="50">
        <v>3.0</v>
      </c>
      <c r="AD505" s="50">
        <v>1.0</v>
      </c>
      <c r="AE505" s="50">
        <v>1.0</v>
      </c>
      <c r="AF505" s="50">
        <v>1.0</v>
      </c>
      <c r="AG505" s="50">
        <v>1.0</v>
      </c>
      <c r="AH505" s="50">
        <v>3.0</v>
      </c>
      <c r="AI505" s="50">
        <v>0.0</v>
      </c>
      <c r="AJ505" s="116"/>
      <c r="AK505" s="50" t="s">
        <v>13339</v>
      </c>
      <c r="AL505" s="50">
        <v>4.0</v>
      </c>
      <c r="AM505" s="50">
        <v>1.0</v>
      </c>
      <c r="AN505" s="50" t="s">
        <v>10629</v>
      </c>
      <c r="AO505" s="117">
        <v>5805.0</v>
      </c>
      <c r="AP505" s="50" t="s">
        <v>13340</v>
      </c>
      <c r="AQ505" s="50" t="s">
        <v>13341</v>
      </c>
      <c r="AR505" s="117">
        <v>505.0</v>
      </c>
    </row>
    <row r="506">
      <c r="A506" s="50" t="s">
        <v>13337</v>
      </c>
      <c r="B506" s="50" t="s">
        <v>6876</v>
      </c>
      <c r="C506" s="50" t="s">
        <v>6877</v>
      </c>
      <c r="D506" s="50" t="s">
        <v>11623</v>
      </c>
      <c r="E506" s="144">
        <v>43801.0</v>
      </c>
      <c r="F506" s="50" t="s">
        <v>13349</v>
      </c>
      <c r="G506" s="50">
        <v>59.0</v>
      </c>
      <c r="H506" s="50">
        <v>1.0</v>
      </c>
      <c r="I506" s="50">
        <v>99.0</v>
      </c>
      <c r="J506" s="116"/>
      <c r="K506" s="116"/>
      <c r="L506" s="50" t="s">
        <v>1716</v>
      </c>
      <c r="M506" s="50" t="s">
        <v>1716</v>
      </c>
      <c r="N506" s="50" t="s">
        <v>13286</v>
      </c>
      <c r="O506" s="50" t="s">
        <v>13302</v>
      </c>
      <c r="P506" s="50" t="s">
        <v>13303</v>
      </c>
      <c r="Q506" s="50" t="s">
        <v>13304</v>
      </c>
      <c r="R506" s="116"/>
      <c r="S506" s="116"/>
      <c r="T506" s="116"/>
      <c r="U506" s="116"/>
      <c r="V506" s="116"/>
      <c r="W506" s="50">
        <v>7.0</v>
      </c>
      <c r="X506" s="50">
        <v>100.0</v>
      </c>
      <c r="Y506" s="50">
        <v>3.0</v>
      </c>
      <c r="Z506" s="50">
        <v>0.0</v>
      </c>
      <c r="AA506" s="116"/>
      <c r="AB506" s="116"/>
      <c r="AC506" s="116"/>
      <c r="AD506" s="116"/>
      <c r="AE506" s="116"/>
      <c r="AF506" s="116"/>
      <c r="AG506" s="116"/>
      <c r="AH506" s="116"/>
      <c r="AI506" s="116"/>
      <c r="AJ506" s="116"/>
      <c r="AK506" s="50" t="s">
        <v>13354</v>
      </c>
      <c r="AL506" s="50">
        <v>4.0</v>
      </c>
      <c r="AM506" s="50">
        <v>1.0</v>
      </c>
      <c r="AN506" s="50" t="s">
        <v>10629</v>
      </c>
      <c r="AO506" s="117">
        <v>5806.0</v>
      </c>
      <c r="AP506" s="50" t="s">
        <v>13355</v>
      </c>
      <c r="AQ506" s="50" t="s">
        <v>13356</v>
      </c>
      <c r="AR506" s="117">
        <v>506.0</v>
      </c>
    </row>
    <row r="507">
      <c r="A507" s="50" t="s">
        <v>13349</v>
      </c>
      <c r="B507" s="50" t="s">
        <v>6876</v>
      </c>
      <c r="C507" s="50" t="s">
        <v>6877</v>
      </c>
      <c r="D507" s="50" t="s">
        <v>11623</v>
      </c>
      <c r="E507" s="144">
        <v>43801.0</v>
      </c>
      <c r="F507" s="50" t="s">
        <v>13357</v>
      </c>
      <c r="G507" s="50">
        <v>33.0</v>
      </c>
      <c r="H507" s="50">
        <v>1.0</v>
      </c>
      <c r="I507" s="50">
        <v>98.0</v>
      </c>
      <c r="J507" s="116"/>
      <c r="K507" s="116"/>
      <c r="L507" s="50" t="s">
        <v>1718</v>
      </c>
      <c r="M507" s="50" t="s">
        <v>1718</v>
      </c>
      <c r="N507" s="50" t="s">
        <v>13286</v>
      </c>
      <c r="O507" s="50" t="s">
        <v>13358</v>
      </c>
      <c r="P507" s="50" t="s">
        <v>13359</v>
      </c>
      <c r="Q507" s="50" t="s">
        <v>13360</v>
      </c>
      <c r="R507" s="116"/>
      <c r="S507" s="116"/>
      <c r="T507" s="116"/>
      <c r="U507" s="116"/>
      <c r="V507" s="116"/>
      <c r="W507" s="50">
        <v>7.0</v>
      </c>
      <c r="X507" s="50">
        <v>100.0</v>
      </c>
      <c r="Y507" s="50">
        <v>3.0</v>
      </c>
      <c r="Z507" s="50">
        <v>0.0</v>
      </c>
      <c r="AA507" s="116"/>
      <c r="AB507" s="116"/>
      <c r="AC507" s="116"/>
      <c r="AD507" s="116"/>
      <c r="AE507" s="116"/>
      <c r="AF507" s="116"/>
      <c r="AG507" s="116"/>
      <c r="AH507" s="116"/>
      <c r="AI507" s="116"/>
      <c r="AJ507" s="116"/>
      <c r="AK507" s="50" t="s">
        <v>11376</v>
      </c>
      <c r="AL507" s="50">
        <v>4.0</v>
      </c>
      <c r="AM507" s="50">
        <v>1.0</v>
      </c>
      <c r="AN507" s="50" t="s">
        <v>10629</v>
      </c>
      <c r="AO507" s="117">
        <v>5807.0</v>
      </c>
      <c r="AP507" s="50" t="s">
        <v>13366</v>
      </c>
      <c r="AQ507" s="50" t="s">
        <v>13367</v>
      </c>
      <c r="AR507" s="117">
        <v>507.0</v>
      </c>
    </row>
    <row r="508">
      <c r="A508" s="50" t="s">
        <v>13368</v>
      </c>
      <c r="B508" s="50" t="s">
        <v>6876</v>
      </c>
      <c r="C508" s="50" t="s">
        <v>6877</v>
      </c>
      <c r="D508" s="50" t="s">
        <v>11623</v>
      </c>
      <c r="E508" s="144">
        <v>43804.0</v>
      </c>
      <c r="F508" s="50" t="s">
        <v>13369</v>
      </c>
      <c r="G508" s="50">
        <v>59.0</v>
      </c>
      <c r="H508" s="50">
        <v>1.0</v>
      </c>
      <c r="I508" s="50">
        <v>11.0</v>
      </c>
      <c r="J508" s="116"/>
      <c r="K508" s="116"/>
      <c r="L508" s="50" t="s">
        <v>1720</v>
      </c>
      <c r="M508" s="50" t="s">
        <v>1720</v>
      </c>
      <c r="N508" s="50" t="s">
        <v>13371</v>
      </c>
      <c r="O508" s="50" t="s">
        <v>13372</v>
      </c>
      <c r="P508" s="50" t="s">
        <v>13374</v>
      </c>
      <c r="Q508" s="50" t="s">
        <v>13375</v>
      </c>
      <c r="R508" s="116"/>
      <c r="S508" s="116"/>
      <c r="T508" s="116"/>
      <c r="U508" s="116"/>
      <c r="V508" s="116"/>
      <c r="W508" s="50">
        <v>3.0</v>
      </c>
      <c r="X508" s="50">
        <v>1.0</v>
      </c>
      <c r="Y508" s="50">
        <v>3.0</v>
      </c>
      <c r="Z508" s="50">
        <v>14.0</v>
      </c>
      <c r="AA508" s="50">
        <v>2.0</v>
      </c>
      <c r="AB508" s="50">
        <v>1.0</v>
      </c>
      <c r="AC508" s="50">
        <v>3.0</v>
      </c>
      <c r="AD508" s="50">
        <v>2.0</v>
      </c>
      <c r="AE508" s="50">
        <v>1.0</v>
      </c>
      <c r="AF508" s="50">
        <v>1.0</v>
      </c>
      <c r="AG508" s="50">
        <v>1.0</v>
      </c>
      <c r="AH508" s="50">
        <v>3.0</v>
      </c>
      <c r="AI508" s="50">
        <v>0.0</v>
      </c>
      <c r="AJ508" s="116"/>
      <c r="AK508" s="50" t="s">
        <v>13379</v>
      </c>
      <c r="AL508" s="50">
        <v>4.0</v>
      </c>
      <c r="AM508" s="50">
        <v>1.0</v>
      </c>
      <c r="AN508" s="50" t="s">
        <v>10629</v>
      </c>
      <c r="AO508" s="117">
        <v>5916.0</v>
      </c>
      <c r="AP508" s="50" t="s">
        <v>13380</v>
      </c>
      <c r="AQ508" s="50" t="s">
        <v>13381</v>
      </c>
      <c r="AR508" s="117">
        <v>508.0</v>
      </c>
    </row>
    <row r="509">
      <c r="A509" s="50" t="s">
        <v>13369</v>
      </c>
      <c r="B509" s="50" t="s">
        <v>6876</v>
      </c>
      <c r="C509" s="50" t="s">
        <v>6877</v>
      </c>
      <c r="D509" s="50" t="s">
        <v>11623</v>
      </c>
      <c r="E509" s="144">
        <v>43804.0</v>
      </c>
      <c r="F509" s="50" t="s">
        <v>13382</v>
      </c>
      <c r="G509" s="50">
        <v>59.0</v>
      </c>
      <c r="H509" s="50">
        <v>1.0</v>
      </c>
      <c r="I509" s="50">
        <v>99.0</v>
      </c>
      <c r="J509" s="116"/>
      <c r="K509" s="116"/>
      <c r="L509" s="50" t="s">
        <v>1721</v>
      </c>
      <c r="M509" s="50" t="s">
        <v>1721</v>
      </c>
      <c r="N509" s="50" t="s">
        <v>13371</v>
      </c>
      <c r="O509" s="50" t="s">
        <v>13383</v>
      </c>
      <c r="P509" s="50" t="s">
        <v>13384</v>
      </c>
      <c r="Q509" s="50" t="s">
        <v>13385</v>
      </c>
      <c r="R509" s="116"/>
      <c r="S509" s="116"/>
      <c r="T509" s="116"/>
      <c r="U509" s="116"/>
      <c r="V509" s="116"/>
      <c r="W509" s="50">
        <v>7.0</v>
      </c>
      <c r="X509" s="50">
        <v>100.0</v>
      </c>
      <c r="Y509" s="50">
        <v>3.0</v>
      </c>
      <c r="Z509" s="50">
        <v>0.0</v>
      </c>
      <c r="AA509" s="116"/>
      <c r="AB509" s="116"/>
      <c r="AC509" s="116"/>
      <c r="AD509" s="116"/>
      <c r="AE509" s="116"/>
      <c r="AF509" s="116"/>
      <c r="AG509" s="116"/>
      <c r="AH509" s="116"/>
      <c r="AI509" s="116"/>
      <c r="AJ509" s="116"/>
      <c r="AK509" s="50" t="s">
        <v>13390</v>
      </c>
      <c r="AL509" s="50">
        <v>4.0</v>
      </c>
      <c r="AM509" s="50">
        <v>1.0</v>
      </c>
      <c r="AN509" s="50" t="s">
        <v>10629</v>
      </c>
      <c r="AO509" s="117">
        <v>5917.0</v>
      </c>
      <c r="AP509" s="50" t="s">
        <v>13391</v>
      </c>
      <c r="AQ509" s="50" t="s">
        <v>13392</v>
      </c>
      <c r="AR509" s="117">
        <v>509.0</v>
      </c>
    </row>
    <row r="510">
      <c r="A510" s="50" t="s">
        <v>13382</v>
      </c>
      <c r="B510" s="50" t="s">
        <v>6876</v>
      </c>
      <c r="C510" s="50" t="s">
        <v>6877</v>
      </c>
      <c r="D510" s="50" t="s">
        <v>11623</v>
      </c>
      <c r="E510" s="144">
        <v>43804.0</v>
      </c>
      <c r="F510" s="50" t="s">
        <v>13395</v>
      </c>
      <c r="G510" s="50">
        <v>59.0</v>
      </c>
      <c r="H510" s="50">
        <v>1.0</v>
      </c>
      <c r="I510" s="50">
        <v>11.0</v>
      </c>
      <c r="J510" s="116"/>
      <c r="K510" s="116"/>
      <c r="L510" s="50" t="s">
        <v>1723</v>
      </c>
      <c r="M510" s="50" t="s">
        <v>1723</v>
      </c>
      <c r="N510" s="50" t="s">
        <v>13371</v>
      </c>
      <c r="O510" s="50" t="s">
        <v>13372</v>
      </c>
      <c r="P510" s="50" t="s">
        <v>13374</v>
      </c>
      <c r="Q510" s="50" t="s">
        <v>13375</v>
      </c>
      <c r="R510" s="116"/>
      <c r="S510" s="116"/>
      <c r="T510" s="116"/>
      <c r="U510" s="116"/>
      <c r="V510" s="116"/>
      <c r="W510" s="50">
        <v>3.0</v>
      </c>
      <c r="X510" s="50">
        <v>1.0</v>
      </c>
      <c r="Y510" s="50">
        <v>2.0</v>
      </c>
      <c r="Z510" s="116"/>
      <c r="AA510" s="50">
        <v>2.0</v>
      </c>
      <c r="AB510" s="50">
        <v>1.0</v>
      </c>
      <c r="AC510" s="50">
        <v>1.0</v>
      </c>
      <c r="AD510" s="116"/>
      <c r="AE510" s="50">
        <v>1.0</v>
      </c>
      <c r="AF510" s="50">
        <v>1.0</v>
      </c>
      <c r="AG510" s="50">
        <v>1.0</v>
      </c>
      <c r="AH510" s="50">
        <v>3.0</v>
      </c>
      <c r="AI510" s="50">
        <v>48.0</v>
      </c>
      <c r="AJ510" s="116"/>
      <c r="AK510" s="50" t="s">
        <v>13397</v>
      </c>
      <c r="AL510" s="50">
        <v>4.0</v>
      </c>
      <c r="AM510" s="50">
        <v>1.0</v>
      </c>
      <c r="AN510" s="50" t="s">
        <v>10629</v>
      </c>
      <c r="AO510" s="117">
        <v>5918.0</v>
      </c>
      <c r="AP510" s="50" t="s">
        <v>13400</v>
      </c>
      <c r="AQ510" s="50" t="s">
        <v>13401</v>
      </c>
      <c r="AR510" s="117">
        <v>510.0</v>
      </c>
    </row>
    <row r="511">
      <c r="A511" s="50" t="s">
        <v>13403</v>
      </c>
      <c r="B511" s="50" t="s">
        <v>6876</v>
      </c>
      <c r="C511" s="50" t="s">
        <v>6877</v>
      </c>
      <c r="D511" s="50" t="s">
        <v>11623</v>
      </c>
      <c r="E511" s="144">
        <v>43804.0</v>
      </c>
      <c r="F511" s="50" t="s">
        <v>13408</v>
      </c>
      <c r="G511" s="50">
        <v>59.0</v>
      </c>
      <c r="H511" s="50">
        <v>1.0</v>
      </c>
      <c r="I511" s="50">
        <v>99.0</v>
      </c>
      <c r="J511" s="116"/>
      <c r="K511" s="116"/>
      <c r="L511" s="50" t="s">
        <v>1724</v>
      </c>
      <c r="M511" s="50" t="s">
        <v>1724</v>
      </c>
      <c r="N511" s="50" t="s">
        <v>13371</v>
      </c>
      <c r="O511" s="50" t="s">
        <v>13383</v>
      </c>
      <c r="P511" s="50" t="s">
        <v>13384</v>
      </c>
      <c r="Q511" s="50" t="s">
        <v>13385</v>
      </c>
      <c r="R511" s="116"/>
      <c r="S511" s="116"/>
      <c r="T511" s="116"/>
      <c r="U511" s="116"/>
      <c r="V511" s="116"/>
      <c r="W511" s="50">
        <v>7.0</v>
      </c>
      <c r="X511" s="50">
        <v>100.0</v>
      </c>
      <c r="Y511" s="50">
        <v>3.0</v>
      </c>
      <c r="Z511" s="50">
        <v>0.0</v>
      </c>
      <c r="AA511" s="116"/>
      <c r="AB511" s="116"/>
      <c r="AC511" s="116"/>
      <c r="AD511" s="116"/>
      <c r="AE511" s="116"/>
      <c r="AF511" s="116"/>
      <c r="AG511" s="116"/>
      <c r="AH511" s="116"/>
      <c r="AI511" s="116"/>
      <c r="AJ511" s="116"/>
      <c r="AK511" s="50" t="s">
        <v>13415</v>
      </c>
      <c r="AL511" s="50">
        <v>4.0</v>
      </c>
      <c r="AM511" s="50">
        <v>1.0</v>
      </c>
      <c r="AN511" s="50" t="s">
        <v>10629</v>
      </c>
      <c r="AO511" s="117">
        <v>5919.0</v>
      </c>
      <c r="AP511" s="50" t="s">
        <v>13416</v>
      </c>
      <c r="AQ511" s="50" t="s">
        <v>13417</v>
      </c>
      <c r="AR511" s="117">
        <v>511.0</v>
      </c>
    </row>
    <row r="512">
      <c r="A512" s="50" t="s">
        <v>13408</v>
      </c>
      <c r="B512" s="50" t="s">
        <v>6876</v>
      </c>
      <c r="C512" s="50" t="s">
        <v>6877</v>
      </c>
      <c r="D512" s="50" t="s">
        <v>11623</v>
      </c>
      <c r="E512" s="144">
        <v>43804.0</v>
      </c>
      <c r="F512" s="50" t="s">
        <v>13419</v>
      </c>
      <c r="G512" s="50">
        <v>33.0</v>
      </c>
      <c r="H512" s="50">
        <v>1.0</v>
      </c>
      <c r="I512" s="50">
        <v>98.0</v>
      </c>
      <c r="J512" s="116"/>
      <c r="K512" s="116"/>
      <c r="L512" s="50" t="s">
        <v>1726</v>
      </c>
      <c r="M512" s="50" t="s">
        <v>1726</v>
      </c>
      <c r="N512" s="50" t="s">
        <v>13371</v>
      </c>
      <c r="O512" s="50" t="s">
        <v>13383</v>
      </c>
      <c r="P512" s="50" t="s">
        <v>13372</v>
      </c>
      <c r="Q512" s="50" t="s">
        <v>13423</v>
      </c>
      <c r="R512" s="116"/>
      <c r="S512" s="116"/>
      <c r="T512" s="116"/>
      <c r="U512" s="116"/>
      <c r="V512" s="116"/>
      <c r="W512" s="50">
        <v>7.0</v>
      </c>
      <c r="X512" s="50">
        <v>100.0</v>
      </c>
      <c r="Y512" s="50">
        <v>3.0</v>
      </c>
      <c r="Z512" s="50">
        <v>0.0</v>
      </c>
      <c r="AA512" s="116"/>
      <c r="AB512" s="116"/>
      <c r="AC512" s="116"/>
      <c r="AD512" s="116"/>
      <c r="AE512" s="116"/>
      <c r="AF512" s="116"/>
      <c r="AG512" s="116"/>
      <c r="AH512" s="116"/>
      <c r="AI512" s="116"/>
      <c r="AJ512" s="116"/>
      <c r="AK512" s="50" t="s">
        <v>11376</v>
      </c>
      <c r="AL512" s="50">
        <v>4.0</v>
      </c>
      <c r="AM512" s="50">
        <v>1.0</v>
      </c>
      <c r="AN512" s="50" t="s">
        <v>10629</v>
      </c>
      <c r="AO512" s="117">
        <v>5920.0</v>
      </c>
      <c r="AP512" s="50" t="s">
        <v>13430</v>
      </c>
      <c r="AQ512" s="50" t="s">
        <v>13431</v>
      </c>
      <c r="AR512" s="117">
        <v>512.0</v>
      </c>
    </row>
    <row r="513">
      <c r="A513" s="50" t="s">
        <v>13419</v>
      </c>
      <c r="B513" s="50" t="s">
        <v>6876</v>
      </c>
      <c r="C513" s="50" t="s">
        <v>6877</v>
      </c>
      <c r="D513" s="50" t="s">
        <v>11623</v>
      </c>
      <c r="E513" s="144">
        <v>43804.0</v>
      </c>
      <c r="F513" s="50" t="s">
        <v>13432</v>
      </c>
      <c r="G513" s="50">
        <v>58.0</v>
      </c>
      <c r="H513" s="50">
        <v>1.0</v>
      </c>
      <c r="I513" s="50">
        <v>99.0</v>
      </c>
      <c r="J513" s="116"/>
      <c r="K513" s="116"/>
      <c r="L513" s="50" t="s">
        <v>1730</v>
      </c>
      <c r="M513" s="50" t="s">
        <v>1730</v>
      </c>
      <c r="N513" s="50" t="s">
        <v>13433</v>
      </c>
      <c r="O513" s="50" t="s">
        <v>13434</v>
      </c>
      <c r="P513" s="50" t="s">
        <v>13375</v>
      </c>
      <c r="Q513" s="50" t="s">
        <v>13435</v>
      </c>
      <c r="R513" s="116"/>
      <c r="S513" s="116"/>
      <c r="T513" s="116"/>
      <c r="U513" s="116"/>
      <c r="V513" s="116"/>
      <c r="W513" s="50">
        <v>7.0</v>
      </c>
      <c r="X513" s="50">
        <v>100.0</v>
      </c>
      <c r="Y513" s="50">
        <v>3.0</v>
      </c>
      <c r="Z513" s="50">
        <v>0.0</v>
      </c>
      <c r="AA513" s="116"/>
      <c r="AB513" s="116"/>
      <c r="AC513" s="116"/>
      <c r="AD513" s="116"/>
      <c r="AE513" s="116"/>
      <c r="AF513" s="116"/>
      <c r="AG513" s="116"/>
      <c r="AH513" s="116"/>
      <c r="AI513" s="116"/>
      <c r="AJ513" s="116"/>
      <c r="AK513" s="50" t="s">
        <v>13438</v>
      </c>
      <c r="AL513" s="50">
        <v>6.0</v>
      </c>
      <c r="AM513" s="50">
        <v>1.0</v>
      </c>
      <c r="AN513" s="50" t="s">
        <v>10629</v>
      </c>
      <c r="AO513" s="117">
        <v>5921.0</v>
      </c>
      <c r="AP513" s="50" t="s">
        <v>13441</v>
      </c>
      <c r="AQ513" s="50" t="s">
        <v>13442</v>
      </c>
      <c r="AR513" s="117">
        <v>513.0</v>
      </c>
    </row>
    <row r="514">
      <c r="A514" s="50" t="s">
        <v>13444</v>
      </c>
      <c r="B514" s="50" t="s">
        <v>6876</v>
      </c>
      <c r="C514" s="50" t="s">
        <v>6877</v>
      </c>
      <c r="D514" s="50" t="s">
        <v>11623</v>
      </c>
      <c r="E514" s="144">
        <v>43804.0</v>
      </c>
      <c r="F514" s="50" t="s">
        <v>13445</v>
      </c>
      <c r="G514" s="50">
        <v>55.0</v>
      </c>
      <c r="H514" s="50">
        <v>1.0</v>
      </c>
      <c r="I514" s="50">
        <v>99.0</v>
      </c>
      <c r="J514" s="116"/>
      <c r="K514" s="116"/>
      <c r="L514" s="50" t="s">
        <v>1733</v>
      </c>
      <c r="M514" s="50" t="s">
        <v>1733</v>
      </c>
      <c r="N514" s="50" t="s">
        <v>13447</v>
      </c>
      <c r="O514" s="50" t="s">
        <v>13434</v>
      </c>
      <c r="P514" s="50" t="s">
        <v>13375</v>
      </c>
      <c r="Q514" s="50" t="s">
        <v>13435</v>
      </c>
      <c r="R514" s="116"/>
      <c r="S514" s="116"/>
      <c r="T514" s="116"/>
      <c r="U514" s="116"/>
      <c r="V514" s="116"/>
      <c r="W514" s="50">
        <v>7.0</v>
      </c>
      <c r="X514" s="50">
        <v>100.0</v>
      </c>
      <c r="Y514" s="50">
        <v>3.0</v>
      </c>
      <c r="Z514" s="50">
        <v>0.0</v>
      </c>
      <c r="AA514" s="116"/>
      <c r="AB514" s="116"/>
      <c r="AC514" s="116"/>
      <c r="AD514" s="116"/>
      <c r="AE514" s="116"/>
      <c r="AF514" s="116"/>
      <c r="AG514" s="116"/>
      <c r="AH514" s="116"/>
      <c r="AI514" s="116"/>
      <c r="AJ514" s="116"/>
      <c r="AK514" s="50" t="s">
        <v>13453</v>
      </c>
      <c r="AL514" s="50">
        <v>6.0</v>
      </c>
      <c r="AM514" s="50">
        <v>1.0</v>
      </c>
      <c r="AN514" s="50" t="s">
        <v>10629</v>
      </c>
      <c r="AO514" s="117">
        <v>5922.0</v>
      </c>
      <c r="AP514" s="50" t="s">
        <v>13454</v>
      </c>
      <c r="AQ514" s="50" t="s">
        <v>13455</v>
      </c>
      <c r="AR514" s="117">
        <v>514.0</v>
      </c>
    </row>
    <row r="515">
      <c r="A515" s="50" t="s">
        <v>13445</v>
      </c>
      <c r="B515" s="50" t="s">
        <v>6876</v>
      </c>
      <c r="C515" s="50" t="s">
        <v>6877</v>
      </c>
      <c r="D515" s="50" t="s">
        <v>11623</v>
      </c>
      <c r="E515" s="144">
        <v>43804.0</v>
      </c>
      <c r="F515" s="50" t="s">
        <v>13456</v>
      </c>
      <c r="G515" s="50">
        <v>59.0</v>
      </c>
      <c r="H515" s="50">
        <v>1.0</v>
      </c>
      <c r="I515" s="50">
        <v>11.0</v>
      </c>
      <c r="J515" s="116"/>
      <c r="K515" s="116"/>
      <c r="L515" s="50" t="s">
        <v>1735</v>
      </c>
      <c r="M515" s="50" t="s">
        <v>1735</v>
      </c>
      <c r="N515" s="50" t="s">
        <v>13447</v>
      </c>
      <c r="O515" s="50" t="s">
        <v>13457</v>
      </c>
      <c r="P515" s="50" t="s">
        <v>13458</v>
      </c>
      <c r="Q515" s="50" t="s">
        <v>13459</v>
      </c>
      <c r="R515" s="116"/>
      <c r="S515" s="116"/>
      <c r="T515" s="116"/>
      <c r="U515" s="116"/>
      <c r="V515" s="116"/>
      <c r="W515" s="50">
        <v>3.0</v>
      </c>
      <c r="X515" s="50">
        <v>1.0</v>
      </c>
      <c r="Y515" s="50">
        <v>3.0</v>
      </c>
      <c r="Z515" s="50">
        <v>9.0</v>
      </c>
      <c r="AA515" s="50">
        <v>2.0</v>
      </c>
      <c r="AB515" s="50">
        <v>1.0</v>
      </c>
      <c r="AC515" s="50">
        <v>3.0</v>
      </c>
      <c r="AD515" s="50">
        <v>0.0</v>
      </c>
      <c r="AE515" s="50">
        <v>1.0</v>
      </c>
      <c r="AF515" s="50">
        <v>1.0</v>
      </c>
      <c r="AG515" s="50">
        <v>1.0</v>
      </c>
      <c r="AH515" s="50">
        <v>3.0</v>
      </c>
      <c r="AI515" s="50">
        <v>0.0</v>
      </c>
      <c r="AJ515" s="116"/>
      <c r="AK515" s="50" t="s">
        <v>13466</v>
      </c>
      <c r="AL515" s="50">
        <v>6.0</v>
      </c>
      <c r="AM515" s="50">
        <v>1.0</v>
      </c>
      <c r="AN515" s="50" t="s">
        <v>10629</v>
      </c>
      <c r="AO515" s="117">
        <v>5923.0</v>
      </c>
      <c r="AP515" s="50" t="s">
        <v>13468</v>
      </c>
      <c r="AQ515" s="50" t="s">
        <v>13470</v>
      </c>
      <c r="AR515" s="117">
        <v>515.0</v>
      </c>
    </row>
    <row r="516">
      <c r="A516" s="50" t="s">
        <v>13456</v>
      </c>
      <c r="B516" s="50" t="s">
        <v>6876</v>
      </c>
      <c r="C516" s="50" t="s">
        <v>6877</v>
      </c>
      <c r="D516" s="50" t="s">
        <v>11623</v>
      </c>
      <c r="E516" s="144">
        <v>43804.0</v>
      </c>
      <c r="F516" s="50" t="s">
        <v>13472</v>
      </c>
      <c r="G516" s="50">
        <v>59.0</v>
      </c>
      <c r="H516" s="50">
        <v>1.0</v>
      </c>
      <c r="I516" s="50">
        <v>99.0</v>
      </c>
      <c r="J516" s="116"/>
      <c r="K516" s="116"/>
      <c r="L516" s="50" t="s">
        <v>1736</v>
      </c>
      <c r="M516" s="50" t="s">
        <v>1736</v>
      </c>
      <c r="N516" s="50" t="s">
        <v>13447</v>
      </c>
      <c r="O516" s="50" t="s">
        <v>13434</v>
      </c>
      <c r="P516" s="50" t="s">
        <v>13375</v>
      </c>
      <c r="Q516" s="50" t="s">
        <v>13435</v>
      </c>
      <c r="R516" s="116"/>
      <c r="S516" s="116"/>
      <c r="T516" s="116"/>
      <c r="U516" s="116"/>
      <c r="V516" s="116"/>
      <c r="W516" s="50">
        <v>7.0</v>
      </c>
      <c r="X516" s="50">
        <v>100.0</v>
      </c>
      <c r="Y516" s="50">
        <v>3.0</v>
      </c>
      <c r="Z516" s="50">
        <v>0.0</v>
      </c>
      <c r="AA516" s="116"/>
      <c r="AB516" s="116"/>
      <c r="AC516" s="116"/>
      <c r="AD516" s="116"/>
      <c r="AE516" s="116"/>
      <c r="AF516" s="116"/>
      <c r="AG516" s="116"/>
      <c r="AH516" s="116"/>
      <c r="AI516" s="116"/>
      <c r="AJ516" s="116"/>
      <c r="AK516" s="50" t="s">
        <v>13475</v>
      </c>
      <c r="AL516" s="50">
        <v>6.0</v>
      </c>
      <c r="AM516" s="50">
        <v>1.0</v>
      </c>
      <c r="AN516" s="50" t="s">
        <v>10629</v>
      </c>
      <c r="AO516" s="117">
        <v>5924.0</v>
      </c>
      <c r="AP516" s="50" t="s">
        <v>13476</v>
      </c>
      <c r="AQ516" s="50" t="s">
        <v>13478</v>
      </c>
      <c r="AR516" s="117">
        <v>516.0</v>
      </c>
    </row>
    <row r="517">
      <c r="A517" s="50" t="s">
        <v>13472</v>
      </c>
      <c r="B517" s="50" t="s">
        <v>6876</v>
      </c>
      <c r="C517" s="50" t="s">
        <v>6877</v>
      </c>
      <c r="D517" s="50" t="s">
        <v>11623</v>
      </c>
      <c r="E517" s="144">
        <v>43804.0</v>
      </c>
      <c r="F517" s="50" t="s">
        <v>13481</v>
      </c>
      <c r="G517" s="50">
        <v>59.0</v>
      </c>
      <c r="H517" s="50">
        <v>1.0</v>
      </c>
      <c r="I517" s="50">
        <v>11.0</v>
      </c>
      <c r="J517" s="116"/>
      <c r="K517" s="116"/>
      <c r="L517" s="50" t="s">
        <v>1738</v>
      </c>
      <c r="M517" s="50" t="s">
        <v>1738</v>
      </c>
      <c r="N517" s="50" t="s">
        <v>13447</v>
      </c>
      <c r="O517" s="50" t="s">
        <v>13457</v>
      </c>
      <c r="P517" s="50" t="s">
        <v>13458</v>
      </c>
      <c r="Q517" s="50" t="s">
        <v>13459</v>
      </c>
      <c r="R517" s="116"/>
      <c r="S517" s="116"/>
      <c r="T517" s="116"/>
      <c r="U517" s="116"/>
      <c r="V517" s="116"/>
      <c r="W517" s="50">
        <v>3.0</v>
      </c>
      <c r="X517" s="50">
        <v>1.0</v>
      </c>
      <c r="Y517" s="50">
        <v>3.0</v>
      </c>
      <c r="Z517" s="50">
        <v>7.0</v>
      </c>
      <c r="AA517" s="50">
        <v>2.0</v>
      </c>
      <c r="AB517" s="50">
        <v>1.0</v>
      </c>
      <c r="AC517" s="50">
        <v>3.0</v>
      </c>
      <c r="AD517" s="50">
        <v>2.0</v>
      </c>
      <c r="AE517" s="50">
        <v>1.0</v>
      </c>
      <c r="AF517" s="50">
        <v>1.0</v>
      </c>
      <c r="AG517" s="50">
        <v>1.0</v>
      </c>
      <c r="AH517" s="50">
        <v>3.0</v>
      </c>
      <c r="AI517" s="50">
        <v>0.0</v>
      </c>
      <c r="AJ517" s="116"/>
      <c r="AK517" s="50" t="s">
        <v>13489</v>
      </c>
      <c r="AL517" s="50">
        <v>6.0</v>
      </c>
      <c r="AM517" s="50">
        <v>1.0</v>
      </c>
      <c r="AN517" s="50" t="s">
        <v>10629</v>
      </c>
      <c r="AO517" s="117">
        <v>5925.0</v>
      </c>
      <c r="AP517" s="50" t="s">
        <v>13491</v>
      </c>
      <c r="AQ517" s="50" t="s">
        <v>13492</v>
      </c>
      <c r="AR517" s="117">
        <v>517.0</v>
      </c>
    </row>
    <row r="518">
      <c r="A518" s="50" t="s">
        <v>13481</v>
      </c>
      <c r="B518" s="50" t="s">
        <v>6876</v>
      </c>
      <c r="C518" s="50" t="s">
        <v>6877</v>
      </c>
      <c r="D518" s="50" t="s">
        <v>11623</v>
      </c>
      <c r="E518" s="144">
        <v>43804.0</v>
      </c>
      <c r="F518" s="50" t="s">
        <v>13496</v>
      </c>
      <c r="G518" s="50">
        <v>59.0</v>
      </c>
      <c r="H518" s="50">
        <v>1.0</v>
      </c>
      <c r="I518" s="50">
        <v>99.0</v>
      </c>
      <c r="J518" s="116"/>
      <c r="K518" s="116"/>
      <c r="L518" s="50" t="s">
        <v>1739</v>
      </c>
      <c r="M518" s="50" t="s">
        <v>1739</v>
      </c>
      <c r="N518" s="50" t="s">
        <v>13447</v>
      </c>
      <c r="O518" s="50" t="s">
        <v>13434</v>
      </c>
      <c r="P518" s="50" t="s">
        <v>13375</v>
      </c>
      <c r="Q518" s="50" t="s">
        <v>13435</v>
      </c>
      <c r="R518" s="116"/>
      <c r="S518" s="116"/>
      <c r="T518" s="116"/>
      <c r="U518" s="116"/>
      <c r="V518" s="116"/>
      <c r="W518" s="50">
        <v>7.0</v>
      </c>
      <c r="X518" s="50">
        <v>100.0</v>
      </c>
      <c r="Y518" s="50">
        <v>3.0</v>
      </c>
      <c r="Z518" s="50">
        <v>0.0</v>
      </c>
      <c r="AA518" s="116"/>
      <c r="AB518" s="116"/>
      <c r="AC518" s="116"/>
      <c r="AD518" s="116"/>
      <c r="AE518" s="116"/>
      <c r="AF518" s="116"/>
      <c r="AG518" s="116"/>
      <c r="AH518" s="116"/>
      <c r="AI518" s="116"/>
      <c r="AJ518" s="116"/>
      <c r="AK518" s="50" t="s">
        <v>13500</v>
      </c>
      <c r="AL518" s="50">
        <v>6.0</v>
      </c>
      <c r="AM518" s="50">
        <v>1.0</v>
      </c>
      <c r="AN518" s="50" t="s">
        <v>10629</v>
      </c>
      <c r="AO518" s="117">
        <v>5926.0</v>
      </c>
      <c r="AP518" s="50" t="s">
        <v>13501</v>
      </c>
      <c r="AQ518" s="50" t="s">
        <v>13502</v>
      </c>
      <c r="AR518" s="117">
        <v>518.0</v>
      </c>
    </row>
    <row r="519">
      <c r="A519" s="50" t="s">
        <v>13496</v>
      </c>
      <c r="B519" s="50" t="s">
        <v>6876</v>
      </c>
      <c r="C519" s="50" t="s">
        <v>6877</v>
      </c>
      <c r="D519" s="50" t="s">
        <v>11623</v>
      </c>
      <c r="E519" s="144">
        <v>43804.0</v>
      </c>
      <c r="F519" s="50" t="s">
        <v>13503</v>
      </c>
      <c r="G519" s="50">
        <v>59.0</v>
      </c>
      <c r="H519" s="50">
        <v>1.0</v>
      </c>
      <c r="I519" s="50">
        <v>11.0</v>
      </c>
      <c r="J519" s="116"/>
      <c r="K519" s="116"/>
      <c r="L519" s="50" t="s">
        <v>1741</v>
      </c>
      <c r="M519" s="50" t="s">
        <v>1741</v>
      </c>
      <c r="N519" s="50" t="s">
        <v>13447</v>
      </c>
      <c r="O519" s="50" t="s">
        <v>13457</v>
      </c>
      <c r="P519" s="50" t="s">
        <v>13458</v>
      </c>
      <c r="Q519" s="50" t="s">
        <v>13459</v>
      </c>
      <c r="R519" s="116"/>
      <c r="S519" s="116"/>
      <c r="T519" s="116"/>
      <c r="U519" s="116"/>
      <c r="V519" s="116"/>
      <c r="W519" s="50">
        <v>3.0</v>
      </c>
      <c r="X519" s="50">
        <v>1.0</v>
      </c>
      <c r="Y519" s="50">
        <v>3.0</v>
      </c>
      <c r="Z519" s="50">
        <v>18.0</v>
      </c>
      <c r="AA519" s="50">
        <v>2.0</v>
      </c>
      <c r="AB519" s="50">
        <v>1.0</v>
      </c>
      <c r="AC519" s="50">
        <v>3.0</v>
      </c>
      <c r="AD519" s="50">
        <v>0.0</v>
      </c>
      <c r="AE519" s="50">
        <v>1.0</v>
      </c>
      <c r="AF519" s="50">
        <v>1.0</v>
      </c>
      <c r="AG519" s="50">
        <v>1.0</v>
      </c>
      <c r="AH519" s="50">
        <v>3.0</v>
      </c>
      <c r="AI519" s="50">
        <v>0.0</v>
      </c>
      <c r="AJ519" s="116"/>
      <c r="AK519" s="50" t="s">
        <v>13512</v>
      </c>
      <c r="AL519" s="50">
        <v>6.0</v>
      </c>
      <c r="AM519" s="50">
        <v>1.0</v>
      </c>
      <c r="AN519" s="50" t="s">
        <v>10629</v>
      </c>
      <c r="AO519" s="117">
        <v>5927.0</v>
      </c>
      <c r="AP519" s="50" t="s">
        <v>13513</v>
      </c>
      <c r="AQ519" s="50" t="s">
        <v>13514</v>
      </c>
      <c r="AR519" s="117">
        <v>519.0</v>
      </c>
    </row>
    <row r="520">
      <c r="A520" s="50" t="s">
        <v>13503</v>
      </c>
      <c r="B520" s="50" t="s">
        <v>6876</v>
      </c>
      <c r="C520" s="50" t="s">
        <v>6877</v>
      </c>
      <c r="D520" s="50" t="s">
        <v>11623</v>
      </c>
      <c r="E520" s="144">
        <v>43804.0</v>
      </c>
      <c r="F520" s="50" t="s">
        <v>13517</v>
      </c>
      <c r="G520" s="50">
        <v>59.0</v>
      </c>
      <c r="H520" s="50">
        <v>1.0</v>
      </c>
      <c r="I520" s="50">
        <v>99.0</v>
      </c>
      <c r="J520" s="116"/>
      <c r="K520" s="116"/>
      <c r="L520" s="50" t="s">
        <v>1742</v>
      </c>
      <c r="M520" s="50" t="s">
        <v>1742</v>
      </c>
      <c r="N520" s="50" t="s">
        <v>13447</v>
      </c>
      <c r="O520" s="50" t="s">
        <v>13434</v>
      </c>
      <c r="P520" s="50" t="s">
        <v>13375</v>
      </c>
      <c r="Q520" s="50" t="s">
        <v>13435</v>
      </c>
      <c r="R520" s="116"/>
      <c r="S520" s="116"/>
      <c r="T520" s="116"/>
      <c r="U520" s="116"/>
      <c r="V520" s="116"/>
      <c r="W520" s="50">
        <v>7.0</v>
      </c>
      <c r="X520" s="50">
        <v>100.0</v>
      </c>
      <c r="Y520" s="50">
        <v>3.0</v>
      </c>
      <c r="Z520" s="50">
        <v>0.0</v>
      </c>
      <c r="AA520" s="116"/>
      <c r="AB520" s="116"/>
      <c r="AC520" s="116"/>
      <c r="AD520" s="116"/>
      <c r="AE520" s="116"/>
      <c r="AF520" s="116"/>
      <c r="AG520" s="116"/>
      <c r="AH520" s="116"/>
      <c r="AI520" s="116"/>
      <c r="AJ520" s="116"/>
      <c r="AK520" s="50" t="s">
        <v>13518</v>
      </c>
      <c r="AL520" s="50">
        <v>6.0</v>
      </c>
      <c r="AM520" s="50">
        <v>1.0</v>
      </c>
      <c r="AN520" s="50" t="s">
        <v>10629</v>
      </c>
      <c r="AO520" s="117">
        <v>5928.0</v>
      </c>
      <c r="AP520" s="50" t="s">
        <v>13521</v>
      </c>
      <c r="AQ520" s="50" t="s">
        <v>13522</v>
      </c>
      <c r="AR520" s="117">
        <v>520.0</v>
      </c>
    </row>
    <row r="521">
      <c r="A521" s="50" t="s">
        <v>13524</v>
      </c>
      <c r="B521" s="50" t="s">
        <v>6876</v>
      </c>
      <c r="C521" s="50" t="s">
        <v>6877</v>
      </c>
      <c r="D521" s="50" t="s">
        <v>11623</v>
      </c>
      <c r="E521" s="144">
        <v>43804.0</v>
      </c>
      <c r="F521" s="50" t="s">
        <v>13526</v>
      </c>
      <c r="G521" s="50">
        <v>33.0</v>
      </c>
      <c r="H521" s="50">
        <v>1.0</v>
      </c>
      <c r="I521" s="50">
        <v>98.0</v>
      </c>
      <c r="J521" s="116"/>
      <c r="K521" s="116"/>
      <c r="L521" s="50" t="s">
        <v>1745</v>
      </c>
      <c r="M521" s="50" t="s">
        <v>1745</v>
      </c>
      <c r="N521" s="50" t="s">
        <v>13447</v>
      </c>
      <c r="O521" s="50" t="s">
        <v>13434</v>
      </c>
      <c r="P521" s="50" t="s">
        <v>13375</v>
      </c>
      <c r="Q521" s="50" t="s">
        <v>13435</v>
      </c>
      <c r="R521" s="116"/>
      <c r="S521" s="116"/>
      <c r="T521" s="116"/>
      <c r="U521" s="116"/>
      <c r="V521" s="116"/>
      <c r="W521" s="50">
        <v>7.0</v>
      </c>
      <c r="X521" s="50">
        <v>100.0</v>
      </c>
      <c r="Y521" s="50">
        <v>3.0</v>
      </c>
      <c r="Z521" s="50">
        <v>0.0</v>
      </c>
      <c r="AA521" s="116"/>
      <c r="AB521" s="116"/>
      <c r="AC521" s="116"/>
      <c r="AD521" s="116"/>
      <c r="AE521" s="116"/>
      <c r="AF521" s="116"/>
      <c r="AG521" s="116"/>
      <c r="AH521" s="116"/>
      <c r="AI521" s="116"/>
      <c r="AJ521" s="116"/>
      <c r="AK521" s="50" t="s">
        <v>11376</v>
      </c>
      <c r="AL521" s="50">
        <v>6.0</v>
      </c>
      <c r="AM521" s="50">
        <v>1.0</v>
      </c>
      <c r="AN521" s="50" t="s">
        <v>10629</v>
      </c>
      <c r="AO521" s="117">
        <v>5929.0</v>
      </c>
      <c r="AP521" s="50" t="s">
        <v>13534</v>
      </c>
      <c r="AQ521" s="50" t="s">
        <v>13535</v>
      </c>
      <c r="AR521" s="117">
        <v>521.0</v>
      </c>
    </row>
    <row r="522">
      <c r="A522" s="50" t="s">
        <v>13538</v>
      </c>
      <c r="B522" s="50" t="s">
        <v>6876</v>
      </c>
      <c r="C522" s="50" t="s">
        <v>6877</v>
      </c>
      <c r="D522" s="50" t="s">
        <v>11623</v>
      </c>
      <c r="E522" s="144">
        <v>43808.0</v>
      </c>
      <c r="F522" s="50" t="s">
        <v>13542</v>
      </c>
      <c r="G522" s="50">
        <v>58.0</v>
      </c>
      <c r="H522" s="50">
        <v>1.0</v>
      </c>
      <c r="I522" s="50">
        <v>16.0</v>
      </c>
      <c r="J522" s="116"/>
      <c r="K522" s="116"/>
      <c r="L522" s="50" t="s">
        <v>1747</v>
      </c>
      <c r="M522" s="50" t="s">
        <v>1747</v>
      </c>
      <c r="N522" s="50" t="s">
        <v>13544</v>
      </c>
      <c r="O522" s="50" t="s">
        <v>13545</v>
      </c>
      <c r="P522" s="50" t="s">
        <v>13546</v>
      </c>
      <c r="Q522" s="50" t="s">
        <v>13547</v>
      </c>
      <c r="R522" s="116"/>
      <c r="S522" s="116"/>
      <c r="T522" s="116"/>
      <c r="U522" s="116"/>
      <c r="V522" s="116"/>
      <c r="W522" s="50">
        <v>4.0</v>
      </c>
      <c r="X522" s="50">
        <v>1.0</v>
      </c>
      <c r="Y522" s="50">
        <v>3.0</v>
      </c>
      <c r="Z522" s="50">
        <v>44.0</v>
      </c>
      <c r="AA522" s="50">
        <v>3.0</v>
      </c>
      <c r="AB522" s="50">
        <v>1.0</v>
      </c>
      <c r="AC522" s="50">
        <v>3.0</v>
      </c>
      <c r="AD522" s="50">
        <v>4.0</v>
      </c>
      <c r="AE522" s="50">
        <v>1.0</v>
      </c>
      <c r="AF522" s="50">
        <v>2.0</v>
      </c>
      <c r="AG522" s="50">
        <v>1.0</v>
      </c>
      <c r="AH522" s="50">
        <v>3.0</v>
      </c>
      <c r="AI522" s="50">
        <v>0.0</v>
      </c>
      <c r="AJ522" s="116"/>
      <c r="AK522" s="50" t="s">
        <v>13552</v>
      </c>
      <c r="AL522" s="50">
        <v>4.0</v>
      </c>
      <c r="AM522" s="50">
        <v>1.0</v>
      </c>
      <c r="AN522" s="50" t="s">
        <v>10629</v>
      </c>
      <c r="AO522" s="117">
        <v>6029.0</v>
      </c>
      <c r="AP522" s="50" t="s">
        <v>13553</v>
      </c>
      <c r="AQ522" s="50" t="s">
        <v>13554</v>
      </c>
      <c r="AR522" s="117">
        <v>522.0</v>
      </c>
    </row>
    <row r="523">
      <c r="A523" s="50" t="s">
        <v>13542</v>
      </c>
      <c r="B523" s="50" t="s">
        <v>6876</v>
      </c>
      <c r="C523" s="50" t="s">
        <v>6877</v>
      </c>
      <c r="D523" s="50" t="s">
        <v>11623</v>
      </c>
      <c r="E523" s="144">
        <v>43808.0</v>
      </c>
      <c r="F523" s="50" t="s">
        <v>13557</v>
      </c>
      <c r="G523" s="50">
        <v>33.0</v>
      </c>
      <c r="H523" s="50">
        <v>1.0</v>
      </c>
      <c r="I523" s="50">
        <v>98.0</v>
      </c>
      <c r="J523" s="116"/>
      <c r="K523" s="116"/>
      <c r="L523" s="50" t="s">
        <v>1749</v>
      </c>
      <c r="M523" s="50" t="s">
        <v>1749</v>
      </c>
      <c r="N523" s="50" t="s">
        <v>13544</v>
      </c>
      <c r="O523" s="50" t="s">
        <v>13435</v>
      </c>
      <c r="P523" s="50" t="s">
        <v>13545</v>
      </c>
      <c r="Q523" s="50" t="s">
        <v>13558</v>
      </c>
      <c r="R523" s="116"/>
      <c r="S523" s="116"/>
      <c r="T523" s="116"/>
      <c r="U523" s="116"/>
      <c r="V523" s="116"/>
      <c r="W523" s="50">
        <v>7.0</v>
      </c>
      <c r="X523" s="50">
        <v>100.0</v>
      </c>
      <c r="Y523" s="50">
        <v>3.0</v>
      </c>
      <c r="Z523" s="50">
        <v>0.0</v>
      </c>
      <c r="AA523" s="116"/>
      <c r="AB523" s="116"/>
      <c r="AC523" s="116"/>
      <c r="AD523" s="116"/>
      <c r="AE523" s="116"/>
      <c r="AF523" s="116"/>
      <c r="AG523" s="116"/>
      <c r="AH523" s="116"/>
      <c r="AI523" s="116"/>
      <c r="AJ523" s="116"/>
      <c r="AK523" s="50" t="s">
        <v>11376</v>
      </c>
      <c r="AL523" s="50">
        <v>4.0</v>
      </c>
      <c r="AM523" s="50">
        <v>1.0</v>
      </c>
      <c r="AN523" s="50" t="s">
        <v>10629</v>
      </c>
      <c r="AO523" s="117">
        <v>6030.0</v>
      </c>
      <c r="AP523" s="50" t="s">
        <v>13564</v>
      </c>
      <c r="AQ523" s="50" t="s">
        <v>13565</v>
      </c>
      <c r="AR523" s="117">
        <v>523.0</v>
      </c>
    </row>
    <row r="524">
      <c r="A524" s="50" t="s">
        <v>13557</v>
      </c>
      <c r="B524" s="50" t="s">
        <v>6876</v>
      </c>
      <c r="C524" s="50" t="s">
        <v>6877</v>
      </c>
      <c r="D524" s="50" t="s">
        <v>11623</v>
      </c>
      <c r="E524" s="144">
        <v>43808.0</v>
      </c>
      <c r="F524" s="50" t="s">
        <v>13567</v>
      </c>
      <c r="G524" s="50">
        <v>66.0</v>
      </c>
      <c r="H524" s="50">
        <v>1.0</v>
      </c>
      <c r="I524" s="50">
        <v>99.0</v>
      </c>
      <c r="J524" s="116"/>
      <c r="K524" s="116"/>
      <c r="L524" s="50" t="s">
        <v>1751</v>
      </c>
      <c r="M524" s="50" t="s">
        <v>1751</v>
      </c>
      <c r="N524" s="50" t="s">
        <v>13572</v>
      </c>
      <c r="O524" s="50" t="s">
        <v>13573</v>
      </c>
      <c r="P524" s="50" t="s">
        <v>13574</v>
      </c>
      <c r="Q524" s="50" t="s">
        <v>13576</v>
      </c>
      <c r="R524" s="116"/>
      <c r="S524" s="116"/>
      <c r="T524" s="116"/>
      <c r="U524" s="116"/>
      <c r="V524" s="116"/>
      <c r="W524" s="50">
        <v>7.0</v>
      </c>
      <c r="X524" s="50">
        <v>100.0</v>
      </c>
      <c r="Y524" s="50">
        <v>3.0</v>
      </c>
      <c r="Z524" s="50">
        <v>0.0</v>
      </c>
      <c r="AA524" s="116"/>
      <c r="AB524" s="116"/>
      <c r="AC524" s="116"/>
      <c r="AD524" s="116"/>
      <c r="AE524" s="116"/>
      <c r="AF524" s="116"/>
      <c r="AG524" s="116"/>
      <c r="AH524" s="116"/>
      <c r="AI524" s="116"/>
      <c r="AJ524" s="116"/>
      <c r="AK524" s="50" t="s">
        <v>13581</v>
      </c>
      <c r="AL524" s="50">
        <v>6.0</v>
      </c>
      <c r="AM524" s="50">
        <v>1.0</v>
      </c>
      <c r="AN524" s="50" t="s">
        <v>10629</v>
      </c>
      <c r="AO524" s="117">
        <v>6031.0</v>
      </c>
      <c r="AP524" s="50" t="s">
        <v>13583</v>
      </c>
      <c r="AQ524" s="50" t="s">
        <v>13584</v>
      </c>
      <c r="AR524" s="117">
        <v>524.0</v>
      </c>
    </row>
    <row r="525">
      <c r="A525" s="50" t="s">
        <v>13567</v>
      </c>
      <c r="B525" s="50" t="s">
        <v>6876</v>
      </c>
      <c r="C525" s="50" t="s">
        <v>6877</v>
      </c>
      <c r="D525" s="50" t="s">
        <v>11623</v>
      </c>
      <c r="E525" s="144">
        <v>43808.0</v>
      </c>
      <c r="F525" s="50" t="s">
        <v>13587</v>
      </c>
      <c r="G525" s="50">
        <v>59.0</v>
      </c>
      <c r="H525" s="50">
        <v>1.0</v>
      </c>
      <c r="I525" s="50">
        <v>99.0</v>
      </c>
      <c r="J525" s="116"/>
      <c r="K525" s="116"/>
      <c r="L525" s="50" t="s">
        <v>1754</v>
      </c>
      <c r="M525" s="50" t="s">
        <v>1754</v>
      </c>
      <c r="N525" s="50" t="s">
        <v>13572</v>
      </c>
      <c r="O525" s="50" t="s">
        <v>13573</v>
      </c>
      <c r="P525" s="50" t="s">
        <v>13574</v>
      </c>
      <c r="Q525" s="50" t="s">
        <v>13576</v>
      </c>
      <c r="R525" s="116"/>
      <c r="S525" s="116"/>
      <c r="T525" s="116"/>
      <c r="U525" s="116"/>
      <c r="V525" s="116"/>
      <c r="W525" s="50">
        <v>7.0</v>
      </c>
      <c r="X525" s="50">
        <v>100.0</v>
      </c>
      <c r="Y525" s="50">
        <v>3.0</v>
      </c>
      <c r="Z525" s="50">
        <v>0.0</v>
      </c>
      <c r="AA525" s="116"/>
      <c r="AB525" s="116"/>
      <c r="AC525" s="116"/>
      <c r="AD525" s="116"/>
      <c r="AE525" s="116"/>
      <c r="AF525" s="116"/>
      <c r="AG525" s="116"/>
      <c r="AH525" s="116"/>
      <c r="AI525" s="116"/>
      <c r="AJ525" s="116"/>
      <c r="AK525" s="50" t="s">
        <v>13589</v>
      </c>
      <c r="AL525" s="50">
        <v>6.0</v>
      </c>
      <c r="AM525" s="50">
        <v>1.0</v>
      </c>
      <c r="AN525" s="50" t="s">
        <v>10629</v>
      </c>
      <c r="AO525" s="117">
        <v>6032.0</v>
      </c>
      <c r="AP525" s="50" t="s">
        <v>13593</v>
      </c>
      <c r="AQ525" s="50" t="s">
        <v>13595</v>
      </c>
      <c r="AR525" s="117">
        <v>525.0</v>
      </c>
    </row>
    <row r="526">
      <c r="A526" s="50" t="s">
        <v>13587</v>
      </c>
      <c r="B526" s="50" t="s">
        <v>6876</v>
      </c>
      <c r="C526" s="50" t="s">
        <v>6877</v>
      </c>
      <c r="D526" s="50" t="s">
        <v>11623</v>
      </c>
      <c r="E526" s="144">
        <v>43808.0</v>
      </c>
      <c r="F526" s="50" t="s">
        <v>13601</v>
      </c>
      <c r="G526" s="50">
        <v>58.0</v>
      </c>
      <c r="H526" s="50">
        <v>1.0</v>
      </c>
      <c r="I526" s="50">
        <v>11.0</v>
      </c>
      <c r="J526" s="116"/>
      <c r="K526" s="116"/>
      <c r="L526" s="50" t="s">
        <v>1756</v>
      </c>
      <c r="M526" s="50" t="s">
        <v>1756</v>
      </c>
      <c r="N526" s="50" t="s">
        <v>13572</v>
      </c>
      <c r="O526" s="50" t="s">
        <v>13603</v>
      </c>
      <c r="P526" s="50" t="s">
        <v>13604</v>
      </c>
      <c r="Q526" s="50" t="s">
        <v>13605</v>
      </c>
      <c r="R526" s="116"/>
      <c r="S526" s="116"/>
      <c r="T526" s="116"/>
      <c r="U526" s="116"/>
      <c r="V526" s="116"/>
      <c r="W526" s="50">
        <v>3.0</v>
      </c>
      <c r="X526" s="50">
        <v>1.0</v>
      </c>
      <c r="Y526" s="50">
        <v>3.0</v>
      </c>
      <c r="Z526" s="50">
        <v>0.0</v>
      </c>
      <c r="AA526" s="50">
        <v>2.0</v>
      </c>
      <c r="AB526" s="50">
        <v>1.0</v>
      </c>
      <c r="AC526" s="50">
        <v>3.0</v>
      </c>
      <c r="AD526" s="50">
        <v>0.0</v>
      </c>
      <c r="AE526" s="50">
        <v>1.0</v>
      </c>
      <c r="AF526" s="50">
        <v>1.0</v>
      </c>
      <c r="AG526" s="50">
        <v>1.0</v>
      </c>
      <c r="AH526" s="50">
        <v>3.0</v>
      </c>
      <c r="AI526" s="50">
        <v>0.0</v>
      </c>
      <c r="AJ526" s="116"/>
      <c r="AK526" s="50" t="s">
        <v>13608</v>
      </c>
      <c r="AL526" s="50">
        <v>6.0</v>
      </c>
      <c r="AM526" s="50">
        <v>1.0</v>
      </c>
      <c r="AN526" s="50" t="s">
        <v>10629</v>
      </c>
      <c r="AO526" s="117">
        <v>6033.0</v>
      </c>
      <c r="AP526" s="50" t="s">
        <v>13611</v>
      </c>
      <c r="AQ526" s="50" t="s">
        <v>13612</v>
      </c>
      <c r="AR526" s="117">
        <v>526.0</v>
      </c>
    </row>
    <row r="527">
      <c r="A527" s="50" t="s">
        <v>13601</v>
      </c>
      <c r="B527" s="50" t="s">
        <v>6876</v>
      </c>
      <c r="C527" s="50" t="s">
        <v>6877</v>
      </c>
      <c r="D527" s="50" t="s">
        <v>11623</v>
      </c>
      <c r="E527" s="144">
        <v>43808.0</v>
      </c>
      <c r="F527" s="50" t="s">
        <v>13613</v>
      </c>
      <c r="G527" s="50">
        <v>58.0</v>
      </c>
      <c r="H527" s="50">
        <v>1.0</v>
      </c>
      <c r="I527" s="50">
        <v>99.0</v>
      </c>
      <c r="J527" s="116"/>
      <c r="K527" s="116"/>
      <c r="L527" s="50" t="s">
        <v>1757</v>
      </c>
      <c r="M527" s="50" t="s">
        <v>1757</v>
      </c>
      <c r="N527" s="50" t="s">
        <v>13572</v>
      </c>
      <c r="O527" s="50" t="s">
        <v>13573</v>
      </c>
      <c r="P527" s="50" t="s">
        <v>13574</v>
      </c>
      <c r="Q527" s="50" t="s">
        <v>13576</v>
      </c>
      <c r="R527" s="116"/>
      <c r="S527" s="116"/>
      <c r="T527" s="116"/>
      <c r="U527" s="116"/>
      <c r="V527" s="116"/>
      <c r="W527" s="50">
        <v>7.0</v>
      </c>
      <c r="X527" s="50">
        <v>100.0</v>
      </c>
      <c r="Y527" s="50">
        <v>3.0</v>
      </c>
      <c r="Z527" s="50">
        <v>0.0</v>
      </c>
      <c r="AA527" s="116"/>
      <c r="AB527" s="116"/>
      <c r="AC527" s="116"/>
      <c r="AD527" s="116"/>
      <c r="AE527" s="116"/>
      <c r="AF527" s="116"/>
      <c r="AG527" s="116"/>
      <c r="AH527" s="116"/>
      <c r="AI527" s="116"/>
      <c r="AJ527" s="116"/>
      <c r="AK527" s="50" t="s">
        <v>13616</v>
      </c>
      <c r="AL527" s="50">
        <v>6.0</v>
      </c>
      <c r="AM527" s="50">
        <v>1.0</v>
      </c>
      <c r="AN527" s="50" t="s">
        <v>10629</v>
      </c>
      <c r="AO527" s="117">
        <v>6034.0</v>
      </c>
      <c r="AP527" s="50" t="s">
        <v>13618</v>
      </c>
      <c r="AQ527" s="50" t="s">
        <v>13619</v>
      </c>
      <c r="AR527" s="117">
        <v>527.0</v>
      </c>
    </row>
    <row r="528">
      <c r="A528" s="50" t="s">
        <v>13613</v>
      </c>
      <c r="B528" s="50" t="s">
        <v>6876</v>
      </c>
      <c r="C528" s="50" t="s">
        <v>6877</v>
      </c>
      <c r="D528" s="50" t="s">
        <v>11623</v>
      </c>
      <c r="E528" s="144">
        <v>43808.0</v>
      </c>
      <c r="F528" s="50" t="s">
        <v>13626</v>
      </c>
      <c r="G528" s="50">
        <v>59.0</v>
      </c>
      <c r="H528" s="50">
        <v>1.0</v>
      </c>
      <c r="I528" s="50">
        <v>11.0</v>
      </c>
      <c r="J528" s="116"/>
      <c r="K528" s="116"/>
      <c r="L528" s="50" t="s">
        <v>323</v>
      </c>
      <c r="M528" s="50" t="s">
        <v>323</v>
      </c>
      <c r="N528" s="50" t="s">
        <v>13572</v>
      </c>
      <c r="O528" s="50" t="s">
        <v>13603</v>
      </c>
      <c r="P528" s="50" t="s">
        <v>13604</v>
      </c>
      <c r="Q528" s="50" t="s">
        <v>13605</v>
      </c>
      <c r="R528" s="116"/>
      <c r="S528" s="116"/>
      <c r="T528" s="116"/>
      <c r="U528" s="116"/>
      <c r="V528" s="116"/>
      <c r="W528" s="50">
        <v>3.0</v>
      </c>
      <c r="X528" s="50">
        <v>1.0</v>
      </c>
      <c r="Y528" s="50">
        <v>3.0</v>
      </c>
      <c r="Z528" s="50">
        <v>0.0</v>
      </c>
      <c r="AA528" s="50">
        <v>2.0</v>
      </c>
      <c r="AB528" s="50">
        <v>1.0</v>
      </c>
      <c r="AC528" s="50">
        <v>3.0</v>
      </c>
      <c r="AD528" s="50">
        <v>0.0</v>
      </c>
      <c r="AE528" s="50">
        <v>1.0</v>
      </c>
      <c r="AF528" s="50">
        <v>1.0</v>
      </c>
      <c r="AG528" s="50">
        <v>1.0</v>
      </c>
      <c r="AH528" s="50">
        <v>3.0</v>
      </c>
      <c r="AI528" s="50">
        <v>0.0</v>
      </c>
      <c r="AJ528" s="116"/>
      <c r="AK528" s="50" t="s">
        <v>12964</v>
      </c>
      <c r="AL528" s="50">
        <v>6.0</v>
      </c>
      <c r="AM528" s="50">
        <v>1.0</v>
      </c>
      <c r="AN528" s="50" t="s">
        <v>10629</v>
      </c>
      <c r="AO528" s="117">
        <v>6035.0</v>
      </c>
      <c r="AP528" s="50" t="s">
        <v>13630</v>
      </c>
      <c r="AQ528" s="50" t="s">
        <v>13631</v>
      </c>
      <c r="AR528" s="117">
        <v>528.0</v>
      </c>
    </row>
    <row r="529">
      <c r="A529" s="50" t="s">
        <v>13626</v>
      </c>
      <c r="B529" s="50" t="s">
        <v>6876</v>
      </c>
      <c r="C529" s="50" t="s">
        <v>6877</v>
      </c>
      <c r="D529" s="50" t="s">
        <v>11623</v>
      </c>
      <c r="E529" s="144">
        <v>43808.0</v>
      </c>
      <c r="F529" s="50" t="s">
        <v>13635</v>
      </c>
      <c r="G529" s="50">
        <v>59.0</v>
      </c>
      <c r="H529" s="50">
        <v>1.0</v>
      </c>
      <c r="I529" s="50">
        <v>99.0</v>
      </c>
      <c r="J529" s="116"/>
      <c r="K529" s="116"/>
      <c r="L529" s="50" t="s">
        <v>1759</v>
      </c>
      <c r="M529" s="50" t="s">
        <v>1759</v>
      </c>
      <c r="N529" s="50" t="s">
        <v>13572</v>
      </c>
      <c r="O529" s="50" t="s">
        <v>13573</v>
      </c>
      <c r="P529" s="50" t="s">
        <v>13574</v>
      </c>
      <c r="Q529" s="50" t="s">
        <v>13576</v>
      </c>
      <c r="R529" s="116"/>
      <c r="S529" s="116"/>
      <c r="T529" s="116"/>
      <c r="U529" s="116"/>
      <c r="V529" s="116"/>
      <c r="W529" s="50">
        <v>7.0</v>
      </c>
      <c r="X529" s="50">
        <v>100.0</v>
      </c>
      <c r="Y529" s="50">
        <v>3.0</v>
      </c>
      <c r="Z529" s="50">
        <v>0.0</v>
      </c>
      <c r="AA529" s="116"/>
      <c r="AB529" s="116"/>
      <c r="AC529" s="116"/>
      <c r="AD529" s="116"/>
      <c r="AE529" s="116"/>
      <c r="AF529" s="116"/>
      <c r="AG529" s="116"/>
      <c r="AH529" s="116"/>
      <c r="AI529" s="116"/>
      <c r="AJ529" s="116"/>
      <c r="AK529" s="50" t="s">
        <v>13639</v>
      </c>
      <c r="AL529" s="50">
        <v>6.0</v>
      </c>
      <c r="AM529" s="50">
        <v>1.0</v>
      </c>
      <c r="AN529" s="50" t="s">
        <v>10629</v>
      </c>
      <c r="AO529" s="117">
        <v>6036.0</v>
      </c>
      <c r="AP529" s="50" t="s">
        <v>13641</v>
      </c>
      <c r="AQ529" s="50" t="s">
        <v>13643</v>
      </c>
      <c r="AR529" s="117">
        <v>529.0</v>
      </c>
    </row>
    <row r="530">
      <c r="A530" s="50" t="s">
        <v>13635</v>
      </c>
      <c r="B530" s="50" t="s">
        <v>6876</v>
      </c>
      <c r="C530" s="50" t="s">
        <v>6877</v>
      </c>
      <c r="D530" s="50" t="s">
        <v>11623</v>
      </c>
      <c r="E530" s="144">
        <v>43808.0</v>
      </c>
      <c r="F530" s="50" t="s">
        <v>13646</v>
      </c>
      <c r="G530" s="50">
        <v>59.0</v>
      </c>
      <c r="H530" s="50">
        <v>1.0</v>
      </c>
      <c r="I530" s="50">
        <v>11.0</v>
      </c>
      <c r="J530" s="116"/>
      <c r="K530" s="116"/>
      <c r="L530" s="50" t="s">
        <v>1761</v>
      </c>
      <c r="M530" s="50" t="s">
        <v>1761</v>
      </c>
      <c r="N530" s="50" t="s">
        <v>13572</v>
      </c>
      <c r="O530" s="50" t="s">
        <v>13603</v>
      </c>
      <c r="P530" s="50" t="s">
        <v>13604</v>
      </c>
      <c r="Q530" s="50" t="s">
        <v>13605</v>
      </c>
      <c r="R530" s="116"/>
      <c r="S530" s="116"/>
      <c r="T530" s="116"/>
      <c r="U530" s="116"/>
      <c r="V530" s="116"/>
      <c r="W530" s="50">
        <v>3.0</v>
      </c>
      <c r="X530" s="50">
        <v>1.0</v>
      </c>
      <c r="Y530" s="50">
        <v>3.0</v>
      </c>
      <c r="Z530" s="50">
        <v>5.0</v>
      </c>
      <c r="AA530" s="50">
        <v>2.0</v>
      </c>
      <c r="AB530" s="50">
        <v>1.0</v>
      </c>
      <c r="AC530" s="50">
        <v>3.0</v>
      </c>
      <c r="AD530" s="50">
        <v>0.0</v>
      </c>
      <c r="AE530" s="50">
        <v>1.0</v>
      </c>
      <c r="AF530" s="50">
        <v>1.0</v>
      </c>
      <c r="AG530" s="50">
        <v>1.0</v>
      </c>
      <c r="AH530" s="50">
        <v>3.0</v>
      </c>
      <c r="AI530" s="50">
        <v>0.0</v>
      </c>
      <c r="AJ530" s="116"/>
      <c r="AK530" s="50" t="s">
        <v>13652</v>
      </c>
      <c r="AL530" s="50">
        <v>6.0</v>
      </c>
      <c r="AM530" s="50">
        <v>1.0</v>
      </c>
      <c r="AN530" s="50" t="s">
        <v>10629</v>
      </c>
      <c r="AO530" s="117">
        <v>6037.0</v>
      </c>
      <c r="AP530" s="50" t="s">
        <v>13653</v>
      </c>
      <c r="AQ530" s="50" t="s">
        <v>13654</v>
      </c>
      <c r="AR530" s="117">
        <v>530.0</v>
      </c>
    </row>
    <row r="531">
      <c r="A531" s="50" t="s">
        <v>13646</v>
      </c>
      <c r="B531" s="50" t="s">
        <v>6876</v>
      </c>
      <c r="C531" s="50" t="s">
        <v>6877</v>
      </c>
      <c r="D531" s="50" t="s">
        <v>11623</v>
      </c>
      <c r="E531" s="144">
        <v>43808.0</v>
      </c>
      <c r="F531" s="50" t="s">
        <v>13656</v>
      </c>
      <c r="G531" s="50">
        <v>59.0</v>
      </c>
      <c r="H531" s="50">
        <v>1.0</v>
      </c>
      <c r="I531" s="50">
        <v>99.0</v>
      </c>
      <c r="J531" s="116"/>
      <c r="K531" s="116"/>
      <c r="L531" s="50" t="s">
        <v>1762</v>
      </c>
      <c r="M531" s="50" t="s">
        <v>1762</v>
      </c>
      <c r="N531" s="50" t="s">
        <v>13572</v>
      </c>
      <c r="O531" s="50" t="s">
        <v>13573</v>
      </c>
      <c r="P531" s="50" t="s">
        <v>13574</v>
      </c>
      <c r="Q531" s="50" t="s">
        <v>13576</v>
      </c>
      <c r="R531" s="116"/>
      <c r="S531" s="116"/>
      <c r="T531" s="116"/>
      <c r="U531" s="116"/>
      <c r="V531" s="116"/>
      <c r="W531" s="50">
        <v>7.0</v>
      </c>
      <c r="X531" s="50">
        <v>100.0</v>
      </c>
      <c r="Y531" s="50">
        <v>3.0</v>
      </c>
      <c r="Z531" s="50">
        <v>0.0</v>
      </c>
      <c r="AA531" s="116"/>
      <c r="AB531" s="116"/>
      <c r="AC531" s="116"/>
      <c r="AD531" s="116"/>
      <c r="AE531" s="116"/>
      <c r="AF531" s="116"/>
      <c r="AG531" s="116"/>
      <c r="AH531" s="116"/>
      <c r="AI531" s="116"/>
      <c r="AJ531" s="116"/>
      <c r="AK531" s="50" t="s">
        <v>13663</v>
      </c>
      <c r="AL531" s="50">
        <v>6.0</v>
      </c>
      <c r="AM531" s="50">
        <v>1.0</v>
      </c>
      <c r="AN531" s="50" t="s">
        <v>10629</v>
      </c>
      <c r="AO531" s="117">
        <v>6038.0</v>
      </c>
      <c r="AP531" s="50" t="s">
        <v>13666</v>
      </c>
      <c r="AQ531" s="50" t="s">
        <v>13668</v>
      </c>
      <c r="AR531" s="117">
        <v>531.0</v>
      </c>
    </row>
    <row r="532">
      <c r="A532" s="50" t="s">
        <v>13656</v>
      </c>
      <c r="B532" s="50" t="s">
        <v>6876</v>
      </c>
      <c r="C532" s="50" t="s">
        <v>6877</v>
      </c>
      <c r="D532" s="50" t="s">
        <v>11623</v>
      </c>
      <c r="E532" s="144">
        <v>43808.0</v>
      </c>
      <c r="F532" s="50" t="s">
        <v>13670</v>
      </c>
      <c r="G532" s="50">
        <v>59.0</v>
      </c>
      <c r="H532" s="50">
        <v>1.0</v>
      </c>
      <c r="I532" s="50">
        <v>11.0</v>
      </c>
      <c r="J532" s="116"/>
      <c r="K532" s="116"/>
      <c r="L532" s="50" t="s">
        <v>1764</v>
      </c>
      <c r="M532" s="50" t="s">
        <v>1764</v>
      </c>
      <c r="N532" s="50" t="s">
        <v>13572</v>
      </c>
      <c r="O532" s="50" t="s">
        <v>13603</v>
      </c>
      <c r="P532" s="50" t="s">
        <v>13604</v>
      </c>
      <c r="Q532" s="50" t="s">
        <v>13605</v>
      </c>
      <c r="R532" s="116"/>
      <c r="S532" s="116"/>
      <c r="T532" s="116"/>
      <c r="U532" s="116"/>
      <c r="V532" s="116"/>
      <c r="W532" s="50">
        <v>3.0</v>
      </c>
      <c r="X532" s="50">
        <v>1.0</v>
      </c>
      <c r="Y532" s="50">
        <v>3.0</v>
      </c>
      <c r="Z532" s="50">
        <v>67.0</v>
      </c>
      <c r="AA532" s="50">
        <v>2.0</v>
      </c>
      <c r="AB532" s="50">
        <v>1.0</v>
      </c>
      <c r="AC532" s="50">
        <v>3.0</v>
      </c>
      <c r="AD532" s="50">
        <v>1.0</v>
      </c>
      <c r="AE532" s="50">
        <v>1.0</v>
      </c>
      <c r="AF532" s="50">
        <v>1.0</v>
      </c>
      <c r="AG532" s="50">
        <v>1.0</v>
      </c>
      <c r="AH532" s="50">
        <v>3.0</v>
      </c>
      <c r="AI532" s="50">
        <v>0.0</v>
      </c>
      <c r="AJ532" s="116"/>
      <c r="AK532" s="50" t="s">
        <v>13675</v>
      </c>
      <c r="AL532" s="50">
        <v>6.0</v>
      </c>
      <c r="AM532" s="50">
        <v>1.0</v>
      </c>
      <c r="AN532" s="50" t="s">
        <v>10629</v>
      </c>
      <c r="AO532" s="117">
        <v>6039.0</v>
      </c>
      <c r="AP532" s="50" t="s">
        <v>13678</v>
      </c>
      <c r="AQ532" s="50" t="s">
        <v>13679</v>
      </c>
      <c r="AR532" s="117">
        <v>532.0</v>
      </c>
    </row>
    <row r="533">
      <c r="A533" s="50" t="s">
        <v>13670</v>
      </c>
      <c r="B533" s="50" t="s">
        <v>6876</v>
      </c>
      <c r="C533" s="50" t="s">
        <v>6877</v>
      </c>
      <c r="D533" s="50" t="s">
        <v>11623</v>
      </c>
      <c r="E533" s="144">
        <v>43808.0</v>
      </c>
      <c r="F533" s="50" t="s">
        <v>13680</v>
      </c>
      <c r="G533" s="50">
        <v>59.0</v>
      </c>
      <c r="H533" s="50">
        <v>1.0</v>
      </c>
      <c r="I533" s="50">
        <v>99.0</v>
      </c>
      <c r="J533" s="116"/>
      <c r="K533" s="116"/>
      <c r="L533" s="50" t="s">
        <v>1765</v>
      </c>
      <c r="M533" s="50" t="s">
        <v>1765</v>
      </c>
      <c r="N533" s="50" t="s">
        <v>13572</v>
      </c>
      <c r="O533" s="50" t="s">
        <v>13603</v>
      </c>
      <c r="P533" s="50" t="s">
        <v>13604</v>
      </c>
      <c r="Q533" s="50" t="s">
        <v>13605</v>
      </c>
      <c r="R533" s="116"/>
      <c r="S533" s="116"/>
      <c r="T533" s="116"/>
      <c r="U533" s="116"/>
      <c r="V533" s="116"/>
      <c r="W533" s="50">
        <v>7.0</v>
      </c>
      <c r="X533" s="50">
        <v>100.0</v>
      </c>
      <c r="Y533" s="50">
        <v>3.0</v>
      </c>
      <c r="Z533" s="50">
        <v>0.0</v>
      </c>
      <c r="AA533" s="116"/>
      <c r="AB533" s="116"/>
      <c r="AC533" s="116"/>
      <c r="AD533" s="116"/>
      <c r="AE533" s="116"/>
      <c r="AF533" s="116"/>
      <c r="AG533" s="116"/>
      <c r="AH533" s="116"/>
      <c r="AI533" s="116"/>
      <c r="AJ533" s="116"/>
      <c r="AK533" s="50" t="s">
        <v>13689</v>
      </c>
      <c r="AL533" s="50">
        <v>6.0</v>
      </c>
      <c r="AM533" s="50">
        <v>1.0</v>
      </c>
      <c r="AN533" s="50" t="s">
        <v>10629</v>
      </c>
      <c r="AO533" s="117">
        <v>6040.0</v>
      </c>
      <c r="AP533" s="50" t="s">
        <v>13691</v>
      </c>
      <c r="AQ533" s="50" t="s">
        <v>13692</v>
      </c>
      <c r="AR533" s="117">
        <v>533.0</v>
      </c>
    </row>
    <row r="534">
      <c r="A534" s="50" t="s">
        <v>13680</v>
      </c>
      <c r="B534" s="50" t="s">
        <v>6876</v>
      </c>
      <c r="C534" s="50" t="s">
        <v>6877</v>
      </c>
      <c r="D534" s="50" t="s">
        <v>11623</v>
      </c>
      <c r="E534" s="144">
        <v>43808.0</v>
      </c>
      <c r="F534" s="50" t="s">
        <v>13693</v>
      </c>
      <c r="G534" s="50">
        <v>33.0</v>
      </c>
      <c r="H534" s="50">
        <v>1.0</v>
      </c>
      <c r="I534" s="50">
        <v>98.0</v>
      </c>
      <c r="J534" s="116"/>
      <c r="K534" s="116"/>
      <c r="L534" s="50" t="s">
        <v>1749</v>
      </c>
      <c r="M534" s="50" t="s">
        <v>1749</v>
      </c>
      <c r="N534" s="50" t="s">
        <v>13572</v>
      </c>
      <c r="O534" s="50" t="s">
        <v>13603</v>
      </c>
      <c r="P534" s="50" t="s">
        <v>13604</v>
      </c>
      <c r="Q534" s="50" t="s">
        <v>13605</v>
      </c>
      <c r="R534" s="116"/>
      <c r="S534" s="116"/>
      <c r="T534" s="116"/>
      <c r="U534" s="116"/>
      <c r="V534" s="116"/>
      <c r="W534" s="50">
        <v>7.0</v>
      </c>
      <c r="X534" s="50">
        <v>100.0</v>
      </c>
      <c r="Y534" s="50">
        <v>3.0</v>
      </c>
      <c r="Z534" s="50">
        <v>0.0</v>
      </c>
      <c r="AA534" s="116"/>
      <c r="AB534" s="116"/>
      <c r="AC534" s="116"/>
      <c r="AD534" s="116"/>
      <c r="AE534" s="116"/>
      <c r="AF534" s="116"/>
      <c r="AG534" s="116"/>
      <c r="AH534" s="116"/>
      <c r="AI534" s="116"/>
      <c r="AJ534" s="116"/>
      <c r="AK534" s="50" t="s">
        <v>11512</v>
      </c>
      <c r="AL534" s="50">
        <v>6.0</v>
      </c>
      <c r="AM534" s="50">
        <v>1.0</v>
      </c>
      <c r="AN534" s="50" t="s">
        <v>10629</v>
      </c>
      <c r="AO534" s="117">
        <v>6041.0</v>
      </c>
      <c r="AP534" s="50" t="s">
        <v>13700</v>
      </c>
      <c r="AQ534" s="50" t="s">
        <v>13701</v>
      </c>
      <c r="AR534" s="117">
        <v>534.0</v>
      </c>
    </row>
    <row r="535">
      <c r="A535" s="50" t="s">
        <v>13693</v>
      </c>
      <c r="B535" s="50" t="s">
        <v>6876</v>
      </c>
      <c r="C535" s="50" t="s">
        <v>6877</v>
      </c>
      <c r="D535" s="50" t="s">
        <v>11623</v>
      </c>
      <c r="E535" s="144">
        <v>43808.0</v>
      </c>
      <c r="F535" s="50" t="s">
        <v>13703</v>
      </c>
      <c r="G535" s="50">
        <v>59.0</v>
      </c>
      <c r="H535" s="50">
        <v>1.0</v>
      </c>
      <c r="I535" s="50">
        <v>11.0</v>
      </c>
      <c r="J535" s="116"/>
      <c r="K535" s="116"/>
      <c r="L535" s="50" t="s">
        <v>1769</v>
      </c>
      <c r="M535" s="50" t="s">
        <v>1769</v>
      </c>
      <c r="N535" s="50" t="s">
        <v>13706</v>
      </c>
      <c r="O535" s="50" t="s">
        <v>13707</v>
      </c>
      <c r="P535" s="50" t="s">
        <v>13605</v>
      </c>
      <c r="Q535" s="50" t="s">
        <v>13708</v>
      </c>
      <c r="R535" s="116"/>
      <c r="S535" s="116"/>
      <c r="T535" s="116"/>
      <c r="U535" s="116"/>
      <c r="V535" s="116"/>
      <c r="W535" s="50">
        <v>3.0</v>
      </c>
      <c r="X535" s="50">
        <v>1.0</v>
      </c>
      <c r="Y535" s="50">
        <v>3.0</v>
      </c>
      <c r="Z535" s="50">
        <v>2.0</v>
      </c>
      <c r="AA535" s="50">
        <v>2.0</v>
      </c>
      <c r="AB535" s="50">
        <v>1.0</v>
      </c>
      <c r="AC535" s="50">
        <v>3.0</v>
      </c>
      <c r="AD535" s="50">
        <v>0.0</v>
      </c>
      <c r="AE535" s="50">
        <v>1.0</v>
      </c>
      <c r="AF535" s="50">
        <v>1.0</v>
      </c>
      <c r="AG535" s="50">
        <v>1.0</v>
      </c>
      <c r="AH535" s="50">
        <v>3.0</v>
      </c>
      <c r="AI535" s="50">
        <v>0.0</v>
      </c>
      <c r="AJ535" s="116"/>
      <c r="AK535" s="50" t="s">
        <v>13714</v>
      </c>
      <c r="AL535" s="50">
        <v>6.0</v>
      </c>
      <c r="AM535" s="50">
        <v>1.0</v>
      </c>
      <c r="AN535" s="50" t="s">
        <v>10629</v>
      </c>
      <c r="AO535" s="117">
        <v>6042.0</v>
      </c>
      <c r="AP535" s="50" t="s">
        <v>13715</v>
      </c>
      <c r="AQ535" s="50" t="s">
        <v>13716</v>
      </c>
      <c r="AR535" s="117">
        <v>535.0</v>
      </c>
    </row>
    <row r="536">
      <c r="A536" s="50" t="s">
        <v>13718</v>
      </c>
      <c r="B536" s="50" t="s">
        <v>6876</v>
      </c>
      <c r="C536" s="50" t="s">
        <v>6877</v>
      </c>
      <c r="D536" s="50" t="s">
        <v>11623</v>
      </c>
      <c r="E536" s="144">
        <v>43808.0</v>
      </c>
      <c r="F536" s="50" t="s">
        <v>13720</v>
      </c>
      <c r="G536" s="50">
        <v>59.0</v>
      </c>
      <c r="H536" s="50">
        <v>1.0</v>
      </c>
      <c r="I536" s="50">
        <v>99.0</v>
      </c>
      <c r="J536" s="116"/>
      <c r="K536" s="116"/>
      <c r="L536" s="50" t="s">
        <v>1770</v>
      </c>
      <c r="M536" s="50" t="s">
        <v>1770</v>
      </c>
      <c r="N536" s="50" t="s">
        <v>13706</v>
      </c>
      <c r="O536" s="50" t="s">
        <v>13721</v>
      </c>
      <c r="P536" s="50" t="s">
        <v>13576</v>
      </c>
      <c r="Q536" s="50" t="s">
        <v>13722</v>
      </c>
      <c r="R536" s="116"/>
      <c r="S536" s="116"/>
      <c r="T536" s="116"/>
      <c r="U536" s="116"/>
      <c r="V536" s="116"/>
      <c r="W536" s="50">
        <v>7.0</v>
      </c>
      <c r="X536" s="50">
        <v>100.0</v>
      </c>
      <c r="Y536" s="50">
        <v>3.0</v>
      </c>
      <c r="Z536" s="50">
        <v>0.0</v>
      </c>
      <c r="AA536" s="116"/>
      <c r="AB536" s="116"/>
      <c r="AC536" s="116"/>
      <c r="AD536" s="116"/>
      <c r="AE536" s="116"/>
      <c r="AF536" s="116"/>
      <c r="AG536" s="116"/>
      <c r="AH536" s="116"/>
      <c r="AI536" s="116"/>
      <c r="AJ536" s="116"/>
      <c r="AK536" s="50" t="s">
        <v>13723</v>
      </c>
      <c r="AL536" s="50">
        <v>6.0</v>
      </c>
      <c r="AM536" s="50">
        <v>1.0</v>
      </c>
      <c r="AN536" s="50" t="s">
        <v>10629</v>
      </c>
      <c r="AO536" s="117">
        <v>6043.0</v>
      </c>
      <c r="AP536" s="50" t="s">
        <v>13725</v>
      </c>
      <c r="AQ536" s="50" t="s">
        <v>13727</v>
      </c>
      <c r="AR536" s="117">
        <v>536.0</v>
      </c>
    </row>
    <row r="537">
      <c r="A537" s="50" t="s">
        <v>13720</v>
      </c>
      <c r="B537" s="50" t="s">
        <v>6876</v>
      </c>
      <c r="C537" s="50" t="s">
        <v>6877</v>
      </c>
      <c r="D537" s="50" t="s">
        <v>11623</v>
      </c>
      <c r="E537" s="144">
        <v>43808.0</v>
      </c>
      <c r="F537" s="50" t="s">
        <v>13731</v>
      </c>
      <c r="G537" s="50">
        <v>59.0</v>
      </c>
      <c r="H537" s="50">
        <v>1.0</v>
      </c>
      <c r="I537" s="50">
        <v>11.0</v>
      </c>
      <c r="J537" s="116"/>
      <c r="K537" s="116"/>
      <c r="L537" s="50" t="s">
        <v>1772</v>
      </c>
      <c r="M537" s="50" t="s">
        <v>1772</v>
      </c>
      <c r="N537" s="50" t="s">
        <v>13706</v>
      </c>
      <c r="O537" s="50" t="s">
        <v>13707</v>
      </c>
      <c r="P537" s="50" t="s">
        <v>13605</v>
      </c>
      <c r="Q537" s="50" t="s">
        <v>13708</v>
      </c>
      <c r="R537" s="116"/>
      <c r="S537" s="116"/>
      <c r="T537" s="116"/>
      <c r="U537" s="116"/>
      <c r="V537" s="116"/>
      <c r="W537" s="50">
        <v>3.0</v>
      </c>
      <c r="X537" s="50">
        <v>1.0</v>
      </c>
      <c r="Y537" s="50">
        <v>2.0</v>
      </c>
      <c r="Z537" s="116"/>
      <c r="AA537" s="50">
        <v>2.0</v>
      </c>
      <c r="AB537" s="50">
        <v>1.0</v>
      </c>
      <c r="AC537" s="50">
        <v>2.0</v>
      </c>
      <c r="AD537" s="116"/>
      <c r="AE537" s="50">
        <v>1.0</v>
      </c>
      <c r="AF537" s="50">
        <v>1.0</v>
      </c>
      <c r="AG537" s="50">
        <v>1.0</v>
      </c>
      <c r="AH537" s="50">
        <v>3.0</v>
      </c>
      <c r="AI537" s="50">
        <v>200.0</v>
      </c>
      <c r="AJ537" s="116"/>
      <c r="AK537" s="50" t="s">
        <v>13739</v>
      </c>
      <c r="AL537" s="50">
        <v>6.0</v>
      </c>
      <c r="AM537" s="50">
        <v>1.0</v>
      </c>
      <c r="AN537" s="50" t="s">
        <v>10629</v>
      </c>
      <c r="AO537" s="117">
        <v>6044.0</v>
      </c>
      <c r="AP537" s="50" t="s">
        <v>13741</v>
      </c>
      <c r="AQ537" s="50" t="s">
        <v>13743</v>
      </c>
      <c r="AR537" s="117">
        <v>537.0</v>
      </c>
    </row>
    <row r="538">
      <c r="A538" s="50" t="s">
        <v>13731</v>
      </c>
      <c r="B538" s="50" t="s">
        <v>6876</v>
      </c>
      <c r="C538" s="50" t="s">
        <v>6877</v>
      </c>
      <c r="D538" s="50" t="s">
        <v>11623</v>
      </c>
      <c r="E538" s="144">
        <v>43808.0</v>
      </c>
      <c r="F538" s="50" t="s">
        <v>13746</v>
      </c>
      <c r="G538" s="50">
        <v>59.0</v>
      </c>
      <c r="H538" s="50">
        <v>1.0</v>
      </c>
      <c r="I538" s="50">
        <v>99.0</v>
      </c>
      <c r="J538" s="116"/>
      <c r="K538" s="116"/>
      <c r="L538" s="50" t="s">
        <v>1773</v>
      </c>
      <c r="M538" s="50" t="s">
        <v>1773</v>
      </c>
      <c r="N538" s="50" t="s">
        <v>13706</v>
      </c>
      <c r="O538" s="50" t="s">
        <v>13721</v>
      </c>
      <c r="P538" s="50" t="s">
        <v>13576</v>
      </c>
      <c r="Q538" s="50" t="s">
        <v>13722</v>
      </c>
      <c r="R538" s="116"/>
      <c r="S538" s="116"/>
      <c r="T538" s="116"/>
      <c r="U538" s="116"/>
      <c r="V538" s="116"/>
      <c r="W538" s="50">
        <v>7.0</v>
      </c>
      <c r="X538" s="50">
        <v>100.0</v>
      </c>
      <c r="Y538" s="50">
        <v>3.0</v>
      </c>
      <c r="Z538" s="50">
        <v>0.0</v>
      </c>
      <c r="AA538" s="116"/>
      <c r="AB538" s="116"/>
      <c r="AC538" s="116"/>
      <c r="AD538" s="116"/>
      <c r="AE538" s="116"/>
      <c r="AF538" s="116"/>
      <c r="AG538" s="116"/>
      <c r="AH538" s="116"/>
      <c r="AI538" s="116"/>
      <c r="AJ538" s="116"/>
      <c r="AK538" s="50" t="s">
        <v>13749</v>
      </c>
      <c r="AL538" s="50">
        <v>6.0</v>
      </c>
      <c r="AM538" s="50">
        <v>1.0</v>
      </c>
      <c r="AN538" s="50" t="s">
        <v>10629</v>
      </c>
      <c r="AO538" s="117">
        <v>6045.0</v>
      </c>
      <c r="AP538" s="50" t="s">
        <v>13750</v>
      </c>
      <c r="AQ538" s="50" t="s">
        <v>13751</v>
      </c>
      <c r="AR538" s="117">
        <v>538.0</v>
      </c>
    </row>
    <row r="539">
      <c r="A539" s="50" t="s">
        <v>13746</v>
      </c>
      <c r="B539" s="50" t="s">
        <v>6876</v>
      </c>
      <c r="C539" s="50" t="s">
        <v>6877</v>
      </c>
      <c r="D539" s="50" t="s">
        <v>11623</v>
      </c>
      <c r="E539" s="144">
        <v>43808.0</v>
      </c>
      <c r="F539" s="50" t="s">
        <v>13760</v>
      </c>
      <c r="G539" s="50">
        <v>59.0</v>
      </c>
      <c r="H539" s="50">
        <v>1.0</v>
      </c>
      <c r="I539" s="50">
        <v>11.0</v>
      </c>
      <c r="J539" s="116"/>
      <c r="K539" s="116"/>
      <c r="L539" s="50" t="s">
        <v>1775</v>
      </c>
      <c r="M539" s="50" t="s">
        <v>1775</v>
      </c>
      <c r="N539" s="50" t="s">
        <v>13706</v>
      </c>
      <c r="O539" s="50" t="s">
        <v>13707</v>
      </c>
      <c r="P539" s="50" t="s">
        <v>13605</v>
      </c>
      <c r="Q539" s="50" t="s">
        <v>13708</v>
      </c>
      <c r="R539" s="116"/>
      <c r="S539" s="116"/>
      <c r="T539" s="116"/>
      <c r="U539" s="116"/>
      <c r="V539" s="116"/>
      <c r="W539" s="50">
        <v>3.0</v>
      </c>
      <c r="X539" s="50">
        <v>1.0</v>
      </c>
      <c r="Y539" s="50">
        <v>3.0</v>
      </c>
      <c r="Z539" s="50">
        <v>85.0</v>
      </c>
      <c r="AA539" s="50">
        <v>2.0</v>
      </c>
      <c r="AB539" s="50">
        <v>1.0</v>
      </c>
      <c r="AC539" s="50">
        <v>3.0</v>
      </c>
      <c r="AD539" s="50">
        <v>5.0</v>
      </c>
      <c r="AE539" s="50">
        <v>1.0</v>
      </c>
      <c r="AF539" s="50">
        <v>1.0</v>
      </c>
      <c r="AG539" s="50">
        <v>1.0</v>
      </c>
      <c r="AH539" s="50">
        <v>3.0</v>
      </c>
      <c r="AI539" s="50">
        <v>2.0</v>
      </c>
      <c r="AJ539" s="116"/>
      <c r="AK539" s="50" t="s">
        <v>13765</v>
      </c>
      <c r="AL539" s="50">
        <v>6.0</v>
      </c>
      <c r="AM539" s="50">
        <v>1.0</v>
      </c>
      <c r="AN539" s="50" t="s">
        <v>10629</v>
      </c>
      <c r="AO539" s="117">
        <v>6046.0</v>
      </c>
      <c r="AP539" s="50" t="s">
        <v>13766</v>
      </c>
      <c r="AQ539" s="50" t="s">
        <v>13767</v>
      </c>
      <c r="AR539" s="117">
        <v>539.0</v>
      </c>
    </row>
    <row r="540">
      <c r="A540" s="50" t="s">
        <v>13760</v>
      </c>
      <c r="B540" s="50" t="s">
        <v>6876</v>
      </c>
      <c r="C540" s="50" t="s">
        <v>6877</v>
      </c>
      <c r="D540" s="50" t="s">
        <v>11623</v>
      </c>
      <c r="E540" s="144">
        <v>43808.0</v>
      </c>
      <c r="F540" s="50" t="s">
        <v>13768</v>
      </c>
      <c r="G540" s="50">
        <v>59.0</v>
      </c>
      <c r="H540" s="50">
        <v>1.0</v>
      </c>
      <c r="I540" s="50">
        <v>99.0</v>
      </c>
      <c r="J540" s="116"/>
      <c r="K540" s="116"/>
      <c r="L540" s="50" t="s">
        <v>1776</v>
      </c>
      <c r="M540" s="50" t="s">
        <v>1776</v>
      </c>
      <c r="N540" s="50" t="s">
        <v>13706</v>
      </c>
      <c r="O540" s="50" t="s">
        <v>13721</v>
      </c>
      <c r="P540" s="50" t="s">
        <v>13576</v>
      </c>
      <c r="Q540" s="50" t="s">
        <v>13722</v>
      </c>
      <c r="R540" s="116"/>
      <c r="S540" s="116"/>
      <c r="T540" s="116"/>
      <c r="U540" s="116"/>
      <c r="V540" s="116"/>
      <c r="W540" s="50">
        <v>7.0</v>
      </c>
      <c r="X540" s="50">
        <v>100.0</v>
      </c>
      <c r="Y540" s="50">
        <v>3.0</v>
      </c>
      <c r="Z540" s="50">
        <v>0.0</v>
      </c>
      <c r="AA540" s="116"/>
      <c r="AB540" s="116"/>
      <c r="AC540" s="116"/>
      <c r="AD540" s="116"/>
      <c r="AE540" s="116"/>
      <c r="AF540" s="116"/>
      <c r="AG540" s="116"/>
      <c r="AH540" s="116"/>
      <c r="AI540" s="116"/>
      <c r="AJ540" s="116"/>
      <c r="AK540" s="50" t="s">
        <v>13778</v>
      </c>
      <c r="AL540" s="50">
        <v>6.0</v>
      </c>
      <c r="AM540" s="50">
        <v>1.0</v>
      </c>
      <c r="AN540" s="50" t="s">
        <v>10629</v>
      </c>
      <c r="AO540" s="117">
        <v>6047.0</v>
      </c>
      <c r="AP540" s="50" t="s">
        <v>13782</v>
      </c>
      <c r="AQ540" s="50" t="s">
        <v>13783</v>
      </c>
      <c r="AR540" s="117">
        <v>540.0</v>
      </c>
    </row>
    <row r="541">
      <c r="A541" s="50" t="s">
        <v>13786</v>
      </c>
      <c r="B541" s="50" t="s">
        <v>6876</v>
      </c>
      <c r="C541" s="50" t="s">
        <v>6877</v>
      </c>
      <c r="D541" s="50" t="s">
        <v>11623</v>
      </c>
      <c r="E541" s="144">
        <v>43808.0</v>
      </c>
      <c r="F541" s="50" t="s">
        <v>13787</v>
      </c>
      <c r="G541" s="50">
        <v>59.0</v>
      </c>
      <c r="H541" s="50">
        <v>1.0</v>
      </c>
      <c r="I541" s="50">
        <v>11.0</v>
      </c>
      <c r="J541" s="116"/>
      <c r="K541" s="116"/>
      <c r="L541" s="50" t="s">
        <v>1778</v>
      </c>
      <c r="M541" s="50" t="s">
        <v>1778</v>
      </c>
      <c r="N541" s="50" t="s">
        <v>13706</v>
      </c>
      <c r="O541" s="50" t="s">
        <v>13707</v>
      </c>
      <c r="P541" s="50" t="s">
        <v>13605</v>
      </c>
      <c r="Q541" s="50" t="s">
        <v>13708</v>
      </c>
      <c r="R541" s="116"/>
      <c r="S541" s="116"/>
      <c r="T541" s="116"/>
      <c r="U541" s="116"/>
      <c r="V541" s="116"/>
      <c r="W541" s="50">
        <v>3.0</v>
      </c>
      <c r="X541" s="50">
        <v>1.0</v>
      </c>
      <c r="Y541" s="50">
        <v>3.0</v>
      </c>
      <c r="Z541" s="50">
        <v>34.0</v>
      </c>
      <c r="AA541" s="50">
        <v>2.0</v>
      </c>
      <c r="AB541" s="50">
        <v>1.0</v>
      </c>
      <c r="AC541" s="50">
        <v>3.0</v>
      </c>
      <c r="AD541" s="50">
        <v>3.0</v>
      </c>
      <c r="AE541" s="50">
        <v>1.0</v>
      </c>
      <c r="AF541" s="50">
        <v>1.0</v>
      </c>
      <c r="AG541" s="50">
        <v>1.0</v>
      </c>
      <c r="AH541" s="50">
        <v>3.0</v>
      </c>
      <c r="AI541" s="50">
        <v>0.0</v>
      </c>
      <c r="AJ541" s="116"/>
      <c r="AK541" s="50" t="s">
        <v>13794</v>
      </c>
      <c r="AL541" s="50">
        <v>6.0</v>
      </c>
      <c r="AM541" s="50">
        <v>1.0</v>
      </c>
      <c r="AN541" s="50" t="s">
        <v>10629</v>
      </c>
      <c r="AO541" s="117">
        <v>6048.0</v>
      </c>
      <c r="AP541" s="50" t="s">
        <v>13797</v>
      </c>
      <c r="AQ541" s="50" t="s">
        <v>13798</v>
      </c>
      <c r="AR541" s="117">
        <v>541.0</v>
      </c>
    </row>
    <row r="542">
      <c r="A542" s="50" t="s">
        <v>13803</v>
      </c>
      <c r="B542" s="50" t="s">
        <v>6876</v>
      </c>
      <c r="C542" s="50" t="s">
        <v>6877</v>
      </c>
      <c r="D542" s="50" t="s">
        <v>11623</v>
      </c>
      <c r="E542" s="144">
        <v>43808.0</v>
      </c>
      <c r="F542" s="50" t="s">
        <v>13805</v>
      </c>
      <c r="G542" s="50">
        <v>59.0</v>
      </c>
      <c r="H542" s="50">
        <v>1.0</v>
      </c>
      <c r="I542" s="50">
        <v>99.0</v>
      </c>
      <c r="J542" s="116"/>
      <c r="K542" s="116"/>
      <c r="L542" s="50" t="s">
        <v>1779</v>
      </c>
      <c r="M542" s="50" t="s">
        <v>1779</v>
      </c>
      <c r="N542" s="50" t="s">
        <v>13706</v>
      </c>
      <c r="O542" s="50" t="s">
        <v>13721</v>
      </c>
      <c r="P542" s="50" t="s">
        <v>13576</v>
      </c>
      <c r="Q542" s="50" t="s">
        <v>13722</v>
      </c>
      <c r="R542" s="116"/>
      <c r="S542" s="116"/>
      <c r="T542" s="116"/>
      <c r="U542" s="116"/>
      <c r="V542" s="116"/>
      <c r="W542" s="50">
        <v>7.0</v>
      </c>
      <c r="X542" s="50">
        <v>100.0</v>
      </c>
      <c r="Y542" s="50">
        <v>3.0</v>
      </c>
      <c r="Z542" s="50">
        <v>0.0</v>
      </c>
      <c r="AA542" s="116"/>
      <c r="AB542" s="116"/>
      <c r="AC542" s="116"/>
      <c r="AD542" s="116"/>
      <c r="AE542" s="116"/>
      <c r="AF542" s="116"/>
      <c r="AG542" s="116"/>
      <c r="AH542" s="116"/>
      <c r="AI542" s="116"/>
      <c r="AJ542" s="116"/>
      <c r="AK542" s="50" t="s">
        <v>13806</v>
      </c>
      <c r="AL542" s="50">
        <v>6.0</v>
      </c>
      <c r="AM542" s="50">
        <v>1.0</v>
      </c>
      <c r="AN542" s="50" t="s">
        <v>10629</v>
      </c>
      <c r="AO542" s="117">
        <v>6049.0</v>
      </c>
      <c r="AP542" s="50" t="s">
        <v>13808</v>
      </c>
      <c r="AQ542" s="50" t="s">
        <v>13810</v>
      </c>
      <c r="AR542" s="117">
        <v>542.0</v>
      </c>
    </row>
    <row r="543">
      <c r="A543" s="50" t="s">
        <v>13811</v>
      </c>
      <c r="B543" s="50" t="s">
        <v>6876</v>
      </c>
      <c r="C543" s="50" t="s">
        <v>6877</v>
      </c>
      <c r="D543" s="50" t="s">
        <v>11623</v>
      </c>
      <c r="E543" s="144">
        <v>43811.0</v>
      </c>
      <c r="F543" s="50" t="s">
        <v>13814</v>
      </c>
      <c r="G543" s="50">
        <v>33.0</v>
      </c>
      <c r="H543" s="50">
        <v>1.0</v>
      </c>
      <c r="I543" s="50">
        <v>98.0</v>
      </c>
      <c r="J543" s="116"/>
      <c r="K543" s="116"/>
      <c r="L543" s="50" t="s">
        <v>1782</v>
      </c>
      <c r="M543" s="50" t="s">
        <v>1782</v>
      </c>
      <c r="N543" s="50" t="s">
        <v>13706</v>
      </c>
      <c r="O543" s="50" t="s">
        <v>13721</v>
      </c>
      <c r="P543" s="50" t="s">
        <v>13576</v>
      </c>
      <c r="Q543" s="50" t="s">
        <v>13722</v>
      </c>
      <c r="R543" s="116"/>
      <c r="S543" s="116"/>
      <c r="T543" s="116"/>
      <c r="U543" s="116"/>
      <c r="V543" s="116"/>
      <c r="W543" s="50">
        <v>7.0</v>
      </c>
      <c r="X543" s="50">
        <v>100.0</v>
      </c>
      <c r="Y543" s="50">
        <v>3.0</v>
      </c>
      <c r="Z543" s="50">
        <v>0.0</v>
      </c>
      <c r="AA543" s="116"/>
      <c r="AB543" s="116"/>
      <c r="AC543" s="116"/>
      <c r="AD543" s="116"/>
      <c r="AE543" s="116"/>
      <c r="AF543" s="116"/>
      <c r="AG543" s="116"/>
      <c r="AH543" s="116"/>
      <c r="AI543" s="116"/>
      <c r="AJ543" s="116"/>
      <c r="AK543" s="50" t="s">
        <v>11376</v>
      </c>
      <c r="AL543" s="50">
        <v>4.0</v>
      </c>
      <c r="AM543" s="50">
        <v>1.0</v>
      </c>
      <c r="AN543" s="50" t="s">
        <v>10629</v>
      </c>
      <c r="AO543" s="117">
        <v>6213.0</v>
      </c>
      <c r="AP543" s="50" t="s">
        <v>13817</v>
      </c>
      <c r="AQ543" s="50" t="s">
        <v>13818</v>
      </c>
      <c r="AR543" s="117">
        <v>543.0</v>
      </c>
    </row>
    <row r="544">
      <c r="A544" s="50" t="s">
        <v>13819</v>
      </c>
      <c r="B544" s="50" t="s">
        <v>6876</v>
      </c>
      <c r="C544" s="50" t="s">
        <v>6877</v>
      </c>
      <c r="D544" s="50" t="s">
        <v>11623</v>
      </c>
      <c r="E544" s="144">
        <v>43811.0</v>
      </c>
      <c r="F544" s="50" t="s">
        <v>13821</v>
      </c>
      <c r="G544" s="50">
        <v>58.0</v>
      </c>
      <c r="H544" s="50">
        <v>1.0</v>
      </c>
      <c r="I544" s="50">
        <v>11.0</v>
      </c>
      <c r="J544" s="116"/>
      <c r="K544" s="116"/>
      <c r="L544" s="50" t="s">
        <v>1783</v>
      </c>
      <c r="M544" s="50" t="s">
        <v>1783</v>
      </c>
      <c r="N544" s="50" t="s">
        <v>13829</v>
      </c>
      <c r="O544" s="50" t="s">
        <v>13830</v>
      </c>
      <c r="P544" s="50" t="s">
        <v>13831</v>
      </c>
      <c r="Q544" s="50" t="s">
        <v>13832</v>
      </c>
      <c r="R544" s="116"/>
      <c r="S544" s="116"/>
      <c r="T544" s="116"/>
      <c r="U544" s="116"/>
      <c r="V544" s="116"/>
      <c r="W544" s="50">
        <v>3.0</v>
      </c>
      <c r="X544" s="50">
        <v>1.0</v>
      </c>
      <c r="Y544" s="50">
        <v>3.0</v>
      </c>
      <c r="Z544" s="50">
        <v>1.0</v>
      </c>
      <c r="AA544" s="50">
        <v>2.0</v>
      </c>
      <c r="AB544" s="50">
        <v>1.0</v>
      </c>
      <c r="AC544" s="50">
        <v>3.0</v>
      </c>
      <c r="AD544" s="50">
        <v>0.0</v>
      </c>
      <c r="AE544" s="50">
        <v>1.0</v>
      </c>
      <c r="AF544" s="50">
        <v>1.0</v>
      </c>
      <c r="AG544" s="50">
        <v>1.0</v>
      </c>
      <c r="AH544" s="50">
        <v>3.0</v>
      </c>
      <c r="AI544" s="50">
        <v>0.0</v>
      </c>
      <c r="AJ544" s="116"/>
      <c r="AK544" s="50" t="s">
        <v>13837</v>
      </c>
      <c r="AL544" s="50">
        <v>4.0</v>
      </c>
      <c r="AM544" s="50">
        <v>1.0</v>
      </c>
      <c r="AN544" s="50" t="s">
        <v>10629</v>
      </c>
      <c r="AO544" s="117">
        <v>6214.0</v>
      </c>
      <c r="AP544" s="50" t="s">
        <v>13838</v>
      </c>
      <c r="AQ544" s="50" t="s">
        <v>13839</v>
      </c>
      <c r="AR544" s="117">
        <v>544.0</v>
      </c>
    </row>
    <row r="545">
      <c r="A545" s="50" t="s">
        <v>13821</v>
      </c>
      <c r="B545" s="50" t="s">
        <v>6876</v>
      </c>
      <c r="C545" s="50" t="s">
        <v>6877</v>
      </c>
      <c r="D545" s="50" t="s">
        <v>11623</v>
      </c>
      <c r="E545" s="144">
        <v>43811.0</v>
      </c>
      <c r="F545" s="50" t="s">
        <v>13841</v>
      </c>
      <c r="G545" s="50">
        <v>58.0</v>
      </c>
      <c r="H545" s="50">
        <v>1.0</v>
      </c>
      <c r="I545" s="50">
        <v>99.0</v>
      </c>
      <c r="J545" s="116"/>
      <c r="K545" s="116"/>
      <c r="L545" s="50" t="s">
        <v>1784</v>
      </c>
      <c r="M545" s="50" t="s">
        <v>1784</v>
      </c>
      <c r="N545" s="50" t="s">
        <v>13829</v>
      </c>
      <c r="O545" s="50" t="s">
        <v>13845</v>
      </c>
      <c r="P545" s="50" t="s">
        <v>13847</v>
      </c>
      <c r="Q545" s="50" t="s">
        <v>13850</v>
      </c>
      <c r="R545" s="116"/>
      <c r="S545" s="116"/>
      <c r="T545" s="116"/>
      <c r="U545" s="116"/>
      <c r="V545" s="116"/>
      <c r="W545" s="50">
        <v>7.0</v>
      </c>
      <c r="X545" s="50">
        <v>100.0</v>
      </c>
      <c r="Y545" s="50">
        <v>3.0</v>
      </c>
      <c r="Z545" s="50">
        <v>0.0</v>
      </c>
      <c r="AA545" s="116"/>
      <c r="AB545" s="116"/>
      <c r="AC545" s="116"/>
      <c r="AD545" s="116"/>
      <c r="AE545" s="116"/>
      <c r="AF545" s="116"/>
      <c r="AG545" s="116"/>
      <c r="AH545" s="116"/>
      <c r="AI545" s="116"/>
      <c r="AJ545" s="116"/>
      <c r="AK545" s="50" t="s">
        <v>13857</v>
      </c>
      <c r="AL545" s="50">
        <v>4.0</v>
      </c>
      <c r="AM545" s="50">
        <v>1.0</v>
      </c>
      <c r="AN545" s="50" t="s">
        <v>10629</v>
      </c>
      <c r="AO545" s="117">
        <v>6215.0</v>
      </c>
      <c r="AP545" s="50" t="s">
        <v>13860</v>
      </c>
      <c r="AQ545" s="50" t="s">
        <v>13861</v>
      </c>
      <c r="AR545" s="117">
        <v>545.0</v>
      </c>
    </row>
    <row r="546">
      <c r="A546" s="50" t="s">
        <v>13841</v>
      </c>
      <c r="B546" s="50" t="s">
        <v>6876</v>
      </c>
      <c r="C546" s="50" t="s">
        <v>6877</v>
      </c>
      <c r="D546" s="50" t="s">
        <v>11623</v>
      </c>
      <c r="E546" s="144">
        <v>43811.0</v>
      </c>
      <c r="F546" s="50" t="s">
        <v>13863</v>
      </c>
      <c r="G546" s="50">
        <v>59.0</v>
      </c>
      <c r="H546" s="50">
        <v>1.0</v>
      </c>
      <c r="I546" s="50">
        <v>11.0</v>
      </c>
      <c r="J546" s="116"/>
      <c r="K546" s="116"/>
      <c r="L546" s="50" t="s">
        <v>1786</v>
      </c>
      <c r="M546" s="50" t="s">
        <v>1786</v>
      </c>
      <c r="N546" s="50" t="s">
        <v>13829</v>
      </c>
      <c r="O546" s="50" t="s">
        <v>13830</v>
      </c>
      <c r="P546" s="50" t="s">
        <v>13831</v>
      </c>
      <c r="Q546" s="50" t="s">
        <v>13832</v>
      </c>
      <c r="R546" s="116"/>
      <c r="S546" s="116"/>
      <c r="T546" s="116"/>
      <c r="U546" s="116"/>
      <c r="V546" s="116"/>
      <c r="W546" s="50">
        <v>3.0</v>
      </c>
      <c r="X546" s="50">
        <v>1.0</v>
      </c>
      <c r="Y546" s="50">
        <v>1.0</v>
      </c>
      <c r="Z546" s="116"/>
      <c r="AA546" s="50">
        <v>2.0</v>
      </c>
      <c r="AB546" s="50">
        <v>1.0</v>
      </c>
      <c r="AC546" s="50">
        <v>3.0</v>
      </c>
      <c r="AD546" s="50">
        <v>36.0</v>
      </c>
      <c r="AE546" s="50">
        <v>1.0</v>
      </c>
      <c r="AF546" s="50">
        <v>1.0</v>
      </c>
      <c r="AG546" s="50">
        <v>1.0</v>
      </c>
      <c r="AH546" s="50">
        <v>3.0</v>
      </c>
      <c r="AI546" s="50">
        <v>8.0</v>
      </c>
      <c r="AJ546" s="116"/>
      <c r="AK546" s="50" t="s">
        <v>13870</v>
      </c>
      <c r="AL546" s="50">
        <v>4.0</v>
      </c>
      <c r="AM546" s="50">
        <v>1.0</v>
      </c>
      <c r="AN546" s="50" t="s">
        <v>10629</v>
      </c>
      <c r="AO546" s="117">
        <v>6216.0</v>
      </c>
      <c r="AP546" s="50" t="s">
        <v>13871</v>
      </c>
      <c r="AQ546" s="50" t="s">
        <v>13872</v>
      </c>
      <c r="AR546" s="117">
        <v>546.0</v>
      </c>
    </row>
    <row r="547">
      <c r="A547" s="50" t="s">
        <v>13863</v>
      </c>
      <c r="B547" s="50" t="s">
        <v>6876</v>
      </c>
      <c r="C547" s="50" t="s">
        <v>6877</v>
      </c>
      <c r="D547" s="50" t="s">
        <v>11623</v>
      </c>
      <c r="E547" s="144">
        <v>43811.0</v>
      </c>
      <c r="F547" s="50" t="s">
        <v>13875</v>
      </c>
      <c r="G547" s="50">
        <v>59.0</v>
      </c>
      <c r="H547" s="50">
        <v>1.0</v>
      </c>
      <c r="I547" s="50">
        <v>99.0</v>
      </c>
      <c r="J547" s="116"/>
      <c r="K547" s="116"/>
      <c r="L547" s="50" t="s">
        <v>1787</v>
      </c>
      <c r="M547" s="50" t="s">
        <v>1787</v>
      </c>
      <c r="N547" s="50" t="s">
        <v>13829</v>
      </c>
      <c r="O547" s="50" t="s">
        <v>13845</v>
      </c>
      <c r="P547" s="50" t="s">
        <v>13847</v>
      </c>
      <c r="Q547" s="50" t="s">
        <v>13850</v>
      </c>
      <c r="R547" s="116"/>
      <c r="S547" s="116"/>
      <c r="T547" s="116"/>
      <c r="U547" s="116"/>
      <c r="V547" s="116"/>
      <c r="W547" s="50">
        <v>7.0</v>
      </c>
      <c r="X547" s="50">
        <v>100.0</v>
      </c>
      <c r="Y547" s="50">
        <v>3.0</v>
      </c>
      <c r="Z547" s="50">
        <v>0.0</v>
      </c>
      <c r="AA547" s="116"/>
      <c r="AB547" s="116"/>
      <c r="AC547" s="116"/>
      <c r="AD547" s="116"/>
      <c r="AE547" s="116"/>
      <c r="AF547" s="116"/>
      <c r="AG547" s="116"/>
      <c r="AH547" s="116"/>
      <c r="AI547" s="116"/>
      <c r="AJ547" s="116"/>
      <c r="AK547" s="50" t="s">
        <v>13884</v>
      </c>
      <c r="AL547" s="50">
        <v>4.0</v>
      </c>
      <c r="AM547" s="50">
        <v>1.0</v>
      </c>
      <c r="AN547" s="50" t="s">
        <v>10629</v>
      </c>
      <c r="AO547" s="117">
        <v>6217.0</v>
      </c>
      <c r="AP547" s="50" t="s">
        <v>13885</v>
      </c>
      <c r="AQ547" s="50" t="s">
        <v>13888</v>
      </c>
      <c r="AR547" s="117">
        <v>547.0</v>
      </c>
    </row>
    <row r="548">
      <c r="A548" s="50" t="s">
        <v>13875</v>
      </c>
      <c r="B548" s="50" t="s">
        <v>6876</v>
      </c>
      <c r="C548" s="50" t="s">
        <v>6877</v>
      </c>
      <c r="D548" s="50" t="s">
        <v>11623</v>
      </c>
      <c r="E548" s="144">
        <v>43811.0</v>
      </c>
      <c r="F548" s="50" t="s">
        <v>13892</v>
      </c>
      <c r="G548" s="50">
        <v>59.0</v>
      </c>
      <c r="H548" s="50">
        <v>1.0</v>
      </c>
      <c r="I548" s="50">
        <v>11.0</v>
      </c>
      <c r="J548" s="116"/>
      <c r="K548" s="116"/>
      <c r="L548" s="50" t="s">
        <v>1789</v>
      </c>
      <c r="M548" s="50" t="s">
        <v>1789</v>
      </c>
      <c r="N548" s="50" t="s">
        <v>13829</v>
      </c>
      <c r="O548" s="50" t="s">
        <v>13830</v>
      </c>
      <c r="P548" s="50" t="s">
        <v>13831</v>
      </c>
      <c r="Q548" s="50" t="s">
        <v>13832</v>
      </c>
      <c r="R548" s="116"/>
      <c r="S548" s="116"/>
      <c r="T548" s="116"/>
      <c r="U548" s="116"/>
      <c r="V548" s="116"/>
      <c r="W548" s="50">
        <v>3.0</v>
      </c>
      <c r="X548" s="50">
        <v>1.0</v>
      </c>
      <c r="Y548" s="50">
        <v>3.0</v>
      </c>
      <c r="Z548" s="50">
        <v>1.0</v>
      </c>
      <c r="AA548" s="50">
        <v>2.0</v>
      </c>
      <c r="AB548" s="50">
        <v>1.0</v>
      </c>
      <c r="AC548" s="50">
        <v>3.0</v>
      </c>
      <c r="AD548" s="50">
        <v>0.0</v>
      </c>
      <c r="AE548" s="50">
        <v>1.0</v>
      </c>
      <c r="AF548" s="50">
        <v>1.0</v>
      </c>
      <c r="AG548" s="50">
        <v>1.0</v>
      </c>
      <c r="AH548" s="50">
        <v>3.0</v>
      </c>
      <c r="AI548" s="50">
        <v>0.0</v>
      </c>
      <c r="AJ548" s="116"/>
      <c r="AK548" s="50" t="s">
        <v>13902</v>
      </c>
      <c r="AL548" s="50">
        <v>4.0</v>
      </c>
      <c r="AM548" s="50">
        <v>1.0</v>
      </c>
      <c r="AN548" s="50" t="s">
        <v>10629</v>
      </c>
      <c r="AO548" s="117">
        <v>6218.0</v>
      </c>
      <c r="AP548" s="50" t="s">
        <v>13905</v>
      </c>
      <c r="AQ548" s="50" t="s">
        <v>13906</v>
      </c>
      <c r="AR548" s="117">
        <v>548.0</v>
      </c>
    </row>
    <row r="549">
      <c r="A549" s="50" t="s">
        <v>13892</v>
      </c>
      <c r="B549" s="50" t="s">
        <v>6876</v>
      </c>
      <c r="C549" s="50" t="s">
        <v>6877</v>
      </c>
      <c r="D549" s="50" t="s">
        <v>11623</v>
      </c>
      <c r="E549" s="144">
        <v>43811.0</v>
      </c>
      <c r="F549" s="50" t="s">
        <v>13907</v>
      </c>
      <c r="G549" s="50">
        <v>59.0</v>
      </c>
      <c r="H549" s="50">
        <v>1.0</v>
      </c>
      <c r="I549" s="50">
        <v>99.0</v>
      </c>
      <c r="J549" s="116"/>
      <c r="K549" s="116"/>
      <c r="L549" s="50" t="s">
        <v>1790</v>
      </c>
      <c r="M549" s="50" t="s">
        <v>1790</v>
      </c>
      <c r="N549" s="50" t="s">
        <v>13829</v>
      </c>
      <c r="O549" s="50" t="s">
        <v>13845</v>
      </c>
      <c r="P549" s="50" t="s">
        <v>13847</v>
      </c>
      <c r="Q549" s="50" t="s">
        <v>13850</v>
      </c>
      <c r="R549" s="116"/>
      <c r="S549" s="116"/>
      <c r="T549" s="116"/>
      <c r="U549" s="116"/>
      <c r="V549" s="116"/>
      <c r="W549" s="50">
        <v>7.0</v>
      </c>
      <c r="X549" s="50">
        <v>100.0</v>
      </c>
      <c r="Y549" s="50">
        <v>3.0</v>
      </c>
      <c r="Z549" s="50">
        <v>0.0</v>
      </c>
      <c r="AA549" s="116"/>
      <c r="AB549" s="116"/>
      <c r="AC549" s="116"/>
      <c r="AD549" s="116"/>
      <c r="AE549" s="116"/>
      <c r="AF549" s="116"/>
      <c r="AG549" s="116"/>
      <c r="AH549" s="116"/>
      <c r="AI549" s="116"/>
      <c r="AJ549" s="116"/>
      <c r="AK549" s="50" t="s">
        <v>13914</v>
      </c>
      <c r="AL549" s="50">
        <v>4.0</v>
      </c>
      <c r="AM549" s="50">
        <v>1.0</v>
      </c>
      <c r="AN549" s="50" t="s">
        <v>10629</v>
      </c>
      <c r="AO549" s="117">
        <v>6219.0</v>
      </c>
      <c r="AP549" s="50" t="s">
        <v>13915</v>
      </c>
      <c r="AQ549" s="50" t="s">
        <v>13918</v>
      </c>
      <c r="AR549" s="117">
        <v>549.0</v>
      </c>
    </row>
    <row r="550">
      <c r="A550" s="50" t="s">
        <v>13907</v>
      </c>
      <c r="B550" s="50" t="s">
        <v>6876</v>
      </c>
      <c r="C550" s="50" t="s">
        <v>6877</v>
      </c>
      <c r="D550" s="50" t="s">
        <v>11623</v>
      </c>
      <c r="E550" s="144">
        <v>43811.0</v>
      </c>
      <c r="F550" s="50" t="s">
        <v>13922</v>
      </c>
      <c r="G550" s="50">
        <v>59.0</v>
      </c>
      <c r="H550" s="50">
        <v>1.0</v>
      </c>
      <c r="I550" s="50">
        <v>11.0</v>
      </c>
      <c r="J550" s="116"/>
      <c r="K550" s="116"/>
      <c r="L550" s="50" t="s">
        <v>1792</v>
      </c>
      <c r="M550" s="50" t="s">
        <v>1792</v>
      </c>
      <c r="N550" s="50" t="s">
        <v>13829</v>
      </c>
      <c r="O550" s="50" t="s">
        <v>13830</v>
      </c>
      <c r="P550" s="50" t="s">
        <v>13831</v>
      </c>
      <c r="Q550" s="50" t="s">
        <v>13832</v>
      </c>
      <c r="R550" s="116"/>
      <c r="S550" s="116"/>
      <c r="T550" s="116"/>
      <c r="U550" s="116"/>
      <c r="V550" s="116"/>
      <c r="W550" s="50">
        <v>3.0</v>
      </c>
      <c r="X550" s="50">
        <v>1.0</v>
      </c>
      <c r="Y550" s="50">
        <v>1.0</v>
      </c>
      <c r="Z550" s="116"/>
      <c r="AA550" s="50">
        <v>2.0</v>
      </c>
      <c r="AB550" s="50">
        <v>1.0</v>
      </c>
      <c r="AC550" s="50">
        <v>3.0</v>
      </c>
      <c r="AD550" s="50">
        <v>75.0</v>
      </c>
      <c r="AE550" s="50">
        <v>1.0</v>
      </c>
      <c r="AF550" s="50">
        <v>1.0</v>
      </c>
      <c r="AG550" s="50">
        <v>1.0</v>
      </c>
      <c r="AH550" s="50">
        <v>3.0</v>
      </c>
      <c r="AI550" s="50">
        <v>45.0</v>
      </c>
      <c r="AJ550" s="116"/>
      <c r="AK550" s="50" t="s">
        <v>13932</v>
      </c>
      <c r="AL550" s="50">
        <v>4.0</v>
      </c>
      <c r="AM550" s="50">
        <v>1.0</v>
      </c>
      <c r="AN550" s="50" t="s">
        <v>10629</v>
      </c>
      <c r="AO550" s="117">
        <v>6220.0</v>
      </c>
      <c r="AP550" s="50" t="s">
        <v>13935</v>
      </c>
      <c r="AQ550" s="50" t="s">
        <v>13936</v>
      </c>
      <c r="AR550" s="117">
        <v>550.0</v>
      </c>
    </row>
    <row r="551">
      <c r="A551" s="50" t="s">
        <v>13922</v>
      </c>
      <c r="B551" s="50" t="s">
        <v>6876</v>
      </c>
      <c r="C551" s="50" t="s">
        <v>6877</v>
      </c>
      <c r="D551" s="50" t="s">
        <v>11623</v>
      </c>
      <c r="E551" s="144">
        <v>43811.0</v>
      </c>
      <c r="F551" s="50" t="s">
        <v>13937</v>
      </c>
      <c r="G551" s="50">
        <v>59.0</v>
      </c>
      <c r="H551" s="50">
        <v>1.0</v>
      </c>
      <c r="I551" s="50">
        <v>99.0</v>
      </c>
      <c r="J551" s="116"/>
      <c r="K551" s="116"/>
      <c r="L551" s="50" t="s">
        <v>1793</v>
      </c>
      <c r="M551" s="50" t="s">
        <v>1793</v>
      </c>
      <c r="N551" s="50" t="s">
        <v>13829</v>
      </c>
      <c r="O551" s="50" t="s">
        <v>13845</v>
      </c>
      <c r="P551" s="50" t="s">
        <v>13847</v>
      </c>
      <c r="Q551" s="50" t="s">
        <v>13850</v>
      </c>
      <c r="R551" s="116"/>
      <c r="S551" s="116"/>
      <c r="T551" s="116"/>
      <c r="U551" s="116"/>
      <c r="V551" s="116"/>
      <c r="W551" s="50">
        <v>7.0</v>
      </c>
      <c r="X551" s="50">
        <v>100.0</v>
      </c>
      <c r="Y551" s="50">
        <v>3.0</v>
      </c>
      <c r="Z551" s="50">
        <v>0.0</v>
      </c>
      <c r="AA551" s="116"/>
      <c r="AB551" s="116"/>
      <c r="AC551" s="116"/>
      <c r="AD551" s="116"/>
      <c r="AE551" s="116"/>
      <c r="AF551" s="116"/>
      <c r="AG551" s="116"/>
      <c r="AH551" s="116"/>
      <c r="AI551" s="116"/>
      <c r="AJ551" s="116"/>
      <c r="AK551" s="50" t="s">
        <v>13945</v>
      </c>
      <c r="AL551" s="50">
        <v>4.0</v>
      </c>
      <c r="AM551" s="50">
        <v>1.0</v>
      </c>
      <c r="AN551" s="50" t="s">
        <v>10629</v>
      </c>
      <c r="AO551" s="117">
        <v>6221.0</v>
      </c>
      <c r="AP551" s="50" t="s">
        <v>13948</v>
      </c>
      <c r="AQ551" s="50" t="s">
        <v>13949</v>
      </c>
      <c r="AR551" s="117">
        <v>551.0</v>
      </c>
    </row>
    <row r="552">
      <c r="A552" s="50" t="s">
        <v>13937</v>
      </c>
      <c r="B552" s="50" t="s">
        <v>6876</v>
      </c>
      <c r="C552" s="50" t="s">
        <v>6877</v>
      </c>
      <c r="D552" s="50" t="s">
        <v>11623</v>
      </c>
      <c r="E552" s="144">
        <v>43811.0</v>
      </c>
      <c r="F552" s="50" t="s">
        <v>13955</v>
      </c>
      <c r="G552" s="50">
        <v>33.0</v>
      </c>
      <c r="H552" s="50">
        <v>1.0</v>
      </c>
      <c r="I552" s="50">
        <v>98.0</v>
      </c>
      <c r="J552" s="116"/>
      <c r="K552" s="116"/>
      <c r="L552" s="50" t="s">
        <v>1796</v>
      </c>
      <c r="M552" s="50" t="s">
        <v>1796</v>
      </c>
      <c r="N552" s="50" t="s">
        <v>13829</v>
      </c>
      <c r="O552" s="50" t="s">
        <v>13845</v>
      </c>
      <c r="P552" s="50" t="s">
        <v>13847</v>
      </c>
      <c r="Q552" s="50" t="s">
        <v>13850</v>
      </c>
      <c r="R552" s="116"/>
      <c r="S552" s="116"/>
      <c r="T552" s="116"/>
      <c r="U552" s="116"/>
      <c r="V552" s="116"/>
      <c r="W552" s="50">
        <v>7.0</v>
      </c>
      <c r="X552" s="50">
        <v>100.0</v>
      </c>
      <c r="Y552" s="50">
        <v>3.0</v>
      </c>
      <c r="Z552" s="50">
        <v>0.0</v>
      </c>
      <c r="AA552" s="116"/>
      <c r="AB552" s="116"/>
      <c r="AC552" s="116"/>
      <c r="AD552" s="116"/>
      <c r="AE552" s="116"/>
      <c r="AF552" s="116"/>
      <c r="AG552" s="116"/>
      <c r="AH552" s="116"/>
      <c r="AI552" s="116"/>
      <c r="AJ552" s="116"/>
      <c r="AK552" s="50" t="s">
        <v>11376</v>
      </c>
      <c r="AL552" s="50">
        <v>4.0</v>
      </c>
      <c r="AM552" s="50">
        <v>1.0</v>
      </c>
      <c r="AN552" s="50" t="s">
        <v>10629</v>
      </c>
      <c r="AO552" s="117">
        <v>6222.0</v>
      </c>
      <c r="AP552" s="50" t="s">
        <v>13963</v>
      </c>
      <c r="AQ552" s="50" t="s">
        <v>13964</v>
      </c>
      <c r="AR552" s="117">
        <v>552.0</v>
      </c>
    </row>
    <row r="553">
      <c r="A553" s="50" t="s">
        <v>13955</v>
      </c>
      <c r="B553" s="50" t="s">
        <v>6876</v>
      </c>
      <c r="C553" s="50" t="s">
        <v>6877</v>
      </c>
      <c r="D553" s="50" t="s">
        <v>11623</v>
      </c>
      <c r="E553" s="144">
        <v>43811.0</v>
      </c>
      <c r="F553" s="50" t="s">
        <v>13967</v>
      </c>
      <c r="G553" s="50">
        <v>56.0</v>
      </c>
      <c r="H553" s="50">
        <v>1.0</v>
      </c>
      <c r="I553" s="50">
        <v>99.0</v>
      </c>
      <c r="J553" s="116"/>
      <c r="K553" s="116"/>
      <c r="L553" s="50" t="s">
        <v>1798</v>
      </c>
      <c r="M553" s="50" t="s">
        <v>1798</v>
      </c>
      <c r="N553" s="50" t="s">
        <v>13968</v>
      </c>
      <c r="O553" s="50" t="s">
        <v>13969</v>
      </c>
      <c r="P553" s="50" t="s">
        <v>13970</v>
      </c>
      <c r="Q553" s="50" t="s">
        <v>13971</v>
      </c>
      <c r="R553" s="116"/>
      <c r="S553" s="116"/>
      <c r="T553" s="116"/>
      <c r="U553" s="116"/>
      <c r="V553" s="116"/>
      <c r="W553" s="50">
        <v>7.0</v>
      </c>
      <c r="X553" s="50">
        <v>100.0</v>
      </c>
      <c r="Y553" s="50">
        <v>3.0</v>
      </c>
      <c r="Z553" s="50">
        <v>0.0</v>
      </c>
      <c r="AA553" s="116"/>
      <c r="AB553" s="116"/>
      <c r="AC553" s="116"/>
      <c r="AD553" s="116"/>
      <c r="AE553" s="116"/>
      <c r="AF553" s="116"/>
      <c r="AG553" s="116"/>
      <c r="AH553" s="116"/>
      <c r="AI553" s="116"/>
      <c r="AJ553" s="116"/>
      <c r="AK553" s="50" t="s">
        <v>13977</v>
      </c>
      <c r="AL553" s="50">
        <v>4.0</v>
      </c>
      <c r="AM553" s="50">
        <v>1.0</v>
      </c>
      <c r="AN553" s="50" t="s">
        <v>10629</v>
      </c>
      <c r="AO553" s="117">
        <v>6223.0</v>
      </c>
      <c r="AP553" s="50" t="s">
        <v>13978</v>
      </c>
      <c r="AQ553" s="50" t="s">
        <v>13979</v>
      </c>
      <c r="AR553" s="117">
        <v>553.0</v>
      </c>
    </row>
    <row r="554">
      <c r="A554" s="50" t="s">
        <v>13967</v>
      </c>
      <c r="B554" s="50" t="s">
        <v>6876</v>
      </c>
      <c r="C554" s="50" t="s">
        <v>6877</v>
      </c>
      <c r="D554" s="50" t="s">
        <v>11623</v>
      </c>
      <c r="E554" s="144">
        <v>43811.0</v>
      </c>
      <c r="F554" s="50" t="s">
        <v>13983</v>
      </c>
      <c r="G554" s="50">
        <v>55.0</v>
      </c>
      <c r="H554" s="50">
        <v>1.0</v>
      </c>
      <c r="I554" s="50">
        <v>99.0</v>
      </c>
      <c r="J554" s="116"/>
      <c r="K554" s="116"/>
      <c r="L554" s="50" t="s">
        <v>1801</v>
      </c>
      <c r="M554" s="50" t="s">
        <v>1801</v>
      </c>
      <c r="N554" s="50" t="s">
        <v>13968</v>
      </c>
      <c r="O554" s="50" t="s">
        <v>13969</v>
      </c>
      <c r="P554" s="50" t="s">
        <v>13970</v>
      </c>
      <c r="Q554" s="50" t="s">
        <v>13971</v>
      </c>
      <c r="R554" s="116"/>
      <c r="S554" s="116"/>
      <c r="T554" s="116"/>
      <c r="U554" s="116"/>
      <c r="V554" s="116"/>
      <c r="W554" s="50">
        <v>7.0</v>
      </c>
      <c r="X554" s="50">
        <v>100.0</v>
      </c>
      <c r="Y554" s="50">
        <v>3.0</v>
      </c>
      <c r="Z554" s="50">
        <v>0.0</v>
      </c>
      <c r="AA554" s="116"/>
      <c r="AB554" s="116"/>
      <c r="AC554" s="116"/>
      <c r="AD554" s="116"/>
      <c r="AE554" s="116"/>
      <c r="AF554" s="116"/>
      <c r="AG554" s="116"/>
      <c r="AH554" s="116"/>
      <c r="AI554" s="116"/>
      <c r="AJ554" s="116"/>
      <c r="AK554" s="50" t="s">
        <v>13993</v>
      </c>
      <c r="AL554" s="50">
        <v>4.0</v>
      </c>
      <c r="AM554" s="50">
        <v>1.0</v>
      </c>
      <c r="AN554" s="50" t="s">
        <v>10629</v>
      </c>
      <c r="AO554" s="117">
        <v>6224.0</v>
      </c>
      <c r="AP554" s="50" t="s">
        <v>13996</v>
      </c>
      <c r="AQ554" s="50" t="s">
        <v>13997</v>
      </c>
      <c r="AR554" s="117">
        <v>554.0</v>
      </c>
    </row>
    <row r="555">
      <c r="A555" s="50" t="s">
        <v>13998</v>
      </c>
      <c r="B555" s="50" t="s">
        <v>6876</v>
      </c>
      <c r="C555" s="50" t="s">
        <v>6877</v>
      </c>
      <c r="D555" s="50" t="s">
        <v>11623</v>
      </c>
      <c r="E555" s="144">
        <v>43811.0</v>
      </c>
      <c r="F555" s="50" t="s">
        <v>13999</v>
      </c>
      <c r="G555" s="50">
        <v>59.0</v>
      </c>
      <c r="H555" s="50">
        <v>1.0</v>
      </c>
      <c r="I555" s="50">
        <v>11.0</v>
      </c>
      <c r="J555" s="116"/>
      <c r="K555" s="116"/>
      <c r="L555" s="51" t="s">
        <v>359</v>
      </c>
      <c r="M555" s="51" t="s">
        <v>359</v>
      </c>
      <c r="N555" s="50" t="s">
        <v>13968</v>
      </c>
      <c r="O555" s="50" t="s">
        <v>14002</v>
      </c>
      <c r="P555" s="50" t="s">
        <v>14003</v>
      </c>
      <c r="Q555" s="50" t="s">
        <v>14004</v>
      </c>
      <c r="R555" s="116"/>
      <c r="S555" s="116"/>
      <c r="T555" s="116"/>
      <c r="U555" s="116"/>
      <c r="V555" s="116"/>
      <c r="W555" s="50">
        <v>3.0</v>
      </c>
      <c r="X555" s="50">
        <v>1.0</v>
      </c>
      <c r="Y555" s="50">
        <v>3.0</v>
      </c>
      <c r="Z555" s="50">
        <v>69.0</v>
      </c>
      <c r="AA555" s="50">
        <v>2.0</v>
      </c>
      <c r="AB555" s="50">
        <v>1.0</v>
      </c>
      <c r="AC555" s="50">
        <v>3.0</v>
      </c>
      <c r="AD555" s="50">
        <v>6.0</v>
      </c>
      <c r="AE555" s="50">
        <v>1.0</v>
      </c>
      <c r="AF555" s="50">
        <v>1.0</v>
      </c>
      <c r="AG555" s="50">
        <v>1.0</v>
      </c>
      <c r="AH555" s="50">
        <v>3.0</v>
      </c>
      <c r="AI555" s="50">
        <v>2.0</v>
      </c>
      <c r="AJ555" s="116"/>
      <c r="AK555" s="50" t="s">
        <v>14009</v>
      </c>
      <c r="AL555" s="50">
        <v>4.0</v>
      </c>
      <c r="AM555" s="50">
        <v>1.0</v>
      </c>
      <c r="AN555" s="50" t="s">
        <v>10629</v>
      </c>
      <c r="AO555" s="117">
        <v>6225.0</v>
      </c>
      <c r="AP555" s="50" t="s">
        <v>14015</v>
      </c>
      <c r="AQ555" s="50" t="s">
        <v>14016</v>
      </c>
      <c r="AR555" s="117">
        <v>555.0</v>
      </c>
    </row>
    <row r="556">
      <c r="A556" s="50" t="s">
        <v>14019</v>
      </c>
      <c r="B556" s="50" t="s">
        <v>6876</v>
      </c>
      <c r="C556" s="50" t="s">
        <v>6877</v>
      </c>
      <c r="D556" s="50" t="s">
        <v>11623</v>
      </c>
      <c r="E556" s="144">
        <v>43811.0</v>
      </c>
      <c r="F556" s="50" t="s">
        <v>14021</v>
      </c>
      <c r="G556" s="50">
        <v>59.0</v>
      </c>
      <c r="H556" s="50">
        <v>1.0</v>
      </c>
      <c r="I556" s="50">
        <v>99.0</v>
      </c>
      <c r="J556" s="116"/>
      <c r="K556" s="116"/>
      <c r="L556" s="50" t="s">
        <v>1803</v>
      </c>
      <c r="M556" s="50" t="s">
        <v>1803</v>
      </c>
      <c r="N556" s="50" t="s">
        <v>13968</v>
      </c>
      <c r="O556" s="50" t="s">
        <v>13969</v>
      </c>
      <c r="P556" s="50" t="s">
        <v>13970</v>
      </c>
      <c r="Q556" s="50" t="s">
        <v>13971</v>
      </c>
      <c r="R556" s="116"/>
      <c r="S556" s="116"/>
      <c r="T556" s="116"/>
      <c r="U556" s="116"/>
      <c r="V556" s="116"/>
      <c r="W556" s="50">
        <v>7.0</v>
      </c>
      <c r="X556" s="50">
        <v>100.0</v>
      </c>
      <c r="Y556" s="50">
        <v>3.0</v>
      </c>
      <c r="Z556" s="50">
        <v>0.0</v>
      </c>
      <c r="AA556" s="116"/>
      <c r="AB556" s="116"/>
      <c r="AC556" s="116"/>
      <c r="AD556" s="116"/>
      <c r="AE556" s="116"/>
      <c r="AF556" s="116"/>
      <c r="AG556" s="116"/>
      <c r="AH556" s="116"/>
      <c r="AI556" s="116"/>
      <c r="AJ556" s="116"/>
      <c r="AK556" s="50" t="s">
        <v>14040</v>
      </c>
      <c r="AL556" s="50">
        <v>4.0</v>
      </c>
      <c r="AM556" s="50">
        <v>1.0</v>
      </c>
      <c r="AN556" s="50" t="s">
        <v>10629</v>
      </c>
      <c r="AO556" s="117">
        <v>6226.0</v>
      </c>
      <c r="AP556" s="50" t="s">
        <v>14041</v>
      </c>
      <c r="AQ556" s="50" t="s">
        <v>14042</v>
      </c>
      <c r="AR556" s="117">
        <v>556.0</v>
      </c>
    </row>
    <row r="557">
      <c r="A557" s="50" t="s">
        <v>14044</v>
      </c>
      <c r="B557" s="50" t="s">
        <v>6876</v>
      </c>
      <c r="C557" s="50" t="s">
        <v>6877</v>
      </c>
      <c r="D557" s="50" t="s">
        <v>11623</v>
      </c>
      <c r="E557" s="144">
        <v>43811.0</v>
      </c>
      <c r="F557" s="50" t="s">
        <v>14046</v>
      </c>
      <c r="G557" s="50">
        <v>59.0</v>
      </c>
      <c r="H557" s="50">
        <v>1.0</v>
      </c>
      <c r="I557" s="50">
        <v>11.0</v>
      </c>
      <c r="J557" s="116"/>
      <c r="K557" s="116"/>
      <c r="L557" s="51" t="s">
        <v>363</v>
      </c>
      <c r="M557" s="51" t="s">
        <v>363</v>
      </c>
      <c r="N557" s="50" t="s">
        <v>13968</v>
      </c>
      <c r="O557" s="50" t="s">
        <v>14002</v>
      </c>
      <c r="P557" s="50" t="s">
        <v>14003</v>
      </c>
      <c r="Q557" s="50" t="s">
        <v>14004</v>
      </c>
      <c r="R557" s="116"/>
      <c r="S557" s="116"/>
      <c r="T557" s="116"/>
      <c r="U557" s="116"/>
      <c r="V557" s="116"/>
      <c r="W557" s="50">
        <v>3.0</v>
      </c>
      <c r="X557" s="50">
        <v>1.0</v>
      </c>
      <c r="Y557" s="50">
        <v>1.0</v>
      </c>
      <c r="Z557" s="116"/>
      <c r="AA557" s="50">
        <v>2.0</v>
      </c>
      <c r="AB557" s="50">
        <v>1.0</v>
      </c>
      <c r="AC557" s="50">
        <v>3.0</v>
      </c>
      <c r="AD557" s="50">
        <v>128.0</v>
      </c>
      <c r="AE557" s="50">
        <v>1.0</v>
      </c>
      <c r="AF557" s="50">
        <v>1.0</v>
      </c>
      <c r="AG557" s="50">
        <v>1.0</v>
      </c>
      <c r="AH557" s="50">
        <v>3.0</v>
      </c>
      <c r="AI557" s="50">
        <v>6.0</v>
      </c>
      <c r="AJ557" s="116"/>
      <c r="AK557" s="50" t="s">
        <v>14056</v>
      </c>
      <c r="AL557" s="50">
        <v>4.0</v>
      </c>
      <c r="AM557" s="50">
        <v>1.0</v>
      </c>
      <c r="AN557" s="50" t="s">
        <v>10629</v>
      </c>
      <c r="AO557" s="117">
        <v>6227.0</v>
      </c>
      <c r="AP557" s="50" t="s">
        <v>14061</v>
      </c>
      <c r="AQ557" s="50" t="s">
        <v>14063</v>
      </c>
      <c r="AR557" s="117">
        <v>557.0</v>
      </c>
    </row>
    <row r="558">
      <c r="A558" s="50" t="s">
        <v>14046</v>
      </c>
      <c r="B558" s="50" t="s">
        <v>6876</v>
      </c>
      <c r="C558" s="50" t="s">
        <v>6877</v>
      </c>
      <c r="D558" s="50" t="s">
        <v>11623</v>
      </c>
      <c r="E558" s="144">
        <v>43811.0</v>
      </c>
      <c r="F558" s="50" t="s">
        <v>14067</v>
      </c>
      <c r="G558" s="50">
        <v>59.0</v>
      </c>
      <c r="H558" s="50">
        <v>1.0</v>
      </c>
      <c r="I558" s="50">
        <v>99.0</v>
      </c>
      <c r="J558" s="116"/>
      <c r="K558" s="116"/>
      <c r="L558" s="50" t="s">
        <v>1805</v>
      </c>
      <c r="M558" s="50" t="s">
        <v>1805</v>
      </c>
      <c r="N558" s="50" t="s">
        <v>13968</v>
      </c>
      <c r="O558" s="50" t="s">
        <v>13969</v>
      </c>
      <c r="P558" s="50" t="s">
        <v>13970</v>
      </c>
      <c r="Q558" s="50" t="s">
        <v>13971</v>
      </c>
      <c r="R558" s="116"/>
      <c r="S558" s="116"/>
      <c r="T558" s="116"/>
      <c r="U558" s="116"/>
      <c r="V558" s="116"/>
      <c r="W558" s="50">
        <v>7.0</v>
      </c>
      <c r="X558" s="50">
        <v>100.0</v>
      </c>
      <c r="Y558" s="50">
        <v>3.0</v>
      </c>
      <c r="Z558" s="50">
        <v>0.0</v>
      </c>
      <c r="AA558" s="116"/>
      <c r="AB558" s="116"/>
      <c r="AC558" s="116"/>
      <c r="AD558" s="116"/>
      <c r="AE558" s="116"/>
      <c r="AF558" s="116"/>
      <c r="AG558" s="116"/>
      <c r="AH558" s="116"/>
      <c r="AI558" s="116"/>
      <c r="AJ558" s="116"/>
      <c r="AK558" s="50" t="s">
        <v>14076</v>
      </c>
      <c r="AL558" s="50">
        <v>4.0</v>
      </c>
      <c r="AM558" s="50">
        <v>1.0</v>
      </c>
      <c r="AN558" s="50" t="s">
        <v>10629</v>
      </c>
      <c r="AO558" s="117">
        <v>6228.0</v>
      </c>
      <c r="AP558" s="50" t="s">
        <v>14077</v>
      </c>
      <c r="AQ558" s="50" t="s">
        <v>14078</v>
      </c>
      <c r="AR558" s="117">
        <v>558.0</v>
      </c>
    </row>
    <row r="559">
      <c r="A559" s="50" t="s">
        <v>14081</v>
      </c>
      <c r="B559" s="50" t="s">
        <v>6876</v>
      </c>
      <c r="C559" s="50" t="s">
        <v>6877</v>
      </c>
      <c r="D559" s="50" t="s">
        <v>11623</v>
      </c>
      <c r="E559" s="144">
        <v>43811.0</v>
      </c>
      <c r="F559" s="50" t="s">
        <v>14084</v>
      </c>
      <c r="G559" s="50">
        <v>59.0</v>
      </c>
      <c r="H559" s="50">
        <v>1.0</v>
      </c>
      <c r="I559" s="50">
        <v>11.0</v>
      </c>
      <c r="J559" s="116"/>
      <c r="K559" s="116"/>
      <c r="L559" s="50" t="s">
        <v>1807</v>
      </c>
      <c r="M559" s="50" t="s">
        <v>1807</v>
      </c>
      <c r="N559" s="50" t="s">
        <v>13968</v>
      </c>
      <c r="O559" s="50" t="s">
        <v>14002</v>
      </c>
      <c r="P559" s="50" t="s">
        <v>14003</v>
      </c>
      <c r="Q559" s="50" t="s">
        <v>14004</v>
      </c>
      <c r="R559" s="116"/>
      <c r="S559" s="116"/>
      <c r="T559" s="116"/>
      <c r="U559" s="116"/>
      <c r="V559" s="116"/>
      <c r="W559" s="50">
        <v>3.0</v>
      </c>
      <c r="X559" s="50">
        <v>1.0</v>
      </c>
      <c r="Y559" s="50">
        <v>1.0</v>
      </c>
      <c r="Z559" s="116"/>
      <c r="AA559" s="50">
        <v>2.0</v>
      </c>
      <c r="AB559" s="50">
        <v>1.0</v>
      </c>
      <c r="AC559" s="50">
        <v>3.0</v>
      </c>
      <c r="AD559" s="50">
        <v>3.0</v>
      </c>
      <c r="AE559" s="50">
        <v>1.0</v>
      </c>
      <c r="AF559" s="50">
        <v>1.0</v>
      </c>
      <c r="AG559" s="50">
        <v>1.0</v>
      </c>
      <c r="AH559" s="50">
        <v>3.0</v>
      </c>
      <c r="AI559" s="50">
        <v>3.0</v>
      </c>
      <c r="AJ559" s="116"/>
      <c r="AK559" s="50" t="s">
        <v>14099</v>
      </c>
      <c r="AL559" s="50">
        <v>4.0</v>
      </c>
      <c r="AM559" s="50">
        <v>1.0</v>
      </c>
      <c r="AN559" s="50" t="s">
        <v>10629</v>
      </c>
      <c r="AO559" s="117">
        <v>6229.0</v>
      </c>
      <c r="AP559" s="50" t="s">
        <v>14100</v>
      </c>
      <c r="AQ559" s="50" t="s">
        <v>14101</v>
      </c>
      <c r="AR559" s="117">
        <v>559.0</v>
      </c>
    </row>
    <row r="560">
      <c r="A560" s="50" t="s">
        <v>14084</v>
      </c>
      <c r="B560" s="50" t="s">
        <v>6876</v>
      </c>
      <c r="C560" s="50" t="s">
        <v>6877</v>
      </c>
      <c r="D560" s="50" t="s">
        <v>11623</v>
      </c>
      <c r="E560" s="144">
        <v>43811.0</v>
      </c>
      <c r="F560" s="50" t="s">
        <v>14104</v>
      </c>
      <c r="G560" s="50">
        <v>59.0</v>
      </c>
      <c r="H560" s="50">
        <v>1.0</v>
      </c>
      <c r="I560" s="50">
        <v>99.0</v>
      </c>
      <c r="J560" s="116"/>
      <c r="K560" s="116"/>
      <c r="L560" s="50" t="s">
        <v>1808</v>
      </c>
      <c r="M560" s="50" t="s">
        <v>1808</v>
      </c>
      <c r="N560" s="50" t="s">
        <v>13968</v>
      </c>
      <c r="O560" s="50" t="s">
        <v>13969</v>
      </c>
      <c r="P560" s="50" t="s">
        <v>13970</v>
      </c>
      <c r="Q560" s="50" t="s">
        <v>13971</v>
      </c>
      <c r="R560" s="116"/>
      <c r="S560" s="116"/>
      <c r="T560" s="116"/>
      <c r="U560" s="116"/>
      <c r="V560" s="116"/>
      <c r="W560" s="50">
        <v>7.0</v>
      </c>
      <c r="X560" s="50">
        <v>100.0</v>
      </c>
      <c r="Y560" s="50">
        <v>3.0</v>
      </c>
      <c r="Z560" s="50">
        <v>0.0</v>
      </c>
      <c r="AA560" s="116"/>
      <c r="AB560" s="116"/>
      <c r="AC560" s="116"/>
      <c r="AD560" s="116"/>
      <c r="AE560" s="116"/>
      <c r="AF560" s="116"/>
      <c r="AG560" s="116"/>
      <c r="AH560" s="116"/>
      <c r="AI560" s="116"/>
      <c r="AJ560" s="116"/>
      <c r="AK560" s="50" t="s">
        <v>14116</v>
      </c>
      <c r="AL560" s="50">
        <v>4.0</v>
      </c>
      <c r="AM560" s="50">
        <v>1.0</v>
      </c>
      <c r="AN560" s="50" t="s">
        <v>10629</v>
      </c>
      <c r="AO560" s="117">
        <v>6230.0</v>
      </c>
      <c r="AP560" s="50" t="s">
        <v>14118</v>
      </c>
      <c r="AQ560" s="50" t="s">
        <v>14119</v>
      </c>
      <c r="AR560" s="117">
        <v>560.0</v>
      </c>
    </row>
    <row r="561">
      <c r="A561" s="50" t="s">
        <v>14104</v>
      </c>
      <c r="B561" s="50" t="s">
        <v>6876</v>
      </c>
      <c r="C561" s="50" t="s">
        <v>6877</v>
      </c>
      <c r="D561" s="50" t="s">
        <v>11623</v>
      </c>
      <c r="E561" s="144">
        <v>43811.0</v>
      </c>
      <c r="F561" s="50" t="s">
        <v>14125</v>
      </c>
      <c r="G561" s="50">
        <v>59.0</v>
      </c>
      <c r="H561" s="50">
        <v>1.0</v>
      </c>
      <c r="I561" s="50">
        <v>11.0</v>
      </c>
      <c r="J561" s="116"/>
      <c r="K561" s="116"/>
      <c r="L561" s="50" t="s">
        <v>1810</v>
      </c>
      <c r="M561" s="50" t="s">
        <v>1810</v>
      </c>
      <c r="N561" s="50" t="s">
        <v>13968</v>
      </c>
      <c r="O561" s="50" t="s">
        <v>14002</v>
      </c>
      <c r="P561" s="50" t="s">
        <v>14003</v>
      </c>
      <c r="Q561" s="50" t="s">
        <v>14004</v>
      </c>
      <c r="R561" s="116"/>
      <c r="S561" s="116"/>
      <c r="T561" s="116"/>
      <c r="U561" s="116"/>
      <c r="V561" s="116"/>
      <c r="W561" s="50">
        <v>3.0</v>
      </c>
      <c r="X561" s="50">
        <v>1.0</v>
      </c>
      <c r="Y561" s="50">
        <v>3.0</v>
      </c>
      <c r="Z561" s="50">
        <v>78.0</v>
      </c>
      <c r="AA561" s="50">
        <v>2.0</v>
      </c>
      <c r="AB561" s="50">
        <v>1.0</v>
      </c>
      <c r="AC561" s="50">
        <v>3.0</v>
      </c>
      <c r="AD561" s="50">
        <v>6.0</v>
      </c>
      <c r="AE561" s="50">
        <v>1.0</v>
      </c>
      <c r="AF561" s="50">
        <v>1.0</v>
      </c>
      <c r="AG561" s="50">
        <v>1.0</v>
      </c>
      <c r="AH561" s="50">
        <v>3.0</v>
      </c>
      <c r="AI561" s="50">
        <v>1.0</v>
      </c>
      <c r="AJ561" s="116"/>
      <c r="AK561" s="50" t="s">
        <v>14134</v>
      </c>
      <c r="AL561" s="50">
        <v>4.0</v>
      </c>
      <c r="AM561" s="50">
        <v>1.0</v>
      </c>
      <c r="AN561" s="50" t="s">
        <v>10629</v>
      </c>
      <c r="AO561" s="117">
        <v>6231.0</v>
      </c>
      <c r="AP561" s="50" t="s">
        <v>14139</v>
      </c>
      <c r="AQ561" s="50" t="s">
        <v>14141</v>
      </c>
      <c r="AR561" s="117">
        <v>561.0</v>
      </c>
    </row>
    <row r="562">
      <c r="A562" s="50" t="s">
        <v>14125</v>
      </c>
      <c r="B562" s="50" t="s">
        <v>6876</v>
      </c>
      <c r="C562" s="50" t="s">
        <v>6877</v>
      </c>
      <c r="D562" s="50" t="s">
        <v>11623</v>
      </c>
      <c r="E562" s="144">
        <v>43811.0</v>
      </c>
      <c r="F562" s="50" t="s">
        <v>14143</v>
      </c>
      <c r="G562" s="50">
        <v>59.0</v>
      </c>
      <c r="H562" s="50">
        <v>1.0</v>
      </c>
      <c r="I562" s="50">
        <v>99.0</v>
      </c>
      <c r="J562" s="116"/>
      <c r="K562" s="116"/>
      <c r="L562" s="50" t="s">
        <v>1811</v>
      </c>
      <c r="M562" s="50" t="s">
        <v>1811</v>
      </c>
      <c r="N562" s="50" t="s">
        <v>13968</v>
      </c>
      <c r="O562" s="50" t="s">
        <v>13969</v>
      </c>
      <c r="P562" s="50" t="s">
        <v>13970</v>
      </c>
      <c r="Q562" s="50" t="s">
        <v>13971</v>
      </c>
      <c r="R562" s="116"/>
      <c r="S562" s="116"/>
      <c r="T562" s="116"/>
      <c r="U562" s="116"/>
      <c r="V562" s="116"/>
      <c r="W562" s="50">
        <v>7.0</v>
      </c>
      <c r="X562" s="50">
        <v>100.0</v>
      </c>
      <c r="Y562" s="50">
        <v>3.0</v>
      </c>
      <c r="Z562" s="50">
        <v>0.0</v>
      </c>
      <c r="AA562" s="116"/>
      <c r="AB562" s="116"/>
      <c r="AC562" s="116"/>
      <c r="AD562" s="116"/>
      <c r="AE562" s="116"/>
      <c r="AF562" s="116"/>
      <c r="AG562" s="116"/>
      <c r="AH562" s="116"/>
      <c r="AI562" s="116"/>
      <c r="AJ562" s="116"/>
      <c r="AK562" s="50" t="s">
        <v>14154</v>
      </c>
      <c r="AL562" s="50">
        <v>4.0</v>
      </c>
      <c r="AM562" s="50">
        <v>1.0</v>
      </c>
      <c r="AN562" s="50" t="s">
        <v>10629</v>
      </c>
      <c r="AO562" s="117">
        <v>6232.0</v>
      </c>
      <c r="AP562" s="50" t="s">
        <v>14156</v>
      </c>
      <c r="AQ562" s="50" t="s">
        <v>14159</v>
      </c>
      <c r="AR562" s="117">
        <v>562.0</v>
      </c>
    </row>
    <row r="563">
      <c r="A563" s="50" t="s">
        <v>14143</v>
      </c>
      <c r="B563" s="50" t="s">
        <v>6876</v>
      </c>
      <c r="C563" s="50" t="s">
        <v>6877</v>
      </c>
      <c r="D563" s="50" t="s">
        <v>11623</v>
      </c>
      <c r="E563" s="144">
        <v>43811.0</v>
      </c>
      <c r="F563" s="50" t="s">
        <v>14162</v>
      </c>
      <c r="G563" s="50">
        <v>33.0</v>
      </c>
      <c r="H563" s="50">
        <v>1.0</v>
      </c>
      <c r="I563" s="50">
        <v>98.0</v>
      </c>
      <c r="J563" s="116"/>
      <c r="K563" s="116"/>
      <c r="L563" s="50" t="s">
        <v>1814</v>
      </c>
      <c r="M563" s="50" t="s">
        <v>1814</v>
      </c>
      <c r="N563" s="50" t="s">
        <v>13968</v>
      </c>
      <c r="O563" s="50" t="s">
        <v>13969</v>
      </c>
      <c r="P563" s="50" t="s">
        <v>13970</v>
      </c>
      <c r="Q563" s="50" t="s">
        <v>13971</v>
      </c>
      <c r="R563" s="116"/>
      <c r="S563" s="116"/>
      <c r="T563" s="116"/>
      <c r="U563" s="116"/>
      <c r="V563" s="116"/>
      <c r="W563" s="50">
        <v>7.0</v>
      </c>
      <c r="X563" s="50">
        <v>100.0</v>
      </c>
      <c r="Y563" s="50">
        <v>3.0</v>
      </c>
      <c r="Z563" s="50">
        <v>0.0</v>
      </c>
      <c r="AA563" s="116"/>
      <c r="AB563" s="116"/>
      <c r="AC563" s="116"/>
      <c r="AD563" s="116"/>
      <c r="AE563" s="116"/>
      <c r="AF563" s="116"/>
      <c r="AG563" s="116"/>
      <c r="AH563" s="116"/>
      <c r="AI563" s="116"/>
      <c r="AJ563" s="116"/>
      <c r="AK563" s="50" t="s">
        <v>11376</v>
      </c>
      <c r="AL563" s="50">
        <v>4.0</v>
      </c>
      <c r="AM563" s="50">
        <v>1.0</v>
      </c>
      <c r="AN563" s="50" t="s">
        <v>10629</v>
      </c>
      <c r="AO563" s="117">
        <v>6233.0</v>
      </c>
      <c r="AP563" s="50" t="s">
        <v>14173</v>
      </c>
      <c r="AQ563" s="50" t="s">
        <v>14174</v>
      </c>
      <c r="AR563" s="117">
        <v>563.0</v>
      </c>
    </row>
    <row r="564">
      <c r="A564" s="50" t="s">
        <v>14175</v>
      </c>
      <c r="B564" s="50" t="s">
        <v>6876</v>
      </c>
      <c r="C564" s="50" t="s">
        <v>6877</v>
      </c>
      <c r="D564" s="50" t="s">
        <v>11623</v>
      </c>
      <c r="E564" s="144">
        <v>43815.0</v>
      </c>
      <c r="F564" s="50" t="s">
        <v>14180</v>
      </c>
      <c r="G564" s="50">
        <v>59.0</v>
      </c>
      <c r="H564" s="50">
        <v>1.0</v>
      </c>
      <c r="I564" s="50">
        <v>16.0</v>
      </c>
      <c r="J564" s="116"/>
      <c r="K564" s="116"/>
      <c r="L564" s="50" t="s">
        <v>1816</v>
      </c>
      <c r="M564" s="50" t="s">
        <v>1816</v>
      </c>
      <c r="N564" s="50" t="s">
        <v>14183</v>
      </c>
      <c r="O564" s="50" t="s">
        <v>14184</v>
      </c>
      <c r="P564" s="50" t="s">
        <v>14185</v>
      </c>
      <c r="Q564" s="50" t="s">
        <v>14186</v>
      </c>
      <c r="R564" s="116"/>
      <c r="S564" s="116"/>
      <c r="T564" s="116"/>
      <c r="U564" s="116"/>
      <c r="V564" s="116"/>
      <c r="W564" s="50">
        <v>4.0</v>
      </c>
      <c r="X564" s="50">
        <v>1.0</v>
      </c>
      <c r="Y564" s="50">
        <v>3.0</v>
      </c>
      <c r="Z564" s="50">
        <v>52.0</v>
      </c>
      <c r="AA564" s="50">
        <v>3.0</v>
      </c>
      <c r="AB564" s="50">
        <v>1.0</v>
      </c>
      <c r="AC564" s="50">
        <v>3.0</v>
      </c>
      <c r="AD564" s="50">
        <v>16.0</v>
      </c>
      <c r="AE564" s="50">
        <v>1.0</v>
      </c>
      <c r="AF564" s="50">
        <v>2.0</v>
      </c>
      <c r="AG564" s="50">
        <v>1.0</v>
      </c>
      <c r="AH564" s="50">
        <v>3.0</v>
      </c>
      <c r="AI564" s="50">
        <v>0.0</v>
      </c>
      <c r="AJ564" s="116"/>
      <c r="AK564" s="50" t="s">
        <v>14191</v>
      </c>
      <c r="AL564" s="50">
        <v>4.0</v>
      </c>
      <c r="AM564" s="50">
        <v>1.0</v>
      </c>
      <c r="AN564" s="50" t="s">
        <v>10629</v>
      </c>
      <c r="AO564" s="117">
        <v>6319.0</v>
      </c>
      <c r="AP564" s="50" t="s">
        <v>14193</v>
      </c>
      <c r="AQ564" s="50" t="s">
        <v>14195</v>
      </c>
      <c r="AR564" s="117">
        <v>564.0</v>
      </c>
    </row>
    <row r="565">
      <c r="A565" s="50" t="s">
        <v>14180</v>
      </c>
      <c r="B565" s="50" t="s">
        <v>6876</v>
      </c>
      <c r="C565" s="50" t="s">
        <v>6877</v>
      </c>
      <c r="D565" s="50" t="s">
        <v>11623</v>
      </c>
      <c r="E565" s="144">
        <v>43815.0</v>
      </c>
      <c r="F565" s="50" t="s">
        <v>14196</v>
      </c>
      <c r="G565" s="50">
        <v>33.0</v>
      </c>
      <c r="H565" s="50">
        <v>1.0</v>
      </c>
      <c r="I565" s="50">
        <v>98.0</v>
      </c>
      <c r="J565" s="116"/>
      <c r="K565" s="116"/>
      <c r="L565" s="50" t="s">
        <v>1819</v>
      </c>
      <c r="M565" s="50" t="s">
        <v>1819</v>
      </c>
      <c r="N565" s="50" t="s">
        <v>14183</v>
      </c>
      <c r="O565" s="50" t="s">
        <v>14198</v>
      </c>
      <c r="P565" s="50" t="s">
        <v>13971</v>
      </c>
      <c r="Q565" s="50" t="s">
        <v>14200</v>
      </c>
      <c r="R565" s="116"/>
      <c r="S565" s="116"/>
      <c r="T565" s="116"/>
      <c r="U565" s="116"/>
      <c r="V565" s="116"/>
      <c r="W565" s="50">
        <v>7.0</v>
      </c>
      <c r="X565" s="50">
        <v>100.0</v>
      </c>
      <c r="Y565" s="50">
        <v>3.0</v>
      </c>
      <c r="Z565" s="50">
        <v>0.0</v>
      </c>
      <c r="AA565" s="116"/>
      <c r="AB565" s="116"/>
      <c r="AC565" s="116"/>
      <c r="AD565" s="116"/>
      <c r="AE565" s="116"/>
      <c r="AF565" s="116"/>
      <c r="AG565" s="116"/>
      <c r="AH565" s="116"/>
      <c r="AI565" s="116"/>
      <c r="AJ565" s="116"/>
      <c r="AK565" s="50" t="s">
        <v>11376</v>
      </c>
      <c r="AL565" s="50">
        <v>4.0</v>
      </c>
      <c r="AM565" s="50">
        <v>1.0</v>
      </c>
      <c r="AN565" s="50" t="s">
        <v>10629</v>
      </c>
      <c r="AO565" s="117">
        <v>6320.0</v>
      </c>
      <c r="AP565" s="50" t="s">
        <v>14209</v>
      </c>
      <c r="AQ565" s="50" t="s">
        <v>14210</v>
      </c>
      <c r="AR565" s="117">
        <v>565.0</v>
      </c>
    </row>
    <row r="566">
      <c r="A566" s="50" t="s">
        <v>14196</v>
      </c>
      <c r="B566" s="50" t="s">
        <v>6876</v>
      </c>
      <c r="C566" s="50" t="s">
        <v>6877</v>
      </c>
      <c r="D566" s="50" t="s">
        <v>11623</v>
      </c>
      <c r="E566" s="144">
        <v>43815.0</v>
      </c>
      <c r="F566" s="50" t="s">
        <v>14216</v>
      </c>
      <c r="G566" s="50">
        <v>58.0</v>
      </c>
      <c r="H566" s="50">
        <v>1.0</v>
      </c>
      <c r="I566" s="50">
        <v>11.0</v>
      </c>
      <c r="J566" s="116"/>
      <c r="K566" s="116"/>
      <c r="L566" s="50" t="s">
        <v>1821</v>
      </c>
      <c r="M566" s="50" t="s">
        <v>1821</v>
      </c>
      <c r="N566" s="50" t="s">
        <v>14219</v>
      </c>
      <c r="O566" s="50" t="s">
        <v>14186</v>
      </c>
      <c r="P566" s="50" t="s">
        <v>14220</v>
      </c>
      <c r="Q566" s="50" t="s">
        <v>14221</v>
      </c>
      <c r="R566" s="116"/>
      <c r="S566" s="116"/>
      <c r="T566" s="116"/>
      <c r="U566" s="116"/>
      <c r="V566" s="116"/>
      <c r="W566" s="50">
        <v>3.0</v>
      </c>
      <c r="X566" s="50">
        <v>1.0</v>
      </c>
      <c r="Y566" s="50">
        <v>3.0</v>
      </c>
      <c r="Z566" s="50">
        <v>2.0</v>
      </c>
      <c r="AA566" s="50">
        <v>2.0</v>
      </c>
      <c r="AB566" s="50">
        <v>1.0</v>
      </c>
      <c r="AC566" s="50">
        <v>3.0</v>
      </c>
      <c r="AD566" s="50">
        <v>0.0</v>
      </c>
      <c r="AE566" s="50">
        <v>1.0</v>
      </c>
      <c r="AF566" s="50">
        <v>1.0</v>
      </c>
      <c r="AG566" s="50">
        <v>1.0</v>
      </c>
      <c r="AH566" s="50">
        <v>3.0</v>
      </c>
      <c r="AI566" s="50">
        <v>0.0</v>
      </c>
      <c r="AJ566" s="116"/>
      <c r="AK566" s="50" t="s">
        <v>14226</v>
      </c>
      <c r="AL566" s="50">
        <v>4.0</v>
      </c>
      <c r="AM566" s="50">
        <v>1.0</v>
      </c>
      <c r="AN566" s="50" t="s">
        <v>10629</v>
      </c>
      <c r="AO566" s="117">
        <v>6321.0</v>
      </c>
      <c r="AP566" s="50" t="s">
        <v>14227</v>
      </c>
      <c r="AQ566" s="50" t="s">
        <v>14230</v>
      </c>
      <c r="AR566" s="117">
        <v>566.0</v>
      </c>
    </row>
    <row r="567">
      <c r="A567" s="50" t="s">
        <v>14216</v>
      </c>
      <c r="B567" s="50" t="s">
        <v>6876</v>
      </c>
      <c r="C567" s="50" t="s">
        <v>6877</v>
      </c>
      <c r="D567" s="50" t="s">
        <v>11623</v>
      </c>
      <c r="E567" s="144">
        <v>43815.0</v>
      </c>
      <c r="F567" s="50" t="s">
        <v>14231</v>
      </c>
      <c r="G567" s="50">
        <v>58.0</v>
      </c>
      <c r="H567" s="50">
        <v>1.0</v>
      </c>
      <c r="I567" s="50">
        <v>99.0</v>
      </c>
      <c r="J567" s="116"/>
      <c r="K567" s="116"/>
      <c r="L567" s="50" t="s">
        <v>1822</v>
      </c>
      <c r="M567" s="50" t="s">
        <v>1822</v>
      </c>
      <c r="N567" s="50" t="s">
        <v>14219</v>
      </c>
      <c r="O567" s="50" t="s">
        <v>14234</v>
      </c>
      <c r="P567" s="50" t="s">
        <v>14235</v>
      </c>
      <c r="Q567" s="50" t="s">
        <v>14237</v>
      </c>
      <c r="R567" s="116"/>
      <c r="S567" s="116"/>
      <c r="T567" s="116"/>
      <c r="U567" s="116"/>
      <c r="V567" s="116"/>
      <c r="W567" s="50">
        <v>7.0</v>
      </c>
      <c r="X567" s="50">
        <v>100.0</v>
      </c>
      <c r="Y567" s="50">
        <v>3.0</v>
      </c>
      <c r="Z567" s="50">
        <v>0.0</v>
      </c>
      <c r="AA567" s="116"/>
      <c r="AB567" s="116"/>
      <c r="AC567" s="116"/>
      <c r="AD567" s="116"/>
      <c r="AE567" s="116"/>
      <c r="AF567" s="116"/>
      <c r="AG567" s="116"/>
      <c r="AH567" s="116"/>
      <c r="AI567" s="116"/>
      <c r="AJ567" s="116"/>
      <c r="AK567" s="50" t="s">
        <v>14241</v>
      </c>
      <c r="AL567" s="50">
        <v>4.0</v>
      </c>
      <c r="AM567" s="50">
        <v>1.0</v>
      </c>
      <c r="AN567" s="50" t="s">
        <v>10629</v>
      </c>
      <c r="AO567" s="117">
        <v>6322.0</v>
      </c>
      <c r="AP567" s="50" t="s">
        <v>14242</v>
      </c>
      <c r="AQ567" s="50" t="s">
        <v>14243</v>
      </c>
      <c r="AR567" s="117">
        <v>567.0</v>
      </c>
    </row>
    <row r="568">
      <c r="A568" s="50" t="s">
        <v>14231</v>
      </c>
      <c r="B568" s="50" t="s">
        <v>6876</v>
      </c>
      <c r="C568" s="50" t="s">
        <v>6877</v>
      </c>
      <c r="D568" s="50" t="s">
        <v>11623</v>
      </c>
      <c r="E568" s="144">
        <v>43815.0</v>
      </c>
      <c r="F568" s="50" t="s">
        <v>14244</v>
      </c>
      <c r="G568" s="50">
        <v>59.0</v>
      </c>
      <c r="H568" s="50">
        <v>1.0</v>
      </c>
      <c r="I568" s="50">
        <v>11.0</v>
      </c>
      <c r="J568" s="116"/>
      <c r="K568" s="116"/>
      <c r="L568" s="50" t="s">
        <v>1824</v>
      </c>
      <c r="M568" s="50" t="s">
        <v>1824</v>
      </c>
      <c r="N568" s="50" t="s">
        <v>14219</v>
      </c>
      <c r="O568" s="50" t="s">
        <v>14186</v>
      </c>
      <c r="P568" s="50" t="s">
        <v>14220</v>
      </c>
      <c r="Q568" s="50" t="s">
        <v>14221</v>
      </c>
      <c r="R568" s="116"/>
      <c r="S568" s="116"/>
      <c r="T568" s="116"/>
      <c r="U568" s="116"/>
      <c r="V568" s="116"/>
      <c r="W568" s="50">
        <v>3.0</v>
      </c>
      <c r="X568" s="50">
        <v>1.0</v>
      </c>
      <c r="Y568" s="50">
        <v>3.0</v>
      </c>
      <c r="Z568" s="50">
        <v>89.0</v>
      </c>
      <c r="AA568" s="50">
        <v>2.0</v>
      </c>
      <c r="AB568" s="50">
        <v>1.0</v>
      </c>
      <c r="AC568" s="50">
        <v>3.0</v>
      </c>
      <c r="AD568" s="50">
        <v>8.0</v>
      </c>
      <c r="AE568" s="50">
        <v>1.0</v>
      </c>
      <c r="AF568" s="50">
        <v>1.0</v>
      </c>
      <c r="AG568" s="50">
        <v>1.0</v>
      </c>
      <c r="AH568" s="50">
        <v>3.0</v>
      </c>
      <c r="AI568" s="50">
        <v>3.0</v>
      </c>
      <c r="AJ568" s="116"/>
      <c r="AK568" s="50" t="s">
        <v>14256</v>
      </c>
      <c r="AL568" s="50">
        <v>4.0</v>
      </c>
      <c r="AM568" s="50">
        <v>1.0</v>
      </c>
      <c r="AN568" s="50" t="s">
        <v>10629</v>
      </c>
      <c r="AO568" s="117">
        <v>6323.0</v>
      </c>
      <c r="AP568" s="50" t="s">
        <v>14257</v>
      </c>
      <c r="AQ568" s="50" t="s">
        <v>14258</v>
      </c>
      <c r="AR568" s="117">
        <v>568.0</v>
      </c>
    </row>
    <row r="569">
      <c r="A569" s="50" t="s">
        <v>14244</v>
      </c>
      <c r="B569" s="50" t="s">
        <v>6876</v>
      </c>
      <c r="C569" s="50" t="s">
        <v>6877</v>
      </c>
      <c r="D569" s="50" t="s">
        <v>11623</v>
      </c>
      <c r="E569" s="144">
        <v>43815.0</v>
      </c>
      <c r="F569" s="50" t="s">
        <v>14261</v>
      </c>
      <c r="G569" s="50">
        <v>59.0</v>
      </c>
      <c r="H569" s="50">
        <v>1.0</v>
      </c>
      <c r="I569" s="50">
        <v>99.0</v>
      </c>
      <c r="J569" s="116"/>
      <c r="K569" s="116"/>
      <c r="L569" s="50" t="s">
        <v>1825</v>
      </c>
      <c r="M569" s="50" t="s">
        <v>1825</v>
      </c>
      <c r="N569" s="50" t="s">
        <v>14219</v>
      </c>
      <c r="O569" s="50" t="s">
        <v>14234</v>
      </c>
      <c r="P569" s="50" t="s">
        <v>14235</v>
      </c>
      <c r="Q569" s="50" t="s">
        <v>14237</v>
      </c>
      <c r="R569" s="116"/>
      <c r="S569" s="116"/>
      <c r="T569" s="116"/>
      <c r="U569" s="116"/>
      <c r="V569" s="116"/>
      <c r="W569" s="50">
        <v>7.0</v>
      </c>
      <c r="X569" s="50">
        <v>100.0</v>
      </c>
      <c r="Y569" s="50">
        <v>3.0</v>
      </c>
      <c r="Z569" s="50">
        <v>0.0</v>
      </c>
      <c r="AA569" s="116"/>
      <c r="AB569" s="116"/>
      <c r="AC569" s="116"/>
      <c r="AD569" s="116"/>
      <c r="AE569" s="116"/>
      <c r="AF569" s="116"/>
      <c r="AG569" s="116"/>
      <c r="AH569" s="116"/>
      <c r="AI569" s="116"/>
      <c r="AJ569" s="116"/>
      <c r="AK569" s="50" t="s">
        <v>14266</v>
      </c>
      <c r="AL569" s="50">
        <v>4.0</v>
      </c>
      <c r="AM569" s="50">
        <v>1.0</v>
      </c>
      <c r="AN569" s="50" t="s">
        <v>10629</v>
      </c>
      <c r="AO569" s="117">
        <v>6324.0</v>
      </c>
      <c r="AP569" s="50" t="s">
        <v>14269</v>
      </c>
      <c r="AQ569" s="50" t="s">
        <v>14270</v>
      </c>
      <c r="AR569" s="117">
        <v>569.0</v>
      </c>
    </row>
    <row r="570">
      <c r="A570" s="50" t="s">
        <v>14272</v>
      </c>
      <c r="B570" s="50" t="s">
        <v>6876</v>
      </c>
      <c r="C570" s="50" t="s">
        <v>6877</v>
      </c>
      <c r="D570" s="50" t="s">
        <v>11623</v>
      </c>
      <c r="E570" s="144">
        <v>43815.0</v>
      </c>
      <c r="F570" s="50" t="s">
        <v>14276</v>
      </c>
      <c r="G570" s="50">
        <v>59.0</v>
      </c>
      <c r="H570" s="50">
        <v>1.0</v>
      </c>
      <c r="I570" s="50">
        <v>11.0</v>
      </c>
      <c r="J570" s="116"/>
      <c r="K570" s="116"/>
      <c r="L570" s="50" t="s">
        <v>1827</v>
      </c>
      <c r="M570" s="50" t="s">
        <v>1827</v>
      </c>
      <c r="N570" s="50" t="s">
        <v>14219</v>
      </c>
      <c r="O570" s="50" t="s">
        <v>14186</v>
      </c>
      <c r="P570" s="50" t="s">
        <v>14220</v>
      </c>
      <c r="Q570" s="50" t="s">
        <v>14221</v>
      </c>
      <c r="R570" s="116"/>
      <c r="S570" s="116"/>
      <c r="T570" s="116"/>
      <c r="U570" s="116"/>
      <c r="V570" s="116"/>
      <c r="W570" s="50">
        <v>3.0</v>
      </c>
      <c r="X570" s="50">
        <v>1.0</v>
      </c>
      <c r="Y570" s="50">
        <v>1.0</v>
      </c>
      <c r="Z570" s="116"/>
      <c r="AA570" s="50">
        <v>2.0</v>
      </c>
      <c r="AB570" s="50">
        <v>1.0</v>
      </c>
      <c r="AC570" s="50">
        <v>3.0</v>
      </c>
      <c r="AD570" s="50">
        <v>30.0</v>
      </c>
      <c r="AE570" s="50">
        <v>1.0</v>
      </c>
      <c r="AF570" s="50">
        <v>1.0</v>
      </c>
      <c r="AG570" s="50">
        <v>1.0</v>
      </c>
      <c r="AH570" s="50">
        <v>3.0</v>
      </c>
      <c r="AI570" s="50">
        <v>0.0</v>
      </c>
      <c r="AJ570" s="116"/>
      <c r="AK570" s="50" t="s">
        <v>14284</v>
      </c>
      <c r="AL570" s="50">
        <v>4.0</v>
      </c>
      <c r="AM570" s="50">
        <v>1.0</v>
      </c>
      <c r="AN570" s="50" t="s">
        <v>10629</v>
      </c>
      <c r="AO570" s="117">
        <v>6325.0</v>
      </c>
      <c r="AP570" s="50" t="s">
        <v>14287</v>
      </c>
      <c r="AQ570" s="50" t="s">
        <v>14289</v>
      </c>
      <c r="AR570" s="117">
        <v>570.0</v>
      </c>
    </row>
    <row r="571">
      <c r="A571" s="50" t="s">
        <v>14276</v>
      </c>
      <c r="B571" s="50" t="s">
        <v>6876</v>
      </c>
      <c r="C571" s="50" t="s">
        <v>6877</v>
      </c>
      <c r="D571" s="50" t="s">
        <v>11623</v>
      </c>
      <c r="E571" s="144">
        <v>43815.0</v>
      </c>
      <c r="F571" s="50" t="s">
        <v>14296</v>
      </c>
      <c r="G571" s="50">
        <v>59.0</v>
      </c>
      <c r="H571" s="50">
        <v>1.0</v>
      </c>
      <c r="I571" s="50">
        <v>99.0</v>
      </c>
      <c r="J571" s="116"/>
      <c r="K571" s="116"/>
      <c r="L571" s="50" t="s">
        <v>1828</v>
      </c>
      <c r="M571" s="50" t="s">
        <v>1828</v>
      </c>
      <c r="N571" s="50" t="s">
        <v>14219</v>
      </c>
      <c r="O571" s="50" t="s">
        <v>14234</v>
      </c>
      <c r="P571" s="50" t="s">
        <v>14235</v>
      </c>
      <c r="Q571" s="50" t="s">
        <v>14237</v>
      </c>
      <c r="R571" s="116"/>
      <c r="S571" s="116"/>
      <c r="T571" s="116"/>
      <c r="U571" s="116"/>
      <c r="V571" s="116"/>
      <c r="W571" s="50">
        <v>7.0</v>
      </c>
      <c r="X571" s="50">
        <v>100.0</v>
      </c>
      <c r="Y571" s="50">
        <v>3.0</v>
      </c>
      <c r="Z571" s="50">
        <v>0.0</v>
      </c>
      <c r="AA571" s="116"/>
      <c r="AB571" s="116"/>
      <c r="AC571" s="116"/>
      <c r="AD571" s="116"/>
      <c r="AE571" s="116"/>
      <c r="AF571" s="116"/>
      <c r="AG571" s="116"/>
      <c r="AH571" s="116"/>
      <c r="AI571" s="116"/>
      <c r="AJ571" s="116"/>
      <c r="AK571" s="50" t="s">
        <v>14300</v>
      </c>
      <c r="AL571" s="50">
        <v>4.0</v>
      </c>
      <c r="AM571" s="50">
        <v>1.0</v>
      </c>
      <c r="AN571" s="50" t="s">
        <v>10629</v>
      </c>
      <c r="AO571" s="117">
        <v>6326.0</v>
      </c>
      <c r="AP571" s="50" t="s">
        <v>14304</v>
      </c>
      <c r="AQ571" s="50" t="s">
        <v>14305</v>
      </c>
      <c r="AR571" s="117">
        <v>571.0</v>
      </c>
    </row>
    <row r="572">
      <c r="A572" s="50" t="s">
        <v>14296</v>
      </c>
      <c r="B572" s="50" t="s">
        <v>6876</v>
      </c>
      <c r="C572" s="50" t="s">
        <v>6877</v>
      </c>
      <c r="D572" s="50" t="s">
        <v>11623</v>
      </c>
      <c r="E572" s="144">
        <v>43815.0</v>
      </c>
      <c r="F572" s="50" t="s">
        <v>14307</v>
      </c>
      <c r="G572" s="50">
        <v>59.0</v>
      </c>
      <c r="H572" s="50">
        <v>1.0</v>
      </c>
      <c r="I572" s="50">
        <v>11.0</v>
      </c>
      <c r="J572" s="116"/>
      <c r="K572" s="116"/>
      <c r="L572" s="50" t="s">
        <v>1830</v>
      </c>
      <c r="M572" s="50" t="s">
        <v>1830</v>
      </c>
      <c r="N572" s="50" t="s">
        <v>14219</v>
      </c>
      <c r="O572" s="50" t="s">
        <v>14186</v>
      </c>
      <c r="P572" s="50" t="s">
        <v>14220</v>
      </c>
      <c r="Q572" s="50" t="s">
        <v>14221</v>
      </c>
      <c r="R572" s="116"/>
      <c r="S572" s="116"/>
      <c r="T572" s="116"/>
      <c r="U572" s="116"/>
      <c r="V572" s="116"/>
      <c r="W572" s="50">
        <v>3.0</v>
      </c>
      <c r="X572" s="50">
        <v>1.0</v>
      </c>
      <c r="Y572" s="50">
        <v>1.0</v>
      </c>
      <c r="Z572" s="116"/>
      <c r="AA572" s="50">
        <v>2.0</v>
      </c>
      <c r="AB572" s="50">
        <v>1.0</v>
      </c>
      <c r="AC572" s="50">
        <v>3.0</v>
      </c>
      <c r="AD572" s="50">
        <v>31.0</v>
      </c>
      <c r="AE572" s="50">
        <v>1.0</v>
      </c>
      <c r="AF572" s="50">
        <v>1.0</v>
      </c>
      <c r="AG572" s="50">
        <v>1.0</v>
      </c>
      <c r="AH572" s="50">
        <v>3.0</v>
      </c>
      <c r="AI572" s="50">
        <v>3.0</v>
      </c>
      <c r="AJ572" s="116"/>
      <c r="AK572" s="50" t="s">
        <v>14316</v>
      </c>
      <c r="AL572" s="50">
        <v>4.0</v>
      </c>
      <c r="AM572" s="50">
        <v>1.0</v>
      </c>
      <c r="AN572" s="50" t="s">
        <v>10629</v>
      </c>
      <c r="AO572" s="117">
        <v>6327.0</v>
      </c>
      <c r="AP572" s="50" t="s">
        <v>14317</v>
      </c>
      <c r="AQ572" s="50" t="s">
        <v>14318</v>
      </c>
      <c r="AR572" s="117">
        <v>572.0</v>
      </c>
    </row>
    <row r="573">
      <c r="A573" s="50" t="s">
        <v>14307</v>
      </c>
      <c r="B573" s="50" t="s">
        <v>6876</v>
      </c>
      <c r="C573" s="50" t="s">
        <v>6877</v>
      </c>
      <c r="D573" s="50" t="s">
        <v>11623</v>
      </c>
      <c r="E573" s="144">
        <v>43815.0</v>
      </c>
      <c r="F573" s="50" t="s">
        <v>14321</v>
      </c>
      <c r="G573" s="50">
        <v>59.0</v>
      </c>
      <c r="H573" s="50">
        <v>1.0</v>
      </c>
      <c r="I573" s="50">
        <v>99.0</v>
      </c>
      <c r="J573" s="116"/>
      <c r="K573" s="116"/>
      <c r="L573" s="50" t="s">
        <v>1831</v>
      </c>
      <c r="M573" s="50" t="s">
        <v>1831</v>
      </c>
      <c r="N573" s="50" t="s">
        <v>14219</v>
      </c>
      <c r="O573" s="50" t="s">
        <v>14234</v>
      </c>
      <c r="P573" s="50" t="s">
        <v>14235</v>
      </c>
      <c r="Q573" s="50" t="s">
        <v>14237</v>
      </c>
      <c r="R573" s="116"/>
      <c r="S573" s="116"/>
      <c r="T573" s="116"/>
      <c r="U573" s="116"/>
      <c r="V573" s="116"/>
      <c r="W573" s="50">
        <v>7.0</v>
      </c>
      <c r="X573" s="50">
        <v>100.0</v>
      </c>
      <c r="Y573" s="50">
        <v>3.0</v>
      </c>
      <c r="Z573" s="50">
        <v>0.0</v>
      </c>
      <c r="AA573" s="116"/>
      <c r="AB573" s="116"/>
      <c r="AC573" s="116"/>
      <c r="AD573" s="116"/>
      <c r="AE573" s="116"/>
      <c r="AF573" s="116"/>
      <c r="AG573" s="116"/>
      <c r="AH573" s="116"/>
      <c r="AI573" s="116"/>
      <c r="AJ573" s="116"/>
      <c r="AK573" s="50" t="s">
        <v>14330</v>
      </c>
      <c r="AL573" s="50">
        <v>4.0</v>
      </c>
      <c r="AM573" s="50">
        <v>1.0</v>
      </c>
      <c r="AN573" s="50" t="s">
        <v>10629</v>
      </c>
      <c r="AO573" s="117">
        <v>6328.0</v>
      </c>
      <c r="AP573" s="50" t="s">
        <v>14334</v>
      </c>
      <c r="AQ573" s="50" t="s">
        <v>14335</v>
      </c>
      <c r="AR573" s="117">
        <v>573.0</v>
      </c>
    </row>
    <row r="574">
      <c r="A574" s="50" t="s">
        <v>14321</v>
      </c>
      <c r="B574" s="50" t="s">
        <v>6876</v>
      </c>
      <c r="C574" s="50" t="s">
        <v>6877</v>
      </c>
      <c r="D574" s="50" t="s">
        <v>11623</v>
      </c>
      <c r="E574" s="144">
        <v>43815.0</v>
      </c>
      <c r="F574" s="50" t="s">
        <v>14340</v>
      </c>
      <c r="G574" s="50">
        <v>59.0</v>
      </c>
      <c r="H574" s="50">
        <v>1.0</v>
      </c>
      <c r="I574" s="50">
        <v>11.0</v>
      </c>
      <c r="J574" s="116"/>
      <c r="K574" s="116"/>
      <c r="L574" s="50" t="s">
        <v>14341</v>
      </c>
      <c r="M574" s="50" t="s">
        <v>14341</v>
      </c>
      <c r="N574" s="50" t="s">
        <v>14219</v>
      </c>
      <c r="O574" s="50" t="s">
        <v>14186</v>
      </c>
      <c r="P574" s="50" t="s">
        <v>14220</v>
      </c>
      <c r="Q574" s="50" t="s">
        <v>14221</v>
      </c>
      <c r="R574" s="116"/>
      <c r="S574" s="116"/>
      <c r="T574" s="116"/>
      <c r="U574" s="116"/>
      <c r="V574" s="116"/>
      <c r="W574" s="50">
        <v>3.0</v>
      </c>
      <c r="X574" s="50">
        <v>1.0</v>
      </c>
      <c r="Y574" s="50">
        <v>1.0</v>
      </c>
      <c r="Z574" s="116"/>
      <c r="AA574" s="50">
        <v>2.0</v>
      </c>
      <c r="AB574" s="50">
        <v>1.0</v>
      </c>
      <c r="AC574" s="50">
        <v>3.0</v>
      </c>
      <c r="AD574" s="50">
        <v>31.0</v>
      </c>
      <c r="AE574" s="50">
        <v>1.0</v>
      </c>
      <c r="AF574" s="50">
        <v>1.0</v>
      </c>
      <c r="AG574" s="50">
        <v>1.0</v>
      </c>
      <c r="AH574" s="50">
        <v>3.0</v>
      </c>
      <c r="AI574" s="50">
        <v>11.0</v>
      </c>
      <c r="AJ574" s="116"/>
      <c r="AK574" s="50" t="s">
        <v>14353</v>
      </c>
      <c r="AL574" s="50">
        <v>4.0</v>
      </c>
      <c r="AM574" s="50">
        <v>1.0</v>
      </c>
      <c r="AN574" s="50" t="s">
        <v>10629</v>
      </c>
      <c r="AO574" s="117">
        <v>6329.0</v>
      </c>
      <c r="AP574" s="50" t="s">
        <v>14356</v>
      </c>
      <c r="AQ574" s="50" t="s">
        <v>14357</v>
      </c>
      <c r="AR574" s="117">
        <v>574.0</v>
      </c>
    </row>
    <row r="575">
      <c r="A575" s="50" t="s">
        <v>14358</v>
      </c>
      <c r="B575" s="50" t="s">
        <v>6876</v>
      </c>
      <c r="C575" s="50" t="s">
        <v>6877</v>
      </c>
      <c r="D575" s="50" t="s">
        <v>11623</v>
      </c>
      <c r="E575" s="144">
        <v>43815.0</v>
      </c>
      <c r="F575" s="50" t="s">
        <v>14359</v>
      </c>
      <c r="G575" s="50">
        <v>59.0</v>
      </c>
      <c r="H575" s="50">
        <v>1.0</v>
      </c>
      <c r="I575" s="50">
        <v>99.0</v>
      </c>
      <c r="J575" s="116"/>
      <c r="K575" s="116"/>
      <c r="L575" s="50" t="s">
        <v>1835</v>
      </c>
      <c r="M575" s="50" t="s">
        <v>1835</v>
      </c>
      <c r="N575" s="50" t="s">
        <v>14219</v>
      </c>
      <c r="O575" s="50" t="s">
        <v>14234</v>
      </c>
      <c r="P575" s="50" t="s">
        <v>14235</v>
      </c>
      <c r="Q575" s="50" t="s">
        <v>14237</v>
      </c>
      <c r="R575" s="116"/>
      <c r="S575" s="116"/>
      <c r="T575" s="116"/>
      <c r="U575" s="116"/>
      <c r="V575" s="116"/>
      <c r="W575" s="50">
        <v>7.0</v>
      </c>
      <c r="X575" s="50">
        <v>100.0</v>
      </c>
      <c r="Y575" s="50">
        <v>3.0</v>
      </c>
      <c r="Z575" s="50">
        <v>0.0</v>
      </c>
      <c r="AA575" s="116"/>
      <c r="AB575" s="116"/>
      <c r="AC575" s="116"/>
      <c r="AD575" s="116"/>
      <c r="AE575" s="116"/>
      <c r="AF575" s="116"/>
      <c r="AG575" s="116"/>
      <c r="AH575" s="116"/>
      <c r="AI575" s="116"/>
      <c r="AJ575" s="116"/>
      <c r="AK575" s="50" t="s">
        <v>14368</v>
      </c>
      <c r="AL575" s="50">
        <v>4.0</v>
      </c>
      <c r="AM575" s="50">
        <v>1.0</v>
      </c>
      <c r="AN575" s="50" t="s">
        <v>10629</v>
      </c>
      <c r="AO575" s="117">
        <v>6330.0</v>
      </c>
      <c r="AP575" s="50" t="s">
        <v>14371</v>
      </c>
      <c r="AQ575" s="50" t="s">
        <v>14372</v>
      </c>
      <c r="AR575" s="117">
        <v>575.0</v>
      </c>
    </row>
    <row r="576">
      <c r="A576" s="50" t="s">
        <v>14359</v>
      </c>
      <c r="B576" s="50" t="s">
        <v>6876</v>
      </c>
      <c r="C576" s="50" t="s">
        <v>6877</v>
      </c>
      <c r="D576" s="50" t="s">
        <v>11623</v>
      </c>
      <c r="E576" s="144">
        <v>43815.0</v>
      </c>
      <c r="F576" s="50" t="s">
        <v>14378</v>
      </c>
      <c r="G576" s="50">
        <v>66.0</v>
      </c>
      <c r="H576" s="50">
        <v>1.0</v>
      </c>
      <c r="I576" s="50">
        <v>99.0</v>
      </c>
      <c r="J576" s="116"/>
      <c r="K576" s="116"/>
      <c r="L576" s="50" t="s">
        <v>1838</v>
      </c>
      <c r="M576" s="50" t="s">
        <v>1838</v>
      </c>
      <c r="N576" s="50" t="s">
        <v>14382</v>
      </c>
      <c r="O576" s="50" t="s">
        <v>14200</v>
      </c>
      <c r="P576" s="50" t="s">
        <v>14383</v>
      </c>
      <c r="Q576" s="50" t="s">
        <v>14384</v>
      </c>
      <c r="R576" s="116"/>
      <c r="S576" s="116"/>
      <c r="T576" s="116"/>
      <c r="U576" s="116"/>
      <c r="V576" s="116"/>
      <c r="W576" s="50">
        <v>7.0</v>
      </c>
      <c r="X576" s="50">
        <v>100.0</v>
      </c>
      <c r="Y576" s="50">
        <v>3.0</v>
      </c>
      <c r="Z576" s="50">
        <v>0.0</v>
      </c>
      <c r="AA576" s="116"/>
      <c r="AB576" s="116"/>
      <c r="AC576" s="116"/>
      <c r="AD576" s="116"/>
      <c r="AE576" s="116"/>
      <c r="AF576" s="116"/>
      <c r="AG576" s="116"/>
      <c r="AH576" s="116"/>
      <c r="AI576" s="116"/>
      <c r="AJ576" s="116"/>
      <c r="AK576" s="50" t="s">
        <v>14389</v>
      </c>
      <c r="AL576" s="50">
        <v>4.0</v>
      </c>
      <c r="AM576" s="50">
        <v>1.0</v>
      </c>
      <c r="AN576" s="50" t="s">
        <v>10629</v>
      </c>
      <c r="AO576" s="117">
        <v>6331.0</v>
      </c>
      <c r="AP576" s="50" t="s">
        <v>14392</v>
      </c>
      <c r="AQ576" s="50" t="s">
        <v>14393</v>
      </c>
      <c r="AR576" s="117">
        <v>576.0</v>
      </c>
    </row>
    <row r="577">
      <c r="A577" s="50" t="s">
        <v>14378</v>
      </c>
      <c r="B577" s="50" t="s">
        <v>6876</v>
      </c>
      <c r="C577" s="50" t="s">
        <v>6877</v>
      </c>
      <c r="D577" s="50" t="s">
        <v>11623</v>
      </c>
      <c r="E577" s="144">
        <v>43815.0</v>
      </c>
      <c r="F577" s="50" t="s">
        <v>14396</v>
      </c>
      <c r="G577" s="50">
        <v>59.0</v>
      </c>
      <c r="H577" s="50">
        <v>1.0</v>
      </c>
      <c r="I577" s="50">
        <v>99.0</v>
      </c>
      <c r="J577" s="116"/>
      <c r="K577" s="116"/>
      <c r="L577" s="50" t="s">
        <v>1841</v>
      </c>
      <c r="M577" s="50" t="s">
        <v>1841</v>
      </c>
      <c r="N577" s="50" t="s">
        <v>14382</v>
      </c>
      <c r="O577" s="50" t="s">
        <v>14200</v>
      </c>
      <c r="P577" s="50" t="s">
        <v>14383</v>
      </c>
      <c r="Q577" s="50" t="s">
        <v>14384</v>
      </c>
      <c r="R577" s="116"/>
      <c r="S577" s="116"/>
      <c r="T577" s="116"/>
      <c r="U577" s="116"/>
      <c r="V577" s="116"/>
      <c r="W577" s="50">
        <v>7.0</v>
      </c>
      <c r="X577" s="50">
        <v>100.0</v>
      </c>
      <c r="Y577" s="50">
        <v>3.0</v>
      </c>
      <c r="Z577" s="50">
        <v>0.0</v>
      </c>
      <c r="AA577" s="116"/>
      <c r="AB577" s="116"/>
      <c r="AC577" s="116"/>
      <c r="AD577" s="116"/>
      <c r="AE577" s="116"/>
      <c r="AF577" s="116"/>
      <c r="AG577" s="116"/>
      <c r="AH577" s="116"/>
      <c r="AI577" s="116"/>
      <c r="AJ577" s="116"/>
      <c r="AK577" s="50" t="s">
        <v>14401</v>
      </c>
      <c r="AL577" s="50">
        <v>4.0</v>
      </c>
      <c r="AM577" s="50">
        <v>1.0</v>
      </c>
      <c r="AN577" s="50" t="s">
        <v>10629</v>
      </c>
      <c r="AO577" s="117">
        <v>6332.0</v>
      </c>
      <c r="AP577" s="50" t="s">
        <v>14402</v>
      </c>
      <c r="AQ577" s="50" t="s">
        <v>14403</v>
      </c>
      <c r="AR577" s="117">
        <v>577.0</v>
      </c>
    </row>
    <row r="578">
      <c r="A578" s="50" t="s">
        <v>14396</v>
      </c>
      <c r="B578" s="50" t="s">
        <v>6876</v>
      </c>
      <c r="C578" s="50" t="s">
        <v>6877</v>
      </c>
      <c r="D578" s="50" t="s">
        <v>11623</v>
      </c>
      <c r="E578" s="144">
        <v>43815.0</v>
      </c>
      <c r="F578" s="50" t="s">
        <v>14405</v>
      </c>
      <c r="G578" s="50">
        <v>33.0</v>
      </c>
      <c r="H578" s="50">
        <v>1.0</v>
      </c>
      <c r="I578" s="50">
        <v>98.0</v>
      </c>
      <c r="J578" s="116"/>
      <c r="K578" s="116"/>
      <c r="L578" s="50" t="s">
        <v>1843</v>
      </c>
      <c r="M578" s="50" t="s">
        <v>1843</v>
      </c>
      <c r="N578" s="50" t="s">
        <v>14382</v>
      </c>
      <c r="O578" s="50" t="s">
        <v>14200</v>
      </c>
      <c r="P578" s="50" t="s">
        <v>14383</v>
      </c>
      <c r="Q578" s="50" t="s">
        <v>14384</v>
      </c>
      <c r="R578" s="116"/>
      <c r="S578" s="116"/>
      <c r="T578" s="116"/>
      <c r="U578" s="116"/>
      <c r="V578" s="116"/>
      <c r="W578" s="50">
        <v>7.0</v>
      </c>
      <c r="X578" s="50">
        <v>100.0</v>
      </c>
      <c r="Y578" s="50">
        <v>3.0</v>
      </c>
      <c r="Z578" s="50">
        <v>0.0</v>
      </c>
      <c r="AA578" s="116"/>
      <c r="AB578" s="116"/>
      <c r="AC578" s="116"/>
      <c r="AD578" s="116"/>
      <c r="AE578" s="116"/>
      <c r="AF578" s="116"/>
      <c r="AG578" s="116"/>
      <c r="AH578" s="116"/>
      <c r="AI578" s="116"/>
      <c r="AJ578" s="116"/>
      <c r="AK578" s="50" t="s">
        <v>11376</v>
      </c>
      <c r="AL578" s="50">
        <v>4.0</v>
      </c>
      <c r="AM578" s="50">
        <v>1.0</v>
      </c>
      <c r="AN578" s="50" t="s">
        <v>10629</v>
      </c>
      <c r="AO578" s="117">
        <v>6333.0</v>
      </c>
      <c r="AP578" s="50" t="s">
        <v>14413</v>
      </c>
      <c r="AQ578" s="50" t="s">
        <v>14414</v>
      </c>
      <c r="AR578" s="117">
        <v>578.0</v>
      </c>
    </row>
    <row r="579">
      <c r="A579" s="50" t="s">
        <v>14415</v>
      </c>
      <c r="B579" s="50" t="s">
        <v>6876</v>
      </c>
      <c r="C579" s="50" t="s">
        <v>6877</v>
      </c>
      <c r="D579" s="50" t="s">
        <v>11623</v>
      </c>
      <c r="E579" s="144">
        <v>43815.0</v>
      </c>
      <c r="F579" s="50" t="s">
        <v>14417</v>
      </c>
      <c r="G579" s="50">
        <v>59.0</v>
      </c>
      <c r="H579" s="50">
        <v>1.0</v>
      </c>
      <c r="I579" s="50">
        <v>11.0</v>
      </c>
      <c r="J579" s="116"/>
      <c r="K579" s="116"/>
      <c r="L579" s="50" t="s">
        <v>1845</v>
      </c>
      <c r="M579" s="50" t="s">
        <v>1845</v>
      </c>
      <c r="N579" s="50" t="s">
        <v>14384</v>
      </c>
      <c r="O579" s="50" t="s">
        <v>14418</v>
      </c>
      <c r="P579" s="50" t="s">
        <v>14419</v>
      </c>
      <c r="Q579" s="50" t="s">
        <v>14420</v>
      </c>
      <c r="R579" s="116"/>
      <c r="S579" s="116"/>
      <c r="T579" s="116"/>
      <c r="U579" s="116"/>
      <c r="V579" s="116"/>
      <c r="W579" s="50">
        <v>3.0</v>
      </c>
      <c r="X579" s="50">
        <v>1.0</v>
      </c>
      <c r="Y579" s="50">
        <v>1.0</v>
      </c>
      <c r="Z579" s="116"/>
      <c r="AA579" s="50">
        <v>2.0</v>
      </c>
      <c r="AB579" s="50">
        <v>1.0</v>
      </c>
      <c r="AC579" s="50">
        <v>3.0</v>
      </c>
      <c r="AD579" s="50">
        <v>52.0</v>
      </c>
      <c r="AE579" s="50">
        <v>1.0</v>
      </c>
      <c r="AF579" s="50">
        <v>1.0</v>
      </c>
      <c r="AG579" s="50">
        <v>1.0</v>
      </c>
      <c r="AH579" s="50">
        <v>3.0</v>
      </c>
      <c r="AI579" s="50">
        <v>5.0</v>
      </c>
      <c r="AJ579" s="116"/>
      <c r="AK579" s="50" t="s">
        <v>14421</v>
      </c>
      <c r="AL579" s="50">
        <v>4.0</v>
      </c>
      <c r="AM579" s="50">
        <v>1.0</v>
      </c>
      <c r="AN579" s="50" t="s">
        <v>10629</v>
      </c>
      <c r="AO579" s="117">
        <v>6334.0</v>
      </c>
      <c r="AP579" s="50" t="s">
        <v>14422</v>
      </c>
      <c r="AQ579" s="50" t="s">
        <v>14423</v>
      </c>
      <c r="AR579" s="117">
        <v>579.0</v>
      </c>
    </row>
    <row r="580">
      <c r="A580" s="50" t="s">
        <v>14417</v>
      </c>
      <c r="B580" s="50" t="s">
        <v>6876</v>
      </c>
      <c r="C580" s="50" t="s">
        <v>6877</v>
      </c>
      <c r="D580" s="50" t="s">
        <v>11623</v>
      </c>
      <c r="E580" s="144">
        <v>43815.0</v>
      </c>
      <c r="F580" s="50" t="s">
        <v>14424</v>
      </c>
      <c r="G580" s="50">
        <v>59.0</v>
      </c>
      <c r="H580" s="50">
        <v>1.0</v>
      </c>
      <c r="I580" s="50">
        <v>99.0</v>
      </c>
      <c r="J580" s="116"/>
      <c r="K580" s="116"/>
      <c r="L580" s="50" t="s">
        <v>1846</v>
      </c>
      <c r="M580" s="50" t="s">
        <v>1846</v>
      </c>
      <c r="N580" s="50" t="s">
        <v>14384</v>
      </c>
      <c r="O580" s="50" t="s">
        <v>14425</v>
      </c>
      <c r="P580" s="50" t="s">
        <v>14426</v>
      </c>
      <c r="Q580" s="50" t="s">
        <v>14420</v>
      </c>
      <c r="R580" s="116"/>
      <c r="S580" s="116"/>
      <c r="T580" s="116"/>
      <c r="U580" s="116"/>
      <c r="V580" s="116"/>
      <c r="W580" s="50">
        <v>7.0</v>
      </c>
      <c r="X580" s="50">
        <v>100.0</v>
      </c>
      <c r="Y580" s="50">
        <v>3.0</v>
      </c>
      <c r="Z580" s="50">
        <v>0.0</v>
      </c>
      <c r="AA580" s="116"/>
      <c r="AB580" s="116"/>
      <c r="AC580" s="116"/>
      <c r="AD580" s="116"/>
      <c r="AE580" s="116"/>
      <c r="AF580" s="116"/>
      <c r="AG580" s="116"/>
      <c r="AH580" s="116"/>
      <c r="AI580" s="116"/>
      <c r="AJ580" s="116"/>
      <c r="AK580" s="50" t="s">
        <v>14427</v>
      </c>
      <c r="AL580" s="50">
        <v>4.0</v>
      </c>
      <c r="AM580" s="50">
        <v>1.0</v>
      </c>
      <c r="AN580" s="50" t="s">
        <v>10629</v>
      </c>
      <c r="AO580" s="117">
        <v>6335.0</v>
      </c>
      <c r="AP580" s="50" t="s">
        <v>14428</v>
      </c>
      <c r="AQ580" s="50" t="s">
        <v>14429</v>
      </c>
      <c r="AR580" s="117">
        <v>580.0</v>
      </c>
    </row>
    <row r="581">
      <c r="A581" s="50" t="s">
        <v>14424</v>
      </c>
      <c r="B581" s="50" t="s">
        <v>6876</v>
      </c>
      <c r="C581" s="50" t="s">
        <v>6877</v>
      </c>
      <c r="D581" s="50" t="s">
        <v>11623</v>
      </c>
      <c r="E581" s="144">
        <v>43815.0</v>
      </c>
      <c r="F581" s="50" t="s">
        <v>14430</v>
      </c>
      <c r="G581" s="50">
        <v>59.0</v>
      </c>
      <c r="H581" s="50">
        <v>1.0</v>
      </c>
      <c r="I581" s="50">
        <v>11.0</v>
      </c>
      <c r="J581" s="116"/>
      <c r="K581" s="116"/>
      <c r="L581" s="50" t="s">
        <v>1848</v>
      </c>
      <c r="M581" s="50" t="s">
        <v>1848</v>
      </c>
      <c r="N581" s="50" t="s">
        <v>14384</v>
      </c>
      <c r="O581" s="50" t="s">
        <v>14418</v>
      </c>
      <c r="P581" s="50" t="s">
        <v>14419</v>
      </c>
      <c r="Q581" s="50" t="s">
        <v>14420</v>
      </c>
      <c r="R581" s="116"/>
      <c r="S581" s="116"/>
      <c r="T581" s="116"/>
      <c r="U581" s="116"/>
      <c r="V581" s="116"/>
      <c r="W581" s="50">
        <v>3.0</v>
      </c>
      <c r="X581" s="50">
        <v>1.0</v>
      </c>
      <c r="Y581" s="50">
        <v>3.0</v>
      </c>
      <c r="Z581" s="50">
        <v>3.0</v>
      </c>
      <c r="AA581" s="50">
        <v>2.0</v>
      </c>
      <c r="AB581" s="50">
        <v>1.0</v>
      </c>
      <c r="AC581" s="50">
        <v>3.0</v>
      </c>
      <c r="AD581" s="50">
        <v>1.0</v>
      </c>
      <c r="AE581" s="50">
        <v>1.0</v>
      </c>
      <c r="AF581" s="50">
        <v>1.0</v>
      </c>
      <c r="AG581" s="50">
        <v>1.0</v>
      </c>
      <c r="AH581" s="50">
        <v>3.0</v>
      </c>
      <c r="AI581" s="50">
        <v>0.0</v>
      </c>
      <c r="AJ581" s="116"/>
      <c r="AK581" s="50" t="s">
        <v>14434</v>
      </c>
      <c r="AL581" s="50">
        <v>4.0</v>
      </c>
      <c r="AM581" s="50">
        <v>1.0</v>
      </c>
      <c r="AN581" s="50" t="s">
        <v>10629</v>
      </c>
      <c r="AO581" s="117">
        <v>6336.0</v>
      </c>
      <c r="AP581" s="50" t="s">
        <v>14436</v>
      </c>
      <c r="AQ581" s="50" t="s">
        <v>14437</v>
      </c>
      <c r="AR581" s="117">
        <v>581.0</v>
      </c>
    </row>
    <row r="582">
      <c r="A582" s="50" t="s">
        <v>14430</v>
      </c>
      <c r="B582" s="50" t="s">
        <v>6876</v>
      </c>
      <c r="C582" s="50" t="s">
        <v>6877</v>
      </c>
      <c r="D582" s="50" t="s">
        <v>11623</v>
      </c>
      <c r="E582" s="144">
        <v>43815.0</v>
      </c>
      <c r="F582" s="50" t="s">
        <v>14438</v>
      </c>
      <c r="G582" s="50">
        <v>59.0</v>
      </c>
      <c r="H582" s="50">
        <v>1.0</v>
      </c>
      <c r="I582" s="50">
        <v>99.0</v>
      </c>
      <c r="J582" s="116"/>
      <c r="K582" s="116"/>
      <c r="L582" s="50" t="s">
        <v>1849</v>
      </c>
      <c r="M582" s="50" t="s">
        <v>1849</v>
      </c>
      <c r="N582" s="50" t="s">
        <v>14384</v>
      </c>
      <c r="O582" s="50" t="s">
        <v>14425</v>
      </c>
      <c r="P582" s="50" t="s">
        <v>14426</v>
      </c>
      <c r="Q582" s="50" t="s">
        <v>14420</v>
      </c>
      <c r="R582" s="116"/>
      <c r="S582" s="116"/>
      <c r="T582" s="116"/>
      <c r="U582" s="116"/>
      <c r="V582" s="116"/>
      <c r="W582" s="50">
        <v>7.0</v>
      </c>
      <c r="X582" s="50">
        <v>100.0</v>
      </c>
      <c r="Y582" s="50">
        <v>3.0</v>
      </c>
      <c r="Z582" s="50">
        <v>0.0</v>
      </c>
      <c r="AA582" s="116"/>
      <c r="AB582" s="116"/>
      <c r="AC582" s="116"/>
      <c r="AD582" s="116"/>
      <c r="AE582" s="116"/>
      <c r="AF582" s="116"/>
      <c r="AG582" s="116"/>
      <c r="AH582" s="116"/>
      <c r="AI582" s="116"/>
      <c r="AJ582" s="116"/>
      <c r="AK582" s="50" t="s">
        <v>14439</v>
      </c>
      <c r="AL582" s="50">
        <v>4.0</v>
      </c>
      <c r="AM582" s="50">
        <v>1.0</v>
      </c>
      <c r="AN582" s="50" t="s">
        <v>10629</v>
      </c>
      <c r="AO582" s="117">
        <v>6337.0</v>
      </c>
      <c r="AP582" s="50" t="s">
        <v>14441</v>
      </c>
      <c r="AQ582" s="50" t="s">
        <v>14442</v>
      </c>
      <c r="AR582" s="117">
        <v>582.0</v>
      </c>
    </row>
    <row r="583">
      <c r="A583" s="50" t="s">
        <v>14438</v>
      </c>
      <c r="B583" s="50" t="s">
        <v>6876</v>
      </c>
      <c r="C583" s="50" t="s">
        <v>6877</v>
      </c>
      <c r="D583" s="50" t="s">
        <v>11623</v>
      </c>
      <c r="E583" s="144">
        <v>43815.0</v>
      </c>
      <c r="F583" s="50" t="s">
        <v>14444</v>
      </c>
      <c r="G583" s="50">
        <v>59.0</v>
      </c>
      <c r="H583" s="50">
        <v>1.0</v>
      </c>
      <c r="I583" s="50">
        <v>11.0</v>
      </c>
      <c r="J583" s="116"/>
      <c r="K583" s="116"/>
      <c r="L583" s="50" t="s">
        <v>1851</v>
      </c>
      <c r="M583" s="50" t="s">
        <v>1851</v>
      </c>
      <c r="N583" s="50" t="s">
        <v>14384</v>
      </c>
      <c r="O583" s="50" t="s">
        <v>14418</v>
      </c>
      <c r="P583" s="50" t="s">
        <v>14419</v>
      </c>
      <c r="Q583" s="50" t="s">
        <v>14420</v>
      </c>
      <c r="R583" s="116"/>
      <c r="S583" s="116"/>
      <c r="T583" s="116"/>
      <c r="U583" s="116"/>
      <c r="V583" s="116"/>
      <c r="W583" s="50">
        <v>3.0</v>
      </c>
      <c r="X583" s="50">
        <v>1.0</v>
      </c>
      <c r="Y583" s="50">
        <v>3.0</v>
      </c>
      <c r="Z583" s="50">
        <v>64.0</v>
      </c>
      <c r="AA583" s="50">
        <v>2.0</v>
      </c>
      <c r="AB583" s="50">
        <v>1.0</v>
      </c>
      <c r="AC583" s="50">
        <v>3.0</v>
      </c>
      <c r="AD583" s="50">
        <v>8.0</v>
      </c>
      <c r="AE583" s="50">
        <v>1.0</v>
      </c>
      <c r="AF583" s="50">
        <v>1.0</v>
      </c>
      <c r="AG583" s="50">
        <v>1.0</v>
      </c>
      <c r="AH583" s="50">
        <v>3.0</v>
      </c>
      <c r="AI583" s="50">
        <v>3.0</v>
      </c>
      <c r="AJ583" s="116"/>
      <c r="AK583" s="50" t="s">
        <v>14453</v>
      </c>
      <c r="AL583" s="50">
        <v>4.0</v>
      </c>
      <c r="AM583" s="50">
        <v>1.0</v>
      </c>
      <c r="AN583" s="50" t="s">
        <v>10629</v>
      </c>
      <c r="AO583" s="117">
        <v>6338.0</v>
      </c>
      <c r="AP583" s="50" t="s">
        <v>14456</v>
      </c>
      <c r="AQ583" s="50" t="s">
        <v>14458</v>
      </c>
      <c r="AR583" s="117">
        <v>583.0</v>
      </c>
    </row>
    <row r="584">
      <c r="A584" s="50" t="s">
        <v>14444</v>
      </c>
      <c r="B584" s="50" t="s">
        <v>6876</v>
      </c>
      <c r="C584" s="50" t="s">
        <v>6877</v>
      </c>
      <c r="D584" s="50" t="s">
        <v>11623</v>
      </c>
      <c r="E584" s="144">
        <v>43815.0</v>
      </c>
      <c r="F584" s="50" t="s">
        <v>14460</v>
      </c>
      <c r="G584" s="50">
        <v>59.0</v>
      </c>
      <c r="H584" s="50">
        <v>1.0</v>
      </c>
      <c r="I584" s="50">
        <v>99.0</v>
      </c>
      <c r="J584" s="116"/>
      <c r="K584" s="116"/>
      <c r="L584" s="50" t="s">
        <v>1852</v>
      </c>
      <c r="M584" s="50" t="s">
        <v>1852</v>
      </c>
      <c r="N584" s="50" t="s">
        <v>14384</v>
      </c>
      <c r="O584" s="50" t="s">
        <v>14425</v>
      </c>
      <c r="P584" s="50" t="s">
        <v>14426</v>
      </c>
      <c r="Q584" s="50" t="s">
        <v>14420</v>
      </c>
      <c r="R584" s="116"/>
      <c r="S584" s="116"/>
      <c r="T584" s="116"/>
      <c r="U584" s="116"/>
      <c r="V584" s="116"/>
      <c r="W584" s="50">
        <v>7.0</v>
      </c>
      <c r="X584" s="50">
        <v>100.0</v>
      </c>
      <c r="Y584" s="50">
        <v>3.0</v>
      </c>
      <c r="Z584" s="50">
        <v>0.0</v>
      </c>
      <c r="AA584" s="116"/>
      <c r="AB584" s="116"/>
      <c r="AC584" s="116"/>
      <c r="AD584" s="116"/>
      <c r="AE584" s="116"/>
      <c r="AF584" s="116"/>
      <c r="AG584" s="116"/>
      <c r="AH584" s="116"/>
      <c r="AI584" s="116"/>
      <c r="AJ584" s="116"/>
      <c r="AK584" s="50" t="s">
        <v>14464</v>
      </c>
      <c r="AL584" s="50">
        <v>4.0</v>
      </c>
      <c r="AM584" s="50">
        <v>1.0</v>
      </c>
      <c r="AN584" s="50" t="s">
        <v>10629</v>
      </c>
      <c r="AO584" s="117">
        <v>6339.0</v>
      </c>
      <c r="AP584" s="50" t="s">
        <v>14466</v>
      </c>
      <c r="AQ584" s="50" t="s">
        <v>14467</v>
      </c>
      <c r="AR584" s="117">
        <v>584.0</v>
      </c>
    </row>
    <row r="585">
      <c r="A585" s="50" t="s">
        <v>14460</v>
      </c>
      <c r="B585" s="50" t="s">
        <v>6876</v>
      </c>
      <c r="C585" s="50" t="s">
        <v>6877</v>
      </c>
      <c r="D585" s="50" t="s">
        <v>11623</v>
      </c>
      <c r="E585" s="144">
        <v>43815.0</v>
      </c>
      <c r="F585" s="50" t="s">
        <v>14468</v>
      </c>
      <c r="G585" s="50">
        <v>59.0</v>
      </c>
      <c r="H585" s="50">
        <v>1.0</v>
      </c>
      <c r="I585" s="50">
        <v>11.0</v>
      </c>
      <c r="J585" s="116"/>
      <c r="K585" s="116"/>
      <c r="L585" s="50" t="s">
        <v>1854</v>
      </c>
      <c r="M585" s="50" t="s">
        <v>1854</v>
      </c>
      <c r="N585" s="50" t="s">
        <v>14384</v>
      </c>
      <c r="O585" s="50" t="s">
        <v>14418</v>
      </c>
      <c r="P585" s="50" t="s">
        <v>14419</v>
      </c>
      <c r="Q585" s="50" t="s">
        <v>14420</v>
      </c>
      <c r="R585" s="116"/>
      <c r="S585" s="116"/>
      <c r="T585" s="116"/>
      <c r="U585" s="116"/>
      <c r="V585" s="116"/>
      <c r="W585" s="50">
        <v>3.0</v>
      </c>
      <c r="X585" s="50">
        <v>1.0</v>
      </c>
      <c r="Y585" s="50">
        <v>3.0</v>
      </c>
      <c r="Z585" s="50">
        <v>42.0</v>
      </c>
      <c r="AA585" s="50">
        <v>2.0</v>
      </c>
      <c r="AB585" s="50">
        <v>1.0</v>
      </c>
      <c r="AC585" s="50">
        <v>3.0</v>
      </c>
      <c r="AD585" s="50">
        <v>1.0</v>
      </c>
      <c r="AE585" s="50">
        <v>1.0</v>
      </c>
      <c r="AF585" s="50">
        <v>1.0</v>
      </c>
      <c r="AG585" s="50">
        <v>1.0</v>
      </c>
      <c r="AH585" s="50">
        <v>3.0</v>
      </c>
      <c r="AI585" s="50">
        <v>0.0</v>
      </c>
      <c r="AJ585" s="116"/>
      <c r="AK585" s="50" t="s">
        <v>14472</v>
      </c>
      <c r="AL585" s="50">
        <v>4.0</v>
      </c>
      <c r="AM585" s="50">
        <v>1.0</v>
      </c>
      <c r="AN585" s="50" t="s">
        <v>10629</v>
      </c>
      <c r="AO585" s="117">
        <v>6340.0</v>
      </c>
      <c r="AP585" s="50" t="s">
        <v>14473</v>
      </c>
      <c r="AQ585" s="50" t="s">
        <v>14474</v>
      </c>
      <c r="AR585" s="117">
        <v>585.0</v>
      </c>
    </row>
    <row r="586">
      <c r="A586" s="50" t="s">
        <v>14475</v>
      </c>
      <c r="B586" s="50" t="s">
        <v>6876</v>
      </c>
      <c r="C586" s="50" t="s">
        <v>6877</v>
      </c>
      <c r="D586" s="50" t="s">
        <v>11623</v>
      </c>
      <c r="E586" s="144">
        <v>43815.0</v>
      </c>
      <c r="F586" s="50" t="s">
        <v>14476</v>
      </c>
      <c r="G586" s="50">
        <v>59.0</v>
      </c>
      <c r="H586" s="50">
        <v>1.0</v>
      </c>
      <c r="I586" s="50">
        <v>99.0</v>
      </c>
      <c r="J586" s="116"/>
      <c r="K586" s="116"/>
      <c r="L586" s="50" t="s">
        <v>1855</v>
      </c>
      <c r="M586" s="50" t="s">
        <v>1855</v>
      </c>
      <c r="N586" s="50" t="s">
        <v>14384</v>
      </c>
      <c r="O586" s="50" t="s">
        <v>14425</v>
      </c>
      <c r="P586" s="50" t="s">
        <v>14426</v>
      </c>
      <c r="Q586" s="50" t="s">
        <v>14420</v>
      </c>
      <c r="R586" s="116"/>
      <c r="S586" s="116"/>
      <c r="T586" s="116"/>
      <c r="U586" s="116"/>
      <c r="V586" s="116"/>
      <c r="W586" s="50">
        <v>7.0</v>
      </c>
      <c r="X586" s="50">
        <v>100.0</v>
      </c>
      <c r="Y586" s="50">
        <v>3.0</v>
      </c>
      <c r="Z586" s="50">
        <v>0.0</v>
      </c>
      <c r="AA586" s="116"/>
      <c r="AB586" s="116"/>
      <c r="AC586" s="116"/>
      <c r="AD586" s="116"/>
      <c r="AE586" s="116"/>
      <c r="AF586" s="116"/>
      <c r="AG586" s="116"/>
      <c r="AH586" s="116"/>
      <c r="AI586" s="116"/>
      <c r="AJ586" s="116"/>
      <c r="AK586" s="50" t="s">
        <v>14480</v>
      </c>
      <c r="AL586" s="50">
        <v>4.0</v>
      </c>
      <c r="AM586" s="50">
        <v>1.0</v>
      </c>
      <c r="AN586" s="50" t="s">
        <v>10629</v>
      </c>
      <c r="AO586" s="117">
        <v>6341.0</v>
      </c>
      <c r="AP586" s="50" t="s">
        <v>14481</v>
      </c>
      <c r="AQ586" s="50" t="s">
        <v>14482</v>
      </c>
      <c r="AR586" s="117">
        <v>586.0</v>
      </c>
    </row>
    <row r="587">
      <c r="A587" s="50" t="s">
        <v>14476</v>
      </c>
      <c r="B587" s="50" t="s">
        <v>6876</v>
      </c>
      <c r="C587" s="50" t="s">
        <v>6877</v>
      </c>
      <c r="D587" s="50" t="s">
        <v>11623</v>
      </c>
      <c r="E587" s="144">
        <v>43815.0</v>
      </c>
      <c r="F587" s="50" t="s">
        <v>14485</v>
      </c>
      <c r="G587" s="50">
        <v>33.0</v>
      </c>
      <c r="H587" s="50">
        <v>1.0</v>
      </c>
      <c r="I587" s="50">
        <v>98.0</v>
      </c>
      <c r="J587" s="116"/>
      <c r="K587" s="116"/>
      <c r="L587" s="50" t="s">
        <v>1857</v>
      </c>
      <c r="M587" s="50" t="s">
        <v>1857</v>
      </c>
      <c r="N587" s="50" t="s">
        <v>14384</v>
      </c>
      <c r="O587" s="50" t="s">
        <v>14425</v>
      </c>
      <c r="P587" s="50" t="s">
        <v>14426</v>
      </c>
      <c r="Q587" s="50" t="s">
        <v>14420</v>
      </c>
      <c r="R587" s="116"/>
      <c r="S587" s="116"/>
      <c r="T587" s="116"/>
      <c r="U587" s="116"/>
      <c r="V587" s="116"/>
      <c r="W587" s="50">
        <v>7.0</v>
      </c>
      <c r="X587" s="50">
        <v>100.0</v>
      </c>
      <c r="Y587" s="50">
        <v>3.0</v>
      </c>
      <c r="Z587" s="50">
        <v>0.0</v>
      </c>
      <c r="AA587" s="116"/>
      <c r="AB587" s="116"/>
      <c r="AC587" s="116"/>
      <c r="AD587" s="116"/>
      <c r="AE587" s="116"/>
      <c r="AF587" s="116"/>
      <c r="AG587" s="116"/>
      <c r="AH587" s="116"/>
      <c r="AI587" s="116"/>
      <c r="AJ587" s="116"/>
      <c r="AK587" s="50" t="s">
        <v>11376</v>
      </c>
      <c r="AL587" s="50">
        <v>4.0</v>
      </c>
      <c r="AM587" s="50">
        <v>1.0</v>
      </c>
      <c r="AN587" s="50" t="s">
        <v>10629</v>
      </c>
      <c r="AO587" s="117">
        <v>6342.0</v>
      </c>
      <c r="AP587" s="50" t="s">
        <v>14492</v>
      </c>
      <c r="AQ587" s="50" t="s">
        <v>14493</v>
      </c>
      <c r="AR587" s="117">
        <v>587.0</v>
      </c>
    </row>
    <row r="588">
      <c r="A588" s="50" t="s">
        <v>14494</v>
      </c>
      <c r="B588" s="50" t="s">
        <v>6876</v>
      </c>
      <c r="C588" s="50" t="s">
        <v>6877</v>
      </c>
      <c r="D588" s="50" t="s">
        <v>11623</v>
      </c>
      <c r="E588" s="144">
        <v>43818.0</v>
      </c>
      <c r="F588" s="50" t="s">
        <v>14495</v>
      </c>
      <c r="G588" s="50">
        <v>59.0</v>
      </c>
      <c r="H588" s="50">
        <v>1.0</v>
      </c>
      <c r="I588" s="50">
        <v>11.0</v>
      </c>
      <c r="J588" s="116"/>
      <c r="K588" s="116"/>
      <c r="L588" s="50" t="s">
        <v>1860</v>
      </c>
      <c r="M588" s="50" t="s">
        <v>1860</v>
      </c>
      <c r="N588" s="50" t="s">
        <v>14497</v>
      </c>
      <c r="O588" s="50" t="s">
        <v>14498</v>
      </c>
      <c r="P588" s="50" t="s">
        <v>14499</v>
      </c>
      <c r="Q588" s="50" t="s">
        <v>14500</v>
      </c>
      <c r="R588" s="116"/>
      <c r="S588" s="116"/>
      <c r="T588" s="116"/>
      <c r="U588" s="116"/>
      <c r="V588" s="116"/>
      <c r="W588" s="50">
        <v>3.0</v>
      </c>
      <c r="X588" s="50">
        <v>1.0</v>
      </c>
      <c r="Y588" s="50">
        <v>3.0</v>
      </c>
      <c r="Z588" s="50">
        <v>53.0</v>
      </c>
      <c r="AA588" s="50">
        <v>2.0</v>
      </c>
      <c r="AB588" s="50">
        <v>1.0</v>
      </c>
      <c r="AC588" s="50">
        <v>3.0</v>
      </c>
      <c r="AD588" s="50">
        <v>5.0</v>
      </c>
      <c r="AE588" s="50">
        <v>1.0</v>
      </c>
      <c r="AF588" s="50">
        <v>1.0</v>
      </c>
      <c r="AG588" s="50">
        <v>1.0</v>
      </c>
      <c r="AH588" s="50">
        <v>3.0</v>
      </c>
      <c r="AI588" s="50">
        <v>0.0</v>
      </c>
      <c r="AJ588" s="116"/>
      <c r="AK588" s="50" t="s">
        <v>14503</v>
      </c>
      <c r="AL588" s="50">
        <v>6.0</v>
      </c>
      <c r="AM588" s="50">
        <v>1.0</v>
      </c>
      <c r="AN588" s="50" t="s">
        <v>10629</v>
      </c>
      <c r="AO588" s="117">
        <v>6527.0</v>
      </c>
      <c r="AP588" s="50" t="s">
        <v>14504</v>
      </c>
      <c r="AQ588" s="50" t="s">
        <v>14505</v>
      </c>
      <c r="AR588" s="117">
        <v>588.0</v>
      </c>
    </row>
    <row r="589">
      <c r="A589" s="50" t="s">
        <v>14495</v>
      </c>
      <c r="B589" s="50" t="s">
        <v>6876</v>
      </c>
      <c r="C589" s="50" t="s">
        <v>6877</v>
      </c>
      <c r="D589" s="50" t="s">
        <v>11623</v>
      </c>
      <c r="E589" s="144">
        <v>43818.0</v>
      </c>
      <c r="F589" s="50" t="s">
        <v>14507</v>
      </c>
      <c r="G589" s="50">
        <v>59.0</v>
      </c>
      <c r="H589" s="50">
        <v>1.0</v>
      </c>
      <c r="I589" s="50">
        <v>99.0</v>
      </c>
      <c r="J589" s="116"/>
      <c r="K589" s="116"/>
      <c r="L589" s="50" t="s">
        <v>1861</v>
      </c>
      <c r="M589" s="50" t="s">
        <v>1861</v>
      </c>
      <c r="N589" s="50" t="s">
        <v>14497</v>
      </c>
      <c r="O589" s="50" t="s">
        <v>14508</v>
      </c>
      <c r="P589" s="50" t="s">
        <v>14499</v>
      </c>
      <c r="Q589" s="50" t="s">
        <v>14500</v>
      </c>
      <c r="R589" s="116"/>
      <c r="S589" s="116"/>
      <c r="T589" s="116"/>
      <c r="U589" s="116"/>
      <c r="V589" s="116"/>
      <c r="W589" s="50">
        <v>7.0</v>
      </c>
      <c r="X589" s="50">
        <v>100.0</v>
      </c>
      <c r="Y589" s="50">
        <v>3.0</v>
      </c>
      <c r="Z589" s="50">
        <v>0.0</v>
      </c>
      <c r="AA589" s="116"/>
      <c r="AB589" s="116"/>
      <c r="AC589" s="116"/>
      <c r="AD589" s="116"/>
      <c r="AE589" s="116"/>
      <c r="AF589" s="116"/>
      <c r="AG589" s="116"/>
      <c r="AH589" s="116"/>
      <c r="AI589" s="116"/>
      <c r="AJ589" s="116"/>
      <c r="AK589" s="50" t="s">
        <v>14511</v>
      </c>
      <c r="AL589" s="50">
        <v>6.0</v>
      </c>
      <c r="AM589" s="50">
        <v>1.0</v>
      </c>
      <c r="AN589" s="50" t="s">
        <v>10629</v>
      </c>
      <c r="AO589" s="117">
        <v>6528.0</v>
      </c>
      <c r="AP589" s="50" t="s">
        <v>14514</v>
      </c>
      <c r="AQ589" s="50" t="s">
        <v>14516</v>
      </c>
      <c r="AR589" s="117">
        <v>589.0</v>
      </c>
    </row>
    <row r="590">
      <c r="A590" s="50" t="s">
        <v>14517</v>
      </c>
      <c r="B590" s="50" t="s">
        <v>6876</v>
      </c>
      <c r="C590" s="50" t="s">
        <v>6877</v>
      </c>
      <c r="D590" s="50" t="s">
        <v>11623</v>
      </c>
      <c r="E590" s="144">
        <v>43818.0</v>
      </c>
      <c r="F590" s="50" t="s">
        <v>14519</v>
      </c>
      <c r="G590" s="50">
        <v>59.0</v>
      </c>
      <c r="H590" s="50">
        <v>1.0</v>
      </c>
      <c r="I590" s="50">
        <v>11.0</v>
      </c>
      <c r="J590" s="116"/>
      <c r="K590" s="116"/>
      <c r="L590" s="50" t="s">
        <v>1863</v>
      </c>
      <c r="M590" s="50" t="s">
        <v>1863</v>
      </c>
      <c r="N590" s="50" t="s">
        <v>14497</v>
      </c>
      <c r="O590" s="50" t="s">
        <v>14498</v>
      </c>
      <c r="P590" s="50" t="s">
        <v>14499</v>
      </c>
      <c r="Q590" s="50" t="s">
        <v>14500</v>
      </c>
      <c r="R590" s="116"/>
      <c r="S590" s="116"/>
      <c r="T590" s="116"/>
      <c r="U590" s="116"/>
      <c r="V590" s="116"/>
      <c r="W590" s="50">
        <v>3.0</v>
      </c>
      <c r="X590" s="50">
        <v>1.0</v>
      </c>
      <c r="Y590" s="50">
        <v>1.0</v>
      </c>
      <c r="Z590" s="116"/>
      <c r="AA590" s="50">
        <v>2.0</v>
      </c>
      <c r="AB590" s="50">
        <v>1.0</v>
      </c>
      <c r="AC590" s="50">
        <v>3.0</v>
      </c>
      <c r="AD590" s="50">
        <v>30.0</v>
      </c>
      <c r="AE590" s="50">
        <v>1.0</v>
      </c>
      <c r="AF590" s="50">
        <v>1.0</v>
      </c>
      <c r="AG590" s="50">
        <v>1.0</v>
      </c>
      <c r="AH590" s="50">
        <v>3.0</v>
      </c>
      <c r="AI590" s="50">
        <v>2.0</v>
      </c>
      <c r="AJ590" s="116"/>
      <c r="AK590" s="50" t="s">
        <v>14525</v>
      </c>
      <c r="AL590" s="50">
        <v>6.0</v>
      </c>
      <c r="AM590" s="50">
        <v>1.0</v>
      </c>
      <c r="AN590" s="50" t="s">
        <v>10629</v>
      </c>
      <c r="AO590" s="117">
        <v>6529.0</v>
      </c>
      <c r="AP590" s="50" t="s">
        <v>14526</v>
      </c>
      <c r="AQ590" s="50" t="s">
        <v>14527</v>
      </c>
      <c r="AR590" s="117">
        <v>590.0</v>
      </c>
    </row>
    <row r="591">
      <c r="A591" s="50" t="s">
        <v>14519</v>
      </c>
      <c r="B591" s="50" t="s">
        <v>6876</v>
      </c>
      <c r="C591" s="50" t="s">
        <v>6877</v>
      </c>
      <c r="D591" s="50" t="s">
        <v>11623</v>
      </c>
      <c r="E591" s="144">
        <v>43818.0</v>
      </c>
      <c r="F591" s="50" t="s">
        <v>14529</v>
      </c>
      <c r="G591" s="50">
        <v>59.0</v>
      </c>
      <c r="H591" s="50">
        <v>1.0</v>
      </c>
      <c r="I591" s="50">
        <v>99.0</v>
      </c>
      <c r="J591" s="116"/>
      <c r="K591" s="116"/>
      <c r="L591" s="50" t="s">
        <v>1864</v>
      </c>
      <c r="M591" s="50" t="s">
        <v>1864</v>
      </c>
      <c r="N591" s="50" t="s">
        <v>14497</v>
      </c>
      <c r="O591" s="50" t="s">
        <v>14508</v>
      </c>
      <c r="P591" s="50" t="s">
        <v>14499</v>
      </c>
      <c r="Q591" s="50" t="s">
        <v>14500</v>
      </c>
      <c r="R591" s="116"/>
      <c r="S591" s="116"/>
      <c r="T591" s="116"/>
      <c r="U591" s="116"/>
      <c r="V591" s="116"/>
      <c r="W591" s="50">
        <v>7.0</v>
      </c>
      <c r="X591" s="50">
        <v>100.0</v>
      </c>
      <c r="Y591" s="50">
        <v>3.0</v>
      </c>
      <c r="Z591" s="50">
        <v>0.0</v>
      </c>
      <c r="AA591" s="116"/>
      <c r="AB591" s="116"/>
      <c r="AC591" s="116"/>
      <c r="AD591" s="116"/>
      <c r="AE591" s="116"/>
      <c r="AF591" s="116"/>
      <c r="AG591" s="116"/>
      <c r="AH591" s="116"/>
      <c r="AI591" s="116"/>
      <c r="AJ591" s="116"/>
      <c r="AK591" s="50" t="s">
        <v>14532</v>
      </c>
      <c r="AL591" s="50">
        <v>6.0</v>
      </c>
      <c r="AM591" s="50">
        <v>1.0</v>
      </c>
      <c r="AN591" s="50" t="s">
        <v>10629</v>
      </c>
      <c r="AO591" s="117">
        <v>6530.0</v>
      </c>
      <c r="AP591" s="50" t="s">
        <v>14534</v>
      </c>
      <c r="AQ591" s="50" t="s">
        <v>14535</v>
      </c>
      <c r="AR591" s="117">
        <v>591.0</v>
      </c>
    </row>
    <row r="592">
      <c r="A592" s="50" t="s">
        <v>14529</v>
      </c>
      <c r="B592" s="50" t="s">
        <v>6876</v>
      </c>
      <c r="C592" s="50" t="s">
        <v>6877</v>
      </c>
      <c r="D592" s="50" t="s">
        <v>11623</v>
      </c>
      <c r="E592" s="144">
        <v>43818.0</v>
      </c>
      <c r="F592" s="50" t="s">
        <v>14539</v>
      </c>
      <c r="G592" s="50">
        <v>59.0</v>
      </c>
      <c r="H592" s="50">
        <v>1.0</v>
      </c>
      <c r="I592" s="50">
        <v>11.0</v>
      </c>
      <c r="J592" s="116"/>
      <c r="K592" s="116"/>
      <c r="L592" s="50" t="s">
        <v>1866</v>
      </c>
      <c r="M592" s="50" t="s">
        <v>1866</v>
      </c>
      <c r="N592" s="50" t="s">
        <v>14497</v>
      </c>
      <c r="O592" s="50" t="s">
        <v>14498</v>
      </c>
      <c r="P592" s="50" t="s">
        <v>14499</v>
      </c>
      <c r="Q592" s="50" t="s">
        <v>14500</v>
      </c>
      <c r="R592" s="116"/>
      <c r="S592" s="116"/>
      <c r="T592" s="116"/>
      <c r="U592" s="116"/>
      <c r="V592" s="116"/>
      <c r="W592" s="50">
        <v>3.0</v>
      </c>
      <c r="X592" s="50">
        <v>1.0</v>
      </c>
      <c r="Y592" s="50">
        <v>3.0</v>
      </c>
      <c r="Z592" s="50">
        <v>75.0</v>
      </c>
      <c r="AA592" s="50">
        <v>2.0</v>
      </c>
      <c r="AB592" s="50">
        <v>1.0</v>
      </c>
      <c r="AC592" s="50">
        <v>3.0</v>
      </c>
      <c r="AD592" s="50">
        <v>10.0</v>
      </c>
      <c r="AE592" s="50">
        <v>1.0</v>
      </c>
      <c r="AF592" s="50">
        <v>1.0</v>
      </c>
      <c r="AG592" s="50">
        <v>1.0</v>
      </c>
      <c r="AH592" s="50">
        <v>3.0</v>
      </c>
      <c r="AI592" s="50">
        <v>3.0</v>
      </c>
      <c r="AJ592" s="116"/>
      <c r="AK592" s="50" t="s">
        <v>14543</v>
      </c>
      <c r="AL592" s="50">
        <v>6.0</v>
      </c>
      <c r="AM592" s="50">
        <v>1.0</v>
      </c>
      <c r="AN592" s="50" t="s">
        <v>10629</v>
      </c>
      <c r="AO592" s="117">
        <v>6531.0</v>
      </c>
      <c r="AP592" s="50" t="s">
        <v>14545</v>
      </c>
      <c r="AQ592" s="50" t="s">
        <v>14546</v>
      </c>
      <c r="AR592" s="117">
        <v>592.0</v>
      </c>
    </row>
    <row r="593">
      <c r="A593" s="50" t="s">
        <v>14539</v>
      </c>
      <c r="B593" s="50" t="s">
        <v>6876</v>
      </c>
      <c r="C593" s="50" t="s">
        <v>6877</v>
      </c>
      <c r="D593" s="50" t="s">
        <v>11623</v>
      </c>
      <c r="E593" s="144">
        <v>43818.0</v>
      </c>
      <c r="F593" s="50" t="s">
        <v>14547</v>
      </c>
      <c r="G593" s="50">
        <v>59.0</v>
      </c>
      <c r="H593" s="50">
        <v>1.0</v>
      </c>
      <c r="I593" s="50">
        <v>99.0</v>
      </c>
      <c r="J593" s="116"/>
      <c r="K593" s="116"/>
      <c r="L593" s="50" t="s">
        <v>1867</v>
      </c>
      <c r="M593" s="50" t="s">
        <v>1867</v>
      </c>
      <c r="N593" s="50" t="s">
        <v>14497</v>
      </c>
      <c r="O593" s="50" t="s">
        <v>14508</v>
      </c>
      <c r="P593" s="50" t="s">
        <v>14499</v>
      </c>
      <c r="Q593" s="50" t="s">
        <v>14500</v>
      </c>
      <c r="R593" s="116"/>
      <c r="S593" s="116"/>
      <c r="T593" s="116"/>
      <c r="U593" s="116"/>
      <c r="V593" s="116"/>
      <c r="W593" s="50">
        <v>7.0</v>
      </c>
      <c r="X593" s="50">
        <v>100.0</v>
      </c>
      <c r="Y593" s="50">
        <v>3.0</v>
      </c>
      <c r="Z593" s="50">
        <v>0.0</v>
      </c>
      <c r="AA593" s="116"/>
      <c r="AB593" s="116"/>
      <c r="AC593" s="116"/>
      <c r="AD593" s="116"/>
      <c r="AE593" s="116"/>
      <c r="AF593" s="116"/>
      <c r="AG593" s="116"/>
      <c r="AH593" s="116"/>
      <c r="AI593" s="116"/>
      <c r="AJ593" s="116"/>
      <c r="AK593" s="50" t="s">
        <v>14549</v>
      </c>
      <c r="AL593" s="50">
        <v>6.0</v>
      </c>
      <c r="AM593" s="50">
        <v>1.0</v>
      </c>
      <c r="AN593" s="50" t="s">
        <v>10629</v>
      </c>
      <c r="AO593" s="117">
        <v>6532.0</v>
      </c>
      <c r="AP593" s="50" t="s">
        <v>14552</v>
      </c>
      <c r="AQ593" s="50" t="s">
        <v>14554</v>
      </c>
      <c r="AR593" s="117">
        <v>593.0</v>
      </c>
    </row>
    <row r="594">
      <c r="A594" s="50" t="s">
        <v>14547</v>
      </c>
      <c r="B594" s="50" t="s">
        <v>6876</v>
      </c>
      <c r="C594" s="50" t="s">
        <v>6877</v>
      </c>
      <c r="D594" s="50" t="s">
        <v>11623</v>
      </c>
      <c r="E594" s="144">
        <v>43818.0</v>
      </c>
      <c r="F594" s="50" t="s">
        <v>14558</v>
      </c>
      <c r="G594" s="50">
        <v>59.0</v>
      </c>
      <c r="H594" s="50">
        <v>1.0</v>
      </c>
      <c r="I594" s="50">
        <v>11.0</v>
      </c>
      <c r="J594" s="116"/>
      <c r="K594" s="116"/>
      <c r="L594" s="50" t="s">
        <v>1869</v>
      </c>
      <c r="M594" s="50" t="s">
        <v>1869</v>
      </c>
      <c r="N594" s="50" t="s">
        <v>14497</v>
      </c>
      <c r="O594" s="50" t="s">
        <v>14498</v>
      </c>
      <c r="P594" s="50" t="s">
        <v>14499</v>
      </c>
      <c r="Q594" s="50" t="s">
        <v>14500</v>
      </c>
      <c r="R594" s="116"/>
      <c r="S594" s="116"/>
      <c r="T594" s="116"/>
      <c r="U594" s="116"/>
      <c r="V594" s="116"/>
      <c r="W594" s="50">
        <v>3.0</v>
      </c>
      <c r="X594" s="50">
        <v>1.0</v>
      </c>
      <c r="Y594" s="50">
        <v>3.0</v>
      </c>
      <c r="Z594" s="50">
        <v>120.0</v>
      </c>
      <c r="AA594" s="50">
        <v>2.0</v>
      </c>
      <c r="AB594" s="50">
        <v>1.0</v>
      </c>
      <c r="AC594" s="50">
        <v>3.0</v>
      </c>
      <c r="AD594" s="50">
        <v>13.0</v>
      </c>
      <c r="AE594" s="50">
        <v>1.0</v>
      </c>
      <c r="AF594" s="50">
        <v>1.0</v>
      </c>
      <c r="AG594" s="50">
        <v>1.0</v>
      </c>
      <c r="AH594" s="50">
        <v>3.0</v>
      </c>
      <c r="AI594" s="50">
        <v>1.0</v>
      </c>
      <c r="AJ594" s="116"/>
      <c r="AK594" s="50" t="s">
        <v>14561</v>
      </c>
      <c r="AL594" s="50">
        <v>6.0</v>
      </c>
      <c r="AM594" s="50">
        <v>1.0</v>
      </c>
      <c r="AN594" s="50" t="s">
        <v>10629</v>
      </c>
      <c r="AO594" s="117">
        <v>6533.0</v>
      </c>
      <c r="AP594" s="50" t="s">
        <v>14564</v>
      </c>
      <c r="AQ594" s="50" t="s">
        <v>14565</v>
      </c>
      <c r="AR594" s="117">
        <v>594.0</v>
      </c>
    </row>
    <row r="595">
      <c r="A595" s="50" t="s">
        <v>14558</v>
      </c>
      <c r="B595" s="50" t="s">
        <v>6876</v>
      </c>
      <c r="C595" s="50" t="s">
        <v>6877</v>
      </c>
      <c r="D595" s="50" t="s">
        <v>11623</v>
      </c>
      <c r="E595" s="144">
        <v>43818.0</v>
      </c>
      <c r="F595" s="50" t="s">
        <v>14567</v>
      </c>
      <c r="G595" s="50">
        <v>59.0</v>
      </c>
      <c r="H595" s="50">
        <v>1.0</v>
      </c>
      <c r="I595" s="50">
        <v>99.0</v>
      </c>
      <c r="J595" s="116"/>
      <c r="K595" s="116"/>
      <c r="L595" s="50" t="s">
        <v>1870</v>
      </c>
      <c r="M595" s="50" t="s">
        <v>1870</v>
      </c>
      <c r="N595" s="50" t="s">
        <v>14497</v>
      </c>
      <c r="O595" s="50" t="s">
        <v>14508</v>
      </c>
      <c r="P595" s="50" t="s">
        <v>14499</v>
      </c>
      <c r="Q595" s="50" t="s">
        <v>14500</v>
      </c>
      <c r="R595" s="116"/>
      <c r="S595" s="116"/>
      <c r="T595" s="116"/>
      <c r="U595" s="116"/>
      <c r="V595" s="116"/>
      <c r="W595" s="50">
        <v>7.0</v>
      </c>
      <c r="X595" s="50">
        <v>100.0</v>
      </c>
      <c r="Y595" s="50">
        <v>3.0</v>
      </c>
      <c r="Z595" s="50">
        <v>0.0</v>
      </c>
      <c r="AA595" s="116"/>
      <c r="AB595" s="116"/>
      <c r="AC595" s="116"/>
      <c r="AD595" s="116"/>
      <c r="AE595" s="116"/>
      <c r="AF595" s="116"/>
      <c r="AG595" s="116"/>
      <c r="AH595" s="116"/>
      <c r="AI595" s="116"/>
      <c r="AJ595" s="116"/>
      <c r="AK595" s="50" t="s">
        <v>14574</v>
      </c>
      <c r="AL595" s="50">
        <v>6.0</v>
      </c>
      <c r="AM595" s="50">
        <v>1.0</v>
      </c>
      <c r="AN595" s="50" t="s">
        <v>10629</v>
      </c>
      <c r="AO595" s="117">
        <v>6534.0</v>
      </c>
      <c r="AP595" s="50" t="s">
        <v>14576</v>
      </c>
      <c r="AQ595" s="50" t="s">
        <v>14577</v>
      </c>
      <c r="AR595" s="117">
        <v>595.0</v>
      </c>
    </row>
    <row r="596">
      <c r="A596" s="50" t="s">
        <v>14580</v>
      </c>
      <c r="B596" s="50" t="s">
        <v>6876</v>
      </c>
      <c r="C596" s="50" t="s">
        <v>6877</v>
      </c>
      <c r="D596" s="50" t="s">
        <v>11623</v>
      </c>
      <c r="E596" s="144">
        <v>43818.0</v>
      </c>
      <c r="F596" s="50" t="s">
        <v>14581</v>
      </c>
      <c r="G596" s="50">
        <v>58.0</v>
      </c>
      <c r="H596" s="50">
        <v>1.0</v>
      </c>
      <c r="I596" s="50">
        <v>11.0</v>
      </c>
      <c r="J596" s="116"/>
      <c r="K596" s="116"/>
      <c r="L596" s="50" t="s">
        <v>1872</v>
      </c>
      <c r="M596" s="50" t="s">
        <v>1872</v>
      </c>
      <c r="N596" s="50" t="s">
        <v>14497</v>
      </c>
      <c r="O596" s="50" t="s">
        <v>14498</v>
      </c>
      <c r="P596" s="50" t="s">
        <v>14499</v>
      </c>
      <c r="Q596" s="50" t="s">
        <v>14500</v>
      </c>
      <c r="R596" s="116"/>
      <c r="S596" s="116"/>
      <c r="T596" s="116"/>
      <c r="U596" s="116"/>
      <c r="V596" s="116"/>
      <c r="W596" s="50">
        <v>3.0</v>
      </c>
      <c r="X596" s="50">
        <v>1.0</v>
      </c>
      <c r="Y596" s="50">
        <v>3.0</v>
      </c>
      <c r="Z596" s="50">
        <v>9.0</v>
      </c>
      <c r="AA596" s="50">
        <v>2.0</v>
      </c>
      <c r="AB596" s="50">
        <v>1.0</v>
      </c>
      <c r="AC596" s="50">
        <v>3.0</v>
      </c>
      <c r="AD596" s="50">
        <v>2.0</v>
      </c>
      <c r="AE596" s="50">
        <v>1.0</v>
      </c>
      <c r="AF596" s="50">
        <v>1.0</v>
      </c>
      <c r="AG596" s="50">
        <v>1.0</v>
      </c>
      <c r="AH596" s="50">
        <v>3.0</v>
      </c>
      <c r="AI596" s="50">
        <v>1.0</v>
      </c>
      <c r="AJ596" s="116"/>
      <c r="AK596" s="50" t="s">
        <v>14585</v>
      </c>
      <c r="AL596" s="50">
        <v>6.0</v>
      </c>
      <c r="AM596" s="50">
        <v>1.0</v>
      </c>
      <c r="AN596" s="50" t="s">
        <v>10629</v>
      </c>
      <c r="AO596" s="117">
        <v>6535.0</v>
      </c>
      <c r="AP596" s="50" t="s">
        <v>14587</v>
      </c>
      <c r="AQ596" s="50" t="s">
        <v>14588</v>
      </c>
      <c r="AR596" s="117">
        <v>596.0</v>
      </c>
    </row>
    <row r="597">
      <c r="A597" s="50" t="s">
        <v>14581</v>
      </c>
      <c r="B597" s="50" t="s">
        <v>6876</v>
      </c>
      <c r="C597" s="50" t="s">
        <v>6877</v>
      </c>
      <c r="D597" s="50" t="s">
        <v>11623</v>
      </c>
      <c r="E597" s="144">
        <v>43818.0</v>
      </c>
      <c r="F597" s="50" t="s">
        <v>14590</v>
      </c>
      <c r="G597" s="50">
        <v>58.0</v>
      </c>
      <c r="H597" s="50">
        <v>1.0</v>
      </c>
      <c r="I597" s="50">
        <v>99.0</v>
      </c>
      <c r="J597" s="116"/>
      <c r="K597" s="116"/>
      <c r="L597" s="50" t="s">
        <v>1873</v>
      </c>
      <c r="M597" s="50" t="s">
        <v>1873</v>
      </c>
      <c r="N597" s="50" t="s">
        <v>14497</v>
      </c>
      <c r="O597" s="50" t="s">
        <v>14508</v>
      </c>
      <c r="P597" s="50" t="s">
        <v>14499</v>
      </c>
      <c r="Q597" s="50" t="s">
        <v>14500</v>
      </c>
      <c r="R597" s="116"/>
      <c r="S597" s="116"/>
      <c r="T597" s="116"/>
      <c r="U597" s="116"/>
      <c r="V597" s="116"/>
      <c r="W597" s="50">
        <v>7.0</v>
      </c>
      <c r="X597" s="50">
        <v>100.0</v>
      </c>
      <c r="Y597" s="50">
        <v>3.0</v>
      </c>
      <c r="Z597" s="50">
        <v>0.0</v>
      </c>
      <c r="AA597" s="116"/>
      <c r="AB597" s="116"/>
      <c r="AC597" s="116"/>
      <c r="AD597" s="116"/>
      <c r="AE597" s="116"/>
      <c r="AF597" s="116"/>
      <c r="AG597" s="116"/>
      <c r="AH597" s="116"/>
      <c r="AI597" s="116"/>
      <c r="AJ597" s="116"/>
      <c r="AK597" s="50" t="s">
        <v>14595</v>
      </c>
      <c r="AL597" s="50">
        <v>6.0</v>
      </c>
      <c r="AM597" s="50">
        <v>1.0</v>
      </c>
      <c r="AN597" s="50" t="s">
        <v>10629</v>
      </c>
      <c r="AO597" s="117">
        <v>6536.0</v>
      </c>
      <c r="AP597" s="50" t="s">
        <v>14599</v>
      </c>
      <c r="AQ597" s="50" t="s">
        <v>14600</v>
      </c>
      <c r="AR597" s="117">
        <v>597.0</v>
      </c>
    </row>
    <row r="598">
      <c r="A598" s="50" t="s">
        <v>14590</v>
      </c>
      <c r="B598" s="50" t="s">
        <v>6876</v>
      </c>
      <c r="C598" s="50" t="s">
        <v>6877</v>
      </c>
      <c r="D598" s="50" t="s">
        <v>11623</v>
      </c>
      <c r="E598" s="144">
        <v>43818.0</v>
      </c>
      <c r="F598" s="50" t="s">
        <v>14602</v>
      </c>
      <c r="G598" s="50">
        <v>58.0</v>
      </c>
      <c r="H598" s="50">
        <v>1.0</v>
      </c>
      <c r="I598" s="50">
        <v>98.0</v>
      </c>
      <c r="J598" s="116"/>
      <c r="K598" s="116"/>
      <c r="L598" s="50" t="s">
        <v>1876</v>
      </c>
      <c r="M598" s="50" t="s">
        <v>1876</v>
      </c>
      <c r="N598" s="50" t="s">
        <v>14497</v>
      </c>
      <c r="O598" s="50" t="s">
        <v>14508</v>
      </c>
      <c r="P598" s="50" t="s">
        <v>14499</v>
      </c>
      <c r="Q598" s="50" t="s">
        <v>14500</v>
      </c>
      <c r="R598" s="116"/>
      <c r="S598" s="116"/>
      <c r="T598" s="116"/>
      <c r="U598" s="116"/>
      <c r="V598" s="116"/>
      <c r="W598" s="50">
        <v>7.0</v>
      </c>
      <c r="X598" s="50">
        <v>100.0</v>
      </c>
      <c r="Y598" s="50">
        <v>3.0</v>
      </c>
      <c r="Z598" s="50">
        <v>0.0</v>
      </c>
      <c r="AA598" s="116"/>
      <c r="AB598" s="116"/>
      <c r="AC598" s="116"/>
      <c r="AD598" s="116"/>
      <c r="AE598" s="116"/>
      <c r="AF598" s="116"/>
      <c r="AG598" s="116"/>
      <c r="AH598" s="116"/>
      <c r="AI598" s="116"/>
      <c r="AJ598" s="116"/>
      <c r="AK598" s="50" t="s">
        <v>11512</v>
      </c>
      <c r="AL598" s="50">
        <v>6.0</v>
      </c>
      <c r="AM598" s="50">
        <v>1.0</v>
      </c>
      <c r="AN598" s="50" t="s">
        <v>10629</v>
      </c>
      <c r="AO598" s="117">
        <v>6537.0</v>
      </c>
      <c r="AP598" s="50" t="s">
        <v>14606</v>
      </c>
      <c r="AQ598" s="50" t="s">
        <v>14607</v>
      </c>
      <c r="AR598" s="117">
        <v>598.0</v>
      </c>
    </row>
    <row r="599">
      <c r="A599" s="50" t="s">
        <v>14602</v>
      </c>
      <c r="B599" s="50" t="s">
        <v>6876</v>
      </c>
      <c r="C599" s="50" t="s">
        <v>6877</v>
      </c>
      <c r="D599" s="50" t="s">
        <v>11623</v>
      </c>
      <c r="E599" s="144">
        <v>43818.0</v>
      </c>
      <c r="F599" s="50" t="s">
        <v>14611</v>
      </c>
      <c r="G599" s="50">
        <v>57.0</v>
      </c>
      <c r="H599" s="50">
        <v>1.0</v>
      </c>
      <c r="I599" s="50">
        <v>99.0</v>
      </c>
      <c r="J599" s="116"/>
      <c r="K599" s="116"/>
      <c r="L599" s="50" t="s">
        <v>1878</v>
      </c>
      <c r="M599" s="50" t="s">
        <v>1878</v>
      </c>
      <c r="N599" s="50" t="s">
        <v>14613</v>
      </c>
      <c r="O599" s="50" t="s">
        <v>14614</v>
      </c>
      <c r="P599" s="50" t="s">
        <v>14500</v>
      </c>
      <c r="Q599" s="50" t="s">
        <v>14615</v>
      </c>
      <c r="R599" s="116"/>
      <c r="S599" s="116"/>
      <c r="T599" s="116"/>
      <c r="U599" s="116"/>
      <c r="V599" s="116"/>
      <c r="W599" s="50">
        <v>7.0</v>
      </c>
      <c r="X599" s="50">
        <v>100.0</v>
      </c>
      <c r="Y599" s="50">
        <v>3.0</v>
      </c>
      <c r="Z599" s="50">
        <v>3.0</v>
      </c>
      <c r="AA599" s="116"/>
      <c r="AB599" s="116"/>
      <c r="AC599" s="116"/>
      <c r="AD599" s="116"/>
      <c r="AE599" s="116"/>
      <c r="AF599" s="116"/>
      <c r="AG599" s="116"/>
      <c r="AH599" s="116"/>
      <c r="AI599" s="116"/>
      <c r="AJ599" s="116"/>
      <c r="AK599" s="50" t="s">
        <v>14618</v>
      </c>
      <c r="AL599" s="50">
        <v>6.0</v>
      </c>
      <c r="AM599" s="50">
        <v>1.0</v>
      </c>
      <c r="AN599" s="50" t="s">
        <v>10629</v>
      </c>
      <c r="AO599" s="117">
        <v>6538.0</v>
      </c>
      <c r="AP599" s="50" t="s">
        <v>14622</v>
      </c>
      <c r="AQ599" s="50" t="s">
        <v>14623</v>
      </c>
      <c r="AR599" s="117">
        <v>599.0</v>
      </c>
    </row>
    <row r="600">
      <c r="A600" s="50" t="s">
        <v>14611</v>
      </c>
      <c r="B600" s="50" t="s">
        <v>6876</v>
      </c>
      <c r="C600" s="50" t="s">
        <v>6877</v>
      </c>
      <c r="D600" s="50" t="s">
        <v>11623</v>
      </c>
      <c r="E600" s="144">
        <v>43818.0</v>
      </c>
      <c r="F600" s="50" t="s">
        <v>14625</v>
      </c>
      <c r="G600" s="50">
        <v>57.0</v>
      </c>
      <c r="H600" s="50">
        <v>1.0</v>
      </c>
      <c r="I600" s="50">
        <v>99.0</v>
      </c>
      <c r="J600" s="116"/>
      <c r="K600" s="116"/>
      <c r="L600" s="50" t="s">
        <v>1880</v>
      </c>
      <c r="M600" s="50" t="s">
        <v>1880</v>
      </c>
      <c r="N600" s="50" t="s">
        <v>14613</v>
      </c>
      <c r="O600" s="50" t="s">
        <v>14614</v>
      </c>
      <c r="P600" s="50" t="s">
        <v>14500</v>
      </c>
      <c r="Q600" s="50" t="s">
        <v>14615</v>
      </c>
      <c r="R600" s="116"/>
      <c r="S600" s="116"/>
      <c r="T600" s="116"/>
      <c r="U600" s="116"/>
      <c r="V600" s="116"/>
      <c r="W600" s="50">
        <v>7.0</v>
      </c>
      <c r="X600" s="50">
        <v>100.0</v>
      </c>
      <c r="Y600" s="50">
        <v>3.0</v>
      </c>
      <c r="Z600" s="50">
        <v>0.0</v>
      </c>
      <c r="AA600" s="116"/>
      <c r="AB600" s="116"/>
      <c r="AC600" s="116"/>
      <c r="AD600" s="116"/>
      <c r="AE600" s="116"/>
      <c r="AF600" s="116"/>
      <c r="AG600" s="116"/>
      <c r="AH600" s="116"/>
      <c r="AI600" s="116"/>
      <c r="AJ600" s="116"/>
      <c r="AK600" s="50" t="s">
        <v>14632</v>
      </c>
      <c r="AL600" s="50">
        <v>6.0</v>
      </c>
      <c r="AM600" s="50">
        <v>1.0</v>
      </c>
      <c r="AN600" s="50" t="s">
        <v>10629</v>
      </c>
      <c r="AO600" s="117">
        <v>6539.0</v>
      </c>
      <c r="AP600" s="50" t="s">
        <v>14633</v>
      </c>
      <c r="AQ600" s="50" t="s">
        <v>14634</v>
      </c>
      <c r="AR600" s="117">
        <v>600.0</v>
      </c>
    </row>
    <row r="601">
      <c r="A601" s="50" t="s">
        <v>14625</v>
      </c>
      <c r="B601" s="50" t="s">
        <v>6876</v>
      </c>
      <c r="C601" s="50" t="s">
        <v>6877</v>
      </c>
      <c r="D601" s="50" t="s">
        <v>11623</v>
      </c>
      <c r="E601" s="144">
        <v>43818.0</v>
      </c>
      <c r="F601" s="50" t="s">
        <v>14637</v>
      </c>
      <c r="G601" s="50">
        <v>59.0</v>
      </c>
      <c r="H601" s="50">
        <v>1.0</v>
      </c>
      <c r="I601" s="50">
        <v>11.0</v>
      </c>
      <c r="J601" s="116"/>
      <c r="K601" s="116"/>
      <c r="L601" s="50" t="s">
        <v>1886</v>
      </c>
      <c r="M601" s="50" t="s">
        <v>1886</v>
      </c>
      <c r="N601" s="50" t="s">
        <v>14613</v>
      </c>
      <c r="O601" s="50" t="s">
        <v>14639</v>
      </c>
      <c r="P601" s="50" t="s">
        <v>14500</v>
      </c>
      <c r="Q601" s="50" t="s">
        <v>14615</v>
      </c>
      <c r="R601" s="116"/>
      <c r="S601" s="116"/>
      <c r="T601" s="116"/>
      <c r="U601" s="116"/>
      <c r="V601" s="116"/>
      <c r="W601" s="50">
        <v>3.0</v>
      </c>
      <c r="X601" s="50">
        <v>1.0</v>
      </c>
      <c r="Y601" s="50">
        <v>1.0</v>
      </c>
      <c r="Z601" s="116"/>
      <c r="AA601" s="50">
        <v>2.0</v>
      </c>
      <c r="AB601" s="50">
        <v>1.0</v>
      </c>
      <c r="AC601" s="50">
        <v>3.0</v>
      </c>
      <c r="AD601" s="50">
        <v>27.0</v>
      </c>
      <c r="AE601" s="50">
        <v>1.0</v>
      </c>
      <c r="AF601" s="50">
        <v>1.0</v>
      </c>
      <c r="AG601" s="50">
        <v>1.0</v>
      </c>
      <c r="AH601" s="50">
        <v>3.0</v>
      </c>
      <c r="AI601" s="50">
        <v>7.0</v>
      </c>
      <c r="AJ601" s="116"/>
      <c r="AK601" s="50" t="s">
        <v>14644</v>
      </c>
      <c r="AL601" s="50">
        <v>6.0</v>
      </c>
      <c r="AM601" s="50">
        <v>1.0</v>
      </c>
      <c r="AN601" s="50" t="s">
        <v>10629</v>
      </c>
      <c r="AO601" s="117">
        <v>6540.0</v>
      </c>
      <c r="AP601" s="50" t="s">
        <v>14645</v>
      </c>
      <c r="AQ601" s="50" t="s">
        <v>14646</v>
      </c>
      <c r="AR601" s="117">
        <v>601.0</v>
      </c>
    </row>
    <row r="602">
      <c r="A602" s="50" t="s">
        <v>14637</v>
      </c>
      <c r="B602" s="50" t="s">
        <v>6876</v>
      </c>
      <c r="C602" s="50" t="s">
        <v>6877</v>
      </c>
      <c r="D602" s="50" t="s">
        <v>11623</v>
      </c>
      <c r="E602" s="144">
        <v>43818.0</v>
      </c>
      <c r="F602" s="50" t="s">
        <v>14651</v>
      </c>
      <c r="G602" s="50">
        <v>59.0</v>
      </c>
      <c r="H602" s="50">
        <v>1.0</v>
      </c>
      <c r="I602" s="50">
        <v>99.0</v>
      </c>
      <c r="J602" s="116"/>
      <c r="K602" s="116"/>
      <c r="L602" s="50" t="s">
        <v>1887</v>
      </c>
      <c r="M602" s="50" t="s">
        <v>1887</v>
      </c>
      <c r="N602" s="50" t="s">
        <v>14613</v>
      </c>
      <c r="O602" s="50" t="s">
        <v>14614</v>
      </c>
      <c r="P602" s="50" t="s">
        <v>14500</v>
      </c>
      <c r="Q602" s="50" t="s">
        <v>14615</v>
      </c>
      <c r="R602" s="116"/>
      <c r="S602" s="116"/>
      <c r="T602" s="116"/>
      <c r="U602" s="116"/>
      <c r="V602" s="116"/>
      <c r="W602" s="50">
        <v>7.0</v>
      </c>
      <c r="X602" s="50">
        <v>100.0</v>
      </c>
      <c r="Y602" s="50">
        <v>3.0</v>
      </c>
      <c r="Z602" s="50">
        <v>0.0</v>
      </c>
      <c r="AA602" s="116"/>
      <c r="AB602" s="116"/>
      <c r="AC602" s="116"/>
      <c r="AD602" s="116"/>
      <c r="AE602" s="116"/>
      <c r="AF602" s="116"/>
      <c r="AG602" s="116"/>
      <c r="AH602" s="116"/>
      <c r="AI602" s="116"/>
      <c r="AJ602" s="116"/>
      <c r="AK602" s="50" t="s">
        <v>14657</v>
      </c>
      <c r="AL602" s="50">
        <v>6.0</v>
      </c>
      <c r="AM602" s="50">
        <v>1.0</v>
      </c>
      <c r="AN602" s="50" t="s">
        <v>10629</v>
      </c>
      <c r="AO602" s="117">
        <v>6541.0</v>
      </c>
      <c r="AP602" s="50" t="s">
        <v>14658</v>
      </c>
      <c r="AQ602" s="50" t="s">
        <v>14659</v>
      </c>
      <c r="AR602" s="117">
        <v>602.0</v>
      </c>
    </row>
    <row r="603">
      <c r="A603" s="50" t="s">
        <v>14651</v>
      </c>
      <c r="B603" s="50" t="s">
        <v>6876</v>
      </c>
      <c r="C603" s="50" t="s">
        <v>6877</v>
      </c>
      <c r="D603" s="50" t="s">
        <v>11623</v>
      </c>
      <c r="E603" s="144">
        <v>43818.0</v>
      </c>
      <c r="F603" s="50" t="s">
        <v>14661</v>
      </c>
      <c r="G603" s="50">
        <v>59.0</v>
      </c>
      <c r="H603" s="50">
        <v>1.0</v>
      </c>
      <c r="I603" s="50">
        <v>11.0</v>
      </c>
      <c r="J603" s="116"/>
      <c r="K603" s="116"/>
      <c r="L603" s="50" t="s">
        <v>1889</v>
      </c>
      <c r="M603" s="50" t="s">
        <v>1889</v>
      </c>
      <c r="N603" s="50" t="s">
        <v>14613</v>
      </c>
      <c r="O603" s="50" t="s">
        <v>14639</v>
      </c>
      <c r="P603" s="50" t="s">
        <v>14500</v>
      </c>
      <c r="Q603" s="50" t="s">
        <v>14615</v>
      </c>
      <c r="R603" s="116"/>
      <c r="S603" s="116"/>
      <c r="T603" s="116"/>
      <c r="U603" s="116"/>
      <c r="V603" s="116"/>
      <c r="W603" s="50">
        <v>3.0</v>
      </c>
      <c r="X603" s="50">
        <v>1.0</v>
      </c>
      <c r="Y603" s="50">
        <v>3.0</v>
      </c>
      <c r="Z603" s="50">
        <v>0.0</v>
      </c>
      <c r="AA603" s="50">
        <v>2.0</v>
      </c>
      <c r="AB603" s="50">
        <v>1.0</v>
      </c>
      <c r="AC603" s="50">
        <v>3.0</v>
      </c>
      <c r="AD603" s="50">
        <v>0.0</v>
      </c>
      <c r="AE603" s="50">
        <v>1.0</v>
      </c>
      <c r="AF603" s="50">
        <v>1.0</v>
      </c>
      <c r="AG603" s="50">
        <v>1.0</v>
      </c>
      <c r="AH603" s="50">
        <v>3.0</v>
      </c>
      <c r="AI603" s="50">
        <v>0.0</v>
      </c>
      <c r="AJ603" s="116"/>
      <c r="AK603" s="50" t="s">
        <v>14668</v>
      </c>
      <c r="AL603" s="50">
        <v>6.0</v>
      </c>
      <c r="AM603" s="50">
        <v>1.0</v>
      </c>
      <c r="AN603" s="50" t="s">
        <v>10629</v>
      </c>
      <c r="AO603" s="117">
        <v>6542.0</v>
      </c>
      <c r="AP603" s="50" t="s">
        <v>14669</v>
      </c>
      <c r="AQ603" s="50" t="s">
        <v>14670</v>
      </c>
      <c r="AR603" s="117">
        <v>603.0</v>
      </c>
    </row>
    <row r="604">
      <c r="A604" s="50" t="s">
        <v>14672</v>
      </c>
      <c r="B604" s="50" t="s">
        <v>6876</v>
      </c>
      <c r="C604" s="50" t="s">
        <v>6877</v>
      </c>
      <c r="D604" s="50" t="s">
        <v>11623</v>
      </c>
      <c r="E604" s="144">
        <v>43818.0</v>
      </c>
      <c r="F604" s="50" t="s">
        <v>14673</v>
      </c>
      <c r="G604" s="50">
        <v>59.0</v>
      </c>
      <c r="H604" s="50">
        <v>1.0</v>
      </c>
      <c r="I604" s="50">
        <v>99.0</v>
      </c>
      <c r="J604" s="116"/>
      <c r="K604" s="116"/>
      <c r="L604" s="50" t="s">
        <v>1890</v>
      </c>
      <c r="M604" s="50" t="s">
        <v>1890</v>
      </c>
      <c r="N604" s="50" t="s">
        <v>14613</v>
      </c>
      <c r="O604" s="50" t="s">
        <v>14614</v>
      </c>
      <c r="P604" s="50" t="s">
        <v>14500</v>
      </c>
      <c r="Q604" s="50" t="s">
        <v>14615</v>
      </c>
      <c r="R604" s="116"/>
      <c r="S604" s="116"/>
      <c r="T604" s="116"/>
      <c r="U604" s="116"/>
      <c r="V604" s="116"/>
      <c r="W604" s="50">
        <v>7.0</v>
      </c>
      <c r="X604" s="50">
        <v>100.0</v>
      </c>
      <c r="Y604" s="50">
        <v>3.0</v>
      </c>
      <c r="Z604" s="50">
        <v>0.0</v>
      </c>
      <c r="AA604" s="116"/>
      <c r="AB604" s="116"/>
      <c r="AC604" s="116"/>
      <c r="AD604" s="116"/>
      <c r="AE604" s="116"/>
      <c r="AF604" s="116"/>
      <c r="AG604" s="116"/>
      <c r="AH604" s="116"/>
      <c r="AI604" s="116"/>
      <c r="AJ604" s="116"/>
      <c r="AK604" s="50" t="s">
        <v>14677</v>
      </c>
      <c r="AL604" s="50">
        <v>6.0</v>
      </c>
      <c r="AM604" s="50">
        <v>1.0</v>
      </c>
      <c r="AN604" s="50" t="s">
        <v>10629</v>
      </c>
      <c r="AO604" s="117">
        <v>6543.0</v>
      </c>
      <c r="AP604" s="50" t="s">
        <v>14678</v>
      </c>
      <c r="AQ604" s="50" t="s">
        <v>14679</v>
      </c>
      <c r="AR604" s="117">
        <v>604.0</v>
      </c>
    </row>
    <row r="605">
      <c r="A605" s="50" t="s">
        <v>14673</v>
      </c>
      <c r="B605" s="50" t="s">
        <v>6876</v>
      </c>
      <c r="C605" s="50" t="s">
        <v>6877</v>
      </c>
      <c r="D605" s="50" t="s">
        <v>11623</v>
      </c>
      <c r="E605" s="144">
        <v>43818.0</v>
      </c>
      <c r="F605" s="50" t="s">
        <v>14682</v>
      </c>
      <c r="G605" s="50">
        <v>33.0</v>
      </c>
      <c r="H605" s="50">
        <v>1.0</v>
      </c>
      <c r="I605" s="50">
        <v>98.0</v>
      </c>
      <c r="J605" s="116"/>
      <c r="K605" s="116"/>
      <c r="L605" s="50" t="s">
        <v>1893</v>
      </c>
      <c r="M605" s="50" t="s">
        <v>1893</v>
      </c>
      <c r="N605" s="50" t="s">
        <v>14613</v>
      </c>
      <c r="O605" s="50" t="s">
        <v>14614</v>
      </c>
      <c r="P605" s="50" t="s">
        <v>14500</v>
      </c>
      <c r="Q605" s="50" t="s">
        <v>14615</v>
      </c>
      <c r="R605" s="116"/>
      <c r="S605" s="116"/>
      <c r="T605" s="116"/>
      <c r="U605" s="116"/>
      <c r="V605" s="116"/>
      <c r="W605" s="50">
        <v>7.0</v>
      </c>
      <c r="X605" s="50">
        <v>100.0</v>
      </c>
      <c r="Y605" s="50">
        <v>3.0</v>
      </c>
      <c r="Z605" s="50">
        <v>0.0</v>
      </c>
      <c r="AA605" s="116"/>
      <c r="AB605" s="116"/>
      <c r="AC605" s="116"/>
      <c r="AD605" s="116"/>
      <c r="AE605" s="116"/>
      <c r="AF605" s="116"/>
      <c r="AG605" s="116"/>
      <c r="AH605" s="116"/>
      <c r="AI605" s="116"/>
      <c r="AJ605" s="116"/>
      <c r="AK605" s="50" t="s">
        <v>11376</v>
      </c>
      <c r="AL605" s="50">
        <v>6.0</v>
      </c>
      <c r="AM605" s="50">
        <v>1.0</v>
      </c>
      <c r="AN605" s="50" t="s">
        <v>10629</v>
      </c>
      <c r="AO605" s="117">
        <v>6544.0</v>
      </c>
      <c r="AP605" s="50" t="s">
        <v>14690</v>
      </c>
      <c r="AQ605" s="50" t="s">
        <v>14691</v>
      </c>
      <c r="AR605" s="117">
        <v>605.0</v>
      </c>
    </row>
    <row r="606">
      <c r="A606" s="74" t="s">
        <v>14692</v>
      </c>
      <c r="B606" s="74" t="s">
        <v>6876</v>
      </c>
      <c r="C606" s="74" t="s">
        <v>6877</v>
      </c>
      <c r="D606" s="74" t="s">
        <v>8493</v>
      </c>
      <c r="E606" s="146">
        <v>43843.0</v>
      </c>
      <c r="F606" s="74" t="s">
        <v>14703</v>
      </c>
      <c r="G606" s="74">
        <v>59.0</v>
      </c>
      <c r="H606" s="74">
        <v>1.0</v>
      </c>
      <c r="I606" s="74">
        <v>16.0</v>
      </c>
      <c r="J606" s="119"/>
      <c r="K606" s="119"/>
      <c r="L606" s="74" t="s">
        <v>345</v>
      </c>
      <c r="M606" s="74" t="s">
        <v>345</v>
      </c>
      <c r="N606" s="74" t="s">
        <v>14706</v>
      </c>
      <c r="O606" s="74" t="s">
        <v>14708</v>
      </c>
      <c r="P606" s="74" t="s">
        <v>14709</v>
      </c>
      <c r="Q606" s="74" t="s">
        <v>14710</v>
      </c>
      <c r="R606" s="119"/>
      <c r="S606" s="119"/>
      <c r="T606" s="119"/>
      <c r="U606" s="119"/>
      <c r="V606" s="119"/>
      <c r="W606" s="74">
        <v>4.0</v>
      </c>
      <c r="X606" s="74">
        <v>1.0</v>
      </c>
      <c r="Y606" s="74">
        <v>3.0</v>
      </c>
      <c r="Z606" s="74">
        <v>80.0</v>
      </c>
      <c r="AA606" s="74">
        <v>3.0</v>
      </c>
      <c r="AB606" s="74">
        <v>1.0</v>
      </c>
      <c r="AC606" s="74">
        <v>3.0</v>
      </c>
      <c r="AD606" s="74">
        <v>9.0</v>
      </c>
      <c r="AE606" s="74">
        <v>1.0</v>
      </c>
      <c r="AF606" s="74">
        <v>2.0</v>
      </c>
      <c r="AG606" s="74">
        <v>1.0</v>
      </c>
      <c r="AH606" s="74">
        <v>3.0</v>
      </c>
      <c r="AI606" s="74">
        <v>3.0</v>
      </c>
      <c r="AJ606" s="119"/>
      <c r="AK606" s="74" t="s">
        <v>14713</v>
      </c>
      <c r="AL606" s="74">
        <v>6.0</v>
      </c>
      <c r="AM606" s="74">
        <v>1.0</v>
      </c>
      <c r="AN606" s="74" t="s">
        <v>10629</v>
      </c>
      <c r="AO606" s="120">
        <v>7136.0</v>
      </c>
      <c r="AP606" s="74" t="s">
        <v>14715</v>
      </c>
      <c r="AQ606" s="74" t="s">
        <v>14716</v>
      </c>
      <c r="AR606" s="120">
        <v>606.0</v>
      </c>
    </row>
    <row r="607">
      <c r="A607" s="74" t="s">
        <v>14703</v>
      </c>
      <c r="B607" s="74" t="s">
        <v>6876</v>
      </c>
      <c r="C607" s="74" t="s">
        <v>6877</v>
      </c>
      <c r="D607" s="74" t="s">
        <v>8493</v>
      </c>
      <c r="E607" s="146">
        <v>43843.0</v>
      </c>
      <c r="F607" s="74" t="s">
        <v>14717</v>
      </c>
      <c r="G607" s="74">
        <v>33.0</v>
      </c>
      <c r="H607" s="74">
        <v>1.0</v>
      </c>
      <c r="I607" s="74">
        <v>98.0</v>
      </c>
      <c r="J607" s="119"/>
      <c r="K607" s="119"/>
      <c r="L607" s="74" t="s">
        <v>14720</v>
      </c>
      <c r="M607" s="74" t="s">
        <v>14720</v>
      </c>
      <c r="N607" s="74" t="s">
        <v>14706</v>
      </c>
      <c r="O607" s="74" t="s">
        <v>14725</v>
      </c>
      <c r="P607" s="74" t="s">
        <v>14709</v>
      </c>
      <c r="Q607" s="74" t="s">
        <v>14726</v>
      </c>
      <c r="R607" s="119"/>
      <c r="S607" s="119"/>
      <c r="T607" s="119"/>
      <c r="U607" s="119"/>
      <c r="V607" s="119"/>
      <c r="W607" s="74">
        <v>7.0</v>
      </c>
      <c r="X607" s="74">
        <v>100.0</v>
      </c>
      <c r="Y607" s="74">
        <v>3.0</v>
      </c>
      <c r="Z607" s="74">
        <v>0.0</v>
      </c>
      <c r="AA607" s="119"/>
      <c r="AB607" s="119"/>
      <c r="AC607" s="119"/>
      <c r="AD607" s="119"/>
      <c r="AE607" s="119"/>
      <c r="AF607" s="119"/>
      <c r="AG607" s="119"/>
      <c r="AH607" s="119"/>
      <c r="AI607" s="119"/>
      <c r="AJ607" s="119"/>
      <c r="AK607" s="74" t="s">
        <v>14731</v>
      </c>
      <c r="AL607" s="74">
        <v>6.0</v>
      </c>
      <c r="AM607" s="74">
        <v>1.0</v>
      </c>
      <c r="AN607" s="74" t="s">
        <v>10629</v>
      </c>
      <c r="AO607" s="120">
        <v>7137.0</v>
      </c>
      <c r="AP607" s="74" t="s">
        <v>14734</v>
      </c>
      <c r="AQ607" s="74" t="s">
        <v>14735</v>
      </c>
      <c r="AR607" s="120">
        <v>607.0</v>
      </c>
    </row>
    <row r="608">
      <c r="A608" s="74" t="s">
        <v>14717</v>
      </c>
      <c r="B608" s="74" t="s">
        <v>6876</v>
      </c>
      <c r="C608" s="74" t="s">
        <v>6877</v>
      </c>
      <c r="D608" s="74" t="s">
        <v>8493</v>
      </c>
      <c r="E608" s="146">
        <v>43843.0</v>
      </c>
      <c r="F608" s="74" t="s">
        <v>14737</v>
      </c>
      <c r="G608" s="74">
        <v>59.0</v>
      </c>
      <c r="H608" s="74">
        <v>1.0</v>
      </c>
      <c r="I608" s="74">
        <v>11.0</v>
      </c>
      <c r="J608" s="119"/>
      <c r="K608" s="119"/>
      <c r="L608" s="74" t="s">
        <v>1901</v>
      </c>
      <c r="M608" s="74" t="s">
        <v>1901</v>
      </c>
      <c r="N608" s="74" t="s">
        <v>14726</v>
      </c>
      <c r="O608" s="74" t="s">
        <v>14738</v>
      </c>
      <c r="P608" s="74" t="s">
        <v>14739</v>
      </c>
      <c r="Q608" s="74" t="s">
        <v>14741</v>
      </c>
      <c r="R608" s="119"/>
      <c r="S608" s="119"/>
      <c r="T608" s="119"/>
      <c r="U608" s="119"/>
      <c r="V608" s="119"/>
      <c r="W608" s="74">
        <v>3.0</v>
      </c>
      <c r="X608" s="74">
        <v>1.0</v>
      </c>
      <c r="Y608" s="74">
        <v>1.0</v>
      </c>
      <c r="Z608" s="119"/>
      <c r="AA608" s="74">
        <v>2.0</v>
      </c>
      <c r="AB608" s="74">
        <v>1.0</v>
      </c>
      <c r="AC608" s="74">
        <v>3.0</v>
      </c>
      <c r="AD608" s="74">
        <v>25.0</v>
      </c>
      <c r="AE608" s="74">
        <v>1.0</v>
      </c>
      <c r="AF608" s="74">
        <v>1.0</v>
      </c>
      <c r="AG608" s="74">
        <v>1.0</v>
      </c>
      <c r="AH608" s="74">
        <v>3.0</v>
      </c>
      <c r="AI608" s="74">
        <v>0.0</v>
      </c>
      <c r="AJ608" s="119"/>
      <c r="AK608" s="74" t="s">
        <v>14750</v>
      </c>
      <c r="AL608" s="74">
        <v>6.0</v>
      </c>
      <c r="AM608" s="74">
        <v>1.0</v>
      </c>
      <c r="AN608" s="74" t="s">
        <v>10629</v>
      </c>
      <c r="AO608" s="120">
        <v>7138.0</v>
      </c>
      <c r="AP608" s="74" t="s">
        <v>14751</v>
      </c>
      <c r="AQ608" s="74" t="s">
        <v>14752</v>
      </c>
      <c r="AR608" s="120">
        <v>608.0</v>
      </c>
    </row>
    <row r="609">
      <c r="A609" s="74" t="s">
        <v>14737</v>
      </c>
      <c r="B609" s="74" t="s">
        <v>6876</v>
      </c>
      <c r="C609" s="74" t="s">
        <v>6877</v>
      </c>
      <c r="D609" s="74" t="s">
        <v>8493</v>
      </c>
      <c r="E609" s="146">
        <v>43843.0</v>
      </c>
      <c r="F609" s="74" t="s">
        <v>14755</v>
      </c>
      <c r="G609" s="74">
        <v>59.0</v>
      </c>
      <c r="H609" s="74">
        <v>1.0</v>
      </c>
      <c r="I609" s="74">
        <v>99.0</v>
      </c>
      <c r="J609" s="119"/>
      <c r="K609" s="119"/>
      <c r="L609" s="74" t="s">
        <v>1902</v>
      </c>
      <c r="M609" s="74" t="s">
        <v>1902</v>
      </c>
      <c r="N609" s="74" t="s">
        <v>14726</v>
      </c>
      <c r="O609" s="74" t="s">
        <v>14757</v>
      </c>
      <c r="P609" s="74" t="s">
        <v>14739</v>
      </c>
      <c r="Q609" s="74" t="s">
        <v>14741</v>
      </c>
      <c r="R609" s="119"/>
      <c r="S609" s="119"/>
      <c r="T609" s="119"/>
      <c r="U609" s="119"/>
      <c r="V609" s="119"/>
      <c r="W609" s="74">
        <v>7.0</v>
      </c>
      <c r="X609" s="74">
        <v>100.0</v>
      </c>
      <c r="Y609" s="74">
        <v>3.0</v>
      </c>
      <c r="Z609" s="74">
        <v>0.0</v>
      </c>
      <c r="AA609" s="119"/>
      <c r="AB609" s="119"/>
      <c r="AC609" s="119"/>
      <c r="AD609" s="119"/>
      <c r="AE609" s="119"/>
      <c r="AF609" s="119"/>
      <c r="AG609" s="119"/>
      <c r="AH609" s="119"/>
      <c r="AI609" s="119"/>
      <c r="AJ609" s="119"/>
      <c r="AK609" s="74" t="s">
        <v>14760</v>
      </c>
      <c r="AL609" s="74">
        <v>6.0</v>
      </c>
      <c r="AM609" s="74">
        <v>1.0</v>
      </c>
      <c r="AN609" s="74" t="s">
        <v>10629</v>
      </c>
      <c r="AO609" s="120">
        <v>7139.0</v>
      </c>
      <c r="AP609" s="74" t="s">
        <v>14762</v>
      </c>
      <c r="AQ609" s="74" t="s">
        <v>14763</v>
      </c>
      <c r="AR609" s="120">
        <v>609.0</v>
      </c>
    </row>
    <row r="610">
      <c r="A610" s="74" t="s">
        <v>14755</v>
      </c>
      <c r="B610" s="74" t="s">
        <v>6876</v>
      </c>
      <c r="C610" s="74" t="s">
        <v>6877</v>
      </c>
      <c r="D610" s="74" t="s">
        <v>8493</v>
      </c>
      <c r="E610" s="146">
        <v>43843.0</v>
      </c>
      <c r="F610" s="74" t="s">
        <v>14768</v>
      </c>
      <c r="G610" s="74">
        <v>59.0</v>
      </c>
      <c r="H610" s="74">
        <v>1.0</v>
      </c>
      <c r="I610" s="74">
        <v>11.0</v>
      </c>
      <c r="J610" s="119"/>
      <c r="K610" s="119"/>
      <c r="L610" s="74" t="s">
        <v>1904</v>
      </c>
      <c r="M610" s="74" t="s">
        <v>1904</v>
      </c>
      <c r="N610" s="74" t="s">
        <v>14726</v>
      </c>
      <c r="O610" s="74" t="s">
        <v>14738</v>
      </c>
      <c r="P610" s="74" t="s">
        <v>14739</v>
      </c>
      <c r="Q610" s="74" t="s">
        <v>14741</v>
      </c>
      <c r="R610" s="119"/>
      <c r="S610" s="119"/>
      <c r="T610" s="119"/>
      <c r="U610" s="119"/>
      <c r="V610" s="119"/>
      <c r="W610" s="74">
        <v>3.0</v>
      </c>
      <c r="X610" s="74">
        <v>1.0</v>
      </c>
      <c r="Y610" s="74">
        <v>3.0</v>
      </c>
      <c r="Z610" s="74">
        <v>8.0</v>
      </c>
      <c r="AA610" s="74">
        <v>2.0</v>
      </c>
      <c r="AB610" s="74">
        <v>1.0</v>
      </c>
      <c r="AC610" s="74">
        <v>3.0</v>
      </c>
      <c r="AD610" s="74">
        <v>2.0</v>
      </c>
      <c r="AE610" s="74">
        <v>1.0</v>
      </c>
      <c r="AF610" s="74">
        <v>1.0</v>
      </c>
      <c r="AG610" s="74">
        <v>1.0</v>
      </c>
      <c r="AH610" s="74">
        <v>3.0</v>
      </c>
      <c r="AI610" s="74">
        <v>1.0</v>
      </c>
      <c r="AJ610" s="119"/>
      <c r="AK610" s="74" t="s">
        <v>14771</v>
      </c>
      <c r="AL610" s="74">
        <v>6.0</v>
      </c>
      <c r="AM610" s="74">
        <v>1.0</v>
      </c>
      <c r="AN610" s="74" t="s">
        <v>10629</v>
      </c>
      <c r="AO610" s="120">
        <v>7140.0</v>
      </c>
      <c r="AP610" s="74" t="s">
        <v>14774</v>
      </c>
      <c r="AQ610" s="74" t="s">
        <v>14775</v>
      </c>
      <c r="AR610" s="120">
        <v>610.0</v>
      </c>
    </row>
    <row r="611">
      <c r="A611" s="74" t="s">
        <v>14768</v>
      </c>
      <c r="B611" s="74" t="s">
        <v>6876</v>
      </c>
      <c r="C611" s="74" t="s">
        <v>6877</v>
      </c>
      <c r="D611" s="74" t="s">
        <v>8493</v>
      </c>
      <c r="E611" s="146">
        <v>43843.0</v>
      </c>
      <c r="F611" s="74" t="s">
        <v>14776</v>
      </c>
      <c r="G611" s="74">
        <v>59.0</v>
      </c>
      <c r="H611" s="74">
        <v>1.0</v>
      </c>
      <c r="I611" s="74">
        <v>99.0</v>
      </c>
      <c r="J611" s="119"/>
      <c r="K611" s="119"/>
      <c r="L611" s="74" t="s">
        <v>1905</v>
      </c>
      <c r="M611" s="74" t="s">
        <v>1905</v>
      </c>
      <c r="N611" s="74" t="s">
        <v>14726</v>
      </c>
      <c r="O611" s="74" t="s">
        <v>14757</v>
      </c>
      <c r="P611" s="74" t="s">
        <v>14739</v>
      </c>
      <c r="Q611" s="74" t="s">
        <v>14741</v>
      </c>
      <c r="R611" s="119"/>
      <c r="S611" s="119"/>
      <c r="T611" s="119"/>
      <c r="U611" s="119"/>
      <c r="V611" s="119"/>
      <c r="W611" s="74">
        <v>7.0</v>
      </c>
      <c r="X611" s="74">
        <v>100.0</v>
      </c>
      <c r="Y611" s="74">
        <v>3.0</v>
      </c>
      <c r="Z611" s="74">
        <v>0.0</v>
      </c>
      <c r="AA611" s="119"/>
      <c r="AB611" s="119"/>
      <c r="AC611" s="119"/>
      <c r="AD611" s="119"/>
      <c r="AE611" s="119"/>
      <c r="AF611" s="119"/>
      <c r="AG611" s="119"/>
      <c r="AH611" s="119"/>
      <c r="AI611" s="119"/>
      <c r="AJ611" s="119"/>
      <c r="AK611" s="74" t="s">
        <v>14783</v>
      </c>
      <c r="AL611" s="74">
        <v>6.0</v>
      </c>
      <c r="AM611" s="74">
        <v>1.0</v>
      </c>
      <c r="AN611" s="74" t="s">
        <v>10629</v>
      </c>
      <c r="AO611" s="120">
        <v>7141.0</v>
      </c>
      <c r="AP611" s="74" t="s">
        <v>14786</v>
      </c>
      <c r="AQ611" s="74" t="s">
        <v>14787</v>
      </c>
      <c r="AR611" s="120">
        <v>611.0</v>
      </c>
    </row>
    <row r="612">
      <c r="A612" s="74" t="s">
        <v>14788</v>
      </c>
      <c r="B612" s="74" t="s">
        <v>6876</v>
      </c>
      <c r="C612" s="74" t="s">
        <v>6877</v>
      </c>
      <c r="D612" s="74" t="s">
        <v>8493</v>
      </c>
      <c r="E612" s="146">
        <v>43843.0</v>
      </c>
      <c r="F612" s="74" t="s">
        <v>14789</v>
      </c>
      <c r="G612" s="74">
        <v>59.0</v>
      </c>
      <c r="H612" s="74">
        <v>1.0</v>
      </c>
      <c r="I612" s="74">
        <v>3.0</v>
      </c>
      <c r="J612" s="119"/>
      <c r="K612" s="119"/>
      <c r="L612" s="74" t="s">
        <v>2045</v>
      </c>
      <c r="M612" s="74" t="s">
        <v>2045</v>
      </c>
      <c r="N612" s="74" t="s">
        <v>14792</v>
      </c>
      <c r="O612" s="74" t="s">
        <v>14793</v>
      </c>
      <c r="P612" s="74" t="s">
        <v>14794</v>
      </c>
      <c r="Q612" s="74" t="s">
        <v>14795</v>
      </c>
      <c r="R612" s="119"/>
      <c r="S612" s="119"/>
      <c r="T612" s="119"/>
      <c r="U612" s="119"/>
      <c r="V612" s="119"/>
      <c r="W612" s="74">
        <v>4.0</v>
      </c>
      <c r="X612" s="74">
        <v>1.0</v>
      </c>
      <c r="Y612" s="74">
        <v>3.0</v>
      </c>
      <c r="Z612" s="74">
        <v>0.0</v>
      </c>
      <c r="AA612" s="74">
        <v>3.0</v>
      </c>
      <c r="AB612" s="74">
        <v>1.0</v>
      </c>
      <c r="AC612" s="74">
        <v>3.0</v>
      </c>
      <c r="AD612" s="74">
        <v>0.0</v>
      </c>
      <c r="AE612" s="74">
        <v>1.0</v>
      </c>
      <c r="AF612" s="74">
        <v>2.0</v>
      </c>
      <c r="AG612" s="74">
        <v>1.0</v>
      </c>
      <c r="AH612" s="74">
        <v>3.0</v>
      </c>
      <c r="AI612" s="74">
        <v>0.0</v>
      </c>
      <c r="AJ612" s="119"/>
      <c r="AK612" s="74" t="s">
        <v>14799</v>
      </c>
      <c r="AL612" s="74">
        <v>4.0</v>
      </c>
      <c r="AM612" s="74">
        <v>1.0</v>
      </c>
      <c r="AN612" s="74" t="s">
        <v>10629</v>
      </c>
      <c r="AO612" s="120">
        <v>7142.0</v>
      </c>
      <c r="AP612" s="74" t="s">
        <v>14802</v>
      </c>
      <c r="AQ612" s="74" t="s">
        <v>14803</v>
      </c>
      <c r="AR612" s="120">
        <v>612.0</v>
      </c>
    </row>
    <row r="613">
      <c r="A613" s="74" t="s">
        <v>14789</v>
      </c>
      <c r="B613" s="74" t="s">
        <v>6876</v>
      </c>
      <c r="C613" s="74" t="s">
        <v>6877</v>
      </c>
      <c r="D613" s="74" t="s">
        <v>8493</v>
      </c>
      <c r="E613" s="146">
        <v>43843.0</v>
      </c>
      <c r="F613" s="74" t="s">
        <v>14805</v>
      </c>
      <c r="G613" s="74">
        <v>59.0</v>
      </c>
      <c r="H613" s="74">
        <v>1.0</v>
      </c>
      <c r="I613" s="74">
        <v>99.0</v>
      </c>
      <c r="J613" s="119"/>
      <c r="K613" s="119"/>
      <c r="L613" s="74" t="s">
        <v>2047</v>
      </c>
      <c r="M613" s="74" t="s">
        <v>2047</v>
      </c>
      <c r="N613" s="74" t="s">
        <v>14792</v>
      </c>
      <c r="O613" s="74" t="s">
        <v>14793</v>
      </c>
      <c r="P613" s="74" t="s">
        <v>14812</v>
      </c>
      <c r="Q613" s="74" t="s">
        <v>14814</v>
      </c>
      <c r="R613" s="119"/>
      <c r="S613" s="119"/>
      <c r="T613" s="119"/>
      <c r="U613" s="119"/>
      <c r="V613" s="119"/>
      <c r="W613" s="74">
        <v>7.0</v>
      </c>
      <c r="X613" s="74">
        <v>100.0</v>
      </c>
      <c r="Y613" s="74">
        <v>3.0</v>
      </c>
      <c r="Z613" s="74">
        <v>0.0</v>
      </c>
      <c r="AA613" s="119"/>
      <c r="AB613" s="119"/>
      <c r="AC613" s="119"/>
      <c r="AD613" s="119"/>
      <c r="AE613" s="119"/>
      <c r="AF613" s="119"/>
      <c r="AG613" s="119"/>
      <c r="AH613" s="119"/>
      <c r="AI613" s="119"/>
      <c r="AJ613" s="119"/>
      <c r="AK613" s="74" t="s">
        <v>14818</v>
      </c>
      <c r="AL613" s="74">
        <v>4.0</v>
      </c>
      <c r="AM613" s="74">
        <v>1.0</v>
      </c>
      <c r="AN613" s="74" t="s">
        <v>10629</v>
      </c>
      <c r="AO613" s="120">
        <v>7143.0</v>
      </c>
      <c r="AP613" s="74" t="s">
        <v>14821</v>
      </c>
      <c r="AQ613" s="74" t="s">
        <v>14822</v>
      </c>
      <c r="AR613" s="120">
        <v>613.0</v>
      </c>
    </row>
    <row r="614">
      <c r="A614" s="74" t="s">
        <v>14805</v>
      </c>
      <c r="B614" s="74" t="s">
        <v>6876</v>
      </c>
      <c r="C614" s="74" t="s">
        <v>6877</v>
      </c>
      <c r="D614" s="74" t="s">
        <v>8493</v>
      </c>
      <c r="E614" s="146">
        <v>43843.0</v>
      </c>
      <c r="F614" s="74" t="s">
        <v>14823</v>
      </c>
      <c r="G614" s="74">
        <v>33.0</v>
      </c>
      <c r="H614" s="74">
        <v>1.0</v>
      </c>
      <c r="I614" s="74">
        <v>98.0</v>
      </c>
      <c r="J614" s="119"/>
      <c r="K614" s="119"/>
      <c r="L614" s="74" t="s">
        <v>14827</v>
      </c>
      <c r="M614" s="74" t="s">
        <v>14827</v>
      </c>
      <c r="N614" s="74" t="s">
        <v>14792</v>
      </c>
      <c r="O614" s="74" t="s">
        <v>14830</v>
      </c>
      <c r="P614" s="74" t="s">
        <v>14832</v>
      </c>
      <c r="Q614" s="74" t="s">
        <v>14834</v>
      </c>
      <c r="R614" s="119"/>
      <c r="S614" s="119"/>
      <c r="T614" s="119"/>
      <c r="U614" s="119"/>
      <c r="V614" s="119"/>
      <c r="W614" s="74">
        <v>7.0</v>
      </c>
      <c r="X614" s="74">
        <v>100.0</v>
      </c>
      <c r="Y614" s="74">
        <v>3.0</v>
      </c>
      <c r="Z614" s="74">
        <v>0.0</v>
      </c>
      <c r="AA614" s="119"/>
      <c r="AB614" s="119"/>
      <c r="AC614" s="119"/>
      <c r="AD614" s="119"/>
      <c r="AE614" s="119"/>
      <c r="AF614" s="119"/>
      <c r="AG614" s="119"/>
      <c r="AH614" s="119"/>
      <c r="AI614" s="119"/>
      <c r="AJ614" s="119"/>
      <c r="AK614" s="74" t="s">
        <v>14841</v>
      </c>
      <c r="AL614" s="74">
        <v>4.0</v>
      </c>
      <c r="AM614" s="74">
        <v>1.0</v>
      </c>
      <c r="AN614" s="74" t="s">
        <v>10629</v>
      </c>
      <c r="AO614" s="120">
        <v>7144.0</v>
      </c>
      <c r="AP614" s="74" t="s">
        <v>14843</v>
      </c>
      <c r="AQ614" s="74" t="s">
        <v>14844</v>
      </c>
      <c r="AR614" s="120">
        <v>614.0</v>
      </c>
    </row>
    <row r="615">
      <c r="A615" s="74" t="s">
        <v>14823</v>
      </c>
      <c r="B615" s="74" t="s">
        <v>6876</v>
      </c>
      <c r="C615" s="74" t="s">
        <v>6877</v>
      </c>
      <c r="D615" s="74" t="s">
        <v>8493</v>
      </c>
      <c r="E615" s="146">
        <v>43843.0</v>
      </c>
      <c r="F615" s="74" t="s">
        <v>14845</v>
      </c>
      <c r="G615" s="74">
        <v>65.0</v>
      </c>
      <c r="H615" s="74">
        <v>1.0</v>
      </c>
      <c r="I615" s="74">
        <v>99.0</v>
      </c>
      <c r="J615" s="119"/>
      <c r="K615" s="119"/>
      <c r="L615" s="74" t="s">
        <v>2052</v>
      </c>
      <c r="M615" s="74" t="s">
        <v>2052</v>
      </c>
      <c r="N615" s="74" t="s">
        <v>14848</v>
      </c>
      <c r="O615" s="74" t="s">
        <v>14850</v>
      </c>
      <c r="P615" s="74" t="s">
        <v>14851</v>
      </c>
      <c r="Q615" s="74" t="s">
        <v>14853</v>
      </c>
      <c r="R615" s="119"/>
      <c r="S615" s="119"/>
      <c r="T615" s="119"/>
      <c r="U615" s="119"/>
      <c r="V615" s="119"/>
      <c r="W615" s="74">
        <v>7.0</v>
      </c>
      <c r="X615" s="74">
        <v>100.0</v>
      </c>
      <c r="Y615" s="74">
        <v>3.0</v>
      </c>
      <c r="Z615" s="74">
        <v>0.0</v>
      </c>
      <c r="AA615" s="119"/>
      <c r="AB615" s="119"/>
      <c r="AC615" s="119"/>
      <c r="AD615" s="119"/>
      <c r="AE615" s="119"/>
      <c r="AF615" s="119"/>
      <c r="AG615" s="119"/>
      <c r="AH615" s="119"/>
      <c r="AI615" s="119"/>
      <c r="AJ615" s="119"/>
      <c r="AK615" s="74" t="s">
        <v>14861</v>
      </c>
      <c r="AL615" s="74">
        <v>4.0</v>
      </c>
      <c r="AM615" s="74">
        <v>1.0</v>
      </c>
      <c r="AN615" s="74" t="s">
        <v>10629</v>
      </c>
      <c r="AO615" s="120">
        <v>7145.0</v>
      </c>
      <c r="AP615" s="74" t="s">
        <v>14864</v>
      </c>
      <c r="AQ615" s="74" t="s">
        <v>14865</v>
      </c>
      <c r="AR615" s="120">
        <v>615.0</v>
      </c>
    </row>
    <row r="616">
      <c r="A616" s="74" t="s">
        <v>14845</v>
      </c>
      <c r="B616" s="74" t="s">
        <v>6876</v>
      </c>
      <c r="C616" s="74" t="s">
        <v>6877</v>
      </c>
      <c r="D616" s="74" t="s">
        <v>8493</v>
      </c>
      <c r="E616" s="146">
        <v>43843.0</v>
      </c>
      <c r="F616" s="74" t="s">
        <v>14868</v>
      </c>
      <c r="G616" s="74">
        <v>59.0</v>
      </c>
      <c r="H616" s="74">
        <v>1.0</v>
      </c>
      <c r="I616" s="74">
        <v>99.0</v>
      </c>
      <c r="J616" s="119"/>
      <c r="K616" s="119"/>
      <c r="L616" s="74" t="s">
        <v>2055</v>
      </c>
      <c r="M616" s="74" t="s">
        <v>2055</v>
      </c>
      <c r="N616" s="74" t="s">
        <v>14848</v>
      </c>
      <c r="O616" s="74" t="s">
        <v>14850</v>
      </c>
      <c r="P616" s="74" t="s">
        <v>14851</v>
      </c>
      <c r="Q616" s="74" t="s">
        <v>14853</v>
      </c>
      <c r="R616" s="119"/>
      <c r="S616" s="119"/>
      <c r="T616" s="119"/>
      <c r="U616" s="119"/>
      <c r="V616" s="119"/>
      <c r="W616" s="74">
        <v>7.0</v>
      </c>
      <c r="X616" s="74">
        <v>100.0</v>
      </c>
      <c r="Y616" s="74">
        <v>3.0</v>
      </c>
      <c r="Z616" s="74">
        <v>0.0</v>
      </c>
      <c r="AA616" s="119"/>
      <c r="AB616" s="119"/>
      <c r="AC616" s="119"/>
      <c r="AD616" s="119"/>
      <c r="AE616" s="119"/>
      <c r="AF616" s="119"/>
      <c r="AG616" s="119"/>
      <c r="AH616" s="119"/>
      <c r="AI616" s="119"/>
      <c r="AJ616" s="119"/>
      <c r="AK616" s="74" t="s">
        <v>14879</v>
      </c>
      <c r="AL616" s="74">
        <v>6.0</v>
      </c>
      <c r="AM616" s="74">
        <v>1.0</v>
      </c>
      <c r="AN616" s="74" t="s">
        <v>10629</v>
      </c>
      <c r="AO616" s="120">
        <v>7146.0</v>
      </c>
      <c r="AP616" s="74" t="s">
        <v>14882</v>
      </c>
      <c r="AQ616" s="74" t="s">
        <v>14883</v>
      </c>
      <c r="AR616" s="120">
        <v>616.0</v>
      </c>
    </row>
    <row r="617">
      <c r="A617" s="74" t="s">
        <v>14886</v>
      </c>
      <c r="B617" s="74" t="s">
        <v>6876</v>
      </c>
      <c r="C617" s="74" t="s">
        <v>6877</v>
      </c>
      <c r="D617" s="74" t="s">
        <v>8493</v>
      </c>
      <c r="E617" s="146">
        <v>43843.0</v>
      </c>
      <c r="F617" s="74" t="s">
        <v>14888</v>
      </c>
      <c r="G617" s="74">
        <v>59.0</v>
      </c>
      <c r="H617" s="74">
        <v>1.0</v>
      </c>
      <c r="I617" s="74">
        <v>11.0</v>
      </c>
      <c r="J617" s="119"/>
      <c r="K617" s="119"/>
      <c r="L617" s="74" t="s">
        <v>2057</v>
      </c>
      <c r="M617" s="74" t="s">
        <v>2057</v>
      </c>
      <c r="N617" s="74" t="s">
        <v>14848</v>
      </c>
      <c r="O617" s="74" t="s">
        <v>14850</v>
      </c>
      <c r="P617" s="74" t="s">
        <v>14851</v>
      </c>
      <c r="Q617" s="74" t="s">
        <v>14853</v>
      </c>
      <c r="R617" s="119"/>
      <c r="S617" s="119"/>
      <c r="T617" s="119"/>
      <c r="U617" s="119"/>
      <c r="V617" s="119"/>
      <c r="W617" s="74">
        <v>3.0</v>
      </c>
      <c r="X617" s="74">
        <v>1.0</v>
      </c>
      <c r="Y617" s="74">
        <v>3.0</v>
      </c>
      <c r="Z617" s="74">
        <v>101.0</v>
      </c>
      <c r="AA617" s="74">
        <v>2.0</v>
      </c>
      <c r="AB617" s="74">
        <v>1.0</v>
      </c>
      <c r="AC617" s="74">
        <v>3.0</v>
      </c>
      <c r="AD617" s="74">
        <v>19.0</v>
      </c>
      <c r="AE617" s="74">
        <v>1.0</v>
      </c>
      <c r="AF617" s="74">
        <v>1.0</v>
      </c>
      <c r="AG617" s="74">
        <v>1.0</v>
      </c>
      <c r="AH617" s="74">
        <v>3.0</v>
      </c>
      <c r="AI617" s="74">
        <v>1.0</v>
      </c>
      <c r="AJ617" s="119"/>
      <c r="AK617" s="74" t="s">
        <v>14895</v>
      </c>
      <c r="AL617" s="74">
        <v>6.0</v>
      </c>
      <c r="AM617" s="74">
        <v>1.0</v>
      </c>
      <c r="AN617" s="74" t="s">
        <v>10629</v>
      </c>
      <c r="AO617" s="120">
        <v>7147.0</v>
      </c>
      <c r="AP617" s="74" t="s">
        <v>14899</v>
      </c>
      <c r="AQ617" s="74" t="s">
        <v>14902</v>
      </c>
      <c r="AR617" s="120">
        <v>617.0</v>
      </c>
    </row>
    <row r="618">
      <c r="A618" s="74" t="s">
        <v>14904</v>
      </c>
      <c r="B618" s="74" t="s">
        <v>6876</v>
      </c>
      <c r="C618" s="74" t="s">
        <v>6877</v>
      </c>
      <c r="D618" s="74" t="s">
        <v>8493</v>
      </c>
      <c r="E618" s="146">
        <v>43843.0</v>
      </c>
      <c r="F618" s="74" t="s">
        <v>14907</v>
      </c>
      <c r="G618" s="74">
        <v>59.0</v>
      </c>
      <c r="H618" s="74">
        <v>1.0</v>
      </c>
      <c r="I618" s="74">
        <v>99.0</v>
      </c>
      <c r="J618" s="119"/>
      <c r="K618" s="119"/>
      <c r="L618" s="74" t="s">
        <v>2058</v>
      </c>
      <c r="M618" s="74" t="s">
        <v>2058</v>
      </c>
      <c r="N618" s="74" t="s">
        <v>14848</v>
      </c>
      <c r="O618" s="74" t="s">
        <v>14850</v>
      </c>
      <c r="P618" s="74" t="s">
        <v>14851</v>
      </c>
      <c r="Q618" s="74" t="s">
        <v>14853</v>
      </c>
      <c r="R618" s="119"/>
      <c r="S618" s="119"/>
      <c r="T618" s="119"/>
      <c r="U618" s="119"/>
      <c r="V618" s="119"/>
      <c r="W618" s="74">
        <v>7.0</v>
      </c>
      <c r="X618" s="74">
        <v>100.0</v>
      </c>
      <c r="Y618" s="74">
        <v>3.0</v>
      </c>
      <c r="Z618" s="74">
        <v>0.0</v>
      </c>
      <c r="AA618" s="119"/>
      <c r="AB618" s="119"/>
      <c r="AC618" s="119"/>
      <c r="AD618" s="119"/>
      <c r="AE618" s="119"/>
      <c r="AF618" s="119"/>
      <c r="AG618" s="119"/>
      <c r="AH618" s="119"/>
      <c r="AI618" s="119"/>
      <c r="AJ618" s="119"/>
      <c r="AK618" s="74" t="s">
        <v>14913</v>
      </c>
      <c r="AL618" s="74">
        <v>6.0</v>
      </c>
      <c r="AM618" s="74">
        <v>1.0</v>
      </c>
      <c r="AN618" s="74" t="s">
        <v>10629</v>
      </c>
      <c r="AO618" s="120">
        <v>7148.0</v>
      </c>
      <c r="AP618" s="74" t="s">
        <v>14915</v>
      </c>
      <c r="AQ618" s="74" t="s">
        <v>14916</v>
      </c>
      <c r="AR618" s="120">
        <v>618.0</v>
      </c>
    </row>
    <row r="619">
      <c r="A619" s="74" t="s">
        <v>14917</v>
      </c>
      <c r="B619" s="74" t="s">
        <v>6876</v>
      </c>
      <c r="C619" s="74" t="s">
        <v>6877</v>
      </c>
      <c r="D619" s="74" t="s">
        <v>8493</v>
      </c>
      <c r="E619" s="146">
        <v>43843.0</v>
      </c>
      <c r="F619" s="74" t="s">
        <v>14918</v>
      </c>
      <c r="G619" s="74">
        <v>33.0</v>
      </c>
      <c r="H619" s="74">
        <v>1.0</v>
      </c>
      <c r="I619" s="74">
        <v>98.0</v>
      </c>
      <c r="J619" s="119"/>
      <c r="K619" s="119"/>
      <c r="L619" s="74" t="s">
        <v>2061</v>
      </c>
      <c r="M619" s="74" t="s">
        <v>2061</v>
      </c>
      <c r="N619" s="74" t="s">
        <v>14848</v>
      </c>
      <c r="O619" s="74" t="s">
        <v>14850</v>
      </c>
      <c r="P619" s="74" t="s">
        <v>14851</v>
      </c>
      <c r="Q619" s="74" t="s">
        <v>14853</v>
      </c>
      <c r="R619" s="119"/>
      <c r="S619" s="119"/>
      <c r="T619" s="119"/>
      <c r="U619" s="119"/>
      <c r="V619" s="119"/>
      <c r="W619" s="74">
        <v>7.0</v>
      </c>
      <c r="X619" s="74">
        <v>100.0</v>
      </c>
      <c r="Y619" s="74">
        <v>3.0</v>
      </c>
      <c r="Z619" s="74">
        <v>0.0</v>
      </c>
      <c r="AA619" s="119"/>
      <c r="AB619" s="119"/>
      <c r="AC619" s="119"/>
      <c r="AD619" s="119"/>
      <c r="AE619" s="119"/>
      <c r="AF619" s="119"/>
      <c r="AG619" s="119"/>
      <c r="AH619" s="119"/>
      <c r="AI619" s="119"/>
      <c r="AJ619" s="119"/>
      <c r="AK619" s="74" t="s">
        <v>14928</v>
      </c>
      <c r="AL619" s="74">
        <v>6.0</v>
      </c>
      <c r="AM619" s="74">
        <v>1.0</v>
      </c>
      <c r="AN619" s="74" t="s">
        <v>10629</v>
      </c>
      <c r="AO619" s="120">
        <v>7149.0</v>
      </c>
      <c r="AP619" s="74" t="s">
        <v>14929</v>
      </c>
      <c r="AQ619" s="74" t="s">
        <v>14930</v>
      </c>
      <c r="AR619" s="120">
        <v>619.0</v>
      </c>
    </row>
    <row r="620">
      <c r="A620" s="74" t="s">
        <v>14933</v>
      </c>
      <c r="B620" s="74" t="s">
        <v>6876</v>
      </c>
      <c r="C620" s="74" t="s">
        <v>6877</v>
      </c>
      <c r="D620" s="74" t="s">
        <v>8493</v>
      </c>
      <c r="E620" s="146">
        <v>43850.0</v>
      </c>
      <c r="F620" s="74" t="s">
        <v>14934</v>
      </c>
      <c r="G620" s="74">
        <v>59.0</v>
      </c>
      <c r="H620" s="74">
        <v>1.0</v>
      </c>
      <c r="I620" s="74">
        <v>11.0</v>
      </c>
      <c r="J620" s="119"/>
      <c r="K620" s="119"/>
      <c r="L620" s="74" t="s">
        <v>2063</v>
      </c>
      <c r="M620" s="74" t="s">
        <v>2063</v>
      </c>
      <c r="N620" s="74" t="s">
        <v>14936</v>
      </c>
      <c r="O620" s="74" t="s">
        <v>14937</v>
      </c>
      <c r="P620" s="74" t="s">
        <v>14938</v>
      </c>
      <c r="Q620" s="74" t="s">
        <v>14939</v>
      </c>
      <c r="R620" s="119"/>
      <c r="S620" s="119"/>
      <c r="T620" s="119"/>
      <c r="U620" s="119"/>
      <c r="V620" s="119"/>
      <c r="W620" s="74">
        <v>3.0</v>
      </c>
      <c r="X620" s="74">
        <v>1.0</v>
      </c>
      <c r="Y620" s="74">
        <v>3.0</v>
      </c>
      <c r="Z620" s="74">
        <v>31.0</v>
      </c>
      <c r="AA620" s="74">
        <v>2.0</v>
      </c>
      <c r="AB620" s="74">
        <v>1.0</v>
      </c>
      <c r="AC620" s="74">
        <v>3.0</v>
      </c>
      <c r="AD620" s="74">
        <v>19.0</v>
      </c>
      <c r="AE620" s="74">
        <v>1.0</v>
      </c>
      <c r="AF620" s="74">
        <v>1.0</v>
      </c>
      <c r="AG620" s="74">
        <v>1.0</v>
      </c>
      <c r="AH620" s="74">
        <v>3.0</v>
      </c>
      <c r="AI620" s="74">
        <v>1.0</v>
      </c>
      <c r="AJ620" s="119"/>
      <c r="AK620" s="74" t="s">
        <v>14944</v>
      </c>
      <c r="AL620" s="74">
        <v>6.0</v>
      </c>
      <c r="AM620" s="74">
        <v>1.0</v>
      </c>
      <c r="AN620" s="74" t="s">
        <v>10629</v>
      </c>
      <c r="AO620" s="120">
        <v>7265.0</v>
      </c>
      <c r="AP620" s="74" t="s">
        <v>14945</v>
      </c>
      <c r="AQ620" s="74" t="s">
        <v>14946</v>
      </c>
      <c r="AR620" s="120">
        <v>620.0</v>
      </c>
    </row>
    <row r="621">
      <c r="A621" s="74" t="s">
        <v>14934</v>
      </c>
      <c r="B621" s="74" t="s">
        <v>6876</v>
      </c>
      <c r="C621" s="74" t="s">
        <v>6877</v>
      </c>
      <c r="D621" s="74" t="s">
        <v>8493</v>
      </c>
      <c r="E621" s="146">
        <v>43850.0</v>
      </c>
      <c r="F621" s="74" t="s">
        <v>14950</v>
      </c>
      <c r="G621" s="74">
        <v>59.0</v>
      </c>
      <c r="H621" s="74">
        <v>1.0</v>
      </c>
      <c r="I621" s="74">
        <v>99.0</v>
      </c>
      <c r="J621" s="119"/>
      <c r="K621" s="119"/>
      <c r="L621" s="74" t="s">
        <v>2064</v>
      </c>
      <c r="M621" s="74" t="s">
        <v>2064</v>
      </c>
      <c r="N621" s="74" t="s">
        <v>14936</v>
      </c>
      <c r="O621" s="74" t="s">
        <v>14954</v>
      </c>
      <c r="P621" s="74" t="s">
        <v>14938</v>
      </c>
      <c r="Q621" s="74" t="s">
        <v>14939</v>
      </c>
      <c r="R621" s="119"/>
      <c r="S621" s="119"/>
      <c r="T621" s="119"/>
      <c r="U621" s="119"/>
      <c r="V621" s="119"/>
      <c r="W621" s="74">
        <v>7.0</v>
      </c>
      <c r="X621" s="74">
        <v>100.0</v>
      </c>
      <c r="Y621" s="74">
        <v>3.0</v>
      </c>
      <c r="Z621" s="74">
        <v>0.0</v>
      </c>
      <c r="AA621" s="119"/>
      <c r="AB621" s="119"/>
      <c r="AC621" s="119"/>
      <c r="AD621" s="119"/>
      <c r="AE621" s="119"/>
      <c r="AF621" s="119"/>
      <c r="AG621" s="119"/>
      <c r="AH621" s="119"/>
      <c r="AI621" s="119"/>
      <c r="AJ621" s="119"/>
      <c r="AK621" s="74" t="s">
        <v>14958</v>
      </c>
      <c r="AL621" s="74">
        <v>6.0</v>
      </c>
      <c r="AM621" s="74">
        <v>1.0</v>
      </c>
      <c r="AN621" s="74" t="s">
        <v>10629</v>
      </c>
      <c r="AO621" s="120">
        <v>7266.0</v>
      </c>
      <c r="AP621" s="74" t="s">
        <v>14960</v>
      </c>
      <c r="AQ621" s="74" t="s">
        <v>14961</v>
      </c>
      <c r="AR621" s="120">
        <v>621.0</v>
      </c>
    </row>
    <row r="622">
      <c r="A622" s="74" t="s">
        <v>14962</v>
      </c>
      <c r="B622" s="74" t="s">
        <v>6876</v>
      </c>
      <c r="C622" s="74" t="s">
        <v>6877</v>
      </c>
      <c r="D622" s="74" t="s">
        <v>8493</v>
      </c>
      <c r="E622" s="146">
        <v>43850.0</v>
      </c>
      <c r="F622" s="74" t="s">
        <v>14964</v>
      </c>
      <c r="G622" s="74">
        <v>59.0</v>
      </c>
      <c r="H622" s="74">
        <v>1.0</v>
      </c>
      <c r="I622" s="74">
        <v>11.0</v>
      </c>
      <c r="J622" s="119"/>
      <c r="K622" s="119"/>
      <c r="L622" s="74" t="s">
        <v>2066</v>
      </c>
      <c r="M622" s="74" t="s">
        <v>2066</v>
      </c>
      <c r="N622" s="74" t="s">
        <v>14936</v>
      </c>
      <c r="O622" s="74" t="s">
        <v>14937</v>
      </c>
      <c r="P622" s="74" t="s">
        <v>14938</v>
      </c>
      <c r="Q622" s="74" t="s">
        <v>14939</v>
      </c>
      <c r="R622" s="119"/>
      <c r="S622" s="119"/>
      <c r="T622" s="119"/>
      <c r="U622" s="119"/>
      <c r="V622" s="119"/>
      <c r="W622" s="74">
        <v>3.0</v>
      </c>
      <c r="X622" s="74">
        <v>1.0</v>
      </c>
      <c r="Y622" s="74">
        <v>3.0</v>
      </c>
      <c r="Z622" s="74">
        <v>3.0</v>
      </c>
      <c r="AA622" s="74">
        <v>2.0</v>
      </c>
      <c r="AB622" s="74">
        <v>1.0</v>
      </c>
      <c r="AC622" s="74">
        <v>3.0</v>
      </c>
      <c r="AD622" s="74">
        <v>2.0</v>
      </c>
      <c r="AE622" s="74">
        <v>1.0</v>
      </c>
      <c r="AF622" s="74">
        <v>1.0</v>
      </c>
      <c r="AG622" s="74">
        <v>1.0</v>
      </c>
      <c r="AH622" s="74">
        <v>3.0</v>
      </c>
      <c r="AI622" s="74">
        <v>1.0</v>
      </c>
      <c r="AJ622" s="119"/>
      <c r="AK622" s="74" t="s">
        <v>14974</v>
      </c>
      <c r="AL622" s="74">
        <v>6.0</v>
      </c>
      <c r="AM622" s="74">
        <v>1.0</v>
      </c>
      <c r="AN622" s="74" t="s">
        <v>10629</v>
      </c>
      <c r="AO622" s="120">
        <v>7267.0</v>
      </c>
      <c r="AP622" s="74" t="s">
        <v>14977</v>
      </c>
      <c r="AQ622" s="74" t="s">
        <v>14978</v>
      </c>
      <c r="AR622" s="120">
        <v>622.0</v>
      </c>
    </row>
    <row r="623">
      <c r="A623" s="74" t="s">
        <v>14980</v>
      </c>
      <c r="B623" s="74" t="s">
        <v>6876</v>
      </c>
      <c r="C623" s="74" t="s">
        <v>6877</v>
      </c>
      <c r="D623" s="74" t="s">
        <v>8493</v>
      </c>
      <c r="E623" s="146">
        <v>43850.0</v>
      </c>
      <c r="F623" s="74" t="s">
        <v>14982</v>
      </c>
      <c r="G623" s="74">
        <v>59.0</v>
      </c>
      <c r="H623" s="74">
        <v>1.0</v>
      </c>
      <c r="I623" s="74">
        <v>99.0</v>
      </c>
      <c r="J623" s="119"/>
      <c r="K623" s="119"/>
      <c r="L623" s="74" t="s">
        <v>2067</v>
      </c>
      <c r="M623" s="74" t="s">
        <v>2067</v>
      </c>
      <c r="N623" s="74" t="s">
        <v>14936</v>
      </c>
      <c r="O623" s="74" t="s">
        <v>14954</v>
      </c>
      <c r="P623" s="74" t="s">
        <v>14938</v>
      </c>
      <c r="Q623" s="74" t="s">
        <v>14939</v>
      </c>
      <c r="R623" s="119"/>
      <c r="S623" s="119"/>
      <c r="T623" s="119"/>
      <c r="U623" s="119"/>
      <c r="V623" s="119"/>
      <c r="W623" s="74">
        <v>7.0</v>
      </c>
      <c r="X623" s="74">
        <v>100.0</v>
      </c>
      <c r="Y623" s="74">
        <v>3.0</v>
      </c>
      <c r="Z623" s="74">
        <v>0.0</v>
      </c>
      <c r="AA623" s="119"/>
      <c r="AB623" s="119"/>
      <c r="AC623" s="119"/>
      <c r="AD623" s="119"/>
      <c r="AE623" s="119"/>
      <c r="AF623" s="119"/>
      <c r="AG623" s="119"/>
      <c r="AH623" s="119"/>
      <c r="AI623" s="119"/>
      <c r="AJ623" s="119"/>
      <c r="AK623" s="74" t="s">
        <v>14988</v>
      </c>
      <c r="AL623" s="74">
        <v>6.0</v>
      </c>
      <c r="AM623" s="74">
        <v>1.0</v>
      </c>
      <c r="AN623" s="74" t="s">
        <v>10629</v>
      </c>
      <c r="AO623" s="120">
        <v>7268.0</v>
      </c>
      <c r="AP623" s="74" t="s">
        <v>14993</v>
      </c>
      <c r="AQ623" s="74" t="s">
        <v>14994</v>
      </c>
      <c r="AR623" s="120">
        <v>623.0</v>
      </c>
    </row>
    <row r="624">
      <c r="A624" s="74" t="s">
        <v>14982</v>
      </c>
      <c r="B624" s="74" t="s">
        <v>6876</v>
      </c>
      <c r="C624" s="74" t="s">
        <v>6877</v>
      </c>
      <c r="D624" s="74" t="s">
        <v>8493</v>
      </c>
      <c r="E624" s="146">
        <v>43850.0</v>
      </c>
      <c r="F624" s="74" t="s">
        <v>14998</v>
      </c>
      <c r="G624" s="74">
        <v>59.0</v>
      </c>
      <c r="H624" s="74">
        <v>1.0</v>
      </c>
      <c r="I624" s="74">
        <v>11.0</v>
      </c>
      <c r="J624" s="119"/>
      <c r="K624" s="119"/>
      <c r="L624" s="74" t="s">
        <v>2069</v>
      </c>
      <c r="M624" s="74" t="s">
        <v>2069</v>
      </c>
      <c r="N624" s="74" t="s">
        <v>14936</v>
      </c>
      <c r="O624" s="74" t="s">
        <v>14937</v>
      </c>
      <c r="P624" s="74" t="s">
        <v>14938</v>
      </c>
      <c r="Q624" s="74" t="s">
        <v>14939</v>
      </c>
      <c r="R624" s="119"/>
      <c r="S624" s="119"/>
      <c r="T624" s="119"/>
      <c r="U624" s="119"/>
      <c r="V624" s="119"/>
      <c r="W624" s="74">
        <v>3.0</v>
      </c>
      <c r="X624" s="74">
        <v>1.0</v>
      </c>
      <c r="Y624" s="74">
        <v>1.0</v>
      </c>
      <c r="Z624" s="119"/>
      <c r="AA624" s="74">
        <v>2.0</v>
      </c>
      <c r="AB624" s="74">
        <v>1.0</v>
      </c>
      <c r="AC624" s="74">
        <v>3.0</v>
      </c>
      <c r="AD624" s="74">
        <v>19.0</v>
      </c>
      <c r="AE624" s="74">
        <v>1.0</v>
      </c>
      <c r="AF624" s="74">
        <v>1.0</v>
      </c>
      <c r="AG624" s="74">
        <v>1.0</v>
      </c>
      <c r="AH624" s="74">
        <v>3.0</v>
      </c>
      <c r="AI624" s="74">
        <v>4.0</v>
      </c>
      <c r="AJ624" s="119"/>
      <c r="AK624" s="74" t="s">
        <v>15006</v>
      </c>
      <c r="AL624" s="74">
        <v>6.0</v>
      </c>
      <c r="AM624" s="74">
        <v>1.0</v>
      </c>
      <c r="AN624" s="74" t="s">
        <v>10629</v>
      </c>
      <c r="AO624" s="120">
        <v>7269.0</v>
      </c>
      <c r="AP624" s="74" t="s">
        <v>15011</v>
      </c>
      <c r="AQ624" s="74" t="s">
        <v>15013</v>
      </c>
      <c r="AR624" s="120">
        <v>624.0</v>
      </c>
    </row>
    <row r="625">
      <c r="A625" s="74" t="s">
        <v>14998</v>
      </c>
      <c r="B625" s="74" t="s">
        <v>6876</v>
      </c>
      <c r="C625" s="74" t="s">
        <v>6877</v>
      </c>
      <c r="D625" s="74" t="s">
        <v>8493</v>
      </c>
      <c r="E625" s="146">
        <v>43850.0</v>
      </c>
      <c r="F625" s="74" t="s">
        <v>15017</v>
      </c>
      <c r="G625" s="74">
        <v>59.0</v>
      </c>
      <c r="H625" s="74">
        <v>1.0</v>
      </c>
      <c r="I625" s="74">
        <v>99.0</v>
      </c>
      <c r="J625" s="119"/>
      <c r="K625" s="119"/>
      <c r="L625" s="74" t="s">
        <v>2070</v>
      </c>
      <c r="M625" s="74" t="s">
        <v>2070</v>
      </c>
      <c r="N625" s="74" t="s">
        <v>14936</v>
      </c>
      <c r="O625" s="74" t="s">
        <v>14954</v>
      </c>
      <c r="P625" s="74" t="s">
        <v>14938</v>
      </c>
      <c r="Q625" s="74" t="s">
        <v>14939</v>
      </c>
      <c r="R625" s="119"/>
      <c r="S625" s="119"/>
      <c r="T625" s="119"/>
      <c r="U625" s="119"/>
      <c r="V625" s="119"/>
      <c r="W625" s="74">
        <v>7.0</v>
      </c>
      <c r="X625" s="74">
        <v>100.0</v>
      </c>
      <c r="Y625" s="74">
        <v>3.0</v>
      </c>
      <c r="Z625" s="74">
        <v>0.0</v>
      </c>
      <c r="AA625" s="119"/>
      <c r="AB625" s="119"/>
      <c r="AC625" s="119"/>
      <c r="AD625" s="119"/>
      <c r="AE625" s="119"/>
      <c r="AF625" s="119"/>
      <c r="AG625" s="119"/>
      <c r="AH625" s="119"/>
      <c r="AI625" s="119"/>
      <c r="AJ625" s="119"/>
      <c r="AK625" s="74" t="s">
        <v>15029</v>
      </c>
      <c r="AL625" s="74">
        <v>6.0</v>
      </c>
      <c r="AM625" s="74">
        <v>1.0</v>
      </c>
      <c r="AN625" s="74" t="s">
        <v>10629</v>
      </c>
      <c r="AO625" s="120">
        <v>7270.0</v>
      </c>
      <c r="AP625" s="74" t="s">
        <v>15035</v>
      </c>
      <c r="AQ625" s="74" t="s">
        <v>15036</v>
      </c>
      <c r="AR625" s="120">
        <v>625.0</v>
      </c>
    </row>
    <row r="626">
      <c r="A626" s="74" t="s">
        <v>15017</v>
      </c>
      <c r="B626" s="74" t="s">
        <v>6876</v>
      </c>
      <c r="C626" s="74" t="s">
        <v>6877</v>
      </c>
      <c r="D626" s="74" t="s">
        <v>8493</v>
      </c>
      <c r="E626" s="146">
        <v>43850.0</v>
      </c>
      <c r="F626" s="74" t="s">
        <v>15038</v>
      </c>
      <c r="G626" s="74">
        <v>59.0</v>
      </c>
      <c r="H626" s="74">
        <v>1.0</v>
      </c>
      <c r="I626" s="74">
        <v>11.0</v>
      </c>
      <c r="J626" s="119"/>
      <c r="K626" s="119"/>
      <c r="L626" s="74" t="s">
        <v>2072</v>
      </c>
      <c r="M626" s="74" t="s">
        <v>2072</v>
      </c>
      <c r="N626" s="74" t="s">
        <v>14936</v>
      </c>
      <c r="O626" s="74" t="s">
        <v>14937</v>
      </c>
      <c r="P626" s="74" t="s">
        <v>14938</v>
      </c>
      <c r="Q626" s="74" t="s">
        <v>14939</v>
      </c>
      <c r="R626" s="119"/>
      <c r="S626" s="119"/>
      <c r="T626" s="119"/>
      <c r="U626" s="119"/>
      <c r="V626" s="119"/>
      <c r="W626" s="74">
        <v>3.0</v>
      </c>
      <c r="X626" s="74">
        <v>1.0</v>
      </c>
      <c r="Y626" s="74">
        <v>3.0</v>
      </c>
      <c r="Z626" s="74">
        <v>30.0</v>
      </c>
      <c r="AA626" s="74">
        <v>2.0</v>
      </c>
      <c r="AB626" s="74">
        <v>1.0</v>
      </c>
      <c r="AC626" s="74">
        <v>3.0</v>
      </c>
      <c r="AD626" s="74">
        <v>3.0</v>
      </c>
      <c r="AE626" s="74">
        <v>1.0</v>
      </c>
      <c r="AF626" s="74">
        <v>1.0</v>
      </c>
      <c r="AG626" s="74">
        <v>1.0</v>
      </c>
      <c r="AH626" s="74">
        <v>3.0</v>
      </c>
      <c r="AI626" s="74">
        <v>1.0</v>
      </c>
      <c r="AJ626" s="119"/>
      <c r="AK626" s="74" t="s">
        <v>15044</v>
      </c>
      <c r="AL626" s="74">
        <v>6.0</v>
      </c>
      <c r="AM626" s="74">
        <v>1.0</v>
      </c>
      <c r="AN626" s="74" t="s">
        <v>10629</v>
      </c>
      <c r="AO626" s="120">
        <v>7271.0</v>
      </c>
      <c r="AP626" s="74" t="s">
        <v>15045</v>
      </c>
      <c r="AQ626" s="74" t="s">
        <v>15048</v>
      </c>
      <c r="AR626" s="120">
        <v>626.0</v>
      </c>
    </row>
    <row r="627">
      <c r="A627" s="74" t="s">
        <v>15038</v>
      </c>
      <c r="B627" s="74" t="s">
        <v>6876</v>
      </c>
      <c r="C627" s="74" t="s">
        <v>6877</v>
      </c>
      <c r="D627" s="74" t="s">
        <v>8493</v>
      </c>
      <c r="E627" s="146">
        <v>43850.0</v>
      </c>
      <c r="F627" s="74" t="s">
        <v>15053</v>
      </c>
      <c r="G627" s="74">
        <v>59.0</v>
      </c>
      <c r="H627" s="74">
        <v>1.0</v>
      </c>
      <c r="I627" s="74">
        <v>99.0</v>
      </c>
      <c r="J627" s="119"/>
      <c r="K627" s="119"/>
      <c r="L627" s="74" t="s">
        <v>2073</v>
      </c>
      <c r="M627" s="74" t="s">
        <v>2073</v>
      </c>
      <c r="N627" s="74" t="s">
        <v>14936</v>
      </c>
      <c r="O627" s="74" t="s">
        <v>14954</v>
      </c>
      <c r="P627" s="74" t="s">
        <v>14938</v>
      </c>
      <c r="Q627" s="74" t="s">
        <v>14939</v>
      </c>
      <c r="R627" s="119"/>
      <c r="S627" s="119"/>
      <c r="T627" s="119"/>
      <c r="U627" s="119"/>
      <c r="V627" s="119"/>
      <c r="W627" s="74">
        <v>7.0</v>
      </c>
      <c r="X627" s="74">
        <v>100.0</v>
      </c>
      <c r="Y627" s="74">
        <v>3.0</v>
      </c>
      <c r="Z627" s="74">
        <v>0.0</v>
      </c>
      <c r="AA627" s="119"/>
      <c r="AB627" s="119"/>
      <c r="AC627" s="119"/>
      <c r="AD627" s="119"/>
      <c r="AE627" s="119"/>
      <c r="AF627" s="119"/>
      <c r="AG627" s="119"/>
      <c r="AH627" s="119"/>
      <c r="AI627" s="119"/>
      <c r="AJ627" s="119"/>
      <c r="AK627" s="74" t="s">
        <v>15060</v>
      </c>
      <c r="AL627" s="74">
        <v>6.0</v>
      </c>
      <c r="AM627" s="74">
        <v>1.0</v>
      </c>
      <c r="AN627" s="74" t="s">
        <v>10629</v>
      </c>
      <c r="AO627" s="120">
        <v>7272.0</v>
      </c>
      <c r="AP627" s="74" t="s">
        <v>15062</v>
      </c>
      <c r="AQ627" s="74" t="s">
        <v>15063</v>
      </c>
      <c r="AR627" s="120">
        <v>627.0</v>
      </c>
    </row>
    <row r="628">
      <c r="A628" s="74" t="s">
        <v>15053</v>
      </c>
      <c r="B628" s="74" t="s">
        <v>6876</v>
      </c>
      <c r="C628" s="74" t="s">
        <v>6877</v>
      </c>
      <c r="D628" s="74" t="s">
        <v>8493</v>
      </c>
      <c r="E628" s="146">
        <v>43850.0</v>
      </c>
      <c r="F628" s="74" t="s">
        <v>15064</v>
      </c>
      <c r="G628" s="74">
        <v>33.0</v>
      </c>
      <c r="H628" s="74">
        <v>1.0</v>
      </c>
      <c r="I628" s="74">
        <v>98.0</v>
      </c>
      <c r="J628" s="119"/>
      <c r="K628" s="119"/>
      <c r="L628" s="74" t="s">
        <v>2076</v>
      </c>
      <c r="M628" s="74" t="s">
        <v>2076</v>
      </c>
      <c r="N628" s="74" t="s">
        <v>14936</v>
      </c>
      <c r="O628" s="74" t="s">
        <v>14954</v>
      </c>
      <c r="P628" s="74" t="s">
        <v>14938</v>
      </c>
      <c r="Q628" s="74" t="s">
        <v>14939</v>
      </c>
      <c r="R628" s="119"/>
      <c r="S628" s="119"/>
      <c r="T628" s="119"/>
      <c r="U628" s="119"/>
      <c r="V628" s="119"/>
      <c r="W628" s="74">
        <v>7.0</v>
      </c>
      <c r="X628" s="74">
        <v>100.0</v>
      </c>
      <c r="Y628" s="74">
        <v>3.0</v>
      </c>
      <c r="Z628" s="74">
        <v>0.0</v>
      </c>
      <c r="AA628" s="119"/>
      <c r="AB628" s="119"/>
      <c r="AC628" s="119"/>
      <c r="AD628" s="119"/>
      <c r="AE628" s="119"/>
      <c r="AF628" s="119"/>
      <c r="AG628" s="119"/>
      <c r="AH628" s="119"/>
      <c r="AI628" s="119"/>
      <c r="AJ628" s="119"/>
      <c r="AK628" s="74" t="s">
        <v>11376</v>
      </c>
      <c r="AL628" s="74">
        <v>6.0</v>
      </c>
      <c r="AM628" s="74">
        <v>1.0</v>
      </c>
      <c r="AN628" s="74" t="s">
        <v>10629</v>
      </c>
      <c r="AO628" s="120">
        <v>7273.0</v>
      </c>
      <c r="AP628" s="74" t="s">
        <v>15076</v>
      </c>
      <c r="AQ628" s="74" t="s">
        <v>15077</v>
      </c>
      <c r="AR628" s="120">
        <v>628.0</v>
      </c>
    </row>
    <row r="629">
      <c r="A629" s="74" t="s">
        <v>15078</v>
      </c>
      <c r="B629" s="74" t="s">
        <v>6876</v>
      </c>
      <c r="C629" s="74" t="s">
        <v>6877</v>
      </c>
      <c r="D629" s="74" t="s">
        <v>8493</v>
      </c>
      <c r="E629" s="146">
        <v>43850.0</v>
      </c>
      <c r="F629" s="74" t="s">
        <v>15080</v>
      </c>
      <c r="G629" s="74">
        <v>57.0</v>
      </c>
      <c r="H629" s="74">
        <v>1.0</v>
      </c>
      <c r="I629" s="74">
        <v>99.0</v>
      </c>
      <c r="J629" s="119"/>
      <c r="K629" s="119"/>
      <c r="L629" s="74" t="s">
        <v>2078</v>
      </c>
      <c r="M629" s="74" t="s">
        <v>2078</v>
      </c>
      <c r="N629" s="74" t="s">
        <v>15086</v>
      </c>
      <c r="O629" s="74" t="s">
        <v>15087</v>
      </c>
      <c r="P629" s="74" t="s">
        <v>14939</v>
      </c>
      <c r="Q629" s="74" t="s">
        <v>15089</v>
      </c>
      <c r="R629" s="119"/>
      <c r="S629" s="119"/>
      <c r="T629" s="119"/>
      <c r="U629" s="119"/>
      <c r="V629" s="119"/>
      <c r="W629" s="74">
        <v>7.0</v>
      </c>
      <c r="X629" s="74">
        <v>100.0</v>
      </c>
      <c r="Y629" s="74">
        <v>3.0</v>
      </c>
      <c r="Z629" s="74">
        <v>0.0</v>
      </c>
      <c r="AA629" s="119"/>
      <c r="AB629" s="119"/>
      <c r="AC629" s="119"/>
      <c r="AD629" s="119"/>
      <c r="AE629" s="119"/>
      <c r="AF629" s="119"/>
      <c r="AG629" s="119"/>
      <c r="AH629" s="119"/>
      <c r="AI629" s="119"/>
      <c r="AJ629" s="119"/>
      <c r="AK629" s="74" t="s">
        <v>15092</v>
      </c>
      <c r="AL629" s="74">
        <v>6.0</v>
      </c>
      <c r="AM629" s="74">
        <v>1.0</v>
      </c>
      <c r="AN629" s="74" t="s">
        <v>10629</v>
      </c>
      <c r="AO629" s="120">
        <v>7274.0</v>
      </c>
      <c r="AP629" s="74" t="s">
        <v>15093</v>
      </c>
      <c r="AQ629" s="74" t="s">
        <v>15094</v>
      </c>
      <c r="AR629" s="120">
        <v>629.0</v>
      </c>
    </row>
    <row r="630">
      <c r="A630" s="74" t="s">
        <v>15080</v>
      </c>
      <c r="B630" s="74" t="s">
        <v>6876</v>
      </c>
      <c r="C630" s="74" t="s">
        <v>6877</v>
      </c>
      <c r="D630" s="74" t="s">
        <v>8493</v>
      </c>
      <c r="E630" s="146">
        <v>43850.0</v>
      </c>
      <c r="F630" s="74" t="s">
        <v>15096</v>
      </c>
      <c r="G630" s="74">
        <v>57.0</v>
      </c>
      <c r="H630" s="74">
        <v>1.0</v>
      </c>
      <c r="I630" s="74">
        <v>99.0</v>
      </c>
      <c r="J630" s="119"/>
      <c r="K630" s="119"/>
      <c r="L630" s="74" t="s">
        <v>2081</v>
      </c>
      <c r="M630" s="74" t="s">
        <v>2081</v>
      </c>
      <c r="N630" s="74" t="s">
        <v>15086</v>
      </c>
      <c r="O630" s="74" t="s">
        <v>15087</v>
      </c>
      <c r="P630" s="74" t="s">
        <v>14939</v>
      </c>
      <c r="Q630" s="74" t="s">
        <v>15089</v>
      </c>
      <c r="R630" s="119"/>
      <c r="S630" s="119"/>
      <c r="T630" s="119"/>
      <c r="U630" s="119"/>
      <c r="V630" s="119"/>
      <c r="W630" s="74">
        <v>7.0</v>
      </c>
      <c r="X630" s="74">
        <v>100.0</v>
      </c>
      <c r="Y630" s="74">
        <v>3.0</v>
      </c>
      <c r="Z630" s="74">
        <v>0.0</v>
      </c>
      <c r="AA630" s="119"/>
      <c r="AB630" s="119"/>
      <c r="AC630" s="119"/>
      <c r="AD630" s="119"/>
      <c r="AE630" s="119"/>
      <c r="AF630" s="119"/>
      <c r="AG630" s="119"/>
      <c r="AH630" s="119"/>
      <c r="AI630" s="119"/>
      <c r="AJ630" s="119"/>
      <c r="AK630" s="74" t="s">
        <v>15102</v>
      </c>
      <c r="AL630" s="74">
        <v>6.0</v>
      </c>
      <c r="AM630" s="74">
        <v>1.0</v>
      </c>
      <c r="AN630" s="74" t="s">
        <v>10629</v>
      </c>
      <c r="AO630" s="120">
        <v>7275.0</v>
      </c>
      <c r="AP630" s="74" t="s">
        <v>15106</v>
      </c>
      <c r="AQ630" s="74" t="s">
        <v>15108</v>
      </c>
      <c r="AR630" s="120">
        <v>630.0</v>
      </c>
    </row>
    <row r="631">
      <c r="A631" s="74" t="s">
        <v>15096</v>
      </c>
      <c r="B631" s="74" t="s">
        <v>6876</v>
      </c>
      <c r="C631" s="74" t="s">
        <v>6877</v>
      </c>
      <c r="D631" s="74" t="s">
        <v>8493</v>
      </c>
      <c r="E631" s="146">
        <v>43850.0</v>
      </c>
      <c r="F631" s="74" t="s">
        <v>15111</v>
      </c>
      <c r="G631" s="74">
        <v>55.0</v>
      </c>
      <c r="H631" s="74">
        <v>1.0</v>
      </c>
      <c r="I631" s="74">
        <v>99.0</v>
      </c>
      <c r="J631" s="119"/>
      <c r="K631" s="119"/>
      <c r="L631" s="74" t="s">
        <v>2084</v>
      </c>
      <c r="M631" s="74" t="s">
        <v>2084</v>
      </c>
      <c r="N631" s="74" t="s">
        <v>15086</v>
      </c>
      <c r="O631" s="74" t="s">
        <v>15087</v>
      </c>
      <c r="P631" s="74" t="s">
        <v>14939</v>
      </c>
      <c r="Q631" s="74" t="s">
        <v>15089</v>
      </c>
      <c r="R631" s="119"/>
      <c r="S631" s="119"/>
      <c r="T631" s="119"/>
      <c r="U631" s="119"/>
      <c r="V631" s="119"/>
      <c r="W631" s="74">
        <v>7.0</v>
      </c>
      <c r="X631" s="74">
        <v>100.0</v>
      </c>
      <c r="Y631" s="74">
        <v>3.0</v>
      </c>
      <c r="Z631" s="74">
        <v>0.0</v>
      </c>
      <c r="AA631" s="119"/>
      <c r="AB631" s="119"/>
      <c r="AC631" s="119"/>
      <c r="AD631" s="119"/>
      <c r="AE631" s="119"/>
      <c r="AF631" s="119"/>
      <c r="AG631" s="119"/>
      <c r="AH631" s="119"/>
      <c r="AI631" s="119"/>
      <c r="AJ631" s="119"/>
      <c r="AK631" s="74" t="s">
        <v>15117</v>
      </c>
      <c r="AL631" s="74">
        <v>6.0</v>
      </c>
      <c r="AM631" s="74">
        <v>1.0</v>
      </c>
      <c r="AN631" s="74" t="s">
        <v>10629</v>
      </c>
      <c r="AO631" s="120">
        <v>7276.0</v>
      </c>
      <c r="AP631" s="74" t="s">
        <v>15120</v>
      </c>
      <c r="AQ631" s="74" t="s">
        <v>15121</v>
      </c>
      <c r="AR631" s="120">
        <v>631.0</v>
      </c>
    </row>
    <row r="632">
      <c r="A632" s="74" t="s">
        <v>15124</v>
      </c>
      <c r="B632" s="74" t="s">
        <v>6876</v>
      </c>
      <c r="C632" s="74" t="s">
        <v>6877</v>
      </c>
      <c r="D632" s="74" t="s">
        <v>8493</v>
      </c>
      <c r="E632" s="146">
        <v>43850.0</v>
      </c>
      <c r="F632" s="74" t="s">
        <v>15128</v>
      </c>
      <c r="G632" s="74">
        <v>57.0</v>
      </c>
      <c r="H632" s="74">
        <v>1.0</v>
      </c>
      <c r="I632" s="74">
        <v>16.0</v>
      </c>
      <c r="J632" s="119"/>
      <c r="K632" s="119"/>
      <c r="L632" s="74" t="s">
        <v>2086</v>
      </c>
      <c r="M632" s="74" t="s">
        <v>2086</v>
      </c>
      <c r="N632" s="74" t="s">
        <v>15130</v>
      </c>
      <c r="O632" s="74" t="s">
        <v>15131</v>
      </c>
      <c r="P632" s="74" t="s">
        <v>14939</v>
      </c>
      <c r="Q632" s="74" t="s">
        <v>15089</v>
      </c>
      <c r="R632" s="119"/>
      <c r="S632" s="119"/>
      <c r="T632" s="119"/>
      <c r="U632" s="119"/>
      <c r="V632" s="119"/>
      <c r="W632" s="74">
        <v>3.0</v>
      </c>
      <c r="X632" s="74">
        <v>1.0</v>
      </c>
      <c r="Y632" s="74">
        <v>3.0</v>
      </c>
      <c r="Z632" s="74">
        <v>0.0</v>
      </c>
      <c r="AA632" s="74">
        <v>2.0</v>
      </c>
      <c r="AB632" s="74">
        <v>1.0</v>
      </c>
      <c r="AC632" s="74">
        <v>3.0</v>
      </c>
      <c r="AD632" s="74">
        <v>0.0</v>
      </c>
      <c r="AE632" s="74">
        <v>1.0</v>
      </c>
      <c r="AF632" s="74">
        <v>1.0</v>
      </c>
      <c r="AG632" s="74">
        <v>1.0</v>
      </c>
      <c r="AH632" s="74">
        <v>3.0</v>
      </c>
      <c r="AI632" s="74">
        <v>0.0</v>
      </c>
      <c r="AJ632" s="119"/>
      <c r="AK632" s="74" t="s">
        <v>15137</v>
      </c>
      <c r="AL632" s="74">
        <v>6.0</v>
      </c>
      <c r="AM632" s="74">
        <v>1.0</v>
      </c>
      <c r="AN632" s="74" t="s">
        <v>10629</v>
      </c>
      <c r="AO632" s="120">
        <v>7277.0</v>
      </c>
      <c r="AP632" s="74" t="s">
        <v>15139</v>
      </c>
      <c r="AQ632" s="74" t="s">
        <v>15140</v>
      </c>
      <c r="AR632" s="120">
        <v>632.0</v>
      </c>
    </row>
    <row r="633">
      <c r="A633" s="74" t="s">
        <v>15128</v>
      </c>
      <c r="B633" s="74" t="s">
        <v>6876</v>
      </c>
      <c r="C633" s="74" t="s">
        <v>6877</v>
      </c>
      <c r="D633" s="74" t="s">
        <v>8493</v>
      </c>
      <c r="E633" s="146">
        <v>43850.0</v>
      </c>
      <c r="F633" s="74" t="s">
        <v>15143</v>
      </c>
      <c r="G633" s="74">
        <v>58.0</v>
      </c>
      <c r="H633" s="74">
        <v>2.0</v>
      </c>
      <c r="I633" s="74">
        <v>15.0</v>
      </c>
      <c r="J633" s="119"/>
      <c r="K633" s="74">
        <v>151.0</v>
      </c>
      <c r="L633" s="74" t="s">
        <v>676</v>
      </c>
      <c r="M633" s="74" t="s">
        <v>676</v>
      </c>
      <c r="N633" s="74" t="s">
        <v>15149</v>
      </c>
      <c r="O633" s="74" t="s">
        <v>15150</v>
      </c>
      <c r="P633" s="74" t="s">
        <v>15152</v>
      </c>
      <c r="Q633" s="74" t="s">
        <v>15153</v>
      </c>
      <c r="R633" s="119"/>
      <c r="S633" s="119"/>
      <c r="T633" s="119"/>
      <c r="U633" s="119"/>
      <c r="V633" s="119"/>
      <c r="W633" s="74">
        <v>6.0</v>
      </c>
      <c r="X633" s="74">
        <v>1.0</v>
      </c>
      <c r="Y633" s="74">
        <v>3.0</v>
      </c>
      <c r="Z633" s="74">
        <v>2.0</v>
      </c>
      <c r="AA633" s="74">
        <v>5.0</v>
      </c>
      <c r="AB633" s="74">
        <v>1.0</v>
      </c>
      <c r="AC633" s="74">
        <v>3.0</v>
      </c>
      <c r="AD633" s="74">
        <v>1.0</v>
      </c>
      <c r="AE633" s="74">
        <v>1.0</v>
      </c>
      <c r="AF633" s="74">
        <v>4.0</v>
      </c>
      <c r="AG633" s="74">
        <v>1.0</v>
      </c>
      <c r="AH633" s="74">
        <v>3.0</v>
      </c>
      <c r="AI633" s="74">
        <v>0.0</v>
      </c>
      <c r="AJ633" s="119"/>
      <c r="AK633" s="74" t="s">
        <v>15156</v>
      </c>
      <c r="AL633" s="74">
        <v>4.0</v>
      </c>
      <c r="AM633" s="74">
        <v>1.0</v>
      </c>
      <c r="AN633" s="74" t="s">
        <v>10629</v>
      </c>
      <c r="AO633" s="120">
        <v>7278.0</v>
      </c>
      <c r="AP633" s="74" t="s">
        <v>15158</v>
      </c>
      <c r="AQ633" s="74" t="s">
        <v>15159</v>
      </c>
      <c r="AR633" s="120">
        <v>633.0</v>
      </c>
    </row>
    <row r="634">
      <c r="A634" s="74" t="s">
        <v>15143</v>
      </c>
      <c r="B634" s="74" t="s">
        <v>6876</v>
      </c>
      <c r="C634" s="74" t="s">
        <v>6877</v>
      </c>
      <c r="D634" s="74" t="s">
        <v>8493</v>
      </c>
      <c r="E634" s="146">
        <v>43850.0</v>
      </c>
      <c r="F634" s="74" t="s">
        <v>15160</v>
      </c>
      <c r="G634" s="74">
        <v>58.0</v>
      </c>
      <c r="H634" s="74">
        <v>2.0</v>
      </c>
      <c r="I634" s="74">
        <v>15.0</v>
      </c>
      <c r="J634" s="119"/>
      <c r="K634" s="74">
        <v>152.0</v>
      </c>
      <c r="L634" s="74" t="s">
        <v>678</v>
      </c>
      <c r="M634" s="74" t="s">
        <v>678</v>
      </c>
      <c r="N634" s="74" t="s">
        <v>15149</v>
      </c>
      <c r="O634" s="74" t="s">
        <v>15150</v>
      </c>
      <c r="P634" s="74" t="s">
        <v>15152</v>
      </c>
      <c r="Q634" s="74" t="s">
        <v>15153</v>
      </c>
      <c r="R634" s="119"/>
      <c r="S634" s="119"/>
      <c r="T634" s="119"/>
      <c r="U634" s="119"/>
      <c r="V634" s="119"/>
      <c r="W634" s="74">
        <v>6.0</v>
      </c>
      <c r="X634" s="74">
        <v>1.0</v>
      </c>
      <c r="Y634" s="74">
        <v>3.0</v>
      </c>
      <c r="Z634" s="74">
        <v>0.0</v>
      </c>
      <c r="AA634" s="74">
        <v>5.0</v>
      </c>
      <c r="AB634" s="74">
        <v>1.0</v>
      </c>
      <c r="AC634" s="74">
        <v>3.0</v>
      </c>
      <c r="AD634" s="74">
        <v>0.0</v>
      </c>
      <c r="AE634" s="74">
        <v>1.0</v>
      </c>
      <c r="AF634" s="74">
        <v>4.0</v>
      </c>
      <c r="AG634" s="74">
        <v>1.0</v>
      </c>
      <c r="AH634" s="74">
        <v>3.0</v>
      </c>
      <c r="AI634" s="74">
        <v>0.0</v>
      </c>
      <c r="AJ634" s="119"/>
      <c r="AK634" s="74" t="s">
        <v>15168</v>
      </c>
      <c r="AL634" s="74">
        <v>4.0</v>
      </c>
      <c r="AM634" s="74">
        <v>1.0</v>
      </c>
      <c r="AN634" s="74" t="s">
        <v>10629</v>
      </c>
      <c r="AO634" s="120">
        <v>7279.0</v>
      </c>
      <c r="AP634" s="74" t="s">
        <v>15170</v>
      </c>
      <c r="AQ634" s="74" t="s">
        <v>15171</v>
      </c>
      <c r="AR634" s="120">
        <v>634.0</v>
      </c>
    </row>
    <row r="635">
      <c r="A635" s="74" t="s">
        <v>15160</v>
      </c>
      <c r="B635" s="74" t="s">
        <v>6876</v>
      </c>
      <c r="C635" s="74" t="s">
        <v>6877</v>
      </c>
      <c r="D635" s="74" t="s">
        <v>8493</v>
      </c>
      <c r="E635" s="146">
        <v>43850.0</v>
      </c>
      <c r="F635" s="74" t="s">
        <v>15174</v>
      </c>
      <c r="G635" s="74">
        <v>58.0</v>
      </c>
      <c r="H635" s="74">
        <v>2.0</v>
      </c>
      <c r="I635" s="74">
        <v>15.0</v>
      </c>
      <c r="J635" s="119"/>
      <c r="K635" s="74">
        <v>152.0</v>
      </c>
      <c r="L635" s="74" t="s">
        <v>679</v>
      </c>
      <c r="M635" s="74" t="s">
        <v>679</v>
      </c>
      <c r="N635" s="74" t="s">
        <v>15149</v>
      </c>
      <c r="O635" s="74" t="s">
        <v>15150</v>
      </c>
      <c r="P635" s="74" t="s">
        <v>15152</v>
      </c>
      <c r="Q635" s="74" t="s">
        <v>15153</v>
      </c>
      <c r="R635" s="119"/>
      <c r="S635" s="119"/>
      <c r="T635" s="119"/>
      <c r="U635" s="119"/>
      <c r="V635" s="119"/>
      <c r="W635" s="74">
        <v>6.0</v>
      </c>
      <c r="X635" s="74">
        <v>1.0</v>
      </c>
      <c r="Y635" s="74">
        <v>3.0</v>
      </c>
      <c r="Z635" s="74">
        <v>0.0</v>
      </c>
      <c r="AA635" s="74">
        <v>5.0</v>
      </c>
      <c r="AB635" s="74">
        <v>1.0</v>
      </c>
      <c r="AC635" s="74">
        <v>3.0</v>
      </c>
      <c r="AD635" s="74">
        <v>0.0</v>
      </c>
      <c r="AE635" s="74">
        <v>1.0</v>
      </c>
      <c r="AF635" s="74">
        <v>4.0</v>
      </c>
      <c r="AG635" s="74">
        <v>1.0</v>
      </c>
      <c r="AH635" s="74">
        <v>3.0</v>
      </c>
      <c r="AI635" s="74">
        <v>0.0</v>
      </c>
      <c r="AJ635" s="119"/>
      <c r="AK635" s="74" t="s">
        <v>15179</v>
      </c>
      <c r="AL635" s="74">
        <v>4.0</v>
      </c>
      <c r="AM635" s="74">
        <v>1.0</v>
      </c>
      <c r="AN635" s="74" t="s">
        <v>10629</v>
      </c>
      <c r="AO635" s="120">
        <v>7280.0</v>
      </c>
      <c r="AP635" s="74" t="s">
        <v>15180</v>
      </c>
      <c r="AQ635" s="74" t="s">
        <v>15181</v>
      </c>
      <c r="AR635" s="120">
        <v>635.0</v>
      </c>
    </row>
    <row r="636">
      <c r="A636" s="74" t="s">
        <v>15174</v>
      </c>
      <c r="B636" s="74" t="s">
        <v>6876</v>
      </c>
      <c r="C636" s="74" t="s">
        <v>6877</v>
      </c>
      <c r="D636" s="74" t="s">
        <v>8493</v>
      </c>
      <c r="E636" s="146">
        <v>43850.0</v>
      </c>
      <c r="F636" s="74" t="s">
        <v>15186</v>
      </c>
      <c r="G636" s="74">
        <v>58.0</v>
      </c>
      <c r="H636" s="74">
        <v>2.0</v>
      </c>
      <c r="I636" s="74">
        <v>15.0</v>
      </c>
      <c r="J636" s="119"/>
      <c r="K636" s="74">
        <v>152.0</v>
      </c>
      <c r="L636" s="74" t="s">
        <v>681</v>
      </c>
      <c r="M636" s="74" t="s">
        <v>681</v>
      </c>
      <c r="N636" s="74" t="s">
        <v>15149</v>
      </c>
      <c r="O636" s="74" t="s">
        <v>15150</v>
      </c>
      <c r="P636" s="74" t="s">
        <v>15152</v>
      </c>
      <c r="Q636" s="74" t="s">
        <v>15153</v>
      </c>
      <c r="R636" s="119"/>
      <c r="S636" s="119"/>
      <c r="T636" s="119"/>
      <c r="U636" s="119"/>
      <c r="V636" s="119"/>
      <c r="W636" s="74">
        <v>6.0</v>
      </c>
      <c r="X636" s="74">
        <v>1.0</v>
      </c>
      <c r="Y636" s="74">
        <v>3.0</v>
      </c>
      <c r="Z636" s="74">
        <v>0.0</v>
      </c>
      <c r="AA636" s="74">
        <v>5.0</v>
      </c>
      <c r="AB636" s="74">
        <v>1.0</v>
      </c>
      <c r="AC636" s="74">
        <v>3.0</v>
      </c>
      <c r="AD636" s="74">
        <v>0.0</v>
      </c>
      <c r="AE636" s="74">
        <v>1.0</v>
      </c>
      <c r="AF636" s="74">
        <v>4.0</v>
      </c>
      <c r="AG636" s="74">
        <v>1.0</v>
      </c>
      <c r="AH636" s="74">
        <v>3.0</v>
      </c>
      <c r="AI636" s="74">
        <v>0.0</v>
      </c>
      <c r="AJ636" s="119"/>
      <c r="AK636" s="74" t="s">
        <v>15192</v>
      </c>
      <c r="AL636" s="74">
        <v>6.0</v>
      </c>
      <c r="AM636" s="74">
        <v>1.0</v>
      </c>
      <c r="AN636" s="74" t="s">
        <v>10629</v>
      </c>
      <c r="AO636" s="120">
        <v>7281.0</v>
      </c>
      <c r="AP636" s="74" t="s">
        <v>15194</v>
      </c>
      <c r="AQ636" s="74" t="s">
        <v>15195</v>
      </c>
      <c r="AR636" s="120">
        <v>636.0</v>
      </c>
    </row>
    <row r="637">
      <c r="A637" s="74" t="s">
        <v>15186</v>
      </c>
      <c r="B637" s="74" t="s">
        <v>6876</v>
      </c>
      <c r="C637" s="74" t="s">
        <v>6877</v>
      </c>
      <c r="D637" s="74" t="s">
        <v>8493</v>
      </c>
      <c r="E637" s="146">
        <v>43850.0</v>
      </c>
      <c r="F637" s="74" t="s">
        <v>15198</v>
      </c>
      <c r="G637" s="74">
        <v>58.0</v>
      </c>
      <c r="H637" s="74">
        <v>2.0</v>
      </c>
      <c r="I637" s="74">
        <v>99.0</v>
      </c>
      <c r="J637" s="119"/>
      <c r="K637" s="119"/>
      <c r="L637" s="74" t="s">
        <v>684</v>
      </c>
      <c r="M637" s="74" t="s">
        <v>684</v>
      </c>
      <c r="N637" s="74" t="s">
        <v>15149</v>
      </c>
      <c r="O637" s="74" t="s">
        <v>15150</v>
      </c>
      <c r="P637" s="74" t="s">
        <v>15152</v>
      </c>
      <c r="Q637" s="74" t="s">
        <v>15153</v>
      </c>
      <c r="R637" s="119"/>
      <c r="S637" s="119"/>
      <c r="T637" s="119"/>
      <c r="U637" s="119"/>
      <c r="V637" s="119"/>
      <c r="W637" s="74">
        <v>7.0</v>
      </c>
      <c r="X637" s="74">
        <v>100.0</v>
      </c>
      <c r="Y637" s="74">
        <v>3.0</v>
      </c>
      <c r="Z637" s="74">
        <v>0.0</v>
      </c>
      <c r="AA637" s="119"/>
      <c r="AB637" s="119"/>
      <c r="AC637" s="119"/>
      <c r="AD637" s="119"/>
      <c r="AE637" s="119"/>
      <c r="AF637" s="119"/>
      <c r="AG637" s="119"/>
      <c r="AH637" s="119"/>
      <c r="AI637" s="119"/>
      <c r="AJ637" s="119"/>
      <c r="AK637" s="74" t="s">
        <v>15207</v>
      </c>
      <c r="AL637" s="74">
        <v>6.0</v>
      </c>
      <c r="AM637" s="74">
        <v>1.0</v>
      </c>
      <c r="AN637" s="74" t="s">
        <v>10629</v>
      </c>
      <c r="AO637" s="120">
        <v>7282.0</v>
      </c>
      <c r="AP637" s="74" t="s">
        <v>15211</v>
      </c>
      <c r="AQ637" s="74" t="s">
        <v>15212</v>
      </c>
      <c r="AR637" s="120">
        <v>637.0</v>
      </c>
    </row>
    <row r="638">
      <c r="A638" s="74" t="s">
        <v>15198</v>
      </c>
      <c r="B638" s="74" t="s">
        <v>6876</v>
      </c>
      <c r="C638" s="74" t="s">
        <v>6877</v>
      </c>
      <c r="D638" s="74" t="s">
        <v>8493</v>
      </c>
      <c r="E638" s="146">
        <v>43850.0</v>
      </c>
      <c r="F638" s="74" t="s">
        <v>15213</v>
      </c>
      <c r="G638" s="74">
        <v>58.0</v>
      </c>
      <c r="H638" s="74">
        <v>2.0</v>
      </c>
      <c r="I638" s="74">
        <v>15.0</v>
      </c>
      <c r="J638" s="119"/>
      <c r="K638" s="74">
        <v>151.0</v>
      </c>
      <c r="L638" s="74" t="s">
        <v>686</v>
      </c>
      <c r="M638" s="74" t="s">
        <v>686</v>
      </c>
      <c r="N638" s="74" t="s">
        <v>15149</v>
      </c>
      <c r="O638" s="74" t="s">
        <v>15150</v>
      </c>
      <c r="P638" s="74" t="s">
        <v>15152</v>
      </c>
      <c r="Q638" s="74" t="s">
        <v>15153</v>
      </c>
      <c r="R638" s="119"/>
      <c r="S638" s="119"/>
      <c r="T638" s="119"/>
      <c r="U638" s="119"/>
      <c r="V638" s="119"/>
      <c r="W638" s="74">
        <v>6.0</v>
      </c>
      <c r="X638" s="74">
        <v>1.0</v>
      </c>
      <c r="Y638" s="74">
        <v>3.0</v>
      </c>
      <c r="Z638" s="74">
        <v>56.0</v>
      </c>
      <c r="AA638" s="74">
        <v>5.0</v>
      </c>
      <c r="AB638" s="74">
        <v>1.0</v>
      </c>
      <c r="AC638" s="74">
        <v>3.0</v>
      </c>
      <c r="AD638" s="74">
        <v>10.0</v>
      </c>
      <c r="AE638" s="74">
        <v>1.0</v>
      </c>
      <c r="AF638" s="74">
        <v>4.0</v>
      </c>
      <c r="AG638" s="74">
        <v>1.0</v>
      </c>
      <c r="AH638" s="74">
        <v>3.0</v>
      </c>
      <c r="AI638" s="74">
        <v>0.0</v>
      </c>
      <c r="AJ638" s="119"/>
      <c r="AK638" s="74" t="s">
        <v>15216</v>
      </c>
      <c r="AL638" s="74">
        <v>6.0</v>
      </c>
      <c r="AM638" s="74">
        <v>1.0</v>
      </c>
      <c r="AN638" s="74" t="s">
        <v>10629</v>
      </c>
      <c r="AO638" s="120">
        <v>7283.0</v>
      </c>
      <c r="AP638" s="74" t="s">
        <v>15218</v>
      </c>
      <c r="AQ638" s="74" t="s">
        <v>15219</v>
      </c>
      <c r="AR638" s="120">
        <v>638.0</v>
      </c>
    </row>
    <row r="639">
      <c r="A639" s="74" t="s">
        <v>15213</v>
      </c>
      <c r="B639" s="74" t="s">
        <v>6876</v>
      </c>
      <c r="C639" s="74" t="s">
        <v>6877</v>
      </c>
      <c r="D639" s="74" t="s">
        <v>8493</v>
      </c>
      <c r="E639" s="146">
        <v>43850.0</v>
      </c>
      <c r="F639" s="74" t="s">
        <v>15221</v>
      </c>
      <c r="G639" s="74">
        <v>58.0</v>
      </c>
      <c r="H639" s="74">
        <v>2.0</v>
      </c>
      <c r="I639" s="74">
        <v>15.0</v>
      </c>
      <c r="J639" s="119"/>
      <c r="K639" s="74">
        <v>152.0</v>
      </c>
      <c r="L639" s="74" t="s">
        <v>688</v>
      </c>
      <c r="M639" s="74" t="s">
        <v>688</v>
      </c>
      <c r="N639" s="74" t="s">
        <v>15149</v>
      </c>
      <c r="O639" s="74" t="s">
        <v>15150</v>
      </c>
      <c r="P639" s="74" t="s">
        <v>15152</v>
      </c>
      <c r="Q639" s="74" t="s">
        <v>15153</v>
      </c>
      <c r="R639" s="119"/>
      <c r="S639" s="119"/>
      <c r="T639" s="119"/>
      <c r="U639" s="119"/>
      <c r="V639" s="119"/>
      <c r="W639" s="74">
        <v>6.0</v>
      </c>
      <c r="X639" s="74">
        <v>1.0</v>
      </c>
      <c r="Y639" s="74">
        <v>3.0</v>
      </c>
      <c r="Z639" s="74">
        <v>16.0</v>
      </c>
      <c r="AA639" s="74">
        <v>5.0</v>
      </c>
      <c r="AB639" s="74">
        <v>1.0</v>
      </c>
      <c r="AC639" s="74">
        <v>3.0</v>
      </c>
      <c r="AD639" s="74">
        <v>1.0</v>
      </c>
      <c r="AE639" s="74">
        <v>1.0</v>
      </c>
      <c r="AF639" s="74">
        <v>4.0</v>
      </c>
      <c r="AG639" s="74">
        <v>1.0</v>
      </c>
      <c r="AH639" s="74">
        <v>3.0</v>
      </c>
      <c r="AI639" s="74">
        <v>0.0</v>
      </c>
      <c r="AJ639" s="119"/>
      <c r="AK639" s="74" t="s">
        <v>15231</v>
      </c>
      <c r="AL639" s="74">
        <v>6.0</v>
      </c>
      <c r="AM639" s="74">
        <v>1.0</v>
      </c>
      <c r="AN639" s="74" t="s">
        <v>10629</v>
      </c>
      <c r="AO639" s="120">
        <v>7284.0</v>
      </c>
      <c r="AP639" s="74" t="s">
        <v>15233</v>
      </c>
      <c r="AQ639" s="74" t="s">
        <v>15234</v>
      </c>
      <c r="AR639" s="120">
        <v>639.0</v>
      </c>
    </row>
    <row r="640">
      <c r="A640" s="74" t="s">
        <v>15221</v>
      </c>
      <c r="B640" s="74" t="s">
        <v>6876</v>
      </c>
      <c r="C640" s="74" t="s">
        <v>6877</v>
      </c>
      <c r="D640" s="74" t="s">
        <v>8493</v>
      </c>
      <c r="E640" s="146">
        <v>43850.0</v>
      </c>
      <c r="F640" s="74" t="s">
        <v>15235</v>
      </c>
      <c r="G640" s="74">
        <v>58.0</v>
      </c>
      <c r="H640" s="74">
        <v>2.0</v>
      </c>
      <c r="I640" s="74">
        <v>15.0</v>
      </c>
      <c r="J640" s="119"/>
      <c r="K640" s="74">
        <v>152.0</v>
      </c>
      <c r="L640" s="74" t="s">
        <v>690</v>
      </c>
      <c r="M640" s="74" t="s">
        <v>690</v>
      </c>
      <c r="N640" s="74" t="s">
        <v>15149</v>
      </c>
      <c r="O640" s="74" t="s">
        <v>15150</v>
      </c>
      <c r="P640" s="74" t="s">
        <v>15152</v>
      </c>
      <c r="Q640" s="74" t="s">
        <v>15153</v>
      </c>
      <c r="R640" s="119"/>
      <c r="S640" s="119"/>
      <c r="T640" s="119"/>
      <c r="U640" s="119"/>
      <c r="V640" s="119"/>
      <c r="W640" s="74">
        <v>6.0</v>
      </c>
      <c r="X640" s="74">
        <v>1.0</v>
      </c>
      <c r="Y640" s="74">
        <v>3.0</v>
      </c>
      <c r="Z640" s="74">
        <v>39.0</v>
      </c>
      <c r="AA640" s="74">
        <v>5.0</v>
      </c>
      <c r="AB640" s="74">
        <v>1.0</v>
      </c>
      <c r="AC640" s="74">
        <v>3.0</v>
      </c>
      <c r="AD640" s="74">
        <v>3.0</v>
      </c>
      <c r="AE640" s="74">
        <v>1.0</v>
      </c>
      <c r="AF640" s="74">
        <v>4.0</v>
      </c>
      <c r="AG640" s="74">
        <v>1.0</v>
      </c>
      <c r="AH640" s="74">
        <v>3.0</v>
      </c>
      <c r="AI640" s="74">
        <v>0.0</v>
      </c>
      <c r="AJ640" s="119"/>
      <c r="AK640" s="74" t="s">
        <v>15242</v>
      </c>
      <c r="AL640" s="74">
        <v>4.0</v>
      </c>
      <c r="AM640" s="74">
        <v>1.0</v>
      </c>
      <c r="AN640" s="74" t="s">
        <v>10629</v>
      </c>
      <c r="AO640" s="120">
        <v>7285.0</v>
      </c>
      <c r="AP640" s="74" t="s">
        <v>15245</v>
      </c>
      <c r="AQ640" s="74" t="s">
        <v>15246</v>
      </c>
      <c r="AR640" s="120">
        <v>640.0</v>
      </c>
    </row>
    <row r="641">
      <c r="A641" s="74" t="s">
        <v>15235</v>
      </c>
      <c r="B641" s="74" t="s">
        <v>6876</v>
      </c>
      <c r="C641" s="74" t="s">
        <v>6877</v>
      </c>
      <c r="D641" s="74" t="s">
        <v>8493</v>
      </c>
      <c r="E641" s="146">
        <v>43850.0</v>
      </c>
      <c r="F641" s="74" t="s">
        <v>15249</v>
      </c>
      <c r="G641" s="74">
        <v>58.0</v>
      </c>
      <c r="H641" s="74">
        <v>2.0</v>
      </c>
      <c r="I641" s="74">
        <v>15.0</v>
      </c>
      <c r="J641" s="119"/>
      <c r="K641" s="74">
        <v>152.0</v>
      </c>
      <c r="L641" s="74" t="s">
        <v>691</v>
      </c>
      <c r="M641" s="74" t="s">
        <v>691</v>
      </c>
      <c r="N641" s="74" t="s">
        <v>15149</v>
      </c>
      <c r="O641" s="74" t="s">
        <v>15150</v>
      </c>
      <c r="P641" s="74" t="s">
        <v>15152</v>
      </c>
      <c r="Q641" s="74" t="s">
        <v>15153</v>
      </c>
      <c r="R641" s="119"/>
      <c r="S641" s="119"/>
      <c r="T641" s="119"/>
      <c r="U641" s="119"/>
      <c r="V641" s="119"/>
      <c r="W641" s="74">
        <v>6.0</v>
      </c>
      <c r="X641" s="74">
        <v>1.0</v>
      </c>
      <c r="Y641" s="74">
        <v>3.0</v>
      </c>
      <c r="Z641" s="74">
        <v>48.0</v>
      </c>
      <c r="AA641" s="74">
        <v>5.0</v>
      </c>
      <c r="AB641" s="74">
        <v>1.0</v>
      </c>
      <c r="AC641" s="74">
        <v>3.0</v>
      </c>
      <c r="AD641" s="74">
        <v>4.0</v>
      </c>
      <c r="AE641" s="74">
        <v>1.0</v>
      </c>
      <c r="AF641" s="74">
        <v>4.0</v>
      </c>
      <c r="AG641" s="74">
        <v>1.0</v>
      </c>
      <c r="AH641" s="74">
        <v>3.0</v>
      </c>
      <c r="AI641" s="74">
        <v>0.0</v>
      </c>
      <c r="AJ641" s="119"/>
      <c r="AK641" s="74" t="s">
        <v>15252</v>
      </c>
      <c r="AL641" s="74">
        <v>4.0</v>
      </c>
      <c r="AM641" s="74">
        <v>1.0</v>
      </c>
      <c r="AN641" s="74" t="s">
        <v>10629</v>
      </c>
      <c r="AO641" s="120">
        <v>7286.0</v>
      </c>
      <c r="AP641" s="74" t="s">
        <v>15254</v>
      </c>
      <c r="AQ641" s="74" t="s">
        <v>15255</v>
      </c>
      <c r="AR641" s="120">
        <v>641.0</v>
      </c>
    </row>
    <row r="642">
      <c r="A642" s="74" t="s">
        <v>15256</v>
      </c>
      <c r="B642" s="74" t="s">
        <v>6876</v>
      </c>
      <c r="C642" s="74" t="s">
        <v>6877</v>
      </c>
      <c r="D642" s="74" t="s">
        <v>8493</v>
      </c>
      <c r="E642" s="146">
        <v>43850.0</v>
      </c>
      <c r="F642" s="74" t="s">
        <v>15258</v>
      </c>
      <c r="G642" s="74">
        <v>58.0</v>
      </c>
      <c r="H642" s="74">
        <v>2.0</v>
      </c>
      <c r="I642" s="74">
        <v>99.0</v>
      </c>
      <c r="J642" s="119"/>
      <c r="K642" s="119"/>
      <c r="L642" s="74" t="s">
        <v>694</v>
      </c>
      <c r="M642" s="74" t="s">
        <v>694</v>
      </c>
      <c r="N642" s="74" t="s">
        <v>15149</v>
      </c>
      <c r="O642" s="74" t="s">
        <v>15150</v>
      </c>
      <c r="P642" s="74" t="s">
        <v>15152</v>
      </c>
      <c r="Q642" s="74" t="s">
        <v>15153</v>
      </c>
      <c r="R642" s="119"/>
      <c r="S642" s="119"/>
      <c r="T642" s="119"/>
      <c r="U642" s="119"/>
      <c r="V642" s="119"/>
      <c r="W642" s="74">
        <v>7.0</v>
      </c>
      <c r="X642" s="74">
        <v>100.0</v>
      </c>
      <c r="Y642" s="74">
        <v>3.0</v>
      </c>
      <c r="Z642" s="74">
        <v>0.0</v>
      </c>
      <c r="AA642" s="119"/>
      <c r="AB642" s="119"/>
      <c r="AC642" s="119"/>
      <c r="AD642" s="119"/>
      <c r="AE642" s="119"/>
      <c r="AF642" s="119"/>
      <c r="AG642" s="119"/>
      <c r="AH642" s="119"/>
      <c r="AI642" s="119"/>
      <c r="AJ642" s="119"/>
      <c r="AK642" s="74" t="s">
        <v>15266</v>
      </c>
      <c r="AL642" s="74">
        <v>4.0</v>
      </c>
      <c r="AM642" s="74">
        <v>1.0</v>
      </c>
      <c r="AN642" s="74" t="s">
        <v>10629</v>
      </c>
      <c r="AO642" s="120">
        <v>7287.0</v>
      </c>
      <c r="AP642" s="74" t="s">
        <v>15269</v>
      </c>
      <c r="AQ642" s="74" t="s">
        <v>15270</v>
      </c>
      <c r="AR642" s="120">
        <v>642.0</v>
      </c>
    </row>
    <row r="643">
      <c r="A643" s="74" t="s">
        <v>15258</v>
      </c>
      <c r="B643" s="74" t="s">
        <v>6876</v>
      </c>
      <c r="C643" s="74" t="s">
        <v>6877</v>
      </c>
      <c r="D643" s="74" t="s">
        <v>8493</v>
      </c>
      <c r="E643" s="146">
        <v>43850.0</v>
      </c>
      <c r="F643" s="74" t="s">
        <v>15272</v>
      </c>
      <c r="G643" s="74">
        <v>58.0</v>
      </c>
      <c r="H643" s="74">
        <v>2.0</v>
      </c>
      <c r="I643" s="74">
        <v>2.0</v>
      </c>
      <c r="J643" s="119"/>
      <c r="K643" s="119"/>
      <c r="L643" s="74" t="s">
        <v>333</v>
      </c>
      <c r="M643" s="74" t="s">
        <v>333</v>
      </c>
      <c r="N643" s="74" t="s">
        <v>15149</v>
      </c>
      <c r="O643" s="74" t="s">
        <v>15150</v>
      </c>
      <c r="P643" s="74" t="s">
        <v>15152</v>
      </c>
      <c r="Q643" s="74" t="s">
        <v>15153</v>
      </c>
      <c r="R643" s="74">
        <v>105.0</v>
      </c>
      <c r="S643" s="119"/>
      <c r="T643" s="119"/>
      <c r="U643" s="119"/>
      <c r="V643" s="119"/>
      <c r="W643" s="74">
        <v>7.0</v>
      </c>
      <c r="X643" s="74">
        <v>10.0</v>
      </c>
      <c r="Y643" s="74">
        <v>3.0</v>
      </c>
      <c r="Z643" s="74">
        <v>0.0</v>
      </c>
      <c r="AA643" s="74">
        <v>6.0</v>
      </c>
      <c r="AB643" s="74">
        <v>1.0</v>
      </c>
      <c r="AC643" s="74">
        <v>3.0</v>
      </c>
      <c r="AD643" s="74">
        <v>0.0</v>
      </c>
      <c r="AE643" s="74">
        <v>1.0</v>
      </c>
      <c r="AF643" s="74">
        <v>5.0</v>
      </c>
      <c r="AG643" s="74">
        <v>1.0</v>
      </c>
      <c r="AH643" s="74">
        <v>3.0</v>
      </c>
      <c r="AI643" s="74">
        <v>0.0</v>
      </c>
      <c r="AJ643" s="119"/>
      <c r="AK643" s="74" t="s">
        <v>15276</v>
      </c>
      <c r="AL643" s="74">
        <v>4.0</v>
      </c>
      <c r="AM643" s="74">
        <v>1.0</v>
      </c>
      <c r="AN643" s="74" t="s">
        <v>10629</v>
      </c>
      <c r="AO643" s="120">
        <v>7288.0</v>
      </c>
      <c r="AP643" s="74" t="s">
        <v>15278</v>
      </c>
      <c r="AQ643" s="74" t="s">
        <v>15280</v>
      </c>
      <c r="AR643" s="120">
        <v>643.0</v>
      </c>
    </row>
    <row r="644">
      <c r="A644" s="74" t="s">
        <v>15282</v>
      </c>
      <c r="B644" s="74" t="s">
        <v>6876</v>
      </c>
      <c r="C644" s="74" t="s">
        <v>6877</v>
      </c>
      <c r="D644" s="74" t="s">
        <v>8493</v>
      </c>
      <c r="E644" s="146">
        <v>43850.0</v>
      </c>
      <c r="F644" s="74" t="s">
        <v>15284</v>
      </c>
      <c r="G644" s="74">
        <v>58.0</v>
      </c>
      <c r="H644" s="74">
        <v>2.0</v>
      </c>
      <c r="I644" s="74">
        <v>99.0</v>
      </c>
      <c r="J644" s="119"/>
      <c r="K644" s="119"/>
      <c r="L644" s="74" t="s">
        <v>2091</v>
      </c>
      <c r="M644" s="74" t="s">
        <v>2091</v>
      </c>
      <c r="N644" s="74" t="s">
        <v>15149</v>
      </c>
      <c r="O644" s="74" t="s">
        <v>15150</v>
      </c>
      <c r="P644" s="74" t="s">
        <v>15152</v>
      </c>
      <c r="Q644" s="74" t="s">
        <v>15153</v>
      </c>
      <c r="R644" s="119"/>
      <c r="S644" s="119"/>
      <c r="T644" s="119"/>
      <c r="U644" s="119"/>
      <c r="V644" s="119"/>
      <c r="W644" s="74">
        <v>7.0</v>
      </c>
      <c r="X644" s="74">
        <v>100.0</v>
      </c>
      <c r="Y644" s="74">
        <v>3.0</v>
      </c>
      <c r="Z644" s="74">
        <v>0.0</v>
      </c>
      <c r="AA644" s="119"/>
      <c r="AB644" s="119"/>
      <c r="AC644" s="119"/>
      <c r="AD644" s="119"/>
      <c r="AE644" s="119"/>
      <c r="AF644" s="119"/>
      <c r="AG644" s="119"/>
      <c r="AH644" s="119"/>
      <c r="AI644" s="119"/>
      <c r="AJ644" s="119"/>
      <c r="AK644" s="74" t="s">
        <v>15294</v>
      </c>
      <c r="AL644" s="74">
        <v>4.0</v>
      </c>
      <c r="AM644" s="74">
        <v>1.0</v>
      </c>
      <c r="AN644" s="74" t="s">
        <v>10629</v>
      </c>
      <c r="AO644" s="120">
        <v>7289.0</v>
      </c>
      <c r="AP644" s="74" t="s">
        <v>15297</v>
      </c>
      <c r="AQ644" s="74" t="s">
        <v>15298</v>
      </c>
      <c r="AR644" s="120">
        <v>644.0</v>
      </c>
    </row>
    <row r="645">
      <c r="A645" s="74" t="s">
        <v>15284</v>
      </c>
      <c r="B645" s="74" t="s">
        <v>6876</v>
      </c>
      <c r="C645" s="74" t="s">
        <v>6877</v>
      </c>
      <c r="D645" s="74" t="s">
        <v>8493</v>
      </c>
      <c r="E645" s="146">
        <v>43850.0</v>
      </c>
      <c r="F645" s="74" t="s">
        <v>15300</v>
      </c>
      <c r="G645" s="74">
        <v>58.0</v>
      </c>
      <c r="H645" s="74">
        <v>2.0</v>
      </c>
      <c r="I645" s="74">
        <v>8.0</v>
      </c>
      <c r="J645" s="119"/>
      <c r="K645" s="119"/>
      <c r="L645" s="74" t="s">
        <v>330</v>
      </c>
      <c r="M645" s="74" t="s">
        <v>330</v>
      </c>
      <c r="N645" s="74" t="s">
        <v>15149</v>
      </c>
      <c r="O645" s="74" t="s">
        <v>15150</v>
      </c>
      <c r="P645" s="74" t="s">
        <v>15152</v>
      </c>
      <c r="Q645" s="74" t="s">
        <v>15153</v>
      </c>
      <c r="R645" s="119"/>
      <c r="S645" s="119"/>
      <c r="T645" s="119"/>
      <c r="U645" s="74">
        <v>10.0</v>
      </c>
      <c r="V645" s="119"/>
      <c r="W645" s="74">
        <v>5.0</v>
      </c>
      <c r="X645" s="74">
        <v>1.0</v>
      </c>
      <c r="Y645" s="74">
        <v>3.0</v>
      </c>
      <c r="Z645" s="74">
        <v>2.0</v>
      </c>
      <c r="AA645" s="74">
        <v>4.0</v>
      </c>
      <c r="AB645" s="74">
        <v>1.0</v>
      </c>
      <c r="AC645" s="74">
        <v>3.0</v>
      </c>
      <c r="AD645" s="74">
        <v>0.0</v>
      </c>
      <c r="AE645" s="74">
        <v>1.0</v>
      </c>
      <c r="AF645" s="74">
        <v>3.0</v>
      </c>
      <c r="AG645" s="74">
        <v>1.0</v>
      </c>
      <c r="AH645" s="74">
        <v>3.0</v>
      </c>
      <c r="AI645" s="74">
        <v>0.0</v>
      </c>
      <c r="AJ645" s="119"/>
      <c r="AK645" s="74" t="s">
        <v>15307</v>
      </c>
      <c r="AL645" s="74">
        <v>6.0</v>
      </c>
      <c r="AM645" s="74">
        <v>1.0</v>
      </c>
      <c r="AN645" s="74" t="s">
        <v>10629</v>
      </c>
      <c r="AO645" s="120">
        <v>7290.0</v>
      </c>
      <c r="AP645" s="74" t="s">
        <v>15311</v>
      </c>
      <c r="AQ645" s="74" t="s">
        <v>15313</v>
      </c>
      <c r="AR645" s="120">
        <v>645.0</v>
      </c>
    </row>
    <row r="646">
      <c r="A646" s="74" t="s">
        <v>15300</v>
      </c>
      <c r="B646" s="74" t="s">
        <v>6876</v>
      </c>
      <c r="C646" s="74" t="s">
        <v>6877</v>
      </c>
      <c r="D646" s="74" t="s">
        <v>8493</v>
      </c>
      <c r="E646" s="146">
        <v>43850.0</v>
      </c>
      <c r="F646" s="74" t="s">
        <v>15315</v>
      </c>
      <c r="G646" s="74">
        <v>58.0</v>
      </c>
      <c r="H646" s="74">
        <v>2.0</v>
      </c>
      <c r="I646" s="74">
        <v>99.0</v>
      </c>
      <c r="J646" s="119"/>
      <c r="K646" s="119"/>
      <c r="L646" s="74" t="s">
        <v>2093</v>
      </c>
      <c r="M646" s="74" t="s">
        <v>2093</v>
      </c>
      <c r="N646" s="74" t="s">
        <v>15149</v>
      </c>
      <c r="O646" s="74" t="s">
        <v>15150</v>
      </c>
      <c r="P646" s="74" t="s">
        <v>15152</v>
      </c>
      <c r="Q646" s="74" t="s">
        <v>15153</v>
      </c>
      <c r="R646" s="119"/>
      <c r="S646" s="119"/>
      <c r="T646" s="119"/>
      <c r="U646" s="119"/>
      <c r="V646" s="119"/>
      <c r="W646" s="74">
        <v>7.0</v>
      </c>
      <c r="X646" s="74">
        <v>100.0</v>
      </c>
      <c r="Y646" s="74">
        <v>3.0</v>
      </c>
      <c r="Z646" s="74">
        <v>0.0</v>
      </c>
      <c r="AA646" s="119"/>
      <c r="AB646" s="119"/>
      <c r="AC646" s="119"/>
      <c r="AD646" s="119"/>
      <c r="AE646" s="119"/>
      <c r="AF646" s="119"/>
      <c r="AG646" s="119"/>
      <c r="AH646" s="119"/>
      <c r="AI646" s="119"/>
      <c r="AJ646" s="119"/>
      <c r="AK646" s="74" t="s">
        <v>15320</v>
      </c>
      <c r="AL646" s="74">
        <v>6.0</v>
      </c>
      <c r="AM646" s="74">
        <v>1.0</v>
      </c>
      <c r="AN646" s="74" t="s">
        <v>10629</v>
      </c>
      <c r="AO646" s="120">
        <v>7291.0</v>
      </c>
      <c r="AP646" s="74" t="s">
        <v>15321</v>
      </c>
      <c r="AQ646" s="74" t="s">
        <v>15322</v>
      </c>
      <c r="AR646" s="120">
        <v>646.0</v>
      </c>
    </row>
    <row r="647">
      <c r="A647" s="74" t="s">
        <v>15324</v>
      </c>
      <c r="B647" s="74" t="s">
        <v>6876</v>
      </c>
      <c r="C647" s="74" t="s">
        <v>6877</v>
      </c>
      <c r="D647" s="74" t="s">
        <v>8493</v>
      </c>
      <c r="E647" s="146">
        <v>43850.0</v>
      </c>
      <c r="F647" s="74" t="s">
        <v>15325</v>
      </c>
      <c r="G647" s="74">
        <v>33.0</v>
      </c>
      <c r="H647" s="74">
        <v>1.0</v>
      </c>
      <c r="I647" s="74">
        <v>98.0</v>
      </c>
      <c r="J647" s="119"/>
      <c r="K647" s="119"/>
      <c r="L647" s="74" t="s">
        <v>2100</v>
      </c>
      <c r="M647" s="74" t="s">
        <v>2100</v>
      </c>
      <c r="N647" s="74" t="s">
        <v>15149</v>
      </c>
      <c r="O647" s="74" t="s">
        <v>15150</v>
      </c>
      <c r="P647" s="74" t="s">
        <v>15152</v>
      </c>
      <c r="Q647" s="74" t="s">
        <v>15153</v>
      </c>
      <c r="R647" s="119"/>
      <c r="S647" s="119"/>
      <c r="T647" s="119"/>
      <c r="U647" s="119"/>
      <c r="V647" s="119"/>
      <c r="W647" s="74">
        <v>7.0</v>
      </c>
      <c r="X647" s="74">
        <v>100.0</v>
      </c>
      <c r="Y647" s="74">
        <v>3.0</v>
      </c>
      <c r="Z647" s="74">
        <v>0.0</v>
      </c>
      <c r="AA647" s="119"/>
      <c r="AB647" s="119"/>
      <c r="AC647" s="119"/>
      <c r="AD647" s="119"/>
      <c r="AE647" s="119"/>
      <c r="AF647" s="119"/>
      <c r="AG647" s="119"/>
      <c r="AH647" s="119"/>
      <c r="AI647" s="119"/>
      <c r="AJ647" s="119"/>
      <c r="AK647" s="74" t="s">
        <v>11376</v>
      </c>
      <c r="AL647" s="74">
        <v>6.0</v>
      </c>
      <c r="AM647" s="74">
        <v>1.0</v>
      </c>
      <c r="AN647" s="74" t="s">
        <v>10629</v>
      </c>
      <c r="AO647" s="120">
        <v>7292.0</v>
      </c>
      <c r="AP647" s="74" t="s">
        <v>15330</v>
      </c>
      <c r="AQ647" s="74" t="s">
        <v>15332</v>
      </c>
      <c r="AR647" s="120">
        <v>647.0</v>
      </c>
    </row>
    <row r="648">
      <c r="A648" s="74" t="s">
        <v>15334</v>
      </c>
      <c r="B648" s="74" t="s">
        <v>6876</v>
      </c>
      <c r="C648" s="74" t="s">
        <v>6877</v>
      </c>
      <c r="D648" s="74" t="s">
        <v>8493</v>
      </c>
      <c r="E648" s="146">
        <v>43850.0</v>
      </c>
      <c r="F648" s="74" t="s">
        <v>15338</v>
      </c>
      <c r="G648" s="74">
        <v>59.0</v>
      </c>
      <c r="H648" s="74">
        <v>1.0</v>
      </c>
      <c r="I648" s="74">
        <v>11.0</v>
      </c>
      <c r="J648" s="119"/>
      <c r="K648" s="119"/>
      <c r="L648" s="74" t="s">
        <v>2108</v>
      </c>
      <c r="M648" s="74" t="s">
        <v>2108</v>
      </c>
      <c r="N648" s="74" t="s">
        <v>15340</v>
      </c>
      <c r="O648" s="74" t="s">
        <v>15341</v>
      </c>
      <c r="P648" s="74" t="s">
        <v>15342</v>
      </c>
      <c r="Q648" s="74" t="s">
        <v>15343</v>
      </c>
      <c r="R648" s="119"/>
      <c r="S648" s="119"/>
      <c r="T648" s="119"/>
      <c r="U648" s="119"/>
      <c r="V648" s="119"/>
      <c r="W648" s="74">
        <v>3.0</v>
      </c>
      <c r="X648" s="74">
        <v>1.0</v>
      </c>
      <c r="Y648" s="74">
        <v>3.0</v>
      </c>
      <c r="Z648" s="74">
        <v>4.0</v>
      </c>
      <c r="AA648" s="74">
        <v>2.0</v>
      </c>
      <c r="AB648" s="74">
        <v>1.0</v>
      </c>
      <c r="AC648" s="74">
        <v>3.0</v>
      </c>
      <c r="AD648" s="74">
        <v>1.0</v>
      </c>
      <c r="AE648" s="74">
        <v>1.0</v>
      </c>
      <c r="AF648" s="74">
        <v>1.0</v>
      </c>
      <c r="AG648" s="74">
        <v>1.0</v>
      </c>
      <c r="AH648" s="74">
        <v>3.0</v>
      </c>
      <c r="AI648" s="74">
        <v>0.0</v>
      </c>
      <c r="AJ648" s="119"/>
      <c r="AK648" s="74" t="s">
        <v>15345</v>
      </c>
      <c r="AL648" s="74">
        <v>6.0</v>
      </c>
      <c r="AM648" s="74">
        <v>1.0</v>
      </c>
      <c r="AN648" s="74" t="s">
        <v>10629</v>
      </c>
      <c r="AO648" s="120">
        <v>7293.0</v>
      </c>
      <c r="AP648" s="74" t="s">
        <v>15347</v>
      </c>
      <c r="AQ648" s="74" t="s">
        <v>15348</v>
      </c>
      <c r="AR648" s="120">
        <v>648.0</v>
      </c>
    </row>
    <row r="649">
      <c r="A649" s="74" t="s">
        <v>15338</v>
      </c>
      <c r="B649" s="74" t="s">
        <v>6876</v>
      </c>
      <c r="C649" s="74" t="s">
        <v>6877</v>
      </c>
      <c r="D649" s="74" t="s">
        <v>8493</v>
      </c>
      <c r="E649" s="146">
        <v>43850.0</v>
      </c>
      <c r="F649" s="74" t="s">
        <v>15349</v>
      </c>
      <c r="G649" s="74">
        <v>59.0</v>
      </c>
      <c r="H649" s="74">
        <v>1.0</v>
      </c>
      <c r="I649" s="74">
        <v>99.0</v>
      </c>
      <c r="J649" s="119"/>
      <c r="K649" s="119"/>
      <c r="L649" s="74" t="s">
        <v>2109</v>
      </c>
      <c r="M649" s="74" t="s">
        <v>2109</v>
      </c>
      <c r="N649" s="74" t="s">
        <v>15340</v>
      </c>
      <c r="O649" s="74" t="s">
        <v>15341</v>
      </c>
      <c r="P649" s="74" t="s">
        <v>15342</v>
      </c>
      <c r="Q649" s="74" t="s">
        <v>15343</v>
      </c>
      <c r="R649" s="119"/>
      <c r="S649" s="119"/>
      <c r="T649" s="119"/>
      <c r="U649" s="119"/>
      <c r="V649" s="119"/>
      <c r="W649" s="74">
        <v>7.0</v>
      </c>
      <c r="X649" s="74">
        <v>100.0</v>
      </c>
      <c r="Y649" s="74">
        <v>3.0</v>
      </c>
      <c r="Z649" s="74">
        <v>0.0</v>
      </c>
      <c r="AA649" s="119"/>
      <c r="AB649" s="119"/>
      <c r="AC649" s="119"/>
      <c r="AD649" s="119"/>
      <c r="AE649" s="119"/>
      <c r="AF649" s="119"/>
      <c r="AG649" s="119"/>
      <c r="AH649" s="119"/>
      <c r="AI649" s="119"/>
      <c r="AJ649" s="119"/>
      <c r="AK649" s="74" t="s">
        <v>15356</v>
      </c>
      <c r="AL649" s="74">
        <v>4.0</v>
      </c>
      <c r="AM649" s="74">
        <v>1.0</v>
      </c>
      <c r="AN649" s="74" t="s">
        <v>10629</v>
      </c>
      <c r="AO649" s="120">
        <v>7294.0</v>
      </c>
      <c r="AP649" s="74" t="s">
        <v>15359</v>
      </c>
      <c r="AQ649" s="74" t="s">
        <v>15360</v>
      </c>
      <c r="AR649" s="120">
        <v>649.0</v>
      </c>
    </row>
    <row r="650">
      <c r="A650" s="74" t="s">
        <v>15361</v>
      </c>
      <c r="B650" s="74" t="s">
        <v>6876</v>
      </c>
      <c r="C650" s="74" t="s">
        <v>6877</v>
      </c>
      <c r="D650" s="74" t="s">
        <v>8493</v>
      </c>
      <c r="E650" s="146">
        <v>43850.0</v>
      </c>
      <c r="F650" s="74" t="s">
        <v>15362</v>
      </c>
      <c r="G650" s="74">
        <v>59.0</v>
      </c>
      <c r="H650" s="74">
        <v>1.0</v>
      </c>
      <c r="I650" s="74">
        <v>11.0</v>
      </c>
      <c r="J650" s="119"/>
      <c r="K650" s="119"/>
      <c r="L650" s="74" t="s">
        <v>2111</v>
      </c>
      <c r="M650" s="74" t="s">
        <v>2111</v>
      </c>
      <c r="N650" s="74" t="s">
        <v>15340</v>
      </c>
      <c r="O650" s="74" t="s">
        <v>15341</v>
      </c>
      <c r="P650" s="74" t="s">
        <v>15342</v>
      </c>
      <c r="Q650" s="74" t="s">
        <v>15343</v>
      </c>
      <c r="R650" s="119"/>
      <c r="S650" s="119"/>
      <c r="T650" s="119"/>
      <c r="U650" s="119"/>
      <c r="V650" s="119"/>
      <c r="W650" s="74">
        <v>3.0</v>
      </c>
      <c r="X650" s="74">
        <v>1.0</v>
      </c>
      <c r="Y650" s="74">
        <v>3.0</v>
      </c>
      <c r="Z650" s="74">
        <v>3.0</v>
      </c>
      <c r="AA650" s="74">
        <v>2.0</v>
      </c>
      <c r="AB650" s="74">
        <v>1.0</v>
      </c>
      <c r="AC650" s="74">
        <v>3.0</v>
      </c>
      <c r="AD650" s="74">
        <v>1.0</v>
      </c>
      <c r="AE650" s="74">
        <v>1.0</v>
      </c>
      <c r="AF650" s="74">
        <v>1.0</v>
      </c>
      <c r="AG650" s="74">
        <v>1.0</v>
      </c>
      <c r="AH650" s="74">
        <v>3.0</v>
      </c>
      <c r="AI650" s="74">
        <v>0.0</v>
      </c>
      <c r="AJ650" s="119"/>
      <c r="AK650" s="74" t="s">
        <v>15366</v>
      </c>
      <c r="AL650" s="74">
        <v>4.0</v>
      </c>
      <c r="AM650" s="74">
        <v>1.0</v>
      </c>
      <c r="AN650" s="74" t="s">
        <v>10629</v>
      </c>
      <c r="AO650" s="120">
        <v>7295.0</v>
      </c>
      <c r="AP650" s="74" t="s">
        <v>15367</v>
      </c>
      <c r="AQ650" s="74" t="s">
        <v>15368</v>
      </c>
      <c r="AR650" s="120">
        <v>650.0</v>
      </c>
    </row>
    <row r="651">
      <c r="A651" s="74" t="s">
        <v>15362</v>
      </c>
      <c r="B651" s="74" t="s">
        <v>6876</v>
      </c>
      <c r="C651" s="74" t="s">
        <v>6877</v>
      </c>
      <c r="D651" s="74" t="s">
        <v>8493</v>
      </c>
      <c r="E651" s="146">
        <v>43850.0</v>
      </c>
      <c r="F651" s="74" t="s">
        <v>15369</v>
      </c>
      <c r="G651" s="74">
        <v>59.0</v>
      </c>
      <c r="H651" s="74">
        <v>1.0</v>
      </c>
      <c r="I651" s="74">
        <v>99.0</v>
      </c>
      <c r="J651" s="119"/>
      <c r="K651" s="119"/>
      <c r="L651" s="74" t="s">
        <v>2112</v>
      </c>
      <c r="M651" s="74" t="s">
        <v>2112</v>
      </c>
      <c r="N651" s="74" t="s">
        <v>15340</v>
      </c>
      <c r="O651" s="74" t="s">
        <v>15341</v>
      </c>
      <c r="P651" s="74" t="s">
        <v>15342</v>
      </c>
      <c r="Q651" s="74" t="s">
        <v>15343</v>
      </c>
      <c r="R651" s="119"/>
      <c r="S651" s="119"/>
      <c r="T651" s="119"/>
      <c r="U651" s="119"/>
      <c r="V651" s="119"/>
      <c r="W651" s="74">
        <v>7.0</v>
      </c>
      <c r="X651" s="74">
        <v>100.0</v>
      </c>
      <c r="Y651" s="74">
        <v>3.0</v>
      </c>
      <c r="Z651" s="74">
        <v>0.0</v>
      </c>
      <c r="AA651" s="119"/>
      <c r="AB651" s="119"/>
      <c r="AC651" s="119"/>
      <c r="AD651" s="119"/>
      <c r="AE651" s="119"/>
      <c r="AF651" s="119"/>
      <c r="AG651" s="119"/>
      <c r="AH651" s="119"/>
      <c r="AI651" s="119"/>
      <c r="AJ651" s="119"/>
      <c r="AK651" s="74" t="s">
        <v>15377</v>
      </c>
      <c r="AL651" s="74">
        <v>4.0</v>
      </c>
      <c r="AM651" s="74">
        <v>1.0</v>
      </c>
      <c r="AN651" s="74" t="s">
        <v>10629</v>
      </c>
      <c r="AO651" s="120">
        <v>7296.0</v>
      </c>
      <c r="AP651" s="74" t="s">
        <v>15378</v>
      </c>
      <c r="AQ651" s="74" t="s">
        <v>15379</v>
      </c>
      <c r="AR651" s="120">
        <v>651.0</v>
      </c>
    </row>
    <row r="652">
      <c r="A652" s="74" t="s">
        <v>15369</v>
      </c>
      <c r="B652" s="74" t="s">
        <v>6876</v>
      </c>
      <c r="C652" s="74" t="s">
        <v>6877</v>
      </c>
      <c r="D652" s="74" t="s">
        <v>8493</v>
      </c>
      <c r="E652" s="146">
        <v>43850.0</v>
      </c>
      <c r="F652" s="74" t="s">
        <v>15380</v>
      </c>
      <c r="G652" s="74">
        <v>59.0</v>
      </c>
      <c r="H652" s="74">
        <v>1.0</v>
      </c>
      <c r="I652" s="74">
        <v>3.0</v>
      </c>
      <c r="J652" s="119"/>
      <c r="K652" s="119"/>
      <c r="L652" s="74" t="s">
        <v>2115</v>
      </c>
      <c r="M652" s="74" t="s">
        <v>2115</v>
      </c>
      <c r="N652" s="74" t="s">
        <v>15340</v>
      </c>
      <c r="O652" s="74" t="s">
        <v>15341</v>
      </c>
      <c r="P652" s="74" t="s">
        <v>15342</v>
      </c>
      <c r="Q652" s="74" t="s">
        <v>15343</v>
      </c>
      <c r="R652" s="119"/>
      <c r="S652" s="119"/>
      <c r="T652" s="119"/>
      <c r="U652" s="119"/>
      <c r="V652" s="119"/>
      <c r="W652" s="74">
        <v>7.0</v>
      </c>
      <c r="X652" s="74">
        <v>100.0</v>
      </c>
      <c r="Y652" s="74">
        <v>3.0</v>
      </c>
      <c r="Z652" s="74">
        <v>0.0</v>
      </c>
      <c r="AA652" s="74">
        <v>7.0</v>
      </c>
      <c r="AB652" s="74">
        <v>10.0</v>
      </c>
      <c r="AC652" s="74">
        <v>3.0</v>
      </c>
      <c r="AD652" s="74">
        <v>0.0</v>
      </c>
      <c r="AE652" s="74">
        <v>1.0</v>
      </c>
      <c r="AF652" s="74">
        <v>6.0</v>
      </c>
      <c r="AG652" s="74">
        <v>1.0</v>
      </c>
      <c r="AH652" s="74">
        <v>3.0</v>
      </c>
      <c r="AI652" s="74">
        <v>0.0</v>
      </c>
      <c r="AJ652" s="119"/>
      <c r="AK652" s="74" t="s">
        <v>15385</v>
      </c>
      <c r="AL652" s="74">
        <v>4.0</v>
      </c>
      <c r="AM652" s="74">
        <v>1.0</v>
      </c>
      <c r="AN652" s="74" t="s">
        <v>10629</v>
      </c>
      <c r="AO652" s="120">
        <v>7297.0</v>
      </c>
      <c r="AP652" s="74" t="s">
        <v>15386</v>
      </c>
      <c r="AQ652" s="74" t="s">
        <v>15387</v>
      </c>
      <c r="AR652" s="120">
        <v>652.0</v>
      </c>
    </row>
    <row r="653">
      <c r="A653" s="74" t="s">
        <v>15380</v>
      </c>
      <c r="B653" s="74" t="s">
        <v>6876</v>
      </c>
      <c r="C653" s="74" t="s">
        <v>6877</v>
      </c>
      <c r="D653" s="74" t="s">
        <v>8493</v>
      </c>
      <c r="E653" s="146">
        <v>43850.0</v>
      </c>
      <c r="F653" s="74" t="s">
        <v>15392</v>
      </c>
      <c r="G653" s="74">
        <v>59.0</v>
      </c>
      <c r="H653" s="74">
        <v>1.0</v>
      </c>
      <c r="I653" s="74">
        <v>99.0</v>
      </c>
      <c r="J653" s="119"/>
      <c r="K653" s="119"/>
      <c r="L653" s="74" t="s">
        <v>2117</v>
      </c>
      <c r="M653" s="74" t="s">
        <v>2117</v>
      </c>
      <c r="N653" s="74" t="s">
        <v>15340</v>
      </c>
      <c r="O653" s="74" t="s">
        <v>15341</v>
      </c>
      <c r="P653" s="74" t="s">
        <v>15342</v>
      </c>
      <c r="Q653" s="74" t="s">
        <v>15343</v>
      </c>
      <c r="R653" s="119"/>
      <c r="S653" s="119"/>
      <c r="T653" s="119"/>
      <c r="U653" s="119"/>
      <c r="V653" s="119"/>
      <c r="W653" s="74">
        <v>7.0</v>
      </c>
      <c r="X653" s="74">
        <v>100.0</v>
      </c>
      <c r="Y653" s="74">
        <v>3.0</v>
      </c>
      <c r="Z653" s="74">
        <v>0.0</v>
      </c>
      <c r="AA653" s="119"/>
      <c r="AB653" s="119"/>
      <c r="AC653" s="119"/>
      <c r="AD653" s="119"/>
      <c r="AE653" s="119"/>
      <c r="AF653" s="119"/>
      <c r="AG653" s="119"/>
      <c r="AH653" s="119"/>
      <c r="AI653" s="119"/>
      <c r="AJ653" s="119"/>
      <c r="AK653" s="74" t="s">
        <v>15396</v>
      </c>
      <c r="AL653" s="74">
        <v>4.0</v>
      </c>
      <c r="AM653" s="74">
        <v>1.0</v>
      </c>
      <c r="AN653" s="74" t="s">
        <v>10629</v>
      </c>
      <c r="AO653" s="120">
        <v>7298.0</v>
      </c>
      <c r="AP653" s="74" t="s">
        <v>15397</v>
      </c>
      <c r="AQ653" s="74" t="s">
        <v>15398</v>
      </c>
      <c r="AR653" s="120">
        <v>653.0</v>
      </c>
    </row>
    <row r="654">
      <c r="A654" s="74" t="s">
        <v>15401</v>
      </c>
      <c r="B654" s="74" t="s">
        <v>6876</v>
      </c>
      <c r="C654" s="74" t="s">
        <v>6877</v>
      </c>
      <c r="D654" s="74" t="s">
        <v>8493</v>
      </c>
      <c r="E654" s="146">
        <v>43850.0</v>
      </c>
      <c r="F654" s="74" t="s">
        <v>15402</v>
      </c>
      <c r="G654" s="74">
        <v>66.0</v>
      </c>
      <c r="H654" s="74">
        <v>1.0</v>
      </c>
      <c r="I654" s="74">
        <v>99.0</v>
      </c>
      <c r="J654" s="119"/>
      <c r="K654" s="119"/>
      <c r="L654" s="74" t="s">
        <v>2103</v>
      </c>
      <c r="M654" s="74" t="s">
        <v>2103</v>
      </c>
      <c r="N654" s="74" t="s">
        <v>15407</v>
      </c>
      <c r="O654" s="74" t="s">
        <v>15409</v>
      </c>
      <c r="P654" s="74" t="s">
        <v>15411</v>
      </c>
      <c r="Q654" s="74" t="s">
        <v>15412</v>
      </c>
      <c r="R654" s="119"/>
      <c r="S654" s="119"/>
      <c r="T654" s="119"/>
      <c r="U654" s="119"/>
      <c r="V654" s="119"/>
      <c r="W654" s="74">
        <v>7.0</v>
      </c>
      <c r="X654" s="74">
        <v>100.0</v>
      </c>
      <c r="Y654" s="74">
        <v>3.0</v>
      </c>
      <c r="Z654" s="74">
        <v>0.0</v>
      </c>
      <c r="AA654" s="119"/>
      <c r="AB654" s="119"/>
      <c r="AC654" s="119"/>
      <c r="AD654" s="119"/>
      <c r="AE654" s="119"/>
      <c r="AF654" s="119"/>
      <c r="AG654" s="119"/>
      <c r="AH654" s="119"/>
      <c r="AI654" s="119"/>
      <c r="AJ654" s="119"/>
      <c r="AK654" s="74" t="s">
        <v>15414</v>
      </c>
      <c r="AL654" s="74">
        <v>4.0</v>
      </c>
      <c r="AM654" s="74">
        <v>1.0</v>
      </c>
      <c r="AN654" s="74" t="s">
        <v>10629</v>
      </c>
      <c r="AO654" s="120">
        <v>7299.0</v>
      </c>
      <c r="AP654" s="74" t="s">
        <v>15415</v>
      </c>
      <c r="AQ654" s="74" t="s">
        <v>15416</v>
      </c>
      <c r="AR654" s="120">
        <v>654.0</v>
      </c>
    </row>
    <row r="655">
      <c r="A655" s="74" t="s">
        <v>15402</v>
      </c>
      <c r="B655" s="74" t="s">
        <v>6876</v>
      </c>
      <c r="C655" s="74" t="s">
        <v>6877</v>
      </c>
      <c r="D655" s="74" t="s">
        <v>8493</v>
      </c>
      <c r="E655" s="146">
        <v>43850.0</v>
      </c>
      <c r="F655" s="74" t="s">
        <v>15419</v>
      </c>
      <c r="G655" s="74">
        <v>65.0</v>
      </c>
      <c r="H655" s="74">
        <v>1.0</v>
      </c>
      <c r="I655" s="74">
        <v>99.0</v>
      </c>
      <c r="J655" s="119"/>
      <c r="K655" s="119"/>
      <c r="L655" s="74" t="s">
        <v>2106</v>
      </c>
      <c r="M655" s="74" t="s">
        <v>2106</v>
      </c>
      <c r="N655" s="74" t="s">
        <v>15407</v>
      </c>
      <c r="O655" s="74" t="s">
        <v>15409</v>
      </c>
      <c r="P655" s="74" t="s">
        <v>15411</v>
      </c>
      <c r="Q655" s="74" t="s">
        <v>15412</v>
      </c>
      <c r="R655" s="119"/>
      <c r="S655" s="119"/>
      <c r="T655" s="119"/>
      <c r="U655" s="119"/>
      <c r="V655" s="119"/>
      <c r="W655" s="74">
        <v>7.0</v>
      </c>
      <c r="X655" s="74">
        <v>100.0</v>
      </c>
      <c r="Y655" s="74">
        <v>3.0</v>
      </c>
      <c r="Z655" s="74">
        <v>0.0</v>
      </c>
      <c r="AA655" s="119"/>
      <c r="AB655" s="119"/>
      <c r="AC655" s="119"/>
      <c r="AD655" s="119"/>
      <c r="AE655" s="119"/>
      <c r="AF655" s="119"/>
      <c r="AG655" s="119"/>
      <c r="AH655" s="119"/>
      <c r="AI655" s="119"/>
      <c r="AJ655" s="119"/>
      <c r="AK655" s="74" t="s">
        <v>15427</v>
      </c>
      <c r="AL655" s="74">
        <v>4.0</v>
      </c>
      <c r="AM655" s="74">
        <v>1.0</v>
      </c>
      <c r="AN655" s="74" t="s">
        <v>10629</v>
      </c>
      <c r="AO655" s="120">
        <v>7300.0</v>
      </c>
      <c r="AP655" s="74" t="s">
        <v>15429</v>
      </c>
      <c r="AQ655" s="74" t="s">
        <v>15430</v>
      </c>
      <c r="AR655" s="120">
        <v>655.0</v>
      </c>
    </row>
    <row r="656">
      <c r="A656" s="74" t="s">
        <v>15431</v>
      </c>
      <c r="B656" s="74" t="s">
        <v>6876</v>
      </c>
      <c r="C656" s="74" t="s">
        <v>6877</v>
      </c>
      <c r="D656" s="74" t="s">
        <v>8493</v>
      </c>
      <c r="E656" s="146">
        <v>43850.0</v>
      </c>
      <c r="F656" s="74" t="s">
        <v>15435</v>
      </c>
      <c r="G656" s="74">
        <v>33.0</v>
      </c>
      <c r="H656" s="74">
        <v>1.0</v>
      </c>
      <c r="I656" s="74">
        <v>98.0</v>
      </c>
      <c r="J656" s="119"/>
      <c r="K656" s="119"/>
      <c r="L656" s="74" t="s">
        <v>2120</v>
      </c>
      <c r="M656" s="74" t="s">
        <v>2120</v>
      </c>
      <c r="N656" s="74" t="s">
        <v>15407</v>
      </c>
      <c r="O656" s="74" t="s">
        <v>15409</v>
      </c>
      <c r="P656" s="74" t="s">
        <v>15411</v>
      </c>
      <c r="Q656" s="74" t="s">
        <v>15412</v>
      </c>
      <c r="R656" s="119"/>
      <c r="S656" s="119"/>
      <c r="T656" s="119"/>
      <c r="U656" s="119"/>
      <c r="V656" s="119"/>
      <c r="W656" s="74">
        <v>7.0</v>
      </c>
      <c r="X656" s="74">
        <v>100.0</v>
      </c>
      <c r="Y656" s="74">
        <v>3.0</v>
      </c>
      <c r="Z656" s="74">
        <v>0.0</v>
      </c>
      <c r="AA656" s="119"/>
      <c r="AB656" s="119"/>
      <c r="AC656" s="119"/>
      <c r="AD656" s="119"/>
      <c r="AE656" s="119"/>
      <c r="AF656" s="119"/>
      <c r="AG656" s="119"/>
      <c r="AH656" s="119"/>
      <c r="AI656" s="119"/>
      <c r="AJ656" s="119"/>
      <c r="AK656" s="74" t="s">
        <v>11376</v>
      </c>
      <c r="AL656" s="74">
        <v>4.0</v>
      </c>
      <c r="AM656" s="74">
        <v>1.0</v>
      </c>
      <c r="AN656" s="74" t="s">
        <v>10629</v>
      </c>
      <c r="AO656" s="120">
        <v>7301.0</v>
      </c>
      <c r="AP656" s="74" t="s">
        <v>15439</v>
      </c>
      <c r="AQ656" s="74" t="s">
        <v>15440</v>
      </c>
      <c r="AR656" s="120">
        <v>656.0</v>
      </c>
    </row>
    <row r="657">
      <c r="A657" s="74" t="s">
        <v>15441</v>
      </c>
      <c r="B657" s="74" t="s">
        <v>6876</v>
      </c>
      <c r="C657" s="74" t="s">
        <v>6877</v>
      </c>
      <c r="D657" s="74" t="s">
        <v>8493</v>
      </c>
      <c r="E657" s="146">
        <v>43854.0</v>
      </c>
      <c r="F657" s="74" t="s">
        <v>15445</v>
      </c>
      <c r="G657" s="74">
        <v>59.0</v>
      </c>
      <c r="H657" s="74">
        <v>1.0</v>
      </c>
      <c r="I657" s="74">
        <v>11.0</v>
      </c>
      <c r="J657" s="119"/>
      <c r="K657" s="119"/>
      <c r="L657" s="74" t="s">
        <v>2122</v>
      </c>
      <c r="M657" s="74" t="s">
        <v>2122</v>
      </c>
      <c r="N657" s="74" t="s">
        <v>15448</v>
      </c>
      <c r="O657" s="74" t="s">
        <v>15449</v>
      </c>
      <c r="P657" s="74" t="s">
        <v>15450</v>
      </c>
      <c r="Q657" s="74" t="s">
        <v>15451</v>
      </c>
      <c r="R657" s="119"/>
      <c r="S657" s="119"/>
      <c r="T657" s="119"/>
      <c r="U657" s="119"/>
      <c r="V657" s="119"/>
      <c r="W657" s="74">
        <v>3.0</v>
      </c>
      <c r="X657" s="74">
        <v>1.0</v>
      </c>
      <c r="Y657" s="74">
        <v>3.0</v>
      </c>
      <c r="Z657" s="74">
        <v>64.0</v>
      </c>
      <c r="AA657" s="74">
        <v>2.0</v>
      </c>
      <c r="AB657" s="74">
        <v>1.0</v>
      </c>
      <c r="AC657" s="74">
        <v>3.0</v>
      </c>
      <c r="AD657" s="74">
        <v>2.0</v>
      </c>
      <c r="AE657" s="74">
        <v>1.0</v>
      </c>
      <c r="AF657" s="74">
        <v>1.0</v>
      </c>
      <c r="AG657" s="74">
        <v>1.0</v>
      </c>
      <c r="AH657" s="74">
        <v>3.0</v>
      </c>
      <c r="AI657" s="74">
        <v>1.0</v>
      </c>
      <c r="AJ657" s="119"/>
      <c r="AK657" s="74" t="s">
        <v>15458</v>
      </c>
      <c r="AL657" s="74">
        <v>6.0</v>
      </c>
      <c r="AM657" s="74">
        <v>1.0</v>
      </c>
      <c r="AN657" s="74" t="s">
        <v>10629</v>
      </c>
      <c r="AO657" s="120">
        <v>7431.0</v>
      </c>
      <c r="AP657" s="74" t="s">
        <v>15461</v>
      </c>
      <c r="AQ657" s="74" t="s">
        <v>15462</v>
      </c>
      <c r="AR657" s="120">
        <v>657.0</v>
      </c>
    </row>
    <row r="658">
      <c r="A658" s="74" t="s">
        <v>15445</v>
      </c>
      <c r="B658" s="74" t="s">
        <v>6876</v>
      </c>
      <c r="C658" s="74" t="s">
        <v>6877</v>
      </c>
      <c r="D658" s="74" t="s">
        <v>8493</v>
      </c>
      <c r="E658" s="146">
        <v>43854.0</v>
      </c>
      <c r="F658" s="74" t="s">
        <v>15464</v>
      </c>
      <c r="G658" s="74">
        <v>59.0</v>
      </c>
      <c r="H658" s="74">
        <v>1.0</v>
      </c>
      <c r="I658" s="74">
        <v>99.0</v>
      </c>
      <c r="J658" s="119"/>
      <c r="K658" s="119"/>
      <c r="L658" s="74" t="s">
        <v>2123</v>
      </c>
      <c r="M658" s="74" t="s">
        <v>2123</v>
      </c>
      <c r="N658" s="74" t="s">
        <v>15448</v>
      </c>
      <c r="O658" s="74" t="s">
        <v>15467</v>
      </c>
      <c r="P658" s="74" t="s">
        <v>15450</v>
      </c>
      <c r="Q658" s="74" t="s">
        <v>15451</v>
      </c>
      <c r="R658" s="119"/>
      <c r="S658" s="119"/>
      <c r="T658" s="119"/>
      <c r="U658" s="119"/>
      <c r="V658" s="119"/>
      <c r="W658" s="74">
        <v>7.0</v>
      </c>
      <c r="X658" s="74">
        <v>100.0</v>
      </c>
      <c r="Y658" s="74">
        <v>3.0</v>
      </c>
      <c r="Z658" s="74">
        <v>0.0</v>
      </c>
      <c r="AA658" s="119"/>
      <c r="AB658" s="119"/>
      <c r="AC658" s="119"/>
      <c r="AD658" s="119"/>
      <c r="AE658" s="119"/>
      <c r="AF658" s="119"/>
      <c r="AG658" s="119"/>
      <c r="AH658" s="119"/>
      <c r="AI658" s="119"/>
      <c r="AJ658" s="119"/>
      <c r="AK658" s="74" t="s">
        <v>15474</v>
      </c>
      <c r="AL658" s="74">
        <v>6.0</v>
      </c>
      <c r="AM658" s="74">
        <v>1.0</v>
      </c>
      <c r="AN658" s="74" t="s">
        <v>10629</v>
      </c>
      <c r="AO658" s="120">
        <v>7432.0</v>
      </c>
      <c r="AP658" s="74" t="s">
        <v>15477</v>
      </c>
      <c r="AQ658" s="74" t="s">
        <v>15478</v>
      </c>
      <c r="AR658" s="120">
        <v>658.0</v>
      </c>
    </row>
    <row r="659">
      <c r="A659" s="74" t="s">
        <v>15464</v>
      </c>
      <c r="B659" s="74" t="s">
        <v>6876</v>
      </c>
      <c r="C659" s="74" t="s">
        <v>6877</v>
      </c>
      <c r="D659" s="74" t="s">
        <v>8493</v>
      </c>
      <c r="E659" s="146">
        <v>43854.0</v>
      </c>
      <c r="F659" s="74" t="s">
        <v>15480</v>
      </c>
      <c r="G659" s="74">
        <v>59.0</v>
      </c>
      <c r="H659" s="74">
        <v>1.0</v>
      </c>
      <c r="I659" s="74">
        <v>11.0</v>
      </c>
      <c r="J659" s="119"/>
      <c r="K659" s="119"/>
      <c r="L659" s="74" t="s">
        <v>2125</v>
      </c>
      <c r="M659" s="74" t="s">
        <v>2125</v>
      </c>
      <c r="N659" s="74" t="s">
        <v>15448</v>
      </c>
      <c r="O659" s="74" t="s">
        <v>15449</v>
      </c>
      <c r="P659" s="74" t="s">
        <v>15450</v>
      </c>
      <c r="Q659" s="74" t="s">
        <v>15451</v>
      </c>
      <c r="R659" s="119"/>
      <c r="S659" s="119"/>
      <c r="T659" s="119"/>
      <c r="U659" s="119"/>
      <c r="V659" s="119"/>
      <c r="W659" s="74">
        <v>3.0</v>
      </c>
      <c r="X659" s="74">
        <v>1.0</v>
      </c>
      <c r="Y659" s="74">
        <v>3.0</v>
      </c>
      <c r="Z659" s="74">
        <v>2.0</v>
      </c>
      <c r="AA659" s="74">
        <v>2.0</v>
      </c>
      <c r="AB659" s="74">
        <v>1.0</v>
      </c>
      <c r="AC659" s="74">
        <v>3.0</v>
      </c>
      <c r="AD659" s="74">
        <v>1.0</v>
      </c>
      <c r="AE659" s="74">
        <v>1.0</v>
      </c>
      <c r="AF659" s="74">
        <v>1.0</v>
      </c>
      <c r="AG659" s="74">
        <v>1.0</v>
      </c>
      <c r="AH659" s="74">
        <v>3.0</v>
      </c>
      <c r="AI659" s="74">
        <v>0.0</v>
      </c>
      <c r="AJ659" s="119"/>
      <c r="AK659" s="74" t="s">
        <v>15484</v>
      </c>
      <c r="AL659" s="74">
        <v>6.0</v>
      </c>
      <c r="AM659" s="74">
        <v>1.0</v>
      </c>
      <c r="AN659" s="74" t="s">
        <v>10629</v>
      </c>
      <c r="AO659" s="120">
        <v>7433.0</v>
      </c>
      <c r="AP659" s="74" t="s">
        <v>15485</v>
      </c>
      <c r="AQ659" s="74" t="s">
        <v>15486</v>
      </c>
      <c r="AR659" s="120">
        <v>659.0</v>
      </c>
    </row>
    <row r="660">
      <c r="A660" s="74" t="s">
        <v>15480</v>
      </c>
      <c r="B660" s="74" t="s">
        <v>6876</v>
      </c>
      <c r="C660" s="74" t="s">
        <v>6877</v>
      </c>
      <c r="D660" s="74" t="s">
        <v>8493</v>
      </c>
      <c r="E660" s="146">
        <v>43854.0</v>
      </c>
      <c r="F660" s="74" t="s">
        <v>15489</v>
      </c>
      <c r="G660" s="74">
        <v>59.0</v>
      </c>
      <c r="H660" s="74">
        <v>1.0</v>
      </c>
      <c r="I660" s="74">
        <v>99.0</v>
      </c>
      <c r="J660" s="119"/>
      <c r="K660" s="119"/>
      <c r="L660" s="74" t="s">
        <v>2126</v>
      </c>
      <c r="M660" s="74" t="s">
        <v>2126</v>
      </c>
      <c r="N660" s="74" t="s">
        <v>15448</v>
      </c>
      <c r="O660" s="74" t="s">
        <v>15467</v>
      </c>
      <c r="P660" s="74" t="s">
        <v>15450</v>
      </c>
      <c r="Q660" s="74" t="s">
        <v>15451</v>
      </c>
      <c r="R660" s="119"/>
      <c r="S660" s="119"/>
      <c r="T660" s="119"/>
      <c r="U660" s="119"/>
      <c r="V660" s="119"/>
      <c r="W660" s="74">
        <v>7.0</v>
      </c>
      <c r="X660" s="74">
        <v>100.0</v>
      </c>
      <c r="Y660" s="74">
        <v>3.0</v>
      </c>
      <c r="Z660" s="74">
        <v>0.0</v>
      </c>
      <c r="AA660" s="119"/>
      <c r="AB660" s="119"/>
      <c r="AC660" s="119"/>
      <c r="AD660" s="119"/>
      <c r="AE660" s="119"/>
      <c r="AF660" s="119"/>
      <c r="AG660" s="119"/>
      <c r="AH660" s="119"/>
      <c r="AI660" s="119"/>
      <c r="AJ660" s="119"/>
      <c r="AK660" s="74" t="s">
        <v>15497</v>
      </c>
      <c r="AL660" s="74">
        <v>6.0</v>
      </c>
      <c r="AM660" s="74">
        <v>1.0</v>
      </c>
      <c r="AN660" s="74" t="s">
        <v>10629</v>
      </c>
      <c r="AO660" s="120">
        <v>7434.0</v>
      </c>
      <c r="AP660" s="74" t="s">
        <v>15500</v>
      </c>
      <c r="AQ660" s="74" t="s">
        <v>15501</v>
      </c>
      <c r="AR660" s="120">
        <v>660.0</v>
      </c>
    </row>
    <row r="661">
      <c r="A661" s="74" t="s">
        <v>15489</v>
      </c>
      <c r="B661" s="74" t="s">
        <v>6876</v>
      </c>
      <c r="C661" s="74" t="s">
        <v>6877</v>
      </c>
      <c r="D661" s="74" t="s">
        <v>8493</v>
      </c>
      <c r="E661" s="146">
        <v>43854.0</v>
      </c>
      <c r="F661" s="74" t="s">
        <v>15502</v>
      </c>
      <c r="G661" s="74">
        <v>59.0</v>
      </c>
      <c r="H661" s="74">
        <v>1.0</v>
      </c>
      <c r="I661" s="74">
        <v>11.0</v>
      </c>
      <c r="J661" s="119"/>
      <c r="K661" s="119"/>
      <c r="L661" s="74" t="s">
        <v>2128</v>
      </c>
      <c r="M661" s="74" t="s">
        <v>2128</v>
      </c>
      <c r="N661" s="74" t="s">
        <v>15448</v>
      </c>
      <c r="O661" s="74" t="s">
        <v>15449</v>
      </c>
      <c r="P661" s="74" t="s">
        <v>15450</v>
      </c>
      <c r="Q661" s="74" t="s">
        <v>15451</v>
      </c>
      <c r="R661" s="119"/>
      <c r="S661" s="119"/>
      <c r="T661" s="119"/>
      <c r="U661" s="119"/>
      <c r="V661" s="119"/>
      <c r="W661" s="74">
        <v>3.0</v>
      </c>
      <c r="X661" s="74">
        <v>1.0</v>
      </c>
      <c r="Y661" s="74">
        <v>3.0</v>
      </c>
      <c r="Z661" s="74">
        <v>1.0</v>
      </c>
      <c r="AA661" s="74">
        <v>2.0</v>
      </c>
      <c r="AB661" s="74">
        <v>1.0</v>
      </c>
      <c r="AC661" s="74">
        <v>3.0</v>
      </c>
      <c r="AD661" s="74">
        <v>0.0</v>
      </c>
      <c r="AE661" s="74">
        <v>1.0</v>
      </c>
      <c r="AF661" s="74">
        <v>1.0</v>
      </c>
      <c r="AG661" s="74">
        <v>1.0</v>
      </c>
      <c r="AH661" s="74">
        <v>3.0</v>
      </c>
      <c r="AI661" s="74">
        <v>0.0</v>
      </c>
      <c r="AJ661" s="119"/>
      <c r="AK661" s="74" t="s">
        <v>15506</v>
      </c>
      <c r="AL661" s="74">
        <v>6.0</v>
      </c>
      <c r="AM661" s="74">
        <v>1.0</v>
      </c>
      <c r="AN661" s="74" t="s">
        <v>10629</v>
      </c>
      <c r="AO661" s="120">
        <v>7435.0</v>
      </c>
      <c r="AP661" s="74" t="s">
        <v>15508</v>
      </c>
      <c r="AQ661" s="74" t="s">
        <v>15509</v>
      </c>
      <c r="AR661" s="120">
        <v>661.0</v>
      </c>
    </row>
    <row r="662">
      <c r="A662" s="74" t="s">
        <v>15510</v>
      </c>
      <c r="B662" s="74" t="s">
        <v>6876</v>
      </c>
      <c r="C662" s="74" t="s">
        <v>6877</v>
      </c>
      <c r="D662" s="74" t="s">
        <v>8493</v>
      </c>
      <c r="E662" s="146">
        <v>43854.0</v>
      </c>
      <c r="F662" s="74" t="s">
        <v>15512</v>
      </c>
      <c r="G662" s="74">
        <v>59.0</v>
      </c>
      <c r="H662" s="74">
        <v>1.0</v>
      </c>
      <c r="I662" s="74">
        <v>99.0</v>
      </c>
      <c r="J662" s="119"/>
      <c r="K662" s="119"/>
      <c r="L662" s="74" t="s">
        <v>2130</v>
      </c>
      <c r="M662" s="74" t="s">
        <v>2130</v>
      </c>
      <c r="N662" s="74" t="s">
        <v>15448</v>
      </c>
      <c r="O662" s="74" t="s">
        <v>15467</v>
      </c>
      <c r="P662" s="74" t="s">
        <v>15450</v>
      </c>
      <c r="Q662" s="74" t="s">
        <v>15451</v>
      </c>
      <c r="R662" s="119"/>
      <c r="S662" s="119"/>
      <c r="T662" s="119"/>
      <c r="U662" s="119"/>
      <c r="V662" s="119"/>
      <c r="W662" s="74">
        <v>7.0</v>
      </c>
      <c r="X662" s="74">
        <v>100.0</v>
      </c>
      <c r="Y662" s="74">
        <v>3.0</v>
      </c>
      <c r="Z662" s="74">
        <v>0.0</v>
      </c>
      <c r="AA662" s="119"/>
      <c r="AB662" s="119"/>
      <c r="AC662" s="119"/>
      <c r="AD662" s="119"/>
      <c r="AE662" s="119"/>
      <c r="AF662" s="119"/>
      <c r="AG662" s="119"/>
      <c r="AH662" s="119"/>
      <c r="AI662" s="119"/>
      <c r="AJ662" s="119"/>
      <c r="AK662" s="74" t="s">
        <v>15515</v>
      </c>
      <c r="AL662" s="74">
        <v>6.0</v>
      </c>
      <c r="AM662" s="74">
        <v>1.0</v>
      </c>
      <c r="AN662" s="74" t="s">
        <v>10629</v>
      </c>
      <c r="AO662" s="120">
        <v>7436.0</v>
      </c>
      <c r="AP662" s="74" t="s">
        <v>15521</v>
      </c>
      <c r="AQ662" s="74" t="s">
        <v>15523</v>
      </c>
      <c r="AR662" s="120">
        <v>662.0</v>
      </c>
    </row>
    <row r="663">
      <c r="A663" s="74" t="s">
        <v>15512</v>
      </c>
      <c r="B663" s="74" t="s">
        <v>6876</v>
      </c>
      <c r="C663" s="74" t="s">
        <v>6877</v>
      </c>
      <c r="D663" s="74" t="s">
        <v>8493</v>
      </c>
      <c r="E663" s="146">
        <v>43854.0</v>
      </c>
      <c r="F663" s="74" t="s">
        <v>15526</v>
      </c>
      <c r="G663" s="74">
        <v>33.0</v>
      </c>
      <c r="H663" s="74">
        <v>1.0</v>
      </c>
      <c r="I663" s="74">
        <v>98.0</v>
      </c>
      <c r="J663" s="119"/>
      <c r="K663" s="119"/>
      <c r="L663" s="74" t="s">
        <v>2132</v>
      </c>
      <c r="M663" s="74" t="s">
        <v>2132</v>
      </c>
      <c r="N663" s="74" t="s">
        <v>15448</v>
      </c>
      <c r="O663" s="74" t="s">
        <v>15467</v>
      </c>
      <c r="P663" s="74" t="s">
        <v>15450</v>
      </c>
      <c r="Q663" s="74" t="s">
        <v>15451</v>
      </c>
      <c r="R663" s="119"/>
      <c r="S663" s="119"/>
      <c r="T663" s="119"/>
      <c r="U663" s="119"/>
      <c r="V663" s="119"/>
      <c r="W663" s="74">
        <v>7.0</v>
      </c>
      <c r="X663" s="74">
        <v>100.0</v>
      </c>
      <c r="Y663" s="74">
        <v>3.0</v>
      </c>
      <c r="Z663" s="74">
        <v>0.0</v>
      </c>
      <c r="AA663" s="119"/>
      <c r="AB663" s="119"/>
      <c r="AC663" s="119"/>
      <c r="AD663" s="119"/>
      <c r="AE663" s="119"/>
      <c r="AF663" s="119"/>
      <c r="AG663" s="119"/>
      <c r="AH663" s="119"/>
      <c r="AI663" s="119"/>
      <c r="AJ663" s="119"/>
      <c r="AK663" s="74" t="s">
        <v>11376</v>
      </c>
      <c r="AL663" s="74">
        <v>6.0</v>
      </c>
      <c r="AM663" s="74">
        <v>1.0</v>
      </c>
      <c r="AN663" s="74" t="s">
        <v>10629</v>
      </c>
      <c r="AO663" s="120">
        <v>7437.0</v>
      </c>
      <c r="AP663" s="74" t="s">
        <v>15534</v>
      </c>
      <c r="AQ663" s="74" t="s">
        <v>15536</v>
      </c>
      <c r="AR663" s="120">
        <v>663.0</v>
      </c>
    </row>
    <row r="664">
      <c r="A664" s="74" t="s">
        <v>15526</v>
      </c>
      <c r="B664" s="74" t="s">
        <v>6876</v>
      </c>
      <c r="C664" s="74" t="s">
        <v>6877</v>
      </c>
      <c r="D664" s="74" t="s">
        <v>8493</v>
      </c>
      <c r="E664" s="146">
        <v>43854.0</v>
      </c>
      <c r="F664" s="74" t="s">
        <v>15537</v>
      </c>
      <c r="G664" s="74">
        <v>57.0</v>
      </c>
      <c r="H664" s="74">
        <v>1.0</v>
      </c>
      <c r="I664" s="74">
        <v>99.0</v>
      </c>
      <c r="J664" s="119"/>
      <c r="K664" s="119"/>
      <c r="L664" s="74" t="s">
        <v>2135</v>
      </c>
      <c r="M664" s="74" t="s">
        <v>2135</v>
      </c>
      <c r="N664" s="74" t="s">
        <v>15540</v>
      </c>
      <c r="O664" s="74" t="s">
        <v>15541</v>
      </c>
      <c r="P664" s="74" t="s">
        <v>15542</v>
      </c>
      <c r="Q664" s="74" t="s">
        <v>15543</v>
      </c>
      <c r="R664" s="119"/>
      <c r="S664" s="119"/>
      <c r="T664" s="119"/>
      <c r="U664" s="119"/>
      <c r="V664" s="119"/>
      <c r="W664" s="74">
        <v>7.0</v>
      </c>
      <c r="X664" s="74">
        <v>100.0</v>
      </c>
      <c r="Y664" s="74">
        <v>3.0</v>
      </c>
      <c r="Z664" s="74">
        <v>0.0</v>
      </c>
      <c r="AA664" s="119"/>
      <c r="AB664" s="119"/>
      <c r="AC664" s="119"/>
      <c r="AD664" s="119"/>
      <c r="AE664" s="119"/>
      <c r="AF664" s="119"/>
      <c r="AG664" s="119"/>
      <c r="AH664" s="119"/>
      <c r="AI664" s="119"/>
      <c r="AJ664" s="119"/>
      <c r="AK664" s="74" t="s">
        <v>15546</v>
      </c>
      <c r="AL664" s="74">
        <v>4.0</v>
      </c>
      <c r="AM664" s="74">
        <v>1.0</v>
      </c>
      <c r="AN664" s="74" t="s">
        <v>10629</v>
      </c>
      <c r="AO664" s="120">
        <v>7438.0</v>
      </c>
      <c r="AP664" s="74" t="s">
        <v>15549</v>
      </c>
      <c r="AQ664" s="74" t="s">
        <v>15551</v>
      </c>
      <c r="AR664" s="120">
        <v>664.0</v>
      </c>
    </row>
    <row r="665">
      <c r="A665" s="74" t="s">
        <v>15552</v>
      </c>
      <c r="B665" s="74" t="s">
        <v>6876</v>
      </c>
      <c r="C665" s="74" t="s">
        <v>6877</v>
      </c>
      <c r="D665" s="74" t="s">
        <v>8493</v>
      </c>
      <c r="E665" s="146">
        <v>43854.0</v>
      </c>
      <c r="F665" s="74" t="s">
        <v>15554</v>
      </c>
      <c r="G665" s="74">
        <v>57.0</v>
      </c>
      <c r="H665" s="74">
        <v>1.0</v>
      </c>
      <c r="I665" s="74">
        <v>99.0</v>
      </c>
      <c r="J665" s="119"/>
      <c r="K665" s="119"/>
      <c r="L665" s="74" t="s">
        <v>2140</v>
      </c>
      <c r="M665" s="74" t="s">
        <v>2140</v>
      </c>
      <c r="N665" s="74" t="s">
        <v>15540</v>
      </c>
      <c r="O665" s="74" t="s">
        <v>15541</v>
      </c>
      <c r="P665" s="74" t="s">
        <v>15542</v>
      </c>
      <c r="Q665" s="74" t="s">
        <v>15543</v>
      </c>
      <c r="R665" s="119"/>
      <c r="S665" s="119"/>
      <c r="T665" s="119"/>
      <c r="U665" s="119"/>
      <c r="V665" s="119"/>
      <c r="W665" s="74">
        <v>7.0</v>
      </c>
      <c r="X665" s="74">
        <v>100.0</v>
      </c>
      <c r="Y665" s="74">
        <v>3.0</v>
      </c>
      <c r="Z665" s="74">
        <v>0.0</v>
      </c>
      <c r="AA665" s="119"/>
      <c r="AB665" s="119"/>
      <c r="AC665" s="119"/>
      <c r="AD665" s="119"/>
      <c r="AE665" s="119"/>
      <c r="AF665" s="119"/>
      <c r="AG665" s="119"/>
      <c r="AH665" s="119"/>
      <c r="AI665" s="119"/>
      <c r="AJ665" s="119"/>
      <c r="AK665" s="74" t="s">
        <v>15564</v>
      </c>
      <c r="AL665" s="74">
        <v>4.0</v>
      </c>
      <c r="AM665" s="74">
        <v>1.0</v>
      </c>
      <c r="AN665" s="74" t="s">
        <v>10629</v>
      </c>
      <c r="AO665" s="120">
        <v>7439.0</v>
      </c>
      <c r="AP665" s="74" t="s">
        <v>15566</v>
      </c>
      <c r="AQ665" s="74" t="s">
        <v>15567</v>
      </c>
      <c r="AR665" s="120">
        <v>665.0</v>
      </c>
    </row>
    <row r="666">
      <c r="A666" s="74" t="s">
        <v>15554</v>
      </c>
      <c r="B666" s="74" t="s">
        <v>6876</v>
      </c>
      <c r="C666" s="74" t="s">
        <v>6877</v>
      </c>
      <c r="D666" s="74" t="s">
        <v>8493</v>
      </c>
      <c r="E666" s="146">
        <v>43854.0</v>
      </c>
      <c r="F666" s="74" t="s">
        <v>15568</v>
      </c>
      <c r="G666" s="74">
        <v>55.0</v>
      </c>
      <c r="H666" s="74">
        <v>1.0</v>
      </c>
      <c r="I666" s="74">
        <v>99.0</v>
      </c>
      <c r="J666" s="119"/>
      <c r="K666" s="119"/>
      <c r="L666" s="74" t="s">
        <v>2146</v>
      </c>
      <c r="M666" s="74" t="s">
        <v>2146</v>
      </c>
      <c r="N666" s="74" t="s">
        <v>15540</v>
      </c>
      <c r="O666" s="74" t="s">
        <v>15541</v>
      </c>
      <c r="P666" s="74" t="s">
        <v>15542</v>
      </c>
      <c r="Q666" s="74" t="s">
        <v>15543</v>
      </c>
      <c r="R666" s="119"/>
      <c r="S666" s="119"/>
      <c r="T666" s="119"/>
      <c r="U666" s="119"/>
      <c r="V666" s="119"/>
      <c r="W666" s="74">
        <v>7.0</v>
      </c>
      <c r="X666" s="74">
        <v>100.0</v>
      </c>
      <c r="Y666" s="74">
        <v>3.0</v>
      </c>
      <c r="Z666" s="74">
        <v>0.0</v>
      </c>
      <c r="AA666" s="119"/>
      <c r="AB666" s="119"/>
      <c r="AC666" s="119"/>
      <c r="AD666" s="119"/>
      <c r="AE666" s="119"/>
      <c r="AF666" s="119"/>
      <c r="AG666" s="119"/>
      <c r="AH666" s="119"/>
      <c r="AI666" s="119"/>
      <c r="AJ666" s="119"/>
      <c r="AK666" s="74" t="s">
        <v>15572</v>
      </c>
      <c r="AL666" s="74">
        <v>4.0</v>
      </c>
      <c r="AM666" s="74">
        <v>1.0</v>
      </c>
      <c r="AN666" s="74" t="s">
        <v>10629</v>
      </c>
      <c r="AO666" s="120">
        <v>7440.0</v>
      </c>
      <c r="AP666" s="74" t="s">
        <v>15573</v>
      </c>
      <c r="AQ666" s="74" t="s">
        <v>15574</v>
      </c>
      <c r="AR666" s="120">
        <v>666.0</v>
      </c>
    </row>
    <row r="667">
      <c r="A667" s="74" t="s">
        <v>15575</v>
      </c>
      <c r="B667" s="74" t="s">
        <v>6876</v>
      </c>
      <c r="C667" s="74" t="s">
        <v>6877</v>
      </c>
      <c r="D667" s="74" t="s">
        <v>8493</v>
      </c>
      <c r="E667" s="146">
        <v>43854.0</v>
      </c>
      <c r="F667" s="74" t="s">
        <v>15576</v>
      </c>
      <c r="G667" s="74">
        <v>57.0</v>
      </c>
      <c r="H667" s="74">
        <v>1.0</v>
      </c>
      <c r="I667" s="74">
        <v>16.0</v>
      </c>
      <c r="J667" s="119"/>
      <c r="K667" s="119"/>
      <c r="L667" s="74" t="s">
        <v>2148</v>
      </c>
      <c r="M667" s="74" t="s">
        <v>2148</v>
      </c>
      <c r="N667" s="74" t="s">
        <v>15540</v>
      </c>
      <c r="O667" s="74" t="s">
        <v>15579</v>
      </c>
      <c r="P667" s="74" t="s">
        <v>15580</v>
      </c>
      <c r="Q667" s="74" t="s">
        <v>15581</v>
      </c>
      <c r="R667" s="119"/>
      <c r="S667" s="119"/>
      <c r="T667" s="119"/>
      <c r="U667" s="119"/>
      <c r="V667" s="119"/>
      <c r="W667" s="74">
        <v>3.0</v>
      </c>
      <c r="X667" s="74">
        <v>1.0</v>
      </c>
      <c r="Y667" s="74">
        <v>3.0</v>
      </c>
      <c r="Z667" s="74">
        <v>2.0</v>
      </c>
      <c r="AA667" s="74">
        <v>2.0</v>
      </c>
      <c r="AB667" s="74">
        <v>1.0</v>
      </c>
      <c r="AC667" s="74">
        <v>3.0</v>
      </c>
      <c r="AD667" s="74">
        <v>1.0</v>
      </c>
      <c r="AE667" s="74">
        <v>1.0</v>
      </c>
      <c r="AF667" s="74">
        <v>1.0</v>
      </c>
      <c r="AG667" s="74">
        <v>1.0</v>
      </c>
      <c r="AH667" s="74">
        <v>3.0</v>
      </c>
      <c r="AI667" s="74">
        <v>0.0</v>
      </c>
      <c r="AJ667" s="119"/>
      <c r="AK667" s="74" t="s">
        <v>15583</v>
      </c>
      <c r="AL667" s="74">
        <v>4.0</v>
      </c>
      <c r="AM667" s="74">
        <v>1.0</v>
      </c>
      <c r="AN667" s="74" t="s">
        <v>10629</v>
      </c>
      <c r="AO667" s="120">
        <v>7441.0</v>
      </c>
      <c r="AP667" s="74" t="s">
        <v>15584</v>
      </c>
      <c r="AQ667" s="74" t="s">
        <v>15585</v>
      </c>
      <c r="AR667" s="120">
        <v>667.0</v>
      </c>
    </row>
    <row r="668">
      <c r="A668" s="74" t="s">
        <v>15576</v>
      </c>
      <c r="B668" s="74" t="s">
        <v>6876</v>
      </c>
      <c r="C668" s="74" t="s">
        <v>6877</v>
      </c>
      <c r="D668" s="74" t="s">
        <v>8493</v>
      </c>
      <c r="E668" s="146">
        <v>43854.0</v>
      </c>
      <c r="F668" s="74" t="s">
        <v>15591</v>
      </c>
      <c r="G668" s="74">
        <v>33.0</v>
      </c>
      <c r="H668" s="74">
        <v>1.0</v>
      </c>
      <c r="I668" s="74">
        <v>98.0</v>
      </c>
      <c r="J668" s="119"/>
      <c r="K668" s="119"/>
      <c r="L668" s="74" t="s">
        <v>2150</v>
      </c>
      <c r="M668" s="74" t="s">
        <v>2150</v>
      </c>
      <c r="N668" s="74" t="s">
        <v>15540</v>
      </c>
      <c r="O668" s="74" t="s">
        <v>15594</v>
      </c>
      <c r="P668" s="74" t="s">
        <v>15595</v>
      </c>
      <c r="Q668" s="74" t="s">
        <v>15596</v>
      </c>
      <c r="R668" s="119"/>
      <c r="S668" s="119"/>
      <c r="T668" s="119"/>
      <c r="U668" s="119"/>
      <c r="V668" s="119"/>
      <c r="W668" s="74">
        <v>7.0</v>
      </c>
      <c r="X668" s="74">
        <v>100.0</v>
      </c>
      <c r="Y668" s="74">
        <v>3.0</v>
      </c>
      <c r="Z668" s="74">
        <v>0.0</v>
      </c>
      <c r="AA668" s="119"/>
      <c r="AB668" s="119"/>
      <c r="AC668" s="119"/>
      <c r="AD668" s="119"/>
      <c r="AE668" s="119"/>
      <c r="AF668" s="119"/>
      <c r="AG668" s="119"/>
      <c r="AH668" s="119"/>
      <c r="AI668" s="119"/>
      <c r="AJ668" s="119"/>
      <c r="AK668" s="74" t="s">
        <v>11376</v>
      </c>
      <c r="AL668" s="74">
        <v>4.0</v>
      </c>
      <c r="AM668" s="74">
        <v>1.0</v>
      </c>
      <c r="AN668" s="74" t="s">
        <v>10629</v>
      </c>
      <c r="AO668" s="120">
        <v>7442.0</v>
      </c>
      <c r="AP668" s="74" t="s">
        <v>15601</v>
      </c>
      <c r="AQ668" s="74" t="s">
        <v>15603</v>
      </c>
      <c r="AR668" s="120">
        <v>668.0</v>
      </c>
    </row>
    <row r="669">
      <c r="A669" s="74" t="s">
        <v>15591</v>
      </c>
      <c r="B669" s="74" t="s">
        <v>6876</v>
      </c>
      <c r="C669" s="74" t="s">
        <v>6877</v>
      </c>
      <c r="D669" s="74" t="s">
        <v>8493</v>
      </c>
      <c r="E669" s="146">
        <v>43854.0</v>
      </c>
      <c r="F669" s="74" t="s">
        <v>15605</v>
      </c>
      <c r="G669" s="74">
        <v>66.0</v>
      </c>
      <c r="H669" s="74">
        <v>1.0</v>
      </c>
      <c r="I669" s="74">
        <v>99.0</v>
      </c>
      <c r="J669" s="119"/>
      <c r="K669" s="119"/>
      <c r="L669" s="74" t="s">
        <v>2153</v>
      </c>
      <c r="M669" s="74" t="s">
        <v>2153</v>
      </c>
      <c r="N669" s="74" t="s">
        <v>15609</v>
      </c>
      <c r="O669" s="74" t="s">
        <v>15610</v>
      </c>
      <c r="P669" s="74" t="s">
        <v>15611</v>
      </c>
      <c r="Q669" s="74" t="s">
        <v>15612</v>
      </c>
      <c r="R669" s="119"/>
      <c r="S669" s="119"/>
      <c r="T669" s="119"/>
      <c r="U669" s="119"/>
      <c r="V669" s="119"/>
      <c r="W669" s="74">
        <v>7.0</v>
      </c>
      <c r="X669" s="74">
        <v>100.0</v>
      </c>
      <c r="Y669" s="74">
        <v>3.0</v>
      </c>
      <c r="Z669" s="74">
        <v>0.0</v>
      </c>
      <c r="AA669" s="119"/>
      <c r="AB669" s="119"/>
      <c r="AC669" s="119"/>
      <c r="AD669" s="119"/>
      <c r="AE669" s="119"/>
      <c r="AF669" s="119"/>
      <c r="AG669" s="119"/>
      <c r="AH669" s="119"/>
      <c r="AI669" s="119"/>
      <c r="AJ669" s="119"/>
      <c r="AK669" s="74" t="s">
        <v>15618</v>
      </c>
      <c r="AL669" s="74">
        <v>4.0</v>
      </c>
      <c r="AM669" s="74">
        <v>1.0</v>
      </c>
      <c r="AN669" s="74" t="s">
        <v>10629</v>
      </c>
      <c r="AO669" s="120">
        <v>7443.0</v>
      </c>
      <c r="AP669" s="74" t="s">
        <v>15621</v>
      </c>
      <c r="AQ669" s="74" t="s">
        <v>15622</v>
      </c>
      <c r="AR669" s="120">
        <v>669.0</v>
      </c>
    </row>
    <row r="670">
      <c r="A670" s="74" t="s">
        <v>15624</v>
      </c>
      <c r="B670" s="74" t="s">
        <v>6876</v>
      </c>
      <c r="C670" s="74" t="s">
        <v>6877</v>
      </c>
      <c r="D670" s="74" t="s">
        <v>8493</v>
      </c>
      <c r="E670" s="146">
        <v>43854.0</v>
      </c>
      <c r="F670" s="74" t="s">
        <v>15625</v>
      </c>
      <c r="G670" s="74">
        <v>59.0</v>
      </c>
      <c r="H670" s="74">
        <v>1.0</v>
      </c>
      <c r="I670" s="74">
        <v>99.0</v>
      </c>
      <c r="J670" s="119"/>
      <c r="K670" s="119"/>
      <c r="L670" s="74" t="s">
        <v>2156</v>
      </c>
      <c r="M670" s="74" t="s">
        <v>2156</v>
      </c>
      <c r="N670" s="74" t="s">
        <v>15609</v>
      </c>
      <c r="O670" s="74" t="s">
        <v>15610</v>
      </c>
      <c r="P670" s="74" t="s">
        <v>15611</v>
      </c>
      <c r="Q670" s="74" t="s">
        <v>15612</v>
      </c>
      <c r="R670" s="119"/>
      <c r="S670" s="119"/>
      <c r="T670" s="119"/>
      <c r="U670" s="119"/>
      <c r="V670" s="119"/>
      <c r="W670" s="74">
        <v>7.0</v>
      </c>
      <c r="X670" s="74">
        <v>100.0</v>
      </c>
      <c r="Y670" s="74">
        <v>3.0</v>
      </c>
      <c r="Z670" s="74">
        <v>0.0</v>
      </c>
      <c r="AA670" s="119"/>
      <c r="AB670" s="119"/>
      <c r="AC670" s="119"/>
      <c r="AD670" s="119"/>
      <c r="AE670" s="119"/>
      <c r="AF670" s="119"/>
      <c r="AG670" s="119"/>
      <c r="AH670" s="119"/>
      <c r="AI670" s="119"/>
      <c r="AJ670" s="119"/>
      <c r="AK670" s="74" t="s">
        <v>15633</v>
      </c>
      <c r="AL670" s="74">
        <v>4.0</v>
      </c>
      <c r="AM670" s="74">
        <v>1.0</v>
      </c>
      <c r="AN670" s="74" t="s">
        <v>10629</v>
      </c>
      <c r="AO670" s="120">
        <v>7444.0</v>
      </c>
      <c r="AP670" s="74" t="s">
        <v>15635</v>
      </c>
      <c r="AQ670" s="74" t="s">
        <v>15637</v>
      </c>
      <c r="AR670" s="120">
        <v>670.0</v>
      </c>
    </row>
    <row r="671">
      <c r="A671" s="74" t="s">
        <v>15639</v>
      </c>
      <c r="B671" s="74" t="s">
        <v>6876</v>
      </c>
      <c r="C671" s="74" t="s">
        <v>6877</v>
      </c>
      <c r="D671" s="74" t="s">
        <v>8493</v>
      </c>
      <c r="E671" s="146">
        <v>43854.0</v>
      </c>
      <c r="F671" s="74" t="s">
        <v>15641</v>
      </c>
      <c r="G671" s="74">
        <v>65.0</v>
      </c>
      <c r="H671" s="74">
        <v>1.0</v>
      </c>
      <c r="I671" s="74">
        <v>99.0</v>
      </c>
      <c r="J671" s="119"/>
      <c r="K671" s="119"/>
      <c r="L671" s="74" t="s">
        <v>2159</v>
      </c>
      <c r="M671" s="74" t="s">
        <v>2159</v>
      </c>
      <c r="N671" s="74" t="s">
        <v>15609</v>
      </c>
      <c r="O671" s="74" t="s">
        <v>15610</v>
      </c>
      <c r="P671" s="74" t="s">
        <v>15611</v>
      </c>
      <c r="Q671" s="74" t="s">
        <v>15612</v>
      </c>
      <c r="R671" s="119"/>
      <c r="S671" s="119"/>
      <c r="T671" s="119"/>
      <c r="U671" s="119"/>
      <c r="V671" s="119"/>
      <c r="W671" s="74">
        <v>7.0</v>
      </c>
      <c r="X671" s="74">
        <v>100.0</v>
      </c>
      <c r="Y671" s="74">
        <v>3.0</v>
      </c>
      <c r="Z671" s="74">
        <v>0.0</v>
      </c>
      <c r="AA671" s="119"/>
      <c r="AB671" s="119"/>
      <c r="AC671" s="119"/>
      <c r="AD671" s="119"/>
      <c r="AE671" s="119"/>
      <c r="AF671" s="119"/>
      <c r="AG671" s="119"/>
      <c r="AH671" s="119"/>
      <c r="AI671" s="119"/>
      <c r="AJ671" s="119"/>
      <c r="AK671" s="74" t="s">
        <v>15648</v>
      </c>
      <c r="AL671" s="74">
        <v>6.0</v>
      </c>
      <c r="AM671" s="74">
        <v>1.0</v>
      </c>
      <c r="AN671" s="74" t="s">
        <v>10629</v>
      </c>
      <c r="AO671" s="120">
        <v>7445.0</v>
      </c>
      <c r="AP671" s="74" t="s">
        <v>15651</v>
      </c>
      <c r="AQ671" s="74" t="s">
        <v>15653</v>
      </c>
      <c r="AR671" s="120">
        <v>671.0</v>
      </c>
    </row>
    <row r="672">
      <c r="A672" s="74" t="s">
        <v>15641</v>
      </c>
      <c r="B672" s="74" t="s">
        <v>6876</v>
      </c>
      <c r="C672" s="74" t="s">
        <v>6877</v>
      </c>
      <c r="D672" s="74" t="s">
        <v>8493</v>
      </c>
      <c r="E672" s="146">
        <v>43854.0</v>
      </c>
      <c r="F672" s="74" t="s">
        <v>15655</v>
      </c>
      <c r="G672" s="74">
        <v>65.0</v>
      </c>
      <c r="H672" s="74">
        <v>1.0</v>
      </c>
      <c r="I672" s="74">
        <v>16.0</v>
      </c>
      <c r="J672" s="119"/>
      <c r="K672" s="119"/>
      <c r="L672" s="74" t="s">
        <v>2174</v>
      </c>
      <c r="M672" s="74" t="s">
        <v>2174</v>
      </c>
      <c r="N672" s="74" t="s">
        <v>15609</v>
      </c>
      <c r="O672" s="74" t="s">
        <v>15656</v>
      </c>
      <c r="P672" s="74" t="s">
        <v>15596</v>
      </c>
      <c r="Q672" s="74" t="s">
        <v>15657</v>
      </c>
      <c r="R672" s="119"/>
      <c r="S672" s="119"/>
      <c r="T672" s="119"/>
      <c r="U672" s="119"/>
      <c r="V672" s="119"/>
      <c r="W672" s="74">
        <v>3.0</v>
      </c>
      <c r="X672" s="74">
        <v>1.0</v>
      </c>
      <c r="Y672" s="74">
        <v>3.0</v>
      </c>
      <c r="Z672" s="74">
        <v>14.0</v>
      </c>
      <c r="AA672" s="74">
        <v>2.0</v>
      </c>
      <c r="AB672" s="74">
        <v>1.0</v>
      </c>
      <c r="AC672" s="74">
        <v>3.0</v>
      </c>
      <c r="AD672" s="74">
        <v>2.0</v>
      </c>
      <c r="AE672" s="74">
        <v>1.0</v>
      </c>
      <c r="AF672" s="74">
        <v>1.0</v>
      </c>
      <c r="AG672" s="74">
        <v>1.0</v>
      </c>
      <c r="AH672" s="74">
        <v>3.0</v>
      </c>
      <c r="AI672" s="74">
        <v>0.0</v>
      </c>
      <c r="AJ672" s="119"/>
      <c r="AK672" s="74" t="s">
        <v>15662</v>
      </c>
      <c r="AL672" s="74">
        <v>6.0</v>
      </c>
      <c r="AM672" s="74">
        <v>1.0</v>
      </c>
      <c r="AN672" s="74" t="s">
        <v>10629</v>
      </c>
      <c r="AO672" s="120">
        <v>7446.0</v>
      </c>
      <c r="AP672" s="74" t="s">
        <v>15664</v>
      </c>
      <c r="AQ672" s="74" t="s">
        <v>15665</v>
      </c>
      <c r="AR672" s="120">
        <v>672.0</v>
      </c>
    </row>
    <row r="673">
      <c r="A673" s="74" t="s">
        <v>15655</v>
      </c>
      <c r="B673" s="74" t="s">
        <v>6876</v>
      </c>
      <c r="C673" s="74" t="s">
        <v>6877</v>
      </c>
      <c r="D673" s="74" t="s">
        <v>8493</v>
      </c>
      <c r="E673" s="146">
        <v>43854.0</v>
      </c>
      <c r="F673" s="74" t="s">
        <v>15667</v>
      </c>
      <c r="G673" s="74">
        <v>58.0</v>
      </c>
      <c r="H673" s="74">
        <v>2.0</v>
      </c>
      <c r="I673" s="74">
        <v>14.0</v>
      </c>
      <c r="J673" s="74">
        <v>144.0</v>
      </c>
      <c r="K673" s="119"/>
      <c r="L673" s="74" t="s">
        <v>696</v>
      </c>
      <c r="M673" s="74" t="s">
        <v>696</v>
      </c>
      <c r="N673" s="74" t="s">
        <v>15609</v>
      </c>
      <c r="O673" s="74" t="s">
        <v>15656</v>
      </c>
      <c r="P673" s="74" t="s">
        <v>15596</v>
      </c>
      <c r="Q673" s="74" t="s">
        <v>15657</v>
      </c>
      <c r="R673" s="119"/>
      <c r="S673" s="119"/>
      <c r="T673" s="119"/>
      <c r="U673" s="119"/>
      <c r="V673" s="119"/>
      <c r="W673" s="74">
        <v>7.0</v>
      </c>
      <c r="X673" s="74">
        <v>100.0</v>
      </c>
      <c r="Y673" s="74">
        <v>3.0</v>
      </c>
      <c r="Z673" s="74">
        <v>0.0</v>
      </c>
      <c r="AA673" s="74">
        <v>7.0</v>
      </c>
      <c r="AB673" s="74">
        <v>10.0</v>
      </c>
      <c r="AC673" s="74">
        <v>3.0</v>
      </c>
      <c r="AD673" s="74">
        <v>0.0</v>
      </c>
      <c r="AE673" s="74">
        <v>1.0</v>
      </c>
      <c r="AF673" s="74">
        <v>6.0</v>
      </c>
      <c r="AG673" s="74">
        <v>1.0</v>
      </c>
      <c r="AH673" s="74">
        <v>3.0</v>
      </c>
      <c r="AI673" s="74">
        <v>0.0</v>
      </c>
      <c r="AJ673" s="119"/>
      <c r="AK673" s="74" t="s">
        <v>15674</v>
      </c>
      <c r="AL673" s="74">
        <v>6.0</v>
      </c>
      <c r="AM673" s="74">
        <v>1.0</v>
      </c>
      <c r="AN673" s="74" t="s">
        <v>10629</v>
      </c>
      <c r="AO673" s="120">
        <v>7447.0</v>
      </c>
      <c r="AP673" s="74" t="s">
        <v>15675</v>
      </c>
      <c r="AQ673" s="74" t="s">
        <v>15676</v>
      </c>
      <c r="AR673" s="120">
        <v>673.0</v>
      </c>
    </row>
    <row r="674">
      <c r="A674" s="74" t="s">
        <v>15677</v>
      </c>
      <c r="B674" s="74" t="s">
        <v>6876</v>
      </c>
      <c r="C674" s="74" t="s">
        <v>6877</v>
      </c>
      <c r="D674" s="74" t="s">
        <v>8493</v>
      </c>
      <c r="E674" s="146">
        <v>43854.0</v>
      </c>
      <c r="F674" s="74" t="s">
        <v>15680</v>
      </c>
      <c r="G674" s="74">
        <v>58.0</v>
      </c>
      <c r="H674" s="74">
        <v>2.0</v>
      </c>
      <c r="I674" s="74">
        <v>14.0</v>
      </c>
      <c r="J674" s="74">
        <v>142.0</v>
      </c>
      <c r="K674" s="119"/>
      <c r="L674" s="74" t="s">
        <v>699</v>
      </c>
      <c r="M674" s="74" t="s">
        <v>699</v>
      </c>
      <c r="N674" s="74" t="s">
        <v>15609</v>
      </c>
      <c r="O674" s="74" t="s">
        <v>15656</v>
      </c>
      <c r="P674" s="74" t="s">
        <v>15596</v>
      </c>
      <c r="Q674" s="74" t="s">
        <v>15657</v>
      </c>
      <c r="R674" s="119"/>
      <c r="S674" s="119"/>
      <c r="T674" s="119"/>
      <c r="U674" s="119"/>
      <c r="V674" s="119"/>
      <c r="W674" s="74">
        <v>7.0</v>
      </c>
      <c r="X674" s="74">
        <v>100.0</v>
      </c>
      <c r="Y674" s="74">
        <v>2.0</v>
      </c>
      <c r="Z674" s="119"/>
      <c r="AA674" s="74">
        <v>7.0</v>
      </c>
      <c r="AB674" s="74">
        <v>10.0</v>
      </c>
      <c r="AC674" s="74">
        <v>3.0</v>
      </c>
      <c r="AD674" s="74">
        <v>3.0</v>
      </c>
      <c r="AE674" s="74">
        <v>1.0</v>
      </c>
      <c r="AF674" s="74">
        <v>6.0</v>
      </c>
      <c r="AG674" s="74">
        <v>1.0</v>
      </c>
      <c r="AH674" s="74">
        <v>3.0</v>
      </c>
      <c r="AI674" s="74">
        <v>0.0</v>
      </c>
      <c r="AJ674" s="119"/>
      <c r="AK674" s="74" t="s">
        <v>15686</v>
      </c>
      <c r="AL674" s="74">
        <v>6.0</v>
      </c>
      <c r="AM674" s="74">
        <v>1.0</v>
      </c>
      <c r="AN674" s="74" t="s">
        <v>10629</v>
      </c>
      <c r="AO674" s="120">
        <v>7448.0</v>
      </c>
      <c r="AP674" s="74" t="s">
        <v>15688</v>
      </c>
      <c r="AQ674" s="74" t="s">
        <v>15689</v>
      </c>
      <c r="AR674" s="120">
        <v>674.0</v>
      </c>
    </row>
    <row r="675">
      <c r="A675" s="74" t="s">
        <v>15691</v>
      </c>
      <c r="B675" s="74" t="s">
        <v>6876</v>
      </c>
      <c r="C675" s="74" t="s">
        <v>6877</v>
      </c>
      <c r="D675" s="74" t="s">
        <v>8493</v>
      </c>
      <c r="E675" s="146">
        <v>43854.0</v>
      </c>
      <c r="F675" s="74" t="s">
        <v>15692</v>
      </c>
      <c r="G675" s="74">
        <v>58.0</v>
      </c>
      <c r="H675" s="74">
        <v>2.0</v>
      </c>
      <c r="I675" s="74">
        <v>14.0</v>
      </c>
      <c r="J675" s="74">
        <v>145.0</v>
      </c>
      <c r="K675" s="119"/>
      <c r="L675" s="74" t="s">
        <v>701</v>
      </c>
      <c r="M675" s="74" t="s">
        <v>701</v>
      </c>
      <c r="N675" s="74" t="s">
        <v>15609</v>
      </c>
      <c r="O675" s="74" t="s">
        <v>15656</v>
      </c>
      <c r="P675" s="74" t="s">
        <v>15596</v>
      </c>
      <c r="Q675" s="74" t="s">
        <v>15657</v>
      </c>
      <c r="R675" s="119"/>
      <c r="S675" s="119"/>
      <c r="T675" s="119"/>
      <c r="U675" s="119"/>
      <c r="V675" s="119"/>
      <c r="W675" s="74">
        <v>7.0</v>
      </c>
      <c r="X675" s="74">
        <v>100.0</v>
      </c>
      <c r="Y675" s="74">
        <v>3.0</v>
      </c>
      <c r="Z675" s="74">
        <v>0.0</v>
      </c>
      <c r="AA675" s="74">
        <v>7.0</v>
      </c>
      <c r="AB675" s="74">
        <v>10.0</v>
      </c>
      <c r="AC675" s="74">
        <v>3.0</v>
      </c>
      <c r="AD675" s="74">
        <v>0.0</v>
      </c>
      <c r="AE675" s="74">
        <v>1.0</v>
      </c>
      <c r="AF675" s="74">
        <v>6.0</v>
      </c>
      <c r="AG675" s="74">
        <v>1.0</v>
      </c>
      <c r="AH675" s="74">
        <v>3.0</v>
      </c>
      <c r="AI675" s="74">
        <v>0.0</v>
      </c>
      <c r="AJ675" s="119"/>
      <c r="AK675" s="74" t="s">
        <v>15702</v>
      </c>
      <c r="AL675" s="74">
        <v>6.0</v>
      </c>
      <c r="AM675" s="74">
        <v>1.0</v>
      </c>
      <c r="AN675" s="74" t="s">
        <v>10629</v>
      </c>
      <c r="AO675" s="120">
        <v>7449.0</v>
      </c>
      <c r="AP675" s="74" t="s">
        <v>15705</v>
      </c>
      <c r="AQ675" s="74" t="s">
        <v>15706</v>
      </c>
      <c r="AR675" s="120">
        <v>675.0</v>
      </c>
    </row>
    <row r="676">
      <c r="A676" s="74" t="s">
        <v>15692</v>
      </c>
      <c r="B676" s="74" t="s">
        <v>6876</v>
      </c>
      <c r="C676" s="74" t="s">
        <v>6877</v>
      </c>
      <c r="D676" s="74" t="s">
        <v>8493</v>
      </c>
      <c r="E676" s="146">
        <v>43854.0</v>
      </c>
      <c r="F676" s="74" t="s">
        <v>15708</v>
      </c>
      <c r="G676" s="74">
        <v>58.0</v>
      </c>
      <c r="H676" s="74">
        <v>2.0</v>
      </c>
      <c r="I676" s="74">
        <v>14.0</v>
      </c>
      <c r="J676" s="74">
        <v>141.0</v>
      </c>
      <c r="K676" s="119"/>
      <c r="L676" s="74" t="s">
        <v>704</v>
      </c>
      <c r="M676" s="74" t="s">
        <v>704</v>
      </c>
      <c r="N676" s="74" t="s">
        <v>15609</v>
      </c>
      <c r="O676" s="74" t="s">
        <v>15656</v>
      </c>
      <c r="P676" s="74" t="s">
        <v>15711</v>
      </c>
      <c r="Q676" s="74" t="s">
        <v>15712</v>
      </c>
      <c r="R676" s="119"/>
      <c r="S676" s="119"/>
      <c r="T676" s="119"/>
      <c r="U676" s="119"/>
      <c r="V676" s="119"/>
      <c r="W676" s="74">
        <v>6.0</v>
      </c>
      <c r="X676" s="74">
        <v>1.0</v>
      </c>
      <c r="Y676" s="74">
        <v>3.0</v>
      </c>
      <c r="Z676" s="74">
        <v>4.0</v>
      </c>
      <c r="AA676" s="74">
        <v>5.0</v>
      </c>
      <c r="AB676" s="74">
        <v>1.0</v>
      </c>
      <c r="AC676" s="74">
        <v>3.0</v>
      </c>
      <c r="AD676" s="74">
        <v>1.0</v>
      </c>
      <c r="AE676" s="74">
        <v>1.0</v>
      </c>
      <c r="AF676" s="74">
        <v>4.0</v>
      </c>
      <c r="AG676" s="74">
        <v>1.0</v>
      </c>
      <c r="AH676" s="74">
        <v>3.0</v>
      </c>
      <c r="AI676" s="74">
        <v>0.0</v>
      </c>
      <c r="AJ676" s="119"/>
      <c r="AK676" s="74" t="s">
        <v>15714</v>
      </c>
      <c r="AL676" s="74">
        <v>6.0</v>
      </c>
      <c r="AM676" s="74">
        <v>1.0</v>
      </c>
      <c r="AN676" s="74" t="s">
        <v>10629</v>
      </c>
      <c r="AO676" s="120">
        <v>7450.0</v>
      </c>
      <c r="AP676" s="74" t="s">
        <v>15717</v>
      </c>
      <c r="AQ676" s="74" t="s">
        <v>15718</v>
      </c>
      <c r="AR676" s="120">
        <v>676.0</v>
      </c>
    </row>
    <row r="677">
      <c r="A677" s="74" t="s">
        <v>15708</v>
      </c>
      <c r="B677" s="74" t="s">
        <v>6876</v>
      </c>
      <c r="C677" s="74" t="s">
        <v>6877</v>
      </c>
      <c r="D677" s="74" t="s">
        <v>8493</v>
      </c>
      <c r="E677" s="146">
        <v>43854.0</v>
      </c>
      <c r="F677" s="74" t="s">
        <v>15722</v>
      </c>
      <c r="G677" s="74">
        <v>58.0</v>
      </c>
      <c r="H677" s="74">
        <v>2.0</v>
      </c>
      <c r="I677" s="74">
        <v>14.0</v>
      </c>
      <c r="J677" s="74">
        <v>143.0</v>
      </c>
      <c r="K677" s="119"/>
      <c r="L677" s="74" t="s">
        <v>706</v>
      </c>
      <c r="M677" s="74" t="s">
        <v>706</v>
      </c>
      <c r="N677" s="74" t="s">
        <v>15609</v>
      </c>
      <c r="O677" s="74" t="s">
        <v>15656</v>
      </c>
      <c r="P677" s="74" t="s">
        <v>15711</v>
      </c>
      <c r="Q677" s="74" t="s">
        <v>15712</v>
      </c>
      <c r="R677" s="119"/>
      <c r="S677" s="119"/>
      <c r="T677" s="119"/>
      <c r="U677" s="119"/>
      <c r="V677" s="119"/>
      <c r="W677" s="74">
        <v>6.0</v>
      </c>
      <c r="X677" s="74">
        <v>1.0</v>
      </c>
      <c r="Y677" s="74">
        <v>3.0</v>
      </c>
      <c r="Z677" s="74">
        <v>1.0</v>
      </c>
      <c r="AA677" s="74">
        <v>5.0</v>
      </c>
      <c r="AB677" s="74">
        <v>1.0</v>
      </c>
      <c r="AC677" s="74">
        <v>3.0</v>
      </c>
      <c r="AD677" s="74">
        <v>0.0</v>
      </c>
      <c r="AE677" s="74">
        <v>1.0</v>
      </c>
      <c r="AF677" s="74">
        <v>4.0</v>
      </c>
      <c r="AG677" s="74">
        <v>1.0</v>
      </c>
      <c r="AH677" s="74">
        <v>3.0</v>
      </c>
      <c r="AI677" s="74">
        <v>0.0</v>
      </c>
      <c r="AJ677" s="119"/>
      <c r="AK677" s="74" t="s">
        <v>15727</v>
      </c>
      <c r="AL677" s="74">
        <v>6.0</v>
      </c>
      <c r="AM677" s="74">
        <v>1.0</v>
      </c>
      <c r="AN677" s="74" t="s">
        <v>10629</v>
      </c>
      <c r="AO677" s="120">
        <v>7451.0</v>
      </c>
      <c r="AP677" s="74" t="s">
        <v>15730</v>
      </c>
      <c r="AQ677" s="74" t="s">
        <v>15731</v>
      </c>
      <c r="AR677" s="120">
        <v>677.0</v>
      </c>
    </row>
    <row r="678">
      <c r="A678" s="74" t="s">
        <v>15722</v>
      </c>
      <c r="B678" s="74" t="s">
        <v>6876</v>
      </c>
      <c r="C678" s="74" t="s">
        <v>6877</v>
      </c>
      <c r="D678" s="74" t="s">
        <v>8493</v>
      </c>
      <c r="E678" s="146">
        <v>43854.0</v>
      </c>
      <c r="F678" s="74" t="s">
        <v>15733</v>
      </c>
      <c r="G678" s="74">
        <v>58.0</v>
      </c>
      <c r="H678" s="74">
        <v>2.0</v>
      </c>
      <c r="I678" s="74">
        <v>99.0</v>
      </c>
      <c r="J678" s="119"/>
      <c r="K678" s="119"/>
      <c r="L678" s="74" t="s">
        <v>708</v>
      </c>
      <c r="M678" s="74" t="s">
        <v>708</v>
      </c>
      <c r="N678" s="74" t="s">
        <v>15609</v>
      </c>
      <c r="O678" s="74" t="s">
        <v>15610</v>
      </c>
      <c r="P678" s="74" t="s">
        <v>15611</v>
      </c>
      <c r="Q678" s="74" t="s">
        <v>15612</v>
      </c>
      <c r="R678" s="119"/>
      <c r="S678" s="119"/>
      <c r="T678" s="119"/>
      <c r="U678" s="119"/>
      <c r="V678" s="119"/>
      <c r="W678" s="74">
        <v>7.0</v>
      </c>
      <c r="X678" s="74">
        <v>100.0</v>
      </c>
      <c r="Y678" s="74">
        <v>3.0</v>
      </c>
      <c r="Z678" s="74">
        <v>0.0</v>
      </c>
      <c r="AA678" s="119"/>
      <c r="AB678" s="119"/>
      <c r="AC678" s="119"/>
      <c r="AD678" s="119"/>
      <c r="AE678" s="119"/>
      <c r="AF678" s="119"/>
      <c r="AG678" s="119"/>
      <c r="AH678" s="119"/>
      <c r="AI678" s="119"/>
      <c r="AJ678" s="119"/>
      <c r="AK678" s="74" t="s">
        <v>15742</v>
      </c>
      <c r="AL678" s="74">
        <v>6.0</v>
      </c>
      <c r="AM678" s="74">
        <v>1.0</v>
      </c>
      <c r="AN678" s="74" t="s">
        <v>10629</v>
      </c>
      <c r="AO678" s="120">
        <v>7452.0</v>
      </c>
      <c r="AP678" s="74" t="s">
        <v>15744</v>
      </c>
      <c r="AQ678" s="74" t="s">
        <v>15745</v>
      </c>
      <c r="AR678" s="120">
        <v>678.0</v>
      </c>
    </row>
    <row r="679">
      <c r="A679" s="74" t="s">
        <v>15746</v>
      </c>
      <c r="B679" s="74" t="s">
        <v>6876</v>
      </c>
      <c r="C679" s="74" t="s">
        <v>6877</v>
      </c>
      <c r="D679" s="74" t="s">
        <v>8493</v>
      </c>
      <c r="E679" s="146">
        <v>43854.0</v>
      </c>
      <c r="F679" s="74" t="s">
        <v>15748</v>
      </c>
      <c r="G679" s="74">
        <v>58.0</v>
      </c>
      <c r="H679" s="74">
        <v>2.0</v>
      </c>
      <c r="I679" s="74">
        <v>5.0</v>
      </c>
      <c r="J679" s="119"/>
      <c r="K679" s="119"/>
      <c r="L679" s="74" t="s">
        <v>2171</v>
      </c>
      <c r="M679" s="74" t="s">
        <v>2171</v>
      </c>
      <c r="N679" s="74" t="s">
        <v>15609</v>
      </c>
      <c r="O679" s="74" t="s">
        <v>15656</v>
      </c>
      <c r="P679" s="74" t="s">
        <v>15711</v>
      </c>
      <c r="Q679" s="74" t="s">
        <v>15712</v>
      </c>
      <c r="R679" s="119"/>
      <c r="S679" s="119"/>
      <c r="T679" s="119"/>
      <c r="U679" s="119"/>
      <c r="V679" s="119"/>
      <c r="W679" s="74">
        <v>5.0</v>
      </c>
      <c r="X679" s="74">
        <v>1.0</v>
      </c>
      <c r="Y679" s="74">
        <v>3.0</v>
      </c>
      <c r="Z679" s="74">
        <v>0.0</v>
      </c>
      <c r="AA679" s="74">
        <v>4.0</v>
      </c>
      <c r="AB679" s="74">
        <v>1.0</v>
      </c>
      <c r="AC679" s="74">
        <v>3.0</v>
      </c>
      <c r="AD679" s="74">
        <v>0.0</v>
      </c>
      <c r="AE679" s="74">
        <v>1.0</v>
      </c>
      <c r="AF679" s="74">
        <v>3.0</v>
      </c>
      <c r="AG679" s="74">
        <v>1.0</v>
      </c>
      <c r="AH679" s="74">
        <v>3.0</v>
      </c>
      <c r="AI679" s="74">
        <v>0.0</v>
      </c>
      <c r="AJ679" s="119"/>
      <c r="AK679" s="74" t="s">
        <v>15754</v>
      </c>
      <c r="AL679" s="74">
        <v>6.0</v>
      </c>
      <c r="AM679" s="74">
        <v>1.0</v>
      </c>
      <c r="AN679" s="74" t="s">
        <v>10629</v>
      </c>
      <c r="AO679" s="120">
        <v>7453.0</v>
      </c>
      <c r="AP679" s="74" t="s">
        <v>15755</v>
      </c>
      <c r="AQ679" s="74" t="s">
        <v>15756</v>
      </c>
      <c r="AR679" s="120">
        <v>679.0</v>
      </c>
    </row>
    <row r="680">
      <c r="A680" s="74" t="s">
        <v>15748</v>
      </c>
      <c r="B680" s="74" t="s">
        <v>6876</v>
      </c>
      <c r="C680" s="74" t="s">
        <v>6877</v>
      </c>
      <c r="D680" s="74" t="s">
        <v>8493</v>
      </c>
      <c r="E680" s="146">
        <v>43854.0</v>
      </c>
      <c r="F680" s="74" t="s">
        <v>15758</v>
      </c>
      <c r="G680" s="74">
        <v>58.0</v>
      </c>
      <c r="H680" s="74">
        <v>2.0</v>
      </c>
      <c r="I680" s="74">
        <v>99.0</v>
      </c>
      <c r="J680" s="119"/>
      <c r="K680" s="119"/>
      <c r="L680" s="74" t="s">
        <v>2172</v>
      </c>
      <c r="M680" s="74" t="s">
        <v>2172</v>
      </c>
      <c r="N680" s="74" t="s">
        <v>15610</v>
      </c>
      <c r="O680" s="74" t="s">
        <v>15611</v>
      </c>
      <c r="P680" s="74" t="s">
        <v>15611</v>
      </c>
      <c r="Q680" s="74" t="s">
        <v>15612</v>
      </c>
      <c r="R680" s="119"/>
      <c r="S680" s="119"/>
      <c r="T680" s="119"/>
      <c r="U680" s="119"/>
      <c r="V680" s="119"/>
      <c r="W680" s="74">
        <v>7.0</v>
      </c>
      <c r="X680" s="74">
        <v>100.0</v>
      </c>
      <c r="Y680" s="74">
        <v>3.0</v>
      </c>
      <c r="Z680" s="74">
        <v>0.0</v>
      </c>
      <c r="AA680" s="119"/>
      <c r="AB680" s="119"/>
      <c r="AC680" s="119"/>
      <c r="AD680" s="119"/>
      <c r="AE680" s="119"/>
      <c r="AF680" s="119"/>
      <c r="AG680" s="119"/>
      <c r="AH680" s="119"/>
      <c r="AI680" s="119"/>
      <c r="AJ680" s="119"/>
      <c r="AK680" s="74" t="s">
        <v>15767</v>
      </c>
      <c r="AL680" s="74">
        <v>6.0</v>
      </c>
      <c r="AM680" s="74">
        <v>1.0</v>
      </c>
      <c r="AN680" s="74" t="s">
        <v>10629</v>
      </c>
      <c r="AO680" s="120">
        <v>7454.0</v>
      </c>
      <c r="AP680" s="74" t="s">
        <v>15771</v>
      </c>
      <c r="AQ680" s="74" t="s">
        <v>15772</v>
      </c>
      <c r="AR680" s="120">
        <v>680.0</v>
      </c>
    </row>
    <row r="681">
      <c r="A681" s="74" t="s">
        <v>15773</v>
      </c>
      <c r="B681" s="74" t="s">
        <v>6876</v>
      </c>
      <c r="C681" s="74" t="s">
        <v>6877</v>
      </c>
      <c r="D681" s="74" t="s">
        <v>8493</v>
      </c>
      <c r="E681" s="146">
        <v>43854.0</v>
      </c>
      <c r="F681" s="74" t="s">
        <v>15775</v>
      </c>
      <c r="G681" s="74">
        <v>58.0</v>
      </c>
      <c r="H681" s="74">
        <v>2.0</v>
      </c>
      <c r="I681" s="74">
        <v>10.0</v>
      </c>
      <c r="J681" s="119"/>
      <c r="K681" s="119"/>
      <c r="L681" s="74" t="s">
        <v>2163</v>
      </c>
      <c r="M681" s="74" t="s">
        <v>2163</v>
      </c>
      <c r="N681" s="74" t="s">
        <v>15656</v>
      </c>
      <c r="O681" s="74" t="s">
        <v>15543</v>
      </c>
      <c r="P681" s="74" t="s">
        <v>15543</v>
      </c>
      <c r="Q681" s="74" t="s">
        <v>15778</v>
      </c>
      <c r="R681" s="119"/>
      <c r="S681" s="74">
        <v>105.0</v>
      </c>
      <c r="T681" s="119"/>
      <c r="U681" s="119"/>
      <c r="V681" s="119"/>
      <c r="W681" s="74">
        <v>6.0</v>
      </c>
      <c r="X681" s="74">
        <v>1.0</v>
      </c>
      <c r="Y681" s="74">
        <v>3.0</v>
      </c>
      <c r="Z681" s="74">
        <v>0.0</v>
      </c>
      <c r="AA681" s="74">
        <v>5.0</v>
      </c>
      <c r="AB681" s="74">
        <v>1.0</v>
      </c>
      <c r="AC681" s="74">
        <v>3.0</v>
      </c>
      <c r="AD681" s="74">
        <v>0.0</v>
      </c>
      <c r="AE681" s="74">
        <v>1.0</v>
      </c>
      <c r="AF681" s="74">
        <v>4.0</v>
      </c>
      <c r="AG681" s="74">
        <v>1.0</v>
      </c>
      <c r="AH681" s="74">
        <v>3.0</v>
      </c>
      <c r="AI681" s="74">
        <v>0.0</v>
      </c>
      <c r="AJ681" s="119"/>
      <c r="AK681" s="74" t="s">
        <v>15780</v>
      </c>
      <c r="AL681" s="74">
        <v>6.0</v>
      </c>
      <c r="AM681" s="74">
        <v>1.0</v>
      </c>
      <c r="AN681" s="74" t="s">
        <v>10629</v>
      </c>
      <c r="AO681" s="120">
        <v>7455.0</v>
      </c>
      <c r="AP681" s="74" t="s">
        <v>15781</v>
      </c>
      <c r="AQ681" s="74" t="s">
        <v>15783</v>
      </c>
      <c r="AR681" s="120">
        <v>681.0</v>
      </c>
    </row>
    <row r="682">
      <c r="A682" s="74" t="s">
        <v>15775</v>
      </c>
      <c r="B682" s="74" t="s">
        <v>6876</v>
      </c>
      <c r="C682" s="74" t="s">
        <v>6877</v>
      </c>
      <c r="D682" s="74" t="s">
        <v>8493</v>
      </c>
      <c r="E682" s="146">
        <v>43854.0</v>
      </c>
      <c r="F682" s="74" t="s">
        <v>15787</v>
      </c>
      <c r="G682" s="74">
        <v>58.0</v>
      </c>
      <c r="H682" s="74">
        <v>2.0</v>
      </c>
      <c r="I682" s="74">
        <v>99.0</v>
      </c>
      <c r="J682" s="119"/>
      <c r="K682" s="119"/>
      <c r="L682" s="74" t="s">
        <v>2167</v>
      </c>
      <c r="M682" s="74" t="s">
        <v>2167</v>
      </c>
      <c r="N682" s="74" t="s">
        <v>15610</v>
      </c>
      <c r="O682" s="74" t="s">
        <v>15611</v>
      </c>
      <c r="P682" s="74" t="s">
        <v>15611</v>
      </c>
      <c r="Q682" s="74" t="s">
        <v>15612</v>
      </c>
      <c r="R682" s="119"/>
      <c r="S682" s="119"/>
      <c r="T682" s="119"/>
      <c r="U682" s="119"/>
      <c r="V682" s="119"/>
      <c r="W682" s="74">
        <v>7.0</v>
      </c>
      <c r="X682" s="74">
        <v>100.0</v>
      </c>
      <c r="Y682" s="74">
        <v>3.0</v>
      </c>
      <c r="Z682" s="74">
        <v>0.0</v>
      </c>
      <c r="AA682" s="119"/>
      <c r="AB682" s="119"/>
      <c r="AC682" s="119"/>
      <c r="AD682" s="119"/>
      <c r="AE682" s="119"/>
      <c r="AF682" s="119"/>
      <c r="AG682" s="119"/>
      <c r="AH682" s="119"/>
      <c r="AI682" s="119"/>
      <c r="AJ682" s="119"/>
      <c r="AK682" s="74" t="s">
        <v>15799</v>
      </c>
      <c r="AL682" s="74">
        <v>6.0</v>
      </c>
      <c r="AM682" s="74">
        <v>1.0</v>
      </c>
      <c r="AN682" s="74" t="s">
        <v>10629</v>
      </c>
      <c r="AO682" s="120">
        <v>7456.0</v>
      </c>
      <c r="AP682" s="74" t="s">
        <v>15802</v>
      </c>
      <c r="AQ682" s="74" t="s">
        <v>15803</v>
      </c>
      <c r="AR682" s="120">
        <v>682.0</v>
      </c>
    </row>
    <row r="683">
      <c r="A683" s="74" t="s">
        <v>15787</v>
      </c>
      <c r="B683" s="74" t="s">
        <v>6876</v>
      </c>
      <c r="C683" s="74" t="s">
        <v>6877</v>
      </c>
      <c r="D683" s="74" t="s">
        <v>8493</v>
      </c>
      <c r="E683" s="146">
        <v>43854.0</v>
      </c>
      <c r="F683" s="74" t="s">
        <v>15806</v>
      </c>
      <c r="G683" s="74">
        <v>33.0</v>
      </c>
      <c r="H683" s="74">
        <v>1.0</v>
      </c>
      <c r="I683" s="74">
        <v>98.0</v>
      </c>
      <c r="J683" s="119"/>
      <c r="K683" s="119"/>
      <c r="L683" s="74" t="s">
        <v>2176</v>
      </c>
      <c r="M683" s="74" t="s">
        <v>2176</v>
      </c>
      <c r="N683" s="74" t="s">
        <v>15807</v>
      </c>
      <c r="O683" s="74" t="s">
        <v>15808</v>
      </c>
      <c r="P683" s="74" t="s">
        <v>15808</v>
      </c>
      <c r="Q683" s="74" t="s">
        <v>15811</v>
      </c>
      <c r="R683" s="119"/>
      <c r="S683" s="119"/>
      <c r="T683" s="119"/>
      <c r="U683" s="119"/>
      <c r="V683" s="119"/>
      <c r="W683" s="74">
        <v>7.0</v>
      </c>
      <c r="X683" s="74">
        <v>100.0</v>
      </c>
      <c r="Y683" s="74">
        <v>3.0</v>
      </c>
      <c r="Z683" s="74">
        <v>0.0</v>
      </c>
      <c r="AA683" s="119"/>
      <c r="AB683" s="119"/>
      <c r="AC683" s="119"/>
      <c r="AD683" s="119"/>
      <c r="AE683" s="119"/>
      <c r="AF683" s="119"/>
      <c r="AG683" s="119"/>
      <c r="AH683" s="119"/>
      <c r="AI683" s="119"/>
      <c r="AJ683" s="119"/>
      <c r="AK683" s="74" t="s">
        <v>11376</v>
      </c>
      <c r="AL683" s="74">
        <v>6.0</v>
      </c>
      <c r="AM683" s="74">
        <v>1.0</v>
      </c>
      <c r="AN683" s="74" t="s">
        <v>10629</v>
      </c>
      <c r="AO683" s="120">
        <v>7457.0</v>
      </c>
      <c r="AP683" s="74" t="s">
        <v>15817</v>
      </c>
      <c r="AQ683" s="74" t="s">
        <v>15818</v>
      </c>
      <c r="AR683" s="120">
        <v>683.0</v>
      </c>
    </row>
    <row r="684">
      <c r="A684" s="74" t="s">
        <v>15819</v>
      </c>
      <c r="B684" s="74" t="s">
        <v>6876</v>
      </c>
      <c r="C684" s="74" t="s">
        <v>6877</v>
      </c>
      <c r="D684" s="74" t="s">
        <v>8493</v>
      </c>
      <c r="E684" s="146">
        <v>43864.0</v>
      </c>
      <c r="F684" s="74" t="s">
        <v>15824</v>
      </c>
      <c r="G684" s="74">
        <v>59.0</v>
      </c>
      <c r="H684" s="74">
        <v>1.0</v>
      </c>
      <c r="I684" s="74">
        <v>11.0</v>
      </c>
      <c r="J684" s="119"/>
      <c r="K684" s="119"/>
      <c r="L684" s="74" t="s">
        <v>2291</v>
      </c>
      <c r="M684" s="74" t="s">
        <v>2291</v>
      </c>
      <c r="N684" s="74" t="s">
        <v>15827</v>
      </c>
      <c r="O684" s="74" t="s">
        <v>15828</v>
      </c>
      <c r="P684" s="74" t="s">
        <v>15828</v>
      </c>
      <c r="Q684" s="74" t="s">
        <v>15829</v>
      </c>
      <c r="R684" s="119"/>
      <c r="S684" s="119"/>
      <c r="T684" s="119"/>
      <c r="U684" s="119"/>
      <c r="V684" s="119"/>
      <c r="W684" s="74">
        <v>3.0</v>
      </c>
      <c r="X684" s="74">
        <v>1.0</v>
      </c>
      <c r="Y684" s="74">
        <v>3.0</v>
      </c>
      <c r="Z684" s="74">
        <v>2.0</v>
      </c>
      <c r="AA684" s="74">
        <v>2.0</v>
      </c>
      <c r="AB684" s="74">
        <v>1.0</v>
      </c>
      <c r="AC684" s="74">
        <v>3.0</v>
      </c>
      <c r="AD684" s="74">
        <v>1.0</v>
      </c>
      <c r="AE684" s="74">
        <v>1.0</v>
      </c>
      <c r="AF684" s="74">
        <v>1.0</v>
      </c>
      <c r="AG684" s="74">
        <v>1.0</v>
      </c>
      <c r="AH684" s="74">
        <v>3.0</v>
      </c>
      <c r="AI684" s="74">
        <v>0.0</v>
      </c>
      <c r="AJ684" s="119"/>
      <c r="AK684" s="74" t="s">
        <v>13714</v>
      </c>
      <c r="AL684" s="74">
        <v>6.0</v>
      </c>
      <c r="AM684" s="74">
        <v>1.0</v>
      </c>
      <c r="AN684" s="74" t="s">
        <v>10629</v>
      </c>
      <c r="AO684" s="120">
        <v>7630.0</v>
      </c>
      <c r="AP684" s="74" t="s">
        <v>15836</v>
      </c>
      <c r="AQ684" s="74" t="s">
        <v>15837</v>
      </c>
      <c r="AR684" s="120">
        <v>684.0</v>
      </c>
    </row>
    <row r="685">
      <c r="A685" s="74" t="s">
        <v>15824</v>
      </c>
      <c r="B685" s="74" t="s">
        <v>6876</v>
      </c>
      <c r="C685" s="74" t="s">
        <v>6877</v>
      </c>
      <c r="D685" s="74" t="s">
        <v>8493</v>
      </c>
      <c r="E685" s="146">
        <v>43864.0</v>
      </c>
      <c r="F685" s="74" t="s">
        <v>15841</v>
      </c>
      <c r="G685" s="74">
        <v>59.0</v>
      </c>
      <c r="H685" s="74">
        <v>1.0</v>
      </c>
      <c r="I685" s="74">
        <v>99.0</v>
      </c>
      <c r="J685" s="119"/>
      <c r="K685" s="119"/>
      <c r="L685" s="74" t="s">
        <v>2301</v>
      </c>
      <c r="M685" s="74" t="s">
        <v>2301</v>
      </c>
      <c r="N685" s="74" t="s">
        <v>15827</v>
      </c>
      <c r="O685" s="74" t="s">
        <v>15827</v>
      </c>
      <c r="P685" s="74" t="s">
        <v>15828</v>
      </c>
      <c r="Q685" s="74" t="s">
        <v>15829</v>
      </c>
      <c r="R685" s="119"/>
      <c r="S685" s="119"/>
      <c r="T685" s="119"/>
      <c r="U685" s="119"/>
      <c r="V685" s="119"/>
      <c r="W685" s="74">
        <v>7.0</v>
      </c>
      <c r="X685" s="74">
        <v>100.0</v>
      </c>
      <c r="Y685" s="74">
        <v>3.0</v>
      </c>
      <c r="Z685" s="74">
        <v>0.0</v>
      </c>
      <c r="AA685" s="119"/>
      <c r="AB685" s="119"/>
      <c r="AC685" s="119"/>
      <c r="AD685" s="119"/>
      <c r="AE685" s="119"/>
      <c r="AF685" s="119"/>
      <c r="AG685" s="119"/>
      <c r="AH685" s="119"/>
      <c r="AI685" s="119"/>
      <c r="AJ685" s="119"/>
      <c r="AK685" s="74" t="s">
        <v>15850</v>
      </c>
      <c r="AL685" s="74">
        <v>6.0</v>
      </c>
      <c r="AM685" s="74">
        <v>1.0</v>
      </c>
      <c r="AN685" s="74" t="s">
        <v>10629</v>
      </c>
      <c r="AO685" s="120">
        <v>7631.0</v>
      </c>
      <c r="AP685" s="74" t="s">
        <v>15851</v>
      </c>
      <c r="AQ685" s="74" t="s">
        <v>15852</v>
      </c>
      <c r="AR685" s="120">
        <v>685.0</v>
      </c>
    </row>
    <row r="686">
      <c r="A686" s="74" t="s">
        <v>15841</v>
      </c>
      <c r="B686" s="74" t="s">
        <v>6876</v>
      </c>
      <c r="C686" s="74" t="s">
        <v>6877</v>
      </c>
      <c r="D686" s="74" t="s">
        <v>8493</v>
      </c>
      <c r="E686" s="146">
        <v>43864.0</v>
      </c>
      <c r="F686" s="74" t="s">
        <v>15856</v>
      </c>
      <c r="G686" s="74">
        <v>58.0</v>
      </c>
      <c r="H686" s="74">
        <v>2.0</v>
      </c>
      <c r="I686" s="74">
        <v>9.0</v>
      </c>
      <c r="J686" s="119"/>
      <c r="K686" s="119"/>
      <c r="L686" s="74" t="s">
        <v>2180</v>
      </c>
      <c r="M686" s="74" t="s">
        <v>2180</v>
      </c>
      <c r="N686" s="74" t="s">
        <v>15827</v>
      </c>
      <c r="O686" s="74" t="s">
        <v>15827</v>
      </c>
      <c r="P686" s="74" t="s">
        <v>15828</v>
      </c>
      <c r="Q686" s="74" t="s">
        <v>15829</v>
      </c>
      <c r="R686" s="119"/>
      <c r="S686" s="119"/>
      <c r="T686" s="119"/>
      <c r="U686" s="119"/>
      <c r="V686" s="119"/>
      <c r="W686" s="74">
        <v>7.0</v>
      </c>
      <c r="X686" s="74">
        <v>100.0</v>
      </c>
      <c r="Y686" s="74">
        <v>3.0</v>
      </c>
      <c r="Z686" s="74">
        <v>0.0</v>
      </c>
      <c r="AA686" s="74">
        <v>7.0</v>
      </c>
      <c r="AB686" s="74">
        <v>10.0</v>
      </c>
      <c r="AC686" s="74">
        <v>3.0</v>
      </c>
      <c r="AD686" s="74">
        <v>0.0</v>
      </c>
      <c r="AE686" s="74">
        <v>0.0</v>
      </c>
      <c r="AF686" s="119"/>
      <c r="AG686" s="119"/>
      <c r="AH686" s="119"/>
      <c r="AI686" s="119"/>
      <c r="AJ686" s="119"/>
      <c r="AK686" s="74" t="s">
        <v>15866</v>
      </c>
      <c r="AL686" s="74">
        <v>4.0</v>
      </c>
      <c r="AM686" s="74">
        <v>1.0</v>
      </c>
      <c r="AN686" s="74" t="s">
        <v>10629</v>
      </c>
      <c r="AO686" s="120">
        <v>7632.0</v>
      </c>
      <c r="AP686" s="74" t="s">
        <v>15867</v>
      </c>
      <c r="AQ686" s="74" t="s">
        <v>15868</v>
      </c>
      <c r="AR686" s="120">
        <v>686.0</v>
      </c>
    </row>
    <row r="687">
      <c r="A687" s="74" t="s">
        <v>15856</v>
      </c>
      <c r="B687" s="74" t="s">
        <v>6876</v>
      </c>
      <c r="C687" s="74" t="s">
        <v>6877</v>
      </c>
      <c r="D687" s="74" t="s">
        <v>8493</v>
      </c>
      <c r="E687" s="146">
        <v>43864.0</v>
      </c>
      <c r="F687" s="74" t="s">
        <v>15872</v>
      </c>
      <c r="G687" s="74">
        <v>58.0</v>
      </c>
      <c r="H687" s="74">
        <v>2.0</v>
      </c>
      <c r="I687" s="74">
        <v>99.0</v>
      </c>
      <c r="J687" s="119"/>
      <c r="K687" s="119"/>
      <c r="L687" s="74" t="s">
        <v>2181</v>
      </c>
      <c r="M687" s="74" t="s">
        <v>2181</v>
      </c>
      <c r="N687" s="74" t="s">
        <v>15827</v>
      </c>
      <c r="O687" s="74" t="s">
        <v>15827</v>
      </c>
      <c r="P687" s="74" t="s">
        <v>15828</v>
      </c>
      <c r="Q687" s="74" t="s">
        <v>15829</v>
      </c>
      <c r="R687" s="119"/>
      <c r="S687" s="119"/>
      <c r="T687" s="119"/>
      <c r="U687" s="119"/>
      <c r="V687" s="119"/>
      <c r="W687" s="74">
        <v>7.0</v>
      </c>
      <c r="X687" s="74">
        <v>100.0</v>
      </c>
      <c r="Y687" s="74">
        <v>3.0</v>
      </c>
      <c r="Z687" s="74">
        <v>0.0</v>
      </c>
      <c r="AA687" s="119"/>
      <c r="AB687" s="119"/>
      <c r="AC687" s="119"/>
      <c r="AD687" s="119"/>
      <c r="AE687" s="119"/>
      <c r="AF687" s="119"/>
      <c r="AG687" s="119"/>
      <c r="AH687" s="119"/>
      <c r="AI687" s="119"/>
      <c r="AJ687" s="119"/>
      <c r="AK687" s="74" t="s">
        <v>15877</v>
      </c>
      <c r="AL687" s="74">
        <v>4.0</v>
      </c>
      <c r="AM687" s="74">
        <v>1.0</v>
      </c>
      <c r="AN687" s="74" t="s">
        <v>10629</v>
      </c>
      <c r="AO687" s="120">
        <v>7633.0</v>
      </c>
      <c r="AP687" s="74" t="s">
        <v>15879</v>
      </c>
      <c r="AQ687" s="74" t="s">
        <v>15880</v>
      </c>
      <c r="AR687" s="120">
        <v>687.0</v>
      </c>
    </row>
    <row r="688">
      <c r="A688" s="74" t="s">
        <v>15881</v>
      </c>
      <c r="B688" s="74" t="s">
        <v>6876</v>
      </c>
      <c r="C688" s="74" t="s">
        <v>6877</v>
      </c>
      <c r="D688" s="74" t="s">
        <v>8493</v>
      </c>
      <c r="E688" s="146">
        <v>43864.0</v>
      </c>
      <c r="F688" s="74" t="s">
        <v>15884</v>
      </c>
      <c r="G688" s="74">
        <v>58.0</v>
      </c>
      <c r="H688" s="74">
        <v>2.0</v>
      </c>
      <c r="I688" s="74">
        <v>8.0</v>
      </c>
      <c r="J688" s="119"/>
      <c r="K688" s="119"/>
      <c r="L688" s="74" t="s">
        <v>2183</v>
      </c>
      <c r="M688" s="74" t="s">
        <v>2183</v>
      </c>
      <c r="N688" s="74" t="s">
        <v>15827</v>
      </c>
      <c r="O688" s="74" t="s">
        <v>15827</v>
      </c>
      <c r="P688" s="74" t="s">
        <v>15828</v>
      </c>
      <c r="Q688" s="74" t="s">
        <v>15829</v>
      </c>
      <c r="R688" s="119"/>
      <c r="S688" s="119"/>
      <c r="T688" s="119"/>
      <c r="U688" s="74">
        <v>100.0</v>
      </c>
      <c r="V688" s="119"/>
      <c r="W688" s="74">
        <v>5.0</v>
      </c>
      <c r="X688" s="74">
        <v>1.0</v>
      </c>
      <c r="Y688" s="74">
        <v>3.0</v>
      </c>
      <c r="Z688" s="74">
        <v>8.0</v>
      </c>
      <c r="AA688" s="74">
        <v>4.0</v>
      </c>
      <c r="AB688" s="74">
        <v>1.0</v>
      </c>
      <c r="AC688" s="74">
        <v>3.0</v>
      </c>
      <c r="AD688" s="74">
        <v>0.0</v>
      </c>
      <c r="AE688" s="74">
        <v>1.0</v>
      </c>
      <c r="AF688" s="74">
        <v>3.0</v>
      </c>
      <c r="AG688" s="74">
        <v>1.0</v>
      </c>
      <c r="AH688" s="74">
        <v>3.0</v>
      </c>
      <c r="AI688" s="74">
        <v>0.0</v>
      </c>
      <c r="AJ688" s="119"/>
      <c r="AK688" s="74" t="s">
        <v>15894</v>
      </c>
      <c r="AL688" s="74">
        <v>6.0</v>
      </c>
      <c r="AM688" s="74">
        <v>1.0</v>
      </c>
      <c r="AN688" s="74" t="s">
        <v>10629</v>
      </c>
      <c r="AO688" s="120">
        <v>7634.0</v>
      </c>
      <c r="AP688" s="74" t="s">
        <v>15896</v>
      </c>
      <c r="AQ688" s="74" t="s">
        <v>15897</v>
      </c>
      <c r="AR688" s="120">
        <v>688.0</v>
      </c>
    </row>
    <row r="689">
      <c r="A689" s="74" t="s">
        <v>15884</v>
      </c>
      <c r="B689" s="74" t="s">
        <v>6876</v>
      </c>
      <c r="C689" s="74" t="s">
        <v>6877</v>
      </c>
      <c r="D689" s="74" t="s">
        <v>8493</v>
      </c>
      <c r="E689" s="146">
        <v>43864.0</v>
      </c>
      <c r="F689" s="74" t="s">
        <v>15899</v>
      </c>
      <c r="G689" s="74">
        <v>58.0</v>
      </c>
      <c r="H689" s="74">
        <v>2.0</v>
      </c>
      <c r="I689" s="74">
        <v>99.0</v>
      </c>
      <c r="J689" s="119"/>
      <c r="K689" s="119"/>
      <c r="L689" s="74" t="s">
        <v>2242</v>
      </c>
      <c r="M689" s="74" t="s">
        <v>2242</v>
      </c>
      <c r="N689" s="74" t="s">
        <v>15827</v>
      </c>
      <c r="O689" s="74" t="s">
        <v>15827</v>
      </c>
      <c r="P689" s="74" t="s">
        <v>15828</v>
      </c>
      <c r="Q689" s="74" t="s">
        <v>15829</v>
      </c>
      <c r="R689" s="119"/>
      <c r="S689" s="119"/>
      <c r="T689" s="119"/>
      <c r="U689" s="119"/>
      <c r="V689" s="119"/>
      <c r="W689" s="74">
        <v>7.0</v>
      </c>
      <c r="X689" s="74">
        <v>100.0</v>
      </c>
      <c r="Y689" s="74">
        <v>3.0</v>
      </c>
      <c r="Z689" s="74">
        <v>0.0</v>
      </c>
      <c r="AA689" s="119"/>
      <c r="AB689" s="119"/>
      <c r="AC689" s="119"/>
      <c r="AD689" s="119"/>
      <c r="AE689" s="119"/>
      <c r="AF689" s="119"/>
      <c r="AG689" s="119"/>
      <c r="AH689" s="119"/>
      <c r="AI689" s="119"/>
      <c r="AJ689" s="119"/>
      <c r="AK689" s="74" t="s">
        <v>15909</v>
      </c>
      <c r="AL689" s="74">
        <v>6.0</v>
      </c>
      <c r="AM689" s="74">
        <v>1.0</v>
      </c>
      <c r="AN689" s="74" t="s">
        <v>10629</v>
      </c>
      <c r="AO689" s="120">
        <v>7635.0</v>
      </c>
      <c r="AP689" s="74" t="s">
        <v>15912</v>
      </c>
      <c r="AQ689" s="74" t="s">
        <v>15914</v>
      </c>
      <c r="AR689" s="120">
        <v>689.0</v>
      </c>
    </row>
    <row r="690">
      <c r="A690" s="74" t="s">
        <v>15917</v>
      </c>
      <c r="B690" s="74" t="s">
        <v>6876</v>
      </c>
      <c r="C690" s="74" t="s">
        <v>6877</v>
      </c>
      <c r="D690" s="74" t="s">
        <v>8493</v>
      </c>
      <c r="E690" s="146">
        <v>43864.0</v>
      </c>
      <c r="F690" s="74" t="s">
        <v>15920</v>
      </c>
      <c r="G690" s="74">
        <v>33.0</v>
      </c>
      <c r="H690" s="74">
        <v>1.0</v>
      </c>
      <c r="I690" s="74">
        <v>98.0</v>
      </c>
      <c r="J690" s="119"/>
      <c r="K690" s="119"/>
      <c r="L690" s="74" t="s">
        <v>2326</v>
      </c>
      <c r="M690" s="74" t="s">
        <v>2326</v>
      </c>
      <c r="N690" s="74" t="s">
        <v>15827</v>
      </c>
      <c r="O690" s="74" t="s">
        <v>15827</v>
      </c>
      <c r="P690" s="74" t="s">
        <v>15828</v>
      </c>
      <c r="Q690" s="74" t="s">
        <v>15829</v>
      </c>
      <c r="R690" s="119"/>
      <c r="S690" s="119"/>
      <c r="T690" s="119"/>
      <c r="U690" s="119"/>
      <c r="V690" s="119"/>
      <c r="W690" s="74">
        <v>7.0</v>
      </c>
      <c r="X690" s="74">
        <v>100.0</v>
      </c>
      <c r="Y690" s="74">
        <v>3.0</v>
      </c>
      <c r="Z690" s="74">
        <v>0.0</v>
      </c>
      <c r="AA690" s="119"/>
      <c r="AB690" s="119"/>
      <c r="AC690" s="119"/>
      <c r="AD690" s="119"/>
      <c r="AE690" s="119"/>
      <c r="AF690" s="119"/>
      <c r="AG690" s="119"/>
      <c r="AH690" s="119"/>
      <c r="AI690" s="119"/>
      <c r="AJ690" s="119"/>
      <c r="AK690" s="74" t="s">
        <v>11376</v>
      </c>
      <c r="AL690" s="74">
        <v>4.0</v>
      </c>
      <c r="AM690" s="74">
        <v>1.0</v>
      </c>
      <c r="AN690" s="74" t="s">
        <v>10629</v>
      </c>
      <c r="AO690" s="120">
        <v>7636.0</v>
      </c>
      <c r="AP690" s="74" t="s">
        <v>15928</v>
      </c>
      <c r="AQ690" s="74" t="s">
        <v>15929</v>
      </c>
      <c r="AR690" s="120">
        <v>690.0</v>
      </c>
    </row>
    <row r="691">
      <c r="A691" s="74" t="s">
        <v>15930</v>
      </c>
      <c r="B691" s="74" t="s">
        <v>6876</v>
      </c>
      <c r="C691" s="74" t="s">
        <v>6877</v>
      </c>
      <c r="D691" s="74" t="s">
        <v>8493</v>
      </c>
      <c r="E691" s="146">
        <v>43864.0</v>
      </c>
      <c r="F691" s="74" t="s">
        <v>15934</v>
      </c>
      <c r="G691" s="74">
        <v>55.0</v>
      </c>
      <c r="H691" s="74">
        <v>1.0</v>
      </c>
      <c r="I691" s="74">
        <v>99.0</v>
      </c>
      <c r="J691" s="119"/>
      <c r="K691" s="119"/>
      <c r="L691" s="74" t="s">
        <v>2358</v>
      </c>
      <c r="M691" s="74" t="s">
        <v>2358</v>
      </c>
      <c r="N691" s="74" t="s">
        <v>15936</v>
      </c>
      <c r="O691" s="74" t="s">
        <v>15937</v>
      </c>
      <c r="P691" s="74" t="s">
        <v>15938</v>
      </c>
      <c r="Q691" s="74" t="s">
        <v>15942</v>
      </c>
      <c r="R691" s="119"/>
      <c r="S691" s="119"/>
      <c r="T691" s="119"/>
      <c r="U691" s="119"/>
      <c r="V691" s="119"/>
      <c r="W691" s="74">
        <v>7.0</v>
      </c>
      <c r="X691" s="74">
        <v>100.0</v>
      </c>
      <c r="Y691" s="74">
        <v>3.0</v>
      </c>
      <c r="Z691" s="74">
        <v>0.0</v>
      </c>
      <c r="AA691" s="119"/>
      <c r="AB691" s="119"/>
      <c r="AC691" s="119"/>
      <c r="AD691" s="119"/>
      <c r="AE691" s="119"/>
      <c r="AF691" s="119"/>
      <c r="AG691" s="119"/>
      <c r="AH691" s="119"/>
      <c r="AI691" s="119"/>
      <c r="AJ691" s="119"/>
      <c r="AK691" s="74" t="s">
        <v>15949</v>
      </c>
      <c r="AL691" s="74">
        <v>4.0</v>
      </c>
      <c r="AM691" s="74">
        <v>1.0</v>
      </c>
      <c r="AN691" s="74" t="s">
        <v>10629</v>
      </c>
      <c r="AO691" s="120">
        <v>7637.0</v>
      </c>
      <c r="AP691" s="74" t="s">
        <v>15950</v>
      </c>
      <c r="AQ691" s="74" t="s">
        <v>15952</v>
      </c>
      <c r="AR691" s="120">
        <v>691.0</v>
      </c>
    </row>
    <row r="692">
      <c r="A692" s="74" t="s">
        <v>15953</v>
      </c>
      <c r="B692" s="74" t="s">
        <v>6876</v>
      </c>
      <c r="C692" s="74" t="s">
        <v>6877</v>
      </c>
      <c r="D692" s="74" t="s">
        <v>8493</v>
      </c>
      <c r="E692" s="146">
        <v>43864.0</v>
      </c>
      <c r="F692" s="74" t="s">
        <v>15955</v>
      </c>
      <c r="G692" s="74">
        <v>57.0</v>
      </c>
      <c r="H692" s="74">
        <v>1.0</v>
      </c>
      <c r="I692" s="74">
        <v>99.0</v>
      </c>
      <c r="J692" s="119"/>
      <c r="K692" s="119"/>
      <c r="L692" s="74" t="s">
        <v>2387</v>
      </c>
      <c r="M692" s="74" t="s">
        <v>2387</v>
      </c>
      <c r="N692" s="74" t="s">
        <v>15936</v>
      </c>
      <c r="O692" s="74" t="s">
        <v>15937</v>
      </c>
      <c r="P692" s="74" t="s">
        <v>15938</v>
      </c>
      <c r="Q692" s="74" t="s">
        <v>15942</v>
      </c>
      <c r="R692" s="119"/>
      <c r="S692" s="119"/>
      <c r="T692" s="119"/>
      <c r="U692" s="119"/>
      <c r="V692" s="119"/>
      <c r="W692" s="74">
        <v>7.0</v>
      </c>
      <c r="X692" s="74">
        <v>100.0</v>
      </c>
      <c r="Y692" s="74">
        <v>3.0</v>
      </c>
      <c r="Z692" s="74">
        <v>0.0</v>
      </c>
      <c r="AA692" s="119"/>
      <c r="AB692" s="119"/>
      <c r="AC692" s="119"/>
      <c r="AD692" s="119"/>
      <c r="AE692" s="119"/>
      <c r="AF692" s="119"/>
      <c r="AG692" s="119"/>
      <c r="AH692" s="119"/>
      <c r="AI692" s="119"/>
      <c r="AJ692" s="119"/>
      <c r="AK692" s="74" t="s">
        <v>15962</v>
      </c>
      <c r="AL692" s="74">
        <v>4.0</v>
      </c>
      <c r="AM692" s="74">
        <v>1.0</v>
      </c>
      <c r="AN692" s="74" t="s">
        <v>10629</v>
      </c>
      <c r="AO692" s="120">
        <v>7638.0</v>
      </c>
      <c r="AP692" s="74" t="s">
        <v>15963</v>
      </c>
      <c r="AQ692" s="74" t="s">
        <v>15964</v>
      </c>
      <c r="AR692" s="120">
        <v>692.0</v>
      </c>
    </row>
    <row r="693">
      <c r="A693" s="74" t="s">
        <v>15955</v>
      </c>
      <c r="B693" s="74" t="s">
        <v>6876</v>
      </c>
      <c r="C693" s="74" t="s">
        <v>6877</v>
      </c>
      <c r="D693" s="74" t="s">
        <v>8493</v>
      </c>
      <c r="E693" s="146">
        <v>43864.0</v>
      </c>
      <c r="F693" s="74" t="s">
        <v>15968</v>
      </c>
      <c r="G693" s="74">
        <v>57.0</v>
      </c>
      <c r="H693" s="74">
        <v>1.0</v>
      </c>
      <c r="I693" s="74">
        <v>99.0</v>
      </c>
      <c r="J693" s="119"/>
      <c r="K693" s="119"/>
      <c r="L693" s="74" t="s">
        <v>2415</v>
      </c>
      <c r="M693" s="74" t="s">
        <v>2415</v>
      </c>
      <c r="N693" s="74" t="s">
        <v>15936</v>
      </c>
      <c r="O693" s="74" t="s">
        <v>15937</v>
      </c>
      <c r="P693" s="74" t="s">
        <v>15938</v>
      </c>
      <c r="Q693" s="74" t="s">
        <v>15942</v>
      </c>
      <c r="R693" s="119"/>
      <c r="S693" s="119"/>
      <c r="T693" s="119"/>
      <c r="U693" s="119"/>
      <c r="V693" s="119"/>
      <c r="W693" s="74">
        <v>7.0</v>
      </c>
      <c r="X693" s="74">
        <v>100.0</v>
      </c>
      <c r="Y693" s="74">
        <v>3.0</v>
      </c>
      <c r="Z693" s="74">
        <v>0.0</v>
      </c>
      <c r="AA693" s="119"/>
      <c r="AB693" s="119"/>
      <c r="AC693" s="119"/>
      <c r="AD693" s="119"/>
      <c r="AE693" s="119"/>
      <c r="AF693" s="119"/>
      <c r="AG693" s="119"/>
      <c r="AH693" s="119"/>
      <c r="AI693" s="119"/>
      <c r="AJ693" s="119"/>
      <c r="AK693" s="74" t="s">
        <v>15972</v>
      </c>
      <c r="AL693" s="74">
        <v>4.0</v>
      </c>
      <c r="AM693" s="74">
        <v>1.0</v>
      </c>
      <c r="AN693" s="74" t="s">
        <v>10629</v>
      </c>
      <c r="AO693" s="120">
        <v>7639.0</v>
      </c>
      <c r="AP693" s="74" t="s">
        <v>15973</v>
      </c>
      <c r="AQ693" s="74" t="s">
        <v>15974</v>
      </c>
      <c r="AR693" s="120">
        <v>693.0</v>
      </c>
    </row>
    <row r="694">
      <c r="A694" s="74" t="s">
        <v>15968</v>
      </c>
      <c r="B694" s="74" t="s">
        <v>6876</v>
      </c>
      <c r="C694" s="74" t="s">
        <v>6877</v>
      </c>
      <c r="D694" s="74" t="s">
        <v>8493</v>
      </c>
      <c r="E694" s="146">
        <v>43864.0</v>
      </c>
      <c r="F694" s="74" t="s">
        <v>15976</v>
      </c>
      <c r="G694" s="74">
        <v>57.0</v>
      </c>
      <c r="H694" s="74">
        <v>1.0</v>
      </c>
      <c r="I694" s="74">
        <v>16.0</v>
      </c>
      <c r="J694" s="119"/>
      <c r="K694" s="119"/>
      <c r="L694" s="74" t="s">
        <v>2435</v>
      </c>
      <c r="M694" s="74" t="s">
        <v>2435</v>
      </c>
      <c r="N694" s="74" t="s">
        <v>15936</v>
      </c>
      <c r="O694" s="74" t="s">
        <v>15977</v>
      </c>
      <c r="P694" s="74" t="s">
        <v>15978</v>
      </c>
      <c r="Q694" s="74" t="s">
        <v>15979</v>
      </c>
      <c r="R694" s="119"/>
      <c r="S694" s="119"/>
      <c r="T694" s="119"/>
      <c r="U694" s="119"/>
      <c r="V694" s="119"/>
      <c r="W694" s="74">
        <v>3.0</v>
      </c>
      <c r="X694" s="74">
        <v>1.0</v>
      </c>
      <c r="Y694" s="74">
        <v>3.0</v>
      </c>
      <c r="Z694" s="74">
        <v>38.0</v>
      </c>
      <c r="AA694" s="74">
        <v>2.0</v>
      </c>
      <c r="AB694" s="74">
        <v>1.0</v>
      </c>
      <c r="AC694" s="74">
        <v>3.0</v>
      </c>
      <c r="AD694" s="74">
        <v>9.0</v>
      </c>
      <c r="AE694" s="74">
        <v>1.0</v>
      </c>
      <c r="AF694" s="74">
        <v>1.0</v>
      </c>
      <c r="AG694" s="74">
        <v>1.0</v>
      </c>
      <c r="AH694" s="74">
        <v>3.0</v>
      </c>
      <c r="AI694" s="74">
        <v>0.0</v>
      </c>
      <c r="AJ694" s="119"/>
      <c r="AK694" s="74" t="s">
        <v>15988</v>
      </c>
      <c r="AL694" s="74">
        <v>4.0</v>
      </c>
      <c r="AM694" s="74">
        <v>1.0</v>
      </c>
      <c r="AN694" s="74" t="s">
        <v>10629</v>
      </c>
      <c r="AO694" s="120">
        <v>7640.0</v>
      </c>
      <c r="AP694" s="74" t="s">
        <v>15990</v>
      </c>
      <c r="AQ694" s="74" t="s">
        <v>15992</v>
      </c>
      <c r="AR694" s="120">
        <v>694.0</v>
      </c>
    </row>
    <row r="695">
      <c r="A695" s="74" t="s">
        <v>15993</v>
      </c>
      <c r="B695" s="74" t="s">
        <v>6876</v>
      </c>
      <c r="C695" s="74" t="s">
        <v>6877</v>
      </c>
      <c r="D695" s="74" t="s">
        <v>8493</v>
      </c>
      <c r="E695" s="146">
        <v>43864.0</v>
      </c>
      <c r="F695" s="74" t="s">
        <v>15996</v>
      </c>
      <c r="G695" s="74">
        <v>33.0</v>
      </c>
      <c r="H695" s="74">
        <v>1.0</v>
      </c>
      <c r="I695" s="74">
        <v>98.0</v>
      </c>
      <c r="J695" s="119"/>
      <c r="K695" s="119"/>
      <c r="L695" s="74" t="s">
        <v>2456</v>
      </c>
      <c r="M695" s="74" t="s">
        <v>2456</v>
      </c>
      <c r="N695" s="74" t="s">
        <v>15936</v>
      </c>
      <c r="O695" s="74" t="s">
        <v>15937</v>
      </c>
      <c r="P695" s="74" t="s">
        <v>15938</v>
      </c>
      <c r="Q695" s="74" t="s">
        <v>15942</v>
      </c>
      <c r="R695" s="119"/>
      <c r="S695" s="119"/>
      <c r="T695" s="119"/>
      <c r="U695" s="119"/>
      <c r="V695" s="119"/>
      <c r="W695" s="74">
        <v>7.0</v>
      </c>
      <c r="X695" s="74">
        <v>100.0</v>
      </c>
      <c r="Y695" s="74">
        <v>3.0</v>
      </c>
      <c r="Z695" s="74">
        <v>0.0</v>
      </c>
      <c r="AA695" s="119"/>
      <c r="AB695" s="119"/>
      <c r="AC695" s="119"/>
      <c r="AD695" s="119"/>
      <c r="AE695" s="119"/>
      <c r="AF695" s="119"/>
      <c r="AG695" s="119"/>
      <c r="AH695" s="119"/>
      <c r="AI695" s="119"/>
      <c r="AJ695" s="119"/>
      <c r="AK695" s="74" t="s">
        <v>11376</v>
      </c>
      <c r="AL695" s="74">
        <v>4.0</v>
      </c>
      <c r="AM695" s="74">
        <v>1.0</v>
      </c>
      <c r="AN695" s="74" t="s">
        <v>10629</v>
      </c>
      <c r="AO695" s="120">
        <v>7641.0</v>
      </c>
      <c r="AP695" s="74" t="s">
        <v>16000</v>
      </c>
      <c r="AQ695" s="74" t="s">
        <v>16001</v>
      </c>
      <c r="AR695" s="120">
        <v>695.0</v>
      </c>
    </row>
    <row r="696">
      <c r="A696" s="74" t="s">
        <v>16004</v>
      </c>
      <c r="B696" s="74" t="s">
        <v>6876</v>
      </c>
      <c r="C696" s="74" t="s">
        <v>6877</v>
      </c>
      <c r="D696" s="74" t="s">
        <v>8493</v>
      </c>
      <c r="E696" s="146">
        <v>43866.0</v>
      </c>
      <c r="F696" s="74" t="s">
        <v>16007</v>
      </c>
      <c r="G696" s="74">
        <v>59.0</v>
      </c>
      <c r="H696" s="74">
        <v>1.0</v>
      </c>
      <c r="I696" s="74">
        <v>11.0</v>
      </c>
      <c r="J696" s="119"/>
      <c r="K696" s="119"/>
      <c r="L696" s="74" t="s">
        <v>2471</v>
      </c>
      <c r="M696" s="74" t="s">
        <v>2471</v>
      </c>
      <c r="N696" s="74" t="s">
        <v>16010</v>
      </c>
      <c r="O696" s="74" t="s">
        <v>16011</v>
      </c>
      <c r="P696" s="74" t="s">
        <v>16013</v>
      </c>
      <c r="Q696" s="74" t="s">
        <v>16015</v>
      </c>
      <c r="R696" s="119"/>
      <c r="S696" s="119"/>
      <c r="T696" s="119"/>
      <c r="U696" s="119"/>
      <c r="V696" s="119"/>
      <c r="W696" s="74">
        <v>3.0</v>
      </c>
      <c r="X696" s="74">
        <v>10.0</v>
      </c>
      <c r="Y696" s="74">
        <v>3.0</v>
      </c>
      <c r="Z696" s="74">
        <v>9.0</v>
      </c>
      <c r="AA696" s="74">
        <v>2.0</v>
      </c>
      <c r="AB696" s="74">
        <v>10.0</v>
      </c>
      <c r="AC696" s="74">
        <v>3.0</v>
      </c>
      <c r="AD696" s="74">
        <v>5.0</v>
      </c>
      <c r="AE696" s="74">
        <v>1.0</v>
      </c>
      <c r="AF696" s="74">
        <v>1.0</v>
      </c>
      <c r="AG696" s="74">
        <v>10.0</v>
      </c>
      <c r="AH696" s="74">
        <v>3.0</v>
      </c>
      <c r="AI696" s="74">
        <v>0.0</v>
      </c>
      <c r="AJ696" s="119"/>
      <c r="AK696" s="74" t="s">
        <v>16017</v>
      </c>
      <c r="AL696" s="74">
        <v>6.0</v>
      </c>
      <c r="AM696" s="74">
        <v>1.0</v>
      </c>
      <c r="AN696" s="74" t="s">
        <v>10629</v>
      </c>
      <c r="AO696" s="120">
        <v>7702.0</v>
      </c>
      <c r="AP696" s="74" t="s">
        <v>16020</v>
      </c>
      <c r="AQ696" s="74" t="s">
        <v>16021</v>
      </c>
      <c r="AR696" s="120">
        <v>696.0</v>
      </c>
    </row>
    <row r="697">
      <c r="A697" s="74" t="s">
        <v>16007</v>
      </c>
      <c r="B697" s="74" t="s">
        <v>6876</v>
      </c>
      <c r="C697" s="74" t="s">
        <v>6877</v>
      </c>
      <c r="D697" s="74" t="s">
        <v>8493</v>
      </c>
      <c r="E697" s="146">
        <v>43866.0</v>
      </c>
      <c r="F697" s="74" t="s">
        <v>16022</v>
      </c>
      <c r="G697" s="74">
        <v>59.0</v>
      </c>
      <c r="H697" s="74">
        <v>1.0</v>
      </c>
      <c r="I697" s="74">
        <v>99.0</v>
      </c>
      <c r="J697" s="119"/>
      <c r="K697" s="119"/>
      <c r="L697" s="74" t="s">
        <v>2490</v>
      </c>
      <c r="M697" s="74" t="s">
        <v>2490</v>
      </c>
      <c r="N697" s="74" t="s">
        <v>16010</v>
      </c>
      <c r="O697" s="74" t="s">
        <v>16011</v>
      </c>
      <c r="P697" s="74" t="s">
        <v>16013</v>
      </c>
      <c r="Q697" s="74" t="s">
        <v>16015</v>
      </c>
      <c r="R697" s="119"/>
      <c r="S697" s="119"/>
      <c r="T697" s="119"/>
      <c r="U697" s="119"/>
      <c r="V697" s="119"/>
      <c r="W697" s="74">
        <v>7.0</v>
      </c>
      <c r="X697" s="74">
        <v>100.0</v>
      </c>
      <c r="Y697" s="74">
        <v>3.0</v>
      </c>
      <c r="Z697" s="74">
        <v>0.0</v>
      </c>
      <c r="AA697" s="119"/>
      <c r="AB697" s="119"/>
      <c r="AC697" s="119"/>
      <c r="AD697" s="119"/>
      <c r="AE697" s="119"/>
      <c r="AF697" s="119"/>
      <c r="AG697" s="119"/>
      <c r="AH697" s="119"/>
      <c r="AI697" s="119"/>
      <c r="AJ697" s="119"/>
      <c r="AK697" s="74" t="s">
        <v>16031</v>
      </c>
      <c r="AL697" s="74">
        <v>6.0</v>
      </c>
      <c r="AM697" s="74">
        <v>1.0</v>
      </c>
      <c r="AN697" s="74" t="s">
        <v>10629</v>
      </c>
      <c r="AO697" s="120">
        <v>7703.0</v>
      </c>
      <c r="AP697" s="74" t="s">
        <v>16032</v>
      </c>
      <c r="AQ697" s="74" t="s">
        <v>16034</v>
      </c>
      <c r="AR697" s="120">
        <v>697.0</v>
      </c>
    </row>
    <row r="698">
      <c r="A698" s="74" t="s">
        <v>16035</v>
      </c>
      <c r="B698" s="74" t="s">
        <v>6876</v>
      </c>
      <c r="C698" s="74" t="s">
        <v>6877</v>
      </c>
      <c r="D698" s="74" t="s">
        <v>8493</v>
      </c>
      <c r="E698" s="146">
        <v>43866.0</v>
      </c>
      <c r="F698" s="74" t="s">
        <v>16036</v>
      </c>
      <c r="G698" s="74">
        <v>59.0</v>
      </c>
      <c r="H698" s="74">
        <v>1.0</v>
      </c>
      <c r="I698" s="74">
        <v>11.0</v>
      </c>
      <c r="J698" s="119"/>
      <c r="K698" s="119"/>
      <c r="L698" s="74" t="s">
        <v>2515</v>
      </c>
      <c r="M698" s="74" t="s">
        <v>2515</v>
      </c>
      <c r="N698" s="74" t="s">
        <v>16010</v>
      </c>
      <c r="O698" s="74" t="s">
        <v>16011</v>
      </c>
      <c r="P698" s="74" t="s">
        <v>16013</v>
      </c>
      <c r="Q698" s="74" t="s">
        <v>16015</v>
      </c>
      <c r="R698" s="119"/>
      <c r="S698" s="119"/>
      <c r="T698" s="119"/>
      <c r="U698" s="119"/>
      <c r="V698" s="119"/>
      <c r="W698" s="74">
        <v>3.0</v>
      </c>
      <c r="X698" s="74">
        <v>10.0</v>
      </c>
      <c r="Y698" s="74">
        <v>3.0</v>
      </c>
      <c r="Z698" s="74">
        <v>17.0</v>
      </c>
      <c r="AA698" s="74">
        <v>2.0</v>
      </c>
      <c r="AB698" s="74">
        <v>10.0</v>
      </c>
      <c r="AC698" s="74">
        <v>3.0</v>
      </c>
      <c r="AD698" s="74">
        <v>3.0</v>
      </c>
      <c r="AE698" s="74">
        <v>1.0</v>
      </c>
      <c r="AF698" s="74">
        <v>1.0</v>
      </c>
      <c r="AG698" s="74">
        <v>10.0</v>
      </c>
      <c r="AH698" s="74">
        <v>3.0</v>
      </c>
      <c r="AI698" s="74">
        <v>0.0</v>
      </c>
      <c r="AJ698" s="119"/>
      <c r="AK698" s="74" t="s">
        <v>16040</v>
      </c>
      <c r="AL698" s="74">
        <v>6.0</v>
      </c>
      <c r="AM698" s="74">
        <v>1.0</v>
      </c>
      <c r="AN698" s="74" t="s">
        <v>10629</v>
      </c>
      <c r="AO698" s="120">
        <v>7704.0</v>
      </c>
      <c r="AP698" s="74" t="s">
        <v>16043</v>
      </c>
      <c r="AQ698" s="74" t="s">
        <v>16044</v>
      </c>
      <c r="AR698" s="120">
        <v>698.0</v>
      </c>
    </row>
    <row r="699">
      <c r="A699" s="74" t="s">
        <v>16036</v>
      </c>
      <c r="B699" s="74" t="s">
        <v>6876</v>
      </c>
      <c r="C699" s="74" t="s">
        <v>6877</v>
      </c>
      <c r="D699" s="74" t="s">
        <v>8493</v>
      </c>
      <c r="E699" s="146">
        <v>43866.0</v>
      </c>
      <c r="F699" s="74" t="s">
        <v>16045</v>
      </c>
      <c r="G699" s="74">
        <v>59.0</v>
      </c>
      <c r="H699" s="74">
        <v>1.0</v>
      </c>
      <c r="I699" s="74">
        <v>99.0</v>
      </c>
      <c r="J699" s="119"/>
      <c r="K699" s="119"/>
      <c r="L699" s="74" t="s">
        <v>2529</v>
      </c>
      <c r="M699" s="74" t="s">
        <v>2529</v>
      </c>
      <c r="N699" s="74" t="s">
        <v>16010</v>
      </c>
      <c r="O699" s="74" t="s">
        <v>16011</v>
      </c>
      <c r="P699" s="74" t="s">
        <v>16013</v>
      </c>
      <c r="Q699" s="74" t="s">
        <v>16015</v>
      </c>
      <c r="R699" s="119"/>
      <c r="S699" s="119"/>
      <c r="T699" s="119"/>
      <c r="U699" s="119"/>
      <c r="V699" s="119"/>
      <c r="W699" s="74">
        <v>7.0</v>
      </c>
      <c r="X699" s="74">
        <v>100.0</v>
      </c>
      <c r="Y699" s="74">
        <v>3.0</v>
      </c>
      <c r="Z699" s="74">
        <v>0.0</v>
      </c>
      <c r="AA699" s="119"/>
      <c r="AB699" s="119"/>
      <c r="AC699" s="119"/>
      <c r="AD699" s="119"/>
      <c r="AE699" s="119"/>
      <c r="AF699" s="119"/>
      <c r="AG699" s="119"/>
      <c r="AH699" s="119"/>
      <c r="AI699" s="119"/>
      <c r="AJ699" s="119"/>
      <c r="AK699" s="74" t="s">
        <v>16054</v>
      </c>
      <c r="AL699" s="74">
        <v>6.0</v>
      </c>
      <c r="AM699" s="74">
        <v>1.0</v>
      </c>
      <c r="AN699" s="74" t="s">
        <v>10629</v>
      </c>
      <c r="AO699" s="120">
        <v>7705.0</v>
      </c>
      <c r="AP699" s="74" t="s">
        <v>16056</v>
      </c>
      <c r="AQ699" s="74" t="s">
        <v>16057</v>
      </c>
      <c r="AR699" s="120">
        <v>699.0</v>
      </c>
    </row>
    <row r="700">
      <c r="A700" s="74" t="s">
        <v>16045</v>
      </c>
      <c r="B700" s="74" t="s">
        <v>6876</v>
      </c>
      <c r="C700" s="74" t="s">
        <v>6877</v>
      </c>
      <c r="D700" s="74" t="s">
        <v>8493</v>
      </c>
      <c r="E700" s="146">
        <v>43866.0</v>
      </c>
      <c r="F700" s="74" t="s">
        <v>16058</v>
      </c>
      <c r="G700" s="74">
        <v>59.0</v>
      </c>
      <c r="H700" s="74">
        <v>1.0</v>
      </c>
      <c r="I700" s="74">
        <v>11.0</v>
      </c>
      <c r="J700" s="119"/>
      <c r="K700" s="119"/>
      <c r="L700" s="74" t="s">
        <v>2549</v>
      </c>
      <c r="M700" s="74" t="s">
        <v>2549</v>
      </c>
      <c r="N700" s="74" t="s">
        <v>16010</v>
      </c>
      <c r="O700" s="74" t="s">
        <v>16011</v>
      </c>
      <c r="P700" s="74" t="s">
        <v>16013</v>
      </c>
      <c r="Q700" s="74" t="s">
        <v>16015</v>
      </c>
      <c r="R700" s="119"/>
      <c r="S700" s="119"/>
      <c r="T700" s="119"/>
      <c r="U700" s="119"/>
      <c r="V700" s="119"/>
      <c r="W700" s="74">
        <v>3.0</v>
      </c>
      <c r="X700" s="74">
        <v>10.0</v>
      </c>
      <c r="Y700" s="74">
        <v>1.0</v>
      </c>
      <c r="Z700" s="119"/>
      <c r="AA700" s="74">
        <v>2.0</v>
      </c>
      <c r="AB700" s="74">
        <v>10.0</v>
      </c>
      <c r="AC700" s="74">
        <v>3.0</v>
      </c>
      <c r="AD700" s="74">
        <v>16.0</v>
      </c>
      <c r="AE700" s="74">
        <v>1.0</v>
      </c>
      <c r="AF700" s="74">
        <v>1.0</v>
      </c>
      <c r="AG700" s="74">
        <v>10.0</v>
      </c>
      <c r="AH700" s="74">
        <v>3.0</v>
      </c>
      <c r="AI700" s="74">
        <v>9.0</v>
      </c>
      <c r="AJ700" s="119"/>
      <c r="AK700" s="74" t="s">
        <v>16062</v>
      </c>
      <c r="AL700" s="74">
        <v>6.0</v>
      </c>
      <c r="AM700" s="74">
        <v>1.0</v>
      </c>
      <c r="AN700" s="74" t="s">
        <v>10629</v>
      </c>
      <c r="AO700" s="120">
        <v>7706.0</v>
      </c>
      <c r="AP700" s="74" t="s">
        <v>16063</v>
      </c>
      <c r="AQ700" s="74" t="s">
        <v>16064</v>
      </c>
      <c r="AR700" s="120">
        <v>700.0</v>
      </c>
    </row>
    <row r="701">
      <c r="A701" s="74" t="s">
        <v>16058</v>
      </c>
      <c r="B701" s="74" t="s">
        <v>6876</v>
      </c>
      <c r="C701" s="74" t="s">
        <v>6877</v>
      </c>
      <c r="D701" s="74" t="s">
        <v>8493</v>
      </c>
      <c r="E701" s="146">
        <v>43866.0</v>
      </c>
      <c r="F701" s="74" t="s">
        <v>16071</v>
      </c>
      <c r="G701" s="74">
        <v>59.0</v>
      </c>
      <c r="H701" s="74">
        <v>1.0</v>
      </c>
      <c r="I701" s="74">
        <v>99.0</v>
      </c>
      <c r="J701" s="119"/>
      <c r="K701" s="119"/>
      <c r="L701" s="74" t="s">
        <v>2562</v>
      </c>
      <c r="M701" s="74" t="s">
        <v>2562</v>
      </c>
      <c r="N701" s="74" t="s">
        <v>16010</v>
      </c>
      <c r="O701" s="74" t="s">
        <v>16011</v>
      </c>
      <c r="P701" s="74" t="s">
        <v>16013</v>
      </c>
      <c r="Q701" s="74" t="s">
        <v>16015</v>
      </c>
      <c r="R701" s="119"/>
      <c r="S701" s="119"/>
      <c r="T701" s="119"/>
      <c r="U701" s="119"/>
      <c r="V701" s="119"/>
      <c r="W701" s="74">
        <v>7.0</v>
      </c>
      <c r="X701" s="74">
        <v>100.0</v>
      </c>
      <c r="Y701" s="74">
        <v>3.0</v>
      </c>
      <c r="Z701" s="74">
        <v>0.0</v>
      </c>
      <c r="AA701" s="119"/>
      <c r="AB701" s="119"/>
      <c r="AC701" s="119"/>
      <c r="AD701" s="119"/>
      <c r="AE701" s="119"/>
      <c r="AF701" s="119"/>
      <c r="AG701" s="119"/>
      <c r="AH701" s="119"/>
      <c r="AI701" s="119"/>
      <c r="AJ701" s="119"/>
      <c r="AK701" s="74" t="s">
        <v>16080</v>
      </c>
      <c r="AL701" s="74">
        <v>6.0</v>
      </c>
      <c r="AM701" s="74">
        <v>1.0</v>
      </c>
      <c r="AN701" s="74" t="s">
        <v>10629</v>
      </c>
      <c r="AO701" s="120">
        <v>7707.0</v>
      </c>
      <c r="AP701" s="74" t="s">
        <v>16082</v>
      </c>
      <c r="AQ701" s="74" t="s">
        <v>16083</v>
      </c>
      <c r="AR701" s="120">
        <v>701.0</v>
      </c>
    </row>
    <row r="702">
      <c r="A702" s="74" t="s">
        <v>16084</v>
      </c>
      <c r="B702" s="74" t="s">
        <v>6876</v>
      </c>
      <c r="C702" s="74" t="s">
        <v>6877</v>
      </c>
      <c r="D702" s="74" t="s">
        <v>8493</v>
      </c>
      <c r="E702" s="146">
        <v>43866.0</v>
      </c>
      <c r="F702" s="74" t="s">
        <v>16085</v>
      </c>
      <c r="G702" s="74">
        <v>33.0</v>
      </c>
      <c r="H702" s="74">
        <v>1.0</v>
      </c>
      <c r="I702" s="74">
        <v>98.0</v>
      </c>
      <c r="J702" s="119"/>
      <c r="K702" s="119"/>
      <c r="L702" s="74" t="s">
        <v>2574</v>
      </c>
      <c r="M702" s="74" t="s">
        <v>2574</v>
      </c>
      <c r="N702" s="74" t="s">
        <v>16010</v>
      </c>
      <c r="O702" s="74" t="s">
        <v>16011</v>
      </c>
      <c r="P702" s="74" t="s">
        <v>16088</v>
      </c>
      <c r="Q702" s="74" t="s">
        <v>16015</v>
      </c>
      <c r="R702" s="119"/>
      <c r="S702" s="119"/>
      <c r="T702" s="119"/>
      <c r="U702" s="119"/>
      <c r="V702" s="119"/>
      <c r="W702" s="74">
        <v>7.0</v>
      </c>
      <c r="X702" s="74">
        <v>100.0</v>
      </c>
      <c r="Y702" s="74">
        <v>3.0</v>
      </c>
      <c r="Z702" s="74">
        <v>0.0</v>
      </c>
      <c r="AA702" s="119"/>
      <c r="AB702" s="119"/>
      <c r="AC702" s="119"/>
      <c r="AD702" s="119"/>
      <c r="AE702" s="119"/>
      <c r="AF702" s="119"/>
      <c r="AG702" s="119"/>
      <c r="AH702" s="119"/>
      <c r="AI702" s="119"/>
      <c r="AJ702" s="119"/>
      <c r="AK702" s="74" t="s">
        <v>11376</v>
      </c>
      <c r="AL702" s="74">
        <v>6.0</v>
      </c>
      <c r="AM702" s="74">
        <v>1.0</v>
      </c>
      <c r="AN702" s="74" t="s">
        <v>10629</v>
      </c>
      <c r="AO702" s="120">
        <v>7708.0</v>
      </c>
      <c r="AP702" s="74" t="s">
        <v>16093</v>
      </c>
      <c r="AQ702" s="74" t="s">
        <v>16095</v>
      </c>
      <c r="AR702" s="120">
        <v>702.0</v>
      </c>
    </row>
    <row r="703">
      <c r="A703" s="74" t="s">
        <v>16098</v>
      </c>
      <c r="B703" s="74" t="s">
        <v>6876</v>
      </c>
      <c r="C703" s="74" t="s">
        <v>6877</v>
      </c>
      <c r="D703" s="74" t="s">
        <v>8493</v>
      </c>
      <c r="E703" s="146">
        <v>43868.0</v>
      </c>
      <c r="F703" s="74" t="s">
        <v>16099</v>
      </c>
      <c r="G703" s="74">
        <v>57.0</v>
      </c>
      <c r="H703" s="74">
        <v>1.0</v>
      </c>
      <c r="I703" s="74">
        <v>99.0</v>
      </c>
      <c r="J703" s="119"/>
      <c r="K703" s="119"/>
      <c r="L703" s="74" t="s">
        <v>2661</v>
      </c>
      <c r="M703" s="74" t="s">
        <v>2661</v>
      </c>
      <c r="N703" s="74" t="s">
        <v>16101</v>
      </c>
      <c r="O703" s="74" t="s">
        <v>16102</v>
      </c>
      <c r="P703" s="74" t="s">
        <v>16103</v>
      </c>
      <c r="Q703" s="74" t="s">
        <v>16104</v>
      </c>
      <c r="R703" s="119"/>
      <c r="S703" s="119"/>
      <c r="T703" s="119"/>
      <c r="U703" s="119"/>
      <c r="V703" s="119"/>
      <c r="W703" s="74">
        <v>7.0</v>
      </c>
      <c r="X703" s="74">
        <v>100.0</v>
      </c>
      <c r="Y703" s="74">
        <v>3.0</v>
      </c>
      <c r="Z703" s="74">
        <v>0.0</v>
      </c>
      <c r="AA703" s="119"/>
      <c r="AB703" s="119"/>
      <c r="AC703" s="119"/>
      <c r="AD703" s="119"/>
      <c r="AE703" s="119"/>
      <c r="AF703" s="119"/>
      <c r="AG703" s="119"/>
      <c r="AH703" s="119"/>
      <c r="AI703" s="119"/>
      <c r="AJ703" s="119"/>
      <c r="AK703" s="74" t="s">
        <v>16108</v>
      </c>
      <c r="AL703" s="74">
        <v>6.0</v>
      </c>
      <c r="AM703" s="74">
        <v>1.0</v>
      </c>
      <c r="AN703" s="74" t="s">
        <v>10629</v>
      </c>
      <c r="AO703" s="120">
        <v>7746.0</v>
      </c>
      <c r="AP703" s="74" t="s">
        <v>16110</v>
      </c>
      <c r="AQ703" s="74" t="s">
        <v>16111</v>
      </c>
      <c r="AR703" s="120">
        <v>703.0</v>
      </c>
    </row>
    <row r="704">
      <c r="A704" s="74" t="s">
        <v>16099</v>
      </c>
      <c r="B704" s="74" t="s">
        <v>6876</v>
      </c>
      <c r="C704" s="74" t="s">
        <v>6877</v>
      </c>
      <c r="D704" s="74" t="s">
        <v>8493</v>
      </c>
      <c r="E704" s="146">
        <v>43868.0</v>
      </c>
      <c r="F704" s="74" t="s">
        <v>16112</v>
      </c>
      <c r="G704" s="74">
        <v>57.0</v>
      </c>
      <c r="H704" s="74">
        <v>1.0</v>
      </c>
      <c r="I704" s="74">
        <v>99.0</v>
      </c>
      <c r="J704" s="119"/>
      <c r="K704" s="119"/>
      <c r="L704" s="74" t="s">
        <v>2688</v>
      </c>
      <c r="M704" s="74" t="s">
        <v>2688</v>
      </c>
      <c r="N704" s="74" t="s">
        <v>16101</v>
      </c>
      <c r="O704" s="74" t="s">
        <v>16102</v>
      </c>
      <c r="P704" s="74" t="s">
        <v>16103</v>
      </c>
      <c r="Q704" s="74" t="s">
        <v>16104</v>
      </c>
      <c r="R704" s="119"/>
      <c r="S704" s="119"/>
      <c r="T704" s="119"/>
      <c r="U704" s="119"/>
      <c r="V704" s="119"/>
      <c r="W704" s="74">
        <v>7.0</v>
      </c>
      <c r="X704" s="74">
        <v>100.0</v>
      </c>
      <c r="Y704" s="74">
        <v>3.0</v>
      </c>
      <c r="Z704" s="74">
        <v>0.0</v>
      </c>
      <c r="AA704" s="119"/>
      <c r="AB704" s="119"/>
      <c r="AC704" s="119"/>
      <c r="AD704" s="119"/>
      <c r="AE704" s="119"/>
      <c r="AF704" s="119"/>
      <c r="AG704" s="119"/>
      <c r="AH704" s="119"/>
      <c r="AI704" s="119"/>
      <c r="AJ704" s="119"/>
      <c r="AK704" s="74" t="s">
        <v>16120</v>
      </c>
      <c r="AL704" s="74">
        <v>6.0</v>
      </c>
      <c r="AM704" s="74">
        <v>1.0</v>
      </c>
      <c r="AN704" s="74" t="s">
        <v>10629</v>
      </c>
      <c r="AO704" s="120">
        <v>7747.0</v>
      </c>
      <c r="AP704" s="74" t="s">
        <v>16122</v>
      </c>
      <c r="AQ704" s="74" t="s">
        <v>16124</v>
      </c>
      <c r="AR704" s="120">
        <v>704.0</v>
      </c>
    </row>
    <row r="705">
      <c r="A705" s="74" t="s">
        <v>16112</v>
      </c>
      <c r="B705" s="74" t="s">
        <v>6876</v>
      </c>
      <c r="C705" s="74" t="s">
        <v>6877</v>
      </c>
      <c r="D705" s="74" t="s">
        <v>8493</v>
      </c>
      <c r="E705" s="146">
        <v>43868.0</v>
      </c>
      <c r="F705" s="74" t="s">
        <v>16127</v>
      </c>
      <c r="G705" s="74">
        <v>55.0</v>
      </c>
      <c r="H705" s="74">
        <v>1.0</v>
      </c>
      <c r="I705" s="74">
        <v>99.0</v>
      </c>
      <c r="J705" s="119"/>
      <c r="K705" s="119"/>
      <c r="L705" s="74" t="s">
        <v>2715</v>
      </c>
      <c r="M705" s="74" t="s">
        <v>2715</v>
      </c>
      <c r="N705" s="74" t="s">
        <v>16101</v>
      </c>
      <c r="O705" s="74" t="s">
        <v>16102</v>
      </c>
      <c r="P705" s="74" t="s">
        <v>16103</v>
      </c>
      <c r="Q705" s="74" t="s">
        <v>16104</v>
      </c>
      <c r="R705" s="119"/>
      <c r="S705" s="119"/>
      <c r="T705" s="119"/>
      <c r="U705" s="119"/>
      <c r="V705" s="119"/>
      <c r="W705" s="74">
        <v>7.0</v>
      </c>
      <c r="X705" s="74">
        <v>100.0</v>
      </c>
      <c r="Y705" s="74">
        <v>3.0</v>
      </c>
      <c r="Z705" s="74">
        <v>0.0</v>
      </c>
      <c r="AA705" s="119"/>
      <c r="AB705" s="119"/>
      <c r="AC705" s="119"/>
      <c r="AD705" s="119"/>
      <c r="AE705" s="119"/>
      <c r="AF705" s="119"/>
      <c r="AG705" s="119"/>
      <c r="AH705" s="119"/>
      <c r="AI705" s="119"/>
      <c r="AJ705" s="119"/>
      <c r="AK705" s="74" t="s">
        <v>16132</v>
      </c>
      <c r="AL705" s="74">
        <v>6.0</v>
      </c>
      <c r="AM705" s="74">
        <v>1.0</v>
      </c>
      <c r="AN705" s="74" t="s">
        <v>10629</v>
      </c>
      <c r="AO705" s="120">
        <v>7748.0</v>
      </c>
      <c r="AP705" s="74" t="s">
        <v>16133</v>
      </c>
      <c r="AQ705" s="74" t="s">
        <v>16134</v>
      </c>
      <c r="AR705" s="120">
        <v>705.0</v>
      </c>
    </row>
    <row r="706">
      <c r="A706" s="74" t="s">
        <v>16127</v>
      </c>
      <c r="B706" s="74" t="s">
        <v>6876</v>
      </c>
      <c r="C706" s="74" t="s">
        <v>6877</v>
      </c>
      <c r="D706" s="74" t="s">
        <v>8493</v>
      </c>
      <c r="E706" s="146">
        <v>43868.0</v>
      </c>
      <c r="F706" s="74" t="s">
        <v>16136</v>
      </c>
      <c r="G706" s="74">
        <v>57.0</v>
      </c>
      <c r="H706" s="74">
        <v>1.0</v>
      </c>
      <c r="I706" s="74">
        <v>16.0</v>
      </c>
      <c r="J706" s="119"/>
      <c r="K706" s="119"/>
      <c r="L706" s="74" t="s">
        <v>2730</v>
      </c>
      <c r="M706" s="74" t="s">
        <v>2730</v>
      </c>
      <c r="N706" s="74" t="s">
        <v>16101</v>
      </c>
      <c r="O706" s="74" t="s">
        <v>16141</v>
      </c>
      <c r="P706" s="74" t="s">
        <v>16103</v>
      </c>
      <c r="Q706" s="74" t="s">
        <v>16104</v>
      </c>
      <c r="R706" s="119"/>
      <c r="S706" s="119"/>
      <c r="T706" s="119"/>
      <c r="U706" s="119"/>
      <c r="V706" s="119"/>
      <c r="W706" s="74">
        <v>3.0</v>
      </c>
      <c r="X706" s="74">
        <v>1.0</v>
      </c>
      <c r="Y706" s="74">
        <v>3.0</v>
      </c>
      <c r="Z706" s="74">
        <v>2.0</v>
      </c>
      <c r="AA706" s="74">
        <v>2.0</v>
      </c>
      <c r="AB706" s="74">
        <v>1.0</v>
      </c>
      <c r="AC706" s="74">
        <v>3.0</v>
      </c>
      <c r="AD706" s="74">
        <v>0.0</v>
      </c>
      <c r="AE706" s="74">
        <v>1.0</v>
      </c>
      <c r="AF706" s="74">
        <v>1.0</v>
      </c>
      <c r="AG706" s="74">
        <v>1.0</v>
      </c>
      <c r="AH706" s="74">
        <v>3.0</v>
      </c>
      <c r="AI706" s="74">
        <v>0.0</v>
      </c>
      <c r="AJ706" s="119"/>
      <c r="AK706" s="74" t="s">
        <v>16145</v>
      </c>
      <c r="AL706" s="74">
        <v>6.0</v>
      </c>
      <c r="AM706" s="74">
        <v>1.0</v>
      </c>
      <c r="AN706" s="74" t="s">
        <v>10629</v>
      </c>
      <c r="AO706" s="120">
        <v>7749.0</v>
      </c>
      <c r="AP706" s="74" t="s">
        <v>16146</v>
      </c>
      <c r="AQ706" s="74" t="s">
        <v>16148</v>
      </c>
      <c r="AR706" s="120">
        <v>706.0</v>
      </c>
    </row>
    <row r="707">
      <c r="A707" s="74" t="s">
        <v>16136</v>
      </c>
      <c r="B707" s="74" t="s">
        <v>6876</v>
      </c>
      <c r="C707" s="74" t="s">
        <v>6877</v>
      </c>
      <c r="D707" s="74" t="s">
        <v>8493</v>
      </c>
      <c r="E707" s="146">
        <v>43868.0</v>
      </c>
      <c r="F707" s="74" t="s">
        <v>16150</v>
      </c>
      <c r="G707" s="74">
        <v>58.0</v>
      </c>
      <c r="H707" s="74">
        <v>2.0</v>
      </c>
      <c r="I707" s="74">
        <v>7.0</v>
      </c>
      <c r="J707" s="119"/>
      <c r="K707" s="119"/>
      <c r="L707" s="74" t="s">
        <v>2625</v>
      </c>
      <c r="M707" s="74" t="s">
        <v>2625</v>
      </c>
      <c r="N707" s="74" t="s">
        <v>16101</v>
      </c>
      <c r="O707" s="74" t="s">
        <v>16152</v>
      </c>
      <c r="P707" s="74" t="s">
        <v>16103</v>
      </c>
      <c r="Q707" s="74" t="s">
        <v>16104</v>
      </c>
      <c r="R707" s="119"/>
      <c r="S707" s="119"/>
      <c r="T707" s="119"/>
      <c r="U707" s="119"/>
      <c r="V707" s="119"/>
      <c r="W707" s="74">
        <v>7.0</v>
      </c>
      <c r="X707" s="74">
        <v>10.0</v>
      </c>
      <c r="Y707" s="74">
        <v>3.0</v>
      </c>
      <c r="Z707" s="74">
        <v>0.0</v>
      </c>
      <c r="AA707" s="74">
        <v>6.0</v>
      </c>
      <c r="AB707" s="74">
        <v>1.0</v>
      </c>
      <c r="AC707" s="74">
        <v>3.0</v>
      </c>
      <c r="AD707" s="74">
        <v>0.0</v>
      </c>
      <c r="AE707" s="74">
        <v>0.0</v>
      </c>
      <c r="AF707" s="119"/>
      <c r="AG707" s="119"/>
      <c r="AH707" s="119"/>
      <c r="AI707" s="119"/>
      <c r="AJ707" s="119"/>
      <c r="AK707" s="74" t="s">
        <v>16155</v>
      </c>
      <c r="AL707" s="74">
        <v>6.0</v>
      </c>
      <c r="AM707" s="74">
        <v>1.0</v>
      </c>
      <c r="AN707" s="74" t="s">
        <v>10629</v>
      </c>
      <c r="AO707" s="120">
        <v>7750.0</v>
      </c>
      <c r="AP707" s="74" t="s">
        <v>16159</v>
      </c>
      <c r="AQ707" s="74" t="s">
        <v>16161</v>
      </c>
      <c r="AR707" s="120">
        <v>707.0</v>
      </c>
    </row>
    <row r="708">
      <c r="A708" s="74" t="s">
        <v>16162</v>
      </c>
      <c r="B708" s="74" t="s">
        <v>6876</v>
      </c>
      <c r="C708" s="74" t="s">
        <v>6877</v>
      </c>
      <c r="D708" s="74" t="s">
        <v>8493</v>
      </c>
      <c r="E708" s="146">
        <v>43868.0</v>
      </c>
      <c r="F708" s="74" t="s">
        <v>16164</v>
      </c>
      <c r="G708" s="74">
        <v>58.0</v>
      </c>
      <c r="H708" s="74">
        <v>2.0</v>
      </c>
      <c r="I708" s="74">
        <v>99.0</v>
      </c>
      <c r="J708" s="119"/>
      <c r="K708" s="119"/>
      <c r="L708" s="74" t="s">
        <v>2632</v>
      </c>
      <c r="M708" s="74" t="s">
        <v>2632</v>
      </c>
      <c r="N708" s="74" t="s">
        <v>16101</v>
      </c>
      <c r="O708" s="74" t="s">
        <v>16102</v>
      </c>
      <c r="P708" s="74" t="s">
        <v>16103</v>
      </c>
      <c r="Q708" s="74" t="s">
        <v>16104</v>
      </c>
      <c r="R708" s="119"/>
      <c r="S708" s="119"/>
      <c r="T708" s="119"/>
      <c r="U708" s="119"/>
      <c r="V708" s="119"/>
      <c r="W708" s="74">
        <v>7.0</v>
      </c>
      <c r="X708" s="74">
        <v>100.0</v>
      </c>
      <c r="Y708" s="74">
        <v>3.0</v>
      </c>
      <c r="Z708" s="74">
        <v>0.0</v>
      </c>
      <c r="AA708" s="119"/>
      <c r="AB708" s="119"/>
      <c r="AC708" s="119"/>
      <c r="AD708" s="119"/>
      <c r="AE708" s="119"/>
      <c r="AF708" s="119"/>
      <c r="AG708" s="119"/>
      <c r="AH708" s="119"/>
      <c r="AI708" s="119"/>
      <c r="AJ708" s="119"/>
      <c r="AK708" s="74" t="s">
        <v>16168</v>
      </c>
      <c r="AL708" s="74">
        <v>6.0</v>
      </c>
      <c r="AM708" s="74">
        <v>1.0</v>
      </c>
      <c r="AN708" s="74" t="s">
        <v>10629</v>
      </c>
      <c r="AO708" s="120">
        <v>7751.0</v>
      </c>
      <c r="AP708" s="74" t="s">
        <v>16171</v>
      </c>
      <c r="AQ708" s="74" t="s">
        <v>16172</v>
      </c>
      <c r="AR708" s="120">
        <v>708.0</v>
      </c>
    </row>
    <row r="709">
      <c r="A709" s="74" t="s">
        <v>16164</v>
      </c>
      <c r="B709" s="74" t="s">
        <v>6876</v>
      </c>
      <c r="C709" s="74" t="s">
        <v>6877</v>
      </c>
      <c r="D709" s="74" t="s">
        <v>8493</v>
      </c>
      <c r="E709" s="146">
        <v>43868.0</v>
      </c>
      <c r="F709" s="74" t="s">
        <v>16173</v>
      </c>
      <c r="G709" s="74">
        <v>59.0</v>
      </c>
      <c r="H709" s="74">
        <v>1.0</v>
      </c>
      <c r="I709" s="74">
        <v>11.0</v>
      </c>
      <c r="J709" s="119"/>
      <c r="K709" s="119"/>
      <c r="L709" s="74" t="s">
        <v>2590</v>
      </c>
      <c r="M709" s="74" t="s">
        <v>2590</v>
      </c>
      <c r="N709" s="74" t="s">
        <v>16101</v>
      </c>
      <c r="O709" s="74" t="s">
        <v>16175</v>
      </c>
      <c r="P709" s="74" t="s">
        <v>16103</v>
      </c>
      <c r="Q709" s="74" t="s">
        <v>16104</v>
      </c>
      <c r="R709" s="119"/>
      <c r="S709" s="119"/>
      <c r="T709" s="119"/>
      <c r="U709" s="119"/>
      <c r="V709" s="119"/>
      <c r="W709" s="74">
        <v>3.0</v>
      </c>
      <c r="X709" s="74">
        <v>1.0</v>
      </c>
      <c r="Y709" s="74">
        <v>3.0</v>
      </c>
      <c r="Z709" s="74">
        <v>0.0</v>
      </c>
      <c r="AA709" s="74">
        <v>2.0</v>
      </c>
      <c r="AB709" s="74">
        <v>1.0</v>
      </c>
      <c r="AC709" s="74">
        <v>3.0</v>
      </c>
      <c r="AD709" s="74">
        <v>0.0</v>
      </c>
      <c r="AE709" s="74">
        <v>1.0</v>
      </c>
      <c r="AF709" s="74">
        <v>1.0</v>
      </c>
      <c r="AG709" s="74">
        <v>1.0</v>
      </c>
      <c r="AH709" s="74">
        <v>3.0</v>
      </c>
      <c r="AI709" s="74">
        <v>0.0</v>
      </c>
      <c r="AJ709" s="119"/>
      <c r="AK709" s="74" t="s">
        <v>16184</v>
      </c>
      <c r="AL709" s="74">
        <v>6.0</v>
      </c>
      <c r="AM709" s="74">
        <v>1.0</v>
      </c>
      <c r="AN709" s="74" t="s">
        <v>10629</v>
      </c>
      <c r="AO709" s="120">
        <v>7752.0</v>
      </c>
      <c r="AP709" s="74" t="s">
        <v>16185</v>
      </c>
      <c r="AQ709" s="74" t="s">
        <v>16186</v>
      </c>
      <c r="AR709" s="120">
        <v>709.0</v>
      </c>
    </row>
    <row r="710">
      <c r="A710" s="74" t="s">
        <v>16173</v>
      </c>
      <c r="B710" s="74" t="s">
        <v>6876</v>
      </c>
      <c r="C710" s="74" t="s">
        <v>6877</v>
      </c>
      <c r="D710" s="74" t="s">
        <v>8493</v>
      </c>
      <c r="E710" s="146">
        <v>43868.0</v>
      </c>
      <c r="F710" s="74" t="s">
        <v>16189</v>
      </c>
      <c r="G710" s="74">
        <v>59.0</v>
      </c>
      <c r="H710" s="74">
        <v>1.0</v>
      </c>
      <c r="I710" s="74">
        <v>99.0</v>
      </c>
      <c r="J710" s="119"/>
      <c r="K710" s="119"/>
      <c r="L710" s="74" t="s">
        <v>2607</v>
      </c>
      <c r="M710" s="74" t="s">
        <v>2607</v>
      </c>
      <c r="N710" s="74" t="s">
        <v>16101</v>
      </c>
      <c r="O710" s="74" t="s">
        <v>16102</v>
      </c>
      <c r="P710" s="74" t="s">
        <v>16103</v>
      </c>
      <c r="Q710" s="74" t="s">
        <v>16104</v>
      </c>
      <c r="R710" s="119"/>
      <c r="S710" s="119"/>
      <c r="T710" s="119"/>
      <c r="U710" s="119"/>
      <c r="V710" s="119"/>
      <c r="W710" s="74">
        <v>7.0</v>
      </c>
      <c r="X710" s="74">
        <v>100.0</v>
      </c>
      <c r="Y710" s="74">
        <v>3.0</v>
      </c>
      <c r="Z710" s="74">
        <v>0.0</v>
      </c>
      <c r="AA710" s="119"/>
      <c r="AB710" s="119"/>
      <c r="AC710" s="119"/>
      <c r="AD710" s="119"/>
      <c r="AE710" s="119"/>
      <c r="AF710" s="119"/>
      <c r="AG710" s="119"/>
      <c r="AH710" s="119"/>
      <c r="AI710" s="119"/>
      <c r="AJ710" s="119"/>
      <c r="AK710" s="74" t="s">
        <v>16194</v>
      </c>
      <c r="AL710" s="74">
        <v>6.0</v>
      </c>
      <c r="AM710" s="74">
        <v>1.0</v>
      </c>
      <c r="AN710" s="74" t="s">
        <v>10629</v>
      </c>
      <c r="AO710" s="120">
        <v>7753.0</v>
      </c>
      <c r="AP710" s="74" t="s">
        <v>16196</v>
      </c>
      <c r="AQ710" s="74" t="s">
        <v>16197</v>
      </c>
      <c r="AR710" s="120">
        <v>710.0</v>
      </c>
    </row>
    <row r="711">
      <c r="A711" s="74" t="s">
        <v>16189</v>
      </c>
      <c r="B711" s="74" t="s">
        <v>6876</v>
      </c>
      <c r="C711" s="74" t="s">
        <v>6877</v>
      </c>
      <c r="D711" s="74" t="s">
        <v>8493</v>
      </c>
      <c r="E711" s="146">
        <v>43868.0</v>
      </c>
      <c r="F711" s="74" t="s">
        <v>16200</v>
      </c>
      <c r="G711" s="74">
        <v>33.0</v>
      </c>
      <c r="H711" s="74">
        <v>1.0</v>
      </c>
      <c r="I711" s="74">
        <v>98.0</v>
      </c>
      <c r="J711" s="119"/>
      <c r="K711" s="119"/>
      <c r="L711" s="74" t="s">
        <v>2749</v>
      </c>
      <c r="M711" s="74" t="s">
        <v>2749</v>
      </c>
      <c r="N711" s="74" t="s">
        <v>16101</v>
      </c>
      <c r="O711" s="74" t="s">
        <v>16207</v>
      </c>
      <c r="P711" s="74" t="s">
        <v>16103</v>
      </c>
      <c r="Q711" s="74" t="s">
        <v>16104</v>
      </c>
      <c r="R711" s="119"/>
      <c r="S711" s="119"/>
      <c r="T711" s="119"/>
      <c r="U711" s="119"/>
      <c r="V711" s="119"/>
      <c r="W711" s="74">
        <v>7.0</v>
      </c>
      <c r="X711" s="74">
        <v>100.0</v>
      </c>
      <c r="Y711" s="74">
        <v>3.0</v>
      </c>
      <c r="Z711" s="74">
        <v>0.0</v>
      </c>
      <c r="AA711" s="119"/>
      <c r="AB711" s="119"/>
      <c r="AC711" s="119"/>
      <c r="AD711" s="119"/>
      <c r="AE711" s="119"/>
      <c r="AF711" s="119"/>
      <c r="AG711" s="119"/>
      <c r="AH711" s="119"/>
      <c r="AI711" s="119"/>
      <c r="AJ711" s="119"/>
      <c r="AK711" s="74" t="s">
        <v>11376</v>
      </c>
      <c r="AL711" s="74">
        <v>6.0</v>
      </c>
      <c r="AM711" s="74">
        <v>1.0</v>
      </c>
      <c r="AN711" s="74" t="s">
        <v>10629</v>
      </c>
      <c r="AO711" s="120">
        <v>7754.0</v>
      </c>
      <c r="AP711" s="74" t="s">
        <v>16213</v>
      </c>
      <c r="AQ711" s="74" t="s">
        <v>16214</v>
      </c>
      <c r="AR711" s="120">
        <v>711.0</v>
      </c>
    </row>
    <row r="712">
      <c r="A712" s="74" t="s">
        <v>16200</v>
      </c>
      <c r="B712" s="74" t="s">
        <v>6876</v>
      </c>
      <c r="C712" s="74" t="s">
        <v>6877</v>
      </c>
      <c r="D712" s="74" t="s">
        <v>8493</v>
      </c>
      <c r="E712" s="146">
        <v>43868.0</v>
      </c>
      <c r="F712" s="74" t="s">
        <v>16215</v>
      </c>
      <c r="G712" s="74">
        <v>65.0</v>
      </c>
      <c r="H712" s="74">
        <v>1.0</v>
      </c>
      <c r="I712" s="74">
        <v>16.0</v>
      </c>
      <c r="J712" s="119"/>
      <c r="K712" s="119"/>
      <c r="L712" s="74" t="s">
        <v>2895</v>
      </c>
      <c r="M712" s="74" t="s">
        <v>2895</v>
      </c>
      <c r="N712" s="74" t="s">
        <v>16218</v>
      </c>
      <c r="O712" s="74" t="s">
        <v>16219</v>
      </c>
      <c r="P712" s="74" t="s">
        <v>16104</v>
      </c>
      <c r="Q712" s="74" t="s">
        <v>16220</v>
      </c>
      <c r="R712" s="119"/>
      <c r="S712" s="119"/>
      <c r="T712" s="119"/>
      <c r="U712" s="119"/>
      <c r="V712" s="119"/>
      <c r="W712" s="74">
        <v>3.0</v>
      </c>
      <c r="X712" s="74">
        <v>1.0</v>
      </c>
      <c r="Y712" s="74">
        <v>3.0</v>
      </c>
      <c r="Z712" s="74">
        <v>1.0</v>
      </c>
      <c r="AA712" s="74">
        <v>2.0</v>
      </c>
      <c r="AB712" s="74">
        <v>1.0</v>
      </c>
      <c r="AC712" s="74">
        <v>3.0</v>
      </c>
      <c r="AD712" s="74">
        <v>0.0</v>
      </c>
      <c r="AE712" s="74">
        <v>1.0</v>
      </c>
      <c r="AF712" s="74">
        <v>1.0</v>
      </c>
      <c r="AG712" s="74">
        <v>1.0</v>
      </c>
      <c r="AH712" s="74">
        <v>3.0</v>
      </c>
      <c r="AI712" s="74">
        <v>0.0</v>
      </c>
      <c r="AJ712" s="119"/>
      <c r="AK712" s="74" t="s">
        <v>16227</v>
      </c>
      <c r="AL712" s="74">
        <v>4.0</v>
      </c>
      <c r="AM712" s="74">
        <v>1.0</v>
      </c>
      <c r="AN712" s="74" t="s">
        <v>10629</v>
      </c>
      <c r="AO712" s="120">
        <v>7755.0</v>
      </c>
      <c r="AP712" s="74" t="s">
        <v>16230</v>
      </c>
      <c r="AQ712" s="74" t="s">
        <v>16231</v>
      </c>
      <c r="AR712" s="120">
        <v>712.0</v>
      </c>
    </row>
    <row r="713">
      <c r="A713" s="74" t="s">
        <v>16215</v>
      </c>
      <c r="B713" s="74" t="s">
        <v>6876</v>
      </c>
      <c r="C713" s="74" t="s">
        <v>6877</v>
      </c>
      <c r="D713" s="74" t="s">
        <v>8493</v>
      </c>
      <c r="E713" s="146">
        <v>43868.0</v>
      </c>
      <c r="F713" s="74" t="s">
        <v>16233</v>
      </c>
      <c r="G713" s="74">
        <v>58.0</v>
      </c>
      <c r="H713" s="74">
        <v>2.0</v>
      </c>
      <c r="I713" s="74">
        <v>15.0</v>
      </c>
      <c r="J713" s="119"/>
      <c r="K713" s="74">
        <v>151.0</v>
      </c>
      <c r="L713" s="74" t="s">
        <v>710</v>
      </c>
      <c r="M713" s="74" t="s">
        <v>710</v>
      </c>
      <c r="N713" s="74" t="s">
        <v>16218</v>
      </c>
      <c r="O713" s="74" t="s">
        <v>16219</v>
      </c>
      <c r="P713" s="74" t="s">
        <v>16104</v>
      </c>
      <c r="Q713" s="74" t="s">
        <v>16220</v>
      </c>
      <c r="R713" s="119"/>
      <c r="S713" s="119"/>
      <c r="T713" s="119"/>
      <c r="U713" s="119"/>
      <c r="V713" s="119"/>
      <c r="W713" s="74">
        <v>6.0</v>
      </c>
      <c r="X713" s="74">
        <v>1.0</v>
      </c>
      <c r="Y713" s="74">
        <v>3.0</v>
      </c>
      <c r="Z713" s="74">
        <v>9.0</v>
      </c>
      <c r="AA713" s="74">
        <v>5.0</v>
      </c>
      <c r="AB713" s="74">
        <v>1.0</v>
      </c>
      <c r="AC713" s="74">
        <v>3.0</v>
      </c>
      <c r="AD713" s="74">
        <v>0.0</v>
      </c>
      <c r="AE713" s="74">
        <v>1.0</v>
      </c>
      <c r="AF713" s="74">
        <v>4.0</v>
      </c>
      <c r="AG713" s="74">
        <v>1.0</v>
      </c>
      <c r="AH713" s="74">
        <v>3.0</v>
      </c>
      <c r="AI713" s="74">
        <v>0.0</v>
      </c>
      <c r="AJ713" s="119"/>
      <c r="AK713" s="74" t="s">
        <v>16237</v>
      </c>
      <c r="AL713" s="74">
        <v>4.0</v>
      </c>
      <c r="AM713" s="74">
        <v>1.0</v>
      </c>
      <c r="AN713" s="74" t="s">
        <v>10629</v>
      </c>
      <c r="AO713" s="120">
        <v>7756.0</v>
      </c>
      <c r="AP713" s="74" t="s">
        <v>16238</v>
      </c>
      <c r="AQ713" s="74" t="s">
        <v>16239</v>
      </c>
      <c r="AR713" s="120">
        <v>713.0</v>
      </c>
    </row>
    <row r="714">
      <c r="A714" s="74" t="s">
        <v>16233</v>
      </c>
      <c r="B714" s="74" t="s">
        <v>6876</v>
      </c>
      <c r="C714" s="74" t="s">
        <v>6877</v>
      </c>
      <c r="D714" s="74" t="s">
        <v>8493</v>
      </c>
      <c r="E714" s="146">
        <v>43868.0</v>
      </c>
      <c r="F714" s="74" t="s">
        <v>16242</v>
      </c>
      <c r="G714" s="74">
        <v>58.0</v>
      </c>
      <c r="H714" s="74">
        <v>2.0</v>
      </c>
      <c r="I714" s="74">
        <v>15.0</v>
      </c>
      <c r="J714" s="119"/>
      <c r="K714" s="74">
        <v>152.0</v>
      </c>
      <c r="L714" s="74" t="s">
        <v>713</v>
      </c>
      <c r="M714" s="74" t="s">
        <v>713</v>
      </c>
      <c r="N714" s="74" t="s">
        <v>16218</v>
      </c>
      <c r="O714" s="74" t="s">
        <v>16219</v>
      </c>
      <c r="P714" s="74" t="s">
        <v>16104</v>
      </c>
      <c r="Q714" s="74" t="s">
        <v>16220</v>
      </c>
      <c r="R714" s="119"/>
      <c r="S714" s="119"/>
      <c r="T714" s="119"/>
      <c r="U714" s="119"/>
      <c r="V714" s="119"/>
      <c r="W714" s="74">
        <v>6.0</v>
      </c>
      <c r="X714" s="74">
        <v>1.0</v>
      </c>
      <c r="Y714" s="74">
        <v>3.0</v>
      </c>
      <c r="Z714" s="74">
        <v>0.0</v>
      </c>
      <c r="AA714" s="74">
        <v>5.0</v>
      </c>
      <c r="AB714" s="74">
        <v>1.0</v>
      </c>
      <c r="AC714" s="74">
        <v>3.0</v>
      </c>
      <c r="AD714" s="74">
        <v>0.0</v>
      </c>
      <c r="AE714" s="74">
        <v>1.0</v>
      </c>
      <c r="AF714" s="74">
        <v>4.0</v>
      </c>
      <c r="AG714" s="74">
        <v>1.0</v>
      </c>
      <c r="AH714" s="74">
        <v>3.0</v>
      </c>
      <c r="AI714" s="74">
        <v>0.0</v>
      </c>
      <c r="AJ714" s="119"/>
      <c r="AK714" s="74" t="s">
        <v>16250</v>
      </c>
      <c r="AL714" s="74">
        <v>4.0</v>
      </c>
      <c r="AM714" s="74">
        <v>1.0</v>
      </c>
      <c r="AN714" s="74" t="s">
        <v>10629</v>
      </c>
      <c r="AO714" s="120">
        <v>7757.0</v>
      </c>
      <c r="AP714" s="74" t="s">
        <v>16253</v>
      </c>
      <c r="AQ714" s="74" t="s">
        <v>16254</v>
      </c>
      <c r="AR714" s="120">
        <v>714.0</v>
      </c>
    </row>
    <row r="715">
      <c r="A715" s="74" t="s">
        <v>16242</v>
      </c>
      <c r="B715" s="74" t="s">
        <v>6876</v>
      </c>
      <c r="C715" s="74" t="s">
        <v>6877</v>
      </c>
      <c r="D715" s="74" t="s">
        <v>8493</v>
      </c>
      <c r="E715" s="146">
        <v>43868.0</v>
      </c>
      <c r="F715" s="74" t="s">
        <v>16256</v>
      </c>
      <c r="G715" s="74">
        <v>58.0</v>
      </c>
      <c r="H715" s="74">
        <v>2.0</v>
      </c>
      <c r="I715" s="74">
        <v>15.0</v>
      </c>
      <c r="J715" s="119"/>
      <c r="K715" s="74">
        <v>152.0</v>
      </c>
      <c r="L715" s="74" t="s">
        <v>715</v>
      </c>
      <c r="M715" s="74" t="s">
        <v>715</v>
      </c>
      <c r="N715" s="74" t="s">
        <v>16218</v>
      </c>
      <c r="O715" s="74" t="s">
        <v>16219</v>
      </c>
      <c r="P715" s="74" t="s">
        <v>16104</v>
      </c>
      <c r="Q715" s="74" t="s">
        <v>16220</v>
      </c>
      <c r="R715" s="119"/>
      <c r="S715" s="119"/>
      <c r="T715" s="119"/>
      <c r="U715" s="119"/>
      <c r="V715" s="119"/>
      <c r="W715" s="74">
        <v>6.0</v>
      </c>
      <c r="X715" s="74">
        <v>1.0</v>
      </c>
      <c r="Y715" s="74">
        <v>3.0</v>
      </c>
      <c r="Z715" s="74">
        <v>0.0</v>
      </c>
      <c r="AA715" s="74">
        <v>5.0</v>
      </c>
      <c r="AB715" s="74">
        <v>1.0</v>
      </c>
      <c r="AC715" s="74">
        <v>3.0</v>
      </c>
      <c r="AD715" s="74">
        <v>0.0</v>
      </c>
      <c r="AE715" s="74">
        <v>1.0</v>
      </c>
      <c r="AF715" s="74">
        <v>4.0</v>
      </c>
      <c r="AG715" s="74">
        <v>1.0</v>
      </c>
      <c r="AH715" s="74">
        <v>3.0</v>
      </c>
      <c r="AI715" s="74">
        <v>0.0</v>
      </c>
      <c r="AJ715" s="119"/>
      <c r="AK715" s="74" t="s">
        <v>16265</v>
      </c>
      <c r="AL715" s="74">
        <v>4.0</v>
      </c>
      <c r="AM715" s="74">
        <v>1.0</v>
      </c>
      <c r="AN715" s="74" t="s">
        <v>10629</v>
      </c>
      <c r="AO715" s="120">
        <v>7758.0</v>
      </c>
      <c r="AP715" s="74" t="s">
        <v>16266</v>
      </c>
      <c r="AQ715" s="74" t="s">
        <v>16267</v>
      </c>
      <c r="AR715" s="120">
        <v>715.0</v>
      </c>
    </row>
    <row r="716">
      <c r="A716" s="74" t="s">
        <v>16256</v>
      </c>
      <c r="B716" s="74" t="s">
        <v>6876</v>
      </c>
      <c r="C716" s="74" t="s">
        <v>6877</v>
      </c>
      <c r="D716" s="74" t="s">
        <v>8493</v>
      </c>
      <c r="E716" s="146">
        <v>43868.0</v>
      </c>
      <c r="F716" s="74" t="s">
        <v>16270</v>
      </c>
      <c r="G716" s="74">
        <v>58.0</v>
      </c>
      <c r="H716" s="74">
        <v>2.0</v>
      </c>
      <c r="I716" s="74">
        <v>15.0</v>
      </c>
      <c r="J716" s="119"/>
      <c r="K716" s="74">
        <v>152.0</v>
      </c>
      <c r="L716" s="74" t="s">
        <v>717</v>
      </c>
      <c r="M716" s="74" t="s">
        <v>717</v>
      </c>
      <c r="N716" s="74" t="s">
        <v>16218</v>
      </c>
      <c r="O716" s="74" t="s">
        <v>16219</v>
      </c>
      <c r="P716" s="74" t="s">
        <v>16104</v>
      </c>
      <c r="Q716" s="74" t="s">
        <v>16220</v>
      </c>
      <c r="R716" s="119"/>
      <c r="S716" s="119"/>
      <c r="T716" s="119"/>
      <c r="U716" s="119"/>
      <c r="V716" s="119"/>
      <c r="W716" s="74">
        <v>6.0</v>
      </c>
      <c r="X716" s="74">
        <v>1.0</v>
      </c>
      <c r="Y716" s="74">
        <v>3.0</v>
      </c>
      <c r="Z716" s="74">
        <v>1.0</v>
      </c>
      <c r="AA716" s="74">
        <v>5.0</v>
      </c>
      <c r="AB716" s="74">
        <v>1.0</v>
      </c>
      <c r="AC716" s="74">
        <v>3.0</v>
      </c>
      <c r="AD716" s="74">
        <v>0.0</v>
      </c>
      <c r="AE716" s="74">
        <v>1.0</v>
      </c>
      <c r="AF716" s="74">
        <v>4.0</v>
      </c>
      <c r="AG716" s="74">
        <v>1.0</v>
      </c>
      <c r="AH716" s="74">
        <v>3.0</v>
      </c>
      <c r="AI716" s="74">
        <v>0.0</v>
      </c>
      <c r="AJ716" s="119"/>
      <c r="AK716" s="74" t="s">
        <v>15780</v>
      </c>
      <c r="AL716" s="74">
        <v>4.0</v>
      </c>
      <c r="AM716" s="74">
        <v>1.0</v>
      </c>
      <c r="AN716" s="74" t="s">
        <v>10629</v>
      </c>
      <c r="AO716" s="120">
        <v>7759.0</v>
      </c>
      <c r="AP716" s="74" t="s">
        <v>16281</v>
      </c>
      <c r="AQ716" s="74" t="s">
        <v>16282</v>
      </c>
      <c r="AR716" s="120">
        <v>716.0</v>
      </c>
    </row>
    <row r="717">
      <c r="A717" s="74" t="s">
        <v>16270</v>
      </c>
      <c r="B717" s="74" t="s">
        <v>6876</v>
      </c>
      <c r="C717" s="74" t="s">
        <v>6877</v>
      </c>
      <c r="D717" s="74" t="s">
        <v>8493</v>
      </c>
      <c r="E717" s="146">
        <v>43868.0</v>
      </c>
      <c r="F717" s="74" t="s">
        <v>16284</v>
      </c>
      <c r="G717" s="74">
        <v>58.0</v>
      </c>
      <c r="H717" s="74">
        <v>2.0</v>
      </c>
      <c r="I717" s="74">
        <v>99.0</v>
      </c>
      <c r="J717" s="119"/>
      <c r="K717" s="119"/>
      <c r="L717" s="74" t="s">
        <v>719</v>
      </c>
      <c r="M717" s="74" t="s">
        <v>719</v>
      </c>
      <c r="N717" s="74" t="s">
        <v>16218</v>
      </c>
      <c r="O717" s="74" t="s">
        <v>16219</v>
      </c>
      <c r="P717" s="74" t="s">
        <v>16104</v>
      </c>
      <c r="Q717" s="74" t="s">
        <v>16220</v>
      </c>
      <c r="R717" s="119"/>
      <c r="S717" s="119"/>
      <c r="T717" s="119"/>
      <c r="U717" s="119"/>
      <c r="V717" s="119"/>
      <c r="W717" s="74">
        <v>7.0</v>
      </c>
      <c r="X717" s="74">
        <v>100.0</v>
      </c>
      <c r="Y717" s="74">
        <v>3.0</v>
      </c>
      <c r="Z717" s="74">
        <v>0.0</v>
      </c>
      <c r="AA717" s="119"/>
      <c r="AB717" s="119"/>
      <c r="AC717" s="119"/>
      <c r="AD717" s="119"/>
      <c r="AE717" s="119"/>
      <c r="AF717" s="119"/>
      <c r="AG717" s="119"/>
      <c r="AH717" s="119"/>
      <c r="AI717" s="119"/>
      <c r="AJ717" s="119"/>
      <c r="AK717" s="74" t="s">
        <v>16289</v>
      </c>
      <c r="AL717" s="74">
        <v>4.0</v>
      </c>
      <c r="AM717" s="74">
        <v>1.0</v>
      </c>
      <c r="AN717" s="74" t="s">
        <v>10629</v>
      </c>
      <c r="AO717" s="120">
        <v>7760.0</v>
      </c>
      <c r="AP717" s="74" t="s">
        <v>16290</v>
      </c>
      <c r="AQ717" s="74" t="s">
        <v>16291</v>
      </c>
      <c r="AR717" s="120">
        <v>717.0</v>
      </c>
    </row>
    <row r="718">
      <c r="A718" s="74" t="s">
        <v>16284</v>
      </c>
      <c r="B718" s="74" t="s">
        <v>6876</v>
      </c>
      <c r="C718" s="74" t="s">
        <v>6877</v>
      </c>
      <c r="D718" s="74" t="s">
        <v>8493</v>
      </c>
      <c r="E718" s="146">
        <v>43868.0</v>
      </c>
      <c r="F718" s="74" t="s">
        <v>16292</v>
      </c>
      <c r="G718" s="74">
        <v>58.0</v>
      </c>
      <c r="H718" s="74">
        <v>2.0</v>
      </c>
      <c r="I718" s="74">
        <v>15.0</v>
      </c>
      <c r="J718" s="119"/>
      <c r="K718" s="74">
        <v>151.0</v>
      </c>
      <c r="L718" s="74" t="s">
        <v>721</v>
      </c>
      <c r="M718" s="74" t="s">
        <v>721</v>
      </c>
      <c r="N718" s="74" t="s">
        <v>16218</v>
      </c>
      <c r="O718" s="74" t="s">
        <v>16219</v>
      </c>
      <c r="P718" s="74" t="s">
        <v>16104</v>
      </c>
      <c r="Q718" s="74" t="s">
        <v>16220</v>
      </c>
      <c r="R718" s="119"/>
      <c r="S718" s="119"/>
      <c r="T718" s="119"/>
      <c r="U718" s="119"/>
      <c r="V718" s="119"/>
      <c r="W718" s="74">
        <v>6.0</v>
      </c>
      <c r="X718" s="74">
        <v>1.0</v>
      </c>
      <c r="Y718" s="74">
        <v>3.0</v>
      </c>
      <c r="Z718" s="74">
        <v>28.0</v>
      </c>
      <c r="AA718" s="74">
        <v>5.0</v>
      </c>
      <c r="AB718" s="74">
        <v>1.0</v>
      </c>
      <c r="AC718" s="74">
        <v>3.0</v>
      </c>
      <c r="AD718" s="74">
        <v>3.0</v>
      </c>
      <c r="AE718" s="74">
        <v>1.0</v>
      </c>
      <c r="AF718" s="74">
        <v>4.0</v>
      </c>
      <c r="AG718" s="74">
        <v>1.0</v>
      </c>
      <c r="AH718" s="74">
        <v>3.0</v>
      </c>
      <c r="AI718" s="74">
        <v>0.0</v>
      </c>
      <c r="AJ718" s="119"/>
      <c r="AK718" s="74" t="s">
        <v>16303</v>
      </c>
      <c r="AL718" s="74">
        <v>4.0</v>
      </c>
      <c r="AM718" s="74">
        <v>1.0</v>
      </c>
      <c r="AN718" s="74" t="s">
        <v>10629</v>
      </c>
      <c r="AO718" s="120">
        <v>7761.0</v>
      </c>
      <c r="AP718" s="74" t="s">
        <v>16304</v>
      </c>
      <c r="AQ718" s="74" t="s">
        <v>16305</v>
      </c>
      <c r="AR718" s="120">
        <v>718.0</v>
      </c>
    </row>
    <row r="719">
      <c r="A719" s="74" t="s">
        <v>16292</v>
      </c>
      <c r="B719" s="74" t="s">
        <v>6876</v>
      </c>
      <c r="C719" s="74" t="s">
        <v>6877</v>
      </c>
      <c r="D719" s="74" t="s">
        <v>8493</v>
      </c>
      <c r="E719" s="146">
        <v>43868.0</v>
      </c>
      <c r="F719" s="74" t="s">
        <v>16307</v>
      </c>
      <c r="G719" s="74">
        <v>58.0</v>
      </c>
      <c r="H719" s="74">
        <v>2.0</v>
      </c>
      <c r="I719" s="74">
        <v>15.0</v>
      </c>
      <c r="J719" s="119"/>
      <c r="K719" s="74">
        <v>152.0</v>
      </c>
      <c r="L719" s="74" t="s">
        <v>724</v>
      </c>
      <c r="M719" s="74" t="s">
        <v>724</v>
      </c>
      <c r="N719" s="74" t="s">
        <v>16218</v>
      </c>
      <c r="O719" s="74" t="s">
        <v>16219</v>
      </c>
      <c r="P719" s="74" t="s">
        <v>16104</v>
      </c>
      <c r="Q719" s="74" t="s">
        <v>16220</v>
      </c>
      <c r="R719" s="119"/>
      <c r="S719" s="119"/>
      <c r="T719" s="119"/>
      <c r="U719" s="119"/>
      <c r="V719" s="119"/>
      <c r="W719" s="74">
        <v>6.0</v>
      </c>
      <c r="X719" s="74">
        <v>1.0</v>
      </c>
      <c r="Y719" s="74">
        <v>3.0</v>
      </c>
      <c r="Z719" s="74">
        <v>6.0</v>
      </c>
      <c r="AA719" s="74">
        <v>5.0</v>
      </c>
      <c r="AB719" s="74">
        <v>1.0</v>
      </c>
      <c r="AC719" s="74">
        <v>3.0</v>
      </c>
      <c r="AD719" s="74">
        <v>0.0</v>
      </c>
      <c r="AE719" s="74">
        <v>1.0</v>
      </c>
      <c r="AF719" s="74">
        <v>4.0</v>
      </c>
      <c r="AG719" s="74">
        <v>1.0</v>
      </c>
      <c r="AH719" s="74">
        <v>3.0</v>
      </c>
      <c r="AI719" s="74">
        <v>0.0</v>
      </c>
      <c r="AJ719" s="119"/>
      <c r="AK719" s="74" t="s">
        <v>16316</v>
      </c>
      <c r="AL719" s="74">
        <v>4.0</v>
      </c>
      <c r="AM719" s="74">
        <v>1.0</v>
      </c>
      <c r="AN719" s="74" t="s">
        <v>10629</v>
      </c>
      <c r="AO719" s="120">
        <v>7762.0</v>
      </c>
      <c r="AP719" s="74" t="s">
        <v>16317</v>
      </c>
      <c r="AQ719" s="74" t="s">
        <v>16318</v>
      </c>
      <c r="AR719" s="120">
        <v>719.0</v>
      </c>
    </row>
    <row r="720">
      <c r="A720" s="74" t="s">
        <v>16307</v>
      </c>
      <c r="B720" s="74" t="s">
        <v>6876</v>
      </c>
      <c r="C720" s="74" t="s">
        <v>6877</v>
      </c>
      <c r="D720" s="74" t="s">
        <v>8493</v>
      </c>
      <c r="E720" s="146">
        <v>43868.0</v>
      </c>
      <c r="F720" s="74" t="s">
        <v>16321</v>
      </c>
      <c r="G720" s="74">
        <v>58.0</v>
      </c>
      <c r="H720" s="74">
        <v>2.0</v>
      </c>
      <c r="I720" s="74">
        <v>15.0</v>
      </c>
      <c r="J720" s="119"/>
      <c r="K720" s="74">
        <v>152.0</v>
      </c>
      <c r="L720" s="74" t="s">
        <v>725</v>
      </c>
      <c r="M720" s="74" t="s">
        <v>725</v>
      </c>
      <c r="N720" s="74" t="s">
        <v>16218</v>
      </c>
      <c r="O720" s="74" t="s">
        <v>16219</v>
      </c>
      <c r="P720" s="74" t="s">
        <v>16104</v>
      </c>
      <c r="Q720" s="74" t="s">
        <v>16220</v>
      </c>
      <c r="R720" s="119"/>
      <c r="S720" s="119"/>
      <c r="T720" s="119"/>
      <c r="U720" s="119"/>
      <c r="V720" s="119"/>
      <c r="W720" s="74">
        <v>6.0</v>
      </c>
      <c r="X720" s="74">
        <v>1.0</v>
      </c>
      <c r="Y720" s="74">
        <v>3.0</v>
      </c>
      <c r="Z720" s="74">
        <v>5.0</v>
      </c>
      <c r="AA720" s="74">
        <v>5.0</v>
      </c>
      <c r="AB720" s="74">
        <v>1.0</v>
      </c>
      <c r="AC720" s="74">
        <v>3.0</v>
      </c>
      <c r="AD720" s="74">
        <v>0.0</v>
      </c>
      <c r="AE720" s="74">
        <v>1.0</v>
      </c>
      <c r="AF720" s="74">
        <v>4.0</v>
      </c>
      <c r="AG720" s="74">
        <v>1.0</v>
      </c>
      <c r="AH720" s="74">
        <v>3.0</v>
      </c>
      <c r="AI720" s="74">
        <v>0.0</v>
      </c>
      <c r="AJ720" s="119"/>
      <c r="AK720" s="74" t="s">
        <v>16329</v>
      </c>
      <c r="AL720" s="74">
        <v>4.0</v>
      </c>
      <c r="AM720" s="74">
        <v>1.0</v>
      </c>
      <c r="AN720" s="74" t="s">
        <v>10629</v>
      </c>
      <c r="AO720" s="120">
        <v>7763.0</v>
      </c>
      <c r="AP720" s="74" t="s">
        <v>16331</v>
      </c>
      <c r="AQ720" s="74" t="s">
        <v>16332</v>
      </c>
      <c r="AR720" s="120">
        <v>720.0</v>
      </c>
    </row>
    <row r="721">
      <c r="A721" s="74" t="s">
        <v>16321</v>
      </c>
      <c r="B721" s="74" t="s">
        <v>6876</v>
      </c>
      <c r="C721" s="74" t="s">
        <v>6877</v>
      </c>
      <c r="D721" s="74" t="s">
        <v>8493</v>
      </c>
      <c r="E721" s="146">
        <v>43868.0</v>
      </c>
      <c r="F721" s="74" t="s">
        <v>16333</v>
      </c>
      <c r="G721" s="74">
        <v>58.0</v>
      </c>
      <c r="H721" s="74">
        <v>2.0</v>
      </c>
      <c r="I721" s="74">
        <v>15.0</v>
      </c>
      <c r="J721" s="119"/>
      <c r="K721" s="74">
        <v>152.0</v>
      </c>
      <c r="L721" s="74" t="s">
        <v>726</v>
      </c>
      <c r="M721" s="74" t="s">
        <v>726</v>
      </c>
      <c r="N721" s="74" t="s">
        <v>16218</v>
      </c>
      <c r="O721" s="74" t="s">
        <v>16219</v>
      </c>
      <c r="P721" s="74" t="s">
        <v>16104</v>
      </c>
      <c r="Q721" s="74" t="s">
        <v>16220</v>
      </c>
      <c r="R721" s="119"/>
      <c r="S721" s="119"/>
      <c r="T721" s="119"/>
      <c r="U721" s="119"/>
      <c r="V721" s="119"/>
      <c r="W721" s="74">
        <v>6.0</v>
      </c>
      <c r="X721" s="74">
        <v>1.0</v>
      </c>
      <c r="Y721" s="74">
        <v>3.0</v>
      </c>
      <c r="Z721" s="74">
        <v>0.0</v>
      </c>
      <c r="AA721" s="74">
        <v>5.0</v>
      </c>
      <c r="AB721" s="74">
        <v>1.0</v>
      </c>
      <c r="AC721" s="74">
        <v>3.0</v>
      </c>
      <c r="AD721" s="74">
        <v>0.0</v>
      </c>
      <c r="AE721" s="74">
        <v>1.0</v>
      </c>
      <c r="AF721" s="74">
        <v>4.0</v>
      </c>
      <c r="AG721" s="74">
        <v>1.0</v>
      </c>
      <c r="AH721" s="74">
        <v>3.0</v>
      </c>
      <c r="AI721" s="74">
        <v>0.0</v>
      </c>
      <c r="AJ721" s="119"/>
      <c r="AK721" s="74" t="s">
        <v>16341</v>
      </c>
      <c r="AL721" s="74">
        <v>4.0</v>
      </c>
      <c r="AM721" s="74">
        <v>1.0</v>
      </c>
      <c r="AN721" s="74" t="s">
        <v>10629</v>
      </c>
      <c r="AO721" s="120">
        <v>7764.0</v>
      </c>
      <c r="AP721" s="74" t="s">
        <v>16345</v>
      </c>
      <c r="AQ721" s="74" t="s">
        <v>16347</v>
      </c>
      <c r="AR721" s="120">
        <v>721.0</v>
      </c>
    </row>
    <row r="722">
      <c r="A722" s="74" t="s">
        <v>16349</v>
      </c>
      <c r="B722" s="74" t="s">
        <v>6876</v>
      </c>
      <c r="C722" s="74" t="s">
        <v>6877</v>
      </c>
      <c r="D722" s="74" t="s">
        <v>8493</v>
      </c>
      <c r="E722" s="146">
        <v>43868.0</v>
      </c>
      <c r="F722" s="74" t="s">
        <v>16350</v>
      </c>
      <c r="G722" s="74">
        <v>58.0</v>
      </c>
      <c r="H722" s="74">
        <v>2.0</v>
      </c>
      <c r="I722" s="74">
        <v>99.0</v>
      </c>
      <c r="J722" s="119"/>
      <c r="K722" s="119"/>
      <c r="L722" s="74" t="s">
        <v>728</v>
      </c>
      <c r="M722" s="74" t="s">
        <v>728</v>
      </c>
      <c r="N722" s="74" t="s">
        <v>16218</v>
      </c>
      <c r="O722" s="74" t="s">
        <v>16219</v>
      </c>
      <c r="P722" s="74" t="s">
        <v>16104</v>
      </c>
      <c r="Q722" s="74" t="s">
        <v>16220</v>
      </c>
      <c r="R722" s="119"/>
      <c r="S722" s="119"/>
      <c r="T722" s="119"/>
      <c r="U722" s="119"/>
      <c r="V722" s="119"/>
      <c r="W722" s="74">
        <v>7.0</v>
      </c>
      <c r="X722" s="74">
        <v>100.0</v>
      </c>
      <c r="Y722" s="74">
        <v>3.0</v>
      </c>
      <c r="Z722" s="74">
        <v>0.0</v>
      </c>
      <c r="AA722" s="119"/>
      <c r="AB722" s="119"/>
      <c r="AC722" s="119"/>
      <c r="AD722" s="119"/>
      <c r="AE722" s="119"/>
      <c r="AF722" s="119"/>
      <c r="AG722" s="119"/>
      <c r="AH722" s="119"/>
      <c r="AI722" s="119"/>
      <c r="AJ722" s="119"/>
      <c r="AK722" s="74" t="s">
        <v>16354</v>
      </c>
      <c r="AL722" s="74">
        <v>4.0</v>
      </c>
      <c r="AM722" s="74">
        <v>1.0</v>
      </c>
      <c r="AN722" s="74" t="s">
        <v>10629</v>
      </c>
      <c r="AO722" s="120">
        <v>7765.0</v>
      </c>
      <c r="AP722" s="74" t="s">
        <v>16355</v>
      </c>
      <c r="AQ722" s="74" t="s">
        <v>16356</v>
      </c>
      <c r="AR722" s="120">
        <v>722.0</v>
      </c>
    </row>
    <row r="723">
      <c r="A723" s="74" t="s">
        <v>16350</v>
      </c>
      <c r="B723" s="74" t="s">
        <v>6876</v>
      </c>
      <c r="C723" s="74" t="s">
        <v>6877</v>
      </c>
      <c r="D723" s="74" t="s">
        <v>8493</v>
      </c>
      <c r="E723" s="146">
        <v>43868.0</v>
      </c>
      <c r="F723" s="74" t="s">
        <v>16357</v>
      </c>
      <c r="G723" s="74">
        <v>33.0</v>
      </c>
      <c r="H723" s="74">
        <v>1.0</v>
      </c>
      <c r="I723" s="74">
        <v>98.0</v>
      </c>
      <c r="J723" s="119"/>
      <c r="K723" s="119"/>
      <c r="L723" s="74" t="s">
        <v>2906</v>
      </c>
      <c r="M723" s="74" t="s">
        <v>2906</v>
      </c>
      <c r="N723" s="74" t="s">
        <v>16218</v>
      </c>
      <c r="O723" s="74" t="s">
        <v>16219</v>
      </c>
      <c r="P723" s="74" t="s">
        <v>16104</v>
      </c>
      <c r="Q723" s="74" t="s">
        <v>16220</v>
      </c>
      <c r="R723" s="119"/>
      <c r="S723" s="119"/>
      <c r="T723" s="119"/>
      <c r="U723" s="119"/>
      <c r="V723" s="119"/>
      <c r="W723" s="74">
        <v>7.0</v>
      </c>
      <c r="X723" s="74">
        <v>100.0</v>
      </c>
      <c r="Y723" s="74">
        <v>3.0</v>
      </c>
      <c r="Z723" s="74">
        <v>0.0</v>
      </c>
      <c r="AA723" s="119"/>
      <c r="AB723" s="119"/>
      <c r="AC723" s="119"/>
      <c r="AD723" s="119"/>
      <c r="AE723" s="119"/>
      <c r="AF723" s="119"/>
      <c r="AG723" s="119"/>
      <c r="AH723" s="119"/>
      <c r="AI723" s="119"/>
      <c r="AJ723" s="119"/>
      <c r="AK723" s="74" t="s">
        <v>11376</v>
      </c>
      <c r="AL723" s="74">
        <v>4.0</v>
      </c>
      <c r="AM723" s="74">
        <v>1.0</v>
      </c>
      <c r="AN723" s="74" t="s">
        <v>10629</v>
      </c>
      <c r="AO723" s="120">
        <v>7766.0</v>
      </c>
      <c r="AP723" s="74" t="s">
        <v>16366</v>
      </c>
      <c r="AQ723" s="74" t="s">
        <v>16368</v>
      </c>
      <c r="AR723" s="120">
        <v>723.0</v>
      </c>
    </row>
    <row r="724">
      <c r="A724" s="74" t="s">
        <v>16369</v>
      </c>
      <c r="B724" s="74" t="s">
        <v>6876</v>
      </c>
      <c r="C724" s="74" t="s">
        <v>6877</v>
      </c>
      <c r="D724" s="74" t="s">
        <v>8493</v>
      </c>
      <c r="E724" s="146">
        <v>43873.0</v>
      </c>
      <c r="F724" s="74" t="s">
        <v>16370</v>
      </c>
      <c r="G724" s="74">
        <v>66.0</v>
      </c>
      <c r="H724" s="74">
        <v>1.0</v>
      </c>
      <c r="I724" s="74">
        <v>99.0</v>
      </c>
      <c r="J724" s="119"/>
      <c r="K724" s="119"/>
      <c r="L724" s="74" t="s">
        <v>2947</v>
      </c>
      <c r="M724" s="74" t="s">
        <v>2947</v>
      </c>
      <c r="N724" s="74" t="s">
        <v>16372</v>
      </c>
      <c r="O724" s="74" t="s">
        <v>16373</v>
      </c>
      <c r="P724" s="74" t="s">
        <v>16374</v>
      </c>
      <c r="Q724" s="74" t="s">
        <v>16375</v>
      </c>
      <c r="R724" s="119"/>
      <c r="S724" s="119"/>
      <c r="T724" s="119"/>
      <c r="U724" s="119"/>
      <c r="V724" s="119"/>
      <c r="W724" s="74">
        <v>7.0</v>
      </c>
      <c r="X724" s="74">
        <v>100.0</v>
      </c>
      <c r="Y724" s="74">
        <v>3.0</v>
      </c>
      <c r="Z724" s="74">
        <v>0.0</v>
      </c>
      <c r="AA724" s="119"/>
      <c r="AB724" s="119"/>
      <c r="AC724" s="119"/>
      <c r="AD724" s="119"/>
      <c r="AE724" s="119"/>
      <c r="AF724" s="119"/>
      <c r="AG724" s="119"/>
      <c r="AH724" s="119"/>
      <c r="AI724" s="119"/>
      <c r="AJ724" s="119"/>
      <c r="AK724" s="74" t="s">
        <v>16385</v>
      </c>
      <c r="AL724" s="74">
        <v>6.0</v>
      </c>
      <c r="AM724" s="74">
        <v>1.0</v>
      </c>
      <c r="AN724" s="74" t="s">
        <v>10629</v>
      </c>
      <c r="AO724" s="120">
        <v>7844.0</v>
      </c>
      <c r="AP724" s="74" t="s">
        <v>16386</v>
      </c>
      <c r="AQ724" s="74" t="s">
        <v>16387</v>
      </c>
      <c r="AR724" s="120">
        <v>724.0</v>
      </c>
    </row>
    <row r="725">
      <c r="A725" s="74" t="s">
        <v>16370</v>
      </c>
      <c r="B725" s="74" t="s">
        <v>6876</v>
      </c>
      <c r="C725" s="74" t="s">
        <v>6877</v>
      </c>
      <c r="D725" s="74" t="s">
        <v>8493</v>
      </c>
      <c r="E725" s="146">
        <v>43873.0</v>
      </c>
      <c r="F725" s="74" t="s">
        <v>16388</v>
      </c>
      <c r="G725" s="74">
        <v>59.0</v>
      </c>
      <c r="H725" s="74">
        <v>1.0</v>
      </c>
      <c r="I725" s="74">
        <v>99.0</v>
      </c>
      <c r="J725" s="119"/>
      <c r="K725" s="119"/>
      <c r="L725" s="74" t="s">
        <v>2972</v>
      </c>
      <c r="M725" s="74" t="s">
        <v>2972</v>
      </c>
      <c r="N725" s="74" t="s">
        <v>16372</v>
      </c>
      <c r="O725" s="74" t="s">
        <v>16373</v>
      </c>
      <c r="P725" s="74" t="s">
        <v>16374</v>
      </c>
      <c r="Q725" s="74" t="s">
        <v>16375</v>
      </c>
      <c r="R725" s="119"/>
      <c r="S725" s="119"/>
      <c r="T725" s="119"/>
      <c r="U725" s="119"/>
      <c r="V725" s="119"/>
      <c r="W725" s="74">
        <v>7.0</v>
      </c>
      <c r="X725" s="74">
        <v>100.0</v>
      </c>
      <c r="Y725" s="74">
        <v>3.0</v>
      </c>
      <c r="Z725" s="74">
        <v>0.0</v>
      </c>
      <c r="AA725" s="119"/>
      <c r="AB725" s="119"/>
      <c r="AC725" s="119"/>
      <c r="AD725" s="119"/>
      <c r="AE725" s="119"/>
      <c r="AF725" s="119"/>
      <c r="AG725" s="119"/>
      <c r="AH725" s="119"/>
      <c r="AI725" s="119"/>
      <c r="AJ725" s="119"/>
      <c r="AK725" s="74" t="s">
        <v>16392</v>
      </c>
      <c r="AL725" s="74">
        <v>6.0</v>
      </c>
      <c r="AM725" s="74">
        <v>1.0</v>
      </c>
      <c r="AN725" s="74" t="s">
        <v>10629</v>
      </c>
      <c r="AO725" s="120">
        <v>7845.0</v>
      </c>
      <c r="AP725" s="74" t="s">
        <v>16393</v>
      </c>
      <c r="AQ725" s="74" t="s">
        <v>16394</v>
      </c>
      <c r="AR725" s="120">
        <v>725.0</v>
      </c>
    </row>
    <row r="726">
      <c r="A726" s="74" t="s">
        <v>16388</v>
      </c>
      <c r="B726" s="74" t="s">
        <v>6876</v>
      </c>
      <c r="C726" s="74" t="s">
        <v>6877</v>
      </c>
      <c r="D726" s="74" t="s">
        <v>8493</v>
      </c>
      <c r="E726" s="146">
        <v>43873.0</v>
      </c>
      <c r="F726" s="74" t="s">
        <v>16399</v>
      </c>
      <c r="G726" s="74">
        <v>65.0</v>
      </c>
      <c r="H726" s="74">
        <v>1.0</v>
      </c>
      <c r="I726" s="74">
        <v>99.0</v>
      </c>
      <c r="J726" s="119"/>
      <c r="K726" s="119"/>
      <c r="L726" s="74" t="s">
        <v>3182</v>
      </c>
      <c r="M726" s="74" t="s">
        <v>3182</v>
      </c>
      <c r="N726" s="74" t="s">
        <v>16372</v>
      </c>
      <c r="O726" s="74" t="s">
        <v>16373</v>
      </c>
      <c r="P726" s="74" t="s">
        <v>16374</v>
      </c>
      <c r="Q726" s="74" t="s">
        <v>16375</v>
      </c>
      <c r="R726" s="119"/>
      <c r="S726" s="119"/>
      <c r="T726" s="119"/>
      <c r="U726" s="119"/>
      <c r="V726" s="119"/>
      <c r="W726" s="74">
        <v>7.0</v>
      </c>
      <c r="X726" s="74">
        <v>100.0</v>
      </c>
      <c r="Y726" s="74">
        <v>3.0</v>
      </c>
      <c r="Z726" s="74">
        <v>0.0</v>
      </c>
      <c r="AA726" s="119"/>
      <c r="AB726" s="119"/>
      <c r="AC726" s="119"/>
      <c r="AD726" s="119"/>
      <c r="AE726" s="119"/>
      <c r="AF726" s="119"/>
      <c r="AG726" s="119"/>
      <c r="AH726" s="119"/>
      <c r="AI726" s="119"/>
      <c r="AJ726" s="119"/>
      <c r="AK726" s="74" t="s">
        <v>16405</v>
      </c>
      <c r="AL726" s="74">
        <v>6.0</v>
      </c>
      <c r="AM726" s="74">
        <v>1.0</v>
      </c>
      <c r="AN726" s="74" t="s">
        <v>10629</v>
      </c>
      <c r="AO726" s="120">
        <v>7846.0</v>
      </c>
      <c r="AP726" s="74" t="s">
        <v>16407</v>
      </c>
      <c r="AQ726" s="74" t="s">
        <v>16408</v>
      </c>
      <c r="AR726" s="120">
        <v>726.0</v>
      </c>
    </row>
    <row r="727">
      <c r="A727" s="74" t="s">
        <v>16399</v>
      </c>
      <c r="B727" s="74" t="s">
        <v>6876</v>
      </c>
      <c r="C727" s="74" t="s">
        <v>6877</v>
      </c>
      <c r="D727" s="74" t="s">
        <v>8493</v>
      </c>
      <c r="E727" s="146">
        <v>43873.0</v>
      </c>
      <c r="F727" s="74" t="s">
        <v>16409</v>
      </c>
      <c r="G727" s="74">
        <v>59.0</v>
      </c>
      <c r="H727" s="74">
        <v>1.0</v>
      </c>
      <c r="I727" s="74">
        <v>11.0</v>
      </c>
      <c r="J727" s="119"/>
      <c r="K727" s="119"/>
      <c r="L727" s="74" t="s">
        <v>3037</v>
      </c>
      <c r="M727" s="74" t="s">
        <v>3037</v>
      </c>
      <c r="N727" s="74" t="s">
        <v>16411</v>
      </c>
      <c r="O727" s="74" t="s">
        <v>16373</v>
      </c>
      <c r="P727" s="74" t="s">
        <v>16374</v>
      </c>
      <c r="Q727" s="74" t="s">
        <v>16375</v>
      </c>
      <c r="R727" s="119"/>
      <c r="S727" s="119"/>
      <c r="T727" s="119"/>
      <c r="U727" s="119"/>
      <c r="V727" s="119"/>
      <c r="W727" s="74">
        <v>3.0</v>
      </c>
      <c r="X727" s="74">
        <v>1.0</v>
      </c>
      <c r="Y727" s="74">
        <v>3.0</v>
      </c>
      <c r="Z727" s="74">
        <v>0.0</v>
      </c>
      <c r="AA727" s="74">
        <v>2.0</v>
      </c>
      <c r="AB727" s="74">
        <v>1.0</v>
      </c>
      <c r="AC727" s="74">
        <v>3.0</v>
      </c>
      <c r="AD727" s="74">
        <v>0.0</v>
      </c>
      <c r="AE727" s="74">
        <v>1.0</v>
      </c>
      <c r="AF727" s="74">
        <v>1.0</v>
      </c>
      <c r="AG727" s="74">
        <v>1.0</v>
      </c>
      <c r="AH727" s="74">
        <v>3.0</v>
      </c>
      <c r="AI727" s="74">
        <v>0.0</v>
      </c>
      <c r="AJ727" s="119"/>
      <c r="AK727" s="74" t="s">
        <v>16414</v>
      </c>
      <c r="AL727" s="74">
        <v>6.0</v>
      </c>
      <c r="AM727" s="74">
        <v>1.0</v>
      </c>
      <c r="AN727" s="74" t="s">
        <v>10629</v>
      </c>
      <c r="AO727" s="120">
        <v>7847.0</v>
      </c>
      <c r="AP727" s="74" t="s">
        <v>16415</v>
      </c>
      <c r="AQ727" s="74" t="s">
        <v>16416</v>
      </c>
      <c r="AR727" s="120">
        <v>727.0</v>
      </c>
    </row>
    <row r="728">
      <c r="A728" s="74" t="s">
        <v>16409</v>
      </c>
      <c r="B728" s="74" t="s">
        <v>6876</v>
      </c>
      <c r="C728" s="74" t="s">
        <v>6877</v>
      </c>
      <c r="D728" s="74" t="s">
        <v>8493</v>
      </c>
      <c r="E728" s="146">
        <v>43873.0</v>
      </c>
      <c r="F728" s="74" t="s">
        <v>16420</v>
      </c>
      <c r="G728" s="74">
        <v>59.0</v>
      </c>
      <c r="H728" s="74">
        <v>1.0</v>
      </c>
      <c r="I728" s="74">
        <v>99.0</v>
      </c>
      <c r="J728" s="119"/>
      <c r="K728" s="119"/>
      <c r="L728" s="74" t="s">
        <v>3050</v>
      </c>
      <c r="M728" s="74" t="s">
        <v>3050</v>
      </c>
      <c r="N728" s="74" t="s">
        <v>16411</v>
      </c>
      <c r="O728" s="74" t="s">
        <v>16373</v>
      </c>
      <c r="P728" s="74" t="s">
        <v>16374</v>
      </c>
      <c r="Q728" s="74" t="s">
        <v>16375</v>
      </c>
      <c r="R728" s="119"/>
      <c r="S728" s="119"/>
      <c r="T728" s="119"/>
      <c r="U728" s="119"/>
      <c r="V728" s="119"/>
      <c r="W728" s="74">
        <v>7.0</v>
      </c>
      <c r="X728" s="74">
        <v>100.0</v>
      </c>
      <c r="Y728" s="74">
        <v>3.0</v>
      </c>
      <c r="Z728" s="74">
        <v>0.0</v>
      </c>
      <c r="AA728" s="119"/>
      <c r="AB728" s="119"/>
      <c r="AC728" s="119"/>
      <c r="AD728" s="119"/>
      <c r="AE728" s="119"/>
      <c r="AF728" s="119"/>
      <c r="AG728" s="119"/>
      <c r="AH728" s="119"/>
      <c r="AI728" s="119"/>
      <c r="AJ728" s="119"/>
      <c r="AK728" s="74" t="s">
        <v>16428</v>
      </c>
      <c r="AL728" s="74">
        <v>6.0</v>
      </c>
      <c r="AM728" s="74">
        <v>1.0</v>
      </c>
      <c r="AN728" s="74" t="s">
        <v>10629</v>
      </c>
      <c r="AO728" s="120">
        <v>7848.0</v>
      </c>
      <c r="AP728" s="74" t="s">
        <v>16429</v>
      </c>
      <c r="AQ728" s="74" t="s">
        <v>16430</v>
      </c>
      <c r="AR728" s="120">
        <v>728.0</v>
      </c>
    </row>
    <row r="729">
      <c r="A729" s="74" t="s">
        <v>16432</v>
      </c>
      <c r="B729" s="74" t="s">
        <v>6876</v>
      </c>
      <c r="C729" s="74" t="s">
        <v>6877</v>
      </c>
      <c r="D729" s="74" t="s">
        <v>8493</v>
      </c>
      <c r="E729" s="146">
        <v>43873.0</v>
      </c>
      <c r="F729" s="74" t="s">
        <v>16433</v>
      </c>
      <c r="G729" s="74">
        <v>58.0</v>
      </c>
      <c r="H729" s="74">
        <v>2.0</v>
      </c>
      <c r="I729" s="74">
        <v>15.0</v>
      </c>
      <c r="J729" s="119"/>
      <c r="K729" s="74">
        <v>151.0</v>
      </c>
      <c r="L729" s="74" t="s">
        <v>731</v>
      </c>
      <c r="M729" s="74" t="s">
        <v>731</v>
      </c>
      <c r="N729" s="74" t="s">
        <v>16411</v>
      </c>
      <c r="O729" s="74" t="s">
        <v>16373</v>
      </c>
      <c r="P729" s="74" t="s">
        <v>16374</v>
      </c>
      <c r="Q729" s="74" t="s">
        <v>16375</v>
      </c>
      <c r="R729" s="119"/>
      <c r="S729" s="119"/>
      <c r="T729" s="119"/>
      <c r="U729" s="119"/>
      <c r="V729" s="119"/>
      <c r="W729" s="74">
        <v>6.0</v>
      </c>
      <c r="X729" s="74">
        <v>1.0</v>
      </c>
      <c r="Y729" s="74">
        <v>3.0</v>
      </c>
      <c r="Z729" s="74">
        <v>10.0</v>
      </c>
      <c r="AA729" s="74">
        <v>5.0</v>
      </c>
      <c r="AB729" s="74">
        <v>1.0</v>
      </c>
      <c r="AC729" s="74">
        <v>3.0</v>
      </c>
      <c r="AD729" s="74">
        <v>2.0</v>
      </c>
      <c r="AE729" s="74">
        <v>1.0</v>
      </c>
      <c r="AF729" s="74">
        <v>4.0</v>
      </c>
      <c r="AG729" s="74">
        <v>1.0</v>
      </c>
      <c r="AH729" s="74">
        <v>3.0</v>
      </c>
      <c r="AI729" s="74">
        <v>0.0</v>
      </c>
      <c r="AJ729" s="119"/>
      <c r="AK729" s="74" t="s">
        <v>16437</v>
      </c>
      <c r="AL729" s="74">
        <v>6.0</v>
      </c>
      <c r="AM729" s="74">
        <v>1.0</v>
      </c>
      <c r="AN729" s="74" t="s">
        <v>10629</v>
      </c>
      <c r="AO729" s="120">
        <v>7849.0</v>
      </c>
      <c r="AP729" s="74" t="s">
        <v>16440</v>
      </c>
      <c r="AQ729" s="74" t="s">
        <v>16441</v>
      </c>
      <c r="AR729" s="120">
        <v>729.0</v>
      </c>
    </row>
    <row r="730">
      <c r="A730" s="74" t="s">
        <v>16433</v>
      </c>
      <c r="B730" s="74" t="s">
        <v>6876</v>
      </c>
      <c r="C730" s="74" t="s">
        <v>6877</v>
      </c>
      <c r="D730" s="74" t="s">
        <v>8493</v>
      </c>
      <c r="E730" s="146">
        <v>43873.0</v>
      </c>
      <c r="F730" s="74" t="s">
        <v>16444</v>
      </c>
      <c r="G730" s="74">
        <v>58.0</v>
      </c>
      <c r="H730" s="74">
        <v>2.0</v>
      </c>
      <c r="I730" s="74">
        <v>15.0</v>
      </c>
      <c r="J730" s="119"/>
      <c r="K730" s="74">
        <v>152.0</v>
      </c>
      <c r="L730" s="74" t="s">
        <v>733</v>
      </c>
      <c r="M730" s="74" t="s">
        <v>733</v>
      </c>
      <c r="N730" s="74" t="s">
        <v>16411</v>
      </c>
      <c r="O730" s="74" t="s">
        <v>16373</v>
      </c>
      <c r="P730" s="74" t="s">
        <v>16374</v>
      </c>
      <c r="Q730" s="74" t="s">
        <v>16375</v>
      </c>
      <c r="R730" s="119"/>
      <c r="S730" s="119"/>
      <c r="T730" s="119"/>
      <c r="U730" s="119"/>
      <c r="V730" s="119"/>
      <c r="W730" s="74">
        <v>6.0</v>
      </c>
      <c r="X730" s="74">
        <v>1.0</v>
      </c>
      <c r="Y730" s="74">
        <v>3.0</v>
      </c>
      <c r="Z730" s="74">
        <v>2.0</v>
      </c>
      <c r="AA730" s="74">
        <v>5.0</v>
      </c>
      <c r="AB730" s="74">
        <v>1.0</v>
      </c>
      <c r="AC730" s="74">
        <v>3.0</v>
      </c>
      <c r="AD730" s="74">
        <v>0.0</v>
      </c>
      <c r="AE730" s="74">
        <v>1.0</v>
      </c>
      <c r="AF730" s="74">
        <v>4.0</v>
      </c>
      <c r="AG730" s="74">
        <v>1.0</v>
      </c>
      <c r="AH730" s="74">
        <v>3.0</v>
      </c>
      <c r="AI730" s="74">
        <v>0.0</v>
      </c>
      <c r="AJ730" s="119"/>
      <c r="AK730" s="74" t="s">
        <v>16451</v>
      </c>
      <c r="AL730" s="74">
        <v>6.0</v>
      </c>
      <c r="AM730" s="74">
        <v>1.0</v>
      </c>
      <c r="AN730" s="74" t="s">
        <v>10629</v>
      </c>
      <c r="AO730" s="120">
        <v>7850.0</v>
      </c>
      <c r="AP730" s="74" t="s">
        <v>16452</v>
      </c>
      <c r="AQ730" s="74" t="s">
        <v>16453</v>
      </c>
      <c r="AR730" s="120">
        <v>730.0</v>
      </c>
    </row>
    <row r="731">
      <c r="A731" s="74" t="s">
        <v>16444</v>
      </c>
      <c r="B731" s="74" t="s">
        <v>6876</v>
      </c>
      <c r="C731" s="74" t="s">
        <v>6877</v>
      </c>
      <c r="D731" s="74" t="s">
        <v>8493</v>
      </c>
      <c r="E731" s="146">
        <v>43873.0</v>
      </c>
      <c r="F731" s="74" t="s">
        <v>16455</v>
      </c>
      <c r="G731" s="74">
        <v>58.0</v>
      </c>
      <c r="H731" s="74">
        <v>2.0</v>
      </c>
      <c r="I731" s="74">
        <v>15.0</v>
      </c>
      <c r="J731" s="119"/>
      <c r="K731" s="74">
        <v>152.0</v>
      </c>
      <c r="L731" s="74" t="s">
        <v>734</v>
      </c>
      <c r="M731" s="74" t="s">
        <v>734</v>
      </c>
      <c r="N731" s="74" t="s">
        <v>16411</v>
      </c>
      <c r="O731" s="74" t="s">
        <v>16373</v>
      </c>
      <c r="P731" s="74" t="s">
        <v>16374</v>
      </c>
      <c r="Q731" s="74" t="s">
        <v>16375</v>
      </c>
      <c r="R731" s="119"/>
      <c r="S731" s="119"/>
      <c r="T731" s="119"/>
      <c r="U731" s="119"/>
      <c r="V731" s="119"/>
      <c r="W731" s="74">
        <v>6.0</v>
      </c>
      <c r="X731" s="74">
        <v>1.0</v>
      </c>
      <c r="Y731" s="74">
        <v>3.0</v>
      </c>
      <c r="Z731" s="74">
        <v>1.0</v>
      </c>
      <c r="AA731" s="74">
        <v>5.0</v>
      </c>
      <c r="AB731" s="74">
        <v>1.0</v>
      </c>
      <c r="AC731" s="74">
        <v>3.0</v>
      </c>
      <c r="AD731" s="74">
        <v>0.0</v>
      </c>
      <c r="AE731" s="74">
        <v>1.0</v>
      </c>
      <c r="AF731" s="74">
        <v>4.0</v>
      </c>
      <c r="AG731" s="74">
        <v>1.0</v>
      </c>
      <c r="AH731" s="74">
        <v>3.0</v>
      </c>
      <c r="AI731" s="74">
        <v>0.0</v>
      </c>
      <c r="AJ731" s="119"/>
      <c r="AK731" s="74" t="s">
        <v>16465</v>
      </c>
      <c r="AL731" s="74">
        <v>6.0</v>
      </c>
      <c r="AM731" s="74">
        <v>1.0</v>
      </c>
      <c r="AN731" s="74" t="s">
        <v>10629</v>
      </c>
      <c r="AO731" s="120">
        <v>7851.0</v>
      </c>
      <c r="AP731" s="74" t="s">
        <v>16468</v>
      </c>
      <c r="AQ731" s="74" t="s">
        <v>16469</v>
      </c>
      <c r="AR731" s="120">
        <v>731.0</v>
      </c>
    </row>
    <row r="732">
      <c r="A732" s="74" t="s">
        <v>16470</v>
      </c>
      <c r="B732" s="74" t="s">
        <v>6876</v>
      </c>
      <c r="C732" s="74" t="s">
        <v>6877</v>
      </c>
      <c r="D732" s="74" t="s">
        <v>8493</v>
      </c>
      <c r="E732" s="146">
        <v>43873.0</v>
      </c>
      <c r="F732" s="74" t="s">
        <v>16471</v>
      </c>
      <c r="G732" s="74">
        <v>58.0</v>
      </c>
      <c r="H732" s="74">
        <v>2.0</v>
      </c>
      <c r="I732" s="74">
        <v>15.0</v>
      </c>
      <c r="J732" s="119"/>
      <c r="K732" s="74">
        <v>152.0</v>
      </c>
      <c r="L732" s="74" t="s">
        <v>735</v>
      </c>
      <c r="M732" s="74" t="s">
        <v>735</v>
      </c>
      <c r="N732" s="74" t="s">
        <v>16411</v>
      </c>
      <c r="O732" s="74" t="s">
        <v>16373</v>
      </c>
      <c r="P732" s="74" t="s">
        <v>16374</v>
      </c>
      <c r="Q732" s="74" t="s">
        <v>16375</v>
      </c>
      <c r="R732" s="119"/>
      <c r="S732" s="119"/>
      <c r="T732" s="119"/>
      <c r="U732" s="119"/>
      <c r="V732" s="119"/>
      <c r="W732" s="74">
        <v>6.0</v>
      </c>
      <c r="X732" s="74">
        <v>1.0</v>
      </c>
      <c r="Y732" s="74">
        <v>3.0</v>
      </c>
      <c r="Z732" s="74">
        <v>0.0</v>
      </c>
      <c r="AA732" s="74">
        <v>5.0</v>
      </c>
      <c r="AB732" s="74">
        <v>1.0</v>
      </c>
      <c r="AC732" s="74">
        <v>3.0</v>
      </c>
      <c r="AD732" s="74">
        <v>0.0</v>
      </c>
      <c r="AE732" s="74">
        <v>1.0</v>
      </c>
      <c r="AF732" s="74">
        <v>4.0</v>
      </c>
      <c r="AG732" s="74">
        <v>1.0</v>
      </c>
      <c r="AH732" s="74">
        <v>3.0</v>
      </c>
      <c r="AI732" s="74">
        <v>0.0</v>
      </c>
      <c r="AJ732" s="119"/>
      <c r="AK732" s="74" t="s">
        <v>16475</v>
      </c>
      <c r="AL732" s="74">
        <v>6.0</v>
      </c>
      <c r="AM732" s="74">
        <v>1.0</v>
      </c>
      <c r="AN732" s="74" t="s">
        <v>10629</v>
      </c>
      <c r="AO732" s="120">
        <v>7852.0</v>
      </c>
      <c r="AP732" s="74" t="s">
        <v>16476</v>
      </c>
      <c r="AQ732" s="74" t="s">
        <v>16477</v>
      </c>
      <c r="AR732" s="120">
        <v>732.0</v>
      </c>
    </row>
    <row r="733">
      <c r="A733" s="74" t="s">
        <v>16471</v>
      </c>
      <c r="B733" s="74" t="s">
        <v>6876</v>
      </c>
      <c r="C733" s="74" t="s">
        <v>6877</v>
      </c>
      <c r="D733" s="74" t="s">
        <v>8493</v>
      </c>
      <c r="E733" s="146">
        <v>43873.0</v>
      </c>
      <c r="F733" s="74" t="s">
        <v>16479</v>
      </c>
      <c r="G733" s="74">
        <v>58.0</v>
      </c>
      <c r="H733" s="74">
        <v>2.0</v>
      </c>
      <c r="I733" s="74">
        <v>99.0</v>
      </c>
      <c r="J733" s="119"/>
      <c r="K733" s="119"/>
      <c r="L733" s="74" t="s">
        <v>738</v>
      </c>
      <c r="M733" s="74" t="s">
        <v>738</v>
      </c>
      <c r="N733" s="74" t="s">
        <v>16411</v>
      </c>
      <c r="O733" s="74" t="s">
        <v>16373</v>
      </c>
      <c r="P733" s="74" t="s">
        <v>16374</v>
      </c>
      <c r="Q733" s="74" t="s">
        <v>16375</v>
      </c>
      <c r="R733" s="119"/>
      <c r="S733" s="119"/>
      <c r="T733" s="119"/>
      <c r="U733" s="119"/>
      <c r="V733" s="119"/>
      <c r="W733" s="74">
        <v>7.0</v>
      </c>
      <c r="X733" s="74">
        <v>100.0</v>
      </c>
      <c r="Y733" s="74">
        <v>3.0</v>
      </c>
      <c r="Z733" s="74">
        <v>0.0</v>
      </c>
      <c r="AA733" s="119"/>
      <c r="AB733" s="119"/>
      <c r="AC733" s="119"/>
      <c r="AD733" s="119"/>
      <c r="AE733" s="119"/>
      <c r="AF733" s="119"/>
      <c r="AG733" s="119"/>
      <c r="AH733" s="119"/>
      <c r="AI733" s="119"/>
      <c r="AJ733" s="119"/>
      <c r="AK733" s="74" t="s">
        <v>16488</v>
      </c>
      <c r="AL733" s="74">
        <v>6.0</v>
      </c>
      <c r="AM733" s="74">
        <v>1.0</v>
      </c>
      <c r="AN733" s="74" t="s">
        <v>10629</v>
      </c>
      <c r="AO733" s="120">
        <v>7853.0</v>
      </c>
      <c r="AP733" s="74" t="s">
        <v>16490</v>
      </c>
      <c r="AQ733" s="74" t="s">
        <v>16491</v>
      </c>
      <c r="AR733" s="120">
        <v>733.0</v>
      </c>
    </row>
    <row r="734">
      <c r="A734" s="74" t="s">
        <v>16479</v>
      </c>
      <c r="B734" s="74" t="s">
        <v>6876</v>
      </c>
      <c r="C734" s="74" t="s">
        <v>6877</v>
      </c>
      <c r="D734" s="74" t="s">
        <v>8493</v>
      </c>
      <c r="E734" s="146">
        <v>43873.0</v>
      </c>
      <c r="F734" s="74" t="s">
        <v>16493</v>
      </c>
      <c r="G734" s="74">
        <v>59.0</v>
      </c>
      <c r="H734" s="74">
        <v>2.0</v>
      </c>
      <c r="I734" s="74">
        <v>15.0</v>
      </c>
      <c r="J734" s="119"/>
      <c r="K734" s="74">
        <v>151.0</v>
      </c>
      <c r="L734" s="74" t="s">
        <v>740</v>
      </c>
      <c r="M734" s="74" t="s">
        <v>740</v>
      </c>
      <c r="N734" s="74" t="s">
        <v>16411</v>
      </c>
      <c r="O734" s="74" t="s">
        <v>16373</v>
      </c>
      <c r="P734" s="74" t="s">
        <v>16374</v>
      </c>
      <c r="Q734" s="74" t="s">
        <v>16375</v>
      </c>
      <c r="R734" s="119"/>
      <c r="S734" s="119"/>
      <c r="T734" s="119"/>
      <c r="U734" s="119"/>
      <c r="V734" s="119"/>
      <c r="W734" s="74">
        <v>6.0</v>
      </c>
      <c r="X734" s="74">
        <v>1.0</v>
      </c>
      <c r="Y734" s="74">
        <v>3.0</v>
      </c>
      <c r="Z734" s="74">
        <v>0.0</v>
      </c>
      <c r="AA734" s="74">
        <v>5.0</v>
      </c>
      <c r="AB734" s="74">
        <v>1.0</v>
      </c>
      <c r="AC734" s="74">
        <v>3.0</v>
      </c>
      <c r="AD734" s="74">
        <v>0.0</v>
      </c>
      <c r="AE734" s="74">
        <v>1.0</v>
      </c>
      <c r="AF734" s="74">
        <v>4.0</v>
      </c>
      <c r="AG734" s="74">
        <v>1.0</v>
      </c>
      <c r="AH734" s="74">
        <v>3.0</v>
      </c>
      <c r="AI734" s="74">
        <v>0.0</v>
      </c>
      <c r="AJ734" s="119"/>
      <c r="AK734" s="74" t="s">
        <v>16496</v>
      </c>
      <c r="AL734" s="74">
        <v>6.0</v>
      </c>
      <c r="AM734" s="74">
        <v>1.0</v>
      </c>
      <c r="AN734" s="74" t="s">
        <v>10629</v>
      </c>
      <c r="AO734" s="120">
        <v>7854.0</v>
      </c>
      <c r="AP734" s="74" t="s">
        <v>16498</v>
      </c>
      <c r="AQ734" s="74" t="s">
        <v>16499</v>
      </c>
      <c r="AR734" s="120">
        <v>734.0</v>
      </c>
    </row>
    <row r="735">
      <c r="A735" s="74" t="s">
        <v>16493</v>
      </c>
      <c r="B735" s="74" t="s">
        <v>6876</v>
      </c>
      <c r="C735" s="74" t="s">
        <v>6877</v>
      </c>
      <c r="D735" s="74" t="s">
        <v>8493</v>
      </c>
      <c r="E735" s="146">
        <v>43873.0</v>
      </c>
      <c r="F735" s="74" t="s">
        <v>16500</v>
      </c>
      <c r="G735" s="74">
        <v>59.0</v>
      </c>
      <c r="H735" s="74">
        <v>2.0</v>
      </c>
      <c r="I735" s="74">
        <v>15.0</v>
      </c>
      <c r="J735" s="119"/>
      <c r="K735" s="74">
        <v>152.0</v>
      </c>
      <c r="L735" s="74" t="s">
        <v>743</v>
      </c>
      <c r="M735" s="74" t="s">
        <v>743</v>
      </c>
      <c r="N735" s="74" t="s">
        <v>16411</v>
      </c>
      <c r="O735" s="74" t="s">
        <v>16373</v>
      </c>
      <c r="P735" s="74" t="s">
        <v>16374</v>
      </c>
      <c r="Q735" s="74" t="s">
        <v>16375</v>
      </c>
      <c r="R735" s="119"/>
      <c r="S735" s="119"/>
      <c r="T735" s="119"/>
      <c r="U735" s="119"/>
      <c r="V735" s="119"/>
      <c r="W735" s="74">
        <v>6.0</v>
      </c>
      <c r="X735" s="74">
        <v>1.0</v>
      </c>
      <c r="Y735" s="74">
        <v>3.0</v>
      </c>
      <c r="Z735" s="74">
        <v>1.0</v>
      </c>
      <c r="AA735" s="74">
        <v>5.0</v>
      </c>
      <c r="AB735" s="74">
        <v>1.0</v>
      </c>
      <c r="AC735" s="74">
        <v>3.0</v>
      </c>
      <c r="AD735" s="74">
        <v>0.0</v>
      </c>
      <c r="AE735" s="74">
        <v>1.0</v>
      </c>
      <c r="AF735" s="74">
        <v>4.0</v>
      </c>
      <c r="AG735" s="74">
        <v>1.0</v>
      </c>
      <c r="AH735" s="74">
        <v>3.0</v>
      </c>
      <c r="AI735" s="74">
        <v>0.0</v>
      </c>
      <c r="AJ735" s="119"/>
      <c r="AK735" s="74" t="s">
        <v>16507</v>
      </c>
      <c r="AL735" s="74">
        <v>6.0</v>
      </c>
      <c r="AM735" s="74">
        <v>1.0</v>
      </c>
      <c r="AN735" s="74" t="s">
        <v>10629</v>
      </c>
      <c r="AO735" s="120">
        <v>7855.0</v>
      </c>
      <c r="AP735" s="74" t="s">
        <v>16510</v>
      </c>
      <c r="AQ735" s="74" t="s">
        <v>16511</v>
      </c>
      <c r="AR735" s="120">
        <v>735.0</v>
      </c>
    </row>
    <row r="736">
      <c r="A736" s="74" t="s">
        <v>16500</v>
      </c>
      <c r="B736" s="74" t="s">
        <v>6876</v>
      </c>
      <c r="C736" s="74" t="s">
        <v>6877</v>
      </c>
      <c r="D736" s="74" t="s">
        <v>8493</v>
      </c>
      <c r="E736" s="146">
        <v>43873.0</v>
      </c>
      <c r="F736" s="74" t="s">
        <v>16514</v>
      </c>
      <c r="G736" s="74">
        <v>59.0</v>
      </c>
      <c r="H736" s="74">
        <v>2.0</v>
      </c>
      <c r="I736" s="74">
        <v>15.0</v>
      </c>
      <c r="J736" s="119"/>
      <c r="K736" s="74">
        <v>152.0</v>
      </c>
      <c r="L736" s="74" t="s">
        <v>745</v>
      </c>
      <c r="M736" s="74" t="s">
        <v>745</v>
      </c>
      <c r="N736" s="74" t="s">
        <v>16411</v>
      </c>
      <c r="O736" s="74" t="s">
        <v>16373</v>
      </c>
      <c r="P736" s="74" t="s">
        <v>16374</v>
      </c>
      <c r="Q736" s="74" t="s">
        <v>16375</v>
      </c>
      <c r="R736" s="119"/>
      <c r="S736" s="119"/>
      <c r="T736" s="119"/>
      <c r="U736" s="119"/>
      <c r="V736" s="119"/>
      <c r="W736" s="74">
        <v>6.0</v>
      </c>
      <c r="X736" s="74">
        <v>1.0</v>
      </c>
      <c r="Y736" s="74">
        <v>3.0</v>
      </c>
      <c r="Z736" s="74">
        <v>0.0</v>
      </c>
      <c r="AA736" s="74">
        <v>5.0</v>
      </c>
      <c r="AB736" s="74">
        <v>1.0</v>
      </c>
      <c r="AC736" s="74">
        <v>3.0</v>
      </c>
      <c r="AD736" s="74">
        <v>0.0</v>
      </c>
      <c r="AE736" s="74">
        <v>1.0</v>
      </c>
      <c r="AF736" s="74">
        <v>4.0</v>
      </c>
      <c r="AG736" s="74">
        <v>1.0</v>
      </c>
      <c r="AH736" s="74">
        <v>3.0</v>
      </c>
      <c r="AI736" s="74">
        <v>0.0</v>
      </c>
      <c r="AJ736" s="119"/>
      <c r="AK736" s="74" t="s">
        <v>16519</v>
      </c>
      <c r="AL736" s="74">
        <v>6.0</v>
      </c>
      <c r="AM736" s="74">
        <v>1.0</v>
      </c>
      <c r="AN736" s="74" t="s">
        <v>10629</v>
      </c>
      <c r="AO736" s="120">
        <v>7856.0</v>
      </c>
      <c r="AP736" s="74" t="s">
        <v>16520</v>
      </c>
      <c r="AQ736" s="74" t="s">
        <v>16521</v>
      </c>
      <c r="AR736" s="120">
        <v>736.0</v>
      </c>
    </row>
    <row r="737">
      <c r="A737" s="74" t="s">
        <v>16514</v>
      </c>
      <c r="B737" s="74" t="s">
        <v>6876</v>
      </c>
      <c r="C737" s="74" t="s">
        <v>6877</v>
      </c>
      <c r="D737" s="74" t="s">
        <v>8493</v>
      </c>
      <c r="E737" s="146">
        <v>43873.0</v>
      </c>
      <c r="F737" s="74" t="s">
        <v>16523</v>
      </c>
      <c r="G737" s="74">
        <v>59.0</v>
      </c>
      <c r="H737" s="74">
        <v>2.0</v>
      </c>
      <c r="I737" s="74">
        <v>15.0</v>
      </c>
      <c r="J737" s="119"/>
      <c r="K737" s="74">
        <v>152.0</v>
      </c>
      <c r="L737" s="74" t="s">
        <v>746</v>
      </c>
      <c r="M737" s="74" t="s">
        <v>746</v>
      </c>
      <c r="N737" s="74" t="s">
        <v>16411</v>
      </c>
      <c r="O737" s="74" t="s">
        <v>16373</v>
      </c>
      <c r="P737" s="74" t="s">
        <v>16374</v>
      </c>
      <c r="Q737" s="74" t="s">
        <v>16375</v>
      </c>
      <c r="R737" s="119"/>
      <c r="S737" s="119"/>
      <c r="T737" s="119"/>
      <c r="U737" s="119"/>
      <c r="V737" s="119"/>
      <c r="W737" s="74">
        <v>6.0</v>
      </c>
      <c r="X737" s="74">
        <v>1.0</v>
      </c>
      <c r="Y737" s="74">
        <v>3.0</v>
      </c>
      <c r="Z737" s="74">
        <v>0.0</v>
      </c>
      <c r="AA737" s="74">
        <v>5.0</v>
      </c>
      <c r="AB737" s="74">
        <v>1.0</v>
      </c>
      <c r="AC737" s="74">
        <v>3.0</v>
      </c>
      <c r="AD737" s="74">
        <v>0.0</v>
      </c>
      <c r="AE737" s="74">
        <v>1.0</v>
      </c>
      <c r="AF737" s="74">
        <v>4.0</v>
      </c>
      <c r="AG737" s="74">
        <v>1.0</v>
      </c>
      <c r="AH737" s="74">
        <v>3.0</v>
      </c>
      <c r="AI737" s="74">
        <v>0.0</v>
      </c>
      <c r="AJ737" s="119"/>
      <c r="AK737" s="74" t="s">
        <v>16529</v>
      </c>
      <c r="AL737" s="74">
        <v>6.0</v>
      </c>
      <c r="AM737" s="74">
        <v>1.0</v>
      </c>
      <c r="AN737" s="74" t="s">
        <v>10629</v>
      </c>
      <c r="AO737" s="120">
        <v>7857.0</v>
      </c>
      <c r="AP737" s="74" t="s">
        <v>16532</v>
      </c>
      <c r="AQ737" s="74" t="s">
        <v>16534</v>
      </c>
      <c r="AR737" s="120">
        <v>737.0</v>
      </c>
    </row>
    <row r="738">
      <c r="A738" s="74" t="s">
        <v>16523</v>
      </c>
      <c r="B738" s="74" t="s">
        <v>6876</v>
      </c>
      <c r="C738" s="74" t="s">
        <v>6877</v>
      </c>
      <c r="D738" s="74" t="s">
        <v>8493</v>
      </c>
      <c r="E738" s="146">
        <v>43873.0</v>
      </c>
      <c r="F738" s="74" t="s">
        <v>16535</v>
      </c>
      <c r="G738" s="74">
        <v>59.0</v>
      </c>
      <c r="H738" s="74">
        <v>2.0</v>
      </c>
      <c r="I738" s="74">
        <v>99.0</v>
      </c>
      <c r="J738" s="119"/>
      <c r="K738" s="119"/>
      <c r="L738" s="74" t="s">
        <v>748</v>
      </c>
      <c r="M738" s="74" t="s">
        <v>748</v>
      </c>
      <c r="N738" s="74" t="s">
        <v>16411</v>
      </c>
      <c r="O738" s="74" t="s">
        <v>16373</v>
      </c>
      <c r="P738" s="74" t="s">
        <v>16374</v>
      </c>
      <c r="Q738" s="74" t="s">
        <v>16375</v>
      </c>
      <c r="R738" s="119"/>
      <c r="S738" s="119"/>
      <c r="T738" s="119"/>
      <c r="U738" s="119"/>
      <c r="V738" s="119"/>
      <c r="W738" s="74">
        <v>7.0</v>
      </c>
      <c r="X738" s="74">
        <v>100.0</v>
      </c>
      <c r="Y738" s="74">
        <v>3.0</v>
      </c>
      <c r="Z738" s="74">
        <v>0.0</v>
      </c>
      <c r="AA738" s="119"/>
      <c r="AB738" s="119"/>
      <c r="AC738" s="119"/>
      <c r="AD738" s="119"/>
      <c r="AE738" s="119"/>
      <c r="AF738" s="119"/>
      <c r="AG738" s="119"/>
      <c r="AH738" s="119"/>
      <c r="AI738" s="119"/>
      <c r="AJ738" s="119"/>
      <c r="AK738" s="74" t="s">
        <v>16539</v>
      </c>
      <c r="AL738" s="74">
        <v>6.0</v>
      </c>
      <c r="AM738" s="74">
        <v>1.0</v>
      </c>
      <c r="AN738" s="74" t="s">
        <v>10629</v>
      </c>
      <c r="AO738" s="120">
        <v>7858.0</v>
      </c>
      <c r="AP738" s="74" t="s">
        <v>16540</v>
      </c>
      <c r="AQ738" s="74" t="s">
        <v>16541</v>
      </c>
      <c r="AR738" s="120">
        <v>738.0</v>
      </c>
    </row>
    <row r="739">
      <c r="A739" s="74" t="s">
        <v>16542</v>
      </c>
      <c r="B739" s="74" t="s">
        <v>6876</v>
      </c>
      <c r="C739" s="74" t="s">
        <v>6877</v>
      </c>
      <c r="D739" s="74" t="s">
        <v>8493</v>
      </c>
      <c r="E739" s="146">
        <v>43873.0</v>
      </c>
      <c r="F739" s="74" t="s">
        <v>16543</v>
      </c>
      <c r="G739" s="74">
        <v>33.0</v>
      </c>
      <c r="H739" s="74">
        <v>1.0</v>
      </c>
      <c r="I739" s="74">
        <v>98.0</v>
      </c>
      <c r="J739" s="119"/>
      <c r="K739" s="119"/>
      <c r="L739" s="74" t="s">
        <v>3205</v>
      </c>
      <c r="M739" s="74" t="s">
        <v>3205</v>
      </c>
      <c r="N739" s="74" t="s">
        <v>16411</v>
      </c>
      <c r="O739" s="74" t="s">
        <v>16373</v>
      </c>
      <c r="P739" s="74" t="s">
        <v>16374</v>
      </c>
      <c r="Q739" s="74" t="s">
        <v>16375</v>
      </c>
      <c r="R739" s="119"/>
      <c r="S739" s="119"/>
      <c r="T739" s="119"/>
      <c r="U739" s="119"/>
      <c r="V739" s="119"/>
      <c r="W739" s="74">
        <v>7.0</v>
      </c>
      <c r="X739" s="74">
        <v>100.0</v>
      </c>
      <c r="Y739" s="74">
        <v>3.0</v>
      </c>
      <c r="Z739" s="74">
        <v>0.0</v>
      </c>
      <c r="AA739" s="119"/>
      <c r="AB739" s="119"/>
      <c r="AC739" s="119"/>
      <c r="AD739" s="119"/>
      <c r="AE739" s="119"/>
      <c r="AF739" s="119"/>
      <c r="AG739" s="119"/>
      <c r="AH739" s="119"/>
      <c r="AI739" s="119"/>
      <c r="AJ739" s="119"/>
      <c r="AK739" s="74" t="s">
        <v>11376</v>
      </c>
      <c r="AL739" s="74">
        <v>6.0</v>
      </c>
      <c r="AM739" s="74">
        <v>1.0</v>
      </c>
      <c r="AN739" s="74" t="s">
        <v>10629</v>
      </c>
      <c r="AO739" s="120">
        <v>7859.0</v>
      </c>
      <c r="AP739" s="74" t="s">
        <v>16547</v>
      </c>
      <c r="AQ739" s="74" t="s">
        <v>16548</v>
      </c>
      <c r="AR739" s="120">
        <v>739.0</v>
      </c>
    </row>
    <row r="740">
      <c r="A740" s="74" t="s">
        <v>16543</v>
      </c>
      <c r="B740" s="74" t="s">
        <v>6876</v>
      </c>
      <c r="C740" s="74" t="s">
        <v>6877</v>
      </c>
      <c r="D740" s="74" t="s">
        <v>8493</v>
      </c>
      <c r="E740" s="146">
        <v>43873.0</v>
      </c>
      <c r="F740" s="74" t="s">
        <v>16549</v>
      </c>
      <c r="G740" s="74">
        <v>59.0</v>
      </c>
      <c r="H740" s="74">
        <v>1.0</v>
      </c>
      <c r="I740" s="74">
        <v>11.0</v>
      </c>
      <c r="J740" s="119"/>
      <c r="K740" s="119"/>
      <c r="L740" s="74" t="s">
        <v>3226</v>
      </c>
      <c r="M740" s="74" t="s">
        <v>3226</v>
      </c>
      <c r="N740" s="74" t="s">
        <v>16553</v>
      </c>
      <c r="O740" s="74" t="s">
        <v>16555</v>
      </c>
      <c r="P740" s="74" t="s">
        <v>16556</v>
      </c>
      <c r="Q740" s="74" t="s">
        <v>16557</v>
      </c>
      <c r="R740" s="119"/>
      <c r="S740" s="119"/>
      <c r="T740" s="119"/>
      <c r="U740" s="119"/>
      <c r="V740" s="119"/>
      <c r="W740" s="74">
        <v>3.0</v>
      </c>
      <c r="X740" s="74">
        <v>1.0</v>
      </c>
      <c r="Y740" s="74">
        <v>3.0</v>
      </c>
      <c r="Z740" s="74">
        <v>0.0</v>
      </c>
      <c r="AA740" s="74">
        <v>2.0</v>
      </c>
      <c r="AB740" s="74">
        <v>1.0</v>
      </c>
      <c r="AC740" s="74">
        <v>3.0</v>
      </c>
      <c r="AD740" s="74">
        <v>0.0</v>
      </c>
      <c r="AE740" s="74">
        <v>1.0</v>
      </c>
      <c r="AF740" s="74">
        <v>1.0</v>
      </c>
      <c r="AG740" s="74">
        <v>1.0</v>
      </c>
      <c r="AH740" s="74">
        <v>3.0</v>
      </c>
      <c r="AI740" s="74">
        <v>0.0</v>
      </c>
      <c r="AJ740" s="119"/>
      <c r="AK740" s="74" t="s">
        <v>16561</v>
      </c>
      <c r="AL740" s="74">
        <v>6.0</v>
      </c>
      <c r="AM740" s="74">
        <v>1.0</v>
      </c>
      <c r="AN740" s="74" t="s">
        <v>10629</v>
      </c>
      <c r="AO740" s="120">
        <v>7860.0</v>
      </c>
      <c r="AP740" s="74" t="s">
        <v>16562</v>
      </c>
      <c r="AQ740" s="74" t="s">
        <v>16564</v>
      </c>
      <c r="AR740" s="120">
        <v>740.0</v>
      </c>
    </row>
    <row r="741">
      <c r="A741" s="74" t="s">
        <v>16549</v>
      </c>
      <c r="B741" s="74" t="s">
        <v>6876</v>
      </c>
      <c r="C741" s="74" t="s">
        <v>6877</v>
      </c>
      <c r="D741" s="74" t="s">
        <v>8493</v>
      </c>
      <c r="E741" s="146">
        <v>43873.0</v>
      </c>
      <c r="F741" s="74" t="s">
        <v>16567</v>
      </c>
      <c r="G741" s="74">
        <v>59.0</v>
      </c>
      <c r="H741" s="74">
        <v>1.0</v>
      </c>
      <c r="I741" s="74">
        <v>99.0</v>
      </c>
      <c r="J741" s="119"/>
      <c r="K741" s="119"/>
      <c r="L741" s="74" t="s">
        <v>3235</v>
      </c>
      <c r="M741" s="74" t="s">
        <v>3235</v>
      </c>
      <c r="N741" s="74" t="s">
        <v>16553</v>
      </c>
      <c r="O741" s="74" t="s">
        <v>16555</v>
      </c>
      <c r="P741" s="74" t="s">
        <v>16556</v>
      </c>
      <c r="Q741" s="74" t="s">
        <v>16557</v>
      </c>
      <c r="R741" s="119"/>
      <c r="S741" s="119"/>
      <c r="T741" s="119"/>
      <c r="U741" s="119"/>
      <c r="V741" s="119"/>
      <c r="W741" s="74">
        <v>7.0</v>
      </c>
      <c r="X741" s="74">
        <v>100.0</v>
      </c>
      <c r="Y741" s="74">
        <v>3.0</v>
      </c>
      <c r="Z741" s="74">
        <v>0.0</v>
      </c>
      <c r="AA741" s="119"/>
      <c r="AB741" s="119"/>
      <c r="AC741" s="119"/>
      <c r="AD741" s="119"/>
      <c r="AE741" s="119"/>
      <c r="AF741" s="119"/>
      <c r="AG741" s="119"/>
      <c r="AH741" s="119"/>
      <c r="AI741" s="119"/>
      <c r="AJ741" s="119"/>
      <c r="AK741" s="74" t="s">
        <v>16571</v>
      </c>
      <c r="AL741" s="74">
        <v>6.0</v>
      </c>
      <c r="AM741" s="74">
        <v>1.0</v>
      </c>
      <c r="AN741" s="74" t="s">
        <v>10629</v>
      </c>
      <c r="AO741" s="120">
        <v>7861.0</v>
      </c>
      <c r="AP741" s="74" t="s">
        <v>16573</v>
      </c>
      <c r="AQ741" s="74" t="s">
        <v>16575</v>
      </c>
      <c r="AR741" s="120">
        <v>741.0</v>
      </c>
    </row>
    <row r="742">
      <c r="A742" s="74" t="s">
        <v>16567</v>
      </c>
      <c r="B742" s="74" t="s">
        <v>6876</v>
      </c>
      <c r="C742" s="74" t="s">
        <v>6877</v>
      </c>
      <c r="D742" s="74" t="s">
        <v>8493</v>
      </c>
      <c r="E742" s="146">
        <v>43873.0</v>
      </c>
      <c r="F742" s="74" t="s">
        <v>16577</v>
      </c>
      <c r="G742" s="74">
        <v>59.0</v>
      </c>
      <c r="H742" s="74">
        <v>1.0</v>
      </c>
      <c r="I742" s="74">
        <v>11.0</v>
      </c>
      <c r="J742" s="119"/>
      <c r="K742" s="119"/>
      <c r="L742" s="74" t="s">
        <v>3263</v>
      </c>
      <c r="M742" s="74" t="s">
        <v>3263</v>
      </c>
      <c r="N742" s="74" t="s">
        <v>16553</v>
      </c>
      <c r="O742" s="74" t="s">
        <v>16555</v>
      </c>
      <c r="P742" s="74" t="s">
        <v>16556</v>
      </c>
      <c r="Q742" s="74" t="s">
        <v>16557</v>
      </c>
      <c r="R742" s="119"/>
      <c r="S742" s="119"/>
      <c r="T742" s="119"/>
      <c r="U742" s="119"/>
      <c r="V742" s="119"/>
      <c r="W742" s="74">
        <v>3.0</v>
      </c>
      <c r="X742" s="74">
        <v>1.0</v>
      </c>
      <c r="Y742" s="74">
        <v>3.0</v>
      </c>
      <c r="Z742" s="74">
        <v>1.0</v>
      </c>
      <c r="AA742" s="74">
        <v>2.0</v>
      </c>
      <c r="AB742" s="74">
        <v>1.0</v>
      </c>
      <c r="AC742" s="74">
        <v>3.0</v>
      </c>
      <c r="AD742" s="74">
        <v>0.0</v>
      </c>
      <c r="AE742" s="74">
        <v>1.0</v>
      </c>
      <c r="AF742" s="74">
        <v>1.0</v>
      </c>
      <c r="AG742" s="74">
        <v>1.0</v>
      </c>
      <c r="AH742" s="74">
        <v>3.0</v>
      </c>
      <c r="AI742" s="74">
        <v>0.0</v>
      </c>
      <c r="AJ742" s="119"/>
      <c r="AK742" s="74" t="s">
        <v>16585</v>
      </c>
      <c r="AL742" s="74">
        <v>6.0</v>
      </c>
      <c r="AM742" s="74">
        <v>1.0</v>
      </c>
      <c r="AN742" s="74" t="s">
        <v>10629</v>
      </c>
      <c r="AO742" s="120">
        <v>7862.0</v>
      </c>
      <c r="AP742" s="74" t="s">
        <v>16587</v>
      </c>
      <c r="AQ742" s="74" t="s">
        <v>16588</v>
      </c>
      <c r="AR742" s="120">
        <v>742.0</v>
      </c>
    </row>
    <row r="743">
      <c r="A743" s="74" t="s">
        <v>16589</v>
      </c>
      <c r="B743" s="74" t="s">
        <v>6876</v>
      </c>
      <c r="C743" s="74" t="s">
        <v>6877</v>
      </c>
      <c r="D743" s="74" t="s">
        <v>8493</v>
      </c>
      <c r="E743" s="146">
        <v>43873.0</v>
      </c>
      <c r="F743" s="74" t="s">
        <v>16592</v>
      </c>
      <c r="G743" s="74">
        <v>59.0</v>
      </c>
      <c r="H743" s="74">
        <v>1.0</v>
      </c>
      <c r="I743" s="74">
        <v>99.0</v>
      </c>
      <c r="J743" s="119"/>
      <c r="K743" s="119"/>
      <c r="L743" s="74" t="s">
        <v>3272</v>
      </c>
      <c r="M743" s="74" t="s">
        <v>3272</v>
      </c>
      <c r="N743" s="74" t="s">
        <v>16553</v>
      </c>
      <c r="O743" s="74" t="s">
        <v>16555</v>
      </c>
      <c r="P743" s="74" t="s">
        <v>16556</v>
      </c>
      <c r="Q743" s="74" t="s">
        <v>16557</v>
      </c>
      <c r="R743" s="119"/>
      <c r="S743" s="119"/>
      <c r="T743" s="119"/>
      <c r="U743" s="119"/>
      <c r="V743" s="119"/>
      <c r="W743" s="74">
        <v>7.0</v>
      </c>
      <c r="X743" s="74">
        <v>100.0</v>
      </c>
      <c r="Y743" s="74">
        <v>3.0</v>
      </c>
      <c r="Z743" s="74">
        <v>0.0</v>
      </c>
      <c r="AA743" s="119"/>
      <c r="AB743" s="119"/>
      <c r="AC743" s="119"/>
      <c r="AD743" s="119"/>
      <c r="AE743" s="119"/>
      <c r="AF743" s="119"/>
      <c r="AG743" s="119"/>
      <c r="AH743" s="119"/>
      <c r="AI743" s="119"/>
      <c r="AJ743" s="119"/>
      <c r="AK743" s="74" t="s">
        <v>16596</v>
      </c>
      <c r="AL743" s="74">
        <v>6.0</v>
      </c>
      <c r="AM743" s="74">
        <v>1.0</v>
      </c>
      <c r="AN743" s="74" t="s">
        <v>10629</v>
      </c>
      <c r="AO743" s="120">
        <v>7863.0</v>
      </c>
      <c r="AP743" s="74" t="s">
        <v>16597</v>
      </c>
      <c r="AQ743" s="74" t="s">
        <v>16598</v>
      </c>
      <c r="AR743" s="120">
        <v>743.0</v>
      </c>
    </row>
    <row r="744">
      <c r="A744" s="74" t="s">
        <v>16592</v>
      </c>
      <c r="B744" s="74" t="s">
        <v>6876</v>
      </c>
      <c r="C744" s="74" t="s">
        <v>6877</v>
      </c>
      <c r="D744" s="74" t="s">
        <v>8493</v>
      </c>
      <c r="E744" s="146">
        <v>43873.0</v>
      </c>
      <c r="F744" s="74" t="s">
        <v>16602</v>
      </c>
      <c r="G744" s="74">
        <v>33.0</v>
      </c>
      <c r="H744" s="74">
        <v>1.0</v>
      </c>
      <c r="I744" s="74">
        <v>98.0</v>
      </c>
      <c r="J744" s="119"/>
      <c r="K744" s="119"/>
      <c r="L744" s="74" t="s">
        <v>3287</v>
      </c>
      <c r="M744" s="74" t="s">
        <v>3287</v>
      </c>
      <c r="N744" s="74" t="s">
        <v>16553</v>
      </c>
      <c r="O744" s="74" t="s">
        <v>16555</v>
      </c>
      <c r="P744" s="74" t="s">
        <v>16556</v>
      </c>
      <c r="Q744" s="74" t="s">
        <v>16557</v>
      </c>
      <c r="R744" s="119"/>
      <c r="S744" s="119"/>
      <c r="T744" s="119"/>
      <c r="U744" s="119"/>
      <c r="V744" s="119"/>
      <c r="W744" s="74">
        <v>7.0</v>
      </c>
      <c r="X744" s="74">
        <v>100.0</v>
      </c>
      <c r="Y744" s="74">
        <v>3.0</v>
      </c>
      <c r="Z744" s="74">
        <v>0.0</v>
      </c>
      <c r="AA744" s="119"/>
      <c r="AB744" s="119"/>
      <c r="AC744" s="119"/>
      <c r="AD744" s="119"/>
      <c r="AE744" s="119"/>
      <c r="AF744" s="119"/>
      <c r="AG744" s="119"/>
      <c r="AH744" s="119"/>
      <c r="AI744" s="119"/>
      <c r="AJ744" s="119"/>
      <c r="AK744" s="74" t="s">
        <v>11376</v>
      </c>
      <c r="AL744" s="74">
        <v>6.0</v>
      </c>
      <c r="AM744" s="74">
        <v>1.0</v>
      </c>
      <c r="AN744" s="74" t="s">
        <v>10629</v>
      </c>
      <c r="AO744" s="120">
        <v>7864.0</v>
      </c>
      <c r="AP744" s="74" t="s">
        <v>16608</v>
      </c>
      <c r="AQ744" s="74" t="s">
        <v>16609</v>
      </c>
      <c r="AR744" s="120">
        <v>744.0</v>
      </c>
    </row>
    <row r="745">
      <c r="A745" s="74" t="s">
        <v>16602</v>
      </c>
      <c r="B745" s="74" t="s">
        <v>6876</v>
      </c>
      <c r="C745" s="74" t="s">
        <v>6877</v>
      </c>
      <c r="D745" s="74" t="s">
        <v>8493</v>
      </c>
      <c r="E745" s="146">
        <v>43873.0</v>
      </c>
      <c r="F745" s="74" t="s">
        <v>16610</v>
      </c>
      <c r="G745" s="74">
        <v>59.0</v>
      </c>
      <c r="H745" s="74">
        <v>1.0</v>
      </c>
      <c r="I745" s="74">
        <v>11.0</v>
      </c>
      <c r="J745" s="119"/>
      <c r="K745" s="119"/>
      <c r="L745" s="74" t="s">
        <v>3294</v>
      </c>
      <c r="M745" s="74" t="s">
        <v>3294</v>
      </c>
      <c r="N745" s="74" t="s">
        <v>16613</v>
      </c>
      <c r="O745" s="74" t="s">
        <v>16615</v>
      </c>
      <c r="P745" s="74" t="s">
        <v>16616</v>
      </c>
      <c r="Q745" s="74" t="s">
        <v>16617</v>
      </c>
      <c r="R745" s="119"/>
      <c r="S745" s="119"/>
      <c r="T745" s="119"/>
      <c r="U745" s="119"/>
      <c r="V745" s="119"/>
      <c r="W745" s="74">
        <v>3.0</v>
      </c>
      <c r="X745" s="74">
        <v>1.0</v>
      </c>
      <c r="Y745" s="74">
        <v>3.0</v>
      </c>
      <c r="Z745" s="74">
        <v>32.0</v>
      </c>
      <c r="AA745" s="74">
        <v>2.0</v>
      </c>
      <c r="AB745" s="74">
        <v>1.0</v>
      </c>
      <c r="AC745" s="74">
        <v>3.0</v>
      </c>
      <c r="AD745" s="74">
        <v>0.0</v>
      </c>
      <c r="AE745" s="74">
        <v>1.0</v>
      </c>
      <c r="AF745" s="74">
        <v>1.0</v>
      </c>
      <c r="AG745" s="74">
        <v>1.0</v>
      </c>
      <c r="AH745" s="74">
        <v>3.0</v>
      </c>
      <c r="AI745" s="74">
        <v>0.0</v>
      </c>
      <c r="AJ745" s="119"/>
      <c r="AK745" s="74" t="s">
        <v>16621</v>
      </c>
      <c r="AL745" s="74">
        <v>4.0</v>
      </c>
      <c r="AM745" s="74">
        <v>1.0</v>
      </c>
      <c r="AN745" s="74" t="s">
        <v>10629</v>
      </c>
      <c r="AO745" s="120">
        <v>7865.0</v>
      </c>
      <c r="AP745" s="74" t="s">
        <v>16624</v>
      </c>
      <c r="AQ745" s="74" t="s">
        <v>16626</v>
      </c>
      <c r="AR745" s="120">
        <v>745.0</v>
      </c>
    </row>
    <row r="746">
      <c r="A746" s="74" t="s">
        <v>16610</v>
      </c>
      <c r="B746" s="74" t="s">
        <v>6876</v>
      </c>
      <c r="C746" s="74" t="s">
        <v>6877</v>
      </c>
      <c r="D746" s="74" t="s">
        <v>8493</v>
      </c>
      <c r="E746" s="146">
        <v>43873.0</v>
      </c>
      <c r="F746" s="74" t="s">
        <v>16629</v>
      </c>
      <c r="G746" s="74">
        <v>59.0</v>
      </c>
      <c r="H746" s="74">
        <v>1.0</v>
      </c>
      <c r="I746" s="74">
        <v>99.0</v>
      </c>
      <c r="J746" s="119"/>
      <c r="K746" s="119"/>
      <c r="L746" s="74" t="s">
        <v>3302</v>
      </c>
      <c r="M746" s="74" t="s">
        <v>3302</v>
      </c>
      <c r="N746" s="74" t="s">
        <v>16613</v>
      </c>
      <c r="O746" s="74" t="s">
        <v>16615</v>
      </c>
      <c r="P746" s="74" t="s">
        <v>16616</v>
      </c>
      <c r="Q746" s="74" t="s">
        <v>16617</v>
      </c>
      <c r="R746" s="119"/>
      <c r="S746" s="119"/>
      <c r="T746" s="119"/>
      <c r="U746" s="119"/>
      <c r="V746" s="119"/>
      <c r="W746" s="74">
        <v>7.0</v>
      </c>
      <c r="X746" s="74">
        <v>100.0</v>
      </c>
      <c r="Y746" s="74">
        <v>3.0</v>
      </c>
      <c r="Z746" s="74">
        <v>0.0</v>
      </c>
      <c r="AA746" s="119"/>
      <c r="AB746" s="119"/>
      <c r="AC746" s="119"/>
      <c r="AD746" s="119"/>
      <c r="AE746" s="119"/>
      <c r="AF746" s="119"/>
      <c r="AG746" s="119"/>
      <c r="AH746" s="119"/>
      <c r="AI746" s="119"/>
      <c r="AJ746" s="119"/>
      <c r="AK746" s="74" t="s">
        <v>16633</v>
      </c>
      <c r="AL746" s="74">
        <v>4.0</v>
      </c>
      <c r="AM746" s="74">
        <v>1.0</v>
      </c>
      <c r="AN746" s="74" t="s">
        <v>10629</v>
      </c>
      <c r="AO746" s="120">
        <v>7866.0</v>
      </c>
      <c r="AP746" s="74" t="s">
        <v>16634</v>
      </c>
      <c r="AQ746" s="74" t="s">
        <v>16635</v>
      </c>
      <c r="AR746" s="120">
        <v>746.0</v>
      </c>
    </row>
    <row r="747">
      <c r="A747" s="74" t="s">
        <v>16636</v>
      </c>
      <c r="B747" s="74" t="s">
        <v>6876</v>
      </c>
      <c r="C747" s="74" t="s">
        <v>6877</v>
      </c>
      <c r="D747" s="74" t="s">
        <v>8493</v>
      </c>
      <c r="E747" s="146">
        <v>43873.0</v>
      </c>
      <c r="F747" s="74" t="s">
        <v>16639</v>
      </c>
      <c r="G747" s="74">
        <v>59.0</v>
      </c>
      <c r="H747" s="74">
        <v>1.0</v>
      </c>
      <c r="I747" s="74">
        <v>11.0</v>
      </c>
      <c r="J747" s="119"/>
      <c r="K747" s="119"/>
      <c r="L747" s="74" t="s">
        <v>3323</v>
      </c>
      <c r="M747" s="74" t="s">
        <v>3323</v>
      </c>
      <c r="N747" s="74" t="s">
        <v>16613</v>
      </c>
      <c r="O747" s="74" t="s">
        <v>16615</v>
      </c>
      <c r="P747" s="74" t="s">
        <v>16616</v>
      </c>
      <c r="Q747" s="74" t="s">
        <v>16617</v>
      </c>
      <c r="R747" s="119"/>
      <c r="S747" s="119"/>
      <c r="T747" s="119"/>
      <c r="U747" s="119"/>
      <c r="V747" s="119"/>
      <c r="W747" s="74">
        <v>3.0</v>
      </c>
      <c r="X747" s="74">
        <v>1.0</v>
      </c>
      <c r="Y747" s="74">
        <v>3.0</v>
      </c>
      <c r="Z747" s="74">
        <v>5.0</v>
      </c>
      <c r="AA747" s="74">
        <v>2.0</v>
      </c>
      <c r="AB747" s="74">
        <v>1.0</v>
      </c>
      <c r="AC747" s="74">
        <v>3.0</v>
      </c>
      <c r="AD747" s="74">
        <v>0.0</v>
      </c>
      <c r="AE747" s="74">
        <v>1.0</v>
      </c>
      <c r="AF747" s="74">
        <v>1.0</v>
      </c>
      <c r="AG747" s="74">
        <v>1.0</v>
      </c>
      <c r="AH747" s="74">
        <v>3.0</v>
      </c>
      <c r="AI747" s="74">
        <v>0.0</v>
      </c>
      <c r="AJ747" s="119"/>
      <c r="AK747" s="74" t="s">
        <v>16644</v>
      </c>
      <c r="AL747" s="74">
        <v>4.0</v>
      </c>
      <c r="AM747" s="74">
        <v>1.0</v>
      </c>
      <c r="AN747" s="74" t="s">
        <v>10629</v>
      </c>
      <c r="AO747" s="120">
        <v>7867.0</v>
      </c>
      <c r="AP747" s="74" t="s">
        <v>16645</v>
      </c>
      <c r="AQ747" s="74" t="s">
        <v>16646</v>
      </c>
      <c r="AR747" s="120">
        <v>747.0</v>
      </c>
    </row>
    <row r="748">
      <c r="A748" s="74" t="s">
        <v>16648</v>
      </c>
      <c r="B748" s="74" t="s">
        <v>6876</v>
      </c>
      <c r="C748" s="74" t="s">
        <v>6877</v>
      </c>
      <c r="D748" s="74" t="s">
        <v>8493</v>
      </c>
      <c r="E748" s="146">
        <v>43873.0</v>
      </c>
      <c r="F748" s="74" t="s">
        <v>16650</v>
      </c>
      <c r="G748" s="74">
        <v>59.0</v>
      </c>
      <c r="H748" s="74">
        <v>1.0</v>
      </c>
      <c r="I748" s="74">
        <v>99.0</v>
      </c>
      <c r="J748" s="119"/>
      <c r="K748" s="119"/>
      <c r="L748" s="74" t="s">
        <v>3331</v>
      </c>
      <c r="M748" s="74" t="s">
        <v>3331</v>
      </c>
      <c r="N748" s="74" t="s">
        <v>16613</v>
      </c>
      <c r="O748" s="74" t="s">
        <v>16615</v>
      </c>
      <c r="P748" s="74" t="s">
        <v>16616</v>
      </c>
      <c r="Q748" s="74" t="s">
        <v>16617</v>
      </c>
      <c r="R748" s="119"/>
      <c r="S748" s="119"/>
      <c r="T748" s="119"/>
      <c r="U748" s="119"/>
      <c r="V748" s="119"/>
      <c r="W748" s="74">
        <v>7.0</v>
      </c>
      <c r="X748" s="74">
        <v>100.0</v>
      </c>
      <c r="Y748" s="74">
        <v>3.0</v>
      </c>
      <c r="Z748" s="74">
        <v>0.0</v>
      </c>
      <c r="AA748" s="119"/>
      <c r="AB748" s="119"/>
      <c r="AC748" s="119"/>
      <c r="AD748" s="119"/>
      <c r="AE748" s="119"/>
      <c r="AF748" s="119"/>
      <c r="AG748" s="119"/>
      <c r="AH748" s="119"/>
      <c r="AI748" s="119"/>
      <c r="AJ748" s="119"/>
      <c r="AK748" s="74" t="s">
        <v>16658</v>
      </c>
      <c r="AL748" s="74">
        <v>4.0</v>
      </c>
      <c r="AM748" s="74">
        <v>1.0</v>
      </c>
      <c r="AN748" s="74" t="s">
        <v>10629</v>
      </c>
      <c r="AO748" s="120">
        <v>7868.0</v>
      </c>
      <c r="AP748" s="74" t="s">
        <v>16659</v>
      </c>
      <c r="AQ748" s="74" t="s">
        <v>16661</v>
      </c>
      <c r="AR748" s="120">
        <v>748.0</v>
      </c>
    </row>
    <row r="749">
      <c r="A749" s="74" t="s">
        <v>16650</v>
      </c>
      <c r="B749" s="74" t="s">
        <v>6876</v>
      </c>
      <c r="C749" s="74" t="s">
        <v>6877</v>
      </c>
      <c r="D749" s="74" t="s">
        <v>8493</v>
      </c>
      <c r="E749" s="146">
        <v>43873.0</v>
      </c>
      <c r="F749" s="74" t="s">
        <v>16662</v>
      </c>
      <c r="G749" s="74">
        <v>59.0</v>
      </c>
      <c r="H749" s="74">
        <v>1.0</v>
      </c>
      <c r="I749" s="74">
        <v>11.0</v>
      </c>
      <c r="J749" s="119"/>
      <c r="K749" s="119"/>
      <c r="L749" s="74" t="s">
        <v>3356</v>
      </c>
      <c r="M749" s="74" t="s">
        <v>3356</v>
      </c>
      <c r="N749" s="74" t="s">
        <v>16613</v>
      </c>
      <c r="O749" s="74" t="s">
        <v>16615</v>
      </c>
      <c r="P749" s="74" t="s">
        <v>16616</v>
      </c>
      <c r="Q749" s="74" t="s">
        <v>16617</v>
      </c>
      <c r="R749" s="119"/>
      <c r="S749" s="119"/>
      <c r="T749" s="119"/>
      <c r="U749" s="119"/>
      <c r="V749" s="119"/>
      <c r="W749" s="74">
        <v>3.0</v>
      </c>
      <c r="X749" s="74">
        <v>1.0</v>
      </c>
      <c r="Y749" s="74">
        <v>3.0</v>
      </c>
      <c r="Z749" s="74">
        <v>2.0</v>
      </c>
      <c r="AA749" s="74">
        <v>2.0</v>
      </c>
      <c r="AB749" s="74">
        <v>1.0</v>
      </c>
      <c r="AC749" s="74">
        <v>3.0</v>
      </c>
      <c r="AD749" s="74">
        <v>1.0</v>
      </c>
      <c r="AE749" s="74">
        <v>1.0</v>
      </c>
      <c r="AF749" s="74">
        <v>1.0</v>
      </c>
      <c r="AG749" s="74">
        <v>1.0</v>
      </c>
      <c r="AH749" s="74">
        <v>3.0</v>
      </c>
      <c r="AI749" s="74">
        <v>0.0</v>
      </c>
      <c r="AJ749" s="119"/>
      <c r="AK749" s="74" t="s">
        <v>16664</v>
      </c>
      <c r="AL749" s="74">
        <v>6.0</v>
      </c>
      <c r="AM749" s="74">
        <v>1.0</v>
      </c>
      <c r="AN749" s="74" t="s">
        <v>10629</v>
      </c>
      <c r="AO749" s="120">
        <v>7869.0</v>
      </c>
      <c r="AP749" s="74" t="s">
        <v>16666</v>
      </c>
      <c r="AQ749" s="74" t="s">
        <v>16667</v>
      </c>
      <c r="AR749" s="120">
        <v>749.0</v>
      </c>
    </row>
    <row r="750">
      <c r="A750" s="74" t="s">
        <v>16668</v>
      </c>
      <c r="B750" s="74" t="s">
        <v>6876</v>
      </c>
      <c r="C750" s="74" t="s">
        <v>6877</v>
      </c>
      <c r="D750" s="74" t="s">
        <v>8493</v>
      </c>
      <c r="E750" s="146">
        <v>43873.0</v>
      </c>
      <c r="F750" s="74" t="s">
        <v>16669</v>
      </c>
      <c r="G750" s="74">
        <v>59.0</v>
      </c>
      <c r="H750" s="74">
        <v>1.0</v>
      </c>
      <c r="I750" s="74">
        <v>99.0</v>
      </c>
      <c r="J750" s="119"/>
      <c r="K750" s="119"/>
      <c r="L750" s="74" t="s">
        <v>3365</v>
      </c>
      <c r="M750" s="74" t="s">
        <v>3365</v>
      </c>
      <c r="N750" s="74" t="s">
        <v>16613</v>
      </c>
      <c r="O750" s="74" t="s">
        <v>16615</v>
      </c>
      <c r="P750" s="74" t="s">
        <v>16616</v>
      </c>
      <c r="Q750" s="74" t="s">
        <v>16617</v>
      </c>
      <c r="R750" s="119"/>
      <c r="S750" s="119"/>
      <c r="T750" s="119"/>
      <c r="U750" s="119"/>
      <c r="V750" s="119"/>
      <c r="W750" s="74">
        <v>7.0</v>
      </c>
      <c r="X750" s="74">
        <v>100.0</v>
      </c>
      <c r="Y750" s="74">
        <v>3.0</v>
      </c>
      <c r="Z750" s="74">
        <v>0.0</v>
      </c>
      <c r="AA750" s="119"/>
      <c r="AB750" s="119"/>
      <c r="AC750" s="119"/>
      <c r="AD750" s="119"/>
      <c r="AE750" s="119"/>
      <c r="AF750" s="119"/>
      <c r="AG750" s="119"/>
      <c r="AH750" s="119"/>
      <c r="AI750" s="119"/>
      <c r="AJ750" s="119"/>
      <c r="AK750" s="74" t="s">
        <v>16672</v>
      </c>
      <c r="AL750" s="74">
        <v>6.0</v>
      </c>
      <c r="AM750" s="74">
        <v>1.0</v>
      </c>
      <c r="AN750" s="74" t="s">
        <v>10629</v>
      </c>
      <c r="AO750" s="120">
        <v>7870.0</v>
      </c>
      <c r="AP750" s="74" t="s">
        <v>16675</v>
      </c>
      <c r="AQ750" s="74" t="s">
        <v>16676</v>
      </c>
      <c r="AR750" s="120">
        <v>750.0</v>
      </c>
    </row>
    <row r="751">
      <c r="A751" s="74" t="s">
        <v>16669</v>
      </c>
      <c r="B751" s="74" t="s">
        <v>6876</v>
      </c>
      <c r="C751" s="74" t="s">
        <v>6877</v>
      </c>
      <c r="D751" s="74" t="s">
        <v>8493</v>
      </c>
      <c r="E751" s="146">
        <v>43873.0</v>
      </c>
      <c r="F751" s="74" t="s">
        <v>16679</v>
      </c>
      <c r="G751" s="74">
        <v>59.0</v>
      </c>
      <c r="H751" s="74">
        <v>1.0</v>
      </c>
      <c r="I751" s="74">
        <v>11.0</v>
      </c>
      <c r="J751" s="119"/>
      <c r="K751" s="119"/>
      <c r="L751" s="74" t="s">
        <v>3380</v>
      </c>
      <c r="M751" s="74" t="s">
        <v>3380</v>
      </c>
      <c r="N751" s="74" t="s">
        <v>16613</v>
      </c>
      <c r="O751" s="74" t="s">
        <v>16615</v>
      </c>
      <c r="P751" s="74" t="s">
        <v>16616</v>
      </c>
      <c r="Q751" s="74" t="s">
        <v>16617</v>
      </c>
      <c r="R751" s="119"/>
      <c r="S751" s="119"/>
      <c r="T751" s="119"/>
      <c r="U751" s="119"/>
      <c r="V751" s="119"/>
      <c r="W751" s="74">
        <v>3.0</v>
      </c>
      <c r="X751" s="74">
        <v>1.0</v>
      </c>
      <c r="Y751" s="74">
        <v>3.0</v>
      </c>
      <c r="Z751" s="74">
        <v>19.0</v>
      </c>
      <c r="AA751" s="74">
        <v>2.0</v>
      </c>
      <c r="AB751" s="74">
        <v>1.0</v>
      </c>
      <c r="AC751" s="74">
        <v>3.0</v>
      </c>
      <c r="AD751" s="74">
        <v>6.0</v>
      </c>
      <c r="AE751" s="74">
        <v>1.0</v>
      </c>
      <c r="AF751" s="74">
        <v>1.0</v>
      </c>
      <c r="AG751" s="74">
        <v>1.0</v>
      </c>
      <c r="AH751" s="74">
        <v>3.0</v>
      </c>
      <c r="AI751" s="74">
        <v>0.0</v>
      </c>
      <c r="AJ751" s="119"/>
      <c r="AK751" s="74" t="s">
        <v>16685</v>
      </c>
      <c r="AL751" s="74">
        <v>6.0</v>
      </c>
      <c r="AM751" s="74">
        <v>1.0</v>
      </c>
      <c r="AN751" s="74" t="s">
        <v>10629</v>
      </c>
      <c r="AO751" s="120">
        <v>7871.0</v>
      </c>
      <c r="AP751" s="74" t="s">
        <v>16686</v>
      </c>
      <c r="AQ751" s="74" t="s">
        <v>16687</v>
      </c>
      <c r="AR751" s="120">
        <v>751.0</v>
      </c>
    </row>
    <row r="752">
      <c r="A752" s="74" t="s">
        <v>16679</v>
      </c>
      <c r="B752" s="74" t="s">
        <v>6876</v>
      </c>
      <c r="C752" s="74" t="s">
        <v>6877</v>
      </c>
      <c r="D752" s="74" t="s">
        <v>8493</v>
      </c>
      <c r="E752" s="146">
        <v>43873.0</v>
      </c>
      <c r="F752" s="74" t="s">
        <v>16689</v>
      </c>
      <c r="G752" s="74">
        <v>59.0</v>
      </c>
      <c r="H752" s="74">
        <v>1.0</v>
      </c>
      <c r="I752" s="74">
        <v>99.0</v>
      </c>
      <c r="J752" s="119"/>
      <c r="K752" s="119"/>
      <c r="L752" s="74" t="s">
        <v>3395</v>
      </c>
      <c r="M752" s="74" t="s">
        <v>3395</v>
      </c>
      <c r="N752" s="74" t="s">
        <v>16613</v>
      </c>
      <c r="O752" s="74" t="s">
        <v>16615</v>
      </c>
      <c r="P752" s="74" t="s">
        <v>16616</v>
      </c>
      <c r="Q752" s="74" t="s">
        <v>16617</v>
      </c>
      <c r="R752" s="119"/>
      <c r="S752" s="119"/>
      <c r="T752" s="119"/>
      <c r="U752" s="119"/>
      <c r="V752" s="119"/>
      <c r="W752" s="74">
        <v>7.0</v>
      </c>
      <c r="X752" s="74">
        <v>100.0</v>
      </c>
      <c r="Y752" s="74">
        <v>3.0</v>
      </c>
      <c r="Z752" s="74">
        <v>0.0</v>
      </c>
      <c r="AA752" s="119"/>
      <c r="AB752" s="119"/>
      <c r="AC752" s="119"/>
      <c r="AD752" s="119"/>
      <c r="AE752" s="119"/>
      <c r="AF752" s="119"/>
      <c r="AG752" s="119"/>
      <c r="AH752" s="119"/>
      <c r="AI752" s="119"/>
      <c r="AJ752" s="119"/>
      <c r="AK752" s="74" t="s">
        <v>16692</v>
      </c>
      <c r="AL752" s="74">
        <v>6.0</v>
      </c>
      <c r="AM752" s="74">
        <v>1.0</v>
      </c>
      <c r="AN752" s="74" t="s">
        <v>10629</v>
      </c>
      <c r="AO752" s="120">
        <v>7872.0</v>
      </c>
      <c r="AP752" s="74" t="s">
        <v>16693</v>
      </c>
      <c r="AQ752" s="74" t="s">
        <v>16694</v>
      </c>
      <c r="AR752" s="120">
        <v>752.0</v>
      </c>
    </row>
    <row r="753">
      <c r="A753" s="74" t="s">
        <v>16695</v>
      </c>
      <c r="B753" s="74" t="s">
        <v>6876</v>
      </c>
      <c r="C753" s="74" t="s">
        <v>6877</v>
      </c>
      <c r="D753" s="74" t="s">
        <v>8493</v>
      </c>
      <c r="E753" s="146">
        <v>43873.0</v>
      </c>
      <c r="F753" s="74" t="s">
        <v>16697</v>
      </c>
      <c r="G753" s="74">
        <v>59.0</v>
      </c>
      <c r="H753" s="74">
        <v>1.0</v>
      </c>
      <c r="I753" s="74">
        <v>11.0</v>
      </c>
      <c r="J753" s="119"/>
      <c r="K753" s="119"/>
      <c r="L753" s="74" t="s">
        <v>3412</v>
      </c>
      <c r="M753" s="74" t="s">
        <v>3412</v>
      </c>
      <c r="N753" s="74" t="s">
        <v>16613</v>
      </c>
      <c r="O753" s="74" t="s">
        <v>16615</v>
      </c>
      <c r="P753" s="74" t="s">
        <v>16616</v>
      </c>
      <c r="Q753" s="74" t="s">
        <v>16617</v>
      </c>
      <c r="R753" s="119"/>
      <c r="S753" s="119"/>
      <c r="T753" s="119"/>
      <c r="U753" s="119"/>
      <c r="V753" s="119"/>
      <c r="W753" s="74">
        <v>3.0</v>
      </c>
      <c r="X753" s="74">
        <v>1.0</v>
      </c>
      <c r="Y753" s="74">
        <v>3.0</v>
      </c>
      <c r="Z753" s="74">
        <v>3.0</v>
      </c>
      <c r="AA753" s="74">
        <v>2.0</v>
      </c>
      <c r="AB753" s="74">
        <v>1.0</v>
      </c>
      <c r="AC753" s="74">
        <v>3.0</v>
      </c>
      <c r="AD753" s="74">
        <v>1.0</v>
      </c>
      <c r="AE753" s="74">
        <v>1.0</v>
      </c>
      <c r="AF753" s="74">
        <v>1.0</v>
      </c>
      <c r="AG753" s="74">
        <v>1.0</v>
      </c>
      <c r="AH753" s="74">
        <v>3.0</v>
      </c>
      <c r="AI753" s="74">
        <v>0.0</v>
      </c>
      <c r="AJ753" s="119"/>
      <c r="AK753" s="74" t="s">
        <v>16705</v>
      </c>
      <c r="AL753" s="74">
        <v>6.0</v>
      </c>
      <c r="AM753" s="74">
        <v>1.0</v>
      </c>
      <c r="AN753" s="74" t="s">
        <v>10629</v>
      </c>
      <c r="AO753" s="120">
        <v>7873.0</v>
      </c>
      <c r="AP753" s="74" t="s">
        <v>16706</v>
      </c>
      <c r="AQ753" s="74" t="s">
        <v>16708</v>
      </c>
      <c r="AR753" s="120">
        <v>753.0</v>
      </c>
    </row>
    <row r="754">
      <c r="A754" s="74" t="s">
        <v>16709</v>
      </c>
      <c r="B754" s="74" t="s">
        <v>6876</v>
      </c>
      <c r="C754" s="74" t="s">
        <v>6877</v>
      </c>
      <c r="D754" s="74" t="s">
        <v>8493</v>
      </c>
      <c r="E754" s="146">
        <v>43873.0</v>
      </c>
      <c r="F754" s="74" t="s">
        <v>16712</v>
      </c>
      <c r="G754" s="74">
        <v>59.0</v>
      </c>
      <c r="H754" s="74">
        <v>1.0</v>
      </c>
      <c r="I754" s="74">
        <v>99.0</v>
      </c>
      <c r="J754" s="119"/>
      <c r="K754" s="119"/>
      <c r="L754" s="74" t="s">
        <v>3421</v>
      </c>
      <c r="M754" s="74" t="s">
        <v>3421</v>
      </c>
      <c r="N754" s="74" t="s">
        <v>16613</v>
      </c>
      <c r="O754" s="74" t="s">
        <v>16615</v>
      </c>
      <c r="P754" s="74" t="s">
        <v>16616</v>
      </c>
      <c r="Q754" s="74" t="s">
        <v>16617</v>
      </c>
      <c r="R754" s="119"/>
      <c r="S754" s="119"/>
      <c r="T754" s="119"/>
      <c r="U754" s="119"/>
      <c r="V754" s="119"/>
      <c r="W754" s="74">
        <v>7.0</v>
      </c>
      <c r="X754" s="74">
        <v>100.0</v>
      </c>
      <c r="Y754" s="74">
        <v>3.0</v>
      </c>
      <c r="Z754" s="74">
        <v>0.0</v>
      </c>
      <c r="AA754" s="119"/>
      <c r="AB754" s="119"/>
      <c r="AC754" s="119"/>
      <c r="AD754" s="119"/>
      <c r="AE754" s="119"/>
      <c r="AF754" s="119"/>
      <c r="AG754" s="119"/>
      <c r="AH754" s="119"/>
      <c r="AI754" s="119"/>
      <c r="AJ754" s="119"/>
      <c r="AK754" s="74" t="s">
        <v>16718</v>
      </c>
      <c r="AL754" s="74">
        <v>6.0</v>
      </c>
      <c r="AM754" s="74">
        <v>1.0</v>
      </c>
      <c r="AN754" s="74" t="s">
        <v>10629</v>
      </c>
      <c r="AO754" s="120">
        <v>7874.0</v>
      </c>
      <c r="AP754" s="74" t="s">
        <v>16722</v>
      </c>
      <c r="AQ754" s="74" t="s">
        <v>16723</v>
      </c>
      <c r="AR754" s="120">
        <v>754.0</v>
      </c>
    </row>
    <row r="755">
      <c r="A755" s="74" t="s">
        <v>16725</v>
      </c>
      <c r="B755" s="74" t="s">
        <v>6876</v>
      </c>
      <c r="C755" s="74" t="s">
        <v>6877</v>
      </c>
      <c r="D755" s="74" t="s">
        <v>8493</v>
      </c>
      <c r="E755" s="146">
        <v>43873.0</v>
      </c>
      <c r="F755" s="74" t="s">
        <v>16729</v>
      </c>
      <c r="G755" s="74">
        <v>33.0</v>
      </c>
      <c r="H755" s="74">
        <v>1.0</v>
      </c>
      <c r="I755" s="74">
        <v>98.0</v>
      </c>
      <c r="J755" s="119"/>
      <c r="K755" s="119"/>
      <c r="L755" s="74" t="s">
        <v>3446</v>
      </c>
      <c r="M755" s="74" t="s">
        <v>3446</v>
      </c>
      <c r="N755" s="74" t="s">
        <v>16613</v>
      </c>
      <c r="O755" s="74" t="s">
        <v>16615</v>
      </c>
      <c r="P755" s="74" t="s">
        <v>16616</v>
      </c>
      <c r="Q755" s="74" t="s">
        <v>16617</v>
      </c>
      <c r="R755" s="119"/>
      <c r="S755" s="119"/>
      <c r="T755" s="119"/>
      <c r="U755" s="119"/>
      <c r="V755" s="119"/>
      <c r="W755" s="74">
        <v>7.0</v>
      </c>
      <c r="X755" s="74">
        <v>100.0</v>
      </c>
      <c r="Y755" s="74">
        <v>3.0</v>
      </c>
      <c r="Z755" s="74">
        <v>0.0</v>
      </c>
      <c r="AA755" s="119"/>
      <c r="AB755" s="119"/>
      <c r="AC755" s="119"/>
      <c r="AD755" s="119"/>
      <c r="AE755" s="119"/>
      <c r="AF755" s="119"/>
      <c r="AG755" s="119"/>
      <c r="AH755" s="119"/>
      <c r="AI755" s="119"/>
      <c r="AJ755" s="119"/>
      <c r="AK755" s="74" t="s">
        <v>11376</v>
      </c>
      <c r="AL755" s="74">
        <v>6.0</v>
      </c>
      <c r="AM755" s="74">
        <v>1.0</v>
      </c>
      <c r="AN755" s="74" t="s">
        <v>10629</v>
      </c>
      <c r="AO755" s="120">
        <v>7875.0</v>
      </c>
      <c r="AP755" s="74" t="s">
        <v>16736</v>
      </c>
      <c r="AQ755" s="74" t="s">
        <v>16737</v>
      </c>
      <c r="AR755" s="120">
        <v>755.0</v>
      </c>
    </row>
    <row r="756">
      <c r="A756" s="74" t="s">
        <v>16740</v>
      </c>
      <c r="B756" s="74" t="s">
        <v>6876</v>
      </c>
      <c r="C756" s="74" t="s">
        <v>6877</v>
      </c>
      <c r="D756" s="74" t="s">
        <v>8493</v>
      </c>
      <c r="E756" s="146">
        <v>43881.0</v>
      </c>
      <c r="F756" s="74" t="s">
        <v>16743</v>
      </c>
      <c r="G756" s="74">
        <v>57.0</v>
      </c>
      <c r="H756" s="74">
        <v>1.0</v>
      </c>
      <c r="I756" s="74">
        <v>99.0</v>
      </c>
      <c r="J756" s="119"/>
      <c r="K756" s="119"/>
      <c r="L756" s="74" t="s">
        <v>3711</v>
      </c>
      <c r="M756" s="74" t="s">
        <v>3711</v>
      </c>
      <c r="N756" s="74" t="s">
        <v>16747</v>
      </c>
      <c r="O756" s="74" t="s">
        <v>16748</v>
      </c>
      <c r="P756" s="74" t="s">
        <v>16750</v>
      </c>
      <c r="Q756" s="74" t="s">
        <v>16751</v>
      </c>
      <c r="R756" s="119"/>
      <c r="S756" s="119"/>
      <c r="T756" s="119"/>
      <c r="U756" s="119"/>
      <c r="V756" s="119"/>
      <c r="W756" s="74">
        <v>7.0</v>
      </c>
      <c r="X756" s="74">
        <v>100.0</v>
      </c>
      <c r="Y756" s="74">
        <v>3.0</v>
      </c>
      <c r="Z756" s="74">
        <v>0.0</v>
      </c>
      <c r="AA756" s="119"/>
      <c r="AB756" s="119"/>
      <c r="AC756" s="119"/>
      <c r="AD756" s="119"/>
      <c r="AE756" s="119"/>
      <c r="AF756" s="119"/>
      <c r="AG756" s="119"/>
      <c r="AH756" s="119"/>
      <c r="AI756" s="119"/>
      <c r="AJ756" s="119"/>
      <c r="AK756" s="74" t="s">
        <v>16755</v>
      </c>
      <c r="AL756" s="74">
        <v>6.0</v>
      </c>
      <c r="AM756" s="74">
        <v>1.0</v>
      </c>
      <c r="AN756" s="74" t="s">
        <v>10629</v>
      </c>
      <c r="AO756" s="120">
        <v>8098.0</v>
      </c>
      <c r="AP756" s="74" t="s">
        <v>16757</v>
      </c>
      <c r="AQ756" s="74" t="s">
        <v>16758</v>
      </c>
      <c r="AR756" s="120">
        <v>756.0</v>
      </c>
    </row>
    <row r="757">
      <c r="A757" s="74" t="s">
        <v>16761</v>
      </c>
      <c r="B757" s="74" t="s">
        <v>6876</v>
      </c>
      <c r="C757" s="74" t="s">
        <v>6877</v>
      </c>
      <c r="D757" s="74" t="s">
        <v>8493</v>
      </c>
      <c r="E757" s="146">
        <v>43881.0</v>
      </c>
      <c r="F757" s="74" t="s">
        <v>16763</v>
      </c>
      <c r="G757" s="74">
        <v>57.0</v>
      </c>
      <c r="H757" s="74">
        <v>1.0</v>
      </c>
      <c r="I757" s="74">
        <v>99.0</v>
      </c>
      <c r="J757" s="119"/>
      <c r="K757" s="119"/>
      <c r="L757" s="74" t="s">
        <v>3589</v>
      </c>
      <c r="M757" s="74" t="s">
        <v>3589</v>
      </c>
      <c r="N757" s="74" t="s">
        <v>16747</v>
      </c>
      <c r="O757" s="74" t="s">
        <v>16748</v>
      </c>
      <c r="P757" s="74" t="s">
        <v>16750</v>
      </c>
      <c r="Q757" s="74" t="s">
        <v>16751</v>
      </c>
      <c r="R757" s="119"/>
      <c r="S757" s="119"/>
      <c r="T757" s="119"/>
      <c r="U757" s="119"/>
      <c r="V757" s="119"/>
      <c r="W757" s="74">
        <v>7.0</v>
      </c>
      <c r="X757" s="74">
        <v>100.0</v>
      </c>
      <c r="Y757" s="74">
        <v>3.0</v>
      </c>
      <c r="Z757" s="74">
        <v>0.0</v>
      </c>
      <c r="AA757" s="119"/>
      <c r="AB757" s="119"/>
      <c r="AC757" s="119"/>
      <c r="AD757" s="119"/>
      <c r="AE757" s="119"/>
      <c r="AF757" s="119"/>
      <c r="AG757" s="119"/>
      <c r="AH757" s="119"/>
      <c r="AI757" s="119"/>
      <c r="AJ757" s="119"/>
      <c r="AK757" s="74" t="s">
        <v>16769</v>
      </c>
      <c r="AL757" s="74">
        <v>6.0</v>
      </c>
      <c r="AM757" s="74">
        <v>1.0</v>
      </c>
      <c r="AN757" s="74" t="s">
        <v>10629</v>
      </c>
      <c r="AO757" s="120">
        <v>8099.0</v>
      </c>
      <c r="AP757" s="74" t="s">
        <v>16773</v>
      </c>
      <c r="AQ757" s="74" t="s">
        <v>16774</v>
      </c>
      <c r="AR757" s="120">
        <v>757.0</v>
      </c>
    </row>
    <row r="758">
      <c r="A758" s="74" t="s">
        <v>16763</v>
      </c>
      <c r="B758" s="74" t="s">
        <v>6876</v>
      </c>
      <c r="C758" s="74" t="s">
        <v>6877</v>
      </c>
      <c r="D758" s="74" t="s">
        <v>8493</v>
      </c>
      <c r="E758" s="146">
        <v>43881.0</v>
      </c>
      <c r="F758" s="74" t="s">
        <v>16777</v>
      </c>
      <c r="G758" s="74">
        <v>57.0</v>
      </c>
      <c r="H758" s="74">
        <v>1.0</v>
      </c>
      <c r="I758" s="74">
        <v>99.0</v>
      </c>
      <c r="J758" s="119"/>
      <c r="K758" s="119"/>
      <c r="L758" s="74" t="s">
        <v>3556</v>
      </c>
      <c r="M758" s="74" t="s">
        <v>3556</v>
      </c>
      <c r="N758" s="74" t="s">
        <v>16747</v>
      </c>
      <c r="O758" s="74" t="s">
        <v>16748</v>
      </c>
      <c r="P758" s="74" t="s">
        <v>16750</v>
      </c>
      <c r="Q758" s="74" t="s">
        <v>16751</v>
      </c>
      <c r="R758" s="119"/>
      <c r="S758" s="119"/>
      <c r="T758" s="119"/>
      <c r="U758" s="119"/>
      <c r="V758" s="119"/>
      <c r="W758" s="74">
        <v>7.0</v>
      </c>
      <c r="X758" s="74">
        <v>100.0</v>
      </c>
      <c r="Y758" s="74">
        <v>3.0</v>
      </c>
      <c r="Z758" s="74">
        <v>0.0</v>
      </c>
      <c r="AA758" s="119"/>
      <c r="AB758" s="119"/>
      <c r="AC758" s="119"/>
      <c r="AD758" s="119"/>
      <c r="AE758" s="119"/>
      <c r="AF758" s="119"/>
      <c r="AG758" s="119"/>
      <c r="AH758" s="119"/>
      <c r="AI758" s="119"/>
      <c r="AJ758" s="119"/>
      <c r="AK758" s="74" t="s">
        <v>16785</v>
      </c>
      <c r="AL758" s="74">
        <v>6.0</v>
      </c>
      <c r="AM758" s="74">
        <v>1.0</v>
      </c>
      <c r="AN758" s="74" t="s">
        <v>10629</v>
      </c>
      <c r="AO758" s="120">
        <v>8100.0</v>
      </c>
      <c r="AP758" s="74" t="s">
        <v>16790</v>
      </c>
      <c r="AQ758" s="74" t="s">
        <v>16791</v>
      </c>
      <c r="AR758" s="120">
        <v>758.0</v>
      </c>
    </row>
    <row r="759">
      <c r="A759" s="74" t="s">
        <v>16777</v>
      </c>
      <c r="B759" s="74" t="s">
        <v>6876</v>
      </c>
      <c r="C759" s="74" t="s">
        <v>6877</v>
      </c>
      <c r="D759" s="74" t="s">
        <v>8493</v>
      </c>
      <c r="E759" s="146">
        <v>43881.0</v>
      </c>
      <c r="F759" s="74" t="s">
        <v>16794</v>
      </c>
      <c r="G759" s="74">
        <v>55.0</v>
      </c>
      <c r="H759" s="74">
        <v>1.0</v>
      </c>
      <c r="I759" s="74">
        <v>99.0</v>
      </c>
      <c r="J759" s="119"/>
      <c r="K759" s="119"/>
      <c r="L759" s="74" t="s">
        <v>3483</v>
      </c>
      <c r="M759" s="74" t="s">
        <v>3483</v>
      </c>
      <c r="N759" s="74" t="s">
        <v>16747</v>
      </c>
      <c r="O759" s="74" t="s">
        <v>16748</v>
      </c>
      <c r="P759" s="74" t="s">
        <v>16750</v>
      </c>
      <c r="Q759" s="74" t="s">
        <v>16751</v>
      </c>
      <c r="R759" s="119"/>
      <c r="S759" s="119"/>
      <c r="T759" s="119"/>
      <c r="U759" s="119"/>
      <c r="V759" s="119"/>
      <c r="W759" s="74">
        <v>7.0</v>
      </c>
      <c r="X759" s="74">
        <v>100.0</v>
      </c>
      <c r="Y759" s="74">
        <v>3.0</v>
      </c>
      <c r="Z759" s="74">
        <v>0.0</v>
      </c>
      <c r="AA759" s="119"/>
      <c r="AB759" s="119"/>
      <c r="AC759" s="119"/>
      <c r="AD759" s="119"/>
      <c r="AE759" s="119"/>
      <c r="AF759" s="119"/>
      <c r="AG759" s="119"/>
      <c r="AH759" s="119"/>
      <c r="AI759" s="119"/>
      <c r="AJ759" s="119"/>
      <c r="AK759" s="74" t="s">
        <v>16804</v>
      </c>
      <c r="AL759" s="74">
        <v>6.0</v>
      </c>
      <c r="AM759" s="74">
        <v>1.0</v>
      </c>
      <c r="AN759" s="74" t="s">
        <v>10629</v>
      </c>
      <c r="AO759" s="120">
        <v>8101.0</v>
      </c>
      <c r="AP759" s="74" t="s">
        <v>16805</v>
      </c>
      <c r="AQ759" s="74" t="s">
        <v>16807</v>
      </c>
      <c r="AR759" s="120">
        <v>759.0</v>
      </c>
    </row>
    <row r="760">
      <c r="A760" s="74" t="s">
        <v>16794</v>
      </c>
      <c r="B760" s="74" t="s">
        <v>6876</v>
      </c>
      <c r="C760" s="74" t="s">
        <v>6877</v>
      </c>
      <c r="D760" s="74" t="s">
        <v>8493</v>
      </c>
      <c r="E760" s="146">
        <v>43881.0</v>
      </c>
      <c r="F760" s="74" t="s">
        <v>16810</v>
      </c>
      <c r="G760" s="74">
        <v>57.0</v>
      </c>
      <c r="H760" s="74">
        <v>1.0</v>
      </c>
      <c r="I760" s="74">
        <v>16.0</v>
      </c>
      <c r="J760" s="119"/>
      <c r="K760" s="119"/>
      <c r="L760" s="74" t="s">
        <v>3755</v>
      </c>
      <c r="M760" s="74" t="s">
        <v>3755</v>
      </c>
      <c r="N760" s="74" t="s">
        <v>16747</v>
      </c>
      <c r="O760" s="74" t="s">
        <v>16748</v>
      </c>
      <c r="P760" s="74" t="s">
        <v>16750</v>
      </c>
      <c r="Q760" s="74" t="s">
        <v>16751</v>
      </c>
      <c r="R760" s="119"/>
      <c r="S760" s="119"/>
      <c r="T760" s="119"/>
      <c r="U760" s="119"/>
      <c r="V760" s="119"/>
      <c r="W760" s="74">
        <v>3.0</v>
      </c>
      <c r="X760" s="74">
        <v>1.0</v>
      </c>
      <c r="Y760" s="74">
        <v>3.0</v>
      </c>
      <c r="Z760" s="74">
        <v>2.0</v>
      </c>
      <c r="AA760" s="74">
        <v>2.0</v>
      </c>
      <c r="AB760" s="74">
        <v>1.0</v>
      </c>
      <c r="AC760" s="74">
        <v>3.0</v>
      </c>
      <c r="AD760" s="74">
        <v>0.0</v>
      </c>
      <c r="AE760" s="74">
        <v>1.0</v>
      </c>
      <c r="AF760" s="74">
        <v>1.0</v>
      </c>
      <c r="AG760" s="74">
        <v>1.0</v>
      </c>
      <c r="AH760" s="74">
        <v>3.0</v>
      </c>
      <c r="AI760" s="74">
        <v>0.0</v>
      </c>
      <c r="AJ760" s="119"/>
      <c r="AK760" s="74" t="s">
        <v>16815</v>
      </c>
      <c r="AL760" s="74">
        <v>6.0</v>
      </c>
      <c r="AM760" s="74">
        <v>1.0</v>
      </c>
      <c r="AN760" s="74" t="s">
        <v>10629</v>
      </c>
      <c r="AO760" s="120">
        <v>8102.0</v>
      </c>
      <c r="AP760" s="74" t="s">
        <v>16816</v>
      </c>
      <c r="AQ760" s="74" t="s">
        <v>16817</v>
      </c>
      <c r="AR760" s="120">
        <v>760.0</v>
      </c>
    </row>
    <row r="761">
      <c r="A761" s="74" t="s">
        <v>16810</v>
      </c>
      <c r="B761" s="74" t="s">
        <v>6876</v>
      </c>
      <c r="C761" s="74" t="s">
        <v>6877</v>
      </c>
      <c r="D761" s="74" t="s">
        <v>8493</v>
      </c>
      <c r="E761" s="146">
        <v>43881.0</v>
      </c>
      <c r="F761" s="74" t="s">
        <v>16822</v>
      </c>
      <c r="G761" s="74">
        <v>58.0</v>
      </c>
      <c r="H761" s="74">
        <v>2.0</v>
      </c>
      <c r="I761" s="74">
        <v>2.0</v>
      </c>
      <c r="J761" s="119"/>
      <c r="K761" s="119"/>
      <c r="L761" s="74" t="s">
        <v>350</v>
      </c>
      <c r="M761" s="74" t="s">
        <v>350</v>
      </c>
      <c r="N761" s="74" t="s">
        <v>16747</v>
      </c>
      <c r="O761" s="74" t="s">
        <v>16748</v>
      </c>
      <c r="P761" s="74" t="s">
        <v>16750</v>
      </c>
      <c r="Q761" s="74" t="s">
        <v>16751</v>
      </c>
      <c r="R761" s="74">
        <v>225.0</v>
      </c>
      <c r="S761" s="119"/>
      <c r="T761" s="119"/>
      <c r="U761" s="119"/>
      <c r="V761" s="119"/>
      <c r="W761" s="74">
        <v>7.0</v>
      </c>
      <c r="X761" s="74">
        <v>10.0</v>
      </c>
      <c r="Y761" s="74">
        <v>1.0</v>
      </c>
      <c r="Z761" s="119"/>
      <c r="AA761" s="74">
        <v>6.0</v>
      </c>
      <c r="AB761" s="74">
        <v>1.0</v>
      </c>
      <c r="AC761" s="74">
        <v>3.0</v>
      </c>
      <c r="AD761" s="74">
        <v>0.0</v>
      </c>
      <c r="AE761" s="74">
        <v>1.0</v>
      </c>
      <c r="AF761" s="74">
        <v>5.0</v>
      </c>
      <c r="AG761" s="74">
        <v>1.0</v>
      </c>
      <c r="AH761" s="74">
        <v>3.0</v>
      </c>
      <c r="AI761" s="74">
        <v>0.0</v>
      </c>
      <c r="AJ761" s="119"/>
      <c r="AK761" s="74" t="s">
        <v>16831</v>
      </c>
      <c r="AL761" s="74">
        <v>6.0</v>
      </c>
      <c r="AM761" s="74">
        <v>1.0</v>
      </c>
      <c r="AN761" s="74" t="s">
        <v>10629</v>
      </c>
      <c r="AO761" s="120">
        <v>8103.0</v>
      </c>
      <c r="AP761" s="74" t="s">
        <v>16832</v>
      </c>
      <c r="AQ761" s="74" t="s">
        <v>16833</v>
      </c>
      <c r="AR761" s="120">
        <v>761.0</v>
      </c>
    </row>
    <row r="762">
      <c r="A762" s="74" t="s">
        <v>16834</v>
      </c>
      <c r="B762" s="74" t="s">
        <v>6876</v>
      </c>
      <c r="C762" s="74" t="s">
        <v>6877</v>
      </c>
      <c r="D762" s="74" t="s">
        <v>8493</v>
      </c>
      <c r="E762" s="146">
        <v>43881.0</v>
      </c>
      <c r="F762" s="74" t="s">
        <v>16837</v>
      </c>
      <c r="G762" s="74">
        <v>58.0</v>
      </c>
      <c r="H762" s="74">
        <v>2.0</v>
      </c>
      <c r="I762" s="74">
        <v>2.0</v>
      </c>
      <c r="J762" s="119"/>
      <c r="K762" s="119"/>
      <c r="L762" s="74" t="s">
        <v>16838</v>
      </c>
      <c r="M762" s="74" t="s">
        <v>16838</v>
      </c>
      <c r="N762" s="74" t="s">
        <v>16747</v>
      </c>
      <c r="O762" s="74" t="s">
        <v>16748</v>
      </c>
      <c r="P762" s="74" t="s">
        <v>16750</v>
      </c>
      <c r="Q762" s="74" t="s">
        <v>16751</v>
      </c>
      <c r="R762" s="74">
        <v>27.0</v>
      </c>
      <c r="S762" s="119"/>
      <c r="T762" s="119"/>
      <c r="U762" s="119"/>
      <c r="V762" s="119"/>
      <c r="W762" s="74">
        <v>7.0</v>
      </c>
      <c r="X762" s="74">
        <v>10.0</v>
      </c>
      <c r="Y762" s="74">
        <v>2.0</v>
      </c>
      <c r="Z762" s="119"/>
      <c r="AA762" s="74">
        <v>6.0</v>
      </c>
      <c r="AB762" s="74">
        <v>1.0</v>
      </c>
      <c r="AC762" s="74">
        <v>2.0</v>
      </c>
      <c r="AD762" s="119"/>
      <c r="AE762" s="74">
        <v>1.0</v>
      </c>
      <c r="AF762" s="74">
        <v>5.0</v>
      </c>
      <c r="AG762" s="74">
        <v>1.0</v>
      </c>
      <c r="AH762" s="74">
        <v>1.0</v>
      </c>
      <c r="AI762" s="119"/>
      <c r="AJ762" s="119"/>
      <c r="AK762" s="74" t="s">
        <v>16842</v>
      </c>
      <c r="AL762" s="74">
        <v>6.0</v>
      </c>
      <c r="AM762" s="74">
        <v>1.0</v>
      </c>
      <c r="AN762" s="74" t="s">
        <v>10629</v>
      </c>
      <c r="AO762" s="120">
        <v>8104.0</v>
      </c>
      <c r="AP762" s="74" t="s">
        <v>16844</v>
      </c>
      <c r="AQ762" s="74" t="s">
        <v>16845</v>
      </c>
      <c r="AR762" s="120">
        <v>762.0</v>
      </c>
    </row>
    <row r="763">
      <c r="A763" s="74" t="s">
        <v>16837</v>
      </c>
      <c r="B763" s="74" t="s">
        <v>6876</v>
      </c>
      <c r="C763" s="74" t="s">
        <v>6877</v>
      </c>
      <c r="D763" s="74" t="s">
        <v>8493</v>
      </c>
      <c r="E763" s="146">
        <v>43881.0</v>
      </c>
      <c r="F763" s="74" t="s">
        <v>16846</v>
      </c>
      <c r="G763" s="74">
        <v>58.0</v>
      </c>
      <c r="H763" s="74">
        <v>2.0</v>
      </c>
      <c r="I763" s="74">
        <v>99.0</v>
      </c>
      <c r="J763" s="119"/>
      <c r="K763" s="119"/>
      <c r="L763" s="74" t="s">
        <v>3336</v>
      </c>
      <c r="M763" s="74" t="s">
        <v>3336</v>
      </c>
      <c r="N763" s="74" t="s">
        <v>16747</v>
      </c>
      <c r="O763" s="74" t="s">
        <v>16748</v>
      </c>
      <c r="P763" s="74" t="s">
        <v>16750</v>
      </c>
      <c r="Q763" s="74" t="s">
        <v>16751</v>
      </c>
      <c r="R763" s="119"/>
      <c r="S763" s="119"/>
      <c r="T763" s="119"/>
      <c r="U763" s="119"/>
      <c r="V763" s="119"/>
      <c r="W763" s="74">
        <v>7.0</v>
      </c>
      <c r="X763" s="74">
        <v>100.0</v>
      </c>
      <c r="Y763" s="74">
        <v>3.0</v>
      </c>
      <c r="Z763" s="74">
        <v>0.0</v>
      </c>
      <c r="AA763" s="119"/>
      <c r="AB763" s="119"/>
      <c r="AC763" s="119"/>
      <c r="AD763" s="119"/>
      <c r="AE763" s="119"/>
      <c r="AF763" s="119"/>
      <c r="AG763" s="119"/>
      <c r="AH763" s="119"/>
      <c r="AI763" s="119"/>
      <c r="AJ763" s="119"/>
      <c r="AK763" s="74" t="s">
        <v>16852</v>
      </c>
      <c r="AL763" s="74">
        <v>6.0</v>
      </c>
      <c r="AM763" s="74">
        <v>1.0</v>
      </c>
      <c r="AN763" s="74" t="s">
        <v>10629</v>
      </c>
      <c r="AO763" s="120">
        <v>8105.0</v>
      </c>
      <c r="AP763" s="74" t="s">
        <v>16858</v>
      </c>
      <c r="AQ763" s="74" t="s">
        <v>16860</v>
      </c>
      <c r="AR763" s="120">
        <v>763.0</v>
      </c>
    </row>
    <row r="764">
      <c r="A764" s="74" t="s">
        <v>16846</v>
      </c>
      <c r="B764" s="74" t="s">
        <v>6876</v>
      </c>
      <c r="C764" s="74" t="s">
        <v>6877</v>
      </c>
      <c r="D764" s="74" t="s">
        <v>8493</v>
      </c>
      <c r="E764" s="146">
        <v>43881.0</v>
      </c>
      <c r="F764" s="74" t="s">
        <v>16863</v>
      </c>
      <c r="G764" s="74">
        <v>58.0</v>
      </c>
      <c r="H764" s="74">
        <v>2.0</v>
      </c>
      <c r="I764" s="74">
        <v>10.0</v>
      </c>
      <c r="J764" s="119"/>
      <c r="K764" s="119"/>
      <c r="L764" s="74" t="s">
        <v>3345</v>
      </c>
      <c r="M764" s="74" t="s">
        <v>3345</v>
      </c>
      <c r="N764" s="74" t="s">
        <v>16747</v>
      </c>
      <c r="O764" s="74" t="s">
        <v>16748</v>
      </c>
      <c r="P764" s="74" t="s">
        <v>16750</v>
      </c>
      <c r="Q764" s="74" t="s">
        <v>16751</v>
      </c>
      <c r="R764" s="119"/>
      <c r="S764" s="74">
        <v>25.0</v>
      </c>
      <c r="T764" s="119"/>
      <c r="U764" s="119"/>
      <c r="V764" s="119"/>
      <c r="W764" s="74">
        <v>6.0</v>
      </c>
      <c r="X764" s="74">
        <v>1.0</v>
      </c>
      <c r="Y764" s="74">
        <v>3.0</v>
      </c>
      <c r="Z764" s="74">
        <v>0.0</v>
      </c>
      <c r="AA764" s="74">
        <v>5.0</v>
      </c>
      <c r="AB764" s="74">
        <v>1.0</v>
      </c>
      <c r="AC764" s="74">
        <v>3.0</v>
      </c>
      <c r="AD764" s="74">
        <v>0.0</v>
      </c>
      <c r="AE764" s="74">
        <v>1.0</v>
      </c>
      <c r="AF764" s="74">
        <v>4.0</v>
      </c>
      <c r="AG764" s="74">
        <v>1.0</v>
      </c>
      <c r="AH764" s="74">
        <v>3.0</v>
      </c>
      <c r="AI764" s="74">
        <v>0.0</v>
      </c>
      <c r="AJ764" s="119"/>
      <c r="AK764" s="74" t="s">
        <v>16867</v>
      </c>
      <c r="AL764" s="74">
        <v>6.0</v>
      </c>
      <c r="AM764" s="74">
        <v>1.0</v>
      </c>
      <c r="AN764" s="74" t="s">
        <v>10629</v>
      </c>
      <c r="AO764" s="120">
        <v>8106.0</v>
      </c>
      <c r="AP764" s="74" t="s">
        <v>16868</v>
      </c>
      <c r="AQ764" s="74" t="s">
        <v>16869</v>
      </c>
      <c r="AR764" s="120">
        <v>764.0</v>
      </c>
    </row>
    <row r="765">
      <c r="A765" s="74" t="s">
        <v>16871</v>
      </c>
      <c r="B765" s="74" t="s">
        <v>6876</v>
      </c>
      <c r="C765" s="74" t="s">
        <v>6877</v>
      </c>
      <c r="D765" s="74" t="s">
        <v>8493</v>
      </c>
      <c r="E765" s="146">
        <v>43881.0</v>
      </c>
      <c r="F765" s="74" t="s">
        <v>16873</v>
      </c>
      <c r="G765" s="74">
        <v>58.0</v>
      </c>
      <c r="H765" s="74">
        <v>2.0</v>
      </c>
      <c r="I765" s="74">
        <v>99.0</v>
      </c>
      <c r="J765" s="119"/>
      <c r="K765" s="119"/>
      <c r="L765" s="74" t="s">
        <v>3353</v>
      </c>
      <c r="M765" s="74" t="s">
        <v>3353</v>
      </c>
      <c r="N765" s="74" t="s">
        <v>16747</v>
      </c>
      <c r="O765" s="74" t="s">
        <v>16748</v>
      </c>
      <c r="P765" s="74" t="s">
        <v>16750</v>
      </c>
      <c r="Q765" s="74" t="s">
        <v>16751</v>
      </c>
      <c r="R765" s="119"/>
      <c r="S765" s="119"/>
      <c r="T765" s="119"/>
      <c r="U765" s="119"/>
      <c r="V765" s="119"/>
      <c r="W765" s="74">
        <v>7.0</v>
      </c>
      <c r="X765" s="74">
        <v>100.0</v>
      </c>
      <c r="Y765" s="74">
        <v>3.0</v>
      </c>
      <c r="Z765" s="74">
        <v>0.0</v>
      </c>
      <c r="AA765" s="119"/>
      <c r="AB765" s="119"/>
      <c r="AC765" s="119"/>
      <c r="AD765" s="119"/>
      <c r="AE765" s="119"/>
      <c r="AF765" s="119"/>
      <c r="AG765" s="119"/>
      <c r="AH765" s="119"/>
      <c r="AI765" s="119"/>
      <c r="AJ765" s="119"/>
      <c r="AK765" s="74" t="s">
        <v>16877</v>
      </c>
      <c r="AL765" s="74">
        <v>6.0</v>
      </c>
      <c r="AM765" s="74">
        <v>1.0</v>
      </c>
      <c r="AN765" s="74" t="s">
        <v>10629</v>
      </c>
      <c r="AO765" s="120">
        <v>8107.0</v>
      </c>
      <c r="AP765" s="74" t="s">
        <v>16878</v>
      </c>
      <c r="AQ765" s="74" t="s">
        <v>16880</v>
      </c>
      <c r="AR765" s="120">
        <v>765.0</v>
      </c>
    </row>
    <row r="766">
      <c r="A766" s="74" t="s">
        <v>16873</v>
      </c>
      <c r="B766" s="74" t="s">
        <v>6876</v>
      </c>
      <c r="C766" s="74" t="s">
        <v>6877</v>
      </c>
      <c r="D766" s="74" t="s">
        <v>8493</v>
      </c>
      <c r="E766" s="146">
        <v>43881.0</v>
      </c>
      <c r="F766" s="74" t="s">
        <v>16881</v>
      </c>
      <c r="G766" s="74">
        <v>33.0</v>
      </c>
      <c r="H766" s="74">
        <v>1.0</v>
      </c>
      <c r="I766" s="74">
        <v>98.0</v>
      </c>
      <c r="J766" s="119"/>
      <c r="K766" s="119"/>
      <c r="L766" s="74" t="s">
        <v>3762</v>
      </c>
      <c r="M766" s="74" t="s">
        <v>3762</v>
      </c>
      <c r="N766" s="74" t="s">
        <v>16747</v>
      </c>
      <c r="O766" s="74" t="s">
        <v>16748</v>
      </c>
      <c r="P766" s="74" t="s">
        <v>16750</v>
      </c>
      <c r="Q766" s="74" t="s">
        <v>16751</v>
      </c>
      <c r="R766" s="119"/>
      <c r="S766" s="119"/>
      <c r="T766" s="119"/>
      <c r="U766" s="119"/>
      <c r="V766" s="119"/>
      <c r="W766" s="74">
        <v>7.0</v>
      </c>
      <c r="X766" s="74">
        <v>100.0</v>
      </c>
      <c r="Y766" s="74">
        <v>3.0</v>
      </c>
      <c r="Z766" s="74">
        <v>0.0</v>
      </c>
      <c r="AA766" s="119"/>
      <c r="AB766" s="119"/>
      <c r="AC766" s="119"/>
      <c r="AD766" s="119"/>
      <c r="AE766" s="119"/>
      <c r="AF766" s="119"/>
      <c r="AG766" s="119"/>
      <c r="AH766" s="119"/>
      <c r="AI766" s="119"/>
      <c r="AJ766" s="119"/>
      <c r="AK766" s="74" t="s">
        <v>11376</v>
      </c>
      <c r="AL766" s="74">
        <v>6.0</v>
      </c>
      <c r="AM766" s="74">
        <v>1.0</v>
      </c>
      <c r="AN766" s="74" t="s">
        <v>10629</v>
      </c>
      <c r="AO766" s="120">
        <v>8108.0</v>
      </c>
      <c r="AP766" s="74" t="s">
        <v>16889</v>
      </c>
      <c r="AQ766" s="74" t="s">
        <v>16890</v>
      </c>
      <c r="AR766" s="120">
        <v>766.0</v>
      </c>
    </row>
    <row r="767">
      <c r="A767" s="74" t="s">
        <v>16891</v>
      </c>
      <c r="B767" s="74" t="s">
        <v>6876</v>
      </c>
      <c r="C767" s="74" t="s">
        <v>6877</v>
      </c>
      <c r="D767" s="74" t="s">
        <v>8493</v>
      </c>
      <c r="E767" s="146">
        <v>43881.0</v>
      </c>
      <c r="F767" s="74" t="s">
        <v>16893</v>
      </c>
      <c r="G767" s="74">
        <v>29.0</v>
      </c>
      <c r="H767" s="74">
        <v>1.0</v>
      </c>
      <c r="I767" s="74">
        <v>99.0</v>
      </c>
      <c r="J767" s="119"/>
      <c r="K767" s="119"/>
      <c r="L767" s="74" t="s">
        <v>3774</v>
      </c>
      <c r="M767" s="74" t="s">
        <v>3774</v>
      </c>
      <c r="N767" s="74" t="s">
        <v>16896</v>
      </c>
      <c r="O767" s="74" t="s">
        <v>16897</v>
      </c>
      <c r="P767" s="74" t="s">
        <v>16898</v>
      </c>
      <c r="Q767" s="74" t="s">
        <v>16899</v>
      </c>
      <c r="R767" s="119"/>
      <c r="S767" s="119"/>
      <c r="T767" s="119"/>
      <c r="U767" s="119"/>
      <c r="V767" s="119"/>
      <c r="W767" s="74">
        <v>7.0</v>
      </c>
      <c r="X767" s="74">
        <v>100.0</v>
      </c>
      <c r="Y767" s="74">
        <v>3.0</v>
      </c>
      <c r="Z767" s="74">
        <v>0.0</v>
      </c>
      <c r="AA767" s="119"/>
      <c r="AB767" s="119"/>
      <c r="AC767" s="119"/>
      <c r="AD767" s="119"/>
      <c r="AE767" s="119"/>
      <c r="AF767" s="119"/>
      <c r="AG767" s="119"/>
      <c r="AH767" s="119"/>
      <c r="AI767" s="119"/>
      <c r="AJ767" s="119"/>
      <c r="AK767" s="74" t="s">
        <v>16901</v>
      </c>
      <c r="AL767" s="74">
        <v>6.0</v>
      </c>
      <c r="AM767" s="74">
        <v>1.0</v>
      </c>
      <c r="AN767" s="74" t="s">
        <v>10629</v>
      </c>
      <c r="AO767" s="120">
        <v>8109.0</v>
      </c>
      <c r="AP767" s="74" t="s">
        <v>16902</v>
      </c>
      <c r="AQ767" s="74" t="s">
        <v>16903</v>
      </c>
      <c r="AR767" s="120">
        <v>767.0</v>
      </c>
    </row>
    <row r="768">
      <c r="A768" s="74" t="s">
        <v>16893</v>
      </c>
      <c r="B768" s="74" t="s">
        <v>6876</v>
      </c>
      <c r="C768" s="74" t="s">
        <v>6877</v>
      </c>
      <c r="D768" s="74" t="s">
        <v>8493</v>
      </c>
      <c r="E768" s="146">
        <v>43881.0</v>
      </c>
      <c r="F768" s="74" t="s">
        <v>16906</v>
      </c>
      <c r="G768" s="74">
        <v>3.0</v>
      </c>
      <c r="H768" s="74">
        <v>1.0</v>
      </c>
      <c r="I768" s="74">
        <v>99.0</v>
      </c>
      <c r="J768" s="119"/>
      <c r="K768" s="119"/>
      <c r="L768" s="74" t="s">
        <v>3792</v>
      </c>
      <c r="M768" s="74" t="s">
        <v>3792</v>
      </c>
      <c r="N768" s="74" t="s">
        <v>16896</v>
      </c>
      <c r="O768" s="74" t="s">
        <v>16897</v>
      </c>
      <c r="P768" s="74" t="s">
        <v>16898</v>
      </c>
      <c r="Q768" s="74" t="s">
        <v>16899</v>
      </c>
      <c r="R768" s="119"/>
      <c r="S768" s="119"/>
      <c r="T768" s="119"/>
      <c r="U768" s="119"/>
      <c r="V768" s="119"/>
      <c r="W768" s="74">
        <v>7.0</v>
      </c>
      <c r="X768" s="74">
        <v>100.0</v>
      </c>
      <c r="Y768" s="74">
        <v>3.0</v>
      </c>
      <c r="Z768" s="74">
        <v>0.0</v>
      </c>
      <c r="AA768" s="119"/>
      <c r="AB768" s="119"/>
      <c r="AC768" s="119"/>
      <c r="AD768" s="119"/>
      <c r="AE768" s="119"/>
      <c r="AF768" s="119"/>
      <c r="AG768" s="119"/>
      <c r="AH768" s="119"/>
      <c r="AI768" s="119"/>
      <c r="AJ768" s="119"/>
      <c r="AK768" s="74" t="s">
        <v>16911</v>
      </c>
      <c r="AL768" s="74">
        <v>6.0</v>
      </c>
      <c r="AM768" s="74">
        <v>1.0</v>
      </c>
      <c r="AN768" s="74" t="s">
        <v>10629</v>
      </c>
      <c r="AO768" s="120">
        <v>8110.0</v>
      </c>
      <c r="AP768" s="74" t="s">
        <v>16912</v>
      </c>
      <c r="AQ768" s="74" t="s">
        <v>16913</v>
      </c>
      <c r="AR768" s="120">
        <v>768.0</v>
      </c>
    </row>
    <row r="769">
      <c r="A769" s="74" t="s">
        <v>16906</v>
      </c>
      <c r="B769" s="74" t="s">
        <v>6876</v>
      </c>
      <c r="C769" s="74" t="s">
        <v>6877</v>
      </c>
      <c r="D769" s="74" t="s">
        <v>8493</v>
      </c>
      <c r="E769" s="146">
        <v>43881.0</v>
      </c>
      <c r="F769" s="74" t="s">
        <v>16917</v>
      </c>
      <c r="G769" s="74">
        <v>65.0</v>
      </c>
      <c r="H769" s="74">
        <v>1.0</v>
      </c>
      <c r="I769" s="74">
        <v>16.0</v>
      </c>
      <c r="J769" s="119"/>
      <c r="K769" s="119"/>
      <c r="L769" s="74" t="s">
        <v>3838</v>
      </c>
      <c r="M769" s="74" t="s">
        <v>3838</v>
      </c>
      <c r="N769" s="74" t="s">
        <v>16896</v>
      </c>
      <c r="O769" s="74" t="s">
        <v>16897</v>
      </c>
      <c r="P769" s="74" t="s">
        <v>16898</v>
      </c>
      <c r="Q769" s="74" t="s">
        <v>16899</v>
      </c>
      <c r="R769" s="119"/>
      <c r="S769" s="119"/>
      <c r="T769" s="119"/>
      <c r="U769" s="119"/>
      <c r="V769" s="119"/>
      <c r="W769" s="74">
        <v>3.0</v>
      </c>
      <c r="X769" s="74">
        <v>1.0</v>
      </c>
      <c r="Y769" s="74">
        <v>3.0</v>
      </c>
      <c r="Z769" s="74">
        <v>4.0</v>
      </c>
      <c r="AA769" s="74">
        <v>2.0</v>
      </c>
      <c r="AB769" s="74">
        <v>1.0</v>
      </c>
      <c r="AC769" s="74">
        <v>3.0</v>
      </c>
      <c r="AD769" s="74">
        <v>0.0</v>
      </c>
      <c r="AE769" s="74">
        <v>0.0</v>
      </c>
      <c r="AF769" s="119"/>
      <c r="AG769" s="119"/>
      <c r="AH769" s="119"/>
      <c r="AI769" s="119"/>
      <c r="AJ769" s="119"/>
      <c r="AK769" s="74" t="s">
        <v>16924</v>
      </c>
      <c r="AL769" s="74">
        <v>6.0</v>
      </c>
      <c r="AM769" s="74">
        <v>1.0</v>
      </c>
      <c r="AN769" s="74" t="s">
        <v>10629</v>
      </c>
      <c r="AO769" s="120">
        <v>8111.0</v>
      </c>
      <c r="AP769" s="74" t="s">
        <v>16925</v>
      </c>
      <c r="AQ769" s="74" t="s">
        <v>16926</v>
      </c>
      <c r="AR769" s="120">
        <v>769.0</v>
      </c>
    </row>
    <row r="770">
      <c r="A770" s="74" t="s">
        <v>16917</v>
      </c>
      <c r="B770" s="74" t="s">
        <v>6876</v>
      </c>
      <c r="C770" s="74" t="s">
        <v>6877</v>
      </c>
      <c r="D770" s="74" t="s">
        <v>8493</v>
      </c>
      <c r="E770" s="146">
        <v>43881.0</v>
      </c>
      <c r="F770" s="74" t="s">
        <v>16928</v>
      </c>
      <c r="G770" s="74">
        <v>58.0</v>
      </c>
      <c r="H770" s="74">
        <v>1.0</v>
      </c>
      <c r="I770" s="74">
        <v>7.0</v>
      </c>
      <c r="J770" s="119"/>
      <c r="K770" s="119"/>
      <c r="L770" s="74" t="s">
        <v>3805</v>
      </c>
      <c r="M770" s="74" t="s">
        <v>3805</v>
      </c>
      <c r="N770" s="74" t="s">
        <v>16896</v>
      </c>
      <c r="O770" s="74" t="s">
        <v>16897</v>
      </c>
      <c r="P770" s="74" t="s">
        <v>16898</v>
      </c>
      <c r="Q770" s="74" t="s">
        <v>16899</v>
      </c>
      <c r="R770" s="119"/>
      <c r="S770" s="119"/>
      <c r="T770" s="119"/>
      <c r="U770" s="119"/>
      <c r="V770" s="119"/>
      <c r="W770" s="74">
        <v>3.0</v>
      </c>
      <c r="X770" s="74">
        <v>1.0</v>
      </c>
      <c r="Y770" s="74">
        <v>3.0</v>
      </c>
      <c r="Z770" s="74">
        <v>1.0</v>
      </c>
      <c r="AA770" s="74">
        <v>2.0</v>
      </c>
      <c r="AB770" s="74">
        <v>1.0</v>
      </c>
      <c r="AC770" s="74">
        <v>3.0</v>
      </c>
      <c r="AD770" s="74">
        <v>0.0</v>
      </c>
      <c r="AE770" s="74">
        <v>0.0</v>
      </c>
      <c r="AF770" s="119"/>
      <c r="AG770" s="119"/>
      <c r="AH770" s="119"/>
      <c r="AI770" s="119"/>
      <c r="AJ770" s="119"/>
      <c r="AK770" s="74" t="s">
        <v>16932</v>
      </c>
      <c r="AL770" s="74">
        <v>6.0</v>
      </c>
      <c r="AM770" s="74">
        <v>1.0</v>
      </c>
      <c r="AN770" s="74" t="s">
        <v>10629</v>
      </c>
      <c r="AO770" s="120">
        <v>8112.0</v>
      </c>
      <c r="AP770" s="74" t="s">
        <v>16933</v>
      </c>
      <c r="AQ770" s="74" t="s">
        <v>16934</v>
      </c>
      <c r="AR770" s="120">
        <v>770.0</v>
      </c>
    </row>
    <row r="771">
      <c r="A771" s="74" t="s">
        <v>16928</v>
      </c>
      <c r="B771" s="74" t="s">
        <v>6876</v>
      </c>
      <c r="C771" s="74" t="s">
        <v>6877</v>
      </c>
      <c r="D771" s="74" t="s">
        <v>8493</v>
      </c>
      <c r="E771" s="146">
        <v>43881.0</v>
      </c>
      <c r="F771" s="74" t="s">
        <v>16935</v>
      </c>
      <c r="G771" s="74">
        <v>58.0</v>
      </c>
      <c r="H771" s="74">
        <v>1.0</v>
      </c>
      <c r="I771" s="74">
        <v>99.0</v>
      </c>
      <c r="J771" s="119"/>
      <c r="K771" s="119"/>
      <c r="L771" s="74" t="s">
        <v>3812</v>
      </c>
      <c r="M771" s="74" t="s">
        <v>3812</v>
      </c>
      <c r="N771" s="74" t="s">
        <v>16896</v>
      </c>
      <c r="O771" s="74" t="s">
        <v>16897</v>
      </c>
      <c r="P771" s="74" t="s">
        <v>16898</v>
      </c>
      <c r="Q771" s="74" t="s">
        <v>16899</v>
      </c>
      <c r="R771" s="119"/>
      <c r="S771" s="119"/>
      <c r="T771" s="119"/>
      <c r="U771" s="119"/>
      <c r="V771" s="119"/>
      <c r="W771" s="74">
        <v>7.0</v>
      </c>
      <c r="X771" s="74">
        <v>100.0</v>
      </c>
      <c r="Y771" s="74">
        <v>3.0</v>
      </c>
      <c r="Z771" s="74">
        <v>0.0</v>
      </c>
      <c r="AA771" s="119"/>
      <c r="AB771" s="119"/>
      <c r="AC771" s="119"/>
      <c r="AD771" s="119"/>
      <c r="AE771" s="119"/>
      <c r="AF771" s="119"/>
      <c r="AG771" s="119"/>
      <c r="AH771" s="119"/>
      <c r="AI771" s="119"/>
      <c r="AJ771" s="119"/>
      <c r="AK771" s="74" t="s">
        <v>16939</v>
      </c>
      <c r="AL771" s="74">
        <v>6.0</v>
      </c>
      <c r="AM771" s="74">
        <v>1.0</v>
      </c>
      <c r="AN771" s="74" t="s">
        <v>10629</v>
      </c>
      <c r="AO771" s="120">
        <v>8113.0</v>
      </c>
      <c r="AP771" s="74" t="s">
        <v>16940</v>
      </c>
      <c r="AQ771" s="74" t="s">
        <v>16941</v>
      </c>
      <c r="AR771" s="120">
        <v>771.0</v>
      </c>
    </row>
    <row r="772">
      <c r="A772" s="74" t="s">
        <v>16942</v>
      </c>
      <c r="B772" s="74" t="s">
        <v>6876</v>
      </c>
      <c r="C772" s="74" t="s">
        <v>6877</v>
      </c>
      <c r="D772" s="74" t="s">
        <v>8493</v>
      </c>
      <c r="E772" s="146">
        <v>43881.0</v>
      </c>
      <c r="F772" s="74" t="s">
        <v>16944</v>
      </c>
      <c r="G772" s="74">
        <v>58.0</v>
      </c>
      <c r="H772" s="74">
        <v>1.0</v>
      </c>
      <c r="I772" s="74">
        <v>7.0</v>
      </c>
      <c r="J772" s="119"/>
      <c r="K772" s="119"/>
      <c r="L772" s="74" t="s">
        <v>3821</v>
      </c>
      <c r="M772" s="74" t="s">
        <v>3821</v>
      </c>
      <c r="N772" s="74" t="s">
        <v>16896</v>
      </c>
      <c r="O772" s="74" t="s">
        <v>16897</v>
      </c>
      <c r="P772" s="74" t="s">
        <v>16898</v>
      </c>
      <c r="Q772" s="74" t="s">
        <v>16899</v>
      </c>
      <c r="R772" s="119"/>
      <c r="S772" s="119"/>
      <c r="T772" s="119"/>
      <c r="U772" s="119"/>
      <c r="V772" s="119"/>
      <c r="W772" s="74">
        <v>3.0</v>
      </c>
      <c r="X772" s="74">
        <v>1.0</v>
      </c>
      <c r="Y772" s="74">
        <v>3.0</v>
      </c>
      <c r="Z772" s="74">
        <v>0.0</v>
      </c>
      <c r="AA772" s="74">
        <v>2.0</v>
      </c>
      <c r="AB772" s="74">
        <v>1.0</v>
      </c>
      <c r="AC772" s="74">
        <v>3.0</v>
      </c>
      <c r="AD772" s="74">
        <v>0.0</v>
      </c>
      <c r="AE772" s="74">
        <v>0.0</v>
      </c>
      <c r="AF772" s="119"/>
      <c r="AG772" s="119"/>
      <c r="AH772" s="119"/>
      <c r="AI772" s="119"/>
      <c r="AJ772" s="119"/>
      <c r="AK772" s="74" t="s">
        <v>16951</v>
      </c>
      <c r="AL772" s="74">
        <v>6.0</v>
      </c>
      <c r="AM772" s="74">
        <v>1.0</v>
      </c>
      <c r="AN772" s="74" t="s">
        <v>10629</v>
      </c>
      <c r="AO772" s="120">
        <v>8114.0</v>
      </c>
      <c r="AP772" s="74" t="s">
        <v>16952</v>
      </c>
      <c r="AQ772" s="74" t="s">
        <v>16953</v>
      </c>
      <c r="AR772" s="120">
        <v>772.0</v>
      </c>
    </row>
    <row r="773">
      <c r="A773" s="74" t="s">
        <v>16954</v>
      </c>
      <c r="B773" s="74" t="s">
        <v>6876</v>
      </c>
      <c r="C773" s="74" t="s">
        <v>6877</v>
      </c>
      <c r="D773" s="74" t="s">
        <v>8493</v>
      </c>
      <c r="E773" s="146">
        <v>43881.0</v>
      </c>
      <c r="F773" s="74" t="s">
        <v>16957</v>
      </c>
      <c r="G773" s="74">
        <v>58.0</v>
      </c>
      <c r="H773" s="74">
        <v>1.0</v>
      </c>
      <c r="I773" s="74">
        <v>99.0</v>
      </c>
      <c r="J773" s="119"/>
      <c r="K773" s="119"/>
      <c r="L773" s="74" t="s">
        <v>3827</v>
      </c>
      <c r="M773" s="74" t="s">
        <v>3827</v>
      </c>
      <c r="N773" s="74" t="s">
        <v>16896</v>
      </c>
      <c r="O773" s="74" t="s">
        <v>16897</v>
      </c>
      <c r="P773" s="74" t="s">
        <v>16898</v>
      </c>
      <c r="Q773" s="74" t="s">
        <v>16899</v>
      </c>
      <c r="R773" s="119"/>
      <c r="S773" s="119"/>
      <c r="T773" s="119"/>
      <c r="U773" s="119"/>
      <c r="V773" s="119"/>
      <c r="W773" s="74">
        <v>7.0</v>
      </c>
      <c r="X773" s="74">
        <v>100.0</v>
      </c>
      <c r="Y773" s="74">
        <v>3.0</v>
      </c>
      <c r="Z773" s="74">
        <v>0.0</v>
      </c>
      <c r="AA773" s="119"/>
      <c r="AB773" s="119"/>
      <c r="AC773" s="119"/>
      <c r="AD773" s="119"/>
      <c r="AE773" s="119"/>
      <c r="AF773" s="119"/>
      <c r="AG773" s="119"/>
      <c r="AH773" s="119"/>
      <c r="AI773" s="119"/>
      <c r="AJ773" s="119"/>
      <c r="AK773" s="74" t="s">
        <v>16960</v>
      </c>
      <c r="AL773" s="74">
        <v>6.0</v>
      </c>
      <c r="AM773" s="74">
        <v>1.0</v>
      </c>
      <c r="AN773" s="74" t="s">
        <v>10629</v>
      </c>
      <c r="AO773" s="120">
        <v>8115.0</v>
      </c>
      <c r="AP773" s="74" t="s">
        <v>16962</v>
      </c>
      <c r="AQ773" s="74" t="s">
        <v>16963</v>
      </c>
      <c r="AR773" s="120">
        <v>773.0</v>
      </c>
    </row>
    <row r="774">
      <c r="A774" s="74" t="s">
        <v>16957</v>
      </c>
      <c r="B774" s="74" t="s">
        <v>6876</v>
      </c>
      <c r="C774" s="74" t="s">
        <v>6877</v>
      </c>
      <c r="D774" s="74" t="s">
        <v>8493</v>
      </c>
      <c r="E774" s="146">
        <v>43881.0</v>
      </c>
      <c r="F774" s="74" t="s">
        <v>16965</v>
      </c>
      <c r="G774" s="74">
        <v>33.0</v>
      </c>
      <c r="H774" s="74">
        <v>1.0</v>
      </c>
      <c r="I774" s="74">
        <v>98.0</v>
      </c>
      <c r="J774" s="119"/>
      <c r="K774" s="119"/>
      <c r="L774" s="74" t="s">
        <v>3849</v>
      </c>
      <c r="M774" s="74" t="s">
        <v>3849</v>
      </c>
      <c r="N774" s="74" t="s">
        <v>16896</v>
      </c>
      <c r="O774" s="74" t="s">
        <v>16897</v>
      </c>
      <c r="P774" s="74" t="s">
        <v>16898</v>
      </c>
      <c r="Q774" s="74" t="s">
        <v>16899</v>
      </c>
      <c r="R774" s="119"/>
      <c r="S774" s="119"/>
      <c r="T774" s="119"/>
      <c r="U774" s="119"/>
      <c r="V774" s="119"/>
      <c r="W774" s="74">
        <v>7.0</v>
      </c>
      <c r="X774" s="74">
        <v>100.0</v>
      </c>
      <c r="Y774" s="74">
        <v>3.0</v>
      </c>
      <c r="Z774" s="74">
        <v>0.0</v>
      </c>
      <c r="AA774" s="119"/>
      <c r="AB774" s="119"/>
      <c r="AC774" s="119"/>
      <c r="AD774" s="119"/>
      <c r="AE774" s="119"/>
      <c r="AF774" s="119"/>
      <c r="AG774" s="119"/>
      <c r="AH774" s="119"/>
      <c r="AI774" s="119"/>
      <c r="AJ774" s="119"/>
      <c r="AK774" s="74" t="s">
        <v>11376</v>
      </c>
      <c r="AL774" s="74">
        <v>6.0</v>
      </c>
      <c r="AM774" s="74">
        <v>1.0</v>
      </c>
      <c r="AN774" s="74" t="s">
        <v>10629</v>
      </c>
      <c r="AO774" s="120">
        <v>8116.0</v>
      </c>
      <c r="AP774" s="74" t="s">
        <v>16974</v>
      </c>
      <c r="AQ774" s="74" t="s">
        <v>16975</v>
      </c>
      <c r="AR774" s="120">
        <v>774.0</v>
      </c>
    </row>
    <row r="775">
      <c r="A775" s="74" t="s">
        <v>16965</v>
      </c>
      <c r="B775" s="74" t="s">
        <v>6876</v>
      </c>
      <c r="C775" s="74" t="s">
        <v>6877</v>
      </c>
      <c r="D775" s="74" t="s">
        <v>8493</v>
      </c>
      <c r="E775" s="146">
        <v>43881.0</v>
      </c>
      <c r="F775" s="74" t="s">
        <v>16976</v>
      </c>
      <c r="G775" s="74">
        <v>59.0</v>
      </c>
      <c r="H775" s="74">
        <v>1.0</v>
      </c>
      <c r="I775" s="74">
        <v>11.0</v>
      </c>
      <c r="J775" s="119"/>
      <c r="K775" s="119"/>
      <c r="L775" s="74" t="s">
        <v>3896</v>
      </c>
      <c r="M775" s="74" t="s">
        <v>3896</v>
      </c>
      <c r="N775" s="74" t="s">
        <v>16979</v>
      </c>
      <c r="O775" s="74" t="s">
        <v>16980</v>
      </c>
      <c r="P775" s="74" t="s">
        <v>16981</v>
      </c>
      <c r="Q775" s="74" t="s">
        <v>16982</v>
      </c>
      <c r="R775" s="119"/>
      <c r="S775" s="119"/>
      <c r="T775" s="119"/>
      <c r="U775" s="119"/>
      <c r="V775" s="119"/>
      <c r="W775" s="74">
        <v>3.0</v>
      </c>
      <c r="X775" s="74">
        <v>1.0</v>
      </c>
      <c r="Y775" s="74">
        <v>3.0</v>
      </c>
      <c r="Z775" s="74">
        <v>2.0</v>
      </c>
      <c r="AA775" s="74">
        <v>2.0</v>
      </c>
      <c r="AB775" s="74">
        <v>1.0</v>
      </c>
      <c r="AC775" s="74">
        <v>3.0</v>
      </c>
      <c r="AD775" s="74">
        <v>0.0</v>
      </c>
      <c r="AE775" s="74">
        <v>0.0</v>
      </c>
      <c r="AF775" s="119"/>
      <c r="AG775" s="119"/>
      <c r="AH775" s="119"/>
      <c r="AI775" s="119"/>
      <c r="AJ775" s="119"/>
      <c r="AK775" s="74" t="s">
        <v>16984</v>
      </c>
      <c r="AL775" s="74">
        <v>6.0</v>
      </c>
      <c r="AM775" s="74">
        <v>1.0</v>
      </c>
      <c r="AN775" s="74" t="s">
        <v>10629</v>
      </c>
      <c r="AO775" s="120">
        <v>8117.0</v>
      </c>
      <c r="AP775" s="74" t="s">
        <v>16987</v>
      </c>
      <c r="AQ775" s="74" t="s">
        <v>16988</v>
      </c>
      <c r="AR775" s="120">
        <v>775.0</v>
      </c>
    </row>
    <row r="776">
      <c r="A776" s="74" t="s">
        <v>16989</v>
      </c>
      <c r="B776" s="74" t="s">
        <v>6876</v>
      </c>
      <c r="C776" s="74" t="s">
        <v>6877</v>
      </c>
      <c r="D776" s="74" t="s">
        <v>8493</v>
      </c>
      <c r="E776" s="146">
        <v>43881.0</v>
      </c>
      <c r="F776" s="74" t="s">
        <v>16991</v>
      </c>
      <c r="G776" s="74">
        <v>59.0</v>
      </c>
      <c r="H776" s="74">
        <v>1.0</v>
      </c>
      <c r="I776" s="74">
        <v>99.0</v>
      </c>
      <c r="J776" s="119"/>
      <c r="K776" s="119"/>
      <c r="L776" s="74" t="s">
        <v>3899</v>
      </c>
      <c r="M776" s="74" t="s">
        <v>3899</v>
      </c>
      <c r="N776" s="74" t="s">
        <v>16979</v>
      </c>
      <c r="O776" s="74" t="s">
        <v>16980</v>
      </c>
      <c r="P776" s="74" t="s">
        <v>16981</v>
      </c>
      <c r="Q776" s="74" t="s">
        <v>16982</v>
      </c>
      <c r="R776" s="119"/>
      <c r="S776" s="119"/>
      <c r="T776" s="119"/>
      <c r="U776" s="119"/>
      <c r="V776" s="119"/>
      <c r="W776" s="74">
        <v>7.0</v>
      </c>
      <c r="X776" s="74">
        <v>100.0</v>
      </c>
      <c r="Y776" s="74">
        <v>3.0</v>
      </c>
      <c r="Z776" s="74">
        <v>0.0</v>
      </c>
      <c r="AA776" s="119"/>
      <c r="AB776" s="119"/>
      <c r="AC776" s="119"/>
      <c r="AD776" s="119"/>
      <c r="AE776" s="119"/>
      <c r="AF776" s="119"/>
      <c r="AG776" s="119"/>
      <c r="AH776" s="119"/>
      <c r="AI776" s="119"/>
      <c r="AJ776" s="119"/>
      <c r="AK776" s="74" t="s">
        <v>16999</v>
      </c>
      <c r="AL776" s="74">
        <v>6.0</v>
      </c>
      <c r="AM776" s="74">
        <v>1.0</v>
      </c>
      <c r="AN776" s="74" t="s">
        <v>10629</v>
      </c>
      <c r="AO776" s="120">
        <v>8118.0</v>
      </c>
      <c r="AP776" s="74" t="s">
        <v>17000</v>
      </c>
      <c r="AQ776" s="74" t="s">
        <v>17001</v>
      </c>
      <c r="AR776" s="120">
        <v>776.0</v>
      </c>
    </row>
    <row r="777">
      <c r="A777" s="74" t="s">
        <v>16991</v>
      </c>
      <c r="B777" s="74" t="s">
        <v>6876</v>
      </c>
      <c r="C777" s="74" t="s">
        <v>6877</v>
      </c>
      <c r="D777" s="74" t="s">
        <v>8493</v>
      </c>
      <c r="E777" s="146">
        <v>43881.0</v>
      </c>
      <c r="F777" s="74" t="s">
        <v>17004</v>
      </c>
      <c r="G777" s="74">
        <v>59.0</v>
      </c>
      <c r="H777" s="74">
        <v>1.0</v>
      </c>
      <c r="I777" s="74">
        <v>11.0</v>
      </c>
      <c r="J777" s="119"/>
      <c r="K777" s="119"/>
      <c r="L777" s="74" t="s">
        <v>3911</v>
      </c>
      <c r="M777" s="74" t="s">
        <v>3911</v>
      </c>
      <c r="N777" s="74" t="s">
        <v>16979</v>
      </c>
      <c r="O777" s="74" t="s">
        <v>16980</v>
      </c>
      <c r="P777" s="74" t="s">
        <v>16981</v>
      </c>
      <c r="Q777" s="74" t="s">
        <v>16982</v>
      </c>
      <c r="R777" s="119"/>
      <c r="S777" s="119"/>
      <c r="T777" s="119"/>
      <c r="U777" s="119"/>
      <c r="V777" s="119"/>
      <c r="W777" s="74">
        <v>3.0</v>
      </c>
      <c r="X777" s="74">
        <v>1.0</v>
      </c>
      <c r="Y777" s="74">
        <v>3.0</v>
      </c>
      <c r="Z777" s="74">
        <v>0.0</v>
      </c>
      <c r="AA777" s="74">
        <v>2.0</v>
      </c>
      <c r="AB777" s="74">
        <v>1.0</v>
      </c>
      <c r="AC777" s="74">
        <v>3.0</v>
      </c>
      <c r="AD777" s="74">
        <v>0.0</v>
      </c>
      <c r="AE777" s="74">
        <v>0.0</v>
      </c>
      <c r="AF777" s="119"/>
      <c r="AG777" s="119"/>
      <c r="AH777" s="119"/>
      <c r="AI777" s="119"/>
      <c r="AJ777" s="119"/>
      <c r="AK777" s="74" t="s">
        <v>16932</v>
      </c>
      <c r="AL777" s="74">
        <v>6.0</v>
      </c>
      <c r="AM777" s="74">
        <v>1.0</v>
      </c>
      <c r="AN777" s="74" t="s">
        <v>10629</v>
      </c>
      <c r="AO777" s="120">
        <v>8119.0</v>
      </c>
      <c r="AP777" s="74" t="s">
        <v>17008</v>
      </c>
      <c r="AQ777" s="74" t="s">
        <v>17009</v>
      </c>
      <c r="AR777" s="120">
        <v>777.0</v>
      </c>
    </row>
    <row r="778">
      <c r="A778" s="74" t="s">
        <v>17004</v>
      </c>
      <c r="B778" s="74" t="s">
        <v>6876</v>
      </c>
      <c r="C778" s="74" t="s">
        <v>6877</v>
      </c>
      <c r="D778" s="74" t="s">
        <v>8493</v>
      </c>
      <c r="E778" s="146">
        <v>43881.0</v>
      </c>
      <c r="F778" s="74" t="s">
        <v>17011</v>
      </c>
      <c r="G778" s="74">
        <v>59.0</v>
      </c>
      <c r="H778" s="74">
        <v>1.0</v>
      </c>
      <c r="I778" s="74">
        <v>99.0</v>
      </c>
      <c r="J778" s="119"/>
      <c r="K778" s="119"/>
      <c r="L778" s="74" t="s">
        <v>3916</v>
      </c>
      <c r="M778" s="74" t="s">
        <v>3916</v>
      </c>
      <c r="N778" s="74" t="s">
        <v>16979</v>
      </c>
      <c r="O778" s="74" t="s">
        <v>16980</v>
      </c>
      <c r="P778" s="74" t="s">
        <v>16981</v>
      </c>
      <c r="Q778" s="74" t="s">
        <v>16982</v>
      </c>
      <c r="R778" s="119"/>
      <c r="S778" s="119"/>
      <c r="T778" s="119"/>
      <c r="U778" s="119"/>
      <c r="V778" s="119"/>
      <c r="W778" s="74">
        <v>7.0</v>
      </c>
      <c r="X778" s="74">
        <v>100.0</v>
      </c>
      <c r="Y778" s="74">
        <v>3.0</v>
      </c>
      <c r="Z778" s="74">
        <v>0.0</v>
      </c>
      <c r="AA778" s="119"/>
      <c r="AB778" s="119"/>
      <c r="AC778" s="119"/>
      <c r="AD778" s="119"/>
      <c r="AE778" s="119"/>
      <c r="AF778" s="119"/>
      <c r="AG778" s="119"/>
      <c r="AH778" s="119"/>
      <c r="AI778" s="119"/>
      <c r="AJ778" s="119"/>
      <c r="AK778" s="74" t="s">
        <v>17019</v>
      </c>
      <c r="AL778" s="74">
        <v>6.0</v>
      </c>
      <c r="AM778" s="74">
        <v>1.0</v>
      </c>
      <c r="AN778" s="74" t="s">
        <v>10629</v>
      </c>
      <c r="AO778" s="120">
        <v>8120.0</v>
      </c>
      <c r="AP778" s="74" t="s">
        <v>17021</v>
      </c>
      <c r="AQ778" s="74" t="s">
        <v>17022</v>
      </c>
      <c r="AR778" s="120">
        <v>778.0</v>
      </c>
    </row>
    <row r="779">
      <c r="A779" s="74" t="s">
        <v>17023</v>
      </c>
      <c r="B779" s="74" t="s">
        <v>6876</v>
      </c>
      <c r="C779" s="74" t="s">
        <v>6877</v>
      </c>
      <c r="D779" s="74" t="s">
        <v>8493</v>
      </c>
      <c r="E779" s="146">
        <v>43881.0</v>
      </c>
      <c r="F779" s="74" t="s">
        <v>17025</v>
      </c>
      <c r="G779" s="74">
        <v>59.0</v>
      </c>
      <c r="H779" s="74">
        <v>1.0</v>
      </c>
      <c r="I779" s="74">
        <v>11.0</v>
      </c>
      <c r="J779" s="119"/>
      <c r="K779" s="119"/>
      <c r="L779" s="74" t="s">
        <v>3931</v>
      </c>
      <c r="M779" s="74" t="s">
        <v>3931</v>
      </c>
      <c r="N779" s="74" t="s">
        <v>16979</v>
      </c>
      <c r="O779" s="74" t="s">
        <v>16980</v>
      </c>
      <c r="P779" s="74" t="s">
        <v>16981</v>
      </c>
      <c r="Q779" s="74" t="s">
        <v>16982</v>
      </c>
      <c r="R779" s="119"/>
      <c r="S779" s="119"/>
      <c r="T779" s="119"/>
      <c r="U779" s="119"/>
      <c r="V779" s="119"/>
      <c r="W779" s="74">
        <v>3.0</v>
      </c>
      <c r="X779" s="74">
        <v>1.0</v>
      </c>
      <c r="Y779" s="74">
        <v>3.0</v>
      </c>
      <c r="Z779" s="74">
        <v>2.0</v>
      </c>
      <c r="AA779" s="74">
        <v>2.0</v>
      </c>
      <c r="AB779" s="74">
        <v>1.0</v>
      </c>
      <c r="AC779" s="74">
        <v>3.0</v>
      </c>
      <c r="AD779" s="74">
        <v>0.0</v>
      </c>
      <c r="AE779" s="74">
        <v>0.0</v>
      </c>
      <c r="AF779" s="119"/>
      <c r="AG779" s="119"/>
      <c r="AH779" s="119"/>
      <c r="AI779" s="119"/>
      <c r="AJ779" s="119"/>
      <c r="AK779" s="74" t="s">
        <v>17029</v>
      </c>
      <c r="AL779" s="74">
        <v>6.0</v>
      </c>
      <c r="AM779" s="74">
        <v>1.0</v>
      </c>
      <c r="AN779" s="74" t="s">
        <v>10629</v>
      </c>
      <c r="AO779" s="120">
        <v>8121.0</v>
      </c>
      <c r="AP779" s="74" t="s">
        <v>17031</v>
      </c>
      <c r="AQ779" s="74" t="s">
        <v>17032</v>
      </c>
      <c r="AR779" s="120">
        <v>779.0</v>
      </c>
    </row>
    <row r="780">
      <c r="A780" s="74" t="s">
        <v>17025</v>
      </c>
      <c r="B780" s="74" t="s">
        <v>6876</v>
      </c>
      <c r="C780" s="74" t="s">
        <v>6877</v>
      </c>
      <c r="D780" s="74" t="s">
        <v>8493</v>
      </c>
      <c r="E780" s="146">
        <v>43881.0</v>
      </c>
      <c r="F780" s="74" t="s">
        <v>17033</v>
      </c>
      <c r="G780" s="74">
        <v>59.0</v>
      </c>
      <c r="H780" s="74">
        <v>1.0</v>
      </c>
      <c r="I780" s="74">
        <v>99.0</v>
      </c>
      <c r="J780" s="119"/>
      <c r="K780" s="119"/>
      <c r="L780" s="74" t="s">
        <v>3938</v>
      </c>
      <c r="M780" s="74" t="s">
        <v>3938</v>
      </c>
      <c r="N780" s="74" t="s">
        <v>16979</v>
      </c>
      <c r="O780" s="74" t="s">
        <v>16980</v>
      </c>
      <c r="P780" s="74" t="s">
        <v>16981</v>
      </c>
      <c r="Q780" s="74" t="s">
        <v>16982</v>
      </c>
      <c r="R780" s="119"/>
      <c r="S780" s="119"/>
      <c r="T780" s="119"/>
      <c r="U780" s="119"/>
      <c r="V780" s="119"/>
      <c r="W780" s="74">
        <v>7.0</v>
      </c>
      <c r="X780" s="74">
        <v>100.0</v>
      </c>
      <c r="Y780" s="74">
        <v>3.0</v>
      </c>
      <c r="Z780" s="74">
        <v>0.0</v>
      </c>
      <c r="AA780" s="119"/>
      <c r="AB780" s="119"/>
      <c r="AC780" s="119"/>
      <c r="AD780" s="119"/>
      <c r="AE780" s="119"/>
      <c r="AF780" s="119"/>
      <c r="AG780" s="119"/>
      <c r="AH780" s="119"/>
      <c r="AI780" s="119"/>
      <c r="AJ780" s="119"/>
      <c r="AK780" s="74" t="s">
        <v>17038</v>
      </c>
      <c r="AL780" s="74">
        <v>6.0</v>
      </c>
      <c r="AM780" s="74">
        <v>1.0</v>
      </c>
      <c r="AN780" s="74" t="s">
        <v>10629</v>
      </c>
      <c r="AO780" s="120">
        <v>8122.0</v>
      </c>
      <c r="AP780" s="74" t="s">
        <v>17041</v>
      </c>
      <c r="AQ780" s="74" t="s">
        <v>17043</v>
      </c>
      <c r="AR780" s="120">
        <v>780.0</v>
      </c>
    </row>
    <row r="781">
      <c r="A781" s="74" t="s">
        <v>17033</v>
      </c>
      <c r="B781" s="74" t="s">
        <v>6876</v>
      </c>
      <c r="C781" s="74" t="s">
        <v>6877</v>
      </c>
      <c r="D781" s="74" t="s">
        <v>8493</v>
      </c>
      <c r="E781" s="146">
        <v>43881.0</v>
      </c>
      <c r="F781" s="74" t="s">
        <v>17045</v>
      </c>
      <c r="G781" s="74">
        <v>66.0</v>
      </c>
      <c r="H781" s="74">
        <v>1.0</v>
      </c>
      <c r="I781" s="74">
        <v>99.0</v>
      </c>
      <c r="J781" s="119"/>
      <c r="K781" s="119"/>
      <c r="L781" s="74" t="s">
        <v>3856</v>
      </c>
      <c r="M781" s="74" t="s">
        <v>3856</v>
      </c>
      <c r="N781" s="74" t="s">
        <v>16979</v>
      </c>
      <c r="O781" s="74" t="s">
        <v>16980</v>
      </c>
      <c r="P781" s="74" t="s">
        <v>16981</v>
      </c>
      <c r="Q781" s="74" t="s">
        <v>16982</v>
      </c>
      <c r="R781" s="119"/>
      <c r="S781" s="119"/>
      <c r="T781" s="119"/>
      <c r="U781" s="119"/>
      <c r="V781" s="119"/>
      <c r="W781" s="74">
        <v>7.0</v>
      </c>
      <c r="X781" s="74">
        <v>100.0</v>
      </c>
      <c r="Y781" s="74">
        <v>3.0</v>
      </c>
      <c r="Z781" s="74">
        <v>0.0</v>
      </c>
      <c r="AA781" s="119"/>
      <c r="AB781" s="119"/>
      <c r="AC781" s="119"/>
      <c r="AD781" s="119"/>
      <c r="AE781" s="119"/>
      <c r="AF781" s="119"/>
      <c r="AG781" s="119"/>
      <c r="AH781" s="119"/>
      <c r="AI781" s="119"/>
      <c r="AJ781" s="119"/>
      <c r="AK781" s="74" t="s">
        <v>17050</v>
      </c>
      <c r="AL781" s="74">
        <v>6.0</v>
      </c>
      <c r="AM781" s="74">
        <v>1.0</v>
      </c>
      <c r="AN781" s="74" t="s">
        <v>10629</v>
      </c>
      <c r="AO781" s="120">
        <v>8123.0</v>
      </c>
      <c r="AP781" s="74" t="s">
        <v>17052</v>
      </c>
      <c r="AQ781" s="74" t="s">
        <v>17053</v>
      </c>
      <c r="AR781" s="120">
        <v>781.0</v>
      </c>
    </row>
    <row r="782">
      <c r="A782" s="74" t="s">
        <v>17045</v>
      </c>
      <c r="B782" s="74" t="s">
        <v>6876</v>
      </c>
      <c r="C782" s="74" t="s">
        <v>6877</v>
      </c>
      <c r="D782" s="74" t="s">
        <v>8493</v>
      </c>
      <c r="E782" s="146">
        <v>43881.0</v>
      </c>
      <c r="F782" s="74" t="s">
        <v>17054</v>
      </c>
      <c r="G782" s="74">
        <v>59.0</v>
      </c>
      <c r="H782" s="74">
        <v>1.0</v>
      </c>
      <c r="I782" s="74">
        <v>99.0</v>
      </c>
      <c r="J782" s="119"/>
      <c r="K782" s="119"/>
      <c r="L782" s="74" t="s">
        <v>3872</v>
      </c>
      <c r="M782" s="74" t="s">
        <v>3872</v>
      </c>
      <c r="N782" s="74" t="s">
        <v>16979</v>
      </c>
      <c r="O782" s="74" t="s">
        <v>16980</v>
      </c>
      <c r="P782" s="74" t="s">
        <v>16981</v>
      </c>
      <c r="Q782" s="74" t="s">
        <v>16982</v>
      </c>
      <c r="R782" s="119"/>
      <c r="S782" s="119"/>
      <c r="T782" s="119"/>
      <c r="U782" s="119"/>
      <c r="V782" s="119"/>
      <c r="W782" s="74">
        <v>7.0</v>
      </c>
      <c r="X782" s="74">
        <v>100.0</v>
      </c>
      <c r="Y782" s="74">
        <v>3.0</v>
      </c>
      <c r="Z782" s="74">
        <v>0.0</v>
      </c>
      <c r="AA782" s="119"/>
      <c r="AB782" s="119"/>
      <c r="AC782" s="119"/>
      <c r="AD782" s="119"/>
      <c r="AE782" s="119"/>
      <c r="AF782" s="119"/>
      <c r="AG782" s="119"/>
      <c r="AH782" s="119"/>
      <c r="AI782" s="119"/>
      <c r="AJ782" s="119"/>
      <c r="AK782" s="74" t="s">
        <v>17059</v>
      </c>
      <c r="AL782" s="74">
        <v>6.0</v>
      </c>
      <c r="AM782" s="74">
        <v>1.0</v>
      </c>
      <c r="AN782" s="74" t="s">
        <v>10629</v>
      </c>
      <c r="AO782" s="120">
        <v>8124.0</v>
      </c>
      <c r="AP782" s="74" t="s">
        <v>17060</v>
      </c>
      <c r="AQ782" s="74" t="s">
        <v>17061</v>
      </c>
      <c r="AR782" s="120">
        <v>782.0</v>
      </c>
    </row>
    <row r="783">
      <c r="A783" s="74" t="s">
        <v>17062</v>
      </c>
      <c r="B783" s="74" t="s">
        <v>6876</v>
      </c>
      <c r="C783" s="74" t="s">
        <v>6877</v>
      </c>
      <c r="D783" s="74" t="s">
        <v>8493</v>
      </c>
      <c r="E783" s="146">
        <v>43881.0</v>
      </c>
      <c r="F783" s="74" t="s">
        <v>17065</v>
      </c>
      <c r="G783" s="74">
        <v>65.0</v>
      </c>
      <c r="H783" s="74">
        <v>1.0</v>
      </c>
      <c r="I783" s="74">
        <v>99.0</v>
      </c>
      <c r="J783" s="119"/>
      <c r="K783" s="119"/>
      <c r="L783" s="74" t="s">
        <v>3886</v>
      </c>
      <c r="M783" s="74" t="s">
        <v>3886</v>
      </c>
      <c r="N783" s="74" t="s">
        <v>16979</v>
      </c>
      <c r="O783" s="74" t="s">
        <v>16980</v>
      </c>
      <c r="P783" s="74" t="s">
        <v>16981</v>
      </c>
      <c r="Q783" s="74" t="s">
        <v>16982</v>
      </c>
      <c r="R783" s="119"/>
      <c r="S783" s="119"/>
      <c r="T783" s="119"/>
      <c r="U783" s="119"/>
      <c r="V783" s="119"/>
      <c r="W783" s="74">
        <v>7.0</v>
      </c>
      <c r="X783" s="74">
        <v>100.0</v>
      </c>
      <c r="Y783" s="74">
        <v>3.0</v>
      </c>
      <c r="Z783" s="74">
        <v>0.0</v>
      </c>
      <c r="AA783" s="119"/>
      <c r="AB783" s="119"/>
      <c r="AC783" s="119"/>
      <c r="AD783" s="119"/>
      <c r="AE783" s="119"/>
      <c r="AF783" s="119"/>
      <c r="AG783" s="119"/>
      <c r="AH783" s="119"/>
      <c r="AI783" s="119"/>
      <c r="AJ783" s="119"/>
      <c r="AK783" s="74" t="s">
        <v>17070</v>
      </c>
      <c r="AL783" s="74">
        <v>6.0</v>
      </c>
      <c r="AM783" s="74">
        <v>1.0</v>
      </c>
      <c r="AN783" s="74" t="s">
        <v>10629</v>
      </c>
      <c r="AO783" s="120">
        <v>8125.0</v>
      </c>
      <c r="AP783" s="74" t="s">
        <v>17071</v>
      </c>
      <c r="AQ783" s="74" t="s">
        <v>17074</v>
      </c>
      <c r="AR783" s="120">
        <v>783.0</v>
      </c>
    </row>
    <row r="784">
      <c r="A784" s="74" t="s">
        <v>17065</v>
      </c>
      <c r="B784" s="74" t="s">
        <v>6876</v>
      </c>
      <c r="C784" s="74" t="s">
        <v>6877</v>
      </c>
      <c r="D784" s="74" t="s">
        <v>8493</v>
      </c>
      <c r="E784" s="146">
        <v>43881.0</v>
      </c>
      <c r="F784" s="74" t="s">
        <v>17076</v>
      </c>
      <c r="G784" s="74">
        <v>58.0</v>
      </c>
      <c r="H784" s="74">
        <v>2.0</v>
      </c>
      <c r="I784" s="74">
        <v>14.0</v>
      </c>
      <c r="J784" s="74">
        <v>144.0</v>
      </c>
      <c r="K784" s="119"/>
      <c r="L784" s="74" t="s">
        <v>762</v>
      </c>
      <c r="M784" s="74" t="s">
        <v>762</v>
      </c>
      <c r="N784" s="74" t="s">
        <v>17081</v>
      </c>
      <c r="O784" s="74" t="s">
        <v>17082</v>
      </c>
      <c r="P784" s="74" t="s">
        <v>17083</v>
      </c>
      <c r="Q784" s="74" t="s">
        <v>17084</v>
      </c>
      <c r="R784" s="119"/>
      <c r="S784" s="119"/>
      <c r="T784" s="119"/>
      <c r="U784" s="119"/>
      <c r="V784" s="119"/>
      <c r="W784" s="74">
        <v>7.0</v>
      </c>
      <c r="X784" s="74">
        <v>100.0</v>
      </c>
      <c r="Y784" s="74">
        <v>3.0</v>
      </c>
      <c r="Z784" s="74">
        <v>0.0</v>
      </c>
      <c r="AA784" s="74">
        <v>7.0</v>
      </c>
      <c r="AB784" s="74">
        <v>10.0</v>
      </c>
      <c r="AC784" s="74">
        <v>3.0</v>
      </c>
      <c r="AD784" s="74">
        <v>0.0</v>
      </c>
      <c r="AE784" s="74">
        <v>1.0</v>
      </c>
      <c r="AF784" s="74">
        <v>6.0</v>
      </c>
      <c r="AG784" s="74">
        <v>1.0</v>
      </c>
      <c r="AH784" s="74">
        <v>3.0</v>
      </c>
      <c r="AI784" s="74">
        <v>0.0</v>
      </c>
      <c r="AJ784" s="119"/>
      <c r="AK784" s="74" t="s">
        <v>17088</v>
      </c>
      <c r="AL784" s="74">
        <v>4.0</v>
      </c>
      <c r="AM784" s="74">
        <v>1.0</v>
      </c>
      <c r="AN784" s="74" t="s">
        <v>10629</v>
      </c>
      <c r="AO784" s="120">
        <v>8126.0</v>
      </c>
      <c r="AP784" s="74" t="s">
        <v>17089</v>
      </c>
      <c r="AQ784" s="74" t="s">
        <v>17090</v>
      </c>
      <c r="AR784" s="120">
        <v>784.0</v>
      </c>
    </row>
    <row r="785">
      <c r="A785" s="74" t="s">
        <v>17091</v>
      </c>
      <c r="B785" s="74" t="s">
        <v>6876</v>
      </c>
      <c r="C785" s="74" t="s">
        <v>6877</v>
      </c>
      <c r="D785" s="74" t="s">
        <v>8493</v>
      </c>
      <c r="E785" s="146">
        <v>43881.0</v>
      </c>
      <c r="F785" s="74" t="s">
        <v>17092</v>
      </c>
      <c r="G785" s="74">
        <v>58.0</v>
      </c>
      <c r="H785" s="74">
        <v>1.0</v>
      </c>
      <c r="I785" s="74">
        <v>14.0</v>
      </c>
      <c r="J785" s="74">
        <v>142.0</v>
      </c>
      <c r="K785" s="119"/>
      <c r="L785" s="74" t="s">
        <v>759</v>
      </c>
      <c r="M785" s="74" t="s">
        <v>759</v>
      </c>
      <c r="N785" s="74" t="s">
        <v>17081</v>
      </c>
      <c r="O785" s="74" t="s">
        <v>17082</v>
      </c>
      <c r="P785" s="74" t="s">
        <v>17083</v>
      </c>
      <c r="Q785" s="74" t="s">
        <v>17084</v>
      </c>
      <c r="R785" s="119"/>
      <c r="S785" s="119"/>
      <c r="T785" s="119"/>
      <c r="U785" s="119"/>
      <c r="V785" s="119"/>
      <c r="W785" s="74">
        <v>7.0</v>
      </c>
      <c r="X785" s="74">
        <v>100.0</v>
      </c>
      <c r="Y785" s="74">
        <v>3.0</v>
      </c>
      <c r="Z785" s="74">
        <v>2.0</v>
      </c>
      <c r="AA785" s="74">
        <v>7.0</v>
      </c>
      <c r="AB785" s="74">
        <v>10.0</v>
      </c>
      <c r="AC785" s="74">
        <v>3.0</v>
      </c>
      <c r="AD785" s="74">
        <v>0.0</v>
      </c>
      <c r="AE785" s="74">
        <v>1.0</v>
      </c>
      <c r="AF785" s="74">
        <v>6.0</v>
      </c>
      <c r="AG785" s="74">
        <v>1.0</v>
      </c>
      <c r="AH785" s="74">
        <v>3.0</v>
      </c>
      <c r="AI785" s="74">
        <v>0.0</v>
      </c>
      <c r="AJ785" s="119"/>
      <c r="AK785" s="74" t="s">
        <v>17100</v>
      </c>
      <c r="AL785" s="74">
        <v>4.0</v>
      </c>
      <c r="AM785" s="74">
        <v>1.0</v>
      </c>
      <c r="AN785" s="74" t="s">
        <v>10629</v>
      </c>
      <c r="AO785" s="120">
        <v>8127.0</v>
      </c>
      <c r="AP785" s="74" t="s">
        <v>17103</v>
      </c>
      <c r="AQ785" s="74" t="s">
        <v>17106</v>
      </c>
      <c r="AR785" s="120">
        <v>785.0</v>
      </c>
    </row>
    <row r="786">
      <c r="A786" s="74" t="s">
        <v>17107</v>
      </c>
      <c r="B786" s="74" t="s">
        <v>6876</v>
      </c>
      <c r="C786" s="74" t="s">
        <v>6877</v>
      </c>
      <c r="D786" s="74" t="s">
        <v>8493</v>
      </c>
      <c r="E786" s="146">
        <v>43881.0</v>
      </c>
      <c r="F786" s="74" t="s">
        <v>17109</v>
      </c>
      <c r="G786" s="74">
        <v>58.0</v>
      </c>
      <c r="H786" s="74">
        <v>2.0</v>
      </c>
      <c r="I786" s="74">
        <v>14.0</v>
      </c>
      <c r="J786" s="74">
        <v>145.0</v>
      </c>
      <c r="K786" s="119"/>
      <c r="L786" s="74" t="s">
        <v>764</v>
      </c>
      <c r="M786" s="74" t="s">
        <v>764</v>
      </c>
      <c r="N786" s="74" t="s">
        <v>17081</v>
      </c>
      <c r="O786" s="74" t="s">
        <v>17082</v>
      </c>
      <c r="P786" s="74" t="s">
        <v>17083</v>
      </c>
      <c r="Q786" s="74" t="s">
        <v>17084</v>
      </c>
      <c r="R786" s="119"/>
      <c r="S786" s="119"/>
      <c r="T786" s="119"/>
      <c r="U786" s="119"/>
      <c r="V786" s="119"/>
      <c r="W786" s="74">
        <v>7.0</v>
      </c>
      <c r="X786" s="74">
        <v>100.0</v>
      </c>
      <c r="Y786" s="74">
        <v>3.0</v>
      </c>
      <c r="Z786" s="74">
        <v>17.0</v>
      </c>
      <c r="AA786" s="74">
        <v>7.0</v>
      </c>
      <c r="AB786" s="74">
        <v>10.0</v>
      </c>
      <c r="AC786" s="74">
        <v>3.0</v>
      </c>
      <c r="AD786" s="74">
        <v>1.0</v>
      </c>
      <c r="AE786" s="74">
        <v>1.0</v>
      </c>
      <c r="AF786" s="74">
        <v>6.0</v>
      </c>
      <c r="AG786" s="74">
        <v>1.0</v>
      </c>
      <c r="AH786" s="74">
        <v>3.0</v>
      </c>
      <c r="AI786" s="74">
        <v>0.0</v>
      </c>
      <c r="AJ786" s="119"/>
      <c r="AK786" s="74" t="s">
        <v>17113</v>
      </c>
      <c r="AL786" s="74">
        <v>4.0</v>
      </c>
      <c r="AM786" s="74">
        <v>1.0</v>
      </c>
      <c r="AN786" s="74" t="s">
        <v>10629</v>
      </c>
      <c r="AO786" s="120">
        <v>8128.0</v>
      </c>
      <c r="AP786" s="74" t="s">
        <v>17115</v>
      </c>
      <c r="AQ786" s="74" t="s">
        <v>17116</v>
      </c>
      <c r="AR786" s="120">
        <v>786.0</v>
      </c>
    </row>
    <row r="787">
      <c r="A787" s="74" t="s">
        <v>17118</v>
      </c>
      <c r="B787" s="74" t="s">
        <v>6876</v>
      </c>
      <c r="C787" s="74" t="s">
        <v>6877</v>
      </c>
      <c r="D787" s="74" t="s">
        <v>8493</v>
      </c>
      <c r="E787" s="146">
        <v>43881.0</v>
      </c>
      <c r="F787" s="74" t="s">
        <v>17119</v>
      </c>
      <c r="G787" s="74">
        <v>58.0</v>
      </c>
      <c r="H787" s="74">
        <v>2.0</v>
      </c>
      <c r="I787" s="74">
        <v>14.0</v>
      </c>
      <c r="J787" s="74">
        <v>141.0</v>
      </c>
      <c r="K787" s="119"/>
      <c r="L787" s="74" t="s">
        <v>755</v>
      </c>
      <c r="M787" s="74" t="s">
        <v>755</v>
      </c>
      <c r="N787" s="74" t="s">
        <v>17081</v>
      </c>
      <c r="O787" s="74" t="s">
        <v>17082</v>
      </c>
      <c r="P787" s="74" t="s">
        <v>17083</v>
      </c>
      <c r="Q787" s="74" t="s">
        <v>17084</v>
      </c>
      <c r="R787" s="119"/>
      <c r="S787" s="119"/>
      <c r="T787" s="119"/>
      <c r="U787" s="119"/>
      <c r="V787" s="119"/>
      <c r="W787" s="74">
        <v>6.0</v>
      </c>
      <c r="X787" s="74">
        <v>1.0</v>
      </c>
      <c r="Y787" s="74">
        <v>3.0</v>
      </c>
      <c r="Z787" s="74">
        <v>10.0</v>
      </c>
      <c r="AA787" s="74">
        <v>5.0</v>
      </c>
      <c r="AB787" s="74">
        <v>1.0</v>
      </c>
      <c r="AC787" s="74">
        <v>3.0</v>
      </c>
      <c r="AD787" s="74">
        <v>0.0</v>
      </c>
      <c r="AE787" s="74">
        <v>0.0</v>
      </c>
      <c r="AF787" s="119"/>
      <c r="AG787" s="119"/>
      <c r="AH787" s="119"/>
      <c r="AI787" s="119"/>
      <c r="AJ787" s="119"/>
      <c r="AK787" s="74" t="s">
        <v>17126</v>
      </c>
      <c r="AL787" s="74">
        <v>4.0</v>
      </c>
      <c r="AM787" s="74">
        <v>1.0</v>
      </c>
      <c r="AN787" s="74" t="s">
        <v>10629</v>
      </c>
      <c r="AO787" s="120">
        <v>8129.0</v>
      </c>
      <c r="AP787" s="74" t="s">
        <v>17128</v>
      </c>
      <c r="AQ787" s="74" t="s">
        <v>17129</v>
      </c>
      <c r="AR787" s="120">
        <v>787.0</v>
      </c>
    </row>
    <row r="788">
      <c r="A788" s="74" t="s">
        <v>17119</v>
      </c>
      <c r="B788" s="74" t="s">
        <v>6876</v>
      </c>
      <c r="C788" s="74" t="s">
        <v>6877</v>
      </c>
      <c r="D788" s="74" t="s">
        <v>8493</v>
      </c>
      <c r="E788" s="146">
        <v>43881.0</v>
      </c>
      <c r="F788" s="74" t="s">
        <v>17132</v>
      </c>
      <c r="G788" s="74">
        <v>58.0</v>
      </c>
      <c r="H788" s="74">
        <v>2.0</v>
      </c>
      <c r="I788" s="74">
        <v>14.0</v>
      </c>
      <c r="J788" s="74">
        <v>143.0</v>
      </c>
      <c r="K788" s="119"/>
      <c r="L788" s="74" t="s">
        <v>757</v>
      </c>
      <c r="M788" s="74" t="s">
        <v>757</v>
      </c>
      <c r="N788" s="74" t="s">
        <v>17081</v>
      </c>
      <c r="O788" s="74" t="s">
        <v>17082</v>
      </c>
      <c r="P788" s="74" t="s">
        <v>17083</v>
      </c>
      <c r="Q788" s="74" t="s">
        <v>17084</v>
      </c>
      <c r="R788" s="119"/>
      <c r="S788" s="119"/>
      <c r="T788" s="119"/>
      <c r="U788" s="119"/>
      <c r="V788" s="119"/>
      <c r="W788" s="74">
        <v>6.0</v>
      </c>
      <c r="X788" s="74">
        <v>1.0</v>
      </c>
      <c r="Y788" s="74">
        <v>3.0</v>
      </c>
      <c r="Z788" s="74">
        <v>5.0</v>
      </c>
      <c r="AA788" s="74">
        <v>5.0</v>
      </c>
      <c r="AB788" s="74">
        <v>1.0</v>
      </c>
      <c r="AC788" s="74">
        <v>3.0</v>
      </c>
      <c r="AD788" s="74">
        <v>0.0</v>
      </c>
      <c r="AE788" s="74">
        <v>0.0</v>
      </c>
      <c r="AF788" s="119"/>
      <c r="AG788" s="119"/>
      <c r="AH788" s="119"/>
      <c r="AI788" s="119"/>
      <c r="AJ788" s="119"/>
      <c r="AK788" s="74" t="s">
        <v>17136</v>
      </c>
      <c r="AL788" s="74">
        <v>4.0</v>
      </c>
      <c r="AM788" s="74">
        <v>1.0</v>
      </c>
      <c r="AN788" s="74" t="s">
        <v>10629</v>
      </c>
      <c r="AO788" s="120">
        <v>8130.0</v>
      </c>
      <c r="AP788" s="74" t="s">
        <v>17137</v>
      </c>
      <c r="AQ788" s="74" t="s">
        <v>17138</v>
      </c>
      <c r="AR788" s="120">
        <v>788.0</v>
      </c>
    </row>
    <row r="789">
      <c r="A789" s="74" t="s">
        <v>17132</v>
      </c>
      <c r="B789" s="74" t="s">
        <v>6876</v>
      </c>
      <c r="C789" s="74" t="s">
        <v>6877</v>
      </c>
      <c r="D789" s="74" t="s">
        <v>8493</v>
      </c>
      <c r="E789" s="146">
        <v>43881.0</v>
      </c>
      <c r="F789" s="74" t="s">
        <v>17141</v>
      </c>
      <c r="G789" s="74">
        <v>58.0</v>
      </c>
      <c r="H789" s="74">
        <v>2.0</v>
      </c>
      <c r="I789" s="74">
        <v>99.0</v>
      </c>
      <c r="J789" s="119"/>
      <c r="K789" s="119"/>
      <c r="L789" s="74" t="s">
        <v>767</v>
      </c>
      <c r="M789" s="74" t="s">
        <v>767</v>
      </c>
      <c r="N789" s="74" t="s">
        <v>17081</v>
      </c>
      <c r="O789" s="74" t="s">
        <v>17082</v>
      </c>
      <c r="P789" s="74" t="s">
        <v>17083</v>
      </c>
      <c r="Q789" s="74" t="s">
        <v>17084</v>
      </c>
      <c r="R789" s="119"/>
      <c r="S789" s="119"/>
      <c r="T789" s="119"/>
      <c r="U789" s="119"/>
      <c r="V789" s="119"/>
      <c r="W789" s="74">
        <v>7.0</v>
      </c>
      <c r="X789" s="74">
        <v>100.0</v>
      </c>
      <c r="Y789" s="74">
        <v>3.0</v>
      </c>
      <c r="Z789" s="74">
        <v>0.0</v>
      </c>
      <c r="AA789" s="119"/>
      <c r="AB789" s="119"/>
      <c r="AC789" s="119"/>
      <c r="AD789" s="119"/>
      <c r="AE789" s="119"/>
      <c r="AF789" s="119"/>
      <c r="AG789" s="119"/>
      <c r="AH789" s="119"/>
      <c r="AI789" s="119"/>
      <c r="AJ789" s="119"/>
      <c r="AK789" s="74" t="s">
        <v>17149</v>
      </c>
      <c r="AL789" s="74">
        <v>4.0</v>
      </c>
      <c r="AM789" s="74">
        <v>1.0</v>
      </c>
      <c r="AN789" s="74" t="s">
        <v>10629</v>
      </c>
      <c r="AO789" s="120">
        <v>8131.0</v>
      </c>
      <c r="AP789" s="74" t="s">
        <v>17152</v>
      </c>
      <c r="AQ789" s="74" t="s">
        <v>17154</v>
      </c>
      <c r="AR789" s="120">
        <v>789.0</v>
      </c>
    </row>
    <row r="790">
      <c r="A790" s="74" t="s">
        <v>17155</v>
      </c>
      <c r="B790" s="74" t="s">
        <v>6876</v>
      </c>
      <c r="C790" s="74" t="s">
        <v>6877</v>
      </c>
      <c r="D790" s="74" t="s">
        <v>8493</v>
      </c>
      <c r="E790" s="146">
        <v>43881.0</v>
      </c>
      <c r="F790" s="74" t="s">
        <v>17157</v>
      </c>
      <c r="G790" s="74">
        <v>58.0</v>
      </c>
      <c r="H790" s="74">
        <v>2.0</v>
      </c>
      <c r="I790" s="74">
        <v>14.0</v>
      </c>
      <c r="J790" s="74">
        <v>144.0</v>
      </c>
      <c r="K790" s="119"/>
      <c r="L790" s="74" t="s">
        <v>776</v>
      </c>
      <c r="M790" s="74" t="s">
        <v>776</v>
      </c>
      <c r="N790" s="74" t="s">
        <v>17081</v>
      </c>
      <c r="O790" s="74" t="s">
        <v>17082</v>
      </c>
      <c r="P790" s="74" t="s">
        <v>17083</v>
      </c>
      <c r="Q790" s="74" t="s">
        <v>17084</v>
      </c>
      <c r="R790" s="119"/>
      <c r="S790" s="119"/>
      <c r="T790" s="119"/>
      <c r="U790" s="119"/>
      <c r="V790" s="119"/>
      <c r="W790" s="74">
        <v>7.0</v>
      </c>
      <c r="X790" s="74">
        <v>100.0</v>
      </c>
      <c r="Y790" s="74">
        <v>3.0</v>
      </c>
      <c r="Z790" s="74">
        <v>1.0</v>
      </c>
      <c r="AA790" s="74">
        <v>7.0</v>
      </c>
      <c r="AB790" s="74">
        <v>10.0</v>
      </c>
      <c r="AC790" s="74">
        <v>3.0</v>
      </c>
      <c r="AD790" s="74">
        <v>0.0</v>
      </c>
      <c r="AE790" s="74">
        <v>1.0</v>
      </c>
      <c r="AF790" s="74">
        <v>6.0</v>
      </c>
      <c r="AG790" s="74">
        <v>1.0</v>
      </c>
      <c r="AH790" s="74">
        <v>3.0</v>
      </c>
      <c r="AI790" s="74">
        <v>0.0</v>
      </c>
      <c r="AJ790" s="119"/>
      <c r="AK790" s="74" t="s">
        <v>17161</v>
      </c>
      <c r="AL790" s="74">
        <v>4.0</v>
      </c>
      <c r="AM790" s="74">
        <v>1.0</v>
      </c>
      <c r="AN790" s="74" t="s">
        <v>10629</v>
      </c>
      <c r="AO790" s="120">
        <v>8132.0</v>
      </c>
      <c r="AP790" s="74" t="s">
        <v>17163</v>
      </c>
      <c r="AQ790" s="74" t="s">
        <v>17164</v>
      </c>
      <c r="AR790" s="120">
        <v>790.0</v>
      </c>
    </row>
    <row r="791">
      <c r="A791" s="74" t="s">
        <v>17157</v>
      </c>
      <c r="B791" s="74" t="s">
        <v>6876</v>
      </c>
      <c r="C791" s="74" t="s">
        <v>6877</v>
      </c>
      <c r="D791" s="74" t="s">
        <v>8493</v>
      </c>
      <c r="E791" s="146">
        <v>43881.0</v>
      </c>
      <c r="F791" s="74" t="s">
        <v>17167</v>
      </c>
      <c r="G791" s="74">
        <v>58.0</v>
      </c>
      <c r="H791" s="74">
        <v>2.0</v>
      </c>
      <c r="I791" s="74">
        <v>14.0</v>
      </c>
      <c r="J791" s="74">
        <v>142.0</v>
      </c>
      <c r="K791" s="119"/>
      <c r="L791" s="74" t="s">
        <v>778</v>
      </c>
      <c r="M791" s="74" t="s">
        <v>778</v>
      </c>
      <c r="N791" s="74" t="s">
        <v>17081</v>
      </c>
      <c r="O791" s="74" t="s">
        <v>17082</v>
      </c>
      <c r="P791" s="74" t="s">
        <v>17083</v>
      </c>
      <c r="Q791" s="74" t="s">
        <v>17084</v>
      </c>
      <c r="R791" s="119"/>
      <c r="S791" s="119"/>
      <c r="T791" s="119"/>
      <c r="U791" s="119"/>
      <c r="V791" s="119"/>
      <c r="W791" s="74">
        <v>7.0</v>
      </c>
      <c r="X791" s="74">
        <v>100.0</v>
      </c>
      <c r="Y791" s="74">
        <v>3.0</v>
      </c>
      <c r="Z791" s="74">
        <v>0.0</v>
      </c>
      <c r="AA791" s="74">
        <v>7.0</v>
      </c>
      <c r="AB791" s="74">
        <v>10.0</v>
      </c>
      <c r="AC791" s="74">
        <v>3.0</v>
      </c>
      <c r="AD791" s="74">
        <v>0.0</v>
      </c>
      <c r="AE791" s="74">
        <v>1.0</v>
      </c>
      <c r="AF791" s="74">
        <v>6.0</v>
      </c>
      <c r="AG791" s="74">
        <v>1.0</v>
      </c>
      <c r="AH791" s="74">
        <v>3.0</v>
      </c>
      <c r="AI791" s="74">
        <v>0.0</v>
      </c>
      <c r="AJ791" s="119"/>
      <c r="AK791" s="74" t="s">
        <v>17172</v>
      </c>
      <c r="AL791" s="74">
        <v>4.0</v>
      </c>
      <c r="AM791" s="74">
        <v>1.0</v>
      </c>
      <c r="AN791" s="74" t="s">
        <v>10629</v>
      </c>
      <c r="AO791" s="120">
        <v>8133.0</v>
      </c>
      <c r="AP791" s="74" t="s">
        <v>17174</v>
      </c>
      <c r="AQ791" s="74" t="s">
        <v>17176</v>
      </c>
      <c r="AR791" s="120">
        <v>791.0</v>
      </c>
    </row>
    <row r="792">
      <c r="A792" s="74" t="s">
        <v>17178</v>
      </c>
      <c r="B792" s="74" t="s">
        <v>6876</v>
      </c>
      <c r="C792" s="74" t="s">
        <v>6877</v>
      </c>
      <c r="D792" s="74" t="s">
        <v>8493</v>
      </c>
      <c r="E792" s="146">
        <v>43881.0</v>
      </c>
      <c r="F792" s="74" t="s">
        <v>17179</v>
      </c>
      <c r="G792" s="74">
        <v>58.0</v>
      </c>
      <c r="H792" s="74">
        <v>2.0</v>
      </c>
      <c r="I792" s="74">
        <v>14.0</v>
      </c>
      <c r="J792" s="74">
        <v>145.0</v>
      </c>
      <c r="K792" s="119"/>
      <c r="L792" s="74" t="s">
        <v>780</v>
      </c>
      <c r="M792" s="74" t="s">
        <v>780</v>
      </c>
      <c r="N792" s="74" t="s">
        <v>17081</v>
      </c>
      <c r="O792" s="74" t="s">
        <v>17082</v>
      </c>
      <c r="P792" s="74" t="s">
        <v>17083</v>
      </c>
      <c r="Q792" s="74" t="s">
        <v>17084</v>
      </c>
      <c r="R792" s="119"/>
      <c r="S792" s="119"/>
      <c r="T792" s="119"/>
      <c r="U792" s="119"/>
      <c r="V792" s="119"/>
      <c r="W792" s="74">
        <v>7.0</v>
      </c>
      <c r="X792" s="74">
        <v>100.0</v>
      </c>
      <c r="Y792" s="74">
        <v>3.0</v>
      </c>
      <c r="Z792" s="74">
        <v>1.0</v>
      </c>
      <c r="AA792" s="74">
        <v>7.0</v>
      </c>
      <c r="AB792" s="74">
        <v>10.0</v>
      </c>
      <c r="AC792" s="74">
        <v>3.0</v>
      </c>
      <c r="AD792" s="74">
        <v>0.0</v>
      </c>
      <c r="AE792" s="74">
        <v>1.0</v>
      </c>
      <c r="AF792" s="74">
        <v>6.0</v>
      </c>
      <c r="AG792" s="74">
        <v>1.0</v>
      </c>
      <c r="AH792" s="74">
        <v>3.0</v>
      </c>
      <c r="AI792" s="74">
        <v>0.0</v>
      </c>
      <c r="AJ792" s="119"/>
      <c r="AK792" s="74" t="s">
        <v>17183</v>
      </c>
      <c r="AL792" s="74">
        <v>4.0</v>
      </c>
      <c r="AM792" s="74">
        <v>1.0</v>
      </c>
      <c r="AN792" s="74" t="s">
        <v>10629</v>
      </c>
      <c r="AO792" s="120">
        <v>8134.0</v>
      </c>
      <c r="AP792" s="74" t="s">
        <v>17185</v>
      </c>
      <c r="AQ792" s="74" t="s">
        <v>17186</v>
      </c>
      <c r="AR792" s="120">
        <v>792.0</v>
      </c>
    </row>
    <row r="793">
      <c r="A793" s="74" t="s">
        <v>17187</v>
      </c>
      <c r="B793" s="74" t="s">
        <v>6876</v>
      </c>
      <c r="C793" s="74" t="s">
        <v>6877</v>
      </c>
      <c r="D793" s="74" t="s">
        <v>8493</v>
      </c>
      <c r="E793" s="146">
        <v>43881.0</v>
      </c>
      <c r="F793" s="74" t="s">
        <v>17188</v>
      </c>
      <c r="G793" s="74">
        <v>58.0</v>
      </c>
      <c r="H793" s="74">
        <v>2.0</v>
      </c>
      <c r="I793" s="74">
        <v>14.0</v>
      </c>
      <c r="J793" s="74">
        <v>141.0</v>
      </c>
      <c r="K793" s="119"/>
      <c r="L793" s="74" t="s">
        <v>769</v>
      </c>
      <c r="M793" s="74" t="s">
        <v>769</v>
      </c>
      <c r="N793" s="74" t="s">
        <v>17081</v>
      </c>
      <c r="O793" s="74" t="s">
        <v>17082</v>
      </c>
      <c r="P793" s="74" t="s">
        <v>17083</v>
      </c>
      <c r="Q793" s="74" t="s">
        <v>17084</v>
      </c>
      <c r="R793" s="119"/>
      <c r="S793" s="119"/>
      <c r="T793" s="119"/>
      <c r="U793" s="119"/>
      <c r="V793" s="119"/>
      <c r="W793" s="74">
        <v>6.0</v>
      </c>
      <c r="X793" s="74">
        <v>1.0</v>
      </c>
      <c r="Y793" s="74">
        <v>3.0</v>
      </c>
      <c r="Z793" s="74">
        <v>1.0</v>
      </c>
      <c r="AA793" s="74">
        <v>5.0</v>
      </c>
      <c r="AB793" s="74">
        <v>1.0</v>
      </c>
      <c r="AC793" s="74">
        <v>3.0</v>
      </c>
      <c r="AD793" s="74">
        <v>0.0</v>
      </c>
      <c r="AE793" s="74">
        <v>0.0</v>
      </c>
      <c r="AF793" s="119"/>
      <c r="AG793" s="119"/>
      <c r="AH793" s="119"/>
      <c r="AI793" s="119"/>
      <c r="AJ793" s="119"/>
      <c r="AK793" s="74" t="s">
        <v>17192</v>
      </c>
      <c r="AL793" s="74">
        <v>6.0</v>
      </c>
      <c r="AM793" s="74">
        <v>1.0</v>
      </c>
      <c r="AN793" s="74" t="s">
        <v>10629</v>
      </c>
      <c r="AO793" s="120">
        <v>8135.0</v>
      </c>
      <c r="AP793" s="74" t="s">
        <v>17193</v>
      </c>
      <c r="AQ793" s="74" t="s">
        <v>17194</v>
      </c>
      <c r="AR793" s="120">
        <v>793.0</v>
      </c>
    </row>
    <row r="794">
      <c r="A794" s="74" t="s">
        <v>17196</v>
      </c>
      <c r="B794" s="74" t="s">
        <v>6876</v>
      </c>
      <c r="C794" s="74" t="s">
        <v>6877</v>
      </c>
      <c r="D794" s="74" t="s">
        <v>8493</v>
      </c>
      <c r="E794" s="146">
        <v>43881.0</v>
      </c>
      <c r="F794" s="74" t="s">
        <v>17197</v>
      </c>
      <c r="G794" s="74">
        <v>58.0</v>
      </c>
      <c r="H794" s="74">
        <v>2.0</v>
      </c>
      <c r="I794" s="74">
        <v>14.0</v>
      </c>
      <c r="J794" s="74">
        <v>143.0</v>
      </c>
      <c r="K794" s="119"/>
      <c r="L794" s="74" t="s">
        <v>772</v>
      </c>
      <c r="M794" s="74" t="s">
        <v>772</v>
      </c>
      <c r="N794" s="74" t="s">
        <v>17081</v>
      </c>
      <c r="O794" s="74" t="s">
        <v>17082</v>
      </c>
      <c r="P794" s="74" t="s">
        <v>17083</v>
      </c>
      <c r="Q794" s="74" t="s">
        <v>17084</v>
      </c>
      <c r="R794" s="119"/>
      <c r="S794" s="119"/>
      <c r="T794" s="119"/>
      <c r="U794" s="119"/>
      <c r="V794" s="119"/>
      <c r="W794" s="74">
        <v>6.0</v>
      </c>
      <c r="X794" s="74">
        <v>1.0</v>
      </c>
      <c r="Y794" s="74">
        <v>3.0</v>
      </c>
      <c r="Z794" s="74">
        <v>5.0</v>
      </c>
      <c r="AA794" s="74">
        <v>5.0</v>
      </c>
      <c r="AB794" s="74">
        <v>1.0</v>
      </c>
      <c r="AC794" s="74">
        <v>3.0</v>
      </c>
      <c r="AD794" s="74">
        <v>1.0</v>
      </c>
      <c r="AE794" s="74">
        <v>0.0</v>
      </c>
      <c r="AF794" s="119"/>
      <c r="AG794" s="119"/>
      <c r="AH794" s="119"/>
      <c r="AI794" s="119"/>
      <c r="AJ794" s="119"/>
      <c r="AK794" s="74" t="s">
        <v>17207</v>
      </c>
      <c r="AL794" s="74">
        <v>6.0</v>
      </c>
      <c r="AM794" s="74">
        <v>1.0</v>
      </c>
      <c r="AN794" s="74" t="s">
        <v>10629</v>
      </c>
      <c r="AO794" s="120">
        <v>8136.0</v>
      </c>
      <c r="AP794" s="74" t="s">
        <v>17208</v>
      </c>
      <c r="AQ794" s="74" t="s">
        <v>17210</v>
      </c>
      <c r="AR794" s="120">
        <v>794.0</v>
      </c>
    </row>
    <row r="795">
      <c r="A795" s="74" t="s">
        <v>17197</v>
      </c>
      <c r="B795" s="74" t="s">
        <v>6876</v>
      </c>
      <c r="C795" s="74" t="s">
        <v>6877</v>
      </c>
      <c r="D795" s="74" t="s">
        <v>8493</v>
      </c>
      <c r="E795" s="146">
        <v>43881.0</v>
      </c>
      <c r="F795" s="74" t="s">
        <v>17211</v>
      </c>
      <c r="G795" s="74">
        <v>58.0</v>
      </c>
      <c r="H795" s="74">
        <v>2.0</v>
      </c>
      <c r="I795" s="74">
        <v>99.0</v>
      </c>
      <c r="J795" s="119"/>
      <c r="K795" s="119"/>
      <c r="L795" s="74" t="s">
        <v>783</v>
      </c>
      <c r="M795" s="74" t="s">
        <v>783</v>
      </c>
      <c r="N795" s="74" t="s">
        <v>17081</v>
      </c>
      <c r="O795" s="74" t="s">
        <v>17082</v>
      </c>
      <c r="P795" s="74" t="s">
        <v>17083</v>
      </c>
      <c r="Q795" s="74" t="s">
        <v>17084</v>
      </c>
      <c r="R795" s="119"/>
      <c r="S795" s="119"/>
      <c r="T795" s="119"/>
      <c r="U795" s="119"/>
      <c r="V795" s="119"/>
      <c r="W795" s="74">
        <v>7.0</v>
      </c>
      <c r="X795" s="74">
        <v>100.0</v>
      </c>
      <c r="Y795" s="74">
        <v>3.0</v>
      </c>
      <c r="Z795" s="74">
        <v>0.0</v>
      </c>
      <c r="AA795" s="119"/>
      <c r="AB795" s="119"/>
      <c r="AC795" s="119"/>
      <c r="AD795" s="119"/>
      <c r="AE795" s="119"/>
      <c r="AF795" s="119"/>
      <c r="AG795" s="119"/>
      <c r="AH795" s="119"/>
      <c r="AI795" s="119"/>
      <c r="AJ795" s="119"/>
      <c r="AK795" s="74" t="s">
        <v>17216</v>
      </c>
      <c r="AL795" s="74">
        <v>6.0</v>
      </c>
      <c r="AM795" s="74">
        <v>1.0</v>
      </c>
      <c r="AN795" s="74" t="s">
        <v>10629</v>
      </c>
      <c r="AO795" s="120">
        <v>8137.0</v>
      </c>
      <c r="AP795" s="74" t="s">
        <v>17220</v>
      </c>
      <c r="AQ795" s="74" t="s">
        <v>17221</v>
      </c>
      <c r="AR795" s="120">
        <v>795.0</v>
      </c>
    </row>
    <row r="796">
      <c r="A796" s="74" t="s">
        <v>17211</v>
      </c>
      <c r="B796" s="74" t="s">
        <v>6876</v>
      </c>
      <c r="C796" s="74" t="s">
        <v>6877</v>
      </c>
      <c r="D796" s="74" t="s">
        <v>8493</v>
      </c>
      <c r="E796" s="146">
        <v>43881.0</v>
      </c>
      <c r="F796" s="74" t="s">
        <v>17227</v>
      </c>
      <c r="G796" s="74">
        <v>58.0</v>
      </c>
      <c r="H796" s="74">
        <v>2.0</v>
      </c>
      <c r="I796" s="74">
        <v>15.0</v>
      </c>
      <c r="J796" s="119"/>
      <c r="K796" s="74">
        <v>151.0</v>
      </c>
      <c r="L796" s="74" t="s">
        <v>785</v>
      </c>
      <c r="M796" s="74" t="s">
        <v>785</v>
      </c>
      <c r="N796" s="74" t="s">
        <v>17081</v>
      </c>
      <c r="O796" s="74" t="s">
        <v>17082</v>
      </c>
      <c r="P796" s="74" t="s">
        <v>17083</v>
      </c>
      <c r="Q796" s="74" t="s">
        <v>17084</v>
      </c>
      <c r="R796" s="119"/>
      <c r="S796" s="119"/>
      <c r="T796" s="119"/>
      <c r="U796" s="119"/>
      <c r="V796" s="119"/>
      <c r="W796" s="74">
        <v>6.0</v>
      </c>
      <c r="X796" s="74">
        <v>1.0</v>
      </c>
      <c r="Y796" s="74">
        <v>3.0</v>
      </c>
      <c r="Z796" s="74">
        <v>32.0</v>
      </c>
      <c r="AA796" s="74">
        <v>5.0</v>
      </c>
      <c r="AB796" s="74">
        <v>1.0</v>
      </c>
      <c r="AC796" s="74">
        <v>3.0</v>
      </c>
      <c r="AD796" s="74">
        <v>3.0</v>
      </c>
      <c r="AE796" s="74">
        <v>0.0</v>
      </c>
      <c r="AF796" s="119"/>
      <c r="AG796" s="119"/>
      <c r="AH796" s="119"/>
      <c r="AI796" s="119"/>
      <c r="AJ796" s="119"/>
      <c r="AK796" s="74" t="s">
        <v>17233</v>
      </c>
      <c r="AL796" s="74">
        <v>6.0</v>
      </c>
      <c r="AM796" s="74">
        <v>1.0</v>
      </c>
      <c r="AN796" s="74" t="s">
        <v>10629</v>
      </c>
      <c r="AO796" s="120">
        <v>8138.0</v>
      </c>
      <c r="AP796" s="74" t="s">
        <v>17234</v>
      </c>
      <c r="AQ796" s="74" t="s">
        <v>17235</v>
      </c>
      <c r="AR796" s="120">
        <v>796.0</v>
      </c>
    </row>
    <row r="797">
      <c r="A797" s="74" t="s">
        <v>17227</v>
      </c>
      <c r="B797" s="74" t="s">
        <v>6876</v>
      </c>
      <c r="C797" s="74" t="s">
        <v>6877</v>
      </c>
      <c r="D797" s="74" t="s">
        <v>8493</v>
      </c>
      <c r="E797" s="146">
        <v>43881.0</v>
      </c>
      <c r="F797" s="74" t="s">
        <v>17237</v>
      </c>
      <c r="G797" s="74">
        <v>58.0</v>
      </c>
      <c r="H797" s="74">
        <v>2.0</v>
      </c>
      <c r="I797" s="74">
        <v>15.0</v>
      </c>
      <c r="J797" s="119"/>
      <c r="K797" s="74">
        <v>152.0</v>
      </c>
      <c r="L797" s="74" t="s">
        <v>750</v>
      </c>
      <c r="M797" s="74" t="s">
        <v>750</v>
      </c>
      <c r="N797" s="74" t="s">
        <v>17081</v>
      </c>
      <c r="O797" s="74" t="s">
        <v>17082</v>
      </c>
      <c r="P797" s="74" t="s">
        <v>17083</v>
      </c>
      <c r="Q797" s="74" t="s">
        <v>17084</v>
      </c>
      <c r="R797" s="119"/>
      <c r="S797" s="119"/>
      <c r="T797" s="119"/>
      <c r="U797" s="119"/>
      <c r="V797" s="119"/>
      <c r="W797" s="74">
        <v>6.0</v>
      </c>
      <c r="X797" s="74">
        <v>1.0</v>
      </c>
      <c r="Y797" s="74">
        <v>3.0</v>
      </c>
      <c r="Z797" s="74">
        <v>0.0</v>
      </c>
      <c r="AA797" s="74">
        <v>5.0</v>
      </c>
      <c r="AB797" s="74">
        <v>1.0</v>
      </c>
      <c r="AC797" s="74">
        <v>3.0</v>
      </c>
      <c r="AD797" s="74">
        <v>0.0</v>
      </c>
      <c r="AE797" s="74">
        <v>0.0</v>
      </c>
      <c r="AF797" s="119"/>
      <c r="AG797" s="119"/>
      <c r="AH797" s="119"/>
      <c r="AI797" s="119"/>
      <c r="AJ797" s="119"/>
      <c r="AK797" s="74" t="s">
        <v>17241</v>
      </c>
      <c r="AL797" s="74">
        <v>6.0</v>
      </c>
      <c r="AM797" s="74">
        <v>1.0</v>
      </c>
      <c r="AN797" s="74" t="s">
        <v>10629</v>
      </c>
      <c r="AO797" s="120">
        <v>8139.0</v>
      </c>
      <c r="AP797" s="74" t="s">
        <v>17245</v>
      </c>
      <c r="AQ797" s="74" t="s">
        <v>17247</v>
      </c>
      <c r="AR797" s="120">
        <v>797.0</v>
      </c>
    </row>
    <row r="798">
      <c r="A798" s="74" t="s">
        <v>17250</v>
      </c>
      <c r="B798" s="74" t="s">
        <v>6876</v>
      </c>
      <c r="C798" s="74" t="s">
        <v>6877</v>
      </c>
      <c r="D798" s="74" t="s">
        <v>8493</v>
      </c>
      <c r="E798" s="146">
        <v>43881.0</v>
      </c>
      <c r="F798" s="74" t="s">
        <v>17252</v>
      </c>
      <c r="G798" s="74">
        <v>58.0</v>
      </c>
      <c r="H798" s="74">
        <v>2.0</v>
      </c>
      <c r="I798" s="74">
        <v>99.0</v>
      </c>
      <c r="J798" s="119"/>
      <c r="K798" s="119"/>
      <c r="L798" s="74" t="s">
        <v>753</v>
      </c>
      <c r="M798" s="74" t="s">
        <v>753</v>
      </c>
      <c r="N798" s="74" t="s">
        <v>17081</v>
      </c>
      <c r="O798" s="74" t="s">
        <v>17082</v>
      </c>
      <c r="P798" s="74" t="s">
        <v>17083</v>
      </c>
      <c r="Q798" s="74" t="s">
        <v>17084</v>
      </c>
      <c r="R798" s="119"/>
      <c r="S798" s="119"/>
      <c r="T798" s="119"/>
      <c r="U798" s="119"/>
      <c r="V798" s="119"/>
      <c r="W798" s="74">
        <v>7.0</v>
      </c>
      <c r="X798" s="74">
        <v>100.0</v>
      </c>
      <c r="Y798" s="74">
        <v>3.0</v>
      </c>
      <c r="Z798" s="74">
        <v>0.0</v>
      </c>
      <c r="AA798" s="119"/>
      <c r="AB798" s="119"/>
      <c r="AC798" s="119"/>
      <c r="AD798" s="119"/>
      <c r="AE798" s="119"/>
      <c r="AF798" s="119"/>
      <c r="AG798" s="119"/>
      <c r="AH798" s="119"/>
      <c r="AI798" s="119"/>
      <c r="AJ798" s="119"/>
      <c r="AK798" s="74" t="s">
        <v>17256</v>
      </c>
      <c r="AL798" s="74">
        <v>6.0</v>
      </c>
      <c r="AM798" s="74">
        <v>1.0</v>
      </c>
      <c r="AN798" s="74" t="s">
        <v>10629</v>
      </c>
      <c r="AO798" s="120">
        <v>8140.0</v>
      </c>
      <c r="AP798" s="74" t="s">
        <v>17258</v>
      </c>
      <c r="AQ798" s="74" t="s">
        <v>17259</v>
      </c>
      <c r="AR798" s="120">
        <v>798.0</v>
      </c>
    </row>
    <row r="799">
      <c r="A799" s="74" t="s">
        <v>17260</v>
      </c>
      <c r="B799" s="74" t="s">
        <v>6876</v>
      </c>
      <c r="C799" s="74" t="s">
        <v>6877</v>
      </c>
      <c r="D799" s="74" t="s">
        <v>8493</v>
      </c>
      <c r="E799" s="146">
        <v>43881.0</v>
      </c>
      <c r="F799" s="74" t="s">
        <v>17261</v>
      </c>
      <c r="G799" s="74">
        <v>33.0</v>
      </c>
      <c r="H799" s="74">
        <v>1.0</v>
      </c>
      <c r="I799" s="74">
        <v>98.0</v>
      </c>
      <c r="J799" s="119"/>
      <c r="K799" s="119"/>
      <c r="L799" s="74" t="s">
        <v>3995</v>
      </c>
      <c r="M799" s="74" t="s">
        <v>3995</v>
      </c>
      <c r="N799" s="74" t="s">
        <v>17081</v>
      </c>
      <c r="O799" s="74" t="s">
        <v>17082</v>
      </c>
      <c r="P799" s="74" t="s">
        <v>17083</v>
      </c>
      <c r="Q799" s="74" t="s">
        <v>17084</v>
      </c>
      <c r="R799" s="119"/>
      <c r="S799" s="119"/>
      <c r="T799" s="119"/>
      <c r="U799" s="119"/>
      <c r="V799" s="119"/>
      <c r="W799" s="74">
        <v>7.0</v>
      </c>
      <c r="X799" s="74">
        <v>100.0</v>
      </c>
      <c r="Y799" s="74">
        <v>3.0</v>
      </c>
      <c r="Z799" s="74">
        <v>0.0</v>
      </c>
      <c r="AA799" s="119"/>
      <c r="AB799" s="119"/>
      <c r="AC799" s="119"/>
      <c r="AD799" s="119"/>
      <c r="AE799" s="119"/>
      <c r="AF799" s="119"/>
      <c r="AG799" s="119"/>
      <c r="AH799" s="119"/>
      <c r="AI799" s="119"/>
      <c r="AJ799" s="119"/>
      <c r="AK799" s="74" t="s">
        <v>11376</v>
      </c>
      <c r="AL799" s="74">
        <v>6.0</v>
      </c>
      <c r="AM799" s="74">
        <v>1.0</v>
      </c>
      <c r="AN799" s="74" t="s">
        <v>10629</v>
      </c>
      <c r="AO799" s="120">
        <v>8141.0</v>
      </c>
      <c r="AP799" s="74" t="s">
        <v>17265</v>
      </c>
      <c r="AQ799" s="74" t="s">
        <v>17266</v>
      </c>
      <c r="AR799" s="120">
        <v>799.0</v>
      </c>
    </row>
    <row r="800">
      <c r="A800" s="74" t="s">
        <v>17261</v>
      </c>
      <c r="B800" s="74" t="s">
        <v>6876</v>
      </c>
      <c r="C800" s="74" t="s">
        <v>6877</v>
      </c>
      <c r="D800" s="74" t="s">
        <v>8493</v>
      </c>
      <c r="E800" s="146">
        <v>43881.0</v>
      </c>
      <c r="F800" s="74" t="s">
        <v>17268</v>
      </c>
      <c r="G800" s="74">
        <v>59.0</v>
      </c>
      <c r="H800" s="74">
        <v>1.0</v>
      </c>
      <c r="I800" s="74">
        <v>11.0</v>
      </c>
      <c r="J800" s="119"/>
      <c r="K800" s="119"/>
      <c r="L800" s="74" t="s">
        <v>4000</v>
      </c>
      <c r="M800" s="74" t="s">
        <v>4000</v>
      </c>
      <c r="N800" s="74" t="s">
        <v>17273</v>
      </c>
      <c r="O800" s="74" t="s">
        <v>17274</v>
      </c>
      <c r="P800" s="74" t="s">
        <v>17275</v>
      </c>
      <c r="Q800" s="74" t="s">
        <v>17277</v>
      </c>
      <c r="R800" s="119"/>
      <c r="S800" s="119"/>
      <c r="T800" s="119"/>
      <c r="U800" s="119"/>
      <c r="V800" s="119"/>
      <c r="W800" s="74">
        <v>4.0</v>
      </c>
      <c r="X800" s="74">
        <v>1.0</v>
      </c>
      <c r="Y800" s="74">
        <v>1.0</v>
      </c>
      <c r="Z800" s="119"/>
      <c r="AA800" s="74">
        <v>3.0</v>
      </c>
      <c r="AB800" s="74">
        <v>1.0</v>
      </c>
      <c r="AC800" s="74">
        <v>3.0</v>
      </c>
      <c r="AD800" s="74">
        <v>4.0</v>
      </c>
      <c r="AE800" s="74">
        <v>1.0</v>
      </c>
      <c r="AF800" s="74">
        <v>2.0</v>
      </c>
      <c r="AG800" s="74">
        <v>1.0</v>
      </c>
      <c r="AH800" s="74">
        <v>3.0</v>
      </c>
      <c r="AI800" s="74">
        <v>0.0</v>
      </c>
      <c r="AJ800" s="119"/>
      <c r="AK800" s="74" t="s">
        <v>17279</v>
      </c>
      <c r="AL800" s="74">
        <v>4.0</v>
      </c>
      <c r="AM800" s="74">
        <v>1.0</v>
      </c>
      <c r="AN800" s="74" t="s">
        <v>10629</v>
      </c>
      <c r="AO800" s="120">
        <v>8142.0</v>
      </c>
      <c r="AP800" s="74" t="s">
        <v>17281</v>
      </c>
      <c r="AQ800" s="74" t="s">
        <v>17283</v>
      </c>
      <c r="AR800" s="120">
        <v>800.0</v>
      </c>
    </row>
    <row r="801">
      <c r="A801" s="74" t="s">
        <v>17268</v>
      </c>
      <c r="B801" s="74" t="s">
        <v>6876</v>
      </c>
      <c r="C801" s="74" t="s">
        <v>6877</v>
      </c>
      <c r="D801" s="74" t="s">
        <v>8493</v>
      </c>
      <c r="E801" s="146">
        <v>43881.0</v>
      </c>
      <c r="F801" s="74" t="s">
        <v>17285</v>
      </c>
      <c r="G801" s="74">
        <v>59.0</v>
      </c>
      <c r="H801" s="74">
        <v>1.0</v>
      </c>
      <c r="I801" s="74">
        <v>99.0</v>
      </c>
      <c r="J801" s="119"/>
      <c r="K801" s="119"/>
      <c r="L801" s="74" t="s">
        <v>4001</v>
      </c>
      <c r="M801" s="74" t="s">
        <v>4001</v>
      </c>
      <c r="N801" s="74" t="s">
        <v>17273</v>
      </c>
      <c r="O801" s="74" t="s">
        <v>17274</v>
      </c>
      <c r="P801" s="74" t="s">
        <v>17275</v>
      </c>
      <c r="Q801" s="74" t="s">
        <v>17277</v>
      </c>
      <c r="R801" s="119"/>
      <c r="S801" s="119"/>
      <c r="T801" s="119"/>
      <c r="U801" s="119"/>
      <c r="V801" s="119"/>
      <c r="W801" s="74">
        <v>7.0</v>
      </c>
      <c r="X801" s="74">
        <v>100.0</v>
      </c>
      <c r="Y801" s="74">
        <v>3.0</v>
      </c>
      <c r="Z801" s="74">
        <v>0.0</v>
      </c>
      <c r="AA801" s="119"/>
      <c r="AB801" s="119"/>
      <c r="AC801" s="119"/>
      <c r="AD801" s="119"/>
      <c r="AE801" s="119"/>
      <c r="AF801" s="119"/>
      <c r="AG801" s="119"/>
      <c r="AH801" s="119"/>
      <c r="AI801" s="119"/>
      <c r="AJ801" s="119"/>
      <c r="AK801" s="74" t="s">
        <v>17289</v>
      </c>
      <c r="AL801" s="74">
        <v>4.0</v>
      </c>
      <c r="AM801" s="74">
        <v>1.0</v>
      </c>
      <c r="AN801" s="74" t="s">
        <v>10629</v>
      </c>
      <c r="AO801" s="120">
        <v>8143.0</v>
      </c>
      <c r="AP801" s="74" t="s">
        <v>17291</v>
      </c>
      <c r="AQ801" s="74" t="s">
        <v>17292</v>
      </c>
      <c r="AR801" s="120">
        <v>801.0</v>
      </c>
    </row>
    <row r="802">
      <c r="A802" s="74" t="s">
        <v>17285</v>
      </c>
      <c r="B802" s="74" t="s">
        <v>6876</v>
      </c>
      <c r="C802" s="74" t="s">
        <v>6877</v>
      </c>
      <c r="D802" s="74" t="s">
        <v>8493</v>
      </c>
      <c r="E802" s="146">
        <v>43881.0</v>
      </c>
      <c r="F802" s="74" t="s">
        <v>17293</v>
      </c>
      <c r="G802" s="74">
        <v>59.0</v>
      </c>
      <c r="H802" s="74">
        <v>1.0</v>
      </c>
      <c r="I802" s="74">
        <v>11.0</v>
      </c>
      <c r="J802" s="119"/>
      <c r="K802" s="119"/>
      <c r="L802" s="74" t="s">
        <v>4009</v>
      </c>
      <c r="M802" s="74" t="s">
        <v>4009</v>
      </c>
      <c r="N802" s="74" t="s">
        <v>17273</v>
      </c>
      <c r="O802" s="74" t="s">
        <v>17274</v>
      </c>
      <c r="P802" s="74" t="s">
        <v>17275</v>
      </c>
      <c r="Q802" s="74" t="s">
        <v>17277</v>
      </c>
      <c r="R802" s="119"/>
      <c r="S802" s="119"/>
      <c r="T802" s="119"/>
      <c r="U802" s="119"/>
      <c r="V802" s="119"/>
      <c r="W802" s="74">
        <v>4.0</v>
      </c>
      <c r="X802" s="74">
        <v>1.0</v>
      </c>
      <c r="Y802" s="74">
        <v>3.0</v>
      </c>
      <c r="Z802" s="74">
        <v>45.0</v>
      </c>
      <c r="AA802" s="74">
        <v>3.0</v>
      </c>
      <c r="AB802" s="74">
        <v>1.0</v>
      </c>
      <c r="AC802" s="74">
        <v>3.0</v>
      </c>
      <c r="AD802" s="74">
        <v>20.0</v>
      </c>
      <c r="AE802" s="74">
        <v>1.0</v>
      </c>
      <c r="AF802" s="74">
        <v>2.0</v>
      </c>
      <c r="AG802" s="74">
        <v>1.0</v>
      </c>
      <c r="AH802" s="74">
        <v>3.0</v>
      </c>
      <c r="AI802" s="74">
        <v>2.0</v>
      </c>
      <c r="AJ802" s="119"/>
      <c r="AK802" s="74" t="s">
        <v>17303</v>
      </c>
      <c r="AL802" s="74">
        <v>4.0</v>
      </c>
      <c r="AM802" s="74">
        <v>1.0</v>
      </c>
      <c r="AN802" s="74" t="s">
        <v>10629</v>
      </c>
      <c r="AO802" s="120">
        <v>8144.0</v>
      </c>
      <c r="AP802" s="74" t="s">
        <v>17305</v>
      </c>
      <c r="AQ802" s="74" t="s">
        <v>17307</v>
      </c>
      <c r="AR802" s="120">
        <v>802.0</v>
      </c>
    </row>
    <row r="803">
      <c r="A803" s="74" t="s">
        <v>17309</v>
      </c>
      <c r="B803" s="74" t="s">
        <v>6876</v>
      </c>
      <c r="C803" s="74" t="s">
        <v>6877</v>
      </c>
      <c r="D803" s="74" t="s">
        <v>8493</v>
      </c>
      <c r="E803" s="146">
        <v>43881.0</v>
      </c>
      <c r="F803" s="74" t="s">
        <v>17312</v>
      </c>
      <c r="G803" s="74">
        <v>59.0</v>
      </c>
      <c r="H803" s="74">
        <v>1.0</v>
      </c>
      <c r="I803" s="74">
        <v>99.0</v>
      </c>
      <c r="J803" s="119"/>
      <c r="K803" s="119"/>
      <c r="L803" s="74" t="s">
        <v>4015</v>
      </c>
      <c r="M803" s="74" t="s">
        <v>4015</v>
      </c>
      <c r="N803" s="74" t="s">
        <v>17273</v>
      </c>
      <c r="O803" s="74" t="s">
        <v>17274</v>
      </c>
      <c r="P803" s="74" t="s">
        <v>17275</v>
      </c>
      <c r="Q803" s="74" t="s">
        <v>17277</v>
      </c>
      <c r="R803" s="119"/>
      <c r="S803" s="119"/>
      <c r="T803" s="119"/>
      <c r="U803" s="119"/>
      <c r="V803" s="119"/>
      <c r="W803" s="74">
        <v>7.0</v>
      </c>
      <c r="X803" s="74">
        <v>100.0</v>
      </c>
      <c r="Y803" s="74">
        <v>3.0</v>
      </c>
      <c r="Z803" s="74">
        <v>0.0</v>
      </c>
      <c r="AA803" s="119"/>
      <c r="AB803" s="119"/>
      <c r="AC803" s="119"/>
      <c r="AD803" s="119"/>
      <c r="AE803" s="119"/>
      <c r="AF803" s="119"/>
      <c r="AG803" s="119"/>
      <c r="AH803" s="119"/>
      <c r="AI803" s="119"/>
      <c r="AJ803" s="119"/>
      <c r="AK803" s="74" t="s">
        <v>17317</v>
      </c>
      <c r="AL803" s="74">
        <v>4.0</v>
      </c>
      <c r="AM803" s="74">
        <v>1.0</v>
      </c>
      <c r="AN803" s="74" t="s">
        <v>10629</v>
      </c>
      <c r="AO803" s="120">
        <v>8145.0</v>
      </c>
      <c r="AP803" s="74" t="s">
        <v>17319</v>
      </c>
      <c r="AQ803" s="74" t="s">
        <v>17320</v>
      </c>
      <c r="AR803" s="120">
        <v>803.0</v>
      </c>
    </row>
    <row r="804">
      <c r="A804" s="74" t="s">
        <v>17321</v>
      </c>
      <c r="B804" s="74" t="s">
        <v>6876</v>
      </c>
      <c r="C804" s="74" t="s">
        <v>6877</v>
      </c>
      <c r="D804" s="74" t="s">
        <v>8493</v>
      </c>
      <c r="E804" s="146">
        <v>43881.0</v>
      </c>
      <c r="F804" s="74" t="s">
        <v>17323</v>
      </c>
      <c r="G804" s="74">
        <v>59.0</v>
      </c>
      <c r="H804" s="74">
        <v>1.0</v>
      </c>
      <c r="I804" s="74">
        <v>11.0</v>
      </c>
      <c r="J804" s="119"/>
      <c r="K804" s="119"/>
      <c r="L804" s="74" t="s">
        <v>4022</v>
      </c>
      <c r="M804" s="74" t="s">
        <v>4022</v>
      </c>
      <c r="N804" s="74" t="s">
        <v>17273</v>
      </c>
      <c r="O804" s="74" t="s">
        <v>17274</v>
      </c>
      <c r="P804" s="74" t="s">
        <v>17275</v>
      </c>
      <c r="Q804" s="74" t="s">
        <v>17277</v>
      </c>
      <c r="R804" s="119"/>
      <c r="S804" s="119"/>
      <c r="T804" s="119"/>
      <c r="U804" s="119"/>
      <c r="V804" s="119"/>
      <c r="W804" s="74">
        <v>4.0</v>
      </c>
      <c r="X804" s="74">
        <v>1.0</v>
      </c>
      <c r="Y804" s="74">
        <v>3.0</v>
      </c>
      <c r="Z804" s="74">
        <v>2.0</v>
      </c>
      <c r="AA804" s="74">
        <v>3.0</v>
      </c>
      <c r="AB804" s="74">
        <v>1.0</v>
      </c>
      <c r="AC804" s="74">
        <v>3.0</v>
      </c>
      <c r="AD804" s="74">
        <v>2.0</v>
      </c>
      <c r="AE804" s="74">
        <v>1.0</v>
      </c>
      <c r="AF804" s="74">
        <v>2.0</v>
      </c>
      <c r="AG804" s="74">
        <v>1.0</v>
      </c>
      <c r="AH804" s="74">
        <v>3.0</v>
      </c>
      <c r="AI804" s="74">
        <v>0.0</v>
      </c>
      <c r="AJ804" s="119"/>
      <c r="AK804" s="74" t="s">
        <v>17327</v>
      </c>
      <c r="AL804" s="74">
        <v>4.0</v>
      </c>
      <c r="AM804" s="74">
        <v>1.0</v>
      </c>
      <c r="AN804" s="74" t="s">
        <v>10629</v>
      </c>
      <c r="AO804" s="120">
        <v>8146.0</v>
      </c>
      <c r="AP804" s="74" t="s">
        <v>17328</v>
      </c>
      <c r="AQ804" s="74" t="s">
        <v>17329</v>
      </c>
      <c r="AR804" s="120">
        <v>804.0</v>
      </c>
    </row>
    <row r="805">
      <c r="A805" s="74" t="s">
        <v>17331</v>
      </c>
      <c r="B805" s="74" t="s">
        <v>6876</v>
      </c>
      <c r="C805" s="74" t="s">
        <v>6877</v>
      </c>
      <c r="D805" s="74" t="s">
        <v>8493</v>
      </c>
      <c r="E805" s="146">
        <v>43881.0</v>
      </c>
      <c r="F805" s="74" t="s">
        <v>17332</v>
      </c>
      <c r="G805" s="74">
        <v>59.0</v>
      </c>
      <c r="H805" s="74">
        <v>1.0</v>
      </c>
      <c r="I805" s="74">
        <v>99.0</v>
      </c>
      <c r="J805" s="119"/>
      <c r="K805" s="119"/>
      <c r="L805" s="74" t="s">
        <v>4027</v>
      </c>
      <c r="M805" s="74" t="s">
        <v>4027</v>
      </c>
      <c r="N805" s="74" t="s">
        <v>17273</v>
      </c>
      <c r="O805" s="74" t="s">
        <v>17274</v>
      </c>
      <c r="P805" s="74" t="s">
        <v>17275</v>
      </c>
      <c r="Q805" s="74" t="s">
        <v>17277</v>
      </c>
      <c r="R805" s="119"/>
      <c r="S805" s="119"/>
      <c r="T805" s="119"/>
      <c r="U805" s="119"/>
      <c r="V805" s="119"/>
      <c r="W805" s="74">
        <v>7.0</v>
      </c>
      <c r="X805" s="74">
        <v>100.0</v>
      </c>
      <c r="Y805" s="74">
        <v>3.0</v>
      </c>
      <c r="Z805" s="74">
        <v>0.0</v>
      </c>
      <c r="AA805" s="119"/>
      <c r="AB805" s="119"/>
      <c r="AC805" s="119"/>
      <c r="AD805" s="119"/>
      <c r="AE805" s="119"/>
      <c r="AF805" s="119"/>
      <c r="AG805" s="119"/>
      <c r="AH805" s="119"/>
      <c r="AI805" s="119"/>
      <c r="AJ805" s="119"/>
      <c r="AK805" s="74" t="s">
        <v>17338</v>
      </c>
      <c r="AL805" s="74">
        <v>4.0</v>
      </c>
      <c r="AM805" s="74">
        <v>1.0</v>
      </c>
      <c r="AN805" s="74" t="s">
        <v>10629</v>
      </c>
      <c r="AO805" s="120">
        <v>8147.0</v>
      </c>
      <c r="AP805" s="74" t="s">
        <v>17339</v>
      </c>
      <c r="AQ805" s="74" t="s">
        <v>17341</v>
      </c>
      <c r="AR805" s="120">
        <v>805.0</v>
      </c>
    </row>
    <row r="806">
      <c r="A806" s="74" t="s">
        <v>17332</v>
      </c>
      <c r="B806" s="74" t="s">
        <v>6876</v>
      </c>
      <c r="C806" s="74" t="s">
        <v>6877</v>
      </c>
      <c r="D806" s="74" t="s">
        <v>8493</v>
      </c>
      <c r="E806" s="146">
        <v>43881.0</v>
      </c>
      <c r="F806" s="74" t="s">
        <v>17342</v>
      </c>
      <c r="G806" s="74">
        <v>59.0</v>
      </c>
      <c r="H806" s="74">
        <v>1.0</v>
      </c>
      <c r="I806" s="74">
        <v>11.0</v>
      </c>
      <c r="J806" s="119"/>
      <c r="K806" s="119"/>
      <c r="L806" s="74" t="s">
        <v>4035</v>
      </c>
      <c r="M806" s="74" t="s">
        <v>4035</v>
      </c>
      <c r="N806" s="74" t="s">
        <v>17273</v>
      </c>
      <c r="O806" s="74" t="s">
        <v>17274</v>
      </c>
      <c r="P806" s="74" t="s">
        <v>17275</v>
      </c>
      <c r="Q806" s="74" t="s">
        <v>17277</v>
      </c>
      <c r="R806" s="119"/>
      <c r="S806" s="119"/>
      <c r="T806" s="119"/>
      <c r="U806" s="119"/>
      <c r="V806" s="119"/>
      <c r="W806" s="74">
        <v>4.0</v>
      </c>
      <c r="X806" s="74">
        <v>1.0</v>
      </c>
      <c r="Y806" s="74">
        <v>3.0</v>
      </c>
      <c r="Z806" s="74">
        <v>0.0</v>
      </c>
      <c r="AA806" s="74">
        <v>3.0</v>
      </c>
      <c r="AB806" s="74">
        <v>1.0</v>
      </c>
      <c r="AC806" s="74">
        <v>3.0</v>
      </c>
      <c r="AD806" s="74">
        <v>0.0</v>
      </c>
      <c r="AE806" s="74">
        <v>1.0</v>
      </c>
      <c r="AF806" s="74">
        <v>2.0</v>
      </c>
      <c r="AG806" s="74">
        <v>1.0</v>
      </c>
      <c r="AH806" s="74">
        <v>3.0</v>
      </c>
      <c r="AI806" s="74">
        <v>0.0</v>
      </c>
      <c r="AJ806" s="119"/>
      <c r="AK806" s="74" t="s">
        <v>17345</v>
      </c>
      <c r="AL806" s="74">
        <v>4.0</v>
      </c>
      <c r="AM806" s="74">
        <v>1.0</v>
      </c>
      <c r="AN806" s="74" t="s">
        <v>10629</v>
      </c>
      <c r="AO806" s="120">
        <v>8148.0</v>
      </c>
      <c r="AP806" s="74" t="s">
        <v>17347</v>
      </c>
      <c r="AQ806" s="74" t="s">
        <v>17348</v>
      </c>
      <c r="AR806" s="120">
        <v>806.0</v>
      </c>
    </row>
    <row r="807">
      <c r="A807" s="74" t="s">
        <v>17342</v>
      </c>
      <c r="B807" s="74" t="s">
        <v>6876</v>
      </c>
      <c r="C807" s="74" t="s">
        <v>6877</v>
      </c>
      <c r="D807" s="74" t="s">
        <v>8493</v>
      </c>
      <c r="E807" s="146">
        <v>43881.0</v>
      </c>
      <c r="F807" s="74" t="s">
        <v>17349</v>
      </c>
      <c r="G807" s="74">
        <v>59.0</v>
      </c>
      <c r="H807" s="74">
        <v>1.0</v>
      </c>
      <c r="I807" s="74">
        <v>99.0</v>
      </c>
      <c r="J807" s="119"/>
      <c r="K807" s="119"/>
      <c r="L807" s="74" t="s">
        <v>4042</v>
      </c>
      <c r="M807" s="74" t="s">
        <v>4042</v>
      </c>
      <c r="N807" s="74" t="s">
        <v>17273</v>
      </c>
      <c r="O807" s="74" t="s">
        <v>17274</v>
      </c>
      <c r="P807" s="74" t="s">
        <v>17275</v>
      </c>
      <c r="Q807" s="74" t="s">
        <v>17277</v>
      </c>
      <c r="R807" s="119"/>
      <c r="S807" s="119"/>
      <c r="T807" s="119"/>
      <c r="U807" s="119"/>
      <c r="V807" s="119"/>
      <c r="W807" s="74">
        <v>7.0</v>
      </c>
      <c r="X807" s="74">
        <v>100.0</v>
      </c>
      <c r="Y807" s="74">
        <v>3.0</v>
      </c>
      <c r="Z807" s="74">
        <v>0.0</v>
      </c>
      <c r="AA807" s="119"/>
      <c r="AB807" s="119"/>
      <c r="AC807" s="119"/>
      <c r="AD807" s="119"/>
      <c r="AE807" s="119"/>
      <c r="AF807" s="119"/>
      <c r="AG807" s="119"/>
      <c r="AH807" s="119"/>
      <c r="AI807" s="119"/>
      <c r="AJ807" s="119"/>
      <c r="AK807" s="74" t="s">
        <v>14266</v>
      </c>
      <c r="AL807" s="74">
        <v>4.0</v>
      </c>
      <c r="AM807" s="74">
        <v>1.0</v>
      </c>
      <c r="AN807" s="74" t="s">
        <v>10629</v>
      </c>
      <c r="AO807" s="120">
        <v>8149.0</v>
      </c>
      <c r="AP807" s="74" t="s">
        <v>17354</v>
      </c>
      <c r="AQ807" s="74" t="s">
        <v>17355</v>
      </c>
      <c r="AR807" s="120">
        <v>807.0</v>
      </c>
    </row>
    <row r="808">
      <c r="A808" s="74" t="s">
        <v>17349</v>
      </c>
      <c r="B808" s="74" t="s">
        <v>6876</v>
      </c>
      <c r="C808" s="74" t="s">
        <v>6877</v>
      </c>
      <c r="D808" s="74" t="s">
        <v>8493</v>
      </c>
      <c r="E808" s="146">
        <v>43881.0</v>
      </c>
      <c r="F808" s="74" t="s">
        <v>17356</v>
      </c>
      <c r="G808" s="74">
        <v>59.0</v>
      </c>
      <c r="H808" s="74">
        <v>1.0</v>
      </c>
      <c r="I808" s="74">
        <v>11.0</v>
      </c>
      <c r="J808" s="119"/>
      <c r="K808" s="119"/>
      <c r="L808" s="74" t="s">
        <v>4050</v>
      </c>
      <c r="M808" s="74" t="s">
        <v>4050</v>
      </c>
      <c r="N808" s="74" t="s">
        <v>17273</v>
      </c>
      <c r="O808" s="74" t="s">
        <v>17274</v>
      </c>
      <c r="P808" s="74" t="s">
        <v>17275</v>
      </c>
      <c r="Q808" s="74" t="s">
        <v>17277</v>
      </c>
      <c r="R808" s="119"/>
      <c r="S808" s="119"/>
      <c r="T808" s="119"/>
      <c r="U808" s="119"/>
      <c r="V808" s="119"/>
      <c r="W808" s="74">
        <v>4.0</v>
      </c>
      <c r="X808" s="74">
        <v>1.0</v>
      </c>
      <c r="Y808" s="74">
        <v>3.0</v>
      </c>
      <c r="Z808" s="74">
        <v>8.0</v>
      </c>
      <c r="AA808" s="74">
        <v>3.0</v>
      </c>
      <c r="AB808" s="74">
        <v>1.0</v>
      </c>
      <c r="AC808" s="74">
        <v>3.0</v>
      </c>
      <c r="AD808" s="74">
        <v>1.0</v>
      </c>
      <c r="AE808" s="74">
        <v>1.0</v>
      </c>
      <c r="AF808" s="74">
        <v>2.0</v>
      </c>
      <c r="AG808" s="74">
        <v>1.0</v>
      </c>
      <c r="AH808" s="74">
        <v>3.0</v>
      </c>
      <c r="AI808" s="74">
        <v>0.0</v>
      </c>
      <c r="AJ808" s="119"/>
      <c r="AK808" s="74" t="s">
        <v>17364</v>
      </c>
      <c r="AL808" s="74">
        <v>4.0</v>
      </c>
      <c r="AM808" s="74">
        <v>1.0</v>
      </c>
      <c r="AN808" s="74" t="s">
        <v>10629</v>
      </c>
      <c r="AO808" s="120">
        <v>8150.0</v>
      </c>
      <c r="AP808" s="74" t="s">
        <v>17366</v>
      </c>
      <c r="AQ808" s="74" t="s">
        <v>17367</v>
      </c>
      <c r="AR808" s="120">
        <v>808.0</v>
      </c>
    </row>
    <row r="809">
      <c r="A809" s="74" t="s">
        <v>17356</v>
      </c>
      <c r="B809" s="74" t="s">
        <v>6876</v>
      </c>
      <c r="C809" s="74" t="s">
        <v>6877</v>
      </c>
      <c r="D809" s="74" t="s">
        <v>8493</v>
      </c>
      <c r="E809" s="146">
        <v>43881.0</v>
      </c>
      <c r="F809" s="74" t="s">
        <v>17368</v>
      </c>
      <c r="G809" s="74">
        <v>59.0</v>
      </c>
      <c r="H809" s="74">
        <v>1.0</v>
      </c>
      <c r="I809" s="74">
        <v>99.0</v>
      </c>
      <c r="J809" s="119"/>
      <c r="K809" s="119"/>
      <c r="L809" s="74" t="s">
        <v>4056</v>
      </c>
      <c r="M809" s="74" t="s">
        <v>4056</v>
      </c>
      <c r="N809" s="74" t="s">
        <v>17273</v>
      </c>
      <c r="O809" s="74" t="s">
        <v>17274</v>
      </c>
      <c r="P809" s="74" t="s">
        <v>17275</v>
      </c>
      <c r="Q809" s="74" t="s">
        <v>17277</v>
      </c>
      <c r="R809" s="119"/>
      <c r="S809" s="119"/>
      <c r="T809" s="119"/>
      <c r="U809" s="119"/>
      <c r="V809" s="119"/>
      <c r="W809" s="74">
        <v>7.0</v>
      </c>
      <c r="X809" s="74">
        <v>100.0</v>
      </c>
      <c r="Y809" s="74">
        <v>3.0</v>
      </c>
      <c r="Z809" s="74">
        <v>0.0</v>
      </c>
      <c r="AA809" s="119"/>
      <c r="AB809" s="119"/>
      <c r="AC809" s="119"/>
      <c r="AD809" s="119"/>
      <c r="AE809" s="119"/>
      <c r="AF809" s="119"/>
      <c r="AG809" s="119"/>
      <c r="AH809" s="119"/>
      <c r="AI809" s="119"/>
      <c r="AJ809" s="119"/>
      <c r="AK809" s="74" t="s">
        <v>17373</v>
      </c>
      <c r="AL809" s="74">
        <v>4.0</v>
      </c>
      <c r="AM809" s="74">
        <v>1.0</v>
      </c>
      <c r="AN809" s="74" t="s">
        <v>10629</v>
      </c>
      <c r="AO809" s="120">
        <v>8151.0</v>
      </c>
      <c r="AP809" s="74" t="s">
        <v>17374</v>
      </c>
      <c r="AQ809" s="74" t="s">
        <v>17375</v>
      </c>
      <c r="AR809" s="120">
        <v>809.0</v>
      </c>
    </row>
    <row r="810">
      <c r="A810" s="74" t="s">
        <v>17376</v>
      </c>
      <c r="B810" s="74" t="s">
        <v>6876</v>
      </c>
      <c r="C810" s="74" t="s">
        <v>6877</v>
      </c>
      <c r="D810" s="74" t="s">
        <v>8493</v>
      </c>
      <c r="E810" s="146">
        <v>43881.0</v>
      </c>
      <c r="F810" s="74" t="s">
        <v>17377</v>
      </c>
      <c r="G810" s="74">
        <v>33.0</v>
      </c>
      <c r="H810" s="74">
        <v>1.0</v>
      </c>
      <c r="I810" s="74">
        <v>98.0</v>
      </c>
      <c r="J810" s="119"/>
      <c r="K810" s="119"/>
      <c r="L810" s="74" t="s">
        <v>4064</v>
      </c>
      <c r="M810" s="74" t="s">
        <v>4064</v>
      </c>
      <c r="N810" s="74" t="s">
        <v>17273</v>
      </c>
      <c r="O810" s="74" t="s">
        <v>17274</v>
      </c>
      <c r="P810" s="74" t="s">
        <v>17275</v>
      </c>
      <c r="Q810" s="74" t="s">
        <v>17277</v>
      </c>
      <c r="R810" s="119"/>
      <c r="S810" s="119"/>
      <c r="T810" s="119"/>
      <c r="U810" s="119"/>
      <c r="V810" s="119"/>
      <c r="W810" s="74">
        <v>7.0</v>
      </c>
      <c r="X810" s="74">
        <v>100.0</v>
      </c>
      <c r="Y810" s="74">
        <v>3.0</v>
      </c>
      <c r="Z810" s="74">
        <v>0.0</v>
      </c>
      <c r="AA810" s="119"/>
      <c r="AB810" s="119"/>
      <c r="AC810" s="119"/>
      <c r="AD810" s="119"/>
      <c r="AE810" s="119"/>
      <c r="AF810" s="119"/>
      <c r="AG810" s="119"/>
      <c r="AH810" s="119"/>
      <c r="AI810" s="119"/>
      <c r="AJ810" s="119"/>
      <c r="AK810" s="74" t="s">
        <v>11376</v>
      </c>
      <c r="AL810" s="74">
        <v>4.0</v>
      </c>
      <c r="AM810" s="74">
        <v>1.0</v>
      </c>
      <c r="AN810" s="74" t="s">
        <v>10629</v>
      </c>
      <c r="AO810" s="120">
        <v>8152.0</v>
      </c>
      <c r="AP810" s="74" t="s">
        <v>17381</v>
      </c>
      <c r="AQ810" s="74" t="s">
        <v>17382</v>
      </c>
      <c r="AR810" s="120">
        <v>810.0</v>
      </c>
    </row>
    <row r="811">
      <c r="A811" s="74" t="s">
        <v>17384</v>
      </c>
      <c r="B811" s="74" t="s">
        <v>6876</v>
      </c>
      <c r="C811" s="74" t="s">
        <v>6877</v>
      </c>
      <c r="D811" s="74" t="s">
        <v>8493</v>
      </c>
      <c r="E811" s="146">
        <v>43881.0</v>
      </c>
      <c r="F811" s="74" t="s">
        <v>17388</v>
      </c>
      <c r="G811" s="74">
        <v>58.0</v>
      </c>
      <c r="H811" s="74">
        <v>2.0</v>
      </c>
      <c r="I811" s="74">
        <v>5.0</v>
      </c>
      <c r="J811" s="119"/>
      <c r="K811" s="119"/>
      <c r="L811" s="74" t="s">
        <v>3362</v>
      </c>
      <c r="M811" s="74" t="s">
        <v>3362</v>
      </c>
      <c r="N811" s="74" t="s">
        <v>17392</v>
      </c>
      <c r="O811" s="74" t="s">
        <v>17393</v>
      </c>
      <c r="P811" s="74" t="s">
        <v>17394</v>
      </c>
      <c r="Q811" s="74" t="s">
        <v>17395</v>
      </c>
      <c r="R811" s="119"/>
      <c r="S811" s="119"/>
      <c r="T811" s="119"/>
      <c r="U811" s="119"/>
      <c r="V811" s="119"/>
      <c r="W811" s="74">
        <v>7.0</v>
      </c>
      <c r="X811" s="74">
        <v>1.0</v>
      </c>
      <c r="Y811" s="74">
        <v>3.0</v>
      </c>
      <c r="Z811" s="74">
        <v>34.0</v>
      </c>
      <c r="AA811" s="74">
        <v>6.0</v>
      </c>
      <c r="AB811" s="74">
        <v>1.0</v>
      </c>
      <c r="AC811" s="74">
        <v>3.0</v>
      </c>
      <c r="AD811" s="74">
        <v>6.0</v>
      </c>
      <c r="AE811" s="74">
        <v>1.0</v>
      </c>
      <c r="AF811" s="74">
        <v>5.0</v>
      </c>
      <c r="AG811" s="74">
        <v>1.0</v>
      </c>
      <c r="AH811" s="74">
        <v>3.0</v>
      </c>
      <c r="AI811" s="74">
        <v>0.0</v>
      </c>
      <c r="AJ811" s="119"/>
      <c r="AK811" s="74" t="s">
        <v>17397</v>
      </c>
      <c r="AL811" s="74">
        <v>4.0</v>
      </c>
      <c r="AM811" s="74">
        <v>1.0</v>
      </c>
      <c r="AN811" s="74" t="s">
        <v>10629</v>
      </c>
      <c r="AO811" s="120">
        <v>8153.0</v>
      </c>
      <c r="AP811" s="74" t="s">
        <v>17398</v>
      </c>
      <c r="AQ811" s="74" t="s">
        <v>17399</v>
      </c>
      <c r="AR811" s="120">
        <v>811.0</v>
      </c>
    </row>
    <row r="812">
      <c r="A812" s="74" t="s">
        <v>17400</v>
      </c>
      <c r="B812" s="74" t="s">
        <v>6876</v>
      </c>
      <c r="C812" s="74" t="s">
        <v>6877</v>
      </c>
      <c r="D812" s="74" t="s">
        <v>8493</v>
      </c>
      <c r="E812" s="146">
        <v>43881.0</v>
      </c>
      <c r="F812" s="74" t="s">
        <v>17403</v>
      </c>
      <c r="G812" s="74">
        <v>58.0</v>
      </c>
      <c r="H812" s="74">
        <v>2.0</v>
      </c>
      <c r="I812" s="74">
        <v>99.0</v>
      </c>
      <c r="J812" s="119"/>
      <c r="K812" s="119"/>
      <c r="L812" s="74" t="s">
        <v>3370</v>
      </c>
      <c r="M812" s="74" t="s">
        <v>3370</v>
      </c>
      <c r="N812" s="74" t="s">
        <v>17392</v>
      </c>
      <c r="O812" s="74" t="s">
        <v>17393</v>
      </c>
      <c r="P812" s="74" t="s">
        <v>17394</v>
      </c>
      <c r="Q812" s="74" t="s">
        <v>17395</v>
      </c>
      <c r="R812" s="119"/>
      <c r="S812" s="119"/>
      <c r="T812" s="119"/>
      <c r="U812" s="119"/>
      <c r="V812" s="119"/>
      <c r="W812" s="74">
        <v>7.0</v>
      </c>
      <c r="X812" s="74">
        <v>100.0</v>
      </c>
      <c r="Y812" s="74">
        <v>3.0</v>
      </c>
      <c r="Z812" s="74">
        <v>0.0</v>
      </c>
      <c r="AA812" s="119"/>
      <c r="AB812" s="119"/>
      <c r="AC812" s="119"/>
      <c r="AD812" s="119"/>
      <c r="AE812" s="119"/>
      <c r="AF812" s="119"/>
      <c r="AG812" s="119"/>
      <c r="AH812" s="119"/>
      <c r="AI812" s="119"/>
      <c r="AJ812" s="119"/>
      <c r="AK812" s="74" t="s">
        <v>17406</v>
      </c>
      <c r="AL812" s="74">
        <v>6.0</v>
      </c>
      <c r="AM812" s="74">
        <v>1.0</v>
      </c>
      <c r="AN812" s="74" t="s">
        <v>10629</v>
      </c>
      <c r="AO812" s="120">
        <v>8154.0</v>
      </c>
      <c r="AP812" s="74" t="s">
        <v>17407</v>
      </c>
      <c r="AQ812" s="74" t="s">
        <v>17408</v>
      </c>
      <c r="AR812" s="120">
        <v>812.0</v>
      </c>
    </row>
    <row r="813">
      <c r="A813" s="74" t="s">
        <v>17403</v>
      </c>
      <c r="B813" s="74" t="s">
        <v>6876</v>
      </c>
      <c r="C813" s="74" t="s">
        <v>6877</v>
      </c>
      <c r="D813" s="74" t="s">
        <v>8493</v>
      </c>
      <c r="E813" s="146">
        <v>43881.0</v>
      </c>
      <c r="F813" s="74" t="s">
        <v>17411</v>
      </c>
      <c r="G813" s="74">
        <v>58.0</v>
      </c>
      <c r="H813" s="74">
        <v>2.0</v>
      </c>
      <c r="I813" s="74">
        <v>99.0</v>
      </c>
      <c r="J813" s="119"/>
      <c r="K813" s="119"/>
      <c r="L813" s="74" t="s">
        <v>3385</v>
      </c>
      <c r="M813" s="74" t="s">
        <v>3385</v>
      </c>
      <c r="N813" s="74" t="s">
        <v>17392</v>
      </c>
      <c r="O813" s="74" t="s">
        <v>17393</v>
      </c>
      <c r="P813" s="74" t="s">
        <v>17394</v>
      </c>
      <c r="Q813" s="74" t="s">
        <v>17395</v>
      </c>
      <c r="R813" s="119"/>
      <c r="S813" s="119"/>
      <c r="T813" s="119"/>
      <c r="U813" s="119"/>
      <c r="V813" s="119"/>
      <c r="W813" s="74">
        <v>7.0</v>
      </c>
      <c r="X813" s="74">
        <v>100.0</v>
      </c>
      <c r="Y813" s="74">
        <v>3.0</v>
      </c>
      <c r="Z813" s="74">
        <v>0.0</v>
      </c>
      <c r="AA813" s="119"/>
      <c r="AB813" s="119"/>
      <c r="AC813" s="119"/>
      <c r="AD813" s="119"/>
      <c r="AE813" s="119"/>
      <c r="AF813" s="119"/>
      <c r="AG813" s="119"/>
      <c r="AH813" s="119"/>
      <c r="AI813" s="119"/>
      <c r="AJ813" s="119"/>
      <c r="AK813" s="74" t="s">
        <v>17416</v>
      </c>
      <c r="AL813" s="74">
        <v>6.0</v>
      </c>
      <c r="AM813" s="74">
        <v>1.0</v>
      </c>
      <c r="AN813" s="74" t="s">
        <v>10629</v>
      </c>
      <c r="AO813" s="120">
        <v>8155.0</v>
      </c>
      <c r="AP813" s="74" t="s">
        <v>17419</v>
      </c>
      <c r="AQ813" s="74" t="s">
        <v>17420</v>
      </c>
      <c r="AR813" s="120">
        <v>813.0</v>
      </c>
    </row>
    <row r="814">
      <c r="A814" s="74" t="s">
        <v>17423</v>
      </c>
      <c r="B814" s="74" t="s">
        <v>6876</v>
      </c>
      <c r="C814" s="74" t="s">
        <v>6877</v>
      </c>
      <c r="D814" s="74" t="s">
        <v>8493</v>
      </c>
      <c r="E814" s="146">
        <v>43881.0</v>
      </c>
      <c r="F814" s="74" t="s">
        <v>17424</v>
      </c>
      <c r="G814" s="74">
        <v>58.0</v>
      </c>
      <c r="H814" s="74">
        <v>1.0</v>
      </c>
      <c r="I814" s="74">
        <v>99.0</v>
      </c>
      <c r="J814" s="119"/>
      <c r="K814" s="119"/>
      <c r="L814" s="74" t="s">
        <v>4087</v>
      </c>
      <c r="M814" s="74" t="s">
        <v>4087</v>
      </c>
      <c r="N814" s="74" t="s">
        <v>17426</v>
      </c>
      <c r="O814" s="74" t="s">
        <v>17427</v>
      </c>
      <c r="P814" s="74" t="s">
        <v>17428</v>
      </c>
      <c r="Q814" s="74" t="s">
        <v>17429</v>
      </c>
      <c r="R814" s="119"/>
      <c r="S814" s="119"/>
      <c r="T814" s="119"/>
      <c r="U814" s="119"/>
      <c r="V814" s="119"/>
      <c r="W814" s="74">
        <v>7.0</v>
      </c>
      <c r="X814" s="74">
        <v>100.0</v>
      </c>
      <c r="Y814" s="74">
        <v>3.0</v>
      </c>
      <c r="Z814" s="74">
        <v>0.0</v>
      </c>
      <c r="AA814" s="119"/>
      <c r="AB814" s="119"/>
      <c r="AC814" s="119"/>
      <c r="AD814" s="119"/>
      <c r="AE814" s="119"/>
      <c r="AF814" s="119"/>
      <c r="AG814" s="119"/>
      <c r="AH814" s="119"/>
      <c r="AI814" s="119"/>
      <c r="AJ814" s="119"/>
      <c r="AK814" s="74" t="s">
        <v>17432</v>
      </c>
      <c r="AL814" s="74">
        <v>4.0</v>
      </c>
      <c r="AM814" s="74">
        <v>1.0</v>
      </c>
      <c r="AN814" s="74" t="s">
        <v>10629</v>
      </c>
      <c r="AO814" s="120">
        <v>8156.0</v>
      </c>
      <c r="AP814" s="74" t="s">
        <v>17433</v>
      </c>
      <c r="AQ814" s="74" t="s">
        <v>17434</v>
      </c>
      <c r="AR814" s="120">
        <v>814.0</v>
      </c>
    </row>
    <row r="815">
      <c r="A815" s="74" t="s">
        <v>17435</v>
      </c>
      <c r="B815" s="74" t="s">
        <v>6876</v>
      </c>
      <c r="C815" s="74" t="s">
        <v>6877</v>
      </c>
      <c r="D815" s="74" t="s">
        <v>8493</v>
      </c>
      <c r="E815" s="146">
        <v>43881.0</v>
      </c>
      <c r="F815" s="74" t="s">
        <v>17437</v>
      </c>
      <c r="G815" s="74">
        <v>57.0</v>
      </c>
      <c r="H815" s="74">
        <v>1.0</v>
      </c>
      <c r="I815" s="74">
        <v>99.0</v>
      </c>
      <c r="J815" s="119"/>
      <c r="K815" s="119"/>
      <c r="L815" s="74" t="s">
        <v>4102</v>
      </c>
      <c r="M815" s="74" t="s">
        <v>4102</v>
      </c>
      <c r="N815" s="74" t="s">
        <v>17426</v>
      </c>
      <c r="O815" s="74" t="s">
        <v>17427</v>
      </c>
      <c r="P815" s="74" t="s">
        <v>17428</v>
      </c>
      <c r="Q815" s="74" t="s">
        <v>17429</v>
      </c>
      <c r="R815" s="119"/>
      <c r="S815" s="119"/>
      <c r="T815" s="119"/>
      <c r="U815" s="119"/>
      <c r="V815" s="119"/>
      <c r="W815" s="74">
        <v>7.0</v>
      </c>
      <c r="X815" s="74">
        <v>100.0</v>
      </c>
      <c r="Y815" s="74">
        <v>3.0</v>
      </c>
      <c r="Z815" s="74">
        <v>0.0</v>
      </c>
      <c r="AA815" s="119"/>
      <c r="AB815" s="119"/>
      <c r="AC815" s="119"/>
      <c r="AD815" s="119"/>
      <c r="AE815" s="119"/>
      <c r="AF815" s="119"/>
      <c r="AG815" s="119"/>
      <c r="AH815" s="119"/>
      <c r="AI815" s="119"/>
      <c r="AJ815" s="119"/>
      <c r="AK815" s="74" t="s">
        <v>17440</v>
      </c>
      <c r="AL815" s="74">
        <v>4.0</v>
      </c>
      <c r="AM815" s="74">
        <v>1.0</v>
      </c>
      <c r="AN815" s="74" t="s">
        <v>10629</v>
      </c>
      <c r="AO815" s="120">
        <v>8157.0</v>
      </c>
      <c r="AP815" s="74" t="s">
        <v>17441</v>
      </c>
      <c r="AQ815" s="74" t="s">
        <v>17442</v>
      </c>
      <c r="AR815" s="120">
        <v>815.0</v>
      </c>
    </row>
    <row r="816">
      <c r="A816" s="74" t="s">
        <v>17443</v>
      </c>
      <c r="B816" s="74" t="s">
        <v>6876</v>
      </c>
      <c r="C816" s="74" t="s">
        <v>6877</v>
      </c>
      <c r="D816" s="74" t="s">
        <v>8493</v>
      </c>
      <c r="E816" s="146">
        <v>43881.0</v>
      </c>
      <c r="F816" s="74" t="s">
        <v>17445</v>
      </c>
      <c r="G816" s="74">
        <v>57.0</v>
      </c>
      <c r="H816" s="74">
        <v>1.0</v>
      </c>
      <c r="I816" s="74">
        <v>99.0</v>
      </c>
      <c r="J816" s="119"/>
      <c r="K816" s="119"/>
      <c r="L816" s="74" t="s">
        <v>4122</v>
      </c>
      <c r="M816" s="74" t="s">
        <v>4122</v>
      </c>
      <c r="N816" s="74" t="s">
        <v>17426</v>
      </c>
      <c r="O816" s="74" t="s">
        <v>17427</v>
      </c>
      <c r="P816" s="74" t="s">
        <v>17428</v>
      </c>
      <c r="Q816" s="74" t="s">
        <v>17429</v>
      </c>
      <c r="R816" s="119"/>
      <c r="S816" s="119"/>
      <c r="T816" s="119"/>
      <c r="U816" s="119"/>
      <c r="V816" s="119"/>
      <c r="W816" s="74">
        <v>7.0</v>
      </c>
      <c r="X816" s="74">
        <v>100.0</v>
      </c>
      <c r="Y816" s="74">
        <v>3.0</v>
      </c>
      <c r="Z816" s="74">
        <v>0.0</v>
      </c>
      <c r="AA816" s="119"/>
      <c r="AB816" s="119"/>
      <c r="AC816" s="119"/>
      <c r="AD816" s="119"/>
      <c r="AE816" s="119"/>
      <c r="AF816" s="119"/>
      <c r="AG816" s="119"/>
      <c r="AH816" s="119"/>
      <c r="AI816" s="119"/>
      <c r="AJ816" s="119"/>
      <c r="AK816" s="74" t="s">
        <v>17451</v>
      </c>
      <c r="AL816" s="74">
        <v>4.0</v>
      </c>
      <c r="AM816" s="74">
        <v>1.0</v>
      </c>
      <c r="AN816" s="74" t="s">
        <v>10629</v>
      </c>
      <c r="AO816" s="120">
        <v>8158.0</v>
      </c>
      <c r="AP816" s="74" t="s">
        <v>17453</v>
      </c>
      <c r="AQ816" s="74" t="s">
        <v>17454</v>
      </c>
      <c r="AR816" s="120">
        <v>816.0</v>
      </c>
    </row>
    <row r="817">
      <c r="A817" s="74" t="s">
        <v>17455</v>
      </c>
      <c r="B817" s="74" t="s">
        <v>6876</v>
      </c>
      <c r="C817" s="74" t="s">
        <v>6877</v>
      </c>
      <c r="D817" s="74" t="s">
        <v>8493</v>
      </c>
      <c r="E817" s="146">
        <v>43881.0</v>
      </c>
      <c r="F817" s="74" t="s">
        <v>17457</v>
      </c>
      <c r="G817" s="74">
        <v>57.0</v>
      </c>
      <c r="H817" s="74">
        <v>1.0</v>
      </c>
      <c r="I817" s="74">
        <v>99.0</v>
      </c>
      <c r="J817" s="119"/>
      <c r="K817" s="119"/>
      <c r="L817" s="74" t="s">
        <v>4137</v>
      </c>
      <c r="M817" s="74" t="s">
        <v>4137</v>
      </c>
      <c r="N817" s="74" t="s">
        <v>17426</v>
      </c>
      <c r="O817" s="74" t="s">
        <v>17427</v>
      </c>
      <c r="P817" s="74" t="s">
        <v>17428</v>
      </c>
      <c r="Q817" s="74" t="s">
        <v>17429</v>
      </c>
      <c r="R817" s="119"/>
      <c r="S817" s="119"/>
      <c r="T817" s="119"/>
      <c r="U817" s="119"/>
      <c r="V817" s="119"/>
      <c r="W817" s="74">
        <v>7.0</v>
      </c>
      <c r="X817" s="74">
        <v>100.0</v>
      </c>
      <c r="Y817" s="74">
        <v>3.0</v>
      </c>
      <c r="Z817" s="74">
        <v>0.0</v>
      </c>
      <c r="AA817" s="119"/>
      <c r="AB817" s="119"/>
      <c r="AC817" s="119"/>
      <c r="AD817" s="119"/>
      <c r="AE817" s="119"/>
      <c r="AF817" s="119"/>
      <c r="AG817" s="119"/>
      <c r="AH817" s="119"/>
      <c r="AI817" s="119"/>
      <c r="AJ817" s="119"/>
      <c r="AK817" s="74" t="s">
        <v>17461</v>
      </c>
      <c r="AL817" s="74">
        <v>4.0</v>
      </c>
      <c r="AM817" s="74">
        <v>1.0</v>
      </c>
      <c r="AN817" s="74" t="s">
        <v>10629</v>
      </c>
      <c r="AO817" s="120">
        <v>8159.0</v>
      </c>
      <c r="AP817" s="74" t="s">
        <v>17462</v>
      </c>
      <c r="AQ817" s="74" t="s">
        <v>17463</v>
      </c>
      <c r="AR817" s="120">
        <v>817.0</v>
      </c>
    </row>
    <row r="818">
      <c r="A818" s="74" t="s">
        <v>17465</v>
      </c>
      <c r="B818" s="74" t="s">
        <v>6876</v>
      </c>
      <c r="C818" s="74" t="s">
        <v>6877</v>
      </c>
      <c r="D818" s="74" t="s">
        <v>8493</v>
      </c>
      <c r="E818" s="146">
        <v>43881.0</v>
      </c>
      <c r="F818" s="74" t="s">
        <v>17466</v>
      </c>
      <c r="G818" s="74">
        <v>33.0</v>
      </c>
      <c r="H818" s="74">
        <v>1.0</v>
      </c>
      <c r="I818" s="74">
        <v>98.0</v>
      </c>
      <c r="J818" s="119"/>
      <c r="K818" s="119"/>
      <c r="L818" s="74" t="s">
        <v>4173</v>
      </c>
      <c r="M818" s="74" t="s">
        <v>4173</v>
      </c>
      <c r="N818" s="74" t="s">
        <v>17426</v>
      </c>
      <c r="O818" s="74" t="s">
        <v>17427</v>
      </c>
      <c r="P818" s="74" t="s">
        <v>17428</v>
      </c>
      <c r="Q818" s="74" t="s">
        <v>17429</v>
      </c>
      <c r="R818" s="119"/>
      <c r="S818" s="119"/>
      <c r="T818" s="119"/>
      <c r="U818" s="119"/>
      <c r="V818" s="119"/>
      <c r="W818" s="74">
        <v>7.0</v>
      </c>
      <c r="X818" s="74">
        <v>100.0</v>
      </c>
      <c r="Y818" s="74">
        <v>3.0</v>
      </c>
      <c r="Z818" s="74">
        <v>0.0</v>
      </c>
      <c r="AA818" s="119"/>
      <c r="AB818" s="119"/>
      <c r="AC818" s="119"/>
      <c r="AD818" s="119"/>
      <c r="AE818" s="119"/>
      <c r="AF818" s="119"/>
      <c r="AG818" s="119"/>
      <c r="AH818" s="119"/>
      <c r="AI818" s="119"/>
      <c r="AJ818" s="119"/>
      <c r="AK818" s="74" t="s">
        <v>11376</v>
      </c>
      <c r="AL818" s="74">
        <v>4.0</v>
      </c>
      <c r="AM818" s="74">
        <v>1.0</v>
      </c>
      <c r="AN818" s="74" t="s">
        <v>10629</v>
      </c>
      <c r="AO818" s="120">
        <v>8160.0</v>
      </c>
      <c r="AP818" s="74" t="s">
        <v>17473</v>
      </c>
      <c r="AQ818" s="74" t="s">
        <v>17475</v>
      </c>
      <c r="AR818" s="120">
        <v>818.0</v>
      </c>
    </row>
    <row r="819">
      <c r="A819" s="74" t="s">
        <v>17477</v>
      </c>
      <c r="B819" s="74" t="s">
        <v>6876</v>
      </c>
      <c r="C819" s="74" t="s">
        <v>6877</v>
      </c>
      <c r="D819" s="74" t="s">
        <v>8493</v>
      </c>
      <c r="E819" s="146">
        <v>43881.0</v>
      </c>
      <c r="F819" s="74" t="s">
        <v>17480</v>
      </c>
      <c r="G819" s="74">
        <v>58.0</v>
      </c>
      <c r="H819" s="74">
        <v>2.0</v>
      </c>
      <c r="I819" s="74">
        <v>8.0</v>
      </c>
      <c r="J819" s="119"/>
      <c r="K819" s="119"/>
      <c r="L819" s="74" t="s">
        <v>2384</v>
      </c>
      <c r="M819" s="74" t="s">
        <v>2384</v>
      </c>
      <c r="N819" s="74" t="s">
        <v>17392</v>
      </c>
      <c r="O819" s="74" t="s">
        <v>17483</v>
      </c>
      <c r="P819" s="74" t="s">
        <v>17484</v>
      </c>
      <c r="Q819" s="74" t="s">
        <v>17485</v>
      </c>
      <c r="R819" s="119"/>
      <c r="S819" s="119"/>
      <c r="T819" s="119"/>
      <c r="U819" s="74">
        <v>110.0</v>
      </c>
      <c r="V819" s="119"/>
      <c r="W819" s="74">
        <v>6.0</v>
      </c>
      <c r="X819" s="74">
        <v>1.0</v>
      </c>
      <c r="Y819" s="74">
        <v>3.0</v>
      </c>
      <c r="Z819" s="74">
        <v>42.0</v>
      </c>
      <c r="AA819" s="74">
        <v>5.0</v>
      </c>
      <c r="AB819" s="74">
        <v>1.0</v>
      </c>
      <c r="AC819" s="74">
        <v>3.0</v>
      </c>
      <c r="AD819" s="74">
        <v>0.0</v>
      </c>
      <c r="AE819" s="74">
        <v>1.0</v>
      </c>
      <c r="AF819" s="74">
        <v>4.0</v>
      </c>
      <c r="AG819" s="74">
        <v>1.0</v>
      </c>
      <c r="AH819" s="74">
        <v>3.0</v>
      </c>
      <c r="AI819" s="74">
        <v>0.0</v>
      </c>
      <c r="AJ819" s="119"/>
      <c r="AK819" s="74" t="s">
        <v>17489</v>
      </c>
      <c r="AL819" s="74">
        <v>4.0</v>
      </c>
      <c r="AM819" s="74">
        <v>1.0</v>
      </c>
      <c r="AN819" s="74" t="s">
        <v>10629</v>
      </c>
      <c r="AO819" s="120">
        <v>8161.0</v>
      </c>
      <c r="AP819" s="74" t="s">
        <v>17490</v>
      </c>
      <c r="AQ819" s="74" t="s">
        <v>17493</v>
      </c>
      <c r="AR819" s="120">
        <v>819.0</v>
      </c>
    </row>
    <row r="820">
      <c r="A820" s="74" t="s">
        <v>17495</v>
      </c>
      <c r="B820" s="74" t="s">
        <v>6876</v>
      </c>
      <c r="C820" s="74" t="s">
        <v>6877</v>
      </c>
      <c r="D820" s="74" t="s">
        <v>8493</v>
      </c>
      <c r="E820" s="146">
        <v>43881.0</v>
      </c>
      <c r="F820" s="74" t="s">
        <v>17496</v>
      </c>
      <c r="G820" s="74">
        <v>57.0</v>
      </c>
      <c r="H820" s="74">
        <v>1.0</v>
      </c>
      <c r="I820" s="74">
        <v>16.0</v>
      </c>
      <c r="J820" s="119"/>
      <c r="K820" s="119"/>
      <c r="L820" s="74" t="s">
        <v>4168</v>
      </c>
      <c r="M820" s="74" t="s">
        <v>4168</v>
      </c>
      <c r="N820" s="74" t="s">
        <v>17426</v>
      </c>
      <c r="O820" s="74" t="s">
        <v>17427</v>
      </c>
      <c r="P820" s="74" t="s">
        <v>17428</v>
      </c>
      <c r="Q820" s="74" t="s">
        <v>17429</v>
      </c>
      <c r="R820" s="119"/>
      <c r="S820" s="119"/>
      <c r="T820" s="119"/>
      <c r="U820" s="119"/>
      <c r="V820" s="119"/>
      <c r="W820" s="74">
        <v>4.0</v>
      </c>
      <c r="X820" s="74">
        <v>1.0</v>
      </c>
      <c r="Y820" s="74">
        <v>3.0</v>
      </c>
      <c r="Z820" s="74">
        <v>3.0</v>
      </c>
      <c r="AA820" s="74">
        <v>3.0</v>
      </c>
      <c r="AB820" s="74">
        <v>1.0</v>
      </c>
      <c r="AC820" s="74">
        <v>3.0</v>
      </c>
      <c r="AD820" s="74">
        <v>0.0</v>
      </c>
      <c r="AE820" s="74">
        <v>1.0</v>
      </c>
      <c r="AF820" s="74">
        <v>2.0</v>
      </c>
      <c r="AG820" s="74">
        <v>1.0</v>
      </c>
      <c r="AH820" s="74">
        <v>3.0</v>
      </c>
      <c r="AI820" s="74">
        <v>0.0</v>
      </c>
      <c r="AJ820" s="119"/>
      <c r="AK820" s="74" t="s">
        <v>17504</v>
      </c>
      <c r="AL820" s="74">
        <v>4.0</v>
      </c>
      <c r="AM820" s="74">
        <v>1.0</v>
      </c>
      <c r="AN820" s="74" t="s">
        <v>10629</v>
      </c>
      <c r="AO820" s="120">
        <v>8162.0</v>
      </c>
      <c r="AP820" s="74" t="s">
        <v>17505</v>
      </c>
      <c r="AQ820" s="74" t="s">
        <v>17506</v>
      </c>
      <c r="AR820" s="120">
        <v>820.0</v>
      </c>
    </row>
    <row r="821">
      <c r="A821" s="74" t="s">
        <v>17509</v>
      </c>
      <c r="B821" s="74" t="s">
        <v>6876</v>
      </c>
      <c r="C821" s="74" t="s">
        <v>6877</v>
      </c>
      <c r="D821" s="74" t="s">
        <v>8493</v>
      </c>
      <c r="E821" s="146">
        <v>43887.0</v>
      </c>
      <c r="F821" s="74" t="s">
        <v>17510</v>
      </c>
      <c r="G821" s="74">
        <v>6.0</v>
      </c>
      <c r="H821" s="74">
        <v>1.0</v>
      </c>
      <c r="I821" s="74">
        <v>99.0</v>
      </c>
      <c r="J821" s="119"/>
      <c r="K821" s="119"/>
      <c r="L821" s="74" t="s">
        <v>4192</v>
      </c>
      <c r="M821" s="74" t="s">
        <v>4192</v>
      </c>
      <c r="N821" s="74" t="s">
        <v>17512</v>
      </c>
      <c r="O821" s="74" t="s">
        <v>17513</v>
      </c>
      <c r="P821" s="74" t="s">
        <v>17514</v>
      </c>
      <c r="Q821" s="74" t="s">
        <v>17515</v>
      </c>
      <c r="R821" s="119"/>
      <c r="S821" s="119"/>
      <c r="T821" s="119"/>
      <c r="U821" s="119"/>
      <c r="V821" s="119"/>
      <c r="W821" s="74">
        <v>7.0</v>
      </c>
      <c r="X821" s="74">
        <v>100.0</v>
      </c>
      <c r="Y821" s="74">
        <v>3.0</v>
      </c>
      <c r="Z821" s="74">
        <v>0.0</v>
      </c>
      <c r="AA821" s="119"/>
      <c r="AB821" s="119"/>
      <c r="AC821" s="119"/>
      <c r="AD821" s="119"/>
      <c r="AE821" s="119"/>
      <c r="AF821" s="119"/>
      <c r="AG821" s="119"/>
      <c r="AH821" s="119"/>
      <c r="AI821" s="119"/>
      <c r="AJ821" s="119"/>
      <c r="AK821" s="74" t="s">
        <v>17520</v>
      </c>
      <c r="AL821" s="74">
        <v>6.0</v>
      </c>
      <c r="AM821" s="74">
        <v>1.0</v>
      </c>
      <c r="AN821" s="74" t="s">
        <v>10629</v>
      </c>
      <c r="AO821" s="120">
        <v>8300.0</v>
      </c>
      <c r="AP821" s="74" t="s">
        <v>17521</v>
      </c>
      <c r="AQ821" s="74" t="s">
        <v>17523</v>
      </c>
      <c r="AR821" s="120">
        <v>821.0</v>
      </c>
    </row>
    <row r="822">
      <c r="A822" s="74" t="s">
        <v>17510</v>
      </c>
      <c r="B822" s="74" t="s">
        <v>6876</v>
      </c>
      <c r="C822" s="74" t="s">
        <v>6877</v>
      </c>
      <c r="D822" s="74" t="s">
        <v>8493</v>
      </c>
      <c r="E822" s="146">
        <v>43887.0</v>
      </c>
      <c r="F822" s="74" t="s">
        <v>17526</v>
      </c>
      <c r="G822" s="74">
        <v>3.0</v>
      </c>
      <c r="H822" s="74">
        <v>1.0</v>
      </c>
      <c r="I822" s="74">
        <v>99.0</v>
      </c>
      <c r="J822" s="119"/>
      <c r="K822" s="119"/>
      <c r="L822" s="74" t="s">
        <v>4208</v>
      </c>
      <c r="M822" s="74" t="s">
        <v>4208</v>
      </c>
      <c r="N822" s="74" t="s">
        <v>17512</v>
      </c>
      <c r="O822" s="74" t="s">
        <v>17513</v>
      </c>
      <c r="P822" s="74" t="s">
        <v>17514</v>
      </c>
      <c r="Q822" s="74" t="s">
        <v>17515</v>
      </c>
      <c r="R822" s="119"/>
      <c r="S822" s="119"/>
      <c r="T822" s="119"/>
      <c r="U822" s="119"/>
      <c r="V822" s="119"/>
      <c r="W822" s="74">
        <v>7.0</v>
      </c>
      <c r="X822" s="74">
        <v>100.0</v>
      </c>
      <c r="Y822" s="74">
        <v>3.0</v>
      </c>
      <c r="Z822" s="74">
        <v>0.0</v>
      </c>
      <c r="AA822" s="119"/>
      <c r="AB822" s="119"/>
      <c r="AC822" s="119"/>
      <c r="AD822" s="119"/>
      <c r="AE822" s="119"/>
      <c r="AF822" s="119"/>
      <c r="AG822" s="119"/>
      <c r="AH822" s="119"/>
      <c r="AI822" s="119"/>
      <c r="AJ822" s="119"/>
      <c r="AK822" s="74" t="s">
        <v>17533</v>
      </c>
      <c r="AL822" s="74">
        <v>6.0</v>
      </c>
      <c r="AM822" s="74">
        <v>1.0</v>
      </c>
      <c r="AN822" s="74" t="s">
        <v>10629</v>
      </c>
      <c r="AO822" s="120">
        <v>8301.0</v>
      </c>
      <c r="AP822" s="74" t="s">
        <v>17535</v>
      </c>
      <c r="AQ822" s="74" t="s">
        <v>17536</v>
      </c>
      <c r="AR822" s="120">
        <v>822.0</v>
      </c>
    </row>
    <row r="823">
      <c r="A823" s="74" t="s">
        <v>17537</v>
      </c>
      <c r="B823" s="74" t="s">
        <v>6876</v>
      </c>
      <c r="C823" s="74" t="s">
        <v>6877</v>
      </c>
      <c r="D823" s="74" t="s">
        <v>8493</v>
      </c>
      <c r="E823" s="146">
        <v>43887.0</v>
      </c>
      <c r="F823" s="74" t="s">
        <v>17539</v>
      </c>
      <c r="G823" s="74">
        <v>29.0</v>
      </c>
      <c r="H823" s="74">
        <v>1.0</v>
      </c>
      <c r="I823" s="74">
        <v>99.0</v>
      </c>
      <c r="J823" s="119"/>
      <c r="K823" s="119"/>
      <c r="L823" s="74" t="s">
        <v>4224</v>
      </c>
      <c r="M823" s="74" t="s">
        <v>4224</v>
      </c>
      <c r="N823" s="74" t="s">
        <v>17512</v>
      </c>
      <c r="O823" s="74" t="s">
        <v>17513</v>
      </c>
      <c r="P823" s="74" t="s">
        <v>17514</v>
      </c>
      <c r="Q823" s="74" t="s">
        <v>17515</v>
      </c>
      <c r="R823" s="119"/>
      <c r="S823" s="119"/>
      <c r="T823" s="119"/>
      <c r="U823" s="119"/>
      <c r="V823" s="119"/>
      <c r="W823" s="74">
        <v>7.0</v>
      </c>
      <c r="X823" s="74">
        <v>100.0</v>
      </c>
      <c r="Y823" s="74">
        <v>3.0</v>
      </c>
      <c r="Z823" s="74">
        <v>0.0</v>
      </c>
      <c r="AA823" s="119"/>
      <c r="AB823" s="119"/>
      <c r="AC823" s="119"/>
      <c r="AD823" s="119"/>
      <c r="AE823" s="119"/>
      <c r="AF823" s="119"/>
      <c r="AG823" s="119"/>
      <c r="AH823" s="119"/>
      <c r="AI823" s="119"/>
      <c r="AJ823" s="119"/>
      <c r="AK823" s="74" t="s">
        <v>17548</v>
      </c>
      <c r="AL823" s="74">
        <v>6.0</v>
      </c>
      <c r="AM823" s="74">
        <v>1.0</v>
      </c>
      <c r="AN823" s="74" t="s">
        <v>10629</v>
      </c>
      <c r="AO823" s="120">
        <v>8302.0</v>
      </c>
      <c r="AP823" s="74" t="s">
        <v>17551</v>
      </c>
      <c r="AQ823" s="74" t="s">
        <v>17552</v>
      </c>
      <c r="AR823" s="120">
        <v>823.0</v>
      </c>
    </row>
    <row r="824">
      <c r="A824" s="74" t="s">
        <v>17539</v>
      </c>
      <c r="B824" s="74" t="s">
        <v>6876</v>
      </c>
      <c r="C824" s="74" t="s">
        <v>6877</v>
      </c>
      <c r="D824" s="74" t="s">
        <v>8493</v>
      </c>
      <c r="E824" s="146">
        <v>43887.0</v>
      </c>
      <c r="F824" s="74" t="s">
        <v>17554</v>
      </c>
      <c r="G824" s="74">
        <v>65.0</v>
      </c>
      <c r="H824" s="74">
        <v>1.0</v>
      </c>
      <c r="I824" s="74">
        <v>16.0</v>
      </c>
      <c r="J824" s="119"/>
      <c r="K824" s="119"/>
      <c r="L824" s="74" t="s">
        <v>4260</v>
      </c>
      <c r="M824" s="74" t="s">
        <v>4260</v>
      </c>
      <c r="N824" s="74" t="s">
        <v>17512</v>
      </c>
      <c r="O824" s="74" t="s">
        <v>17513</v>
      </c>
      <c r="P824" s="74" t="s">
        <v>17514</v>
      </c>
      <c r="Q824" s="74" t="s">
        <v>17515</v>
      </c>
      <c r="R824" s="119"/>
      <c r="S824" s="119"/>
      <c r="T824" s="119"/>
      <c r="U824" s="119"/>
      <c r="V824" s="119"/>
      <c r="W824" s="74">
        <v>4.0</v>
      </c>
      <c r="X824" s="74">
        <v>1.0</v>
      </c>
      <c r="Y824" s="74">
        <v>3.0</v>
      </c>
      <c r="Z824" s="74">
        <v>12.0</v>
      </c>
      <c r="AA824" s="74">
        <v>3.0</v>
      </c>
      <c r="AB824" s="74">
        <v>1.0</v>
      </c>
      <c r="AC824" s="74">
        <v>3.0</v>
      </c>
      <c r="AD824" s="74">
        <v>0.0</v>
      </c>
      <c r="AE824" s="74">
        <v>1.0</v>
      </c>
      <c r="AF824" s="74">
        <v>2.0</v>
      </c>
      <c r="AG824" s="74">
        <v>1.0</v>
      </c>
      <c r="AH824" s="74">
        <v>3.0</v>
      </c>
      <c r="AI824" s="74">
        <v>0.0</v>
      </c>
      <c r="AJ824" s="119"/>
      <c r="AK824" s="74" t="s">
        <v>17568</v>
      </c>
      <c r="AL824" s="74">
        <v>6.0</v>
      </c>
      <c r="AM824" s="74">
        <v>1.0</v>
      </c>
      <c r="AN824" s="74" t="s">
        <v>10629</v>
      </c>
      <c r="AO824" s="120">
        <v>8303.0</v>
      </c>
      <c r="AP824" s="74" t="s">
        <v>17569</v>
      </c>
      <c r="AQ824" s="74" t="s">
        <v>17570</v>
      </c>
      <c r="AR824" s="120">
        <v>824.0</v>
      </c>
    </row>
    <row r="825">
      <c r="A825" s="74" t="s">
        <v>17554</v>
      </c>
      <c r="B825" s="74" t="s">
        <v>6876</v>
      </c>
      <c r="C825" s="74" t="s">
        <v>6877</v>
      </c>
      <c r="D825" s="74" t="s">
        <v>8493</v>
      </c>
      <c r="E825" s="146">
        <v>43887.0</v>
      </c>
      <c r="F825" s="74" t="s">
        <v>17572</v>
      </c>
      <c r="G825" s="74">
        <v>58.0</v>
      </c>
      <c r="H825" s="74">
        <v>1.0</v>
      </c>
      <c r="I825" s="74">
        <v>7.0</v>
      </c>
      <c r="J825" s="119"/>
      <c r="K825" s="119"/>
      <c r="L825" s="74" t="s">
        <v>4236</v>
      </c>
      <c r="M825" s="74" t="s">
        <v>4236</v>
      </c>
      <c r="N825" s="74" t="s">
        <v>17512</v>
      </c>
      <c r="O825" s="74" t="s">
        <v>17513</v>
      </c>
      <c r="P825" s="74" t="s">
        <v>17514</v>
      </c>
      <c r="Q825" s="74" t="s">
        <v>17574</v>
      </c>
      <c r="R825" s="119"/>
      <c r="S825" s="119"/>
      <c r="T825" s="119"/>
      <c r="U825" s="119"/>
      <c r="V825" s="119"/>
      <c r="W825" s="74">
        <v>4.0</v>
      </c>
      <c r="X825" s="74">
        <v>1.0</v>
      </c>
      <c r="Y825" s="74">
        <v>3.0</v>
      </c>
      <c r="Z825" s="74">
        <v>0.0</v>
      </c>
      <c r="AA825" s="74">
        <v>3.0</v>
      </c>
      <c r="AB825" s="74">
        <v>1.0</v>
      </c>
      <c r="AC825" s="74">
        <v>3.0</v>
      </c>
      <c r="AD825" s="74">
        <v>0.0</v>
      </c>
      <c r="AE825" s="74">
        <v>1.0</v>
      </c>
      <c r="AF825" s="74">
        <v>2.0</v>
      </c>
      <c r="AG825" s="74">
        <v>1.0</v>
      </c>
      <c r="AH825" s="74">
        <v>3.0</v>
      </c>
      <c r="AI825" s="74">
        <v>0.0</v>
      </c>
      <c r="AJ825" s="119"/>
      <c r="AK825" s="74" t="s">
        <v>17579</v>
      </c>
      <c r="AL825" s="74">
        <v>6.0</v>
      </c>
      <c r="AM825" s="74">
        <v>1.0</v>
      </c>
      <c r="AN825" s="74" t="s">
        <v>10629</v>
      </c>
      <c r="AO825" s="120">
        <v>8304.0</v>
      </c>
      <c r="AP825" s="74" t="s">
        <v>17585</v>
      </c>
      <c r="AQ825" s="74" t="s">
        <v>17586</v>
      </c>
      <c r="AR825" s="120">
        <v>825.0</v>
      </c>
    </row>
    <row r="826">
      <c r="A826" s="74" t="s">
        <v>17587</v>
      </c>
      <c r="B826" s="74" t="s">
        <v>6876</v>
      </c>
      <c r="C826" s="74" t="s">
        <v>6877</v>
      </c>
      <c r="D826" s="74" t="s">
        <v>8493</v>
      </c>
      <c r="E826" s="146">
        <v>43887.0</v>
      </c>
      <c r="F826" s="74" t="s">
        <v>17589</v>
      </c>
      <c r="G826" s="74">
        <v>58.0</v>
      </c>
      <c r="H826" s="74">
        <v>1.0</v>
      </c>
      <c r="I826" s="74">
        <v>99.0</v>
      </c>
      <c r="J826" s="119"/>
      <c r="K826" s="119"/>
      <c r="L826" s="74" t="s">
        <v>4237</v>
      </c>
      <c r="M826" s="74" t="s">
        <v>4237</v>
      </c>
      <c r="N826" s="74" t="s">
        <v>17512</v>
      </c>
      <c r="O826" s="74" t="s">
        <v>17513</v>
      </c>
      <c r="P826" s="74" t="s">
        <v>17514</v>
      </c>
      <c r="Q826" s="74" t="s">
        <v>17574</v>
      </c>
      <c r="R826" s="119"/>
      <c r="S826" s="119"/>
      <c r="T826" s="119"/>
      <c r="U826" s="119"/>
      <c r="V826" s="119"/>
      <c r="W826" s="74">
        <v>7.0</v>
      </c>
      <c r="X826" s="74">
        <v>100.0</v>
      </c>
      <c r="Y826" s="74">
        <v>3.0</v>
      </c>
      <c r="Z826" s="74">
        <v>0.0</v>
      </c>
      <c r="AA826" s="119"/>
      <c r="AB826" s="119"/>
      <c r="AC826" s="119"/>
      <c r="AD826" s="119"/>
      <c r="AE826" s="119"/>
      <c r="AF826" s="119"/>
      <c r="AG826" s="119"/>
      <c r="AH826" s="119"/>
      <c r="AI826" s="119"/>
      <c r="AJ826" s="119"/>
      <c r="AK826" s="74" t="s">
        <v>17594</v>
      </c>
      <c r="AL826" s="74">
        <v>6.0</v>
      </c>
      <c r="AM826" s="74">
        <v>1.0</v>
      </c>
      <c r="AN826" s="74" t="s">
        <v>10629</v>
      </c>
      <c r="AO826" s="120">
        <v>8305.0</v>
      </c>
      <c r="AP826" s="74" t="s">
        <v>17597</v>
      </c>
      <c r="AQ826" s="74" t="s">
        <v>17598</v>
      </c>
      <c r="AR826" s="120">
        <v>826.0</v>
      </c>
    </row>
    <row r="827">
      <c r="A827" s="74" t="s">
        <v>17589</v>
      </c>
      <c r="B827" s="74" t="s">
        <v>6876</v>
      </c>
      <c r="C827" s="74" t="s">
        <v>6877</v>
      </c>
      <c r="D827" s="74" t="s">
        <v>8493</v>
      </c>
      <c r="E827" s="146">
        <v>43887.0</v>
      </c>
      <c r="F827" s="74" t="s">
        <v>17603</v>
      </c>
      <c r="G827" s="74">
        <v>58.0</v>
      </c>
      <c r="H827" s="74">
        <v>1.0</v>
      </c>
      <c r="I827" s="74">
        <v>7.0</v>
      </c>
      <c r="J827" s="119"/>
      <c r="K827" s="119"/>
      <c r="L827" s="74" t="s">
        <v>4244</v>
      </c>
      <c r="M827" s="74" t="s">
        <v>4244</v>
      </c>
      <c r="N827" s="74" t="s">
        <v>17512</v>
      </c>
      <c r="O827" s="74" t="s">
        <v>17513</v>
      </c>
      <c r="P827" s="74" t="s">
        <v>17514</v>
      </c>
      <c r="Q827" s="74" t="s">
        <v>17574</v>
      </c>
      <c r="R827" s="119"/>
      <c r="S827" s="119"/>
      <c r="T827" s="119"/>
      <c r="U827" s="119"/>
      <c r="V827" s="119"/>
      <c r="W827" s="74">
        <v>4.0</v>
      </c>
      <c r="X827" s="74">
        <v>1.0</v>
      </c>
      <c r="Y827" s="74">
        <v>3.0</v>
      </c>
      <c r="Z827" s="74">
        <v>0.0</v>
      </c>
      <c r="AA827" s="74">
        <v>3.0</v>
      </c>
      <c r="AB827" s="74">
        <v>1.0</v>
      </c>
      <c r="AC827" s="74">
        <v>3.0</v>
      </c>
      <c r="AD827" s="74">
        <v>0.0</v>
      </c>
      <c r="AE827" s="74">
        <v>1.0</v>
      </c>
      <c r="AF827" s="74">
        <v>2.0</v>
      </c>
      <c r="AG827" s="74">
        <v>1.0</v>
      </c>
      <c r="AH827" s="74">
        <v>3.0</v>
      </c>
      <c r="AI827" s="74">
        <v>0.0</v>
      </c>
      <c r="AJ827" s="119"/>
      <c r="AK827" s="74" t="s">
        <v>17607</v>
      </c>
      <c r="AL827" s="74">
        <v>6.0</v>
      </c>
      <c r="AM827" s="74">
        <v>1.0</v>
      </c>
      <c r="AN827" s="74" t="s">
        <v>10629</v>
      </c>
      <c r="AO827" s="120">
        <v>8306.0</v>
      </c>
      <c r="AP827" s="74" t="s">
        <v>17608</v>
      </c>
      <c r="AQ827" s="74" t="s">
        <v>17609</v>
      </c>
      <c r="AR827" s="120">
        <v>827.0</v>
      </c>
    </row>
    <row r="828">
      <c r="A828" s="74" t="s">
        <v>17611</v>
      </c>
      <c r="B828" s="74" t="s">
        <v>6876</v>
      </c>
      <c r="C828" s="74" t="s">
        <v>6877</v>
      </c>
      <c r="D828" s="74" t="s">
        <v>8493</v>
      </c>
      <c r="E828" s="146">
        <v>43887.0</v>
      </c>
      <c r="F828" s="74" t="s">
        <v>17612</v>
      </c>
      <c r="G828" s="74">
        <v>58.0</v>
      </c>
      <c r="H828" s="74">
        <v>1.0</v>
      </c>
      <c r="I828" s="74">
        <v>99.0</v>
      </c>
      <c r="J828" s="119"/>
      <c r="K828" s="119"/>
      <c r="L828" s="74" t="s">
        <v>4250</v>
      </c>
      <c r="M828" s="74" t="s">
        <v>4250</v>
      </c>
      <c r="N828" s="74" t="s">
        <v>17512</v>
      </c>
      <c r="O828" s="74" t="s">
        <v>17513</v>
      </c>
      <c r="P828" s="74" t="s">
        <v>17514</v>
      </c>
      <c r="Q828" s="74" t="s">
        <v>17574</v>
      </c>
      <c r="R828" s="119"/>
      <c r="S828" s="119"/>
      <c r="T828" s="119"/>
      <c r="U828" s="119"/>
      <c r="V828" s="119"/>
      <c r="W828" s="74">
        <v>7.0</v>
      </c>
      <c r="X828" s="74">
        <v>100.0</v>
      </c>
      <c r="Y828" s="74">
        <v>3.0</v>
      </c>
      <c r="Z828" s="74">
        <v>0.0</v>
      </c>
      <c r="AA828" s="119"/>
      <c r="AB828" s="119"/>
      <c r="AC828" s="119"/>
      <c r="AD828" s="119"/>
      <c r="AE828" s="119"/>
      <c r="AF828" s="119"/>
      <c r="AG828" s="119"/>
      <c r="AH828" s="119"/>
      <c r="AI828" s="119"/>
      <c r="AJ828" s="119"/>
      <c r="AK828" s="74" t="s">
        <v>17619</v>
      </c>
      <c r="AL828" s="74">
        <v>6.0</v>
      </c>
      <c r="AM828" s="74">
        <v>1.0</v>
      </c>
      <c r="AN828" s="74" t="s">
        <v>10629</v>
      </c>
      <c r="AO828" s="120">
        <v>8307.0</v>
      </c>
      <c r="AP828" s="74" t="s">
        <v>17621</v>
      </c>
      <c r="AQ828" s="74" t="s">
        <v>17622</v>
      </c>
      <c r="AR828" s="120">
        <v>828.0</v>
      </c>
    </row>
    <row r="829">
      <c r="A829" s="74" t="s">
        <v>17612</v>
      </c>
      <c r="B829" s="74" t="s">
        <v>6876</v>
      </c>
      <c r="C829" s="74" t="s">
        <v>6877</v>
      </c>
      <c r="D829" s="74" t="s">
        <v>8493</v>
      </c>
      <c r="E829" s="146">
        <v>43887.0</v>
      </c>
      <c r="F829" s="74" t="s">
        <v>17625</v>
      </c>
      <c r="G829" s="74">
        <v>33.0</v>
      </c>
      <c r="H829" s="74">
        <v>1.0</v>
      </c>
      <c r="I829" s="74">
        <v>98.0</v>
      </c>
      <c r="J829" s="119"/>
      <c r="K829" s="119"/>
      <c r="L829" s="74" t="s">
        <v>4271</v>
      </c>
      <c r="M829" s="74" t="s">
        <v>4271</v>
      </c>
      <c r="N829" s="74" t="s">
        <v>17512</v>
      </c>
      <c r="O829" s="74" t="s">
        <v>17513</v>
      </c>
      <c r="P829" s="74" t="s">
        <v>17514</v>
      </c>
      <c r="Q829" s="74" t="s">
        <v>17574</v>
      </c>
      <c r="R829" s="119"/>
      <c r="S829" s="119"/>
      <c r="T829" s="119"/>
      <c r="U829" s="119"/>
      <c r="V829" s="119"/>
      <c r="W829" s="74">
        <v>7.0</v>
      </c>
      <c r="X829" s="74">
        <v>100.0</v>
      </c>
      <c r="Y829" s="74">
        <v>3.0</v>
      </c>
      <c r="Z829" s="74">
        <v>0.0</v>
      </c>
      <c r="AA829" s="119"/>
      <c r="AB829" s="119"/>
      <c r="AC829" s="119"/>
      <c r="AD829" s="119"/>
      <c r="AE829" s="119"/>
      <c r="AF829" s="119"/>
      <c r="AG829" s="119"/>
      <c r="AH829" s="119"/>
      <c r="AI829" s="119"/>
      <c r="AJ829" s="119"/>
      <c r="AK829" s="74" t="s">
        <v>11376</v>
      </c>
      <c r="AL829" s="74">
        <v>6.0</v>
      </c>
      <c r="AM829" s="74">
        <v>1.0</v>
      </c>
      <c r="AN829" s="74" t="s">
        <v>10629</v>
      </c>
      <c r="AO829" s="120">
        <v>8308.0</v>
      </c>
      <c r="AP829" s="74" t="s">
        <v>17630</v>
      </c>
      <c r="AQ829" s="74" t="s">
        <v>17631</v>
      </c>
      <c r="AR829" s="120">
        <v>829.0</v>
      </c>
    </row>
    <row r="830">
      <c r="A830" s="74" t="s">
        <v>17625</v>
      </c>
      <c r="B830" s="74" t="s">
        <v>6876</v>
      </c>
      <c r="C830" s="74" t="s">
        <v>6877</v>
      </c>
      <c r="D830" s="74" t="s">
        <v>8493</v>
      </c>
      <c r="E830" s="146">
        <v>43887.0</v>
      </c>
      <c r="F830" s="74" t="s">
        <v>17633</v>
      </c>
      <c r="G830" s="74">
        <v>58.0</v>
      </c>
      <c r="H830" s="74">
        <v>2.0</v>
      </c>
      <c r="I830" s="74">
        <v>14.0</v>
      </c>
      <c r="J830" s="74">
        <v>142.0</v>
      </c>
      <c r="K830" s="119"/>
      <c r="L830" s="74" t="s">
        <v>792</v>
      </c>
      <c r="M830" s="74" t="s">
        <v>792</v>
      </c>
      <c r="N830" s="74" t="s">
        <v>17636</v>
      </c>
      <c r="O830" s="74" t="s">
        <v>17637</v>
      </c>
      <c r="P830" s="74" t="s">
        <v>17638</v>
      </c>
      <c r="Q830" s="74" t="s">
        <v>17639</v>
      </c>
      <c r="R830" s="119"/>
      <c r="S830" s="119"/>
      <c r="T830" s="119"/>
      <c r="U830" s="119"/>
      <c r="V830" s="119"/>
      <c r="W830" s="74">
        <v>7.0</v>
      </c>
      <c r="X830" s="74">
        <v>100.0</v>
      </c>
      <c r="Y830" s="74">
        <v>2.0</v>
      </c>
      <c r="Z830" s="119"/>
      <c r="AA830" s="74">
        <v>7.0</v>
      </c>
      <c r="AB830" s="74">
        <v>10.0</v>
      </c>
      <c r="AC830" s="74">
        <v>2.0</v>
      </c>
      <c r="AD830" s="119"/>
      <c r="AE830" s="74">
        <v>1.0</v>
      </c>
      <c r="AF830" s="74">
        <v>6.0</v>
      </c>
      <c r="AG830" s="74">
        <v>1.0</v>
      </c>
      <c r="AH830" s="74">
        <v>3.0</v>
      </c>
      <c r="AI830" s="74">
        <v>0.0</v>
      </c>
      <c r="AJ830" s="119"/>
      <c r="AK830" s="74" t="s">
        <v>17648</v>
      </c>
      <c r="AL830" s="74">
        <v>6.0</v>
      </c>
      <c r="AM830" s="74">
        <v>1.0</v>
      </c>
      <c r="AN830" s="74" t="s">
        <v>10629</v>
      </c>
      <c r="AO830" s="120">
        <v>8309.0</v>
      </c>
      <c r="AP830" s="74" t="s">
        <v>17650</v>
      </c>
      <c r="AQ830" s="74" t="s">
        <v>17651</v>
      </c>
      <c r="AR830" s="120">
        <v>830.0</v>
      </c>
    </row>
    <row r="831">
      <c r="A831" s="74" t="s">
        <v>17652</v>
      </c>
      <c r="B831" s="74" t="s">
        <v>6876</v>
      </c>
      <c r="C831" s="74" t="s">
        <v>6877</v>
      </c>
      <c r="D831" s="74" t="s">
        <v>8493</v>
      </c>
      <c r="E831" s="146">
        <v>43887.0</v>
      </c>
      <c r="F831" s="74" t="s">
        <v>17655</v>
      </c>
      <c r="G831" s="74">
        <v>58.0</v>
      </c>
      <c r="H831" s="74">
        <v>2.0</v>
      </c>
      <c r="I831" s="74">
        <v>14.0</v>
      </c>
      <c r="J831" s="74">
        <v>144.0</v>
      </c>
      <c r="K831" s="119"/>
      <c r="L831" s="74" t="s">
        <v>790</v>
      </c>
      <c r="M831" s="74" t="s">
        <v>790</v>
      </c>
      <c r="N831" s="74" t="s">
        <v>17636</v>
      </c>
      <c r="O831" s="74" t="s">
        <v>17637</v>
      </c>
      <c r="P831" s="74" t="s">
        <v>17638</v>
      </c>
      <c r="Q831" s="74" t="s">
        <v>17639</v>
      </c>
      <c r="R831" s="119"/>
      <c r="S831" s="119"/>
      <c r="T831" s="119"/>
      <c r="U831" s="119"/>
      <c r="V831" s="119"/>
      <c r="W831" s="74">
        <v>7.0</v>
      </c>
      <c r="X831" s="74">
        <v>100.0</v>
      </c>
      <c r="Y831" s="74">
        <v>3.0</v>
      </c>
      <c r="Z831" s="74">
        <v>0.0</v>
      </c>
      <c r="AA831" s="74">
        <v>7.0</v>
      </c>
      <c r="AB831" s="74">
        <v>10.0</v>
      </c>
      <c r="AC831" s="74">
        <v>3.0</v>
      </c>
      <c r="AD831" s="74">
        <v>0.0</v>
      </c>
      <c r="AE831" s="74">
        <v>1.0</v>
      </c>
      <c r="AF831" s="74">
        <v>6.0</v>
      </c>
      <c r="AG831" s="74">
        <v>1.0</v>
      </c>
      <c r="AH831" s="74">
        <v>3.0</v>
      </c>
      <c r="AI831" s="74">
        <v>0.0</v>
      </c>
      <c r="AJ831" s="119"/>
      <c r="AK831" s="74" t="s">
        <v>17668</v>
      </c>
      <c r="AL831" s="74">
        <v>6.0</v>
      </c>
      <c r="AM831" s="74">
        <v>1.0</v>
      </c>
      <c r="AN831" s="74" t="s">
        <v>10629</v>
      </c>
      <c r="AO831" s="120">
        <v>8310.0</v>
      </c>
      <c r="AP831" s="74" t="s">
        <v>17669</v>
      </c>
      <c r="AQ831" s="74" t="s">
        <v>17670</v>
      </c>
      <c r="AR831" s="120">
        <v>831.0</v>
      </c>
    </row>
    <row r="832">
      <c r="A832" s="74" t="s">
        <v>17655</v>
      </c>
      <c r="B832" s="74" t="s">
        <v>6876</v>
      </c>
      <c r="C832" s="74" t="s">
        <v>6877</v>
      </c>
      <c r="D832" s="74" t="s">
        <v>8493</v>
      </c>
      <c r="E832" s="146">
        <v>43887.0</v>
      </c>
      <c r="F832" s="74" t="s">
        <v>17672</v>
      </c>
      <c r="G832" s="74">
        <v>58.0</v>
      </c>
      <c r="H832" s="74">
        <v>2.0</v>
      </c>
      <c r="I832" s="74">
        <v>14.0</v>
      </c>
      <c r="J832" s="74">
        <v>145.0</v>
      </c>
      <c r="K832" s="119"/>
      <c r="L832" s="74" t="s">
        <v>793</v>
      </c>
      <c r="M832" s="74" t="s">
        <v>793</v>
      </c>
      <c r="N832" s="74" t="s">
        <v>17636</v>
      </c>
      <c r="O832" s="74" t="s">
        <v>17637</v>
      </c>
      <c r="P832" s="74" t="s">
        <v>17638</v>
      </c>
      <c r="Q832" s="74" t="s">
        <v>17639</v>
      </c>
      <c r="R832" s="119"/>
      <c r="S832" s="119"/>
      <c r="T832" s="119"/>
      <c r="U832" s="119"/>
      <c r="V832" s="119"/>
      <c r="W832" s="74">
        <v>7.0</v>
      </c>
      <c r="X832" s="74">
        <v>100.0</v>
      </c>
      <c r="Y832" s="74">
        <v>3.0</v>
      </c>
      <c r="Z832" s="74">
        <v>4.0</v>
      </c>
      <c r="AA832" s="74">
        <v>7.0</v>
      </c>
      <c r="AB832" s="74">
        <v>10.0</v>
      </c>
      <c r="AC832" s="74">
        <v>3.0</v>
      </c>
      <c r="AD832" s="74">
        <v>0.0</v>
      </c>
      <c r="AE832" s="74">
        <v>1.0</v>
      </c>
      <c r="AF832" s="74">
        <v>6.0</v>
      </c>
      <c r="AG832" s="74">
        <v>1.0</v>
      </c>
      <c r="AH832" s="74">
        <v>3.0</v>
      </c>
      <c r="AI832" s="74">
        <v>0.0</v>
      </c>
      <c r="AJ832" s="119"/>
      <c r="AK832" s="74" t="s">
        <v>17676</v>
      </c>
      <c r="AL832" s="74">
        <v>6.0</v>
      </c>
      <c r="AM832" s="74">
        <v>1.0</v>
      </c>
      <c r="AN832" s="74" t="s">
        <v>10629</v>
      </c>
      <c r="AO832" s="120">
        <v>8311.0</v>
      </c>
      <c r="AP832" s="74" t="s">
        <v>17678</v>
      </c>
      <c r="AQ832" s="74" t="s">
        <v>17679</v>
      </c>
      <c r="AR832" s="120">
        <v>832.0</v>
      </c>
    </row>
    <row r="833">
      <c r="A833" s="74" t="s">
        <v>17672</v>
      </c>
      <c r="B833" s="74" t="s">
        <v>6876</v>
      </c>
      <c r="C833" s="74" t="s">
        <v>6877</v>
      </c>
      <c r="D833" s="74" t="s">
        <v>8493</v>
      </c>
      <c r="E833" s="146">
        <v>43887.0</v>
      </c>
      <c r="F833" s="74" t="s">
        <v>17680</v>
      </c>
      <c r="G833" s="74">
        <v>58.0</v>
      </c>
      <c r="H833" s="74">
        <v>2.0</v>
      </c>
      <c r="I833" s="74">
        <v>14.0</v>
      </c>
      <c r="J833" s="74">
        <v>141.0</v>
      </c>
      <c r="K833" s="119"/>
      <c r="L833" s="74" t="s">
        <v>788</v>
      </c>
      <c r="M833" s="74" t="s">
        <v>788</v>
      </c>
      <c r="N833" s="74" t="s">
        <v>17636</v>
      </c>
      <c r="O833" s="74" t="s">
        <v>17637</v>
      </c>
      <c r="P833" s="74" t="s">
        <v>17638</v>
      </c>
      <c r="Q833" s="74" t="s">
        <v>17639</v>
      </c>
      <c r="R833" s="119"/>
      <c r="S833" s="119"/>
      <c r="T833" s="119"/>
      <c r="U833" s="119"/>
      <c r="V833" s="119"/>
      <c r="W833" s="74">
        <v>6.0</v>
      </c>
      <c r="X833" s="74">
        <v>1.0</v>
      </c>
      <c r="Y833" s="74">
        <v>3.0</v>
      </c>
      <c r="Z833" s="74">
        <v>40.0</v>
      </c>
      <c r="AA833" s="74">
        <v>5.0</v>
      </c>
      <c r="AB833" s="74">
        <v>1.0</v>
      </c>
      <c r="AC833" s="74">
        <v>3.0</v>
      </c>
      <c r="AD833" s="74">
        <v>8.0</v>
      </c>
      <c r="AE833" s="74">
        <v>1.0</v>
      </c>
      <c r="AF833" s="74">
        <v>4.0</v>
      </c>
      <c r="AG833" s="74">
        <v>1.0</v>
      </c>
      <c r="AH833" s="74">
        <v>3.0</v>
      </c>
      <c r="AI833" s="74">
        <v>0.0</v>
      </c>
      <c r="AJ833" s="119"/>
      <c r="AK833" s="74" t="s">
        <v>17690</v>
      </c>
      <c r="AL833" s="74">
        <v>6.0</v>
      </c>
      <c r="AM833" s="74">
        <v>1.0</v>
      </c>
      <c r="AN833" s="74" t="s">
        <v>10629</v>
      </c>
      <c r="AO833" s="120">
        <v>8312.0</v>
      </c>
      <c r="AP833" s="74" t="s">
        <v>17691</v>
      </c>
      <c r="AQ833" s="74" t="s">
        <v>17692</v>
      </c>
      <c r="AR833" s="120">
        <v>833.0</v>
      </c>
    </row>
    <row r="834">
      <c r="A834" s="74" t="s">
        <v>17680</v>
      </c>
      <c r="B834" s="74" t="s">
        <v>6876</v>
      </c>
      <c r="C834" s="74" t="s">
        <v>6877</v>
      </c>
      <c r="D834" s="74" t="s">
        <v>8493</v>
      </c>
      <c r="E834" s="146">
        <v>43887.0</v>
      </c>
      <c r="F834" s="74" t="s">
        <v>17694</v>
      </c>
      <c r="G834" s="74">
        <v>58.0</v>
      </c>
      <c r="H834" s="74">
        <v>2.0</v>
      </c>
      <c r="I834" s="74">
        <v>14.0</v>
      </c>
      <c r="J834" s="74">
        <v>143.0</v>
      </c>
      <c r="K834" s="119"/>
      <c r="L834" s="74" t="s">
        <v>789</v>
      </c>
      <c r="M834" s="74" t="s">
        <v>789</v>
      </c>
      <c r="N834" s="74" t="s">
        <v>17636</v>
      </c>
      <c r="O834" s="74" t="s">
        <v>17637</v>
      </c>
      <c r="P834" s="74" t="s">
        <v>17638</v>
      </c>
      <c r="Q834" s="74" t="s">
        <v>17639</v>
      </c>
      <c r="R834" s="119"/>
      <c r="S834" s="119"/>
      <c r="T834" s="119"/>
      <c r="U834" s="119"/>
      <c r="V834" s="119"/>
      <c r="W834" s="74">
        <v>6.0</v>
      </c>
      <c r="X834" s="74">
        <v>1.0</v>
      </c>
      <c r="Y834" s="74">
        <v>3.0</v>
      </c>
      <c r="Z834" s="74">
        <v>4.0</v>
      </c>
      <c r="AA834" s="74">
        <v>5.0</v>
      </c>
      <c r="AB834" s="74">
        <v>1.0</v>
      </c>
      <c r="AC834" s="74">
        <v>3.0</v>
      </c>
      <c r="AD834" s="74">
        <v>1.0</v>
      </c>
      <c r="AE834" s="74">
        <v>1.0</v>
      </c>
      <c r="AF834" s="74">
        <v>4.0</v>
      </c>
      <c r="AG834" s="74">
        <v>1.0</v>
      </c>
      <c r="AH834" s="74">
        <v>3.0</v>
      </c>
      <c r="AI834" s="74">
        <v>0.0</v>
      </c>
      <c r="AJ834" s="119"/>
      <c r="AK834" s="74" t="s">
        <v>17699</v>
      </c>
      <c r="AL834" s="74">
        <v>6.0</v>
      </c>
      <c r="AM834" s="74">
        <v>1.0</v>
      </c>
      <c r="AN834" s="74" t="s">
        <v>10629</v>
      </c>
      <c r="AO834" s="120">
        <v>8313.0</v>
      </c>
      <c r="AP834" s="74" t="s">
        <v>17701</v>
      </c>
      <c r="AQ834" s="74" t="s">
        <v>17702</v>
      </c>
      <c r="AR834" s="120">
        <v>834.0</v>
      </c>
    </row>
    <row r="835">
      <c r="A835" s="74" t="s">
        <v>17694</v>
      </c>
      <c r="B835" s="74" t="s">
        <v>6876</v>
      </c>
      <c r="C835" s="74" t="s">
        <v>6877</v>
      </c>
      <c r="D835" s="74" t="s">
        <v>8493</v>
      </c>
      <c r="E835" s="146">
        <v>43887.0</v>
      </c>
      <c r="F835" s="74" t="s">
        <v>17709</v>
      </c>
      <c r="G835" s="74">
        <v>58.0</v>
      </c>
      <c r="H835" s="74">
        <v>2.0</v>
      </c>
      <c r="I835" s="74">
        <v>99.0</v>
      </c>
      <c r="J835" s="119"/>
      <c r="K835" s="119"/>
      <c r="L835" s="74" t="s">
        <v>4430</v>
      </c>
      <c r="M835" s="74" t="s">
        <v>4430</v>
      </c>
      <c r="N835" s="74" t="s">
        <v>17636</v>
      </c>
      <c r="O835" s="74" t="s">
        <v>17637</v>
      </c>
      <c r="P835" s="74" t="s">
        <v>17638</v>
      </c>
      <c r="Q835" s="74" t="s">
        <v>17639</v>
      </c>
      <c r="R835" s="119"/>
      <c r="S835" s="119"/>
      <c r="T835" s="119"/>
      <c r="U835" s="119"/>
      <c r="V835" s="119"/>
      <c r="W835" s="74">
        <v>7.0</v>
      </c>
      <c r="X835" s="74">
        <v>100.0</v>
      </c>
      <c r="Y835" s="74">
        <v>3.0</v>
      </c>
      <c r="Z835" s="74">
        <v>0.0</v>
      </c>
      <c r="AA835" s="119"/>
      <c r="AB835" s="119"/>
      <c r="AC835" s="119"/>
      <c r="AD835" s="119"/>
      <c r="AE835" s="119"/>
      <c r="AF835" s="119"/>
      <c r="AG835" s="119"/>
      <c r="AH835" s="119"/>
      <c r="AI835" s="119"/>
      <c r="AJ835" s="119"/>
      <c r="AK835" s="74" t="s">
        <v>17715</v>
      </c>
      <c r="AL835" s="74">
        <v>6.0</v>
      </c>
      <c r="AM835" s="74">
        <v>1.0</v>
      </c>
      <c r="AN835" s="74" t="s">
        <v>10629</v>
      </c>
      <c r="AO835" s="120">
        <v>8314.0</v>
      </c>
      <c r="AP835" s="74" t="s">
        <v>17716</v>
      </c>
      <c r="AQ835" s="74" t="s">
        <v>17717</v>
      </c>
      <c r="AR835" s="120">
        <v>835.0</v>
      </c>
    </row>
    <row r="836">
      <c r="A836" s="74" t="s">
        <v>17709</v>
      </c>
      <c r="B836" s="74" t="s">
        <v>6876</v>
      </c>
      <c r="C836" s="74" t="s">
        <v>6877</v>
      </c>
      <c r="D836" s="74" t="s">
        <v>8493</v>
      </c>
      <c r="E836" s="146">
        <v>43887.0</v>
      </c>
      <c r="F836" s="74" t="s">
        <v>17720</v>
      </c>
      <c r="G836" s="74">
        <v>59.0</v>
      </c>
      <c r="H836" s="74">
        <v>1.0</v>
      </c>
      <c r="I836" s="74">
        <v>11.0</v>
      </c>
      <c r="J836" s="119"/>
      <c r="K836" s="119"/>
      <c r="L836" s="74" t="s">
        <v>4354</v>
      </c>
      <c r="M836" s="74" t="s">
        <v>4354</v>
      </c>
      <c r="N836" s="74" t="s">
        <v>17636</v>
      </c>
      <c r="O836" s="74" t="s">
        <v>17637</v>
      </c>
      <c r="P836" s="74" t="s">
        <v>17638</v>
      </c>
      <c r="Q836" s="74" t="s">
        <v>17639</v>
      </c>
      <c r="R836" s="119"/>
      <c r="S836" s="119"/>
      <c r="T836" s="119"/>
      <c r="U836" s="119"/>
      <c r="V836" s="119"/>
      <c r="W836" s="74">
        <v>4.0</v>
      </c>
      <c r="X836" s="74">
        <v>1.0</v>
      </c>
      <c r="Y836" s="74">
        <v>3.0</v>
      </c>
      <c r="Z836" s="74">
        <v>4.0</v>
      </c>
      <c r="AA836" s="74">
        <v>3.0</v>
      </c>
      <c r="AB836" s="74">
        <v>1.0</v>
      </c>
      <c r="AC836" s="74">
        <v>3.0</v>
      </c>
      <c r="AD836" s="74">
        <v>0.0</v>
      </c>
      <c r="AE836" s="74">
        <v>1.0</v>
      </c>
      <c r="AF836" s="74">
        <v>2.0</v>
      </c>
      <c r="AG836" s="74">
        <v>1.0</v>
      </c>
      <c r="AH836" s="74">
        <v>3.0</v>
      </c>
      <c r="AI836" s="74">
        <v>0.0</v>
      </c>
      <c r="AJ836" s="119"/>
      <c r="AK836" s="74" t="s">
        <v>17731</v>
      </c>
      <c r="AL836" s="74">
        <v>6.0</v>
      </c>
      <c r="AM836" s="74">
        <v>1.0</v>
      </c>
      <c r="AN836" s="74" t="s">
        <v>10629</v>
      </c>
      <c r="AO836" s="120">
        <v>8315.0</v>
      </c>
      <c r="AP836" s="74" t="s">
        <v>17732</v>
      </c>
      <c r="AQ836" s="74" t="s">
        <v>17734</v>
      </c>
      <c r="AR836" s="120">
        <v>836.0</v>
      </c>
    </row>
    <row r="837">
      <c r="A837" s="74" t="s">
        <v>17735</v>
      </c>
      <c r="B837" s="74" t="s">
        <v>6876</v>
      </c>
      <c r="C837" s="74" t="s">
        <v>6877</v>
      </c>
      <c r="D837" s="74" t="s">
        <v>8493</v>
      </c>
      <c r="E837" s="146">
        <v>43887.0</v>
      </c>
      <c r="F837" s="74" t="s">
        <v>17736</v>
      </c>
      <c r="G837" s="74">
        <v>59.0</v>
      </c>
      <c r="H837" s="74">
        <v>1.0</v>
      </c>
      <c r="I837" s="74">
        <v>99.0</v>
      </c>
      <c r="J837" s="119"/>
      <c r="K837" s="119"/>
      <c r="L837" s="74" t="s">
        <v>4360</v>
      </c>
      <c r="M837" s="74" t="s">
        <v>4360</v>
      </c>
      <c r="N837" s="74" t="s">
        <v>17636</v>
      </c>
      <c r="O837" s="74" t="s">
        <v>17637</v>
      </c>
      <c r="P837" s="74" t="s">
        <v>17638</v>
      </c>
      <c r="Q837" s="74" t="s">
        <v>17639</v>
      </c>
      <c r="R837" s="119"/>
      <c r="S837" s="119"/>
      <c r="T837" s="119"/>
      <c r="U837" s="119"/>
      <c r="V837" s="119"/>
      <c r="W837" s="74">
        <v>7.0</v>
      </c>
      <c r="X837" s="74">
        <v>100.0</v>
      </c>
      <c r="Y837" s="74">
        <v>3.0</v>
      </c>
      <c r="Z837" s="74">
        <v>0.0</v>
      </c>
      <c r="AA837" s="119"/>
      <c r="AB837" s="119"/>
      <c r="AC837" s="119"/>
      <c r="AD837" s="119"/>
      <c r="AE837" s="119"/>
      <c r="AF837" s="119"/>
      <c r="AG837" s="119"/>
      <c r="AH837" s="119"/>
      <c r="AI837" s="119"/>
      <c r="AJ837" s="119"/>
      <c r="AK837" s="74" t="s">
        <v>17743</v>
      </c>
      <c r="AL837" s="74">
        <v>6.0</v>
      </c>
      <c r="AM837" s="74">
        <v>1.0</v>
      </c>
      <c r="AN837" s="74" t="s">
        <v>10629</v>
      </c>
      <c r="AO837" s="120">
        <v>8316.0</v>
      </c>
      <c r="AP837" s="74" t="s">
        <v>17744</v>
      </c>
      <c r="AQ837" s="74" t="s">
        <v>17745</v>
      </c>
      <c r="AR837" s="120">
        <v>837.0</v>
      </c>
    </row>
    <row r="838">
      <c r="A838" s="74" t="s">
        <v>17736</v>
      </c>
      <c r="B838" s="74" t="s">
        <v>6876</v>
      </c>
      <c r="C838" s="74" t="s">
        <v>6877</v>
      </c>
      <c r="D838" s="74" t="s">
        <v>8493</v>
      </c>
      <c r="E838" s="146">
        <v>43887.0</v>
      </c>
      <c r="F838" s="74" t="s">
        <v>17746</v>
      </c>
      <c r="G838" s="74">
        <v>59.0</v>
      </c>
      <c r="H838" s="74">
        <v>1.0</v>
      </c>
      <c r="I838" s="74">
        <v>11.0</v>
      </c>
      <c r="J838" s="119"/>
      <c r="K838" s="119"/>
      <c r="L838" s="74" t="s">
        <v>4372</v>
      </c>
      <c r="M838" s="74" t="s">
        <v>4372</v>
      </c>
      <c r="N838" s="74" t="s">
        <v>17636</v>
      </c>
      <c r="O838" s="74" t="s">
        <v>17637</v>
      </c>
      <c r="P838" s="74" t="s">
        <v>17638</v>
      </c>
      <c r="Q838" s="74" t="s">
        <v>17639</v>
      </c>
      <c r="R838" s="119"/>
      <c r="S838" s="119"/>
      <c r="T838" s="119"/>
      <c r="U838" s="119"/>
      <c r="V838" s="119"/>
      <c r="W838" s="74">
        <v>4.0</v>
      </c>
      <c r="X838" s="74">
        <v>1.0</v>
      </c>
      <c r="Y838" s="74">
        <v>3.0</v>
      </c>
      <c r="Z838" s="74">
        <v>18.0</v>
      </c>
      <c r="AA838" s="74">
        <v>3.0</v>
      </c>
      <c r="AB838" s="74">
        <v>1.0</v>
      </c>
      <c r="AC838" s="74">
        <v>3.0</v>
      </c>
      <c r="AD838" s="74">
        <v>0.0</v>
      </c>
      <c r="AE838" s="74">
        <v>1.0</v>
      </c>
      <c r="AF838" s="74">
        <v>2.0</v>
      </c>
      <c r="AG838" s="74">
        <v>1.0</v>
      </c>
      <c r="AH838" s="74">
        <v>3.0</v>
      </c>
      <c r="AI838" s="74">
        <v>0.0</v>
      </c>
      <c r="AJ838" s="119"/>
      <c r="AK838" s="74" t="s">
        <v>17754</v>
      </c>
      <c r="AL838" s="74">
        <v>6.0</v>
      </c>
      <c r="AM838" s="74">
        <v>1.0</v>
      </c>
      <c r="AN838" s="74" t="s">
        <v>10629</v>
      </c>
      <c r="AO838" s="120">
        <v>8317.0</v>
      </c>
      <c r="AP838" s="74" t="s">
        <v>17758</v>
      </c>
      <c r="AQ838" s="74" t="s">
        <v>17759</v>
      </c>
      <c r="AR838" s="120">
        <v>838.0</v>
      </c>
    </row>
    <row r="839">
      <c r="A839" s="74" t="s">
        <v>17760</v>
      </c>
      <c r="B839" s="74" t="s">
        <v>6876</v>
      </c>
      <c r="C839" s="74" t="s">
        <v>6877</v>
      </c>
      <c r="D839" s="74" t="s">
        <v>8493</v>
      </c>
      <c r="E839" s="146">
        <v>43887.0</v>
      </c>
      <c r="F839" s="74" t="s">
        <v>17762</v>
      </c>
      <c r="G839" s="74">
        <v>59.0</v>
      </c>
      <c r="H839" s="74">
        <v>1.0</v>
      </c>
      <c r="I839" s="74">
        <v>99.0</v>
      </c>
      <c r="J839" s="119"/>
      <c r="K839" s="119"/>
      <c r="L839" s="74" t="s">
        <v>4378</v>
      </c>
      <c r="M839" s="74" t="s">
        <v>4378</v>
      </c>
      <c r="N839" s="74" t="s">
        <v>17636</v>
      </c>
      <c r="O839" s="74" t="s">
        <v>17637</v>
      </c>
      <c r="P839" s="74" t="s">
        <v>17638</v>
      </c>
      <c r="Q839" s="74" t="s">
        <v>17639</v>
      </c>
      <c r="R839" s="119"/>
      <c r="S839" s="119"/>
      <c r="T839" s="119"/>
      <c r="U839" s="119"/>
      <c r="V839" s="119"/>
      <c r="W839" s="74">
        <v>7.0</v>
      </c>
      <c r="X839" s="74">
        <v>100.0</v>
      </c>
      <c r="Y839" s="74">
        <v>3.0</v>
      </c>
      <c r="Z839" s="74">
        <v>0.0</v>
      </c>
      <c r="AA839" s="119"/>
      <c r="AB839" s="119"/>
      <c r="AC839" s="119"/>
      <c r="AD839" s="119"/>
      <c r="AE839" s="119"/>
      <c r="AF839" s="119"/>
      <c r="AG839" s="119"/>
      <c r="AH839" s="119"/>
      <c r="AI839" s="119"/>
      <c r="AJ839" s="119"/>
      <c r="AK839" s="74" t="s">
        <v>17766</v>
      </c>
      <c r="AL839" s="74">
        <v>6.0</v>
      </c>
      <c r="AM839" s="74">
        <v>1.0</v>
      </c>
      <c r="AN839" s="74" t="s">
        <v>10629</v>
      </c>
      <c r="AO839" s="120">
        <v>8318.0</v>
      </c>
      <c r="AP839" s="74" t="s">
        <v>17769</v>
      </c>
      <c r="AQ839" s="74" t="s">
        <v>17770</v>
      </c>
      <c r="AR839" s="120">
        <v>839.0</v>
      </c>
    </row>
    <row r="840">
      <c r="A840" s="74" t="s">
        <v>17773</v>
      </c>
      <c r="B840" s="74" t="s">
        <v>6876</v>
      </c>
      <c r="C840" s="74" t="s">
        <v>6877</v>
      </c>
      <c r="D840" s="74" t="s">
        <v>8493</v>
      </c>
      <c r="E840" s="146">
        <v>43887.0</v>
      </c>
      <c r="F840" s="74" t="s">
        <v>17776</v>
      </c>
      <c r="G840" s="74">
        <v>59.0</v>
      </c>
      <c r="H840" s="74">
        <v>1.0</v>
      </c>
      <c r="I840" s="74">
        <v>11.0</v>
      </c>
      <c r="J840" s="119"/>
      <c r="K840" s="119"/>
      <c r="L840" s="74" t="s">
        <v>4391</v>
      </c>
      <c r="M840" s="74" t="s">
        <v>4391</v>
      </c>
      <c r="N840" s="74" t="s">
        <v>17636</v>
      </c>
      <c r="O840" s="74" t="s">
        <v>17637</v>
      </c>
      <c r="P840" s="74" t="s">
        <v>17638</v>
      </c>
      <c r="Q840" s="74" t="s">
        <v>17639</v>
      </c>
      <c r="R840" s="119"/>
      <c r="S840" s="119"/>
      <c r="T840" s="119"/>
      <c r="U840" s="119"/>
      <c r="V840" s="119"/>
      <c r="W840" s="74">
        <v>4.0</v>
      </c>
      <c r="X840" s="74">
        <v>1.0</v>
      </c>
      <c r="Y840" s="74">
        <v>3.0</v>
      </c>
      <c r="Z840" s="74">
        <v>0.0</v>
      </c>
      <c r="AA840" s="74">
        <v>3.0</v>
      </c>
      <c r="AB840" s="74">
        <v>1.0</v>
      </c>
      <c r="AC840" s="74">
        <v>3.0</v>
      </c>
      <c r="AD840" s="74">
        <v>0.0</v>
      </c>
      <c r="AE840" s="74">
        <v>1.0</v>
      </c>
      <c r="AF840" s="74">
        <v>2.0</v>
      </c>
      <c r="AG840" s="74">
        <v>1.0</v>
      </c>
      <c r="AH840" s="74">
        <v>3.0</v>
      </c>
      <c r="AI840" s="74">
        <v>0.0</v>
      </c>
      <c r="AJ840" s="119"/>
      <c r="AK840" s="74" t="s">
        <v>17781</v>
      </c>
      <c r="AL840" s="74">
        <v>6.0</v>
      </c>
      <c r="AM840" s="74">
        <v>1.0</v>
      </c>
      <c r="AN840" s="74" t="s">
        <v>10629</v>
      </c>
      <c r="AO840" s="120">
        <v>8319.0</v>
      </c>
      <c r="AP840" s="74" t="s">
        <v>17782</v>
      </c>
      <c r="AQ840" s="74" t="s">
        <v>17784</v>
      </c>
      <c r="AR840" s="120">
        <v>840.0</v>
      </c>
    </row>
    <row r="841">
      <c r="A841" s="74" t="s">
        <v>17786</v>
      </c>
      <c r="B841" s="74" t="s">
        <v>6876</v>
      </c>
      <c r="C841" s="74" t="s">
        <v>6877</v>
      </c>
      <c r="D841" s="74" t="s">
        <v>8493</v>
      </c>
      <c r="E841" s="146">
        <v>43887.0</v>
      </c>
      <c r="F841" s="74" t="s">
        <v>17787</v>
      </c>
      <c r="G841" s="74">
        <v>59.0</v>
      </c>
      <c r="H841" s="74">
        <v>1.0</v>
      </c>
      <c r="I841" s="74">
        <v>99.0</v>
      </c>
      <c r="J841" s="119"/>
      <c r="K841" s="119"/>
      <c r="L841" s="74" t="s">
        <v>4397</v>
      </c>
      <c r="M841" s="74" t="s">
        <v>4397</v>
      </c>
      <c r="N841" s="74" t="s">
        <v>17636</v>
      </c>
      <c r="O841" s="74" t="s">
        <v>17637</v>
      </c>
      <c r="P841" s="74" t="s">
        <v>17638</v>
      </c>
      <c r="Q841" s="74" t="s">
        <v>17639</v>
      </c>
      <c r="R841" s="119"/>
      <c r="S841" s="119"/>
      <c r="T841" s="119"/>
      <c r="U841" s="119"/>
      <c r="V841" s="119"/>
      <c r="W841" s="74">
        <v>6.0</v>
      </c>
      <c r="X841" s="74">
        <v>100.0</v>
      </c>
      <c r="Y841" s="74">
        <v>3.0</v>
      </c>
      <c r="Z841" s="74">
        <v>0.0</v>
      </c>
      <c r="AA841" s="119"/>
      <c r="AB841" s="119"/>
      <c r="AC841" s="119"/>
      <c r="AD841" s="119"/>
      <c r="AE841" s="119"/>
      <c r="AF841" s="119"/>
      <c r="AG841" s="119"/>
      <c r="AH841" s="119"/>
      <c r="AI841" s="119"/>
      <c r="AJ841" s="119"/>
      <c r="AK841" s="74" t="s">
        <v>17795</v>
      </c>
      <c r="AL841" s="74">
        <v>6.0</v>
      </c>
      <c r="AM841" s="74">
        <v>1.0</v>
      </c>
      <c r="AN841" s="74" t="s">
        <v>10629</v>
      </c>
      <c r="AO841" s="120">
        <v>8320.0</v>
      </c>
      <c r="AP841" s="74" t="s">
        <v>17796</v>
      </c>
      <c r="AQ841" s="74" t="s">
        <v>17797</v>
      </c>
      <c r="AR841" s="120">
        <v>841.0</v>
      </c>
    </row>
    <row r="842">
      <c r="A842" s="74" t="s">
        <v>17787</v>
      </c>
      <c r="B842" s="74" t="s">
        <v>6876</v>
      </c>
      <c r="C842" s="74" t="s">
        <v>6877</v>
      </c>
      <c r="D842" s="74" t="s">
        <v>8493</v>
      </c>
      <c r="E842" s="146">
        <v>43887.0</v>
      </c>
      <c r="F842" s="74" t="s">
        <v>17798</v>
      </c>
      <c r="G842" s="74">
        <v>104.0</v>
      </c>
      <c r="H842" s="74">
        <v>1.0</v>
      </c>
      <c r="I842" s="74">
        <v>99.0</v>
      </c>
      <c r="J842" s="119"/>
      <c r="K842" s="119"/>
      <c r="L842" s="74" t="s">
        <v>4282</v>
      </c>
      <c r="M842" s="74" t="s">
        <v>4282</v>
      </c>
      <c r="N842" s="74" t="s">
        <v>17636</v>
      </c>
      <c r="O842" s="74" t="s">
        <v>17637</v>
      </c>
      <c r="P842" s="74" t="s">
        <v>17638</v>
      </c>
      <c r="Q842" s="74" t="s">
        <v>17639</v>
      </c>
      <c r="R842" s="119"/>
      <c r="S842" s="119"/>
      <c r="T842" s="119"/>
      <c r="U842" s="119"/>
      <c r="V842" s="119"/>
      <c r="W842" s="74">
        <v>7.0</v>
      </c>
      <c r="X842" s="74">
        <v>100.0</v>
      </c>
      <c r="Y842" s="74">
        <v>3.0</v>
      </c>
      <c r="Z842" s="74">
        <v>0.0</v>
      </c>
      <c r="AA842" s="119"/>
      <c r="AB842" s="119"/>
      <c r="AC842" s="119"/>
      <c r="AD842" s="119"/>
      <c r="AE842" s="119"/>
      <c r="AF842" s="119"/>
      <c r="AG842" s="119"/>
      <c r="AH842" s="119"/>
      <c r="AI842" s="119"/>
      <c r="AJ842" s="119"/>
      <c r="AK842" s="74" t="s">
        <v>17807</v>
      </c>
      <c r="AL842" s="74">
        <v>6.0</v>
      </c>
      <c r="AM842" s="74">
        <v>1.0</v>
      </c>
      <c r="AN842" s="74" t="s">
        <v>10629</v>
      </c>
      <c r="AO842" s="120">
        <v>8321.0</v>
      </c>
      <c r="AP842" s="74" t="s">
        <v>17809</v>
      </c>
      <c r="AQ842" s="74" t="s">
        <v>17810</v>
      </c>
      <c r="AR842" s="120">
        <v>842.0</v>
      </c>
    </row>
    <row r="843">
      <c r="A843" s="74" t="s">
        <v>17798</v>
      </c>
      <c r="B843" s="74" t="s">
        <v>6876</v>
      </c>
      <c r="C843" s="74" t="s">
        <v>6877</v>
      </c>
      <c r="D843" s="74" t="s">
        <v>8493</v>
      </c>
      <c r="E843" s="146">
        <v>43887.0</v>
      </c>
      <c r="F843" s="74" t="s">
        <v>17812</v>
      </c>
      <c r="G843" s="74">
        <v>110.0</v>
      </c>
      <c r="H843" s="74">
        <v>1.0</v>
      </c>
      <c r="I843" s="74">
        <v>99.0</v>
      </c>
      <c r="J843" s="119"/>
      <c r="K843" s="119"/>
      <c r="L843" s="74" t="s">
        <v>4297</v>
      </c>
      <c r="M843" s="74" t="s">
        <v>4297</v>
      </c>
      <c r="N843" s="74" t="s">
        <v>17636</v>
      </c>
      <c r="O843" s="74" t="s">
        <v>17637</v>
      </c>
      <c r="P843" s="74" t="s">
        <v>17638</v>
      </c>
      <c r="Q843" s="74" t="s">
        <v>17639</v>
      </c>
      <c r="R843" s="119"/>
      <c r="S843" s="119"/>
      <c r="T843" s="119"/>
      <c r="U843" s="119"/>
      <c r="V843" s="119"/>
      <c r="W843" s="74">
        <v>7.0</v>
      </c>
      <c r="X843" s="74">
        <v>100.0</v>
      </c>
      <c r="Y843" s="74">
        <v>3.0</v>
      </c>
      <c r="Z843" s="74">
        <v>0.0</v>
      </c>
      <c r="AA843" s="119"/>
      <c r="AB843" s="119"/>
      <c r="AC843" s="119"/>
      <c r="AD843" s="119"/>
      <c r="AE843" s="119"/>
      <c r="AF843" s="119"/>
      <c r="AG843" s="119"/>
      <c r="AH843" s="119"/>
      <c r="AI843" s="119"/>
      <c r="AJ843" s="119"/>
      <c r="AK843" s="74" t="s">
        <v>17818</v>
      </c>
      <c r="AL843" s="74">
        <v>6.0</v>
      </c>
      <c r="AM843" s="74">
        <v>1.0</v>
      </c>
      <c r="AN843" s="74" t="s">
        <v>10629</v>
      </c>
      <c r="AO843" s="120">
        <v>8322.0</v>
      </c>
      <c r="AP843" s="74" t="s">
        <v>17822</v>
      </c>
      <c r="AQ843" s="74" t="s">
        <v>17824</v>
      </c>
      <c r="AR843" s="120">
        <v>843.0</v>
      </c>
    </row>
    <row r="844">
      <c r="A844" s="74" t="s">
        <v>17827</v>
      </c>
      <c r="B844" s="74" t="s">
        <v>6876</v>
      </c>
      <c r="C844" s="74" t="s">
        <v>6877</v>
      </c>
      <c r="D844" s="74" t="s">
        <v>8493</v>
      </c>
      <c r="E844" s="146">
        <v>43887.0</v>
      </c>
      <c r="F844" s="74" t="s">
        <v>17828</v>
      </c>
      <c r="G844" s="74">
        <v>66.0</v>
      </c>
      <c r="H844" s="74">
        <v>1.0</v>
      </c>
      <c r="I844" s="74">
        <v>99.0</v>
      </c>
      <c r="J844" s="119"/>
      <c r="K844" s="119"/>
      <c r="L844" s="74" t="s">
        <v>4318</v>
      </c>
      <c r="M844" s="74" t="s">
        <v>4318</v>
      </c>
      <c r="N844" s="74" t="s">
        <v>17636</v>
      </c>
      <c r="O844" s="74" t="s">
        <v>17637</v>
      </c>
      <c r="P844" s="74" t="s">
        <v>17638</v>
      </c>
      <c r="Q844" s="74" t="s">
        <v>17639</v>
      </c>
      <c r="R844" s="119"/>
      <c r="S844" s="119"/>
      <c r="T844" s="119"/>
      <c r="U844" s="119"/>
      <c r="V844" s="119"/>
      <c r="W844" s="74">
        <v>7.0</v>
      </c>
      <c r="X844" s="74">
        <v>100.0</v>
      </c>
      <c r="Y844" s="74">
        <v>3.0</v>
      </c>
      <c r="Z844" s="74">
        <v>0.0</v>
      </c>
      <c r="AA844" s="119"/>
      <c r="AB844" s="119"/>
      <c r="AC844" s="119"/>
      <c r="AD844" s="119"/>
      <c r="AE844" s="119"/>
      <c r="AF844" s="119"/>
      <c r="AG844" s="119"/>
      <c r="AH844" s="119"/>
      <c r="AI844" s="119"/>
      <c r="AJ844" s="119"/>
      <c r="AK844" s="74" t="s">
        <v>17833</v>
      </c>
      <c r="AL844" s="74">
        <v>6.0</v>
      </c>
      <c r="AM844" s="74">
        <v>1.0</v>
      </c>
      <c r="AN844" s="74" t="s">
        <v>10629</v>
      </c>
      <c r="AO844" s="120">
        <v>8323.0</v>
      </c>
      <c r="AP844" s="74" t="s">
        <v>17834</v>
      </c>
      <c r="AQ844" s="74" t="s">
        <v>17835</v>
      </c>
      <c r="AR844" s="120">
        <v>844.0</v>
      </c>
    </row>
    <row r="845">
      <c r="A845" s="74" t="s">
        <v>17828</v>
      </c>
      <c r="B845" s="74" t="s">
        <v>6876</v>
      </c>
      <c r="C845" s="74" t="s">
        <v>6877</v>
      </c>
      <c r="D845" s="74" t="s">
        <v>8493</v>
      </c>
      <c r="E845" s="146">
        <v>43887.0</v>
      </c>
      <c r="F845" s="74" t="s">
        <v>17842</v>
      </c>
      <c r="G845" s="74">
        <v>59.0</v>
      </c>
      <c r="H845" s="74">
        <v>1.0</v>
      </c>
      <c r="I845" s="74">
        <v>99.0</v>
      </c>
      <c r="J845" s="119"/>
      <c r="K845" s="119"/>
      <c r="L845" s="74" t="s">
        <v>4332</v>
      </c>
      <c r="M845" s="74" t="s">
        <v>4332</v>
      </c>
      <c r="N845" s="74" t="s">
        <v>17636</v>
      </c>
      <c r="O845" s="74" t="s">
        <v>17637</v>
      </c>
      <c r="P845" s="74" t="s">
        <v>17638</v>
      </c>
      <c r="Q845" s="74" t="s">
        <v>17639</v>
      </c>
      <c r="R845" s="119"/>
      <c r="S845" s="119"/>
      <c r="T845" s="119"/>
      <c r="U845" s="119"/>
      <c r="V845" s="119"/>
      <c r="W845" s="74">
        <v>7.0</v>
      </c>
      <c r="X845" s="74">
        <v>100.0</v>
      </c>
      <c r="Y845" s="74">
        <v>3.0</v>
      </c>
      <c r="Z845" s="74">
        <v>0.0</v>
      </c>
      <c r="AA845" s="119"/>
      <c r="AB845" s="119"/>
      <c r="AC845" s="119"/>
      <c r="AD845" s="119"/>
      <c r="AE845" s="119"/>
      <c r="AF845" s="119"/>
      <c r="AG845" s="119"/>
      <c r="AH845" s="119"/>
      <c r="AI845" s="119"/>
      <c r="AJ845" s="119"/>
      <c r="AK845" s="74" t="s">
        <v>17847</v>
      </c>
      <c r="AL845" s="74">
        <v>6.0</v>
      </c>
      <c r="AM845" s="74">
        <v>1.0</v>
      </c>
      <c r="AN845" s="74" t="s">
        <v>10629</v>
      </c>
      <c r="AO845" s="120">
        <v>8324.0</v>
      </c>
      <c r="AP845" s="74" t="s">
        <v>17849</v>
      </c>
      <c r="AQ845" s="74" t="s">
        <v>17850</v>
      </c>
      <c r="AR845" s="120">
        <v>845.0</v>
      </c>
    </row>
    <row r="846">
      <c r="A846" s="74" t="s">
        <v>17842</v>
      </c>
      <c r="B846" s="74" t="s">
        <v>6876</v>
      </c>
      <c r="C846" s="74" t="s">
        <v>6877</v>
      </c>
      <c r="D846" s="74" t="s">
        <v>8493</v>
      </c>
      <c r="E846" s="146">
        <v>43887.0</v>
      </c>
      <c r="F846" s="74" t="s">
        <v>17852</v>
      </c>
      <c r="G846" s="74">
        <v>65.0</v>
      </c>
      <c r="H846" s="74">
        <v>1.0</v>
      </c>
      <c r="I846" s="74">
        <v>99.0</v>
      </c>
      <c r="J846" s="119"/>
      <c r="K846" s="119"/>
      <c r="L846" s="74" t="s">
        <v>4346</v>
      </c>
      <c r="M846" s="74" t="s">
        <v>4346</v>
      </c>
      <c r="N846" s="74" t="s">
        <v>17636</v>
      </c>
      <c r="O846" s="74" t="s">
        <v>17637</v>
      </c>
      <c r="P846" s="74" t="s">
        <v>17638</v>
      </c>
      <c r="Q846" s="74" t="s">
        <v>17639</v>
      </c>
      <c r="R846" s="119"/>
      <c r="S846" s="119"/>
      <c r="T846" s="119"/>
      <c r="U846" s="119"/>
      <c r="V846" s="119"/>
      <c r="W846" s="74">
        <v>7.0</v>
      </c>
      <c r="X846" s="74">
        <v>100.0</v>
      </c>
      <c r="Y846" s="74">
        <v>3.0</v>
      </c>
      <c r="Z846" s="74">
        <v>0.0</v>
      </c>
      <c r="AA846" s="119"/>
      <c r="AB846" s="119"/>
      <c r="AC846" s="119"/>
      <c r="AD846" s="119"/>
      <c r="AE846" s="119"/>
      <c r="AF846" s="119"/>
      <c r="AG846" s="119"/>
      <c r="AH846" s="119"/>
      <c r="AI846" s="119"/>
      <c r="AJ846" s="119"/>
      <c r="AK846" s="74" t="s">
        <v>17859</v>
      </c>
      <c r="AL846" s="74">
        <v>6.0</v>
      </c>
      <c r="AM846" s="74">
        <v>1.0</v>
      </c>
      <c r="AN846" s="74" t="s">
        <v>10629</v>
      </c>
      <c r="AO846" s="120">
        <v>8325.0</v>
      </c>
      <c r="AP846" s="74" t="s">
        <v>17862</v>
      </c>
      <c r="AQ846" s="74" t="s">
        <v>17863</v>
      </c>
      <c r="AR846" s="120">
        <v>846.0</v>
      </c>
    </row>
    <row r="847">
      <c r="A847" s="74" t="s">
        <v>17852</v>
      </c>
      <c r="B847" s="74" t="s">
        <v>6876</v>
      </c>
      <c r="C847" s="74" t="s">
        <v>6877</v>
      </c>
      <c r="D847" s="74" t="s">
        <v>8493</v>
      </c>
      <c r="E847" s="146">
        <v>43887.0</v>
      </c>
      <c r="F847" s="74" t="s">
        <v>17865</v>
      </c>
      <c r="G847" s="74">
        <v>33.0</v>
      </c>
      <c r="H847" s="74">
        <v>1.0</v>
      </c>
      <c r="I847" s="74">
        <v>98.0</v>
      </c>
      <c r="J847" s="119"/>
      <c r="K847" s="119"/>
      <c r="L847" s="74" t="s">
        <v>4437</v>
      </c>
      <c r="M847" s="74" t="s">
        <v>4437</v>
      </c>
      <c r="N847" s="74" t="s">
        <v>17636</v>
      </c>
      <c r="O847" s="74" t="s">
        <v>17637</v>
      </c>
      <c r="P847" s="74" t="s">
        <v>17638</v>
      </c>
      <c r="Q847" s="74" t="s">
        <v>17639</v>
      </c>
      <c r="R847" s="119"/>
      <c r="S847" s="119"/>
      <c r="T847" s="119"/>
      <c r="U847" s="119"/>
      <c r="V847" s="119"/>
      <c r="W847" s="74">
        <v>7.0</v>
      </c>
      <c r="X847" s="74">
        <v>100.0</v>
      </c>
      <c r="Y847" s="74">
        <v>3.0</v>
      </c>
      <c r="Z847" s="74">
        <v>0.0</v>
      </c>
      <c r="AA847" s="119"/>
      <c r="AB847" s="119"/>
      <c r="AC847" s="119"/>
      <c r="AD847" s="119"/>
      <c r="AE847" s="119"/>
      <c r="AF847" s="119"/>
      <c r="AG847" s="119"/>
      <c r="AH847" s="119"/>
      <c r="AI847" s="119"/>
      <c r="AJ847" s="119"/>
      <c r="AK847" s="74" t="s">
        <v>11376</v>
      </c>
      <c r="AL847" s="74">
        <v>6.0</v>
      </c>
      <c r="AM847" s="74">
        <v>1.0</v>
      </c>
      <c r="AN847" s="74" t="s">
        <v>10629</v>
      </c>
      <c r="AO847" s="120">
        <v>8326.0</v>
      </c>
      <c r="AP847" s="74" t="s">
        <v>17877</v>
      </c>
      <c r="AQ847" s="74" t="s">
        <v>17878</v>
      </c>
      <c r="AR847" s="120">
        <v>847.0</v>
      </c>
    </row>
    <row r="848">
      <c r="A848" s="74" t="s">
        <v>17865</v>
      </c>
      <c r="B848" s="74" t="s">
        <v>6876</v>
      </c>
      <c r="C848" s="74" t="s">
        <v>6877</v>
      </c>
      <c r="D848" s="74" t="s">
        <v>8493</v>
      </c>
      <c r="E848" s="146">
        <v>43887.0</v>
      </c>
      <c r="F848" s="74" t="s">
        <v>17880</v>
      </c>
      <c r="G848" s="74">
        <v>59.0</v>
      </c>
      <c r="H848" s="74">
        <v>1.0</v>
      </c>
      <c r="I848" s="74">
        <v>11.0</v>
      </c>
      <c r="J848" s="119"/>
      <c r="K848" s="119"/>
      <c r="L848" s="74" t="s">
        <v>4451</v>
      </c>
      <c r="M848" s="74" t="s">
        <v>4451</v>
      </c>
      <c r="N848" s="74" t="s">
        <v>17881</v>
      </c>
      <c r="O848" s="74" t="s">
        <v>17882</v>
      </c>
      <c r="P848" s="74" t="s">
        <v>17883</v>
      </c>
      <c r="Q848" s="74" t="s">
        <v>17884</v>
      </c>
      <c r="R848" s="119"/>
      <c r="S848" s="119"/>
      <c r="T848" s="119"/>
      <c r="U848" s="119"/>
      <c r="V848" s="119"/>
      <c r="W848" s="74">
        <v>4.0</v>
      </c>
      <c r="X848" s="74">
        <v>1.0</v>
      </c>
      <c r="Y848" s="74">
        <v>3.0</v>
      </c>
      <c r="Z848" s="74">
        <v>24.0</v>
      </c>
      <c r="AA848" s="74">
        <v>3.0</v>
      </c>
      <c r="AB848" s="74">
        <v>1.0</v>
      </c>
      <c r="AC848" s="74">
        <v>3.0</v>
      </c>
      <c r="AD848" s="74">
        <v>1.0</v>
      </c>
      <c r="AE848" s="74">
        <v>1.0</v>
      </c>
      <c r="AF848" s="74">
        <v>2.0</v>
      </c>
      <c r="AG848" s="74">
        <v>1.0</v>
      </c>
      <c r="AH848" s="74">
        <v>3.0</v>
      </c>
      <c r="AI848" s="74">
        <v>1.0</v>
      </c>
      <c r="AJ848" s="119"/>
      <c r="AK848" s="74" t="s">
        <v>17892</v>
      </c>
      <c r="AL848" s="74">
        <v>6.0</v>
      </c>
      <c r="AM848" s="74">
        <v>1.0</v>
      </c>
      <c r="AN848" s="74" t="s">
        <v>10629</v>
      </c>
      <c r="AO848" s="120">
        <v>8327.0</v>
      </c>
      <c r="AP848" s="74" t="s">
        <v>17893</v>
      </c>
      <c r="AQ848" s="74" t="s">
        <v>17895</v>
      </c>
      <c r="AR848" s="120">
        <v>848.0</v>
      </c>
    </row>
    <row r="849">
      <c r="A849" s="74" t="s">
        <v>17880</v>
      </c>
      <c r="B849" s="74" t="s">
        <v>6876</v>
      </c>
      <c r="C849" s="74" t="s">
        <v>6877</v>
      </c>
      <c r="D849" s="74" t="s">
        <v>8493</v>
      </c>
      <c r="E849" s="146">
        <v>43887.0</v>
      </c>
      <c r="F849" s="74" t="s">
        <v>17899</v>
      </c>
      <c r="G849" s="74">
        <v>59.0</v>
      </c>
      <c r="H849" s="74">
        <v>1.0</v>
      </c>
      <c r="I849" s="74">
        <v>99.0</v>
      </c>
      <c r="J849" s="119"/>
      <c r="K849" s="119"/>
      <c r="L849" s="74" t="s">
        <v>4452</v>
      </c>
      <c r="M849" s="74" t="s">
        <v>4452</v>
      </c>
      <c r="N849" s="74" t="s">
        <v>17881</v>
      </c>
      <c r="O849" s="74" t="s">
        <v>17882</v>
      </c>
      <c r="P849" s="74" t="s">
        <v>17883</v>
      </c>
      <c r="Q849" s="74" t="s">
        <v>17901</v>
      </c>
      <c r="R849" s="119"/>
      <c r="S849" s="119"/>
      <c r="T849" s="119"/>
      <c r="U849" s="119"/>
      <c r="V849" s="119"/>
      <c r="W849" s="74">
        <v>7.0</v>
      </c>
      <c r="X849" s="74">
        <v>100.0</v>
      </c>
      <c r="Y849" s="74">
        <v>3.0</v>
      </c>
      <c r="Z849" s="74">
        <v>0.0</v>
      </c>
      <c r="AA849" s="119"/>
      <c r="AB849" s="119"/>
      <c r="AC849" s="119"/>
      <c r="AD849" s="119"/>
      <c r="AE849" s="119"/>
      <c r="AF849" s="119"/>
      <c r="AG849" s="119"/>
      <c r="AH849" s="119"/>
      <c r="AI849" s="119"/>
      <c r="AJ849" s="119"/>
      <c r="AK849" s="74" t="s">
        <v>17905</v>
      </c>
      <c r="AL849" s="74">
        <v>6.0</v>
      </c>
      <c r="AM849" s="74">
        <v>1.0</v>
      </c>
      <c r="AN849" s="74" t="s">
        <v>10629</v>
      </c>
      <c r="AO849" s="120">
        <v>8328.0</v>
      </c>
      <c r="AP849" s="74" t="s">
        <v>17908</v>
      </c>
      <c r="AQ849" s="74" t="s">
        <v>17909</v>
      </c>
      <c r="AR849" s="120">
        <v>849.0</v>
      </c>
    </row>
    <row r="850">
      <c r="A850" s="1" t="s">
        <v>17910</v>
      </c>
      <c r="B850" s="1" t="s">
        <v>6876</v>
      </c>
      <c r="C850" s="1" t="s">
        <v>6877</v>
      </c>
      <c r="D850" s="1" t="s">
        <v>8493</v>
      </c>
      <c r="E850" s="147">
        <v>43906.0</v>
      </c>
      <c r="F850" s="1" t="s">
        <v>17921</v>
      </c>
      <c r="G850" s="1">
        <v>59.0</v>
      </c>
      <c r="H850" s="1">
        <v>1.0</v>
      </c>
      <c r="I850" s="1">
        <v>11.0</v>
      </c>
      <c r="L850" s="1" t="s">
        <v>4466</v>
      </c>
      <c r="M850" s="1" t="s">
        <v>4466</v>
      </c>
      <c r="N850" s="1" t="s">
        <v>17881</v>
      </c>
      <c r="O850" s="1" t="s">
        <v>17882</v>
      </c>
      <c r="P850" s="1" t="s">
        <v>17883</v>
      </c>
      <c r="Q850" s="1" t="s">
        <v>17901</v>
      </c>
      <c r="W850" s="1">
        <v>4.0</v>
      </c>
      <c r="X850" s="1">
        <v>1.0</v>
      </c>
      <c r="Y850" s="1">
        <v>3.0</v>
      </c>
      <c r="Z850" s="1">
        <v>30.0</v>
      </c>
      <c r="AA850" s="1">
        <v>3.0</v>
      </c>
      <c r="AB850" s="1">
        <v>1.0</v>
      </c>
      <c r="AC850" s="1">
        <v>3.0</v>
      </c>
      <c r="AD850" s="1">
        <v>1.0</v>
      </c>
      <c r="AE850" s="1">
        <v>1.0</v>
      </c>
      <c r="AF850" s="1">
        <v>2.0</v>
      </c>
      <c r="AG850" s="1">
        <v>1.0</v>
      </c>
      <c r="AH850" s="1">
        <v>3.0</v>
      </c>
      <c r="AI850" s="1">
        <v>0.0</v>
      </c>
      <c r="AK850" s="1" t="s">
        <v>17926</v>
      </c>
      <c r="AL850" s="1">
        <v>6.0</v>
      </c>
      <c r="AM850" s="1">
        <v>1.0</v>
      </c>
      <c r="AN850" s="1" t="s">
        <v>10629</v>
      </c>
      <c r="AO850" s="121">
        <v>8720.0</v>
      </c>
      <c r="AP850" s="1" t="s">
        <v>17928</v>
      </c>
      <c r="AQ850" s="1" t="s">
        <v>17930</v>
      </c>
      <c r="AR850" s="121">
        <v>850.0</v>
      </c>
    </row>
    <row r="851">
      <c r="A851" s="1" t="s">
        <v>17921</v>
      </c>
      <c r="B851" s="1" t="s">
        <v>6876</v>
      </c>
      <c r="C851" s="1" t="s">
        <v>6877</v>
      </c>
      <c r="D851" s="1" t="s">
        <v>8493</v>
      </c>
      <c r="E851" s="147">
        <v>43906.0</v>
      </c>
      <c r="F851" s="1" t="s">
        <v>17934</v>
      </c>
      <c r="G851" s="1">
        <v>59.0</v>
      </c>
      <c r="H851" s="1">
        <v>1.0</v>
      </c>
      <c r="I851" s="1">
        <v>99.0</v>
      </c>
      <c r="L851" s="1" t="s">
        <v>4469</v>
      </c>
      <c r="M851" s="1" t="s">
        <v>4469</v>
      </c>
      <c r="N851" s="1" t="s">
        <v>17881</v>
      </c>
      <c r="O851" s="1" t="s">
        <v>17882</v>
      </c>
      <c r="P851" s="1" t="s">
        <v>17883</v>
      </c>
      <c r="Q851" s="1" t="s">
        <v>17901</v>
      </c>
      <c r="W851" s="1">
        <v>7.0</v>
      </c>
      <c r="X851" s="1">
        <v>100.0</v>
      </c>
      <c r="Y851" s="1">
        <v>3.0</v>
      </c>
      <c r="Z851" s="1">
        <v>0.0</v>
      </c>
      <c r="AK851" s="1" t="s">
        <v>17939</v>
      </c>
      <c r="AL851" s="1">
        <v>6.0</v>
      </c>
      <c r="AM851" s="1">
        <v>1.0</v>
      </c>
      <c r="AN851" s="1" t="s">
        <v>10629</v>
      </c>
      <c r="AO851" s="121">
        <v>8721.0</v>
      </c>
      <c r="AP851" s="1" t="s">
        <v>17941</v>
      </c>
      <c r="AQ851" s="1" t="s">
        <v>17942</v>
      </c>
      <c r="AR851" s="121">
        <v>851.0</v>
      </c>
    </row>
    <row r="852">
      <c r="A852" s="1" t="s">
        <v>17934</v>
      </c>
      <c r="B852" s="1" t="s">
        <v>6876</v>
      </c>
      <c r="C852" s="1" t="s">
        <v>6877</v>
      </c>
      <c r="D852" s="1" t="s">
        <v>8493</v>
      </c>
      <c r="E852" s="147">
        <v>43906.0</v>
      </c>
      <c r="F852" s="1" t="s">
        <v>17943</v>
      </c>
      <c r="G852" s="1">
        <v>59.0</v>
      </c>
      <c r="H852" s="1">
        <v>1.0</v>
      </c>
      <c r="I852" s="1">
        <v>11.0</v>
      </c>
      <c r="L852" s="1" t="s">
        <v>4479</v>
      </c>
      <c r="M852" s="1" t="s">
        <v>4479</v>
      </c>
      <c r="N852" s="1" t="s">
        <v>17881</v>
      </c>
      <c r="O852" s="1" t="s">
        <v>17882</v>
      </c>
      <c r="P852" s="1" t="s">
        <v>17883</v>
      </c>
      <c r="Q852" s="1" t="s">
        <v>17901</v>
      </c>
      <c r="W852" s="1">
        <v>4.0</v>
      </c>
      <c r="X852" s="1">
        <v>1.0</v>
      </c>
      <c r="Y852" s="1">
        <v>3.0</v>
      </c>
      <c r="Z852" s="1">
        <v>0.0</v>
      </c>
      <c r="AA852" s="1">
        <v>3.0</v>
      </c>
      <c r="AB852" s="1">
        <v>1.0</v>
      </c>
      <c r="AC852" s="1">
        <v>3.0</v>
      </c>
      <c r="AD852" s="1">
        <v>0.0</v>
      </c>
      <c r="AE852" s="1">
        <v>1.0</v>
      </c>
      <c r="AF852" s="1">
        <v>2.0</v>
      </c>
      <c r="AG852" s="1">
        <v>1.0</v>
      </c>
      <c r="AH852" s="1">
        <v>3.0</v>
      </c>
      <c r="AI852" s="1">
        <v>0.0</v>
      </c>
      <c r="AK852" s="1" t="s">
        <v>17950</v>
      </c>
      <c r="AL852" s="1">
        <v>6.0</v>
      </c>
      <c r="AM852" s="1">
        <v>1.0</v>
      </c>
      <c r="AN852" s="1" t="s">
        <v>10629</v>
      </c>
      <c r="AO852" s="121">
        <v>8722.0</v>
      </c>
      <c r="AP852" s="1" t="s">
        <v>17952</v>
      </c>
      <c r="AQ852" s="1" t="s">
        <v>17953</v>
      </c>
      <c r="AR852" s="121">
        <v>852.0</v>
      </c>
    </row>
    <row r="853">
      <c r="A853" s="1" t="s">
        <v>17943</v>
      </c>
      <c r="B853" s="1" t="s">
        <v>6876</v>
      </c>
      <c r="C853" s="1" t="s">
        <v>6877</v>
      </c>
      <c r="D853" s="1" t="s">
        <v>8493</v>
      </c>
      <c r="E853" s="147">
        <v>43906.0</v>
      </c>
      <c r="F853" s="1" t="s">
        <v>17956</v>
      </c>
      <c r="G853" s="1">
        <v>59.0</v>
      </c>
      <c r="H853" s="1">
        <v>1.0</v>
      </c>
      <c r="I853" s="1">
        <v>99.0</v>
      </c>
      <c r="L853" s="1" t="s">
        <v>4484</v>
      </c>
      <c r="M853" s="1" t="s">
        <v>4484</v>
      </c>
      <c r="N853" s="1" t="s">
        <v>17881</v>
      </c>
      <c r="O853" s="1" t="s">
        <v>17882</v>
      </c>
      <c r="P853" s="1" t="s">
        <v>17883</v>
      </c>
      <c r="Q853" s="1" t="s">
        <v>17901</v>
      </c>
      <c r="W853" s="1">
        <v>7.0</v>
      </c>
      <c r="X853" s="1">
        <v>100.0</v>
      </c>
      <c r="Y853" s="1">
        <v>3.0</v>
      </c>
      <c r="Z853" s="1">
        <v>0.0</v>
      </c>
      <c r="AK853" s="1" t="s">
        <v>17958</v>
      </c>
      <c r="AL853" s="1">
        <v>6.0</v>
      </c>
      <c r="AM853" s="1">
        <v>1.0</v>
      </c>
      <c r="AN853" s="1" t="s">
        <v>10629</v>
      </c>
      <c r="AO853" s="121">
        <v>8723.0</v>
      </c>
      <c r="AP853" s="1" t="s">
        <v>17959</v>
      </c>
      <c r="AQ853" s="1" t="s">
        <v>17961</v>
      </c>
      <c r="AR853" s="121">
        <v>853.0</v>
      </c>
    </row>
    <row r="854">
      <c r="A854" s="1" t="s">
        <v>17956</v>
      </c>
      <c r="B854" s="1" t="s">
        <v>6876</v>
      </c>
      <c r="C854" s="1" t="s">
        <v>6877</v>
      </c>
      <c r="D854" s="1" t="s">
        <v>8493</v>
      </c>
      <c r="E854" s="147">
        <v>43906.0</v>
      </c>
      <c r="F854" s="1" t="s">
        <v>17964</v>
      </c>
      <c r="G854" s="1">
        <v>59.0</v>
      </c>
      <c r="H854" s="1">
        <v>1.0</v>
      </c>
      <c r="I854" s="1">
        <v>11.0</v>
      </c>
      <c r="L854" s="1" t="s">
        <v>4492</v>
      </c>
      <c r="M854" s="1" t="s">
        <v>4492</v>
      </c>
      <c r="N854" s="1" t="s">
        <v>17881</v>
      </c>
      <c r="O854" s="1" t="s">
        <v>17882</v>
      </c>
      <c r="P854" s="1" t="s">
        <v>17883</v>
      </c>
      <c r="Q854" s="1" t="s">
        <v>17966</v>
      </c>
      <c r="W854" s="1">
        <v>4.0</v>
      </c>
      <c r="X854" s="1">
        <v>1.0</v>
      </c>
      <c r="Y854" s="1">
        <v>3.0</v>
      </c>
      <c r="Z854" s="1">
        <v>14.0</v>
      </c>
      <c r="AA854" s="1">
        <v>3.0</v>
      </c>
      <c r="AB854" s="1">
        <v>1.0</v>
      </c>
      <c r="AC854" s="1">
        <v>3.0</v>
      </c>
      <c r="AD854" s="1">
        <v>7.0</v>
      </c>
      <c r="AE854" s="1">
        <v>1.0</v>
      </c>
      <c r="AF854" s="1">
        <v>2.0</v>
      </c>
      <c r="AG854" s="1">
        <v>1.0</v>
      </c>
      <c r="AH854" s="1">
        <v>3.0</v>
      </c>
      <c r="AI854" s="1">
        <v>0.0</v>
      </c>
      <c r="AK854" s="1" t="s">
        <v>17967</v>
      </c>
      <c r="AL854" s="1">
        <v>6.0</v>
      </c>
      <c r="AM854" s="1">
        <v>1.0</v>
      </c>
      <c r="AN854" s="1" t="s">
        <v>10629</v>
      </c>
      <c r="AO854" s="121">
        <v>8724.0</v>
      </c>
      <c r="AP854" s="1" t="s">
        <v>17970</v>
      </c>
      <c r="AQ854" s="1" t="s">
        <v>17971</v>
      </c>
      <c r="AR854" s="121">
        <v>854.0</v>
      </c>
    </row>
    <row r="855">
      <c r="A855" s="1" t="s">
        <v>17964</v>
      </c>
      <c r="B855" s="1" t="s">
        <v>6876</v>
      </c>
      <c r="C855" s="1" t="s">
        <v>6877</v>
      </c>
      <c r="D855" s="1" t="s">
        <v>8493</v>
      </c>
      <c r="E855" s="147">
        <v>43906.0</v>
      </c>
      <c r="F855" s="1" t="s">
        <v>17976</v>
      </c>
      <c r="G855" s="1">
        <v>59.0</v>
      </c>
      <c r="H855" s="1">
        <v>1.0</v>
      </c>
      <c r="I855" s="1">
        <v>99.0</v>
      </c>
      <c r="L855" s="1" t="s">
        <v>4498</v>
      </c>
      <c r="M855" s="1" t="s">
        <v>4498</v>
      </c>
      <c r="N855" s="1" t="s">
        <v>17881</v>
      </c>
      <c r="O855" s="1" t="s">
        <v>17882</v>
      </c>
      <c r="P855" s="1" t="s">
        <v>17883</v>
      </c>
      <c r="Q855" s="1" t="s">
        <v>17966</v>
      </c>
      <c r="W855" s="1">
        <v>7.0</v>
      </c>
      <c r="X855" s="1">
        <v>100.0</v>
      </c>
      <c r="Y855" s="1">
        <v>3.0</v>
      </c>
      <c r="Z855" s="1">
        <v>0.0</v>
      </c>
      <c r="AK855" s="1" t="s">
        <v>17979</v>
      </c>
      <c r="AL855" s="1">
        <v>6.0</v>
      </c>
      <c r="AM855" s="1">
        <v>1.0</v>
      </c>
      <c r="AN855" s="1" t="s">
        <v>10629</v>
      </c>
      <c r="AO855" s="121">
        <v>8725.0</v>
      </c>
      <c r="AP855" s="1" t="s">
        <v>17982</v>
      </c>
      <c r="AQ855" s="1" t="s">
        <v>17984</v>
      </c>
      <c r="AR855" s="121">
        <v>855.0</v>
      </c>
    </row>
    <row r="856">
      <c r="A856" s="1" t="s">
        <v>17976</v>
      </c>
      <c r="B856" s="1" t="s">
        <v>6876</v>
      </c>
      <c r="C856" s="1" t="s">
        <v>6877</v>
      </c>
      <c r="D856" s="1" t="s">
        <v>8493</v>
      </c>
      <c r="E856" s="147">
        <v>43906.0</v>
      </c>
      <c r="F856" s="1" t="s">
        <v>17986</v>
      </c>
      <c r="G856" s="1">
        <v>59.0</v>
      </c>
      <c r="H856" s="1">
        <v>1.0</v>
      </c>
      <c r="I856" s="1">
        <v>11.0</v>
      </c>
      <c r="L856" s="1" t="s">
        <v>4505</v>
      </c>
      <c r="M856" s="1" t="s">
        <v>4505</v>
      </c>
      <c r="N856" s="1" t="s">
        <v>17881</v>
      </c>
      <c r="O856" s="1" t="s">
        <v>17882</v>
      </c>
      <c r="P856" s="1" t="s">
        <v>17883</v>
      </c>
      <c r="Q856" s="1" t="s">
        <v>17966</v>
      </c>
      <c r="W856" s="1">
        <v>4.0</v>
      </c>
      <c r="X856" s="1">
        <v>1.0</v>
      </c>
      <c r="Y856" s="1">
        <v>3.0</v>
      </c>
      <c r="Z856" s="1">
        <v>22.0</v>
      </c>
      <c r="AA856" s="1">
        <v>3.0</v>
      </c>
      <c r="AB856" s="1">
        <v>1.0</v>
      </c>
      <c r="AC856" s="1">
        <v>3.0</v>
      </c>
      <c r="AD856" s="1">
        <v>0.0</v>
      </c>
      <c r="AE856" s="1">
        <v>1.0</v>
      </c>
      <c r="AF856" s="1">
        <v>2.0</v>
      </c>
      <c r="AG856" s="1">
        <v>1.0</v>
      </c>
      <c r="AH856" s="1">
        <v>3.0</v>
      </c>
      <c r="AI856" s="1">
        <v>0.0</v>
      </c>
      <c r="AK856" s="1" t="s">
        <v>17989</v>
      </c>
      <c r="AL856" s="1">
        <v>6.0</v>
      </c>
      <c r="AM856" s="1">
        <v>1.0</v>
      </c>
      <c r="AN856" s="1" t="s">
        <v>10629</v>
      </c>
      <c r="AO856" s="121">
        <v>8726.0</v>
      </c>
      <c r="AP856" s="1" t="s">
        <v>17991</v>
      </c>
      <c r="AQ856" s="1" t="s">
        <v>17992</v>
      </c>
      <c r="AR856" s="121">
        <v>856.0</v>
      </c>
    </row>
    <row r="857">
      <c r="A857" s="1" t="s">
        <v>17986</v>
      </c>
      <c r="B857" s="1" t="s">
        <v>6876</v>
      </c>
      <c r="C857" s="1" t="s">
        <v>6877</v>
      </c>
      <c r="D857" s="1" t="s">
        <v>8493</v>
      </c>
      <c r="E857" s="147">
        <v>43906.0</v>
      </c>
      <c r="F857" s="1" t="s">
        <v>17993</v>
      </c>
      <c r="G857" s="1">
        <v>59.0</v>
      </c>
      <c r="H857" s="1">
        <v>1.0</v>
      </c>
      <c r="I857" s="1">
        <v>99.0</v>
      </c>
      <c r="L857" s="1" t="s">
        <v>4508</v>
      </c>
      <c r="M857" s="1" t="s">
        <v>4508</v>
      </c>
      <c r="N857" s="1" t="s">
        <v>17881</v>
      </c>
      <c r="O857" s="1" t="s">
        <v>17882</v>
      </c>
      <c r="P857" s="1" t="s">
        <v>17883</v>
      </c>
      <c r="Q857" s="1" t="s">
        <v>17901</v>
      </c>
      <c r="W857" s="1">
        <v>7.0</v>
      </c>
      <c r="X857" s="1">
        <v>100.0</v>
      </c>
      <c r="Y857" s="1">
        <v>3.0</v>
      </c>
      <c r="Z857" s="1">
        <v>0.0</v>
      </c>
      <c r="AK857" s="1" t="s">
        <v>17997</v>
      </c>
      <c r="AL857" s="1">
        <v>6.0</v>
      </c>
      <c r="AM857" s="1">
        <v>1.0</v>
      </c>
      <c r="AN857" s="1" t="s">
        <v>10629</v>
      </c>
      <c r="AO857" s="121">
        <v>8727.0</v>
      </c>
      <c r="AP857" s="1" t="s">
        <v>17998</v>
      </c>
      <c r="AQ857" s="1" t="s">
        <v>17999</v>
      </c>
      <c r="AR857" s="121">
        <v>857.0</v>
      </c>
    </row>
    <row r="858">
      <c r="A858" s="1" t="s">
        <v>17993</v>
      </c>
      <c r="B858" s="1" t="s">
        <v>6876</v>
      </c>
      <c r="C858" s="1" t="s">
        <v>6877</v>
      </c>
      <c r="D858" s="1" t="s">
        <v>8493</v>
      </c>
      <c r="E858" s="147">
        <v>43906.0</v>
      </c>
      <c r="F858" s="1" t="s">
        <v>18001</v>
      </c>
      <c r="G858" s="1">
        <v>33.0</v>
      </c>
      <c r="H858" s="1">
        <v>1.0</v>
      </c>
      <c r="I858" s="1">
        <v>98.0</v>
      </c>
      <c r="L858" s="1" t="s">
        <v>4536</v>
      </c>
      <c r="M858" s="1" t="s">
        <v>4536</v>
      </c>
      <c r="N858" s="1" t="s">
        <v>17881</v>
      </c>
      <c r="O858" s="1" t="s">
        <v>17882</v>
      </c>
      <c r="P858" s="1" t="s">
        <v>17883</v>
      </c>
      <c r="Q858" s="1" t="s">
        <v>17901</v>
      </c>
      <c r="W858" s="1">
        <v>7.0</v>
      </c>
      <c r="X858" s="1">
        <v>100.0</v>
      </c>
      <c r="Y858" s="1">
        <v>3.0</v>
      </c>
      <c r="Z858" s="1">
        <v>0.0</v>
      </c>
      <c r="AK858" s="1" t="s">
        <v>11376</v>
      </c>
      <c r="AL858" s="1">
        <v>6.0</v>
      </c>
      <c r="AM858" s="1">
        <v>1.0</v>
      </c>
      <c r="AN858" s="1" t="s">
        <v>10629</v>
      </c>
      <c r="AO858" s="121">
        <v>8728.0</v>
      </c>
      <c r="AP858" s="1" t="s">
        <v>18009</v>
      </c>
      <c r="AQ858" s="1" t="s">
        <v>18010</v>
      </c>
      <c r="AR858" s="121">
        <v>858.0</v>
      </c>
    </row>
    <row r="859">
      <c r="A859" s="1" t="s">
        <v>18011</v>
      </c>
      <c r="B859" s="1" t="s">
        <v>6876</v>
      </c>
      <c r="C859" s="1" t="s">
        <v>6877</v>
      </c>
      <c r="D859" s="1" t="s">
        <v>8493</v>
      </c>
      <c r="E859" s="147">
        <v>43906.0</v>
      </c>
      <c r="F859" s="1" t="s">
        <v>18013</v>
      </c>
      <c r="G859" s="1">
        <v>57.0</v>
      </c>
      <c r="H859" s="1">
        <v>2.0</v>
      </c>
      <c r="I859" s="1">
        <v>3.0</v>
      </c>
      <c r="L859" s="1" t="s">
        <v>2339</v>
      </c>
      <c r="M859" s="1" t="s">
        <v>2339</v>
      </c>
      <c r="N859" s="1" t="s">
        <v>18015</v>
      </c>
      <c r="O859" s="1" t="s">
        <v>18016</v>
      </c>
      <c r="P859" s="1" t="s">
        <v>17901</v>
      </c>
      <c r="Q859" s="1" t="s">
        <v>18017</v>
      </c>
      <c r="W859" s="1">
        <v>7.0</v>
      </c>
      <c r="X859" s="1">
        <v>100.0</v>
      </c>
      <c r="Y859" s="1">
        <v>3.0</v>
      </c>
      <c r="Z859" s="1">
        <v>0.0</v>
      </c>
      <c r="AA859" s="1">
        <v>7.0</v>
      </c>
      <c r="AB859" s="1">
        <v>10.0</v>
      </c>
      <c r="AC859" s="1">
        <v>3.0</v>
      </c>
      <c r="AD859" s="1">
        <v>0.0</v>
      </c>
      <c r="AE859" s="1">
        <v>0.0</v>
      </c>
      <c r="AK859" s="1" t="s">
        <v>18019</v>
      </c>
      <c r="AL859" s="1">
        <v>6.0</v>
      </c>
      <c r="AM859" s="1">
        <v>1.0</v>
      </c>
      <c r="AN859" s="1" t="s">
        <v>10629</v>
      </c>
      <c r="AO859" s="121">
        <v>8729.0</v>
      </c>
      <c r="AP859" s="1" t="s">
        <v>18020</v>
      </c>
      <c r="AQ859" s="1" t="s">
        <v>18021</v>
      </c>
      <c r="AR859" s="121">
        <v>859.0</v>
      </c>
    </row>
    <row r="860">
      <c r="A860" s="1" t="s">
        <v>18013</v>
      </c>
      <c r="B860" s="1" t="s">
        <v>6876</v>
      </c>
      <c r="C860" s="1" t="s">
        <v>6877</v>
      </c>
      <c r="D860" s="1" t="s">
        <v>8493</v>
      </c>
      <c r="E860" s="147">
        <v>43906.0</v>
      </c>
      <c r="F860" s="1" t="s">
        <v>18024</v>
      </c>
      <c r="G860" s="1">
        <v>57.0</v>
      </c>
      <c r="H860" s="1">
        <v>2.0</v>
      </c>
      <c r="I860" s="1">
        <v>99.0</v>
      </c>
      <c r="L860" s="1" t="s">
        <v>3400</v>
      </c>
      <c r="M860" s="1" t="s">
        <v>3400</v>
      </c>
      <c r="N860" s="1" t="s">
        <v>18015</v>
      </c>
      <c r="O860" s="1" t="s">
        <v>18016</v>
      </c>
      <c r="P860" s="1" t="s">
        <v>17901</v>
      </c>
      <c r="Q860" s="1" t="s">
        <v>18017</v>
      </c>
      <c r="W860" s="1">
        <v>7.0</v>
      </c>
      <c r="X860" s="1">
        <v>100.0</v>
      </c>
      <c r="Y860" s="1">
        <v>3.0</v>
      </c>
      <c r="Z860" s="1">
        <v>0.0</v>
      </c>
      <c r="AK860" s="1" t="s">
        <v>18030</v>
      </c>
      <c r="AL860" s="1">
        <v>6.0</v>
      </c>
      <c r="AM860" s="1">
        <v>1.0</v>
      </c>
      <c r="AN860" s="1" t="s">
        <v>10629</v>
      </c>
      <c r="AO860" s="121">
        <v>8730.0</v>
      </c>
      <c r="AP860" s="1" t="s">
        <v>18032</v>
      </c>
      <c r="AQ860" s="1" t="s">
        <v>18034</v>
      </c>
      <c r="AR860" s="121">
        <v>860.0</v>
      </c>
    </row>
    <row r="861">
      <c r="A861" s="1" t="s">
        <v>18024</v>
      </c>
      <c r="B861" s="1" t="s">
        <v>6876</v>
      </c>
      <c r="C861" s="1" t="s">
        <v>6877</v>
      </c>
      <c r="D861" s="1" t="s">
        <v>8493</v>
      </c>
      <c r="E861" s="147">
        <v>43906.0</v>
      </c>
      <c r="F861" s="1" t="s">
        <v>18037</v>
      </c>
      <c r="G861" s="1">
        <v>57.0</v>
      </c>
      <c r="H861" s="1">
        <v>1.0</v>
      </c>
      <c r="I861" s="1">
        <v>16.0</v>
      </c>
      <c r="L861" s="1" t="s">
        <v>4696</v>
      </c>
      <c r="M861" s="1" t="s">
        <v>4696</v>
      </c>
      <c r="N861" s="1" t="s">
        <v>18015</v>
      </c>
      <c r="O861" s="1" t="s">
        <v>18016</v>
      </c>
      <c r="P861" s="1" t="s">
        <v>17901</v>
      </c>
      <c r="Q861" s="1" t="s">
        <v>18017</v>
      </c>
      <c r="W861" s="1">
        <v>4.0</v>
      </c>
      <c r="X861" s="1">
        <v>1.0</v>
      </c>
      <c r="Y861" s="1">
        <v>3.0</v>
      </c>
      <c r="Z861" s="1">
        <v>1.0</v>
      </c>
      <c r="AA861" s="1">
        <v>3.0</v>
      </c>
      <c r="AB861" s="1">
        <v>1.0</v>
      </c>
      <c r="AC861" s="1">
        <v>3.0</v>
      </c>
      <c r="AD861" s="1">
        <v>0.0</v>
      </c>
      <c r="AE861" s="1">
        <v>1.0</v>
      </c>
      <c r="AF861" s="1">
        <v>2.0</v>
      </c>
      <c r="AG861" s="1">
        <v>1.0</v>
      </c>
      <c r="AH861" s="1">
        <v>3.0</v>
      </c>
      <c r="AI861" s="1">
        <v>0.0</v>
      </c>
      <c r="AK861" s="1" t="s">
        <v>18040</v>
      </c>
      <c r="AL861" s="1">
        <v>6.0</v>
      </c>
      <c r="AM861" s="1">
        <v>1.0</v>
      </c>
      <c r="AN861" s="1" t="s">
        <v>10629</v>
      </c>
      <c r="AO861" s="121">
        <v>8731.0</v>
      </c>
      <c r="AP861" s="1" t="s">
        <v>18041</v>
      </c>
      <c r="AQ861" s="1" t="s">
        <v>18042</v>
      </c>
      <c r="AR861" s="121">
        <v>861.0</v>
      </c>
    </row>
    <row r="862">
      <c r="A862" s="1" t="s">
        <v>18037</v>
      </c>
      <c r="B862" s="1" t="s">
        <v>6876</v>
      </c>
      <c r="C862" s="1" t="s">
        <v>6877</v>
      </c>
      <c r="D862" s="1" t="s">
        <v>8493</v>
      </c>
      <c r="E862" s="147">
        <v>43906.0</v>
      </c>
      <c r="F862" s="1" t="s">
        <v>18047</v>
      </c>
      <c r="G862" s="1">
        <v>58.0</v>
      </c>
      <c r="H862" s="1">
        <v>2.0</v>
      </c>
      <c r="I862" s="1">
        <v>10.0</v>
      </c>
      <c r="L862" s="1" t="s">
        <v>3409</v>
      </c>
      <c r="M862" s="1" t="s">
        <v>3409</v>
      </c>
      <c r="N862" s="1" t="s">
        <v>18015</v>
      </c>
      <c r="O862" s="1" t="s">
        <v>18016</v>
      </c>
      <c r="P862" s="1" t="s">
        <v>17901</v>
      </c>
      <c r="Q862" s="1" t="s">
        <v>18017</v>
      </c>
      <c r="S862" s="1">
        <v>109.0</v>
      </c>
      <c r="W862" s="1">
        <v>6.0</v>
      </c>
      <c r="X862" s="1">
        <v>1.0</v>
      </c>
      <c r="Y862" s="1">
        <v>3.0</v>
      </c>
      <c r="Z862" s="1">
        <v>0.0</v>
      </c>
      <c r="AA862" s="1">
        <v>5.0</v>
      </c>
      <c r="AB862" s="1">
        <v>1.0</v>
      </c>
      <c r="AC862" s="1">
        <v>3.0</v>
      </c>
      <c r="AD862" s="1">
        <v>0.0</v>
      </c>
      <c r="AE862" s="1">
        <v>1.0</v>
      </c>
      <c r="AF862" s="1">
        <v>4.0</v>
      </c>
      <c r="AG862" s="1">
        <v>1.0</v>
      </c>
      <c r="AH862" s="1">
        <v>3.0</v>
      </c>
      <c r="AI862" s="1">
        <v>0.0</v>
      </c>
      <c r="AK862" s="1" t="s">
        <v>18052</v>
      </c>
      <c r="AL862" s="1">
        <v>6.0</v>
      </c>
      <c r="AM862" s="1">
        <v>1.0</v>
      </c>
      <c r="AN862" s="1" t="s">
        <v>10629</v>
      </c>
      <c r="AO862" s="121">
        <v>8732.0</v>
      </c>
      <c r="AP862" s="1" t="s">
        <v>18054</v>
      </c>
      <c r="AQ862" s="1" t="s">
        <v>18055</v>
      </c>
      <c r="AR862" s="121">
        <v>862.0</v>
      </c>
    </row>
    <row r="863">
      <c r="A863" s="1" t="s">
        <v>18047</v>
      </c>
      <c r="B863" s="1" t="s">
        <v>6876</v>
      </c>
      <c r="C863" s="1" t="s">
        <v>6877</v>
      </c>
      <c r="D863" s="1" t="s">
        <v>8493</v>
      </c>
      <c r="E863" s="147">
        <v>43906.0</v>
      </c>
      <c r="F863" s="1" t="s">
        <v>18056</v>
      </c>
      <c r="G863" s="1">
        <v>58.0</v>
      </c>
      <c r="H863" s="1">
        <v>2.0</v>
      </c>
      <c r="I863" s="1">
        <v>99.0</v>
      </c>
      <c r="L863" s="1" t="s">
        <v>3418</v>
      </c>
      <c r="M863" s="1" t="s">
        <v>3418</v>
      </c>
      <c r="N863" s="1" t="s">
        <v>18015</v>
      </c>
      <c r="O863" s="1" t="s">
        <v>18016</v>
      </c>
      <c r="P863" s="1" t="s">
        <v>17901</v>
      </c>
      <c r="Q863" s="1" t="s">
        <v>18017</v>
      </c>
      <c r="W863" s="1">
        <v>7.0</v>
      </c>
      <c r="X863" s="1">
        <v>100.0</v>
      </c>
      <c r="Y863" s="1">
        <v>3.0</v>
      </c>
      <c r="Z863" s="1">
        <v>0.0</v>
      </c>
      <c r="AK863" s="1" t="s">
        <v>18060</v>
      </c>
      <c r="AL863" s="1">
        <v>6.0</v>
      </c>
      <c r="AM863" s="1">
        <v>1.0</v>
      </c>
      <c r="AN863" s="1" t="s">
        <v>10629</v>
      </c>
      <c r="AO863" s="121">
        <v>8733.0</v>
      </c>
      <c r="AP863" s="1" t="s">
        <v>18062</v>
      </c>
      <c r="AQ863" s="1" t="s">
        <v>18063</v>
      </c>
      <c r="AR863" s="121">
        <v>863.0</v>
      </c>
    </row>
    <row r="864">
      <c r="A864" s="1" t="s">
        <v>18064</v>
      </c>
      <c r="B864" s="1" t="s">
        <v>6876</v>
      </c>
      <c r="C864" s="1" t="s">
        <v>6877</v>
      </c>
      <c r="D864" s="1" t="s">
        <v>8493</v>
      </c>
      <c r="E864" s="147">
        <v>43906.0</v>
      </c>
      <c r="F864" s="1" t="s">
        <v>18067</v>
      </c>
      <c r="G864" s="1">
        <v>33.0</v>
      </c>
      <c r="H864" s="1">
        <v>1.0</v>
      </c>
      <c r="I864" s="1">
        <v>98.0</v>
      </c>
      <c r="L864" s="1" t="s">
        <v>4751</v>
      </c>
      <c r="M864" s="1" t="s">
        <v>4751</v>
      </c>
      <c r="N864" s="1" t="s">
        <v>18015</v>
      </c>
      <c r="O864" s="1" t="s">
        <v>18016</v>
      </c>
      <c r="P864" s="1" t="s">
        <v>17901</v>
      </c>
      <c r="Q864" s="1" t="s">
        <v>18017</v>
      </c>
      <c r="W864" s="1">
        <v>7.0</v>
      </c>
      <c r="X864" s="1">
        <v>100.0</v>
      </c>
      <c r="Y864" s="1">
        <v>3.0</v>
      </c>
      <c r="Z864" s="1">
        <v>0.0</v>
      </c>
      <c r="AK864" s="1" t="s">
        <v>11376</v>
      </c>
      <c r="AL864" s="1">
        <v>6.0</v>
      </c>
      <c r="AM864" s="1">
        <v>1.0</v>
      </c>
      <c r="AN864" s="1" t="s">
        <v>10629</v>
      </c>
      <c r="AO864" s="121">
        <v>8734.0</v>
      </c>
      <c r="AP864" s="1" t="s">
        <v>18072</v>
      </c>
      <c r="AQ864" s="1" t="s">
        <v>18073</v>
      </c>
      <c r="AR864" s="121">
        <v>864.0</v>
      </c>
    </row>
    <row r="865">
      <c r="A865" s="1" t="s">
        <v>18074</v>
      </c>
      <c r="B865" s="1" t="s">
        <v>6876</v>
      </c>
      <c r="C865" s="1" t="s">
        <v>6877</v>
      </c>
      <c r="D865" s="1" t="s">
        <v>8493</v>
      </c>
      <c r="E865" s="147">
        <v>43906.0</v>
      </c>
      <c r="F865" s="1" t="s">
        <v>18076</v>
      </c>
      <c r="G865" s="1">
        <v>65.0</v>
      </c>
      <c r="H865" s="1">
        <v>1.0</v>
      </c>
      <c r="I865" s="1">
        <v>16.0</v>
      </c>
      <c r="L865" s="1" t="s">
        <v>4957</v>
      </c>
      <c r="M865" s="1" t="s">
        <v>4957</v>
      </c>
      <c r="N865" s="1" t="s">
        <v>18015</v>
      </c>
      <c r="O865" s="1" t="s">
        <v>18016</v>
      </c>
      <c r="P865" s="1" t="s">
        <v>17901</v>
      </c>
      <c r="Q865" s="1" t="s">
        <v>18017</v>
      </c>
      <c r="W865" s="1">
        <v>4.0</v>
      </c>
      <c r="X865" s="1">
        <v>1.0</v>
      </c>
      <c r="Y865" s="1">
        <v>3.0</v>
      </c>
      <c r="Z865" s="1">
        <v>7.0</v>
      </c>
      <c r="AA865" s="1">
        <v>3.0</v>
      </c>
      <c r="AB865" s="1">
        <v>1.0</v>
      </c>
      <c r="AC865" s="1">
        <v>3.0</v>
      </c>
      <c r="AD865" s="1">
        <v>1.0</v>
      </c>
      <c r="AE865" s="1">
        <v>1.0</v>
      </c>
      <c r="AF865" s="1">
        <v>2.0</v>
      </c>
      <c r="AG865" s="1">
        <v>1.0</v>
      </c>
      <c r="AH865" s="1">
        <v>3.0</v>
      </c>
      <c r="AI865" s="1">
        <v>0.0</v>
      </c>
      <c r="AK865" s="1" t="s">
        <v>18080</v>
      </c>
      <c r="AL865" s="1">
        <v>4.0</v>
      </c>
      <c r="AM865" s="1">
        <v>1.0</v>
      </c>
      <c r="AN865" s="1" t="s">
        <v>10629</v>
      </c>
      <c r="AO865" s="121">
        <v>8735.0</v>
      </c>
      <c r="AP865" s="1" t="s">
        <v>18081</v>
      </c>
      <c r="AQ865" s="1" t="s">
        <v>18082</v>
      </c>
      <c r="AR865" s="121">
        <v>865.0</v>
      </c>
    </row>
    <row r="866">
      <c r="A866" s="1" t="s">
        <v>18076</v>
      </c>
      <c r="B866" s="1" t="s">
        <v>6876</v>
      </c>
      <c r="C866" s="1" t="s">
        <v>6877</v>
      </c>
      <c r="D866" s="1" t="s">
        <v>8493</v>
      </c>
      <c r="E866" s="147">
        <v>43906.0</v>
      </c>
      <c r="F866" s="1" t="s">
        <v>18085</v>
      </c>
      <c r="G866" s="1">
        <v>58.0</v>
      </c>
      <c r="H866" s="1">
        <v>1.0</v>
      </c>
      <c r="I866" s="1">
        <v>7.0</v>
      </c>
      <c r="L866" s="1" t="s">
        <v>4876</v>
      </c>
      <c r="M866" s="1" t="s">
        <v>4876</v>
      </c>
      <c r="N866" s="1" t="s">
        <v>18089</v>
      </c>
      <c r="O866" s="1" t="s">
        <v>18090</v>
      </c>
      <c r="P866" s="1" t="s">
        <v>18091</v>
      </c>
      <c r="Q866" s="1" t="s">
        <v>18093</v>
      </c>
      <c r="W866" s="1">
        <v>4.0</v>
      </c>
      <c r="X866" s="1">
        <v>1.0</v>
      </c>
      <c r="Y866" s="1">
        <v>3.0</v>
      </c>
      <c r="Z866" s="1">
        <v>1.0</v>
      </c>
      <c r="AA866" s="1">
        <v>3.0</v>
      </c>
      <c r="AB866" s="1">
        <v>1.0</v>
      </c>
      <c r="AC866" s="1">
        <v>3.0</v>
      </c>
      <c r="AD866" s="1">
        <v>0.0</v>
      </c>
      <c r="AE866" s="1">
        <v>1.0</v>
      </c>
      <c r="AF866" s="1">
        <v>2.0</v>
      </c>
      <c r="AG866" s="1">
        <v>1.0</v>
      </c>
      <c r="AH866" s="1">
        <v>3.0</v>
      </c>
      <c r="AI866" s="1">
        <v>0.0</v>
      </c>
      <c r="AK866" s="1" t="s">
        <v>18095</v>
      </c>
      <c r="AL866" s="1">
        <v>4.0</v>
      </c>
      <c r="AM866" s="1">
        <v>1.0</v>
      </c>
      <c r="AN866" s="1" t="s">
        <v>10629</v>
      </c>
      <c r="AO866" s="121">
        <v>8736.0</v>
      </c>
      <c r="AP866" s="1" t="s">
        <v>18096</v>
      </c>
      <c r="AQ866" s="1" t="s">
        <v>18097</v>
      </c>
      <c r="AR866" s="121">
        <v>866.0</v>
      </c>
    </row>
    <row r="867">
      <c r="A867" s="1" t="s">
        <v>18085</v>
      </c>
      <c r="B867" s="1" t="s">
        <v>6876</v>
      </c>
      <c r="C867" s="1" t="s">
        <v>6877</v>
      </c>
      <c r="D867" s="1" t="s">
        <v>8493</v>
      </c>
      <c r="E867" s="147">
        <v>43906.0</v>
      </c>
      <c r="F867" s="1" t="s">
        <v>18100</v>
      </c>
      <c r="G867" s="1">
        <v>58.0</v>
      </c>
      <c r="H867" s="1">
        <v>1.0</v>
      </c>
      <c r="I867" s="1">
        <v>7.0</v>
      </c>
      <c r="L867" s="1" t="s">
        <v>4915</v>
      </c>
      <c r="M867" s="1" t="s">
        <v>4915</v>
      </c>
      <c r="N867" s="1" t="s">
        <v>18089</v>
      </c>
      <c r="O867" s="1" t="s">
        <v>18090</v>
      </c>
      <c r="P867" s="1" t="s">
        <v>18091</v>
      </c>
      <c r="Q867" s="1" t="s">
        <v>18093</v>
      </c>
      <c r="W867" s="1">
        <v>4.0</v>
      </c>
      <c r="X867" s="1">
        <v>1.0</v>
      </c>
      <c r="Y867" s="1">
        <v>3.0</v>
      </c>
      <c r="Z867" s="1">
        <v>0.0</v>
      </c>
      <c r="AA867" s="1">
        <v>3.0</v>
      </c>
      <c r="AB867" s="1">
        <v>1.0</v>
      </c>
      <c r="AC867" s="1">
        <v>3.0</v>
      </c>
      <c r="AD867" s="1">
        <v>0.0</v>
      </c>
      <c r="AE867" s="1">
        <v>1.0</v>
      </c>
      <c r="AF867" s="1">
        <v>2.0</v>
      </c>
      <c r="AG867" s="1">
        <v>1.0</v>
      </c>
      <c r="AH867" s="1">
        <v>3.0</v>
      </c>
      <c r="AI867" s="1">
        <v>0.0</v>
      </c>
      <c r="AK867" s="1" t="s">
        <v>18102</v>
      </c>
      <c r="AL867" s="1">
        <v>4.0</v>
      </c>
      <c r="AM867" s="1">
        <v>1.0</v>
      </c>
      <c r="AN867" s="1" t="s">
        <v>10629</v>
      </c>
      <c r="AO867" s="121">
        <v>8737.0</v>
      </c>
      <c r="AP867" s="1" t="s">
        <v>18103</v>
      </c>
      <c r="AQ867" s="1" t="s">
        <v>18105</v>
      </c>
      <c r="AR867" s="121">
        <v>867.0</v>
      </c>
    </row>
    <row r="868">
      <c r="A868" s="1" t="s">
        <v>18109</v>
      </c>
      <c r="B868" s="1" t="s">
        <v>6876</v>
      </c>
      <c r="C868" s="1" t="s">
        <v>6877</v>
      </c>
      <c r="D868" s="1" t="s">
        <v>8493</v>
      </c>
      <c r="E868" s="147">
        <v>43906.0</v>
      </c>
      <c r="F868" s="1" t="s">
        <v>18111</v>
      </c>
      <c r="G868" s="1">
        <v>58.0</v>
      </c>
      <c r="H868" s="1">
        <v>1.0</v>
      </c>
      <c r="I868" s="1">
        <v>99.0</v>
      </c>
      <c r="L868" s="1" t="s">
        <v>4785</v>
      </c>
      <c r="M868" s="1" t="s">
        <v>4785</v>
      </c>
      <c r="N868" s="1" t="s">
        <v>18089</v>
      </c>
      <c r="O868" s="1" t="s">
        <v>18090</v>
      </c>
      <c r="P868" s="1" t="s">
        <v>18091</v>
      </c>
      <c r="Q868" s="1" t="s">
        <v>18093</v>
      </c>
      <c r="W868" s="1">
        <v>7.0</v>
      </c>
      <c r="X868" s="1">
        <v>100.0</v>
      </c>
      <c r="Y868" s="1">
        <v>3.0</v>
      </c>
      <c r="Z868" s="1">
        <v>0.0</v>
      </c>
      <c r="AK868" s="1" t="s">
        <v>18113</v>
      </c>
      <c r="AL868" s="1">
        <v>4.0</v>
      </c>
      <c r="AM868" s="1">
        <v>1.0</v>
      </c>
      <c r="AN868" s="1" t="s">
        <v>10629</v>
      </c>
      <c r="AO868" s="121">
        <v>8738.0</v>
      </c>
      <c r="AP868" s="1" t="s">
        <v>18114</v>
      </c>
      <c r="AQ868" s="1" t="s">
        <v>18115</v>
      </c>
      <c r="AR868" s="121">
        <v>868.0</v>
      </c>
    </row>
    <row r="869">
      <c r="A869" s="1" t="s">
        <v>18111</v>
      </c>
      <c r="B869" s="1" t="s">
        <v>6876</v>
      </c>
      <c r="C869" s="1" t="s">
        <v>6877</v>
      </c>
      <c r="D869" s="1" t="s">
        <v>8493</v>
      </c>
      <c r="E869" s="147">
        <v>43906.0</v>
      </c>
      <c r="F869" s="1" t="s">
        <v>18117</v>
      </c>
      <c r="G869" s="1">
        <v>58.0</v>
      </c>
      <c r="H869" s="1">
        <v>1.0</v>
      </c>
      <c r="I869" s="1">
        <v>99.0</v>
      </c>
      <c r="L869" s="1" t="s">
        <v>4815</v>
      </c>
      <c r="M869" s="1" t="s">
        <v>4815</v>
      </c>
      <c r="N869" s="1" t="s">
        <v>18089</v>
      </c>
      <c r="O869" s="1" t="s">
        <v>18090</v>
      </c>
      <c r="P869" s="1" t="s">
        <v>18091</v>
      </c>
      <c r="Q869" s="1" t="s">
        <v>18093</v>
      </c>
      <c r="W869" s="1">
        <v>7.0</v>
      </c>
      <c r="X869" s="1">
        <v>100.0</v>
      </c>
      <c r="Y869" s="1">
        <v>3.0</v>
      </c>
      <c r="Z869" s="1">
        <v>0.0</v>
      </c>
      <c r="AK869" s="1" t="s">
        <v>18120</v>
      </c>
      <c r="AL869" s="1">
        <v>4.0</v>
      </c>
      <c r="AM869" s="1">
        <v>1.0</v>
      </c>
      <c r="AN869" s="1" t="s">
        <v>10629</v>
      </c>
      <c r="AO869" s="121">
        <v>8739.0</v>
      </c>
      <c r="AP869" s="1" t="s">
        <v>18121</v>
      </c>
      <c r="AQ869" s="1" t="s">
        <v>18122</v>
      </c>
      <c r="AR869" s="121">
        <v>869.0</v>
      </c>
    </row>
    <row r="870">
      <c r="A870" s="1" t="s">
        <v>18117</v>
      </c>
      <c r="B870" s="1" t="s">
        <v>6876</v>
      </c>
      <c r="C870" s="1" t="s">
        <v>6877</v>
      </c>
      <c r="D870" s="1" t="s">
        <v>8493</v>
      </c>
      <c r="E870" s="147">
        <v>43906.0</v>
      </c>
      <c r="F870" s="1" t="s">
        <v>18125</v>
      </c>
      <c r="G870" s="1">
        <v>33.0</v>
      </c>
      <c r="H870" s="1">
        <v>1.0</v>
      </c>
      <c r="I870" s="1">
        <v>98.0</v>
      </c>
      <c r="L870" s="1" t="s">
        <v>4971</v>
      </c>
      <c r="M870" s="1" t="s">
        <v>4971</v>
      </c>
      <c r="N870" s="1" t="s">
        <v>18089</v>
      </c>
      <c r="O870" s="1" t="s">
        <v>18090</v>
      </c>
      <c r="P870" s="1" t="s">
        <v>18091</v>
      </c>
      <c r="Q870" s="1" t="s">
        <v>18093</v>
      </c>
      <c r="W870" s="1">
        <v>7.0</v>
      </c>
      <c r="X870" s="1">
        <v>100.0</v>
      </c>
      <c r="Y870" s="1">
        <v>3.0</v>
      </c>
      <c r="Z870" s="1">
        <v>0.0</v>
      </c>
      <c r="AK870" s="1" t="s">
        <v>11376</v>
      </c>
      <c r="AL870" s="1">
        <v>4.0</v>
      </c>
      <c r="AM870" s="1">
        <v>1.0</v>
      </c>
      <c r="AN870" s="1" t="s">
        <v>10629</v>
      </c>
      <c r="AO870" s="121">
        <v>8740.0</v>
      </c>
      <c r="AP870" s="1" t="s">
        <v>18131</v>
      </c>
      <c r="AQ870" s="1" t="s">
        <v>18132</v>
      </c>
      <c r="AR870" s="121">
        <v>870.0</v>
      </c>
    </row>
    <row r="871">
      <c r="A871" s="1" t="s">
        <v>18125</v>
      </c>
      <c r="B871" s="1" t="s">
        <v>6876</v>
      </c>
      <c r="C871" s="1" t="s">
        <v>6877</v>
      </c>
      <c r="D871" s="1" t="s">
        <v>8493</v>
      </c>
      <c r="E871" s="147">
        <v>43906.0</v>
      </c>
      <c r="F871" s="1" t="s">
        <v>18133</v>
      </c>
      <c r="G871" s="1">
        <v>59.0</v>
      </c>
      <c r="H871" s="1">
        <v>1.0</v>
      </c>
      <c r="I871" s="1">
        <v>11.0</v>
      </c>
      <c r="L871" s="1" t="s">
        <v>4996</v>
      </c>
      <c r="M871" s="1" t="s">
        <v>4996</v>
      </c>
      <c r="N871" s="1" t="s">
        <v>18136</v>
      </c>
      <c r="O871" s="1" t="s">
        <v>18137</v>
      </c>
      <c r="P871" s="1" t="s">
        <v>18138</v>
      </c>
      <c r="Q871" s="1" t="s">
        <v>18139</v>
      </c>
      <c r="W871" s="1">
        <v>4.0</v>
      </c>
      <c r="X871" s="1">
        <v>1.0</v>
      </c>
      <c r="Y871" s="1">
        <v>3.0</v>
      </c>
      <c r="Z871" s="1">
        <v>9.0</v>
      </c>
      <c r="AA871" s="1">
        <v>3.0</v>
      </c>
      <c r="AB871" s="1">
        <v>1.0</v>
      </c>
      <c r="AC871" s="1">
        <v>3.0</v>
      </c>
      <c r="AD871" s="1">
        <v>2.0</v>
      </c>
      <c r="AE871" s="1">
        <v>1.0</v>
      </c>
      <c r="AF871" s="1">
        <v>2.0</v>
      </c>
      <c r="AG871" s="1">
        <v>1.0</v>
      </c>
      <c r="AH871" s="1">
        <v>3.0</v>
      </c>
      <c r="AI871" s="1">
        <v>0.0</v>
      </c>
      <c r="AK871" s="1" t="s">
        <v>18141</v>
      </c>
      <c r="AL871" s="1">
        <v>6.0</v>
      </c>
      <c r="AM871" s="1">
        <v>1.0</v>
      </c>
      <c r="AN871" s="1" t="s">
        <v>10629</v>
      </c>
      <c r="AO871" s="121">
        <v>8741.0</v>
      </c>
      <c r="AP871" s="1" t="s">
        <v>18142</v>
      </c>
      <c r="AQ871" s="1" t="s">
        <v>18143</v>
      </c>
      <c r="AR871" s="121">
        <v>871.0</v>
      </c>
    </row>
    <row r="872">
      <c r="A872" s="1" t="s">
        <v>18144</v>
      </c>
      <c r="B872" s="1" t="s">
        <v>6876</v>
      </c>
      <c r="C872" s="1" t="s">
        <v>6877</v>
      </c>
      <c r="D872" s="1" t="s">
        <v>8493</v>
      </c>
      <c r="E872" s="147">
        <v>43906.0</v>
      </c>
      <c r="F872" s="1" t="s">
        <v>18145</v>
      </c>
      <c r="G872" s="1">
        <v>59.0</v>
      </c>
      <c r="H872" s="1">
        <v>1.0</v>
      </c>
      <c r="I872" s="1">
        <v>99.0</v>
      </c>
      <c r="L872" s="1" t="s">
        <v>5009</v>
      </c>
      <c r="M872" s="1" t="s">
        <v>5009</v>
      </c>
      <c r="N872" s="1" t="s">
        <v>18136</v>
      </c>
      <c r="O872" s="1" t="s">
        <v>18137</v>
      </c>
      <c r="P872" s="1" t="s">
        <v>18138</v>
      </c>
      <c r="Q872" s="1" t="s">
        <v>18139</v>
      </c>
      <c r="W872" s="1">
        <v>7.0</v>
      </c>
      <c r="X872" s="1">
        <v>100.0</v>
      </c>
      <c r="Y872" s="1">
        <v>3.0</v>
      </c>
      <c r="Z872" s="1">
        <v>0.0</v>
      </c>
      <c r="AK872" s="1" t="s">
        <v>18149</v>
      </c>
      <c r="AL872" s="1">
        <v>6.0</v>
      </c>
      <c r="AM872" s="1">
        <v>1.0</v>
      </c>
      <c r="AN872" s="1" t="s">
        <v>10629</v>
      </c>
      <c r="AO872" s="121">
        <v>8742.0</v>
      </c>
      <c r="AP872" s="1" t="s">
        <v>18152</v>
      </c>
      <c r="AQ872" s="1" t="s">
        <v>18153</v>
      </c>
      <c r="AR872" s="121">
        <v>872.0</v>
      </c>
    </row>
    <row r="873">
      <c r="A873" s="1" t="s">
        <v>18145</v>
      </c>
      <c r="B873" s="1" t="s">
        <v>6876</v>
      </c>
      <c r="C873" s="1" t="s">
        <v>6877</v>
      </c>
      <c r="D873" s="1" t="s">
        <v>8493</v>
      </c>
      <c r="E873" s="147">
        <v>43906.0</v>
      </c>
      <c r="F873" s="1" t="s">
        <v>18155</v>
      </c>
      <c r="G873" s="1">
        <v>59.0</v>
      </c>
      <c r="H873" s="1">
        <v>1.0</v>
      </c>
      <c r="I873" s="1">
        <v>11.0</v>
      </c>
      <c r="L873" s="1" t="s">
        <v>5038</v>
      </c>
      <c r="M873" s="1" t="s">
        <v>5038</v>
      </c>
      <c r="N873" s="1" t="s">
        <v>18136</v>
      </c>
      <c r="O873" s="1" t="s">
        <v>18137</v>
      </c>
      <c r="P873" s="1" t="s">
        <v>18138</v>
      </c>
      <c r="Q873" s="1" t="s">
        <v>18139</v>
      </c>
      <c r="W873" s="1">
        <v>4.0</v>
      </c>
      <c r="X873" s="1">
        <v>1.0</v>
      </c>
      <c r="Y873" s="1">
        <v>3.0</v>
      </c>
      <c r="Z873" s="1">
        <v>6.0</v>
      </c>
      <c r="AA873" s="1">
        <v>3.0</v>
      </c>
      <c r="AB873" s="1">
        <v>1.0</v>
      </c>
      <c r="AC873" s="1">
        <v>3.0</v>
      </c>
      <c r="AD873" s="1">
        <v>1.0</v>
      </c>
      <c r="AE873" s="1">
        <v>1.0</v>
      </c>
      <c r="AF873" s="1">
        <v>2.0</v>
      </c>
      <c r="AG873" s="1">
        <v>1.0</v>
      </c>
      <c r="AH873" s="1">
        <v>3.0</v>
      </c>
      <c r="AI873" s="1">
        <v>0.0</v>
      </c>
      <c r="AK873" s="1" t="s">
        <v>18159</v>
      </c>
      <c r="AL873" s="1">
        <v>6.0</v>
      </c>
      <c r="AM873" s="1">
        <v>1.0</v>
      </c>
      <c r="AN873" s="1" t="s">
        <v>10629</v>
      </c>
      <c r="AO873" s="121">
        <v>8743.0</v>
      </c>
      <c r="AP873" s="1" t="s">
        <v>18160</v>
      </c>
      <c r="AQ873" s="1" t="s">
        <v>18162</v>
      </c>
      <c r="AR873" s="121">
        <v>873.0</v>
      </c>
    </row>
    <row r="874">
      <c r="A874" s="1" t="s">
        <v>18164</v>
      </c>
      <c r="B874" s="1" t="s">
        <v>6876</v>
      </c>
      <c r="C874" s="1" t="s">
        <v>6877</v>
      </c>
      <c r="D874" s="1" t="s">
        <v>8493</v>
      </c>
      <c r="E874" s="147">
        <v>43906.0</v>
      </c>
      <c r="F874" s="1" t="s">
        <v>18165</v>
      </c>
      <c r="G874" s="1">
        <v>59.0</v>
      </c>
      <c r="H874" s="1">
        <v>1.0</v>
      </c>
      <c r="I874" s="1">
        <v>99.0</v>
      </c>
      <c r="L874" s="1" t="s">
        <v>5051</v>
      </c>
      <c r="M874" s="1" t="s">
        <v>5051</v>
      </c>
      <c r="N874" s="1" t="s">
        <v>18136</v>
      </c>
      <c r="O874" s="1" t="s">
        <v>18137</v>
      </c>
      <c r="P874" s="1" t="s">
        <v>18138</v>
      </c>
      <c r="Q874" s="1" t="s">
        <v>18139</v>
      </c>
      <c r="W874" s="1">
        <v>7.0</v>
      </c>
      <c r="X874" s="1">
        <v>100.0</v>
      </c>
      <c r="Y874" s="1">
        <v>3.0</v>
      </c>
      <c r="Z874" s="1">
        <v>0.0</v>
      </c>
      <c r="AK874" s="1" t="s">
        <v>18167</v>
      </c>
      <c r="AL874" s="1">
        <v>6.0</v>
      </c>
      <c r="AM874" s="1">
        <v>1.0</v>
      </c>
      <c r="AN874" s="1" t="s">
        <v>10629</v>
      </c>
      <c r="AO874" s="121">
        <v>8744.0</v>
      </c>
      <c r="AP874" s="1" t="s">
        <v>18169</v>
      </c>
      <c r="AQ874" s="1" t="s">
        <v>18170</v>
      </c>
      <c r="AR874" s="121">
        <v>874.0</v>
      </c>
    </row>
    <row r="875">
      <c r="A875" s="1" t="s">
        <v>18172</v>
      </c>
      <c r="B875" s="1" t="s">
        <v>6876</v>
      </c>
      <c r="C875" s="1" t="s">
        <v>6877</v>
      </c>
      <c r="D875" s="1" t="s">
        <v>8493</v>
      </c>
      <c r="E875" s="147">
        <v>43906.0</v>
      </c>
      <c r="F875" s="1" t="s">
        <v>18174</v>
      </c>
      <c r="G875" s="1">
        <v>59.0</v>
      </c>
      <c r="H875" s="1">
        <v>1.0</v>
      </c>
      <c r="I875" s="1">
        <v>11.0</v>
      </c>
      <c r="L875" s="1" t="s">
        <v>5079</v>
      </c>
      <c r="M875" s="1" t="s">
        <v>5079</v>
      </c>
      <c r="N875" s="1" t="s">
        <v>18136</v>
      </c>
      <c r="O875" s="1" t="s">
        <v>18137</v>
      </c>
      <c r="P875" s="1" t="s">
        <v>18138</v>
      </c>
      <c r="Q875" s="1" t="s">
        <v>18139</v>
      </c>
      <c r="W875" s="1">
        <v>4.0</v>
      </c>
      <c r="X875" s="1">
        <v>1.0</v>
      </c>
      <c r="Y875" s="1">
        <v>3.0</v>
      </c>
      <c r="Z875" s="1">
        <v>1.0</v>
      </c>
      <c r="AA875" s="1">
        <v>3.0</v>
      </c>
      <c r="AB875" s="1">
        <v>1.0</v>
      </c>
      <c r="AC875" s="1">
        <v>3.0</v>
      </c>
      <c r="AD875" s="1">
        <v>0.0</v>
      </c>
      <c r="AE875" s="1">
        <v>1.0</v>
      </c>
      <c r="AF875" s="1">
        <v>2.0</v>
      </c>
      <c r="AG875" s="1">
        <v>1.0</v>
      </c>
      <c r="AH875" s="1">
        <v>3.0</v>
      </c>
      <c r="AI875" s="1">
        <v>0.0</v>
      </c>
      <c r="AK875" s="1" t="s">
        <v>18180</v>
      </c>
      <c r="AL875" s="1">
        <v>6.0</v>
      </c>
      <c r="AM875" s="1">
        <v>1.0</v>
      </c>
      <c r="AN875" s="1" t="s">
        <v>10629</v>
      </c>
      <c r="AO875" s="121">
        <v>8745.0</v>
      </c>
      <c r="AP875" s="1" t="s">
        <v>18184</v>
      </c>
      <c r="AQ875" s="1" t="s">
        <v>18185</v>
      </c>
      <c r="AR875" s="121">
        <v>875.0</v>
      </c>
    </row>
    <row r="876">
      <c r="A876" s="1" t="s">
        <v>18187</v>
      </c>
      <c r="B876" s="1" t="s">
        <v>6876</v>
      </c>
      <c r="C876" s="1" t="s">
        <v>6877</v>
      </c>
      <c r="D876" s="1" t="s">
        <v>8493</v>
      </c>
      <c r="E876" s="147">
        <v>43906.0</v>
      </c>
      <c r="F876" s="1" t="s">
        <v>18189</v>
      </c>
      <c r="G876" s="1">
        <v>59.0</v>
      </c>
      <c r="H876" s="1">
        <v>1.0</v>
      </c>
      <c r="I876" s="1">
        <v>99.0</v>
      </c>
      <c r="L876" s="1" t="s">
        <v>5098</v>
      </c>
      <c r="M876" s="1" t="s">
        <v>5098</v>
      </c>
      <c r="N876" s="1" t="s">
        <v>18136</v>
      </c>
      <c r="O876" s="1" t="s">
        <v>18137</v>
      </c>
      <c r="P876" s="1" t="s">
        <v>18138</v>
      </c>
      <c r="Q876" s="1" t="s">
        <v>18139</v>
      </c>
      <c r="W876" s="1">
        <v>7.0</v>
      </c>
      <c r="X876" s="1">
        <v>100.0</v>
      </c>
      <c r="Y876" s="1">
        <v>3.0</v>
      </c>
      <c r="Z876" s="1">
        <v>0.0</v>
      </c>
      <c r="AK876" s="1" t="s">
        <v>18190</v>
      </c>
      <c r="AL876" s="1">
        <v>6.0</v>
      </c>
      <c r="AM876" s="1">
        <v>1.0</v>
      </c>
      <c r="AN876" s="1" t="s">
        <v>10629</v>
      </c>
      <c r="AO876" s="121">
        <v>8746.0</v>
      </c>
      <c r="AP876" s="1" t="s">
        <v>18191</v>
      </c>
      <c r="AQ876" s="1" t="s">
        <v>18192</v>
      </c>
      <c r="AR876" s="121">
        <v>876.0</v>
      </c>
    </row>
    <row r="877">
      <c r="A877" s="1" t="s">
        <v>18189</v>
      </c>
      <c r="B877" s="1" t="s">
        <v>6876</v>
      </c>
      <c r="C877" s="1" t="s">
        <v>6877</v>
      </c>
      <c r="D877" s="1" t="s">
        <v>8493</v>
      </c>
      <c r="E877" s="147">
        <v>43906.0</v>
      </c>
      <c r="F877" s="1" t="s">
        <v>18196</v>
      </c>
      <c r="G877" s="1">
        <v>58.0</v>
      </c>
      <c r="H877" s="1">
        <v>2.0</v>
      </c>
      <c r="I877" s="1">
        <v>14.0</v>
      </c>
      <c r="J877" s="1">
        <v>141.0</v>
      </c>
      <c r="L877" s="1" t="s">
        <v>797</v>
      </c>
      <c r="M877" s="1" t="s">
        <v>797</v>
      </c>
      <c r="N877" s="1" t="s">
        <v>18136</v>
      </c>
      <c r="O877" s="1" t="s">
        <v>18137</v>
      </c>
      <c r="P877" s="1" t="s">
        <v>18138</v>
      </c>
      <c r="Q877" s="1" t="s">
        <v>18139</v>
      </c>
      <c r="W877" s="1">
        <v>6.0</v>
      </c>
      <c r="X877" s="1">
        <v>1.0</v>
      </c>
      <c r="Y877" s="1">
        <v>3.0</v>
      </c>
      <c r="Z877" s="1">
        <v>9.0</v>
      </c>
      <c r="AA877" s="1">
        <v>5.0</v>
      </c>
      <c r="AB877" s="1">
        <v>1.0</v>
      </c>
      <c r="AC877" s="1">
        <v>3.0</v>
      </c>
      <c r="AD877" s="1">
        <v>0.0</v>
      </c>
      <c r="AE877" s="1">
        <v>1.0</v>
      </c>
      <c r="AF877" s="1">
        <v>4.0</v>
      </c>
      <c r="AG877" s="1">
        <v>1.0</v>
      </c>
      <c r="AH877" s="1">
        <v>3.0</v>
      </c>
      <c r="AI877" s="1">
        <v>0.0</v>
      </c>
      <c r="AK877" s="1" t="s">
        <v>18199</v>
      </c>
      <c r="AL877" s="1">
        <v>6.0</v>
      </c>
      <c r="AM877" s="1">
        <v>1.0</v>
      </c>
      <c r="AN877" s="1" t="s">
        <v>10629</v>
      </c>
      <c r="AO877" s="121">
        <v>8747.0</v>
      </c>
      <c r="AP877" s="1" t="s">
        <v>18200</v>
      </c>
      <c r="AQ877" s="1" t="s">
        <v>18201</v>
      </c>
      <c r="AR877" s="121">
        <v>877.0</v>
      </c>
    </row>
    <row r="878">
      <c r="A878" s="1" t="s">
        <v>18202</v>
      </c>
      <c r="B878" s="1" t="s">
        <v>6876</v>
      </c>
      <c r="C878" s="1" t="s">
        <v>6877</v>
      </c>
      <c r="D878" s="1" t="s">
        <v>8493</v>
      </c>
      <c r="E878" s="147">
        <v>43906.0</v>
      </c>
      <c r="F878" s="1" t="s">
        <v>18206</v>
      </c>
      <c r="G878" s="1">
        <v>58.0</v>
      </c>
      <c r="H878" s="1">
        <v>2.0</v>
      </c>
      <c r="I878" s="1">
        <v>14.0</v>
      </c>
      <c r="J878" s="1">
        <v>142.0</v>
      </c>
      <c r="L878" s="1" t="s">
        <v>803</v>
      </c>
      <c r="M878" s="1" t="s">
        <v>803</v>
      </c>
      <c r="N878" s="1" t="s">
        <v>18136</v>
      </c>
      <c r="O878" s="1" t="s">
        <v>18137</v>
      </c>
      <c r="P878" s="1" t="s">
        <v>18138</v>
      </c>
      <c r="Q878" s="1" t="s">
        <v>18139</v>
      </c>
      <c r="W878" s="1">
        <v>7.0</v>
      </c>
      <c r="X878" s="1">
        <v>100.0</v>
      </c>
      <c r="Y878" s="1">
        <v>3.0</v>
      </c>
      <c r="Z878" s="1">
        <v>0.0</v>
      </c>
      <c r="AA878" s="1">
        <v>7.0</v>
      </c>
      <c r="AB878" s="1">
        <v>10.0</v>
      </c>
      <c r="AC878" s="1">
        <v>3.0</v>
      </c>
      <c r="AD878" s="1">
        <v>0.0</v>
      </c>
      <c r="AE878" s="1">
        <v>1.0</v>
      </c>
      <c r="AF878" s="1">
        <v>6.0</v>
      </c>
      <c r="AG878" s="1">
        <v>1.0</v>
      </c>
      <c r="AH878" s="1">
        <v>3.0</v>
      </c>
      <c r="AI878" s="1">
        <v>0.0</v>
      </c>
      <c r="AK878" s="1" t="s">
        <v>18212</v>
      </c>
      <c r="AL878" s="1">
        <v>4.0</v>
      </c>
      <c r="AM878" s="1">
        <v>1.0</v>
      </c>
      <c r="AN878" s="1" t="s">
        <v>10629</v>
      </c>
      <c r="AO878" s="121">
        <v>8748.0</v>
      </c>
      <c r="AP878" s="1" t="s">
        <v>18214</v>
      </c>
      <c r="AQ878" s="1" t="s">
        <v>18215</v>
      </c>
      <c r="AR878" s="121">
        <v>878.0</v>
      </c>
    </row>
    <row r="879">
      <c r="A879" s="1" t="s">
        <v>18216</v>
      </c>
      <c r="B879" s="1" t="s">
        <v>6876</v>
      </c>
      <c r="C879" s="1" t="s">
        <v>6877</v>
      </c>
      <c r="D879" s="1" t="s">
        <v>8493</v>
      </c>
      <c r="E879" s="147">
        <v>43906.0</v>
      </c>
      <c r="F879" s="1" t="s">
        <v>18217</v>
      </c>
      <c r="G879" s="1">
        <v>58.0</v>
      </c>
      <c r="H879" s="1">
        <v>2.0</v>
      </c>
      <c r="I879" s="1">
        <v>14.0</v>
      </c>
      <c r="J879" s="1">
        <v>143.0</v>
      </c>
      <c r="L879" s="1" t="s">
        <v>800</v>
      </c>
      <c r="M879" s="1" t="s">
        <v>800</v>
      </c>
      <c r="N879" s="1" t="s">
        <v>18136</v>
      </c>
      <c r="O879" s="1" t="s">
        <v>18137</v>
      </c>
      <c r="P879" s="1" t="s">
        <v>18138</v>
      </c>
      <c r="Q879" s="1" t="s">
        <v>18139</v>
      </c>
      <c r="W879" s="1">
        <v>6.0</v>
      </c>
      <c r="X879" s="1">
        <v>1.0</v>
      </c>
      <c r="Y879" s="1">
        <v>3.0</v>
      </c>
      <c r="Z879" s="1">
        <v>70.0</v>
      </c>
      <c r="AA879" s="1">
        <v>5.0</v>
      </c>
      <c r="AB879" s="1">
        <v>1.0</v>
      </c>
      <c r="AC879" s="1">
        <v>3.0</v>
      </c>
      <c r="AD879" s="1">
        <v>0.0</v>
      </c>
      <c r="AE879" s="1">
        <v>1.0</v>
      </c>
      <c r="AF879" s="1">
        <v>4.0</v>
      </c>
      <c r="AG879" s="1">
        <v>1.0</v>
      </c>
      <c r="AH879" s="1">
        <v>3.0</v>
      </c>
      <c r="AI879" s="1">
        <v>0.0</v>
      </c>
      <c r="AK879" s="1" t="s">
        <v>18223</v>
      </c>
      <c r="AL879" s="1">
        <v>6.0</v>
      </c>
      <c r="AM879" s="1">
        <v>1.0</v>
      </c>
      <c r="AN879" s="1" t="s">
        <v>10629</v>
      </c>
      <c r="AO879" s="121">
        <v>8749.0</v>
      </c>
      <c r="AP879" s="1" t="s">
        <v>18224</v>
      </c>
      <c r="AQ879" s="1" t="s">
        <v>18225</v>
      </c>
      <c r="AR879" s="121">
        <v>879.0</v>
      </c>
    </row>
    <row r="880">
      <c r="A880" s="1" t="s">
        <v>18226</v>
      </c>
      <c r="B880" s="1" t="s">
        <v>6876</v>
      </c>
      <c r="C880" s="1" t="s">
        <v>6877</v>
      </c>
      <c r="D880" s="1" t="s">
        <v>8493</v>
      </c>
      <c r="E880" s="147">
        <v>43906.0</v>
      </c>
      <c r="F880" s="1" t="s">
        <v>18228</v>
      </c>
      <c r="G880" s="1">
        <v>58.0</v>
      </c>
      <c r="H880" s="1">
        <v>2.0</v>
      </c>
      <c r="I880" s="1">
        <v>14.0</v>
      </c>
      <c r="J880" s="1">
        <v>144.0</v>
      </c>
      <c r="L880" s="1" t="s">
        <v>805</v>
      </c>
      <c r="M880" s="1" t="s">
        <v>805</v>
      </c>
      <c r="N880" s="1" t="s">
        <v>18136</v>
      </c>
      <c r="O880" s="1" t="s">
        <v>18137</v>
      </c>
      <c r="P880" s="1" t="s">
        <v>18138</v>
      </c>
      <c r="Q880" s="1" t="s">
        <v>18139</v>
      </c>
      <c r="W880" s="1">
        <v>7.0</v>
      </c>
      <c r="X880" s="1">
        <v>100.0</v>
      </c>
      <c r="Y880" s="1">
        <v>3.0</v>
      </c>
      <c r="Z880" s="1">
        <v>0.0</v>
      </c>
      <c r="AA880" s="1">
        <v>7.0</v>
      </c>
      <c r="AB880" s="1">
        <v>10.0</v>
      </c>
      <c r="AC880" s="1">
        <v>3.0</v>
      </c>
      <c r="AD880" s="1">
        <v>0.0</v>
      </c>
      <c r="AE880" s="1">
        <v>1.0</v>
      </c>
      <c r="AF880" s="1">
        <v>6.0</v>
      </c>
      <c r="AG880" s="1">
        <v>1.0</v>
      </c>
      <c r="AH880" s="1">
        <v>3.0</v>
      </c>
      <c r="AI880" s="1">
        <v>0.0</v>
      </c>
      <c r="AK880" s="1" t="s">
        <v>18232</v>
      </c>
      <c r="AL880" s="1">
        <v>4.0</v>
      </c>
      <c r="AM880" s="1">
        <v>1.0</v>
      </c>
      <c r="AN880" s="1" t="s">
        <v>10629</v>
      </c>
      <c r="AO880" s="121">
        <v>8750.0</v>
      </c>
      <c r="AP880" s="1" t="s">
        <v>18235</v>
      </c>
      <c r="AQ880" s="1" t="s">
        <v>18236</v>
      </c>
      <c r="AR880" s="121">
        <v>880.0</v>
      </c>
    </row>
    <row r="881">
      <c r="A881" s="1" t="s">
        <v>18228</v>
      </c>
      <c r="B881" s="1" t="s">
        <v>6876</v>
      </c>
      <c r="C881" s="1" t="s">
        <v>6877</v>
      </c>
      <c r="D881" s="1" t="s">
        <v>8493</v>
      </c>
      <c r="E881" s="147">
        <v>43906.0</v>
      </c>
      <c r="F881" s="1" t="s">
        <v>18241</v>
      </c>
      <c r="G881" s="1">
        <v>58.0</v>
      </c>
      <c r="H881" s="1">
        <v>2.0</v>
      </c>
      <c r="I881" s="1">
        <v>14.0</v>
      </c>
      <c r="J881" s="1">
        <v>145.0</v>
      </c>
      <c r="L881" s="1" t="s">
        <v>807</v>
      </c>
      <c r="M881" s="1" t="s">
        <v>807</v>
      </c>
      <c r="N881" s="1" t="s">
        <v>18136</v>
      </c>
      <c r="O881" s="1" t="s">
        <v>18137</v>
      </c>
      <c r="P881" s="1" t="s">
        <v>18138</v>
      </c>
      <c r="Q881" s="1" t="s">
        <v>18139</v>
      </c>
      <c r="W881" s="1">
        <v>7.0</v>
      </c>
      <c r="X881" s="1">
        <v>100.0</v>
      </c>
      <c r="Y881" s="1">
        <v>3.0</v>
      </c>
      <c r="Z881" s="1">
        <v>0.0</v>
      </c>
      <c r="AA881" s="1">
        <v>7.0</v>
      </c>
      <c r="AB881" s="1">
        <v>10.0</v>
      </c>
      <c r="AC881" s="1">
        <v>3.0</v>
      </c>
      <c r="AD881" s="1">
        <v>0.0</v>
      </c>
      <c r="AE881" s="1">
        <v>1.0</v>
      </c>
      <c r="AF881" s="1">
        <v>6.0</v>
      </c>
      <c r="AG881" s="1">
        <v>1.0</v>
      </c>
      <c r="AH881" s="1">
        <v>3.0</v>
      </c>
      <c r="AI881" s="1">
        <v>0.0</v>
      </c>
      <c r="AK881" s="1" t="s">
        <v>18246</v>
      </c>
      <c r="AL881" s="1">
        <v>4.0</v>
      </c>
      <c r="AM881" s="1">
        <v>1.0</v>
      </c>
      <c r="AN881" s="1" t="s">
        <v>10629</v>
      </c>
      <c r="AO881" s="121">
        <v>8751.0</v>
      </c>
      <c r="AP881" s="1" t="s">
        <v>18247</v>
      </c>
      <c r="AQ881" s="1" t="s">
        <v>18249</v>
      </c>
      <c r="AR881" s="121">
        <v>881.0</v>
      </c>
    </row>
    <row r="882">
      <c r="A882" s="1" t="s">
        <v>18241</v>
      </c>
      <c r="B882" s="1" t="s">
        <v>6876</v>
      </c>
      <c r="C882" s="1" t="s">
        <v>6877</v>
      </c>
      <c r="D882" s="1" t="s">
        <v>8493</v>
      </c>
      <c r="E882" s="147">
        <v>43906.0</v>
      </c>
      <c r="F882" s="1" t="s">
        <v>18252</v>
      </c>
      <c r="G882" s="1">
        <v>58.0</v>
      </c>
      <c r="H882" s="1">
        <v>2.0</v>
      </c>
      <c r="I882" s="1">
        <v>99.0</v>
      </c>
      <c r="L882" s="1" t="s">
        <v>5311</v>
      </c>
      <c r="M882" s="1" t="s">
        <v>5311</v>
      </c>
      <c r="N882" s="1" t="s">
        <v>18136</v>
      </c>
      <c r="O882" s="1" t="s">
        <v>18137</v>
      </c>
      <c r="P882" s="1" t="s">
        <v>18138</v>
      </c>
      <c r="Q882" s="1" t="s">
        <v>18139</v>
      </c>
      <c r="W882" s="1">
        <v>7.0</v>
      </c>
      <c r="X882" s="1">
        <v>100.0</v>
      </c>
      <c r="Y882" s="1">
        <v>3.0</v>
      </c>
      <c r="Z882" s="1">
        <v>0.0</v>
      </c>
      <c r="AK882" s="1" t="s">
        <v>18254</v>
      </c>
      <c r="AL882" s="1">
        <v>4.0</v>
      </c>
      <c r="AM882" s="1">
        <v>1.0</v>
      </c>
      <c r="AN882" s="1" t="s">
        <v>10629</v>
      </c>
      <c r="AO882" s="121">
        <v>8752.0</v>
      </c>
      <c r="AP882" s="1" t="s">
        <v>18255</v>
      </c>
      <c r="AQ882" s="1" t="s">
        <v>18256</v>
      </c>
      <c r="AR882" s="121">
        <v>882.0</v>
      </c>
    </row>
    <row r="883">
      <c r="A883" s="1" t="s">
        <v>18257</v>
      </c>
      <c r="B883" s="1" t="s">
        <v>6876</v>
      </c>
      <c r="C883" s="1" t="s">
        <v>6877</v>
      </c>
      <c r="D883" s="1" t="s">
        <v>8493</v>
      </c>
      <c r="E883" s="147">
        <v>43906.0</v>
      </c>
      <c r="F883" s="1" t="s">
        <v>18258</v>
      </c>
      <c r="G883" s="1">
        <v>33.0</v>
      </c>
      <c r="H883" s="1">
        <v>1.0</v>
      </c>
      <c r="I883" s="1">
        <v>98.0</v>
      </c>
      <c r="L883" s="1" t="s">
        <v>5332</v>
      </c>
      <c r="M883" s="1" t="s">
        <v>5332</v>
      </c>
      <c r="N883" s="1" t="s">
        <v>18136</v>
      </c>
      <c r="O883" s="1" t="s">
        <v>18137</v>
      </c>
      <c r="P883" s="1" t="s">
        <v>18138</v>
      </c>
      <c r="Q883" s="1" t="s">
        <v>18139</v>
      </c>
      <c r="W883" s="1">
        <v>7.0</v>
      </c>
      <c r="X883" s="1">
        <v>100.0</v>
      </c>
      <c r="Y883" s="1">
        <v>3.0</v>
      </c>
      <c r="Z883" s="1">
        <v>0.0</v>
      </c>
      <c r="AK883" s="1" t="s">
        <v>11376</v>
      </c>
      <c r="AL883" s="1">
        <v>4.0</v>
      </c>
      <c r="AM883" s="1">
        <v>1.0</v>
      </c>
      <c r="AN883" s="1" t="s">
        <v>10629</v>
      </c>
      <c r="AO883" s="121">
        <v>8753.0</v>
      </c>
      <c r="AP883" s="1" t="s">
        <v>18265</v>
      </c>
      <c r="AQ883" s="1" t="s">
        <v>18266</v>
      </c>
      <c r="AR883" s="121">
        <v>883.0</v>
      </c>
    </row>
    <row r="884">
      <c r="A884" s="1" t="s">
        <v>18258</v>
      </c>
      <c r="B884" s="1" t="s">
        <v>6876</v>
      </c>
      <c r="C884" s="1" t="s">
        <v>6877</v>
      </c>
      <c r="D884" s="1" t="s">
        <v>8493</v>
      </c>
      <c r="E884" s="147">
        <v>43906.0</v>
      </c>
      <c r="F884" s="1" t="s">
        <v>18267</v>
      </c>
      <c r="G884" s="1">
        <v>33.0</v>
      </c>
      <c r="H884" s="1">
        <v>1.0</v>
      </c>
      <c r="I884" s="1">
        <v>98.0</v>
      </c>
      <c r="L884" s="1" t="s">
        <v>5430</v>
      </c>
      <c r="M884" s="1" t="s">
        <v>5430</v>
      </c>
      <c r="N884" s="1" t="s">
        <v>18269</v>
      </c>
      <c r="O884" s="1" t="s">
        <v>18271</v>
      </c>
      <c r="P884" s="1" t="s">
        <v>18273</v>
      </c>
      <c r="Q884" s="1" t="s">
        <v>18274</v>
      </c>
      <c r="W884" s="1">
        <v>7.0</v>
      </c>
      <c r="X884" s="1">
        <v>100.0</v>
      </c>
      <c r="Y884" s="1">
        <v>3.0</v>
      </c>
      <c r="Z884" s="1">
        <v>0.0</v>
      </c>
      <c r="AK884" s="1" t="s">
        <v>11376</v>
      </c>
      <c r="AL884" s="1">
        <v>6.0</v>
      </c>
      <c r="AM884" s="1">
        <v>1.0</v>
      </c>
      <c r="AN884" s="1" t="s">
        <v>10629</v>
      </c>
      <c r="AO884" s="121">
        <v>8754.0</v>
      </c>
      <c r="AP884" s="1" t="s">
        <v>18276</v>
      </c>
      <c r="AQ884" s="1" t="s">
        <v>18277</v>
      </c>
      <c r="AR884" s="121">
        <v>884.0</v>
      </c>
    </row>
    <row r="885">
      <c r="A885" s="1" t="s">
        <v>18278</v>
      </c>
      <c r="B885" s="1" t="s">
        <v>6876</v>
      </c>
      <c r="C885" s="1" t="s">
        <v>6877</v>
      </c>
      <c r="D885" s="1" t="s">
        <v>8493</v>
      </c>
      <c r="E885" s="147">
        <v>43906.0</v>
      </c>
      <c r="F885" s="1" t="s">
        <v>18279</v>
      </c>
      <c r="G885" s="1">
        <v>59.0</v>
      </c>
      <c r="H885" s="1">
        <v>1.0</v>
      </c>
      <c r="I885" s="1">
        <v>11.0</v>
      </c>
      <c r="L885" s="1" t="s">
        <v>5350</v>
      </c>
      <c r="M885" s="1" t="s">
        <v>5350</v>
      </c>
      <c r="N885" s="1" t="s">
        <v>18269</v>
      </c>
      <c r="O885" s="1" t="s">
        <v>18271</v>
      </c>
      <c r="P885" s="1" t="s">
        <v>18273</v>
      </c>
      <c r="Q885" s="1" t="s">
        <v>18274</v>
      </c>
      <c r="W885" s="1">
        <v>4.0</v>
      </c>
      <c r="X885" s="1">
        <v>1.0</v>
      </c>
      <c r="Y885" s="1">
        <v>3.0</v>
      </c>
      <c r="Z885" s="1">
        <v>62.0</v>
      </c>
      <c r="AA885" s="1">
        <v>3.0</v>
      </c>
      <c r="AB885" s="1">
        <v>1.0</v>
      </c>
      <c r="AC885" s="1">
        <v>3.0</v>
      </c>
      <c r="AD885" s="1">
        <v>1.0</v>
      </c>
      <c r="AE885" s="1">
        <v>1.0</v>
      </c>
      <c r="AF885" s="1">
        <v>2.0</v>
      </c>
      <c r="AG885" s="1">
        <v>1.0</v>
      </c>
      <c r="AH885" s="1">
        <v>3.0</v>
      </c>
      <c r="AI885" s="1">
        <v>1.0</v>
      </c>
      <c r="AK885" s="1" t="s">
        <v>18286</v>
      </c>
      <c r="AL885" s="1">
        <v>6.0</v>
      </c>
      <c r="AM885" s="1">
        <v>1.0</v>
      </c>
      <c r="AN885" s="1" t="s">
        <v>10629</v>
      </c>
      <c r="AO885" s="121">
        <v>8755.0</v>
      </c>
      <c r="AP885" s="1" t="s">
        <v>18287</v>
      </c>
      <c r="AQ885" s="1" t="s">
        <v>18288</v>
      </c>
      <c r="AR885" s="121">
        <v>885.0</v>
      </c>
    </row>
    <row r="886">
      <c r="A886" s="1" t="s">
        <v>18289</v>
      </c>
      <c r="B886" s="1" t="s">
        <v>6876</v>
      </c>
      <c r="C886" s="1" t="s">
        <v>6877</v>
      </c>
      <c r="D886" s="1" t="s">
        <v>8493</v>
      </c>
      <c r="E886" s="147">
        <v>43906.0</v>
      </c>
      <c r="F886" s="1" t="s">
        <v>18292</v>
      </c>
      <c r="G886" s="1">
        <v>59.0</v>
      </c>
      <c r="H886" s="1">
        <v>1.0</v>
      </c>
      <c r="I886" s="1">
        <v>99.0</v>
      </c>
      <c r="L886" s="1" t="s">
        <v>5363</v>
      </c>
      <c r="M886" s="1" t="s">
        <v>5363</v>
      </c>
      <c r="N886" s="1" t="s">
        <v>18269</v>
      </c>
      <c r="O886" s="1" t="s">
        <v>18271</v>
      </c>
      <c r="P886" s="1" t="s">
        <v>18273</v>
      </c>
      <c r="Q886" s="1" t="s">
        <v>18274</v>
      </c>
      <c r="W886" s="1">
        <v>7.0</v>
      </c>
      <c r="X886" s="1">
        <v>100.0</v>
      </c>
      <c r="Y886" s="1">
        <v>3.0</v>
      </c>
      <c r="Z886" s="1">
        <v>0.0</v>
      </c>
      <c r="AK886" s="1" t="s">
        <v>18294</v>
      </c>
      <c r="AL886" s="1">
        <v>6.0</v>
      </c>
      <c r="AM886" s="1">
        <v>1.0</v>
      </c>
      <c r="AN886" s="1" t="s">
        <v>10629</v>
      </c>
      <c r="AO886" s="121">
        <v>8756.0</v>
      </c>
      <c r="AP886" s="1" t="s">
        <v>18295</v>
      </c>
      <c r="AQ886" s="1" t="s">
        <v>18297</v>
      </c>
      <c r="AR886" s="121">
        <v>886.0</v>
      </c>
    </row>
    <row r="887">
      <c r="A887" s="1" t="s">
        <v>18299</v>
      </c>
      <c r="B887" s="1" t="s">
        <v>6876</v>
      </c>
      <c r="C887" s="1" t="s">
        <v>6877</v>
      </c>
      <c r="D887" s="1" t="s">
        <v>8493</v>
      </c>
      <c r="E887" s="147">
        <v>43906.0</v>
      </c>
      <c r="F887" s="1" t="s">
        <v>18301</v>
      </c>
      <c r="G887" s="1">
        <v>59.0</v>
      </c>
      <c r="H887" s="1">
        <v>1.0</v>
      </c>
      <c r="I887" s="1">
        <v>11.0</v>
      </c>
      <c r="L887" s="1" t="s">
        <v>5378</v>
      </c>
      <c r="M887" s="1" t="s">
        <v>5378</v>
      </c>
      <c r="N887" s="1" t="s">
        <v>18269</v>
      </c>
      <c r="O887" s="1" t="s">
        <v>18271</v>
      </c>
      <c r="P887" s="1" t="s">
        <v>18273</v>
      </c>
      <c r="Q887" s="1" t="s">
        <v>18274</v>
      </c>
      <c r="W887" s="1">
        <v>4.0</v>
      </c>
      <c r="X887" s="1">
        <v>1.0</v>
      </c>
      <c r="Y887" s="1">
        <v>3.0</v>
      </c>
      <c r="Z887" s="1">
        <v>142.0</v>
      </c>
      <c r="AA887" s="1">
        <v>3.0</v>
      </c>
      <c r="AB887" s="1">
        <v>1.0</v>
      </c>
      <c r="AC887" s="1">
        <v>3.0</v>
      </c>
      <c r="AD887" s="1">
        <v>18.0</v>
      </c>
      <c r="AE887" s="1">
        <v>1.0</v>
      </c>
      <c r="AF887" s="1">
        <v>2.0</v>
      </c>
      <c r="AG887" s="1">
        <v>1.0</v>
      </c>
      <c r="AH887" s="1">
        <v>3.0</v>
      </c>
      <c r="AI887" s="1">
        <v>0.0</v>
      </c>
      <c r="AK887" s="1" t="s">
        <v>18307</v>
      </c>
      <c r="AL887" s="1">
        <v>6.0</v>
      </c>
      <c r="AM887" s="1">
        <v>1.0</v>
      </c>
      <c r="AN887" s="1" t="s">
        <v>10629</v>
      </c>
      <c r="AO887" s="121">
        <v>8757.0</v>
      </c>
      <c r="AP887" s="1" t="s">
        <v>18308</v>
      </c>
      <c r="AQ887" s="1" t="s">
        <v>18311</v>
      </c>
      <c r="AR887" s="121">
        <v>887.0</v>
      </c>
    </row>
    <row r="888">
      <c r="A888" s="1" t="s">
        <v>18312</v>
      </c>
      <c r="B888" s="1" t="s">
        <v>6876</v>
      </c>
      <c r="C888" s="1" t="s">
        <v>6877</v>
      </c>
      <c r="D888" s="1" t="s">
        <v>8493</v>
      </c>
      <c r="E888" s="147">
        <v>43906.0</v>
      </c>
      <c r="F888" s="1" t="s">
        <v>18313</v>
      </c>
      <c r="G888" s="1">
        <v>59.0</v>
      </c>
      <c r="H888" s="1">
        <v>1.0</v>
      </c>
      <c r="I888" s="1">
        <v>99.0</v>
      </c>
      <c r="L888" s="1" t="s">
        <v>5393</v>
      </c>
      <c r="M888" s="1" t="s">
        <v>5393</v>
      </c>
      <c r="N888" s="1" t="s">
        <v>18269</v>
      </c>
      <c r="O888" s="1" t="s">
        <v>18271</v>
      </c>
      <c r="P888" s="1" t="s">
        <v>18273</v>
      </c>
      <c r="Q888" s="1" t="s">
        <v>18274</v>
      </c>
      <c r="W888" s="1">
        <v>7.0</v>
      </c>
      <c r="X888" s="1">
        <v>100.0</v>
      </c>
      <c r="Y888" s="1">
        <v>3.0</v>
      </c>
      <c r="Z888" s="1">
        <v>0.0</v>
      </c>
      <c r="AK888" s="1" t="s">
        <v>18319</v>
      </c>
      <c r="AL888" s="1">
        <v>6.0</v>
      </c>
      <c r="AM888" s="1">
        <v>1.0</v>
      </c>
      <c r="AN888" s="1" t="s">
        <v>10629</v>
      </c>
      <c r="AO888" s="121">
        <v>8758.0</v>
      </c>
      <c r="AP888" s="1" t="s">
        <v>18320</v>
      </c>
      <c r="AQ888" s="1" t="s">
        <v>18321</v>
      </c>
      <c r="AR888" s="121">
        <v>888.0</v>
      </c>
    </row>
    <row r="889">
      <c r="A889" s="1" t="s">
        <v>18322</v>
      </c>
      <c r="B889" s="1" t="s">
        <v>6876</v>
      </c>
      <c r="C889" s="1" t="s">
        <v>6877</v>
      </c>
      <c r="D889" s="1" t="s">
        <v>8493</v>
      </c>
      <c r="E889" s="147">
        <v>43906.0</v>
      </c>
      <c r="F889" s="1" t="s">
        <v>18325</v>
      </c>
      <c r="G889" s="1">
        <v>59.0</v>
      </c>
      <c r="H889" s="1">
        <v>1.0</v>
      </c>
      <c r="I889" s="1">
        <v>11.0</v>
      </c>
      <c r="L889" s="1" t="s">
        <v>5406</v>
      </c>
      <c r="M889" s="1" t="s">
        <v>5406</v>
      </c>
      <c r="N889" s="1" t="s">
        <v>18269</v>
      </c>
      <c r="O889" s="1" t="s">
        <v>18271</v>
      </c>
      <c r="P889" s="1" t="s">
        <v>18273</v>
      </c>
      <c r="Q889" s="1" t="s">
        <v>18274</v>
      </c>
      <c r="W889" s="1">
        <v>4.0</v>
      </c>
      <c r="X889" s="1">
        <v>1.0</v>
      </c>
      <c r="Y889" s="1">
        <v>3.0</v>
      </c>
      <c r="Z889" s="1">
        <v>41.0</v>
      </c>
      <c r="AA889" s="1">
        <v>3.0</v>
      </c>
      <c r="AB889" s="1">
        <v>1.0</v>
      </c>
      <c r="AC889" s="1">
        <v>3.0</v>
      </c>
      <c r="AD889" s="1">
        <v>1.0</v>
      </c>
      <c r="AE889" s="1">
        <v>1.0</v>
      </c>
      <c r="AF889" s="1">
        <v>2.0</v>
      </c>
      <c r="AG889" s="1">
        <v>1.0</v>
      </c>
      <c r="AH889" s="1">
        <v>3.0</v>
      </c>
      <c r="AI889" s="1">
        <v>1.0</v>
      </c>
      <c r="AK889" s="1" t="s">
        <v>18329</v>
      </c>
      <c r="AL889" s="1">
        <v>6.0</v>
      </c>
      <c r="AM889" s="1">
        <v>1.0</v>
      </c>
      <c r="AN889" s="1" t="s">
        <v>10629</v>
      </c>
      <c r="AO889" s="121">
        <v>8759.0</v>
      </c>
      <c r="AP889" s="1" t="s">
        <v>18332</v>
      </c>
      <c r="AQ889" s="1" t="s">
        <v>18333</v>
      </c>
      <c r="AR889" s="121">
        <v>889.0</v>
      </c>
    </row>
    <row r="890">
      <c r="A890" s="1" t="s">
        <v>18325</v>
      </c>
      <c r="B890" s="1" t="s">
        <v>6876</v>
      </c>
      <c r="C890" s="1" t="s">
        <v>6877</v>
      </c>
      <c r="D890" s="1" t="s">
        <v>8493</v>
      </c>
      <c r="E890" s="147">
        <v>43906.0</v>
      </c>
      <c r="F890" s="1" t="s">
        <v>18337</v>
      </c>
      <c r="G890" s="1">
        <v>59.0</v>
      </c>
      <c r="H890" s="1">
        <v>1.0</v>
      </c>
      <c r="I890" s="1">
        <v>99.0</v>
      </c>
      <c r="L890" s="1" t="s">
        <v>5417</v>
      </c>
      <c r="M890" s="1" t="s">
        <v>5417</v>
      </c>
      <c r="N890" s="1" t="s">
        <v>18269</v>
      </c>
      <c r="O890" s="1" t="s">
        <v>18271</v>
      </c>
      <c r="P890" s="1" t="s">
        <v>18273</v>
      </c>
      <c r="Q890" s="1" t="s">
        <v>18274</v>
      </c>
      <c r="W890" s="1">
        <v>7.0</v>
      </c>
      <c r="X890" s="1">
        <v>100.0</v>
      </c>
      <c r="Y890" s="1">
        <v>3.0</v>
      </c>
      <c r="Z890" s="1">
        <v>0.0</v>
      </c>
      <c r="AK890" s="1" t="s">
        <v>18342</v>
      </c>
      <c r="AL890" s="1">
        <v>6.0</v>
      </c>
      <c r="AM890" s="1">
        <v>1.0</v>
      </c>
      <c r="AN890" s="1" t="s">
        <v>10629</v>
      </c>
      <c r="AO890" s="121">
        <v>8760.0</v>
      </c>
      <c r="AP890" s="1" t="s">
        <v>18343</v>
      </c>
      <c r="AQ890" s="1" t="s">
        <v>18344</v>
      </c>
      <c r="AR890" s="121">
        <v>890.0</v>
      </c>
    </row>
    <row r="891">
      <c r="A891" s="1" t="s">
        <v>18337</v>
      </c>
      <c r="B891" s="1" t="s">
        <v>6876</v>
      </c>
      <c r="C891" s="1" t="s">
        <v>6877</v>
      </c>
      <c r="D891" s="1" t="s">
        <v>8493</v>
      </c>
      <c r="E891" s="147">
        <v>43906.0</v>
      </c>
      <c r="F891" s="1" t="s">
        <v>18347</v>
      </c>
      <c r="G891" s="1">
        <v>57.0</v>
      </c>
      <c r="H891" s="1">
        <v>1.0</v>
      </c>
      <c r="I891" s="1">
        <v>16.0</v>
      </c>
      <c r="L891" s="1" t="s">
        <v>5577</v>
      </c>
      <c r="M891" s="1" t="s">
        <v>5577</v>
      </c>
      <c r="N891" s="1" t="s">
        <v>18352</v>
      </c>
      <c r="O891" s="1" t="s">
        <v>18353</v>
      </c>
      <c r="P891" s="1" t="s">
        <v>18354</v>
      </c>
      <c r="Q891" s="1" t="s">
        <v>18356</v>
      </c>
      <c r="W891" s="1">
        <v>4.0</v>
      </c>
      <c r="X891" s="1">
        <v>1.0</v>
      </c>
      <c r="Y891" s="1">
        <v>3.0</v>
      </c>
      <c r="Z891" s="1">
        <v>25.0</v>
      </c>
      <c r="AA891" s="1">
        <v>3.0</v>
      </c>
      <c r="AB891" s="1">
        <v>1.0</v>
      </c>
      <c r="AC891" s="1">
        <v>3.0</v>
      </c>
      <c r="AD891" s="1">
        <v>0.0</v>
      </c>
      <c r="AE891" s="1">
        <v>1.0</v>
      </c>
      <c r="AF891" s="1">
        <v>2.0</v>
      </c>
      <c r="AG891" s="1">
        <v>1.0</v>
      </c>
      <c r="AH891" s="1">
        <v>3.0</v>
      </c>
      <c r="AI891" s="1">
        <v>0.0</v>
      </c>
      <c r="AK891" s="1" t="s">
        <v>18358</v>
      </c>
      <c r="AL891" s="1">
        <v>4.0</v>
      </c>
      <c r="AM891" s="1">
        <v>1.0</v>
      </c>
      <c r="AN891" s="1" t="s">
        <v>10629</v>
      </c>
      <c r="AO891" s="121">
        <v>8761.0</v>
      </c>
      <c r="AP891" s="1" t="s">
        <v>18360</v>
      </c>
      <c r="AQ891" s="1" t="s">
        <v>18362</v>
      </c>
      <c r="AR891" s="121">
        <v>891.0</v>
      </c>
    </row>
    <row r="892">
      <c r="A892" s="1" t="s">
        <v>18347</v>
      </c>
      <c r="B892" s="1" t="s">
        <v>6876</v>
      </c>
      <c r="C892" s="1" t="s">
        <v>6877</v>
      </c>
      <c r="D892" s="1" t="s">
        <v>8493</v>
      </c>
      <c r="E892" s="147">
        <v>43906.0</v>
      </c>
      <c r="F892" s="1" t="s">
        <v>18364</v>
      </c>
      <c r="G892" s="1">
        <v>58.0</v>
      </c>
      <c r="H892" s="1">
        <v>2.0</v>
      </c>
      <c r="I892" s="1">
        <v>9.0</v>
      </c>
      <c r="L892" s="1" t="s">
        <v>3427</v>
      </c>
      <c r="M892" s="1" t="s">
        <v>3427</v>
      </c>
      <c r="N892" s="1" t="s">
        <v>18352</v>
      </c>
      <c r="O892" s="1" t="s">
        <v>18353</v>
      </c>
      <c r="P892" s="1" t="s">
        <v>18354</v>
      </c>
      <c r="Q892" s="1" t="s">
        <v>18356</v>
      </c>
      <c r="W892" s="1">
        <v>7.0</v>
      </c>
      <c r="X892" s="1">
        <v>100.0</v>
      </c>
      <c r="Y892" s="1">
        <v>3.0</v>
      </c>
      <c r="Z892" s="1">
        <v>0.0</v>
      </c>
      <c r="AA892" s="1">
        <v>7.0</v>
      </c>
      <c r="AB892" s="1">
        <v>10.0</v>
      </c>
      <c r="AC892" s="1">
        <v>3.0</v>
      </c>
      <c r="AD892" s="1">
        <v>0.0</v>
      </c>
      <c r="AE892" s="1">
        <v>0.0</v>
      </c>
      <c r="AK892" s="1" t="s">
        <v>18366</v>
      </c>
      <c r="AL892" s="1">
        <v>6.0</v>
      </c>
      <c r="AM892" s="1">
        <v>1.0</v>
      </c>
      <c r="AN892" s="1" t="s">
        <v>10629</v>
      </c>
      <c r="AO892" s="121">
        <v>8762.0</v>
      </c>
      <c r="AP892" s="1" t="s">
        <v>18369</v>
      </c>
      <c r="AQ892" s="1" t="s">
        <v>18370</v>
      </c>
      <c r="AR892" s="121">
        <v>892.0</v>
      </c>
    </row>
    <row r="893">
      <c r="A893" s="1" t="s">
        <v>18364</v>
      </c>
      <c r="B893" s="1" t="s">
        <v>6876</v>
      </c>
      <c r="C893" s="1" t="s">
        <v>6877</v>
      </c>
      <c r="D893" s="1" t="s">
        <v>8493</v>
      </c>
      <c r="E893" s="147">
        <v>43906.0</v>
      </c>
      <c r="F893" s="1" t="s">
        <v>18372</v>
      </c>
      <c r="G893" s="1">
        <v>58.0</v>
      </c>
      <c r="H893" s="1">
        <v>1.0</v>
      </c>
      <c r="I893" s="1">
        <v>99.0</v>
      </c>
      <c r="L893" s="1" t="s">
        <v>3435</v>
      </c>
      <c r="M893" s="1" t="s">
        <v>3435</v>
      </c>
      <c r="N893" s="1" t="s">
        <v>18352</v>
      </c>
      <c r="O893" s="1" t="s">
        <v>18353</v>
      </c>
      <c r="P893" s="1" t="s">
        <v>18354</v>
      </c>
      <c r="Q893" s="1" t="s">
        <v>18356</v>
      </c>
      <c r="W893" s="1">
        <v>7.0</v>
      </c>
      <c r="X893" s="1">
        <v>100.0</v>
      </c>
      <c r="Y893" s="1">
        <v>3.0</v>
      </c>
      <c r="Z893" s="1">
        <v>0.0</v>
      </c>
      <c r="AK893" s="1" t="s">
        <v>18375</v>
      </c>
      <c r="AL893" s="1">
        <v>6.0</v>
      </c>
      <c r="AM893" s="1">
        <v>1.0</v>
      </c>
      <c r="AN893" s="1" t="s">
        <v>10629</v>
      </c>
      <c r="AO893" s="121">
        <v>8763.0</v>
      </c>
      <c r="AP893" s="1" t="s">
        <v>18379</v>
      </c>
      <c r="AQ893" s="1" t="s">
        <v>18381</v>
      </c>
      <c r="AR893" s="121">
        <v>893.0</v>
      </c>
    </row>
    <row r="894">
      <c r="A894" s="1" t="s">
        <v>18372</v>
      </c>
      <c r="B894" s="1" t="s">
        <v>6876</v>
      </c>
      <c r="C894" s="1" t="s">
        <v>6877</v>
      </c>
      <c r="D894" s="1" t="s">
        <v>8493</v>
      </c>
      <c r="E894" s="147">
        <v>43906.0</v>
      </c>
      <c r="F894" s="1" t="s">
        <v>18383</v>
      </c>
      <c r="G894" s="1">
        <v>58.0</v>
      </c>
      <c r="H894" s="1">
        <v>2.0</v>
      </c>
      <c r="I894" s="1">
        <v>2.0</v>
      </c>
      <c r="L894" s="1" t="s">
        <v>347</v>
      </c>
      <c r="M894" s="1" t="s">
        <v>347</v>
      </c>
      <c r="N894" s="1" t="s">
        <v>18352</v>
      </c>
      <c r="O894" s="1" t="s">
        <v>18353</v>
      </c>
      <c r="P894" s="1" t="s">
        <v>18354</v>
      </c>
      <c r="Q894" s="1" t="s">
        <v>18356</v>
      </c>
      <c r="R894" s="1">
        <v>100.0</v>
      </c>
      <c r="W894" s="1">
        <v>7.0</v>
      </c>
      <c r="X894" s="1">
        <v>10.0</v>
      </c>
      <c r="Y894" s="1">
        <v>2.0</v>
      </c>
      <c r="AA894" s="1">
        <v>6.0</v>
      </c>
      <c r="AB894" s="1">
        <v>1.0</v>
      </c>
      <c r="AC894" s="1">
        <v>3.0</v>
      </c>
      <c r="AD894" s="1">
        <v>9.0</v>
      </c>
      <c r="AE894" s="1">
        <v>1.0</v>
      </c>
      <c r="AF894" s="1">
        <v>5.0</v>
      </c>
      <c r="AG894" s="1">
        <v>1.0</v>
      </c>
      <c r="AH894" s="1">
        <v>3.0</v>
      </c>
      <c r="AI894" s="1">
        <v>0.0</v>
      </c>
      <c r="AK894" s="1" t="s">
        <v>18387</v>
      </c>
      <c r="AL894" s="1">
        <v>4.0</v>
      </c>
      <c r="AM894" s="1">
        <v>1.0</v>
      </c>
      <c r="AN894" s="1" t="s">
        <v>10629</v>
      </c>
      <c r="AO894" s="121">
        <v>8764.0</v>
      </c>
      <c r="AP894" s="1" t="s">
        <v>18389</v>
      </c>
      <c r="AQ894" s="1" t="s">
        <v>18390</v>
      </c>
      <c r="AR894" s="121">
        <v>894.0</v>
      </c>
    </row>
    <row r="895">
      <c r="A895" s="1" t="s">
        <v>18383</v>
      </c>
      <c r="B895" s="1" t="s">
        <v>6876</v>
      </c>
      <c r="C895" s="1" t="s">
        <v>6877</v>
      </c>
      <c r="D895" s="1" t="s">
        <v>8493</v>
      </c>
      <c r="E895" s="147">
        <v>43906.0</v>
      </c>
      <c r="F895" s="1" t="s">
        <v>18392</v>
      </c>
      <c r="G895" s="1">
        <v>58.0</v>
      </c>
      <c r="H895" s="1">
        <v>2.0</v>
      </c>
      <c r="I895" s="1">
        <v>99.0</v>
      </c>
      <c r="L895" s="1" t="s">
        <v>3451</v>
      </c>
      <c r="M895" s="1" t="s">
        <v>3451</v>
      </c>
      <c r="N895" s="1" t="s">
        <v>18352</v>
      </c>
      <c r="O895" s="1" t="s">
        <v>18353</v>
      </c>
      <c r="P895" s="1" t="s">
        <v>18354</v>
      </c>
      <c r="Q895" s="1" t="s">
        <v>18356</v>
      </c>
      <c r="W895" s="1">
        <v>7.0</v>
      </c>
      <c r="X895" s="1">
        <v>100.0</v>
      </c>
      <c r="Y895" s="1">
        <v>3.0</v>
      </c>
      <c r="Z895" s="1">
        <v>0.0</v>
      </c>
      <c r="AK895" s="1" t="s">
        <v>18396</v>
      </c>
      <c r="AL895" s="1">
        <v>4.0</v>
      </c>
      <c r="AM895" s="1">
        <v>1.0</v>
      </c>
      <c r="AN895" s="1" t="s">
        <v>10629</v>
      </c>
      <c r="AO895" s="121">
        <v>8765.0</v>
      </c>
      <c r="AP895" s="1" t="s">
        <v>18400</v>
      </c>
      <c r="AQ895" s="1" t="s">
        <v>18402</v>
      </c>
      <c r="AR895" s="121">
        <v>895.0</v>
      </c>
    </row>
    <row r="896">
      <c r="A896" s="1" t="s">
        <v>18403</v>
      </c>
      <c r="B896" s="1" t="s">
        <v>6876</v>
      </c>
      <c r="C896" s="1" t="s">
        <v>6877</v>
      </c>
      <c r="D896" s="1" t="s">
        <v>8493</v>
      </c>
      <c r="E896" s="147">
        <v>43906.0</v>
      </c>
      <c r="F896" s="1" t="s">
        <v>18405</v>
      </c>
      <c r="G896" s="1">
        <v>33.0</v>
      </c>
      <c r="H896" s="1">
        <v>1.0</v>
      </c>
      <c r="I896" s="1">
        <v>98.0</v>
      </c>
      <c r="L896" s="1" t="s">
        <v>5589</v>
      </c>
      <c r="M896" s="1" t="s">
        <v>5589</v>
      </c>
      <c r="N896" s="1" t="s">
        <v>18352</v>
      </c>
      <c r="O896" s="1" t="s">
        <v>18353</v>
      </c>
      <c r="P896" s="1" t="s">
        <v>18354</v>
      </c>
      <c r="Q896" s="1" t="s">
        <v>18356</v>
      </c>
      <c r="W896" s="1">
        <v>7.0</v>
      </c>
      <c r="X896" s="1">
        <v>100.0</v>
      </c>
      <c r="Y896" s="1">
        <v>3.0</v>
      </c>
      <c r="Z896" s="1">
        <v>0.0</v>
      </c>
      <c r="AK896" s="1" t="s">
        <v>11376</v>
      </c>
      <c r="AL896" s="1">
        <v>4.0</v>
      </c>
      <c r="AM896" s="1">
        <v>1.0</v>
      </c>
      <c r="AN896" s="1" t="s">
        <v>10629</v>
      </c>
      <c r="AO896" s="121">
        <v>8766.0</v>
      </c>
      <c r="AP896" s="1" t="s">
        <v>18409</v>
      </c>
      <c r="AQ896" s="1" t="s">
        <v>18410</v>
      </c>
      <c r="AR896" s="121">
        <v>896.0</v>
      </c>
    </row>
    <row r="897">
      <c r="A897" s="1" t="s">
        <v>18411</v>
      </c>
      <c r="B897" s="1" t="s">
        <v>6876</v>
      </c>
      <c r="C897" s="1" t="s">
        <v>6877</v>
      </c>
      <c r="D897" s="1" t="s">
        <v>8493</v>
      </c>
      <c r="E897" s="147">
        <v>43906.0</v>
      </c>
      <c r="F897" s="1" t="s">
        <v>18414</v>
      </c>
      <c r="G897" s="1">
        <v>65.0</v>
      </c>
      <c r="H897" s="1">
        <v>1.0</v>
      </c>
      <c r="I897" s="1">
        <v>16.0</v>
      </c>
      <c r="L897" s="1" t="s">
        <v>5762</v>
      </c>
      <c r="M897" s="1" t="s">
        <v>5762</v>
      </c>
      <c r="N897" s="1" t="s">
        <v>18415</v>
      </c>
      <c r="O897" s="1" t="s">
        <v>18416</v>
      </c>
      <c r="P897" s="1" t="s">
        <v>18418</v>
      </c>
      <c r="Q897" s="1" t="s">
        <v>18419</v>
      </c>
      <c r="W897" s="1">
        <v>4.0</v>
      </c>
      <c r="X897" s="1">
        <v>1.0</v>
      </c>
      <c r="Y897" s="1">
        <v>3.0</v>
      </c>
      <c r="Z897" s="1">
        <v>20.0</v>
      </c>
      <c r="AA897" s="1">
        <v>3.0</v>
      </c>
      <c r="AB897" s="1">
        <v>1.0</v>
      </c>
      <c r="AC897" s="1">
        <v>3.0</v>
      </c>
      <c r="AD897" s="1">
        <v>0.0</v>
      </c>
      <c r="AE897" s="1">
        <v>1.0</v>
      </c>
      <c r="AF897" s="1">
        <v>2.0</v>
      </c>
      <c r="AG897" s="1">
        <v>1.0</v>
      </c>
      <c r="AH897" s="1">
        <v>3.0</v>
      </c>
      <c r="AI897" s="1">
        <v>0.0</v>
      </c>
      <c r="AK897" s="1" t="s">
        <v>18420</v>
      </c>
      <c r="AL897" s="1">
        <v>4.0</v>
      </c>
      <c r="AM897" s="1">
        <v>1.0</v>
      </c>
      <c r="AN897" s="1" t="s">
        <v>10629</v>
      </c>
      <c r="AO897" s="121">
        <v>8767.0</v>
      </c>
      <c r="AP897" s="1" t="s">
        <v>18423</v>
      </c>
      <c r="AQ897" s="1" t="s">
        <v>18424</v>
      </c>
      <c r="AR897" s="121">
        <v>897.0</v>
      </c>
    </row>
    <row r="898">
      <c r="A898" s="1" t="s">
        <v>18425</v>
      </c>
      <c r="B898" s="1" t="s">
        <v>6876</v>
      </c>
      <c r="C898" s="1" t="s">
        <v>6877</v>
      </c>
      <c r="D898" s="1" t="s">
        <v>8493</v>
      </c>
      <c r="E898" s="147">
        <v>43906.0</v>
      </c>
      <c r="F898" s="1" t="s">
        <v>18427</v>
      </c>
      <c r="G898" s="1">
        <v>58.0</v>
      </c>
      <c r="H898" s="1">
        <v>1.0</v>
      </c>
      <c r="I898" s="1">
        <v>7.0</v>
      </c>
      <c r="L898" s="1" t="s">
        <v>5593</v>
      </c>
      <c r="M898" s="1" t="s">
        <v>5593</v>
      </c>
      <c r="N898" s="1" t="s">
        <v>18415</v>
      </c>
      <c r="O898" s="1" t="s">
        <v>18416</v>
      </c>
      <c r="P898" s="1" t="s">
        <v>18418</v>
      </c>
      <c r="Q898" s="1" t="s">
        <v>18419</v>
      </c>
      <c r="W898" s="1">
        <v>4.0</v>
      </c>
      <c r="X898" s="1">
        <v>1.0</v>
      </c>
      <c r="Y898" s="1">
        <v>3.0</v>
      </c>
      <c r="Z898" s="1">
        <v>1.0</v>
      </c>
      <c r="AA898" s="1">
        <v>3.0</v>
      </c>
      <c r="AB898" s="1">
        <v>1.0</v>
      </c>
      <c r="AC898" s="1">
        <v>3.0</v>
      </c>
      <c r="AD898" s="1">
        <v>0.0</v>
      </c>
      <c r="AE898" s="1">
        <v>1.0</v>
      </c>
      <c r="AF898" s="1">
        <v>2.0</v>
      </c>
      <c r="AG898" s="1">
        <v>1.0</v>
      </c>
      <c r="AH898" s="1">
        <v>3.0</v>
      </c>
      <c r="AI898" s="1">
        <v>0.0</v>
      </c>
      <c r="AK898" s="1" t="s">
        <v>17781</v>
      </c>
      <c r="AL898" s="1">
        <v>4.0</v>
      </c>
      <c r="AM898" s="1">
        <v>1.0</v>
      </c>
      <c r="AN898" s="1" t="s">
        <v>10629</v>
      </c>
      <c r="AO898" s="121">
        <v>8768.0</v>
      </c>
      <c r="AP898" s="1" t="s">
        <v>18435</v>
      </c>
      <c r="AQ898" s="1" t="s">
        <v>18436</v>
      </c>
      <c r="AR898" s="121">
        <v>898.0</v>
      </c>
    </row>
    <row r="899">
      <c r="A899" s="1" t="s">
        <v>18437</v>
      </c>
      <c r="B899" s="1" t="s">
        <v>6876</v>
      </c>
      <c r="C899" s="1" t="s">
        <v>6877</v>
      </c>
      <c r="D899" s="1" t="s">
        <v>8493</v>
      </c>
      <c r="E899" s="147">
        <v>43906.0</v>
      </c>
      <c r="F899" s="1" t="s">
        <v>18438</v>
      </c>
      <c r="G899" s="1">
        <v>58.0</v>
      </c>
      <c r="H899" s="1">
        <v>1.0</v>
      </c>
      <c r="I899" s="1">
        <v>99.0</v>
      </c>
      <c r="L899" s="1" t="s">
        <v>5609</v>
      </c>
      <c r="M899" s="1" t="s">
        <v>5609</v>
      </c>
      <c r="N899" s="1" t="s">
        <v>18415</v>
      </c>
      <c r="O899" s="1" t="s">
        <v>18416</v>
      </c>
      <c r="P899" s="1" t="s">
        <v>18418</v>
      </c>
      <c r="Q899" s="1" t="s">
        <v>18419</v>
      </c>
      <c r="W899" s="1">
        <v>7.0</v>
      </c>
      <c r="X899" s="1">
        <v>100.0</v>
      </c>
      <c r="Y899" s="1">
        <v>3.0</v>
      </c>
      <c r="Z899" s="1">
        <v>0.0</v>
      </c>
      <c r="AK899" s="1" t="s">
        <v>18442</v>
      </c>
      <c r="AL899" s="1">
        <v>4.0</v>
      </c>
      <c r="AM899" s="1">
        <v>1.0</v>
      </c>
      <c r="AN899" s="1" t="s">
        <v>10629</v>
      </c>
      <c r="AO899" s="121">
        <v>8769.0</v>
      </c>
      <c r="AP899" s="1" t="s">
        <v>18443</v>
      </c>
      <c r="AQ899" s="1" t="s">
        <v>18444</v>
      </c>
      <c r="AR899" s="121">
        <v>899.0</v>
      </c>
    </row>
    <row r="900">
      <c r="A900" s="1" t="s">
        <v>18445</v>
      </c>
      <c r="B900" s="1" t="s">
        <v>6876</v>
      </c>
      <c r="C900" s="1" t="s">
        <v>6877</v>
      </c>
      <c r="D900" s="1" t="s">
        <v>8493</v>
      </c>
      <c r="E900" s="147">
        <v>43906.0</v>
      </c>
      <c r="F900" s="1" t="s">
        <v>18446</v>
      </c>
      <c r="G900" s="1">
        <v>58.0</v>
      </c>
      <c r="H900" s="1">
        <v>1.0</v>
      </c>
      <c r="I900" s="1">
        <v>7.0</v>
      </c>
      <c r="L900" s="1" t="s">
        <v>5628</v>
      </c>
      <c r="M900" s="1" t="s">
        <v>5628</v>
      </c>
      <c r="N900" s="1" t="s">
        <v>18415</v>
      </c>
      <c r="O900" s="1" t="s">
        <v>18416</v>
      </c>
      <c r="P900" s="1" t="s">
        <v>18418</v>
      </c>
      <c r="Q900" s="1" t="s">
        <v>18419</v>
      </c>
      <c r="W900" s="1">
        <v>4.0</v>
      </c>
      <c r="X900" s="1">
        <v>1.0</v>
      </c>
      <c r="Y900" s="1">
        <v>3.0</v>
      </c>
      <c r="Z900" s="1">
        <v>11.0</v>
      </c>
      <c r="AA900" s="1">
        <v>3.0</v>
      </c>
      <c r="AB900" s="1">
        <v>1.0</v>
      </c>
      <c r="AC900" s="1">
        <v>3.0</v>
      </c>
      <c r="AD900" s="1">
        <v>1.0</v>
      </c>
      <c r="AE900" s="1">
        <v>1.0</v>
      </c>
      <c r="AF900" s="1">
        <v>2.0</v>
      </c>
      <c r="AG900" s="1">
        <v>1.0</v>
      </c>
      <c r="AH900" s="1">
        <v>3.0</v>
      </c>
      <c r="AI900" s="1">
        <v>0.0</v>
      </c>
      <c r="AK900" s="1" t="s">
        <v>18454</v>
      </c>
      <c r="AL900" s="1">
        <v>4.0</v>
      </c>
      <c r="AM900" s="1">
        <v>1.0</v>
      </c>
      <c r="AN900" s="1" t="s">
        <v>10629</v>
      </c>
      <c r="AO900" s="121">
        <v>8770.0</v>
      </c>
      <c r="AP900" s="1" t="s">
        <v>18457</v>
      </c>
      <c r="AQ900" s="1" t="s">
        <v>18458</v>
      </c>
      <c r="AR900" s="121">
        <v>900.0</v>
      </c>
    </row>
    <row r="901">
      <c r="A901" s="1" t="s">
        <v>18459</v>
      </c>
      <c r="B901" s="1" t="s">
        <v>6876</v>
      </c>
      <c r="C901" s="1" t="s">
        <v>6877</v>
      </c>
      <c r="D901" s="1" t="s">
        <v>8493</v>
      </c>
      <c r="E901" s="147">
        <v>43906.0</v>
      </c>
      <c r="F901" s="1" t="s">
        <v>18460</v>
      </c>
      <c r="G901" s="1">
        <v>58.0</v>
      </c>
      <c r="H901" s="1">
        <v>1.0</v>
      </c>
      <c r="I901" s="1">
        <v>99.0</v>
      </c>
      <c r="L901" s="1" t="s">
        <v>5642</v>
      </c>
      <c r="M901" s="1" t="s">
        <v>5642</v>
      </c>
      <c r="N901" s="1" t="s">
        <v>18415</v>
      </c>
      <c r="O901" s="1" t="s">
        <v>18416</v>
      </c>
      <c r="P901" s="1" t="s">
        <v>18418</v>
      </c>
      <c r="Q901" s="1" t="s">
        <v>18419</v>
      </c>
      <c r="W901" s="1">
        <v>7.0</v>
      </c>
      <c r="X901" s="1">
        <v>100.0</v>
      </c>
      <c r="Y901" s="1">
        <v>3.0</v>
      </c>
      <c r="Z901" s="1">
        <v>0.0</v>
      </c>
      <c r="AK901" s="1" t="s">
        <v>18462</v>
      </c>
      <c r="AL901" s="1">
        <v>4.0</v>
      </c>
      <c r="AM901" s="1">
        <v>1.0</v>
      </c>
      <c r="AN901" s="1" t="s">
        <v>10629</v>
      </c>
      <c r="AO901" s="121">
        <v>8771.0</v>
      </c>
      <c r="AP901" s="1" t="s">
        <v>18464</v>
      </c>
      <c r="AQ901" s="1" t="s">
        <v>18465</v>
      </c>
      <c r="AR901" s="121">
        <v>901.0</v>
      </c>
    </row>
    <row r="902">
      <c r="A902" s="1" t="s">
        <v>18467</v>
      </c>
      <c r="B902" s="1" t="s">
        <v>6876</v>
      </c>
      <c r="C902" s="1" t="s">
        <v>6877</v>
      </c>
      <c r="D902" s="1" t="s">
        <v>8493</v>
      </c>
      <c r="E902" s="147">
        <v>43906.0</v>
      </c>
      <c r="F902" s="1" t="s">
        <v>18470</v>
      </c>
      <c r="G902" s="1">
        <v>33.0</v>
      </c>
      <c r="H902" s="1">
        <v>1.0</v>
      </c>
      <c r="I902" s="1">
        <v>98.0</v>
      </c>
      <c r="L902" s="1" t="s">
        <v>5781</v>
      </c>
      <c r="M902" s="1" t="s">
        <v>5781</v>
      </c>
      <c r="N902" s="1" t="s">
        <v>18415</v>
      </c>
      <c r="O902" s="1" t="s">
        <v>18416</v>
      </c>
      <c r="P902" s="1" t="s">
        <v>18418</v>
      </c>
      <c r="Q902" s="1" t="s">
        <v>18419</v>
      </c>
      <c r="W902" s="1">
        <v>7.0</v>
      </c>
      <c r="X902" s="1">
        <v>100.0</v>
      </c>
      <c r="Y902" s="1">
        <v>3.0</v>
      </c>
      <c r="Z902" s="1">
        <v>0.0</v>
      </c>
      <c r="AK902" s="1" t="s">
        <v>11376</v>
      </c>
      <c r="AL902" s="1">
        <v>4.0</v>
      </c>
      <c r="AM902" s="1">
        <v>1.0</v>
      </c>
      <c r="AN902" s="1" t="s">
        <v>10629</v>
      </c>
      <c r="AO902" s="121">
        <v>8772.0</v>
      </c>
      <c r="AP902" s="1" t="s">
        <v>18477</v>
      </c>
      <c r="AQ902" s="1" t="s">
        <v>18478</v>
      </c>
      <c r="AR902" s="121">
        <v>902.0</v>
      </c>
    </row>
    <row r="903">
      <c r="A903" s="1" t="s">
        <v>18479</v>
      </c>
      <c r="B903" s="1" t="s">
        <v>6876</v>
      </c>
      <c r="C903" s="1" t="s">
        <v>6877</v>
      </c>
      <c r="D903" s="1" t="s">
        <v>8493</v>
      </c>
      <c r="E903" s="147">
        <v>43906.0</v>
      </c>
      <c r="F903" s="1" t="s">
        <v>18482</v>
      </c>
      <c r="G903" s="1">
        <v>59.0</v>
      </c>
      <c r="H903" s="1">
        <v>1.0</v>
      </c>
      <c r="I903" s="1">
        <v>11.0</v>
      </c>
      <c r="L903" s="1" t="s">
        <v>5795</v>
      </c>
      <c r="M903" s="1" t="s">
        <v>5795</v>
      </c>
      <c r="N903" s="1" t="s">
        <v>18484</v>
      </c>
      <c r="O903" s="1" t="s">
        <v>18419</v>
      </c>
      <c r="P903" s="1" t="s">
        <v>18485</v>
      </c>
      <c r="Q903" s="1" t="s">
        <v>18486</v>
      </c>
      <c r="W903" s="1">
        <v>4.0</v>
      </c>
      <c r="X903" s="1">
        <v>1.0</v>
      </c>
      <c r="Y903" s="1">
        <v>3.0</v>
      </c>
      <c r="Z903" s="1">
        <v>6.0</v>
      </c>
      <c r="AA903" s="1">
        <v>3.0</v>
      </c>
      <c r="AB903" s="1">
        <v>1.0</v>
      </c>
      <c r="AC903" s="1">
        <v>3.0</v>
      </c>
      <c r="AD903" s="1">
        <v>0.0</v>
      </c>
      <c r="AE903" s="1">
        <v>1.0</v>
      </c>
      <c r="AF903" s="1">
        <v>2.0</v>
      </c>
      <c r="AG903" s="1">
        <v>1.0</v>
      </c>
      <c r="AH903" s="1">
        <v>3.0</v>
      </c>
      <c r="AI903" s="1">
        <v>0.0</v>
      </c>
      <c r="AK903" s="1" t="s">
        <v>18487</v>
      </c>
      <c r="AL903" s="1">
        <v>6.0</v>
      </c>
      <c r="AM903" s="1">
        <v>1.0</v>
      </c>
      <c r="AN903" s="1" t="s">
        <v>10629</v>
      </c>
      <c r="AO903" s="121">
        <v>8773.0</v>
      </c>
      <c r="AP903" s="1" t="s">
        <v>18488</v>
      </c>
      <c r="AQ903" s="1" t="s">
        <v>18489</v>
      </c>
      <c r="AR903" s="121">
        <v>903.0</v>
      </c>
    </row>
    <row r="904">
      <c r="A904" s="1" t="s">
        <v>18492</v>
      </c>
      <c r="B904" s="1" t="s">
        <v>6876</v>
      </c>
      <c r="C904" s="1" t="s">
        <v>6877</v>
      </c>
      <c r="D904" s="1" t="s">
        <v>8493</v>
      </c>
      <c r="E904" s="147">
        <v>43906.0</v>
      </c>
      <c r="F904" s="1" t="s">
        <v>18493</v>
      </c>
      <c r="G904" s="1">
        <v>59.0</v>
      </c>
      <c r="H904" s="1">
        <v>1.0</v>
      </c>
      <c r="I904" s="1">
        <v>99.0</v>
      </c>
      <c r="L904" s="1" t="s">
        <v>5817</v>
      </c>
      <c r="M904" s="1" t="s">
        <v>5817</v>
      </c>
      <c r="N904" s="1" t="s">
        <v>18484</v>
      </c>
      <c r="O904" s="1" t="s">
        <v>18419</v>
      </c>
      <c r="P904" s="1" t="s">
        <v>18485</v>
      </c>
      <c r="Q904" s="1" t="s">
        <v>18486</v>
      </c>
      <c r="W904" s="1">
        <v>7.0</v>
      </c>
      <c r="X904" s="1">
        <v>100.0</v>
      </c>
      <c r="Y904" s="1">
        <v>3.0</v>
      </c>
      <c r="Z904" s="1">
        <v>0.0</v>
      </c>
      <c r="AK904" s="1" t="s">
        <v>18498</v>
      </c>
      <c r="AL904" s="1">
        <v>6.0</v>
      </c>
      <c r="AM904" s="1">
        <v>1.0</v>
      </c>
      <c r="AN904" s="1" t="s">
        <v>10629</v>
      </c>
      <c r="AO904" s="121">
        <v>8774.0</v>
      </c>
      <c r="AP904" s="1" t="s">
        <v>18499</v>
      </c>
      <c r="AQ904" s="1" t="s">
        <v>18500</v>
      </c>
      <c r="AR904" s="121">
        <v>904.0</v>
      </c>
    </row>
    <row r="905">
      <c r="A905" s="1" t="s">
        <v>18502</v>
      </c>
      <c r="B905" s="1" t="s">
        <v>6876</v>
      </c>
      <c r="C905" s="1" t="s">
        <v>6877</v>
      </c>
      <c r="D905" s="1" t="s">
        <v>8493</v>
      </c>
      <c r="E905" s="147">
        <v>43906.0</v>
      </c>
      <c r="F905" s="1" t="s">
        <v>18504</v>
      </c>
      <c r="G905" s="1">
        <v>59.0</v>
      </c>
      <c r="H905" s="1">
        <v>1.0</v>
      </c>
      <c r="I905" s="1">
        <v>11.0</v>
      </c>
      <c r="L905" s="1" t="s">
        <v>5836</v>
      </c>
      <c r="M905" s="1" t="s">
        <v>5836</v>
      </c>
      <c r="N905" s="1" t="s">
        <v>18484</v>
      </c>
      <c r="O905" s="1" t="s">
        <v>18419</v>
      </c>
      <c r="P905" s="1" t="s">
        <v>18485</v>
      </c>
      <c r="Q905" s="1" t="s">
        <v>18486</v>
      </c>
      <c r="W905" s="1">
        <v>4.0</v>
      </c>
      <c r="X905" s="1">
        <v>1.0</v>
      </c>
      <c r="Y905" s="1">
        <v>3.0</v>
      </c>
      <c r="Z905" s="1">
        <v>3.0</v>
      </c>
      <c r="AA905" s="1">
        <v>3.0</v>
      </c>
      <c r="AB905" s="1">
        <v>1.0</v>
      </c>
      <c r="AC905" s="1">
        <v>3.0</v>
      </c>
      <c r="AD905" s="1">
        <v>0.0</v>
      </c>
      <c r="AE905" s="1">
        <v>1.0</v>
      </c>
      <c r="AF905" s="1">
        <v>2.0</v>
      </c>
      <c r="AG905" s="1">
        <v>1.0</v>
      </c>
      <c r="AH905" s="1">
        <v>3.0</v>
      </c>
      <c r="AI905" s="1">
        <v>0.0</v>
      </c>
      <c r="AK905" s="1" t="s">
        <v>18508</v>
      </c>
      <c r="AL905" s="1">
        <v>6.0</v>
      </c>
      <c r="AM905" s="1">
        <v>1.0</v>
      </c>
      <c r="AN905" s="1" t="s">
        <v>10629</v>
      </c>
      <c r="AO905" s="121">
        <v>8775.0</v>
      </c>
      <c r="AP905" s="1" t="s">
        <v>18510</v>
      </c>
      <c r="AQ905" s="1" t="s">
        <v>18511</v>
      </c>
      <c r="AR905" s="121">
        <v>905.0</v>
      </c>
    </row>
    <row r="906">
      <c r="A906" s="1" t="s">
        <v>18512</v>
      </c>
      <c r="B906" s="1" t="s">
        <v>6876</v>
      </c>
      <c r="C906" s="1" t="s">
        <v>6877</v>
      </c>
      <c r="D906" s="1" t="s">
        <v>8493</v>
      </c>
      <c r="E906" s="147">
        <v>43906.0</v>
      </c>
      <c r="F906" s="1" t="s">
        <v>18514</v>
      </c>
      <c r="G906" s="1">
        <v>59.0</v>
      </c>
      <c r="H906" s="1">
        <v>1.0</v>
      </c>
      <c r="I906" s="1">
        <v>99.0</v>
      </c>
      <c r="L906" s="1" t="s">
        <v>5849</v>
      </c>
      <c r="M906" s="1" t="s">
        <v>5849</v>
      </c>
      <c r="N906" s="1" t="s">
        <v>18484</v>
      </c>
      <c r="O906" s="1" t="s">
        <v>18419</v>
      </c>
      <c r="P906" s="1" t="s">
        <v>18485</v>
      </c>
      <c r="Q906" s="1" t="s">
        <v>18486</v>
      </c>
      <c r="W906" s="1">
        <v>7.0</v>
      </c>
      <c r="X906" s="1">
        <v>100.0</v>
      </c>
      <c r="Y906" s="1">
        <v>3.0</v>
      </c>
      <c r="Z906" s="1">
        <v>0.0</v>
      </c>
      <c r="AK906" s="1" t="s">
        <v>18517</v>
      </c>
      <c r="AL906" s="1">
        <v>6.0</v>
      </c>
      <c r="AM906" s="1">
        <v>1.0</v>
      </c>
      <c r="AN906" s="1" t="s">
        <v>10629</v>
      </c>
      <c r="AO906" s="121">
        <v>8776.0</v>
      </c>
      <c r="AP906" s="1" t="s">
        <v>18519</v>
      </c>
      <c r="AQ906" s="1" t="s">
        <v>18520</v>
      </c>
      <c r="AR906" s="121">
        <v>906.0</v>
      </c>
    </row>
    <row r="907">
      <c r="A907" s="1" t="s">
        <v>18521</v>
      </c>
      <c r="B907" s="1" t="s">
        <v>6876</v>
      </c>
      <c r="C907" s="1" t="s">
        <v>6877</v>
      </c>
      <c r="D907" s="1" t="s">
        <v>8493</v>
      </c>
      <c r="E907" s="147">
        <v>43906.0</v>
      </c>
      <c r="F907" s="1" t="s">
        <v>18522</v>
      </c>
      <c r="G907" s="1">
        <v>33.0</v>
      </c>
      <c r="H907" s="1">
        <v>1.0</v>
      </c>
      <c r="I907" s="1">
        <v>98.0</v>
      </c>
      <c r="L907" s="1" t="s">
        <v>6025</v>
      </c>
      <c r="M907" s="1" t="s">
        <v>6025</v>
      </c>
      <c r="N907" s="1" t="s">
        <v>18484</v>
      </c>
      <c r="O907" s="1" t="s">
        <v>18419</v>
      </c>
      <c r="P907" s="1" t="s">
        <v>18485</v>
      </c>
      <c r="Q907" s="1" t="s">
        <v>18486</v>
      </c>
      <c r="W907" s="1">
        <v>7.0</v>
      </c>
      <c r="X907" s="1">
        <v>100.0</v>
      </c>
      <c r="Y907" s="1">
        <v>3.0</v>
      </c>
      <c r="Z907" s="1">
        <v>0.0</v>
      </c>
      <c r="AK907" s="1" t="s">
        <v>11376</v>
      </c>
      <c r="AL907" s="1">
        <v>6.0</v>
      </c>
      <c r="AM907" s="1">
        <v>1.0</v>
      </c>
      <c r="AN907" s="1" t="s">
        <v>10629</v>
      </c>
      <c r="AO907" s="121">
        <v>8777.0</v>
      </c>
      <c r="AP907" s="1" t="s">
        <v>18530</v>
      </c>
      <c r="AQ907" s="1" t="s">
        <v>18531</v>
      </c>
      <c r="AR907" s="121">
        <v>907.0</v>
      </c>
    </row>
    <row r="908">
      <c r="A908" s="1" t="s">
        <v>18532</v>
      </c>
      <c r="B908" s="1" t="s">
        <v>6876</v>
      </c>
      <c r="C908" s="1" t="s">
        <v>6877</v>
      </c>
      <c r="D908" s="1" t="s">
        <v>8493</v>
      </c>
      <c r="E908" s="147">
        <v>43906.0</v>
      </c>
      <c r="F908" s="1" t="s">
        <v>18533</v>
      </c>
      <c r="G908" s="1">
        <v>58.0</v>
      </c>
      <c r="H908" s="1">
        <v>1.0</v>
      </c>
      <c r="I908" s="1">
        <v>5.0</v>
      </c>
      <c r="L908" s="1" t="s">
        <v>3468</v>
      </c>
      <c r="M908" s="1" t="s">
        <v>3468</v>
      </c>
      <c r="N908" s="1" t="s">
        <v>18536</v>
      </c>
      <c r="O908" s="1" t="s">
        <v>18538</v>
      </c>
      <c r="P908" s="1" t="s">
        <v>18539</v>
      </c>
      <c r="Q908" s="1" t="s">
        <v>18540</v>
      </c>
      <c r="W908" s="1">
        <v>7.0</v>
      </c>
      <c r="X908" s="1">
        <v>1.0</v>
      </c>
      <c r="Y908" s="1">
        <v>3.0</v>
      </c>
      <c r="Z908" s="1">
        <v>0.0</v>
      </c>
      <c r="AA908" s="1">
        <v>6.0</v>
      </c>
      <c r="AB908" s="1">
        <v>1.0</v>
      </c>
      <c r="AC908" s="1">
        <v>3.0</v>
      </c>
      <c r="AD908" s="1">
        <v>1.0</v>
      </c>
      <c r="AE908" s="1">
        <v>1.0</v>
      </c>
      <c r="AF908" s="1">
        <v>5.0</v>
      </c>
      <c r="AG908" s="1">
        <v>1.0</v>
      </c>
      <c r="AH908" s="1">
        <v>3.0</v>
      </c>
      <c r="AI908" s="1">
        <v>0.0</v>
      </c>
      <c r="AK908" s="1" t="s">
        <v>18542</v>
      </c>
      <c r="AL908" s="1">
        <v>4.0</v>
      </c>
      <c r="AM908" s="1">
        <v>1.0</v>
      </c>
      <c r="AN908" s="1" t="s">
        <v>10629</v>
      </c>
      <c r="AO908" s="121">
        <v>8778.0</v>
      </c>
      <c r="AP908" s="1" t="s">
        <v>18544</v>
      </c>
      <c r="AQ908" s="1" t="s">
        <v>18546</v>
      </c>
      <c r="AR908" s="121">
        <v>908.0</v>
      </c>
    </row>
    <row r="909">
      <c r="A909" s="1" t="s">
        <v>18533</v>
      </c>
      <c r="B909" s="1" t="s">
        <v>6876</v>
      </c>
      <c r="C909" s="1" t="s">
        <v>6877</v>
      </c>
      <c r="D909" s="1" t="s">
        <v>8493</v>
      </c>
      <c r="E909" s="147">
        <v>43906.0</v>
      </c>
      <c r="F909" s="1" t="s">
        <v>18548</v>
      </c>
      <c r="G909" s="1">
        <v>58.0</v>
      </c>
      <c r="H909" s="1">
        <v>2.0</v>
      </c>
      <c r="I909" s="1">
        <v>8.0</v>
      </c>
      <c r="L909" s="1" t="s">
        <v>354</v>
      </c>
      <c r="M909" s="1" t="s">
        <v>354</v>
      </c>
      <c r="N909" s="1" t="s">
        <v>18536</v>
      </c>
      <c r="O909" s="1" t="s">
        <v>18538</v>
      </c>
      <c r="P909" s="1" t="s">
        <v>18539</v>
      </c>
      <c r="Q909" s="1" t="s">
        <v>18540</v>
      </c>
      <c r="U909" s="1">
        <v>109.0</v>
      </c>
      <c r="W909" s="1">
        <v>6.0</v>
      </c>
      <c r="X909" s="1">
        <v>1.0</v>
      </c>
      <c r="Y909" s="1">
        <v>3.0</v>
      </c>
      <c r="Z909" s="1">
        <v>0.0</v>
      </c>
      <c r="AA909" s="1">
        <v>5.0</v>
      </c>
      <c r="AB909" s="1">
        <v>1.0</v>
      </c>
      <c r="AC909" s="1">
        <v>3.0</v>
      </c>
      <c r="AD909" s="1">
        <v>0.0</v>
      </c>
      <c r="AE909" s="1">
        <v>1.0</v>
      </c>
      <c r="AF909" s="1">
        <v>4.0</v>
      </c>
      <c r="AG909" s="1">
        <v>1.0</v>
      </c>
      <c r="AH909" s="1">
        <v>3.0</v>
      </c>
      <c r="AI909" s="1">
        <v>0.0</v>
      </c>
      <c r="AK909" s="1" t="s">
        <v>18555</v>
      </c>
      <c r="AL909" s="1">
        <v>6.0</v>
      </c>
      <c r="AM909" s="1">
        <v>1.0</v>
      </c>
      <c r="AN909" s="1" t="s">
        <v>10629</v>
      </c>
      <c r="AO909" s="121">
        <v>8779.0</v>
      </c>
      <c r="AP909" s="1" t="s">
        <v>18556</v>
      </c>
      <c r="AQ909" s="1" t="s">
        <v>18557</v>
      </c>
      <c r="AR909" s="121">
        <v>909.0</v>
      </c>
    </row>
    <row r="910">
      <c r="A910" s="1" t="s">
        <v>18548</v>
      </c>
      <c r="B910" s="1" t="s">
        <v>6876</v>
      </c>
      <c r="C910" s="1" t="s">
        <v>6877</v>
      </c>
      <c r="D910" s="1" t="s">
        <v>8493</v>
      </c>
      <c r="E910" s="147">
        <v>43906.0</v>
      </c>
      <c r="F910" s="1" t="s">
        <v>18559</v>
      </c>
      <c r="G910" s="1">
        <v>58.0</v>
      </c>
      <c r="H910" s="1">
        <v>1.0</v>
      </c>
      <c r="I910" s="1">
        <v>9.0</v>
      </c>
      <c r="L910" s="1" t="s">
        <v>3460</v>
      </c>
      <c r="M910" s="1" t="s">
        <v>3460</v>
      </c>
      <c r="N910" s="1" t="s">
        <v>18536</v>
      </c>
      <c r="O910" s="1" t="s">
        <v>18538</v>
      </c>
      <c r="P910" s="1" t="s">
        <v>18539</v>
      </c>
      <c r="Q910" s="1" t="s">
        <v>18540</v>
      </c>
      <c r="W910" s="1">
        <v>7.0</v>
      </c>
      <c r="X910" s="1">
        <v>100.0</v>
      </c>
      <c r="Y910" s="1">
        <v>2.0</v>
      </c>
      <c r="AA910" s="1">
        <v>7.0</v>
      </c>
      <c r="AB910" s="1">
        <v>10.0</v>
      </c>
      <c r="AC910" s="1">
        <v>3.0</v>
      </c>
      <c r="AD910" s="1">
        <v>6.0</v>
      </c>
      <c r="AE910" s="1">
        <v>0.0</v>
      </c>
      <c r="AK910" s="1" t="s">
        <v>18562</v>
      </c>
      <c r="AL910" s="1">
        <v>6.0</v>
      </c>
      <c r="AM910" s="1">
        <v>1.0</v>
      </c>
      <c r="AN910" s="1" t="s">
        <v>10629</v>
      </c>
      <c r="AO910" s="121">
        <v>8780.0</v>
      </c>
      <c r="AP910" s="1" t="s">
        <v>18563</v>
      </c>
      <c r="AQ910" s="1" t="s">
        <v>18565</v>
      </c>
      <c r="AR910" s="121">
        <v>910.0</v>
      </c>
    </row>
    <row r="911">
      <c r="A911" s="1" t="s">
        <v>18566</v>
      </c>
      <c r="B911" s="1" t="s">
        <v>6876</v>
      </c>
      <c r="C911" s="1" t="s">
        <v>6877</v>
      </c>
      <c r="D911" s="1" t="s">
        <v>8493</v>
      </c>
      <c r="E911" s="147">
        <v>43906.0</v>
      </c>
      <c r="F911" s="1" t="s">
        <v>18569</v>
      </c>
      <c r="G911" s="1">
        <v>58.0</v>
      </c>
      <c r="H911" s="1">
        <v>2.0</v>
      </c>
      <c r="I911" s="1">
        <v>2.0</v>
      </c>
      <c r="L911" s="1" t="s">
        <v>358</v>
      </c>
      <c r="M911" s="1" t="s">
        <v>358</v>
      </c>
      <c r="N911" s="1" t="s">
        <v>18536</v>
      </c>
      <c r="O911" s="1" t="s">
        <v>18538</v>
      </c>
      <c r="P911" s="1" t="s">
        <v>18539</v>
      </c>
      <c r="Q911" s="1" t="s">
        <v>18540</v>
      </c>
      <c r="R911" s="1">
        <v>181.0</v>
      </c>
      <c r="W911" s="1">
        <v>7.0</v>
      </c>
      <c r="X911" s="1">
        <v>10.0</v>
      </c>
      <c r="Y911" s="1">
        <v>2.0</v>
      </c>
      <c r="AA911" s="1">
        <v>7.0</v>
      </c>
      <c r="AB911" s="1">
        <v>1.0</v>
      </c>
      <c r="AC911" s="1">
        <v>3.0</v>
      </c>
      <c r="AD911" s="1">
        <v>5.0</v>
      </c>
      <c r="AE911" s="1">
        <v>1.0</v>
      </c>
      <c r="AF911" s="1">
        <v>6.0</v>
      </c>
      <c r="AG911" s="1">
        <v>1.0</v>
      </c>
      <c r="AH911" s="1">
        <v>3.0</v>
      </c>
      <c r="AI911" s="1">
        <v>0.0</v>
      </c>
      <c r="AK911" s="1" t="s">
        <v>18575</v>
      </c>
      <c r="AL911" s="1">
        <v>4.0</v>
      </c>
      <c r="AM911" s="1">
        <v>1.0</v>
      </c>
      <c r="AN911" s="1" t="s">
        <v>10629</v>
      </c>
      <c r="AO911" s="121">
        <v>8781.0</v>
      </c>
      <c r="AP911" s="1" t="s">
        <v>18576</v>
      </c>
      <c r="AQ911" s="1" t="s">
        <v>18577</v>
      </c>
      <c r="AR911" s="121">
        <v>911.0</v>
      </c>
    </row>
    <row r="912">
      <c r="A912" s="1" t="s">
        <v>18569</v>
      </c>
      <c r="B912" s="1" t="s">
        <v>6876</v>
      </c>
      <c r="C912" s="1" t="s">
        <v>6877</v>
      </c>
      <c r="D912" s="1" t="s">
        <v>8493</v>
      </c>
      <c r="E912" s="147">
        <v>43906.0</v>
      </c>
      <c r="F912" s="1" t="s">
        <v>18580</v>
      </c>
      <c r="G912" s="1">
        <v>58.0</v>
      </c>
      <c r="H912" s="1">
        <v>2.0</v>
      </c>
      <c r="I912" s="1">
        <v>99.0</v>
      </c>
      <c r="L912" s="1" t="s">
        <v>3488</v>
      </c>
      <c r="M912" s="1" t="s">
        <v>3488</v>
      </c>
      <c r="N912" s="1" t="s">
        <v>18536</v>
      </c>
      <c r="O912" s="1" t="s">
        <v>18538</v>
      </c>
      <c r="P912" s="1" t="s">
        <v>18539</v>
      </c>
      <c r="Q912" s="1" t="s">
        <v>18540</v>
      </c>
      <c r="W912" s="1">
        <v>7.0</v>
      </c>
      <c r="X912" s="1">
        <v>100.0</v>
      </c>
      <c r="Y912" s="1">
        <v>3.0</v>
      </c>
      <c r="Z912" s="1">
        <v>0.0</v>
      </c>
      <c r="AK912" s="1" t="s">
        <v>18583</v>
      </c>
      <c r="AL912" s="1">
        <v>4.0</v>
      </c>
      <c r="AM912" s="1">
        <v>1.0</v>
      </c>
      <c r="AN912" s="1" t="s">
        <v>10629</v>
      </c>
      <c r="AO912" s="121">
        <v>8782.0</v>
      </c>
      <c r="AP912" s="1" t="s">
        <v>18584</v>
      </c>
      <c r="AQ912" s="1" t="s">
        <v>18585</v>
      </c>
      <c r="AR912" s="121">
        <v>912.0</v>
      </c>
    </row>
    <row r="913">
      <c r="A913" s="1" t="s">
        <v>18586</v>
      </c>
      <c r="B913" s="1" t="s">
        <v>6876</v>
      </c>
      <c r="C913" s="1" t="s">
        <v>6877</v>
      </c>
      <c r="D913" s="1" t="s">
        <v>8493</v>
      </c>
      <c r="E913" s="147">
        <v>43906.0</v>
      </c>
      <c r="F913" s="1" t="s">
        <v>18588</v>
      </c>
      <c r="G913" s="1">
        <v>34.0</v>
      </c>
      <c r="H913" s="1">
        <v>1.0</v>
      </c>
      <c r="I913" s="1">
        <v>98.0</v>
      </c>
      <c r="L913" s="1" t="s">
        <v>6158</v>
      </c>
      <c r="M913" s="1" t="s">
        <v>6158</v>
      </c>
      <c r="N913" s="1" t="s">
        <v>18536</v>
      </c>
      <c r="O913" s="1" t="s">
        <v>18538</v>
      </c>
      <c r="P913" s="1" t="s">
        <v>18539</v>
      </c>
      <c r="Q913" s="1" t="s">
        <v>18540</v>
      </c>
      <c r="W913" s="1">
        <v>7.0</v>
      </c>
      <c r="X913" s="1">
        <v>100.0</v>
      </c>
      <c r="Y913" s="1">
        <v>3.0</v>
      </c>
      <c r="Z913" s="1">
        <v>0.0</v>
      </c>
      <c r="AK913" s="1" t="s">
        <v>11376</v>
      </c>
      <c r="AL913" s="1">
        <v>4.0</v>
      </c>
      <c r="AM913" s="1">
        <v>1.0</v>
      </c>
      <c r="AN913" s="1" t="s">
        <v>10629</v>
      </c>
      <c r="AO913" s="121">
        <v>8783.0</v>
      </c>
      <c r="AP913" s="1" t="s">
        <v>18592</v>
      </c>
      <c r="AQ913" s="1" t="s">
        <v>18594</v>
      </c>
      <c r="AR913" s="121">
        <v>913.0</v>
      </c>
    </row>
    <row r="914">
      <c r="A914" s="1" t="s">
        <v>18598</v>
      </c>
      <c r="B914" s="1" t="s">
        <v>6876</v>
      </c>
      <c r="C914" s="1" t="s">
        <v>6877</v>
      </c>
      <c r="D914" s="1" t="s">
        <v>8493</v>
      </c>
      <c r="E914" s="147">
        <v>43906.0</v>
      </c>
      <c r="F914" s="1" t="s">
        <v>18600</v>
      </c>
      <c r="G914" s="1">
        <v>58.0</v>
      </c>
      <c r="H914" s="1">
        <v>1.0</v>
      </c>
      <c r="I914" s="1">
        <v>7.0</v>
      </c>
      <c r="L914" s="1" t="s">
        <v>6124</v>
      </c>
      <c r="M914" s="1" t="s">
        <v>6124</v>
      </c>
      <c r="N914" s="1" t="s">
        <v>18536</v>
      </c>
      <c r="O914" s="1" t="s">
        <v>18538</v>
      </c>
      <c r="P914" s="1" t="s">
        <v>18539</v>
      </c>
      <c r="Q914" s="1" t="s">
        <v>18540</v>
      </c>
      <c r="W914" s="1">
        <v>5.0</v>
      </c>
      <c r="X914" s="1">
        <v>1.0</v>
      </c>
      <c r="Y914" s="1">
        <v>3.0</v>
      </c>
      <c r="Z914" s="1">
        <v>66.0</v>
      </c>
      <c r="AA914" s="1">
        <v>4.0</v>
      </c>
      <c r="AB914" s="1">
        <v>1.0</v>
      </c>
      <c r="AC914" s="1">
        <v>3.0</v>
      </c>
      <c r="AD914" s="1">
        <v>0.0</v>
      </c>
      <c r="AE914" s="1">
        <v>1.0</v>
      </c>
      <c r="AF914" s="1">
        <v>3.0</v>
      </c>
      <c r="AG914" s="1">
        <v>1.0</v>
      </c>
      <c r="AH914" s="1">
        <v>3.0</v>
      </c>
      <c r="AI914" s="1">
        <v>0.0</v>
      </c>
      <c r="AK914" s="1" t="s">
        <v>18605</v>
      </c>
      <c r="AL914" s="1">
        <v>8.0</v>
      </c>
      <c r="AM914" s="1">
        <v>1.0</v>
      </c>
      <c r="AN914" s="1" t="s">
        <v>10629</v>
      </c>
      <c r="AO914" s="121">
        <v>8784.0</v>
      </c>
      <c r="AP914" s="1" t="s">
        <v>18607</v>
      </c>
      <c r="AQ914" s="1" t="s">
        <v>18608</v>
      </c>
      <c r="AR914" s="121">
        <v>914.0</v>
      </c>
    </row>
    <row r="915">
      <c r="A915" s="1" t="s">
        <v>18609</v>
      </c>
      <c r="B915" s="1" t="s">
        <v>6876</v>
      </c>
      <c r="C915" s="1" t="s">
        <v>6877</v>
      </c>
      <c r="D915" s="1" t="s">
        <v>8493</v>
      </c>
      <c r="E915" s="147">
        <v>43906.0</v>
      </c>
      <c r="F915" s="1" t="s">
        <v>18610</v>
      </c>
      <c r="G915" s="1">
        <v>58.0</v>
      </c>
      <c r="H915" s="1">
        <v>1.0</v>
      </c>
      <c r="I915" s="1">
        <v>7.0</v>
      </c>
      <c r="L915" s="1" t="s">
        <v>6138</v>
      </c>
      <c r="M915" s="1" t="s">
        <v>6138</v>
      </c>
      <c r="N915" s="1" t="s">
        <v>18536</v>
      </c>
      <c r="O915" s="1" t="s">
        <v>18538</v>
      </c>
      <c r="P915" s="1" t="s">
        <v>18539</v>
      </c>
      <c r="Q915" s="1" t="s">
        <v>18540</v>
      </c>
      <c r="W915" s="1">
        <v>5.0</v>
      </c>
      <c r="X915" s="1">
        <v>1.0</v>
      </c>
      <c r="Y915" s="1">
        <v>1.0</v>
      </c>
      <c r="AA915" s="1">
        <v>4.0</v>
      </c>
      <c r="AB915" s="1">
        <v>1.0</v>
      </c>
      <c r="AC915" s="1">
        <v>3.0</v>
      </c>
      <c r="AD915" s="1">
        <v>68.0</v>
      </c>
      <c r="AE915" s="1">
        <v>1.0</v>
      </c>
      <c r="AF915" s="1">
        <v>3.0</v>
      </c>
      <c r="AG915" s="1">
        <v>1.0</v>
      </c>
      <c r="AH915" s="1">
        <v>3.0</v>
      </c>
      <c r="AI915" s="1">
        <v>24.0</v>
      </c>
      <c r="AK915" s="1" t="s">
        <v>18614</v>
      </c>
      <c r="AL915" s="1">
        <v>6.0</v>
      </c>
      <c r="AM915" s="1">
        <v>1.0</v>
      </c>
      <c r="AN915" s="1" t="s">
        <v>10629</v>
      </c>
      <c r="AO915" s="121">
        <v>8785.0</v>
      </c>
      <c r="AP915" s="1" t="s">
        <v>18617</v>
      </c>
      <c r="AQ915" s="1" t="s">
        <v>18618</v>
      </c>
      <c r="AR915" s="121">
        <v>915.0</v>
      </c>
    </row>
    <row r="916">
      <c r="A916" s="1" t="s">
        <v>18610</v>
      </c>
      <c r="B916" s="1" t="s">
        <v>6876</v>
      </c>
      <c r="C916" s="1" t="s">
        <v>6877</v>
      </c>
      <c r="D916" s="1" t="s">
        <v>8493</v>
      </c>
      <c r="E916" s="147">
        <v>43906.0</v>
      </c>
      <c r="F916" s="1" t="s">
        <v>18622</v>
      </c>
      <c r="G916" s="1">
        <v>58.0</v>
      </c>
      <c r="H916" s="1">
        <v>1.0</v>
      </c>
      <c r="I916" s="1">
        <v>99.0</v>
      </c>
      <c r="L916" s="1" t="s">
        <v>6145</v>
      </c>
      <c r="M916" s="1" t="s">
        <v>6145</v>
      </c>
      <c r="N916" s="1" t="s">
        <v>18536</v>
      </c>
      <c r="O916" s="1" t="s">
        <v>18538</v>
      </c>
      <c r="P916" s="1" t="s">
        <v>18539</v>
      </c>
      <c r="Q916" s="1" t="s">
        <v>18540</v>
      </c>
      <c r="W916" s="1">
        <v>7.0</v>
      </c>
      <c r="X916" s="1">
        <v>100.0</v>
      </c>
      <c r="Y916" s="1">
        <v>3.0</v>
      </c>
      <c r="Z916" s="1">
        <v>0.0</v>
      </c>
      <c r="AK916" s="1" t="s">
        <v>18628</v>
      </c>
      <c r="AL916" s="1">
        <v>8.0</v>
      </c>
      <c r="AM916" s="1">
        <v>1.0</v>
      </c>
      <c r="AN916" s="1" t="s">
        <v>10629</v>
      </c>
      <c r="AO916" s="121">
        <v>8786.0</v>
      </c>
      <c r="AP916" s="1" t="s">
        <v>18630</v>
      </c>
      <c r="AQ916" s="1" t="s">
        <v>18631</v>
      </c>
      <c r="AR916" s="121">
        <v>916.0</v>
      </c>
    </row>
    <row r="917">
      <c r="A917" s="1" t="s">
        <v>18632</v>
      </c>
      <c r="B917" s="1" t="s">
        <v>6876</v>
      </c>
      <c r="C917" s="1" t="s">
        <v>6877</v>
      </c>
      <c r="D917" s="1" t="s">
        <v>8493</v>
      </c>
      <c r="E917" s="147">
        <v>43906.0</v>
      </c>
      <c r="F917" s="1" t="s">
        <v>18633</v>
      </c>
      <c r="G917" s="1">
        <v>59.0</v>
      </c>
      <c r="H917" s="1">
        <v>1.0</v>
      </c>
      <c r="I917" s="1">
        <v>11.0</v>
      </c>
      <c r="L917" s="1" t="s">
        <v>6229</v>
      </c>
      <c r="M917" s="1" t="s">
        <v>6229</v>
      </c>
      <c r="N917" s="1" t="s">
        <v>18636</v>
      </c>
      <c r="O917" s="1" t="s">
        <v>18637</v>
      </c>
      <c r="P917" s="1" t="s">
        <v>18638</v>
      </c>
      <c r="Q917" s="1" t="s">
        <v>18639</v>
      </c>
      <c r="W917" s="1">
        <v>4.0</v>
      </c>
      <c r="X917" s="1">
        <v>1.0</v>
      </c>
      <c r="Y917" s="1">
        <v>3.0</v>
      </c>
      <c r="Z917" s="1">
        <v>28.0</v>
      </c>
      <c r="AA917" s="1">
        <v>3.0</v>
      </c>
      <c r="AB917" s="1">
        <v>1.0</v>
      </c>
      <c r="AC917" s="1">
        <v>3.0</v>
      </c>
      <c r="AD917" s="1">
        <v>2.0</v>
      </c>
      <c r="AE917" s="1">
        <v>1.0</v>
      </c>
      <c r="AF917" s="1">
        <v>2.0</v>
      </c>
      <c r="AG917" s="1">
        <v>1.0</v>
      </c>
      <c r="AH917" s="1">
        <v>3.0</v>
      </c>
      <c r="AI917" s="1">
        <v>0.0</v>
      </c>
      <c r="AK917" s="1" t="s">
        <v>18641</v>
      </c>
      <c r="AL917" s="1">
        <v>6.0</v>
      </c>
      <c r="AM917" s="1">
        <v>1.0</v>
      </c>
      <c r="AN917" s="1" t="s">
        <v>10629</v>
      </c>
      <c r="AO917" s="121">
        <v>8787.0</v>
      </c>
      <c r="AP917" s="1" t="s">
        <v>18642</v>
      </c>
      <c r="AQ917" s="1" t="s">
        <v>18643</v>
      </c>
      <c r="AR917" s="121">
        <v>917.0</v>
      </c>
    </row>
    <row r="918">
      <c r="A918" s="1" t="s">
        <v>18646</v>
      </c>
      <c r="B918" s="1" t="s">
        <v>6876</v>
      </c>
      <c r="C918" s="1" t="s">
        <v>6877</v>
      </c>
      <c r="D918" s="1" t="s">
        <v>8493</v>
      </c>
      <c r="E918" s="147">
        <v>43906.0</v>
      </c>
      <c r="F918" s="1" t="s">
        <v>18647</v>
      </c>
      <c r="G918" s="1">
        <v>59.0</v>
      </c>
      <c r="H918" s="1">
        <v>1.0</v>
      </c>
      <c r="I918" s="1">
        <v>11.0</v>
      </c>
      <c r="L918" s="1" t="s">
        <v>6243</v>
      </c>
      <c r="M918" s="1" t="s">
        <v>6243</v>
      </c>
      <c r="N918" s="1" t="s">
        <v>18636</v>
      </c>
      <c r="O918" s="1" t="s">
        <v>18637</v>
      </c>
      <c r="P918" s="1" t="s">
        <v>18638</v>
      </c>
      <c r="Q918" s="1" t="s">
        <v>18639</v>
      </c>
      <c r="W918" s="1">
        <v>4.0</v>
      </c>
      <c r="X918" s="1">
        <v>1.0</v>
      </c>
      <c r="Y918" s="1">
        <v>3.0</v>
      </c>
      <c r="Z918" s="1">
        <v>70.0</v>
      </c>
      <c r="AA918" s="1">
        <v>3.0</v>
      </c>
      <c r="AB918" s="1">
        <v>1.0</v>
      </c>
      <c r="AC918" s="1">
        <v>3.0</v>
      </c>
      <c r="AD918" s="1">
        <v>0.0</v>
      </c>
      <c r="AE918" s="1">
        <v>1.0</v>
      </c>
      <c r="AF918" s="1">
        <v>2.0</v>
      </c>
      <c r="AG918" s="1">
        <v>1.0</v>
      </c>
      <c r="AH918" s="1">
        <v>3.0</v>
      </c>
      <c r="AI918" s="1">
        <v>0.0</v>
      </c>
      <c r="AK918" s="1" t="s">
        <v>18654</v>
      </c>
      <c r="AL918" s="1">
        <v>6.0</v>
      </c>
      <c r="AM918" s="1">
        <v>1.0</v>
      </c>
      <c r="AN918" s="1" t="s">
        <v>10629</v>
      </c>
      <c r="AO918" s="121">
        <v>8788.0</v>
      </c>
      <c r="AP918" s="1" t="s">
        <v>18657</v>
      </c>
      <c r="AQ918" s="1" t="s">
        <v>18658</v>
      </c>
      <c r="AR918" s="121">
        <v>918.0</v>
      </c>
    </row>
    <row r="919">
      <c r="A919" s="1" t="s">
        <v>18659</v>
      </c>
      <c r="B919" s="1" t="s">
        <v>6876</v>
      </c>
      <c r="C919" s="1" t="s">
        <v>6877</v>
      </c>
      <c r="D919" s="1" t="s">
        <v>8493</v>
      </c>
      <c r="E919" s="147">
        <v>43906.0</v>
      </c>
      <c r="F919" s="1" t="s">
        <v>18662</v>
      </c>
      <c r="G919" s="1">
        <v>59.0</v>
      </c>
      <c r="H919" s="1">
        <v>1.0</v>
      </c>
      <c r="I919" s="1">
        <v>99.0</v>
      </c>
      <c r="L919" s="1" t="s">
        <v>6250</v>
      </c>
      <c r="M919" s="1" t="s">
        <v>6250</v>
      </c>
      <c r="N919" s="1" t="s">
        <v>18636</v>
      </c>
      <c r="O919" s="1" t="s">
        <v>18637</v>
      </c>
      <c r="P919" s="1" t="s">
        <v>18638</v>
      </c>
      <c r="Q919" s="1" t="s">
        <v>18639</v>
      </c>
      <c r="W919" s="1">
        <v>7.0</v>
      </c>
      <c r="X919" s="1">
        <v>100.0</v>
      </c>
      <c r="Y919" s="1">
        <v>3.0</v>
      </c>
      <c r="Z919" s="1">
        <v>0.0</v>
      </c>
      <c r="AK919" s="1" t="s">
        <v>18665</v>
      </c>
      <c r="AL919" s="1">
        <v>6.0</v>
      </c>
      <c r="AM919" s="1">
        <v>1.0</v>
      </c>
      <c r="AN919" s="1" t="s">
        <v>10629</v>
      </c>
      <c r="AO919" s="121">
        <v>8789.0</v>
      </c>
      <c r="AP919" s="1" t="s">
        <v>18666</v>
      </c>
      <c r="AQ919" s="1" t="s">
        <v>18667</v>
      </c>
      <c r="AR919" s="121">
        <v>919.0</v>
      </c>
    </row>
    <row r="920">
      <c r="A920" s="1" t="s">
        <v>18668</v>
      </c>
      <c r="B920" s="1" t="s">
        <v>6876</v>
      </c>
      <c r="C920" s="1" t="s">
        <v>6877</v>
      </c>
      <c r="D920" s="1" t="s">
        <v>8493</v>
      </c>
      <c r="E920" s="147">
        <v>43906.0</v>
      </c>
      <c r="F920" s="1" t="s">
        <v>18671</v>
      </c>
      <c r="G920" s="1">
        <v>59.0</v>
      </c>
      <c r="H920" s="1">
        <v>1.0</v>
      </c>
      <c r="I920" s="1">
        <v>16.0</v>
      </c>
      <c r="L920" s="1" t="s">
        <v>6262</v>
      </c>
      <c r="M920" s="1" t="s">
        <v>6262</v>
      </c>
      <c r="N920" s="1" t="s">
        <v>18636</v>
      </c>
      <c r="O920" s="1" t="s">
        <v>18637</v>
      </c>
      <c r="P920" s="1" t="s">
        <v>18638</v>
      </c>
      <c r="Q920" s="1" t="s">
        <v>18639</v>
      </c>
      <c r="W920" s="1">
        <v>4.0</v>
      </c>
      <c r="X920" s="1">
        <v>1.0</v>
      </c>
      <c r="Y920" s="1">
        <v>1.0</v>
      </c>
      <c r="AA920" s="1">
        <v>3.0</v>
      </c>
      <c r="AB920" s="1">
        <v>1.0</v>
      </c>
      <c r="AC920" s="1">
        <v>3.0</v>
      </c>
      <c r="AD920" s="1">
        <v>8.0</v>
      </c>
      <c r="AE920" s="1">
        <v>1.0</v>
      </c>
      <c r="AF920" s="1">
        <v>2.0</v>
      </c>
      <c r="AG920" s="1">
        <v>1.0</v>
      </c>
      <c r="AH920" s="1">
        <v>3.0</v>
      </c>
      <c r="AI920" s="1">
        <v>0.0</v>
      </c>
      <c r="AK920" s="1" t="s">
        <v>18674</v>
      </c>
      <c r="AL920" s="1">
        <v>6.0</v>
      </c>
      <c r="AM920" s="1">
        <v>1.0</v>
      </c>
      <c r="AN920" s="1" t="s">
        <v>10629</v>
      </c>
      <c r="AO920" s="121">
        <v>8790.0</v>
      </c>
      <c r="AP920" s="1" t="s">
        <v>18676</v>
      </c>
      <c r="AQ920" s="1" t="s">
        <v>18677</v>
      </c>
      <c r="AR920" s="121">
        <v>920.0</v>
      </c>
    </row>
    <row r="921">
      <c r="A921" s="1" t="s">
        <v>18678</v>
      </c>
      <c r="B921" s="1" t="s">
        <v>6876</v>
      </c>
      <c r="C921" s="1" t="s">
        <v>6877</v>
      </c>
      <c r="D921" s="1" t="s">
        <v>8493</v>
      </c>
      <c r="E921" s="147">
        <v>43906.0</v>
      </c>
      <c r="F921" s="1" t="s">
        <v>18681</v>
      </c>
      <c r="G921" s="1">
        <v>33.0</v>
      </c>
      <c r="H921" s="1">
        <v>1.0</v>
      </c>
      <c r="I921" s="1">
        <v>98.0</v>
      </c>
      <c r="L921" s="1" t="s">
        <v>6273</v>
      </c>
      <c r="M921" s="1" t="s">
        <v>6273</v>
      </c>
      <c r="N921" s="1" t="s">
        <v>18636</v>
      </c>
      <c r="O921" s="1" t="s">
        <v>18637</v>
      </c>
      <c r="P921" s="1" t="s">
        <v>18638</v>
      </c>
      <c r="Q921" s="1" t="s">
        <v>18639</v>
      </c>
      <c r="W921" s="1">
        <v>7.0</v>
      </c>
      <c r="X921" s="1">
        <v>100.0</v>
      </c>
      <c r="Y921" s="1">
        <v>3.0</v>
      </c>
      <c r="Z921" s="1">
        <v>0.0</v>
      </c>
      <c r="AK921" s="1" t="s">
        <v>11376</v>
      </c>
      <c r="AL921" s="1">
        <v>6.0</v>
      </c>
      <c r="AM921" s="1">
        <v>1.0</v>
      </c>
      <c r="AN921" s="1" t="s">
        <v>10629</v>
      </c>
      <c r="AO921" s="121">
        <v>8791.0</v>
      </c>
      <c r="AP921" s="1" t="s">
        <v>18687</v>
      </c>
      <c r="AQ921" s="1" t="s">
        <v>18688</v>
      </c>
      <c r="AR921" s="121">
        <v>921.0</v>
      </c>
    </row>
    <row r="922">
      <c r="A922" s="1" t="s">
        <v>18690</v>
      </c>
      <c r="B922" s="1" t="s">
        <v>6876</v>
      </c>
      <c r="C922" s="1" t="s">
        <v>6877</v>
      </c>
      <c r="D922" s="1" t="s">
        <v>8493</v>
      </c>
      <c r="E922" s="147">
        <v>43906.0</v>
      </c>
      <c r="F922" s="1" t="s">
        <v>18691</v>
      </c>
      <c r="G922" s="1">
        <v>65.0</v>
      </c>
      <c r="H922" s="1">
        <v>1.0</v>
      </c>
      <c r="I922" s="1">
        <v>99.0</v>
      </c>
      <c r="L922" s="1" t="s">
        <v>6215</v>
      </c>
      <c r="M922" s="1" t="s">
        <v>6215</v>
      </c>
      <c r="N922" s="1" t="s">
        <v>18636</v>
      </c>
      <c r="O922" s="1" t="s">
        <v>18637</v>
      </c>
      <c r="P922" s="1" t="s">
        <v>18638</v>
      </c>
      <c r="Q922" s="1" t="s">
        <v>18639</v>
      </c>
      <c r="W922" s="1">
        <v>7.0</v>
      </c>
      <c r="X922" s="1">
        <v>100.0</v>
      </c>
      <c r="Y922" s="1">
        <v>3.0</v>
      </c>
      <c r="Z922" s="1">
        <v>0.0</v>
      </c>
      <c r="AK922" s="1" t="s">
        <v>18695</v>
      </c>
      <c r="AL922" s="1">
        <v>6.0</v>
      </c>
      <c r="AM922" s="1">
        <v>1.0</v>
      </c>
      <c r="AN922" s="1" t="s">
        <v>10629</v>
      </c>
      <c r="AO922" s="121">
        <v>8792.0</v>
      </c>
      <c r="AP922" s="1" t="s">
        <v>18696</v>
      </c>
      <c r="AQ922" s="1" t="s">
        <v>18698</v>
      </c>
      <c r="AR922" s="121">
        <v>922.0</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3" max="14" width="28.29"/>
  </cols>
  <sheetData>
    <row r="1">
      <c r="A1" s="50" t="s">
        <v>6827</v>
      </c>
      <c r="B1" s="50" t="s">
        <v>2187</v>
      </c>
      <c r="C1" s="50" t="s">
        <v>2188</v>
      </c>
      <c r="D1" s="50" t="s">
        <v>2189</v>
      </c>
      <c r="E1" s="50" t="s">
        <v>6831</v>
      </c>
      <c r="F1" s="50" t="s">
        <v>6832</v>
      </c>
      <c r="G1" s="50" t="s">
        <v>6834</v>
      </c>
      <c r="H1" s="50" t="s">
        <v>6835</v>
      </c>
      <c r="I1" s="50" t="s">
        <v>6838</v>
      </c>
      <c r="J1" s="50" t="s">
        <v>6839</v>
      </c>
      <c r="K1" s="50" t="s">
        <v>1274</v>
      </c>
      <c r="L1" s="50" t="s">
        <v>6842</v>
      </c>
      <c r="M1" s="50" t="s">
        <v>6844</v>
      </c>
      <c r="N1" s="50" t="s">
        <v>6845</v>
      </c>
      <c r="O1" s="50" t="s">
        <v>6846</v>
      </c>
      <c r="P1" s="50" t="s">
        <v>9932</v>
      </c>
      <c r="Q1" s="50" t="s">
        <v>9933</v>
      </c>
      <c r="R1" s="50" t="s">
        <v>9934</v>
      </c>
      <c r="S1" s="50" t="s">
        <v>9937</v>
      </c>
      <c r="T1" s="50" t="s">
        <v>9939</v>
      </c>
      <c r="U1" s="50" t="s">
        <v>9941</v>
      </c>
      <c r="V1" s="50" t="s">
        <v>9943</v>
      </c>
      <c r="W1" s="50" t="s">
        <v>9944</v>
      </c>
      <c r="X1" s="50" t="s">
        <v>9945</v>
      </c>
      <c r="Y1" s="50" t="s">
        <v>9946</v>
      </c>
      <c r="Z1" s="50" t="s">
        <v>9947</v>
      </c>
      <c r="AA1" s="50" t="s">
        <v>9948</v>
      </c>
      <c r="AB1" s="50" t="s">
        <v>9949</v>
      </c>
      <c r="AC1" s="50" t="s">
        <v>9950</v>
      </c>
      <c r="AD1" s="50" t="s">
        <v>9951</v>
      </c>
      <c r="AE1" s="50" t="s">
        <v>9952</v>
      </c>
      <c r="AF1" s="50" t="s">
        <v>9953</v>
      </c>
      <c r="AG1" s="50" t="s">
        <v>9954</v>
      </c>
      <c r="AH1" s="50" t="s">
        <v>9955</v>
      </c>
      <c r="AI1" s="50" t="s">
        <v>9956</v>
      </c>
      <c r="AJ1" s="50" t="s">
        <v>9957</v>
      </c>
      <c r="AK1" s="50" t="s">
        <v>9958</v>
      </c>
      <c r="AL1" s="50" t="s">
        <v>9959</v>
      </c>
      <c r="AM1" s="50" t="s">
        <v>9960</v>
      </c>
      <c r="AN1" s="50" t="s">
        <v>9961</v>
      </c>
      <c r="AO1" s="50" t="s">
        <v>9962</v>
      </c>
      <c r="AP1" s="50" t="s">
        <v>9963</v>
      </c>
      <c r="AQ1" s="50" t="s">
        <v>9965</v>
      </c>
      <c r="AR1" s="50" t="s">
        <v>9967</v>
      </c>
      <c r="AS1" s="50" t="s">
        <v>9968</v>
      </c>
      <c r="AT1" s="50" t="s">
        <v>9971</v>
      </c>
      <c r="AU1" s="50" t="s">
        <v>9973</v>
      </c>
      <c r="AV1" s="50" t="s">
        <v>9974</v>
      </c>
      <c r="AW1" s="50" t="s">
        <v>9975</v>
      </c>
      <c r="AX1" s="50" t="s">
        <v>9977</v>
      </c>
      <c r="AY1" s="50" t="s">
        <v>9980</v>
      </c>
      <c r="AZ1" s="50" t="s">
        <v>9981</v>
      </c>
      <c r="BA1" s="50" t="s">
        <v>9982</v>
      </c>
      <c r="BB1" s="50" t="s">
        <v>9984</v>
      </c>
      <c r="BC1" s="50" t="s">
        <v>9986</v>
      </c>
      <c r="BD1" s="50" t="s">
        <v>9988</v>
      </c>
      <c r="BE1" s="50" t="s">
        <v>9990</v>
      </c>
      <c r="BF1" s="50" t="s">
        <v>9991</v>
      </c>
      <c r="BG1" s="50" t="s">
        <v>9993</v>
      </c>
      <c r="BH1" s="50" t="s">
        <v>9995</v>
      </c>
      <c r="BI1" s="50" t="s">
        <v>9996</v>
      </c>
      <c r="BJ1" s="50" t="s">
        <v>9997</v>
      </c>
      <c r="BK1" s="50" t="s">
        <v>9998</v>
      </c>
      <c r="BL1" s="50" t="s">
        <v>9999</v>
      </c>
      <c r="BM1" s="50" t="s">
        <v>10000</v>
      </c>
      <c r="BN1" s="50" t="s">
        <v>10001</v>
      </c>
      <c r="BO1" s="50" t="s">
        <v>10002</v>
      </c>
      <c r="BP1" s="50" t="s">
        <v>10004</v>
      </c>
      <c r="BQ1" s="50" t="s">
        <v>10005</v>
      </c>
      <c r="BR1" s="50" t="s">
        <v>10006</v>
      </c>
      <c r="BS1" s="50" t="s">
        <v>10008</v>
      </c>
      <c r="BT1" s="50" t="s">
        <v>10011</v>
      </c>
      <c r="BU1" s="50" t="s">
        <v>10012</v>
      </c>
      <c r="BV1" s="50" t="s">
        <v>10013</v>
      </c>
      <c r="BW1" s="50" t="s">
        <v>10015</v>
      </c>
      <c r="BX1" s="50" t="s">
        <v>10017</v>
      </c>
      <c r="BY1" s="50" t="s">
        <v>10019</v>
      </c>
      <c r="BZ1" s="50" t="s">
        <v>10021</v>
      </c>
      <c r="CA1" s="50" t="s">
        <v>10023</v>
      </c>
      <c r="CB1" s="50" t="s">
        <v>6867</v>
      </c>
      <c r="CC1" s="50" t="s">
        <v>6868</v>
      </c>
      <c r="CD1" s="50" t="s">
        <v>6869</v>
      </c>
      <c r="CE1" s="50" t="s">
        <v>6871</v>
      </c>
      <c r="CF1" s="50" t="s">
        <v>2267</v>
      </c>
      <c r="CG1" s="50" t="s">
        <v>2268</v>
      </c>
      <c r="CH1" s="50" t="s">
        <v>2269</v>
      </c>
      <c r="CI1" s="50" t="s">
        <v>2270</v>
      </c>
      <c r="CJ1" s="50" t="s">
        <v>2271</v>
      </c>
    </row>
    <row r="2">
      <c r="A2" s="50" t="s">
        <v>10024</v>
      </c>
      <c r="B2" s="50" t="s">
        <v>6876</v>
      </c>
      <c r="C2" s="50" t="s">
        <v>6877</v>
      </c>
      <c r="D2" s="50" t="s">
        <v>6878</v>
      </c>
      <c r="E2" s="50" t="s">
        <v>10027</v>
      </c>
      <c r="F2" s="50">
        <v>58.0</v>
      </c>
      <c r="G2" s="50">
        <v>2.0</v>
      </c>
      <c r="H2" s="50">
        <v>2.0</v>
      </c>
      <c r="I2" s="116"/>
      <c r="J2" s="116"/>
      <c r="K2" s="51" t="s">
        <v>140</v>
      </c>
      <c r="L2" s="50" t="s">
        <v>333</v>
      </c>
      <c r="M2" s="50" t="s">
        <v>10031</v>
      </c>
      <c r="N2" s="50" t="s">
        <v>10032</v>
      </c>
      <c r="O2" s="50" t="s">
        <v>10034</v>
      </c>
      <c r="P2" s="116"/>
      <c r="Q2" s="116"/>
      <c r="R2" s="116"/>
      <c r="S2" s="50">
        <v>7.0</v>
      </c>
      <c r="T2" s="50">
        <v>1000.0</v>
      </c>
      <c r="U2" s="50">
        <v>2.0</v>
      </c>
      <c r="V2" s="116"/>
      <c r="W2" s="50">
        <v>7.0</v>
      </c>
      <c r="X2" s="50">
        <v>100.0</v>
      </c>
      <c r="Y2" s="50">
        <v>2.0</v>
      </c>
      <c r="Z2" s="116"/>
      <c r="AA2" s="50">
        <v>0.0</v>
      </c>
      <c r="AB2" s="116"/>
      <c r="AC2" s="116"/>
      <c r="AD2" s="116"/>
      <c r="AE2" s="116"/>
      <c r="AF2" s="116"/>
      <c r="AG2" s="116"/>
      <c r="AH2" s="50">
        <v>7.0</v>
      </c>
      <c r="AI2" s="50">
        <v>5000.0</v>
      </c>
      <c r="AJ2" s="50">
        <v>3.0</v>
      </c>
      <c r="AK2" s="50">
        <v>0.0</v>
      </c>
      <c r="AL2" s="50">
        <v>7.0</v>
      </c>
      <c r="AM2" s="50">
        <v>1000.0</v>
      </c>
      <c r="AN2" s="50">
        <v>3.0</v>
      </c>
      <c r="AO2" s="50">
        <v>0.0</v>
      </c>
      <c r="AP2" s="50">
        <v>1.0</v>
      </c>
      <c r="AQ2" s="50">
        <v>7.0</v>
      </c>
      <c r="AR2" s="50">
        <v>100.0</v>
      </c>
      <c r="AS2" s="50">
        <v>3.0</v>
      </c>
      <c r="AT2" s="50">
        <v>0.0</v>
      </c>
      <c r="AU2" s="50">
        <v>1.0</v>
      </c>
      <c r="AV2" s="50" t="s">
        <v>10046</v>
      </c>
      <c r="AW2" s="50" t="s">
        <v>7031</v>
      </c>
      <c r="AX2" s="116"/>
      <c r="AY2" s="116"/>
      <c r="AZ2" s="50">
        <v>7.0</v>
      </c>
      <c r="BA2" s="50">
        <v>1000.0</v>
      </c>
      <c r="BB2" s="50">
        <v>2.0</v>
      </c>
      <c r="BC2" s="116"/>
      <c r="BD2" s="50">
        <v>7.0</v>
      </c>
      <c r="BE2" s="50">
        <v>100.0</v>
      </c>
      <c r="BF2" s="50">
        <v>2.0</v>
      </c>
      <c r="BG2" s="116"/>
      <c r="BH2" s="50">
        <v>0.0</v>
      </c>
      <c r="BI2" s="116"/>
      <c r="BJ2" s="116"/>
      <c r="BK2" s="116"/>
      <c r="BL2" s="116"/>
      <c r="BM2" s="116"/>
      <c r="BN2" s="116"/>
      <c r="BO2" s="50">
        <v>7.0</v>
      </c>
      <c r="BP2" s="50">
        <v>5000.0</v>
      </c>
      <c r="BQ2" s="50">
        <v>3.0</v>
      </c>
      <c r="BR2" s="50">
        <v>0.0</v>
      </c>
      <c r="BS2" s="50">
        <v>7.0</v>
      </c>
      <c r="BT2" s="50">
        <v>1000.0</v>
      </c>
      <c r="BU2" s="50">
        <v>3.0</v>
      </c>
      <c r="BV2" s="50">
        <v>0.0</v>
      </c>
      <c r="BW2" s="50">
        <v>1.0</v>
      </c>
      <c r="BX2" s="50">
        <v>7.0</v>
      </c>
      <c r="BY2" s="50">
        <v>100.0</v>
      </c>
      <c r="BZ2" s="50">
        <v>3.0</v>
      </c>
      <c r="CA2" s="50">
        <v>0.0</v>
      </c>
      <c r="CB2" s="116"/>
      <c r="CC2" s="50" t="s">
        <v>10061</v>
      </c>
      <c r="CD2" s="50" t="s">
        <v>10062</v>
      </c>
      <c r="CE2" s="50">
        <v>0.0</v>
      </c>
      <c r="CF2" s="50" t="s">
        <v>10066</v>
      </c>
      <c r="CG2" s="117">
        <v>2820.0</v>
      </c>
      <c r="CH2" s="50" t="s">
        <v>10067</v>
      </c>
      <c r="CI2" s="50" t="s">
        <v>10068</v>
      </c>
      <c r="CJ2" s="117">
        <v>1.0</v>
      </c>
    </row>
    <row r="3">
      <c r="A3" s="50" t="s">
        <v>10027</v>
      </c>
      <c r="B3" s="50" t="s">
        <v>6876</v>
      </c>
      <c r="C3" s="50" t="s">
        <v>6877</v>
      </c>
      <c r="D3" s="50" t="s">
        <v>6878</v>
      </c>
      <c r="E3" s="50" t="s">
        <v>10070</v>
      </c>
      <c r="F3" s="50">
        <v>58.0</v>
      </c>
      <c r="G3" s="50">
        <v>2.0</v>
      </c>
      <c r="H3" s="50">
        <v>2.0</v>
      </c>
      <c r="I3" s="116"/>
      <c r="J3" s="116"/>
      <c r="K3" s="51" t="s">
        <v>178</v>
      </c>
      <c r="L3" s="50" t="s">
        <v>349</v>
      </c>
      <c r="M3" s="50" t="s">
        <v>10075</v>
      </c>
      <c r="N3" s="50" t="s">
        <v>10032</v>
      </c>
      <c r="O3" s="50" t="s">
        <v>10034</v>
      </c>
      <c r="P3" s="116"/>
      <c r="Q3" s="116"/>
      <c r="R3" s="116"/>
      <c r="S3" s="50">
        <v>7.0</v>
      </c>
      <c r="T3" s="50">
        <v>1000.0</v>
      </c>
      <c r="U3" s="50">
        <v>2.0</v>
      </c>
      <c r="V3" s="116"/>
      <c r="W3" s="50">
        <v>7.0</v>
      </c>
      <c r="X3" s="50">
        <v>100.0</v>
      </c>
      <c r="Y3" s="50">
        <v>2.0</v>
      </c>
      <c r="Z3" s="116"/>
      <c r="AA3" s="50">
        <v>0.0</v>
      </c>
      <c r="AB3" s="116"/>
      <c r="AC3" s="116"/>
      <c r="AD3" s="116"/>
      <c r="AE3" s="116"/>
      <c r="AF3" s="116"/>
      <c r="AG3" s="116"/>
      <c r="AH3" s="50">
        <v>7.0</v>
      </c>
      <c r="AI3" s="50">
        <v>5000.0</v>
      </c>
      <c r="AJ3" s="50">
        <v>3.0</v>
      </c>
      <c r="AK3" s="50">
        <v>0.0</v>
      </c>
      <c r="AL3" s="50">
        <v>7.0</v>
      </c>
      <c r="AM3" s="50">
        <v>1000.0</v>
      </c>
      <c r="AN3" s="50">
        <v>3.0</v>
      </c>
      <c r="AO3" s="50">
        <v>0.0</v>
      </c>
      <c r="AP3" s="50">
        <v>1.0</v>
      </c>
      <c r="AQ3" s="50">
        <v>7.0</v>
      </c>
      <c r="AR3" s="50">
        <v>100.0</v>
      </c>
      <c r="AS3" s="50">
        <v>3.0</v>
      </c>
      <c r="AT3" s="50">
        <v>0.0</v>
      </c>
      <c r="AU3" s="50">
        <v>1.0</v>
      </c>
      <c r="AV3" s="50" t="s">
        <v>10046</v>
      </c>
      <c r="AW3" s="50" t="s">
        <v>7031</v>
      </c>
      <c r="AX3" s="116"/>
      <c r="AY3" s="116"/>
      <c r="AZ3" s="50">
        <v>7.0</v>
      </c>
      <c r="BA3" s="50">
        <v>1000.0</v>
      </c>
      <c r="BB3" s="50">
        <v>2.0</v>
      </c>
      <c r="BC3" s="116"/>
      <c r="BD3" s="50">
        <v>7.0</v>
      </c>
      <c r="BE3" s="50">
        <v>100.0</v>
      </c>
      <c r="BF3" s="50">
        <v>2.0</v>
      </c>
      <c r="BG3" s="116"/>
      <c r="BH3" s="50">
        <v>0.0</v>
      </c>
      <c r="BI3" s="116"/>
      <c r="BJ3" s="116"/>
      <c r="BK3" s="116"/>
      <c r="BL3" s="116"/>
      <c r="BM3" s="116"/>
      <c r="BN3" s="116"/>
      <c r="BO3" s="50">
        <v>7.0</v>
      </c>
      <c r="BP3" s="50">
        <v>5000.0</v>
      </c>
      <c r="BQ3" s="50">
        <v>3.0</v>
      </c>
      <c r="BR3" s="50">
        <v>0.0</v>
      </c>
      <c r="BS3" s="50">
        <v>7.0</v>
      </c>
      <c r="BT3" s="50">
        <v>1000.0</v>
      </c>
      <c r="BU3" s="50">
        <v>3.0</v>
      </c>
      <c r="BV3" s="50">
        <v>0.0</v>
      </c>
      <c r="BW3" s="50">
        <v>1.0</v>
      </c>
      <c r="BX3" s="50">
        <v>7.0</v>
      </c>
      <c r="BY3" s="50">
        <v>100.0</v>
      </c>
      <c r="BZ3" s="50">
        <v>3.0</v>
      </c>
      <c r="CA3" s="50">
        <v>0.0</v>
      </c>
      <c r="CB3" s="116"/>
      <c r="CC3" s="50" t="s">
        <v>10093</v>
      </c>
      <c r="CD3" s="50" t="s">
        <v>10094</v>
      </c>
      <c r="CE3" s="50">
        <v>0.0</v>
      </c>
      <c r="CF3" s="50" t="s">
        <v>10066</v>
      </c>
      <c r="CG3" s="117">
        <v>2821.0</v>
      </c>
      <c r="CH3" s="50" t="s">
        <v>10096</v>
      </c>
      <c r="CI3" s="50" t="s">
        <v>10097</v>
      </c>
      <c r="CJ3" s="117">
        <v>2.0</v>
      </c>
    </row>
    <row r="4">
      <c r="A4" s="50" t="s">
        <v>10101</v>
      </c>
      <c r="B4" s="50" t="s">
        <v>6876</v>
      </c>
      <c r="C4" s="50" t="s">
        <v>6877</v>
      </c>
      <c r="D4" s="50" t="s">
        <v>6878</v>
      </c>
      <c r="E4" s="50" t="s">
        <v>10104</v>
      </c>
      <c r="F4" s="50">
        <v>58.0</v>
      </c>
      <c r="G4" s="50">
        <v>2.0</v>
      </c>
      <c r="H4" s="50">
        <v>8.0</v>
      </c>
      <c r="I4" s="116"/>
      <c r="J4" s="116"/>
      <c r="K4" s="51" t="s">
        <v>197</v>
      </c>
      <c r="L4" s="50" t="s">
        <v>330</v>
      </c>
      <c r="M4" s="50" t="s">
        <v>10032</v>
      </c>
      <c r="N4" s="50" t="s">
        <v>10107</v>
      </c>
      <c r="O4" s="50" t="s">
        <v>7031</v>
      </c>
      <c r="P4" s="116"/>
      <c r="Q4" s="116"/>
      <c r="R4" s="116"/>
      <c r="S4" s="50">
        <v>7.0</v>
      </c>
      <c r="T4" s="50">
        <v>1000.0</v>
      </c>
      <c r="U4" s="50">
        <v>2.0</v>
      </c>
      <c r="V4" s="116"/>
      <c r="W4" s="50">
        <v>7.0</v>
      </c>
      <c r="X4" s="50">
        <v>100.0</v>
      </c>
      <c r="Y4" s="50">
        <v>2.0</v>
      </c>
      <c r="Z4" s="116"/>
      <c r="AA4" s="50">
        <v>0.0</v>
      </c>
      <c r="AB4" s="116"/>
      <c r="AC4" s="116"/>
      <c r="AD4" s="116"/>
      <c r="AE4" s="116"/>
      <c r="AF4" s="116"/>
      <c r="AG4" s="116"/>
      <c r="AH4" s="50">
        <v>7.0</v>
      </c>
      <c r="AI4" s="50">
        <v>5000.0</v>
      </c>
      <c r="AJ4" s="50">
        <v>3.0</v>
      </c>
      <c r="AK4" s="50">
        <v>0.0</v>
      </c>
      <c r="AL4" s="50">
        <v>7.0</v>
      </c>
      <c r="AM4" s="50">
        <v>1000.0</v>
      </c>
      <c r="AN4" s="50">
        <v>3.0</v>
      </c>
      <c r="AO4" s="50">
        <v>0.0</v>
      </c>
      <c r="AP4" s="50">
        <v>1.0</v>
      </c>
      <c r="AQ4" s="50">
        <v>7.0</v>
      </c>
      <c r="AR4" s="50">
        <v>100.0</v>
      </c>
      <c r="AS4" s="50">
        <v>3.0</v>
      </c>
      <c r="AT4" s="50">
        <v>0.0</v>
      </c>
      <c r="AU4" s="50">
        <v>1.0</v>
      </c>
      <c r="AV4" s="50" t="s">
        <v>10046</v>
      </c>
      <c r="AW4" s="50" t="s">
        <v>10120</v>
      </c>
      <c r="AX4" s="116"/>
      <c r="AY4" s="116"/>
      <c r="AZ4" s="50">
        <v>7.0</v>
      </c>
      <c r="BA4" s="50">
        <v>1000.0</v>
      </c>
      <c r="BB4" s="50">
        <v>2.0</v>
      </c>
      <c r="BC4" s="116"/>
      <c r="BD4" s="50">
        <v>7.0</v>
      </c>
      <c r="BE4" s="50">
        <v>100.0</v>
      </c>
      <c r="BF4" s="50">
        <v>2.0</v>
      </c>
      <c r="BG4" s="116"/>
      <c r="BH4" s="50">
        <v>0.0</v>
      </c>
      <c r="BI4" s="116"/>
      <c r="BJ4" s="116"/>
      <c r="BK4" s="116"/>
      <c r="BL4" s="116"/>
      <c r="BM4" s="116"/>
      <c r="BN4" s="116"/>
      <c r="BO4" s="50">
        <v>7.0</v>
      </c>
      <c r="BP4" s="50">
        <v>5000.0</v>
      </c>
      <c r="BQ4" s="50">
        <v>3.0</v>
      </c>
      <c r="BR4" s="50">
        <v>0.0</v>
      </c>
      <c r="BS4" s="50">
        <v>7.0</v>
      </c>
      <c r="BT4" s="50">
        <v>1000.0</v>
      </c>
      <c r="BU4" s="50">
        <v>3.0</v>
      </c>
      <c r="BV4" s="50">
        <v>0.0</v>
      </c>
      <c r="BW4" s="50">
        <v>1.0</v>
      </c>
      <c r="BX4" s="50">
        <v>7.0</v>
      </c>
      <c r="BY4" s="50">
        <v>100.0</v>
      </c>
      <c r="BZ4" s="50">
        <v>3.0</v>
      </c>
      <c r="CA4" s="50">
        <v>0.0</v>
      </c>
      <c r="CB4" s="116"/>
      <c r="CC4" s="116"/>
      <c r="CD4" s="50" t="s">
        <v>10094</v>
      </c>
      <c r="CE4" s="50">
        <v>0.0</v>
      </c>
      <c r="CF4" s="50" t="s">
        <v>10066</v>
      </c>
      <c r="CG4" s="117">
        <v>2822.0</v>
      </c>
      <c r="CH4" s="50" t="s">
        <v>10132</v>
      </c>
      <c r="CI4" s="50" t="s">
        <v>10133</v>
      </c>
      <c r="CJ4" s="117">
        <v>3.0</v>
      </c>
    </row>
    <row r="5">
      <c r="A5" s="50" t="s">
        <v>10138</v>
      </c>
      <c r="B5" s="50" t="s">
        <v>6876</v>
      </c>
      <c r="C5" s="50" t="s">
        <v>6877</v>
      </c>
      <c r="D5" s="50" t="s">
        <v>6878</v>
      </c>
      <c r="E5" s="50" t="s">
        <v>10140</v>
      </c>
      <c r="F5" s="50">
        <v>58.0</v>
      </c>
      <c r="G5" s="50">
        <v>2.0</v>
      </c>
      <c r="H5" s="50">
        <v>8.0</v>
      </c>
      <c r="I5" s="116"/>
      <c r="J5" s="116"/>
      <c r="K5" s="51" t="s">
        <v>210</v>
      </c>
      <c r="L5" s="50" t="s">
        <v>2183</v>
      </c>
      <c r="M5" s="50" t="s">
        <v>10032</v>
      </c>
      <c r="N5" s="50" t="s">
        <v>10107</v>
      </c>
      <c r="O5" s="50" t="s">
        <v>7031</v>
      </c>
      <c r="P5" s="116"/>
      <c r="Q5" s="116"/>
      <c r="R5" s="116"/>
      <c r="S5" s="50">
        <v>7.0</v>
      </c>
      <c r="T5" s="50">
        <v>1000.0</v>
      </c>
      <c r="U5" s="50">
        <v>2.0</v>
      </c>
      <c r="V5" s="116"/>
      <c r="W5" s="50">
        <v>7.0</v>
      </c>
      <c r="X5" s="50">
        <v>100.0</v>
      </c>
      <c r="Y5" s="50">
        <v>2.0</v>
      </c>
      <c r="Z5" s="116"/>
      <c r="AA5" s="50">
        <v>0.0</v>
      </c>
      <c r="AB5" s="116"/>
      <c r="AC5" s="116"/>
      <c r="AD5" s="116"/>
      <c r="AE5" s="116"/>
      <c r="AF5" s="116"/>
      <c r="AG5" s="116"/>
      <c r="AH5" s="50">
        <v>7.0</v>
      </c>
      <c r="AI5" s="50">
        <v>5000.0</v>
      </c>
      <c r="AJ5" s="50">
        <v>3.0</v>
      </c>
      <c r="AK5" s="50">
        <v>0.0</v>
      </c>
      <c r="AL5" s="50">
        <v>7.0</v>
      </c>
      <c r="AM5" s="50">
        <v>1000.0</v>
      </c>
      <c r="AN5" s="50">
        <v>3.0</v>
      </c>
      <c r="AO5" s="50">
        <v>0.0</v>
      </c>
      <c r="AP5" s="50">
        <v>1.0</v>
      </c>
      <c r="AQ5" s="50">
        <v>7.0</v>
      </c>
      <c r="AR5" s="50">
        <v>100.0</v>
      </c>
      <c r="AS5" s="50">
        <v>3.0</v>
      </c>
      <c r="AT5" s="50">
        <v>0.0</v>
      </c>
      <c r="AU5" s="50">
        <v>1.0</v>
      </c>
      <c r="AV5" s="50" t="s">
        <v>10046</v>
      </c>
      <c r="AW5" s="50" t="s">
        <v>10120</v>
      </c>
      <c r="AX5" s="116"/>
      <c r="AY5" s="116"/>
      <c r="AZ5" s="50">
        <v>7.0</v>
      </c>
      <c r="BA5" s="50">
        <v>1000.0</v>
      </c>
      <c r="BB5" s="50">
        <v>2.0</v>
      </c>
      <c r="BC5" s="116"/>
      <c r="BD5" s="50">
        <v>7.0</v>
      </c>
      <c r="BE5" s="50">
        <v>100.0</v>
      </c>
      <c r="BF5" s="50">
        <v>2.0</v>
      </c>
      <c r="BG5" s="116"/>
      <c r="BH5" s="50">
        <v>0.0</v>
      </c>
      <c r="BI5" s="116"/>
      <c r="BJ5" s="116"/>
      <c r="BK5" s="116"/>
      <c r="BL5" s="116"/>
      <c r="BM5" s="116"/>
      <c r="BN5" s="116"/>
      <c r="BO5" s="50">
        <v>7.0</v>
      </c>
      <c r="BP5" s="50">
        <v>5000.0</v>
      </c>
      <c r="BQ5" s="50">
        <v>3.0</v>
      </c>
      <c r="BR5" s="50">
        <v>0.0</v>
      </c>
      <c r="BS5" s="50">
        <v>7.0</v>
      </c>
      <c r="BT5" s="50">
        <v>1000.0</v>
      </c>
      <c r="BU5" s="50">
        <v>3.0</v>
      </c>
      <c r="BV5" s="50">
        <v>0.0</v>
      </c>
      <c r="BW5" s="50">
        <v>1.0</v>
      </c>
      <c r="BX5" s="50">
        <v>7.0</v>
      </c>
      <c r="BY5" s="50">
        <v>100.0</v>
      </c>
      <c r="BZ5" s="50">
        <v>3.0</v>
      </c>
      <c r="CA5" s="50">
        <v>0.0</v>
      </c>
      <c r="CB5" s="116"/>
      <c r="CC5" s="50" t="s">
        <v>10164</v>
      </c>
      <c r="CD5" s="50" t="s">
        <v>10094</v>
      </c>
      <c r="CE5" s="50">
        <v>0.0</v>
      </c>
      <c r="CF5" s="50" t="s">
        <v>10066</v>
      </c>
      <c r="CG5" s="117">
        <v>2823.0</v>
      </c>
      <c r="CH5" s="50" t="s">
        <v>10168</v>
      </c>
      <c r="CI5" s="50" t="s">
        <v>10169</v>
      </c>
      <c r="CJ5" s="117">
        <v>4.0</v>
      </c>
    </row>
    <row r="6">
      <c r="A6" s="50" t="s">
        <v>10170</v>
      </c>
      <c r="B6" s="50" t="s">
        <v>6876</v>
      </c>
      <c r="C6" s="50" t="s">
        <v>6877</v>
      </c>
      <c r="D6" s="50" t="s">
        <v>6878</v>
      </c>
      <c r="E6" s="50" t="s">
        <v>10172</v>
      </c>
      <c r="F6" s="50">
        <v>58.0</v>
      </c>
      <c r="G6" s="50">
        <v>2.0</v>
      </c>
      <c r="H6" s="50">
        <v>3.0</v>
      </c>
      <c r="I6" s="116"/>
      <c r="J6" s="116"/>
      <c r="K6" s="50" t="s">
        <v>2098</v>
      </c>
      <c r="L6" s="50" t="s">
        <v>2098</v>
      </c>
      <c r="M6" s="50" t="s">
        <v>10175</v>
      </c>
      <c r="N6" s="50" t="s">
        <v>10176</v>
      </c>
      <c r="O6" s="50" t="s">
        <v>10177</v>
      </c>
      <c r="P6" s="116"/>
      <c r="Q6" s="116"/>
      <c r="R6" s="116"/>
      <c r="S6" s="50">
        <v>7.0</v>
      </c>
      <c r="T6" s="50">
        <v>1000.0</v>
      </c>
      <c r="U6" s="50">
        <v>2.0</v>
      </c>
      <c r="V6" s="116"/>
      <c r="W6" s="50">
        <v>7.0</v>
      </c>
      <c r="X6" s="50">
        <v>100.0</v>
      </c>
      <c r="Y6" s="50">
        <v>2.0</v>
      </c>
      <c r="Z6" s="116"/>
      <c r="AA6" s="50">
        <v>0.0</v>
      </c>
      <c r="AB6" s="116"/>
      <c r="AC6" s="116"/>
      <c r="AD6" s="116"/>
      <c r="AE6" s="116"/>
      <c r="AF6" s="116"/>
      <c r="AG6" s="116"/>
      <c r="AH6" s="50">
        <v>7.0</v>
      </c>
      <c r="AI6" s="50">
        <v>5000.0</v>
      </c>
      <c r="AJ6" s="50">
        <v>3.0</v>
      </c>
      <c r="AK6" s="50">
        <v>0.0</v>
      </c>
      <c r="AL6" s="50">
        <v>7.0</v>
      </c>
      <c r="AM6" s="50">
        <v>1000.0</v>
      </c>
      <c r="AN6" s="50">
        <v>3.0</v>
      </c>
      <c r="AO6" s="50">
        <v>0.0</v>
      </c>
      <c r="AP6" s="50">
        <v>1.0</v>
      </c>
      <c r="AQ6" s="50">
        <v>7.0</v>
      </c>
      <c r="AR6" s="50">
        <v>100.0</v>
      </c>
      <c r="AS6" s="50">
        <v>3.0</v>
      </c>
      <c r="AT6" s="50">
        <v>0.0</v>
      </c>
      <c r="AU6" s="50">
        <v>1.0</v>
      </c>
      <c r="AV6" s="50" t="s">
        <v>10185</v>
      </c>
      <c r="AW6" s="50" t="s">
        <v>10186</v>
      </c>
      <c r="AX6" s="116"/>
      <c r="AY6" s="116"/>
      <c r="AZ6" s="50">
        <v>7.0</v>
      </c>
      <c r="BA6" s="50">
        <v>1000.0</v>
      </c>
      <c r="BB6" s="50">
        <v>2.0</v>
      </c>
      <c r="BC6" s="116"/>
      <c r="BD6" s="50">
        <v>7.0</v>
      </c>
      <c r="BE6" s="50">
        <v>100.0</v>
      </c>
      <c r="BF6" s="50">
        <v>2.0</v>
      </c>
      <c r="BG6" s="116"/>
      <c r="BH6" s="50">
        <v>0.0</v>
      </c>
      <c r="BI6" s="116"/>
      <c r="BJ6" s="116"/>
      <c r="BK6" s="116"/>
      <c r="BL6" s="116"/>
      <c r="BM6" s="116"/>
      <c r="BN6" s="116"/>
      <c r="BO6" s="50">
        <v>7.0</v>
      </c>
      <c r="BP6" s="50">
        <v>5000.0</v>
      </c>
      <c r="BQ6" s="50">
        <v>3.0</v>
      </c>
      <c r="BR6" s="50">
        <v>0.0</v>
      </c>
      <c r="BS6" s="50">
        <v>7.0</v>
      </c>
      <c r="BT6" s="50">
        <v>1000.0</v>
      </c>
      <c r="BU6" s="50">
        <v>3.0</v>
      </c>
      <c r="BV6" s="50">
        <v>0.0</v>
      </c>
      <c r="BW6" s="50">
        <v>1.0</v>
      </c>
      <c r="BX6" s="50">
        <v>7.0</v>
      </c>
      <c r="BY6" s="50">
        <v>100.0</v>
      </c>
      <c r="BZ6" s="50">
        <v>3.0</v>
      </c>
      <c r="CA6" s="50">
        <v>0.0</v>
      </c>
      <c r="CB6" s="116"/>
      <c r="CC6" s="50" t="s">
        <v>10164</v>
      </c>
      <c r="CD6" s="50" t="s">
        <v>10094</v>
      </c>
      <c r="CE6" s="50">
        <v>0.0</v>
      </c>
      <c r="CF6" s="50" t="s">
        <v>10066</v>
      </c>
      <c r="CG6" s="117">
        <v>2824.0</v>
      </c>
      <c r="CH6" s="50" t="s">
        <v>10197</v>
      </c>
      <c r="CI6" s="50" t="s">
        <v>10198</v>
      </c>
      <c r="CJ6" s="117">
        <v>5.0</v>
      </c>
    </row>
    <row r="7">
      <c r="A7" s="50" t="s">
        <v>10202</v>
      </c>
      <c r="B7" s="50" t="s">
        <v>6876</v>
      </c>
      <c r="C7" s="50" t="s">
        <v>6877</v>
      </c>
      <c r="D7" s="50" t="s">
        <v>6878</v>
      </c>
      <c r="E7" s="50" t="s">
        <v>10205</v>
      </c>
      <c r="F7" s="50">
        <v>58.0</v>
      </c>
      <c r="G7" s="50">
        <v>2.0</v>
      </c>
      <c r="H7" s="50">
        <v>9.0</v>
      </c>
      <c r="I7" s="116"/>
      <c r="J7" s="116"/>
      <c r="K7" s="51" t="s">
        <v>365</v>
      </c>
      <c r="L7" s="50" t="s">
        <v>2180</v>
      </c>
      <c r="M7" s="50" t="s">
        <v>10175</v>
      </c>
      <c r="N7" s="50" t="s">
        <v>10176</v>
      </c>
      <c r="O7" s="50" t="s">
        <v>10177</v>
      </c>
      <c r="P7" s="116"/>
      <c r="Q7" s="116"/>
      <c r="R7" s="116"/>
      <c r="S7" s="50">
        <v>7.0</v>
      </c>
      <c r="T7" s="50">
        <v>1000.0</v>
      </c>
      <c r="U7" s="50">
        <v>2.0</v>
      </c>
      <c r="V7" s="116"/>
      <c r="W7" s="50">
        <v>7.0</v>
      </c>
      <c r="X7" s="50">
        <v>100.0</v>
      </c>
      <c r="Y7" s="50">
        <v>2.0</v>
      </c>
      <c r="Z7" s="116"/>
      <c r="AA7" s="50">
        <v>0.0</v>
      </c>
      <c r="AB7" s="116"/>
      <c r="AC7" s="116"/>
      <c r="AD7" s="116"/>
      <c r="AE7" s="116"/>
      <c r="AF7" s="116"/>
      <c r="AG7" s="116"/>
      <c r="AH7" s="50">
        <v>7.0</v>
      </c>
      <c r="AI7" s="50">
        <v>5000.0</v>
      </c>
      <c r="AJ7" s="50">
        <v>3.0</v>
      </c>
      <c r="AK7" s="50">
        <v>0.0</v>
      </c>
      <c r="AL7" s="50">
        <v>7.0</v>
      </c>
      <c r="AM7" s="50">
        <v>1000.0</v>
      </c>
      <c r="AN7" s="50">
        <v>3.0</v>
      </c>
      <c r="AO7" s="50">
        <v>0.0</v>
      </c>
      <c r="AP7" s="50">
        <v>1.0</v>
      </c>
      <c r="AQ7" s="50">
        <v>7.0</v>
      </c>
      <c r="AR7" s="50">
        <v>100.0</v>
      </c>
      <c r="AS7" s="50">
        <v>3.0</v>
      </c>
      <c r="AT7" s="50">
        <v>0.0</v>
      </c>
      <c r="AU7" s="50">
        <v>1.0</v>
      </c>
      <c r="AV7" s="50" t="s">
        <v>7031</v>
      </c>
      <c r="AW7" s="50" t="s">
        <v>10186</v>
      </c>
      <c r="AX7" s="116"/>
      <c r="AY7" s="116"/>
      <c r="AZ7" s="50">
        <v>7.0</v>
      </c>
      <c r="BA7" s="50">
        <v>1000.0</v>
      </c>
      <c r="BB7" s="50">
        <v>2.0</v>
      </c>
      <c r="BC7" s="116"/>
      <c r="BD7" s="50">
        <v>7.0</v>
      </c>
      <c r="BE7" s="50">
        <v>100.0</v>
      </c>
      <c r="BF7" s="50">
        <v>2.0</v>
      </c>
      <c r="BG7" s="116"/>
      <c r="BH7" s="50">
        <v>0.0</v>
      </c>
      <c r="BI7" s="116"/>
      <c r="BJ7" s="116"/>
      <c r="BK7" s="116"/>
      <c r="BL7" s="116"/>
      <c r="BM7" s="116"/>
      <c r="BN7" s="116"/>
      <c r="BO7" s="50">
        <v>7.0</v>
      </c>
      <c r="BP7" s="50">
        <v>5000.0</v>
      </c>
      <c r="BQ7" s="50">
        <v>3.0</v>
      </c>
      <c r="BR7" s="50">
        <v>0.0</v>
      </c>
      <c r="BS7" s="50">
        <v>7.0</v>
      </c>
      <c r="BT7" s="50">
        <v>1000.0</v>
      </c>
      <c r="BU7" s="50">
        <v>3.0</v>
      </c>
      <c r="BV7" s="50">
        <v>0.0</v>
      </c>
      <c r="BW7" s="50">
        <v>1.0</v>
      </c>
      <c r="BX7" s="50">
        <v>7.0</v>
      </c>
      <c r="BY7" s="50">
        <v>100.0</v>
      </c>
      <c r="BZ7" s="50">
        <v>3.0</v>
      </c>
      <c r="CA7" s="50">
        <v>0.0</v>
      </c>
      <c r="CB7" s="116"/>
      <c r="CC7" s="50" t="s">
        <v>10164</v>
      </c>
      <c r="CD7" s="50" t="s">
        <v>10094</v>
      </c>
      <c r="CE7" s="50">
        <v>0.0</v>
      </c>
      <c r="CF7" s="50" t="s">
        <v>10066</v>
      </c>
      <c r="CG7" s="117">
        <v>2825.0</v>
      </c>
      <c r="CH7" s="50" t="s">
        <v>10234</v>
      </c>
      <c r="CI7" s="50" t="s">
        <v>10235</v>
      </c>
      <c r="CJ7" s="117">
        <v>6.0</v>
      </c>
    </row>
    <row r="8">
      <c r="A8" s="50" t="s">
        <v>10236</v>
      </c>
      <c r="B8" s="50" t="s">
        <v>6876</v>
      </c>
      <c r="C8" s="50" t="s">
        <v>6877</v>
      </c>
      <c r="D8" s="50" t="s">
        <v>6878</v>
      </c>
      <c r="E8" s="50" t="s">
        <v>10245</v>
      </c>
      <c r="F8" s="50">
        <v>58.0</v>
      </c>
      <c r="G8" s="50">
        <v>2.0</v>
      </c>
      <c r="H8" s="50">
        <v>5.0</v>
      </c>
      <c r="I8" s="116"/>
      <c r="J8" s="116"/>
      <c r="K8" s="51" t="s">
        <v>374</v>
      </c>
      <c r="L8" s="51" t="s">
        <v>374</v>
      </c>
      <c r="M8" s="50" t="s">
        <v>10175</v>
      </c>
      <c r="N8" s="50" t="s">
        <v>10176</v>
      </c>
      <c r="O8" s="50" t="s">
        <v>10177</v>
      </c>
      <c r="P8" s="116"/>
      <c r="Q8" s="116"/>
      <c r="R8" s="116"/>
      <c r="S8" s="50">
        <v>7.0</v>
      </c>
      <c r="T8" s="50">
        <v>1000.0</v>
      </c>
      <c r="U8" s="50">
        <v>2.0</v>
      </c>
      <c r="V8" s="116"/>
      <c r="W8" s="50">
        <v>7.0</v>
      </c>
      <c r="X8" s="50">
        <v>100.0</v>
      </c>
      <c r="Y8" s="50">
        <v>2.0</v>
      </c>
      <c r="Z8" s="116"/>
      <c r="AA8" s="50">
        <v>0.0</v>
      </c>
      <c r="AB8" s="116"/>
      <c r="AC8" s="116"/>
      <c r="AD8" s="116"/>
      <c r="AE8" s="116"/>
      <c r="AF8" s="116"/>
      <c r="AG8" s="116"/>
      <c r="AH8" s="50">
        <v>7.0</v>
      </c>
      <c r="AI8" s="50">
        <v>5000.0</v>
      </c>
      <c r="AJ8" s="50">
        <v>3.0</v>
      </c>
      <c r="AK8" s="50">
        <v>1.0</v>
      </c>
      <c r="AL8" s="50">
        <v>7.0</v>
      </c>
      <c r="AM8" s="50">
        <v>1000.0</v>
      </c>
      <c r="AN8" s="50">
        <v>3.0</v>
      </c>
      <c r="AO8" s="50">
        <v>0.0</v>
      </c>
      <c r="AP8" s="50">
        <v>1.0</v>
      </c>
      <c r="AQ8" s="50">
        <v>7.0</v>
      </c>
      <c r="AR8" s="50">
        <v>100.0</v>
      </c>
      <c r="AS8" s="50">
        <v>3.0</v>
      </c>
      <c r="AT8" s="50">
        <v>0.0</v>
      </c>
      <c r="AU8" s="50">
        <v>1.0</v>
      </c>
      <c r="AV8" s="50" t="s">
        <v>7031</v>
      </c>
      <c r="AW8" s="50" t="s">
        <v>10186</v>
      </c>
      <c r="AX8" s="116"/>
      <c r="AY8" s="116"/>
      <c r="AZ8" s="50">
        <v>7.0</v>
      </c>
      <c r="BA8" s="50">
        <v>1000.0</v>
      </c>
      <c r="BB8" s="50">
        <v>2.0</v>
      </c>
      <c r="BC8" s="116"/>
      <c r="BD8" s="50">
        <v>7.0</v>
      </c>
      <c r="BE8" s="50">
        <v>100.0</v>
      </c>
      <c r="BF8" s="50">
        <v>2.0</v>
      </c>
      <c r="BG8" s="116"/>
      <c r="BH8" s="50">
        <v>0.0</v>
      </c>
      <c r="BI8" s="116"/>
      <c r="BJ8" s="116"/>
      <c r="BK8" s="116"/>
      <c r="BL8" s="116"/>
      <c r="BM8" s="116"/>
      <c r="BN8" s="116"/>
      <c r="BO8" s="50">
        <v>7.0</v>
      </c>
      <c r="BP8" s="50">
        <v>5000.0</v>
      </c>
      <c r="BQ8" s="50">
        <v>3.0</v>
      </c>
      <c r="BR8" s="50">
        <v>10.0</v>
      </c>
      <c r="BS8" s="50">
        <v>7.0</v>
      </c>
      <c r="BT8" s="50">
        <v>1000.0</v>
      </c>
      <c r="BU8" s="50">
        <v>3.0</v>
      </c>
      <c r="BV8" s="50">
        <v>1.0</v>
      </c>
      <c r="BW8" s="50">
        <v>1.0</v>
      </c>
      <c r="BX8" s="50">
        <v>7.0</v>
      </c>
      <c r="BY8" s="50">
        <v>100.0</v>
      </c>
      <c r="BZ8" s="50">
        <v>3.0</v>
      </c>
      <c r="CA8" s="50">
        <v>0.0</v>
      </c>
      <c r="CB8" s="116"/>
      <c r="CC8" s="116"/>
      <c r="CD8" s="50" t="s">
        <v>10094</v>
      </c>
      <c r="CE8" s="50">
        <v>0.0</v>
      </c>
      <c r="CF8" s="50" t="s">
        <v>10066</v>
      </c>
      <c r="CG8" s="117">
        <v>2826.0</v>
      </c>
      <c r="CH8" s="50" t="s">
        <v>10265</v>
      </c>
      <c r="CI8" s="50" t="s">
        <v>10266</v>
      </c>
      <c r="CJ8" s="117">
        <v>7.0</v>
      </c>
    </row>
    <row r="9">
      <c r="A9" s="50" t="s">
        <v>10267</v>
      </c>
      <c r="B9" s="50" t="s">
        <v>6876</v>
      </c>
      <c r="C9" s="50" t="s">
        <v>6877</v>
      </c>
      <c r="D9" s="50" t="s">
        <v>6878</v>
      </c>
      <c r="E9" s="50" t="s">
        <v>10270</v>
      </c>
      <c r="F9" s="50">
        <v>58.0</v>
      </c>
      <c r="G9" s="50">
        <v>2.0</v>
      </c>
      <c r="H9" s="50">
        <v>10.0</v>
      </c>
      <c r="I9" s="116"/>
      <c r="J9" s="116"/>
      <c r="K9" s="51" t="s">
        <v>366</v>
      </c>
      <c r="L9" s="51" t="s">
        <v>366</v>
      </c>
      <c r="M9" s="50" t="s">
        <v>10175</v>
      </c>
      <c r="N9" s="50" t="s">
        <v>10176</v>
      </c>
      <c r="O9" s="50" t="s">
        <v>10186</v>
      </c>
      <c r="P9" s="116"/>
      <c r="Q9" s="116"/>
      <c r="R9" s="116"/>
      <c r="S9" s="50">
        <v>7.0</v>
      </c>
      <c r="T9" s="50">
        <v>1000.0</v>
      </c>
      <c r="U9" s="50">
        <v>2.0</v>
      </c>
      <c r="V9" s="116"/>
      <c r="W9" s="50">
        <v>7.0</v>
      </c>
      <c r="X9" s="50">
        <v>100.0</v>
      </c>
      <c r="Y9" s="50">
        <v>2.0</v>
      </c>
      <c r="Z9" s="116"/>
      <c r="AA9" s="50">
        <v>0.0</v>
      </c>
      <c r="AB9" s="116"/>
      <c r="AC9" s="116"/>
      <c r="AD9" s="116"/>
      <c r="AE9" s="116"/>
      <c r="AF9" s="116"/>
      <c r="AG9" s="116"/>
      <c r="AH9" s="50">
        <v>7.0</v>
      </c>
      <c r="AI9" s="50">
        <v>5000.0</v>
      </c>
      <c r="AJ9" s="50">
        <v>3.0</v>
      </c>
      <c r="AK9" s="50">
        <v>19.0</v>
      </c>
      <c r="AL9" s="50">
        <v>7.0</v>
      </c>
      <c r="AM9" s="50">
        <v>1000.0</v>
      </c>
      <c r="AN9" s="50">
        <v>3.0</v>
      </c>
      <c r="AO9" s="50">
        <v>4.0</v>
      </c>
      <c r="AP9" s="50">
        <v>1.0</v>
      </c>
      <c r="AQ9" s="50">
        <v>7.0</v>
      </c>
      <c r="AR9" s="50">
        <v>100.0</v>
      </c>
      <c r="AS9" s="50">
        <v>3.0</v>
      </c>
      <c r="AT9" s="50">
        <v>1.0</v>
      </c>
      <c r="AU9" s="50">
        <v>1.0</v>
      </c>
      <c r="AV9" s="50" t="s">
        <v>7031</v>
      </c>
      <c r="AW9" s="50" t="s">
        <v>10186</v>
      </c>
      <c r="AX9" s="116"/>
      <c r="AY9" s="116"/>
      <c r="AZ9" s="50">
        <v>7.0</v>
      </c>
      <c r="BA9" s="50">
        <v>1000.0</v>
      </c>
      <c r="BB9" s="50">
        <v>2.0</v>
      </c>
      <c r="BC9" s="116"/>
      <c r="BD9" s="50">
        <v>7.0</v>
      </c>
      <c r="BE9" s="50">
        <v>100.0</v>
      </c>
      <c r="BF9" s="50">
        <v>2.0</v>
      </c>
      <c r="BG9" s="116"/>
      <c r="BH9" s="50">
        <v>0.0</v>
      </c>
      <c r="BI9" s="116"/>
      <c r="BJ9" s="116"/>
      <c r="BK9" s="116"/>
      <c r="BL9" s="116"/>
      <c r="BM9" s="116"/>
      <c r="BN9" s="116"/>
      <c r="BO9" s="50">
        <v>7.0</v>
      </c>
      <c r="BP9" s="50">
        <v>5000.0</v>
      </c>
      <c r="BQ9" s="50">
        <v>1.0</v>
      </c>
      <c r="BR9" s="116"/>
      <c r="BS9" s="50">
        <v>7.0</v>
      </c>
      <c r="BT9" s="50">
        <v>1000.0</v>
      </c>
      <c r="BU9" s="50">
        <v>1.0</v>
      </c>
      <c r="BV9" s="116"/>
      <c r="BW9" s="50">
        <v>1.0</v>
      </c>
      <c r="BX9" s="50">
        <v>7.0</v>
      </c>
      <c r="BY9" s="50">
        <v>100.0</v>
      </c>
      <c r="BZ9" s="50">
        <v>1.0</v>
      </c>
      <c r="CA9" s="116"/>
      <c r="CB9" s="116"/>
      <c r="CC9" s="116"/>
      <c r="CD9" s="50" t="s">
        <v>10094</v>
      </c>
      <c r="CE9" s="50">
        <v>0.0</v>
      </c>
      <c r="CF9" s="50" t="s">
        <v>10066</v>
      </c>
      <c r="CG9" s="117">
        <v>2827.0</v>
      </c>
      <c r="CH9" s="50" t="s">
        <v>10293</v>
      </c>
      <c r="CI9" s="50" t="s">
        <v>10295</v>
      </c>
      <c r="CJ9" s="117">
        <v>8.0</v>
      </c>
    </row>
    <row r="10">
      <c r="A10" s="50" t="s">
        <v>10270</v>
      </c>
      <c r="B10" s="50" t="s">
        <v>6876</v>
      </c>
      <c r="C10" s="50" t="s">
        <v>6877</v>
      </c>
      <c r="D10" s="50" t="s">
        <v>6878</v>
      </c>
      <c r="E10" s="50" t="s">
        <v>10297</v>
      </c>
      <c r="F10" s="50">
        <v>58.0</v>
      </c>
      <c r="G10" s="50">
        <v>2.0</v>
      </c>
      <c r="H10" s="50">
        <v>7.0</v>
      </c>
      <c r="I10" s="116"/>
      <c r="J10" s="116"/>
      <c r="K10" s="50" t="s">
        <v>2625</v>
      </c>
      <c r="L10" s="50" t="s">
        <v>2625</v>
      </c>
      <c r="M10" s="50" t="s">
        <v>10175</v>
      </c>
      <c r="N10" s="50" t="s">
        <v>10176</v>
      </c>
      <c r="O10" s="50" t="s">
        <v>10186</v>
      </c>
      <c r="P10" s="116"/>
      <c r="Q10" s="116"/>
      <c r="R10" s="116"/>
      <c r="S10" s="50">
        <v>7.0</v>
      </c>
      <c r="T10" s="50">
        <v>1000.0</v>
      </c>
      <c r="U10" s="50">
        <v>2.0</v>
      </c>
      <c r="V10" s="116"/>
      <c r="W10" s="50">
        <v>7.0</v>
      </c>
      <c r="X10" s="50">
        <v>100.0</v>
      </c>
      <c r="Y10" s="50">
        <v>2.0</v>
      </c>
      <c r="Z10" s="116"/>
      <c r="AA10" s="50">
        <v>0.0</v>
      </c>
      <c r="AB10" s="116"/>
      <c r="AC10" s="116"/>
      <c r="AD10" s="116"/>
      <c r="AE10" s="116"/>
      <c r="AF10" s="116"/>
      <c r="AG10" s="116"/>
      <c r="AH10" s="50">
        <v>7.0</v>
      </c>
      <c r="AI10" s="50">
        <v>5000.0</v>
      </c>
      <c r="AJ10" s="50">
        <v>3.0</v>
      </c>
      <c r="AK10" s="50">
        <v>0.0</v>
      </c>
      <c r="AL10" s="50">
        <v>7.0</v>
      </c>
      <c r="AM10" s="50">
        <v>1000.0</v>
      </c>
      <c r="AN10" s="50">
        <v>3.0</v>
      </c>
      <c r="AO10" s="50">
        <v>0.0</v>
      </c>
      <c r="AP10" s="50">
        <v>1.0</v>
      </c>
      <c r="AQ10" s="50">
        <v>7.0</v>
      </c>
      <c r="AR10" s="50">
        <v>100.0</v>
      </c>
      <c r="AS10" s="50">
        <v>3.0</v>
      </c>
      <c r="AT10" s="50">
        <v>0.0</v>
      </c>
      <c r="AU10" s="50">
        <v>1.0</v>
      </c>
      <c r="AV10" s="50" t="s">
        <v>7031</v>
      </c>
      <c r="AW10" s="50" t="s">
        <v>10186</v>
      </c>
      <c r="AX10" s="116"/>
      <c r="AY10" s="116"/>
      <c r="AZ10" s="50">
        <v>7.0</v>
      </c>
      <c r="BA10" s="50">
        <v>1000.0</v>
      </c>
      <c r="BB10" s="50">
        <v>2.0</v>
      </c>
      <c r="BC10" s="116"/>
      <c r="BD10" s="50">
        <v>7.0</v>
      </c>
      <c r="BE10" s="50">
        <v>100.0</v>
      </c>
      <c r="BF10" s="50">
        <v>2.0</v>
      </c>
      <c r="BG10" s="116"/>
      <c r="BH10" s="50">
        <v>0.0</v>
      </c>
      <c r="BI10" s="116"/>
      <c r="BJ10" s="116"/>
      <c r="BK10" s="116"/>
      <c r="BL10" s="116"/>
      <c r="BM10" s="116"/>
      <c r="BN10" s="116"/>
      <c r="BO10" s="50">
        <v>7.0</v>
      </c>
      <c r="BP10" s="50">
        <v>5000.0</v>
      </c>
      <c r="BQ10" s="50">
        <v>3.0</v>
      </c>
      <c r="BR10" s="50">
        <v>0.0</v>
      </c>
      <c r="BS10" s="50">
        <v>7.0</v>
      </c>
      <c r="BT10" s="50">
        <v>1000.0</v>
      </c>
      <c r="BU10" s="50">
        <v>3.0</v>
      </c>
      <c r="BV10" s="50">
        <v>0.0</v>
      </c>
      <c r="BW10" s="50">
        <v>1.0</v>
      </c>
      <c r="BX10" s="50">
        <v>7.0</v>
      </c>
      <c r="BY10" s="50">
        <v>100.0</v>
      </c>
      <c r="BZ10" s="50">
        <v>3.0</v>
      </c>
      <c r="CA10" s="50">
        <v>0.0</v>
      </c>
      <c r="CB10" s="116"/>
      <c r="CC10" s="116"/>
      <c r="CD10" s="50" t="s">
        <v>10094</v>
      </c>
      <c r="CE10" s="50">
        <v>0.0</v>
      </c>
      <c r="CF10" s="50" t="s">
        <v>10066</v>
      </c>
      <c r="CG10" s="117">
        <v>2832.0</v>
      </c>
      <c r="CH10" s="50" t="s">
        <v>10329</v>
      </c>
      <c r="CI10" s="50" t="s">
        <v>10330</v>
      </c>
      <c r="CJ10" s="117">
        <v>9.0</v>
      </c>
    </row>
    <row r="11">
      <c r="A11" s="50" t="s">
        <v>10333</v>
      </c>
      <c r="B11" s="50" t="s">
        <v>6876</v>
      </c>
      <c r="C11" s="50" t="s">
        <v>6877</v>
      </c>
      <c r="D11" s="50" t="s">
        <v>6878</v>
      </c>
      <c r="E11" s="50" t="s">
        <v>10336</v>
      </c>
      <c r="F11" s="50">
        <v>58.0</v>
      </c>
      <c r="G11" s="50">
        <v>1.0</v>
      </c>
      <c r="H11" s="50">
        <v>7.0</v>
      </c>
      <c r="I11" s="116"/>
      <c r="J11" s="116"/>
      <c r="K11" s="50" t="s">
        <v>2274</v>
      </c>
      <c r="L11" s="50" t="s">
        <v>2274</v>
      </c>
      <c r="M11" s="50" t="s">
        <v>10340</v>
      </c>
      <c r="N11" s="50" t="s">
        <v>10343</v>
      </c>
      <c r="O11" s="50" t="s">
        <v>10344</v>
      </c>
      <c r="P11" s="116"/>
      <c r="Q11" s="116"/>
      <c r="R11" s="116"/>
      <c r="S11" s="50">
        <v>7.0</v>
      </c>
      <c r="T11" s="50">
        <v>1000.0</v>
      </c>
      <c r="U11" s="50">
        <v>3.0</v>
      </c>
      <c r="V11" s="50">
        <v>0.0</v>
      </c>
      <c r="W11" s="50">
        <v>7.0</v>
      </c>
      <c r="X11" s="50">
        <v>100.0</v>
      </c>
      <c r="Y11" s="50">
        <v>3.0</v>
      </c>
      <c r="Z11" s="50">
        <v>0.0</v>
      </c>
      <c r="AA11" s="50">
        <v>0.0</v>
      </c>
      <c r="AB11" s="116"/>
      <c r="AC11" s="116"/>
      <c r="AD11" s="116"/>
      <c r="AE11" s="116"/>
      <c r="AF11" s="116"/>
      <c r="AG11" s="116"/>
      <c r="AH11" s="50">
        <v>7.0</v>
      </c>
      <c r="AI11" s="50">
        <v>5000.0</v>
      </c>
      <c r="AJ11" s="50">
        <v>3.0</v>
      </c>
      <c r="AK11" s="50">
        <v>0.0</v>
      </c>
      <c r="AL11" s="50">
        <v>7.0</v>
      </c>
      <c r="AM11" s="50">
        <v>1000.0</v>
      </c>
      <c r="AN11" s="50">
        <v>3.0</v>
      </c>
      <c r="AO11" s="50">
        <v>0.0</v>
      </c>
      <c r="AP11" s="50">
        <v>1.0</v>
      </c>
      <c r="AQ11" s="50">
        <v>7.0</v>
      </c>
      <c r="AR11" s="50">
        <v>100.0</v>
      </c>
      <c r="AS11" s="50">
        <v>3.0</v>
      </c>
      <c r="AT11" s="50">
        <v>0.0</v>
      </c>
      <c r="AU11" s="50">
        <v>0.0</v>
      </c>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50" t="s">
        <v>10362</v>
      </c>
      <c r="CE11" s="50">
        <v>0.0</v>
      </c>
      <c r="CF11" s="50" t="s">
        <v>10066</v>
      </c>
      <c r="CG11" s="117">
        <v>2836.0</v>
      </c>
      <c r="CH11" s="50" t="s">
        <v>10365</v>
      </c>
      <c r="CI11" s="50" t="s">
        <v>10366</v>
      </c>
      <c r="CJ11" s="117">
        <v>10.0</v>
      </c>
    </row>
    <row r="12">
      <c r="A12" s="50" t="s">
        <v>10367</v>
      </c>
      <c r="B12" s="50" t="s">
        <v>6876</v>
      </c>
      <c r="C12" s="50" t="s">
        <v>6877</v>
      </c>
      <c r="D12" s="50" t="s">
        <v>6878</v>
      </c>
      <c r="E12" s="50" t="s">
        <v>10370</v>
      </c>
      <c r="F12" s="50">
        <v>58.0</v>
      </c>
      <c r="G12" s="50">
        <v>2.0</v>
      </c>
      <c r="H12" s="50">
        <v>2.0</v>
      </c>
      <c r="I12" s="116"/>
      <c r="J12" s="116"/>
      <c r="K12" s="50" t="s">
        <v>10377</v>
      </c>
      <c r="L12" s="50" t="s">
        <v>10377</v>
      </c>
      <c r="M12" s="50" t="s">
        <v>10379</v>
      </c>
      <c r="N12" s="50" t="s">
        <v>10380</v>
      </c>
      <c r="O12" s="50" t="s">
        <v>10381</v>
      </c>
      <c r="P12" s="116"/>
      <c r="Q12" s="116"/>
      <c r="R12" s="116"/>
      <c r="S12" s="50">
        <v>7.0</v>
      </c>
      <c r="T12" s="50">
        <v>1000.0</v>
      </c>
      <c r="U12" s="50">
        <v>3.0</v>
      </c>
      <c r="V12" s="50">
        <v>0.0</v>
      </c>
      <c r="W12" s="50">
        <v>7.0</v>
      </c>
      <c r="X12" s="50">
        <v>100.0</v>
      </c>
      <c r="Y12" s="50">
        <v>3.0</v>
      </c>
      <c r="Z12" s="50">
        <v>0.0</v>
      </c>
      <c r="AA12" s="50">
        <v>0.0</v>
      </c>
      <c r="AB12" s="116"/>
      <c r="AC12" s="116"/>
      <c r="AD12" s="116"/>
      <c r="AE12" s="116"/>
      <c r="AF12" s="116"/>
      <c r="AG12" s="116"/>
      <c r="AH12" s="50">
        <v>7.0</v>
      </c>
      <c r="AI12" s="50">
        <v>5000.0</v>
      </c>
      <c r="AJ12" s="50">
        <v>3.0</v>
      </c>
      <c r="AK12" s="50">
        <v>0.0</v>
      </c>
      <c r="AL12" s="50">
        <v>7.0</v>
      </c>
      <c r="AM12" s="50">
        <v>1000.0</v>
      </c>
      <c r="AN12" s="50">
        <v>3.0</v>
      </c>
      <c r="AO12" s="50">
        <v>0.0</v>
      </c>
      <c r="AP12" s="50">
        <v>0.0</v>
      </c>
      <c r="AQ12" s="116"/>
      <c r="AR12" s="116"/>
      <c r="AS12" s="116"/>
      <c r="AT12" s="116"/>
      <c r="AU12" s="50">
        <v>1.0</v>
      </c>
      <c r="AV12" s="50" t="s">
        <v>7186</v>
      </c>
      <c r="AW12" s="50" t="s">
        <v>7304</v>
      </c>
      <c r="AX12" s="116"/>
      <c r="AY12" s="116"/>
      <c r="AZ12" s="50">
        <v>7.0</v>
      </c>
      <c r="BA12" s="50">
        <v>1000.0</v>
      </c>
      <c r="BB12" s="50">
        <v>3.0</v>
      </c>
      <c r="BC12" s="50">
        <v>0.0</v>
      </c>
      <c r="BD12" s="50">
        <v>7.0</v>
      </c>
      <c r="BE12" s="50">
        <v>100.0</v>
      </c>
      <c r="BF12" s="50">
        <v>3.0</v>
      </c>
      <c r="BG12" s="50">
        <v>0.0</v>
      </c>
      <c r="BH12" s="50">
        <v>0.0</v>
      </c>
      <c r="BI12" s="116"/>
      <c r="BJ12" s="116"/>
      <c r="BK12" s="116"/>
      <c r="BL12" s="116"/>
      <c r="BM12" s="116"/>
      <c r="BN12" s="116"/>
      <c r="BO12" s="50">
        <v>7.0</v>
      </c>
      <c r="BP12" s="50">
        <v>5000.0</v>
      </c>
      <c r="BQ12" s="50">
        <v>3.0</v>
      </c>
      <c r="BR12" s="50">
        <v>0.0</v>
      </c>
      <c r="BS12" s="50">
        <v>7.0</v>
      </c>
      <c r="BT12" s="50">
        <v>1000.0</v>
      </c>
      <c r="BU12" s="50">
        <v>3.0</v>
      </c>
      <c r="BV12" s="50">
        <v>0.0</v>
      </c>
      <c r="BW12" s="50">
        <v>0.0</v>
      </c>
      <c r="BX12" s="116"/>
      <c r="BY12" s="116"/>
      <c r="BZ12" s="116"/>
      <c r="CA12" s="116"/>
      <c r="CB12" s="116"/>
      <c r="CC12" s="50" t="s">
        <v>10397</v>
      </c>
      <c r="CD12" s="50" t="s">
        <v>10362</v>
      </c>
      <c r="CE12" s="50">
        <v>0.0</v>
      </c>
      <c r="CF12" s="50" t="s">
        <v>10066</v>
      </c>
      <c r="CG12" s="117">
        <v>2906.0</v>
      </c>
      <c r="CH12" s="50" t="s">
        <v>10399</v>
      </c>
      <c r="CI12" s="50" t="s">
        <v>10400</v>
      </c>
      <c r="CJ12" s="117">
        <v>11.0</v>
      </c>
    </row>
    <row r="13">
      <c r="A13" s="50" t="s">
        <v>10370</v>
      </c>
      <c r="B13" s="50" t="s">
        <v>6876</v>
      </c>
      <c r="C13" s="50" t="s">
        <v>6877</v>
      </c>
      <c r="D13" s="50" t="s">
        <v>6878</v>
      </c>
      <c r="E13" s="50" t="s">
        <v>10404</v>
      </c>
      <c r="F13" s="50">
        <v>58.0</v>
      </c>
      <c r="G13" s="50">
        <v>2.0</v>
      </c>
      <c r="H13" s="50">
        <v>2.0</v>
      </c>
      <c r="I13" s="116"/>
      <c r="J13" s="116"/>
      <c r="K13" s="50" t="s">
        <v>10408</v>
      </c>
      <c r="L13" s="50" t="s">
        <v>10408</v>
      </c>
      <c r="M13" s="50" t="s">
        <v>10379</v>
      </c>
      <c r="N13" s="50" t="s">
        <v>10380</v>
      </c>
      <c r="O13" s="50" t="s">
        <v>10381</v>
      </c>
      <c r="P13" s="116"/>
      <c r="Q13" s="116"/>
      <c r="R13" s="116"/>
      <c r="S13" s="50">
        <v>7.0</v>
      </c>
      <c r="T13" s="50">
        <v>1000.0</v>
      </c>
      <c r="U13" s="50">
        <v>3.0</v>
      </c>
      <c r="V13" s="50">
        <v>31.0</v>
      </c>
      <c r="W13" s="50">
        <v>7.0</v>
      </c>
      <c r="X13" s="50">
        <v>100.0</v>
      </c>
      <c r="Y13" s="50">
        <v>3.0</v>
      </c>
      <c r="Z13" s="50">
        <v>1.0</v>
      </c>
      <c r="AA13" s="50">
        <v>0.0</v>
      </c>
      <c r="AB13" s="116"/>
      <c r="AC13" s="116"/>
      <c r="AD13" s="116"/>
      <c r="AE13" s="116"/>
      <c r="AF13" s="116"/>
      <c r="AG13" s="116"/>
      <c r="AH13" s="50">
        <v>7.0</v>
      </c>
      <c r="AI13" s="50">
        <v>5000.0</v>
      </c>
      <c r="AJ13" s="50">
        <v>3.0</v>
      </c>
      <c r="AK13" s="50">
        <v>0.0</v>
      </c>
      <c r="AL13" s="50">
        <v>7.0</v>
      </c>
      <c r="AM13" s="50">
        <v>1000.0</v>
      </c>
      <c r="AN13" s="50">
        <v>3.0</v>
      </c>
      <c r="AO13" s="50">
        <v>0.0</v>
      </c>
      <c r="AP13" s="50">
        <v>0.0</v>
      </c>
      <c r="AQ13" s="116"/>
      <c r="AR13" s="116"/>
      <c r="AS13" s="116"/>
      <c r="AT13" s="116"/>
      <c r="AU13" s="50">
        <v>1.0</v>
      </c>
      <c r="AV13" s="50" t="s">
        <v>7186</v>
      </c>
      <c r="AW13" s="50" t="s">
        <v>7304</v>
      </c>
      <c r="AX13" s="116"/>
      <c r="AY13" s="116"/>
      <c r="AZ13" s="50">
        <v>7.0</v>
      </c>
      <c r="BA13" s="50">
        <v>1000.0</v>
      </c>
      <c r="BB13" s="50">
        <v>3.0</v>
      </c>
      <c r="BC13" s="50">
        <v>42.0</v>
      </c>
      <c r="BD13" s="50">
        <v>7.0</v>
      </c>
      <c r="BE13" s="50">
        <v>100.0</v>
      </c>
      <c r="BF13" s="50">
        <v>3.0</v>
      </c>
      <c r="BG13" s="50">
        <v>5.0</v>
      </c>
      <c r="BH13" s="50">
        <v>0.0</v>
      </c>
      <c r="BI13" s="116"/>
      <c r="BJ13" s="116"/>
      <c r="BK13" s="116"/>
      <c r="BL13" s="116"/>
      <c r="BM13" s="116"/>
      <c r="BN13" s="116"/>
      <c r="BO13" s="50">
        <v>7.0</v>
      </c>
      <c r="BP13" s="50">
        <v>5000.0</v>
      </c>
      <c r="BQ13" s="50">
        <v>3.0</v>
      </c>
      <c r="BR13" s="50">
        <v>0.0</v>
      </c>
      <c r="BS13" s="50">
        <v>7.0</v>
      </c>
      <c r="BT13" s="50">
        <v>1000.0</v>
      </c>
      <c r="BU13" s="50">
        <v>3.0</v>
      </c>
      <c r="BV13" s="50">
        <v>0.0</v>
      </c>
      <c r="BW13" s="50">
        <v>0.0</v>
      </c>
      <c r="BX13" s="116"/>
      <c r="BY13" s="116"/>
      <c r="BZ13" s="116"/>
      <c r="CA13" s="116"/>
      <c r="CB13" s="116"/>
      <c r="CC13" s="50" t="s">
        <v>10397</v>
      </c>
      <c r="CD13" s="50" t="s">
        <v>10362</v>
      </c>
      <c r="CE13" s="50">
        <v>0.0</v>
      </c>
      <c r="CF13" s="50" t="s">
        <v>10066</v>
      </c>
      <c r="CG13" s="117">
        <v>2907.0</v>
      </c>
      <c r="CH13" s="50" t="s">
        <v>10432</v>
      </c>
      <c r="CI13" s="50" t="s">
        <v>10433</v>
      </c>
      <c r="CJ13" s="117">
        <v>12.0</v>
      </c>
    </row>
    <row r="14">
      <c r="A14" s="50" t="s">
        <v>10434</v>
      </c>
      <c r="B14" s="50" t="s">
        <v>6876</v>
      </c>
      <c r="C14" s="50" t="s">
        <v>6877</v>
      </c>
      <c r="D14" s="50" t="s">
        <v>6878</v>
      </c>
      <c r="E14" s="50" t="s">
        <v>10435</v>
      </c>
      <c r="F14" s="50">
        <v>58.0</v>
      </c>
      <c r="G14" s="50">
        <v>2.0</v>
      </c>
      <c r="H14" s="50">
        <v>8.0</v>
      </c>
      <c r="I14" s="116"/>
      <c r="J14" s="116"/>
      <c r="K14" s="50" t="s">
        <v>10437</v>
      </c>
      <c r="L14" s="50" t="s">
        <v>10437</v>
      </c>
      <c r="M14" s="50" t="s">
        <v>10379</v>
      </c>
      <c r="N14" s="50" t="s">
        <v>10380</v>
      </c>
      <c r="O14" s="50" t="s">
        <v>10381</v>
      </c>
      <c r="P14" s="116"/>
      <c r="Q14" s="116"/>
      <c r="R14" s="116"/>
      <c r="S14" s="50">
        <v>7.0</v>
      </c>
      <c r="T14" s="50">
        <v>1000.0</v>
      </c>
      <c r="U14" s="50">
        <v>3.0</v>
      </c>
      <c r="V14" s="50">
        <v>0.0</v>
      </c>
      <c r="W14" s="50">
        <v>7.0</v>
      </c>
      <c r="X14" s="50">
        <v>100.0</v>
      </c>
      <c r="Y14" s="50">
        <v>3.0</v>
      </c>
      <c r="Z14" s="50">
        <v>0.0</v>
      </c>
      <c r="AA14" s="50">
        <v>0.0</v>
      </c>
      <c r="AB14" s="116"/>
      <c r="AC14" s="116"/>
      <c r="AD14" s="116"/>
      <c r="AE14" s="116"/>
      <c r="AF14" s="116"/>
      <c r="AG14" s="116"/>
      <c r="AH14" s="50">
        <v>7.0</v>
      </c>
      <c r="AI14" s="50">
        <v>5000.0</v>
      </c>
      <c r="AJ14" s="50">
        <v>3.0</v>
      </c>
      <c r="AK14" s="50">
        <v>0.0</v>
      </c>
      <c r="AL14" s="50">
        <v>7.0</v>
      </c>
      <c r="AM14" s="50">
        <v>1000.0</v>
      </c>
      <c r="AN14" s="50">
        <v>3.0</v>
      </c>
      <c r="AO14" s="50">
        <v>0.0</v>
      </c>
      <c r="AP14" s="50">
        <v>0.0</v>
      </c>
      <c r="AQ14" s="116"/>
      <c r="AR14" s="116"/>
      <c r="AS14" s="116"/>
      <c r="AT14" s="116"/>
      <c r="AU14" s="50">
        <v>1.0</v>
      </c>
      <c r="AV14" s="50" t="s">
        <v>7186</v>
      </c>
      <c r="AW14" s="50" t="s">
        <v>7304</v>
      </c>
      <c r="AX14" s="116"/>
      <c r="AY14" s="116"/>
      <c r="AZ14" s="50">
        <v>7.0</v>
      </c>
      <c r="BA14" s="50">
        <v>1000.0</v>
      </c>
      <c r="BB14" s="50">
        <v>3.0</v>
      </c>
      <c r="BC14" s="50">
        <v>57.0</v>
      </c>
      <c r="BD14" s="50">
        <v>7.0</v>
      </c>
      <c r="BE14" s="50">
        <v>100.0</v>
      </c>
      <c r="BF14" s="50">
        <v>3.0</v>
      </c>
      <c r="BG14" s="50">
        <v>0.0</v>
      </c>
      <c r="BH14" s="50">
        <v>0.0</v>
      </c>
      <c r="BI14" s="116"/>
      <c r="BJ14" s="116"/>
      <c r="BK14" s="116"/>
      <c r="BL14" s="116"/>
      <c r="BM14" s="116"/>
      <c r="BN14" s="116"/>
      <c r="BO14" s="50">
        <v>7.0</v>
      </c>
      <c r="BP14" s="50">
        <v>5000.0</v>
      </c>
      <c r="BQ14" s="50">
        <v>3.0</v>
      </c>
      <c r="BR14" s="50">
        <v>0.0</v>
      </c>
      <c r="BS14" s="50">
        <v>7.0</v>
      </c>
      <c r="BT14" s="50">
        <v>1000.0</v>
      </c>
      <c r="BU14" s="50">
        <v>3.0</v>
      </c>
      <c r="BV14" s="50">
        <v>0.0</v>
      </c>
      <c r="BW14" s="50">
        <v>0.0</v>
      </c>
      <c r="BX14" s="116"/>
      <c r="BY14" s="116"/>
      <c r="BZ14" s="116"/>
      <c r="CA14" s="116"/>
      <c r="CB14" s="116"/>
      <c r="CC14" s="50" t="s">
        <v>10397</v>
      </c>
      <c r="CD14" s="50" t="s">
        <v>10362</v>
      </c>
      <c r="CE14" s="50">
        <v>0.0</v>
      </c>
      <c r="CF14" s="50" t="s">
        <v>10066</v>
      </c>
      <c r="CG14" s="117">
        <v>2908.0</v>
      </c>
      <c r="CH14" s="50" t="s">
        <v>10462</v>
      </c>
      <c r="CI14" s="50" t="s">
        <v>10464</v>
      </c>
      <c r="CJ14" s="117">
        <v>13.0</v>
      </c>
    </row>
    <row r="15">
      <c r="A15" s="50" t="s">
        <v>10467</v>
      </c>
      <c r="B15" s="50" t="s">
        <v>6876</v>
      </c>
      <c r="C15" s="50" t="s">
        <v>6877</v>
      </c>
      <c r="D15" s="50" t="s">
        <v>6878</v>
      </c>
      <c r="E15" s="50" t="s">
        <v>10471</v>
      </c>
      <c r="F15" s="50">
        <v>58.0</v>
      </c>
      <c r="G15" s="50">
        <v>2.0</v>
      </c>
      <c r="H15" s="50">
        <v>8.0</v>
      </c>
      <c r="I15" s="116"/>
      <c r="J15" s="116"/>
      <c r="K15" s="50" t="s">
        <v>10472</v>
      </c>
      <c r="L15" s="50" t="s">
        <v>10472</v>
      </c>
      <c r="M15" s="50" t="s">
        <v>10473</v>
      </c>
      <c r="N15" s="50" t="s">
        <v>10474</v>
      </c>
      <c r="O15" s="50" t="s">
        <v>10381</v>
      </c>
      <c r="P15" s="116"/>
      <c r="Q15" s="116"/>
      <c r="R15" s="116"/>
      <c r="S15" s="50">
        <v>7.0</v>
      </c>
      <c r="T15" s="50">
        <v>1000.0</v>
      </c>
      <c r="U15" s="50">
        <v>3.0</v>
      </c>
      <c r="V15" s="50">
        <v>0.0</v>
      </c>
      <c r="W15" s="50">
        <v>7.0</v>
      </c>
      <c r="X15" s="50">
        <v>100.0</v>
      </c>
      <c r="Y15" s="50">
        <v>3.0</v>
      </c>
      <c r="Z15" s="50">
        <v>0.0</v>
      </c>
      <c r="AA15" s="50">
        <v>0.0</v>
      </c>
      <c r="AB15" s="116"/>
      <c r="AC15" s="116"/>
      <c r="AD15" s="116"/>
      <c r="AE15" s="116"/>
      <c r="AF15" s="116"/>
      <c r="AG15" s="116"/>
      <c r="AH15" s="50">
        <v>7.0</v>
      </c>
      <c r="AI15" s="50">
        <v>5000.0</v>
      </c>
      <c r="AJ15" s="50">
        <v>3.0</v>
      </c>
      <c r="AK15" s="50">
        <v>0.0</v>
      </c>
      <c r="AL15" s="50">
        <v>7.0</v>
      </c>
      <c r="AM15" s="50">
        <v>1000.0</v>
      </c>
      <c r="AN15" s="50">
        <v>3.0</v>
      </c>
      <c r="AO15" s="50">
        <v>0.0</v>
      </c>
      <c r="AP15" s="50">
        <v>0.0</v>
      </c>
      <c r="AQ15" s="116"/>
      <c r="AR15" s="116"/>
      <c r="AS15" s="116"/>
      <c r="AT15" s="116"/>
      <c r="AU15" s="50">
        <v>1.0</v>
      </c>
      <c r="AV15" s="50" t="s">
        <v>7186</v>
      </c>
      <c r="AW15" s="50" t="s">
        <v>7304</v>
      </c>
      <c r="AX15" s="116"/>
      <c r="AY15" s="116"/>
      <c r="AZ15" s="50">
        <v>7.0</v>
      </c>
      <c r="BA15" s="50">
        <v>1000.0</v>
      </c>
      <c r="BB15" s="50">
        <v>3.0</v>
      </c>
      <c r="BC15" s="50">
        <v>0.0</v>
      </c>
      <c r="BD15" s="50">
        <v>7.0</v>
      </c>
      <c r="BE15" s="50">
        <v>100.0</v>
      </c>
      <c r="BF15" s="50">
        <v>3.0</v>
      </c>
      <c r="BG15" s="50">
        <v>0.0</v>
      </c>
      <c r="BH15" s="50">
        <v>0.0</v>
      </c>
      <c r="BI15" s="116"/>
      <c r="BJ15" s="116"/>
      <c r="BK15" s="116"/>
      <c r="BL15" s="116"/>
      <c r="BM15" s="116"/>
      <c r="BN15" s="116"/>
      <c r="BO15" s="50">
        <v>7.0</v>
      </c>
      <c r="BP15" s="50">
        <v>5000.0</v>
      </c>
      <c r="BQ15" s="50">
        <v>3.0</v>
      </c>
      <c r="BR15" s="50">
        <v>0.0</v>
      </c>
      <c r="BS15" s="50">
        <v>7.0</v>
      </c>
      <c r="BT15" s="50">
        <v>1000.0</v>
      </c>
      <c r="BU15" s="50">
        <v>3.0</v>
      </c>
      <c r="BV15" s="50">
        <v>0.0</v>
      </c>
      <c r="BW15" s="50">
        <v>0.0</v>
      </c>
      <c r="BX15" s="116"/>
      <c r="BY15" s="116"/>
      <c r="BZ15" s="116"/>
      <c r="CA15" s="116"/>
      <c r="CB15" s="116"/>
      <c r="CC15" s="50" t="s">
        <v>10397</v>
      </c>
      <c r="CD15" s="50" t="s">
        <v>10362</v>
      </c>
      <c r="CE15" s="50">
        <v>0.0</v>
      </c>
      <c r="CF15" s="50" t="s">
        <v>10066</v>
      </c>
      <c r="CG15" s="117">
        <v>2909.0</v>
      </c>
      <c r="CH15" s="50" t="s">
        <v>10496</v>
      </c>
      <c r="CI15" s="50" t="s">
        <v>10498</v>
      </c>
      <c r="CJ15" s="117">
        <v>14.0</v>
      </c>
    </row>
    <row r="16">
      <c r="A16" s="50" t="s">
        <v>10501</v>
      </c>
      <c r="B16" s="50" t="s">
        <v>6876</v>
      </c>
      <c r="C16" s="50" t="s">
        <v>6877</v>
      </c>
      <c r="D16" s="50" t="s">
        <v>6878</v>
      </c>
      <c r="E16" s="50" t="s">
        <v>10504</v>
      </c>
      <c r="F16" s="50">
        <v>58.0</v>
      </c>
      <c r="G16" s="50">
        <v>2.0</v>
      </c>
      <c r="H16" s="50">
        <v>3.0</v>
      </c>
      <c r="I16" s="116"/>
      <c r="J16" s="116"/>
      <c r="K16" s="50" t="s">
        <v>10506</v>
      </c>
      <c r="L16" s="50" t="s">
        <v>10506</v>
      </c>
      <c r="M16" s="50" t="s">
        <v>10379</v>
      </c>
      <c r="N16" s="50" t="s">
        <v>10380</v>
      </c>
      <c r="O16" s="50" t="s">
        <v>10381</v>
      </c>
      <c r="P16" s="116"/>
      <c r="Q16" s="116"/>
      <c r="R16" s="116"/>
      <c r="S16" s="50">
        <v>7.0</v>
      </c>
      <c r="T16" s="50">
        <v>1000.0</v>
      </c>
      <c r="U16" s="50">
        <v>3.0</v>
      </c>
      <c r="V16" s="50">
        <v>0.0</v>
      </c>
      <c r="W16" s="50">
        <v>7.0</v>
      </c>
      <c r="X16" s="50">
        <v>100.0</v>
      </c>
      <c r="Y16" s="50">
        <v>3.0</v>
      </c>
      <c r="Z16" s="50">
        <v>0.0</v>
      </c>
      <c r="AA16" s="50">
        <v>0.0</v>
      </c>
      <c r="AB16" s="116"/>
      <c r="AC16" s="116"/>
      <c r="AD16" s="116"/>
      <c r="AE16" s="116"/>
      <c r="AF16" s="116"/>
      <c r="AG16" s="116"/>
      <c r="AH16" s="50">
        <v>7.0</v>
      </c>
      <c r="AI16" s="50">
        <v>5000.0</v>
      </c>
      <c r="AJ16" s="50">
        <v>3.0</v>
      </c>
      <c r="AK16" s="50">
        <v>0.0</v>
      </c>
      <c r="AL16" s="50">
        <v>7.0</v>
      </c>
      <c r="AM16" s="50">
        <v>1000.0</v>
      </c>
      <c r="AN16" s="50">
        <v>3.0</v>
      </c>
      <c r="AO16" s="50">
        <v>0.0</v>
      </c>
      <c r="AP16" s="50">
        <v>0.0</v>
      </c>
      <c r="AQ16" s="116"/>
      <c r="AR16" s="116"/>
      <c r="AS16" s="116"/>
      <c r="AT16" s="116"/>
      <c r="AU16" s="50">
        <v>1.0</v>
      </c>
      <c r="AV16" s="50" t="s">
        <v>7186</v>
      </c>
      <c r="AW16" s="50" t="s">
        <v>7304</v>
      </c>
      <c r="AX16" s="116"/>
      <c r="AY16" s="116"/>
      <c r="AZ16" s="50">
        <v>7.0</v>
      </c>
      <c r="BA16" s="50">
        <v>1000.0</v>
      </c>
      <c r="BB16" s="50">
        <v>3.0</v>
      </c>
      <c r="BC16" s="50">
        <v>0.0</v>
      </c>
      <c r="BD16" s="50">
        <v>7.0</v>
      </c>
      <c r="BE16" s="50">
        <v>1000.0</v>
      </c>
      <c r="BF16" s="50">
        <v>3.0</v>
      </c>
      <c r="BG16" s="50">
        <v>0.0</v>
      </c>
      <c r="BH16" s="50">
        <v>0.0</v>
      </c>
      <c r="BI16" s="116"/>
      <c r="BJ16" s="116"/>
      <c r="BK16" s="116"/>
      <c r="BL16" s="116"/>
      <c r="BM16" s="116"/>
      <c r="BN16" s="116"/>
      <c r="BO16" s="50">
        <v>7.0</v>
      </c>
      <c r="BP16" s="50">
        <v>5000.0</v>
      </c>
      <c r="BQ16" s="50">
        <v>3.0</v>
      </c>
      <c r="BR16" s="50">
        <v>0.0</v>
      </c>
      <c r="BS16" s="50">
        <v>7.0</v>
      </c>
      <c r="BT16" s="50">
        <v>1000.0</v>
      </c>
      <c r="BU16" s="50">
        <v>3.0</v>
      </c>
      <c r="BV16" s="50">
        <v>0.0</v>
      </c>
      <c r="BW16" s="50">
        <v>0.0</v>
      </c>
      <c r="BX16" s="116"/>
      <c r="BY16" s="116"/>
      <c r="BZ16" s="116"/>
      <c r="CA16" s="116"/>
      <c r="CB16" s="116"/>
      <c r="CC16" s="50" t="s">
        <v>10397</v>
      </c>
      <c r="CD16" s="50" t="s">
        <v>10362</v>
      </c>
      <c r="CE16" s="50">
        <v>0.0</v>
      </c>
      <c r="CF16" s="50" t="s">
        <v>10066</v>
      </c>
      <c r="CG16" s="117">
        <v>2910.0</v>
      </c>
      <c r="CH16" s="50" t="s">
        <v>10528</v>
      </c>
      <c r="CI16" s="50" t="s">
        <v>10529</v>
      </c>
      <c r="CJ16" s="117">
        <v>15.0</v>
      </c>
    </row>
    <row r="17">
      <c r="A17" s="50" t="s">
        <v>10531</v>
      </c>
      <c r="B17" s="50" t="s">
        <v>6876</v>
      </c>
      <c r="C17" s="50" t="s">
        <v>6877</v>
      </c>
      <c r="D17" s="50" t="s">
        <v>6878</v>
      </c>
      <c r="E17" s="50" t="s">
        <v>10532</v>
      </c>
      <c r="F17" s="50">
        <v>58.0</v>
      </c>
      <c r="G17" s="50">
        <v>2.0</v>
      </c>
      <c r="H17" s="50">
        <v>9.0</v>
      </c>
      <c r="I17" s="116"/>
      <c r="J17" s="116"/>
      <c r="K17" s="50" t="s">
        <v>10533</v>
      </c>
      <c r="L17" s="50" t="s">
        <v>10533</v>
      </c>
      <c r="M17" s="50" t="s">
        <v>10379</v>
      </c>
      <c r="N17" s="50" t="s">
        <v>10380</v>
      </c>
      <c r="O17" s="50" t="s">
        <v>10381</v>
      </c>
      <c r="P17" s="116"/>
      <c r="Q17" s="116"/>
      <c r="R17" s="116"/>
      <c r="S17" s="50">
        <v>7.0</v>
      </c>
      <c r="T17" s="50">
        <v>1000.0</v>
      </c>
      <c r="U17" s="50">
        <v>3.0</v>
      </c>
      <c r="V17" s="50">
        <v>0.0</v>
      </c>
      <c r="W17" s="50">
        <v>7.0</v>
      </c>
      <c r="X17" s="50">
        <v>100.0</v>
      </c>
      <c r="Y17" s="50">
        <v>3.0</v>
      </c>
      <c r="Z17" s="50">
        <v>0.0</v>
      </c>
      <c r="AA17" s="50">
        <v>0.0</v>
      </c>
      <c r="AB17" s="116"/>
      <c r="AC17" s="116"/>
      <c r="AD17" s="116"/>
      <c r="AE17" s="116"/>
      <c r="AF17" s="116"/>
      <c r="AG17" s="116"/>
      <c r="AH17" s="50">
        <v>7.0</v>
      </c>
      <c r="AI17" s="50">
        <v>5000.0</v>
      </c>
      <c r="AJ17" s="50">
        <v>3.0</v>
      </c>
      <c r="AK17" s="50">
        <v>0.0</v>
      </c>
      <c r="AL17" s="50">
        <v>7.0</v>
      </c>
      <c r="AM17" s="50">
        <v>1000.0</v>
      </c>
      <c r="AN17" s="50">
        <v>3.0</v>
      </c>
      <c r="AO17" s="50">
        <v>0.0</v>
      </c>
      <c r="AP17" s="50">
        <v>0.0</v>
      </c>
      <c r="AQ17" s="116"/>
      <c r="AR17" s="116"/>
      <c r="AS17" s="116"/>
      <c r="AT17" s="116"/>
      <c r="AU17" s="50">
        <v>1.0</v>
      </c>
      <c r="AV17" s="50" t="s">
        <v>7186</v>
      </c>
      <c r="AW17" s="50" t="s">
        <v>7304</v>
      </c>
      <c r="AX17" s="116"/>
      <c r="AY17" s="116"/>
      <c r="AZ17" s="50">
        <v>7.0</v>
      </c>
      <c r="BA17" s="50">
        <v>1000.0</v>
      </c>
      <c r="BB17" s="50">
        <v>3.0</v>
      </c>
      <c r="BC17" s="50">
        <v>0.0</v>
      </c>
      <c r="BD17" s="50">
        <v>7.0</v>
      </c>
      <c r="BE17" s="50">
        <v>100.0</v>
      </c>
      <c r="BF17" s="50">
        <v>3.0</v>
      </c>
      <c r="BG17" s="50">
        <v>0.0</v>
      </c>
      <c r="BH17" s="50">
        <v>0.0</v>
      </c>
      <c r="BI17" s="116"/>
      <c r="BJ17" s="116"/>
      <c r="BK17" s="116"/>
      <c r="BL17" s="116"/>
      <c r="BM17" s="116"/>
      <c r="BN17" s="116"/>
      <c r="BO17" s="50">
        <v>7.0</v>
      </c>
      <c r="BP17" s="50">
        <v>5000.0</v>
      </c>
      <c r="BQ17" s="50">
        <v>3.0</v>
      </c>
      <c r="BR17" s="50">
        <v>0.0</v>
      </c>
      <c r="BS17" s="50">
        <v>7.0</v>
      </c>
      <c r="BT17" s="50">
        <v>1000.0</v>
      </c>
      <c r="BU17" s="50">
        <v>3.0</v>
      </c>
      <c r="BV17" s="50">
        <v>0.0</v>
      </c>
      <c r="BW17" s="50">
        <v>0.0</v>
      </c>
      <c r="BX17" s="116"/>
      <c r="BY17" s="116"/>
      <c r="BZ17" s="116"/>
      <c r="CA17" s="116"/>
      <c r="CB17" s="116"/>
      <c r="CC17" s="50" t="s">
        <v>10397</v>
      </c>
      <c r="CD17" s="50" t="s">
        <v>10362</v>
      </c>
      <c r="CE17" s="50">
        <v>0.0</v>
      </c>
      <c r="CF17" s="50" t="s">
        <v>10066</v>
      </c>
      <c r="CG17" s="117">
        <v>2911.0</v>
      </c>
      <c r="CH17" s="50" t="s">
        <v>10556</v>
      </c>
      <c r="CI17" s="50" t="s">
        <v>10557</v>
      </c>
      <c r="CJ17" s="117">
        <v>16.0</v>
      </c>
    </row>
    <row r="18">
      <c r="A18" s="50" t="s">
        <v>10558</v>
      </c>
      <c r="B18" s="50" t="s">
        <v>6876</v>
      </c>
      <c r="C18" s="50" t="s">
        <v>6877</v>
      </c>
      <c r="D18" s="50" t="s">
        <v>6878</v>
      </c>
      <c r="E18" s="50" t="s">
        <v>10559</v>
      </c>
      <c r="F18" s="50">
        <v>58.0</v>
      </c>
      <c r="G18" s="50">
        <v>2.0</v>
      </c>
      <c r="H18" s="50">
        <v>5.0</v>
      </c>
      <c r="I18" s="116"/>
      <c r="J18" s="116"/>
      <c r="K18" s="50" t="s">
        <v>10560</v>
      </c>
      <c r="L18" s="50" t="s">
        <v>10560</v>
      </c>
      <c r="M18" s="50" t="s">
        <v>10379</v>
      </c>
      <c r="N18" s="50" t="s">
        <v>10380</v>
      </c>
      <c r="O18" s="50" t="s">
        <v>10562</v>
      </c>
      <c r="P18" s="116"/>
      <c r="Q18" s="116"/>
      <c r="R18" s="116"/>
      <c r="S18" s="50">
        <v>7.0</v>
      </c>
      <c r="T18" s="50">
        <v>1000.0</v>
      </c>
      <c r="U18" s="50">
        <v>1.0</v>
      </c>
      <c r="V18" s="116"/>
      <c r="W18" s="50">
        <v>7.0</v>
      </c>
      <c r="X18" s="50">
        <v>100.0</v>
      </c>
      <c r="Y18" s="50">
        <v>3.0</v>
      </c>
      <c r="Z18" s="50">
        <v>82.0</v>
      </c>
      <c r="AA18" s="50">
        <v>0.0</v>
      </c>
      <c r="AB18" s="116"/>
      <c r="AC18" s="116"/>
      <c r="AD18" s="116"/>
      <c r="AE18" s="116"/>
      <c r="AF18" s="116"/>
      <c r="AG18" s="116"/>
      <c r="AH18" s="50">
        <v>7.0</v>
      </c>
      <c r="AI18" s="50">
        <v>5000.0</v>
      </c>
      <c r="AJ18" s="50">
        <v>3.0</v>
      </c>
      <c r="AK18" s="50">
        <v>1.0</v>
      </c>
      <c r="AL18" s="50">
        <v>7.0</v>
      </c>
      <c r="AM18" s="50">
        <v>1000.0</v>
      </c>
      <c r="AN18" s="50">
        <v>3.0</v>
      </c>
      <c r="AO18" s="50">
        <v>0.0</v>
      </c>
      <c r="AP18" s="50">
        <v>0.0</v>
      </c>
      <c r="AQ18" s="116"/>
      <c r="AR18" s="116"/>
      <c r="AS18" s="116"/>
      <c r="AT18" s="116"/>
      <c r="AU18" s="50">
        <v>1.0</v>
      </c>
      <c r="AV18" s="50" t="s">
        <v>7186</v>
      </c>
      <c r="AW18" s="50" t="s">
        <v>7304</v>
      </c>
      <c r="AX18" s="116"/>
      <c r="AY18" s="116"/>
      <c r="AZ18" s="50">
        <v>7.0</v>
      </c>
      <c r="BA18" s="50">
        <v>1000.0</v>
      </c>
      <c r="BB18" s="50">
        <v>1.0</v>
      </c>
      <c r="BC18" s="116"/>
      <c r="BD18" s="50">
        <v>7.0</v>
      </c>
      <c r="BE18" s="50">
        <v>100.0</v>
      </c>
      <c r="BF18" s="50">
        <v>1.0</v>
      </c>
      <c r="BG18" s="116"/>
      <c r="BH18" s="50">
        <v>0.0</v>
      </c>
      <c r="BI18" s="116"/>
      <c r="BJ18" s="116"/>
      <c r="BK18" s="116"/>
      <c r="BL18" s="116"/>
      <c r="BM18" s="116"/>
      <c r="BN18" s="116"/>
      <c r="BO18" s="50">
        <v>7.0</v>
      </c>
      <c r="BP18" s="50">
        <v>5000.0</v>
      </c>
      <c r="BQ18" s="50">
        <v>3.0</v>
      </c>
      <c r="BR18" s="50">
        <v>10.0</v>
      </c>
      <c r="BS18" s="50">
        <v>7.0</v>
      </c>
      <c r="BT18" s="50">
        <v>1000.0</v>
      </c>
      <c r="BU18" s="50">
        <v>3.0</v>
      </c>
      <c r="BV18" s="50">
        <v>1.0</v>
      </c>
      <c r="BW18" s="50">
        <v>0.0</v>
      </c>
      <c r="BX18" s="116"/>
      <c r="BY18" s="116"/>
      <c r="BZ18" s="116"/>
      <c r="CA18" s="116"/>
      <c r="CB18" s="116"/>
      <c r="CC18" s="50" t="s">
        <v>10397</v>
      </c>
      <c r="CD18" s="50" t="s">
        <v>10362</v>
      </c>
      <c r="CE18" s="50">
        <v>0.0</v>
      </c>
      <c r="CF18" s="50" t="s">
        <v>10066</v>
      </c>
      <c r="CG18" s="117">
        <v>2912.0</v>
      </c>
      <c r="CH18" s="50" t="s">
        <v>10585</v>
      </c>
      <c r="CI18" s="50" t="s">
        <v>10586</v>
      </c>
      <c r="CJ18" s="117">
        <v>17.0</v>
      </c>
    </row>
    <row r="19">
      <c r="A19" s="50" t="s">
        <v>10588</v>
      </c>
      <c r="B19" s="50" t="s">
        <v>6876</v>
      </c>
      <c r="C19" s="50" t="s">
        <v>6877</v>
      </c>
      <c r="D19" s="50" t="s">
        <v>6878</v>
      </c>
      <c r="E19" s="50" t="s">
        <v>10591</v>
      </c>
      <c r="F19" s="50">
        <v>58.0</v>
      </c>
      <c r="G19" s="50">
        <v>2.0</v>
      </c>
      <c r="H19" s="50">
        <v>10.0</v>
      </c>
      <c r="I19" s="116"/>
      <c r="J19" s="116"/>
      <c r="K19" s="50" t="s">
        <v>10592</v>
      </c>
      <c r="L19" s="50" t="s">
        <v>10592</v>
      </c>
      <c r="M19" s="50" t="s">
        <v>10593</v>
      </c>
      <c r="N19" s="50" t="s">
        <v>10380</v>
      </c>
      <c r="O19" s="50" t="s">
        <v>10381</v>
      </c>
      <c r="P19" s="116"/>
      <c r="Q19" s="116"/>
      <c r="R19" s="116"/>
      <c r="S19" s="50">
        <v>7.0</v>
      </c>
      <c r="T19" s="50">
        <v>1000.0</v>
      </c>
      <c r="U19" s="50">
        <v>3.0</v>
      </c>
      <c r="V19" s="50">
        <v>0.0</v>
      </c>
      <c r="W19" s="50">
        <v>7.0</v>
      </c>
      <c r="X19" s="50">
        <v>100.0</v>
      </c>
      <c r="Y19" s="50">
        <v>3.0</v>
      </c>
      <c r="Z19" s="50">
        <v>0.0</v>
      </c>
      <c r="AA19" s="50">
        <v>0.0</v>
      </c>
      <c r="AB19" s="116"/>
      <c r="AC19" s="116"/>
      <c r="AD19" s="116"/>
      <c r="AE19" s="116"/>
      <c r="AF19" s="116"/>
      <c r="AG19" s="116"/>
      <c r="AH19" s="50">
        <v>7.0</v>
      </c>
      <c r="AI19" s="50">
        <v>5000.0</v>
      </c>
      <c r="AJ19" s="50">
        <v>3.0</v>
      </c>
      <c r="AK19" s="50">
        <v>19.0</v>
      </c>
      <c r="AL19" s="50">
        <v>7.0</v>
      </c>
      <c r="AM19" s="50">
        <v>1000.0</v>
      </c>
      <c r="AN19" s="50">
        <v>3.0</v>
      </c>
      <c r="AO19" s="50">
        <v>4.0</v>
      </c>
      <c r="AP19" s="50">
        <v>0.0</v>
      </c>
      <c r="AQ19" s="116"/>
      <c r="AR19" s="116"/>
      <c r="AS19" s="116"/>
      <c r="AT19" s="116"/>
      <c r="AU19" s="50">
        <v>1.0</v>
      </c>
      <c r="AV19" s="50" t="s">
        <v>7186</v>
      </c>
      <c r="AW19" s="50" t="s">
        <v>7304</v>
      </c>
      <c r="AX19" s="116"/>
      <c r="AY19" s="116"/>
      <c r="AZ19" s="50">
        <v>7.0</v>
      </c>
      <c r="BA19" s="50">
        <v>1000.0</v>
      </c>
      <c r="BB19" s="50">
        <v>3.0</v>
      </c>
      <c r="BC19" s="50">
        <v>0.0</v>
      </c>
      <c r="BD19" s="50">
        <v>7.0</v>
      </c>
      <c r="BE19" s="50">
        <v>100.0</v>
      </c>
      <c r="BF19" s="50">
        <v>3.0</v>
      </c>
      <c r="BG19" s="50">
        <v>0.0</v>
      </c>
      <c r="BH19" s="50">
        <v>0.0</v>
      </c>
      <c r="BI19" s="116"/>
      <c r="BJ19" s="116"/>
      <c r="BK19" s="116"/>
      <c r="BL19" s="116"/>
      <c r="BM19" s="116"/>
      <c r="BN19" s="116"/>
      <c r="BO19" s="50">
        <v>7.0</v>
      </c>
      <c r="BP19" s="50">
        <v>5000.0</v>
      </c>
      <c r="BQ19" s="50">
        <v>1.0</v>
      </c>
      <c r="BR19" s="116"/>
      <c r="BS19" s="50">
        <v>7.0</v>
      </c>
      <c r="BT19" s="50">
        <v>1000.0</v>
      </c>
      <c r="BU19" s="50">
        <v>1.0</v>
      </c>
      <c r="BV19" s="116"/>
      <c r="BW19" s="50">
        <v>0.0</v>
      </c>
      <c r="BX19" s="116"/>
      <c r="BY19" s="116"/>
      <c r="BZ19" s="116"/>
      <c r="CA19" s="116"/>
      <c r="CB19" s="116"/>
      <c r="CC19" s="50" t="s">
        <v>10397</v>
      </c>
      <c r="CD19" s="50" t="s">
        <v>10362</v>
      </c>
      <c r="CE19" s="50">
        <v>0.0</v>
      </c>
      <c r="CF19" s="50" t="s">
        <v>10066</v>
      </c>
      <c r="CG19" s="117">
        <v>2913.0</v>
      </c>
      <c r="CH19" s="50" t="s">
        <v>10609</v>
      </c>
      <c r="CI19" s="50" t="s">
        <v>10610</v>
      </c>
      <c r="CJ19" s="117">
        <v>18.0</v>
      </c>
    </row>
    <row r="20">
      <c r="A20" s="50" t="s">
        <v>10613</v>
      </c>
      <c r="B20" s="50" t="s">
        <v>6876</v>
      </c>
      <c r="C20" s="50" t="s">
        <v>6877</v>
      </c>
      <c r="D20" s="50" t="s">
        <v>6878</v>
      </c>
      <c r="E20" s="50" t="s">
        <v>10615</v>
      </c>
      <c r="F20" s="50">
        <v>58.0</v>
      </c>
      <c r="G20" s="50">
        <v>2.0</v>
      </c>
      <c r="H20" s="50">
        <v>7.0</v>
      </c>
      <c r="I20" s="116"/>
      <c r="J20" s="116"/>
      <c r="K20" s="50" t="s">
        <v>10620</v>
      </c>
      <c r="L20" s="50" t="s">
        <v>10620</v>
      </c>
      <c r="M20" s="50" t="s">
        <v>10379</v>
      </c>
      <c r="N20" s="50" t="s">
        <v>10380</v>
      </c>
      <c r="O20" s="50" t="s">
        <v>10381</v>
      </c>
      <c r="P20" s="116"/>
      <c r="Q20" s="116"/>
      <c r="R20" s="116"/>
      <c r="S20" s="50">
        <v>7.0</v>
      </c>
      <c r="T20" s="50">
        <v>1000.0</v>
      </c>
      <c r="U20" s="50">
        <v>3.0</v>
      </c>
      <c r="V20" s="50">
        <v>0.0</v>
      </c>
      <c r="W20" s="50">
        <v>7.0</v>
      </c>
      <c r="X20" s="50">
        <v>100.0</v>
      </c>
      <c r="Y20" s="50">
        <v>3.0</v>
      </c>
      <c r="Z20" s="50">
        <v>0.0</v>
      </c>
      <c r="AA20" s="50">
        <v>0.0</v>
      </c>
      <c r="AB20" s="116"/>
      <c r="AC20" s="116"/>
      <c r="AD20" s="116"/>
      <c r="AE20" s="116"/>
      <c r="AF20" s="116"/>
      <c r="AG20" s="116"/>
      <c r="AH20" s="50">
        <v>7.0</v>
      </c>
      <c r="AI20" s="50">
        <v>5000.0</v>
      </c>
      <c r="AJ20" s="50">
        <v>3.0</v>
      </c>
      <c r="AK20" s="50">
        <v>0.0</v>
      </c>
      <c r="AL20" s="50">
        <v>7.0</v>
      </c>
      <c r="AM20" s="50">
        <v>1000.0</v>
      </c>
      <c r="AN20" s="50">
        <v>3.0</v>
      </c>
      <c r="AO20" s="50">
        <v>0.0</v>
      </c>
      <c r="AP20" s="50">
        <v>0.0</v>
      </c>
      <c r="AQ20" s="116"/>
      <c r="AR20" s="116"/>
      <c r="AS20" s="116"/>
      <c r="AT20" s="116"/>
      <c r="AU20" s="50">
        <v>1.0</v>
      </c>
      <c r="AV20" s="50" t="s">
        <v>7186</v>
      </c>
      <c r="AW20" s="50" t="s">
        <v>7304</v>
      </c>
      <c r="AX20" s="116"/>
      <c r="AY20" s="116"/>
      <c r="AZ20" s="50">
        <v>7.0</v>
      </c>
      <c r="BA20" s="50">
        <v>1000.0</v>
      </c>
      <c r="BB20" s="50">
        <v>3.0</v>
      </c>
      <c r="BC20" s="50">
        <v>0.0</v>
      </c>
      <c r="BD20" s="50">
        <v>7.0</v>
      </c>
      <c r="BE20" s="50">
        <v>100.0</v>
      </c>
      <c r="BF20" s="50">
        <v>3.0</v>
      </c>
      <c r="BG20" s="50">
        <v>0.0</v>
      </c>
      <c r="BH20" s="50">
        <v>0.0</v>
      </c>
      <c r="BI20" s="116"/>
      <c r="BJ20" s="116"/>
      <c r="BK20" s="116"/>
      <c r="BL20" s="116"/>
      <c r="BM20" s="116"/>
      <c r="BN20" s="116"/>
      <c r="BO20" s="50">
        <v>7.0</v>
      </c>
      <c r="BP20" s="50">
        <v>5000.0</v>
      </c>
      <c r="BQ20" s="50">
        <v>3.0</v>
      </c>
      <c r="BR20" s="50">
        <v>0.0</v>
      </c>
      <c r="BS20" s="50">
        <v>7.0</v>
      </c>
      <c r="BT20" s="50">
        <v>1000.0</v>
      </c>
      <c r="BU20" s="50">
        <v>3.0</v>
      </c>
      <c r="BV20" s="50">
        <v>0.0</v>
      </c>
      <c r="BW20" s="50">
        <v>0.0</v>
      </c>
      <c r="BX20" s="116"/>
      <c r="BY20" s="116"/>
      <c r="BZ20" s="116"/>
      <c r="CA20" s="116"/>
      <c r="CB20" s="116"/>
      <c r="CC20" s="50" t="s">
        <v>10397</v>
      </c>
      <c r="CD20" s="50" t="s">
        <v>10362</v>
      </c>
      <c r="CE20" s="50">
        <v>0.0</v>
      </c>
      <c r="CF20" s="50" t="s">
        <v>10066</v>
      </c>
      <c r="CG20" s="117">
        <v>2914.0</v>
      </c>
      <c r="CH20" s="50" t="s">
        <v>10644</v>
      </c>
      <c r="CI20" s="50" t="s">
        <v>10645</v>
      </c>
      <c r="CJ20" s="117">
        <v>19.0</v>
      </c>
    </row>
    <row r="21">
      <c r="A21" s="50" t="s">
        <v>10646</v>
      </c>
      <c r="B21" s="50" t="s">
        <v>6876</v>
      </c>
      <c r="C21" s="50" t="s">
        <v>6877</v>
      </c>
      <c r="D21" s="50" t="s">
        <v>6878</v>
      </c>
      <c r="E21" s="50" t="s">
        <v>10647</v>
      </c>
      <c r="F21" s="50">
        <v>58.0</v>
      </c>
      <c r="G21" s="50">
        <v>2.0</v>
      </c>
      <c r="H21" s="50">
        <v>2.0</v>
      </c>
      <c r="I21" s="116"/>
      <c r="J21" s="116"/>
      <c r="K21" s="51" t="s">
        <v>346</v>
      </c>
      <c r="L21" s="51" t="s">
        <v>346</v>
      </c>
      <c r="M21" s="50" t="s">
        <v>10379</v>
      </c>
      <c r="N21" s="50" t="s">
        <v>10649</v>
      </c>
      <c r="O21" s="50" t="s">
        <v>10381</v>
      </c>
      <c r="P21" s="116"/>
      <c r="Q21" s="116"/>
      <c r="R21" s="116"/>
      <c r="S21" s="50">
        <v>7.0</v>
      </c>
      <c r="T21" s="50">
        <v>1000.0</v>
      </c>
      <c r="U21" s="50">
        <v>3.0</v>
      </c>
      <c r="V21" s="50">
        <v>0.0</v>
      </c>
      <c r="W21" s="50">
        <v>7.0</v>
      </c>
      <c r="X21" s="50">
        <v>100.0</v>
      </c>
      <c r="Y21" s="50">
        <v>3.0</v>
      </c>
      <c r="Z21" s="50">
        <v>0.0</v>
      </c>
      <c r="AA21" s="50">
        <v>0.0</v>
      </c>
      <c r="AB21" s="116"/>
      <c r="AC21" s="116"/>
      <c r="AD21" s="116"/>
      <c r="AE21" s="116"/>
      <c r="AF21" s="116"/>
      <c r="AG21" s="116"/>
      <c r="AH21" s="50">
        <v>7.0</v>
      </c>
      <c r="AI21" s="50">
        <v>5000.0</v>
      </c>
      <c r="AJ21" s="50">
        <v>3.0</v>
      </c>
      <c r="AK21" s="50">
        <v>0.0</v>
      </c>
      <c r="AL21" s="50">
        <v>7.0</v>
      </c>
      <c r="AM21" s="50">
        <v>1000.0</v>
      </c>
      <c r="AN21" s="50">
        <v>3.0</v>
      </c>
      <c r="AO21" s="50">
        <v>0.0</v>
      </c>
      <c r="AP21" s="50">
        <v>1.0</v>
      </c>
      <c r="AQ21" s="50">
        <v>7.0</v>
      </c>
      <c r="AR21" s="50">
        <v>100.0</v>
      </c>
      <c r="AS21" s="50">
        <v>3.0</v>
      </c>
      <c r="AT21" s="50">
        <v>0.0</v>
      </c>
      <c r="AU21" s="50">
        <v>1.0</v>
      </c>
      <c r="AV21" s="50" t="s">
        <v>7093</v>
      </c>
      <c r="AW21" s="50" t="s">
        <v>10664</v>
      </c>
      <c r="AX21" s="116"/>
      <c r="AY21" s="116"/>
      <c r="AZ21" s="50">
        <v>7.0</v>
      </c>
      <c r="BA21" s="50">
        <v>1000.0</v>
      </c>
      <c r="BB21" s="50">
        <v>3.0</v>
      </c>
      <c r="BC21" s="50">
        <v>0.0</v>
      </c>
      <c r="BD21" s="50">
        <v>7.0</v>
      </c>
      <c r="BE21" s="50">
        <v>100.0</v>
      </c>
      <c r="BF21" s="50">
        <v>3.0</v>
      </c>
      <c r="BG21" s="50">
        <v>0.0</v>
      </c>
      <c r="BH21" s="50">
        <v>0.0</v>
      </c>
      <c r="BI21" s="116"/>
      <c r="BJ21" s="116"/>
      <c r="BK21" s="116"/>
      <c r="BL21" s="116"/>
      <c r="BM21" s="116"/>
      <c r="BN21" s="116"/>
      <c r="BO21" s="50">
        <v>7.0</v>
      </c>
      <c r="BP21" s="50">
        <v>5000.0</v>
      </c>
      <c r="BQ21" s="50">
        <v>3.0</v>
      </c>
      <c r="BR21" s="50">
        <v>0.0</v>
      </c>
      <c r="BS21" s="50">
        <v>7.0</v>
      </c>
      <c r="BT21" s="50">
        <v>1000.0</v>
      </c>
      <c r="BU21" s="50">
        <v>3.0</v>
      </c>
      <c r="BV21" s="50">
        <v>0.0</v>
      </c>
      <c r="BW21" s="50">
        <v>1.0</v>
      </c>
      <c r="BX21" s="50">
        <v>7.0</v>
      </c>
      <c r="BY21" s="50">
        <v>100.0</v>
      </c>
      <c r="BZ21" s="50">
        <v>3.0</v>
      </c>
      <c r="CA21" s="50">
        <v>0.0</v>
      </c>
      <c r="CB21" s="116"/>
      <c r="CC21" s="116"/>
      <c r="CD21" s="50" t="s">
        <v>10362</v>
      </c>
      <c r="CE21" s="50">
        <v>0.0</v>
      </c>
      <c r="CF21" s="50" t="s">
        <v>10066</v>
      </c>
      <c r="CG21" s="117">
        <v>2926.0</v>
      </c>
      <c r="CH21" s="50" t="s">
        <v>10674</v>
      </c>
      <c r="CI21" s="50" t="s">
        <v>10675</v>
      </c>
      <c r="CJ21" s="117">
        <v>20.0</v>
      </c>
    </row>
    <row r="22">
      <c r="A22" s="50" t="s">
        <v>10677</v>
      </c>
      <c r="B22" s="50" t="s">
        <v>6876</v>
      </c>
      <c r="C22" s="50" t="s">
        <v>6877</v>
      </c>
      <c r="D22" s="50" t="s">
        <v>6878</v>
      </c>
      <c r="E22" s="50" t="s">
        <v>10681</v>
      </c>
      <c r="F22" s="50">
        <v>58.0</v>
      </c>
      <c r="G22" s="50">
        <v>2.0</v>
      </c>
      <c r="H22" s="50">
        <v>2.0</v>
      </c>
      <c r="I22" s="116"/>
      <c r="J22" s="116"/>
      <c r="K22" s="51" t="s">
        <v>357</v>
      </c>
      <c r="L22" s="51" t="s">
        <v>357</v>
      </c>
      <c r="M22" s="50" t="s">
        <v>10379</v>
      </c>
      <c r="N22" s="50" t="s">
        <v>10380</v>
      </c>
      <c r="O22" s="50" t="s">
        <v>10381</v>
      </c>
      <c r="P22" s="116"/>
      <c r="Q22" s="116"/>
      <c r="R22" s="116"/>
      <c r="S22" s="50">
        <v>7.0</v>
      </c>
      <c r="T22" s="50">
        <v>1000.0</v>
      </c>
      <c r="U22" s="50">
        <v>3.0</v>
      </c>
      <c r="V22" s="50">
        <v>0.0</v>
      </c>
      <c r="W22" s="50">
        <v>7.0</v>
      </c>
      <c r="X22" s="50">
        <v>100.0</v>
      </c>
      <c r="Y22" s="50">
        <v>3.0</v>
      </c>
      <c r="Z22" s="50">
        <v>0.0</v>
      </c>
      <c r="AA22" s="50">
        <v>0.0</v>
      </c>
      <c r="AB22" s="116"/>
      <c r="AC22" s="116"/>
      <c r="AD22" s="116"/>
      <c r="AE22" s="116"/>
      <c r="AF22" s="116"/>
      <c r="AG22" s="116"/>
      <c r="AH22" s="50">
        <v>7.0</v>
      </c>
      <c r="AI22" s="50">
        <v>5000.0</v>
      </c>
      <c r="AJ22" s="50">
        <v>3.0</v>
      </c>
      <c r="AK22" s="50">
        <v>0.0</v>
      </c>
      <c r="AL22" s="50">
        <v>7.0</v>
      </c>
      <c r="AM22" s="50">
        <v>1000.0</v>
      </c>
      <c r="AN22" s="50">
        <v>3.0</v>
      </c>
      <c r="AO22" s="50">
        <v>0.0</v>
      </c>
      <c r="AP22" s="50">
        <v>1.0</v>
      </c>
      <c r="AQ22" s="50">
        <v>7.0</v>
      </c>
      <c r="AR22" s="50">
        <v>100.0</v>
      </c>
      <c r="AS22" s="50">
        <v>3.0</v>
      </c>
      <c r="AT22" s="50">
        <v>0.0</v>
      </c>
      <c r="AU22" s="50">
        <v>1.0</v>
      </c>
      <c r="AV22" s="50" t="s">
        <v>7093</v>
      </c>
      <c r="AW22" s="50" t="s">
        <v>10664</v>
      </c>
      <c r="AX22" s="116"/>
      <c r="AY22" s="116"/>
      <c r="AZ22" s="50">
        <v>7.0</v>
      </c>
      <c r="BA22" s="50">
        <v>1000.0</v>
      </c>
      <c r="BB22" s="50">
        <v>3.0</v>
      </c>
      <c r="BC22" s="50">
        <v>0.0</v>
      </c>
      <c r="BD22" s="50">
        <v>7.0</v>
      </c>
      <c r="BE22" s="50">
        <v>100.0</v>
      </c>
      <c r="BF22" s="50">
        <v>3.0</v>
      </c>
      <c r="BG22" s="50">
        <v>0.0</v>
      </c>
      <c r="BH22" s="50">
        <v>0.0</v>
      </c>
      <c r="BI22" s="116"/>
      <c r="BJ22" s="116"/>
      <c r="BK22" s="116"/>
      <c r="BL22" s="116"/>
      <c r="BM22" s="116"/>
      <c r="BN22" s="116"/>
      <c r="BO22" s="50">
        <v>7.0</v>
      </c>
      <c r="BP22" s="50">
        <v>5000.0</v>
      </c>
      <c r="BQ22" s="50">
        <v>3.0</v>
      </c>
      <c r="BR22" s="50">
        <v>0.0</v>
      </c>
      <c r="BS22" s="50">
        <v>7.0</v>
      </c>
      <c r="BT22" s="50">
        <v>1000.0</v>
      </c>
      <c r="BU22" s="50">
        <v>3.0</v>
      </c>
      <c r="BV22" s="50">
        <v>0.0</v>
      </c>
      <c r="BW22" s="50">
        <v>1.0</v>
      </c>
      <c r="BX22" s="50">
        <v>7.0</v>
      </c>
      <c r="BY22" s="50">
        <v>100.0</v>
      </c>
      <c r="BZ22" s="50">
        <v>3.0</v>
      </c>
      <c r="CA22" s="50">
        <v>0.0</v>
      </c>
      <c r="CB22" s="116"/>
      <c r="CC22" s="116"/>
      <c r="CD22" s="50" t="s">
        <v>10362</v>
      </c>
      <c r="CE22" s="50">
        <v>0.0</v>
      </c>
      <c r="CF22" s="50" t="s">
        <v>10066</v>
      </c>
      <c r="CG22" s="117">
        <v>2927.0</v>
      </c>
      <c r="CH22" s="50" t="s">
        <v>10702</v>
      </c>
      <c r="CI22" s="50" t="s">
        <v>10703</v>
      </c>
      <c r="CJ22" s="117">
        <v>21.0</v>
      </c>
    </row>
    <row r="23">
      <c r="A23" s="50" t="s">
        <v>10681</v>
      </c>
      <c r="B23" s="50" t="s">
        <v>6876</v>
      </c>
      <c r="C23" s="50" t="s">
        <v>6877</v>
      </c>
      <c r="D23" s="50" t="s">
        <v>6878</v>
      </c>
      <c r="E23" s="50" t="s">
        <v>10705</v>
      </c>
      <c r="F23" s="50">
        <v>58.0</v>
      </c>
      <c r="G23" s="50">
        <v>2.0</v>
      </c>
      <c r="H23" s="50">
        <v>8.0</v>
      </c>
      <c r="I23" s="116"/>
      <c r="J23" s="116"/>
      <c r="K23" s="50" t="s">
        <v>2384</v>
      </c>
      <c r="L23" s="50" t="s">
        <v>2384</v>
      </c>
      <c r="M23" s="50" t="s">
        <v>10379</v>
      </c>
      <c r="N23" s="50" t="s">
        <v>10380</v>
      </c>
      <c r="O23" s="50" t="s">
        <v>10710</v>
      </c>
      <c r="P23" s="116"/>
      <c r="Q23" s="116"/>
      <c r="R23" s="116"/>
      <c r="S23" s="50">
        <v>7.0</v>
      </c>
      <c r="T23" s="50">
        <v>1000.0</v>
      </c>
      <c r="U23" s="50">
        <v>3.0</v>
      </c>
      <c r="V23" s="50">
        <v>0.0</v>
      </c>
      <c r="W23" s="50">
        <v>7.0</v>
      </c>
      <c r="X23" s="50">
        <v>100.0</v>
      </c>
      <c r="Y23" s="50">
        <v>3.0</v>
      </c>
      <c r="Z23" s="50">
        <v>0.0</v>
      </c>
      <c r="AA23" s="50">
        <v>0.0</v>
      </c>
      <c r="AB23" s="116"/>
      <c r="AC23" s="116"/>
      <c r="AD23" s="116"/>
      <c r="AE23" s="116"/>
      <c r="AF23" s="116"/>
      <c r="AG23" s="116"/>
      <c r="AH23" s="50">
        <v>7.0</v>
      </c>
      <c r="AI23" s="50">
        <v>5000.0</v>
      </c>
      <c r="AJ23" s="50">
        <v>3.0</v>
      </c>
      <c r="AK23" s="50">
        <v>0.0</v>
      </c>
      <c r="AL23" s="50">
        <v>7.0</v>
      </c>
      <c r="AM23" s="50">
        <v>1000.0</v>
      </c>
      <c r="AN23" s="50">
        <v>3.0</v>
      </c>
      <c r="AO23" s="50">
        <v>0.0</v>
      </c>
      <c r="AP23" s="50">
        <v>1.0</v>
      </c>
      <c r="AQ23" s="50">
        <v>7.0</v>
      </c>
      <c r="AR23" s="50">
        <v>100.0</v>
      </c>
      <c r="AS23" s="50">
        <v>3.0</v>
      </c>
      <c r="AT23" s="50">
        <v>0.0</v>
      </c>
      <c r="AU23" s="50">
        <v>1.0</v>
      </c>
      <c r="AV23" s="50" t="s">
        <v>7093</v>
      </c>
      <c r="AW23" s="50" t="s">
        <v>10664</v>
      </c>
      <c r="AX23" s="116"/>
      <c r="AY23" s="116"/>
      <c r="AZ23" s="50">
        <v>7.0</v>
      </c>
      <c r="BA23" s="50">
        <v>1000.0</v>
      </c>
      <c r="BB23" s="50">
        <v>3.0</v>
      </c>
      <c r="BC23" s="50">
        <v>0.0</v>
      </c>
      <c r="BD23" s="50">
        <v>7.0</v>
      </c>
      <c r="BE23" s="50">
        <v>100.0</v>
      </c>
      <c r="BF23" s="50">
        <v>3.0</v>
      </c>
      <c r="BG23" s="50">
        <v>0.0</v>
      </c>
      <c r="BH23" s="50">
        <v>0.0</v>
      </c>
      <c r="BI23" s="116"/>
      <c r="BJ23" s="116"/>
      <c r="BK23" s="116"/>
      <c r="BL23" s="116"/>
      <c r="BM23" s="116"/>
      <c r="BN23" s="116"/>
      <c r="BO23" s="50">
        <v>7.0</v>
      </c>
      <c r="BP23" s="50">
        <v>5000.0</v>
      </c>
      <c r="BQ23" s="50">
        <v>3.0</v>
      </c>
      <c r="BR23" s="50">
        <v>0.0</v>
      </c>
      <c r="BS23" s="50">
        <v>7.0</v>
      </c>
      <c r="BT23" s="50">
        <v>1000.0</v>
      </c>
      <c r="BU23" s="50">
        <v>3.0</v>
      </c>
      <c r="BV23" s="50">
        <v>0.0</v>
      </c>
      <c r="BW23" s="50">
        <v>1.0</v>
      </c>
      <c r="BX23" s="50">
        <v>7.0</v>
      </c>
      <c r="BY23" s="50">
        <v>100.0</v>
      </c>
      <c r="BZ23" s="50">
        <v>3.0</v>
      </c>
      <c r="CA23" s="50">
        <v>0.0</v>
      </c>
      <c r="CB23" s="116"/>
      <c r="CC23" s="116"/>
      <c r="CD23" s="50" t="s">
        <v>10362</v>
      </c>
      <c r="CE23" s="50">
        <v>0.0</v>
      </c>
      <c r="CF23" s="50" t="s">
        <v>10066</v>
      </c>
      <c r="CG23" s="117">
        <v>2928.0</v>
      </c>
      <c r="CH23" s="50" t="s">
        <v>10727</v>
      </c>
      <c r="CI23" s="50" t="s">
        <v>10728</v>
      </c>
      <c r="CJ23" s="117">
        <v>22.0</v>
      </c>
    </row>
    <row r="24">
      <c r="A24" s="50" t="s">
        <v>10705</v>
      </c>
      <c r="B24" s="50" t="s">
        <v>6876</v>
      </c>
      <c r="C24" s="50" t="s">
        <v>6877</v>
      </c>
      <c r="D24" s="50" t="s">
        <v>6878</v>
      </c>
      <c r="E24" s="50" t="s">
        <v>10730</v>
      </c>
      <c r="F24" s="50">
        <v>1.0</v>
      </c>
      <c r="G24" s="50">
        <v>1.0</v>
      </c>
      <c r="H24" s="50">
        <v>97.0</v>
      </c>
      <c r="I24" s="116"/>
      <c r="J24" s="116"/>
      <c r="K24" s="50" t="s">
        <v>499</v>
      </c>
      <c r="L24" s="50" t="s">
        <v>499</v>
      </c>
      <c r="M24" s="50" t="s">
        <v>10379</v>
      </c>
      <c r="N24" s="50" t="s">
        <v>10380</v>
      </c>
      <c r="O24" s="50" t="s">
        <v>10381</v>
      </c>
      <c r="P24" s="116"/>
      <c r="Q24" s="116"/>
      <c r="R24" s="116"/>
      <c r="S24" s="50">
        <v>7.0</v>
      </c>
      <c r="T24" s="50">
        <v>1000.0</v>
      </c>
      <c r="U24" s="50">
        <v>3.0</v>
      </c>
      <c r="V24" s="50">
        <v>60.0</v>
      </c>
      <c r="W24" s="50">
        <v>7.0</v>
      </c>
      <c r="X24" s="50">
        <v>100.0</v>
      </c>
      <c r="Y24" s="50">
        <v>3.0</v>
      </c>
      <c r="Z24" s="50">
        <v>4.0</v>
      </c>
      <c r="AA24" s="50">
        <v>0.0</v>
      </c>
      <c r="AB24" s="116"/>
      <c r="AC24" s="116"/>
      <c r="AD24" s="116"/>
      <c r="AE24" s="116"/>
      <c r="AF24" s="116"/>
      <c r="AG24" s="116"/>
      <c r="AH24" s="50">
        <v>7.0</v>
      </c>
      <c r="AI24" s="50">
        <v>1000.0</v>
      </c>
      <c r="AJ24" s="50">
        <v>3.0</v>
      </c>
      <c r="AK24" s="50">
        <v>3.0</v>
      </c>
      <c r="AL24" s="50">
        <v>7.0</v>
      </c>
      <c r="AM24" s="50">
        <v>100.0</v>
      </c>
      <c r="AN24" s="50">
        <v>3.0</v>
      </c>
      <c r="AO24" s="50">
        <v>0.0</v>
      </c>
      <c r="AP24" s="50">
        <v>0.0</v>
      </c>
      <c r="AQ24" s="116"/>
      <c r="AR24" s="116"/>
      <c r="AS24" s="116"/>
      <c r="AT24" s="116"/>
      <c r="AU24" s="50">
        <v>0.0</v>
      </c>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50" t="s">
        <v>10755</v>
      </c>
      <c r="CD24" s="50" t="s">
        <v>10362</v>
      </c>
      <c r="CE24" s="50">
        <v>0.0</v>
      </c>
      <c r="CF24" s="50" t="s">
        <v>10066</v>
      </c>
      <c r="CG24" s="117">
        <v>2929.0</v>
      </c>
      <c r="CH24" s="50" t="s">
        <v>10757</v>
      </c>
      <c r="CI24" s="50" t="s">
        <v>10758</v>
      </c>
      <c r="CJ24" s="117">
        <v>23.0</v>
      </c>
    </row>
    <row r="25">
      <c r="A25" s="50" t="s">
        <v>10759</v>
      </c>
      <c r="B25" s="50" t="s">
        <v>6876</v>
      </c>
      <c r="C25" s="50" t="s">
        <v>6877</v>
      </c>
      <c r="D25" s="50" t="s">
        <v>6878</v>
      </c>
      <c r="E25" s="50" t="s">
        <v>10760</v>
      </c>
      <c r="F25" s="50">
        <v>58.0</v>
      </c>
      <c r="G25" s="50">
        <v>2.0</v>
      </c>
      <c r="H25" s="50">
        <v>8.0</v>
      </c>
      <c r="I25" s="116"/>
      <c r="J25" s="116"/>
      <c r="K25" s="51" t="s">
        <v>353</v>
      </c>
      <c r="L25" s="51" t="s">
        <v>353</v>
      </c>
      <c r="M25" s="50" t="s">
        <v>10765</v>
      </c>
      <c r="N25" s="50" t="s">
        <v>10380</v>
      </c>
      <c r="O25" s="50" t="s">
        <v>10381</v>
      </c>
      <c r="P25" s="116"/>
      <c r="Q25" s="116"/>
      <c r="R25" s="116"/>
      <c r="S25" s="50">
        <v>7.0</v>
      </c>
      <c r="T25" s="50">
        <v>1000.0</v>
      </c>
      <c r="U25" s="50">
        <v>3.0</v>
      </c>
      <c r="V25" s="50">
        <v>0.0</v>
      </c>
      <c r="W25" s="50">
        <v>7.0</v>
      </c>
      <c r="X25" s="50">
        <v>100.0</v>
      </c>
      <c r="Y25" s="50">
        <v>3.0</v>
      </c>
      <c r="Z25" s="50">
        <v>0.0</v>
      </c>
      <c r="AA25" s="50">
        <v>0.0</v>
      </c>
      <c r="AB25" s="116"/>
      <c r="AC25" s="116"/>
      <c r="AD25" s="116"/>
      <c r="AE25" s="116"/>
      <c r="AF25" s="116"/>
      <c r="AG25" s="116"/>
      <c r="AH25" s="50">
        <v>7.0</v>
      </c>
      <c r="AI25" s="50">
        <v>5000.0</v>
      </c>
      <c r="AJ25" s="50">
        <v>3.0</v>
      </c>
      <c r="AK25" s="50">
        <v>0.0</v>
      </c>
      <c r="AL25" s="50">
        <v>7.0</v>
      </c>
      <c r="AM25" s="50">
        <v>1000.0</v>
      </c>
      <c r="AN25" s="50">
        <v>3.0</v>
      </c>
      <c r="AO25" s="50">
        <v>0.0</v>
      </c>
      <c r="AP25" s="50">
        <v>1.0</v>
      </c>
      <c r="AQ25" s="50">
        <v>7.0</v>
      </c>
      <c r="AR25" s="50">
        <v>100.0</v>
      </c>
      <c r="AS25" s="50">
        <v>3.0</v>
      </c>
      <c r="AT25" s="50">
        <v>0.0</v>
      </c>
      <c r="AU25" s="50">
        <v>1.0</v>
      </c>
      <c r="AV25" s="50" t="s">
        <v>7093</v>
      </c>
      <c r="AW25" s="50" t="s">
        <v>10664</v>
      </c>
      <c r="AX25" s="116"/>
      <c r="AY25" s="116"/>
      <c r="AZ25" s="50">
        <v>7.0</v>
      </c>
      <c r="BA25" s="50">
        <v>1000.0</v>
      </c>
      <c r="BB25" s="50">
        <v>3.0</v>
      </c>
      <c r="BC25" s="50">
        <v>0.0</v>
      </c>
      <c r="BD25" s="50">
        <v>7.0</v>
      </c>
      <c r="BE25" s="50">
        <v>100.0</v>
      </c>
      <c r="BF25" s="50">
        <v>3.0</v>
      </c>
      <c r="BG25" s="50">
        <v>0.0</v>
      </c>
      <c r="BH25" s="50">
        <v>0.0</v>
      </c>
      <c r="BI25" s="116"/>
      <c r="BJ25" s="116"/>
      <c r="BK25" s="116"/>
      <c r="BL25" s="116"/>
      <c r="BM25" s="116"/>
      <c r="BN25" s="116"/>
      <c r="BO25" s="50">
        <v>7.0</v>
      </c>
      <c r="BP25" s="50">
        <v>5000.0</v>
      </c>
      <c r="BQ25" s="50">
        <v>3.0</v>
      </c>
      <c r="BR25" s="50">
        <v>0.0</v>
      </c>
      <c r="BS25" s="50">
        <v>7.0</v>
      </c>
      <c r="BT25" s="50">
        <v>1000.0</v>
      </c>
      <c r="BU25" s="50">
        <v>3.0</v>
      </c>
      <c r="BV25" s="50">
        <v>0.0</v>
      </c>
      <c r="BW25" s="50">
        <v>1.0</v>
      </c>
      <c r="BX25" s="50">
        <v>7.0</v>
      </c>
      <c r="BY25" s="50">
        <v>100.0</v>
      </c>
      <c r="BZ25" s="50">
        <v>3.0</v>
      </c>
      <c r="CA25" s="50">
        <v>0.0</v>
      </c>
      <c r="CB25" s="116"/>
      <c r="CC25" s="116"/>
      <c r="CD25" s="50" t="s">
        <v>10362</v>
      </c>
      <c r="CE25" s="50">
        <v>0.0</v>
      </c>
      <c r="CF25" s="50" t="s">
        <v>10066</v>
      </c>
      <c r="CG25" s="117">
        <v>2930.0</v>
      </c>
      <c r="CH25" s="50" t="s">
        <v>10782</v>
      </c>
      <c r="CI25" s="50" t="s">
        <v>10783</v>
      </c>
      <c r="CJ25" s="117">
        <v>24.0</v>
      </c>
    </row>
    <row r="26">
      <c r="A26" s="50" t="s">
        <v>10784</v>
      </c>
      <c r="B26" s="50" t="s">
        <v>6876</v>
      </c>
      <c r="C26" s="50" t="s">
        <v>6877</v>
      </c>
      <c r="D26" s="50" t="s">
        <v>6878</v>
      </c>
      <c r="E26" s="50" t="s">
        <v>10786</v>
      </c>
      <c r="F26" s="50">
        <v>58.0</v>
      </c>
      <c r="G26" s="50">
        <v>1.0</v>
      </c>
      <c r="H26" s="50">
        <v>3.0</v>
      </c>
      <c r="I26" s="116"/>
      <c r="J26" s="116"/>
      <c r="K26" s="50" t="s">
        <v>385</v>
      </c>
      <c r="L26" s="50" t="s">
        <v>385</v>
      </c>
      <c r="M26" s="50" t="s">
        <v>10379</v>
      </c>
      <c r="N26" s="50" t="s">
        <v>10380</v>
      </c>
      <c r="O26" s="50" t="s">
        <v>10381</v>
      </c>
      <c r="P26" s="116"/>
      <c r="Q26" s="116"/>
      <c r="R26" s="116"/>
      <c r="S26" s="50">
        <v>7.0</v>
      </c>
      <c r="T26" s="50">
        <v>1000.0</v>
      </c>
      <c r="U26" s="50">
        <v>3.0</v>
      </c>
      <c r="V26" s="50">
        <v>0.0</v>
      </c>
      <c r="W26" s="50">
        <v>7.0</v>
      </c>
      <c r="X26" s="50">
        <v>100.0</v>
      </c>
      <c r="Y26" s="50">
        <v>3.0</v>
      </c>
      <c r="Z26" s="50">
        <v>0.0</v>
      </c>
      <c r="AA26" s="50">
        <v>0.0</v>
      </c>
      <c r="AB26" s="116"/>
      <c r="AC26" s="116"/>
      <c r="AD26" s="116"/>
      <c r="AE26" s="116"/>
      <c r="AF26" s="116"/>
      <c r="AG26" s="116"/>
      <c r="AH26" s="50">
        <v>7.0</v>
      </c>
      <c r="AI26" s="50">
        <v>5000.0</v>
      </c>
      <c r="AJ26" s="50">
        <v>3.0</v>
      </c>
      <c r="AK26" s="50">
        <v>0.0</v>
      </c>
      <c r="AL26" s="50">
        <v>7.0</v>
      </c>
      <c r="AM26" s="50">
        <v>1000.0</v>
      </c>
      <c r="AN26" s="50">
        <v>3.0</v>
      </c>
      <c r="AO26" s="50">
        <v>0.0</v>
      </c>
      <c r="AP26" s="50">
        <v>1.0</v>
      </c>
      <c r="AQ26" s="50">
        <v>7.0</v>
      </c>
      <c r="AR26" s="50">
        <v>100.0</v>
      </c>
      <c r="AS26" s="50">
        <v>3.0</v>
      </c>
      <c r="AT26" s="50">
        <v>0.0</v>
      </c>
      <c r="AU26" s="50">
        <v>1.0</v>
      </c>
      <c r="AV26" s="50" t="s">
        <v>7093</v>
      </c>
      <c r="AW26" s="50" t="s">
        <v>10664</v>
      </c>
      <c r="AX26" s="116"/>
      <c r="AY26" s="116"/>
      <c r="AZ26" s="50">
        <v>7.0</v>
      </c>
      <c r="BA26" s="50">
        <v>1000.0</v>
      </c>
      <c r="BB26" s="50">
        <v>3.0</v>
      </c>
      <c r="BC26" s="50">
        <v>0.0</v>
      </c>
      <c r="BD26" s="50">
        <v>7.0</v>
      </c>
      <c r="BE26" s="50">
        <v>100.0</v>
      </c>
      <c r="BF26" s="50">
        <v>3.0</v>
      </c>
      <c r="BG26" s="50">
        <v>0.0</v>
      </c>
      <c r="BH26" s="50">
        <v>0.0</v>
      </c>
      <c r="BI26" s="116"/>
      <c r="BJ26" s="116"/>
      <c r="BK26" s="116"/>
      <c r="BL26" s="116"/>
      <c r="BM26" s="116"/>
      <c r="BN26" s="116"/>
      <c r="BO26" s="50">
        <v>7.0</v>
      </c>
      <c r="BP26" s="50">
        <v>5000.0</v>
      </c>
      <c r="BQ26" s="50">
        <v>3.0</v>
      </c>
      <c r="BR26" s="50">
        <v>0.0</v>
      </c>
      <c r="BS26" s="50">
        <v>7.0</v>
      </c>
      <c r="BT26" s="50">
        <v>1000.0</v>
      </c>
      <c r="BU26" s="50">
        <v>3.0</v>
      </c>
      <c r="BV26" s="50">
        <v>0.0</v>
      </c>
      <c r="BW26" s="50">
        <v>1.0</v>
      </c>
      <c r="BX26" s="50">
        <v>7.0</v>
      </c>
      <c r="BY26" s="50">
        <v>100.0</v>
      </c>
      <c r="BZ26" s="50">
        <v>3.0</v>
      </c>
      <c r="CA26" s="50">
        <v>0.0</v>
      </c>
      <c r="CB26" s="116"/>
      <c r="CC26" s="116"/>
      <c r="CD26" s="50" t="s">
        <v>10362</v>
      </c>
      <c r="CE26" s="50">
        <v>0.0</v>
      </c>
      <c r="CF26" s="50" t="s">
        <v>10066</v>
      </c>
      <c r="CG26" s="117">
        <v>2931.0</v>
      </c>
      <c r="CH26" s="50" t="s">
        <v>10805</v>
      </c>
      <c r="CI26" s="50" t="s">
        <v>10806</v>
      </c>
      <c r="CJ26" s="117">
        <v>25.0</v>
      </c>
    </row>
    <row r="27">
      <c r="A27" s="50" t="s">
        <v>10809</v>
      </c>
      <c r="B27" s="50" t="s">
        <v>6876</v>
      </c>
      <c r="C27" s="50" t="s">
        <v>6877</v>
      </c>
      <c r="D27" s="50" t="s">
        <v>6878</v>
      </c>
      <c r="E27" s="50" t="s">
        <v>10810</v>
      </c>
      <c r="F27" s="50">
        <v>58.0</v>
      </c>
      <c r="G27" s="50">
        <v>1.0</v>
      </c>
      <c r="H27" s="50">
        <v>1.0</v>
      </c>
      <c r="I27" s="116"/>
      <c r="J27" s="116"/>
      <c r="K27" s="50" t="s">
        <v>389</v>
      </c>
      <c r="L27" s="50" t="s">
        <v>389</v>
      </c>
      <c r="M27" s="50" t="s">
        <v>10379</v>
      </c>
      <c r="N27" s="50" t="s">
        <v>10380</v>
      </c>
      <c r="O27" s="50" t="s">
        <v>10381</v>
      </c>
      <c r="P27" s="116"/>
      <c r="Q27" s="116"/>
      <c r="R27" s="116"/>
      <c r="S27" s="50">
        <v>7.0</v>
      </c>
      <c r="T27" s="50">
        <v>1000.0</v>
      </c>
      <c r="U27" s="50">
        <v>3.0</v>
      </c>
      <c r="V27" s="50">
        <v>0.0</v>
      </c>
      <c r="W27" s="50">
        <v>7.0</v>
      </c>
      <c r="X27" s="50">
        <v>100.0</v>
      </c>
      <c r="Y27" s="50">
        <v>3.0</v>
      </c>
      <c r="Z27" s="50">
        <v>0.0</v>
      </c>
      <c r="AA27" s="50">
        <v>0.0</v>
      </c>
      <c r="AB27" s="116"/>
      <c r="AC27" s="116"/>
      <c r="AD27" s="116"/>
      <c r="AE27" s="116"/>
      <c r="AF27" s="116"/>
      <c r="AG27" s="116"/>
      <c r="AH27" s="50">
        <v>7.0</v>
      </c>
      <c r="AI27" s="50">
        <v>5000.0</v>
      </c>
      <c r="AJ27" s="50">
        <v>3.0</v>
      </c>
      <c r="AK27" s="50">
        <v>0.0</v>
      </c>
      <c r="AL27" s="50">
        <v>7.0</v>
      </c>
      <c r="AM27" s="50">
        <v>1000.0</v>
      </c>
      <c r="AN27" s="50">
        <v>3.0</v>
      </c>
      <c r="AO27" s="50">
        <v>0.0</v>
      </c>
      <c r="AP27" s="50">
        <v>1.0</v>
      </c>
      <c r="AQ27" s="50">
        <v>7.0</v>
      </c>
      <c r="AR27" s="50">
        <v>100.0</v>
      </c>
      <c r="AS27" s="50">
        <v>3.0</v>
      </c>
      <c r="AT27" s="50">
        <v>0.0</v>
      </c>
      <c r="AU27" s="50">
        <v>1.0</v>
      </c>
      <c r="AV27" s="50" t="s">
        <v>7109</v>
      </c>
      <c r="AW27" s="50" t="s">
        <v>10664</v>
      </c>
      <c r="AX27" s="116"/>
      <c r="AY27" s="116"/>
      <c r="AZ27" s="50">
        <v>7.0</v>
      </c>
      <c r="BA27" s="50">
        <v>1000.0</v>
      </c>
      <c r="BB27" s="50">
        <v>3.0</v>
      </c>
      <c r="BC27" s="50">
        <v>0.0</v>
      </c>
      <c r="BD27" s="50">
        <v>7.0</v>
      </c>
      <c r="BE27" s="50">
        <v>100.0</v>
      </c>
      <c r="BF27" s="50">
        <v>3.0</v>
      </c>
      <c r="BG27" s="50">
        <v>0.0</v>
      </c>
      <c r="BH27" s="50">
        <v>0.0</v>
      </c>
      <c r="BI27" s="116"/>
      <c r="BJ27" s="116"/>
      <c r="BK27" s="116"/>
      <c r="BL27" s="116"/>
      <c r="BM27" s="116"/>
      <c r="BN27" s="116"/>
      <c r="BO27" s="50">
        <v>7.0</v>
      </c>
      <c r="BP27" s="50">
        <v>5000.0</v>
      </c>
      <c r="BQ27" s="50">
        <v>3.0</v>
      </c>
      <c r="BR27" s="50">
        <v>0.0</v>
      </c>
      <c r="BS27" s="50">
        <v>7.0</v>
      </c>
      <c r="BT27" s="50">
        <v>1000.0</v>
      </c>
      <c r="BU27" s="50">
        <v>3.0</v>
      </c>
      <c r="BV27" s="50">
        <v>0.0</v>
      </c>
      <c r="BW27" s="50">
        <v>1.0</v>
      </c>
      <c r="BX27" s="50">
        <v>7.0</v>
      </c>
      <c r="BY27" s="50">
        <v>100.0</v>
      </c>
      <c r="BZ27" s="50">
        <v>3.0</v>
      </c>
      <c r="CA27" s="50">
        <v>0.0</v>
      </c>
      <c r="CB27" s="116"/>
      <c r="CC27" s="116"/>
      <c r="CD27" s="50" t="s">
        <v>10362</v>
      </c>
      <c r="CE27" s="50">
        <v>0.0</v>
      </c>
      <c r="CF27" s="50" t="s">
        <v>10066</v>
      </c>
      <c r="CG27" s="117">
        <v>2932.0</v>
      </c>
      <c r="CH27" s="50" t="s">
        <v>10830</v>
      </c>
      <c r="CI27" s="50" t="s">
        <v>10832</v>
      </c>
      <c r="CJ27" s="117">
        <v>26.0</v>
      </c>
    </row>
    <row r="28">
      <c r="A28" s="50" t="s">
        <v>10834</v>
      </c>
      <c r="B28" s="50" t="s">
        <v>6876</v>
      </c>
      <c r="C28" s="50" t="s">
        <v>6877</v>
      </c>
      <c r="D28" s="50" t="s">
        <v>6878</v>
      </c>
      <c r="E28" s="50" t="s">
        <v>10835</v>
      </c>
      <c r="F28" s="50">
        <v>58.0</v>
      </c>
      <c r="G28" s="50">
        <v>1.0</v>
      </c>
      <c r="H28" s="50">
        <v>10.0</v>
      </c>
      <c r="I28" s="116"/>
      <c r="J28" s="116"/>
      <c r="K28" s="50" t="s">
        <v>392</v>
      </c>
      <c r="L28" s="50" t="s">
        <v>392</v>
      </c>
      <c r="M28" s="50" t="s">
        <v>7304</v>
      </c>
      <c r="N28" s="50" t="s">
        <v>10380</v>
      </c>
      <c r="O28" s="50" t="s">
        <v>10381</v>
      </c>
      <c r="P28" s="116"/>
      <c r="Q28" s="116"/>
      <c r="R28" s="116"/>
      <c r="S28" s="50">
        <v>7.0</v>
      </c>
      <c r="T28" s="50">
        <v>1000.0</v>
      </c>
      <c r="U28" s="50">
        <v>3.0</v>
      </c>
      <c r="V28" s="50">
        <v>2.0</v>
      </c>
      <c r="W28" s="50">
        <v>7.0</v>
      </c>
      <c r="X28" s="50">
        <v>100.0</v>
      </c>
      <c r="Y28" s="50">
        <v>3.0</v>
      </c>
      <c r="Z28" s="50">
        <v>0.0</v>
      </c>
      <c r="AA28" s="50">
        <v>0.0</v>
      </c>
      <c r="AB28" s="116"/>
      <c r="AC28" s="116"/>
      <c r="AD28" s="116"/>
      <c r="AE28" s="116"/>
      <c r="AF28" s="116"/>
      <c r="AG28" s="116"/>
      <c r="AH28" s="50">
        <v>7.0</v>
      </c>
      <c r="AI28" s="50">
        <v>5000.0</v>
      </c>
      <c r="AJ28" s="50">
        <v>3.0</v>
      </c>
      <c r="AK28" s="50">
        <v>0.0</v>
      </c>
      <c r="AL28" s="50">
        <v>7.0</v>
      </c>
      <c r="AM28" s="50">
        <v>1000.0</v>
      </c>
      <c r="AN28" s="50">
        <v>3.0</v>
      </c>
      <c r="AO28" s="50">
        <v>0.0</v>
      </c>
      <c r="AP28" s="50">
        <v>1.0</v>
      </c>
      <c r="AQ28" s="50">
        <v>7.0</v>
      </c>
      <c r="AR28" s="50">
        <v>100.0</v>
      </c>
      <c r="AS28" s="50">
        <v>3.0</v>
      </c>
      <c r="AT28" s="50">
        <v>0.0</v>
      </c>
      <c r="AU28" s="50">
        <v>1.0</v>
      </c>
      <c r="AV28" s="50" t="s">
        <v>7093</v>
      </c>
      <c r="AW28" s="50" t="s">
        <v>10664</v>
      </c>
      <c r="AX28" s="116"/>
      <c r="AY28" s="116"/>
      <c r="AZ28" s="50">
        <v>7.0</v>
      </c>
      <c r="BA28" s="50">
        <v>1000.0</v>
      </c>
      <c r="BB28" s="50">
        <v>1.0</v>
      </c>
      <c r="BC28" s="116"/>
      <c r="BD28" s="50">
        <v>7.0</v>
      </c>
      <c r="BE28" s="50">
        <v>100.0</v>
      </c>
      <c r="BF28" s="50">
        <v>3.0</v>
      </c>
      <c r="BG28" s="50">
        <v>166.0</v>
      </c>
      <c r="BH28" s="50">
        <v>0.0</v>
      </c>
      <c r="BI28" s="116"/>
      <c r="BJ28" s="116"/>
      <c r="BK28" s="116"/>
      <c r="BL28" s="116"/>
      <c r="BM28" s="116"/>
      <c r="BN28" s="116"/>
      <c r="BO28" s="50">
        <v>7.0</v>
      </c>
      <c r="BP28" s="50">
        <v>5000.0</v>
      </c>
      <c r="BQ28" s="50">
        <v>3.0</v>
      </c>
      <c r="BR28" s="50">
        <v>0.0</v>
      </c>
      <c r="BS28" s="50">
        <v>7.0</v>
      </c>
      <c r="BT28" s="50">
        <v>1000.0</v>
      </c>
      <c r="BU28" s="50">
        <v>3.0</v>
      </c>
      <c r="BV28" s="50">
        <v>0.0</v>
      </c>
      <c r="BW28" s="50">
        <v>1.0</v>
      </c>
      <c r="BX28" s="50">
        <v>7.0</v>
      </c>
      <c r="BY28" s="50">
        <v>100.0</v>
      </c>
      <c r="BZ28" s="50">
        <v>3.0</v>
      </c>
      <c r="CA28" s="50">
        <v>0.0</v>
      </c>
      <c r="CB28" s="116"/>
      <c r="CC28" s="116"/>
      <c r="CD28" s="50" t="s">
        <v>10362</v>
      </c>
      <c r="CE28" s="50">
        <v>0.0</v>
      </c>
      <c r="CF28" s="50" t="s">
        <v>10066</v>
      </c>
      <c r="CG28" s="117">
        <v>2933.0</v>
      </c>
      <c r="CH28" s="50" t="s">
        <v>10860</v>
      </c>
      <c r="CI28" s="50" t="s">
        <v>10862</v>
      </c>
      <c r="CJ28" s="117">
        <v>27.0</v>
      </c>
    </row>
    <row r="29">
      <c r="A29" s="50" t="s">
        <v>10835</v>
      </c>
      <c r="B29" s="50" t="s">
        <v>6876</v>
      </c>
      <c r="C29" s="50" t="s">
        <v>6877</v>
      </c>
      <c r="D29" s="50" t="s">
        <v>6878</v>
      </c>
      <c r="E29" s="50" t="s">
        <v>10866</v>
      </c>
      <c r="F29" s="50">
        <v>58.0</v>
      </c>
      <c r="G29" s="50">
        <v>1.0</v>
      </c>
      <c r="H29" s="50">
        <v>10.0</v>
      </c>
      <c r="I29" s="116"/>
      <c r="J29" s="116"/>
      <c r="K29" s="50" t="s">
        <v>392</v>
      </c>
      <c r="L29" s="50" t="s">
        <v>392</v>
      </c>
      <c r="M29" s="50" t="s">
        <v>7304</v>
      </c>
      <c r="N29" s="50" t="s">
        <v>10871</v>
      </c>
      <c r="O29" s="50" t="s">
        <v>10872</v>
      </c>
      <c r="P29" s="116"/>
      <c r="Q29" s="116"/>
      <c r="R29" s="116"/>
      <c r="S29" s="50">
        <v>7.0</v>
      </c>
      <c r="T29" s="50">
        <v>1000.0</v>
      </c>
      <c r="U29" s="50">
        <v>3.0</v>
      </c>
      <c r="V29" s="50">
        <v>0.0</v>
      </c>
      <c r="W29" s="50">
        <v>7.0</v>
      </c>
      <c r="X29" s="50">
        <v>100.0</v>
      </c>
      <c r="Y29" s="50">
        <v>3.0</v>
      </c>
      <c r="Z29" s="50">
        <v>0.0</v>
      </c>
      <c r="AA29" s="50">
        <v>0.0</v>
      </c>
      <c r="AB29" s="116"/>
      <c r="AC29" s="116"/>
      <c r="AD29" s="116"/>
      <c r="AE29" s="116"/>
      <c r="AF29" s="116"/>
      <c r="AG29" s="116"/>
      <c r="AH29" s="50">
        <v>7.0</v>
      </c>
      <c r="AI29" s="50">
        <v>5000.0</v>
      </c>
      <c r="AJ29" s="50">
        <v>3.0</v>
      </c>
      <c r="AK29" s="50">
        <v>0.0</v>
      </c>
      <c r="AL29" s="50">
        <v>7.0</v>
      </c>
      <c r="AM29" s="50">
        <v>1000.0</v>
      </c>
      <c r="AN29" s="50">
        <v>3.0</v>
      </c>
      <c r="AO29" s="50">
        <v>0.0</v>
      </c>
      <c r="AP29" s="50">
        <v>1.0</v>
      </c>
      <c r="AQ29" s="50">
        <v>7.0</v>
      </c>
      <c r="AR29" s="50">
        <v>100.0</v>
      </c>
      <c r="AS29" s="50">
        <v>3.0</v>
      </c>
      <c r="AT29" s="50">
        <v>0.0</v>
      </c>
      <c r="AU29" s="50">
        <v>1.0</v>
      </c>
      <c r="AV29" s="50" t="s">
        <v>10884</v>
      </c>
      <c r="AW29" s="50" t="s">
        <v>10664</v>
      </c>
      <c r="AX29" s="116"/>
      <c r="AY29" s="116"/>
      <c r="AZ29" s="50">
        <v>7.0</v>
      </c>
      <c r="BA29" s="50">
        <v>1000.0</v>
      </c>
      <c r="BB29" s="50">
        <v>3.0</v>
      </c>
      <c r="BC29" s="50">
        <v>0.0</v>
      </c>
      <c r="BD29" s="50">
        <v>7.0</v>
      </c>
      <c r="BE29" s="50">
        <v>100.0</v>
      </c>
      <c r="BF29" s="50">
        <v>3.0</v>
      </c>
      <c r="BG29" s="50">
        <v>0.0</v>
      </c>
      <c r="BH29" s="50">
        <v>0.0</v>
      </c>
      <c r="BI29" s="116"/>
      <c r="BJ29" s="116"/>
      <c r="BK29" s="116"/>
      <c r="BL29" s="116"/>
      <c r="BM29" s="116"/>
      <c r="BN29" s="116"/>
      <c r="BO29" s="50">
        <v>7.0</v>
      </c>
      <c r="BP29" s="50">
        <v>5000.0</v>
      </c>
      <c r="BQ29" s="50">
        <v>3.0</v>
      </c>
      <c r="BR29" s="50">
        <v>0.0</v>
      </c>
      <c r="BS29" s="50">
        <v>7.0</v>
      </c>
      <c r="BT29" s="50">
        <v>1000.0</v>
      </c>
      <c r="BU29" s="50">
        <v>3.0</v>
      </c>
      <c r="BV29" s="50">
        <v>0.0</v>
      </c>
      <c r="BW29" s="50">
        <v>1.0</v>
      </c>
      <c r="BX29" s="50">
        <v>7.0</v>
      </c>
      <c r="BY29" s="50">
        <v>100.0</v>
      </c>
      <c r="BZ29" s="50">
        <v>3.0</v>
      </c>
      <c r="CA29" s="50">
        <v>0.0</v>
      </c>
      <c r="CB29" s="116"/>
      <c r="CC29" s="116"/>
      <c r="CD29" s="50" t="s">
        <v>10362</v>
      </c>
      <c r="CE29" s="50">
        <v>0.0</v>
      </c>
      <c r="CF29" s="50" t="s">
        <v>10066</v>
      </c>
      <c r="CG29" s="117">
        <v>2934.0</v>
      </c>
      <c r="CH29" s="50" t="s">
        <v>10895</v>
      </c>
      <c r="CI29" s="50" t="s">
        <v>10896</v>
      </c>
      <c r="CJ29" s="117">
        <v>28.0</v>
      </c>
    </row>
    <row r="30">
      <c r="A30" s="50" t="s">
        <v>10897</v>
      </c>
      <c r="B30" s="50" t="s">
        <v>6876</v>
      </c>
      <c r="C30" s="50" t="s">
        <v>6877</v>
      </c>
      <c r="D30" s="50" t="s">
        <v>6878</v>
      </c>
      <c r="E30" s="50" t="s">
        <v>10901</v>
      </c>
      <c r="F30" s="50">
        <v>58.0</v>
      </c>
      <c r="G30" s="50">
        <v>1.0</v>
      </c>
      <c r="H30" s="50">
        <v>5.0</v>
      </c>
      <c r="I30" s="116"/>
      <c r="J30" s="116"/>
      <c r="K30" s="50" t="s">
        <v>394</v>
      </c>
      <c r="L30" s="50" t="s">
        <v>394</v>
      </c>
      <c r="M30" s="50" t="s">
        <v>10379</v>
      </c>
      <c r="N30" s="50" t="s">
        <v>10379</v>
      </c>
      <c r="O30" s="50" t="s">
        <v>10381</v>
      </c>
      <c r="P30" s="116"/>
      <c r="Q30" s="116"/>
      <c r="R30" s="116"/>
      <c r="S30" s="50">
        <v>7.0</v>
      </c>
      <c r="T30" s="50">
        <v>1000.0</v>
      </c>
      <c r="U30" s="50">
        <v>3.0</v>
      </c>
      <c r="V30" s="50">
        <v>12.0</v>
      </c>
      <c r="W30" s="50">
        <v>7.0</v>
      </c>
      <c r="X30" s="50">
        <v>100.0</v>
      </c>
      <c r="Y30" s="50">
        <v>3.0</v>
      </c>
      <c r="Z30" s="50">
        <v>0.0</v>
      </c>
      <c r="AA30" s="50">
        <v>0.0</v>
      </c>
      <c r="AB30" s="116"/>
      <c r="AC30" s="116"/>
      <c r="AD30" s="116"/>
      <c r="AE30" s="116"/>
      <c r="AF30" s="116"/>
      <c r="AG30" s="116"/>
      <c r="AH30" s="50">
        <v>7.0</v>
      </c>
      <c r="AI30" s="50">
        <v>5000.0</v>
      </c>
      <c r="AJ30" s="50">
        <v>3.0</v>
      </c>
      <c r="AK30" s="50">
        <v>0.0</v>
      </c>
      <c r="AL30" s="50">
        <v>7.0</v>
      </c>
      <c r="AM30" s="50">
        <v>1000.0</v>
      </c>
      <c r="AN30" s="50">
        <v>3.0</v>
      </c>
      <c r="AO30" s="50">
        <v>0.0</v>
      </c>
      <c r="AP30" s="50">
        <v>1.0</v>
      </c>
      <c r="AQ30" s="50">
        <v>7.0</v>
      </c>
      <c r="AR30" s="50">
        <v>100.0</v>
      </c>
      <c r="AS30" s="50">
        <v>3.0</v>
      </c>
      <c r="AT30" s="50">
        <v>0.0</v>
      </c>
      <c r="AU30" s="50">
        <v>1.0</v>
      </c>
      <c r="AV30" s="50" t="s">
        <v>7093</v>
      </c>
      <c r="AW30" s="50" t="s">
        <v>10664</v>
      </c>
      <c r="AX30" s="116"/>
      <c r="AY30" s="116"/>
      <c r="AZ30" s="50">
        <v>7.0</v>
      </c>
      <c r="BA30" s="50">
        <v>1000.0</v>
      </c>
      <c r="BB30" s="50">
        <v>1.0</v>
      </c>
      <c r="BC30" s="116"/>
      <c r="BD30" s="50">
        <v>7.0</v>
      </c>
      <c r="BE30" s="50">
        <v>100.0</v>
      </c>
      <c r="BF30" s="50">
        <v>3.0</v>
      </c>
      <c r="BG30" s="50">
        <v>54.0</v>
      </c>
      <c r="BH30" s="50">
        <v>0.0</v>
      </c>
      <c r="BI30" s="116"/>
      <c r="BJ30" s="116"/>
      <c r="BK30" s="116"/>
      <c r="BL30" s="116"/>
      <c r="BM30" s="116"/>
      <c r="BN30" s="116"/>
      <c r="BO30" s="50">
        <v>7.0</v>
      </c>
      <c r="BP30" s="50">
        <v>5000.0</v>
      </c>
      <c r="BQ30" s="50">
        <v>3.0</v>
      </c>
      <c r="BR30" s="50">
        <v>0.0</v>
      </c>
      <c r="BS30" s="50">
        <v>7.0</v>
      </c>
      <c r="BT30" s="50">
        <v>1000.0</v>
      </c>
      <c r="BU30" s="50">
        <v>3.0</v>
      </c>
      <c r="BV30" s="50">
        <v>0.0</v>
      </c>
      <c r="BW30" s="50">
        <v>1.0</v>
      </c>
      <c r="BX30" s="50">
        <v>7.0</v>
      </c>
      <c r="BY30" s="50">
        <v>100.0</v>
      </c>
      <c r="BZ30" s="50">
        <v>3.0</v>
      </c>
      <c r="CA30" s="50">
        <v>0.0</v>
      </c>
      <c r="CB30" s="116"/>
      <c r="CC30" s="116"/>
      <c r="CD30" s="50" t="s">
        <v>10362</v>
      </c>
      <c r="CE30" s="50">
        <v>0.0</v>
      </c>
      <c r="CF30" s="50" t="s">
        <v>10066</v>
      </c>
      <c r="CG30" s="117">
        <v>2935.0</v>
      </c>
      <c r="CH30" s="50" t="s">
        <v>10934</v>
      </c>
      <c r="CI30" s="50" t="s">
        <v>10935</v>
      </c>
      <c r="CJ30" s="117">
        <v>29.0</v>
      </c>
    </row>
    <row r="31">
      <c r="A31" s="50" t="s">
        <v>10936</v>
      </c>
      <c r="B31" s="50" t="s">
        <v>6876</v>
      </c>
      <c r="C31" s="50" t="s">
        <v>6877</v>
      </c>
      <c r="D31" s="50" t="s">
        <v>6878</v>
      </c>
      <c r="E31" s="50" t="s">
        <v>10937</v>
      </c>
      <c r="F31" s="50">
        <v>58.0</v>
      </c>
      <c r="G31" s="50">
        <v>1.0</v>
      </c>
      <c r="H31" s="50">
        <v>7.0</v>
      </c>
      <c r="I31" s="116"/>
      <c r="J31" s="116"/>
      <c r="K31" s="50" t="s">
        <v>400</v>
      </c>
      <c r="L31" s="50" t="s">
        <v>400</v>
      </c>
      <c r="M31" s="50" t="s">
        <v>10379</v>
      </c>
      <c r="N31" s="50" t="s">
        <v>10380</v>
      </c>
      <c r="O31" s="50" t="s">
        <v>10381</v>
      </c>
      <c r="P31" s="116"/>
      <c r="Q31" s="116"/>
      <c r="R31" s="116"/>
      <c r="S31" s="50">
        <v>7.0</v>
      </c>
      <c r="T31" s="50">
        <v>1000.0</v>
      </c>
      <c r="U31" s="50">
        <v>3.0</v>
      </c>
      <c r="V31" s="50">
        <v>0.0</v>
      </c>
      <c r="W31" s="50">
        <v>7.0</v>
      </c>
      <c r="X31" s="50">
        <v>100.0</v>
      </c>
      <c r="Y31" s="50">
        <v>3.0</v>
      </c>
      <c r="Z31" s="50">
        <v>0.0</v>
      </c>
      <c r="AA31" s="50">
        <v>0.0</v>
      </c>
      <c r="AB31" s="116"/>
      <c r="AC31" s="116"/>
      <c r="AD31" s="116"/>
      <c r="AE31" s="116"/>
      <c r="AF31" s="116"/>
      <c r="AG31" s="116"/>
      <c r="AH31" s="50">
        <v>7.0</v>
      </c>
      <c r="AI31" s="50">
        <v>5000.0</v>
      </c>
      <c r="AJ31" s="50">
        <v>3.0</v>
      </c>
      <c r="AK31" s="50">
        <v>0.0</v>
      </c>
      <c r="AL31" s="50">
        <v>7.0</v>
      </c>
      <c r="AM31" s="50">
        <v>1000.0</v>
      </c>
      <c r="AN31" s="50">
        <v>3.0</v>
      </c>
      <c r="AO31" s="50">
        <v>0.0</v>
      </c>
      <c r="AP31" s="50">
        <v>1.0</v>
      </c>
      <c r="AQ31" s="50">
        <v>7.0</v>
      </c>
      <c r="AR31" s="50">
        <v>100.0</v>
      </c>
      <c r="AS31" s="50">
        <v>3.0</v>
      </c>
      <c r="AT31" s="50">
        <v>0.0</v>
      </c>
      <c r="AU31" s="50">
        <v>0.0</v>
      </c>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50" t="s">
        <v>10953</v>
      </c>
      <c r="CE31" s="50">
        <v>0.0</v>
      </c>
      <c r="CF31" s="50" t="s">
        <v>10066</v>
      </c>
      <c r="CG31" s="117">
        <v>2936.0</v>
      </c>
      <c r="CH31" s="50" t="s">
        <v>10955</v>
      </c>
      <c r="CI31" s="50" t="s">
        <v>10956</v>
      </c>
      <c r="CJ31" s="117">
        <v>30.0</v>
      </c>
    </row>
    <row r="32">
      <c r="A32" s="50" t="s">
        <v>10958</v>
      </c>
      <c r="B32" s="50" t="s">
        <v>6876</v>
      </c>
      <c r="C32" s="50" t="s">
        <v>6877</v>
      </c>
      <c r="D32" s="50" t="s">
        <v>6878</v>
      </c>
      <c r="E32" s="50" t="s">
        <v>10959</v>
      </c>
      <c r="F32" s="50">
        <v>58.0</v>
      </c>
      <c r="G32" s="50">
        <v>1.0</v>
      </c>
      <c r="H32" s="50">
        <v>7.0</v>
      </c>
      <c r="I32" s="116"/>
      <c r="J32" s="116"/>
      <c r="K32" s="50" t="s">
        <v>401</v>
      </c>
      <c r="L32" s="50" t="s">
        <v>401</v>
      </c>
      <c r="M32" s="50" t="s">
        <v>10379</v>
      </c>
      <c r="N32" s="50" t="s">
        <v>10380</v>
      </c>
      <c r="O32" s="50" t="s">
        <v>10381</v>
      </c>
      <c r="P32" s="116"/>
      <c r="Q32" s="116"/>
      <c r="R32" s="116"/>
      <c r="S32" s="50">
        <v>7.0</v>
      </c>
      <c r="T32" s="50">
        <v>1000.0</v>
      </c>
      <c r="U32" s="50">
        <v>3.0</v>
      </c>
      <c r="V32" s="50">
        <v>0.0</v>
      </c>
      <c r="W32" s="50">
        <v>7.0</v>
      </c>
      <c r="X32" s="50">
        <v>100.0</v>
      </c>
      <c r="Y32" s="50">
        <v>3.0</v>
      </c>
      <c r="Z32" s="50">
        <v>0.0</v>
      </c>
      <c r="AA32" s="50">
        <v>0.0</v>
      </c>
      <c r="AB32" s="116"/>
      <c r="AC32" s="116"/>
      <c r="AD32" s="116"/>
      <c r="AE32" s="116"/>
      <c r="AF32" s="116"/>
      <c r="AG32" s="116"/>
      <c r="AH32" s="50">
        <v>7.0</v>
      </c>
      <c r="AI32" s="50">
        <v>5000.0</v>
      </c>
      <c r="AJ32" s="50">
        <v>3.0</v>
      </c>
      <c r="AK32" s="50">
        <v>0.0</v>
      </c>
      <c r="AL32" s="50">
        <v>7.0</v>
      </c>
      <c r="AM32" s="50">
        <v>1000.0</v>
      </c>
      <c r="AN32" s="50">
        <v>3.0</v>
      </c>
      <c r="AO32" s="50">
        <v>0.0</v>
      </c>
      <c r="AP32" s="50">
        <v>1.0</v>
      </c>
      <c r="AQ32" s="50">
        <v>7.0</v>
      </c>
      <c r="AR32" s="50">
        <v>100.0</v>
      </c>
      <c r="AS32" s="50">
        <v>3.0</v>
      </c>
      <c r="AT32" s="50">
        <v>0.0</v>
      </c>
      <c r="AU32" s="50">
        <v>0.0</v>
      </c>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50" t="s">
        <v>6922</v>
      </c>
      <c r="CE32" s="50">
        <v>0.0</v>
      </c>
      <c r="CF32" s="50" t="s">
        <v>10066</v>
      </c>
      <c r="CG32" s="117">
        <v>2937.0</v>
      </c>
      <c r="CH32" s="50" t="s">
        <v>10983</v>
      </c>
      <c r="CI32" s="50" t="s">
        <v>10984</v>
      </c>
      <c r="CJ32" s="117">
        <v>31.0</v>
      </c>
    </row>
    <row r="33">
      <c r="A33" s="50" t="s">
        <v>10986</v>
      </c>
      <c r="B33" s="50" t="s">
        <v>6876</v>
      </c>
      <c r="C33" s="50" t="s">
        <v>6877</v>
      </c>
      <c r="D33" s="50" t="s">
        <v>6878</v>
      </c>
      <c r="E33" s="50" t="s">
        <v>10987</v>
      </c>
      <c r="F33" s="50">
        <v>58.0</v>
      </c>
      <c r="G33" s="50">
        <v>1.0</v>
      </c>
      <c r="H33" s="50">
        <v>7.0</v>
      </c>
      <c r="I33" s="116"/>
      <c r="J33" s="116"/>
      <c r="K33" s="50" t="s">
        <v>403</v>
      </c>
      <c r="L33" s="50" t="s">
        <v>403</v>
      </c>
      <c r="M33" s="50" t="s">
        <v>10379</v>
      </c>
      <c r="N33" s="50" t="s">
        <v>10380</v>
      </c>
      <c r="O33" s="50" t="s">
        <v>10381</v>
      </c>
      <c r="P33" s="116"/>
      <c r="Q33" s="116"/>
      <c r="R33" s="116"/>
      <c r="S33" s="50">
        <v>7.0</v>
      </c>
      <c r="T33" s="50">
        <v>1000.0</v>
      </c>
      <c r="U33" s="50">
        <v>3.0</v>
      </c>
      <c r="V33" s="50">
        <v>0.0</v>
      </c>
      <c r="W33" s="50">
        <v>7.0</v>
      </c>
      <c r="X33" s="50">
        <v>100.0</v>
      </c>
      <c r="Y33" s="50">
        <v>3.0</v>
      </c>
      <c r="Z33" s="50">
        <v>0.0</v>
      </c>
      <c r="AA33" s="50">
        <v>0.0</v>
      </c>
      <c r="AB33" s="116"/>
      <c r="AC33" s="116"/>
      <c r="AD33" s="116"/>
      <c r="AE33" s="116"/>
      <c r="AF33" s="116"/>
      <c r="AG33" s="116"/>
      <c r="AH33" s="50">
        <v>7.0</v>
      </c>
      <c r="AI33" s="50">
        <v>5000.0</v>
      </c>
      <c r="AJ33" s="50">
        <v>3.0</v>
      </c>
      <c r="AK33" s="50">
        <v>0.0</v>
      </c>
      <c r="AL33" s="50">
        <v>7.0</v>
      </c>
      <c r="AM33" s="50">
        <v>1000.0</v>
      </c>
      <c r="AN33" s="50">
        <v>3.0</v>
      </c>
      <c r="AO33" s="50">
        <v>0.0</v>
      </c>
      <c r="AP33" s="50">
        <v>1.0</v>
      </c>
      <c r="AQ33" s="50">
        <v>7.0</v>
      </c>
      <c r="AR33" s="50">
        <v>100.0</v>
      </c>
      <c r="AS33" s="50">
        <v>3.0</v>
      </c>
      <c r="AT33" s="50">
        <v>0.0</v>
      </c>
      <c r="AU33" s="50">
        <v>0.0</v>
      </c>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50" t="s">
        <v>10953</v>
      </c>
      <c r="CE33" s="50">
        <v>0.0</v>
      </c>
      <c r="CF33" s="50" t="s">
        <v>10066</v>
      </c>
      <c r="CG33" s="117">
        <v>2938.0</v>
      </c>
      <c r="CH33" s="50" t="s">
        <v>11005</v>
      </c>
      <c r="CI33" s="50" t="s">
        <v>11006</v>
      </c>
      <c r="CJ33" s="117">
        <v>32.0</v>
      </c>
    </row>
    <row r="34">
      <c r="A34" s="50" t="s">
        <v>11007</v>
      </c>
      <c r="B34" s="50" t="s">
        <v>6876</v>
      </c>
      <c r="C34" s="50" t="s">
        <v>6877</v>
      </c>
      <c r="D34" s="50" t="s">
        <v>6907</v>
      </c>
      <c r="E34" s="50" t="s">
        <v>11010</v>
      </c>
      <c r="F34" s="50">
        <v>58.0</v>
      </c>
      <c r="G34" s="50">
        <v>2.0</v>
      </c>
      <c r="H34" s="50">
        <v>97.0</v>
      </c>
      <c r="I34" s="116"/>
      <c r="J34" s="116"/>
      <c r="K34" s="50" t="s">
        <v>11014</v>
      </c>
      <c r="L34" s="50" t="s">
        <v>11014</v>
      </c>
      <c r="M34" s="50" t="s">
        <v>11015</v>
      </c>
      <c r="N34" s="50" t="s">
        <v>11016</v>
      </c>
      <c r="O34" s="50" t="s">
        <v>11017</v>
      </c>
      <c r="P34" s="116"/>
      <c r="Q34" s="116"/>
      <c r="R34" s="116"/>
      <c r="S34" s="50">
        <v>7.0</v>
      </c>
      <c r="T34" s="50">
        <v>1000.0</v>
      </c>
      <c r="U34" s="50">
        <v>3.0</v>
      </c>
      <c r="V34" s="50">
        <v>182.0</v>
      </c>
      <c r="W34" s="50">
        <v>7.0</v>
      </c>
      <c r="X34" s="50">
        <v>100.0</v>
      </c>
      <c r="Y34" s="50">
        <v>3.0</v>
      </c>
      <c r="Z34" s="50">
        <v>70.0</v>
      </c>
      <c r="AA34" s="50">
        <v>0.0</v>
      </c>
      <c r="AB34" s="116"/>
      <c r="AC34" s="116"/>
      <c r="AD34" s="116"/>
      <c r="AE34" s="116"/>
      <c r="AF34" s="116"/>
      <c r="AG34" s="116"/>
      <c r="AH34" s="50">
        <v>7.0</v>
      </c>
      <c r="AI34" s="50">
        <v>5000.0</v>
      </c>
      <c r="AJ34" s="50">
        <v>3.0</v>
      </c>
      <c r="AK34" s="50">
        <v>0.0</v>
      </c>
      <c r="AL34" s="50">
        <v>7.0</v>
      </c>
      <c r="AM34" s="50">
        <v>1000.0</v>
      </c>
      <c r="AN34" s="50">
        <v>3.0</v>
      </c>
      <c r="AO34" s="50">
        <v>0.0</v>
      </c>
      <c r="AP34" s="50">
        <v>1.0</v>
      </c>
      <c r="AQ34" s="50">
        <v>7.0</v>
      </c>
      <c r="AR34" s="50">
        <v>100.0</v>
      </c>
      <c r="AS34" s="50">
        <v>3.0</v>
      </c>
      <c r="AT34" s="50">
        <v>0.0</v>
      </c>
      <c r="AU34" s="50">
        <v>0.0</v>
      </c>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50" t="s">
        <v>11029</v>
      </c>
      <c r="CD34" s="50" t="s">
        <v>10062</v>
      </c>
      <c r="CE34" s="50">
        <v>0.0</v>
      </c>
      <c r="CF34" s="50" t="s">
        <v>10066</v>
      </c>
      <c r="CG34" s="117">
        <v>2984.0</v>
      </c>
      <c r="CH34" s="50" t="s">
        <v>11030</v>
      </c>
      <c r="CI34" s="50" t="s">
        <v>11031</v>
      </c>
      <c r="CJ34" s="117">
        <v>33.0</v>
      </c>
    </row>
    <row r="35">
      <c r="A35" s="50" t="s">
        <v>11010</v>
      </c>
      <c r="B35" s="50" t="s">
        <v>6876</v>
      </c>
      <c r="C35" s="50" t="s">
        <v>6877</v>
      </c>
      <c r="D35" s="50" t="s">
        <v>6907</v>
      </c>
      <c r="E35" s="50" t="s">
        <v>11035</v>
      </c>
      <c r="F35" s="50">
        <v>58.0</v>
      </c>
      <c r="G35" s="50">
        <v>1.0</v>
      </c>
      <c r="H35" s="50">
        <v>3.0</v>
      </c>
      <c r="I35" s="116"/>
      <c r="J35" s="116"/>
      <c r="K35" s="50" t="s">
        <v>410</v>
      </c>
      <c r="L35" s="50" t="s">
        <v>410</v>
      </c>
      <c r="M35" s="50" t="s">
        <v>11015</v>
      </c>
      <c r="N35" s="50" t="s">
        <v>11016</v>
      </c>
      <c r="O35" s="50" t="s">
        <v>11017</v>
      </c>
      <c r="P35" s="116"/>
      <c r="Q35" s="116"/>
      <c r="R35" s="116"/>
      <c r="S35" s="50">
        <v>7.0</v>
      </c>
      <c r="T35" s="50">
        <v>1000.0</v>
      </c>
      <c r="U35" s="50">
        <v>3.0</v>
      </c>
      <c r="V35" s="50">
        <v>0.0</v>
      </c>
      <c r="W35" s="50">
        <v>7.0</v>
      </c>
      <c r="X35" s="50">
        <v>100.0</v>
      </c>
      <c r="Y35" s="50">
        <v>3.0</v>
      </c>
      <c r="Z35" s="50">
        <v>0.0</v>
      </c>
      <c r="AA35" s="50">
        <v>0.0</v>
      </c>
      <c r="AB35" s="116"/>
      <c r="AC35" s="116"/>
      <c r="AD35" s="116"/>
      <c r="AE35" s="116"/>
      <c r="AF35" s="116"/>
      <c r="AG35" s="116"/>
      <c r="AH35" s="50">
        <v>7.0</v>
      </c>
      <c r="AI35" s="50">
        <v>5000.0</v>
      </c>
      <c r="AJ35" s="50">
        <v>3.0</v>
      </c>
      <c r="AK35" s="50">
        <v>0.0</v>
      </c>
      <c r="AL35" s="50">
        <v>7.0</v>
      </c>
      <c r="AM35" s="50">
        <v>1000.0</v>
      </c>
      <c r="AN35" s="50">
        <v>3.0</v>
      </c>
      <c r="AO35" s="50">
        <v>0.0</v>
      </c>
      <c r="AP35" s="50">
        <v>1.0</v>
      </c>
      <c r="AQ35" s="50">
        <v>7.0</v>
      </c>
      <c r="AR35" s="50">
        <v>100.0</v>
      </c>
      <c r="AS35" s="50">
        <v>3.0</v>
      </c>
      <c r="AT35" s="50">
        <v>0.0</v>
      </c>
      <c r="AU35" s="50">
        <v>1.0</v>
      </c>
      <c r="AV35" s="50" t="s">
        <v>11049</v>
      </c>
      <c r="AW35" s="50" t="s">
        <v>11051</v>
      </c>
      <c r="AX35" s="116"/>
      <c r="AY35" s="116"/>
      <c r="AZ35" s="50">
        <v>7.0</v>
      </c>
      <c r="BA35" s="50">
        <v>1000.0</v>
      </c>
      <c r="BB35" s="50">
        <v>3.0</v>
      </c>
      <c r="BC35" s="50">
        <v>0.0</v>
      </c>
      <c r="BD35" s="50">
        <v>7.0</v>
      </c>
      <c r="BE35" s="50">
        <v>100.0</v>
      </c>
      <c r="BF35" s="50">
        <v>3.0</v>
      </c>
      <c r="BG35" s="50">
        <v>0.0</v>
      </c>
      <c r="BH35" s="50">
        <v>0.0</v>
      </c>
      <c r="BI35" s="116"/>
      <c r="BJ35" s="116"/>
      <c r="BK35" s="116"/>
      <c r="BL35" s="116"/>
      <c r="BM35" s="116"/>
      <c r="BN35" s="116"/>
      <c r="BO35" s="50">
        <v>7.0</v>
      </c>
      <c r="BP35" s="50">
        <v>5000.0</v>
      </c>
      <c r="BQ35" s="50">
        <v>3.0</v>
      </c>
      <c r="BR35" s="50">
        <v>0.0</v>
      </c>
      <c r="BS35" s="50">
        <v>7.0</v>
      </c>
      <c r="BT35" s="50">
        <v>1000.0</v>
      </c>
      <c r="BU35" s="50">
        <v>3.0</v>
      </c>
      <c r="BV35" s="50">
        <v>0.0</v>
      </c>
      <c r="BW35" s="50">
        <v>1.0</v>
      </c>
      <c r="BX35" s="50">
        <v>7.0</v>
      </c>
      <c r="BY35" s="50">
        <v>100.0</v>
      </c>
      <c r="BZ35" s="50">
        <v>3.0</v>
      </c>
      <c r="CA35" s="50">
        <v>0.0</v>
      </c>
      <c r="CB35" s="116"/>
      <c r="CC35" s="116"/>
      <c r="CD35" s="50" t="s">
        <v>10062</v>
      </c>
      <c r="CE35" s="50">
        <v>0.0</v>
      </c>
      <c r="CF35" s="50" t="s">
        <v>10066</v>
      </c>
      <c r="CG35" s="117">
        <v>2985.0</v>
      </c>
      <c r="CH35" s="50" t="s">
        <v>11061</v>
      </c>
      <c r="CI35" s="50" t="s">
        <v>11062</v>
      </c>
      <c r="CJ35" s="117">
        <v>34.0</v>
      </c>
    </row>
    <row r="36">
      <c r="A36" s="50" t="s">
        <v>11035</v>
      </c>
      <c r="B36" s="50" t="s">
        <v>6876</v>
      </c>
      <c r="C36" s="50" t="s">
        <v>6877</v>
      </c>
      <c r="D36" s="50" t="s">
        <v>6907</v>
      </c>
      <c r="E36" s="50" t="s">
        <v>11064</v>
      </c>
      <c r="F36" s="50">
        <v>58.0</v>
      </c>
      <c r="G36" s="50">
        <v>1.0</v>
      </c>
      <c r="H36" s="50">
        <v>2.0</v>
      </c>
      <c r="I36" s="116"/>
      <c r="J36" s="116"/>
      <c r="K36" s="50" t="s">
        <v>413</v>
      </c>
      <c r="L36" s="50" t="s">
        <v>413</v>
      </c>
      <c r="M36" s="50" t="s">
        <v>11015</v>
      </c>
      <c r="N36" s="50" t="s">
        <v>11016</v>
      </c>
      <c r="O36" s="50" t="s">
        <v>11017</v>
      </c>
      <c r="P36" s="116"/>
      <c r="Q36" s="116"/>
      <c r="R36" s="116"/>
      <c r="S36" s="50">
        <v>7.0</v>
      </c>
      <c r="T36" s="50">
        <v>1000.0</v>
      </c>
      <c r="U36" s="50">
        <v>3.0</v>
      </c>
      <c r="V36" s="50">
        <v>0.0</v>
      </c>
      <c r="W36" s="50">
        <v>7.0</v>
      </c>
      <c r="X36" s="50">
        <v>100.0</v>
      </c>
      <c r="Y36" s="50">
        <v>3.0</v>
      </c>
      <c r="Z36" s="50">
        <v>0.0</v>
      </c>
      <c r="AA36" s="50">
        <v>0.0</v>
      </c>
      <c r="AB36" s="116"/>
      <c r="AC36" s="116"/>
      <c r="AD36" s="116"/>
      <c r="AE36" s="116"/>
      <c r="AF36" s="116"/>
      <c r="AG36" s="116"/>
      <c r="AH36" s="50">
        <v>7.0</v>
      </c>
      <c r="AI36" s="50">
        <v>5000.0</v>
      </c>
      <c r="AJ36" s="50">
        <v>3.0</v>
      </c>
      <c r="AK36" s="50">
        <v>0.0</v>
      </c>
      <c r="AL36" s="50">
        <v>7.0</v>
      </c>
      <c r="AM36" s="50">
        <v>1000.0</v>
      </c>
      <c r="AN36" s="50">
        <v>3.0</v>
      </c>
      <c r="AO36" s="50">
        <v>0.0</v>
      </c>
      <c r="AP36" s="50">
        <v>1.0</v>
      </c>
      <c r="AQ36" s="50">
        <v>7.0</v>
      </c>
      <c r="AR36" s="50">
        <v>100.0</v>
      </c>
      <c r="AS36" s="50">
        <v>3.0</v>
      </c>
      <c r="AT36" s="50">
        <v>0.0</v>
      </c>
      <c r="AU36" s="50">
        <v>1.0</v>
      </c>
      <c r="AV36" s="50" t="s">
        <v>11049</v>
      </c>
      <c r="AW36" s="50" t="s">
        <v>11051</v>
      </c>
      <c r="AX36" s="116"/>
      <c r="AY36" s="116"/>
      <c r="AZ36" s="50">
        <v>7.0</v>
      </c>
      <c r="BA36" s="50">
        <v>1000.0</v>
      </c>
      <c r="BB36" s="50">
        <v>3.0</v>
      </c>
      <c r="BC36" s="50">
        <v>0.0</v>
      </c>
      <c r="BD36" s="50">
        <v>7.0</v>
      </c>
      <c r="BE36" s="50">
        <v>100.0</v>
      </c>
      <c r="BF36" s="50">
        <v>3.0</v>
      </c>
      <c r="BG36" s="50">
        <v>0.0</v>
      </c>
      <c r="BH36" s="50">
        <v>0.0</v>
      </c>
      <c r="BI36" s="116"/>
      <c r="BJ36" s="116"/>
      <c r="BK36" s="116"/>
      <c r="BL36" s="116"/>
      <c r="BM36" s="116"/>
      <c r="BN36" s="116"/>
      <c r="BO36" s="50">
        <v>7.0</v>
      </c>
      <c r="BP36" s="50">
        <v>5000.0</v>
      </c>
      <c r="BQ36" s="50">
        <v>3.0</v>
      </c>
      <c r="BR36" s="50">
        <v>0.0</v>
      </c>
      <c r="BS36" s="50">
        <v>7.0</v>
      </c>
      <c r="BT36" s="50">
        <v>1000.0</v>
      </c>
      <c r="BU36" s="50">
        <v>3.0</v>
      </c>
      <c r="BV36" s="50">
        <v>0.0</v>
      </c>
      <c r="BW36" s="50">
        <v>1.0</v>
      </c>
      <c r="BX36" s="50">
        <v>7.0</v>
      </c>
      <c r="BY36" s="50">
        <v>100.0</v>
      </c>
      <c r="BZ36" s="50">
        <v>3.0</v>
      </c>
      <c r="CA36" s="50">
        <v>0.0</v>
      </c>
      <c r="CB36" s="116"/>
      <c r="CC36" s="116"/>
      <c r="CD36" s="50" t="s">
        <v>10062</v>
      </c>
      <c r="CE36" s="50">
        <v>0.0</v>
      </c>
      <c r="CF36" s="50" t="s">
        <v>10066</v>
      </c>
      <c r="CG36" s="117">
        <v>2986.0</v>
      </c>
      <c r="CH36" s="50" t="s">
        <v>11089</v>
      </c>
      <c r="CI36" s="50" t="s">
        <v>11090</v>
      </c>
      <c r="CJ36" s="117">
        <v>35.0</v>
      </c>
    </row>
    <row r="37">
      <c r="A37" s="50" t="s">
        <v>11095</v>
      </c>
      <c r="B37" s="50" t="s">
        <v>6876</v>
      </c>
      <c r="C37" s="50" t="s">
        <v>6877</v>
      </c>
      <c r="D37" s="50" t="s">
        <v>6878</v>
      </c>
      <c r="E37" s="50" t="s">
        <v>11098</v>
      </c>
      <c r="F37" s="50">
        <v>58.0</v>
      </c>
      <c r="G37" s="50">
        <v>1.0</v>
      </c>
      <c r="H37" s="50">
        <v>2.0</v>
      </c>
      <c r="I37" s="116"/>
      <c r="J37" s="116"/>
      <c r="K37" s="50" t="s">
        <v>414</v>
      </c>
      <c r="L37" s="50" t="s">
        <v>414</v>
      </c>
      <c r="M37" s="50" t="s">
        <v>11100</v>
      </c>
      <c r="N37" s="50" t="s">
        <v>11102</v>
      </c>
      <c r="O37" s="50" t="s">
        <v>11104</v>
      </c>
      <c r="P37" s="116"/>
      <c r="Q37" s="116"/>
      <c r="R37" s="116"/>
      <c r="S37" s="50">
        <v>7.0</v>
      </c>
      <c r="T37" s="50">
        <v>1000.0</v>
      </c>
      <c r="U37" s="50">
        <v>3.0</v>
      </c>
      <c r="V37" s="50">
        <v>0.0</v>
      </c>
      <c r="W37" s="50">
        <v>7.0</v>
      </c>
      <c r="X37" s="50">
        <v>100.0</v>
      </c>
      <c r="Y37" s="50">
        <v>3.0</v>
      </c>
      <c r="Z37" s="50">
        <v>0.0</v>
      </c>
      <c r="AA37" s="50">
        <v>0.0</v>
      </c>
      <c r="AB37" s="116"/>
      <c r="AC37" s="116"/>
      <c r="AD37" s="116"/>
      <c r="AE37" s="116"/>
      <c r="AF37" s="116"/>
      <c r="AG37" s="116"/>
      <c r="AH37" s="50">
        <v>7.0</v>
      </c>
      <c r="AI37" s="50">
        <v>5000.0</v>
      </c>
      <c r="AJ37" s="50">
        <v>3.0</v>
      </c>
      <c r="AK37" s="50">
        <v>0.0</v>
      </c>
      <c r="AL37" s="50">
        <v>7.0</v>
      </c>
      <c r="AM37" s="50">
        <v>1000.0</v>
      </c>
      <c r="AN37" s="50">
        <v>3.0</v>
      </c>
      <c r="AO37" s="50">
        <v>0.0</v>
      </c>
      <c r="AP37" s="50">
        <v>1.0</v>
      </c>
      <c r="AQ37" s="50">
        <v>7.0</v>
      </c>
      <c r="AR37" s="50">
        <v>100.0</v>
      </c>
      <c r="AS37" s="50">
        <v>3.0</v>
      </c>
      <c r="AT37" s="50">
        <v>0.0</v>
      </c>
      <c r="AU37" s="50">
        <v>1.0</v>
      </c>
      <c r="AV37" s="50" t="s">
        <v>7452</v>
      </c>
      <c r="AW37" s="50" t="s">
        <v>11112</v>
      </c>
      <c r="AX37" s="116"/>
      <c r="AY37" s="116"/>
      <c r="AZ37" s="50">
        <v>7.0</v>
      </c>
      <c r="BA37" s="50">
        <v>1000.0</v>
      </c>
      <c r="BB37" s="50">
        <v>3.0</v>
      </c>
      <c r="BC37" s="50">
        <v>0.0</v>
      </c>
      <c r="BD37" s="50">
        <v>7.0</v>
      </c>
      <c r="BE37" s="50">
        <v>100.0</v>
      </c>
      <c r="BF37" s="50">
        <v>3.0</v>
      </c>
      <c r="BG37" s="50">
        <v>0.0</v>
      </c>
      <c r="BH37" s="50">
        <v>0.0</v>
      </c>
      <c r="BI37" s="116"/>
      <c r="BJ37" s="116"/>
      <c r="BK37" s="116"/>
      <c r="BL37" s="116"/>
      <c r="BM37" s="116"/>
      <c r="BN37" s="116"/>
      <c r="BO37" s="50">
        <v>7.0</v>
      </c>
      <c r="BP37" s="50">
        <v>5000.0</v>
      </c>
      <c r="BQ37" s="50">
        <v>3.0</v>
      </c>
      <c r="BR37" s="50">
        <v>0.0</v>
      </c>
      <c r="BS37" s="50">
        <v>7.0</v>
      </c>
      <c r="BT37" s="50">
        <v>1000.0</v>
      </c>
      <c r="BU37" s="50">
        <v>3.0</v>
      </c>
      <c r="BV37" s="50">
        <v>0.0</v>
      </c>
      <c r="BW37" s="50">
        <v>1.0</v>
      </c>
      <c r="BX37" s="50">
        <v>7.0</v>
      </c>
      <c r="BY37" s="50">
        <v>100.0</v>
      </c>
      <c r="BZ37" s="50">
        <v>3.0</v>
      </c>
      <c r="CA37" s="50">
        <v>0.0</v>
      </c>
      <c r="CB37" s="116"/>
      <c r="CC37" s="116"/>
      <c r="CD37" s="50" t="s">
        <v>10062</v>
      </c>
      <c r="CE37" s="50">
        <v>0.0</v>
      </c>
      <c r="CF37" s="50" t="s">
        <v>10066</v>
      </c>
      <c r="CG37" s="117">
        <v>2987.0</v>
      </c>
      <c r="CH37" s="50" t="s">
        <v>11127</v>
      </c>
      <c r="CI37" s="50" t="s">
        <v>11128</v>
      </c>
      <c r="CJ37" s="117">
        <v>36.0</v>
      </c>
    </row>
    <row r="38">
      <c r="A38" s="50" t="s">
        <v>11129</v>
      </c>
      <c r="B38" s="50" t="s">
        <v>6876</v>
      </c>
      <c r="C38" s="50" t="s">
        <v>6877</v>
      </c>
      <c r="D38" s="50" t="s">
        <v>6878</v>
      </c>
      <c r="E38" s="50" t="s">
        <v>11130</v>
      </c>
      <c r="F38" s="50">
        <v>58.0</v>
      </c>
      <c r="G38" s="50">
        <v>1.0</v>
      </c>
      <c r="H38" s="50">
        <v>1.0</v>
      </c>
      <c r="I38" s="116"/>
      <c r="J38" s="116"/>
      <c r="K38" s="50" t="s">
        <v>411</v>
      </c>
      <c r="L38" s="50" t="s">
        <v>411</v>
      </c>
      <c r="M38" s="50" t="s">
        <v>11100</v>
      </c>
      <c r="N38" s="50" t="s">
        <v>11102</v>
      </c>
      <c r="O38" s="50" t="s">
        <v>11104</v>
      </c>
      <c r="P38" s="116"/>
      <c r="Q38" s="116"/>
      <c r="R38" s="116"/>
      <c r="S38" s="50">
        <v>7.0</v>
      </c>
      <c r="T38" s="50">
        <v>1000.0</v>
      </c>
      <c r="U38" s="50">
        <v>3.0</v>
      </c>
      <c r="V38" s="50">
        <v>0.0</v>
      </c>
      <c r="W38" s="50">
        <v>7.0</v>
      </c>
      <c r="X38" s="50">
        <v>100.0</v>
      </c>
      <c r="Y38" s="50">
        <v>3.0</v>
      </c>
      <c r="Z38" s="50">
        <v>0.0</v>
      </c>
      <c r="AA38" s="50">
        <v>0.0</v>
      </c>
      <c r="AB38" s="116"/>
      <c r="AC38" s="116"/>
      <c r="AD38" s="116"/>
      <c r="AE38" s="116"/>
      <c r="AF38" s="116"/>
      <c r="AG38" s="116"/>
      <c r="AH38" s="50">
        <v>7.0</v>
      </c>
      <c r="AI38" s="50">
        <v>5000.0</v>
      </c>
      <c r="AJ38" s="50">
        <v>3.0</v>
      </c>
      <c r="AK38" s="50">
        <v>0.0</v>
      </c>
      <c r="AL38" s="50">
        <v>7.0</v>
      </c>
      <c r="AM38" s="50">
        <v>1000.0</v>
      </c>
      <c r="AN38" s="50">
        <v>3.0</v>
      </c>
      <c r="AO38" s="50">
        <v>0.0</v>
      </c>
      <c r="AP38" s="50">
        <v>1.0</v>
      </c>
      <c r="AQ38" s="50">
        <v>7.0</v>
      </c>
      <c r="AR38" s="50">
        <v>100.0</v>
      </c>
      <c r="AS38" s="50">
        <v>3.0</v>
      </c>
      <c r="AT38" s="50">
        <v>0.0</v>
      </c>
      <c r="AU38" s="50">
        <v>1.0</v>
      </c>
      <c r="AV38" s="50" t="s">
        <v>7452</v>
      </c>
      <c r="AW38" s="50" t="s">
        <v>11112</v>
      </c>
      <c r="AX38" s="116"/>
      <c r="AY38" s="116"/>
      <c r="AZ38" s="50">
        <v>7.0</v>
      </c>
      <c r="BA38" s="50">
        <v>1000.0</v>
      </c>
      <c r="BB38" s="50">
        <v>3.0</v>
      </c>
      <c r="BC38" s="50">
        <v>0.0</v>
      </c>
      <c r="BD38" s="50">
        <v>7.0</v>
      </c>
      <c r="BE38" s="50">
        <v>100.0</v>
      </c>
      <c r="BF38" s="50">
        <v>3.0</v>
      </c>
      <c r="BG38" s="50">
        <v>0.0</v>
      </c>
      <c r="BH38" s="50">
        <v>0.0</v>
      </c>
      <c r="BI38" s="116"/>
      <c r="BJ38" s="116"/>
      <c r="BK38" s="116"/>
      <c r="BL38" s="116"/>
      <c r="BM38" s="116"/>
      <c r="BN38" s="116"/>
      <c r="BO38" s="50">
        <v>7.0</v>
      </c>
      <c r="BP38" s="50">
        <v>5000.0</v>
      </c>
      <c r="BQ38" s="50">
        <v>3.0</v>
      </c>
      <c r="BR38" s="50">
        <v>0.0</v>
      </c>
      <c r="BS38" s="50">
        <v>7.0</v>
      </c>
      <c r="BT38" s="50">
        <v>1000.0</v>
      </c>
      <c r="BU38" s="50">
        <v>3.0</v>
      </c>
      <c r="BV38" s="50">
        <v>0.0</v>
      </c>
      <c r="BW38" s="50">
        <v>1.0</v>
      </c>
      <c r="BX38" s="50">
        <v>7.0</v>
      </c>
      <c r="BY38" s="50">
        <v>100.0</v>
      </c>
      <c r="BZ38" s="50">
        <v>3.0</v>
      </c>
      <c r="CA38" s="50">
        <v>0.0</v>
      </c>
      <c r="CB38" s="116"/>
      <c r="CC38" s="116"/>
      <c r="CD38" s="50" t="s">
        <v>10062</v>
      </c>
      <c r="CE38" s="50">
        <v>0.0</v>
      </c>
      <c r="CF38" s="50" t="s">
        <v>10066</v>
      </c>
      <c r="CG38" s="117">
        <v>2988.0</v>
      </c>
      <c r="CH38" s="50" t="s">
        <v>11152</v>
      </c>
      <c r="CI38" s="50" t="s">
        <v>11154</v>
      </c>
      <c r="CJ38" s="117">
        <v>37.0</v>
      </c>
    </row>
    <row r="39">
      <c r="A39" s="50" t="s">
        <v>11155</v>
      </c>
      <c r="B39" s="50" t="s">
        <v>6876</v>
      </c>
      <c r="C39" s="50" t="s">
        <v>6877</v>
      </c>
      <c r="D39" s="50" t="s">
        <v>6878</v>
      </c>
      <c r="E39" s="50" t="s">
        <v>11159</v>
      </c>
      <c r="F39" s="50">
        <v>58.0</v>
      </c>
      <c r="G39" s="50">
        <v>1.0</v>
      </c>
      <c r="H39" s="50">
        <v>10.0</v>
      </c>
      <c r="I39" s="116"/>
      <c r="J39" s="116"/>
      <c r="K39" s="50" t="s">
        <v>415</v>
      </c>
      <c r="L39" s="50" t="s">
        <v>415</v>
      </c>
      <c r="M39" s="50" t="s">
        <v>11100</v>
      </c>
      <c r="N39" s="50" t="s">
        <v>11102</v>
      </c>
      <c r="O39" s="50" t="s">
        <v>11104</v>
      </c>
      <c r="P39" s="116"/>
      <c r="Q39" s="116"/>
      <c r="R39" s="116"/>
      <c r="S39" s="50">
        <v>7.0</v>
      </c>
      <c r="T39" s="50">
        <v>1000.0</v>
      </c>
      <c r="U39" s="50">
        <v>3.0</v>
      </c>
      <c r="V39" s="50">
        <v>0.0</v>
      </c>
      <c r="W39" s="50">
        <v>7.0</v>
      </c>
      <c r="X39" s="50">
        <v>100.0</v>
      </c>
      <c r="Y39" s="50">
        <v>3.0</v>
      </c>
      <c r="Z39" s="50">
        <v>0.0</v>
      </c>
      <c r="AA39" s="50">
        <v>0.0</v>
      </c>
      <c r="AB39" s="116"/>
      <c r="AC39" s="116"/>
      <c r="AD39" s="116"/>
      <c r="AE39" s="116"/>
      <c r="AF39" s="116"/>
      <c r="AG39" s="116"/>
      <c r="AH39" s="50">
        <v>7.0</v>
      </c>
      <c r="AI39" s="50">
        <v>5000.0</v>
      </c>
      <c r="AJ39" s="50">
        <v>3.0</v>
      </c>
      <c r="AK39" s="50">
        <v>0.0</v>
      </c>
      <c r="AL39" s="50">
        <v>7.0</v>
      </c>
      <c r="AM39" s="50">
        <v>1000.0</v>
      </c>
      <c r="AN39" s="50">
        <v>3.0</v>
      </c>
      <c r="AO39" s="50">
        <v>0.0</v>
      </c>
      <c r="AP39" s="50">
        <v>1.0</v>
      </c>
      <c r="AQ39" s="50">
        <v>7.0</v>
      </c>
      <c r="AR39" s="50">
        <v>100.0</v>
      </c>
      <c r="AS39" s="50">
        <v>3.0</v>
      </c>
      <c r="AT39" s="50">
        <v>0.0</v>
      </c>
      <c r="AU39" s="50">
        <v>1.0</v>
      </c>
      <c r="AV39" s="50" t="s">
        <v>7452</v>
      </c>
      <c r="AW39" s="50" t="s">
        <v>11112</v>
      </c>
      <c r="AX39" s="116"/>
      <c r="AY39" s="116"/>
      <c r="AZ39" s="50">
        <v>7.0</v>
      </c>
      <c r="BA39" s="50">
        <v>1000.0</v>
      </c>
      <c r="BB39" s="50">
        <v>3.0</v>
      </c>
      <c r="BC39" s="50">
        <v>0.0</v>
      </c>
      <c r="BD39" s="50">
        <v>7.0</v>
      </c>
      <c r="BE39" s="50">
        <v>100.0</v>
      </c>
      <c r="BF39" s="50">
        <v>3.0</v>
      </c>
      <c r="BG39" s="50">
        <v>0.0</v>
      </c>
      <c r="BH39" s="50">
        <v>0.0</v>
      </c>
      <c r="BI39" s="116"/>
      <c r="BJ39" s="116"/>
      <c r="BK39" s="116"/>
      <c r="BL39" s="116"/>
      <c r="BM39" s="116"/>
      <c r="BN39" s="116"/>
      <c r="BO39" s="50">
        <v>7.0</v>
      </c>
      <c r="BP39" s="50">
        <v>5000.0</v>
      </c>
      <c r="BQ39" s="50">
        <v>3.0</v>
      </c>
      <c r="BR39" s="50">
        <v>0.0</v>
      </c>
      <c r="BS39" s="50">
        <v>7.0</v>
      </c>
      <c r="BT39" s="50">
        <v>1000.0</v>
      </c>
      <c r="BU39" s="50">
        <v>3.0</v>
      </c>
      <c r="BV39" s="50">
        <v>0.0</v>
      </c>
      <c r="BW39" s="50">
        <v>1.0</v>
      </c>
      <c r="BX39" s="50">
        <v>7.0</v>
      </c>
      <c r="BY39" s="50">
        <v>100.0</v>
      </c>
      <c r="BZ39" s="50">
        <v>3.0</v>
      </c>
      <c r="CA39" s="50">
        <v>0.0</v>
      </c>
      <c r="CB39" s="116"/>
      <c r="CC39" s="116"/>
      <c r="CD39" s="50" t="s">
        <v>10062</v>
      </c>
      <c r="CE39" s="50">
        <v>0.0</v>
      </c>
      <c r="CF39" s="50" t="s">
        <v>10066</v>
      </c>
      <c r="CG39" s="117">
        <v>2989.0</v>
      </c>
      <c r="CH39" s="50" t="s">
        <v>11182</v>
      </c>
      <c r="CI39" s="50" t="s">
        <v>11183</v>
      </c>
      <c r="CJ39" s="117">
        <v>38.0</v>
      </c>
    </row>
    <row r="40">
      <c r="A40" s="50" t="s">
        <v>11184</v>
      </c>
      <c r="B40" s="50" t="s">
        <v>6876</v>
      </c>
      <c r="C40" s="50" t="s">
        <v>6877</v>
      </c>
      <c r="D40" s="50" t="s">
        <v>6878</v>
      </c>
      <c r="E40" s="50" t="s">
        <v>11185</v>
      </c>
      <c r="F40" s="50">
        <v>58.0</v>
      </c>
      <c r="G40" s="50">
        <v>1.0</v>
      </c>
      <c r="H40" s="50">
        <v>5.0</v>
      </c>
      <c r="I40" s="116"/>
      <c r="J40" s="116"/>
      <c r="K40" s="50" t="s">
        <v>418</v>
      </c>
      <c r="L40" s="50" t="s">
        <v>418</v>
      </c>
      <c r="M40" s="50" t="s">
        <v>11100</v>
      </c>
      <c r="N40" s="50" t="s">
        <v>11102</v>
      </c>
      <c r="O40" s="50" t="s">
        <v>11104</v>
      </c>
      <c r="P40" s="116"/>
      <c r="Q40" s="116"/>
      <c r="R40" s="116"/>
      <c r="S40" s="50">
        <v>7.0</v>
      </c>
      <c r="T40" s="50">
        <v>5000.0</v>
      </c>
      <c r="U40" s="50">
        <v>3.0</v>
      </c>
      <c r="V40" s="50">
        <v>0.0</v>
      </c>
      <c r="W40" s="50">
        <v>7.0</v>
      </c>
      <c r="X40" s="50">
        <v>1000.0</v>
      </c>
      <c r="Y40" s="50">
        <v>3.0</v>
      </c>
      <c r="Z40" s="50">
        <v>0.0</v>
      </c>
      <c r="AA40" s="50">
        <v>1.0</v>
      </c>
      <c r="AB40" s="50">
        <v>7.0</v>
      </c>
      <c r="AC40" s="50">
        <v>100.0</v>
      </c>
      <c r="AD40" s="50">
        <v>3.0</v>
      </c>
      <c r="AE40" s="50">
        <v>0.0</v>
      </c>
      <c r="AF40" s="116"/>
      <c r="AG40" s="116"/>
      <c r="AH40" s="50">
        <v>7.0</v>
      </c>
      <c r="AI40" s="50">
        <v>5000.0</v>
      </c>
      <c r="AJ40" s="50">
        <v>3.0</v>
      </c>
      <c r="AK40" s="50">
        <v>0.0</v>
      </c>
      <c r="AL40" s="50">
        <v>7.0</v>
      </c>
      <c r="AM40" s="50">
        <v>1000.0</v>
      </c>
      <c r="AN40" s="50">
        <v>3.0</v>
      </c>
      <c r="AO40" s="50">
        <v>0.0</v>
      </c>
      <c r="AP40" s="50">
        <v>1.0</v>
      </c>
      <c r="AQ40" s="50">
        <v>7.0</v>
      </c>
      <c r="AR40" s="50">
        <v>100.0</v>
      </c>
      <c r="AS40" s="50">
        <v>3.0</v>
      </c>
      <c r="AT40" s="50">
        <v>0.0</v>
      </c>
      <c r="AU40" s="50">
        <v>1.0</v>
      </c>
      <c r="AV40" s="50" t="s">
        <v>7452</v>
      </c>
      <c r="AW40" s="50" t="s">
        <v>11112</v>
      </c>
      <c r="AX40" s="116"/>
      <c r="AY40" s="116"/>
      <c r="AZ40" s="50">
        <v>7.0</v>
      </c>
      <c r="BA40" s="50">
        <v>1000.0</v>
      </c>
      <c r="BB40" s="50">
        <v>3.0</v>
      </c>
      <c r="BC40" s="50">
        <v>0.0</v>
      </c>
      <c r="BD40" s="50">
        <v>7.0</v>
      </c>
      <c r="BE40" s="50">
        <v>100.0</v>
      </c>
      <c r="BF40" s="50">
        <v>3.0</v>
      </c>
      <c r="BG40" s="50">
        <v>0.0</v>
      </c>
      <c r="BH40" s="50">
        <v>0.0</v>
      </c>
      <c r="BI40" s="116"/>
      <c r="BJ40" s="116"/>
      <c r="BK40" s="116"/>
      <c r="BL40" s="116"/>
      <c r="BM40" s="116"/>
      <c r="BN40" s="116"/>
      <c r="BO40" s="50">
        <v>7.0</v>
      </c>
      <c r="BP40" s="50">
        <v>5000.0</v>
      </c>
      <c r="BQ40" s="50">
        <v>3.0</v>
      </c>
      <c r="BR40" s="50">
        <v>0.0</v>
      </c>
      <c r="BS40" s="50">
        <v>7.0</v>
      </c>
      <c r="BT40" s="50">
        <v>1000.0</v>
      </c>
      <c r="BU40" s="50">
        <v>3.0</v>
      </c>
      <c r="BV40" s="50">
        <v>0.0</v>
      </c>
      <c r="BW40" s="50">
        <v>1.0</v>
      </c>
      <c r="BX40" s="50">
        <v>7.0</v>
      </c>
      <c r="BY40" s="50">
        <v>100.0</v>
      </c>
      <c r="BZ40" s="50">
        <v>3.0</v>
      </c>
      <c r="CA40" s="50">
        <v>0.0</v>
      </c>
      <c r="CB40" s="116"/>
      <c r="CC40" s="116"/>
      <c r="CD40" s="50" t="s">
        <v>10062</v>
      </c>
      <c r="CE40" s="50">
        <v>0.0</v>
      </c>
      <c r="CF40" s="50" t="s">
        <v>10066</v>
      </c>
      <c r="CG40" s="117">
        <v>2990.0</v>
      </c>
      <c r="CH40" s="50" t="s">
        <v>11208</v>
      </c>
      <c r="CI40" s="50" t="s">
        <v>11209</v>
      </c>
      <c r="CJ40" s="117">
        <v>39.0</v>
      </c>
    </row>
    <row r="41">
      <c r="A41" s="50" t="s">
        <v>11210</v>
      </c>
      <c r="B41" s="50" t="s">
        <v>6876</v>
      </c>
      <c r="C41" s="50" t="s">
        <v>6877</v>
      </c>
      <c r="D41" s="50" t="s">
        <v>6878</v>
      </c>
      <c r="E41" s="50" t="s">
        <v>11215</v>
      </c>
      <c r="F41" s="50">
        <v>58.0</v>
      </c>
      <c r="G41" s="50">
        <v>1.0</v>
      </c>
      <c r="H41" s="50">
        <v>10.0</v>
      </c>
      <c r="I41" s="116"/>
      <c r="J41" s="116"/>
      <c r="K41" s="50" t="s">
        <v>325</v>
      </c>
      <c r="L41" s="50" t="s">
        <v>325</v>
      </c>
      <c r="M41" s="50" t="s">
        <v>7304</v>
      </c>
      <c r="N41" s="50" t="s">
        <v>10380</v>
      </c>
      <c r="O41" s="50" t="s">
        <v>10381</v>
      </c>
      <c r="P41" s="116"/>
      <c r="Q41" s="116"/>
      <c r="R41" s="116"/>
      <c r="S41" s="50">
        <v>7.0</v>
      </c>
      <c r="T41" s="50">
        <v>1000.0</v>
      </c>
      <c r="U41" s="50">
        <v>3.0</v>
      </c>
      <c r="V41" s="50">
        <v>2.0</v>
      </c>
      <c r="W41" s="50">
        <v>7.0</v>
      </c>
      <c r="X41" s="50">
        <v>100.0</v>
      </c>
      <c r="Y41" s="50">
        <v>3.0</v>
      </c>
      <c r="Z41" s="50">
        <v>0.0</v>
      </c>
      <c r="AA41" s="50">
        <v>0.0</v>
      </c>
      <c r="AB41" s="116"/>
      <c r="AC41" s="116"/>
      <c r="AD41" s="116"/>
      <c r="AE41" s="116"/>
      <c r="AF41" s="116"/>
      <c r="AG41" s="116"/>
      <c r="AH41" s="50">
        <v>7.0</v>
      </c>
      <c r="AI41" s="50">
        <v>5000.0</v>
      </c>
      <c r="AJ41" s="50">
        <v>3.0</v>
      </c>
      <c r="AK41" s="50">
        <v>0.0</v>
      </c>
      <c r="AL41" s="50">
        <v>7.0</v>
      </c>
      <c r="AM41" s="50">
        <v>1000.0</v>
      </c>
      <c r="AN41" s="50">
        <v>3.0</v>
      </c>
      <c r="AO41" s="50">
        <v>0.0</v>
      </c>
      <c r="AP41" s="50">
        <v>1.0</v>
      </c>
      <c r="AQ41" s="50">
        <v>7.0</v>
      </c>
      <c r="AR41" s="50">
        <v>100.0</v>
      </c>
      <c r="AS41" s="50">
        <v>3.0</v>
      </c>
      <c r="AT41" s="50">
        <v>0.0</v>
      </c>
      <c r="AU41" s="50">
        <v>1.0</v>
      </c>
      <c r="AV41" s="50" t="s">
        <v>7093</v>
      </c>
      <c r="AW41" s="50" t="s">
        <v>10664</v>
      </c>
      <c r="AX41" s="116"/>
      <c r="AY41" s="116"/>
      <c r="AZ41" s="50">
        <v>7.0</v>
      </c>
      <c r="BA41" s="50">
        <v>1000.0</v>
      </c>
      <c r="BB41" s="50">
        <v>1.0</v>
      </c>
      <c r="BC41" s="116"/>
      <c r="BD41" s="50">
        <v>7.0</v>
      </c>
      <c r="BE41" s="50">
        <v>100.0</v>
      </c>
      <c r="BF41" s="50">
        <v>3.0</v>
      </c>
      <c r="BG41" s="50">
        <v>166.0</v>
      </c>
      <c r="BH41" s="50">
        <v>0.0</v>
      </c>
      <c r="BI41" s="116"/>
      <c r="BJ41" s="116"/>
      <c r="BK41" s="116"/>
      <c r="BL41" s="116"/>
      <c r="BM41" s="116"/>
      <c r="BN41" s="116"/>
      <c r="BO41" s="50">
        <v>7.0</v>
      </c>
      <c r="BP41" s="50">
        <v>5000.0</v>
      </c>
      <c r="BQ41" s="50">
        <v>3.0</v>
      </c>
      <c r="BR41" s="50">
        <v>0.0</v>
      </c>
      <c r="BS41" s="50">
        <v>7.0</v>
      </c>
      <c r="BT41" s="50">
        <v>1000.0</v>
      </c>
      <c r="BU41" s="50">
        <v>1.0</v>
      </c>
      <c r="BV41" s="116"/>
      <c r="BW41" s="50">
        <v>1.0</v>
      </c>
      <c r="BX41" s="50">
        <v>7.0</v>
      </c>
      <c r="BY41" s="50">
        <v>100.0</v>
      </c>
      <c r="BZ41" s="50">
        <v>3.0</v>
      </c>
      <c r="CA41" s="50">
        <v>166.0</v>
      </c>
      <c r="CB41" s="116"/>
      <c r="CC41" s="116"/>
      <c r="CD41" s="50">
        <v>3.0</v>
      </c>
      <c r="CE41" s="50">
        <v>0.0</v>
      </c>
      <c r="CF41" s="50" t="s">
        <v>10066</v>
      </c>
      <c r="CG41" s="117">
        <v>3052.0</v>
      </c>
      <c r="CH41" s="50" t="s">
        <v>11233</v>
      </c>
      <c r="CI41" s="50" t="s">
        <v>11235</v>
      </c>
      <c r="CJ41" s="117">
        <v>40.0</v>
      </c>
    </row>
    <row r="42">
      <c r="A42" s="50" t="s">
        <v>11238</v>
      </c>
      <c r="B42" s="50" t="s">
        <v>6876</v>
      </c>
      <c r="C42" s="50" t="s">
        <v>6877</v>
      </c>
      <c r="D42" s="50" t="s">
        <v>6878</v>
      </c>
      <c r="E42" s="50" t="s">
        <v>11241</v>
      </c>
      <c r="F42" s="50">
        <v>58.0</v>
      </c>
      <c r="G42" s="50">
        <v>1.0</v>
      </c>
      <c r="H42" s="50">
        <v>10.0</v>
      </c>
      <c r="I42" s="116"/>
      <c r="J42" s="116"/>
      <c r="K42" s="50" t="s">
        <v>392</v>
      </c>
      <c r="L42" s="50" t="s">
        <v>392</v>
      </c>
      <c r="M42" s="50" t="s">
        <v>7304</v>
      </c>
      <c r="N42" s="50" t="s">
        <v>10380</v>
      </c>
      <c r="O42" s="50" t="s">
        <v>10381</v>
      </c>
      <c r="P42" s="116"/>
      <c r="Q42" s="116"/>
      <c r="R42" s="116"/>
      <c r="S42" s="50">
        <v>7.0</v>
      </c>
      <c r="T42" s="50">
        <v>1000.0</v>
      </c>
      <c r="U42" s="50">
        <v>3.0</v>
      </c>
      <c r="V42" s="50">
        <v>0.0</v>
      </c>
      <c r="W42" s="50">
        <v>7.0</v>
      </c>
      <c r="X42" s="50">
        <v>100.0</v>
      </c>
      <c r="Y42" s="50">
        <v>3.0</v>
      </c>
      <c r="Z42" s="50">
        <v>0.0</v>
      </c>
      <c r="AA42" s="50">
        <v>0.0</v>
      </c>
      <c r="AB42" s="116"/>
      <c r="AC42" s="116"/>
      <c r="AD42" s="116"/>
      <c r="AE42" s="116"/>
      <c r="AF42" s="116"/>
      <c r="AG42" s="116"/>
      <c r="AH42" s="50">
        <v>7.0</v>
      </c>
      <c r="AI42" s="50">
        <v>5000.0</v>
      </c>
      <c r="AJ42" s="50">
        <v>3.0</v>
      </c>
      <c r="AK42" s="50">
        <v>0.0</v>
      </c>
      <c r="AL42" s="50">
        <v>7.0</v>
      </c>
      <c r="AM42" s="50">
        <v>1000.0</v>
      </c>
      <c r="AN42" s="50">
        <v>3.0</v>
      </c>
      <c r="AO42" s="50">
        <v>0.0</v>
      </c>
      <c r="AP42" s="50">
        <v>1.0</v>
      </c>
      <c r="AQ42" s="50">
        <v>7.0</v>
      </c>
      <c r="AR42" s="50">
        <v>100.0</v>
      </c>
      <c r="AS42" s="50">
        <v>3.0</v>
      </c>
      <c r="AT42" s="50">
        <v>0.0</v>
      </c>
      <c r="AU42" s="50">
        <v>1.0</v>
      </c>
      <c r="AV42" s="50" t="s">
        <v>7093</v>
      </c>
      <c r="AW42" s="50" t="s">
        <v>10664</v>
      </c>
      <c r="AX42" s="116"/>
      <c r="AY42" s="116"/>
      <c r="AZ42" s="50">
        <v>7.0</v>
      </c>
      <c r="BA42" s="50">
        <v>1000.0</v>
      </c>
      <c r="BB42" s="50">
        <v>3.0</v>
      </c>
      <c r="BC42" s="50">
        <v>0.0</v>
      </c>
      <c r="BD42" s="50">
        <v>7.0</v>
      </c>
      <c r="BE42" s="50">
        <v>100.0</v>
      </c>
      <c r="BF42" s="50">
        <v>3.0</v>
      </c>
      <c r="BG42" s="50">
        <v>0.0</v>
      </c>
      <c r="BH42" s="50">
        <v>0.0</v>
      </c>
      <c r="BI42" s="116"/>
      <c r="BJ42" s="116"/>
      <c r="BK42" s="116"/>
      <c r="BL42" s="116"/>
      <c r="BM42" s="116"/>
      <c r="BN42" s="116"/>
      <c r="BO42" s="50">
        <v>7.0</v>
      </c>
      <c r="BP42" s="50">
        <v>5000.0</v>
      </c>
      <c r="BQ42" s="50">
        <v>3.0</v>
      </c>
      <c r="BR42" s="50">
        <v>0.0</v>
      </c>
      <c r="BS42" s="50">
        <v>7.0</v>
      </c>
      <c r="BT42" s="50">
        <v>1000.0</v>
      </c>
      <c r="BU42" s="50">
        <v>3.0</v>
      </c>
      <c r="BV42" s="50">
        <v>0.0</v>
      </c>
      <c r="BW42" s="50">
        <v>1.0</v>
      </c>
      <c r="BX42" s="50">
        <v>7.0</v>
      </c>
      <c r="BY42" s="50">
        <v>100.0</v>
      </c>
      <c r="BZ42" s="50">
        <v>3.0</v>
      </c>
      <c r="CA42" s="50">
        <v>0.0</v>
      </c>
      <c r="CB42" s="116"/>
      <c r="CC42" s="50" t="s">
        <v>11265</v>
      </c>
      <c r="CD42" s="50" t="s">
        <v>10362</v>
      </c>
      <c r="CE42" s="50">
        <v>0.0</v>
      </c>
      <c r="CF42" s="50" t="s">
        <v>10066</v>
      </c>
      <c r="CG42" s="117">
        <v>3053.0</v>
      </c>
      <c r="CH42" s="50" t="s">
        <v>11266</v>
      </c>
      <c r="CI42" s="50" t="s">
        <v>11267</v>
      </c>
      <c r="CJ42" s="117">
        <v>41.0</v>
      </c>
    </row>
    <row r="43">
      <c r="A43" s="50" t="s">
        <v>11270</v>
      </c>
      <c r="B43" s="50" t="s">
        <v>6876</v>
      </c>
      <c r="C43" s="50" t="s">
        <v>6877</v>
      </c>
      <c r="D43" s="50" t="s">
        <v>6878</v>
      </c>
      <c r="E43" s="50" t="s">
        <v>11274</v>
      </c>
      <c r="F43" s="50">
        <v>58.0</v>
      </c>
      <c r="G43" s="50">
        <v>1.0</v>
      </c>
      <c r="H43" s="50">
        <v>10.0</v>
      </c>
      <c r="I43" s="116"/>
      <c r="J43" s="116"/>
      <c r="K43" s="50" t="s">
        <v>417</v>
      </c>
      <c r="L43" s="50" t="s">
        <v>417</v>
      </c>
      <c r="M43" s="50" t="s">
        <v>11100</v>
      </c>
      <c r="N43" s="50" t="s">
        <v>11276</v>
      </c>
      <c r="O43" s="50" t="s">
        <v>11277</v>
      </c>
      <c r="P43" s="116"/>
      <c r="Q43" s="116"/>
      <c r="R43" s="116"/>
      <c r="S43" s="50">
        <v>7.0</v>
      </c>
      <c r="T43" s="50">
        <v>1000.0</v>
      </c>
      <c r="U43" s="50">
        <v>3.0</v>
      </c>
      <c r="V43" s="50">
        <v>0.0</v>
      </c>
      <c r="W43" s="50">
        <v>7.0</v>
      </c>
      <c r="X43" s="50">
        <v>100.0</v>
      </c>
      <c r="Y43" s="50">
        <v>3.0</v>
      </c>
      <c r="Z43" s="50">
        <v>0.0</v>
      </c>
      <c r="AA43" s="50">
        <v>0.0</v>
      </c>
      <c r="AB43" s="116"/>
      <c r="AC43" s="116"/>
      <c r="AD43" s="116"/>
      <c r="AE43" s="116"/>
      <c r="AF43" s="116"/>
      <c r="AG43" s="116"/>
      <c r="AH43" s="50">
        <v>7.0</v>
      </c>
      <c r="AI43" s="50">
        <v>5000.0</v>
      </c>
      <c r="AJ43" s="50">
        <v>3.0</v>
      </c>
      <c r="AK43" s="50">
        <v>0.0</v>
      </c>
      <c r="AL43" s="50">
        <v>7.0</v>
      </c>
      <c r="AM43" s="50">
        <v>1000.0</v>
      </c>
      <c r="AN43" s="50">
        <v>3.0</v>
      </c>
      <c r="AO43" s="50">
        <v>0.0</v>
      </c>
      <c r="AP43" s="50">
        <v>1.0</v>
      </c>
      <c r="AQ43" s="50">
        <v>7.0</v>
      </c>
      <c r="AR43" s="50">
        <v>100.0</v>
      </c>
      <c r="AS43" s="50">
        <v>3.0</v>
      </c>
      <c r="AT43" s="50">
        <v>0.0</v>
      </c>
      <c r="AU43" s="50">
        <v>1.0</v>
      </c>
      <c r="AV43" s="50" t="s">
        <v>7452</v>
      </c>
      <c r="AW43" s="50" t="s">
        <v>11112</v>
      </c>
      <c r="AX43" s="116"/>
      <c r="AY43" s="116"/>
      <c r="AZ43" s="50">
        <v>7.0</v>
      </c>
      <c r="BA43" s="50">
        <v>1000.0</v>
      </c>
      <c r="BB43" s="50">
        <v>3.0</v>
      </c>
      <c r="BC43" s="50">
        <v>0.0</v>
      </c>
      <c r="BD43" s="50">
        <v>7.0</v>
      </c>
      <c r="BE43" s="50">
        <v>100.0</v>
      </c>
      <c r="BF43" s="50">
        <v>3.0</v>
      </c>
      <c r="BG43" s="50">
        <v>0.0</v>
      </c>
      <c r="BH43" s="50">
        <v>0.0</v>
      </c>
      <c r="BI43" s="116"/>
      <c r="BJ43" s="116"/>
      <c r="BK43" s="116"/>
      <c r="BL43" s="116"/>
      <c r="BM43" s="116"/>
      <c r="BN43" s="116"/>
      <c r="BO43" s="50">
        <v>7.0</v>
      </c>
      <c r="BP43" s="50">
        <v>5000.0</v>
      </c>
      <c r="BQ43" s="50">
        <v>3.0</v>
      </c>
      <c r="BR43" s="50">
        <v>0.0</v>
      </c>
      <c r="BS43" s="50">
        <v>7.0</v>
      </c>
      <c r="BT43" s="50">
        <v>1000.0</v>
      </c>
      <c r="BU43" s="50">
        <v>3.0</v>
      </c>
      <c r="BV43" s="50">
        <v>0.0</v>
      </c>
      <c r="BW43" s="50">
        <v>1.0</v>
      </c>
      <c r="BX43" s="50">
        <v>7.0</v>
      </c>
      <c r="BY43" s="50">
        <v>100.0</v>
      </c>
      <c r="BZ43" s="50">
        <v>3.0</v>
      </c>
      <c r="CA43" s="50">
        <v>0.0</v>
      </c>
      <c r="CB43" s="116"/>
      <c r="CC43" s="116"/>
      <c r="CD43" s="50" t="s">
        <v>6922</v>
      </c>
      <c r="CE43" s="50">
        <v>0.0</v>
      </c>
      <c r="CF43" s="50" t="s">
        <v>10066</v>
      </c>
      <c r="CG43" s="117">
        <v>3099.0</v>
      </c>
      <c r="CH43" s="50" t="s">
        <v>11297</v>
      </c>
      <c r="CI43" s="50" t="s">
        <v>11298</v>
      </c>
      <c r="CJ43" s="117">
        <v>42.0</v>
      </c>
    </row>
    <row r="44">
      <c r="A44" s="50" t="s">
        <v>11300</v>
      </c>
      <c r="B44" s="50" t="s">
        <v>6876</v>
      </c>
      <c r="C44" s="50" t="s">
        <v>6877</v>
      </c>
      <c r="D44" s="50" t="s">
        <v>6878</v>
      </c>
      <c r="E44" s="50" t="s">
        <v>11302</v>
      </c>
      <c r="F44" s="50">
        <v>58.0</v>
      </c>
      <c r="G44" s="50">
        <v>1.0</v>
      </c>
      <c r="H44" s="50">
        <v>3.0</v>
      </c>
      <c r="I44" s="116"/>
      <c r="J44" s="116"/>
      <c r="K44" s="50" t="s">
        <v>421</v>
      </c>
      <c r="L44" s="50" t="s">
        <v>421</v>
      </c>
      <c r="M44" s="50" t="s">
        <v>11100</v>
      </c>
      <c r="N44" s="50" t="s">
        <v>11102</v>
      </c>
      <c r="O44" s="50" t="s">
        <v>11307</v>
      </c>
      <c r="P44" s="116"/>
      <c r="Q44" s="116"/>
      <c r="R44" s="116"/>
      <c r="S44" s="50">
        <v>7.0</v>
      </c>
      <c r="T44" s="50">
        <v>1000.0</v>
      </c>
      <c r="U44" s="50">
        <v>3.0</v>
      </c>
      <c r="V44" s="50">
        <v>0.0</v>
      </c>
      <c r="W44" s="50">
        <v>7.0</v>
      </c>
      <c r="X44" s="50">
        <v>100.0</v>
      </c>
      <c r="Y44" s="50">
        <v>3.0</v>
      </c>
      <c r="Z44" s="50">
        <v>0.0</v>
      </c>
      <c r="AA44" s="50">
        <v>0.0</v>
      </c>
      <c r="AB44" s="116"/>
      <c r="AC44" s="116"/>
      <c r="AD44" s="116"/>
      <c r="AE44" s="116"/>
      <c r="AF44" s="116"/>
      <c r="AG44" s="116"/>
      <c r="AH44" s="50">
        <v>7.0</v>
      </c>
      <c r="AI44" s="50">
        <v>5000.0</v>
      </c>
      <c r="AJ44" s="50">
        <v>3.0</v>
      </c>
      <c r="AK44" s="50">
        <v>0.0</v>
      </c>
      <c r="AL44" s="50">
        <v>7.0</v>
      </c>
      <c r="AM44" s="50">
        <v>1000.0</v>
      </c>
      <c r="AN44" s="50">
        <v>3.0</v>
      </c>
      <c r="AO44" s="50">
        <v>0.0</v>
      </c>
      <c r="AP44" s="50">
        <v>1.0</v>
      </c>
      <c r="AQ44" s="50">
        <v>7.0</v>
      </c>
      <c r="AR44" s="50">
        <v>100.0</v>
      </c>
      <c r="AS44" s="50">
        <v>3.0</v>
      </c>
      <c r="AT44" s="50">
        <v>0.0</v>
      </c>
      <c r="AU44" s="50">
        <v>1.0</v>
      </c>
      <c r="AV44" s="50" t="s">
        <v>7452</v>
      </c>
      <c r="AW44" s="50" t="s">
        <v>11112</v>
      </c>
      <c r="AX44" s="116"/>
      <c r="AY44" s="116"/>
      <c r="AZ44" s="50">
        <v>7.0</v>
      </c>
      <c r="BA44" s="50">
        <v>1000.0</v>
      </c>
      <c r="BB44" s="50">
        <v>3.0</v>
      </c>
      <c r="BC44" s="50">
        <v>0.0</v>
      </c>
      <c r="BD44" s="50">
        <v>7.0</v>
      </c>
      <c r="BE44" s="50">
        <v>100.0</v>
      </c>
      <c r="BF44" s="50">
        <v>3.0</v>
      </c>
      <c r="BG44" s="50">
        <v>0.0</v>
      </c>
      <c r="BH44" s="50">
        <v>0.0</v>
      </c>
      <c r="BI44" s="116"/>
      <c r="BJ44" s="116"/>
      <c r="BK44" s="116"/>
      <c r="BL44" s="116"/>
      <c r="BM44" s="116"/>
      <c r="BN44" s="116"/>
      <c r="BO44" s="50">
        <v>7.0</v>
      </c>
      <c r="BP44" s="50">
        <v>5000.0</v>
      </c>
      <c r="BQ44" s="50">
        <v>3.0</v>
      </c>
      <c r="BR44" s="50">
        <v>0.0</v>
      </c>
      <c r="BS44" s="50">
        <v>7.0</v>
      </c>
      <c r="BT44" s="50">
        <v>1000.0</v>
      </c>
      <c r="BU44" s="50">
        <v>3.0</v>
      </c>
      <c r="BV44" s="50">
        <v>0.0</v>
      </c>
      <c r="BW44" s="50">
        <v>1.0</v>
      </c>
      <c r="BX44" s="50">
        <v>7.0</v>
      </c>
      <c r="BY44" s="50">
        <v>100.0</v>
      </c>
      <c r="BZ44" s="50">
        <v>3.0</v>
      </c>
      <c r="CA44" s="50">
        <v>0.0</v>
      </c>
      <c r="CB44" s="116"/>
      <c r="CC44" s="116"/>
      <c r="CD44" s="50" t="s">
        <v>6922</v>
      </c>
      <c r="CE44" s="50">
        <v>0.0</v>
      </c>
      <c r="CF44" s="50" t="s">
        <v>10066</v>
      </c>
      <c r="CG44" s="117">
        <v>3100.0</v>
      </c>
      <c r="CH44" s="50" t="s">
        <v>11322</v>
      </c>
      <c r="CI44" s="50" t="s">
        <v>11325</v>
      </c>
      <c r="CJ44" s="117">
        <v>43.0</v>
      </c>
    </row>
    <row r="45">
      <c r="A45" s="50" t="s">
        <v>11328</v>
      </c>
      <c r="B45" s="50" t="s">
        <v>6876</v>
      </c>
      <c r="C45" s="50" t="s">
        <v>6877</v>
      </c>
      <c r="D45" s="50" t="s">
        <v>6878</v>
      </c>
      <c r="E45" s="50" t="s">
        <v>11331</v>
      </c>
      <c r="F45" s="50">
        <v>58.0</v>
      </c>
      <c r="G45" s="50">
        <v>1.0</v>
      </c>
      <c r="H45" s="50">
        <v>7.0</v>
      </c>
      <c r="I45" s="116"/>
      <c r="J45" s="116"/>
      <c r="K45" s="50" t="s">
        <v>425</v>
      </c>
      <c r="L45" s="50" t="s">
        <v>425</v>
      </c>
      <c r="M45" s="50" t="s">
        <v>11100</v>
      </c>
      <c r="N45" s="50" t="s">
        <v>11102</v>
      </c>
      <c r="O45" s="50" t="s">
        <v>11104</v>
      </c>
      <c r="P45" s="116"/>
      <c r="Q45" s="116"/>
      <c r="R45" s="116"/>
      <c r="S45" s="50">
        <v>7.0</v>
      </c>
      <c r="T45" s="50">
        <v>1000.0</v>
      </c>
      <c r="U45" s="50">
        <v>3.0</v>
      </c>
      <c r="V45" s="50">
        <v>0.0</v>
      </c>
      <c r="W45" s="50">
        <v>7.0</v>
      </c>
      <c r="X45" s="50">
        <v>100.0</v>
      </c>
      <c r="Y45" s="50">
        <v>3.0</v>
      </c>
      <c r="Z45" s="50">
        <v>0.0</v>
      </c>
      <c r="AA45" s="50">
        <v>0.0</v>
      </c>
      <c r="AB45" s="116"/>
      <c r="AC45" s="116"/>
      <c r="AD45" s="116"/>
      <c r="AE45" s="116"/>
      <c r="AF45" s="116"/>
      <c r="AG45" s="116"/>
      <c r="AH45" s="50">
        <v>7.0</v>
      </c>
      <c r="AI45" s="50">
        <v>5000.0</v>
      </c>
      <c r="AJ45" s="50">
        <v>3.0</v>
      </c>
      <c r="AK45" s="50">
        <v>0.0</v>
      </c>
      <c r="AL45" s="50">
        <v>7.0</v>
      </c>
      <c r="AM45" s="50">
        <v>1000.0</v>
      </c>
      <c r="AN45" s="50">
        <v>3.0</v>
      </c>
      <c r="AO45" s="50">
        <v>0.0</v>
      </c>
      <c r="AP45" s="50">
        <v>1.0</v>
      </c>
      <c r="AQ45" s="50">
        <v>7.0</v>
      </c>
      <c r="AR45" s="50">
        <v>100.0</v>
      </c>
      <c r="AS45" s="50">
        <v>3.0</v>
      </c>
      <c r="AT45" s="50">
        <v>0.0</v>
      </c>
      <c r="AU45" s="50">
        <v>0.0</v>
      </c>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50" t="s">
        <v>6922</v>
      </c>
      <c r="CE45" s="50">
        <v>0.0</v>
      </c>
      <c r="CF45" s="50" t="s">
        <v>10066</v>
      </c>
      <c r="CG45" s="117">
        <v>3101.0</v>
      </c>
      <c r="CH45" s="50" t="s">
        <v>11353</v>
      </c>
      <c r="CI45" s="50" t="s">
        <v>11354</v>
      </c>
      <c r="CJ45" s="117">
        <v>44.0</v>
      </c>
    </row>
    <row r="46">
      <c r="A46" s="50" t="s">
        <v>11357</v>
      </c>
      <c r="B46" s="50" t="s">
        <v>6876</v>
      </c>
      <c r="C46" s="50" t="s">
        <v>6877</v>
      </c>
      <c r="D46" s="50" t="s">
        <v>6878</v>
      </c>
      <c r="E46" s="50" t="s">
        <v>11359</v>
      </c>
      <c r="F46" s="50">
        <v>58.0</v>
      </c>
      <c r="G46" s="50">
        <v>1.0</v>
      </c>
      <c r="H46" s="50">
        <v>7.0</v>
      </c>
      <c r="I46" s="116"/>
      <c r="J46" s="116"/>
      <c r="K46" s="50" t="s">
        <v>427</v>
      </c>
      <c r="L46" s="50" t="s">
        <v>427</v>
      </c>
      <c r="M46" s="50" t="s">
        <v>11100</v>
      </c>
      <c r="N46" s="50" t="s">
        <v>11276</v>
      </c>
      <c r="O46" s="50" t="s">
        <v>11104</v>
      </c>
      <c r="P46" s="116"/>
      <c r="Q46" s="116"/>
      <c r="R46" s="116"/>
      <c r="S46" s="50">
        <v>7.0</v>
      </c>
      <c r="T46" s="50">
        <v>1000.0</v>
      </c>
      <c r="U46" s="50">
        <v>3.0</v>
      </c>
      <c r="V46" s="50">
        <v>28.0</v>
      </c>
      <c r="W46" s="50">
        <v>7.0</v>
      </c>
      <c r="X46" s="50">
        <v>100.0</v>
      </c>
      <c r="Y46" s="50">
        <v>3.0</v>
      </c>
      <c r="Z46" s="50">
        <v>0.0</v>
      </c>
      <c r="AA46" s="50">
        <v>0.0</v>
      </c>
      <c r="AB46" s="116"/>
      <c r="AC46" s="116"/>
      <c r="AD46" s="116"/>
      <c r="AE46" s="116"/>
      <c r="AF46" s="116"/>
      <c r="AG46" s="116"/>
      <c r="AH46" s="50">
        <v>7.0</v>
      </c>
      <c r="AI46" s="50">
        <v>5000.0</v>
      </c>
      <c r="AJ46" s="50">
        <v>3.0</v>
      </c>
      <c r="AK46" s="50">
        <v>0.0</v>
      </c>
      <c r="AL46" s="50">
        <v>7.0</v>
      </c>
      <c r="AM46" s="50">
        <v>1000.0</v>
      </c>
      <c r="AN46" s="50">
        <v>3.0</v>
      </c>
      <c r="AO46" s="50">
        <v>0.0</v>
      </c>
      <c r="AP46" s="50">
        <v>1.0</v>
      </c>
      <c r="AQ46" s="50">
        <v>7.0</v>
      </c>
      <c r="AR46" s="50">
        <v>100.0</v>
      </c>
      <c r="AS46" s="50">
        <v>3.0</v>
      </c>
      <c r="AT46" s="50">
        <v>0.0</v>
      </c>
      <c r="AU46" s="50">
        <v>0.0</v>
      </c>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50" t="s">
        <v>10362</v>
      </c>
      <c r="CE46" s="50">
        <v>0.0</v>
      </c>
      <c r="CF46" s="50" t="s">
        <v>10066</v>
      </c>
      <c r="CG46" s="117">
        <v>3102.0</v>
      </c>
      <c r="CH46" s="50" t="s">
        <v>11380</v>
      </c>
      <c r="CI46" s="50" t="s">
        <v>11381</v>
      </c>
      <c r="CJ46" s="117">
        <v>45.0</v>
      </c>
    </row>
    <row r="47">
      <c r="A47" s="50" t="s">
        <v>11383</v>
      </c>
      <c r="B47" s="50" t="s">
        <v>6876</v>
      </c>
      <c r="C47" s="50" t="s">
        <v>6877</v>
      </c>
      <c r="D47" s="50" t="s">
        <v>6878</v>
      </c>
      <c r="E47" s="50" t="s">
        <v>11386</v>
      </c>
      <c r="F47" s="50">
        <v>58.0</v>
      </c>
      <c r="G47" s="50">
        <v>1.0</v>
      </c>
      <c r="H47" s="50">
        <v>7.0</v>
      </c>
      <c r="I47" s="116"/>
      <c r="J47" s="116"/>
      <c r="K47" s="50" t="s">
        <v>428</v>
      </c>
      <c r="L47" s="50" t="s">
        <v>428</v>
      </c>
      <c r="M47" s="50" t="s">
        <v>11100</v>
      </c>
      <c r="N47" s="50" t="s">
        <v>11102</v>
      </c>
      <c r="O47" s="50" t="s">
        <v>11104</v>
      </c>
      <c r="P47" s="116"/>
      <c r="Q47" s="116"/>
      <c r="R47" s="116"/>
      <c r="S47" s="50">
        <v>7.0</v>
      </c>
      <c r="T47" s="50">
        <v>1000.0</v>
      </c>
      <c r="U47" s="50">
        <v>3.0</v>
      </c>
      <c r="V47" s="50">
        <v>0.0</v>
      </c>
      <c r="W47" s="50">
        <v>7.0</v>
      </c>
      <c r="X47" s="50">
        <v>100.0</v>
      </c>
      <c r="Y47" s="50">
        <v>3.0</v>
      </c>
      <c r="Z47" s="50">
        <v>0.0</v>
      </c>
      <c r="AA47" s="50">
        <v>0.0</v>
      </c>
      <c r="AB47" s="116"/>
      <c r="AC47" s="116"/>
      <c r="AD47" s="116"/>
      <c r="AE47" s="116"/>
      <c r="AF47" s="116"/>
      <c r="AG47" s="116"/>
      <c r="AH47" s="50">
        <v>7.0</v>
      </c>
      <c r="AI47" s="50">
        <v>5000.0</v>
      </c>
      <c r="AJ47" s="50">
        <v>3.0</v>
      </c>
      <c r="AK47" s="50">
        <v>0.0</v>
      </c>
      <c r="AL47" s="50">
        <v>7.0</v>
      </c>
      <c r="AM47" s="50">
        <v>1000.0</v>
      </c>
      <c r="AN47" s="50">
        <v>3.0</v>
      </c>
      <c r="AO47" s="50">
        <v>0.0</v>
      </c>
      <c r="AP47" s="50">
        <v>1.0</v>
      </c>
      <c r="AQ47" s="50">
        <v>7.0</v>
      </c>
      <c r="AR47" s="50">
        <v>100.0</v>
      </c>
      <c r="AS47" s="50">
        <v>3.0</v>
      </c>
      <c r="AT47" s="50">
        <v>0.0</v>
      </c>
      <c r="AU47" s="50">
        <v>0.0</v>
      </c>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50" t="s">
        <v>6922</v>
      </c>
      <c r="CE47" s="50">
        <v>0.0</v>
      </c>
      <c r="CF47" s="50" t="s">
        <v>10066</v>
      </c>
      <c r="CG47" s="117">
        <v>3103.0</v>
      </c>
      <c r="CH47" s="50" t="s">
        <v>11410</v>
      </c>
      <c r="CI47" s="50" t="s">
        <v>11412</v>
      </c>
      <c r="CJ47" s="117">
        <v>46.0</v>
      </c>
    </row>
    <row r="48">
      <c r="A48" s="50" t="s">
        <v>11413</v>
      </c>
      <c r="B48" s="50" t="s">
        <v>6876</v>
      </c>
      <c r="C48" s="50" t="s">
        <v>6877</v>
      </c>
      <c r="D48" s="50" t="s">
        <v>6878</v>
      </c>
      <c r="E48" s="50" t="s">
        <v>11414</v>
      </c>
      <c r="F48" s="50">
        <v>58.0</v>
      </c>
      <c r="G48" s="50">
        <v>1.0</v>
      </c>
      <c r="H48" s="50">
        <v>2.0</v>
      </c>
      <c r="I48" s="116"/>
      <c r="J48" s="116"/>
      <c r="K48" s="50" t="s">
        <v>433</v>
      </c>
      <c r="L48" s="50" t="s">
        <v>433</v>
      </c>
      <c r="M48" s="50" t="s">
        <v>11416</v>
      </c>
      <c r="N48" s="50" t="s">
        <v>11418</v>
      </c>
      <c r="O48" s="50" t="s">
        <v>11419</v>
      </c>
      <c r="P48" s="116"/>
      <c r="Q48" s="116"/>
      <c r="R48" s="116"/>
      <c r="S48" s="50">
        <v>7.0</v>
      </c>
      <c r="T48" s="50">
        <v>1000.0</v>
      </c>
      <c r="U48" s="50">
        <v>1.0</v>
      </c>
      <c r="V48" s="116"/>
      <c r="W48" s="50">
        <v>7.0</v>
      </c>
      <c r="X48" s="50">
        <v>100.0</v>
      </c>
      <c r="Y48" s="50">
        <v>3.0</v>
      </c>
      <c r="Z48" s="50">
        <v>72.0</v>
      </c>
      <c r="AA48" s="50">
        <v>0.0</v>
      </c>
      <c r="AB48" s="116"/>
      <c r="AC48" s="116"/>
      <c r="AD48" s="116"/>
      <c r="AE48" s="116"/>
      <c r="AF48" s="116"/>
      <c r="AG48" s="116"/>
      <c r="AH48" s="50">
        <v>7.0</v>
      </c>
      <c r="AI48" s="50">
        <v>5000.0</v>
      </c>
      <c r="AJ48" s="50">
        <v>3.0</v>
      </c>
      <c r="AK48" s="50">
        <v>0.0</v>
      </c>
      <c r="AL48" s="50">
        <v>7.0</v>
      </c>
      <c r="AM48" s="50">
        <v>1000.0</v>
      </c>
      <c r="AN48" s="50">
        <v>3.0</v>
      </c>
      <c r="AO48" s="50">
        <v>0.0</v>
      </c>
      <c r="AP48" s="50">
        <v>1.0</v>
      </c>
      <c r="AQ48" s="50">
        <v>7.0</v>
      </c>
      <c r="AR48" s="50">
        <v>100.0</v>
      </c>
      <c r="AS48" s="50">
        <v>3.0</v>
      </c>
      <c r="AT48" s="50">
        <v>0.0</v>
      </c>
      <c r="AU48" s="50">
        <v>1.0</v>
      </c>
      <c r="AV48" s="50" t="s">
        <v>11416</v>
      </c>
      <c r="AW48" s="50" t="s">
        <v>11431</v>
      </c>
      <c r="AX48" s="116"/>
      <c r="AY48" s="116"/>
      <c r="AZ48" s="50">
        <v>7.0</v>
      </c>
      <c r="BA48" s="50">
        <v>1000.0</v>
      </c>
      <c r="BB48" s="50">
        <v>1.0</v>
      </c>
      <c r="BC48" s="116"/>
      <c r="BD48" s="50">
        <v>7.0</v>
      </c>
      <c r="BE48" s="50">
        <v>100.0</v>
      </c>
      <c r="BF48" s="50">
        <v>3.0</v>
      </c>
      <c r="BG48" s="50">
        <v>96.0</v>
      </c>
      <c r="BH48" s="50">
        <v>0.0</v>
      </c>
      <c r="BI48" s="116"/>
      <c r="BJ48" s="116"/>
      <c r="BK48" s="116"/>
      <c r="BL48" s="116"/>
      <c r="BM48" s="116"/>
      <c r="BN48" s="116"/>
      <c r="BO48" s="50">
        <v>7.0</v>
      </c>
      <c r="BP48" s="50">
        <v>5000.0</v>
      </c>
      <c r="BQ48" s="50">
        <v>3.0</v>
      </c>
      <c r="BR48" s="50">
        <v>0.0</v>
      </c>
      <c r="BS48" s="50">
        <v>7.0</v>
      </c>
      <c r="BT48" s="50">
        <v>1000.0</v>
      </c>
      <c r="BU48" s="50">
        <v>3.0</v>
      </c>
      <c r="BV48" s="50">
        <v>0.0</v>
      </c>
      <c r="BW48" s="50">
        <v>1.0</v>
      </c>
      <c r="BX48" s="50">
        <v>7.0</v>
      </c>
      <c r="BY48" s="50">
        <v>100.0</v>
      </c>
      <c r="BZ48" s="50">
        <v>3.0</v>
      </c>
      <c r="CA48" s="50">
        <v>0.0</v>
      </c>
      <c r="CB48" s="116"/>
      <c r="CC48" s="116"/>
      <c r="CD48" s="50" t="s">
        <v>6922</v>
      </c>
      <c r="CE48" s="50">
        <v>0.0</v>
      </c>
      <c r="CF48" s="50" t="s">
        <v>10066</v>
      </c>
      <c r="CG48" s="117">
        <v>3104.0</v>
      </c>
      <c r="CH48" s="50" t="s">
        <v>11440</v>
      </c>
      <c r="CI48" s="50" t="s">
        <v>11441</v>
      </c>
      <c r="CJ48" s="117">
        <v>47.0</v>
      </c>
    </row>
    <row r="49">
      <c r="A49" s="50" t="s">
        <v>11444</v>
      </c>
      <c r="B49" s="50" t="s">
        <v>6876</v>
      </c>
      <c r="C49" s="50" t="s">
        <v>6877</v>
      </c>
      <c r="D49" s="50" t="s">
        <v>6878</v>
      </c>
      <c r="E49" s="50" t="s">
        <v>11445</v>
      </c>
      <c r="F49" s="50">
        <v>58.0</v>
      </c>
      <c r="G49" s="50">
        <v>1.0</v>
      </c>
      <c r="H49" s="50">
        <v>2.0</v>
      </c>
      <c r="I49" s="116"/>
      <c r="J49" s="116"/>
      <c r="K49" s="50" t="s">
        <v>435</v>
      </c>
      <c r="L49" s="50" t="s">
        <v>435</v>
      </c>
      <c r="M49" s="50" t="s">
        <v>11416</v>
      </c>
      <c r="N49" s="50" t="s">
        <v>11418</v>
      </c>
      <c r="O49" s="50" t="s">
        <v>11419</v>
      </c>
      <c r="P49" s="116"/>
      <c r="Q49" s="116"/>
      <c r="R49" s="116"/>
      <c r="S49" s="50">
        <v>7.0</v>
      </c>
      <c r="T49" s="50">
        <v>1000.0</v>
      </c>
      <c r="U49" s="50">
        <v>3.0</v>
      </c>
      <c r="V49" s="50">
        <v>0.0</v>
      </c>
      <c r="W49" s="50">
        <v>7.0</v>
      </c>
      <c r="X49" s="50">
        <v>100.0</v>
      </c>
      <c r="Y49" s="50">
        <v>3.0</v>
      </c>
      <c r="Z49" s="50">
        <v>0.0</v>
      </c>
      <c r="AA49" s="50">
        <v>0.0</v>
      </c>
      <c r="AB49" s="116"/>
      <c r="AC49" s="116"/>
      <c r="AD49" s="116"/>
      <c r="AE49" s="116"/>
      <c r="AF49" s="116"/>
      <c r="AG49" s="116"/>
      <c r="AH49" s="50">
        <v>7.0</v>
      </c>
      <c r="AI49" s="50">
        <v>5000.0</v>
      </c>
      <c r="AJ49" s="50">
        <v>3.0</v>
      </c>
      <c r="AK49" s="50">
        <v>0.0</v>
      </c>
      <c r="AL49" s="50">
        <v>7.0</v>
      </c>
      <c r="AM49" s="50">
        <v>1000.0</v>
      </c>
      <c r="AN49" s="50">
        <v>3.0</v>
      </c>
      <c r="AO49" s="50">
        <v>0.0</v>
      </c>
      <c r="AP49" s="50">
        <v>1.0</v>
      </c>
      <c r="AQ49" s="50">
        <v>7.0</v>
      </c>
      <c r="AR49" s="50">
        <v>100.0</v>
      </c>
      <c r="AS49" s="50">
        <v>3.0</v>
      </c>
      <c r="AT49" s="50">
        <v>0.0</v>
      </c>
      <c r="AU49" s="50">
        <v>1.0</v>
      </c>
      <c r="AV49" s="50" t="s">
        <v>11457</v>
      </c>
      <c r="AW49" s="50" t="s">
        <v>11431</v>
      </c>
      <c r="AX49" s="116"/>
      <c r="AY49" s="116"/>
      <c r="AZ49" s="50">
        <v>7.0</v>
      </c>
      <c r="BA49" s="50">
        <v>1000.0</v>
      </c>
      <c r="BB49" s="50">
        <v>3.0</v>
      </c>
      <c r="BC49" s="50">
        <v>0.0</v>
      </c>
      <c r="BD49" s="50">
        <v>7.0</v>
      </c>
      <c r="BE49" s="50">
        <v>100.0</v>
      </c>
      <c r="BF49" s="50">
        <v>3.0</v>
      </c>
      <c r="BG49" s="50">
        <v>0.0</v>
      </c>
      <c r="BH49" s="50">
        <v>0.0</v>
      </c>
      <c r="BI49" s="116"/>
      <c r="BJ49" s="116"/>
      <c r="BK49" s="116"/>
      <c r="BL49" s="116"/>
      <c r="BM49" s="116"/>
      <c r="BN49" s="116"/>
      <c r="BO49" s="50">
        <v>7.0</v>
      </c>
      <c r="BP49" s="50">
        <v>5000.0</v>
      </c>
      <c r="BQ49" s="50">
        <v>3.0</v>
      </c>
      <c r="BR49" s="50">
        <v>0.0</v>
      </c>
      <c r="BS49" s="50">
        <v>7.0</v>
      </c>
      <c r="BT49" s="50">
        <v>1000.0</v>
      </c>
      <c r="BU49" s="50">
        <v>3.0</v>
      </c>
      <c r="BV49" s="50">
        <v>0.0</v>
      </c>
      <c r="BW49" s="50">
        <v>1.0</v>
      </c>
      <c r="BX49" s="50">
        <v>7.0</v>
      </c>
      <c r="BY49" s="50">
        <v>100.0</v>
      </c>
      <c r="BZ49" s="50">
        <v>3.0</v>
      </c>
      <c r="CA49" s="50">
        <v>0.0</v>
      </c>
      <c r="CB49" s="116"/>
      <c r="CC49" s="50" t="s">
        <v>11464</v>
      </c>
      <c r="CD49" s="50" t="s">
        <v>10062</v>
      </c>
      <c r="CE49" s="50">
        <v>0.0</v>
      </c>
      <c r="CF49" s="50" t="s">
        <v>10066</v>
      </c>
      <c r="CG49" s="117">
        <v>3105.0</v>
      </c>
      <c r="CH49" s="50" t="s">
        <v>11467</v>
      </c>
      <c r="CI49" s="50" t="s">
        <v>11469</v>
      </c>
      <c r="CJ49" s="117">
        <v>48.0</v>
      </c>
    </row>
    <row r="50">
      <c r="A50" s="50" t="s">
        <v>11471</v>
      </c>
      <c r="B50" s="50" t="s">
        <v>6876</v>
      </c>
      <c r="C50" s="50" t="s">
        <v>6877</v>
      </c>
      <c r="D50" s="50" t="s">
        <v>6878</v>
      </c>
      <c r="E50" s="50" t="s">
        <v>11472</v>
      </c>
      <c r="F50" s="50">
        <v>58.0</v>
      </c>
      <c r="G50" s="50">
        <v>1.0</v>
      </c>
      <c r="H50" s="50">
        <v>8.0</v>
      </c>
      <c r="I50" s="116"/>
      <c r="J50" s="116"/>
      <c r="K50" s="50" t="s">
        <v>440</v>
      </c>
      <c r="L50" s="50" t="s">
        <v>440</v>
      </c>
      <c r="M50" s="50" t="s">
        <v>11416</v>
      </c>
      <c r="N50" s="50" t="s">
        <v>11418</v>
      </c>
      <c r="O50" s="50" t="s">
        <v>11419</v>
      </c>
      <c r="P50" s="116"/>
      <c r="Q50" s="116"/>
      <c r="R50" s="116"/>
      <c r="S50" s="50">
        <v>7.0</v>
      </c>
      <c r="T50" s="50">
        <v>1000.0</v>
      </c>
      <c r="U50" s="50">
        <v>1.0</v>
      </c>
      <c r="V50" s="116"/>
      <c r="W50" s="50">
        <v>7.0</v>
      </c>
      <c r="X50" s="50">
        <v>100.0</v>
      </c>
      <c r="Y50" s="50">
        <v>3.0</v>
      </c>
      <c r="Z50" s="50">
        <v>26.0</v>
      </c>
      <c r="AA50" s="50">
        <v>0.0</v>
      </c>
      <c r="AB50" s="116"/>
      <c r="AC50" s="116"/>
      <c r="AD50" s="116"/>
      <c r="AE50" s="116"/>
      <c r="AF50" s="116"/>
      <c r="AG50" s="116"/>
      <c r="AH50" s="50">
        <v>7.0</v>
      </c>
      <c r="AI50" s="50">
        <v>5000.0</v>
      </c>
      <c r="AJ50" s="50">
        <v>3.0</v>
      </c>
      <c r="AK50" s="50">
        <v>0.0</v>
      </c>
      <c r="AL50" s="50">
        <v>7.0</v>
      </c>
      <c r="AM50" s="50">
        <v>1000.0</v>
      </c>
      <c r="AN50" s="50">
        <v>3.0</v>
      </c>
      <c r="AO50" s="50">
        <v>0.0</v>
      </c>
      <c r="AP50" s="50">
        <v>1.0</v>
      </c>
      <c r="AQ50" s="50">
        <v>7.0</v>
      </c>
      <c r="AR50" s="50">
        <v>100.0</v>
      </c>
      <c r="AS50" s="50">
        <v>3.0</v>
      </c>
      <c r="AT50" s="50">
        <v>0.0</v>
      </c>
      <c r="AU50" s="50">
        <v>1.0</v>
      </c>
      <c r="AV50" s="50" t="s">
        <v>11487</v>
      </c>
      <c r="AW50" s="50" t="s">
        <v>11431</v>
      </c>
      <c r="AX50" s="116"/>
      <c r="AY50" s="116"/>
      <c r="AZ50" s="50">
        <v>7.0</v>
      </c>
      <c r="BA50" s="50">
        <v>1000.0</v>
      </c>
      <c r="BB50" s="50">
        <v>1.0</v>
      </c>
      <c r="BC50" s="116"/>
      <c r="BD50" s="50">
        <v>7.0</v>
      </c>
      <c r="BE50" s="50">
        <v>100.0</v>
      </c>
      <c r="BF50" s="50">
        <v>3.0</v>
      </c>
      <c r="BG50" s="50">
        <v>69.0</v>
      </c>
      <c r="BH50" s="50">
        <v>0.0</v>
      </c>
      <c r="BI50" s="116"/>
      <c r="BJ50" s="116"/>
      <c r="BK50" s="116"/>
      <c r="BL50" s="116"/>
      <c r="BM50" s="116"/>
      <c r="BN50" s="116"/>
      <c r="BO50" s="50">
        <v>7.0</v>
      </c>
      <c r="BP50" s="50">
        <v>5000.0</v>
      </c>
      <c r="BQ50" s="50">
        <v>3.0</v>
      </c>
      <c r="BR50" s="50">
        <v>0.0</v>
      </c>
      <c r="BS50" s="50">
        <v>7.0</v>
      </c>
      <c r="BT50" s="50">
        <v>1000.0</v>
      </c>
      <c r="BU50" s="50">
        <v>3.0</v>
      </c>
      <c r="BV50" s="50">
        <v>0.0</v>
      </c>
      <c r="BW50" s="50">
        <v>1.0</v>
      </c>
      <c r="BX50" s="50">
        <v>7.0</v>
      </c>
      <c r="BY50" s="50">
        <v>100.0</v>
      </c>
      <c r="BZ50" s="50">
        <v>3.0</v>
      </c>
      <c r="CA50" s="50">
        <v>0.0</v>
      </c>
      <c r="CB50" s="116"/>
      <c r="CC50" s="116"/>
      <c r="CD50" s="50" t="s">
        <v>10062</v>
      </c>
      <c r="CE50" s="50">
        <v>0.0</v>
      </c>
      <c r="CF50" s="50" t="s">
        <v>10066</v>
      </c>
      <c r="CG50" s="117">
        <v>3106.0</v>
      </c>
      <c r="CH50" s="50" t="s">
        <v>11497</v>
      </c>
      <c r="CI50" s="50" t="s">
        <v>11499</v>
      </c>
      <c r="CJ50" s="117">
        <v>49.0</v>
      </c>
    </row>
    <row r="51">
      <c r="A51" s="50" t="s">
        <v>11501</v>
      </c>
      <c r="B51" s="50" t="s">
        <v>6876</v>
      </c>
      <c r="C51" s="50" t="s">
        <v>6877</v>
      </c>
      <c r="D51" s="50" t="s">
        <v>6878</v>
      </c>
      <c r="E51" s="50" t="s">
        <v>11502</v>
      </c>
      <c r="F51" s="50">
        <v>58.0</v>
      </c>
      <c r="G51" s="50">
        <v>1.0</v>
      </c>
      <c r="H51" s="50">
        <v>8.0</v>
      </c>
      <c r="I51" s="116"/>
      <c r="J51" s="116"/>
      <c r="K51" s="50" t="s">
        <v>436</v>
      </c>
      <c r="L51" s="50" t="s">
        <v>436</v>
      </c>
      <c r="M51" s="50" t="s">
        <v>11416</v>
      </c>
      <c r="N51" s="50" t="s">
        <v>11418</v>
      </c>
      <c r="O51" s="50" t="s">
        <v>11419</v>
      </c>
      <c r="P51" s="116"/>
      <c r="Q51" s="116"/>
      <c r="R51" s="116"/>
      <c r="S51" s="50">
        <v>7.0</v>
      </c>
      <c r="T51" s="50">
        <v>1000.0</v>
      </c>
      <c r="U51" s="50">
        <v>1.0</v>
      </c>
      <c r="V51" s="116"/>
      <c r="W51" s="50">
        <v>7.0</v>
      </c>
      <c r="X51" s="50">
        <v>100.0</v>
      </c>
      <c r="Y51" s="50">
        <v>3.0</v>
      </c>
      <c r="Z51" s="50">
        <v>98.0</v>
      </c>
      <c r="AA51" s="50">
        <v>0.0</v>
      </c>
      <c r="AB51" s="116"/>
      <c r="AC51" s="116"/>
      <c r="AD51" s="116"/>
      <c r="AE51" s="116"/>
      <c r="AF51" s="116"/>
      <c r="AG51" s="116"/>
      <c r="AH51" s="50">
        <v>7.0</v>
      </c>
      <c r="AI51" s="50">
        <v>5000.0</v>
      </c>
      <c r="AJ51" s="50">
        <v>1.0</v>
      </c>
      <c r="AK51" s="116"/>
      <c r="AL51" s="50">
        <v>7.0</v>
      </c>
      <c r="AM51" s="50">
        <v>1000.0</v>
      </c>
      <c r="AN51" s="50">
        <v>1.0</v>
      </c>
      <c r="AO51" s="116"/>
      <c r="AP51" s="50">
        <v>1.0</v>
      </c>
      <c r="AQ51" s="50">
        <v>7.0</v>
      </c>
      <c r="AR51" s="50">
        <v>100.0</v>
      </c>
      <c r="AS51" s="50">
        <v>3.0</v>
      </c>
      <c r="AT51" s="50">
        <v>25.0</v>
      </c>
      <c r="AU51" s="50">
        <v>1.0</v>
      </c>
      <c r="AV51" s="50" t="s">
        <v>11487</v>
      </c>
      <c r="AW51" s="50" t="s">
        <v>11431</v>
      </c>
      <c r="AX51" s="116"/>
      <c r="AY51" s="116"/>
      <c r="AZ51" s="50">
        <v>7.0</v>
      </c>
      <c r="BA51" s="50">
        <v>1000.0</v>
      </c>
      <c r="BB51" s="50">
        <v>1.0</v>
      </c>
      <c r="BC51" s="116"/>
      <c r="BD51" s="50">
        <v>7.0</v>
      </c>
      <c r="BE51" s="50">
        <v>100.0</v>
      </c>
      <c r="BF51" s="50">
        <v>3.0</v>
      </c>
      <c r="BG51" s="50">
        <v>165.0</v>
      </c>
      <c r="BH51" s="50">
        <v>0.0</v>
      </c>
      <c r="BI51" s="116"/>
      <c r="BJ51" s="116"/>
      <c r="BK51" s="116"/>
      <c r="BL51" s="116"/>
      <c r="BM51" s="116"/>
      <c r="BN51" s="116"/>
      <c r="BO51" s="50">
        <v>7.0</v>
      </c>
      <c r="BP51" s="50">
        <v>5000.0</v>
      </c>
      <c r="BQ51" s="50">
        <v>1.0</v>
      </c>
      <c r="BR51" s="116"/>
      <c r="BS51" s="50">
        <v>7.0</v>
      </c>
      <c r="BT51" s="50">
        <v>1000.0</v>
      </c>
      <c r="BU51" s="50">
        <v>1.0</v>
      </c>
      <c r="BV51" s="116"/>
      <c r="BW51" s="50">
        <v>1.0</v>
      </c>
      <c r="BX51" s="50">
        <v>7.0</v>
      </c>
      <c r="BY51" s="50">
        <v>100.0</v>
      </c>
      <c r="BZ51" s="50">
        <v>3.0</v>
      </c>
      <c r="CA51" s="50">
        <v>113.0</v>
      </c>
      <c r="CB51" s="116"/>
      <c r="CC51" s="50" t="s">
        <v>11526</v>
      </c>
      <c r="CD51" s="50" t="s">
        <v>10062</v>
      </c>
      <c r="CE51" s="50">
        <v>0.0</v>
      </c>
      <c r="CF51" s="50" t="s">
        <v>10066</v>
      </c>
      <c r="CG51" s="117">
        <v>3107.0</v>
      </c>
      <c r="CH51" s="50" t="s">
        <v>11527</v>
      </c>
      <c r="CI51" s="50" t="s">
        <v>11528</v>
      </c>
      <c r="CJ51" s="117">
        <v>50.0</v>
      </c>
    </row>
    <row r="52">
      <c r="A52" s="50" t="s">
        <v>11529</v>
      </c>
      <c r="B52" s="50" t="s">
        <v>6876</v>
      </c>
      <c r="C52" s="50" t="s">
        <v>6877</v>
      </c>
      <c r="D52" s="50" t="s">
        <v>6878</v>
      </c>
      <c r="E52" s="50" t="s">
        <v>11532</v>
      </c>
      <c r="F52" s="50">
        <v>58.0</v>
      </c>
      <c r="G52" s="50">
        <v>1.0</v>
      </c>
      <c r="H52" s="50">
        <v>10.0</v>
      </c>
      <c r="I52" s="116"/>
      <c r="J52" s="116"/>
      <c r="K52" s="50" t="s">
        <v>325</v>
      </c>
      <c r="L52" s="50" t="s">
        <v>325</v>
      </c>
      <c r="M52" s="50" t="s">
        <v>7304</v>
      </c>
      <c r="N52" s="50" t="s">
        <v>10380</v>
      </c>
      <c r="O52" s="50" t="s">
        <v>10381</v>
      </c>
      <c r="P52" s="116"/>
      <c r="Q52" s="116"/>
      <c r="R52" s="116"/>
      <c r="S52" s="50">
        <v>7.0</v>
      </c>
      <c r="T52" s="50">
        <v>1000.0</v>
      </c>
      <c r="U52" s="50">
        <v>3.0</v>
      </c>
      <c r="V52" s="50">
        <v>2.0</v>
      </c>
      <c r="W52" s="50">
        <v>7.0</v>
      </c>
      <c r="X52" s="50">
        <v>100.0</v>
      </c>
      <c r="Y52" s="50">
        <v>3.0</v>
      </c>
      <c r="Z52" s="50">
        <v>0.0</v>
      </c>
      <c r="AA52" s="50">
        <v>0.0</v>
      </c>
      <c r="AB52" s="116"/>
      <c r="AC52" s="116"/>
      <c r="AD52" s="116"/>
      <c r="AE52" s="116"/>
      <c r="AF52" s="116"/>
      <c r="AG52" s="116"/>
      <c r="AH52" s="50">
        <v>7.0</v>
      </c>
      <c r="AI52" s="50">
        <v>5000.0</v>
      </c>
      <c r="AJ52" s="50">
        <v>3.0</v>
      </c>
      <c r="AK52" s="50">
        <v>0.0</v>
      </c>
      <c r="AL52" s="50">
        <v>7.0</v>
      </c>
      <c r="AM52" s="50">
        <v>1000.0</v>
      </c>
      <c r="AN52" s="50">
        <v>3.0</v>
      </c>
      <c r="AO52" s="50">
        <v>0.0</v>
      </c>
      <c r="AP52" s="50">
        <v>1.0</v>
      </c>
      <c r="AQ52" s="50">
        <v>7.0</v>
      </c>
      <c r="AR52" s="50">
        <v>100.0</v>
      </c>
      <c r="AS52" s="50">
        <v>3.0</v>
      </c>
      <c r="AT52" s="50">
        <v>0.0</v>
      </c>
      <c r="AU52" s="50">
        <v>1.0</v>
      </c>
      <c r="AV52" s="50" t="s">
        <v>7093</v>
      </c>
      <c r="AW52" s="50" t="s">
        <v>10664</v>
      </c>
      <c r="AX52" s="116"/>
      <c r="AY52" s="116"/>
      <c r="AZ52" s="50">
        <v>7.0</v>
      </c>
      <c r="BA52" s="50">
        <v>1000.0</v>
      </c>
      <c r="BB52" s="50">
        <v>1.0</v>
      </c>
      <c r="BC52" s="116"/>
      <c r="BD52" s="50">
        <v>7.0</v>
      </c>
      <c r="BE52" s="50">
        <v>100.0</v>
      </c>
      <c r="BF52" s="50">
        <v>3.0</v>
      </c>
      <c r="BG52" s="50">
        <v>166.0</v>
      </c>
      <c r="BH52" s="50">
        <v>0.0</v>
      </c>
      <c r="BI52" s="116"/>
      <c r="BJ52" s="116"/>
      <c r="BK52" s="116"/>
      <c r="BL52" s="116"/>
      <c r="BM52" s="116"/>
      <c r="BN52" s="116"/>
      <c r="BO52" s="50">
        <v>7.0</v>
      </c>
      <c r="BP52" s="50">
        <v>5000.0</v>
      </c>
      <c r="BQ52" s="50">
        <v>3.0</v>
      </c>
      <c r="BR52" s="50">
        <v>0.0</v>
      </c>
      <c r="BS52" s="50">
        <v>7.0</v>
      </c>
      <c r="BT52" s="50">
        <v>1000.0</v>
      </c>
      <c r="BU52" s="50">
        <v>3.0</v>
      </c>
      <c r="BV52" s="50">
        <v>0.0</v>
      </c>
      <c r="BW52" s="50">
        <v>1.0</v>
      </c>
      <c r="BX52" s="50">
        <v>7.0</v>
      </c>
      <c r="BY52" s="50">
        <v>100.0</v>
      </c>
      <c r="BZ52" s="50">
        <v>3.0</v>
      </c>
      <c r="CA52" s="50">
        <v>0.0</v>
      </c>
      <c r="CB52" s="116"/>
      <c r="CC52" s="50" t="s">
        <v>11555</v>
      </c>
      <c r="CD52" s="50" t="s">
        <v>10362</v>
      </c>
      <c r="CE52" s="50">
        <v>0.0</v>
      </c>
      <c r="CF52" s="50" t="s">
        <v>10066</v>
      </c>
      <c r="CG52" s="117">
        <v>3108.0</v>
      </c>
      <c r="CH52" s="50" t="s">
        <v>11556</v>
      </c>
      <c r="CI52" s="50" t="s">
        <v>11557</v>
      </c>
      <c r="CJ52" s="117">
        <v>51.0</v>
      </c>
    </row>
    <row r="53">
      <c r="A53" s="50" t="s">
        <v>11560</v>
      </c>
      <c r="B53" s="50" t="s">
        <v>6876</v>
      </c>
      <c r="C53" s="50" t="s">
        <v>6877</v>
      </c>
      <c r="D53" s="50" t="s">
        <v>6907</v>
      </c>
      <c r="E53" s="50" t="s">
        <v>11564</v>
      </c>
      <c r="F53" s="50">
        <v>58.0</v>
      </c>
      <c r="G53" s="50">
        <v>1.0</v>
      </c>
      <c r="H53" s="50">
        <v>10.0</v>
      </c>
      <c r="I53" s="116"/>
      <c r="J53" s="116"/>
      <c r="K53" s="50" t="s">
        <v>325</v>
      </c>
      <c r="L53" s="50" t="s">
        <v>325</v>
      </c>
      <c r="M53" s="50" t="s">
        <v>11567</v>
      </c>
      <c r="N53" s="50" t="s">
        <v>11568</v>
      </c>
      <c r="O53" s="50" t="s">
        <v>11570</v>
      </c>
      <c r="P53" s="116"/>
      <c r="Q53" s="116"/>
      <c r="R53" s="116"/>
      <c r="S53" s="50">
        <v>7.0</v>
      </c>
      <c r="T53" s="50">
        <v>1000.0</v>
      </c>
      <c r="U53" s="50">
        <v>3.0</v>
      </c>
      <c r="V53" s="50">
        <v>2.0</v>
      </c>
      <c r="W53" s="50">
        <v>7.0</v>
      </c>
      <c r="X53" s="50">
        <v>100.0</v>
      </c>
      <c r="Y53" s="50">
        <v>3.0</v>
      </c>
      <c r="Z53" s="50">
        <v>0.0</v>
      </c>
      <c r="AA53" s="50">
        <v>0.0</v>
      </c>
      <c r="AB53" s="116"/>
      <c r="AC53" s="116"/>
      <c r="AD53" s="116"/>
      <c r="AE53" s="116"/>
      <c r="AF53" s="116"/>
      <c r="AG53" s="116"/>
      <c r="AH53" s="50">
        <v>7.0</v>
      </c>
      <c r="AI53" s="50">
        <v>5000.0</v>
      </c>
      <c r="AJ53" s="50">
        <v>3.0</v>
      </c>
      <c r="AK53" s="50">
        <v>0.0</v>
      </c>
      <c r="AL53" s="50">
        <v>7.0</v>
      </c>
      <c r="AM53" s="50">
        <v>1000.0</v>
      </c>
      <c r="AN53" s="50">
        <v>3.0</v>
      </c>
      <c r="AO53" s="50">
        <v>0.0</v>
      </c>
      <c r="AP53" s="50">
        <v>1.0</v>
      </c>
      <c r="AQ53" s="50">
        <v>7.0</v>
      </c>
      <c r="AR53" s="50">
        <v>100.0</v>
      </c>
      <c r="AS53" s="50">
        <v>3.0</v>
      </c>
      <c r="AT53" s="50">
        <v>0.0</v>
      </c>
      <c r="AU53" s="50">
        <v>1.0</v>
      </c>
      <c r="AV53" s="50" t="s">
        <v>11577</v>
      </c>
      <c r="AW53" s="50" t="s">
        <v>11578</v>
      </c>
      <c r="AX53" s="116"/>
      <c r="AY53" s="116"/>
      <c r="AZ53" s="50">
        <v>7.0</v>
      </c>
      <c r="BA53" s="50">
        <v>1000.0</v>
      </c>
      <c r="BB53" s="50">
        <v>1.0</v>
      </c>
      <c r="BC53" s="116"/>
      <c r="BD53" s="50">
        <v>7.0</v>
      </c>
      <c r="BE53" s="50">
        <v>100.0</v>
      </c>
      <c r="BF53" s="50">
        <v>3.0</v>
      </c>
      <c r="BG53" s="50">
        <v>166.0</v>
      </c>
      <c r="BH53" s="50">
        <v>0.0</v>
      </c>
      <c r="BI53" s="116"/>
      <c r="BJ53" s="116"/>
      <c r="BK53" s="116"/>
      <c r="BL53" s="116"/>
      <c r="BM53" s="116"/>
      <c r="BN53" s="116"/>
      <c r="BO53" s="50">
        <v>7.0</v>
      </c>
      <c r="BP53" s="50">
        <v>5000.0</v>
      </c>
      <c r="BQ53" s="50">
        <v>3.0</v>
      </c>
      <c r="BR53" s="50">
        <v>0.0</v>
      </c>
      <c r="BS53" s="50">
        <v>7.0</v>
      </c>
      <c r="BT53" s="50">
        <v>1000.0</v>
      </c>
      <c r="BU53" s="50">
        <v>3.0</v>
      </c>
      <c r="BV53" s="50">
        <v>0.0</v>
      </c>
      <c r="BW53" s="50">
        <v>1.0</v>
      </c>
      <c r="BX53" s="50">
        <v>7.0</v>
      </c>
      <c r="BY53" s="50">
        <v>100.0</v>
      </c>
      <c r="BZ53" s="50">
        <v>3.0</v>
      </c>
      <c r="CA53" s="50">
        <v>0.0</v>
      </c>
      <c r="CB53" s="116"/>
      <c r="CC53" s="50" t="s">
        <v>11588</v>
      </c>
      <c r="CD53" s="50" t="s">
        <v>10362</v>
      </c>
      <c r="CE53" s="50">
        <v>0.0</v>
      </c>
      <c r="CF53" s="50" t="s">
        <v>10066</v>
      </c>
      <c r="CG53" s="117">
        <v>3113.0</v>
      </c>
      <c r="CH53" s="50" t="s">
        <v>11590</v>
      </c>
      <c r="CI53" s="50" t="s">
        <v>11591</v>
      </c>
      <c r="CJ53" s="117">
        <v>52.0</v>
      </c>
    </row>
    <row r="54">
      <c r="A54" s="50" t="s">
        <v>11564</v>
      </c>
      <c r="B54" s="50" t="s">
        <v>6876</v>
      </c>
      <c r="C54" s="50" t="s">
        <v>6877</v>
      </c>
      <c r="D54" s="50" t="s">
        <v>6907</v>
      </c>
      <c r="E54" s="50" t="s">
        <v>11594</v>
      </c>
      <c r="F54" s="50">
        <v>58.0</v>
      </c>
      <c r="G54" s="50">
        <v>1.0</v>
      </c>
      <c r="H54" s="50">
        <v>10.0</v>
      </c>
      <c r="I54" s="116"/>
      <c r="J54" s="116"/>
      <c r="K54" s="50" t="s">
        <v>392</v>
      </c>
      <c r="L54" s="50" t="s">
        <v>392</v>
      </c>
      <c r="M54" s="50" t="s">
        <v>11567</v>
      </c>
      <c r="N54" s="50" t="s">
        <v>11568</v>
      </c>
      <c r="O54" s="50" t="s">
        <v>11570</v>
      </c>
      <c r="P54" s="116"/>
      <c r="Q54" s="116"/>
      <c r="R54" s="116"/>
      <c r="S54" s="50">
        <v>7.0</v>
      </c>
      <c r="T54" s="50">
        <v>1000.0</v>
      </c>
      <c r="U54" s="50">
        <v>3.0</v>
      </c>
      <c r="V54" s="50">
        <v>0.0</v>
      </c>
      <c r="W54" s="50">
        <v>7.0</v>
      </c>
      <c r="X54" s="50">
        <v>100.0</v>
      </c>
      <c r="Y54" s="50">
        <v>3.0</v>
      </c>
      <c r="Z54" s="50">
        <v>0.0</v>
      </c>
      <c r="AA54" s="50">
        <v>0.0</v>
      </c>
      <c r="AB54" s="116"/>
      <c r="AC54" s="116"/>
      <c r="AD54" s="116"/>
      <c r="AE54" s="116"/>
      <c r="AF54" s="116"/>
      <c r="AG54" s="116"/>
      <c r="AH54" s="50">
        <v>7.0</v>
      </c>
      <c r="AI54" s="50">
        <v>5000.0</v>
      </c>
      <c r="AJ54" s="50">
        <v>3.0</v>
      </c>
      <c r="AK54" s="50">
        <v>0.0</v>
      </c>
      <c r="AL54" s="50">
        <v>7.0</v>
      </c>
      <c r="AM54" s="50">
        <v>1000.0</v>
      </c>
      <c r="AN54" s="50">
        <v>3.0</v>
      </c>
      <c r="AO54" s="50">
        <v>0.0</v>
      </c>
      <c r="AP54" s="50">
        <v>1.0</v>
      </c>
      <c r="AQ54" s="50">
        <v>7.0</v>
      </c>
      <c r="AR54" s="50">
        <v>100.0</v>
      </c>
      <c r="AS54" s="50">
        <v>3.0</v>
      </c>
      <c r="AT54" s="50">
        <v>0.0</v>
      </c>
      <c r="AU54" s="50">
        <v>1.0</v>
      </c>
      <c r="AV54" s="50" t="s">
        <v>11577</v>
      </c>
      <c r="AW54" s="50" t="s">
        <v>11578</v>
      </c>
      <c r="AX54" s="116"/>
      <c r="AY54" s="116"/>
      <c r="AZ54" s="50">
        <v>7.0</v>
      </c>
      <c r="BA54" s="50">
        <v>1000.0</v>
      </c>
      <c r="BB54" s="50">
        <v>3.0</v>
      </c>
      <c r="BC54" s="50">
        <v>0.0</v>
      </c>
      <c r="BD54" s="50">
        <v>7.0</v>
      </c>
      <c r="BE54" s="50">
        <v>100.0</v>
      </c>
      <c r="BF54" s="50">
        <v>3.0</v>
      </c>
      <c r="BG54" s="50">
        <v>0.0</v>
      </c>
      <c r="BH54" s="50">
        <v>0.0</v>
      </c>
      <c r="BI54" s="116"/>
      <c r="BJ54" s="116"/>
      <c r="BK54" s="116"/>
      <c r="BL54" s="116"/>
      <c r="BM54" s="116"/>
      <c r="BN54" s="116"/>
      <c r="BO54" s="50">
        <v>7.0</v>
      </c>
      <c r="BP54" s="50">
        <v>5000.0</v>
      </c>
      <c r="BQ54" s="50">
        <v>3.0</v>
      </c>
      <c r="BR54" s="50">
        <v>0.0</v>
      </c>
      <c r="BS54" s="50">
        <v>7.0</v>
      </c>
      <c r="BT54" s="50">
        <v>1000.0</v>
      </c>
      <c r="BU54" s="50">
        <v>3.0</v>
      </c>
      <c r="BV54" s="50">
        <v>0.0</v>
      </c>
      <c r="BW54" s="50">
        <v>1.0</v>
      </c>
      <c r="BX54" s="50">
        <v>7.0</v>
      </c>
      <c r="BY54" s="50">
        <v>100.0</v>
      </c>
      <c r="BZ54" s="50">
        <v>3.0</v>
      </c>
      <c r="CA54" s="50">
        <v>0.0</v>
      </c>
      <c r="CB54" s="116"/>
      <c r="CC54" s="50" t="s">
        <v>11615</v>
      </c>
      <c r="CD54" s="50" t="s">
        <v>10362</v>
      </c>
      <c r="CE54" s="50">
        <v>0.0</v>
      </c>
      <c r="CF54" s="50" t="s">
        <v>10066</v>
      </c>
      <c r="CG54" s="117">
        <v>3114.0</v>
      </c>
      <c r="CH54" s="50" t="s">
        <v>11616</v>
      </c>
      <c r="CI54" s="50" t="s">
        <v>11617</v>
      </c>
      <c r="CJ54" s="117">
        <v>53.0</v>
      </c>
    </row>
    <row r="55">
      <c r="A55" s="50" t="s">
        <v>11618</v>
      </c>
      <c r="B55" s="50" t="s">
        <v>6876</v>
      </c>
      <c r="C55" s="50" t="s">
        <v>6877</v>
      </c>
      <c r="D55" s="50" t="s">
        <v>6907</v>
      </c>
      <c r="E55" s="50" t="s">
        <v>11620</v>
      </c>
      <c r="F55" s="50">
        <v>58.0</v>
      </c>
      <c r="G55" s="50">
        <v>1.0</v>
      </c>
      <c r="H55" s="50">
        <v>5.0</v>
      </c>
      <c r="I55" s="116"/>
      <c r="J55" s="116"/>
      <c r="K55" s="50" t="s">
        <v>450</v>
      </c>
      <c r="L55" s="50" t="s">
        <v>450</v>
      </c>
      <c r="M55" s="50" t="s">
        <v>11624</v>
      </c>
      <c r="N55" s="50" t="s">
        <v>11626</v>
      </c>
      <c r="O55" s="50" t="s">
        <v>11627</v>
      </c>
      <c r="P55" s="116"/>
      <c r="Q55" s="116"/>
      <c r="R55" s="116"/>
      <c r="S55" s="50">
        <v>7.0</v>
      </c>
      <c r="T55" s="50">
        <v>1000.0</v>
      </c>
      <c r="U55" s="50">
        <v>1.0</v>
      </c>
      <c r="V55" s="116"/>
      <c r="W55" s="50">
        <v>7.0</v>
      </c>
      <c r="X55" s="50">
        <v>100.0</v>
      </c>
      <c r="Y55" s="50">
        <v>3.0</v>
      </c>
      <c r="Z55" s="50">
        <v>169.0</v>
      </c>
      <c r="AA55" s="50">
        <v>0.0</v>
      </c>
      <c r="AB55" s="116"/>
      <c r="AC55" s="116"/>
      <c r="AD55" s="116"/>
      <c r="AE55" s="116"/>
      <c r="AF55" s="116"/>
      <c r="AG55" s="116"/>
      <c r="AH55" s="50">
        <v>7.0</v>
      </c>
      <c r="AI55" s="50">
        <v>5000.0</v>
      </c>
      <c r="AJ55" s="50">
        <v>3.0</v>
      </c>
      <c r="AK55" s="50">
        <v>0.0</v>
      </c>
      <c r="AL55" s="50">
        <v>7.0</v>
      </c>
      <c r="AM55" s="50">
        <v>1000.0</v>
      </c>
      <c r="AN55" s="50">
        <v>3.0</v>
      </c>
      <c r="AO55" s="50">
        <v>0.0</v>
      </c>
      <c r="AP55" s="50">
        <v>1.0</v>
      </c>
      <c r="AQ55" s="50">
        <v>7.0</v>
      </c>
      <c r="AR55" s="50">
        <v>100.0</v>
      </c>
      <c r="AS55" s="50">
        <v>3.0</v>
      </c>
      <c r="AT55" s="50">
        <v>0.0</v>
      </c>
      <c r="AU55" s="50">
        <v>1.0</v>
      </c>
      <c r="AV55" s="50" t="s">
        <v>11638</v>
      </c>
      <c r="AW55" s="50" t="s">
        <v>11640</v>
      </c>
      <c r="AX55" s="116"/>
      <c r="AY55" s="116"/>
      <c r="AZ55" s="50">
        <v>7.0</v>
      </c>
      <c r="BA55" s="50">
        <v>1000.0</v>
      </c>
      <c r="BB55" s="50">
        <v>1.0</v>
      </c>
      <c r="BC55" s="116"/>
      <c r="BD55" s="50">
        <v>7.0</v>
      </c>
      <c r="BE55" s="50">
        <v>100.0</v>
      </c>
      <c r="BF55" s="50">
        <v>3.0</v>
      </c>
      <c r="BG55" s="50">
        <v>210.0</v>
      </c>
      <c r="BH55" s="50">
        <v>0.0</v>
      </c>
      <c r="BI55" s="116"/>
      <c r="BJ55" s="116"/>
      <c r="BK55" s="116"/>
      <c r="BL55" s="116"/>
      <c r="BM55" s="116"/>
      <c r="BN55" s="116"/>
      <c r="BO55" s="50">
        <v>7.0</v>
      </c>
      <c r="BP55" s="50">
        <v>5000.0</v>
      </c>
      <c r="BQ55" s="50">
        <v>3.0</v>
      </c>
      <c r="BR55" s="50">
        <v>0.0</v>
      </c>
      <c r="BS55" s="50">
        <v>7.0</v>
      </c>
      <c r="BT55" s="50">
        <v>1000.0</v>
      </c>
      <c r="BU55" s="50">
        <v>3.0</v>
      </c>
      <c r="BV55" s="50">
        <v>0.0</v>
      </c>
      <c r="BW55" s="50">
        <v>1.0</v>
      </c>
      <c r="BX55" s="50">
        <v>7.0</v>
      </c>
      <c r="BY55" s="50">
        <v>100.0</v>
      </c>
      <c r="BZ55" s="50">
        <v>3.0</v>
      </c>
      <c r="CA55" s="50">
        <v>0.0</v>
      </c>
      <c r="CB55" s="116"/>
      <c r="CC55" s="116"/>
      <c r="CD55" s="50" t="s">
        <v>10362</v>
      </c>
      <c r="CE55" s="50">
        <v>0.0</v>
      </c>
      <c r="CF55" s="50" t="s">
        <v>10066</v>
      </c>
      <c r="CG55" s="117">
        <v>3115.0</v>
      </c>
      <c r="CH55" s="50" t="s">
        <v>11651</v>
      </c>
      <c r="CI55" s="50" t="s">
        <v>11652</v>
      </c>
      <c r="CJ55" s="117">
        <v>54.0</v>
      </c>
    </row>
    <row r="56">
      <c r="A56" s="50" t="s">
        <v>11653</v>
      </c>
      <c r="B56" s="50" t="s">
        <v>6876</v>
      </c>
      <c r="C56" s="50" t="s">
        <v>6877</v>
      </c>
      <c r="D56" s="50" t="s">
        <v>6907</v>
      </c>
      <c r="E56" s="50" t="s">
        <v>11654</v>
      </c>
      <c r="F56" s="50">
        <v>58.0</v>
      </c>
      <c r="G56" s="50">
        <v>1.0</v>
      </c>
      <c r="H56" s="50">
        <v>9.0</v>
      </c>
      <c r="I56" s="116"/>
      <c r="J56" s="116"/>
      <c r="K56" s="50" t="s">
        <v>445</v>
      </c>
      <c r="L56" s="50" t="s">
        <v>445</v>
      </c>
      <c r="M56" s="50" t="s">
        <v>11624</v>
      </c>
      <c r="N56" s="50" t="s">
        <v>11626</v>
      </c>
      <c r="O56" s="50" t="s">
        <v>11627</v>
      </c>
      <c r="P56" s="116"/>
      <c r="Q56" s="116"/>
      <c r="R56" s="116"/>
      <c r="S56" s="50">
        <v>7.0</v>
      </c>
      <c r="T56" s="50">
        <v>1000.0</v>
      </c>
      <c r="U56" s="50">
        <v>3.0</v>
      </c>
      <c r="V56" s="50">
        <v>0.0</v>
      </c>
      <c r="W56" s="50">
        <v>7.0</v>
      </c>
      <c r="X56" s="50">
        <v>100.0</v>
      </c>
      <c r="Y56" s="50">
        <v>3.0</v>
      </c>
      <c r="Z56" s="50">
        <v>0.0</v>
      </c>
      <c r="AA56" s="50">
        <v>0.0</v>
      </c>
      <c r="AB56" s="116"/>
      <c r="AC56" s="116"/>
      <c r="AD56" s="116"/>
      <c r="AE56" s="116"/>
      <c r="AF56" s="116"/>
      <c r="AG56" s="116"/>
      <c r="AH56" s="50">
        <v>7.0</v>
      </c>
      <c r="AI56" s="50">
        <v>5000.0</v>
      </c>
      <c r="AJ56" s="50">
        <v>3.0</v>
      </c>
      <c r="AK56" s="50">
        <v>0.0</v>
      </c>
      <c r="AL56" s="50">
        <v>7.0</v>
      </c>
      <c r="AM56" s="50">
        <v>1000.0</v>
      </c>
      <c r="AN56" s="50">
        <v>3.0</v>
      </c>
      <c r="AO56" s="50">
        <v>0.0</v>
      </c>
      <c r="AP56" s="50">
        <v>1.0</v>
      </c>
      <c r="AQ56" s="50">
        <v>7.0</v>
      </c>
      <c r="AR56" s="50">
        <v>100.0</v>
      </c>
      <c r="AS56" s="50">
        <v>3.0</v>
      </c>
      <c r="AT56" s="50">
        <v>0.0</v>
      </c>
      <c r="AU56" s="50">
        <v>1.0</v>
      </c>
      <c r="AV56" s="50" t="s">
        <v>11638</v>
      </c>
      <c r="AW56" s="50" t="s">
        <v>11640</v>
      </c>
      <c r="AX56" s="116"/>
      <c r="AY56" s="116"/>
      <c r="AZ56" s="50">
        <v>7.0</v>
      </c>
      <c r="BA56" s="50">
        <v>1000.0</v>
      </c>
      <c r="BB56" s="50">
        <v>3.0</v>
      </c>
      <c r="BC56" s="50">
        <v>0.0</v>
      </c>
      <c r="BD56" s="50">
        <v>7.0</v>
      </c>
      <c r="BE56" s="50">
        <v>100.0</v>
      </c>
      <c r="BF56" s="50">
        <v>3.0</v>
      </c>
      <c r="BG56" s="50">
        <v>0.0</v>
      </c>
      <c r="BH56" s="50">
        <v>0.0</v>
      </c>
      <c r="BI56" s="116"/>
      <c r="BJ56" s="116"/>
      <c r="BK56" s="116"/>
      <c r="BL56" s="116"/>
      <c r="BM56" s="116"/>
      <c r="BN56" s="116"/>
      <c r="BO56" s="50">
        <v>7.0</v>
      </c>
      <c r="BP56" s="50">
        <v>5000.0</v>
      </c>
      <c r="BQ56" s="50">
        <v>3.0</v>
      </c>
      <c r="BR56" s="50">
        <v>0.0</v>
      </c>
      <c r="BS56" s="50">
        <v>7.0</v>
      </c>
      <c r="BT56" s="50">
        <v>1000.0</v>
      </c>
      <c r="BU56" s="50">
        <v>3.0</v>
      </c>
      <c r="BV56" s="50">
        <v>0.0</v>
      </c>
      <c r="BW56" s="50">
        <v>1.0</v>
      </c>
      <c r="BX56" s="50">
        <v>7.0</v>
      </c>
      <c r="BY56" s="50">
        <v>100.0</v>
      </c>
      <c r="BZ56" s="50">
        <v>3.0</v>
      </c>
      <c r="CA56" s="50">
        <v>0.0</v>
      </c>
      <c r="CB56" s="116"/>
      <c r="CC56" s="116"/>
      <c r="CD56" s="50" t="s">
        <v>10362</v>
      </c>
      <c r="CE56" s="50">
        <v>0.0</v>
      </c>
      <c r="CF56" s="50" t="s">
        <v>10066</v>
      </c>
      <c r="CG56" s="117">
        <v>3116.0</v>
      </c>
      <c r="CH56" s="50" t="s">
        <v>11679</v>
      </c>
      <c r="CI56" s="50" t="s">
        <v>11680</v>
      </c>
      <c r="CJ56" s="117">
        <v>55.0</v>
      </c>
    </row>
    <row r="57">
      <c r="A57" s="50" t="s">
        <v>11654</v>
      </c>
      <c r="B57" s="50" t="s">
        <v>6876</v>
      </c>
      <c r="C57" s="50" t="s">
        <v>6877</v>
      </c>
      <c r="D57" s="50" t="s">
        <v>6907</v>
      </c>
      <c r="E57" s="50" t="s">
        <v>11682</v>
      </c>
      <c r="F57" s="50">
        <v>58.0</v>
      </c>
      <c r="G57" s="50">
        <v>1.0</v>
      </c>
      <c r="H57" s="50">
        <v>3.0</v>
      </c>
      <c r="I57" s="116"/>
      <c r="J57" s="116"/>
      <c r="K57" s="50" t="s">
        <v>446</v>
      </c>
      <c r="L57" s="50" t="s">
        <v>446</v>
      </c>
      <c r="M57" s="50" t="s">
        <v>11624</v>
      </c>
      <c r="N57" s="50" t="s">
        <v>11626</v>
      </c>
      <c r="O57" s="50" t="s">
        <v>11627</v>
      </c>
      <c r="P57" s="116"/>
      <c r="Q57" s="116"/>
      <c r="R57" s="116"/>
      <c r="S57" s="50">
        <v>7.0</v>
      </c>
      <c r="T57" s="50">
        <v>1000.0</v>
      </c>
      <c r="U57" s="50">
        <v>3.0</v>
      </c>
      <c r="V57" s="50">
        <v>0.0</v>
      </c>
      <c r="W57" s="50">
        <v>7.0</v>
      </c>
      <c r="X57" s="50">
        <v>100.0</v>
      </c>
      <c r="Y57" s="50">
        <v>3.0</v>
      </c>
      <c r="Z57" s="50">
        <v>0.0</v>
      </c>
      <c r="AA57" s="50">
        <v>0.0</v>
      </c>
      <c r="AB57" s="116"/>
      <c r="AC57" s="116"/>
      <c r="AD57" s="116"/>
      <c r="AE57" s="116"/>
      <c r="AF57" s="116"/>
      <c r="AG57" s="116"/>
      <c r="AH57" s="50">
        <v>7.0</v>
      </c>
      <c r="AI57" s="50">
        <v>5000.0</v>
      </c>
      <c r="AJ57" s="50">
        <v>3.0</v>
      </c>
      <c r="AK57" s="50">
        <v>0.0</v>
      </c>
      <c r="AL57" s="50">
        <v>7.0</v>
      </c>
      <c r="AM57" s="50">
        <v>1000.0</v>
      </c>
      <c r="AN57" s="50">
        <v>3.0</v>
      </c>
      <c r="AO57" s="50">
        <v>0.0</v>
      </c>
      <c r="AP57" s="50">
        <v>1.0</v>
      </c>
      <c r="AQ57" s="50">
        <v>7.0</v>
      </c>
      <c r="AR57" s="50">
        <v>100.0</v>
      </c>
      <c r="AS57" s="50">
        <v>3.0</v>
      </c>
      <c r="AT57" s="50">
        <v>0.0</v>
      </c>
      <c r="AU57" s="50">
        <v>1.0</v>
      </c>
      <c r="AV57" s="50" t="s">
        <v>11638</v>
      </c>
      <c r="AW57" s="50" t="s">
        <v>11640</v>
      </c>
      <c r="AX57" s="116"/>
      <c r="AY57" s="116"/>
      <c r="AZ57" s="50">
        <v>7.0</v>
      </c>
      <c r="BA57" s="50">
        <v>1000.0</v>
      </c>
      <c r="BB57" s="50">
        <v>3.0</v>
      </c>
      <c r="BC57" s="50">
        <v>0.0</v>
      </c>
      <c r="BD57" s="50">
        <v>7.0</v>
      </c>
      <c r="BE57" s="50">
        <v>100.0</v>
      </c>
      <c r="BF57" s="50">
        <v>3.0</v>
      </c>
      <c r="BG57" s="50">
        <v>0.0</v>
      </c>
      <c r="BH57" s="50">
        <v>0.0</v>
      </c>
      <c r="BI57" s="116"/>
      <c r="BJ57" s="116"/>
      <c r="BK57" s="116"/>
      <c r="BL57" s="116"/>
      <c r="BM57" s="116"/>
      <c r="BN57" s="116"/>
      <c r="BO57" s="50">
        <v>7.0</v>
      </c>
      <c r="BP57" s="50">
        <v>5000.0</v>
      </c>
      <c r="BQ57" s="50">
        <v>3.0</v>
      </c>
      <c r="BR57" s="50">
        <v>0.0</v>
      </c>
      <c r="BS57" s="50">
        <v>7.0</v>
      </c>
      <c r="BT57" s="50">
        <v>1000.0</v>
      </c>
      <c r="BU57" s="50">
        <v>3.0</v>
      </c>
      <c r="BV57" s="50">
        <v>0.0</v>
      </c>
      <c r="BW57" s="50">
        <v>1.0</v>
      </c>
      <c r="BX57" s="50">
        <v>7.0</v>
      </c>
      <c r="BY57" s="50">
        <v>100.0</v>
      </c>
      <c r="BZ57" s="50">
        <v>3.0</v>
      </c>
      <c r="CA57" s="50">
        <v>0.0</v>
      </c>
      <c r="CB57" s="116"/>
      <c r="CC57" s="116"/>
      <c r="CD57" s="50" t="s">
        <v>10362</v>
      </c>
      <c r="CE57" s="50">
        <v>0.0</v>
      </c>
      <c r="CF57" s="50" t="s">
        <v>10066</v>
      </c>
      <c r="CG57" s="117">
        <v>3117.0</v>
      </c>
      <c r="CH57" s="50" t="s">
        <v>11706</v>
      </c>
      <c r="CI57" s="50" t="s">
        <v>11707</v>
      </c>
      <c r="CJ57" s="117">
        <v>56.0</v>
      </c>
    </row>
    <row r="58">
      <c r="A58" s="50" t="s">
        <v>11682</v>
      </c>
      <c r="B58" s="50" t="s">
        <v>6876</v>
      </c>
      <c r="C58" s="50" t="s">
        <v>6877</v>
      </c>
      <c r="D58" s="50" t="s">
        <v>6907</v>
      </c>
      <c r="E58" s="50" t="s">
        <v>11708</v>
      </c>
      <c r="F58" s="50">
        <v>58.0</v>
      </c>
      <c r="G58" s="50">
        <v>1.0</v>
      </c>
      <c r="H58" s="50">
        <v>10.0</v>
      </c>
      <c r="I58" s="116"/>
      <c r="J58" s="116"/>
      <c r="K58" s="50" t="s">
        <v>448</v>
      </c>
      <c r="L58" s="50" t="s">
        <v>448</v>
      </c>
      <c r="M58" s="50" t="s">
        <v>11624</v>
      </c>
      <c r="N58" s="50" t="s">
        <v>11626</v>
      </c>
      <c r="O58" s="50" t="s">
        <v>11627</v>
      </c>
      <c r="P58" s="116"/>
      <c r="Q58" s="116"/>
      <c r="R58" s="116"/>
      <c r="S58" s="50">
        <v>7.0</v>
      </c>
      <c r="T58" s="50">
        <v>1000.0</v>
      </c>
      <c r="U58" s="50">
        <v>3.0</v>
      </c>
      <c r="V58" s="50">
        <v>72.0</v>
      </c>
      <c r="W58" s="50">
        <v>7.0</v>
      </c>
      <c r="X58" s="50">
        <v>100.0</v>
      </c>
      <c r="Y58" s="50">
        <v>3.0</v>
      </c>
      <c r="Z58" s="50">
        <v>42.0</v>
      </c>
      <c r="AA58" s="50">
        <v>0.0</v>
      </c>
      <c r="AB58" s="116"/>
      <c r="AC58" s="116"/>
      <c r="AD58" s="116"/>
      <c r="AE58" s="116"/>
      <c r="AF58" s="116"/>
      <c r="AG58" s="116"/>
      <c r="AH58" s="50">
        <v>7.0</v>
      </c>
      <c r="AI58" s="50">
        <v>5000.0</v>
      </c>
      <c r="AJ58" s="50">
        <v>3.0</v>
      </c>
      <c r="AK58" s="50">
        <v>0.0</v>
      </c>
      <c r="AL58" s="50">
        <v>7.0</v>
      </c>
      <c r="AM58" s="50">
        <v>1000.0</v>
      </c>
      <c r="AN58" s="50">
        <v>3.0</v>
      </c>
      <c r="AO58" s="50">
        <v>0.0</v>
      </c>
      <c r="AP58" s="50">
        <v>1.0</v>
      </c>
      <c r="AQ58" s="50">
        <v>7.0</v>
      </c>
      <c r="AR58" s="50">
        <v>100.0</v>
      </c>
      <c r="AS58" s="50">
        <v>3.0</v>
      </c>
      <c r="AT58" s="50">
        <v>0.0</v>
      </c>
      <c r="AU58" s="50">
        <v>1.0</v>
      </c>
      <c r="AV58" s="50" t="s">
        <v>7651</v>
      </c>
      <c r="AW58" s="50" t="s">
        <v>11640</v>
      </c>
      <c r="AX58" s="116"/>
      <c r="AY58" s="116"/>
      <c r="AZ58" s="50">
        <v>7.0</v>
      </c>
      <c r="BA58" s="50">
        <v>1000.0</v>
      </c>
      <c r="BB58" s="50">
        <v>1.0</v>
      </c>
      <c r="BC58" s="116"/>
      <c r="BD58" s="50">
        <v>7.0</v>
      </c>
      <c r="BE58" s="50">
        <v>100.0</v>
      </c>
      <c r="BF58" s="50">
        <v>3.0</v>
      </c>
      <c r="BG58" s="50">
        <v>62.0</v>
      </c>
      <c r="BH58" s="50">
        <v>0.0</v>
      </c>
      <c r="BI58" s="116"/>
      <c r="BJ58" s="116"/>
      <c r="BK58" s="116"/>
      <c r="BL58" s="116"/>
      <c r="BM58" s="116"/>
      <c r="BN58" s="116"/>
      <c r="BO58" s="50">
        <v>7.0</v>
      </c>
      <c r="BP58" s="50">
        <v>5000.0</v>
      </c>
      <c r="BQ58" s="50">
        <v>3.0</v>
      </c>
      <c r="BR58" s="50">
        <v>0.0</v>
      </c>
      <c r="BS58" s="50">
        <v>7.0</v>
      </c>
      <c r="BT58" s="50">
        <v>1000.0</v>
      </c>
      <c r="BU58" s="50">
        <v>3.0</v>
      </c>
      <c r="BV58" s="50">
        <v>0.0</v>
      </c>
      <c r="BW58" s="50">
        <v>1.0</v>
      </c>
      <c r="BX58" s="50">
        <v>7.0</v>
      </c>
      <c r="BY58" s="50">
        <v>100.0</v>
      </c>
      <c r="BZ58" s="50">
        <v>3.0</v>
      </c>
      <c r="CA58" s="50">
        <v>0.0</v>
      </c>
      <c r="CB58" s="116"/>
      <c r="CC58" s="50" t="s">
        <v>11729</v>
      </c>
      <c r="CD58" s="50" t="s">
        <v>10362</v>
      </c>
      <c r="CE58" s="50">
        <v>0.0</v>
      </c>
      <c r="CF58" s="50" t="s">
        <v>10066</v>
      </c>
      <c r="CG58" s="117">
        <v>3118.0</v>
      </c>
      <c r="CH58" s="50" t="s">
        <v>11733</v>
      </c>
      <c r="CI58" s="50" t="s">
        <v>11734</v>
      </c>
      <c r="CJ58" s="117">
        <v>57.0</v>
      </c>
    </row>
    <row r="59">
      <c r="A59" s="50" t="s">
        <v>11735</v>
      </c>
      <c r="B59" s="50" t="s">
        <v>6876</v>
      </c>
      <c r="C59" s="50" t="s">
        <v>6877</v>
      </c>
      <c r="D59" s="50" t="s">
        <v>6907</v>
      </c>
      <c r="E59" s="50" t="s">
        <v>11736</v>
      </c>
      <c r="F59" s="50">
        <v>58.0</v>
      </c>
      <c r="G59" s="50">
        <v>1.0</v>
      </c>
      <c r="H59" s="50">
        <v>10.0</v>
      </c>
      <c r="I59" s="116"/>
      <c r="J59" s="116"/>
      <c r="K59" s="50" t="s">
        <v>449</v>
      </c>
      <c r="L59" s="50" t="s">
        <v>449</v>
      </c>
      <c r="M59" s="50" t="s">
        <v>11624</v>
      </c>
      <c r="N59" s="50" t="s">
        <v>11626</v>
      </c>
      <c r="O59" s="50" t="s">
        <v>11627</v>
      </c>
      <c r="P59" s="116"/>
      <c r="Q59" s="116"/>
      <c r="R59" s="116"/>
      <c r="S59" s="50">
        <v>7.0</v>
      </c>
      <c r="T59" s="50">
        <v>1000.0</v>
      </c>
      <c r="U59" s="50">
        <v>1.0</v>
      </c>
      <c r="V59" s="116"/>
      <c r="W59" s="50">
        <v>7.0</v>
      </c>
      <c r="X59" s="50">
        <v>100.0</v>
      </c>
      <c r="Y59" s="50">
        <v>3.0</v>
      </c>
      <c r="Z59" s="50">
        <v>31.0</v>
      </c>
      <c r="AA59" s="50">
        <v>0.0</v>
      </c>
      <c r="AB59" s="116"/>
      <c r="AC59" s="116"/>
      <c r="AD59" s="116"/>
      <c r="AE59" s="116"/>
      <c r="AF59" s="116"/>
      <c r="AG59" s="116"/>
      <c r="AH59" s="50">
        <v>7.0</v>
      </c>
      <c r="AI59" s="50">
        <v>5000.0</v>
      </c>
      <c r="AJ59" s="50">
        <v>3.0</v>
      </c>
      <c r="AK59" s="50">
        <v>0.0</v>
      </c>
      <c r="AL59" s="50">
        <v>7.0</v>
      </c>
      <c r="AM59" s="50">
        <v>1000.0</v>
      </c>
      <c r="AN59" s="50">
        <v>3.0</v>
      </c>
      <c r="AO59" s="50">
        <v>0.0</v>
      </c>
      <c r="AP59" s="50">
        <v>0.0</v>
      </c>
      <c r="AQ59" s="116"/>
      <c r="AR59" s="116"/>
      <c r="AS59" s="116"/>
      <c r="AT59" s="116"/>
      <c r="AU59" s="50">
        <v>1.0</v>
      </c>
      <c r="AV59" s="50" t="s">
        <v>11638</v>
      </c>
      <c r="AW59" s="50" t="s">
        <v>11640</v>
      </c>
      <c r="AX59" s="116"/>
      <c r="AY59" s="116"/>
      <c r="AZ59" s="50">
        <v>7.0</v>
      </c>
      <c r="BA59" s="50">
        <v>1000.0</v>
      </c>
      <c r="BB59" s="50">
        <v>1.0</v>
      </c>
      <c r="BC59" s="116"/>
      <c r="BD59" s="50">
        <v>7.0</v>
      </c>
      <c r="BE59" s="50">
        <v>100.0</v>
      </c>
      <c r="BF59" s="50">
        <v>3.0</v>
      </c>
      <c r="BG59" s="50">
        <v>73.0</v>
      </c>
      <c r="BH59" s="50">
        <v>0.0</v>
      </c>
      <c r="BI59" s="116"/>
      <c r="BJ59" s="116"/>
      <c r="BK59" s="116"/>
      <c r="BL59" s="116"/>
      <c r="BM59" s="116"/>
      <c r="BN59" s="116"/>
      <c r="BO59" s="50">
        <v>7.0</v>
      </c>
      <c r="BP59" s="50">
        <v>5000.0</v>
      </c>
      <c r="BQ59" s="50">
        <v>3.0</v>
      </c>
      <c r="BR59" s="50">
        <v>0.0</v>
      </c>
      <c r="BS59" s="50">
        <v>7.0</v>
      </c>
      <c r="BT59" s="50">
        <v>1000.0</v>
      </c>
      <c r="BU59" s="50">
        <v>3.0</v>
      </c>
      <c r="BV59" s="50">
        <v>0.0</v>
      </c>
      <c r="BW59" s="50">
        <v>1.0</v>
      </c>
      <c r="BX59" s="50">
        <v>7.0</v>
      </c>
      <c r="BY59" s="50">
        <v>100.0</v>
      </c>
      <c r="BZ59" s="50">
        <v>3.0</v>
      </c>
      <c r="CA59" s="50">
        <v>0.0</v>
      </c>
      <c r="CB59" s="116"/>
      <c r="CC59" s="50" t="s">
        <v>11756</v>
      </c>
      <c r="CD59" s="50" t="s">
        <v>10362</v>
      </c>
      <c r="CE59" s="50">
        <v>0.0</v>
      </c>
      <c r="CF59" s="50" t="s">
        <v>10066</v>
      </c>
      <c r="CG59" s="117">
        <v>3119.0</v>
      </c>
      <c r="CH59" s="50" t="s">
        <v>11760</v>
      </c>
      <c r="CI59" s="50" t="s">
        <v>11762</v>
      </c>
      <c r="CJ59" s="117">
        <v>58.0</v>
      </c>
    </row>
    <row r="60">
      <c r="A60" s="50" t="s">
        <v>11763</v>
      </c>
      <c r="B60" s="50" t="s">
        <v>6876</v>
      </c>
      <c r="C60" s="50" t="s">
        <v>6877</v>
      </c>
      <c r="D60" s="50" t="s">
        <v>6907</v>
      </c>
      <c r="E60" s="50" t="s">
        <v>11765</v>
      </c>
      <c r="F60" s="50">
        <v>58.0</v>
      </c>
      <c r="G60" s="50">
        <v>1.0</v>
      </c>
      <c r="H60" s="50">
        <v>3.0</v>
      </c>
      <c r="I60" s="116"/>
      <c r="J60" s="116"/>
      <c r="K60" s="50" t="s">
        <v>453</v>
      </c>
      <c r="L60" s="50" t="s">
        <v>453</v>
      </c>
      <c r="M60" s="50" t="s">
        <v>11624</v>
      </c>
      <c r="N60" s="50" t="s">
        <v>11626</v>
      </c>
      <c r="O60" s="50" t="s">
        <v>11627</v>
      </c>
      <c r="P60" s="116"/>
      <c r="Q60" s="116"/>
      <c r="R60" s="116"/>
      <c r="S60" s="50">
        <v>7.0</v>
      </c>
      <c r="T60" s="50">
        <v>1000.0</v>
      </c>
      <c r="U60" s="50">
        <v>3.0</v>
      </c>
      <c r="V60" s="50">
        <v>0.0</v>
      </c>
      <c r="W60" s="50">
        <v>7.0</v>
      </c>
      <c r="X60" s="50">
        <v>100.0</v>
      </c>
      <c r="Y60" s="50">
        <v>3.0</v>
      </c>
      <c r="Z60" s="50">
        <v>0.0</v>
      </c>
      <c r="AA60" s="50">
        <v>0.0</v>
      </c>
      <c r="AB60" s="116"/>
      <c r="AC60" s="116"/>
      <c r="AD60" s="116"/>
      <c r="AE60" s="116"/>
      <c r="AF60" s="116"/>
      <c r="AG60" s="116"/>
      <c r="AH60" s="50">
        <v>7.0</v>
      </c>
      <c r="AI60" s="50">
        <v>5000.0</v>
      </c>
      <c r="AJ60" s="50">
        <v>3.0</v>
      </c>
      <c r="AK60" s="50">
        <v>0.0</v>
      </c>
      <c r="AL60" s="50">
        <v>7.0</v>
      </c>
      <c r="AM60" s="50">
        <v>1000.0</v>
      </c>
      <c r="AN60" s="50">
        <v>3.0</v>
      </c>
      <c r="AO60" s="50">
        <v>0.0</v>
      </c>
      <c r="AP60" s="50">
        <v>1.0</v>
      </c>
      <c r="AQ60" s="50">
        <v>7.0</v>
      </c>
      <c r="AR60" s="50">
        <v>100.0</v>
      </c>
      <c r="AS60" s="50">
        <v>3.0</v>
      </c>
      <c r="AT60" s="50">
        <v>0.0</v>
      </c>
      <c r="AU60" s="50">
        <v>1.0</v>
      </c>
      <c r="AV60" s="50" t="s">
        <v>11638</v>
      </c>
      <c r="AW60" s="50" t="s">
        <v>11640</v>
      </c>
      <c r="AX60" s="116"/>
      <c r="AY60" s="116"/>
      <c r="AZ60" s="50">
        <v>7.0</v>
      </c>
      <c r="BA60" s="50">
        <v>1000.0</v>
      </c>
      <c r="BB60" s="50">
        <v>3.0</v>
      </c>
      <c r="BC60" s="50">
        <v>0.0</v>
      </c>
      <c r="BD60" s="50">
        <v>7.0</v>
      </c>
      <c r="BE60" s="50">
        <v>100.0</v>
      </c>
      <c r="BF60" s="50">
        <v>3.0</v>
      </c>
      <c r="BG60" s="50">
        <v>0.0</v>
      </c>
      <c r="BH60" s="50">
        <v>0.0</v>
      </c>
      <c r="BI60" s="116"/>
      <c r="BJ60" s="116"/>
      <c r="BK60" s="116"/>
      <c r="BL60" s="116"/>
      <c r="BM60" s="116"/>
      <c r="BN60" s="116"/>
      <c r="BO60" s="50">
        <v>7.0</v>
      </c>
      <c r="BP60" s="50">
        <v>5000.0</v>
      </c>
      <c r="BQ60" s="50">
        <v>3.0</v>
      </c>
      <c r="BR60" s="50">
        <v>0.0</v>
      </c>
      <c r="BS60" s="50">
        <v>7.0</v>
      </c>
      <c r="BT60" s="50">
        <v>1000.0</v>
      </c>
      <c r="BU60" s="50">
        <v>3.0</v>
      </c>
      <c r="BV60" s="50">
        <v>0.0</v>
      </c>
      <c r="BW60" s="50">
        <v>1.0</v>
      </c>
      <c r="BX60" s="50">
        <v>7.0</v>
      </c>
      <c r="BY60" s="50">
        <v>100.0</v>
      </c>
      <c r="BZ60" s="50">
        <v>3.0</v>
      </c>
      <c r="CA60" s="50">
        <v>0.0</v>
      </c>
      <c r="CB60" s="116"/>
      <c r="CC60" s="116"/>
      <c r="CD60" s="50" t="s">
        <v>10362</v>
      </c>
      <c r="CE60" s="50">
        <v>0.0</v>
      </c>
      <c r="CF60" s="50" t="s">
        <v>10066</v>
      </c>
      <c r="CG60" s="117">
        <v>3120.0</v>
      </c>
      <c r="CH60" s="50" t="s">
        <v>11782</v>
      </c>
      <c r="CI60" s="50" t="s">
        <v>11783</v>
      </c>
      <c r="CJ60" s="117">
        <v>59.0</v>
      </c>
    </row>
    <row r="61">
      <c r="A61" s="50" t="s">
        <v>11786</v>
      </c>
      <c r="B61" s="50" t="s">
        <v>6876</v>
      </c>
      <c r="C61" s="50" t="s">
        <v>6877</v>
      </c>
      <c r="D61" s="50" t="s">
        <v>6907</v>
      </c>
      <c r="E61" s="50" t="s">
        <v>11787</v>
      </c>
      <c r="F61" s="50">
        <v>58.0</v>
      </c>
      <c r="G61" s="50">
        <v>1.0</v>
      </c>
      <c r="H61" s="50">
        <v>7.0</v>
      </c>
      <c r="I61" s="116"/>
      <c r="J61" s="116"/>
      <c r="K61" s="50" t="s">
        <v>456</v>
      </c>
      <c r="L61" s="50" t="s">
        <v>456</v>
      </c>
      <c r="M61" s="50" t="s">
        <v>11624</v>
      </c>
      <c r="N61" s="50" t="s">
        <v>11626</v>
      </c>
      <c r="O61" s="50" t="s">
        <v>11627</v>
      </c>
      <c r="P61" s="116"/>
      <c r="Q61" s="116"/>
      <c r="R61" s="116"/>
      <c r="S61" s="50">
        <v>7.0</v>
      </c>
      <c r="T61" s="50">
        <v>1000.0</v>
      </c>
      <c r="U61" s="50">
        <v>3.0</v>
      </c>
      <c r="V61" s="50">
        <v>0.0</v>
      </c>
      <c r="W61" s="50">
        <v>7.0</v>
      </c>
      <c r="X61" s="50">
        <v>100.0</v>
      </c>
      <c r="Y61" s="50">
        <v>3.0</v>
      </c>
      <c r="Z61" s="50">
        <v>0.0</v>
      </c>
      <c r="AA61" s="50">
        <v>0.0</v>
      </c>
      <c r="AB61" s="116"/>
      <c r="AC61" s="116"/>
      <c r="AD61" s="116"/>
      <c r="AE61" s="116"/>
      <c r="AF61" s="116"/>
      <c r="AG61" s="116"/>
      <c r="AH61" s="50">
        <v>7.0</v>
      </c>
      <c r="AI61" s="50">
        <v>5000.0</v>
      </c>
      <c r="AJ61" s="50">
        <v>3.0</v>
      </c>
      <c r="AK61" s="50">
        <v>0.0</v>
      </c>
      <c r="AL61" s="50">
        <v>7.0</v>
      </c>
      <c r="AM61" s="50">
        <v>1000.0</v>
      </c>
      <c r="AN61" s="50">
        <v>3.0</v>
      </c>
      <c r="AO61" s="50">
        <v>0.0</v>
      </c>
      <c r="AP61" s="50">
        <v>1.0</v>
      </c>
      <c r="AQ61" s="50">
        <v>7.0</v>
      </c>
      <c r="AR61" s="50">
        <v>100.0</v>
      </c>
      <c r="AS61" s="50">
        <v>3.0</v>
      </c>
      <c r="AT61" s="50">
        <v>0.0</v>
      </c>
      <c r="AU61" s="50">
        <v>0.0</v>
      </c>
      <c r="AV61" s="116"/>
      <c r="AW61" s="116"/>
      <c r="AX61" s="116"/>
      <c r="AY61" s="116"/>
      <c r="AZ61" s="116"/>
      <c r="BA61" s="116"/>
      <c r="BB61" s="116"/>
      <c r="BC61" s="116"/>
      <c r="BD61" s="116"/>
      <c r="BE61" s="116"/>
      <c r="BF61" s="116"/>
      <c r="BG61" s="116"/>
      <c r="BH61" s="116"/>
      <c r="BI61" s="116"/>
      <c r="BJ61" s="116"/>
      <c r="BK61" s="116"/>
      <c r="BL61" s="116"/>
      <c r="BM61" s="116"/>
      <c r="BN61" s="116"/>
      <c r="BO61" s="116"/>
      <c r="BP61" s="116"/>
      <c r="BQ61" s="116"/>
      <c r="BR61" s="116"/>
      <c r="BS61" s="116"/>
      <c r="BT61" s="116"/>
      <c r="BU61" s="116"/>
      <c r="BV61" s="116"/>
      <c r="BW61" s="116"/>
      <c r="BX61" s="116"/>
      <c r="BY61" s="116"/>
      <c r="BZ61" s="116"/>
      <c r="CA61" s="116"/>
      <c r="CB61" s="116"/>
      <c r="CC61" s="116"/>
      <c r="CD61" s="50" t="s">
        <v>10362</v>
      </c>
      <c r="CE61" s="50">
        <v>0.0</v>
      </c>
      <c r="CF61" s="50" t="s">
        <v>10066</v>
      </c>
      <c r="CG61" s="117">
        <v>3121.0</v>
      </c>
      <c r="CH61" s="50" t="s">
        <v>11806</v>
      </c>
      <c r="CI61" s="50" t="s">
        <v>11807</v>
      </c>
      <c r="CJ61" s="117">
        <v>60.0</v>
      </c>
    </row>
    <row r="62">
      <c r="A62" s="50" t="s">
        <v>11809</v>
      </c>
      <c r="B62" s="50" t="s">
        <v>6876</v>
      </c>
      <c r="C62" s="50" t="s">
        <v>6877</v>
      </c>
      <c r="D62" s="50" t="s">
        <v>6907</v>
      </c>
      <c r="E62" s="50" t="s">
        <v>11810</v>
      </c>
      <c r="F62" s="50">
        <v>58.0</v>
      </c>
      <c r="G62" s="50">
        <v>1.0</v>
      </c>
      <c r="H62" s="50">
        <v>7.0</v>
      </c>
      <c r="I62" s="116"/>
      <c r="J62" s="116"/>
      <c r="K62" s="50" t="s">
        <v>457</v>
      </c>
      <c r="L62" s="50" t="s">
        <v>457</v>
      </c>
      <c r="M62" s="50" t="s">
        <v>11624</v>
      </c>
      <c r="N62" s="50" t="s">
        <v>11626</v>
      </c>
      <c r="O62" s="50" t="s">
        <v>11627</v>
      </c>
      <c r="P62" s="116"/>
      <c r="Q62" s="116"/>
      <c r="R62" s="116"/>
      <c r="S62" s="50">
        <v>7.0</v>
      </c>
      <c r="T62" s="50">
        <v>1000.0</v>
      </c>
      <c r="U62" s="50">
        <v>3.0</v>
      </c>
      <c r="V62" s="50">
        <v>0.0</v>
      </c>
      <c r="W62" s="50">
        <v>7.0</v>
      </c>
      <c r="X62" s="50">
        <v>100.0</v>
      </c>
      <c r="Y62" s="50">
        <v>3.0</v>
      </c>
      <c r="Z62" s="50">
        <v>0.0</v>
      </c>
      <c r="AA62" s="50">
        <v>0.0</v>
      </c>
      <c r="AB62" s="116"/>
      <c r="AC62" s="116"/>
      <c r="AD62" s="116"/>
      <c r="AE62" s="116"/>
      <c r="AF62" s="116"/>
      <c r="AG62" s="116"/>
      <c r="AH62" s="50">
        <v>7.0</v>
      </c>
      <c r="AI62" s="50">
        <v>5000.0</v>
      </c>
      <c r="AJ62" s="50">
        <v>3.0</v>
      </c>
      <c r="AK62" s="50">
        <v>0.0</v>
      </c>
      <c r="AL62" s="50">
        <v>7.0</v>
      </c>
      <c r="AM62" s="50">
        <v>1000.0</v>
      </c>
      <c r="AN62" s="50">
        <v>3.0</v>
      </c>
      <c r="AO62" s="50">
        <v>0.0</v>
      </c>
      <c r="AP62" s="50">
        <v>1.0</v>
      </c>
      <c r="AQ62" s="50">
        <v>7.0</v>
      </c>
      <c r="AR62" s="50">
        <v>100.0</v>
      </c>
      <c r="AS62" s="50">
        <v>3.0</v>
      </c>
      <c r="AT62" s="50">
        <v>0.0</v>
      </c>
      <c r="AU62" s="50">
        <v>0.0</v>
      </c>
      <c r="AV62" s="116"/>
      <c r="AW62" s="116"/>
      <c r="AX62" s="116"/>
      <c r="AY62" s="116"/>
      <c r="AZ62" s="116"/>
      <c r="BA62" s="116"/>
      <c r="BB62" s="116"/>
      <c r="BC62" s="116"/>
      <c r="BD62" s="116"/>
      <c r="BE62" s="116"/>
      <c r="BF62" s="116"/>
      <c r="BG62" s="116"/>
      <c r="BH62" s="116"/>
      <c r="BI62" s="116"/>
      <c r="BJ62" s="116"/>
      <c r="BK62" s="116"/>
      <c r="BL62" s="116"/>
      <c r="BM62" s="116"/>
      <c r="BN62" s="116"/>
      <c r="BO62" s="116"/>
      <c r="BP62" s="116"/>
      <c r="BQ62" s="116"/>
      <c r="BR62" s="116"/>
      <c r="BS62" s="116"/>
      <c r="BT62" s="116"/>
      <c r="BU62" s="116"/>
      <c r="BV62" s="116"/>
      <c r="BW62" s="116"/>
      <c r="BX62" s="116"/>
      <c r="BY62" s="116"/>
      <c r="BZ62" s="116"/>
      <c r="CA62" s="116"/>
      <c r="CB62" s="116"/>
      <c r="CC62" s="116"/>
      <c r="CD62" s="50" t="s">
        <v>10362</v>
      </c>
      <c r="CE62" s="50">
        <v>0.0</v>
      </c>
      <c r="CF62" s="50" t="s">
        <v>10066</v>
      </c>
      <c r="CG62" s="117">
        <v>3122.0</v>
      </c>
      <c r="CH62" s="50" t="s">
        <v>11829</v>
      </c>
      <c r="CI62" s="50" t="s">
        <v>11831</v>
      </c>
      <c r="CJ62" s="117">
        <v>61.0</v>
      </c>
    </row>
    <row r="63">
      <c r="A63" s="50" t="s">
        <v>11833</v>
      </c>
      <c r="B63" s="50" t="s">
        <v>6876</v>
      </c>
      <c r="C63" s="50" t="s">
        <v>6877</v>
      </c>
      <c r="D63" s="50" t="s">
        <v>6907</v>
      </c>
      <c r="E63" s="50" t="s">
        <v>11836</v>
      </c>
      <c r="F63" s="50">
        <v>58.0</v>
      </c>
      <c r="G63" s="50">
        <v>1.0</v>
      </c>
      <c r="H63" s="50">
        <v>8.0</v>
      </c>
      <c r="I63" s="116"/>
      <c r="J63" s="116"/>
      <c r="K63" s="50" t="s">
        <v>473</v>
      </c>
      <c r="L63" s="50" t="s">
        <v>473</v>
      </c>
      <c r="M63" s="50" t="s">
        <v>11840</v>
      </c>
      <c r="N63" s="50" t="s">
        <v>11841</v>
      </c>
      <c r="O63" s="50" t="s">
        <v>11842</v>
      </c>
      <c r="P63" s="116"/>
      <c r="Q63" s="116"/>
      <c r="R63" s="116"/>
      <c r="S63" s="50">
        <v>7.0</v>
      </c>
      <c r="T63" s="50">
        <v>1000.0</v>
      </c>
      <c r="U63" s="50">
        <v>3.0</v>
      </c>
      <c r="V63" s="50">
        <v>1.0</v>
      </c>
      <c r="W63" s="50">
        <v>7.0</v>
      </c>
      <c r="X63" s="50">
        <v>100.0</v>
      </c>
      <c r="Y63" s="50">
        <v>3.0</v>
      </c>
      <c r="Z63" s="50">
        <v>0.0</v>
      </c>
      <c r="AA63" s="50">
        <v>0.0</v>
      </c>
      <c r="AB63" s="116"/>
      <c r="AC63" s="116"/>
      <c r="AD63" s="116"/>
      <c r="AE63" s="116"/>
      <c r="AF63" s="116"/>
      <c r="AG63" s="116"/>
      <c r="AH63" s="50">
        <v>7.0</v>
      </c>
      <c r="AI63" s="50">
        <v>5000.0</v>
      </c>
      <c r="AJ63" s="50">
        <v>3.0</v>
      </c>
      <c r="AK63" s="50">
        <v>0.0</v>
      </c>
      <c r="AL63" s="50">
        <v>7.0</v>
      </c>
      <c r="AM63" s="50">
        <v>1000.0</v>
      </c>
      <c r="AN63" s="50">
        <v>3.0</v>
      </c>
      <c r="AO63" s="50">
        <v>0.0</v>
      </c>
      <c r="AP63" s="50">
        <v>1.0</v>
      </c>
      <c r="AQ63" s="50">
        <v>7.0</v>
      </c>
      <c r="AR63" s="50">
        <v>100.0</v>
      </c>
      <c r="AS63" s="50">
        <v>3.0</v>
      </c>
      <c r="AT63" s="50">
        <v>0.0</v>
      </c>
      <c r="AU63" s="50">
        <v>1.0</v>
      </c>
      <c r="AV63" s="50" t="s">
        <v>11853</v>
      </c>
      <c r="AW63" s="50" t="s">
        <v>11854</v>
      </c>
      <c r="AX63" s="116"/>
      <c r="AY63" s="116"/>
      <c r="AZ63" s="50">
        <v>7.0</v>
      </c>
      <c r="BA63" s="50">
        <v>1000.0</v>
      </c>
      <c r="BB63" s="50">
        <v>3.0</v>
      </c>
      <c r="BC63" s="50">
        <v>7.0</v>
      </c>
      <c r="BD63" s="50">
        <v>7.0</v>
      </c>
      <c r="BE63" s="50">
        <v>100.0</v>
      </c>
      <c r="BF63" s="50">
        <v>3.0</v>
      </c>
      <c r="BG63" s="50">
        <v>0.0</v>
      </c>
      <c r="BH63" s="50">
        <v>0.0</v>
      </c>
      <c r="BI63" s="116"/>
      <c r="BJ63" s="116"/>
      <c r="BK63" s="116"/>
      <c r="BL63" s="116"/>
      <c r="BM63" s="116"/>
      <c r="BN63" s="116"/>
      <c r="BO63" s="50">
        <v>7.0</v>
      </c>
      <c r="BP63" s="50">
        <v>5000.0</v>
      </c>
      <c r="BQ63" s="50">
        <v>3.0</v>
      </c>
      <c r="BR63" s="50">
        <v>0.0</v>
      </c>
      <c r="BS63" s="50">
        <v>7.0</v>
      </c>
      <c r="BT63" s="50">
        <v>1000.0</v>
      </c>
      <c r="BU63" s="50">
        <v>3.0</v>
      </c>
      <c r="BV63" s="50">
        <v>0.0</v>
      </c>
      <c r="BW63" s="50">
        <v>1.0</v>
      </c>
      <c r="BX63" s="50">
        <v>7.0</v>
      </c>
      <c r="BY63" s="50">
        <v>100.0</v>
      </c>
      <c r="BZ63" s="50">
        <v>3.0</v>
      </c>
      <c r="CA63" s="50">
        <v>0.0</v>
      </c>
      <c r="CB63" s="116"/>
      <c r="CC63" s="116"/>
      <c r="CD63" s="50" t="s">
        <v>10362</v>
      </c>
      <c r="CE63" s="50">
        <v>0.0</v>
      </c>
      <c r="CF63" s="50" t="s">
        <v>10066</v>
      </c>
      <c r="CG63" s="117">
        <v>3232.0</v>
      </c>
      <c r="CH63" s="50" t="s">
        <v>11863</v>
      </c>
      <c r="CI63" s="50" t="s">
        <v>11865</v>
      </c>
      <c r="CJ63" s="117">
        <v>62.0</v>
      </c>
    </row>
    <row r="64">
      <c r="A64" s="50" t="s">
        <v>11836</v>
      </c>
      <c r="B64" s="50" t="s">
        <v>6876</v>
      </c>
      <c r="C64" s="50" t="s">
        <v>6877</v>
      </c>
      <c r="D64" s="50" t="s">
        <v>6907</v>
      </c>
      <c r="E64" s="50" t="s">
        <v>11869</v>
      </c>
      <c r="F64" s="50">
        <v>58.0</v>
      </c>
      <c r="G64" s="50">
        <v>1.0</v>
      </c>
      <c r="H64" s="50">
        <v>8.0</v>
      </c>
      <c r="I64" s="116"/>
      <c r="J64" s="116"/>
      <c r="K64" s="50" t="s">
        <v>475</v>
      </c>
      <c r="L64" s="50" t="s">
        <v>475</v>
      </c>
      <c r="M64" s="50" t="s">
        <v>11840</v>
      </c>
      <c r="N64" s="50" t="s">
        <v>11841</v>
      </c>
      <c r="O64" s="50" t="s">
        <v>11842</v>
      </c>
      <c r="P64" s="116"/>
      <c r="Q64" s="116"/>
      <c r="R64" s="116"/>
      <c r="S64" s="50">
        <v>7.0</v>
      </c>
      <c r="T64" s="50">
        <v>1000.0</v>
      </c>
      <c r="U64" s="50">
        <v>1.0</v>
      </c>
      <c r="V64" s="116"/>
      <c r="W64" s="50">
        <v>7.0</v>
      </c>
      <c r="X64" s="50">
        <v>100.0</v>
      </c>
      <c r="Y64" s="50">
        <v>3.0</v>
      </c>
      <c r="Z64" s="50">
        <v>52.0</v>
      </c>
      <c r="AA64" s="50">
        <v>0.0</v>
      </c>
      <c r="AB64" s="116"/>
      <c r="AC64" s="116"/>
      <c r="AD64" s="116"/>
      <c r="AE64" s="116"/>
      <c r="AF64" s="116"/>
      <c r="AG64" s="116"/>
      <c r="AH64" s="50">
        <v>7.0</v>
      </c>
      <c r="AI64" s="50">
        <v>5000.0</v>
      </c>
      <c r="AJ64" s="50">
        <v>3.0</v>
      </c>
      <c r="AK64" s="50">
        <v>0.0</v>
      </c>
      <c r="AL64" s="50">
        <v>7.0</v>
      </c>
      <c r="AM64" s="50">
        <v>1000.0</v>
      </c>
      <c r="AN64" s="50">
        <v>3.0</v>
      </c>
      <c r="AO64" s="50">
        <v>1.0</v>
      </c>
      <c r="AP64" s="50">
        <v>1.0</v>
      </c>
      <c r="AQ64" s="50">
        <v>7.0</v>
      </c>
      <c r="AR64" s="50">
        <v>100.0</v>
      </c>
      <c r="AS64" s="50">
        <v>3.0</v>
      </c>
      <c r="AT64" s="50">
        <v>0.0</v>
      </c>
      <c r="AU64" s="50">
        <v>1.0</v>
      </c>
      <c r="AV64" s="50" t="s">
        <v>11853</v>
      </c>
      <c r="AW64" s="50" t="s">
        <v>11854</v>
      </c>
      <c r="AX64" s="116"/>
      <c r="AY64" s="116"/>
      <c r="AZ64" s="50">
        <v>7.0</v>
      </c>
      <c r="BA64" s="50">
        <v>1000.0</v>
      </c>
      <c r="BB64" s="50">
        <v>1.0</v>
      </c>
      <c r="BC64" s="116"/>
      <c r="BD64" s="50">
        <v>7.0</v>
      </c>
      <c r="BE64" s="50">
        <v>100.0</v>
      </c>
      <c r="BF64" s="50">
        <v>3.0</v>
      </c>
      <c r="BG64" s="50">
        <v>64.0</v>
      </c>
      <c r="BH64" s="50">
        <v>0.0</v>
      </c>
      <c r="BI64" s="116"/>
      <c r="BJ64" s="116"/>
      <c r="BK64" s="116"/>
      <c r="BL64" s="116"/>
      <c r="BM64" s="116"/>
      <c r="BN64" s="116"/>
      <c r="BO64" s="50">
        <v>7.0</v>
      </c>
      <c r="BP64" s="50">
        <v>5000.0</v>
      </c>
      <c r="BQ64" s="50">
        <v>1.0</v>
      </c>
      <c r="BR64" s="116"/>
      <c r="BS64" s="50">
        <v>7.0</v>
      </c>
      <c r="BT64" s="50">
        <v>1000.0</v>
      </c>
      <c r="BU64" s="50">
        <v>1.0</v>
      </c>
      <c r="BV64" s="116"/>
      <c r="BW64" s="50">
        <v>1.0</v>
      </c>
      <c r="BX64" s="50">
        <v>7.0</v>
      </c>
      <c r="BY64" s="50">
        <v>100.0</v>
      </c>
      <c r="BZ64" s="50">
        <v>3.0</v>
      </c>
      <c r="CA64" s="50">
        <v>200.0</v>
      </c>
      <c r="CB64" s="116"/>
      <c r="CC64" s="50" t="s">
        <v>11887</v>
      </c>
      <c r="CD64" s="50" t="s">
        <v>10362</v>
      </c>
      <c r="CE64" s="50">
        <v>0.0</v>
      </c>
      <c r="CF64" s="50" t="s">
        <v>10066</v>
      </c>
      <c r="CG64" s="117">
        <v>3233.0</v>
      </c>
      <c r="CH64" s="50" t="s">
        <v>11889</v>
      </c>
      <c r="CI64" s="50" t="s">
        <v>11890</v>
      </c>
      <c r="CJ64" s="117">
        <v>63.0</v>
      </c>
    </row>
    <row r="65">
      <c r="A65" s="50" t="s">
        <v>11869</v>
      </c>
      <c r="B65" s="50" t="s">
        <v>6876</v>
      </c>
      <c r="C65" s="50" t="s">
        <v>6877</v>
      </c>
      <c r="D65" s="50" t="s">
        <v>6907</v>
      </c>
      <c r="E65" s="50" t="s">
        <v>11895</v>
      </c>
      <c r="F65" s="50">
        <v>58.0</v>
      </c>
      <c r="G65" s="50">
        <v>1.0</v>
      </c>
      <c r="H65" s="50">
        <v>2.0</v>
      </c>
      <c r="I65" s="116"/>
      <c r="J65" s="116"/>
      <c r="K65" s="50" t="s">
        <v>470</v>
      </c>
      <c r="L65" s="50" t="s">
        <v>470</v>
      </c>
      <c r="M65" s="50" t="s">
        <v>11840</v>
      </c>
      <c r="N65" s="50" t="s">
        <v>11841</v>
      </c>
      <c r="O65" s="50" t="s">
        <v>11842</v>
      </c>
      <c r="P65" s="116"/>
      <c r="Q65" s="116"/>
      <c r="R65" s="116"/>
      <c r="S65" s="50">
        <v>7.0</v>
      </c>
      <c r="T65" s="50">
        <v>1000.0</v>
      </c>
      <c r="U65" s="50">
        <v>3.0</v>
      </c>
      <c r="V65" s="50">
        <v>0.0</v>
      </c>
      <c r="W65" s="50">
        <v>7.0</v>
      </c>
      <c r="X65" s="50">
        <v>100.0</v>
      </c>
      <c r="Y65" s="50">
        <v>3.0</v>
      </c>
      <c r="Z65" s="50">
        <v>0.0</v>
      </c>
      <c r="AA65" s="50">
        <v>0.0</v>
      </c>
      <c r="AB65" s="116"/>
      <c r="AC65" s="116"/>
      <c r="AD65" s="116"/>
      <c r="AE65" s="116"/>
      <c r="AF65" s="116"/>
      <c r="AG65" s="116"/>
      <c r="AH65" s="50">
        <v>7.0</v>
      </c>
      <c r="AI65" s="50">
        <v>5000.0</v>
      </c>
      <c r="AJ65" s="50">
        <v>3.0</v>
      </c>
      <c r="AK65" s="50">
        <v>0.0</v>
      </c>
      <c r="AL65" s="50">
        <v>7.0</v>
      </c>
      <c r="AM65" s="50">
        <v>1000.0</v>
      </c>
      <c r="AN65" s="50">
        <v>3.0</v>
      </c>
      <c r="AO65" s="50">
        <v>0.0</v>
      </c>
      <c r="AP65" s="50">
        <v>1.0</v>
      </c>
      <c r="AQ65" s="50">
        <v>7.0</v>
      </c>
      <c r="AR65" s="50">
        <v>100.0</v>
      </c>
      <c r="AS65" s="50">
        <v>3.0</v>
      </c>
      <c r="AT65" s="50">
        <v>0.0</v>
      </c>
      <c r="AU65" s="50">
        <v>1.0</v>
      </c>
      <c r="AV65" s="50" t="s">
        <v>11853</v>
      </c>
      <c r="AW65" s="50" t="s">
        <v>11854</v>
      </c>
      <c r="AX65" s="116"/>
      <c r="AY65" s="116"/>
      <c r="AZ65" s="50">
        <v>7.0</v>
      </c>
      <c r="BA65" s="50">
        <v>1000.0</v>
      </c>
      <c r="BB65" s="50">
        <v>3.0</v>
      </c>
      <c r="BC65" s="50">
        <v>0.0</v>
      </c>
      <c r="BD65" s="50">
        <v>7.0</v>
      </c>
      <c r="BE65" s="50">
        <v>100.0</v>
      </c>
      <c r="BF65" s="50">
        <v>3.0</v>
      </c>
      <c r="BG65" s="50">
        <v>0.0</v>
      </c>
      <c r="BH65" s="50">
        <v>0.0</v>
      </c>
      <c r="BI65" s="116"/>
      <c r="BJ65" s="116"/>
      <c r="BK65" s="116"/>
      <c r="BL65" s="116"/>
      <c r="BM65" s="116"/>
      <c r="BN65" s="116"/>
      <c r="BO65" s="50">
        <v>7.0</v>
      </c>
      <c r="BP65" s="50">
        <v>5000.0</v>
      </c>
      <c r="BQ65" s="50">
        <v>3.0</v>
      </c>
      <c r="BR65" s="50">
        <v>0.0</v>
      </c>
      <c r="BS65" s="50">
        <v>7.0</v>
      </c>
      <c r="BT65" s="50">
        <v>1000.0</v>
      </c>
      <c r="BU65" s="50">
        <v>3.0</v>
      </c>
      <c r="BV65" s="50">
        <v>0.0</v>
      </c>
      <c r="BW65" s="50">
        <v>1.0</v>
      </c>
      <c r="BX65" s="50">
        <v>7.0</v>
      </c>
      <c r="BY65" s="50">
        <v>100.0</v>
      </c>
      <c r="BZ65" s="50">
        <v>3.0</v>
      </c>
      <c r="CA65" s="50">
        <v>0.0</v>
      </c>
      <c r="CB65" s="116"/>
      <c r="CC65" s="50" t="s">
        <v>11919</v>
      </c>
      <c r="CD65" s="50" t="s">
        <v>10362</v>
      </c>
      <c r="CE65" s="50">
        <v>0.0</v>
      </c>
      <c r="CF65" s="50" t="s">
        <v>10066</v>
      </c>
      <c r="CG65" s="117">
        <v>3234.0</v>
      </c>
      <c r="CH65" s="50" t="s">
        <v>11920</v>
      </c>
      <c r="CI65" s="50" t="s">
        <v>11921</v>
      </c>
      <c r="CJ65" s="117">
        <v>64.0</v>
      </c>
    </row>
    <row r="66">
      <c r="A66" s="50" t="s">
        <v>11895</v>
      </c>
      <c r="B66" s="50" t="s">
        <v>6876</v>
      </c>
      <c r="C66" s="50" t="s">
        <v>6877</v>
      </c>
      <c r="D66" s="50" t="s">
        <v>6907</v>
      </c>
      <c r="E66" s="50" t="s">
        <v>11923</v>
      </c>
      <c r="F66" s="50">
        <v>58.0</v>
      </c>
      <c r="G66" s="50">
        <v>1.0</v>
      </c>
      <c r="H66" s="50">
        <v>2.0</v>
      </c>
      <c r="I66" s="116"/>
      <c r="J66" s="116"/>
      <c r="K66" s="50" t="s">
        <v>471</v>
      </c>
      <c r="L66" s="50" t="s">
        <v>471</v>
      </c>
      <c r="M66" s="50" t="s">
        <v>11840</v>
      </c>
      <c r="N66" s="50" t="s">
        <v>11841</v>
      </c>
      <c r="O66" s="50" t="s">
        <v>11842</v>
      </c>
      <c r="P66" s="116"/>
      <c r="Q66" s="116"/>
      <c r="R66" s="116"/>
      <c r="S66" s="50">
        <v>7.0</v>
      </c>
      <c r="T66" s="50">
        <v>1000.0</v>
      </c>
      <c r="U66" s="50">
        <v>3.0</v>
      </c>
      <c r="V66" s="50">
        <v>11.0</v>
      </c>
      <c r="W66" s="50">
        <v>7.0</v>
      </c>
      <c r="X66" s="50">
        <v>100.0</v>
      </c>
      <c r="Y66" s="50">
        <v>3.0</v>
      </c>
      <c r="Z66" s="50">
        <v>0.0</v>
      </c>
      <c r="AA66" s="50">
        <v>0.0</v>
      </c>
      <c r="AB66" s="116"/>
      <c r="AC66" s="116"/>
      <c r="AD66" s="116"/>
      <c r="AE66" s="116"/>
      <c r="AF66" s="116"/>
      <c r="AG66" s="116"/>
      <c r="AH66" s="50">
        <v>7.0</v>
      </c>
      <c r="AI66" s="50">
        <v>5000.0</v>
      </c>
      <c r="AJ66" s="50">
        <v>3.0</v>
      </c>
      <c r="AK66" s="50">
        <v>0.0</v>
      </c>
      <c r="AL66" s="50">
        <v>7.0</v>
      </c>
      <c r="AM66" s="50">
        <v>1000.0</v>
      </c>
      <c r="AN66" s="50">
        <v>3.0</v>
      </c>
      <c r="AO66" s="50">
        <v>0.0</v>
      </c>
      <c r="AP66" s="50">
        <v>1.0</v>
      </c>
      <c r="AQ66" s="50">
        <v>7.0</v>
      </c>
      <c r="AR66" s="50">
        <v>100.0</v>
      </c>
      <c r="AS66" s="50">
        <v>3.0</v>
      </c>
      <c r="AT66" s="50">
        <v>0.0</v>
      </c>
      <c r="AU66" s="50">
        <v>1.0</v>
      </c>
      <c r="AV66" s="50" t="s">
        <v>11853</v>
      </c>
      <c r="AW66" s="50" t="s">
        <v>11854</v>
      </c>
      <c r="AX66" s="116"/>
      <c r="AY66" s="116"/>
      <c r="AZ66" s="50">
        <v>7.0</v>
      </c>
      <c r="BA66" s="50">
        <v>1000.0</v>
      </c>
      <c r="BB66" s="50">
        <v>1.0</v>
      </c>
      <c r="BC66" s="116"/>
      <c r="BD66" s="50">
        <v>7.0</v>
      </c>
      <c r="BE66" s="50">
        <v>100.0</v>
      </c>
      <c r="BF66" s="50">
        <v>3.0</v>
      </c>
      <c r="BG66" s="50">
        <v>91.0</v>
      </c>
      <c r="BH66" s="50">
        <v>0.0</v>
      </c>
      <c r="BI66" s="116"/>
      <c r="BJ66" s="116"/>
      <c r="BK66" s="116"/>
      <c r="BL66" s="116"/>
      <c r="BM66" s="116"/>
      <c r="BN66" s="116"/>
      <c r="BO66" s="50">
        <v>7.0</v>
      </c>
      <c r="BP66" s="50">
        <v>5000.0</v>
      </c>
      <c r="BQ66" s="50">
        <v>3.0</v>
      </c>
      <c r="BR66" s="50">
        <v>0.0</v>
      </c>
      <c r="BS66" s="50">
        <v>7.0</v>
      </c>
      <c r="BT66" s="50">
        <v>1000.0</v>
      </c>
      <c r="BU66" s="50">
        <v>3.0</v>
      </c>
      <c r="BV66" s="50">
        <v>0.0</v>
      </c>
      <c r="BW66" s="50">
        <v>1.0</v>
      </c>
      <c r="BX66" s="50">
        <v>7.0</v>
      </c>
      <c r="BY66" s="50">
        <v>100.0</v>
      </c>
      <c r="BZ66" s="50">
        <v>3.0</v>
      </c>
      <c r="CA66" s="50">
        <v>0.0</v>
      </c>
      <c r="CB66" s="116"/>
      <c r="CC66" s="50" t="s">
        <v>11947</v>
      </c>
      <c r="CD66" s="50" t="s">
        <v>10362</v>
      </c>
      <c r="CE66" s="50">
        <v>0.0</v>
      </c>
      <c r="CF66" s="50" t="s">
        <v>10066</v>
      </c>
      <c r="CG66" s="117">
        <v>3235.0</v>
      </c>
      <c r="CH66" s="50" t="s">
        <v>11948</v>
      </c>
      <c r="CI66" s="50" t="s">
        <v>11949</v>
      </c>
      <c r="CJ66" s="117">
        <v>65.0</v>
      </c>
    </row>
    <row r="67">
      <c r="A67" s="50" t="s">
        <v>11950</v>
      </c>
      <c r="B67" s="50" t="s">
        <v>6876</v>
      </c>
      <c r="C67" s="50" t="s">
        <v>6877</v>
      </c>
      <c r="D67" s="50" t="s">
        <v>6907</v>
      </c>
      <c r="E67" s="50" t="s">
        <v>11951</v>
      </c>
      <c r="F67" s="50">
        <v>58.0</v>
      </c>
      <c r="G67" s="50">
        <v>1.0</v>
      </c>
      <c r="H67" s="50">
        <v>3.0</v>
      </c>
      <c r="I67" s="116"/>
      <c r="J67" s="116"/>
      <c r="K67" s="50" t="s">
        <v>485</v>
      </c>
      <c r="L67" s="50" t="s">
        <v>485</v>
      </c>
      <c r="M67" s="50" t="s">
        <v>11957</v>
      </c>
      <c r="N67" s="50" t="s">
        <v>11841</v>
      </c>
      <c r="O67" s="50" t="s">
        <v>11842</v>
      </c>
      <c r="P67" s="116"/>
      <c r="Q67" s="116"/>
      <c r="R67" s="116"/>
      <c r="S67" s="50">
        <v>7.0</v>
      </c>
      <c r="T67" s="50">
        <v>1000.0</v>
      </c>
      <c r="U67" s="50">
        <v>3.0</v>
      </c>
      <c r="V67" s="50">
        <v>0.0</v>
      </c>
      <c r="W67" s="50">
        <v>7.0</v>
      </c>
      <c r="X67" s="50">
        <v>100.0</v>
      </c>
      <c r="Y67" s="50">
        <v>3.0</v>
      </c>
      <c r="Z67" s="50">
        <v>0.0</v>
      </c>
      <c r="AA67" s="50">
        <v>0.0</v>
      </c>
      <c r="AB67" s="116"/>
      <c r="AC67" s="116"/>
      <c r="AD67" s="116"/>
      <c r="AE67" s="116"/>
      <c r="AF67" s="116"/>
      <c r="AG67" s="116"/>
      <c r="AH67" s="50">
        <v>7.0</v>
      </c>
      <c r="AI67" s="50">
        <v>5000.0</v>
      </c>
      <c r="AJ67" s="50">
        <v>3.0</v>
      </c>
      <c r="AK67" s="50">
        <v>0.0</v>
      </c>
      <c r="AL67" s="50">
        <v>7.0</v>
      </c>
      <c r="AM67" s="50">
        <v>1000.0</v>
      </c>
      <c r="AN67" s="50">
        <v>3.0</v>
      </c>
      <c r="AO67" s="50">
        <v>0.0</v>
      </c>
      <c r="AP67" s="50">
        <v>1.0</v>
      </c>
      <c r="AQ67" s="50">
        <v>7.0</v>
      </c>
      <c r="AR67" s="50">
        <v>100.0</v>
      </c>
      <c r="AS67" s="50">
        <v>3.0</v>
      </c>
      <c r="AT67" s="50">
        <v>0.0</v>
      </c>
      <c r="AU67" s="50">
        <v>1.0</v>
      </c>
      <c r="AV67" s="50" t="s">
        <v>11853</v>
      </c>
      <c r="AW67" s="50" t="s">
        <v>11854</v>
      </c>
      <c r="AX67" s="116"/>
      <c r="AY67" s="116"/>
      <c r="AZ67" s="50">
        <v>7.0</v>
      </c>
      <c r="BA67" s="50">
        <v>1000.0</v>
      </c>
      <c r="BB67" s="50">
        <v>3.0</v>
      </c>
      <c r="BC67" s="50">
        <v>0.0</v>
      </c>
      <c r="BD67" s="50">
        <v>7.0</v>
      </c>
      <c r="BE67" s="50">
        <v>100.0</v>
      </c>
      <c r="BF67" s="50">
        <v>3.0</v>
      </c>
      <c r="BG67" s="50">
        <v>0.0</v>
      </c>
      <c r="BH67" s="50">
        <v>0.0</v>
      </c>
      <c r="BI67" s="116"/>
      <c r="BJ67" s="116"/>
      <c r="BK67" s="116"/>
      <c r="BL67" s="116"/>
      <c r="BM67" s="116"/>
      <c r="BN67" s="116"/>
      <c r="BO67" s="50">
        <v>7.0</v>
      </c>
      <c r="BP67" s="50">
        <v>5000.0</v>
      </c>
      <c r="BQ67" s="50">
        <v>3.0</v>
      </c>
      <c r="BR67" s="50">
        <v>0.0</v>
      </c>
      <c r="BS67" s="50">
        <v>7.0</v>
      </c>
      <c r="BT67" s="50">
        <v>1000.0</v>
      </c>
      <c r="BU67" s="50">
        <v>3.0</v>
      </c>
      <c r="BV67" s="50">
        <v>0.0</v>
      </c>
      <c r="BW67" s="50">
        <v>1.0</v>
      </c>
      <c r="BX67" s="50">
        <v>7.0</v>
      </c>
      <c r="BY67" s="50">
        <v>100.0</v>
      </c>
      <c r="BZ67" s="50">
        <v>3.0</v>
      </c>
      <c r="CA67" s="50">
        <v>0.0</v>
      </c>
      <c r="CB67" s="116"/>
      <c r="CC67" s="116"/>
      <c r="CD67" s="50" t="s">
        <v>10362</v>
      </c>
      <c r="CE67" s="50">
        <v>0.0</v>
      </c>
      <c r="CF67" s="50" t="s">
        <v>10066</v>
      </c>
      <c r="CG67" s="117">
        <v>3236.0</v>
      </c>
      <c r="CH67" s="50" t="s">
        <v>11982</v>
      </c>
      <c r="CI67" s="50" t="s">
        <v>11984</v>
      </c>
      <c r="CJ67" s="117">
        <v>66.0</v>
      </c>
    </row>
    <row r="68">
      <c r="A68" s="50" t="s">
        <v>11985</v>
      </c>
      <c r="B68" s="50" t="s">
        <v>6876</v>
      </c>
      <c r="C68" s="50" t="s">
        <v>6877</v>
      </c>
      <c r="D68" s="50" t="s">
        <v>6907</v>
      </c>
      <c r="E68" s="50" t="s">
        <v>11986</v>
      </c>
      <c r="F68" s="50">
        <v>58.0</v>
      </c>
      <c r="G68" s="50">
        <v>1.0</v>
      </c>
      <c r="H68" s="50">
        <v>1.0</v>
      </c>
      <c r="I68" s="116"/>
      <c r="J68" s="116"/>
      <c r="K68" s="50" t="s">
        <v>486</v>
      </c>
      <c r="L68" s="50" t="s">
        <v>486</v>
      </c>
      <c r="M68" s="50" t="s">
        <v>11988</v>
      </c>
      <c r="N68" s="50" t="s">
        <v>11841</v>
      </c>
      <c r="O68" s="50" t="s">
        <v>11842</v>
      </c>
      <c r="P68" s="116"/>
      <c r="Q68" s="116"/>
      <c r="R68" s="116"/>
      <c r="S68" s="50">
        <v>7.0</v>
      </c>
      <c r="T68" s="50">
        <v>1000.0</v>
      </c>
      <c r="U68" s="50">
        <v>1.0</v>
      </c>
      <c r="V68" s="116"/>
      <c r="W68" s="50">
        <v>7.0</v>
      </c>
      <c r="X68" s="50">
        <v>100.0</v>
      </c>
      <c r="Y68" s="50">
        <v>3.0</v>
      </c>
      <c r="Z68" s="50">
        <v>124.0</v>
      </c>
      <c r="AA68" s="50">
        <v>0.0</v>
      </c>
      <c r="AB68" s="116"/>
      <c r="AC68" s="116"/>
      <c r="AD68" s="116"/>
      <c r="AE68" s="116"/>
      <c r="AF68" s="116"/>
      <c r="AG68" s="116"/>
      <c r="AH68" s="50">
        <v>7.0</v>
      </c>
      <c r="AI68" s="50">
        <v>5000.0</v>
      </c>
      <c r="AJ68" s="50">
        <v>3.0</v>
      </c>
      <c r="AK68" s="50">
        <v>0.0</v>
      </c>
      <c r="AL68" s="50">
        <v>7.0</v>
      </c>
      <c r="AM68" s="50">
        <v>1000.0</v>
      </c>
      <c r="AN68" s="50">
        <v>3.0</v>
      </c>
      <c r="AO68" s="50">
        <v>0.0</v>
      </c>
      <c r="AP68" s="50">
        <v>1.0</v>
      </c>
      <c r="AQ68" s="50">
        <v>7.0</v>
      </c>
      <c r="AR68" s="50">
        <v>100.0</v>
      </c>
      <c r="AS68" s="50">
        <v>3.0</v>
      </c>
      <c r="AT68" s="50">
        <v>0.0</v>
      </c>
      <c r="AU68" s="50">
        <v>1.0</v>
      </c>
      <c r="AV68" s="50" t="s">
        <v>11853</v>
      </c>
      <c r="AW68" s="50" t="s">
        <v>11854</v>
      </c>
      <c r="AX68" s="116"/>
      <c r="AY68" s="116"/>
      <c r="AZ68" s="50">
        <v>7.0</v>
      </c>
      <c r="BA68" s="50">
        <v>1000.0</v>
      </c>
      <c r="BB68" s="50">
        <v>1.0</v>
      </c>
      <c r="BC68" s="116"/>
      <c r="BD68" s="50">
        <v>7.0</v>
      </c>
      <c r="BE68" s="50">
        <v>100.0</v>
      </c>
      <c r="BF68" s="50">
        <v>1.0</v>
      </c>
      <c r="BG68" s="116"/>
      <c r="BH68" s="50">
        <v>0.0</v>
      </c>
      <c r="BI68" s="116"/>
      <c r="BJ68" s="116"/>
      <c r="BK68" s="116"/>
      <c r="BL68" s="116"/>
      <c r="BM68" s="116"/>
      <c r="BN68" s="116"/>
      <c r="BO68" s="50">
        <v>7.0</v>
      </c>
      <c r="BP68" s="50">
        <v>5000.0</v>
      </c>
      <c r="BQ68" s="50">
        <v>3.0</v>
      </c>
      <c r="BR68" s="50">
        <v>0.0</v>
      </c>
      <c r="BS68" s="50">
        <v>7.0</v>
      </c>
      <c r="BT68" s="50">
        <v>1000.0</v>
      </c>
      <c r="BU68" s="50">
        <v>3.0</v>
      </c>
      <c r="BV68" s="50">
        <v>0.0</v>
      </c>
      <c r="BW68" s="50">
        <v>1.0</v>
      </c>
      <c r="BX68" s="50">
        <v>7.0</v>
      </c>
      <c r="BY68" s="50">
        <v>100.0</v>
      </c>
      <c r="BZ68" s="50">
        <v>3.0</v>
      </c>
      <c r="CA68" s="50">
        <v>0.0</v>
      </c>
      <c r="CB68" s="116"/>
      <c r="CC68" s="50" t="s">
        <v>12009</v>
      </c>
      <c r="CD68" s="50" t="s">
        <v>10362</v>
      </c>
      <c r="CE68" s="50">
        <v>0.0</v>
      </c>
      <c r="CF68" s="50" t="s">
        <v>10066</v>
      </c>
      <c r="CG68" s="117">
        <v>3237.0</v>
      </c>
      <c r="CH68" s="50" t="s">
        <v>12013</v>
      </c>
      <c r="CI68" s="50" t="s">
        <v>12014</v>
      </c>
      <c r="CJ68" s="117">
        <v>67.0</v>
      </c>
    </row>
    <row r="69">
      <c r="A69" s="50" t="s">
        <v>12015</v>
      </c>
      <c r="B69" s="50" t="s">
        <v>6876</v>
      </c>
      <c r="C69" s="50" t="s">
        <v>6877</v>
      </c>
      <c r="D69" s="50" t="s">
        <v>6907</v>
      </c>
      <c r="E69" s="50" t="s">
        <v>12016</v>
      </c>
      <c r="F69" s="50">
        <v>58.0</v>
      </c>
      <c r="G69" s="50">
        <v>1.0</v>
      </c>
      <c r="H69" s="50">
        <v>5.0</v>
      </c>
      <c r="I69" s="116"/>
      <c r="J69" s="116"/>
      <c r="K69" s="50" t="s">
        <v>493</v>
      </c>
      <c r="L69" s="50" t="s">
        <v>493</v>
      </c>
      <c r="M69" s="50" t="s">
        <v>11988</v>
      </c>
      <c r="N69" s="50" t="s">
        <v>11841</v>
      </c>
      <c r="O69" s="50" t="s">
        <v>11842</v>
      </c>
      <c r="P69" s="116"/>
      <c r="Q69" s="116"/>
      <c r="R69" s="116"/>
      <c r="S69" s="50">
        <v>7.0</v>
      </c>
      <c r="T69" s="50">
        <v>1000.0</v>
      </c>
      <c r="U69" s="50">
        <v>3.0</v>
      </c>
      <c r="V69" s="50">
        <v>6.0</v>
      </c>
      <c r="W69" s="50">
        <v>7.0</v>
      </c>
      <c r="X69" s="50">
        <v>100.0</v>
      </c>
      <c r="Y69" s="50">
        <v>3.0</v>
      </c>
      <c r="Z69" s="50">
        <v>0.0</v>
      </c>
      <c r="AA69" s="50">
        <v>0.0</v>
      </c>
      <c r="AB69" s="116"/>
      <c r="AC69" s="116"/>
      <c r="AD69" s="116"/>
      <c r="AE69" s="116"/>
      <c r="AF69" s="116"/>
      <c r="AG69" s="116"/>
      <c r="AH69" s="50">
        <v>7.0</v>
      </c>
      <c r="AI69" s="50">
        <v>5000.0</v>
      </c>
      <c r="AJ69" s="50">
        <v>3.0</v>
      </c>
      <c r="AK69" s="50">
        <v>0.0</v>
      </c>
      <c r="AL69" s="50">
        <v>7.0</v>
      </c>
      <c r="AM69" s="50">
        <v>1000.0</v>
      </c>
      <c r="AN69" s="50">
        <v>3.0</v>
      </c>
      <c r="AO69" s="50">
        <v>0.0</v>
      </c>
      <c r="AP69" s="50">
        <v>1.0</v>
      </c>
      <c r="AQ69" s="50">
        <v>7.0</v>
      </c>
      <c r="AR69" s="50">
        <v>100.0</v>
      </c>
      <c r="AS69" s="50">
        <v>3.0</v>
      </c>
      <c r="AT69" s="50">
        <v>0.0</v>
      </c>
      <c r="AU69" s="50">
        <v>1.0</v>
      </c>
      <c r="AV69" s="50" t="s">
        <v>11853</v>
      </c>
      <c r="AW69" s="50" t="s">
        <v>11854</v>
      </c>
      <c r="AX69" s="116"/>
      <c r="AY69" s="116"/>
      <c r="AZ69" s="50">
        <v>7.0</v>
      </c>
      <c r="BA69" s="50">
        <v>1000.0</v>
      </c>
      <c r="BB69" s="50">
        <v>1.0</v>
      </c>
      <c r="BC69" s="116"/>
      <c r="BD69" s="50">
        <v>7.0</v>
      </c>
      <c r="BE69" s="50">
        <v>100.0</v>
      </c>
      <c r="BF69" s="50">
        <v>1.0</v>
      </c>
      <c r="BG69" s="116"/>
      <c r="BH69" s="50">
        <v>0.0</v>
      </c>
      <c r="BI69" s="116"/>
      <c r="BJ69" s="116"/>
      <c r="BK69" s="116"/>
      <c r="BL69" s="116"/>
      <c r="BM69" s="116"/>
      <c r="BN69" s="116"/>
      <c r="BO69" s="50">
        <v>7.0</v>
      </c>
      <c r="BP69" s="50">
        <v>5000.0</v>
      </c>
      <c r="BQ69" s="50">
        <v>3.0</v>
      </c>
      <c r="BR69" s="50">
        <v>0.0</v>
      </c>
      <c r="BS69" s="50">
        <v>7.0</v>
      </c>
      <c r="BT69" s="50">
        <v>1000.0</v>
      </c>
      <c r="BU69" s="50">
        <v>3.0</v>
      </c>
      <c r="BV69" s="50">
        <v>0.0</v>
      </c>
      <c r="BW69" s="50">
        <v>1.0</v>
      </c>
      <c r="BX69" s="50">
        <v>7.0</v>
      </c>
      <c r="BY69" s="50">
        <v>100.0</v>
      </c>
      <c r="BZ69" s="50">
        <v>3.0</v>
      </c>
      <c r="CA69" s="50">
        <v>0.0</v>
      </c>
      <c r="CB69" s="116"/>
      <c r="CC69" s="50" t="s">
        <v>12034</v>
      </c>
      <c r="CD69" s="50" t="s">
        <v>10362</v>
      </c>
      <c r="CE69" s="50">
        <v>0.0</v>
      </c>
      <c r="CF69" s="50" t="s">
        <v>10066</v>
      </c>
      <c r="CG69" s="117">
        <v>3238.0</v>
      </c>
      <c r="CH69" s="50" t="s">
        <v>12035</v>
      </c>
      <c r="CI69" s="50" t="s">
        <v>12036</v>
      </c>
      <c r="CJ69" s="117">
        <v>68.0</v>
      </c>
    </row>
    <row r="70">
      <c r="A70" s="50" t="s">
        <v>12037</v>
      </c>
      <c r="B70" s="50" t="s">
        <v>6876</v>
      </c>
      <c r="C70" s="50" t="s">
        <v>6877</v>
      </c>
      <c r="D70" s="50" t="s">
        <v>6907</v>
      </c>
      <c r="E70" s="50" t="s">
        <v>12041</v>
      </c>
      <c r="F70" s="50">
        <v>58.0</v>
      </c>
      <c r="G70" s="50">
        <v>1.0</v>
      </c>
      <c r="H70" s="50">
        <v>97.0</v>
      </c>
      <c r="I70" s="116"/>
      <c r="J70" s="116"/>
      <c r="K70" s="50" t="s">
        <v>437</v>
      </c>
      <c r="L70" s="50" t="s">
        <v>437</v>
      </c>
      <c r="M70" s="50" t="s">
        <v>11841</v>
      </c>
      <c r="N70" s="50" t="s">
        <v>11841</v>
      </c>
      <c r="O70" s="50" t="s">
        <v>11842</v>
      </c>
      <c r="P70" s="116"/>
      <c r="Q70" s="116"/>
      <c r="R70" s="116"/>
      <c r="S70" s="50">
        <v>7.0</v>
      </c>
      <c r="T70" s="50">
        <v>1000.0</v>
      </c>
      <c r="U70" s="50">
        <v>1.0</v>
      </c>
      <c r="V70" s="123"/>
      <c r="W70" s="50">
        <v>7.0</v>
      </c>
      <c r="X70" s="50">
        <v>100.0</v>
      </c>
      <c r="Y70" s="50">
        <v>3.0</v>
      </c>
      <c r="Z70" s="50">
        <v>109.0</v>
      </c>
      <c r="AA70" s="50">
        <v>0.0</v>
      </c>
      <c r="AB70" s="116"/>
      <c r="AC70" s="116"/>
      <c r="AD70" s="116"/>
      <c r="AE70" s="116"/>
      <c r="AF70" s="116"/>
      <c r="AG70" s="116"/>
      <c r="AH70" s="50">
        <v>7.0</v>
      </c>
      <c r="AI70" s="50">
        <v>1000.0</v>
      </c>
      <c r="AJ70" s="50">
        <v>1.0</v>
      </c>
      <c r="AK70" s="123"/>
      <c r="AL70" s="50">
        <v>7.0</v>
      </c>
      <c r="AM70" s="50">
        <v>100.0</v>
      </c>
      <c r="AN70" s="50">
        <v>3.0</v>
      </c>
      <c r="AO70" s="50">
        <v>148.0</v>
      </c>
      <c r="AP70" s="50">
        <v>0.0</v>
      </c>
      <c r="AQ70" s="123"/>
      <c r="AR70" s="123"/>
      <c r="AS70" s="123"/>
      <c r="AT70" s="123"/>
      <c r="AU70" s="50">
        <v>0.0</v>
      </c>
      <c r="AV70" s="123"/>
      <c r="AW70" s="123"/>
      <c r="AX70" s="116"/>
      <c r="AY70" s="116"/>
      <c r="AZ70" s="123"/>
      <c r="BA70" s="123"/>
      <c r="BB70" s="123"/>
      <c r="BC70" s="123"/>
      <c r="BD70" s="123"/>
      <c r="BE70" s="123"/>
      <c r="BF70" s="123"/>
      <c r="BG70" s="123"/>
      <c r="BH70" s="123"/>
      <c r="BI70" s="116"/>
      <c r="BJ70" s="116"/>
      <c r="BK70" s="116"/>
      <c r="BL70" s="116"/>
      <c r="BM70" s="116"/>
      <c r="BN70" s="116"/>
      <c r="BO70" s="123"/>
      <c r="BP70" s="123"/>
      <c r="BQ70" s="123"/>
      <c r="BR70" s="123"/>
      <c r="BS70" s="123"/>
      <c r="BT70" s="123"/>
      <c r="BU70" s="123"/>
      <c r="BV70" s="123"/>
      <c r="BW70" s="123"/>
      <c r="BX70" s="123"/>
      <c r="BY70" s="123"/>
      <c r="BZ70" s="123"/>
      <c r="CA70" s="123"/>
      <c r="CB70" s="116"/>
      <c r="CC70" s="50" t="s">
        <v>12067</v>
      </c>
      <c r="CD70" s="50" t="s">
        <v>10362</v>
      </c>
      <c r="CE70" s="50">
        <v>0.0</v>
      </c>
      <c r="CF70" s="50" t="s">
        <v>10066</v>
      </c>
      <c r="CG70" s="117">
        <v>3239.0</v>
      </c>
      <c r="CH70" s="50" t="s">
        <v>12068</v>
      </c>
      <c r="CI70" s="50" t="s">
        <v>12069</v>
      </c>
      <c r="CJ70" s="117">
        <v>69.0</v>
      </c>
    </row>
    <row r="71">
      <c r="A71" s="50" t="s">
        <v>12070</v>
      </c>
      <c r="B71" s="50" t="s">
        <v>6876</v>
      </c>
      <c r="C71" s="50" t="s">
        <v>6877</v>
      </c>
      <c r="D71" s="50" t="s">
        <v>6907</v>
      </c>
      <c r="E71" s="50" t="s">
        <v>12071</v>
      </c>
      <c r="F71" s="50">
        <v>58.0</v>
      </c>
      <c r="G71" s="50">
        <v>1.0</v>
      </c>
      <c r="H71" s="50">
        <v>10.0</v>
      </c>
      <c r="I71" s="116"/>
      <c r="J71" s="116"/>
      <c r="K71" s="50" t="s">
        <v>488</v>
      </c>
      <c r="L71" s="50" t="s">
        <v>488</v>
      </c>
      <c r="M71" s="50" t="s">
        <v>11988</v>
      </c>
      <c r="N71" s="50" t="s">
        <v>11841</v>
      </c>
      <c r="O71" s="50" t="s">
        <v>11842</v>
      </c>
      <c r="P71" s="116"/>
      <c r="Q71" s="116"/>
      <c r="R71" s="116"/>
      <c r="S71" s="50">
        <v>7.0</v>
      </c>
      <c r="T71" s="50">
        <v>1000.0</v>
      </c>
      <c r="U71" s="50">
        <v>3.0</v>
      </c>
      <c r="V71" s="50">
        <v>0.0</v>
      </c>
      <c r="W71" s="50">
        <v>7.0</v>
      </c>
      <c r="X71" s="50">
        <v>100.0</v>
      </c>
      <c r="Y71" s="50">
        <v>3.0</v>
      </c>
      <c r="Z71" s="50">
        <v>0.0</v>
      </c>
      <c r="AA71" s="50">
        <v>0.0</v>
      </c>
      <c r="AB71" s="116"/>
      <c r="AC71" s="116"/>
      <c r="AD71" s="116"/>
      <c r="AE71" s="116"/>
      <c r="AF71" s="116"/>
      <c r="AG71" s="116"/>
      <c r="AH71" s="50">
        <v>7.0</v>
      </c>
      <c r="AI71" s="50">
        <v>5000.0</v>
      </c>
      <c r="AJ71" s="50">
        <v>3.0</v>
      </c>
      <c r="AK71" s="50">
        <v>0.0</v>
      </c>
      <c r="AL71" s="50">
        <v>7.0</v>
      </c>
      <c r="AM71" s="50">
        <v>1000.0</v>
      </c>
      <c r="AN71" s="50">
        <v>3.0</v>
      </c>
      <c r="AO71" s="50">
        <v>0.0</v>
      </c>
      <c r="AP71" s="50">
        <v>1.0</v>
      </c>
      <c r="AQ71" s="50">
        <v>7.0</v>
      </c>
      <c r="AR71" s="50">
        <v>100.0</v>
      </c>
      <c r="AS71" s="50">
        <v>3.0</v>
      </c>
      <c r="AT71" s="50">
        <v>0.0</v>
      </c>
      <c r="AU71" s="50">
        <v>1.0</v>
      </c>
      <c r="AV71" s="50" t="s">
        <v>11853</v>
      </c>
      <c r="AW71" s="50" t="s">
        <v>11854</v>
      </c>
      <c r="AX71" s="116"/>
      <c r="AY71" s="116"/>
      <c r="AZ71" s="50">
        <v>7.0</v>
      </c>
      <c r="BA71" s="50">
        <v>1000.0</v>
      </c>
      <c r="BB71" s="50">
        <v>3.0</v>
      </c>
      <c r="BC71" s="50">
        <v>0.0</v>
      </c>
      <c r="BD71" s="50">
        <v>7.0</v>
      </c>
      <c r="BE71" s="50">
        <v>100.0</v>
      </c>
      <c r="BF71" s="50">
        <v>3.0</v>
      </c>
      <c r="BG71" s="50">
        <v>0.0</v>
      </c>
      <c r="BH71" s="50">
        <v>0.0</v>
      </c>
      <c r="BI71" s="116"/>
      <c r="BJ71" s="116"/>
      <c r="BK71" s="116"/>
      <c r="BL71" s="116"/>
      <c r="BM71" s="116"/>
      <c r="BN71" s="116"/>
      <c r="BO71" s="50">
        <v>7.0</v>
      </c>
      <c r="BP71" s="50">
        <v>5000.0</v>
      </c>
      <c r="BQ71" s="50">
        <v>3.0</v>
      </c>
      <c r="BR71" s="50">
        <v>0.0</v>
      </c>
      <c r="BS71" s="50">
        <v>7.0</v>
      </c>
      <c r="BT71" s="50">
        <v>1000.0</v>
      </c>
      <c r="BU71" s="50">
        <v>3.0</v>
      </c>
      <c r="BV71" s="50">
        <v>0.0</v>
      </c>
      <c r="BW71" s="50">
        <v>1.0</v>
      </c>
      <c r="BX71" s="50">
        <v>7.0</v>
      </c>
      <c r="BY71" s="50">
        <v>100.0</v>
      </c>
      <c r="BZ71" s="50">
        <v>3.0</v>
      </c>
      <c r="CA71" s="50">
        <v>0.0</v>
      </c>
      <c r="CB71" s="116"/>
      <c r="CC71" s="50" t="s">
        <v>12098</v>
      </c>
      <c r="CD71" s="50" t="s">
        <v>10362</v>
      </c>
      <c r="CE71" s="50">
        <v>0.0</v>
      </c>
      <c r="CF71" s="50" t="s">
        <v>10066</v>
      </c>
      <c r="CG71" s="117">
        <v>3240.0</v>
      </c>
      <c r="CH71" s="50" t="s">
        <v>12099</v>
      </c>
      <c r="CI71" s="50" t="s">
        <v>12100</v>
      </c>
      <c r="CJ71" s="117">
        <v>70.0</v>
      </c>
    </row>
    <row r="72">
      <c r="A72" s="50" t="s">
        <v>12101</v>
      </c>
      <c r="B72" s="50" t="s">
        <v>6876</v>
      </c>
      <c r="C72" s="50" t="s">
        <v>6877</v>
      </c>
      <c r="D72" s="50" t="s">
        <v>6907</v>
      </c>
      <c r="E72" s="50" t="s">
        <v>12102</v>
      </c>
      <c r="F72" s="50">
        <v>58.0</v>
      </c>
      <c r="G72" s="50">
        <v>1.0</v>
      </c>
      <c r="H72" s="50">
        <v>10.0</v>
      </c>
      <c r="I72" s="116"/>
      <c r="J72" s="116"/>
      <c r="K72" s="50" t="s">
        <v>489</v>
      </c>
      <c r="L72" s="50" t="s">
        <v>489</v>
      </c>
      <c r="M72" s="50" t="s">
        <v>11988</v>
      </c>
      <c r="N72" s="50" t="s">
        <v>11841</v>
      </c>
      <c r="O72" s="50" t="s">
        <v>11842</v>
      </c>
      <c r="P72" s="116"/>
      <c r="Q72" s="116"/>
      <c r="R72" s="116"/>
      <c r="S72" s="50">
        <v>7.0</v>
      </c>
      <c r="T72" s="50">
        <v>1000.0</v>
      </c>
      <c r="U72" s="50">
        <v>3.0</v>
      </c>
      <c r="V72" s="50">
        <v>0.0</v>
      </c>
      <c r="W72" s="50">
        <v>7.0</v>
      </c>
      <c r="X72" s="50">
        <v>100.0</v>
      </c>
      <c r="Y72" s="50">
        <v>3.0</v>
      </c>
      <c r="Z72" s="50">
        <v>0.0</v>
      </c>
      <c r="AA72" s="50">
        <v>0.0</v>
      </c>
      <c r="AB72" s="116"/>
      <c r="AC72" s="116"/>
      <c r="AD72" s="116"/>
      <c r="AE72" s="116"/>
      <c r="AF72" s="116"/>
      <c r="AG72" s="116"/>
      <c r="AH72" s="50">
        <v>7.0</v>
      </c>
      <c r="AI72" s="50">
        <v>5000.0</v>
      </c>
      <c r="AJ72" s="50">
        <v>3.0</v>
      </c>
      <c r="AK72" s="50">
        <v>0.0</v>
      </c>
      <c r="AL72" s="50">
        <v>7.0</v>
      </c>
      <c r="AM72" s="50">
        <v>1000.0</v>
      </c>
      <c r="AN72" s="50">
        <v>3.0</v>
      </c>
      <c r="AO72" s="50">
        <v>0.0</v>
      </c>
      <c r="AP72" s="50">
        <v>1.0</v>
      </c>
      <c r="AQ72" s="50">
        <v>7.0</v>
      </c>
      <c r="AR72" s="50">
        <v>100.0</v>
      </c>
      <c r="AS72" s="50">
        <v>3.0</v>
      </c>
      <c r="AT72" s="50">
        <v>0.0</v>
      </c>
      <c r="AU72" s="50">
        <v>1.0</v>
      </c>
      <c r="AV72" s="50" t="s">
        <v>11853</v>
      </c>
      <c r="AW72" s="50" t="s">
        <v>11854</v>
      </c>
      <c r="AX72" s="116"/>
      <c r="AY72" s="116"/>
      <c r="AZ72" s="50">
        <v>7.0</v>
      </c>
      <c r="BA72" s="50">
        <v>1000.0</v>
      </c>
      <c r="BB72" s="50">
        <v>3.0</v>
      </c>
      <c r="BC72" s="50">
        <v>0.0</v>
      </c>
      <c r="BD72" s="50">
        <v>7.0</v>
      </c>
      <c r="BE72" s="50">
        <v>100.0</v>
      </c>
      <c r="BF72" s="50">
        <v>3.0</v>
      </c>
      <c r="BG72" s="50">
        <v>0.0</v>
      </c>
      <c r="BH72" s="50">
        <v>0.0</v>
      </c>
      <c r="BI72" s="116"/>
      <c r="BJ72" s="116"/>
      <c r="BK72" s="116"/>
      <c r="BL72" s="116"/>
      <c r="BM72" s="116"/>
      <c r="BN72" s="116"/>
      <c r="BO72" s="50">
        <v>7.0</v>
      </c>
      <c r="BP72" s="50">
        <v>5000.0</v>
      </c>
      <c r="BQ72" s="50">
        <v>3.0</v>
      </c>
      <c r="BR72" s="50">
        <v>0.0</v>
      </c>
      <c r="BS72" s="50">
        <v>7.0</v>
      </c>
      <c r="BT72" s="50">
        <v>1000.0</v>
      </c>
      <c r="BU72" s="50">
        <v>3.0</v>
      </c>
      <c r="BV72" s="50">
        <v>0.0</v>
      </c>
      <c r="BW72" s="50">
        <v>1.0</v>
      </c>
      <c r="BX72" s="50">
        <v>7.0</v>
      </c>
      <c r="BY72" s="50">
        <v>100.0</v>
      </c>
      <c r="BZ72" s="50">
        <v>3.0</v>
      </c>
      <c r="CA72" s="50">
        <v>0.0</v>
      </c>
      <c r="CB72" s="116"/>
      <c r="CC72" s="50" t="s">
        <v>12129</v>
      </c>
      <c r="CD72" s="50" t="s">
        <v>10362</v>
      </c>
      <c r="CE72" s="50">
        <v>0.0</v>
      </c>
      <c r="CF72" s="50" t="s">
        <v>10066</v>
      </c>
      <c r="CG72" s="117">
        <v>3241.0</v>
      </c>
      <c r="CH72" s="50" t="s">
        <v>12133</v>
      </c>
      <c r="CI72" s="50" t="s">
        <v>12137</v>
      </c>
      <c r="CJ72" s="117">
        <v>71.0</v>
      </c>
    </row>
    <row r="73">
      <c r="A73" s="50" t="s">
        <v>12139</v>
      </c>
      <c r="B73" s="50" t="s">
        <v>6876</v>
      </c>
      <c r="C73" s="50" t="s">
        <v>6877</v>
      </c>
      <c r="D73" s="50" t="s">
        <v>6878</v>
      </c>
      <c r="E73" s="50" t="s">
        <v>12143</v>
      </c>
      <c r="F73" s="50">
        <v>58.0</v>
      </c>
      <c r="G73" s="50">
        <v>1.0</v>
      </c>
      <c r="H73" s="50">
        <v>5.0</v>
      </c>
      <c r="I73" s="116"/>
      <c r="J73" s="116"/>
      <c r="K73" s="50" t="s">
        <v>493</v>
      </c>
      <c r="L73" s="50" t="s">
        <v>493</v>
      </c>
      <c r="M73" s="50" t="s">
        <v>12146</v>
      </c>
      <c r="N73" s="50" t="s">
        <v>12147</v>
      </c>
      <c r="O73" s="50" t="s">
        <v>12148</v>
      </c>
      <c r="P73" s="116"/>
      <c r="Q73" s="116"/>
      <c r="R73" s="116"/>
      <c r="S73" s="50">
        <v>7.0</v>
      </c>
      <c r="T73" s="50">
        <v>1000.0</v>
      </c>
      <c r="U73" s="50">
        <v>3.0</v>
      </c>
      <c r="V73" s="50">
        <v>6.0</v>
      </c>
      <c r="W73" s="50">
        <v>7.0</v>
      </c>
      <c r="X73" s="50">
        <v>100.0</v>
      </c>
      <c r="Y73" s="50">
        <v>3.0</v>
      </c>
      <c r="Z73" s="50">
        <v>0.0</v>
      </c>
      <c r="AA73" s="50">
        <v>0.0</v>
      </c>
      <c r="AB73" s="116"/>
      <c r="AC73" s="116"/>
      <c r="AD73" s="116"/>
      <c r="AE73" s="116"/>
      <c r="AF73" s="116"/>
      <c r="AG73" s="116"/>
      <c r="AH73" s="50">
        <v>7.0</v>
      </c>
      <c r="AI73" s="50">
        <v>5000.0</v>
      </c>
      <c r="AJ73" s="50">
        <v>3.0</v>
      </c>
      <c r="AK73" s="50">
        <v>0.0</v>
      </c>
      <c r="AL73" s="50">
        <v>7.0</v>
      </c>
      <c r="AM73" s="50">
        <v>1000.0</v>
      </c>
      <c r="AN73" s="50">
        <v>3.0</v>
      </c>
      <c r="AO73" s="50">
        <v>0.0</v>
      </c>
      <c r="AP73" s="50">
        <v>1.0</v>
      </c>
      <c r="AQ73" s="50">
        <v>7.0</v>
      </c>
      <c r="AR73" s="50">
        <v>100.0</v>
      </c>
      <c r="AS73" s="50">
        <v>3.0</v>
      </c>
      <c r="AT73" s="50">
        <v>0.0</v>
      </c>
      <c r="AU73" s="50">
        <v>1.0</v>
      </c>
      <c r="AV73" s="50" t="s">
        <v>12159</v>
      </c>
      <c r="AW73" s="50" t="s">
        <v>12160</v>
      </c>
      <c r="AX73" s="116"/>
      <c r="AY73" s="116"/>
      <c r="AZ73" s="50">
        <v>7.0</v>
      </c>
      <c r="BA73" s="50">
        <v>1000.0</v>
      </c>
      <c r="BB73" s="50">
        <v>1.0</v>
      </c>
      <c r="BC73" s="123"/>
      <c r="BD73" s="50">
        <v>7.0</v>
      </c>
      <c r="BE73" s="50">
        <v>100.0</v>
      </c>
      <c r="BF73" s="50">
        <v>1.0</v>
      </c>
      <c r="BG73" s="123"/>
      <c r="BH73" s="50">
        <v>0.0</v>
      </c>
      <c r="BI73" s="116"/>
      <c r="BJ73" s="116"/>
      <c r="BK73" s="116"/>
      <c r="BL73" s="116"/>
      <c r="BM73" s="116"/>
      <c r="BN73" s="116"/>
      <c r="BO73" s="50">
        <v>7.0</v>
      </c>
      <c r="BP73" s="50">
        <v>5000.0</v>
      </c>
      <c r="BQ73" s="50">
        <v>3.0</v>
      </c>
      <c r="BR73" s="50">
        <v>0.0</v>
      </c>
      <c r="BS73" s="50">
        <v>7.0</v>
      </c>
      <c r="BT73" s="50">
        <v>1000.0</v>
      </c>
      <c r="BU73" s="50">
        <v>3.0</v>
      </c>
      <c r="BV73" s="50">
        <v>0.0</v>
      </c>
      <c r="BW73" s="50">
        <v>1.0</v>
      </c>
      <c r="BX73" s="50">
        <v>7.0</v>
      </c>
      <c r="BY73" s="50">
        <v>100.0</v>
      </c>
      <c r="BZ73" s="50">
        <v>3.0</v>
      </c>
      <c r="CA73" s="50">
        <v>0.0</v>
      </c>
      <c r="CB73" s="116"/>
      <c r="CC73" s="50" t="s">
        <v>12172</v>
      </c>
      <c r="CD73" s="50" t="s">
        <v>10362</v>
      </c>
      <c r="CE73" s="50">
        <v>0.0</v>
      </c>
      <c r="CF73" s="50" t="s">
        <v>10066</v>
      </c>
      <c r="CG73" s="117">
        <v>3290.0</v>
      </c>
      <c r="CH73" s="50" t="s">
        <v>12174</v>
      </c>
      <c r="CI73" s="50" t="s">
        <v>12175</v>
      </c>
      <c r="CJ73" s="117">
        <v>72.0</v>
      </c>
    </row>
    <row r="74">
      <c r="A74" s="50" t="s">
        <v>12178</v>
      </c>
      <c r="B74" s="50" t="s">
        <v>6876</v>
      </c>
      <c r="C74" s="50" t="s">
        <v>6877</v>
      </c>
      <c r="D74" s="50" t="s">
        <v>6878</v>
      </c>
      <c r="E74" s="50" t="s">
        <v>12179</v>
      </c>
      <c r="F74" s="50">
        <v>58.0</v>
      </c>
      <c r="G74" s="50">
        <v>1.0</v>
      </c>
      <c r="H74" s="50">
        <v>10.0</v>
      </c>
      <c r="I74" s="116"/>
      <c r="J74" s="116"/>
      <c r="K74" s="50" t="s">
        <v>489</v>
      </c>
      <c r="L74" s="50" t="s">
        <v>489</v>
      </c>
      <c r="M74" s="50" t="s">
        <v>12146</v>
      </c>
      <c r="N74" s="50" t="s">
        <v>12147</v>
      </c>
      <c r="O74" s="50" t="s">
        <v>12148</v>
      </c>
      <c r="P74" s="116"/>
      <c r="Q74" s="116"/>
      <c r="R74" s="116"/>
      <c r="S74" s="50">
        <v>7.0</v>
      </c>
      <c r="T74" s="50">
        <v>1000.0</v>
      </c>
      <c r="U74" s="50">
        <v>3.0</v>
      </c>
      <c r="V74" s="50">
        <v>0.0</v>
      </c>
      <c r="W74" s="50">
        <v>7.0</v>
      </c>
      <c r="X74" s="50">
        <v>100.0</v>
      </c>
      <c r="Y74" s="50">
        <v>3.0</v>
      </c>
      <c r="Z74" s="50">
        <v>0.0</v>
      </c>
      <c r="AA74" s="50">
        <v>0.0</v>
      </c>
      <c r="AB74" s="116"/>
      <c r="AC74" s="116"/>
      <c r="AD74" s="116"/>
      <c r="AE74" s="116"/>
      <c r="AF74" s="116"/>
      <c r="AG74" s="116"/>
      <c r="AH74" s="50">
        <v>7.0</v>
      </c>
      <c r="AI74" s="50">
        <v>5000.0</v>
      </c>
      <c r="AJ74" s="50">
        <v>3.0</v>
      </c>
      <c r="AK74" s="50">
        <v>0.0</v>
      </c>
      <c r="AL74" s="50">
        <v>7.0</v>
      </c>
      <c r="AM74" s="50">
        <v>1000.0</v>
      </c>
      <c r="AN74" s="50">
        <v>3.0</v>
      </c>
      <c r="AO74" s="50">
        <v>0.0</v>
      </c>
      <c r="AP74" s="50">
        <v>1.0</v>
      </c>
      <c r="AQ74" s="50">
        <v>7.0</v>
      </c>
      <c r="AR74" s="50">
        <v>100.0</v>
      </c>
      <c r="AS74" s="50">
        <v>3.0</v>
      </c>
      <c r="AT74" s="50">
        <v>0.0</v>
      </c>
      <c r="AU74" s="50">
        <v>1.0</v>
      </c>
      <c r="AV74" s="50" t="s">
        <v>12159</v>
      </c>
      <c r="AW74" s="50" t="s">
        <v>12160</v>
      </c>
      <c r="AX74" s="116"/>
      <c r="AY74" s="116"/>
      <c r="AZ74" s="50">
        <v>7.0</v>
      </c>
      <c r="BA74" s="50">
        <v>1000.0</v>
      </c>
      <c r="BB74" s="50">
        <v>3.0</v>
      </c>
      <c r="BC74" s="50">
        <v>0.0</v>
      </c>
      <c r="BD74" s="50">
        <v>7.0</v>
      </c>
      <c r="BE74" s="50">
        <v>100.0</v>
      </c>
      <c r="BF74" s="50">
        <v>3.0</v>
      </c>
      <c r="BG74" s="50">
        <v>0.0</v>
      </c>
      <c r="BH74" s="50">
        <v>0.0</v>
      </c>
      <c r="BI74" s="116"/>
      <c r="BJ74" s="116"/>
      <c r="BK74" s="116"/>
      <c r="BL74" s="116"/>
      <c r="BM74" s="116"/>
      <c r="BN74" s="116"/>
      <c r="BO74" s="50">
        <v>7.0</v>
      </c>
      <c r="BP74" s="50">
        <v>5000.0</v>
      </c>
      <c r="BQ74" s="50">
        <v>3.0</v>
      </c>
      <c r="BR74" s="50">
        <v>0.0</v>
      </c>
      <c r="BS74" s="50">
        <v>7.0</v>
      </c>
      <c r="BT74" s="50">
        <v>1000.0</v>
      </c>
      <c r="BU74" s="50">
        <v>3.0</v>
      </c>
      <c r="BV74" s="50">
        <v>0.0</v>
      </c>
      <c r="BW74" s="50">
        <v>1.0</v>
      </c>
      <c r="BX74" s="50">
        <v>7.0</v>
      </c>
      <c r="BY74" s="50">
        <v>100.0</v>
      </c>
      <c r="BZ74" s="50">
        <v>3.0</v>
      </c>
      <c r="CA74" s="50">
        <v>0.0</v>
      </c>
      <c r="CB74" s="116"/>
      <c r="CC74" s="50" t="s">
        <v>12201</v>
      </c>
      <c r="CD74" s="50" t="s">
        <v>10362</v>
      </c>
      <c r="CE74" s="50">
        <v>0.0</v>
      </c>
      <c r="CF74" s="50" t="s">
        <v>10066</v>
      </c>
      <c r="CG74" s="117">
        <v>3291.0</v>
      </c>
      <c r="CH74" s="50" t="s">
        <v>12206</v>
      </c>
      <c r="CI74" s="50" t="s">
        <v>12207</v>
      </c>
      <c r="CJ74" s="117">
        <v>73.0</v>
      </c>
    </row>
    <row r="75">
      <c r="A75" s="50" t="s">
        <v>12208</v>
      </c>
      <c r="B75" s="50" t="s">
        <v>6876</v>
      </c>
      <c r="C75" s="50" t="s">
        <v>6877</v>
      </c>
      <c r="D75" s="50" t="s">
        <v>12210</v>
      </c>
      <c r="E75" s="50" t="s">
        <v>12211</v>
      </c>
      <c r="F75" s="50">
        <v>58.0</v>
      </c>
      <c r="G75" s="50">
        <v>1.0</v>
      </c>
      <c r="H75" s="50">
        <v>8.0</v>
      </c>
      <c r="I75" s="116"/>
      <c r="J75" s="116"/>
      <c r="K75" s="50" t="s">
        <v>942</v>
      </c>
      <c r="L75" s="50" t="s">
        <v>942</v>
      </c>
      <c r="M75" s="50" t="s">
        <v>12212</v>
      </c>
      <c r="N75" s="50" t="s">
        <v>12213</v>
      </c>
      <c r="O75" s="50" t="s">
        <v>12214</v>
      </c>
      <c r="P75" s="116"/>
      <c r="Q75" s="116"/>
      <c r="R75" s="116"/>
      <c r="S75" s="50">
        <v>7.0</v>
      </c>
      <c r="T75" s="50">
        <v>1000.0</v>
      </c>
      <c r="U75" s="50">
        <v>3.0</v>
      </c>
      <c r="V75" s="50">
        <v>0.0</v>
      </c>
      <c r="W75" s="50">
        <v>7.0</v>
      </c>
      <c r="X75" s="50">
        <v>100.0</v>
      </c>
      <c r="Y75" s="50">
        <v>3.0</v>
      </c>
      <c r="Z75" s="50">
        <v>0.0</v>
      </c>
      <c r="AA75" s="50">
        <v>0.0</v>
      </c>
      <c r="AB75" s="116"/>
      <c r="AC75" s="116"/>
      <c r="AD75" s="116"/>
      <c r="AE75" s="116"/>
      <c r="AF75" s="116"/>
      <c r="AG75" s="116"/>
      <c r="AH75" s="50">
        <v>7.0</v>
      </c>
      <c r="AI75" s="50">
        <v>1000.0</v>
      </c>
      <c r="AJ75" s="50">
        <v>3.0</v>
      </c>
      <c r="AK75" s="50">
        <v>0.0</v>
      </c>
      <c r="AL75" s="50">
        <v>7.0</v>
      </c>
      <c r="AM75" s="50">
        <v>100.0</v>
      </c>
      <c r="AN75" s="50">
        <v>3.0</v>
      </c>
      <c r="AO75" s="50">
        <v>0.0</v>
      </c>
      <c r="AP75" s="50">
        <v>1.0</v>
      </c>
      <c r="AQ75" s="50">
        <v>7.0</v>
      </c>
      <c r="AR75" s="50">
        <v>5000.0</v>
      </c>
      <c r="AS75" s="50">
        <v>3.0</v>
      </c>
      <c r="AT75" s="50">
        <v>0.0</v>
      </c>
      <c r="AU75" s="50">
        <v>1.0</v>
      </c>
      <c r="AV75" s="50" t="s">
        <v>8078</v>
      </c>
      <c r="AW75" s="50" t="s">
        <v>8119</v>
      </c>
      <c r="AX75" s="116"/>
      <c r="AY75" s="116"/>
      <c r="AZ75" s="50">
        <v>7.0</v>
      </c>
      <c r="BA75" s="50">
        <v>1000.0</v>
      </c>
      <c r="BB75" s="50">
        <v>3.0</v>
      </c>
      <c r="BC75" s="50">
        <v>0.0</v>
      </c>
      <c r="BD75" s="50">
        <v>7.0</v>
      </c>
      <c r="BE75" s="50">
        <v>100.0</v>
      </c>
      <c r="BF75" s="50">
        <v>3.0</v>
      </c>
      <c r="BG75" s="50">
        <v>0.0</v>
      </c>
      <c r="BH75" s="50">
        <v>0.0</v>
      </c>
      <c r="BI75" s="116"/>
      <c r="BJ75" s="116"/>
      <c r="BK75" s="116"/>
      <c r="BL75" s="116"/>
      <c r="BM75" s="116"/>
      <c r="BN75" s="116"/>
      <c r="BO75" s="50">
        <v>7.0</v>
      </c>
      <c r="BP75" s="50">
        <v>1000.0</v>
      </c>
      <c r="BQ75" s="50">
        <v>3.0</v>
      </c>
      <c r="BR75" s="50">
        <v>0.0</v>
      </c>
      <c r="BS75" s="50">
        <v>7.0</v>
      </c>
      <c r="BT75" s="50">
        <v>100.0</v>
      </c>
      <c r="BU75" s="50">
        <v>3.0</v>
      </c>
      <c r="BV75" s="50">
        <v>0.0</v>
      </c>
      <c r="BW75" s="50">
        <v>1.0</v>
      </c>
      <c r="BX75" s="50">
        <v>7.0</v>
      </c>
      <c r="BY75" s="50">
        <v>5000.0</v>
      </c>
      <c r="BZ75" s="50">
        <v>3.0</v>
      </c>
      <c r="CA75" s="50">
        <v>0.0</v>
      </c>
      <c r="CB75" s="116"/>
      <c r="CC75" s="116"/>
      <c r="CD75" s="50" t="s">
        <v>10362</v>
      </c>
      <c r="CE75" s="50">
        <v>0.0</v>
      </c>
      <c r="CF75" s="50" t="s">
        <v>10066</v>
      </c>
      <c r="CG75" s="117">
        <v>3656.0</v>
      </c>
      <c r="CH75" s="50" t="s">
        <v>12239</v>
      </c>
      <c r="CI75" s="50" t="s">
        <v>12240</v>
      </c>
      <c r="CJ75" s="117">
        <v>74.0</v>
      </c>
    </row>
    <row r="76">
      <c r="A76" s="50" t="s">
        <v>12242</v>
      </c>
      <c r="B76" s="50" t="s">
        <v>6876</v>
      </c>
      <c r="C76" s="50" t="s">
        <v>6877</v>
      </c>
      <c r="D76" s="50" t="s">
        <v>12210</v>
      </c>
      <c r="E76" s="50" t="s">
        <v>12245</v>
      </c>
      <c r="F76" s="50">
        <v>58.0</v>
      </c>
      <c r="G76" s="50">
        <v>1.0</v>
      </c>
      <c r="H76" s="50">
        <v>8.0</v>
      </c>
      <c r="I76" s="116"/>
      <c r="J76" s="116"/>
      <c r="K76" s="50" t="s">
        <v>944</v>
      </c>
      <c r="L76" s="50" t="s">
        <v>944</v>
      </c>
      <c r="M76" s="50" t="s">
        <v>12212</v>
      </c>
      <c r="N76" s="50" t="s">
        <v>12213</v>
      </c>
      <c r="O76" s="50" t="s">
        <v>12214</v>
      </c>
      <c r="P76" s="116"/>
      <c r="Q76" s="116"/>
      <c r="R76" s="116"/>
      <c r="S76" s="50">
        <v>7.0</v>
      </c>
      <c r="T76" s="50">
        <v>1000.0</v>
      </c>
      <c r="U76" s="50">
        <v>3.0</v>
      </c>
      <c r="V76" s="50">
        <v>0.0</v>
      </c>
      <c r="W76" s="50">
        <v>7.0</v>
      </c>
      <c r="X76" s="50">
        <v>100.0</v>
      </c>
      <c r="Y76" s="50">
        <v>3.0</v>
      </c>
      <c r="Z76" s="50">
        <v>0.0</v>
      </c>
      <c r="AA76" s="50">
        <v>0.0</v>
      </c>
      <c r="AB76" s="116"/>
      <c r="AC76" s="116"/>
      <c r="AD76" s="116"/>
      <c r="AE76" s="116"/>
      <c r="AF76" s="116"/>
      <c r="AG76" s="116"/>
      <c r="AH76" s="50">
        <v>7.0</v>
      </c>
      <c r="AI76" s="50">
        <v>1000.0</v>
      </c>
      <c r="AJ76" s="50">
        <v>3.0</v>
      </c>
      <c r="AK76" s="50">
        <v>0.0</v>
      </c>
      <c r="AL76" s="50">
        <v>7.0</v>
      </c>
      <c r="AM76" s="50">
        <v>100.0</v>
      </c>
      <c r="AN76" s="50">
        <v>3.0</v>
      </c>
      <c r="AO76" s="50">
        <v>0.0</v>
      </c>
      <c r="AP76" s="50">
        <v>1.0</v>
      </c>
      <c r="AQ76" s="50">
        <v>7.0</v>
      </c>
      <c r="AR76" s="50">
        <v>5000.0</v>
      </c>
      <c r="AS76" s="50">
        <v>3.0</v>
      </c>
      <c r="AT76" s="50">
        <v>0.0</v>
      </c>
      <c r="AU76" s="50">
        <v>1.0</v>
      </c>
      <c r="AV76" s="50" t="s">
        <v>12258</v>
      </c>
      <c r="AW76" s="50" t="s">
        <v>8119</v>
      </c>
      <c r="AX76" s="116"/>
      <c r="AY76" s="116"/>
      <c r="AZ76" s="50">
        <v>7.0</v>
      </c>
      <c r="BA76" s="50">
        <v>1000.0</v>
      </c>
      <c r="BB76" s="50">
        <v>3.0</v>
      </c>
      <c r="BC76" s="50">
        <v>0.0</v>
      </c>
      <c r="BD76" s="50">
        <v>7.0</v>
      </c>
      <c r="BE76" s="50">
        <v>100.0</v>
      </c>
      <c r="BF76" s="50">
        <v>3.0</v>
      </c>
      <c r="BG76" s="50">
        <v>0.0</v>
      </c>
      <c r="BH76" s="50">
        <v>0.0</v>
      </c>
      <c r="BI76" s="116"/>
      <c r="BJ76" s="116"/>
      <c r="BK76" s="116"/>
      <c r="BL76" s="116"/>
      <c r="BM76" s="116"/>
      <c r="BN76" s="116"/>
      <c r="BO76" s="50">
        <v>7.0</v>
      </c>
      <c r="BP76" s="50">
        <v>1000.0</v>
      </c>
      <c r="BQ76" s="50">
        <v>3.0</v>
      </c>
      <c r="BR76" s="50">
        <v>0.0</v>
      </c>
      <c r="BS76" s="50">
        <v>7.0</v>
      </c>
      <c r="BT76" s="50">
        <v>100.0</v>
      </c>
      <c r="BU76" s="50">
        <v>3.0</v>
      </c>
      <c r="BV76" s="50">
        <v>0.0</v>
      </c>
      <c r="BW76" s="50">
        <v>1.0</v>
      </c>
      <c r="BX76" s="50">
        <v>7.0</v>
      </c>
      <c r="BY76" s="50">
        <v>5000.0</v>
      </c>
      <c r="BZ76" s="50">
        <v>3.0</v>
      </c>
      <c r="CA76" s="50">
        <v>0.0</v>
      </c>
      <c r="CB76" s="116"/>
      <c r="CC76" s="116"/>
      <c r="CD76" s="50" t="s">
        <v>10362</v>
      </c>
      <c r="CE76" s="50">
        <v>0.0</v>
      </c>
      <c r="CF76" s="50" t="s">
        <v>10066</v>
      </c>
      <c r="CG76" s="117">
        <v>3657.0</v>
      </c>
      <c r="CH76" s="50" t="s">
        <v>12268</v>
      </c>
      <c r="CI76" s="50" t="s">
        <v>12270</v>
      </c>
      <c r="CJ76" s="117">
        <v>75.0</v>
      </c>
    </row>
    <row r="77">
      <c r="A77" s="50" t="s">
        <v>12271</v>
      </c>
      <c r="B77" s="50" t="s">
        <v>6876</v>
      </c>
      <c r="C77" s="50" t="s">
        <v>6877</v>
      </c>
      <c r="D77" s="50" t="s">
        <v>12210</v>
      </c>
      <c r="E77" s="50" t="s">
        <v>12272</v>
      </c>
      <c r="F77" s="50">
        <v>58.0</v>
      </c>
      <c r="G77" s="50">
        <v>1.0</v>
      </c>
      <c r="H77" s="50">
        <v>10.0</v>
      </c>
      <c r="I77" s="116"/>
      <c r="J77" s="116"/>
      <c r="K77" s="50" t="s">
        <v>958</v>
      </c>
      <c r="L77" s="50" t="s">
        <v>958</v>
      </c>
      <c r="M77" s="50" t="s">
        <v>12212</v>
      </c>
      <c r="N77" s="50" t="s">
        <v>12213</v>
      </c>
      <c r="O77" s="50" t="s">
        <v>12214</v>
      </c>
      <c r="P77" s="116"/>
      <c r="Q77" s="116"/>
      <c r="R77" s="116"/>
      <c r="S77" s="50">
        <v>7.0</v>
      </c>
      <c r="T77" s="50">
        <v>1000.0</v>
      </c>
      <c r="U77" s="50">
        <v>3.0</v>
      </c>
      <c r="V77" s="50">
        <v>0.0</v>
      </c>
      <c r="W77" s="50">
        <v>7.0</v>
      </c>
      <c r="X77" s="50">
        <v>100.0</v>
      </c>
      <c r="Y77" s="50">
        <v>3.0</v>
      </c>
      <c r="Z77" s="50">
        <v>0.0</v>
      </c>
      <c r="AA77" s="50">
        <v>0.0</v>
      </c>
      <c r="AB77" s="116"/>
      <c r="AC77" s="116"/>
      <c r="AD77" s="116"/>
      <c r="AE77" s="116"/>
      <c r="AF77" s="116"/>
      <c r="AG77" s="116"/>
      <c r="AH77" s="50">
        <v>7.0</v>
      </c>
      <c r="AI77" s="50">
        <v>1000.0</v>
      </c>
      <c r="AJ77" s="50">
        <v>3.0</v>
      </c>
      <c r="AK77" s="50">
        <v>0.0</v>
      </c>
      <c r="AL77" s="50">
        <v>7.0</v>
      </c>
      <c r="AM77" s="50">
        <v>100.0</v>
      </c>
      <c r="AN77" s="50">
        <v>3.0</v>
      </c>
      <c r="AO77" s="50">
        <v>0.0</v>
      </c>
      <c r="AP77" s="50">
        <v>1.0</v>
      </c>
      <c r="AQ77" s="50">
        <v>7.0</v>
      </c>
      <c r="AR77" s="50">
        <v>5000.0</v>
      </c>
      <c r="AS77" s="50">
        <v>3.0</v>
      </c>
      <c r="AT77" s="50">
        <v>0.0</v>
      </c>
      <c r="AU77" s="50">
        <v>1.0</v>
      </c>
      <c r="AV77" s="50" t="s">
        <v>8078</v>
      </c>
      <c r="AW77" s="50" t="s">
        <v>8119</v>
      </c>
      <c r="AX77" s="116"/>
      <c r="AY77" s="116"/>
      <c r="AZ77" s="50">
        <v>7.0</v>
      </c>
      <c r="BA77" s="50">
        <v>1000.0</v>
      </c>
      <c r="BB77" s="50">
        <v>3.0</v>
      </c>
      <c r="BC77" s="50">
        <v>0.0</v>
      </c>
      <c r="BD77" s="50">
        <v>7.0</v>
      </c>
      <c r="BE77" s="50">
        <v>100.0</v>
      </c>
      <c r="BF77" s="50">
        <v>3.0</v>
      </c>
      <c r="BG77" s="50">
        <v>0.0</v>
      </c>
      <c r="BH77" s="50">
        <v>0.0</v>
      </c>
      <c r="BI77" s="116"/>
      <c r="BJ77" s="116"/>
      <c r="BK77" s="116"/>
      <c r="BL77" s="116"/>
      <c r="BM77" s="116"/>
      <c r="BN77" s="116"/>
      <c r="BO77" s="50">
        <v>7.0</v>
      </c>
      <c r="BP77" s="50">
        <v>1000.0</v>
      </c>
      <c r="BQ77" s="50">
        <v>3.0</v>
      </c>
      <c r="BR77" s="50">
        <v>0.0</v>
      </c>
      <c r="BS77" s="50">
        <v>7.0</v>
      </c>
      <c r="BT77" s="50">
        <v>100.0</v>
      </c>
      <c r="BU77" s="50">
        <v>3.0</v>
      </c>
      <c r="BV77" s="50">
        <v>0.0</v>
      </c>
      <c r="BW77" s="50">
        <v>1.0</v>
      </c>
      <c r="BX77" s="50">
        <v>7.0</v>
      </c>
      <c r="BY77" s="50">
        <v>5000.0</v>
      </c>
      <c r="BZ77" s="50">
        <v>3.0</v>
      </c>
      <c r="CA77" s="50">
        <v>0.0</v>
      </c>
      <c r="CB77" s="116"/>
      <c r="CC77" s="116"/>
      <c r="CD77" s="50" t="s">
        <v>10362</v>
      </c>
      <c r="CE77" s="50">
        <v>0.0</v>
      </c>
      <c r="CF77" s="50" t="s">
        <v>10066</v>
      </c>
      <c r="CG77" s="117">
        <v>3658.0</v>
      </c>
      <c r="CH77" s="50" t="s">
        <v>12285</v>
      </c>
      <c r="CI77" s="50" t="s">
        <v>12287</v>
      </c>
      <c r="CJ77" s="117">
        <v>76.0</v>
      </c>
    </row>
    <row r="78">
      <c r="A78" s="50" t="s">
        <v>12288</v>
      </c>
      <c r="B78" s="50" t="s">
        <v>6876</v>
      </c>
      <c r="C78" s="50" t="s">
        <v>6877</v>
      </c>
      <c r="D78" s="50" t="s">
        <v>12210</v>
      </c>
      <c r="E78" s="50" t="s">
        <v>12290</v>
      </c>
      <c r="F78" s="50">
        <v>58.0</v>
      </c>
      <c r="G78" s="50">
        <v>1.0</v>
      </c>
      <c r="H78" s="50">
        <v>10.0</v>
      </c>
      <c r="I78" s="116"/>
      <c r="J78" s="116"/>
      <c r="K78" s="50" t="s">
        <v>959</v>
      </c>
      <c r="L78" s="50" t="s">
        <v>959</v>
      </c>
      <c r="M78" s="50" t="s">
        <v>12212</v>
      </c>
      <c r="N78" s="50" t="s">
        <v>12213</v>
      </c>
      <c r="O78" s="50" t="s">
        <v>12214</v>
      </c>
      <c r="P78" s="116"/>
      <c r="Q78" s="116"/>
      <c r="R78" s="116"/>
      <c r="S78" s="50">
        <v>7.0</v>
      </c>
      <c r="T78" s="50">
        <v>1000.0</v>
      </c>
      <c r="U78" s="50">
        <v>3.0</v>
      </c>
      <c r="V78" s="50">
        <v>0.0</v>
      </c>
      <c r="W78" s="50">
        <v>7.0</v>
      </c>
      <c r="X78" s="50">
        <v>100.0</v>
      </c>
      <c r="Y78" s="50">
        <v>3.0</v>
      </c>
      <c r="Z78" s="50">
        <v>0.0</v>
      </c>
      <c r="AA78" s="50">
        <v>0.0</v>
      </c>
      <c r="AB78" s="116"/>
      <c r="AC78" s="116"/>
      <c r="AD78" s="116"/>
      <c r="AE78" s="116"/>
      <c r="AF78" s="116"/>
      <c r="AG78" s="116"/>
      <c r="AH78" s="50">
        <v>7.0</v>
      </c>
      <c r="AI78" s="50">
        <v>1000.0</v>
      </c>
      <c r="AJ78" s="50">
        <v>3.0</v>
      </c>
      <c r="AK78" s="50">
        <v>0.0</v>
      </c>
      <c r="AL78" s="50">
        <v>7.0</v>
      </c>
      <c r="AM78" s="50">
        <v>100.0</v>
      </c>
      <c r="AN78" s="50">
        <v>3.0</v>
      </c>
      <c r="AO78" s="50">
        <v>0.0</v>
      </c>
      <c r="AP78" s="50">
        <v>1.0</v>
      </c>
      <c r="AQ78" s="50">
        <v>7.0</v>
      </c>
      <c r="AR78" s="50">
        <v>5000.0</v>
      </c>
      <c r="AS78" s="50">
        <v>3.0</v>
      </c>
      <c r="AT78" s="50">
        <v>0.0</v>
      </c>
      <c r="AU78" s="50">
        <v>1.0</v>
      </c>
      <c r="AV78" s="50" t="s">
        <v>8078</v>
      </c>
      <c r="AW78" s="50" t="s">
        <v>8119</v>
      </c>
      <c r="AX78" s="116"/>
      <c r="AY78" s="116"/>
      <c r="AZ78" s="50">
        <v>7.0</v>
      </c>
      <c r="BA78" s="50">
        <v>1000.0</v>
      </c>
      <c r="BB78" s="50">
        <v>3.0</v>
      </c>
      <c r="BC78" s="50">
        <v>0.0</v>
      </c>
      <c r="BD78" s="50">
        <v>7.0</v>
      </c>
      <c r="BE78" s="50">
        <v>100.0</v>
      </c>
      <c r="BF78" s="50">
        <v>3.0</v>
      </c>
      <c r="BG78" s="50">
        <v>0.0</v>
      </c>
      <c r="BH78" s="50">
        <v>0.0</v>
      </c>
      <c r="BI78" s="116"/>
      <c r="BJ78" s="116"/>
      <c r="BK78" s="116"/>
      <c r="BL78" s="116"/>
      <c r="BM78" s="116"/>
      <c r="BN78" s="116"/>
      <c r="BO78" s="50">
        <v>7.0</v>
      </c>
      <c r="BP78" s="50">
        <v>1000.0</v>
      </c>
      <c r="BQ78" s="50">
        <v>3.0</v>
      </c>
      <c r="BR78" s="50">
        <v>0.0</v>
      </c>
      <c r="BS78" s="50">
        <v>7.0</v>
      </c>
      <c r="BT78" s="50">
        <v>100.0</v>
      </c>
      <c r="BU78" s="50">
        <v>3.0</v>
      </c>
      <c r="BV78" s="50">
        <v>0.0</v>
      </c>
      <c r="BW78" s="50">
        <v>1.0</v>
      </c>
      <c r="BX78" s="50">
        <v>7.0</v>
      </c>
      <c r="BY78" s="50">
        <v>5000.0</v>
      </c>
      <c r="BZ78" s="50">
        <v>3.0</v>
      </c>
      <c r="CA78" s="50">
        <v>0.0</v>
      </c>
      <c r="CB78" s="116"/>
      <c r="CC78" s="116"/>
      <c r="CD78" s="50" t="s">
        <v>10362</v>
      </c>
      <c r="CE78" s="50">
        <v>0.0</v>
      </c>
      <c r="CF78" s="50" t="s">
        <v>10066</v>
      </c>
      <c r="CG78" s="117">
        <v>3659.0</v>
      </c>
      <c r="CH78" s="50" t="s">
        <v>12316</v>
      </c>
      <c r="CI78" s="50" t="s">
        <v>12317</v>
      </c>
      <c r="CJ78" s="117">
        <v>77.0</v>
      </c>
    </row>
    <row r="79">
      <c r="A79" s="50" t="s">
        <v>12318</v>
      </c>
      <c r="B79" s="50" t="s">
        <v>6876</v>
      </c>
      <c r="C79" s="50" t="s">
        <v>6877</v>
      </c>
      <c r="D79" s="50" t="s">
        <v>8310</v>
      </c>
      <c r="E79" s="50" t="s">
        <v>12320</v>
      </c>
      <c r="F79" s="50">
        <v>58.0</v>
      </c>
      <c r="G79" s="50">
        <v>1.0</v>
      </c>
      <c r="H79" s="50">
        <v>2.0</v>
      </c>
      <c r="I79" s="116"/>
      <c r="J79" s="116"/>
      <c r="K79" s="50" t="s">
        <v>978</v>
      </c>
      <c r="L79" s="50" t="s">
        <v>978</v>
      </c>
      <c r="M79" s="50" t="s">
        <v>12323</v>
      </c>
      <c r="N79" s="50" t="s">
        <v>8269</v>
      </c>
      <c r="O79" s="50" t="s">
        <v>12324</v>
      </c>
      <c r="P79" s="116"/>
      <c r="Q79" s="116"/>
      <c r="R79" s="116"/>
      <c r="S79" s="50">
        <v>7.0</v>
      </c>
      <c r="T79" s="50">
        <v>1000.0</v>
      </c>
      <c r="U79" s="50">
        <v>3.0</v>
      </c>
      <c r="V79" s="50">
        <v>0.0</v>
      </c>
      <c r="W79" s="50">
        <v>7.0</v>
      </c>
      <c r="X79" s="50">
        <v>100.0</v>
      </c>
      <c r="Y79" s="50">
        <v>3.0</v>
      </c>
      <c r="Z79" s="50">
        <v>0.0</v>
      </c>
      <c r="AA79" s="50">
        <v>0.0</v>
      </c>
      <c r="AB79" s="116"/>
      <c r="AC79" s="116"/>
      <c r="AD79" s="116"/>
      <c r="AE79" s="116"/>
      <c r="AF79" s="116"/>
      <c r="AG79" s="116"/>
      <c r="AH79" s="50">
        <v>7.0</v>
      </c>
      <c r="AI79" s="50">
        <v>1000.0</v>
      </c>
      <c r="AJ79" s="50">
        <v>3.0</v>
      </c>
      <c r="AK79" s="50">
        <v>0.0</v>
      </c>
      <c r="AL79" s="50">
        <v>7.0</v>
      </c>
      <c r="AM79" s="50">
        <v>100.0</v>
      </c>
      <c r="AN79" s="50">
        <v>3.0</v>
      </c>
      <c r="AO79" s="50">
        <v>0.0</v>
      </c>
      <c r="AP79" s="50">
        <v>1.0</v>
      </c>
      <c r="AQ79" s="50">
        <v>7.0</v>
      </c>
      <c r="AR79" s="50">
        <v>5000.0</v>
      </c>
      <c r="AS79" s="50">
        <v>3.0</v>
      </c>
      <c r="AT79" s="50">
        <v>0.0</v>
      </c>
      <c r="AU79" s="50">
        <v>1.0</v>
      </c>
      <c r="AV79" s="50" t="s">
        <v>12329</v>
      </c>
      <c r="AW79" s="50" t="s">
        <v>12331</v>
      </c>
      <c r="AX79" s="116"/>
      <c r="AY79" s="116"/>
      <c r="AZ79" s="50">
        <v>7.0</v>
      </c>
      <c r="BA79" s="50">
        <v>1000.0</v>
      </c>
      <c r="BB79" s="50">
        <v>3.0</v>
      </c>
      <c r="BC79" s="50">
        <v>0.0</v>
      </c>
      <c r="BD79" s="50">
        <v>7.0</v>
      </c>
      <c r="BE79" s="50">
        <v>100.0</v>
      </c>
      <c r="BF79" s="50">
        <v>3.0</v>
      </c>
      <c r="BG79" s="50">
        <v>0.0</v>
      </c>
      <c r="BH79" s="50">
        <v>0.0</v>
      </c>
      <c r="BI79" s="116"/>
      <c r="BJ79" s="116"/>
      <c r="BK79" s="116"/>
      <c r="BL79" s="116"/>
      <c r="BM79" s="116"/>
      <c r="BN79" s="116"/>
      <c r="BO79" s="50">
        <v>7.0</v>
      </c>
      <c r="BP79" s="50">
        <v>1000.0</v>
      </c>
      <c r="BQ79" s="50">
        <v>3.0</v>
      </c>
      <c r="BR79" s="50">
        <v>0.0</v>
      </c>
      <c r="BS79" s="50">
        <v>7.0</v>
      </c>
      <c r="BT79" s="50">
        <v>100.0</v>
      </c>
      <c r="BU79" s="50">
        <v>3.0</v>
      </c>
      <c r="BV79" s="50">
        <v>0.0</v>
      </c>
      <c r="BW79" s="50">
        <v>1.0</v>
      </c>
      <c r="BX79" s="50">
        <v>7.0</v>
      </c>
      <c r="BY79" s="50">
        <v>5000.0</v>
      </c>
      <c r="BZ79" s="50">
        <v>3.0</v>
      </c>
      <c r="CA79" s="50">
        <v>0.0</v>
      </c>
      <c r="CB79" s="116"/>
      <c r="CC79" s="116"/>
      <c r="CD79" s="50" t="s">
        <v>10362</v>
      </c>
      <c r="CE79" s="50">
        <v>0.0</v>
      </c>
      <c r="CF79" s="50" t="s">
        <v>10066</v>
      </c>
      <c r="CG79" s="117">
        <v>3743.0</v>
      </c>
      <c r="CH79" s="50" t="s">
        <v>12341</v>
      </c>
      <c r="CI79" s="50" t="s">
        <v>12344</v>
      </c>
      <c r="CJ79" s="117">
        <v>78.0</v>
      </c>
    </row>
    <row r="80">
      <c r="A80" s="50" t="s">
        <v>12345</v>
      </c>
      <c r="B80" s="50" t="s">
        <v>6876</v>
      </c>
      <c r="C80" s="50" t="s">
        <v>6877</v>
      </c>
      <c r="D80" s="50" t="s">
        <v>8310</v>
      </c>
      <c r="E80" s="50" t="s">
        <v>12346</v>
      </c>
      <c r="F80" s="50">
        <v>58.0</v>
      </c>
      <c r="G80" s="50">
        <v>1.0</v>
      </c>
      <c r="H80" s="50">
        <v>2.0</v>
      </c>
      <c r="I80" s="116"/>
      <c r="J80" s="116"/>
      <c r="K80" s="50" t="s">
        <v>979</v>
      </c>
      <c r="L80" s="50" t="s">
        <v>979</v>
      </c>
      <c r="M80" s="50" t="s">
        <v>12323</v>
      </c>
      <c r="N80" s="50" t="s">
        <v>8269</v>
      </c>
      <c r="O80" s="50" t="s">
        <v>12324</v>
      </c>
      <c r="P80" s="116"/>
      <c r="Q80" s="116"/>
      <c r="R80" s="116"/>
      <c r="S80" s="50">
        <v>7.0</v>
      </c>
      <c r="T80" s="50">
        <v>1000.0</v>
      </c>
      <c r="U80" s="50">
        <v>3.0</v>
      </c>
      <c r="V80" s="50">
        <v>0.0</v>
      </c>
      <c r="W80" s="50">
        <v>7.0</v>
      </c>
      <c r="X80" s="50">
        <v>100.0</v>
      </c>
      <c r="Y80" s="50">
        <v>3.0</v>
      </c>
      <c r="Z80" s="50">
        <v>0.0</v>
      </c>
      <c r="AA80" s="50">
        <v>0.0</v>
      </c>
      <c r="AB80" s="116"/>
      <c r="AC80" s="116"/>
      <c r="AD80" s="116"/>
      <c r="AE80" s="116"/>
      <c r="AF80" s="116"/>
      <c r="AG80" s="116"/>
      <c r="AH80" s="50">
        <v>7.0</v>
      </c>
      <c r="AI80" s="50">
        <v>1000.0</v>
      </c>
      <c r="AJ80" s="50">
        <v>3.0</v>
      </c>
      <c r="AK80" s="50">
        <v>0.0</v>
      </c>
      <c r="AL80" s="50">
        <v>7.0</v>
      </c>
      <c r="AM80" s="50">
        <v>100.0</v>
      </c>
      <c r="AN80" s="50">
        <v>3.0</v>
      </c>
      <c r="AO80" s="50">
        <v>0.0</v>
      </c>
      <c r="AP80" s="50">
        <v>1.0</v>
      </c>
      <c r="AQ80" s="50">
        <v>7.0</v>
      </c>
      <c r="AR80" s="50">
        <v>5000.0</v>
      </c>
      <c r="AS80" s="50">
        <v>3.0</v>
      </c>
      <c r="AT80" s="50">
        <v>0.0</v>
      </c>
      <c r="AU80" s="50">
        <v>1.0</v>
      </c>
      <c r="AV80" s="50" t="s">
        <v>12329</v>
      </c>
      <c r="AW80" s="50" t="s">
        <v>12331</v>
      </c>
      <c r="AX80" s="116"/>
      <c r="AY80" s="116"/>
      <c r="AZ80" s="50">
        <v>7.0</v>
      </c>
      <c r="BA80" s="50">
        <v>1000.0</v>
      </c>
      <c r="BB80" s="50">
        <v>3.0</v>
      </c>
      <c r="BC80" s="50">
        <v>0.0</v>
      </c>
      <c r="BD80" s="50">
        <v>7.0</v>
      </c>
      <c r="BE80" s="50">
        <v>100.0</v>
      </c>
      <c r="BF80" s="50">
        <v>3.0</v>
      </c>
      <c r="BG80" s="50">
        <v>0.0</v>
      </c>
      <c r="BH80" s="50">
        <v>0.0</v>
      </c>
      <c r="BI80" s="116"/>
      <c r="BJ80" s="116"/>
      <c r="BK80" s="116"/>
      <c r="BL80" s="116"/>
      <c r="BM80" s="116"/>
      <c r="BN80" s="116"/>
      <c r="BO80" s="50">
        <v>7.0</v>
      </c>
      <c r="BP80" s="50">
        <v>1000.0</v>
      </c>
      <c r="BQ80" s="50">
        <v>3.0</v>
      </c>
      <c r="BR80" s="50">
        <v>0.0</v>
      </c>
      <c r="BS80" s="50">
        <v>7.0</v>
      </c>
      <c r="BT80" s="50">
        <v>100.0</v>
      </c>
      <c r="BU80" s="50">
        <v>3.0</v>
      </c>
      <c r="BV80" s="50">
        <v>0.0</v>
      </c>
      <c r="BW80" s="50">
        <v>1.0</v>
      </c>
      <c r="BX80" s="50">
        <v>7.0</v>
      </c>
      <c r="BY80" s="50">
        <v>5000.0</v>
      </c>
      <c r="BZ80" s="50">
        <v>3.0</v>
      </c>
      <c r="CA80" s="50">
        <v>0.0</v>
      </c>
      <c r="CB80" s="116"/>
      <c r="CC80" s="123"/>
      <c r="CD80" s="50" t="s">
        <v>10362</v>
      </c>
      <c r="CE80" s="50">
        <v>0.0</v>
      </c>
      <c r="CF80" s="50" t="s">
        <v>10066</v>
      </c>
      <c r="CG80" s="117">
        <v>3744.0</v>
      </c>
      <c r="CH80" s="50" t="s">
        <v>12364</v>
      </c>
      <c r="CI80" s="50" t="s">
        <v>12366</v>
      </c>
      <c r="CJ80" s="117">
        <v>79.0</v>
      </c>
    </row>
    <row r="81">
      <c r="A81" s="50" t="s">
        <v>12368</v>
      </c>
      <c r="B81" s="50" t="s">
        <v>6876</v>
      </c>
      <c r="C81" s="50" t="s">
        <v>6877</v>
      </c>
      <c r="D81" s="50" t="s">
        <v>8310</v>
      </c>
      <c r="E81" s="50" t="s">
        <v>12369</v>
      </c>
      <c r="F81" s="50">
        <v>58.0</v>
      </c>
      <c r="G81" s="50">
        <v>1.0</v>
      </c>
      <c r="H81" s="50">
        <v>2.0</v>
      </c>
      <c r="I81" s="116"/>
      <c r="J81" s="116"/>
      <c r="K81" s="50" t="s">
        <v>981</v>
      </c>
      <c r="L81" s="50" t="s">
        <v>981</v>
      </c>
      <c r="M81" s="50" t="s">
        <v>12323</v>
      </c>
      <c r="N81" s="50" t="s">
        <v>8269</v>
      </c>
      <c r="O81" s="50" t="s">
        <v>12324</v>
      </c>
      <c r="P81" s="116"/>
      <c r="Q81" s="116"/>
      <c r="R81" s="116"/>
      <c r="S81" s="50">
        <v>7.0</v>
      </c>
      <c r="T81" s="50">
        <v>1000.0</v>
      </c>
      <c r="U81" s="50">
        <v>3.0</v>
      </c>
      <c r="V81" s="50">
        <v>0.0</v>
      </c>
      <c r="W81" s="50">
        <v>7.0</v>
      </c>
      <c r="X81" s="50">
        <v>100.0</v>
      </c>
      <c r="Y81" s="50">
        <v>3.0</v>
      </c>
      <c r="Z81" s="50">
        <v>0.0</v>
      </c>
      <c r="AA81" s="50">
        <v>0.0</v>
      </c>
      <c r="AB81" s="116"/>
      <c r="AC81" s="116"/>
      <c r="AD81" s="116"/>
      <c r="AE81" s="116"/>
      <c r="AF81" s="116"/>
      <c r="AG81" s="116"/>
      <c r="AH81" s="50">
        <v>7.0</v>
      </c>
      <c r="AI81" s="50">
        <v>1000.0</v>
      </c>
      <c r="AJ81" s="50">
        <v>3.0</v>
      </c>
      <c r="AK81" s="50">
        <v>0.0</v>
      </c>
      <c r="AL81" s="50">
        <v>7.0</v>
      </c>
      <c r="AM81" s="50">
        <v>100.0</v>
      </c>
      <c r="AN81" s="50">
        <v>3.0</v>
      </c>
      <c r="AO81" s="50">
        <v>0.0</v>
      </c>
      <c r="AP81" s="50">
        <v>1.0</v>
      </c>
      <c r="AQ81" s="50">
        <v>7.0</v>
      </c>
      <c r="AR81" s="50">
        <v>5000.0</v>
      </c>
      <c r="AS81" s="50">
        <v>3.0</v>
      </c>
      <c r="AT81" s="50">
        <v>0.0</v>
      </c>
      <c r="AU81" s="50">
        <v>1.0</v>
      </c>
      <c r="AV81" s="50" t="s">
        <v>12329</v>
      </c>
      <c r="AW81" s="50" t="s">
        <v>12331</v>
      </c>
      <c r="AX81" s="116"/>
      <c r="AY81" s="116"/>
      <c r="AZ81" s="50">
        <v>7.0</v>
      </c>
      <c r="BA81" s="50">
        <v>1000.0</v>
      </c>
      <c r="BB81" s="50">
        <v>3.0</v>
      </c>
      <c r="BC81" s="50">
        <v>0.0</v>
      </c>
      <c r="BD81" s="50">
        <v>7.0</v>
      </c>
      <c r="BE81" s="50">
        <v>100.0</v>
      </c>
      <c r="BF81" s="50">
        <v>3.0</v>
      </c>
      <c r="BG81" s="50">
        <v>0.0</v>
      </c>
      <c r="BH81" s="50">
        <v>0.0</v>
      </c>
      <c r="BI81" s="116"/>
      <c r="BJ81" s="116"/>
      <c r="BK81" s="116"/>
      <c r="BL81" s="116"/>
      <c r="BM81" s="116"/>
      <c r="BN81" s="116"/>
      <c r="BO81" s="50">
        <v>7.0</v>
      </c>
      <c r="BP81" s="50">
        <v>1000.0</v>
      </c>
      <c r="BQ81" s="50">
        <v>3.0</v>
      </c>
      <c r="BR81" s="50">
        <v>0.0</v>
      </c>
      <c r="BS81" s="50">
        <v>7.0</v>
      </c>
      <c r="BT81" s="50">
        <v>100.0</v>
      </c>
      <c r="BU81" s="50">
        <v>3.0</v>
      </c>
      <c r="BV81" s="50">
        <v>0.0</v>
      </c>
      <c r="BW81" s="50">
        <v>1.0</v>
      </c>
      <c r="BX81" s="50">
        <v>7.0</v>
      </c>
      <c r="BY81" s="50">
        <v>5000.0</v>
      </c>
      <c r="BZ81" s="50">
        <v>3.0</v>
      </c>
      <c r="CA81" s="50">
        <v>0.0</v>
      </c>
      <c r="CB81" s="116"/>
      <c r="CC81" s="123"/>
      <c r="CD81" s="50" t="s">
        <v>10362</v>
      </c>
      <c r="CE81" s="50">
        <v>0.0</v>
      </c>
      <c r="CF81" s="50" t="s">
        <v>10066</v>
      </c>
      <c r="CG81" s="117">
        <v>3745.0</v>
      </c>
      <c r="CH81" s="50" t="s">
        <v>12391</v>
      </c>
      <c r="CI81" s="50" t="s">
        <v>12393</v>
      </c>
      <c r="CJ81" s="117">
        <v>80.0</v>
      </c>
    </row>
    <row r="82">
      <c r="A82" s="50" t="s">
        <v>12394</v>
      </c>
      <c r="B82" s="50" t="s">
        <v>6876</v>
      </c>
      <c r="C82" s="50" t="s">
        <v>6877</v>
      </c>
      <c r="D82" s="50" t="s">
        <v>8310</v>
      </c>
      <c r="E82" s="50" t="s">
        <v>12398</v>
      </c>
      <c r="F82" s="50">
        <v>58.0</v>
      </c>
      <c r="G82" s="50">
        <v>1.0</v>
      </c>
      <c r="H82" s="50">
        <v>5.0</v>
      </c>
      <c r="I82" s="116"/>
      <c r="J82" s="116"/>
      <c r="K82" s="50" t="s">
        <v>998</v>
      </c>
      <c r="L82" s="50" t="s">
        <v>998</v>
      </c>
      <c r="M82" s="50" t="s">
        <v>12323</v>
      </c>
      <c r="N82" s="50" t="s">
        <v>8269</v>
      </c>
      <c r="O82" s="50" t="s">
        <v>12324</v>
      </c>
      <c r="P82" s="116"/>
      <c r="Q82" s="116"/>
      <c r="R82" s="116"/>
      <c r="S82" s="50">
        <v>7.0</v>
      </c>
      <c r="T82" s="50">
        <v>1000.0</v>
      </c>
      <c r="U82" s="50">
        <v>3.0</v>
      </c>
      <c r="V82" s="50">
        <v>5.0</v>
      </c>
      <c r="W82" s="50">
        <v>7.0</v>
      </c>
      <c r="X82" s="50">
        <v>100.0</v>
      </c>
      <c r="Y82" s="50">
        <v>3.0</v>
      </c>
      <c r="Z82" s="50">
        <v>0.0</v>
      </c>
      <c r="AA82" s="50">
        <v>0.0</v>
      </c>
      <c r="AB82" s="116"/>
      <c r="AC82" s="116"/>
      <c r="AD82" s="116"/>
      <c r="AE82" s="116"/>
      <c r="AF82" s="116"/>
      <c r="AG82" s="116"/>
      <c r="AH82" s="50">
        <v>7.0</v>
      </c>
      <c r="AI82" s="50">
        <v>1000.0</v>
      </c>
      <c r="AJ82" s="50">
        <v>3.0</v>
      </c>
      <c r="AK82" s="50">
        <v>0.0</v>
      </c>
      <c r="AL82" s="50">
        <v>7.0</v>
      </c>
      <c r="AM82" s="50">
        <v>100.0</v>
      </c>
      <c r="AN82" s="50">
        <v>3.0</v>
      </c>
      <c r="AO82" s="50">
        <v>0.0</v>
      </c>
      <c r="AP82" s="50">
        <v>1.0</v>
      </c>
      <c r="AQ82" s="50">
        <v>7.0</v>
      </c>
      <c r="AR82" s="50">
        <v>5000.0</v>
      </c>
      <c r="AS82" s="50">
        <v>3.0</v>
      </c>
      <c r="AT82" s="50">
        <v>0.0</v>
      </c>
      <c r="AU82" s="50">
        <v>1.0</v>
      </c>
      <c r="AV82" s="50" t="s">
        <v>12329</v>
      </c>
      <c r="AW82" s="50" t="s">
        <v>12331</v>
      </c>
      <c r="AX82" s="116"/>
      <c r="AY82" s="116"/>
      <c r="AZ82" s="50">
        <v>7.0</v>
      </c>
      <c r="BA82" s="50">
        <v>1000.0</v>
      </c>
      <c r="BB82" s="50">
        <v>3.0</v>
      </c>
      <c r="BC82" s="50">
        <v>41.0</v>
      </c>
      <c r="BD82" s="50">
        <v>7.0</v>
      </c>
      <c r="BE82" s="50">
        <v>100.0</v>
      </c>
      <c r="BF82" s="50">
        <v>3.0</v>
      </c>
      <c r="BG82" s="50">
        <v>0.0</v>
      </c>
      <c r="BH82" s="50">
        <v>0.0</v>
      </c>
      <c r="BI82" s="116"/>
      <c r="BJ82" s="116"/>
      <c r="BK82" s="116"/>
      <c r="BL82" s="116"/>
      <c r="BM82" s="116"/>
      <c r="BN82" s="116"/>
      <c r="BO82" s="50">
        <v>7.0</v>
      </c>
      <c r="BP82" s="50">
        <v>1000.0</v>
      </c>
      <c r="BQ82" s="50">
        <v>3.0</v>
      </c>
      <c r="BR82" s="50">
        <v>0.0</v>
      </c>
      <c r="BS82" s="50">
        <v>7.0</v>
      </c>
      <c r="BT82" s="50">
        <v>100.0</v>
      </c>
      <c r="BU82" s="50">
        <v>1.0</v>
      </c>
      <c r="BV82" s="123"/>
      <c r="BW82" s="50">
        <v>1.0</v>
      </c>
      <c r="BX82" s="50">
        <v>7.0</v>
      </c>
      <c r="BY82" s="50">
        <v>5000.0</v>
      </c>
      <c r="BZ82" s="50">
        <v>3.0</v>
      </c>
      <c r="CA82" s="50">
        <v>0.0</v>
      </c>
      <c r="CB82" s="116"/>
      <c r="CC82" s="50" t="s">
        <v>12418</v>
      </c>
      <c r="CD82" s="50" t="s">
        <v>10362</v>
      </c>
      <c r="CE82" s="50">
        <v>1.0</v>
      </c>
      <c r="CF82" s="50" t="s">
        <v>10066</v>
      </c>
      <c r="CG82" s="117">
        <v>3746.0</v>
      </c>
      <c r="CH82" s="50" t="s">
        <v>12421</v>
      </c>
      <c r="CI82" s="50" t="s">
        <v>12422</v>
      </c>
      <c r="CJ82" s="117">
        <v>81.0</v>
      </c>
    </row>
    <row r="83">
      <c r="A83" s="50" t="s">
        <v>12423</v>
      </c>
      <c r="B83" s="50" t="s">
        <v>6876</v>
      </c>
      <c r="C83" s="50" t="s">
        <v>6877</v>
      </c>
      <c r="D83" s="50" t="s">
        <v>8310</v>
      </c>
      <c r="E83" s="50" t="s">
        <v>12425</v>
      </c>
      <c r="F83" s="50">
        <v>58.0</v>
      </c>
      <c r="G83" s="50">
        <v>1.0</v>
      </c>
      <c r="H83" s="50">
        <v>5.0</v>
      </c>
      <c r="I83" s="116"/>
      <c r="J83" s="116"/>
      <c r="K83" s="50" t="s">
        <v>999</v>
      </c>
      <c r="L83" s="50" t="s">
        <v>999</v>
      </c>
      <c r="M83" s="50" t="s">
        <v>12323</v>
      </c>
      <c r="N83" s="50" t="s">
        <v>8269</v>
      </c>
      <c r="O83" s="50" t="s">
        <v>12324</v>
      </c>
      <c r="P83" s="116"/>
      <c r="Q83" s="116"/>
      <c r="R83" s="116"/>
      <c r="S83" s="50">
        <v>7.0</v>
      </c>
      <c r="T83" s="50">
        <v>1000.0</v>
      </c>
      <c r="U83" s="50">
        <v>3.0</v>
      </c>
      <c r="V83" s="50">
        <v>0.0</v>
      </c>
      <c r="W83" s="50">
        <v>7.0</v>
      </c>
      <c r="X83" s="50">
        <v>100.0</v>
      </c>
      <c r="Y83" s="50">
        <v>3.0</v>
      </c>
      <c r="Z83" s="50">
        <v>0.0</v>
      </c>
      <c r="AA83" s="50">
        <v>0.0</v>
      </c>
      <c r="AB83" s="116"/>
      <c r="AC83" s="116"/>
      <c r="AD83" s="116"/>
      <c r="AE83" s="116"/>
      <c r="AF83" s="116"/>
      <c r="AG83" s="116"/>
      <c r="AH83" s="50">
        <v>7.0</v>
      </c>
      <c r="AI83" s="50">
        <v>1000.0</v>
      </c>
      <c r="AJ83" s="50">
        <v>3.0</v>
      </c>
      <c r="AK83" s="50">
        <v>0.0</v>
      </c>
      <c r="AL83" s="50">
        <v>7.0</v>
      </c>
      <c r="AM83" s="50">
        <v>100.0</v>
      </c>
      <c r="AN83" s="50">
        <v>3.0</v>
      </c>
      <c r="AO83" s="50">
        <v>0.0</v>
      </c>
      <c r="AP83" s="50">
        <v>1.0</v>
      </c>
      <c r="AQ83" s="50">
        <v>7.0</v>
      </c>
      <c r="AR83" s="50">
        <v>5000.0</v>
      </c>
      <c r="AS83" s="50">
        <v>3.0</v>
      </c>
      <c r="AT83" s="50">
        <v>0.0</v>
      </c>
      <c r="AU83" s="50">
        <v>1.0</v>
      </c>
      <c r="AV83" s="50" t="s">
        <v>12329</v>
      </c>
      <c r="AW83" s="50" t="s">
        <v>12331</v>
      </c>
      <c r="AX83" s="116"/>
      <c r="AY83" s="116"/>
      <c r="AZ83" s="50">
        <v>7.0</v>
      </c>
      <c r="BA83" s="50">
        <v>1000.0</v>
      </c>
      <c r="BB83" s="50">
        <v>3.0</v>
      </c>
      <c r="BC83" s="50">
        <v>124.0</v>
      </c>
      <c r="BD83" s="50">
        <v>7.0</v>
      </c>
      <c r="BE83" s="50">
        <v>100.0</v>
      </c>
      <c r="BF83" s="50">
        <v>3.0</v>
      </c>
      <c r="BG83" s="50">
        <v>11.0</v>
      </c>
      <c r="BH83" s="50">
        <v>0.0</v>
      </c>
      <c r="BI83" s="116"/>
      <c r="BJ83" s="116"/>
      <c r="BK83" s="116"/>
      <c r="BL83" s="116"/>
      <c r="BM83" s="116"/>
      <c r="BN83" s="116"/>
      <c r="BO83" s="50">
        <v>7.0</v>
      </c>
      <c r="BP83" s="50">
        <v>1000.0</v>
      </c>
      <c r="BQ83" s="50">
        <v>3.0</v>
      </c>
      <c r="BR83" s="50">
        <v>0.0</v>
      </c>
      <c r="BS83" s="50">
        <v>7.0</v>
      </c>
      <c r="BT83" s="50">
        <v>100.0</v>
      </c>
      <c r="BU83" s="50">
        <v>1.0</v>
      </c>
      <c r="BV83" s="123"/>
      <c r="BW83" s="50">
        <v>1.0</v>
      </c>
      <c r="BX83" s="50">
        <v>7.0</v>
      </c>
      <c r="BY83" s="50">
        <v>5000.0</v>
      </c>
      <c r="BZ83" s="50">
        <v>3.0</v>
      </c>
      <c r="CA83" s="50">
        <v>0.0</v>
      </c>
      <c r="CB83" s="116"/>
      <c r="CC83" s="50" t="s">
        <v>12444</v>
      </c>
      <c r="CD83" s="50" t="s">
        <v>10362</v>
      </c>
      <c r="CE83" s="50">
        <v>1.0</v>
      </c>
      <c r="CF83" s="50" t="s">
        <v>10066</v>
      </c>
      <c r="CG83" s="117">
        <v>3747.0</v>
      </c>
      <c r="CH83" s="50" t="s">
        <v>12445</v>
      </c>
      <c r="CI83" s="50" t="s">
        <v>12446</v>
      </c>
      <c r="CJ83" s="117">
        <v>82.0</v>
      </c>
    </row>
    <row r="84">
      <c r="A84" s="50" t="s">
        <v>12447</v>
      </c>
      <c r="B84" s="50" t="s">
        <v>6876</v>
      </c>
      <c r="C84" s="50" t="s">
        <v>6877</v>
      </c>
      <c r="D84" s="50" t="s">
        <v>8310</v>
      </c>
      <c r="E84" s="50" t="s">
        <v>12451</v>
      </c>
      <c r="F84" s="50">
        <v>58.0</v>
      </c>
      <c r="G84" s="50">
        <v>1.0</v>
      </c>
      <c r="H84" s="50">
        <v>8.0</v>
      </c>
      <c r="I84" s="116"/>
      <c r="J84" s="116"/>
      <c r="K84" s="50" t="s">
        <v>1006</v>
      </c>
      <c r="L84" s="50" t="s">
        <v>1006</v>
      </c>
      <c r="M84" s="50" t="s">
        <v>12323</v>
      </c>
      <c r="N84" s="50" t="s">
        <v>8269</v>
      </c>
      <c r="O84" s="50" t="s">
        <v>12324</v>
      </c>
      <c r="P84" s="116"/>
      <c r="Q84" s="116"/>
      <c r="R84" s="116"/>
      <c r="S84" s="50">
        <v>7.0</v>
      </c>
      <c r="T84" s="50">
        <v>1000.0</v>
      </c>
      <c r="U84" s="50">
        <v>3.0</v>
      </c>
      <c r="V84" s="50">
        <v>0.0</v>
      </c>
      <c r="W84" s="50">
        <v>7.0</v>
      </c>
      <c r="X84" s="50">
        <v>100.0</v>
      </c>
      <c r="Y84" s="50">
        <v>3.0</v>
      </c>
      <c r="Z84" s="50">
        <v>0.0</v>
      </c>
      <c r="AA84" s="50">
        <v>0.0</v>
      </c>
      <c r="AB84" s="116"/>
      <c r="AC84" s="116"/>
      <c r="AD84" s="116"/>
      <c r="AE84" s="116"/>
      <c r="AF84" s="116"/>
      <c r="AG84" s="116"/>
      <c r="AH84" s="50">
        <v>7.0</v>
      </c>
      <c r="AI84" s="50">
        <v>1000.0</v>
      </c>
      <c r="AJ84" s="50">
        <v>3.0</v>
      </c>
      <c r="AK84" s="50">
        <v>0.0</v>
      </c>
      <c r="AL84" s="50">
        <v>7.0</v>
      </c>
      <c r="AM84" s="50">
        <v>100.0</v>
      </c>
      <c r="AN84" s="50">
        <v>3.0</v>
      </c>
      <c r="AO84" s="50">
        <v>0.0</v>
      </c>
      <c r="AP84" s="50">
        <v>1.0</v>
      </c>
      <c r="AQ84" s="50">
        <v>7.0</v>
      </c>
      <c r="AR84" s="50">
        <v>5000.0</v>
      </c>
      <c r="AS84" s="50">
        <v>3.0</v>
      </c>
      <c r="AT84" s="50">
        <v>0.0</v>
      </c>
      <c r="AU84" s="50">
        <v>1.0</v>
      </c>
      <c r="AV84" s="50" t="s">
        <v>12329</v>
      </c>
      <c r="AW84" s="50" t="s">
        <v>12331</v>
      </c>
      <c r="AX84" s="116"/>
      <c r="AY84" s="116"/>
      <c r="AZ84" s="50">
        <v>7.0</v>
      </c>
      <c r="BA84" s="50">
        <v>1000.0</v>
      </c>
      <c r="BB84" s="50">
        <v>3.0</v>
      </c>
      <c r="BC84" s="50">
        <v>0.0</v>
      </c>
      <c r="BD84" s="50">
        <v>7.0</v>
      </c>
      <c r="BE84" s="50">
        <v>100.0</v>
      </c>
      <c r="BF84" s="50">
        <v>3.0</v>
      </c>
      <c r="BG84" s="50">
        <v>0.0</v>
      </c>
      <c r="BH84" s="50">
        <v>0.0</v>
      </c>
      <c r="BI84" s="116"/>
      <c r="BJ84" s="116"/>
      <c r="BK84" s="116"/>
      <c r="BL84" s="116"/>
      <c r="BM84" s="116"/>
      <c r="BN84" s="116"/>
      <c r="BO84" s="50">
        <v>7.0</v>
      </c>
      <c r="BP84" s="50">
        <v>1000.0</v>
      </c>
      <c r="BQ84" s="50">
        <v>3.0</v>
      </c>
      <c r="BR84" s="50">
        <v>0.0</v>
      </c>
      <c r="BS84" s="50">
        <v>7.0</v>
      </c>
      <c r="BT84" s="50">
        <v>100.0</v>
      </c>
      <c r="BU84" s="50">
        <v>3.0</v>
      </c>
      <c r="BV84" s="50">
        <v>0.0</v>
      </c>
      <c r="BW84" s="50">
        <v>1.0</v>
      </c>
      <c r="BX84" s="50">
        <v>7.0</v>
      </c>
      <c r="BY84" s="50">
        <v>5000.0</v>
      </c>
      <c r="BZ84" s="50">
        <v>3.0</v>
      </c>
      <c r="CA84" s="50">
        <v>0.0</v>
      </c>
      <c r="CB84" s="116"/>
      <c r="CC84" s="123"/>
      <c r="CD84" s="50" t="s">
        <v>10362</v>
      </c>
      <c r="CE84" s="50">
        <v>0.0</v>
      </c>
      <c r="CF84" s="50" t="s">
        <v>10066</v>
      </c>
      <c r="CG84" s="117">
        <v>3748.0</v>
      </c>
      <c r="CH84" s="50" t="s">
        <v>12476</v>
      </c>
      <c r="CI84" s="50" t="s">
        <v>12477</v>
      </c>
      <c r="CJ84" s="117">
        <v>83.0</v>
      </c>
    </row>
    <row r="85">
      <c r="A85" s="50" t="s">
        <v>12451</v>
      </c>
      <c r="B85" s="50" t="s">
        <v>6876</v>
      </c>
      <c r="C85" s="50" t="s">
        <v>6877</v>
      </c>
      <c r="D85" s="50" t="s">
        <v>8310</v>
      </c>
      <c r="E85" s="50" t="s">
        <v>12478</v>
      </c>
      <c r="F85" s="50">
        <v>58.0</v>
      </c>
      <c r="G85" s="50">
        <v>1.0</v>
      </c>
      <c r="H85" s="50">
        <v>8.0</v>
      </c>
      <c r="I85" s="116"/>
      <c r="J85" s="116"/>
      <c r="K85" s="50" t="s">
        <v>1008</v>
      </c>
      <c r="L85" s="50" t="s">
        <v>1008</v>
      </c>
      <c r="M85" s="50" t="s">
        <v>12323</v>
      </c>
      <c r="N85" s="50" t="s">
        <v>8269</v>
      </c>
      <c r="O85" s="50" t="s">
        <v>12324</v>
      </c>
      <c r="P85" s="116"/>
      <c r="Q85" s="116"/>
      <c r="R85" s="116"/>
      <c r="S85" s="50">
        <v>7.0</v>
      </c>
      <c r="T85" s="50">
        <v>1000.0</v>
      </c>
      <c r="U85" s="50">
        <v>3.0</v>
      </c>
      <c r="V85" s="50">
        <v>0.0</v>
      </c>
      <c r="W85" s="50">
        <v>7.0</v>
      </c>
      <c r="X85" s="50">
        <v>100.0</v>
      </c>
      <c r="Y85" s="50">
        <v>3.0</v>
      </c>
      <c r="Z85" s="50">
        <v>0.0</v>
      </c>
      <c r="AA85" s="50">
        <v>0.0</v>
      </c>
      <c r="AB85" s="116"/>
      <c r="AC85" s="116"/>
      <c r="AD85" s="116"/>
      <c r="AE85" s="116"/>
      <c r="AF85" s="116"/>
      <c r="AG85" s="116"/>
      <c r="AH85" s="50">
        <v>7.0</v>
      </c>
      <c r="AI85" s="50">
        <v>1000.0</v>
      </c>
      <c r="AJ85" s="50">
        <v>3.0</v>
      </c>
      <c r="AK85" s="50">
        <v>0.0</v>
      </c>
      <c r="AL85" s="50">
        <v>7.0</v>
      </c>
      <c r="AM85" s="50">
        <v>100.0</v>
      </c>
      <c r="AN85" s="50">
        <v>3.0</v>
      </c>
      <c r="AO85" s="50">
        <v>0.0</v>
      </c>
      <c r="AP85" s="50">
        <v>1.0</v>
      </c>
      <c r="AQ85" s="50">
        <v>7.0</v>
      </c>
      <c r="AR85" s="50">
        <v>5000.0</v>
      </c>
      <c r="AS85" s="50">
        <v>3.0</v>
      </c>
      <c r="AT85" s="50">
        <v>0.0</v>
      </c>
      <c r="AU85" s="50">
        <v>1.0</v>
      </c>
      <c r="AV85" s="50" t="s">
        <v>12329</v>
      </c>
      <c r="AW85" s="50" t="s">
        <v>12331</v>
      </c>
      <c r="AX85" s="116"/>
      <c r="AY85" s="116"/>
      <c r="AZ85" s="50">
        <v>7.0</v>
      </c>
      <c r="BA85" s="50">
        <v>1000.0</v>
      </c>
      <c r="BB85" s="50">
        <v>3.0</v>
      </c>
      <c r="BC85" s="50">
        <v>0.0</v>
      </c>
      <c r="BD85" s="50">
        <v>7.0</v>
      </c>
      <c r="BE85" s="50">
        <v>100.0</v>
      </c>
      <c r="BF85" s="50">
        <v>3.0</v>
      </c>
      <c r="BG85" s="50">
        <v>0.0</v>
      </c>
      <c r="BH85" s="50">
        <v>0.0</v>
      </c>
      <c r="BI85" s="116"/>
      <c r="BJ85" s="116"/>
      <c r="BK85" s="116"/>
      <c r="BL85" s="116"/>
      <c r="BM85" s="116"/>
      <c r="BN85" s="116"/>
      <c r="BO85" s="50">
        <v>7.0</v>
      </c>
      <c r="BP85" s="50">
        <v>1000.0</v>
      </c>
      <c r="BQ85" s="50">
        <v>3.0</v>
      </c>
      <c r="BR85" s="50">
        <v>0.0</v>
      </c>
      <c r="BS85" s="50">
        <v>7.0</v>
      </c>
      <c r="BT85" s="50">
        <v>100.0</v>
      </c>
      <c r="BU85" s="50">
        <v>3.0</v>
      </c>
      <c r="BV85" s="50">
        <v>0.0</v>
      </c>
      <c r="BW85" s="50">
        <v>1.0</v>
      </c>
      <c r="BX85" s="50">
        <v>7.0</v>
      </c>
      <c r="BY85" s="50">
        <v>5000.0</v>
      </c>
      <c r="BZ85" s="50">
        <v>3.0</v>
      </c>
      <c r="CA85" s="50">
        <v>0.0</v>
      </c>
      <c r="CB85" s="116"/>
      <c r="CC85" s="123"/>
      <c r="CD85" s="50" t="s">
        <v>10362</v>
      </c>
      <c r="CE85" s="50">
        <v>0.0</v>
      </c>
      <c r="CF85" s="50" t="s">
        <v>10066</v>
      </c>
      <c r="CG85" s="117">
        <v>3749.0</v>
      </c>
      <c r="CH85" s="50" t="s">
        <v>12504</v>
      </c>
      <c r="CI85" s="50" t="s">
        <v>12506</v>
      </c>
      <c r="CJ85" s="117">
        <v>84.0</v>
      </c>
    </row>
    <row r="86">
      <c r="A86" s="50" t="s">
        <v>12508</v>
      </c>
      <c r="B86" s="50" t="s">
        <v>6876</v>
      </c>
      <c r="C86" s="50" t="s">
        <v>6877</v>
      </c>
      <c r="D86" s="50" t="s">
        <v>8310</v>
      </c>
      <c r="E86" s="50" t="s">
        <v>12509</v>
      </c>
      <c r="F86" s="50">
        <v>58.0</v>
      </c>
      <c r="G86" s="50">
        <v>1.0</v>
      </c>
      <c r="H86" s="50">
        <v>8.0</v>
      </c>
      <c r="I86" s="116"/>
      <c r="J86" s="116"/>
      <c r="K86" s="50" t="s">
        <v>1033</v>
      </c>
      <c r="L86" s="50" t="s">
        <v>1033</v>
      </c>
      <c r="M86" s="50" t="s">
        <v>12512</v>
      </c>
      <c r="N86" s="50" t="s">
        <v>12514</v>
      </c>
      <c r="O86" s="50" t="s">
        <v>12516</v>
      </c>
      <c r="P86" s="116"/>
      <c r="Q86" s="116"/>
      <c r="R86" s="116"/>
      <c r="S86" s="50">
        <v>7.0</v>
      </c>
      <c r="T86" s="50">
        <v>1000.0</v>
      </c>
      <c r="U86" s="50">
        <v>3.0</v>
      </c>
      <c r="V86" s="50">
        <v>0.0</v>
      </c>
      <c r="W86" s="50">
        <v>7.0</v>
      </c>
      <c r="X86" s="50">
        <v>100.0</v>
      </c>
      <c r="Y86" s="50">
        <v>3.0</v>
      </c>
      <c r="Z86" s="50">
        <v>35.0</v>
      </c>
      <c r="AA86" s="50">
        <v>0.0</v>
      </c>
      <c r="AB86" s="116"/>
      <c r="AC86" s="116"/>
      <c r="AD86" s="116"/>
      <c r="AE86" s="116"/>
      <c r="AF86" s="116"/>
      <c r="AG86" s="116"/>
      <c r="AH86" s="50">
        <v>7.0</v>
      </c>
      <c r="AI86" s="50">
        <v>1000.0</v>
      </c>
      <c r="AJ86" s="50">
        <v>3.0</v>
      </c>
      <c r="AK86" s="50">
        <v>0.0</v>
      </c>
      <c r="AL86" s="50">
        <v>7.0</v>
      </c>
      <c r="AM86" s="50">
        <v>100.0</v>
      </c>
      <c r="AN86" s="50">
        <v>3.0</v>
      </c>
      <c r="AO86" s="50">
        <v>0.0</v>
      </c>
      <c r="AP86" s="50">
        <v>1.0</v>
      </c>
      <c r="AQ86" s="50">
        <v>7.0</v>
      </c>
      <c r="AR86" s="50">
        <v>5000.0</v>
      </c>
      <c r="AS86" s="50">
        <v>3.0</v>
      </c>
      <c r="AT86" s="50">
        <v>0.0</v>
      </c>
      <c r="AU86" s="50">
        <v>1.0</v>
      </c>
      <c r="AV86" s="50" t="s">
        <v>12530</v>
      </c>
      <c r="AW86" s="50" t="s">
        <v>12531</v>
      </c>
      <c r="AX86" s="116"/>
      <c r="AY86" s="116"/>
      <c r="AZ86" s="50">
        <v>7.0</v>
      </c>
      <c r="BA86" s="50">
        <v>1000.0</v>
      </c>
      <c r="BB86" s="50">
        <v>1.0</v>
      </c>
      <c r="BC86" s="123"/>
      <c r="BD86" s="50">
        <v>7.0</v>
      </c>
      <c r="BE86" s="50">
        <v>100.0</v>
      </c>
      <c r="BF86" s="50">
        <v>3.0</v>
      </c>
      <c r="BG86" s="50">
        <v>96.0</v>
      </c>
      <c r="BH86" s="50">
        <v>0.0</v>
      </c>
      <c r="BI86" s="116"/>
      <c r="BJ86" s="116"/>
      <c r="BK86" s="116"/>
      <c r="BL86" s="116"/>
      <c r="BM86" s="116"/>
      <c r="BN86" s="116"/>
      <c r="BO86" s="50">
        <v>7.0</v>
      </c>
      <c r="BP86" s="50">
        <v>1000.0</v>
      </c>
      <c r="BQ86" s="50">
        <v>3.0</v>
      </c>
      <c r="BR86" s="50">
        <v>0.0</v>
      </c>
      <c r="BS86" s="50">
        <v>7.0</v>
      </c>
      <c r="BT86" s="50">
        <v>100.0</v>
      </c>
      <c r="BU86" s="50">
        <v>1.0</v>
      </c>
      <c r="BV86" s="116"/>
      <c r="BW86" s="50">
        <v>1.0</v>
      </c>
      <c r="BX86" s="50">
        <v>7.0</v>
      </c>
      <c r="BY86" s="50">
        <v>5000.0</v>
      </c>
      <c r="BZ86" s="50">
        <v>3.0</v>
      </c>
      <c r="CA86" s="50">
        <v>0.0</v>
      </c>
      <c r="CB86" s="116"/>
      <c r="CC86" s="50" t="s">
        <v>12544</v>
      </c>
      <c r="CD86" s="50" t="s">
        <v>10362</v>
      </c>
      <c r="CE86" s="50">
        <v>1.0</v>
      </c>
      <c r="CF86" s="50" t="s">
        <v>10066</v>
      </c>
      <c r="CG86" s="117">
        <v>3916.0</v>
      </c>
      <c r="CH86" s="50" t="s">
        <v>12546</v>
      </c>
      <c r="CI86" s="50" t="s">
        <v>12547</v>
      </c>
      <c r="CJ86" s="117">
        <v>85.0</v>
      </c>
    </row>
    <row r="87">
      <c r="A87" s="50" t="s">
        <v>12548</v>
      </c>
      <c r="B87" s="50" t="s">
        <v>6876</v>
      </c>
      <c r="C87" s="50" t="s">
        <v>6877</v>
      </c>
      <c r="D87" s="50" t="s">
        <v>8310</v>
      </c>
      <c r="E87" s="50" t="s">
        <v>12550</v>
      </c>
      <c r="F87" s="50">
        <v>58.0</v>
      </c>
      <c r="G87" s="50">
        <v>1.0</v>
      </c>
      <c r="H87" s="50">
        <v>6.0</v>
      </c>
      <c r="I87" s="116"/>
      <c r="J87" s="116"/>
      <c r="K87" s="50" t="s">
        <v>1048</v>
      </c>
      <c r="L87" s="50" t="s">
        <v>1048</v>
      </c>
      <c r="M87" s="50" t="s">
        <v>12512</v>
      </c>
      <c r="N87" s="50" t="s">
        <v>12514</v>
      </c>
      <c r="O87" s="50" t="s">
        <v>12516</v>
      </c>
      <c r="P87" s="116"/>
      <c r="Q87" s="116"/>
      <c r="R87" s="116"/>
      <c r="S87" s="50">
        <v>7.0</v>
      </c>
      <c r="T87" s="50">
        <v>1000.0</v>
      </c>
      <c r="U87" s="50">
        <v>3.0</v>
      </c>
      <c r="V87" s="50">
        <v>12.0</v>
      </c>
      <c r="W87" s="50">
        <v>7.0</v>
      </c>
      <c r="X87" s="50">
        <v>100.0</v>
      </c>
      <c r="Y87" s="50">
        <v>3.0</v>
      </c>
      <c r="Z87" s="50">
        <v>0.0</v>
      </c>
      <c r="AA87" s="50">
        <v>0.0</v>
      </c>
      <c r="AB87" s="116"/>
      <c r="AC87" s="116"/>
      <c r="AD87" s="116"/>
      <c r="AE87" s="116"/>
      <c r="AF87" s="116"/>
      <c r="AG87" s="116"/>
      <c r="AH87" s="50">
        <v>7.0</v>
      </c>
      <c r="AI87" s="50">
        <v>1000.0</v>
      </c>
      <c r="AJ87" s="50">
        <v>3.0</v>
      </c>
      <c r="AK87" s="50">
        <v>0.0</v>
      </c>
      <c r="AL87" s="50">
        <v>7.0</v>
      </c>
      <c r="AM87" s="50">
        <v>100.0</v>
      </c>
      <c r="AN87" s="50">
        <v>3.0</v>
      </c>
      <c r="AO87" s="50">
        <v>0.0</v>
      </c>
      <c r="AP87" s="50">
        <v>1.0</v>
      </c>
      <c r="AQ87" s="50">
        <v>7.0</v>
      </c>
      <c r="AR87" s="50">
        <v>5000.0</v>
      </c>
      <c r="AS87" s="50">
        <v>3.0</v>
      </c>
      <c r="AT87" s="50">
        <v>0.0</v>
      </c>
      <c r="AU87" s="50">
        <v>1.0</v>
      </c>
      <c r="AV87" s="50" t="s">
        <v>12568</v>
      </c>
      <c r="AW87" s="50" t="s">
        <v>12569</v>
      </c>
      <c r="AX87" s="116"/>
      <c r="AY87" s="116"/>
      <c r="AZ87" s="50">
        <v>7.0</v>
      </c>
      <c r="BA87" s="50">
        <v>1000.0</v>
      </c>
      <c r="BB87" s="50">
        <v>3.0</v>
      </c>
      <c r="BC87" s="50">
        <v>0.0</v>
      </c>
      <c r="BD87" s="50">
        <v>7.0</v>
      </c>
      <c r="BE87" s="50">
        <v>100.0</v>
      </c>
      <c r="BF87" s="50">
        <v>1.0</v>
      </c>
      <c r="BG87" s="116"/>
      <c r="BH87" s="50">
        <v>0.0</v>
      </c>
      <c r="BI87" s="116"/>
      <c r="BJ87" s="116"/>
      <c r="BK87" s="116"/>
      <c r="BL87" s="116"/>
      <c r="BM87" s="116"/>
      <c r="BN87" s="116"/>
      <c r="BO87" s="50">
        <v>7.0</v>
      </c>
      <c r="BP87" s="50">
        <v>1000.0</v>
      </c>
      <c r="BQ87" s="50">
        <v>3.0</v>
      </c>
      <c r="BR87" s="50">
        <v>0.0</v>
      </c>
      <c r="BS87" s="50">
        <v>7.0</v>
      </c>
      <c r="BT87" s="50">
        <v>100.0</v>
      </c>
      <c r="BU87" s="50">
        <v>1.0</v>
      </c>
      <c r="BV87" s="116"/>
      <c r="BW87" s="50">
        <v>1.0</v>
      </c>
      <c r="BX87" s="50">
        <v>7.0</v>
      </c>
      <c r="BY87" s="50">
        <v>5000.0</v>
      </c>
      <c r="BZ87" s="50">
        <v>3.0</v>
      </c>
      <c r="CA87" s="50">
        <v>0.0</v>
      </c>
      <c r="CB87" s="116"/>
      <c r="CC87" s="50" t="s">
        <v>12580</v>
      </c>
      <c r="CD87" s="50" t="s">
        <v>10362</v>
      </c>
      <c r="CE87" s="50">
        <v>1.0</v>
      </c>
      <c r="CF87" s="50" t="s">
        <v>10066</v>
      </c>
      <c r="CG87" s="117">
        <v>3917.0</v>
      </c>
      <c r="CH87" s="50" t="s">
        <v>12582</v>
      </c>
      <c r="CI87" s="50" t="s">
        <v>12583</v>
      </c>
      <c r="CJ87" s="117">
        <v>86.0</v>
      </c>
    </row>
    <row r="88">
      <c r="A88" s="50" t="s">
        <v>12586</v>
      </c>
      <c r="B88" s="50" t="s">
        <v>6876</v>
      </c>
      <c r="C88" s="50" t="s">
        <v>6877</v>
      </c>
      <c r="D88" s="50" t="s">
        <v>8310</v>
      </c>
      <c r="E88" s="50" t="s">
        <v>12590</v>
      </c>
      <c r="F88" s="50">
        <v>58.0</v>
      </c>
      <c r="G88" s="50">
        <v>1.0</v>
      </c>
      <c r="H88" s="50">
        <v>1.0</v>
      </c>
      <c r="I88" s="116"/>
      <c r="J88" s="116"/>
      <c r="K88" s="50" t="s">
        <v>1050</v>
      </c>
      <c r="L88" s="50" t="s">
        <v>1050</v>
      </c>
      <c r="M88" s="50" t="s">
        <v>12512</v>
      </c>
      <c r="N88" s="50" t="s">
        <v>12514</v>
      </c>
      <c r="O88" s="50" t="s">
        <v>12516</v>
      </c>
      <c r="P88" s="116"/>
      <c r="Q88" s="116"/>
      <c r="R88" s="116"/>
      <c r="S88" s="50">
        <v>7.0</v>
      </c>
      <c r="T88" s="50">
        <v>1000.0</v>
      </c>
      <c r="U88" s="50">
        <v>1.0</v>
      </c>
      <c r="V88" s="123"/>
      <c r="W88" s="50">
        <v>7.0</v>
      </c>
      <c r="X88" s="50">
        <v>100.0</v>
      </c>
      <c r="Y88" s="50">
        <v>3.0</v>
      </c>
      <c r="Z88" s="50">
        <v>41.0</v>
      </c>
      <c r="AA88" s="50">
        <v>0.0</v>
      </c>
      <c r="AB88" s="116"/>
      <c r="AC88" s="116"/>
      <c r="AD88" s="116"/>
      <c r="AE88" s="116"/>
      <c r="AF88" s="116"/>
      <c r="AG88" s="116"/>
      <c r="AH88" s="50">
        <v>7.0</v>
      </c>
      <c r="AI88" s="50">
        <v>1000.0</v>
      </c>
      <c r="AJ88" s="50">
        <v>1.0</v>
      </c>
      <c r="AK88" s="123"/>
      <c r="AL88" s="50">
        <v>7.0</v>
      </c>
      <c r="AM88" s="50">
        <v>100.0</v>
      </c>
      <c r="AN88" s="50">
        <v>3.0</v>
      </c>
      <c r="AO88" s="50">
        <v>96.0</v>
      </c>
      <c r="AP88" s="50">
        <v>1.0</v>
      </c>
      <c r="AQ88" s="50">
        <v>7.0</v>
      </c>
      <c r="AR88" s="50">
        <v>5000.0</v>
      </c>
      <c r="AS88" s="50">
        <v>1.0</v>
      </c>
      <c r="AT88" s="123"/>
      <c r="AU88" s="50">
        <v>1.0</v>
      </c>
      <c r="AV88" s="50" t="s">
        <v>12568</v>
      </c>
      <c r="AW88" s="50" t="s">
        <v>12569</v>
      </c>
      <c r="AX88" s="116"/>
      <c r="AY88" s="116"/>
      <c r="AZ88" s="50">
        <v>7.0</v>
      </c>
      <c r="BA88" s="50">
        <v>1000.0</v>
      </c>
      <c r="BB88" s="50">
        <v>3.0</v>
      </c>
      <c r="BC88" s="50">
        <v>0.0</v>
      </c>
      <c r="BD88" s="50">
        <v>7.0</v>
      </c>
      <c r="BE88" s="50">
        <v>100.0</v>
      </c>
      <c r="BF88" s="50">
        <v>1.0</v>
      </c>
      <c r="BG88" s="123"/>
      <c r="BH88" s="50">
        <v>0.0</v>
      </c>
      <c r="BI88" s="116"/>
      <c r="BJ88" s="116"/>
      <c r="BK88" s="116"/>
      <c r="BL88" s="116"/>
      <c r="BM88" s="116"/>
      <c r="BN88" s="116"/>
      <c r="BO88" s="50">
        <v>7.0</v>
      </c>
      <c r="BP88" s="50">
        <v>1000.0</v>
      </c>
      <c r="BQ88" s="50">
        <v>3.0</v>
      </c>
      <c r="BR88" s="50">
        <v>0.0</v>
      </c>
      <c r="BS88" s="50">
        <v>7.0</v>
      </c>
      <c r="BT88" s="50">
        <v>100.0</v>
      </c>
      <c r="BU88" s="50">
        <v>1.0</v>
      </c>
      <c r="BV88" s="123"/>
      <c r="BW88" s="50">
        <v>1.0</v>
      </c>
      <c r="BX88" s="50">
        <v>7.0</v>
      </c>
      <c r="BY88" s="50">
        <v>5000.0</v>
      </c>
      <c r="BZ88" s="50">
        <v>3.0</v>
      </c>
      <c r="CA88" s="50">
        <v>0.0</v>
      </c>
      <c r="CB88" s="116"/>
      <c r="CC88" s="50" t="s">
        <v>12610</v>
      </c>
      <c r="CD88" s="50" t="s">
        <v>10362</v>
      </c>
      <c r="CE88" s="50">
        <v>1.0</v>
      </c>
      <c r="CF88" s="50" t="s">
        <v>10066</v>
      </c>
      <c r="CG88" s="117">
        <v>3918.0</v>
      </c>
      <c r="CH88" s="50" t="s">
        <v>12611</v>
      </c>
      <c r="CI88" s="50" t="s">
        <v>12613</v>
      </c>
      <c r="CJ88" s="117">
        <v>87.0</v>
      </c>
    </row>
    <row r="89">
      <c r="A89" s="50" t="s">
        <v>12616</v>
      </c>
      <c r="B89" s="50" t="s">
        <v>6876</v>
      </c>
      <c r="C89" s="50" t="s">
        <v>6877</v>
      </c>
      <c r="D89" s="50" t="s">
        <v>8310</v>
      </c>
      <c r="E89" s="50" t="s">
        <v>12618</v>
      </c>
      <c r="F89" s="50">
        <v>58.0</v>
      </c>
      <c r="G89" s="50">
        <v>1.0</v>
      </c>
      <c r="H89" s="50">
        <v>1.0</v>
      </c>
      <c r="I89" s="116"/>
      <c r="J89" s="123"/>
      <c r="K89" s="50" t="s">
        <v>1051</v>
      </c>
      <c r="L89" s="50" t="s">
        <v>1051</v>
      </c>
      <c r="M89" s="50" t="s">
        <v>12512</v>
      </c>
      <c r="N89" s="50" t="s">
        <v>12514</v>
      </c>
      <c r="O89" s="50" t="s">
        <v>12516</v>
      </c>
      <c r="P89" s="116"/>
      <c r="Q89" s="116"/>
      <c r="R89" s="116"/>
      <c r="S89" s="50">
        <v>7.0</v>
      </c>
      <c r="T89" s="50">
        <v>1000.0</v>
      </c>
      <c r="U89" s="50">
        <v>1.0</v>
      </c>
      <c r="V89" s="123"/>
      <c r="W89" s="50">
        <v>7.0</v>
      </c>
      <c r="X89" s="50">
        <v>100.0</v>
      </c>
      <c r="Y89" s="50">
        <v>3.0</v>
      </c>
      <c r="Z89" s="50">
        <v>12.0</v>
      </c>
      <c r="AA89" s="50">
        <v>0.0</v>
      </c>
      <c r="AB89" s="116"/>
      <c r="AC89" s="116"/>
      <c r="AD89" s="116"/>
      <c r="AE89" s="116"/>
      <c r="AF89" s="116"/>
      <c r="AG89" s="116"/>
      <c r="AH89" s="50">
        <v>7.0</v>
      </c>
      <c r="AI89" s="50">
        <v>1000.0</v>
      </c>
      <c r="AJ89" s="50">
        <v>3.0</v>
      </c>
      <c r="AK89" s="50">
        <v>84.0</v>
      </c>
      <c r="AL89" s="50">
        <v>7.0</v>
      </c>
      <c r="AM89" s="50">
        <v>100.0</v>
      </c>
      <c r="AN89" s="50">
        <v>3.0</v>
      </c>
      <c r="AO89" s="50">
        <v>3.0</v>
      </c>
      <c r="AP89" s="50">
        <v>1.0</v>
      </c>
      <c r="AQ89" s="50">
        <v>7.0</v>
      </c>
      <c r="AR89" s="50">
        <v>5000.0</v>
      </c>
      <c r="AS89" s="50">
        <v>1.0</v>
      </c>
      <c r="AT89" s="123"/>
      <c r="AU89" s="50">
        <v>1.0</v>
      </c>
      <c r="AV89" s="50" t="s">
        <v>12568</v>
      </c>
      <c r="AW89" s="50" t="s">
        <v>12569</v>
      </c>
      <c r="AX89" s="116"/>
      <c r="AY89" s="116"/>
      <c r="AZ89" s="50">
        <v>7.0</v>
      </c>
      <c r="BA89" s="50">
        <v>1000.0</v>
      </c>
      <c r="BB89" s="50">
        <v>3.0</v>
      </c>
      <c r="BC89" s="50">
        <v>0.0</v>
      </c>
      <c r="BD89" s="50">
        <v>7.0</v>
      </c>
      <c r="BE89" s="50">
        <v>100.0</v>
      </c>
      <c r="BF89" s="50">
        <v>1.0</v>
      </c>
      <c r="BG89" s="116"/>
      <c r="BH89" s="50">
        <v>0.0</v>
      </c>
      <c r="BI89" s="116"/>
      <c r="BJ89" s="116"/>
      <c r="BK89" s="116"/>
      <c r="BL89" s="116"/>
      <c r="BM89" s="116"/>
      <c r="BN89" s="116"/>
      <c r="BO89" s="50">
        <v>7.0</v>
      </c>
      <c r="BP89" s="50">
        <v>1000.0</v>
      </c>
      <c r="BQ89" s="50">
        <v>3.0</v>
      </c>
      <c r="BR89" s="50">
        <v>0.0</v>
      </c>
      <c r="BS89" s="50">
        <v>7.0</v>
      </c>
      <c r="BT89" s="50">
        <v>100.0</v>
      </c>
      <c r="BU89" s="50">
        <v>1.0</v>
      </c>
      <c r="BV89" s="116"/>
      <c r="BW89" s="50">
        <v>1.0</v>
      </c>
      <c r="BX89" s="50">
        <v>7.0</v>
      </c>
      <c r="BY89" s="50">
        <v>5000.0</v>
      </c>
      <c r="BZ89" s="50">
        <v>3.0</v>
      </c>
      <c r="CA89" s="50">
        <v>0.0</v>
      </c>
      <c r="CB89" s="116"/>
      <c r="CC89" s="50" t="s">
        <v>12642</v>
      </c>
      <c r="CD89" s="50" t="s">
        <v>10362</v>
      </c>
      <c r="CE89" s="50">
        <v>1.0</v>
      </c>
      <c r="CF89" s="50" t="s">
        <v>10066</v>
      </c>
      <c r="CG89" s="117">
        <v>3919.0</v>
      </c>
      <c r="CH89" s="50" t="s">
        <v>12643</v>
      </c>
      <c r="CI89" s="50" t="s">
        <v>12646</v>
      </c>
      <c r="CJ89" s="117">
        <v>88.0</v>
      </c>
    </row>
    <row r="90">
      <c r="A90" s="50" t="s">
        <v>12648</v>
      </c>
      <c r="B90" s="50" t="s">
        <v>6876</v>
      </c>
      <c r="C90" s="50" t="s">
        <v>6877</v>
      </c>
      <c r="D90" s="50" t="s">
        <v>8310</v>
      </c>
      <c r="E90" s="50" t="s">
        <v>12651</v>
      </c>
      <c r="F90" s="50">
        <v>58.0</v>
      </c>
      <c r="G90" s="50">
        <v>1.0</v>
      </c>
      <c r="H90" s="50">
        <v>6.0</v>
      </c>
      <c r="I90" s="116"/>
      <c r="J90" s="123"/>
      <c r="K90" s="50" t="s">
        <v>1074</v>
      </c>
      <c r="L90" s="50" t="s">
        <v>1074</v>
      </c>
      <c r="M90" s="50" t="s">
        <v>12530</v>
      </c>
      <c r="N90" s="50" t="s">
        <v>12514</v>
      </c>
      <c r="O90" s="50" t="s">
        <v>12516</v>
      </c>
      <c r="P90" s="116"/>
      <c r="Q90" s="116"/>
      <c r="R90" s="116"/>
      <c r="S90" s="50">
        <v>7.0</v>
      </c>
      <c r="T90" s="50">
        <v>1000.0</v>
      </c>
      <c r="U90" s="50">
        <v>3.0</v>
      </c>
      <c r="V90" s="50">
        <v>46.0</v>
      </c>
      <c r="W90" s="50">
        <v>7.0</v>
      </c>
      <c r="X90" s="50">
        <v>100.0</v>
      </c>
      <c r="Y90" s="50">
        <v>3.0</v>
      </c>
      <c r="Z90" s="50">
        <v>4.0</v>
      </c>
      <c r="AA90" s="50">
        <v>0.0</v>
      </c>
      <c r="AB90" s="116"/>
      <c r="AC90" s="116"/>
      <c r="AD90" s="116"/>
      <c r="AE90" s="116"/>
      <c r="AF90" s="116"/>
      <c r="AG90" s="116"/>
      <c r="AH90" s="50">
        <v>7.0</v>
      </c>
      <c r="AI90" s="50">
        <v>1000.0</v>
      </c>
      <c r="AJ90" s="50">
        <v>3.0</v>
      </c>
      <c r="AK90" s="50">
        <v>0.0</v>
      </c>
      <c r="AL90" s="50">
        <v>7.0</v>
      </c>
      <c r="AM90" s="50">
        <v>100.0</v>
      </c>
      <c r="AN90" s="50">
        <v>3.0</v>
      </c>
      <c r="AO90" s="50">
        <v>0.0</v>
      </c>
      <c r="AP90" s="50">
        <v>1.0</v>
      </c>
      <c r="AQ90" s="50">
        <v>7.0</v>
      </c>
      <c r="AR90" s="50">
        <v>5000.0</v>
      </c>
      <c r="AS90" s="50">
        <v>3.0</v>
      </c>
      <c r="AT90" s="50">
        <v>0.0</v>
      </c>
      <c r="AU90" s="50">
        <v>1.0</v>
      </c>
      <c r="AV90" s="50" t="s">
        <v>12568</v>
      </c>
      <c r="AW90" s="50" t="s">
        <v>12569</v>
      </c>
      <c r="AX90" s="116"/>
      <c r="AY90" s="116"/>
      <c r="AZ90" s="50">
        <v>7.0</v>
      </c>
      <c r="BA90" s="50">
        <v>1000.0</v>
      </c>
      <c r="BB90" s="50">
        <v>3.0</v>
      </c>
      <c r="BC90" s="50">
        <v>178.0</v>
      </c>
      <c r="BD90" s="50">
        <v>7.0</v>
      </c>
      <c r="BE90" s="50">
        <v>100.0</v>
      </c>
      <c r="BF90" s="50">
        <v>3.0</v>
      </c>
      <c r="BG90" s="50">
        <v>37.0</v>
      </c>
      <c r="BH90" s="50">
        <v>0.0</v>
      </c>
      <c r="BI90" s="116"/>
      <c r="BJ90" s="116"/>
      <c r="BK90" s="116"/>
      <c r="BL90" s="116"/>
      <c r="BM90" s="116"/>
      <c r="BN90" s="116"/>
      <c r="BO90" s="50">
        <v>7.0</v>
      </c>
      <c r="BP90" s="50">
        <v>1000.0</v>
      </c>
      <c r="BQ90" s="50">
        <v>1.0</v>
      </c>
      <c r="BR90" s="116"/>
      <c r="BS90" s="50">
        <v>7.0</v>
      </c>
      <c r="BT90" s="50">
        <v>100.0</v>
      </c>
      <c r="BU90" s="50">
        <v>3.0</v>
      </c>
      <c r="BV90" s="50">
        <v>72.0</v>
      </c>
      <c r="BW90" s="50">
        <v>1.0</v>
      </c>
      <c r="BX90" s="50">
        <v>7.0</v>
      </c>
      <c r="BY90" s="50">
        <v>5000.0</v>
      </c>
      <c r="BZ90" s="50">
        <v>3.0</v>
      </c>
      <c r="CA90" s="50">
        <v>0.0</v>
      </c>
      <c r="CB90" s="116"/>
      <c r="CC90" s="50" t="s">
        <v>12679</v>
      </c>
      <c r="CD90" s="50" t="s">
        <v>12680</v>
      </c>
      <c r="CE90" s="50">
        <v>1.0</v>
      </c>
      <c r="CF90" s="50" t="s">
        <v>10066</v>
      </c>
      <c r="CG90" s="117">
        <v>3920.0</v>
      </c>
      <c r="CH90" s="50" t="s">
        <v>12683</v>
      </c>
      <c r="CI90" s="50" t="s">
        <v>12685</v>
      </c>
      <c r="CJ90" s="117">
        <v>89.0</v>
      </c>
    </row>
    <row r="91">
      <c r="A91" s="50" t="s">
        <v>12687</v>
      </c>
      <c r="B91" s="50" t="s">
        <v>6876</v>
      </c>
      <c r="C91" s="50" t="s">
        <v>6877</v>
      </c>
      <c r="D91" s="50" t="s">
        <v>8310</v>
      </c>
      <c r="E91" s="50" t="s">
        <v>12692</v>
      </c>
      <c r="F91" s="50">
        <v>58.0</v>
      </c>
      <c r="G91" s="50">
        <v>1.0</v>
      </c>
      <c r="H91" s="50">
        <v>15.0</v>
      </c>
      <c r="I91" s="116"/>
      <c r="J91" s="50">
        <v>151.0</v>
      </c>
      <c r="K91" s="50" t="s">
        <v>12696</v>
      </c>
      <c r="L91" s="50" t="s">
        <v>12696</v>
      </c>
      <c r="M91" s="50" t="s">
        <v>12512</v>
      </c>
      <c r="N91" s="50" t="s">
        <v>12514</v>
      </c>
      <c r="O91" s="50" t="s">
        <v>12516</v>
      </c>
      <c r="P91" s="116"/>
      <c r="Q91" s="116"/>
      <c r="R91" s="116"/>
      <c r="S91" s="50">
        <v>7.0</v>
      </c>
      <c r="T91" s="50">
        <v>1000.0</v>
      </c>
      <c r="U91" s="50">
        <v>3.0</v>
      </c>
      <c r="V91" s="50">
        <v>0.0</v>
      </c>
      <c r="W91" s="50">
        <v>7.0</v>
      </c>
      <c r="X91" s="50">
        <v>100.0</v>
      </c>
      <c r="Y91" s="50">
        <v>3.0</v>
      </c>
      <c r="Z91" s="50">
        <v>0.0</v>
      </c>
      <c r="AA91" s="50">
        <v>0.0</v>
      </c>
      <c r="AB91" s="116"/>
      <c r="AC91" s="116"/>
      <c r="AD91" s="116"/>
      <c r="AE91" s="116"/>
      <c r="AF91" s="116"/>
      <c r="AG91" s="116"/>
      <c r="AH91" s="50">
        <v>7.0</v>
      </c>
      <c r="AI91" s="50">
        <v>1000.0</v>
      </c>
      <c r="AJ91" s="50">
        <v>3.0</v>
      </c>
      <c r="AK91" s="50">
        <v>0.0</v>
      </c>
      <c r="AL91" s="50">
        <v>7.0</v>
      </c>
      <c r="AM91" s="50">
        <v>100.0</v>
      </c>
      <c r="AN91" s="50">
        <v>3.0</v>
      </c>
      <c r="AO91" s="50">
        <v>0.0</v>
      </c>
      <c r="AP91" s="50">
        <v>1.0</v>
      </c>
      <c r="AQ91" s="50">
        <v>7.0</v>
      </c>
      <c r="AR91" s="50">
        <v>5000.0</v>
      </c>
      <c r="AS91" s="50">
        <v>3.0</v>
      </c>
      <c r="AT91" s="50">
        <v>0.0</v>
      </c>
      <c r="AU91" s="50">
        <v>0.0</v>
      </c>
      <c r="AV91" s="116"/>
      <c r="AW91" s="116"/>
      <c r="AX91" s="116"/>
      <c r="AY91" s="116"/>
      <c r="AZ91" s="116"/>
      <c r="BA91" s="116"/>
      <c r="BB91" s="116"/>
      <c r="BC91" s="116"/>
      <c r="BD91" s="116"/>
      <c r="BE91" s="116"/>
      <c r="BF91" s="116"/>
      <c r="BG91" s="116"/>
      <c r="BH91" s="116"/>
      <c r="BI91" s="116"/>
      <c r="BJ91" s="116"/>
      <c r="BK91" s="116"/>
      <c r="BL91" s="116"/>
      <c r="BM91" s="116"/>
      <c r="BN91" s="116"/>
      <c r="BO91" s="116"/>
      <c r="BP91" s="116"/>
      <c r="BQ91" s="116"/>
      <c r="BR91" s="116"/>
      <c r="BS91" s="116"/>
      <c r="BT91" s="116"/>
      <c r="BU91" s="116"/>
      <c r="BV91" s="116"/>
      <c r="BW91" s="116"/>
      <c r="BX91" s="116"/>
      <c r="BY91" s="116"/>
      <c r="BZ91" s="116"/>
      <c r="CA91" s="116"/>
      <c r="CB91" s="116"/>
      <c r="CC91" s="116"/>
      <c r="CD91" s="50" t="s">
        <v>10362</v>
      </c>
      <c r="CE91" s="50">
        <v>1.0</v>
      </c>
      <c r="CF91" s="50" t="s">
        <v>10066</v>
      </c>
      <c r="CG91" s="117">
        <v>3921.0</v>
      </c>
      <c r="CH91" s="50" t="s">
        <v>12720</v>
      </c>
      <c r="CI91" s="50" t="s">
        <v>12722</v>
      </c>
      <c r="CJ91" s="117">
        <v>90.0</v>
      </c>
    </row>
    <row r="92">
      <c r="A92" s="50" t="s">
        <v>12726</v>
      </c>
      <c r="B92" s="50" t="s">
        <v>6876</v>
      </c>
      <c r="C92" s="50" t="s">
        <v>6877</v>
      </c>
      <c r="D92" s="50" t="s">
        <v>8310</v>
      </c>
      <c r="E92" s="50" t="s">
        <v>12728</v>
      </c>
      <c r="F92" s="50">
        <v>58.0</v>
      </c>
      <c r="G92" s="50">
        <v>1.0</v>
      </c>
      <c r="H92" s="50">
        <v>15.0</v>
      </c>
      <c r="I92" s="116"/>
      <c r="J92" s="50">
        <v>152.0</v>
      </c>
      <c r="K92" s="50" t="s">
        <v>12730</v>
      </c>
      <c r="L92" s="50" t="s">
        <v>12730</v>
      </c>
      <c r="M92" s="50" t="s">
        <v>12512</v>
      </c>
      <c r="N92" s="50" t="s">
        <v>12514</v>
      </c>
      <c r="O92" s="50" t="s">
        <v>12516</v>
      </c>
      <c r="P92" s="116"/>
      <c r="Q92" s="116"/>
      <c r="R92" s="116"/>
      <c r="S92" s="50">
        <v>7.0</v>
      </c>
      <c r="T92" s="50">
        <v>1000.0</v>
      </c>
      <c r="U92" s="50">
        <v>3.0</v>
      </c>
      <c r="V92" s="50">
        <v>0.0</v>
      </c>
      <c r="W92" s="50">
        <v>7.0</v>
      </c>
      <c r="X92" s="50">
        <v>100.0</v>
      </c>
      <c r="Y92" s="50">
        <v>3.0</v>
      </c>
      <c r="Z92" s="50">
        <v>0.0</v>
      </c>
      <c r="AA92" s="50">
        <v>0.0</v>
      </c>
      <c r="AB92" s="116"/>
      <c r="AC92" s="116"/>
      <c r="AD92" s="116"/>
      <c r="AE92" s="116"/>
      <c r="AF92" s="116"/>
      <c r="AG92" s="116"/>
      <c r="AH92" s="50">
        <v>7.0</v>
      </c>
      <c r="AI92" s="50">
        <v>1000.0</v>
      </c>
      <c r="AJ92" s="50">
        <v>3.0</v>
      </c>
      <c r="AK92" s="50">
        <v>0.0</v>
      </c>
      <c r="AL92" s="50">
        <v>7.0</v>
      </c>
      <c r="AM92" s="50">
        <v>100.0</v>
      </c>
      <c r="AN92" s="50">
        <v>3.0</v>
      </c>
      <c r="AO92" s="50">
        <v>0.0</v>
      </c>
      <c r="AP92" s="50">
        <v>1.0</v>
      </c>
      <c r="AQ92" s="50">
        <v>7.0</v>
      </c>
      <c r="AR92" s="50">
        <v>5000.0</v>
      </c>
      <c r="AS92" s="50">
        <v>3.0</v>
      </c>
      <c r="AT92" s="50">
        <v>0.0</v>
      </c>
      <c r="AU92" s="50">
        <v>0.0</v>
      </c>
      <c r="AV92" s="116"/>
      <c r="AW92" s="116"/>
      <c r="AX92" s="116"/>
      <c r="AY92" s="116"/>
      <c r="AZ92" s="116"/>
      <c r="BA92" s="116"/>
      <c r="BB92" s="116"/>
      <c r="BC92" s="116"/>
      <c r="BD92" s="116"/>
      <c r="BE92" s="116"/>
      <c r="BF92" s="116"/>
      <c r="BG92" s="116"/>
      <c r="BH92" s="116"/>
      <c r="BI92" s="116"/>
      <c r="BJ92" s="116"/>
      <c r="BK92" s="116"/>
      <c r="BL92" s="116"/>
      <c r="BM92" s="116"/>
      <c r="BN92" s="116"/>
      <c r="BO92" s="116"/>
      <c r="BP92" s="116"/>
      <c r="BQ92" s="116"/>
      <c r="BR92" s="116"/>
      <c r="BS92" s="116"/>
      <c r="BT92" s="116"/>
      <c r="BU92" s="116"/>
      <c r="BV92" s="116"/>
      <c r="BW92" s="116"/>
      <c r="BX92" s="116"/>
      <c r="BY92" s="116"/>
      <c r="BZ92" s="116"/>
      <c r="CA92" s="116"/>
      <c r="CB92" s="116"/>
      <c r="CC92" s="116"/>
      <c r="CD92" s="50" t="s">
        <v>10362</v>
      </c>
      <c r="CE92" s="50">
        <v>1.0</v>
      </c>
      <c r="CF92" s="50" t="s">
        <v>10066</v>
      </c>
      <c r="CG92" s="117">
        <v>3922.0</v>
      </c>
      <c r="CH92" s="50" t="s">
        <v>12758</v>
      </c>
      <c r="CI92" s="50" t="s">
        <v>12760</v>
      </c>
      <c r="CJ92" s="117">
        <v>91.0</v>
      </c>
    </row>
    <row r="93">
      <c r="A93" s="50" t="s">
        <v>12761</v>
      </c>
      <c r="B93" s="50" t="s">
        <v>6876</v>
      </c>
      <c r="C93" s="50" t="s">
        <v>6877</v>
      </c>
      <c r="D93" s="50" t="s">
        <v>8310</v>
      </c>
      <c r="E93" s="50" t="s">
        <v>12764</v>
      </c>
      <c r="F93" s="50">
        <v>58.0</v>
      </c>
      <c r="G93" s="50">
        <v>1.0</v>
      </c>
      <c r="H93" s="50">
        <v>15.0</v>
      </c>
      <c r="I93" s="116"/>
      <c r="J93" s="50">
        <v>151.0</v>
      </c>
      <c r="K93" s="50" t="s">
        <v>12767</v>
      </c>
      <c r="L93" s="50" t="s">
        <v>12767</v>
      </c>
      <c r="M93" s="50" t="s">
        <v>12512</v>
      </c>
      <c r="N93" s="50" t="s">
        <v>12514</v>
      </c>
      <c r="O93" s="50" t="s">
        <v>12516</v>
      </c>
      <c r="P93" s="116"/>
      <c r="Q93" s="116"/>
      <c r="R93" s="116"/>
      <c r="S93" s="50">
        <v>7.0</v>
      </c>
      <c r="T93" s="50">
        <v>1000.0</v>
      </c>
      <c r="U93" s="50">
        <v>3.0</v>
      </c>
      <c r="V93" s="50">
        <v>0.0</v>
      </c>
      <c r="W93" s="50">
        <v>7.0</v>
      </c>
      <c r="X93" s="50">
        <v>100.0</v>
      </c>
      <c r="Y93" s="50">
        <v>3.0</v>
      </c>
      <c r="Z93" s="50">
        <v>0.0</v>
      </c>
      <c r="AA93" s="50">
        <v>0.0</v>
      </c>
      <c r="AB93" s="116"/>
      <c r="AC93" s="116"/>
      <c r="AD93" s="116"/>
      <c r="AE93" s="116"/>
      <c r="AF93" s="116"/>
      <c r="AG93" s="116"/>
      <c r="AH93" s="50">
        <v>7.0</v>
      </c>
      <c r="AI93" s="50">
        <v>1000.0</v>
      </c>
      <c r="AJ93" s="50">
        <v>3.0</v>
      </c>
      <c r="AK93" s="50">
        <v>0.0</v>
      </c>
      <c r="AL93" s="50">
        <v>7.0</v>
      </c>
      <c r="AM93" s="50">
        <v>100.0</v>
      </c>
      <c r="AN93" s="50">
        <v>3.0</v>
      </c>
      <c r="AO93" s="50">
        <v>0.0</v>
      </c>
      <c r="AP93" s="50">
        <v>1.0</v>
      </c>
      <c r="AQ93" s="50">
        <v>7.0</v>
      </c>
      <c r="AR93" s="50">
        <v>5000.0</v>
      </c>
      <c r="AS93" s="50">
        <v>3.0</v>
      </c>
      <c r="AT93" s="50">
        <v>0.0</v>
      </c>
      <c r="AU93" s="50">
        <v>0.0</v>
      </c>
      <c r="AV93" s="123"/>
      <c r="AW93" s="123"/>
      <c r="AX93" s="116"/>
      <c r="AY93" s="116"/>
      <c r="AZ93" s="123"/>
      <c r="BA93" s="123"/>
      <c r="BB93" s="123"/>
      <c r="BC93" s="123"/>
      <c r="BD93" s="123"/>
      <c r="BE93" s="123"/>
      <c r="BF93" s="123"/>
      <c r="BG93" s="123"/>
      <c r="BH93" s="123"/>
      <c r="BI93" s="116"/>
      <c r="BJ93" s="116"/>
      <c r="BK93" s="116"/>
      <c r="BL93" s="116"/>
      <c r="BM93" s="116"/>
      <c r="BN93" s="116"/>
      <c r="BO93" s="123"/>
      <c r="BP93" s="123"/>
      <c r="BQ93" s="123"/>
      <c r="BR93" s="116"/>
      <c r="BS93" s="123"/>
      <c r="BT93" s="123"/>
      <c r="BU93" s="123"/>
      <c r="BV93" s="123"/>
      <c r="BW93" s="123"/>
      <c r="BX93" s="123"/>
      <c r="BY93" s="123"/>
      <c r="BZ93" s="123"/>
      <c r="CA93" s="116"/>
      <c r="CB93" s="116"/>
      <c r="CC93" s="123"/>
      <c r="CD93" s="50" t="s">
        <v>10362</v>
      </c>
      <c r="CE93" s="50">
        <v>1.0</v>
      </c>
      <c r="CF93" s="50" t="s">
        <v>10066</v>
      </c>
      <c r="CG93" s="117">
        <v>3923.0</v>
      </c>
      <c r="CH93" s="50" t="s">
        <v>12788</v>
      </c>
      <c r="CI93" s="50" t="s">
        <v>12789</v>
      </c>
      <c r="CJ93" s="117">
        <v>92.0</v>
      </c>
    </row>
    <row r="94">
      <c r="A94" s="50" t="s">
        <v>12791</v>
      </c>
      <c r="B94" s="50" t="s">
        <v>6876</v>
      </c>
      <c r="C94" s="50" t="s">
        <v>6877</v>
      </c>
      <c r="D94" s="50" t="s">
        <v>8310</v>
      </c>
      <c r="E94" s="50" t="s">
        <v>12794</v>
      </c>
      <c r="F94" s="50">
        <v>58.0</v>
      </c>
      <c r="G94" s="50">
        <v>1.0</v>
      </c>
      <c r="H94" s="50">
        <v>15.0</v>
      </c>
      <c r="I94" s="116"/>
      <c r="J94" s="50">
        <v>152.0</v>
      </c>
      <c r="K94" s="50" t="s">
        <v>12797</v>
      </c>
      <c r="L94" s="50" t="s">
        <v>12797</v>
      </c>
      <c r="M94" s="50" t="s">
        <v>12512</v>
      </c>
      <c r="N94" s="50" t="s">
        <v>12514</v>
      </c>
      <c r="O94" s="50" t="s">
        <v>12516</v>
      </c>
      <c r="P94" s="116"/>
      <c r="Q94" s="116"/>
      <c r="R94" s="116"/>
      <c r="S94" s="50">
        <v>7.0</v>
      </c>
      <c r="T94" s="50">
        <v>1000.0</v>
      </c>
      <c r="U94" s="50">
        <v>3.0</v>
      </c>
      <c r="V94" s="50">
        <v>0.0</v>
      </c>
      <c r="W94" s="50">
        <v>7.0</v>
      </c>
      <c r="X94" s="50">
        <v>100.0</v>
      </c>
      <c r="Y94" s="50">
        <v>3.0</v>
      </c>
      <c r="Z94" s="50">
        <v>0.0</v>
      </c>
      <c r="AA94" s="50">
        <v>0.0</v>
      </c>
      <c r="AB94" s="116"/>
      <c r="AC94" s="116"/>
      <c r="AD94" s="116"/>
      <c r="AE94" s="116"/>
      <c r="AF94" s="116"/>
      <c r="AG94" s="116"/>
      <c r="AH94" s="50">
        <v>7.0</v>
      </c>
      <c r="AI94" s="50">
        <v>1000.0</v>
      </c>
      <c r="AJ94" s="50">
        <v>3.0</v>
      </c>
      <c r="AK94" s="50">
        <v>0.0</v>
      </c>
      <c r="AL94" s="50">
        <v>7.0</v>
      </c>
      <c r="AM94" s="50">
        <v>100.0</v>
      </c>
      <c r="AN94" s="50">
        <v>3.0</v>
      </c>
      <c r="AO94" s="50">
        <v>0.0</v>
      </c>
      <c r="AP94" s="50">
        <v>1.0</v>
      </c>
      <c r="AQ94" s="50">
        <v>7.0</v>
      </c>
      <c r="AR94" s="50">
        <v>5000.0</v>
      </c>
      <c r="AS94" s="50">
        <v>3.0</v>
      </c>
      <c r="AT94" s="50">
        <v>0.0</v>
      </c>
      <c r="AU94" s="50">
        <v>0.0</v>
      </c>
      <c r="AV94" s="123"/>
      <c r="AW94" s="123"/>
      <c r="AX94" s="116"/>
      <c r="AY94" s="116"/>
      <c r="AZ94" s="123"/>
      <c r="BA94" s="123"/>
      <c r="BB94" s="123"/>
      <c r="BC94" s="116"/>
      <c r="BD94" s="123"/>
      <c r="BE94" s="123"/>
      <c r="BF94" s="123"/>
      <c r="BG94" s="123"/>
      <c r="BH94" s="123"/>
      <c r="BI94" s="116"/>
      <c r="BJ94" s="116"/>
      <c r="BK94" s="116"/>
      <c r="BL94" s="116"/>
      <c r="BM94" s="116"/>
      <c r="BN94" s="116"/>
      <c r="BO94" s="123"/>
      <c r="BP94" s="123"/>
      <c r="BQ94" s="123"/>
      <c r="BR94" s="123"/>
      <c r="BS94" s="123"/>
      <c r="BT94" s="123"/>
      <c r="BU94" s="123"/>
      <c r="BV94" s="116"/>
      <c r="BW94" s="123"/>
      <c r="BX94" s="123"/>
      <c r="BY94" s="123"/>
      <c r="BZ94" s="123"/>
      <c r="CA94" s="123"/>
      <c r="CB94" s="116"/>
      <c r="CC94" s="123"/>
      <c r="CD94" s="50" t="s">
        <v>10362</v>
      </c>
      <c r="CE94" s="50">
        <v>1.0</v>
      </c>
      <c r="CF94" s="50" t="s">
        <v>10066</v>
      </c>
      <c r="CG94" s="117">
        <v>3924.0</v>
      </c>
      <c r="CH94" s="50" t="s">
        <v>12815</v>
      </c>
      <c r="CI94" s="50" t="s">
        <v>12816</v>
      </c>
      <c r="CJ94" s="117">
        <v>93.0</v>
      </c>
    </row>
    <row r="95">
      <c r="A95" s="50" t="s">
        <v>12819</v>
      </c>
      <c r="B95" s="50" t="s">
        <v>6876</v>
      </c>
      <c r="C95" s="50" t="s">
        <v>6877</v>
      </c>
      <c r="D95" s="50" t="s">
        <v>8493</v>
      </c>
      <c r="E95" s="50" t="s">
        <v>12822</v>
      </c>
      <c r="F95" s="50">
        <v>57.0</v>
      </c>
      <c r="G95" s="50">
        <v>1.0</v>
      </c>
      <c r="H95" s="50">
        <v>16.0</v>
      </c>
      <c r="I95" s="116"/>
      <c r="J95" s="116"/>
      <c r="K95" s="50" t="s">
        <v>954</v>
      </c>
      <c r="L95" s="50" t="s">
        <v>954</v>
      </c>
      <c r="M95" s="50" t="s">
        <v>12826</v>
      </c>
      <c r="N95" s="50" t="s">
        <v>12827</v>
      </c>
      <c r="O95" s="50" t="s">
        <v>12829</v>
      </c>
      <c r="P95" s="116"/>
      <c r="Q95" s="116"/>
      <c r="R95" s="116"/>
      <c r="S95" s="50">
        <v>7.0</v>
      </c>
      <c r="T95" s="50">
        <v>1000.0</v>
      </c>
      <c r="U95" s="50">
        <v>3.0</v>
      </c>
      <c r="V95" s="50">
        <v>0.0</v>
      </c>
      <c r="W95" s="50">
        <v>7.0</v>
      </c>
      <c r="X95" s="50">
        <v>100.0</v>
      </c>
      <c r="Y95" s="50">
        <v>3.0</v>
      </c>
      <c r="Z95" s="50">
        <v>23.0</v>
      </c>
      <c r="AA95" s="50">
        <v>0.0</v>
      </c>
      <c r="AB95" s="116"/>
      <c r="AC95" s="116"/>
      <c r="AD95" s="116"/>
      <c r="AE95" s="116"/>
      <c r="AF95" s="116"/>
      <c r="AG95" s="116"/>
      <c r="AH95" s="50">
        <v>7.0</v>
      </c>
      <c r="AI95" s="50">
        <v>1000.0</v>
      </c>
      <c r="AJ95" s="50">
        <v>1.0</v>
      </c>
      <c r="AK95" s="123"/>
      <c r="AL95" s="50">
        <v>7.0</v>
      </c>
      <c r="AM95" s="50">
        <v>100.0</v>
      </c>
      <c r="AN95" s="50">
        <v>3.0</v>
      </c>
      <c r="AO95" s="50">
        <v>128.0</v>
      </c>
      <c r="AP95" s="50">
        <v>1.0</v>
      </c>
      <c r="AQ95" s="50">
        <v>7.0</v>
      </c>
      <c r="AR95" s="50">
        <v>5000.0</v>
      </c>
      <c r="AS95" s="50">
        <v>3.0</v>
      </c>
      <c r="AT95" s="50">
        <v>0.0</v>
      </c>
      <c r="AU95" s="50">
        <v>1.0</v>
      </c>
      <c r="AV95" s="50" t="s">
        <v>12837</v>
      </c>
      <c r="AW95" s="50" t="s">
        <v>12838</v>
      </c>
      <c r="AX95" s="116"/>
      <c r="AY95" s="116"/>
      <c r="AZ95" s="50">
        <v>7.0</v>
      </c>
      <c r="BA95" s="50">
        <v>1000.0</v>
      </c>
      <c r="BB95" s="50">
        <v>3.0</v>
      </c>
      <c r="BC95" s="50">
        <v>0.0</v>
      </c>
      <c r="BD95" s="50">
        <v>7.0</v>
      </c>
      <c r="BE95" s="50">
        <v>100.0</v>
      </c>
      <c r="BF95" s="50">
        <v>3.0</v>
      </c>
      <c r="BG95" s="50">
        <v>88.0</v>
      </c>
      <c r="BH95" s="50">
        <v>0.0</v>
      </c>
      <c r="BI95" s="116"/>
      <c r="BJ95" s="116"/>
      <c r="BK95" s="116"/>
      <c r="BL95" s="116"/>
      <c r="BM95" s="116"/>
      <c r="BN95" s="116"/>
      <c r="BO95" s="50">
        <v>7.0</v>
      </c>
      <c r="BP95" s="50">
        <v>1000.0</v>
      </c>
      <c r="BQ95" s="50">
        <v>1.0</v>
      </c>
      <c r="BR95" s="123"/>
      <c r="BS95" s="50">
        <v>7.0</v>
      </c>
      <c r="BT95" s="50">
        <v>100.0</v>
      </c>
      <c r="BU95" s="50">
        <v>3.0</v>
      </c>
      <c r="BV95" s="50">
        <v>152.0</v>
      </c>
      <c r="BW95" s="50">
        <v>1.0</v>
      </c>
      <c r="BX95" s="50">
        <v>7.0</v>
      </c>
      <c r="BY95" s="50">
        <v>5000.0</v>
      </c>
      <c r="BZ95" s="50">
        <v>1.0</v>
      </c>
      <c r="CA95" s="123"/>
      <c r="CB95" s="116"/>
      <c r="CC95" s="50" t="s">
        <v>12850</v>
      </c>
      <c r="CD95" s="50">
        <v>2.0</v>
      </c>
      <c r="CE95" s="50">
        <v>1.0</v>
      </c>
      <c r="CF95" s="50" t="s">
        <v>10066</v>
      </c>
      <c r="CG95" s="117">
        <v>4016.0</v>
      </c>
      <c r="CH95" s="50" t="s">
        <v>12851</v>
      </c>
      <c r="CI95" s="50" t="s">
        <v>12852</v>
      </c>
      <c r="CJ95" s="117">
        <v>94.0</v>
      </c>
    </row>
    <row r="96">
      <c r="A96" s="50" t="s">
        <v>12822</v>
      </c>
      <c r="B96" s="50" t="s">
        <v>6876</v>
      </c>
      <c r="C96" s="50" t="s">
        <v>6877</v>
      </c>
      <c r="D96" s="50" t="s">
        <v>8493</v>
      </c>
      <c r="E96" s="50" t="s">
        <v>12856</v>
      </c>
      <c r="F96" s="50">
        <v>58.0</v>
      </c>
      <c r="G96" s="50">
        <v>1.0</v>
      </c>
      <c r="H96" s="50">
        <v>5.0</v>
      </c>
      <c r="I96" s="123"/>
      <c r="J96" s="116"/>
      <c r="K96" s="50" t="s">
        <v>1093</v>
      </c>
      <c r="L96" s="50" t="s">
        <v>1093</v>
      </c>
      <c r="M96" s="50" t="s">
        <v>12826</v>
      </c>
      <c r="N96" s="50" t="s">
        <v>12827</v>
      </c>
      <c r="O96" s="50" t="s">
        <v>12829</v>
      </c>
      <c r="P96" s="116"/>
      <c r="Q96" s="116"/>
      <c r="R96" s="116"/>
      <c r="S96" s="50">
        <v>7.0</v>
      </c>
      <c r="T96" s="50">
        <v>1000.0</v>
      </c>
      <c r="U96" s="50">
        <v>3.0</v>
      </c>
      <c r="V96" s="50">
        <v>0.0</v>
      </c>
      <c r="W96" s="50">
        <v>7.0</v>
      </c>
      <c r="X96" s="50">
        <v>100.0</v>
      </c>
      <c r="Y96" s="50">
        <v>3.0</v>
      </c>
      <c r="Z96" s="50">
        <v>50.0</v>
      </c>
      <c r="AA96" s="50">
        <v>0.0</v>
      </c>
      <c r="AB96" s="116"/>
      <c r="AC96" s="116"/>
      <c r="AD96" s="116"/>
      <c r="AE96" s="116"/>
      <c r="AF96" s="116"/>
      <c r="AG96" s="116"/>
      <c r="AH96" s="50">
        <v>7.0</v>
      </c>
      <c r="AI96" s="50">
        <v>1000.0</v>
      </c>
      <c r="AJ96" s="50">
        <v>3.0</v>
      </c>
      <c r="AK96" s="50">
        <v>108.0</v>
      </c>
      <c r="AL96" s="50">
        <v>7.0</v>
      </c>
      <c r="AM96" s="50">
        <v>100.0</v>
      </c>
      <c r="AN96" s="50">
        <v>3.0</v>
      </c>
      <c r="AO96" s="50">
        <v>11.0</v>
      </c>
      <c r="AP96" s="50">
        <v>1.0</v>
      </c>
      <c r="AQ96" s="50">
        <v>7.0</v>
      </c>
      <c r="AR96" s="50">
        <v>5000.0</v>
      </c>
      <c r="AS96" s="50">
        <v>3.0</v>
      </c>
      <c r="AT96" s="50">
        <v>0.0</v>
      </c>
      <c r="AU96" s="50">
        <v>1.0</v>
      </c>
      <c r="AV96" s="50" t="s">
        <v>12837</v>
      </c>
      <c r="AW96" s="50" t="s">
        <v>12838</v>
      </c>
      <c r="AX96" s="116"/>
      <c r="AY96" s="116"/>
      <c r="AZ96" s="50">
        <v>7.0</v>
      </c>
      <c r="BA96" s="50">
        <v>1000.0</v>
      </c>
      <c r="BB96" s="50">
        <v>1.0</v>
      </c>
      <c r="BC96" s="123"/>
      <c r="BD96" s="50">
        <v>7.0</v>
      </c>
      <c r="BE96" s="50">
        <v>100.0</v>
      </c>
      <c r="BF96" s="50">
        <v>3.0</v>
      </c>
      <c r="BG96" s="50">
        <v>112.0</v>
      </c>
      <c r="BH96" s="50">
        <v>0.0</v>
      </c>
      <c r="BI96" s="116"/>
      <c r="BJ96" s="116"/>
      <c r="BK96" s="116"/>
      <c r="BL96" s="116"/>
      <c r="BM96" s="116"/>
      <c r="BN96" s="116"/>
      <c r="BO96" s="50">
        <v>7.0</v>
      </c>
      <c r="BP96" s="50">
        <v>1000.0</v>
      </c>
      <c r="BQ96" s="50">
        <v>3.0</v>
      </c>
      <c r="BR96" s="50">
        <v>0.0</v>
      </c>
      <c r="BS96" s="50">
        <v>7.0</v>
      </c>
      <c r="BT96" s="50">
        <v>100.0</v>
      </c>
      <c r="BU96" s="50">
        <v>1.0</v>
      </c>
      <c r="BV96" s="123"/>
      <c r="BW96" s="50">
        <v>1.0</v>
      </c>
      <c r="BX96" s="50">
        <v>7.0</v>
      </c>
      <c r="BY96" s="50">
        <v>5000.0</v>
      </c>
      <c r="BZ96" s="50">
        <v>3.0</v>
      </c>
      <c r="CA96" s="50">
        <v>0.0</v>
      </c>
      <c r="CB96" s="116"/>
      <c r="CC96" s="50" t="s">
        <v>12884</v>
      </c>
      <c r="CD96" s="50" t="s">
        <v>10362</v>
      </c>
      <c r="CE96" s="50">
        <v>1.0</v>
      </c>
      <c r="CF96" s="50" t="s">
        <v>10066</v>
      </c>
      <c r="CG96" s="117">
        <v>4017.0</v>
      </c>
      <c r="CH96" s="50" t="s">
        <v>12886</v>
      </c>
      <c r="CI96" s="50" t="s">
        <v>12887</v>
      </c>
      <c r="CJ96" s="117">
        <v>95.0</v>
      </c>
    </row>
    <row r="97">
      <c r="A97" s="50" t="s">
        <v>12856</v>
      </c>
      <c r="B97" s="50" t="s">
        <v>6876</v>
      </c>
      <c r="C97" s="50" t="s">
        <v>6877</v>
      </c>
      <c r="D97" s="50" t="s">
        <v>8493</v>
      </c>
      <c r="E97" s="50" t="s">
        <v>12894</v>
      </c>
      <c r="F97" s="50">
        <v>58.0</v>
      </c>
      <c r="G97" s="50">
        <v>1.0</v>
      </c>
      <c r="H97" s="50">
        <v>8.0</v>
      </c>
      <c r="I97" s="123"/>
      <c r="J97" s="116"/>
      <c r="K97" s="50" t="s">
        <v>1092</v>
      </c>
      <c r="L97" s="50" t="s">
        <v>1092</v>
      </c>
      <c r="M97" s="50" t="s">
        <v>12826</v>
      </c>
      <c r="N97" s="50" t="s">
        <v>12900</v>
      </c>
      <c r="O97" s="50" t="s">
        <v>12901</v>
      </c>
      <c r="P97" s="116"/>
      <c r="Q97" s="116"/>
      <c r="R97" s="116"/>
      <c r="S97" s="50">
        <v>7.0</v>
      </c>
      <c r="T97" s="50">
        <v>1000.0</v>
      </c>
      <c r="U97" s="50">
        <v>3.0</v>
      </c>
      <c r="V97" s="50">
        <v>8.0</v>
      </c>
      <c r="W97" s="50">
        <v>7.0</v>
      </c>
      <c r="X97" s="50">
        <v>100.0</v>
      </c>
      <c r="Y97" s="50">
        <v>3.0</v>
      </c>
      <c r="Z97" s="50">
        <v>0.0</v>
      </c>
      <c r="AA97" s="50">
        <v>0.0</v>
      </c>
      <c r="AB97" s="116"/>
      <c r="AC97" s="116"/>
      <c r="AD97" s="116"/>
      <c r="AE97" s="116"/>
      <c r="AF97" s="116"/>
      <c r="AG97" s="116"/>
      <c r="AH97" s="50">
        <v>7.0</v>
      </c>
      <c r="AI97" s="50">
        <v>1000.0</v>
      </c>
      <c r="AJ97" s="50">
        <v>3.0</v>
      </c>
      <c r="AK97" s="50">
        <v>10.0</v>
      </c>
      <c r="AL97" s="50">
        <v>7.0</v>
      </c>
      <c r="AM97" s="50">
        <v>100.0</v>
      </c>
      <c r="AN97" s="50">
        <v>3.0</v>
      </c>
      <c r="AO97" s="50">
        <v>0.0</v>
      </c>
      <c r="AP97" s="50">
        <v>1.0</v>
      </c>
      <c r="AQ97" s="50">
        <v>7.0</v>
      </c>
      <c r="AR97" s="50">
        <v>5000.0</v>
      </c>
      <c r="AS97" s="50">
        <v>3.0</v>
      </c>
      <c r="AT97" s="50">
        <v>0.0</v>
      </c>
      <c r="AU97" s="50">
        <v>1.0</v>
      </c>
      <c r="AV97" s="50" t="s">
        <v>12837</v>
      </c>
      <c r="AW97" s="50" t="s">
        <v>12838</v>
      </c>
      <c r="AX97" s="116"/>
      <c r="AY97" s="116"/>
      <c r="AZ97" s="50">
        <v>7.0</v>
      </c>
      <c r="BA97" s="50">
        <v>1000.0</v>
      </c>
      <c r="BB97" s="50">
        <v>3.0</v>
      </c>
      <c r="BC97" s="50">
        <v>28.0</v>
      </c>
      <c r="BD97" s="50">
        <v>7.0</v>
      </c>
      <c r="BE97" s="50">
        <v>100.0</v>
      </c>
      <c r="BF97" s="50">
        <v>3.0</v>
      </c>
      <c r="BG97" s="50">
        <v>3.0</v>
      </c>
      <c r="BH97" s="50">
        <v>0.0</v>
      </c>
      <c r="BI97" s="116"/>
      <c r="BJ97" s="116"/>
      <c r="BK97" s="116"/>
      <c r="BL97" s="116"/>
      <c r="BM97" s="116"/>
      <c r="BN97" s="116"/>
      <c r="BO97" s="50">
        <v>7.0</v>
      </c>
      <c r="BP97" s="50">
        <v>1000.0</v>
      </c>
      <c r="BQ97" s="50">
        <v>3.0</v>
      </c>
      <c r="BR97" s="50">
        <v>0.0</v>
      </c>
      <c r="BS97" s="50">
        <v>7.0</v>
      </c>
      <c r="BT97" s="50">
        <v>100.0</v>
      </c>
      <c r="BU97" s="50">
        <v>3.0</v>
      </c>
      <c r="BV97" s="50">
        <v>12.0</v>
      </c>
      <c r="BW97" s="50">
        <v>1.0</v>
      </c>
      <c r="BX97" s="50">
        <v>7.0</v>
      </c>
      <c r="BY97" s="50">
        <v>5000.0</v>
      </c>
      <c r="BZ97" s="50">
        <v>3.0</v>
      </c>
      <c r="CA97" s="50">
        <v>0.0</v>
      </c>
      <c r="CB97" s="116"/>
      <c r="CC97" s="50" t="s">
        <v>12927</v>
      </c>
      <c r="CD97" s="50" t="s">
        <v>10362</v>
      </c>
      <c r="CE97" s="50">
        <v>1.0</v>
      </c>
      <c r="CF97" s="50" t="s">
        <v>10066</v>
      </c>
      <c r="CG97" s="117">
        <v>4018.0</v>
      </c>
      <c r="CH97" s="50" t="s">
        <v>12930</v>
      </c>
      <c r="CI97" s="50" t="s">
        <v>12931</v>
      </c>
      <c r="CJ97" s="117">
        <v>96.0</v>
      </c>
    </row>
    <row r="98">
      <c r="A98" s="50" t="s">
        <v>12894</v>
      </c>
      <c r="B98" s="50" t="s">
        <v>6876</v>
      </c>
      <c r="C98" s="50" t="s">
        <v>6877</v>
      </c>
      <c r="D98" s="50" t="s">
        <v>8493</v>
      </c>
      <c r="E98" s="50" t="s">
        <v>12932</v>
      </c>
      <c r="F98" s="50">
        <v>58.0</v>
      </c>
      <c r="G98" s="50">
        <v>1.0</v>
      </c>
      <c r="H98" s="50">
        <v>14.0</v>
      </c>
      <c r="I98" s="50">
        <v>141.0</v>
      </c>
      <c r="J98" s="116"/>
      <c r="K98" s="50" t="s">
        <v>537</v>
      </c>
      <c r="L98" s="50" t="s">
        <v>537</v>
      </c>
      <c r="M98" s="50" t="s">
        <v>12939</v>
      </c>
      <c r="N98" s="50" t="s">
        <v>12901</v>
      </c>
      <c r="O98" s="50" t="s">
        <v>12942</v>
      </c>
      <c r="P98" s="116"/>
      <c r="Q98" s="116"/>
      <c r="R98" s="116"/>
      <c r="S98" s="50">
        <v>7.0</v>
      </c>
      <c r="T98" s="50">
        <v>1000.0</v>
      </c>
      <c r="U98" s="50">
        <v>3.0</v>
      </c>
      <c r="V98" s="50">
        <v>0.0</v>
      </c>
      <c r="W98" s="50">
        <v>7.0</v>
      </c>
      <c r="X98" s="50">
        <v>100.0</v>
      </c>
      <c r="Y98" s="50">
        <v>3.0</v>
      </c>
      <c r="Z98" s="50">
        <v>0.0</v>
      </c>
      <c r="AA98" s="50">
        <v>0.0</v>
      </c>
      <c r="AB98" s="116"/>
      <c r="AC98" s="116"/>
      <c r="AD98" s="116"/>
      <c r="AE98" s="116"/>
      <c r="AF98" s="116"/>
      <c r="AG98" s="116"/>
      <c r="AH98" s="50">
        <v>7.0</v>
      </c>
      <c r="AI98" s="50">
        <v>1000.0</v>
      </c>
      <c r="AJ98" s="50">
        <v>3.0</v>
      </c>
      <c r="AK98" s="50">
        <v>0.0</v>
      </c>
      <c r="AL98" s="50">
        <v>7.0</v>
      </c>
      <c r="AM98" s="50">
        <v>100.0</v>
      </c>
      <c r="AN98" s="50">
        <v>3.0</v>
      </c>
      <c r="AO98" s="50">
        <v>0.0</v>
      </c>
      <c r="AP98" s="50">
        <v>1.0</v>
      </c>
      <c r="AQ98" s="50">
        <v>7.0</v>
      </c>
      <c r="AR98" s="50">
        <v>5000.0</v>
      </c>
      <c r="AS98" s="50">
        <v>3.0</v>
      </c>
      <c r="AT98" s="50">
        <v>0.0</v>
      </c>
      <c r="AU98" s="50">
        <v>1.0</v>
      </c>
      <c r="AV98" s="50" t="s">
        <v>12837</v>
      </c>
      <c r="AW98" s="50" t="s">
        <v>12838</v>
      </c>
      <c r="AX98" s="116"/>
      <c r="AY98" s="116"/>
      <c r="AZ98" s="50">
        <v>7.0</v>
      </c>
      <c r="BA98" s="50">
        <v>1000.0</v>
      </c>
      <c r="BB98" s="50">
        <v>3.0</v>
      </c>
      <c r="BC98" s="50">
        <v>31.0</v>
      </c>
      <c r="BD98" s="50">
        <v>7.0</v>
      </c>
      <c r="BE98" s="50">
        <v>100.0</v>
      </c>
      <c r="BF98" s="50">
        <v>3.0</v>
      </c>
      <c r="BG98" s="50">
        <v>5.0</v>
      </c>
      <c r="BH98" s="50">
        <v>0.0</v>
      </c>
      <c r="BI98" s="116"/>
      <c r="BJ98" s="116"/>
      <c r="BK98" s="116"/>
      <c r="BL98" s="116"/>
      <c r="BM98" s="116"/>
      <c r="BN98" s="116"/>
      <c r="BO98" s="50">
        <v>7.0</v>
      </c>
      <c r="BP98" s="50">
        <v>1000.0</v>
      </c>
      <c r="BQ98" s="50">
        <v>3.0</v>
      </c>
      <c r="BR98" s="50">
        <v>0.0</v>
      </c>
      <c r="BS98" s="50">
        <v>7.0</v>
      </c>
      <c r="BT98" s="50">
        <v>100.0</v>
      </c>
      <c r="BU98" s="50">
        <v>3.0</v>
      </c>
      <c r="BV98" s="50">
        <v>0.0</v>
      </c>
      <c r="BW98" s="50">
        <v>1.0</v>
      </c>
      <c r="BX98" s="50">
        <v>7.0</v>
      </c>
      <c r="BY98" s="50">
        <v>5000.0</v>
      </c>
      <c r="BZ98" s="50">
        <v>3.0</v>
      </c>
      <c r="CA98" s="50">
        <v>0.0</v>
      </c>
      <c r="CB98" s="116"/>
      <c r="CC98" s="116"/>
      <c r="CD98" s="50" t="s">
        <v>10362</v>
      </c>
      <c r="CE98" s="50">
        <v>1.0</v>
      </c>
      <c r="CF98" s="50" t="s">
        <v>10066</v>
      </c>
      <c r="CG98" s="117">
        <v>4019.0</v>
      </c>
      <c r="CH98" s="50" t="s">
        <v>12965</v>
      </c>
      <c r="CI98" s="50" t="s">
        <v>12966</v>
      </c>
      <c r="CJ98" s="117">
        <v>97.0</v>
      </c>
    </row>
    <row r="99">
      <c r="A99" s="50" t="s">
        <v>12971</v>
      </c>
      <c r="B99" s="50" t="s">
        <v>6876</v>
      </c>
      <c r="C99" s="50" t="s">
        <v>6877</v>
      </c>
      <c r="D99" s="50" t="s">
        <v>8493</v>
      </c>
      <c r="E99" s="50" t="s">
        <v>12975</v>
      </c>
      <c r="F99" s="50">
        <v>58.0</v>
      </c>
      <c r="G99" s="50">
        <v>1.0</v>
      </c>
      <c r="H99" s="50">
        <v>14.0</v>
      </c>
      <c r="I99" s="50">
        <v>145.0</v>
      </c>
      <c r="J99" s="116"/>
      <c r="K99" s="50" t="s">
        <v>548</v>
      </c>
      <c r="L99" s="50" t="s">
        <v>548</v>
      </c>
      <c r="M99" s="50" t="s">
        <v>12939</v>
      </c>
      <c r="N99" s="50" t="s">
        <v>12901</v>
      </c>
      <c r="O99" s="50" t="s">
        <v>12981</v>
      </c>
      <c r="P99" s="116"/>
      <c r="Q99" s="116"/>
      <c r="R99" s="116"/>
      <c r="S99" s="50">
        <v>7.0</v>
      </c>
      <c r="T99" s="50">
        <v>1000.0</v>
      </c>
      <c r="U99" s="50">
        <v>3.0</v>
      </c>
      <c r="V99" s="50">
        <v>0.0</v>
      </c>
      <c r="W99" s="50">
        <v>7.0</v>
      </c>
      <c r="X99" s="50">
        <v>100.0</v>
      </c>
      <c r="Y99" s="50">
        <v>3.0</v>
      </c>
      <c r="Z99" s="50">
        <v>0.0</v>
      </c>
      <c r="AA99" s="50">
        <v>0.0</v>
      </c>
      <c r="AB99" s="116"/>
      <c r="AC99" s="116"/>
      <c r="AD99" s="116"/>
      <c r="AE99" s="116"/>
      <c r="AF99" s="116"/>
      <c r="AG99" s="116"/>
      <c r="AH99" s="50">
        <v>7.0</v>
      </c>
      <c r="AI99" s="50">
        <v>1000.0</v>
      </c>
      <c r="AJ99" s="50">
        <v>3.0</v>
      </c>
      <c r="AK99" s="50">
        <v>0.0</v>
      </c>
      <c r="AL99" s="50">
        <v>7.0</v>
      </c>
      <c r="AM99" s="50">
        <v>100.0</v>
      </c>
      <c r="AN99" s="50">
        <v>3.0</v>
      </c>
      <c r="AO99" s="50">
        <v>0.0</v>
      </c>
      <c r="AP99" s="50">
        <v>1.0</v>
      </c>
      <c r="AQ99" s="50">
        <v>7.0</v>
      </c>
      <c r="AR99" s="50">
        <v>5000.0</v>
      </c>
      <c r="AS99" s="50">
        <v>3.0</v>
      </c>
      <c r="AT99" s="50">
        <v>0.0</v>
      </c>
      <c r="AU99" s="50">
        <v>1.0</v>
      </c>
      <c r="AV99" s="50" t="s">
        <v>12837</v>
      </c>
      <c r="AW99" s="50" t="s">
        <v>12838</v>
      </c>
      <c r="AX99" s="116"/>
      <c r="AY99" s="116"/>
      <c r="AZ99" s="50">
        <v>7.0</v>
      </c>
      <c r="BA99" s="50">
        <v>1000.0</v>
      </c>
      <c r="BB99" s="50">
        <v>3.0</v>
      </c>
      <c r="BC99" s="50">
        <v>3.0</v>
      </c>
      <c r="BD99" s="50">
        <v>7.0</v>
      </c>
      <c r="BE99" s="50">
        <v>100.0</v>
      </c>
      <c r="BF99" s="50">
        <v>3.0</v>
      </c>
      <c r="BG99" s="50">
        <v>2.0</v>
      </c>
      <c r="BH99" s="50">
        <v>0.0</v>
      </c>
      <c r="BI99" s="116"/>
      <c r="BJ99" s="116"/>
      <c r="BK99" s="116"/>
      <c r="BL99" s="116"/>
      <c r="BM99" s="116"/>
      <c r="BN99" s="116"/>
      <c r="BO99" s="50">
        <v>7.0</v>
      </c>
      <c r="BP99" s="50">
        <v>1000.0</v>
      </c>
      <c r="BQ99" s="50">
        <v>3.0</v>
      </c>
      <c r="BR99" s="50">
        <v>0.0</v>
      </c>
      <c r="BS99" s="50">
        <v>7.0</v>
      </c>
      <c r="BT99" s="50">
        <v>100.0</v>
      </c>
      <c r="BU99" s="50">
        <v>3.0</v>
      </c>
      <c r="BV99" s="50">
        <v>0.0</v>
      </c>
      <c r="BW99" s="50">
        <v>1.0</v>
      </c>
      <c r="BX99" s="50">
        <v>7.0</v>
      </c>
      <c r="BY99" s="50">
        <v>5000.0</v>
      </c>
      <c r="BZ99" s="50">
        <v>3.0</v>
      </c>
      <c r="CA99" s="50">
        <v>0.0</v>
      </c>
      <c r="CB99" s="116"/>
      <c r="CC99" s="116"/>
      <c r="CD99" s="50" t="s">
        <v>10362</v>
      </c>
      <c r="CE99" s="50">
        <v>1.0</v>
      </c>
      <c r="CF99" s="50" t="s">
        <v>10066</v>
      </c>
      <c r="CG99" s="117">
        <v>4020.0</v>
      </c>
      <c r="CH99" s="50" t="s">
        <v>13002</v>
      </c>
      <c r="CI99" s="50" t="s">
        <v>13003</v>
      </c>
      <c r="CJ99" s="117">
        <v>98.0</v>
      </c>
    </row>
    <row r="100">
      <c r="A100" s="50" t="s">
        <v>13004</v>
      </c>
      <c r="B100" s="50" t="s">
        <v>6876</v>
      </c>
      <c r="C100" s="50" t="s">
        <v>6877</v>
      </c>
      <c r="D100" s="50" t="s">
        <v>8493</v>
      </c>
      <c r="E100" s="50" t="s">
        <v>13007</v>
      </c>
      <c r="F100" s="50">
        <v>58.0</v>
      </c>
      <c r="G100" s="50">
        <v>1.0</v>
      </c>
      <c r="H100" s="50">
        <v>14.0</v>
      </c>
      <c r="I100" s="50">
        <v>142.0</v>
      </c>
      <c r="J100" s="116"/>
      <c r="K100" s="50" t="s">
        <v>539</v>
      </c>
      <c r="L100" s="50" t="s">
        <v>539</v>
      </c>
      <c r="M100" s="50" t="s">
        <v>12939</v>
      </c>
      <c r="N100" s="50" t="s">
        <v>12901</v>
      </c>
      <c r="O100" s="50" t="s">
        <v>12981</v>
      </c>
      <c r="P100" s="116"/>
      <c r="Q100" s="116"/>
      <c r="R100" s="116"/>
      <c r="S100" s="50">
        <v>7.0</v>
      </c>
      <c r="T100" s="50">
        <v>1000.0</v>
      </c>
      <c r="U100" s="50">
        <v>3.0</v>
      </c>
      <c r="V100" s="50">
        <v>0.0</v>
      </c>
      <c r="W100" s="50">
        <v>7.0</v>
      </c>
      <c r="X100" s="50">
        <v>100.0</v>
      </c>
      <c r="Y100" s="50">
        <v>3.0</v>
      </c>
      <c r="Z100" s="50">
        <v>0.0</v>
      </c>
      <c r="AA100" s="50">
        <v>0.0</v>
      </c>
      <c r="AB100" s="116"/>
      <c r="AC100" s="116"/>
      <c r="AD100" s="116"/>
      <c r="AE100" s="116"/>
      <c r="AF100" s="116"/>
      <c r="AG100" s="116"/>
      <c r="AH100" s="50">
        <v>7.0</v>
      </c>
      <c r="AI100" s="50">
        <v>1000.0</v>
      </c>
      <c r="AJ100" s="50">
        <v>3.0</v>
      </c>
      <c r="AK100" s="50">
        <v>0.0</v>
      </c>
      <c r="AL100" s="50">
        <v>7.0</v>
      </c>
      <c r="AM100" s="50">
        <v>100.0</v>
      </c>
      <c r="AN100" s="50">
        <v>3.0</v>
      </c>
      <c r="AO100" s="50">
        <v>0.0</v>
      </c>
      <c r="AP100" s="50">
        <v>1.0</v>
      </c>
      <c r="AQ100" s="50">
        <v>7.0</v>
      </c>
      <c r="AR100" s="50">
        <v>5000.0</v>
      </c>
      <c r="AS100" s="50">
        <v>3.0</v>
      </c>
      <c r="AT100" s="50">
        <v>0.0</v>
      </c>
      <c r="AU100" s="50">
        <v>1.0</v>
      </c>
      <c r="AV100" s="50" t="s">
        <v>12837</v>
      </c>
      <c r="AW100" s="50" t="s">
        <v>12838</v>
      </c>
      <c r="AX100" s="116"/>
      <c r="AY100" s="116"/>
      <c r="AZ100" s="50">
        <v>7.0</v>
      </c>
      <c r="BA100" s="50">
        <v>1000.0</v>
      </c>
      <c r="BB100" s="50">
        <v>3.0</v>
      </c>
      <c r="BC100" s="50">
        <v>2.0</v>
      </c>
      <c r="BD100" s="50">
        <v>7.0</v>
      </c>
      <c r="BE100" s="50">
        <v>100.0</v>
      </c>
      <c r="BF100" s="50">
        <v>3.0</v>
      </c>
      <c r="BG100" s="50">
        <v>0.0</v>
      </c>
      <c r="BH100" s="50">
        <v>0.0</v>
      </c>
      <c r="BI100" s="116"/>
      <c r="BJ100" s="116"/>
      <c r="BK100" s="116"/>
      <c r="BL100" s="116"/>
      <c r="BM100" s="116"/>
      <c r="BN100" s="116"/>
      <c r="BO100" s="50">
        <v>7.0</v>
      </c>
      <c r="BP100" s="50">
        <v>1000.0</v>
      </c>
      <c r="BQ100" s="50">
        <v>3.0</v>
      </c>
      <c r="BR100" s="50">
        <v>0.0</v>
      </c>
      <c r="BS100" s="50">
        <v>7.0</v>
      </c>
      <c r="BT100" s="50">
        <v>100.0</v>
      </c>
      <c r="BU100" s="50">
        <v>3.0</v>
      </c>
      <c r="BV100" s="50">
        <v>0.0</v>
      </c>
      <c r="BW100" s="50">
        <v>1.0</v>
      </c>
      <c r="BX100" s="50">
        <v>7.0</v>
      </c>
      <c r="BY100" s="50">
        <v>5000.0</v>
      </c>
      <c r="BZ100" s="50">
        <v>3.0</v>
      </c>
      <c r="CA100" s="50">
        <v>0.0</v>
      </c>
      <c r="CB100" s="116"/>
      <c r="CC100" s="116"/>
      <c r="CD100" s="50" t="s">
        <v>10362</v>
      </c>
      <c r="CE100" s="50">
        <v>1.0</v>
      </c>
      <c r="CF100" s="50" t="s">
        <v>10066</v>
      </c>
      <c r="CG100" s="117">
        <v>4021.0</v>
      </c>
      <c r="CH100" s="50" t="s">
        <v>13039</v>
      </c>
      <c r="CI100" s="50" t="s">
        <v>13040</v>
      </c>
      <c r="CJ100" s="117">
        <v>99.0</v>
      </c>
    </row>
    <row r="101">
      <c r="A101" s="50" t="s">
        <v>13043</v>
      </c>
      <c r="B101" s="50" t="s">
        <v>6876</v>
      </c>
      <c r="C101" s="50" t="s">
        <v>6877</v>
      </c>
      <c r="D101" s="50" t="s">
        <v>8493</v>
      </c>
      <c r="E101" s="50" t="s">
        <v>13044</v>
      </c>
      <c r="F101" s="50">
        <v>58.0</v>
      </c>
      <c r="G101" s="50">
        <v>1.0</v>
      </c>
      <c r="H101" s="50">
        <v>14.0</v>
      </c>
      <c r="I101" s="50">
        <v>145.0</v>
      </c>
      <c r="J101" s="123"/>
      <c r="K101" s="50" t="s">
        <v>548</v>
      </c>
      <c r="L101" s="50" t="s">
        <v>548</v>
      </c>
      <c r="M101" s="50" t="s">
        <v>12939</v>
      </c>
      <c r="N101" s="50" t="s">
        <v>12901</v>
      </c>
      <c r="O101" s="50" t="s">
        <v>12981</v>
      </c>
      <c r="P101" s="116"/>
      <c r="Q101" s="116"/>
      <c r="R101" s="116"/>
      <c r="S101" s="50">
        <v>7.0</v>
      </c>
      <c r="T101" s="50">
        <v>1000.0</v>
      </c>
      <c r="U101" s="50">
        <v>3.0</v>
      </c>
      <c r="V101" s="50">
        <v>0.0</v>
      </c>
      <c r="W101" s="50">
        <v>7.0</v>
      </c>
      <c r="X101" s="50">
        <v>100.0</v>
      </c>
      <c r="Y101" s="50">
        <v>3.0</v>
      </c>
      <c r="Z101" s="50">
        <v>0.0</v>
      </c>
      <c r="AA101" s="50">
        <v>0.0</v>
      </c>
      <c r="AB101" s="116"/>
      <c r="AC101" s="116"/>
      <c r="AD101" s="116"/>
      <c r="AE101" s="116"/>
      <c r="AF101" s="116"/>
      <c r="AG101" s="116"/>
      <c r="AH101" s="50">
        <v>7.0</v>
      </c>
      <c r="AI101" s="50">
        <v>1000.0</v>
      </c>
      <c r="AJ101" s="50">
        <v>3.0</v>
      </c>
      <c r="AK101" s="50">
        <v>0.0</v>
      </c>
      <c r="AL101" s="50">
        <v>7.0</v>
      </c>
      <c r="AM101" s="50">
        <v>100.0</v>
      </c>
      <c r="AN101" s="50">
        <v>3.0</v>
      </c>
      <c r="AO101" s="50">
        <v>0.0</v>
      </c>
      <c r="AP101" s="50">
        <v>1.0</v>
      </c>
      <c r="AQ101" s="50">
        <v>7.0</v>
      </c>
      <c r="AR101" s="50">
        <v>5000.0</v>
      </c>
      <c r="AS101" s="50">
        <v>3.0</v>
      </c>
      <c r="AT101" s="50">
        <v>0.0</v>
      </c>
      <c r="AU101" s="50">
        <v>1.0</v>
      </c>
      <c r="AV101" s="50" t="s">
        <v>12837</v>
      </c>
      <c r="AW101" s="50" t="s">
        <v>12838</v>
      </c>
      <c r="AX101" s="116"/>
      <c r="AY101" s="116"/>
      <c r="AZ101" s="50">
        <v>7.0</v>
      </c>
      <c r="BA101" s="50">
        <v>1000.0</v>
      </c>
      <c r="BB101" s="50">
        <v>3.0</v>
      </c>
      <c r="BC101" s="50">
        <v>31.0</v>
      </c>
      <c r="BD101" s="50">
        <v>7.0</v>
      </c>
      <c r="BE101" s="50">
        <v>100.0</v>
      </c>
      <c r="BF101" s="50">
        <v>3.0</v>
      </c>
      <c r="BG101" s="50">
        <v>2.0</v>
      </c>
      <c r="BH101" s="50">
        <v>0.0</v>
      </c>
      <c r="BI101" s="116"/>
      <c r="BJ101" s="116"/>
      <c r="BK101" s="116"/>
      <c r="BL101" s="116"/>
      <c r="BM101" s="116"/>
      <c r="BN101" s="116"/>
      <c r="BO101" s="50">
        <v>7.0</v>
      </c>
      <c r="BP101" s="50">
        <v>1000.0</v>
      </c>
      <c r="BQ101" s="50">
        <v>3.0</v>
      </c>
      <c r="BR101" s="50">
        <v>0.0</v>
      </c>
      <c r="BS101" s="50">
        <v>7.0</v>
      </c>
      <c r="BT101" s="50">
        <v>100.0</v>
      </c>
      <c r="BU101" s="50">
        <v>3.0</v>
      </c>
      <c r="BV101" s="50">
        <v>0.0</v>
      </c>
      <c r="BW101" s="50">
        <v>1.0</v>
      </c>
      <c r="BX101" s="50">
        <v>7.0</v>
      </c>
      <c r="BY101" s="50">
        <v>5000.0</v>
      </c>
      <c r="BZ101" s="50">
        <v>3.0</v>
      </c>
      <c r="CA101" s="50">
        <v>0.0</v>
      </c>
      <c r="CB101" s="116"/>
      <c r="CC101" s="116"/>
      <c r="CD101" s="50" t="s">
        <v>10362</v>
      </c>
      <c r="CE101" s="50">
        <v>1.0</v>
      </c>
      <c r="CF101" s="50" t="s">
        <v>10066</v>
      </c>
      <c r="CG101" s="117">
        <v>4022.0</v>
      </c>
      <c r="CH101" s="50" t="s">
        <v>13077</v>
      </c>
      <c r="CI101" s="50" t="s">
        <v>13078</v>
      </c>
      <c r="CJ101" s="117">
        <v>100.0</v>
      </c>
    </row>
    <row r="102">
      <c r="A102" s="50" t="s">
        <v>13044</v>
      </c>
      <c r="B102" s="50" t="s">
        <v>6876</v>
      </c>
      <c r="C102" s="50" t="s">
        <v>6877</v>
      </c>
      <c r="D102" s="50" t="s">
        <v>8493</v>
      </c>
      <c r="E102" s="50" t="s">
        <v>13083</v>
      </c>
      <c r="F102" s="50">
        <v>58.0</v>
      </c>
      <c r="G102" s="50">
        <v>1.0</v>
      </c>
      <c r="H102" s="50">
        <v>14.0</v>
      </c>
      <c r="I102" s="50">
        <v>144.0</v>
      </c>
      <c r="J102" s="123"/>
      <c r="K102" s="50" t="s">
        <v>545</v>
      </c>
      <c r="L102" s="50" t="s">
        <v>545</v>
      </c>
      <c r="M102" s="50" t="s">
        <v>12939</v>
      </c>
      <c r="N102" s="50" t="s">
        <v>12901</v>
      </c>
      <c r="O102" s="50" t="s">
        <v>12981</v>
      </c>
      <c r="P102" s="116"/>
      <c r="Q102" s="116"/>
      <c r="R102" s="116"/>
      <c r="S102" s="50">
        <v>7.0</v>
      </c>
      <c r="T102" s="50">
        <v>1000.0</v>
      </c>
      <c r="U102" s="50">
        <v>3.0</v>
      </c>
      <c r="V102" s="50">
        <v>0.0</v>
      </c>
      <c r="W102" s="50">
        <v>7.0</v>
      </c>
      <c r="X102" s="50">
        <v>100.0</v>
      </c>
      <c r="Y102" s="50">
        <v>3.0</v>
      </c>
      <c r="Z102" s="50">
        <v>0.0</v>
      </c>
      <c r="AA102" s="50">
        <v>0.0</v>
      </c>
      <c r="AB102" s="116"/>
      <c r="AC102" s="116"/>
      <c r="AD102" s="116"/>
      <c r="AE102" s="116"/>
      <c r="AF102" s="116"/>
      <c r="AG102" s="116"/>
      <c r="AH102" s="50">
        <v>7.0</v>
      </c>
      <c r="AI102" s="50">
        <v>1000.0</v>
      </c>
      <c r="AJ102" s="50">
        <v>3.0</v>
      </c>
      <c r="AK102" s="50">
        <v>0.0</v>
      </c>
      <c r="AL102" s="50">
        <v>7.0</v>
      </c>
      <c r="AM102" s="50">
        <v>100.0</v>
      </c>
      <c r="AN102" s="50">
        <v>3.0</v>
      </c>
      <c r="AO102" s="50">
        <v>0.0</v>
      </c>
      <c r="AP102" s="50">
        <v>1.0</v>
      </c>
      <c r="AQ102" s="50">
        <v>7.0</v>
      </c>
      <c r="AR102" s="50">
        <v>5000.0</v>
      </c>
      <c r="AS102" s="50">
        <v>3.0</v>
      </c>
      <c r="AT102" s="50">
        <v>0.0</v>
      </c>
      <c r="AU102" s="50">
        <v>1.0</v>
      </c>
      <c r="AV102" s="50" t="s">
        <v>12837</v>
      </c>
      <c r="AW102" s="50" t="s">
        <v>12838</v>
      </c>
      <c r="AX102" s="116"/>
      <c r="AY102" s="116"/>
      <c r="AZ102" s="50">
        <v>7.0</v>
      </c>
      <c r="BA102" s="50">
        <v>1000.0</v>
      </c>
      <c r="BB102" s="50">
        <v>3.0</v>
      </c>
      <c r="BC102" s="50">
        <v>14.0</v>
      </c>
      <c r="BD102" s="50">
        <v>7.0</v>
      </c>
      <c r="BE102" s="50">
        <v>100.0</v>
      </c>
      <c r="BF102" s="50">
        <v>3.0</v>
      </c>
      <c r="BG102" s="50">
        <v>0.0</v>
      </c>
      <c r="BH102" s="50">
        <v>0.0</v>
      </c>
      <c r="BI102" s="116"/>
      <c r="BJ102" s="116"/>
      <c r="BK102" s="116"/>
      <c r="BL102" s="116"/>
      <c r="BM102" s="116"/>
      <c r="BN102" s="116"/>
      <c r="BO102" s="50">
        <v>7.0</v>
      </c>
      <c r="BP102" s="50">
        <v>1000.0</v>
      </c>
      <c r="BQ102" s="50">
        <v>3.0</v>
      </c>
      <c r="BR102" s="50">
        <v>0.0</v>
      </c>
      <c r="BS102" s="50">
        <v>7.0</v>
      </c>
      <c r="BT102" s="50">
        <v>100.0</v>
      </c>
      <c r="BU102" s="50">
        <v>3.0</v>
      </c>
      <c r="BV102" s="50">
        <v>0.0</v>
      </c>
      <c r="BW102" s="50">
        <v>1.0</v>
      </c>
      <c r="BX102" s="50">
        <v>7.0</v>
      </c>
      <c r="BY102" s="50">
        <v>5000.0</v>
      </c>
      <c r="BZ102" s="50">
        <v>3.0</v>
      </c>
      <c r="CA102" s="50">
        <v>0.0</v>
      </c>
      <c r="CB102" s="116"/>
      <c r="CC102" s="116"/>
      <c r="CD102" s="50" t="s">
        <v>10362</v>
      </c>
      <c r="CE102" s="50">
        <v>1.0</v>
      </c>
      <c r="CF102" s="50" t="s">
        <v>10066</v>
      </c>
      <c r="CG102" s="117">
        <v>4023.0</v>
      </c>
      <c r="CH102" s="50" t="s">
        <v>13108</v>
      </c>
      <c r="CI102" s="50" t="s">
        <v>13109</v>
      </c>
      <c r="CJ102" s="117">
        <v>101.0</v>
      </c>
    </row>
    <row r="103">
      <c r="A103" s="50" t="s">
        <v>13111</v>
      </c>
      <c r="B103" s="50" t="s">
        <v>6876</v>
      </c>
      <c r="C103" s="50" t="s">
        <v>6877</v>
      </c>
      <c r="D103" s="50" t="s">
        <v>8493</v>
      </c>
      <c r="E103" s="50" t="s">
        <v>13114</v>
      </c>
      <c r="F103" s="50">
        <v>57.0</v>
      </c>
      <c r="G103" s="50">
        <v>1.0</v>
      </c>
      <c r="H103" s="50">
        <v>16.0</v>
      </c>
      <c r="I103" s="116"/>
      <c r="J103" s="123"/>
      <c r="K103" s="50" t="s">
        <v>1110</v>
      </c>
      <c r="L103" s="50" t="s">
        <v>1110</v>
      </c>
      <c r="M103" s="50" t="s">
        <v>12939</v>
      </c>
      <c r="N103" s="50" t="s">
        <v>12901</v>
      </c>
      <c r="O103" s="50" t="s">
        <v>12981</v>
      </c>
      <c r="P103" s="116"/>
      <c r="Q103" s="116"/>
      <c r="R103" s="116"/>
      <c r="S103" s="50">
        <v>7.0</v>
      </c>
      <c r="T103" s="50">
        <v>1.0</v>
      </c>
      <c r="U103" s="50">
        <v>3.0</v>
      </c>
      <c r="V103" s="50">
        <v>52.0</v>
      </c>
      <c r="W103" s="50">
        <v>7.0</v>
      </c>
      <c r="X103" s="50">
        <v>100.0</v>
      </c>
      <c r="Y103" s="50">
        <v>3.0</v>
      </c>
      <c r="Z103" s="50">
        <v>2.0</v>
      </c>
      <c r="AA103" s="50">
        <v>0.0</v>
      </c>
      <c r="AB103" s="116"/>
      <c r="AC103" s="116"/>
      <c r="AD103" s="116"/>
      <c r="AE103" s="116"/>
      <c r="AF103" s="116"/>
      <c r="AG103" s="116"/>
      <c r="AH103" s="50">
        <v>7.0</v>
      </c>
      <c r="AI103" s="50">
        <v>1.0</v>
      </c>
      <c r="AJ103" s="50">
        <v>3.0</v>
      </c>
      <c r="AK103" s="50">
        <v>0.0</v>
      </c>
      <c r="AL103" s="50">
        <v>7.0</v>
      </c>
      <c r="AM103" s="50">
        <v>100.0</v>
      </c>
      <c r="AN103" s="50">
        <v>3.0</v>
      </c>
      <c r="AO103" s="50">
        <v>0.0</v>
      </c>
      <c r="AP103" s="50">
        <v>0.0</v>
      </c>
      <c r="AQ103" s="116"/>
      <c r="AR103" s="116"/>
      <c r="AS103" s="116"/>
      <c r="AT103" s="116"/>
      <c r="AU103" s="50">
        <v>0.0</v>
      </c>
      <c r="AV103" s="116"/>
      <c r="AW103" s="116"/>
      <c r="AX103" s="116"/>
      <c r="AY103" s="116"/>
      <c r="AZ103" s="116"/>
      <c r="BA103" s="116"/>
      <c r="BB103" s="116"/>
      <c r="BC103" s="116"/>
      <c r="BD103" s="116"/>
      <c r="BE103" s="116"/>
      <c r="BF103" s="116"/>
      <c r="BG103" s="116"/>
      <c r="BH103" s="116"/>
      <c r="BI103" s="116"/>
      <c r="BJ103" s="116"/>
      <c r="BK103" s="116"/>
      <c r="BL103" s="116"/>
      <c r="BM103" s="116"/>
      <c r="BN103" s="116"/>
      <c r="BO103" s="116"/>
      <c r="BP103" s="116"/>
      <c r="BQ103" s="116"/>
      <c r="BR103" s="116"/>
      <c r="BS103" s="116"/>
      <c r="BT103" s="116"/>
      <c r="BU103" s="116"/>
      <c r="BV103" s="116"/>
      <c r="BW103" s="116"/>
      <c r="BX103" s="116"/>
      <c r="BY103" s="116"/>
      <c r="BZ103" s="116"/>
      <c r="CA103" s="116"/>
      <c r="CB103" s="116"/>
      <c r="CC103" s="116"/>
      <c r="CD103" s="50" t="s">
        <v>10362</v>
      </c>
      <c r="CE103" s="50">
        <v>0.0</v>
      </c>
      <c r="CF103" s="50" t="s">
        <v>10066</v>
      </c>
      <c r="CG103" s="117">
        <v>4163.0</v>
      </c>
      <c r="CH103" s="50" t="s">
        <v>13135</v>
      </c>
      <c r="CI103" s="50" t="s">
        <v>13137</v>
      </c>
      <c r="CJ103" s="117">
        <v>102.0</v>
      </c>
    </row>
    <row r="104">
      <c r="A104" s="50" t="s">
        <v>13114</v>
      </c>
      <c r="B104" s="50" t="s">
        <v>6876</v>
      </c>
      <c r="C104" s="50" t="s">
        <v>6877</v>
      </c>
      <c r="D104" s="50" t="s">
        <v>8493</v>
      </c>
      <c r="E104" s="50" t="s">
        <v>13140</v>
      </c>
      <c r="F104" s="50">
        <v>58.0</v>
      </c>
      <c r="G104" s="50">
        <v>1.0</v>
      </c>
      <c r="H104" s="50">
        <v>15.0</v>
      </c>
      <c r="I104" s="116"/>
      <c r="J104" s="50">
        <v>151.0</v>
      </c>
      <c r="K104" s="50" t="s">
        <v>551</v>
      </c>
      <c r="L104" s="50" t="s">
        <v>551</v>
      </c>
      <c r="M104" s="50" t="s">
        <v>13144</v>
      </c>
      <c r="N104" s="50" t="s">
        <v>13145</v>
      </c>
      <c r="O104" s="50" t="s">
        <v>13146</v>
      </c>
      <c r="P104" s="116"/>
      <c r="Q104" s="116"/>
      <c r="R104" s="116"/>
      <c r="S104" s="50">
        <v>7.0</v>
      </c>
      <c r="T104" s="50">
        <v>1.0</v>
      </c>
      <c r="U104" s="50">
        <v>3.0</v>
      </c>
      <c r="V104" s="50">
        <v>0.0</v>
      </c>
      <c r="W104" s="50">
        <v>7.0</v>
      </c>
      <c r="X104" s="50">
        <v>100.0</v>
      </c>
      <c r="Y104" s="50">
        <v>3.0</v>
      </c>
      <c r="Z104" s="50">
        <v>0.0</v>
      </c>
      <c r="AA104" s="50">
        <v>0.0</v>
      </c>
      <c r="AB104" s="116"/>
      <c r="AC104" s="116"/>
      <c r="AD104" s="116"/>
      <c r="AE104" s="116"/>
      <c r="AF104" s="116"/>
      <c r="AG104" s="116"/>
      <c r="AH104" s="50">
        <v>7.0</v>
      </c>
      <c r="AI104" s="50">
        <v>1.0</v>
      </c>
      <c r="AJ104" s="50">
        <v>3.0</v>
      </c>
      <c r="AK104" s="50">
        <v>0.0</v>
      </c>
      <c r="AL104" s="50">
        <v>7.0</v>
      </c>
      <c r="AM104" s="50">
        <v>100.0</v>
      </c>
      <c r="AN104" s="50">
        <v>3.0</v>
      </c>
      <c r="AO104" s="50">
        <v>0.0</v>
      </c>
      <c r="AP104" s="50">
        <v>0.0</v>
      </c>
      <c r="AQ104" s="116"/>
      <c r="AR104" s="116"/>
      <c r="AS104" s="116"/>
      <c r="AT104" s="116"/>
      <c r="AU104" s="50">
        <v>0.0</v>
      </c>
      <c r="AV104" s="116"/>
      <c r="AW104" s="116"/>
      <c r="AX104" s="116"/>
      <c r="AY104" s="116"/>
      <c r="AZ104" s="116"/>
      <c r="BA104" s="116"/>
      <c r="BB104" s="116"/>
      <c r="BC104" s="116"/>
      <c r="BD104" s="116"/>
      <c r="BE104" s="116"/>
      <c r="BF104" s="116"/>
      <c r="BG104" s="116"/>
      <c r="BH104" s="116"/>
      <c r="BI104" s="116"/>
      <c r="BJ104" s="116"/>
      <c r="BK104" s="116"/>
      <c r="BL104" s="116"/>
      <c r="BM104" s="116"/>
      <c r="BN104" s="116"/>
      <c r="BO104" s="116"/>
      <c r="BP104" s="116"/>
      <c r="BQ104" s="116"/>
      <c r="BR104" s="116"/>
      <c r="BS104" s="116"/>
      <c r="BT104" s="116"/>
      <c r="BU104" s="116"/>
      <c r="BV104" s="116"/>
      <c r="BW104" s="116"/>
      <c r="BX104" s="116"/>
      <c r="BY104" s="116"/>
      <c r="BZ104" s="116"/>
      <c r="CA104" s="116"/>
      <c r="CB104" s="116"/>
      <c r="CC104" s="116"/>
      <c r="CD104" s="50" t="s">
        <v>10362</v>
      </c>
      <c r="CE104" s="50">
        <v>0.0</v>
      </c>
      <c r="CF104" s="50" t="s">
        <v>10066</v>
      </c>
      <c r="CG104" s="117">
        <v>4164.0</v>
      </c>
      <c r="CH104" s="50" t="s">
        <v>13162</v>
      </c>
      <c r="CI104" s="50" t="s">
        <v>13163</v>
      </c>
      <c r="CJ104" s="117">
        <v>103.0</v>
      </c>
    </row>
    <row r="105">
      <c r="A105" s="50" t="s">
        <v>13140</v>
      </c>
      <c r="B105" s="50" t="s">
        <v>6876</v>
      </c>
      <c r="C105" s="50" t="s">
        <v>6877</v>
      </c>
      <c r="D105" s="50" t="s">
        <v>8493</v>
      </c>
      <c r="E105" s="50" t="s">
        <v>13168</v>
      </c>
      <c r="F105" s="50">
        <v>58.0</v>
      </c>
      <c r="G105" s="50">
        <v>1.0</v>
      </c>
      <c r="H105" s="50">
        <v>15.0</v>
      </c>
      <c r="I105" s="116"/>
      <c r="J105" s="50">
        <v>151.0</v>
      </c>
      <c r="K105" s="50" t="s">
        <v>556</v>
      </c>
      <c r="L105" s="50" t="s">
        <v>556</v>
      </c>
      <c r="M105" s="50" t="s">
        <v>13144</v>
      </c>
      <c r="N105" s="50" t="s">
        <v>13145</v>
      </c>
      <c r="O105" s="50" t="s">
        <v>13146</v>
      </c>
      <c r="P105" s="116"/>
      <c r="Q105" s="116"/>
      <c r="R105" s="116"/>
      <c r="S105" s="50">
        <v>7.0</v>
      </c>
      <c r="T105" s="50">
        <v>1.0</v>
      </c>
      <c r="U105" s="50">
        <v>3.0</v>
      </c>
      <c r="V105" s="50">
        <v>0.0</v>
      </c>
      <c r="W105" s="50">
        <v>7.0</v>
      </c>
      <c r="X105" s="50">
        <v>100.0</v>
      </c>
      <c r="Y105" s="50">
        <v>3.0</v>
      </c>
      <c r="Z105" s="50">
        <v>0.0</v>
      </c>
      <c r="AA105" s="50">
        <v>0.0</v>
      </c>
      <c r="AB105" s="116"/>
      <c r="AC105" s="116"/>
      <c r="AD105" s="116"/>
      <c r="AE105" s="116"/>
      <c r="AF105" s="116"/>
      <c r="AG105" s="116"/>
      <c r="AH105" s="50">
        <v>7.0</v>
      </c>
      <c r="AI105" s="50">
        <v>1.0</v>
      </c>
      <c r="AJ105" s="50">
        <v>3.0</v>
      </c>
      <c r="AK105" s="50">
        <v>0.0</v>
      </c>
      <c r="AL105" s="50">
        <v>7.0</v>
      </c>
      <c r="AM105" s="50">
        <v>100.0</v>
      </c>
      <c r="AN105" s="50">
        <v>3.0</v>
      </c>
      <c r="AO105" s="50">
        <v>0.0</v>
      </c>
      <c r="AP105" s="50">
        <v>0.0</v>
      </c>
      <c r="AQ105" s="116"/>
      <c r="AR105" s="116"/>
      <c r="AS105" s="116"/>
      <c r="AT105" s="116"/>
      <c r="AU105" s="50">
        <v>0.0</v>
      </c>
      <c r="AV105" s="116"/>
      <c r="AW105" s="116"/>
      <c r="AX105" s="116"/>
      <c r="AY105" s="116"/>
      <c r="AZ105" s="116"/>
      <c r="BA105" s="116"/>
      <c r="BB105" s="116"/>
      <c r="BC105" s="116"/>
      <c r="BD105" s="116"/>
      <c r="BE105" s="116"/>
      <c r="BF105" s="116"/>
      <c r="BG105" s="116"/>
      <c r="BH105" s="116"/>
      <c r="BI105" s="116"/>
      <c r="BJ105" s="116"/>
      <c r="BK105" s="116"/>
      <c r="BL105" s="116"/>
      <c r="BM105" s="116"/>
      <c r="BN105" s="116"/>
      <c r="BO105" s="116"/>
      <c r="BP105" s="116"/>
      <c r="BQ105" s="116"/>
      <c r="BR105" s="116"/>
      <c r="BS105" s="116"/>
      <c r="BT105" s="116"/>
      <c r="BU105" s="116"/>
      <c r="BV105" s="116"/>
      <c r="BW105" s="116"/>
      <c r="BX105" s="116"/>
      <c r="BY105" s="116"/>
      <c r="BZ105" s="116"/>
      <c r="CA105" s="116"/>
      <c r="CB105" s="116"/>
      <c r="CC105" s="116"/>
      <c r="CD105" s="50" t="s">
        <v>10362</v>
      </c>
      <c r="CE105" s="50">
        <v>0.0</v>
      </c>
      <c r="CF105" s="50" t="s">
        <v>10066</v>
      </c>
      <c r="CG105" s="117">
        <v>4165.0</v>
      </c>
      <c r="CH105" s="50" t="s">
        <v>13193</v>
      </c>
      <c r="CI105" s="50" t="s">
        <v>13194</v>
      </c>
      <c r="CJ105" s="117">
        <v>104.0</v>
      </c>
    </row>
    <row r="106">
      <c r="A106" s="50" t="s">
        <v>13168</v>
      </c>
      <c r="B106" s="50" t="s">
        <v>6876</v>
      </c>
      <c r="C106" s="50" t="s">
        <v>6877</v>
      </c>
      <c r="D106" s="50" t="s">
        <v>8493</v>
      </c>
      <c r="E106" s="50" t="s">
        <v>13195</v>
      </c>
      <c r="F106" s="50">
        <v>58.0</v>
      </c>
      <c r="G106" s="50">
        <v>1.0</v>
      </c>
      <c r="H106" s="50">
        <v>15.0</v>
      </c>
      <c r="I106" s="116"/>
      <c r="J106" s="50">
        <v>151.0</v>
      </c>
      <c r="K106" s="50" t="s">
        <v>558</v>
      </c>
      <c r="L106" s="50" t="s">
        <v>558</v>
      </c>
      <c r="M106" s="50" t="s">
        <v>13144</v>
      </c>
      <c r="N106" s="50" t="s">
        <v>13145</v>
      </c>
      <c r="O106" s="50" t="s">
        <v>13146</v>
      </c>
      <c r="P106" s="116"/>
      <c r="Q106" s="116"/>
      <c r="R106" s="116"/>
      <c r="S106" s="50">
        <v>7.0</v>
      </c>
      <c r="T106" s="50">
        <v>1.0</v>
      </c>
      <c r="U106" s="50">
        <v>3.0</v>
      </c>
      <c r="V106" s="50">
        <v>0.0</v>
      </c>
      <c r="W106" s="50">
        <v>7.0</v>
      </c>
      <c r="X106" s="50">
        <v>100.0</v>
      </c>
      <c r="Y106" s="50">
        <v>3.0</v>
      </c>
      <c r="Z106" s="50">
        <v>0.0</v>
      </c>
      <c r="AA106" s="50">
        <v>0.0</v>
      </c>
      <c r="AB106" s="116"/>
      <c r="AC106" s="116"/>
      <c r="AD106" s="116"/>
      <c r="AE106" s="116"/>
      <c r="AF106" s="116"/>
      <c r="AG106" s="116"/>
      <c r="AH106" s="50">
        <v>7.0</v>
      </c>
      <c r="AI106" s="50">
        <v>1.0</v>
      </c>
      <c r="AJ106" s="50">
        <v>3.0</v>
      </c>
      <c r="AK106" s="50">
        <v>0.0</v>
      </c>
      <c r="AL106" s="50">
        <v>7.0</v>
      </c>
      <c r="AM106" s="50">
        <v>100.0</v>
      </c>
      <c r="AN106" s="50">
        <v>3.0</v>
      </c>
      <c r="AO106" s="50">
        <v>0.0</v>
      </c>
      <c r="AP106" s="50">
        <v>0.0</v>
      </c>
      <c r="AQ106" s="116"/>
      <c r="AR106" s="116"/>
      <c r="AS106" s="116"/>
      <c r="AT106" s="116"/>
      <c r="AU106" s="50">
        <v>0.0</v>
      </c>
      <c r="AV106" s="116"/>
      <c r="AW106" s="116"/>
      <c r="AX106" s="116"/>
      <c r="AY106" s="116"/>
      <c r="AZ106" s="116"/>
      <c r="BA106" s="116"/>
      <c r="BB106" s="116"/>
      <c r="BC106" s="116"/>
      <c r="BD106" s="116"/>
      <c r="BE106" s="116"/>
      <c r="BF106" s="116"/>
      <c r="BG106" s="116"/>
      <c r="BH106" s="116"/>
      <c r="BI106" s="116"/>
      <c r="BJ106" s="116"/>
      <c r="BK106" s="116"/>
      <c r="BL106" s="116"/>
      <c r="BM106" s="116"/>
      <c r="BN106" s="116"/>
      <c r="BO106" s="116"/>
      <c r="BP106" s="116"/>
      <c r="BQ106" s="116"/>
      <c r="BR106" s="116"/>
      <c r="BS106" s="116"/>
      <c r="BT106" s="116"/>
      <c r="BU106" s="116"/>
      <c r="BV106" s="116"/>
      <c r="BW106" s="116"/>
      <c r="BX106" s="116"/>
      <c r="BY106" s="116"/>
      <c r="BZ106" s="116"/>
      <c r="CA106" s="116"/>
      <c r="CB106" s="116"/>
      <c r="CC106" s="116"/>
      <c r="CD106" s="50" t="s">
        <v>10362</v>
      </c>
      <c r="CE106" s="50">
        <v>0.0</v>
      </c>
      <c r="CF106" s="50" t="s">
        <v>10066</v>
      </c>
      <c r="CG106" s="117">
        <v>4166.0</v>
      </c>
      <c r="CH106" s="50" t="s">
        <v>13218</v>
      </c>
      <c r="CI106" s="50" t="s">
        <v>13220</v>
      </c>
      <c r="CJ106" s="117">
        <v>105.0</v>
      </c>
    </row>
    <row r="107">
      <c r="A107" s="50" t="s">
        <v>13195</v>
      </c>
      <c r="B107" s="50" t="s">
        <v>6876</v>
      </c>
      <c r="C107" s="50" t="s">
        <v>6877</v>
      </c>
      <c r="D107" s="50" t="s">
        <v>8493</v>
      </c>
      <c r="E107" s="50" t="s">
        <v>13222</v>
      </c>
      <c r="F107" s="50">
        <v>58.0</v>
      </c>
      <c r="G107" s="50">
        <v>1.0</v>
      </c>
      <c r="H107" s="50">
        <v>15.0</v>
      </c>
      <c r="I107" s="116"/>
      <c r="J107" s="50">
        <v>152.0</v>
      </c>
      <c r="K107" s="50" t="s">
        <v>215</v>
      </c>
      <c r="L107" s="50" t="s">
        <v>215</v>
      </c>
      <c r="M107" s="50" t="s">
        <v>13144</v>
      </c>
      <c r="N107" s="50" t="s">
        <v>13145</v>
      </c>
      <c r="O107" s="50" t="s">
        <v>13146</v>
      </c>
      <c r="P107" s="116"/>
      <c r="Q107" s="116"/>
      <c r="R107" s="116"/>
      <c r="S107" s="50">
        <v>7.0</v>
      </c>
      <c r="T107" s="50">
        <v>1.0</v>
      </c>
      <c r="U107" s="50">
        <v>3.0</v>
      </c>
      <c r="V107" s="50">
        <v>0.0</v>
      </c>
      <c r="W107" s="50">
        <v>7.0</v>
      </c>
      <c r="X107" s="50">
        <v>100.0</v>
      </c>
      <c r="Y107" s="50">
        <v>3.0</v>
      </c>
      <c r="Z107" s="50">
        <v>0.0</v>
      </c>
      <c r="AA107" s="50">
        <v>0.0</v>
      </c>
      <c r="AB107" s="116"/>
      <c r="AC107" s="116"/>
      <c r="AD107" s="116"/>
      <c r="AE107" s="116"/>
      <c r="AF107" s="116"/>
      <c r="AG107" s="116"/>
      <c r="AH107" s="50">
        <v>7.0</v>
      </c>
      <c r="AI107" s="50">
        <v>1.0</v>
      </c>
      <c r="AJ107" s="50">
        <v>3.0</v>
      </c>
      <c r="AK107" s="50">
        <v>0.0</v>
      </c>
      <c r="AL107" s="50">
        <v>7.0</v>
      </c>
      <c r="AM107" s="50">
        <v>100.0</v>
      </c>
      <c r="AN107" s="50">
        <v>3.0</v>
      </c>
      <c r="AO107" s="50">
        <v>0.0</v>
      </c>
      <c r="AP107" s="50">
        <v>0.0</v>
      </c>
      <c r="AQ107" s="116"/>
      <c r="AR107" s="116"/>
      <c r="AS107" s="116"/>
      <c r="AT107" s="116"/>
      <c r="AU107" s="50">
        <v>0.0</v>
      </c>
      <c r="AV107" s="116"/>
      <c r="AW107" s="116"/>
      <c r="AX107" s="116"/>
      <c r="AY107" s="116"/>
      <c r="AZ107" s="116"/>
      <c r="BA107" s="116"/>
      <c r="BB107" s="116"/>
      <c r="BC107" s="116"/>
      <c r="BD107" s="116"/>
      <c r="BE107" s="116"/>
      <c r="BF107" s="116"/>
      <c r="BG107" s="116"/>
      <c r="BH107" s="116"/>
      <c r="BI107" s="116"/>
      <c r="BJ107" s="116"/>
      <c r="BK107" s="116"/>
      <c r="BL107" s="116"/>
      <c r="BM107" s="116"/>
      <c r="BN107" s="116"/>
      <c r="BO107" s="116"/>
      <c r="BP107" s="116"/>
      <c r="BQ107" s="116"/>
      <c r="BR107" s="116"/>
      <c r="BS107" s="116"/>
      <c r="BT107" s="116"/>
      <c r="BU107" s="116"/>
      <c r="BV107" s="116"/>
      <c r="BW107" s="116"/>
      <c r="BX107" s="116"/>
      <c r="BY107" s="116"/>
      <c r="BZ107" s="116"/>
      <c r="CA107" s="116"/>
      <c r="CB107" s="116"/>
      <c r="CC107" s="116"/>
      <c r="CD107" s="50" t="s">
        <v>10362</v>
      </c>
      <c r="CE107" s="50">
        <v>0.0</v>
      </c>
      <c r="CF107" s="50" t="s">
        <v>10066</v>
      </c>
      <c r="CG107" s="117">
        <v>4167.0</v>
      </c>
      <c r="CH107" s="50" t="s">
        <v>13247</v>
      </c>
      <c r="CI107" s="50" t="s">
        <v>13248</v>
      </c>
      <c r="CJ107" s="117">
        <v>106.0</v>
      </c>
    </row>
    <row r="108">
      <c r="A108" s="50" t="s">
        <v>13250</v>
      </c>
      <c r="B108" s="50" t="s">
        <v>6876</v>
      </c>
      <c r="C108" s="50" t="s">
        <v>6877</v>
      </c>
      <c r="D108" s="50" t="s">
        <v>8493</v>
      </c>
      <c r="E108" s="50" t="s">
        <v>13253</v>
      </c>
      <c r="F108" s="50">
        <v>58.0</v>
      </c>
      <c r="G108" s="50">
        <v>1.0</v>
      </c>
      <c r="H108" s="50">
        <v>15.0</v>
      </c>
      <c r="I108" s="116"/>
      <c r="J108" s="50">
        <v>151.0</v>
      </c>
      <c r="K108" s="50" t="s">
        <v>553</v>
      </c>
      <c r="L108" s="50" t="s">
        <v>553</v>
      </c>
      <c r="M108" s="50" t="s">
        <v>13144</v>
      </c>
      <c r="N108" s="50" t="s">
        <v>13145</v>
      </c>
      <c r="O108" s="50" t="s">
        <v>13146</v>
      </c>
      <c r="P108" s="116"/>
      <c r="Q108" s="116"/>
      <c r="R108" s="116"/>
      <c r="S108" s="50">
        <v>7.0</v>
      </c>
      <c r="T108" s="50">
        <v>1.0</v>
      </c>
      <c r="U108" s="50">
        <v>3.0</v>
      </c>
      <c r="V108" s="50">
        <v>0.0</v>
      </c>
      <c r="W108" s="50">
        <v>7.0</v>
      </c>
      <c r="X108" s="50">
        <v>100.0</v>
      </c>
      <c r="Y108" s="50">
        <v>3.0</v>
      </c>
      <c r="Z108" s="50">
        <v>0.0</v>
      </c>
      <c r="AA108" s="50">
        <v>0.0</v>
      </c>
      <c r="AB108" s="116"/>
      <c r="AC108" s="116"/>
      <c r="AD108" s="116"/>
      <c r="AE108" s="116"/>
      <c r="AF108" s="116"/>
      <c r="AG108" s="116"/>
      <c r="AH108" s="50">
        <v>7.0</v>
      </c>
      <c r="AI108" s="50">
        <v>1.0</v>
      </c>
      <c r="AJ108" s="50">
        <v>3.0</v>
      </c>
      <c r="AK108" s="50">
        <v>0.0</v>
      </c>
      <c r="AL108" s="50">
        <v>7.0</v>
      </c>
      <c r="AM108" s="50">
        <v>100.0</v>
      </c>
      <c r="AN108" s="50">
        <v>3.0</v>
      </c>
      <c r="AO108" s="50">
        <v>0.0</v>
      </c>
      <c r="AP108" s="50">
        <v>0.0</v>
      </c>
      <c r="AQ108" s="116"/>
      <c r="AR108" s="116"/>
      <c r="AS108" s="116"/>
      <c r="AT108" s="116"/>
      <c r="AU108" s="50">
        <v>0.0</v>
      </c>
      <c r="AV108" s="116"/>
      <c r="AW108" s="116"/>
      <c r="AX108" s="116"/>
      <c r="AY108" s="116"/>
      <c r="AZ108" s="116"/>
      <c r="BA108" s="116"/>
      <c r="BB108" s="116"/>
      <c r="BC108" s="116"/>
      <c r="BD108" s="116"/>
      <c r="BE108" s="116"/>
      <c r="BF108" s="116"/>
      <c r="BG108" s="116"/>
      <c r="BH108" s="116"/>
      <c r="BI108" s="116"/>
      <c r="BJ108" s="116"/>
      <c r="BK108" s="116"/>
      <c r="BL108" s="116"/>
      <c r="BM108" s="116"/>
      <c r="BN108" s="116"/>
      <c r="BO108" s="116"/>
      <c r="BP108" s="116"/>
      <c r="BQ108" s="116"/>
      <c r="BR108" s="116"/>
      <c r="BS108" s="116"/>
      <c r="BT108" s="116"/>
      <c r="BU108" s="116"/>
      <c r="BV108" s="116"/>
      <c r="BW108" s="116"/>
      <c r="BX108" s="116"/>
      <c r="BY108" s="116"/>
      <c r="BZ108" s="116"/>
      <c r="CA108" s="116"/>
      <c r="CB108" s="116"/>
      <c r="CC108" s="116"/>
      <c r="CD108" s="50" t="s">
        <v>10362</v>
      </c>
      <c r="CE108" s="50">
        <v>0.0</v>
      </c>
      <c r="CF108" s="50" t="s">
        <v>10066</v>
      </c>
      <c r="CG108" s="117">
        <v>4168.0</v>
      </c>
      <c r="CH108" s="50" t="s">
        <v>13266</v>
      </c>
      <c r="CI108" s="50" t="s">
        <v>13267</v>
      </c>
      <c r="CJ108" s="117">
        <v>107.0</v>
      </c>
    </row>
    <row r="109">
      <c r="A109" s="50" t="s">
        <v>13253</v>
      </c>
      <c r="B109" s="50" t="s">
        <v>6876</v>
      </c>
      <c r="C109" s="50" t="s">
        <v>6877</v>
      </c>
      <c r="D109" s="50" t="s">
        <v>8493</v>
      </c>
      <c r="E109" s="50" t="s">
        <v>13270</v>
      </c>
      <c r="F109" s="50">
        <v>58.0</v>
      </c>
      <c r="G109" s="50">
        <v>1.0</v>
      </c>
      <c r="H109" s="50">
        <v>15.0</v>
      </c>
      <c r="I109" s="116"/>
      <c r="J109" s="50">
        <v>152.0</v>
      </c>
      <c r="K109" s="50" t="s">
        <v>562</v>
      </c>
      <c r="L109" s="50" t="s">
        <v>562</v>
      </c>
      <c r="M109" s="50" t="s">
        <v>13144</v>
      </c>
      <c r="N109" s="50" t="s">
        <v>13145</v>
      </c>
      <c r="O109" s="50" t="s">
        <v>13146</v>
      </c>
      <c r="P109" s="116"/>
      <c r="Q109" s="116"/>
      <c r="R109" s="116"/>
      <c r="S109" s="50">
        <v>7.0</v>
      </c>
      <c r="T109" s="50">
        <v>1.0</v>
      </c>
      <c r="U109" s="50">
        <v>3.0</v>
      </c>
      <c r="V109" s="50">
        <v>0.0</v>
      </c>
      <c r="W109" s="50">
        <v>7.0</v>
      </c>
      <c r="X109" s="50">
        <v>100.0</v>
      </c>
      <c r="Y109" s="50">
        <v>3.0</v>
      </c>
      <c r="Z109" s="50">
        <v>0.0</v>
      </c>
      <c r="AA109" s="50">
        <v>0.0</v>
      </c>
      <c r="AB109" s="116"/>
      <c r="AC109" s="116"/>
      <c r="AD109" s="116"/>
      <c r="AE109" s="116"/>
      <c r="AF109" s="116"/>
      <c r="AG109" s="116"/>
      <c r="AH109" s="50">
        <v>7.0</v>
      </c>
      <c r="AI109" s="50">
        <v>1.0</v>
      </c>
      <c r="AJ109" s="50">
        <v>3.0</v>
      </c>
      <c r="AK109" s="50">
        <v>0.0</v>
      </c>
      <c r="AL109" s="50">
        <v>7.0</v>
      </c>
      <c r="AM109" s="50">
        <v>100.0</v>
      </c>
      <c r="AN109" s="50">
        <v>3.0</v>
      </c>
      <c r="AO109" s="50">
        <v>0.0</v>
      </c>
      <c r="AP109" s="50">
        <v>0.0</v>
      </c>
      <c r="AQ109" s="123"/>
      <c r="AR109" s="123"/>
      <c r="AS109" s="123"/>
      <c r="AT109" s="123"/>
      <c r="AU109" s="50">
        <v>0.0</v>
      </c>
      <c r="AV109" s="123"/>
      <c r="AW109" s="123"/>
      <c r="AX109" s="116"/>
      <c r="AY109" s="116"/>
      <c r="AZ109" s="123"/>
      <c r="BA109" s="123"/>
      <c r="BB109" s="123"/>
      <c r="BC109" s="123"/>
      <c r="BD109" s="123"/>
      <c r="BE109" s="123"/>
      <c r="BF109" s="123"/>
      <c r="BG109" s="123"/>
      <c r="BH109" s="123"/>
      <c r="BI109" s="116"/>
      <c r="BJ109" s="116"/>
      <c r="BK109" s="116"/>
      <c r="BL109" s="116"/>
      <c r="BM109" s="116"/>
      <c r="BN109" s="116"/>
      <c r="BO109" s="123"/>
      <c r="BP109" s="123"/>
      <c r="BQ109" s="123"/>
      <c r="BR109" s="123"/>
      <c r="BS109" s="123"/>
      <c r="BT109" s="123"/>
      <c r="BU109" s="123"/>
      <c r="BV109" s="123"/>
      <c r="BW109" s="123"/>
      <c r="BX109" s="123"/>
      <c r="BY109" s="123"/>
      <c r="BZ109" s="123"/>
      <c r="CA109" s="123"/>
      <c r="CB109" s="116"/>
      <c r="CC109" s="116"/>
      <c r="CD109" s="50" t="s">
        <v>10362</v>
      </c>
      <c r="CE109" s="50">
        <v>0.0</v>
      </c>
      <c r="CF109" s="50" t="s">
        <v>10066</v>
      </c>
      <c r="CG109" s="117">
        <v>4169.0</v>
      </c>
      <c r="CH109" s="50" t="s">
        <v>13288</v>
      </c>
      <c r="CI109" s="50" t="s">
        <v>13289</v>
      </c>
      <c r="CJ109" s="117">
        <v>108.0</v>
      </c>
    </row>
    <row r="110">
      <c r="A110" s="50" t="s">
        <v>13270</v>
      </c>
      <c r="B110" s="50" t="s">
        <v>6876</v>
      </c>
      <c r="C110" s="50" t="s">
        <v>6877</v>
      </c>
      <c r="D110" s="50" t="s">
        <v>8493</v>
      </c>
      <c r="E110" s="50" t="s">
        <v>13291</v>
      </c>
      <c r="F110" s="50">
        <v>58.0</v>
      </c>
      <c r="G110" s="50">
        <v>1.0</v>
      </c>
      <c r="H110" s="50">
        <v>15.0</v>
      </c>
      <c r="I110" s="116"/>
      <c r="J110" s="50">
        <v>152.0</v>
      </c>
      <c r="K110" s="50" t="s">
        <v>565</v>
      </c>
      <c r="L110" s="50" t="s">
        <v>565</v>
      </c>
      <c r="M110" s="50" t="s">
        <v>13144</v>
      </c>
      <c r="N110" s="50" t="s">
        <v>13145</v>
      </c>
      <c r="O110" s="50" t="s">
        <v>13146</v>
      </c>
      <c r="P110" s="116"/>
      <c r="Q110" s="116"/>
      <c r="R110" s="116"/>
      <c r="S110" s="50">
        <v>7.0</v>
      </c>
      <c r="T110" s="50">
        <v>1.0</v>
      </c>
      <c r="U110" s="50">
        <v>3.0</v>
      </c>
      <c r="V110" s="50">
        <v>0.0</v>
      </c>
      <c r="W110" s="50">
        <v>7.0</v>
      </c>
      <c r="X110" s="50">
        <v>100.0</v>
      </c>
      <c r="Y110" s="50">
        <v>3.0</v>
      </c>
      <c r="Z110" s="50">
        <v>0.0</v>
      </c>
      <c r="AA110" s="50">
        <v>0.0</v>
      </c>
      <c r="AB110" s="116"/>
      <c r="AC110" s="116"/>
      <c r="AD110" s="116"/>
      <c r="AE110" s="116"/>
      <c r="AF110" s="116"/>
      <c r="AG110" s="116"/>
      <c r="AH110" s="50">
        <v>7.0</v>
      </c>
      <c r="AI110" s="50">
        <v>1.0</v>
      </c>
      <c r="AJ110" s="50">
        <v>3.0</v>
      </c>
      <c r="AK110" s="50">
        <v>0.0</v>
      </c>
      <c r="AL110" s="50">
        <v>7.0</v>
      </c>
      <c r="AM110" s="50">
        <v>100.0</v>
      </c>
      <c r="AN110" s="50">
        <v>3.0</v>
      </c>
      <c r="AO110" s="50">
        <v>0.0</v>
      </c>
      <c r="AP110" s="50">
        <v>0.0</v>
      </c>
      <c r="AQ110" s="123"/>
      <c r="AR110" s="123"/>
      <c r="AS110" s="123"/>
      <c r="AT110" s="123"/>
      <c r="AU110" s="50">
        <v>0.0</v>
      </c>
      <c r="AV110" s="123"/>
      <c r="AW110" s="123"/>
      <c r="AX110" s="116"/>
      <c r="AY110" s="116"/>
      <c r="AZ110" s="123"/>
      <c r="BA110" s="123"/>
      <c r="BB110" s="123"/>
      <c r="BC110" s="123"/>
      <c r="BD110" s="123"/>
      <c r="BE110" s="123"/>
      <c r="BF110" s="123"/>
      <c r="BG110" s="123"/>
      <c r="BH110" s="123"/>
      <c r="BI110" s="116"/>
      <c r="BJ110" s="116"/>
      <c r="BK110" s="116"/>
      <c r="BL110" s="116"/>
      <c r="BM110" s="116"/>
      <c r="BN110" s="116"/>
      <c r="BO110" s="123"/>
      <c r="BP110" s="123"/>
      <c r="BQ110" s="123"/>
      <c r="BR110" s="123"/>
      <c r="BS110" s="123"/>
      <c r="BT110" s="123"/>
      <c r="BU110" s="123"/>
      <c r="BV110" s="123"/>
      <c r="BW110" s="123"/>
      <c r="BX110" s="123"/>
      <c r="BY110" s="123"/>
      <c r="BZ110" s="123"/>
      <c r="CA110" s="116"/>
      <c r="CB110" s="116"/>
      <c r="CC110" s="116"/>
      <c r="CD110" s="50" t="s">
        <v>10362</v>
      </c>
      <c r="CE110" s="50">
        <v>0.0</v>
      </c>
      <c r="CF110" s="50" t="s">
        <v>10066</v>
      </c>
      <c r="CG110" s="117">
        <v>4170.0</v>
      </c>
      <c r="CH110" s="50" t="s">
        <v>13305</v>
      </c>
      <c r="CI110" s="50" t="s">
        <v>13306</v>
      </c>
      <c r="CJ110" s="117">
        <v>109.0</v>
      </c>
    </row>
    <row r="111">
      <c r="A111" s="50" t="s">
        <v>13307</v>
      </c>
      <c r="B111" s="50" t="s">
        <v>6876</v>
      </c>
      <c r="C111" s="50" t="s">
        <v>6877</v>
      </c>
      <c r="D111" s="50" t="s">
        <v>8493</v>
      </c>
      <c r="E111" s="50" t="s">
        <v>13308</v>
      </c>
      <c r="F111" s="50">
        <v>58.0</v>
      </c>
      <c r="G111" s="50">
        <v>1.0</v>
      </c>
      <c r="H111" s="50">
        <v>15.0</v>
      </c>
      <c r="I111" s="116"/>
      <c r="J111" s="50">
        <v>152.0</v>
      </c>
      <c r="K111" s="50" t="s">
        <v>567</v>
      </c>
      <c r="L111" s="50" t="s">
        <v>567</v>
      </c>
      <c r="M111" s="50" t="s">
        <v>13144</v>
      </c>
      <c r="N111" s="50" t="s">
        <v>13145</v>
      </c>
      <c r="O111" s="50" t="s">
        <v>13146</v>
      </c>
      <c r="P111" s="116"/>
      <c r="Q111" s="116"/>
      <c r="R111" s="116"/>
      <c r="S111" s="50">
        <v>7.0</v>
      </c>
      <c r="T111" s="50">
        <v>1.0</v>
      </c>
      <c r="U111" s="50">
        <v>3.0</v>
      </c>
      <c r="V111" s="50">
        <v>0.0</v>
      </c>
      <c r="W111" s="50">
        <v>7.0</v>
      </c>
      <c r="X111" s="50">
        <v>100.0</v>
      </c>
      <c r="Y111" s="50">
        <v>3.0</v>
      </c>
      <c r="Z111" s="50">
        <v>0.0</v>
      </c>
      <c r="AA111" s="50">
        <v>0.0</v>
      </c>
      <c r="AB111" s="116"/>
      <c r="AC111" s="116"/>
      <c r="AD111" s="116"/>
      <c r="AE111" s="116"/>
      <c r="AF111" s="116"/>
      <c r="AG111" s="116"/>
      <c r="AH111" s="50">
        <v>7.0</v>
      </c>
      <c r="AI111" s="50">
        <v>1.0</v>
      </c>
      <c r="AJ111" s="50">
        <v>3.0</v>
      </c>
      <c r="AK111" s="50">
        <v>0.0</v>
      </c>
      <c r="AL111" s="50">
        <v>7.0</v>
      </c>
      <c r="AM111" s="50">
        <v>100.0</v>
      </c>
      <c r="AN111" s="50">
        <v>3.0</v>
      </c>
      <c r="AO111" s="50">
        <v>0.0</v>
      </c>
      <c r="AP111" s="50">
        <v>0.0</v>
      </c>
      <c r="AQ111" s="123"/>
      <c r="AR111" s="123"/>
      <c r="AS111" s="123"/>
      <c r="AT111" s="123"/>
      <c r="AU111" s="50">
        <v>0.0</v>
      </c>
      <c r="AV111" s="123"/>
      <c r="AW111" s="123"/>
      <c r="AX111" s="116"/>
      <c r="AY111" s="116"/>
      <c r="AZ111" s="123"/>
      <c r="BA111" s="123"/>
      <c r="BB111" s="123"/>
      <c r="BC111" s="123"/>
      <c r="BD111" s="123"/>
      <c r="BE111" s="123"/>
      <c r="BF111" s="123"/>
      <c r="BG111" s="123"/>
      <c r="BH111" s="123"/>
      <c r="BI111" s="116"/>
      <c r="BJ111" s="116"/>
      <c r="BK111" s="116"/>
      <c r="BL111" s="116"/>
      <c r="BM111" s="116"/>
      <c r="BN111" s="116"/>
      <c r="BO111" s="123"/>
      <c r="BP111" s="123"/>
      <c r="BQ111" s="123"/>
      <c r="BR111" s="123"/>
      <c r="BS111" s="123"/>
      <c r="BT111" s="123"/>
      <c r="BU111" s="123"/>
      <c r="BV111" s="123"/>
      <c r="BW111" s="123"/>
      <c r="BX111" s="123"/>
      <c r="BY111" s="123"/>
      <c r="BZ111" s="123"/>
      <c r="CA111" s="116"/>
      <c r="CB111" s="116"/>
      <c r="CC111" s="116"/>
      <c r="CD111" s="50" t="s">
        <v>10362</v>
      </c>
      <c r="CE111" s="50">
        <v>0.0</v>
      </c>
      <c r="CF111" s="50" t="s">
        <v>10066</v>
      </c>
      <c r="CG111" s="117">
        <v>4171.0</v>
      </c>
      <c r="CH111" s="50" t="s">
        <v>13322</v>
      </c>
      <c r="CI111" s="50" t="s">
        <v>13323</v>
      </c>
      <c r="CJ111" s="117">
        <v>110.0</v>
      </c>
    </row>
    <row r="112">
      <c r="A112" s="50" t="s">
        <v>13326</v>
      </c>
      <c r="B112" s="50" t="s">
        <v>6876</v>
      </c>
      <c r="C112" s="50" t="s">
        <v>6877</v>
      </c>
      <c r="D112" s="50" t="s">
        <v>8493</v>
      </c>
      <c r="E112" s="50" t="s">
        <v>13328</v>
      </c>
      <c r="F112" s="50">
        <v>58.0</v>
      </c>
      <c r="G112" s="50">
        <v>1.0</v>
      </c>
      <c r="H112" s="50">
        <v>2.0</v>
      </c>
      <c r="I112" s="116"/>
      <c r="J112" s="116"/>
      <c r="K112" s="50" t="s">
        <v>1128</v>
      </c>
      <c r="L112" s="50" t="s">
        <v>1128</v>
      </c>
      <c r="M112" s="50" t="s">
        <v>13330</v>
      </c>
      <c r="N112" s="50" t="s">
        <v>13331</v>
      </c>
      <c r="O112" s="50" t="s">
        <v>13332</v>
      </c>
      <c r="P112" s="116"/>
      <c r="Q112" s="116"/>
      <c r="R112" s="116"/>
      <c r="S112" s="50">
        <v>7.0</v>
      </c>
      <c r="T112" s="50">
        <v>1000.0</v>
      </c>
      <c r="U112" s="50">
        <v>3.0</v>
      </c>
      <c r="V112" s="50">
        <v>0.0</v>
      </c>
      <c r="W112" s="50">
        <v>7.0</v>
      </c>
      <c r="X112" s="50">
        <v>100.0</v>
      </c>
      <c r="Y112" s="50">
        <v>3.0</v>
      </c>
      <c r="Z112" s="50">
        <v>0.0</v>
      </c>
      <c r="AA112" s="50">
        <v>0.0</v>
      </c>
      <c r="AB112" s="116"/>
      <c r="AC112" s="116"/>
      <c r="AD112" s="116"/>
      <c r="AE112" s="116"/>
      <c r="AF112" s="116"/>
      <c r="AG112" s="116"/>
      <c r="AH112" s="50">
        <v>7.0</v>
      </c>
      <c r="AI112" s="50">
        <v>1000.0</v>
      </c>
      <c r="AJ112" s="50">
        <v>3.0</v>
      </c>
      <c r="AK112" s="50">
        <v>0.0</v>
      </c>
      <c r="AL112" s="50">
        <v>7.0</v>
      </c>
      <c r="AM112" s="50">
        <v>100.0</v>
      </c>
      <c r="AN112" s="50">
        <v>3.0</v>
      </c>
      <c r="AO112" s="50">
        <v>0.0</v>
      </c>
      <c r="AP112" s="50">
        <v>1.0</v>
      </c>
      <c r="AQ112" s="50">
        <v>7.0</v>
      </c>
      <c r="AR112" s="50">
        <v>5000.0</v>
      </c>
      <c r="AS112" s="50">
        <v>3.0</v>
      </c>
      <c r="AT112" s="50">
        <v>0.0</v>
      </c>
      <c r="AU112" s="50">
        <v>1.0</v>
      </c>
      <c r="AV112" s="50" t="s">
        <v>13338</v>
      </c>
      <c r="AW112" s="50" t="s">
        <v>13332</v>
      </c>
      <c r="AX112" s="116"/>
      <c r="AY112" s="116"/>
      <c r="AZ112" s="50">
        <v>7.0</v>
      </c>
      <c r="BA112" s="50">
        <v>1000.0</v>
      </c>
      <c r="BB112" s="50">
        <v>3.0</v>
      </c>
      <c r="BC112" s="50">
        <v>0.0</v>
      </c>
      <c r="BD112" s="50">
        <v>7.0</v>
      </c>
      <c r="BE112" s="50">
        <v>100.0</v>
      </c>
      <c r="BF112" s="50">
        <v>3.0</v>
      </c>
      <c r="BG112" s="50">
        <v>0.0</v>
      </c>
      <c r="BH112" s="50">
        <v>0.0</v>
      </c>
      <c r="BI112" s="116"/>
      <c r="BJ112" s="116"/>
      <c r="BK112" s="116"/>
      <c r="BL112" s="116"/>
      <c r="BM112" s="116"/>
      <c r="BN112" s="116"/>
      <c r="BO112" s="50">
        <v>7.0</v>
      </c>
      <c r="BP112" s="50">
        <v>1000.0</v>
      </c>
      <c r="BQ112" s="50">
        <v>3.0</v>
      </c>
      <c r="BR112" s="50">
        <v>0.0</v>
      </c>
      <c r="BS112" s="50">
        <v>7.0</v>
      </c>
      <c r="BT112" s="50">
        <v>100.0</v>
      </c>
      <c r="BU112" s="50">
        <v>3.0</v>
      </c>
      <c r="BV112" s="50">
        <v>0.0</v>
      </c>
      <c r="BW112" s="50">
        <v>1.0</v>
      </c>
      <c r="BX112" s="50">
        <v>7.0</v>
      </c>
      <c r="BY112" s="50">
        <v>5000.0</v>
      </c>
      <c r="BZ112" s="50">
        <v>3.0</v>
      </c>
      <c r="CA112" s="50">
        <v>0.0</v>
      </c>
      <c r="CB112" s="116"/>
      <c r="CC112" s="123"/>
      <c r="CD112" s="50" t="s">
        <v>13342</v>
      </c>
      <c r="CE112" s="50">
        <v>1.0</v>
      </c>
      <c r="CF112" s="50" t="s">
        <v>10066</v>
      </c>
      <c r="CG112" s="117">
        <v>4287.0</v>
      </c>
      <c r="CH112" s="50" t="s">
        <v>13345</v>
      </c>
      <c r="CI112" s="50" t="s">
        <v>13346</v>
      </c>
      <c r="CJ112" s="117">
        <v>111.0</v>
      </c>
    </row>
    <row r="113">
      <c r="A113" s="50" t="s">
        <v>13328</v>
      </c>
      <c r="B113" s="50" t="s">
        <v>6876</v>
      </c>
      <c r="C113" s="50" t="s">
        <v>6877</v>
      </c>
      <c r="D113" s="50" t="s">
        <v>8493</v>
      </c>
      <c r="E113" s="50" t="s">
        <v>13350</v>
      </c>
      <c r="F113" s="50">
        <v>65.0</v>
      </c>
      <c r="G113" s="50">
        <v>1.0</v>
      </c>
      <c r="H113" s="50">
        <v>3.0</v>
      </c>
      <c r="I113" s="116"/>
      <c r="J113" s="116"/>
      <c r="K113" s="50" t="s">
        <v>1132</v>
      </c>
      <c r="L113" s="50" t="s">
        <v>1132</v>
      </c>
      <c r="M113" s="50" t="s">
        <v>13351</v>
      </c>
      <c r="N113" s="50" t="s">
        <v>13338</v>
      </c>
      <c r="O113" s="50" t="s">
        <v>13332</v>
      </c>
      <c r="P113" s="116"/>
      <c r="Q113" s="116"/>
      <c r="R113" s="116"/>
      <c r="S113" s="50">
        <v>7.0</v>
      </c>
      <c r="T113" s="50">
        <v>1000.0</v>
      </c>
      <c r="U113" s="50">
        <v>3.0</v>
      </c>
      <c r="V113" s="50">
        <v>56.0</v>
      </c>
      <c r="W113" s="50">
        <v>7.0</v>
      </c>
      <c r="X113" s="50">
        <v>100.0</v>
      </c>
      <c r="Y113" s="50">
        <v>3.0</v>
      </c>
      <c r="Z113" s="50">
        <v>14.0</v>
      </c>
      <c r="AA113" s="50">
        <v>0.0</v>
      </c>
      <c r="AB113" s="116"/>
      <c r="AC113" s="116"/>
      <c r="AD113" s="116"/>
      <c r="AE113" s="116"/>
      <c r="AF113" s="116"/>
      <c r="AG113" s="116"/>
      <c r="AH113" s="50">
        <v>7.0</v>
      </c>
      <c r="AI113" s="50">
        <v>1000.0</v>
      </c>
      <c r="AJ113" s="50">
        <v>3.0</v>
      </c>
      <c r="AK113" s="50">
        <v>0.0</v>
      </c>
      <c r="AL113" s="50">
        <v>7.0</v>
      </c>
      <c r="AM113" s="50">
        <v>100.0</v>
      </c>
      <c r="AN113" s="50">
        <v>3.0</v>
      </c>
      <c r="AO113" s="50">
        <v>0.0</v>
      </c>
      <c r="AP113" s="50">
        <v>1.0</v>
      </c>
      <c r="AQ113" s="50">
        <v>7.0</v>
      </c>
      <c r="AR113" s="50">
        <v>5000.0</v>
      </c>
      <c r="AS113" s="50">
        <v>3.0</v>
      </c>
      <c r="AT113" s="50">
        <v>0.0</v>
      </c>
      <c r="AU113" s="50">
        <v>1.0</v>
      </c>
      <c r="AV113" s="50" t="s">
        <v>13338</v>
      </c>
      <c r="AW113" s="50" t="s">
        <v>13332</v>
      </c>
      <c r="AX113" s="116"/>
      <c r="AY113" s="116"/>
      <c r="AZ113" s="50">
        <v>7.0</v>
      </c>
      <c r="BA113" s="50">
        <v>1000.0</v>
      </c>
      <c r="BB113" s="50">
        <v>3.0</v>
      </c>
      <c r="BC113" s="50">
        <v>266.0</v>
      </c>
      <c r="BD113" s="50">
        <v>7.0</v>
      </c>
      <c r="BE113" s="50">
        <v>100.0</v>
      </c>
      <c r="BF113" s="50">
        <v>3.0</v>
      </c>
      <c r="BG113" s="50">
        <v>84.0</v>
      </c>
      <c r="BH113" s="50">
        <v>0.0</v>
      </c>
      <c r="BI113" s="116"/>
      <c r="BJ113" s="116"/>
      <c r="BK113" s="116"/>
      <c r="BL113" s="116"/>
      <c r="BM113" s="116"/>
      <c r="BN113" s="116"/>
      <c r="BO113" s="50">
        <v>7.0</v>
      </c>
      <c r="BP113" s="50">
        <v>1000.0</v>
      </c>
      <c r="BQ113" s="50">
        <v>3.0</v>
      </c>
      <c r="BR113" s="50">
        <v>165.0</v>
      </c>
      <c r="BS113" s="50">
        <v>7.0</v>
      </c>
      <c r="BT113" s="50">
        <v>100.0</v>
      </c>
      <c r="BU113" s="50">
        <v>3.0</v>
      </c>
      <c r="BV113" s="50">
        <v>55.0</v>
      </c>
      <c r="BW113" s="50">
        <v>1.0</v>
      </c>
      <c r="BX113" s="50">
        <v>7.0</v>
      </c>
      <c r="BY113" s="50">
        <v>5000.0</v>
      </c>
      <c r="BZ113" s="50">
        <v>1.0</v>
      </c>
      <c r="CA113" s="116"/>
      <c r="CB113" s="116"/>
      <c r="CC113" s="123"/>
      <c r="CD113" s="50" t="s">
        <v>13342</v>
      </c>
      <c r="CE113" s="50">
        <v>1.0</v>
      </c>
      <c r="CF113" s="50" t="s">
        <v>10066</v>
      </c>
      <c r="CG113" s="117">
        <v>4288.0</v>
      </c>
      <c r="CH113" s="50" t="s">
        <v>13376</v>
      </c>
      <c r="CI113" s="50" t="s">
        <v>13377</v>
      </c>
      <c r="CJ113" s="117">
        <v>112.0</v>
      </c>
    </row>
    <row r="114">
      <c r="A114" s="50" t="s">
        <v>13350</v>
      </c>
      <c r="B114" s="50" t="s">
        <v>6876</v>
      </c>
      <c r="C114" s="50" t="s">
        <v>6877</v>
      </c>
      <c r="D114" s="50" t="s">
        <v>8493</v>
      </c>
      <c r="E114" s="50" t="s">
        <v>13378</v>
      </c>
      <c r="F114" s="50">
        <v>58.0</v>
      </c>
      <c r="G114" s="50">
        <v>1.0</v>
      </c>
      <c r="H114" s="50">
        <v>1.0</v>
      </c>
      <c r="I114" s="123"/>
      <c r="J114" s="116"/>
      <c r="K114" s="50" t="s">
        <v>1123</v>
      </c>
      <c r="L114" s="50" t="s">
        <v>1123</v>
      </c>
      <c r="M114" s="50" t="s">
        <v>13351</v>
      </c>
      <c r="N114" s="50" t="s">
        <v>13338</v>
      </c>
      <c r="O114" s="50" t="s">
        <v>13332</v>
      </c>
      <c r="P114" s="116"/>
      <c r="Q114" s="116"/>
      <c r="R114" s="116"/>
      <c r="S114" s="50">
        <v>7.0</v>
      </c>
      <c r="T114" s="50">
        <v>1000.0</v>
      </c>
      <c r="U114" s="50">
        <v>3.0</v>
      </c>
      <c r="V114" s="50">
        <v>56.0</v>
      </c>
      <c r="W114" s="50">
        <v>7.0</v>
      </c>
      <c r="X114" s="50">
        <v>100.0</v>
      </c>
      <c r="Y114" s="50">
        <v>3.0</v>
      </c>
      <c r="Z114" s="50">
        <v>14.0</v>
      </c>
      <c r="AA114" s="50">
        <v>0.0</v>
      </c>
      <c r="AB114" s="116"/>
      <c r="AC114" s="116"/>
      <c r="AD114" s="116"/>
      <c r="AE114" s="116"/>
      <c r="AF114" s="116"/>
      <c r="AG114" s="116"/>
      <c r="AH114" s="50">
        <v>7.0</v>
      </c>
      <c r="AI114" s="50">
        <v>1000.0</v>
      </c>
      <c r="AJ114" s="50">
        <v>3.0</v>
      </c>
      <c r="AK114" s="50">
        <v>0.0</v>
      </c>
      <c r="AL114" s="50">
        <v>7.0</v>
      </c>
      <c r="AM114" s="50">
        <v>100.0</v>
      </c>
      <c r="AN114" s="50">
        <v>3.0</v>
      </c>
      <c r="AO114" s="50">
        <v>0.0</v>
      </c>
      <c r="AP114" s="50">
        <v>1.0</v>
      </c>
      <c r="AQ114" s="50">
        <v>7.0</v>
      </c>
      <c r="AR114" s="50">
        <v>5000.0</v>
      </c>
      <c r="AS114" s="50">
        <v>3.0</v>
      </c>
      <c r="AT114" s="50">
        <v>0.0</v>
      </c>
      <c r="AU114" s="50">
        <v>1.0</v>
      </c>
      <c r="AV114" s="50" t="s">
        <v>13338</v>
      </c>
      <c r="AW114" s="50" t="s">
        <v>13332</v>
      </c>
      <c r="AX114" s="116"/>
      <c r="AY114" s="116"/>
      <c r="AZ114" s="50">
        <v>7.0</v>
      </c>
      <c r="BA114" s="50">
        <v>1000.0</v>
      </c>
      <c r="BB114" s="50">
        <v>3.0</v>
      </c>
      <c r="BC114" s="50">
        <v>266.0</v>
      </c>
      <c r="BD114" s="50">
        <v>7.0</v>
      </c>
      <c r="BE114" s="50">
        <v>100.0</v>
      </c>
      <c r="BF114" s="50">
        <v>3.0</v>
      </c>
      <c r="BG114" s="50">
        <v>84.0</v>
      </c>
      <c r="BH114" s="50">
        <v>0.0</v>
      </c>
      <c r="BI114" s="116"/>
      <c r="BJ114" s="116"/>
      <c r="BK114" s="116"/>
      <c r="BL114" s="116"/>
      <c r="BM114" s="116"/>
      <c r="BN114" s="116"/>
      <c r="BO114" s="50">
        <v>7.0</v>
      </c>
      <c r="BP114" s="50">
        <v>1000.0</v>
      </c>
      <c r="BQ114" s="50">
        <v>3.0</v>
      </c>
      <c r="BR114" s="50">
        <v>165.0</v>
      </c>
      <c r="BS114" s="50">
        <v>7.0</v>
      </c>
      <c r="BT114" s="50">
        <v>100.0</v>
      </c>
      <c r="BU114" s="50">
        <v>3.0</v>
      </c>
      <c r="BV114" s="50">
        <v>55.0</v>
      </c>
      <c r="BW114" s="50">
        <v>1.0</v>
      </c>
      <c r="BX114" s="50">
        <v>7.0</v>
      </c>
      <c r="BY114" s="50">
        <v>5000.0</v>
      </c>
      <c r="BZ114" s="50">
        <v>1.0</v>
      </c>
      <c r="CA114" s="116"/>
      <c r="CB114" s="116"/>
      <c r="CC114" s="123"/>
      <c r="CD114" s="50" t="s">
        <v>13342</v>
      </c>
      <c r="CE114" s="50">
        <v>1.0</v>
      </c>
      <c r="CF114" s="50" t="s">
        <v>10066</v>
      </c>
      <c r="CG114" s="117">
        <v>4289.0</v>
      </c>
      <c r="CH114" s="50" t="s">
        <v>13404</v>
      </c>
      <c r="CI114" s="50" t="s">
        <v>13406</v>
      </c>
      <c r="CJ114" s="117">
        <v>113.0</v>
      </c>
    </row>
    <row r="115">
      <c r="A115" s="50" t="s">
        <v>13407</v>
      </c>
      <c r="B115" s="50" t="s">
        <v>6876</v>
      </c>
      <c r="C115" s="50" t="s">
        <v>6877</v>
      </c>
      <c r="D115" s="50" t="s">
        <v>8493</v>
      </c>
      <c r="E115" s="50" t="s">
        <v>13409</v>
      </c>
      <c r="F115" s="50">
        <v>58.0</v>
      </c>
      <c r="G115" s="50">
        <v>1.0</v>
      </c>
      <c r="H115" s="50">
        <v>8.0</v>
      </c>
      <c r="I115" s="123"/>
      <c r="J115" s="116"/>
      <c r="K115" s="50" t="s">
        <v>1233</v>
      </c>
      <c r="L115" s="50" t="s">
        <v>1233</v>
      </c>
      <c r="M115" s="50" t="s">
        <v>13411</v>
      </c>
      <c r="N115" s="50" t="s">
        <v>13412</v>
      </c>
      <c r="O115" s="50" t="s">
        <v>13414</v>
      </c>
      <c r="P115" s="116"/>
      <c r="Q115" s="116"/>
      <c r="R115" s="116"/>
      <c r="S115" s="50">
        <v>7.0</v>
      </c>
      <c r="T115" s="50">
        <v>1000.0</v>
      </c>
      <c r="U115" s="50">
        <v>3.0</v>
      </c>
      <c r="V115" s="50">
        <v>0.0</v>
      </c>
      <c r="W115" s="50">
        <v>7.0</v>
      </c>
      <c r="X115" s="50">
        <v>100.0</v>
      </c>
      <c r="Y115" s="50">
        <v>3.0</v>
      </c>
      <c r="Z115" s="50">
        <v>69.0</v>
      </c>
      <c r="AA115" s="50">
        <v>0.0</v>
      </c>
      <c r="AB115" s="116"/>
      <c r="AC115" s="116"/>
      <c r="AD115" s="116"/>
      <c r="AE115" s="116"/>
      <c r="AF115" s="116"/>
      <c r="AG115" s="116"/>
      <c r="AH115" s="50">
        <v>7.0</v>
      </c>
      <c r="AI115" s="50">
        <v>1000.0</v>
      </c>
      <c r="AJ115" s="50">
        <v>3.0</v>
      </c>
      <c r="AK115" s="50">
        <v>0.0</v>
      </c>
      <c r="AL115" s="50">
        <v>7.0</v>
      </c>
      <c r="AM115" s="50">
        <v>100.0</v>
      </c>
      <c r="AN115" s="50">
        <v>1.0</v>
      </c>
      <c r="AO115" s="123"/>
      <c r="AP115" s="50">
        <v>0.0</v>
      </c>
      <c r="AQ115" s="116"/>
      <c r="AR115" s="116"/>
      <c r="AS115" s="116"/>
      <c r="AT115" s="116"/>
      <c r="AU115" s="50">
        <v>0.0</v>
      </c>
      <c r="AV115" s="116"/>
      <c r="AW115" s="116"/>
      <c r="AX115" s="116"/>
      <c r="AY115" s="116"/>
      <c r="AZ115" s="116"/>
      <c r="BA115" s="116"/>
      <c r="BB115" s="116"/>
      <c r="BC115" s="116"/>
      <c r="BD115" s="116"/>
      <c r="BE115" s="116"/>
      <c r="BF115" s="116"/>
      <c r="BG115" s="116"/>
      <c r="BH115" s="116"/>
      <c r="BI115" s="116"/>
      <c r="BJ115" s="116"/>
      <c r="BK115" s="116"/>
      <c r="BL115" s="116"/>
      <c r="BM115" s="116"/>
      <c r="BN115" s="116"/>
      <c r="BO115" s="116"/>
      <c r="BP115" s="116"/>
      <c r="BQ115" s="116"/>
      <c r="BR115" s="116"/>
      <c r="BS115" s="116"/>
      <c r="BT115" s="116"/>
      <c r="BU115" s="116"/>
      <c r="BV115" s="116"/>
      <c r="BW115" s="116"/>
      <c r="BX115" s="116"/>
      <c r="BY115" s="116"/>
      <c r="BZ115" s="116"/>
      <c r="CA115" s="116"/>
      <c r="CB115" s="116"/>
      <c r="CC115" s="50" t="s">
        <v>13424</v>
      </c>
      <c r="CD115" s="50" t="s">
        <v>13342</v>
      </c>
      <c r="CE115" s="50">
        <v>1.0</v>
      </c>
      <c r="CF115" s="50" t="s">
        <v>10066</v>
      </c>
      <c r="CG115" s="117">
        <v>4290.0</v>
      </c>
      <c r="CH115" s="50" t="s">
        <v>13425</v>
      </c>
      <c r="CI115" s="50" t="s">
        <v>13426</v>
      </c>
      <c r="CJ115" s="117">
        <v>114.0</v>
      </c>
    </row>
    <row r="116">
      <c r="A116" s="50" t="s">
        <v>13409</v>
      </c>
      <c r="B116" s="50" t="s">
        <v>6876</v>
      </c>
      <c r="C116" s="50" t="s">
        <v>6877</v>
      </c>
      <c r="D116" s="50" t="s">
        <v>8493</v>
      </c>
      <c r="E116" s="50" t="s">
        <v>13429</v>
      </c>
      <c r="F116" s="50">
        <v>58.0</v>
      </c>
      <c r="G116" s="50">
        <v>1.0</v>
      </c>
      <c r="H116" s="50">
        <v>5.0</v>
      </c>
      <c r="I116" s="123"/>
      <c r="J116" s="116"/>
      <c r="K116" s="50" t="s">
        <v>1237</v>
      </c>
      <c r="L116" s="50" t="s">
        <v>1237</v>
      </c>
      <c r="M116" s="50" t="s">
        <v>13411</v>
      </c>
      <c r="N116" s="50" t="s">
        <v>13412</v>
      </c>
      <c r="O116" s="50" t="s">
        <v>13414</v>
      </c>
      <c r="P116" s="116"/>
      <c r="Q116" s="116"/>
      <c r="R116" s="116"/>
      <c r="S116" s="50">
        <v>7.0</v>
      </c>
      <c r="T116" s="50">
        <v>1000.0</v>
      </c>
      <c r="U116" s="50">
        <v>3.0</v>
      </c>
      <c r="V116" s="50">
        <v>8.0</v>
      </c>
      <c r="W116" s="50">
        <v>7.0</v>
      </c>
      <c r="X116" s="50">
        <v>100.0</v>
      </c>
      <c r="Y116" s="50">
        <v>3.0</v>
      </c>
      <c r="Z116" s="50">
        <v>0.0</v>
      </c>
      <c r="AA116" s="50">
        <v>0.0</v>
      </c>
      <c r="AB116" s="116"/>
      <c r="AC116" s="116"/>
      <c r="AD116" s="116"/>
      <c r="AE116" s="116"/>
      <c r="AF116" s="116"/>
      <c r="AG116" s="116"/>
      <c r="AH116" s="50">
        <v>7.0</v>
      </c>
      <c r="AI116" s="50">
        <v>1000.0</v>
      </c>
      <c r="AJ116" s="50">
        <v>3.0</v>
      </c>
      <c r="AK116" s="50">
        <v>0.0</v>
      </c>
      <c r="AL116" s="50">
        <v>7.0</v>
      </c>
      <c r="AM116" s="50">
        <v>100.0</v>
      </c>
      <c r="AN116" s="50">
        <v>3.0</v>
      </c>
      <c r="AO116" s="50">
        <v>27.0</v>
      </c>
      <c r="AP116" s="50">
        <v>0.0</v>
      </c>
      <c r="AQ116" s="116"/>
      <c r="AR116" s="116"/>
      <c r="AS116" s="116"/>
      <c r="AT116" s="116"/>
      <c r="AU116" s="50">
        <v>0.0</v>
      </c>
      <c r="AV116" s="116"/>
      <c r="AW116" s="116"/>
      <c r="AX116" s="116"/>
      <c r="AY116" s="116"/>
      <c r="AZ116" s="116"/>
      <c r="BA116" s="116"/>
      <c r="BB116" s="116"/>
      <c r="BC116" s="116"/>
      <c r="BD116" s="116"/>
      <c r="BE116" s="116"/>
      <c r="BF116" s="116"/>
      <c r="BG116" s="116"/>
      <c r="BH116" s="116"/>
      <c r="BI116" s="116"/>
      <c r="BJ116" s="116"/>
      <c r="BK116" s="116"/>
      <c r="BL116" s="116"/>
      <c r="BM116" s="116"/>
      <c r="BN116" s="116"/>
      <c r="BO116" s="116"/>
      <c r="BP116" s="116"/>
      <c r="BQ116" s="116"/>
      <c r="BR116" s="116"/>
      <c r="BS116" s="116"/>
      <c r="BT116" s="116"/>
      <c r="BU116" s="116"/>
      <c r="BV116" s="116"/>
      <c r="BW116" s="116"/>
      <c r="BX116" s="116"/>
      <c r="BY116" s="116"/>
      <c r="BZ116" s="116"/>
      <c r="CA116" s="116"/>
      <c r="CB116" s="116"/>
      <c r="CC116" s="50" t="s">
        <v>13446</v>
      </c>
      <c r="CD116" s="50" t="s">
        <v>13342</v>
      </c>
      <c r="CE116" s="50">
        <v>1.0</v>
      </c>
      <c r="CF116" s="50" t="s">
        <v>10066</v>
      </c>
      <c r="CG116" s="117">
        <v>4291.0</v>
      </c>
      <c r="CH116" s="50" t="s">
        <v>13449</v>
      </c>
      <c r="CI116" s="50" t="s">
        <v>13451</v>
      </c>
      <c r="CJ116" s="117">
        <v>115.0</v>
      </c>
    </row>
    <row r="117">
      <c r="A117" s="50" t="s">
        <v>13429</v>
      </c>
      <c r="B117" s="50" t="s">
        <v>6876</v>
      </c>
      <c r="C117" s="50" t="s">
        <v>6877</v>
      </c>
      <c r="D117" s="50" t="s">
        <v>8493</v>
      </c>
      <c r="E117" s="50" t="s">
        <v>13452</v>
      </c>
      <c r="F117" s="50">
        <v>58.0</v>
      </c>
      <c r="G117" s="50">
        <v>1.0</v>
      </c>
      <c r="H117" s="50">
        <v>14.0</v>
      </c>
      <c r="I117" s="50">
        <v>141.0</v>
      </c>
      <c r="J117" s="116"/>
      <c r="K117" s="50" t="s">
        <v>638</v>
      </c>
      <c r="L117" s="50" t="s">
        <v>638</v>
      </c>
      <c r="M117" s="50" t="s">
        <v>13411</v>
      </c>
      <c r="N117" s="50" t="s">
        <v>13412</v>
      </c>
      <c r="O117" s="50" t="s">
        <v>13414</v>
      </c>
      <c r="P117" s="116"/>
      <c r="Q117" s="116"/>
      <c r="R117" s="116"/>
      <c r="S117" s="50">
        <v>7.0</v>
      </c>
      <c r="T117" s="50">
        <v>1000.0</v>
      </c>
      <c r="U117" s="50">
        <v>3.0</v>
      </c>
      <c r="V117" s="50">
        <v>0.0</v>
      </c>
      <c r="W117" s="50">
        <v>7.0</v>
      </c>
      <c r="X117" s="50">
        <v>100.0</v>
      </c>
      <c r="Y117" s="50">
        <v>3.0</v>
      </c>
      <c r="Z117" s="50">
        <v>0.0</v>
      </c>
      <c r="AA117" s="50">
        <v>0.0</v>
      </c>
      <c r="AB117" s="116"/>
      <c r="AC117" s="116"/>
      <c r="AD117" s="116"/>
      <c r="AE117" s="116"/>
      <c r="AF117" s="116"/>
      <c r="AG117" s="116"/>
      <c r="AH117" s="50">
        <v>7.0</v>
      </c>
      <c r="AI117" s="50">
        <v>1000.0</v>
      </c>
      <c r="AJ117" s="50">
        <v>3.0</v>
      </c>
      <c r="AK117" s="50">
        <v>0.0</v>
      </c>
      <c r="AL117" s="50">
        <v>7.0</v>
      </c>
      <c r="AM117" s="50">
        <v>100.0</v>
      </c>
      <c r="AN117" s="50">
        <v>3.0</v>
      </c>
      <c r="AO117" s="50">
        <v>88.0</v>
      </c>
      <c r="AP117" s="50">
        <v>0.0</v>
      </c>
      <c r="AQ117" s="116"/>
      <c r="AR117" s="116"/>
      <c r="AS117" s="116"/>
      <c r="AT117" s="116"/>
      <c r="AU117" s="50">
        <v>0.0</v>
      </c>
      <c r="AV117" s="116"/>
      <c r="AW117" s="116"/>
      <c r="AX117" s="116"/>
      <c r="AY117" s="116"/>
      <c r="AZ117" s="116"/>
      <c r="BA117" s="116"/>
      <c r="BB117" s="116"/>
      <c r="BC117" s="116"/>
      <c r="BD117" s="116"/>
      <c r="BE117" s="116"/>
      <c r="BF117" s="116"/>
      <c r="BG117" s="116"/>
      <c r="BH117" s="116"/>
      <c r="BI117" s="116"/>
      <c r="BJ117" s="116"/>
      <c r="BK117" s="116"/>
      <c r="BL117" s="116"/>
      <c r="BM117" s="116"/>
      <c r="BN117" s="116"/>
      <c r="BO117" s="116"/>
      <c r="BP117" s="116"/>
      <c r="BQ117" s="116"/>
      <c r="BR117" s="116"/>
      <c r="BS117" s="116"/>
      <c r="BT117" s="116"/>
      <c r="BU117" s="116"/>
      <c r="BV117" s="116"/>
      <c r="BW117" s="116"/>
      <c r="BX117" s="116"/>
      <c r="BY117" s="116"/>
      <c r="BZ117" s="116"/>
      <c r="CA117" s="116"/>
      <c r="CB117" s="116"/>
      <c r="CC117" s="50" t="s">
        <v>13465</v>
      </c>
      <c r="CD117" s="50" t="s">
        <v>13342</v>
      </c>
      <c r="CE117" s="50">
        <v>1.0</v>
      </c>
      <c r="CF117" s="50" t="s">
        <v>10066</v>
      </c>
      <c r="CG117" s="117">
        <v>4292.0</v>
      </c>
      <c r="CH117" s="50" t="s">
        <v>13467</v>
      </c>
      <c r="CI117" s="50" t="s">
        <v>13469</v>
      </c>
      <c r="CJ117" s="117">
        <v>116.0</v>
      </c>
    </row>
    <row r="118">
      <c r="A118" s="50" t="s">
        <v>13452</v>
      </c>
      <c r="B118" s="50" t="s">
        <v>6876</v>
      </c>
      <c r="C118" s="50" t="s">
        <v>6877</v>
      </c>
      <c r="D118" s="50" t="s">
        <v>8493</v>
      </c>
      <c r="E118" s="50" t="s">
        <v>13473</v>
      </c>
      <c r="F118" s="50">
        <v>58.0</v>
      </c>
      <c r="G118" s="50">
        <v>1.0</v>
      </c>
      <c r="H118" s="50">
        <v>14.0</v>
      </c>
      <c r="I118" s="50">
        <v>142.0</v>
      </c>
      <c r="J118" s="116"/>
      <c r="K118" s="50" t="s">
        <v>641</v>
      </c>
      <c r="L118" s="50" t="s">
        <v>641</v>
      </c>
      <c r="M118" s="50" t="s">
        <v>13411</v>
      </c>
      <c r="N118" s="50" t="s">
        <v>13412</v>
      </c>
      <c r="O118" s="50" t="s">
        <v>13414</v>
      </c>
      <c r="P118" s="116"/>
      <c r="Q118" s="116"/>
      <c r="R118" s="116"/>
      <c r="S118" s="50">
        <v>7.0</v>
      </c>
      <c r="T118" s="50">
        <v>1000.0</v>
      </c>
      <c r="U118" s="50">
        <v>3.0</v>
      </c>
      <c r="V118" s="50">
        <v>0.0</v>
      </c>
      <c r="W118" s="50">
        <v>7.0</v>
      </c>
      <c r="X118" s="50">
        <v>100.0</v>
      </c>
      <c r="Y118" s="50">
        <v>3.0</v>
      </c>
      <c r="Z118" s="50">
        <v>0.0</v>
      </c>
      <c r="AA118" s="50">
        <v>0.0</v>
      </c>
      <c r="AB118" s="116"/>
      <c r="AC118" s="116"/>
      <c r="AD118" s="116"/>
      <c r="AE118" s="116"/>
      <c r="AF118" s="116"/>
      <c r="AG118" s="116"/>
      <c r="AH118" s="50">
        <v>7.0</v>
      </c>
      <c r="AI118" s="50">
        <v>1000.0</v>
      </c>
      <c r="AJ118" s="50">
        <v>3.0</v>
      </c>
      <c r="AK118" s="50">
        <v>98.0</v>
      </c>
      <c r="AL118" s="50">
        <v>7.0</v>
      </c>
      <c r="AM118" s="50">
        <v>100.0</v>
      </c>
      <c r="AN118" s="50">
        <v>3.0</v>
      </c>
      <c r="AO118" s="50">
        <v>37.0</v>
      </c>
      <c r="AP118" s="50">
        <v>0.0</v>
      </c>
      <c r="AQ118" s="116"/>
      <c r="AR118" s="116"/>
      <c r="AS118" s="116"/>
      <c r="AT118" s="116"/>
      <c r="AU118" s="50">
        <v>0.0</v>
      </c>
      <c r="AV118" s="116"/>
      <c r="AW118" s="116"/>
      <c r="AX118" s="116"/>
      <c r="AY118" s="116"/>
      <c r="AZ118" s="116"/>
      <c r="BA118" s="116"/>
      <c r="BB118" s="116"/>
      <c r="BC118" s="116"/>
      <c r="BD118" s="116"/>
      <c r="BE118" s="116"/>
      <c r="BF118" s="116"/>
      <c r="BG118" s="116"/>
      <c r="BH118" s="116"/>
      <c r="BI118" s="116"/>
      <c r="BJ118" s="116"/>
      <c r="BK118" s="116"/>
      <c r="BL118" s="116"/>
      <c r="BM118" s="116"/>
      <c r="BN118" s="116"/>
      <c r="BO118" s="116"/>
      <c r="BP118" s="116"/>
      <c r="BQ118" s="116"/>
      <c r="BR118" s="116"/>
      <c r="BS118" s="116"/>
      <c r="BT118" s="116"/>
      <c r="BU118" s="116"/>
      <c r="BV118" s="116"/>
      <c r="BW118" s="116"/>
      <c r="BX118" s="116"/>
      <c r="BY118" s="116"/>
      <c r="BZ118" s="116"/>
      <c r="CA118" s="116"/>
      <c r="CB118" s="116"/>
      <c r="CC118" s="50" t="s">
        <v>13486</v>
      </c>
      <c r="CD118" s="50" t="s">
        <v>13342</v>
      </c>
      <c r="CE118" s="50">
        <v>1.0</v>
      </c>
      <c r="CF118" s="50" t="s">
        <v>10066</v>
      </c>
      <c r="CG118" s="117">
        <v>4293.0</v>
      </c>
      <c r="CH118" s="50" t="s">
        <v>13487</v>
      </c>
      <c r="CI118" s="50" t="s">
        <v>13488</v>
      </c>
      <c r="CJ118" s="117">
        <v>117.0</v>
      </c>
    </row>
    <row r="119">
      <c r="A119" s="50" t="s">
        <v>13473</v>
      </c>
      <c r="B119" s="50" t="s">
        <v>6876</v>
      </c>
      <c r="C119" s="50" t="s">
        <v>6877</v>
      </c>
      <c r="D119" s="50" t="s">
        <v>8493</v>
      </c>
      <c r="E119" s="50" t="s">
        <v>13490</v>
      </c>
      <c r="F119" s="50">
        <v>58.0</v>
      </c>
      <c r="G119" s="50">
        <v>1.0</v>
      </c>
      <c r="H119" s="50">
        <v>14.0</v>
      </c>
      <c r="I119" s="50">
        <v>143.0</v>
      </c>
      <c r="J119" s="116"/>
      <c r="K119" s="50" t="s">
        <v>644</v>
      </c>
      <c r="L119" s="50" t="s">
        <v>644</v>
      </c>
      <c r="M119" s="50" t="s">
        <v>13411</v>
      </c>
      <c r="N119" s="50" t="s">
        <v>13412</v>
      </c>
      <c r="O119" s="50" t="s">
        <v>13414</v>
      </c>
      <c r="P119" s="116"/>
      <c r="Q119" s="116"/>
      <c r="R119" s="116"/>
      <c r="S119" s="50">
        <v>7.0</v>
      </c>
      <c r="T119" s="50">
        <v>1000.0</v>
      </c>
      <c r="U119" s="50">
        <v>3.0</v>
      </c>
      <c r="V119" s="50">
        <v>134.0</v>
      </c>
      <c r="W119" s="50">
        <v>7.0</v>
      </c>
      <c r="X119" s="50">
        <v>100.0</v>
      </c>
      <c r="Y119" s="50">
        <v>3.0</v>
      </c>
      <c r="Z119" s="50">
        <v>18.0</v>
      </c>
      <c r="AA119" s="50">
        <v>0.0</v>
      </c>
      <c r="AB119" s="116"/>
      <c r="AC119" s="116"/>
      <c r="AD119" s="116"/>
      <c r="AE119" s="116"/>
      <c r="AF119" s="116"/>
      <c r="AG119" s="116"/>
      <c r="AH119" s="50">
        <v>7.0</v>
      </c>
      <c r="AI119" s="50">
        <v>1000.0</v>
      </c>
      <c r="AJ119" s="50">
        <v>3.0</v>
      </c>
      <c r="AK119" s="50">
        <v>74.0</v>
      </c>
      <c r="AL119" s="50">
        <v>7.0</v>
      </c>
      <c r="AM119" s="50">
        <v>100.0</v>
      </c>
      <c r="AN119" s="50">
        <v>3.0</v>
      </c>
      <c r="AO119" s="50">
        <v>20.0</v>
      </c>
      <c r="AP119" s="50">
        <v>0.0</v>
      </c>
      <c r="AQ119" s="116"/>
      <c r="AR119" s="116"/>
      <c r="AS119" s="116"/>
      <c r="AT119" s="116"/>
      <c r="AU119" s="50">
        <v>0.0</v>
      </c>
      <c r="AV119" s="116"/>
      <c r="AW119" s="116"/>
      <c r="AX119" s="116"/>
      <c r="AY119" s="116"/>
      <c r="AZ119" s="116"/>
      <c r="BA119" s="116"/>
      <c r="BB119" s="116"/>
      <c r="BC119" s="116"/>
      <c r="BD119" s="116"/>
      <c r="BE119" s="116"/>
      <c r="BF119" s="116"/>
      <c r="BG119" s="116"/>
      <c r="BH119" s="116"/>
      <c r="BI119" s="116"/>
      <c r="BJ119" s="116"/>
      <c r="BK119" s="116"/>
      <c r="BL119" s="116"/>
      <c r="BM119" s="116"/>
      <c r="BN119" s="116"/>
      <c r="BO119" s="116"/>
      <c r="BP119" s="116"/>
      <c r="BQ119" s="116"/>
      <c r="BR119" s="116"/>
      <c r="BS119" s="116"/>
      <c r="BT119" s="116"/>
      <c r="BU119" s="116"/>
      <c r="BV119" s="116"/>
      <c r="BW119" s="116"/>
      <c r="BX119" s="116"/>
      <c r="BY119" s="116"/>
      <c r="BZ119" s="116"/>
      <c r="CA119" s="116"/>
      <c r="CB119" s="116"/>
      <c r="CC119" s="116"/>
      <c r="CD119" s="50" t="s">
        <v>13342</v>
      </c>
      <c r="CE119" s="50">
        <v>1.0</v>
      </c>
      <c r="CF119" s="50" t="s">
        <v>10066</v>
      </c>
      <c r="CG119" s="117">
        <v>4294.0</v>
      </c>
      <c r="CH119" s="50" t="s">
        <v>13506</v>
      </c>
      <c r="CI119" s="50" t="s">
        <v>13508</v>
      </c>
      <c r="CJ119" s="117">
        <v>118.0</v>
      </c>
    </row>
    <row r="120">
      <c r="A120" s="50" t="s">
        <v>13490</v>
      </c>
      <c r="B120" s="50" t="s">
        <v>6876</v>
      </c>
      <c r="C120" s="50" t="s">
        <v>6877</v>
      </c>
      <c r="D120" s="50" t="s">
        <v>8493</v>
      </c>
      <c r="E120" s="50" t="s">
        <v>13511</v>
      </c>
      <c r="F120" s="50">
        <v>58.0</v>
      </c>
      <c r="G120" s="50">
        <v>1.0</v>
      </c>
      <c r="H120" s="50">
        <v>14.0</v>
      </c>
      <c r="I120" s="50">
        <v>144.0</v>
      </c>
      <c r="J120" s="116"/>
      <c r="K120" s="50" t="s">
        <v>646</v>
      </c>
      <c r="L120" s="50" t="s">
        <v>646</v>
      </c>
      <c r="M120" s="50" t="s">
        <v>13411</v>
      </c>
      <c r="N120" s="50" t="s">
        <v>13412</v>
      </c>
      <c r="O120" s="50" t="s">
        <v>13414</v>
      </c>
      <c r="P120" s="116"/>
      <c r="Q120" s="116"/>
      <c r="R120" s="116"/>
      <c r="S120" s="50">
        <v>7.0</v>
      </c>
      <c r="T120" s="50">
        <v>1000.0</v>
      </c>
      <c r="U120" s="50">
        <v>3.0</v>
      </c>
      <c r="V120" s="50">
        <v>5.0</v>
      </c>
      <c r="W120" s="50">
        <v>7.0</v>
      </c>
      <c r="X120" s="50">
        <v>100.0</v>
      </c>
      <c r="Y120" s="50">
        <v>3.0</v>
      </c>
      <c r="Z120" s="50">
        <v>0.0</v>
      </c>
      <c r="AA120" s="50">
        <v>0.0</v>
      </c>
      <c r="AB120" s="116"/>
      <c r="AC120" s="116"/>
      <c r="AD120" s="116"/>
      <c r="AE120" s="116"/>
      <c r="AF120" s="116"/>
      <c r="AG120" s="116"/>
      <c r="AH120" s="50">
        <v>7.0</v>
      </c>
      <c r="AI120" s="50">
        <v>1000.0</v>
      </c>
      <c r="AJ120" s="50">
        <v>3.0</v>
      </c>
      <c r="AK120" s="50">
        <v>0.0</v>
      </c>
      <c r="AL120" s="50">
        <v>7.0</v>
      </c>
      <c r="AM120" s="50">
        <v>100.0</v>
      </c>
      <c r="AN120" s="50">
        <v>3.0</v>
      </c>
      <c r="AO120" s="50">
        <v>33.0</v>
      </c>
      <c r="AP120" s="50">
        <v>0.0</v>
      </c>
      <c r="AQ120" s="116"/>
      <c r="AR120" s="116"/>
      <c r="AS120" s="116"/>
      <c r="AT120" s="116"/>
      <c r="AU120" s="50">
        <v>0.0</v>
      </c>
      <c r="AV120" s="116"/>
      <c r="AW120" s="116"/>
      <c r="AX120" s="116"/>
      <c r="AY120" s="116"/>
      <c r="AZ120" s="116"/>
      <c r="BA120" s="116"/>
      <c r="BB120" s="116"/>
      <c r="BC120" s="116"/>
      <c r="BD120" s="116"/>
      <c r="BE120" s="116"/>
      <c r="BF120" s="116"/>
      <c r="BG120" s="116"/>
      <c r="BH120" s="116"/>
      <c r="BI120" s="116"/>
      <c r="BJ120" s="116"/>
      <c r="BK120" s="116"/>
      <c r="BL120" s="116"/>
      <c r="BM120" s="116"/>
      <c r="BN120" s="116"/>
      <c r="BO120" s="116"/>
      <c r="BP120" s="116"/>
      <c r="BQ120" s="116"/>
      <c r="BR120" s="116"/>
      <c r="BS120" s="116"/>
      <c r="BT120" s="116"/>
      <c r="BU120" s="116"/>
      <c r="BV120" s="116"/>
      <c r="BW120" s="116"/>
      <c r="BX120" s="116"/>
      <c r="BY120" s="116"/>
      <c r="BZ120" s="116"/>
      <c r="CA120" s="116"/>
      <c r="CB120" s="116"/>
      <c r="CC120" s="50" t="s">
        <v>13446</v>
      </c>
      <c r="CD120" s="50" t="s">
        <v>13342</v>
      </c>
      <c r="CE120" s="50">
        <v>1.0</v>
      </c>
      <c r="CF120" s="50" t="s">
        <v>10066</v>
      </c>
      <c r="CG120" s="117">
        <v>4295.0</v>
      </c>
      <c r="CH120" s="50" t="s">
        <v>13536</v>
      </c>
      <c r="CI120" s="50" t="s">
        <v>13537</v>
      </c>
      <c r="CJ120" s="117">
        <v>119.0</v>
      </c>
    </row>
    <row r="121">
      <c r="A121" s="50" t="s">
        <v>13540</v>
      </c>
      <c r="B121" s="50" t="s">
        <v>6876</v>
      </c>
      <c r="C121" s="50" t="s">
        <v>6877</v>
      </c>
      <c r="D121" s="50" t="s">
        <v>8493</v>
      </c>
      <c r="E121" s="50" t="s">
        <v>13543</v>
      </c>
      <c r="F121" s="50">
        <v>58.0</v>
      </c>
      <c r="G121" s="50">
        <v>1.0</v>
      </c>
      <c r="H121" s="50">
        <v>14.0</v>
      </c>
      <c r="I121" s="50">
        <v>145.0</v>
      </c>
      <c r="J121" s="116"/>
      <c r="K121" s="50" t="s">
        <v>649</v>
      </c>
      <c r="L121" s="50" t="s">
        <v>649</v>
      </c>
      <c r="M121" s="50" t="s">
        <v>13411</v>
      </c>
      <c r="N121" s="50" t="s">
        <v>13412</v>
      </c>
      <c r="O121" s="50" t="s">
        <v>13414</v>
      </c>
      <c r="P121" s="116"/>
      <c r="Q121" s="116"/>
      <c r="R121" s="116"/>
      <c r="S121" s="50">
        <v>7.0</v>
      </c>
      <c r="T121" s="50">
        <v>1000.0</v>
      </c>
      <c r="U121" s="50">
        <v>3.0</v>
      </c>
      <c r="V121" s="50">
        <v>176.0</v>
      </c>
      <c r="W121" s="50">
        <v>7.0</v>
      </c>
      <c r="X121" s="50">
        <v>100.0</v>
      </c>
      <c r="Y121" s="50">
        <v>3.0</v>
      </c>
      <c r="Z121" s="50">
        <v>27.0</v>
      </c>
      <c r="AA121" s="50">
        <v>0.0</v>
      </c>
      <c r="AB121" s="116"/>
      <c r="AC121" s="116"/>
      <c r="AD121" s="116"/>
      <c r="AE121" s="116"/>
      <c r="AF121" s="116"/>
      <c r="AG121" s="116"/>
      <c r="AH121" s="50">
        <v>7.0</v>
      </c>
      <c r="AI121" s="50">
        <v>1000.0</v>
      </c>
      <c r="AJ121" s="50">
        <v>3.0</v>
      </c>
      <c r="AK121" s="50">
        <v>0.0</v>
      </c>
      <c r="AL121" s="50">
        <v>7.0</v>
      </c>
      <c r="AM121" s="50">
        <v>100.0</v>
      </c>
      <c r="AN121" s="50">
        <v>3.0</v>
      </c>
      <c r="AO121" s="50">
        <v>36.0</v>
      </c>
      <c r="AP121" s="50">
        <v>0.0</v>
      </c>
      <c r="AQ121" s="116"/>
      <c r="AR121" s="116"/>
      <c r="AS121" s="116"/>
      <c r="AT121" s="116"/>
      <c r="AU121" s="50">
        <v>0.0</v>
      </c>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50" t="s">
        <v>13566</v>
      </c>
      <c r="CD121" s="50" t="s">
        <v>13342</v>
      </c>
      <c r="CE121" s="50">
        <v>1.0</v>
      </c>
      <c r="CF121" s="50" t="s">
        <v>10066</v>
      </c>
      <c r="CG121" s="117">
        <v>4296.0</v>
      </c>
      <c r="CH121" s="50" t="s">
        <v>13570</v>
      </c>
      <c r="CI121" s="50" t="s">
        <v>13571</v>
      </c>
      <c r="CJ121" s="117">
        <v>120.0</v>
      </c>
    </row>
    <row r="122">
      <c r="A122" s="50" t="s">
        <v>13575</v>
      </c>
      <c r="B122" s="50" t="s">
        <v>6876</v>
      </c>
      <c r="C122" s="50" t="s">
        <v>6877</v>
      </c>
      <c r="D122" s="50" t="s">
        <v>8493</v>
      </c>
      <c r="E122" s="50" t="s">
        <v>13577</v>
      </c>
      <c r="F122" s="50">
        <v>58.0</v>
      </c>
      <c r="G122" s="50">
        <v>1.0</v>
      </c>
      <c r="H122" s="50">
        <v>15.0</v>
      </c>
      <c r="I122" s="116"/>
      <c r="J122" s="50">
        <v>151.0</v>
      </c>
      <c r="K122" s="50" t="s">
        <v>216</v>
      </c>
      <c r="L122" s="50" t="s">
        <v>216</v>
      </c>
      <c r="M122" s="50" t="s">
        <v>9694</v>
      </c>
      <c r="N122" s="50" t="s">
        <v>9762</v>
      </c>
      <c r="O122" s="50" t="s">
        <v>9763</v>
      </c>
      <c r="P122" s="116"/>
      <c r="Q122" s="116"/>
      <c r="R122" s="116"/>
      <c r="S122" s="50">
        <v>7.0</v>
      </c>
      <c r="T122" s="50">
        <v>1000.0</v>
      </c>
      <c r="U122" s="50">
        <v>3.0</v>
      </c>
      <c r="V122" s="50">
        <v>1.0</v>
      </c>
      <c r="W122" s="50">
        <v>7.0</v>
      </c>
      <c r="X122" s="50">
        <v>100.0</v>
      </c>
      <c r="Y122" s="50">
        <v>3.0</v>
      </c>
      <c r="Z122" s="50">
        <v>0.0</v>
      </c>
      <c r="AA122" s="50">
        <v>0.0</v>
      </c>
      <c r="AB122" s="116"/>
      <c r="AC122" s="116"/>
      <c r="AD122" s="116"/>
      <c r="AE122" s="116"/>
      <c r="AF122" s="116"/>
      <c r="AG122" s="116"/>
      <c r="AH122" s="50">
        <v>7.0</v>
      </c>
      <c r="AI122" s="50">
        <v>1000.0</v>
      </c>
      <c r="AJ122" s="50">
        <v>3.0</v>
      </c>
      <c r="AK122" s="50">
        <v>0.0</v>
      </c>
      <c r="AL122" s="50">
        <v>7.0</v>
      </c>
      <c r="AM122" s="50">
        <v>100.0</v>
      </c>
      <c r="AN122" s="50">
        <v>3.0</v>
      </c>
      <c r="AO122" s="50">
        <v>0.0</v>
      </c>
      <c r="AP122" s="50">
        <v>0.0</v>
      </c>
      <c r="AQ122" s="116"/>
      <c r="AR122" s="116"/>
      <c r="AS122" s="116"/>
      <c r="AT122" s="116"/>
      <c r="AU122" s="50">
        <v>0.0</v>
      </c>
      <c r="AV122" s="116"/>
      <c r="AW122" s="116"/>
      <c r="AX122" s="116"/>
      <c r="AY122" s="116"/>
      <c r="AZ122" s="116"/>
      <c r="BA122" s="116"/>
      <c r="BB122" s="116"/>
      <c r="BC122" s="116"/>
      <c r="BD122" s="116"/>
      <c r="BE122" s="116"/>
      <c r="BF122" s="116"/>
      <c r="BG122" s="116"/>
      <c r="BH122" s="116"/>
      <c r="BI122" s="116"/>
      <c r="BJ122" s="116"/>
      <c r="BK122" s="116"/>
      <c r="BL122" s="116"/>
      <c r="BM122" s="116"/>
      <c r="BN122" s="116"/>
      <c r="BO122" s="116"/>
      <c r="BP122" s="116"/>
      <c r="BQ122" s="116"/>
      <c r="BR122" s="116"/>
      <c r="BS122" s="116"/>
      <c r="BT122" s="116"/>
      <c r="BU122" s="116"/>
      <c r="BV122" s="116"/>
      <c r="BW122" s="116"/>
      <c r="BX122" s="116"/>
      <c r="BY122" s="116"/>
      <c r="BZ122" s="116"/>
      <c r="CA122" s="116"/>
      <c r="CB122" s="116"/>
      <c r="CC122" s="116"/>
      <c r="CD122" s="50" t="s">
        <v>13596</v>
      </c>
      <c r="CE122" s="50">
        <v>1.0</v>
      </c>
      <c r="CF122" s="50" t="s">
        <v>10066</v>
      </c>
      <c r="CG122" s="117">
        <v>4332.0</v>
      </c>
      <c r="CH122" s="50" t="s">
        <v>13597</v>
      </c>
      <c r="CI122" s="50" t="s">
        <v>13598</v>
      </c>
      <c r="CJ122" s="117">
        <v>121.0</v>
      </c>
    </row>
    <row r="123">
      <c r="A123" s="50" t="s">
        <v>13577</v>
      </c>
      <c r="B123" s="50" t="s">
        <v>6876</v>
      </c>
      <c r="C123" s="50" t="s">
        <v>6877</v>
      </c>
      <c r="D123" s="50" t="s">
        <v>8493</v>
      </c>
      <c r="E123" s="50" t="s">
        <v>13602</v>
      </c>
      <c r="F123" s="50">
        <v>58.0</v>
      </c>
      <c r="G123" s="50">
        <v>1.0</v>
      </c>
      <c r="H123" s="50">
        <v>15.0</v>
      </c>
      <c r="I123" s="116"/>
      <c r="J123" s="50">
        <v>152.0</v>
      </c>
      <c r="K123" s="50" t="s">
        <v>572</v>
      </c>
      <c r="L123" s="50" t="s">
        <v>572</v>
      </c>
      <c r="M123" s="50" t="s">
        <v>9694</v>
      </c>
      <c r="N123" s="50" t="s">
        <v>9762</v>
      </c>
      <c r="O123" s="50" t="s">
        <v>9763</v>
      </c>
      <c r="P123" s="116"/>
      <c r="Q123" s="116"/>
      <c r="R123" s="116"/>
      <c r="S123" s="50">
        <v>7.0</v>
      </c>
      <c r="T123" s="50">
        <v>1000.0</v>
      </c>
      <c r="U123" s="50">
        <v>3.0</v>
      </c>
      <c r="V123" s="50">
        <v>0.0</v>
      </c>
      <c r="W123" s="50">
        <v>7.0</v>
      </c>
      <c r="X123" s="50">
        <v>100.0</v>
      </c>
      <c r="Y123" s="50">
        <v>3.0</v>
      </c>
      <c r="Z123" s="50">
        <v>0.0</v>
      </c>
      <c r="AA123" s="50">
        <v>0.0</v>
      </c>
      <c r="AB123" s="116"/>
      <c r="AC123" s="116"/>
      <c r="AD123" s="116"/>
      <c r="AE123" s="116"/>
      <c r="AF123" s="116"/>
      <c r="AG123" s="116"/>
      <c r="AH123" s="50">
        <v>7.0</v>
      </c>
      <c r="AI123" s="50">
        <v>1000.0</v>
      </c>
      <c r="AJ123" s="50">
        <v>3.0</v>
      </c>
      <c r="AK123" s="50">
        <v>5.0</v>
      </c>
      <c r="AL123" s="50">
        <v>7.0</v>
      </c>
      <c r="AM123" s="50">
        <v>100.0</v>
      </c>
      <c r="AN123" s="50">
        <v>3.0</v>
      </c>
      <c r="AO123" s="50">
        <v>1.0</v>
      </c>
      <c r="AP123" s="50">
        <v>0.0</v>
      </c>
      <c r="AQ123" s="116"/>
      <c r="AR123" s="116"/>
      <c r="AS123" s="116"/>
      <c r="AT123" s="116"/>
      <c r="AU123" s="50">
        <v>0.0</v>
      </c>
      <c r="AV123" s="116"/>
      <c r="AW123" s="116"/>
      <c r="AX123" s="116"/>
      <c r="AY123" s="116"/>
      <c r="AZ123" s="116"/>
      <c r="BA123" s="116"/>
      <c r="BB123" s="116"/>
      <c r="BC123" s="116"/>
      <c r="BD123" s="116"/>
      <c r="BE123" s="116"/>
      <c r="BF123" s="116"/>
      <c r="BG123" s="116"/>
      <c r="BH123" s="116"/>
      <c r="BI123" s="116"/>
      <c r="BJ123" s="116"/>
      <c r="BK123" s="116"/>
      <c r="BL123" s="116"/>
      <c r="BM123" s="116"/>
      <c r="BN123" s="116"/>
      <c r="BO123" s="116"/>
      <c r="BP123" s="116"/>
      <c r="BQ123" s="116"/>
      <c r="BR123" s="116"/>
      <c r="BS123" s="116"/>
      <c r="BT123" s="116"/>
      <c r="BU123" s="116"/>
      <c r="BV123" s="116"/>
      <c r="BW123" s="116"/>
      <c r="BX123" s="116"/>
      <c r="BY123" s="116"/>
      <c r="BZ123" s="116"/>
      <c r="CA123" s="116"/>
      <c r="CB123" s="116"/>
      <c r="CC123" s="116"/>
      <c r="CD123" s="50" t="s">
        <v>13596</v>
      </c>
      <c r="CE123" s="50">
        <v>1.0</v>
      </c>
      <c r="CF123" s="50" t="s">
        <v>10066</v>
      </c>
      <c r="CG123" s="117">
        <v>4333.0</v>
      </c>
      <c r="CH123" s="50" t="s">
        <v>13622</v>
      </c>
      <c r="CI123" s="50" t="s">
        <v>13624</v>
      </c>
      <c r="CJ123" s="117">
        <v>122.0</v>
      </c>
    </row>
    <row r="124">
      <c r="A124" s="50" t="s">
        <v>13602</v>
      </c>
      <c r="B124" s="50" t="s">
        <v>6876</v>
      </c>
      <c r="C124" s="50" t="s">
        <v>6877</v>
      </c>
      <c r="D124" s="50" t="s">
        <v>8493</v>
      </c>
      <c r="E124" s="50" t="s">
        <v>13627</v>
      </c>
      <c r="F124" s="50">
        <v>58.0</v>
      </c>
      <c r="G124" s="50">
        <v>1.0</v>
      </c>
      <c r="H124" s="50">
        <v>15.0</v>
      </c>
      <c r="I124" s="116"/>
      <c r="J124" s="50">
        <v>152.0</v>
      </c>
      <c r="K124" s="50" t="s">
        <v>573</v>
      </c>
      <c r="L124" s="50" t="s">
        <v>573</v>
      </c>
      <c r="M124" s="50" t="s">
        <v>9694</v>
      </c>
      <c r="N124" s="50" t="s">
        <v>9762</v>
      </c>
      <c r="O124" s="50" t="s">
        <v>9763</v>
      </c>
      <c r="P124" s="116"/>
      <c r="Q124" s="116"/>
      <c r="R124" s="116"/>
      <c r="S124" s="50">
        <v>7.0</v>
      </c>
      <c r="T124" s="50">
        <v>1000.0</v>
      </c>
      <c r="U124" s="50">
        <v>3.0</v>
      </c>
      <c r="V124" s="50">
        <v>0.0</v>
      </c>
      <c r="W124" s="50">
        <v>7.0</v>
      </c>
      <c r="X124" s="50">
        <v>100.0</v>
      </c>
      <c r="Y124" s="50">
        <v>3.0</v>
      </c>
      <c r="Z124" s="50">
        <v>0.0</v>
      </c>
      <c r="AA124" s="50">
        <v>0.0</v>
      </c>
      <c r="AB124" s="116"/>
      <c r="AC124" s="116"/>
      <c r="AD124" s="116"/>
      <c r="AE124" s="116"/>
      <c r="AF124" s="116"/>
      <c r="AG124" s="116"/>
      <c r="AH124" s="50">
        <v>7.0</v>
      </c>
      <c r="AI124" s="50">
        <v>1000.0</v>
      </c>
      <c r="AJ124" s="50">
        <v>3.0</v>
      </c>
      <c r="AK124" s="50">
        <v>4.0</v>
      </c>
      <c r="AL124" s="50">
        <v>7.0</v>
      </c>
      <c r="AM124" s="50">
        <v>100.0</v>
      </c>
      <c r="AN124" s="50">
        <v>3.0</v>
      </c>
      <c r="AO124" s="50">
        <v>0.0</v>
      </c>
      <c r="AP124" s="50">
        <v>0.0</v>
      </c>
      <c r="AQ124" s="116"/>
      <c r="AR124" s="116"/>
      <c r="AS124" s="116"/>
      <c r="AT124" s="116"/>
      <c r="AU124" s="50">
        <v>0.0</v>
      </c>
      <c r="AV124" s="116"/>
      <c r="AW124" s="116"/>
      <c r="AX124" s="116"/>
      <c r="AY124" s="116"/>
      <c r="AZ124" s="116"/>
      <c r="BA124" s="116"/>
      <c r="BB124" s="116"/>
      <c r="BC124" s="116"/>
      <c r="BD124" s="116"/>
      <c r="BE124" s="116"/>
      <c r="BF124" s="116"/>
      <c r="BG124" s="116"/>
      <c r="BH124" s="116"/>
      <c r="BI124" s="116"/>
      <c r="BJ124" s="116"/>
      <c r="BK124" s="116"/>
      <c r="BL124" s="116"/>
      <c r="BM124" s="116"/>
      <c r="BN124" s="116"/>
      <c r="BO124" s="116"/>
      <c r="BP124" s="116"/>
      <c r="BQ124" s="116"/>
      <c r="BR124" s="116"/>
      <c r="BS124" s="116"/>
      <c r="BT124" s="116"/>
      <c r="BU124" s="116"/>
      <c r="BV124" s="116"/>
      <c r="BW124" s="116"/>
      <c r="BX124" s="116"/>
      <c r="BY124" s="116"/>
      <c r="BZ124" s="116"/>
      <c r="CA124" s="116"/>
      <c r="CB124" s="116"/>
      <c r="CC124" s="116"/>
      <c r="CD124" s="50" t="s">
        <v>13596</v>
      </c>
      <c r="CE124" s="50">
        <v>1.0</v>
      </c>
      <c r="CF124" s="50" t="s">
        <v>10066</v>
      </c>
      <c r="CG124" s="117">
        <v>4334.0</v>
      </c>
      <c r="CH124" s="50" t="s">
        <v>13640</v>
      </c>
      <c r="CI124" s="50" t="s">
        <v>13642</v>
      </c>
      <c r="CJ124" s="117">
        <v>123.0</v>
      </c>
    </row>
    <row r="125">
      <c r="A125" s="50" t="s">
        <v>13627</v>
      </c>
      <c r="B125" s="50" t="s">
        <v>6876</v>
      </c>
      <c r="C125" s="50" t="s">
        <v>6877</v>
      </c>
      <c r="D125" s="50" t="s">
        <v>8493</v>
      </c>
      <c r="E125" s="50" t="s">
        <v>13645</v>
      </c>
      <c r="F125" s="50">
        <v>58.0</v>
      </c>
      <c r="G125" s="50">
        <v>1.0</v>
      </c>
      <c r="H125" s="50">
        <v>15.0</v>
      </c>
      <c r="I125" s="116"/>
      <c r="J125" s="50">
        <v>152.0</v>
      </c>
      <c r="K125" s="50" t="s">
        <v>575</v>
      </c>
      <c r="L125" s="50" t="s">
        <v>575</v>
      </c>
      <c r="M125" s="50" t="s">
        <v>9694</v>
      </c>
      <c r="N125" s="50" t="s">
        <v>9762</v>
      </c>
      <c r="O125" s="50" t="s">
        <v>9763</v>
      </c>
      <c r="P125" s="116"/>
      <c r="Q125" s="116"/>
      <c r="R125" s="116"/>
      <c r="S125" s="50">
        <v>7.0</v>
      </c>
      <c r="T125" s="50">
        <v>1000.0</v>
      </c>
      <c r="U125" s="50">
        <v>3.0</v>
      </c>
      <c r="V125" s="50">
        <v>0.0</v>
      </c>
      <c r="W125" s="50">
        <v>7.0</v>
      </c>
      <c r="X125" s="50">
        <v>100.0</v>
      </c>
      <c r="Y125" s="50">
        <v>3.0</v>
      </c>
      <c r="Z125" s="50">
        <v>0.0</v>
      </c>
      <c r="AA125" s="50">
        <v>0.0</v>
      </c>
      <c r="AB125" s="116"/>
      <c r="AC125" s="116"/>
      <c r="AD125" s="116"/>
      <c r="AE125" s="116"/>
      <c r="AF125" s="116"/>
      <c r="AG125" s="116"/>
      <c r="AH125" s="50">
        <v>7.0</v>
      </c>
      <c r="AI125" s="50">
        <v>1000.0</v>
      </c>
      <c r="AJ125" s="50">
        <v>3.0</v>
      </c>
      <c r="AK125" s="50">
        <v>4.0</v>
      </c>
      <c r="AL125" s="50">
        <v>7.0</v>
      </c>
      <c r="AM125" s="50">
        <v>100.0</v>
      </c>
      <c r="AN125" s="50">
        <v>3.0</v>
      </c>
      <c r="AO125" s="50">
        <v>0.0</v>
      </c>
      <c r="AP125" s="50">
        <v>0.0</v>
      </c>
      <c r="AQ125" s="116"/>
      <c r="AR125" s="116"/>
      <c r="AS125" s="116"/>
      <c r="AT125" s="116"/>
      <c r="AU125" s="50">
        <v>0.0</v>
      </c>
      <c r="AV125" s="116"/>
      <c r="AW125" s="116"/>
      <c r="AX125" s="116"/>
      <c r="AY125" s="116"/>
      <c r="AZ125" s="116"/>
      <c r="BA125" s="116"/>
      <c r="BB125" s="116"/>
      <c r="BC125" s="116"/>
      <c r="BD125" s="116"/>
      <c r="BE125" s="116"/>
      <c r="BF125" s="116"/>
      <c r="BG125" s="116"/>
      <c r="BH125" s="116"/>
      <c r="BI125" s="116"/>
      <c r="BJ125" s="116"/>
      <c r="BK125" s="116"/>
      <c r="BL125" s="116"/>
      <c r="BM125" s="116"/>
      <c r="BN125" s="116"/>
      <c r="BO125" s="116"/>
      <c r="BP125" s="116"/>
      <c r="BQ125" s="116"/>
      <c r="BR125" s="116"/>
      <c r="BS125" s="116"/>
      <c r="BT125" s="116"/>
      <c r="BU125" s="116"/>
      <c r="BV125" s="116"/>
      <c r="BW125" s="116"/>
      <c r="BX125" s="116"/>
      <c r="BY125" s="116"/>
      <c r="BZ125" s="116"/>
      <c r="CA125" s="116"/>
      <c r="CB125" s="116"/>
      <c r="CC125" s="116"/>
      <c r="CD125" s="50" t="s">
        <v>13596</v>
      </c>
      <c r="CE125" s="50">
        <v>1.0</v>
      </c>
      <c r="CF125" s="50" t="s">
        <v>10066</v>
      </c>
      <c r="CG125" s="117">
        <v>4335.0</v>
      </c>
      <c r="CH125" s="50" t="s">
        <v>13664</v>
      </c>
      <c r="CI125" s="50" t="s">
        <v>13665</v>
      </c>
      <c r="CJ125" s="117">
        <v>124.0</v>
      </c>
    </row>
    <row r="126">
      <c r="A126" s="50" t="s">
        <v>13667</v>
      </c>
      <c r="B126" s="50" t="s">
        <v>6876</v>
      </c>
      <c r="C126" s="50" t="s">
        <v>6877</v>
      </c>
      <c r="D126" s="50" t="s">
        <v>8493</v>
      </c>
      <c r="E126" s="50" t="s">
        <v>13669</v>
      </c>
      <c r="F126" s="50">
        <v>58.0</v>
      </c>
      <c r="G126" s="50">
        <v>1.0</v>
      </c>
      <c r="H126" s="50">
        <v>15.0</v>
      </c>
      <c r="I126" s="116"/>
      <c r="J126" s="50">
        <v>151.0</v>
      </c>
      <c r="K126" s="50" t="s">
        <v>578</v>
      </c>
      <c r="L126" s="50" t="s">
        <v>578</v>
      </c>
      <c r="M126" s="50" t="s">
        <v>9694</v>
      </c>
      <c r="N126" s="50" t="s">
        <v>9762</v>
      </c>
      <c r="O126" s="50" t="s">
        <v>9763</v>
      </c>
      <c r="P126" s="116"/>
      <c r="Q126" s="116"/>
      <c r="R126" s="116"/>
      <c r="S126" s="50">
        <v>7.0</v>
      </c>
      <c r="T126" s="50">
        <v>1000.0</v>
      </c>
      <c r="U126" s="50">
        <v>3.0</v>
      </c>
      <c r="V126" s="50">
        <v>59.0</v>
      </c>
      <c r="W126" s="50">
        <v>7.0</v>
      </c>
      <c r="X126" s="50">
        <v>100.0</v>
      </c>
      <c r="Y126" s="50">
        <v>3.0</v>
      </c>
      <c r="Z126" s="50">
        <v>6.0</v>
      </c>
      <c r="AA126" s="50">
        <v>0.0</v>
      </c>
      <c r="AB126" s="116"/>
      <c r="AC126" s="116"/>
      <c r="AD126" s="116"/>
      <c r="AE126" s="116"/>
      <c r="AF126" s="116"/>
      <c r="AG126" s="116"/>
      <c r="AH126" s="50">
        <v>7.0</v>
      </c>
      <c r="AI126" s="50">
        <v>1000.0</v>
      </c>
      <c r="AJ126" s="50">
        <v>3.0</v>
      </c>
      <c r="AK126" s="50">
        <v>109.0</v>
      </c>
      <c r="AL126" s="50">
        <v>7.0</v>
      </c>
      <c r="AM126" s="50">
        <v>100.0</v>
      </c>
      <c r="AN126" s="50">
        <v>3.0</v>
      </c>
      <c r="AO126" s="50">
        <v>0.0</v>
      </c>
      <c r="AP126" s="50">
        <v>0.0</v>
      </c>
      <c r="AQ126" s="116"/>
      <c r="AR126" s="116"/>
      <c r="AS126" s="116"/>
      <c r="AT126" s="116"/>
      <c r="AU126" s="50">
        <v>0.0</v>
      </c>
      <c r="AV126" s="116"/>
      <c r="AW126" s="116"/>
      <c r="AX126" s="116"/>
      <c r="AY126" s="116"/>
      <c r="AZ126" s="116"/>
      <c r="BA126" s="116"/>
      <c r="BB126" s="116"/>
      <c r="BC126" s="116"/>
      <c r="BD126" s="116"/>
      <c r="BE126" s="116"/>
      <c r="BF126" s="116"/>
      <c r="BG126" s="116"/>
      <c r="BH126" s="116"/>
      <c r="BI126" s="116"/>
      <c r="BJ126" s="116"/>
      <c r="BK126" s="116"/>
      <c r="BL126" s="116"/>
      <c r="BM126" s="116"/>
      <c r="BN126" s="116"/>
      <c r="BO126" s="116"/>
      <c r="BP126" s="116"/>
      <c r="BQ126" s="116"/>
      <c r="BR126" s="116"/>
      <c r="BS126" s="116"/>
      <c r="BT126" s="116"/>
      <c r="BU126" s="116"/>
      <c r="BV126" s="116"/>
      <c r="BW126" s="116"/>
      <c r="BX126" s="116"/>
      <c r="BY126" s="116"/>
      <c r="BZ126" s="116"/>
      <c r="CA126" s="116"/>
      <c r="CB126" s="116"/>
      <c r="CC126" s="116"/>
      <c r="CD126" s="50" t="s">
        <v>13596</v>
      </c>
      <c r="CE126" s="50">
        <v>1.0</v>
      </c>
      <c r="CF126" s="50" t="s">
        <v>10066</v>
      </c>
      <c r="CG126" s="117">
        <v>4358.0</v>
      </c>
      <c r="CH126" s="50" t="s">
        <v>13685</v>
      </c>
      <c r="CI126" s="50" t="s">
        <v>13686</v>
      </c>
      <c r="CJ126" s="117">
        <v>125.0</v>
      </c>
    </row>
    <row r="127">
      <c r="A127" s="50" t="s">
        <v>13669</v>
      </c>
      <c r="B127" s="50" t="s">
        <v>6876</v>
      </c>
      <c r="C127" s="50" t="s">
        <v>6877</v>
      </c>
      <c r="D127" s="50" t="s">
        <v>8493</v>
      </c>
      <c r="E127" s="50" t="s">
        <v>13687</v>
      </c>
      <c r="F127" s="50">
        <v>58.0</v>
      </c>
      <c r="G127" s="50">
        <v>1.0</v>
      </c>
      <c r="H127" s="50">
        <v>15.0</v>
      </c>
      <c r="I127" s="116"/>
      <c r="J127" s="50">
        <v>152.0</v>
      </c>
      <c r="K127" s="50" t="s">
        <v>580</v>
      </c>
      <c r="L127" s="50" t="s">
        <v>580</v>
      </c>
      <c r="M127" s="50" t="s">
        <v>9694</v>
      </c>
      <c r="N127" s="50" t="s">
        <v>9762</v>
      </c>
      <c r="O127" s="50" t="s">
        <v>9763</v>
      </c>
      <c r="P127" s="116"/>
      <c r="Q127" s="116"/>
      <c r="R127" s="116"/>
      <c r="S127" s="50">
        <v>7.0</v>
      </c>
      <c r="T127" s="50">
        <v>1000.0</v>
      </c>
      <c r="U127" s="50">
        <v>3.0</v>
      </c>
      <c r="V127" s="50">
        <v>0.0</v>
      </c>
      <c r="W127" s="50">
        <v>7.0</v>
      </c>
      <c r="X127" s="50">
        <v>100.0</v>
      </c>
      <c r="Y127" s="50">
        <v>3.0</v>
      </c>
      <c r="Z127" s="50">
        <v>0.0</v>
      </c>
      <c r="AA127" s="50">
        <v>0.0</v>
      </c>
      <c r="AB127" s="116"/>
      <c r="AC127" s="116"/>
      <c r="AD127" s="116"/>
      <c r="AE127" s="116"/>
      <c r="AF127" s="116"/>
      <c r="AG127" s="116"/>
      <c r="AH127" s="50">
        <v>7.0</v>
      </c>
      <c r="AI127" s="50">
        <v>1000.0</v>
      </c>
      <c r="AJ127" s="50">
        <v>1.0</v>
      </c>
      <c r="AK127" s="116"/>
      <c r="AL127" s="50">
        <v>7.0</v>
      </c>
      <c r="AM127" s="50">
        <v>100.0</v>
      </c>
      <c r="AN127" s="50">
        <v>3.0</v>
      </c>
      <c r="AO127" s="50">
        <v>16.0</v>
      </c>
      <c r="AP127" s="50">
        <v>0.0</v>
      </c>
      <c r="AQ127" s="116"/>
      <c r="AR127" s="116"/>
      <c r="AS127" s="116"/>
      <c r="AT127" s="116"/>
      <c r="AU127" s="50">
        <v>0.0</v>
      </c>
      <c r="AV127" s="116"/>
      <c r="AW127" s="116"/>
      <c r="AX127" s="116"/>
      <c r="AY127" s="116"/>
      <c r="AZ127" s="116"/>
      <c r="BA127" s="116"/>
      <c r="BB127" s="116"/>
      <c r="BC127" s="116"/>
      <c r="BD127" s="116"/>
      <c r="BE127" s="116"/>
      <c r="BF127" s="116"/>
      <c r="BG127" s="116"/>
      <c r="BH127" s="116"/>
      <c r="BI127" s="116"/>
      <c r="BJ127" s="116"/>
      <c r="BK127" s="116"/>
      <c r="BL127" s="116"/>
      <c r="BM127" s="116"/>
      <c r="BN127" s="116"/>
      <c r="BO127" s="116"/>
      <c r="BP127" s="116"/>
      <c r="BQ127" s="116"/>
      <c r="BR127" s="116"/>
      <c r="BS127" s="116"/>
      <c r="BT127" s="116"/>
      <c r="BU127" s="116"/>
      <c r="BV127" s="116"/>
      <c r="BW127" s="116"/>
      <c r="BX127" s="116"/>
      <c r="BY127" s="116"/>
      <c r="BZ127" s="116"/>
      <c r="CA127" s="116"/>
      <c r="CB127" s="116"/>
      <c r="CC127" s="50" t="s">
        <v>13702</v>
      </c>
      <c r="CD127" s="50" t="s">
        <v>13596</v>
      </c>
      <c r="CE127" s="50">
        <v>1.0</v>
      </c>
      <c r="CF127" s="50" t="s">
        <v>10066</v>
      </c>
      <c r="CG127" s="117">
        <v>4359.0</v>
      </c>
      <c r="CH127" s="50" t="s">
        <v>13704</v>
      </c>
      <c r="CI127" s="50" t="s">
        <v>13705</v>
      </c>
      <c r="CJ127" s="117">
        <v>126.0</v>
      </c>
    </row>
    <row r="128">
      <c r="A128" s="50" t="s">
        <v>13687</v>
      </c>
      <c r="B128" s="50" t="s">
        <v>6876</v>
      </c>
      <c r="C128" s="50" t="s">
        <v>6877</v>
      </c>
      <c r="D128" s="50" t="s">
        <v>8493</v>
      </c>
      <c r="E128" s="50" t="s">
        <v>13709</v>
      </c>
      <c r="F128" s="50">
        <v>58.0</v>
      </c>
      <c r="G128" s="50">
        <v>1.0</v>
      </c>
      <c r="H128" s="50">
        <v>15.0</v>
      </c>
      <c r="I128" s="116"/>
      <c r="J128" s="50">
        <v>152.0</v>
      </c>
      <c r="K128" s="50" t="s">
        <v>582</v>
      </c>
      <c r="L128" s="50" t="s">
        <v>582</v>
      </c>
      <c r="M128" s="50" t="s">
        <v>9694</v>
      </c>
      <c r="N128" s="50" t="s">
        <v>9762</v>
      </c>
      <c r="O128" s="50" t="s">
        <v>9763</v>
      </c>
      <c r="P128" s="116"/>
      <c r="Q128" s="116"/>
      <c r="R128" s="116"/>
      <c r="S128" s="50">
        <v>7.0</v>
      </c>
      <c r="T128" s="50">
        <v>1000.0</v>
      </c>
      <c r="U128" s="50">
        <v>3.0</v>
      </c>
      <c r="V128" s="50">
        <v>0.0</v>
      </c>
      <c r="W128" s="50">
        <v>7.0</v>
      </c>
      <c r="X128" s="50">
        <v>100.0</v>
      </c>
      <c r="Y128" s="50">
        <v>3.0</v>
      </c>
      <c r="Z128" s="50">
        <v>0.0</v>
      </c>
      <c r="AA128" s="50">
        <v>0.0</v>
      </c>
      <c r="AB128" s="116"/>
      <c r="AC128" s="116"/>
      <c r="AD128" s="116"/>
      <c r="AE128" s="116"/>
      <c r="AF128" s="116"/>
      <c r="AG128" s="116"/>
      <c r="AH128" s="50">
        <v>7.0</v>
      </c>
      <c r="AI128" s="50">
        <v>1000.0</v>
      </c>
      <c r="AJ128" s="50">
        <v>1.0</v>
      </c>
      <c r="AK128" s="116"/>
      <c r="AL128" s="50">
        <v>7.0</v>
      </c>
      <c r="AM128" s="50">
        <v>100.0</v>
      </c>
      <c r="AN128" s="50">
        <v>3.0</v>
      </c>
      <c r="AO128" s="50">
        <v>5.0</v>
      </c>
      <c r="AP128" s="50">
        <v>0.0</v>
      </c>
      <c r="AQ128" s="116"/>
      <c r="AR128" s="116"/>
      <c r="AS128" s="116"/>
      <c r="AT128" s="116"/>
      <c r="AU128" s="50">
        <v>0.0</v>
      </c>
      <c r="AV128" s="116"/>
      <c r="AW128" s="116"/>
      <c r="AX128" s="116"/>
      <c r="AY128" s="116"/>
      <c r="AZ128" s="116"/>
      <c r="BA128" s="116"/>
      <c r="BB128" s="116"/>
      <c r="BC128" s="116"/>
      <c r="BD128" s="116"/>
      <c r="BE128" s="116"/>
      <c r="BF128" s="116"/>
      <c r="BG128" s="116"/>
      <c r="BH128" s="116"/>
      <c r="BI128" s="116"/>
      <c r="BJ128" s="116"/>
      <c r="BK128" s="116"/>
      <c r="BL128" s="116"/>
      <c r="BM128" s="116"/>
      <c r="BN128" s="116"/>
      <c r="BO128" s="116"/>
      <c r="BP128" s="116"/>
      <c r="BQ128" s="116"/>
      <c r="BR128" s="116"/>
      <c r="BS128" s="116"/>
      <c r="BT128" s="116"/>
      <c r="BU128" s="116"/>
      <c r="BV128" s="116"/>
      <c r="BW128" s="116"/>
      <c r="BX128" s="116"/>
      <c r="BY128" s="116"/>
      <c r="BZ128" s="116"/>
      <c r="CA128" s="116"/>
      <c r="CB128" s="116"/>
      <c r="CC128" s="50" t="s">
        <v>13732</v>
      </c>
      <c r="CD128" s="50" t="s">
        <v>13596</v>
      </c>
      <c r="CE128" s="50">
        <v>1.0</v>
      </c>
      <c r="CF128" s="50" t="s">
        <v>10066</v>
      </c>
      <c r="CG128" s="117">
        <v>4360.0</v>
      </c>
      <c r="CH128" s="50" t="s">
        <v>13733</v>
      </c>
      <c r="CI128" s="50" t="s">
        <v>13734</v>
      </c>
      <c r="CJ128" s="117">
        <v>127.0</v>
      </c>
    </row>
    <row r="129">
      <c r="A129" s="50" t="s">
        <v>13735</v>
      </c>
      <c r="B129" s="50" t="s">
        <v>6876</v>
      </c>
      <c r="C129" s="50" t="s">
        <v>6877</v>
      </c>
      <c r="D129" s="50" t="s">
        <v>8493</v>
      </c>
      <c r="E129" s="50" t="s">
        <v>13738</v>
      </c>
      <c r="F129" s="50">
        <v>58.0</v>
      </c>
      <c r="G129" s="50">
        <v>1.0</v>
      </c>
      <c r="H129" s="50">
        <v>15.0</v>
      </c>
      <c r="I129" s="116"/>
      <c r="J129" s="50">
        <v>152.0</v>
      </c>
      <c r="K129" s="50" t="s">
        <v>584</v>
      </c>
      <c r="L129" s="50" t="s">
        <v>584</v>
      </c>
      <c r="M129" s="50" t="s">
        <v>9694</v>
      </c>
      <c r="N129" s="50" t="s">
        <v>9762</v>
      </c>
      <c r="O129" s="50" t="s">
        <v>9763</v>
      </c>
      <c r="P129" s="116"/>
      <c r="Q129" s="116"/>
      <c r="R129" s="116"/>
      <c r="S129" s="50">
        <v>7.0</v>
      </c>
      <c r="T129" s="50">
        <v>1000.0</v>
      </c>
      <c r="U129" s="50">
        <v>3.0</v>
      </c>
      <c r="V129" s="50">
        <v>0.0</v>
      </c>
      <c r="W129" s="50">
        <v>7.0</v>
      </c>
      <c r="X129" s="50">
        <v>100.0</v>
      </c>
      <c r="Y129" s="50">
        <v>3.0</v>
      </c>
      <c r="Z129" s="50">
        <v>0.0</v>
      </c>
      <c r="AA129" s="50">
        <v>0.0</v>
      </c>
      <c r="AB129" s="116"/>
      <c r="AC129" s="116"/>
      <c r="AD129" s="116"/>
      <c r="AE129" s="116"/>
      <c r="AF129" s="116"/>
      <c r="AG129" s="116"/>
      <c r="AH129" s="50">
        <v>7.0</v>
      </c>
      <c r="AI129" s="50">
        <v>1000.0</v>
      </c>
      <c r="AJ129" s="50">
        <v>3.0</v>
      </c>
      <c r="AK129" s="50">
        <v>135.0</v>
      </c>
      <c r="AL129" s="50">
        <v>7.0</v>
      </c>
      <c r="AM129" s="50">
        <v>100.0</v>
      </c>
      <c r="AN129" s="50">
        <v>3.0</v>
      </c>
      <c r="AO129" s="50">
        <v>16.0</v>
      </c>
      <c r="AP129" s="50">
        <v>0.0</v>
      </c>
      <c r="AQ129" s="116"/>
      <c r="AR129" s="116"/>
      <c r="AS129" s="116"/>
      <c r="AT129" s="116"/>
      <c r="AU129" s="50">
        <v>0.0</v>
      </c>
      <c r="AV129" s="116"/>
      <c r="AW129" s="116"/>
      <c r="AX129" s="116"/>
      <c r="AY129" s="116"/>
      <c r="AZ129" s="116"/>
      <c r="BA129" s="116"/>
      <c r="BB129" s="116"/>
      <c r="BC129" s="116"/>
      <c r="BD129" s="116"/>
      <c r="BE129" s="116"/>
      <c r="BF129" s="116"/>
      <c r="BG129" s="116"/>
      <c r="BH129" s="116"/>
      <c r="BI129" s="116"/>
      <c r="BJ129" s="116"/>
      <c r="BK129" s="116"/>
      <c r="BL129" s="116"/>
      <c r="BM129" s="116"/>
      <c r="BN129" s="116"/>
      <c r="BO129" s="116"/>
      <c r="BP129" s="116"/>
      <c r="BQ129" s="116"/>
      <c r="BR129" s="116"/>
      <c r="BS129" s="116"/>
      <c r="BT129" s="116"/>
      <c r="BU129" s="116"/>
      <c r="BV129" s="116"/>
      <c r="BW129" s="116"/>
      <c r="BX129" s="116"/>
      <c r="BY129" s="116"/>
      <c r="BZ129" s="116"/>
      <c r="CA129" s="116"/>
      <c r="CB129" s="116"/>
      <c r="CC129" s="116"/>
      <c r="CD129" s="50" t="s">
        <v>13596</v>
      </c>
      <c r="CE129" s="50">
        <v>1.0</v>
      </c>
      <c r="CF129" s="50" t="s">
        <v>10066</v>
      </c>
      <c r="CG129" s="117">
        <v>4361.0</v>
      </c>
      <c r="CH129" s="50" t="s">
        <v>13752</v>
      </c>
      <c r="CI129" s="50" t="s">
        <v>13753</v>
      </c>
      <c r="CJ129" s="117">
        <v>128.0</v>
      </c>
    </row>
    <row r="130">
      <c r="A130" s="50" t="s">
        <v>13755</v>
      </c>
      <c r="B130" s="50" t="s">
        <v>6876</v>
      </c>
      <c r="C130" s="50" t="s">
        <v>6877</v>
      </c>
      <c r="D130" s="50" t="s">
        <v>8493</v>
      </c>
      <c r="E130" s="50" t="s">
        <v>13758</v>
      </c>
      <c r="F130" s="50">
        <v>59.0</v>
      </c>
      <c r="G130" s="50">
        <v>1.0</v>
      </c>
      <c r="H130" s="50">
        <v>11.0</v>
      </c>
      <c r="I130" s="116"/>
      <c r="J130" s="116"/>
      <c r="K130" s="50" t="s">
        <v>1292</v>
      </c>
      <c r="L130" s="50" t="s">
        <v>1292</v>
      </c>
      <c r="M130" s="50" t="s">
        <v>13761</v>
      </c>
      <c r="N130" s="50" t="s">
        <v>9983</v>
      </c>
      <c r="O130" s="50" t="s">
        <v>13762</v>
      </c>
      <c r="P130" s="50">
        <v>2.0</v>
      </c>
      <c r="Q130" s="116"/>
      <c r="R130" s="116"/>
      <c r="S130" s="50">
        <v>7.0</v>
      </c>
      <c r="T130" s="50">
        <v>1000.0</v>
      </c>
      <c r="U130" s="50">
        <v>3.0</v>
      </c>
      <c r="V130" s="50">
        <v>0.0</v>
      </c>
      <c r="W130" s="50">
        <v>7.0</v>
      </c>
      <c r="X130" s="50">
        <v>100.0</v>
      </c>
      <c r="Y130" s="50">
        <v>1.0</v>
      </c>
      <c r="Z130" s="116"/>
      <c r="AA130" s="50">
        <v>1.0</v>
      </c>
      <c r="AB130" s="50">
        <v>3.0</v>
      </c>
      <c r="AC130" s="50">
        <v>1000.0</v>
      </c>
      <c r="AD130" s="50">
        <v>3.0</v>
      </c>
      <c r="AE130" s="50">
        <v>4.0</v>
      </c>
      <c r="AF130" s="116"/>
      <c r="AG130" s="116"/>
      <c r="AH130" s="50">
        <v>7.0</v>
      </c>
      <c r="AI130" s="50">
        <v>1000.0</v>
      </c>
      <c r="AJ130" s="50">
        <v>3.0</v>
      </c>
      <c r="AK130" s="50">
        <v>0.0</v>
      </c>
      <c r="AL130" s="50">
        <v>7.0</v>
      </c>
      <c r="AM130" s="50">
        <v>100.0</v>
      </c>
      <c r="AN130" s="50">
        <v>3.0</v>
      </c>
      <c r="AO130" s="50">
        <v>10.0</v>
      </c>
      <c r="AP130" s="50">
        <v>1.0</v>
      </c>
      <c r="AQ130" s="50">
        <v>3.0</v>
      </c>
      <c r="AR130" s="50">
        <v>1000.0</v>
      </c>
      <c r="AS130" s="50">
        <v>3.0</v>
      </c>
      <c r="AT130" s="50">
        <v>0.0</v>
      </c>
      <c r="AU130" s="50">
        <v>0.0</v>
      </c>
      <c r="AV130" s="116"/>
      <c r="AW130" s="116"/>
      <c r="AX130" s="116"/>
      <c r="AY130" s="116"/>
      <c r="AZ130" s="116"/>
      <c r="BA130" s="116"/>
      <c r="BB130" s="116"/>
      <c r="BC130" s="116"/>
      <c r="BD130" s="116"/>
      <c r="BE130" s="116"/>
      <c r="BF130" s="116"/>
      <c r="BG130" s="116"/>
      <c r="BH130" s="116"/>
      <c r="BI130" s="116"/>
      <c r="BJ130" s="116"/>
      <c r="BK130" s="116"/>
      <c r="BL130" s="116"/>
      <c r="BM130" s="116"/>
      <c r="BN130" s="116"/>
      <c r="BO130" s="116"/>
      <c r="BP130" s="116"/>
      <c r="BQ130" s="116"/>
      <c r="BR130" s="116"/>
      <c r="BS130" s="116"/>
      <c r="BT130" s="116"/>
      <c r="BU130" s="116"/>
      <c r="BV130" s="116"/>
      <c r="BW130" s="116"/>
      <c r="BX130" s="116"/>
      <c r="BY130" s="116"/>
      <c r="BZ130" s="116"/>
      <c r="CA130" s="116"/>
      <c r="CB130" s="116"/>
      <c r="CC130" s="50" t="s">
        <v>13769</v>
      </c>
      <c r="CD130" s="50" t="s">
        <v>13596</v>
      </c>
      <c r="CE130" s="50">
        <v>1.0</v>
      </c>
      <c r="CF130" s="50" t="s">
        <v>10066</v>
      </c>
      <c r="CG130" s="117">
        <v>4402.0</v>
      </c>
      <c r="CH130" s="50" t="s">
        <v>13772</v>
      </c>
      <c r="CI130" s="50" t="s">
        <v>13773</v>
      </c>
      <c r="CJ130" s="117">
        <v>129.0</v>
      </c>
    </row>
    <row r="131">
      <c r="A131" s="50" t="s">
        <v>13775</v>
      </c>
      <c r="B131" s="50" t="s">
        <v>6876</v>
      </c>
      <c r="C131" s="50" t="s">
        <v>6877</v>
      </c>
      <c r="D131" s="50" t="s">
        <v>8493</v>
      </c>
      <c r="E131" s="50" t="s">
        <v>13777</v>
      </c>
      <c r="F131" s="50">
        <v>59.0</v>
      </c>
      <c r="G131" s="50">
        <v>1.0</v>
      </c>
      <c r="H131" s="50">
        <v>11.0</v>
      </c>
      <c r="I131" s="116"/>
      <c r="J131" s="116"/>
      <c r="K131" s="50" t="s">
        <v>1325</v>
      </c>
      <c r="L131" s="50" t="s">
        <v>1325</v>
      </c>
      <c r="M131" s="50" t="s">
        <v>13779</v>
      </c>
      <c r="N131" s="50" t="s">
        <v>13780</v>
      </c>
      <c r="O131" s="50" t="s">
        <v>13781</v>
      </c>
      <c r="P131" s="50">
        <v>2.0</v>
      </c>
      <c r="Q131" s="116"/>
      <c r="R131" s="116"/>
      <c r="S131" s="50">
        <v>7.0</v>
      </c>
      <c r="T131" s="50">
        <v>1000.0</v>
      </c>
      <c r="U131" s="50">
        <v>3.0</v>
      </c>
      <c r="V131" s="50">
        <v>0.0</v>
      </c>
      <c r="W131" s="50">
        <v>7.0</v>
      </c>
      <c r="X131" s="50">
        <v>100.0</v>
      </c>
      <c r="Y131" s="50">
        <v>1.0</v>
      </c>
      <c r="Z131" s="116"/>
      <c r="AA131" s="50">
        <v>1.0</v>
      </c>
      <c r="AB131" s="50">
        <v>4.0</v>
      </c>
      <c r="AC131" s="50">
        <v>1.0</v>
      </c>
      <c r="AD131" s="50">
        <v>3.0</v>
      </c>
      <c r="AE131" s="50">
        <v>58.0</v>
      </c>
      <c r="AF131" s="116"/>
      <c r="AG131" s="116"/>
      <c r="AH131" s="50">
        <v>7.0</v>
      </c>
      <c r="AI131" s="50">
        <v>1000.0</v>
      </c>
      <c r="AJ131" s="50">
        <v>3.0</v>
      </c>
      <c r="AK131" s="50">
        <v>180.0</v>
      </c>
      <c r="AL131" s="50">
        <v>7.0</v>
      </c>
      <c r="AM131" s="50">
        <v>100.0</v>
      </c>
      <c r="AN131" s="50">
        <v>3.0</v>
      </c>
      <c r="AO131" s="50">
        <v>17.0</v>
      </c>
      <c r="AP131" s="50">
        <v>0.0</v>
      </c>
      <c r="AQ131" s="116"/>
      <c r="AR131" s="116"/>
      <c r="AS131" s="116"/>
      <c r="AT131" s="116"/>
      <c r="AU131" s="50">
        <v>0.0</v>
      </c>
      <c r="AV131" s="116"/>
      <c r="AW131" s="116"/>
      <c r="AX131" s="116"/>
      <c r="AY131" s="116"/>
      <c r="AZ131" s="116"/>
      <c r="BA131" s="116"/>
      <c r="BB131" s="116"/>
      <c r="BC131" s="116"/>
      <c r="BD131" s="116"/>
      <c r="BE131" s="116"/>
      <c r="BF131" s="116"/>
      <c r="BG131" s="116"/>
      <c r="BH131" s="116"/>
      <c r="BI131" s="116"/>
      <c r="BJ131" s="116"/>
      <c r="BK131" s="116"/>
      <c r="BL131" s="116"/>
      <c r="BM131" s="116"/>
      <c r="BN131" s="116"/>
      <c r="BO131" s="116"/>
      <c r="BP131" s="116"/>
      <c r="BQ131" s="116"/>
      <c r="BR131" s="116"/>
      <c r="BS131" s="116"/>
      <c r="BT131" s="116"/>
      <c r="BU131" s="116"/>
      <c r="BV131" s="116"/>
      <c r="BW131" s="116"/>
      <c r="BX131" s="116"/>
      <c r="BY131" s="116"/>
      <c r="BZ131" s="116"/>
      <c r="CA131" s="116"/>
      <c r="CB131" s="116"/>
      <c r="CC131" s="50" t="s">
        <v>13793</v>
      </c>
      <c r="CD131" s="50" t="s">
        <v>13596</v>
      </c>
      <c r="CE131" s="50">
        <v>1.0</v>
      </c>
      <c r="CF131" s="50" t="s">
        <v>10066</v>
      </c>
      <c r="CG131" s="117">
        <v>4424.0</v>
      </c>
      <c r="CH131" s="50" t="s">
        <v>13795</v>
      </c>
      <c r="CI131" s="50" t="s">
        <v>13796</v>
      </c>
      <c r="CJ131" s="117">
        <v>130.0</v>
      </c>
    </row>
    <row r="132">
      <c r="A132" s="50" t="s">
        <v>13799</v>
      </c>
      <c r="B132" s="50" t="s">
        <v>6876</v>
      </c>
      <c r="C132" s="50" t="s">
        <v>6877</v>
      </c>
      <c r="D132" s="50" t="s">
        <v>8493</v>
      </c>
      <c r="E132" s="50" t="s">
        <v>13802</v>
      </c>
      <c r="F132" s="50">
        <v>58.0</v>
      </c>
      <c r="G132" s="50">
        <v>1.0</v>
      </c>
      <c r="H132" s="50">
        <v>11.0</v>
      </c>
      <c r="I132" s="116"/>
      <c r="J132" s="116"/>
      <c r="K132" s="50" t="s">
        <v>1211</v>
      </c>
      <c r="L132" s="50" t="s">
        <v>1211</v>
      </c>
      <c r="M132" s="50" t="s">
        <v>13804</v>
      </c>
      <c r="N132" s="50" t="s">
        <v>13780</v>
      </c>
      <c r="O132" s="50" t="s">
        <v>13781</v>
      </c>
      <c r="P132" s="50">
        <v>2.0</v>
      </c>
      <c r="Q132" s="116"/>
      <c r="R132" s="116"/>
      <c r="S132" s="50">
        <v>7.0</v>
      </c>
      <c r="T132" s="50">
        <v>1000.0</v>
      </c>
      <c r="U132" s="50">
        <v>3.0</v>
      </c>
      <c r="V132" s="50">
        <v>140.0</v>
      </c>
      <c r="W132" s="50">
        <v>7.0</v>
      </c>
      <c r="X132" s="50">
        <v>100.0</v>
      </c>
      <c r="Y132" s="50">
        <v>3.0</v>
      </c>
      <c r="Z132" s="50">
        <v>33.0</v>
      </c>
      <c r="AA132" s="50">
        <v>1.0</v>
      </c>
      <c r="AB132" s="50">
        <v>4.0</v>
      </c>
      <c r="AC132" s="50">
        <v>1000.0</v>
      </c>
      <c r="AD132" s="50">
        <v>3.0</v>
      </c>
      <c r="AE132" s="50">
        <v>1.0</v>
      </c>
      <c r="AF132" s="116"/>
      <c r="AG132" s="116"/>
      <c r="AH132" s="50">
        <v>7.0</v>
      </c>
      <c r="AI132" s="50">
        <v>1000.0</v>
      </c>
      <c r="AJ132" s="50">
        <v>3.0</v>
      </c>
      <c r="AK132" s="50">
        <v>1.0</v>
      </c>
      <c r="AL132" s="50">
        <v>7.0</v>
      </c>
      <c r="AM132" s="50">
        <v>100.0</v>
      </c>
      <c r="AN132" s="50">
        <v>3.0</v>
      </c>
      <c r="AO132" s="50">
        <v>0.0</v>
      </c>
      <c r="AP132" s="50">
        <v>0.0</v>
      </c>
      <c r="AQ132" s="116"/>
      <c r="AR132" s="116"/>
      <c r="AS132" s="116"/>
      <c r="AT132" s="116"/>
      <c r="AU132" s="50">
        <v>0.0</v>
      </c>
      <c r="AV132" s="116"/>
      <c r="AW132" s="116"/>
      <c r="AX132" s="116"/>
      <c r="AY132" s="116"/>
      <c r="AZ132" s="116"/>
      <c r="BA132" s="116"/>
      <c r="BB132" s="116"/>
      <c r="BC132" s="116"/>
      <c r="BD132" s="116"/>
      <c r="BE132" s="116"/>
      <c r="BF132" s="116"/>
      <c r="BG132" s="116"/>
      <c r="BH132" s="116"/>
      <c r="BI132" s="116"/>
      <c r="BJ132" s="116"/>
      <c r="BK132" s="116"/>
      <c r="BL132" s="116"/>
      <c r="BM132" s="116"/>
      <c r="BN132" s="116"/>
      <c r="BO132" s="116"/>
      <c r="BP132" s="116"/>
      <c r="BQ132" s="116"/>
      <c r="BR132" s="116"/>
      <c r="BS132" s="116"/>
      <c r="BT132" s="116"/>
      <c r="BU132" s="116"/>
      <c r="BV132" s="116"/>
      <c r="BW132" s="116"/>
      <c r="BX132" s="116"/>
      <c r="BY132" s="116"/>
      <c r="BZ132" s="116"/>
      <c r="CA132" s="116"/>
      <c r="CB132" s="116"/>
      <c r="CC132" s="50" t="s">
        <v>13820</v>
      </c>
      <c r="CD132" s="50" t="s">
        <v>13596</v>
      </c>
      <c r="CE132" s="50">
        <v>1.0</v>
      </c>
      <c r="CF132" s="50" t="s">
        <v>10066</v>
      </c>
      <c r="CG132" s="117">
        <v>4425.0</v>
      </c>
      <c r="CH132" s="50" t="s">
        <v>13823</v>
      </c>
      <c r="CI132" s="50" t="s">
        <v>13824</v>
      </c>
      <c r="CJ132" s="117">
        <v>131.0</v>
      </c>
    </row>
    <row r="133">
      <c r="A133" s="50" t="s">
        <v>13826</v>
      </c>
      <c r="B133" s="50" t="s">
        <v>6876</v>
      </c>
      <c r="C133" s="50" t="s">
        <v>6877</v>
      </c>
      <c r="D133" s="50" t="s">
        <v>8493</v>
      </c>
      <c r="E133" s="50" t="s">
        <v>13828</v>
      </c>
      <c r="F133" s="50">
        <v>59.0</v>
      </c>
      <c r="G133" s="50">
        <v>1.0</v>
      </c>
      <c r="H133" s="50">
        <v>11.0</v>
      </c>
      <c r="I133" s="116"/>
      <c r="J133" s="116"/>
      <c r="K133" s="50" t="s">
        <v>1335</v>
      </c>
      <c r="L133" s="50" t="s">
        <v>1335</v>
      </c>
      <c r="M133" s="50" t="s">
        <v>10238</v>
      </c>
      <c r="N133" s="50" t="s">
        <v>10239</v>
      </c>
      <c r="O133" s="50" t="s">
        <v>10240</v>
      </c>
      <c r="P133" s="50">
        <v>1.0</v>
      </c>
      <c r="Q133" s="116"/>
      <c r="R133" s="116"/>
      <c r="S133" s="50">
        <v>7.0</v>
      </c>
      <c r="T133" s="50">
        <v>1000.0</v>
      </c>
      <c r="U133" s="50">
        <v>3.0</v>
      </c>
      <c r="V133" s="50">
        <v>0.0</v>
      </c>
      <c r="W133" s="50">
        <v>7.0</v>
      </c>
      <c r="X133" s="50">
        <v>100.0</v>
      </c>
      <c r="Y133" s="50">
        <v>3.0</v>
      </c>
      <c r="Z133" s="50">
        <v>0.0</v>
      </c>
      <c r="AA133" s="50">
        <v>1.0</v>
      </c>
      <c r="AB133" s="50">
        <v>4.0</v>
      </c>
      <c r="AC133" s="50">
        <v>1000.0</v>
      </c>
      <c r="AD133" s="50">
        <v>3.0</v>
      </c>
      <c r="AE133" s="50">
        <v>11.0</v>
      </c>
      <c r="AF133" s="116"/>
      <c r="AG133" s="116"/>
      <c r="AH133" s="50">
        <v>7.0</v>
      </c>
      <c r="AI133" s="50">
        <v>1000.0</v>
      </c>
      <c r="AJ133" s="50">
        <v>3.0</v>
      </c>
      <c r="AK133" s="50">
        <v>9.0</v>
      </c>
      <c r="AL133" s="50">
        <v>7.0</v>
      </c>
      <c r="AM133" s="50">
        <v>100.0</v>
      </c>
      <c r="AN133" s="50">
        <v>3.0</v>
      </c>
      <c r="AO133" s="50">
        <v>1.0</v>
      </c>
      <c r="AP133" s="50">
        <v>0.0</v>
      </c>
      <c r="AQ133" s="116"/>
      <c r="AR133" s="116"/>
      <c r="AS133" s="116"/>
      <c r="AT133" s="116"/>
      <c r="AU133" s="50">
        <v>0.0</v>
      </c>
      <c r="AV133" s="116"/>
      <c r="AW133" s="116"/>
      <c r="AX133" s="116"/>
      <c r="AY133" s="116"/>
      <c r="AZ133" s="116"/>
      <c r="BA133" s="116"/>
      <c r="BB133" s="116"/>
      <c r="BC133" s="116"/>
      <c r="BD133" s="116"/>
      <c r="BE133" s="116"/>
      <c r="BF133" s="116"/>
      <c r="BG133" s="116"/>
      <c r="BH133" s="116"/>
      <c r="BI133" s="116"/>
      <c r="BJ133" s="116"/>
      <c r="BK133" s="116"/>
      <c r="BL133" s="116"/>
      <c r="BM133" s="116"/>
      <c r="BN133" s="116"/>
      <c r="BO133" s="116"/>
      <c r="BP133" s="116"/>
      <c r="BQ133" s="116"/>
      <c r="BR133" s="116"/>
      <c r="BS133" s="116"/>
      <c r="BT133" s="116"/>
      <c r="BU133" s="116"/>
      <c r="BV133" s="116"/>
      <c r="BW133" s="116"/>
      <c r="BX133" s="116"/>
      <c r="BY133" s="116"/>
      <c r="BZ133" s="116"/>
      <c r="CA133" s="116"/>
      <c r="CB133" s="116"/>
      <c r="CC133" s="50" t="s">
        <v>13848</v>
      </c>
      <c r="CD133" s="50" t="s">
        <v>13596</v>
      </c>
      <c r="CE133" s="50">
        <v>0.0</v>
      </c>
      <c r="CF133" s="50" t="s">
        <v>10066</v>
      </c>
      <c r="CG133" s="117">
        <v>4482.0</v>
      </c>
      <c r="CH133" s="50" t="s">
        <v>13851</v>
      </c>
      <c r="CI133" s="50" t="s">
        <v>13852</v>
      </c>
      <c r="CJ133" s="117">
        <v>132.0</v>
      </c>
    </row>
    <row r="134">
      <c r="A134" s="50" t="s">
        <v>13828</v>
      </c>
      <c r="B134" s="50" t="s">
        <v>6876</v>
      </c>
      <c r="C134" s="50" t="s">
        <v>6877</v>
      </c>
      <c r="D134" s="50" t="s">
        <v>8493</v>
      </c>
      <c r="E134" s="50" t="s">
        <v>13854</v>
      </c>
      <c r="F134" s="50">
        <v>59.0</v>
      </c>
      <c r="G134" s="50">
        <v>1.0</v>
      </c>
      <c r="H134" s="50">
        <v>11.0</v>
      </c>
      <c r="I134" s="116"/>
      <c r="J134" s="116"/>
      <c r="K134" s="50" t="s">
        <v>1341</v>
      </c>
      <c r="L134" s="50" t="s">
        <v>1341</v>
      </c>
      <c r="M134" s="50" t="s">
        <v>10238</v>
      </c>
      <c r="N134" s="50" t="s">
        <v>10239</v>
      </c>
      <c r="O134" s="50" t="s">
        <v>10240</v>
      </c>
      <c r="P134" s="50">
        <v>2.0</v>
      </c>
      <c r="Q134" s="116"/>
      <c r="R134" s="116"/>
      <c r="S134" s="50">
        <v>7.0</v>
      </c>
      <c r="T134" s="50">
        <v>1000.0</v>
      </c>
      <c r="U134" s="50">
        <v>3.0</v>
      </c>
      <c r="V134" s="50">
        <v>0.0</v>
      </c>
      <c r="W134" s="50">
        <v>7.0</v>
      </c>
      <c r="X134" s="50">
        <v>100.0</v>
      </c>
      <c r="Y134" s="50">
        <v>3.0</v>
      </c>
      <c r="Z134" s="50">
        <v>0.0</v>
      </c>
      <c r="AA134" s="50">
        <v>1.0</v>
      </c>
      <c r="AB134" s="50">
        <v>4.0</v>
      </c>
      <c r="AC134" s="50">
        <v>1000.0</v>
      </c>
      <c r="AD134" s="50">
        <v>1.0</v>
      </c>
      <c r="AE134" s="116"/>
      <c r="AF134" s="116"/>
      <c r="AG134" s="116"/>
      <c r="AH134" s="50">
        <v>7.0</v>
      </c>
      <c r="AI134" s="50">
        <v>1000.0</v>
      </c>
      <c r="AJ134" s="50">
        <v>3.0</v>
      </c>
      <c r="AK134" s="50">
        <v>5.0</v>
      </c>
      <c r="AL134" s="50">
        <v>7.0</v>
      </c>
      <c r="AM134" s="50">
        <v>100.0</v>
      </c>
      <c r="AN134" s="50">
        <v>3.0</v>
      </c>
      <c r="AO134" s="50">
        <v>0.0</v>
      </c>
      <c r="AP134" s="50">
        <v>0.0</v>
      </c>
      <c r="AQ134" s="116"/>
      <c r="AR134" s="116"/>
      <c r="AS134" s="116"/>
      <c r="AT134" s="116"/>
      <c r="AU134" s="50">
        <v>0.0</v>
      </c>
      <c r="AV134" s="116"/>
      <c r="AW134" s="116"/>
      <c r="AX134" s="116"/>
      <c r="AY134" s="116"/>
      <c r="AZ134" s="116"/>
      <c r="BA134" s="116"/>
      <c r="BB134" s="116"/>
      <c r="BC134" s="116"/>
      <c r="BD134" s="116"/>
      <c r="BE134" s="116"/>
      <c r="BF134" s="116"/>
      <c r="BG134" s="116"/>
      <c r="BH134" s="116"/>
      <c r="BI134" s="116"/>
      <c r="BJ134" s="116"/>
      <c r="BK134" s="116"/>
      <c r="BL134" s="116"/>
      <c r="BM134" s="116"/>
      <c r="BN134" s="116"/>
      <c r="BO134" s="116"/>
      <c r="BP134" s="116"/>
      <c r="BQ134" s="116"/>
      <c r="BR134" s="116"/>
      <c r="BS134" s="116"/>
      <c r="BT134" s="116"/>
      <c r="BU134" s="116"/>
      <c r="BV134" s="116"/>
      <c r="BW134" s="116"/>
      <c r="BX134" s="116"/>
      <c r="BY134" s="116"/>
      <c r="BZ134" s="116"/>
      <c r="CA134" s="116"/>
      <c r="CB134" s="116"/>
      <c r="CC134" s="50" t="s">
        <v>13883</v>
      </c>
      <c r="CD134" s="50" t="s">
        <v>13596</v>
      </c>
      <c r="CE134" s="50">
        <v>0.0</v>
      </c>
      <c r="CF134" s="50" t="s">
        <v>10066</v>
      </c>
      <c r="CG134" s="117">
        <v>4483.0</v>
      </c>
      <c r="CH134" s="50" t="s">
        <v>13886</v>
      </c>
      <c r="CI134" s="50" t="s">
        <v>13889</v>
      </c>
      <c r="CJ134" s="117">
        <v>133.0</v>
      </c>
    </row>
    <row r="135">
      <c r="A135" s="50" t="s">
        <v>13854</v>
      </c>
      <c r="B135" s="50" t="s">
        <v>6876</v>
      </c>
      <c r="C135" s="50" t="s">
        <v>6877</v>
      </c>
      <c r="D135" s="50" t="s">
        <v>8493</v>
      </c>
      <c r="E135" s="50" t="s">
        <v>13895</v>
      </c>
      <c r="F135" s="50">
        <v>59.0</v>
      </c>
      <c r="G135" s="50">
        <v>1.0</v>
      </c>
      <c r="H135" s="50">
        <v>11.0</v>
      </c>
      <c r="I135" s="116"/>
      <c r="J135" s="116"/>
      <c r="K135" s="50" t="s">
        <v>1346</v>
      </c>
      <c r="L135" s="50" t="s">
        <v>1346</v>
      </c>
      <c r="M135" s="50" t="s">
        <v>10238</v>
      </c>
      <c r="N135" s="50" t="s">
        <v>10239</v>
      </c>
      <c r="O135" s="50" t="s">
        <v>10240</v>
      </c>
      <c r="P135" s="50">
        <v>2.0</v>
      </c>
      <c r="Q135" s="116"/>
      <c r="R135" s="116"/>
      <c r="S135" s="50">
        <v>7.0</v>
      </c>
      <c r="T135" s="50">
        <v>1000.0</v>
      </c>
      <c r="U135" s="50">
        <v>3.0</v>
      </c>
      <c r="V135" s="50">
        <v>98.0</v>
      </c>
      <c r="W135" s="50">
        <v>7.0</v>
      </c>
      <c r="X135" s="50">
        <v>100.0</v>
      </c>
      <c r="Y135" s="50">
        <v>3.0</v>
      </c>
      <c r="Z135" s="50">
        <v>19.0</v>
      </c>
      <c r="AA135" s="50">
        <v>0.0</v>
      </c>
      <c r="AB135" s="116"/>
      <c r="AC135" s="116"/>
      <c r="AD135" s="116"/>
      <c r="AE135" s="116"/>
      <c r="AF135" s="116"/>
      <c r="AG135" s="116"/>
      <c r="AH135" s="50">
        <v>7.0</v>
      </c>
      <c r="AI135" s="50">
        <v>1000.0</v>
      </c>
      <c r="AJ135" s="50">
        <v>3.0</v>
      </c>
      <c r="AK135" s="50">
        <v>0.0</v>
      </c>
      <c r="AL135" s="50">
        <v>7.0</v>
      </c>
      <c r="AM135" s="50">
        <v>100.0</v>
      </c>
      <c r="AN135" s="50">
        <v>3.0</v>
      </c>
      <c r="AO135" s="50">
        <v>0.0</v>
      </c>
      <c r="AP135" s="50">
        <v>0.0</v>
      </c>
      <c r="AQ135" s="116"/>
      <c r="AR135" s="116"/>
      <c r="AS135" s="116"/>
      <c r="AT135" s="116"/>
      <c r="AU135" s="50">
        <v>0.0</v>
      </c>
      <c r="AV135" s="116"/>
      <c r="AW135" s="116"/>
      <c r="AX135" s="116"/>
      <c r="AY135" s="116"/>
      <c r="AZ135" s="116"/>
      <c r="BA135" s="116"/>
      <c r="BB135" s="116"/>
      <c r="BC135" s="116"/>
      <c r="BD135" s="116"/>
      <c r="BE135" s="116"/>
      <c r="BF135" s="116"/>
      <c r="BG135" s="116"/>
      <c r="BH135" s="116"/>
      <c r="BI135" s="116"/>
      <c r="BJ135" s="116"/>
      <c r="BK135" s="116"/>
      <c r="BL135" s="116"/>
      <c r="BM135" s="116"/>
      <c r="BN135" s="116"/>
      <c r="BO135" s="116"/>
      <c r="BP135" s="116"/>
      <c r="BQ135" s="116"/>
      <c r="BR135" s="116"/>
      <c r="BS135" s="116"/>
      <c r="BT135" s="116"/>
      <c r="BU135" s="116"/>
      <c r="BV135" s="116"/>
      <c r="BW135" s="116"/>
      <c r="BX135" s="116"/>
      <c r="BY135" s="116"/>
      <c r="BZ135" s="116"/>
      <c r="CA135" s="116"/>
      <c r="CB135" s="116"/>
      <c r="CC135" s="116"/>
      <c r="CD135" s="50">
        <v>3.0</v>
      </c>
      <c r="CE135" s="50">
        <v>0.0</v>
      </c>
      <c r="CF135" s="50" t="s">
        <v>10066</v>
      </c>
      <c r="CG135" s="117">
        <v>4484.0</v>
      </c>
      <c r="CH135" s="50" t="s">
        <v>13916</v>
      </c>
      <c r="CI135" s="50" t="s">
        <v>13917</v>
      </c>
      <c r="CJ135" s="117">
        <v>134.0</v>
      </c>
    </row>
    <row r="136">
      <c r="A136" s="50" t="s">
        <v>13895</v>
      </c>
      <c r="B136" s="50" t="s">
        <v>6876</v>
      </c>
      <c r="C136" s="50" t="s">
        <v>6877</v>
      </c>
      <c r="D136" s="50" t="s">
        <v>8493</v>
      </c>
      <c r="E136" s="50" t="s">
        <v>13923</v>
      </c>
      <c r="F136" s="50">
        <v>59.0</v>
      </c>
      <c r="G136" s="50">
        <v>1.0</v>
      </c>
      <c r="H136" s="50">
        <v>11.0</v>
      </c>
      <c r="I136" s="116"/>
      <c r="J136" s="116"/>
      <c r="K136" s="50" t="s">
        <v>1356</v>
      </c>
      <c r="L136" s="50" t="s">
        <v>1356</v>
      </c>
      <c r="M136" s="50" t="s">
        <v>10238</v>
      </c>
      <c r="N136" s="50" t="s">
        <v>10239</v>
      </c>
      <c r="O136" s="50" t="s">
        <v>10240</v>
      </c>
      <c r="P136" s="50">
        <v>2.0</v>
      </c>
      <c r="Q136" s="116"/>
      <c r="R136" s="116"/>
      <c r="S136" s="50">
        <v>7.0</v>
      </c>
      <c r="T136" s="50">
        <v>1000.0</v>
      </c>
      <c r="U136" s="50">
        <v>3.0</v>
      </c>
      <c r="V136" s="50">
        <v>0.0</v>
      </c>
      <c r="W136" s="50">
        <v>7.0</v>
      </c>
      <c r="X136" s="50">
        <v>100.0</v>
      </c>
      <c r="Y136" s="50">
        <v>3.0</v>
      </c>
      <c r="Z136" s="50">
        <v>0.0</v>
      </c>
      <c r="AA136" s="50">
        <v>1.0</v>
      </c>
      <c r="AB136" s="50">
        <v>4.0</v>
      </c>
      <c r="AC136" s="50">
        <v>1000.0</v>
      </c>
      <c r="AD136" s="50">
        <v>3.0</v>
      </c>
      <c r="AE136" s="50">
        <v>35.0</v>
      </c>
      <c r="AF136" s="116"/>
      <c r="AG136" s="116"/>
      <c r="AH136" s="50">
        <v>7.0</v>
      </c>
      <c r="AI136" s="50">
        <v>1000.0</v>
      </c>
      <c r="AJ136" s="50">
        <v>3.0</v>
      </c>
      <c r="AK136" s="50">
        <v>32.0</v>
      </c>
      <c r="AL136" s="50">
        <v>7.0</v>
      </c>
      <c r="AM136" s="50">
        <v>100.0</v>
      </c>
      <c r="AN136" s="50">
        <v>3.0</v>
      </c>
      <c r="AO136" s="50">
        <v>1.0</v>
      </c>
      <c r="AP136" s="50">
        <v>0.0</v>
      </c>
      <c r="AQ136" s="116"/>
      <c r="AR136" s="116"/>
      <c r="AS136" s="116"/>
      <c r="AT136" s="116"/>
      <c r="AU136" s="50">
        <v>0.0</v>
      </c>
      <c r="AV136" s="116"/>
      <c r="AW136" s="116"/>
      <c r="AX136" s="116"/>
      <c r="AY136" s="116"/>
      <c r="AZ136" s="116"/>
      <c r="BA136" s="116"/>
      <c r="BB136" s="116"/>
      <c r="BC136" s="116"/>
      <c r="BD136" s="116"/>
      <c r="BE136" s="116"/>
      <c r="BF136" s="116"/>
      <c r="BG136" s="116"/>
      <c r="BH136" s="116"/>
      <c r="BI136" s="116"/>
      <c r="BJ136" s="116"/>
      <c r="BK136" s="116"/>
      <c r="BL136" s="116"/>
      <c r="BM136" s="116"/>
      <c r="BN136" s="116"/>
      <c r="BO136" s="116"/>
      <c r="BP136" s="116"/>
      <c r="BQ136" s="116"/>
      <c r="BR136" s="116"/>
      <c r="BS136" s="116"/>
      <c r="BT136" s="116"/>
      <c r="BU136" s="116"/>
      <c r="BV136" s="116"/>
      <c r="BW136" s="116"/>
      <c r="BX136" s="116"/>
      <c r="BY136" s="116"/>
      <c r="BZ136" s="116"/>
      <c r="CA136" s="116"/>
      <c r="CB136" s="116"/>
      <c r="CC136" s="50" t="s">
        <v>13944</v>
      </c>
      <c r="CD136" s="50" t="s">
        <v>13596</v>
      </c>
      <c r="CE136" s="50">
        <v>0.0</v>
      </c>
      <c r="CF136" s="50" t="s">
        <v>10066</v>
      </c>
      <c r="CG136" s="117">
        <v>4485.0</v>
      </c>
      <c r="CH136" s="50" t="s">
        <v>13946</v>
      </c>
      <c r="CI136" s="50" t="s">
        <v>13947</v>
      </c>
      <c r="CJ136" s="117">
        <v>135.0</v>
      </c>
    </row>
    <row r="137">
      <c r="A137" s="50" t="s">
        <v>13923</v>
      </c>
      <c r="B137" s="50" t="s">
        <v>6876</v>
      </c>
      <c r="C137" s="50" t="s">
        <v>6877</v>
      </c>
      <c r="D137" s="50" t="s">
        <v>8493</v>
      </c>
      <c r="E137" s="50" t="s">
        <v>13950</v>
      </c>
      <c r="F137" s="50">
        <v>59.0</v>
      </c>
      <c r="G137" s="50">
        <v>1.0</v>
      </c>
      <c r="H137" s="50">
        <v>11.0</v>
      </c>
      <c r="I137" s="116"/>
      <c r="J137" s="116"/>
      <c r="K137" s="50" t="s">
        <v>1361</v>
      </c>
      <c r="L137" s="50" t="s">
        <v>1361</v>
      </c>
      <c r="M137" s="50" t="s">
        <v>10238</v>
      </c>
      <c r="N137" s="50" t="s">
        <v>10239</v>
      </c>
      <c r="O137" s="50" t="s">
        <v>10240</v>
      </c>
      <c r="P137" s="50">
        <v>2.0</v>
      </c>
      <c r="Q137" s="116"/>
      <c r="R137" s="116"/>
      <c r="S137" s="50">
        <v>7.0</v>
      </c>
      <c r="T137" s="50">
        <v>1000.0</v>
      </c>
      <c r="U137" s="50">
        <v>3.0</v>
      </c>
      <c r="V137" s="50">
        <v>0.0</v>
      </c>
      <c r="W137" s="50">
        <v>7.0</v>
      </c>
      <c r="X137" s="50">
        <v>100.0</v>
      </c>
      <c r="Y137" s="50">
        <v>3.0</v>
      </c>
      <c r="Z137" s="50">
        <v>0.0</v>
      </c>
      <c r="AA137" s="50">
        <v>1.0</v>
      </c>
      <c r="AB137" s="50">
        <v>4.0</v>
      </c>
      <c r="AC137" s="50">
        <v>1000.0</v>
      </c>
      <c r="AD137" s="50">
        <v>3.0</v>
      </c>
      <c r="AE137" s="50">
        <v>58.0</v>
      </c>
      <c r="AF137" s="116"/>
      <c r="AG137" s="116"/>
      <c r="AH137" s="50">
        <v>7.0</v>
      </c>
      <c r="AI137" s="50">
        <v>1000.0</v>
      </c>
      <c r="AJ137" s="50">
        <v>3.0</v>
      </c>
      <c r="AK137" s="50">
        <v>125.0</v>
      </c>
      <c r="AL137" s="50">
        <v>7.0</v>
      </c>
      <c r="AM137" s="50">
        <v>100.0</v>
      </c>
      <c r="AN137" s="50">
        <v>3.0</v>
      </c>
      <c r="AO137" s="50">
        <v>1.0</v>
      </c>
      <c r="AP137" s="50">
        <v>0.0</v>
      </c>
      <c r="AQ137" s="116"/>
      <c r="AR137" s="116"/>
      <c r="AS137" s="116"/>
      <c r="AT137" s="116"/>
      <c r="AU137" s="50">
        <v>0.0</v>
      </c>
      <c r="AV137" s="116"/>
      <c r="AW137" s="116"/>
      <c r="AX137" s="116"/>
      <c r="AY137" s="116"/>
      <c r="AZ137" s="116"/>
      <c r="BA137" s="116"/>
      <c r="BB137" s="116"/>
      <c r="BC137" s="116"/>
      <c r="BD137" s="116"/>
      <c r="BE137" s="116"/>
      <c r="BF137" s="116"/>
      <c r="BG137" s="116"/>
      <c r="BH137" s="116"/>
      <c r="BI137" s="116"/>
      <c r="BJ137" s="116"/>
      <c r="BK137" s="116"/>
      <c r="BL137" s="116"/>
      <c r="BM137" s="116"/>
      <c r="BN137" s="116"/>
      <c r="BO137" s="116"/>
      <c r="BP137" s="116"/>
      <c r="BQ137" s="116"/>
      <c r="BR137" s="116"/>
      <c r="BS137" s="116"/>
      <c r="BT137" s="116"/>
      <c r="BU137" s="116"/>
      <c r="BV137" s="116"/>
      <c r="BW137" s="116"/>
      <c r="BX137" s="116"/>
      <c r="BY137" s="116"/>
      <c r="BZ137" s="116"/>
      <c r="CA137" s="116"/>
      <c r="CB137" s="116"/>
      <c r="CC137" s="50" t="s">
        <v>13980</v>
      </c>
      <c r="CD137" s="50" t="s">
        <v>13596</v>
      </c>
      <c r="CE137" s="50">
        <v>0.0</v>
      </c>
      <c r="CF137" s="50" t="s">
        <v>10066</v>
      </c>
      <c r="CG137" s="117">
        <v>4486.0</v>
      </c>
      <c r="CH137" s="50" t="s">
        <v>13984</v>
      </c>
      <c r="CI137" s="50" t="s">
        <v>13985</v>
      </c>
      <c r="CJ137" s="117">
        <v>136.0</v>
      </c>
    </row>
    <row r="138">
      <c r="A138" s="50" t="s">
        <v>13987</v>
      </c>
      <c r="B138" s="50" t="s">
        <v>6876</v>
      </c>
      <c r="C138" s="50" t="s">
        <v>6877</v>
      </c>
      <c r="D138" s="50" t="s">
        <v>8493</v>
      </c>
      <c r="E138" s="50" t="s">
        <v>13989</v>
      </c>
      <c r="F138" s="50">
        <v>59.0</v>
      </c>
      <c r="G138" s="50">
        <v>1.0</v>
      </c>
      <c r="H138" s="50">
        <v>11.0</v>
      </c>
      <c r="I138" s="116"/>
      <c r="J138" s="116"/>
      <c r="K138" s="50" t="s">
        <v>1364</v>
      </c>
      <c r="L138" s="50" t="s">
        <v>1364</v>
      </c>
      <c r="M138" s="50" t="s">
        <v>10238</v>
      </c>
      <c r="N138" s="50" t="s">
        <v>10239</v>
      </c>
      <c r="O138" s="50" t="s">
        <v>10240</v>
      </c>
      <c r="P138" s="50">
        <v>2.0</v>
      </c>
      <c r="Q138" s="116"/>
      <c r="R138" s="116"/>
      <c r="S138" s="50">
        <v>7.0</v>
      </c>
      <c r="T138" s="50">
        <v>1000.0</v>
      </c>
      <c r="U138" s="50">
        <v>3.0</v>
      </c>
      <c r="V138" s="50">
        <v>0.0</v>
      </c>
      <c r="W138" s="50">
        <v>7.0</v>
      </c>
      <c r="X138" s="50">
        <v>100.0</v>
      </c>
      <c r="Y138" s="50">
        <v>1.0</v>
      </c>
      <c r="Z138" s="116"/>
      <c r="AA138" s="50">
        <v>1.0</v>
      </c>
      <c r="AB138" s="50">
        <v>4.0</v>
      </c>
      <c r="AC138" s="50">
        <v>1000.0</v>
      </c>
      <c r="AD138" s="50">
        <v>3.0</v>
      </c>
      <c r="AE138" s="50">
        <v>14.0</v>
      </c>
      <c r="AF138" s="116"/>
      <c r="AG138" s="116"/>
      <c r="AH138" s="50">
        <v>7.0</v>
      </c>
      <c r="AI138" s="50">
        <v>1000.0</v>
      </c>
      <c r="AJ138" s="50">
        <v>3.0</v>
      </c>
      <c r="AK138" s="50">
        <v>3.0</v>
      </c>
      <c r="AL138" s="50">
        <v>7.0</v>
      </c>
      <c r="AM138" s="50">
        <v>100.0</v>
      </c>
      <c r="AN138" s="50">
        <v>3.0</v>
      </c>
      <c r="AO138" s="50">
        <v>0.0</v>
      </c>
      <c r="AP138" s="50">
        <v>0.0</v>
      </c>
      <c r="AQ138" s="116"/>
      <c r="AR138" s="116"/>
      <c r="AS138" s="116"/>
      <c r="AT138" s="116"/>
      <c r="AU138" s="50">
        <v>0.0</v>
      </c>
      <c r="AV138" s="116"/>
      <c r="AW138" s="116"/>
      <c r="AX138" s="116"/>
      <c r="AY138" s="116"/>
      <c r="AZ138" s="116"/>
      <c r="BA138" s="116"/>
      <c r="BB138" s="116"/>
      <c r="BC138" s="116"/>
      <c r="BD138" s="116"/>
      <c r="BE138" s="116"/>
      <c r="BF138" s="116"/>
      <c r="BG138" s="116"/>
      <c r="BH138" s="116"/>
      <c r="BI138" s="116"/>
      <c r="BJ138" s="116"/>
      <c r="BK138" s="116"/>
      <c r="BL138" s="116"/>
      <c r="BM138" s="116"/>
      <c r="BN138" s="116"/>
      <c r="BO138" s="116"/>
      <c r="BP138" s="116"/>
      <c r="BQ138" s="116"/>
      <c r="BR138" s="116"/>
      <c r="BS138" s="116"/>
      <c r="BT138" s="116"/>
      <c r="BU138" s="116"/>
      <c r="BV138" s="116"/>
      <c r="BW138" s="116"/>
      <c r="BX138" s="116"/>
      <c r="BY138" s="116"/>
      <c r="BZ138" s="116"/>
      <c r="CA138" s="116"/>
      <c r="CB138" s="116"/>
      <c r="CC138" s="50" t="s">
        <v>14020</v>
      </c>
      <c r="CD138" s="50" t="s">
        <v>13596</v>
      </c>
      <c r="CE138" s="50">
        <v>0.0</v>
      </c>
      <c r="CF138" s="50" t="s">
        <v>10066</v>
      </c>
      <c r="CG138" s="117">
        <v>4487.0</v>
      </c>
      <c r="CH138" s="50" t="s">
        <v>14022</v>
      </c>
      <c r="CI138" s="50" t="s">
        <v>14023</v>
      </c>
      <c r="CJ138" s="117">
        <v>137.0</v>
      </c>
    </row>
    <row r="139">
      <c r="A139" s="50" t="s">
        <v>14026</v>
      </c>
      <c r="B139" s="50" t="s">
        <v>6876</v>
      </c>
      <c r="C139" s="50" t="s">
        <v>6877</v>
      </c>
      <c r="D139" s="50" t="s">
        <v>8493</v>
      </c>
      <c r="E139" s="50" t="s">
        <v>14029</v>
      </c>
      <c r="F139" s="50">
        <v>59.0</v>
      </c>
      <c r="G139" s="50">
        <v>1.0</v>
      </c>
      <c r="H139" s="50">
        <v>11.0</v>
      </c>
      <c r="I139" s="116"/>
      <c r="J139" s="116"/>
      <c r="K139" s="50" t="s">
        <v>1371</v>
      </c>
      <c r="L139" s="50" t="s">
        <v>1371</v>
      </c>
      <c r="M139" s="50" t="s">
        <v>14032</v>
      </c>
      <c r="N139" s="50" t="s">
        <v>14033</v>
      </c>
      <c r="O139" s="50" t="s">
        <v>14034</v>
      </c>
      <c r="P139" s="50">
        <v>3.0</v>
      </c>
      <c r="Q139" s="116"/>
      <c r="R139" s="116"/>
      <c r="S139" s="50">
        <v>7.0</v>
      </c>
      <c r="T139" s="50">
        <v>1000.0</v>
      </c>
      <c r="U139" s="50">
        <v>3.0</v>
      </c>
      <c r="V139" s="50">
        <v>0.0</v>
      </c>
      <c r="W139" s="50">
        <v>7.0</v>
      </c>
      <c r="X139" s="50">
        <v>100.0</v>
      </c>
      <c r="Y139" s="50">
        <v>1.0</v>
      </c>
      <c r="Z139" s="116"/>
      <c r="AA139" s="50">
        <v>1.0</v>
      </c>
      <c r="AB139" s="50">
        <v>4.0</v>
      </c>
      <c r="AC139" s="50">
        <v>1000.0</v>
      </c>
      <c r="AD139" s="50">
        <v>3.0</v>
      </c>
      <c r="AE139" s="50">
        <v>17.0</v>
      </c>
      <c r="AF139" s="116"/>
      <c r="AG139" s="116"/>
      <c r="AH139" s="50">
        <v>7.0</v>
      </c>
      <c r="AI139" s="50">
        <v>1000.0</v>
      </c>
      <c r="AJ139" s="50">
        <v>3.0</v>
      </c>
      <c r="AK139" s="50">
        <v>7.0</v>
      </c>
      <c r="AL139" s="50">
        <v>7.0</v>
      </c>
      <c r="AM139" s="50">
        <v>100.0</v>
      </c>
      <c r="AN139" s="50">
        <v>3.0</v>
      </c>
      <c r="AO139" s="50">
        <v>0.0</v>
      </c>
      <c r="AP139" s="50">
        <v>0.0</v>
      </c>
      <c r="AQ139" s="116"/>
      <c r="AR139" s="116"/>
      <c r="AS139" s="116"/>
      <c r="AT139" s="116"/>
      <c r="AU139" s="50">
        <v>0.0</v>
      </c>
      <c r="AV139" s="116"/>
      <c r="AW139" s="116"/>
      <c r="AX139" s="116"/>
      <c r="AY139" s="116"/>
      <c r="AZ139" s="116"/>
      <c r="BA139" s="116"/>
      <c r="BB139" s="116"/>
      <c r="BC139" s="116"/>
      <c r="BD139" s="116"/>
      <c r="BE139" s="116"/>
      <c r="BF139" s="116"/>
      <c r="BG139" s="116"/>
      <c r="BH139" s="116"/>
      <c r="BI139" s="116"/>
      <c r="BJ139" s="116"/>
      <c r="BK139" s="116"/>
      <c r="BL139" s="116"/>
      <c r="BM139" s="116"/>
      <c r="BN139" s="116"/>
      <c r="BO139" s="116"/>
      <c r="BP139" s="116"/>
      <c r="BQ139" s="116"/>
      <c r="BR139" s="116"/>
      <c r="BS139" s="116"/>
      <c r="BT139" s="116"/>
      <c r="BU139" s="116"/>
      <c r="BV139" s="116"/>
      <c r="BW139" s="116"/>
      <c r="BX139" s="116"/>
      <c r="BY139" s="116"/>
      <c r="BZ139" s="116"/>
      <c r="CA139" s="116"/>
      <c r="CB139" s="116"/>
      <c r="CC139" s="50" t="s">
        <v>14053</v>
      </c>
      <c r="CD139" s="50" t="s">
        <v>14054</v>
      </c>
      <c r="CE139" s="50">
        <v>1.0</v>
      </c>
      <c r="CF139" s="50" t="s">
        <v>10066</v>
      </c>
      <c r="CG139" s="117">
        <v>4531.0</v>
      </c>
      <c r="CH139" s="50" t="s">
        <v>14055</v>
      </c>
      <c r="CI139" s="50" t="s">
        <v>14058</v>
      </c>
      <c r="CJ139" s="117">
        <v>138.0</v>
      </c>
    </row>
    <row r="140">
      <c r="A140" s="50" t="s">
        <v>14059</v>
      </c>
      <c r="B140" s="50" t="s">
        <v>6876</v>
      </c>
      <c r="C140" s="50" t="s">
        <v>6877</v>
      </c>
      <c r="D140" s="50" t="s">
        <v>8493</v>
      </c>
      <c r="E140" s="50" t="s">
        <v>14065</v>
      </c>
      <c r="F140" s="50">
        <v>59.0</v>
      </c>
      <c r="G140" s="50">
        <v>1.0</v>
      </c>
      <c r="H140" s="50">
        <v>11.0</v>
      </c>
      <c r="I140" s="116"/>
      <c r="J140" s="116"/>
      <c r="K140" s="50" t="s">
        <v>10319</v>
      </c>
      <c r="L140" s="50" t="s">
        <v>10319</v>
      </c>
      <c r="M140" s="50" t="s">
        <v>14032</v>
      </c>
      <c r="N140" s="50" t="s">
        <v>14033</v>
      </c>
      <c r="O140" s="50" t="s">
        <v>14034</v>
      </c>
      <c r="P140" s="50">
        <v>4.0</v>
      </c>
      <c r="Q140" s="116"/>
      <c r="R140" s="116"/>
      <c r="S140" s="50">
        <v>7.0</v>
      </c>
      <c r="T140" s="50">
        <v>1000.0</v>
      </c>
      <c r="U140" s="50">
        <v>3.0</v>
      </c>
      <c r="V140" s="50">
        <v>0.0</v>
      </c>
      <c r="W140" s="50">
        <v>7.0</v>
      </c>
      <c r="X140" s="50">
        <v>100.0</v>
      </c>
      <c r="Y140" s="50">
        <v>1.0</v>
      </c>
      <c r="Z140" s="116"/>
      <c r="AA140" s="50">
        <v>1.0</v>
      </c>
      <c r="AB140" s="50">
        <v>4.0</v>
      </c>
      <c r="AC140" s="50">
        <v>1000.0</v>
      </c>
      <c r="AD140" s="50">
        <v>3.0</v>
      </c>
      <c r="AE140" s="50">
        <v>112.0</v>
      </c>
      <c r="AF140" s="116"/>
      <c r="AG140" s="116"/>
      <c r="AH140" s="50">
        <v>7.0</v>
      </c>
      <c r="AI140" s="50">
        <v>1000.0</v>
      </c>
      <c r="AJ140" s="50">
        <v>3.0</v>
      </c>
      <c r="AK140" s="50">
        <v>91.0</v>
      </c>
      <c r="AL140" s="50">
        <v>7.0</v>
      </c>
      <c r="AM140" s="50">
        <v>100.0</v>
      </c>
      <c r="AN140" s="50">
        <v>3.0</v>
      </c>
      <c r="AO140" s="50">
        <v>9.0</v>
      </c>
      <c r="AP140" s="50">
        <v>0.0</v>
      </c>
      <c r="AQ140" s="116"/>
      <c r="AR140" s="116"/>
      <c r="AS140" s="116"/>
      <c r="AT140" s="116"/>
      <c r="AU140" s="50">
        <v>0.0</v>
      </c>
      <c r="AV140" s="116"/>
      <c r="AW140" s="116"/>
      <c r="AX140" s="116"/>
      <c r="AY140" s="116"/>
      <c r="AZ140" s="116"/>
      <c r="BA140" s="116"/>
      <c r="BB140" s="116"/>
      <c r="BC140" s="116"/>
      <c r="BD140" s="116"/>
      <c r="BE140" s="116"/>
      <c r="BF140" s="116"/>
      <c r="BG140" s="116"/>
      <c r="BH140" s="116"/>
      <c r="BI140" s="116"/>
      <c r="BJ140" s="116"/>
      <c r="BK140" s="116"/>
      <c r="BL140" s="116"/>
      <c r="BM140" s="116"/>
      <c r="BN140" s="116"/>
      <c r="BO140" s="116"/>
      <c r="BP140" s="116"/>
      <c r="BQ140" s="116"/>
      <c r="BR140" s="116"/>
      <c r="BS140" s="116"/>
      <c r="BT140" s="116"/>
      <c r="BU140" s="116"/>
      <c r="BV140" s="116"/>
      <c r="BW140" s="116"/>
      <c r="BX140" s="116"/>
      <c r="BY140" s="116"/>
      <c r="BZ140" s="116"/>
      <c r="CA140" s="116"/>
      <c r="CB140" s="116"/>
      <c r="CC140" s="50" t="s">
        <v>14085</v>
      </c>
      <c r="CD140" s="50" t="s">
        <v>14054</v>
      </c>
      <c r="CE140" s="50">
        <v>1.0</v>
      </c>
      <c r="CF140" s="50" t="s">
        <v>10066</v>
      </c>
      <c r="CG140" s="117">
        <v>4532.0</v>
      </c>
      <c r="CH140" s="50" t="s">
        <v>14086</v>
      </c>
      <c r="CI140" s="50" t="s">
        <v>14087</v>
      </c>
      <c r="CJ140" s="117">
        <v>139.0</v>
      </c>
    </row>
    <row r="141">
      <c r="A141" s="50" t="s">
        <v>14089</v>
      </c>
      <c r="B141" s="50" t="s">
        <v>6876</v>
      </c>
      <c r="C141" s="50" t="s">
        <v>6877</v>
      </c>
      <c r="D141" s="50" t="s">
        <v>8493</v>
      </c>
      <c r="E141" s="50" t="s">
        <v>14091</v>
      </c>
      <c r="F141" s="50">
        <v>59.0</v>
      </c>
      <c r="G141" s="50">
        <v>1.0</v>
      </c>
      <c r="H141" s="50">
        <v>11.0</v>
      </c>
      <c r="I141" s="116"/>
      <c r="J141" s="116"/>
      <c r="K141" s="50" t="s">
        <v>1406</v>
      </c>
      <c r="L141" s="50" t="s">
        <v>1406</v>
      </c>
      <c r="M141" s="50" t="s">
        <v>14092</v>
      </c>
      <c r="N141" s="50" t="s">
        <v>10403</v>
      </c>
      <c r="O141" s="50" t="s">
        <v>10405</v>
      </c>
      <c r="P141" s="50">
        <v>4.0</v>
      </c>
      <c r="Q141" s="116"/>
      <c r="R141" s="116"/>
      <c r="S141" s="50">
        <v>7.0</v>
      </c>
      <c r="T141" s="50">
        <v>1000.0</v>
      </c>
      <c r="U141" s="50">
        <v>1.0</v>
      </c>
      <c r="V141" s="116"/>
      <c r="W141" s="50">
        <v>7.0</v>
      </c>
      <c r="X141" s="50">
        <v>100.0</v>
      </c>
      <c r="Y141" s="50">
        <v>3.0</v>
      </c>
      <c r="Z141" s="50">
        <v>108.0</v>
      </c>
      <c r="AA141" s="50">
        <v>1.0</v>
      </c>
      <c r="AB141" s="50">
        <v>4.0</v>
      </c>
      <c r="AC141" s="50">
        <v>1000.0</v>
      </c>
      <c r="AD141" s="50">
        <v>3.0</v>
      </c>
      <c r="AE141" s="50">
        <v>2.0</v>
      </c>
      <c r="AF141" s="116"/>
      <c r="AG141" s="116"/>
      <c r="AH141" s="50">
        <v>7.0</v>
      </c>
      <c r="AI141" s="50">
        <v>1000.0</v>
      </c>
      <c r="AJ141" s="50">
        <v>3.0</v>
      </c>
      <c r="AK141" s="50">
        <v>0.0</v>
      </c>
      <c r="AL141" s="50">
        <v>7.0</v>
      </c>
      <c r="AM141" s="50">
        <v>100.0</v>
      </c>
      <c r="AN141" s="50">
        <v>3.0</v>
      </c>
      <c r="AO141" s="50">
        <v>0.0</v>
      </c>
      <c r="AP141" s="50">
        <v>0.0</v>
      </c>
      <c r="AQ141" s="116"/>
      <c r="AR141" s="116"/>
      <c r="AS141" s="116"/>
      <c r="AT141" s="116"/>
      <c r="AU141" s="50">
        <v>0.0</v>
      </c>
      <c r="AV141" s="116"/>
      <c r="AW141" s="116"/>
      <c r="AX141" s="116"/>
      <c r="AY141" s="116"/>
      <c r="AZ141" s="116"/>
      <c r="BA141" s="116"/>
      <c r="BB141" s="116"/>
      <c r="BC141" s="116"/>
      <c r="BD141" s="116"/>
      <c r="BE141" s="116"/>
      <c r="BF141" s="116"/>
      <c r="BG141" s="116"/>
      <c r="BH141" s="116"/>
      <c r="BI141" s="116"/>
      <c r="BJ141" s="116"/>
      <c r="BK141" s="116"/>
      <c r="BL141" s="116"/>
      <c r="BM141" s="116"/>
      <c r="BN141" s="116"/>
      <c r="BO141" s="116"/>
      <c r="BP141" s="116"/>
      <c r="BQ141" s="116"/>
      <c r="BR141" s="116"/>
      <c r="BS141" s="116"/>
      <c r="BT141" s="116"/>
      <c r="BU141" s="116"/>
      <c r="BV141" s="116"/>
      <c r="BW141" s="116"/>
      <c r="BX141" s="116"/>
      <c r="BY141" s="116"/>
      <c r="BZ141" s="116"/>
      <c r="CA141" s="116"/>
      <c r="CB141" s="116"/>
      <c r="CC141" s="50" t="s">
        <v>13820</v>
      </c>
      <c r="CD141" s="50" t="s">
        <v>14054</v>
      </c>
      <c r="CE141" s="50">
        <v>1.0</v>
      </c>
      <c r="CF141" s="50" t="s">
        <v>10066</v>
      </c>
      <c r="CG141" s="117">
        <v>4570.0</v>
      </c>
      <c r="CH141" s="50" t="s">
        <v>14115</v>
      </c>
      <c r="CI141" s="50" t="s">
        <v>14117</v>
      </c>
      <c r="CJ141" s="117">
        <v>140.0</v>
      </c>
    </row>
    <row r="142">
      <c r="A142" s="50" t="s">
        <v>14091</v>
      </c>
      <c r="B142" s="50" t="s">
        <v>6876</v>
      </c>
      <c r="C142" s="50" t="s">
        <v>6877</v>
      </c>
      <c r="D142" s="50" t="s">
        <v>8493</v>
      </c>
      <c r="E142" s="50" t="s">
        <v>14122</v>
      </c>
      <c r="F142" s="50">
        <v>59.0</v>
      </c>
      <c r="G142" s="50">
        <v>1.0</v>
      </c>
      <c r="H142" s="50">
        <v>11.0</v>
      </c>
      <c r="I142" s="116"/>
      <c r="J142" s="116"/>
      <c r="K142" s="50" t="s">
        <v>1412</v>
      </c>
      <c r="L142" s="50" t="s">
        <v>1412</v>
      </c>
      <c r="M142" s="50" t="s">
        <v>14092</v>
      </c>
      <c r="N142" s="50" t="s">
        <v>10403</v>
      </c>
      <c r="O142" s="50" t="s">
        <v>10405</v>
      </c>
      <c r="P142" s="50">
        <v>3.0</v>
      </c>
      <c r="Q142" s="116"/>
      <c r="R142" s="116"/>
      <c r="S142" s="50">
        <v>7.0</v>
      </c>
      <c r="T142" s="50">
        <v>1000.0</v>
      </c>
      <c r="U142" s="50">
        <v>1.0</v>
      </c>
      <c r="V142" s="116"/>
      <c r="W142" s="50">
        <v>7.0</v>
      </c>
      <c r="X142" s="50">
        <v>100.0</v>
      </c>
      <c r="Y142" s="50">
        <v>3.0</v>
      </c>
      <c r="Z142" s="50">
        <v>10.0</v>
      </c>
      <c r="AA142" s="50">
        <v>1.0</v>
      </c>
      <c r="AB142" s="50">
        <v>4.0</v>
      </c>
      <c r="AC142" s="50">
        <v>1000.0</v>
      </c>
      <c r="AD142" s="50">
        <v>3.0</v>
      </c>
      <c r="AE142" s="50">
        <v>0.0</v>
      </c>
      <c r="AF142" s="116"/>
      <c r="AG142" s="116"/>
      <c r="AH142" s="50">
        <v>7.0</v>
      </c>
      <c r="AI142" s="50">
        <v>1000.0</v>
      </c>
      <c r="AJ142" s="50">
        <v>3.0</v>
      </c>
      <c r="AK142" s="50">
        <v>0.0</v>
      </c>
      <c r="AL142" s="50">
        <v>7.0</v>
      </c>
      <c r="AM142" s="50">
        <v>100.0</v>
      </c>
      <c r="AN142" s="50">
        <v>3.0</v>
      </c>
      <c r="AO142" s="50">
        <v>0.0</v>
      </c>
      <c r="AP142" s="50">
        <v>0.0</v>
      </c>
      <c r="AQ142" s="116"/>
      <c r="AR142" s="116"/>
      <c r="AS142" s="116"/>
      <c r="AT142" s="116"/>
      <c r="AU142" s="50">
        <v>0.0</v>
      </c>
      <c r="AV142" s="116"/>
      <c r="AW142" s="116"/>
      <c r="AX142" s="116"/>
      <c r="AY142" s="116"/>
      <c r="AZ142" s="116"/>
      <c r="BA142" s="116"/>
      <c r="BB142" s="116"/>
      <c r="BC142" s="116"/>
      <c r="BD142" s="116"/>
      <c r="BE142" s="116"/>
      <c r="BF142" s="116"/>
      <c r="BG142" s="116"/>
      <c r="BH142" s="116"/>
      <c r="BI142" s="116"/>
      <c r="BJ142" s="116"/>
      <c r="BK142" s="116"/>
      <c r="BL142" s="116"/>
      <c r="BM142" s="116"/>
      <c r="BN142" s="116"/>
      <c r="BO142" s="116"/>
      <c r="BP142" s="116"/>
      <c r="BQ142" s="116"/>
      <c r="BR142" s="116"/>
      <c r="BS142" s="116"/>
      <c r="BT142" s="116"/>
      <c r="BU142" s="116"/>
      <c r="BV142" s="116"/>
      <c r="BW142" s="116"/>
      <c r="BX142" s="116"/>
      <c r="BY142" s="116"/>
      <c r="BZ142" s="116"/>
      <c r="CA142" s="116"/>
      <c r="CB142" s="116"/>
      <c r="CC142" s="50" t="s">
        <v>13820</v>
      </c>
      <c r="CD142" s="50" t="s">
        <v>14054</v>
      </c>
      <c r="CE142" s="50">
        <v>1.0</v>
      </c>
      <c r="CF142" s="50" t="s">
        <v>10066</v>
      </c>
      <c r="CG142" s="117">
        <v>4571.0</v>
      </c>
      <c r="CH142" s="50" t="s">
        <v>14155</v>
      </c>
      <c r="CI142" s="50" t="s">
        <v>14157</v>
      </c>
      <c r="CJ142" s="117">
        <v>141.0</v>
      </c>
    </row>
    <row r="143">
      <c r="A143" s="50" t="s">
        <v>14161</v>
      </c>
      <c r="B143" s="50" t="s">
        <v>6876</v>
      </c>
      <c r="C143" s="50" t="s">
        <v>6877</v>
      </c>
      <c r="D143" s="50" t="s">
        <v>8493</v>
      </c>
      <c r="E143" s="50" t="s">
        <v>14163</v>
      </c>
      <c r="F143" s="50">
        <v>59.0</v>
      </c>
      <c r="G143" s="50">
        <v>1.0</v>
      </c>
      <c r="H143" s="50">
        <v>11.0</v>
      </c>
      <c r="I143" s="116"/>
      <c r="J143" s="116"/>
      <c r="K143" s="50" t="s">
        <v>1422</v>
      </c>
      <c r="L143" s="50" t="s">
        <v>1422</v>
      </c>
      <c r="M143" s="50" t="s">
        <v>14166</v>
      </c>
      <c r="N143" s="50" t="s">
        <v>14169</v>
      </c>
      <c r="O143" s="50" t="s">
        <v>14170</v>
      </c>
      <c r="P143" s="50">
        <v>4.0</v>
      </c>
      <c r="Q143" s="116"/>
      <c r="R143" s="116"/>
      <c r="S143" s="50">
        <v>7.0</v>
      </c>
      <c r="T143" s="50">
        <v>1000.0</v>
      </c>
      <c r="U143" s="50">
        <v>3.0</v>
      </c>
      <c r="V143" s="50">
        <v>98.0</v>
      </c>
      <c r="W143" s="50">
        <v>7.0</v>
      </c>
      <c r="X143" s="50">
        <v>100.0</v>
      </c>
      <c r="Y143" s="50">
        <v>3.0</v>
      </c>
      <c r="Z143" s="50">
        <v>12.0</v>
      </c>
      <c r="AA143" s="50">
        <v>1.0</v>
      </c>
      <c r="AB143" s="50">
        <v>4.0</v>
      </c>
      <c r="AC143" s="50">
        <v>1000.0</v>
      </c>
      <c r="AD143" s="50">
        <v>3.0</v>
      </c>
      <c r="AE143" s="50">
        <v>0.0</v>
      </c>
      <c r="AF143" s="116"/>
      <c r="AG143" s="116"/>
      <c r="AH143" s="50">
        <v>7.0</v>
      </c>
      <c r="AI143" s="50">
        <v>1000.0</v>
      </c>
      <c r="AJ143" s="50">
        <v>3.0</v>
      </c>
      <c r="AK143" s="50">
        <v>0.0</v>
      </c>
      <c r="AL143" s="50">
        <v>7.0</v>
      </c>
      <c r="AM143" s="50">
        <v>100.0</v>
      </c>
      <c r="AN143" s="50">
        <v>3.0</v>
      </c>
      <c r="AO143" s="50">
        <v>0.0</v>
      </c>
      <c r="AP143" s="50">
        <v>0.0</v>
      </c>
      <c r="AQ143" s="116"/>
      <c r="AR143" s="116"/>
      <c r="AS143" s="116"/>
      <c r="AT143" s="116"/>
      <c r="AU143" s="50">
        <v>0.0</v>
      </c>
      <c r="AV143" s="116"/>
      <c r="AW143" s="116"/>
      <c r="AX143" s="116"/>
      <c r="AY143" s="116"/>
      <c r="AZ143" s="116"/>
      <c r="BA143" s="116"/>
      <c r="BB143" s="116"/>
      <c r="BC143" s="116"/>
      <c r="BD143" s="116"/>
      <c r="BE143" s="116"/>
      <c r="BF143" s="116"/>
      <c r="BG143" s="116"/>
      <c r="BH143" s="116"/>
      <c r="BI143" s="116"/>
      <c r="BJ143" s="116"/>
      <c r="BK143" s="116"/>
      <c r="BL143" s="116"/>
      <c r="BM143" s="116"/>
      <c r="BN143" s="116"/>
      <c r="BO143" s="116"/>
      <c r="BP143" s="116"/>
      <c r="BQ143" s="116"/>
      <c r="BR143" s="116"/>
      <c r="BS143" s="116"/>
      <c r="BT143" s="116"/>
      <c r="BU143" s="116"/>
      <c r="BV143" s="116"/>
      <c r="BW143" s="116"/>
      <c r="BX143" s="116"/>
      <c r="BY143" s="116"/>
      <c r="BZ143" s="116"/>
      <c r="CA143" s="116"/>
      <c r="CB143" s="116"/>
      <c r="CC143" s="50" t="s">
        <v>14203</v>
      </c>
      <c r="CD143" s="50" t="s">
        <v>14054</v>
      </c>
      <c r="CE143" s="50">
        <v>1.0</v>
      </c>
      <c r="CF143" s="50" t="s">
        <v>14206</v>
      </c>
      <c r="CG143" s="117">
        <v>4691.0</v>
      </c>
      <c r="CH143" s="50" t="s">
        <v>14207</v>
      </c>
      <c r="CI143" s="50" t="s">
        <v>14208</v>
      </c>
      <c r="CJ143" s="117">
        <v>142.0</v>
      </c>
    </row>
    <row r="144">
      <c r="A144" s="50" t="s">
        <v>14163</v>
      </c>
      <c r="B144" s="50" t="s">
        <v>6876</v>
      </c>
      <c r="C144" s="50" t="s">
        <v>6877</v>
      </c>
      <c r="D144" s="50" t="s">
        <v>8493</v>
      </c>
      <c r="E144" s="50" t="s">
        <v>14213</v>
      </c>
      <c r="F144" s="50">
        <v>59.0</v>
      </c>
      <c r="G144" s="50">
        <v>1.0</v>
      </c>
      <c r="H144" s="50">
        <v>11.0</v>
      </c>
      <c r="I144" s="116"/>
      <c r="J144" s="116"/>
      <c r="K144" s="50" t="s">
        <v>1426</v>
      </c>
      <c r="L144" s="50" t="s">
        <v>1426</v>
      </c>
      <c r="M144" s="50" t="s">
        <v>14166</v>
      </c>
      <c r="N144" s="50" t="s">
        <v>14169</v>
      </c>
      <c r="O144" s="50" t="s">
        <v>14170</v>
      </c>
      <c r="P144" s="50">
        <v>4.0</v>
      </c>
      <c r="Q144" s="116"/>
      <c r="R144" s="116"/>
      <c r="S144" s="50">
        <v>7.0</v>
      </c>
      <c r="T144" s="50">
        <v>1000.0</v>
      </c>
      <c r="U144" s="50">
        <v>3.0</v>
      </c>
      <c r="V144" s="50">
        <v>0.0</v>
      </c>
      <c r="W144" s="50">
        <v>7.0</v>
      </c>
      <c r="X144" s="50">
        <v>100.0</v>
      </c>
      <c r="Y144" s="50">
        <v>1.0</v>
      </c>
      <c r="Z144" s="116"/>
      <c r="AA144" s="50">
        <v>1.0</v>
      </c>
      <c r="AB144" s="50">
        <v>4.0</v>
      </c>
      <c r="AC144" s="50">
        <v>1000.0</v>
      </c>
      <c r="AD144" s="50">
        <v>3.0</v>
      </c>
      <c r="AE144" s="50">
        <v>4.0</v>
      </c>
      <c r="AF144" s="116"/>
      <c r="AG144" s="116"/>
      <c r="AH144" s="50">
        <v>7.0</v>
      </c>
      <c r="AI144" s="50">
        <v>1000.0</v>
      </c>
      <c r="AJ144" s="50">
        <v>3.0</v>
      </c>
      <c r="AK144" s="50">
        <v>0.0</v>
      </c>
      <c r="AL144" s="50">
        <v>7.0</v>
      </c>
      <c r="AM144" s="50">
        <v>100.0</v>
      </c>
      <c r="AN144" s="50">
        <v>3.0</v>
      </c>
      <c r="AO144" s="50">
        <v>0.0</v>
      </c>
      <c r="AP144" s="50">
        <v>1.0</v>
      </c>
      <c r="AQ144" s="50">
        <v>7.0</v>
      </c>
      <c r="AR144" s="50">
        <v>5000.0</v>
      </c>
      <c r="AS144" s="50">
        <v>3.0</v>
      </c>
      <c r="AT144" s="50">
        <v>0.0</v>
      </c>
      <c r="AU144" s="50">
        <v>0.0</v>
      </c>
      <c r="AV144" s="116"/>
      <c r="AW144" s="116"/>
      <c r="AX144" s="116"/>
      <c r="AY144" s="116"/>
      <c r="AZ144" s="116"/>
      <c r="BA144" s="116"/>
      <c r="BB144" s="116"/>
      <c r="BC144" s="116"/>
      <c r="BD144" s="116"/>
      <c r="BE144" s="116"/>
      <c r="BF144" s="116"/>
      <c r="BG144" s="116"/>
      <c r="BH144" s="116"/>
      <c r="BI144" s="116"/>
      <c r="BJ144" s="116"/>
      <c r="BK144" s="116"/>
      <c r="BL144" s="116"/>
      <c r="BM144" s="116"/>
      <c r="BN144" s="116"/>
      <c r="BO144" s="116"/>
      <c r="BP144" s="116"/>
      <c r="BQ144" s="116"/>
      <c r="BR144" s="116"/>
      <c r="BS144" s="116"/>
      <c r="BT144" s="116"/>
      <c r="BU144" s="116"/>
      <c r="BV144" s="116"/>
      <c r="BW144" s="116"/>
      <c r="BX144" s="116"/>
      <c r="BY144" s="116"/>
      <c r="BZ144" s="116"/>
      <c r="CA144" s="116"/>
      <c r="CB144" s="116"/>
      <c r="CC144" s="50" t="s">
        <v>14246</v>
      </c>
      <c r="CD144" s="50" t="s">
        <v>14054</v>
      </c>
      <c r="CE144" s="50">
        <v>1.0</v>
      </c>
      <c r="CF144" s="50" t="s">
        <v>14206</v>
      </c>
      <c r="CG144" s="117">
        <v>4692.0</v>
      </c>
      <c r="CH144" s="50" t="s">
        <v>14250</v>
      </c>
      <c r="CI144" s="50" t="s">
        <v>14251</v>
      </c>
      <c r="CJ144" s="117">
        <v>143.0</v>
      </c>
    </row>
    <row r="145">
      <c r="A145" s="50" t="s">
        <v>14213</v>
      </c>
      <c r="B145" s="50" t="s">
        <v>6876</v>
      </c>
      <c r="C145" s="50" t="s">
        <v>6877</v>
      </c>
      <c r="D145" s="50" t="s">
        <v>8493</v>
      </c>
      <c r="E145" s="50" t="s">
        <v>14255</v>
      </c>
      <c r="F145" s="50">
        <v>59.0</v>
      </c>
      <c r="G145" s="50">
        <v>1.0</v>
      </c>
      <c r="H145" s="50">
        <v>11.0</v>
      </c>
      <c r="I145" s="116"/>
      <c r="J145" s="116"/>
      <c r="K145" s="50" t="s">
        <v>1430</v>
      </c>
      <c r="L145" s="50" t="s">
        <v>1430</v>
      </c>
      <c r="M145" s="50" t="s">
        <v>14166</v>
      </c>
      <c r="N145" s="50" t="s">
        <v>14169</v>
      </c>
      <c r="O145" s="50" t="s">
        <v>14170</v>
      </c>
      <c r="P145" s="50">
        <v>4.0</v>
      </c>
      <c r="Q145" s="116"/>
      <c r="R145" s="116"/>
      <c r="S145" s="50">
        <v>7.0</v>
      </c>
      <c r="T145" s="50">
        <v>1000.0</v>
      </c>
      <c r="U145" s="50">
        <v>3.0</v>
      </c>
      <c r="V145" s="50">
        <v>83.0</v>
      </c>
      <c r="W145" s="50">
        <v>7.0</v>
      </c>
      <c r="X145" s="50">
        <v>100.0</v>
      </c>
      <c r="Y145" s="50">
        <v>3.0</v>
      </c>
      <c r="Z145" s="50">
        <v>13.0</v>
      </c>
      <c r="AA145" s="50">
        <v>1.0</v>
      </c>
      <c r="AB145" s="50">
        <v>4.0</v>
      </c>
      <c r="AC145" s="50">
        <v>1000.0</v>
      </c>
      <c r="AD145" s="50">
        <v>3.0</v>
      </c>
      <c r="AE145" s="50">
        <v>0.0</v>
      </c>
      <c r="AF145" s="116"/>
      <c r="AG145" s="116"/>
      <c r="AH145" s="50">
        <v>7.0</v>
      </c>
      <c r="AI145" s="50">
        <v>1000.0</v>
      </c>
      <c r="AJ145" s="50">
        <v>3.0</v>
      </c>
      <c r="AK145" s="50">
        <v>1.0</v>
      </c>
      <c r="AL145" s="50">
        <v>7.0</v>
      </c>
      <c r="AM145" s="50">
        <v>100.0</v>
      </c>
      <c r="AN145" s="50">
        <v>3.0</v>
      </c>
      <c r="AO145" s="50">
        <v>0.0</v>
      </c>
      <c r="AP145" s="50">
        <v>1.0</v>
      </c>
      <c r="AQ145" s="50">
        <v>7.0</v>
      </c>
      <c r="AR145" s="50">
        <v>5000.0</v>
      </c>
      <c r="AS145" s="50">
        <v>3.0</v>
      </c>
      <c r="AT145" s="50">
        <v>3.0</v>
      </c>
      <c r="AU145" s="50">
        <v>0.0</v>
      </c>
      <c r="AV145" s="116"/>
      <c r="AW145" s="116"/>
      <c r="AX145" s="116"/>
      <c r="AY145" s="116"/>
      <c r="AZ145" s="116"/>
      <c r="BA145" s="116"/>
      <c r="BB145" s="116"/>
      <c r="BC145" s="116"/>
      <c r="BD145" s="116"/>
      <c r="BE145" s="116"/>
      <c r="BF145" s="116"/>
      <c r="BG145" s="116"/>
      <c r="BH145" s="116"/>
      <c r="BI145" s="116"/>
      <c r="BJ145" s="116"/>
      <c r="BK145" s="116"/>
      <c r="BL145" s="116"/>
      <c r="BM145" s="116"/>
      <c r="BN145" s="116"/>
      <c r="BO145" s="116"/>
      <c r="BP145" s="116"/>
      <c r="BQ145" s="116"/>
      <c r="BR145" s="116"/>
      <c r="BS145" s="116"/>
      <c r="BT145" s="116"/>
      <c r="BU145" s="116"/>
      <c r="BV145" s="116"/>
      <c r="BW145" s="116"/>
      <c r="BX145" s="116"/>
      <c r="BY145" s="116"/>
      <c r="BZ145" s="116"/>
      <c r="CA145" s="116"/>
      <c r="CB145" s="116"/>
      <c r="CC145" s="50" t="s">
        <v>14283</v>
      </c>
      <c r="CD145" s="50" t="s">
        <v>14054</v>
      </c>
      <c r="CE145" s="50">
        <v>1.0</v>
      </c>
      <c r="CF145" s="50" t="s">
        <v>14206</v>
      </c>
      <c r="CG145" s="117">
        <v>4693.0</v>
      </c>
      <c r="CH145" s="50" t="s">
        <v>14291</v>
      </c>
      <c r="CI145" s="50" t="s">
        <v>14292</v>
      </c>
      <c r="CJ145" s="117">
        <v>144.0</v>
      </c>
    </row>
    <row r="146">
      <c r="A146" s="50" t="s">
        <v>14294</v>
      </c>
      <c r="B146" s="50" t="s">
        <v>6876</v>
      </c>
      <c r="C146" s="50" t="s">
        <v>6877</v>
      </c>
      <c r="D146" s="50" t="s">
        <v>8493</v>
      </c>
      <c r="E146" s="50" t="s">
        <v>14297</v>
      </c>
      <c r="F146" s="50">
        <v>59.0</v>
      </c>
      <c r="G146" s="50">
        <v>1.0</v>
      </c>
      <c r="H146" s="50">
        <v>11.0</v>
      </c>
      <c r="I146" s="116"/>
      <c r="J146" s="116"/>
      <c r="K146" s="50" t="s">
        <v>1434</v>
      </c>
      <c r="L146" s="50" t="s">
        <v>1434</v>
      </c>
      <c r="M146" s="50" t="s">
        <v>14166</v>
      </c>
      <c r="N146" s="50" t="s">
        <v>14169</v>
      </c>
      <c r="O146" s="50" t="s">
        <v>14170</v>
      </c>
      <c r="P146" s="50">
        <v>4.0</v>
      </c>
      <c r="Q146" s="116"/>
      <c r="R146" s="116"/>
      <c r="S146" s="50">
        <v>7.0</v>
      </c>
      <c r="T146" s="50">
        <v>1000.0</v>
      </c>
      <c r="U146" s="50">
        <v>3.0</v>
      </c>
      <c r="V146" s="50">
        <v>0.0</v>
      </c>
      <c r="W146" s="50">
        <v>7.0</v>
      </c>
      <c r="X146" s="50">
        <v>100.0</v>
      </c>
      <c r="Y146" s="50">
        <v>3.0</v>
      </c>
      <c r="Z146" s="50">
        <v>57.0</v>
      </c>
      <c r="AA146" s="50">
        <v>1.0</v>
      </c>
      <c r="AB146" s="50">
        <v>4.0</v>
      </c>
      <c r="AC146" s="50">
        <v>1000.0</v>
      </c>
      <c r="AD146" s="50">
        <v>3.0</v>
      </c>
      <c r="AE146" s="50">
        <v>1.0</v>
      </c>
      <c r="AF146" s="116"/>
      <c r="AG146" s="116"/>
      <c r="AH146" s="50">
        <v>7.0</v>
      </c>
      <c r="AI146" s="50">
        <v>1000.0</v>
      </c>
      <c r="AJ146" s="50">
        <v>3.0</v>
      </c>
      <c r="AK146" s="50">
        <v>0.0</v>
      </c>
      <c r="AL146" s="50">
        <v>7.0</v>
      </c>
      <c r="AM146" s="50">
        <v>100.0</v>
      </c>
      <c r="AN146" s="50">
        <v>3.0</v>
      </c>
      <c r="AO146" s="50">
        <v>0.0</v>
      </c>
      <c r="AP146" s="50">
        <v>1.0</v>
      </c>
      <c r="AQ146" s="50">
        <v>7.0</v>
      </c>
      <c r="AR146" s="50">
        <v>5000.0</v>
      </c>
      <c r="AS146" s="50">
        <v>3.0</v>
      </c>
      <c r="AT146" s="50">
        <v>0.0</v>
      </c>
      <c r="AU146" s="50">
        <v>0.0</v>
      </c>
      <c r="AV146" s="116"/>
      <c r="AW146" s="116"/>
      <c r="AX146" s="116"/>
      <c r="AY146" s="116"/>
      <c r="AZ146" s="116"/>
      <c r="BA146" s="116"/>
      <c r="BB146" s="116"/>
      <c r="BC146" s="116"/>
      <c r="BD146" s="116"/>
      <c r="BE146" s="116"/>
      <c r="BF146" s="116"/>
      <c r="BG146" s="116"/>
      <c r="BH146" s="116"/>
      <c r="BI146" s="116"/>
      <c r="BJ146" s="116"/>
      <c r="BK146" s="116"/>
      <c r="BL146" s="116"/>
      <c r="BM146" s="116"/>
      <c r="BN146" s="116"/>
      <c r="BO146" s="116"/>
      <c r="BP146" s="116"/>
      <c r="BQ146" s="116"/>
      <c r="BR146" s="116"/>
      <c r="BS146" s="116"/>
      <c r="BT146" s="116"/>
      <c r="BU146" s="116"/>
      <c r="BV146" s="116"/>
      <c r="BW146" s="116"/>
      <c r="BX146" s="116"/>
      <c r="BY146" s="116"/>
      <c r="BZ146" s="116"/>
      <c r="CA146" s="116"/>
      <c r="CB146" s="116"/>
      <c r="CC146" s="50" t="s">
        <v>14324</v>
      </c>
      <c r="CD146" s="50" t="s">
        <v>14054</v>
      </c>
      <c r="CE146" s="50">
        <v>1.0</v>
      </c>
      <c r="CF146" s="50" t="s">
        <v>14206</v>
      </c>
      <c r="CG146" s="117">
        <v>4694.0</v>
      </c>
      <c r="CH146" s="50" t="s">
        <v>14327</v>
      </c>
      <c r="CI146" s="50" t="s">
        <v>14328</v>
      </c>
      <c r="CJ146" s="117">
        <v>145.0</v>
      </c>
    </row>
    <row r="147">
      <c r="A147" s="50" t="s">
        <v>14329</v>
      </c>
      <c r="B147" s="50" t="s">
        <v>6876</v>
      </c>
      <c r="C147" s="50" t="s">
        <v>6877</v>
      </c>
      <c r="D147" s="50" t="s">
        <v>8493</v>
      </c>
      <c r="E147" s="50" t="s">
        <v>14331</v>
      </c>
      <c r="F147" s="50">
        <v>59.0</v>
      </c>
      <c r="G147" s="50">
        <v>1.0</v>
      </c>
      <c r="H147" s="50">
        <v>11.0</v>
      </c>
      <c r="I147" s="116"/>
      <c r="J147" s="116"/>
      <c r="K147" s="50" t="s">
        <v>1438</v>
      </c>
      <c r="L147" s="50" t="s">
        <v>1438</v>
      </c>
      <c r="M147" s="50" t="s">
        <v>14166</v>
      </c>
      <c r="N147" s="50" t="s">
        <v>14169</v>
      </c>
      <c r="O147" s="50" t="s">
        <v>14170</v>
      </c>
      <c r="P147" s="116"/>
      <c r="Q147" s="116"/>
      <c r="R147" s="116"/>
      <c r="S147" s="50">
        <v>7.0</v>
      </c>
      <c r="T147" s="50">
        <v>1000.0</v>
      </c>
      <c r="U147" s="50">
        <v>3.0</v>
      </c>
      <c r="V147" s="50">
        <v>0.0</v>
      </c>
      <c r="W147" s="50">
        <v>7.0</v>
      </c>
      <c r="X147" s="50">
        <v>100.0</v>
      </c>
      <c r="Y147" s="50">
        <v>1.0</v>
      </c>
      <c r="Z147" s="116"/>
      <c r="AA147" s="50">
        <v>1.0</v>
      </c>
      <c r="AB147" s="50">
        <v>4.0</v>
      </c>
      <c r="AC147" s="50">
        <v>1000.0</v>
      </c>
      <c r="AD147" s="50">
        <v>3.0</v>
      </c>
      <c r="AE147" s="50">
        <v>4.0</v>
      </c>
      <c r="AF147" s="116"/>
      <c r="AG147" s="116"/>
      <c r="AH147" s="50">
        <v>7.0</v>
      </c>
      <c r="AI147" s="50">
        <v>1000.0</v>
      </c>
      <c r="AJ147" s="50">
        <v>3.0</v>
      </c>
      <c r="AK147" s="50">
        <v>0.0</v>
      </c>
      <c r="AL147" s="50">
        <v>7.0</v>
      </c>
      <c r="AM147" s="50">
        <v>100.0</v>
      </c>
      <c r="AN147" s="50">
        <v>3.0</v>
      </c>
      <c r="AO147" s="50">
        <v>0.0</v>
      </c>
      <c r="AP147" s="50">
        <v>1.0</v>
      </c>
      <c r="AQ147" s="50">
        <v>7.0</v>
      </c>
      <c r="AR147" s="50">
        <v>5000.0</v>
      </c>
      <c r="AS147" s="50">
        <v>3.0</v>
      </c>
      <c r="AT147" s="50">
        <v>0.0</v>
      </c>
      <c r="AU147" s="50">
        <v>0.0</v>
      </c>
      <c r="AV147" s="116"/>
      <c r="AW147" s="116"/>
      <c r="AX147" s="116"/>
      <c r="AY147" s="116"/>
      <c r="AZ147" s="116"/>
      <c r="BA147" s="116"/>
      <c r="BB147" s="116"/>
      <c r="BC147" s="116"/>
      <c r="BD147" s="116"/>
      <c r="BE147" s="116"/>
      <c r="BF147" s="116"/>
      <c r="BG147" s="116"/>
      <c r="BH147" s="116"/>
      <c r="BI147" s="116"/>
      <c r="BJ147" s="116"/>
      <c r="BK147" s="116"/>
      <c r="BL147" s="116"/>
      <c r="BM147" s="116"/>
      <c r="BN147" s="116"/>
      <c r="BO147" s="116"/>
      <c r="BP147" s="116"/>
      <c r="BQ147" s="116"/>
      <c r="BR147" s="116"/>
      <c r="BS147" s="116"/>
      <c r="BT147" s="116"/>
      <c r="BU147" s="116"/>
      <c r="BV147" s="116"/>
      <c r="BW147" s="116"/>
      <c r="BX147" s="116"/>
      <c r="BY147" s="116"/>
      <c r="BZ147" s="116"/>
      <c r="CA147" s="116"/>
      <c r="CB147" s="116"/>
      <c r="CC147" s="50" t="s">
        <v>14367</v>
      </c>
      <c r="CD147" s="50" t="s">
        <v>14054</v>
      </c>
      <c r="CE147" s="50">
        <v>1.0</v>
      </c>
      <c r="CF147" s="50" t="s">
        <v>14206</v>
      </c>
      <c r="CG147" s="117">
        <v>4695.0</v>
      </c>
      <c r="CH147" s="50" t="s">
        <v>14369</v>
      </c>
      <c r="CI147" s="50" t="s">
        <v>14370</v>
      </c>
      <c r="CJ147" s="117">
        <v>146.0</v>
      </c>
    </row>
    <row r="148">
      <c r="A148" s="50" t="s">
        <v>14375</v>
      </c>
      <c r="B148" s="50" t="s">
        <v>6876</v>
      </c>
      <c r="C148" s="50" t="s">
        <v>6877</v>
      </c>
      <c r="D148" s="50" t="s">
        <v>8493</v>
      </c>
      <c r="E148" s="50" t="s">
        <v>14379</v>
      </c>
      <c r="F148" s="50">
        <v>58.0</v>
      </c>
      <c r="G148" s="50">
        <v>1.0</v>
      </c>
      <c r="H148" s="50">
        <v>14.0</v>
      </c>
      <c r="I148" s="50">
        <v>141.0</v>
      </c>
      <c r="J148" s="116"/>
      <c r="K148" s="50" t="s">
        <v>223</v>
      </c>
      <c r="L148" s="50" t="s">
        <v>223</v>
      </c>
      <c r="M148" s="50" t="s">
        <v>10660</v>
      </c>
      <c r="N148" s="50" t="s">
        <v>14385</v>
      </c>
      <c r="O148" s="50" t="s">
        <v>14386</v>
      </c>
      <c r="P148" s="116"/>
      <c r="Q148" s="116"/>
      <c r="R148" s="116"/>
      <c r="S148" s="50">
        <v>7.0</v>
      </c>
      <c r="T148" s="50">
        <v>1000.0</v>
      </c>
      <c r="U148" s="50">
        <v>3.0</v>
      </c>
      <c r="V148" s="50">
        <v>0.0</v>
      </c>
      <c r="W148" s="50">
        <v>7.0</v>
      </c>
      <c r="X148" s="50">
        <v>100.0</v>
      </c>
      <c r="Y148" s="50">
        <v>3.0</v>
      </c>
      <c r="Z148" s="50">
        <v>0.0</v>
      </c>
      <c r="AA148" s="50">
        <v>0.0</v>
      </c>
      <c r="AB148" s="116"/>
      <c r="AC148" s="116"/>
      <c r="AD148" s="116"/>
      <c r="AE148" s="116"/>
      <c r="AF148" s="116"/>
      <c r="AG148" s="116"/>
      <c r="AH148" s="50">
        <v>7.0</v>
      </c>
      <c r="AI148" s="50">
        <v>1000.0</v>
      </c>
      <c r="AJ148" s="50">
        <v>3.0</v>
      </c>
      <c r="AK148" s="50">
        <v>0.0</v>
      </c>
      <c r="AL148" s="50">
        <v>7.0</v>
      </c>
      <c r="AM148" s="50">
        <v>100.0</v>
      </c>
      <c r="AN148" s="50">
        <v>3.0</v>
      </c>
      <c r="AO148" s="50">
        <v>0.0</v>
      </c>
      <c r="AP148" s="50">
        <v>0.0</v>
      </c>
      <c r="AQ148" s="116"/>
      <c r="AR148" s="116"/>
      <c r="AS148" s="116"/>
      <c r="AT148" s="116"/>
      <c r="AU148" s="50">
        <v>0.0</v>
      </c>
      <c r="AV148" s="116"/>
      <c r="AW148" s="116"/>
      <c r="AX148" s="116"/>
      <c r="AY148" s="116"/>
      <c r="AZ148" s="116"/>
      <c r="BA148" s="116"/>
      <c r="BB148" s="116"/>
      <c r="BC148" s="116"/>
      <c r="BD148" s="116"/>
      <c r="BE148" s="116"/>
      <c r="BF148" s="116"/>
      <c r="BG148" s="116"/>
      <c r="BH148" s="116"/>
      <c r="BI148" s="116"/>
      <c r="BJ148" s="116"/>
      <c r="BK148" s="116"/>
      <c r="BL148" s="116"/>
      <c r="BM148" s="116"/>
      <c r="BN148" s="116"/>
      <c r="BO148" s="116"/>
      <c r="BP148" s="116"/>
      <c r="BQ148" s="116"/>
      <c r="BR148" s="116"/>
      <c r="BS148" s="116"/>
      <c r="BT148" s="116"/>
      <c r="BU148" s="116"/>
      <c r="BV148" s="116"/>
      <c r="BW148" s="116"/>
      <c r="BX148" s="116"/>
      <c r="BY148" s="116"/>
      <c r="BZ148" s="116"/>
      <c r="CA148" s="116"/>
      <c r="CB148" s="116"/>
      <c r="CC148" s="116"/>
      <c r="CD148" s="50" t="s">
        <v>14054</v>
      </c>
      <c r="CE148" s="50">
        <v>1.0</v>
      </c>
      <c r="CF148" s="50" t="s">
        <v>14206</v>
      </c>
      <c r="CG148" s="117">
        <v>4896.0</v>
      </c>
      <c r="CH148" s="50" t="s">
        <v>14409</v>
      </c>
      <c r="CI148" s="50" t="s">
        <v>14410</v>
      </c>
      <c r="CJ148" s="117">
        <v>147.0</v>
      </c>
    </row>
    <row r="149">
      <c r="A149" s="50" t="s">
        <v>14411</v>
      </c>
      <c r="B149" s="50" t="s">
        <v>6876</v>
      </c>
      <c r="C149" s="50" t="s">
        <v>6877</v>
      </c>
      <c r="D149" s="50" t="s">
        <v>8493</v>
      </c>
      <c r="E149" s="50" t="s">
        <v>14412</v>
      </c>
      <c r="F149" s="50">
        <v>58.0</v>
      </c>
      <c r="G149" s="50">
        <v>1.0</v>
      </c>
      <c r="H149" s="50">
        <v>14.0</v>
      </c>
      <c r="I149" s="50">
        <v>143.0</v>
      </c>
      <c r="J149" s="116"/>
      <c r="K149" s="50" t="s">
        <v>227</v>
      </c>
      <c r="L149" s="50" t="s">
        <v>227</v>
      </c>
      <c r="M149" s="50" t="s">
        <v>14416</v>
      </c>
      <c r="N149" s="50" t="s">
        <v>14385</v>
      </c>
      <c r="O149" s="50" t="s">
        <v>14386</v>
      </c>
      <c r="P149" s="116"/>
      <c r="Q149" s="116"/>
      <c r="R149" s="116"/>
      <c r="S149" s="50">
        <v>7.0</v>
      </c>
      <c r="T149" s="50">
        <v>1000.0</v>
      </c>
      <c r="U149" s="50">
        <v>3.0</v>
      </c>
      <c r="V149" s="50">
        <v>0.0</v>
      </c>
      <c r="W149" s="50">
        <v>7.0</v>
      </c>
      <c r="X149" s="50">
        <v>100.0</v>
      </c>
      <c r="Y149" s="50">
        <v>3.0</v>
      </c>
      <c r="Z149" s="50">
        <v>0.0</v>
      </c>
      <c r="AA149" s="50">
        <v>0.0</v>
      </c>
      <c r="AB149" s="116"/>
      <c r="AC149" s="116"/>
      <c r="AD149" s="116"/>
      <c r="AE149" s="116"/>
      <c r="AF149" s="116"/>
      <c r="AG149" s="116"/>
      <c r="AH149" s="50">
        <v>7.0</v>
      </c>
      <c r="AI149" s="50">
        <v>1000.0</v>
      </c>
      <c r="AJ149" s="50">
        <v>3.0</v>
      </c>
      <c r="AK149" s="50">
        <v>3.0</v>
      </c>
      <c r="AL149" s="50">
        <v>7.0</v>
      </c>
      <c r="AM149" s="50">
        <v>100.0</v>
      </c>
      <c r="AN149" s="50">
        <v>3.0</v>
      </c>
      <c r="AO149" s="50">
        <v>0.0</v>
      </c>
      <c r="AP149" s="50">
        <v>0.0</v>
      </c>
      <c r="AQ149" s="116"/>
      <c r="AR149" s="116"/>
      <c r="AS149" s="116"/>
      <c r="AT149" s="116"/>
      <c r="AU149" s="50">
        <v>0.0</v>
      </c>
      <c r="AV149" s="116"/>
      <c r="AW149" s="116"/>
      <c r="AX149" s="116"/>
      <c r="AY149" s="116"/>
      <c r="AZ149" s="116"/>
      <c r="BA149" s="116"/>
      <c r="BB149" s="116"/>
      <c r="BC149" s="116"/>
      <c r="BD149" s="116"/>
      <c r="BE149" s="116"/>
      <c r="BF149" s="116"/>
      <c r="BG149" s="116"/>
      <c r="BH149" s="116"/>
      <c r="BI149" s="116"/>
      <c r="BJ149" s="116"/>
      <c r="BK149" s="116"/>
      <c r="BL149" s="116"/>
      <c r="BM149" s="116"/>
      <c r="BN149" s="116"/>
      <c r="BO149" s="116"/>
      <c r="BP149" s="116"/>
      <c r="BQ149" s="116"/>
      <c r="BR149" s="116"/>
      <c r="BS149" s="116"/>
      <c r="BT149" s="116"/>
      <c r="BU149" s="116"/>
      <c r="BV149" s="116"/>
      <c r="BW149" s="116"/>
      <c r="BX149" s="116"/>
      <c r="BY149" s="116"/>
      <c r="BZ149" s="116"/>
      <c r="CA149" s="116"/>
      <c r="CB149" s="116"/>
      <c r="CC149" s="116"/>
      <c r="CD149" s="50" t="s">
        <v>14054</v>
      </c>
      <c r="CE149" s="50">
        <v>1.0</v>
      </c>
      <c r="CF149" s="50" t="s">
        <v>14206</v>
      </c>
      <c r="CG149" s="117">
        <v>4897.0</v>
      </c>
      <c r="CH149" s="50" t="s">
        <v>14431</v>
      </c>
      <c r="CI149" s="50" t="s">
        <v>14432</v>
      </c>
      <c r="CJ149" s="117">
        <v>148.0</v>
      </c>
    </row>
    <row r="150">
      <c r="A150" s="50" t="s">
        <v>14412</v>
      </c>
      <c r="B150" s="50" t="s">
        <v>6876</v>
      </c>
      <c r="C150" s="50" t="s">
        <v>6877</v>
      </c>
      <c r="D150" s="50" t="s">
        <v>8493</v>
      </c>
      <c r="E150" s="50" t="s">
        <v>14433</v>
      </c>
      <c r="F150" s="50">
        <v>59.0</v>
      </c>
      <c r="G150" s="50">
        <v>1.0</v>
      </c>
      <c r="H150" s="50">
        <v>11.0</v>
      </c>
      <c r="I150" s="116"/>
      <c r="J150" s="116"/>
      <c r="K150" s="50" t="s">
        <v>1473</v>
      </c>
      <c r="L150" s="50" t="s">
        <v>1473</v>
      </c>
      <c r="M150" s="50" t="s">
        <v>10660</v>
      </c>
      <c r="N150" s="50" t="s">
        <v>10742</v>
      </c>
      <c r="O150" s="50" t="s">
        <v>14435</v>
      </c>
      <c r="P150" s="50">
        <v>4.0</v>
      </c>
      <c r="Q150" s="116"/>
      <c r="R150" s="116"/>
      <c r="S150" s="50">
        <v>7.0</v>
      </c>
      <c r="T150" s="50">
        <v>1000.0</v>
      </c>
      <c r="U150" s="50">
        <v>1.0</v>
      </c>
      <c r="V150" s="116"/>
      <c r="W150" s="50">
        <v>7.0</v>
      </c>
      <c r="X150" s="50">
        <v>100.0</v>
      </c>
      <c r="Y150" s="50">
        <v>3.0</v>
      </c>
      <c r="Z150" s="50">
        <v>92.0</v>
      </c>
      <c r="AA150" s="50">
        <v>1.0</v>
      </c>
      <c r="AB150" s="50">
        <v>4.0</v>
      </c>
      <c r="AC150" s="50">
        <v>1000.0</v>
      </c>
      <c r="AD150" s="50">
        <v>3.0</v>
      </c>
      <c r="AE150" s="50">
        <v>1.0</v>
      </c>
      <c r="AF150" s="116"/>
      <c r="AG150" s="116"/>
      <c r="AH150" s="50">
        <v>7.0</v>
      </c>
      <c r="AI150" s="50">
        <v>1000.0</v>
      </c>
      <c r="AJ150" s="50">
        <v>1.0</v>
      </c>
      <c r="AK150" s="116"/>
      <c r="AL150" s="50">
        <v>7.0</v>
      </c>
      <c r="AM150" s="50">
        <v>100.0</v>
      </c>
      <c r="AN150" s="50">
        <v>3.0</v>
      </c>
      <c r="AO150" s="50">
        <v>28.0</v>
      </c>
      <c r="AP150" s="50">
        <v>0.0</v>
      </c>
      <c r="AQ150" s="116"/>
      <c r="AR150" s="116"/>
      <c r="AS150" s="116"/>
      <c r="AT150" s="116"/>
      <c r="AU150" s="50">
        <v>0.0</v>
      </c>
      <c r="AV150" s="116"/>
      <c r="AW150" s="116"/>
      <c r="AX150" s="116"/>
      <c r="AY150" s="116"/>
      <c r="AZ150" s="116"/>
      <c r="BA150" s="116"/>
      <c r="BB150" s="116"/>
      <c r="BC150" s="116"/>
      <c r="BD150" s="116"/>
      <c r="BE150" s="116"/>
      <c r="BF150" s="116"/>
      <c r="BG150" s="116"/>
      <c r="BH150" s="116"/>
      <c r="BI150" s="116"/>
      <c r="BJ150" s="116"/>
      <c r="BK150" s="116"/>
      <c r="BL150" s="116"/>
      <c r="BM150" s="116"/>
      <c r="BN150" s="116"/>
      <c r="BO150" s="116"/>
      <c r="BP150" s="116"/>
      <c r="BQ150" s="116"/>
      <c r="BR150" s="116"/>
      <c r="BS150" s="116"/>
      <c r="BT150" s="116"/>
      <c r="BU150" s="116"/>
      <c r="BV150" s="116"/>
      <c r="BW150" s="116"/>
      <c r="BX150" s="116"/>
      <c r="BY150" s="116"/>
      <c r="BZ150" s="116"/>
      <c r="CA150" s="116"/>
      <c r="CB150" s="116"/>
      <c r="CC150" s="50" t="s">
        <v>14445</v>
      </c>
      <c r="CD150" s="50" t="s">
        <v>14054</v>
      </c>
      <c r="CE150" s="50">
        <v>1.0</v>
      </c>
      <c r="CF150" s="50" t="s">
        <v>14206</v>
      </c>
      <c r="CG150" s="117">
        <v>4898.0</v>
      </c>
      <c r="CH150" s="50" t="s">
        <v>14447</v>
      </c>
      <c r="CI150" s="50" t="s">
        <v>14448</v>
      </c>
      <c r="CJ150" s="117">
        <v>149.0</v>
      </c>
    </row>
    <row r="151">
      <c r="A151" s="50" t="s">
        <v>14450</v>
      </c>
      <c r="B151" s="50" t="s">
        <v>6876</v>
      </c>
      <c r="C151" s="50" t="s">
        <v>6877</v>
      </c>
      <c r="D151" s="50" t="s">
        <v>8493</v>
      </c>
      <c r="E151" s="50" t="s">
        <v>14452</v>
      </c>
      <c r="F151" s="50">
        <v>58.0</v>
      </c>
      <c r="G151" s="50">
        <v>1.0</v>
      </c>
      <c r="H151" s="50">
        <v>14.0</v>
      </c>
      <c r="I151" s="50">
        <v>144.0</v>
      </c>
      <c r="J151" s="116"/>
      <c r="K151" s="50" t="s">
        <v>229</v>
      </c>
      <c r="L151" s="50" t="s">
        <v>229</v>
      </c>
      <c r="M151" s="50" t="s">
        <v>10660</v>
      </c>
      <c r="N151" s="50" t="s">
        <v>10742</v>
      </c>
      <c r="O151" s="50" t="s">
        <v>14435</v>
      </c>
      <c r="P151" s="116"/>
      <c r="Q151" s="116"/>
      <c r="R151" s="116"/>
      <c r="S151" s="50">
        <v>7.0</v>
      </c>
      <c r="T151" s="50">
        <v>1000.0</v>
      </c>
      <c r="U151" s="50">
        <v>3.0</v>
      </c>
      <c r="V151" s="50">
        <v>0.0</v>
      </c>
      <c r="W151" s="50">
        <v>7.0</v>
      </c>
      <c r="X151" s="50">
        <v>100.0</v>
      </c>
      <c r="Y151" s="50">
        <v>3.0</v>
      </c>
      <c r="Z151" s="50">
        <v>0.0</v>
      </c>
      <c r="AA151" s="50">
        <v>0.0</v>
      </c>
      <c r="AB151" s="116"/>
      <c r="AC151" s="116"/>
      <c r="AD151" s="116"/>
      <c r="AE151" s="116"/>
      <c r="AF151" s="116"/>
      <c r="AG151" s="116"/>
      <c r="AH151" s="50">
        <v>7.0</v>
      </c>
      <c r="AI151" s="50">
        <v>1000.0</v>
      </c>
      <c r="AJ151" s="50">
        <v>3.0</v>
      </c>
      <c r="AK151" s="50">
        <v>0.0</v>
      </c>
      <c r="AL151" s="50">
        <v>7.0</v>
      </c>
      <c r="AM151" s="50">
        <v>100.0</v>
      </c>
      <c r="AN151" s="50">
        <v>3.0</v>
      </c>
      <c r="AO151" s="50">
        <v>0.0</v>
      </c>
      <c r="AP151" s="50">
        <v>0.0</v>
      </c>
      <c r="AQ151" s="116"/>
      <c r="AR151" s="116"/>
      <c r="AS151" s="116"/>
      <c r="AT151" s="116"/>
      <c r="AU151" s="50">
        <v>0.0</v>
      </c>
      <c r="AV151" s="116"/>
      <c r="AW151" s="116"/>
      <c r="AX151" s="116"/>
      <c r="AY151" s="116"/>
      <c r="AZ151" s="116"/>
      <c r="BA151" s="116"/>
      <c r="BB151" s="116"/>
      <c r="BC151" s="116"/>
      <c r="BD151" s="116"/>
      <c r="BE151" s="116"/>
      <c r="BF151" s="116"/>
      <c r="BG151" s="116"/>
      <c r="BH151" s="116"/>
      <c r="BI151" s="116"/>
      <c r="BJ151" s="116"/>
      <c r="BK151" s="116"/>
      <c r="BL151" s="116"/>
      <c r="BM151" s="116"/>
      <c r="BN151" s="116"/>
      <c r="BO151" s="116"/>
      <c r="BP151" s="116"/>
      <c r="BQ151" s="116"/>
      <c r="BR151" s="116"/>
      <c r="BS151" s="116"/>
      <c r="BT151" s="116"/>
      <c r="BU151" s="116"/>
      <c r="BV151" s="116"/>
      <c r="BW151" s="116"/>
      <c r="BX151" s="116"/>
      <c r="BY151" s="116"/>
      <c r="BZ151" s="116"/>
      <c r="CA151" s="116"/>
      <c r="CB151" s="116"/>
      <c r="CC151" s="116"/>
      <c r="CD151" s="145">
        <v>43503.0</v>
      </c>
      <c r="CE151" s="50">
        <v>1.0</v>
      </c>
      <c r="CF151" s="50" t="s">
        <v>14206</v>
      </c>
      <c r="CG151" s="117">
        <v>4899.0</v>
      </c>
      <c r="CH151" s="50" t="s">
        <v>14487</v>
      </c>
      <c r="CI151" s="50" t="s">
        <v>14488</v>
      </c>
      <c r="CJ151" s="117">
        <v>150.0</v>
      </c>
    </row>
    <row r="152">
      <c r="A152" s="50" t="s">
        <v>14452</v>
      </c>
      <c r="B152" s="50" t="s">
        <v>6876</v>
      </c>
      <c r="C152" s="50" t="s">
        <v>6877</v>
      </c>
      <c r="D152" s="50" t="s">
        <v>8493</v>
      </c>
      <c r="E152" s="50" t="s">
        <v>14489</v>
      </c>
      <c r="F152" s="50">
        <v>58.0</v>
      </c>
      <c r="G152" s="50">
        <v>1.0</v>
      </c>
      <c r="H152" s="50">
        <v>14.0</v>
      </c>
      <c r="I152" s="50">
        <v>142.0</v>
      </c>
      <c r="J152" s="116"/>
      <c r="K152" s="50" t="s">
        <v>225</v>
      </c>
      <c r="L152" s="50" t="s">
        <v>225</v>
      </c>
      <c r="M152" s="50" t="s">
        <v>10660</v>
      </c>
      <c r="N152" s="50" t="s">
        <v>10742</v>
      </c>
      <c r="O152" s="50" t="s">
        <v>14435</v>
      </c>
      <c r="P152" s="116"/>
      <c r="Q152" s="116"/>
      <c r="R152" s="116"/>
      <c r="S152" s="50">
        <v>7.0</v>
      </c>
      <c r="T152" s="50">
        <v>1000.0</v>
      </c>
      <c r="U152" s="50">
        <v>3.0</v>
      </c>
      <c r="V152" s="50">
        <v>0.0</v>
      </c>
      <c r="W152" s="50">
        <v>7.0</v>
      </c>
      <c r="X152" s="50">
        <v>100.0</v>
      </c>
      <c r="Y152" s="50">
        <v>3.0</v>
      </c>
      <c r="Z152" s="50">
        <v>0.0</v>
      </c>
      <c r="AA152" s="50">
        <v>0.0</v>
      </c>
      <c r="AB152" s="116"/>
      <c r="AC152" s="116"/>
      <c r="AD152" s="116"/>
      <c r="AE152" s="116"/>
      <c r="AF152" s="116"/>
      <c r="AG152" s="116"/>
      <c r="AH152" s="50">
        <v>7.0</v>
      </c>
      <c r="AI152" s="50">
        <v>1000.0</v>
      </c>
      <c r="AJ152" s="50">
        <v>3.0</v>
      </c>
      <c r="AK152" s="50">
        <v>0.0</v>
      </c>
      <c r="AL152" s="50">
        <v>7.0</v>
      </c>
      <c r="AM152" s="50">
        <v>100.0</v>
      </c>
      <c r="AN152" s="50">
        <v>3.0</v>
      </c>
      <c r="AO152" s="50">
        <v>0.0</v>
      </c>
      <c r="AP152" s="50">
        <v>0.0</v>
      </c>
      <c r="AQ152" s="116"/>
      <c r="AR152" s="116"/>
      <c r="AS152" s="116"/>
      <c r="AT152" s="116"/>
      <c r="AU152" s="50">
        <v>0.0</v>
      </c>
      <c r="AV152" s="116"/>
      <c r="AW152" s="116"/>
      <c r="AX152" s="116"/>
      <c r="AY152" s="116"/>
      <c r="AZ152" s="116"/>
      <c r="BA152" s="116"/>
      <c r="BB152" s="116"/>
      <c r="BC152" s="116"/>
      <c r="BD152" s="116"/>
      <c r="BE152" s="116"/>
      <c r="BF152" s="116"/>
      <c r="BG152" s="116"/>
      <c r="BH152" s="116"/>
      <c r="BI152" s="116"/>
      <c r="BJ152" s="116"/>
      <c r="BK152" s="116"/>
      <c r="BL152" s="116"/>
      <c r="BM152" s="116"/>
      <c r="BN152" s="116"/>
      <c r="BO152" s="116"/>
      <c r="BP152" s="116"/>
      <c r="BQ152" s="116"/>
      <c r="BR152" s="116"/>
      <c r="BS152" s="116"/>
      <c r="BT152" s="116"/>
      <c r="BU152" s="116"/>
      <c r="BV152" s="116"/>
      <c r="BW152" s="116"/>
      <c r="BX152" s="116"/>
      <c r="BY152" s="116"/>
      <c r="BZ152" s="116"/>
      <c r="CA152" s="116"/>
      <c r="CB152" s="116"/>
      <c r="CC152" s="116"/>
      <c r="CD152" s="145">
        <v>43503.0</v>
      </c>
      <c r="CE152" s="50">
        <v>1.0</v>
      </c>
      <c r="CF152" s="50" t="s">
        <v>14206</v>
      </c>
      <c r="CG152" s="117">
        <v>4900.0</v>
      </c>
      <c r="CH152" s="50" t="s">
        <v>14513</v>
      </c>
      <c r="CI152" s="50" t="s">
        <v>14515</v>
      </c>
      <c r="CJ152" s="117">
        <v>151.0</v>
      </c>
    </row>
    <row r="153">
      <c r="A153" s="50" t="s">
        <v>14489</v>
      </c>
      <c r="B153" s="50" t="s">
        <v>6876</v>
      </c>
      <c r="C153" s="50" t="s">
        <v>6877</v>
      </c>
      <c r="D153" s="50" t="s">
        <v>8493</v>
      </c>
      <c r="E153" s="50" t="s">
        <v>14520</v>
      </c>
      <c r="F153" s="50">
        <v>58.0</v>
      </c>
      <c r="G153" s="50">
        <v>1.0</v>
      </c>
      <c r="H153" s="50">
        <v>14.0</v>
      </c>
      <c r="I153" s="50">
        <v>145.0</v>
      </c>
      <c r="J153" s="116"/>
      <c r="K153" s="50" t="s">
        <v>231</v>
      </c>
      <c r="L153" s="50" t="s">
        <v>231</v>
      </c>
      <c r="M153" s="50" t="s">
        <v>10660</v>
      </c>
      <c r="N153" s="50" t="s">
        <v>10742</v>
      </c>
      <c r="O153" s="50" t="s">
        <v>14435</v>
      </c>
      <c r="P153" s="116"/>
      <c r="Q153" s="116"/>
      <c r="R153" s="116"/>
      <c r="S153" s="50">
        <v>7.0</v>
      </c>
      <c r="T153" s="50">
        <v>1000.0</v>
      </c>
      <c r="U153" s="50">
        <v>3.0</v>
      </c>
      <c r="V153" s="50">
        <v>0.0</v>
      </c>
      <c r="W153" s="50">
        <v>7.0</v>
      </c>
      <c r="X153" s="50">
        <v>100.0</v>
      </c>
      <c r="Y153" s="50">
        <v>3.0</v>
      </c>
      <c r="Z153" s="50">
        <v>0.0</v>
      </c>
      <c r="AA153" s="50">
        <v>0.0</v>
      </c>
      <c r="AB153" s="116"/>
      <c r="AC153" s="116"/>
      <c r="AD153" s="116"/>
      <c r="AE153" s="116"/>
      <c r="AF153" s="116"/>
      <c r="AG153" s="116"/>
      <c r="AH153" s="50">
        <v>7.0</v>
      </c>
      <c r="AI153" s="50">
        <v>1000.0</v>
      </c>
      <c r="AJ153" s="50">
        <v>3.0</v>
      </c>
      <c r="AK153" s="50">
        <v>0.0</v>
      </c>
      <c r="AL153" s="50">
        <v>7.0</v>
      </c>
      <c r="AM153" s="50">
        <v>100.0</v>
      </c>
      <c r="AN153" s="50">
        <v>3.0</v>
      </c>
      <c r="AO153" s="50">
        <v>0.0</v>
      </c>
      <c r="AP153" s="50">
        <v>0.0</v>
      </c>
      <c r="AQ153" s="116"/>
      <c r="AR153" s="116"/>
      <c r="AS153" s="116"/>
      <c r="AT153" s="116"/>
      <c r="AU153" s="50">
        <v>0.0</v>
      </c>
      <c r="AV153" s="116"/>
      <c r="AW153" s="116"/>
      <c r="AX153" s="116"/>
      <c r="AY153" s="116"/>
      <c r="AZ153" s="116"/>
      <c r="BA153" s="116"/>
      <c r="BB153" s="116"/>
      <c r="BC153" s="116"/>
      <c r="BD153" s="116"/>
      <c r="BE153" s="116"/>
      <c r="BF153" s="116"/>
      <c r="BG153" s="116"/>
      <c r="BH153" s="116"/>
      <c r="BI153" s="116"/>
      <c r="BJ153" s="116"/>
      <c r="BK153" s="116"/>
      <c r="BL153" s="116"/>
      <c r="BM153" s="116"/>
      <c r="BN153" s="116"/>
      <c r="BO153" s="116"/>
      <c r="BP153" s="116"/>
      <c r="BQ153" s="116"/>
      <c r="BR153" s="116"/>
      <c r="BS153" s="116"/>
      <c r="BT153" s="116"/>
      <c r="BU153" s="116"/>
      <c r="BV153" s="116"/>
      <c r="BW153" s="116"/>
      <c r="BX153" s="116"/>
      <c r="BY153" s="116"/>
      <c r="BZ153" s="116"/>
      <c r="CA153" s="116"/>
      <c r="CB153" s="116"/>
      <c r="CC153" s="116"/>
      <c r="CD153" s="145">
        <v>43503.0</v>
      </c>
      <c r="CE153" s="50">
        <v>1.0</v>
      </c>
      <c r="CF153" s="50" t="s">
        <v>14206</v>
      </c>
      <c r="CG153" s="117">
        <v>4901.0</v>
      </c>
      <c r="CH153" s="50" t="s">
        <v>14537</v>
      </c>
      <c r="CI153" s="50" t="s">
        <v>14538</v>
      </c>
      <c r="CJ153" s="117">
        <v>152.0</v>
      </c>
    </row>
    <row r="154">
      <c r="A154" s="50" t="s">
        <v>14520</v>
      </c>
      <c r="B154" s="50" t="s">
        <v>6876</v>
      </c>
      <c r="C154" s="50" t="s">
        <v>6877</v>
      </c>
      <c r="D154" s="50" t="s">
        <v>8493</v>
      </c>
      <c r="E154" s="50" t="s">
        <v>14540</v>
      </c>
      <c r="F154" s="50">
        <v>59.0</v>
      </c>
      <c r="G154" s="50">
        <v>1.0</v>
      </c>
      <c r="H154" s="50">
        <v>11.0</v>
      </c>
      <c r="I154" s="116"/>
      <c r="J154" s="116"/>
      <c r="K154" s="50" t="s">
        <v>1476</v>
      </c>
      <c r="L154" s="50" t="s">
        <v>1476</v>
      </c>
      <c r="M154" s="50" t="s">
        <v>10660</v>
      </c>
      <c r="N154" s="50" t="s">
        <v>10742</v>
      </c>
      <c r="O154" s="50" t="s">
        <v>14435</v>
      </c>
      <c r="P154" s="50">
        <v>4.0</v>
      </c>
      <c r="Q154" s="116"/>
      <c r="R154" s="116"/>
      <c r="S154" s="50">
        <v>7.0</v>
      </c>
      <c r="T154" s="50">
        <v>1000.0</v>
      </c>
      <c r="U154" s="50">
        <v>3.0</v>
      </c>
      <c r="V154" s="50">
        <v>0.0</v>
      </c>
      <c r="W154" s="50">
        <v>7.0</v>
      </c>
      <c r="X154" s="50">
        <v>100.0</v>
      </c>
      <c r="Y154" s="50">
        <v>3.0</v>
      </c>
      <c r="Z154" s="50">
        <v>78.0</v>
      </c>
      <c r="AA154" s="50">
        <v>1.0</v>
      </c>
      <c r="AB154" s="50">
        <v>4.0</v>
      </c>
      <c r="AC154" s="50">
        <v>1000.0</v>
      </c>
      <c r="AD154" s="50">
        <v>3.0</v>
      </c>
      <c r="AE154" s="50">
        <v>0.0</v>
      </c>
      <c r="AF154" s="116"/>
      <c r="AG154" s="116"/>
      <c r="AH154" s="50">
        <v>7.0</v>
      </c>
      <c r="AI154" s="50">
        <v>1000.0</v>
      </c>
      <c r="AJ154" s="50">
        <v>3.0</v>
      </c>
      <c r="AK154" s="50">
        <v>0.0</v>
      </c>
      <c r="AL154" s="50">
        <v>7.0</v>
      </c>
      <c r="AM154" s="50">
        <v>100.0</v>
      </c>
      <c r="AN154" s="50">
        <v>3.0</v>
      </c>
      <c r="AO154" s="50">
        <v>0.0</v>
      </c>
      <c r="AP154" s="50">
        <v>0.0</v>
      </c>
      <c r="AQ154" s="116"/>
      <c r="AR154" s="116"/>
      <c r="AS154" s="116"/>
      <c r="AT154" s="116"/>
      <c r="AU154" s="50">
        <v>0.0</v>
      </c>
      <c r="AV154" s="116"/>
      <c r="AW154" s="116"/>
      <c r="AX154" s="116"/>
      <c r="AY154" s="116"/>
      <c r="AZ154" s="116"/>
      <c r="BA154" s="116"/>
      <c r="BB154" s="116"/>
      <c r="BC154" s="116"/>
      <c r="BD154" s="116"/>
      <c r="BE154" s="116"/>
      <c r="BF154" s="116"/>
      <c r="BG154" s="116"/>
      <c r="BH154" s="116"/>
      <c r="BI154" s="116"/>
      <c r="BJ154" s="116"/>
      <c r="BK154" s="116"/>
      <c r="BL154" s="116"/>
      <c r="BM154" s="116"/>
      <c r="BN154" s="116"/>
      <c r="BO154" s="116"/>
      <c r="BP154" s="116"/>
      <c r="BQ154" s="116"/>
      <c r="BR154" s="116"/>
      <c r="BS154" s="116"/>
      <c r="BT154" s="116"/>
      <c r="BU154" s="116"/>
      <c r="BV154" s="116"/>
      <c r="BW154" s="116"/>
      <c r="BX154" s="116"/>
      <c r="BY154" s="116"/>
      <c r="BZ154" s="116"/>
      <c r="CA154" s="116"/>
      <c r="CB154" s="116"/>
      <c r="CC154" s="50" t="s">
        <v>14550</v>
      </c>
      <c r="CD154" s="145">
        <v>43503.0</v>
      </c>
      <c r="CE154" s="50">
        <v>1.0</v>
      </c>
      <c r="CF154" s="50" t="s">
        <v>14206</v>
      </c>
      <c r="CG154" s="117">
        <v>4902.0</v>
      </c>
      <c r="CH154" s="50" t="s">
        <v>14555</v>
      </c>
      <c r="CI154" s="50" t="s">
        <v>14556</v>
      </c>
      <c r="CJ154" s="117">
        <v>153.0</v>
      </c>
    </row>
    <row r="155">
      <c r="A155" s="50" t="s">
        <v>14557</v>
      </c>
      <c r="B155" s="50" t="s">
        <v>6876</v>
      </c>
      <c r="C155" s="50" t="s">
        <v>6877</v>
      </c>
      <c r="D155" s="50" t="s">
        <v>8493</v>
      </c>
      <c r="E155" s="50" t="s">
        <v>14559</v>
      </c>
      <c r="F155" s="50">
        <v>59.0</v>
      </c>
      <c r="G155" s="50">
        <v>1.0</v>
      </c>
      <c r="H155" s="50">
        <v>11.0</v>
      </c>
      <c r="I155" s="116"/>
      <c r="J155" s="116"/>
      <c r="K155" s="50" t="s">
        <v>1479</v>
      </c>
      <c r="L155" s="50" t="s">
        <v>1479</v>
      </c>
      <c r="M155" s="50" t="s">
        <v>10660</v>
      </c>
      <c r="N155" s="50" t="s">
        <v>10742</v>
      </c>
      <c r="O155" s="50" t="s">
        <v>14435</v>
      </c>
      <c r="P155" s="50">
        <v>4.0</v>
      </c>
      <c r="Q155" s="116"/>
      <c r="R155" s="116"/>
      <c r="S155" s="50">
        <v>7.0</v>
      </c>
      <c r="T155" s="50">
        <v>1000.0</v>
      </c>
      <c r="U155" s="50">
        <v>3.0</v>
      </c>
      <c r="V155" s="50">
        <v>0.0</v>
      </c>
      <c r="W155" s="50">
        <v>7.0</v>
      </c>
      <c r="X155" s="50">
        <v>100.0</v>
      </c>
      <c r="Y155" s="50">
        <v>1.0</v>
      </c>
      <c r="Z155" s="116"/>
      <c r="AA155" s="50">
        <v>1.0</v>
      </c>
      <c r="AB155" s="50">
        <v>4.0</v>
      </c>
      <c r="AC155" s="50">
        <v>1000.0</v>
      </c>
      <c r="AD155" s="50">
        <v>3.0</v>
      </c>
      <c r="AE155" s="50">
        <v>131.0</v>
      </c>
      <c r="AF155" s="116"/>
      <c r="AG155" s="116"/>
      <c r="AH155" s="50">
        <v>7.0</v>
      </c>
      <c r="AI155" s="50">
        <v>1000.0</v>
      </c>
      <c r="AJ155" s="50">
        <v>3.0</v>
      </c>
      <c r="AK155" s="50">
        <v>0.0</v>
      </c>
      <c r="AL155" s="50">
        <v>7.0</v>
      </c>
      <c r="AM155" s="50">
        <v>100.0</v>
      </c>
      <c r="AN155" s="50">
        <v>3.0</v>
      </c>
      <c r="AO155" s="50">
        <v>0.0</v>
      </c>
      <c r="AP155" s="50">
        <v>0.0</v>
      </c>
      <c r="AQ155" s="116"/>
      <c r="AR155" s="116"/>
      <c r="AS155" s="116"/>
      <c r="AT155" s="116"/>
      <c r="AU155" s="50">
        <v>0.0</v>
      </c>
      <c r="AV155" s="116"/>
      <c r="AW155" s="116"/>
      <c r="AX155" s="116"/>
      <c r="AY155" s="116"/>
      <c r="AZ155" s="116"/>
      <c r="BA155" s="116"/>
      <c r="BB155" s="116"/>
      <c r="BC155" s="116"/>
      <c r="BD155" s="116"/>
      <c r="BE155" s="116"/>
      <c r="BF155" s="116"/>
      <c r="BG155" s="116"/>
      <c r="BH155" s="116"/>
      <c r="BI155" s="116"/>
      <c r="BJ155" s="116"/>
      <c r="BK155" s="116"/>
      <c r="BL155" s="116"/>
      <c r="BM155" s="116"/>
      <c r="BN155" s="116"/>
      <c r="BO155" s="116"/>
      <c r="BP155" s="116"/>
      <c r="BQ155" s="116"/>
      <c r="BR155" s="116"/>
      <c r="BS155" s="116"/>
      <c r="BT155" s="116"/>
      <c r="BU155" s="116"/>
      <c r="BV155" s="116"/>
      <c r="BW155" s="116"/>
      <c r="BX155" s="116"/>
      <c r="BY155" s="116"/>
      <c r="BZ155" s="116"/>
      <c r="CA155" s="116"/>
      <c r="CB155" s="116"/>
      <c r="CC155" s="50" t="s">
        <v>14570</v>
      </c>
      <c r="CD155" s="145">
        <v>43503.0</v>
      </c>
      <c r="CE155" s="50">
        <v>1.0</v>
      </c>
      <c r="CF155" s="50" t="s">
        <v>14206</v>
      </c>
      <c r="CG155" s="117">
        <v>4903.0</v>
      </c>
      <c r="CH155" s="50" t="s">
        <v>14572</v>
      </c>
      <c r="CI155" s="50" t="s">
        <v>14573</v>
      </c>
      <c r="CJ155" s="117">
        <v>154.0</v>
      </c>
    </row>
    <row r="156">
      <c r="A156" s="50" t="s">
        <v>14559</v>
      </c>
      <c r="B156" s="50" t="s">
        <v>6876</v>
      </c>
      <c r="C156" s="50" t="s">
        <v>6877</v>
      </c>
      <c r="D156" s="50" t="s">
        <v>8493</v>
      </c>
      <c r="E156" s="50" t="s">
        <v>14575</v>
      </c>
      <c r="F156" s="50">
        <v>59.0</v>
      </c>
      <c r="G156" s="50">
        <v>1.0</v>
      </c>
      <c r="H156" s="50">
        <v>11.0</v>
      </c>
      <c r="I156" s="116"/>
      <c r="J156" s="116"/>
      <c r="K156" s="50" t="s">
        <v>1481</v>
      </c>
      <c r="L156" s="50" t="s">
        <v>1481</v>
      </c>
      <c r="M156" s="50" t="s">
        <v>10660</v>
      </c>
      <c r="N156" s="50" t="s">
        <v>10742</v>
      </c>
      <c r="O156" s="50" t="s">
        <v>14435</v>
      </c>
      <c r="P156" s="50">
        <v>4.0</v>
      </c>
      <c r="Q156" s="116"/>
      <c r="R156" s="116"/>
      <c r="S156" s="50">
        <v>7.0</v>
      </c>
      <c r="T156" s="50">
        <v>1000.0</v>
      </c>
      <c r="U156" s="50">
        <v>3.0</v>
      </c>
      <c r="V156" s="50">
        <v>0.0</v>
      </c>
      <c r="W156" s="50">
        <v>7.0</v>
      </c>
      <c r="X156" s="50">
        <v>100.0</v>
      </c>
      <c r="Y156" s="50">
        <v>1.0</v>
      </c>
      <c r="Z156" s="116"/>
      <c r="AA156" s="50">
        <v>1.0</v>
      </c>
      <c r="AB156" s="50">
        <v>4.0</v>
      </c>
      <c r="AC156" s="50">
        <v>1000.0</v>
      </c>
      <c r="AD156" s="50">
        <v>3.0</v>
      </c>
      <c r="AE156" s="50">
        <v>22.0</v>
      </c>
      <c r="AF156" s="116"/>
      <c r="AG156" s="116"/>
      <c r="AH156" s="50">
        <v>7.0</v>
      </c>
      <c r="AI156" s="50">
        <v>1000.0</v>
      </c>
      <c r="AJ156" s="50">
        <v>3.0</v>
      </c>
      <c r="AK156" s="50">
        <v>0.0</v>
      </c>
      <c r="AL156" s="50">
        <v>7.0</v>
      </c>
      <c r="AM156" s="50">
        <v>100.0</v>
      </c>
      <c r="AN156" s="50">
        <v>3.0</v>
      </c>
      <c r="AO156" s="50">
        <v>0.0</v>
      </c>
      <c r="AP156" s="50">
        <v>0.0</v>
      </c>
      <c r="AQ156" s="116"/>
      <c r="AR156" s="116"/>
      <c r="AS156" s="116"/>
      <c r="AT156" s="116"/>
      <c r="AU156" s="50">
        <v>0.0</v>
      </c>
      <c r="AV156" s="116"/>
      <c r="AW156" s="116"/>
      <c r="AX156" s="116"/>
      <c r="AY156" s="116"/>
      <c r="AZ156" s="116"/>
      <c r="BA156" s="116"/>
      <c r="BB156" s="116"/>
      <c r="BC156" s="116"/>
      <c r="BD156" s="116"/>
      <c r="BE156" s="116"/>
      <c r="BF156" s="116"/>
      <c r="BG156" s="116"/>
      <c r="BH156" s="116"/>
      <c r="BI156" s="116"/>
      <c r="BJ156" s="116"/>
      <c r="BK156" s="116"/>
      <c r="BL156" s="116"/>
      <c r="BM156" s="116"/>
      <c r="BN156" s="116"/>
      <c r="BO156" s="116"/>
      <c r="BP156" s="116"/>
      <c r="BQ156" s="116"/>
      <c r="BR156" s="116"/>
      <c r="BS156" s="116"/>
      <c r="BT156" s="116"/>
      <c r="BU156" s="116"/>
      <c r="BV156" s="116"/>
      <c r="BW156" s="116"/>
      <c r="BX156" s="116"/>
      <c r="BY156" s="116"/>
      <c r="BZ156" s="116"/>
      <c r="CA156" s="116"/>
      <c r="CB156" s="116"/>
      <c r="CC156" s="50" t="s">
        <v>14594</v>
      </c>
      <c r="CD156" s="145">
        <v>43503.0</v>
      </c>
      <c r="CE156" s="50">
        <v>1.0</v>
      </c>
      <c r="CF156" s="50" t="s">
        <v>14206</v>
      </c>
      <c r="CG156" s="117">
        <v>4904.0</v>
      </c>
      <c r="CH156" s="50" t="s">
        <v>14596</v>
      </c>
      <c r="CI156" s="50" t="s">
        <v>14598</v>
      </c>
      <c r="CJ156" s="117">
        <v>155.0</v>
      </c>
    </row>
    <row r="157">
      <c r="A157" s="50" t="s">
        <v>14575</v>
      </c>
      <c r="B157" s="50" t="s">
        <v>6876</v>
      </c>
      <c r="C157" s="50" t="s">
        <v>6877</v>
      </c>
      <c r="D157" s="50" t="s">
        <v>8493</v>
      </c>
      <c r="E157" s="50" t="s">
        <v>14601</v>
      </c>
      <c r="F157" s="50">
        <v>59.0</v>
      </c>
      <c r="G157" s="50">
        <v>1.0</v>
      </c>
      <c r="H157" s="50">
        <v>11.0</v>
      </c>
      <c r="I157" s="116"/>
      <c r="J157" s="116"/>
      <c r="K157" s="50" t="s">
        <v>1483</v>
      </c>
      <c r="L157" s="50" t="s">
        <v>1483</v>
      </c>
      <c r="M157" s="50" t="s">
        <v>10660</v>
      </c>
      <c r="N157" s="50" t="s">
        <v>10742</v>
      </c>
      <c r="O157" s="50" t="s">
        <v>14435</v>
      </c>
      <c r="P157" s="50">
        <v>4.0</v>
      </c>
      <c r="Q157" s="116"/>
      <c r="R157" s="116"/>
      <c r="S157" s="50">
        <v>7.0</v>
      </c>
      <c r="T157" s="50">
        <v>1000.0</v>
      </c>
      <c r="U157" s="50">
        <v>1.0</v>
      </c>
      <c r="V157" s="116"/>
      <c r="W157" s="50">
        <v>7.0</v>
      </c>
      <c r="X157" s="50">
        <v>100.0</v>
      </c>
      <c r="Y157" s="50">
        <v>3.0</v>
      </c>
      <c r="Z157" s="50">
        <v>192.0</v>
      </c>
      <c r="AA157" s="50">
        <v>1.0</v>
      </c>
      <c r="AB157" s="50">
        <v>4.0</v>
      </c>
      <c r="AC157" s="50">
        <v>1000.0</v>
      </c>
      <c r="AD157" s="50">
        <v>3.0</v>
      </c>
      <c r="AE157" s="50">
        <v>3.0</v>
      </c>
      <c r="AF157" s="116"/>
      <c r="AG157" s="116"/>
      <c r="AH157" s="50">
        <v>7.0</v>
      </c>
      <c r="AI157" s="50">
        <v>1000.0</v>
      </c>
      <c r="AJ157" s="50">
        <v>3.0</v>
      </c>
      <c r="AK157" s="50">
        <v>0.0</v>
      </c>
      <c r="AL157" s="50">
        <v>7.0</v>
      </c>
      <c r="AM157" s="50">
        <v>100.0</v>
      </c>
      <c r="AN157" s="50">
        <v>3.0</v>
      </c>
      <c r="AO157" s="50">
        <v>0.0</v>
      </c>
      <c r="AP157" s="50">
        <v>0.0</v>
      </c>
      <c r="AQ157" s="116"/>
      <c r="AR157" s="116"/>
      <c r="AS157" s="116"/>
      <c r="AT157" s="116"/>
      <c r="AU157" s="50">
        <v>0.0</v>
      </c>
      <c r="AV157" s="116"/>
      <c r="AW157" s="116"/>
      <c r="AX157" s="116"/>
      <c r="AY157" s="116"/>
      <c r="AZ157" s="116"/>
      <c r="BA157" s="116"/>
      <c r="BB157" s="116"/>
      <c r="BC157" s="116"/>
      <c r="BD157" s="116"/>
      <c r="BE157" s="116"/>
      <c r="BF157" s="116"/>
      <c r="BG157" s="116"/>
      <c r="BH157" s="116"/>
      <c r="BI157" s="116"/>
      <c r="BJ157" s="116"/>
      <c r="BK157" s="116"/>
      <c r="BL157" s="116"/>
      <c r="BM157" s="116"/>
      <c r="BN157" s="116"/>
      <c r="BO157" s="116"/>
      <c r="BP157" s="116"/>
      <c r="BQ157" s="116"/>
      <c r="BR157" s="116"/>
      <c r="BS157" s="116"/>
      <c r="BT157" s="116"/>
      <c r="BU157" s="116"/>
      <c r="BV157" s="116"/>
      <c r="BW157" s="116"/>
      <c r="BX157" s="116"/>
      <c r="BY157" s="116"/>
      <c r="BZ157" s="116"/>
      <c r="CA157" s="116"/>
      <c r="CB157" s="116"/>
      <c r="CC157" s="50" t="s">
        <v>14616</v>
      </c>
      <c r="CD157" s="145">
        <v>43503.0</v>
      </c>
      <c r="CE157" s="50">
        <v>1.0</v>
      </c>
      <c r="CF157" s="50" t="s">
        <v>14206</v>
      </c>
      <c r="CG157" s="117">
        <v>4905.0</v>
      </c>
      <c r="CH157" s="50" t="s">
        <v>14620</v>
      </c>
      <c r="CI157" s="50" t="s">
        <v>14621</v>
      </c>
      <c r="CJ157" s="117">
        <v>156.0</v>
      </c>
    </row>
    <row r="158">
      <c r="A158" s="50" t="s">
        <v>14601</v>
      </c>
      <c r="B158" s="50" t="s">
        <v>6876</v>
      </c>
      <c r="C158" s="50" t="s">
        <v>6877</v>
      </c>
      <c r="D158" s="50" t="s">
        <v>8493</v>
      </c>
      <c r="E158" s="50" t="s">
        <v>14627</v>
      </c>
      <c r="F158" s="50">
        <v>59.0</v>
      </c>
      <c r="G158" s="50">
        <v>1.0</v>
      </c>
      <c r="H158" s="50">
        <v>11.0</v>
      </c>
      <c r="I158" s="116"/>
      <c r="J158" s="116"/>
      <c r="K158" s="50" t="s">
        <v>6212</v>
      </c>
      <c r="L158" s="50" t="s">
        <v>6212</v>
      </c>
      <c r="M158" s="50" t="s">
        <v>14629</v>
      </c>
      <c r="N158" s="50" t="s">
        <v>11047</v>
      </c>
      <c r="O158" s="50" t="s">
        <v>14631</v>
      </c>
      <c r="P158" s="50">
        <v>4.0</v>
      </c>
      <c r="Q158" s="116"/>
      <c r="R158" s="116"/>
      <c r="S158" s="50">
        <v>7.0</v>
      </c>
      <c r="T158" s="50">
        <v>1000.0</v>
      </c>
      <c r="U158" s="50">
        <v>3.0</v>
      </c>
      <c r="V158" s="50">
        <v>0.0</v>
      </c>
      <c r="W158" s="50">
        <v>7.0</v>
      </c>
      <c r="X158" s="50">
        <v>100.0</v>
      </c>
      <c r="Y158" s="50">
        <v>1.0</v>
      </c>
      <c r="Z158" s="116"/>
      <c r="AA158" s="50">
        <v>1.0</v>
      </c>
      <c r="AB158" s="50">
        <v>4.0</v>
      </c>
      <c r="AC158" s="50">
        <v>1000.0</v>
      </c>
      <c r="AD158" s="50">
        <v>3.0</v>
      </c>
      <c r="AE158" s="50">
        <v>8.0</v>
      </c>
      <c r="AF158" s="116"/>
      <c r="AG158" s="116"/>
      <c r="AH158" s="50">
        <v>7.0</v>
      </c>
      <c r="AI158" s="50">
        <v>5000.0</v>
      </c>
      <c r="AJ158" s="50">
        <v>3.0</v>
      </c>
      <c r="AK158" s="50">
        <v>0.0</v>
      </c>
      <c r="AL158" s="50">
        <v>7.0</v>
      </c>
      <c r="AM158" s="50">
        <v>1000.0</v>
      </c>
      <c r="AN158" s="50">
        <v>3.0</v>
      </c>
      <c r="AO158" s="50">
        <v>0.0</v>
      </c>
      <c r="AP158" s="50">
        <v>1.0</v>
      </c>
      <c r="AQ158" s="50">
        <v>7.0</v>
      </c>
      <c r="AR158" s="50">
        <v>100.0</v>
      </c>
      <c r="AS158" s="50">
        <v>3.0</v>
      </c>
      <c r="AT158" s="50">
        <v>0.0</v>
      </c>
      <c r="AU158" s="50">
        <v>0.0</v>
      </c>
      <c r="AV158" s="116"/>
      <c r="AW158" s="116"/>
      <c r="AX158" s="116"/>
      <c r="AY158" s="116"/>
      <c r="AZ158" s="116"/>
      <c r="BA158" s="116"/>
      <c r="BB158" s="116"/>
      <c r="BC158" s="116"/>
      <c r="BD158" s="116"/>
      <c r="BE158" s="116"/>
      <c r="BF158" s="116"/>
      <c r="BG158" s="116"/>
      <c r="BH158" s="116"/>
      <c r="BI158" s="116"/>
      <c r="BJ158" s="116"/>
      <c r="BK158" s="116"/>
      <c r="BL158" s="116"/>
      <c r="BM158" s="116"/>
      <c r="BN158" s="116"/>
      <c r="BO158" s="116"/>
      <c r="BP158" s="116"/>
      <c r="BQ158" s="116"/>
      <c r="BR158" s="116"/>
      <c r="BS158" s="116"/>
      <c r="BT158" s="116"/>
      <c r="BU158" s="116"/>
      <c r="BV158" s="116"/>
      <c r="BW158" s="116"/>
      <c r="BX158" s="116"/>
      <c r="BY158" s="116"/>
      <c r="BZ158" s="116"/>
      <c r="CA158" s="116"/>
      <c r="CB158" s="116"/>
      <c r="CC158" s="50" t="s">
        <v>14643</v>
      </c>
      <c r="CD158" s="145">
        <v>43503.0</v>
      </c>
      <c r="CE158" s="50">
        <v>1.0</v>
      </c>
      <c r="CF158" s="50" t="s">
        <v>14206</v>
      </c>
      <c r="CG158" s="117">
        <v>4906.0</v>
      </c>
      <c r="CH158" s="50" t="s">
        <v>14647</v>
      </c>
      <c r="CI158" s="50" t="s">
        <v>14649</v>
      </c>
      <c r="CJ158" s="117">
        <v>157.0</v>
      </c>
    </row>
    <row r="159">
      <c r="A159" s="50" t="s">
        <v>14652</v>
      </c>
      <c r="B159" s="50" t="s">
        <v>6876</v>
      </c>
      <c r="C159" s="50" t="s">
        <v>6877</v>
      </c>
      <c r="D159" s="50" t="s">
        <v>8493</v>
      </c>
      <c r="E159" s="50" t="s">
        <v>14653</v>
      </c>
      <c r="F159" s="50">
        <v>59.0</v>
      </c>
      <c r="G159" s="50">
        <v>1.0</v>
      </c>
      <c r="H159" s="50">
        <v>11.0</v>
      </c>
      <c r="I159" s="116"/>
      <c r="J159" s="116"/>
      <c r="K159" s="50" t="s">
        <v>6220</v>
      </c>
      <c r="L159" s="50" t="s">
        <v>6220</v>
      </c>
      <c r="M159" s="50" t="s">
        <v>14629</v>
      </c>
      <c r="N159" s="50" t="s">
        <v>11047</v>
      </c>
      <c r="O159" s="50" t="s">
        <v>14631</v>
      </c>
      <c r="P159" s="50">
        <v>4.0</v>
      </c>
      <c r="Q159" s="116"/>
      <c r="R159" s="116"/>
      <c r="S159" s="50">
        <v>7.0</v>
      </c>
      <c r="T159" s="50">
        <v>1000.0</v>
      </c>
      <c r="U159" s="50">
        <v>1.0</v>
      </c>
      <c r="V159" s="116"/>
      <c r="W159" s="50">
        <v>7.0</v>
      </c>
      <c r="X159" s="50">
        <v>100.0</v>
      </c>
      <c r="Y159" s="50">
        <v>3.0</v>
      </c>
      <c r="Z159" s="50">
        <v>47.0</v>
      </c>
      <c r="AA159" s="50">
        <v>1.0</v>
      </c>
      <c r="AB159" s="50">
        <v>4.0</v>
      </c>
      <c r="AC159" s="50">
        <v>1000.0</v>
      </c>
      <c r="AD159" s="50">
        <v>3.0</v>
      </c>
      <c r="AE159" s="50">
        <v>0.0</v>
      </c>
      <c r="AF159" s="116"/>
      <c r="AG159" s="116"/>
      <c r="AH159" s="50">
        <v>7.0</v>
      </c>
      <c r="AI159" s="50">
        <v>5000.0</v>
      </c>
      <c r="AJ159" s="50">
        <v>3.0</v>
      </c>
      <c r="AK159" s="50">
        <v>0.0</v>
      </c>
      <c r="AL159" s="50">
        <v>7.0</v>
      </c>
      <c r="AM159" s="50">
        <v>1000.0</v>
      </c>
      <c r="AN159" s="50">
        <v>3.0</v>
      </c>
      <c r="AO159" s="50">
        <v>0.0</v>
      </c>
      <c r="AP159" s="50">
        <v>1.0</v>
      </c>
      <c r="AQ159" s="50">
        <v>7.0</v>
      </c>
      <c r="AR159" s="50">
        <v>100.0</v>
      </c>
      <c r="AS159" s="50">
        <v>3.0</v>
      </c>
      <c r="AT159" s="50">
        <v>0.0</v>
      </c>
      <c r="AU159" s="50">
        <v>0.0</v>
      </c>
      <c r="AV159" s="116"/>
      <c r="AW159" s="116"/>
      <c r="AX159" s="116"/>
      <c r="AY159" s="116"/>
      <c r="AZ159" s="116"/>
      <c r="BA159" s="116"/>
      <c r="BB159" s="116"/>
      <c r="BC159" s="116"/>
      <c r="BD159" s="116"/>
      <c r="BE159" s="116"/>
      <c r="BF159" s="116"/>
      <c r="BG159" s="116"/>
      <c r="BH159" s="116"/>
      <c r="BI159" s="116"/>
      <c r="BJ159" s="116"/>
      <c r="BK159" s="116"/>
      <c r="BL159" s="116"/>
      <c r="BM159" s="116"/>
      <c r="BN159" s="116"/>
      <c r="BO159" s="116"/>
      <c r="BP159" s="116"/>
      <c r="BQ159" s="116"/>
      <c r="BR159" s="116"/>
      <c r="BS159" s="116"/>
      <c r="BT159" s="116"/>
      <c r="BU159" s="116"/>
      <c r="BV159" s="116"/>
      <c r="BW159" s="116"/>
      <c r="BX159" s="116"/>
      <c r="BY159" s="116"/>
      <c r="BZ159" s="116"/>
      <c r="CA159" s="116"/>
      <c r="CB159" s="116"/>
      <c r="CC159" s="50" t="s">
        <v>14662</v>
      </c>
      <c r="CD159" s="145">
        <v>43503.0</v>
      </c>
      <c r="CE159" s="50">
        <v>1.0</v>
      </c>
      <c r="CF159" s="50" t="s">
        <v>14206</v>
      </c>
      <c r="CG159" s="117">
        <v>4907.0</v>
      </c>
      <c r="CH159" s="50" t="s">
        <v>14665</v>
      </c>
      <c r="CI159" s="50" t="s">
        <v>14666</v>
      </c>
      <c r="CJ159" s="117">
        <v>158.0</v>
      </c>
    </row>
    <row r="160">
      <c r="A160" s="50" t="s">
        <v>14653</v>
      </c>
      <c r="B160" s="50" t="s">
        <v>6876</v>
      </c>
      <c r="C160" s="50" t="s">
        <v>6877</v>
      </c>
      <c r="D160" s="50" t="s">
        <v>8493</v>
      </c>
      <c r="E160" s="50" t="s">
        <v>14667</v>
      </c>
      <c r="F160" s="50">
        <v>59.0</v>
      </c>
      <c r="G160" s="50">
        <v>1.0</v>
      </c>
      <c r="H160" s="50">
        <v>11.0</v>
      </c>
      <c r="I160" s="116"/>
      <c r="J160" s="116"/>
      <c r="K160" s="50" t="s">
        <v>6240</v>
      </c>
      <c r="L160" s="50" t="s">
        <v>6240</v>
      </c>
      <c r="M160" s="50" t="s">
        <v>14629</v>
      </c>
      <c r="N160" s="50" t="s">
        <v>11047</v>
      </c>
      <c r="O160" s="50" t="s">
        <v>14631</v>
      </c>
      <c r="P160" s="50">
        <v>4.0</v>
      </c>
      <c r="Q160" s="116"/>
      <c r="R160" s="116"/>
      <c r="S160" s="50">
        <v>7.0</v>
      </c>
      <c r="T160" s="50">
        <v>1000.0</v>
      </c>
      <c r="U160" s="50">
        <v>3.0</v>
      </c>
      <c r="V160" s="50">
        <v>0.0</v>
      </c>
      <c r="W160" s="50">
        <v>7.0</v>
      </c>
      <c r="X160" s="50">
        <v>100.0</v>
      </c>
      <c r="Y160" s="50">
        <v>1.0</v>
      </c>
      <c r="Z160" s="116"/>
      <c r="AA160" s="50">
        <v>1.0</v>
      </c>
      <c r="AB160" s="50">
        <v>4.0</v>
      </c>
      <c r="AC160" s="50">
        <v>1000.0</v>
      </c>
      <c r="AD160" s="50">
        <v>3.0</v>
      </c>
      <c r="AE160" s="50">
        <v>6.0</v>
      </c>
      <c r="AF160" s="116"/>
      <c r="AG160" s="116"/>
      <c r="AH160" s="50">
        <v>7.0</v>
      </c>
      <c r="AI160" s="50">
        <v>5000.0</v>
      </c>
      <c r="AJ160" s="50">
        <v>3.0</v>
      </c>
      <c r="AK160" s="50">
        <v>0.0</v>
      </c>
      <c r="AL160" s="50">
        <v>7.0</v>
      </c>
      <c r="AM160" s="50">
        <v>1000.0</v>
      </c>
      <c r="AN160" s="50">
        <v>3.0</v>
      </c>
      <c r="AO160" s="50">
        <v>0.0</v>
      </c>
      <c r="AP160" s="50">
        <v>1.0</v>
      </c>
      <c r="AQ160" s="50">
        <v>7.0</v>
      </c>
      <c r="AR160" s="50">
        <v>100.0</v>
      </c>
      <c r="AS160" s="50">
        <v>3.0</v>
      </c>
      <c r="AT160" s="50">
        <v>0.0</v>
      </c>
      <c r="AU160" s="50">
        <v>0.0</v>
      </c>
      <c r="AV160" s="116"/>
      <c r="AW160" s="116"/>
      <c r="AX160" s="116"/>
      <c r="AY160" s="116"/>
      <c r="AZ160" s="116"/>
      <c r="BA160" s="116"/>
      <c r="BB160" s="116"/>
      <c r="BC160" s="116"/>
      <c r="BD160" s="116"/>
      <c r="BE160" s="116"/>
      <c r="BF160" s="116"/>
      <c r="BG160" s="116"/>
      <c r="BH160" s="116"/>
      <c r="BI160" s="116"/>
      <c r="BJ160" s="116"/>
      <c r="BK160" s="116"/>
      <c r="BL160" s="116"/>
      <c r="BM160" s="116"/>
      <c r="BN160" s="116"/>
      <c r="BO160" s="116"/>
      <c r="BP160" s="116"/>
      <c r="BQ160" s="116"/>
      <c r="BR160" s="116"/>
      <c r="BS160" s="116"/>
      <c r="BT160" s="116"/>
      <c r="BU160" s="116"/>
      <c r="BV160" s="116"/>
      <c r="BW160" s="116"/>
      <c r="BX160" s="116"/>
      <c r="BY160" s="116"/>
      <c r="BZ160" s="116"/>
      <c r="CA160" s="116"/>
      <c r="CB160" s="116"/>
      <c r="CC160" s="50" t="s">
        <v>14680</v>
      </c>
      <c r="CD160" s="145">
        <v>43503.0</v>
      </c>
      <c r="CE160" s="50">
        <v>1.0</v>
      </c>
      <c r="CF160" s="50" t="s">
        <v>14206</v>
      </c>
      <c r="CG160" s="117">
        <v>4908.0</v>
      </c>
      <c r="CH160" s="50" t="s">
        <v>14683</v>
      </c>
      <c r="CI160" s="50" t="s">
        <v>14684</v>
      </c>
      <c r="CJ160" s="117">
        <v>159.0</v>
      </c>
    </row>
    <row r="161">
      <c r="A161" s="50" t="s">
        <v>14667</v>
      </c>
      <c r="B161" s="50" t="s">
        <v>6876</v>
      </c>
      <c r="C161" s="50" t="s">
        <v>6877</v>
      </c>
      <c r="D161" s="50" t="s">
        <v>8493</v>
      </c>
      <c r="E161" s="50" t="s">
        <v>14685</v>
      </c>
      <c r="F161" s="50">
        <v>59.0</v>
      </c>
      <c r="G161" s="50">
        <v>1.0</v>
      </c>
      <c r="H161" s="50">
        <v>11.0</v>
      </c>
      <c r="I161" s="116"/>
      <c r="J161" s="116"/>
      <c r="K161" s="50" t="s">
        <v>6255</v>
      </c>
      <c r="L161" s="50" t="s">
        <v>6255</v>
      </c>
      <c r="M161" s="50" t="s">
        <v>14629</v>
      </c>
      <c r="N161" s="50" t="s">
        <v>11047</v>
      </c>
      <c r="O161" s="50" t="s">
        <v>14631</v>
      </c>
      <c r="P161" s="50">
        <v>4.0</v>
      </c>
      <c r="Q161" s="116"/>
      <c r="R161" s="116"/>
      <c r="S161" s="50">
        <v>7.0</v>
      </c>
      <c r="T161" s="50">
        <v>1000.0</v>
      </c>
      <c r="U161" s="50">
        <v>3.0</v>
      </c>
      <c r="V161" s="50">
        <v>0.0</v>
      </c>
      <c r="W161" s="50">
        <v>7.0</v>
      </c>
      <c r="X161" s="50">
        <v>100.0</v>
      </c>
      <c r="Y161" s="50">
        <v>1.0</v>
      </c>
      <c r="Z161" s="116"/>
      <c r="AA161" s="50">
        <v>1.0</v>
      </c>
      <c r="AB161" s="50">
        <v>4.0</v>
      </c>
      <c r="AC161" s="50">
        <v>1000.0</v>
      </c>
      <c r="AD161" s="50">
        <v>3.0</v>
      </c>
      <c r="AE161" s="50">
        <v>3.0</v>
      </c>
      <c r="AF161" s="116"/>
      <c r="AG161" s="116"/>
      <c r="AH161" s="50">
        <v>7.0</v>
      </c>
      <c r="AI161" s="50">
        <v>5000.0</v>
      </c>
      <c r="AJ161" s="50">
        <v>3.0</v>
      </c>
      <c r="AK161" s="50">
        <v>0.0</v>
      </c>
      <c r="AL161" s="50">
        <v>7.0</v>
      </c>
      <c r="AM161" s="50">
        <v>1000.0</v>
      </c>
      <c r="AN161" s="50">
        <v>3.0</v>
      </c>
      <c r="AO161" s="50">
        <v>0.0</v>
      </c>
      <c r="AP161" s="50">
        <v>1.0</v>
      </c>
      <c r="AQ161" s="50">
        <v>7.0</v>
      </c>
      <c r="AR161" s="50">
        <v>100.0</v>
      </c>
      <c r="AS161" s="50">
        <v>3.0</v>
      </c>
      <c r="AT161" s="50">
        <v>0.0</v>
      </c>
      <c r="AU161" s="50">
        <v>0.0</v>
      </c>
      <c r="AV161" s="116"/>
      <c r="AW161" s="116"/>
      <c r="AX161" s="116"/>
      <c r="AY161" s="116"/>
      <c r="AZ161" s="116"/>
      <c r="BA161" s="116"/>
      <c r="BB161" s="116"/>
      <c r="BC161" s="116"/>
      <c r="BD161" s="116"/>
      <c r="BE161" s="116"/>
      <c r="BF161" s="116"/>
      <c r="BG161" s="116"/>
      <c r="BH161" s="116"/>
      <c r="BI161" s="116"/>
      <c r="BJ161" s="116"/>
      <c r="BK161" s="116"/>
      <c r="BL161" s="116"/>
      <c r="BM161" s="116"/>
      <c r="BN161" s="116"/>
      <c r="BO161" s="116"/>
      <c r="BP161" s="116"/>
      <c r="BQ161" s="116"/>
      <c r="BR161" s="116"/>
      <c r="BS161" s="116"/>
      <c r="BT161" s="116"/>
      <c r="BU161" s="116"/>
      <c r="BV161" s="116"/>
      <c r="BW161" s="116"/>
      <c r="BX161" s="116"/>
      <c r="BY161" s="116"/>
      <c r="BZ161" s="116"/>
      <c r="CA161" s="116"/>
      <c r="CB161" s="116"/>
      <c r="CC161" s="50" t="s">
        <v>14697</v>
      </c>
      <c r="CD161" s="145">
        <v>43503.0</v>
      </c>
      <c r="CE161" s="50">
        <v>1.0</v>
      </c>
      <c r="CF161" s="50" t="s">
        <v>14206</v>
      </c>
      <c r="CG161" s="117">
        <v>4909.0</v>
      </c>
      <c r="CH161" s="50" t="s">
        <v>14698</v>
      </c>
      <c r="CI161" s="50" t="s">
        <v>14699</v>
      </c>
      <c r="CJ161" s="117">
        <v>160.0</v>
      </c>
    </row>
    <row r="162">
      <c r="A162" s="50" t="s">
        <v>14701</v>
      </c>
      <c r="B162" s="50" t="s">
        <v>6876</v>
      </c>
      <c r="C162" s="50" t="s">
        <v>6877</v>
      </c>
      <c r="D162" s="50" t="s">
        <v>8493</v>
      </c>
      <c r="E162" s="50" t="s">
        <v>14702</v>
      </c>
      <c r="F162" s="50">
        <v>59.0</v>
      </c>
      <c r="G162" s="50">
        <v>1.0</v>
      </c>
      <c r="H162" s="50">
        <v>11.0</v>
      </c>
      <c r="I162" s="116"/>
      <c r="J162" s="116"/>
      <c r="K162" s="50" t="s">
        <v>6270</v>
      </c>
      <c r="L162" s="50" t="s">
        <v>6270</v>
      </c>
      <c r="M162" s="50" t="s">
        <v>14629</v>
      </c>
      <c r="N162" s="50" t="s">
        <v>11047</v>
      </c>
      <c r="O162" s="50" t="s">
        <v>14631</v>
      </c>
      <c r="P162" s="50">
        <v>3.0</v>
      </c>
      <c r="Q162" s="116"/>
      <c r="R162" s="116"/>
      <c r="S162" s="50">
        <v>7.0</v>
      </c>
      <c r="T162" s="50">
        <v>1000.0</v>
      </c>
      <c r="U162" s="50">
        <v>3.0</v>
      </c>
      <c r="V162" s="50">
        <v>0.0</v>
      </c>
      <c r="W162" s="50">
        <v>7.0</v>
      </c>
      <c r="X162" s="50">
        <v>100.0</v>
      </c>
      <c r="Y162" s="50">
        <v>1.0</v>
      </c>
      <c r="Z162" s="116"/>
      <c r="AA162" s="50">
        <v>1.0</v>
      </c>
      <c r="AB162" s="50">
        <v>4.0</v>
      </c>
      <c r="AC162" s="50">
        <v>1000.0</v>
      </c>
      <c r="AD162" s="50">
        <v>3.0</v>
      </c>
      <c r="AE162" s="50">
        <v>10.0</v>
      </c>
      <c r="AF162" s="116"/>
      <c r="AG162" s="116"/>
      <c r="AH162" s="50">
        <v>7.0</v>
      </c>
      <c r="AI162" s="50">
        <v>5000.0</v>
      </c>
      <c r="AJ162" s="50">
        <v>3.0</v>
      </c>
      <c r="AK162" s="50">
        <v>0.0</v>
      </c>
      <c r="AL162" s="50">
        <v>7.0</v>
      </c>
      <c r="AM162" s="50">
        <v>1000.0</v>
      </c>
      <c r="AN162" s="50">
        <v>3.0</v>
      </c>
      <c r="AO162" s="50">
        <v>0.0</v>
      </c>
      <c r="AP162" s="50">
        <v>1.0</v>
      </c>
      <c r="AQ162" s="50">
        <v>7.0</v>
      </c>
      <c r="AR162" s="50">
        <v>100.0</v>
      </c>
      <c r="AS162" s="50">
        <v>3.0</v>
      </c>
      <c r="AT162" s="50">
        <v>0.0</v>
      </c>
      <c r="AU162" s="50">
        <v>0.0</v>
      </c>
      <c r="AV162" s="116"/>
      <c r="AW162" s="116"/>
      <c r="AX162" s="116"/>
      <c r="AY162" s="116"/>
      <c r="AZ162" s="116"/>
      <c r="BA162" s="116"/>
      <c r="BB162" s="116"/>
      <c r="BC162" s="116"/>
      <c r="BD162" s="116"/>
      <c r="BE162" s="116"/>
      <c r="BF162" s="116"/>
      <c r="BG162" s="116"/>
      <c r="BH162" s="116"/>
      <c r="BI162" s="116"/>
      <c r="BJ162" s="116"/>
      <c r="BK162" s="116"/>
      <c r="BL162" s="116"/>
      <c r="BM162" s="116"/>
      <c r="BN162" s="116"/>
      <c r="BO162" s="116"/>
      <c r="BP162" s="116"/>
      <c r="BQ162" s="116"/>
      <c r="BR162" s="116"/>
      <c r="BS162" s="116"/>
      <c r="BT162" s="116"/>
      <c r="BU162" s="116"/>
      <c r="BV162" s="116"/>
      <c r="BW162" s="116"/>
      <c r="BX162" s="116"/>
      <c r="BY162" s="116"/>
      <c r="BZ162" s="116"/>
      <c r="CA162" s="116"/>
      <c r="CB162" s="116"/>
      <c r="CC162" s="50" t="s">
        <v>14718</v>
      </c>
      <c r="CD162" s="145">
        <v>43503.0</v>
      </c>
      <c r="CE162" s="50">
        <v>1.0</v>
      </c>
      <c r="CF162" s="50" t="s">
        <v>14206</v>
      </c>
      <c r="CG162" s="117">
        <v>4910.0</v>
      </c>
      <c r="CH162" s="50" t="s">
        <v>14721</v>
      </c>
      <c r="CI162" s="50" t="s">
        <v>14723</v>
      </c>
      <c r="CJ162" s="117">
        <v>161.0</v>
      </c>
    </row>
    <row r="163">
      <c r="A163" s="50" t="s">
        <v>14724</v>
      </c>
      <c r="B163" s="50" t="s">
        <v>6876</v>
      </c>
      <c r="C163" s="50" t="s">
        <v>6877</v>
      </c>
      <c r="D163" s="50" t="s">
        <v>8493</v>
      </c>
      <c r="E163" s="50" t="s">
        <v>14727</v>
      </c>
      <c r="F163" s="50">
        <v>59.0</v>
      </c>
      <c r="G163" s="50">
        <v>1.0</v>
      </c>
      <c r="H163" s="50">
        <v>11.0</v>
      </c>
      <c r="I163" s="116"/>
      <c r="J163" s="116"/>
      <c r="K163" s="50" t="s">
        <v>1508</v>
      </c>
      <c r="L163" s="50" t="s">
        <v>1508</v>
      </c>
      <c r="M163" s="50" t="s">
        <v>14729</v>
      </c>
      <c r="N163" s="50" t="s">
        <v>14730</v>
      </c>
      <c r="O163" s="50" t="s">
        <v>11118</v>
      </c>
      <c r="P163" s="50">
        <v>4.0</v>
      </c>
      <c r="Q163" s="116"/>
      <c r="R163" s="116"/>
      <c r="S163" s="50">
        <v>7.0</v>
      </c>
      <c r="T163" s="50">
        <v>1000.0</v>
      </c>
      <c r="U163" s="50">
        <v>1.0</v>
      </c>
      <c r="V163" s="116"/>
      <c r="W163" s="50">
        <v>7.0</v>
      </c>
      <c r="X163" s="50">
        <v>100.0</v>
      </c>
      <c r="Y163" s="50">
        <v>3.0</v>
      </c>
      <c r="Z163" s="50">
        <v>98.0</v>
      </c>
      <c r="AA163" s="50">
        <v>1.0</v>
      </c>
      <c r="AB163" s="50">
        <v>4.0</v>
      </c>
      <c r="AC163" s="50">
        <v>1000.0</v>
      </c>
      <c r="AD163" s="50">
        <v>3.0</v>
      </c>
      <c r="AE163" s="50">
        <v>0.0</v>
      </c>
      <c r="AF163" s="116"/>
      <c r="AG163" s="116"/>
      <c r="AH163" s="50">
        <v>7.0</v>
      </c>
      <c r="AI163" s="50">
        <v>5000.0</v>
      </c>
      <c r="AJ163" s="50">
        <v>3.0</v>
      </c>
      <c r="AK163" s="50">
        <v>0.0</v>
      </c>
      <c r="AL163" s="50">
        <v>7.0</v>
      </c>
      <c r="AM163" s="50">
        <v>1000.0</v>
      </c>
      <c r="AN163" s="50">
        <v>3.0</v>
      </c>
      <c r="AO163" s="50">
        <v>0.0</v>
      </c>
      <c r="AP163" s="50">
        <v>1.0</v>
      </c>
      <c r="AQ163" s="50">
        <v>7.0</v>
      </c>
      <c r="AR163" s="50">
        <v>100.0</v>
      </c>
      <c r="AS163" s="50">
        <v>3.0</v>
      </c>
      <c r="AT163" s="50">
        <v>0.0</v>
      </c>
      <c r="AU163" s="50">
        <v>0.0</v>
      </c>
      <c r="AV163" s="116"/>
      <c r="AW163" s="116"/>
      <c r="AX163" s="116"/>
      <c r="AY163" s="116"/>
      <c r="AZ163" s="116"/>
      <c r="BA163" s="116"/>
      <c r="BB163" s="116"/>
      <c r="BC163" s="116"/>
      <c r="BD163" s="116"/>
      <c r="BE163" s="116"/>
      <c r="BF163" s="116"/>
      <c r="BG163" s="116"/>
      <c r="BH163" s="116"/>
      <c r="BI163" s="116"/>
      <c r="BJ163" s="116"/>
      <c r="BK163" s="116"/>
      <c r="BL163" s="116"/>
      <c r="BM163" s="116"/>
      <c r="BN163" s="116"/>
      <c r="BO163" s="116"/>
      <c r="BP163" s="116"/>
      <c r="BQ163" s="116"/>
      <c r="BR163" s="116"/>
      <c r="BS163" s="116"/>
      <c r="BT163" s="116"/>
      <c r="BU163" s="116"/>
      <c r="BV163" s="116"/>
      <c r="BW163" s="116"/>
      <c r="BX163" s="116"/>
      <c r="BY163" s="116"/>
      <c r="BZ163" s="116"/>
      <c r="CA163" s="116"/>
      <c r="CB163" s="116"/>
      <c r="CC163" s="50" t="s">
        <v>14743</v>
      </c>
      <c r="CD163" s="145">
        <v>43503.0</v>
      </c>
      <c r="CE163" s="50">
        <v>1.0</v>
      </c>
      <c r="CF163" s="50" t="s">
        <v>14206</v>
      </c>
      <c r="CG163" s="117">
        <v>4911.0</v>
      </c>
      <c r="CH163" s="50" t="s">
        <v>14745</v>
      </c>
      <c r="CI163" s="50" t="s">
        <v>14747</v>
      </c>
      <c r="CJ163" s="117">
        <v>162.0</v>
      </c>
    </row>
    <row r="164">
      <c r="A164" s="50" t="s">
        <v>14748</v>
      </c>
      <c r="B164" s="50" t="s">
        <v>6876</v>
      </c>
      <c r="C164" s="50" t="s">
        <v>6877</v>
      </c>
      <c r="D164" s="50" t="s">
        <v>8493</v>
      </c>
      <c r="E164" s="50" t="s">
        <v>14749</v>
      </c>
      <c r="F164" s="50">
        <v>59.0</v>
      </c>
      <c r="G164" s="50">
        <v>1.0</v>
      </c>
      <c r="H164" s="50">
        <v>11.0</v>
      </c>
      <c r="I164" s="116"/>
      <c r="J164" s="116"/>
      <c r="K164" s="50" t="s">
        <v>1511</v>
      </c>
      <c r="L164" s="50" t="s">
        <v>1511</v>
      </c>
      <c r="M164" s="50" t="s">
        <v>14729</v>
      </c>
      <c r="N164" s="50" t="s">
        <v>14730</v>
      </c>
      <c r="O164" s="50" t="s">
        <v>11118</v>
      </c>
      <c r="P164" s="50">
        <v>4.0</v>
      </c>
      <c r="Q164" s="116"/>
      <c r="R164" s="116"/>
      <c r="S164" s="50">
        <v>7.0</v>
      </c>
      <c r="T164" s="50">
        <v>1000.0</v>
      </c>
      <c r="U164" s="50">
        <v>3.0</v>
      </c>
      <c r="V164" s="50">
        <v>0.0</v>
      </c>
      <c r="W164" s="50">
        <v>7.0</v>
      </c>
      <c r="X164" s="50">
        <v>100.0</v>
      </c>
      <c r="Y164" s="50">
        <v>3.0</v>
      </c>
      <c r="Z164" s="50">
        <v>86.0</v>
      </c>
      <c r="AA164" s="50">
        <v>1.0</v>
      </c>
      <c r="AB164" s="50">
        <v>4.0</v>
      </c>
      <c r="AC164" s="50">
        <v>1000.0</v>
      </c>
      <c r="AD164" s="50">
        <v>3.0</v>
      </c>
      <c r="AE164" s="50">
        <v>3.0</v>
      </c>
      <c r="AF164" s="116"/>
      <c r="AG164" s="116"/>
      <c r="AH164" s="50">
        <v>7.0</v>
      </c>
      <c r="AI164" s="50">
        <v>5000.0</v>
      </c>
      <c r="AJ164" s="50">
        <v>3.0</v>
      </c>
      <c r="AK164" s="50">
        <v>0.0</v>
      </c>
      <c r="AL164" s="50">
        <v>7.0</v>
      </c>
      <c r="AM164" s="50">
        <v>1000.0</v>
      </c>
      <c r="AN164" s="50">
        <v>3.0</v>
      </c>
      <c r="AO164" s="50">
        <v>0.0</v>
      </c>
      <c r="AP164" s="50">
        <v>1.0</v>
      </c>
      <c r="AQ164" s="50">
        <v>7.0</v>
      </c>
      <c r="AR164" s="50">
        <v>100.0</v>
      </c>
      <c r="AS164" s="50">
        <v>3.0</v>
      </c>
      <c r="AT164" s="50">
        <v>0.0</v>
      </c>
      <c r="AU164" s="50">
        <v>0.0</v>
      </c>
      <c r="AV164" s="116"/>
      <c r="AW164" s="116"/>
      <c r="AX164" s="116"/>
      <c r="AY164" s="116"/>
      <c r="AZ164" s="116"/>
      <c r="BA164" s="116"/>
      <c r="BB164" s="116"/>
      <c r="BC164" s="116"/>
      <c r="BD164" s="116"/>
      <c r="BE164" s="116"/>
      <c r="BF164" s="116"/>
      <c r="BG164" s="116"/>
      <c r="BH164" s="116"/>
      <c r="BI164" s="116"/>
      <c r="BJ164" s="116"/>
      <c r="BK164" s="116"/>
      <c r="BL164" s="116"/>
      <c r="BM164" s="116"/>
      <c r="BN164" s="116"/>
      <c r="BO164" s="116"/>
      <c r="BP164" s="116"/>
      <c r="BQ164" s="116"/>
      <c r="BR164" s="116"/>
      <c r="BS164" s="116"/>
      <c r="BT164" s="116"/>
      <c r="BU164" s="116"/>
      <c r="BV164" s="116"/>
      <c r="BW164" s="116"/>
      <c r="BX164" s="116"/>
      <c r="BY164" s="116"/>
      <c r="BZ164" s="116"/>
      <c r="CA164" s="116"/>
      <c r="CB164" s="116"/>
      <c r="CC164" s="50" t="s">
        <v>14680</v>
      </c>
      <c r="CD164" s="145">
        <v>43503.0</v>
      </c>
      <c r="CE164" s="50">
        <v>1.0</v>
      </c>
      <c r="CF164" s="50" t="s">
        <v>14206</v>
      </c>
      <c r="CG164" s="117">
        <v>4912.0</v>
      </c>
      <c r="CH164" s="50" t="s">
        <v>14765</v>
      </c>
      <c r="CI164" s="50" t="s">
        <v>14767</v>
      </c>
      <c r="CJ164" s="117">
        <v>163.0</v>
      </c>
    </row>
    <row r="165">
      <c r="A165" s="50" t="s">
        <v>14749</v>
      </c>
      <c r="B165" s="50" t="s">
        <v>6876</v>
      </c>
      <c r="C165" s="50" t="s">
        <v>6877</v>
      </c>
      <c r="D165" s="50" t="s">
        <v>8493</v>
      </c>
      <c r="E165" s="50" t="s">
        <v>14769</v>
      </c>
      <c r="F165" s="50">
        <v>59.0</v>
      </c>
      <c r="G165" s="50">
        <v>1.0</v>
      </c>
      <c r="H165" s="50">
        <v>11.0</v>
      </c>
      <c r="I165" s="116"/>
      <c r="J165" s="116"/>
      <c r="K165" s="50" t="s">
        <v>1514</v>
      </c>
      <c r="L165" s="50" t="s">
        <v>1514</v>
      </c>
      <c r="M165" s="50" t="s">
        <v>14729</v>
      </c>
      <c r="N165" s="50" t="s">
        <v>14730</v>
      </c>
      <c r="O165" s="50" t="s">
        <v>11118</v>
      </c>
      <c r="P165" s="50">
        <v>4.0</v>
      </c>
      <c r="Q165" s="116"/>
      <c r="R165" s="116"/>
      <c r="S165" s="50">
        <v>7.0</v>
      </c>
      <c r="T165" s="50">
        <v>1000.0</v>
      </c>
      <c r="U165" s="50">
        <v>1.0</v>
      </c>
      <c r="V165" s="116"/>
      <c r="W165" s="50">
        <v>7.0</v>
      </c>
      <c r="X165" s="50">
        <v>100.0</v>
      </c>
      <c r="Y165" s="50">
        <v>3.0</v>
      </c>
      <c r="Z165" s="50">
        <v>62.0</v>
      </c>
      <c r="AA165" s="50">
        <v>1.0</v>
      </c>
      <c r="AB165" s="50">
        <v>4.0</v>
      </c>
      <c r="AC165" s="50">
        <v>1000.0</v>
      </c>
      <c r="AD165" s="50">
        <v>3.0</v>
      </c>
      <c r="AE165" s="50">
        <v>1.0</v>
      </c>
      <c r="AF165" s="116"/>
      <c r="AG165" s="116"/>
      <c r="AH165" s="50">
        <v>7.0</v>
      </c>
      <c r="AI165" s="50">
        <v>5000.0</v>
      </c>
      <c r="AJ165" s="50">
        <v>3.0</v>
      </c>
      <c r="AK165" s="50">
        <v>0.0</v>
      </c>
      <c r="AL165" s="50">
        <v>7.0</v>
      </c>
      <c r="AM165" s="50">
        <v>1000.0</v>
      </c>
      <c r="AN165" s="50">
        <v>3.0</v>
      </c>
      <c r="AO165" s="50">
        <v>0.0</v>
      </c>
      <c r="AP165" s="50">
        <v>1.0</v>
      </c>
      <c r="AQ165" s="50">
        <v>7.0</v>
      </c>
      <c r="AR165" s="50">
        <v>100.0</v>
      </c>
      <c r="AS165" s="50">
        <v>3.0</v>
      </c>
      <c r="AT165" s="50">
        <v>0.0</v>
      </c>
      <c r="AU165" s="50">
        <v>0.0</v>
      </c>
      <c r="AV165" s="116"/>
      <c r="AW165" s="116"/>
      <c r="AX165" s="116"/>
      <c r="AY165" s="116"/>
      <c r="AZ165" s="116"/>
      <c r="BA165" s="116"/>
      <c r="BB165" s="116"/>
      <c r="BC165" s="116"/>
      <c r="BD165" s="116"/>
      <c r="BE165" s="116"/>
      <c r="BF165" s="116"/>
      <c r="BG165" s="116"/>
      <c r="BH165" s="116"/>
      <c r="BI165" s="116"/>
      <c r="BJ165" s="116"/>
      <c r="BK165" s="116"/>
      <c r="BL165" s="116"/>
      <c r="BM165" s="116"/>
      <c r="BN165" s="116"/>
      <c r="BO165" s="116"/>
      <c r="BP165" s="116"/>
      <c r="BQ165" s="116"/>
      <c r="BR165" s="116"/>
      <c r="BS165" s="116"/>
      <c r="BT165" s="116"/>
      <c r="BU165" s="116"/>
      <c r="BV165" s="116"/>
      <c r="BW165" s="116"/>
      <c r="BX165" s="116"/>
      <c r="BY165" s="116"/>
      <c r="BZ165" s="116"/>
      <c r="CA165" s="116"/>
      <c r="CB165" s="116"/>
      <c r="CC165" s="50" t="s">
        <v>14743</v>
      </c>
      <c r="CD165" s="145">
        <v>43503.0</v>
      </c>
      <c r="CE165" s="50">
        <v>1.0</v>
      </c>
      <c r="CF165" s="50" t="s">
        <v>14206</v>
      </c>
      <c r="CG165" s="117">
        <v>4913.0</v>
      </c>
      <c r="CH165" s="50" t="s">
        <v>14781</v>
      </c>
      <c r="CI165" s="50" t="s">
        <v>14782</v>
      </c>
      <c r="CJ165" s="117">
        <v>164.0</v>
      </c>
    </row>
    <row r="166">
      <c r="A166" s="50" t="s">
        <v>14784</v>
      </c>
      <c r="B166" s="50" t="s">
        <v>6876</v>
      </c>
      <c r="C166" s="50" t="s">
        <v>6877</v>
      </c>
      <c r="D166" s="50" t="s">
        <v>8493</v>
      </c>
      <c r="E166" s="50" t="s">
        <v>14785</v>
      </c>
      <c r="F166" s="50">
        <v>59.0</v>
      </c>
      <c r="G166" s="50">
        <v>1.0</v>
      </c>
      <c r="H166" s="50">
        <v>11.0</v>
      </c>
      <c r="I166" s="116"/>
      <c r="J166" s="116"/>
      <c r="K166" s="50" t="s">
        <v>1517</v>
      </c>
      <c r="L166" s="50" t="s">
        <v>1517</v>
      </c>
      <c r="M166" s="50" t="s">
        <v>14729</v>
      </c>
      <c r="N166" s="50" t="s">
        <v>14730</v>
      </c>
      <c r="O166" s="50" t="s">
        <v>11118</v>
      </c>
      <c r="P166" s="50">
        <v>4.0</v>
      </c>
      <c r="Q166" s="116"/>
      <c r="R166" s="116"/>
      <c r="S166" s="50">
        <v>7.0</v>
      </c>
      <c r="T166" s="50">
        <v>1000.0</v>
      </c>
      <c r="U166" s="50">
        <v>1.0</v>
      </c>
      <c r="V166" s="116"/>
      <c r="W166" s="50">
        <v>7.0</v>
      </c>
      <c r="X166" s="50">
        <v>100.0</v>
      </c>
      <c r="Y166" s="50">
        <v>3.0</v>
      </c>
      <c r="Z166" s="50">
        <v>54.0</v>
      </c>
      <c r="AA166" s="50">
        <v>1.0</v>
      </c>
      <c r="AB166" s="50">
        <v>4.0</v>
      </c>
      <c r="AC166" s="50">
        <v>1000.0</v>
      </c>
      <c r="AD166" s="50">
        <v>3.0</v>
      </c>
      <c r="AE166" s="50">
        <v>0.0</v>
      </c>
      <c r="AF166" s="116"/>
      <c r="AG166" s="116"/>
      <c r="AH166" s="50">
        <v>7.0</v>
      </c>
      <c r="AI166" s="50">
        <v>5000.0</v>
      </c>
      <c r="AJ166" s="50">
        <v>3.0</v>
      </c>
      <c r="AK166" s="50">
        <v>0.0</v>
      </c>
      <c r="AL166" s="50">
        <v>7.0</v>
      </c>
      <c r="AM166" s="50">
        <v>1000.0</v>
      </c>
      <c r="AN166" s="50">
        <v>3.0</v>
      </c>
      <c r="AO166" s="50">
        <v>0.0</v>
      </c>
      <c r="AP166" s="50">
        <v>1.0</v>
      </c>
      <c r="AQ166" s="50">
        <v>7.0</v>
      </c>
      <c r="AR166" s="50">
        <v>100.0</v>
      </c>
      <c r="AS166" s="50">
        <v>3.0</v>
      </c>
      <c r="AT166" s="50">
        <v>0.0</v>
      </c>
      <c r="AU166" s="50">
        <v>0.0</v>
      </c>
      <c r="AV166" s="116"/>
      <c r="AW166" s="116"/>
      <c r="AX166" s="116"/>
      <c r="AY166" s="116"/>
      <c r="AZ166" s="116"/>
      <c r="BA166" s="116"/>
      <c r="BB166" s="116"/>
      <c r="BC166" s="116"/>
      <c r="BD166" s="116"/>
      <c r="BE166" s="116"/>
      <c r="BF166" s="116"/>
      <c r="BG166" s="116"/>
      <c r="BH166" s="116"/>
      <c r="BI166" s="116"/>
      <c r="BJ166" s="116"/>
      <c r="BK166" s="116"/>
      <c r="BL166" s="116"/>
      <c r="BM166" s="116"/>
      <c r="BN166" s="116"/>
      <c r="BO166" s="116"/>
      <c r="BP166" s="116"/>
      <c r="BQ166" s="116"/>
      <c r="BR166" s="116"/>
      <c r="BS166" s="116"/>
      <c r="BT166" s="116"/>
      <c r="BU166" s="116"/>
      <c r="BV166" s="116"/>
      <c r="BW166" s="116"/>
      <c r="BX166" s="116"/>
      <c r="BY166" s="116"/>
      <c r="BZ166" s="116"/>
      <c r="CA166" s="116"/>
      <c r="CB166" s="116"/>
      <c r="CC166" s="50" t="s">
        <v>14743</v>
      </c>
      <c r="CD166" s="145">
        <v>43503.0</v>
      </c>
      <c r="CE166" s="50">
        <v>1.0</v>
      </c>
      <c r="CF166" s="50" t="s">
        <v>14206</v>
      </c>
      <c r="CG166" s="117">
        <v>4914.0</v>
      </c>
      <c r="CH166" s="50" t="s">
        <v>14806</v>
      </c>
      <c r="CI166" s="50" t="s">
        <v>14807</v>
      </c>
      <c r="CJ166" s="117">
        <v>165.0</v>
      </c>
    </row>
    <row r="167">
      <c r="A167" s="50" t="s">
        <v>14808</v>
      </c>
      <c r="B167" s="50" t="s">
        <v>6876</v>
      </c>
      <c r="C167" s="50" t="s">
        <v>6877</v>
      </c>
      <c r="D167" s="50" t="s">
        <v>8493</v>
      </c>
      <c r="E167" s="50" t="s">
        <v>14809</v>
      </c>
      <c r="F167" s="50">
        <v>59.0</v>
      </c>
      <c r="G167" s="50">
        <v>1.0</v>
      </c>
      <c r="H167" s="50">
        <v>11.0</v>
      </c>
      <c r="I167" s="116"/>
      <c r="J167" s="116"/>
      <c r="K167" s="50" t="s">
        <v>1520</v>
      </c>
      <c r="L167" s="50" t="s">
        <v>1520</v>
      </c>
      <c r="M167" s="50" t="s">
        <v>14729</v>
      </c>
      <c r="N167" s="50" t="s">
        <v>14730</v>
      </c>
      <c r="O167" s="50" t="s">
        <v>11118</v>
      </c>
      <c r="P167" s="50">
        <v>4.0</v>
      </c>
      <c r="Q167" s="116"/>
      <c r="R167" s="116"/>
      <c r="S167" s="50">
        <v>7.0</v>
      </c>
      <c r="T167" s="50">
        <v>1000.0</v>
      </c>
      <c r="U167" s="50">
        <v>3.0</v>
      </c>
      <c r="V167" s="50">
        <v>0.0</v>
      </c>
      <c r="W167" s="50">
        <v>7.0</v>
      </c>
      <c r="X167" s="50">
        <v>100.0</v>
      </c>
      <c r="Y167" s="50">
        <v>3.0</v>
      </c>
      <c r="Z167" s="50">
        <v>172.0</v>
      </c>
      <c r="AA167" s="50">
        <v>1.0</v>
      </c>
      <c r="AB167" s="50">
        <v>4.0</v>
      </c>
      <c r="AC167" s="50">
        <v>1000.0</v>
      </c>
      <c r="AD167" s="50">
        <v>3.0</v>
      </c>
      <c r="AE167" s="50">
        <v>6.0</v>
      </c>
      <c r="AF167" s="116"/>
      <c r="AG167" s="116"/>
      <c r="AH167" s="50">
        <v>7.0</v>
      </c>
      <c r="AI167" s="50">
        <v>5000.0</v>
      </c>
      <c r="AJ167" s="50">
        <v>3.0</v>
      </c>
      <c r="AK167" s="50">
        <v>0.0</v>
      </c>
      <c r="AL167" s="50">
        <v>7.0</v>
      </c>
      <c r="AM167" s="50">
        <v>1000.0</v>
      </c>
      <c r="AN167" s="50">
        <v>3.0</v>
      </c>
      <c r="AO167" s="50">
        <v>0.0</v>
      </c>
      <c r="AP167" s="50">
        <v>1.0</v>
      </c>
      <c r="AQ167" s="50">
        <v>7.0</v>
      </c>
      <c r="AR167" s="50">
        <v>100.0</v>
      </c>
      <c r="AS167" s="50">
        <v>3.0</v>
      </c>
      <c r="AT167" s="50">
        <v>0.0</v>
      </c>
      <c r="AU167" s="50">
        <v>0.0</v>
      </c>
      <c r="AV167" s="116"/>
      <c r="AW167" s="116"/>
      <c r="AX167" s="116"/>
      <c r="AY167" s="116"/>
      <c r="AZ167" s="116"/>
      <c r="BA167" s="116"/>
      <c r="BB167" s="116"/>
      <c r="BC167" s="116"/>
      <c r="BD167" s="116"/>
      <c r="BE167" s="116"/>
      <c r="BF167" s="116"/>
      <c r="BG167" s="116"/>
      <c r="BH167" s="116"/>
      <c r="BI167" s="116"/>
      <c r="BJ167" s="116"/>
      <c r="BK167" s="116"/>
      <c r="BL167" s="116"/>
      <c r="BM167" s="116"/>
      <c r="BN167" s="116"/>
      <c r="BO167" s="116"/>
      <c r="BP167" s="116"/>
      <c r="BQ167" s="116"/>
      <c r="BR167" s="116"/>
      <c r="BS167" s="116"/>
      <c r="BT167" s="116"/>
      <c r="BU167" s="116"/>
      <c r="BV167" s="116"/>
      <c r="BW167" s="116"/>
      <c r="BX167" s="116"/>
      <c r="BY167" s="116"/>
      <c r="BZ167" s="116"/>
      <c r="CA167" s="116"/>
      <c r="CB167" s="116"/>
      <c r="CC167" s="50" t="s">
        <v>14680</v>
      </c>
      <c r="CD167" s="145">
        <v>43503.0</v>
      </c>
      <c r="CE167" s="50">
        <v>1.0</v>
      </c>
      <c r="CF167" s="50" t="s">
        <v>14206</v>
      </c>
      <c r="CG167" s="117">
        <v>4915.0</v>
      </c>
      <c r="CH167" s="50" t="s">
        <v>14826</v>
      </c>
      <c r="CI167" s="50" t="s">
        <v>14828</v>
      </c>
      <c r="CJ167" s="117">
        <v>166.0</v>
      </c>
    </row>
    <row r="168">
      <c r="A168" s="50" t="s">
        <v>14829</v>
      </c>
      <c r="B168" s="50" t="s">
        <v>6876</v>
      </c>
      <c r="C168" s="50" t="s">
        <v>6877</v>
      </c>
      <c r="D168" s="50" t="s">
        <v>8493</v>
      </c>
      <c r="E168" s="50" t="s">
        <v>14831</v>
      </c>
      <c r="F168" s="50">
        <v>59.0</v>
      </c>
      <c r="G168" s="50">
        <v>1.0</v>
      </c>
      <c r="H168" s="50">
        <v>11.0</v>
      </c>
      <c r="I168" s="116"/>
      <c r="J168" s="116"/>
      <c r="K168" s="50" t="s">
        <v>1525</v>
      </c>
      <c r="L168" s="50" t="s">
        <v>1525</v>
      </c>
      <c r="M168" s="50" t="s">
        <v>14835</v>
      </c>
      <c r="N168" s="50" t="s">
        <v>14836</v>
      </c>
      <c r="O168" s="50" t="s">
        <v>14837</v>
      </c>
      <c r="P168" s="50">
        <v>4.0</v>
      </c>
      <c r="Q168" s="116"/>
      <c r="R168" s="116"/>
      <c r="S168" s="50">
        <v>7.0</v>
      </c>
      <c r="T168" s="50">
        <v>1000.0</v>
      </c>
      <c r="U168" s="50">
        <v>1.0</v>
      </c>
      <c r="V168" s="116"/>
      <c r="W168" s="50">
        <v>7.0</v>
      </c>
      <c r="X168" s="50">
        <v>100.0</v>
      </c>
      <c r="Y168" s="50">
        <v>3.0</v>
      </c>
      <c r="Z168" s="50">
        <v>56.0</v>
      </c>
      <c r="AA168" s="50">
        <v>1.0</v>
      </c>
      <c r="AB168" s="50">
        <v>4.0</v>
      </c>
      <c r="AC168" s="50">
        <v>1000.0</v>
      </c>
      <c r="AD168" s="50">
        <v>3.0</v>
      </c>
      <c r="AE168" s="50">
        <v>5.0</v>
      </c>
      <c r="AF168" s="116"/>
      <c r="AG168" s="116"/>
      <c r="AH168" s="50">
        <v>7.0</v>
      </c>
      <c r="AI168" s="50">
        <v>5000.0</v>
      </c>
      <c r="AJ168" s="50">
        <v>3.0</v>
      </c>
      <c r="AK168" s="50">
        <v>0.0</v>
      </c>
      <c r="AL168" s="50">
        <v>7.0</v>
      </c>
      <c r="AM168" s="50">
        <v>1000.0</v>
      </c>
      <c r="AN168" s="50">
        <v>3.0</v>
      </c>
      <c r="AO168" s="50">
        <v>0.0</v>
      </c>
      <c r="AP168" s="50">
        <v>1.0</v>
      </c>
      <c r="AQ168" s="50">
        <v>7.0</v>
      </c>
      <c r="AR168" s="50">
        <v>100.0</v>
      </c>
      <c r="AS168" s="50">
        <v>3.0</v>
      </c>
      <c r="AT168" s="50">
        <v>0.0</v>
      </c>
      <c r="AU168" s="50">
        <v>0.0</v>
      </c>
      <c r="AV168" s="116"/>
      <c r="AW168" s="116"/>
      <c r="AX168" s="116"/>
      <c r="AY168" s="116"/>
      <c r="AZ168" s="116"/>
      <c r="BA168" s="116"/>
      <c r="BB168" s="116"/>
      <c r="BC168" s="116"/>
      <c r="BD168" s="116"/>
      <c r="BE168" s="116"/>
      <c r="BF168" s="116"/>
      <c r="BG168" s="116"/>
      <c r="BH168" s="116"/>
      <c r="BI168" s="116"/>
      <c r="BJ168" s="116"/>
      <c r="BK168" s="116"/>
      <c r="BL168" s="116"/>
      <c r="BM168" s="116"/>
      <c r="BN168" s="116"/>
      <c r="BO168" s="116"/>
      <c r="BP168" s="116"/>
      <c r="BQ168" s="116"/>
      <c r="BR168" s="116"/>
      <c r="BS168" s="116"/>
      <c r="BT168" s="116"/>
      <c r="BU168" s="116"/>
      <c r="BV168" s="116"/>
      <c r="BW168" s="116"/>
      <c r="BX168" s="116"/>
      <c r="BY168" s="116"/>
      <c r="BZ168" s="116"/>
      <c r="CA168" s="116"/>
      <c r="CB168" s="116"/>
      <c r="CC168" s="50" t="s">
        <v>14743</v>
      </c>
      <c r="CD168" s="145">
        <v>43503.0</v>
      </c>
      <c r="CE168" s="50">
        <v>1.0</v>
      </c>
      <c r="CF168" s="50" t="s">
        <v>14206</v>
      </c>
      <c r="CG168" s="117">
        <v>4916.0</v>
      </c>
      <c r="CH168" s="50" t="s">
        <v>14852</v>
      </c>
      <c r="CI168" s="50" t="s">
        <v>14854</v>
      </c>
      <c r="CJ168" s="117">
        <v>167.0</v>
      </c>
    </row>
    <row r="169">
      <c r="A169" s="50" t="s">
        <v>14855</v>
      </c>
      <c r="B169" s="50" t="s">
        <v>6876</v>
      </c>
      <c r="C169" s="50" t="s">
        <v>6877</v>
      </c>
      <c r="D169" s="50" t="s">
        <v>11623</v>
      </c>
      <c r="E169" s="50" t="s">
        <v>14856</v>
      </c>
      <c r="F169" s="50">
        <v>59.0</v>
      </c>
      <c r="G169" s="50">
        <v>1.0</v>
      </c>
      <c r="H169" s="50">
        <v>11.0</v>
      </c>
      <c r="I169" s="116"/>
      <c r="J169" s="116"/>
      <c r="K169" s="50" t="s">
        <v>1528</v>
      </c>
      <c r="L169" s="50" t="s">
        <v>1528</v>
      </c>
      <c r="M169" s="50" t="s">
        <v>14857</v>
      </c>
      <c r="N169" s="50" t="s">
        <v>14858</v>
      </c>
      <c r="O169" s="50" t="s">
        <v>14859</v>
      </c>
      <c r="P169" s="50">
        <v>4.0</v>
      </c>
      <c r="Q169" s="116"/>
      <c r="R169" s="116"/>
      <c r="S169" s="50">
        <v>7.0</v>
      </c>
      <c r="T169" s="50">
        <v>1000.0</v>
      </c>
      <c r="U169" s="50">
        <v>3.0</v>
      </c>
      <c r="V169" s="50">
        <v>0.0</v>
      </c>
      <c r="W169" s="50">
        <v>7.0</v>
      </c>
      <c r="X169" s="50">
        <v>100.0</v>
      </c>
      <c r="Y169" s="50">
        <v>3.0</v>
      </c>
      <c r="Z169" s="50">
        <v>0.0</v>
      </c>
      <c r="AA169" s="50">
        <v>1.0</v>
      </c>
      <c r="AB169" s="50">
        <v>4.0</v>
      </c>
      <c r="AC169" s="50">
        <v>1000.0</v>
      </c>
      <c r="AD169" s="50">
        <v>3.0</v>
      </c>
      <c r="AE169" s="50">
        <v>86.0</v>
      </c>
      <c r="AF169" s="116"/>
      <c r="AG169" s="116"/>
      <c r="AH169" s="50">
        <v>7.0</v>
      </c>
      <c r="AI169" s="50">
        <v>5000.0</v>
      </c>
      <c r="AJ169" s="50">
        <v>3.0</v>
      </c>
      <c r="AK169" s="50">
        <v>0.0</v>
      </c>
      <c r="AL169" s="50">
        <v>7.0</v>
      </c>
      <c r="AM169" s="50">
        <v>1000.0</v>
      </c>
      <c r="AN169" s="50">
        <v>3.0</v>
      </c>
      <c r="AO169" s="50">
        <v>0.0</v>
      </c>
      <c r="AP169" s="50">
        <v>1.0</v>
      </c>
      <c r="AQ169" s="50">
        <v>7.0</v>
      </c>
      <c r="AR169" s="50">
        <v>100.0</v>
      </c>
      <c r="AS169" s="50">
        <v>3.0</v>
      </c>
      <c r="AT169" s="50">
        <v>0.0</v>
      </c>
      <c r="AU169" s="50">
        <v>0.0</v>
      </c>
      <c r="AV169" s="116"/>
      <c r="AW169" s="116"/>
      <c r="AX169" s="116"/>
      <c r="AY169" s="116"/>
      <c r="AZ169" s="116"/>
      <c r="BA169" s="116"/>
      <c r="BB169" s="116"/>
      <c r="BC169" s="116"/>
      <c r="BD169" s="116"/>
      <c r="BE169" s="116"/>
      <c r="BF169" s="116"/>
      <c r="BG169" s="116"/>
      <c r="BH169" s="116"/>
      <c r="BI169" s="116"/>
      <c r="BJ169" s="116"/>
      <c r="BK169" s="116"/>
      <c r="BL169" s="116"/>
      <c r="BM169" s="116"/>
      <c r="BN169" s="116"/>
      <c r="BO169" s="116"/>
      <c r="BP169" s="116"/>
      <c r="BQ169" s="116"/>
      <c r="BR169" s="116"/>
      <c r="BS169" s="116"/>
      <c r="BT169" s="116"/>
      <c r="BU169" s="116"/>
      <c r="BV169" s="116"/>
      <c r="BW169" s="116"/>
      <c r="BX169" s="116"/>
      <c r="BY169" s="116"/>
      <c r="BZ169" s="116"/>
      <c r="CA169" s="116"/>
      <c r="CB169" s="116"/>
      <c r="CC169" s="50" t="s">
        <v>14872</v>
      </c>
      <c r="CD169" s="50" t="s">
        <v>14054</v>
      </c>
      <c r="CE169" s="50">
        <v>1.0</v>
      </c>
      <c r="CF169" s="50" t="s">
        <v>14873</v>
      </c>
      <c r="CG169" s="117">
        <v>5083.0</v>
      </c>
      <c r="CH169" s="50" t="s">
        <v>14875</v>
      </c>
      <c r="CI169" s="50" t="s">
        <v>14877</v>
      </c>
      <c r="CJ169" s="117">
        <v>168.0</v>
      </c>
    </row>
    <row r="170">
      <c r="A170" s="50" t="s">
        <v>14856</v>
      </c>
      <c r="B170" s="50" t="s">
        <v>6876</v>
      </c>
      <c r="C170" s="50" t="s">
        <v>6877</v>
      </c>
      <c r="D170" s="50" t="s">
        <v>11623</v>
      </c>
      <c r="E170" s="50" t="s">
        <v>14880</v>
      </c>
      <c r="F170" s="50">
        <v>59.0</v>
      </c>
      <c r="G170" s="50">
        <v>1.0</v>
      </c>
      <c r="H170" s="50">
        <v>11.0</v>
      </c>
      <c r="I170" s="116"/>
      <c r="J170" s="116"/>
      <c r="K170" s="50" t="s">
        <v>1535</v>
      </c>
      <c r="L170" s="50" t="s">
        <v>1535</v>
      </c>
      <c r="M170" s="50" t="s">
        <v>14884</v>
      </c>
      <c r="N170" s="50" t="s">
        <v>14885</v>
      </c>
      <c r="O170" s="50" t="s">
        <v>14887</v>
      </c>
      <c r="P170" s="50">
        <v>4.0</v>
      </c>
      <c r="Q170" s="116"/>
      <c r="R170" s="116"/>
      <c r="S170" s="50">
        <v>7.0</v>
      </c>
      <c r="T170" s="50">
        <v>1000.0</v>
      </c>
      <c r="U170" s="50">
        <v>1.0</v>
      </c>
      <c r="V170" s="116"/>
      <c r="W170" s="50">
        <v>7.0</v>
      </c>
      <c r="X170" s="50">
        <v>100.0</v>
      </c>
      <c r="Y170" s="50">
        <v>3.0</v>
      </c>
      <c r="Z170" s="50">
        <v>153.0</v>
      </c>
      <c r="AA170" s="50">
        <v>1.0</v>
      </c>
      <c r="AB170" s="50">
        <v>4.0</v>
      </c>
      <c r="AC170" s="50">
        <v>1000.0</v>
      </c>
      <c r="AD170" s="50">
        <v>3.0</v>
      </c>
      <c r="AE170" s="50">
        <v>12.0</v>
      </c>
      <c r="AF170" s="116"/>
      <c r="AG170" s="116"/>
      <c r="AH170" s="50">
        <v>7.0</v>
      </c>
      <c r="AI170" s="50">
        <v>5000.0</v>
      </c>
      <c r="AJ170" s="50">
        <v>3.0</v>
      </c>
      <c r="AK170" s="50">
        <v>0.0</v>
      </c>
      <c r="AL170" s="50">
        <v>7.0</v>
      </c>
      <c r="AM170" s="50">
        <v>1000.0</v>
      </c>
      <c r="AN170" s="50">
        <v>3.0</v>
      </c>
      <c r="AO170" s="50">
        <v>0.0</v>
      </c>
      <c r="AP170" s="50">
        <v>1.0</v>
      </c>
      <c r="AQ170" s="50">
        <v>7.0</v>
      </c>
      <c r="AR170" s="50">
        <v>100.0</v>
      </c>
      <c r="AS170" s="50">
        <v>3.0</v>
      </c>
      <c r="AT170" s="50">
        <v>0.0</v>
      </c>
      <c r="AU170" s="50">
        <v>0.0</v>
      </c>
      <c r="AV170" s="116"/>
      <c r="AW170" s="116"/>
      <c r="AX170" s="116"/>
      <c r="AY170" s="116"/>
      <c r="AZ170" s="116"/>
      <c r="BA170" s="116"/>
      <c r="BB170" s="116"/>
      <c r="BC170" s="116"/>
      <c r="BD170" s="116"/>
      <c r="BE170" s="116"/>
      <c r="BF170" s="116"/>
      <c r="BG170" s="116"/>
      <c r="BH170" s="116"/>
      <c r="BI170" s="116"/>
      <c r="BJ170" s="116"/>
      <c r="BK170" s="116"/>
      <c r="BL170" s="116"/>
      <c r="BM170" s="116"/>
      <c r="BN170" s="116"/>
      <c r="BO170" s="116"/>
      <c r="BP170" s="116"/>
      <c r="BQ170" s="116"/>
      <c r="BR170" s="116"/>
      <c r="BS170" s="116"/>
      <c r="BT170" s="116"/>
      <c r="BU170" s="116"/>
      <c r="BV170" s="116"/>
      <c r="BW170" s="116"/>
      <c r="BX170" s="116"/>
      <c r="BY170" s="116"/>
      <c r="BZ170" s="116"/>
      <c r="CA170" s="116"/>
      <c r="CB170" s="116"/>
      <c r="CC170" s="50" t="s">
        <v>14896</v>
      </c>
      <c r="CD170" s="145">
        <v>43503.0</v>
      </c>
      <c r="CE170" s="50">
        <v>1.0</v>
      </c>
      <c r="CF170" s="50" t="s">
        <v>14873</v>
      </c>
      <c r="CG170" s="117">
        <v>5084.0</v>
      </c>
      <c r="CH170" s="50" t="s">
        <v>14900</v>
      </c>
      <c r="CI170" s="50" t="s">
        <v>14901</v>
      </c>
      <c r="CJ170" s="117">
        <v>169.0</v>
      </c>
    </row>
    <row r="171">
      <c r="A171" s="50" t="s">
        <v>14903</v>
      </c>
      <c r="B171" s="50" t="s">
        <v>6876</v>
      </c>
      <c r="C171" s="50" t="s">
        <v>6877</v>
      </c>
      <c r="D171" s="50" t="s">
        <v>11623</v>
      </c>
      <c r="E171" s="50" t="s">
        <v>14905</v>
      </c>
      <c r="F171" s="50">
        <v>58.0</v>
      </c>
      <c r="G171" s="50">
        <v>1.0</v>
      </c>
      <c r="H171" s="50">
        <v>99.0</v>
      </c>
      <c r="I171" s="116"/>
      <c r="J171" s="116"/>
      <c r="K171" s="50" t="s">
        <v>603</v>
      </c>
      <c r="L171" s="50" t="s">
        <v>603</v>
      </c>
      <c r="M171" s="50" t="s">
        <v>14908</v>
      </c>
      <c r="N171" s="50" t="s">
        <v>14909</v>
      </c>
      <c r="O171" s="50" t="s">
        <v>14910</v>
      </c>
      <c r="P171" s="116"/>
      <c r="Q171" s="116"/>
      <c r="R171" s="116"/>
      <c r="S171" s="50">
        <v>7.0</v>
      </c>
      <c r="T171" s="50">
        <v>1000.0</v>
      </c>
      <c r="U171" s="50">
        <v>3.0</v>
      </c>
      <c r="V171" s="50">
        <v>0.0</v>
      </c>
      <c r="W171" s="116"/>
      <c r="X171" s="116"/>
      <c r="Y171" s="116"/>
      <c r="Z171" s="116"/>
      <c r="AA171" s="116"/>
      <c r="AB171" s="116"/>
      <c r="AC171" s="116"/>
      <c r="AD171" s="116"/>
      <c r="AE171" s="116"/>
      <c r="AF171" s="116"/>
      <c r="AG171" s="116"/>
      <c r="AH171" s="50">
        <v>7.0</v>
      </c>
      <c r="AI171" s="50">
        <v>1000.0</v>
      </c>
      <c r="AJ171" s="50">
        <v>3.0</v>
      </c>
      <c r="AK171" s="50">
        <v>0.0</v>
      </c>
      <c r="AL171" s="116"/>
      <c r="AM171" s="116"/>
      <c r="AN171" s="116"/>
      <c r="AO171" s="116"/>
      <c r="AP171" s="116"/>
      <c r="AQ171" s="116"/>
      <c r="AR171" s="116"/>
      <c r="AS171" s="116"/>
      <c r="AT171" s="116"/>
      <c r="AU171" s="50">
        <v>0.0</v>
      </c>
      <c r="AV171" s="116"/>
      <c r="AW171" s="116"/>
      <c r="AX171" s="116"/>
      <c r="AY171" s="116"/>
      <c r="AZ171" s="116"/>
      <c r="BA171" s="116"/>
      <c r="BB171" s="116"/>
      <c r="BC171" s="116"/>
      <c r="BD171" s="116"/>
      <c r="BE171" s="116"/>
      <c r="BF171" s="116"/>
      <c r="BG171" s="116"/>
      <c r="BH171" s="116"/>
      <c r="BI171" s="116"/>
      <c r="BJ171" s="116"/>
      <c r="BK171" s="116"/>
      <c r="BL171" s="116"/>
      <c r="BM171" s="116"/>
      <c r="BN171" s="116"/>
      <c r="BO171" s="116"/>
      <c r="BP171" s="116"/>
      <c r="BQ171" s="116"/>
      <c r="BR171" s="116"/>
      <c r="BS171" s="116"/>
      <c r="BT171" s="116"/>
      <c r="BU171" s="116"/>
      <c r="BV171" s="116"/>
      <c r="BW171" s="116"/>
      <c r="BX171" s="116"/>
      <c r="BY171" s="116"/>
      <c r="BZ171" s="116"/>
      <c r="CA171" s="116"/>
      <c r="CB171" s="116"/>
      <c r="CC171" s="50" t="s">
        <v>14919</v>
      </c>
      <c r="CD171" s="145">
        <v>43503.0</v>
      </c>
      <c r="CE171" s="50">
        <v>1.0</v>
      </c>
      <c r="CF171" s="50" t="s">
        <v>14921</v>
      </c>
      <c r="CG171" s="117">
        <v>5139.0</v>
      </c>
      <c r="CH171" s="50" t="s">
        <v>14923</v>
      </c>
      <c r="CI171" s="50" t="s">
        <v>14924</v>
      </c>
      <c r="CJ171" s="117">
        <v>170.0</v>
      </c>
    </row>
    <row r="172">
      <c r="A172" s="50" t="s">
        <v>14925</v>
      </c>
      <c r="B172" s="50" t="s">
        <v>6876</v>
      </c>
      <c r="C172" s="50" t="s">
        <v>6877</v>
      </c>
      <c r="D172" s="50" t="s">
        <v>11623</v>
      </c>
      <c r="E172" s="50" t="s">
        <v>14927</v>
      </c>
      <c r="F172" s="50">
        <v>66.0</v>
      </c>
      <c r="G172" s="50">
        <v>1.0</v>
      </c>
      <c r="H172" s="50">
        <v>99.0</v>
      </c>
      <c r="I172" s="116"/>
      <c r="J172" s="116"/>
      <c r="K172" s="50" t="s">
        <v>994</v>
      </c>
      <c r="L172" s="50" t="s">
        <v>994</v>
      </c>
      <c r="M172" s="50" t="s">
        <v>14908</v>
      </c>
      <c r="N172" s="50" t="s">
        <v>14909</v>
      </c>
      <c r="O172" s="50" t="s">
        <v>14910</v>
      </c>
      <c r="P172" s="116"/>
      <c r="Q172" s="116"/>
      <c r="R172" s="116"/>
      <c r="S172" s="50">
        <v>7.0</v>
      </c>
      <c r="T172" s="50">
        <v>1000.0</v>
      </c>
      <c r="U172" s="50">
        <v>3.0</v>
      </c>
      <c r="V172" s="50">
        <v>0.0</v>
      </c>
      <c r="W172" s="116"/>
      <c r="X172" s="116"/>
      <c r="Y172" s="116"/>
      <c r="Z172" s="116"/>
      <c r="AA172" s="116"/>
      <c r="AB172" s="116"/>
      <c r="AC172" s="116"/>
      <c r="AD172" s="116"/>
      <c r="AE172" s="116"/>
      <c r="AF172" s="116"/>
      <c r="AG172" s="116"/>
      <c r="AH172" s="50">
        <v>7.0</v>
      </c>
      <c r="AI172" s="50">
        <v>1000.0</v>
      </c>
      <c r="AJ172" s="50">
        <v>3.0</v>
      </c>
      <c r="AK172" s="50">
        <v>0.0</v>
      </c>
      <c r="AL172" s="116"/>
      <c r="AM172" s="116"/>
      <c r="AN172" s="116"/>
      <c r="AO172" s="116"/>
      <c r="AP172" s="116"/>
      <c r="AQ172" s="116"/>
      <c r="AR172" s="116"/>
      <c r="AS172" s="116"/>
      <c r="AT172" s="116"/>
      <c r="AU172" s="50">
        <v>0.0</v>
      </c>
      <c r="AV172" s="116"/>
      <c r="AW172" s="116"/>
      <c r="AX172" s="116"/>
      <c r="AY172" s="116"/>
      <c r="AZ172" s="116"/>
      <c r="BA172" s="116"/>
      <c r="BB172" s="116"/>
      <c r="BC172" s="116"/>
      <c r="BD172" s="116"/>
      <c r="BE172" s="116"/>
      <c r="BF172" s="116"/>
      <c r="BG172" s="116"/>
      <c r="BH172" s="116"/>
      <c r="BI172" s="116"/>
      <c r="BJ172" s="116"/>
      <c r="BK172" s="116"/>
      <c r="BL172" s="116"/>
      <c r="BM172" s="116"/>
      <c r="BN172" s="116"/>
      <c r="BO172" s="116"/>
      <c r="BP172" s="116"/>
      <c r="BQ172" s="116"/>
      <c r="BR172" s="116"/>
      <c r="BS172" s="116"/>
      <c r="BT172" s="116"/>
      <c r="BU172" s="116"/>
      <c r="BV172" s="116"/>
      <c r="BW172" s="116"/>
      <c r="BX172" s="116"/>
      <c r="BY172" s="116"/>
      <c r="BZ172" s="116"/>
      <c r="CA172" s="116"/>
      <c r="CB172" s="116"/>
      <c r="CC172" s="50" t="s">
        <v>14947</v>
      </c>
      <c r="CD172" s="145">
        <v>43503.0</v>
      </c>
      <c r="CE172" s="50">
        <v>1.0</v>
      </c>
      <c r="CF172" s="50" t="s">
        <v>14921</v>
      </c>
      <c r="CG172" s="117">
        <v>5140.0</v>
      </c>
      <c r="CH172" s="50" t="s">
        <v>14951</v>
      </c>
      <c r="CI172" s="50" t="s">
        <v>14952</v>
      </c>
      <c r="CJ172" s="117">
        <v>171.0</v>
      </c>
    </row>
    <row r="173">
      <c r="A173" s="50" t="s">
        <v>14927</v>
      </c>
      <c r="B173" s="50" t="s">
        <v>6876</v>
      </c>
      <c r="C173" s="50" t="s">
        <v>6877</v>
      </c>
      <c r="D173" s="50" t="s">
        <v>11623</v>
      </c>
      <c r="E173" s="50" t="s">
        <v>14955</v>
      </c>
      <c r="F173" s="50">
        <v>59.0</v>
      </c>
      <c r="G173" s="50">
        <v>1.0</v>
      </c>
      <c r="H173" s="50">
        <v>99.0</v>
      </c>
      <c r="I173" s="116"/>
      <c r="J173" s="116"/>
      <c r="K173" s="50" t="s">
        <v>233</v>
      </c>
      <c r="L173" s="50" t="s">
        <v>233</v>
      </c>
      <c r="M173" s="50" t="s">
        <v>14908</v>
      </c>
      <c r="N173" s="50" t="s">
        <v>14909</v>
      </c>
      <c r="O173" s="50" t="s">
        <v>14910</v>
      </c>
      <c r="P173" s="116"/>
      <c r="Q173" s="116"/>
      <c r="R173" s="116"/>
      <c r="S173" s="50">
        <v>7.0</v>
      </c>
      <c r="T173" s="50">
        <v>1000.0</v>
      </c>
      <c r="U173" s="50">
        <v>3.0</v>
      </c>
      <c r="V173" s="50">
        <v>0.0</v>
      </c>
      <c r="W173" s="116"/>
      <c r="X173" s="116"/>
      <c r="Y173" s="116"/>
      <c r="Z173" s="116"/>
      <c r="AA173" s="116"/>
      <c r="AB173" s="116"/>
      <c r="AC173" s="116"/>
      <c r="AD173" s="116"/>
      <c r="AE173" s="116"/>
      <c r="AF173" s="116"/>
      <c r="AG173" s="116"/>
      <c r="AH173" s="50">
        <v>7.0</v>
      </c>
      <c r="AI173" s="50">
        <v>1000.0</v>
      </c>
      <c r="AJ173" s="50">
        <v>3.0</v>
      </c>
      <c r="AK173" s="50">
        <v>0.0</v>
      </c>
      <c r="AL173" s="116"/>
      <c r="AM173" s="116"/>
      <c r="AN173" s="116"/>
      <c r="AO173" s="116"/>
      <c r="AP173" s="116"/>
      <c r="AQ173" s="116"/>
      <c r="AR173" s="116"/>
      <c r="AS173" s="116"/>
      <c r="AT173" s="116"/>
      <c r="AU173" s="50">
        <v>0.0</v>
      </c>
      <c r="AV173" s="116"/>
      <c r="AW173" s="116"/>
      <c r="AX173" s="116"/>
      <c r="AY173" s="116"/>
      <c r="AZ173" s="116"/>
      <c r="BA173" s="116"/>
      <c r="BB173" s="116"/>
      <c r="BC173" s="116"/>
      <c r="BD173" s="116"/>
      <c r="BE173" s="116"/>
      <c r="BF173" s="116"/>
      <c r="BG173" s="116"/>
      <c r="BH173" s="116"/>
      <c r="BI173" s="116"/>
      <c r="BJ173" s="116"/>
      <c r="BK173" s="116"/>
      <c r="BL173" s="116"/>
      <c r="BM173" s="116"/>
      <c r="BN173" s="116"/>
      <c r="BO173" s="116"/>
      <c r="BP173" s="116"/>
      <c r="BQ173" s="116"/>
      <c r="BR173" s="116"/>
      <c r="BS173" s="116"/>
      <c r="BT173" s="116"/>
      <c r="BU173" s="116"/>
      <c r="BV173" s="116"/>
      <c r="BW173" s="116"/>
      <c r="BX173" s="116"/>
      <c r="BY173" s="116"/>
      <c r="BZ173" s="116"/>
      <c r="CA173" s="116"/>
      <c r="CB173" s="116"/>
      <c r="CC173" s="50" t="s">
        <v>14970</v>
      </c>
      <c r="CD173" s="145">
        <v>43503.0</v>
      </c>
      <c r="CE173" s="50">
        <v>1.0</v>
      </c>
      <c r="CF173" s="50" t="s">
        <v>14921</v>
      </c>
      <c r="CG173" s="117">
        <v>5141.0</v>
      </c>
      <c r="CH173" s="50" t="s">
        <v>14971</v>
      </c>
      <c r="CI173" s="50" t="s">
        <v>14973</v>
      </c>
      <c r="CJ173" s="117">
        <v>172.0</v>
      </c>
    </row>
    <row r="174">
      <c r="A174" s="50" t="s">
        <v>14955</v>
      </c>
      <c r="B174" s="50" t="s">
        <v>6876</v>
      </c>
      <c r="C174" s="50" t="s">
        <v>6877</v>
      </c>
      <c r="D174" s="50" t="s">
        <v>11623</v>
      </c>
      <c r="E174" s="50" t="s">
        <v>14976</v>
      </c>
      <c r="F174" s="50">
        <v>59.0</v>
      </c>
      <c r="G174" s="50">
        <v>1.0</v>
      </c>
      <c r="H174" s="50">
        <v>99.0</v>
      </c>
      <c r="I174" s="116"/>
      <c r="J174" s="116"/>
      <c r="K174" s="50" t="s">
        <v>237</v>
      </c>
      <c r="L174" s="50" t="s">
        <v>237</v>
      </c>
      <c r="M174" s="50" t="s">
        <v>14908</v>
      </c>
      <c r="N174" s="50" t="s">
        <v>14909</v>
      </c>
      <c r="O174" s="50" t="s">
        <v>14910</v>
      </c>
      <c r="P174" s="116"/>
      <c r="Q174" s="116"/>
      <c r="R174" s="116"/>
      <c r="S174" s="50">
        <v>7.0</v>
      </c>
      <c r="T174" s="50">
        <v>1000.0</v>
      </c>
      <c r="U174" s="50">
        <v>3.0</v>
      </c>
      <c r="V174" s="50">
        <v>0.0</v>
      </c>
      <c r="W174" s="116"/>
      <c r="X174" s="116"/>
      <c r="Y174" s="116"/>
      <c r="Z174" s="116"/>
      <c r="AA174" s="116"/>
      <c r="AB174" s="116"/>
      <c r="AC174" s="116"/>
      <c r="AD174" s="116"/>
      <c r="AE174" s="116"/>
      <c r="AF174" s="116"/>
      <c r="AG174" s="116"/>
      <c r="AH174" s="50">
        <v>7.0</v>
      </c>
      <c r="AI174" s="50">
        <v>1000.0</v>
      </c>
      <c r="AJ174" s="50">
        <v>3.0</v>
      </c>
      <c r="AK174" s="50">
        <v>0.0</v>
      </c>
      <c r="AL174" s="116"/>
      <c r="AM174" s="116"/>
      <c r="AN174" s="116"/>
      <c r="AO174" s="116"/>
      <c r="AP174" s="116"/>
      <c r="AQ174" s="116"/>
      <c r="AR174" s="116"/>
      <c r="AS174" s="116"/>
      <c r="AT174" s="116"/>
      <c r="AU174" s="50">
        <v>0.0</v>
      </c>
      <c r="AV174" s="116"/>
      <c r="AW174" s="116"/>
      <c r="AX174" s="116"/>
      <c r="AY174" s="116"/>
      <c r="AZ174" s="116"/>
      <c r="BA174" s="116"/>
      <c r="BB174" s="116"/>
      <c r="BC174" s="116"/>
      <c r="BD174" s="116"/>
      <c r="BE174" s="116"/>
      <c r="BF174" s="116"/>
      <c r="BG174" s="116"/>
      <c r="BH174" s="116"/>
      <c r="BI174" s="116"/>
      <c r="BJ174" s="116"/>
      <c r="BK174" s="116"/>
      <c r="BL174" s="116"/>
      <c r="BM174" s="116"/>
      <c r="BN174" s="116"/>
      <c r="BO174" s="116"/>
      <c r="BP174" s="116"/>
      <c r="BQ174" s="116"/>
      <c r="BR174" s="116"/>
      <c r="BS174" s="116"/>
      <c r="BT174" s="116"/>
      <c r="BU174" s="116"/>
      <c r="BV174" s="116"/>
      <c r="BW174" s="116"/>
      <c r="BX174" s="116"/>
      <c r="BY174" s="116"/>
      <c r="BZ174" s="116"/>
      <c r="CA174" s="116"/>
      <c r="CB174" s="116"/>
      <c r="CC174" s="50" t="s">
        <v>14991</v>
      </c>
      <c r="CD174" s="145">
        <v>43503.0</v>
      </c>
      <c r="CE174" s="50">
        <v>1.0</v>
      </c>
      <c r="CF174" s="50" t="s">
        <v>14921</v>
      </c>
      <c r="CG174" s="117">
        <v>5142.0</v>
      </c>
      <c r="CH174" s="50" t="s">
        <v>14995</v>
      </c>
      <c r="CI174" s="50" t="s">
        <v>14996</v>
      </c>
      <c r="CJ174" s="117">
        <v>173.0</v>
      </c>
    </row>
    <row r="175">
      <c r="A175" s="50" t="s">
        <v>14976</v>
      </c>
      <c r="B175" s="50" t="s">
        <v>6876</v>
      </c>
      <c r="C175" s="50" t="s">
        <v>6877</v>
      </c>
      <c r="D175" s="50" t="s">
        <v>11623</v>
      </c>
      <c r="E175" s="50" t="s">
        <v>14997</v>
      </c>
      <c r="F175" s="50">
        <v>60.0</v>
      </c>
      <c r="G175" s="50">
        <v>1.0</v>
      </c>
      <c r="H175" s="50">
        <v>99.0</v>
      </c>
      <c r="I175" s="116"/>
      <c r="J175" s="116"/>
      <c r="K175" s="50" t="s">
        <v>240</v>
      </c>
      <c r="L175" s="50" t="s">
        <v>240</v>
      </c>
      <c r="M175" s="50" t="s">
        <v>14908</v>
      </c>
      <c r="N175" s="50" t="s">
        <v>14909</v>
      </c>
      <c r="O175" s="50" t="s">
        <v>14910</v>
      </c>
      <c r="P175" s="116"/>
      <c r="Q175" s="116"/>
      <c r="R175" s="116"/>
      <c r="S175" s="50">
        <v>7.0</v>
      </c>
      <c r="T175" s="50">
        <v>1000.0</v>
      </c>
      <c r="U175" s="50">
        <v>3.0</v>
      </c>
      <c r="V175" s="50">
        <v>0.0</v>
      </c>
      <c r="W175" s="116"/>
      <c r="X175" s="116"/>
      <c r="Y175" s="116"/>
      <c r="Z175" s="116"/>
      <c r="AA175" s="116"/>
      <c r="AB175" s="116"/>
      <c r="AC175" s="116"/>
      <c r="AD175" s="116"/>
      <c r="AE175" s="116"/>
      <c r="AF175" s="116"/>
      <c r="AG175" s="116"/>
      <c r="AH175" s="50">
        <v>7.0</v>
      </c>
      <c r="AI175" s="50">
        <v>1000.0</v>
      </c>
      <c r="AJ175" s="50">
        <v>3.0</v>
      </c>
      <c r="AK175" s="50">
        <v>0.0</v>
      </c>
      <c r="AL175" s="116"/>
      <c r="AM175" s="116"/>
      <c r="AN175" s="116"/>
      <c r="AO175" s="116"/>
      <c r="AP175" s="116"/>
      <c r="AQ175" s="116"/>
      <c r="AR175" s="116"/>
      <c r="AS175" s="116"/>
      <c r="AT175" s="116"/>
      <c r="AU175" s="50">
        <v>0.0</v>
      </c>
      <c r="AV175" s="116"/>
      <c r="AW175" s="116"/>
      <c r="AX175" s="116"/>
      <c r="AY175" s="116"/>
      <c r="AZ175" s="116"/>
      <c r="BA175" s="116"/>
      <c r="BB175" s="116"/>
      <c r="BC175" s="116"/>
      <c r="BD175" s="116"/>
      <c r="BE175" s="116"/>
      <c r="BF175" s="116"/>
      <c r="BG175" s="116"/>
      <c r="BH175" s="116"/>
      <c r="BI175" s="116"/>
      <c r="BJ175" s="116"/>
      <c r="BK175" s="116"/>
      <c r="BL175" s="116"/>
      <c r="BM175" s="116"/>
      <c r="BN175" s="116"/>
      <c r="BO175" s="116"/>
      <c r="BP175" s="116"/>
      <c r="BQ175" s="116"/>
      <c r="BR175" s="116"/>
      <c r="BS175" s="116"/>
      <c r="BT175" s="116"/>
      <c r="BU175" s="116"/>
      <c r="BV175" s="116"/>
      <c r="BW175" s="116"/>
      <c r="BX175" s="116"/>
      <c r="BY175" s="116"/>
      <c r="BZ175" s="116"/>
      <c r="CA175" s="116"/>
      <c r="CB175" s="116"/>
      <c r="CC175" s="50" t="s">
        <v>15007</v>
      </c>
      <c r="CD175" s="145">
        <v>43503.0</v>
      </c>
      <c r="CE175" s="50">
        <v>1.0</v>
      </c>
      <c r="CF175" s="50" t="s">
        <v>14921</v>
      </c>
      <c r="CG175" s="117">
        <v>5143.0</v>
      </c>
      <c r="CH175" s="50" t="s">
        <v>15010</v>
      </c>
      <c r="CI175" s="50" t="s">
        <v>15012</v>
      </c>
      <c r="CJ175" s="117">
        <v>174.0</v>
      </c>
    </row>
    <row r="176">
      <c r="A176" s="50" t="s">
        <v>15014</v>
      </c>
      <c r="B176" s="50" t="s">
        <v>6876</v>
      </c>
      <c r="C176" s="50" t="s">
        <v>6877</v>
      </c>
      <c r="D176" s="50" t="s">
        <v>11623</v>
      </c>
      <c r="E176" s="50" t="s">
        <v>15016</v>
      </c>
      <c r="F176" s="50">
        <v>59.0</v>
      </c>
      <c r="G176" s="50">
        <v>1.0</v>
      </c>
      <c r="H176" s="50">
        <v>99.0</v>
      </c>
      <c r="I176" s="116"/>
      <c r="J176" s="116"/>
      <c r="K176" s="50" t="s">
        <v>243</v>
      </c>
      <c r="L176" s="50" t="s">
        <v>243</v>
      </c>
      <c r="M176" s="50" t="s">
        <v>14908</v>
      </c>
      <c r="N176" s="50" t="s">
        <v>14909</v>
      </c>
      <c r="O176" s="50" t="s">
        <v>14910</v>
      </c>
      <c r="P176" s="116"/>
      <c r="Q176" s="116"/>
      <c r="R176" s="116"/>
      <c r="S176" s="50">
        <v>7.0</v>
      </c>
      <c r="T176" s="50">
        <v>1000.0</v>
      </c>
      <c r="U176" s="50">
        <v>3.0</v>
      </c>
      <c r="V176" s="50">
        <v>0.0</v>
      </c>
      <c r="W176" s="116"/>
      <c r="X176" s="116"/>
      <c r="Y176" s="116"/>
      <c r="Z176" s="116"/>
      <c r="AA176" s="116"/>
      <c r="AB176" s="116"/>
      <c r="AC176" s="116"/>
      <c r="AD176" s="116"/>
      <c r="AE176" s="116"/>
      <c r="AF176" s="116"/>
      <c r="AG176" s="116"/>
      <c r="AH176" s="50">
        <v>7.0</v>
      </c>
      <c r="AI176" s="50">
        <v>1000.0</v>
      </c>
      <c r="AJ176" s="50">
        <v>3.0</v>
      </c>
      <c r="AK176" s="50">
        <v>0.0</v>
      </c>
      <c r="AL176" s="116"/>
      <c r="AM176" s="116"/>
      <c r="AN176" s="116"/>
      <c r="AO176" s="116"/>
      <c r="AP176" s="116"/>
      <c r="AQ176" s="116"/>
      <c r="AR176" s="116"/>
      <c r="AS176" s="116"/>
      <c r="AT176" s="116"/>
      <c r="AU176" s="50">
        <v>0.0</v>
      </c>
      <c r="AV176" s="116"/>
      <c r="AW176" s="116"/>
      <c r="AX176" s="116"/>
      <c r="AY176" s="116"/>
      <c r="AZ176" s="116"/>
      <c r="BA176" s="116"/>
      <c r="BB176" s="116"/>
      <c r="BC176" s="116"/>
      <c r="BD176" s="116"/>
      <c r="BE176" s="116"/>
      <c r="BF176" s="116"/>
      <c r="BG176" s="116"/>
      <c r="BH176" s="116"/>
      <c r="BI176" s="116"/>
      <c r="BJ176" s="116"/>
      <c r="BK176" s="116"/>
      <c r="BL176" s="116"/>
      <c r="BM176" s="116"/>
      <c r="BN176" s="116"/>
      <c r="BO176" s="116"/>
      <c r="BP176" s="116"/>
      <c r="BQ176" s="116"/>
      <c r="BR176" s="116"/>
      <c r="BS176" s="116"/>
      <c r="BT176" s="116"/>
      <c r="BU176" s="116"/>
      <c r="BV176" s="116"/>
      <c r="BW176" s="116"/>
      <c r="BX176" s="116"/>
      <c r="BY176" s="116"/>
      <c r="BZ176" s="116"/>
      <c r="CA176" s="116"/>
      <c r="CB176" s="116"/>
      <c r="CC176" s="50" t="s">
        <v>15026</v>
      </c>
      <c r="CD176" s="145">
        <v>43503.0</v>
      </c>
      <c r="CE176" s="50">
        <v>1.0</v>
      </c>
      <c r="CF176" s="50" t="s">
        <v>14921</v>
      </c>
      <c r="CG176" s="117">
        <v>5144.0</v>
      </c>
      <c r="CH176" s="50" t="s">
        <v>15027</v>
      </c>
      <c r="CI176" s="50" t="s">
        <v>15028</v>
      </c>
      <c r="CJ176" s="117">
        <v>175.0</v>
      </c>
    </row>
    <row r="177">
      <c r="A177" s="50" t="s">
        <v>15031</v>
      </c>
      <c r="B177" s="50" t="s">
        <v>6876</v>
      </c>
      <c r="C177" s="50" t="s">
        <v>6877</v>
      </c>
      <c r="D177" s="50" t="s">
        <v>11623</v>
      </c>
      <c r="E177" s="50" t="s">
        <v>15033</v>
      </c>
      <c r="F177" s="50">
        <v>59.0</v>
      </c>
      <c r="G177" s="50">
        <v>1.0</v>
      </c>
      <c r="H177" s="50">
        <v>99.0</v>
      </c>
      <c r="I177" s="116"/>
      <c r="J177" s="116"/>
      <c r="K177" s="50" t="s">
        <v>247</v>
      </c>
      <c r="L177" s="50" t="s">
        <v>247</v>
      </c>
      <c r="M177" s="50" t="s">
        <v>14908</v>
      </c>
      <c r="N177" s="50" t="s">
        <v>14909</v>
      </c>
      <c r="O177" s="50" t="s">
        <v>14910</v>
      </c>
      <c r="P177" s="116"/>
      <c r="Q177" s="116"/>
      <c r="R177" s="116"/>
      <c r="S177" s="50">
        <v>7.0</v>
      </c>
      <c r="T177" s="50">
        <v>1000.0</v>
      </c>
      <c r="U177" s="50">
        <v>3.0</v>
      </c>
      <c r="V177" s="50">
        <v>0.0</v>
      </c>
      <c r="W177" s="116"/>
      <c r="X177" s="116"/>
      <c r="Y177" s="116"/>
      <c r="Z177" s="116"/>
      <c r="AA177" s="116"/>
      <c r="AB177" s="116"/>
      <c r="AC177" s="116"/>
      <c r="AD177" s="116"/>
      <c r="AE177" s="116"/>
      <c r="AF177" s="116"/>
      <c r="AG177" s="116"/>
      <c r="AH177" s="50">
        <v>7.0</v>
      </c>
      <c r="AI177" s="50">
        <v>1000.0</v>
      </c>
      <c r="AJ177" s="50">
        <v>3.0</v>
      </c>
      <c r="AK177" s="50">
        <v>0.0</v>
      </c>
      <c r="AL177" s="116"/>
      <c r="AM177" s="116"/>
      <c r="AN177" s="116"/>
      <c r="AO177" s="116"/>
      <c r="AP177" s="116"/>
      <c r="AQ177" s="116"/>
      <c r="AR177" s="116"/>
      <c r="AS177" s="116"/>
      <c r="AT177" s="116"/>
      <c r="AU177" s="50">
        <v>0.0</v>
      </c>
      <c r="AV177" s="116"/>
      <c r="AW177" s="116"/>
      <c r="AX177" s="116"/>
      <c r="AY177" s="116"/>
      <c r="AZ177" s="116"/>
      <c r="BA177" s="116"/>
      <c r="BB177" s="116"/>
      <c r="BC177" s="116"/>
      <c r="BD177" s="116"/>
      <c r="BE177" s="116"/>
      <c r="BF177" s="116"/>
      <c r="BG177" s="116"/>
      <c r="BH177" s="116"/>
      <c r="BI177" s="116"/>
      <c r="BJ177" s="116"/>
      <c r="BK177" s="116"/>
      <c r="BL177" s="116"/>
      <c r="BM177" s="116"/>
      <c r="BN177" s="116"/>
      <c r="BO177" s="116"/>
      <c r="BP177" s="116"/>
      <c r="BQ177" s="116"/>
      <c r="BR177" s="116"/>
      <c r="BS177" s="116"/>
      <c r="BT177" s="116"/>
      <c r="BU177" s="116"/>
      <c r="BV177" s="116"/>
      <c r="BW177" s="116"/>
      <c r="BX177" s="116"/>
      <c r="BY177" s="116"/>
      <c r="BZ177" s="116"/>
      <c r="CA177" s="116"/>
      <c r="CB177" s="116"/>
      <c r="CC177" s="50" t="s">
        <v>15046</v>
      </c>
      <c r="CD177" s="145">
        <v>43503.0</v>
      </c>
      <c r="CE177" s="50">
        <v>1.0</v>
      </c>
      <c r="CF177" s="50" t="s">
        <v>14921</v>
      </c>
      <c r="CG177" s="117">
        <v>5145.0</v>
      </c>
      <c r="CH177" s="50" t="s">
        <v>15050</v>
      </c>
      <c r="CI177" s="50" t="s">
        <v>15052</v>
      </c>
      <c r="CJ177" s="117">
        <v>176.0</v>
      </c>
    </row>
    <row r="178">
      <c r="A178" s="50" t="s">
        <v>15054</v>
      </c>
      <c r="B178" s="50" t="s">
        <v>6876</v>
      </c>
      <c r="C178" s="50" t="s">
        <v>6877</v>
      </c>
      <c r="D178" s="50" t="s">
        <v>11623</v>
      </c>
      <c r="E178" s="50" t="s">
        <v>15056</v>
      </c>
      <c r="F178" s="50">
        <v>59.0</v>
      </c>
      <c r="G178" s="50">
        <v>1.0</v>
      </c>
      <c r="H178" s="50">
        <v>99.0</v>
      </c>
      <c r="I178" s="116"/>
      <c r="J178" s="116"/>
      <c r="K178" s="50" t="s">
        <v>250</v>
      </c>
      <c r="L178" s="50" t="s">
        <v>250</v>
      </c>
      <c r="M178" s="50" t="s">
        <v>14908</v>
      </c>
      <c r="N178" s="50" t="s">
        <v>14909</v>
      </c>
      <c r="O178" s="50" t="s">
        <v>14910</v>
      </c>
      <c r="P178" s="116"/>
      <c r="Q178" s="116"/>
      <c r="R178" s="116"/>
      <c r="S178" s="50">
        <v>7.0</v>
      </c>
      <c r="T178" s="50">
        <v>1000.0</v>
      </c>
      <c r="U178" s="50">
        <v>3.0</v>
      </c>
      <c r="V178" s="50">
        <v>0.0</v>
      </c>
      <c r="W178" s="116"/>
      <c r="X178" s="116"/>
      <c r="Y178" s="116"/>
      <c r="Z178" s="116"/>
      <c r="AA178" s="116"/>
      <c r="AB178" s="116"/>
      <c r="AC178" s="116"/>
      <c r="AD178" s="116"/>
      <c r="AE178" s="116"/>
      <c r="AF178" s="116"/>
      <c r="AG178" s="116"/>
      <c r="AH178" s="50">
        <v>7.0</v>
      </c>
      <c r="AI178" s="50">
        <v>1000.0</v>
      </c>
      <c r="AJ178" s="50">
        <v>3.0</v>
      </c>
      <c r="AK178" s="50">
        <v>0.0</v>
      </c>
      <c r="AL178" s="116"/>
      <c r="AM178" s="116"/>
      <c r="AN178" s="116"/>
      <c r="AO178" s="116"/>
      <c r="AP178" s="116"/>
      <c r="AQ178" s="116"/>
      <c r="AR178" s="116"/>
      <c r="AS178" s="116"/>
      <c r="AT178" s="116"/>
      <c r="AU178" s="50">
        <v>0.0</v>
      </c>
      <c r="AV178" s="116"/>
      <c r="AW178" s="116"/>
      <c r="AX178" s="116"/>
      <c r="AY178" s="116"/>
      <c r="AZ178" s="116"/>
      <c r="BA178" s="116"/>
      <c r="BB178" s="116"/>
      <c r="BC178" s="116"/>
      <c r="BD178" s="116"/>
      <c r="BE178" s="116"/>
      <c r="BF178" s="116"/>
      <c r="BG178" s="116"/>
      <c r="BH178" s="116"/>
      <c r="BI178" s="116"/>
      <c r="BJ178" s="116"/>
      <c r="BK178" s="116"/>
      <c r="BL178" s="116"/>
      <c r="BM178" s="116"/>
      <c r="BN178" s="116"/>
      <c r="BO178" s="116"/>
      <c r="BP178" s="116"/>
      <c r="BQ178" s="116"/>
      <c r="BR178" s="116"/>
      <c r="BS178" s="116"/>
      <c r="BT178" s="116"/>
      <c r="BU178" s="116"/>
      <c r="BV178" s="116"/>
      <c r="BW178" s="116"/>
      <c r="BX178" s="116"/>
      <c r="BY178" s="116"/>
      <c r="BZ178" s="116"/>
      <c r="CA178" s="116"/>
      <c r="CB178" s="116"/>
      <c r="CC178" s="50" t="s">
        <v>15070</v>
      </c>
      <c r="CD178" s="145">
        <v>43503.0</v>
      </c>
      <c r="CE178" s="50">
        <v>1.0</v>
      </c>
      <c r="CF178" s="50" t="s">
        <v>14921</v>
      </c>
      <c r="CG178" s="117">
        <v>5146.0</v>
      </c>
      <c r="CH178" s="50" t="s">
        <v>15072</v>
      </c>
      <c r="CI178" s="50" t="s">
        <v>15073</v>
      </c>
      <c r="CJ178" s="117">
        <v>177.0</v>
      </c>
    </row>
    <row r="179">
      <c r="A179" s="50" t="s">
        <v>15075</v>
      </c>
      <c r="B179" s="50" t="s">
        <v>6876</v>
      </c>
      <c r="C179" s="50" t="s">
        <v>6877</v>
      </c>
      <c r="D179" s="50" t="s">
        <v>11623</v>
      </c>
      <c r="E179" s="50" t="s">
        <v>15079</v>
      </c>
      <c r="F179" s="50">
        <v>59.0</v>
      </c>
      <c r="G179" s="50">
        <v>1.0</v>
      </c>
      <c r="H179" s="50">
        <v>99.0</v>
      </c>
      <c r="I179" s="116"/>
      <c r="J179" s="116"/>
      <c r="K179" s="50" t="s">
        <v>253</v>
      </c>
      <c r="L179" s="50" t="s">
        <v>253</v>
      </c>
      <c r="M179" s="50" t="s">
        <v>15081</v>
      </c>
      <c r="N179" s="50" t="s">
        <v>15082</v>
      </c>
      <c r="O179" s="50" t="s">
        <v>15084</v>
      </c>
      <c r="P179" s="116"/>
      <c r="Q179" s="116"/>
      <c r="R179" s="116"/>
      <c r="S179" s="50">
        <v>7.0</v>
      </c>
      <c r="T179" s="50">
        <v>1000.0</v>
      </c>
      <c r="U179" s="50">
        <v>3.0</v>
      </c>
      <c r="V179" s="50">
        <v>0.0</v>
      </c>
      <c r="W179" s="116"/>
      <c r="X179" s="116"/>
      <c r="Y179" s="116"/>
      <c r="Z179" s="116"/>
      <c r="AA179" s="116"/>
      <c r="AB179" s="116"/>
      <c r="AC179" s="116"/>
      <c r="AD179" s="116"/>
      <c r="AE179" s="116"/>
      <c r="AF179" s="116"/>
      <c r="AG179" s="116"/>
      <c r="AH179" s="50">
        <v>7.0</v>
      </c>
      <c r="AI179" s="50">
        <v>1000.0</v>
      </c>
      <c r="AJ179" s="50">
        <v>3.0</v>
      </c>
      <c r="AK179" s="50">
        <v>0.0</v>
      </c>
      <c r="AL179" s="116"/>
      <c r="AM179" s="116"/>
      <c r="AN179" s="116"/>
      <c r="AO179" s="116"/>
      <c r="AP179" s="116"/>
      <c r="AQ179" s="116"/>
      <c r="AR179" s="116"/>
      <c r="AS179" s="116"/>
      <c r="AT179" s="116"/>
      <c r="AU179" s="50">
        <v>0.0</v>
      </c>
      <c r="AV179" s="116"/>
      <c r="AW179" s="116"/>
      <c r="AX179" s="116"/>
      <c r="AY179" s="116"/>
      <c r="AZ179" s="116"/>
      <c r="BA179" s="116"/>
      <c r="BB179" s="116"/>
      <c r="BC179" s="116"/>
      <c r="BD179" s="116"/>
      <c r="BE179" s="116"/>
      <c r="BF179" s="116"/>
      <c r="BG179" s="116"/>
      <c r="BH179" s="116"/>
      <c r="BI179" s="116"/>
      <c r="BJ179" s="116"/>
      <c r="BK179" s="116"/>
      <c r="BL179" s="116"/>
      <c r="BM179" s="116"/>
      <c r="BN179" s="116"/>
      <c r="BO179" s="116"/>
      <c r="BP179" s="116"/>
      <c r="BQ179" s="116"/>
      <c r="BR179" s="116"/>
      <c r="BS179" s="116"/>
      <c r="BT179" s="116"/>
      <c r="BU179" s="116"/>
      <c r="BV179" s="116"/>
      <c r="BW179" s="116"/>
      <c r="BX179" s="116"/>
      <c r="BY179" s="116"/>
      <c r="BZ179" s="116"/>
      <c r="CA179" s="116"/>
      <c r="CB179" s="116"/>
      <c r="CC179" s="50" t="s">
        <v>15100</v>
      </c>
      <c r="CD179" s="145">
        <v>43503.0</v>
      </c>
      <c r="CE179" s="50">
        <v>1.0</v>
      </c>
      <c r="CF179" s="50" t="s">
        <v>14921</v>
      </c>
      <c r="CG179" s="117">
        <v>5147.0</v>
      </c>
      <c r="CH179" s="50" t="s">
        <v>15105</v>
      </c>
      <c r="CI179" s="50" t="s">
        <v>15107</v>
      </c>
      <c r="CJ179" s="117">
        <v>178.0</v>
      </c>
    </row>
    <row r="180">
      <c r="A180" s="50" t="s">
        <v>15079</v>
      </c>
      <c r="B180" s="50" t="s">
        <v>6876</v>
      </c>
      <c r="C180" s="50" t="s">
        <v>6877</v>
      </c>
      <c r="D180" s="50" t="s">
        <v>11623</v>
      </c>
      <c r="E180" s="50" t="s">
        <v>15109</v>
      </c>
      <c r="F180" s="50">
        <v>59.0</v>
      </c>
      <c r="G180" s="50">
        <v>1.0</v>
      </c>
      <c r="H180" s="50">
        <v>99.0</v>
      </c>
      <c r="I180" s="116"/>
      <c r="J180" s="116"/>
      <c r="K180" s="50" t="s">
        <v>256</v>
      </c>
      <c r="L180" s="50" t="s">
        <v>256</v>
      </c>
      <c r="M180" s="50" t="s">
        <v>15081</v>
      </c>
      <c r="N180" s="50" t="s">
        <v>15082</v>
      </c>
      <c r="O180" s="50" t="s">
        <v>15084</v>
      </c>
      <c r="P180" s="116"/>
      <c r="Q180" s="116"/>
      <c r="R180" s="116"/>
      <c r="S180" s="50">
        <v>7.0</v>
      </c>
      <c r="T180" s="50">
        <v>1000.0</v>
      </c>
      <c r="U180" s="50">
        <v>3.0</v>
      </c>
      <c r="V180" s="50">
        <v>0.0</v>
      </c>
      <c r="W180" s="116"/>
      <c r="X180" s="116"/>
      <c r="Y180" s="116"/>
      <c r="Z180" s="116"/>
      <c r="AA180" s="116"/>
      <c r="AB180" s="116"/>
      <c r="AC180" s="116"/>
      <c r="AD180" s="116"/>
      <c r="AE180" s="116"/>
      <c r="AF180" s="116"/>
      <c r="AG180" s="116"/>
      <c r="AH180" s="50">
        <v>7.0</v>
      </c>
      <c r="AI180" s="50">
        <v>1000.0</v>
      </c>
      <c r="AJ180" s="50">
        <v>3.0</v>
      </c>
      <c r="AK180" s="50">
        <v>0.0</v>
      </c>
      <c r="AL180" s="116"/>
      <c r="AM180" s="116"/>
      <c r="AN180" s="116"/>
      <c r="AO180" s="116"/>
      <c r="AP180" s="116"/>
      <c r="AQ180" s="116"/>
      <c r="AR180" s="116"/>
      <c r="AS180" s="116"/>
      <c r="AT180" s="116"/>
      <c r="AU180" s="50">
        <v>0.0</v>
      </c>
      <c r="AV180" s="116"/>
      <c r="AW180" s="116"/>
      <c r="AX180" s="116"/>
      <c r="AY180" s="116"/>
      <c r="AZ180" s="116"/>
      <c r="BA180" s="116"/>
      <c r="BB180" s="116"/>
      <c r="BC180" s="116"/>
      <c r="BD180" s="116"/>
      <c r="BE180" s="116"/>
      <c r="BF180" s="116"/>
      <c r="BG180" s="116"/>
      <c r="BH180" s="116"/>
      <c r="BI180" s="116"/>
      <c r="BJ180" s="116"/>
      <c r="BK180" s="116"/>
      <c r="BL180" s="116"/>
      <c r="BM180" s="116"/>
      <c r="BN180" s="116"/>
      <c r="BO180" s="116"/>
      <c r="BP180" s="116"/>
      <c r="BQ180" s="116"/>
      <c r="BR180" s="116"/>
      <c r="BS180" s="116"/>
      <c r="BT180" s="116"/>
      <c r="BU180" s="116"/>
      <c r="BV180" s="116"/>
      <c r="BW180" s="116"/>
      <c r="BX180" s="116"/>
      <c r="BY180" s="116"/>
      <c r="BZ180" s="116"/>
      <c r="CA180" s="116"/>
      <c r="CB180" s="116"/>
      <c r="CC180" s="50" t="s">
        <v>15122</v>
      </c>
      <c r="CD180" s="145">
        <v>43503.0</v>
      </c>
      <c r="CE180" s="50">
        <v>1.0</v>
      </c>
      <c r="CF180" s="50" t="s">
        <v>14921</v>
      </c>
      <c r="CG180" s="117">
        <v>5148.0</v>
      </c>
      <c r="CH180" s="50" t="s">
        <v>15125</v>
      </c>
      <c r="CI180" s="50" t="s">
        <v>15126</v>
      </c>
      <c r="CJ180" s="117">
        <v>179.0</v>
      </c>
    </row>
    <row r="181">
      <c r="A181" s="50" t="s">
        <v>15109</v>
      </c>
      <c r="B181" s="50" t="s">
        <v>6876</v>
      </c>
      <c r="C181" s="50" t="s">
        <v>6877</v>
      </c>
      <c r="D181" s="50" t="s">
        <v>11623</v>
      </c>
      <c r="E181" s="50" t="s">
        <v>15129</v>
      </c>
      <c r="F181" s="50">
        <v>59.0</v>
      </c>
      <c r="G181" s="50">
        <v>1.0</v>
      </c>
      <c r="H181" s="50">
        <v>99.0</v>
      </c>
      <c r="I181" s="116"/>
      <c r="J181" s="116"/>
      <c r="K181" s="50" t="s">
        <v>259</v>
      </c>
      <c r="L181" s="50" t="s">
        <v>259</v>
      </c>
      <c r="M181" s="50" t="s">
        <v>15081</v>
      </c>
      <c r="N181" s="50" t="s">
        <v>15082</v>
      </c>
      <c r="O181" s="50" t="s">
        <v>15084</v>
      </c>
      <c r="P181" s="116"/>
      <c r="Q181" s="116"/>
      <c r="R181" s="116"/>
      <c r="S181" s="50">
        <v>7.0</v>
      </c>
      <c r="T181" s="50">
        <v>1000.0</v>
      </c>
      <c r="U181" s="50">
        <v>3.0</v>
      </c>
      <c r="V181" s="50">
        <v>0.0</v>
      </c>
      <c r="W181" s="116"/>
      <c r="X181" s="116"/>
      <c r="Y181" s="116"/>
      <c r="Z181" s="116"/>
      <c r="AA181" s="116"/>
      <c r="AB181" s="116"/>
      <c r="AC181" s="116"/>
      <c r="AD181" s="116"/>
      <c r="AE181" s="116"/>
      <c r="AF181" s="116"/>
      <c r="AG181" s="116"/>
      <c r="AH181" s="50">
        <v>7.0</v>
      </c>
      <c r="AI181" s="50">
        <v>1000.0</v>
      </c>
      <c r="AJ181" s="50">
        <v>3.0</v>
      </c>
      <c r="AK181" s="50">
        <v>0.0</v>
      </c>
      <c r="AL181" s="116"/>
      <c r="AM181" s="116"/>
      <c r="AN181" s="116"/>
      <c r="AO181" s="116"/>
      <c r="AP181" s="116"/>
      <c r="AQ181" s="116"/>
      <c r="AR181" s="116"/>
      <c r="AS181" s="116"/>
      <c r="AT181" s="116"/>
      <c r="AU181" s="50">
        <v>0.0</v>
      </c>
      <c r="AV181" s="116"/>
      <c r="AW181" s="116"/>
      <c r="AX181" s="116"/>
      <c r="AY181" s="116"/>
      <c r="AZ181" s="116"/>
      <c r="BA181" s="116"/>
      <c r="BB181" s="116"/>
      <c r="BC181" s="116"/>
      <c r="BD181" s="116"/>
      <c r="BE181" s="116"/>
      <c r="BF181" s="116"/>
      <c r="BG181" s="116"/>
      <c r="BH181" s="116"/>
      <c r="BI181" s="116"/>
      <c r="BJ181" s="116"/>
      <c r="BK181" s="116"/>
      <c r="BL181" s="116"/>
      <c r="BM181" s="116"/>
      <c r="BN181" s="116"/>
      <c r="BO181" s="116"/>
      <c r="BP181" s="116"/>
      <c r="BQ181" s="116"/>
      <c r="BR181" s="116"/>
      <c r="BS181" s="116"/>
      <c r="BT181" s="116"/>
      <c r="BU181" s="116"/>
      <c r="BV181" s="116"/>
      <c r="BW181" s="116"/>
      <c r="BX181" s="116"/>
      <c r="BY181" s="116"/>
      <c r="BZ181" s="116"/>
      <c r="CA181" s="116"/>
      <c r="CB181" s="116"/>
      <c r="CC181" s="50" t="s">
        <v>15144</v>
      </c>
      <c r="CD181" s="145">
        <v>43503.0</v>
      </c>
      <c r="CE181" s="50">
        <v>1.0</v>
      </c>
      <c r="CF181" s="50" t="s">
        <v>14921</v>
      </c>
      <c r="CG181" s="117">
        <v>5149.0</v>
      </c>
      <c r="CH181" s="50" t="s">
        <v>15146</v>
      </c>
      <c r="CI181" s="50" t="s">
        <v>15147</v>
      </c>
      <c r="CJ181" s="117">
        <v>180.0</v>
      </c>
    </row>
    <row r="182">
      <c r="A182" s="50" t="s">
        <v>15148</v>
      </c>
      <c r="B182" s="50" t="s">
        <v>6876</v>
      </c>
      <c r="C182" s="50" t="s">
        <v>6877</v>
      </c>
      <c r="D182" s="50" t="s">
        <v>11623</v>
      </c>
      <c r="E182" s="50" t="s">
        <v>15151</v>
      </c>
      <c r="F182" s="50">
        <v>59.0</v>
      </c>
      <c r="G182" s="50">
        <v>1.0</v>
      </c>
      <c r="H182" s="50">
        <v>99.0</v>
      </c>
      <c r="I182" s="116"/>
      <c r="J182" s="116"/>
      <c r="K182" s="50" t="s">
        <v>262</v>
      </c>
      <c r="L182" s="50" t="s">
        <v>262</v>
      </c>
      <c r="M182" s="50" t="s">
        <v>15081</v>
      </c>
      <c r="N182" s="50" t="s">
        <v>15082</v>
      </c>
      <c r="O182" s="50" t="s">
        <v>15084</v>
      </c>
      <c r="P182" s="116"/>
      <c r="Q182" s="116"/>
      <c r="R182" s="116"/>
      <c r="S182" s="50">
        <v>7.0</v>
      </c>
      <c r="T182" s="50">
        <v>1000.0</v>
      </c>
      <c r="U182" s="50">
        <v>3.0</v>
      </c>
      <c r="V182" s="50">
        <v>0.0</v>
      </c>
      <c r="W182" s="116"/>
      <c r="X182" s="116"/>
      <c r="Y182" s="116"/>
      <c r="Z182" s="116"/>
      <c r="AA182" s="116"/>
      <c r="AB182" s="116"/>
      <c r="AC182" s="116"/>
      <c r="AD182" s="116"/>
      <c r="AE182" s="116"/>
      <c r="AF182" s="116"/>
      <c r="AG182" s="116"/>
      <c r="AH182" s="50">
        <v>7.0</v>
      </c>
      <c r="AI182" s="50">
        <v>1000.0</v>
      </c>
      <c r="AJ182" s="50">
        <v>3.0</v>
      </c>
      <c r="AK182" s="50">
        <v>0.0</v>
      </c>
      <c r="AL182" s="116"/>
      <c r="AM182" s="116"/>
      <c r="AN182" s="116"/>
      <c r="AO182" s="116"/>
      <c r="AP182" s="116"/>
      <c r="AQ182" s="116"/>
      <c r="AR182" s="116"/>
      <c r="AS182" s="116"/>
      <c r="AT182" s="116"/>
      <c r="AU182" s="50">
        <v>0.0</v>
      </c>
      <c r="AV182" s="116"/>
      <c r="AW182" s="116"/>
      <c r="AX182" s="116"/>
      <c r="AY182" s="116"/>
      <c r="AZ182" s="116"/>
      <c r="BA182" s="116"/>
      <c r="BB182" s="116"/>
      <c r="BC182" s="116"/>
      <c r="BD182" s="116"/>
      <c r="BE182" s="116"/>
      <c r="BF182" s="116"/>
      <c r="BG182" s="116"/>
      <c r="BH182" s="116"/>
      <c r="BI182" s="116"/>
      <c r="BJ182" s="116"/>
      <c r="BK182" s="116"/>
      <c r="BL182" s="116"/>
      <c r="BM182" s="116"/>
      <c r="BN182" s="116"/>
      <c r="BO182" s="116"/>
      <c r="BP182" s="116"/>
      <c r="BQ182" s="116"/>
      <c r="BR182" s="116"/>
      <c r="BS182" s="116"/>
      <c r="BT182" s="116"/>
      <c r="BU182" s="116"/>
      <c r="BV182" s="116"/>
      <c r="BW182" s="116"/>
      <c r="BX182" s="116"/>
      <c r="BY182" s="116"/>
      <c r="BZ182" s="116"/>
      <c r="CA182" s="116"/>
      <c r="CB182" s="116"/>
      <c r="CC182" s="50" t="s">
        <v>15163</v>
      </c>
      <c r="CD182" s="145">
        <v>43503.0</v>
      </c>
      <c r="CE182" s="50">
        <v>1.0</v>
      </c>
      <c r="CF182" s="50" t="s">
        <v>14921</v>
      </c>
      <c r="CG182" s="117">
        <v>5150.0</v>
      </c>
      <c r="CH182" s="50" t="s">
        <v>15165</v>
      </c>
      <c r="CI182" s="50" t="s">
        <v>15166</v>
      </c>
      <c r="CJ182" s="117">
        <v>181.0</v>
      </c>
    </row>
    <row r="183">
      <c r="A183" s="50" t="s">
        <v>15167</v>
      </c>
      <c r="B183" s="50" t="s">
        <v>6876</v>
      </c>
      <c r="C183" s="50" t="s">
        <v>6877</v>
      </c>
      <c r="D183" s="50" t="s">
        <v>11623</v>
      </c>
      <c r="E183" s="50" t="s">
        <v>15169</v>
      </c>
      <c r="F183" s="50">
        <v>59.0</v>
      </c>
      <c r="G183" s="50">
        <v>1.0</v>
      </c>
      <c r="H183" s="50">
        <v>99.0</v>
      </c>
      <c r="I183" s="116"/>
      <c r="J183" s="116"/>
      <c r="K183" s="50" t="s">
        <v>265</v>
      </c>
      <c r="L183" s="50" t="s">
        <v>265</v>
      </c>
      <c r="M183" s="50" t="s">
        <v>15081</v>
      </c>
      <c r="N183" s="50" t="s">
        <v>15082</v>
      </c>
      <c r="O183" s="50" t="s">
        <v>15084</v>
      </c>
      <c r="P183" s="116"/>
      <c r="Q183" s="116"/>
      <c r="R183" s="116"/>
      <c r="S183" s="50">
        <v>7.0</v>
      </c>
      <c r="T183" s="50">
        <v>1000.0</v>
      </c>
      <c r="U183" s="50">
        <v>3.0</v>
      </c>
      <c r="V183" s="50">
        <v>0.0</v>
      </c>
      <c r="W183" s="116"/>
      <c r="X183" s="116"/>
      <c r="Y183" s="116"/>
      <c r="Z183" s="116"/>
      <c r="AA183" s="116"/>
      <c r="AB183" s="116"/>
      <c r="AC183" s="116"/>
      <c r="AD183" s="116"/>
      <c r="AE183" s="116"/>
      <c r="AF183" s="116"/>
      <c r="AG183" s="116"/>
      <c r="AH183" s="50">
        <v>7.0</v>
      </c>
      <c r="AI183" s="50">
        <v>1000.0</v>
      </c>
      <c r="AJ183" s="50">
        <v>3.0</v>
      </c>
      <c r="AK183" s="50">
        <v>0.0</v>
      </c>
      <c r="AL183" s="116"/>
      <c r="AM183" s="116"/>
      <c r="AN183" s="116"/>
      <c r="AO183" s="116"/>
      <c r="AP183" s="116"/>
      <c r="AQ183" s="116"/>
      <c r="AR183" s="116"/>
      <c r="AS183" s="116"/>
      <c r="AT183" s="116"/>
      <c r="AU183" s="50">
        <v>0.0</v>
      </c>
      <c r="AV183" s="116"/>
      <c r="AW183" s="116"/>
      <c r="AX183" s="116"/>
      <c r="AY183" s="116"/>
      <c r="AZ183" s="116"/>
      <c r="BA183" s="116"/>
      <c r="BB183" s="116"/>
      <c r="BC183" s="116"/>
      <c r="BD183" s="116"/>
      <c r="BE183" s="116"/>
      <c r="BF183" s="116"/>
      <c r="BG183" s="116"/>
      <c r="BH183" s="116"/>
      <c r="BI183" s="116"/>
      <c r="BJ183" s="116"/>
      <c r="BK183" s="116"/>
      <c r="BL183" s="116"/>
      <c r="BM183" s="116"/>
      <c r="BN183" s="116"/>
      <c r="BO183" s="116"/>
      <c r="BP183" s="116"/>
      <c r="BQ183" s="116"/>
      <c r="BR183" s="116"/>
      <c r="BS183" s="116"/>
      <c r="BT183" s="116"/>
      <c r="BU183" s="116"/>
      <c r="BV183" s="116"/>
      <c r="BW183" s="116"/>
      <c r="BX183" s="116"/>
      <c r="BY183" s="116"/>
      <c r="BZ183" s="116"/>
      <c r="CA183" s="116"/>
      <c r="CB183" s="116"/>
      <c r="CC183" s="50" t="s">
        <v>15182</v>
      </c>
      <c r="CD183" s="145">
        <v>43503.0</v>
      </c>
      <c r="CE183" s="50">
        <v>1.0</v>
      </c>
      <c r="CF183" s="50" t="s">
        <v>14921</v>
      </c>
      <c r="CG183" s="117">
        <v>5151.0</v>
      </c>
      <c r="CH183" s="50" t="s">
        <v>15185</v>
      </c>
      <c r="CI183" s="50" t="s">
        <v>15187</v>
      </c>
      <c r="CJ183" s="117">
        <v>182.0</v>
      </c>
    </row>
    <row r="184">
      <c r="A184" s="50" t="s">
        <v>15169</v>
      </c>
      <c r="B184" s="50" t="s">
        <v>6876</v>
      </c>
      <c r="C184" s="50" t="s">
        <v>6877</v>
      </c>
      <c r="D184" s="50" t="s">
        <v>11623</v>
      </c>
      <c r="E184" s="50" t="s">
        <v>15189</v>
      </c>
      <c r="F184" s="50">
        <v>57.0</v>
      </c>
      <c r="G184" s="50">
        <v>1.0</v>
      </c>
      <c r="H184" s="50">
        <v>99.0</v>
      </c>
      <c r="I184" s="116"/>
      <c r="J184" s="116"/>
      <c r="K184" s="50" t="s">
        <v>1495</v>
      </c>
      <c r="L184" s="50" t="s">
        <v>1495</v>
      </c>
      <c r="M184" s="50" t="s">
        <v>15081</v>
      </c>
      <c r="N184" s="50" t="s">
        <v>15082</v>
      </c>
      <c r="O184" s="50" t="s">
        <v>15084</v>
      </c>
      <c r="P184" s="116"/>
      <c r="Q184" s="116"/>
      <c r="R184" s="116"/>
      <c r="S184" s="50">
        <v>7.0</v>
      </c>
      <c r="T184" s="50">
        <v>1000.0</v>
      </c>
      <c r="U184" s="50">
        <v>3.0</v>
      </c>
      <c r="V184" s="50">
        <v>0.0</v>
      </c>
      <c r="W184" s="116"/>
      <c r="X184" s="116"/>
      <c r="Y184" s="116"/>
      <c r="Z184" s="116"/>
      <c r="AA184" s="116"/>
      <c r="AB184" s="116"/>
      <c r="AC184" s="116"/>
      <c r="AD184" s="116"/>
      <c r="AE184" s="116"/>
      <c r="AF184" s="116"/>
      <c r="AG184" s="116"/>
      <c r="AH184" s="50">
        <v>7.0</v>
      </c>
      <c r="AI184" s="50">
        <v>1000.0</v>
      </c>
      <c r="AJ184" s="50">
        <v>3.0</v>
      </c>
      <c r="AK184" s="50">
        <v>0.0</v>
      </c>
      <c r="AL184" s="116"/>
      <c r="AM184" s="116"/>
      <c r="AN184" s="116"/>
      <c r="AO184" s="116"/>
      <c r="AP184" s="116"/>
      <c r="AQ184" s="116"/>
      <c r="AR184" s="116"/>
      <c r="AS184" s="116"/>
      <c r="AT184" s="116"/>
      <c r="AU184" s="50">
        <v>0.0</v>
      </c>
      <c r="AV184" s="116"/>
      <c r="AW184" s="116"/>
      <c r="AX184" s="116"/>
      <c r="AY184" s="116"/>
      <c r="AZ184" s="116"/>
      <c r="BA184" s="116"/>
      <c r="BB184" s="116"/>
      <c r="BC184" s="116"/>
      <c r="BD184" s="116"/>
      <c r="BE184" s="116"/>
      <c r="BF184" s="116"/>
      <c r="BG184" s="116"/>
      <c r="BH184" s="116"/>
      <c r="BI184" s="116"/>
      <c r="BJ184" s="116"/>
      <c r="BK184" s="116"/>
      <c r="BL184" s="116"/>
      <c r="BM184" s="116"/>
      <c r="BN184" s="116"/>
      <c r="BO184" s="116"/>
      <c r="BP184" s="116"/>
      <c r="BQ184" s="116"/>
      <c r="BR184" s="116"/>
      <c r="BS184" s="116"/>
      <c r="BT184" s="116"/>
      <c r="BU184" s="116"/>
      <c r="BV184" s="116"/>
      <c r="BW184" s="116"/>
      <c r="BX184" s="116"/>
      <c r="BY184" s="116"/>
      <c r="BZ184" s="116"/>
      <c r="CA184" s="116"/>
      <c r="CB184" s="116"/>
      <c r="CC184" s="50" t="s">
        <v>15204</v>
      </c>
      <c r="CD184" s="145">
        <v>43503.0</v>
      </c>
      <c r="CE184" s="50">
        <v>1.0</v>
      </c>
      <c r="CF184" s="50" t="s">
        <v>14921</v>
      </c>
      <c r="CG184" s="117">
        <v>5152.0</v>
      </c>
      <c r="CH184" s="50" t="s">
        <v>15205</v>
      </c>
      <c r="CI184" s="50" t="s">
        <v>15206</v>
      </c>
      <c r="CJ184" s="117">
        <v>183.0</v>
      </c>
    </row>
    <row r="185">
      <c r="A185" s="50" t="s">
        <v>15189</v>
      </c>
      <c r="B185" s="50" t="s">
        <v>6876</v>
      </c>
      <c r="C185" s="50" t="s">
        <v>6877</v>
      </c>
      <c r="D185" s="50" t="s">
        <v>11623</v>
      </c>
      <c r="E185" s="50" t="s">
        <v>15209</v>
      </c>
      <c r="F185" s="50">
        <v>55.0</v>
      </c>
      <c r="G185" s="50">
        <v>1.0</v>
      </c>
      <c r="H185" s="50">
        <v>99.0</v>
      </c>
      <c r="I185" s="116"/>
      <c r="J185" s="116"/>
      <c r="K185" s="50" t="s">
        <v>1498</v>
      </c>
      <c r="L185" s="50" t="s">
        <v>1498</v>
      </c>
      <c r="M185" s="50" t="s">
        <v>15081</v>
      </c>
      <c r="N185" s="50" t="s">
        <v>15082</v>
      </c>
      <c r="O185" s="50" t="s">
        <v>15084</v>
      </c>
      <c r="P185" s="116"/>
      <c r="Q185" s="116"/>
      <c r="R185" s="116"/>
      <c r="S185" s="50">
        <v>7.0</v>
      </c>
      <c r="T185" s="50">
        <v>1000.0</v>
      </c>
      <c r="U185" s="50">
        <v>3.0</v>
      </c>
      <c r="V185" s="50">
        <v>0.0</v>
      </c>
      <c r="W185" s="116"/>
      <c r="X185" s="116"/>
      <c r="Y185" s="116"/>
      <c r="Z185" s="116"/>
      <c r="AA185" s="116"/>
      <c r="AB185" s="116"/>
      <c r="AC185" s="116"/>
      <c r="AD185" s="116"/>
      <c r="AE185" s="116"/>
      <c r="AF185" s="116"/>
      <c r="AG185" s="116"/>
      <c r="AH185" s="50">
        <v>7.0</v>
      </c>
      <c r="AI185" s="50">
        <v>1000.0</v>
      </c>
      <c r="AJ185" s="50">
        <v>3.0</v>
      </c>
      <c r="AK185" s="50">
        <v>0.0</v>
      </c>
      <c r="AL185" s="116"/>
      <c r="AM185" s="116"/>
      <c r="AN185" s="116"/>
      <c r="AO185" s="116"/>
      <c r="AP185" s="116"/>
      <c r="AQ185" s="116"/>
      <c r="AR185" s="116"/>
      <c r="AS185" s="116"/>
      <c r="AT185" s="116"/>
      <c r="AU185" s="50">
        <v>0.0</v>
      </c>
      <c r="AV185" s="116"/>
      <c r="AW185" s="116"/>
      <c r="AX185" s="116"/>
      <c r="AY185" s="116"/>
      <c r="AZ185" s="116"/>
      <c r="BA185" s="116"/>
      <c r="BB185" s="116"/>
      <c r="BC185" s="116"/>
      <c r="BD185" s="116"/>
      <c r="BE185" s="116"/>
      <c r="BF185" s="116"/>
      <c r="BG185" s="116"/>
      <c r="BH185" s="116"/>
      <c r="BI185" s="116"/>
      <c r="BJ185" s="116"/>
      <c r="BK185" s="116"/>
      <c r="BL185" s="116"/>
      <c r="BM185" s="116"/>
      <c r="BN185" s="116"/>
      <c r="BO185" s="116"/>
      <c r="BP185" s="116"/>
      <c r="BQ185" s="116"/>
      <c r="BR185" s="116"/>
      <c r="BS185" s="116"/>
      <c r="BT185" s="116"/>
      <c r="BU185" s="116"/>
      <c r="BV185" s="116"/>
      <c r="BW185" s="116"/>
      <c r="BX185" s="116"/>
      <c r="BY185" s="116"/>
      <c r="BZ185" s="116"/>
      <c r="CA185" s="116"/>
      <c r="CB185" s="116"/>
      <c r="CC185" s="50" t="s">
        <v>15222</v>
      </c>
      <c r="CD185" s="145">
        <v>43503.0</v>
      </c>
      <c r="CE185" s="50">
        <v>1.0</v>
      </c>
      <c r="CF185" s="50" t="s">
        <v>14921</v>
      </c>
      <c r="CG185" s="117">
        <v>5153.0</v>
      </c>
      <c r="CH185" s="50" t="s">
        <v>15223</v>
      </c>
      <c r="CI185" s="50" t="s">
        <v>15224</v>
      </c>
      <c r="CJ185" s="117">
        <v>184.0</v>
      </c>
    </row>
    <row r="186">
      <c r="A186" s="50" t="s">
        <v>15209</v>
      </c>
      <c r="B186" s="50" t="s">
        <v>6876</v>
      </c>
      <c r="C186" s="50" t="s">
        <v>6877</v>
      </c>
      <c r="D186" s="50" t="s">
        <v>11623</v>
      </c>
      <c r="E186" s="50" t="s">
        <v>15226</v>
      </c>
      <c r="F186" s="50">
        <v>59.0</v>
      </c>
      <c r="G186" s="50">
        <v>1.0</v>
      </c>
      <c r="H186" s="50">
        <v>99.0</v>
      </c>
      <c r="I186" s="116"/>
      <c r="J186" s="116"/>
      <c r="K186" s="50" t="s">
        <v>1509</v>
      </c>
      <c r="L186" s="50" t="s">
        <v>1509</v>
      </c>
      <c r="M186" s="50" t="s">
        <v>15229</v>
      </c>
      <c r="N186" s="50" t="s">
        <v>15230</v>
      </c>
      <c r="O186" s="50" t="s">
        <v>14857</v>
      </c>
      <c r="P186" s="116"/>
      <c r="Q186" s="116"/>
      <c r="R186" s="116"/>
      <c r="S186" s="50">
        <v>7.0</v>
      </c>
      <c r="T186" s="50">
        <v>1000.0</v>
      </c>
      <c r="U186" s="50">
        <v>3.0</v>
      </c>
      <c r="V186" s="50">
        <v>0.0</v>
      </c>
      <c r="W186" s="116"/>
      <c r="X186" s="116"/>
      <c r="Y186" s="116"/>
      <c r="Z186" s="116"/>
      <c r="AA186" s="116"/>
      <c r="AB186" s="116"/>
      <c r="AC186" s="116"/>
      <c r="AD186" s="116"/>
      <c r="AE186" s="116"/>
      <c r="AF186" s="116"/>
      <c r="AG186" s="116"/>
      <c r="AH186" s="50">
        <v>7.0</v>
      </c>
      <c r="AI186" s="50">
        <v>1000.0</v>
      </c>
      <c r="AJ186" s="50">
        <v>3.0</v>
      </c>
      <c r="AK186" s="50">
        <v>0.0</v>
      </c>
      <c r="AL186" s="116"/>
      <c r="AM186" s="116"/>
      <c r="AN186" s="116"/>
      <c r="AO186" s="116"/>
      <c r="AP186" s="116"/>
      <c r="AQ186" s="116"/>
      <c r="AR186" s="116"/>
      <c r="AS186" s="116"/>
      <c r="AT186" s="116"/>
      <c r="AU186" s="50">
        <v>0.0</v>
      </c>
      <c r="AV186" s="116"/>
      <c r="AW186" s="116"/>
      <c r="AX186" s="116"/>
      <c r="AY186" s="116"/>
      <c r="AZ186" s="116"/>
      <c r="BA186" s="116"/>
      <c r="BB186" s="116"/>
      <c r="BC186" s="116"/>
      <c r="BD186" s="116"/>
      <c r="BE186" s="116"/>
      <c r="BF186" s="116"/>
      <c r="BG186" s="116"/>
      <c r="BH186" s="116"/>
      <c r="BI186" s="116"/>
      <c r="BJ186" s="116"/>
      <c r="BK186" s="116"/>
      <c r="BL186" s="116"/>
      <c r="BM186" s="116"/>
      <c r="BN186" s="116"/>
      <c r="BO186" s="116"/>
      <c r="BP186" s="116"/>
      <c r="BQ186" s="116"/>
      <c r="BR186" s="116"/>
      <c r="BS186" s="116"/>
      <c r="BT186" s="116"/>
      <c r="BU186" s="116"/>
      <c r="BV186" s="116"/>
      <c r="BW186" s="116"/>
      <c r="BX186" s="116"/>
      <c r="BY186" s="116"/>
      <c r="BZ186" s="116"/>
      <c r="CA186" s="116"/>
      <c r="CB186" s="116"/>
      <c r="CC186" s="50" t="s">
        <v>15239</v>
      </c>
      <c r="CD186" s="145">
        <v>43503.0</v>
      </c>
      <c r="CE186" s="50">
        <v>1.0</v>
      </c>
      <c r="CF186" s="50" t="s">
        <v>14921</v>
      </c>
      <c r="CG186" s="117">
        <v>5154.0</v>
      </c>
      <c r="CH186" s="50" t="s">
        <v>15240</v>
      </c>
      <c r="CI186" s="50" t="s">
        <v>15241</v>
      </c>
      <c r="CJ186" s="117">
        <v>185.0</v>
      </c>
    </row>
    <row r="187">
      <c r="A187" s="50" t="s">
        <v>15243</v>
      </c>
      <c r="B187" s="50" t="s">
        <v>6876</v>
      </c>
      <c r="C187" s="50" t="s">
        <v>6877</v>
      </c>
      <c r="D187" s="50" t="s">
        <v>11623</v>
      </c>
      <c r="E187" s="50" t="s">
        <v>15244</v>
      </c>
      <c r="F187" s="50">
        <v>59.0</v>
      </c>
      <c r="G187" s="50">
        <v>1.0</v>
      </c>
      <c r="H187" s="50">
        <v>99.0</v>
      </c>
      <c r="I187" s="116"/>
      <c r="J187" s="116"/>
      <c r="K187" s="50" t="s">
        <v>1512</v>
      </c>
      <c r="L187" s="50" t="s">
        <v>1512</v>
      </c>
      <c r="M187" s="50" t="s">
        <v>15229</v>
      </c>
      <c r="N187" s="50" t="s">
        <v>15230</v>
      </c>
      <c r="O187" s="50" t="s">
        <v>14857</v>
      </c>
      <c r="P187" s="116"/>
      <c r="Q187" s="116"/>
      <c r="R187" s="116"/>
      <c r="S187" s="50">
        <v>7.0</v>
      </c>
      <c r="T187" s="50">
        <v>1000.0</v>
      </c>
      <c r="U187" s="50">
        <v>3.0</v>
      </c>
      <c r="V187" s="50">
        <v>0.0</v>
      </c>
      <c r="W187" s="116"/>
      <c r="X187" s="116"/>
      <c r="Y187" s="116"/>
      <c r="Z187" s="116"/>
      <c r="AA187" s="116"/>
      <c r="AB187" s="116"/>
      <c r="AC187" s="116"/>
      <c r="AD187" s="116"/>
      <c r="AE187" s="116"/>
      <c r="AF187" s="116"/>
      <c r="AG187" s="116"/>
      <c r="AH187" s="50">
        <v>7.0</v>
      </c>
      <c r="AI187" s="50">
        <v>1000.0</v>
      </c>
      <c r="AJ187" s="50">
        <v>3.0</v>
      </c>
      <c r="AK187" s="50">
        <v>0.0</v>
      </c>
      <c r="AL187" s="116"/>
      <c r="AM187" s="116"/>
      <c r="AN187" s="116"/>
      <c r="AO187" s="116"/>
      <c r="AP187" s="116"/>
      <c r="AQ187" s="116"/>
      <c r="AR187" s="116"/>
      <c r="AS187" s="116"/>
      <c r="AT187" s="116"/>
      <c r="AU187" s="50">
        <v>0.0</v>
      </c>
      <c r="AV187" s="116"/>
      <c r="AW187" s="116"/>
      <c r="AX187" s="116"/>
      <c r="AY187" s="116"/>
      <c r="AZ187" s="116"/>
      <c r="BA187" s="116"/>
      <c r="BB187" s="116"/>
      <c r="BC187" s="116"/>
      <c r="BD187" s="116"/>
      <c r="BE187" s="116"/>
      <c r="BF187" s="116"/>
      <c r="BG187" s="116"/>
      <c r="BH187" s="116"/>
      <c r="BI187" s="116"/>
      <c r="BJ187" s="116"/>
      <c r="BK187" s="116"/>
      <c r="BL187" s="116"/>
      <c r="BM187" s="116"/>
      <c r="BN187" s="116"/>
      <c r="BO187" s="116"/>
      <c r="BP187" s="116"/>
      <c r="BQ187" s="116"/>
      <c r="BR187" s="116"/>
      <c r="BS187" s="116"/>
      <c r="BT187" s="116"/>
      <c r="BU187" s="116"/>
      <c r="BV187" s="116"/>
      <c r="BW187" s="116"/>
      <c r="BX187" s="116"/>
      <c r="BY187" s="116"/>
      <c r="BZ187" s="116"/>
      <c r="CA187" s="116"/>
      <c r="CB187" s="116"/>
      <c r="CC187" s="50" t="s">
        <v>15261</v>
      </c>
      <c r="CD187" s="145">
        <v>43503.0</v>
      </c>
      <c r="CE187" s="50">
        <v>1.0</v>
      </c>
      <c r="CF187" s="50" t="s">
        <v>14921</v>
      </c>
      <c r="CG187" s="117">
        <v>5155.0</v>
      </c>
      <c r="CH187" s="50" t="s">
        <v>15263</v>
      </c>
      <c r="CI187" s="50" t="s">
        <v>15264</v>
      </c>
      <c r="CJ187" s="117">
        <v>186.0</v>
      </c>
    </row>
    <row r="188">
      <c r="A188" s="50" t="s">
        <v>15244</v>
      </c>
      <c r="B188" s="50" t="s">
        <v>6876</v>
      </c>
      <c r="C188" s="50" t="s">
        <v>6877</v>
      </c>
      <c r="D188" s="50" t="s">
        <v>11623</v>
      </c>
      <c r="E188" s="50" t="s">
        <v>15265</v>
      </c>
      <c r="F188" s="50">
        <v>59.0</v>
      </c>
      <c r="G188" s="50">
        <v>1.0</v>
      </c>
      <c r="H188" s="50">
        <v>99.0</v>
      </c>
      <c r="I188" s="116"/>
      <c r="J188" s="116"/>
      <c r="K188" s="50" t="s">
        <v>1515</v>
      </c>
      <c r="L188" s="50" t="s">
        <v>1515</v>
      </c>
      <c r="M188" s="50" t="s">
        <v>15229</v>
      </c>
      <c r="N188" s="50" t="s">
        <v>15230</v>
      </c>
      <c r="O188" s="50" t="s">
        <v>14857</v>
      </c>
      <c r="P188" s="116"/>
      <c r="Q188" s="116"/>
      <c r="R188" s="116"/>
      <c r="S188" s="50">
        <v>7.0</v>
      </c>
      <c r="T188" s="50">
        <v>1000.0</v>
      </c>
      <c r="U188" s="50">
        <v>3.0</v>
      </c>
      <c r="V188" s="50">
        <v>0.0</v>
      </c>
      <c r="W188" s="116"/>
      <c r="X188" s="116"/>
      <c r="Y188" s="116"/>
      <c r="Z188" s="116"/>
      <c r="AA188" s="116"/>
      <c r="AB188" s="116"/>
      <c r="AC188" s="116"/>
      <c r="AD188" s="116"/>
      <c r="AE188" s="116"/>
      <c r="AF188" s="116"/>
      <c r="AG188" s="116"/>
      <c r="AH188" s="50">
        <v>7.0</v>
      </c>
      <c r="AI188" s="50">
        <v>1000.0</v>
      </c>
      <c r="AJ188" s="50">
        <v>3.0</v>
      </c>
      <c r="AK188" s="50">
        <v>0.0</v>
      </c>
      <c r="AL188" s="116"/>
      <c r="AM188" s="116"/>
      <c r="AN188" s="116"/>
      <c r="AO188" s="116"/>
      <c r="AP188" s="116"/>
      <c r="AQ188" s="116"/>
      <c r="AR188" s="116"/>
      <c r="AS188" s="116"/>
      <c r="AT188" s="116"/>
      <c r="AU188" s="50">
        <v>0.0</v>
      </c>
      <c r="AV188" s="116"/>
      <c r="AW188" s="116"/>
      <c r="AX188" s="116"/>
      <c r="AY188" s="116"/>
      <c r="AZ188" s="116"/>
      <c r="BA188" s="116"/>
      <c r="BB188" s="116"/>
      <c r="BC188" s="116"/>
      <c r="BD188" s="116"/>
      <c r="BE188" s="116"/>
      <c r="BF188" s="116"/>
      <c r="BG188" s="116"/>
      <c r="BH188" s="116"/>
      <c r="BI188" s="116"/>
      <c r="BJ188" s="116"/>
      <c r="BK188" s="116"/>
      <c r="BL188" s="116"/>
      <c r="BM188" s="116"/>
      <c r="BN188" s="116"/>
      <c r="BO188" s="116"/>
      <c r="BP188" s="116"/>
      <c r="BQ188" s="116"/>
      <c r="BR188" s="116"/>
      <c r="BS188" s="116"/>
      <c r="BT188" s="116"/>
      <c r="BU188" s="116"/>
      <c r="BV188" s="116"/>
      <c r="BW188" s="116"/>
      <c r="BX188" s="116"/>
      <c r="BY188" s="116"/>
      <c r="BZ188" s="116"/>
      <c r="CA188" s="116"/>
      <c r="CB188" s="116"/>
      <c r="CC188" s="50" t="s">
        <v>15285</v>
      </c>
      <c r="CD188" s="145">
        <v>43503.0</v>
      </c>
      <c r="CE188" s="50">
        <v>1.0</v>
      </c>
      <c r="CF188" s="50" t="s">
        <v>14921</v>
      </c>
      <c r="CG188" s="117">
        <v>5156.0</v>
      </c>
      <c r="CH188" s="50" t="s">
        <v>15287</v>
      </c>
      <c r="CI188" s="50" t="s">
        <v>15289</v>
      </c>
      <c r="CJ188" s="117">
        <v>187.0</v>
      </c>
    </row>
    <row r="189">
      <c r="A189" s="50" t="s">
        <v>15291</v>
      </c>
      <c r="B189" s="50" t="s">
        <v>6876</v>
      </c>
      <c r="C189" s="50" t="s">
        <v>6877</v>
      </c>
      <c r="D189" s="50" t="s">
        <v>11623</v>
      </c>
      <c r="E189" s="50" t="s">
        <v>15292</v>
      </c>
      <c r="F189" s="50">
        <v>59.0</v>
      </c>
      <c r="G189" s="50">
        <v>1.0</v>
      </c>
      <c r="H189" s="50">
        <v>99.0</v>
      </c>
      <c r="I189" s="116"/>
      <c r="J189" s="116"/>
      <c r="K189" s="50" t="s">
        <v>1518</v>
      </c>
      <c r="L189" s="50" t="s">
        <v>1518</v>
      </c>
      <c r="M189" s="50" t="s">
        <v>15229</v>
      </c>
      <c r="N189" s="50" t="s">
        <v>15230</v>
      </c>
      <c r="O189" s="50" t="s">
        <v>14857</v>
      </c>
      <c r="P189" s="116"/>
      <c r="Q189" s="116"/>
      <c r="R189" s="116"/>
      <c r="S189" s="50">
        <v>7.0</v>
      </c>
      <c r="T189" s="50">
        <v>1000.0</v>
      </c>
      <c r="U189" s="50">
        <v>3.0</v>
      </c>
      <c r="V189" s="50">
        <v>0.0</v>
      </c>
      <c r="W189" s="116"/>
      <c r="X189" s="116"/>
      <c r="Y189" s="116"/>
      <c r="Z189" s="116"/>
      <c r="AA189" s="116"/>
      <c r="AB189" s="116"/>
      <c r="AC189" s="116"/>
      <c r="AD189" s="116"/>
      <c r="AE189" s="116"/>
      <c r="AF189" s="116"/>
      <c r="AG189" s="116"/>
      <c r="AH189" s="50">
        <v>7.0</v>
      </c>
      <c r="AI189" s="50">
        <v>1000.0</v>
      </c>
      <c r="AJ189" s="50">
        <v>3.0</v>
      </c>
      <c r="AK189" s="50">
        <v>0.0</v>
      </c>
      <c r="AL189" s="116"/>
      <c r="AM189" s="116"/>
      <c r="AN189" s="116"/>
      <c r="AO189" s="116"/>
      <c r="AP189" s="116"/>
      <c r="AQ189" s="116"/>
      <c r="AR189" s="116"/>
      <c r="AS189" s="116"/>
      <c r="AT189" s="116"/>
      <c r="AU189" s="50">
        <v>0.0</v>
      </c>
      <c r="AV189" s="116"/>
      <c r="AW189" s="116"/>
      <c r="AX189" s="116"/>
      <c r="AY189" s="116"/>
      <c r="AZ189" s="116"/>
      <c r="BA189" s="116"/>
      <c r="BB189" s="116"/>
      <c r="BC189" s="116"/>
      <c r="BD189" s="116"/>
      <c r="BE189" s="116"/>
      <c r="BF189" s="116"/>
      <c r="BG189" s="116"/>
      <c r="BH189" s="116"/>
      <c r="BI189" s="116"/>
      <c r="BJ189" s="116"/>
      <c r="BK189" s="116"/>
      <c r="BL189" s="116"/>
      <c r="BM189" s="116"/>
      <c r="BN189" s="116"/>
      <c r="BO189" s="116"/>
      <c r="BP189" s="116"/>
      <c r="BQ189" s="116"/>
      <c r="BR189" s="116"/>
      <c r="BS189" s="116"/>
      <c r="BT189" s="116"/>
      <c r="BU189" s="116"/>
      <c r="BV189" s="116"/>
      <c r="BW189" s="116"/>
      <c r="BX189" s="116"/>
      <c r="BY189" s="116"/>
      <c r="BZ189" s="116"/>
      <c r="CA189" s="116"/>
      <c r="CB189" s="116"/>
      <c r="CC189" s="50" t="s">
        <v>15306</v>
      </c>
      <c r="CD189" s="145">
        <v>43503.0</v>
      </c>
      <c r="CE189" s="50">
        <v>1.0</v>
      </c>
      <c r="CF189" s="50" t="s">
        <v>14921</v>
      </c>
      <c r="CG189" s="117">
        <v>5157.0</v>
      </c>
      <c r="CH189" s="50" t="s">
        <v>15309</v>
      </c>
      <c r="CI189" s="50" t="s">
        <v>15310</v>
      </c>
      <c r="CJ189" s="117">
        <v>188.0</v>
      </c>
    </row>
    <row r="190">
      <c r="A190" s="50" t="s">
        <v>15292</v>
      </c>
      <c r="B190" s="50" t="s">
        <v>6876</v>
      </c>
      <c r="C190" s="50" t="s">
        <v>6877</v>
      </c>
      <c r="D190" s="50" t="s">
        <v>11623</v>
      </c>
      <c r="E190" s="50" t="s">
        <v>15316</v>
      </c>
      <c r="F190" s="50">
        <v>59.0</v>
      </c>
      <c r="G190" s="50">
        <v>1.0</v>
      </c>
      <c r="H190" s="50">
        <v>99.0</v>
      </c>
      <c r="I190" s="116"/>
      <c r="J190" s="116"/>
      <c r="K190" s="50" t="s">
        <v>1521</v>
      </c>
      <c r="L190" s="50" t="s">
        <v>1521</v>
      </c>
      <c r="M190" s="50" t="s">
        <v>15229</v>
      </c>
      <c r="N190" s="50" t="s">
        <v>15230</v>
      </c>
      <c r="O190" s="50" t="s">
        <v>14857</v>
      </c>
      <c r="P190" s="116"/>
      <c r="Q190" s="116"/>
      <c r="R190" s="116"/>
      <c r="S190" s="50">
        <v>7.0</v>
      </c>
      <c r="T190" s="50">
        <v>1000.0</v>
      </c>
      <c r="U190" s="50">
        <v>3.0</v>
      </c>
      <c r="V190" s="50">
        <v>0.0</v>
      </c>
      <c r="W190" s="116"/>
      <c r="X190" s="116"/>
      <c r="Y190" s="116"/>
      <c r="Z190" s="116"/>
      <c r="AA190" s="116"/>
      <c r="AB190" s="116"/>
      <c r="AC190" s="116"/>
      <c r="AD190" s="116"/>
      <c r="AE190" s="116"/>
      <c r="AF190" s="116"/>
      <c r="AG190" s="116"/>
      <c r="AH190" s="50">
        <v>7.0</v>
      </c>
      <c r="AI190" s="50">
        <v>1000.0</v>
      </c>
      <c r="AJ190" s="50">
        <v>3.0</v>
      </c>
      <c r="AK190" s="50">
        <v>0.0</v>
      </c>
      <c r="AL190" s="116"/>
      <c r="AM190" s="116"/>
      <c r="AN190" s="116"/>
      <c r="AO190" s="116"/>
      <c r="AP190" s="116"/>
      <c r="AQ190" s="116"/>
      <c r="AR190" s="116"/>
      <c r="AS190" s="116"/>
      <c r="AT190" s="116"/>
      <c r="AU190" s="50">
        <v>0.0</v>
      </c>
      <c r="AV190" s="116"/>
      <c r="AW190" s="116"/>
      <c r="AX190" s="116"/>
      <c r="AY190" s="116"/>
      <c r="AZ190" s="116"/>
      <c r="BA190" s="116"/>
      <c r="BB190" s="116"/>
      <c r="BC190" s="116"/>
      <c r="BD190" s="116"/>
      <c r="BE190" s="116"/>
      <c r="BF190" s="116"/>
      <c r="BG190" s="116"/>
      <c r="BH190" s="116"/>
      <c r="BI190" s="116"/>
      <c r="BJ190" s="116"/>
      <c r="BK190" s="116"/>
      <c r="BL190" s="116"/>
      <c r="BM190" s="116"/>
      <c r="BN190" s="116"/>
      <c r="BO190" s="116"/>
      <c r="BP190" s="116"/>
      <c r="BQ190" s="116"/>
      <c r="BR190" s="116"/>
      <c r="BS190" s="116"/>
      <c r="BT190" s="116"/>
      <c r="BU190" s="116"/>
      <c r="BV190" s="116"/>
      <c r="BW190" s="116"/>
      <c r="BX190" s="116"/>
      <c r="BY190" s="116"/>
      <c r="BZ190" s="116"/>
      <c r="CA190" s="116"/>
      <c r="CB190" s="116"/>
      <c r="CC190" s="50" t="s">
        <v>15329</v>
      </c>
      <c r="CD190" s="145">
        <v>43503.0</v>
      </c>
      <c r="CE190" s="50">
        <v>1.0</v>
      </c>
      <c r="CF190" s="50" t="s">
        <v>14921</v>
      </c>
      <c r="CG190" s="117">
        <v>5158.0</v>
      </c>
      <c r="CH190" s="50" t="s">
        <v>15331</v>
      </c>
      <c r="CI190" s="50" t="s">
        <v>15333</v>
      </c>
      <c r="CJ190" s="117">
        <v>189.0</v>
      </c>
    </row>
    <row r="191">
      <c r="A191" s="50" t="s">
        <v>15335</v>
      </c>
      <c r="B191" s="50" t="s">
        <v>6876</v>
      </c>
      <c r="C191" s="50" t="s">
        <v>6877</v>
      </c>
      <c r="D191" s="50" t="s">
        <v>11623</v>
      </c>
      <c r="E191" s="50" t="s">
        <v>15337</v>
      </c>
      <c r="F191" s="50">
        <v>66.0</v>
      </c>
      <c r="G191" s="50">
        <v>1.0</v>
      </c>
      <c r="H191" s="50">
        <v>99.0</v>
      </c>
      <c r="I191" s="116"/>
      <c r="J191" s="116"/>
      <c r="K191" s="50" t="s">
        <v>1503</v>
      </c>
      <c r="L191" s="50" t="s">
        <v>1503</v>
      </c>
      <c r="M191" s="50" t="s">
        <v>15229</v>
      </c>
      <c r="N191" s="50" t="s">
        <v>15230</v>
      </c>
      <c r="O191" s="50" t="s">
        <v>14857</v>
      </c>
      <c r="P191" s="116"/>
      <c r="Q191" s="116"/>
      <c r="R191" s="116"/>
      <c r="S191" s="50">
        <v>7.0</v>
      </c>
      <c r="T191" s="50">
        <v>1000.0</v>
      </c>
      <c r="U191" s="50">
        <v>3.0</v>
      </c>
      <c r="V191" s="50">
        <v>0.0</v>
      </c>
      <c r="W191" s="116"/>
      <c r="X191" s="116"/>
      <c r="Y191" s="116"/>
      <c r="Z191" s="116"/>
      <c r="AA191" s="116"/>
      <c r="AB191" s="116"/>
      <c r="AC191" s="116"/>
      <c r="AD191" s="116"/>
      <c r="AE191" s="116"/>
      <c r="AF191" s="116"/>
      <c r="AG191" s="116"/>
      <c r="AH191" s="50">
        <v>7.0</v>
      </c>
      <c r="AI191" s="50">
        <v>1000.0</v>
      </c>
      <c r="AJ191" s="50">
        <v>3.0</v>
      </c>
      <c r="AK191" s="50">
        <v>0.0</v>
      </c>
      <c r="AL191" s="116"/>
      <c r="AM191" s="116"/>
      <c r="AN191" s="116"/>
      <c r="AO191" s="116"/>
      <c r="AP191" s="116"/>
      <c r="AQ191" s="116"/>
      <c r="AR191" s="116"/>
      <c r="AS191" s="116"/>
      <c r="AT191" s="116"/>
      <c r="AU191" s="50">
        <v>0.0</v>
      </c>
      <c r="AV191" s="116"/>
      <c r="AW191" s="116"/>
      <c r="AX191" s="116"/>
      <c r="AY191" s="116"/>
      <c r="AZ191" s="116"/>
      <c r="BA191" s="116"/>
      <c r="BB191" s="116"/>
      <c r="BC191" s="116"/>
      <c r="BD191" s="116"/>
      <c r="BE191" s="116"/>
      <c r="BF191" s="116"/>
      <c r="BG191" s="116"/>
      <c r="BH191" s="116"/>
      <c r="BI191" s="116"/>
      <c r="BJ191" s="116"/>
      <c r="BK191" s="116"/>
      <c r="BL191" s="116"/>
      <c r="BM191" s="116"/>
      <c r="BN191" s="116"/>
      <c r="BO191" s="116"/>
      <c r="BP191" s="116"/>
      <c r="BQ191" s="116"/>
      <c r="BR191" s="116"/>
      <c r="BS191" s="116"/>
      <c r="BT191" s="116"/>
      <c r="BU191" s="116"/>
      <c r="BV191" s="116"/>
      <c r="BW191" s="116"/>
      <c r="BX191" s="116"/>
      <c r="BY191" s="116"/>
      <c r="BZ191" s="116"/>
      <c r="CA191" s="116"/>
      <c r="CB191" s="116"/>
      <c r="CC191" s="50" t="s">
        <v>15351</v>
      </c>
      <c r="CD191" s="145">
        <v>43503.0</v>
      </c>
      <c r="CE191" s="50">
        <v>1.0</v>
      </c>
      <c r="CF191" s="50" t="s">
        <v>14921</v>
      </c>
      <c r="CG191" s="117">
        <v>5159.0</v>
      </c>
      <c r="CH191" s="50" t="s">
        <v>15353</v>
      </c>
      <c r="CI191" s="50" t="s">
        <v>15354</v>
      </c>
      <c r="CJ191" s="117">
        <v>190.0</v>
      </c>
    </row>
    <row r="192">
      <c r="A192" s="50" t="s">
        <v>15355</v>
      </c>
      <c r="B192" s="50" t="s">
        <v>6876</v>
      </c>
      <c r="C192" s="50" t="s">
        <v>6877</v>
      </c>
      <c r="D192" s="50" t="s">
        <v>11623</v>
      </c>
      <c r="E192" s="50" t="s">
        <v>15357</v>
      </c>
      <c r="F192" s="50">
        <v>59.0</v>
      </c>
      <c r="G192" s="50">
        <v>1.0</v>
      </c>
      <c r="H192" s="50">
        <v>99.0</v>
      </c>
      <c r="I192" s="116"/>
      <c r="J192" s="116"/>
      <c r="K192" s="50" t="s">
        <v>1506</v>
      </c>
      <c r="L192" s="50" t="s">
        <v>1506</v>
      </c>
      <c r="M192" s="50" t="s">
        <v>15229</v>
      </c>
      <c r="N192" s="50" t="s">
        <v>15230</v>
      </c>
      <c r="O192" s="50" t="s">
        <v>14857</v>
      </c>
      <c r="P192" s="116"/>
      <c r="Q192" s="116"/>
      <c r="R192" s="116"/>
      <c r="S192" s="50">
        <v>7.0</v>
      </c>
      <c r="T192" s="50">
        <v>1000.0</v>
      </c>
      <c r="U192" s="50">
        <v>3.0</v>
      </c>
      <c r="V192" s="50">
        <v>0.0</v>
      </c>
      <c r="W192" s="116"/>
      <c r="X192" s="116"/>
      <c r="Y192" s="116"/>
      <c r="Z192" s="116"/>
      <c r="AA192" s="116"/>
      <c r="AB192" s="116"/>
      <c r="AC192" s="116"/>
      <c r="AD192" s="116"/>
      <c r="AE192" s="116"/>
      <c r="AF192" s="116"/>
      <c r="AG192" s="116"/>
      <c r="AH192" s="50">
        <v>7.0</v>
      </c>
      <c r="AI192" s="50">
        <v>1000.0</v>
      </c>
      <c r="AJ192" s="50">
        <v>3.0</v>
      </c>
      <c r="AK192" s="50">
        <v>0.0</v>
      </c>
      <c r="AL192" s="116"/>
      <c r="AM192" s="116"/>
      <c r="AN192" s="116"/>
      <c r="AO192" s="116"/>
      <c r="AP192" s="116"/>
      <c r="AQ192" s="116"/>
      <c r="AR192" s="116"/>
      <c r="AS192" s="116"/>
      <c r="AT192" s="116"/>
      <c r="AU192" s="50">
        <v>0.0</v>
      </c>
      <c r="AV192" s="116"/>
      <c r="AW192" s="116"/>
      <c r="AX192" s="116"/>
      <c r="AY192" s="116"/>
      <c r="AZ192" s="116"/>
      <c r="BA192" s="116"/>
      <c r="BB192" s="116"/>
      <c r="BC192" s="116"/>
      <c r="BD192" s="116"/>
      <c r="BE192" s="116"/>
      <c r="BF192" s="116"/>
      <c r="BG192" s="116"/>
      <c r="BH192" s="116"/>
      <c r="BI192" s="116"/>
      <c r="BJ192" s="116"/>
      <c r="BK192" s="116"/>
      <c r="BL192" s="116"/>
      <c r="BM192" s="116"/>
      <c r="BN192" s="116"/>
      <c r="BO192" s="116"/>
      <c r="BP192" s="116"/>
      <c r="BQ192" s="116"/>
      <c r="BR192" s="116"/>
      <c r="BS192" s="116"/>
      <c r="BT192" s="116"/>
      <c r="BU192" s="116"/>
      <c r="BV192" s="116"/>
      <c r="BW192" s="116"/>
      <c r="BX192" s="116"/>
      <c r="BY192" s="116"/>
      <c r="BZ192" s="116"/>
      <c r="CA192" s="116"/>
      <c r="CB192" s="116"/>
      <c r="CC192" s="50" t="s">
        <v>15371</v>
      </c>
      <c r="CD192" s="145">
        <v>43503.0</v>
      </c>
      <c r="CE192" s="50">
        <v>1.0</v>
      </c>
      <c r="CF192" s="50" t="s">
        <v>14921</v>
      </c>
      <c r="CG192" s="117">
        <v>5160.0</v>
      </c>
      <c r="CH192" s="50" t="s">
        <v>15372</v>
      </c>
      <c r="CI192" s="50" t="s">
        <v>15373</v>
      </c>
      <c r="CJ192" s="117">
        <v>191.0</v>
      </c>
    </row>
    <row r="193">
      <c r="A193" s="50" t="s">
        <v>15374</v>
      </c>
      <c r="B193" s="50" t="s">
        <v>6876</v>
      </c>
      <c r="C193" s="50" t="s">
        <v>6877</v>
      </c>
      <c r="D193" s="50" t="s">
        <v>11623</v>
      </c>
      <c r="E193" s="50" t="s">
        <v>15375</v>
      </c>
      <c r="F193" s="50">
        <v>58.0</v>
      </c>
      <c r="G193" s="50">
        <v>1.0</v>
      </c>
      <c r="H193" s="50">
        <v>15.0</v>
      </c>
      <c r="I193" s="116"/>
      <c r="J193" s="50">
        <v>151.0</v>
      </c>
      <c r="K193" s="50" t="s">
        <v>609</v>
      </c>
      <c r="L193" s="50" t="s">
        <v>609</v>
      </c>
      <c r="M193" s="50" t="s">
        <v>14857</v>
      </c>
      <c r="N193" s="50" t="s">
        <v>14858</v>
      </c>
      <c r="O193" s="50" t="s">
        <v>14859</v>
      </c>
      <c r="P193" s="116"/>
      <c r="Q193" s="116"/>
      <c r="R193" s="116"/>
      <c r="S193" s="50">
        <v>7.0</v>
      </c>
      <c r="T193" s="50">
        <v>1000.0</v>
      </c>
      <c r="U193" s="50">
        <v>3.0</v>
      </c>
      <c r="V193" s="50">
        <v>0.0</v>
      </c>
      <c r="W193" s="50">
        <v>7.0</v>
      </c>
      <c r="X193" s="50">
        <v>100.0</v>
      </c>
      <c r="Y193" s="50">
        <v>3.0</v>
      </c>
      <c r="Z193" s="50">
        <v>0.0</v>
      </c>
      <c r="AA193" s="50">
        <v>0.0</v>
      </c>
      <c r="AB193" s="116"/>
      <c r="AC193" s="116"/>
      <c r="AD193" s="116"/>
      <c r="AE193" s="116"/>
      <c r="AF193" s="116"/>
      <c r="AG193" s="116"/>
      <c r="AH193" s="50">
        <v>7.0</v>
      </c>
      <c r="AI193" s="50">
        <v>5000.0</v>
      </c>
      <c r="AJ193" s="50">
        <v>3.0</v>
      </c>
      <c r="AK193" s="50">
        <v>0.0</v>
      </c>
      <c r="AL193" s="50">
        <v>7.0</v>
      </c>
      <c r="AM193" s="50">
        <v>1000.0</v>
      </c>
      <c r="AN193" s="50">
        <v>3.0</v>
      </c>
      <c r="AO193" s="50">
        <v>0.0</v>
      </c>
      <c r="AP193" s="50">
        <v>1.0</v>
      </c>
      <c r="AQ193" s="50">
        <v>7.0</v>
      </c>
      <c r="AR193" s="50">
        <v>100.0</v>
      </c>
      <c r="AS193" s="50">
        <v>3.0</v>
      </c>
      <c r="AT193" s="50">
        <v>0.0</v>
      </c>
      <c r="AU193" s="50">
        <v>0.0</v>
      </c>
      <c r="AV193" s="116"/>
      <c r="AW193" s="116"/>
      <c r="AX193" s="116"/>
      <c r="AY193" s="116"/>
      <c r="AZ193" s="116"/>
      <c r="BA193" s="116"/>
      <c r="BB193" s="116"/>
      <c r="BC193" s="116"/>
      <c r="BD193" s="116"/>
      <c r="BE193" s="116"/>
      <c r="BF193" s="116"/>
      <c r="BG193" s="116"/>
      <c r="BH193" s="116"/>
      <c r="BI193" s="116"/>
      <c r="BJ193" s="116"/>
      <c r="BK193" s="116"/>
      <c r="BL193" s="116"/>
      <c r="BM193" s="116"/>
      <c r="BN193" s="116"/>
      <c r="BO193" s="116"/>
      <c r="BP193" s="116"/>
      <c r="BQ193" s="116"/>
      <c r="BR193" s="116"/>
      <c r="BS193" s="116"/>
      <c r="BT193" s="116"/>
      <c r="BU193" s="116"/>
      <c r="BV193" s="116"/>
      <c r="BW193" s="116"/>
      <c r="BX193" s="116"/>
      <c r="BY193" s="116"/>
      <c r="BZ193" s="116"/>
      <c r="CA193" s="116"/>
      <c r="CB193" s="116"/>
      <c r="CC193" s="116"/>
      <c r="CD193" s="145">
        <v>43503.0</v>
      </c>
      <c r="CE193" s="50">
        <v>1.0</v>
      </c>
      <c r="CF193" s="50" t="s">
        <v>14921</v>
      </c>
      <c r="CG193" s="117">
        <v>5161.0</v>
      </c>
      <c r="CH193" s="50" t="s">
        <v>15389</v>
      </c>
      <c r="CI193" s="50" t="s">
        <v>15390</v>
      </c>
      <c r="CJ193" s="117">
        <v>192.0</v>
      </c>
    </row>
    <row r="194">
      <c r="A194" s="50" t="s">
        <v>15391</v>
      </c>
      <c r="B194" s="50" t="s">
        <v>6876</v>
      </c>
      <c r="C194" s="50" t="s">
        <v>6877</v>
      </c>
      <c r="D194" s="50" t="s">
        <v>11623</v>
      </c>
      <c r="E194" s="50" t="s">
        <v>15393</v>
      </c>
      <c r="F194" s="50">
        <v>58.0</v>
      </c>
      <c r="G194" s="50">
        <v>1.0</v>
      </c>
      <c r="H194" s="50">
        <v>15.0</v>
      </c>
      <c r="I194" s="116"/>
      <c r="J194" s="50">
        <v>152.0</v>
      </c>
      <c r="K194" s="50" t="s">
        <v>606</v>
      </c>
      <c r="L194" s="50" t="s">
        <v>606</v>
      </c>
      <c r="M194" s="50" t="s">
        <v>14857</v>
      </c>
      <c r="N194" s="50" t="s">
        <v>14858</v>
      </c>
      <c r="O194" s="50" t="s">
        <v>14859</v>
      </c>
      <c r="P194" s="116"/>
      <c r="Q194" s="116"/>
      <c r="R194" s="116"/>
      <c r="S194" s="50">
        <v>7.0</v>
      </c>
      <c r="T194" s="50">
        <v>1000.0</v>
      </c>
      <c r="U194" s="50">
        <v>3.0</v>
      </c>
      <c r="V194" s="50">
        <v>0.0</v>
      </c>
      <c r="W194" s="50">
        <v>7.0</v>
      </c>
      <c r="X194" s="50">
        <v>100.0</v>
      </c>
      <c r="Y194" s="50">
        <v>3.0</v>
      </c>
      <c r="Z194" s="50">
        <v>0.0</v>
      </c>
      <c r="AA194" s="50">
        <v>0.0</v>
      </c>
      <c r="AB194" s="116"/>
      <c r="AC194" s="116"/>
      <c r="AD194" s="116"/>
      <c r="AE194" s="116"/>
      <c r="AF194" s="116"/>
      <c r="AG194" s="116"/>
      <c r="AH194" s="50">
        <v>7.0</v>
      </c>
      <c r="AI194" s="50">
        <v>5000.0</v>
      </c>
      <c r="AJ194" s="50">
        <v>3.0</v>
      </c>
      <c r="AK194" s="50">
        <v>0.0</v>
      </c>
      <c r="AL194" s="50">
        <v>7.0</v>
      </c>
      <c r="AM194" s="50">
        <v>1000.0</v>
      </c>
      <c r="AN194" s="50">
        <v>3.0</v>
      </c>
      <c r="AO194" s="50">
        <v>0.0</v>
      </c>
      <c r="AP194" s="50">
        <v>1.0</v>
      </c>
      <c r="AQ194" s="50">
        <v>7.0</v>
      </c>
      <c r="AR194" s="50">
        <v>100.0</v>
      </c>
      <c r="AS194" s="50">
        <v>3.0</v>
      </c>
      <c r="AT194" s="50">
        <v>0.0</v>
      </c>
      <c r="AU194" s="50">
        <v>0.0</v>
      </c>
      <c r="AV194" s="116"/>
      <c r="AW194" s="116"/>
      <c r="AX194" s="116"/>
      <c r="AY194" s="116"/>
      <c r="AZ194" s="116"/>
      <c r="BA194" s="116"/>
      <c r="BB194" s="116"/>
      <c r="BC194" s="116"/>
      <c r="BD194" s="116"/>
      <c r="BE194" s="116"/>
      <c r="BF194" s="116"/>
      <c r="BG194" s="116"/>
      <c r="BH194" s="116"/>
      <c r="BI194" s="116"/>
      <c r="BJ194" s="116"/>
      <c r="BK194" s="116"/>
      <c r="BL194" s="116"/>
      <c r="BM194" s="116"/>
      <c r="BN194" s="116"/>
      <c r="BO194" s="116"/>
      <c r="BP194" s="116"/>
      <c r="BQ194" s="116"/>
      <c r="BR194" s="116"/>
      <c r="BS194" s="116"/>
      <c r="BT194" s="116"/>
      <c r="BU194" s="116"/>
      <c r="BV194" s="116"/>
      <c r="BW194" s="116"/>
      <c r="BX194" s="116"/>
      <c r="BY194" s="116"/>
      <c r="BZ194" s="116"/>
      <c r="CA194" s="116"/>
      <c r="CB194" s="116"/>
      <c r="CC194" s="116"/>
      <c r="CD194" s="145">
        <v>43503.0</v>
      </c>
      <c r="CE194" s="50">
        <v>1.0</v>
      </c>
      <c r="CF194" s="50" t="s">
        <v>14921</v>
      </c>
      <c r="CG194" s="117">
        <v>5162.0</v>
      </c>
      <c r="CH194" s="50" t="s">
        <v>15404</v>
      </c>
      <c r="CI194" s="50" t="s">
        <v>15405</v>
      </c>
      <c r="CJ194" s="117">
        <v>193.0</v>
      </c>
    </row>
    <row r="195">
      <c r="A195" s="50" t="s">
        <v>15406</v>
      </c>
      <c r="B195" s="50" t="s">
        <v>6876</v>
      </c>
      <c r="C195" s="50" t="s">
        <v>6877</v>
      </c>
      <c r="D195" s="50" t="s">
        <v>11623</v>
      </c>
      <c r="E195" s="50" t="s">
        <v>15408</v>
      </c>
      <c r="F195" s="50">
        <v>58.0</v>
      </c>
      <c r="G195" s="50">
        <v>1.0</v>
      </c>
      <c r="H195" s="50">
        <v>15.0</v>
      </c>
      <c r="I195" s="116"/>
      <c r="J195" s="50">
        <v>152.0</v>
      </c>
      <c r="K195" s="50" t="s">
        <v>610</v>
      </c>
      <c r="L195" s="50" t="s">
        <v>610</v>
      </c>
      <c r="M195" s="50" t="s">
        <v>14857</v>
      </c>
      <c r="N195" s="50" t="s">
        <v>14858</v>
      </c>
      <c r="O195" s="50" t="s">
        <v>14859</v>
      </c>
      <c r="P195" s="116"/>
      <c r="Q195" s="116"/>
      <c r="R195" s="116"/>
      <c r="S195" s="50">
        <v>7.0</v>
      </c>
      <c r="T195" s="50">
        <v>1000.0</v>
      </c>
      <c r="U195" s="50">
        <v>3.0</v>
      </c>
      <c r="V195" s="50">
        <v>0.0</v>
      </c>
      <c r="W195" s="50">
        <v>7.0</v>
      </c>
      <c r="X195" s="50">
        <v>100.0</v>
      </c>
      <c r="Y195" s="50">
        <v>3.0</v>
      </c>
      <c r="Z195" s="50">
        <v>0.0</v>
      </c>
      <c r="AA195" s="50">
        <v>0.0</v>
      </c>
      <c r="AB195" s="116"/>
      <c r="AC195" s="116"/>
      <c r="AD195" s="116"/>
      <c r="AE195" s="116"/>
      <c r="AF195" s="116"/>
      <c r="AG195" s="116"/>
      <c r="AH195" s="50">
        <v>7.0</v>
      </c>
      <c r="AI195" s="50">
        <v>5000.0</v>
      </c>
      <c r="AJ195" s="50">
        <v>3.0</v>
      </c>
      <c r="AK195" s="50">
        <v>0.0</v>
      </c>
      <c r="AL195" s="50">
        <v>7.0</v>
      </c>
      <c r="AM195" s="50">
        <v>1000.0</v>
      </c>
      <c r="AN195" s="50">
        <v>3.0</v>
      </c>
      <c r="AO195" s="50">
        <v>0.0</v>
      </c>
      <c r="AP195" s="50">
        <v>1.0</v>
      </c>
      <c r="AQ195" s="50">
        <v>7.0</v>
      </c>
      <c r="AR195" s="50">
        <v>100.0</v>
      </c>
      <c r="AS195" s="50">
        <v>3.0</v>
      </c>
      <c r="AT195" s="50">
        <v>0.0</v>
      </c>
      <c r="AU195" s="50">
        <v>0.0</v>
      </c>
      <c r="AV195" s="116"/>
      <c r="AW195" s="116"/>
      <c r="AX195" s="116"/>
      <c r="AY195" s="116"/>
      <c r="AZ195" s="116"/>
      <c r="BA195" s="116"/>
      <c r="BB195" s="116"/>
      <c r="BC195" s="116"/>
      <c r="BD195" s="116"/>
      <c r="BE195" s="116"/>
      <c r="BF195" s="116"/>
      <c r="BG195" s="116"/>
      <c r="BH195" s="116"/>
      <c r="BI195" s="116"/>
      <c r="BJ195" s="116"/>
      <c r="BK195" s="116"/>
      <c r="BL195" s="116"/>
      <c r="BM195" s="116"/>
      <c r="BN195" s="116"/>
      <c r="BO195" s="116"/>
      <c r="BP195" s="116"/>
      <c r="BQ195" s="116"/>
      <c r="BR195" s="116"/>
      <c r="BS195" s="116"/>
      <c r="BT195" s="116"/>
      <c r="BU195" s="116"/>
      <c r="BV195" s="116"/>
      <c r="BW195" s="116"/>
      <c r="BX195" s="116"/>
      <c r="BY195" s="116"/>
      <c r="BZ195" s="116"/>
      <c r="CA195" s="116"/>
      <c r="CB195" s="116"/>
      <c r="CC195" s="116"/>
      <c r="CD195" s="145">
        <v>43503.0</v>
      </c>
      <c r="CE195" s="50">
        <v>1.0</v>
      </c>
      <c r="CF195" s="50" t="s">
        <v>14921</v>
      </c>
      <c r="CG195" s="117">
        <v>5163.0</v>
      </c>
      <c r="CH195" s="50" t="s">
        <v>15421</v>
      </c>
      <c r="CI195" s="50" t="s">
        <v>15422</v>
      </c>
      <c r="CJ195" s="117">
        <v>194.0</v>
      </c>
    </row>
    <row r="196">
      <c r="A196" s="50" t="s">
        <v>15423</v>
      </c>
      <c r="B196" s="50" t="s">
        <v>6876</v>
      </c>
      <c r="C196" s="50" t="s">
        <v>6877</v>
      </c>
      <c r="D196" s="50" t="s">
        <v>11623</v>
      </c>
      <c r="E196" s="50" t="s">
        <v>15426</v>
      </c>
      <c r="F196" s="50">
        <v>58.0</v>
      </c>
      <c r="G196" s="50">
        <v>1.0</v>
      </c>
      <c r="H196" s="50">
        <v>15.0</v>
      </c>
      <c r="I196" s="116"/>
      <c r="J196" s="50">
        <v>152.0</v>
      </c>
      <c r="K196" s="50" t="s">
        <v>612</v>
      </c>
      <c r="L196" s="50" t="s">
        <v>612</v>
      </c>
      <c r="M196" s="50" t="s">
        <v>14857</v>
      </c>
      <c r="N196" s="50" t="s">
        <v>14858</v>
      </c>
      <c r="O196" s="50" t="s">
        <v>14859</v>
      </c>
      <c r="P196" s="116"/>
      <c r="Q196" s="116"/>
      <c r="R196" s="116"/>
      <c r="S196" s="50">
        <v>7.0</v>
      </c>
      <c r="T196" s="50">
        <v>1000.0</v>
      </c>
      <c r="U196" s="50">
        <v>3.0</v>
      </c>
      <c r="V196" s="50">
        <v>0.0</v>
      </c>
      <c r="W196" s="50">
        <v>7.0</v>
      </c>
      <c r="X196" s="50">
        <v>100.0</v>
      </c>
      <c r="Y196" s="50">
        <v>3.0</v>
      </c>
      <c r="Z196" s="50">
        <v>0.0</v>
      </c>
      <c r="AA196" s="50">
        <v>0.0</v>
      </c>
      <c r="AB196" s="116"/>
      <c r="AC196" s="116"/>
      <c r="AD196" s="116"/>
      <c r="AE196" s="116"/>
      <c r="AF196" s="116"/>
      <c r="AG196" s="116"/>
      <c r="AH196" s="50">
        <v>7.0</v>
      </c>
      <c r="AI196" s="50">
        <v>5000.0</v>
      </c>
      <c r="AJ196" s="50">
        <v>3.0</v>
      </c>
      <c r="AK196" s="50">
        <v>0.0</v>
      </c>
      <c r="AL196" s="50">
        <v>7.0</v>
      </c>
      <c r="AM196" s="50">
        <v>1000.0</v>
      </c>
      <c r="AN196" s="50">
        <v>3.0</v>
      </c>
      <c r="AO196" s="50">
        <v>0.0</v>
      </c>
      <c r="AP196" s="50">
        <v>1.0</v>
      </c>
      <c r="AQ196" s="50">
        <v>7.0</v>
      </c>
      <c r="AR196" s="50">
        <v>100.0</v>
      </c>
      <c r="AS196" s="50">
        <v>3.0</v>
      </c>
      <c r="AT196" s="50">
        <v>0.0</v>
      </c>
      <c r="AU196" s="50">
        <v>0.0</v>
      </c>
      <c r="AV196" s="116"/>
      <c r="AW196" s="116"/>
      <c r="AX196" s="116"/>
      <c r="AY196" s="116"/>
      <c r="AZ196" s="116"/>
      <c r="BA196" s="116"/>
      <c r="BB196" s="116"/>
      <c r="BC196" s="116"/>
      <c r="BD196" s="116"/>
      <c r="BE196" s="116"/>
      <c r="BF196" s="116"/>
      <c r="BG196" s="116"/>
      <c r="BH196" s="116"/>
      <c r="BI196" s="116"/>
      <c r="BJ196" s="116"/>
      <c r="BK196" s="116"/>
      <c r="BL196" s="116"/>
      <c r="BM196" s="116"/>
      <c r="BN196" s="116"/>
      <c r="BO196" s="116"/>
      <c r="BP196" s="116"/>
      <c r="BQ196" s="116"/>
      <c r="BR196" s="116"/>
      <c r="BS196" s="116"/>
      <c r="BT196" s="116"/>
      <c r="BU196" s="116"/>
      <c r="BV196" s="116"/>
      <c r="BW196" s="116"/>
      <c r="BX196" s="116"/>
      <c r="BY196" s="116"/>
      <c r="BZ196" s="116"/>
      <c r="CA196" s="116"/>
      <c r="CB196" s="116"/>
      <c r="CC196" s="116"/>
      <c r="CD196" s="145">
        <v>43503.0</v>
      </c>
      <c r="CE196" s="50">
        <v>1.0</v>
      </c>
      <c r="CF196" s="50" t="s">
        <v>14921</v>
      </c>
      <c r="CG196" s="117">
        <v>5164.0</v>
      </c>
      <c r="CH196" s="50" t="s">
        <v>15443</v>
      </c>
      <c r="CI196" s="50" t="s">
        <v>15444</v>
      </c>
      <c r="CJ196" s="117">
        <v>195.0</v>
      </c>
    </row>
    <row r="197">
      <c r="A197" s="50" t="s">
        <v>15446</v>
      </c>
      <c r="B197" s="50" t="s">
        <v>6876</v>
      </c>
      <c r="C197" s="50" t="s">
        <v>6877</v>
      </c>
      <c r="D197" s="50" t="s">
        <v>11623</v>
      </c>
      <c r="E197" s="50" t="s">
        <v>15447</v>
      </c>
      <c r="F197" s="50">
        <v>58.0</v>
      </c>
      <c r="G197" s="50">
        <v>1.0</v>
      </c>
      <c r="H197" s="50">
        <v>99.0</v>
      </c>
      <c r="I197" s="116"/>
      <c r="J197" s="116"/>
      <c r="K197" s="50" t="s">
        <v>614</v>
      </c>
      <c r="L197" s="50" t="s">
        <v>614</v>
      </c>
      <c r="M197" s="50" t="s">
        <v>14857</v>
      </c>
      <c r="N197" s="50" t="s">
        <v>14858</v>
      </c>
      <c r="O197" s="50" t="s">
        <v>14859</v>
      </c>
      <c r="P197" s="116"/>
      <c r="Q197" s="116"/>
      <c r="R197" s="116"/>
      <c r="S197" s="50">
        <v>7.0</v>
      </c>
      <c r="T197" s="50">
        <v>1000.0</v>
      </c>
      <c r="U197" s="50">
        <v>3.0</v>
      </c>
      <c r="V197" s="50">
        <v>0.0</v>
      </c>
      <c r="W197" s="116"/>
      <c r="X197" s="116"/>
      <c r="Y197" s="116"/>
      <c r="Z197" s="116"/>
      <c r="AA197" s="116"/>
      <c r="AB197" s="116"/>
      <c r="AC197" s="116"/>
      <c r="AD197" s="116"/>
      <c r="AE197" s="116"/>
      <c r="AF197" s="116"/>
      <c r="AG197" s="116"/>
      <c r="AH197" s="50">
        <v>7.0</v>
      </c>
      <c r="AI197" s="50">
        <v>1000.0</v>
      </c>
      <c r="AJ197" s="50">
        <v>3.0</v>
      </c>
      <c r="AK197" s="50">
        <v>0.0</v>
      </c>
      <c r="AL197" s="116"/>
      <c r="AM197" s="116"/>
      <c r="AN197" s="116"/>
      <c r="AO197" s="116"/>
      <c r="AP197" s="116"/>
      <c r="AQ197" s="116"/>
      <c r="AR197" s="116"/>
      <c r="AS197" s="116"/>
      <c r="AT197" s="116"/>
      <c r="AU197" s="50">
        <v>0.0</v>
      </c>
      <c r="AV197" s="116"/>
      <c r="AW197" s="116"/>
      <c r="AX197" s="116"/>
      <c r="AY197" s="116"/>
      <c r="AZ197" s="116"/>
      <c r="BA197" s="116"/>
      <c r="BB197" s="116"/>
      <c r="BC197" s="116"/>
      <c r="BD197" s="116"/>
      <c r="BE197" s="116"/>
      <c r="BF197" s="116"/>
      <c r="BG197" s="116"/>
      <c r="BH197" s="116"/>
      <c r="BI197" s="116"/>
      <c r="BJ197" s="116"/>
      <c r="BK197" s="116"/>
      <c r="BL197" s="116"/>
      <c r="BM197" s="116"/>
      <c r="BN197" s="116"/>
      <c r="BO197" s="116"/>
      <c r="BP197" s="116"/>
      <c r="BQ197" s="116"/>
      <c r="BR197" s="116"/>
      <c r="BS197" s="116"/>
      <c r="BT197" s="116"/>
      <c r="BU197" s="116"/>
      <c r="BV197" s="116"/>
      <c r="BW197" s="116"/>
      <c r="BX197" s="116"/>
      <c r="BY197" s="116"/>
      <c r="BZ197" s="116"/>
      <c r="CA197" s="116"/>
      <c r="CB197" s="116"/>
      <c r="CC197" s="50" t="s">
        <v>15465</v>
      </c>
      <c r="CD197" s="145">
        <v>43503.0</v>
      </c>
      <c r="CE197" s="50">
        <v>1.0</v>
      </c>
      <c r="CF197" s="50" t="s">
        <v>14921</v>
      </c>
      <c r="CG197" s="117">
        <v>5165.0</v>
      </c>
      <c r="CH197" s="50" t="s">
        <v>15469</v>
      </c>
      <c r="CI197" s="50" t="s">
        <v>15470</v>
      </c>
      <c r="CJ197" s="117">
        <v>196.0</v>
      </c>
    </row>
    <row r="198">
      <c r="A198" s="50" t="s">
        <v>15472</v>
      </c>
      <c r="B198" s="50" t="s">
        <v>6876</v>
      </c>
      <c r="C198" s="50" t="s">
        <v>6877</v>
      </c>
      <c r="D198" s="50" t="s">
        <v>11623</v>
      </c>
      <c r="E198" s="50" t="s">
        <v>15473</v>
      </c>
      <c r="F198" s="50">
        <v>59.0</v>
      </c>
      <c r="G198" s="50">
        <v>1.0</v>
      </c>
      <c r="H198" s="50">
        <v>99.0</v>
      </c>
      <c r="I198" s="116"/>
      <c r="J198" s="116"/>
      <c r="K198" s="50" t="s">
        <v>1526</v>
      </c>
      <c r="L198" s="50" t="s">
        <v>1526</v>
      </c>
      <c r="M198" s="50" t="s">
        <v>14857</v>
      </c>
      <c r="N198" s="50" t="s">
        <v>14858</v>
      </c>
      <c r="O198" s="50" t="s">
        <v>14859</v>
      </c>
      <c r="P198" s="116"/>
      <c r="Q198" s="116"/>
      <c r="R198" s="116"/>
      <c r="S198" s="50">
        <v>7.0</v>
      </c>
      <c r="T198" s="50">
        <v>1000.0</v>
      </c>
      <c r="U198" s="50">
        <v>3.0</v>
      </c>
      <c r="V198" s="50">
        <v>0.0</v>
      </c>
      <c r="W198" s="116"/>
      <c r="X198" s="116"/>
      <c r="Y198" s="116"/>
      <c r="Z198" s="116"/>
      <c r="AA198" s="116"/>
      <c r="AB198" s="116"/>
      <c r="AC198" s="116"/>
      <c r="AD198" s="116"/>
      <c r="AE198" s="116"/>
      <c r="AF198" s="116"/>
      <c r="AG198" s="116"/>
      <c r="AH198" s="50">
        <v>7.0</v>
      </c>
      <c r="AI198" s="50">
        <v>1000.0</v>
      </c>
      <c r="AJ198" s="50">
        <v>3.0</v>
      </c>
      <c r="AK198" s="50">
        <v>0.0</v>
      </c>
      <c r="AL198" s="116"/>
      <c r="AM198" s="116"/>
      <c r="AN198" s="116"/>
      <c r="AO198" s="116"/>
      <c r="AP198" s="116"/>
      <c r="AQ198" s="116"/>
      <c r="AR198" s="116"/>
      <c r="AS198" s="116"/>
      <c r="AT198" s="116"/>
      <c r="AU198" s="50">
        <v>0.0</v>
      </c>
      <c r="AV198" s="116"/>
      <c r="AW198" s="116"/>
      <c r="AX198" s="116"/>
      <c r="AY198" s="116"/>
      <c r="AZ198" s="116"/>
      <c r="BA198" s="116"/>
      <c r="BB198" s="116"/>
      <c r="BC198" s="116"/>
      <c r="BD198" s="116"/>
      <c r="BE198" s="116"/>
      <c r="BF198" s="116"/>
      <c r="BG198" s="116"/>
      <c r="BH198" s="116"/>
      <c r="BI198" s="116"/>
      <c r="BJ198" s="116"/>
      <c r="BK198" s="116"/>
      <c r="BL198" s="116"/>
      <c r="BM198" s="116"/>
      <c r="BN198" s="116"/>
      <c r="BO198" s="116"/>
      <c r="BP198" s="116"/>
      <c r="BQ198" s="116"/>
      <c r="BR198" s="116"/>
      <c r="BS198" s="116"/>
      <c r="BT198" s="116"/>
      <c r="BU198" s="116"/>
      <c r="BV198" s="116"/>
      <c r="BW198" s="116"/>
      <c r="BX198" s="116"/>
      <c r="BY198" s="116"/>
      <c r="BZ198" s="116"/>
      <c r="CA198" s="116"/>
      <c r="CB198" s="116"/>
      <c r="CC198" s="50" t="s">
        <v>15491</v>
      </c>
      <c r="CD198" s="145">
        <v>43503.0</v>
      </c>
      <c r="CE198" s="50">
        <v>1.0</v>
      </c>
      <c r="CF198" s="50" t="s">
        <v>14921</v>
      </c>
      <c r="CG198" s="117">
        <v>5166.0</v>
      </c>
      <c r="CH198" s="50" t="s">
        <v>15492</v>
      </c>
      <c r="CI198" s="50" t="s">
        <v>15493</v>
      </c>
      <c r="CJ198" s="117">
        <v>197.0</v>
      </c>
    </row>
    <row r="199">
      <c r="A199" s="50" t="s">
        <v>15496</v>
      </c>
      <c r="B199" s="50" t="s">
        <v>6876</v>
      </c>
      <c r="C199" s="50" t="s">
        <v>6877</v>
      </c>
      <c r="D199" s="50" t="s">
        <v>11623</v>
      </c>
      <c r="E199" s="50" t="s">
        <v>15498</v>
      </c>
      <c r="F199" s="50">
        <v>59.0</v>
      </c>
      <c r="G199" s="50">
        <v>1.0</v>
      </c>
      <c r="H199" s="50">
        <v>99.0</v>
      </c>
      <c r="I199" s="116"/>
      <c r="J199" s="116"/>
      <c r="K199" s="50" t="s">
        <v>1529</v>
      </c>
      <c r="L199" s="50" t="s">
        <v>1529</v>
      </c>
      <c r="M199" s="50" t="s">
        <v>14857</v>
      </c>
      <c r="N199" s="50" t="s">
        <v>14858</v>
      </c>
      <c r="O199" s="50" t="s">
        <v>14859</v>
      </c>
      <c r="P199" s="116"/>
      <c r="Q199" s="116"/>
      <c r="R199" s="116"/>
      <c r="S199" s="50">
        <v>7.0</v>
      </c>
      <c r="T199" s="50">
        <v>1000.0</v>
      </c>
      <c r="U199" s="50">
        <v>3.0</v>
      </c>
      <c r="V199" s="50">
        <v>0.0</v>
      </c>
      <c r="W199" s="116"/>
      <c r="X199" s="116"/>
      <c r="Y199" s="116"/>
      <c r="Z199" s="116"/>
      <c r="AA199" s="116"/>
      <c r="AB199" s="116"/>
      <c r="AC199" s="116"/>
      <c r="AD199" s="116"/>
      <c r="AE199" s="116"/>
      <c r="AF199" s="116"/>
      <c r="AG199" s="116"/>
      <c r="AH199" s="50">
        <v>7.0</v>
      </c>
      <c r="AI199" s="50">
        <v>1000.0</v>
      </c>
      <c r="AJ199" s="50">
        <v>3.0</v>
      </c>
      <c r="AK199" s="50">
        <v>0.0</v>
      </c>
      <c r="AL199" s="116"/>
      <c r="AM199" s="116"/>
      <c r="AN199" s="116"/>
      <c r="AO199" s="116"/>
      <c r="AP199" s="116"/>
      <c r="AQ199" s="116"/>
      <c r="AR199" s="116"/>
      <c r="AS199" s="116"/>
      <c r="AT199" s="116"/>
      <c r="AU199" s="50">
        <v>0.0</v>
      </c>
      <c r="AV199" s="116"/>
      <c r="AW199" s="116"/>
      <c r="AX199" s="116"/>
      <c r="AY199" s="116"/>
      <c r="AZ199" s="116"/>
      <c r="BA199" s="116"/>
      <c r="BB199" s="116"/>
      <c r="BC199" s="116"/>
      <c r="BD199" s="116"/>
      <c r="BE199" s="116"/>
      <c r="BF199" s="116"/>
      <c r="BG199" s="116"/>
      <c r="BH199" s="116"/>
      <c r="BI199" s="116"/>
      <c r="BJ199" s="116"/>
      <c r="BK199" s="116"/>
      <c r="BL199" s="116"/>
      <c r="BM199" s="116"/>
      <c r="BN199" s="116"/>
      <c r="BO199" s="116"/>
      <c r="BP199" s="116"/>
      <c r="BQ199" s="116"/>
      <c r="BR199" s="116"/>
      <c r="BS199" s="116"/>
      <c r="BT199" s="116"/>
      <c r="BU199" s="116"/>
      <c r="BV199" s="116"/>
      <c r="BW199" s="116"/>
      <c r="BX199" s="116"/>
      <c r="BY199" s="116"/>
      <c r="BZ199" s="116"/>
      <c r="CA199" s="116"/>
      <c r="CB199" s="116"/>
      <c r="CC199" s="50" t="s">
        <v>15516</v>
      </c>
      <c r="CD199" s="145">
        <v>43503.0</v>
      </c>
      <c r="CE199" s="50">
        <v>1.0</v>
      </c>
      <c r="CF199" s="50" t="s">
        <v>14921</v>
      </c>
      <c r="CG199" s="117">
        <v>5167.0</v>
      </c>
      <c r="CH199" s="50" t="s">
        <v>15520</v>
      </c>
      <c r="CI199" s="50" t="s">
        <v>15522</v>
      </c>
      <c r="CJ199" s="117">
        <v>198.0</v>
      </c>
    </row>
    <row r="200">
      <c r="A200" s="50" t="s">
        <v>15525</v>
      </c>
      <c r="B200" s="50" t="s">
        <v>6876</v>
      </c>
      <c r="C200" s="50" t="s">
        <v>6877</v>
      </c>
      <c r="D200" s="50" t="s">
        <v>11623</v>
      </c>
      <c r="E200" s="50" t="s">
        <v>15527</v>
      </c>
      <c r="F200" s="50">
        <v>33.0</v>
      </c>
      <c r="G200" s="50">
        <v>1.0</v>
      </c>
      <c r="H200" s="50">
        <v>97.0</v>
      </c>
      <c r="I200" s="116"/>
      <c r="J200" s="116"/>
      <c r="K200" s="50" t="s">
        <v>436</v>
      </c>
      <c r="L200" s="50" t="s">
        <v>436</v>
      </c>
      <c r="M200" s="50" t="s">
        <v>14908</v>
      </c>
      <c r="N200" s="50" t="s">
        <v>14909</v>
      </c>
      <c r="O200" s="50" t="s">
        <v>14910</v>
      </c>
      <c r="P200" s="116"/>
      <c r="Q200" s="116"/>
      <c r="R200" s="116"/>
      <c r="S200" s="50">
        <v>7.0</v>
      </c>
      <c r="T200" s="50">
        <v>1000.0</v>
      </c>
      <c r="U200" s="50">
        <v>3.0</v>
      </c>
      <c r="V200" s="50">
        <v>252.0</v>
      </c>
      <c r="W200" s="116"/>
      <c r="X200" s="116"/>
      <c r="Y200" s="116"/>
      <c r="Z200" s="116"/>
      <c r="AA200" s="116"/>
      <c r="AB200" s="116"/>
      <c r="AC200" s="116"/>
      <c r="AD200" s="116"/>
      <c r="AE200" s="116"/>
      <c r="AF200" s="116"/>
      <c r="AG200" s="116"/>
      <c r="AH200" s="116"/>
      <c r="AI200" s="116"/>
      <c r="AJ200" s="116"/>
      <c r="AK200" s="116"/>
      <c r="AL200" s="116"/>
      <c r="AM200" s="116"/>
      <c r="AN200" s="116"/>
      <c r="AO200" s="116"/>
      <c r="AP200" s="116"/>
      <c r="AQ200" s="116"/>
      <c r="AR200" s="116"/>
      <c r="AS200" s="116"/>
      <c r="AT200" s="116"/>
      <c r="AU200" s="50">
        <v>0.0</v>
      </c>
      <c r="AV200" s="116"/>
      <c r="AW200" s="116"/>
      <c r="AX200" s="116"/>
      <c r="AY200" s="116"/>
      <c r="AZ200" s="116"/>
      <c r="BA200" s="116"/>
      <c r="BB200" s="116"/>
      <c r="BC200" s="116"/>
      <c r="BD200" s="116"/>
      <c r="BE200" s="116"/>
      <c r="BF200" s="116"/>
      <c r="BG200" s="116"/>
      <c r="BH200" s="116"/>
      <c r="BI200" s="116"/>
      <c r="BJ200" s="116"/>
      <c r="BK200" s="116"/>
      <c r="BL200" s="116"/>
      <c r="BM200" s="116"/>
      <c r="BN200" s="116"/>
      <c r="BO200" s="116"/>
      <c r="BP200" s="116"/>
      <c r="BQ200" s="116"/>
      <c r="BR200" s="116"/>
      <c r="BS200" s="116"/>
      <c r="BT200" s="116"/>
      <c r="BU200" s="116"/>
      <c r="BV200" s="116"/>
      <c r="BW200" s="116"/>
      <c r="BX200" s="116"/>
      <c r="BY200" s="116"/>
      <c r="BZ200" s="116"/>
      <c r="CA200" s="116"/>
      <c r="CB200" s="116"/>
      <c r="CC200" s="116"/>
      <c r="CD200" s="145">
        <v>43503.0</v>
      </c>
      <c r="CE200" s="50">
        <v>1.0</v>
      </c>
      <c r="CF200" s="50" t="s">
        <v>15555</v>
      </c>
      <c r="CG200" s="117">
        <v>5177.0</v>
      </c>
      <c r="CH200" s="50" t="s">
        <v>15556</v>
      </c>
      <c r="CI200" s="50" t="s">
        <v>15558</v>
      </c>
      <c r="CJ200" s="117">
        <v>199.0</v>
      </c>
    </row>
    <row r="201">
      <c r="A201" s="50" t="s">
        <v>15527</v>
      </c>
      <c r="B201" s="50" t="s">
        <v>6876</v>
      </c>
      <c r="C201" s="50" t="s">
        <v>6877</v>
      </c>
      <c r="D201" s="50" t="s">
        <v>11623</v>
      </c>
      <c r="E201" s="50" t="s">
        <v>15561</v>
      </c>
      <c r="F201" s="50">
        <v>33.0</v>
      </c>
      <c r="G201" s="50">
        <v>1.0</v>
      </c>
      <c r="H201" s="50">
        <v>97.0</v>
      </c>
      <c r="I201" s="116"/>
      <c r="J201" s="116"/>
      <c r="K201" s="50" t="s">
        <v>15565</v>
      </c>
      <c r="L201" s="50" t="s">
        <v>15565</v>
      </c>
      <c r="M201" s="50" t="s">
        <v>14908</v>
      </c>
      <c r="N201" s="50" t="s">
        <v>14909</v>
      </c>
      <c r="O201" s="50" t="s">
        <v>14910</v>
      </c>
      <c r="P201" s="116"/>
      <c r="Q201" s="116"/>
      <c r="R201" s="116"/>
      <c r="S201" s="116"/>
      <c r="T201" s="116"/>
      <c r="U201" s="116"/>
      <c r="V201" s="116"/>
      <c r="W201" s="116"/>
      <c r="X201" s="116"/>
      <c r="Y201" s="116"/>
      <c r="Z201" s="116"/>
      <c r="AA201" s="116"/>
      <c r="AB201" s="116"/>
      <c r="AC201" s="116"/>
      <c r="AD201" s="116"/>
      <c r="AE201" s="116"/>
      <c r="AF201" s="116"/>
      <c r="AG201" s="116"/>
      <c r="AH201" s="50">
        <v>7.0</v>
      </c>
      <c r="AI201" s="50">
        <v>1000.0</v>
      </c>
      <c r="AJ201" s="50">
        <v>3.0</v>
      </c>
      <c r="AK201" s="50">
        <v>160.0</v>
      </c>
      <c r="AL201" s="116"/>
      <c r="AM201" s="116"/>
      <c r="AN201" s="116"/>
      <c r="AO201" s="116"/>
      <c r="AP201" s="116"/>
      <c r="AQ201" s="116"/>
      <c r="AR201" s="116"/>
      <c r="AS201" s="116"/>
      <c r="AT201" s="116"/>
      <c r="AU201" s="50">
        <v>0.0</v>
      </c>
      <c r="AV201" s="116"/>
      <c r="AW201" s="116"/>
      <c r="AX201" s="116"/>
      <c r="AY201" s="116"/>
      <c r="AZ201" s="116"/>
      <c r="BA201" s="116"/>
      <c r="BB201" s="116"/>
      <c r="BC201" s="116"/>
      <c r="BD201" s="116"/>
      <c r="BE201" s="116"/>
      <c r="BF201" s="116"/>
      <c r="BG201" s="116"/>
      <c r="BH201" s="116"/>
      <c r="BI201" s="116"/>
      <c r="BJ201" s="116"/>
      <c r="BK201" s="116"/>
      <c r="BL201" s="116"/>
      <c r="BM201" s="116"/>
      <c r="BN201" s="116"/>
      <c r="BO201" s="116"/>
      <c r="BP201" s="116"/>
      <c r="BQ201" s="116"/>
      <c r="BR201" s="116"/>
      <c r="BS201" s="116"/>
      <c r="BT201" s="116"/>
      <c r="BU201" s="116"/>
      <c r="BV201" s="116"/>
      <c r="BW201" s="116"/>
      <c r="BX201" s="116"/>
      <c r="BY201" s="116"/>
      <c r="BZ201" s="116"/>
      <c r="CA201" s="116"/>
      <c r="CB201" s="116"/>
      <c r="CC201" s="116"/>
      <c r="CD201" s="145">
        <v>43503.0</v>
      </c>
      <c r="CE201" s="50">
        <v>1.0</v>
      </c>
      <c r="CF201" s="50" t="s">
        <v>15555</v>
      </c>
      <c r="CG201" s="117">
        <v>5178.0</v>
      </c>
      <c r="CH201" s="50" t="s">
        <v>15586</v>
      </c>
      <c r="CI201" s="50" t="s">
        <v>15587</v>
      </c>
      <c r="CJ201" s="117">
        <v>200.0</v>
      </c>
    </row>
    <row r="202">
      <c r="A202" s="50" t="s">
        <v>15588</v>
      </c>
      <c r="B202" s="50" t="s">
        <v>6876</v>
      </c>
      <c r="C202" s="50" t="s">
        <v>6877</v>
      </c>
      <c r="D202" s="50" t="s">
        <v>11623</v>
      </c>
      <c r="E202" s="50" t="s">
        <v>15592</v>
      </c>
      <c r="F202" s="50">
        <v>33.0</v>
      </c>
      <c r="G202" s="50">
        <v>1.0</v>
      </c>
      <c r="H202" s="50">
        <v>97.0</v>
      </c>
      <c r="I202" s="116"/>
      <c r="J202" s="116"/>
      <c r="K202" s="50" t="s">
        <v>436</v>
      </c>
      <c r="L202" s="50" t="s">
        <v>436</v>
      </c>
      <c r="M202" s="50" t="s">
        <v>15081</v>
      </c>
      <c r="N202" s="50" t="s">
        <v>15082</v>
      </c>
      <c r="O202" s="50" t="s">
        <v>15084</v>
      </c>
      <c r="P202" s="116"/>
      <c r="Q202" s="116"/>
      <c r="R202" s="116"/>
      <c r="S202" s="50">
        <v>7.0</v>
      </c>
      <c r="T202" s="50">
        <v>1000.0</v>
      </c>
      <c r="U202" s="50">
        <v>3.0</v>
      </c>
      <c r="V202" s="50">
        <v>230.0</v>
      </c>
      <c r="W202" s="116"/>
      <c r="X202" s="116"/>
      <c r="Y202" s="116"/>
      <c r="Z202" s="116"/>
      <c r="AA202" s="116"/>
      <c r="AB202" s="116"/>
      <c r="AC202" s="116"/>
      <c r="AD202" s="116"/>
      <c r="AE202" s="116"/>
      <c r="AF202" s="116"/>
      <c r="AG202" s="116"/>
      <c r="AH202" s="116"/>
      <c r="AI202" s="116"/>
      <c r="AJ202" s="116"/>
      <c r="AK202" s="116"/>
      <c r="AL202" s="116"/>
      <c r="AM202" s="116"/>
      <c r="AN202" s="116"/>
      <c r="AO202" s="116"/>
      <c r="AP202" s="116"/>
      <c r="AQ202" s="116"/>
      <c r="AR202" s="116"/>
      <c r="AS202" s="116"/>
      <c r="AT202" s="116"/>
      <c r="AU202" s="50">
        <v>0.0</v>
      </c>
      <c r="AV202" s="116"/>
      <c r="AW202" s="116"/>
      <c r="AX202" s="116"/>
      <c r="AY202" s="116"/>
      <c r="AZ202" s="116"/>
      <c r="BA202" s="116"/>
      <c r="BB202" s="116"/>
      <c r="BC202" s="116"/>
      <c r="BD202" s="116"/>
      <c r="BE202" s="116"/>
      <c r="BF202" s="116"/>
      <c r="BG202" s="116"/>
      <c r="BH202" s="116"/>
      <c r="BI202" s="116"/>
      <c r="BJ202" s="116"/>
      <c r="BK202" s="116"/>
      <c r="BL202" s="116"/>
      <c r="BM202" s="116"/>
      <c r="BN202" s="116"/>
      <c r="BO202" s="116"/>
      <c r="BP202" s="116"/>
      <c r="BQ202" s="116"/>
      <c r="BR202" s="116"/>
      <c r="BS202" s="116"/>
      <c r="BT202" s="116"/>
      <c r="BU202" s="116"/>
      <c r="BV202" s="116"/>
      <c r="BW202" s="116"/>
      <c r="BX202" s="116"/>
      <c r="BY202" s="116"/>
      <c r="BZ202" s="116"/>
      <c r="CA202" s="116"/>
      <c r="CB202" s="116"/>
      <c r="CC202" s="116"/>
      <c r="CD202" s="145">
        <v>43503.0</v>
      </c>
      <c r="CE202" s="50">
        <v>1.0</v>
      </c>
      <c r="CF202" s="50" t="s">
        <v>15555</v>
      </c>
      <c r="CG202" s="117">
        <v>5179.0</v>
      </c>
      <c r="CH202" s="50" t="s">
        <v>15614</v>
      </c>
      <c r="CI202" s="50" t="s">
        <v>15615</v>
      </c>
      <c r="CJ202" s="117">
        <v>201.0</v>
      </c>
    </row>
    <row r="203">
      <c r="A203" s="50" t="s">
        <v>15619</v>
      </c>
      <c r="B203" s="50" t="s">
        <v>6876</v>
      </c>
      <c r="C203" s="50" t="s">
        <v>6877</v>
      </c>
      <c r="D203" s="50" t="s">
        <v>11623</v>
      </c>
      <c r="E203" s="50" t="s">
        <v>15620</v>
      </c>
      <c r="F203" s="50">
        <v>33.0</v>
      </c>
      <c r="G203" s="50">
        <v>1.0</v>
      </c>
      <c r="H203" s="50">
        <v>97.0</v>
      </c>
      <c r="I203" s="116"/>
      <c r="J203" s="116"/>
      <c r="K203" s="50" t="s">
        <v>436</v>
      </c>
      <c r="L203" s="50" t="s">
        <v>436</v>
      </c>
      <c r="M203" s="50" t="s">
        <v>14857</v>
      </c>
      <c r="N203" s="50" t="s">
        <v>14858</v>
      </c>
      <c r="O203" s="50" t="s">
        <v>14859</v>
      </c>
      <c r="P203" s="116"/>
      <c r="Q203" s="116"/>
      <c r="R203" s="116"/>
      <c r="S203" s="50">
        <v>7.0</v>
      </c>
      <c r="T203" s="50">
        <v>1000.0</v>
      </c>
      <c r="U203" s="50">
        <v>3.0</v>
      </c>
      <c r="V203" s="50">
        <v>270.0</v>
      </c>
      <c r="W203" s="116"/>
      <c r="X203" s="116"/>
      <c r="Y203" s="116"/>
      <c r="Z203" s="116"/>
      <c r="AA203" s="116"/>
      <c r="AB203" s="116"/>
      <c r="AC203" s="116"/>
      <c r="AD203" s="116"/>
      <c r="AE203" s="116"/>
      <c r="AF203" s="116"/>
      <c r="AG203" s="116"/>
      <c r="AH203" s="116"/>
      <c r="AI203" s="116"/>
      <c r="AJ203" s="116"/>
      <c r="AK203" s="116"/>
      <c r="AL203" s="116"/>
      <c r="AM203" s="116"/>
      <c r="AN203" s="116"/>
      <c r="AO203" s="116"/>
      <c r="AP203" s="116"/>
      <c r="AQ203" s="116"/>
      <c r="AR203" s="116"/>
      <c r="AS203" s="116"/>
      <c r="AT203" s="116"/>
      <c r="AU203" s="50">
        <v>0.0</v>
      </c>
      <c r="AV203" s="116"/>
      <c r="AW203" s="116"/>
      <c r="AX203" s="116"/>
      <c r="AY203" s="116"/>
      <c r="AZ203" s="116"/>
      <c r="BA203" s="116"/>
      <c r="BB203" s="116"/>
      <c r="BC203" s="116"/>
      <c r="BD203" s="116"/>
      <c r="BE203" s="116"/>
      <c r="BF203" s="116"/>
      <c r="BG203" s="116"/>
      <c r="BH203" s="116"/>
      <c r="BI203" s="116"/>
      <c r="BJ203" s="116"/>
      <c r="BK203" s="116"/>
      <c r="BL203" s="116"/>
      <c r="BM203" s="116"/>
      <c r="BN203" s="116"/>
      <c r="BO203" s="116"/>
      <c r="BP203" s="116"/>
      <c r="BQ203" s="116"/>
      <c r="BR203" s="116"/>
      <c r="BS203" s="116"/>
      <c r="BT203" s="116"/>
      <c r="BU203" s="116"/>
      <c r="BV203" s="116"/>
      <c r="BW203" s="116"/>
      <c r="BX203" s="116"/>
      <c r="BY203" s="116"/>
      <c r="BZ203" s="116"/>
      <c r="CA203" s="116"/>
      <c r="CB203" s="116"/>
      <c r="CC203" s="116"/>
      <c r="CD203" s="145">
        <v>43503.0</v>
      </c>
      <c r="CE203" s="50">
        <v>1.0</v>
      </c>
      <c r="CF203" s="50" t="s">
        <v>15555</v>
      </c>
      <c r="CG203" s="117">
        <v>5180.0</v>
      </c>
      <c r="CH203" s="50" t="s">
        <v>15645</v>
      </c>
      <c r="CI203" s="50" t="s">
        <v>15646</v>
      </c>
      <c r="CJ203" s="117">
        <v>202.0</v>
      </c>
    </row>
    <row r="204">
      <c r="A204" s="50" t="s">
        <v>15647</v>
      </c>
      <c r="B204" s="50" t="s">
        <v>6876</v>
      </c>
      <c r="C204" s="50" t="s">
        <v>6877</v>
      </c>
      <c r="D204" s="50" t="s">
        <v>11623</v>
      </c>
      <c r="E204" s="50" t="s">
        <v>15649</v>
      </c>
      <c r="F204" s="50">
        <v>33.0</v>
      </c>
      <c r="G204" s="50">
        <v>1.0</v>
      </c>
      <c r="H204" s="50">
        <v>97.0</v>
      </c>
      <c r="I204" s="116"/>
      <c r="J204" s="116"/>
      <c r="K204" s="50" t="s">
        <v>15565</v>
      </c>
      <c r="L204" s="50" t="s">
        <v>15565</v>
      </c>
      <c r="M204" s="50" t="s">
        <v>14857</v>
      </c>
      <c r="N204" s="50" t="s">
        <v>14858</v>
      </c>
      <c r="O204" s="50" t="s">
        <v>14859</v>
      </c>
      <c r="P204" s="116"/>
      <c r="Q204" s="116"/>
      <c r="R204" s="116"/>
      <c r="S204" s="116"/>
      <c r="T204" s="116"/>
      <c r="U204" s="116"/>
      <c r="V204" s="116"/>
      <c r="W204" s="116"/>
      <c r="X204" s="116"/>
      <c r="Y204" s="116"/>
      <c r="Z204" s="116"/>
      <c r="AA204" s="116"/>
      <c r="AB204" s="116"/>
      <c r="AC204" s="116"/>
      <c r="AD204" s="116"/>
      <c r="AE204" s="116"/>
      <c r="AF204" s="116"/>
      <c r="AG204" s="116"/>
      <c r="AH204" s="50">
        <v>7.0</v>
      </c>
      <c r="AI204" s="50">
        <v>1000.0</v>
      </c>
      <c r="AJ204" s="50">
        <v>3.0</v>
      </c>
      <c r="AK204" s="50">
        <v>200.0</v>
      </c>
      <c r="AL204" s="116"/>
      <c r="AM204" s="116"/>
      <c r="AN204" s="116"/>
      <c r="AO204" s="116"/>
      <c r="AP204" s="116"/>
      <c r="AQ204" s="116"/>
      <c r="AR204" s="116"/>
      <c r="AS204" s="116"/>
      <c r="AT204" s="116"/>
      <c r="AU204" s="50">
        <v>0.0</v>
      </c>
      <c r="AV204" s="116"/>
      <c r="AW204" s="116"/>
      <c r="AX204" s="116"/>
      <c r="AY204" s="116"/>
      <c r="AZ204" s="116"/>
      <c r="BA204" s="116"/>
      <c r="BB204" s="116"/>
      <c r="BC204" s="116"/>
      <c r="BD204" s="116"/>
      <c r="BE204" s="116"/>
      <c r="BF204" s="116"/>
      <c r="BG204" s="116"/>
      <c r="BH204" s="116"/>
      <c r="BI204" s="116"/>
      <c r="BJ204" s="116"/>
      <c r="BK204" s="116"/>
      <c r="BL204" s="116"/>
      <c r="BM204" s="116"/>
      <c r="BN204" s="116"/>
      <c r="BO204" s="116"/>
      <c r="BP204" s="116"/>
      <c r="BQ204" s="116"/>
      <c r="BR204" s="116"/>
      <c r="BS204" s="116"/>
      <c r="BT204" s="116"/>
      <c r="BU204" s="116"/>
      <c r="BV204" s="116"/>
      <c r="BW204" s="116"/>
      <c r="BX204" s="116"/>
      <c r="BY204" s="116"/>
      <c r="BZ204" s="116"/>
      <c r="CA204" s="116"/>
      <c r="CB204" s="116"/>
      <c r="CC204" s="116"/>
      <c r="CD204" s="145">
        <v>43503.0</v>
      </c>
      <c r="CE204" s="50">
        <v>1.0</v>
      </c>
      <c r="CF204" s="50" t="s">
        <v>15555</v>
      </c>
      <c r="CG204" s="117">
        <v>5181.0</v>
      </c>
      <c r="CH204" s="50" t="s">
        <v>15668</v>
      </c>
      <c r="CI204" s="50" t="s">
        <v>15669</v>
      </c>
      <c r="CJ204" s="117">
        <v>203.0</v>
      </c>
    </row>
    <row r="205">
      <c r="A205" s="50" t="s">
        <v>15649</v>
      </c>
      <c r="B205" s="50" t="s">
        <v>6876</v>
      </c>
      <c r="C205" s="50" t="s">
        <v>6877</v>
      </c>
      <c r="D205" s="50" t="s">
        <v>11623</v>
      </c>
      <c r="E205" s="50" t="s">
        <v>15672</v>
      </c>
      <c r="F205" s="50">
        <v>59.0</v>
      </c>
      <c r="G205" s="50">
        <v>1.0</v>
      </c>
      <c r="H205" s="50">
        <v>99.0</v>
      </c>
      <c r="I205" s="116"/>
      <c r="J205" s="116"/>
      <c r="K205" s="50" t="s">
        <v>1536</v>
      </c>
      <c r="L205" s="50" t="s">
        <v>1536</v>
      </c>
      <c r="M205" s="50" t="s">
        <v>14884</v>
      </c>
      <c r="N205" s="50" t="s">
        <v>14885</v>
      </c>
      <c r="O205" s="50" t="s">
        <v>14887</v>
      </c>
      <c r="P205" s="116"/>
      <c r="Q205" s="116"/>
      <c r="R205" s="116"/>
      <c r="S205" s="50">
        <v>7.0</v>
      </c>
      <c r="T205" s="50">
        <v>1000.0</v>
      </c>
      <c r="U205" s="50">
        <v>3.0</v>
      </c>
      <c r="V205" s="50">
        <v>0.0</v>
      </c>
      <c r="W205" s="116"/>
      <c r="X205" s="116"/>
      <c r="Y205" s="116"/>
      <c r="Z205" s="116"/>
      <c r="AA205" s="116"/>
      <c r="AB205" s="116"/>
      <c r="AC205" s="116"/>
      <c r="AD205" s="116"/>
      <c r="AE205" s="116"/>
      <c r="AF205" s="116"/>
      <c r="AG205" s="116"/>
      <c r="AH205" s="50">
        <v>7.0</v>
      </c>
      <c r="AI205" s="50">
        <v>1000.0</v>
      </c>
      <c r="AJ205" s="50">
        <v>3.0</v>
      </c>
      <c r="AK205" s="50">
        <v>0.0</v>
      </c>
      <c r="AL205" s="116"/>
      <c r="AM205" s="116"/>
      <c r="AN205" s="116"/>
      <c r="AO205" s="116"/>
      <c r="AP205" s="116"/>
      <c r="AQ205" s="116"/>
      <c r="AR205" s="116"/>
      <c r="AS205" s="116"/>
      <c r="AT205" s="116"/>
      <c r="AU205" s="50">
        <v>0.0</v>
      </c>
      <c r="AV205" s="116"/>
      <c r="AW205" s="116"/>
      <c r="AX205" s="116"/>
      <c r="AY205" s="116"/>
      <c r="AZ205" s="116"/>
      <c r="BA205" s="116"/>
      <c r="BB205" s="116"/>
      <c r="BC205" s="116"/>
      <c r="BD205" s="116"/>
      <c r="BE205" s="116"/>
      <c r="BF205" s="116"/>
      <c r="BG205" s="116"/>
      <c r="BH205" s="116"/>
      <c r="BI205" s="116"/>
      <c r="BJ205" s="116"/>
      <c r="BK205" s="116"/>
      <c r="BL205" s="116"/>
      <c r="BM205" s="116"/>
      <c r="BN205" s="116"/>
      <c r="BO205" s="116"/>
      <c r="BP205" s="116"/>
      <c r="BQ205" s="116"/>
      <c r="BR205" s="116"/>
      <c r="BS205" s="116"/>
      <c r="BT205" s="116"/>
      <c r="BU205" s="116"/>
      <c r="BV205" s="116"/>
      <c r="BW205" s="116"/>
      <c r="BX205" s="116"/>
      <c r="BY205" s="116"/>
      <c r="BZ205" s="116"/>
      <c r="CA205" s="116"/>
      <c r="CB205" s="116"/>
      <c r="CC205" s="50" t="s">
        <v>15693</v>
      </c>
      <c r="CD205" s="145">
        <v>43503.0</v>
      </c>
      <c r="CE205" s="50">
        <v>1.0</v>
      </c>
      <c r="CF205" s="50" t="s">
        <v>15555</v>
      </c>
      <c r="CG205" s="117">
        <v>5182.0</v>
      </c>
      <c r="CH205" s="50" t="s">
        <v>15694</v>
      </c>
      <c r="CI205" s="50" t="s">
        <v>15695</v>
      </c>
      <c r="CJ205" s="117">
        <v>204.0</v>
      </c>
    </row>
    <row r="206">
      <c r="A206" s="50" t="s">
        <v>15672</v>
      </c>
      <c r="B206" s="50" t="s">
        <v>6876</v>
      </c>
      <c r="C206" s="50" t="s">
        <v>6877</v>
      </c>
      <c r="D206" s="50" t="s">
        <v>11623</v>
      </c>
      <c r="E206" s="50" t="s">
        <v>15698</v>
      </c>
      <c r="F206" s="50">
        <v>59.0</v>
      </c>
      <c r="G206" s="50">
        <v>1.0</v>
      </c>
      <c r="H206" s="50">
        <v>11.0</v>
      </c>
      <c r="I206" s="116"/>
      <c r="J206" s="116"/>
      <c r="K206" s="50" t="s">
        <v>1538</v>
      </c>
      <c r="L206" s="50" t="s">
        <v>1538</v>
      </c>
      <c r="M206" s="50" t="s">
        <v>14884</v>
      </c>
      <c r="N206" s="50" t="s">
        <v>14885</v>
      </c>
      <c r="O206" s="50" t="s">
        <v>14887</v>
      </c>
      <c r="P206" s="50">
        <v>4.0</v>
      </c>
      <c r="Q206" s="116"/>
      <c r="R206" s="116"/>
      <c r="S206" s="50">
        <v>7.0</v>
      </c>
      <c r="T206" s="50">
        <v>1000.0</v>
      </c>
      <c r="U206" s="50">
        <v>3.0</v>
      </c>
      <c r="V206" s="50">
        <v>0.0</v>
      </c>
      <c r="W206" s="50">
        <v>7.0</v>
      </c>
      <c r="X206" s="50">
        <v>100.0</v>
      </c>
      <c r="Y206" s="50">
        <v>1.0</v>
      </c>
      <c r="Z206" s="116"/>
      <c r="AA206" s="50">
        <v>1.0</v>
      </c>
      <c r="AB206" s="50">
        <v>4.0</v>
      </c>
      <c r="AC206" s="50">
        <v>1000.0</v>
      </c>
      <c r="AD206" s="50">
        <v>3.0</v>
      </c>
      <c r="AE206" s="50">
        <v>0.0</v>
      </c>
      <c r="AF206" s="116"/>
      <c r="AG206" s="116"/>
      <c r="AH206" s="50">
        <v>7.0</v>
      </c>
      <c r="AI206" s="50">
        <v>5000.0</v>
      </c>
      <c r="AJ206" s="50">
        <v>3.0</v>
      </c>
      <c r="AK206" s="50">
        <v>0.0</v>
      </c>
      <c r="AL206" s="50">
        <v>7.0</v>
      </c>
      <c r="AM206" s="50">
        <v>1000.0</v>
      </c>
      <c r="AN206" s="50">
        <v>3.0</v>
      </c>
      <c r="AO206" s="50">
        <v>0.0</v>
      </c>
      <c r="AP206" s="50">
        <v>1.0</v>
      </c>
      <c r="AQ206" s="50">
        <v>7.0</v>
      </c>
      <c r="AR206" s="50">
        <v>100.0</v>
      </c>
      <c r="AS206" s="50">
        <v>3.0</v>
      </c>
      <c r="AT206" s="50">
        <v>0.0</v>
      </c>
      <c r="AU206" s="50">
        <v>0.0</v>
      </c>
      <c r="AV206" s="116"/>
      <c r="AW206" s="116"/>
      <c r="AX206" s="116"/>
      <c r="AY206" s="116"/>
      <c r="AZ206" s="116"/>
      <c r="BA206" s="116"/>
      <c r="BB206" s="116"/>
      <c r="BC206" s="116"/>
      <c r="BD206" s="116"/>
      <c r="BE206" s="116"/>
      <c r="BF206" s="116"/>
      <c r="BG206" s="116"/>
      <c r="BH206" s="116"/>
      <c r="BI206" s="116"/>
      <c r="BJ206" s="116"/>
      <c r="BK206" s="116"/>
      <c r="BL206" s="116"/>
      <c r="BM206" s="116"/>
      <c r="BN206" s="116"/>
      <c r="BO206" s="116"/>
      <c r="BP206" s="116"/>
      <c r="BQ206" s="116"/>
      <c r="BR206" s="116"/>
      <c r="BS206" s="116"/>
      <c r="BT206" s="116"/>
      <c r="BU206" s="116"/>
      <c r="BV206" s="116"/>
      <c r="BW206" s="116"/>
      <c r="BX206" s="116"/>
      <c r="BY206" s="116"/>
      <c r="BZ206" s="116"/>
      <c r="CA206" s="116"/>
      <c r="CB206" s="116"/>
      <c r="CC206" s="50" t="s">
        <v>14680</v>
      </c>
      <c r="CD206" s="50" t="s">
        <v>14054</v>
      </c>
      <c r="CE206" s="50">
        <v>1.0</v>
      </c>
      <c r="CF206" s="50" t="s">
        <v>15555</v>
      </c>
      <c r="CG206" s="117">
        <v>5183.0</v>
      </c>
      <c r="CH206" s="50" t="s">
        <v>15720</v>
      </c>
      <c r="CI206" s="50" t="s">
        <v>15721</v>
      </c>
      <c r="CJ206" s="117">
        <v>205.0</v>
      </c>
    </row>
    <row r="207">
      <c r="A207" s="50" t="s">
        <v>15698</v>
      </c>
      <c r="B207" s="50" t="s">
        <v>6876</v>
      </c>
      <c r="C207" s="50" t="s">
        <v>6877</v>
      </c>
      <c r="D207" s="50" t="s">
        <v>11623</v>
      </c>
      <c r="E207" s="50" t="s">
        <v>15723</v>
      </c>
      <c r="F207" s="50">
        <v>59.0</v>
      </c>
      <c r="G207" s="50">
        <v>1.0</v>
      </c>
      <c r="H207" s="50">
        <v>99.0</v>
      </c>
      <c r="I207" s="116"/>
      <c r="J207" s="116"/>
      <c r="K207" s="50" t="s">
        <v>1539</v>
      </c>
      <c r="L207" s="50" t="s">
        <v>1539</v>
      </c>
      <c r="M207" s="50" t="s">
        <v>14884</v>
      </c>
      <c r="N207" s="50" t="s">
        <v>14885</v>
      </c>
      <c r="O207" s="50" t="s">
        <v>14887</v>
      </c>
      <c r="P207" s="116"/>
      <c r="Q207" s="116"/>
      <c r="R207" s="116"/>
      <c r="S207" s="50">
        <v>7.0</v>
      </c>
      <c r="T207" s="50">
        <v>1000.0</v>
      </c>
      <c r="U207" s="50">
        <v>3.0</v>
      </c>
      <c r="V207" s="50">
        <v>0.0</v>
      </c>
      <c r="W207" s="116"/>
      <c r="X207" s="116"/>
      <c r="Y207" s="116"/>
      <c r="Z207" s="116"/>
      <c r="AA207" s="116"/>
      <c r="AB207" s="116"/>
      <c r="AC207" s="116"/>
      <c r="AD207" s="116"/>
      <c r="AE207" s="116"/>
      <c r="AF207" s="116"/>
      <c r="AG207" s="116"/>
      <c r="AH207" s="50">
        <v>7.0</v>
      </c>
      <c r="AI207" s="50">
        <v>1000.0</v>
      </c>
      <c r="AJ207" s="50">
        <v>3.0</v>
      </c>
      <c r="AK207" s="50">
        <v>0.0</v>
      </c>
      <c r="AL207" s="116"/>
      <c r="AM207" s="116"/>
      <c r="AN207" s="116"/>
      <c r="AO207" s="116"/>
      <c r="AP207" s="116"/>
      <c r="AQ207" s="116"/>
      <c r="AR207" s="116"/>
      <c r="AS207" s="116"/>
      <c r="AT207" s="116"/>
      <c r="AU207" s="50">
        <v>0.0</v>
      </c>
      <c r="AV207" s="116"/>
      <c r="AW207" s="116"/>
      <c r="AX207" s="116"/>
      <c r="AY207" s="116"/>
      <c r="AZ207" s="116"/>
      <c r="BA207" s="116"/>
      <c r="BB207" s="116"/>
      <c r="BC207" s="116"/>
      <c r="BD207" s="116"/>
      <c r="BE207" s="116"/>
      <c r="BF207" s="116"/>
      <c r="BG207" s="116"/>
      <c r="BH207" s="116"/>
      <c r="BI207" s="116"/>
      <c r="BJ207" s="116"/>
      <c r="BK207" s="116"/>
      <c r="BL207" s="116"/>
      <c r="BM207" s="116"/>
      <c r="BN207" s="116"/>
      <c r="BO207" s="116"/>
      <c r="BP207" s="116"/>
      <c r="BQ207" s="116"/>
      <c r="BR207" s="116"/>
      <c r="BS207" s="116"/>
      <c r="BT207" s="116"/>
      <c r="BU207" s="116"/>
      <c r="BV207" s="116"/>
      <c r="BW207" s="116"/>
      <c r="BX207" s="116"/>
      <c r="BY207" s="116"/>
      <c r="BZ207" s="116"/>
      <c r="CA207" s="116"/>
      <c r="CB207" s="116"/>
      <c r="CC207" s="116"/>
      <c r="CD207" s="50" t="s">
        <v>15737</v>
      </c>
      <c r="CE207" s="50">
        <v>1.0</v>
      </c>
      <c r="CF207" s="50" t="s">
        <v>15555</v>
      </c>
      <c r="CG207" s="117">
        <v>5184.0</v>
      </c>
      <c r="CH207" s="50" t="s">
        <v>15738</v>
      </c>
      <c r="CI207" s="50" t="s">
        <v>15740</v>
      </c>
      <c r="CJ207" s="117">
        <v>206.0</v>
      </c>
    </row>
    <row r="208">
      <c r="A208" s="50" t="s">
        <v>15741</v>
      </c>
      <c r="B208" s="50" t="s">
        <v>6876</v>
      </c>
      <c r="C208" s="50" t="s">
        <v>6877</v>
      </c>
      <c r="D208" s="50" t="s">
        <v>11623</v>
      </c>
      <c r="E208" s="50" t="s">
        <v>15743</v>
      </c>
      <c r="F208" s="50">
        <v>59.0</v>
      </c>
      <c r="G208" s="50">
        <v>1.0</v>
      </c>
      <c r="H208" s="50">
        <v>11.0</v>
      </c>
      <c r="I208" s="116"/>
      <c r="J208" s="116"/>
      <c r="K208" s="50" t="s">
        <v>1541</v>
      </c>
      <c r="L208" s="50" t="s">
        <v>1541</v>
      </c>
      <c r="M208" s="50" t="s">
        <v>14884</v>
      </c>
      <c r="N208" s="50" t="s">
        <v>14885</v>
      </c>
      <c r="O208" s="50" t="s">
        <v>14887</v>
      </c>
      <c r="P208" s="50">
        <v>4.0</v>
      </c>
      <c r="Q208" s="116"/>
      <c r="R208" s="116"/>
      <c r="S208" s="50">
        <v>7.0</v>
      </c>
      <c r="T208" s="50">
        <v>1000.0</v>
      </c>
      <c r="U208" s="50">
        <v>3.0</v>
      </c>
      <c r="V208" s="50">
        <v>0.0</v>
      </c>
      <c r="W208" s="50">
        <v>7.0</v>
      </c>
      <c r="X208" s="50">
        <v>100.0</v>
      </c>
      <c r="Y208" s="50">
        <v>1.0</v>
      </c>
      <c r="Z208" s="116"/>
      <c r="AA208" s="50">
        <v>1.0</v>
      </c>
      <c r="AB208" s="50">
        <v>4.0</v>
      </c>
      <c r="AC208" s="50">
        <v>1000.0</v>
      </c>
      <c r="AD208" s="50">
        <v>3.0</v>
      </c>
      <c r="AE208" s="50">
        <v>9.0</v>
      </c>
      <c r="AF208" s="116"/>
      <c r="AG208" s="116"/>
      <c r="AH208" s="50">
        <v>7.0</v>
      </c>
      <c r="AI208" s="50">
        <v>5000.0</v>
      </c>
      <c r="AJ208" s="50">
        <v>3.0</v>
      </c>
      <c r="AK208" s="50">
        <v>0.0</v>
      </c>
      <c r="AL208" s="50">
        <v>7.0</v>
      </c>
      <c r="AM208" s="50">
        <v>1000.0</v>
      </c>
      <c r="AN208" s="50">
        <v>3.0</v>
      </c>
      <c r="AO208" s="50">
        <v>0.0</v>
      </c>
      <c r="AP208" s="50">
        <v>1.0</v>
      </c>
      <c r="AQ208" s="50">
        <v>7.0</v>
      </c>
      <c r="AR208" s="50">
        <v>100.0</v>
      </c>
      <c r="AS208" s="50">
        <v>3.0</v>
      </c>
      <c r="AT208" s="50">
        <v>0.0</v>
      </c>
      <c r="AU208" s="50">
        <v>0.0</v>
      </c>
      <c r="AV208" s="116"/>
      <c r="AW208" s="116"/>
      <c r="AX208" s="116"/>
      <c r="AY208" s="116"/>
      <c r="AZ208" s="116"/>
      <c r="BA208" s="116"/>
      <c r="BB208" s="116"/>
      <c r="BC208" s="116"/>
      <c r="BD208" s="116"/>
      <c r="BE208" s="116"/>
      <c r="BF208" s="116"/>
      <c r="BG208" s="116"/>
      <c r="BH208" s="116"/>
      <c r="BI208" s="116"/>
      <c r="BJ208" s="116"/>
      <c r="BK208" s="116"/>
      <c r="BL208" s="116"/>
      <c r="BM208" s="116"/>
      <c r="BN208" s="116"/>
      <c r="BO208" s="116"/>
      <c r="BP208" s="116"/>
      <c r="BQ208" s="116"/>
      <c r="BR208" s="116"/>
      <c r="BS208" s="116"/>
      <c r="BT208" s="116"/>
      <c r="BU208" s="116"/>
      <c r="BV208" s="116"/>
      <c r="BW208" s="116"/>
      <c r="BX208" s="116"/>
      <c r="BY208" s="116"/>
      <c r="BZ208" s="116"/>
      <c r="CA208" s="116"/>
      <c r="CB208" s="116"/>
      <c r="CC208" s="50" t="s">
        <v>15762</v>
      </c>
      <c r="CD208" s="145">
        <v>43503.0</v>
      </c>
      <c r="CE208" s="50">
        <v>1.0</v>
      </c>
      <c r="CF208" s="50" t="s">
        <v>15555</v>
      </c>
      <c r="CG208" s="117">
        <v>5185.0</v>
      </c>
      <c r="CH208" s="50" t="s">
        <v>15763</v>
      </c>
      <c r="CI208" s="50" t="s">
        <v>15764</v>
      </c>
      <c r="CJ208" s="117">
        <v>207.0</v>
      </c>
    </row>
    <row r="209">
      <c r="A209" s="50" t="s">
        <v>15765</v>
      </c>
      <c r="B209" s="50" t="s">
        <v>6876</v>
      </c>
      <c r="C209" s="50" t="s">
        <v>6877</v>
      </c>
      <c r="D209" s="50" t="s">
        <v>11623</v>
      </c>
      <c r="E209" s="50" t="s">
        <v>15769</v>
      </c>
      <c r="F209" s="50">
        <v>59.0</v>
      </c>
      <c r="G209" s="50">
        <v>1.0</v>
      </c>
      <c r="H209" s="50">
        <v>99.0</v>
      </c>
      <c r="I209" s="116"/>
      <c r="J209" s="116"/>
      <c r="K209" s="50" t="s">
        <v>1542</v>
      </c>
      <c r="L209" s="50" t="s">
        <v>1542</v>
      </c>
      <c r="M209" s="50" t="s">
        <v>14884</v>
      </c>
      <c r="N209" s="50" t="s">
        <v>14885</v>
      </c>
      <c r="O209" s="50" t="s">
        <v>14887</v>
      </c>
      <c r="P209" s="116"/>
      <c r="Q209" s="116"/>
      <c r="R209" s="116"/>
      <c r="S209" s="50">
        <v>7.0</v>
      </c>
      <c r="T209" s="50">
        <v>1000.0</v>
      </c>
      <c r="U209" s="50">
        <v>3.0</v>
      </c>
      <c r="V209" s="50">
        <v>0.0</v>
      </c>
      <c r="W209" s="116"/>
      <c r="X209" s="116"/>
      <c r="Y209" s="116"/>
      <c r="Z209" s="116"/>
      <c r="AA209" s="116"/>
      <c r="AB209" s="116"/>
      <c r="AC209" s="116"/>
      <c r="AD209" s="116"/>
      <c r="AE209" s="116"/>
      <c r="AF209" s="116"/>
      <c r="AG209" s="116"/>
      <c r="AH209" s="50">
        <v>7.0</v>
      </c>
      <c r="AI209" s="50">
        <v>1000.0</v>
      </c>
      <c r="AJ209" s="50">
        <v>3.0</v>
      </c>
      <c r="AK209" s="50">
        <v>0.0</v>
      </c>
      <c r="AL209" s="116"/>
      <c r="AM209" s="116"/>
      <c r="AN209" s="116"/>
      <c r="AO209" s="116"/>
      <c r="AP209" s="116"/>
      <c r="AQ209" s="116"/>
      <c r="AR209" s="116"/>
      <c r="AS209" s="116"/>
      <c r="AT209" s="116"/>
      <c r="AU209" s="50">
        <v>0.0</v>
      </c>
      <c r="AV209" s="116"/>
      <c r="AW209" s="116"/>
      <c r="AX209" s="116"/>
      <c r="AY209" s="116"/>
      <c r="AZ209" s="116"/>
      <c r="BA209" s="116"/>
      <c r="BB209" s="116"/>
      <c r="BC209" s="116"/>
      <c r="BD209" s="116"/>
      <c r="BE209" s="116"/>
      <c r="BF209" s="116"/>
      <c r="BG209" s="116"/>
      <c r="BH209" s="116"/>
      <c r="BI209" s="116"/>
      <c r="BJ209" s="116"/>
      <c r="BK209" s="116"/>
      <c r="BL209" s="116"/>
      <c r="BM209" s="116"/>
      <c r="BN209" s="116"/>
      <c r="BO209" s="116"/>
      <c r="BP209" s="116"/>
      <c r="BQ209" s="116"/>
      <c r="BR209" s="116"/>
      <c r="BS209" s="116"/>
      <c r="BT209" s="116"/>
      <c r="BU209" s="116"/>
      <c r="BV209" s="116"/>
      <c r="BW209" s="116"/>
      <c r="BX209" s="116"/>
      <c r="BY209" s="116"/>
      <c r="BZ209" s="116"/>
      <c r="CA209" s="116"/>
      <c r="CB209" s="116"/>
      <c r="CC209" s="50" t="s">
        <v>15789</v>
      </c>
      <c r="CD209" s="145">
        <v>43503.0</v>
      </c>
      <c r="CE209" s="50">
        <v>1.0</v>
      </c>
      <c r="CF209" s="50" t="s">
        <v>15555</v>
      </c>
      <c r="CG209" s="117">
        <v>5186.0</v>
      </c>
      <c r="CH209" s="50" t="s">
        <v>15792</v>
      </c>
      <c r="CI209" s="50" t="s">
        <v>15793</v>
      </c>
      <c r="CJ209" s="117">
        <v>208.0</v>
      </c>
    </row>
    <row r="210">
      <c r="A210" s="50" t="s">
        <v>15769</v>
      </c>
      <c r="B210" s="50" t="s">
        <v>6876</v>
      </c>
      <c r="C210" s="50" t="s">
        <v>6877</v>
      </c>
      <c r="D210" s="50" t="s">
        <v>11623</v>
      </c>
      <c r="E210" s="50" t="s">
        <v>15795</v>
      </c>
      <c r="F210" s="50">
        <v>59.0</v>
      </c>
      <c r="G210" s="50">
        <v>1.0</v>
      </c>
      <c r="H210" s="50">
        <v>11.0</v>
      </c>
      <c r="I210" s="116"/>
      <c r="J210" s="116"/>
      <c r="K210" s="50" t="s">
        <v>1547</v>
      </c>
      <c r="L210" s="50" t="s">
        <v>1547</v>
      </c>
      <c r="M210" s="50" t="s">
        <v>14884</v>
      </c>
      <c r="N210" s="50" t="s">
        <v>14885</v>
      </c>
      <c r="O210" s="50" t="s">
        <v>14887</v>
      </c>
      <c r="P210" s="50">
        <v>4.0</v>
      </c>
      <c r="Q210" s="116"/>
      <c r="R210" s="116"/>
      <c r="S210" s="50">
        <v>7.0</v>
      </c>
      <c r="T210" s="50">
        <v>1000.0</v>
      </c>
      <c r="U210" s="50">
        <v>3.0</v>
      </c>
      <c r="V210" s="50">
        <v>0.0</v>
      </c>
      <c r="W210" s="50">
        <v>7.0</v>
      </c>
      <c r="X210" s="50">
        <v>100.0</v>
      </c>
      <c r="Y210" s="50">
        <v>1.0</v>
      </c>
      <c r="Z210" s="116"/>
      <c r="AA210" s="50">
        <v>1.0</v>
      </c>
      <c r="AB210" s="50">
        <v>4.0</v>
      </c>
      <c r="AC210" s="50">
        <v>1000.0</v>
      </c>
      <c r="AD210" s="50">
        <v>3.0</v>
      </c>
      <c r="AE210" s="50">
        <v>8.0</v>
      </c>
      <c r="AF210" s="116"/>
      <c r="AG210" s="116"/>
      <c r="AH210" s="50">
        <v>7.0</v>
      </c>
      <c r="AI210" s="50">
        <v>5000.0</v>
      </c>
      <c r="AJ210" s="50">
        <v>3.0</v>
      </c>
      <c r="AK210" s="50">
        <v>0.0</v>
      </c>
      <c r="AL210" s="50">
        <v>7.0</v>
      </c>
      <c r="AM210" s="50">
        <v>1000.0</v>
      </c>
      <c r="AN210" s="50">
        <v>3.0</v>
      </c>
      <c r="AO210" s="50">
        <v>0.0</v>
      </c>
      <c r="AP210" s="50">
        <v>1.0</v>
      </c>
      <c r="AQ210" s="50">
        <v>7.0</v>
      </c>
      <c r="AR210" s="50">
        <v>100.0</v>
      </c>
      <c r="AS210" s="50">
        <v>3.0</v>
      </c>
      <c r="AT210" s="50">
        <v>0.0</v>
      </c>
      <c r="AU210" s="50">
        <v>0.0</v>
      </c>
      <c r="AV210" s="116"/>
      <c r="AW210" s="116"/>
      <c r="AX210" s="116"/>
      <c r="AY210" s="116"/>
      <c r="AZ210" s="116"/>
      <c r="BA210" s="116"/>
      <c r="BB210" s="116"/>
      <c r="BC210" s="116"/>
      <c r="BD210" s="116"/>
      <c r="BE210" s="116"/>
      <c r="BF210" s="116"/>
      <c r="BG210" s="116"/>
      <c r="BH210" s="116"/>
      <c r="BI210" s="116"/>
      <c r="BJ210" s="116"/>
      <c r="BK210" s="116"/>
      <c r="BL210" s="116"/>
      <c r="BM210" s="116"/>
      <c r="BN210" s="116"/>
      <c r="BO210" s="116"/>
      <c r="BP210" s="116"/>
      <c r="BQ210" s="116"/>
      <c r="BR210" s="116"/>
      <c r="BS210" s="116"/>
      <c r="BT210" s="116"/>
      <c r="BU210" s="116"/>
      <c r="BV210" s="116"/>
      <c r="BW210" s="116"/>
      <c r="BX210" s="116"/>
      <c r="BY210" s="116"/>
      <c r="BZ210" s="116"/>
      <c r="CA210" s="116"/>
      <c r="CB210" s="116"/>
      <c r="CC210" s="50" t="s">
        <v>14718</v>
      </c>
      <c r="CD210" s="145">
        <v>43503.0</v>
      </c>
      <c r="CE210" s="50">
        <v>1.0</v>
      </c>
      <c r="CF210" s="50" t="s">
        <v>15555</v>
      </c>
      <c r="CG210" s="117">
        <v>5187.0</v>
      </c>
      <c r="CH210" s="50" t="s">
        <v>15820</v>
      </c>
      <c r="CI210" s="50" t="s">
        <v>15821</v>
      </c>
      <c r="CJ210" s="117">
        <v>209.0</v>
      </c>
    </row>
    <row r="211">
      <c r="A211" s="50" t="s">
        <v>15795</v>
      </c>
      <c r="B211" s="50" t="s">
        <v>6876</v>
      </c>
      <c r="C211" s="50" t="s">
        <v>6877</v>
      </c>
      <c r="D211" s="50" t="s">
        <v>11623</v>
      </c>
      <c r="E211" s="50" t="s">
        <v>15826</v>
      </c>
      <c r="F211" s="50">
        <v>59.0</v>
      </c>
      <c r="G211" s="50">
        <v>1.0</v>
      </c>
      <c r="H211" s="50">
        <v>99.0</v>
      </c>
      <c r="I211" s="116"/>
      <c r="J211" s="116"/>
      <c r="K211" s="50" t="s">
        <v>1548</v>
      </c>
      <c r="L211" s="50" t="s">
        <v>1548</v>
      </c>
      <c r="M211" s="50" t="s">
        <v>14884</v>
      </c>
      <c r="N211" s="50" t="s">
        <v>14885</v>
      </c>
      <c r="O211" s="50" t="s">
        <v>14887</v>
      </c>
      <c r="P211" s="116"/>
      <c r="Q211" s="116"/>
      <c r="R211" s="116"/>
      <c r="S211" s="50">
        <v>7.0</v>
      </c>
      <c r="T211" s="50">
        <v>1000.0</v>
      </c>
      <c r="U211" s="50">
        <v>3.0</v>
      </c>
      <c r="V211" s="50">
        <v>0.0</v>
      </c>
      <c r="W211" s="116"/>
      <c r="X211" s="116"/>
      <c r="Y211" s="116"/>
      <c r="Z211" s="116"/>
      <c r="AA211" s="116"/>
      <c r="AB211" s="116"/>
      <c r="AC211" s="116"/>
      <c r="AD211" s="116"/>
      <c r="AE211" s="116"/>
      <c r="AF211" s="116"/>
      <c r="AG211" s="116"/>
      <c r="AH211" s="50">
        <v>7.0</v>
      </c>
      <c r="AI211" s="50">
        <v>1000.0</v>
      </c>
      <c r="AJ211" s="50">
        <v>3.0</v>
      </c>
      <c r="AK211" s="50">
        <v>0.0</v>
      </c>
      <c r="AL211" s="116"/>
      <c r="AM211" s="116"/>
      <c r="AN211" s="116"/>
      <c r="AO211" s="116"/>
      <c r="AP211" s="116"/>
      <c r="AQ211" s="116"/>
      <c r="AR211" s="116"/>
      <c r="AS211" s="116"/>
      <c r="AT211" s="116"/>
      <c r="AU211" s="50">
        <v>0.0</v>
      </c>
      <c r="AV211" s="116"/>
      <c r="AW211" s="116"/>
      <c r="AX211" s="116"/>
      <c r="AY211" s="116"/>
      <c r="AZ211" s="116"/>
      <c r="BA211" s="116"/>
      <c r="BB211" s="116"/>
      <c r="BC211" s="116"/>
      <c r="BD211" s="116"/>
      <c r="BE211" s="116"/>
      <c r="BF211" s="116"/>
      <c r="BG211" s="116"/>
      <c r="BH211" s="116"/>
      <c r="BI211" s="116"/>
      <c r="BJ211" s="116"/>
      <c r="BK211" s="116"/>
      <c r="BL211" s="116"/>
      <c r="BM211" s="116"/>
      <c r="BN211" s="116"/>
      <c r="BO211" s="116"/>
      <c r="BP211" s="116"/>
      <c r="BQ211" s="116"/>
      <c r="BR211" s="116"/>
      <c r="BS211" s="116"/>
      <c r="BT211" s="116"/>
      <c r="BU211" s="116"/>
      <c r="BV211" s="116"/>
      <c r="BW211" s="116"/>
      <c r="BX211" s="116"/>
      <c r="BY211" s="116"/>
      <c r="BZ211" s="116"/>
      <c r="CA211" s="116"/>
      <c r="CB211" s="116"/>
      <c r="CC211" s="50" t="s">
        <v>15839</v>
      </c>
      <c r="CD211" s="145">
        <v>43503.0</v>
      </c>
      <c r="CE211" s="50">
        <v>1.0</v>
      </c>
      <c r="CF211" s="50" t="s">
        <v>15555</v>
      </c>
      <c r="CG211" s="117">
        <v>5188.0</v>
      </c>
      <c r="CH211" s="50" t="s">
        <v>15843</v>
      </c>
      <c r="CI211" s="50" t="s">
        <v>15844</v>
      </c>
      <c r="CJ211" s="117">
        <v>210.0</v>
      </c>
    </row>
    <row r="212">
      <c r="A212" s="50" t="s">
        <v>15826</v>
      </c>
      <c r="B212" s="50" t="s">
        <v>6876</v>
      </c>
      <c r="C212" s="50" t="s">
        <v>6877</v>
      </c>
      <c r="D212" s="50" t="s">
        <v>11623</v>
      </c>
      <c r="E212" s="50" t="s">
        <v>15846</v>
      </c>
      <c r="F212" s="50">
        <v>59.0</v>
      </c>
      <c r="G212" s="50">
        <v>1.0</v>
      </c>
      <c r="H212" s="50">
        <v>11.0</v>
      </c>
      <c r="I212" s="116"/>
      <c r="J212" s="116"/>
      <c r="K212" s="50" t="s">
        <v>1550</v>
      </c>
      <c r="L212" s="50" t="s">
        <v>1550</v>
      </c>
      <c r="M212" s="50" t="s">
        <v>14884</v>
      </c>
      <c r="N212" s="50" t="s">
        <v>14885</v>
      </c>
      <c r="O212" s="50" t="s">
        <v>14887</v>
      </c>
      <c r="P212" s="50">
        <v>4.0</v>
      </c>
      <c r="Q212" s="116"/>
      <c r="R212" s="116"/>
      <c r="S212" s="50">
        <v>7.0</v>
      </c>
      <c r="T212" s="50">
        <v>1000.0</v>
      </c>
      <c r="U212" s="50">
        <v>3.0</v>
      </c>
      <c r="V212" s="50">
        <v>0.0</v>
      </c>
      <c r="W212" s="50">
        <v>7.0</v>
      </c>
      <c r="X212" s="50">
        <v>100.0</v>
      </c>
      <c r="Y212" s="50">
        <v>1.0</v>
      </c>
      <c r="Z212" s="116"/>
      <c r="AA212" s="50">
        <v>1.0</v>
      </c>
      <c r="AB212" s="50">
        <v>4.0</v>
      </c>
      <c r="AC212" s="50">
        <v>1000.0</v>
      </c>
      <c r="AD212" s="50">
        <v>3.0</v>
      </c>
      <c r="AE212" s="50">
        <v>126.0</v>
      </c>
      <c r="AF212" s="116"/>
      <c r="AG212" s="116"/>
      <c r="AH212" s="50">
        <v>7.0</v>
      </c>
      <c r="AI212" s="50">
        <v>5000.0</v>
      </c>
      <c r="AJ212" s="50">
        <v>3.0</v>
      </c>
      <c r="AK212" s="50">
        <v>0.0</v>
      </c>
      <c r="AL212" s="50">
        <v>7.0</v>
      </c>
      <c r="AM212" s="50">
        <v>1000.0</v>
      </c>
      <c r="AN212" s="50">
        <v>3.0</v>
      </c>
      <c r="AO212" s="50">
        <v>0.0</v>
      </c>
      <c r="AP212" s="50">
        <v>1.0</v>
      </c>
      <c r="AQ212" s="50">
        <v>7.0</v>
      </c>
      <c r="AR212" s="50">
        <v>100.0</v>
      </c>
      <c r="AS212" s="50">
        <v>3.0</v>
      </c>
      <c r="AT212" s="50">
        <v>0.0</v>
      </c>
      <c r="AU212" s="50">
        <v>0.0</v>
      </c>
      <c r="AV212" s="116"/>
      <c r="AW212" s="116"/>
      <c r="AX212" s="116"/>
      <c r="AY212" s="116"/>
      <c r="AZ212" s="116"/>
      <c r="BA212" s="116"/>
      <c r="BB212" s="116"/>
      <c r="BC212" s="116"/>
      <c r="BD212" s="116"/>
      <c r="BE212" s="116"/>
      <c r="BF212" s="116"/>
      <c r="BG212" s="116"/>
      <c r="BH212" s="116"/>
      <c r="BI212" s="116"/>
      <c r="BJ212" s="116"/>
      <c r="BK212" s="116"/>
      <c r="BL212" s="116"/>
      <c r="BM212" s="116"/>
      <c r="BN212" s="116"/>
      <c r="BO212" s="116"/>
      <c r="BP212" s="116"/>
      <c r="BQ212" s="116"/>
      <c r="BR212" s="116"/>
      <c r="BS212" s="116"/>
      <c r="BT212" s="116"/>
      <c r="BU212" s="116"/>
      <c r="BV212" s="116"/>
      <c r="BW212" s="116"/>
      <c r="BX212" s="116"/>
      <c r="BY212" s="116"/>
      <c r="BZ212" s="116"/>
      <c r="CA212" s="116"/>
      <c r="CB212" s="116"/>
      <c r="CC212" s="50" t="s">
        <v>15858</v>
      </c>
      <c r="CD212" s="145">
        <v>43503.0</v>
      </c>
      <c r="CE212" s="50">
        <v>1.0</v>
      </c>
      <c r="CF212" s="50" t="s">
        <v>15555</v>
      </c>
      <c r="CG212" s="117">
        <v>5189.0</v>
      </c>
      <c r="CH212" s="50" t="s">
        <v>15861</v>
      </c>
      <c r="CI212" s="50" t="s">
        <v>15862</v>
      </c>
      <c r="CJ212" s="117">
        <v>211.0</v>
      </c>
    </row>
    <row r="213">
      <c r="A213" s="50" t="s">
        <v>15863</v>
      </c>
      <c r="B213" s="50" t="s">
        <v>6876</v>
      </c>
      <c r="C213" s="50" t="s">
        <v>6877</v>
      </c>
      <c r="D213" s="50" t="s">
        <v>11623</v>
      </c>
      <c r="E213" s="50" t="s">
        <v>15865</v>
      </c>
      <c r="F213" s="50">
        <v>59.0</v>
      </c>
      <c r="G213" s="50">
        <v>1.0</v>
      </c>
      <c r="H213" s="50">
        <v>99.0</v>
      </c>
      <c r="I213" s="116"/>
      <c r="J213" s="116"/>
      <c r="K213" s="50" t="s">
        <v>1551</v>
      </c>
      <c r="L213" s="50" t="s">
        <v>1551</v>
      </c>
      <c r="M213" s="50" t="s">
        <v>14884</v>
      </c>
      <c r="N213" s="50" t="s">
        <v>14885</v>
      </c>
      <c r="O213" s="50" t="s">
        <v>14887</v>
      </c>
      <c r="P213" s="116"/>
      <c r="Q213" s="116"/>
      <c r="R213" s="116"/>
      <c r="S213" s="50">
        <v>7.0</v>
      </c>
      <c r="T213" s="50">
        <v>1000.0</v>
      </c>
      <c r="U213" s="50">
        <v>3.0</v>
      </c>
      <c r="V213" s="50">
        <v>0.0</v>
      </c>
      <c r="W213" s="116"/>
      <c r="X213" s="116"/>
      <c r="Y213" s="116"/>
      <c r="Z213" s="116"/>
      <c r="AA213" s="116"/>
      <c r="AB213" s="116"/>
      <c r="AC213" s="116"/>
      <c r="AD213" s="116"/>
      <c r="AE213" s="116"/>
      <c r="AF213" s="116"/>
      <c r="AG213" s="116"/>
      <c r="AH213" s="50">
        <v>7.0</v>
      </c>
      <c r="AI213" s="50">
        <v>1000.0</v>
      </c>
      <c r="AJ213" s="50">
        <v>3.0</v>
      </c>
      <c r="AK213" s="50">
        <v>0.0</v>
      </c>
      <c r="AL213" s="116"/>
      <c r="AM213" s="116"/>
      <c r="AN213" s="116"/>
      <c r="AO213" s="116"/>
      <c r="AP213" s="116"/>
      <c r="AQ213" s="116"/>
      <c r="AR213" s="116"/>
      <c r="AS213" s="116"/>
      <c r="AT213" s="116"/>
      <c r="AU213" s="50">
        <v>0.0</v>
      </c>
      <c r="AV213" s="116"/>
      <c r="AW213" s="116"/>
      <c r="AX213" s="116"/>
      <c r="AY213" s="116"/>
      <c r="AZ213" s="116"/>
      <c r="BA213" s="116"/>
      <c r="BB213" s="116"/>
      <c r="BC213" s="116"/>
      <c r="BD213" s="116"/>
      <c r="BE213" s="116"/>
      <c r="BF213" s="116"/>
      <c r="BG213" s="116"/>
      <c r="BH213" s="116"/>
      <c r="BI213" s="116"/>
      <c r="BJ213" s="116"/>
      <c r="BK213" s="116"/>
      <c r="BL213" s="116"/>
      <c r="BM213" s="116"/>
      <c r="BN213" s="116"/>
      <c r="BO213" s="116"/>
      <c r="BP213" s="116"/>
      <c r="BQ213" s="116"/>
      <c r="BR213" s="116"/>
      <c r="BS213" s="116"/>
      <c r="BT213" s="116"/>
      <c r="BU213" s="116"/>
      <c r="BV213" s="116"/>
      <c r="BW213" s="116"/>
      <c r="BX213" s="116"/>
      <c r="BY213" s="116"/>
      <c r="BZ213" s="116"/>
      <c r="CA213" s="116"/>
      <c r="CB213" s="116"/>
      <c r="CC213" s="50" t="s">
        <v>15882</v>
      </c>
      <c r="CD213" s="145">
        <v>43503.0</v>
      </c>
      <c r="CE213" s="50">
        <v>1.0</v>
      </c>
      <c r="CF213" s="50" t="s">
        <v>15555</v>
      </c>
      <c r="CG213" s="117">
        <v>5190.0</v>
      </c>
      <c r="CH213" s="50" t="s">
        <v>15886</v>
      </c>
      <c r="CI213" s="50" t="s">
        <v>15888</v>
      </c>
      <c r="CJ213" s="117">
        <v>212.0</v>
      </c>
    </row>
    <row r="214">
      <c r="A214" s="50" t="s">
        <v>15865</v>
      </c>
      <c r="B214" s="50" t="s">
        <v>6876</v>
      </c>
      <c r="C214" s="50" t="s">
        <v>6877</v>
      </c>
      <c r="D214" s="50" t="s">
        <v>11623</v>
      </c>
      <c r="E214" s="50" t="s">
        <v>15889</v>
      </c>
      <c r="F214" s="50">
        <v>59.0</v>
      </c>
      <c r="G214" s="50">
        <v>1.0</v>
      </c>
      <c r="H214" s="50">
        <v>11.0</v>
      </c>
      <c r="I214" s="116"/>
      <c r="J214" s="116"/>
      <c r="K214" s="50" t="s">
        <v>1561</v>
      </c>
      <c r="L214" s="50" t="s">
        <v>1561</v>
      </c>
      <c r="M214" s="50" t="s">
        <v>14884</v>
      </c>
      <c r="N214" s="50" t="s">
        <v>14885</v>
      </c>
      <c r="O214" s="50" t="s">
        <v>14887</v>
      </c>
      <c r="P214" s="50">
        <v>4.0</v>
      </c>
      <c r="Q214" s="116"/>
      <c r="R214" s="116"/>
      <c r="S214" s="50">
        <v>7.0</v>
      </c>
      <c r="T214" s="50">
        <v>1000.0</v>
      </c>
      <c r="U214" s="50">
        <v>3.0</v>
      </c>
      <c r="V214" s="50">
        <v>0.0</v>
      </c>
      <c r="W214" s="50">
        <v>7.0</v>
      </c>
      <c r="X214" s="50">
        <v>100.0</v>
      </c>
      <c r="Y214" s="50">
        <v>1.0</v>
      </c>
      <c r="Z214" s="116"/>
      <c r="AA214" s="50">
        <v>1.0</v>
      </c>
      <c r="AB214" s="50">
        <v>4.0</v>
      </c>
      <c r="AC214" s="50">
        <v>1000.0</v>
      </c>
      <c r="AD214" s="50">
        <v>3.0</v>
      </c>
      <c r="AE214" s="50">
        <v>11.0</v>
      </c>
      <c r="AF214" s="116"/>
      <c r="AG214" s="116"/>
      <c r="AH214" s="50">
        <v>7.0</v>
      </c>
      <c r="AI214" s="50">
        <v>5000.0</v>
      </c>
      <c r="AJ214" s="50">
        <v>3.0</v>
      </c>
      <c r="AK214" s="50">
        <v>0.0</v>
      </c>
      <c r="AL214" s="50">
        <v>7.0</v>
      </c>
      <c r="AM214" s="50">
        <v>1000.0</v>
      </c>
      <c r="AN214" s="50">
        <v>3.0</v>
      </c>
      <c r="AO214" s="50">
        <v>0.0</v>
      </c>
      <c r="AP214" s="50">
        <v>1.0</v>
      </c>
      <c r="AQ214" s="50">
        <v>7.0</v>
      </c>
      <c r="AR214" s="50">
        <v>100.0</v>
      </c>
      <c r="AS214" s="50">
        <v>3.0</v>
      </c>
      <c r="AT214" s="50">
        <v>0.0</v>
      </c>
      <c r="AU214" s="50">
        <v>0.0</v>
      </c>
      <c r="AV214" s="116"/>
      <c r="AW214" s="116"/>
      <c r="AX214" s="116"/>
      <c r="AY214" s="116"/>
      <c r="AZ214" s="116"/>
      <c r="BA214" s="116"/>
      <c r="BB214" s="116"/>
      <c r="BC214" s="116"/>
      <c r="BD214" s="116"/>
      <c r="BE214" s="116"/>
      <c r="BF214" s="116"/>
      <c r="BG214" s="116"/>
      <c r="BH214" s="116"/>
      <c r="BI214" s="116"/>
      <c r="BJ214" s="116"/>
      <c r="BK214" s="116"/>
      <c r="BL214" s="116"/>
      <c r="BM214" s="116"/>
      <c r="BN214" s="116"/>
      <c r="BO214" s="116"/>
      <c r="BP214" s="116"/>
      <c r="BQ214" s="116"/>
      <c r="BR214" s="116"/>
      <c r="BS214" s="116"/>
      <c r="BT214" s="116"/>
      <c r="BU214" s="116"/>
      <c r="BV214" s="116"/>
      <c r="BW214" s="116"/>
      <c r="BX214" s="116"/>
      <c r="BY214" s="116"/>
      <c r="BZ214" s="116"/>
      <c r="CA214" s="116"/>
      <c r="CB214" s="116"/>
      <c r="CC214" s="50" t="s">
        <v>14680</v>
      </c>
      <c r="CD214" s="145">
        <v>43503.0</v>
      </c>
      <c r="CE214" s="50">
        <v>1.0</v>
      </c>
      <c r="CF214" s="50" t="s">
        <v>15555</v>
      </c>
      <c r="CG214" s="117">
        <v>5191.0</v>
      </c>
      <c r="CH214" s="50" t="s">
        <v>15907</v>
      </c>
      <c r="CI214" s="50" t="s">
        <v>15908</v>
      </c>
      <c r="CJ214" s="117">
        <v>213.0</v>
      </c>
    </row>
    <row r="215">
      <c r="A215" s="50" t="s">
        <v>15911</v>
      </c>
      <c r="B215" s="50" t="s">
        <v>6876</v>
      </c>
      <c r="C215" s="50" t="s">
        <v>6877</v>
      </c>
      <c r="D215" s="50" t="s">
        <v>11623</v>
      </c>
      <c r="E215" s="50" t="s">
        <v>15913</v>
      </c>
      <c r="F215" s="50">
        <v>59.0</v>
      </c>
      <c r="G215" s="50">
        <v>1.0</v>
      </c>
      <c r="H215" s="50">
        <v>99.0</v>
      </c>
      <c r="I215" s="116"/>
      <c r="J215" s="116"/>
      <c r="K215" s="50" t="s">
        <v>1562</v>
      </c>
      <c r="L215" s="50" t="s">
        <v>1562</v>
      </c>
      <c r="M215" s="50" t="s">
        <v>14884</v>
      </c>
      <c r="N215" s="50" t="s">
        <v>14885</v>
      </c>
      <c r="O215" s="50" t="s">
        <v>14887</v>
      </c>
      <c r="P215" s="116"/>
      <c r="Q215" s="116"/>
      <c r="R215" s="116"/>
      <c r="S215" s="50">
        <v>7.0</v>
      </c>
      <c r="T215" s="50">
        <v>1000.0</v>
      </c>
      <c r="U215" s="50">
        <v>3.0</v>
      </c>
      <c r="V215" s="50">
        <v>0.0</v>
      </c>
      <c r="W215" s="116"/>
      <c r="X215" s="116"/>
      <c r="Y215" s="116"/>
      <c r="Z215" s="116"/>
      <c r="AA215" s="116"/>
      <c r="AB215" s="116"/>
      <c r="AC215" s="116"/>
      <c r="AD215" s="116"/>
      <c r="AE215" s="116"/>
      <c r="AF215" s="116"/>
      <c r="AG215" s="116"/>
      <c r="AH215" s="50">
        <v>7.0</v>
      </c>
      <c r="AI215" s="50">
        <v>1000.0</v>
      </c>
      <c r="AJ215" s="50">
        <v>3.0</v>
      </c>
      <c r="AK215" s="50">
        <v>0.0</v>
      </c>
      <c r="AL215" s="116"/>
      <c r="AM215" s="116"/>
      <c r="AN215" s="116"/>
      <c r="AO215" s="116"/>
      <c r="AP215" s="116"/>
      <c r="AQ215" s="116"/>
      <c r="AR215" s="116"/>
      <c r="AS215" s="116"/>
      <c r="AT215" s="116"/>
      <c r="AU215" s="50">
        <v>0.0</v>
      </c>
      <c r="AV215" s="116"/>
      <c r="AW215" s="116"/>
      <c r="AX215" s="116"/>
      <c r="AY215" s="116"/>
      <c r="AZ215" s="116"/>
      <c r="BA215" s="116"/>
      <c r="BB215" s="116"/>
      <c r="BC215" s="116"/>
      <c r="BD215" s="116"/>
      <c r="BE215" s="116"/>
      <c r="BF215" s="116"/>
      <c r="BG215" s="116"/>
      <c r="BH215" s="116"/>
      <c r="BI215" s="116"/>
      <c r="BJ215" s="116"/>
      <c r="BK215" s="116"/>
      <c r="BL215" s="116"/>
      <c r="BM215" s="116"/>
      <c r="BN215" s="116"/>
      <c r="BO215" s="116"/>
      <c r="BP215" s="116"/>
      <c r="BQ215" s="116"/>
      <c r="BR215" s="116"/>
      <c r="BS215" s="116"/>
      <c r="BT215" s="116"/>
      <c r="BU215" s="116"/>
      <c r="BV215" s="116"/>
      <c r="BW215" s="116"/>
      <c r="BX215" s="116"/>
      <c r="BY215" s="116"/>
      <c r="BZ215" s="116"/>
      <c r="CA215" s="116"/>
      <c r="CB215" s="116"/>
      <c r="CC215" s="50" t="s">
        <v>15935</v>
      </c>
      <c r="CD215" s="145">
        <v>43503.0</v>
      </c>
      <c r="CE215" s="50">
        <v>1.0</v>
      </c>
      <c r="CF215" s="50" t="s">
        <v>15555</v>
      </c>
      <c r="CG215" s="117">
        <v>5192.0</v>
      </c>
      <c r="CH215" s="50" t="s">
        <v>15940</v>
      </c>
      <c r="CI215" s="50" t="s">
        <v>15943</v>
      </c>
      <c r="CJ215" s="117">
        <v>214.0</v>
      </c>
    </row>
    <row r="216">
      <c r="A216" s="50" t="s">
        <v>15944</v>
      </c>
      <c r="B216" s="50" t="s">
        <v>6876</v>
      </c>
      <c r="C216" s="50" t="s">
        <v>6877</v>
      </c>
      <c r="D216" s="50" t="s">
        <v>11623</v>
      </c>
      <c r="E216" s="50" t="s">
        <v>15946</v>
      </c>
      <c r="F216" s="50">
        <v>59.0</v>
      </c>
      <c r="G216" s="50">
        <v>1.0</v>
      </c>
      <c r="H216" s="50">
        <v>11.0</v>
      </c>
      <c r="I216" s="116"/>
      <c r="J216" s="116"/>
      <c r="K216" s="50" t="s">
        <v>1564</v>
      </c>
      <c r="L216" s="50" t="s">
        <v>1564</v>
      </c>
      <c r="M216" s="50" t="s">
        <v>14884</v>
      </c>
      <c r="N216" s="50" t="s">
        <v>14885</v>
      </c>
      <c r="O216" s="50" t="s">
        <v>14887</v>
      </c>
      <c r="P216" s="50">
        <v>4.0</v>
      </c>
      <c r="Q216" s="116"/>
      <c r="R216" s="116"/>
      <c r="S216" s="50">
        <v>7.0</v>
      </c>
      <c r="T216" s="50">
        <v>1000.0</v>
      </c>
      <c r="U216" s="50">
        <v>3.0</v>
      </c>
      <c r="V216" s="50">
        <v>0.0</v>
      </c>
      <c r="W216" s="50">
        <v>7.0</v>
      </c>
      <c r="X216" s="50">
        <v>100.0</v>
      </c>
      <c r="Y216" s="50">
        <v>1.0</v>
      </c>
      <c r="Z216" s="116"/>
      <c r="AA216" s="50">
        <v>1.0</v>
      </c>
      <c r="AB216" s="50">
        <v>4.0</v>
      </c>
      <c r="AC216" s="50">
        <v>1000.0</v>
      </c>
      <c r="AD216" s="50">
        <v>3.0</v>
      </c>
      <c r="AE216" s="50">
        <v>39.0</v>
      </c>
      <c r="AF216" s="116"/>
      <c r="AG216" s="116"/>
      <c r="AH216" s="50">
        <v>7.0</v>
      </c>
      <c r="AI216" s="50">
        <v>5000.0</v>
      </c>
      <c r="AJ216" s="50">
        <v>3.0</v>
      </c>
      <c r="AK216" s="50">
        <v>0.0</v>
      </c>
      <c r="AL216" s="50">
        <v>7.0</v>
      </c>
      <c r="AM216" s="50">
        <v>1000.0</v>
      </c>
      <c r="AN216" s="50">
        <v>3.0</v>
      </c>
      <c r="AO216" s="50">
        <v>0.0</v>
      </c>
      <c r="AP216" s="50">
        <v>1.0</v>
      </c>
      <c r="AQ216" s="50">
        <v>7.0</v>
      </c>
      <c r="AR216" s="50">
        <v>100.0</v>
      </c>
      <c r="AS216" s="50">
        <v>3.0</v>
      </c>
      <c r="AT216" s="50">
        <v>0.0</v>
      </c>
      <c r="AU216" s="50">
        <v>0.0</v>
      </c>
      <c r="AV216" s="116"/>
      <c r="AW216" s="116"/>
      <c r="AX216" s="116"/>
      <c r="AY216" s="116"/>
      <c r="AZ216" s="116"/>
      <c r="BA216" s="116"/>
      <c r="BB216" s="116"/>
      <c r="BC216" s="116"/>
      <c r="BD216" s="116"/>
      <c r="BE216" s="116"/>
      <c r="BF216" s="116"/>
      <c r="BG216" s="116"/>
      <c r="BH216" s="116"/>
      <c r="BI216" s="116"/>
      <c r="BJ216" s="116"/>
      <c r="BK216" s="116"/>
      <c r="BL216" s="116"/>
      <c r="BM216" s="116"/>
      <c r="BN216" s="116"/>
      <c r="BO216" s="116"/>
      <c r="BP216" s="116"/>
      <c r="BQ216" s="116"/>
      <c r="BR216" s="116"/>
      <c r="BS216" s="116"/>
      <c r="BT216" s="116"/>
      <c r="BU216" s="116"/>
      <c r="BV216" s="116"/>
      <c r="BW216" s="116"/>
      <c r="BX216" s="116"/>
      <c r="BY216" s="116"/>
      <c r="BZ216" s="116"/>
      <c r="CA216" s="116"/>
      <c r="CB216" s="116"/>
      <c r="CC216" s="50" t="s">
        <v>14680</v>
      </c>
      <c r="CD216" s="145">
        <v>43503.0</v>
      </c>
      <c r="CE216" s="50">
        <v>1.0</v>
      </c>
      <c r="CF216" s="50" t="s">
        <v>15555</v>
      </c>
      <c r="CG216" s="117">
        <v>5193.0</v>
      </c>
      <c r="CH216" s="50" t="s">
        <v>15965</v>
      </c>
      <c r="CI216" s="50" t="s">
        <v>15966</v>
      </c>
      <c r="CJ216" s="117">
        <v>215.0</v>
      </c>
    </row>
    <row r="217">
      <c r="A217" s="50" t="s">
        <v>15967</v>
      </c>
      <c r="B217" s="50" t="s">
        <v>6876</v>
      </c>
      <c r="C217" s="50" t="s">
        <v>6877</v>
      </c>
      <c r="D217" s="50" t="s">
        <v>11623</v>
      </c>
      <c r="E217" s="50" t="s">
        <v>15969</v>
      </c>
      <c r="F217" s="50">
        <v>59.0</v>
      </c>
      <c r="G217" s="50">
        <v>1.0</v>
      </c>
      <c r="H217" s="50">
        <v>99.0</v>
      </c>
      <c r="I217" s="116"/>
      <c r="J217" s="116"/>
      <c r="K217" s="50" t="s">
        <v>1565</v>
      </c>
      <c r="L217" s="50" t="s">
        <v>1565</v>
      </c>
      <c r="M217" s="50" t="s">
        <v>14884</v>
      </c>
      <c r="N217" s="50" t="s">
        <v>14885</v>
      </c>
      <c r="O217" s="50" t="s">
        <v>14887</v>
      </c>
      <c r="P217" s="116"/>
      <c r="Q217" s="116"/>
      <c r="R217" s="116"/>
      <c r="S217" s="50">
        <v>7.0</v>
      </c>
      <c r="T217" s="50">
        <v>1000.0</v>
      </c>
      <c r="U217" s="50">
        <v>3.0</v>
      </c>
      <c r="V217" s="50">
        <v>0.0</v>
      </c>
      <c r="W217" s="116"/>
      <c r="X217" s="116"/>
      <c r="Y217" s="116"/>
      <c r="Z217" s="116"/>
      <c r="AA217" s="116"/>
      <c r="AB217" s="116"/>
      <c r="AC217" s="116"/>
      <c r="AD217" s="116"/>
      <c r="AE217" s="116"/>
      <c r="AF217" s="116"/>
      <c r="AG217" s="116"/>
      <c r="AH217" s="50">
        <v>7.0</v>
      </c>
      <c r="AI217" s="50">
        <v>1000.0</v>
      </c>
      <c r="AJ217" s="50">
        <v>3.0</v>
      </c>
      <c r="AK217" s="50">
        <v>0.0</v>
      </c>
      <c r="AL217" s="116"/>
      <c r="AM217" s="116"/>
      <c r="AN217" s="116"/>
      <c r="AO217" s="116"/>
      <c r="AP217" s="116"/>
      <c r="AQ217" s="116"/>
      <c r="AR217" s="116"/>
      <c r="AS217" s="116"/>
      <c r="AT217" s="116"/>
      <c r="AU217" s="50">
        <v>0.0</v>
      </c>
      <c r="AV217" s="116"/>
      <c r="AW217" s="116"/>
      <c r="AX217" s="116"/>
      <c r="AY217" s="116"/>
      <c r="AZ217" s="116"/>
      <c r="BA217" s="116"/>
      <c r="BB217" s="116"/>
      <c r="BC217" s="116"/>
      <c r="BD217" s="116"/>
      <c r="BE217" s="116"/>
      <c r="BF217" s="116"/>
      <c r="BG217" s="116"/>
      <c r="BH217" s="116"/>
      <c r="BI217" s="116"/>
      <c r="BJ217" s="116"/>
      <c r="BK217" s="116"/>
      <c r="BL217" s="116"/>
      <c r="BM217" s="116"/>
      <c r="BN217" s="116"/>
      <c r="BO217" s="116"/>
      <c r="BP217" s="116"/>
      <c r="BQ217" s="116"/>
      <c r="BR217" s="116"/>
      <c r="BS217" s="116"/>
      <c r="BT217" s="116"/>
      <c r="BU217" s="116"/>
      <c r="BV217" s="116"/>
      <c r="BW217" s="116"/>
      <c r="BX217" s="116"/>
      <c r="BY217" s="116"/>
      <c r="BZ217" s="116"/>
      <c r="CA217" s="116"/>
      <c r="CB217" s="116"/>
      <c r="CC217" s="50" t="s">
        <v>15980</v>
      </c>
      <c r="CD217" s="145">
        <v>43503.0</v>
      </c>
      <c r="CE217" s="50">
        <v>1.0</v>
      </c>
      <c r="CF217" s="50" t="s">
        <v>15555</v>
      </c>
      <c r="CG217" s="117">
        <v>5194.0</v>
      </c>
      <c r="CH217" s="50" t="s">
        <v>15983</v>
      </c>
      <c r="CI217" s="50" t="s">
        <v>15984</v>
      </c>
      <c r="CJ217" s="117">
        <v>216.0</v>
      </c>
    </row>
    <row r="218">
      <c r="A218" s="50" t="s">
        <v>15986</v>
      </c>
      <c r="B218" s="50" t="s">
        <v>6876</v>
      </c>
      <c r="C218" s="50" t="s">
        <v>6877</v>
      </c>
      <c r="D218" s="50" t="s">
        <v>11623</v>
      </c>
      <c r="E218" s="50" t="s">
        <v>15987</v>
      </c>
      <c r="F218" s="50">
        <v>57.0</v>
      </c>
      <c r="G218" s="50">
        <v>1.0</v>
      </c>
      <c r="H218" s="50">
        <v>99.0</v>
      </c>
      <c r="I218" s="116"/>
      <c r="J218" s="116"/>
      <c r="K218" s="50" t="s">
        <v>1559</v>
      </c>
      <c r="L218" s="50" t="s">
        <v>1559</v>
      </c>
      <c r="M218" s="50" t="s">
        <v>14884</v>
      </c>
      <c r="N218" s="50" t="s">
        <v>14885</v>
      </c>
      <c r="O218" s="50" t="s">
        <v>14887</v>
      </c>
      <c r="P218" s="116"/>
      <c r="Q218" s="116"/>
      <c r="R218" s="116"/>
      <c r="S218" s="50">
        <v>7.0</v>
      </c>
      <c r="T218" s="50">
        <v>1000.0</v>
      </c>
      <c r="U218" s="50">
        <v>3.0</v>
      </c>
      <c r="V218" s="50">
        <v>0.0</v>
      </c>
      <c r="W218" s="116"/>
      <c r="X218" s="116"/>
      <c r="Y218" s="116"/>
      <c r="Z218" s="116"/>
      <c r="AA218" s="116"/>
      <c r="AB218" s="116"/>
      <c r="AC218" s="116"/>
      <c r="AD218" s="116"/>
      <c r="AE218" s="116"/>
      <c r="AF218" s="116"/>
      <c r="AG218" s="116"/>
      <c r="AH218" s="50">
        <v>7.0</v>
      </c>
      <c r="AI218" s="50">
        <v>1000.0</v>
      </c>
      <c r="AJ218" s="50">
        <v>3.0</v>
      </c>
      <c r="AK218" s="50">
        <v>0.0</v>
      </c>
      <c r="AL218" s="116"/>
      <c r="AM218" s="116"/>
      <c r="AN218" s="116"/>
      <c r="AO218" s="116"/>
      <c r="AP218" s="116"/>
      <c r="AQ218" s="116"/>
      <c r="AR218" s="116"/>
      <c r="AS218" s="116"/>
      <c r="AT218" s="116"/>
      <c r="AU218" s="50">
        <v>0.0</v>
      </c>
      <c r="AV218" s="116"/>
      <c r="AW218" s="116"/>
      <c r="AX218" s="116"/>
      <c r="AY218" s="116"/>
      <c r="AZ218" s="116"/>
      <c r="BA218" s="116"/>
      <c r="BB218" s="116"/>
      <c r="BC218" s="116"/>
      <c r="BD218" s="116"/>
      <c r="BE218" s="116"/>
      <c r="BF218" s="116"/>
      <c r="BG218" s="116"/>
      <c r="BH218" s="116"/>
      <c r="BI218" s="116"/>
      <c r="BJ218" s="116"/>
      <c r="BK218" s="116"/>
      <c r="BL218" s="116"/>
      <c r="BM218" s="116"/>
      <c r="BN218" s="116"/>
      <c r="BO218" s="116"/>
      <c r="BP218" s="116"/>
      <c r="BQ218" s="116"/>
      <c r="BR218" s="116"/>
      <c r="BS218" s="116"/>
      <c r="BT218" s="116"/>
      <c r="BU218" s="116"/>
      <c r="BV218" s="116"/>
      <c r="BW218" s="116"/>
      <c r="BX218" s="116"/>
      <c r="BY218" s="116"/>
      <c r="BZ218" s="116"/>
      <c r="CA218" s="116"/>
      <c r="CB218" s="116"/>
      <c r="CC218" s="50" t="s">
        <v>16002</v>
      </c>
      <c r="CD218" s="145">
        <v>43503.0</v>
      </c>
      <c r="CE218" s="50">
        <v>1.0</v>
      </c>
      <c r="CF218" s="50" t="s">
        <v>15555</v>
      </c>
      <c r="CG218" s="117">
        <v>5195.0</v>
      </c>
      <c r="CH218" s="50" t="s">
        <v>16005</v>
      </c>
      <c r="CI218" s="50" t="s">
        <v>16006</v>
      </c>
      <c r="CJ218" s="117">
        <v>217.0</v>
      </c>
    </row>
    <row r="219">
      <c r="A219" s="50" t="s">
        <v>15987</v>
      </c>
      <c r="B219" s="50" t="s">
        <v>6876</v>
      </c>
      <c r="C219" s="50" t="s">
        <v>6877</v>
      </c>
      <c r="D219" s="50" t="s">
        <v>11623</v>
      </c>
      <c r="E219" s="50" t="s">
        <v>16009</v>
      </c>
      <c r="F219" s="50">
        <v>55.0</v>
      </c>
      <c r="G219" s="50">
        <v>1.0</v>
      </c>
      <c r="H219" s="50">
        <v>99.0</v>
      </c>
      <c r="I219" s="116"/>
      <c r="J219" s="116"/>
      <c r="K219" s="50" t="s">
        <v>269</v>
      </c>
      <c r="L219" s="50" t="s">
        <v>269</v>
      </c>
      <c r="M219" s="50" t="s">
        <v>14884</v>
      </c>
      <c r="N219" s="50" t="s">
        <v>14885</v>
      </c>
      <c r="O219" s="50" t="s">
        <v>14887</v>
      </c>
      <c r="P219" s="116"/>
      <c r="Q219" s="116"/>
      <c r="R219" s="116"/>
      <c r="S219" s="50">
        <v>7.0</v>
      </c>
      <c r="T219" s="50">
        <v>1000.0</v>
      </c>
      <c r="U219" s="50">
        <v>3.0</v>
      </c>
      <c r="V219" s="50">
        <v>0.0</v>
      </c>
      <c r="W219" s="116"/>
      <c r="X219" s="116"/>
      <c r="Y219" s="116"/>
      <c r="Z219" s="116"/>
      <c r="AA219" s="116"/>
      <c r="AB219" s="116"/>
      <c r="AC219" s="116"/>
      <c r="AD219" s="116"/>
      <c r="AE219" s="116"/>
      <c r="AF219" s="116"/>
      <c r="AG219" s="116"/>
      <c r="AH219" s="50">
        <v>7.0</v>
      </c>
      <c r="AI219" s="50">
        <v>1000.0</v>
      </c>
      <c r="AJ219" s="50">
        <v>3.0</v>
      </c>
      <c r="AK219" s="50">
        <v>0.0</v>
      </c>
      <c r="AL219" s="116"/>
      <c r="AM219" s="116"/>
      <c r="AN219" s="116"/>
      <c r="AO219" s="116"/>
      <c r="AP219" s="116"/>
      <c r="AQ219" s="116"/>
      <c r="AR219" s="116"/>
      <c r="AS219" s="116"/>
      <c r="AT219" s="116"/>
      <c r="AU219" s="50">
        <v>0.0</v>
      </c>
      <c r="AV219" s="116"/>
      <c r="AW219" s="116"/>
      <c r="AX219" s="116"/>
      <c r="AY219" s="116"/>
      <c r="AZ219" s="116"/>
      <c r="BA219" s="116"/>
      <c r="BB219" s="116"/>
      <c r="BC219" s="116"/>
      <c r="BD219" s="116"/>
      <c r="BE219" s="116"/>
      <c r="BF219" s="116"/>
      <c r="BG219" s="116"/>
      <c r="BH219" s="116"/>
      <c r="BI219" s="116"/>
      <c r="BJ219" s="116"/>
      <c r="BK219" s="116"/>
      <c r="BL219" s="116"/>
      <c r="BM219" s="116"/>
      <c r="BN219" s="116"/>
      <c r="BO219" s="116"/>
      <c r="BP219" s="116"/>
      <c r="BQ219" s="116"/>
      <c r="BR219" s="116"/>
      <c r="BS219" s="116"/>
      <c r="BT219" s="116"/>
      <c r="BU219" s="116"/>
      <c r="BV219" s="116"/>
      <c r="BW219" s="116"/>
      <c r="BX219" s="116"/>
      <c r="BY219" s="116"/>
      <c r="BZ219" s="116"/>
      <c r="CA219" s="116"/>
      <c r="CB219" s="116"/>
      <c r="CC219" s="50" t="s">
        <v>16024</v>
      </c>
      <c r="CD219" s="145">
        <v>43503.0</v>
      </c>
      <c r="CE219" s="50">
        <v>1.0</v>
      </c>
      <c r="CF219" s="50" t="s">
        <v>15555</v>
      </c>
      <c r="CG219" s="117">
        <v>5196.0</v>
      </c>
      <c r="CH219" s="50" t="s">
        <v>16025</v>
      </c>
      <c r="CI219" s="50" t="s">
        <v>16026</v>
      </c>
      <c r="CJ219" s="117">
        <v>218.0</v>
      </c>
    </row>
    <row r="220">
      <c r="A220" s="50" t="s">
        <v>16027</v>
      </c>
      <c r="B220" s="50" t="s">
        <v>6876</v>
      </c>
      <c r="C220" s="50" t="s">
        <v>6877</v>
      </c>
      <c r="D220" s="50" t="s">
        <v>11623</v>
      </c>
      <c r="E220" s="50" t="s">
        <v>16030</v>
      </c>
      <c r="F220" s="50">
        <v>33.0</v>
      </c>
      <c r="G220" s="50">
        <v>1.0</v>
      </c>
      <c r="H220" s="50">
        <v>97.0</v>
      </c>
      <c r="I220" s="116"/>
      <c r="J220" s="116"/>
      <c r="K220" s="50" t="s">
        <v>436</v>
      </c>
      <c r="L220" s="50" t="s">
        <v>436</v>
      </c>
      <c r="M220" s="50" t="s">
        <v>14884</v>
      </c>
      <c r="N220" s="50" t="s">
        <v>14885</v>
      </c>
      <c r="O220" s="50" t="s">
        <v>14887</v>
      </c>
      <c r="P220" s="116"/>
      <c r="Q220" s="116"/>
      <c r="R220" s="116"/>
      <c r="S220" s="50">
        <v>7.0</v>
      </c>
      <c r="T220" s="50">
        <v>1000.0</v>
      </c>
      <c r="U220" s="50">
        <v>3.0</v>
      </c>
      <c r="V220" s="50">
        <v>250.0</v>
      </c>
      <c r="W220" s="116"/>
      <c r="X220" s="116"/>
      <c r="Y220" s="116"/>
      <c r="Z220" s="116"/>
      <c r="AA220" s="116"/>
      <c r="AB220" s="116"/>
      <c r="AC220" s="116"/>
      <c r="AD220" s="116"/>
      <c r="AE220" s="116"/>
      <c r="AF220" s="116"/>
      <c r="AG220" s="116"/>
      <c r="AH220" s="116"/>
      <c r="AI220" s="116"/>
      <c r="AJ220" s="116"/>
      <c r="AK220" s="116"/>
      <c r="AL220" s="116"/>
      <c r="AM220" s="116"/>
      <c r="AN220" s="116"/>
      <c r="AO220" s="116"/>
      <c r="AP220" s="116"/>
      <c r="AQ220" s="116"/>
      <c r="AR220" s="116"/>
      <c r="AS220" s="116"/>
      <c r="AT220" s="116"/>
      <c r="AU220" s="50">
        <v>0.0</v>
      </c>
      <c r="AV220" s="116"/>
      <c r="AW220" s="116"/>
      <c r="AX220" s="116"/>
      <c r="AY220" s="116"/>
      <c r="AZ220" s="116"/>
      <c r="BA220" s="116"/>
      <c r="BB220" s="116"/>
      <c r="BC220" s="116"/>
      <c r="BD220" s="116"/>
      <c r="BE220" s="116"/>
      <c r="BF220" s="116"/>
      <c r="BG220" s="116"/>
      <c r="BH220" s="116"/>
      <c r="BI220" s="116"/>
      <c r="BJ220" s="116"/>
      <c r="BK220" s="116"/>
      <c r="BL220" s="116"/>
      <c r="BM220" s="116"/>
      <c r="BN220" s="116"/>
      <c r="BO220" s="116"/>
      <c r="BP220" s="116"/>
      <c r="BQ220" s="116"/>
      <c r="BR220" s="116"/>
      <c r="BS220" s="116"/>
      <c r="BT220" s="116"/>
      <c r="BU220" s="116"/>
      <c r="BV220" s="116"/>
      <c r="BW220" s="116"/>
      <c r="BX220" s="116"/>
      <c r="BY220" s="116"/>
      <c r="BZ220" s="116"/>
      <c r="CA220" s="116"/>
      <c r="CB220" s="116"/>
      <c r="CC220" s="116"/>
      <c r="CD220" s="145">
        <v>43503.0</v>
      </c>
      <c r="CE220" s="50">
        <v>1.0</v>
      </c>
      <c r="CF220" s="50" t="s">
        <v>15555</v>
      </c>
      <c r="CG220" s="117">
        <v>5197.0</v>
      </c>
      <c r="CH220" s="50" t="s">
        <v>16047</v>
      </c>
      <c r="CI220" s="50" t="s">
        <v>16048</v>
      </c>
      <c r="CJ220" s="117">
        <v>219.0</v>
      </c>
    </row>
    <row r="221">
      <c r="A221" s="50" t="s">
        <v>16049</v>
      </c>
      <c r="B221" s="50" t="s">
        <v>6876</v>
      </c>
      <c r="C221" s="50" t="s">
        <v>6877</v>
      </c>
      <c r="D221" s="50" t="s">
        <v>11623</v>
      </c>
      <c r="E221" s="50" t="s">
        <v>16050</v>
      </c>
      <c r="F221" s="50">
        <v>33.0</v>
      </c>
      <c r="G221" s="50">
        <v>1.0</v>
      </c>
      <c r="H221" s="50">
        <v>97.0</v>
      </c>
      <c r="I221" s="116"/>
      <c r="J221" s="116"/>
      <c r="K221" s="50" t="s">
        <v>15565</v>
      </c>
      <c r="L221" s="50" t="s">
        <v>15565</v>
      </c>
      <c r="M221" s="50" t="s">
        <v>14884</v>
      </c>
      <c r="N221" s="50" t="s">
        <v>14885</v>
      </c>
      <c r="O221" s="50" t="s">
        <v>14887</v>
      </c>
      <c r="P221" s="116"/>
      <c r="Q221" s="116"/>
      <c r="R221" s="116"/>
      <c r="S221" s="116"/>
      <c r="T221" s="116"/>
      <c r="U221" s="116"/>
      <c r="V221" s="116"/>
      <c r="W221" s="116"/>
      <c r="X221" s="116"/>
      <c r="Y221" s="116"/>
      <c r="Z221" s="116"/>
      <c r="AA221" s="116"/>
      <c r="AB221" s="116"/>
      <c r="AC221" s="116"/>
      <c r="AD221" s="116"/>
      <c r="AE221" s="116"/>
      <c r="AF221" s="116"/>
      <c r="AG221" s="116"/>
      <c r="AH221" s="50">
        <v>7.0</v>
      </c>
      <c r="AI221" s="50">
        <v>1000.0</v>
      </c>
      <c r="AJ221" s="50">
        <v>3.0</v>
      </c>
      <c r="AK221" s="50">
        <v>198.0</v>
      </c>
      <c r="AL221" s="116"/>
      <c r="AM221" s="116"/>
      <c r="AN221" s="116"/>
      <c r="AO221" s="116"/>
      <c r="AP221" s="116"/>
      <c r="AQ221" s="116"/>
      <c r="AR221" s="116"/>
      <c r="AS221" s="116"/>
      <c r="AT221" s="116"/>
      <c r="AU221" s="50">
        <v>0.0</v>
      </c>
      <c r="AV221" s="116"/>
      <c r="AW221" s="116"/>
      <c r="AX221" s="116"/>
      <c r="AY221" s="116"/>
      <c r="AZ221" s="116"/>
      <c r="BA221" s="116"/>
      <c r="BB221" s="116"/>
      <c r="BC221" s="116"/>
      <c r="BD221" s="116"/>
      <c r="BE221" s="116"/>
      <c r="BF221" s="116"/>
      <c r="BG221" s="116"/>
      <c r="BH221" s="116"/>
      <c r="BI221" s="116"/>
      <c r="BJ221" s="116"/>
      <c r="BK221" s="116"/>
      <c r="BL221" s="116"/>
      <c r="BM221" s="116"/>
      <c r="BN221" s="116"/>
      <c r="BO221" s="116"/>
      <c r="BP221" s="116"/>
      <c r="BQ221" s="116"/>
      <c r="BR221" s="116"/>
      <c r="BS221" s="116"/>
      <c r="BT221" s="116"/>
      <c r="BU221" s="116"/>
      <c r="BV221" s="116"/>
      <c r="BW221" s="116"/>
      <c r="BX221" s="116"/>
      <c r="BY221" s="116"/>
      <c r="BZ221" s="116"/>
      <c r="CA221" s="116"/>
      <c r="CB221" s="116"/>
      <c r="CC221" s="116"/>
      <c r="CD221" s="50" t="s">
        <v>14054</v>
      </c>
      <c r="CE221" s="50">
        <v>1.0</v>
      </c>
      <c r="CF221" s="50" t="s">
        <v>15555</v>
      </c>
      <c r="CG221" s="117">
        <v>5198.0</v>
      </c>
      <c r="CH221" s="50" t="s">
        <v>16065</v>
      </c>
      <c r="CI221" s="50" t="s">
        <v>16067</v>
      </c>
      <c r="CJ221" s="117">
        <v>220.0</v>
      </c>
    </row>
    <row r="222">
      <c r="A222" s="50" t="s">
        <v>16069</v>
      </c>
      <c r="B222" s="50" t="s">
        <v>6876</v>
      </c>
      <c r="C222" s="50" t="s">
        <v>6877</v>
      </c>
      <c r="D222" s="50" t="s">
        <v>11623</v>
      </c>
      <c r="E222" s="50" t="s">
        <v>16073</v>
      </c>
      <c r="F222" s="50">
        <v>58.0</v>
      </c>
      <c r="G222" s="50">
        <v>1.0</v>
      </c>
      <c r="H222" s="50">
        <v>14.0</v>
      </c>
      <c r="I222" s="50">
        <v>144.0</v>
      </c>
      <c r="J222" s="116"/>
      <c r="K222" s="50" t="s">
        <v>598</v>
      </c>
      <c r="L222" s="50" t="s">
        <v>598</v>
      </c>
      <c r="M222" s="50" t="s">
        <v>16074</v>
      </c>
      <c r="N222" s="50" t="s">
        <v>16075</v>
      </c>
      <c r="O222" s="50" t="s">
        <v>16077</v>
      </c>
      <c r="P222" s="116"/>
      <c r="Q222" s="116"/>
      <c r="R222" s="116"/>
      <c r="S222" s="50">
        <v>7.0</v>
      </c>
      <c r="T222" s="50">
        <v>1000.0</v>
      </c>
      <c r="U222" s="50">
        <v>3.0</v>
      </c>
      <c r="V222" s="50">
        <v>0.0</v>
      </c>
      <c r="W222" s="50">
        <v>7.0</v>
      </c>
      <c r="X222" s="50">
        <v>100.0</v>
      </c>
      <c r="Y222" s="50">
        <v>3.0</v>
      </c>
      <c r="Z222" s="50">
        <v>0.0</v>
      </c>
      <c r="AA222" s="50">
        <v>0.0</v>
      </c>
      <c r="AB222" s="116"/>
      <c r="AC222" s="116"/>
      <c r="AD222" s="116"/>
      <c r="AE222" s="116"/>
      <c r="AF222" s="116"/>
      <c r="AG222" s="116"/>
      <c r="AH222" s="50">
        <v>7.0</v>
      </c>
      <c r="AI222" s="50">
        <v>1000.0</v>
      </c>
      <c r="AJ222" s="50">
        <v>3.0</v>
      </c>
      <c r="AK222" s="50">
        <v>0.0</v>
      </c>
      <c r="AL222" s="50">
        <v>7.0</v>
      </c>
      <c r="AM222" s="50">
        <v>100.0</v>
      </c>
      <c r="AN222" s="50">
        <v>3.0</v>
      </c>
      <c r="AO222" s="50">
        <v>0.0</v>
      </c>
      <c r="AP222" s="50">
        <v>0.0</v>
      </c>
      <c r="AQ222" s="116"/>
      <c r="AR222" s="116"/>
      <c r="AS222" s="116"/>
      <c r="AT222" s="116"/>
      <c r="AU222" s="50">
        <v>0.0</v>
      </c>
      <c r="AV222" s="116"/>
      <c r="AW222" s="116"/>
      <c r="AX222" s="116"/>
      <c r="AY222" s="116"/>
      <c r="AZ222" s="116"/>
      <c r="BA222" s="116"/>
      <c r="BB222" s="116"/>
      <c r="BC222" s="116"/>
      <c r="BD222" s="116"/>
      <c r="BE222" s="116"/>
      <c r="BF222" s="116"/>
      <c r="BG222" s="116"/>
      <c r="BH222" s="116"/>
      <c r="BI222" s="116"/>
      <c r="BJ222" s="116"/>
      <c r="BK222" s="116"/>
      <c r="BL222" s="116"/>
      <c r="BM222" s="116"/>
      <c r="BN222" s="116"/>
      <c r="BO222" s="116"/>
      <c r="BP222" s="116"/>
      <c r="BQ222" s="116"/>
      <c r="BR222" s="116"/>
      <c r="BS222" s="116"/>
      <c r="BT222" s="116"/>
      <c r="BU222" s="116"/>
      <c r="BV222" s="116"/>
      <c r="BW222" s="116"/>
      <c r="BX222" s="116"/>
      <c r="BY222" s="116"/>
      <c r="BZ222" s="116"/>
      <c r="CA222" s="116"/>
      <c r="CB222" s="116"/>
      <c r="CC222" s="116"/>
      <c r="CD222" s="145">
        <v>43503.0</v>
      </c>
      <c r="CE222" s="50">
        <v>1.0</v>
      </c>
      <c r="CF222" s="50" t="s">
        <v>15555</v>
      </c>
      <c r="CG222" s="117">
        <v>5199.0</v>
      </c>
      <c r="CH222" s="50" t="s">
        <v>16090</v>
      </c>
      <c r="CI222" s="50" t="s">
        <v>16091</v>
      </c>
      <c r="CJ222" s="117">
        <v>221.0</v>
      </c>
    </row>
    <row r="223">
      <c r="A223" s="50" t="s">
        <v>16092</v>
      </c>
      <c r="B223" s="50" t="s">
        <v>6876</v>
      </c>
      <c r="C223" s="50" t="s">
        <v>6877</v>
      </c>
      <c r="D223" s="50" t="s">
        <v>11623</v>
      </c>
      <c r="E223" s="50" t="s">
        <v>16097</v>
      </c>
      <c r="F223" s="50">
        <v>58.0</v>
      </c>
      <c r="G223" s="50">
        <v>1.0</v>
      </c>
      <c r="H223" s="50">
        <v>14.0</v>
      </c>
      <c r="I223" s="50">
        <v>142.0</v>
      </c>
      <c r="J223" s="116"/>
      <c r="K223" s="50" t="s">
        <v>591</v>
      </c>
      <c r="L223" s="50" t="s">
        <v>591</v>
      </c>
      <c r="M223" s="50" t="s">
        <v>16074</v>
      </c>
      <c r="N223" s="50" t="s">
        <v>16075</v>
      </c>
      <c r="O223" s="50" t="s">
        <v>16077</v>
      </c>
      <c r="P223" s="116"/>
      <c r="Q223" s="116"/>
      <c r="R223" s="116"/>
      <c r="S223" s="50">
        <v>7.0</v>
      </c>
      <c r="T223" s="50">
        <v>1000.0</v>
      </c>
      <c r="U223" s="50">
        <v>3.0</v>
      </c>
      <c r="V223" s="50">
        <v>0.0</v>
      </c>
      <c r="W223" s="50">
        <v>7.0</v>
      </c>
      <c r="X223" s="50">
        <v>100.0</v>
      </c>
      <c r="Y223" s="50">
        <v>3.0</v>
      </c>
      <c r="Z223" s="50">
        <v>0.0</v>
      </c>
      <c r="AA223" s="50">
        <v>0.0</v>
      </c>
      <c r="AB223" s="116"/>
      <c r="AC223" s="116"/>
      <c r="AD223" s="116"/>
      <c r="AE223" s="116"/>
      <c r="AF223" s="116"/>
      <c r="AG223" s="116"/>
      <c r="AH223" s="50">
        <v>7.0</v>
      </c>
      <c r="AI223" s="50">
        <v>1000.0</v>
      </c>
      <c r="AJ223" s="50">
        <v>3.0</v>
      </c>
      <c r="AK223" s="50">
        <v>0.0</v>
      </c>
      <c r="AL223" s="50">
        <v>7.0</v>
      </c>
      <c r="AM223" s="50">
        <v>100.0</v>
      </c>
      <c r="AN223" s="50">
        <v>3.0</v>
      </c>
      <c r="AO223" s="50">
        <v>0.0</v>
      </c>
      <c r="AP223" s="50">
        <v>0.0</v>
      </c>
      <c r="AQ223" s="116"/>
      <c r="AR223" s="116"/>
      <c r="AS223" s="116"/>
      <c r="AT223" s="116"/>
      <c r="AU223" s="50">
        <v>0.0</v>
      </c>
      <c r="AV223" s="116"/>
      <c r="AW223" s="116"/>
      <c r="AX223" s="116"/>
      <c r="AY223" s="116"/>
      <c r="AZ223" s="116"/>
      <c r="BA223" s="116"/>
      <c r="BB223" s="116"/>
      <c r="BC223" s="116"/>
      <c r="BD223" s="116"/>
      <c r="BE223" s="116"/>
      <c r="BF223" s="116"/>
      <c r="BG223" s="116"/>
      <c r="BH223" s="116"/>
      <c r="BI223" s="116"/>
      <c r="BJ223" s="116"/>
      <c r="BK223" s="116"/>
      <c r="BL223" s="116"/>
      <c r="BM223" s="116"/>
      <c r="BN223" s="116"/>
      <c r="BO223" s="116"/>
      <c r="BP223" s="116"/>
      <c r="BQ223" s="116"/>
      <c r="BR223" s="116"/>
      <c r="BS223" s="116"/>
      <c r="BT223" s="116"/>
      <c r="BU223" s="116"/>
      <c r="BV223" s="116"/>
      <c r="BW223" s="116"/>
      <c r="BX223" s="116"/>
      <c r="BY223" s="116"/>
      <c r="BZ223" s="116"/>
      <c r="CA223" s="116"/>
      <c r="CB223" s="116"/>
      <c r="CC223" s="116"/>
      <c r="CD223" s="145">
        <v>43503.0</v>
      </c>
      <c r="CE223" s="50">
        <v>1.0</v>
      </c>
      <c r="CF223" s="50" t="s">
        <v>15555</v>
      </c>
      <c r="CG223" s="117">
        <v>5200.0</v>
      </c>
      <c r="CH223" s="50" t="s">
        <v>16115</v>
      </c>
      <c r="CI223" s="50" t="s">
        <v>16116</v>
      </c>
      <c r="CJ223" s="117">
        <v>222.0</v>
      </c>
    </row>
    <row r="224">
      <c r="A224" s="50" t="s">
        <v>16118</v>
      </c>
      <c r="B224" s="50" t="s">
        <v>6876</v>
      </c>
      <c r="C224" s="50" t="s">
        <v>6877</v>
      </c>
      <c r="D224" s="50" t="s">
        <v>11623</v>
      </c>
      <c r="E224" s="50" t="s">
        <v>16119</v>
      </c>
      <c r="F224" s="50">
        <v>58.0</v>
      </c>
      <c r="G224" s="50">
        <v>1.0</v>
      </c>
      <c r="H224" s="50">
        <v>14.0</v>
      </c>
      <c r="I224" s="50">
        <v>145.0</v>
      </c>
      <c r="J224" s="116"/>
      <c r="K224" s="50" t="s">
        <v>601</v>
      </c>
      <c r="L224" s="50" t="s">
        <v>601</v>
      </c>
      <c r="M224" s="50" t="s">
        <v>16074</v>
      </c>
      <c r="N224" s="50" t="s">
        <v>16075</v>
      </c>
      <c r="O224" s="50" t="s">
        <v>16077</v>
      </c>
      <c r="P224" s="116"/>
      <c r="Q224" s="116"/>
      <c r="R224" s="116"/>
      <c r="S224" s="50">
        <v>7.0</v>
      </c>
      <c r="T224" s="50">
        <v>1000.0</v>
      </c>
      <c r="U224" s="50">
        <v>3.0</v>
      </c>
      <c r="V224" s="50">
        <v>0.0</v>
      </c>
      <c r="W224" s="50">
        <v>7.0</v>
      </c>
      <c r="X224" s="50">
        <v>100.0</v>
      </c>
      <c r="Y224" s="50">
        <v>3.0</v>
      </c>
      <c r="Z224" s="50">
        <v>0.0</v>
      </c>
      <c r="AA224" s="50">
        <v>0.0</v>
      </c>
      <c r="AB224" s="116"/>
      <c r="AC224" s="116"/>
      <c r="AD224" s="116"/>
      <c r="AE224" s="116"/>
      <c r="AF224" s="116"/>
      <c r="AG224" s="116"/>
      <c r="AH224" s="50">
        <v>7.0</v>
      </c>
      <c r="AI224" s="50">
        <v>1000.0</v>
      </c>
      <c r="AJ224" s="50">
        <v>3.0</v>
      </c>
      <c r="AK224" s="50">
        <v>0.0</v>
      </c>
      <c r="AL224" s="50">
        <v>7.0</v>
      </c>
      <c r="AM224" s="50">
        <v>100.0</v>
      </c>
      <c r="AN224" s="50">
        <v>3.0</v>
      </c>
      <c r="AO224" s="50">
        <v>0.0</v>
      </c>
      <c r="AP224" s="50">
        <v>0.0</v>
      </c>
      <c r="AQ224" s="116"/>
      <c r="AR224" s="116"/>
      <c r="AS224" s="116"/>
      <c r="AT224" s="116"/>
      <c r="AU224" s="50">
        <v>0.0</v>
      </c>
      <c r="AV224" s="116"/>
      <c r="AW224" s="116"/>
      <c r="AX224" s="116"/>
      <c r="AY224" s="116"/>
      <c r="AZ224" s="116"/>
      <c r="BA224" s="116"/>
      <c r="BB224" s="116"/>
      <c r="BC224" s="116"/>
      <c r="BD224" s="116"/>
      <c r="BE224" s="116"/>
      <c r="BF224" s="116"/>
      <c r="BG224" s="116"/>
      <c r="BH224" s="116"/>
      <c r="BI224" s="116"/>
      <c r="BJ224" s="116"/>
      <c r="BK224" s="116"/>
      <c r="BL224" s="116"/>
      <c r="BM224" s="116"/>
      <c r="BN224" s="116"/>
      <c r="BO224" s="116"/>
      <c r="BP224" s="116"/>
      <c r="BQ224" s="116"/>
      <c r="BR224" s="116"/>
      <c r="BS224" s="116"/>
      <c r="BT224" s="116"/>
      <c r="BU224" s="116"/>
      <c r="BV224" s="116"/>
      <c r="BW224" s="116"/>
      <c r="BX224" s="116"/>
      <c r="BY224" s="116"/>
      <c r="BZ224" s="116"/>
      <c r="CA224" s="116"/>
      <c r="CB224" s="116"/>
      <c r="CC224" s="116"/>
      <c r="CD224" s="50" t="s">
        <v>14054</v>
      </c>
      <c r="CE224" s="50">
        <v>1.0</v>
      </c>
      <c r="CF224" s="50" t="s">
        <v>15555</v>
      </c>
      <c r="CG224" s="117">
        <v>5201.0</v>
      </c>
      <c r="CH224" s="50" t="s">
        <v>16137</v>
      </c>
      <c r="CI224" s="50" t="s">
        <v>16138</v>
      </c>
      <c r="CJ224" s="117">
        <v>223.0</v>
      </c>
    </row>
    <row r="225">
      <c r="A225" s="50" t="s">
        <v>16139</v>
      </c>
      <c r="B225" s="50" t="s">
        <v>6876</v>
      </c>
      <c r="C225" s="50" t="s">
        <v>6877</v>
      </c>
      <c r="D225" s="50" t="s">
        <v>11623</v>
      </c>
      <c r="E225" s="50" t="s">
        <v>16143</v>
      </c>
      <c r="F225" s="50">
        <v>58.0</v>
      </c>
      <c r="G225" s="50">
        <v>1.0</v>
      </c>
      <c r="H225" s="50">
        <v>14.0</v>
      </c>
      <c r="I225" s="50">
        <v>141.0</v>
      </c>
      <c r="J225" s="116"/>
      <c r="K225" s="50" t="s">
        <v>589</v>
      </c>
      <c r="L225" s="50" t="s">
        <v>589</v>
      </c>
      <c r="M225" s="50" t="s">
        <v>16074</v>
      </c>
      <c r="N225" s="50" t="s">
        <v>16075</v>
      </c>
      <c r="O225" s="50" t="s">
        <v>16077</v>
      </c>
      <c r="P225" s="116"/>
      <c r="Q225" s="116"/>
      <c r="R225" s="116"/>
      <c r="S225" s="50">
        <v>7.0</v>
      </c>
      <c r="T225" s="50">
        <v>1000.0</v>
      </c>
      <c r="U225" s="50">
        <v>3.0</v>
      </c>
      <c r="V225" s="50">
        <v>0.0</v>
      </c>
      <c r="W225" s="50">
        <v>7.0</v>
      </c>
      <c r="X225" s="50">
        <v>100.0</v>
      </c>
      <c r="Y225" s="50">
        <v>3.0</v>
      </c>
      <c r="Z225" s="50">
        <v>0.0</v>
      </c>
      <c r="AA225" s="50">
        <v>0.0</v>
      </c>
      <c r="AB225" s="116"/>
      <c r="AC225" s="116"/>
      <c r="AD225" s="116"/>
      <c r="AE225" s="116"/>
      <c r="AF225" s="116"/>
      <c r="AG225" s="116"/>
      <c r="AH225" s="50">
        <v>7.0</v>
      </c>
      <c r="AI225" s="50">
        <v>1000.0</v>
      </c>
      <c r="AJ225" s="50">
        <v>3.0</v>
      </c>
      <c r="AK225" s="50">
        <v>0.0</v>
      </c>
      <c r="AL225" s="50">
        <v>7.0</v>
      </c>
      <c r="AM225" s="50">
        <v>100.0</v>
      </c>
      <c r="AN225" s="50">
        <v>3.0</v>
      </c>
      <c r="AO225" s="50">
        <v>0.0</v>
      </c>
      <c r="AP225" s="50">
        <v>0.0</v>
      </c>
      <c r="AQ225" s="116"/>
      <c r="AR225" s="116"/>
      <c r="AS225" s="116"/>
      <c r="AT225" s="116"/>
      <c r="AU225" s="50">
        <v>0.0</v>
      </c>
      <c r="AV225" s="116"/>
      <c r="AW225" s="116"/>
      <c r="AX225" s="116"/>
      <c r="AY225" s="116"/>
      <c r="AZ225" s="116"/>
      <c r="BA225" s="116"/>
      <c r="BB225" s="116"/>
      <c r="BC225" s="116"/>
      <c r="BD225" s="116"/>
      <c r="BE225" s="116"/>
      <c r="BF225" s="116"/>
      <c r="BG225" s="116"/>
      <c r="BH225" s="116"/>
      <c r="BI225" s="116"/>
      <c r="BJ225" s="116"/>
      <c r="BK225" s="116"/>
      <c r="BL225" s="116"/>
      <c r="BM225" s="116"/>
      <c r="BN225" s="116"/>
      <c r="BO225" s="116"/>
      <c r="BP225" s="116"/>
      <c r="BQ225" s="116"/>
      <c r="BR225" s="116"/>
      <c r="BS225" s="116"/>
      <c r="BT225" s="116"/>
      <c r="BU225" s="116"/>
      <c r="BV225" s="116"/>
      <c r="BW225" s="116"/>
      <c r="BX225" s="116"/>
      <c r="BY225" s="116"/>
      <c r="BZ225" s="116"/>
      <c r="CA225" s="116"/>
      <c r="CB225" s="116"/>
      <c r="CC225" s="116"/>
      <c r="CD225" s="145">
        <v>43503.0</v>
      </c>
      <c r="CE225" s="50">
        <v>1.0</v>
      </c>
      <c r="CF225" s="50" t="s">
        <v>15555</v>
      </c>
      <c r="CG225" s="117">
        <v>5202.0</v>
      </c>
      <c r="CH225" s="50" t="s">
        <v>16157</v>
      </c>
      <c r="CI225" s="50" t="s">
        <v>16158</v>
      </c>
      <c r="CJ225" s="117">
        <v>224.0</v>
      </c>
    </row>
    <row r="226">
      <c r="A226" s="50" t="s">
        <v>16160</v>
      </c>
      <c r="B226" s="50" t="s">
        <v>6876</v>
      </c>
      <c r="C226" s="50" t="s">
        <v>6877</v>
      </c>
      <c r="D226" s="50" t="s">
        <v>11623</v>
      </c>
      <c r="E226" s="50" t="s">
        <v>16163</v>
      </c>
      <c r="F226" s="50">
        <v>58.0</v>
      </c>
      <c r="G226" s="50">
        <v>1.0</v>
      </c>
      <c r="H226" s="50">
        <v>14.0</v>
      </c>
      <c r="I226" s="50">
        <v>143.0</v>
      </c>
      <c r="J226" s="116"/>
      <c r="K226" s="50" t="s">
        <v>594</v>
      </c>
      <c r="L226" s="50" t="s">
        <v>594</v>
      </c>
      <c r="M226" s="50" t="s">
        <v>16074</v>
      </c>
      <c r="N226" s="50" t="s">
        <v>16075</v>
      </c>
      <c r="O226" s="50" t="s">
        <v>16077</v>
      </c>
      <c r="P226" s="116"/>
      <c r="Q226" s="116"/>
      <c r="R226" s="116"/>
      <c r="S226" s="50">
        <v>7.0</v>
      </c>
      <c r="T226" s="50">
        <v>1000.0</v>
      </c>
      <c r="U226" s="50">
        <v>3.0</v>
      </c>
      <c r="V226" s="50">
        <v>0.0</v>
      </c>
      <c r="W226" s="50">
        <v>7.0</v>
      </c>
      <c r="X226" s="50">
        <v>100.0</v>
      </c>
      <c r="Y226" s="50">
        <v>3.0</v>
      </c>
      <c r="Z226" s="50">
        <v>0.0</v>
      </c>
      <c r="AA226" s="50">
        <v>0.0</v>
      </c>
      <c r="AB226" s="116"/>
      <c r="AC226" s="116"/>
      <c r="AD226" s="116"/>
      <c r="AE226" s="116"/>
      <c r="AF226" s="116"/>
      <c r="AG226" s="116"/>
      <c r="AH226" s="50">
        <v>7.0</v>
      </c>
      <c r="AI226" s="50">
        <v>1000.0</v>
      </c>
      <c r="AJ226" s="50">
        <v>3.0</v>
      </c>
      <c r="AK226" s="50">
        <v>0.0</v>
      </c>
      <c r="AL226" s="50">
        <v>7.0</v>
      </c>
      <c r="AM226" s="50">
        <v>100.0</v>
      </c>
      <c r="AN226" s="50">
        <v>3.0</v>
      </c>
      <c r="AO226" s="50">
        <v>0.0</v>
      </c>
      <c r="AP226" s="50">
        <v>0.0</v>
      </c>
      <c r="AQ226" s="116"/>
      <c r="AR226" s="116"/>
      <c r="AS226" s="116"/>
      <c r="AT226" s="116"/>
      <c r="AU226" s="50">
        <v>0.0</v>
      </c>
      <c r="AV226" s="116"/>
      <c r="AW226" s="116"/>
      <c r="AX226" s="116"/>
      <c r="AY226" s="116"/>
      <c r="AZ226" s="116"/>
      <c r="BA226" s="116"/>
      <c r="BB226" s="116"/>
      <c r="BC226" s="116"/>
      <c r="BD226" s="116"/>
      <c r="BE226" s="116"/>
      <c r="BF226" s="116"/>
      <c r="BG226" s="116"/>
      <c r="BH226" s="116"/>
      <c r="BI226" s="116"/>
      <c r="BJ226" s="116"/>
      <c r="BK226" s="116"/>
      <c r="BL226" s="116"/>
      <c r="BM226" s="116"/>
      <c r="BN226" s="116"/>
      <c r="BO226" s="116"/>
      <c r="BP226" s="116"/>
      <c r="BQ226" s="116"/>
      <c r="BR226" s="116"/>
      <c r="BS226" s="116"/>
      <c r="BT226" s="116"/>
      <c r="BU226" s="116"/>
      <c r="BV226" s="116"/>
      <c r="BW226" s="116"/>
      <c r="BX226" s="116"/>
      <c r="BY226" s="116"/>
      <c r="BZ226" s="116"/>
      <c r="CA226" s="116"/>
      <c r="CB226" s="116"/>
      <c r="CC226" s="116"/>
      <c r="CD226" s="145">
        <v>43503.0</v>
      </c>
      <c r="CE226" s="50">
        <v>1.0</v>
      </c>
      <c r="CF226" s="50" t="s">
        <v>15555</v>
      </c>
      <c r="CG226" s="117">
        <v>5203.0</v>
      </c>
      <c r="CH226" s="50" t="s">
        <v>16177</v>
      </c>
      <c r="CI226" s="50" t="s">
        <v>16178</v>
      </c>
      <c r="CJ226" s="117">
        <v>225.0</v>
      </c>
    </row>
    <row r="227">
      <c r="A227" s="50" t="s">
        <v>16181</v>
      </c>
      <c r="B227" s="50" t="s">
        <v>6876</v>
      </c>
      <c r="C227" s="50" t="s">
        <v>6877</v>
      </c>
      <c r="D227" s="50" t="s">
        <v>11623</v>
      </c>
      <c r="E227" s="50" t="s">
        <v>16182</v>
      </c>
      <c r="F227" s="50">
        <v>58.0</v>
      </c>
      <c r="G227" s="50">
        <v>1.0</v>
      </c>
      <c r="H227" s="50">
        <v>99.0</v>
      </c>
      <c r="I227" s="116"/>
      <c r="J227" s="116"/>
      <c r="K227" s="50" t="s">
        <v>617</v>
      </c>
      <c r="L227" s="50" t="s">
        <v>617</v>
      </c>
      <c r="M227" s="50" t="s">
        <v>16074</v>
      </c>
      <c r="N227" s="50" t="s">
        <v>16075</v>
      </c>
      <c r="O227" s="50" t="s">
        <v>16077</v>
      </c>
      <c r="P227" s="116"/>
      <c r="Q227" s="116"/>
      <c r="R227" s="116"/>
      <c r="S227" s="50">
        <v>7.0</v>
      </c>
      <c r="T227" s="50">
        <v>1000.0</v>
      </c>
      <c r="U227" s="50">
        <v>3.0</v>
      </c>
      <c r="V227" s="50">
        <v>0.0</v>
      </c>
      <c r="W227" s="116"/>
      <c r="X227" s="116"/>
      <c r="Y227" s="116"/>
      <c r="Z227" s="116"/>
      <c r="AA227" s="116"/>
      <c r="AB227" s="116"/>
      <c r="AC227" s="116"/>
      <c r="AD227" s="116"/>
      <c r="AE227" s="116"/>
      <c r="AF227" s="116"/>
      <c r="AG227" s="116"/>
      <c r="AH227" s="50">
        <v>7.0</v>
      </c>
      <c r="AI227" s="50">
        <v>1000.0</v>
      </c>
      <c r="AJ227" s="50">
        <v>3.0</v>
      </c>
      <c r="AK227" s="50">
        <v>0.0</v>
      </c>
      <c r="AL227" s="116"/>
      <c r="AM227" s="116"/>
      <c r="AN227" s="116"/>
      <c r="AO227" s="116"/>
      <c r="AP227" s="116"/>
      <c r="AQ227" s="116"/>
      <c r="AR227" s="116"/>
      <c r="AS227" s="116"/>
      <c r="AT227" s="116"/>
      <c r="AU227" s="50">
        <v>0.0</v>
      </c>
      <c r="AV227" s="116"/>
      <c r="AW227" s="116"/>
      <c r="AX227" s="116"/>
      <c r="AY227" s="116"/>
      <c r="AZ227" s="116"/>
      <c r="BA227" s="116"/>
      <c r="BB227" s="116"/>
      <c r="BC227" s="116"/>
      <c r="BD227" s="116"/>
      <c r="BE227" s="116"/>
      <c r="BF227" s="116"/>
      <c r="BG227" s="116"/>
      <c r="BH227" s="116"/>
      <c r="BI227" s="116"/>
      <c r="BJ227" s="116"/>
      <c r="BK227" s="116"/>
      <c r="BL227" s="116"/>
      <c r="BM227" s="116"/>
      <c r="BN227" s="116"/>
      <c r="BO227" s="116"/>
      <c r="BP227" s="116"/>
      <c r="BQ227" s="116"/>
      <c r="BR227" s="116"/>
      <c r="BS227" s="116"/>
      <c r="BT227" s="116"/>
      <c r="BU227" s="116"/>
      <c r="BV227" s="116"/>
      <c r="BW227" s="116"/>
      <c r="BX227" s="116"/>
      <c r="BY227" s="116"/>
      <c r="BZ227" s="116"/>
      <c r="CA227" s="116"/>
      <c r="CB227" s="116"/>
      <c r="CC227" s="50" t="s">
        <v>16198</v>
      </c>
      <c r="CD227" s="145">
        <v>43503.0</v>
      </c>
      <c r="CE227" s="50">
        <v>1.0</v>
      </c>
      <c r="CF227" s="50" t="s">
        <v>15555</v>
      </c>
      <c r="CG227" s="117">
        <v>5204.0</v>
      </c>
      <c r="CH227" s="50" t="s">
        <v>16201</v>
      </c>
      <c r="CI227" s="50" t="s">
        <v>16202</v>
      </c>
      <c r="CJ227" s="117">
        <v>226.0</v>
      </c>
    </row>
    <row r="228">
      <c r="A228" s="50" t="s">
        <v>16203</v>
      </c>
      <c r="B228" s="50" t="s">
        <v>6876</v>
      </c>
      <c r="C228" s="50" t="s">
        <v>6877</v>
      </c>
      <c r="D228" s="50" t="s">
        <v>11623</v>
      </c>
      <c r="E228" s="50" t="s">
        <v>16206</v>
      </c>
      <c r="F228" s="50">
        <v>66.0</v>
      </c>
      <c r="G228" s="50">
        <v>1.0</v>
      </c>
      <c r="H228" s="50">
        <v>99.0</v>
      </c>
      <c r="I228" s="116"/>
      <c r="J228" s="116"/>
      <c r="K228" s="50" t="s">
        <v>1574</v>
      </c>
      <c r="L228" s="50" t="s">
        <v>1574</v>
      </c>
      <c r="M228" s="50" t="s">
        <v>16074</v>
      </c>
      <c r="N228" s="50" t="s">
        <v>16075</v>
      </c>
      <c r="O228" s="50" t="s">
        <v>16077</v>
      </c>
      <c r="P228" s="116"/>
      <c r="Q228" s="116"/>
      <c r="R228" s="116"/>
      <c r="S228" s="50">
        <v>7.0</v>
      </c>
      <c r="T228" s="50">
        <v>1000.0</v>
      </c>
      <c r="U228" s="50">
        <v>3.0</v>
      </c>
      <c r="V228" s="50">
        <v>0.0</v>
      </c>
      <c r="W228" s="116"/>
      <c r="X228" s="116"/>
      <c r="Y228" s="116"/>
      <c r="Z228" s="116"/>
      <c r="AA228" s="116"/>
      <c r="AB228" s="116"/>
      <c r="AC228" s="116"/>
      <c r="AD228" s="116"/>
      <c r="AE228" s="116"/>
      <c r="AF228" s="116"/>
      <c r="AG228" s="116"/>
      <c r="AH228" s="50">
        <v>7.0</v>
      </c>
      <c r="AI228" s="50">
        <v>1000.0</v>
      </c>
      <c r="AJ228" s="50">
        <v>3.0</v>
      </c>
      <c r="AK228" s="50">
        <v>0.0</v>
      </c>
      <c r="AL228" s="116"/>
      <c r="AM228" s="116"/>
      <c r="AN228" s="116"/>
      <c r="AO228" s="116"/>
      <c r="AP228" s="116"/>
      <c r="AQ228" s="116"/>
      <c r="AR228" s="116"/>
      <c r="AS228" s="116"/>
      <c r="AT228" s="116"/>
      <c r="AU228" s="50">
        <v>0.0</v>
      </c>
      <c r="AV228" s="116"/>
      <c r="AW228" s="116"/>
      <c r="AX228" s="116"/>
      <c r="AY228" s="116"/>
      <c r="AZ228" s="116"/>
      <c r="BA228" s="116"/>
      <c r="BB228" s="116"/>
      <c r="BC228" s="116"/>
      <c r="BD228" s="116"/>
      <c r="BE228" s="116"/>
      <c r="BF228" s="116"/>
      <c r="BG228" s="116"/>
      <c r="BH228" s="116"/>
      <c r="BI228" s="116"/>
      <c r="BJ228" s="116"/>
      <c r="BK228" s="116"/>
      <c r="BL228" s="116"/>
      <c r="BM228" s="116"/>
      <c r="BN228" s="116"/>
      <c r="BO228" s="116"/>
      <c r="BP228" s="116"/>
      <c r="BQ228" s="116"/>
      <c r="BR228" s="116"/>
      <c r="BS228" s="116"/>
      <c r="BT228" s="116"/>
      <c r="BU228" s="116"/>
      <c r="BV228" s="116"/>
      <c r="BW228" s="116"/>
      <c r="BX228" s="116"/>
      <c r="BY228" s="116"/>
      <c r="BZ228" s="116"/>
      <c r="CA228" s="116"/>
      <c r="CB228" s="116"/>
      <c r="CC228" s="50" t="s">
        <v>16221</v>
      </c>
      <c r="CD228" s="145">
        <v>43503.0</v>
      </c>
      <c r="CE228" s="50">
        <v>1.0</v>
      </c>
      <c r="CF228" s="50" t="s">
        <v>15555</v>
      </c>
      <c r="CG228" s="117">
        <v>5205.0</v>
      </c>
      <c r="CH228" s="50" t="s">
        <v>16223</v>
      </c>
      <c r="CI228" s="50" t="s">
        <v>16224</v>
      </c>
      <c r="CJ228" s="117">
        <v>227.0</v>
      </c>
    </row>
    <row r="229">
      <c r="A229" s="50" t="s">
        <v>16225</v>
      </c>
      <c r="B229" s="50" t="s">
        <v>6876</v>
      </c>
      <c r="C229" s="50" t="s">
        <v>6877</v>
      </c>
      <c r="D229" s="50" t="s">
        <v>11623</v>
      </c>
      <c r="E229" s="50" t="s">
        <v>16226</v>
      </c>
      <c r="F229" s="50">
        <v>59.0</v>
      </c>
      <c r="G229" s="50">
        <v>1.0</v>
      </c>
      <c r="H229" s="50">
        <v>99.0</v>
      </c>
      <c r="I229" s="116"/>
      <c r="J229" s="116"/>
      <c r="K229" s="50" t="s">
        <v>1577</v>
      </c>
      <c r="L229" s="50" t="s">
        <v>1577</v>
      </c>
      <c r="M229" s="50" t="s">
        <v>16074</v>
      </c>
      <c r="N229" s="50" t="s">
        <v>16075</v>
      </c>
      <c r="O229" s="50" t="s">
        <v>16077</v>
      </c>
      <c r="P229" s="116"/>
      <c r="Q229" s="116"/>
      <c r="R229" s="116"/>
      <c r="S229" s="50">
        <v>7.0</v>
      </c>
      <c r="T229" s="50">
        <v>1000.0</v>
      </c>
      <c r="U229" s="50">
        <v>3.0</v>
      </c>
      <c r="V229" s="50">
        <v>0.0</v>
      </c>
      <c r="W229" s="116"/>
      <c r="X229" s="116"/>
      <c r="Y229" s="116"/>
      <c r="Z229" s="116"/>
      <c r="AA229" s="116"/>
      <c r="AB229" s="116"/>
      <c r="AC229" s="116"/>
      <c r="AD229" s="116"/>
      <c r="AE229" s="116"/>
      <c r="AF229" s="116"/>
      <c r="AG229" s="116"/>
      <c r="AH229" s="50">
        <v>7.0</v>
      </c>
      <c r="AI229" s="50">
        <v>1000.0</v>
      </c>
      <c r="AJ229" s="50">
        <v>3.0</v>
      </c>
      <c r="AK229" s="50">
        <v>0.0</v>
      </c>
      <c r="AL229" s="116"/>
      <c r="AM229" s="116"/>
      <c r="AN229" s="116"/>
      <c r="AO229" s="116"/>
      <c r="AP229" s="116"/>
      <c r="AQ229" s="116"/>
      <c r="AR229" s="116"/>
      <c r="AS229" s="116"/>
      <c r="AT229" s="116"/>
      <c r="AU229" s="50">
        <v>0.0</v>
      </c>
      <c r="AV229" s="116"/>
      <c r="AW229" s="116"/>
      <c r="AX229" s="116"/>
      <c r="AY229" s="116"/>
      <c r="AZ229" s="116"/>
      <c r="BA229" s="116"/>
      <c r="BB229" s="116"/>
      <c r="BC229" s="116"/>
      <c r="BD229" s="116"/>
      <c r="BE229" s="116"/>
      <c r="BF229" s="116"/>
      <c r="BG229" s="116"/>
      <c r="BH229" s="116"/>
      <c r="BI229" s="116"/>
      <c r="BJ229" s="116"/>
      <c r="BK229" s="116"/>
      <c r="BL229" s="116"/>
      <c r="BM229" s="116"/>
      <c r="BN229" s="116"/>
      <c r="BO229" s="116"/>
      <c r="BP229" s="116"/>
      <c r="BQ229" s="116"/>
      <c r="BR229" s="116"/>
      <c r="BS229" s="116"/>
      <c r="BT229" s="116"/>
      <c r="BU229" s="116"/>
      <c r="BV229" s="116"/>
      <c r="BW229" s="116"/>
      <c r="BX229" s="116"/>
      <c r="BY229" s="116"/>
      <c r="BZ229" s="116"/>
      <c r="CA229" s="116"/>
      <c r="CB229" s="116"/>
      <c r="CC229" s="50" t="s">
        <v>16241</v>
      </c>
      <c r="CD229" s="145">
        <v>43503.0</v>
      </c>
      <c r="CE229" s="50">
        <v>1.0</v>
      </c>
      <c r="CF229" s="50" t="s">
        <v>15555</v>
      </c>
      <c r="CG229" s="117">
        <v>5206.0</v>
      </c>
      <c r="CH229" s="50" t="s">
        <v>16244</v>
      </c>
      <c r="CI229" s="50" t="s">
        <v>16246</v>
      </c>
      <c r="CJ229" s="117">
        <v>228.0</v>
      </c>
    </row>
    <row r="230">
      <c r="A230" s="50" t="s">
        <v>16247</v>
      </c>
      <c r="B230" s="50" t="s">
        <v>6876</v>
      </c>
      <c r="C230" s="50" t="s">
        <v>6877</v>
      </c>
      <c r="D230" s="50" t="s">
        <v>11623</v>
      </c>
      <c r="E230" s="50" t="s">
        <v>16248</v>
      </c>
      <c r="F230" s="50">
        <v>59.0</v>
      </c>
      <c r="G230" s="50">
        <v>1.0</v>
      </c>
      <c r="H230" s="50">
        <v>11.0</v>
      </c>
      <c r="I230" s="116"/>
      <c r="J230" s="116"/>
      <c r="K230" s="50" t="s">
        <v>1579</v>
      </c>
      <c r="L230" s="50" t="s">
        <v>1579</v>
      </c>
      <c r="M230" s="50" t="s">
        <v>16074</v>
      </c>
      <c r="N230" s="50" t="s">
        <v>16075</v>
      </c>
      <c r="O230" s="50" t="s">
        <v>16077</v>
      </c>
      <c r="P230" s="50">
        <v>4.0</v>
      </c>
      <c r="Q230" s="116"/>
      <c r="R230" s="116"/>
      <c r="S230" s="50">
        <v>7.0</v>
      </c>
      <c r="T230" s="50">
        <v>1000.0</v>
      </c>
      <c r="U230" s="50">
        <v>3.0</v>
      </c>
      <c r="V230" s="50">
        <v>0.0</v>
      </c>
      <c r="W230" s="50">
        <v>7.0</v>
      </c>
      <c r="X230" s="50">
        <v>100.0</v>
      </c>
      <c r="Y230" s="50">
        <v>1.0</v>
      </c>
      <c r="Z230" s="116"/>
      <c r="AA230" s="50">
        <v>1.0</v>
      </c>
      <c r="AB230" s="50">
        <v>4.0</v>
      </c>
      <c r="AC230" s="50">
        <v>1000.0</v>
      </c>
      <c r="AD230" s="50">
        <v>3.0</v>
      </c>
      <c r="AE230" s="50">
        <v>134.0</v>
      </c>
      <c r="AF230" s="116"/>
      <c r="AG230" s="116"/>
      <c r="AH230" s="50">
        <v>7.0</v>
      </c>
      <c r="AI230" s="50">
        <v>5000.0</v>
      </c>
      <c r="AJ230" s="50">
        <v>3.0</v>
      </c>
      <c r="AK230" s="50">
        <v>40.0</v>
      </c>
      <c r="AL230" s="50">
        <v>7.0</v>
      </c>
      <c r="AM230" s="50">
        <v>1000.0</v>
      </c>
      <c r="AN230" s="50">
        <v>3.0</v>
      </c>
      <c r="AO230" s="50">
        <v>8.0</v>
      </c>
      <c r="AP230" s="50">
        <v>1.0</v>
      </c>
      <c r="AQ230" s="50">
        <v>7.0</v>
      </c>
      <c r="AR230" s="50">
        <v>100.0</v>
      </c>
      <c r="AS230" s="50">
        <v>3.0</v>
      </c>
      <c r="AT230" s="50">
        <v>1.0</v>
      </c>
      <c r="AU230" s="50">
        <v>0.0</v>
      </c>
      <c r="AV230" s="116"/>
      <c r="AW230" s="116"/>
      <c r="AX230" s="116"/>
      <c r="AY230" s="116"/>
      <c r="AZ230" s="116"/>
      <c r="BA230" s="116"/>
      <c r="BB230" s="116"/>
      <c r="BC230" s="116"/>
      <c r="BD230" s="116"/>
      <c r="BE230" s="116"/>
      <c r="BF230" s="116"/>
      <c r="BG230" s="116"/>
      <c r="BH230" s="116"/>
      <c r="BI230" s="116"/>
      <c r="BJ230" s="116"/>
      <c r="BK230" s="116"/>
      <c r="BL230" s="116"/>
      <c r="BM230" s="116"/>
      <c r="BN230" s="116"/>
      <c r="BO230" s="116"/>
      <c r="BP230" s="116"/>
      <c r="BQ230" s="116"/>
      <c r="BR230" s="116"/>
      <c r="BS230" s="116"/>
      <c r="BT230" s="116"/>
      <c r="BU230" s="116"/>
      <c r="BV230" s="116"/>
      <c r="BW230" s="116"/>
      <c r="BX230" s="116"/>
      <c r="BY230" s="116"/>
      <c r="BZ230" s="116"/>
      <c r="CA230" s="116"/>
      <c r="CB230" s="116"/>
      <c r="CC230" s="50" t="s">
        <v>16259</v>
      </c>
      <c r="CD230" s="145">
        <v>43503.0</v>
      </c>
      <c r="CE230" s="50">
        <v>1.0</v>
      </c>
      <c r="CF230" s="50" t="s">
        <v>15555</v>
      </c>
      <c r="CG230" s="117">
        <v>5207.0</v>
      </c>
      <c r="CH230" s="50" t="s">
        <v>16260</v>
      </c>
      <c r="CI230" s="50" t="s">
        <v>16261</v>
      </c>
      <c r="CJ230" s="117">
        <v>229.0</v>
      </c>
    </row>
    <row r="231">
      <c r="A231" s="50" t="s">
        <v>16262</v>
      </c>
      <c r="B231" s="50" t="s">
        <v>6876</v>
      </c>
      <c r="C231" s="50" t="s">
        <v>6877</v>
      </c>
      <c r="D231" s="50" t="s">
        <v>11623</v>
      </c>
      <c r="E231" s="50" t="s">
        <v>16264</v>
      </c>
      <c r="F231" s="50">
        <v>59.0</v>
      </c>
      <c r="G231" s="50">
        <v>1.0</v>
      </c>
      <c r="H231" s="50">
        <v>99.0</v>
      </c>
      <c r="I231" s="116"/>
      <c r="J231" s="116"/>
      <c r="K231" s="50" t="s">
        <v>1580</v>
      </c>
      <c r="L231" s="50" t="s">
        <v>1580</v>
      </c>
      <c r="M231" s="50" t="s">
        <v>16074</v>
      </c>
      <c r="N231" s="50" t="s">
        <v>16075</v>
      </c>
      <c r="O231" s="50" t="s">
        <v>16077</v>
      </c>
      <c r="P231" s="116"/>
      <c r="Q231" s="116"/>
      <c r="R231" s="116"/>
      <c r="S231" s="50">
        <v>7.0</v>
      </c>
      <c r="T231" s="50">
        <v>1000.0</v>
      </c>
      <c r="U231" s="50">
        <v>3.0</v>
      </c>
      <c r="V231" s="50">
        <v>0.0</v>
      </c>
      <c r="W231" s="116"/>
      <c r="X231" s="116"/>
      <c r="Y231" s="116"/>
      <c r="Z231" s="116"/>
      <c r="AA231" s="116"/>
      <c r="AB231" s="116"/>
      <c r="AC231" s="116"/>
      <c r="AD231" s="116"/>
      <c r="AE231" s="116"/>
      <c r="AF231" s="116"/>
      <c r="AG231" s="116"/>
      <c r="AH231" s="50">
        <v>7.0</v>
      </c>
      <c r="AI231" s="50">
        <v>1000.0</v>
      </c>
      <c r="AJ231" s="50">
        <v>3.0</v>
      </c>
      <c r="AK231" s="50">
        <v>0.0</v>
      </c>
      <c r="AL231" s="116"/>
      <c r="AM231" s="116"/>
      <c r="AN231" s="116"/>
      <c r="AO231" s="116"/>
      <c r="AP231" s="116"/>
      <c r="AQ231" s="116"/>
      <c r="AR231" s="116"/>
      <c r="AS231" s="116"/>
      <c r="AT231" s="116"/>
      <c r="AU231" s="50">
        <v>0.0</v>
      </c>
      <c r="AV231" s="116"/>
      <c r="AW231" s="116"/>
      <c r="AX231" s="116"/>
      <c r="AY231" s="116"/>
      <c r="AZ231" s="116"/>
      <c r="BA231" s="116"/>
      <c r="BB231" s="116"/>
      <c r="BC231" s="116"/>
      <c r="BD231" s="116"/>
      <c r="BE231" s="116"/>
      <c r="BF231" s="116"/>
      <c r="BG231" s="116"/>
      <c r="BH231" s="116"/>
      <c r="BI231" s="116"/>
      <c r="BJ231" s="116"/>
      <c r="BK231" s="116"/>
      <c r="BL231" s="116"/>
      <c r="BM231" s="116"/>
      <c r="BN231" s="116"/>
      <c r="BO231" s="116"/>
      <c r="BP231" s="116"/>
      <c r="BQ231" s="116"/>
      <c r="BR231" s="116"/>
      <c r="BS231" s="116"/>
      <c r="BT231" s="116"/>
      <c r="BU231" s="116"/>
      <c r="BV231" s="116"/>
      <c r="BW231" s="116"/>
      <c r="BX231" s="116"/>
      <c r="BY231" s="116"/>
      <c r="BZ231" s="116"/>
      <c r="CA231" s="116"/>
      <c r="CB231" s="116"/>
      <c r="CC231" s="50" t="s">
        <v>16272</v>
      </c>
      <c r="CD231" s="145">
        <v>43503.0</v>
      </c>
      <c r="CE231" s="50">
        <v>1.0</v>
      </c>
      <c r="CF231" s="50" t="s">
        <v>15555</v>
      </c>
      <c r="CG231" s="117">
        <v>5208.0</v>
      </c>
      <c r="CH231" s="50" t="s">
        <v>16273</v>
      </c>
      <c r="CI231" s="50" t="s">
        <v>16275</v>
      </c>
      <c r="CJ231" s="117">
        <v>230.0</v>
      </c>
    </row>
    <row r="232">
      <c r="A232" s="50" t="s">
        <v>16276</v>
      </c>
      <c r="B232" s="50" t="s">
        <v>6876</v>
      </c>
      <c r="C232" s="50" t="s">
        <v>6877</v>
      </c>
      <c r="D232" s="50" t="s">
        <v>11623</v>
      </c>
      <c r="E232" s="50" t="s">
        <v>16278</v>
      </c>
      <c r="F232" s="50">
        <v>59.0</v>
      </c>
      <c r="G232" s="50">
        <v>1.0</v>
      </c>
      <c r="H232" s="50">
        <v>11.0</v>
      </c>
      <c r="I232" s="116"/>
      <c r="J232" s="116"/>
      <c r="K232" s="50" t="s">
        <v>1582</v>
      </c>
      <c r="L232" s="50" t="s">
        <v>1582</v>
      </c>
      <c r="M232" s="50" t="s">
        <v>16074</v>
      </c>
      <c r="N232" s="50" t="s">
        <v>16075</v>
      </c>
      <c r="O232" s="50" t="s">
        <v>16077</v>
      </c>
      <c r="P232" s="50">
        <v>4.0</v>
      </c>
      <c r="Q232" s="116"/>
      <c r="R232" s="116"/>
      <c r="S232" s="50">
        <v>7.0</v>
      </c>
      <c r="T232" s="50">
        <v>1000.0</v>
      </c>
      <c r="U232" s="50">
        <v>1.0</v>
      </c>
      <c r="V232" s="116"/>
      <c r="W232" s="50">
        <v>7.0</v>
      </c>
      <c r="X232" s="50">
        <v>100.0</v>
      </c>
      <c r="Y232" s="50">
        <v>3.0</v>
      </c>
      <c r="Z232" s="50">
        <v>110.0</v>
      </c>
      <c r="AA232" s="50">
        <v>1.0</v>
      </c>
      <c r="AB232" s="50">
        <v>4.0</v>
      </c>
      <c r="AC232" s="50">
        <v>1000.0</v>
      </c>
      <c r="AD232" s="50">
        <v>3.0</v>
      </c>
      <c r="AE232" s="50">
        <v>4.0</v>
      </c>
      <c r="AF232" s="116"/>
      <c r="AG232" s="116"/>
      <c r="AH232" s="50">
        <v>7.0</v>
      </c>
      <c r="AI232" s="50">
        <v>5000.0</v>
      </c>
      <c r="AJ232" s="50">
        <v>3.0</v>
      </c>
      <c r="AK232" s="50">
        <v>123.0</v>
      </c>
      <c r="AL232" s="50">
        <v>7.0</v>
      </c>
      <c r="AM232" s="50">
        <v>1000.0</v>
      </c>
      <c r="AN232" s="50">
        <v>3.0</v>
      </c>
      <c r="AO232" s="50">
        <v>43.0</v>
      </c>
      <c r="AP232" s="50">
        <v>1.0</v>
      </c>
      <c r="AQ232" s="50">
        <v>7.0</v>
      </c>
      <c r="AR232" s="50">
        <v>100.0</v>
      </c>
      <c r="AS232" s="50">
        <v>3.0</v>
      </c>
      <c r="AT232" s="50">
        <v>4.0</v>
      </c>
      <c r="AU232" s="50">
        <v>0.0</v>
      </c>
      <c r="AV232" s="116"/>
      <c r="AW232" s="116"/>
      <c r="AX232" s="116"/>
      <c r="AY232" s="116"/>
      <c r="AZ232" s="116"/>
      <c r="BA232" s="116"/>
      <c r="BB232" s="116"/>
      <c r="BC232" s="116"/>
      <c r="BD232" s="116"/>
      <c r="BE232" s="116"/>
      <c r="BF232" s="116"/>
      <c r="BG232" s="116"/>
      <c r="BH232" s="116"/>
      <c r="BI232" s="116"/>
      <c r="BJ232" s="116"/>
      <c r="BK232" s="116"/>
      <c r="BL232" s="116"/>
      <c r="BM232" s="116"/>
      <c r="BN232" s="116"/>
      <c r="BO232" s="116"/>
      <c r="BP232" s="116"/>
      <c r="BQ232" s="116"/>
      <c r="BR232" s="116"/>
      <c r="BS232" s="116"/>
      <c r="BT232" s="116"/>
      <c r="BU232" s="116"/>
      <c r="BV232" s="116"/>
      <c r="BW232" s="116"/>
      <c r="BX232" s="116"/>
      <c r="BY232" s="116"/>
      <c r="BZ232" s="116"/>
      <c r="CA232" s="116"/>
      <c r="CB232" s="116"/>
      <c r="CC232" s="50" t="s">
        <v>14743</v>
      </c>
      <c r="CD232" s="145">
        <v>43503.0</v>
      </c>
      <c r="CE232" s="50">
        <v>1.0</v>
      </c>
      <c r="CF232" s="50" t="s">
        <v>15555</v>
      </c>
      <c r="CG232" s="117">
        <v>5209.0</v>
      </c>
      <c r="CH232" s="50" t="s">
        <v>16295</v>
      </c>
      <c r="CI232" s="50" t="s">
        <v>16296</v>
      </c>
      <c r="CJ232" s="117">
        <v>231.0</v>
      </c>
    </row>
    <row r="233">
      <c r="A233" s="50" t="s">
        <v>16298</v>
      </c>
      <c r="B233" s="50" t="s">
        <v>6876</v>
      </c>
      <c r="C233" s="50" t="s">
        <v>6877</v>
      </c>
      <c r="D233" s="50" t="s">
        <v>11623</v>
      </c>
      <c r="E233" s="50" t="s">
        <v>16299</v>
      </c>
      <c r="F233" s="50">
        <v>59.0</v>
      </c>
      <c r="G233" s="50">
        <v>1.0</v>
      </c>
      <c r="H233" s="50">
        <v>99.0</v>
      </c>
      <c r="I233" s="116"/>
      <c r="J233" s="116"/>
      <c r="K233" s="50" t="s">
        <v>275</v>
      </c>
      <c r="L233" s="50" t="s">
        <v>275</v>
      </c>
      <c r="M233" s="50" t="s">
        <v>16074</v>
      </c>
      <c r="N233" s="50" t="s">
        <v>16075</v>
      </c>
      <c r="O233" s="50" t="s">
        <v>16077</v>
      </c>
      <c r="P233" s="116"/>
      <c r="Q233" s="116"/>
      <c r="R233" s="116"/>
      <c r="S233" s="50">
        <v>7.0</v>
      </c>
      <c r="T233" s="50">
        <v>1000.0</v>
      </c>
      <c r="U233" s="50">
        <v>3.0</v>
      </c>
      <c r="V233" s="50">
        <v>0.0</v>
      </c>
      <c r="W233" s="116"/>
      <c r="X233" s="116"/>
      <c r="Y233" s="116"/>
      <c r="Z233" s="116"/>
      <c r="AA233" s="116"/>
      <c r="AB233" s="116"/>
      <c r="AC233" s="116"/>
      <c r="AD233" s="116"/>
      <c r="AE233" s="116"/>
      <c r="AF233" s="116"/>
      <c r="AG233" s="116"/>
      <c r="AH233" s="50">
        <v>7.0</v>
      </c>
      <c r="AI233" s="50">
        <v>1000.0</v>
      </c>
      <c r="AJ233" s="50">
        <v>3.0</v>
      </c>
      <c r="AK233" s="50">
        <v>0.0</v>
      </c>
      <c r="AL233" s="116"/>
      <c r="AM233" s="116"/>
      <c r="AN233" s="116"/>
      <c r="AO233" s="116"/>
      <c r="AP233" s="116"/>
      <c r="AQ233" s="116"/>
      <c r="AR233" s="116"/>
      <c r="AS233" s="116"/>
      <c r="AT233" s="116"/>
      <c r="AU233" s="50">
        <v>0.0</v>
      </c>
      <c r="AV233" s="116"/>
      <c r="AW233" s="116"/>
      <c r="AX233" s="116"/>
      <c r="AY233" s="116"/>
      <c r="AZ233" s="116"/>
      <c r="BA233" s="116"/>
      <c r="BB233" s="116"/>
      <c r="BC233" s="116"/>
      <c r="BD233" s="116"/>
      <c r="BE233" s="116"/>
      <c r="BF233" s="116"/>
      <c r="BG233" s="116"/>
      <c r="BH233" s="116"/>
      <c r="BI233" s="116"/>
      <c r="BJ233" s="116"/>
      <c r="BK233" s="116"/>
      <c r="BL233" s="116"/>
      <c r="BM233" s="116"/>
      <c r="BN233" s="116"/>
      <c r="BO233" s="116"/>
      <c r="BP233" s="116"/>
      <c r="BQ233" s="116"/>
      <c r="BR233" s="116"/>
      <c r="BS233" s="116"/>
      <c r="BT233" s="116"/>
      <c r="BU233" s="116"/>
      <c r="BV233" s="116"/>
      <c r="BW233" s="116"/>
      <c r="BX233" s="116"/>
      <c r="BY233" s="116"/>
      <c r="BZ233" s="116"/>
      <c r="CA233" s="116"/>
      <c r="CB233" s="116"/>
      <c r="CC233" s="50" t="s">
        <v>16310</v>
      </c>
      <c r="CD233" s="145">
        <v>43503.0</v>
      </c>
      <c r="CE233" s="50">
        <v>1.0</v>
      </c>
      <c r="CF233" s="50" t="s">
        <v>15555</v>
      </c>
      <c r="CG233" s="117">
        <v>5210.0</v>
      </c>
      <c r="CH233" s="50" t="s">
        <v>16311</v>
      </c>
      <c r="CI233" s="50" t="s">
        <v>16312</v>
      </c>
      <c r="CJ233" s="117">
        <v>232.0</v>
      </c>
    </row>
    <row r="234">
      <c r="A234" s="50" t="s">
        <v>16314</v>
      </c>
      <c r="B234" s="50" t="s">
        <v>6876</v>
      </c>
      <c r="C234" s="50" t="s">
        <v>6877</v>
      </c>
      <c r="D234" s="50" t="s">
        <v>11623</v>
      </c>
      <c r="E234" s="50" t="s">
        <v>16315</v>
      </c>
      <c r="F234" s="50">
        <v>59.0</v>
      </c>
      <c r="G234" s="50">
        <v>1.0</v>
      </c>
      <c r="H234" s="50">
        <v>11.0</v>
      </c>
      <c r="I234" s="116"/>
      <c r="J234" s="116"/>
      <c r="K234" s="50" t="s">
        <v>1583</v>
      </c>
      <c r="L234" s="50" t="s">
        <v>1583</v>
      </c>
      <c r="M234" s="50" t="s">
        <v>16074</v>
      </c>
      <c r="N234" s="50" t="s">
        <v>16075</v>
      </c>
      <c r="O234" s="50" t="s">
        <v>16077</v>
      </c>
      <c r="P234" s="50">
        <v>4.0</v>
      </c>
      <c r="Q234" s="116"/>
      <c r="R234" s="116"/>
      <c r="S234" s="50">
        <v>7.0</v>
      </c>
      <c r="T234" s="50">
        <v>1000.0</v>
      </c>
      <c r="U234" s="50">
        <v>1.0</v>
      </c>
      <c r="V234" s="116"/>
      <c r="W234" s="50">
        <v>7.0</v>
      </c>
      <c r="X234" s="50">
        <v>100.0</v>
      </c>
      <c r="Y234" s="50">
        <v>3.0</v>
      </c>
      <c r="Z234" s="50">
        <v>92.0</v>
      </c>
      <c r="AA234" s="50">
        <v>1.0</v>
      </c>
      <c r="AB234" s="50">
        <v>4.0</v>
      </c>
      <c r="AC234" s="50">
        <v>1000.0</v>
      </c>
      <c r="AD234" s="50">
        <v>3.0</v>
      </c>
      <c r="AE234" s="50">
        <v>7.0</v>
      </c>
      <c r="AF234" s="116"/>
      <c r="AG234" s="116"/>
      <c r="AH234" s="50">
        <v>7.0</v>
      </c>
      <c r="AI234" s="50">
        <v>5000.0</v>
      </c>
      <c r="AJ234" s="50">
        <v>3.0</v>
      </c>
      <c r="AK234" s="50">
        <v>0.0</v>
      </c>
      <c r="AL234" s="50">
        <v>7.0</v>
      </c>
      <c r="AM234" s="50">
        <v>1000.0</v>
      </c>
      <c r="AN234" s="50">
        <v>3.0</v>
      </c>
      <c r="AO234" s="50">
        <v>0.0</v>
      </c>
      <c r="AP234" s="50">
        <v>1.0</v>
      </c>
      <c r="AQ234" s="50">
        <v>7.0</v>
      </c>
      <c r="AR234" s="50">
        <v>100.0</v>
      </c>
      <c r="AS234" s="50">
        <v>3.0</v>
      </c>
      <c r="AT234" s="50">
        <v>0.0</v>
      </c>
      <c r="AU234" s="50">
        <v>0.0</v>
      </c>
      <c r="AV234" s="116"/>
      <c r="AW234" s="116"/>
      <c r="AX234" s="116"/>
      <c r="AY234" s="116"/>
      <c r="AZ234" s="116"/>
      <c r="BA234" s="116"/>
      <c r="BB234" s="116"/>
      <c r="BC234" s="116"/>
      <c r="BD234" s="116"/>
      <c r="BE234" s="116"/>
      <c r="BF234" s="116"/>
      <c r="BG234" s="116"/>
      <c r="BH234" s="116"/>
      <c r="BI234" s="116"/>
      <c r="BJ234" s="116"/>
      <c r="BK234" s="116"/>
      <c r="BL234" s="116"/>
      <c r="BM234" s="116"/>
      <c r="BN234" s="116"/>
      <c r="BO234" s="116"/>
      <c r="BP234" s="116"/>
      <c r="BQ234" s="116"/>
      <c r="BR234" s="116"/>
      <c r="BS234" s="116"/>
      <c r="BT234" s="116"/>
      <c r="BU234" s="116"/>
      <c r="BV234" s="116"/>
      <c r="BW234" s="116"/>
      <c r="BX234" s="116"/>
      <c r="BY234" s="116"/>
      <c r="BZ234" s="116"/>
      <c r="CA234" s="116"/>
      <c r="CB234" s="116"/>
      <c r="CC234" s="50" t="s">
        <v>14743</v>
      </c>
      <c r="CD234" s="145">
        <v>43503.0</v>
      </c>
      <c r="CE234" s="50">
        <v>1.0</v>
      </c>
      <c r="CF234" s="50" t="s">
        <v>15555</v>
      </c>
      <c r="CG234" s="117">
        <v>5211.0</v>
      </c>
      <c r="CH234" s="50" t="s">
        <v>16325</v>
      </c>
      <c r="CI234" s="50" t="s">
        <v>16326</v>
      </c>
      <c r="CJ234" s="117">
        <v>233.0</v>
      </c>
    </row>
    <row r="235">
      <c r="A235" s="50" t="s">
        <v>16328</v>
      </c>
      <c r="B235" s="50" t="s">
        <v>6876</v>
      </c>
      <c r="C235" s="50" t="s">
        <v>6877</v>
      </c>
      <c r="D235" s="50" t="s">
        <v>11623</v>
      </c>
      <c r="E235" s="50" t="s">
        <v>16330</v>
      </c>
      <c r="F235" s="50">
        <v>59.0</v>
      </c>
      <c r="G235" s="50">
        <v>1.0</v>
      </c>
      <c r="H235" s="50">
        <v>99.0</v>
      </c>
      <c r="I235" s="116"/>
      <c r="J235" s="116"/>
      <c r="K235" s="50" t="s">
        <v>1584</v>
      </c>
      <c r="L235" s="50" t="s">
        <v>1584</v>
      </c>
      <c r="M235" s="50" t="s">
        <v>16074</v>
      </c>
      <c r="N235" s="50" t="s">
        <v>16075</v>
      </c>
      <c r="O235" s="50" t="s">
        <v>16077</v>
      </c>
      <c r="P235" s="116"/>
      <c r="Q235" s="116"/>
      <c r="R235" s="116"/>
      <c r="S235" s="50">
        <v>7.0</v>
      </c>
      <c r="T235" s="50">
        <v>1000.0</v>
      </c>
      <c r="U235" s="50">
        <v>3.0</v>
      </c>
      <c r="V235" s="50">
        <v>0.0</v>
      </c>
      <c r="W235" s="116"/>
      <c r="X235" s="116"/>
      <c r="Y235" s="116"/>
      <c r="Z235" s="116"/>
      <c r="AA235" s="116"/>
      <c r="AB235" s="116"/>
      <c r="AC235" s="116"/>
      <c r="AD235" s="116"/>
      <c r="AE235" s="116"/>
      <c r="AF235" s="116"/>
      <c r="AG235" s="116"/>
      <c r="AH235" s="50">
        <v>7.0</v>
      </c>
      <c r="AI235" s="50">
        <v>1000.0</v>
      </c>
      <c r="AJ235" s="50">
        <v>3.0</v>
      </c>
      <c r="AK235" s="50">
        <v>0.0</v>
      </c>
      <c r="AL235" s="116"/>
      <c r="AM235" s="116"/>
      <c r="AN235" s="116"/>
      <c r="AO235" s="116"/>
      <c r="AP235" s="116"/>
      <c r="AQ235" s="116"/>
      <c r="AR235" s="116"/>
      <c r="AS235" s="116"/>
      <c r="AT235" s="116"/>
      <c r="AU235" s="50">
        <v>0.0</v>
      </c>
      <c r="AV235" s="116"/>
      <c r="AW235" s="116"/>
      <c r="AX235" s="116"/>
      <c r="AY235" s="116"/>
      <c r="AZ235" s="116"/>
      <c r="BA235" s="116"/>
      <c r="BB235" s="116"/>
      <c r="BC235" s="116"/>
      <c r="BD235" s="116"/>
      <c r="BE235" s="116"/>
      <c r="BF235" s="116"/>
      <c r="BG235" s="116"/>
      <c r="BH235" s="116"/>
      <c r="BI235" s="116"/>
      <c r="BJ235" s="116"/>
      <c r="BK235" s="116"/>
      <c r="BL235" s="116"/>
      <c r="BM235" s="116"/>
      <c r="BN235" s="116"/>
      <c r="BO235" s="116"/>
      <c r="BP235" s="116"/>
      <c r="BQ235" s="116"/>
      <c r="BR235" s="116"/>
      <c r="BS235" s="116"/>
      <c r="BT235" s="116"/>
      <c r="BU235" s="116"/>
      <c r="BV235" s="116"/>
      <c r="BW235" s="116"/>
      <c r="BX235" s="116"/>
      <c r="BY235" s="116"/>
      <c r="BZ235" s="116"/>
      <c r="CA235" s="116"/>
      <c r="CB235" s="116"/>
      <c r="CC235" s="50" t="s">
        <v>16339</v>
      </c>
      <c r="CD235" s="145">
        <v>43503.0</v>
      </c>
      <c r="CE235" s="50">
        <v>1.0</v>
      </c>
      <c r="CF235" s="50" t="s">
        <v>15555</v>
      </c>
      <c r="CG235" s="117">
        <v>5212.0</v>
      </c>
      <c r="CH235" s="50" t="s">
        <v>16342</v>
      </c>
      <c r="CI235" s="50" t="s">
        <v>16343</v>
      </c>
      <c r="CJ235" s="117">
        <v>234.0</v>
      </c>
    </row>
    <row r="236">
      <c r="A236" s="50" t="s">
        <v>16344</v>
      </c>
      <c r="B236" s="50" t="s">
        <v>6876</v>
      </c>
      <c r="C236" s="50" t="s">
        <v>6877</v>
      </c>
      <c r="D236" s="50" t="s">
        <v>11623</v>
      </c>
      <c r="E236" s="50" t="s">
        <v>16346</v>
      </c>
      <c r="F236" s="50">
        <v>59.0</v>
      </c>
      <c r="G236" s="50">
        <v>1.0</v>
      </c>
      <c r="H236" s="50">
        <v>11.0</v>
      </c>
      <c r="I236" s="116"/>
      <c r="J236" s="116"/>
      <c r="K236" s="50" t="s">
        <v>1586</v>
      </c>
      <c r="L236" s="50" t="s">
        <v>1586</v>
      </c>
      <c r="M236" s="50" t="s">
        <v>16074</v>
      </c>
      <c r="N236" s="50" t="s">
        <v>16075</v>
      </c>
      <c r="O236" s="50" t="s">
        <v>16077</v>
      </c>
      <c r="P236" s="50">
        <v>4.0</v>
      </c>
      <c r="Q236" s="116"/>
      <c r="R236" s="116"/>
      <c r="S236" s="50">
        <v>7.0</v>
      </c>
      <c r="T236" s="50">
        <v>1000.0</v>
      </c>
      <c r="U236" s="50">
        <v>3.0</v>
      </c>
      <c r="V236" s="50">
        <v>0.0</v>
      </c>
      <c r="W236" s="50">
        <v>7.0</v>
      </c>
      <c r="X236" s="50">
        <v>100.0</v>
      </c>
      <c r="Y236" s="50">
        <v>1.0</v>
      </c>
      <c r="Z236" s="116"/>
      <c r="AA236" s="50">
        <v>1.0</v>
      </c>
      <c r="AB236" s="50">
        <v>4.0</v>
      </c>
      <c r="AC236" s="50">
        <v>1000.0</v>
      </c>
      <c r="AD236" s="50">
        <v>3.0</v>
      </c>
      <c r="AE236" s="50">
        <v>6.0</v>
      </c>
      <c r="AF236" s="116"/>
      <c r="AG236" s="116"/>
      <c r="AH236" s="50">
        <v>7.0</v>
      </c>
      <c r="AI236" s="50">
        <v>5000.0</v>
      </c>
      <c r="AJ236" s="50">
        <v>3.0</v>
      </c>
      <c r="AK236" s="50">
        <v>54.0</v>
      </c>
      <c r="AL236" s="50">
        <v>7.0</v>
      </c>
      <c r="AM236" s="50">
        <v>1000.0</v>
      </c>
      <c r="AN236" s="50">
        <v>3.0</v>
      </c>
      <c r="AO236" s="50">
        <v>11.0</v>
      </c>
      <c r="AP236" s="50">
        <v>1.0</v>
      </c>
      <c r="AQ236" s="50">
        <v>7.0</v>
      </c>
      <c r="AR236" s="50">
        <v>100.0</v>
      </c>
      <c r="AS236" s="50">
        <v>3.0</v>
      </c>
      <c r="AT236" s="50">
        <v>1.0</v>
      </c>
      <c r="AU236" s="50">
        <v>0.0</v>
      </c>
      <c r="AV236" s="116"/>
      <c r="AW236" s="116"/>
      <c r="AX236" s="116"/>
      <c r="AY236" s="116"/>
      <c r="AZ236" s="116"/>
      <c r="BA236" s="116"/>
      <c r="BB236" s="116"/>
      <c r="BC236" s="116"/>
      <c r="BD236" s="116"/>
      <c r="BE236" s="116"/>
      <c r="BF236" s="116"/>
      <c r="BG236" s="116"/>
      <c r="BH236" s="116"/>
      <c r="BI236" s="116"/>
      <c r="BJ236" s="116"/>
      <c r="BK236" s="116"/>
      <c r="BL236" s="116"/>
      <c r="BM236" s="116"/>
      <c r="BN236" s="116"/>
      <c r="BO236" s="116"/>
      <c r="BP236" s="116"/>
      <c r="BQ236" s="116"/>
      <c r="BR236" s="116"/>
      <c r="BS236" s="116"/>
      <c r="BT236" s="116"/>
      <c r="BU236" s="116"/>
      <c r="BV236" s="116"/>
      <c r="BW236" s="116"/>
      <c r="BX236" s="116"/>
      <c r="BY236" s="116"/>
      <c r="BZ236" s="116"/>
      <c r="CA236" s="116"/>
      <c r="CB236" s="116"/>
      <c r="CC236" s="50" t="s">
        <v>14680</v>
      </c>
      <c r="CD236" s="145">
        <v>43503.0</v>
      </c>
      <c r="CE236" s="50">
        <v>1.0</v>
      </c>
      <c r="CF236" s="50" t="s">
        <v>15555</v>
      </c>
      <c r="CG236" s="117">
        <v>5213.0</v>
      </c>
      <c r="CH236" s="50" t="s">
        <v>16360</v>
      </c>
      <c r="CI236" s="50" t="s">
        <v>16361</v>
      </c>
      <c r="CJ236" s="117">
        <v>235.0</v>
      </c>
    </row>
    <row r="237">
      <c r="A237" s="50" t="s">
        <v>16362</v>
      </c>
      <c r="B237" s="50" t="s">
        <v>6876</v>
      </c>
      <c r="C237" s="50" t="s">
        <v>6877</v>
      </c>
      <c r="D237" s="50" t="s">
        <v>11623</v>
      </c>
      <c r="E237" s="50" t="s">
        <v>16363</v>
      </c>
      <c r="F237" s="50">
        <v>59.0</v>
      </c>
      <c r="G237" s="50">
        <v>1.0</v>
      </c>
      <c r="H237" s="50">
        <v>99.0</v>
      </c>
      <c r="I237" s="116"/>
      <c r="J237" s="116"/>
      <c r="K237" s="50" t="s">
        <v>1587</v>
      </c>
      <c r="L237" s="50" t="s">
        <v>1587</v>
      </c>
      <c r="M237" s="50" t="s">
        <v>16074</v>
      </c>
      <c r="N237" s="50" t="s">
        <v>16075</v>
      </c>
      <c r="O237" s="50" t="s">
        <v>16077</v>
      </c>
      <c r="P237" s="116"/>
      <c r="Q237" s="116"/>
      <c r="R237" s="116"/>
      <c r="S237" s="50">
        <v>7.0</v>
      </c>
      <c r="T237" s="50">
        <v>1000.0</v>
      </c>
      <c r="U237" s="50">
        <v>3.0</v>
      </c>
      <c r="V237" s="50">
        <v>0.0</v>
      </c>
      <c r="W237" s="116"/>
      <c r="X237" s="116"/>
      <c r="Y237" s="116"/>
      <c r="Z237" s="116"/>
      <c r="AA237" s="116"/>
      <c r="AB237" s="116"/>
      <c r="AC237" s="116"/>
      <c r="AD237" s="116"/>
      <c r="AE237" s="116"/>
      <c r="AF237" s="116"/>
      <c r="AG237" s="116"/>
      <c r="AH237" s="50">
        <v>7.0</v>
      </c>
      <c r="AI237" s="50">
        <v>1000.0</v>
      </c>
      <c r="AJ237" s="50">
        <v>3.0</v>
      </c>
      <c r="AK237" s="50">
        <v>0.0</v>
      </c>
      <c r="AL237" s="116"/>
      <c r="AM237" s="116"/>
      <c r="AN237" s="116"/>
      <c r="AO237" s="116"/>
      <c r="AP237" s="116"/>
      <c r="AQ237" s="116"/>
      <c r="AR237" s="116"/>
      <c r="AS237" s="116"/>
      <c r="AT237" s="116"/>
      <c r="AU237" s="50">
        <v>0.0</v>
      </c>
      <c r="AV237" s="116"/>
      <c r="AW237" s="116"/>
      <c r="AX237" s="116"/>
      <c r="AY237" s="116"/>
      <c r="AZ237" s="116"/>
      <c r="BA237" s="116"/>
      <c r="BB237" s="116"/>
      <c r="BC237" s="116"/>
      <c r="BD237" s="116"/>
      <c r="BE237" s="116"/>
      <c r="BF237" s="116"/>
      <c r="BG237" s="116"/>
      <c r="BH237" s="116"/>
      <c r="BI237" s="116"/>
      <c r="BJ237" s="116"/>
      <c r="BK237" s="116"/>
      <c r="BL237" s="116"/>
      <c r="BM237" s="116"/>
      <c r="BN237" s="116"/>
      <c r="BO237" s="116"/>
      <c r="BP237" s="116"/>
      <c r="BQ237" s="116"/>
      <c r="BR237" s="116"/>
      <c r="BS237" s="116"/>
      <c r="BT237" s="116"/>
      <c r="BU237" s="116"/>
      <c r="BV237" s="116"/>
      <c r="BW237" s="116"/>
      <c r="BX237" s="116"/>
      <c r="BY237" s="116"/>
      <c r="BZ237" s="116"/>
      <c r="CA237" s="116"/>
      <c r="CB237" s="116"/>
      <c r="CC237" s="50" t="s">
        <v>16376</v>
      </c>
      <c r="CD237" s="145">
        <v>43503.0</v>
      </c>
      <c r="CE237" s="50">
        <v>1.0</v>
      </c>
      <c r="CF237" s="50" t="s">
        <v>15555</v>
      </c>
      <c r="CG237" s="117">
        <v>5214.0</v>
      </c>
      <c r="CH237" s="50" t="s">
        <v>16378</v>
      </c>
      <c r="CI237" s="50" t="s">
        <v>16379</v>
      </c>
      <c r="CJ237" s="117">
        <v>236.0</v>
      </c>
    </row>
    <row r="238">
      <c r="A238" s="50" t="s">
        <v>16381</v>
      </c>
      <c r="B238" s="50" t="s">
        <v>6876</v>
      </c>
      <c r="C238" s="50" t="s">
        <v>6877</v>
      </c>
      <c r="D238" s="50" t="s">
        <v>11623</v>
      </c>
      <c r="E238" s="50" t="s">
        <v>16383</v>
      </c>
      <c r="F238" s="50">
        <v>59.0</v>
      </c>
      <c r="G238" s="50">
        <v>1.0</v>
      </c>
      <c r="H238" s="50">
        <v>11.0</v>
      </c>
      <c r="I238" s="116"/>
      <c r="J238" s="116"/>
      <c r="K238" s="50" t="s">
        <v>1589</v>
      </c>
      <c r="L238" s="50" t="s">
        <v>1589</v>
      </c>
      <c r="M238" s="50" t="s">
        <v>16074</v>
      </c>
      <c r="N238" s="50" t="s">
        <v>16075</v>
      </c>
      <c r="O238" s="50" t="s">
        <v>16077</v>
      </c>
      <c r="P238" s="50">
        <v>4.0</v>
      </c>
      <c r="Q238" s="116"/>
      <c r="R238" s="116"/>
      <c r="S238" s="50">
        <v>7.0</v>
      </c>
      <c r="T238" s="50">
        <v>1000.0</v>
      </c>
      <c r="U238" s="50">
        <v>3.0</v>
      </c>
      <c r="V238" s="50">
        <v>0.0</v>
      </c>
      <c r="W238" s="50">
        <v>7.0</v>
      </c>
      <c r="X238" s="50">
        <v>100.0</v>
      </c>
      <c r="Y238" s="50">
        <v>1.0</v>
      </c>
      <c r="Z238" s="116"/>
      <c r="AA238" s="50">
        <v>1.0</v>
      </c>
      <c r="AB238" s="50">
        <v>4.0</v>
      </c>
      <c r="AC238" s="50">
        <v>1000.0</v>
      </c>
      <c r="AD238" s="50">
        <v>3.0</v>
      </c>
      <c r="AE238" s="50">
        <v>3.0</v>
      </c>
      <c r="AF238" s="116"/>
      <c r="AG238" s="116"/>
      <c r="AH238" s="50">
        <v>7.0</v>
      </c>
      <c r="AI238" s="50">
        <v>5000.0</v>
      </c>
      <c r="AJ238" s="50">
        <v>3.0</v>
      </c>
      <c r="AK238" s="50">
        <v>0.0</v>
      </c>
      <c r="AL238" s="50">
        <v>7.0</v>
      </c>
      <c r="AM238" s="50">
        <v>1000.0</v>
      </c>
      <c r="AN238" s="50">
        <v>3.0</v>
      </c>
      <c r="AO238" s="50">
        <v>0.0</v>
      </c>
      <c r="AP238" s="50">
        <v>1.0</v>
      </c>
      <c r="AQ238" s="50">
        <v>7.0</v>
      </c>
      <c r="AR238" s="50">
        <v>100.0</v>
      </c>
      <c r="AS238" s="50">
        <v>3.0</v>
      </c>
      <c r="AT238" s="50">
        <v>0.0</v>
      </c>
      <c r="AU238" s="50">
        <v>0.0</v>
      </c>
      <c r="AV238" s="116"/>
      <c r="AW238" s="116"/>
      <c r="AX238" s="116"/>
      <c r="AY238" s="116"/>
      <c r="AZ238" s="116"/>
      <c r="BA238" s="116"/>
      <c r="BB238" s="116"/>
      <c r="BC238" s="116"/>
      <c r="BD238" s="116"/>
      <c r="BE238" s="116"/>
      <c r="BF238" s="116"/>
      <c r="BG238" s="116"/>
      <c r="BH238" s="116"/>
      <c r="BI238" s="116"/>
      <c r="BJ238" s="116"/>
      <c r="BK238" s="116"/>
      <c r="BL238" s="116"/>
      <c r="BM238" s="116"/>
      <c r="BN238" s="116"/>
      <c r="BO238" s="116"/>
      <c r="BP238" s="116"/>
      <c r="BQ238" s="116"/>
      <c r="BR238" s="116"/>
      <c r="BS238" s="116"/>
      <c r="BT238" s="116"/>
      <c r="BU238" s="116"/>
      <c r="BV238" s="116"/>
      <c r="BW238" s="116"/>
      <c r="BX238" s="116"/>
      <c r="BY238" s="116"/>
      <c r="BZ238" s="116"/>
      <c r="CA238" s="116"/>
      <c r="CB238" s="116"/>
      <c r="CC238" s="50" t="s">
        <v>14680</v>
      </c>
      <c r="CD238" s="145">
        <v>43503.0</v>
      </c>
      <c r="CE238" s="50">
        <v>1.0</v>
      </c>
      <c r="CF238" s="50" t="s">
        <v>15555</v>
      </c>
      <c r="CG238" s="117">
        <v>5215.0</v>
      </c>
      <c r="CH238" s="50" t="s">
        <v>16397</v>
      </c>
      <c r="CI238" s="50" t="s">
        <v>16398</v>
      </c>
      <c r="CJ238" s="117">
        <v>237.0</v>
      </c>
    </row>
    <row r="239">
      <c r="A239" s="50" t="s">
        <v>16400</v>
      </c>
      <c r="B239" s="50" t="s">
        <v>6876</v>
      </c>
      <c r="C239" s="50" t="s">
        <v>6877</v>
      </c>
      <c r="D239" s="50" t="s">
        <v>11623</v>
      </c>
      <c r="E239" s="50" t="s">
        <v>16402</v>
      </c>
      <c r="F239" s="50">
        <v>59.0</v>
      </c>
      <c r="G239" s="50">
        <v>1.0</v>
      </c>
      <c r="H239" s="50">
        <v>99.0</v>
      </c>
      <c r="I239" s="116"/>
      <c r="J239" s="116"/>
      <c r="K239" s="50" t="s">
        <v>1590</v>
      </c>
      <c r="L239" s="50" t="s">
        <v>1590</v>
      </c>
      <c r="M239" s="50" t="s">
        <v>16074</v>
      </c>
      <c r="N239" s="50" t="s">
        <v>16075</v>
      </c>
      <c r="O239" s="50" t="s">
        <v>16077</v>
      </c>
      <c r="P239" s="116"/>
      <c r="Q239" s="116"/>
      <c r="R239" s="116"/>
      <c r="S239" s="50">
        <v>7.0</v>
      </c>
      <c r="T239" s="50">
        <v>1000.0</v>
      </c>
      <c r="U239" s="50">
        <v>3.0</v>
      </c>
      <c r="V239" s="50">
        <v>0.0</v>
      </c>
      <c r="W239" s="116"/>
      <c r="X239" s="116"/>
      <c r="Y239" s="116"/>
      <c r="Z239" s="116"/>
      <c r="AA239" s="116"/>
      <c r="AB239" s="116"/>
      <c r="AC239" s="116"/>
      <c r="AD239" s="116"/>
      <c r="AE239" s="116"/>
      <c r="AF239" s="116"/>
      <c r="AG239" s="116"/>
      <c r="AH239" s="50">
        <v>7.0</v>
      </c>
      <c r="AI239" s="50">
        <v>1000.0</v>
      </c>
      <c r="AJ239" s="50">
        <v>3.0</v>
      </c>
      <c r="AK239" s="50">
        <v>0.0</v>
      </c>
      <c r="AL239" s="116"/>
      <c r="AM239" s="116"/>
      <c r="AN239" s="116"/>
      <c r="AO239" s="116"/>
      <c r="AP239" s="116"/>
      <c r="AQ239" s="116"/>
      <c r="AR239" s="116"/>
      <c r="AS239" s="116"/>
      <c r="AT239" s="116"/>
      <c r="AU239" s="50">
        <v>0.0</v>
      </c>
      <c r="AV239" s="116"/>
      <c r="AW239" s="116"/>
      <c r="AX239" s="116"/>
      <c r="AY239" s="116"/>
      <c r="AZ239" s="116"/>
      <c r="BA239" s="116"/>
      <c r="BB239" s="116"/>
      <c r="BC239" s="116"/>
      <c r="BD239" s="116"/>
      <c r="BE239" s="116"/>
      <c r="BF239" s="116"/>
      <c r="BG239" s="116"/>
      <c r="BH239" s="116"/>
      <c r="BI239" s="116"/>
      <c r="BJ239" s="116"/>
      <c r="BK239" s="116"/>
      <c r="BL239" s="116"/>
      <c r="BM239" s="116"/>
      <c r="BN239" s="116"/>
      <c r="BO239" s="116"/>
      <c r="BP239" s="116"/>
      <c r="BQ239" s="116"/>
      <c r="BR239" s="116"/>
      <c r="BS239" s="116"/>
      <c r="BT239" s="116"/>
      <c r="BU239" s="116"/>
      <c r="BV239" s="116"/>
      <c r="BW239" s="116"/>
      <c r="BX239" s="116"/>
      <c r="BY239" s="116"/>
      <c r="BZ239" s="116"/>
      <c r="CA239" s="116"/>
      <c r="CB239" s="116"/>
      <c r="CC239" s="50" t="s">
        <v>16417</v>
      </c>
      <c r="CD239" s="145">
        <v>43503.0</v>
      </c>
      <c r="CE239" s="50">
        <v>1.0</v>
      </c>
      <c r="CF239" s="50" t="s">
        <v>15555</v>
      </c>
      <c r="CG239" s="117">
        <v>5216.0</v>
      </c>
      <c r="CH239" s="50" t="s">
        <v>16421</v>
      </c>
      <c r="CI239" s="50" t="s">
        <v>16422</v>
      </c>
      <c r="CJ239" s="117">
        <v>238.0</v>
      </c>
    </row>
    <row r="240">
      <c r="A240" s="50" t="s">
        <v>16423</v>
      </c>
      <c r="B240" s="50" t="s">
        <v>6876</v>
      </c>
      <c r="C240" s="50" t="s">
        <v>6877</v>
      </c>
      <c r="D240" s="50" t="s">
        <v>11623</v>
      </c>
      <c r="E240" s="50" t="s">
        <v>16425</v>
      </c>
      <c r="F240" s="50">
        <v>33.0</v>
      </c>
      <c r="G240" s="50">
        <v>1.0</v>
      </c>
      <c r="H240" s="50">
        <v>97.0</v>
      </c>
      <c r="I240" s="116"/>
      <c r="J240" s="116"/>
      <c r="K240" s="50" t="s">
        <v>436</v>
      </c>
      <c r="L240" s="50" t="s">
        <v>436</v>
      </c>
      <c r="M240" s="50" t="s">
        <v>16074</v>
      </c>
      <c r="N240" s="50" t="s">
        <v>16075</v>
      </c>
      <c r="O240" s="50" t="s">
        <v>16077</v>
      </c>
      <c r="P240" s="116"/>
      <c r="Q240" s="116"/>
      <c r="R240" s="116"/>
      <c r="S240" s="50">
        <v>7.0</v>
      </c>
      <c r="T240" s="50">
        <v>1000.0</v>
      </c>
      <c r="U240" s="50">
        <v>3.0</v>
      </c>
      <c r="V240" s="50">
        <v>260.0</v>
      </c>
      <c r="W240" s="116"/>
      <c r="X240" s="116"/>
      <c r="Y240" s="116"/>
      <c r="Z240" s="116"/>
      <c r="AA240" s="116"/>
      <c r="AB240" s="116"/>
      <c r="AC240" s="116"/>
      <c r="AD240" s="116"/>
      <c r="AE240" s="116"/>
      <c r="AF240" s="116"/>
      <c r="AG240" s="116"/>
      <c r="AH240" s="116"/>
      <c r="AI240" s="116"/>
      <c r="AJ240" s="116"/>
      <c r="AK240" s="116"/>
      <c r="AL240" s="116"/>
      <c r="AM240" s="116"/>
      <c r="AN240" s="116"/>
      <c r="AO240" s="116"/>
      <c r="AP240" s="116"/>
      <c r="AQ240" s="116"/>
      <c r="AR240" s="116"/>
      <c r="AS240" s="116"/>
      <c r="AT240" s="116"/>
      <c r="AU240" s="50">
        <v>0.0</v>
      </c>
      <c r="AV240" s="116"/>
      <c r="AW240" s="116"/>
      <c r="AX240" s="116"/>
      <c r="AY240" s="116"/>
      <c r="AZ240" s="116"/>
      <c r="BA240" s="116"/>
      <c r="BB240" s="116"/>
      <c r="BC240" s="116"/>
      <c r="BD240" s="116"/>
      <c r="BE240" s="116"/>
      <c r="BF240" s="116"/>
      <c r="BG240" s="116"/>
      <c r="BH240" s="116"/>
      <c r="BI240" s="116"/>
      <c r="BJ240" s="116"/>
      <c r="BK240" s="116"/>
      <c r="BL240" s="116"/>
      <c r="BM240" s="116"/>
      <c r="BN240" s="116"/>
      <c r="BO240" s="116"/>
      <c r="BP240" s="116"/>
      <c r="BQ240" s="116"/>
      <c r="BR240" s="116"/>
      <c r="BS240" s="116"/>
      <c r="BT240" s="116"/>
      <c r="BU240" s="116"/>
      <c r="BV240" s="116"/>
      <c r="BW240" s="116"/>
      <c r="BX240" s="116"/>
      <c r="BY240" s="116"/>
      <c r="BZ240" s="116"/>
      <c r="CA240" s="116"/>
      <c r="CB240" s="116"/>
      <c r="CC240" s="116"/>
      <c r="CD240" s="145">
        <v>43503.0</v>
      </c>
      <c r="CE240" s="50">
        <v>1.0</v>
      </c>
      <c r="CF240" s="50" t="s">
        <v>15555</v>
      </c>
      <c r="CG240" s="117">
        <v>5217.0</v>
      </c>
      <c r="CH240" s="50" t="s">
        <v>16442</v>
      </c>
      <c r="CI240" s="50" t="s">
        <v>16443</v>
      </c>
      <c r="CJ240" s="117">
        <v>239.0</v>
      </c>
    </row>
    <row r="241">
      <c r="A241" s="50" t="s">
        <v>16446</v>
      </c>
      <c r="B241" s="50" t="s">
        <v>6876</v>
      </c>
      <c r="C241" s="50" t="s">
        <v>6877</v>
      </c>
      <c r="D241" s="50" t="s">
        <v>11623</v>
      </c>
      <c r="E241" s="50" t="s">
        <v>16447</v>
      </c>
      <c r="F241" s="50">
        <v>33.0</v>
      </c>
      <c r="G241" s="50">
        <v>1.0</v>
      </c>
      <c r="H241" s="50">
        <v>97.0</v>
      </c>
      <c r="I241" s="116"/>
      <c r="J241" s="116"/>
      <c r="K241" s="50" t="s">
        <v>15565</v>
      </c>
      <c r="L241" s="50" t="s">
        <v>15565</v>
      </c>
      <c r="M241" s="50" t="s">
        <v>16074</v>
      </c>
      <c r="N241" s="50" t="s">
        <v>16075</v>
      </c>
      <c r="O241" s="50" t="s">
        <v>16077</v>
      </c>
      <c r="P241" s="116"/>
      <c r="Q241" s="116"/>
      <c r="R241" s="116"/>
      <c r="S241" s="116"/>
      <c r="T241" s="116"/>
      <c r="U241" s="116"/>
      <c r="V241" s="116"/>
      <c r="W241" s="116"/>
      <c r="X241" s="116"/>
      <c r="Y241" s="116"/>
      <c r="Z241" s="116"/>
      <c r="AA241" s="116"/>
      <c r="AB241" s="116"/>
      <c r="AC241" s="116"/>
      <c r="AD241" s="116"/>
      <c r="AE241" s="116"/>
      <c r="AF241" s="116"/>
      <c r="AG241" s="116"/>
      <c r="AH241" s="50">
        <v>7.0</v>
      </c>
      <c r="AI241" s="50">
        <v>1000.0</v>
      </c>
      <c r="AJ241" s="50">
        <v>3.0</v>
      </c>
      <c r="AK241" s="50">
        <v>185.0</v>
      </c>
      <c r="AL241" s="116"/>
      <c r="AM241" s="116"/>
      <c r="AN241" s="116"/>
      <c r="AO241" s="116"/>
      <c r="AP241" s="116"/>
      <c r="AQ241" s="116"/>
      <c r="AR241" s="116"/>
      <c r="AS241" s="116"/>
      <c r="AT241" s="116"/>
      <c r="AU241" s="50">
        <v>0.0</v>
      </c>
      <c r="AV241" s="116"/>
      <c r="AW241" s="116"/>
      <c r="AX241" s="116"/>
      <c r="AY241" s="116"/>
      <c r="AZ241" s="116"/>
      <c r="BA241" s="116"/>
      <c r="BB241" s="116"/>
      <c r="BC241" s="116"/>
      <c r="BD241" s="116"/>
      <c r="BE241" s="116"/>
      <c r="BF241" s="116"/>
      <c r="BG241" s="116"/>
      <c r="BH241" s="116"/>
      <c r="BI241" s="116"/>
      <c r="BJ241" s="116"/>
      <c r="BK241" s="116"/>
      <c r="BL241" s="116"/>
      <c r="BM241" s="116"/>
      <c r="BN241" s="116"/>
      <c r="BO241" s="116"/>
      <c r="BP241" s="116"/>
      <c r="BQ241" s="116"/>
      <c r="BR241" s="116"/>
      <c r="BS241" s="116"/>
      <c r="BT241" s="116"/>
      <c r="BU241" s="116"/>
      <c r="BV241" s="116"/>
      <c r="BW241" s="116"/>
      <c r="BX241" s="116"/>
      <c r="BY241" s="116"/>
      <c r="BZ241" s="116"/>
      <c r="CA241" s="116"/>
      <c r="CB241" s="116"/>
      <c r="CC241" s="116"/>
      <c r="CD241" s="145">
        <v>43503.0</v>
      </c>
      <c r="CE241" s="50">
        <v>1.0</v>
      </c>
      <c r="CF241" s="50" t="s">
        <v>15555</v>
      </c>
      <c r="CG241" s="117">
        <v>5218.0</v>
      </c>
      <c r="CH241" s="50" t="s">
        <v>16462</v>
      </c>
      <c r="CI241" s="50" t="s">
        <v>16463</v>
      </c>
      <c r="CJ241" s="117">
        <v>240.0</v>
      </c>
    </row>
    <row r="242">
      <c r="A242" s="50" t="s">
        <v>16464</v>
      </c>
      <c r="B242" s="50" t="s">
        <v>6876</v>
      </c>
      <c r="C242" s="50" t="s">
        <v>6877</v>
      </c>
      <c r="D242" s="50" t="s">
        <v>11623</v>
      </c>
      <c r="E242" s="50" t="s">
        <v>16467</v>
      </c>
      <c r="F242" s="50">
        <v>58.0</v>
      </c>
      <c r="G242" s="50">
        <v>1.0</v>
      </c>
      <c r="H242" s="50">
        <v>15.0</v>
      </c>
      <c r="I242" s="116"/>
      <c r="J242" s="50">
        <v>151.0</v>
      </c>
      <c r="K242" s="50" t="s">
        <v>628</v>
      </c>
      <c r="L242" s="50" t="s">
        <v>628</v>
      </c>
      <c r="M242" s="50" t="s">
        <v>16077</v>
      </c>
      <c r="N242" s="50" t="s">
        <v>11761</v>
      </c>
      <c r="O242" s="50" t="s">
        <v>11917</v>
      </c>
      <c r="P242" s="116"/>
      <c r="Q242" s="116"/>
      <c r="R242" s="116"/>
      <c r="S242" s="50">
        <v>7.0</v>
      </c>
      <c r="T242" s="50">
        <v>1000.0</v>
      </c>
      <c r="U242" s="50">
        <v>3.0</v>
      </c>
      <c r="V242" s="50">
        <v>0.0</v>
      </c>
      <c r="W242" s="50">
        <v>7.0</v>
      </c>
      <c r="X242" s="50">
        <v>100.0</v>
      </c>
      <c r="Y242" s="50">
        <v>3.0</v>
      </c>
      <c r="Z242" s="50">
        <v>0.0</v>
      </c>
      <c r="AA242" s="50">
        <v>0.0</v>
      </c>
      <c r="AB242" s="116"/>
      <c r="AC242" s="116"/>
      <c r="AD242" s="116"/>
      <c r="AE242" s="116"/>
      <c r="AF242" s="116"/>
      <c r="AG242" s="116"/>
      <c r="AH242" s="50">
        <v>7.0</v>
      </c>
      <c r="AI242" s="50">
        <v>1000.0</v>
      </c>
      <c r="AJ242" s="50">
        <v>3.0</v>
      </c>
      <c r="AK242" s="50">
        <v>0.0</v>
      </c>
      <c r="AL242" s="50">
        <v>7.0</v>
      </c>
      <c r="AM242" s="50">
        <v>100.0</v>
      </c>
      <c r="AN242" s="50">
        <v>3.0</v>
      </c>
      <c r="AO242" s="50">
        <v>0.0</v>
      </c>
      <c r="AP242" s="50">
        <v>0.0</v>
      </c>
      <c r="AQ242" s="116"/>
      <c r="AR242" s="116"/>
      <c r="AS242" s="116"/>
      <c r="AT242" s="116"/>
      <c r="AU242" s="50">
        <v>0.0</v>
      </c>
      <c r="AV242" s="116"/>
      <c r="AW242" s="116"/>
      <c r="AX242" s="116"/>
      <c r="AY242" s="116"/>
      <c r="AZ242" s="116"/>
      <c r="BA242" s="116"/>
      <c r="BB242" s="116"/>
      <c r="BC242" s="116"/>
      <c r="BD242" s="116"/>
      <c r="BE242" s="116"/>
      <c r="BF242" s="116"/>
      <c r="BG242" s="116"/>
      <c r="BH242" s="116"/>
      <c r="BI242" s="116"/>
      <c r="BJ242" s="116"/>
      <c r="BK242" s="116"/>
      <c r="BL242" s="116"/>
      <c r="BM242" s="116"/>
      <c r="BN242" s="116"/>
      <c r="BO242" s="116"/>
      <c r="BP242" s="116"/>
      <c r="BQ242" s="116"/>
      <c r="BR242" s="116"/>
      <c r="BS242" s="116"/>
      <c r="BT242" s="116"/>
      <c r="BU242" s="116"/>
      <c r="BV242" s="116"/>
      <c r="BW242" s="116"/>
      <c r="BX242" s="116"/>
      <c r="BY242" s="116"/>
      <c r="BZ242" s="116"/>
      <c r="CA242" s="116"/>
      <c r="CB242" s="116"/>
      <c r="CC242" s="116"/>
      <c r="CD242" s="145">
        <v>43503.0</v>
      </c>
      <c r="CE242" s="50">
        <v>1.0</v>
      </c>
      <c r="CF242" s="50" t="s">
        <v>15555</v>
      </c>
      <c r="CG242" s="117">
        <v>5219.0</v>
      </c>
      <c r="CH242" s="50" t="s">
        <v>16483</v>
      </c>
      <c r="CI242" s="50" t="s">
        <v>16484</v>
      </c>
      <c r="CJ242" s="117">
        <v>241.0</v>
      </c>
    </row>
    <row r="243">
      <c r="A243" s="50" t="s">
        <v>16485</v>
      </c>
      <c r="B243" s="50" t="s">
        <v>6876</v>
      </c>
      <c r="C243" s="50" t="s">
        <v>6877</v>
      </c>
      <c r="D243" s="50" t="s">
        <v>11623</v>
      </c>
      <c r="E243" s="50" t="s">
        <v>16486</v>
      </c>
      <c r="F243" s="50">
        <v>58.0</v>
      </c>
      <c r="G243" s="50">
        <v>1.0</v>
      </c>
      <c r="H243" s="50">
        <v>15.0</v>
      </c>
      <c r="I243" s="116"/>
      <c r="J243" s="50">
        <v>152.0</v>
      </c>
      <c r="K243" s="50" t="s">
        <v>631</v>
      </c>
      <c r="L243" s="50" t="s">
        <v>631</v>
      </c>
      <c r="M243" s="50" t="s">
        <v>16077</v>
      </c>
      <c r="N243" s="50" t="s">
        <v>11761</v>
      </c>
      <c r="O243" s="50" t="s">
        <v>11917</v>
      </c>
      <c r="P243" s="116"/>
      <c r="Q243" s="116"/>
      <c r="R243" s="116"/>
      <c r="S243" s="50">
        <v>7.0</v>
      </c>
      <c r="T243" s="50">
        <v>1000.0</v>
      </c>
      <c r="U243" s="50">
        <v>3.0</v>
      </c>
      <c r="V243" s="50">
        <v>0.0</v>
      </c>
      <c r="W243" s="50">
        <v>7.0</v>
      </c>
      <c r="X243" s="50">
        <v>100.0</v>
      </c>
      <c r="Y243" s="50">
        <v>3.0</v>
      </c>
      <c r="Z243" s="50">
        <v>0.0</v>
      </c>
      <c r="AA243" s="50">
        <v>0.0</v>
      </c>
      <c r="AB243" s="116"/>
      <c r="AC243" s="116"/>
      <c r="AD243" s="116"/>
      <c r="AE243" s="116"/>
      <c r="AF243" s="116"/>
      <c r="AG243" s="116"/>
      <c r="AH243" s="50">
        <v>7.0</v>
      </c>
      <c r="AI243" s="50">
        <v>1000.0</v>
      </c>
      <c r="AJ243" s="50">
        <v>3.0</v>
      </c>
      <c r="AK243" s="50">
        <v>0.0</v>
      </c>
      <c r="AL243" s="50">
        <v>7.0</v>
      </c>
      <c r="AM243" s="50">
        <v>100.0</v>
      </c>
      <c r="AN243" s="50">
        <v>3.0</v>
      </c>
      <c r="AO243" s="50">
        <v>0.0</v>
      </c>
      <c r="AP243" s="50">
        <v>0.0</v>
      </c>
      <c r="AQ243" s="116"/>
      <c r="AR243" s="116"/>
      <c r="AS243" s="116"/>
      <c r="AT243" s="116"/>
      <c r="AU243" s="50">
        <v>0.0</v>
      </c>
      <c r="AV243" s="116"/>
      <c r="AW243" s="116"/>
      <c r="AX243" s="116"/>
      <c r="AY243" s="116"/>
      <c r="AZ243" s="116"/>
      <c r="BA243" s="116"/>
      <c r="BB243" s="116"/>
      <c r="BC243" s="116"/>
      <c r="BD243" s="116"/>
      <c r="BE243" s="116"/>
      <c r="BF243" s="116"/>
      <c r="BG243" s="116"/>
      <c r="BH243" s="116"/>
      <c r="BI243" s="116"/>
      <c r="BJ243" s="116"/>
      <c r="BK243" s="116"/>
      <c r="BL243" s="116"/>
      <c r="BM243" s="116"/>
      <c r="BN243" s="116"/>
      <c r="BO243" s="116"/>
      <c r="BP243" s="116"/>
      <c r="BQ243" s="116"/>
      <c r="BR243" s="116"/>
      <c r="BS243" s="116"/>
      <c r="BT243" s="116"/>
      <c r="BU243" s="116"/>
      <c r="BV243" s="116"/>
      <c r="BW243" s="116"/>
      <c r="BX243" s="116"/>
      <c r="BY243" s="116"/>
      <c r="BZ243" s="116"/>
      <c r="CA243" s="116"/>
      <c r="CB243" s="116"/>
      <c r="CC243" s="116"/>
      <c r="CD243" s="145">
        <v>43503.0</v>
      </c>
      <c r="CE243" s="50">
        <v>1.0</v>
      </c>
      <c r="CF243" s="50" t="s">
        <v>15555</v>
      </c>
      <c r="CG243" s="117">
        <v>5220.0</v>
      </c>
      <c r="CH243" s="50" t="s">
        <v>16506</v>
      </c>
      <c r="CI243" s="50" t="s">
        <v>16508</v>
      </c>
      <c r="CJ243" s="117">
        <v>242.0</v>
      </c>
    </row>
    <row r="244">
      <c r="A244" s="50" t="s">
        <v>16509</v>
      </c>
      <c r="B244" s="50" t="s">
        <v>6876</v>
      </c>
      <c r="C244" s="50" t="s">
        <v>6877</v>
      </c>
      <c r="D244" s="50" t="s">
        <v>11623</v>
      </c>
      <c r="E244" s="50" t="s">
        <v>16512</v>
      </c>
      <c r="F244" s="50">
        <v>58.0</v>
      </c>
      <c r="G244" s="50">
        <v>1.0</v>
      </c>
      <c r="H244" s="50">
        <v>15.0</v>
      </c>
      <c r="I244" s="116"/>
      <c r="J244" s="50">
        <v>152.0</v>
      </c>
      <c r="K244" s="50" t="s">
        <v>633</v>
      </c>
      <c r="L244" s="50" t="s">
        <v>633</v>
      </c>
      <c r="M244" s="50" t="s">
        <v>16077</v>
      </c>
      <c r="N244" s="50" t="s">
        <v>11761</v>
      </c>
      <c r="O244" s="50" t="s">
        <v>11917</v>
      </c>
      <c r="P244" s="116"/>
      <c r="Q244" s="116"/>
      <c r="R244" s="116"/>
      <c r="S244" s="50">
        <v>7.0</v>
      </c>
      <c r="T244" s="50">
        <v>1000.0</v>
      </c>
      <c r="U244" s="50">
        <v>3.0</v>
      </c>
      <c r="V244" s="50">
        <v>0.0</v>
      </c>
      <c r="W244" s="50">
        <v>7.0</v>
      </c>
      <c r="X244" s="50">
        <v>100.0</v>
      </c>
      <c r="Y244" s="50">
        <v>3.0</v>
      </c>
      <c r="Z244" s="50">
        <v>0.0</v>
      </c>
      <c r="AA244" s="50">
        <v>0.0</v>
      </c>
      <c r="AB244" s="116"/>
      <c r="AC244" s="116"/>
      <c r="AD244" s="116"/>
      <c r="AE244" s="116"/>
      <c r="AF244" s="116"/>
      <c r="AG244" s="116"/>
      <c r="AH244" s="50">
        <v>7.0</v>
      </c>
      <c r="AI244" s="50">
        <v>1000.0</v>
      </c>
      <c r="AJ244" s="50">
        <v>3.0</v>
      </c>
      <c r="AK244" s="50">
        <v>0.0</v>
      </c>
      <c r="AL244" s="50">
        <v>7.0</v>
      </c>
      <c r="AM244" s="50">
        <v>100.0</v>
      </c>
      <c r="AN244" s="50">
        <v>3.0</v>
      </c>
      <c r="AO244" s="50">
        <v>0.0</v>
      </c>
      <c r="AP244" s="50">
        <v>0.0</v>
      </c>
      <c r="AQ244" s="116"/>
      <c r="AR244" s="116"/>
      <c r="AS244" s="116"/>
      <c r="AT244" s="116"/>
      <c r="AU244" s="50">
        <v>0.0</v>
      </c>
      <c r="AV244" s="116"/>
      <c r="AW244" s="116"/>
      <c r="AX244" s="116"/>
      <c r="AY244" s="116"/>
      <c r="AZ244" s="116"/>
      <c r="BA244" s="116"/>
      <c r="BB244" s="116"/>
      <c r="BC244" s="116"/>
      <c r="BD244" s="116"/>
      <c r="BE244" s="116"/>
      <c r="BF244" s="116"/>
      <c r="BG244" s="116"/>
      <c r="BH244" s="116"/>
      <c r="BI244" s="116"/>
      <c r="BJ244" s="116"/>
      <c r="BK244" s="116"/>
      <c r="BL244" s="116"/>
      <c r="BM244" s="116"/>
      <c r="BN244" s="116"/>
      <c r="BO244" s="116"/>
      <c r="BP244" s="116"/>
      <c r="BQ244" s="116"/>
      <c r="BR244" s="116"/>
      <c r="BS244" s="116"/>
      <c r="BT244" s="116"/>
      <c r="BU244" s="116"/>
      <c r="BV244" s="116"/>
      <c r="BW244" s="116"/>
      <c r="BX244" s="116"/>
      <c r="BY244" s="116"/>
      <c r="BZ244" s="116"/>
      <c r="CA244" s="116"/>
      <c r="CB244" s="116"/>
      <c r="CC244" s="116"/>
      <c r="CD244" s="145">
        <v>43503.0</v>
      </c>
      <c r="CE244" s="50">
        <v>1.0</v>
      </c>
      <c r="CF244" s="50" t="s">
        <v>15555</v>
      </c>
      <c r="CG244" s="117">
        <v>5221.0</v>
      </c>
      <c r="CH244" s="50" t="s">
        <v>16527</v>
      </c>
      <c r="CI244" s="50" t="s">
        <v>16528</v>
      </c>
      <c r="CJ244" s="117">
        <v>243.0</v>
      </c>
    </row>
    <row r="245">
      <c r="A245" s="50" t="s">
        <v>16530</v>
      </c>
      <c r="B245" s="50" t="s">
        <v>6876</v>
      </c>
      <c r="C245" s="50" t="s">
        <v>6877</v>
      </c>
      <c r="D245" s="50" t="s">
        <v>11623</v>
      </c>
      <c r="E245" s="50" t="s">
        <v>16533</v>
      </c>
      <c r="F245" s="50">
        <v>58.0</v>
      </c>
      <c r="G245" s="50">
        <v>1.0</v>
      </c>
      <c r="H245" s="50">
        <v>15.0</v>
      </c>
      <c r="I245" s="116"/>
      <c r="J245" s="50">
        <v>152.0</v>
      </c>
      <c r="K245" s="50" t="s">
        <v>634</v>
      </c>
      <c r="L245" s="50" t="s">
        <v>634</v>
      </c>
      <c r="M245" s="50" t="s">
        <v>16077</v>
      </c>
      <c r="N245" s="50" t="s">
        <v>11761</v>
      </c>
      <c r="O245" s="50" t="s">
        <v>11917</v>
      </c>
      <c r="P245" s="116"/>
      <c r="Q245" s="116"/>
      <c r="R245" s="116"/>
      <c r="S245" s="50">
        <v>7.0</v>
      </c>
      <c r="T245" s="50">
        <v>1000.0</v>
      </c>
      <c r="U245" s="50">
        <v>3.0</v>
      </c>
      <c r="V245" s="50">
        <v>0.0</v>
      </c>
      <c r="W245" s="50">
        <v>7.0</v>
      </c>
      <c r="X245" s="50">
        <v>100.0</v>
      </c>
      <c r="Y245" s="50">
        <v>3.0</v>
      </c>
      <c r="Z245" s="50">
        <v>0.0</v>
      </c>
      <c r="AA245" s="50">
        <v>0.0</v>
      </c>
      <c r="AB245" s="116"/>
      <c r="AC245" s="116"/>
      <c r="AD245" s="116"/>
      <c r="AE245" s="116"/>
      <c r="AF245" s="116"/>
      <c r="AG245" s="116"/>
      <c r="AH245" s="50">
        <v>7.0</v>
      </c>
      <c r="AI245" s="50">
        <v>1000.0</v>
      </c>
      <c r="AJ245" s="50">
        <v>3.0</v>
      </c>
      <c r="AK245" s="50">
        <v>0.0</v>
      </c>
      <c r="AL245" s="50">
        <v>7.0</v>
      </c>
      <c r="AM245" s="50">
        <v>100.0</v>
      </c>
      <c r="AN245" s="50">
        <v>3.0</v>
      </c>
      <c r="AO245" s="50">
        <v>0.0</v>
      </c>
      <c r="AP245" s="50">
        <v>0.0</v>
      </c>
      <c r="AQ245" s="116"/>
      <c r="AR245" s="116"/>
      <c r="AS245" s="116"/>
      <c r="AT245" s="116"/>
      <c r="AU245" s="50">
        <v>0.0</v>
      </c>
      <c r="AV245" s="116"/>
      <c r="AW245" s="116"/>
      <c r="AX245" s="116"/>
      <c r="AY245" s="116"/>
      <c r="AZ245" s="116"/>
      <c r="BA245" s="116"/>
      <c r="BB245" s="116"/>
      <c r="BC245" s="116"/>
      <c r="BD245" s="116"/>
      <c r="BE245" s="116"/>
      <c r="BF245" s="116"/>
      <c r="BG245" s="116"/>
      <c r="BH245" s="116"/>
      <c r="BI245" s="116"/>
      <c r="BJ245" s="116"/>
      <c r="BK245" s="116"/>
      <c r="BL245" s="116"/>
      <c r="BM245" s="116"/>
      <c r="BN245" s="116"/>
      <c r="BO245" s="116"/>
      <c r="BP245" s="116"/>
      <c r="BQ245" s="116"/>
      <c r="BR245" s="116"/>
      <c r="BS245" s="116"/>
      <c r="BT245" s="116"/>
      <c r="BU245" s="116"/>
      <c r="BV245" s="116"/>
      <c r="BW245" s="116"/>
      <c r="BX245" s="116"/>
      <c r="BY245" s="116"/>
      <c r="BZ245" s="116"/>
      <c r="CA245" s="116"/>
      <c r="CB245" s="116"/>
      <c r="CC245" s="116"/>
      <c r="CD245" s="145">
        <v>43503.0</v>
      </c>
      <c r="CE245" s="50">
        <v>1.0</v>
      </c>
      <c r="CF245" s="50" t="s">
        <v>15555</v>
      </c>
      <c r="CG245" s="117">
        <v>5222.0</v>
      </c>
      <c r="CH245" s="50" t="s">
        <v>16552</v>
      </c>
      <c r="CI245" s="50" t="s">
        <v>16554</v>
      </c>
      <c r="CJ245" s="117">
        <v>244.0</v>
      </c>
    </row>
    <row r="246">
      <c r="A246" s="50" t="s">
        <v>16558</v>
      </c>
      <c r="B246" s="50" t="s">
        <v>6876</v>
      </c>
      <c r="C246" s="50" t="s">
        <v>6877</v>
      </c>
      <c r="D246" s="50" t="s">
        <v>11623</v>
      </c>
      <c r="E246" s="50" t="s">
        <v>16559</v>
      </c>
      <c r="F246" s="50">
        <v>58.0</v>
      </c>
      <c r="G246" s="50">
        <v>1.0</v>
      </c>
      <c r="H246" s="50">
        <v>99.0</v>
      </c>
      <c r="I246" s="116"/>
      <c r="J246" s="116"/>
      <c r="K246" s="50" t="s">
        <v>277</v>
      </c>
      <c r="L246" s="50" t="s">
        <v>277</v>
      </c>
      <c r="M246" s="50" t="s">
        <v>16077</v>
      </c>
      <c r="N246" s="50" t="s">
        <v>11761</v>
      </c>
      <c r="O246" s="50" t="s">
        <v>11917</v>
      </c>
      <c r="P246" s="116"/>
      <c r="Q246" s="116"/>
      <c r="R246" s="116"/>
      <c r="S246" s="50">
        <v>7.0</v>
      </c>
      <c r="T246" s="50">
        <v>1000.0</v>
      </c>
      <c r="U246" s="50">
        <v>3.0</v>
      </c>
      <c r="V246" s="50">
        <v>0.0</v>
      </c>
      <c r="W246" s="116"/>
      <c r="X246" s="116"/>
      <c r="Y246" s="116"/>
      <c r="Z246" s="116"/>
      <c r="AA246" s="116"/>
      <c r="AB246" s="116"/>
      <c r="AC246" s="116"/>
      <c r="AD246" s="116"/>
      <c r="AE246" s="116"/>
      <c r="AF246" s="116"/>
      <c r="AG246" s="116"/>
      <c r="AH246" s="50">
        <v>7.0</v>
      </c>
      <c r="AI246" s="50">
        <v>1000.0</v>
      </c>
      <c r="AJ246" s="50">
        <v>3.0</v>
      </c>
      <c r="AK246" s="50">
        <v>0.0</v>
      </c>
      <c r="AL246" s="116"/>
      <c r="AM246" s="116"/>
      <c r="AN246" s="116"/>
      <c r="AO246" s="116"/>
      <c r="AP246" s="116"/>
      <c r="AQ246" s="116"/>
      <c r="AR246" s="116"/>
      <c r="AS246" s="116"/>
      <c r="AT246" s="116"/>
      <c r="AU246" s="50">
        <v>0.0</v>
      </c>
      <c r="AV246" s="116"/>
      <c r="AW246" s="116"/>
      <c r="AX246" s="116"/>
      <c r="AY246" s="116"/>
      <c r="AZ246" s="116"/>
      <c r="BA246" s="116"/>
      <c r="BB246" s="116"/>
      <c r="BC246" s="116"/>
      <c r="BD246" s="116"/>
      <c r="BE246" s="116"/>
      <c r="BF246" s="116"/>
      <c r="BG246" s="116"/>
      <c r="BH246" s="116"/>
      <c r="BI246" s="116"/>
      <c r="BJ246" s="116"/>
      <c r="BK246" s="116"/>
      <c r="BL246" s="116"/>
      <c r="BM246" s="116"/>
      <c r="BN246" s="116"/>
      <c r="BO246" s="116"/>
      <c r="BP246" s="116"/>
      <c r="BQ246" s="116"/>
      <c r="BR246" s="116"/>
      <c r="BS246" s="116"/>
      <c r="BT246" s="116"/>
      <c r="BU246" s="116"/>
      <c r="BV246" s="116"/>
      <c r="BW246" s="116"/>
      <c r="BX246" s="116"/>
      <c r="BY246" s="116"/>
      <c r="BZ246" s="116"/>
      <c r="CA246" s="116"/>
      <c r="CB246" s="116"/>
      <c r="CC246" s="50" t="s">
        <v>16576</v>
      </c>
      <c r="CD246" s="145">
        <v>43503.0</v>
      </c>
      <c r="CE246" s="50">
        <v>1.0</v>
      </c>
      <c r="CF246" s="50" t="s">
        <v>15555</v>
      </c>
      <c r="CG246" s="117">
        <v>5223.0</v>
      </c>
      <c r="CH246" s="50" t="s">
        <v>16578</v>
      </c>
      <c r="CI246" s="50" t="s">
        <v>16579</v>
      </c>
      <c r="CJ246" s="117">
        <v>245.0</v>
      </c>
    </row>
    <row r="247">
      <c r="A247" s="50" t="s">
        <v>16581</v>
      </c>
      <c r="B247" s="50" t="s">
        <v>6876</v>
      </c>
      <c r="C247" s="50" t="s">
        <v>6877</v>
      </c>
      <c r="D247" s="50" t="s">
        <v>11623</v>
      </c>
      <c r="E247" s="50" t="s">
        <v>16582</v>
      </c>
      <c r="F247" s="50">
        <v>59.0</v>
      </c>
      <c r="G247" s="50">
        <v>1.0</v>
      </c>
      <c r="H247" s="50">
        <v>11.0</v>
      </c>
      <c r="I247" s="116"/>
      <c r="J247" s="116"/>
      <c r="K247" s="50" t="s">
        <v>1595</v>
      </c>
      <c r="L247" s="50" t="s">
        <v>1595</v>
      </c>
      <c r="M247" s="50" t="s">
        <v>16077</v>
      </c>
      <c r="N247" s="50" t="s">
        <v>11761</v>
      </c>
      <c r="O247" s="50" t="s">
        <v>11917</v>
      </c>
      <c r="P247" s="50">
        <v>4.0</v>
      </c>
      <c r="Q247" s="116"/>
      <c r="R247" s="116"/>
      <c r="S247" s="50">
        <v>7.0</v>
      </c>
      <c r="T247" s="50">
        <v>1000.0</v>
      </c>
      <c r="U247" s="50">
        <v>1.0</v>
      </c>
      <c r="V247" s="116"/>
      <c r="W247" s="50">
        <v>7.0</v>
      </c>
      <c r="X247" s="50">
        <v>100.0</v>
      </c>
      <c r="Y247" s="50">
        <v>1.0</v>
      </c>
      <c r="Z247" s="116"/>
      <c r="AA247" s="50">
        <v>1.0</v>
      </c>
      <c r="AB247" s="50">
        <v>4.0</v>
      </c>
      <c r="AC247" s="50">
        <v>1000.0</v>
      </c>
      <c r="AD247" s="50">
        <v>3.0</v>
      </c>
      <c r="AE247" s="50">
        <v>8.0</v>
      </c>
      <c r="AF247" s="116"/>
      <c r="AG247" s="116"/>
      <c r="AH247" s="50">
        <v>7.0</v>
      </c>
      <c r="AI247" s="50">
        <v>5000.0</v>
      </c>
      <c r="AJ247" s="50">
        <v>3.0</v>
      </c>
      <c r="AK247" s="50">
        <v>0.0</v>
      </c>
      <c r="AL247" s="50">
        <v>7.0</v>
      </c>
      <c r="AM247" s="50">
        <v>1000.0</v>
      </c>
      <c r="AN247" s="50">
        <v>3.0</v>
      </c>
      <c r="AO247" s="50">
        <v>7.0</v>
      </c>
      <c r="AP247" s="50">
        <v>1.0</v>
      </c>
      <c r="AQ247" s="50">
        <v>7.0</v>
      </c>
      <c r="AR247" s="50">
        <v>100.0</v>
      </c>
      <c r="AS247" s="50">
        <v>3.0</v>
      </c>
      <c r="AT247" s="50">
        <v>2.0</v>
      </c>
      <c r="AU247" s="50">
        <v>0.0</v>
      </c>
      <c r="AV247" s="116"/>
      <c r="AW247" s="116"/>
      <c r="AX247" s="116"/>
      <c r="AY247" s="116"/>
      <c r="AZ247" s="116"/>
      <c r="BA247" s="116"/>
      <c r="BB247" s="116"/>
      <c r="BC247" s="116"/>
      <c r="BD247" s="116"/>
      <c r="BE247" s="116"/>
      <c r="BF247" s="116"/>
      <c r="BG247" s="116"/>
      <c r="BH247" s="116"/>
      <c r="BI247" s="116"/>
      <c r="BJ247" s="116"/>
      <c r="BK247" s="116"/>
      <c r="BL247" s="116"/>
      <c r="BM247" s="116"/>
      <c r="BN247" s="116"/>
      <c r="BO247" s="116"/>
      <c r="BP247" s="116"/>
      <c r="BQ247" s="116"/>
      <c r="BR247" s="116"/>
      <c r="BS247" s="116"/>
      <c r="BT247" s="116"/>
      <c r="BU247" s="116"/>
      <c r="BV247" s="116"/>
      <c r="BW247" s="116"/>
      <c r="BX247" s="116"/>
      <c r="BY247" s="116"/>
      <c r="BZ247" s="116"/>
      <c r="CA247" s="116"/>
      <c r="CB247" s="116"/>
      <c r="CC247" s="50" t="s">
        <v>14896</v>
      </c>
      <c r="CD247" s="145">
        <v>43503.0</v>
      </c>
      <c r="CE247" s="50">
        <v>1.0</v>
      </c>
      <c r="CF247" s="50" t="s">
        <v>15555</v>
      </c>
      <c r="CG247" s="117">
        <v>5224.0</v>
      </c>
      <c r="CH247" s="50" t="s">
        <v>16600</v>
      </c>
      <c r="CI247" s="50" t="s">
        <v>16601</v>
      </c>
      <c r="CJ247" s="117">
        <v>246.0</v>
      </c>
    </row>
    <row r="248">
      <c r="A248" s="50" t="s">
        <v>16603</v>
      </c>
      <c r="B248" s="50" t="s">
        <v>6876</v>
      </c>
      <c r="C248" s="50" t="s">
        <v>6877</v>
      </c>
      <c r="D248" s="50" t="s">
        <v>11623</v>
      </c>
      <c r="E248" s="50" t="s">
        <v>16604</v>
      </c>
      <c r="F248" s="50">
        <v>59.0</v>
      </c>
      <c r="G248" s="50">
        <v>1.0</v>
      </c>
      <c r="H248" s="50">
        <v>99.0</v>
      </c>
      <c r="I248" s="116"/>
      <c r="J248" s="116"/>
      <c r="K248" s="50" t="s">
        <v>279</v>
      </c>
      <c r="L248" s="50" t="s">
        <v>279</v>
      </c>
      <c r="M248" s="50" t="s">
        <v>16077</v>
      </c>
      <c r="N248" s="50" t="s">
        <v>11761</v>
      </c>
      <c r="O248" s="50" t="s">
        <v>11917</v>
      </c>
      <c r="P248" s="116"/>
      <c r="Q248" s="116"/>
      <c r="R248" s="116"/>
      <c r="S248" s="50">
        <v>7.0</v>
      </c>
      <c r="T248" s="50">
        <v>1000.0</v>
      </c>
      <c r="U248" s="50">
        <v>3.0</v>
      </c>
      <c r="V248" s="50">
        <v>0.0</v>
      </c>
      <c r="W248" s="116"/>
      <c r="X248" s="116"/>
      <c r="Y248" s="116"/>
      <c r="Z248" s="116"/>
      <c r="AA248" s="116"/>
      <c r="AB248" s="116"/>
      <c r="AC248" s="116"/>
      <c r="AD248" s="116"/>
      <c r="AE248" s="116"/>
      <c r="AF248" s="116"/>
      <c r="AG248" s="116"/>
      <c r="AH248" s="50">
        <v>7.0</v>
      </c>
      <c r="AI248" s="50">
        <v>1000.0</v>
      </c>
      <c r="AJ248" s="50">
        <v>3.0</v>
      </c>
      <c r="AK248" s="50">
        <v>0.0</v>
      </c>
      <c r="AL248" s="116"/>
      <c r="AM248" s="116"/>
      <c r="AN248" s="116"/>
      <c r="AO248" s="116"/>
      <c r="AP248" s="116"/>
      <c r="AQ248" s="116"/>
      <c r="AR248" s="116"/>
      <c r="AS248" s="116"/>
      <c r="AT248" s="116"/>
      <c r="AU248" s="50">
        <v>0.0</v>
      </c>
      <c r="AV248" s="116"/>
      <c r="AW248" s="116"/>
      <c r="AX248" s="116"/>
      <c r="AY248" s="116"/>
      <c r="AZ248" s="116"/>
      <c r="BA248" s="116"/>
      <c r="BB248" s="116"/>
      <c r="BC248" s="116"/>
      <c r="BD248" s="116"/>
      <c r="BE248" s="116"/>
      <c r="BF248" s="116"/>
      <c r="BG248" s="116"/>
      <c r="BH248" s="116"/>
      <c r="BI248" s="116"/>
      <c r="BJ248" s="116"/>
      <c r="BK248" s="116"/>
      <c r="BL248" s="116"/>
      <c r="BM248" s="116"/>
      <c r="BN248" s="116"/>
      <c r="BO248" s="116"/>
      <c r="BP248" s="116"/>
      <c r="BQ248" s="116"/>
      <c r="BR248" s="116"/>
      <c r="BS248" s="116"/>
      <c r="BT248" s="116"/>
      <c r="BU248" s="116"/>
      <c r="BV248" s="116"/>
      <c r="BW248" s="116"/>
      <c r="BX248" s="116"/>
      <c r="BY248" s="116"/>
      <c r="BZ248" s="116"/>
      <c r="CA248" s="116"/>
      <c r="CB248" s="116"/>
      <c r="CC248" s="50" t="s">
        <v>16619</v>
      </c>
      <c r="CD248" s="145">
        <v>43503.0</v>
      </c>
      <c r="CE248" s="50">
        <v>1.0</v>
      </c>
      <c r="CF248" s="50" t="s">
        <v>15555</v>
      </c>
      <c r="CG248" s="117">
        <v>5225.0</v>
      </c>
      <c r="CH248" s="50" t="s">
        <v>16622</v>
      </c>
      <c r="CI248" s="50" t="s">
        <v>16623</v>
      </c>
      <c r="CJ248" s="117">
        <v>247.0</v>
      </c>
    </row>
    <row r="249">
      <c r="A249" s="50" t="s">
        <v>16627</v>
      </c>
      <c r="B249" s="50" t="s">
        <v>6876</v>
      </c>
      <c r="C249" s="50" t="s">
        <v>6877</v>
      </c>
      <c r="D249" s="50" t="s">
        <v>11623</v>
      </c>
      <c r="E249" s="50" t="s">
        <v>16628</v>
      </c>
      <c r="F249" s="50">
        <v>59.0</v>
      </c>
      <c r="G249" s="50">
        <v>1.0</v>
      </c>
      <c r="H249" s="50">
        <v>11.0</v>
      </c>
      <c r="I249" s="116"/>
      <c r="J249" s="116"/>
      <c r="K249" s="50" t="s">
        <v>1596</v>
      </c>
      <c r="L249" s="50" t="s">
        <v>1596</v>
      </c>
      <c r="M249" s="50" t="s">
        <v>16077</v>
      </c>
      <c r="N249" s="50" t="s">
        <v>11761</v>
      </c>
      <c r="O249" s="50" t="s">
        <v>11917</v>
      </c>
      <c r="P249" s="50">
        <v>4.0</v>
      </c>
      <c r="Q249" s="116"/>
      <c r="R249" s="116"/>
      <c r="S249" s="50">
        <v>7.0</v>
      </c>
      <c r="T249" s="50">
        <v>1000.0</v>
      </c>
      <c r="U249" s="50">
        <v>3.0</v>
      </c>
      <c r="V249" s="50">
        <v>0.0</v>
      </c>
      <c r="W249" s="50">
        <v>7.0</v>
      </c>
      <c r="X249" s="50">
        <v>100.0</v>
      </c>
      <c r="Y249" s="50">
        <v>1.0</v>
      </c>
      <c r="Z249" s="116"/>
      <c r="AA249" s="50">
        <v>1.0</v>
      </c>
      <c r="AB249" s="50">
        <v>4.0</v>
      </c>
      <c r="AC249" s="50">
        <v>1000.0</v>
      </c>
      <c r="AD249" s="50">
        <v>3.0</v>
      </c>
      <c r="AE249" s="50">
        <v>21.0</v>
      </c>
      <c r="AF249" s="116"/>
      <c r="AG249" s="116"/>
      <c r="AH249" s="50">
        <v>7.0</v>
      </c>
      <c r="AI249" s="50">
        <v>5000.0</v>
      </c>
      <c r="AJ249" s="50">
        <v>3.0</v>
      </c>
      <c r="AK249" s="50">
        <v>0.0</v>
      </c>
      <c r="AL249" s="50">
        <v>7.0</v>
      </c>
      <c r="AM249" s="50">
        <v>1000.0</v>
      </c>
      <c r="AN249" s="50">
        <v>3.0</v>
      </c>
      <c r="AO249" s="50">
        <v>0.0</v>
      </c>
      <c r="AP249" s="50">
        <v>1.0</v>
      </c>
      <c r="AQ249" s="50">
        <v>7.0</v>
      </c>
      <c r="AR249" s="50">
        <v>100.0</v>
      </c>
      <c r="AS249" s="50">
        <v>3.0</v>
      </c>
      <c r="AT249" s="50">
        <v>0.0</v>
      </c>
      <c r="AU249" s="50">
        <v>0.0</v>
      </c>
      <c r="AV249" s="116"/>
      <c r="AW249" s="116"/>
      <c r="AX249" s="116"/>
      <c r="AY249" s="116"/>
      <c r="AZ249" s="116"/>
      <c r="BA249" s="116"/>
      <c r="BB249" s="116"/>
      <c r="BC249" s="116"/>
      <c r="BD249" s="116"/>
      <c r="BE249" s="116"/>
      <c r="BF249" s="116"/>
      <c r="BG249" s="116"/>
      <c r="BH249" s="116"/>
      <c r="BI249" s="116"/>
      <c r="BJ249" s="116"/>
      <c r="BK249" s="116"/>
      <c r="BL249" s="116"/>
      <c r="BM249" s="116"/>
      <c r="BN249" s="116"/>
      <c r="BO249" s="116"/>
      <c r="BP249" s="116"/>
      <c r="BQ249" s="116"/>
      <c r="BR249" s="116"/>
      <c r="BS249" s="116"/>
      <c r="BT249" s="116"/>
      <c r="BU249" s="116"/>
      <c r="BV249" s="116"/>
      <c r="BW249" s="116"/>
      <c r="BX249" s="116"/>
      <c r="BY249" s="116"/>
      <c r="BZ249" s="116"/>
      <c r="CA249" s="116"/>
      <c r="CB249" s="116"/>
      <c r="CC249" s="50" t="s">
        <v>16649</v>
      </c>
      <c r="CD249" s="145">
        <v>43503.0</v>
      </c>
      <c r="CE249" s="50">
        <v>1.0</v>
      </c>
      <c r="CF249" s="50" t="s">
        <v>15555</v>
      </c>
      <c r="CG249" s="117">
        <v>5226.0</v>
      </c>
      <c r="CH249" s="50" t="s">
        <v>16651</v>
      </c>
      <c r="CI249" s="50" t="s">
        <v>16652</v>
      </c>
      <c r="CJ249" s="117">
        <v>248.0</v>
      </c>
    </row>
    <row r="250">
      <c r="A250" s="50" t="s">
        <v>16654</v>
      </c>
      <c r="B250" s="50" t="s">
        <v>6876</v>
      </c>
      <c r="C250" s="50" t="s">
        <v>6877</v>
      </c>
      <c r="D250" s="50" t="s">
        <v>11623</v>
      </c>
      <c r="E250" s="50" t="s">
        <v>16657</v>
      </c>
      <c r="F250" s="50">
        <v>59.0</v>
      </c>
      <c r="G250" s="50">
        <v>1.0</v>
      </c>
      <c r="H250" s="50">
        <v>99.0</v>
      </c>
      <c r="I250" s="116"/>
      <c r="J250" s="116"/>
      <c r="K250" s="50" t="s">
        <v>1597</v>
      </c>
      <c r="L250" s="50" t="s">
        <v>1597</v>
      </c>
      <c r="M250" s="50" t="s">
        <v>16077</v>
      </c>
      <c r="N250" s="50" t="s">
        <v>11761</v>
      </c>
      <c r="O250" s="50" t="s">
        <v>11917</v>
      </c>
      <c r="P250" s="116"/>
      <c r="Q250" s="116"/>
      <c r="R250" s="116"/>
      <c r="S250" s="50">
        <v>7.0</v>
      </c>
      <c r="T250" s="50">
        <v>1000.0</v>
      </c>
      <c r="U250" s="50">
        <v>3.0</v>
      </c>
      <c r="V250" s="50">
        <v>0.0</v>
      </c>
      <c r="W250" s="116"/>
      <c r="X250" s="116"/>
      <c r="Y250" s="116"/>
      <c r="Z250" s="116"/>
      <c r="AA250" s="116"/>
      <c r="AB250" s="116"/>
      <c r="AC250" s="116"/>
      <c r="AD250" s="116"/>
      <c r="AE250" s="116"/>
      <c r="AF250" s="116"/>
      <c r="AG250" s="116"/>
      <c r="AH250" s="50">
        <v>7.0</v>
      </c>
      <c r="AI250" s="50">
        <v>1000.0</v>
      </c>
      <c r="AJ250" s="50">
        <v>3.0</v>
      </c>
      <c r="AK250" s="50">
        <v>0.0</v>
      </c>
      <c r="AL250" s="116"/>
      <c r="AM250" s="116"/>
      <c r="AN250" s="116"/>
      <c r="AO250" s="116"/>
      <c r="AP250" s="116"/>
      <c r="AQ250" s="116"/>
      <c r="AR250" s="116"/>
      <c r="AS250" s="116"/>
      <c r="AT250" s="116"/>
      <c r="AU250" s="50">
        <v>0.0</v>
      </c>
      <c r="AV250" s="116"/>
      <c r="AW250" s="116"/>
      <c r="AX250" s="116"/>
      <c r="AY250" s="116"/>
      <c r="AZ250" s="116"/>
      <c r="BA250" s="116"/>
      <c r="BB250" s="116"/>
      <c r="BC250" s="116"/>
      <c r="BD250" s="116"/>
      <c r="BE250" s="116"/>
      <c r="BF250" s="116"/>
      <c r="BG250" s="116"/>
      <c r="BH250" s="116"/>
      <c r="BI250" s="116"/>
      <c r="BJ250" s="116"/>
      <c r="BK250" s="116"/>
      <c r="BL250" s="116"/>
      <c r="BM250" s="116"/>
      <c r="BN250" s="116"/>
      <c r="BO250" s="116"/>
      <c r="BP250" s="116"/>
      <c r="BQ250" s="116"/>
      <c r="BR250" s="116"/>
      <c r="BS250" s="116"/>
      <c r="BT250" s="116"/>
      <c r="BU250" s="116"/>
      <c r="BV250" s="116"/>
      <c r="BW250" s="116"/>
      <c r="BX250" s="116"/>
      <c r="BY250" s="116"/>
      <c r="BZ250" s="116"/>
      <c r="CA250" s="116"/>
      <c r="CB250" s="116"/>
      <c r="CC250" s="50" t="s">
        <v>16674</v>
      </c>
      <c r="CD250" s="145">
        <v>43503.0</v>
      </c>
      <c r="CE250" s="50">
        <v>1.0</v>
      </c>
      <c r="CF250" s="50" t="s">
        <v>15555</v>
      </c>
      <c r="CG250" s="117">
        <v>5227.0</v>
      </c>
      <c r="CH250" s="50" t="s">
        <v>16677</v>
      </c>
      <c r="CI250" s="50" t="s">
        <v>16678</v>
      </c>
      <c r="CJ250" s="117">
        <v>249.0</v>
      </c>
    </row>
    <row r="251">
      <c r="A251" s="50" t="s">
        <v>16681</v>
      </c>
      <c r="B251" s="50" t="s">
        <v>6876</v>
      </c>
      <c r="C251" s="50" t="s">
        <v>6877</v>
      </c>
      <c r="D251" s="50" t="s">
        <v>11623</v>
      </c>
      <c r="E251" s="50" t="s">
        <v>16682</v>
      </c>
      <c r="F251" s="50">
        <v>58.0</v>
      </c>
      <c r="G251" s="50">
        <v>1.0</v>
      </c>
      <c r="H251" s="50">
        <v>11.0</v>
      </c>
      <c r="I251" s="116"/>
      <c r="J251" s="116"/>
      <c r="K251" s="50" t="s">
        <v>1599</v>
      </c>
      <c r="L251" s="50" t="s">
        <v>1599</v>
      </c>
      <c r="M251" s="50" t="s">
        <v>16077</v>
      </c>
      <c r="N251" s="50" t="s">
        <v>11761</v>
      </c>
      <c r="O251" s="50" t="s">
        <v>11917</v>
      </c>
      <c r="P251" s="50">
        <v>4.0</v>
      </c>
      <c r="Q251" s="116"/>
      <c r="R251" s="116"/>
      <c r="S251" s="50">
        <v>7.0</v>
      </c>
      <c r="T251" s="50">
        <v>1000.0</v>
      </c>
      <c r="U251" s="50">
        <v>1.0</v>
      </c>
      <c r="V251" s="116"/>
      <c r="W251" s="50">
        <v>7.0</v>
      </c>
      <c r="X251" s="50">
        <v>100.0</v>
      </c>
      <c r="Y251" s="50">
        <v>1.0</v>
      </c>
      <c r="Z251" s="116"/>
      <c r="AA251" s="50">
        <v>1.0</v>
      </c>
      <c r="AB251" s="50">
        <v>4.0</v>
      </c>
      <c r="AC251" s="50">
        <v>1000.0</v>
      </c>
      <c r="AD251" s="50">
        <v>3.0</v>
      </c>
      <c r="AE251" s="50">
        <v>3.0</v>
      </c>
      <c r="AF251" s="116"/>
      <c r="AG251" s="116"/>
      <c r="AH251" s="50">
        <v>7.0</v>
      </c>
      <c r="AI251" s="50">
        <v>5000.0</v>
      </c>
      <c r="AJ251" s="50">
        <v>1.0</v>
      </c>
      <c r="AK251" s="116"/>
      <c r="AL251" s="50">
        <v>7.0</v>
      </c>
      <c r="AM251" s="50">
        <v>1000.0</v>
      </c>
      <c r="AN251" s="50">
        <v>3.0</v>
      </c>
      <c r="AO251" s="50">
        <v>50.0</v>
      </c>
      <c r="AP251" s="50">
        <v>0.0</v>
      </c>
      <c r="AQ251" s="116"/>
      <c r="AR251" s="116"/>
      <c r="AS251" s="116"/>
      <c r="AT251" s="116"/>
      <c r="AU251" s="50">
        <v>0.0</v>
      </c>
      <c r="AV251" s="116"/>
      <c r="AW251" s="116"/>
      <c r="AX251" s="116"/>
      <c r="AY251" s="116"/>
      <c r="AZ251" s="116"/>
      <c r="BA251" s="116"/>
      <c r="BB251" s="116"/>
      <c r="BC251" s="116"/>
      <c r="BD251" s="116"/>
      <c r="BE251" s="116"/>
      <c r="BF251" s="116"/>
      <c r="BG251" s="116"/>
      <c r="BH251" s="116"/>
      <c r="BI251" s="116"/>
      <c r="BJ251" s="116"/>
      <c r="BK251" s="116"/>
      <c r="BL251" s="116"/>
      <c r="BM251" s="116"/>
      <c r="BN251" s="116"/>
      <c r="BO251" s="116"/>
      <c r="BP251" s="116"/>
      <c r="BQ251" s="116"/>
      <c r="BR251" s="116"/>
      <c r="BS251" s="116"/>
      <c r="BT251" s="116"/>
      <c r="BU251" s="116"/>
      <c r="BV251" s="116"/>
      <c r="BW251" s="116"/>
      <c r="BX251" s="116"/>
      <c r="BY251" s="116"/>
      <c r="BZ251" s="116"/>
      <c r="CA251" s="116"/>
      <c r="CB251" s="116"/>
      <c r="CC251" s="50" t="s">
        <v>14743</v>
      </c>
      <c r="CD251" s="145">
        <v>43503.0</v>
      </c>
      <c r="CE251" s="50">
        <v>1.0</v>
      </c>
      <c r="CF251" s="50" t="s">
        <v>15555</v>
      </c>
      <c r="CG251" s="117">
        <v>5228.0</v>
      </c>
      <c r="CH251" s="50" t="s">
        <v>16698</v>
      </c>
      <c r="CI251" s="50" t="s">
        <v>16699</v>
      </c>
      <c r="CJ251" s="117">
        <v>250.0</v>
      </c>
    </row>
    <row r="252">
      <c r="A252" s="50" t="s">
        <v>16700</v>
      </c>
      <c r="B252" s="50" t="s">
        <v>6876</v>
      </c>
      <c r="C252" s="50" t="s">
        <v>6877</v>
      </c>
      <c r="D252" s="50" t="s">
        <v>11623</v>
      </c>
      <c r="E252" s="50" t="s">
        <v>16701</v>
      </c>
      <c r="F252" s="50">
        <v>58.0</v>
      </c>
      <c r="G252" s="50">
        <v>1.0</v>
      </c>
      <c r="H252" s="50">
        <v>99.0</v>
      </c>
      <c r="I252" s="116"/>
      <c r="J252" s="116"/>
      <c r="K252" s="50" t="s">
        <v>282</v>
      </c>
      <c r="L252" s="50" t="s">
        <v>282</v>
      </c>
      <c r="M252" s="50" t="s">
        <v>16077</v>
      </c>
      <c r="N252" s="50" t="s">
        <v>11761</v>
      </c>
      <c r="O252" s="50" t="s">
        <v>11917</v>
      </c>
      <c r="P252" s="116"/>
      <c r="Q252" s="116"/>
      <c r="R252" s="116"/>
      <c r="S252" s="50">
        <v>7.0</v>
      </c>
      <c r="T252" s="50">
        <v>1000.0</v>
      </c>
      <c r="U252" s="50">
        <v>3.0</v>
      </c>
      <c r="V252" s="50">
        <v>0.0</v>
      </c>
      <c r="W252" s="116"/>
      <c r="X252" s="116"/>
      <c r="Y252" s="116"/>
      <c r="Z252" s="116"/>
      <c r="AA252" s="116"/>
      <c r="AB252" s="116"/>
      <c r="AC252" s="116"/>
      <c r="AD252" s="116"/>
      <c r="AE252" s="116"/>
      <c r="AF252" s="116"/>
      <c r="AG252" s="116"/>
      <c r="AH252" s="50">
        <v>7.0</v>
      </c>
      <c r="AI252" s="50">
        <v>1000.0</v>
      </c>
      <c r="AJ252" s="50">
        <v>3.0</v>
      </c>
      <c r="AK252" s="50">
        <v>0.0</v>
      </c>
      <c r="AL252" s="116"/>
      <c r="AM252" s="116"/>
      <c r="AN252" s="116"/>
      <c r="AO252" s="116"/>
      <c r="AP252" s="116"/>
      <c r="AQ252" s="116"/>
      <c r="AR252" s="116"/>
      <c r="AS252" s="116"/>
      <c r="AT252" s="116"/>
      <c r="AU252" s="50">
        <v>0.0</v>
      </c>
      <c r="AV252" s="116"/>
      <c r="AW252" s="116"/>
      <c r="AX252" s="116"/>
      <c r="AY252" s="116"/>
      <c r="AZ252" s="116"/>
      <c r="BA252" s="116"/>
      <c r="BB252" s="116"/>
      <c r="BC252" s="116"/>
      <c r="BD252" s="116"/>
      <c r="BE252" s="116"/>
      <c r="BF252" s="116"/>
      <c r="BG252" s="116"/>
      <c r="BH252" s="116"/>
      <c r="BI252" s="116"/>
      <c r="BJ252" s="116"/>
      <c r="BK252" s="116"/>
      <c r="BL252" s="116"/>
      <c r="BM252" s="116"/>
      <c r="BN252" s="116"/>
      <c r="BO252" s="116"/>
      <c r="BP252" s="116"/>
      <c r="BQ252" s="116"/>
      <c r="BR252" s="116"/>
      <c r="BS252" s="116"/>
      <c r="BT252" s="116"/>
      <c r="BU252" s="116"/>
      <c r="BV252" s="116"/>
      <c r="BW252" s="116"/>
      <c r="BX252" s="116"/>
      <c r="BY252" s="116"/>
      <c r="BZ252" s="116"/>
      <c r="CA252" s="116"/>
      <c r="CB252" s="116"/>
      <c r="CC252" s="50" t="s">
        <v>16714</v>
      </c>
      <c r="CD252" s="145">
        <v>43503.0</v>
      </c>
      <c r="CE252" s="50">
        <v>1.0</v>
      </c>
      <c r="CF252" s="50" t="s">
        <v>15555</v>
      </c>
      <c r="CG252" s="117">
        <v>5229.0</v>
      </c>
      <c r="CH252" s="50" t="s">
        <v>16717</v>
      </c>
      <c r="CI252" s="50" t="s">
        <v>16719</v>
      </c>
      <c r="CJ252" s="117">
        <v>251.0</v>
      </c>
    </row>
    <row r="253">
      <c r="A253" s="50" t="s">
        <v>16720</v>
      </c>
      <c r="B253" s="50" t="s">
        <v>6876</v>
      </c>
      <c r="C253" s="50" t="s">
        <v>6877</v>
      </c>
      <c r="D253" s="50" t="s">
        <v>11623</v>
      </c>
      <c r="E253" s="50" t="s">
        <v>16721</v>
      </c>
      <c r="F253" s="50">
        <v>59.0</v>
      </c>
      <c r="G253" s="50">
        <v>1.0</v>
      </c>
      <c r="H253" s="50">
        <v>11.0</v>
      </c>
      <c r="I253" s="116"/>
      <c r="J253" s="116"/>
      <c r="K253" s="50" t="s">
        <v>1611</v>
      </c>
      <c r="L253" s="50" t="s">
        <v>1611</v>
      </c>
      <c r="M253" s="50" t="s">
        <v>16726</v>
      </c>
      <c r="N253" s="50" t="s">
        <v>16727</v>
      </c>
      <c r="O253" s="50" t="s">
        <v>16728</v>
      </c>
      <c r="P253" s="50">
        <v>4.0</v>
      </c>
      <c r="Q253" s="116"/>
      <c r="R253" s="116"/>
      <c r="S253" s="50">
        <v>7.0</v>
      </c>
      <c r="T253" s="50">
        <v>1000.0</v>
      </c>
      <c r="U253" s="50">
        <v>3.0</v>
      </c>
      <c r="V253" s="50">
        <v>0.0</v>
      </c>
      <c r="W253" s="50">
        <v>7.0</v>
      </c>
      <c r="X253" s="50">
        <v>100.0</v>
      </c>
      <c r="Y253" s="50">
        <v>1.0</v>
      </c>
      <c r="Z253" s="116"/>
      <c r="AA253" s="50">
        <v>1.0</v>
      </c>
      <c r="AB253" s="50">
        <v>4.0</v>
      </c>
      <c r="AC253" s="50">
        <v>1000.0</v>
      </c>
      <c r="AD253" s="50">
        <v>3.0</v>
      </c>
      <c r="AE253" s="50">
        <v>11.0</v>
      </c>
      <c r="AF253" s="116"/>
      <c r="AG253" s="116"/>
      <c r="AH253" s="50">
        <v>7.0</v>
      </c>
      <c r="AI253" s="50">
        <v>5000.0</v>
      </c>
      <c r="AJ253" s="50">
        <v>3.0</v>
      </c>
      <c r="AK253" s="50">
        <v>0.0</v>
      </c>
      <c r="AL253" s="50">
        <v>7.0</v>
      </c>
      <c r="AM253" s="50">
        <v>1000.0</v>
      </c>
      <c r="AN253" s="50">
        <v>3.0</v>
      </c>
      <c r="AO253" s="50">
        <v>0.0</v>
      </c>
      <c r="AP253" s="50">
        <v>1.0</v>
      </c>
      <c r="AQ253" s="50">
        <v>7.0</v>
      </c>
      <c r="AR253" s="50">
        <v>100.0</v>
      </c>
      <c r="AS253" s="50">
        <v>3.0</v>
      </c>
      <c r="AT253" s="50">
        <v>0.0</v>
      </c>
      <c r="AU253" s="50">
        <v>0.0</v>
      </c>
      <c r="AV253" s="116"/>
      <c r="AW253" s="116"/>
      <c r="AX253" s="116"/>
      <c r="AY253" s="116"/>
      <c r="AZ253" s="116"/>
      <c r="BA253" s="116"/>
      <c r="BB253" s="116"/>
      <c r="BC253" s="116"/>
      <c r="BD253" s="116"/>
      <c r="BE253" s="116"/>
      <c r="BF253" s="116"/>
      <c r="BG253" s="116"/>
      <c r="BH253" s="116"/>
      <c r="BI253" s="116"/>
      <c r="BJ253" s="116"/>
      <c r="BK253" s="116"/>
      <c r="BL253" s="116"/>
      <c r="BM253" s="116"/>
      <c r="BN253" s="116"/>
      <c r="BO253" s="116"/>
      <c r="BP253" s="116"/>
      <c r="BQ253" s="116"/>
      <c r="BR253" s="116"/>
      <c r="BS253" s="116"/>
      <c r="BT253" s="116"/>
      <c r="BU253" s="116"/>
      <c r="BV253" s="116"/>
      <c r="BW253" s="116"/>
      <c r="BX253" s="116"/>
      <c r="BY253" s="116"/>
      <c r="BZ253" s="116"/>
      <c r="CA253" s="116"/>
      <c r="CB253" s="116"/>
      <c r="CC253" s="50" t="s">
        <v>16735</v>
      </c>
      <c r="CD253" s="145">
        <v>43503.0</v>
      </c>
      <c r="CE253" s="50">
        <v>1.0</v>
      </c>
      <c r="CF253" s="50" t="s">
        <v>15555</v>
      </c>
      <c r="CG253" s="117">
        <v>5604.0</v>
      </c>
      <c r="CH253" s="50" t="s">
        <v>16738</v>
      </c>
      <c r="CI253" s="50" t="s">
        <v>16739</v>
      </c>
      <c r="CJ253" s="117">
        <v>252.0</v>
      </c>
    </row>
    <row r="254">
      <c r="A254" s="50" t="s">
        <v>16742</v>
      </c>
      <c r="B254" s="50" t="s">
        <v>6876</v>
      </c>
      <c r="C254" s="50" t="s">
        <v>6877</v>
      </c>
      <c r="D254" s="50" t="s">
        <v>11623</v>
      </c>
      <c r="E254" s="50" t="s">
        <v>16744</v>
      </c>
      <c r="F254" s="50">
        <v>59.0</v>
      </c>
      <c r="G254" s="50">
        <v>1.0</v>
      </c>
      <c r="H254" s="50">
        <v>11.0</v>
      </c>
      <c r="I254" s="116"/>
      <c r="J254" s="116"/>
      <c r="K254" s="50" t="s">
        <v>1613</v>
      </c>
      <c r="L254" s="50" t="s">
        <v>1613</v>
      </c>
      <c r="M254" s="50" t="s">
        <v>16726</v>
      </c>
      <c r="N254" s="50" t="s">
        <v>16727</v>
      </c>
      <c r="O254" s="50" t="s">
        <v>16728</v>
      </c>
      <c r="P254" s="50">
        <v>4.0</v>
      </c>
      <c r="Q254" s="116"/>
      <c r="R254" s="116"/>
      <c r="S254" s="50">
        <v>7.0</v>
      </c>
      <c r="T254" s="50">
        <v>1000.0</v>
      </c>
      <c r="U254" s="50">
        <v>3.0</v>
      </c>
      <c r="V254" s="50">
        <v>0.0</v>
      </c>
      <c r="W254" s="50">
        <v>7.0</v>
      </c>
      <c r="X254" s="50">
        <v>100.0</v>
      </c>
      <c r="Y254" s="50">
        <v>1.0</v>
      </c>
      <c r="Z254" s="116"/>
      <c r="AA254" s="50">
        <v>1.0</v>
      </c>
      <c r="AB254" s="50">
        <v>4.0</v>
      </c>
      <c r="AC254" s="50">
        <v>1000.0</v>
      </c>
      <c r="AD254" s="50">
        <v>1.0</v>
      </c>
      <c r="AE254" s="116"/>
      <c r="AF254" s="116"/>
      <c r="AG254" s="116"/>
      <c r="AH254" s="50">
        <v>7.0</v>
      </c>
      <c r="AI254" s="50">
        <v>5000.0</v>
      </c>
      <c r="AJ254" s="50">
        <v>3.0</v>
      </c>
      <c r="AK254" s="50">
        <v>0.0</v>
      </c>
      <c r="AL254" s="50">
        <v>7.0</v>
      </c>
      <c r="AM254" s="50">
        <v>1000.0</v>
      </c>
      <c r="AN254" s="50">
        <v>3.0</v>
      </c>
      <c r="AO254" s="50">
        <v>0.0</v>
      </c>
      <c r="AP254" s="50">
        <v>1.0</v>
      </c>
      <c r="AQ254" s="50">
        <v>7.0</v>
      </c>
      <c r="AR254" s="50">
        <v>100.0</v>
      </c>
      <c r="AS254" s="50">
        <v>3.0</v>
      </c>
      <c r="AT254" s="50">
        <v>0.0</v>
      </c>
      <c r="AU254" s="50">
        <v>0.0</v>
      </c>
      <c r="AV254" s="116"/>
      <c r="AW254" s="116"/>
      <c r="AX254" s="116"/>
      <c r="AY254" s="116"/>
      <c r="AZ254" s="116"/>
      <c r="BA254" s="116"/>
      <c r="BB254" s="116"/>
      <c r="BC254" s="116"/>
      <c r="BD254" s="116"/>
      <c r="BE254" s="116"/>
      <c r="BF254" s="116"/>
      <c r="BG254" s="116"/>
      <c r="BH254" s="116"/>
      <c r="BI254" s="116"/>
      <c r="BJ254" s="116"/>
      <c r="BK254" s="116"/>
      <c r="BL254" s="116"/>
      <c r="BM254" s="116"/>
      <c r="BN254" s="116"/>
      <c r="BO254" s="116"/>
      <c r="BP254" s="116"/>
      <c r="BQ254" s="116"/>
      <c r="BR254" s="116"/>
      <c r="BS254" s="116"/>
      <c r="BT254" s="116"/>
      <c r="BU254" s="116"/>
      <c r="BV254" s="116"/>
      <c r="BW254" s="116"/>
      <c r="BX254" s="116"/>
      <c r="BY254" s="116"/>
      <c r="BZ254" s="116"/>
      <c r="CA254" s="116"/>
      <c r="CB254" s="116"/>
      <c r="CC254" s="50" t="s">
        <v>16766</v>
      </c>
      <c r="CD254" s="145">
        <v>43503.0</v>
      </c>
      <c r="CE254" s="50">
        <v>1.0</v>
      </c>
      <c r="CF254" s="50" t="s">
        <v>15555</v>
      </c>
      <c r="CG254" s="117">
        <v>5605.0</v>
      </c>
      <c r="CH254" s="50" t="s">
        <v>16768</v>
      </c>
      <c r="CI254" s="50" t="s">
        <v>16770</v>
      </c>
      <c r="CJ254" s="117">
        <v>253.0</v>
      </c>
    </row>
    <row r="255">
      <c r="A255" s="50" t="s">
        <v>16744</v>
      </c>
      <c r="B255" s="50" t="s">
        <v>6876</v>
      </c>
      <c r="C255" s="50" t="s">
        <v>6877</v>
      </c>
      <c r="D255" s="50" t="s">
        <v>11623</v>
      </c>
      <c r="E255" s="50" t="s">
        <v>16775</v>
      </c>
      <c r="F255" s="50">
        <v>59.0</v>
      </c>
      <c r="G255" s="50">
        <v>1.0</v>
      </c>
      <c r="H255" s="50">
        <v>11.0</v>
      </c>
      <c r="I255" s="116"/>
      <c r="J255" s="116"/>
      <c r="K255" s="50" t="s">
        <v>1616</v>
      </c>
      <c r="L255" s="50" t="s">
        <v>1616</v>
      </c>
      <c r="M255" s="50" t="s">
        <v>16726</v>
      </c>
      <c r="N255" s="50" t="s">
        <v>16727</v>
      </c>
      <c r="O255" s="50" t="s">
        <v>16728</v>
      </c>
      <c r="P255" s="50">
        <v>4.0</v>
      </c>
      <c r="Q255" s="116"/>
      <c r="R255" s="116"/>
      <c r="S255" s="50">
        <v>7.0</v>
      </c>
      <c r="T255" s="50">
        <v>1000.0</v>
      </c>
      <c r="U255" s="50">
        <v>3.0</v>
      </c>
      <c r="V255" s="50">
        <v>0.0</v>
      </c>
      <c r="W255" s="50">
        <v>7.0</v>
      </c>
      <c r="X255" s="50">
        <v>100.0</v>
      </c>
      <c r="Y255" s="50">
        <v>1.0</v>
      </c>
      <c r="Z255" s="116"/>
      <c r="AA255" s="50">
        <v>1.0</v>
      </c>
      <c r="AB255" s="50">
        <v>4.0</v>
      </c>
      <c r="AC255" s="50">
        <v>1000.0</v>
      </c>
      <c r="AD255" s="50">
        <v>3.0</v>
      </c>
      <c r="AE255" s="50">
        <v>3.0</v>
      </c>
      <c r="AF255" s="116"/>
      <c r="AG255" s="116"/>
      <c r="AH255" s="50">
        <v>7.0</v>
      </c>
      <c r="AI255" s="50">
        <v>5000.0</v>
      </c>
      <c r="AJ255" s="50">
        <v>3.0</v>
      </c>
      <c r="AK255" s="50">
        <v>0.0</v>
      </c>
      <c r="AL255" s="50">
        <v>7.0</v>
      </c>
      <c r="AM255" s="50">
        <v>1000.0</v>
      </c>
      <c r="AN255" s="50">
        <v>3.0</v>
      </c>
      <c r="AO255" s="50">
        <v>0.0</v>
      </c>
      <c r="AP255" s="50">
        <v>1.0</v>
      </c>
      <c r="AQ255" s="50">
        <v>7.0</v>
      </c>
      <c r="AR255" s="50">
        <v>100.0</v>
      </c>
      <c r="AS255" s="50">
        <v>3.0</v>
      </c>
      <c r="AT255" s="50">
        <v>0.0</v>
      </c>
      <c r="AU255" s="50">
        <v>0.0</v>
      </c>
      <c r="AV255" s="116"/>
      <c r="AW255" s="116"/>
      <c r="AX255" s="116"/>
      <c r="AY255" s="116"/>
      <c r="AZ255" s="116"/>
      <c r="BA255" s="116"/>
      <c r="BB255" s="116"/>
      <c r="BC255" s="116"/>
      <c r="BD255" s="116"/>
      <c r="BE255" s="116"/>
      <c r="BF255" s="116"/>
      <c r="BG255" s="116"/>
      <c r="BH255" s="116"/>
      <c r="BI255" s="116"/>
      <c r="BJ255" s="116"/>
      <c r="BK255" s="116"/>
      <c r="BL255" s="116"/>
      <c r="BM255" s="116"/>
      <c r="BN255" s="116"/>
      <c r="BO255" s="116"/>
      <c r="BP255" s="116"/>
      <c r="BQ255" s="116"/>
      <c r="BR255" s="116"/>
      <c r="BS255" s="116"/>
      <c r="BT255" s="116"/>
      <c r="BU255" s="116"/>
      <c r="BV255" s="116"/>
      <c r="BW255" s="116"/>
      <c r="BX255" s="116"/>
      <c r="BY255" s="116"/>
      <c r="BZ255" s="116"/>
      <c r="CA255" s="116"/>
      <c r="CB255" s="116"/>
      <c r="CC255" s="50" t="s">
        <v>16795</v>
      </c>
      <c r="CD255" s="145">
        <v>43503.0</v>
      </c>
      <c r="CE255" s="50">
        <v>1.0</v>
      </c>
      <c r="CF255" s="50" t="s">
        <v>15555</v>
      </c>
      <c r="CG255" s="117">
        <v>5606.0</v>
      </c>
      <c r="CH255" s="50" t="s">
        <v>16797</v>
      </c>
      <c r="CI255" s="50" t="s">
        <v>16798</v>
      </c>
      <c r="CJ255" s="117">
        <v>254.0</v>
      </c>
    </row>
    <row r="256">
      <c r="A256" s="50" t="s">
        <v>16775</v>
      </c>
      <c r="B256" s="50" t="s">
        <v>6876</v>
      </c>
      <c r="C256" s="50" t="s">
        <v>6877</v>
      </c>
      <c r="D256" s="50" t="s">
        <v>11623</v>
      </c>
      <c r="E256" s="50" t="s">
        <v>16802</v>
      </c>
      <c r="F256" s="50">
        <v>50.0</v>
      </c>
      <c r="G256" s="50">
        <v>1.0</v>
      </c>
      <c r="H256" s="50">
        <v>11.0</v>
      </c>
      <c r="I256" s="116"/>
      <c r="J256" s="116"/>
      <c r="K256" s="50" t="s">
        <v>1619</v>
      </c>
      <c r="L256" s="50" t="s">
        <v>1619</v>
      </c>
      <c r="M256" s="50" t="s">
        <v>16726</v>
      </c>
      <c r="N256" s="50" t="s">
        <v>16727</v>
      </c>
      <c r="O256" s="50" t="s">
        <v>16728</v>
      </c>
      <c r="P256" s="50">
        <v>4.0</v>
      </c>
      <c r="Q256" s="116"/>
      <c r="R256" s="116"/>
      <c r="S256" s="50">
        <v>7.0</v>
      </c>
      <c r="T256" s="50">
        <v>1000.0</v>
      </c>
      <c r="U256" s="50">
        <v>3.0</v>
      </c>
      <c r="V256" s="50">
        <v>0.0</v>
      </c>
      <c r="W256" s="50">
        <v>7.0</v>
      </c>
      <c r="X256" s="50">
        <v>100.0</v>
      </c>
      <c r="Y256" s="50">
        <v>1.0</v>
      </c>
      <c r="Z256" s="116"/>
      <c r="AA256" s="50">
        <v>1.0</v>
      </c>
      <c r="AB256" s="50">
        <v>4.0</v>
      </c>
      <c r="AC256" s="50">
        <v>1000.0</v>
      </c>
      <c r="AD256" s="50">
        <v>3.0</v>
      </c>
      <c r="AE256" s="50">
        <v>8.0</v>
      </c>
      <c r="AF256" s="116"/>
      <c r="AG256" s="116"/>
      <c r="AH256" s="50">
        <v>7.0</v>
      </c>
      <c r="AI256" s="50">
        <v>5000.0</v>
      </c>
      <c r="AJ256" s="50">
        <v>3.0</v>
      </c>
      <c r="AK256" s="50">
        <v>0.0</v>
      </c>
      <c r="AL256" s="50">
        <v>7.0</v>
      </c>
      <c r="AM256" s="50">
        <v>1000.0</v>
      </c>
      <c r="AN256" s="50">
        <v>3.0</v>
      </c>
      <c r="AO256" s="50">
        <v>0.0</v>
      </c>
      <c r="AP256" s="50">
        <v>1.0</v>
      </c>
      <c r="AQ256" s="50">
        <v>7.0</v>
      </c>
      <c r="AR256" s="50">
        <v>100.0</v>
      </c>
      <c r="AS256" s="50">
        <v>3.0</v>
      </c>
      <c r="AT256" s="50">
        <v>0.0</v>
      </c>
      <c r="AU256" s="50">
        <v>0.0</v>
      </c>
      <c r="AV256" s="116"/>
      <c r="AW256" s="116"/>
      <c r="AX256" s="116"/>
      <c r="AY256" s="116"/>
      <c r="AZ256" s="116"/>
      <c r="BA256" s="116"/>
      <c r="BB256" s="116"/>
      <c r="BC256" s="116"/>
      <c r="BD256" s="116"/>
      <c r="BE256" s="116"/>
      <c r="BF256" s="116"/>
      <c r="BG256" s="116"/>
      <c r="BH256" s="116"/>
      <c r="BI256" s="116"/>
      <c r="BJ256" s="116"/>
      <c r="BK256" s="116"/>
      <c r="BL256" s="116"/>
      <c r="BM256" s="116"/>
      <c r="BN256" s="116"/>
      <c r="BO256" s="116"/>
      <c r="BP256" s="116"/>
      <c r="BQ256" s="116"/>
      <c r="BR256" s="116"/>
      <c r="BS256" s="116"/>
      <c r="BT256" s="116"/>
      <c r="BU256" s="116"/>
      <c r="BV256" s="116"/>
      <c r="BW256" s="116"/>
      <c r="BX256" s="116"/>
      <c r="BY256" s="116"/>
      <c r="BZ256" s="116"/>
      <c r="CA256" s="116"/>
      <c r="CB256" s="116"/>
      <c r="CC256" s="50" t="s">
        <v>16821</v>
      </c>
      <c r="CD256" s="50" t="s">
        <v>14054</v>
      </c>
      <c r="CE256" s="50">
        <v>1.0</v>
      </c>
      <c r="CF256" s="50" t="s">
        <v>15555</v>
      </c>
      <c r="CG256" s="117">
        <v>5607.0</v>
      </c>
      <c r="CH256" s="50" t="s">
        <v>16824</v>
      </c>
      <c r="CI256" s="50" t="s">
        <v>16825</v>
      </c>
      <c r="CJ256" s="117">
        <v>255.0</v>
      </c>
    </row>
    <row r="257">
      <c r="A257" s="50" t="s">
        <v>16826</v>
      </c>
      <c r="B257" s="50" t="s">
        <v>6876</v>
      </c>
      <c r="C257" s="50" t="s">
        <v>6877</v>
      </c>
      <c r="D257" s="50" t="s">
        <v>11623</v>
      </c>
      <c r="E257" s="50" t="s">
        <v>16827</v>
      </c>
      <c r="F257" s="50">
        <v>58.0</v>
      </c>
      <c r="G257" s="50">
        <v>1.0</v>
      </c>
      <c r="H257" s="50">
        <v>11.0</v>
      </c>
      <c r="I257" s="116"/>
      <c r="J257" s="116"/>
      <c r="K257" s="50" t="s">
        <v>1622</v>
      </c>
      <c r="L257" s="50" t="s">
        <v>1622</v>
      </c>
      <c r="M257" s="50" t="s">
        <v>16726</v>
      </c>
      <c r="N257" s="50" t="s">
        <v>16727</v>
      </c>
      <c r="O257" s="50" t="s">
        <v>16728</v>
      </c>
      <c r="P257" s="50">
        <v>4.0</v>
      </c>
      <c r="Q257" s="116"/>
      <c r="R257" s="116"/>
      <c r="S257" s="50">
        <v>7.0</v>
      </c>
      <c r="T257" s="50">
        <v>1000.0</v>
      </c>
      <c r="U257" s="50">
        <v>1.0</v>
      </c>
      <c r="V257" s="116"/>
      <c r="W257" s="50">
        <v>7.0</v>
      </c>
      <c r="X257" s="50">
        <v>100.0</v>
      </c>
      <c r="Y257" s="50">
        <v>3.0</v>
      </c>
      <c r="Z257" s="50">
        <v>35.0</v>
      </c>
      <c r="AA257" s="50">
        <v>1.0</v>
      </c>
      <c r="AB257" s="50">
        <v>4.0</v>
      </c>
      <c r="AC257" s="50">
        <v>1000.0</v>
      </c>
      <c r="AD257" s="50">
        <v>3.0</v>
      </c>
      <c r="AE257" s="50">
        <v>0.0</v>
      </c>
      <c r="AF257" s="116"/>
      <c r="AG257" s="116"/>
      <c r="AH257" s="50">
        <v>7.0</v>
      </c>
      <c r="AI257" s="50">
        <v>5000.0</v>
      </c>
      <c r="AJ257" s="50">
        <v>3.0</v>
      </c>
      <c r="AK257" s="50">
        <v>0.0</v>
      </c>
      <c r="AL257" s="50">
        <v>7.0</v>
      </c>
      <c r="AM257" s="50">
        <v>1000.0</v>
      </c>
      <c r="AN257" s="50">
        <v>3.0</v>
      </c>
      <c r="AO257" s="50">
        <v>0.0</v>
      </c>
      <c r="AP257" s="50">
        <v>1.0</v>
      </c>
      <c r="AQ257" s="50">
        <v>7.0</v>
      </c>
      <c r="AR257" s="50">
        <v>100.0</v>
      </c>
      <c r="AS257" s="50">
        <v>3.0</v>
      </c>
      <c r="AT257" s="50">
        <v>0.0</v>
      </c>
      <c r="AU257" s="50">
        <v>0.0</v>
      </c>
      <c r="AV257" s="116"/>
      <c r="AW257" s="116"/>
      <c r="AX257" s="116"/>
      <c r="AY257" s="116"/>
      <c r="AZ257" s="116"/>
      <c r="BA257" s="116"/>
      <c r="BB257" s="116"/>
      <c r="BC257" s="116"/>
      <c r="BD257" s="116"/>
      <c r="BE257" s="116"/>
      <c r="BF257" s="116"/>
      <c r="BG257" s="116"/>
      <c r="BH257" s="116"/>
      <c r="BI257" s="116"/>
      <c r="BJ257" s="116"/>
      <c r="BK257" s="116"/>
      <c r="BL257" s="116"/>
      <c r="BM257" s="116"/>
      <c r="BN257" s="116"/>
      <c r="BO257" s="116"/>
      <c r="BP257" s="116"/>
      <c r="BQ257" s="116"/>
      <c r="BR257" s="116"/>
      <c r="BS257" s="116"/>
      <c r="BT257" s="116"/>
      <c r="BU257" s="116"/>
      <c r="BV257" s="116"/>
      <c r="BW257" s="116"/>
      <c r="BX257" s="116"/>
      <c r="BY257" s="116"/>
      <c r="BZ257" s="116"/>
      <c r="CA257" s="116"/>
      <c r="CB257" s="116"/>
      <c r="CC257" s="50" t="s">
        <v>16851</v>
      </c>
      <c r="CD257" s="145">
        <v>43503.0</v>
      </c>
      <c r="CE257" s="50">
        <v>1.0</v>
      </c>
      <c r="CF257" s="50" t="s">
        <v>15555</v>
      </c>
      <c r="CG257" s="117">
        <v>5608.0</v>
      </c>
      <c r="CH257" s="50" t="s">
        <v>16854</v>
      </c>
      <c r="CI257" s="50" t="s">
        <v>16855</v>
      </c>
      <c r="CJ257" s="117">
        <v>256.0</v>
      </c>
    </row>
    <row r="258">
      <c r="A258" s="50" t="s">
        <v>16827</v>
      </c>
      <c r="B258" s="50" t="s">
        <v>6876</v>
      </c>
      <c r="C258" s="50" t="s">
        <v>6877</v>
      </c>
      <c r="D258" s="50" t="s">
        <v>11623</v>
      </c>
      <c r="E258" s="50" t="s">
        <v>16862</v>
      </c>
      <c r="F258" s="50">
        <v>58.0</v>
      </c>
      <c r="G258" s="50">
        <v>1.0</v>
      </c>
      <c r="H258" s="50">
        <v>14.0</v>
      </c>
      <c r="I258" s="50">
        <v>141.0</v>
      </c>
      <c r="J258" s="116"/>
      <c r="K258" s="50" t="s">
        <v>666</v>
      </c>
      <c r="L258" s="50" t="s">
        <v>666</v>
      </c>
      <c r="M258" s="50" t="s">
        <v>16726</v>
      </c>
      <c r="N258" s="50" t="s">
        <v>16727</v>
      </c>
      <c r="O258" s="50" t="s">
        <v>16728</v>
      </c>
      <c r="P258" s="116"/>
      <c r="Q258" s="116"/>
      <c r="R258" s="116"/>
      <c r="S258" s="50">
        <v>7.0</v>
      </c>
      <c r="T258" s="50">
        <v>1000.0</v>
      </c>
      <c r="U258" s="50">
        <v>3.0</v>
      </c>
      <c r="V258" s="50">
        <v>0.0</v>
      </c>
      <c r="W258" s="50">
        <v>7.0</v>
      </c>
      <c r="X258" s="50">
        <v>100.0</v>
      </c>
      <c r="Y258" s="50">
        <v>3.0</v>
      </c>
      <c r="Z258" s="50">
        <v>0.0</v>
      </c>
      <c r="AA258" s="50">
        <v>0.0</v>
      </c>
      <c r="AB258" s="116"/>
      <c r="AC258" s="116"/>
      <c r="AD258" s="116"/>
      <c r="AE258" s="116"/>
      <c r="AF258" s="116"/>
      <c r="AG258" s="116"/>
      <c r="AH258" s="50">
        <v>7.0</v>
      </c>
      <c r="AI258" s="50">
        <v>1000.0</v>
      </c>
      <c r="AJ258" s="50">
        <v>3.0</v>
      </c>
      <c r="AK258" s="50">
        <v>0.0</v>
      </c>
      <c r="AL258" s="50">
        <v>7.0</v>
      </c>
      <c r="AM258" s="50">
        <v>100.0</v>
      </c>
      <c r="AN258" s="50">
        <v>3.0</v>
      </c>
      <c r="AO258" s="50">
        <v>0.0</v>
      </c>
      <c r="AP258" s="50">
        <v>0.0</v>
      </c>
      <c r="AQ258" s="116"/>
      <c r="AR258" s="116"/>
      <c r="AS258" s="116"/>
      <c r="AT258" s="116"/>
      <c r="AU258" s="50">
        <v>0.0</v>
      </c>
      <c r="AV258" s="116"/>
      <c r="AW258" s="116"/>
      <c r="AX258" s="116"/>
      <c r="AY258" s="116"/>
      <c r="AZ258" s="116"/>
      <c r="BA258" s="116"/>
      <c r="BB258" s="116"/>
      <c r="BC258" s="116"/>
      <c r="BD258" s="116"/>
      <c r="BE258" s="116"/>
      <c r="BF258" s="116"/>
      <c r="BG258" s="116"/>
      <c r="BH258" s="116"/>
      <c r="BI258" s="116"/>
      <c r="BJ258" s="116"/>
      <c r="BK258" s="116"/>
      <c r="BL258" s="116"/>
      <c r="BM258" s="116"/>
      <c r="BN258" s="116"/>
      <c r="BO258" s="116"/>
      <c r="BP258" s="116"/>
      <c r="BQ258" s="116"/>
      <c r="BR258" s="116"/>
      <c r="BS258" s="116"/>
      <c r="BT258" s="116"/>
      <c r="BU258" s="116"/>
      <c r="BV258" s="116"/>
      <c r="BW258" s="116"/>
      <c r="BX258" s="116"/>
      <c r="BY258" s="116"/>
      <c r="BZ258" s="116"/>
      <c r="CA258" s="116"/>
      <c r="CB258" s="116"/>
      <c r="CC258" s="116"/>
      <c r="CD258" s="145">
        <v>43503.0</v>
      </c>
      <c r="CE258" s="50">
        <v>1.0</v>
      </c>
      <c r="CF258" s="50" t="s">
        <v>15555</v>
      </c>
      <c r="CG258" s="117">
        <v>5609.0</v>
      </c>
      <c r="CH258" s="50" t="s">
        <v>16885</v>
      </c>
      <c r="CI258" s="50" t="s">
        <v>16886</v>
      </c>
      <c r="CJ258" s="117">
        <v>257.0</v>
      </c>
    </row>
    <row r="259">
      <c r="A259" s="50" t="s">
        <v>16862</v>
      </c>
      <c r="B259" s="50" t="s">
        <v>6876</v>
      </c>
      <c r="C259" s="50" t="s">
        <v>6877</v>
      </c>
      <c r="D259" s="50" t="s">
        <v>11623</v>
      </c>
      <c r="E259" s="50" t="s">
        <v>16888</v>
      </c>
      <c r="F259" s="50">
        <v>58.0</v>
      </c>
      <c r="G259" s="50">
        <v>1.0</v>
      </c>
      <c r="H259" s="50">
        <v>14.0</v>
      </c>
      <c r="I259" s="50">
        <v>142.0</v>
      </c>
      <c r="J259" s="116"/>
      <c r="K259" s="50" t="s">
        <v>667</v>
      </c>
      <c r="L259" s="50" t="s">
        <v>667</v>
      </c>
      <c r="M259" s="50" t="s">
        <v>16726</v>
      </c>
      <c r="N259" s="50" t="s">
        <v>16727</v>
      </c>
      <c r="O259" s="50" t="s">
        <v>16728</v>
      </c>
      <c r="P259" s="116"/>
      <c r="Q259" s="116"/>
      <c r="R259" s="116"/>
      <c r="S259" s="50">
        <v>7.0</v>
      </c>
      <c r="T259" s="50">
        <v>1000.0</v>
      </c>
      <c r="U259" s="50">
        <v>3.0</v>
      </c>
      <c r="V259" s="50">
        <v>0.0</v>
      </c>
      <c r="W259" s="50">
        <v>7.0</v>
      </c>
      <c r="X259" s="50">
        <v>100.0</v>
      </c>
      <c r="Y259" s="50">
        <v>3.0</v>
      </c>
      <c r="Z259" s="50">
        <v>0.0</v>
      </c>
      <c r="AA259" s="50">
        <v>0.0</v>
      </c>
      <c r="AB259" s="116"/>
      <c r="AC259" s="116"/>
      <c r="AD259" s="116"/>
      <c r="AE259" s="116"/>
      <c r="AF259" s="116"/>
      <c r="AG259" s="116"/>
      <c r="AH259" s="50">
        <v>7.0</v>
      </c>
      <c r="AI259" s="50">
        <v>1000.0</v>
      </c>
      <c r="AJ259" s="50">
        <v>3.0</v>
      </c>
      <c r="AK259" s="50">
        <v>0.0</v>
      </c>
      <c r="AL259" s="50">
        <v>7.0</v>
      </c>
      <c r="AM259" s="50">
        <v>100.0</v>
      </c>
      <c r="AN259" s="50">
        <v>3.0</v>
      </c>
      <c r="AO259" s="50">
        <v>0.0</v>
      </c>
      <c r="AP259" s="50">
        <v>0.0</v>
      </c>
      <c r="AQ259" s="116"/>
      <c r="AR259" s="116"/>
      <c r="AS259" s="116"/>
      <c r="AT259" s="116"/>
      <c r="AU259" s="50">
        <v>0.0</v>
      </c>
      <c r="AV259" s="116"/>
      <c r="AW259" s="116"/>
      <c r="AX259" s="116"/>
      <c r="AY259" s="116"/>
      <c r="AZ259" s="116"/>
      <c r="BA259" s="116"/>
      <c r="BB259" s="116"/>
      <c r="BC259" s="116"/>
      <c r="BD259" s="116"/>
      <c r="BE259" s="116"/>
      <c r="BF259" s="116"/>
      <c r="BG259" s="116"/>
      <c r="BH259" s="116"/>
      <c r="BI259" s="116"/>
      <c r="BJ259" s="116"/>
      <c r="BK259" s="116"/>
      <c r="BL259" s="116"/>
      <c r="BM259" s="116"/>
      <c r="BN259" s="116"/>
      <c r="BO259" s="116"/>
      <c r="BP259" s="116"/>
      <c r="BQ259" s="116"/>
      <c r="BR259" s="116"/>
      <c r="BS259" s="116"/>
      <c r="BT259" s="116"/>
      <c r="BU259" s="116"/>
      <c r="BV259" s="116"/>
      <c r="BW259" s="116"/>
      <c r="BX259" s="116"/>
      <c r="BY259" s="116"/>
      <c r="BZ259" s="116"/>
      <c r="CA259" s="116"/>
      <c r="CB259" s="116"/>
      <c r="CC259" s="116"/>
      <c r="CD259" s="145">
        <v>43503.0</v>
      </c>
      <c r="CE259" s="50">
        <v>1.0</v>
      </c>
      <c r="CF259" s="50" t="s">
        <v>15555</v>
      </c>
      <c r="CG259" s="117">
        <v>5610.0</v>
      </c>
      <c r="CH259" s="50" t="s">
        <v>16916</v>
      </c>
      <c r="CI259" s="50" t="s">
        <v>16918</v>
      </c>
      <c r="CJ259" s="117">
        <v>258.0</v>
      </c>
    </row>
    <row r="260">
      <c r="A260" s="50" t="s">
        <v>16888</v>
      </c>
      <c r="B260" s="50" t="s">
        <v>6876</v>
      </c>
      <c r="C260" s="50" t="s">
        <v>6877</v>
      </c>
      <c r="D260" s="50" t="s">
        <v>11623</v>
      </c>
      <c r="E260" s="50" t="s">
        <v>16920</v>
      </c>
      <c r="F260" s="50">
        <v>58.0</v>
      </c>
      <c r="G260" s="50">
        <v>1.0</v>
      </c>
      <c r="H260" s="50">
        <v>14.0</v>
      </c>
      <c r="I260" s="50">
        <v>143.0</v>
      </c>
      <c r="J260" s="116"/>
      <c r="K260" s="50" t="s">
        <v>669</v>
      </c>
      <c r="L260" s="50" t="s">
        <v>669</v>
      </c>
      <c r="M260" s="50" t="s">
        <v>16726</v>
      </c>
      <c r="N260" s="50" t="s">
        <v>16727</v>
      </c>
      <c r="O260" s="50" t="s">
        <v>16728</v>
      </c>
      <c r="P260" s="116"/>
      <c r="Q260" s="116"/>
      <c r="R260" s="116"/>
      <c r="S260" s="50">
        <v>7.0</v>
      </c>
      <c r="T260" s="50">
        <v>1000.0</v>
      </c>
      <c r="U260" s="50">
        <v>3.0</v>
      </c>
      <c r="V260" s="50">
        <v>0.0</v>
      </c>
      <c r="W260" s="50">
        <v>7.0</v>
      </c>
      <c r="X260" s="50">
        <v>100.0</v>
      </c>
      <c r="Y260" s="50">
        <v>3.0</v>
      </c>
      <c r="Z260" s="50">
        <v>0.0</v>
      </c>
      <c r="AA260" s="50">
        <v>0.0</v>
      </c>
      <c r="AB260" s="116"/>
      <c r="AC260" s="116"/>
      <c r="AD260" s="116"/>
      <c r="AE260" s="116"/>
      <c r="AF260" s="116"/>
      <c r="AG260" s="116"/>
      <c r="AH260" s="50">
        <v>7.0</v>
      </c>
      <c r="AI260" s="50">
        <v>1000.0</v>
      </c>
      <c r="AJ260" s="50">
        <v>3.0</v>
      </c>
      <c r="AK260" s="50">
        <v>0.0</v>
      </c>
      <c r="AL260" s="50">
        <v>7.0</v>
      </c>
      <c r="AM260" s="50">
        <v>100.0</v>
      </c>
      <c r="AN260" s="50">
        <v>3.0</v>
      </c>
      <c r="AO260" s="50">
        <v>0.0</v>
      </c>
      <c r="AP260" s="50">
        <v>0.0</v>
      </c>
      <c r="AQ260" s="116"/>
      <c r="AR260" s="116"/>
      <c r="AS260" s="116"/>
      <c r="AT260" s="116"/>
      <c r="AU260" s="50">
        <v>0.0</v>
      </c>
      <c r="AV260" s="116"/>
      <c r="AW260" s="116"/>
      <c r="AX260" s="116"/>
      <c r="AY260" s="116"/>
      <c r="AZ260" s="116"/>
      <c r="BA260" s="116"/>
      <c r="BB260" s="116"/>
      <c r="BC260" s="116"/>
      <c r="BD260" s="116"/>
      <c r="BE260" s="116"/>
      <c r="BF260" s="116"/>
      <c r="BG260" s="116"/>
      <c r="BH260" s="116"/>
      <c r="BI260" s="116"/>
      <c r="BJ260" s="116"/>
      <c r="BK260" s="116"/>
      <c r="BL260" s="116"/>
      <c r="BM260" s="116"/>
      <c r="BN260" s="116"/>
      <c r="BO260" s="116"/>
      <c r="BP260" s="116"/>
      <c r="BQ260" s="116"/>
      <c r="BR260" s="116"/>
      <c r="BS260" s="116"/>
      <c r="BT260" s="116"/>
      <c r="BU260" s="116"/>
      <c r="BV260" s="116"/>
      <c r="BW260" s="116"/>
      <c r="BX260" s="116"/>
      <c r="BY260" s="116"/>
      <c r="BZ260" s="116"/>
      <c r="CA260" s="116"/>
      <c r="CB260" s="116"/>
      <c r="CC260" s="116"/>
      <c r="CD260" s="145">
        <v>43503.0</v>
      </c>
      <c r="CE260" s="50">
        <v>1.0</v>
      </c>
      <c r="CF260" s="50" t="s">
        <v>15555</v>
      </c>
      <c r="CG260" s="117">
        <v>5611.0</v>
      </c>
      <c r="CH260" s="50" t="s">
        <v>16943</v>
      </c>
      <c r="CI260" s="50" t="s">
        <v>16945</v>
      </c>
      <c r="CJ260" s="117">
        <v>259.0</v>
      </c>
    </row>
    <row r="261">
      <c r="A261" s="50" t="s">
        <v>16920</v>
      </c>
      <c r="B261" s="50" t="s">
        <v>6876</v>
      </c>
      <c r="C261" s="50" t="s">
        <v>6877</v>
      </c>
      <c r="D261" s="50" t="s">
        <v>11623</v>
      </c>
      <c r="E261" s="50" t="s">
        <v>16949</v>
      </c>
      <c r="F261" s="50">
        <v>58.0</v>
      </c>
      <c r="G261" s="50">
        <v>1.0</v>
      </c>
      <c r="H261" s="50">
        <v>14.0</v>
      </c>
      <c r="I261" s="50">
        <v>144.0</v>
      </c>
      <c r="J261" s="116"/>
      <c r="K261" s="50" t="s">
        <v>671</v>
      </c>
      <c r="L261" s="50" t="s">
        <v>671</v>
      </c>
      <c r="M261" s="50" t="s">
        <v>16726</v>
      </c>
      <c r="N261" s="50" t="s">
        <v>16727</v>
      </c>
      <c r="O261" s="50" t="s">
        <v>16728</v>
      </c>
      <c r="P261" s="116"/>
      <c r="Q261" s="116"/>
      <c r="R261" s="116"/>
      <c r="S261" s="50">
        <v>7.0</v>
      </c>
      <c r="T261" s="50">
        <v>1000.0</v>
      </c>
      <c r="U261" s="50">
        <v>3.0</v>
      </c>
      <c r="V261" s="50">
        <v>0.0</v>
      </c>
      <c r="W261" s="50">
        <v>7.0</v>
      </c>
      <c r="X261" s="50">
        <v>100.0</v>
      </c>
      <c r="Y261" s="50">
        <v>3.0</v>
      </c>
      <c r="Z261" s="50">
        <v>0.0</v>
      </c>
      <c r="AA261" s="50">
        <v>0.0</v>
      </c>
      <c r="AB261" s="116"/>
      <c r="AC261" s="116"/>
      <c r="AD261" s="116"/>
      <c r="AE261" s="116"/>
      <c r="AF261" s="116"/>
      <c r="AG261" s="116"/>
      <c r="AH261" s="50">
        <v>7.0</v>
      </c>
      <c r="AI261" s="50">
        <v>1000.0</v>
      </c>
      <c r="AJ261" s="50">
        <v>3.0</v>
      </c>
      <c r="AK261" s="50">
        <v>0.0</v>
      </c>
      <c r="AL261" s="50">
        <v>7.0</v>
      </c>
      <c r="AM261" s="50">
        <v>100.0</v>
      </c>
      <c r="AN261" s="50">
        <v>3.0</v>
      </c>
      <c r="AO261" s="50">
        <v>0.0</v>
      </c>
      <c r="AP261" s="50">
        <v>0.0</v>
      </c>
      <c r="AQ261" s="116"/>
      <c r="AR261" s="116"/>
      <c r="AS261" s="116"/>
      <c r="AT261" s="116"/>
      <c r="AU261" s="50">
        <v>0.0</v>
      </c>
      <c r="AV261" s="116"/>
      <c r="AW261" s="116"/>
      <c r="AX261" s="116"/>
      <c r="AY261" s="116"/>
      <c r="AZ261" s="116"/>
      <c r="BA261" s="116"/>
      <c r="BB261" s="116"/>
      <c r="BC261" s="116"/>
      <c r="BD261" s="116"/>
      <c r="BE261" s="116"/>
      <c r="BF261" s="116"/>
      <c r="BG261" s="116"/>
      <c r="BH261" s="116"/>
      <c r="BI261" s="116"/>
      <c r="BJ261" s="116"/>
      <c r="BK261" s="116"/>
      <c r="BL261" s="116"/>
      <c r="BM261" s="116"/>
      <c r="BN261" s="116"/>
      <c r="BO261" s="116"/>
      <c r="BP261" s="116"/>
      <c r="BQ261" s="116"/>
      <c r="BR261" s="116"/>
      <c r="BS261" s="116"/>
      <c r="BT261" s="116"/>
      <c r="BU261" s="116"/>
      <c r="BV261" s="116"/>
      <c r="BW261" s="116"/>
      <c r="BX261" s="116"/>
      <c r="BY261" s="116"/>
      <c r="BZ261" s="116"/>
      <c r="CA261" s="116"/>
      <c r="CB261" s="116"/>
      <c r="CC261" s="116"/>
      <c r="CD261" s="145">
        <v>43503.0</v>
      </c>
      <c r="CE261" s="50">
        <v>1.0</v>
      </c>
      <c r="CF261" s="50" t="s">
        <v>15555</v>
      </c>
      <c r="CG261" s="117">
        <v>5612.0</v>
      </c>
      <c r="CH261" s="50" t="s">
        <v>16967</v>
      </c>
      <c r="CI261" s="50" t="s">
        <v>16969</v>
      </c>
      <c r="CJ261" s="117">
        <v>260.0</v>
      </c>
    </row>
    <row r="262">
      <c r="A262" s="50" t="s">
        <v>16971</v>
      </c>
      <c r="B262" s="50" t="s">
        <v>6876</v>
      </c>
      <c r="C262" s="50" t="s">
        <v>6877</v>
      </c>
      <c r="D262" s="50" t="s">
        <v>11623</v>
      </c>
      <c r="E262" s="50" t="s">
        <v>16972</v>
      </c>
      <c r="F262" s="50">
        <v>58.0</v>
      </c>
      <c r="G262" s="50">
        <v>1.0</v>
      </c>
      <c r="H262" s="50">
        <v>14.0</v>
      </c>
      <c r="I262" s="50">
        <v>145.0</v>
      </c>
      <c r="J262" s="116"/>
      <c r="K262" s="50" t="s">
        <v>673</v>
      </c>
      <c r="L262" s="50" t="s">
        <v>673</v>
      </c>
      <c r="M262" s="50" t="s">
        <v>16726</v>
      </c>
      <c r="N262" s="50" t="s">
        <v>16727</v>
      </c>
      <c r="O262" s="50" t="s">
        <v>16728</v>
      </c>
      <c r="P262" s="116"/>
      <c r="Q262" s="116"/>
      <c r="R262" s="116"/>
      <c r="S262" s="50">
        <v>7.0</v>
      </c>
      <c r="T262" s="50">
        <v>1000.0</v>
      </c>
      <c r="U262" s="50">
        <v>3.0</v>
      </c>
      <c r="V262" s="50">
        <v>0.0</v>
      </c>
      <c r="W262" s="50">
        <v>7.0</v>
      </c>
      <c r="X262" s="50">
        <v>100.0</v>
      </c>
      <c r="Y262" s="50">
        <v>3.0</v>
      </c>
      <c r="Z262" s="50">
        <v>0.0</v>
      </c>
      <c r="AA262" s="50">
        <v>0.0</v>
      </c>
      <c r="AB262" s="116"/>
      <c r="AC262" s="116"/>
      <c r="AD262" s="116"/>
      <c r="AE262" s="116"/>
      <c r="AF262" s="116"/>
      <c r="AG262" s="116"/>
      <c r="AH262" s="50">
        <v>7.0</v>
      </c>
      <c r="AI262" s="50">
        <v>1000.0</v>
      </c>
      <c r="AJ262" s="50">
        <v>3.0</v>
      </c>
      <c r="AK262" s="50">
        <v>0.0</v>
      </c>
      <c r="AL262" s="50">
        <v>7.0</v>
      </c>
      <c r="AM262" s="50">
        <v>100.0</v>
      </c>
      <c r="AN262" s="50">
        <v>3.0</v>
      </c>
      <c r="AO262" s="50">
        <v>0.0</v>
      </c>
      <c r="AP262" s="50">
        <v>0.0</v>
      </c>
      <c r="AQ262" s="116"/>
      <c r="AR262" s="116"/>
      <c r="AS262" s="116"/>
      <c r="AT262" s="116"/>
      <c r="AU262" s="50">
        <v>0.0</v>
      </c>
      <c r="AV262" s="116"/>
      <c r="AW262" s="116"/>
      <c r="AX262" s="116"/>
      <c r="AY262" s="116"/>
      <c r="AZ262" s="116"/>
      <c r="BA262" s="116"/>
      <c r="BB262" s="116"/>
      <c r="BC262" s="116"/>
      <c r="BD262" s="116"/>
      <c r="BE262" s="116"/>
      <c r="BF262" s="116"/>
      <c r="BG262" s="116"/>
      <c r="BH262" s="116"/>
      <c r="BI262" s="116"/>
      <c r="BJ262" s="116"/>
      <c r="BK262" s="116"/>
      <c r="BL262" s="116"/>
      <c r="BM262" s="116"/>
      <c r="BN262" s="116"/>
      <c r="BO262" s="116"/>
      <c r="BP262" s="116"/>
      <c r="BQ262" s="116"/>
      <c r="BR262" s="116"/>
      <c r="BS262" s="116"/>
      <c r="BT262" s="116"/>
      <c r="BU262" s="116"/>
      <c r="BV262" s="116"/>
      <c r="BW262" s="116"/>
      <c r="BX262" s="116"/>
      <c r="BY262" s="116"/>
      <c r="BZ262" s="116"/>
      <c r="CA262" s="116"/>
      <c r="CB262" s="116"/>
      <c r="CC262" s="116"/>
      <c r="CD262" s="145">
        <v>43503.0</v>
      </c>
      <c r="CE262" s="50">
        <v>1.0</v>
      </c>
      <c r="CF262" s="50" t="s">
        <v>15555</v>
      </c>
      <c r="CG262" s="117">
        <v>5613.0</v>
      </c>
      <c r="CH262" s="50" t="s">
        <v>16992</v>
      </c>
      <c r="CI262" s="50" t="s">
        <v>16994</v>
      </c>
      <c r="CJ262" s="117">
        <v>261.0</v>
      </c>
    </row>
    <row r="263">
      <c r="A263" s="50" t="s">
        <v>16996</v>
      </c>
      <c r="B263" s="50" t="s">
        <v>6876</v>
      </c>
      <c r="C263" s="50" t="s">
        <v>6877</v>
      </c>
      <c r="D263" s="50" t="s">
        <v>11623</v>
      </c>
      <c r="E263" s="50" t="s">
        <v>16997</v>
      </c>
      <c r="F263" s="50">
        <v>58.0</v>
      </c>
      <c r="G263" s="50">
        <v>1.0</v>
      </c>
      <c r="H263" s="50">
        <v>99.0</v>
      </c>
      <c r="I263" s="116"/>
      <c r="J263" s="116"/>
      <c r="K263" s="50" t="s">
        <v>651</v>
      </c>
      <c r="L263" s="50" t="s">
        <v>651</v>
      </c>
      <c r="M263" s="50" t="s">
        <v>16726</v>
      </c>
      <c r="N263" s="50" t="s">
        <v>16727</v>
      </c>
      <c r="O263" s="50" t="s">
        <v>16728</v>
      </c>
      <c r="P263" s="116"/>
      <c r="Q263" s="116"/>
      <c r="R263" s="116"/>
      <c r="S263" s="50">
        <v>7.0</v>
      </c>
      <c r="T263" s="50">
        <v>1000.0</v>
      </c>
      <c r="U263" s="50">
        <v>3.0</v>
      </c>
      <c r="V263" s="50">
        <v>0.0</v>
      </c>
      <c r="W263" s="116"/>
      <c r="X263" s="116"/>
      <c r="Y263" s="116"/>
      <c r="Z263" s="116"/>
      <c r="AA263" s="116"/>
      <c r="AB263" s="116"/>
      <c r="AC263" s="116"/>
      <c r="AD263" s="116"/>
      <c r="AE263" s="116"/>
      <c r="AF263" s="116"/>
      <c r="AG263" s="116"/>
      <c r="AH263" s="50">
        <v>7.0</v>
      </c>
      <c r="AI263" s="50">
        <v>1000.0</v>
      </c>
      <c r="AJ263" s="50">
        <v>3.0</v>
      </c>
      <c r="AK263" s="50">
        <v>0.0</v>
      </c>
      <c r="AL263" s="116"/>
      <c r="AM263" s="116"/>
      <c r="AN263" s="116"/>
      <c r="AO263" s="116"/>
      <c r="AP263" s="116"/>
      <c r="AQ263" s="116"/>
      <c r="AR263" s="116"/>
      <c r="AS263" s="116"/>
      <c r="AT263" s="116"/>
      <c r="AU263" s="50">
        <v>0.0</v>
      </c>
      <c r="AV263" s="116"/>
      <c r="AW263" s="116"/>
      <c r="AX263" s="116"/>
      <c r="AY263" s="116"/>
      <c r="AZ263" s="116"/>
      <c r="BA263" s="116"/>
      <c r="BB263" s="116"/>
      <c r="BC263" s="116"/>
      <c r="BD263" s="116"/>
      <c r="BE263" s="116"/>
      <c r="BF263" s="116"/>
      <c r="BG263" s="116"/>
      <c r="BH263" s="116"/>
      <c r="BI263" s="116"/>
      <c r="BJ263" s="116"/>
      <c r="BK263" s="116"/>
      <c r="BL263" s="116"/>
      <c r="BM263" s="116"/>
      <c r="BN263" s="116"/>
      <c r="BO263" s="116"/>
      <c r="BP263" s="116"/>
      <c r="BQ263" s="116"/>
      <c r="BR263" s="116"/>
      <c r="BS263" s="116"/>
      <c r="BT263" s="116"/>
      <c r="BU263" s="116"/>
      <c r="BV263" s="116"/>
      <c r="BW263" s="116"/>
      <c r="BX263" s="116"/>
      <c r="BY263" s="116"/>
      <c r="BZ263" s="116"/>
      <c r="CA263" s="116"/>
      <c r="CB263" s="116"/>
      <c r="CC263" s="50" t="s">
        <v>17012</v>
      </c>
      <c r="CD263" s="145">
        <v>43503.0</v>
      </c>
      <c r="CE263" s="50">
        <v>1.0</v>
      </c>
      <c r="CF263" s="50" t="s">
        <v>15555</v>
      </c>
      <c r="CG263" s="117">
        <v>5614.0</v>
      </c>
      <c r="CH263" s="50" t="s">
        <v>17013</v>
      </c>
      <c r="CI263" s="50" t="s">
        <v>17014</v>
      </c>
      <c r="CJ263" s="117">
        <v>262.0</v>
      </c>
    </row>
    <row r="264">
      <c r="A264" s="50" t="s">
        <v>17015</v>
      </c>
      <c r="B264" s="50" t="s">
        <v>6876</v>
      </c>
      <c r="C264" s="50" t="s">
        <v>6877</v>
      </c>
      <c r="D264" s="50" t="s">
        <v>11623</v>
      </c>
      <c r="E264" s="50" t="s">
        <v>17016</v>
      </c>
      <c r="F264" s="50">
        <v>33.0</v>
      </c>
      <c r="G264" s="50">
        <v>1.0</v>
      </c>
      <c r="H264" s="50">
        <v>97.0</v>
      </c>
      <c r="I264" s="116"/>
      <c r="J264" s="116"/>
      <c r="K264" s="50" t="s">
        <v>17020</v>
      </c>
      <c r="L264" s="50" t="s">
        <v>17020</v>
      </c>
      <c r="M264" s="50" t="s">
        <v>16726</v>
      </c>
      <c r="N264" s="50" t="s">
        <v>16727</v>
      </c>
      <c r="O264" s="50" t="s">
        <v>16728</v>
      </c>
      <c r="P264" s="116"/>
      <c r="Q264" s="116"/>
      <c r="R264" s="116"/>
      <c r="S264" s="50">
        <v>7.0</v>
      </c>
      <c r="T264" s="50">
        <v>1000.0</v>
      </c>
      <c r="U264" s="50">
        <v>3.0</v>
      </c>
      <c r="V264" s="50">
        <v>250.0</v>
      </c>
      <c r="W264" s="116"/>
      <c r="X264" s="116"/>
      <c r="Y264" s="116"/>
      <c r="Z264" s="116"/>
      <c r="AA264" s="116"/>
      <c r="AB264" s="116"/>
      <c r="AC264" s="116"/>
      <c r="AD264" s="116"/>
      <c r="AE264" s="116"/>
      <c r="AF264" s="116"/>
      <c r="AG264" s="116"/>
      <c r="AH264" s="116"/>
      <c r="AI264" s="116"/>
      <c r="AJ264" s="116"/>
      <c r="AK264" s="116"/>
      <c r="AL264" s="116"/>
      <c r="AM264" s="116"/>
      <c r="AN264" s="116"/>
      <c r="AO264" s="116"/>
      <c r="AP264" s="116"/>
      <c r="AQ264" s="116"/>
      <c r="AR264" s="116"/>
      <c r="AS264" s="116"/>
      <c r="AT264" s="116"/>
      <c r="AU264" s="50">
        <v>0.0</v>
      </c>
      <c r="AV264" s="116"/>
      <c r="AW264" s="116"/>
      <c r="AX264" s="116"/>
      <c r="AY264" s="116"/>
      <c r="AZ264" s="116"/>
      <c r="BA264" s="116"/>
      <c r="BB264" s="116"/>
      <c r="BC264" s="116"/>
      <c r="BD264" s="116"/>
      <c r="BE264" s="116"/>
      <c r="BF264" s="116"/>
      <c r="BG264" s="116"/>
      <c r="BH264" s="116"/>
      <c r="BI264" s="116"/>
      <c r="BJ264" s="116"/>
      <c r="BK264" s="116"/>
      <c r="BL264" s="116"/>
      <c r="BM264" s="116"/>
      <c r="BN264" s="116"/>
      <c r="BO264" s="116"/>
      <c r="BP264" s="116"/>
      <c r="BQ264" s="116"/>
      <c r="BR264" s="116"/>
      <c r="BS264" s="116"/>
      <c r="BT264" s="116"/>
      <c r="BU264" s="116"/>
      <c r="BV264" s="116"/>
      <c r="BW264" s="116"/>
      <c r="BX264" s="116"/>
      <c r="BY264" s="116"/>
      <c r="BZ264" s="116"/>
      <c r="CA264" s="116"/>
      <c r="CB264" s="116"/>
      <c r="CC264" s="116"/>
      <c r="CD264" s="145">
        <v>43503.0</v>
      </c>
      <c r="CE264" s="50">
        <v>1.0</v>
      </c>
      <c r="CF264" s="50" t="s">
        <v>15555</v>
      </c>
      <c r="CG264" s="117">
        <v>5615.0</v>
      </c>
      <c r="CH264" s="50" t="s">
        <v>17037</v>
      </c>
      <c r="CI264" s="50" t="s">
        <v>17040</v>
      </c>
      <c r="CJ264" s="117">
        <v>263.0</v>
      </c>
    </row>
    <row r="265">
      <c r="A265" s="50" t="s">
        <v>17044</v>
      </c>
      <c r="B265" s="50" t="s">
        <v>6876</v>
      </c>
      <c r="C265" s="50" t="s">
        <v>6877</v>
      </c>
      <c r="D265" s="50" t="s">
        <v>11623</v>
      </c>
      <c r="E265" s="50" t="s">
        <v>17046</v>
      </c>
      <c r="F265" s="50">
        <v>33.0</v>
      </c>
      <c r="G265" s="50">
        <v>1.0</v>
      </c>
      <c r="H265" s="50">
        <v>97.0</v>
      </c>
      <c r="I265" s="116"/>
      <c r="J265" s="116"/>
      <c r="K265" s="50" t="s">
        <v>15565</v>
      </c>
      <c r="L265" s="50" t="s">
        <v>15565</v>
      </c>
      <c r="M265" s="50" t="s">
        <v>16726</v>
      </c>
      <c r="N265" s="50" t="s">
        <v>16727</v>
      </c>
      <c r="O265" s="50" t="s">
        <v>16728</v>
      </c>
      <c r="P265" s="116"/>
      <c r="Q265" s="116"/>
      <c r="R265" s="116"/>
      <c r="S265" s="116"/>
      <c r="T265" s="116"/>
      <c r="U265" s="116"/>
      <c r="V265" s="116"/>
      <c r="W265" s="116"/>
      <c r="X265" s="116"/>
      <c r="Y265" s="116"/>
      <c r="Z265" s="116"/>
      <c r="AA265" s="116"/>
      <c r="AB265" s="116"/>
      <c r="AC265" s="116"/>
      <c r="AD265" s="116"/>
      <c r="AE265" s="116"/>
      <c r="AF265" s="116"/>
      <c r="AG265" s="116"/>
      <c r="AH265" s="50">
        <v>7.0</v>
      </c>
      <c r="AI265" s="50">
        <v>1000.0</v>
      </c>
      <c r="AJ265" s="50">
        <v>3.0</v>
      </c>
      <c r="AK265" s="50">
        <v>190.0</v>
      </c>
      <c r="AL265" s="116"/>
      <c r="AM265" s="116"/>
      <c r="AN265" s="116"/>
      <c r="AO265" s="116"/>
      <c r="AP265" s="116"/>
      <c r="AQ265" s="116"/>
      <c r="AR265" s="116"/>
      <c r="AS265" s="116"/>
      <c r="AT265" s="116"/>
      <c r="AU265" s="50">
        <v>0.0</v>
      </c>
      <c r="AV265" s="116"/>
      <c r="AW265" s="116"/>
      <c r="AX265" s="116"/>
      <c r="AY265" s="116"/>
      <c r="AZ265" s="116"/>
      <c r="BA265" s="116"/>
      <c r="BB265" s="116"/>
      <c r="BC265" s="116"/>
      <c r="BD265" s="116"/>
      <c r="BE265" s="116"/>
      <c r="BF265" s="116"/>
      <c r="BG265" s="116"/>
      <c r="BH265" s="116"/>
      <c r="BI265" s="116"/>
      <c r="BJ265" s="116"/>
      <c r="BK265" s="116"/>
      <c r="BL265" s="116"/>
      <c r="BM265" s="116"/>
      <c r="BN265" s="116"/>
      <c r="BO265" s="116"/>
      <c r="BP265" s="116"/>
      <c r="BQ265" s="116"/>
      <c r="BR265" s="116"/>
      <c r="BS265" s="116"/>
      <c r="BT265" s="116"/>
      <c r="BU265" s="116"/>
      <c r="BV265" s="116"/>
      <c r="BW265" s="116"/>
      <c r="BX265" s="116"/>
      <c r="BY265" s="116"/>
      <c r="BZ265" s="116"/>
      <c r="CA265" s="116"/>
      <c r="CB265" s="116"/>
      <c r="CC265" s="116"/>
      <c r="CD265" s="145">
        <v>43503.0</v>
      </c>
      <c r="CE265" s="50">
        <v>1.0</v>
      </c>
      <c r="CF265" s="50" t="s">
        <v>15555</v>
      </c>
      <c r="CG265" s="117">
        <v>5616.0</v>
      </c>
      <c r="CH265" s="50" t="s">
        <v>17066</v>
      </c>
      <c r="CI265" s="50" t="s">
        <v>17067</v>
      </c>
      <c r="CJ265" s="117">
        <v>264.0</v>
      </c>
    </row>
    <row r="266">
      <c r="A266" s="50" t="s">
        <v>17069</v>
      </c>
      <c r="B266" s="50" t="s">
        <v>6876</v>
      </c>
      <c r="C266" s="50" t="s">
        <v>6877</v>
      </c>
      <c r="D266" s="50" t="s">
        <v>11623</v>
      </c>
      <c r="E266" s="50" t="s">
        <v>17073</v>
      </c>
      <c r="F266" s="50">
        <v>59.0</v>
      </c>
      <c r="G266" s="50">
        <v>1.0</v>
      </c>
      <c r="H266" s="50">
        <v>11.0</v>
      </c>
      <c r="I266" s="116"/>
      <c r="J266" s="116"/>
      <c r="K266" s="50" t="s">
        <v>1628</v>
      </c>
      <c r="L266" s="50" t="s">
        <v>1628</v>
      </c>
      <c r="M266" s="50" t="s">
        <v>17077</v>
      </c>
      <c r="N266" s="50" t="s">
        <v>17079</v>
      </c>
      <c r="O266" s="50" t="s">
        <v>17080</v>
      </c>
      <c r="P266" s="50">
        <v>4.0</v>
      </c>
      <c r="Q266" s="116"/>
      <c r="R266" s="116"/>
      <c r="S266" s="50">
        <v>7.0</v>
      </c>
      <c r="T266" s="50">
        <v>1000.0</v>
      </c>
      <c r="U266" s="50">
        <v>1.0</v>
      </c>
      <c r="V266" s="116"/>
      <c r="W266" s="50">
        <v>7.0</v>
      </c>
      <c r="X266" s="50">
        <v>100.0</v>
      </c>
      <c r="Y266" s="50">
        <v>1.0</v>
      </c>
      <c r="Z266" s="116"/>
      <c r="AA266" s="50">
        <v>1.0</v>
      </c>
      <c r="AB266" s="50">
        <v>4.0</v>
      </c>
      <c r="AC266" s="50">
        <v>1000.0</v>
      </c>
      <c r="AD266" s="50">
        <v>3.0</v>
      </c>
      <c r="AE266" s="50">
        <v>112.0</v>
      </c>
      <c r="AF266" s="116"/>
      <c r="AG266" s="116"/>
      <c r="AH266" s="50">
        <v>7.0</v>
      </c>
      <c r="AI266" s="50">
        <v>5000.0</v>
      </c>
      <c r="AJ266" s="50">
        <v>3.0</v>
      </c>
      <c r="AK266" s="50">
        <v>0.0</v>
      </c>
      <c r="AL266" s="50">
        <v>7.0</v>
      </c>
      <c r="AM266" s="50">
        <v>1000.0</v>
      </c>
      <c r="AN266" s="50">
        <v>3.0</v>
      </c>
      <c r="AO266" s="50">
        <v>0.0</v>
      </c>
      <c r="AP266" s="50">
        <v>1.0</v>
      </c>
      <c r="AQ266" s="50">
        <v>7.0</v>
      </c>
      <c r="AR266" s="50">
        <v>100.0</v>
      </c>
      <c r="AS266" s="50">
        <v>3.0</v>
      </c>
      <c r="AT266" s="50">
        <v>0.0</v>
      </c>
      <c r="AU266" s="50">
        <v>0.0</v>
      </c>
      <c r="AV266" s="116"/>
      <c r="AW266" s="116"/>
      <c r="AX266" s="116"/>
      <c r="AY266" s="116"/>
      <c r="AZ266" s="116"/>
      <c r="BA266" s="116"/>
      <c r="BB266" s="116"/>
      <c r="BC266" s="116"/>
      <c r="BD266" s="116"/>
      <c r="BE266" s="116"/>
      <c r="BF266" s="116"/>
      <c r="BG266" s="116"/>
      <c r="BH266" s="116"/>
      <c r="BI266" s="116"/>
      <c r="BJ266" s="116"/>
      <c r="BK266" s="116"/>
      <c r="BL266" s="116"/>
      <c r="BM266" s="116"/>
      <c r="BN266" s="116"/>
      <c r="BO266" s="116"/>
      <c r="BP266" s="116"/>
      <c r="BQ266" s="116"/>
      <c r="BR266" s="116"/>
      <c r="BS266" s="116"/>
      <c r="BT266" s="116"/>
      <c r="BU266" s="116"/>
      <c r="BV266" s="116"/>
      <c r="BW266" s="116"/>
      <c r="BX266" s="116"/>
      <c r="BY266" s="116"/>
      <c r="BZ266" s="116"/>
      <c r="CA266" s="116"/>
      <c r="CB266" s="116"/>
      <c r="CC266" s="50" t="s">
        <v>17096</v>
      </c>
      <c r="CD266" s="145">
        <v>43503.0</v>
      </c>
      <c r="CE266" s="50">
        <v>1.0</v>
      </c>
      <c r="CF266" s="50" t="s">
        <v>15555</v>
      </c>
      <c r="CG266" s="117">
        <v>5617.0</v>
      </c>
      <c r="CH266" s="50" t="s">
        <v>17098</v>
      </c>
      <c r="CI266" s="50" t="s">
        <v>17101</v>
      </c>
      <c r="CJ266" s="117">
        <v>265.0</v>
      </c>
    </row>
    <row r="267">
      <c r="A267" s="50" t="s">
        <v>17073</v>
      </c>
      <c r="B267" s="50" t="s">
        <v>6876</v>
      </c>
      <c r="C267" s="50" t="s">
        <v>6877</v>
      </c>
      <c r="D267" s="50" t="s">
        <v>11623</v>
      </c>
      <c r="E267" s="50" t="s">
        <v>17104</v>
      </c>
      <c r="F267" s="50">
        <v>59.0</v>
      </c>
      <c r="G267" s="50">
        <v>1.0</v>
      </c>
      <c r="H267" s="50">
        <v>11.0</v>
      </c>
      <c r="I267" s="116"/>
      <c r="J267" s="116"/>
      <c r="K267" s="50" t="s">
        <v>1631</v>
      </c>
      <c r="L267" s="50" t="s">
        <v>1631</v>
      </c>
      <c r="M267" s="50" t="s">
        <v>17077</v>
      </c>
      <c r="N267" s="50" t="s">
        <v>17079</v>
      </c>
      <c r="O267" s="50" t="s">
        <v>17080</v>
      </c>
      <c r="P267" s="50">
        <v>4.0</v>
      </c>
      <c r="Q267" s="116"/>
      <c r="R267" s="116"/>
      <c r="S267" s="50">
        <v>7.0</v>
      </c>
      <c r="T267" s="50">
        <v>1000.0</v>
      </c>
      <c r="U267" s="50">
        <v>1.0</v>
      </c>
      <c r="V267" s="116"/>
      <c r="W267" s="50">
        <v>7.0</v>
      </c>
      <c r="X267" s="50">
        <v>100.0</v>
      </c>
      <c r="Y267" s="50">
        <v>1.0</v>
      </c>
      <c r="Z267" s="116"/>
      <c r="AA267" s="50">
        <v>1.0</v>
      </c>
      <c r="AB267" s="50">
        <v>4.0</v>
      </c>
      <c r="AC267" s="50">
        <v>1000.0</v>
      </c>
      <c r="AD267" s="50">
        <v>3.0</v>
      </c>
      <c r="AE267" s="50">
        <v>39.0</v>
      </c>
      <c r="AF267" s="116"/>
      <c r="AG267" s="116"/>
      <c r="AH267" s="50">
        <v>7.0</v>
      </c>
      <c r="AI267" s="50">
        <v>5000.0</v>
      </c>
      <c r="AJ267" s="50">
        <v>3.0</v>
      </c>
      <c r="AK267" s="50">
        <v>0.0</v>
      </c>
      <c r="AL267" s="50">
        <v>7.0</v>
      </c>
      <c r="AM267" s="50">
        <v>1000.0</v>
      </c>
      <c r="AN267" s="50">
        <v>3.0</v>
      </c>
      <c r="AO267" s="50">
        <v>0.0</v>
      </c>
      <c r="AP267" s="50">
        <v>1.0</v>
      </c>
      <c r="AQ267" s="50">
        <v>7.0</v>
      </c>
      <c r="AR267" s="50">
        <v>100.0</v>
      </c>
      <c r="AS267" s="50">
        <v>3.0</v>
      </c>
      <c r="AT267" s="50">
        <v>0.0</v>
      </c>
      <c r="AU267" s="50">
        <v>0.0</v>
      </c>
      <c r="AV267" s="116"/>
      <c r="AW267" s="116"/>
      <c r="AX267" s="116"/>
      <c r="AY267" s="116"/>
      <c r="AZ267" s="116"/>
      <c r="BA267" s="116"/>
      <c r="BB267" s="116"/>
      <c r="BC267" s="116"/>
      <c r="BD267" s="116"/>
      <c r="BE267" s="116"/>
      <c r="BF267" s="116"/>
      <c r="BG267" s="116"/>
      <c r="BH267" s="116"/>
      <c r="BI267" s="116"/>
      <c r="BJ267" s="116"/>
      <c r="BK267" s="116"/>
      <c r="BL267" s="116"/>
      <c r="BM267" s="116"/>
      <c r="BN267" s="116"/>
      <c r="BO267" s="116"/>
      <c r="BP267" s="116"/>
      <c r="BQ267" s="116"/>
      <c r="BR267" s="116"/>
      <c r="BS267" s="116"/>
      <c r="BT267" s="116"/>
      <c r="BU267" s="116"/>
      <c r="BV267" s="116"/>
      <c r="BW267" s="116"/>
      <c r="BX267" s="116"/>
      <c r="BY267" s="116"/>
      <c r="BZ267" s="116"/>
      <c r="CA267" s="116"/>
      <c r="CB267" s="116"/>
      <c r="CC267" s="50" t="s">
        <v>17121</v>
      </c>
      <c r="CD267" s="145">
        <v>43503.0</v>
      </c>
      <c r="CE267" s="50">
        <v>1.0</v>
      </c>
      <c r="CF267" s="50" t="s">
        <v>15555</v>
      </c>
      <c r="CG267" s="117">
        <v>5618.0</v>
      </c>
      <c r="CH267" s="50" t="s">
        <v>17122</v>
      </c>
      <c r="CI267" s="50" t="s">
        <v>17124</v>
      </c>
      <c r="CJ267" s="117">
        <v>266.0</v>
      </c>
    </row>
    <row r="268">
      <c r="A268" s="50" t="s">
        <v>17127</v>
      </c>
      <c r="B268" s="50" t="s">
        <v>6876</v>
      </c>
      <c r="C268" s="50" t="s">
        <v>6877</v>
      </c>
      <c r="D268" s="50" t="s">
        <v>11623</v>
      </c>
      <c r="E268" s="50" t="s">
        <v>17130</v>
      </c>
      <c r="F268" s="50">
        <v>59.0</v>
      </c>
      <c r="G268" s="50">
        <v>1.0</v>
      </c>
      <c r="H268" s="50">
        <v>11.0</v>
      </c>
      <c r="I268" s="116"/>
      <c r="J268" s="116"/>
      <c r="K268" s="50" t="s">
        <v>1634</v>
      </c>
      <c r="L268" s="50" t="s">
        <v>1634</v>
      </c>
      <c r="M268" s="50" t="s">
        <v>17077</v>
      </c>
      <c r="N268" s="50" t="s">
        <v>17079</v>
      </c>
      <c r="O268" s="50" t="s">
        <v>17080</v>
      </c>
      <c r="P268" s="50">
        <v>4.0</v>
      </c>
      <c r="Q268" s="116"/>
      <c r="R268" s="116"/>
      <c r="S268" s="50">
        <v>7.0</v>
      </c>
      <c r="T268" s="50">
        <v>1000.0</v>
      </c>
      <c r="U268" s="50">
        <v>3.0</v>
      </c>
      <c r="V268" s="50">
        <v>0.0</v>
      </c>
      <c r="W268" s="50">
        <v>7.0</v>
      </c>
      <c r="X268" s="50">
        <v>100.0</v>
      </c>
      <c r="Y268" s="50">
        <v>3.0</v>
      </c>
      <c r="Z268" s="50">
        <v>0.0</v>
      </c>
      <c r="AA268" s="50">
        <v>1.0</v>
      </c>
      <c r="AB268" s="50">
        <v>4.0</v>
      </c>
      <c r="AC268" s="50">
        <v>1000.0</v>
      </c>
      <c r="AD268" s="50">
        <v>1.0</v>
      </c>
      <c r="AE268" s="116"/>
      <c r="AF268" s="116"/>
      <c r="AG268" s="116"/>
      <c r="AH268" s="50">
        <v>7.0</v>
      </c>
      <c r="AI268" s="50">
        <v>5000.0</v>
      </c>
      <c r="AJ268" s="50">
        <v>3.0</v>
      </c>
      <c r="AK268" s="50">
        <v>0.0</v>
      </c>
      <c r="AL268" s="50">
        <v>7.0</v>
      </c>
      <c r="AM268" s="50">
        <v>1000.0</v>
      </c>
      <c r="AN268" s="50">
        <v>3.0</v>
      </c>
      <c r="AO268" s="50">
        <v>0.0</v>
      </c>
      <c r="AP268" s="50">
        <v>1.0</v>
      </c>
      <c r="AQ268" s="50">
        <v>7.0</v>
      </c>
      <c r="AR268" s="50">
        <v>100.0</v>
      </c>
      <c r="AS268" s="50">
        <v>3.0</v>
      </c>
      <c r="AT268" s="50">
        <v>0.0</v>
      </c>
      <c r="AU268" s="50">
        <v>0.0</v>
      </c>
      <c r="AV268" s="116"/>
      <c r="AW268" s="116"/>
      <c r="AX268" s="116"/>
      <c r="AY268" s="116"/>
      <c r="AZ268" s="116"/>
      <c r="BA268" s="116"/>
      <c r="BB268" s="116"/>
      <c r="BC268" s="116"/>
      <c r="BD268" s="116"/>
      <c r="BE268" s="116"/>
      <c r="BF268" s="116"/>
      <c r="BG268" s="116"/>
      <c r="BH268" s="116"/>
      <c r="BI268" s="116"/>
      <c r="BJ268" s="116"/>
      <c r="BK268" s="116"/>
      <c r="BL268" s="116"/>
      <c r="BM268" s="116"/>
      <c r="BN268" s="116"/>
      <c r="BO268" s="116"/>
      <c r="BP268" s="116"/>
      <c r="BQ268" s="116"/>
      <c r="BR268" s="116"/>
      <c r="BS268" s="116"/>
      <c r="BT268" s="116"/>
      <c r="BU268" s="116"/>
      <c r="BV268" s="116"/>
      <c r="BW268" s="116"/>
      <c r="BX268" s="116"/>
      <c r="BY268" s="116"/>
      <c r="BZ268" s="116"/>
      <c r="CA268" s="116"/>
      <c r="CB268" s="116"/>
      <c r="CC268" s="116"/>
      <c r="CD268" s="50" t="s">
        <v>17146</v>
      </c>
      <c r="CE268" s="50">
        <v>1.0</v>
      </c>
      <c r="CF268" s="50" t="s">
        <v>15555</v>
      </c>
      <c r="CG268" s="117">
        <v>5619.0</v>
      </c>
      <c r="CH268" s="50" t="s">
        <v>17147</v>
      </c>
      <c r="CI268" s="50" t="s">
        <v>17148</v>
      </c>
      <c r="CJ268" s="117">
        <v>267.0</v>
      </c>
    </row>
    <row r="269">
      <c r="A269" s="50" t="s">
        <v>17151</v>
      </c>
      <c r="B269" s="50" t="s">
        <v>6876</v>
      </c>
      <c r="C269" s="50" t="s">
        <v>6877</v>
      </c>
      <c r="D269" s="50" t="s">
        <v>11623</v>
      </c>
      <c r="E269" s="50" t="s">
        <v>17153</v>
      </c>
      <c r="F269" s="50">
        <v>58.0</v>
      </c>
      <c r="G269" s="50">
        <v>1.0</v>
      </c>
      <c r="H269" s="50">
        <v>11.0</v>
      </c>
      <c r="I269" s="116"/>
      <c r="J269" s="116"/>
      <c r="K269" s="50" t="s">
        <v>1637</v>
      </c>
      <c r="L269" s="50" t="s">
        <v>1637</v>
      </c>
      <c r="M269" s="50" t="s">
        <v>17077</v>
      </c>
      <c r="N269" s="50" t="s">
        <v>17079</v>
      </c>
      <c r="O269" s="50" t="s">
        <v>17080</v>
      </c>
      <c r="P269" s="50">
        <v>4.0</v>
      </c>
      <c r="Q269" s="116"/>
      <c r="R269" s="116"/>
      <c r="S269" s="50">
        <v>7.0</v>
      </c>
      <c r="T269" s="50">
        <v>1000.0</v>
      </c>
      <c r="U269" s="50">
        <v>1.0</v>
      </c>
      <c r="V269" s="116"/>
      <c r="W269" s="50">
        <v>7.0</v>
      </c>
      <c r="X269" s="50">
        <v>100.0</v>
      </c>
      <c r="Y269" s="50">
        <v>3.0</v>
      </c>
      <c r="Z269" s="50">
        <v>23.0</v>
      </c>
      <c r="AA269" s="50">
        <v>1.0</v>
      </c>
      <c r="AB269" s="50">
        <v>4.0</v>
      </c>
      <c r="AC269" s="50">
        <v>1000.0</v>
      </c>
      <c r="AD269" s="50">
        <v>3.0</v>
      </c>
      <c r="AE269" s="50">
        <v>3.0</v>
      </c>
      <c r="AF269" s="116"/>
      <c r="AG269" s="116"/>
      <c r="AH269" s="50">
        <v>7.0</v>
      </c>
      <c r="AI269" s="50">
        <v>5000.0</v>
      </c>
      <c r="AJ269" s="50">
        <v>3.0</v>
      </c>
      <c r="AK269" s="50">
        <v>0.0</v>
      </c>
      <c r="AL269" s="50">
        <v>7.0</v>
      </c>
      <c r="AM269" s="50">
        <v>1000.0</v>
      </c>
      <c r="AN269" s="50">
        <v>3.0</v>
      </c>
      <c r="AO269" s="50">
        <v>0.0</v>
      </c>
      <c r="AP269" s="50">
        <v>1.0</v>
      </c>
      <c r="AQ269" s="50">
        <v>7.0</v>
      </c>
      <c r="AR269" s="50">
        <v>100.0</v>
      </c>
      <c r="AS269" s="50">
        <v>3.0</v>
      </c>
      <c r="AT269" s="50">
        <v>0.0</v>
      </c>
      <c r="AU269" s="50">
        <v>0.0</v>
      </c>
      <c r="AV269" s="116"/>
      <c r="AW269" s="116"/>
      <c r="AX269" s="116"/>
      <c r="AY269" s="116"/>
      <c r="AZ269" s="116"/>
      <c r="BA269" s="116"/>
      <c r="BB269" s="116"/>
      <c r="BC269" s="116"/>
      <c r="BD269" s="116"/>
      <c r="BE269" s="116"/>
      <c r="BF269" s="116"/>
      <c r="BG269" s="116"/>
      <c r="BH269" s="116"/>
      <c r="BI269" s="116"/>
      <c r="BJ269" s="116"/>
      <c r="BK269" s="116"/>
      <c r="BL269" s="116"/>
      <c r="BM269" s="116"/>
      <c r="BN269" s="116"/>
      <c r="BO269" s="116"/>
      <c r="BP269" s="116"/>
      <c r="BQ269" s="116"/>
      <c r="BR269" s="116"/>
      <c r="BS269" s="116"/>
      <c r="BT269" s="116"/>
      <c r="BU269" s="116"/>
      <c r="BV269" s="116"/>
      <c r="BW269" s="116"/>
      <c r="BX269" s="116"/>
      <c r="BY269" s="116"/>
      <c r="BZ269" s="116"/>
      <c r="CA269" s="116"/>
      <c r="CB269" s="116"/>
      <c r="CC269" s="50" t="s">
        <v>16851</v>
      </c>
      <c r="CD269" s="145">
        <v>43503.0</v>
      </c>
      <c r="CE269" s="50">
        <v>1.0</v>
      </c>
      <c r="CF269" s="50" t="s">
        <v>15555</v>
      </c>
      <c r="CG269" s="117">
        <v>5620.0</v>
      </c>
      <c r="CH269" s="50" t="s">
        <v>17171</v>
      </c>
      <c r="CI269" s="50" t="s">
        <v>17173</v>
      </c>
      <c r="CJ269" s="117">
        <v>268.0</v>
      </c>
    </row>
    <row r="270">
      <c r="A270" s="50" t="s">
        <v>17177</v>
      </c>
      <c r="B270" s="50" t="s">
        <v>6876</v>
      </c>
      <c r="C270" s="50" t="s">
        <v>6877</v>
      </c>
      <c r="D270" s="50" t="s">
        <v>11623</v>
      </c>
      <c r="E270" s="50" t="s">
        <v>17180</v>
      </c>
      <c r="F270" s="50">
        <v>59.0</v>
      </c>
      <c r="G270" s="50">
        <v>1.0</v>
      </c>
      <c r="H270" s="50">
        <v>11.0</v>
      </c>
      <c r="I270" s="116"/>
      <c r="J270" s="116"/>
      <c r="K270" s="50" t="s">
        <v>1643</v>
      </c>
      <c r="L270" s="50" t="s">
        <v>1643</v>
      </c>
      <c r="M270" s="50" t="s">
        <v>17077</v>
      </c>
      <c r="N270" s="50" t="s">
        <v>17079</v>
      </c>
      <c r="O270" s="50" t="s">
        <v>17080</v>
      </c>
      <c r="P270" s="50">
        <v>4.0</v>
      </c>
      <c r="Q270" s="116"/>
      <c r="R270" s="116"/>
      <c r="S270" s="50">
        <v>7.0</v>
      </c>
      <c r="T270" s="50">
        <v>1000.0</v>
      </c>
      <c r="U270" s="50">
        <v>3.0</v>
      </c>
      <c r="V270" s="50">
        <v>0.0</v>
      </c>
      <c r="W270" s="50">
        <v>7.0</v>
      </c>
      <c r="X270" s="50">
        <v>100.0</v>
      </c>
      <c r="Y270" s="50">
        <v>1.0</v>
      </c>
      <c r="Z270" s="116"/>
      <c r="AA270" s="50">
        <v>1.0</v>
      </c>
      <c r="AB270" s="50">
        <v>4.0</v>
      </c>
      <c r="AC270" s="50">
        <v>1000.0</v>
      </c>
      <c r="AD270" s="50">
        <v>3.0</v>
      </c>
      <c r="AE270" s="50">
        <v>7.0</v>
      </c>
      <c r="AF270" s="116"/>
      <c r="AG270" s="116"/>
      <c r="AH270" s="50">
        <v>7.0</v>
      </c>
      <c r="AI270" s="50">
        <v>5000.0</v>
      </c>
      <c r="AJ270" s="50">
        <v>3.0</v>
      </c>
      <c r="AK270" s="50">
        <v>0.0</v>
      </c>
      <c r="AL270" s="50">
        <v>7.0</v>
      </c>
      <c r="AM270" s="50">
        <v>1000.0</v>
      </c>
      <c r="AN270" s="50">
        <v>3.0</v>
      </c>
      <c r="AO270" s="50">
        <v>0.0</v>
      </c>
      <c r="AP270" s="50">
        <v>1.0</v>
      </c>
      <c r="AQ270" s="50">
        <v>7.0</v>
      </c>
      <c r="AR270" s="50">
        <v>100.0</v>
      </c>
      <c r="AS270" s="50">
        <v>3.0</v>
      </c>
      <c r="AT270" s="50">
        <v>0.0</v>
      </c>
      <c r="AU270" s="50">
        <v>0.0</v>
      </c>
      <c r="AV270" s="116"/>
      <c r="AW270" s="116"/>
      <c r="AX270" s="116"/>
      <c r="AY270" s="116"/>
      <c r="AZ270" s="116"/>
      <c r="BA270" s="116"/>
      <c r="BB270" s="116"/>
      <c r="BC270" s="116"/>
      <c r="BD270" s="116"/>
      <c r="BE270" s="116"/>
      <c r="BF270" s="116"/>
      <c r="BG270" s="116"/>
      <c r="BH270" s="116"/>
      <c r="BI270" s="116"/>
      <c r="BJ270" s="116"/>
      <c r="BK270" s="116"/>
      <c r="BL270" s="116"/>
      <c r="BM270" s="116"/>
      <c r="BN270" s="116"/>
      <c r="BO270" s="116"/>
      <c r="BP270" s="116"/>
      <c r="BQ270" s="116"/>
      <c r="BR270" s="116"/>
      <c r="BS270" s="116"/>
      <c r="BT270" s="116"/>
      <c r="BU270" s="116"/>
      <c r="BV270" s="116"/>
      <c r="BW270" s="116"/>
      <c r="BX270" s="116"/>
      <c r="BY270" s="116"/>
      <c r="BZ270" s="116"/>
      <c r="CA270" s="116"/>
      <c r="CB270" s="116"/>
      <c r="CC270" s="50" t="s">
        <v>16821</v>
      </c>
      <c r="CD270" s="145">
        <v>43503.0</v>
      </c>
      <c r="CE270" s="50">
        <v>1.0</v>
      </c>
      <c r="CF270" s="50" t="s">
        <v>15555</v>
      </c>
      <c r="CG270" s="117">
        <v>5621.0</v>
      </c>
      <c r="CH270" s="50" t="s">
        <v>17201</v>
      </c>
      <c r="CI270" s="50" t="s">
        <v>17202</v>
      </c>
      <c r="CJ270" s="117">
        <v>269.0</v>
      </c>
    </row>
    <row r="271">
      <c r="A271" s="50" t="s">
        <v>17203</v>
      </c>
      <c r="B271" s="50" t="s">
        <v>6876</v>
      </c>
      <c r="C271" s="50" t="s">
        <v>6877</v>
      </c>
      <c r="D271" s="50" t="s">
        <v>11623</v>
      </c>
      <c r="E271" s="50" t="s">
        <v>17204</v>
      </c>
      <c r="F271" s="50">
        <v>59.0</v>
      </c>
      <c r="G271" s="50">
        <v>1.0</v>
      </c>
      <c r="H271" s="50">
        <v>11.0</v>
      </c>
      <c r="I271" s="116"/>
      <c r="J271" s="116"/>
      <c r="K271" s="50" t="s">
        <v>1644</v>
      </c>
      <c r="L271" s="50" t="s">
        <v>1644</v>
      </c>
      <c r="M271" s="50" t="s">
        <v>17077</v>
      </c>
      <c r="N271" s="50" t="s">
        <v>17079</v>
      </c>
      <c r="O271" s="50" t="s">
        <v>17080</v>
      </c>
      <c r="P271" s="50">
        <v>4.0</v>
      </c>
      <c r="Q271" s="116"/>
      <c r="R271" s="116"/>
      <c r="S271" s="50">
        <v>7.0</v>
      </c>
      <c r="T271" s="50">
        <v>1000.0</v>
      </c>
      <c r="U271" s="50">
        <v>3.0</v>
      </c>
      <c r="V271" s="50">
        <v>0.0</v>
      </c>
      <c r="W271" s="50">
        <v>7.0</v>
      </c>
      <c r="X271" s="50">
        <v>100.0</v>
      </c>
      <c r="Y271" s="50">
        <v>3.0</v>
      </c>
      <c r="Z271" s="50">
        <v>0.0</v>
      </c>
      <c r="AA271" s="50">
        <v>1.0</v>
      </c>
      <c r="AB271" s="50">
        <v>4.0</v>
      </c>
      <c r="AC271" s="50">
        <v>1000.0</v>
      </c>
      <c r="AD271" s="50">
        <v>1.0</v>
      </c>
      <c r="AE271" s="116"/>
      <c r="AF271" s="116"/>
      <c r="AG271" s="116"/>
      <c r="AH271" s="50">
        <v>7.0</v>
      </c>
      <c r="AI271" s="50">
        <v>5000.0</v>
      </c>
      <c r="AJ271" s="50">
        <v>3.0</v>
      </c>
      <c r="AK271" s="50">
        <v>0.0</v>
      </c>
      <c r="AL271" s="50">
        <v>7.0</v>
      </c>
      <c r="AM271" s="50">
        <v>1000.0</v>
      </c>
      <c r="AN271" s="50">
        <v>3.0</v>
      </c>
      <c r="AO271" s="50">
        <v>0.0</v>
      </c>
      <c r="AP271" s="50">
        <v>1.0</v>
      </c>
      <c r="AQ271" s="50">
        <v>7.0</v>
      </c>
      <c r="AR271" s="50">
        <v>100.0</v>
      </c>
      <c r="AS271" s="50">
        <v>3.0</v>
      </c>
      <c r="AT271" s="50">
        <v>0.0</v>
      </c>
      <c r="AU271" s="50">
        <v>0.0</v>
      </c>
      <c r="AV271" s="116"/>
      <c r="AW271" s="116"/>
      <c r="AX271" s="116"/>
      <c r="AY271" s="116"/>
      <c r="AZ271" s="116"/>
      <c r="BA271" s="116"/>
      <c r="BB271" s="116"/>
      <c r="BC271" s="116"/>
      <c r="BD271" s="116"/>
      <c r="BE271" s="116"/>
      <c r="BF271" s="116"/>
      <c r="BG271" s="116"/>
      <c r="BH271" s="116"/>
      <c r="BI271" s="116"/>
      <c r="BJ271" s="116"/>
      <c r="BK271" s="116"/>
      <c r="BL271" s="116"/>
      <c r="BM271" s="116"/>
      <c r="BN271" s="116"/>
      <c r="BO271" s="116"/>
      <c r="BP271" s="116"/>
      <c r="BQ271" s="116"/>
      <c r="BR271" s="116"/>
      <c r="BS271" s="116"/>
      <c r="BT271" s="116"/>
      <c r="BU271" s="116"/>
      <c r="BV271" s="116"/>
      <c r="BW271" s="116"/>
      <c r="BX271" s="116"/>
      <c r="BY271" s="116"/>
      <c r="BZ271" s="116"/>
      <c r="CA271" s="116"/>
      <c r="CB271" s="116"/>
      <c r="CC271" s="50" t="s">
        <v>17218</v>
      </c>
      <c r="CD271" s="145">
        <v>43503.0</v>
      </c>
      <c r="CE271" s="50">
        <v>1.0</v>
      </c>
      <c r="CF271" s="50" t="s">
        <v>15555</v>
      </c>
      <c r="CG271" s="117">
        <v>5622.0</v>
      </c>
      <c r="CH271" s="50" t="s">
        <v>17222</v>
      </c>
      <c r="CI271" s="50" t="s">
        <v>17223</v>
      </c>
      <c r="CJ271" s="117">
        <v>270.0</v>
      </c>
    </row>
    <row r="272">
      <c r="A272" s="50" t="s">
        <v>17225</v>
      </c>
      <c r="B272" s="50" t="s">
        <v>6876</v>
      </c>
      <c r="C272" s="50" t="s">
        <v>6877</v>
      </c>
      <c r="D272" s="50" t="s">
        <v>11623</v>
      </c>
      <c r="E272" s="50" t="s">
        <v>17226</v>
      </c>
      <c r="F272" s="50">
        <v>59.0</v>
      </c>
      <c r="G272" s="50">
        <v>1.0</v>
      </c>
      <c r="H272" s="50">
        <v>11.0</v>
      </c>
      <c r="I272" s="116"/>
      <c r="J272" s="116"/>
      <c r="K272" s="50" t="s">
        <v>1645</v>
      </c>
      <c r="L272" s="50" t="s">
        <v>1645</v>
      </c>
      <c r="M272" s="50" t="s">
        <v>17077</v>
      </c>
      <c r="N272" s="50" t="s">
        <v>17079</v>
      </c>
      <c r="O272" s="50" t="s">
        <v>17080</v>
      </c>
      <c r="P272" s="50">
        <v>4.0</v>
      </c>
      <c r="Q272" s="116"/>
      <c r="R272" s="116"/>
      <c r="S272" s="50">
        <v>7.0</v>
      </c>
      <c r="T272" s="50">
        <v>1000.0</v>
      </c>
      <c r="U272" s="50">
        <v>1.0</v>
      </c>
      <c r="V272" s="116"/>
      <c r="W272" s="50">
        <v>7.0</v>
      </c>
      <c r="X272" s="50">
        <v>100.0</v>
      </c>
      <c r="Y272" s="50">
        <v>1.0</v>
      </c>
      <c r="Z272" s="116"/>
      <c r="AA272" s="50">
        <v>1.0</v>
      </c>
      <c r="AB272" s="50">
        <v>4.0</v>
      </c>
      <c r="AC272" s="50">
        <v>1000.0</v>
      </c>
      <c r="AD272" s="50">
        <v>3.0</v>
      </c>
      <c r="AE272" s="50">
        <v>3.0</v>
      </c>
      <c r="AF272" s="116"/>
      <c r="AG272" s="116"/>
      <c r="AH272" s="50">
        <v>7.0</v>
      </c>
      <c r="AI272" s="50">
        <v>5000.0</v>
      </c>
      <c r="AJ272" s="50">
        <v>3.0</v>
      </c>
      <c r="AK272" s="50">
        <v>0.0</v>
      </c>
      <c r="AL272" s="50">
        <v>7.0</v>
      </c>
      <c r="AM272" s="50">
        <v>1000.0</v>
      </c>
      <c r="AN272" s="50">
        <v>3.0</v>
      </c>
      <c r="AO272" s="50">
        <v>0.0</v>
      </c>
      <c r="AP272" s="50">
        <v>1.0</v>
      </c>
      <c r="AQ272" s="50">
        <v>7.0</v>
      </c>
      <c r="AR272" s="50">
        <v>100.0</v>
      </c>
      <c r="AS272" s="50">
        <v>3.0</v>
      </c>
      <c r="AT272" s="50">
        <v>0.0</v>
      </c>
      <c r="AU272" s="50">
        <v>0.0</v>
      </c>
      <c r="AV272" s="116"/>
      <c r="AW272" s="116"/>
      <c r="AX272" s="116"/>
      <c r="AY272" s="116"/>
      <c r="AZ272" s="116"/>
      <c r="BA272" s="116"/>
      <c r="BB272" s="116"/>
      <c r="BC272" s="116"/>
      <c r="BD272" s="116"/>
      <c r="BE272" s="116"/>
      <c r="BF272" s="116"/>
      <c r="BG272" s="116"/>
      <c r="BH272" s="116"/>
      <c r="BI272" s="116"/>
      <c r="BJ272" s="116"/>
      <c r="BK272" s="116"/>
      <c r="BL272" s="116"/>
      <c r="BM272" s="116"/>
      <c r="BN272" s="116"/>
      <c r="BO272" s="116"/>
      <c r="BP272" s="116"/>
      <c r="BQ272" s="116"/>
      <c r="BR272" s="116"/>
      <c r="BS272" s="116"/>
      <c r="BT272" s="116"/>
      <c r="BU272" s="116"/>
      <c r="BV272" s="116"/>
      <c r="BW272" s="116"/>
      <c r="BX272" s="116"/>
      <c r="BY272" s="116"/>
      <c r="BZ272" s="116"/>
      <c r="CA272" s="116"/>
      <c r="CB272" s="116"/>
      <c r="CC272" s="50" t="s">
        <v>16851</v>
      </c>
      <c r="CD272" s="145">
        <v>43503.0</v>
      </c>
      <c r="CE272" s="50">
        <v>1.0</v>
      </c>
      <c r="CF272" s="50" t="s">
        <v>15555</v>
      </c>
      <c r="CG272" s="117">
        <v>5623.0</v>
      </c>
      <c r="CH272" s="50" t="s">
        <v>17243</v>
      </c>
      <c r="CI272" s="50" t="s">
        <v>17244</v>
      </c>
      <c r="CJ272" s="117">
        <v>271.0</v>
      </c>
    </row>
    <row r="273">
      <c r="A273" s="50" t="s">
        <v>17246</v>
      </c>
      <c r="B273" s="50" t="s">
        <v>6876</v>
      </c>
      <c r="C273" s="50" t="s">
        <v>6877</v>
      </c>
      <c r="D273" s="50" t="s">
        <v>11623</v>
      </c>
      <c r="E273" s="50" t="s">
        <v>17251</v>
      </c>
      <c r="F273" s="50">
        <v>33.0</v>
      </c>
      <c r="G273" s="50">
        <v>1.0</v>
      </c>
      <c r="H273" s="50">
        <v>97.0</v>
      </c>
      <c r="I273" s="116"/>
      <c r="J273" s="116"/>
      <c r="K273" s="50" t="s">
        <v>436</v>
      </c>
      <c r="L273" s="50" t="s">
        <v>436</v>
      </c>
      <c r="M273" s="50" t="s">
        <v>17077</v>
      </c>
      <c r="N273" s="50" t="s">
        <v>17079</v>
      </c>
      <c r="O273" s="50" t="s">
        <v>17080</v>
      </c>
      <c r="P273" s="116"/>
      <c r="Q273" s="116"/>
      <c r="R273" s="116"/>
      <c r="S273" s="50">
        <v>7.0</v>
      </c>
      <c r="T273" s="50">
        <v>1000.0</v>
      </c>
      <c r="U273" s="50">
        <v>3.0</v>
      </c>
      <c r="V273" s="50">
        <v>192.0</v>
      </c>
      <c r="W273" s="116"/>
      <c r="X273" s="116"/>
      <c r="Y273" s="116"/>
      <c r="Z273" s="116"/>
      <c r="AA273" s="116"/>
      <c r="AB273" s="116"/>
      <c r="AC273" s="116"/>
      <c r="AD273" s="116"/>
      <c r="AE273" s="116"/>
      <c r="AF273" s="116"/>
      <c r="AG273" s="116"/>
      <c r="AH273" s="116"/>
      <c r="AI273" s="116"/>
      <c r="AJ273" s="116"/>
      <c r="AK273" s="116"/>
      <c r="AL273" s="116"/>
      <c r="AM273" s="116"/>
      <c r="AN273" s="116"/>
      <c r="AO273" s="116"/>
      <c r="AP273" s="116"/>
      <c r="AQ273" s="116"/>
      <c r="AR273" s="116"/>
      <c r="AS273" s="116"/>
      <c r="AT273" s="116"/>
      <c r="AU273" s="50">
        <v>0.0</v>
      </c>
      <c r="AV273" s="116"/>
      <c r="AW273" s="116"/>
      <c r="AX273" s="116"/>
      <c r="AY273" s="116"/>
      <c r="AZ273" s="116"/>
      <c r="BA273" s="116"/>
      <c r="BB273" s="116"/>
      <c r="BC273" s="116"/>
      <c r="BD273" s="116"/>
      <c r="BE273" s="116"/>
      <c r="BF273" s="116"/>
      <c r="BG273" s="116"/>
      <c r="BH273" s="116"/>
      <c r="BI273" s="116"/>
      <c r="BJ273" s="116"/>
      <c r="BK273" s="116"/>
      <c r="BL273" s="116"/>
      <c r="BM273" s="116"/>
      <c r="BN273" s="116"/>
      <c r="BO273" s="116"/>
      <c r="BP273" s="116"/>
      <c r="BQ273" s="116"/>
      <c r="BR273" s="116"/>
      <c r="BS273" s="116"/>
      <c r="BT273" s="116"/>
      <c r="BU273" s="116"/>
      <c r="BV273" s="116"/>
      <c r="BW273" s="116"/>
      <c r="BX273" s="116"/>
      <c r="BY273" s="116"/>
      <c r="BZ273" s="116"/>
      <c r="CA273" s="116"/>
      <c r="CB273" s="116"/>
      <c r="CC273" s="116"/>
      <c r="CD273" s="145">
        <v>43503.0</v>
      </c>
      <c r="CE273" s="50">
        <v>1.0</v>
      </c>
      <c r="CF273" s="50" t="s">
        <v>15555</v>
      </c>
      <c r="CG273" s="117">
        <v>5624.0</v>
      </c>
      <c r="CH273" s="50" t="s">
        <v>17267</v>
      </c>
      <c r="CI273" s="50" t="s">
        <v>17270</v>
      </c>
      <c r="CJ273" s="117">
        <v>272.0</v>
      </c>
    </row>
    <row r="274">
      <c r="A274" s="50" t="s">
        <v>17272</v>
      </c>
      <c r="B274" s="50" t="s">
        <v>6876</v>
      </c>
      <c r="C274" s="50" t="s">
        <v>6877</v>
      </c>
      <c r="D274" s="50" t="s">
        <v>11623</v>
      </c>
      <c r="E274" s="50" t="s">
        <v>17276</v>
      </c>
      <c r="F274" s="50">
        <v>33.0</v>
      </c>
      <c r="G274" s="50">
        <v>1.0</v>
      </c>
      <c r="H274" s="50">
        <v>97.0</v>
      </c>
      <c r="I274" s="116"/>
      <c r="J274" s="116"/>
      <c r="K274" s="50" t="s">
        <v>15565</v>
      </c>
      <c r="L274" s="50" t="s">
        <v>15565</v>
      </c>
      <c r="M274" s="50" t="s">
        <v>17077</v>
      </c>
      <c r="N274" s="50" t="s">
        <v>17079</v>
      </c>
      <c r="O274" s="50" t="s">
        <v>17080</v>
      </c>
      <c r="P274" s="116"/>
      <c r="Q274" s="116"/>
      <c r="R274" s="116"/>
      <c r="S274" s="116"/>
      <c r="T274" s="116"/>
      <c r="U274" s="116"/>
      <c r="V274" s="116"/>
      <c r="W274" s="116"/>
      <c r="X274" s="116"/>
      <c r="Y274" s="116"/>
      <c r="Z274" s="116"/>
      <c r="AA274" s="116"/>
      <c r="AB274" s="116"/>
      <c r="AC274" s="116"/>
      <c r="AD274" s="116"/>
      <c r="AE274" s="116"/>
      <c r="AF274" s="116"/>
      <c r="AG274" s="116"/>
      <c r="AH274" s="50">
        <v>7.0</v>
      </c>
      <c r="AI274" s="50">
        <v>1000.0</v>
      </c>
      <c r="AJ274" s="50">
        <v>3.0</v>
      </c>
      <c r="AK274" s="50">
        <v>142.0</v>
      </c>
      <c r="AL274" s="116"/>
      <c r="AM274" s="116"/>
      <c r="AN274" s="116"/>
      <c r="AO274" s="116"/>
      <c r="AP274" s="116"/>
      <c r="AQ274" s="116"/>
      <c r="AR274" s="116"/>
      <c r="AS274" s="116"/>
      <c r="AT274" s="116"/>
      <c r="AU274" s="50">
        <v>0.0</v>
      </c>
      <c r="AV274" s="116"/>
      <c r="AW274" s="116"/>
      <c r="AX274" s="116"/>
      <c r="AY274" s="116"/>
      <c r="AZ274" s="116"/>
      <c r="BA274" s="116"/>
      <c r="BB274" s="116"/>
      <c r="BC274" s="116"/>
      <c r="BD274" s="116"/>
      <c r="BE274" s="116"/>
      <c r="BF274" s="116"/>
      <c r="BG274" s="116"/>
      <c r="BH274" s="116"/>
      <c r="BI274" s="116"/>
      <c r="BJ274" s="116"/>
      <c r="BK274" s="116"/>
      <c r="BL274" s="116"/>
      <c r="BM274" s="116"/>
      <c r="BN274" s="116"/>
      <c r="BO274" s="116"/>
      <c r="BP274" s="116"/>
      <c r="BQ274" s="116"/>
      <c r="BR274" s="116"/>
      <c r="BS274" s="116"/>
      <c r="BT274" s="116"/>
      <c r="BU274" s="116"/>
      <c r="BV274" s="116"/>
      <c r="BW274" s="116"/>
      <c r="BX274" s="116"/>
      <c r="BY274" s="116"/>
      <c r="BZ274" s="116"/>
      <c r="CA274" s="116"/>
      <c r="CB274" s="116"/>
      <c r="CC274" s="116"/>
      <c r="CD274" s="145">
        <v>43503.0</v>
      </c>
      <c r="CE274" s="50">
        <v>1.0</v>
      </c>
      <c r="CF274" s="50" t="s">
        <v>15555</v>
      </c>
      <c r="CG274" s="117">
        <v>5625.0</v>
      </c>
      <c r="CH274" s="50" t="s">
        <v>17298</v>
      </c>
      <c r="CI274" s="50" t="s">
        <v>17299</v>
      </c>
      <c r="CJ274" s="117">
        <v>273.0</v>
      </c>
    </row>
    <row r="275">
      <c r="A275" s="50" t="s">
        <v>17300</v>
      </c>
      <c r="B275" s="50" t="s">
        <v>6876</v>
      </c>
      <c r="C275" s="50" t="s">
        <v>6877</v>
      </c>
      <c r="D275" s="50" t="s">
        <v>11623</v>
      </c>
      <c r="E275" s="50" t="s">
        <v>17301</v>
      </c>
      <c r="F275" s="50">
        <v>66.0</v>
      </c>
      <c r="G275" s="50">
        <v>1.0</v>
      </c>
      <c r="H275" s="50">
        <v>16.0</v>
      </c>
      <c r="I275" s="116"/>
      <c r="J275" s="116"/>
      <c r="K275" s="50" t="s">
        <v>1653</v>
      </c>
      <c r="L275" s="50" t="s">
        <v>1653</v>
      </c>
      <c r="M275" s="50" t="s">
        <v>12888</v>
      </c>
      <c r="N275" s="50" t="s">
        <v>17310</v>
      </c>
      <c r="O275" s="50" t="s">
        <v>17311</v>
      </c>
      <c r="P275" s="116"/>
      <c r="Q275" s="116"/>
      <c r="R275" s="116"/>
      <c r="S275" s="50">
        <v>7.0</v>
      </c>
      <c r="T275" s="50">
        <v>1000.0</v>
      </c>
      <c r="U275" s="50">
        <v>1.0</v>
      </c>
      <c r="V275" s="116"/>
      <c r="W275" s="50">
        <v>7.0</v>
      </c>
      <c r="X275" s="50">
        <v>100.0</v>
      </c>
      <c r="Y275" s="50">
        <v>3.0</v>
      </c>
      <c r="Z275" s="50">
        <v>42.0</v>
      </c>
      <c r="AA275" s="50">
        <v>0.0</v>
      </c>
      <c r="AB275" s="116"/>
      <c r="AC275" s="116"/>
      <c r="AD275" s="116"/>
      <c r="AE275" s="116"/>
      <c r="AF275" s="116"/>
      <c r="AG275" s="116"/>
      <c r="AH275" s="50">
        <v>7.0</v>
      </c>
      <c r="AI275" s="50">
        <v>5000.0</v>
      </c>
      <c r="AJ275" s="50">
        <v>1.0</v>
      </c>
      <c r="AK275" s="116"/>
      <c r="AL275" s="50">
        <v>7.0</v>
      </c>
      <c r="AM275" s="50">
        <v>1000.0</v>
      </c>
      <c r="AN275" s="50">
        <v>3.0</v>
      </c>
      <c r="AO275" s="50">
        <v>10.0</v>
      </c>
      <c r="AP275" s="50">
        <v>1.0</v>
      </c>
      <c r="AQ275" s="50">
        <v>7.0</v>
      </c>
      <c r="AR275" s="50">
        <v>100.0</v>
      </c>
      <c r="AS275" s="50">
        <v>3.0</v>
      </c>
      <c r="AT275" s="50">
        <v>1.0</v>
      </c>
      <c r="AU275" s="50">
        <v>0.0</v>
      </c>
      <c r="AV275" s="116"/>
      <c r="AW275" s="116"/>
      <c r="AX275" s="116"/>
      <c r="AY275" s="116"/>
      <c r="AZ275" s="116"/>
      <c r="BA275" s="116"/>
      <c r="BB275" s="116"/>
      <c r="BC275" s="116"/>
      <c r="BD275" s="116"/>
      <c r="BE275" s="116"/>
      <c r="BF275" s="116"/>
      <c r="BG275" s="116"/>
      <c r="BH275" s="116"/>
      <c r="BI275" s="116"/>
      <c r="BJ275" s="116"/>
      <c r="BK275" s="116"/>
      <c r="BL275" s="116"/>
      <c r="BM275" s="116"/>
      <c r="BN275" s="116"/>
      <c r="BO275" s="116"/>
      <c r="BP275" s="116"/>
      <c r="BQ275" s="116"/>
      <c r="BR275" s="116"/>
      <c r="BS275" s="116"/>
      <c r="BT275" s="116"/>
      <c r="BU275" s="116"/>
      <c r="BV275" s="116"/>
      <c r="BW275" s="116"/>
      <c r="BX275" s="116"/>
      <c r="BY275" s="116"/>
      <c r="BZ275" s="116"/>
      <c r="CA275" s="116"/>
      <c r="CB275" s="116"/>
      <c r="CC275" s="116"/>
      <c r="CD275" s="145">
        <v>43503.0</v>
      </c>
      <c r="CE275" s="50">
        <v>1.0</v>
      </c>
      <c r="CF275" s="50" t="s">
        <v>15555</v>
      </c>
      <c r="CG275" s="117">
        <v>5626.0</v>
      </c>
      <c r="CH275" s="50" t="s">
        <v>17333</v>
      </c>
      <c r="CI275" s="50" t="s">
        <v>17334</v>
      </c>
      <c r="CJ275" s="117">
        <v>274.0</v>
      </c>
    </row>
    <row r="276">
      <c r="A276" s="50" t="s">
        <v>17335</v>
      </c>
      <c r="B276" s="50" t="s">
        <v>6876</v>
      </c>
      <c r="C276" s="50" t="s">
        <v>6877</v>
      </c>
      <c r="D276" s="50" t="s">
        <v>11623</v>
      </c>
      <c r="E276" s="50" t="s">
        <v>17337</v>
      </c>
      <c r="F276" s="50">
        <v>58.0</v>
      </c>
      <c r="G276" s="50">
        <v>1.0</v>
      </c>
      <c r="H276" s="50">
        <v>15.0</v>
      </c>
      <c r="I276" s="116"/>
      <c r="J276" s="50">
        <v>151.0</v>
      </c>
      <c r="K276" s="50" t="s">
        <v>654</v>
      </c>
      <c r="L276" s="50" t="s">
        <v>654</v>
      </c>
      <c r="M276" s="50" t="s">
        <v>12888</v>
      </c>
      <c r="N276" s="50" t="s">
        <v>17310</v>
      </c>
      <c r="O276" s="50" t="s">
        <v>17311</v>
      </c>
      <c r="P276" s="116"/>
      <c r="Q276" s="116"/>
      <c r="R276" s="116"/>
      <c r="S276" s="50">
        <v>7.0</v>
      </c>
      <c r="T276" s="50">
        <v>1000.0</v>
      </c>
      <c r="U276" s="50">
        <v>3.0</v>
      </c>
      <c r="V276" s="50">
        <v>36.0</v>
      </c>
      <c r="W276" s="50">
        <v>7.0</v>
      </c>
      <c r="X276" s="50">
        <v>100.0</v>
      </c>
      <c r="Y276" s="50">
        <v>3.0</v>
      </c>
      <c r="Z276" s="50">
        <v>6.0</v>
      </c>
      <c r="AA276" s="50">
        <v>0.0</v>
      </c>
      <c r="AB276" s="116"/>
      <c r="AC276" s="116"/>
      <c r="AD276" s="116"/>
      <c r="AE276" s="116"/>
      <c r="AF276" s="116"/>
      <c r="AG276" s="116"/>
      <c r="AH276" s="50">
        <v>7.0</v>
      </c>
      <c r="AI276" s="50">
        <v>5000.0</v>
      </c>
      <c r="AJ276" s="50">
        <v>1.0</v>
      </c>
      <c r="AK276" s="116"/>
      <c r="AL276" s="50">
        <v>7.0</v>
      </c>
      <c r="AM276" s="50">
        <v>1000.0</v>
      </c>
      <c r="AN276" s="50">
        <v>3.0</v>
      </c>
      <c r="AO276" s="50">
        <v>17.0</v>
      </c>
      <c r="AP276" s="50">
        <v>1.0</v>
      </c>
      <c r="AQ276" s="50">
        <v>7.0</v>
      </c>
      <c r="AR276" s="50">
        <v>100.0</v>
      </c>
      <c r="AS276" s="50">
        <v>3.0</v>
      </c>
      <c r="AT276" s="50">
        <v>0.0</v>
      </c>
      <c r="AU276" s="50">
        <v>0.0</v>
      </c>
      <c r="AV276" s="116"/>
      <c r="AW276" s="116"/>
      <c r="AX276" s="116"/>
      <c r="AY276" s="116"/>
      <c r="AZ276" s="116"/>
      <c r="BA276" s="116"/>
      <c r="BB276" s="116"/>
      <c r="BC276" s="116"/>
      <c r="BD276" s="116"/>
      <c r="BE276" s="116"/>
      <c r="BF276" s="116"/>
      <c r="BG276" s="116"/>
      <c r="BH276" s="116"/>
      <c r="BI276" s="116"/>
      <c r="BJ276" s="116"/>
      <c r="BK276" s="116"/>
      <c r="BL276" s="116"/>
      <c r="BM276" s="116"/>
      <c r="BN276" s="116"/>
      <c r="BO276" s="116"/>
      <c r="BP276" s="116"/>
      <c r="BQ276" s="116"/>
      <c r="BR276" s="116"/>
      <c r="BS276" s="116"/>
      <c r="BT276" s="116"/>
      <c r="BU276" s="116"/>
      <c r="BV276" s="116"/>
      <c r="BW276" s="116"/>
      <c r="BX276" s="116"/>
      <c r="BY276" s="116"/>
      <c r="BZ276" s="116"/>
      <c r="CA276" s="116"/>
      <c r="CB276" s="116"/>
      <c r="CC276" s="116"/>
      <c r="CD276" s="145">
        <v>43503.0</v>
      </c>
      <c r="CE276" s="50">
        <v>1.0</v>
      </c>
      <c r="CF276" s="50" t="s">
        <v>15555</v>
      </c>
      <c r="CG276" s="117">
        <v>5627.0</v>
      </c>
      <c r="CH276" s="50" t="s">
        <v>17357</v>
      </c>
      <c r="CI276" s="50" t="s">
        <v>17358</v>
      </c>
      <c r="CJ276" s="117">
        <v>275.0</v>
      </c>
    </row>
    <row r="277">
      <c r="A277" s="50" t="s">
        <v>17360</v>
      </c>
      <c r="B277" s="50" t="s">
        <v>6876</v>
      </c>
      <c r="C277" s="50" t="s">
        <v>6877</v>
      </c>
      <c r="D277" s="50" t="s">
        <v>11623</v>
      </c>
      <c r="E277" s="50" t="s">
        <v>17363</v>
      </c>
      <c r="F277" s="50">
        <v>58.0</v>
      </c>
      <c r="G277" s="50">
        <v>1.0</v>
      </c>
      <c r="H277" s="50">
        <v>15.0</v>
      </c>
      <c r="I277" s="116"/>
      <c r="J277" s="50">
        <v>152.0</v>
      </c>
      <c r="K277" s="50" t="s">
        <v>657</v>
      </c>
      <c r="L277" s="50" t="s">
        <v>657</v>
      </c>
      <c r="M277" s="50" t="s">
        <v>12888</v>
      </c>
      <c r="N277" s="50" t="s">
        <v>17310</v>
      </c>
      <c r="O277" s="50" t="s">
        <v>17311</v>
      </c>
      <c r="P277" s="116"/>
      <c r="Q277" s="116"/>
      <c r="R277" s="116"/>
      <c r="S277" s="50">
        <v>7.0</v>
      </c>
      <c r="T277" s="50">
        <v>1000.0</v>
      </c>
      <c r="U277" s="50">
        <v>3.0</v>
      </c>
      <c r="V277" s="50">
        <v>0.0</v>
      </c>
      <c r="W277" s="50">
        <v>7.0</v>
      </c>
      <c r="X277" s="50">
        <v>100.0</v>
      </c>
      <c r="Y277" s="50">
        <v>3.0</v>
      </c>
      <c r="Z277" s="50">
        <v>0.0</v>
      </c>
      <c r="AA277" s="50">
        <v>0.0</v>
      </c>
      <c r="AB277" s="116"/>
      <c r="AC277" s="116"/>
      <c r="AD277" s="116"/>
      <c r="AE277" s="116"/>
      <c r="AF277" s="116"/>
      <c r="AG277" s="116"/>
      <c r="AH277" s="50">
        <v>7.0</v>
      </c>
      <c r="AI277" s="50">
        <v>5000.0</v>
      </c>
      <c r="AJ277" s="50">
        <v>1.0</v>
      </c>
      <c r="AK277" s="116"/>
      <c r="AL277" s="50">
        <v>7.0</v>
      </c>
      <c r="AM277" s="50">
        <v>1000.0</v>
      </c>
      <c r="AN277" s="50">
        <v>1.0</v>
      </c>
      <c r="AO277" s="116"/>
      <c r="AP277" s="50">
        <v>1.0</v>
      </c>
      <c r="AQ277" s="50">
        <v>7.0</v>
      </c>
      <c r="AR277" s="50">
        <v>100.0</v>
      </c>
      <c r="AS277" s="50">
        <v>3.0</v>
      </c>
      <c r="AT277" s="50">
        <v>60.0</v>
      </c>
      <c r="AU277" s="50">
        <v>0.0</v>
      </c>
      <c r="AV277" s="116"/>
      <c r="AW277" s="116"/>
      <c r="AX277" s="116"/>
      <c r="AY277" s="116"/>
      <c r="AZ277" s="116"/>
      <c r="BA277" s="116"/>
      <c r="BB277" s="116"/>
      <c r="BC277" s="116"/>
      <c r="BD277" s="116"/>
      <c r="BE277" s="116"/>
      <c r="BF277" s="116"/>
      <c r="BG277" s="116"/>
      <c r="BH277" s="116"/>
      <c r="BI277" s="116"/>
      <c r="BJ277" s="116"/>
      <c r="BK277" s="116"/>
      <c r="BL277" s="116"/>
      <c r="BM277" s="116"/>
      <c r="BN277" s="116"/>
      <c r="BO277" s="116"/>
      <c r="BP277" s="116"/>
      <c r="BQ277" s="116"/>
      <c r="BR277" s="116"/>
      <c r="BS277" s="116"/>
      <c r="BT277" s="116"/>
      <c r="BU277" s="116"/>
      <c r="BV277" s="116"/>
      <c r="BW277" s="116"/>
      <c r="BX277" s="116"/>
      <c r="BY277" s="116"/>
      <c r="BZ277" s="116"/>
      <c r="CA277" s="116"/>
      <c r="CB277" s="116"/>
      <c r="CC277" s="116"/>
      <c r="CD277" s="145">
        <v>43503.0</v>
      </c>
      <c r="CE277" s="50">
        <v>1.0</v>
      </c>
      <c r="CF277" s="50" t="s">
        <v>15555</v>
      </c>
      <c r="CG277" s="117">
        <v>5628.0</v>
      </c>
      <c r="CH277" s="50" t="s">
        <v>17383</v>
      </c>
      <c r="CI277" s="50" t="s">
        <v>17385</v>
      </c>
      <c r="CJ277" s="117">
        <v>276.0</v>
      </c>
    </row>
    <row r="278">
      <c r="A278" s="50" t="s">
        <v>17387</v>
      </c>
      <c r="B278" s="50" t="s">
        <v>6876</v>
      </c>
      <c r="C278" s="50" t="s">
        <v>6877</v>
      </c>
      <c r="D278" s="50" t="s">
        <v>11623</v>
      </c>
      <c r="E278" s="50" t="s">
        <v>17391</v>
      </c>
      <c r="F278" s="50">
        <v>58.0</v>
      </c>
      <c r="G278" s="50">
        <v>1.0</v>
      </c>
      <c r="H278" s="50">
        <v>15.0</v>
      </c>
      <c r="I278" s="116"/>
      <c r="J278" s="50">
        <v>152.0</v>
      </c>
      <c r="K278" s="50" t="s">
        <v>659</v>
      </c>
      <c r="L278" s="50" t="s">
        <v>659</v>
      </c>
      <c r="M278" s="50" t="s">
        <v>12888</v>
      </c>
      <c r="N278" s="50" t="s">
        <v>17310</v>
      </c>
      <c r="O278" s="50" t="s">
        <v>17311</v>
      </c>
      <c r="P278" s="116"/>
      <c r="Q278" s="116"/>
      <c r="R278" s="116"/>
      <c r="S278" s="50">
        <v>7.0</v>
      </c>
      <c r="T278" s="50">
        <v>1000.0</v>
      </c>
      <c r="U278" s="50">
        <v>3.0</v>
      </c>
      <c r="V278" s="50">
        <v>0.0</v>
      </c>
      <c r="W278" s="50">
        <v>7.0</v>
      </c>
      <c r="X278" s="50">
        <v>100.0</v>
      </c>
      <c r="Y278" s="50">
        <v>3.0</v>
      </c>
      <c r="Z278" s="50">
        <v>0.0</v>
      </c>
      <c r="AA278" s="50">
        <v>0.0</v>
      </c>
      <c r="AB278" s="116"/>
      <c r="AC278" s="116"/>
      <c r="AD278" s="116"/>
      <c r="AE278" s="116"/>
      <c r="AF278" s="116"/>
      <c r="AG278" s="116"/>
      <c r="AH278" s="50">
        <v>7.0</v>
      </c>
      <c r="AI278" s="50">
        <v>5000.0</v>
      </c>
      <c r="AJ278" s="50">
        <v>1.0</v>
      </c>
      <c r="AK278" s="116"/>
      <c r="AL278" s="50">
        <v>7.0</v>
      </c>
      <c r="AM278" s="50">
        <v>1000.0</v>
      </c>
      <c r="AN278" s="50">
        <v>3.0</v>
      </c>
      <c r="AO278" s="50">
        <v>20.0</v>
      </c>
      <c r="AP278" s="50">
        <v>1.0</v>
      </c>
      <c r="AQ278" s="50">
        <v>7.0</v>
      </c>
      <c r="AR278" s="50">
        <v>100.0</v>
      </c>
      <c r="AS278" s="50">
        <v>3.0</v>
      </c>
      <c r="AT278" s="50">
        <v>2.0</v>
      </c>
      <c r="AU278" s="50">
        <v>0.0</v>
      </c>
      <c r="AV278" s="116"/>
      <c r="AW278" s="116"/>
      <c r="AX278" s="116"/>
      <c r="AY278" s="116"/>
      <c r="AZ278" s="116"/>
      <c r="BA278" s="116"/>
      <c r="BB278" s="116"/>
      <c r="BC278" s="116"/>
      <c r="BD278" s="116"/>
      <c r="BE278" s="116"/>
      <c r="BF278" s="116"/>
      <c r="BG278" s="116"/>
      <c r="BH278" s="116"/>
      <c r="BI278" s="116"/>
      <c r="BJ278" s="116"/>
      <c r="BK278" s="116"/>
      <c r="BL278" s="116"/>
      <c r="BM278" s="116"/>
      <c r="BN278" s="116"/>
      <c r="BO278" s="116"/>
      <c r="BP278" s="116"/>
      <c r="BQ278" s="116"/>
      <c r="BR278" s="116"/>
      <c r="BS278" s="116"/>
      <c r="BT278" s="116"/>
      <c r="BU278" s="116"/>
      <c r="BV278" s="116"/>
      <c r="BW278" s="116"/>
      <c r="BX278" s="116"/>
      <c r="BY278" s="116"/>
      <c r="BZ278" s="116"/>
      <c r="CA278" s="116"/>
      <c r="CB278" s="116"/>
      <c r="CC278" s="116"/>
      <c r="CD278" s="145">
        <v>43503.0</v>
      </c>
      <c r="CE278" s="50">
        <v>1.0</v>
      </c>
      <c r="CF278" s="50" t="s">
        <v>15555</v>
      </c>
      <c r="CG278" s="117">
        <v>5629.0</v>
      </c>
      <c r="CH278" s="50" t="s">
        <v>17413</v>
      </c>
      <c r="CI278" s="50" t="s">
        <v>17414</v>
      </c>
      <c r="CJ278" s="117">
        <v>277.0</v>
      </c>
    </row>
    <row r="279">
      <c r="A279" s="50" t="s">
        <v>17415</v>
      </c>
      <c r="B279" s="50" t="s">
        <v>6876</v>
      </c>
      <c r="C279" s="50" t="s">
        <v>6877</v>
      </c>
      <c r="D279" s="50" t="s">
        <v>11623</v>
      </c>
      <c r="E279" s="50" t="s">
        <v>17421</v>
      </c>
      <c r="F279" s="50">
        <v>58.0</v>
      </c>
      <c r="G279" s="50">
        <v>1.0</v>
      </c>
      <c r="H279" s="50">
        <v>15.0</v>
      </c>
      <c r="I279" s="116"/>
      <c r="J279" s="50">
        <v>152.0</v>
      </c>
      <c r="K279" s="50" t="s">
        <v>661</v>
      </c>
      <c r="L279" s="50" t="s">
        <v>661</v>
      </c>
      <c r="M279" s="50" t="s">
        <v>12888</v>
      </c>
      <c r="N279" s="50" t="s">
        <v>17310</v>
      </c>
      <c r="O279" s="50" t="s">
        <v>17311</v>
      </c>
      <c r="P279" s="116"/>
      <c r="Q279" s="116"/>
      <c r="R279" s="116"/>
      <c r="S279" s="50">
        <v>7.0</v>
      </c>
      <c r="T279" s="50">
        <v>1000.0</v>
      </c>
      <c r="U279" s="50">
        <v>3.0</v>
      </c>
      <c r="V279" s="50">
        <v>0.0</v>
      </c>
      <c r="W279" s="50">
        <v>7.0</v>
      </c>
      <c r="X279" s="50">
        <v>100.0</v>
      </c>
      <c r="Y279" s="50">
        <v>3.0</v>
      </c>
      <c r="Z279" s="50">
        <v>0.0</v>
      </c>
      <c r="AA279" s="50">
        <v>0.0</v>
      </c>
      <c r="AB279" s="116"/>
      <c r="AC279" s="116"/>
      <c r="AD279" s="116"/>
      <c r="AE279" s="116"/>
      <c r="AF279" s="116"/>
      <c r="AG279" s="116"/>
      <c r="AH279" s="50">
        <v>7.0</v>
      </c>
      <c r="AI279" s="50">
        <v>5000.0</v>
      </c>
      <c r="AJ279" s="50">
        <v>1.0</v>
      </c>
      <c r="AK279" s="116"/>
      <c r="AL279" s="50">
        <v>7.0</v>
      </c>
      <c r="AM279" s="50">
        <v>1000.0</v>
      </c>
      <c r="AN279" s="50">
        <v>3.0</v>
      </c>
      <c r="AO279" s="50">
        <v>6.0</v>
      </c>
      <c r="AP279" s="50">
        <v>1.0</v>
      </c>
      <c r="AQ279" s="50">
        <v>7.0</v>
      </c>
      <c r="AR279" s="50">
        <v>100.0</v>
      </c>
      <c r="AS279" s="50">
        <v>3.0</v>
      </c>
      <c r="AT279" s="50">
        <v>0.0</v>
      </c>
      <c r="AU279" s="50">
        <v>0.0</v>
      </c>
      <c r="AV279" s="116"/>
      <c r="AW279" s="116"/>
      <c r="AX279" s="116"/>
      <c r="AY279" s="116"/>
      <c r="AZ279" s="116"/>
      <c r="BA279" s="116"/>
      <c r="BB279" s="116"/>
      <c r="BC279" s="116"/>
      <c r="BD279" s="116"/>
      <c r="BE279" s="116"/>
      <c r="BF279" s="116"/>
      <c r="BG279" s="116"/>
      <c r="BH279" s="116"/>
      <c r="BI279" s="116"/>
      <c r="BJ279" s="116"/>
      <c r="BK279" s="116"/>
      <c r="BL279" s="116"/>
      <c r="BM279" s="116"/>
      <c r="BN279" s="116"/>
      <c r="BO279" s="116"/>
      <c r="BP279" s="116"/>
      <c r="BQ279" s="116"/>
      <c r="BR279" s="116"/>
      <c r="BS279" s="116"/>
      <c r="BT279" s="116"/>
      <c r="BU279" s="116"/>
      <c r="BV279" s="116"/>
      <c r="BW279" s="116"/>
      <c r="BX279" s="116"/>
      <c r="BY279" s="116"/>
      <c r="BZ279" s="116"/>
      <c r="CA279" s="116"/>
      <c r="CB279" s="116"/>
      <c r="CC279" s="116"/>
      <c r="CD279" s="145">
        <v>43503.0</v>
      </c>
      <c r="CE279" s="50">
        <v>1.0</v>
      </c>
      <c r="CF279" s="50" t="s">
        <v>15555</v>
      </c>
      <c r="CG279" s="117">
        <v>5630.0</v>
      </c>
      <c r="CH279" s="50" t="s">
        <v>17446</v>
      </c>
      <c r="CI279" s="50" t="s">
        <v>17447</v>
      </c>
      <c r="CJ279" s="117">
        <v>278.0</v>
      </c>
    </row>
    <row r="280">
      <c r="A280" s="50" t="s">
        <v>17448</v>
      </c>
      <c r="B280" s="50" t="s">
        <v>6876</v>
      </c>
      <c r="C280" s="50" t="s">
        <v>6877</v>
      </c>
      <c r="D280" s="50" t="s">
        <v>11623</v>
      </c>
      <c r="E280" s="50" t="s">
        <v>17449</v>
      </c>
      <c r="F280" s="50">
        <v>59.0</v>
      </c>
      <c r="G280" s="50">
        <v>1.0</v>
      </c>
      <c r="H280" s="50">
        <v>11.0</v>
      </c>
      <c r="I280" s="116"/>
      <c r="J280" s="116"/>
      <c r="K280" s="50" t="s">
        <v>1657</v>
      </c>
      <c r="L280" s="50" t="s">
        <v>1657</v>
      </c>
      <c r="M280" s="50" t="s">
        <v>12888</v>
      </c>
      <c r="N280" s="50" t="s">
        <v>17310</v>
      </c>
      <c r="O280" s="50" t="s">
        <v>17311</v>
      </c>
      <c r="P280" s="50">
        <v>4.0</v>
      </c>
      <c r="Q280" s="116"/>
      <c r="R280" s="116"/>
      <c r="S280" s="50">
        <v>7.0</v>
      </c>
      <c r="T280" s="50">
        <v>1000.0</v>
      </c>
      <c r="U280" s="50">
        <v>1.0</v>
      </c>
      <c r="V280" s="116"/>
      <c r="W280" s="50">
        <v>7.0</v>
      </c>
      <c r="X280" s="50">
        <v>100.0</v>
      </c>
      <c r="Y280" s="50">
        <v>3.0</v>
      </c>
      <c r="Z280" s="50">
        <v>230.0</v>
      </c>
      <c r="AA280" s="50">
        <v>1.0</v>
      </c>
      <c r="AB280" s="50">
        <v>4.0</v>
      </c>
      <c r="AC280" s="50">
        <v>1000.0</v>
      </c>
      <c r="AD280" s="50">
        <v>3.0</v>
      </c>
      <c r="AE280" s="50">
        <v>22.0</v>
      </c>
      <c r="AF280" s="116"/>
      <c r="AG280" s="116"/>
      <c r="AH280" s="50">
        <v>7.0</v>
      </c>
      <c r="AI280" s="50">
        <v>5000.0</v>
      </c>
      <c r="AJ280" s="50">
        <v>3.0</v>
      </c>
      <c r="AK280" s="50">
        <v>10.0</v>
      </c>
      <c r="AL280" s="50">
        <v>7.0</v>
      </c>
      <c r="AM280" s="50">
        <v>1000.0</v>
      </c>
      <c r="AN280" s="50">
        <v>3.0</v>
      </c>
      <c r="AO280" s="50">
        <v>3.0</v>
      </c>
      <c r="AP280" s="50">
        <v>1.0</v>
      </c>
      <c r="AQ280" s="50">
        <v>7.0</v>
      </c>
      <c r="AR280" s="50">
        <v>100.0</v>
      </c>
      <c r="AS280" s="50">
        <v>3.0</v>
      </c>
      <c r="AT280" s="50">
        <v>0.0</v>
      </c>
      <c r="AU280" s="50">
        <v>0.0</v>
      </c>
      <c r="AV280" s="116"/>
      <c r="AW280" s="116"/>
      <c r="AX280" s="116"/>
      <c r="AY280" s="116"/>
      <c r="AZ280" s="116"/>
      <c r="BA280" s="116"/>
      <c r="BB280" s="116"/>
      <c r="BC280" s="116"/>
      <c r="BD280" s="116"/>
      <c r="BE280" s="116"/>
      <c r="BF280" s="116"/>
      <c r="BG280" s="116"/>
      <c r="BH280" s="116"/>
      <c r="BI280" s="116"/>
      <c r="BJ280" s="116"/>
      <c r="BK280" s="116"/>
      <c r="BL280" s="116"/>
      <c r="BM280" s="116"/>
      <c r="BN280" s="116"/>
      <c r="BO280" s="116"/>
      <c r="BP280" s="116"/>
      <c r="BQ280" s="116"/>
      <c r="BR280" s="116"/>
      <c r="BS280" s="116"/>
      <c r="BT280" s="116"/>
      <c r="BU280" s="116"/>
      <c r="BV280" s="116"/>
      <c r="BW280" s="116"/>
      <c r="BX280" s="116"/>
      <c r="BY280" s="116"/>
      <c r="BZ280" s="116"/>
      <c r="CA280" s="116"/>
      <c r="CB280" s="116"/>
      <c r="CC280" s="50" t="s">
        <v>16851</v>
      </c>
      <c r="CD280" s="145">
        <v>43503.0</v>
      </c>
      <c r="CE280" s="50">
        <v>1.0</v>
      </c>
      <c r="CF280" s="50" t="s">
        <v>15555</v>
      </c>
      <c r="CG280" s="117">
        <v>5684.0</v>
      </c>
      <c r="CH280" s="50" t="s">
        <v>17476</v>
      </c>
      <c r="CI280" s="50" t="s">
        <v>17478</v>
      </c>
      <c r="CJ280" s="117">
        <v>279.0</v>
      </c>
    </row>
    <row r="281">
      <c r="A281" s="50" t="s">
        <v>17479</v>
      </c>
      <c r="B281" s="50" t="s">
        <v>6876</v>
      </c>
      <c r="C281" s="50" t="s">
        <v>6877</v>
      </c>
      <c r="D281" s="50" t="s">
        <v>11623</v>
      </c>
      <c r="E281" s="50" t="s">
        <v>17482</v>
      </c>
      <c r="F281" s="50">
        <v>59.0</v>
      </c>
      <c r="G281" s="50">
        <v>1.0</v>
      </c>
      <c r="H281" s="50">
        <v>11.0</v>
      </c>
      <c r="I281" s="116"/>
      <c r="J281" s="116"/>
      <c r="K281" s="50" t="s">
        <v>1658</v>
      </c>
      <c r="L281" s="50" t="s">
        <v>1658</v>
      </c>
      <c r="M281" s="50" t="s">
        <v>12888</v>
      </c>
      <c r="N281" s="50" t="s">
        <v>17310</v>
      </c>
      <c r="O281" s="50" t="s">
        <v>17311</v>
      </c>
      <c r="P281" s="50">
        <v>4.0</v>
      </c>
      <c r="Q281" s="116"/>
      <c r="R281" s="116"/>
      <c r="S281" s="50">
        <v>7.0</v>
      </c>
      <c r="T281" s="50">
        <v>1000.0</v>
      </c>
      <c r="U281" s="50">
        <v>3.0</v>
      </c>
      <c r="V281" s="50">
        <v>0.0</v>
      </c>
      <c r="W281" s="50">
        <v>7.0</v>
      </c>
      <c r="X281" s="50">
        <v>100.0</v>
      </c>
      <c r="Y281" s="50">
        <v>1.0</v>
      </c>
      <c r="Z281" s="116"/>
      <c r="AA281" s="50">
        <v>1.0</v>
      </c>
      <c r="AB281" s="50">
        <v>4.0</v>
      </c>
      <c r="AC281" s="50">
        <v>1000.0</v>
      </c>
      <c r="AD281" s="50">
        <v>3.0</v>
      </c>
      <c r="AE281" s="50">
        <v>31.0</v>
      </c>
      <c r="AF281" s="116"/>
      <c r="AG281" s="116"/>
      <c r="AH281" s="50">
        <v>7.0</v>
      </c>
      <c r="AI281" s="50">
        <v>5000.0</v>
      </c>
      <c r="AJ281" s="50">
        <v>1.0</v>
      </c>
      <c r="AK281" s="116"/>
      <c r="AL281" s="50">
        <v>7.0</v>
      </c>
      <c r="AM281" s="50">
        <v>1000.0</v>
      </c>
      <c r="AN281" s="50">
        <v>3.0</v>
      </c>
      <c r="AO281" s="50">
        <v>10.0</v>
      </c>
      <c r="AP281" s="50">
        <v>1.0</v>
      </c>
      <c r="AQ281" s="50">
        <v>7.0</v>
      </c>
      <c r="AR281" s="50">
        <v>100.0</v>
      </c>
      <c r="AS281" s="50">
        <v>3.0</v>
      </c>
      <c r="AT281" s="50">
        <v>0.0</v>
      </c>
      <c r="AU281" s="50">
        <v>0.0</v>
      </c>
      <c r="AV281" s="116"/>
      <c r="AW281" s="116"/>
      <c r="AX281" s="116"/>
      <c r="AY281" s="116"/>
      <c r="AZ281" s="116"/>
      <c r="BA281" s="116"/>
      <c r="BB281" s="116"/>
      <c r="BC281" s="116"/>
      <c r="BD281" s="116"/>
      <c r="BE281" s="116"/>
      <c r="BF281" s="116"/>
      <c r="BG281" s="116"/>
      <c r="BH281" s="116"/>
      <c r="BI281" s="116"/>
      <c r="BJ281" s="116"/>
      <c r="BK281" s="116"/>
      <c r="BL281" s="116"/>
      <c r="BM281" s="116"/>
      <c r="BN281" s="116"/>
      <c r="BO281" s="116"/>
      <c r="BP281" s="116"/>
      <c r="BQ281" s="116"/>
      <c r="BR281" s="116"/>
      <c r="BS281" s="116"/>
      <c r="BT281" s="116"/>
      <c r="BU281" s="116"/>
      <c r="BV281" s="116"/>
      <c r="BW281" s="116"/>
      <c r="BX281" s="116"/>
      <c r="BY281" s="116"/>
      <c r="BZ281" s="116"/>
      <c r="CA281" s="116"/>
      <c r="CB281" s="116"/>
      <c r="CC281" s="50" t="s">
        <v>17499</v>
      </c>
      <c r="CD281" s="145">
        <v>43503.0</v>
      </c>
      <c r="CE281" s="50">
        <v>1.0</v>
      </c>
      <c r="CF281" s="50" t="s">
        <v>15555</v>
      </c>
      <c r="CG281" s="117">
        <v>5685.0</v>
      </c>
      <c r="CH281" s="50" t="s">
        <v>17501</v>
      </c>
      <c r="CI281" s="50" t="s">
        <v>17502</v>
      </c>
      <c r="CJ281" s="117">
        <v>280.0</v>
      </c>
    </row>
    <row r="282">
      <c r="A282" s="50" t="s">
        <v>17482</v>
      </c>
      <c r="B282" s="50" t="s">
        <v>6876</v>
      </c>
      <c r="C282" s="50" t="s">
        <v>6877</v>
      </c>
      <c r="D282" s="50" t="s">
        <v>11623</v>
      </c>
      <c r="E282" s="50" t="s">
        <v>17503</v>
      </c>
      <c r="F282" s="50">
        <v>59.0</v>
      </c>
      <c r="G282" s="50">
        <v>1.0</v>
      </c>
      <c r="H282" s="50">
        <v>11.0</v>
      </c>
      <c r="I282" s="116"/>
      <c r="J282" s="116"/>
      <c r="K282" s="50" t="s">
        <v>1659</v>
      </c>
      <c r="L282" s="50" t="s">
        <v>1659</v>
      </c>
      <c r="M282" s="50" t="s">
        <v>12888</v>
      </c>
      <c r="N282" s="50" t="s">
        <v>17310</v>
      </c>
      <c r="O282" s="50" t="s">
        <v>17311</v>
      </c>
      <c r="P282" s="50">
        <v>4.0</v>
      </c>
      <c r="Q282" s="116"/>
      <c r="R282" s="116"/>
      <c r="S282" s="50">
        <v>7.0</v>
      </c>
      <c r="T282" s="50">
        <v>1000.0</v>
      </c>
      <c r="U282" s="50">
        <v>1.0</v>
      </c>
      <c r="V282" s="116"/>
      <c r="W282" s="50">
        <v>7.0</v>
      </c>
      <c r="X282" s="50">
        <v>100.0</v>
      </c>
      <c r="Y282" s="50">
        <v>3.0</v>
      </c>
      <c r="Z282" s="50">
        <v>38.0</v>
      </c>
      <c r="AA282" s="50">
        <v>1.0</v>
      </c>
      <c r="AB282" s="50">
        <v>4.0</v>
      </c>
      <c r="AC282" s="50">
        <v>1000.0</v>
      </c>
      <c r="AD282" s="50">
        <v>3.0</v>
      </c>
      <c r="AE282" s="50">
        <v>0.0</v>
      </c>
      <c r="AF282" s="116"/>
      <c r="AG282" s="116"/>
      <c r="AH282" s="50">
        <v>7.0</v>
      </c>
      <c r="AI282" s="50">
        <v>5000.0</v>
      </c>
      <c r="AJ282" s="50">
        <v>1.0</v>
      </c>
      <c r="AK282" s="116"/>
      <c r="AL282" s="50">
        <v>7.0</v>
      </c>
      <c r="AM282" s="50">
        <v>1000.0</v>
      </c>
      <c r="AN282" s="50">
        <v>3.0</v>
      </c>
      <c r="AO282" s="50">
        <v>1.0</v>
      </c>
      <c r="AP282" s="50">
        <v>1.0</v>
      </c>
      <c r="AQ282" s="50">
        <v>7.0</v>
      </c>
      <c r="AR282" s="50">
        <v>100.0</v>
      </c>
      <c r="AS282" s="50">
        <v>3.0</v>
      </c>
      <c r="AT282" s="50">
        <v>0.0</v>
      </c>
      <c r="AU282" s="50">
        <v>0.0</v>
      </c>
      <c r="AV282" s="116"/>
      <c r="AW282" s="116"/>
      <c r="AX282" s="116"/>
      <c r="AY282" s="116"/>
      <c r="AZ282" s="116"/>
      <c r="BA282" s="116"/>
      <c r="BB282" s="116"/>
      <c r="BC282" s="116"/>
      <c r="BD282" s="116"/>
      <c r="BE282" s="116"/>
      <c r="BF282" s="116"/>
      <c r="BG282" s="116"/>
      <c r="BH282" s="116"/>
      <c r="BI282" s="116"/>
      <c r="BJ282" s="116"/>
      <c r="BK282" s="116"/>
      <c r="BL282" s="116"/>
      <c r="BM282" s="116"/>
      <c r="BN282" s="116"/>
      <c r="BO282" s="116"/>
      <c r="BP282" s="116"/>
      <c r="BQ282" s="116"/>
      <c r="BR282" s="116"/>
      <c r="BS282" s="116"/>
      <c r="BT282" s="116"/>
      <c r="BU282" s="116"/>
      <c r="BV282" s="116"/>
      <c r="BW282" s="116"/>
      <c r="BX282" s="116"/>
      <c r="BY282" s="116"/>
      <c r="BZ282" s="116"/>
      <c r="CA282" s="116"/>
      <c r="CB282" s="116"/>
      <c r="CC282" s="50" t="s">
        <v>16851</v>
      </c>
      <c r="CD282" s="145">
        <v>43503.0</v>
      </c>
      <c r="CE282" s="50">
        <v>1.0</v>
      </c>
      <c r="CF282" s="50" t="s">
        <v>15555</v>
      </c>
      <c r="CG282" s="117">
        <v>5686.0</v>
      </c>
      <c r="CH282" s="50" t="s">
        <v>17527</v>
      </c>
      <c r="CI282" s="50" t="s">
        <v>17528</v>
      </c>
      <c r="CJ282" s="117">
        <v>281.0</v>
      </c>
    </row>
    <row r="283">
      <c r="A283" s="50" t="s">
        <v>17503</v>
      </c>
      <c r="B283" s="50" t="s">
        <v>6876</v>
      </c>
      <c r="C283" s="50" t="s">
        <v>6877</v>
      </c>
      <c r="D283" s="50" t="s">
        <v>11623</v>
      </c>
      <c r="E283" s="50" t="s">
        <v>17530</v>
      </c>
      <c r="F283" s="50">
        <v>58.0</v>
      </c>
      <c r="G283" s="50">
        <v>1.0</v>
      </c>
      <c r="H283" s="50">
        <v>11.0</v>
      </c>
      <c r="I283" s="116"/>
      <c r="J283" s="116"/>
      <c r="K283" s="50" t="s">
        <v>1660</v>
      </c>
      <c r="L283" s="50" t="s">
        <v>1660</v>
      </c>
      <c r="M283" s="50" t="s">
        <v>12888</v>
      </c>
      <c r="N283" s="50" t="s">
        <v>17310</v>
      </c>
      <c r="O283" s="50" t="s">
        <v>17311</v>
      </c>
      <c r="P283" s="50">
        <v>4.0</v>
      </c>
      <c r="Q283" s="116"/>
      <c r="R283" s="116"/>
      <c r="S283" s="50">
        <v>7.0</v>
      </c>
      <c r="T283" s="50">
        <v>1000.0</v>
      </c>
      <c r="U283" s="50">
        <v>3.0</v>
      </c>
      <c r="V283" s="50">
        <v>91.0</v>
      </c>
      <c r="W283" s="50">
        <v>7.0</v>
      </c>
      <c r="X283" s="50">
        <v>100.0</v>
      </c>
      <c r="Y283" s="50">
        <v>3.0</v>
      </c>
      <c r="Z283" s="50">
        <v>10.0</v>
      </c>
      <c r="AA283" s="50">
        <v>1.0</v>
      </c>
      <c r="AB283" s="50">
        <v>4.0</v>
      </c>
      <c r="AC283" s="50">
        <v>1000.0</v>
      </c>
      <c r="AD283" s="50">
        <v>3.0</v>
      </c>
      <c r="AE283" s="50">
        <v>0.0</v>
      </c>
      <c r="AF283" s="116"/>
      <c r="AG283" s="116"/>
      <c r="AH283" s="50">
        <v>7.0</v>
      </c>
      <c r="AI283" s="50">
        <v>5000.0</v>
      </c>
      <c r="AJ283" s="50">
        <v>3.0</v>
      </c>
      <c r="AK283" s="50">
        <v>0.0</v>
      </c>
      <c r="AL283" s="50">
        <v>7.0</v>
      </c>
      <c r="AM283" s="50">
        <v>1000.0</v>
      </c>
      <c r="AN283" s="50">
        <v>3.0</v>
      </c>
      <c r="AO283" s="50">
        <v>23.0</v>
      </c>
      <c r="AP283" s="50">
        <v>1.0</v>
      </c>
      <c r="AQ283" s="50">
        <v>7.0</v>
      </c>
      <c r="AR283" s="50">
        <v>100.0</v>
      </c>
      <c r="AS283" s="50">
        <v>3.0</v>
      </c>
      <c r="AT283" s="50">
        <v>0.0</v>
      </c>
      <c r="AU283" s="50">
        <v>0.0</v>
      </c>
      <c r="AV283" s="116"/>
      <c r="AW283" s="116"/>
      <c r="AX283" s="116"/>
      <c r="AY283" s="116"/>
      <c r="AZ283" s="116"/>
      <c r="BA283" s="116"/>
      <c r="BB283" s="116"/>
      <c r="BC283" s="116"/>
      <c r="BD283" s="116"/>
      <c r="BE283" s="116"/>
      <c r="BF283" s="116"/>
      <c r="BG283" s="116"/>
      <c r="BH283" s="116"/>
      <c r="BI283" s="116"/>
      <c r="BJ283" s="116"/>
      <c r="BK283" s="116"/>
      <c r="BL283" s="116"/>
      <c r="BM283" s="116"/>
      <c r="BN283" s="116"/>
      <c r="BO283" s="116"/>
      <c r="BP283" s="116"/>
      <c r="BQ283" s="116"/>
      <c r="BR283" s="116"/>
      <c r="BS283" s="116"/>
      <c r="BT283" s="116"/>
      <c r="BU283" s="116"/>
      <c r="BV283" s="116"/>
      <c r="BW283" s="116"/>
      <c r="BX283" s="116"/>
      <c r="BY283" s="116"/>
      <c r="BZ283" s="116"/>
      <c r="CA283" s="116"/>
      <c r="CB283" s="116"/>
      <c r="CC283" s="50" t="s">
        <v>17542</v>
      </c>
      <c r="CD283" s="145">
        <v>43503.0</v>
      </c>
      <c r="CE283" s="50">
        <v>1.0</v>
      </c>
      <c r="CF283" s="50" t="s">
        <v>15555</v>
      </c>
      <c r="CG283" s="117">
        <v>5687.0</v>
      </c>
      <c r="CH283" s="50" t="s">
        <v>17543</v>
      </c>
      <c r="CI283" s="50" t="s">
        <v>17544</v>
      </c>
      <c r="CJ283" s="117">
        <v>282.0</v>
      </c>
    </row>
    <row r="284">
      <c r="A284" s="50" t="s">
        <v>17530</v>
      </c>
      <c r="B284" s="50" t="s">
        <v>6876</v>
      </c>
      <c r="C284" s="50" t="s">
        <v>6877</v>
      </c>
      <c r="D284" s="50" t="s">
        <v>11623</v>
      </c>
      <c r="E284" s="50" t="s">
        <v>17546</v>
      </c>
      <c r="F284" s="50">
        <v>59.0</v>
      </c>
      <c r="G284" s="50">
        <v>1.0</v>
      </c>
      <c r="H284" s="50">
        <v>11.0</v>
      </c>
      <c r="I284" s="116"/>
      <c r="J284" s="116"/>
      <c r="K284" s="50" t="s">
        <v>1664</v>
      </c>
      <c r="L284" s="50" t="s">
        <v>1664</v>
      </c>
      <c r="M284" s="50" t="s">
        <v>12888</v>
      </c>
      <c r="N284" s="50" t="s">
        <v>17310</v>
      </c>
      <c r="O284" s="50" t="s">
        <v>17311</v>
      </c>
      <c r="P284" s="50">
        <v>4.0</v>
      </c>
      <c r="Q284" s="116"/>
      <c r="R284" s="116"/>
      <c r="S284" s="50">
        <v>7.0</v>
      </c>
      <c r="T284" s="50">
        <v>1000.0</v>
      </c>
      <c r="U284" s="50">
        <v>3.0</v>
      </c>
      <c r="V284" s="50">
        <v>0.0</v>
      </c>
      <c r="W284" s="50">
        <v>7.0</v>
      </c>
      <c r="X284" s="50">
        <v>100.0</v>
      </c>
      <c r="Y284" s="50">
        <v>3.0</v>
      </c>
      <c r="Z284" s="50">
        <v>0.0</v>
      </c>
      <c r="AA284" s="50">
        <v>1.0</v>
      </c>
      <c r="AB284" s="50">
        <v>4.0</v>
      </c>
      <c r="AC284" s="50">
        <v>1000.0</v>
      </c>
      <c r="AD284" s="50">
        <v>3.0</v>
      </c>
      <c r="AE284" s="50">
        <v>205.0</v>
      </c>
      <c r="AF284" s="116"/>
      <c r="AG284" s="116"/>
      <c r="AH284" s="50">
        <v>7.0</v>
      </c>
      <c r="AI284" s="50">
        <v>5000.0</v>
      </c>
      <c r="AJ284" s="50">
        <v>1.0</v>
      </c>
      <c r="AK284" s="116"/>
      <c r="AL284" s="50">
        <v>7.0</v>
      </c>
      <c r="AM284" s="50">
        <v>1000.0</v>
      </c>
      <c r="AN284" s="50">
        <v>3.0</v>
      </c>
      <c r="AO284" s="50">
        <v>190.0</v>
      </c>
      <c r="AP284" s="50">
        <v>1.0</v>
      </c>
      <c r="AQ284" s="50">
        <v>7.0</v>
      </c>
      <c r="AR284" s="50">
        <v>100.0</v>
      </c>
      <c r="AS284" s="50">
        <v>3.0</v>
      </c>
      <c r="AT284" s="50">
        <v>20.0</v>
      </c>
      <c r="AU284" s="50">
        <v>0.0</v>
      </c>
      <c r="AV284" s="116"/>
      <c r="AW284" s="116"/>
      <c r="AX284" s="116"/>
      <c r="AY284" s="116"/>
      <c r="AZ284" s="116"/>
      <c r="BA284" s="116"/>
      <c r="BB284" s="116"/>
      <c r="BC284" s="116"/>
      <c r="BD284" s="116"/>
      <c r="BE284" s="116"/>
      <c r="BF284" s="116"/>
      <c r="BG284" s="116"/>
      <c r="BH284" s="116"/>
      <c r="BI284" s="116"/>
      <c r="BJ284" s="116"/>
      <c r="BK284" s="116"/>
      <c r="BL284" s="116"/>
      <c r="BM284" s="116"/>
      <c r="BN284" s="116"/>
      <c r="BO284" s="116"/>
      <c r="BP284" s="116"/>
      <c r="BQ284" s="116"/>
      <c r="BR284" s="116"/>
      <c r="BS284" s="116"/>
      <c r="BT284" s="116"/>
      <c r="BU284" s="116"/>
      <c r="BV284" s="116"/>
      <c r="BW284" s="116"/>
      <c r="BX284" s="116"/>
      <c r="BY284" s="116"/>
      <c r="BZ284" s="116"/>
      <c r="CA284" s="116"/>
      <c r="CB284" s="116"/>
      <c r="CC284" s="50" t="s">
        <v>17555</v>
      </c>
      <c r="CD284" s="145">
        <v>43503.0</v>
      </c>
      <c r="CE284" s="50">
        <v>1.0</v>
      </c>
      <c r="CF284" s="50" t="s">
        <v>15555</v>
      </c>
      <c r="CG284" s="117">
        <v>5688.0</v>
      </c>
      <c r="CH284" s="50" t="s">
        <v>17557</v>
      </c>
      <c r="CI284" s="50" t="s">
        <v>17558</v>
      </c>
      <c r="CJ284" s="117">
        <v>283.0</v>
      </c>
    </row>
    <row r="285">
      <c r="A285" s="50" t="s">
        <v>17546</v>
      </c>
      <c r="B285" s="50" t="s">
        <v>6876</v>
      </c>
      <c r="C285" s="50" t="s">
        <v>6877</v>
      </c>
      <c r="D285" s="50" t="s">
        <v>11623</v>
      </c>
      <c r="E285" s="50" t="s">
        <v>17562</v>
      </c>
      <c r="F285" s="50">
        <v>59.0</v>
      </c>
      <c r="G285" s="50">
        <v>1.0</v>
      </c>
      <c r="H285" s="50">
        <v>11.0</v>
      </c>
      <c r="I285" s="116"/>
      <c r="J285" s="116"/>
      <c r="K285" s="50" t="s">
        <v>1665</v>
      </c>
      <c r="L285" s="50" t="s">
        <v>1665</v>
      </c>
      <c r="M285" s="50" t="s">
        <v>12888</v>
      </c>
      <c r="N285" s="50" t="s">
        <v>17310</v>
      </c>
      <c r="O285" s="50" t="s">
        <v>17311</v>
      </c>
      <c r="P285" s="50">
        <v>4.0</v>
      </c>
      <c r="Q285" s="116"/>
      <c r="R285" s="116"/>
      <c r="S285" s="50">
        <v>7.0</v>
      </c>
      <c r="T285" s="50">
        <v>1000.0</v>
      </c>
      <c r="U285" s="50">
        <v>1.0</v>
      </c>
      <c r="V285" s="116"/>
      <c r="W285" s="50">
        <v>7.0</v>
      </c>
      <c r="X285" s="50">
        <v>100.0</v>
      </c>
      <c r="Y285" s="50">
        <v>3.0</v>
      </c>
      <c r="Z285" s="50">
        <v>47.0</v>
      </c>
      <c r="AA285" s="50">
        <v>1.0</v>
      </c>
      <c r="AB285" s="50">
        <v>4.0</v>
      </c>
      <c r="AC285" s="50">
        <v>1000.0</v>
      </c>
      <c r="AD285" s="50">
        <v>3.0</v>
      </c>
      <c r="AE285" s="50">
        <v>0.0</v>
      </c>
      <c r="AF285" s="116"/>
      <c r="AG285" s="116"/>
      <c r="AH285" s="50">
        <v>7.0</v>
      </c>
      <c r="AI285" s="50">
        <v>5000.0</v>
      </c>
      <c r="AJ285" s="50">
        <v>3.0</v>
      </c>
      <c r="AK285" s="50">
        <v>0.0</v>
      </c>
      <c r="AL285" s="50">
        <v>7.0</v>
      </c>
      <c r="AM285" s="50">
        <v>1000.0</v>
      </c>
      <c r="AN285" s="50">
        <v>3.0</v>
      </c>
      <c r="AO285" s="50">
        <v>0.0</v>
      </c>
      <c r="AP285" s="50">
        <v>1.0</v>
      </c>
      <c r="AQ285" s="50">
        <v>7.0</v>
      </c>
      <c r="AR285" s="50">
        <v>100.0</v>
      </c>
      <c r="AS285" s="50">
        <v>1.0</v>
      </c>
      <c r="AT285" s="116"/>
      <c r="AU285" s="50">
        <v>0.0</v>
      </c>
      <c r="AV285" s="116"/>
      <c r="AW285" s="116"/>
      <c r="AX285" s="116"/>
      <c r="AY285" s="116"/>
      <c r="AZ285" s="116"/>
      <c r="BA285" s="116"/>
      <c r="BB285" s="116"/>
      <c r="BC285" s="116"/>
      <c r="BD285" s="116"/>
      <c r="BE285" s="116"/>
      <c r="BF285" s="116"/>
      <c r="BG285" s="116"/>
      <c r="BH285" s="116"/>
      <c r="BI285" s="116"/>
      <c r="BJ285" s="116"/>
      <c r="BK285" s="116"/>
      <c r="BL285" s="116"/>
      <c r="BM285" s="116"/>
      <c r="BN285" s="116"/>
      <c r="BO285" s="116"/>
      <c r="BP285" s="116"/>
      <c r="BQ285" s="116"/>
      <c r="BR285" s="116"/>
      <c r="BS285" s="116"/>
      <c r="BT285" s="116"/>
      <c r="BU285" s="116"/>
      <c r="BV285" s="116"/>
      <c r="BW285" s="116"/>
      <c r="BX285" s="116"/>
      <c r="BY285" s="116"/>
      <c r="BZ285" s="116"/>
      <c r="CA285" s="116"/>
      <c r="CB285" s="116"/>
      <c r="CC285" s="50" t="s">
        <v>17577</v>
      </c>
      <c r="CD285" s="145">
        <v>43503.0</v>
      </c>
      <c r="CE285" s="50">
        <v>1.0</v>
      </c>
      <c r="CF285" s="50" t="s">
        <v>15555</v>
      </c>
      <c r="CG285" s="117">
        <v>5689.0</v>
      </c>
      <c r="CH285" s="50" t="s">
        <v>17578</v>
      </c>
      <c r="CI285" s="50" t="s">
        <v>17580</v>
      </c>
      <c r="CJ285" s="117">
        <v>284.0</v>
      </c>
    </row>
    <row r="286">
      <c r="A286" s="50" t="s">
        <v>17581</v>
      </c>
      <c r="B286" s="50" t="s">
        <v>6876</v>
      </c>
      <c r="C286" s="50" t="s">
        <v>6877</v>
      </c>
      <c r="D286" s="50" t="s">
        <v>11623</v>
      </c>
      <c r="E286" s="50" t="s">
        <v>17584</v>
      </c>
      <c r="F286" s="50">
        <v>59.0</v>
      </c>
      <c r="G286" s="50">
        <v>1.0</v>
      </c>
      <c r="H286" s="50">
        <v>11.0</v>
      </c>
      <c r="I286" s="116"/>
      <c r="J286" s="116"/>
      <c r="K286" s="50" t="s">
        <v>1666</v>
      </c>
      <c r="L286" s="50" t="s">
        <v>1666</v>
      </c>
      <c r="M286" s="50" t="s">
        <v>12888</v>
      </c>
      <c r="N286" s="50" t="s">
        <v>17310</v>
      </c>
      <c r="O286" s="50" t="s">
        <v>17311</v>
      </c>
      <c r="P286" s="50">
        <v>4.0</v>
      </c>
      <c r="Q286" s="116"/>
      <c r="R286" s="116"/>
      <c r="S286" s="50">
        <v>7.0</v>
      </c>
      <c r="T286" s="50">
        <v>1000.0</v>
      </c>
      <c r="U286" s="50">
        <v>1.0</v>
      </c>
      <c r="V286" s="116"/>
      <c r="W286" s="50">
        <v>7.0</v>
      </c>
      <c r="X286" s="50">
        <v>100.0</v>
      </c>
      <c r="Y286" s="50">
        <v>3.0</v>
      </c>
      <c r="Z286" s="50">
        <v>42.0</v>
      </c>
      <c r="AA286" s="50">
        <v>1.0</v>
      </c>
      <c r="AB286" s="50">
        <v>4.0</v>
      </c>
      <c r="AC286" s="50">
        <v>1000.0</v>
      </c>
      <c r="AD286" s="50">
        <v>3.0</v>
      </c>
      <c r="AE286" s="50">
        <v>6.0</v>
      </c>
      <c r="AF286" s="116"/>
      <c r="AG286" s="116"/>
      <c r="AH286" s="50">
        <v>7.0</v>
      </c>
      <c r="AI286" s="50">
        <v>5000.0</v>
      </c>
      <c r="AJ286" s="50">
        <v>3.0</v>
      </c>
      <c r="AK286" s="50">
        <v>0.0</v>
      </c>
      <c r="AL286" s="50">
        <v>7.0</v>
      </c>
      <c r="AM286" s="50">
        <v>1000.0</v>
      </c>
      <c r="AN286" s="50">
        <v>3.0</v>
      </c>
      <c r="AO286" s="50">
        <v>0.0</v>
      </c>
      <c r="AP286" s="50">
        <v>1.0</v>
      </c>
      <c r="AQ286" s="50">
        <v>7.0</v>
      </c>
      <c r="AR286" s="50">
        <v>100.0</v>
      </c>
      <c r="AS286" s="50">
        <v>3.0</v>
      </c>
      <c r="AT286" s="50">
        <v>0.0</v>
      </c>
      <c r="AU286" s="50">
        <v>0.0</v>
      </c>
      <c r="AV286" s="116"/>
      <c r="AW286" s="116"/>
      <c r="AX286" s="116"/>
      <c r="AY286" s="116"/>
      <c r="AZ286" s="116"/>
      <c r="BA286" s="116"/>
      <c r="BB286" s="116"/>
      <c r="BC286" s="116"/>
      <c r="BD286" s="116"/>
      <c r="BE286" s="116"/>
      <c r="BF286" s="116"/>
      <c r="BG286" s="116"/>
      <c r="BH286" s="116"/>
      <c r="BI286" s="116"/>
      <c r="BJ286" s="116"/>
      <c r="BK286" s="116"/>
      <c r="BL286" s="116"/>
      <c r="BM286" s="116"/>
      <c r="BN286" s="116"/>
      <c r="BO286" s="116"/>
      <c r="BP286" s="116"/>
      <c r="BQ286" s="116"/>
      <c r="BR286" s="116"/>
      <c r="BS286" s="116"/>
      <c r="BT286" s="116"/>
      <c r="BU286" s="116"/>
      <c r="BV286" s="116"/>
      <c r="BW286" s="116"/>
      <c r="BX286" s="116"/>
      <c r="BY286" s="116"/>
      <c r="BZ286" s="116"/>
      <c r="CA286" s="116"/>
      <c r="CB286" s="116"/>
      <c r="CC286" s="50" t="s">
        <v>16851</v>
      </c>
      <c r="CD286" s="145">
        <v>43503.0</v>
      </c>
      <c r="CE286" s="50">
        <v>1.0</v>
      </c>
      <c r="CF286" s="50" t="s">
        <v>15555</v>
      </c>
      <c r="CG286" s="117">
        <v>5690.0</v>
      </c>
      <c r="CH286" s="50" t="s">
        <v>17599</v>
      </c>
      <c r="CI286" s="50" t="s">
        <v>17600</v>
      </c>
      <c r="CJ286" s="117">
        <v>285.0</v>
      </c>
    </row>
    <row r="287">
      <c r="A287" s="50" t="s">
        <v>17602</v>
      </c>
      <c r="B287" s="50" t="s">
        <v>6876</v>
      </c>
      <c r="C287" s="50" t="s">
        <v>6877</v>
      </c>
      <c r="D287" s="50" t="s">
        <v>11623</v>
      </c>
      <c r="E287" s="50" t="s">
        <v>17604</v>
      </c>
      <c r="F287" s="50">
        <v>33.0</v>
      </c>
      <c r="G287" s="50">
        <v>1.0</v>
      </c>
      <c r="H287" s="50">
        <v>97.0</v>
      </c>
      <c r="I287" s="116"/>
      <c r="J287" s="116"/>
      <c r="K287" s="50" t="s">
        <v>436</v>
      </c>
      <c r="L287" s="50" t="s">
        <v>436</v>
      </c>
      <c r="M287" s="50" t="s">
        <v>12888</v>
      </c>
      <c r="N287" s="50" t="s">
        <v>17310</v>
      </c>
      <c r="O287" s="50" t="s">
        <v>17311</v>
      </c>
      <c r="P287" s="116"/>
      <c r="Q287" s="116"/>
      <c r="R287" s="116"/>
      <c r="S287" s="50">
        <v>7.0</v>
      </c>
      <c r="T287" s="50">
        <v>1000.0</v>
      </c>
      <c r="U287" s="50">
        <v>3.0</v>
      </c>
      <c r="V287" s="50">
        <v>205.0</v>
      </c>
      <c r="W287" s="116"/>
      <c r="X287" s="116"/>
      <c r="Y287" s="116"/>
      <c r="Z287" s="116"/>
      <c r="AA287" s="116"/>
      <c r="AB287" s="116"/>
      <c r="AC287" s="116"/>
      <c r="AD287" s="116"/>
      <c r="AE287" s="116"/>
      <c r="AF287" s="116"/>
      <c r="AG287" s="116"/>
      <c r="AH287" s="116"/>
      <c r="AI287" s="116"/>
      <c r="AJ287" s="116"/>
      <c r="AK287" s="116"/>
      <c r="AL287" s="116"/>
      <c r="AM287" s="116"/>
      <c r="AN287" s="116"/>
      <c r="AO287" s="116"/>
      <c r="AP287" s="116"/>
      <c r="AQ287" s="116"/>
      <c r="AR287" s="116"/>
      <c r="AS287" s="116"/>
      <c r="AT287" s="116"/>
      <c r="AU287" s="50">
        <v>0.0</v>
      </c>
      <c r="AV287" s="116"/>
      <c r="AW287" s="116"/>
      <c r="AX287" s="116"/>
      <c r="AY287" s="116"/>
      <c r="AZ287" s="116"/>
      <c r="BA287" s="116"/>
      <c r="BB287" s="116"/>
      <c r="BC287" s="116"/>
      <c r="BD287" s="116"/>
      <c r="BE287" s="116"/>
      <c r="BF287" s="116"/>
      <c r="BG287" s="116"/>
      <c r="BH287" s="116"/>
      <c r="BI287" s="116"/>
      <c r="BJ287" s="116"/>
      <c r="BK287" s="116"/>
      <c r="BL287" s="116"/>
      <c r="BM287" s="116"/>
      <c r="BN287" s="116"/>
      <c r="BO287" s="116"/>
      <c r="BP287" s="116"/>
      <c r="BQ287" s="116"/>
      <c r="BR287" s="116"/>
      <c r="BS287" s="116"/>
      <c r="BT287" s="116"/>
      <c r="BU287" s="116"/>
      <c r="BV287" s="116"/>
      <c r="BW287" s="116"/>
      <c r="BX287" s="116"/>
      <c r="BY287" s="116"/>
      <c r="BZ287" s="116"/>
      <c r="CA287" s="116"/>
      <c r="CB287" s="116"/>
      <c r="CC287" s="116"/>
      <c r="CD287" s="145">
        <v>43503.0</v>
      </c>
      <c r="CE287" s="50">
        <v>1.0</v>
      </c>
      <c r="CF287" s="50" t="s">
        <v>15555</v>
      </c>
      <c r="CG287" s="117">
        <v>5691.0</v>
      </c>
      <c r="CH287" s="50" t="s">
        <v>17617</v>
      </c>
      <c r="CI287" s="50" t="s">
        <v>17618</v>
      </c>
      <c r="CJ287" s="117">
        <v>286.0</v>
      </c>
    </row>
    <row r="288">
      <c r="A288" s="50" t="s">
        <v>17604</v>
      </c>
      <c r="B288" s="50" t="s">
        <v>6876</v>
      </c>
      <c r="C288" s="50" t="s">
        <v>6877</v>
      </c>
      <c r="D288" s="50" t="s">
        <v>11623</v>
      </c>
      <c r="E288" s="50" t="s">
        <v>17620</v>
      </c>
      <c r="F288" s="50">
        <v>33.0</v>
      </c>
      <c r="G288" s="50">
        <v>1.0</v>
      </c>
      <c r="H288" s="50">
        <v>97.0</v>
      </c>
      <c r="I288" s="116"/>
      <c r="J288" s="116"/>
      <c r="K288" s="50" t="s">
        <v>15565</v>
      </c>
      <c r="L288" s="50" t="s">
        <v>15565</v>
      </c>
      <c r="M288" s="50" t="s">
        <v>12888</v>
      </c>
      <c r="N288" s="50" t="s">
        <v>17310</v>
      </c>
      <c r="O288" s="50" t="s">
        <v>17311</v>
      </c>
      <c r="P288" s="116"/>
      <c r="Q288" s="116"/>
      <c r="R288" s="116"/>
      <c r="S288" s="116"/>
      <c r="T288" s="116"/>
      <c r="U288" s="116"/>
      <c r="V288" s="116"/>
      <c r="W288" s="116"/>
      <c r="X288" s="116"/>
      <c r="Y288" s="116"/>
      <c r="Z288" s="116"/>
      <c r="AA288" s="116"/>
      <c r="AB288" s="116"/>
      <c r="AC288" s="116"/>
      <c r="AD288" s="116"/>
      <c r="AE288" s="116"/>
      <c r="AF288" s="116"/>
      <c r="AG288" s="116"/>
      <c r="AH288" s="50">
        <v>7.0</v>
      </c>
      <c r="AI288" s="50">
        <v>1000.0</v>
      </c>
      <c r="AJ288" s="50">
        <v>3.0</v>
      </c>
      <c r="AK288" s="50">
        <v>152.0</v>
      </c>
      <c r="AL288" s="116"/>
      <c r="AM288" s="116"/>
      <c r="AN288" s="116"/>
      <c r="AO288" s="116"/>
      <c r="AP288" s="116"/>
      <c r="AQ288" s="116"/>
      <c r="AR288" s="116"/>
      <c r="AS288" s="116"/>
      <c r="AT288" s="116"/>
      <c r="AU288" s="50">
        <v>0.0</v>
      </c>
      <c r="AV288" s="116"/>
      <c r="AW288" s="116"/>
      <c r="AX288" s="116"/>
      <c r="AY288" s="116"/>
      <c r="AZ288" s="116"/>
      <c r="BA288" s="116"/>
      <c r="BB288" s="116"/>
      <c r="BC288" s="116"/>
      <c r="BD288" s="116"/>
      <c r="BE288" s="116"/>
      <c r="BF288" s="116"/>
      <c r="BG288" s="116"/>
      <c r="BH288" s="116"/>
      <c r="BI288" s="116"/>
      <c r="BJ288" s="116"/>
      <c r="BK288" s="116"/>
      <c r="BL288" s="116"/>
      <c r="BM288" s="116"/>
      <c r="BN288" s="116"/>
      <c r="BO288" s="116"/>
      <c r="BP288" s="116"/>
      <c r="BQ288" s="116"/>
      <c r="BR288" s="116"/>
      <c r="BS288" s="116"/>
      <c r="BT288" s="116"/>
      <c r="BU288" s="116"/>
      <c r="BV288" s="116"/>
      <c r="BW288" s="116"/>
      <c r="BX288" s="116"/>
      <c r="BY288" s="116"/>
      <c r="BZ288" s="116"/>
      <c r="CA288" s="116"/>
      <c r="CB288" s="116"/>
      <c r="CC288" s="116"/>
      <c r="CD288" s="145">
        <v>43503.0</v>
      </c>
      <c r="CE288" s="50">
        <v>1.0</v>
      </c>
      <c r="CF288" s="50" t="s">
        <v>15555</v>
      </c>
      <c r="CG288" s="117">
        <v>5692.0</v>
      </c>
      <c r="CH288" s="50" t="s">
        <v>17640</v>
      </c>
      <c r="CI288" s="50" t="s">
        <v>17641</v>
      </c>
      <c r="CJ288" s="117">
        <v>287.0</v>
      </c>
    </row>
    <row r="289">
      <c r="A289" s="50" t="s">
        <v>17643</v>
      </c>
      <c r="B289" s="50" t="s">
        <v>6876</v>
      </c>
      <c r="C289" s="50" t="s">
        <v>6877</v>
      </c>
      <c r="D289" s="50" t="s">
        <v>11623</v>
      </c>
      <c r="E289" s="50" t="s">
        <v>17645</v>
      </c>
      <c r="F289" s="50">
        <v>58.0</v>
      </c>
      <c r="G289" s="50">
        <v>1.0</v>
      </c>
      <c r="H289" s="50">
        <v>11.0</v>
      </c>
      <c r="I289" s="116"/>
      <c r="J289" s="116"/>
      <c r="K289" s="50" t="s">
        <v>1670</v>
      </c>
      <c r="L289" s="50" t="s">
        <v>1670</v>
      </c>
      <c r="M289" s="50" t="s">
        <v>13128</v>
      </c>
      <c r="N289" s="50" t="s">
        <v>13191</v>
      </c>
      <c r="O289" s="50" t="s">
        <v>13192</v>
      </c>
      <c r="P289" s="50">
        <v>4.0</v>
      </c>
      <c r="Q289" s="116"/>
      <c r="R289" s="116"/>
      <c r="S289" s="50">
        <v>7.0</v>
      </c>
      <c r="T289" s="50">
        <v>1000.0</v>
      </c>
      <c r="U289" s="50">
        <v>1.0</v>
      </c>
      <c r="V289" s="116"/>
      <c r="W289" s="50">
        <v>7.0</v>
      </c>
      <c r="X289" s="50">
        <v>100.0</v>
      </c>
      <c r="Y289" s="50">
        <v>3.0</v>
      </c>
      <c r="Z289" s="50">
        <v>62.0</v>
      </c>
      <c r="AA289" s="50">
        <v>1.0</v>
      </c>
      <c r="AB289" s="50">
        <v>4.0</v>
      </c>
      <c r="AC289" s="50">
        <v>1000.0</v>
      </c>
      <c r="AD289" s="50">
        <v>3.0</v>
      </c>
      <c r="AE289" s="50">
        <v>0.0</v>
      </c>
      <c r="AF289" s="116"/>
      <c r="AG289" s="116"/>
      <c r="AH289" s="50">
        <v>7.0</v>
      </c>
      <c r="AI289" s="50">
        <v>1000.0</v>
      </c>
      <c r="AJ289" s="50">
        <v>3.0</v>
      </c>
      <c r="AK289" s="50">
        <v>9.0</v>
      </c>
      <c r="AL289" s="50">
        <v>7.0</v>
      </c>
      <c r="AM289" s="50">
        <v>1000.0</v>
      </c>
      <c r="AN289" s="50">
        <v>3.0</v>
      </c>
      <c r="AO289" s="50">
        <v>9.0</v>
      </c>
      <c r="AP289" s="50">
        <v>1.0</v>
      </c>
      <c r="AQ289" s="50">
        <v>7.0</v>
      </c>
      <c r="AR289" s="50">
        <v>100.0</v>
      </c>
      <c r="AS289" s="50">
        <v>3.0</v>
      </c>
      <c r="AT289" s="50">
        <v>1.0</v>
      </c>
      <c r="AU289" s="50">
        <v>0.0</v>
      </c>
      <c r="AV289" s="116"/>
      <c r="AW289" s="116"/>
      <c r="AX289" s="116"/>
      <c r="AY289" s="116"/>
      <c r="AZ289" s="116"/>
      <c r="BA289" s="116"/>
      <c r="BB289" s="116"/>
      <c r="BC289" s="116"/>
      <c r="BD289" s="116"/>
      <c r="BE289" s="116"/>
      <c r="BF289" s="116"/>
      <c r="BG289" s="116"/>
      <c r="BH289" s="116"/>
      <c r="BI289" s="116"/>
      <c r="BJ289" s="116"/>
      <c r="BK289" s="116"/>
      <c r="BL289" s="116"/>
      <c r="BM289" s="116"/>
      <c r="BN289" s="116"/>
      <c r="BO289" s="116"/>
      <c r="BP289" s="116"/>
      <c r="BQ289" s="116"/>
      <c r="BR289" s="116"/>
      <c r="BS289" s="116"/>
      <c r="BT289" s="116"/>
      <c r="BU289" s="116"/>
      <c r="BV289" s="116"/>
      <c r="BW289" s="116"/>
      <c r="BX289" s="116"/>
      <c r="BY289" s="116"/>
      <c r="BZ289" s="116"/>
      <c r="CA289" s="116"/>
      <c r="CB289" s="116"/>
      <c r="CC289" s="50" t="s">
        <v>17660</v>
      </c>
      <c r="CD289" s="145">
        <v>43503.0</v>
      </c>
      <c r="CE289" s="50">
        <v>1.0</v>
      </c>
      <c r="CF289" s="50" t="s">
        <v>15555</v>
      </c>
      <c r="CG289" s="117">
        <v>5717.0</v>
      </c>
      <c r="CH289" s="50" t="s">
        <v>17661</v>
      </c>
      <c r="CI289" s="50" t="s">
        <v>17662</v>
      </c>
      <c r="CJ289" s="117">
        <v>288.0</v>
      </c>
    </row>
    <row r="290">
      <c r="A290" s="50" t="s">
        <v>17664</v>
      </c>
      <c r="B290" s="50" t="s">
        <v>6876</v>
      </c>
      <c r="C290" s="50" t="s">
        <v>6877</v>
      </c>
      <c r="D290" s="50" t="s">
        <v>11623</v>
      </c>
      <c r="E290" s="50" t="s">
        <v>17666</v>
      </c>
      <c r="F290" s="50">
        <v>59.0</v>
      </c>
      <c r="G290" s="50">
        <v>1.0</v>
      </c>
      <c r="H290" s="50">
        <v>11.0</v>
      </c>
      <c r="I290" s="116"/>
      <c r="J290" s="116"/>
      <c r="K290" s="50" t="s">
        <v>1673</v>
      </c>
      <c r="L290" s="50" t="s">
        <v>1673</v>
      </c>
      <c r="M290" s="50" t="s">
        <v>13128</v>
      </c>
      <c r="N290" s="50" t="s">
        <v>13191</v>
      </c>
      <c r="O290" s="50" t="s">
        <v>13192</v>
      </c>
      <c r="P290" s="50">
        <v>4.0</v>
      </c>
      <c r="Q290" s="116"/>
      <c r="R290" s="116"/>
      <c r="S290" s="50">
        <v>7.0</v>
      </c>
      <c r="T290" s="50">
        <v>1000.0</v>
      </c>
      <c r="U290" s="50">
        <v>3.0</v>
      </c>
      <c r="V290" s="50">
        <v>0.0</v>
      </c>
      <c r="W290" s="50">
        <v>7.0</v>
      </c>
      <c r="X290" s="50">
        <v>100.0</v>
      </c>
      <c r="Y290" s="50">
        <v>1.0</v>
      </c>
      <c r="Z290" s="116"/>
      <c r="AA290" s="50">
        <v>1.0</v>
      </c>
      <c r="AB290" s="50">
        <v>4.0</v>
      </c>
      <c r="AC290" s="50">
        <v>1000.0</v>
      </c>
      <c r="AD290" s="50">
        <v>3.0</v>
      </c>
      <c r="AE290" s="50">
        <v>9.0</v>
      </c>
      <c r="AF290" s="116"/>
      <c r="AG290" s="116"/>
      <c r="AH290" s="50">
        <v>7.0</v>
      </c>
      <c r="AI290" s="50">
        <v>5000.0</v>
      </c>
      <c r="AJ290" s="50">
        <v>3.0</v>
      </c>
      <c r="AK290" s="50">
        <v>0.0</v>
      </c>
      <c r="AL290" s="50">
        <v>7.0</v>
      </c>
      <c r="AM290" s="50">
        <v>1000.0</v>
      </c>
      <c r="AN290" s="50">
        <v>3.0</v>
      </c>
      <c r="AO290" s="50">
        <v>0.0</v>
      </c>
      <c r="AP290" s="50">
        <v>1.0</v>
      </c>
      <c r="AQ290" s="50">
        <v>7.0</v>
      </c>
      <c r="AR290" s="50">
        <v>100.0</v>
      </c>
      <c r="AS290" s="50">
        <v>3.0</v>
      </c>
      <c r="AT290" s="50">
        <v>0.0</v>
      </c>
      <c r="AU290" s="50">
        <v>0.0</v>
      </c>
      <c r="AV290" s="116"/>
      <c r="AW290" s="116"/>
      <c r="AX290" s="116"/>
      <c r="AY290" s="116"/>
      <c r="AZ290" s="116"/>
      <c r="BA290" s="116"/>
      <c r="BB290" s="116"/>
      <c r="BC290" s="116"/>
      <c r="BD290" s="116"/>
      <c r="BE290" s="116"/>
      <c r="BF290" s="116"/>
      <c r="BG290" s="116"/>
      <c r="BH290" s="116"/>
      <c r="BI290" s="116"/>
      <c r="BJ290" s="116"/>
      <c r="BK290" s="116"/>
      <c r="BL290" s="116"/>
      <c r="BM290" s="116"/>
      <c r="BN290" s="116"/>
      <c r="BO290" s="116"/>
      <c r="BP290" s="116"/>
      <c r="BQ290" s="116"/>
      <c r="BR290" s="116"/>
      <c r="BS290" s="116"/>
      <c r="BT290" s="116"/>
      <c r="BU290" s="116"/>
      <c r="BV290" s="116"/>
      <c r="BW290" s="116"/>
      <c r="BX290" s="116"/>
      <c r="BY290" s="116"/>
      <c r="BZ290" s="116"/>
      <c r="CA290" s="116"/>
      <c r="CB290" s="116"/>
      <c r="CC290" s="50" t="s">
        <v>17682</v>
      </c>
      <c r="CD290" s="50" t="s">
        <v>14054</v>
      </c>
      <c r="CE290" s="50">
        <v>1.0</v>
      </c>
      <c r="CF290" s="50" t="s">
        <v>15555</v>
      </c>
      <c r="CG290" s="117">
        <v>5718.0</v>
      </c>
      <c r="CH290" s="50" t="s">
        <v>17684</v>
      </c>
      <c r="CI290" s="50" t="s">
        <v>17686</v>
      </c>
      <c r="CJ290" s="117">
        <v>289.0</v>
      </c>
    </row>
    <row r="291">
      <c r="A291" s="50" t="s">
        <v>17687</v>
      </c>
      <c r="B291" s="50" t="s">
        <v>6876</v>
      </c>
      <c r="C291" s="50" t="s">
        <v>6877</v>
      </c>
      <c r="D291" s="50" t="s">
        <v>11623</v>
      </c>
      <c r="E291" s="50" t="s">
        <v>17688</v>
      </c>
      <c r="F291" s="50">
        <v>59.0</v>
      </c>
      <c r="G291" s="50">
        <v>1.0</v>
      </c>
      <c r="H291" s="50">
        <v>11.0</v>
      </c>
      <c r="I291" s="116"/>
      <c r="J291" s="116"/>
      <c r="K291" s="50" t="s">
        <v>1684</v>
      </c>
      <c r="L291" s="50" t="s">
        <v>1684</v>
      </c>
      <c r="M291" s="50" t="s">
        <v>13128</v>
      </c>
      <c r="N291" s="50" t="s">
        <v>13191</v>
      </c>
      <c r="O291" s="50" t="s">
        <v>13192</v>
      </c>
      <c r="P291" s="50">
        <v>4.0</v>
      </c>
      <c r="Q291" s="116"/>
      <c r="R291" s="116"/>
      <c r="S291" s="50">
        <v>7.0</v>
      </c>
      <c r="T291" s="50">
        <v>1000.0</v>
      </c>
      <c r="U291" s="50">
        <v>3.0</v>
      </c>
      <c r="V291" s="50">
        <v>0.0</v>
      </c>
      <c r="W291" s="50">
        <v>7.0</v>
      </c>
      <c r="X291" s="50">
        <v>100.0</v>
      </c>
      <c r="Y291" s="50">
        <v>1.0</v>
      </c>
      <c r="Z291" s="116"/>
      <c r="AA291" s="50">
        <v>1.0</v>
      </c>
      <c r="AB291" s="50">
        <v>4.0</v>
      </c>
      <c r="AC291" s="50">
        <v>1000.0</v>
      </c>
      <c r="AD291" s="50">
        <v>3.0</v>
      </c>
      <c r="AE291" s="50">
        <v>160.0</v>
      </c>
      <c r="AF291" s="116"/>
      <c r="AG291" s="116"/>
      <c r="AH291" s="50">
        <v>7.0</v>
      </c>
      <c r="AI291" s="50">
        <v>5000.0</v>
      </c>
      <c r="AJ291" s="50">
        <v>3.0</v>
      </c>
      <c r="AK291" s="50">
        <v>0.0</v>
      </c>
      <c r="AL291" s="50">
        <v>7.0</v>
      </c>
      <c r="AM291" s="50">
        <v>1000.0</v>
      </c>
      <c r="AN291" s="50">
        <v>3.0</v>
      </c>
      <c r="AO291" s="50">
        <v>0.0</v>
      </c>
      <c r="AP291" s="50">
        <v>1.0</v>
      </c>
      <c r="AQ291" s="50">
        <v>7.0</v>
      </c>
      <c r="AR291" s="50">
        <v>100.0</v>
      </c>
      <c r="AS291" s="50">
        <v>3.0</v>
      </c>
      <c r="AT291" s="50">
        <v>12.0</v>
      </c>
      <c r="AU291" s="50">
        <v>0.0</v>
      </c>
      <c r="AV291" s="116"/>
      <c r="AW291" s="116"/>
      <c r="AX291" s="116"/>
      <c r="AY291" s="116"/>
      <c r="AZ291" s="116"/>
      <c r="BA291" s="116"/>
      <c r="BB291" s="116"/>
      <c r="BC291" s="116"/>
      <c r="BD291" s="116"/>
      <c r="BE291" s="116"/>
      <c r="BF291" s="116"/>
      <c r="BG291" s="116"/>
      <c r="BH291" s="116"/>
      <c r="BI291" s="116"/>
      <c r="BJ291" s="116"/>
      <c r="BK291" s="116"/>
      <c r="BL291" s="116"/>
      <c r="BM291" s="116"/>
      <c r="BN291" s="116"/>
      <c r="BO291" s="116"/>
      <c r="BP291" s="116"/>
      <c r="BQ291" s="116"/>
      <c r="BR291" s="116"/>
      <c r="BS291" s="116"/>
      <c r="BT291" s="116"/>
      <c r="BU291" s="116"/>
      <c r="BV291" s="116"/>
      <c r="BW291" s="116"/>
      <c r="BX291" s="116"/>
      <c r="BY291" s="116"/>
      <c r="BZ291" s="116"/>
      <c r="CA291" s="116"/>
      <c r="CB291" s="116"/>
      <c r="CC291" s="50" t="s">
        <v>17704</v>
      </c>
      <c r="CD291" s="145">
        <v>43503.0</v>
      </c>
      <c r="CE291" s="50">
        <v>1.0</v>
      </c>
      <c r="CF291" s="50" t="s">
        <v>15555</v>
      </c>
      <c r="CG291" s="117">
        <v>5808.0</v>
      </c>
      <c r="CH291" s="50" t="s">
        <v>17706</v>
      </c>
      <c r="CI291" s="50" t="s">
        <v>17708</v>
      </c>
      <c r="CJ291" s="117">
        <v>290.0</v>
      </c>
    </row>
    <row r="292">
      <c r="A292" s="50" t="s">
        <v>17688</v>
      </c>
      <c r="B292" s="50" t="s">
        <v>6876</v>
      </c>
      <c r="C292" s="50" t="s">
        <v>6877</v>
      </c>
      <c r="D292" s="50" t="s">
        <v>11623</v>
      </c>
      <c r="E292" s="50" t="s">
        <v>17710</v>
      </c>
      <c r="F292" s="50">
        <v>59.0</v>
      </c>
      <c r="G292" s="50">
        <v>1.0</v>
      </c>
      <c r="H292" s="50">
        <v>11.0</v>
      </c>
      <c r="I292" s="116"/>
      <c r="J292" s="116"/>
      <c r="K292" s="50" t="s">
        <v>1687</v>
      </c>
      <c r="L292" s="50" t="s">
        <v>1687</v>
      </c>
      <c r="M292" s="50" t="s">
        <v>13128</v>
      </c>
      <c r="N292" s="50" t="s">
        <v>13191</v>
      </c>
      <c r="O292" s="50" t="s">
        <v>13192</v>
      </c>
      <c r="P292" s="50">
        <v>4.0</v>
      </c>
      <c r="Q292" s="116"/>
      <c r="R292" s="116"/>
      <c r="S292" s="50">
        <v>7.0</v>
      </c>
      <c r="T292" s="50">
        <v>1000.0</v>
      </c>
      <c r="U292" s="50">
        <v>3.0</v>
      </c>
      <c r="V292" s="50">
        <v>0.0</v>
      </c>
      <c r="W292" s="50">
        <v>7.0</v>
      </c>
      <c r="X292" s="50">
        <v>100.0</v>
      </c>
      <c r="Y292" s="50">
        <v>1.0</v>
      </c>
      <c r="Z292" s="116"/>
      <c r="AA292" s="50">
        <v>1.0</v>
      </c>
      <c r="AB292" s="50">
        <v>4.0</v>
      </c>
      <c r="AC292" s="50">
        <v>1000.0</v>
      </c>
      <c r="AD292" s="50">
        <v>3.0</v>
      </c>
      <c r="AE292" s="50">
        <v>0.0</v>
      </c>
      <c r="AF292" s="116"/>
      <c r="AG292" s="116"/>
      <c r="AH292" s="50">
        <v>7.0</v>
      </c>
      <c r="AI292" s="50">
        <v>5000.0</v>
      </c>
      <c r="AJ292" s="50">
        <v>3.0</v>
      </c>
      <c r="AK292" s="50">
        <v>0.0</v>
      </c>
      <c r="AL292" s="50">
        <v>7.0</v>
      </c>
      <c r="AM292" s="50">
        <v>1000.0</v>
      </c>
      <c r="AN292" s="50">
        <v>3.0</v>
      </c>
      <c r="AO292" s="50">
        <v>0.0</v>
      </c>
      <c r="AP292" s="50">
        <v>1.0</v>
      </c>
      <c r="AQ292" s="50">
        <v>7.0</v>
      </c>
      <c r="AR292" s="50">
        <v>100.0</v>
      </c>
      <c r="AS292" s="50">
        <v>3.0</v>
      </c>
      <c r="AT292" s="50">
        <v>0.0</v>
      </c>
      <c r="AU292" s="50">
        <v>0.0</v>
      </c>
      <c r="AV292" s="116"/>
      <c r="AW292" s="116"/>
      <c r="AX292" s="116"/>
      <c r="AY292" s="116"/>
      <c r="AZ292" s="116"/>
      <c r="BA292" s="116"/>
      <c r="BB292" s="116"/>
      <c r="BC292" s="116"/>
      <c r="BD292" s="116"/>
      <c r="BE292" s="116"/>
      <c r="BF292" s="116"/>
      <c r="BG292" s="116"/>
      <c r="BH292" s="116"/>
      <c r="BI292" s="116"/>
      <c r="BJ292" s="116"/>
      <c r="BK292" s="116"/>
      <c r="BL292" s="116"/>
      <c r="BM292" s="116"/>
      <c r="BN292" s="116"/>
      <c r="BO292" s="116"/>
      <c r="BP292" s="116"/>
      <c r="BQ292" s="116"/>
      <c r="BR292" s="116"/>
      <c r="BS292" s="116"/>
      <c r="BT292" s="116"/>
      <c r="BU292" s="116"/>
      <c r="BV292" s="116"/>
      <c r="BW292" s="116"/>
      <c r="BX292" s="116"/>
      <c r="BY292" s="116"/>
      <c r="BZ292" s="116"/>
      <c r="CA292" s="116"/>
      <c r="CB292" s="116"/>
      <c r="CC292" s="50" t="s">
        <v>16795</v>
      </c>
      <c r="CD292" s="145">
        <v>43503.0</v>
      </c>
      <c r="CE292" s="50">
        <v>1.0</v>
      </c>
      <c r="CF292" s="50" t="s">
        <v>15555</v>
      </c>
      <c r="CG292" s="117">
        <v>5809.0</v>
      </c>
      <c r="CH292" s="50" t="s">
        <v>17722</v>
      </c>
      <c r="CI292" s="50" t="s">
        <v>17723</v>
      </c>
      <c r="CJ292" s="117">
        <v>291.0</v>
      </c>
    </row>
    <row r="293">
      <c r="A293" s="50" t="s">
        <v>17710</v>
      </c>
      <c r="B293" s="50" t="s">
        <v>6876</v>
      </c>
      <c r="C293" s="50" t="s">
        <v>6877</v>
      </c>
      <c r="D293" s="50" t="s">
        <v>11623</v>
      </c>
      <c r="E293" s="50" t="s">
        <v>17725</v>
      </c>
      <c r="F293" s="50">
        <v>59.0</v>
      </c>
      <c r="G293" s="50">
        <v>1.0</v>
      </c>
      <c r="H293" s="50">
        <v>11.0</v>
      </c>
      <c r="I293" s="116"/>
      <c r="J293" s="116"/>
      <c r="K293" s="50" t="s">
        <v>1690</v>
      </c>
      <c r="L293" s="50" t="s">
        <v>1690</v>
      </c>
      <c r="M293" s="50" t="s">
        <v>13128</v>
      </c>
      <c r="N293" s="50" t="s">
        <v>13191</v>
      </c>
      <c r="O293" s="50" t="s">
        <v>17726</v>
      </c>
      <c r="P293" s="50">
        <v>4.0</v>
      </c>
      <c r="Q293" s="116"/>
      <c r="R293" s="116"/>
      <c r="S293" s="50">
        <v>7.0</v>
      </c>
      <c r="T293" s="50">
        <v>1000.0</v>
      </c>
      <c r="U293" s="50">
        <v>3.0</v>
      </c>
      <c r="V293" s="50">
        <v>70.0</v>
      </c>
      <c r="W293" s="50">
        <v>7.0</v>
      </c>
      <c r="X293" s="50">
        <v>100.0</v>
      </c>
      <c r="Y293" s="50">
        <v>3.0</v>
      </c>
      <c r="Z293" s="50">
        <v>24.0</v>
      </c>
      <c r="AA293" s="50">
        <v>1.0</v>
      </c>
      <c r="AB293" s="50">
        <v>4.0</v>
      </c>
      <c r="AC293" s="50">
        <v>1000.0</v>
      </c>
      <c r="AD293" s="50">
        <v>3.0</v>
      </c>
      <c r="AE293" s="50">
        <v>0.0</v>
      </c>
      <c r="AF293" s="116"/>
      <c r="AG293" s="116"/>
      <c r="AH293" s="50">
        <v>7.0</v>
      </c>
      <c r="AI293" s="50">
        <v>5000.0</v>
      </c>
      <c r="AJ293" s="50">
        <v>3.0</v>
      </c>
      <c r="AK293" s="50">
        <v>0.0</v>
      </c>
      <c r="AL293" s="50">
        <v>7.0</v>
      </c>
      <c r="AM293" s="50">
        <v>1000.0</v>
      </c>
      <c r="AN293" s="50">
        <v>3.0</v>
      </c>
      <c r="AO293" s="50">
        <v>0.0</v>
      </c>
      <c r="AP293" s="50">
        <v>1.0</v>
      </c>
      <c r="AQ293" s="50">
        <v>7.0</v>
      </c>
      <c r="AR293" s="50">
        <v>100.0</v>
      </c>
      <c r="AS293" s="50">
        <v>3.0</v>
      </c>
      <c r="AT293" s="50">
        <v>0.0</v>
      </c>
      <c r="AU293" s="50">
        <v>0.0</v>
      </c>
      <c r="AV293" s="116"/>
      <c r="AW293" s="116"/>
      <c r="AX293" s="116"/>
      <c r="AY293" s="116"/>
      <c r="AZ293" s="116"/>
      <c r="BA293" s="116"/>
      <c r="BB293" s="116"/>
      <c r="BC293" s="116"/>
      <c r="BD293" s="116"/>
      <c r="BE293" s="116"/>
      <c r="BF293" s="116"/>
      <c r="BG293" s="116"/>
      <c r="BH293" s="116"/>
      <c r="BI293" s="116"/>
      <c r="BJ293" s="116"/>
      <c r="BK293" s="116"/>
      <c r="BL293" s="116"/>
      <c r="BM293" s="116"/>
      <c r="BN293" s="116"/>
      <c r="BO293" s="116"/>
      <c r="BP293" s="116"/>
      <c r="BQ293" s="116"/>
      <c r="BR293" s="116"/>
      <c r="BS293" s="116"/>
      <c r="BT293" s="116"/>
      <c r="BU293" s="116"/>
      <c r="BV293" s="116"/>
      <c r="BW293" s="116"/>
      <c r="BX293" s="116"/>
      <c r="BY293" s="116"/>
      <c r="BZ293" s="116"/>
      <c r="CA293" s="116"/>
      <c r="CB293" s="116"/>
      <c r="CC293" s="50" t="s">
        <v>16851</v>
      </c>
      <c r="CD293" s="145">
        <v>43503.0</v>
      </c>
      <c r="CE293" s="50">
        <v>1.0</v>
      </c>
      <c r="CF293" s="50" t="s">
        <v>15555</v>
      </c>
      <c r="CG293" s="117">
        <v>5810.0</v>
      </c>
      <c r="CH293" s="50" t="s">
        <v>17739</v>
      </c>
      <c r="CI293" s="50" t="s">
        <v>17740</v>
      </c>
      <c r="CJ293" s="117">
        <v>292.0</v>
      </c>
    </row>
    <row r="294">
      <c r="A294" s="50" t="s">
        <v>17725</v>
      </c>
      <c r="B294" s="50" t="s">
        <v>6876</v>
      </c>
      <c r="C294" s="50" t="s">
        <v>6877</v>
      </c>
      <c r="D294" s="50" t="s">
        <v>11623</v>
      </c>
      <c r="E294" s="50" t="s">
        <v>17742</v>
      </c>
      <c r="F294" s="50">
        <v>58.0</v>
      </c>
      <c r="G294" s="50">
        <v>1.0</v>
      </c>
      <c r="H294" s="50">
        <v>14.0</v>
      </c>
      <c r="I294" s="50">
        <v>144.0</v>
      </c>
      <c r="J294" s="116"/>
      <c r="K294" s="50" t="s">
        <v>528</v>
      </c>
      <c r="L294" s="50" t="s">
        <v>528</v>
      </c>
      <c r="M294" s="50" t="s">
        <v>13128</v>
      </c>
      <c r="N294" s="50" t="s">
        <v>13191</v>
      </c>
      <c r="O294" s="50" t="s">
        <v>13192</v>
      </c>
      <c r="P294" s="116"/>
      <c r="Q294" s="116"/>
      <c r="R294" s="116"/>
      <c r="S294" s="50">
        <v>7.0</v>
      </c>
      <c r="T294" s="50">
        <v>1000.0</v>
      </c>
      <c r="U294" s="50">
        <v>3.0</v>
      </c>
      <c r="V294" s="50">
        <v>0.0</v>
      </c>
      <c r="W294" s="50">
        <v>7.0</v>
      </c>
      <c r="X294" s="50">
        <v>100.0</v>
      </c>
      <c r="Y294" s="50">
        <v>3.0</v>
      </c>
      <c r="Z294" s="50">
        <v>0.0</v>
      </c>
      <c r="AA294" s="50">
        <v>0.0</v>
      </c>
      <c r="AB294" s="116"/>
      <c r="AC294" s="116"/>
      <c r="AD294" s="116"/>
      <c r="AE294" s="116"/>
      <c r="AF294" s="116"/>
      <c r="AG294" s="116"/>
      <c r="AH294" s="50">
        <v>7.0</v>
      </c>
      <c r="AI294" s="50">
        <v>5000.0</v>
      </c>
      <c r="AJ294" s="50">
        <v>3.0</v>
      </c>
      <c r="AK294" s="50">
        <v>0.0</v>
      </c>
      <c r="AL294" s="50">
        <v>7.0</v>
      </c>
      <c r="AM294" s="50">
        <v>1000.0</v>
      </c>
      <c r="AN294" s="50">
        <v>3.0</v>
      </c>
      <c r="AO294" s="50">
        <v>0.0</v>
      </c>
      <c r="AP294" s="50">
        <v>1.0</v>
      </c>
      <c r="AQ294" s="50">
        <v>7.0</v>
      </c>
      <c r="AR294" s="50">
        <v>100.0</v>
      </c>
      <c r="AS294" s="50">
        <v>3.0</v>
      </c>
      <c r="AT294" s="50">
        <v>0.0</v>
      </c>
      <c r="AU294" s="50">
        <v>0.0</v>
      </c>
      <c r="AV294" s="116"/>
      <c r="AW294" s="116"/>
      <c r="AX294" s="116"/>
      <c r="AY294" s="116"/>
      <c r="AZ294" s="116"/>
      <c r="BA294" s="116"/>
      <c r="BB294" s="116"/>
      <c r="BC294" s="116"/>
      <c r="BD294" s="116"/>
      <c r="BE294" s="116"/>
      <c r="BF294" s="116"/>
      <c r="BG294" s="116"/>
      <c r="BH294" s="116"/>
      <c r="BI294" s="116"/>
      <c r="BJ294" s="116"/>
      <c r="BK294" s="116"/>
      <c r="BL294" s="116"/>
      <c r="BM294" s="116"/>
      <c r="BN294" s="116"/>
      <c r="BO294" s="116"/>
      <c r="BP294" s="116"/>
      <c r="BQ294" s="116"/>
      <c r="BR294" s="116"/>
      <c r="BS294" s="116"/>
      <c r="BT294" s="116"/>
      <c r="BU294" s="116"/>
      <c r="BV294" s="116"/>
      <c r="BW294" s="116"/>
      <c r="BX294" s="116"/>
      <c r="BY294" s="116"/>
      <c r="BZ294" s="116"/>
      <c r="CA294" s="116"/>
      <c r="CB294" s="116"/>
      <c r="CC294" s="116"/>
      <c r="CD294" s="145">
        <v>43503.0</v>
      </c>
      <c r="CE294" s="50">
        <v>1.0</v>
      </c>
      <c r="CF294" s="50" t="s">
        <v>15555</v>
      </c>
      <c r="CG294" s="117">
        <v>5811.0</v>
      </c>
      <c r="CH294" s="50" t="s">
        <v>17750</v>
      </c>
      <c r="CI294" s="50" t="s">
        <v>17751</v>
      </c>
      <c r="CJ294" s="117">
        <v>293.0</v>
      </c>
    </row>
    <row r="295">
      <c r="A295" s="50" t="s">
        <v>17753</v>
      </c>
      <c r="B295" s="50" t="s">
        <v>6876</v>
      </c>
      <c r="C295" s="50" t="s">
        <v>6877</v>
      </c>
      <c r="D295" s="50" t="s">
        <v>11623</v>
      </c>
      <c r="E295" s="50" t="s">
        <v>17756</v>
      </c>
      <c r="F295" s="50">
        <v>58.0</v>
      </c>
      <c r="G295" s="50">
        <v>1.0</v>
      </c>
      <c r="H295" s="50">
        <v>14.0</v>
      </c>
      <c r="I295" s="50">
        <v>142.0</v>
      </c>
      <c r="J295" s="116"/>
      <c r="K295" s="50" t="s">
        <v>530</v>
      </c>
      <c r="L295" s="50" t="s">
        <v>530</v>
      </c>
      <c r="M295" s="50" t="s">
        <v>13128</v>
      </c>
      <c r="N295" s="50" t="s">
        <v>13191</v>
      </c>
      <c r="O295" s="50" t="s">
        <v>13192</v>
      </c>
      <c r="P295" s="116"/>
      <c r="Q295" s="116"/>
      <c r="R295" s="116"/>
      <c r="S295" s="50">
        <v>7.0</v>
      </c>
      <c r="T295" s="50">
        <v>1000.0</v>
      </c>
      <c r="U295" s="50">
        <v>3.0</v>
      </c>
      <c r="V295" s="50">
        <v>0.0</v>
      </c>
      <c r="W295" s="50">
        <v>7.0</v>
      </c>
      <c r="X295" s="50">
        <v>100.0</v>
      </c>
      <c r="Y295" s="50">
        <v>3.0</v>
      </c>
      <c r="Z295" s="50">
        <v>0.0</v>
      </c>
      <c r="AA295" s="50">
        <v>0.0</v>
      </c>
      <c r="AB295" s="116"/>
      <c r="AC295" s="116"/>
      <c r="AD295" s="116"/>
      <c r="AE295" s="116"/>
      <c r="AF295" s="116"/>
      <c r="AG295" s="116"/>
      <c r="AH295" s="50">
        <v>7.0</v>
      </c>
      <c r="AI295" s="50">
        <v>5000.0</v>
      </c>
      <c r="AJ295" s="50">
        <v>3.0</v>
      </c>
      <c r="AK295" s="50">
        <v>0.0</v>
      </c>
      <c r="AL295" s="50">
        <v>7.0</v>
      </c>
      <c r="AM295" s="50">
        <v>1000.0</v>
      </c>
      <c r="AN295" s="50">
        <v>3.0</v>
      </c>
      <c r="AO295" s="50">
        <v>0.0</v>
      </c>
      <c r="AP295" s="50">
        <v>1.0</v>
      </c>
      <c r="AQ295" s="50">
        <v>7.0</v>
      </c>
      <c r="AR295" s="50">
        <v>100.0</v>
      </c>
      <c r="AS295" s="50">
        <v>3.0</v>
      </c>
      <c r="AT295" s="50">
        <v>0.0</v>
      </c>
      <c r="AU295" s="50">
        <v>0.0</v>
      </c>
      <c r="AV295" s="116"/>
      <c r="AW295" s="116"/>
      <c r="AX295" s="116"/>
      <c r="AY295" s="116"/>
      <c r="AZ295" s="116"/>
      <c r="BA295" s="116"/>
      <c r="BB295" s="116"/>
      <c r="BC295" s="116"/>
      <c r="BD295" s="116"/>
      <c r="BE295" s="116"/>
      <c r="BF295" s="116"/>
      <c r="BG295" s="116"/>
      <c r="BH295" s="116"/>
      <c r="BI295" s="116"/>
      <c r="BJ295" s="116"/>
      <c r="BK295" s="116"/>
      <c r="BL295" s="116"/>
      <c r="BM295" s="116"/>
      <c r="BN295" s="116"/>
      <c r="BO295" s="116"/>
      <c r="BP295" s="116"/>
      <c r="BQ295" s="116"/>
      <c r="BR295" s="116"/>
      <c r="BS295" s="116"/>
      <c r="BT295" s="116"/>
      <c r="BU295" s="116"/>
      <c r="BV295" s="116"/>
      <c r="BW295" s="116"/>
      <c r="BX295" s="116"/>
      <c r="BY295" s="116"/>
      <c r="BZ295" s="116"/>
      <c r="CA295" s="116"/>
      <c r="CB295" s="116"/>
      <c r="CC295" s="116"/>
      <c r="CD295" s="145">
        <v>43503.0</v>
      </c>
      <c r="CE295" s="50">
        <v>1.0</v>
      </c>
      <c r="CF295" s="50" t="s">
        <v>15555</v>
      </c>
      <c r="CG295" s="117">
        <v>5812.0</v>
      </c>
      <c r="CH295" s="50" t="s">
        <v>17771</v>
      </c>
      <c r="CI295" s="50" t="s">
        <v>17772</v>
      </c>
      <c r="CJ295" s="117">
        <v>294.0</v>
      </c>
    </row>
    <row r="296">
      <c r="A296" s="50" t="s">
        <v>17756</v>
      </c>
      <c r="B296" s="50" t="s">
        <v>6876</v>
      </c>
      <c r="C296" s="50" t="s">
        <v>6877</v>
      </c>
      <c r="D296" s="50" t="s">
        <v>11623</v>
      </c>
      <c r="E296" s="50" t="s">
        <v>17775</v>
      </c>
      <c r="F296" s="50">
        <v>58.0</v>
      </c>
      <c r="G296" s="50">
        <v>1.0</v>
      </c>
      <c r="H296" s="50">
        <v>14.0</v>
      </c>
      <c r="I296" s="50">
        <v>145.0</v>
      </c>
      <c r="J296" s="116"/>
      <c r="K296" s="50" t="s">
        <v>535</v>
      </c>
      <c r="L296" s="50" t="s">
        <v>535</v>
      </c>
      <c r="M296" s="50" t="s">
        <v>13128</v>
      </c>
      <c r="N296" s="50" t="s">
        <v>13191</v>
      </c>
      <c r="O296" s="50" t="s">
        <v>13192</v>
      </c>
      <c r="P296" s="116"/>
      <c r="Q296" s="116"/>
      <c r="R296" s="116"/>
      <c r="S296" s="50">
        <v>7.0</v>
      </c>
      <c r="T296" s="50">
        <v>1000.0</v>
      </c>
      <c r="U296" s="50">
        <v>3.0</v>
      </c>
      <c r="V296" s="50">
        <v>0.0</v>
      </c>
      <c r="W296" s="50">
        <v>7.0</v>
      </c>
      <c r="X296" s="50">
        <v>100.0</v>
      </c>
      <c r="Y296" s="50">
        <v>3.0</v>
      </c>
      <c r="Z296" s="50">
        <v>0.0</v>
      </c>
      <c r="AA296" s="50">
        <v>0.0</v>
      </c>
      <c r="AB296" s="116"/>
      <c r="AC296" s="116"/>
      <c r="AD296" s="116"/>
      <c r="AE296" s="116"/>
      <c r="AF296" s="116"/>
      <c r="AG296" s="116"/>
      <c r="AH296" s="50">
        <v>7.0</v>
      </c>
      <c r="AI296" s="50">
        <v>5000.0</v>
      </c>
      <c r="AJ296" s="50">
        <v>3.0</v>
      </c>
      <c r="AK296" s="50">
        <v>0.0</v>
      </c>
      <c r="AL296" s="50">
        <v>7.0</v>
      </c>
      <c r="AM296" s="50">
        <v>1000.0</v>
      </c>
      <c r="AN296" s="50">
        <v>3.0</v>
      </c>
      <c r="AO296" s="50">
        <v>0.0</v>
      </c>
      <c r="AP296" s="50">
        <v>1.0</v>
      </c>
      <c r="AQ296" s="50">
        <v>7.0</v>
      </c>
      <c r="AR296" s="50">
        <v>100.0</v>
      </c>
      <c r="AS296" s="50">
        <v>3.0</v>
      </c>
      <c r="AT296" s="50">
        <v>0.0</v>
      </c>
      <c r="AU296" s="50">
        <v>0.0</v>
      </c>
      <c r="AV296" s="116"/>
      <c r="AW296" s="116"/>
      <c r="AX296" s="116"/>
      <c r="AY296" s="116"/>
      <c r="AZ296" s="116"/>
      <c r="BA296" s="116"/>
      <c r="BB296" s="116"/>
      <c r="BC296" s="116"/>
      <c r="BD296" s="116"/>
      <c r="BE296" s="116"/>
      <c r="BF296" s="116"/>
      <c r="BG296" s="116"/>
      <c r="BH296" s="116"/>
      <c r="BI296" s="116"/>
      <c r="BJ296" s="116"/>
      <c r="BK296" s="116"/>
      <c r="BL296" s="116"/>
      <c r="BM296" s="116"/>
      <c r="BN296" s="116"/>
      <c r="BO296" s="116"/>
      <c r="BP296" s="116"/>
      <c r="BQ296" s="116"/>
      <c r="BR296" s="116"/>
      <c r="BS296" s="116"/>
      <c r="BT296" s="116"/>
      <c r="BU296" s="116"/>
      <c r="BV296" s="116"/>
      <c r="BW296" s="116"/>
      <c r="BX296" s="116"/>
      <c r="BY296" s="116"/>
      <c r="BZ296" s="116"/>
      <c r="CA296" s="116"/>
      <c r="CB296" s="116"/>
      <c r="CC296" s="116"/>
      <c r="CD296" s="145">
        <v>43503.0</v>
      </c>
      <c r="CE296" s="50">
        <v>1.0</v>
      </c>
      <c r="CF296" s="50" t="s">
        <v>15555</v>
      </c>
      <c r="CG296" s="117">
        <v>5813.0</v>
      </c>
      <c r="CH296" s="50" t="s">
        <v>17789</v>
      </c>
      <c r="CI296" s="50" t="s">
        <v>17790</v>
      </c>
      <c r="CJ296" s="117">
        <v>295.0</v>
      </c>
    </row>
    <row r="297">
      <c r="A297" s="50" t="s">
        <v>17775</v>
      </c>
      <c r="B297" s="50" t="s">
        <v>6876</v>
      </c>
      <c r="C297" s="50" t="s">
        <v>6877</v>
      </c>
      <c r="D297" s="50" t="s">
        <v>11623</v>
      </c>
      <c r="E297" s="50" t="s">
        <v>17791</v>
      </c>
      <c r="F297" s="50">
        <v>58.0</v>
      </c>
      <c r="G297" s="50">
        <v>1.0</v>
      </c>
      <c r="H297" s="50">
        <v>14.0</v>
      </c>
      <c r="I297" s="50">
        <v>141.0</v>
      </c>
      <c r="J297" s="116"/>
      <c r="K297" s="50" t="s">
        <v>532</v>
      </c>
      <c r="L297" s="50" t="s">
        <v>532</v>
      </c>
      <c r="M297" s="50" t="s">
        <v>13128</v>
      </c>
      <c r="N297" s="50" t="s">
        <v>13191</v>
      </c>
      <c r="O297" s="50" t="s">
        <v>13192</v>
      </c>
      <c r="P297" s="116"/>
      <c r="Q297" s="116"/>
      <c r="R297" s="116"/>
      <c r="S297" s="50">
        <v>7.0</v>
      </c>
      <c r="T297" s="50">
        <v>1000.0</v>
      </c>
      <c r="U297" s="50">
        <v>3.0</v>
      </c>
      <c r="V297" s="50">
        <v>0.0</v>
      </c>
      <c r="W297" s="50">
        <v>7.0</v>
      </c>
      <c r="X297" s="50">
        <v>100.0</v>
      </c>
      <c r="Y297" s="50">
        <v>3.0</v>
      </c>
      <c r="Z297" s="50">
        <v>0.0</v>
      </c>
      <c r="AA297" s="50">
        <v>0.0</v>
      </c>
      <c r="AB297" s="116"/>
      <c r="AC297" s="116"/>
      <c r="AD297" s="116"/>
      <c r="AE297" s="116"/>
      <c r="AF297" s="116"/>
      <c r="AG297" s="116"/>
      <c r="AH297" s="50">
        <v>7.0</v>
      </c>
      <c r="AI297" s="50">
        <v>5000.0</v>
      </c>
      <c r="AJ297" s="50">
        <v>3.0</v>
      </c>
      <c r="AK297" s="50">
        <v>0.0</v>
      </c>
      <c r="AL297" s="50">
        <v>7.0</v>
      </c>
      <c r="AM297" s="50">
        <v>1000.0</v>
      </c>
      <c r="AN297" s="50">
        <v>3.0</v>
      </c>
      <c r="AO297" s="50">
        <v>0.0</v>
      </c>
      <c r="AP297" s="50">
        <v>1.0</v>
      </c>
      <c r="AQ297" s="50">
        <v>7.0</v>
      </c>
      <c r="AR297" s="50">
        <v>100.0</v>
      </c>
      <c r="AS297" s="50">
        <v>3.0</v>
      </c>
      <c r="AT297" s="50">
        <v>0.0</v>
      </c>
      <c r="AU297" s="50">
        <v>0.0</v>
      </c>
      <c r="AV297" s="116"/>
      <c r="AW297" s="116"/>
      <c r="AX297" s="116"/>
      <c r="AY297" s="116"/>
      <c r="AZ297" s="116"/>
      <c r="BA297" s="116"/>
      <c r="BB297" s="116"/>
      <c r="BC297" s="116"/>
      <c r="BD297" s="116"/>
      <c r="BE297" s="116"/>
      <c r="BF297" s="116"/>
      <c r="BG297" s="116"/>
      <c r="BH297" s="116"/>
      <c r="BI297" s="116"/>
      <c r="BJ297" s="116"/>
      <c r="BK297" s="116"/>
      <c r="BL297" s="116"/>
      <c r="BM297" s="116"/>
      <c r="BN297" s="116"/>
      <c r="BO297" s="116"/>
      <c r="BP297" s="116"/>
      <c r="BQ297" s="116"/>
      <c r="BR297" s="116"/>
      <c r="BS297" s="116"/>
      <c r="BT297" s="116"/>
      <c r="BU297" s="116"/>
      <c r="BV297" s="116"/>
      <c r="BW297" s="116"/>
      <c r="BX297" s="116"/>
      <c r="BY297" s="116"/>
      <c r="BZ297" s="116"/>
      <c r="CA297" s="116"/>
      <c r="CB297" s="116"/>
      <c r="CC297" s="116"/>
      <c r="CD297" s="145">
        <v>43503.0</v>
      </c>
      <c r="CE297" s="50">
        <v>1.0</v>
      </c>
      <c r="CF297" s="50" t="s">
        <v>15555</v>
      </c>
      <c r="CG297" s="117">
        <v>5814.0</v>
      </c>
      <c r="CH297" s="50" t="s">
        <v>17802</v>
      </c>
      <c r="CI297" s="50" t="s">
        <v>17803</v>
      </c>
      <c r="CJ297" s="117">
        <v>296.0</v>
      </c>
    </row>
    <row r="298">
      <c r="A298" s="50" t="s">
        <v>17791</v>
      </c>
      <c r="B298" s="50" t="s">
        <v>6876</v>
      </c>
      <c r="C298" s="50" t="s">
        <v>6877</v>
      </c>
      <c r="D298" s="50" t="s">
        <v>11623</v>
      </c>
      <c r="E298" s="50" t="s">
        <v>17804</v>
      </c>
      <c r="F298" s="50">
        <v>58.0</v>
      </c>
      <c r="G298" s="50">
        <v>1.0</v>
      </c>
      <c r="H298" s="50">
        <v>14.0</v>
      </c>
      <c r="I298" s="50">
        <v>143.0</v>
      </c>
      <c r="J298" s="116"/>
      <c r="K298" s="50" t="s">
        <v>533</v>
      </c>
      <c r="L298" s="50" t="s">
        <v>533</v>
      </c>
      <c r="M298" s="50" t="s">
        <v>13128</v>
      </c>
      <c r="N298" s="50" t="s">
        <v>13191</v>
      </c>
      <c r="O298" s="50" t="s">
        <v>13192</v>
      </c>
      <c r="P298" s="116"/>
      <c r="Q298" s="116"/>
      <c r="R298" s="116"/>
      <c r="S298" s="50">
        <v>7.0</v>
      </c>
      <c r="T298" s="50">
        <v>1000.0</v>
      </c>
      <c r="U298" s="50">
        <v>3.0</v>
      </c>
      <c r="V298" s="50">
        <v>0.0</v>
      </c>
      <c r="W298" s="50">
        <v>7.0</v>
      </c>
      <c r="X298" s="50">
        <v>100.0</v>
      </c>
      <c r="Y298" s="50">
        <v>3.0</v>
      </c>
      <c r="Z298" s="50">
        <v>0.0</v>
      </c>
      <c r="AA298" s="50">
        <v>0.0</v>
      </c>
      <c r="AB298" s="116"/>
      <c r="AC298" s="116"/>
      <c r="AD298" s="116"/>
      <c r="AE298" s="116"/>
      <c r="AF298" s="116"/>
      <c r="AG298" s="116"/>
      <c r="AH298" s="50">
        <v>7.0</v>
      </c>
      <c r="AI298" s="50">
        <v>5000.0</v>
      </c>
      <c r="AJ298" s="50">
        <v>3.0</v>
      </c>
      <c r="AK298" s="50">
        <v>0.0</v>
      </c>
      <c r="AL298" s="50">
        <v>7.0</v>
      </c>
      <c r="AM298" s="50">
        <v>1000.0</v>
      </c>
      <c r="AN298" s="50">
        <v>3.0</v>
      </c>
      <c r="AO298" s="50">
        <v>0.0</v>
      </c>
      <c r="AP298" s="50">
        <v>1.0</v>
      </c>
      <c r="AQ298" s="50">
        <v>7.0</v>
      </c>
      <c r="AR298" s="50">
        <v>100.0</v>
      </c>
      <c r="AS298" s="50">
        <v>3.0</v>
      </c>
      <c r="AT298" s="50">
        <v>0.0</v>
      </c>
      <c r="AU298" s="50">
        <v>0.0</v>
      </c>
      <c r="AV298" s="116"/>
      <c r="AW298" s="116"/>
      <c r="AX298" s="116"/>
      <c r="AY298" s="116"/>
      <c r="AZ298" s="116"/>
      <c r="BA298" s="116"/>
      <c r="BB298" s="116"/>
      <c r="BC298" s="116"/>
      <c r="BD298" s="116"/>
      <c r="BE298" s="116"/>
      <c r="BF298" s="116"/>
      <c r="BG298" s="116"/>
      <c r="BH298" s="116"/>
      <c r="BI298" s="116"/>
      <c r="BJ298" s="116"/>
      <c r="BK298" s="116"/>
      <c r="BL298" s="116"/>
      <c r="BM298" s="116"/>
      <c r="BN298" s="116"/>
      <c r="BO298" s="116"/>
      <c r="BP298" s="116"/>
      <c r="BQ298" s="116"/>
      <c r="BR298" s="116"/>
      <c r="BS298" s="116"/>
      <c r="BT298" s="116"/>
      <c r="BU298" s="116"/>
      <c r="BV298" s="116"/>
      <c r="BW298" s="116"/>
      <c r="BX298" s="116"/>
      <c r="BY298" s="116"/>
      <c r="BZ298" s="116"/>
      <c r="CA298" s="116"/>
      <c r="CB298" s="116"/>
      <c r="CC298" s="116"/>
      <c r="CD298" s="145">
        <v>43503.0</v>
      </c>
      <c r="CE298" s="50">
        <v>1.0</v>
      </c>
      <c r="CF298" s="50" t="s">
        <v>15555</v>
      </c>
      <c r="CG298" s="117">
        <v>5815.0</v>
      </c>
      <c r="CH298" s="50" t="s">
        <v>17819</v>
      </c>
      <c r="CI298" s="50" t="s">
        <v>17820</v>
      </c>
      <c r="CJ298" s="117">
        <v>297.0</v>
      </c>
    </row>
    <row r="299">
      <c r="A299" s="50" t="s">
        <v>17821</v>
      </c>
      <c r="B299" s="50" t="s">
        <v>6876</v>
      </c>
      <c r="C299" s="50" t="s">
        <v>6877</v>
      </c>
      <c r="D299" s="50" t="s">
        <v>11623</v>
      </c>
      <c r="E299" s="50" t="s">
        <v>17823</v>
      </c>
      <c r="F299" s="50">
        <v>33.0</v>
      </c>
      <c r="G299" s="50">
        <v>1.0</v>
      </c>
      <c r="H299" s="50">
        <v>97.0</v>
      </c>
      <c r="I299" s="116"/>
      <c r="J299" s="116"/>
      <c r="K299" s="50" t="s">
        <v>15565</v>
      </c>
      <c r="L299" s="50" t="s">
        <v>15565</v>
      </c>
      <c r="M299" s="50" t="s">
        <v>13128</v>
      </c>
      <c r="N299" s="50" t="s">
        <v>13191</v>
      </c>
      <c r="O299" s="50" t="s">
        <v>13192</v>
      </c>
      <c r="P299" s="116"/>
      <c r="Q299" s="116"/>
      <c r="R299" s="116"/>
      <c r="S299" s="116"/>
      <c r="T299" s="116"/>
      <c r="U299" s="116"/>
      <c r="V299" s="116"/>
      <c r="W299" s="116"/>
      <c r="X299" s="116"/>
      <c r="Y299" s="116"/>
      <c r="Z299" s="116"/>
      <c r="AA299" s="116"/>
      <c r="AB299" s="116"/>
      <c r="AC299" s="116"/>
      <c r="AD299" s="116"/>
      <c r="AE299" s="116"/>
      <c r="AF299" s="116"/>
      <c r="AG299" s="116"/>
      <c r="AH299" s="50">
        <v>7.0</v>
      </c>
      <c r="AI299" s="50">
        <v>1000.0</v>
      </c>
      <c r="AJ299" s="50">
        <v>3.0</v>
      </c>
      <c r="AK299" s="50">
        <v>155.0</v>
      </c>
      <c r="AL299" s="116"/>
      <c r="AM299" s="116"/>
      <c r="AN299" s="116"/>
      <c r="AO299" s="116"/>
      <c r="AP299" s="116"/>
      <c r="AQ299" s="116"/>
      <c r="AR299" s="116"/>
      <c r="AS299" s="116"/>
      <c r="AT299" s="116"/>
      <c r="AU299" s="50">
        <v>0.0</v>
      </c>
      <c r="AV299" s="116"/>
      <c r="AW299" s="116"/>
      <c r="AX299" s="116"/>
      <c r="AY299" s="116"/>
      <c r="AZ299" s="116"/>
      <c r="BA299" s="116"/>
      <c r="BB299" s="116"/>
      <c r="BC299" s="116"/>
      <c r="BD299" s="116"/>
      <c r="BE299" s="116"/>
      <c r="BF299" s="116"/>
      <c r="BG299" s="116"/>
      <c r="BH299" s="116"/>
      <c r="BI299" s="116"/>
      <c r="BJ299" s="116"/>
      <c r="BK299" s="116"/>
      <c r="BL299" s="116"/>
      <c r="BM299" s="116"/>
      <c r="BN299" s="116"/>
      <c r="BO299" s="116"/>
      <c r="BP299" s="116"/>
      <c r="BQ299" s="116"/>
      <c r="BR299" s="116"/>
      <c r="BS299" s="116"/>
      <c r="BT299" s="116"/>
      <c r="BU299" s="116"/>
      <c r="BV299" s="116"/>
      <c r="BW299" s="116"/>
      <c r="BX299" s="116"/>
      <c r="BY299" s="116"/>
      <c r="BZ299" s="116"/>
      <c r="CA299" s="116"/>
      <c r="CB299" s="116"/>
      <c r="CC299" s="116"/>
      <c r="CD299" s="145">
        <v>43503.0</v>
      </c>
      <c r="CE299" s="50">
        <v>1.0</v>
      </c>
      <c r="CF299" s="50" t="s">
        <v>15555</v>
      </c>
      <c r="CG299" s="117">
        <v>5816.0</v>
      </c>
      <c r="CH299" s="50" t="s">
        <v>17836</v>
      </c>
      <c r="CI299" s="50" t="s">
        <v>17838</v>
      </c>
      <c r="CJ299" s="117">
        <v>298.0</v>
      </c>
    </row>
    <row r="300">
      <c r="A300" s="50" t="s">
        <v>17823</v>
      </c>
      <c r="B300" s="50" t="s">
        <v>6876</v>
      </c>
      <c r="C300" s="50" t="s">
        <v>6877</v>
      </c>
      <c r="D300" s="50" t="s">
        <v>11623</v>
      </c>
      <c r="E300" s="50" t="s">
        <v>17840</v>
      </c>
      <c r="F300" s="50">
        <v>33.0</v>
      </c>
      <c r="G300" s="50">
        <v>1.0</v>
      </c>
      <c r="H300" s="50">
        <v>97.0</v>
      </c>
      <c r="I300" s="116"/>
      <c r="J300" s="116"/>
      <c r="K300" s="50" t="s">
        <v>436</v>
      </c>
      <c r="L300" s="50" t="s">
        <v>436</v>
      </c>
      <c r="M300" s="50" t="s">
        <v>13128</v>
      </c>
      <c r="N300" s="50" t="s">
        <v>13191</v>
      </c>
      <c r="O300" s="50" t="s">
        <v>13192</v>
      </c>
      <c r="P300" s="116"/>
      <c r="Q300" s="116"/>
      <c r="R300" s="116"/>
      <c r="S300" s="50">
        <v>7.0</v>
      </c>
      <c r="T300" s="50">
        <v>1000.0</v>
      </c>
      <c r="U300" s="50">
        <v>3.0</v>
      </c>
      <c r="V300" s="50">
        <v>204.0</v>
      </c>
      <c r="W300" s="116"/>
      <c r="X300" s="116"/>
      <c r="Y300" s="116"/>
      <c r="Z300" s="116"/>
      <c r="AA300" s="116"/>
      <c r="AB300" s="116"/>
      <c r="AC300" s="116"/>
      <c r="AD300" s="116"/>
      <c r="AE300" s="116"/>
      <c r="AF300" s="116"/>
      <c r="AG300" s="116"/>
      <c r="AH300" s="116"/>
      <c r="AI300" s="116"/>
      <c r="AJ300" s="116"/>
      <c r="AK300" s="116"/>
      <c r="AL300" s="116"/>
      <c r="AM300" s="116"/>
      <c r="AN300" s="116"/>
      <c r="AO300" s="116"/>
      <c r="AP300" s="116"/>
      <c r="AQ300" s="116"/>
      <c r="AR300" s="116"/>
      <c r="AS300" s="116"/>
      <c r="AT300" s="116"/>
      <c r="AU300" s="50">
        <v>0.0</v>
      </c>
      <c r="AV300" s="116"/>
      <c r="AW300" s="116"/>
      <c r="AX300" s="116"/>
      <c r="AY300" s="116"/>
      <c r="AZ300" s="116"/>
      <c r="BA300" s="116"/>
      <c r="BB300" s="116"/>
      <c r="BC300" s="116"/>
      <c r="BD300" s="116"/>
      <c r="BE300" s="116"/>
      <c r="BF300" s="116"/>
      <c r="BG300" s="116"/>
      <c r="BH300" s="116"/>
      <c r="BI300" s="116"/>
      <c r="BJ300" s="116"/>
      <c r="BK300" s="116"/>
      <c r="BL300" s="116"/>
      <c r="BM300" s="116"/>
      <c r="BN300" s="116"/>
      <c r="BO300" s="116"/>
      <c r="BP300" s="116"/>
      <c r="BQ300" s="116"/>
      <c r="BR300" s="116"/>
      <c r="BS300" s="116"/>
      <c r="BT300" s="116"/>
      <c r="BU300" s="116"/>
      <c r="BV300" s="116"/>
      <c r="BW300" s="116"/>
      <c r="BX300" s="116"/>
      <c r="BY300" s="116"/>
      <c r="BZ300" s="116"/>
      <c r="CA300" s="116"/>
      <c r="CB300" s="116"/>
      <c r="CC300" s="116"/>
      <c r="CD300" s="145">
        <v>43503.0</v>
      </c>
      <c r="CE300" s="50">
        <v>1.0</v>
      </c>
      <c r="CF300" s="50" t="s">
        <v>15555</v>
      </c>
      <c r="CG300" s="117">
        <v>5817.0</v>
      </c>
      <c r="CH300" s="50" t="s">
        <v>17851</v>
      </c>
      <c r="CI300" s="50" t="s">
        <v>17853</v>
      </c>
      <c r="CJ300" s="117">
        <v>299.0</v>
      </c>
    </row>
    <row r="301">
      <c r="A301" s="50" t="s">
        <v>17840</v>
      </c>
      <c r="B301" s="50" t="s">
        <v>6876</v>
      </c>
      <c r="C301" s="50" t="s">
        <v>6877</v>
      </c>
      <c r="D301" s="50" t="s">
        <v>11623</v>
      </c>
      <c r="E301" s="50" t="s">
        <v>17856</v>
      </c>
      <c r="F301" s="50">
        <v>58.0</v>
      </c>
      <c r="G301" s="50">
        <v>1.0</v>
      </c>
      <c r="H301" s="50">
        <v>99.0</v>
      </c>
      <c r="I301" s="116"/>
      <c r="J301" s="116"/>
      <c r="K301" s="50" t="s">
        <v>674</v>
      </c>
      <c r="L301" s="50" t="s">
        <v>674</v>
      </c>
      <c r="M301" s="50" t="s">
        <v>13128</v>
      </c>
      <c r="N301" s="50" t="s">
        <v>13191</v>
      </c>
      <c r="O301" s="50" t="s">
        <v>13192</v>
      </c>
      <c r="P301" s="116"/>
      <c r="Q301" s="116"/>
      <c r="R301" s="116"/>
      <c r="S301" s="50">
        <v>7.0</v>
      </c>
      <c r="T301" s="50">
        <v>1000.0</v>
      </c>
      <c r="U301" s="50">
        <v>3.0</v>
      </c>
      <c r="V301" s="50">
        <v>0.0</v>
      </c>
      <c r="W301" s="116"/>
      <c r="X301" s="116"/>
      <c r="Y301" s="116"/>
      <c r="Z301" s="116"/>
      <c r="AA301" s="116"/>
      <c r="AB301" s="116"/>
      <c r="AC301" s="116"/>
      <c r="AD301" s="116"/>
      <c r="AE301" s="116"/>
      <c r="AF301" s="116"/>
      <c r="AG301" s="116"/>
      <c r="AH301" s="50">
        <v>7.0</v>
      </c>
      <c r="AI301" s="50">
        <v>1000.0</v>
      </c>
      <c r="AJ301" s="50">
        <v>3.0</v>
      </c>
      <c r="AK301" s="50">
        <v>0.0</v>
      </c>
      <c r="AL301" s="116"/>
      <c r="AM301" s="116"/>
      <c r="AN301" s="116"/>
      <c r="AO301" s="116"/>
      <c r="AP301" s="116"/>
      <c r="AQ301" s="116"/>
      <c r="AR301" s="116"/>
      <c r="AS301" s="116"/>
      <c r="AT301" s="116"/>
      <c r="AU301" s="50">
        <v>0.0</v>
      </c>
      <c r="AV301" s="116"/>
      <c r="AW301" s="116"/>
      <c r="AX301" s="116"/>
      <c r="AY301" s="116"/>
      <c r="AZ301" s="116"/>
      <c r="BA301" s="116"/>
      <c r="BB301" s="116"/>
      <c r="BC301" s="116"/>
      <c r="BD301" s="116"/>
      <c r="BE301" s="116"/>
      <c r="BF301" s="116"/>
      <c r="BG301" s="116"/>
      <c r="BH301" s="116"/>
      <c r="BI301" s="116"/>
      <c r="BJ301" s="116"/>
      <c r="BK301" s="116"/>
      <c r="BL301" s="116"/>
      <c r="BM301" s="116"/>
      <c r="BN301" s="116"/>
      <c r="BO301" s="116"/>
      <c r="BP301" s="116"/>
      <c r="BQ301" s="116"/>
      <c r="BR301" s="116"/>
      <c r="BS301" s="116"/>
      <c r="BT301" s="116"/>
      <c r="BU301" s="116"/>
      <c r="BV301" s="116"/>
      <c r="BW301" s="116"/>
      <c r="BX301" s="116"/>
      <c r="BY301" s="116"/>
      <c r="BZ301" s="116"/>
      <c r="CA301" s="116"/>
      <c r="CB301" s="116"/>
      <c r="CC301" s="50" t="s">
        <v>17866</v>
      </c>
      <c r="CD301" s="145">
        <v>43503.0</v>
      </c>
      <c r="CE301" s="50">
        <v>1.0</v>
      </c>
      <c r="CF301" s="50" t="s">
        <v>15555</v>
      </c>
      <c r="CG301" s="117">
        <v>5818.0</v>
      </c>
      <c r="CH301" s="50" t="s">
        <v>17868</v>
      </c>
      <c r="CI301" s="50" t="s">
        <v>17869</v>
      </c>
      <c r="CJ301" s="117">
        <v>300.0</v>
      </c>
    </row>
    <row r="302">
      <c r="A302" s="50" t="s">
        <v>17870</v>
      </c>
      <c r="B302" s="50" t="s">
        <v>6876</v>
      </c>
      <c r="C302" s="50" t="s">
        <v>6877</v>
      </c>
      <c r="D302" s="50" t="s">
        <v>11623</v>
      </c>
      <c r="E302" s="50" t="s">
        <v>17873</v>
      </c>
      <c r="F302" s="50">
        <v>66.0</v>
      </c>
      <c r="G302" s="50">
        <v>1.0</v>
      </c>
      <c r="H302" s="50">
        <v>16.0</v>
      </c>
      <c r="I302" s="116"/>
      <c r="J302" s="116"/>
      <c r="K302" s="50" t="s">
        <v>1699</v>
      </c>
      <c r="L302" s="50" t="s">
        <v>1699</v>
      </c>
      <c r="M302" s="50" t="s">
        <v>13128</v>
      </c>
      <c r="N302" s="50" t="s">
        <v>13191</v>
      </c>
      <c r="O302" s="50" t="s">
        <v>13192</v>
      </c>
      <c r="P302" s="116"/>
      <c r="Q302" s="116"/>
      <c r="R302" s="116"/>
      <c r="S302" s="50">
        <v>7.0</v>
      </c>
      <c r="T302" s="50">
        <v>1000.0</v>
      </c>
      <c r="U302" s="50">
        <v>3.0</v>
      </c>
      <c r="V302" s="50">
        <v>56.0</v>
      </c>
      <c r="W302" s="50">
        <v>7.0</v>
      </c>
      <c r="X302" s="50">
        <v>100.0</v>
      </c>
      <c r="Y302" s="50">
        <v>3.0</v>
      </c>
      <c r="Z302" s="50">
        <v>8.0</v>
      </c>
      <c r="AA302" s="50">
        <v>0.0</v>
      </c>
      <c r="AB302" s="116"/>
      <c r="AC302" s="116"/>
      <c r="AD302" s="116"/>
      <c r="AE302" s="116"/>
      <c r="AF302" s="116"/>
      <c r="AG302" s="116"/>
      <c r="AH302" s="50">
        <v>7.0</v>
      </c>
      <c r="AI302" s="50">
        <v>5000.0</v>
      </c>
      <c r="AJ302" s="50">
        <v>1.0</v>
      </c>
      <c r="AK302" s="116"/>
      <c r="AL302" s="50">
        <v>7.0</v>
      </c>
      <c r="AM302" s="50">
        <v>1000.0</v>
      </c>
      <c r="AN302" s="50">
        <v>3.0</v>
      </c>
      <c r="AO302" s="50">
        <v>110.0</v>
      </c>
      <c r="AP302" s="50">
        <v>1.0</v>
      </c>
      <c r="AQ302" s="50">
        <v>7.0</v>
      </c>
      <c r="AR302" s="50">
        <v>100.0</v>
      </c>
      <c r="AS302" s="50">
        <v>3.0</v>
      </c>
      <c r="AT302" s="50">
        <v>13.0</v>
      </c>
      <c r="AU302" s="50">
        <v>0.0</v>
      </c>
      <c r="AV302" s="116"/>
      <c r="AW302" s="116"/>
      <c r="AX302" s="116"/>
      <c r="AY302" s="116"/>
      <c r="AZ302" s="116"/>
      <c r="BA302" s="116"/>
      <c r="BB302" s="116"/>
      <c r="BC302" s="116"/>
      <c r="BD302" s="116"/>
      <c r="BE302" s="116"/>
      <c r="BF302" s="116"/>
      <c r="BG302" s="116"/>
      <c r="BH302" s="116"/>
      <c r="BI302" s="116"/>
      <c r="BJ302" s="116"/>
      <c r="BK302" s="116"/>
      <c r="BL302" s="116"/>
      <c r="BM302" s="116"/>
      <c r="BN302" s="116"/>
      <c r="BO302" s="116"/>
      <c r="BP302" s="116"/>
      <c r="BQ302" s="116"/>
      <c r="BR302" s="116"/>
      <c r="BS302" s="116"/>
      <c r="BT302" s="116"/>
      <c r="BU302" s="116"/>
      <c r="BV302" s="116"/>
      <c r="BW302" s="116"/>
      <c r="BX302" s="116"/>
      <c r="BY302" s="116"/>
      <c r="BZ302" s="116"/>
      <c r="CA302" s="116"/>
      <c r="CB302" s="116"/>
      <c r="CC302" s="116"/>
      <c r="CD302" s="145">
        <v>43503.0</v>
      </c>
      <c r="CE302" s="50">
        <v>1.0</v>
      </c>
      <c r="CF302" s="50" t="s">
        <v>15555</v>
      </c>
      <c r="CG302" s="117">
        <v>5819.0</v>
      </c>
      <c r="CH302" s="50" t="s">
        <v>17887</v>
      </c>
      <c r="CI302" s="50" t="s">
        <v>17888</v>
      </c>
      <c r="CJ302" s="117">
        <v>301.0</v>
      </c>
    </row>
    <row r="303">
      <c r="A303" s="50" t="s">
        <v>17889</v>
      </c>
      <c r="B303" s="50" t="s">
        <v>6876</v>
      </c>
      <c r="C303" s="50" t="s">
        <v>6877</v>
      </c>
      <c r="D303" s="50" t="s">
        <v>11623</v>
      </c>
      <c r="E303" s="50" t="s">
        <v>17891</v>
      </c>
      <c r="F303" s="50">
        <v>58.0</v>
      </c>
      <c r="G303" s="50">
        <v>1.0</v>
      </c>
      <c r="H303" s="50">
        <v>11.0</v>
      </c>
      <c r="I303" s="116"/>
      <c r="J303" s="116"/>
      <c r="K303" s="50" t="s">
        <v>1704</v>
      </c>
      <c r="L303" s="50" t="s">
        <v>1704</v>
      </c>
      <c r="M303" s="50" t="s">
        <v>17894</v>
      </c>
      <c r="N303" s="50" t="s">
        <v>17726</v>
      </c>
      <c r="O303" s="50" t="s">
        <v>17896</v>
      </c>
      <c r="P303" s="50">
        <v>4.0</v>
      </c>
      <c r="Q303" s="116"/>
      <c r="R303" s="116"/>
      <c r="S303" s="50">
        <v>7.0</v>
      </c>
      <c r="T303" s="50">
        <v>1000.0</v>
      </c>
      <c r="U303" s="50">
        <v>1.0</v>
      </c>
      <c r="V303" s="116"/>
      <c r="W303" s="50">
        <v>7.0</v>
      </c>
      <c r="X303" s="50">
        <v>100.0</v>
      </c>
      <c r="Y303" s="50">
        <v>3.0</v>
      </c>
      <c r="Z303" s="50">
        <v>48.0</v>
      </c>
      <c r="AA303" s="50">
        <v>1.0</v>
      </c>
      <c r="AB303" s="50">
        <v>4.0</v>
      </c>
      <c r="AC303" s="50">
        <v>1000.0</v>
      </c>
      <c r="AD303" s="50">
        <v>3.0</v>
      </c>
      <c r="AE303" s="50">
        <v>1.0</v>
      </c>
      <c r="AF303" s="116"/>
      <c r="AG303" s="116"/>
      <c r="AH303" s="50">
        <v>7.0</v>
      </c>
      <c r="AI303" s="50">
        <v>5000.0</v>
      </c>
      <c r="AJ303" s="50">
        <v>3.0</v>
      </c>
      <c r="AK303" s="50">
        <v>0.0</v>
      </c>
      <c r="AL303" s="50">
        <v>7.0</v>
      </c>
      <c r="AM303" s="50">
        <v>1000.0</v>
      </c>
      <c r="AN303" s="50">
        <v>3.0</v>
      </c>
      <c r="AO303" s="50">
        <v>0.0</v>
      </c>
      <c r="AP303" s="50">
        <v>1.0</v>
      </c>
      <c r="AQ303" s="50">
        <v>7.0</v>
      </c>
      <c r="AR303" s="50">
        <v>100.0</v>
      </c>
      <c r="AS303" s="50">
        <v>3.0</v>
      </c>
      <c r="AT303" s="50">
        <v>0.0</v>
      </c>
      <c r="AU303" s="50">
        <v>0.0</v>
      </c>
      <c r="AV303" s="116"/>
      <c r="AW303" s="116"/>
      <c r="AX303" s="116"/>
      <c r="AY303" s="116"/>
      <c r="AZ303" s="116"/>
      <c r="BA303" s="116"/>
      <c r="BB303" s="116"/>
      <c r="BC303" s="116"/>
      <c r="BD303" s="116"/>
      <c r="BE303" s="116"/>
      <c r="BF303" s="116"/>
      <c r="BG303" s="116"/>
      <c r="BH303" s="116"/>
      <c r="BI303" s="116"/>
      <c r="BJ303" s="116"/>
      <c r="BK303" s="116"/>
      <c r="BL303" s="116"/>
      <c r="BM303" s="116"/>
      <c r="BN303" s="116"/>
      <c r="BO303" s="116"/>
      <c r="BP303" s="116"/>
      <c r="BQ303" s="116"/>
      <c r="BR303" s="116"/>
      <c r="BS303" s="116"/>
      <c r="BT303" s="116"/>
      <c r="BU303" s="116"/>
      <c r="BV303" s="116"/>
      <c r="BW303" s="116"/>
      <c r="BX303" s="116"/>
      <c r="BY303" s="116"/>
      <c r="BZ303" s="116"/>
      <c r="CA303" s="116"/>
      <c r="CB303" s="116"/>
      <c r="CC303" s="50" t="s">
        <v>16851</v>
      </c>
      <c r="CD303" s="145">
        <v>43503.0</v>
      </c>
      <c r="CE303" s="50">
        <v>1.0</v>
      </c>
      <c r="CF303" s="50" t="s">
        <v>15555</v>
      </c>
      <c r="CG303" s="117">
        <v>5820.0</v>
      </c>
      <c r="CH303" s="50" t="s">
        <v>17912</v>
      </c>
      <c r="CI303" s="50" t="s">
        <v>17913</v>
      </c>
      <c r="CJ303" s="117">
        <v>302.0</v>
      </c>
    </row>
    <row r="304">
      <c r="A304" s="50" t="s">
        <v>17914</v>
      </c>
      <c r="B304" s="50" t="s">
        <v>6876</v>
      </c>
      <c r="C304" s="50" t="s">
        <v>6877</v>
      </c>
      <c r="D304" s="50" t="s">
        <v>11623</v>
      </c>
      <c r="E304" s="50" t="s">
        <v>17915</v>
      </c>
      <c r="F304" s="50">
        <v>59.0</v>
      </c>
      <c r="G304" s="50">
        <v>1.0</v>
      </c>
      <c r="H304" s="50">
        <v>11.0</v>
      </c>
      <c r="I304" s="116"/>
      <c r="J304" s="116"/>
      <c r="K304" s="50" t="s">
        <v>1705</v>
      </c>
      <c r="L304" s="50" t="s">
        <v>1705</v>
      </c>
      <c r="M304" s="50" t="s">
        <v>17894</v>
      </c>
      <c r="N304" s="50" t="s">
        <v>17726</v>
      </c>
      <c r="O304" s="50" t="s">
        <v>17896</v>
      </c>
      <c r="P304" s="50">
        <v>4.0</v>
      </c>
      <c r="Q304" s="116"/>
      <c r="R304" s="116"/>
      <c r="S304" s="50">
        <v>7.0</v>
      </c>
      <c r="T304" s="50">
        <v>1000.0</v>
      </c>
      <c r="U304" s="50">
        <v>3.0</v>
      </c>
      <c r="V304" s="50">
        <v>0.0</v>
      </c>
      <c r="W304" s="50">
        <v>7.0</v>
      </c>
      <c r="X304" s="50">
        <v>100.0</v>
      </c>
      <c r="Y304" s="50">
        <v>1.0</v>
      </c>
      <c r="Z304" s="116"/>
      <c r="AA304" s="50">
        <v>1.0</v>
      </c>
      <c r="AB304" s="50">
        <v>4.0</v>
      </c>
      <c r="AC304" s="50">
        <v>1000.0</v>
      </c>
      <c r="AD304" s="50">
        <v>3.0</v>
      </c>
      <c r="AE304" s="50">
        <v>98.0</v>
      </c>
      <c r="AF304" s="116"/>
      <c r="AG304" s="116"/>
      <c r="AH304" s="50">
        <v>7.0</v>
      </c>
      <c r="AI304" s="50">
        <v>5000.0</v>
      </c>
      <c r="AJ304" s="50">
        <v>3.0</v>
      </c>
      <c r="AK304" s="50">
        <v>0.0</v>
      </c>
      <c r="AL304" s="50">
        <v>7.0</v>
      </c>
      <c r="AM304" s="50">
        <v>1000.0</v>
      </c>
      <c r="AN304" s="50">
        <v>3.0</v>
      </c>
      <c r="AO304" s="50">
        <v>0.0</v>
      </c>
      <c r="AP304" s="50">
        <v>1.0</v>
      </c>
      <c r="AQ304" s="50">
        <v>7.0</v>
      </c>
      <c r="AR304" s="50">
        <v>100.0</v>
      </c>
      <c r="AS304" s="50">
        <v>3.0</v>
      </c>
      <c r="AT304" s="50">
        <v>0.0</v>
      </c>
      <c r="AU304" s="50">
        <v>0.0</v>
      </c>
      <c r="AV304" s="116"/>
      <c r="AW304" s="116"/>
      <c r="AX304" s="116"/>
      <c r="AY304" s="116"/>
      <c r="AZ304" s="116"/>
      <c r="BA304" s="116"/>
      <c r="BB304" s="116"/>
      <c r="BC304" s="116"/>
      <c r="BD304" s="116"/>
      <c r="BE304" s="116"/>
      <c r="BF304" s="116"/>
      <c r="BG304" s="116"/>
      <c r="BH304" s="116"/>
      <c r="BI304" s="116"/>
      <c r="BJ304" s="116"/>
      <c r="BK304" s="116"/>
      <c r="BL304" s="116"/>
      <c r="BM304" s="116"/>
      <c r="BN304" s="116"/>
      <c r="BO304" s="116"/>
      <c r="BP304" s="116"/>
      <c r="BQ304" s="116"/>
      <c r="BR304" s="116"/>
      <c r="BS304" s="116"/>
      <c r="BT304" s="116"/>
      <c r="BU304" s="116"/>
      <c r="BV304" s="116"/>
      <c r="BW304" s="116"/>
      <c r="BX304" s="116"/>
      <c r="BY304" s="116"/>
      <c r="BZ304" s="116"/>
      <c r="CA304" s="116"/>
      <c r="CB304" s="116"/>
      <c r="CC304" s="50" t="s">
        <v>17927</v>
      </c>
      <c r="CD304" s="145">
        <v>43503.0</v>
      </c>
      <c r="CE304" s="50">
        <v>1.0</v>
      </c>
      <c r="CF304" s="50" t="s">
        <v>15555</v>
      </c>
      <c r="CG304" s="117">
        <v>5821.0</v>
      </c>
      <c r="CH304" s="50" t="s">
        <v>17929</v>
      </c>
      <c r="CI304" s="50" t="s">
        <v>17932</v>
      </c>
      <c r="CJ304" s="117">
        <v>303.0</v>
      </c>
    </row>
    <row r="305">
      <c r="A305" s="50" t="s">
        <v>17915</v>
      </c>
      <c r="B305" s="50" t="s">
        <v>6876</v>
      </c>
      <c r="C305" s="50" t="s">
        <v>6877</v>
      </c>
      <c r="D305" s="50" t="s">
        <v>11623</v>
      </c>
      <c r="E305" s="50" t="s">
        <v>17933</v>
      </c>
      <c r="F305" s="50">
        <v>59.0</v>
      </c>
      <c r="G305" s="50">
        <v>1.0</v>
      </c>
      <c r="H305" s="50">
        <v>11.0</v>
      </c>
      <c r="I305" s="116"/>
      <c r="J305" s="116"/>
      <c r="K305" s="50" t="s">
        <v>1709</v>
      </c>
      <c r="L305" s="50" t="s">
        <v>1709</v>
      </c>
      <c r="M305" s="50" t="s">
        <v>17894</v>
      </c>
      <c r="N305" s="50" t="s">
        <v>17726</v>
      </c>
      <c r="O305" s="50" t="s">
        <v>17896</v>
      </c>
      <c r="P305" s="50">
        <v>4.0</v>
      </c>
      <c r="Q305" s="116"/>
      <c r="R305" s="116"/>
      <c r="S305" s="50">
        <v>7.0</v>
      </c>
      <c r="T305" s="50">
        <v>1000.0</v>
      </c>
      <c r="U305" s="50">
        <v>1.0</v>
      </c>
      <c r="V305" s="116"/>
      <c r="W305" s="50">
        <v>7.0</v>
      </c>
      <c r="X305" s="50">
        <v>100.0</v>
      </c>
      <c r="Y305" s="50">
        <v>3.0</v>
      </c>
      <c r="Z305" s="50">
        <v>59.0</v>
      </c>
      <c r="AA305" s="50">
        <v>1.0</v>
      </c>
      <c r="AB305" s="50">
        <v>4.0</v>
      </c>
      <c r="AC305" s="50">
        <v>1000.0</v>
      </c>
      <c r="AD305" s="50">
        <v>3.0</v>
      </c>
      <c r="AE305" s="50">
        <v>25.0</v>
      </c>
      <c r="AF305" s="116"/>
      <c r="AG305" s="116"/>
      <c r="AH305" s="50">
        <v>7.0</v>
      </c>
      <c r="AI305" s="50">
        <v>5000.0</v>
      </c>
      <c r="AJ305" s="50">
        <v>3.0</v>
      </c>
      <c r="AK305" s="50">
        <v>0.0</v>
      </c>
      <c r="AL305" s="50">
        <v>7.0</v>
      </c>
      <c r="AM305" s="50">
        <v>1000.0</v>
      </c>
      <c r="AN305" s="50">
        <v>3.0</v>
      </c>
      <c r="AO305" s="50">
        <v>0.0</v>
      </c>
      <c r="AP305" s="50">
        <v>1.0</v>
      </c>
      <c r="AQ305" s="50">
        <v>7.0</v>
      </c>
      <c r="AR305" s="50">
        <v>100.0</v>
      </c>
      <c r="AS305" s="50">
        <v>3.0</v>
      </c>
      <c r="AT305" s="50">
        <v>0.0</v>
      </c>
      <c r="AU305" s="50">
        <v>0.0</v>
      </c>
      <c r="AV305" s="116"/>
      <c r="AW305" s="116"/>
      <c r="AX305" s="116"/>
      <c r="AY305" s="116"/>
      <c r="AZ305" s="116"/>
      <c r="BA305" s="116"/>
      <c r="BB305" s="116"/>
      <c r="BC305" s="116"/>
      <c r="BD305" s="116"/>
      <c r="BE305" s="116"/>
      <c r="BF305" s="116"/>
      <c r="BG305" s="116"/>
      <c r="BH305" s="116"/>
      <c r="BI305" s="116"/>
      <c r="BJ305" s="116"/>
      <c r="BK305" s="116"/>
      <c r="BL305" s="116"/>
      <c r="BM305" s="116"/>
      <c r="BN305" s="116"/>
      <c r="BO305" s="116"/>
      <c r="BP305" s="116"/>
      <c r="BQ305" s="116"/>
      <c r="BR305" s="116"/>
      <c r="BS305" s="116"/>
      <c r="BT305" s="116"/>
      <c r="BU305" s="116"/>
      <c r="BV305" s="116"/>
      <c r="BW305" s="116"/>
      <c r="BX305" s="116"/>
      <c r="BY305" s="116"/>
      <c r="BZ305" s="116"/>
      <c r="CA305" s="116"/>
      <c r="CB305" s="116"/>
      <c r="CC305" s="50" t="s">
        <v>17946</v>
      </c>
      <c r="CD305" s="145">
        <v>43503.0</v>
      </c>
      <c r="CE305" s="50">
        <v>1.0</v>
      </c>
      <c r="CF305" s="50" t="s">
        <v>15555</v>
      </c>
      <c r="CG305" s="117">
        <v>5822.0</v>
      </c>
      <c r="CH305" s="50" t="s">
        <v>17948</v>
      </c>
      <c r="CI305" s="50" t="s">
        <v>17949</v>
      </c>
      <c r="CJ305" s="117">
        <v>304.0</v>
      </c>
    </row>
    <row r="306">
      <c r="A306" s="50" t="s">
        <v>17933</v>
      </c>
      <c r="B306" s="50" t="s">
        <v>6876</v>
      </c>
      <c r="C306" s="50" t="s">
        <v>6877</v>
      </c>
      <c r="D306" s="50" t="s">
        <v>11623</v>
      </c>
      <c r="E306" s="50" t="s">
        <v>17951</v>
      </c>
      <c r="F306" s="50">
        <v>59.0</v>
      </c>
      <c r="G306" s="50">
        <v>1.0</v>
      </c>
      <c r="H306" s="50">
        <v>11.0</v>
      </c>
      <c r="I306" s="116"/>
      <c r="J306" s="116"/>
      <c r="K306" s="50" t="s">
        <v>1712</v>
      </c>
      <c r="L306" s="50" t="s">
        <v>1712</v>
      </c>
      <c r="M306" s="50" t="s">
        <v>17894</v>
      </c>
      <c r="N306" s="50" t="s">
        <v>17726</v>
      </c>
      <c r="O306" s="50" t="s">
        <v>17896</v>
      </c>
      <c r="P306" s="50">
        <v>4.0</v>
      </c>
      <c r="Q306" s="116"/>
      <c r="R306" s="116"/>
      <c r="S306" s="50">
        <v>7.0</v>
      </c>
      <c r="T306" s="50">
        <v>1000.0</v>
      </c>
      <c r="U306" s="50">
        <v>3.0</v>
      </c>
      <c r="V306" s="50">
        <v>78.0</v>
      </c>
      <c r="W306" s="50">
        <v>7.0</v>
      </c>
      <c r="X306" s="50">
        <v>100.0</v>
      </c>
      <c r="Y306" s="50">
        <v>3.0</v>
      </c>
      <c r="Z306" s="50">
        <v>48.0</v>
      </c>
      <c r="AA306" s="50">
        <v>1.0</v>
      </c>
      <c r="AB306" s="50">
        <v>4.0</v>
      </c>
      <c r="AC306" s="50">
        <v>1000.0</v>
      </c>
      <c r="AD306" s="50">
        <v>3.0</v>
      </c>
      <c r="AE306" s="50">
        <v>35.0</v>
      </c>
      <c r="AF306" s="116"/>
      <c r="AG306" s="116"/>
      <c r="AH306" s="50">
        <v>7.0</v>
      </c>
      <c r="AI306" s="50">
        <v>5000.0</v>
      </c>
      <c r="AJ306" s="50">
        <v>3.0</v>
      </c>
      <c r="AK306" s="50">
        <v>0.0</v>
      </c>
      <c r="AL306" s="50">
        <v>7.0</v>
      </c>
      <c r="AM306" s="50">
        <v>1000.0</v>
      </c>
      <c r="AN306" s="50">
        <v>3.0</v>
      </c>
      <c r="AO306" s="50">
        <v>0.0</v>
      </c>
      <c r="AP306" s="50">
        <v>1.0</v>
      </c>
      <c r="AQ306" s="50">
        <v>7.0</v>
      </c>
      <c r="AR306" s="50">
        <v>100.0</v>
      </c>
      <c r="AS306" s="50">
        <v>3.0</v>
      </c>
      <c r="AT306" s="50">
        <v>0.0</v>
      </c>
      <c r="AU306" s="50">
        <v>0.0</v>
      </c>
      <c r="AV306" s="116"/>
      <c r="AW306" s="116"/>
      <c r="AX306" s="116"/>
      <c r="AY306" s="116"/>
      <c r="AZ306" s="116"/>
      <c r="BA306" s="116"/>
      <c r="BB306" s="116"/>
      <c r="BC306" s="116"/>
      <c r="BD306" s="116"/>
      <c r="BE306" s="116"/>
      <c r="BF306" s="116"/>
      <c r="BG306" s="116"/>
      <c r="BH306" s="116"/>
      <c r="BI306" s="116"/>
      <c r="BJ306" s="116"/>
      <c r="BK306" s="116"/>
      <c r="BL306" s="116"/>
      <c r="BM306" s="116"/>
      <c r="BN306" s="116"/>
      <c r="BO306" s="116"/>
      <c r="BP306" s="116"/>
      <c r="BQ306" s="116"/>
      <c r="BR306" s="116"/>
      <c r="BS306" s="116"/>
      <c r="BT306" s="116"/>
      <c r="BU306" s="116"/>
      <c r="BV306" s="116"/>
      <c r="BW306" s="116"/>
      <c r="BX306" s="116"/>
      <c r="BY306" s="116"/>
      <c r="BZ306" s="116"/>
      <c r="CA306" s="116"/>
      <c r="CB306" s="116"/>
      <c r="CC306" s="50" t="s">
        <v>17096</v>
      </c>
      <c r="CD306" s="145">
        <v>43503.0</v>
      </c>
      <c r="CE306" s="50">
        <v>1.0</v>
      </c>
      <c r="CF306" s="50" t="s">
        <v>15555</v>
      </c>
      <c r="CG306" s="117">
        <v>5823.0</v>
      </c>
      <c r="CH306" s="50" t="s">
        <v>17973</v>
      </c>
      <c r="CI306" s="50" t="s">
        <v>17974</v>
      </c>
      <c r="CJ306" s="117">
        <v>305.0</v>
      </c>
    </row>
    <row r="307">
      <c r="A307" s="50" t="s">
        <v>17977</v>
      </c>
      <c r="B307" s="50" t="s">
        <v>6876</v>
      </c>
      <c r="C307" s="50" t="s">
        <v>6877</v>
      </c>
      <c r="D307" s="50" t="s">
        <v>11623</v>
      </c>
      <c r="E307" s="50" t="s">
        <v>17978</v>
      </c>
      <c r="F307" s="50">
        <v>59.0</v>
      </c>
      <c r="G307" s="50">
        <v>1.0</v>
      </c>
      <c r="H307" s="50">
        <v>11.0</v>
      </c>
      <c r="I307" s="116"/>
      <c r="J307" s="116"/>
      <c r="K307" s="50" t="s">
        <v>1715</v>
      </c>
      <c r="L307" s="50" t="s">
        <v>1715</v>
      </c>
      <c r="M307" s="50" t="s">
        <v>17894</v>
      </c>
      <c r="N307" s="50" t="s">
        <v>17726</v>
      </c>
      <c r="O307" s="50" t="s">
        <v>17896</v>
      </c>
      <c r="P307" s="50">
        <v>4.0</v>
      </c>
      <c r="Q307" s="116"/>
      <c r="R307" s="116"/>
      <c r="S307" s="50">
        <v>7.0</v>
      </c>
      <c r="T307" s="50">
        <v>1000.0</v>
      </c>
      <c r="U307" s="50">
        <v>1.0</v>
      </c>
      <c r="V307" s="116"/>
      <c r="W307" s="50">
        <v>7.0</v>
      </c>
      <c r="X307" s="50">
        <v>100.0</v>
      </c>
      <c r="Y307" s="50">
        <v>3.0</v>
      </c>
      <c r="Z307" s="50">
        <v>192.0</v>
      </c>
      <c r="AA307" s="50">
        <v>1.0</v>
      </c>
      <c r="AB307" s="50">
        <v>4.0</v>
      </c>
      <c r="AC307" s="50">
        <v>1000.0</v>
      </c>
      <c r="AD307" s="50">
        <v>3.0</v>
      </c>
      <c r="AE307" s="50">
        <v>91.0</v>
      </c>
      <c r="AF307" s="116"/>
      <c r="AG307" s="116"/>
      <c r="AH307" s="50">
        <v>7.0</v>
      </c>
      <c r="AI307" s="50">
        <v>5000.0</v>
      </c>
      <c r="AJ307" s="50">
        <v>3.0</v>
      </c>
      <c r="AK307" s="50">
        <v>0.0</v>
      </c>
      <c r="AL307" s="50">
        <v>7.0</v>
      </c>
      <c r="AM307" s="50">
        <v>1000.0</v>
      </c>
      <c r="AN307" s="50">
        <v>3.0</v>
      </c>
      <c r="AO307" s="50">
        <v>0.0</v>
      </c>
      <c r="AP307" s="50">
        <v>1.0</v>
      </c>
      <c r="AQ307" s="50">
        <v>7.0</v>
      </c>
      <c r="AR307" s="50">
        <v>100.0</v>
      </c>
      <c r="AS307" s="50">
        <v>3.0</v>
      </c>
      <c r="AT307" s="50">
        <v>0.0</v>
      </c>
      <c r="AU307" s="50">
        <v>0.0</v>
      </c>
      <c r="AV307" s="116"/>
      <c r="AW307" s="116"/>
      <c r="AX307" s="116"/>
      <c r="AY307" s="116"/>
      <c r="AZ307" s="116"/>
      <c r="BA307" s="116"/>
      <c r="BB307" s="116"/>
      <c r="BC307" s="116"/>
      <c r="BD307" s="116"/>
      <c r="BE307" s="116"/>
      <c r="BF307" s="116"/>
      <c r="BG307" s="116"/>
      <c r="BH307" s="116"/>
      <c r="BI307" s="116"/>
      <c r="BJ307" s="116"/>
      <c r="BK307" s="116"/>
      <c r="BL307" s="116"/>
      <c r="BM307" s="116"/>
      <c r="BN307" s="116"/>
      <c r="BO307" s="116"/>
      <c r="BP307" s="116"/>
      <c r="BQ307" s="116"/>
      <c r="BR307" s="116"/>
      <c r="BS307" s="116"/>
      <c r="BT307" s="116"/>
      <c r="BU307" s="116"/>
      <c r="BV307" s="116"/>
      <c r="BW307" s="116"/>
      <c r="BX307" s="116"/>
      <c r="BY307" s="116"/>
      <c r="BZ307" s="116"/>
      <c r="CA307" s="116"/>
      <c r="CB307" s="116"/>
      <c r="CC307" s="50" t="s">
        <v>18000</v>
      </c>
      <c r="CD307" s="145">
        <v>43503.0</v>
      </c>
      <c r="CE307" s="50">
        <v>1.0</v>
      </c>
      <c r="CF307" s="50" t="s">
        <v>15555</v>
      </c>
      <c r="CG307" s="117">
        <v>5824.0</v>
      </c>
      <c r="CH307" s="50" t="s">
        <v>18004</v>
      </c>
      <c r="CI307" s="50" t="s">
        <v>18005</v>
      </c>
      <c r="CJ307" s="117">
        <v>306.0</v>
      </c>
    </row>
    <row r="308">
      <c r="A308" s="50" t="s">
        <v>18006</v>
      </c>
      <c r="B308" s="50" t="s">
        <v>6876</v>
      </c>
      <c r="C308" s="50" t="s">
        <v>6877</v>
      </c>
      <c r="D308" s="50" t="s">
        <v>11623</v>
      </c>
      <c r="E308" s="50" t="s">
        <v>18008</v>
      </c>
      <c r="F308" s="50">
        <v>33.0</v>
      </c>
      <c r="G308" s="50">
        <v>1.0</v>
      </c>
      <c r="H308" s="50">
        <v>97.0</v>
      </c>
      <c r="I308" s="116"/>
      <c r="J308" s="116"/>
      <c r="K308" s="50" t="s">
        <v>436</v>
      </c>
      <c r="L308" s="50" t="s">
        <v>436</v>
      </c>
      <c r="M308" s="50" t="s">
        <v>17894</v>
      </c>
      <c r="N308" s="50" t="s">
        <v>17726</v>
      </c>
      <c r="O308" s="50" t="s">
        <v>17896</v>
      </c>
      <c r="P308" s="116"/>
      <c r="Q308" s="116"/>
      <c r="R308" s="116"/>
      <c r="S308" s="50">
        <v>7.0</v>
      </c>
      <c r="T308" s="50">
        <v>1000.0</v>
      </c>
      <c r="U308" s="50">
        <v>3.0</v>
      </c>
      <c r="V308" s="50">
        <v>93.0</v>
      </c>
      <c r="W308" s="116"/>
      <c r="X308" s="116"/>
      <c r="Y308" s="116"/>
      <c r="Z308" s="116"/>
      <c r="AA308" s="116"/>
      <c r="AB308" s="116"/>
      <c r="AC308" s="116"/>
      <c r="AD308" s="116"/>
      <c r="AE308" s="116"/>
      <c r="AF308" s="116"/>
      <c r="AG308" s="116"/>
      <c r="AH308" s="116"/>
      <c r="AI308" s="116"/>
      <c r="AJ308" s="116"/>
      <c r="AK308" s="116"/>
      <c r="AL308" s="116"/>
      <c r="AM308" s="116"/>
      <c r="AN308" s="116"/>
      <c r="AO308" s="116"/>
      <c r="AP308" s="116"/>
      <c r="AQ308" s="116"/>
      <c r="AR308" s="116"/>
      <c r="AS308" s="116"/>
      <c r="AT308" s="116"/>
      <c r="AU308" s="50">
        <v>0.0</v>
      </c>
      <c r="AV308" s="116"/>
      <c r="AW308" s="116"/>
      <c r="AX308" s="116"/>
      <c r="AY308" s="116"/>
      <c r="AZ308" s="116"/>
      <c r="BA308" s="116"/>
      <c r="BB308" s="116"/>
      <c r="BC308" s="116"/>
      <c r="BD308" s="116"/>
      <c r="BE308" s="116"/>
      <c r="BF308" s="116"/>
      <c r="BG308" s="116"/>
      <c r="BH308" s="116"/>
      <c r="BI308" s="116"/>
      <c r="BJ308" s="116"/>
      <c r="BK308" s="116"/>
      <c r="BL308" s="116"/>
      <c r="BM308" s="116"/>
      <c r="BN308" s="116"/>
      <c r="BO308" s="116"/>
      <c r="BP308" s="116"/>
      <c r="BQ308" s="116"/>
      <c r="BR308" s="116"/>
      <c r="BS308" s="116"/>
      <c r="BT308" s="116"/>
      <c r="BU308" s="116"/>
      <c r="BV308" s="116"/>
      <c r="BW308" s="116"/>
      <c r="BX308" s="116"/>
      <c r="BY308" s="116"/>
      <c r="BZ308" s="116"/>
      <c r="CA308" s="116"/>
      <c r="CB308" s="116"/>
      <c r="CC308" s="116"/>
      <c r="CD308" s="145">
        <v>43503.0</v>
      </c>
      <c r="CE308" s="50">
        <v>1.0</v>
      </c>
      <c r="CF308" s="50" t="s">
        <v>15555</v>
      </c>
      <c r="CG308" s="117">
        <v>5825.0</v>
      </c>
      <c r="CH308" s="50" t="s">
        <v>18025</v>
      </c>
      <c r="CI308" s="50" t="s">
        <v>18027</v>
      </c>
      <c r="CJ308" s="117">
        <v>307.0</v>
      </c>
    </row>
    <row r="309">
      <c r="A309" s="50" t="s">
        <v>18028</v>
      </c>
      <c r="B309" s="50" t="s">
        <v>6876</v>
      </c>
      <c r="C309" s="50" t="s">
        <v>6877</v>
      </c>
      <c r="D309" s="50" t="s">
        <v>11623</v>
      </c>
      <c r="E309" s="50" t="s">
        <v>18029</v>
      </c>
      <c r="F309" s="50">
        <v>33.0</v>
      </c>
      <c r="G309" s="50">
        <v>1.0</v>
      </c>
      <c r="H309" s="50">
        <v>97.0</v>
      </c>
      <c r="I309" s="116"/>
      <c r="J309" s="116"/>
      <c r="K309" s="50" t="s">
        <v>15565</v>
      </c>
      <c r="L309" s="50" t="s">
        <v>15565</v>
      </c>
      <c r="M309" s="50" t="s">
        <v>17894</v>
      </c>
      <c r="N309" s="50" t="s">
        <v>17726</v>
      </c>
      <c r="O309" s="50" t="s">
        <v>17896</v>
      </c>
      <c r="P309" s="116"/>
      <c r="Q309" s="116"/>
      <c r="R309" s="116"/>
      <c r="S309" s="116"/>
      <c r="T309" s="116"/>
      <c r="U309" s="116"/>
      <c r="V309" s="116"/>
      <c r="W309" s="116"/>
      <c r="X309" s="116"/>
      <c r="Y309" s="116"/>
      <c r="Z309" s="116"/>
      <c r="AA309" s="116"/>
      <c r="AB309" s="116"/>
      <c r="AC309" s="116"/>
      <c r="AD309" s="116"/>
      <c r="AE309" s="116"/>
      <c r="AF309" s="116"/>
      <c r="AG309" s="116"/>
      <c r="AH309" s="50">
        <v>7.0</v>
      </c>
      <c r="AI309" s="50">
        <v>1000.0</v>
      </c>
      <c r="AJ309" s="50">
        <v>3.0</v>
      </c>
      <c r="AK309" s="50">
        <v>132.0</v>
      </c>
      <c r="AL309" s="116"/>
      <c r="AM309" s="116"/>
      <c r="AN309" s="116"/>
      <c r="AO309" s="116"/>
      <c r="AP309" s="116"/>
      <c r="AQ309" s="116"/>
      <c r="AR309" s="116"/>
      <c r="AS309" s="116"/>
      <c r="AT309" s="116"/>
      <c r="AU309" s="50">
        <v>0.0</v>
      </c>
      <c r="AV309" s="116"/>
      <c r="AW309" s="116"/>
      <c r="AX309" s="116"/>
      <c r="AY309" s="116"/>
      <c r="AZ309" s="116"/>
      <c r="BA309" s="116"/>
      <c r="BB309" s="116"/>
      <c r="BC309" s="116"/>
      <c r="BD309" s="116"/>
      <c r="BE309" s="116"/>
      <c r="BF309" s="116"/>
      <c r="BG309" s="116"/>
      <c r="BH309" s="116"/>
      <c r="BI309" s="116"/>
      <c r="BJ309" s="116"/>
      <c r="BK309" s="116"/>
      <c r="BL309" s="116"/>
      <c r="BM309" s="116"/>
      <c r="BN309" s="116"/>
      <c r="BO309" s="116"/>
      <c r="BP309" s="116"/>
      <c r="BQ309" s="116"/>
      <c r="BR309" s="116"/>
      <c r="BS309" s="116"/>
      <c r="BT309" s="116"/>
      <c r="BU309" s="116"/>
      <c r="BV309" s="116"/>
      <c r="BW309" s="116"/>
      <c r="BX309" s="116"/>
      <c r="BY309" s="116"/>
      <c r="BZ309" s="116"/>
      <c r="CA309" s="116"/>
      <c r="CB309" s="116"/>
      <c r="CC309" s="116"/>
      <c r="CD309" s="145">
        <v>43503.0</v>
      </c>
      <c r="CE309" s="50">
        <v>1.0</v>
      </c>
      <c r="CF309" s="50" t="s">
        <v>15555</v>
      </c>
      <c r="CG309" s="117">
        <v>5826.0</v>
      </c>
      <c r="CH309" s="50" t="s">
        <v>18043</v>
      </c>
      <c r="CI309" s="50" t="s">
        <v>18044</v>
      </c>
      <c r="CJ309" s="117">
        <v>308.0</v>
      </c>
    </row>
    <row r="310">
      <c r="A310" s="50" t="s">
        <v>18046</v>
      </c>
      <c r="B310" s="50" t="s">
        <v>6876</v>
      </c>
      <c r="C310" s="50" t="s">
        <v>6877</v>
      </c>
      <c r="D310" s="50" t="s">
        <v>11623</v>
      </c>
      <c r="E310" s="50" t="s">
        <v>18048</v>
      </c>
      <c r="F310" s="50">
        <v>59.0</v>
      </c>
      <c r="G310" s="50">
        <v>1.0</v>
      </c>
      <c r="H310" s="50">
        <v>11.0</v>
      </c>
      <c r="I310" s="116"/>
      <c r="J310" s="116"/>
      <c r="K310" s="50" t="s">
        <v>1720</v>
      </c>
      <c r="L310" s="50" t="s">
        <v>1720</v>
      </c>
      <c r="M310" s="50" t="s">
        <v>13435</v>
      </c>
      <c r="N310" s="50" t="s">
        <v>13546</v>
      </c>
      <c r="O310" s="50" t="s">
        <v>13547</v>
      </c>
      <c r="P310" s="50">
        <v>4.0</v>
      </c>
      <c r="Q310" s="116"/>
      <c r="R310" s="116"/>
      <c r="S310" s="50">
        <v>7.0</v>
      </c>
      <c r="T310" s="50">
        <v>1000.0</v>
      </c>
      <c r="U310" s="50">
        <v>3.0</v>
      </c>
      <c r="V310" s="50">
        <v>0.0</v>
      </c>
      <c r="W310" s="50">
        <v>7.0</v>
      </c>
      <c r="X310" s="50">
        <v>100.0</v>
      </c>
      <c r="Y310" s="50">
        <v>1.0</v>
      </c>
      <c r="Z310" s="116"/>
      <c r="AA310" s="50">
        <v>1.0</v>
      </c>
      <c r="AB310" s="50">
        <v>4.0</v>
      </c>
      <c r="AC310" s="50">
        <v>1000.0</v>
      </c>
      <c r="AD310" s="50">
        <v>3.0</v>
      </c>
      <c r="AE310" s="50">
        <v>68.0</v>
      </c>
      <c r="AF310" s="116"/>
      <c r="AG310" s="116"/>
      <c r="AH310" s="50">
        <v>7.0</v>
      </c>
      <c r="AI310" s="50">
        <v>5000.0</v>
      </c>
      <c r="AJ310" s="50">
        <v>1.0</v>
      </c>
      <c r="AK310" s="116"/>
      <c r="AL310" s="50">
        <v>7.0</v>
      </c>
      <c r="AM310" s="50">
        <v>1000.0</v>
      </c>
      <c r="AN310" s="50">
        <v>3.0</v>
      </c>
      <c r="AO310" s="50">
        <v>183.0</v>
      </c>
      <c r="AP310" s="50">
        <v>1.0</v>
      </c>
      <c r="AQ310" s="50">
        <v>7.0</v>
      </c>
      <c r="AR310" s="50">
        <v>100.0</v>
      </c>
      <c r="AS310" s="50">
        <v>3.0</v>
      </c>
      <c r="AT310" s="50">
        <v>25.0</v>
      </c>
      <c r="AU310" s="50">
        <v>0.0</v>
      </c>
      <c r="AV310" s="116"/>
      <c r="AW310" s="116"/>
      <c r="AX310" s="116"/>
      <c r="AY310" s="116"/>
      <c r="AZ310" s="116"/>
      <c r="BA310" s="116"/>
      <c r="BB310" s="116"/>
      <c r="BC310" s="116"/>
      <c r="BD310" s="116"/>
      <c r="BE310" s="116"/>
      <c r="BF310" s="116"/>
      <c r="BG310" s="116"/>
      <c r="BH310" s="116"/>
      <c r="BI310" s="116"/>
      <c r="BJ310" s="116"/>
      <c r="BK310" s="116"/>
      <c r="BL310" s="116"/>
      <c r="BM310" s="116"/>
      <c r="BN310" s="116"/>
      <c r="BO310" s="116"/>
      <c r="BP310" s="116"/>
      <c r="BQ310" s="116"/>
      <c r="BR310" s="116"/>
      <c r="BS310" s="116"/>
      <c r="BT310" s="116"/>
      <c r="BU310" s="116"/>
      <c r="BV310" s="116"/>
      <c r="BW310" s="116"/>
      <c r="BX310" s="116"/>
      <c r="BY310" s="116"/>
      <c r="BZ310" s="116"/>
      <c r="CA310" s="116"/>
      <c r="CB310" s="116"/>
      <c r="CC310" s="50" t="s">
        <v>14680</v>
      </c>
      <c r="CD310" s="145">
        <v>43503.0</v>
      </c>
      <c r="CE310" s="50">
        <v>1.0</v>
      </c>
      <c r="CF310" s="50" t="s">
        <v>15555</v>
      </c>
      <c r="CG310" s="117">
        <v>5998.0</v>
      </c>
      <c r="CH310" s="50" t="s">
        <v>18065</v>
      </c>
      <c r="CI310" s="50" t="s">
        <v>18066</v>
      </c>
      <c r="CJ310" s="117">
        <v>309.0</v>
      </c>
    </row>
    <row r="311">
      <c r="A311" s="50" t="s">
        <v>18048</v>
      </c>
      <c r="B311" s="50" t="s">
        <v>6876</v>
      </c>
      <c r="C311" s="50" t="s">
        <v>6877</v>
      </c>
      <c r="D311" s="50" t="s">
        <v>11623</v>
      </c>
      <c r="E311" s="50" t="s">
        <v>18068</v>
      </c>
      <c r="F311" s="50">
        <v>59.0</v>
      </c>
      <c r="G311" s="50">
        <v>1.0</v>
      </c>
      <c r="H311" s="50">
        <v>11.0</v>
      </c>
      <c r="I311" s="116"/>
      <c r="J311" s="116"/>
      <c r="K311" s="50" t="s">
        <v>1723</v>
      </c>
      <c r="L311" s="50" t="s">
        <v>1723</v>
      </c>
      <c r="M311" s="50" t="s">
        <v>13435</v>
      </c>
      <c r="N311" s="50" t="s">
        <v>13546</v>
      </c>
      <c r="O311" s="50" t="s">
        <v>13547</v>
      </c>
      <c r="P311" s="50">
        <v>4.0</v>
      </c>
      <c r="Q311" s="116"/>
      <c r="R311" s="116"/>
      <c r="S311" s="50">
        <v>7.0</v>
      </c>
      <c r="T311" s="50">
        <v>1000.0</v>
      </c>
      <c r="U311" s="50">
        <v>3.0</v>
      </c>
      <c r="V311" s="50">
        <v>0.0</v>
      </c>
      <c r="W311" s="50">
        <v>7.0</v>
      </c>
      <c r="X311" s="50">
        <v>100.0</v>
      </c>
      <c r="Y311" s="50">
        <v>3.0</v>
      </c>
      <c r="Z311" s="50">
        <v>0.0</v>
      </c>
      <c r="AA311" s="50">
        <v>1.0</v>
      </c>
      <c r="AB311" s="50">
        <v>4.0</v>
      </c>
      <c r="AC311" s="50">
        <v>1000.0</v>
      </c>
      <c r="AD311" s="50">
        <v>1.0</v>
      </c>
      <c r="AE311" s="116"/>
      <c r="AF311" s="116"/>
      <c r="AG311" s="116"/>
      <c r="AH311" s="50">
        <v>7.0</v>
      </c>
      <c r="AI311" s="50">
        <v>5000.0</v>
      </c>
      <c r="AJ311" s="50">
        <v>3.0</v>
      </c>
      <c r="AK311" s="50">
        <v>0.0</v>
      </c>
      <c r="AL311" s="50">
        <v>7.0</v>
      </c>
      <c r="AM311" s="50">
        <v>1000.0</v>
      </c>
      <c r="AN311" s="50">
        <v>3.0</v>
      </c>
      <c r="AO311" s="50">
        <v>0.0</v>
      </c>
      <c r="AP311" s="50">
        <v>1.0</v>
      </c>
      <c r="AQ311" s="50">
        <v>7.0</v>
      </c>
      <c r="AR311" s="50">
        <v>100.0</v>
      </c>
      <c r="AS311" s="50">
        <v>3.0</v>
      </c>
      <c r="AT311" s="50">
        <v>0.0</v>
      </c>
      <c r="AU311" s="50">
        <v>0.0</v>
      </c>
      <c r="AV311" s="116"/>
      <c r="AW311" s="116"/>
      <c r="AX311" s="116"/>
      <c r="AY311" s="116"/>
      <c r="AZ311" s="116"/>
      <c r="BA311" s="116"/>
      <c r="BB311" s="116"/>
      <c r="BC311" s="116"/>
      <c r="BD311" s="116"/>
      <c r="BE311" s="116"/>
      <c r="BF311" s="116"/>
      <c r="BG311" s="116"/>
      <c r="BH311" s="116"/>
      <c r="BI311" s="116"/>
      <c r="BJ311" s="116"/>
      <c r="BK311" s="116"/>
      <c r="BL311" s="116"/>
      <c r="BM311" s="116"/>
      <c r="BN311" s="116"/>
      <c r="BO311" s="116"/>
      <c r="BP311" s="116"/>
      <c r="BQ311" s="116"/>
      <c r="BR311" s="116"/>
      <c r="BS311" s="116"/>
      <c r="BT311" s="116"/>
      <c r="BU311" s="116"/>
      <c r="BV311" s="116"/>
      <c r="BW311" s="116"/>
      <c r="BX311" s="116"/>
      <c r="BY311" s="116"/>
      <c r="BZ311" s="116"/>
      <c r="CA311" s="116"/>
      <c r="CB311" s="116"/>
      <c r="CC311" s="50" t="s">
        <v>18083</v>
      </c>
      <c r="CD311" s="145">
        <v>43503.0</v>
      </c>
      <c r="CE311" s="50">
        <v>1.0</v>
      </c>
      <c r="CF311" s="50" t="s">
        <v>15555</v>
      </c>
      <c r="CG311" s="117">
        <v>5999.0</v>
      </c>
      <c r="CH311" s="50" t="s">
        <v>18084</v>
      </c>
      <c r="CI311" s="50" t="s">
        <v>18086</v>
      </c>
      <c r="CJ311" s="117">
        <v>310.0</v>
      </c>
    </row>
    <row r="312">
      <c r="A312" s="50" t="s">
        <v>18068</v>
      </c>
      <c r="B312" s="50" t="s">
        <v>6876</v>
      </c>
      <c r="C312" s="50" t="s">
        <v>6877</v>
      </c>
      <c r="D312" s="50" t="s">
        <v>11623</v>
      </c>
      <c r="E312" s="50" t="s">
        <v>18092</v>
      </c>
      <c r="F312" s="50">
        <v>59.0</v>
      </c>
      <c r="G312" s="50">
        <v>1.0</v>
      </c>
      <c r="H312" s="50">
        <v>11.0</v>
      </c>
      <c r="I312" s="116"/>
      <c r="J312" s="116"/>
      <c r="K312" s="50" t="s">
        <v>1735</v>
      </c>
      <c r="L312" s="50" t="s">
        <v>1735</v>
      </c>
      <c r="M312" s="50" t="s">
        <v>13435</v>
      </c>
      <c r="N312" s="50" t="s">
        <v>13546</v>
      </c>
      <c r="O312" s="50" t="s">
        <v>13547</v>
      </c>
      <c r="P312" s="50">
        <v>4.0</v>
      </c>
      <c r="Q312" s="116"/>
      <c r="R312" s="116"/>
      <c r="S312" s="50">
        <v>7.0</v>
      </c>
      <c r="T312" s="50">
        <v>1000.0</v>
      </c>
      <c r="U312" s="50">
        <v>3.0</v>
      </c>
      <c r="V312" s="50">
        <v>0.0</v>
      </c>
      <c r="W312" s="50">
        <v>7.0</v>
      </c>
      <c r="X312" s="50">
        <v>100.0</v>
      </c>
      <c r="Y312" s="50">
        <v>1.0</v>
      </c>
      <c r="Z312" s="116"/>
      <c r="AA312" s="50">
        <v>1.0</v>
      </c>
      <c r="AB312" s="50">
        <v>4.0</v>
      </c>
      <c r="AC312" s="50">
        <v>1000.0</v>
      </c>
      <c r="AD312" s="50">
        <v>3.0</v>
      </c>
      <c r="AE312" s="50">
        <v>4.0</v>
      </c>
      <c r="AF312" s="116"/>
      <c r="AG312" s="116"/>
      <c r="AH312" s="50">
        <v>7.0</v>
      </c>
      <c r="AI312" s="50">
        <v>5000.0</v>
      </c>
      <c r="AJ312" s="50">
        <v>3.0</v>
      </c>
      <c r="AK312" s="50">
        <v>0.0</v>
      </c>
      <c r="AL312" s="50">
        <v>7.0</v>
      </c>
      <c r="AM312" s="50">
        <v>1000.0</v>
      </c>
      <c r="AN312" s="50">
        <v>3.0</v>
      </c>
      <c r="AO312" s="50">
        <v>0.0</v>
      </c>
      <c r="AP312" s="50">
        <v>1.0</v>
      </c>
      <c r="AQ312" s="50">
        <v>7.0</v>
      </c>
      <c r="AR312" s="50">
        <v>100.0</v>
      </c>
      <c r="AS312" s="50">
        <v>3.0</v>
      </c>
      <c r="AT312" s="50">
        <v>0.0</v>
      </c>
      <c r="AU312" s="50">
        <v>0.0</v>
      </c>
      <c r="AV312" s="116"/>
      <c r="AW312" s="116"/>
      <c r="AX312" s="116"/>
      <c r="AY312" s="116"/>
      <c r="AZ312" s="116"/>
      <c r="BA312" s="116"/>
      <c r="BB312" s="116"/>
      <c r="BC312" s="116"/>
      <c r="BD312" s="116"/>
      <c r="BE312" s="116"/>
      <c r="BF312" s="116"/>
      <c r="BG312" s="116"/>
      <c r="BH312" s="116"/>
      <c r="BI312" s="116"/>
      <c r="BJ312" s="116"/>
      <c r="BK312" s="116"/>
      <c r="BL312" s="116"/>
      <c r="BM312" s="116"/>
      <c r="BN312" s="116"/>
      <c r="BO312" s="116"/>
      <c r="BP312" s="116"/>
      <c r="BQ312" s="116"/>
      <c r="BR312" s="116"/>
      <c r="BS312" s="116"/>
      <c r="BT312" s="116"/>
      <c r="BU312" s="116"/>
      <c r="BV312" s="116"/>
      <c r="BW312" s="116"/>
      <c r="BX312" s="116"/>
      <c r="BY312" s="116"/>
      <c r="BZ312" s="116"/>
      <c r="CA312" s="116"/>
      <c r="CB312" s="116"/>
      <c r="CC312" s="50" t="s">
        <v>16795</v>
      </c>
      <c r="CD312" s="145">
        <v>43503.0</v>
      </c>
      <c r="CE312" s="50">
        <v>1.0</v>
      </c>
      <c r="CF312" s="50" t="s">
        <v>15555</v>
      </c>
      <c r="CG312" s="117">
        <v>6000.0</v>
      </c>
      <c r="CH312" s="50" t="s">
        <v>18104</v>
      </c>
      <c r="CI312" s="50" t="s">
        <v>18106</v>
      </c>
      <c r="CJ312" s="117">
        <v>311.0</v>
      </c>
    </row>
    <row r="313">
      <c r="A313" s="50" t="s">
        <v>18092</v>
      </c>
      <c r="B313" s="50" t="s">
        <v>6876</v>
      </c>
      <c r="C313" s="50" t="s">
        <v>6877</v>
      </c>
      <c r="D313" s="50" t="s">
        <v>11623</v>
      </c>
      <c r="E313" s="50" t="s">
        <v>18110</v>
      </c>
      <c r="F313" s="50">
        <v>59.0</v>
      </c>
      <c r="G313" s="50">
        <v>1.0</v>
      </c>
      <c r="H313" s="50">
        <v>11.0</v>
      </c>
      <c r="I313" s="116"/>
      <c r="J313" s="116"/>
      <c r="K313" s="50" t="s">
        <v>1738</v>
      </c>
      <c r="L313" s="50" t="s">
        <v>1738</v>
      </c>
      <c r="M313" s="50" t="s">
        <v>13435</v>
      </c>
      <c r="N313" s="50" t="s">
        <v>13546</v>
      </c>
      <c r="O313" s="50" t="s">
        <v>13547</v>
      </c>
      <c r="P313" s="50">
        <v>4.0</v>
      </c>
      <c r="Q313" s="116"/>
      <c r="R313" s="116"/>
      <c r="S313" s="50">
        <v>7.0</v>
      </c>
      <c r="T313" s="50">
        <v>1000.0</v>
      </c>
      <c r="U313" s="50">
        <v>1.0</v>
      </c>
      <c r="V313" s="116"/>
      <c r="W313" s="50">
        <v>7.0</v>
      </c>
      <c r="X313" s="50">
        <v>100.0</v>
      </c>
      <c r="Y313" s="50">
        <v>3.0</v>
      </c>
      <c r="Z313" s="50">
        <v>68.0</v>
      </c>
      <c r="AA313" s="50">
        <v>1.0</v>
      </c>
      <c r="AB313" s="50">
        <v>4.0</v>
      </c>
      <c r="AC313" s="50">
        <v>1000.0</v>
      </c>
      <c r="AD313" s="50">
        <v>3.0</v>
      </c>
      <c r="AE313" s="50">
        <v>8.0</v>
      </c>
      <c r="AF313" s="116"/>
      <c r="AG313" s="116"/>
      <c r="AH313" s="50">
        <v>7.0</v>
      </c>
      <c r="AI313" s="50">
        <v>5000.0</v>
      </c>
      <c r="AJ313" s="50">
        <v>3.0</v>
      </c>
      <c r="AK313" s="50">
        <v>0.0</v>
      </c>
      <c r="AL313" s="50">
        <v>7.0</v>
      </c>
      <c r="AM313" s="50">
        <v>1000.0</v>
      </c>
      <c r="AN313" s="50">
        <v>3.0</v>
      </c>
      <c r="AO313" s="50">
        <v>0.0</v>
      </c>
      <c r="AP313" s="50">
        <v>1.0</v>
      </c>
      <c r="AQ313" s="50">
        <v>7.0</v>
      </c>
      <c r="AR313" s="50">
        <v>100.0</v>
      </c>
      <c r="AS313" s="50">
        <v>3.0</v>
      </c>
      <c r="AT313" s="50">
        <v>0.0</v>
      </c>
      <c r="AU313" s="50">
        <v>0.0</v>
      </c>
      <c r="AV313" s="116"/>
      <c r="AW313" s="116"/>
      <c r="AX313" s="116"/>
      <c r="AY313" s="116"/>
      <c r="AZ313" s="116"/>
      <c r="BA313" s="116"/>
      <c r="BB313" s="116"/>
      <c r="BC313" s="116"/>
      <c r="BD313" s="116"/>
      <c r="BE313" s="116"/>
      <c r="BF313" s="116"/>
      <c r="BG313" s="116"/>
      <c r="BH313" s="116"/>
      <c r="BI313" s="116"/>
      <c r="BJ313" s="116"/>
      <c r="BK313" s="116"/>
      <c r="BL313" s="116"/>
      <c r="BM313" s="116"/>
      <c r="BN313" s="116"/>
      <c r="BO313" s="116"/>
      <c r="BP313" s="116"/>
      <c r="BQ313" s="116"/>
      <c r="BR313" s="116"/>
      <c r="BS313" s="116"/>
      <c r="BT313" s="116"/>
      <c r="BU313" s="116"/>
      <c r="BV313" s="116"/>
      <c r="BW313" s="116"/>
      <c r="BX313" s="116"/>
      <c r="BY313" s="116"/>
      <c r="BZ313" s="116"/>
      <c r="CA313" s="116"/>
      <c r="CB313" s="116"/>
      <c r="CC313" s="50" t="s">
        <v>17660</v>
      </c>
      <c r="CD313" s="145">
        <v>43503.0</v>
      </c>
      <c r="CE313" s="50">
        <v>1.0</v>
      </c>
      <c r="CF313" s="50" t="s">
        <v>15555</v>
      </c>
      <c r="CG313" s="117">
        <v>6001.0</v>
      </c>
      <c r="CH313" s="50" t="s">
        <v>18123</v>
      </c>
      <c r="CI313" s="50" t="s">
        <v>18124</v>
      </c>
      <c r="CJ313" s="117">
        <v>312.0</v>
      </c>
    </row>
    <row r="314">
      <c r="A314" s="50" t="s">
        <v>18110</v>
      </c>
      <c r="B314" s="50" t="s">
        <v>6876</v>
      </c>
      <c r="C314" s="50" t="s">
        <v>6877</v>
      </c>
      <c r="D314" s="50" t="s">
        <v>11623</v>
      </c>
      <c r="E314" s="50" t="s">
        <v>18127</v>
      </c>
      <c r="F314" s="50">
        <v>59.0</v>
      </c>
      <c r="G314" s="50">
        <v>1.0</v>
      </c>
      <c r="H314" s="50">
        <v>11.0</v>
      </c>
      <c r="I314" s="116"/>
      <c r="J314" s="116"/>
      <c r="K314" s="50" t="s">
        <v>1741</v>
      </c>
      <c r="L314" s="50" t="s">
        <v>1741</v>
      </c>
      <c r="M314" s="50" t="s">
        <v>13435</v>
      </c>
      <c r="N314" s="50" t="s">
        <v>13546</v>
      </c>
      <c r="O314" s="50" t="s">
        <v>13547</v>
      </c>
      <c r="P314" s="50">
        <v>4.0</v>
      </c>
      <c r="Q314" s="116"/>
      <c r="R314" s="116"/>
      <c r="S314" s="50">
        <v>7.0</v>
      </c>
      <c r="T314" s="50">
        <v>1000.0</v>
      </c>
      <c r="U314" s="50">
        <v>1.0</v>
      </c>
      <c r="V314" s="116"/>
      <c r="W314" s="50">
        <v>7.0</v>
      </c>
      <c r="X314" s="50">
        <v>100.0</v>
      </c>
      <c r="Y314" s="50">
        <v>3.0</v>
      </c>
      <c r="Z314" s="50">
        <v>197.0</v>
      </c>
      <c r="AA314" s="50">
        <v>1.0</v>
      </c>
      <c r="AB314" s="50">
        <v>4.0</v>
      </c>
      <c r="AC314" s="50">
        <v>1000.0</v>
      </c>
      <c r="AD314" s="50">
        <v>3.0</v>
      </c>
      <c r="AE314" s="50">
        <v>6.0</v>
      </c>
      <c r="AF314" s="116"/>
      <c r="AG314" s="116"/>
      <c r="AH314" s="50">
        <v>7.0</v>
      </c>
      <c r="AI314" s="50">
        <v>5000.0</v>
      </c>
      <c r="AJ314" s="50">
        <v>3.0</v>
      </c>
      <c r="AK314" s="50">
        <v>0.0</v>
      </c>
      <c r="AL314" s="50">
        <v>7.0</v>
      </c>
      <c r="AM314" s="50">
        <v>1000.0</v>
      </c>
      <c r="AN314" s="50">
        <v>3.0</v>
      </c>
      <c r="AO314" s="50">
        <v>0.0</v>
      </c>
      <c r="AP314" s="50">
        <v>1.0</v>
      </c>
      <c r="AQ314" s="50">
        <v>7.0</v>
      </c>
      <c r="AR314" s="50">
        <v>100.0</v>
      </c>
      <c r="AS314" s="50">
        <v>3.0</v>
      </c>
      <c r="AT314" s="50">
        <v>0.0</v>
      </c>
      <c r="AU314" s="50">
        <v>0.0</v>
      </c>
      <c r="AV314" s="116"/>
      <c r="AW314" s="116"/>
      <c r="AX314" s="116"/>
      <c r="AY314" s="116"/>
      <c r="AZ314" s="116"/>
      <c r="BA314" s="116"/>
      <c r="BB314" s="116"/>
      <c r="BC314" s="116"/>
      <c r="BD314" s="116"/>
      <c r="BE314" s="116"/>
      <c r="BF314" s="116"/>
      <c r="BG314" s="116"/>
      <c r="BH314" s="116"/>
      <c r="BI314" s="116"/>
      <c r="BJ314" s="116"/>
      <c r="BK314" s="116"/>
      <c r="BL314" s="116"/>
      <c r="BM314" s="116"/>
      <c r="BN314" s="116"/>
      <c r="BO314" s="116"/>
      <c r="BP314" s="116"/>
      <c r="BQ314" s="116"/>
      <c r="BR314" s="116"/>
      <c r="BS314" s="116"/>
      <c r="BT314" s="116"/>
      <c r="BU314" s="116"/>
      <c r="BV314" s="116"/>
      <c r="BW314" s="116"/>
      <c r="BX314" s="116"/>
      <c r="BY314" s="116"/>
      <c r="BZ314" s="116"/>
      <c r="CA314" s="116"/>
      <c r="CB314" s="116"/>
      <c r="CC314" s="50" t="s">
        <v>16851</v>
      </c>
      <c r="CD314" s="145">
        <v>43503.0</v>
      </c>
      <c r="CE314" s="50">
        <v>1.0</v>
      </c>
      <c r="CF314" s="50" t="s">
        <v>15555</v>
      </c>
      <c r="CG314" s="117">
        <v>6002.0</v>
      </c>
      <c r="CH314" s="50" t="s">
        <v>18150</v>
      </c>
      <c r="CI314" s="50" t="s">
        <v>18151</v>
      </c>
      <c r="CJ314" s="117">
        <v>313.0</v>
      </c>
    </row>
    <row r="315">
      <c r="A315" s="50" t="s">
        <v>18127</v>
      </c>
      <c r="B315" s="50" t="s">
        <v>6876</v>
      </c>
      <c r="C315" s="50" t="s">
        <v>6877</v>
      </c>
      <c r="D315" s="50" t="s">
        <v>11623</v>
      </c>
      <c r="E315" s="50" t="s">
        <v>18154</v>
      </c>
      <c r="F315" s="50">
        <v>58.0</v>
      </c>
      <c r="G315" s="50">
        <v>1.0</v>
      </c>
      <c r="H315" s="50">
        <v>16.0</v>
      </c>
      <c r="I315" s="116"/>
      <c r="J315" s="116"/>
      <c r="K315" s="50" t="s">
        <v>1747</v>
      </c>
      <c r="L315" s="50" t="s">
        <v>1747</v>
      </c>
      <c r="M315" s="50" t="s">
        <v>13435</v>
      </c>
      <c r="N315" s="50" t="s">
        <v>13546</v>
      </c>
      <c r="O315" s="50" t="s">
        <v>13547</v>
      </c>
      <c r="P315" s="116"/>
      <c r="Q315" s="116"/>
      <c r="R315" s="116"/>
      <c r="S315" s="50">
        <v>7.0</v>
      </c>
      <c r="T315" s="50">
        <v>1000.0</v>
      </c>
      <c r="U315" s="50">
        <v>3.0</v>
      </c>
      <c r="V315" s="50">
        <v>0.0</v>
      </c>
      <c r="W315" s="50">
        <v>7.0</v>
      </c>
      <c r="X315" s="50">
        <v>100.0</v>
      </c>
      <c r="Y315" s="50">
        <v>3.0</v>
      </c>
      <c r="Z315" s="50">
        <v>0.0</v>
      </c>
      <c r="AA315" s="50">
        <v>0.0</v>
      </c>
      <c r="AB315" s="116"/>
      <c r="AC315" s="116"/>
      <c r="AD315" s="116"/>
      <c r="AE315" s="116"/>
      <c r="AF315" s="116"/>
      <c r="AG315" s="116"/>
      <c r="AH315" s="50">
        <v>7.0</v>
      </c>
      <c r="AI315" s="50">
        <v>5000.0</v>
      </c>
      <c r="AJ315" s="50">
        <v>1.0</v>
      </c>
      <c r="AK315" s="116"/>
      <c r="AL315" s="50">
        <v>7.0</v>
      </c>
      <c r="AM315" s="50">
        <v>1000.0</v>
      </c>
      <c r="AN315" s="50">
        <v>3.0</v>
      </c>
      <c r="AO315" s="50">
        <v>30.0</v>
      </c>
      <c r="AP315" s="50">
        <v>1.0</v>
      </c>
      <c r="AQ315" s="50">
        <v>7.0</v>
      </c>
      <c r="AR315" s="50">
        <v>100.0</v>
      </c>
      <c r="AS315" s="50">
        <v>3.0</v>
      </c>
      <c r="AT315" s="50">
        <v>1.0</v>
      </c>
      <c r="AU315" s="50">
        <v>0.0</v>
      </c>
      <c r="AV315" s="116"/>
      <c r="AW315" s="116"/>
      <c r="AX315" s="116"/>
      <c r="AY315" s="116"/>
      <c r="AZ315" s="116"/>
      <c r="BA315" s="116"/>
      <c r="BB315" s="116"/>
      <c r="BC315" s="116"/>
      <c r="BD315" s="116"/>
      <c r="BE315" s="116"/>
      <c r="BF315" s="116"/>
      <c r="BG315" s="116"/>
      <c r="BH315" s="116"/>
      <c r="BI315" s="116"/>
      <c r="BJ315" s="116"/>
      <c r="BK315" s="116"/>
      <c r="BL315" s="116"/>
      <c r="BM315" s="116"/>
      <c r="BN315" s="116"/>
      <c r="BO315" s="116"/>
      <c r="BP315" s="116"/>
      <c r="BQ315" s="116"/>
      <c r="BR315" s="116"/>
      <c r="BS315" s="116"/>
      <c r="BT315" s="116"/>
      <c r="BU315" s="116"/>
      <c r="BV315" s="116"/>
      <c r="BW315" s="116"/>
      <c r="BX315" s="116"/>
      <c r="BY315" s="116"/>
      <c r="BZ315" s="116"/>
      <c r="CA315" s="116"/>
      <c r="CB315" s="116"/>
      <c r="CC315" s="50" t="s">
        <v>18176</v>
      </c>
      <c r="CD315" s="145">
        <v>43503.0</v>
      </c>
      <c r="CE315" s="50">
        <v>1.0</v>
      </c>
      <c r="CF315" s="50" t="s">
        <v>15555</v>
      </c>
      <c r="CG315" s="117">
        <v>6003.0</v>
      </c>
      <c r="CH315" s="50" t="s">
        <v>18177</v>
      </c>
      <c r="CI315" s="50" t="s">
        <v>18178</v>
      </c>
      <c r="CJ315" s="117">
        <v>314.0</v>
      </c>
    </row>
    <row r="316">
      <c r="A316" s="50" t="s">
        <v>18179</v>
      </c>
      <c r="B316" s="50" t="s">
        <v>6876</v>
      </c>
      <c r="C316" s="50" t="s">
        <v>6877</v>
      </c>
      <c r="D316" s="50" t="s">
        <v>11623</v>
      </c>
      <c r="E316" s="50" t="s">
        <v>18183</v>
      </c>
      <c r="F316" s="50">
        <v>33.0</v>
      </c>
      <c r="G316" s="50">
        <v>1.0</v>
      </c>
      <c r="H316" s="50">
        <v>97.0</v>
      </c>
      <c r="I316" s="116"/>
      <c r="J316" s="116"/>
      <c r="K316" s="50" t="s">
        <v>436</v>
      </c>
      <c r="L316" s="50" t="s">
        <v>436</v>
      </c>
      <c r="M316" s="50" t="s">
        <v>13435</v>
      </c>
      <c r="N316" s="50" t="s">
        <v>13546</v>
      </c>
      <c r="O316" s="50" t="s">
        <v>13547</v>
      </c>
      <c r="P316" s="116"/>
      <c r="Q316" s="116"/>
      <c r="R316" s="116"/>
      <c r="S316" s="50">
        <v>7.0</v>
      </c>
      <c r="T316" s="50">
        <v>1000.0</v>
      </c>
      <c r="U316" s="50">
        <v>3.0</v>
      </c>
      <c r="V316" s="50">
        <v>180.0</v>
      </c>
      <c r="W316" s="116"/>
      <c r="X316" s="116"/>
      <c r="Y316" s="116"/>
      <c r="Z316" s="116"/>
      <c r="AA316" s="116"/>
      <c r="AB316" s="116"/>
      <c r="AC316" s="116"/>
      <c r="AD316" s="116"/>
      <c r="AE316" s="116"/>
      <c r="AF316" s="116"/>
      <c r="AG316" s="116"/>
      <c r="AH316" s="116"/>
      <c r="AI316" s="116"/>
      <c r="AJ316" s="116"/>
      <c r="AK316" s="116"/>
      <c r="AL316" s="116"/>
      <c r="AM316" s="116"/>
      <c r="AN316" s="116"/>
      <c r="AO316" s="116"/>
      <c r="AP316" s="116"/>
      <c r="AQ316" s="116"/>
      <c r="AR316" s="116"/>
      <c r="AS316" s="116"/>
      <c r="AT316" s="116"/>
      <c r="AU316" s="50">
        <v>0.0</v>
      </c>
      <c r="AV316" s="116"/>
      <c r="AW316" s="116"/>
      <c r="AX316" s="116"/>
      <c r="AY316" s="116"/>
      <c r="AZ316" s="116"/>
      <c r="BA316" s="116"/>
      <c r="BB316" s="116"/>
      <c r="BC316" s="116"/>
      <c r="BD316" s="116"/>
      <c r="BE316" s="116"/>
      <c r="BF316" s="116"/>
      <c r="BG316" s="116"/>
      <c r="BH316" s="116"/>
      <c r="BI316" s="116"/>
      <c r="BJ316" s="116"/>
      <c r="BK316" s="116"/>
      <c r="BL316" s="116"/>
      <c r="BM316" s="116"/>
      <c r="BN316" s="116"/>
      <c r="BO316" s="116"/>
      <c r="BP316" s="116"/>
      <c r="BQ316" s="116"/>
      <c r="BR316" s="116"/>
      <c r="BS316" s="116"/>
      <c r="BT316" s="116"/>
      <c r="BU316" s="116"/>
      <c r="BV316" s="116"/>
      <c r="BW316" s="116"/>
      <c r="BX316" s="116"/>
      <c r="BY316" s="116"/>
      <c r="BZ316" s="116"/>
      <c r="CA316" s="116"/>
      <c r="CB316" s="116"/>
      <c r="CC316" s="116"/>
      <c r="CD316" s="145">
        <v>43503.0</v>
      </c>
      <c r="CE316" s="50">
        <v>1.0</v>
      </c>
      <c r="CF316" s="50" t="s">
        <v>15555</v>
      </c>
      <c r="CG316" s="117">
        <v>6004.0</v>
      </c>
      <c r="CH316" s="50" t="s">
        <v>18203</v>
      </c>
      <c r="CI316" s="50" t="s">
        <v>18204</v>
      </c>
      <c r="CJ316" s="117">
        <v>315.0</v>
      </c>
    </row>
    <row r="317">
      <c r="A317" s="50" t="s">
        <v>18183</v>
      </c>
      <c r="B317" s="50" t="s">
        <v>6876</v>
      </c>
      <c r="C317" s="50" t="s">
        <v>6877</v>
      </c>
      <c r="D317" s="50" t="s">
        <v>11623</v>
      </c>
      <c r="E317" s="50" t="s">
        <v>18207</v>
      </c>
      <c r="F317" s="50">
        <v>33.0</v>
      </c>
      <c r="G317" s="50">
        <v>1.0</v>
      </c>
      <c r="H317" s="50">
        <v>97.0</v>
      </c>
      <c r="I317" s="116"/>
      <c r="J317" s="116"/>
      <c r="K317" s="50" t="s">
        <v>18208</v>
      </c>
      <c r="L317" s="50" t="s">
        <v>18208</v>
      </c>
      <c r="M317" s="50" t="s">
        <v>13435</v>
      </c>
      <c r="N317" s="50" t="s">
        <v>13546</v>
      </c>
      <c r="O317" s="50" t="s">
        <v>13547</v>
      </c>
      <c r="P317" s="116"/>
      <c r="Q317" s="116"/>
      <c r="R317" s="116"/>
      <c r="S317" s="116"/>
      <c r="T317" s="116"/>
      <c r="U317" s="116"/>
      <c r="V317" s="116"/>
      <c r="W317" s="116"/>
      <c r="X317" s="116"/>
      <c r="Y317" s="116"/>
      <c r="Z317" s="116"/>
      <c r="AA317" s="116"/>
      <c r="AB317" s="116"/>
      <c r="AC317" s="116"/>
      <c r="AD317" s="116"/>
      <c r="AE317" s="116"/>
      <c r="AF317" s="116"/>
      <c r="AG317" s="116"/>
      <c r="AH317" s="50">
        <v>7.0</v>
      </c>
      <c r="AI317" s="50">
        <v>1000.0</v>
      </c>
      <c r="AJ317" s="50">
        <v>3.0</v>
      </c>
      <c r="AK317" s="50">
        <v>96.0</v>
      </c>
      <c r="AL317" s="116"/>
      <c r="AM317" s="116"/>
      <c r="AN317" s="116"/>
      <c r="AO317" s="116"/>
      <c r="AP317" s="116"/>
      <c r="AQ317" s="116"/>
      <c r="AR317" s="116"/>
      <c r="AS317" s="116"/>
      <c r="AT317" s="116"/>
      <c r="AU317" s="50">
        <v>0.0</v>
      </c>
      <c r="AV317" s="116"/>
      <c r="AW317" s="116"/>
      <c r="AX317" s="116"/>
      <c r="AY317" s="116"/>
      <c r="AZ317" s="116"/>
      <c r="BA317" s="116"/>
      <c r="BB317" s="116"/>
      <c r="BC317" s="116"/>
      <c r="BD317" s="116"/>
      <c r="BE317" s="116"/>
      <c r="BF317" s="116"/>
      <c r="BG317" s="116"/>
      <c r="BH317" s="116"/>
      <c r="BI317" s="116"/>
      <c r="BJ317" s="116"/>
      <c r="BK317" s="116"/>
      <c r="BL317" s="116"/>
      <c r="BM317" s="116"/>
      <c r="BN317" s="116"/>
      <c r="BO317" s="116"/>
      <c r="BP317" s="116"/>
      <c r="BQ317" s="116"/>
      <c r="BR317" s="116"/>
      <c r="BS317" s="116"/>
      <c r="BT317" s="116"/>
      <c r="BU317" s="116"/>
      <c r="BV317" s="116"/>
      <c r="BW317" s="116"/>
      <c r="BX317" s="116"/>
      <c r="BY317" s="116"/>
      <c r="BZ317" s="116"/>
      <c r="CA317" s="116"/>
      <c r="CB317" s="116"/>
      <c r="CC317" s="116"/>
      <c r="CD317" s="145">
        <v>43503.0</v>
      </c>
      <c r="CE317" s="50">
        <v>1.0</v>
      </c>
      <c r="CF317" s="50" t="s">
        <v>15555</v>
      </c>
      <c r="CG317" s="117">
        <v>6005.0</v>
      </c>
      <c r="CH317" s="50" t="s">
        <v>18233</v>
      </c>
      <c r="CI317" s="50" t="s">
        <v>18234</v>
      </c>
      <c r="CJ317" s="117">
        <v>316.0</v>
      </c>
    </row>
    <row r="318">
      <c r="A318" s="50" t="s">
        <v>18238</v>
      </c>
      <c r="B318" s="50" t="s">
        <v>6876</v>
      </c>
      <c r="C318" s="50" t="s">
        <v>6877</v>
      </c>
      <c r="D318" s="50" t="s">
        <v>11623</v>
      </c>
      <c r="E318" s="50" t="s">
        <v>18242</v>
      </c>
      <c r="F318" s="50">
        <v>58.0</v>
      </c>
      <c r="G318" s="50">
        <v>1.0</v>
      </c>
      <c r="H318" s="50">
        <v>11.0</v>
      </c>
      <c r="I318" s="116"/>
      <c r="J318" s="116"/>
      <c r="K318" s="50" t="s">
        <v>1756</v>
      </c>
      <c r="L318" s="50" t="s">
        <v>1756</v>
      </c>
      <c r="M318" s="50" t="s">
        <v>13576</v>
      </c>
      <c r="N318" s="50" t="s">
        <v>18244</v>
      </c>
      <c r="O318" s="50" t="s">
        <v>18245</v>
      </c>
      <c r="P318" s="50">
        <v>4.0</v>
      </c>
      <c r="Q318" s="116"/>
      <c r="R318" s="116"/>
      <c r="S318" s="50">
        <v>7.0</v>
      </c>
      <c r="T318" s="50">
        <v>1000.0</v>
      </c>
      <c r="U318" s="50">
        <v>3.0</v>
      </c>
      <c r="V318" s="50">
        <v>110.0</v>
      </c>
      <c r="W318" s="50">
        <v>7.0</v>
      </c>
      <c r="X318" s="50">
        <v>100.0</v>
      </c>
      <c r="Y318" s="50">
        <v>3.0</v>
      </c>
      <c r="Z318" s="50">
        <v>19.0</v>
      </c>
      <c r="AA318" s="50">
        <v>1.0</v>
      </c>
      <c r="AB318" s="50">
        <v>4.0</v>
      </c>
      <c r="AC318" s="50">
        <v>1000.0</v>
      </c>
      <c r="AD318" s="50">
        <v>3.0</v>
      </c>
      <c r="AE318" s="50">
        <v>0.0</v>
      </c>
      <c r="AF318" s="116"/>
      <c r="AG318" s="116"/>
      <c r="AH318" s="50">
        <v>7.0</v>
      </c>
      <c r="AI318" s="50">
        <v>5000.0</v>
      </c>
      <c r="AJ318" s="50">
        <v>3.0</v>
      </c>
      <c r="AK318" s="50">
        <v>0.0</v>
      </c>
      <c r="AL318" s="50">
        <v>7.0</v>
      </c>
      <c r="AM318" s="50">
        <v>1000.0</v>
      </c>
      <c r="AN318" s="50">
        <v>3.0</v>
      </c>
      <c r="AO318" s="50">
        <v>0.0</v>
      </c>
      <c r="AP318" s="50">
        <v>1.0</v>
      </c>
      <c r="AQ318" s="50">
        <v>7.0</v>
      </c>
      <c r="AR318" s="50">
        <v>100.0</v>
      </c>
      <c r="AS318" s="50">
        <v>3.0</v>
      </c>
      <c r="AT318" s="50">
        <v>0.0</v>
      </c>
      <c r="AU318" s="50">
        <v>0.0</v>
      </c>
      <c r="AV318" s="116"/>
      <c r="AW318" s="116"/>
      <c r="AX318" s="116"/>
      <c r="AY318" s="116"/>
      <c r="AZ318" s="116"/>
      <c r="BA318" s="116"/>
      <c r="BB318" s="116"/>
      <c r="BC318" s="116"/>
      <c r="BD318" s="116"/>
      <c r="BE318" s="116"/>
      <c r="BF318" s="116"/>
      <c r="BG318" s="116"/>
      <c r="BH318" s="116"/>
      <c r="BI318" s="116"/>
      <c r="BJ318" s="116"/>
      <c r="BK318" s="116"/>
      <c r="BL318" s="116"/>
      <c r="BM318" s="116"/>
      <c r="BN318" s="116"/>
      <c r="BO318" s="116"/>
      <c r="BP318" s="116"/>
      <c r="BQ318" s="116"/>
      <c r="BR318" s="116"/>
      <c r="BS318" s="116"/>
      <c r="BT318" s="116"/>
      <c r="BU318" s="116"/>
      <c r="BV318" s="116"/>
      <c r="BW318" s="116"/>
      <c r="BX318" s="116"/>
      <c r="BY318" s="116"/>
      <c r="BZ318" s="116"/>
      <c r="CA318" s="116"/>
      <c r="CB318" s="116"/>
      <c r="CC318" s="50" t="s">
        <v>16851</v>
      </c>
      <c r="CD318" s="145">
        <v>43503.0</v>
      </c>
      <c r="CE318" s="50">
        <v>1.0</v>
      </c>
      <c r="CF318" s="50" t="s">
        <v>15555</v>
      </c>
      <c r="CG318" s="117">
        <v>6162.0</v>
      </c>
      <c r="CH318" s="50" t="s">
        <v>18261</v>
      </c>
      <c r="CI318" s="50" t="s">
        <v>18262</v>
      </c>
      <c r="CJ318" s="117">
        <v>317.0</v>
      </c>
    </row>
    <row r="319">
      <c r="A319" s="50" t="s">
        <v>18242</v>
      </c>
      <c r="B319" s="50" t="s">
        <v>6876</v>
      </c>
      <c r="C319" s="50" t="s">
        <v>6877</v>
      </c>
      <c r="D319" s="50" t="s">
        <v>11623</v>
      </c>
      <c r="E319" s="50" t="s">
        <v>18263</v>
      </c>
      <c r="F319" s="50">
        <v>59.0</v>
      </c>
      <c r="G319" s="50">
        <v>1.0</v>
      </c>
      <c r="H319" s="50">
        <v>11.0</v>
      </c>
      <c r="I319" s="116"/>
      <c r="J319" s="116"/>
      <c r="K319" s="50" t="s">
        <v>321</v>
      </c>
      <c r="L319" s="50" t="s">
        <v>321</v>
      </c>
      <c r="M319" s="50" t="s">
        <v>13576</v>
      </c>
      <c r="N319" s="50" t="s">
        <v>18244</v>
      </c>
      <c r="O319" s="50" t="s">
        <v>18245</v>
      </c>
      <c r="P319" s="50">
        <v>4.0</v>
      </c>
      <c r="Q319" s="116"/>
      <c r="R319" s="116"/>
      <c r="S319" s="50">
        <v>7.0</v>
      </c>
      <c r="T319" s="50">
        <v>1000.0</v>
      </c>
      <c r="U319" s="50">
        <v>3.0</v>
      </c>
      <c r="V319" s="50">
        <v>22.0</v>
      </c>
      <c r="W319" s="50">
        <v>7.0</v>
      </c>
      <c r="X319" s="50">
        <v>100.0</v>
      </c>
      <c r="Y319" s="50">
        <v>3.0</v>
      </c>
      <c r="Z319" s="50">
        <v>1.0</v>
      </c>
      <c r="AA319" s="50">
        <v>1.0</v>
      </c>
      <c r="AB319" s="50">
        <v>4.0</v>
      </c>
      <c r="AC319" s="50">
        <v>1000.0</v>
      </c>
      <c r="AD319" s="50">
        <v>3.0</v>
      </c>
      <c r="AE319" s="50">
        <v>0.0</v>
      </c>
      <c r="AF319" s="116"/>
      <c r="AG319" s="116"/>
      <c r="AH319" s="50">
        <v>7.0</v>
      </c>
      <c r="AI319" s="50">
        <v>5000.0</v>
      </c>
      <c r="AJ319" s="50">
        <v>3.0</v>
      </c>
      <c r="AK319" s="50">
        <v>0.0</v>
      </c>
      <c r="AL319" s="50">
        <v>7.0</v>
      </c>
      <c r="AM319" s="50">
        <v>1000.0</v>
      </c>
      <c r="AN319" s="50">
        <v>3.0</v>
      </c>
      <c r="AO319" s="50">
        <v>0.0</v>
      </c>
      <c r="AP319" s="50">
        <v>1.0</v>
      </c>
      <c r="AQ319" s="50">
        <v>7.0</v>
      </c>
      <c r="AR319" s="50">
        <v>100.0</v>
      </c>
      <c r="AS319" s="50">
        <v>3.0</v>
      </c>
      <c r="AT319" s="50">
        <v>0.0</v>
      </c>
      <c r="AU319" s="50">
        <v>0.0</v>
      </c>
      <c r="AV319" s="116"/>
      <c r="AW319" s="116"/>
      <c r="AX319" s="116"/>
      <c r="AY319" s="116"/>
      <c r="AZ319" s="116"/>
      <c r="BA319" s="116"/>
      <c r="BB319" s="116"/>
      <c r="BC319" s="116"/>
      <c r="BD319" s="116"/>
      <c r="BE319" s="116"/>
      <c r="BF319" s="116"/>
      <c r="BG319" s="116"/>
      <c r="BH319" s="116"/>
      <c r="BI319" s="116"/>
      <c r="BJ319" s="116"/>
      <c r="BK319" s="116"/>
      <c r="BL319" s="116"/>
      <c r="BM319" s="116"/>
      <c r="BN319" s="116"/>
      <c r="BO319" s="116"/>
      <c r="BP319" s="116"/>
      <c r="BQ319" s="116"/>
      <c r="BR319" s="116"/>
      <c r="BS319" s="116"/>
      <c r="BT319" s="116"/>
      <c r="BU319" s="116"/>
      <c r="BV319" s="116"/>
      <c r="BW319" s="116"/>
      <c r="BX319" s="116"/>
      <c r="BY319" s="116"/>
      <c r="BZ319" s="116"/>
      <c r="CA319" s="116"/>
      <c r="CB319" s="116"/>
      <c r="CC319" s="50" t="s">
        <v>16851</v>
      </c>
      <c r="CD319" s="145">
        <v>43503.0</v>
      </c>
      <c r="CE319" s="50">
        <v>1.0</v>
      </c>
      <c r="CF319" s="50" t="s">
        <v>15555</v>
      </c>
      <c r="CG319" s="117">
        <v>6163.0</v>
      </c>
      <c r="CH319" s="50" t="s">
        <v>18282</v>
      </c>
      <c r="CI319" s="50" t="s">
        <v>18283</v>
      </c>
      <c r="CJ319" s="117">
        <v>318.0</v>
      </c>
    </row>
    <row r="320">
      <c r="A320" s="50" t="s">
        <v>18263</v>
      </c>
      <c r="B320" s="50" t="s">
        <v>6876</v>
      </c>
      <c r="C320" s="50" t="s">
        <v>6877</v>
      </c>
      <c r="D320" s="50" t="s">
        <v>11623</v>
      </c>
      <c r="E320" s="50" t="s">
        <v>18285</v>
      </c>
      <c r="F320" s="50">
        <v>59.0</v>
      </c>
      <c r="G320" s="50">
        <v>1.0</v>
      </c>
      <c r="H320" s="50">
        <v>11.0</v>
      </c>
      <c r="I320" s="116"/>
      <c r="J320" s="116"/>
      <c r="K320" s="50" t="s">
        <v>1761</v>
      </c>
      <c r="L320" s="50" t="s">
        <v>1761</v>
      </c>
      <c r="M320" s="50" t="s">
        <v>13576</v>
      </c>
      <c r="N320" s="50" t="s">
        <v>18244</v>
      </c>
      <c r="O320" s="50" t="s">
        <v>18245</v>
      </c>
      <c r="P320" s="50">
        <v>4.0</v>
      </c>
      <c r="Q320" s="116"/>
      <c r="R320" s="116"/>
      <c r="S320" s="50">
        <v>7.0</v>
      </c>
      <c r="T320" s="50">
        <v>1000.0</v>
      </c>
      <c r="U320" s="50">
        <v>3.0</v>
      </c>
      <c r="V320" s="50">
        <v>0.0</v>
      </c>
      <c r="W320" s="50">
        <v>7.0</v>
      </c>
      <c r="X320" s="50">
        <v>100.0</v>
      </c>
      <c r="Y320" s="50">
        <v>1.0</v>
      </c>
      <c r="Z320" s="116"/>
      <c r="AA320" s="50">
        <v>1.0</v>
      </c>
      <c r="AB320" s="50">
        <v>4.0</v>
      </c>
      <c r="AC320" s="50">
        <v>1000.0</v>
      </c>
      <c r="AD320" s="50">
        <v>3.0</v>
      </c>
      <c r="AE320" s="50">
        <v>3.0</v>
      </c>
      <c r="AF320" s="116"/>
      <c r="AG320" s="116"/>
      <c r="AH320" s="50">
        <v>7.0</v>
      </c>
      <c r="AI320" s="50">
        <v>5000.0</v>
      </c>
      <c r="AJ320" s="50">
        <v>3.0</v>
      </c>
      <c r="AK320" s="50">
        <v>0.0</v>
      </c>
      <c r="AL320" s="50">
        <v>7.0</v>
      </c>
      <c r="AM320" s="50">
        <v>1000.0</v>
      </c>
      <c r="AN320" s="50">
        <v>3.0</v>
      </c>
      <c r="AO320" s="50">
        <v>0.0</v>
      </c>
      <c r="AP320" s="50">
        <v>1.0</v>
      </c>
      <c r="AQ320" s="50">
        <v>7.0</v>
      </c>
      <c r="AR320" s="50">
        <v>100.0</v>
      </c>
      <c r="AS320" s="50">
        <v>3.0</v>
      </c>
      <c r="AT320" s="50">
        <v>0.0</v>
      </c>
      <c r="AU320" s="50">
        <v>0.0</v>
      </c>
      <c r="AV320" s="116"/>
      <c r="AW320" s="116"/>
      <c r="AX320" s="116"/>
      <c r="AY320" s="116"/>
      <c r="AZ320" s="116"/>
      <c r="BA320" s="116"/>
      <c r="BB320" s="116"/>
      <c r="BC320" s="116"/>
      <c r="BD320" s="116"/>
      <c r="BE320" s="116"/>
      <c r="BF320" s="116"/>
      <c r="BG320" s="116"/>
      <c r="BH320" s="116"/>
      <c r="BI320" s="116"/>
      <c r="BJ320" s="116"/>
      <c r="BK320" s="116"/>
      <c r="BL320" s="116"/>
      <c r="BM320" s="116"/>
      <c r="BN320" s="116"/>
      <c r="BO320" s="116"/>
      <c r="BP320" s="116"/>
      <c r="BQ320" s="116"/>
      <c r="BR320" s="116"/>
      <c r="BS320" s="116"/>
      <c r="BT320" s="116"/>
      <c r="BU320" s="116"/>
      <c r="BV320" s="116"/>
      <c r="BW320" s="116"/>
      <c r="BX320" s="116"/>
      <c r="BY320" s="116"/>
      <c r="BZ320" s="116"/>
      <c r="CA320" s="116"/>
      <c r="CB320" s="116"/>
      <c r="CC320" s="50" t="s">
        <v>18302</v>
      </c>
      <c r="CD320" s="145">
        <v>43503.0</v>
      </c>
      <c r="CE320" s="50">
        <v>1.0</v>
      </c>
      <c r="CF320" s="50" t="s">
        <v>15555</v>
      </c>
      <c r="CG320" s="117">
        <v>6164.0</v>
      </c>
      <c r="CH320" s="50" t="s">
        <v>18305</v>
      </c>
      <c r="CI320" s="50" t="s">
        <v>18306</v>
      </c>
      <c r="CJ320" s="117">
        <v>319.0</v>
      </c>
    </row>
    <row r="321">
      <c r="A321" s="50" t="s">
        <v>18285</v>
      </c>
      <c r="B321" s="50" t="s">
        <v>6876</v>
      </c>
      <c r="C321" s="50" t="s">
        <v>6877</v>
      </c>
      <c r="D321" s="50" t="s">
        <v>11623</v>
      </c>
      <c r="E321" s="50" t="s">
        <v>18310</v>
      </c>
      <c r="F321" s="50">
        <v>59.0</v>
      </c>
      <c r="G321" s="50">
        <v>1.0</v>
      </c>
      <c r="H321" s="50">
        <v>11.0</v>
      </c>
      <c r="I321" s="116"/>
      <c r="J321" s="116"/>
      <c r="K321" s="50" t="s">
        <v>1764</v>
      </c>
      <c r="L321" s="50" t="s">
        <v>1764</v>
      </c>
      <c r="M321" s="50" t="s">
        <v>13576</v>
      </c>
      <c r="N321" s="50" t="s">
        <v>18244</v>
      </c>
      <c r="O321" s="50" t="s">
        <v>18245</v>
      </c>
      <c r="P321" s="50">
        <v>4.0</v>
      </c>
      <c r="Q321" s="116"/>
      <c r="R321" s="116"/>
      <c r="S321" s="50">
        <v>7.0</v>
      </c>
      <c r="T321" s="50">
        <v>1000.0</v>
      </c>
      <c r="U321" s="50">
        <v>1.0</v>
      </c>
      <c r="V321" s="116"/>
      <c r="W321" s="50">
        <v>7.0</v>
      </c>
      <c r="X321" s="50">
        <v>100.0</v>
      </c>
      <c r="Y321" s="50">
        <v>1.0</v>
      </c>
      <c r="Z321" s="116"/>
      <c r="AA321" s="50">
        <v>1.0</v>
      </c>
      <c r="AB321" s="50">
        <v>4.0</v>
      </c>
      <c r="AC321" s="50">
        <v>1000.0</v>
      </c>
      <c r="AD321" s="50">
        <v>3.0</v>
      </c>
      <c r="AE321" s="50">
        <v>45.0</v>
      </c>
      <c r="AF321" s="116"/>
      <c r="AG321" s="116"/>
      <c r="AH321" s="50">
        <v>7.0</v>
      </c>
      <c r="AI321" s="50">
        <v>5000.0</v>
      </c>
      <c r="AJ321" s="50">
        <v>3.0</v>
      </c>
      <c r="AK321" s="50">
        <v>48.0</v>
      </c>
      <c r="AL321" s="50">
        <v>7.0</v>
      </c>
      <c r="AM321" s="50">
        <v>1000.0</v>
      </c>
      <c r="AN321" s="50">
        <v>3.0</v>
      </c>
      <c r="AO321" s="50">
        <v>9.0</v>
      </c>
      <c r="AP321" s="50">
        <v>1.0</v>
      </c>
      <c r="AQ321" s="50">
        <v>7.0</v>
      </c>
      <c r="AR321" s="50">
        <v>100.0</v>
      </c>
      <c r="AS321" s="50">
        <v>3.0</v>
      </c>
      <c r="AT321" s="50">
        <v>0.0</v>
      </c>
      <c r="AU321" s="50">
        <v>0.0</v>
      </c>
      <c r="AV321" s="116"/>
      <c r="AW321" s="116"/>
      <c r="AX321" s="116"/>
      <c r="AY321" s="116"/>
      <c r="AZ321" s="116"/>
      <c r="BA321" s="116"/>
      <c r="BB321" s="116"/>
      <c r="BC321" s="116"/>
      <c r="BD321" s="116"/>
      <c r="BE321" s="116"/>
      <c r="BF321" s="116"/>
      <c r="BG321" s="116"/>
      <c r="BH321" s="116"/>
      <c r="BI321" s="116"/>
      <c r="BJ321" s="116"/>
      <c r="BK321" s="116"/>
      <c r="BL321" s="116"/>
      <c r="BM321" s="116"/>
      <c r="BN321" s="116"/>
      <c r="BO321" s="116"/>
      <c r="BP321" s="116"/>
      <c r="BQ321" s="116"/>
      <c r="BR321" s="116"/>
      <c r="BS321" s="116"/>
      <c r="BT321" s="116"/>
      <c r="BU321" s="116"/>
      <c r="BV321" s="116"/>
      <c r="BW321" s="116"/>
      <c r="BX321" s="116"/>
      <c r="BY321" s="116"/>
      <c r="BZ321" s="116"/>
      <c r="CA321" s="116"/>
      <c r="CB321" s="116"/>
      <c r="CC321" s="50" t="s">
        <v>18327</v>
      </c>
      <c r="CD321" s="145">
        <v>43503.0</v>
      </c>
      <c r="CE321" s="50">
        <v>1.0</v>
      </c>
      <c r="CF321" s="50" t="s">
        <v>15555</v>
      </c>
      <c r="CG321" s="117">
        <v>6165.0</v>
      </c>
      <c r="CH321" s="50" t="s">
        <v>18334</v>
      </c>
      <c r="CI321" s="50" t="s">
        <v>18336</v>
      </c>
      <c r="CJ321" s="117">
        <v>320.0</v>
      </c>
    </row>
    <row r="322">
      <c r="A322" s="50" t="s">
        <v>18310</v>
      </c>
      <c r="B322" s="50" t="s">
        <v>6876</v>
      </c>
      <c r="C322" s="50" t="s">
        <v>6877</v>
      </c>
      <c r="D322" s="50" t="s">
        <v>11623</v>
      </c>
      <c r="E322" s="50" t="s">
        <v>18338</v>
      </c>
      <c r="F322" s="50">
        <v>59.0</v>
      </c>
      <c r="G322" s="50">
        <v>1.0</v>
      </c>
      <c r="H322" s="50">
        <v>11.0</v>
      </c>
      <c r="I322" s="116"/>
      <c r="J322" s="116"/>
      <c r="K322" s="50" t="s">
        <v>1775</v>
      </c>
      <c r="L322" s="50" t="s">
        <v>1775</v>
      </c>
      <c r="M322" s="50" t="s">
        <v>13576</v>
      </c>
      <c r="N322" s="50" t="s">
        <v>18244</v>
      </c>
      <c r="O322" s="50" t="s">
        <v>18245</v>
      </c>
      <c r="P322" s="50">
        <v>4.0</v>
      </c>
      <c r="Q322" s="116"/>
      <c r="R322" s="116"/>
      <c r="S322" s="50">
        <v>7.0</v>
      </c>
      <c r="T322" s="50">
        <v>1000.0</v>
      </c>
      <c r="U322" s="50">
        <v>1.0</v>
      </c>
      <c r="V322" s="116"/>
      <c r="W322" s="50">
        <v>7.0</v>
      </c>
      <c r="X322" s="50">
        <v>100.0</v>
      </c>
      <c r="Y322" s="50">
        <v>3.0</v>
      </c>
      <c r="Z322" s="50">
        <v>198.0</v>
      </c>
      <c r="AA322" s="50">
        <v>1.0</v>
      </c>
      <c r="AB322" s="50">
        <v>4.0</v>
      </c>
      <c r="AC322" s="50">
        <v>1000.0</v>
      </c>
      <c r="AD322" s="50">
        <v>3.0</v>
      </c>
      <c r="AE322" s="50">
        <v>13.0</v>
      </c>
      <c r="AF322" s="116"/>
      <c r="AG322" s="116"/>
      <c r="AH322" s="50">
        <v>7.0</v>
      </c>
      <c r="AI322" s="50">
        <v>5000.0</v>
      </c>
      <c r="AJ322" s="50">
        <v>1.0</v>
      </c>
      <c r="AK322" s="116"/>
      <c r="AL322" s="50">
        <v>7.0</v>
      </c>
      <c r="AM322" s="50">
        <v>1000.0</v>
      </c>
      <c r="AN322" s="50">
        <v>1.0</v>
      </c>
      <c r="AO322" s="116"/>
      <c r="AP322" s="50">
        <v>1.0</v>
      </c>
      <c r="AQ322" s="50">
        <v>7.0</v>
      </c>
      <c r="AR322" s="50">
        <v>100.0</v>
      </c>
      <c r="AS322" s="50">
        <v>3.0</v>
      </c>
      <c r="AT322" s="50">
        <v>86.0</v>
      </c>
      <c r="AU322" s="50">
        <v>0.0</v>
      </c>
      <c r="AV322" s="116"/>
      <c r="AW322" s="116"/>
      <c r="AX322" s="116"/>
      <c r="AY322" s="116"/>
      <c r="AZ322" s="116"/>
      <c r="BA322" s="116"/>
      <c r="BB322" s="116"/>
      <c r="BC322" s="116"/>
      <c r="BD322" s="116"/>
      <c r="BE322" s="116"/>
      <c r="BF322" s="116"/>
      <c r="BG322" s="116"/>
      <c r="BH322" s="116"/>
      <c r="BI322" s="116"/>
      <c r="BJ322" s="116"/>
      <c r="BK322" s="116"/>
      <c r="BL322" s="116"/>
      <c r="BM322" s="116"/>
      <c r="BN322" s="116"/>
      <c r="BO322" s="116"/>
      <c r="BP322" s="116"/>
      <c r="BQ322" s="116"/>
      <c r="BR322" s="116"/>
      <c r="BS322" s="116"/>
      <c r="BT322" s="116"/>
      <c r="BU322" s="116"/>
      <c r="BV322" s="116"/>
      <c r="BW322" s="116"/>
      <c r="BX322" s="116"/>
      <c r="BY322" s="116"/>
      <c r="BZ322" s="116"/>
      <c r="CA322" s="116"/>
      <c r="CB322" s="116"/>
      <c r="CC322" s="50" t="s">
        <v>18350</v>
      </c>
      <c r="CD322" s="50" t="s">
        <v>14054</v>
      </c>
      <c r="CE322" s="50">
        <v>1.0</v>
      </c>
      <c r="CF322" s="50" t="s">
        <v>15555</v>
      </c>
      <c r="CG322" s="117">
        <v>6166.0</v>
      </c>
      <c r="CH322" s="50" t="s">
        <v>18355</v>
      </c>
      <c r="CI322" s="50" t="s">
        <v>18357</v>
      </c>
      <c r="CJ322" s="117">
        <v>321.0</v>
      </c>
    </row>
    <row r="323">
      <c r="A323" s="50" t="s">
        <v>18338</v>
      </c>
      <c r="B323" s="50" t="s">
        <v>6876</v>
      </c>
      <c r="C323" s="50" t="s">
        <v>6877</v>
      </c>
      <c r="D323" s="50" t="s">
        <v>11623</v>
      </c>
      <c r="E323" s="50" t="s">
        <v>18359</v>
      </c>
      <c r="F323" s="50">
        <v>59.0</v>
      </c>
      <c r="G323" s="50">
        <v>1.0</v>
      </c>
      <c r="H323" s="50">
        <v>11.0</v>
      </c>
      <c r="I323" s="116"/>
      <c r="J323" s="116"/>
      <c r="K323" s="50" t="s">
        <v>1769</v>
      </c>
      <c r="L323" s="50" t="s">
        <v>1769</v>
      </c>
      <c r="M323" s="50" t="s">
        <v>13576</v>
      </c>
      <c r="N323" s="50" t="s">
        <v>18244</v>
      </c>
      <c r="O323" s="50" t="s">
        <v>18245</v>
      </c>
      <c r="P323" s="50">
        <v>4.0</v>
      </c>
      <c r="Q323" s="116"/>
      <c r="R323" s="116"/>
      <c r="S323" s="50">
        <v>7.0</v>
      </c>
      <c r="T323" s="50">
        <v>1000.0</v>
      </c>
      <c r="U323" s="50">
        <v>3.0</v>
      </c>
      <c r="V323" s="50">
        <v>12.0</v>
      </c>
      <c r="W323" s="50">
        <v>7.0</v>
      </c>
      <c r="X323" s="50">
        <v>100.0</v>
      </c>
      <c r="Y323" s="50">
        <v>3.0</v>
      </c>
      <c r="Z323" s="50">
        <v>4.0</v>
      </c>
      <c r="AA323" s="50">
        <v>1.0</v>
      </c>
      <c r="AB323" s="50">
        <v>4.0</v>
      </c>
      <c r="AC323" s="50">
        <v>1000.0</v>
      </c>
      <c r="AD323" s="50">
        <v>3.0</v>
      </c>
      <c r="AE323" s="50">
        <v>1.0</v>
      </c>
      <c r="AF323" s="116"/>
      <c r="AG323" s="116"/>
      <c r="AH323" s="50">
        <v>7.0</v>
      </c>
      <c r="AI323" s="50">
        <v>5000.0</v>
      </c>
      <c r="AJ323" s="50">
        <v>3.0</v>
      </c>
      <c r="AK323" s="50">
        <v>0.0</v>
      </c>
      <c r="AL323" s="50">
        <v>7.0</v>
      </c>
      <c r="AM323" s="50">
        <v>1000.0</v>
      </c>
      <c r="AN323" s="50">
        <v>3.0</v>
      </c>
      <c r="AO323" s="50">
        <v>0.0</v>
      </c>
      <c r="AP323" s="50">
        <v>1.0</v>
      </c>
      <c r="AQ323" s="50">
        <v>7.0</v>
      </c>
      <c r="AR323" s="50">
        <v>100.0</v>
      </c>
      <c r="AS323" s="50">
        <v>3.0</v>
      </c>
      <c r="AT323" s="50">
        <v>0.0</v>
      </c>
      <c r="AU323" s="50">
        <v>0.0</v>
      </c>
      <c r="AV323" s="116"/>
      <c r="AW323" s="116"/>
      <c r="AX323" s="116"/>
      <c r="AY323" s="116"/>
      <c r="AZ323" s="116"/>
      <c r="BA323" s="116"/>
      <c r="BB323" s="116"/>
      <c r="BC323" s="116"/>
      <c r="BD323" s="116"/>
      <c r="BE323" s="116"/>
      <c r="BF323" s="116"/>
      <c r="BG323" s="116"/>
      <c r="BH323" s="116"/>
      <c r="BI323" s="116"/>
      <c r="BJ323" s="116"/>
      <c r="BK323" s="116"/>
      <c r="BL323" s="116"/>
      <c r="BM323" s="116"/>
      <c r="BN323" s="116"/>
      <c r="BO323" s="116"/>
      <c r="BP323" s="116"/>
      <c r="BQ323" s="116"/>
      <c r="BR323" s="116"/>
      <c r="BS323" s="116"/>
      <c r="BT323" s="116"/>
      <c r="BU323" s="116"/>
      <c r="BV323" s="116"/>
      <c r="BW323" s="116"/>
      <c r="BX323" s="116"/>
      <c r="BY323" s="116"/>
      <c r="BZ323" s="116"/>
      <c r="CA323" s="116"/>
      <c r="CB323" s="116"/>
      <c r="CC323" s="50" t="s">
        <v>16851</v>
      </c>
      <c r="CD323" s="145">
        <v>43503.0</v>
      </c>
      <c r="CE323" s="50">
        <v>1.0</v>
      </c>
      <c r="CF323" s="50" t="s">
        <v>15555</v>
      </c>
      <c r="CG323" s="117">
        <v>6167.0</v>
      </c>
      <c r="CH323" s="50" t="s">
        <v>18373</v>
      </c>
      <c r="CI323" s="50" t="s">
        <v>18374</v>
      </c>
      <c r="CJ323" s="117">
        <v>322.0</v>
      </c>
    </row>
    <row r="324">
      <c r="A324" s="50" t="s">
        <v>18376</v>
      </c>
      <c r="B324" s="50" t="s">
        <v>6876</v>
      </c>
      <c r="C324" s="50" t="s">
        <v>6877</v>
      </c>
      <c r="D324" s="50" t="s">
        <v>11623</v>
      </c>
      <c r="E324" s="50" t="s">
        <v>18378</v>
      </c>
      <c r="F324" s="50">
        <v>59.0</v>
      </c>
      <c r="G324" s="50">
        <v>1.0</v>
      </c>
      <c r="H324" s="50">
        <v>11.0</v>
      </c>
      <c r="I324" s="116"/>
      <c r="J324" s="116"/>
      <c r="K324" s="50" t="s">
        <v>1772</v>
      </c>
      <c r="L324" s="50" t="s">
        <v>1772</v>
      </c>
      <c r="M324" s="50" t="s">
        <v>13576</v>
      </c>
      <c r="N324" s="50" t="s">
        <v>18244</v>
      </c>
      <c r="O324" s="50" t="s">
        <v>18245</v>
      </c>
      <c r="P324" s="50">
        <v>4.0</v>
      </c>
      <c r="Q324" s="116"/>
      <c r="R324" s="116"/>
      <c r="S324" s="50">
        <v>7.0</v>
      </c>
      <c r="T324" s="50">
        <v>1000.0</v>
      </c>
      <c r="U324" s="50">
        <v>1.0</v>
      </c>
      <c r="V324" s="116"/>
      <c r="W324" s="50">
        <v>7.0</v>
      </c>
      <c r="X324" s="50">
        <v>100.0</v>
      </c>
      <c r="Y324" s="50">
        <v>3.0</v>
      </c>
      <c r="Z324" s="50">
        <v>45.0</v>
      </c>
      <c r="AA324" s="50">
        <v>1.0</v>
      </c>
      <c r="AB324" s="50">
        <v>4.0</v>
      </c>
      <c r="AC324" s="50">
        <v>1000.0</v>
      </c>
      <c r="AD324" s="50">
        <v>3.0</v>
      </c>
      <c r="AE324" s="50">
        <v>4.0</v>
      </c>
      <c r="AF324" s="116"/>
      <c r="AG324" s="116"/>
      <c r="AH324" s="50">
        <v>7.0</v>
      </c>
      <c r="AI324" s="50">
        <v>5000.0</v>
      </c>
      <c r="AJ324" s="50">
        <v>3.0</v>
      </c>
      <c r="AK324" s="50">
        <v>0.0</v>
      </c>
      <c r="AL324" s="50">
        <v>7.0</v>
      </c>
      <c r="AM324" s="50">
        <v>1000.0</v>
      </c>
      <c r="AN324" s="50">
        <v>3.0</v>
      </c>
      <c r="AO324" s="50">
        <v>0.0</v>
      </c>
      <c r="AP324" s="50">
        <v>1.0</v>
      </c>
      <c r="AQ324" s="50">
        <v>7.0</v>
      </c>
      <c r="AR324" s="50">
        <v>100.0</v>
      </c>
      <c r="AS324" s="50">
        <v>3.0</v>
      </c>
      <c r="AT324" s="50">
        <v>0.0</v>
      </c>
      <c r="AU324" s="50">
        <v>0.0</v>
      </c>
      <c r="AV324" s="116"/>
      <c r="AW324" s="116"/>
      <c r="AX324" s="116"/>
      <c r="AY324" s="116"/>
      <c r="AZ324" s="116"/>
      <c r="BA324" s="116"/>
      <c r="BB324" s="116"/>
      <c r="BC324" s="116"/>
      <c r="BD324" s="116"/>
      <c r="BE324" s="116"/>
      <c r="BF324" s="116"/>
      <c r="BG324" s="116"/>
      <c r="BH324" s="116"/>
      <c r="BI324" s="116"/>
      <c r="BJ324" s="116"/>
      <c r="BK324" s="116"/>
      <c r="BL324" s="116"/>
      <c r="BM324" s="116"/>
      <c r="BN324" s="116"/>
      <c r="BO324" s="116"/>
      <c r="BP324" s="116"/>
      <c r="BQ324" s="116"/>
      <c r="BR324" s="116"/>
      <c r="BS324" s="116"/>
      <c r="BT324" s="116"/>
      <c r="BU324" s="116"/>
      <c r="BV324" s="116"/>
      <c r="BW324" s="116"/>
      <c r="BX324" s="116"/>
      <c r="BY324" s="116"/>
      <c r="BZ324" s="116"/>
      <c r="CA324" s="116"/>
      <c r="CB324" s="116"/>
      <c r="CC324" s="50" t="s">
        <v>16851</v>
      </c>
      <c r="CD324" s="145">
        <v>43503.0</v>
      </c>
      <c r="CE324" s="50">
        <v>1.0</v>
      </c>
      <c r="CF324" s="50" t="s">
        <v>15555</v>
      </c>
      <c r="CG324" s="117">
        <v>6168.0</v>
      </c>
      <c r="CH324" s="50" t="s">
        <v>18397</v>
      </c>
      <c r="CI324" s="50" t="s">
        <v>18398</v>
      </c>
      <c r="CJ324" s="117">
        <v>323.0</v>
      </c>
    </row>
    <row r="325">
      <c r="A325" s="50" t="s">
        <v>18401</v>
      </c>
      <c r="B325" s="50" t="s">
        <v>6876</v>
      </c>
      <c r="C325" s="50" t="s">
        <v>6877</v>
      </c>
      <c r="D325" s="50" t="s">
        <v>11623</v>
      </c>
      <c r="E325" s="50" t="s">
        <v>18404</v>
      </c>
      <c r="F325" s="50">
        <v>59.0</v>
      </c>
      <c r="G325" s="50">
        <v>1.0</v>
      </c>
      <c r="H325" s="50">
        <v>11.0</v>
      </c>
      <c r="I325" s="116"/>
      <c r="J325" s="116"/>
      <c r="K325" s="50" t="s">
        <v>1778</v>
      </c>
      <c r="L325" s="50" t="s">
        <v>1778</v>
      </c>
      <c r="M325" s="50" t="s">
        <v>13576</v>
      </c>
      <c r="N325" s="50" t="s">
        <v>18244</v>
      </c>
      <c r="O325" s="50" t="s">
        <v>18245</v>
      </c>
      <c r="P325" s="50">
        <v>4.0</v>
      </c>
      <c r="Q325" s="116"/>
      <c r="R325" s="116"/>
      <c r="S325" s="50">
        <v>7.0</v>
      </c>
      <c r="T325" s="50">
        <v>1000.0</v>
      </c>
      <c r="U325" s="50">
        <v>1.0</v>
      </c>
      <c r="V325" s="116"/>
      <c r="W325" s="50">
        <v>7.0</v>
      </c>
      <c r="X325" s="50">
        <v>100.0</v>
      </c>
      <c r="Y325" s="50">
        <v>3.0</v>
      </c>
      <c r="Z325" s="50">
        <v>68.0</v>
      </c>
      <c r="AA325" s="50">
        <v>1.0</v>
      </c>
      <c r="AB325" s="50">
        <v>4.0</v>
      </c>
      <c r="AC325" s="50">
        <v>1000.0</v>
      </c>
      <c r="AD325" s="50">
        <v>3.0</v>
      </c>
      <c r="AE325" s="50">
        <v>3.0</v>
      </c>
      <c r="AF325" s="116"/>
      <c r="AG325" s="116"/>
      <c r="AH325" s="50">
        <v>7.0</v>
      </c>
      <c r="AI325" s="50">
        <v>5000.0</v>
      </c>
      <c r="AJ325" s="50">
        <v>3.0</v>
      </c>
      <c r="AK325" s="50">
        <v>0.0</v>
      </c>
      <c r="AL325" s="50">
        <v>7.0</v>
      </c>
      <c r="AM325" s="50">
        <v>1000.0</v>
      </c>
      <c r="AN325" s="50">
        <v>3.0</v>
      </c>
      <c r="AO325" s="50">
        <v>0.0</v>
      </c>
      <c r="AP325" s="50">
        <v>1.0</v>
      </c>
      <c r="AQ325" s="50">
        <v>7.0</v>
      </c>
      <c r="AR325" s="50">
        <v>100.0</v>
      </c>
      <c r="AS325" s="50">
        <v>3.0</v>
      </c>
      <c r="AT325" s="50">
        <v>0.0</v>
      </c>
      <c r="AU325" s="50">
        <v>0.0</v>
      </c>
      <c r="AV325" s="116"/>
      <c r="AW325" s="116"/>
      <c r="AX325" s="116"/>
      <c r="AY325" s="116"/>
      <c r="AZ325" s="116"/>
      <c r="BA325" s="116"/>
      <c r="BB325" s="116"/>
      <c r="BC325" s="116"/>
      <c r="BD325" s="116"/>
      <c r="BE325" s="116"/>
      <c r="BF325" s="116"/>
      <c r="BG325" s="116"/>
      <c r="BH325" s="116"/>
      <c r="BI325" s="116"/>
      <c r="BJ325" s="116"/>
      <c r="BK325" s="116"/>
      <c r="BL325" s="116"/>
      <c r="BM325" s="116"/>
      <c r="BN325" s="116"/>
      <c r="BO325" s="116"/>
      <c r="BP325" s="116"/>
      <c r="BQ325" s="116"/>
      <c r="BR325" s="116"/>
      <c r="BS325" s="116"/>
      <c r="BT325" s="116"/>
      <c r="BU325" s="116"/>
      <c r="BV325" s="116"/>
      <c r="BW325" s="116"/>
      <c r="BX325" s="116"/>
      <c r="BY325" s="116"/>
      <c r="BZ325" s="116"/>
      <c r="CA325" s="116"/>
      <c r="CB325" s="116"/>
      <c r="CC325" s="50" t="s">
        <v>16851</v>
      </c>
      <c r="CD325" s="145">
        <v>43503.0</v>
      </c>
      <c r="CE325" s="50">
        <v>1.0</v>
      </c>
      <c r="CF325" s="50" t="s">
        <v>15555</v>
      </c>
      <c r="CG325" s="117">
        <v>6169.0</v>
      </c>
      <c r="CH325" s="50" t="s">
        <v>18428</v>
      </c>
      <c r="CI325" s="50" t="s">
        <v>18429</v>
      </c>
      <c r="CJ325" s="117">
        <v>324.0</v>
      </c>
    </row>
    <row r="326">
      <c r="A326" s="50" t="s">
        <v>18430</v>
      </c>
      <c r="B326" s="50" t="s">
        <v>6876</v>
      </c>
      <c r="C326" s="50" t="s">
        <v>6877</v>
      </c>
      <c r="D326" s="50" t="s">
        <v>11623</v>
      </c>
      <c r="E326" s="50" t="s">
        <v>18432</v>
      </c>
      <c r="F326" s="50">
        <v>33.0</v>
      </c>
      <c r="G326" s="50">
        <v>1.0</v>
      </c>
      <c r="H326" s="50">
        <v>97.0</v>
      </c>
      <c r="I326" s="116"/>
      <c r="J326" s="116"/>
      <c r="K326" s="50" t="s">
        <v>436</v>
      </c>
      <c r="L326" s="50" t="s">
        <v>436</v>
      </c>
      <c r="M326" s="50" t="s">
        <v>13576</v>
      </c>
      <c r="N326" s="50" t="s">
        <v>18244</v>
      </c>
      <c r="O326" s="50" t="s">
        <v>18245</v>
      </c>
      <c r="P326" s="116"/>
      <c r="Q326" s="116"/>
      <c r="R326" s="116"/>
      <c r="S326" s="50">
        <v>7.0</v>
      </c>
      <c r="T326" s="50">
        <v>1000.0</v>
      </c>
      <c r="U326" s="50">
        <v>3.0</v>
      </c>
      <c r="V326" s="50">
        <v>147.0</v>
      </c>
      <c r="W326" s="116"/>
      <c r="X326" s="116"/>
      <c r="Y326" s="116"/>
      <c r="Z326" s="116"/>
      <c r="AA326" s="116"/>
      <c r="AB326" s="116"/>
      <c r="AC326" s="116"/>
      <c r="AD326" s="116"/>
      <c r="AE326" s="116"/>
      <c r="AF326" s="116"/>
      <c r="AG326" s="116"/>
      <c r="AH326" s="116"/>
      <c r="AI326" s="116"/>
      <c r="AJ326" s="116"/>
      <c r="AK326" s="116"/>
      <c r="AL326" s="116"/>
      <c r="AM326" s="116"/>
      <c r="AN326" s="116"/>
      <c r="AO326" s="116"/>
      <c r="AP326" s="116"/>
      <c r="AQ326" s="116"/>
      <c r="AR326" s="116"/>
      <c r="AS326" s="116"/>
      <c r="AT326" s="116"/>
      <c r="AU326" s="50">
        <v>0.0</v>
      </c>
      <c r="AV326" s="116"/>
      <c r="AW326" s="116"/>
      <c r="AX326" s="116"/>
      <c r="AY326" s="116"/>
      <c r="AZ326" s="116"/>
      <c r="BA326" s="116"/>
      <c r="BB326" s="116"/>
      <c r="BC326" s="116"/>
      <c r="BD326" s="116"/>
      <c r="BE326" s="116"/>
      <c r="BF326" s="116"/>
      <c r="BG326" s="116"/>
      <c r="BH326" s="116"/>
      <c r="BI326" s="116"/>
      <c r="BJ326" s="116"/>
      <c r="BK326" s="116"/>
      <c r="BL326" s="116"/>
      <c r="BM326" s="116"/>
      <c r="BN326" s="116"/>
      <c r="BO326" s="116"/>
      <c r="BP326" s="116"/>
      <c r="BQ326" s="116"/>
      <c r="BR326" s="116"/>
      <c r="BS326" s="116"/>
      <c r="BT326" s="116"/>
      <c r="BU326" s="116"/>
      <c r="BV326" s="116"/>
      <c r="BW326" s="116"/>
      <c r="BX326" s="116"/>
      <c r="BY326" s="116"/>
      <c r="BZ326" s="116"/>
      <c r="CA326" s="116"/>
      <c r="CB326" s="116"/>
      <c r="CC326" s="116"/>
      <c r="CD326" s="145">
        <v>43503.0</v>
      </c>
      <c r="CE326" s="50">
        <v>1.0</v>
      </c>
      <c r="CF326" s="50" t="s">
        <v>15555</v>
      </c>
      <c r="CG326" s="117">
        <v>6170.0</v>
      </c>
      <c r="CH326" s="50" t="s">
        <v>18450</v>
      </c>
      <c r="CI326" s="50" t="s">
        <v>18451</v>
      </c>
      <c r="CJ326" s="117">
        <v>325.0</v>
      </c>
    </row>
    <row r="327">
      <c r="A327" s="50" t="s">
        <v>18452</v>
      </c>
      <c r="B327" s="50" t="s">
        <v>6876</v>
      </c>
      <c r="C327" s="50" t="s">
        <v>6877</v>
      </c>
      <c r="D327" s="50" t="s">
        <v>11623</v>
      </c>
      <c r="E327" s="50" t="s">
        <v>18453</v>
      </c>
      <c r="F327" s="50">
        <v>33.0</v>
      </c>
      <c r="G327" s="50">
        <v>1.0</v>
      </c>
      <c r="H327" s="50">
        <v>97.0</v>
      </c>
      <c r="I327" s="116"/>
      <c r="J327" s="116"/>
      <c r="K327" s="50" t="s">
        <v>15565</v>
      </c>
      <c r="L327" s="50" t="s">
        <v>15565</v>
      </c>
      <c r="M327" s="50" t="s">
        <v>13576</v>
      </c>
      <c r="N327" s="50" t="s">
        <v>18244</v>
      </c>
      <c r="O327" s="50" t="s">
        <v>18245</v>
      </c>
      <c r="P327" s="116"/>
      <c r="Q327" s="116"/>
      <c r="R327" s="116"/>
      <c r="S327" s="116"/>
      <c r="T327" s="116"/>
      <c r="U327" s="116"/>
      <c r="V327" s="116"/>
      <c r="W327" s="116"/>
      <c r="X327" s="116"/>
      <c r="Y327" s="116"/>
      <c r="Z327" s="116"/>
      <c r="AA327" s="116"/>
      <c r="AB327" s="116"/>
      <c r="AC327" s="116"/>
      <c r="AD327" s="116"/>
      <c r="AE327" s="116"/>
      <c r="AF327" s="116"/>
      <c r="AG327" s="116"/>
      <c r="AH327" s="50">
        <v>7.0</v>
      </c>
      <c r="AI327" s="50">
        <v>1000.0</v>
      </c>
      <c r="AJ327" s="50">
        <v>3.0</v>
      </c>
      <c r="AK327" s="50">
        <v>103.0</v>
      </c>
      <c r="AL327" s="116"/>
      <c r="AM327" s="116"/>
      <c r="AN327" s="116"/>
      <c r="AO327" s="116"/>
      <c r="AP327" s="116"/>
      <c r="AQ327" s="116"/>
      <c r="AR327" s="116"/>
      <c r="AS327" s="116"/>
      <c r="AT327" s="116"/>
      <c r="AU327" s="50">
        <v>0.0</v>
      </c>
      <c r="AV327" s="116"/>
      <c r="AW327" s="116"/>
      <c r="AX327" s="116"/>
      <c r="AY327" s="116"/>
      <c r="AZ327" s="116"/>
      <c r="BA327" s="116"/>
      <c r="BB327" s="116"/>
      <c r="BC327" s="116"/>
      <c r="BD327" s="116"/>
      <c r="BE327" s="116"/>
      <c r="BF327" s="116"/>
      <c r="BG327" s="116"/>
      <c r="BH327" s="116"/>
      <c r="BI327" s="116"/>
      <c r="BJ327" s="116"/>
      <c r="BK327" s="116"/>
      <c r="BL327" s="116"/>
      <c r="BM327" s="116"/>
      <c r="BN327" s="116"/>
      <c r="BO327" s="116"/>
      <c r="BP327" s="116"/>
      <c r="BQ327" s="116"/>
      <c r="BR327" s="116"/>
      <c r="BS327" s="116"/>
      <c r="BT327" s="116"/>
      <c r="BU327" s="116"/>
      <c r="BV327" s="116"/>
      <c r="BW327" s="116"/>
      <c r="BX327" s="116"/>
      <c r="BY327" s="116"/>
      <c r="BZ327" s="116"/>
      <c r="CA327" s="116"/>
      <c r="CB327" s="116"/>
      <c r="CC327" s="116"/>
      <c r="CD327" s="145">
        <v>43503.0</v>
      </c>
      <c r="CE327" s="50">
        <v>1.0</v>
      </c>
      <c r="CF327" s="50" t="s">
        <v>15555</v>
      </c>
      <c r="CG327" s="117">
        <v>6171.0</v>
      </c>
      <c r="CH327" s="50" t="s">
        <v>18471</v>
      </c>
      <c r="CI327" s="50" t="s">
        <v>18472</v>
      </c>
      <c r="CJ327" s="117">
        <v>326.0</v>
      </c>
    </row>
    <row r="328">
      <c r="A328" s="50" t="s">
        <v>18473</v>
      </c>
      <c r="B328" s="50" t="s">
        <v>6876</v>
      </c>
      <c r="C328" s="50" t="s">
        <v>6877</v>
      </c>
      <c r="D328" s="50" t="s">
        <v>11623</v>
      </c>
      <c r="E328" s="50" t="s">
        <v>18475</v>
      </c>
      <c r="F328" s="50">
        <v>58.0</v>
      </c>
      <c r="G328" s="50">
        <v>1.0</v>
      </c>
      <c r="H328" s="50">
        <v>11.0</v>
      </c>
      <c r="I328" s="116"/>
      <c r="J328" s="116"/>
      <c r="K328" s="50" t="s">
        <v>1783</v>
      </c>
      <c r="L328" s="50" t="s">
        <v>1783</v>
      </c>
      <c r="M328" s="50" t="s">
        <v>13971</v>
      </c>
      <c r="N328" s="50" t="s">
        <v>18476</v>
      </c>
      <c r="O328" s="50" t="s">
        <v>14186</v>
      </c>
      <c r="P328" s="50">
        <v>4.0</v>
      </c>
      <c r="Q328" s="116"/>
      <c r="R328" s="116"/>
      <c r="S328" s="50">
        <v>7.0</v>
      </c>
      <c r="T328" s="50">
        <v>1000.0</v>
      </c>
      <c r="U328" s="50">
        <v>3.0</v>
      </c>
      <c r="V328" s="50">
        <v>11.0</v>
      </c>
      <c r="W328" s="50">
        <v>7.0</v>
      </c>
      <c r="X328" s="50">
        <v>100.0</v>
      </c>
      <c r="Y328" s="50">
        <v>3.0</v>
      </c>
      <c r="Z328" s="50">
        <v>1.0</v>
      </c>
      <c r="AA328" s="50">
        <v>1.0</v>
      </c>
      <c r="AB328" s="50">
        <v>4.0</v>
      </c>
      <c r="AC328" s="50">
        <v>1000.0</v>
      </c>
      <c r="AD328" s="50">
        <v>3.0</v>
      </c>
      <c r="AE328" s="50">
        <v>0.0</v>
      </c>
      <c r="AF328" s="116"/>
      <c r="AG328" s="116"/>
      <c r="AH328" s="50">
        <v>7.0</v>
      </c>
      <c r="AI328" s="50">
        <v>5000.0</v>
      </c>
      <c r="AJ328" s="50">
        <v>3.0</v>
      </c>
      <c r="AK328" s="50">
        <v>0.0</v>
      </c>
      <c r="AL328" s="50">
        <v>7.0</v>
      </c>
      <c r="AM328" s="50">
        <v>1000.0</v>
      </c>
      <c r="AN328" s="50">
        <v>3.0</v>
      </c>
      <c r="AO328" s="50">
        <v>0.0</v>
      </c>
      <c r="AP328" s="50">
        <v>1.0</v>
      </c>
      <c r="AQ328" s="50">
        <v>7.0</v>
      </c>
      <c r="AR328" s="50">
        <v>100.0</v>
      </c>
      <c r="AS328" s="50">
        <v>3.0</v>
      </c>
      <c r="AT328" s="50">
        <v>0.0</v>
      </c>
      <c r="AU328" s="50">
        <v>0.0</v>
      </c>
      <c r="AV328" s="116"/>
      <c r="AW328" s="116"/>
      <c r="AX328" s="116"/>
      <c r="AY328" s="116"/>
      <c r="AZ328" s="116"/>
      <c r="BA328" s="116"/>
      <c r="BB328" s="116"/>
      <c r="BC328" s="116"/>
      <c r="BD328" s="116"/>
      <c r="BE328" s="116"/>
      <c r="BF328" s="116"/>
      <c r="BG328" s="116"/>
      <c r="BH328" s="116"/>
      <c r="BI328" s="116"/>
      <c r="BJ328" s="116"/>
      <c r="BK328" s="116"/>
      <c r="BL328" s="116"/>
      <c r="BM328" s="116"/>
      <c r="BN328" s="116"/>
      <c r="BO328" s="116"/>
      <c r="BP328" s="116"/>
      <c r="BQ328" s="116"/>
      <c r="BR328" s="116"/>
      <c r="BS328" s="116"/>
      <c r="BT328" s="116"/>
      <c r="BU328" s="116"/>
      <c r="BV328" s="116"/>
      <c r="BW328" s="116"/>
      <c r="BX328" s="116"/>
      <c r="BY328" s="116"/>
      <c r="BZ328" s="116"/>
      <c r="CA328" s="116"/>
      <c r="CB328" s="116"/>
      <c r="CC328" s="50" t="s">
        <v>16851</v>
      </c>
      <c r="CD328" s="145">
        <v>43503.0</v>
      </c>
      <c r="CE328" s="50">
        <v>1.0</v>
      </c>
      <c r="CF328" s="50" t="s">
        <v>15555</v>
      </c>
      <c r="CG328" s="117">
        <v>6280.0</v>
      </c>
      <c r="CH328" s="50" t="s">
        <v>18494</v>
      </c>
      <c r="CI328" s="50" t="s">
        <v>18495</v>
      </c>
      <c r="CJ328" s="117">
        <v>327.0</v>
      </c>
    </row>
    <row r="329">
      <c r="A329" s="50" t="s">
        <v>18475</v>
      </c>
      <c r="B329" s="50" t="s">
        <v>6876</v>
      </c>
      <c r="C329" s="50" t="s">
        <v>6877</v>
      </c>
      <c r="D329" s="50" t="s">
        <v>11623</v>
      </c>
      <c r="E329" s="50" t="s">
        <v>18497</v>
      </c>
      <c r="F329" s="50">
        <v>59.0</v>
      </c>
      <c r="G329" s="50">
        <v>1.0</v>
      </c>
      <c r="H329" s="50">
        <v>11.0</v>
      </c>
      <c r="I329" s="116"/>
      <c r="J329" s="116"/>
      <c r="K329" s="50" t="s">
        <v>1786</v>
      </c>
      <c r="L329" s="50" t="s">
        <v>1786</v>
      </c>
      <c r="M329" s="50" t="s">
        <v>13971</v>
      </c>
      <c r="N329" s="50" t="s">
        <v>18476</v>
      </c>
      <c r="O329" s="50" t="s">
        <v>14186</v>
      </c>
      <c r="P329" s="50">
        <v>4.0</v>
      </c>
      <c r="Q329" s="116"/>
      <c r="R329" s="116"/>
      <c r="S329" s="50">
        <v>7.0</v>
      </c>
      <c r="T329" s="50">
        <v>1000.0</v>
      </c>
      <c r="U329" s="50">
        <v>3.0</v>
      </c>
      <c r="V329" s="50">
        <v>0.0</v>
      </c>
      <c r="W329" s="50">
        <v>7.0</v>
      </c>
      <c r="X329" s="50">
        <v>100.0</v>
      </c>
      <c r="Y329" s="50">
        <v>1.0</v>
      </c>
      <c r="Z329" s="116"/>
      <c r="AA329" s="50">
        <v>1.0</v>
      </c>
      <c r="AB329" s="50">
        <v>4.0</v>
      </c>
      <c r="AC329" s="50">
        <v>1000.0</v>
      </c>
      <c r="AD329" s="50">
        <v>3.0</v>
      </c>
      <c r="AE329" s="50">
        <v>16.0</v>
      </c>
      <c r="AF329" s="116"/>
      <c r="AG329" s="116"/>
      <c r="AH329" s="50">
        <v>7.0</v>
      </c>
      <c r="AI329" s="50">
        <v>5000.0</v>
      </c>
      <c r="AJ329" s="50">
        <v>1.0</v>
      </c>
      <c r="AK329" s="116"/>
      <c r="AL329" s="50">
        <v>7.0</v>
      </c>
      <c r="AM329" s="50">
        <v>1000.0</v>
      </c>
      <c r="AN329" s="50">
        <v>3.0</v>
      </c>
      <c r="AO329" s="50">
        <v>2.0</v>
      </c>
      <c r="AP329" s="50">
        <v>1.0</v>
      </c>
      <c r="AQ329" s="50">
        <v>7.0</v>
      </c>
      <c r="AR329" s="50">
        <v>100.0</v>
      </c>
      <c r="AS329" s="50">
        <v>3.0</v>
      </c>
      <c r="AT329" s="50">
        <v>0.0</v>
      </c>
      <c r="AU329" s="50">
        <v>0.0</v>
      </c>
      <c r="AV329" s="116"/>
      <c r="AW329" s="116"/>
      <c r="AX329" s="116"/>
      <c r="AY329" s="116"/>
      <c r="AZ329" s="116"/>
      <c r="BA329" s="116"/>
      <c r="BB329" s="116"/>
      <c r="BC329" s="116"/>
      <c r="BD329" s="116"/>
      <c r="BE329" s="116"/>
      <c r="BF329" s="116"/>
      <c r="BG329" s="116"/>
      <c r="BH329" s="116"/>
      <c r="BI329" s="116"/>
      <c r="BJ329" s="116"/>
      <c r="BK329" s="116"/>
      <c r="BL329" s="116"/>
      <c r="BM329" s="116"/>
      <c r="BN329" s="116"/>
      <c r="BO329" s="116"/>
      <c r="BP329" s="116"/>
      <c r="BQ329" s="116"/>
      <c r="BR329" s="116"/>
      <c r="BS329" s="116"/>
      <c r="BT329" s="116"/>
      <c r="BU329" s="116"/>
      <c r="BV329" s="116"/>
      <c r="BW329" s="116"/>
      <c r="BX329" s="116"/>
      <c r="BY329" s="116"/>
      <c r="BZ329" s="116"/>
      <c r="CA329" s="116"/>
      <c r="CB329" s="116"/>
      <c r="CC329" s="50" t="s">
        <v>16821</v>
      </c>
      <c r="CD329" s="145">
        <v>43503.0</v>
      </c>
      <c r="CE329" s="50">
        <v>1.0</v>
      </c>
      <c r="CF329" s="50" t="s">
        <v>15555</v>
      </c>
      <c r="CG329" s="117">
        <v>6281.0</v>
      </c>
      <c r="CH329" s="50" t="s">
        <v>18523</v>
      </c>
      <c r="CI329" s="50" t="s">
        <v>18524</v>
      </c>
      <c r="CJ329" s="117">
        <v>328.0</v>
      </c>
    </row>
    <row r="330">
      <c r="A330" s="50" t="s">
        <v>18527</v>
      </c>
      <c r="B330" s="50" t="s">
        <v>6876</v>
      </c>
      <c r="C330" s="50" t="s">
        <v>6877</v>
      </c>
      <c r="D330" s="50" t="s">
        <v>11623</v>
      </c>
      <c r="E330" s="50" t="s">
        <v>18528</v>
      </c>
      <c r="F330" s="50">
        <v>59.0</v>
      </c>
      <c r="G330" s="50">
        <v>1.0</v>
      </c>
      <c r="H330" s="50">
        <v>11.0</v>
      </c>
      <c r="I330" s="116"/>
      <c r="J330" s="116"/>
      <c r="K330" s="50" t="s">
        <v>1789</v>
      </c>
      <c r="L330" s="50" t="s">
        <v>1789</v>
      </c>
      <c r="M330" s="50" t="s">
        <v>13971</v>
      </c>
      <c r="N330" s="50" t="s">
        <v>18476</v>
      </c>
      <c r="O330" s="50" t="s">
        <v>14186</v>
      </c>
      <c r="P330" s="50">
        <v>4.0</v>
      </c>
      <c r="Q330" s="116"/>
      <c r="R330" s="116"/>
      <c r="S330" s="50">
        <v>7.0</v>
      </c>
      <c r="T330" s="50">
        <v>1000.0</v>
      </c>
      <c r="U330" s="50">
        <v>3.0</v>
      </c>
      <c r="V330" s="50">
        <v>2.0</v>
      </c>
      <c r="W330" s="50">
        <v>7.0</v>
      </c>
      <c r="X330" s="50">
        <v>100.0</v>
      </c>
      <c r="Y330" s="50">
        <v>3.0</v>
      </c>
      <c r="Z330" s="50">
        <v>0.0</v>
      </c>
      <c r="AA330" s="50">
        <v>1.0</v>
      </c>
      <c r="AB330" s="50">
        <v>4.0</v>
      </c>
      <c r="AC330" s="50">
        <v>1000.0</v>
      </c>
      <c r="AD330" s="50">
        <v>3.0</v>
      </c>
      <c r="AE330" s="50">
        <v>0.0</v>
      </c>
      <c r="AF330" s="116"/>
      <c r="AG330" s="116"/>
      <c r="AH330" s="50">
        <v>7.0</v>
      </c>
      <c r="AI330" s="50">
        <v>5000.0</v>
      </c>
      <c r="AJ330" s="50">
        <v>3.0</v>
      </c>
      <c r="AK330" s="50">
        <v>0.0</v>
      </c>
      <c r="AL330" s="50">
        <v>7.0</v>
      </c>
      <c r="AM330" s="50">
        <v>1000.0</v>
      </c>
      <c r="AN330" s="50">
        <v>3.0</v>
      </c>
      <c r="AO330" s="50">
        <v>0.0</v>
      </c>
      <c r="AP330" s="50">
        <v>1.0</v>
      </c>
      <c r="AQ330" s="50">
        <v>7.0</v>
      </c>
      <c r="AR330" s="50">
        <v>100.0</v>
      </c>
      <c r="AS330" s="50">
        <v>3.0</v>
      </c>
      <c r="AT330" s="50">
        <v>0.0</v>
      </c>
      <c r="AU330" s="50">
        <v>0.0</v>
      </c>
      <c r="AV330" s="116"/>
      <c r="AW330" s="116"/>
      <c r="AX330" s="116"/>
      <c r="AY330" s="116"/>
      <c r="AZ330" s="116"/>
      <c r="BA330" s="116"/>
      <c r="BB330" s="116"/>
      <c r="BC330" s="116"/>
      <c r="BD330" s="116"/>
      <c r="BE330" s="116"/>
      <c r="BF330" s="116"/>
      <c r="BG330" s="116"/>
      <c r="BH330" s="116"/>
      <c r="BI330" s="116"/>
      <c r="BJ330" s="116"/>
      <c r="BK330" s="116"/>
      <c r="BL330" s="116"/>
      <c r="BM330" s="116"/>
      <c r="BN330" s="116"/>
      <c r="BO330" s="116"/>
      <c r="BP330" s="116"/>
      <c r="BQ330" s="116"/>
      <c r="BR330" s="116"/>
      <c r="BS330" s="116"/>
      <c r="BT330" s="116"/>
      <c r="BU330" s="116"/>
      <c r="BV330" s="116"/>
      <c r="BW330" s="116"/>
      <c r="BX330" s="116"/>
      <c r="BY330" s="116"/>
      <c r="BZ330" s="116"/>
      <c r="CA330" s="116"/>
      <c r="CB330" s="116"/>
      <c r="CC330" s="50" t="s">
        <v>16851</v>
      </c>
      <c r="CD330" s="145">
        <v>43503.0</v>
      </c>
      <c r="CE330" s="50">
        <v>1.0</v>
      </c>
      <c r="CF330" s="50" t="s">
        <v>15555</v>
      </c>
      <c r="CG330" s="117">
        <v>6282.0</v>
      </c>
      <c r="CH330" s="50" t="s">
        <v>18547</v>
      </c>
      <c r="CI330" s="50" t="s">
        <v>18549</v>
      </c>
      <c r="CJ330" s="117">
        <v>329.0</v>
      </c>
    </row>
    <row r="331">
      <c r="A331" s="50" t="s">
        <v>18528</v>
      </c>
      <c r="B331" s="50" t="s">
        <v>6876</v>
      </c>
      <c r="C331" s="50" t="s">
        <v>6877</v>
      </c>
      <c r="D331" s="50" t="s">
        <v>11623</v>
      </c>
      <c r="E331" s="50" t="s">
        <v>18551</v>
      </c>
      <c r="F331" s="50">
        <v>59.0</v>
      </c>
      <c r="G331" s="50">
        <v>1.0</v>
      </c>
      <c r="H331" s="50">
        <v>11.0</v>
      </c>
      <c r="I331" s="116"/>
      <c r="J331" s="116"/>
      <c r="K331" s="50" t="s">
        <v>1792</v>
      </c>
      <c r="L331" s="50" t="s">
        <v>1792</v>
      </c>
      <c r="M331" s="50" t="s">
        <v>13971</v>
      </c>
      <c r="N331" s="50" t="s">
        <v>18476</v>
      </c>
      <c r="O331" s="50" t="s">
        <v>14186</v>
      </c>
      <c r="P331" s="50">
        <v>4.0</v>
      </c>
      <c r="Q331" s="116"/>
      <c r="R331" s="116"/>
      <c r="S331" s="50">
        <v>7.0</v>
      </c>
      <c r="T331" s="50">
        <v>1000.0</v>
      </c>
      <c r="U331" s="50">
        <v>3.0</v>
      </c>
      <c r="V331" s="50">
        <v>0.0</v>
      </c>
      <c r="W331" s="50">
        <v>7.0</v>
      </c>
      <c r="X331" s="50">
        <v>100.0</v>
      </c>
      <c r="Y331" s="50">
        <v>1.0</v>
      </c>
      <c r="Z331" s="116"/>
      <c r="AA331" s="50">
        <v>1.0</v>
      </c>
      <c r="AB331" s="50">
        <v>4.0</v>
      </c>
      <c r="AC331" s="50">
        <v>1000.0</v>
      </c>
      <c r="AD331" s="50">
        <v>3.0</v>
      </c>
      <c r="AE331" s="50">
        <v>22.0</v>
      </c>
      <c r="AF331" s="116"/>
      <c r="AG331" s="116"/>
      <c r="AH331" s="50">
        <v>7.0</v>
      </c>
      <c r="AI331" s="50">
        <v>5000.0</v>
      </c>
      <c r="AJ331" s="50">
        <v>3.0</v>
      </c>
      <c r="AK331" s="50">
        <v>0.0</v>
      </c>
      <c r="AL331" s="50">
        <v>7.0</v>
      </c>
      <c r="AM331" s="50">
        <v>1000.0</v>
      </c>
      <c r="AN331" s="50">
        <v>3.0</v>
      </c>
      <c r="AO331" s="50">
        <v>0.0</v>
      </c>
      <c r="AP331" s="50">
        <v>1.0</v>
      </c>
      <c r="AQ331" s="50">
        <v>7.0</v>
      </c>
      <c r="AR331" s="50">
        <v>100.0</v>
      </c>
      <c r="AS331" s="50">
        <v>3.0</v>
      </c>
      <c r="AT331" s="50">
        <v>0.0</v>
      </c>
      <c r="AU331" s="50">
        <v>0.0</v>
      </c>
      <c r="AV331" s="116"/>
      <c r="AW331" s="116"/>
      <c r="AX331" s="116"/>
      <c r="AY331" s="116"/>
      <c r="AZ331" s="116"/>
      <c r="BA331" s="116"/>
      <c r="BB331" s="116"/>
      <c r="BC331" s="116"/>
      <c r="BD331" s="116"/>
      <c r="BE331" s="116"/>
      <c r="BF331" s="116"/>
      <c r="BG331" s="116"/>
      <c r="BH331" s="116"/>
      <c r="BI331" s="116"/>
      <c r="BJ331" s="116"/>
      <c r="BK331" s="116"/>
      <c r="BL331" s="116"/>
      <c r="BM331" s="116"/>
      <c r="BN331" s="116"/>
      <c r="BO331" s="116"/>
      <c r="BP331" s="116"/>
      <c r="BQ331" s="116"/>
      <c r="BR331" s="116"/>
      <c r="BS331" s="116"/>
      <c r="BT331" s="116"/>
      <c r="BU331" s="116"/>
      <c r="BV331" s="116"/>
      <c r="BW331" s="116"/>
      <c r="BX331" s="116"/>
      <c r="BY331" s="116"/>
      <c r="BZ331" s="116"/>
      <c r="CA331" s="116"/>
      <c r="CB331" s="116"/>
      <c r="CC331" s="50" t="s">
        <v>16821</v>
      </c>
      <c r="CD331" s="145">
        <v>43503.0</v>
      </c>
      <c r="CE331" s="50">
        <v>1.0</v>
      </c>
      <c r="CF331" s="50" t="s">
        <v>15555</v>
      </c>
      <c r="CG331" s="117">
        <v>6283.0</v>
      </c>
      <c r="CH331" s="50" t="s">
        <v>18567</v>
      </c>
      <c r="CI331" s="50" t="s">
        <v>18568</v>
      </c>
      <c r="CJ331" s="117">
        <v>330.0</v>
      </c>
    </row>
    <row r="332">
      <c r="A332" s="50" t="s">
        <v>18551</v>
      </c>
      <c r="B332" s="50" t="s">
        <v>6876</v>
      </c>
      <c r="C332" s="50" t="s">
        <v>6877</v>
      </c>
      <c r="D332" s="50" t="s">
        <v>11623</v>
      </c>
      <c r="E332" s="50" t="s">
        <v>18571</v>
      </c>
      <c r="F332" s="50">
        <v>59.0</v>
      </c>
      <c r="G332" s="50">
        <v>1.0</v>
      </c>
      <c r="H332" s="50">
        <v>11.0</v>
      </c>
      <c r="I332" s="116"/>
      <c r="J332" s="116"/>
      <c r="K332" s="51" t="s">
        <v>359</v>
      </c>
      <c r="L332" s="51" t="s">
        <v>359</v>
      </c>
      <c r="M332" s="50" t="s">
        <v>13971</v>
      </c>
      <c r="N332" s="50" t="s">
        <v>18476</v>
      </c>
      <c r="O332" s="50" t="s">
        <v>14186</v>
      </c>
      <c r="P332" s="50">
        <v>4.0</v>
      </c>
      <c r="Q332" s="116"/>
      <c r="R332" s="116"/>
      <c r="S332" s="50">
        <v>7.0</v>
      </c>
      <c r="T332" s="50">
        <v>1000.0</v>
      </c>
      <c r="U332" s="50">
        <v>3.0</v>
      </c>
      <c r="V332" s="50">
        <v>0.0</v>
      </c>
      <c r="W332" s="50">
        <v>7.0</v>
      </c>
      <c r="X332" s="50">
        <v>100.0</v>
      </c>
      <c r="Y332" s="50">
        <v>1.0</v>
      </c>
      <c r="Z332" s="116"/>
      <c r="AA332" s="50">
        <v>1.0</v>
      </c>
      <c r="AB332" s="50">
        <v>4.0</v>
      </c>
      <c r="AC332" s="50">
        <v>1000.0</v>
      </c>
      <c r="AD332" s="50">
        <v>3.0</v>
      </c>
      <c r="AE332" s="50">
        <v>69.0</v>
      </c>
      <c r="AF332" s="116"/>
      <c r="AG332" s="116"/>
      <c r="AH332" s="50">
        <v>7.0</v>
      </c>
      <c r="AI332" s="50">
        <v>5000.0</v>
      </c>
      <c r="AJ332" s="50">
        <v>3.0</v>
      </c>
      <c r="AK332" s="50">
        <v>0.0</v>
      </c>
      <c r="AL332" s="50">
        <v>7.0</v>
      </c>
      <c r="AM332" s="50">
        <v>1000.0</v>
      </c>
      <c r="AN332" s="50">
        <v>3.0</v>
      </c>
      <c r="AO332" s="50">
        <v>165.0</v>
      </c>
      <c r="AP332" s="50">
        <v>1.0</v>
      </c>
      <c r="AQ332" s="50">
        <v>7.0</v>
      </c>
      <c r="AR332" s="50">
        <v>100.0</v>
      </c>
      <c r="AS332" s="50">
        <v>3.0</v>
      </c>
      <c r="AT332" s="50">
        <v>11.0</v>
      </c>
      <c r="AU332" s="50">
        <v>0.0</v>
      </c>
      <c r="AV332" s="116"/>
      <c r="AW332" s="116"/>
      <c r="AX332" s="116"/>
      <c r="AY332" s="116"/>
      <c r="AZ332" s="116"/>
      <c r="BA332" s="116"/>
      <c r="BB332" s="116"/>
      <c r="BC332" s="116"/>
      <c r="BD332" s="116"/>
      <c r="BE332" s="116"/>
      <c r="BF332" s="116"/>
      <c r="BG332" s="116"/>
      <c r="BH332" s="116"/>
      <c r="BI332" s="116"/>
      <c r="BJ332" s="116"/>
      <c r="BK332" s="116"/>
      <c r="BL332" s="116"/>
      <c r="BM332" s="116"/>
      <c r="BN332" s="116"/>
      <c r="BO332" s="116"/>
      <c r="BP332" s="116"/>
      <c r="BQ332" s="116"/>
      <c r="BR332" s="116"/>
      <c r="BS332" s="116"/>
      <c r="BT332" s="116"/>
      <c r="BU332" s="116"/>
      <c r="BV332" s="116"/>
      <c r="BW332" s="116"/>
      <c r="BX332" s="116"/>
      <c r="BY332" s="116"/>
      <c r="BZ332" s="116"/>
      <c r="CA332" s="116"/>
      <c r="CB332" s="116"/>
      <c r="CC332" s="50" t="s">
        <v>18593</v>
      </c>
      <c r="CD332" s="145">
        <v>43503.0</v>
      </c>
      <c r="CE332" s="50">
        <v>1.0</v>
      </c>
      <c r="CF332" s="50" t="s">
        <v>15555</v>
      </c>
      <c r="CG332" s="117">
        <v>6284.0</v>
      </c>
      <c r="CH332" s="50" t="s">
        <v>18595</v>
      </c>
      <c r="CI332" s="50" t="s">
        <v>18597</v>
      </c>
      <c r="CJ332" s="117">
        <v>331.0</v>
      </c>
    </row>
    <row r="333">
      <c r="A333" s="50" t="s">
        <v>18571</v>
      </c>
      <c r="B333" s="50" t="s">
        <v>6876</v>
      </c>
      <c r="C333" s="50" t="s">
        <v>6877</v>
      </c>
      <c r="D333" s="50" t="s">
        <v>11623</v>
      </c>
      <c r="E333" s="50" t="s">
        <v>18601</v>
      </c>
      <c r="F333" s="50">
        <v>59.0</v>
      </c>
      <c r="G333" s="50">
        <v>1.0</v>
      </c>
      <c r="H333" s="50">
        <v>11.0</v>
      </c>
      <c r="I333" s="116"/>
      <c r="J333" s="116"/>
      <c r="K333" s="51" t="s">
        <v>363</v>
      </c>
      <c r="L333" s="51" t="s">
        <v>363</v>
      </c>
      <c r="M333" s="50" t="s">
        <v>13971</v>
      </c>
      <c r="N333" s="50" t="s">
        <v>18476</v>
      </c>
      <c r="O333" s="50" t="s">
        <v>14186</v>
      </c>
      <c r="P333" s="50">
        <v>4.0</v>
      </c>
      <c r="Q333" s="116"/>
      <c r="R333" s="116"/>
      <c r="S333" s="50">
        <v>7.0</v>
      </c>
      <c r="T333" s="50">
        <v>1000.0</v>
      </c>
      <c r="U333" s="50">
        <v>3.0</v>
      </c>
      <c r="V333" s="50">
        <v>0.0</v>
      </c>
      <c r="W333" s="50">
        <v>7.0</v>
      </c>
      <c r="X333" s="50">
        <v>100.0</v>
      </c>
      <c r="Y333" s="50">
        <v>1.0</v>
      </c>
      <c r="Z333" s="116"/>
      <c r="AA333" s="50">
        <v>1.0</v>
      </c>
      <c r="AB333" s="50">
        <v>4.0</v>
      </c>
      <c r="AC333" s="50">
        <v>1000.0</v>
      </c>
      <c r="AD333" s="50">
        <v>3.0</v>
      </c>
      <c r="AE333" s="50">
        <v>84.0</v>
      </c>
      <c r="AF333" s="116"/>
      <c r="AG333" s="116"/>
      <c r="AH333" s="50">
        <v>7.0</v>
      </c>
      <c r="AI333" s="50">
        <v>5000.0</v>
      </c>
      <c r="AJ333" s="50">
        <v>3.0</v>
      </c>
      <c r="AK333" s="50">
        <v>0.0</v>
      </c>
      <c r="AL333" s="50">
        <v>7.0</v>
      </c>
      <c r="AM333" s="50">
        <v>1000.0</v>
      </c>
      <c r="AN333" s="50">
        <v>3.0</v>
      </c>
      <c r="AO333" s="50">
        <v>133.0</v>
      </c>
      <c r="AP333" s="50">
        <v>1.0</v>
      </c>
      <c r="AQ333" s="50">
        <v>7.0</v>
      </c>
      <c r="AR333" s="50">
        <v>100.0</v>
      </c>
      <c r="AS333" s="50">
        <v>3.0</v>
      </c>
      <c r="AT333" s="50">
        <v>19.0</v>
      </c>
      <c r="AU333" s="50">
        <v>0.0</v>
      </c>
      <c r="AV333" s="116"/>
      <c r="AW333" s="116"/>
      <c r="AX333" s="116"/>
      <c r="AY333" s="116"/>
      <c r="AZ333" s="116"/>
      <c r="BA333" s="116"/>
      <c r="BB333" s="116"/>
      <c r="BC333" s="116"/>
      <c r="BD333" s="116"/>
      <c r="BE333" s="116"/>
      <c r="BF333" s="116"/>
      <c r="BG333" s="116"/>
      <c r="BH333" s="116"/>
      <c r="BI333" s="116"/>
      <c r="BJ333" s="116"/>
      <c r="BK333" s="116"/>
      <c r="BL333" s="116"/>
      <c r="BM333" s="116"/>
      <c r="BN333" s="116"/>
      <c r="BO333" s="116"/>
      <c r="BP333" s="116"/>
      <c r="BQ333" s="116"/>
      <c r="BR333" s="116"/>
      <c r="BS333" s="116"/>
      <c r="BT333" s="116"/>
      <c r="BU333" s="116"/>
      <c r="BV333" s="116"/>
      <c r="BW333" s="116"/>
      <c r="BX333" s="116"/>
      <c r="BY333" s="116"/>
      <c r="BZ333" s="116"/>
      <c r="CA333" s="116"/>
      <c r="CB333" s="116"/>
      <c r="CC333" s="50" t="s">
        <v>18619</v>
      </c>
      <c r="CD333" s="145">
        <v>43503.0</v>
      </c>
      <c r="CE333" s="50">
        <v>1.0</v>
      </c>
      <c r="CF333" s="50" t="s">
        <v>15555</v>
      </c>
      <c r="CG333" s="117">
        <v>6285.0</v>
      </c>
      <c r="CH333" s="50" t="s">
        <v>18621</v>
      </c>
      <c r="CI333" s="50" t="s">
        <v>18623</v>
      </c>
      <c r="CJ333" s="117">
        <v>332.0</v>
      </c>
    </row>
    <row r="334">
      <c r="A334" s="50" t="s">
        <v>18624</v>
      </c>
      <c r="B334" s="50" t="s">
        <v>6876</v>
      </c>
      <c r="C334" s="50" t="s">
        <v>6877</v>
      </c>
      <c r="D334" s="50" t="s">
        <v>11623</v>
      </c>
      <c r="E334" s="50" t="s">
        <v>18625</v>
      </c>
      <c r="F334" s="50">
        <v>59.0</v>
      </c>
      <c r="G334" s="50">
        <v>1.0</v>
      </c>
      <c r="H334" s="50">
        <v>11.0</v>
      </c>
      <c r="I334" s="116"/>
      <c r="J334" s="116"/>
      <c r="K334" s="50" t="s">
        <v>1807</v>
      </c>
      <c r="L334" s="50" t="s">
        <v>1807</v>
      </c>
      <c r="M334" s="50" t="s">
        <v>13971</v>
      </c>
      <c r="N334" s="50" t="s">
        <v>18476</v>
      </c>
      <c r="O334" s="50" t="s">
        <v>14186</v>
      </c>
      <c r="P334" s="50">
        <v>4.0</v>
      </c>
      <c r="Q334" s="116"/>
      <c r="R334" s="116"/>
      <c r="S334" s="50">
        <v>7.0</v>
      </c>
      <c r="T334" s="50">
        <v>1000.0</v>
      </c>
      <c r="U334" s="50">
        <v>1.0</v>
      </c>
      <c r="V334" s="116"/>
      <c r="W334" s="50">
        <v>7.0</v>
      </c>
      <c r="X334" s="50">
        <v>100.0</v>
      </c>
      <c r="Y334" s="50">
        <v>3.0</v>
      </c>
      <c r="Z334" s="50">
        <v>48.0</v>
      </c>
      <c r="AA334" s="50">
        <v>1.0</v>
      </c>
      <c r="AB334" s="50">
        <v>4.0</v>
      </c>
      <c r="AC334" s="50">
        <v>1000.0</v>
      </c>
      <c r="AD334" s="50">
        <v>3.0</v>
      </c>
      <c r="AE334" s="50">
        <v>3.0</v>
      </c>
      <c r="AF334" s="116"/>
      <c r="AG334" s="116"/>
      <c r="AH334" s="50">
        <v>7.0</v>
      </c>
      <c r="AI334" s="50">
        <v>5000.0</v>
      </c>
      <c r="AJ334" s="50">
        <v>3.0</v>
      </c>
      <c r="AK334" s="50">
        <v>0.0</v>
      </c>
      <c r="AL334" s="50">
        <v>7.0</v>
      </c>
      <c r="AM334" s="50">
        <v>1000.0</v>
      </c>
      <c r="AN334" s="50">
        <v>3.0</v>
      </c>
      <c r="AO334" s="50">
        <v>0.0</v>
      </c>
      <c r="AP334" s="50">
        <v>1.0</v>
      </c>
      <c r="AQ334" s="50">
        <v>7.0</v>
      </c>
      <c r="AR334" s="50">
        <v>100.0</v>
      </c>
      <c r="AS334" s="50">
        <v>3.0</v>
      </c>
      <c r="AT334" s="50">
        <v>0.0</v>
      </c>
      <c r="AU334" s="50">
        <v>0.0</v>
      </c>
      <c r="AV334" s="116"/>
      <c r="AW334" s="116"/>
      <c r="AX334" s="116"/>
      <c r="AY334" s="116"/>
      <c r="AZ334" s="116"/>
      <c r="BA334" s="116"/>
      <c r="BB334" s="116"/>
      <c r="BC334" s="116"/>
      <c r="BD334" s="116"/>
      <c r="BE334" s="116"/>
      <c r="BF334" s="116"/>
      <c r="BG334" s="116"/>
      <c r="BH334" s="116"/>
      <c r="BI334" s="116"/>
      <c r="BJ334" s="116"/>
      <c r="BK334" s="116"/>
      <c r="BL334" s="116"/>
      <c r="BM334" s="116"/>
      <c r="BN334" s="116"/>
      <c r="BO334" s="116"/>
      <c r="BP334" s="116"/>
      <c r="BQ334" s="116"/>
      <c r="BR334" s="116"/>
      <c r="BS334" s="116"/>
      <c r="BT334" s="116"/>
      <c r="BU334" s="116"/>
      <c r="BV334" s="116"/>
      <c r="BW334" s="116"/>
      <c r="BX334" s="116"/>
      <c r="BY334" s="116"/>
      <c r="BZ334" s="116"/>
      <c r="CA334" s="116"/>
      <c r="CB334" s="116"/>
      <c r="CC334" s="50" t="s">
        <v>16851</v>
      </c>
      <c r="CD334" s="145">
        <v>43503.0</v>
      </c>
      <c r="CE334" s="50">
        <v>1.0</v>
      </c>
      <c r="CF334" s="50" t="s">
        <v>15555</v>
      </c>
      <c r="CG334" s="117">
        <v>6286.0</v>
      </c>
      <c r="CH334" s="50" t="s">
        <v>18649</v>
      </c>
      <c r="CI334" s="50" t="s">
        <v>18650</v>
      </c>
      <c r="CJ334" s="117">
        <v>333.0</v>
      </c>
    </row>
    <row r="335">
      <c r="A335" s="50" t="s">
        <v>18653</v>
      </c>
      <c r="B335" s="50" t="s">
        <v>6876</v>
      </c>
      <c r="C335" s="50" t="s">
        <v>6877</v>
      </c>
      <c r="D335" s="50" t="s">
        <v>11623</v>
      </c>
      <c r="E335" s="50" t="s">
        <v>18656</v>
      </c>
      <c r="F335" s="50">
        <v>59.0</v>
      </c>
      <c r="G335" s="50">
        <v>1.0</v>
      </c>
      <c r="H335" s="50">
        <v>11.0</v>
      </c>
      <c r="I335" s="116"/>
      <c r="J335" s="116"/>
      <c r="K335" s="50" t="s">
        <v>1810</v>
      </c>
      <c r="L335" s="50" t="s">
        <v>1810</v>
      </c>
      <c r="M335" s="50" t="s">
        <v>13971</v>
      </c>
      <c r="N335" s="50" t="s">
        <v>18476</v>
      </c>
      <c r="O335" s="50" t="s">
        <v>14186</v>
      </c>
      <c r="P335" s="50">
        <v>4.0</v>
      </c>
      <c r="Q335" s="116"/>
      <c r="R335" s="116"/>
      <c r="S335" s="50">
        <v>7.0</v>
      </c>
      <c r="T335" s="50">
        <v>1000.0</v>
      </c>
      <c r="U335" s="50">
        <v>1.0</v>
      </c>
      <c r="V335" s="116"/>
      <c r="W335" s="50">
        <v>7.0</v>
      </c>
      <c r="X335" s="50">
        <v>100.0</v>
      </c>
      <c r="Y335" s="50">
        <v>1.0</v>
      </c>
      <c r="Z335" s="116"/>
      <c r="AA335" s="50">
        <v>1.0</v>
      </c>
      <c r="AB335" s="50">
        <v>4.0</v>
      </c>
      <c r="AC335" s="50">
        <v>1000.0</v>
      </c>
      <c r="AD335" s="50">
        <v>3.0</v>
      </c>
      <c r="AE335" s="50">
        <v>8.0</v>
      </c>
      <c r="AF335" s="116"/>
      <c r="AG335" s="116"/>
      <c r="AH335" s="50">
        <v>7.0</v>
      </c>
      <c r="AI335" s="50">
        <v>5000.0</v>
      </c>
      <c r="AJ335" s="50">
        <v>3.0</v>
      </c>
      <c r="AK335" s="50">
        <v>0.0</v>
      </c>
      <c r="AL335" s="50">
        <v>7.0</v>
      </c>
      <c r="AM335" s="50">
        <v>1000.0</v>
      </c>
      <c r="AN335" s="50">
        <v>3.0</v>
      </c>
      <c r="AO335" s="50">
        <v>0.0</v>
      </c>
      <c r="AP335" s="50">
        <v>1.0</v>
      </c>
      <c r="AQ335" s="50">
        <v>7.0</v>
      </c>
      <c r="AR335" s="50">
        <v>100.0</v>
      </c>
      <c r="AS335" s="50">
        <v>3.0</v>
      </c>
      <c r="AT335" s="50">
        <v>0.0</v>
      </c>
      <c r="AU335" s="50">
        <v>0.0</v>
      </c>
      <c r="AV335" s="116"/>
      <c r="AW335" s="116"/>
      <c r="AX335" s="116"/>
      <c r="AY335" s="116"/>
      <c r="AZ335" s="116"/>
      <c r="BA335" s="116"/>
      <c r="BB335" s="116"/>
      <c r="BC335" s="116"/>
      <c r="BD335" s="116"/>
      <c r="BE335" s="116"/>
      <c r="BF335" s="116"/>
      <c r="BG335" s="116"/>
      <c r="BH335" s="116"/>
      <c r="BI335" s="116"/>
      <c r="BJ335" s="116"/>
      <c r="BK335" s="116"/>
      <c r="BL335" s="116"/>
      <c r="BM335" s="116"/>
      <c r="BN335" s="116"/>
      <c r="BO335" s="116"/>
      <c r="BP335" s="116"/>
      <c r="BQ335" s="116"/>
      <c r="BR335" s="116"/>
      <c r="BS335" s="116"/>
      <c r="BT335" s="116"/>
      <c r="BU335" s="116"/>
      <c r="BV335" s="116"/>
      <c r="BW335" s="116"/>
      <c r="BX335" s="116"/>
      <c r="BY335" s="116"/>
      <c r="BZ335" s="116"/>
      <c r="CA335" s="116"/>
      <c r="CB335" s="116"/>
      <c r="CC335" s="50" t="s">
        <v>18350</v>
      </c>
      <c r="CD335" s="145">
        <v>43503.0</v>
      </c>
      <c r="CE335" s="50">
        <v>1.0</v>
      </c>
      <c r="CF335" s="50" t="s">
        <v>15555</v>
      </c>
      <c r="CG335" s="117">
        <v>6287.0</v>
      </c>
      <c r="CH335" s="50" t="s">
        <v>18679</v>
      </c>
      <c r="CI335" s="50" t="s">
        <v>18680</v>
      </c>
      <c r="CJ335" s="117">
        <v>334.0</v>
      </c>
    </row>
    <row r="336">
      <c r="A336" s="50" t="s">
        <v>18682</v>
      </c>
      <c r="B336" s="50" t="s">
        <v>6876</v>
      </c>
      <c r="C336" s="50" t="s">
        <v>6877</v>
      </c>
      <c r="D336" s="50" t="s">
        <v>11623</v>
      </c>
      <c r="E336" s="50" t="s">
        <v>18684</v>
      </c>
      <c r="F336" s="50">
        <v>59.0</v>
      </c>
      <c r="G336" s="50">
        <v>1.0</v>
      </c>
      <c r="H336" s="50">
        <v>16.0</v>
      </c>
      <c r="I336" s="116"/>
      <c r="J336" s="116"/>
      <c r="K336" s="50" t="s">
        <v>1816</v>
      </c>
      <c r="L336" s="50" t="s">
        <v>1816</v>
      </c>
      <c r="M336" s="50" t="s">
        <v>13971</v>
      </c>
      <c r="N336" s="50" t="s">
        <v>18476</v>
      </c>
      <c r="O336" s="50" t="s">
        <v>14186</v>
      </c>
      <c r="P336" s="116"/>
      <c r="Q336" s="116"/>
      <c r="R336" s="116"/>
      <c r="S336" s="50">
        <v>7.0</v>
      </c>
      <c r="T336" s="50">
        <v>1000.0</v>
      </c>
      <c r="U336" s="50">
        <v>1.0</v>
      </c>
      <c r="V336" s="116"/>
      <c r="W336" s="50">
        <v>7.0</v>
      </c>
      <c r="X336" s="50">
        <v>100.0</v>
      </c>
      <c r="Y336" s="50">
        <v>3.0</v>
      </c>
      <c r="Z336" s="50">
        <v>102.0</v>
      </c>
      <c r="AA336" s="50">
        <v>0.0</v>
      </c>
      <c r="AB336" s="116"/>
      <c r="AC336" s="116"/>
      <c r="AD336" s="116"/>
      <c r="AE336" s="116"/>
      <c r="AF336" s="116"/>
      <c r="AG336" s="116"/>
      <c r="AH336" s="50">
        <v>7.0</v>
      </c>
      <c r="AI336" s="50">
        <v>5000.0</v>
      </c>
      <c r="AJ336" s="50">
        <v>3.0</v>
      </c>
      <c r="AK336" s="50">
        <v>0.0</v>
      </c>
      <c r="AL336" s="50">
        <v>7.0</v>
      </c>
      <c r="AM336" s="50">
        <v>1000.0</v>
      </c>
      <c r="AN336" s="50">
        <v>3.0</v>
      </c>
      <c r="AO336" s="50">
        <v>54.0</v>
      </c>
      <c r="AP336" s="50">
        <v>1.0</v>
      </c>
      <c r="AQ336" s="50">
        <v>7.0</v>
      </c>
      <c r="AR336" s="50">
        <v>100.0</v>
      </c>
      <c r="AS336" s="50">
        <v>3.0</v>
      </c>
      <c r="AT336" s="50">
        <v>9.0</v>
      </c>
      <c r="AU336" s="50">
        <v>0.0</v>
      </c>
      <c r="AV336" s="116"/>
      <c r="AW336" s="116"/>
      <c r="AX336" s="116"/>
      <c r="AY336" s="116"/>
      <c r="AZ336" s="116"/>
      <c r="BA336" s="116"/>
      <c r="BB336" s="116"/>
      <c r="BC336" s="116"/>
      <c r="BD336" s="116"/>
      <c r="BE336" s="116"/>
      <c r="BF336" s="116"/>
      <c r="BG336" s="116"/>
      <c r="BH336" s="116"/>
      <c r="BI336" s="116"/>
      <c r="BJ336" s="116"/>
      <c r="BK336" s="116"/>
      <c r="BL336" s="116"/>
      <c r="BM336" s="116"/>
      <c r="BN336" s="116"/>
      <c r="BO336" s="116"/>
      <c r="BP336" s="116"/>
      <c r="BQ336" s="116"/>
      <c r="BR336" s="116"/>
      <c r="BS336" s="116"/>
      <c r="BT336" s="116"/>
      <c r="BU336" s="116"/>
      <c r="BV336" s="116"/>
      <c r="BW336" s="116"/>
      <c r="BX336" s="116"/>
      <c r="BY336" s="116"/>
      <c r="BZ336" s="116"/>
      <c r="CA336" s="116"/>
      <c r="CB336" s="116"/>
      <c r="CC336" s="116"/>
      <c r="CD336" s="145">
        <v>43503.0</v>
      </c>
      <c r="CE336" s="50">
        <v>1.0</v>
      </c>
      <c r="CF336" s="50" t="s">
        <v>15555</v>
      </c>
      <c r="CG336" s="117">
        <v>6288.0</v>
      </c>
      <c r="CH336" s="50" t="s">
        <v>18697</v>
      </c>
      <c r="CI336" s="50" t="s">
        <v>18699</v>
      </c>
      <c r="CJ336" s="117">
        <v>335.0</v>
      </c>
    </row>
    <row r="337">
      <c r="A337" s="50" t="s">
        <v>18684</v>
      </c>
      <c r="B337" s="50" t="s">
        <v>6876</v>
      </c>
      <c r="C337" s="50" t="s">
        <v>6877</v>
      </c>
      <c r="D337" s="50" t="s">
        <v>11623</v>
      </c>
      <c r="E337" s="50" t="s">
        <v>18700</v>
      </c>
      <c r="F337" s="50">
        <v>33.0</v>
      </c>
      <c r="G337" s="50">
        <v>1.0</v>
      </c>
      <c r="H337" s="50">
        <v>97.0</v>
      </c>
      <c r="I337" s="116"/>
      <c r="J337" s="116"/>
      <c r="K337" s="50" t="s">
        <v>436</v>
      </c>
      <c r="L337" s="50" t="s">
        <v>436</v>
      </c>
      <c r="M337" s="50" t="s">
        <v>13971</v>
      </c>
      <c r="N337" s="50" t="s">
        <v>18476</v>
      </c>
      <c r="O337" s="50" t="s">
        <v>14186</v>
      </c>
      <c r="P337" s="116"/>
      <c r="Q337" s="116"/>
      <c r="R337" s="116"/>
      <c r="S337" s="50">
        <v>7.0</v>
      </c>
      <c r="T337" s="50">
        <v>1000.0</v>
      </c>
      <c r="U337" s="50">
        <v>3.0</v>
      </c>
      <c r="V337" s="50">
        <v>78.0</v>
      </c>
      <c r="W337" s="116"/>
      <c r="X337" s="116"/>
      <c r="Y337" s="116"/>
      <c r="Z337" s="116"/>
      <c r="AA337" s="116"/>
      <c r="AB337" s="116"/>
      <c r="AC337" s="116"/>
      <c r="AD337" s="116"/>
      <c r="AE337" s="116"/>
      <c r="AF337" s="116"/>
      <c r="AG337" s="116"/>
      <c r="AH337" s="116"/>
      <c r="AI337" s="116"/>
      <c r="AJ337" s="116"/>
      <c r="AK337" s="116"/>
      <c r="AL337" s="116"/>
      <c r="AM337" s="116"/>
      <c r="AN337" s="116"/>
      <c r="AO337" s="116"/>
      <c r="AP337" s="116"/>
      <c r="AQ337" s="116"/>
      <c r="AR337" s="116"/>
      <c r="AS337" s="116"/>
      <c r="AT337" s="116"/>
      <c r="AU337" s="50">
        <v>0.0</v>
      </c>
      <c r="AV337" s="116"/>
      <c r="AW337" s="116"/>
      <c r="AX337" s="116"/>
      <c r="AY337" s="116"/>
      <c r="AZ337" s="116"/>
      <c r="BA337" s="116"/>
      <c r="BB337" s="116"/>
      <c r="BC337" s="116"/>
      <c r="BD337" s="116"/>
      <c r="BE337" s="116"/>
      <c r="BF337" s="116"/>
      <c r="BG337" s="116"/>
      <c r="BH337" s="116"/>
      <c r="BI337" s="116"/>
      <c r="BJ337" s="116"/>
      <c r="BK337" s="116"/>
      <c r="BL337" s="116"/>
      <c r="BM337" s="116"/>
      <c r="BN337" s="116"/>
      <c r="BO337" s="116"/>
      <c r="BP337" s="116"/>
      <c r="BQ337" s="116"/>
      <c r="BR337" s="116"/>
      <c r="BS337" s="116"/>
      <c r="BT337" s="116"/>
      <c r="BU337" s="116"/>
      <c r="BV337" s="116"/>
      <c r="BW337" s="116"/>
      <c r="BX337" s="116"/>
      <c r="BY337" s="116"/>
      <c r="BZ337" s="116"/>
      <c r="CA337" s="116"/>
      <c r="CB337" s="116"/>
      <c r="CC337" s="116"/>
      <c r="CD337" s="145">
        <v>43503.0</v>
      </c>
      <c r="CE337" s="50">
        <v>1.0</v>
      </c>
      <c r="CF337" s="50" t="s">
        <v>15555</v>
      </c>
      <c r="CG337" s="117">
        <v>6289.0</v>
      </c>
      <c r="CH337" s="50" t="s">
        <v>18712</v>
      </c>
      <c r="CI337" s="50" t="s">
        <v>18714</v>
      </c>
      <c r="CJ337" s="117">
        <v>336.0</v>
      </c>
    </row>
    <row r="338">
      <c r="A338" s="50" t="s">
        <v>18715</v>
      </c>
      <c r="B338" s="50" t="s">
        <v>6876</v>
      </c>
      <c r="C338" s="50" t="s">
        <v>6877</v>
      </c>
      <c r="D338" s="50" t="s">
        <v>11623</v>
      </c>
      <c r="E338" s="50" t="s">
        <v>18717</v>
      </c>
      <c r="F338" s="50">
        <v>33.0</v>
      </c>
      <c r="G338" s="50">
        <v>1.0</v>
      </c>
      <c r="H338" s="50">
        <v>97.0</v>
      </c>
      <c r="I338" s="116"/>
      <c r="J338" s="116"/>
      <c r="K338" s="50" t="s">
        <v>15565</v>
      </c>
      <c r="L338" s="50" t="s">
        <v>15565</v>
      </c>
      <c r="M338" s="50" t="s">
        <v>13971</v>
      </c>
      <c r="N338" s="50" t="s">
        <v>18476</v>
      </c>
      <c r="O338" s="50" t="s">
        <v>14186</v>
      </c>
      <c r="P338" s="116"/>
      <c r="Q338" s="116"/>
      <c r="R338" s="116"/>
      <c r="S338" s="116"/>
      <c r="T338" s="116"/>
      <c r="U338" s="116"/>
      <c r="V338" s="116"/>
      <c r="W338" s="116"/>
      <c r="X338" s="116"/>
      <c r="Y338" s="116"/>
      <c r="Z338" s="116"/>
      <c r="AA338" s="116"/>
      <c r="AB338" s="116"/>
      <c r="AC338" s="116"/>
      <c r="AD338" s="116"/>
      <c r="AE338" s="116"/>
      <c r="AF338" s="116"/>
      <c r="AG338" s="116"/>
      <c r="AH338" s="50">
        <v>7.0</v>
      </c>
      <c r="AI338" s="50">
        <v>1000.0</v>
      </c>
      <c r="AJ338" s="50">
        <v>3.0</v>
      </c>
      <c r="AK338" s="50">
        <v>62.0</v>
      </c>
      <c r="AL338" s="116"/>
      <c r="AM338" s="116"/>
      <c r="AN338" s="116"/>
      <c r="AO338" s="116"/>
      <c r="AP338" s="116"/>
      <c r="AQ338" s="116"/>
      <c r="AR338" s="116"/>
      <c r="AS338" s="116"/>
      <c r="AT338" s="116"/>
      <c r="AU338" s="50">
        <v>0.0</v>
      </c>
      <c r="AV338" s="116"/>
      <c r="AW338" s="116"/>
      <c r="AX338" s="116"/>
      <c r="AY338" s="116"/>
      <c r="AZ338" s="116"/>
      <c r="BA338" s="116"/>
      <c r="BB338" s="116"/>
      <c r="BC338" s="116"/>
      <c r="BD338" s="116"/>
      <c r="BE338" s="116"/>
      <c r="BF338" s="116"/>
      <c r="BG338" s="116"/>
      <c r="BH338" s="116"/>
      <c r="BI338" s="116"/>
      <c r="BJ338" s="116"/>
      <c r="BK338" s="116"/>
      <c r="BL338" s="116"/>
      <c r="BM338" s="116"/>
      <c r="BN338" s="116"/>
      <c r="BO338" s="116"/>
      <c r="BP338" s="116"/>
      <c r="BQ338" s="116"/>
      <c r="BR338" s="116"/>
      <c r="BS338" s="116"/>
      <c r="BT338" s="116"/>
      <c r="BU338" s="116"/>
      <c r="BV338" s="116"/>
      <c r="BW338" s="116"/>
      <c r="BX338" s="116"/>
      <c r="BY338" s="116"/>
      <c r="BZ338" s="116"/>
      <c r="CA338" s="116"/>
      <c r="CB338" s="116"/>
      <c r="CC338" s="116"/>
      <c r="CD338" s="145">
        <v>43503.0</v>
      </c>
      <c r="CE338" s="50">
        <v>1.0</v>
      </c>
      <c r="CF338" s="50" t="s">
        <v>15555</v>
      </c>
      <c r="CG338" s="117">
        <v>6290.0</v>
      </c>
      <c r="CH338" s="50" t="s">
        <v>18729</v>
      </c>
      <c r="CI338" s="50" t="s">
        <v>18730</v>
      </c>
      <c r="CJ338" s="117">
        <v>337.0</v>
      </c>
    </row>
    <row r="339">
      <c r="A339" s="50" t="s">
        <v>18731</v>
      </c>
      <c r="B339" s="50" t="s">
        <v>6876</v>
      </c>
      <c r="C339" s="50" t="s">
        <v>6877</v>
      </c>
      <c r="D339" s="50" t="s">
        <v>11623</v>
      </c>
      <c r="E339" s="50" t="s">
        <v>18733</v>
      </c>
      <c r="F339" s="50">
        <v>58.0</v>
      </c>
      <c r="G339" s="50">
        <v>1.0</v>
      </c>
      <c r="H339" s="50">
        <v>11.0</v>
      </c>
      <c r="I339" s="116"/>
      <c r="J339" s="116"/>
      <c r="K339" s="50" t="s">
        <v>1821</v>
      </c>
      <c r="L339" s="50" t="s">
        <v>1821</v>
      </c>
      <c r="M339" s="50" t="s">
        <v>18734</v>
      </c>
      <c r="N339" s="50" t="s">
        <v>14419</v>
      </c>
      <c r="O339" s="50" t="s">
        <v>18735</v>
      </c>
      <c r="P339" s="50">
        <v>4.0</v>
      </c>
      <c r="Q339" s="116"/>
      <c r="R339" s="116"/>
      <c r="S339" s="50">
        <v>7.0</v>
      </c>
      <c r="T339" s="50">
        <v>1000.0</v>
      </c>
      <c r="U339" s="50">
        <v>3.0</v>
      </c>
      <c r="V339" s="50">
        <v>3.0</v>
      </c>
      <c r="W339" s="50">
        <v>7.0</v>
      </c>
      <c r="X339" s="50">
        <v>100.0</v>
      </c>
      <c r="Y339" s="50">
        <v>3.0</v>
      </c>
      <c r="Z339" s="50">
        <v>0.0</v>
      </c>
      <c r="AA339" s="50">
        <v>1.0</v>
      </c>
      <c r="AB339" s="50">
        <v>4.0</v>
      </c>
      <c r="AC339" s="50">
        <v>1000.0</v>
      </c>
      <c r="AD339" s="50">
        <v>3.0</v>
      </c>
      <c r="AE339" s="50">
        <v>0.0</v>
      </c>
      <c r="AF339" s="116"/>
      <c r="AG339" s="116"/>
      <c r="AH339" s="50">
        <v>7.0</v>
      </c>
      <c r="AI339" s="50">
        <v>5000.0</v>
      </c>
      <c r="AJ339" s="50">
        <v>3.0</v>
      </c>
      <c r="AK339" s="50">
        <v>0.0</v>
      </c>
      <c r="AL339" s="50">
        <v>7.0</v>
      </c>
      <c r="AM339" s="50">
        <v>1000.0</v>
      </c>
      <c r="AN339" s="50">
        <v>3.0</v>
      </c>
      <c r="AO339" s="50">
        <v>0.0</v>
      </c>
      <c r="AP339" s="50">
        <v>1.0</v>
      </c>
      <c r="AQ339" s="50">
        <v>7.0</v>
      </c>
      <c r="AR339" s="50">
        <v>100.0</v>
      </c>
      <c r="AS339" s="50">
        <v>3.0</v>
      </c>
      <c r="AT339" s="50">
        <v>0.0</v>
      </c>
      <c r="AU339" s="50">
        <v>0.0</v>
      </c>
      <c r="AV339" s="116"/>
      <c r="AW339" s="116"/>
      <c r="AX339" s="116"/>
      <c r="AY339" s="116"/>
      <c r="AZ339" s="116"/>
      <c r="BA339" s="116"/>
      <c r="BB339" s="116"/>
      <c r="BC339" s="116"/>
      <c r="BD339" s="116"/>
      <c r="BE339" s="116"/>
      <c r="BF339" s="116"/>
      <c r="BG339" s="116"/>
      <c r="BH339" s="116"/>
      <c r="BI339" s="116"/>
      <c r="BJ339" s="116"/>
      <c r="BK339" s="116"/>
      <c r="BL339" s="116"/>
      <c r="BM339" s="116"/>
      <c r="BN339" s="116"/>
      <c r="BO339" s="116"/>
      <c r="BP339" s="116"/>
      <c r="BQ339" s="116"/>
      <c r="BR339" s="116"/>
      <c r="BS339" s="116"/>
      <c r="BT339" s="116"/>
      <c r="BU339" s="116"/>
      <c r="BV339" s="116"/>
      <c r="BW339" s="116"/>
      <c r="BX339" s="116"/>
      <c r="BY339" s="116"/>
      <c r="BZ339" s="116"/>
      <c r="CA339" s="116"/>
      <c r="CB339" s="116"/>
      <c r="CC339" s="50" t="s">
        <v>16851</v>
      </c>
      <c r="CD339" s="145">
        <v>43503.0</v>
      </c>
      <c r="CE339" s="50">
        <v>1.0</v>
      </c>
      <c r="CF339" s="50" t="s">
        <v>15555</v>
      </c>
      <c r="CG339" s="117">
        <v>6394.0</v>
      </c>
      <c r="CH339" s="50" t="s">
        <v>18749</v>
      </c>
      <c r="CI339" s="50" t="s">
        <v>18750</v>
      </c>
      <c r="CJ339" s="117">
        <v>338.0</v>
      </c>
    </row>
    <row r="340">
      <c r="A340" s="50" t="s">
        <v>18733</v>
      </c>
      <c r="B340" s="50" t="s">
        <v>6876</v>
      </c>
      <c r="C340" s="50" t="s">
        <v>6877</v>
      </c>
      <c r="D340" s="50" t="s">
        <v>11623</v>
      </c>
      <c r="E340" s="50" t="s">
        <v>18756</v>
      </c>
      <c r="F340" s="50">
        <v>59.0</v>
      </c>
      <c r="G340" s="50">
        <v>1.0</v>
      </c>
      <c r="H340" s="50">
        <v>11.0</v>
      </c>
      <c r="I340" s="116"/>
      <c r="J340" s="116"/>
      <c r="K340" s="50" t="s">
        <v>1824</v>
      </c>
      <c r="L340" s="50" t="s">
        <v>1824</v>
      </c>
      <c r="M340" s="50" t="s">
        <v>14425</v>
      </c>
      <c r="N340" s="50" t="s">
        <v>14419</v>
      </c>
      <c r="O340" s="50" t="s">
        <v>18735</v>
      </c>
      <c r="P340" s="50">
        <v>4.0</v>
      </c>
      <c r="Q340" s="116"/>
      <c r="R340" s="116"/>
      <c r="S340" s="50">
        <v>7.0</v>
      </c>
      <c r="T340" s="50">
        <v>1000.0</v>
      </c>
      <c r="U340" s="50">
        <v>3.0</v>
      </c>
      <c r="V340" s="50">
        <v>140.0</v>
      </c>
      <c r="W340" s="50">
        <v>7.0</v>
      </c>
      <c r="X340" s="50">
        <v>100.0</v>
      </c>
      <c r="Y340" s="50">
        <v>3.0</v>
      </c>
      <c r="Z340" s="50">
        <v>13.0</v>
      </c>
      <c r="AA340" s="50">
        <v>1.0</v>
      </c>
      <c r="AB340" s="50">
        <v>4.0</v>
      </c>
      <c r="AC340" s="50">
        <v>1000.0</v>
      </c>
      <c r="AD340" s="50">
        <v>3.0</v>
      </c>
      <c r="AE340" s="50">
        <v>0.0</v>
      </c>
      <c r="AF340" s="116"/>
      <c r="AG340" s="116"/>
      <c r="AH340" s="50">
        <v>7.0</v>
      </c>
      <c r="AI340" s="50">
        <v>5000.0</v>
      </c>
      <c r="AJ340" s="50">
        <v>3.0</v>
      </c>
      <c r="AK340" s="50">
        <v>0.0</v>
      </c>
      <c r="AL340" s="50">
        <v>7.0</v>
      </c>
      <c r="AM340" s="50">
        <v>1000.0</v>
      </c>
      <c r="AN340" s="50">
        <v>3.0</v>
      </c>
      <c r="AO340" s="50">
        <v>0.0</v>
      </c>
      <c r="AP340" s="50">
        <v>1.0</v>
      </c>
      <c r="AQ340" s="50">
        <v>7.0</v>
      </c>
      <c r="AR340" s="50">
        <v>100.0</v>
      </c>
      <c r="AS340" s="50">
        <v>3.0</v>
      </c>
      <c r="AT340" s="50">
        <v>0.0</v>
      </c>
      <c r="AU340" s="50">
        <v>0.0</v>
      </c>
      <c r="AV340" s="116"/>
      <c r="AW340" s="116"/>
      <c r="AX340" s="116"/>
      <c r="AY340" s="116"/>
      <c r="AZ340" s="116"/>
      <c r="BA340" s="116"/>
      <c r="BB340" s="116"/>
      <c r="BC340" s="116"/>
      <c r="BD340" s="116"/>
      <c r="BE340" s="116"/>
      <c r="BF340" s="116"/>
      <c r="BG340" s="116"/>
      <c r="BH340" s="116"/>
      <c r="BI340" s="116"/>
      <c r="BJ340" s="116"/>
      <c r="BK340" s="116"/>
      <c r="BL340" s="116"/>
      <c r="BM340" s="116"/>
      <c r="BN340" s="116"/>
      <c r="BO340" s="116"/>
      <c r="BP340" s="116"/>
      <c r="BQ340" s="116"/>
      <c r="BR340" s="116"/>
      <c r="BS340" s="116"/>
      <c r="BT340" s="116"/>
      <c r="BU340" s="116"/>
      <c r="BV340" s="116"/>
      <c r="BW340" s="116"/>
      <c r="BX340" s="116"/>
      <c r="BY340" s="116"/>
      <c r="BZ340" s="116"/>
      <c r="CA340" s="116"/>
      <c r="CB340" s="116"/>
      <c r="CC340" s="50" t="s">
        <v>16851</v>
      </c>
      <c r="CD340" s="145">
        <v>43503.0</v>
      </c>
      <c r="CE340" s="50">
        <v>1.0</v>
      </c>
      <c r="CF340" s="50" t="s">
        <v>15555</v>
      </c>
      <c r="CG340" s="117">
        <v>6395.0</v>
      </c>
      <c r="CH340" s="50" t="s">
        <v>18786</v>
      </c>
      <c r="CI340" s="50" t="s">
        <v>18788</v>
      </c>
      <c r="CJ340" s="117">
        <v>339.0</v>
      </c>
    </row>
    <row r="341">
      <c r="A341" s="50" t="s">
        <v>18756</v>
      </c>
      <c r="B341" s="50" t="s">
        <v>6876</v>
      </c>
      <c r="C341" s="50" t="s">
        <v>6877</v>
      </c>
      <c r="D341" s="50" t="s">
        <v>11623</v>
      </c>
      <c r="E341" s="50" t="s">
        <v>18789</v>
      </c>
      <c r="F341" s="50">
        <v>59.0</v>
      </c>
      <c r="G341" s="50">
        <v>1.0</v>
      </c>
      <c r="H341" s="50">
        <v>11.0</v>
      </c>
      <c r="I341" s="116"/>
      <c r="J341" s="116"/>
      <c r="K341" s="50" t="s">
        <v>1827</v>
      </c>
      <c r="L341" s="50" t="s">
        <v>1827</v>
      </c>
      <c r="M341" s="50" t="s">
        <v>14425</v>
      </c>
      <c r="N341" s="50" t="s">
        <v>14419</v>
      </c>
      <c r="O341" s="50" t="s">
        <v>18735</v>
      </c>
      <c r="P341" s="50">
        <v>4.0</v>
      </c>
      <c r="Q341" s="116"/>
      <c r="R341" s="116"/>
      <c r="S341" s="50">
        <v>7.0</v>
      </c>
      <c r="T341" s="50">
        <v>1000.0</v>
      </c>
      <c r="U341" s="50">
        <v>1.0</v>
      </c>
      <c r="V341" s="116"/>
      <c r="W341" s="50">
        <v>7.0</v>
      </c>
      <c r="X341" s="50">
        <v>100.0</v>
      </c>
      <c r="Y341" s="50">
        <v>3.0</v>
      </c>
      <c r="Z341" s="50">
        <v>24.0</v>
      </c>
      <c r="AA341" s="50">
        <v>1.0</v>
      </c>
      <c r="AB341" s="50">
        <v>4.0</v>
      </c>
      <c r="AC341" s="50">
        <v>1000.0</v>
      </c>
      <c r="AD341" s="50">
        <v>3.0</v>
      </c>
      <c r="AE341" s="50">
        <v>1.0</v>
      </c>
      <c r="AF341" s="116"/>
      <c r="AG341" s="116"/>
      <c r="AH341" s="50">
        <v>7.0</v>
      </c>
      <c r="AI341" s="50">
        <v>5000.0</v>
      </c>
      <c r="AJ341" s="50">
        <v>1.0</v>
      </c>
      <c r="AK341" s="116"/>
      <c r="AL341" s="50">
        <v>7.0</v>
      </c>
      <c r="AM341" s="50">
        <v>1000.0</v>
      </c>
      <c r="AN341" s="50">
        <v>1.0</v>
      </c>
      <c r="AO341" s="116"/>
      <c r="AP341" s="50">
        <v>1.0</v>
      </c>
      <c r="AQ341" s="50">
        <v>7.0</v>
      </c>
      <c r="AR341" s="50">
        <v>100.0</v>
      </c>
      <c r="AS341" s="50">
        <v>3.0</v>
      </c>
      <c r="AT341" s="50">
        <v>32.0</v>
      </c>
      <c r="AU341" s="50">
        <v>0.0</v>
      </c>
      <c r="AV341" s="116"/>
      <c r="AW341" s="116"/>
      <c r="AX341" s="116"/>
      <c r="AY341" s="116"/>
      <c r="AZ341" s="116"/>
      <c r="BA341" s="116"/>
      <c r="BB341" s="116"/>
      <c r="BC341" s="116"/>
      <c r="BD341" s="116"/>
      <c r="BE341" s="116"/>
      <c r="BF341" s="116"/>
      <c r="BG341" s="116"/>
      <c r="BH341" s="116"/>
      <c r="BI341" s="116"/>
      <c r="BJ341" s="116"/>
      <c r="BK341" s="116"/>
      <c r="BL341" s="116"/>
      <c r="BM341" s="116"/>
      <c r="BN341" s="116"/>
      <c r="BO341" s="116"/>
      <c r="BP341" s="116"/>
      <c r="BQ341" s="116"/>
      <c r="BR341" s="116"/>
      <c r="BS341" s="116"/>
      <c r="BT341" s="116"/>
      <c r="BU341" s="116"/>
      <c r="BV341" s="116"/>
      <c r="BW341" s="116"/>
      <c r="BX341" s="116"/>
      <c r="BY341" s="116"/>
      <c r="BZ341" s="116"/>
      <c r="CA341" s="116"/>
      <c r="CB341" s="116"/>
      <c r="CC341" s="50" t="s">
        <v>16851</v>
      </c>
      <c r="CD341" s="145">
        <v>43503.0</v>
      </c>
      <c r="CE341" s="50">
        <v>1.0</v>
      </c>
      <c r="CF341" s="50" t="s">
        <v>15555</v>
      </c>
      <c r="CG341" s="117">
        <v>6396.0</v>
      </c>
      <c r="CH341" s="50" t="s">
        <v>18804</v>
      </c>
      <c r="CI341" s="50" t="s">
        <v>18805</v>
      </c>
      <c r="CJ341" s="117">
        <v>340.0</v>
      </c>
    </row>
    <row r="342">
      <c r="A342" s="50" t="s">
        <v>18789</v>
      </c>
      <c r="B342" s="50" t="s">
        <v>6876</v>
      </c>
      <c r="C342" s="50" t="s">
        <v>6877</v>
      </c>
      <c r="D342" s="50" t="s">
        <v>11623</v>
      </c>
      <c r="E342" s="50" t="s">
        <v>18806</v>
      </c>
      <c r="F342" s="50">
        <v>59.0</v>
      </c>
      <c r="G342" s="50">
        <v>1.0</v>
      </c>
      <c r="H342" s="50">
        <v>11.0</v>
      </c>
      <c r="I342" s="116"/>
      <c r="J342" s="116"/>
      <c r="K342" s="50" t="s">
        <v>1830</v>
      </c>
      <c r="L342" s="50" t="s">
        <v>1830</v>
      </c>
      <c r="M342" s="50" t="s">
        <v>14425</v>
      </c>
      <c r="N342" s="50" t="s">
        <v>14419</v>
      </c>
      <c r="O342" s="50" t="s">
        <v>18735</v>
      </c>
      <c r="P342" s="50">
        <v>4.0</v>
      </c>
      <c r="Q342" s="116"/>
      <c r="R342" s="116"/>
      <c r="S342" s="50">
        <v>7.0</v>
      </c>
      <c r="T342" s="50">
        <v>1000.0</v>
      </c>
      <c r="U342" s="50">
        <v>3.0</v>
      </c>
      <c r="V342" s="50">
        <v>0.0</v>
      </c>
      <c r="W342" s="50">
        <v>7.0</v>
      </c>
      <c r="X342" s="50">
        <v>100.0</v>
      </c>
      <c r="Y342" s="50">
        <v>1.0</v>
      </c>
      <c r="Z342" s="116"/>
      <c r="AA342" s="50">
        <v>1.0</v>
      </c>
      <c r="AB342" s="50">
        <v>4.0</v>
      </c>
      <c r="AC342" s="50">
        <v>1000.0</v>
      </c>
      <c r="AD342" s="50">
        <v>3.0</v>
      </c>
      <c r="AE342" s="50">
        <v>187.0</v>
      </c>
      <c r="AF342" s="116"/>
      <c r="AG342" s="116"/>
      <c r="AH342" s="50">
        <v>7.0</v>
      </c>
      <c r="AI342" s="50">
        <v>5000.0</v>
      </c>
      <c r="AJ342" s="50">
        <v>1.0</v>
      </c>
      <c r="AK342" s="116"/>
      <c r="AL342" s="50">
        <v>7.0</v>
      </c>
      <c r="AM342" s="50">
        <v>1000.0</v>
      </c>
      <c r="AN342" s="50">
        <v>3.0</v>
      </c>
      <c r="AO342" s="50">
        <v>28.0</v>
      </c>
      <c r="AP342" s="50">
        <v>1.0</v>
      </c>
      <c r="AQ342" s="50">
        <v>7.0</v>
      </c>
      <c r="AR342" s="50">
        <v>100.0</v>
      </c>
      <c r="AS342" s="50">
        <v>3.0</v>
      </c>
      <c r="AT342" s="50">
        <v>0.0</v>
      </c>
      <c r="AU342" s="50">
        <v>0.0</v>
      </c>
      <c r="AV342" s="116"/>
      <c r="AW342" s="116"/>
      <c r="AX342" s="116"/>
      <c r="AY342" s="116"/>
      <c r="AZ342" s="116"/>
      <c r="BA342" s="116"/>
      <c r="BB342" s="116"/>
      <c r="BC342" s="116"/>
      <c r="BD342" s="116"/>
      <c r="BE342" s="116"/>
      <c r="BF342" s="116"/>
      <c r="BG342" s="116"/>
      <c r="BH342" s="116"/>
      <c r="BI342" s="116"/>
      <c r="BJ342" s="116"/>
      <c r="BK342" s="116"/>
      <c r="BL342" s="116"/>
      <c r="BM342" s="116"/>
      <c r="BN342" s="116"/>
      <c r="BO342" s="116"/>
      <c r="BP342" s="116"/>
      <c r="BQ342" s="116"/>
      <c r="BR342" s="116"/>
      <c r="BS342" s="116"/>
      <c r="BT342" s="116"/>
      <c r="BU342" s="116"/>
      <c r="BV342" s="116"/>
      <c r="BW342" s="116"/>
      <c r="BX342" s="116"/>
      <c r="BY342" s="116"/>
      <c r="BZ342" s="116"/>
      <c r="CA342" s="116"/>
      <c r="CB342" s="116"/>
      <c r="CC342" s="50" t="s">
        <v>18822</v>
      </c>
      <c r="CD342" s="145">
        <v>43503.0</v>
      </c>
      <c r="CE342" s="50">
        <v>1.0</v>
      </c>
      <c r="CF342" s="50" t="s">
        <v>15555</v>
      </c>
      <c r="CG342" s="117">
        <v>6397.0</v>
      </c>
      <c r="CH342" s="50" t="s">
        <v>18828</v>
      </c>
      <c r="CI342" s="50" t="s">
        <v>18829</v>
      </c>
      <c r="CJ342" s="117">
        <v>341.0</v>
      </c>
    </row>
    <row r="343">
      <c r="A343" s="50" t="s">
        <v>18806</v>
      </c>
      <c r="B343" s="50" t="s">
        <v>6876</v>
      </c>
      <c r="C343" s="50" t="s">
        <v>6877</v>
      </c>
      <c r="D343" s="50" t="s">
        <v>11623</v>
      </c>
      <c r="E343" s="50" t="s">
        <v>18831</v>
      </c>
      <c r="F343" s="50">
        <v>59.0</v>
      </c>
      <c r="G343" s="50">
        <v>1.0</v>
      </c>
      <c r="H343" s="50">
        <v>11.0</v>
      </c>
      <c r="I343" s="116"/>
      <c r="J343" s="116"/>
      <c r="K343" s="50" t="s">
        <v>1834</v>
      </c>
      <c r="L343" s="50" t="s">
        <v>1834</v>
      </c>
      <c r="M343" s="50" t="s">
        <v>14425</v>
      </c>
      <c r="N343" s="50" t="s">
        <v>14419</v>
      </c>
      <c r="O343" s="50" t="s">
        <v>18735</v>
      </c>
      <c r="P343" s="50">
        <v>4.0</v>
      </c>
      <c r="Q343" s="116"/>
      <c r="R343" s="116"/>
      <c r="S343" s="50">
        <v>7.0</v>
      </c>
      <c r="T343" s="50">
        <v>1000.0</v>
      </c>
      <c r="U343" s="50">
        <v>3.0</v>
      </c>
      <c r="V343" s="50">
        <v>0.0</v>
      </c>
      <c r="W343" s="50">
        <v>7.0</v>
      </c>
      <c r="X343" s="50">
        <v>100.0</v>
      </c>
      <c r="Y343" s="50">
        <v>1.0</v>
      </c>
      <c r="Z343" s="116"/>
      <c r="AA343" s="50">
        <v>1.0</v>
      </c>
      <c r="AB343" s="50">
        <v>4.0</v>
      </c>
      <c r="AC343" s="50">
        <v>1000.0</v>
      </c>
      <c r="AD343" s="50">
        <v>3.0</v>
      </c>
      <c r="AE343" s="50">
        <v>168.0</v>
      </c>
      <c r="AF343" s="116"/>
      <c r="AG343" s="116"/>
      <c r="AH343" s="50">
        <v>7.0</v>
      </c>
      <c r="AI343" s="50">
        <v>5000.0</v>
      </c>
      <c r="AJ343" s="50">
        <v>3.0</v>
      </c>
      <c r="AK343" s="50">
        <v>0.0</v>
      </c>
      <c r="AL343" s="50">
        <v>7.0</v>
      </c>
      <c r="AM343" s="50">
        <v>1000.0</v>
      </c>
      <c r="AN343" s="50">
        <v>1.0</v>
      </c>
      <c r="AO343" s="116"/>
      <c r="AP343" s="50">
        <v>1.0</v>
      </c>
      <c r="AQ343" s="50">
        <v>7.0</v>
      </c>
      <c r="AR343" s="50">
        <v>100.0</v>
      </c>
      <c r="AS343" s="50">
        <v>3.0</v>
      </c>
      <c r="AT343" s="50">
        <v>52.0</v>
      </c>
      <c r="AU343" s="50">
        <v>0.0</v>
      </c>
      <c r="AV343" s="116"/>
      <c r="AW343" s="116"/>
      <c r="AX343" s="116"/>
      <c r="AY343" s="116"/>
      <c r="AZ343" s="116"/>
      <c r="BA343" s="116"/>
      <c r="BB343" s="116"/>
      <c r="BC343" s="116"/>
      <c r="BD343" s="116"/>
      <c r="BE343" s="116"/>
      <c r="BF343" s="116"/>
      <c r="BG343" s="116"/>
      <c r="BH343" s="116"/>
      <c r="BI343" s="116"/>
      <c r="BJ343" s="116"/>
      <c r="BK343" s="116"/>
      <c r="BL343" s="116"/>
      <c r="BM343" s="116"/>
      <c r="BN343" s="116"/>
      <c r="BO343" s="116"/>
      <c r="BP343" s="116"/>
      <c r="BQ343" s="116"/>
      <c r="BR343" s="116"/>
      <c r="BS343" s="116"/>
      <c r="BT343" s="116"/>
      <c r="BU343" s="116"/>
      <c r="BV343" s="116"/>
      <c r="BW343" s="116"/>
      <c r="BX343" s="116"/>
      <c r="BY343" s="116"/>
      <c r="BZ343" s="116"/>
      <c r="CA343" s="116"/>
      <c r="CB343" s="116"/>
      <c r="CC343" s="50" t="s">
        <v>18850</v>
      </c>
      <c r="CD343" s="145">
        <v>43503.0</v>
      </c>
      <c r="CE343" s="50">
        <v>1.0</v>
      </c>
      <c r="CF343" s="50" t="s">
        <v>15555</v>
      </c>
      <c r="CG343" s="117">
        <v>6398.0</v>
      </c>
      <c r="CH343" s="50" t="s">
        <v>18854</v>
      </c>
      <c r="CI343" s="50" t="s">
        <v>18855</v>
      </c>
      <c r="CJ343" s="117">
        <v>342.0</v>
      </c>
    </row>
    <row r="344">
      <c r="A344" s="50" t="s">
        <v>18831</v>
      </c>
      <c r="B344" s="50" t="s">
        <v>6876</v>
      </c>
      <c r="C344" s="50" t="s">
        <v>6877</v>
      </c>
      <c r="D344" s="50" t="s">
        <v>11623</v>
      </c>
      <c r="E344" s="50" t="s">
        <v>18857</v>
      </c>
      <c r="F344" s="50">
        <v>59.0</v>
      </c>
      <c r="G344" s="50">
        <v>1.0</v>
      </c>
      <c r="H344" s="50">
        <v>11.0</v>
      </c>
      <c r="I344" s="116"/>
      <c r="J344" s="116"/>
      <c r="K344" s="50" t="s">
        <v>1845</v>
      </c>
      <c r="L344" s="50" t="s">
        <v>1845</v>
      </c>
      <c r="M344" s="50" t="s">
        <v>14425</v>
      </c>
      <c r="N344" s="50" t="s">
        <v>14419</v>
      </c>
      <c r="O344" s="50" t="s">
        <v>18735</v>
      </c>
      <c r="P344" s="50">
        <v>4.0</v>
      </c>
      <c r="Q344" s="116"/>
      <c r="R344" s="116"/>
      <c r="S344" s="50">
        <v>7.0</v>
      </c>
      <c r="T344" s="50">
        <v>1000.0</v>
      </c>
      <c r="U344" s="50">
        <v>1.0</v>
      </c>
      <c r="V344" s="116"/>
      <c r="W344" s="50">
        <v>7.0</v>
      </c>
      <c r="X344" s="50">
        <v>100.0</v>
      </c>
      <c r="Y344" s="50">
        <v>3.0</v>
      </c>
      <c r="Z344" s="50">
        <v>18.0</v>
      </c>
      <c r="AA344" s="50">
        <v>1.0</v>
      </c>
      <c r="AB344" s="50">
        <v>4.0</v>
      </c>
      <c r="AC344" s="50">
        <v>1000.0</v>
      </c>
      <c r="AD344" s="50">
        <v>3.0</v>
      </c>
      <c r="AE344" s="50">
        <v>0.0</v>
      </c>
      <c r="AF344" s="116"/>
      <c r="AG344" s="116"/>
      <c r="AH344" s="50">
        <v>7.0</v>
      </c>
      <c r="AI344" s="50">
        <v>5000.0</v>
      </c>
      <c r="AJ344" s="50">
        <v>3.0</v>
      </c>
      <c r="AK344" s="50">
        <v>0.0</v>
      </c>
      <c r="AL344" s="50">
        <v>7.0</v>
      </c>
      <c r="AM344" s="50">
        <v>1000.0</v>
      </c>
      <c r="AN344" s="50">
        <v>3.0</v>
      </c>
      <c r="AO344" s="50">
        <v>0.0</v>
      </c>
      <c r="AP344" s="50">
        <v>1.0</v>
      </c>
      <c r="AQ344" s="50">
        <v>7.0</v>
      </c>
      <c r="AR344" s="50">
        <v>100.0</v>
      </c>
      <c r="AS344" s="50">
        <v>3.0</v>
      </c>
      <c r="AT344" s="50">
        <v>0.0</v>
      </c>
      <c r="AU344" s="50">
        <v>0.0</v>
      </c>
      <c r="AV344" s="116"/>
      <c r="AW344" s="116"/>
      <c r="AX344" s="116"/>
      <c r="AY344" s="116"/>
      <c r="AZ344" s="116"/>
      <c r="BA344" s="116"/>
      <c r="BB344" s="116"/>
      <c r="BC344" s="116"/>
      <c r="BD344" s="116"/>
      <c r="BE344" s="116"/>
      <c r="BF344" s="116"/>
      <c r="BG344" s="116"/>
      <c r="BH344" s="116"/>
      <c r="BI344" s="116"/>
      <c r="BJ344" s="116"/>
      <c r="BK344" s="116"/>
      <c r="BL344" s="116"/>
      <c r="BM344" s="116"/>
      <c r="BN344" s="116"/>
      <c r="BO344" s="116"/>
      <c r="BP344" s="116"/>
      <c r="BQ344" s="116"/>
      <c r="BR344" s="116"/>
      <c r="BS344" s="116"/>
      <c r="BT344" s="116"/>
      <c r="BU344" s="116"/>
      <c r="BV344" s="116"/>
      <c r="BW344" s="116"/>
      <c r="BX344" s="116"/>
      <c r="BY344" s="116"/>
      <c r="BZ344" s="116"/>
      <c r="CA344" s="116"/>
      <c r="CB344" s="116"/>
      <c r="CC344" s="50" t="s">
        <v>16851</v>
      </c>
      <c r="CD344" s="145">
        <v>43503.0</v>
      </c>
      <c r="CE344" s="50">
        <v>1.0</v>
      </c>
      <c r="CF344" s="50" t="s">
        <v>15555</v>
      </c>
      <c r="CG344" s="117">
        <v>6399.0</v>
      </c>
      <c r="CH344" s="50" t="s">
        <v>18883</v>
      </c>
      <c r="CI344" s="50" t="s">
        <v>18885</v>
      </c>
      <c r="CJ344" s="117">
        <v>343.0</v>
      </c>
    </row>
    <row r="345">
      <c r="A345" s="50" t="s">
        <v>18857</v>
      </c>
      <c r="B345" s="50" t="s">
        <v>6876</v>
      </c>
      <c r="C345" s="50" t="s">
        <v>6877</v>
      </c>
      <c r="D345" s="50" t="s">
        <v>11623</v>
      </c>
      <c r="E345" s="50" t="s">
        <v>18889</v>
      </c>
      <c r="F345" s="50">
        <v>59.0</v>
      </c>
      <c r="G345" s="50">
        <v>1.0</v>
      </c>
      <c r="H345" s="50">
        <v>11.0</v>
      </c>
      <c r="I345" s="116"/>
      <c r="J345" s="116"/>
      <c r="K345" s="50" t="s">
        <v>1848</v>
      </c>
      <c r="L345" s="50" t="s">
        <v>1848</v>
      </c>
      <c r="M345" s="50" t="s">
        <v>14425</v>
      </c>
      <c r="N345" s="50" t="s">
        <v>14419</v>
      </c>
      <c r="O345" s="50" t="s">
        <v>18735</v>
      </c>
      <c r="P345" s="50">
        <v>4.0</v>
      </c>
      <c r="Q345" s="116"/>
      <c r="R345" s="116"/>
      <c r="S345" s="50">
        <v>7.0</v>
      </c>
      <c r="T345" s="50">
        <v>1000.0</v>
      </c>
      <c r="U345" s="50">
        <v>1.0</v>
      </c>
      <c r="V345" s="116"/>
      <c r="W345" s="50">
        <v>7.0</v>
      </c>
      <c r="X345" s="50">
        <v>100.0</v>
      </c>
      <c r="Y345" s="50">
        <v>3.0</v>
      </c>
      <c r="Z345" s="50">
        <v>40.0</v>
      </c>
      <c r="AA345" s="50">
        <v>1.0</v>
      </c>
      <c r="AB345" s="50">
        <v>4.0</v>
      </c>
      <c r="AC345" s="50">
        <v>1000.0</v>
      </c>
      <c r="AD345" s="50">
        <v>3.0</v>
      </c>
      <c r="AE345" s="50">
        <v>1.0</v>
      </c>
      <c r="AF345" s="116"/>
      <c r="AG345" s="116"/>
      <c r="AH345" s="50">
        <v>7.0</v>
      </c>
      <c r="AI345" s="50">
        <v>5000.0</v>
      </c>
      <c r="AJ345" s="50">
        <v>3.0</v>
      </c>
      <c r="AK345" s="50">
        <v>0.0</v>
      </c>
      <c r="AL345" s="50">
        <v>7.0</v>
      </c>
      <c r="AM345" s="50">
        <v>1000.0</v>
      </c>
      <c r="AN345" s="50">
        <v>3.0</v>
      </c>
      <c r="AO345" s="50">
        <v>0.0</v>
      </c>
      <c r="AP345" s="50">
        <v>1.0</v>
      </c>
      <c r="AQ345" s="50">
        <v>7.0</v>
      </c>
      <c r="AR345" s="50">
        <v>100.0</v>
      </c>
      <c r="AS345" s="50">
        <v>3.0</v>
      </c>
      <c r="AT345" s="50">
        <v>0.0</v>
      </c>
      <c r="AU345" s="50">
        <v>0.0</v>
      </c>
      <c r="AV345" s="116"/>
      <c r="AW345" s="116"/>
      <c r="AX345" s="116"/>
      <c r="AY345" s="116"/>
      <c r="AZ345" s="116"/>
      <c r="BA345" s="116"/>
      <c r="BB345" s="116"/>
      <c r="BC345" s="116"/>
      <c r="BD345" s="116"/>
      <c r="BE345" s="116"/>
      <c r="BF345" s="116"/>
      <c r="BG345" s="116"/>
      <c r="BH345" s="116"/>
      <c r="BI345" s="116"/>
      <c r="BJ345" s="116"/>
      <c r="BK345" s="116"/>
      <c r="BL345" s="116"/>
      <c r="BM345" s="116"/>
      <c r="BN345" s="116"/>
      <c r="BO345" s="116"/>
      <c r="BP345" s="116"/>
      <c r="BQ345" s="116"/>
      <c r="BR345" s="116"/>
      <c r="BS345" s="116"/>
      <c r="BT345" s="116"/>
      <c r="BU345" s="116"/>
      <c r="BV345" s="116"/>
      <c r="BW345" s="116"/>
      <c r="BX345" s="116"/>
      <c r="BY345" s="116"/>
      <c r="BZ345" s="116"/>
      <c r="CA345" s="116"/>
      <c r="CB345" s="116"/>
      <c r="CC345" s="50" t="s">
        <v>16851</v>
      </c>
      <c r="CD345" s="145">
        <v>43503.0</v>
      </c>
      <c r="CE345" s="50">
        <v>1.0</v>
      </c>
      <c r="CF345" s="50" t="s">
        <v>15555</v>
      </c>
      <c r="CG345" s="117">
        <v>6400.0</v>
      </c>
      <c r="CH345" s="50" t="s">
        <v>18915</v>
      </c>
      <c r="CI345" s="50" t="s">
        <v>18916</v>
      </c>
      <c r="CJ345" s="117">
        <v>344.0</v>
      </c>
    </row>
    <row r="346">
      <c r="A346" s="50" t="s">
        <v>18917</v>
      </c>
      <c r="B346" s="50" t="s">
        <v>6876</v>
      </c>
      <c r="C346" s="50" t="s">
        <v>6877</v>
      </c>
      <c r="D346" s="50" t="s">
        <v>11623</v>
      </c>
      <c r="E346" s="50" t="s">
        <v>18918</v>
      </c>
      <c r="F346" s="50">
        <v>59.0</v>
      </c>
      <c r="G346" s="50">
        <v>1.0</v>
      </c>
      <c r="H346" s="50">
        <v>11.0</v>
      </c>
      <c r="I346" s="116"/>
      <c r="J346" s="116"/>
      <c r="K346" s="50" t="s">
        <v>1851</v>
      </c>
      <c r="L346" s="50" t="s">
        <v>1851</v>
      </c>
      <c r="M346" s="50" t="s">
        <v>14425</v>
      </c>
      <c r="N346" s="50" t="s">
        <v>14419</v>
      </c>
      <c r="O346" s="50" t="s">
        <v>18735</v>
      </c>
      <c r="P346" s="50">
        <v>4.0</v>
      </c>
      <c r="Q346" s="116"/>
      <c r="R346" s="116"/>
      <c r="S346" s="50">
        <v>7.0</v>
      </c>
      <c r="T346" s="50">
        <v>1000.0</v>
      </c>
      <c r="U346" s="50">
        <v>3.0</v>
      </c>
      <c r="V346" s="50">
        <v>0.0</v>
      </c>
      <c r="W346" s="50">
        <v>7.0</v>
      </c>
      <c r="X346" s="50">
        <v>100.0</v>
      </c>
      <c r="Y346" s="50">
        <v>1.0</v>
      </c>
      <c r="Z346" s="116"/>
      <c r="AA346" s="50">
        <v>1.0</v>
      </c>
      <c r="AB346" s="50">
        <v>4.0</v>
      </c>
      <c r="AC346" s="50">
        <v>1000.0</v>
      </c>
      <c r="AD346" s="50">
        <v>3.0</v>
      </c>
      <c r="AE346" s="50">
        <v>3.0</v>
      </c>
      <c r="AF346" s="116"/>
      <c r="AG346" s="116"/>
      <c r="AH346" s="50">
        <v>7.0</v>
      </c>
      <c r="AI346" s="50">
        <v>5000.0</v>
      </c>
      <c r="AJ346" s="50">
        <v>1.0</v>
      </c>
      <c r="AK346" s="116"/>
      <c r="AL346" s="50">
        <v>7.0</v>
      </c>
      <c r="AM346" s="50">
        <v>1000.0</v>
      </c>
      <c r="AN346" s="50">
        <v>3.0</v>
      </c>
      <c r="AO346" s="50">
        <v>64.0</v>
      </c>
      <c r="AP346" s="50">
        <v>1.0</v>
      </c>
      <c r="AQ346" s="50">
        <v>7.0</v>
      </c>
      <c r="AR346" s="50">
        <v>100.0</v>
      </c>
      <c r="AS346" s="50">
        <v>3.0</v>
      </c>
      <c r="AT346" s="50">
        <v>6.0</v>
      </c>
      <c r="AU346" s="50">
        <v>0.0</v>
      </c>
      <c r="AV346" s="116"/>
      <c r="AW346" s="116"/>
      <c r="AX346" s="116"/>
      <c r="AY346" s="116"/>
      <c r="AZ346" s="116"/>
      <c r="BA346" s="116"/>
      <c r="BB346" s="116"/>
      <c r="BC346" s="116"/>
      <c r="BD346" s="116"/>
      <c r="BE346" s="116"/>
      <c r="BF346" s="116"/>
      <c r="BG346" s="116"/>
      <c r="BH346" s="116"/>
      <c r="BI346" s="116"/>
      <c r="BJ346" s="116"/>
      <c r="BK346" s="116"/>
      <c r="BL346" s="116"/>
      <c r="BM346" s="116"/>
      <c r="BN346" s="116"/>
      <c r="BO346" s="116"/>
      <c r="BP346" s="116"/>
      <c r="BQ346" s="116"/>
      <c r="BR346" s="116"/>
      <c r="BS346" s="116"/>
      <c r="BT346" s="116"/>
      <c r="BU346" s="116"/>
      <c r="BV346" s="116"/>
      <c r="BW346" s="116"/>
      <c r="BX346" s="116"/>
      <c r="BY346" s="116"/>
      <c r="BZ346" s="116"/>
      <c r="CA346" s="116"/>
      <c r="CB346" s="116"/>
      <c r="CC346" s="50" t="s">
        <v>16821</v>
      </c>
      <c r="CD346" s="145">
        <v>43503.0</v>
      </c>
      <c r="CE346" s="50">
        <v>1.0</v>
      </c>
      <c r="CF346" s="50" t="s">
        <v>15555</v>
      </c>
      <c r="CG346" s="117">
        <v>6401.0</v>
      </c>
      <c r="CH346" s="50" t="s">
        <v>18939</v>
      </c>
      <c r="CI346" s="50" t="s">
        <v>18941</v>
      </c>
      <c r="CJ346" s="117">
        <v>345.0</v>
      </c>
    </row>
    <row r="347">
      <c r="A347" s="50" t="s">
        <v>18942</v>
      </c>
      <c r="B347" s="50" t="s">
        <v>6876</v>
      </c>
      <c r="C347" s="50" t="s">
        <v>6877</v>
      </c>
      <c r="D347" s="50" t="s">
        <v>11623</v>
      </c>
      <c r="E347" s="50" t="s">
        <v>18946</v>
      </c>
      <c r="F347" s="50">
        <v>59.0</v>
      </c>
      <c r="G347" s="50">
        <v>1.0</v>
      </c>
      <c r="H347" s="50">
        <v>11.0</v>
      </c>
      <c r="I347" s="116"/>
      <c r="J347" s="116"/>
      <c r="K347" s="50" t="s">
        <v>1854</v>
      </c>
      <c r="L347" s="50" t="s">
        <v>1854</v>
      </c>
      <c r="M347" s="50" t="s">
        <v>14425</v>
      </c>
      <c r="N347" s="50" t="s">
        <v>14419</v>
      </c>
      <c r="O347" s="50" t="s">
        <v>18735</v>
      </c>
      <c r="P347" s="50">
        <v>4.0</v>
      </c>
      <c r="Q347" s="116"/>
      <c r="R347" s="116"/>
      <c r="S347" s="50">
        <v>7.0</v>
      </c>
      <c r="T347" s="50">
        <v>1000.0</v>
      </c>
      <c r="U347" s="50">
        <v>3.0</v>
      </c>
      <c r="V347" s="50">
        <v>170.0</v>
      </c>
      <c r="W347" s="50">
        <v>7.0</v>
      </c>
      <c r="X347" s="50">
        <v>100.0</v>
      </c>
      <c r="Y347" s="50">
        <v>3.0</v>
      </c>
      <c r="Z347" s="50">
        <v>15.0</v>
      </c>
      <c r="AA347" s="50">
        <v>1.0</v>
      </c>
      <c r="AB347" s="50">
        <v>4.0</v>
      </c>
      <c r="AC347" s="50">
        <v>1000.0</v>
      </c>
      <c r="AD347" s="50">
        <v>3.0</v>
      </c>
      <c r="AE347" s="50">
        <v>0.0</v>
      </c>
      <c r="AF347" s="116"/>
      <c r="AG347" s="116"/>
      <c r="AH347" s="50">
        <v>7.0</v>
      </c>
      <c r="AI347" s="50">
        <v>5000.0</v>
      </c>
      <c r="AJ347" s="50">
        <v>3.0</v>
      </c>
      <c r="AK347" s="50">
        <v>0.0</v>
      </c>
      <c r="AL347" s="50">
        <v>7.0</v>
      </c>
      <c r="AM347" s="50">
        <v>1000.0</v>
      </c>
      <c r="AN347" s="50">
        <v>3.0</v>
      </c>
      <c r="AO347" s="50">
        <v>0.0</v>
      </c>
      <c r="AP347" s="50">
        <v>1.0</v>
      </c>
      <c r="AQ347" s="50">
        <v>7.0</v>
      </c>
      <c r="AR347" s="50">
        <v>100.0</v>
      </c>
      <c r="AS347" s="50">
        <v>3.0</v>
      </c>
      <c r="AT347" s="50">
        <v>0.0</v>
      </c>
      <c r="AU347" s="50">
        <v>0.0</v>
      </c>
      <c r="AV347" s="116"/>
      <c r="AW347" s="116"/>
      <c r="AX347" s="116"/>
      <c r="AY347" s="116"/>
      <c r="AZ347" s="116"/>
      <c r="BA347" s="116"/>
      <c r="BB347" s="116"/>
      <c r="BC347" s="116"/>
      <c r="BD347" s="116"/>
      <c r="BE347" s="116"/>
      <c r="BF347" s="116"/>
      <c r="BG347" s="116"/>
      <c r="BH347" s="116"/>
      <c r="BI347" s="116"/>
      <c r="BJ347" s="116"/>
      <c r="BK347" s="116"/>
      <c r="BL347" s="116"/>
      <c r="BM347" s="116"/>
      <c r="BN347" s="116"/>
      <c r="BO347" s="116"/>
      <c r="BP347" s="116"/>
      <c r="BQ347" s="116"/>
      <c r="BR347" s="116"/>
      <c r="BS347" s="116"/>
      <c r="BT347" s="116"/>
      <c r="BU347" s="116"/>
      <c r="BV347" s="116"/>
      <c r="BW347" s="116"/>
      <c r="BX347" s="116"/>
      <c r="BY347" s="116"/>
      <c r="BZ347" s="116"/>
      <c r="CA347" s="116"/>
      <c r="CB347" s="116"/>
      <c r="CC347" s="50" t="s">
        <v>16851</v>
      </c>
      <c r="CD347" s="145">
        <v>43503.0</v>
      </c>
      <c r="CE347" s="50">
        <v>1.0</v>
      </c>
      <c r="CF347" s="50" t="s">
        <v>15555</v>
      </c>
      <c r="CG347" s="117">
        <v>6402.0</v>
      </c>
      <c r="CH347" s="50" t="s">
        <v>18966</v>
      </c>
      <c r="CI347" s="50" t="s">
        <v>18968</v>
      </c>
      <c r="CJ347" s="117">
        <v>346.0</v>
      </c>
    </row>
    <row r="348">
      <c r="A348" s="50" t="s">
        <v>18972</v>
      </c>
      <c r="B348" s="50" t="s">
        <v>6876</v>
      </c>
      <c r="C348" s="50" t="s">
        <v>6877</v>
      </c>
      <c r="D348" s="50" t="s">
        <v>11623</v>
      </c>
      <c r="E348" s="50" t="s">
        <v>18974</v>
      </c>
      <c r="F348" s="50">
        <v>33.0</v>
      </c>
      <c r="G348" s="50">
        <v>1.0</v>
      </c>
      <c r="H348" s="50">
        <v>97.0</v>
      </c>
      <c r="I348" s="116"/>
      <c r="J348" s="116"/>
      <c r="K348" s="50" t="s">
        <v>436</v>
      </c>
      <c r="L348" s="50" t="s">
        <v>436</v>
      </c>
      <c r="M348" s="50" t="s">
        <v>14425</v>
      </c>
      <c r="N348" s="50" t="s">
        <v>14419</v>
      </c>
      <c r="O348" s="50" t="s">
        <v>18735</v>
      </c>
      <c r="P348" s="116"/>
      <c r="Q348" s="116"/>
      <c r="R348" s="116"/>
      <c r="S348" s="50">
        <v>7.0</v>
      </c>
      <c r="T348" s="50">
        <v>1000.0</v>
      </c>
      <c r="U348" s="50">
        <v>3.0</v>
      </c>
      <c r="V348" s="50">
        <v>112.0</v>
      </c>
      <c r="W348" s="116"/>
      <c r="X348" s="116"/>
      <c r="Y348" s="116"/>
      <c r="Z348" s="116"/>
      <c r="AA348" s="116"/>
      <c r="AB348" s="116"/>
      <c r="AC348" s="116"/>
      <c r="AD348" s="116"/>
      <c r="AE348" s="116"/>
      <c r="AF348" s="116"/>
      <c r="AG348" s="116"/>
      <c r="AH348" s="116"/>
      <c r="AI348" s="116"/>
      <c r="AJ348" s="116"/>
      <c r="AK348" s="116"/>
      <c r="AL348" s="116"/>
      <c r="AM348" s="116"/>
      <c r="AN348" s="116"/>
      <c r="AO348" s="116"/>
      <c r="AP348" s="116"/>
      <c r="AQ348" s="116"/>
      <c r="AR348" s="116"/>
      <c r="AS348" s="116"/>
      <c r="AT348" s="116"/>
      <c r="AU348" s="50">
        <v>0.0</v>
      </c>
      <c r="AV348" s="116"/>
      <c r="AW348" s="116"/>
      <c r="AX348" s="116"/>
      <c r="AY348" s="116"/>
      <c r="AZ348" s="116"/>
      <c r="BA348" s="116"/>
      <c r="BB348" s="116"/>
      <c r="BC348" s="116"/>
      <c r="BD348" s="116"/>
      <c r="BE348" s="116"/>
      <c r="BF348" s="116"/>
      <c r="BG348" s="116"/>
      <c r="BH348" s="116"/>
      <c r="BI348" s="116"/>
      <c r="BJ348" s="116"/>
      <c r="BK348" s="116"/>
      <c r="BL348" s="116"/>
      <c r="BM348" s="116"/>
      <c r="BN348" s="116"/>
      <c r="BO348" s="116"/>
      <c r="BP348" s="116"/>
      <c r="BQ348" s="116"/>
      <c r="BR348" s="116"/>
      <c r="BS348" s="116"/>
      <c r="BT348" s="116"/>
      <c r="BU348" s="116"/>
      <c r="BV348" s="116"/>
      <c r="BW348" s="116"/>
      <c r="BX348" s="116"/>
      <c r="BY348" s="116"/>
      <c r="BZ348" s="116"/>
      <c r="CA348" s="116"/>
      <c r="CB348" s="116"/>
      <c r="CC348" s="116"/>
      <c r="CD348" s="145">
        <v>43503.0</v>
      </c>
      <c r="CE348" s="50">
        <v>1.0</v>
      </c>
      <c r="CF348" s="50" t="s">
        <v>15555</v>
      </c>
      <c r="CG348" s="117">
        <v>6403.0</v>
      </c>
      <c r="CH348" s="50" t="s">
        <v>18990</v>
      </c>
      <c r="CI348" s="50" t="s">
        <v>18991</v>
      </c>
      <c r="CJ348" s="117">
        <v>347.0</v>
      </c>
    </row>
    <row r="349">
      <c r="A349" s="50" t="s">
        <v>18993</v>
      </c>
      <c r="B349" s="50" t="s">
        <v>6876</v>
      </c>
      <c r="C349" s="50" t="s">
        <v>6877</v>
      </c>
      <c r="D349" s="50" t="s">
        <v>11623</v>
      </c>
      <c r="E349" s="50" t="s">
        <v>18994</v>
      </c>
      <c r="F349" s="50">
        <v>33.0</v>
      </c>
      <c r="G349" s="50">
        <v>1.0</v>
      </c>
      <c r="H349" s="50">
        <v>97.0</v>
      </c>
      <c r="I349" s="116"/>
      <c r="J349" s="116"/>
      <c r="K349" s="50" t="s">
        <v>15565</v>
      </c>
      <c r="L349" s="50" t="s">
        <v>15565</v>
      </c>
      <c r="M349" s="50" t="s">
        <v>14425</v>
      </c>
      <c r="N349" s="50" t="s">
        <v>14419</v>
      </c>
      <c r="O349" s="50" t="s">
        <v>18735</v>
      </c>
      <c r="P349" s="116"/>
      <c r="Q349" s="116"/>
      <c r="R349" s="116"/>
      <c r="S349" s="116"/>
      <c r="T349" s="116"/>
      <c r="U349" s="116"/>
      <c r="V349" s="116"/>
      <c r="W349" s="116"/>
      <c r="X349" s="116"/>
      <c r="Y349" s="116"/>
      <c r="Z349" s="116"/>
      <c r="AA349" s="116"/>
      <c r="AB349" s="116"/>
      <c r="AC349" s="116"/>
      <c r="AD349" s="116"/>
      <c r="AE349" s="116"/>
      <c r="AF349" s="116"/>
      <c r="AG349" s="116"/>
      <c r="AH349" s="50">
        <v>7.0</v>
      </c>
      <c r="AI349" s="50">
        <v>1000.0</v>
      </c>
      <c r="AJ349" s="50">
        <v>3.0</v>
      </c>
      <c r="AK349" s="50">
        <v>147.0</v>
      </c>
      <c r="AL349" s="116"/>
      <c r="AM349" s="116"/>
      <c r="AN349" s="116"/>
      <c r="AO349" s="116"/>
      <c r="AP349" s="116"/>
      <c r="AQ349" s="116"/>
      <c r="AR349" s="116"/>
      <c r="AS349" s="116"/>
      <c r="AT349" s="116"/>
      <c r="AU349" s="50">
        <v>0.0</v>
      </c>
      <c r="AV349" s="116"/>
      <c r="AW349" s="116"/>
      <c r="AX349" s="116"/>
      <c r="AY349" s="116"/>
      <c r="AZ349" s="116"/>
      <c r="BA349" s="116"/>
      <c r="BB349" s="116"/>
      <c r="BC349" s="116"/>
      <c r="BD349" s="116"/>
      <c r="BE349" s="116"/>
      <c r="BF349" s="116"/>
      <c r="BG349" s="116"/>
      <c r="BH349" s="116"/>
      <c r="BI349" s="116"/>
      <c r="BJ349" s="116"/>
      <c r="BK349" s="116"/>
      <c r="BL349" s="116"/>
      <c r="BM349" s="116"/>
      <c r="BN349" s="116"/>
      <c r="BO349" s="116"/>
      <c r="BP349" s="116"/>
      <c r="BQ349" s="116"/>
      <c r="BR349" s="116"/>
      <c r="BS349" s="116"/>
      <c r="BT349" s="116"/>
      <c r="BU349" s="116"/>
      <c r="BV349" s="116"/>
      <c r="BW349" s="116"/>
      <c r="BX349" s="116"/>
      <c r="BY349" s="116"/>
      <c r="BZ349" s="116"/>
      <c r="CA349" s="116"/>
      <c r="CB349" s="116"/>
      <c r="CC349" s="116"/>
      <c r="CD349" s="145">
        <v>43503.0</v>
      </c>
      <c r="CE349" s="50">
        <v>1.0</v>
      </c>
      <c r="CF349" s="50" t="s">
        <v>15555</v>
      </c>
      <c r="CG349" s="117">
        <v>6404.0</v>
      </c>
      <c r="CH349" s="50" t="s">
        <v>19008</v>
      </c>
      <c r="CI349" s="50" t="s">
        <v>19009</v>
      </c>
      <c r="CJ349" s="117">
        <v>348.0</v>
      </c>
    </row>
    <row r="350">
      <c r="A350" s="74" t="s">
        <v>19010</v>
      </c>
      <c r="B350" s="74" t="s">
        <v>6876</v>
      </c>
      <c r="C350" s="74" t="s">
        <v>6877</v>
      </c>
      <c r="D350" s="74" t="s">
        <v>11623</v>
      </c>
      <c r="E350" s="74" t="s">
        <v>19013</v>
      </c>
      <c r="F350" s="74">
        <v>59.0</v>
      </c>
      <c r="G350" s="74">
        <v>1.0</v>
      </c>
      <c r="H350" s="74">
        <v>11.0</v>
      </c>
      <c r="I350" s="119"/>
      <c r="J350" s="119"/>
      <c r="K350" s="74" t="s">
        <v>1860</v>
      </c>
      <c r="L350" s="74" t="s">
        <v>1860</v>
      </c>
      <c r="M350" s="74" t="s">
        <v>19017</v>
      </c>
      <c r="N350" s="74" t="s">
        <v>19018</v>
      </c>
      <c r="O350" s="74" t="s">
        <v>19019</v>
      </c>
      <c r="P350" s="74">
        <v>4.0</v>
      </c>
      <c r="Q350" s="119"/>
      <c r="R350" s="119"/>
      <c r="S350" s="74">
        <v>7.0</v>
      </c>
      <c r="T350" s="74">
        <v>1000.0</v>
      </c>
      <c r="U350" s="74">
        <v>1.0</v>
      </c>
      <c r="V350" s="119"/>
      <c r="W350" s="74">
        <v>7.0</v>
      </c>
      <c r="X350" s="74">
        <v>100.0</v>
      </c>
      <c r="Y350" s="74">
        <v>3.0</v>
      </c>
      <c r="Z350" s="74">
        <v>49.0</v>
      </c>
      <c r="AA350" s="74">
        <v>1.0</v>
      </c>
      <c r="AB350" s="74">
        <v>4.0</v>
      </c>
      <c r="AC350" s="74">
        <v>1000.0</v>
      </c>
      <c r="AD350" s="74">
        <v>3.0</v>
      </c>
      <c r="AE350" s="74">
        <v>2.0</v>
      </c>
      <c r="AF350" s="119"/>
      <c r="AG350" s="119"/>
      <c r="AH350" s="74">
        <v>7.0</v>
      </c>
      <c r="AI350" s="74">
        <v>5000.0</v>
      </c>
      <c r="AJ350" s="74">
        <v>3.0</v>
      </c>
      <c r="AK350" s="74">
        <v>40.0</v>
      </c>
      <c r="AL350" s="74">
        <v>7.0</v>
      </c>
      <c r="AM350" s="74">
        <v>1000.0</v>
      </c>
      <c r="AN350" s="74">
        <v>3.0</v>
      </c>
      <c r="AO350" s="74">
        <v>0.0</v>
      </c>
      <c r="AP350" s="74">
        <v>1.0</v>
      </c>
      <c r="AQ350" s="74">
        <v>7.0</v>
      </c>
      <c r="AR350" s="74">
        <v>100.0</v>
      </c>
      <c r="AS350" s="74">
        <v>3.0</v>
      </c>
      <c r="AT350" s="74">
        <v>0.0</v>
      </c>
      <c r="AU350" s="74">
        <v>0.0</v>
      </c>
      <c r="AV350" s="119"/>
      <c r="AW350" s="119"/>
      <c r="AX350" s="119"/>
      <c r="AY350" s="119"/>
      <c r="AZ350" s="119"/>
      <c r="BA350" s="119"/>
      <c r="BB350" s="119"/>
      <c r="BC350" s="119"/>
      <c r="BD350" s="119"/>
      <c r="BE350" s="119"/>
      <c r="BF350" s="119"/>
      <c r="BG350" s="119"/>
      <c r="BH350" s="119"/>
      <c r="BI350" s="119"/>
      <c r="BJ350" s="119"/>
      <c r="BK350" s="119"/>
      <c r="BL350" s="119"/>
      <c r="BM350" s="119"/>
      <c r="BN350" s="119"/>
      <c r="BO350" s="119"/>
      <c r="BP350" s="119"/>
      <c r="BQ350" s="119"/>
      <c r="BR350" s="119"/>
      <c r="BS350" s="119"/>
      <c r="BT350" s="119"/>
      <c r="BU350" s="119"/>
      <c r="BV350" s="119"/>
      <c r="BW350" s="119"/>
      <c r="BX350" s="119"/>
      <c r="BY350" s="119"/>
      <c r="BZ350" s="119"/>
      <c r="CA350" s="119"/>
      <c r="CB350" s="119"/>
      <c r="CC350" s="74" t="s">
        <v>18350</v>
      </c>
      <c r="CD350" s="148">
        <v>43503.0</v>
      </c>
      <c r="CE350" s="74">
        <v>1.0</v>
      </c>
      <c r="CF350" s="74" t="s">
        <v>15555</v>
      </c>
      <c r="CG350" s="120">
        <v>6613.0</v>
      </c>
      <c r="CH350" s="74" t="s">
        <v>19042</v>
      </c>
      <c r="CI350" s="74" t="s">
        <v>19044</v>
      </c>
      <c r="CJ350" s="120">
        <v>349.0</v>
      </c>
    </row>
    <row r="351">
      <c r="A351" s="74" t="s">
        <v>19013</v>
      </c>
      <c r="B351" s="74" t="s">
        <v>6876</v>
      </c>
      <c r="C351" s="74" t="s">
        <v>6877</v>
      </c>
      <c r="D351" s="74" t="s">
        <v>11623</v>
      </c>
      <c r="E351" s="74" t="s">
        <v>19046</v>
      </c>
      <c r="F351" s="74">
        <v>59.0</v>
      </c>
      <c r="G351" s="74">
        <v>1.0</v>
      </c>
      <c r="H351" s="74">
        <v>11.0</v>
      </c>
      <c r="I351" s="119"/>
      <c r="J351" s="119"/>
      <c r="K351" s="74" t="s">
        <v>1863</v>
      </c>
      <c r="L351" s="74" t="s">
        <v>1863</v>
      </c>
      <c r="M351" s="74" t="s">
        <v>19017</v>
      </c>
      <c r="N351" s="74" t="s">
        <v>19018</v>
      </c>
      <c r="O351" s="74" t="s">
        <v>19019</v>
      </c>
      <c r="P351" s="74">
        <v>4.0</v>
      </c>
      <c r="Q351" s="119"/>
      <c r="R351" s="119"/>
      <c r="S351" s="74">
        <v>7.0</v>
      </c>
      <c r="T351" s="74">
        <v>1000.0</v>
      </c>
      <c r="U351" s="74">
        <v>3.0</v>
      </c>
      <c r="V351" s="74">
        <v>0.0</v>
      </c>
      <c r="W351" s="74">
        <v>7.0</v>
      </c>
      <c r="X351" s="74">
        <v>100.0</v>
      </c>
      <c r="Y351" s="74">
        <v>1.0</v>
      </c>
      <c r="Z351" s="119"/>
      <c r="AA351" s="74">
        <v>1.0</v>
      </c>
      <c r="AB351" s="74">
        <v>4.0</v>
      </c>
      <c r="AC351" s="74">
        <v>1000.0</v>
      </c>
      <c r="AD351" s="74">
        <v>3.0</v>
      </c>
      <c r="AE351" s="74">
        <v>38.0</v>
      </c>
      <c r="AF351" s="119"/>
      <c r="AG351" s="119"/>
      <c r="AH351" s="74">
        <v>7.0</v>
      </c>
      <c r="AI351" s="74">
        <v>5000.0</v>
      </c>
      <c r="AJ351" s="74">
        <v>3.0</v>
      </c>
      <c r="AK351" s="74">
        <v>7.0</v>
      </c>
      <c r="AL351" s="74">
        <v>7.0</v>
      </c>
      <c r="AM351" s="74">
        <v>1000.0</v>
      </c>
      <c r="AN351" s="74">
        <v>3.0</v>
      </c>
      <c r="AO351" s="74">
        <v>0.0</v>
      </c>
      <c r="AP351" s="74">
        <v>1.0</v>
      </c>
      <c r="AQ351" s="74">
        <v>7.0</v>
      </c>
      <c r="AR351" s="74">
        <v>100.0</v>
      </c>
      <c r="AS351" s="74">
        <v>3.0</v>
      </c>
      <c r="AT351" s="74">
        <v>0.0</v>
      </c>
      <c r="AU351" s="74">
        <v>0.0</v>
      </c>
      <c r="AV351" s="119"/>
      <c r="AW351" s="119"/>
      <c r="AX351" s="119"/>
      <c r="AY351" s="119"/>
      <c r="AZ351" s="119"/>
      <c r="BA351" s="119"/>
      <c r="BB351" s="119"/>
      <c r="BC351" s="119"/>
      <c r="BD351" s="119"/>
      <c r="BE351" s="119"/>
      <c r="BF351" s="119"/>
      <c r="BG351" s="119"/>
      <c r="BH351" s="119"/>
      <c r="BI351" s="119"/>
      <c r="BJ351" s="119"/>
      <c r="BK351" s="119"/>
      <c r="BL351" s="119"/>
      <c r="BM351" s="119"/>
      <c r="BN351" s="119"/>
      <c r="BO351" s="119"/>
      <c r="BP351" s="119"/>
      <c r="BQ351" s="119"/>
      <c r="BR351" s="119"/>
      <c r="BS351" s="119"/>
      <c r="BT351" s="119"/>
      <c r="BU351" s="119"/>
      <c r="BV351" s="119"/>
      <c r="BW351" s="119"/>
      <c r="BX351" s="119"/>
      <c r="BY351" s="119"/>
      <c r="BZ351" s="119"/>
      <c r="CA351" s="119"/>
      <c r="CB351" s="119"/>
      <c r="CC351" s="74" t="s">
        <v>19060</v>
      </c>
      <c r="CD351" s="148">
        <v>43503.0</v>
      </c>
      <c r="CE351" s="74">
        <v>1.0</v>
      </c>
      <c r="CF351" s="74" t="s">
        <v>15555</v>
      </c>
      <c r="CG351" s="120">
        <v>6614.0</v>
      </c>
      <c r="CH351" s="74" t="s">
        <v>19062</v>
      </c>
      <c r="CI351" s="74" t="s">
        <v>19063</v>
      </c>
      <c r="CJ351" s="120">
        <v>350.0</v>
      </c>
    </row>
    <row r="352">
      <c r="A352" s="74" t="s">
        <v>19066</v>
      </c>
      <c r="B352" s="74" t="s">
        <v>6876</v>
      </c>
      <c r="C352" s="74" t="s">
        <v>6877</v>
      </c>
      <c r="D352" s="74" t="s">
        <v>11623</v>
      </c>
      <c r="E352" s="74" t="s">
        <v>19069</v>
      </c>
      <c r="F352" s="74">
        <v>59.0</v>
      </c>
      <c r="G352" s="74">
        <v>1.0</v>
      </c>
      <c r="H352" s="74">
        <v>11.0</v>
      </c>
      <c r="I352" s="119"/>
      <c r="J352" s="119"/>
      <c r="K352" s="74" t="s">
        <v>1866</v>
      </c>
      <c r="L352" s="74" t="s">
        <v>1866</v>
      </c>
      <c r="M352" s="74" t="s">
        <v>19017</v>
      </c>
      <c r="N352" s="74" t="s">
        <v>19018</v>
      </c>
      <c r="O352" s="74" t="s">
        <v>19019</v>
      </c>
      <c r="P352" s="74">
        <v>4.0</v>
      </c>
      <c r="Q352" s="119"/>
      <c r="R352" s="119"/>
      <c r="S352" s="74">
        <v>7.0</v>
      </c>
      <c r="T352" s="74">
        <v>1000.0</v>
      </c>
      <c r="U352" s="74">
        <v>3.0</v>
      </c>
      <c r="V352" s="74">
        <v>0.0</v>
      </c>
      <c r="W352" s="74">
        <v>7.0</v>
      </c>
      <c r="X352" s="74">
        <v>100.0</v>
      </c>
      <c r="Y352" s="74">
        <v>1.0</v>
      </c>
      <c r="Z352" s="119"/>
      <c r="AA352" s="74">
        <v>1.0</v>
      </c>
      <c r="AB352" s="74">
        <v>4.0</v>
      </c>
      <c r="AC352" s="74">
        <v>1000.0</v>
      </c>
      <c r="AD352" s="74">
        <v>3.0</v>
      </c>
      <c r="AE352" s="74">
        <v>12.0</v>
      </c>
      <c r="AF352" s="119"/>
      <c r="AG352" s="119"/>
      <c r="AH352" s="74">
        <v>7.0</v>
      </c>
      <c r="AI352" s="74">
        <v>5000.0</v>
      </c>
      <c r="AJ352" s="74">
        <v>3.0</v>
      </c>
      <c r="AK352" s="74">
        <v>11.0</v>
      </c>
      <c r="AL352" s="74">
        <v>7.0</v>
      </c>
      <c r="AM352" s="74">
        <v>1000.0</v>
      </c>
      <c r="AN352" s="74">
        <v>3.0</v>
      </c>
      <c r="AO352" s="74">
        <v>1.0</v>
      </c>
      <c r="AP352" s="74">
        <v>1.0</v>
      </c>
      <c r="AQ352" s="74">
        <v>7.0</v>
      </c>
      <c r="AR352" s="74">
        <v>100.0</v>
      </c>
      <c r="AS352" s="74">
        <v>3.0</v>
      </c>
      <c r="AT352" s="74">
        <v>0.0</v>
      </c>
      <c r="AU352" s="74">
        <v>0.0</v>
      </c>
      <c r="AV352" s="119"/>
      <c r="AW352" s="119"/>
      <c r="AX352" s="119"/>
      <c r="AY352" s="119"/>
      <c r="AZ352" s="119"/>
      <c r="BA352" s="119"/>
      <c r="BB352" s="119"/>
      <c r="BC352" s="119"/>
      <c r="BD352" s="119"/>
      <c r="BE352" s="119"/>
      <c r="BF352" s="119"/>
      <c r="BG352" s="119"/>
      <c r="BH352" s="119"/>
      <c r="BI352" s="119"/>
      <c r="BJ352" s="119"/>
      <c r="BK352" s="119"/>
      <c r="BL352" s="119"/>
      <c r="BM352" s="119"/>
      <c r="BN352" s="119"/>
      <c r="BO352" s="119"/>
      <c r="BP352" s="119"/>
      <c r="BQ352" s="119"/>
      <c r="BR352" s="119"/>
      <c r="BS352" s="119"/>
      <c r="BT352" s="119"/>
      <c r="BU352" s="119"/>
      <c r="BV352" s="119"/>
      <c r="BW352" s="119"/>
      <c r="BX352" s="119"/>
      <c r="BY352" s="119"/>
      <c r="BZ352" s="119"/>
      <c r="CA352" s="119"/>
      <c r="CB352" s="119"/>
      <c r="CC352" s="74" t="s">
        <v>19060</v>
      </c>
      <c r="CD352" s="148">
        <v>43503.0</v>
      </c>
      <c r="CE352" s="74">
        <v>1.0</v>
      </c>
      <c r="CF352" s="74" t="s">
        <v>15555</v>
      </c>
      <c r="CG352" s="120">
        <v>6615.0</v>
      </c>
      <c r="CH352" s="74" t="s">
        <v>19081</v>
      </c>
      <c r="CI352" s="74" t="s">
        <v>19082</v>
      </c>
      <c r="CJ352" s="120">
        <v>351.0</v>
      </c>
    </row>
    <row r="353">
      <c r="A353" s="74" t="s">
        <v>19069</v>
      </c>
      <c r="B353" s="74" t="s">
        <v>6876</v>
      </c>
      <c r="C353" s="74" t="s">
        <v>6877</v>
      </c>
      <c r="D353" s="74" t="s">
        <v>11623</v>
      </c>
      <c r="E353" s="74" t="s">
        <v>19086</v>
      </c>
      <c r="F353" s="74">
        <v>59.0</v>
      </c>
      <c r="G353" s="74">
        <v>1.0</v>
      </c>
      <c r="H353" s="74">
        <v>11.0</v>
      </c>
      <c r="I353" s="119"/>
      <c r="J353" s="119"/>
      <c r="K353" s="74" t="s">
        <v>1869</v>
      </c>
      <c r="L353" s="74" t="s">
        <v>1869</v>
      </c>
      <c r="M353" s="74" t="s">
        <v>19017</v>
      </c>
      <c r="N353" s="74" t="s">
        <v>19018</v>
      </c>
      <c r="O353" s="74" t="s">
        <v>19019</v>
      </c>
      <c r="P353" s="74">
        <v>4.0</v>
      </c>
      <c r="Q353" s="119"/>
      <c r="R353" s="119"/>
      <c r="S353" s="74">
        <v>7.0</v>
      </c>
      <c r="T353" s="74">
        <v>1000.0</v>
      </c>
      <c r="U353" s="74">
        <v>3.0</v>
      </c>
      <c r="V353" s="74">
        <v>0.0</v>
      </c>
      <c r="W353" s="74">
        <v>7.0</v>
      </c>
      <c r="X353" s="74">
        <v>100.0</v>
      </c>
      <c r="Y353" s="74">
        <v>1.0</v>
      </c>
      <c r="Z353" s="119"/>
      <c r="AA353" s="74">
        <v>1.0</v>
      </c>
      <c r="AB353" s="74">
        <v>4.0</v>
      </c>
      <c r="AC353" s="74">
        <v>1000.0</v>
      </c>
      <c r="AD353" s="74">
        <v>3.0</v>
      </c>
      <c r="AE353" s="74">
        <v>42.0</v>
      </c>
      <c r="AF353" s="119"/>
      <c r="AG353" s="119"/>
      <c r="AH353" s="74">
        <v>7.0</v>
      </c>
      <c r="AI353" s="74">
        <v>5000.0</v>
      </c>
      <c r="AJ353" s="74">
        <v>3.0</v>
      </c>
      <c r="AK353" s="74">
        <v>15.0</v>
      </c>
      <c r="AL353" s="74">
        <v>7.0</v>
      </c>
      <c r="AM353" s="74">
        <v>1000.0</v>
      </c>
      <c r="AN353" s="74">
        <v>3.0</v>
      </c>
      <c r="AO353" s="74">
        <v>1.0</v>
      </c>
      <c r="AP353" s="74">
        <v>1.0</v>
      </c>
      <c r="AQ353" s="74">
        <v>7.0</v>
      </c>
      <c r="AR353" s="74">
        <v>100.0</v>
      </c>
      <c r="AS353" s="74">
        <v>3.0</v>
      </c>
      <c r="AT353" s="74">
        <v>0.0</v>
      </c>
      <c r="AU353" s="74">
        <v>0.0</v>
      </c>
      <c r="AV353" s="119"/>
      <c r="AW353" s="119"/>
      <c r="AX353" s="119"/>
      <c r="AY353" s="119"/>
      <c r="AZ353" s="119"/>
      <c r="BA353" s="119"/>
      <c r="BB353" s="119"/>
      <c r="BC353" s="119"/>
      <c r="BD353" s="119"/>
      <c r="BE353" s="119"/>
      <c r="BF353" s="119"/>
      <c r="BG353" s="119"/>
      <c r="BH353" s="119"/>
      <c r="BI353" s="119"/>
      <c r="BJ353" s="119"/>
      <c r="BK353" s="119"/>
      <c r="BL353" s="119"/>
      <c r="BM353" s="119"/>
      <c r="BN353" s="119"/>
      <c r="BO353" s="119"/>
      <c r="BP353" s="119"/>
      <c r="BQ353" s="119"/>
      <c r="BR353" s="119"/>
      <c r="BS353" s="119"/>
      <c r="BT353" s="119"/>
      <c r="BU353" s="119"/>
      <c r="BV353" s="119"/>
      <c r="BW353" s="119"/>
      <c r="BX353" s="119"/>
      <c r="BY353" s="119"/>
      <c r="BZ353" s="119"/>
      <c r="CA353" s="119"/>
      <c r="CB353" s="119"/>
      <c r="CC353" s="74" t="s">
        <v>17499</v>
      </c>
      <c r="CD353" s="148">
        <v>43503.0</v>
      </c>
      <c r="CE353" s="74">
        <v>1.0</v>
      </c>
      <c r="CF353" s="74" t="s">
        <v>15555</v>
      </c>
      <c r="CG353" s="120">
        <v>6616.0</v>
      </c>
      <c r="CH353" s="74" t="s">
        <v>19099</v>
      </c>
      <c r="CI353" s="74" t="s">
        <v>19101</v>
      </c>
      <c r="CJ353" s="120">
        <v>352.0</v>
      </c>
    </row>
    <row r="354">
      <c r="A354" s="74" t="s">
        <v>19086</v>
      </c>
      <c r="B354" s="74" t="s">
        <v>6876</v>
      </c>
      <c r="C354" s="74" t="s">
        <v>6877</v>
      </c>
      <c r="D354" s="74" t="s">
        <v>11623</v>
      </c>
      <c r="E354" s="74" t="s">
        <v>19103</v>
      </c>
      <c r="F354" s="74">
        <v>58.0</v>
      </c>
      <c r="G354" s="74">
        <v>1.0</v>
      </c>
      <c r="H354" s="74">
        <v>11.0</v>
      </c>
      <c r="I354" s="119"/>
      <c r="J354" s="119"/>
      <c r="K354" s="74" t="s">
        <v>1872</v>
      </c>
      <c r="L354" s="74" t="s">
        <v>1872</v>
      </c>
      <c r="M354" s="74" t="s">
        <v>19017</v>
      </c>
      <c r="N354" s="74" t="s">
        <v>19018</v>
      </c>
      <c r="O354" s="74" t="s">
        <v>19019</v>
      </c>
      <c r="P354" s="74">
        <v>4.0</v>
      </c>
      <c r="Q354" s="119"/>
      <c r="R354" s="119"/>
      <c r="S354" s="74">
        <v>7.0</v>
      </c>
      <c r="T354" s="74">
        <v>1000.0</v>
      </c>
      <c r="U354" s="74">
        <v>1.0</v>
      </c>
      <c r="V354" s="119"/>
      <c r="W354" s="74">
        <v>7.0</v>
      </c>
      <c r="X354" s="74">
        <v>100.0</v>
      </c>
      <c r="Y354" s="74">
        <v>3.0</v>
      </c>
      <c r="Z354" s="74">
        <v>97.0</v>
      </c>
      <c r="AA354" s="74">
        <v>1.0</v>
      </c>
      <c r="AB354" s="74">
        <v>4.0</v>
      </c>
      <c r="AC354" s="74">
        <v>1000.0</v>
      </c>
      <c r="AD354" s="74">
        <v>3.0</v>
      </c>
      <c r="AE354" s="74">
        <v>3.0</v>
      </c>
      <c r="AF354" s="119"/>
      <c r="AG354" s="119"/>
      <c r="AH354" s="74">
        <v>7.0</v>
      </c>
      <c r="AI354" s="74">
        <v>5000.0</v>
      </c>
      <c r="AJ354" s="74">
        <v>3.0</v>
      </c>
      <c r="AK354" s="74">
        <v>0.0</v>
      </c>
      <c r="AL354" s="74">
        <v>7.0</v>
      </c>
      <c r="AM354" s="74">
        <v>1000.0</v>
      </c>
      <c r="AN354" s="74">
        <v>3.0</v>
      </c>
      <c r="AO354" s="74">
        <v>0.0</v>
      </c>
      <c r="AP354" s="74">
        <v>1.0</v>
      </c>
      <c r="AQ354" s="74">
        <v>7.0</v>
      </c>
      <c r="AR354" s="74">
        <v>100.0</v>
      </c>
      <c r="AS354" s="74">
        <v>3.0</v>
      </c>
      <c r="AT354" s="74">
        <v>0.0</v>
      </c>
      <c r="AU354" s="74">
        <v>0.0</v>
      </c>
      <c r="AV354" s="119"/>
      <c r="AW354" s="119"/>
      <c r="AX354" s="119"/>
      <c r="AY354" s="119"/>
      <c r="AZ354" s="119"/>
      <c r="BA354" s="119"/>
      <c r="BB354" s="119"/>
      <c r="BC354" s="119"/>
      <c r="BD354" s="119"/>
      <c r="BE354" s="119"/>
      <c r="BF354" s="119"/>
      <c r="BG354" s="119"/>
      <c r="BH354" s="119"/>
      <c r="BI354" s="119"/>
      <c r="BJ354" s="119"/>
      <c r="BK354" s="119"/>
      <c r="BL354" s="119"/>
      <c r="BM354" s="119"/>
      <c r="BN354" s="119"/>
      <c r="BO354" s="119"/>
      <c r="BP354" s="119"/>
      <c r="BQ354" s="119"/>
      <c r="BR354" s="119"/>
      <c r="BS354" s="119"/>
      <c r="BT354" s="119"/>
      <c r="BU354" s="119"/>
      <c r="BV354" s="119"/>
      <c r="BW354" s="119"/>
      <c r="BX354" s="119"/>
      <c r="BY354" s="119"/>
      <c r="BZ354" s="119"/>
      <c r="CA354" s="119"/>
      <c r="CB354" s="119"/>
      <c r="CC354" s="74" t="s">
        <v>16851</v>
      </c>
      <c r="CD354" s="148">
        <v>43503.0</v>
      </c>
      <c r="CE354" s="74">
        <v>1.0</v>
      </c>
      <c r="CF354" s="74" t="s">
        <v>15555</v>
      </c>
      <c r="CG354" s="120">
        <v>6617.0</v>
      </c>
      <c r="CH354" s="74" t="s">
        <v>19124</v>
      </c>
      <c r="CI354" s="74" t="s">
        <v>19125</v>
      </c>
      <c r="CJ354" s="120">
        <v>353.0</v>
      </c>
    </row>
    <row r="355">
      <c r="A355" s="74" t="s">
        <v>19103</v>
      </c>
      <c r="B355" s="74" t="s">
        <v>6876</v>
      </c>
      <c r="C355" s="74" t="s">
        <v>6877</v>
      </c>
      <c r="D355" s="74" t="s">
        <v>11623</v>
      </c>
      <c r="E355" s="74" t="s">
        <v>19127</v>
      </c>
      <c r="F355" s="74">
        <v>59.0</v>
      </c>
      <c r="G355" s="74">
        <v>1.0</v>
      </c>
      <c r="H355" s="74">
        <v>11.0</v>
      </c>
      <c r="I355" s="119"/>
      <c r="J355" s="119"/>
      <c r="K355" s="74" t="s">
        <v>1882</v>
      </c>
      <c r="L355" s="74" t="s">
        <v>1882</v>
      </c>
      <c r="M355" s="74" t="s">
        <v>19017</v>
      </c>
      <c r="N355" s="74" t="s">
        <v>19018</v>
      </c>
      <c r="O355" s="74" t="s">
        <v>19019</v>
      </c>
      <c r="P355" s="74">
        <v>4.0</v>
      </c>
      <c r="Q355" s="119"/>
      <c r="R355" s="119"/>
      <c r="S355" s="74">
        <v>7.0</v>
      </c>
      <c r="T355" s="74">
        <v>1000.0</v>
      </c>
      <c r="U355" s="74">
        <v>1.0</v>
      </c>
      <c r="V355" s="119"/>
      <c r="W355" s="74">
        <v>7.0</v>
      </c>
      <c r="X355" s="74">
        <v>100.0</v>
      </c>
      <c r="Y355" s="74">
        <v>3.0</v>
      </c>
      <c r="Z355" s="74">
        <v>65.0</v>
      </c>
      <c r="AA355" s="74">
        <v>1.0</v>
      </c>
      <c r="AB355" s="74">
        <v>4.0</v>
      </c>
      <c r="AC355" s="74">
        <v>1000.0</v>
      </c>
      <c r="AD355" s="74">
        <v>3.0</v>
      </c>
      <c r="AE355" s="74">
        <v>16.0</v>
      </c>
      <c r="AF355" s="119"/>
      <c r="AG355" s="119"/>
      <c r="AH355" s="74">
        <v>7.0</v>
      </c>
      <c r="AI355" s="74">
        <v>5000.0</v>
      </c>
      <c r="AJ355" s="74">
        <v>3.0</v>
      </c>
      <c r="AK355" s="74">
        <v>65.0</v>
      </c>
      <c r="AL355" s="74">
        <v>7.0</v>
      </c>
      <c r="AM355" s="74">
        <v>1000.0</v>
      </c>
      <c r="AN355" s="74">
        <v>3.0</v>
      </c>
      <c r="AO355" s="74">
        <v>19.0</v>
      </c>
      <c r="AP355" s="74">
        <v>1.0</v>
      </c>
      <c r="AQ355" s="74">
        <v>7.0</v>
      </c>
      <c r="AR355" s="74">
        <v>100.0</v>
      </c>
      <c r="AS355" s="74">
        <v>3.0</v>
      </c>
      <c r="AT355" s="74">
        <v>1.0</v>
      </c>
      <c r="AU355" s="74">
        <v>0.0</v>
      </c>
      <c r="AV355" s="119"/>
      <c r="AW355" s="119"/>
      <c r="AX355" s="119"/>
      <c r="AY355" s="119"/>
      <c r="AZ355" s="119"/>
      <c r="BA355" s="119"/>
      <c r="BB355" s="119"/>
      <c r="BC355" s="119"/>
      <c r="BD355" s="119"/>
      <c r="BE355" s="119"/>
      <c r="BF355" s="119"/>
      <c r="BG355" s="119"/>
      <c r="BH355" s="119"/>
      <c r="BI355" s="119"/>
      <c r="BJ355" s="119"/>
      <c r="BK355" s="119"/>
      <c r="BL355" s="119"/>
      <c r="BM355" s="119"/>
      <c r="BN355" s="119"/>
      <c r="BO355" s="119"/>
      <c r="BP355" s="119"/>
      <c r="BQ355" s="119"/>
      <c r="BR355" s="119"/>
      <c r="BS355" s="119"/>
      <c r="BT355" s="119"/>
      <c r="BU355" s="119"/>
      <c r="BV355" s="119"/>
      <c r="BW355" s="119"/>
      <c r="BX355" s="119"/>
      <c r="BY355" s="119"/>
      <c r="BZ355" s="119"/>
      <c r="CA355" s="119"/>
      <c r="CB355" s="119"/>
      <c r="CC355" s="74" t="s">
        <v>19144</v>
      </c>
      <c r="CD355" s="148">
        <v>43503.0</v>
      </c>
      <c r="CE355" s="74">
        <v>1.0</v>
      </c>
      <c r="CF355" s="74" t="s">
        <v>15555</v>
      </c>
      <c r="CG355" s="120">
        <v>6618.0</v>
      </c>
      <c r="CH355" s="74" t="s">
        <v>19145</v>
      </c>
      <c r="CI355" s="74" t="s">
        <v>19147</v>
      </c>
      <c r="CJ355" s="120">
        <v>354.0</v>
      </c>
    </row>
    <row r="356">
      <c r="A356" s="74" t="s">
        <v>19152</v>
      </c>
      <c r="B356" s="74" t="s">
        <v>6876</v>
      </c>
      <c r="C356" s="74" t="s">
        <v>6877</v>
      </c>
      <c r="D356" s="74" t="s">
        <v>11623</v>
      </c>
      <c r="E356" s="74" t="s">
        <v>19155</v>
      </c>
      <c r="F356" s="74">
        <v>59.0</v>
      </c>
      <c r="G356" s="74">
        <v>1.0</v>
      </c>
      <c r="H356" s="74">
        <v>11.0</v>
      </c>
      <c r="I356" s="119"/>
      <c r="J356" s="119"/>
      <c r="K356" s="74" t="s">
        <v>1884</v>
      </c>
      <c r="L356" s="74" t="s">
        <v>1884</v>
      </c>
      <c r="M356" s="74" t="s">
        <v>19017</v>
      </c>
      <c r="N356" s="74" t="s">
        <v>19018</v>
      </c>
      <c r="O356" s="74" t="s">
        <v>19019</v>
      </c>
      <c r="P356" s="74">
        <v>4.0</v>
      </c>
      <c r="Q356" s="119"/>
      <c r="R356" s="119"/>
      <c r="S356" s="74">
        <v>7.0</v>
      </c>
      <c r="T356" s="74">
        <v>1000.0</v>
      </c>
      <c r="U356" s="74">
        <v>1.0</v>
      </c>
      <c r="V356" s="119"/>
      <c r="W356" s="74">
        <v>7.0</v>
      </c>
      <c r="X356" s="74">
        <v>100.0</v>
      </c>
      <c r="Y356" s="74">
        <v>1.0</v>
      </c>
      <c r="Z356" s="119"/>
      <c r="AA356" s="74">
        <v>1.0</v>
      </c>
      <c r="AB356" s="74">
        <v>4.0</v>
      </c>
      <c r="AC356" s="74">
        <v>1000.0</v>
      </c>
      <c r="AD356" s="74">
        <v>3.0</v>
      </c>
      <c r="AE356" s="74">
        <v>9.0</v>
      </c>
      <c r="AF356" s="119"/>
      <c r="AG356" s="119"/>
      <c r="AH356" s="74">
        <v>7.0</v>
      </c>
      <c r="AI356" s="74">
        <v>5000.0</v>
      </c>
      <c r="AJ356" s="74">
        <v>3.0</v>
      </c>
      <c r="AK356" s="74">
        <v>37.0</v>
      </c>
      <c r="AL356" s="74">
        <v>7.0</v>
      </c>
      <c r="AM356" s="74">
        <v>1000.0</v>
      </c>
      <c r="AN356" s="74">
        <v>3.0</v>
      </c>
      <c r="AO356" s="74">
        <v>16.0</v>
      </c>
      <c r="AP356" s="74">
        <v>1.0</v>
      </c>
      <c r="AQ356" s="74">
        <v>7.0</v>
      </c>
      <c r="AR356" s="74">
        <v>100.0</v>
      </c>
      <c r="AS356" s="74">
        <v>3.0</v>
      </c>
      <c r="AT356" s="74">
        <v>0.0</v>
      </c>
      <c r="AU356" s="74">
        <v>0.0</v>
      </c>
      <c r="AV356" s="119"/>
      <c r="AW356" s="119"/>
      <c r="AX356" s="119"/>
      <c r="AY356" s="119"/>
      <c r="AZ356" s="119"/>
      <c r="BA356" s="119"/>
      <c r="BB356" s="119"/>
      <c r="BC356" s="119"/>
      <c r="BD356" s="119"/>
      <c r="BE356" s="119"/>
      <c r="BF356" s="119"/>
      <c r="BG356" s="119"/>
      <c r="BH356" s="119"/>
      <c r="BI356" s="119"/>
      <c r="BJ356" s="119"/>
      <c r="BK356" s="119"/>
      <c r="BL356" s="119"/>
      <c r="BM356" s="119"/>
      <c r="BN356" s="119"/>
      <c r="BO356" s="119"/>
      <c r="BP356" s="119"/>
      <c r="BQ356" s="119"/>
      <c r="BR356" s="119"/>
      <c r="BS356" s="119"/>
      <c r="BT356" s="119"/>
      <c r="BU356" s="119"/>
      <c r="BV356" s="119"/>
      <c r="BW356" s="119"/>
      <c r="BX356" s="119"/>
      <c r="BY356" s="119"/>
      <c r="BZ356" s="119"/>
      <c r="CA356" s="119"/>
      <c r="CB356" s="119"/>
      <c r="CC356" s="74" t="s">
        <v>17121</v>
      </c>
      <c r="CD356" s="148">
        <v>43503.0</v>
      </c>
      <c r="CE356" s="74">
        <v>1.0</v>
      </c>
      <c r="CF356" s="74" t="s">
        <v>15555</v>
      </c>
      <c r="CG356" s="120">
        <v>6619.0</v>
      </c>
      <c r="CH356" s="74" t="s">
        <v>19172</v>
      </c>
      <c r="CI356" s="74" t="s">
        <v>19173</v>
      </c>
      <c r="CJ356" s="120">
        <v>355.0</v>
      </c>
    </row>
    <row r="357">
      <c r="A357" s="74" t="s">
        <v>19155</v>
      </c>
      <c r="B357" s="74" t="s">
        <v>6876</v>
      </c>
      <c r="C357" s="74" t="s">
        <v>6877</v>
      </c>
      <c r="D357" s="74" t="s">
        <v>11623</v>
      </c>
      <c r="E357" s="74" t="s">
        <v>19176</v>
      </c>
      <c r="F357" s="74">
        <v>59.0</v>
      </c>
      <c r="G357" s="74">
        <v>1.0</v>
      </c>
      <c r="H357" s="74">
        <v>11.0</v>
      </c>
      <c r="I357" s="119"/>
      <c r="J357" s="119"/>
      <c r="K357" s="74" t="s">
        <v>1886</v>
      </c>
      <c r="L357" s="74" t="s">
        <v>1886</v>
      </c>
      <c r="M357" s="74" t="s">
        <v>19017</v>
      </c>
      <c r="N357" s="74" t="s">
        <v>19018</v>
      </c>
      <c r="O357" s="74" t="s">
        <v>19180</v>
      </c>
      <c r="P357" s="74">
        <v>4.0</v>
      </c>
      <c r="Q357" s="119"/>
      <c r="R357" s="119"/>
      <c r="S357" s="74">
        <v>7.0</v>
      </c>
      <c r="T357" s="74">
        <v>1000.0</v>
      </c>
      <c r="U357" s="74">
        <v>3.0</v>
      </c>
      <c r="V357" s="74">
        <v>0.0</v>
      </c>
      <c r="W357" s="74">
        <v>7.0</v>
      </c>
      <c r="X357" s="74">
        <v>100.0</v>
      </c>
      <c r="Y357" s="74">
        <v>1.0</v>
      </c>
      <c r="Z357" s="119"/>
      <c r="AA357" s="74">
        <v>1.0</v>
      </c>
      <c r="AB357" s="74">
        <v>4.0</v>
      </c>
      <c r="AC357" s="74">
        <v>1000.0</v>
      </c>
      <c r="AD357" s="74">
        <v>3.0</v>
      </c>
      <c r="AE357" s="74">
        <v>14.0</v>
      </c>
      <c r="AF357" s="119"/>
      <c r="AG357" s="119"/>
      <c r="AH357" s="74">
        <v>7.0</v>
      </c>
      <c r="AI357" s="74">
        <v>5000.0</v>
      </c>
      <c r="AJ357" s="74">
        <v>3.0</v>
      </c>
      <c r="AK357" s="74">
        <v>70.0</v>
      </c>
      <c r="AL357" s="74">
        <v>7.0</v>
      </c>
      <c r="AM357" s="74">
        <v>1000.0</v>
      </c>
      <c r="AN357" s="74">
        <v>3.0</v>
      </c>
      <c r="AO357" s="74">
        <v>0.0</v>
      </c>
      <c r="AP357" s="74">
        <v>1.0</v>
      </c>
      <c r="AQ357" s="74">
        <v>7.0</v>
      </c>
      <c r="AR357" s="74">
        <v>100.0</v>
      </c>
      <c r="AS357" s="74">
        <v>3.0</v>
      </c>
      <c r="AT357" s="74">
        <v>0.0</v>
      </c>
      <c r="AU357" s="74">
        <v>0.0</v>
      </c>
      <c r="AV357" s="119"/>
      <c r="AW357" s="119"/>
      <c r="AX357" s="119"/>
      <c r="AY357" s="119"/>
      <c r="AZ357" s="119"/>
      <c r="BA357" s="119"/>
      <c r="BB357" s="119"/>
      <c r="BC357" s="119"/>
      <c r="BD357" s="119"/>
      <c r="BE357" s="119"/>
      <c r="BF357" s="119"/>
      <c r="BG357" s="119"/>
      <c r="BH357" s="119"/>
      <c r="BI357" s="119"/>
      <c r="BJ357" s="119"/>
      <c r="BK357" s="119"/>
      <c r="BL357" s="119"/>
      <c r="BM357" s="119"/>
      <c r="BN357" s="119"/>
      <c r="BO357" s="119"/>
      <c r="BP357" s="119"/>
      <c r="BQ357" s="119"/>
      <c r="BR357" s="119"/>
      <c r="BS357" s="119"/>
      <c r="BT357" s="119"/>
      <c r="BU357" s="119"/>
      <c r="BV357" s="119"/>
      <c r="BW357" s="119"/>
      <c r="BX357" s="119"/>
      <c r="BY357" s="119"/>
      <c r="BZ357" s="119"/>
      <c r="CA357" s="119"/>
      <c r="CB357" s="119"/>
      <c r="CC357" s="74" t="s">
        <v>17121</v>
      </c>
      <c r="CD357" s="148">
        <v>43503.0</v>
      </c>
      <c r="CE357" s="74">
        <v>1.0</v>
      </c>
      <c r="CF357" s="74" t="s">
        <v>15555</v>
      </c>
      <c r="CG357" s="120">
        <v>6620.0</v>
      </c>
      <c r="CH357" s="74" t="s">
        <v>19193</v>
      </c>
      <c r="CI357" s="74" t="s">
        <v>19195</v>
      </c>
      <c r="CJ357" s="120">
        <v>356.0</v>
      </c>
    </row>
    <row r="358">
      <c r="A358" s="74" t="s">
        <v>19197</v>
      </c>
      <c r="B358" s="74" t="s">
        <v>6876</v>
      </c>
      <c r="C358" s="74" t="s">
        <v>6877</v>
      </c>
      <c r="D358" s="74" t="s">
        <v>11623</v>
      </c>
      <c r="E358" s="74" t="s">
        <v>19199</v>
      </c>
      <c r="F358" s="74">
        <v>59.0</v>
      </c>
      <c r="G358" s="74">
        <v>1.0</v>
      </c>
      <c r="H358" s="74">
        <v>11.0</v>
      </c>
      <c r="I358" s="119"/>
      <c r="J358" s="119"/>
      <c r="K358" s="74" t="s">
        <v>1889</v>
      </c>
      <c r="L358" s="74" t="s">
        <v>1889</v>
      </c>
      <c r="M358" s="74" t="s">
        <v>19017</v>
      </c>
      <c r="N358" s="74" t="s">
        <v>19018</v>
      </c>
      <c r="O358" s="74" t="s">
        <v>19180</v>
      </c>
      <c r="P358" s="74">
        <v>4.0</v>
      </c>
      <c r="Q358" s="119"/>
      <c r="R358" s="119"/>
      <c r="S358" s="74">
        <v>7.0</v>
      </c>
      <c r="T358" s="74">
        <v>1000.0</v>
      </c>
      <c r="U358" s="74">
        <v>3.0</v>
      </c>
      <c r="V358" s="74">
        <v>3.0</v>
      </c>
      <c r="W358" s="74">
        <v>7.0</v>
      </c>
      <c r="X358" s="74">
        <v>100.0</v>
      </c>
      <c r="Y358" s="74">
        <v>3.0</v>
      </c>
      <c r="Z358" s="74">
        <v>0.0</v>
      </c>
      <c r="AA358" s="74">
        <v>1.0</v>
      </c>
      <c r="AB358" s="74">
        <v>4.0</v>
      </c>
      <c r="AC358" s="74">
        <v>1000.0</v>
      </c>
      <c r="AD358" s="74">
        <v>3.0</v>
      </c>
      <c r="AE358" s="74">
        <v>0.0</v>
      </c>
      <c r="AF358" s="119"/>
      <c r="AG358" s="119"/>
      <c r="AH358" s="74">
        <v>7.0</v>
      </c>
      <c r="AI358" s="74">
        <v>5000.0</v>
      </c>
      <c r="AJ358" s="74">
        <v>3.0</v>
      </c>
      <c r="AK358" s="74">
        <v>0.0</v>
      </c>
      <c r="AL358" s="74">
        <v>7.0</v>
      </c>
      <c r="AM358" s="74">
        <v>1000.0</v>
      </c>
      <c r="AN358" s="74">
        <v>3.0</v>
      </c>
      <c r="AO358" s="74">
        <v>0.0</v>
      </c>
      <c r="AP358" s="74">
        <v>1.0</v>
      </c>
      <c r="AQ358" s="74">
        <v>7.0</v>
      </c>
      <c r="AR358" s="74">
        <v>100.0</v>
      </c>
      <c r="AS358" s="74">
        <v>3.0</v>
      </c>
      <c r="AT358" s="74">
        <v>0.0</v>
      </c>
      <c r="AU358" s="74">
        <v>0.0</v>
      </c>
      <c r="AV358" s="119"/>
      <c r="AW358" s="119"/>
      <c r="AX358" s="119"/>
      <c r="AY358" s="119"/>
      <c r="AZ358" s="119"/>
      <c r="BA358" s="119"/>
      <c r="BB358" s="119"/>
      <c r="BC358" s="119"/>
      <c r="BD358" s="119"/>
      <c r="BE358" s="119"/>
      <c r="BF358" s="119"/>
      <c r="BG358" s="119"/>
      <c r="BH358" s="119"/>
      <c r="BI358" s="119"/>
      <c r="BJ358" s="119"/>
      <c r="BK358" s="119"/>
      <c r="BL358" s="119"/>
      <c r="BM358" s="119"/>
      <c r="BN358" s="119"/>
      <c r="BO358" s="119"/>
      <c r="BP358" s="119"/>
      <c r="BQ358" s="119"/>
      <c r="BR358" s="119"/>
      <c r="BS358" s="119"/>
      <c r="BT358" s="119"/>
      <c r="BU358" s="119"/>
      <c r="BV358" s="119"/>
      <c r="BW358" s="119"/>
      <c r="BX358" s="119"/>
      <c r="BY358" s="119"/>
      <c r="BZ358" s="119"/>
      <c r="CA358" s="119"/>
      <c r="CB358" s="119"/>
      <c r="CC358" s="74" t="s">
        <v>16851</v>
      </c>
      <c r="CD358" s="148">
        <v>43503.0</v>
      </c>
      <c r="CE358" s="74">
        <v>1.0</v>
      </c>
      <c r="CF358" s="74" t="s">
        <v>15555</v>
      </c>
      <c r="CG358" s="120">
        <v>6621.0</v>
      </c>
      <c r="CH358" s="74" t="s">
        <v>19215</v>
      </c>
      <c r="CI358" s="74" t="s">
        <v>19216</v>
      </c>
      <c r="CJ358" s="120">
        <v>357.0</v>
      </c>
    </row>
    <row r="359">
      <c r="A359" s="74" t="s">
        <v>19219</v>
      </c>
      <c r="B359" s="74" t="s">
        <v>6876</v>
      </c>
      <c r="C359" s="74" t="s">
        <v>6877</v>
      </c>
      <c r="D359" s="74" t="s">
        <v>11623</v>
      </c>
      <c r="E359" s="74" t="s">
        <v>19220</v>
      </c>
      <c r="F359" s="74">
        <v>59.0</v>
      </c>
      <c r="G359" s="74">
        <v>1.0</v>
      </c>
      <c r="H359" s="74">
        <v>16.0</v>
      </c>
      <c r="I359" s="119"/>
      <c r="J359" s="119"/>
      <c r="K359" s="74" t="s">
        <v>345</v>
      </c>
      <c r="L359" s="74" t="s">
        <v>345</v>
      </c>
      <c r="M359" s="74" t="s">
        <v>19017</v>
      </c>
      <c r="N359" s="74" t="s">
        <v>19018</v>
      </c>
      <c r="O359" s="74" t="s">
        <v>19180</v>
      </c>
      <c r="P359" s="119"/>
      <c r="Q359" s="119"/>
      <c r="R359" s="119"/>
      <c r="S359" s="74">
        <v>7.0</v>
      </c>
      <c r="T359" s="74">
        <v>1000.0</v>
      </c>
      <c r="U359" s="74">
        <v>3.0</v>
      </c>
      <c r="V359" s="74">
        <v>0.0</v>
      </c>
      <c r="W359" s="74">
        <v>7.0</v>
      </c>
      <c r="X359" s="74">
        <v>100.0</v>
      </c>
      <c r="Y359" s="74">
        <v>3.0</v>
      </c>
      <c r="Z359" s="74">
        <v>0.0</v>
      </c>
      <c r="AA359" s="74">
        <v>1.0</v>
      </c>
      <c r="AB359" s="74">
        <v>4.0</v>
      </c>
      <c r="AC359" s="74">
        <v>1000.0</v>
      </c>
      <c r="AD359" s="74">
        <v>3.0</v>
      </c>
      <c r="AE359" s="74">
        <v>9.0</v>
      </c>
      <c r="AF359" s="119"/>
      <c r="AG359" s="119"/>
      <c r="AH359" s="74">
        <v>7.0</v>
      </c>
      <c r="AI359" s="74">
        <v>5000.0</v>
      </c>
      <c r="AJ359" s="74">
        <v>3.0</v>
      </c>
      <c r="AK359" s="74">
        <v>32.0</v>
      </c>
      <c r="AL359" s="74">
        <v>7.0</v>
      </c>
      <c r="AM359" s="74">
        <v>1000.0</v>
      </c>
      <c r="AN359" s="74">
        <v>3.0</v>
      </c>
      <c r="AO359" s="74">
        <v>8.0</v>
      </c>
      <c r="AP359" s="74">
        <v>1.0</v>
      </c>
      <c r="AQ359" s="74">
        <v>7.0</v>
      </c>
      <c r="AR359" s="74">
        <v>100.0</v>
      </c>
      <c r="AS359" s="74">
        <v>3.0</v>
      </c>
      <c r="AT359" s="74">
        <v>0.0</v>
      </c>
      <c r="AU359" s="74">
        <v>0.0</v>
      </c>
      <c r="AV359" s="119"/>
      <c r="AW359" s="119"/>
      <c r="AX359" s="119"/>
      <c r="AY359" s="119"/>
      <c r="AZ359" s="119"/>
      <c r="BA359" s="119"/>
      <c r="BB359" s="119"/>
      <c r="BC359" s="119"/>
      <c r="BD359" s="119"/>
      <c r="BE359" s="119"/>
      <c r="BF359" s="119"/>
      <c r="BG359" s="119"/>
      <c r="BH359" s="119"/>
      <c r="BI359" s="119"/>
      <c r="BJ359" s="119"/>
      <c r="BK359" s="119"/>
      <c r="BL359" s="119"/>
      <c r="BM359" s="119"/>
      <c r="BN359" s="119"/>
      <c r="BO359" s="119"/>
      <c r="BP359" s="119"/>
      <c r="BQ359" s="119"/>
      <c r="BR359" s="119"/>
      <c r="BS359" s="119"/>
      <c r="BT359" s="119"/>
      <c r="BU359" s="119"/>
      <c r="BV359" s="119"/>
      <c r="BW359" s="119"/>
      <c r="BX359" s="119"/>
      <c r="BY359" s="119"/>
      <c r="BZ359" s="119"/>
      <c r="CA359" s="119"/>
      <c r="CB359" s="119"/>
      <c r="CC359" s="74" t="s">
        <v>19239</v>
      </c>
      <c r="CD359" s="148">
        <v>43503.0</v>
      </c>
      <c r="CE359" s="74">
        <v>1.0</v>
      </c>
      <c r="CF359" s="74" t="s">
        <v>15555</v>
      </c>
      <c r="CG359" s="120">
        <v>6622.0</v>
      </c>
      <c r="CH359" s="74" t="s">
        <v>19243</v>
      </c>
      <c r="CI359" s="74" t="s">
        <v>19244</v>
      </c>
      <c r="CJ359" s="120">
        <v>358.0</v>
      </c>
    </row>
    <row r="360">
      <c r="A360" s="74" t="s">
        <v>19220</v>
      </c>
      <c r="B360" s="74" t="s">
        <v>6876</v>
      </c>
      <c r="C360" s="74" t="s">
        <v>6877</v>
      </c>
      <c r="D360" s="74" t="s">
        <v>11623</v>
      </c>
      <c r="E360" s="74" t="s">
        <v>19246</v>
      </c>
      <c r="F360" s="74">
        <v>33.0</v>
      </c>
      <c r="G360" s="74">
        <v>1.0</v>
      </c>
      <c r="H360" s="74">
        <v>97.0</v>
      </c>
      <c r="I360" s="119"/>
      <c r="J360" s="119"/>
      <c r="K360" s="74" t="s">
        <v>15565</v>
      </c>
      <c r="L360" s="74" t="s">
        <v>15565</v>
      </c>
      <c r="M360" s="74" t="s">
        <v>19017</v>
      </c>
      <c r="N360" s="74" t="s">
        <v>19018</v>
      </c>
      <c r="O360" s="74" t="s">
        <v>19180</v>
      </c>
      <c r="P360" s="119"/>
      <c r="Q360" s="119"/>
      <c r="R360" s="119"/>
      <c r="S360" s="74">
        <v>7.0</v>
      </c>
      <c r="T360" s="119"/>
      <c r="U360" s="119"/>
      <c r="V360" s="119"/>
      <c r="W360" s="119"/>
      <c r="X360" s="119"/>
      <c r="Y360" s="119"/>
      <c r="Z360" s="119"/>
      <c r="AA360" s="119"/>
      <c r="AB360" s="119"/>
      <c r="AC360" s="119"/>
      <c r="AD360" s="119"/>
      <c r="AE360" s="119"/>
      <c r="AF360" s="119"/>
      <c r="AG360" s="119"/>
      <c r="AH360" s="74">
        <v>7.0</v>
      </c>
      <c r="AI360" s="74">
        <v>1000.0</v>
      </c>
      <c r="AJ360" s="74">
        <v>3.0</v>
      </c>
      <c r="AK360" s="74">
        <v>137.0</v>
      </c>
      <c r="AL360" s="119"/>
      <c r="AM360" s="119"/>
      <c r="AN360" s="119"/>
      <c r="AO360" s="119"/>
      <c r="AP360" s="119"/>
      <c r="AQ360" s="119"/>
      <c r="AR360" s="119"/>
      <c r="AS360" s="119"/>
      <c r="AT360" s="119"/>
      <c r="AU360" s="74">
        <v>0.0</v>
      </c>
      <c r="AV360" s="119"/>
      <c r="AW360" s="119"/>
      <c r="AX360" s="119"/>
      <c r="AY360" s="119"/>
      <c r="AZ360" s="119"/>
      <c r="BA360" s="119"/>
      <c r="BB360" s="119"/>
      <c r="BC360" s="119"/>
      <c r="BD360" s="119"/>
      <c r="BE360" s="119"/>
      <c r="BF360" s="119"/>
      <c r="BG360" s="119"/>
      <c r="BH360" s="119"/>
      <c r="BI360" s="119"/>
      <c r="BJ360" s="119"/>
      <c r="BK360" s="119"/>
      <c r="BL360" s="119"/>
      <c r="BM360" s="119"/>
      <c r="BN360" s="119"/>
      <c r="BO360" s="119"/>
      <c r="BP360" s="119"/>
      <c r="BQ360" s="119"/>
      <c r="BR360" s="119"/>
      <c r="BS360" s="119"/>
      <c r="BT360" s="119"/>
      <c r="BU360" s="119"/>
      <c r="BV360" s="119"/>
      <c r="BW360" s="119"/>
      <c r="BX360" s="119"/>
      <c r="BY360" s="119"/>
      <c r="BZ360" s="119"/>
      <c r="CA360" s="119"/>
      <c r="CB360" s="119"/>
      <c r="CC360" s="119"/>
      <c r="CD360" s="148">
        <v>43503.0</v>
      </c>
      <c r="CE360" s="74">
        <v>1.0</v>
      </c>
      <c r="CF360" s="74" t="s">
        <v>15555</v>
      </c>
      <c r="CG360" s="120">
        <v>6623.0</v>
      </c>
      <c r="CH360" s="74" t="s">
        <v>19263</v>
      </c>
      <c r="CI360" s="74" t="s">
        <v>19264</v>
      </c>
      <c r="CJ360" s="120">
        <v>359.0</v>
      </c>
    </row>
    <row r="361">
      <c r="A361" s="74" t="s">
        <v>19265</v>
      </c>
      <c r="B361" s="74" t="s">
        <v>6876</v>
      </c>
      <c r="C361" s="74" t="s">
        <v>6877</v>
      </c>
      <c r="D361" s="74" t="s">
        <v>11623</v>
      </c>
      <c r="E361" s="74" t="s">
        <v>19268</v>
      </c>
      <c r="F361" s="74">
        <v>33.0</v>
      </c>
      <c r="G361" s="74">
        <v>1.0</v>
      </c>
      <c r="H361" s="74">
        <v>97.0</v>
      </c>
      <c r="I361" s="119"/>
      <c r="J361" s="119"/>
      <c r="K361" s="74" t="s">
        <v>436</v>
      </c>
      <c r="L361" s="74" t="s">
        <v>436</v>
      </c>
      <c r="M361" s="74" t="s">
        <v>19017</v>
      </c>
      <c r="N361" s="74" t="s">
        <v>19018</v>
      </c>
      <c r="O361" s="74" t="s">
        <v>19180</v>
      </c>
      <c r="P361" s="119"/>
      <c r="Q361" s="119"/>
      <c r="R361" s="119"/>
      <c r="S361" s="74">
        <v>7.0</v>
      </c>
      <c r="T361" s="74">
        <v>1000.0</v>
      </c>
      <c r="U361" s="74">
        <v>3.0</v>
      </c>
      <c r="V361" s="74">
        <v>122.0</v>
      </c>
      <c r="W361" s="119"/>
      <c r="X361" s="119"/>
      <c r="Y361" s="119"/>
      <c r="Z361" s="119"/>
      <c r="AA361" s="119"/>
      <c r="AB361" s="119"/>
      <c r="AC361" s="119"/>
      <c r="AD361" s="119"/>
      <c r="AE361" s="119"/>
      <c r="AF361" s="119"/>
      <c r="AG361" s="119"/>
      <c r="AH361" s="119"/>
      <c r="AI361" s="119"/>
      <c r="AJ361" s="119"/>
      <c r="AK361" s="119"/>
      <c r="AL361" s="119"/>
      <c r="AM361" s="119"/>
      <c r="AN361" s="119"/>
      <c r="AO361" s="119"/>
      <c r="AP361" s="119"/>
      <c r="AQ361" s="119"/>
      <c r="AR361" s="119"/>
      <c r="AS361" s="119"/>
      <c r="AT361" s="119"/>
      <c r="AU361" s="74">
        <v>0.0</v>
      </c>
      <c r="AV361" s="119"/>
      <c r="AW361" s="119"/>
      <c r="AX361" s="119"/>
      <c r="AY361" s="119"/>
      <c r="AZ361" s="119"/>
      <c r="BA361" s="119"/>
      <c r="BB361" s="119"/>
      <c r="BC361" s="119"/>
      <c r="BD361" s="119"/>
      <c r="BE361" s="119"/>
      <c r="BF361" s="119"/>
      <c r="BG361" s="119"/>
      <c r="BH361" s="119"/>
      <c r="BI361" s="119"/>
      <c r="BJ361" s="119"/>
      <c r="BK361" s="119"/>
      <c r="BL361" s="119"/>
      <c r="BM361" s="119"/>
      <c r="BN361" s="119"/>
      <c r="BO361" s="119"/>
      <c r="BP361" s="119"/>
      <c r="BQ361" s="119"/>
      <c r="BR361" s="119"/>
      <c r="BS361" s="119"/>
      <c r="BT361" s="119"/>
      <c r="BU361" s="119"/>
      <c r="BV361" s="119"/>
      <c r="BW361" s="119"/>
      <c r="BX361" s="119"/>
      <c r="BY361" s="119"/>
      <c r="BZ361" s="119"/>
      <c r="CA361" s="119"/>
      <c r="CB361" s="119"/>
      <c r="CC361" s="119"/>
      <c r="CD361" s="148">
        <v>43503.0</v>
      </c>
      <c r="CE361" s="74">
        <v>1.0</v>
      </c>
      <c r="CF361" s="74" t="s">
        <v>15555</v>
      </c>
      <c r="CG361" s="120">
        <v>6624.0</v>
      </c>
      <c r="CH361" s="74" t="s">
        <v>19285</v>
      </c>
      <c r="CI361" s="74" t="s">
        <v>19286</v>
      </c>
      <c r="CJ361" s="120">
        <v>360.0</v>
      </c>
    </row>
    <row r="362">
      <c r="A362" s="74" t="s">
        <v>19268</v>
      </c>
      <c r="B362" s="74" t="s">
        <v>6876</v>
      </c>
      <c r="C362" s="74" t="s">
        <v>6877</v>
      </c>
      <c r="D362" s="74" t="s">
        <v>11623</v>
      </c>
      <c r="E362" s="74" t="s">
        <v>19287</v>
      </c>
      <c r="F362" s="74">
        <v>59.0</v>
      </c>
      <c r="G362" s="74">
        <v>1.0</v>
      </c>
      <c r="H362" s="74">
        <v>11.0</v>
      </c>
      <c r="I362" s="119"/>
      <c r="J362" s="119"/>
      <c r="K362" s="74" t="s">
        <v>1901</v>
      </c>
      <c r="L362" s="74" t="s">
        <v>1901</v>
      </c>
      <c r="M362" s="74" t="s">
        <v>19290</v>
      </c>
      <c r="N362" s="74" t="s">
        <v>19291</v>
      </c>
      <c r="O362" s="74" t="s">
        <v>19293</v>
      </c>
      <c r="P362" s="74">
        <v>4.0</v>
      </c>
      <c r="Q362" s="119"/>
      <c r="R362" s="119"/>
      <c r="S362" s="74">
        <v>7.0</v>
      </c>
      <c r="T362" s="74">
        <v>1000.0</v>
      </c>
      <c r="U362" s="74">
        <v>1.0</v>
      </c>
      <c r="V362" s="119"/>
      <c r="W362" s="74">
        <v>7.0</v>
      </c>
      <c r="X362" s="74">
        <v>100.0</v>
      </c>
      <c r="Y362" s="74">
        <v>3.0</v>
      </c>
      <c r="Z362" s="74">
        <v>12.0</v>
      </c>
      <c r="AA362" s="74">
        <v>1.0</v>
      </c>
      <c r="AB362" s="74">
        <v>4.0</v>
      </c>
      <c r="AC362" s="74">
        <v>1000.0</v>
      </c>
      <c r="AD362" s="74">
        <v>3.0</v>
      </c>
      <c r="AE362" s="74">
        <v>0.0</v>
      </c>
      <c r="AF362" s="119"/>
      <c r="AG362" s="119"/>
      <c r="AH362" s="74">
        <v>7.0</v>
      </c>
      <c r="AI362" s="74">
        <v>5000.0</v>
      </c>
      <c r="AJ362" s="74">
        <v>3.0</v>
      </c>
      <c r="AK362" s="74">
        <v>0.0</v>
      </c>
      <c r="AL362" s="74">
        <v>7.0</v>
      </c>
      <c r="AM362" s="74">
        <v>1000.0</v>
      </c>
      <c r="AN362" s="74">
        <v>3.0</v>
      </c>
      <c r="AO362" s="74">
        <v>0.0</v>
      </c>
      <c r="AP362" s="74">
        <v>1.0</v>
      </c>
      <c r="AQ362" s="74">
        <v>7.0</v>
      </c>
      <c r="AR362" s="74">
        <v>100.0</v>
      </c>
      <c r="AS362" s="74">
        <v>3.0</v>
      </c>
      <c r="AT362" s="74">
        <v>0.0</v>
      </c>
      <c r="AU362" s="74">
        <v>0.0</v>
      </c>
      <c r="AV362" s="119"/>
      <c r="AW362" s="119"/>
      <c r="AX362" s="119"/>
      <c r="AY362" s="119"/>
      <c r="AZ362" s="119"/>
      <c r="BA362" s="119"/>
      <c r="BB362" s="119"/>
      <c r="BC362" s="119"/>
      <c r="BD362" s="119"/>
      <c r="BE362" s="119"/>
      <c r="BF362" s="119"/>
      <c r="BG362" s="119"/>
      <c r="BH362" s="119"/>
      <c r="BI362" s="119"/>
      <c r="BJ362" s="119"/>
      <c r="BK362" s="119"/>
      <c r="BL362" s="119"/>
      <c r="BM362" s="119"/>
      <c r="BN362" s="119"/>
      <c r="BO362" s="119"/>
      <c r="BP362" s="119"/>
      <c r="BQ362" s="119"/>
      <c r="BR362" s="119"/>
      <c r="BS362" s="119"/>
      <c r="BT362" s="119"/>
      <c r="BU362" s="119"/>
      <c r="BV362" s="119"/>
      <c r="BW362" s="119"/>
      <c r="BX362" s="119"/>
      <c r="BY362" s="119"/>
      <c r="BZ362" s="119"/>
      <c r="CA362" s="119"/>
      <c r="CB362" s="119"/>
      <c r="CC362" s="74" t="s">
        <v>16851</v>
      </c>
      <c r="CD362" s="148">
        <v>43503.0</v>
      </c>
      <c r="CE362" s="74">
        <v>1.0</v>
      </c>
      <c r="CF362" s="74" t="s">
        <v>15555</v>
      </c>
      <c r="CG362" s="120">
        <v>6625.0</v>
      </c>
      <c r="CH362" s="74" t="s">
        <v>19308</v>
      </c>
      <c r="CI362" s="74" t="s">
        <v>19309</v>
      </c>
      <c r="CJ362" s="120">
        <v>361.0</v>
      </c>
    </row>
    <row r="363">
      <c r="A363" s="74" t="s">
        <v>19312</v>
      </c>
      <c r="B363" s="74" t="s">
        <v>6876</v>
      </c>
      <c r="C363" s="74" t="s">
        <v>6877</v>
      </c>
      <c r="D363" s="74" t="s">
        <v>11623</v>
      </c>
      <c r="E363" s="74" t="s">
        <v>19315</v>
      </c>
      <c r="F363" s="74">
        <v>59.0</v>
      </c>
      <c r="G363" s="74">
        <v>1.0</v>
      </c>
      <c r="H363" s="74">
        <v>11.0</v>
      </c>
      <c r="I363" s="119"/>
      <c r="J363" s="119"/>
      <c r="K363" s="74" t="s">
        <v>1904</v>
      </c>
      <c r="L363" s="74" t="s">
        <v>1904</v>
      </c>
      <c r="M363" s="74" t="s">
        <v>19290</v>
      </c>
      <c r="N363" s="74" t="s">
        <v>19291</v>
      </c>
      <c r="O363" s="74" t="s">
        <v>19293</v>
      </c>
      <c r="P363" s="74">
        <v>4.0</v>
      </c>
      <c r="Q363" s="119"/>
      <c r="R363" s="119"/>
      <c r="S363" s="74">
        <v>7.0</v>
      </c>
      <c r="T363" s="74">
        <v>1000.0</v>
      </c>
      <c r="U363" s="74">
        <v>1.0</v>
      </c>
      <c r="V363" s="119"/>
      <c r="W363" s="74">
        <v>7.0</v>
      </c>
      <c r="X363" s="74">
        <v>100.0</v>
      </c>
      <c r="Y363" s="74">
        <v>3.0</v>
      </c>
      <c r="Z363" s="74">
        <v>27.0</v>
      </c>
      <c r="AA363" s="74">
        <v>1.0</v>
      </c>
      <c r="AB363" s="74">
        <v>4.0</v>
      </c>
      <c r="AC363" s="74">
        <v>1000.0</v>
      </c>
      <c r="AD363" s="74">
        <v>3.0</v>
      </c>
      <c r="AE363" s="74">
        <v>1.0</v>
      </c>
      <c r="AF363" s="119"/>
      <c r="AG363" s="119"/>
      <c r="AH363" s="74">
        <v>7.0</v>
      </c>
      <c r="AI363" s="74">
        <v>5000.0</v>
      </c>
      <c r="AJ363" s="74">
        <v>3.0</v>
      </c>
      <c r="AK363" s="74">
        <v>0.0</v>
      </c>
      <c r="AL363" s="74">
        <v>7.0</v>
      </c>
      <c r="AM363" s="74">
        <v>1000.0</v>
      </c>
      <c r="AN363" s="74">
        <v>3.0</v>
      </c>
      <c r="AO363" s="74">
        <v>0.0</v>
      </c>
      <c r="AP363" s="74">
        <v>1.0</v>
      </c>
      <c r="AQ363" s="74">
        <v>7.0</v>
      </c>
      <c r="AR363" s="74">
        <v>100.0</v>
      </c>
      <c r="AS363" s="74">
        <v>3.0</v>
      </c>
      <c r="AT363" s="74">
        <v>0.0</v>
      </c>
      <c r="AU363" s="74">
        <v>0.0</v>
      </c>
      <c r="AV363" s="119"/>
      <c r="AW363" s="119"/>
      <c r="AX363" s="119"/>
      <c r="AY363" s="119"/>
      <c r="AZ363" s="119"/>
      <c r="BA363" s="119"/>
      <c r="BB363" s="119"/>
      <c r="BC363" s="119"/>
      <c r="BD363" s="119"/>
      <c r="BE363" s="119"/>
      <c r="BF363" s="119"/>
      <c r="BG363" s="119"/>
      <c r="BH363" s="119"/>
      <c r="BI363" s="119"/>
      <c r="BJ363" s="119"/>
      <c r="BK363" s="119"/>
      <c r="BL363" s="119"/>
      <c r="BM363" s="119"/>
      <c r="BN363" s="119"/>
      <c r="BO363" s="119"/>
      <c r="BP363" s="119"/>
      <c r="BQ363" s="119"/>
      <c r="BR363" s="119"/>
      <c r="BS363" s="119"/>
      <c r="BT363" s="119"/>
      <c r="BU363" s="119"/>
      <c r="BV363" s="119"/>
      <c r="BW363" s="119"/>
      <c r="BX363" s="119"/>
      <c r="BY363" s="119"/>
      <c r="BZ363" s="119"/>
      <c r="CA363" s="119"/>
      <c r="CB363" s="119"/>
      <c r="CC363" s="74" t="s">
        <v>16851</v>
      </c>
      <c r="CD363" s="148">
        <v>43503.0</v>
      </c>
      <c r="CE363" s="74">
        <v>1.0</v>
      </c>
      <c r="CF363" s="74" t="s">
        <v>15555</v>
      </c>
      <c r="CG363" s="120">
        <v>6626.0</v>
      </c>
      <c r="CH363" s="74" t="s">
        <v>19337</v>
      </c>
      <c r="CI363" s="74" t="s">
        <v>19339</v>
      </c>
      <c r="CJ363" s="120">
        <v>362.0</v>
      </c>
    </row>
    <row r="364">
      <c r="A364" s="74" t="s">
        <v>19341</v>
      </c>
      <c r="B364" s="74" t="s">
        <v>6876</v>
      </c>
      <c r="C364" s="74" t="s">
        <v>6877</v>
      </c>
      <c r="D364" s="74" t="s">
        <v>11623</v>
      </c>
      <c r="E364" s="74" t="s">
        <v>19343</v>
      </c>
      <c r="F364" s="74">
        <v>59.0</v>
      </c>
      <c r="G364" s="74">
        <v>1.0</v>
      </c>
      <c r="H364" s="74">
        <v>11.0</v>
      </c>
      <c r="I364" s="119"/>
      <c r="J364" s="119"/>
      <c r="K364" s="74" t="s">
        <v>1907</v>
      </c>
      <c r="L364" s="74" t="s">
        <v>1907</v>
      </c>
      <c r="M364" s="74" t="s">
        <v>19290</v>
      </c>
      <c r="N364" s="74" t="s">
        <v>19291</v>
      </c>
      <c r="O364" s="74" t="s">
        <v>19293</v>
      </c>
      <c r="P364" s="74">
        <v>4.0</v>
      </c>
      <c r="Q364" s="119"/>
      <c r="R364" s="119"/>
      <c r="S364" s="74">
        <v>7.0</v>
      </c>
      <c r="T364" s="74">
        <v>1000.0</v>
      </c>
      <c r="U364" s="74">
        <v>3.0</v>
      </c>
      <c r="V364" s="74">
        <v>0.0</v>
      </c>
      <c r="W364" s="74">
        <v>7.0</v>
      </c>
      <c r="X364" s="74">
        <v>100.0</v>
      </c>
      <c r="Y364" s="74">
        <v>1.0</v>
      </c>
      <c r="Z364" s="119"/>
      <c r="AA364" s="74">
        <v>1.0</v>
      </c>
      <c r="AB364" s="74">
        <v>4.0</v>
      </c>
      <c r="AC364" s="74">
        <v>1000.0</v>
      </c>
      <c r="AD364" s="74">
        <v>3.0</v>
      </c>
      <c r="AE364" s="74">
        <v>18.0</v>
      </c>
      <c r="AF364" s="119"/>
      <c r="AG364" s="119"/>
      <c r="AH364" s="74">
        <v>7.0</v>
      </c>
      <c r="AI364" s="74">
        <v>5000.0</v>
      </c>
      <c r="AJ364" s="74">
        <v>3.0</v>
      </c>
      <c r="AK364" s="74">
        <v>12.0</v>
      </c>
      <c r="AL364" s="74">
        <v>7.0</v>
      </c>
      <c r="AM364" s="74">
        <v>1000.0</v>
      </c>
      <c r="AN364" s="74">
        <v>3.0</v>
      </c>
      <c r="AO364" s="74">
        <v>0.0</v>
      </c>
      <c r="AP364" s="74">
        <v>1.0</v>
      </c>
      <c r="AQ364" s="74">
        <v>7.0</v>
      </c>
      <c r="AR364" s="74">
        <v>100.0</v>
      </c>
      <c r="AS364" s="74">
        <v>3.0</v>
      </c>
      <c r="AT364" s="74">
        <v>0.0</v>
      </c>
      <c r="AU364" s="74">
        <v>0.0</v>
      </c>
      <c r="AV364" s="119"/>
      <c r="AW364" s="119"/>
      <c r="AX364" s="119"/>
      <c r="AY364" s="119"/>
      <c r="AZ364" s="119"/>
      <c r="BA364" s="119"/>
      <c r="BB364" s="119"/>
      <c r="BC364" s="119"/>
      <c r="BD364" s="119"/>
      <c r="BE364" s="119"/>
      <c r="BF364" s="119"/>
      <c r="BG364" s="119"/>
      <c r="BH364" s="119"/>
      <c r="BI364" s="119"/>
      <c r="BJ364" s="119"/>
      <c r="BK364" s="119"/>
      <c r="BL364" s="119"/>
      <c r="BM364" s="119"/>
      <c r="BN364" s="119"/>
      <c r="BO364" s="119"/>
      <c r="BP364" s="119"/>
      <c r="BQ364" s="119"/>
      <c r="BR364" s="119"/>
      <c r="BS364" s="119"/>
      <c r="BT364" s="119"/>
      <c r="BU364" s="119"/>
      <c r="BV364" s="119"/>
      <c r="BW364" s="119"/>
      <c r="BX364" s="119"/>
      <c r="BY364" s="119"/>
      <c r="BZ364" s="119"/>
      <c r="CA364" s="119"/>
      <c r="CB364" s="119"/>
      <c r="CC364" s="74" t="s">
        <v>19359</v>
      </c>
      <c r="CD364" s="148">
        <v>43503.0</v>
      </c>
      <c r="CE364" s="74">
        <v>1.0</v>
      </c>
      <c r="CF364" s="74" t="s">
        <v>15555</v>
      </c>
      <c r="CG364" s="120">
        <v>6627.0</v>
      </c>
      <c r="CH364" s="74" t="s">
        <v>19362</v>
      </c>
      <c r="CI364" s="74" t="s">
        <v>19363</v>
      </c>
      <c r="CJ364" s="120">
        <v>363.0</v>
      </c>
    </row>
    <row r="365">
      <c r="A365" s="74" t="s">
        <v>19366</v>
      </c>
      <c r="B365" s="74" t="s">
        <v>6876</v>
      </c>
      <c r="C365" s="74" t="s">
        <v>6877</v>
      </c>
      <c r="D365" s="74" t="s">
        <v>11623</v>
      </c>
      <c r="E365" s="74" t="s">
        <v>19367</v>
      </c>
      <c r="F365" s="74">
        <v>59.0</v>
      </c>
      <c r="G365" s="74">
        <v>1.0</v>
      </c>
      <c r="H365" s="74">
        <v>11.0</v>
      </c>
      <c r="I365" s="119"/>
      <c r="J365" s="119"/>
      <c r="K365" s="74" t="s">
        <v>1910</v>
      </c>
      <c r="L365" s="74" t="s">
        <v>1910</v>
      </c>
      <c r="M365" s="74" t="s">
        <v>19290</v>
      </c>
      <c r="N365" s="74" t="s">
        <v>19291</v>
      </c>
      <c r="O365" s="74" t="s">
        <v>19293</v>
      </c>
      <c r="P365" s="74">
        <v>4.0</v>
      </c>
      <c r="Q365" s="119"/>
      <c r="R365" s="119"/>
      <c r="S365" s="74">
        <v>7.0</v>
      </c>
      <c r="T365" s="74">
        <v>1000.0</v>
      </c>
      <c r="U365" s="74">
        <v>1.0</v>
      </c>
      <c r="V365" s="119"/>
      <c r="W365" s="74">
        <v>7.0</v>
      </c>
      <c r="X365" s="74">
        <v>100.0</v>
      </c>
      <c r="Y365" s="74">
        <v>1.0</v>
      </c>
      <c r="Z365" s="119"/>
      <c r="AA365" s="74">
        <v>1.0</v>
      </c>
      <c r="AB365" s="74">
        <v>4.0</v>
      </c>
      <c r="AC365" s="74">
        <v>1000.0</v>
      </c>
      <c r="AD365" s="74">
        <v>3.0</v>
      </c>
      <c r="AE365" s="74">
        <v>56.0</v>
      </c>
      <c r="AF365" s="119"/>
      <c r="AG365" s="119"/>
      <c r="AH365" s="74">
        <v>7.0</v>
      </c>
      <c r="AI365" s="74">
        <v>5000.0</v>
      </c>
      <c r="AJ365" s="74">
        <v>3.0</v>
      </c>
      <c r="AK365" s="74">
        <v>0.0</v>
      </c>
      <c r="AL365" s="74">
        <v>7.0</v>
      </c>
      <c r="AM365" s="74">
        <v>1000.0</v>
      </c>
      <c r="AN365" s="74">
        <v>3.0</v>
      </c>
      <c r="AO365" s="74">
        <v>0.0</v>
      </c>
      <c r="AP365" s="74">
        <v>1.0</v>
      </c>
      <c r="AQ365" s="74">
        <v>7.0</v>
      </c>
      <c r="AR365" s="74">
        <v>100.0</v>
      </c>
      <c r="AS365" s="74">
        <v>3.0</v>
      </c>
      <c r="AT365" s="74">
        <v>0.0</v>
      </c>
      <c r="AU365" s="74">
        <v>0.0</v>
      </c>
      <c r="AV365" s="119"/>
      <c r="AW365" s="119"/>
      <c r="AX365" s="119"/>
      <c r="AY365" s="119"/>
      <c r="AZ365" s="119"/>
      <c r="BA365" s="119"/>
      <c r="BB365" s="119"/>
      <c r="BC365" s="119"/>
      <c r="BD365" s="119"/>
      <c r="BE365" s="119"/>
      <c r="BF365" s="119"/>
      <c r="BG365" s="119"/>
      <c r="BH365" s="119"/>
      <c r="BI365" s="119"/>
      <c r="BJ365" s="119"/>
      <c r="BK365" s="119"/>
      <c r="BL365" s="119"/>
      <c r="BM365" s="119"/>
      <c r="BN365" s="119"/>
      <c r="BO365" s="119"/>
      <c r="BP365" s="119"/>
      <c r="BQ365" s="119"/>
      <c r="BR365" s="119"/>
      <c r="BS365" s="119"/>
      <c r="BT365" s="119"/>
      <c r="BU365" s="119"/>
      <c r="BV365" s="119"/>
      <c r="BW365" s="119"/>
      <c r="BX365" s="119"/>
      <c r="BY365" s="119"/>
      <c r="BZ365" s="119"/>
      <c r="CA365" s="119"/>
      <c r="CB365" s="119"/>
      <c r="CC365" s="74" t="s">
        <v>19381</v>
      </c>
      <c r="CD365" s="148">
        <v>43503.0</v>
      </c>
      <c r="CE365" s="74">
        <v>1.0</v>
      </c>
      <c r="CF365" s="74" t="s">
        <v>15555</v>
      </c>
      <c r="CG365" s="120">
        <v>6628.0</v>
      </c>
      <c r="CH365" s="74" t="s">
        <v>19383</v>
      </c>
      <c r="CI365" s="74" t="s">
        <v>19384</v>
      </c>
      <c r="CJ365" s="120">
        <v>364.0</v>
      </c>
    </row>
    <row r="366">
      <c r="A366" s="74" t="s">
        <v>19385</v>
      </c>
      <c r="B366" s="74" t="s">
        <v>6876</v>
      </c>
      <c r="C366" s="74" t="s">
        <v>6877</v>
      </c>
      <c r="D366" s="74" t="s">
        <v>11623</v>
      </c>
      <c r="E366" s="74" t="s">
        <v>19386</v>
      </c>
      <c r="F366" s="74">
        <v>59.0</v>
      </c>
      <c r="G366" s="74">
        <v>1.0</v>
      </c>
      <c r="H366" s="74">
        <v>11.0</v>
      </c>
      <c r="I366" s="119"/>
      <c r="J366" s="119"/>
      <c r="K366" s="74" t="s">
        <v>1913</v>
      </c>
      <c r="L366" s="74" t="s">
        <v>1913</v>
      </c>
      <c r="M366" s="74" t="s">
        <v>19290</v>
      </c>
      <c r="N366" s="74" t="s">
        <v>19291</v>
      </c>
      <c r="O366" s="74" t="s">
        <v>19293</v>
      </c>
      <c r="P366" s="74">
        <v>4.0</v>
      </c>
      <c r="Q366" s="119"/>
      <c r="R366" s="119"/>
      <c r="S366" s="74">
        <v>7.0</v>
      </c>
      <c r="T366" s="74">
        <v>1000.0</v>
      </c>
      <c r="U366" s="74">
        <v>3.0</v>
      </c>
      <c r="V366" s="74">
        <v>0.0</v>
      </c>
      <c r="W366" s="74">
        <v>7.0</v>
      </c>
      <c r="X366" s="74">
        <v>100.0</v>
      </c>
      <c r="Y366" s="74">
        <v>1.0</v>
      </c>
      <c r="Z366" s="119"/>
      <c r="AA366" s="74">
        <v>1.0</v>
      </c>
      <c r="AB366" s="74">
        <v>4.0</v>
      </c>
      <c r="AC366" s="74">
        <v>1000.0</v>
      </c>
      <c r="AD366" s="74">
        <v>1.0</v>
      </c>
      <c r="AE366" s="119"/>
      <c r="AF366" s="119"/>
      <c r="AG366" s="119"/>
      <c r="AH366" s="74">
        <v>7.0</v>
      </c>
      <c r="AI366" s="74">
        <v>5000.0</v>
      </c>
      <c r="AJ366" s="74">
        <v>3.0</v>
      </c>
      <c r="AK366" s="74">
        <v>21.0</v>
      </c>
      <c r="AL366" s="74">
        <v>7.0</v>
      </c>
      <c r="AM366" s="74">
        <v>1000.0</v>
      </c>
      <c r="AN366" s="74">
        <v>3.0</v>
      </c>
      <c r="AO366" s="74">
        <v>3.0</v>
      </c>
      <c r="AP366" s="74">
        <v>1.0</v>
      </c>
      <c r="AQ366" s="74">
        <v>7.0</v>
      </c>
      <c r="AR366" s="74">
        <v>100.0</v>
      </c>
      <c r="AS366" s="74">
        <v>3.0</v>
      </c>
      <c r="AT366" s="74">
        <v>0.0</v>
      </c>
      <c r="AU366" s="74">
        <v>0.0</v>
      </c>
      <c r="AV366" s="119"/>
      <c r="AW366" s="119"/>
      <c r="AX366" s="119"/>
      <c r="AY366" s="119"/>
      <c r="AZ366" s="119"/>
      <c r="BA366" s="119"/>
      <c r="BB366" s="119"/>
      <c r="BC366" s="119"/>
      <c r="BD366" s="119"/>
      <c r="BE366" s="119"/>
      <c r="BF366" s="119"/>
      <c r="BG366" s="119"/>
      <c r="BH366" s="119"/>
      <c r="BI366" s="119"/>
      <c r="BJ366" s="119"/>
      <c r="BK366" s="119"/>
      <c r="BL366" s="119"/>
      <c r="BM366" s="119"/>
      <c r="BN366" s="119"/>
      <c r="BO366" s="119"/>
      <c r="BP366" s="119"/>
      <c r="BQ366" s="119"/>
      <c r="BR366" s="119"/>
      <c r="BS366" s="119"/>
      <c r="BT366" s="119"/>
      <c r="BU366" s="119"/>
      <c r="BV366" s="119"/>
      <c r="BW366" s="119"/>
      <c r="BX366" s="119"/>
      <c r="BY366" s="119"/>
      <c r="BZ366" s="119"/>
      <c r="CA366" s="119"/>
      <c r="CB366" s="119"/>
      <c r="CC366" s="74" t="s">
        <v>19396</v>
      </c>
      <c r="CD366" s="148">
        <v>43503.0</v>
      </c>
      <c r="CE366" s="74">
        <v>1.0</v>
      </c>
      <c r="CF366" s="74" t="s">
        <v>15555</v>
      </c>
      <c r="CG366" s="120">
        <v>6629.0</v>
      </c>
      <c r="CH366" s="74" t="s">
        <v>19398</v>
      </c>
      <c r="CI366" s="74" t="s">
        <v>19400</v>
      </c>
      <c r="CJ366" s="120">
        <v>365.0</v>
      </c>
    </row>
    <row r="367">
      <c r="A367" s="74" t="s">
        <v>19401</v>
      </c>
      <c r="B367" s="74" t="s">
        <v>6876</v>
      </c>
      <c r="C367" s="74" t="s">
        <v>6877</v>
      </c>
      <c r="D367" s="74" t="s">
        <v>11623</v>
      </c>
      <c r="E367" s="74" t="s">
        <v>19403</v>
      </c>
      <c r="F367" s="74">
        <v>59.0</v>
      </c>
      <c r="G367" s="74">
        <v>1.0</v>
      </c>
      <c r="H367" s="74">
        <v>11.0</v>
      </c>
      <c r="I367" s="119"/>
      <c r="J367" s="119"/>
      <c r="K367" s="74" t="s">
        <v>1916</v>
      </c>
      <c r="L367" s="74" t="s">
        <v>1916</v>
      </c>
      <c r="M367" s="74" t="s">
        <v>19290</v>
      </c>
      <c r="N367" s="74" t="s">
        <v>19291</v>
      </c>
      <c r="O367" s="74" t="s">
        <v>19293</v>
      </c>
      <c r="P367" s="74">
        <v>4.0</v>
      </c>
      <c r="Q367" s="119"/>
      <c r="R367" s="119"/>
      <c r="S367" s="74">
        <v>7.0</v>
      </c>
      <c r="T367" s="74">
        <v>1000.0</v>
      </c>
      <c r="U367" s="74">
        <v>1.0</v>
      </c>
      <c r="V367" s="119"/>
      <c r="W367" s="74">
        <v>7.0</v>
      </c>
      <c r="X367" s="74">
        <v>100.0</v>
      </c>
      <c r="Y367" s="74">
        <v>3.0</v>
      </c>
      <c r="Z367" s="74">
        <v>71.0</v>
      </c>
      <c r="AA367" s="74">
        <v>1.0</v>
      </c>
      <c r="AB367" s="74">
        <v>4.0</v>
      </c>
      <c r="AC367" s="74">
        <v>1000.0</v>
      </c>
      <c r="AD367" s="74">
        <v>3.0</v>
      </c>
      <c r="AE367" s="74">
        <v>0.0</v>
      </c>
      <c r="AF367" s="119"/>
      <c r="AG367" s="119"/>
      <c r="AH367" s="74">
        <v>7.0</v>
      </c>
      <c r="AI367" s="74">
        <v>5000.0</v>
      </c>
      <c r="AJ367" s="74">
        <v>3.0</v>
      </c>
      <c r="AK367" s="74">
        <v>0.0</v>
      </c>
      <c r="AL367" s="74">
        <v>7.0</v>
      </c>
      <c r="AM367" s="74">
        <v>1000.0</v>
      </c>
      <c r="AN367" s="74">
        <v>3.0</v>
      </c>
      <c r="AO367" s="74">
        <v>0.0</v>
      </c>
      <c r="AP367" s="74">
        <v>1.0</v>
      </c>
      <c r="AQ367" s="74">
        <v>7.0</v>
      </c>
      <c r="AR367" s="74">
        <v>100.0</v>
      </c>
      <c r="AS367" s="74">
        <v>3.0</v>
      </c>
      <c r="AT367" s="74">
        <v>0.0</v>
      </c>
      <c r="AU367" s="74">
        <v>0.0</v>
      </c>
      <c r="AV367" s="119"/>
      <c r="AW367" s="119"/>
      <c r="AX367" s="119"/>
      <c r="AY367" s="119"/>
      <c r="AZ367" s="119"/>
      <c r="BA367" s="119"/>
      <c r="BB367" s="119"/>
      <c r="BC367" s="119"/>
      <c r="BD367" s="119"/>
      <c r="BE367" s="119"/>
      <c r="BF367" s="119"/>
      <c r="BG367" s="119"/>
      <c r="BH367" s="119"/>
      <c r="BI367" s="119"/>
      <c r="BJ367" s="119"/>
      <c r="BK367" s="119"/>
      <c r="BL367" s="119"/>
      <c r="BM367" s="119"/>
      <c r="BN367" s="119"/>
      <c r="BO367" s="119"/>
      <c r="BP367" s="119"/>
      <c r="BQ367" s="119"/>
      <c r="BR367" s="119"/>
      <c r="BS367" s="119"/>
      <c r="BT367" s="119"/>
      <c r="BU367" s="119"/>
      <c r="BV367" s="119"/>
      <c r="BW367" s="119"/>
      <c r="BX367" s="119"/>
      <c r="BY367" s="119"/>
      <c r="BZ367" s="119"/>
      <c r="CA367" s="119"/>
      <c r="CB367" s="119"/>
      <c r="CC367" s="74" t="s">
        <v>16851</v>
      </c>
      <c r="CD367" s="148">
        <v>43503.0</v>
      </c>
      <c r="CE367" s="74">
        <v>1.0</v>
      </c>
      <c r="CF367" s="74" t="s">
        <v>15555</v>
      </c>
      <c r="CG367" s="120">
        <v>6630.0</v>
      </c>
      <c r="CH367" s="74" t="s">
        <v>19416</v>
      </c>
      <c r="CI367" s="74" t="s">
        <v>19417</v>
      </c>
      <c r="CJ367" s="120">
        <v>366.0</v>
      </c>
    </row>
    <row r="368">
      <c r="A368" s="74" t="s">
        <v>19420</v>
      </c>
      <c r="B368" s="74" t="s">
        <v>6876</v>
      </c>
      <c r="C368" s="74" t="s">
        <v>6877</v>
      </c>
      <c r="D368" s="74" t="s">
        <v>11623</v>
      </c>
      <c r="E368" s="74" t="s">
        <v>19421</v>
      </c>
      <c r="F368" s="74">
        <v>33.0</v>
      </c>
      <c r="G368" s="74">
        <v>1.0</v>
      </c>
      <c r="H368" s="74">
        <v>97.0</v>
      </c>
      <c r="I368" s="119"/>
      <c r="J368" s="119"/>
      <c r="K368" s="74" t="s">
        <v>436</v>
      </c>
      <c r="L368" s="74" t="s">
        <v>436</v>
      </c>
      <c r="M368" s="74" t="s">
        <v>19290</v>
      </c>
      <c r="N368" s="74" t="s">
        <v>19291</v>
      </c>
      <c r="O368" s="74" t="s">
        <v>19293</v>
      </c>
      <c r="P368" s="119"/>
      <c r="Q368" s="119"/>
      <c r="R368" s="119"/>
      <c r="S368" s="74">
        <v>7.0</v>
      </c>
      <c r="T368" s="74">
        <v>1000.0</v>
      </c>
      <c r="U368" s="74">
        <v>3.0</v>
      </c>
      <c r="V368" s="74">
        <v>102.0</v>
      </c>
      <c r="W368" s="119"/>
      <c r="X368" s="119"/>
      <c r="Y368" s="119"/>
      <c r="Z368" s="119"/>
      <c r="AA368" s="119"/>
      <c r="AB368" s="119"/>
      <c r="AC368" s="119"/>
      <c r="AD368" s="119"/>
      <c r="AE368" s="119"/>
      <c r="AF368" s="119"/>
      <c r="AG368" s="119"/>
      <c r="AH368" s="119"/>
      <c r="AI368" s="119"/>
      <c r="AJ368" s="119"/>
      <c r="AK368" s="119"/>
      <c r="AL368" s="119"/>
      <c r="AM368" s="119"/>
      <c r="AN368" s="119"/>
      <c r="AO368" s="119"/>
      <c r="AP368" s="119"/>
      <c r="AQ368" s="119"/>
      <c r="AR368" s="119"/>
      <c r="AS368" s="119"/>
      <c r="AT368" s="119"/>
      <c r="AU368" s="74">
        <v>0.0</v>
      </c>
      <c r="AV368" s="119"/>
      <c r="AW368" s="119"/>
      <c r="AX368" s="119"/>
      <c r="AY368" s="119"/>
      <c r="AZ368" s="119"/>
      <c r="BA368" s="119"/>
      <c r="BB368" s="119"/>
      <c r="BC368" s="119"/>
      <c r="BD368" s="119"/>
      <c r="BE368" s="119"/>
      <c r="BF368" s="119"/>
      <c r="BG368" s="119"/>
      <c r="BH368" s="119"/>
      <c r="BI368" s="119"/>
      <c r="BJ368" s="119"/>
      <c r="BK368" s="119"/>
      <c r="BL368" s="119"/>
      <c r="BM368" s="119"/>
      <c r="BN368" s="119"/>
      <c r="BO368" s="119"/>
      <c r="BP368" s="119"/>
      <c r="BQ368" s="119"/>
      <c r="BR368" s="119"/>
      <c r="BS368" s="119"/>
      <c r="BT368" s="119"/>
      <c r="BU368" s="119"/>
      <c r="BV368" s="119"/>
      <c r="BW368" s="119"/>
      <c r="BX368" s="119"/>
      <c r="BY368" s="119"/>
      <c r="BZ368" s="119"/>
      <c r="CA368" s="119"/>
      <c r="CB368" s="119"/>
      <c r="CC368" s="119"/>
      <c r="CD368" s="148">
        <v>43503.0</v>
      </c>
      <c r="CE368" s="74">
        <v>1.0</v>
      </c>
      <c r="CF368" s="74" t="s">
        <v>15555</v>
      </c>
      <c r="CG368" s="120">
        <v>6631.0</v>
      </c>
      <c r="CH368" s="74" t="s">
        <v>19432</v>
      </c>
      <c r="CI368" s="74" t="s">
        <v>19433</v>
      </c>
      <c r="CJ368" s="120">
        <v>367.0</v>
      </c>
    </row>
    <row r="369">
      <c r="A369" s="74" t="s">
        <v>19434</v>
      </c>
      <c r="B369" s="74" t="s">
        <v>6876</v>
      </c>
      <c r="C369" s="74" t="s">
        <v>6877</v>
      </c>
      <c r="D369" s="74" t="s">
        <v>11623</v>
      </c>
      <c r="E369" s="74" t="s">
        <v>19436</v>
      </c>
      <c r="F369" s="74">
        <v>33.0</v>
      </c>
      <c r="G369" s="74">
        <v>1.0</v>
      </c>
      <c r="H369" s="74">
        <v>97.0</v>
      </c>
      <c r="I369" s="119"/>
      <c r="J369" s="119"/>
      <c r="K369" s="74" t="s">
        <v>15565</v>
      </c>
      <c r="L369" s="74" t="s">
        <v>15565</v>
      </c>
      <c r="M369" s="74" t="s">
        <v>19290</v>
      </c>
      <c r="N369" s="74" t="s">
        <v>19291</v>
      </c>
      <c r="O369" s="74" t="s">
        <v>19293</v>
      </c>
      <c r="P369" s="119"/>
      <c r="Q369" s="119"/>
      <c r="R369" s="119"/>
      <c r="S369" s="119"/>
      <c r="T369" s="119"/>
      <c r="U369" s="119"/>
      <c r="V369" s="119"/>
      <c r="W369" s="119"/>
      <c r="X369" s="119"/>
      <c r="Y369" s="119"/>
      <c r="Z369" s="119"/>
      <c r="AA369" s="119"/>
      <c r="AB369" s="119"/>
      <c r="AC369" s="119"/>
      <c r="AD369" s="119"/>
      <c r="AE369" s="119"/>
      <c r="AF369" s="119"/>
      <c r="AG369" s="119"/>
      <c r="AH369" s="74">
        <v>7.0</v>
      </c>
      <c r="AI369" s="74">
        <v>1000.0</v>
      </c>
      <c r="AJ369" s="74">
        <v>3.0</v>
      </c>
      <c r="AK369" s="74">
        <v>73.0</v>
      </c>
      <c r="AL369" s="119"/>
      <c r="AM369" s="119"/>
      <c r="AN369" s="119"/>
      <c r="AO369" s="119"/>
      <c r="AP369" s="119"/>
      <c r="AQ369" s="119"/>
      <c r="AR369" s="119"/>
      <c r="AS369" s="119"/>
      <c r="AT369" s="119"/>
      <c r="AU369" s="74">
        <v>0.0</v>
      </c>
      <c r="AV369" s="119"/>
      <c r="AW369" s="119"/>
      <c r="AX369" s="119"/>
      <c r="AY369" s="119"/>
      <c r="AZ369" s="119"/>
      <c r="BA369" s="119"/>
      <c r="BB369" s="119"/>
      <c r="BC369" s="119"/>
      <c r="BD369" s="119"/>
      <c r="BE369" s="119"/>
      <c r="BF369" s="119"/>
      <c r="BG369" s="119"/>
      <c r="BH369" s="119"/>
      <c r="BI369" s="119"/>
      <c r="BJ369" s="119"/>
      <c r="BK369" s="119"/>
      <c r="BL369" s="119"/>
      <c r="BM369" s="119"/>
      <c r="BN369" s="119"/>
      <c r="BO369" s="119"/>
      <c r="BP369" s="119"/>
      <c r="BQ369" s="119"/>
      <c r="BR369" s="119"/>
      <c r="BS369" s="119"/>
      <c r="BT369" s="119"/>
      <c r="BU369" s="119"/>
      <c r="BV369" s="119"/>
      <c r="BW369" s="119"/>
      <c r="BX369" s="119"/>
      <c r="BY369" s="119"/>
      <c r="BZ369" s="119"/>
      <c r="CA369" s="119"/>
      <c r="CB369" s="119"/>
      <c r="CC369" s="119"/>
      <c r="CD369" s="148">
        <v>43503.0</v>
      </c>
      <c r="CE369" s="74">
        <v>1.0</v>
      </c>
      <c r="CF369" s="74" t="s">
        <v>15555</v>
      </c>
      <c r="CG369" s="120">
        <v>6632.0</v>
      </c>
      <c r="CH369" s="74" t="s">
        <v>19450</v>
      </c>
      <c r="CI369" s="74" t="s">
        <v>19452</v>
      </c>
      <c r="CJ369" s="120">
        <v>368.0</v>
      </c>
    </row>
    <row r="370">
      <c r="A370" s="74" t="s">
        <v>19453</v>
      </c>
      <c r="B370" s="74" t="s">
        <v>6876</v>
      </c>
      <c r="C370" s="74" t="s">
        <v>6877</v>
      </c>
      <c r="D370" s="74" t="s">
        <v>8493</v>
      </c>
      <c r="E370" s="74" t="s">
        <v>19456</v>
      </c>
      <c r="F370" s="74">
        <v>59.0</v>
      </c>
      <c r="G370" s="74">
        <v>1.0</v>
      </c>
      <c r="H370" s="74">
        <v>11.0</v>
      </c>
      <c r="I370" s="119"/>
      <c r="J370" s="119"/>
      <c r="K370" s="74" t="s">
        <v>1920</v>
      </c>
      <c r="L370" s="74" t="s">
        <v>1920</v>
      </c>
      <c r="M370" s="74" t="s">
        <v>19458</v>
      </c>
      <c r="N370" s="74" t="s">
        <v>19459</v>
      </c>
      <c r="O370" s="74" t="s">
        <v>19460</v>
      </c>
      <c r="P370" s="74">
        <v>4.0</v>
      </c>
      <c r="Q370" s="119"/>
      <c r="R370" s="119"/>
      <c r="S370" s="74">
        <v>7.0</v>
      </c>
      <c r="T370" s="74">
        <v>1000.0</v>
      </c>
      <c r="U370" s="74">
        <v>3.0</v>
      </c>
      <c r="V370" s="74">
        <v>0.0</v>
      </c>
      <c r="W370" s="74">
        <v>7.0</v>
      </c>
      <c r="X370" s="74">
        <v>100.0</v>
      </c>
      <c r="Y370" s="74">
        <v>3.0</v>
      </c>
      <c r="Z370" s="74">
        <v>0.0</v>
      </c>
      <c r="AA370" s="74">
        <v>1.0</v>
      </c>
      <c r="AB370" s="74">
        <v>4.0</v>
      </c>
      <c r="AC370" s="74">
        <v>1000.0</v>
      </c>
      <c r="AD370" s="74">
        <v>3.0</v>
      </c>
      <c r="AE370" s="74">
        <v>28.0</v>
      </c>
      <c r="AF370" s="119"/>
      <c r="AG370" s="119"/>
      <c r="AH370" s="74">
        <v>7.0</v>
      </c>
      <c r="AI370" s="74">
        <v>5000.0</v>
      </c>
      <c r="AJ370" s="74">
        <v>3.0</v>
      </c>
      <c r="AK370" s="74">
        <v>0.0</v>
      </c>
      <c r="AL370" s="74">
        <v>7.0</v>
      </c>
      <c r="AM370" s="74">
        <v>1000.0</v>
      </c>
      <c r="AN370" s="74">
        <v>3.0</v>
      </c>
      <c r="AO370" s="74">
        <v>0.0</v>
      </c>
      <c r="AP370" s="74">
        <v>1.0</v>
      </c>
      <c r="AQ370" s="74">
        <v>7.0</v>
      </c>
      <c r="AR370" s="74">
        <v>100.0</v>
      </c>
      <c r="AS370" s="74">
        <v>3.0</v>
      </c>
      <c r="AT370" s="74">
        <v>0.0</v>
      </c>
      <c r="AU370" s="74">
        <v>0.0</v>
      </c>
      <c r="AV370" s="119"/>
      <c r="AW370" s="119"/>
      <c r="AX370" s="119"/>
      <c r="AY370" s="119"/>
      <c r="AZ370" s="119"/>
      <c r="BA370" s="119"/>
      <c r="BB370" s="119"/>
      <c r="BC370" s="119"/>
      <c r="BD370" s="119"/>
      <c r="BE370" s="119"/>
      <c r="BF370" s="119"/>
      <c r="BG370" s="119"/>
      <c r="BH370" s="119"/>
      <c r="BI370" s="119"/>
      <c r="BJ370" s="119"/>
      <c r="BK370" s="119"/>
      <c r="BL370" s="119"/>
      <c r="BM370" s="119"/>
      <c r="BN370" s="119"/>
      <c r="BO370" s="119"/>
      <c r="BP370" s="119"/>
      <c r="BQ370" s="119"/>
      <c r="BR370" s="119"/>
      <c r="BS370" s="119"/>
      <c r="BT370" s="119"/>
      <c r="BU370" s="119"/>
      <c r="BV370" s="119"/>
      <c r="BW370" s="119"/>
      <c r="BX370" s="119"/>
      <c r="BY370" s="119"/>
      <c r="BZ370" s="119"/>
      <c r="CA370" s="119"/>
      <c r="CB370" s="119"/>
      <c r="CC370" s="74" t="s">
        <v>19468</v>
      </c>
      <c r="CD370" s="148">
        <v>43868.0</v>
      </c>
      <c r="CE370" s="74">
        <v>1.0</v>
      </c>
      <c r="CF370" s="74" t="s">
        <v>15555</v>
      </c>
      <c r="CG370" s="120">
        <v>6858.0</v>
      </c>
      <c r="CH370" s="74" t="s">
        <v>19470</v>
      </c>
      <c r="CI370" s="74" t="s">
        <v>19472</v>
      </c>
      <c r="CJ370" s="120">
        <v>369.0</v>
      </c>
    </row>
    <row r="371">
      <c r="A371" s="74" t="s">
        <v>19473</v>
      </c>
      <c r="B371" s="74" t="s">
        <v>6876</v>
      </c>
      <c r="C371" s="74" t="s">
        <v>6877</v>
      </c>
      <c r="D371" s="74" t="s">
        <v>8493</v>
      </c>
      <c r="E371" s="74" t="s">
        <v>19474</v>
      </c>
      <c r="F371" s="74">
        <v>59.0</v>
      </c>
      <c r="G371" s="74">
        <v>1.0</v>
      </c>
      <c r="H371" s="74">
        <v>11.0</v>
      </c>
      <c r="I371" s="119"/>
      <c r="J371" s="119"/>
      <c r="K371" s="74" t="s">
        <v>1923</v>
      </c>
      <c r="L371" s="74" t="s">
        <v>1923</v>
      </c>
      <c r="M371" s="74" t="s">
        <v>19458</v>
      </c>
      <c r="N371" s="74" t="s">
        <v>19459</v>
      </c>
      <c r="O371" s="74" t="s">
        <v>19460</v>
      </c>
      <c r="P371" s="74">
        <v>4.0</v>
      </c>
      <c r="Q371" s="119"/>
      <c r="R371" s="119"/>
      <c r="S371" s="74">
        <v>7.0</v>
      </c>
      <c r="T371" s="74">
        <v>1000.0</v>
      </c>
      <c r="U371" s="74">
        <v>3.0</v>
      </c>
      <c r="V371" s="74">
        <v>0.0</v>
      </c>
      <c r="W371" s="74">
        <v>7.0</v>
      </c>
      <c r="X371" s="74">
        <v>100.0</v>
      </c>
      <c r="Y371" s="74">
        <v>3.0</v>
      </c>
      <c r="Z371" s="74">
        <v>57.0</v>
      </c>
      <c r="AA371" s="74">
        <v>1.0</v>
      </c>
      <c r="AB371" s="74">
        <v>4.0</v>
      </c>
      <c r="AC371" s="74">
        <v>1000.0</v>
      </c>
      <c r="AD371" s="74">
        <v>3.0</v>
      </c>
      <c r="AE371" s="74">
        <v>1.0</v>
      </c>
      <c r="AF371" s="119"/>
      <c r="AG371" s="119"/>
      <c r="AH371" s="74">
        <v>7.0</v>
      </c>
      <c r="AI371" s="74">
        <v>1000.0</v>
      </c>
      <c r="AJ371" s="74">
        <v>3.0</v>
      </c>
      <c r="AK371" s="74">
        <v>1.0</v>
      </c>
      <c r="AL371" s="74">
        <v>7.0</v>
      </c>
      <c r="AM371" s="74">
        <v>100.0</v>
      </c>
      <c r="AN371" s="74">
        <v>3.0</v>
      </c>
      <c r="AO371" s="74">
        <v>0.0</v>
      </c>
      <c r="AP371" s="74">
        <v>0.0</v>
      </c>
      <c r="AQ371" s="119"/>
      <c r="AR371" s="119"/>
      <c r="AS371" s="119"/>
      <c r="AT371" s="119"/>
      <c r="AU371" s="74">
        <v>0.0</v>
      </c>
      <c r="AV371" s="119"/>
      <c r="AW371" s="119"/>
      <c r="AX371" s="119"/>
      <c r="AY371" s="119"/>
      <c r="AZ371" s="119"/>
      <c r="BA371" s="119"/>
      <c r="BB371" s="119"/>
      <c r="BC371" s="119"/>
      <c r="BD371" s="119"/>
      <c r="BE371" s="119"/>
      <c r="BF371" s="119"/>
      <c r="BG371" s="119"/>
      <c r="BH371" s="119"/>
      <c r="BI371" s="119"/>
      <c r="BJ371" s="119"/>
      <c r="BK371" s="119"/>
      <c r="BL371" s="119"/>
      <c r="BM371" s="119"/>
      <c r="BN371" s="119"/>
      <c r="BO371" s="119"/>
      <c r="BP371" s="119"/>
      <c r="BQ371" s="119"/>
      <c r="BR371" s="119"/>
      <c r="BS371" s="119"/>
      <c r="BT371" s="119"/>
      <c r="BU371" s="119"/>
      <c r="BV371" s="119"/>
      <c r="BW371" s="119"/>
      <c r="BX371" s="119"/>
      <c r="BY371" s="119"/>
      <c r="BZ371" s="119"/>
      <c r="CA371" s="119"/>
      <c r="CB371" s="119"/>
      <c r="CC371" s="74" t="s">
        <v>18302</v>
      </c>
      <c r="CD371" s="148">
        <v>43868.0</v>
      </c>
      <c r="CE371" s="74">
        <v>1.0</v>
      </c>
      <c r="CF371" s="74" t="s">
        <v>15555</v>
      </c>
      <c r="CG371" s="120">
        <v>6859.0</v>
      </c>
      <c r="CH371" s="74" t="s">
        <v>19488</v>
      </c>
      <c r="CI371" s="74" t="s">
        <v>19489</v>
      </c>
      <c r="CJ371" s="120">
        <v>370.0</v>
      </c>
    </row>
    <row r="372">
      <c r="A372" s="74" t="s">
        <v>19474</v>
      </c>
      <c r="B372" s="74" t="s">
        <v>6876</v>
      </c>
      <c r="C372" s="74" t="s">
        <v>6877</v>
      </c>
      <c r="D372" s="74" t="s">
        <v>8493</v>
      </c>
      <c r="E372" s="74" t="s">
        <v>19492</v>
      </c>
      <c r="F372" s="74">
        <v>59.0</v>
      </c>
      <c r="G372" s="74">
        <v>1.0</v>
      </c>
      <c r="H372" s="74">
        <v>11.0</v>
      </c>
      <c r="I372" s="119"/>
      <c r="J372" s="119"/>
      <c r="K372" s="74" t="s">
        <v>1926</v>
      </c>
      <c r="L372" s="74" t="s">
        <v>1926</v>
      </c>
      <c r="M372" s="74" t="s">
        <v>19458</v>
      </c>
      <c r="N372" s="74" t="s">
        <v>19459</v>
      </c>
      <c r="O372" s="74" t="s">
        <v>19460</v>
      </c>
      <c r="P372" s="74">
        <v>4.0</v>
      </c>
      <c r="Q372" s="119"/>
      <c r="R372" s="119"/>
      <c r="S372" s="74">
        <v>7.0</v>
      </c>
      <c r="T372" s="74">
        <v>1000.0</v>
      </c>
      <c r="U372" s="74">
        <v>3.0</v>
      </c>
      <c r="V372" s="74">
        <v>0.0</v>
      </c>
      <c r="W372" s="74">
        <v>7.0</v>
      </c>
      <c r="X372" s="74">
        <v>100.0</v>
      </c>
      <c r="Y372" s="74">
        <v>3.0</v>
      </c>
      <c r="Z372" s="74">
        <v>0.0</v>
      </c>
      <c r="AA372" s="74">
        <v>1.0</v>
      </c>
      <c r="AB372" s="74">
        <v>4.0</v>
      </c>
      <c r="AC372" s="74">
        <v>1000.0</v>
      </c>
      <c r="AD372" s="74">
        <v>3.0</v>
      </c>
      <c r="AE372" s="74">
        <v>3.0</v>
      </c>
      <c r="AF372" s="119"/>
      <c r="AG372" s="119"/>
      <c r="AH372" s="74">
        <v>7.0</v>
      </c>
      <c r="AI372" s="74">
        <v>1000.0</v>
      </c>
      <c r="AJ372" s="74">
        <v>3.0</v>
      </c>
      <c r="AK372" s="74">
        <v>23.0</v>
      </c>
      <c r="AL372" s="74">
        <v>7.0</v>
      </c>
      <c r="AM372" s="74">
        <v>100.0</v>
      </c>
      <c r="AN372" s="74">
        <v>3.0</v>
      </c>
      <c r="AO372" s="74">
        <v>1.0</v>
      </c>
      <c r="AP372" s="74">
        <v>0.0</v>
      </c>
      <c r="AQ372" s="119"/>
      <c r="AR372" s="119"/>
      <c r="AS372" s="119"/>
      <c r="AT372" s="119"/>
      <c r="AU372" s="74">
        <v>0.0</v>
      </c>
      <c r="AV372" s="119"/>
      <c r="AW372" s="119"/>
      <c r="AX372" s="119"/>
      <c r="AY372" s="119"/>
      <c r="AZ372" s="119"/>
      <c r="BA372" s="119"/>
      <c r="BB372" s="119"/>
      <c r="BC372" s="119"/>
      <c r="BD372" s="119"/>
      <c r="BE372" s="119"/>
      <c r="BF372" s="119"/>
      <c r="BG372" s="119"/>
      <c r="BH372" s="119"/>
      <c r="BI372" s="119"/>
      <c r="BJ372" s="119"/>
      <c r="BK372" s="119"/>
      <c r="BL372" s="119"/>
      <c r="BM372" s="119"/>
      <c r="BN372" s="119"/>
      <c r="BO372" s="119"/>
      <c r="BP372" s="119"/>
      <c r="BQ372" s="119"/>
      <c r="BR372" s="119"/>
      <c r="BS372" s="119"/>
      <c r="BT372" s="119"/>
      <c r="BU372" s="119"/>
      <c r="BV372" s="119"/>
      <c r="BW372" s="119"/>
      <c r="BX372" s="119"/>
      <c r="BY372" s="119"/>
      <c r="BZ372" s="119"/>
      <c r="CA372" s="119"/>
      <c r="CB372" s="119"/>
      <c r="CC372" s="74" t="s">
        <v>19506</v>
      </c>
      <c r="CD372" s="148">
        <v>43868.0</v>
      </c>
      <c r="CE372" s="74">
        <v>1.0</v>
      </c>
      <c r="CF372" s="74" t="s">
        <v>15555</v>
      </c>
      <c r="CG372" s="120">
        <v>6860.0</v>
      </c>
      <c r="CH372" s="74" t="s">
        <v>19508</v>
      </c>
      <c r="CI372" s="74" t="s">
        <v>19510</v>
      </c>
      <c r="CJ372" s="120">
        <v>371.0</v>
      </c>
    </row>
    <row r="373">
      <c r="A373" s="74" t="s">
        <v>19492</v>
      </c>
      <c r="B373" s="74" t="s">
        <v>6876</v>
      </c>
      <c r="C373" s="74" t="s">
        <v>6877</v>
      </c>
      <c r="D373" s="74" t="s">
        <v>8493</v>
      </c>
      <c r="E373" s="74" t="s">
        <v>19511</v>
      </c>
      <c r="F373" s="74">
        <v>59.0</v>
      </c>
      <c r="G373" s="74">
        <v>1.0</v>
      </c>
      <c r="H373" s="74">
        <v>11.0</v>
      </c>
      <c r="I373" s="119"/>
      <c r="J373" s="119"/>
      <c r="K373" s="74" t="s">
        <v>1929</v>
      </c>
      <c r="L373" s="74" t="s">
        <v>1929</v>
      </c>
      <c r="M373" s="74" t="s">
        <v>19458</v>
      </c>
      <c r="N373" s="74" t="s">
        <v>19459</v>
      </c>
      <c r="O373" s="74" t="s">
        <v>19460</v>
      </c>
      <c r="P373" s="74">
        <v>4.0</v>
      </c>
      <c r="Q373" s="119"/>
      <c r="R373" s="119"/>
      <c r="S373" s="74">
        <v>7.0</v>
      </c>
      <c r="T373" s="74">
        <v>1000.0</v>
      </c>
      <c r="U373" s="74">
        <v>3.0</v>
      </c>
      <c r="V373" s="74">
        <v>0.0</v>
      </c>
      <c r="W373" s="74">
        <v>7.0</v>
      </c>
      <c r="X373" s="74">
        <v>100.0</v>
      </c>
      <c r="Y373" s="74">
        <v>3.0</v>
      </c>
      <c r="Z373" s="74">
        <v>46.0</v>
      </c>
      <c r="AA373" s="74">
        <v>1.0</v>
      </c>
      <c r="AB373" s="74">
        <v>4.0</v>
      </c>
      <c r="AC373" s="74">
        <v>1000.0</v>
      </c>
      <c r="AD373" s="74">
        <v>3.0</v>
      </c>
      <c r="AE373" s="74">
        <v>2.0</v>
      </c>
      <c r="AF373" s="119"/>
      <c r="AG373" s="119"/>
      <c r="AH373" s="74">
        <v>7.0</v>
      </c>
      <c r="AI373" s="74">
        <v>5000.0</v>
      </c>
      <c r="AJ373" s="74">
        <v>3.0</v>
      </c>
      <c r="AK373" s="74">
        <v>0.0</v>
      </c>
      <c r="AL373" s="74">
        <v>7.0</v>
      </c>
      <c r="AM373" s="74">
        <v>1000.0</v>
      </c>
      <c r="AN373" s="74">
        <v>3.0</v>
      </c>
      <c r="AO373" s="74">
        <v>0.0</v>
      </c>
      <c r="AP373" s="74">
        <v>1.0</v>
      </c>
      <c r="AQ373" s="74">
        <v>7.0</v>
      </c>
      <c r="AR373" s="74">
        <v>100.0</v>
      </c>
      <c r="AS373" s="74">
        <v>3.0</v>
      </c>
      <c r="AT373" s="74">
        <v>0.0</v>
      </c>
      <c r="AU373" s="74">
        <v>0.0</v>
      </c>
      <c r="AV373" s="119"/>
      <c r="AW373" s="119"/>
      <c r="AX373" s="119"/>
      <c r="AY373" s="119"/>
      <c r="AZ373" s="119"/>
      <c r="BA373" s="119"/>
      <c r="BB373" s="119"/>
      <c r="BC373" s="119"/>
      <c r="BD373" s="119"/>
      <c r="BE373" s="119"/>
      <c r="BF373" s="119"/>
      <c r="BG373" s="119"/>
      <c r="BH373" s="119"/>
      <c r="BI373" s="119"/>
      <c r="BJ373" s="119"/>
      <c r="BK373" s="119"/>
      <c r="BL373" s="119"/>
      <c r="BM373" s="119"/>
      <c r="BN373" s="119"/>
      <c r="BO373" s="119"/>
      <c r="BP373" s="119"/>
      <c r="BQ373" s="119"/>
      <c r="BR373" s="119"/>
      <c r="BS373" s="119"/>
      <c r="BT373" s="119"/>
      <c r="BU373" s="119"/>
      <c r="BV373" s="119"/>
      <c r="BW373" s="119"/>
      <c r="BX373" s="119"/>
      <c r="BY373" s="119"/>
      <c r="BZ373" s="119"/>
      <c r="CA373" s="119"/>
      <c r="CB373" s="119"/>
      <c r="CC373" s="74" t="s">
        <v>16795</v>
      </c>
      <c r="CD373" s="148">
        <v>43868.0</v>
      </c>
      <c r="CE373" s="74">
        <v>1.0</v>
      </c>
      <c r="CF373" s="74" t="s">
        <v>15555</v>
      </c>
      <c r="CG373" s="120">
        <v>6861.0</v>
      </c>
      <c r="CH373" s="74" t="s">
        <v>19527</v>
      </c>
      <c r="CI373" s="74" t="s">
        <v>19528</v>
      </c>
      <c r="CJ373" s="120">
        <v>372.0</v>
      </c>
    </row>
    <row r="374">
      <c r="A374" s="74" t="s">
        <v>19511</v>
      </c>
      <c r="B374" s="74" t="s">
        <v>6876</v>
      </c>
      <c r="C374" s="74" t="s">
        <v>6877</v>
      </c>
      <c r="D374" s="74" t="s">
        <v>8493</v>
      </c>
      <c r="E374" s="74" t="s">
        <v>19530</v>
      </c>
      <c r="F374" s="74">
        <v>59.0</v>
      </c>
      <c r="G374" s="74">
        <v>1.0</v>
      </c>
      <c r="H374" s="74">
        <v>11.0</v>
      </c>
      <c r="I374" s="119"/>
      <c r="J374" s="119"/>
      <c r="K374" s="74" t="s">
        <v>1934</v>
      </c>
      <c r="L374" s="74" t="s">
        <v>1934</v>
      </c>
      <c r="M374" s="74" t="s">
        <v>19458</v>
      </c>
      <c r="N374" s="74" t="s">
        <v>19459</v>
      </c>
      <c r="O374" s="74" t="s">
        <v>19460</v>
      </c>
      <c r="P374" s="74">
        <v>4.0</v>
      </c>
      <c r="Q374" s="119"/>
      <c r="R374" s="119"/>
      <c r="S374" s="74">
        <v>7.0</v>
      </c>
      <c r="T374" s="74">
        <v>1000.0</v>
      </c>
      <c r="U374" s="74">
        <v>3.0</v>
      </c>
      <c r="V374" s="74">
        <v>45.0</v>
      </c>
      <c r="W374" s="74">
        <v>7.0</v>
      </c>
      <c r="X374" s="74">
        <v>100.0</v>
      </c>
      <c r="Y374" s="74">
        <v>3.0</v>
      </c>
      <c r="Z374" s="74">
        <v>15.0</v>
      </c>
      <c r="AA374" s="74">
        <v>1.0</v>
      </c>
      <c r="AB374" s="74">
        <v>4.0</v>
      </c>
      <c r="AC374" s="74">
        <v>1000.0</v>
      </c>
      <c r="AD374" s="74">
        <v>3.0</v>
      </c>
      <c r="AE374" s="74">
        <v>8.0</v>
      </c>
      <c r="AF374" s="119"/>
      <c r="AG374" s="119"/>
      <c r="AH374" s="74">
        <v>7.0</v>
      </c>
      <c r="AI374" s="74">
        <v>1000.0</v>
      </c>
      <c r="AJ374" s="74">
        <v>3.0</v>
      </c>
      <c r="AK374" s="74">
        <v>2.0</v>
      </c>
      <c r="AL374" s="74">
        <v>7.0</v>
      </c>
      <c r="AM374" s="74">
        <v>100.0</v>
      </c>
      <c r="AN374" s="74">
        <v>3.0</v>
      </c>
      <c r="AO374" s="74">
        <v>1.0</v>
      </c>
      <c r="AP374" s="74">
        <v>0.0</v>
      </c>
      <c r="AQ374" s="119"/>
      <c r="AR374" s="119"/>
      <c r="AS374" s="119"/>
      <c r="AT374" s="119"/>
      <c r="AU374" s="74">
        <v>0.0</v>
      </c>
      <c r="AV374" s="119"/>
      <c r="AW374" s="119"/>
      <c r="AX374" s="119"/>
      <c r="AY374" s="119"/>
      <c r="AZ374" s="119"/>
      <c r="BA374" s="119"/>
      <c r="BB374" s="119"/>
      <c r="BC374" s="119"/>
      <c r="BD374" s="119"/>
      <c r="BE374" s="119"/>
      <c r="BF374" s="119"/>
      <c r="BG374" s="119"/>
      <c r="BH374" s="119"/>
      <c r="BI374" s="119"/>
      <c r="BJ374" s="119"/>
      <c r="BK374" s="119"/>
      <c r="BL374" s="119"/>
      <c r="BM374" s="119"/>
      <c r="BN374" s="119"/>
      <c r="BO374" s="119"/>
      <c r="BP374" s="119"/>
      <c r="BQ374" s="119"/>
      <c r="BR374" s="119"/>
      <c r="BS374" s="119"/>
      <c r="BT374" s="119"/>
      <c r="BU374" s="119"/>
      <c r="BV374" s="119"/>
      <c r="BW374" s="119"/>
      <c r="BX374" s="119"/>
      <c r="BY374" s="119"/>
      <c r="BZ374" s="119"/>
      <c r="CA374" s="119"/>
      <c r="CB374" s="119"/>
      <c r="CC374" s="74" t="s">
        <v>16851</v>
      </c>
      <c r="CD374" s="148">
        <v>43868.0</v>
      </c>
      <c r="CE374" s="74">
        <v>1.0</v>
      </c>
      <c r="CF374" s="74" t="s">
        <v>15555</v>
      </c>
      <c r="CG374" s="120">
        <v>6862.0</v>
      </c>
      <c r="CH374" s="74" t="s">
        <v>19542</v>
      </c>
      <c r="CI374" s="74" t="s">
        <v>19543</v>
      </c>
      <c r="CJ374" s="120">
        <v>373.0</v>
      </c>
    </row>
    <row r="375">
      <c r="A375" s="74" t="s">
        <v>19545</v>
      </c>
      <c r="B375" s="74" t="s">
        <v>6876</v>
      </c>
      <c r="C375" s="74" t="s">
        <v>6877</v>
      </c>
      <c r="D375" s="74" t="s">
        <v>8493</v>
      </c>
      <c r="E375" s="74" t="s">
        <v>19546</v>
      </c>
      <c r="F375" s="74">
        <v>59.0</v>
      </c>
      <c r="G375" s="74">
        <v>1.0</v>
      </c>
      <c r="H375" s="74">
        <v>11.0</v>
      </c>
      <c r="I375" s="119"/>
      <c r="J375" s="119"/>
      <c r="K375" s="74" t="s">
        <v>1937</v>
      </c>
      <c r="L375" s="74" t="s">
        <v>1937</v>
      </c>
      <c r="M375" s="74" t="s">
        <v>19458</v>
      </c>
      <c r="N375" s="74" t="s">
        <v>19459</v>
      </c>
      <c r="O375" s="74" t="s">
        <v>19460</v>
      </c>
      <c r="P375" s="74">
        <v>4.0</v>
      </c>
      <c r="Q375" s="119"/>
      <c r="R375" s="119"/>
      <c r="S375" s="74">
        <v>7.0</v>
      </c>
      <c r="T375" s="74">
        <v>1000.0</v>
      </c>
      <c r="U375" s="74">
        <v>1.0</v>
      </c>
      <c r="V375" s="119"/>
      <c r="W375" s="74">
        <v>7.0</v>
      </c>
      <c r="X375" s="74">
        <v>100.0</v>
      </c>
      <c r="Y375" s="74">
        <v>3.0</v>
      </c>
      <c r="Z375" s="74">
        <v>38.0</v>
      </c>
      <c r="AA375" s="74">
        <v>1.0</v>
      </c>
      <c r="AB375" s="74">
        <v>4.0</v>
      </c>
      <c r="AC375" s="74">
        <v>1000.0</v>
      </c>
      <c r="AD375" s="74">
        <v>3.0</v>
      </c>
      <c r="AE375" s="74">
        <v>0.0</v>
      </c>
      <c r="AF375" s="119"/>
      <c r="AG375" s="119"/>
      <c r="AH375" s="74">
        <v>7.0</v>
      </c>
      <c r="AI375" s="74">
        <v>5000.0</v>
      </c>
      <c r="AJ375" s="74">
        <v>3.0</v>
      </c>
      <c r="AK375" s="74">
        <v>0.0</v>
      </c>
      <c r="AL375" s="74">
        <v>7.0</v>
      </c>
      <c r="AM375" s="74">
        <v>1000.0</v>
      </c>
      <c r="AN375" s="74">
        <v>3.0</v>
      </c>
      <c r="AO375" s="74">
        <v>0.0</v>
      </c>
      <c r="AP375" s="74">
        <v>1.0</v>
      </c>
      <c r="AQ375" s="74">
        <v>7.0</v>
      </c>
      <c r="AR375" s="74">
        <v>100.0</v>
      </c>
      <c r="AS375" s="74">
        <v>3.0</v>
      </c>
      <c r="AT375" s="74">
        <v>0.0</v>
      </c>
      <c r="AU375" s="74">
        <v>0.0</v>
      </c>
      <c r="AV375" s="119"/>
      <c r="AW375" s="119"/>
      <c r="AX375" s="119"/>
      <c r="AY375" s="119"/>
      <c r="AZ375" s="119"/>
      <c r="BA375" s="119"/>
      <c r="BB375" s="119"/>
      <c r="BC375" s="119"/>
      <c r="BD375" s="119"/>
      <c r="BE375" s="119"/>
      <c r="BF375" s="119"/>
      <c r="BG375" s="119"/>
      <c r="BH375" s="119"/>
      <c r="BI375" s="119"/>
      <c r="BJ375" s="119"/>
      <c r="BK375" s="119"/>
      <c r="BL375" s="119"/>
      <c r="BM375" s="119"/>
      <c r="BN375" s="119"/>
      <c r="BO375" s="119"/>
      <c r="BP375" s="119"/>
      <c r="BQ375" s="119"/>
      <c r="BR375" s="119"/>
      <c r="BS375" s="119"/>
      <c r="BT375" s="119"/>
      <c r="BU375" s="119"/>
      <c r="BV375" s="119"/>
      <c r="BW375" s="119"/>
      <c r="BX375" s="119"/>
      <c r="BY375" s="119"/>
      <c r="BZ375" s="119"/>
      <c r="CA375" s="119"/>
      <c r="CB375" s="119"/>
      <c r="CC375" s="74" t="s">
        <v>16851</v>
      </c>
      <c r="CD375" s="148">
        <v>43868.0</v>
      </c>
      <c r="CE375" s="74">
        <v>1.0</v>
      </c>
      <c r="CF375" s="74" t="s">
        <v>15555</v>
      </c>
      <c r="CG375" s="120">
        <v>6863.0</v>
      </c>
      <c r="CH375" s="74" t="s">
        <v>19570</v>
      </c>
      <c r="CI375" s="74" t="s">
        <v>19571</v>
      </c>
      <c r="CJ375" s="120">
        <v>374.0</v>
      </c>
    </row>
    <row r="376">
      <c r="A376" s="74" t="s">
        <v>19572</v>
      </c>
      <c r="B376" s="74" t="s">
        <v>6876</v>
      </c>
      <c r="C376" s="74" t="s">
        <v>6877</v>
      </c>
      <c r="D376" s="74" t="s">
        <v>8493</v>
      </c>
      <c r="E376" s="74" t="s">
        <v>19574</v>
      </c>
      <c r="F376" s="74">
        <v>59.0</v>
      </c>
      <c r="G376" s="74">
        <v>1.0</v>
      </c>
      <c r="H376" s="74">
        <v>11.0</v>
      </c>
      <c r="I376" s="119"/>
      <c r="J376" s="119"/>
      <c r="K376" s="74" t="s">
        <v>1940</v>
      </c>
      <c r="L376" s="74" t="s">
        <v>1940</v>
      </c>
      <c r="M376" s="74" t="s">
        <v>19458</v>
      </c>
      <c r="N376" s="74" t="s">
        <v>19459</v>
      </c>
      <c r="O376" s="74" t="s">
        <v>19460</v>
      </c>
      <c r="P376" s="74">
        <v>4.0</v>
      </c>
      <c r="Q376" s="119"/>
      <c r="R376" s="119"/>
      <c r="S376" s="74">
        <v>7.0</v>
      </c>
      <c r="T376" s="74">
        <v>1000.0</v>
      </c>
      <c r="U376" s="74">
        <v>3.0</v>
      </c>
      <c r="V376" s="74">
        <v>0.0</v>
      </c>
      <c r="W376" s="74">
        <v>7.0</v>
      </c>
      <c r="X376" s="74">
        <v>100.0</v>
      </c>
      <c r="Y376" s="74">
        <v>3.0</v>
      </c>
      <c r="Z376" s="74">
        <v>0.0</v>
      </c>
      <c r="AA376" s="74">
        <v>1.0</v>
      </c>
      <c r="AB376" s="74">
        <v>4.0</v>
      </c>
      <c r="AC376" s="74">
        <v>1000.0</v>
      </c>
      <c r="AD376" s="74">
        <v>3.0</v>
      </c>
      <c r="AE376" s="74">
        <v>49.0</v>
      </c>
      <c r="AF376" s="119"/>
      <c r="AG376" s="119"/>
      <c r="AH376" s="74">
        <v>7.0</v>
      </c>
      <c r="AI376" s="74">
        <v>1000.0</v>
      </c>
      <c r="AJ376" s="74">
        <v>3.0</v>
      </c>
      <c r="AK376" s="74">
        <v>88.0</v>
      </c>
      <c r="AL376" s="74">
        <v>7.0</v>
      </c>
      <c r="AM376" s="74">
        <v>100.0</v>
      </c>
      <c r="AN376" s="74">
        <v>3.0</v>
      </c>
      <c r="AO376" s="74">
        <v>10.0</v>
      </c>
      <c r="AP376" s="74">
        <v>0.0</v>
      </c>
      <c r="AQ376" s="119"/>
      <c r="AR376" s="119"/>
      <c r="AS376" s="119"/>
      <c r="AT376" s="119"/>
      <c r="AU376" s="74">
        <v>0.0</v>
      </c>
      <c r="AV376" s="119"/>
      <c r="AW376" s="119"/>
      <c r="AX376" s="119"/>
      <c r="AY376" s="119"/>
      <c r="AZ376" s="119"/>
      <c r="BA376" s="119"/>
      <c r="BB376" s="119"/>
      <c r="BC376" s="119"/>
      <c r="BD376" s="119"/>
      <c r="BE376" s="119"/>
      <c r="BF376" s="119"/>
      <c r="BG376" s="119"/>
      <c r="BH376" s="119"/>
      <c r="BI376" s="119"/>
      <c r="BJ376" s="119"/>
      <c r="BK376" s="119"/>
      <c r="BL376" s="119"/>
      <c r="BM376" s="119"/>
      <c r="BN376" s="119"/>
      <c r="BO376" s="119"/>
      <c r="BP376" s="119"/>
      <c r="BQ376" s="119"/>
      <c r="BR376" s="119"/>
      <c r="BS376" s="119"/>
      <c r="BT376" s="119"/>
      <c r="BU376" s="119"/>
      <c r="BV376" s="119"/>
      <c r="BW376" s="119"/>
      <c r="BX376" s="119"/>
      <c r="BY376" s="119"/>
      <c r="BZ376" s="119"/>
      <c r="CA376" s="119"/>
      <c r="CB376" s="119"/>
      <c r="CC376" s="74" t="s">
        <v>19587</v>
      </c>
      <c r="CD376" s="148">
        <v>43868.0</v>
      </c>
      <c r="CE376" s="74">
        <v>1.0</v>
      </c>
      <c r="CF376" s="74" t="s">
        <v>15555</v>
      </c>
      <c r="CG376" s="120">
        <v>6864.0</v>
      </c>
      <c r="CH376" s="74" t="s">
        <v>19589</v>
      </c>
      <c r="CI376" s="74" t="s">
        <v>19590</v>
      </c>
      <c r="CJ376" s="120">
        <v>375.0</v>
      </c>
    </row>
    <row r="377">
      <c r="A377" s="74" t="s">
        <v>19574</v>
      </c>
      <c r="B377" s="74" t="s">
        <v>6876</v>
      </c>
      <c r="C377" s="74" t="s">
        <v>6877</v>
      </c>
      <c r="D377" s="74" t="s">
        <v>8493</v>
      </c>
      <c r="E377" s="74" t="s">
        <v>19592</v>
      </c>
      <c r="F377" s="74">
        <v>59.0</v>
      </c>
      <c r="G377" s="74">
        <v>1.0</v>
      </c>
      <c r="H377" s="74">
        <v>11.0</v>
      </c>
      <c r="I377" s="119"/>
      <c r="J377" s="119"/>
      <c r="K377" s="74" t="s">
        <v>1943</v>
      </c>
      <c r="L377" s="74" t="s">
        <v>1943</v>
      </c>
      <c r="M377" s="74" t="s">
        <v>19458</v>
      </c>
      <c r="N377" s="74" t="s">
        <v>19459</v>
      </c>
      <c r="O377" s="74" t="s">
        <v>19460</v>
      </c>
      <c r="P377" s="74">
        <v>4.0</v>
      </c>
      <c r="Q377" s="119"/>
      <c r="R377" s="119"/>
      <c r="S377" s="74">
        <v>7.0</v>
      </c>
      <c r="T377" s="74">
        <v>1000.0</v>
      </c>
      <c r="U377" s="74">
        <v>3.0</v>
      </c>
      <c r="V377" s="74">
        <v>0.0</v>
      </c>
      <c r="W377" s="74">
        <v>7.0</v>
      </c>
      <c r="X377" s="74">
        <v>100.0</v>
      </c>
      <c r="Y377" s="74">
        <v>1.0</v>
      </c>
      <c r="Z377" s="119"/>
      <c r="AA377" s="74">
        <v>1.0</v>
      </c>
      <c r="AB377" s="74">
        <v>4.0</v>
      </c>
      <c r="AC377" s="74">
        <v>1000.0</v>
      </c>
      <c r="AD377" s="74">
        <v>3.0</v>
      </c>
      <c r="AE377" s="74">
        <v>1.0</v>
      </c>
      <c r="AF377" s="119"/>
      <c r="AG377" s="119"/>
      <c r="AH377" s="74">
        <v>7.0</v>
      </c>
      <c r="AI377" s="74">
        <v>1000.0</v>
      </c>
      <c r="AJ377" s="74">
        <v>3.0</v>
      </c>
      <c r="AK377" s="74">
        <v>30.0</v>
      </c>
      <c r="AL377" s="74">
        <v>7.0</v>
      </c>
      <c r="AM377" s="74">
        <v>100.0</v>
      </c>
      <c r="AN377" s="74">
        <v>3.0</v>
      </c>
      <c r="AO377" s="74">
        <v>4.0</v>
      </c>
      <c r="AP377" s="74">
        <v>0.0</v>
      </c>
      <c r="AQ377" s="119"/>
      <c r="AR377" s="119"/>
      <c r="AS377" s="119"/>
      <c r="AT377" s="119"/>
      <c r="AU377" s="74">
        <v>0.0</v>
      </c>
      <c r="AV377" s="119"/>
      <c r="AW377" s="119"/>
      <c r="AX377" s="119"/>
      <c r="AY377" s="119"/>
      <c r="AZ377" s="119"/>
      <c r="BA377" s="119"/>
      <c r="BB377" s="119"/>
      <c r="BC377" s="119"/>
      <c r="BD377" s="119"/>
      <c r="BE377" s="119"/>
      <c r="BF377" s="119"/>
      <c r="BG377" s="119"/>
      <c r="BH377" s="119"/>
      <c r="BI377" s="119"/>
      <c r="BJ377" s="119"/>
      <c r="BK377" s="119"/>
      <c r="BL377" s="119"/>
      <c r="BM377" s="119"/>
      <c r="BN377" s="119"/>
      <c r="BO377" s="119"/>
      <c r="BP377" s="119"/>
      <c r="BQ377" s="119"/>
      <c r="BR377" s="119"/>
      <c r="BS377" s="119"/>
      <c r="BT377" s="119"/>
      <c r="BU377" s="119"/>
      <c r="BV377" s="119"/>
      <c r="BW377" s="119"/>
      <c r="BX377" s="119"/>
      <c r="BY377" s="119"/>
      <c r="BZ377" s="119"/>
      <c r="CA377" s="119"/>
      <c r="CB377" s="119"/>
      <c r="CC377" s="74" t="s">
        <v>16795</v>
      </c>
      <c r="CD377" s="148">
        <v>43868.0</v>
      </c>
      <c r="CE377" s="74">
        <v>1.0</v>
      </c>
      <c r="CF377" s="74" t="s">
        <v>15555</v>
      </c>
      <c r="CG377" s="120">
        <v>6865.0</v>
      </c>
      <c r="CH377" s="74" t="s">
        <v>19609</v>
      </c>
      <c r="CI377" s="74" t="s">
        <v>19610</v>
      </c>
      <c r="CJ377" s="120">
        <v>376.0</v>
      </c>
    </row>
    <row r="378">
      <c r="A378" s="74" t="s">
        <v>19592</v>
      </c>
      <c r="B378" s="74" t="s">
        <v>6876</v>
      </c>
      <c r="C378" s="74" t="s">
        <v>6877</v>
      </c>
      <c r="D378" s="74" t="s">
        <v>8493</v>
      </c>
      <c r="E378" s="74" t="s">
        <v>19614</v>
      </c>
      <c r="F378" s="74">
        <v>59.0</v>
      </c>
      <c r="G378" s="74">
        <v>1.0</v>
      </c>
      <c r="H378" s="74">
        <v>11.0</v>
      </c>
      <c r="I378" s="119"/>
      <c r="J378" s="119"/>
      <c r="K378" s="74" t="s">
        <v>334</v>
      </c>
      <c r="L378" s="74" t="s">
        <v>334</v>
      </c>
      <c r="M378" s="74" t="s">
        <v>19458</v>
      </c>
      <c r="N378" s="74" t="s">
        <v>19459</v>
      </c>
      <c r="O378" s="74" t="s">
        <v>19460</v>
      </c>
      <c r="P378" s="74">
        <v>4.0</v>
      </c>
      <c r="Q378" s="119"/>
      <c r="R378" s="119"/>
      <c r="S378" s="74">
        <v>7.0</v>
      </c>
      <c r="T378" s="74">
        <v>1000.0</v>
      </c>
      <c r="U378" s="74">
        <v>1.0</v>
      </c>
      <c r="V378" s="119"/>
      <c r="W378" s="74">
        <v>7.0</v>
      </c>
      <c r="X378" s="74">
        <v>100.0</v>
      </c>
      <c r="Y378" s="74">
        <v>3.0</v>
      </c>
      <c r="Z378" s="74">
        <v>118.0</v>
      </c>
      <c r="AA378" s="74">
        <v>1.0</v>
      </c>
      <c r="AB378" s="74">
        <v>4.0</v>
      </c>
      <c r="AC378" s="74">
        <v>1000.0</v>
      </c>
      <c r="AD378" s="74">
        <v>3.0</v>
      </c>
      <c r="AE378" s="74">
        <v>0.0</v>
      </c>
      <c r="AF378" s="119"/>
      <c r="AG378" s="119"/>
      <c r="AH378" s="74">
        <v>7.0</v>
      </c>
      <c r="AI378" s="74">
        <v>1000.0</v>
      </c>
      <c r="AJ378" s="74">
        <v>3.0</v>
      </c>
      <c r="AK378" s="74">
        <v>12.0</v>
      </c>
      <c r="AL378" s="74">
        <v>7.0</v>
      </c>
      <c r="AM378" s="74">
        <v>100.0</v>
      </c>
      <c r="AN378" s="74">
        <v>3.0</v>
      </c>
      <c r="AO378" s="74">
        <v>1.0</v>
      </c>
      <c r="AP378" s="74">
        <v>0.0</v>
      </c>
      <c r="AQ378" s="119"/>
      <c r="AR378" s="119"/>
      <c r="AS378" s="119"/>
      <c r="AT378" s="119"/>
      <c r="AU378" s="74">
        <v>0.0</v>
      </c>
      <c r="AV378" s="119"/>
      <c r="AW378" s="119"/>
      <c r="AX378" s="119"/>
      <c r="AY378" s="119"/>
      <c r="AZ378" s="119"/>
      <c r="BA378" s="119"/>
      <c r="BB378" s="119"/>
      <c r="BC378" s="119"/>
      <c r="BD378" s="119"/>
      <c r="BE378" s="119"/>
      <c r="BF378" s="119"/>
      <c r="BG378" s="119"/>
      <c r="BH378" s="119"/>
      <c r="BI378" s="119"/>
      <c r="BJ378" s="119"/>
      <c r="BK378" s="119"/>
      <c r="BL378" s="119"/>
      <c r="BM378" s="119"/>
      <c r="BN378" s="119"/>
      <c r="BO378" s="119"/>
      <c r="BP378" s="119"/>
      <c r="BQ378" s="119"/>
      <c r="BR378" s="119"/>
      <c r="BS378" s="119"/>
      <c r="BT378" s="119"/>
      <c r="BU378" s="119"/>
      <c r="BV378" s="119"/>
      <c r="BW378" s="119"/>
      <c r="BX378" s="119"/>
      <c r="BY378" s="119"/>
      <c r="BZ378" s="119"/>
      <c r="CA378" s="119"/>
      <c r="CB378" s="119"/>
      <c r="CC378" s="74" t="s">
        <v>16851</v>
      </c>
      <c r="CD378" s="148">
        <v>43868.0</v>
      </c>
      <c r="CE378" s="74">
        <v>1.0</v>
      </c>
      <c r="CF378" s="74" t="s">
        <v>15555</v>
      </c>
      <c r="CG378" s="120">
        <v>6866.0</v>
      </c>
      <c r="CH378" s="74" t="s">
        <v>19627</v>
      </c>
      <c r="CI378" s="74" t="s">
        <v>19628</v>
      </c>
      <c r="CJ378" s="120">
        <v>377.0</v>
      </c>
    </row>
    <row r="379">
      <c r="A379" s="74" t="s">
        <v>19631</v>
      </c>
      <c r="B379" s="74" t="s">
        <v>6876</v>
      </c>
      <c r="C379" s="74" t="s">
        <v>6877</v>
      </c>
      <c r="D379" s="74" t="s">
        <v>8493</v>
      </c>
      <c r="E379" s="74" t="s">
        <v>19633</v>
      </c>
      <c r="F379" s="74">
        <v>59.0</v>
      </c>
      <c r="G379" s="74">
        <v>1.0</v>
      </c>
      <c r="H379" s="74">
        <v>11.0</v>
      </c>
      <c r="I379" s="119"/>
      <c r="J379" s="119"/>
      <c r="K379" s="74" t="s">
        <v>1950</v>
      </c>
      <c r="L379" s="74" t="s">
        <v>1950</v>
      </c>
      <c r="M379" s="74" t="s">
        <v>19458</v>
      </c>
      <c r="N379" s="74" t="s">
        <v>19459</v>
      </c>
      <c r="O379" s="74" t="s">
        <v>19460</v>
      </c>
      <c r="P379" s="74">
        <v>4.0</v>
      </c>
      <c r="Q379" s="119"/>
      <c r="R379" s="119"/>
      <c r="S379" s="74">
        <v>7.0</v>
      </c>
      <c r="T379" s="74">
        <v>1000.0</v>
      </c>
      <c r="U379" s="74">
        <v>3.0</v>
      </c>
      <c r="V379" s="74">
        <v>0.0</v>
      </c>
      <c r="W379" s="74">
        <v>7.0</v>
      </c>
      <c r="X379" s="74">
        <v>100.0</v>
      </c>
      <c r="Y379" s="74">
        <v>3.0</v>
      </c>
      <c r="Z379" s="74">
        <v>196.0</v>
      </c>
      <c r="AA379" s="74">
        <v>1.0</v>
      </c>
      <c r="AB379" s="74">
        <v>4.0</v>
      </c>
      <c r="AC379" s="74">
        <v>1000.0</v>
      </c>
      <c r="AD379" s="74">
        <v>3.0</v>
      </c>
      <c r="AE379" s="74">
        <v>0.0</v>
      </c>
      <c r="AF379" s="119"/>
      <c r="AG379" s="119"/>
      <c r="AH379" s="74">
        <v>7.0</v>
      </c>
      <c r="AI379" s="74">
        <v>1000.0</v>
      </c>
      <c r="AJ379" s="74">
        <v>3.0</v>
      </c>
      <c r="AK379" s="74">
        <v>84.0</v>
      </c>
      <c r="AL379" s="74">
        <v>7.0</v>
      </c>
      <c r="AM379" s="74">
        <v>100.0</v>
      </c>
      <c r="AN379" s="74">
        <v>3.0</v>
      </c>
      <c r="AO379" s="74">
        <v>6.0</v>
      </c>
      <c r="AP379" s="74">
        <v>0.0</v>
      </c>
      <c r="AQ379" s="119"/>
      <c r="AR379" s="119"/>
      <c r="AS379" s="119"/>
      <c r="AT379" s="119"/>
      <c r="AU379" s="74">
        <v>0.0</v>
      </c>
      <c r="AV379" s="119"/>
      <c r="AW379" s="119"/>
      <c r="AX379" s="119"/>
      <c r="AY379" s="119"/>
      <c r="AZ379" s="119"/>
      <c r="BA379" s="119"/>
      <c r="BB379" s="119"/>
      <c r="BC379" s="119"/>
      <c r="BD379" s="119"/>
      <c r="BE379" s="119"/>
      <c r="BF379" s="119"/>
      <c r="BG379" s="119"/>
      <c r="BH379" s="119"/>
      <c r="BI379" s="119"/>
      <c r="BJ379" s="119"/>
      <c r="BK379" s="119"/>
      <c r="BL379" s="119"/>
      <c r="BM379" s="119"/>
      <c r="BN379" s="119"/>
      <c r="BO379" s="119"/>
      <c r="BP379" s="119"/>
      <c r="BQ379" s="119"/>
      <c r="BR379" s="119"/>
      <c r="BS379" s="119"/>
      <c r="BT379" s="119"/>
      <c r="BU379" s="119"/>
      <c r="BV379" s="119"/>
      <c r="BW379" s="119"/>
      <c r="BX379" s="119"/>
      <c r="BY379" s="119"/>
      <c r="BZ379" s="119"/>
      <c r="CA379" s="119"/>
      <c r="CB379" s="119"/>
      <c r="CC379" s="74" t="s">
        <v>16795</v>
      </c>
      <c r="CD379" s="148">
        <v>43868.0</v>
      </c>
      <c r="CE379" s="74">
        <v>1.0</v>
      </c>
      <c r="CF379" s="74" t="s">
        <v>15555</v>
      </c>
      <c r="CG379" s="120">
        <v>6867.0</v>
      </c>
      <c r="CH379" s="74" t="s">
        <v>19660</v>
      </c>
      <c r="CI379" s="74" t="s">
        <v>19662</v>
      </c>
      <c r="CJ379" s="120">
        <v>378.0</v>
      </c>
    </row>
    <row r="380">
      <c r="A380" s="74" t="s">
        <v>19633</v>
      </c>
      <c r="B380" s="74" t="s">
        <v>6876</v>
      </c>
      <c r="C380" s="74" t="s">
        <v>6877</v>
      </c>
      <c r="D380" s="74" t="s">
        <v>8493</v>
      </c>
      <c r="E380" s="74" t="s">
        <v>19663</v>
      </c>
      <c r="F380" s="74">
        <v>59.0</v>
      </c>
      <c r="G380" s="74">
        <v>1.0</v>
      </c>
      <c r="H380" s="74">
        <v>11.0</v>
      </c>
      <c r="I380" s="119"/>
      <c r="J380" s="119"/>
      <c r="K380" s="74" t="s">
        <v>1960</v>
      </c>
      <c r="L380" s="74" t="s">
        <v>1960</v>
      </c>
      <c r="M380" s="74" t="s">
        <v>19458</v>
      </c>
      <c r="N380" s="74" t="s">
        <v>19459</v>
      </c>
      <c r="O380" s="74" t="s">
        <v>19460</v>
      </c>
      <c r="P380" s="74">
        <v>4.0</v>
      </c>
      <c r="Q380" s="119"/>
      <c r="R380" s="119"/>
      <c r="S380" s="74">
        <v>7.0</v>
      </c>
      <c r="T380" s="74">
        <v>1000.0</v>
      </c>
      <c r="U380" s="74">
        <v>3.0</v>
      </c>
      <c r="V380" s="74">
        <v>0.0</v>
      </c>
      <c r="W380" s="74">
        <v>7.0</v>
      </c>
      <c r="X380" s="74">
        <v>100.0</v>
      </c>
      <c r="Y380" s="74">
        <v>3.0</v>
      </c>
      <c r="Z380" s="74">
        <v>0.0</v>
      </c>
      <c r="AA380" s="74">
        <v>1.0</v>
      </c>
      <c r="AB380" s="74">
        <v>4.0</v>
      </c>
      <c r="AC380" s="74">
        <v>1000.0</v>
      </c>
      <c r="AD380" s="74">
        <v>3.0</v>
      </c>
      <c r="AE380" s="74">
        <v>48.0</v>
      </c>
      <c r="AF380" s="119"/>
      <c r="AG380" s="119"/>
      <c r="AH380" s="74">
        <v>7.0</v>
      </c>
      <c r="AI380" s="74">
        <v>5000.0</v>
      </c>
      <c r="AJ380" s="74">
        <v>3.0</v>
      </c>
      <c r="AK380" s="74">
        <v>0.0</v>
      </c>
      <c r="AL380" s="74">
        <v>7.0</v>
      </c>
      <c r="AM380" s="74">
        <v>1000.0</v>
      </c>
      <c r="AN380" s="74">
        <v>3.0</v>
      </c>
      <c r="AO380" s="74">
        <v>0.0</v>
      </c>
      <c r="AP380" s="74">
        <v>1.0</v>
      </c>
      <c r="AQ380" s="74">
        <v>7.0</v>
      </c>
      <c r="AR380" s="74">
        <v>100.0</v>
      </c>
      <c r="AS380" s="74">
        <v>3.0</v>
      </c>
      <c r="AT380" s="74">
        <v>0.0</v>
      </c>
      <c r="AU380" s="74">
        <v>0.0</v>
      </c>
      <c r="AV380" s="119"/>
      <c r="AW380" s="119"/>
      <c r="AX380" s="119"/>
      <c r="AY380" s="119"/>
      <c r="AZ380" s="119"/>
      <c r="BA380" s="119"/>
      <c r="BB380" s="119"/>
      <c r="BC380" s="119"/>
      <c r="BD380" s="119"/>
      <c r="BE380" s="119"/>
      <c r="BF380" s="119"/>
      <c r="BG380" s="119"/>
      <c r="BH380" s="119"/>
      <c r="BI380" s="119"/>
      <c r="BJ380" s="119"/>
      <c r="BK380" s="119"/>
      <c r="BL380" s="119"/>
      <c r="BM380" s="119"/>
      <c r="BN380" s="119"/>
      <c r="BO380" s="119"/>
      <c r="BP380" s="119"/>
      <c r="BQ380" s="119"/>
      <c r="BR380" s="119"/>
      <c r="BS380" s="119"/>
      <c r="BT380" s="119"/>
      <c r="BU380" s="119"/>
      <c r="BV380" s="119"/>
      <c r="BW380" s="119"/>
      <c r="BX380" s="119"/>
      <c r="BY380" s="119"/>
      <c r="BZ380" s="119"/>
      <c r="CA380" s="119"/>
      <c r="CB380" s="119"/>
      <c r="CC380" s="74" t="s">
        <v>19693</v>
      </c>
      <c r="CD380" s="148">
        <v>43868.0</v>
      </c>
      <c r="CE380" s="74">
        <v>1.0</v>
      </c>
      <c r="CF380" s="74" t="s">
        <v>15555</v>
      </c>
      <c r="CG380" s="120">
        <v>6868.0</v>
      </c>
      <c r="CH380" s="74" t="s">
        <v>19695</v>
      </c>
      <c r="CI380" s="74" t="s">
        <v>19697</v>
      </c>
      <c r="CJ380" s="120">
        <v>379.0</v>
      </c>
    </row>
    <row r="381">
      <c r="A381" s="74" t="s">
        <v>19699</v>
      </c>
      <c r="B381" s="74" t="s">
        <v>6876</v>
      </c>
      <c r="C381" s="74" t="s">
        <v>6877</v>
      </c>
      <c r="D381" s="74" t="s">
        <v>8493</v>
      </c>
      <c r="E381" s="74" t="s">
        <v>19702</v>
      </c>
      <c r="F381" s="74">
        <v>59.0</v>
      </c>
      <c r="G381" s="74">
        <v>1.0</v>
      </c>
      <c r="H381" s="74">
        <v>11.0</v>
      </c>
      <c r="I381" s="119"/>
      <c r="J381" s="119"/>
      <c r="K381" s="74" t="s">
        <v>1963</v>
      </c>
      <c r="L381" s="74" t="s">
        <v>1963</v>
      </c>
      <c r="M381" s="74" t="s">
        <v>19458</v>
      </c>
      <c r="N381" s="74" t="s">
        <v>19459</v>
      </c>
      <c r="O381" s="74" t="s">
        <v>19460</v>
      </c>
      <c r="P381" s="74">
        <v>4.0</v>
      </c>
      <c r="Q381" s="119"/>
      <c r="R381" s="119"/>
      <c r="S381" s="74">
        <v>7.0</v>
      </c>
      <c r="T381" s="74">
        <v>1000.0</v>
      </c>
      <c r="U381" s="74">
        <v>3.0</v>
      </c>
      <c r="V381" s="74">
        <v>0.0</v>
      </c>
      <c r="W381" s="74">
        <v>7.0</v>
      </c>
      <c r="X381" s="74">
        <v>100.0</v>
      </c>
      <c r="Y381" s="74">
        <v>1.0</v>
      </c>
      <c r="Z381" s="119"/>
      <c r="AA381" s="74">
        <v>1.0</v>
      </c>
      <c r="AB381" s="74">
        <v>4.0</v>
      </c>
      <c r="AC381" s="74">
        <v>1000.0</v>
      </c>
      <c r="AD381" s="74">
        <v>3.0</v>
      </c>
      <c r="AE381" s="74">
        <v>10.0</v>
      </c>
      <c r="AF381" s="119"/>
      <c r="AG381" s="119"/>
      <c r="AH381" s="74">
        <v>7.0</v>
      </c>
      <c r="AI381" s="74">
        <v>1000.0</v>
      </c>
      <c r="AJ381" s="74">
        <v>3.0</v>
      </c>
      <c r="AK381" s="74">
        <v>10.0</v>
      </c>
      <c r="AL381" s="74">
        <v>7.0</v>
      </c>
      <c r="AM381" s="74">
        <v>100.0</v>
      </c>
      <c r="AN381" s="74">
        <v>3.0</v>
      </c>
      <c r="AO381" s="74">
        <v>0.0</v>
      </c>
      <c r="AP381" s="74">
        <v>0.0</v>
      </c>
      <c r="AQ381" s="119"/>
      <c r="AR381" s="119"/>
      <c r="AS381" s="119"/>
      <c r="AT381" s="119"/>
      <c r="AU381" s="74">
        <v>0.0</v>
      </c>
      <c r="AV381" s="119"/>
      <c r="AW381" s="119"/>
      <c r="AX381" s="119"/>
      <c r="AY381" s="119"/>
      <c r="AZ381" s="119"/>
      <c r="BA381" s="119"/>
      <c r="BB381" s="119"/>
      <c r="BC381" s="119"/>
      <c r="BD381" s="119"/>
      <c r="BE381" s="119"/>
      <c r="BF381" s="119"/>
      <c r="BG381" s="119"/>
      <c r="BH381" s="119"/>
      <c r="BI381" s="119"/>
      <c r="BJ381" s="119"/>
      <c r="BK381" s="119"/>
      <c r="BL381" s="119"/>
      <c r="BM381" s="119"/>
      <c r="BN381" s="119"/>
      <c r="BO381" s="119"/>
      <c r="BP381" s="119"/>
      <c r="BQ381" s="119"/>
      <c r="BR381" s="119"/>
      <c r="BS381" s="119"/>
      <c r="BT381" s="119"/>
      <c r="BU381" s="119"/>
      <c r="BV381" s="119"/>
      <c r="BW381" s="119"/>
      <c r="BX381" s="119"/>
      <c r="BY381" s="119"/>
      <c r="BZ381" s="119"/>
      <c r="CA381" s="119"/>
      <c r="CB381" s="119"/>
      <c r="CC381" s="74" t="s">
        <v>18302</v>
      </c>
      <c r="CD381" s="148">
        <v>43868.0</v>
      </c>
      <c r="CE381" s="74">
        <v>1.0</v>
      </c>
      <c r="CF381" s="74" t="s">
        <v>15555</v>
      </c>
      <c r="CG381" s="120">
        <v>6869.0</v>
      </c>
      <c r="CH381" s="74" t="s">
        <v>19728</v>
      </c>
      <c r="CI381" s="74" t="s">
        <v>19729</v>
      </c>
      <c r="CJ381" s="120">
        <v>380.0</v>
      </c>
    </row>
    <row r="382">
      <c r="A382" s="74" t="s">
        <v>19731</v>
      </c>
      <c r="B382" s="74" t="s">
        <v>6876</v>
      </c>
      <c r="C382" s="74" t="s">
        <v>6877</v>
      </c>
      <c r="D382" s="74" t="s">
        <v>8493</v>
      </c>
      <c r="E382" s="74" t="s">
        <v>19734</v>
      </c>
      <c r="F382" s="74">
        <v>59.0</v>
      </c>
      <c r="G382" s="74">
        <v>1.0</v>
      </c>
      <c r="H382" s="74">
        <v>11.0</v>
      </c>
      <c r="I382" s="119"/>
      <c r="J382" s="119"/>
      <c r="K382" s="74" t="s">
        <v>1966</v>
      </c>
      <c r="L382" s="74" t="s">
        <v>1966</v>
      </c>
      <c r="M382" s="74" t="s">
        <v>19458</v>
      </c>
      <c r="N382" s="74" t="s">
        <v>19459</v>
      </c>
      <c r="O382" s="74" t="s">
        <v>19460</v>
      </c>
      <c r="P382" s="74">
        <v>4.0</v>
      </c>
      <c r="Q382" s="119"/>
      <c r="R382" s="119"/>
      <c r="S382" s="74">
        <v>7.0</v>
      </c>
      <c r="T382" s="74">
        <v>1000.0</v>
      </c>
      <c r="U382" s="74">
        <v>3.0</v>
      </c>
      <c r="V382" s="74">
        <v>0.0</v>
      </c>
      <c r="W382" s="74">
        <v>7.0</v>
      </c>
      <c r="X382" s="74">
        <v>100.0</v>
      </c>
      <c r="Y382" s="74">
        <v>1.0</v>
      </c>
      <c r="Z382" s="119"/>
      <c r="AA382" s="74">
        <v>1.0</v>
      </c>
      <c r="AB382" s="74">
        <v>4.0</v>
      </c>
      <c r="AC382" s="74">
        <v>1000.0</v>
      </c>
      <c r="AD382" s="74">
        <v>3.0</v>
      </c>
      <c r="AE382" s="74">
        <v>19.0</v>
      </c>
      <c r="AF382" s="119"/>
      <c r="AG382" s="119"/>
      <c r="AH382" s="74">
        <v>7.0</v>
      </c>
      <c r="AI382" s="74">
        <v>1000.0</v>
      </c>
      <c r="AJ382" s="74">
        <v>3.0</v>
      </c>
      <c r="AK382" s="74">
        <v>29.0</v>
      </c>
      <c r="AL382" s="74">
        <v>7.0</v>
      </c>
      <c r="AM382" s="74">
        <v>100.0</v>
      </c>
      <c r="AN382" s="74">
        <v>3.0</v>
      </c>
      <c r="AO382" s="74">
        <v>0.0</v>
      </c>
      <c r="AP382" s="74">
        <v>0.0</v>
      </c>
      <c r="AQ382" s="119"/>
      <c r="AR382" s="119"/>
      <c r="AS382" s="119"/>
      <c r="AT382" s="119"/>
      <c r="AU382" s="74">
        <v>0.0</v>
      </c>
      <c r="AV382" s="119"/>
      <c r="AW382" s="119"/>
      <c r="AX382" s="119"/>
      <c r="AY382" s="119"/>
      <c r="AZ382" s="119"/>
      <c r="BA382" s="119"/>
      <c r="BB382" s="119"/>
      <c r="BC382" s="119"/>
      <c r="BD382" s="119"/>
      <c r="BE382" s="119"/>
      <c r="BF382" s="119"/>
      <c r="BG382" s="119"/>
      <c r="BH382" s="119"/>
      <c r="BI382" s="119"/>
      <c r="BJ382" s="119"/>
      <c r="BK382" s="119"/>
      <c r="BL382" s="119"/>
      <c r="BM382" s="119"/>
      <c r="BN382" s="119"/>
      <c r="BO382" s="119"/>
      <c r="BP382" s="119"/>
      <c r="BQ382" s="119"/>
      <c r="BR382" s="119"/>
      <c r="BS382" s="119"/>
      <c r="BT382" s="119"/>
      <c r="BU382" s="119"/>
      <c r="BV382" s="119"/>
      <c r="BW382" s="119"/>
      <c r="BX382" s="119"/>
      <c r="BY382" s="119"/>
      <c r="BZ382" s="119"/>
      <c r="CA382" s="119"/>
      <c r="CB382" s="119"/>
      <c r="CC382" s="74" t="s">
        <v>16795</v>
      </c>
      <c r="CD382" s="148">
        <v>43868.0</v>
      </c>
      <c r="CE382" s="74">
        <v>1.0</v>
      </c>
      <c r="CF382" s="74" t="s">
        <v>15555</v>
      </c>
      <c r="CG382" s="120">
        <v>6870.0</v>
      </c>
      <c r="CH382" s="74" t="s">
        <v>19754</v>
      </c>
      <c r="CI382" s="74" t="s">
        <v>19756</v>
      </c>
      <c r="CJ382" s="120">
        <v>381.0</v>
      </c>
    </row>
    <row r="383">
      <c r="A383" s="74" t="s">
        <v>19734</v>
      </c>
      <c r="B383" s="74" t="s">
        <v>6876</v>
      </c>
      <c r="C383" s="74" t="s">
        <v>6877</v>
      </c>
      <c r="D383" s="74" t="s">
        <v>8493</v>
      </c>
      <c r="E383" s="74" t="s">
        <v>19758</v>
      </c>
      <c r="F383" s="74">
        <v>59.0</v>
      </c>
      <c r="G383" s="74">
        <v>1.0</v>
      </c>
      <c r="H383" s="74">
        <v>11.0</v>
      </c>
      <c r="I383" s="119"/>
      <c r="J383" s="119"/>
      <c r="K383" s="74" t="s">
        <v>1969</v>
      </c>
      <c r="L383" s="74" t="s">
        <v>1969</v>
      </c>
      <c r="M383" s="74" t="s">
        <v>19458</v>
      </c>
      <c r="N383" s="74" t="s">
        <v>19459</v>
      </c>
      <c r="O383" s="74" t="s">
        <v>19460</v>
      </c>
      <c r="P383" s="74">
        <v>4.0</v>
      </c>
      <c r="Q383" s="119"/>
      <c r="R383" s="119"/>
      <c r="S383" s="74">
        <v>7.0</v>
      </c>
      <c r="T383" s="74">
        <v>1000.0</v>
      </c>
      <c r="U383" s="74">
        <v>3.0</v>
      </c>
      <c r="V383" s="74">
        <v>103.0</v>
      </c>
      <c r="W383" s="74">
        <v>7.0</v>
      </c>
      <c r="X383" s="74">
        <v>100.0</v>
      </c>
      <c r="Y383" s="74">
        <v>3.0</v>
      </c>
      <c r="Z383" s="74">
        <v>17.0</v>
      </c>
      <c r="AA383" s="74">
        <v>1.0</v>
      </c>
      <c r="AB383" s="74">
        <v>4.0</v>
      </c>
      <c r="AC383" s="74">
        <v>1000.0</v>
      </c>
      <c r="AD383" s="74">
        <v>3.0</v>
      </c>
      <c r="AE383" s="74">
        <v>0.0</v>
      </c>
      <c r="AF383" s="119"/>
      <c r="AG383" s="119"/>
      <c r="AH383" s="74">
        <v>7.0</v>
      </c>
      <c r="AI383" s="74">
        <v>1000.0</v>
      </c>
      <c r="AJ383" s="74">
        <v>3.0</v>
      </c>
      <c r="AK383" s="74">
        <v>0.0</v>
      </c>
      <c r="AL383" s="74">
        <v>7.0</v>
      </c>
      <c r="AM383" s="74">
        <v>100.0</v>
      </c>
      <c r="AN383" s="74">
        <v>1.0</v>
      </c>
      <c r="AO383" s="119"/>
      <c r="AP383" s="74">
        <v>1.0</v>
      </c>
      <c r="AQ383" s="74">
        <v>6.0</v>
      </c>
      <c r="AR383" s="74">
        <v>1000.0</v>
      </c>
      <c r="AS383" s="74">
        <v>3.0</v>
      </c>
      <c r="AT383" s="74">
        <v>123.0</v>
      </c>
      <c r="AU383" s="74">
        <v>0.0</v>
      </c>
      <c r="AV383" s="119"/>
      <c r="AW383" s="119"/>
      <c r="AX383" s="119"/>
      <c r="AY383" s="119"/>
      <c r="AZ383" s="119"/>
      <c r="BA383" s="119"/>
      <c r="BB383" s="119"/>
      <c r="BC383" s="119"/>
      <c r="BD383" s="119"/>
      <c r="BE383" s="119"/>
      <c r="BF383" s="119"/>
      <c r="BG383" s="119"/>
      <c r="BH383" s="119"/>
      <c r="BI383" s="119"/>
      <c r="BJ383" s="119"/>
      <c r="BK383" s="119"/>
      <c r="BL383" s="119"/>
      <c r="BM383" s="119"/>
      <c r="BN383" s="119"/>
      <c r="BO383" s="119"/>
      <c r="BP383" s="119"/>
      <c r="BQ383" s="119"/>
      <c r="BR383" s="119"/>
      <c r="BS383" s="119"/>
      <c r="BT383" s="119"/>
      <c r="BU383" s="119"/>
      <c r="BV383" s="119"/>
      <c r="BW383" s="119"/>
      <c r="BX383" s="119"/>
      <c r="BY383" s="119"/>
      <c r="BZ383" s="119"/>
      <c r="CA383" s="119"/>
      <c r="CB383" s="119"/>
      <c r="CC383" s="74" t="s">
        <v>19777</v>
      </c>
      <c r="CD383" s="148">
        <v>43868.0</v>
      </c>
      <c r="CE383" s="74">
        <v>1.0</v>
      </c>
      <c r="CF383" s="74" t="s">
        <v>15555</v>
      </c>
      <c r="CG383" s="120">
        <v>6871.0</v>
      </c>
      <c r="CH383" s="74" t="s">
        <v>19779</v>
      </c>
      <c r="CI383" s="74" t="s">
        <v>19780</v>
      </c>
      <c r="CJ383" s="120">
        <v>382.0</v>
      </c>
    </row>
    <row r="384">
      <c r="A384" s="74" t="s">
        <v>19781</v>
      </c>
      <c r="B384" s="74" t="s">
        <v>6876</v>
      </c>
      <c r="C384" s="74" t="s">
        <v>6877</v>
      </c>
      <c r="D384" s="74" t="s">
        <v>8493</v>
      </c>
      <c r="E384" s="74" t="s">
        <v>19784</v>
      </c>
      <c r="F384" s="74">
        <v>57.0</v>
      </c>
      <c r="G384" s="74">
        <v>1.0</v>
      </c>
      <c r="H384" s="74">
        <v>16.0</v>
      </c>
      <c r="I384" s="119"/>
      <c r="J384" s="119"/>
      <c r="K384" s="74" t="s">
        <v>1982</v>
      </c>
      <c r="L384" s="74" t="s">
        <v>1982</v>
      </c>
      <c r="M384" s="74" t="s">
        <v>19458</v>
      </c>
      <c r="N384" s="74" t="s">
        <v>19459</v>
      </c>
      <c r="O384" s="74" t="s">
        <v>19460</v>
      </c>
      <c r="P384" s="119"/>
      <c r="Q384" s="119"/>
      <c r="R384" s="119"/>
      <c r="S384" s="74">
        <v>7.0</v>
      </c>
      <c r="T384" s="74">
        <v>1000.0</v>
      </c>
      <c r="U384" s="74">
        <v>3.0</v>
      </c>
      <c r="V384" s="74">
        <v>0.0</v>
      </c>
      <c r="W384" s="74">
        <v>7.0</v>
      </c>
      <c r="X384" s="74">
        <v>100.0</v>
      </c>
      <c r="Y384" s="74">
        <v>1.0</v>
      </c>
      <c r="Z384" s="119"/>
      <c r="AA384" s="74">
        <v>1.0</v>
      </c>
      <c r="AB384" s="74">
        <v>4.0</v>
      </c>
      <c r="AC384" s="74">
        <v>1000.0</v>
      </c>
      <c r="AD384" s="74">
        <v>3.0</v>
      </c>
      <c r="AE384" s="74">
        <v>1.0</v>
      </c>
      <c r="AF384" s="119"/>
      <c r="AG384" s="119"/>
      <c r="AH384" s="74">
        <v>7.0</v>
      </c>
      <c r="AI384" s="74">
        <v>5000.0</v>
      </c>
      <c r="AJ384" s="74">
        <v>3.0</v>
      </c>
      <c r="AK384" s="74">
        <v>0.0</v>
      </c>
      <c r="AL384" s="74">
        <v>7.0</v>
      </c>
      <c r="AM384" s="74">
        <v>1000.0</v>
      </c>
      <c r="AN384" s="74">
        <v>3.0</v>
      </c>
      <c r="AO384" s="74">
        <v>0.0</v>
      </c>
      <c r="AP384" s="74">
        <v>1.0</v>
      </c>
      <c r="AQ384" s="74">
        <v>7.0</v>
      </c>
      <c r="AR384" s="74">
        <v>100.0</v>
      </c>
      <c r="AS384" s="74">
        <v>3.0</v>
      </c>
      <c r="AT384" s="74">
        <v>0.0</v>
      </c>
      <c r="AU384" s="74">
        <v>0.0</v>
      </c>
      <c r="AV384" s="119"/>
      <c r="AW384" s="119"/>
      <c r="AX384" s="119"/>
      <c r="AY384" s="119"/>
      <c r="AZ384" s="119"/>
      <c r="BA384" s="119"/>
      <c r="BB384" s="119"/>
      <c r="BC384" s="119"/>
      <c r="BD384" s="119"/>
      <c r="BE384" s="119"/>
      <c r="BF384" s="119"/>
      <c r="BG384" s="119"/>
      <c r="BH384" s="119"/>
      <c r="BI384" s="119"/>
      <c r="BJ384" s="119"/>
      <c r="BK384" s="119"/>
      <c r="BL384" s="119"/>
      <c r="BM384" s="119"/>
      <c r="BN384" s="119"/>
      <c r="BO384" s="119"/>
      <c r="BP384" s="119"/>
      <c r="BQ384" s="119"/>
      <c r="BR384" s="119"/>
      <c r="BS384" s="119"/>
      <c r="BT384" s="119"/>
      <c r="BU384" s="119"/>
      <c r="BV384" s="119"/>
      <c r="BW384" s="119"/>
      <c r="BX384" s="119"/>
      <c r="BY384" s="119"/>
      <c r="BZ384" s="119"/>
      <c r="CA384" s="119"/>
      <c r="CB384" s="119"/>
      <c r="CC384" s="74" t="s">
        <v>16795</v>
      </c>
      <c r="CD384" s="148">
        <v>43868.0</v>
      </c>
      <c r="CE384" s="74">
        <v>1.0</v>
      </c>
      <c r="CF384" s="74" t="s">
        <v>15555</v>
      </c>
      <c r="CG384" s="120">
        <v>6872.0</v>
      </c>
      <c r="CH384" s="74" t="s">
        <v>19796</v>
      </c>
      <c r="CI384" s="74" t="s">
        <v>19797</v>
      </c>
      <c r="CJ384" s="120">
        <v>383.0</v>
      </c>
    </row>
    <row r="385">
      <c r="A385" s="74" t="s">
        <v>19798</v>
      </c>
      <c r="B385" s="74" t="s">
        <v>6876</v>
      </c>
      <c r="C385" s="74" t="s">
        <v>6877</v>
      </c>
      <c r="D385" s="74" t="s">
        <v>8493</v>
      </c>
      <c r="E385" s="74" t="s">
        <v>19799</v>
      </c>
      <c r="F385" s="74">
        <v>33.0</v>
      </c>
      <c r="G385" s="74">
        <v>1.0</v>
      </c>
      <c r="H385" s="74">
        <v>97.0</v>
      </c>
      <c r="I385" s="119"/>
      <c r="J385" s="119"/>
      <c r="K385" s="74" t="s">
        <v>436</v>
      </c>
      <c r="L385" s="74" t="s">
        <v>436</v>
      </c>
      <c r="M385" s="74" t="s">
        <v>19458</v>
      </c>
      <c r="N385" s="74" t="s">
        <v>19459</v>
      </c>
      <c r="O385" s="74" t="s">
        <v>19460</v>
      </c>
      <c r="P385" s="119"/>
      <c r="Q385" s="119"/>
      <c r="R385" s="119"/>
      <c r="S385" s="74">
        <v>7.0</v>
      </c>
      <c r="T385" s="74">
        <v>1000.0</v>
      </c>
      <c r="U385" s="74">
        <v>3.0</v>
      </c>
      <c r="V385" s="74">
        <v>162.0</v>
      </c>
      <c r="W385" s="119"/>
      <c r="X385" s="119"/>
      <c r="Y385" s="119"/>
      <c r="Z385" s="119"/>
      <c r="AA385" s="119"/>
      <c r="AB385" s="119"/>
      <c r="AC385" s="119"/>
      <c r="AD385" s="119"/>
      <c r="AE385" s="119"/>
      <c r="AF385" s="119"/>
      <c r="AG385" s="119"/>
      <c r="AH385" s="119"/>
      <c r="AI385" s="119"/>
      <c r="AJ385" s="119"/>
      <c r="AK385" s="119"/>
      <c r="AL385" s="119"/>
      <c r="AM385" s="119"/>
      <c r="AN385" s="119"/>
      <c r="AO385" s="119"/>
      <c r="AP385" s="119"/>
      <c r="AQ385" s="119"/>
      <c r="AR385" s="119"/>
      <c r="AS385" s="119"/>
      <c r="AT385" s="119"/>
      <c r="AU385" s="74">
        <v>0.0</v>
      </c>
      <c r="AV385" s="119"/>
      <c r="AW385" s="119"/>
      <c r="AX385" s="119"/>
      <c r="AY385" s="119"/>
      <c r="AZ385" s="119"/>
      <c r="BA385" s="119"/>
      <c r="BB385" s="119"/>
      <c r="BC385" s="119"/>
      <c r="BD385" s="119"/>
      <c r="BE385" s="119"/>
      <c r="BF385" s="119"/>
      <c r="BG385" s="119"/>
      <c r="BH385" s="119"/>
      <c r="BI385" s="119"/>
      <c r="BJ385" s="119"/>
      <c r="BK385" s="119"/>
      <c r="BL385" s="119"/>
      <c r="BM385" s="119"/>
      <c r="BN385" s="119"/>
      <c r="BO385" s="119"/>
      <c r="BP385" s="119"/>
      <c r="BQ385" s="119"/>
      <c r="BR385" s="119"/>
      <c r="BS385" s="119"/>
      <c r="BT385" s="119"/>
      <c r="BU385" s="119"/>
      <c r="BV385" s="119"/>
      <c r="BW385" s="119"/>
      <c r="BX385" s="119"/>
      <c r="BY385" s="119"/>
      <c r="BZ385" s="119"/>
      <c r="CA385" s="119"/>
      <c r="CB385" s="119"/>
      <c r="CC385" s="119"/>
      <c r="CD385" s="148">
        <v>43868.0</v>
      </c>
      <c r="CE385" s="74">
        <v>1.0</v>
      </c>
      <c r="CF385" s="74" t="s">
        <v>15555</v>
      </c>
      <c r="CG385" s="120">
        <v>6873.0</v>
      </c>
      <c r="CH385" s="74" t="s">
        <v>19816</v>
      </c>
      <c r="CI385" s="74" t="s">
        <v>19818</v>
      </c>
      <c r="CJ385" s="120">
        <v>384.0</v>
      </c>
    </row>
    <row r="386">
      <c r="A386" s="74" t="s">
        <v>19819</v>
      </c>
      <c r="B386" s="74" t="s">
        <v>6876</v>
      </c>
      <c r="C386" s="74" t="s">
        <v>6877</v>
      </c>
      <c r="D386" s="74" t="s">
        <v>8493</v>
      </c>
      <c r="E386" s="74" t="s">
        <v>19820</v>
      </c>
      <c r="F386" s="74">
        <v>33.0</v>
      </c>
      <c r="G386" s="74">
        <v>1.0</v>
      </c>
      <c r="H386" s="74">
        <v>97.0</v>
      </c>
      <c r="I386" s="119"/>
      <c r="J386" s="119"/>
      <c r="K386" s="74" t="s">
        <v>15565</v>
      </c>
      <c r="L386" s="74" t="s">
        <v>15565</v>
      </c>
      <c r="M386" s="74" t="s">
        <v>19458</v>
      </c>
      <c r="N386" s="74" t="s">
        <v>19459</v>
      </c>
      <c r="O386" s="74" t="s">
        <v>19460</v>
      </c>
      <c r="P386" s="119"/>
      <c r="Q386" s="119"/>
      <c r="R386" s="119"/>
      <c r="S386" s="119"/>
      <c r="T386" s="119"/>
      <c r="U386" s="119"/>
      <c r="V386" s="119"/>
      <c r="W386" s="119"/>
      <c r="X386" s="119"/>
      <c r="Y386" s="119"/>
      <c r="Z386" s="119"/>
      <c r="AA386" s="119"/>
      <c r="AB386" s="119"/>
      <c r="AC386" s="119"/>
      <c r="AD386" s="119"/>
      <c r="AE386" s="119"/>
      <c r="AF386" s="119"/>
      <c r="AG386" s="119"/>
      <c r="AH386" s="74">
        <v>7.0</v>
      </c>
      <c r="AI386" s="74">
        <v>1000.0</v>
      </c>
      <c r="AJ386" s="74">
        <v>3.0</v>
      </c>
      <c r="AK386" s="74">
        <v>142.0</v>
      </c>
      <c r="AL386" s="119"/>
      <c r="AM386" s="119"/>
      <c r="AN386" s="119"/>
      <c r="AO386" s="119"/>
      <c r="AP386" s="119"/>
      <c r="AQ386" s="119"/>
      <c r="AR386" s="119"/>
      <c r="AS386" s="119"/>
      <c r="AT386" s="119"/>
      <c r="AU386" s="74">
        <v>0.0</v>
      </c>
      <c r="AV386" s="119"/>
      <c r="AW386" s="119"/>
      <c r="AX386" s="119"/>
      <c r="AY386" s="119"/>
      <c r="AZ386" s="119"/>
      <c r="BA386" s="119"/>
      <c r="BB386" s="119"/>
      <c r="BC386" s="119"/>
      <c r="BD386" s="119"/>
      <c r="BE386" s="119"/>
      <c r="BF386" s="119"/>
      <c r="BG386" s="119"/>
      <c r="BH386" s="119"/>
      <c r="BI386" s="119"/>
      <c r="BJ386" s="119"/>
      <c r="BK386" s="119"/>
      <c r="BL386" s="119"/>
      <c r="BM386" s="119"/>
      <c r="BN386" s="119"/>
      <c r="BO386" s="119"/>
      <c r="BP386" s="119"/>
      <c r="BQ386" s="119"/>
      <c r="BR386" s="119"/>
      <c r="BS386" s="119"/>
      <c r="BT386" s="119"/>
      <c r="BU386" s="119"/>
      <c r="BV386" s="119"/>
      <c r="BW386" s="119"/>
      <c r="BX386" s="119"/>
      <c r="BY386" s="119"/>
      <c r="BZ386" s="119"/>
      <c r="CA386" s="119"/>
      <c r="CB386" s="119"/>
      <c r="CC386" s="119"/>
      <c r="CD386" s="148">
        <v>43868.0</v>
      </c>
      <c r="CE386" s="74">
        <v>1.0</v>
      </c>
      <c r="CF386" s="74" t="s">
        <v>15555</v>
      </c>
      <c r="CG386" s="120">
        <v>6874.0</v>
      </c>
      <c r="CH386" s="74" t="s">
        <v>19836</v>
      </c>
      <c r="CI386" s="74" t="s">
        <v>19837</v>
      </c>
      <c r="CJ386" s="120">
        <v>385.0</v>
      </c>
    </row>
    <row r="387">
      <c r="A387" s="74" t="s">
        <v>19839</v>
      </c>
      <c r="B387" s="74" t="s">
        <v>6876</v>
      </c>
      <c r="C387" s="74" t="s">
        <v>6877</v>
      </c>
      <c r="D387" s="74" t="s">
        <v>8493</v>
      </c>
      <c r="E387" s="74" t="s">
        <v>19841</v>
      </c>
      <c r="F387" s="74">
        <v>59.0</v>
      </c>
      <c r="G387" s="74">
        <v>1.0</v>
      </c>
      <c r="H387" s="74">
        <v>3.0</v>
      </c>
      <c r="I387" s="119"/>
      <c r="J387" s="119"/>
      <c r="K387" s="74" t="s">
        <v>1132</v>
      </c>
      <c r="L387" s="74" t="s">
        <v>1132</v>
      </c>
      <c r="M387" s="74" t="s">
        <v>19843</v>
      </c>
      <c r="N387" s="74" t="s">
        <v>19460</v>
      </c>
      <c r="O387" s="74" t="s">
        <v>19844</v>
      </c>
      <c r="P387" s="119"/>
      <c r="Q387" s="119"/>
      <c r="R387" s="119"/>
      <c r="S387" s="74">
        <v>7.0</v>
      </c>
      <c r="T387" s="74">
        <v>1000.0</v>
      </c>
      <c r="U387" s="74">
        <v>3.0</v>
      </c>
      <c r="V387" s="74">
        <v>0.0</v>
      </c>
      <c r="W387" s="74">
        <v>7.0</v>
      </c>
      <c r="X387" s="74">
        <v>100.0</v>
      </c>
      <c r="Y387" s="74">
        <v>3.0</v>
      </c>
      <c r="Z387" s="74">
        <v>0.0</v>
      </c>
      <c r="AA387" s="74">
        <v>0.0</v>
      </c>
      <c r="AB387" s="119"/>
      <c r="AC387" s="119"/>
      <c r="AD387" s="119"/>
      <c r="AE387" s="119"/>
      <c r="AF387" s="119"/>
      <c r="AG387" s="119"/>
      <c r="AH387" s="74">
        <v>7.0</v>
      </c>
      <c r="AI387" s="74">
        <v>5000.0</v>
      </c>
      <c r="AJ387" s="74">
        <v>3.0</v>
      </c>
      <c r="AK387" s="74">
        <v>0.0</v>
      </c>
      <c r="AL387" s="74">
        <v>7.0</v>
      </c>
      <c r="AM387" s="74">
        <v>1000.0</v>
      </c>
      <c r="AN387" s="74">
        <v>3.0</v>
      </c>
      <c r="AO387" s="74">
        <v>0.0</v>
      </c>
      <c r="AP387" s="74">
        <v>1.0</v>
      </c>
      <c r="AQ387" s="74">
        <v>7.0</v>
      </c>
      <c r="AR387" s="74">
        <v>100.0</v>
      </c>
      <c r="AS387" s="74">
        <v>3.0</v>
      </c>
      <c r="AT387" s="74">
        <v>0.0</v>
      </c>
      <c r="AU387" s="74">
        <v>0.0</v>
      </c>
      <c r="AV387" s="119"/>
      <c r="AW387" s="119"/>
      <c r="AX387" s="119"/>
      <c r="AY387" s="119"/>
      <c r="AZ387" s="119"/>
      <c r="BA387" s="119"/>
      <c r="BB387" s="119"/>
      <c r="BC387" s="119"/>
      <c r="BD387" s="119"/>
      <c r="BE387" s="119"/>
      <c r="BF387" s="119"/>
      <c r="BG387" s="119"/>
      <c r="BH387" s="119"/>
      <c r="BI387" s="119"/>
      <c r="BJ387" s="119"/>
      <c r="BK387" s="119"/>
      <c r="BL387" s="119"/>
      <c r="BM387" s="119"/>
      <c r="BN387" s="119"/>
      <c r="BO387" s="119"/>
      <c r="BP387" s="119"/>
      <c r="BQ387" s="119"/>
      <c r="BR387" s="119"/>
      <c r="BS387" s="119"/>
      <c r="BT387" s="119"/>
      <c r="BU387" s="119"/>
      <c r="BV387" s="119"/>
      <c r="BW387" s="119"/>
      <c r="BX387" s="119"/>
      <c r="BY387" s="119"/>
      <c r="BZ387" s="119"/>
      <c r="CA387" s="119"/>
      <c r="CB387" s="119"/>
      <c r="CC387" s="119"/>
      <c r="CD387" s="148">
        <v>43868.0</v>
      </c>
      <c r="CE387" s="74">
        <v>1.0</v>
      </c>
      <c r="CF387" s="74" t="s">
        <v>15555</v>
      </c>
      <c r="CG387" s="120">
        <v>6875.0</v>
      </c>
      <c r="CH387" s="74" t="s">
        <v>19860</v>
      </c>
      <c r="CI387" s="74" t="s">
        <v>19861</v>
      </c>
      <c r="CJ387" s="120">
        <v>386.0</v>
      </c>
    </row>
    <row r="388">
      <c r="A388" s="74" t="s">
        <v>19862</v>
      </c>
      <c r="B388" s="74" t="s">
        <v>6876</v>
      </c>
      <c r="C388" s="74" t="s">
        <v>6877</v>
      </c>
      <c r="D388" s="74" t="s">
        <v>8493</v>
      </c>
      <c r="E388" s="74" t="s">
        <v>19864</v>
      </c>
      <c r="F388" s="74">
        <v>59.0</v>
      </c>
      <c r="G388" s="74">
        <v>1.0</v>
      </c>
      <c r="H388" s="74">
        <v>11.0</v>
      </c>
      <c r="I388" s="119"/>
      <c r="J388" s="119"/>
      <c r="K388" s="74" t="s">
        <v>1988</v>
      </c>
      <c r="L388" s="74" t="s">
        <v>1988</v>
      </c>
      <c r="M388" s="74" t="s">
        <v>19865</v>
      </c>
      <c r="N388" s="74" t="s">
        <v>19844</v>
      </c>
      <c r="O388" s="74" t="s">
        <v>19866</v>
      </c>
      <c r="P388" s="74">
        <v>4.0</v>
      </c>
      <c r="Q388" s="119"/>
      <c r="R388" s="119"/>
      <c r="S388" s="74">
        <v>7.0</v>
      </c>
      <c r="T388" s="74">
        <v>1000.0</v>
      </c>
      <c r="U388" s="74">
        <v>3.0</v>
      </c>
      <c r="V388" s="74">
        <v>185.0</v>
      </c>
      <c r="W388" s="74">
        <v>7.0</v>
      </c>
      <c r="X388" s="74">
        <v>100.0</v>
      </c>
      <c r="Y388" s="74">
        <v>3.0</v>
      </c>
      <c r="Z388" s="74">
        <v>64.0</v>
      </c>
      <c r="AA388" s="74">
        <v>1.0</v>
      </c>
      <c r="AB388" s="74">
        <v>4.0</v>
      </c>
      <c r="AC388" s="74">
        <v>1000.0</v>
      </c>
      <c r="AD388" s="74">
        <v>3.0</v>
      </c>
      <c r="AE388" s="74">
        <v>0.0</v>
      </c>
      <c r="AF388" s="119"/>
      <c r="AG388" s="119"/>
      <c r="AH388" s="74">
        <v>7.0</v>
      </c>
      <c r="AI388" s="74">
        <v>5000.0</v>
      </c>
      <c r="AJ388" s="74">
        <v>3.0</v>
      </c>
      <c r="AK388" s="74">
        <v>0.0</v>
      </c>
      <c r="AL388" s="74">
        <v>7.0</v>
      </c>
      <c r="AM388" s="74">
        <v>1000.0</v>
      </c>
      <c r="AN388" s="74">
        <v>3.0</v>
      </c>
      <c r="AO388" s="74">
        <v>0.0</v>
      </c>
      <c r="AP388" s="74">
        <v>1.0</v>
      </c>
      <c r="AQ388" s="74">
        <v>7.0</v>
      </c>
      <c r="AR388" s="74">
        <v>100.0</v>
      </c>
      <c r="AS388" s="74">
        <v>3.0</v>
      </c>
      <c r="AT388" s="74">
        <v>0.0</v>
      </c>
      <c r="AU388" s="74">
        <v>0.0</v>
      </c>
      <c r="AV388" s="119"/>
      <c r="AW388" s="119"/>
      <c r="AX388" s="119"/>
      <c r="AY388" s="119"/>
      <c r="AZ388" s="119"/>
      <c r="BA388" s="119"/>
      <c r="BB388" s="119"/>
      <c r="BC388" s="119"/>
      <c r="BD388" s="119"/>
      <c r="BE388" s="119"/>
      <c r="BF388" s="119"/>
      <c r="BG388" s="119"/>
      <c r="BH388" s="119"/>
      <c r="BI388" s="119"/>
      <c r="BJ388" s="119"/>
      <c r="BK388" s="119"/>
      <c r="BL388" s="119"/>
      <c r="BM388" s="119"/>
      <c r="BN388" s="119"/>
      <c r="BO388" s="119"/>
      <c r="BP388" s="119"/>
      <c r="BQ388" s="119"/>
      <c r="BR388" s="119"/>
      <c r="BS388" s="119"/>
      <c r="BT388" s="119"/>
      <c r="BU388" s="119"/>
      <c r="BV388" s="119"/>
      <c r="BW388" s="119"/>
      <c r="BX388" s="119"/>
      <c r="BY388" s="119"/>
      <c r="BZ388" s="119"/>
      <c r="CA388" s="119"/>
      <c r="CB388" s="119"/>
      <c r="CC388" s="74" t="s">
        <v>16851</v>
      </c>
      <c r="CD388" s="148">
        <v>43868.0</v>
      </c>
      <c r="CE388" s="74">
        <v>1.0</v>
      </c>
      <c r="CF388" s="74" t="s">
        <v>15555</v>
      </c>
      <c r="CG388" s="120">
        <v>7150.0</v>
      </c>
      <c r="CH388" s="74" t="s">
        <v>19882</v>
      </c>
      <c r="CI388" s="74" t="s">
        <v>19883</v>
      </c>
      <c r="CJ388" s="120">
        <v>387.0</v>
      </c>
    </row>
    <row r="389">
      <c r="A389" s="74" t="s">
        <v>19864</v>
      </c>
      <c r="B389" s="74" t="s">
        <v>6876</v>
      </c>
      <c r="C389" s="74" t="s">
        <v>6877</v>
      </c>
      <c r="D389" s="74" t="s">
        <v>8493</v>
      </c>
      <c r="E389" s="74" t="s">
        <v>19886</v>
      </c>
      <c r="F389" s="74">
        <v>59.0</v>
      </c>
      <c r="G389" s="74">
        <v>1.0</v>
      </c>
      <c r="H389" s="74">
        <v>11.0</v>
      </c>
      <c r="I389" s="119"/>
      <c r="J389" s="119"/>
      <c r="K389" s="74" t="s">
        <v>1991</v>
      </c>
      <c r="L389" s="74" t="s">
        <v>1991</v>
      </c>
      <c r="M389" s="74" t="s">
        <v>19865</v>
      </c>
      <c r="N389" s="74" t="s">
        <v>19844</v>
      </c>
      <c r="O389" s="74" t="s">
        <v>19866</v>
      </c>
      <c r="P389" s="74">
        <v>4.0</v>
      </c>
      <c r="Q389" s="119"/>
      <c r="R389" s="119"/>
      <c r="S389" s="74">
        <v>7.0</v>
      </c>
      <c r="T389" s="74">
        <v>1000.0</v>
      </c>
      <c r="U389" s="74">
        <v>3.0</v>
      </c>
      <c r="V389" s="74">
        <v>0.0</v>
      </c>
      <c r="W389" s="74">
        <v>7.0</v>
      </c>
      <c r="X389" s="74">
        <v>100.0</v>
      </c>
      <c r="Y389" s="74">
        <v>1.0</v>
      </c>
      <c r="Z389" s="119"/>
      <c r="AA389" s="74">
        <v>1.0</v>
      </c>
      <c r="AB389" s="74">
        <v>4.0</v>
      </c>
      <c r="AC389" s="74">
        <v>1000.0</v>
      </c>
      <c r="AD389" s="74">
        <v>3.0</v>
      </c>
      <c r="AE389" s="74">
        <v>2.0</v>
      </c>
      <c r="AF389" s="119"/>
      <c r="AG389" s="119"/>
      <c r="AH389" s="74">
        <v>7.0</v>
      </c>
      <c r="AI389" s="74">
        <v>5000.0</v>
      </c>
      <c r="AJ389" s="74">
        <v>3.0</v>
      </c>
      <c r="AK389" s="74">
        <v>0.0</v>
      </c>
      <c r="AL389" s="74">
        <v>7.0</v>
      </c>
      <c r="AM389" s="74">
        <v>1000.0</v>
      </c>
      <c r="AN389" s="74">
        <v>3.0</v>
      </c>
      <c r="AO389" s="74">
        <v>0.0</v>
      </c>
      <c r="AP389" s="74">
        <v>1.0</v>
      </c>
      <c r="AQ389" s="74">
        <v>7.0</v>
      </c>
      <c r="AR389" s="74">
        <v>100.0</v>
      </c>
      <c r="AS389" s="74">
        <v>3.0</v>
      </c>
      <c r="AT389" s="74">
        <v>0.0</v>
      </c>
      <c r="AU389" s="74">
        <v>0.0</v>
      </c>
      <c r="AV389" s="119"/>
      <c r="AW389" s="119"/>
      <c r="AX389" s="119"/>
      <c r="AY389" s="119"/>
      <c r="AZ389" s="119"/>
      <c r="BA389" s="119"/>
      <c r="BB389" s="119"/>
      <c r="BC389" s="119"/>
      <c r="BD389" s="119"/>
      <c r="BE389" s="119"/>
      <c r="BF389" s="119"/>
      <c r="BG389" s="119"/>
      <c r="BH389" s="119"/>
      <c r="BI389" s="119"/>
      <c r="BJ389" s="119"/>
      <c r="BK389" s="119"/>
      <c r="BL389" s="119"/>
      <c r="BM389" s="119"/>
      <c r="BN389" s="119"/>
      <c r="BO389" s="119"/>
      <c r="BP389" s="119"/>
      <c r="BQ389" s="119"/>
      <c r="BR389" s="119"/>
      <c r="BS389" s="119"/>
      <c r="BT389" s="119"/>
      <c r="BU389" s="119"/>
      <c r="BV389" s="119"/>
      <c r="BW389" s="119"/>
      <c r="BX389" s="119"/>
      <c r="BY389" s="119"/>
      <c r="BZ389" s="119"/>
      <c r="CA389" s="119"/>
      <c r="CB389" s="119"/>
      <c r="CC389" s="74" t="s">
        <v>18302</v>
      </c>
      <c r="CD389" s="148">
        <v>43868.0</v>
      </c>
      <c r="CE389" s="74">
        <v>1.0</v>
      </c>
      <c r="CF389" s="74" t="s">
        <v>15555</v>
      </c>
      <c r="CG389" s="120">
        <v>7151.0</v>
      </c>
      <c r="CH389" s="74" t="s">
        <v>19901</v>
      </c>
      <c r="CI389" s="74" t="s">
        <v>19903</v>
      </c>
      <c r="CJ389" s="120">
        <v>388.0</v>
      </c>
    </row>
    <row r="390">
      <c r="A390" s="74" t="s">
        <v>19904</v>
      </c>
      <c r="B390" s="74" t="s">
        <v>6876</v>
      </c>
      <c r="C390" s="74" t="s">
        <v>6877</v>
      </c>
      <c r="D390" s="74" t="s">
        <v>8493</v>
      </c>
      <c r="E390" s="74" t="s">
        <v>19905</v>
      </c>
      <c r="F390" s="74">
        <v>59.0</v>
      </c>
      <c r="G390" s="74">
        <v>1.0</v>
      </c>
      <c r="H390" s="74">
        <v>11.0</v>
      </c>
      <c r="I390" s="119"/>
      <c r="J390" s="119"/>
      <c r="K390" s="74" t="s">
        <v>1994</v>
      </c>
      <c r="L390" s="74" t="s">
        <v>1994</v>
      </c>
      <c r="M390" s="74" t="s">
        <v>19865</v>
      </c>
      <c r="N390" s="74" t="s">
        <v>19844</v>
      </c>
      <c r="O390" s="74" t="s">
        <v>19866</v>
      </c>
      <c r="P390" s="74">
        <v>4.0</v>
      </c>
      <c r="Q390" s="119"/>
      <c r="R390" s="119"/>
      <c r="S390" s="74">
        <v>7.0</v>
      </c>
      <c r="T390" s="74">
        <v>1000.0</v>
      </c>
      <c r="U390" s="74">
        <v>1.0</v>
      </c>
      <c r="V390" s="119"/>
      <c r="W390" s="74">
        <v>7.0</v>
      </c>
      <c r="X390" s="74">
        <v>100.0</v>
      </c>
      <c r="Y390" s="74">
        <v>1.0</v>
      </c>
      <c r="Z390" s="119"/>
      <c r="AA390" s="74">
        <v>1.0</v>
      </c>
      <c r="AB390" s="74">
        <v>4.0</v>
      </c>
      <c r="AC390" s="74">
        <v>1000.0</v>
      </c>
      <c r="AD390" s="74">
        <v>3.0</v>
      </c>
      <c r="AE390" s="74">
        <v>0.0</v>
      </c>
      <c r="AF390" s="119"/>
      <c r="AG390" s="119"/>
      <c r="AH390" s="74">
        <v>7.0</v>
      </c>
      <c r="AI390" s="74">
        <v>1000.0</v>
      </c>
      <c r="AJ390" s="74">
        <v>3.0</v>
      </c>
      <c r="AK390" s="74">
        <v>6.0</v>
      </c>
      <c r="AL390" s="74">
        <v>7.0</v>
      </c>
      <c r="AM390" s="74">
        <v>100.0</v>
      </c>
      <c r="AN390" s="74">
        <v>3.0</v>
      </c>
      <c r="AO390" s="74">
        <v>0.0</v>
      </c>
      <c r="AP390" s="74">
        <v>0.0</v>
      </c>
      <c r="AQ390" s="119"/>
      <c r="AR390" s="119"/>
      <c r="AS390" s="119"/>
      <c r="AT390" s="119"/>
      <c r="AU390" s="74">
        <v>0.0</v>
      </c>
      <c r="AV390" s="119"/>
      <c r="AW390" s="119"/>
      <c r="AX390" s="119"/>
      <c r="AY390" s="119"/>
      <c r="AZ390" s="119"/>
      <c r="BA390" s="119"/>
      <c r="BB390" s="119"/>
      <c r="BC390" s="119"/>
      <c r="BD390" s="119"/>
      <c r="BE390" s="119"/>
      <c r="BF390" s="119"/>
      <c r="BG390" s="119"/>
      <c r="BH390" s="119"/>
      <c r="BI390" s="119"/>
      <c r="BJ390" s="119"/>
      <c r="BK390" s="119"/>
      <c r="BL390" s="119"/>
      <c r="BM390" s="119"/>
      <c r="BN390" s="119"/>
      <c r="BO390" s="119"/>
      <c r="BP390" s="119"/>
      <c r="BQ390" s="119"/>
      <c r="BR390" s="119"/>
      <c r="BS390" s="119"/>
      <c r="BT390" s="119"/>
      <c r="BU390" s="119"/>
      <c r="BV390" s="119"/>
      <c r="BW390" s="119"/>
      <c r="BX390" s="119"/>
      <c r="BY390" s="119"/>
      <c r="BZ390" s="119"/>
      <c r="CA390" s="119"/>
      <c r="CB390" s="119"/>
      <c r="CC390" s="74" t="s">
        <v>16851</v>
      </c>
      <c r="CD390" s="148">
        <v>43868.0</v>
      </c>
      <c r="CE390" s="74">
        <v>1.0</v>
      </c>
      <c r="CF390" s="74" t="s">
        <v>15555</v>
      </c>
      <c r="CG390" s="120">
        <v>7152.0</v>
      </c>
      <c r="CH390" s="74" t="s">
        <v>19925</v>
      </c>
      <c r="CI390" s="74" t="s">
        <v>19926</v>
      </c>
      <c r="CJ390" s="120">
        <v>389.0</v>
      </c>
    </row>
    <row r="391">
      <c r="A391" s="74" t="s">
        <v>19905</v>
      </c>
      <c r="B391" s="74" t="s">
        <v>6876</v>
      </c>
      <c r="C391" s="74" t="s">
        <v>6877</v>
      </c>
      <c r="D391" s="74" t="s">
        <v>8493</v>
      </c>
      <c r="E391" s="74" t="s">
        <v>19929</v>
      </c>
      <c r="F391" s="74">
        <v>59.0</v>
      </c>
      <c r="G391" s="74">
        <v>1.0</v>
      </c>
      <c r="H391" s="74">
        <v>11.0</v>
      </c>
      <c r="I391" s="119"/>
      <c r="J391" s="119"/>
      <c r="K391" s="74" t="s">
        <v>1997</v>
      </c>
      <c r="L391" s="74" t="s">
        <v>1997</v>
      </c>
      <c r="M391" s="74" t="s">
        <v>19865</v>
      </c>
      <c r="N391" s="74" t="s">
        <v>19844</v>
      </c>
      <c r="O391" s="74" t="s">
        <v>19866</v>
      </c>
      <c r="P391" s="74">
        <v>4.0</v>
      </c>
      <c r="Q391" s="119"/>
      <c r="R391" s="119"/>
      <c r="S391" s="74">
        <v>7.0</v>
      </c>
      <c r="T391" s="74">
        <v>1000.0</v>
      </c>
      <c r="U391" s="74">
        <v>1.0</v>
      </c>
      <c r="V391" s="119"/>
      <c r="W391" s="74">
        <v>7.0</v>
      </c>
      <c r="X391" s="74">
        <v>100.0</v>
      </c>
      <c r="Y391" s="74">
        <v>3.0</v>
      </c>
      <c r="Z391" s="74">
        <v>48.0</v>
      </c>
      <c r="AA391" s="74">
        <v>1.0</v>
      </c>
      <c r="AB391" s="74">
        <v>4.0</v>
      </c>
      <c r="AC391" s="74">
        <v>1000.0</v>
      </c>
      <c r="AD391" s="74">
        <v>3.0</v>
      </c>
      <c r="AE391" s="74">
        <v>2.0</v>
      </c>
      <c r="AF391" s="119"/>
      <c r="AG391" s="119"/>
      <c r="AH391" s="74">
        <v>7.0</v>
      </c>
      <c r="AI391" s="74">
        <v>5000.0</v>
      </c>
      <c r="AJ391" s="74">
        <v>3.0</v>
      </c>
      <c r="AK391" s="74">
        <v>0.0</v>
      </c>
      <c r="AL391" s="74">
        <v>7.0</v>
      </c>
      <c r="AM391" s="74">
        <v>1000.0</v>
      </c>
      <c r="AN391" s="74">
        <v>3.0</v>
      </c>
      <c r="AO391" s="74">
        <v>0.0</v>
      </c>
      <c r="AP391" s="74">
        <v>1.0</v>
      </c>
      <c r="AQ391" s="74">
        <v>7.0</v>
      </c>
      <c r="AR391" s="74">
        <v>100.0</v>
      </c>
      <c r="AS391" s="74">
        <v>3.0</v>
      </c>
      <c r="AT391" s="74">
        <v>0.0</v>
      </c>
      <c r="AU391" s="74">
        <v>0.0</v>
      </c>
      <c r="AV391" s="119"/>
      <c r="AW391" s="119"/>
      <c r="AX391" s="119"/>
      <c r="AY391" s="119"/>
      <c r="AZ391" s="119"/>
      <c r="BA391" s="119"/>
      <c r="BB391" s="119"/>
      <c r="BC391" s="119"/>
      <c r="BD391" s="119"/>
      <c r="BE391" s="119"/>
      <c r="BF391" s="119"/>
      <c r="BG391" s="119"/>
      <c r="BH391" s="119"/>
      <c r="BI391" s="119"/>
      <c r="BJ391" s="119"/>
      <c r="BK391" s="119"/>
      <c r="BL391" s="119"/>
      <c r="BM391" s="119"/>
      <c r="BN391" s="119"/>
      <c r="BO391" s="119"/>
      <c r="BP391" s="119"/>
      <c r="BQ391" s="119"/>
      <c r="BR391" s="119"/>
      <c r="BS391" s="119"/>
      <c r="BT391" s="119"/>
      <c r="BU391" s="119"/>
      <c r="BV391" s="119"/>
      <c r="BW391" s="119"/>
      <c r="BX391" s="119"/>
      <c r="BY391" s="119"/>
      <c r="BZ391" s="119"/>
      <c r="CA391" s="119"/>
      <c r="CB391" s="119"/>
      <c r="CC391" s="74" t="s">
        <v>16851</v>
      </c>
      <c r="CD391" s="148">
        <v>43868.0</v>
      </c>
      <c r="CE391" s="74">
        <v>1.0</v>
      </c>
      <c r="CF391" s="74" t="s">
        <v>15555</v>
      </c>
      <c r="CG391" s="120">
        <v>7153.0</v>
      </c>
      <c r="CH391" s="74" t="s">
        <v>19943</v>
      </c>
      <c r="CI391" s="74" t="s">
        <v>19944</v>
      </c>
      <c r="CJ391" s="120">
        <v>390.0</v>
      </c>
    </row>
    <row r="392">
      <c r="A392" s="74" t="s">
        <v>19945</v>
      </c>
      <c r="B392" s="74" t="s">
        <v>6876</v>
      </c>
      <c r="C392" s="74" t="s">
        <v>6877</v>
      </c>
      <c r="D392" s="74" t="s">
        <v>8493</v>
      </c>
      <c r="E392" s="74" t="s">
        <v>19947</v>
      </c>
      <c r="F392" s="74">
        <v>59.0</v>
      </c>
      <c r="G392" s="74">
        <v>1.0</v>
      </c>
      <c r="H392" s="74">
        <v>11.0</v>
      </c>
      <c r="I392" s="119"/>
      <c r="J392" s="119"/>
      <c r="K392" s="74" t="s">
        <v>2000</v>
      </c>
      <c r="L392" s="74" t="s">
        <v>2000</v>
      </c>
      <c r="M392" s="74" t="s">
        <v>19865</v>
      </c>
      <c r="N392" s="74" t="s">
        <v>19844</v>
      </c>
      <c r="O392" s="74" t="s">
        <v>19866</v>
      </c>
      <c r="P392" s="74">
        <v>4.0</v>
      </c>
      <c r="Q392" s="119"/>
      <c r="R392" s="119"/>
      <c r="S392" s="74">
        <v>7.0</v>
      </c>
      <c r="T392" s="74">
        <v>1000.0</v>
      </c>
      <c r="U392" s="74">
        <v>3.0</v>
      </c>
      <c r="V392" s="74">
        <v>0.0</v>
      </c>
      <c r="W392" s="74">
        <v>7.0</v>
      </c>
      <c r="X392" s="74">
        <v>100.0</v>
      </c>
      <c r="Y392" s="74">
        <v>1.0</v>
      </c>
      <c r="Z392" s="119"/>
      <c r="AA392" s="74">
        <v>1.0</v>
      </c>
      <c r="AB392" s="74">
        <v>4.0</v>
      </c>
      <c r="AC392" s="74">
        <v>1000.0</v>
      </c>
      <c r="AD392" s="74">
        <v>3.0</v>
      </c>
      <c r="AE392" s="74">
        <v>34.0</v>
      </c>
      <c r="AF392" s="119"/>
      <c r="AG392" s="119"/>
      <c r="AH392" s="74">
        <v>7.0</v>
      </c>
      <c r="AI392" s="74">
        <v>5000.0</v>
      </c>
      <c r="AJ392" s="74">
        <v>3.0</v>
      </c>
      <c r="AK392" s="74">
        <v>0.0</v>
      </c>
      <c r="AL392" s="74">
        <v>7.0</v>
      </c>
      <c r="AM392" s="74">
        <v>1000.0</v>
      </c>
      <c r="AN392" s="74">
        <v>3.0</v>
      </c>
      <c r="AO392" s="74">
        <v>0.0</v>
      </c>
      <c r="AP392" s="74">
        <v>1.0</v>
      </c>
      <c r="AQ392" s="74">
        <v>7.0</v>
      </c>
      <c r="AR392" s="74">
        <v>100.0</v>
      </c>
      <c r="AS392" s="74">
        <v>3.0</v>
      </c>
      <c r="AT392" s="74">
        <v>0.0</v>
      </c>
      <c r="AU392" s="74">
        <v>0.0</v>
      </c>
      <c r="AV392" s="119"/>
      <c r="AW392" s="119"/>
      <c r="AX392" s="119"/>
      <c r="AY392" s="119"/>
      <c r="AZ392" s="119"/>
      <c r="BA392" s="119"/>
      <c r="BB392" s="119"/>
      <c r="BC392" s="119"/>
      <c r="BD392" s="119"/>
      <c r="BE392" s="119"/>
      <c r="BF392" s="119"/>
      <c r="BG392" s="119"/>
      <c r="BH392" s="119"/>
      <c r="BI392" s="119"/>
      <c r="BJ392" s="119"/>
      <c r="BK392" s="119"/>
      <c r="BL392" s="119"/>
      <c r="BM392" s="119"/>
      <c r="BN392" s="119"/>
      <c r="BO392" s="119"/>
      <c r="BP392" s="119"/>
      <c r="BQ392" s="119"/>
      <c r="BR392" s="119"/>
      <c r="BS392" s="119"/>
      <c r="BT392" s="119"/>
      <c r="BU392" s="119"/>
      <c r="BV392" s="119"/>
      <c r="BW392" s="119"/>
      <c r="BX392" s="119"/>
      <c r="BY392" s="119"/>
      <c r="BZ392" s="119"/>
      <c r="CA392" s="119"/>
      <c r="CB392" s="119"/>
      <c r="CC392" s="74" t="s">
        <v>16795</v>
      </c>
      <c r="CD392" s="148">
        <v>43868.0</v>
      </c>
      <c r="CE392" s="74">
        <v>1.0</v>
      </c>
      <c r="CF392" s="74" t="s">
        <v>15555</v>
      </c>
      <c r="CG392" s="120">
        <v>7154.0</v>
      </c>
      <c r="CH392" s="74" t="s">
        <v>19957</v>
      </c>
      <c r="CI392" s="74" t="s">
        <v>19958</v>
      </c>
      <c r="CJ392" s="120">
        <v>391.0</v>
      </c>
    </row>
    <row r="393">
      <c r="A393" s="74" t="s">
        <v>19947</v>
      </c>
      <c r="B393" s="74" t="s">
        <v>6876</v>
      </c>
      <c r="C393" s="74" t="s">
        <v>6877</v>
      </c>
      <c r="D393" s="74" t="s">
        <v>8493</v>
      </c>
      <c r="E393" s="74" t="s">
        <v>19959</v>
      </c>
      <c r="F393" s="74">
        <v>33.0</v>
      </c>
      <c r="G393" s="74">
        <v>1.0</v>
      </c>
      <c r="H393" s="74">
        <v>97.0</v>
      </c>
      <c r="I393" s="119"/>
      <c r="J393" s="119"/>
      <c r="K393" s="74" t="s">
        <v>436</v>
      </c>
      <c r="L393" s="74" t="s">
        <v>436</v>
      </c>
      <c r="M393" s="74" t="s">
        <v>19865</v>
      </c>
      <c r="N393" s="74" t="s">
        <v>19844</v>
      </c>
      <c r="O393" s="74" t="s">
        <v>19866</v>
      </c>
      <c r="P393" s="119"/>
      <c r="Q393" s="119"/>
      <c r="R393" s="119"/>
      <c r="S393" s="74">
        <v>7.0</v>
      </c>
      <c r="T393" s="74">
        <v>1000.0</v>
      </c>
      <c r="U393" s="74">
        <v>3.0</v>
      </c>
      <c r="V393" s="74">
        <v>169.0</v>
      </c>
      <c r="W393" s="119"/>
      <c r="X393" s="119"/>
      <c r="Y393" s="119"/>
      <c r="Z393" s="119"/>
      <c r="AA393" s="119"/>
      <c r="AB393" s="119"/>
      <c r="AC393" s="119"/>
      <c r="AD393" s="119"/>
      <c r="AE393" s="119"/>
      <c r="AF393" s="119"/>
      <c r="AG393" s="119"/>
      <c r="AH393" s="119"/>
      <c r="AI393" s="119"/>
      <c r="AJ393" s="119"/>
      <c r="AK393" s="119"/>
      <c r="AL393" s="119"/>
      <c r="AM393" s="119"/>
      <c r="AN393" s="119"/>
      <c r="AO393" s="119"/>
      <c r="AP393" s="119"/>
      <c r="AQ393" s="119"/>
      <c r="AR393" s="119"/>
      <c r="AS393" s="119"/>
      <c r="AT393" s="119"/>
      <c r="AU393" s="74">
        <v>0.0</v>
      </c>
      <c r="AV393" s="119"/>
      <c r="AW393" s="119"/>
      <c r="AX393" s="119"/>
      <c r="AY393" s="119"/>
      <c r="AZ393" s="119"/>
      <c r="BA393" s="119"/>
      <c r="BB393" s="119"/>
      <c r="BC393" s="119"/>
      <c r="BD393" s="119"/>
      <c r="BE393" s="119"/>
      <c r="BF393" s="119"/>
      <c r="BG393" s="119"/>
      <c r="BH393" s="119"/>
      <c r="BI393" s="119"/>
      <c r="BJ393" s="119"/>
      <c r="BK393" s="119"/>
      <c r="BL393" s="119"/>
      <c r="BM393" s="119"/>
      <c r="BN393" s="119"/>
      <c r="BO393" s="119"/>
      <c r="BP393" s="119"/>
      <c r="BQ393" s="119"/>
      <c r="BR393" s="119"/>
      <c r="BS393" s="119"/>
      <c r="BT393" s="119"/>
      <c r="BU393" s="119"/>
      <c r="BV393" s="119"/>
      <c r="BW393" s="119"/>
      <c r="BX393" s="119"/>
      <c r="BY393" s="119"/>
      <c r="BZ393" s="119"/>
      <c r="CA393" s="119"/>
      <c r="CB393" s="119"/>
      <c r="CC393" s="119"/>
      <c r="CD393" s="148">
        <v>43868.0</v>
      </c>
      <c r="CE393" s="74">
        <v>1.0</v>
      </c>
      <c r="CF393" s="74" t="s">
        <v>15555</v>
      </c>
      <c r="CG393" s="120">
        <v>7155.0</v>
      </c>
      <c r="CH393" s="74" t="s">
        <v>19966</v>
      </c>
      <c r="CI393" s="74" t="s">
        <v>19967</v>
      </c>
      <c r="CJ393" s="120">
        <v>392.0</v>
      </c>
    </row>
    <row r="394">
      <c r="A394" s="74" t="s">
        <v>19971</v>
      </c>
      <c r="B394" s="74" t="s">
        <v>6876</v>
      </c>
      <c r="C394" s="74" t="s">
        <v>6877</v>
      </c>
      <c r="D394" s="74" t="s">
        <v>8493</v>
      </c>
      <c r="E394" s="74" t="s">
        <v>19974</v>
      </c>
      <c r="F394" s="74">
        <v>33.0</v>
      </c>
      <c r="G394" s="74">
        <v>1.0</v>
      </c>
      <c r="H394" s="74">
        <v>97.0</v>
      </c>
      <c r="I394" s="119"/>
      <c r="J394" s="119"/>
      <c r="K394" s="74" t="s">
        <v>15565</v>
      </c>
      <c r="L394" s="74" t="s">
        <v>15565</v>
      </c>
      <c r="M394" s="74" t="s">
        <v>19865</v>
      </c>
      <c r="N394" s="74" t="s">
        <v>19844</v>
      </c>
      <c r="O394" s="74" t="s">
        <v>19866</v>
      </c>
      <c r="P394" s="119"/>
      <c r="Q394" s="119"/>
      <c r="R394" s="119"/>
      <c r="S394" s="119"/>
      <c r="T394" s="119"/>
      <c r="U394" s="119"/>
      <c r="V394" s="119"/>
      <c r="W394" s="119"/>
      <c r="X394" s="119"/>
      <c r="Y394" s="119"/>
      <c r="Z394" s="119"/>
      <c r="AA394" s="119"/>
      <c r="AB394" s="119"/>
      <c r="AC394" s="119"/>
      <c r="AD394" s="119"/>
      <c r="AE394" s="119"/>
      <c r="AF394" s="119"/>
      <c r="AG394" s="119"/>
      <c r="AH394" s="74">
        <v>7.0</v>
      </c>
      <c r="AI394" s="74">
        <v>1000.0</v>
      </c>
      <c r="AJ394" s="74">
        <v>3.0</v>
      </c>
      <c r="AK394" s="74">
        <v>137.0</v>
      </c>
      <c r="AL394" s="119"/>
      <c r="AM394" s="119"/>
      <c r="AN394" s="119"/>
      <c r="AO394" s="119"/>
      <c r="AP394" s="119"/>
      <c r="AQ394" s="119"/>
      <c r="AR394" s="119"/>
      <c r="AS394" s="119"/>
      <c r="AT394" s="119"/>
      <c r="AU394" s="74">
        <v>0.0</v>
      </c>
      <c r="AV394" s="119"/>
      <c r="AW394" s="119"/>
      <c r="AX394" s="119"/>
      <c r="AY394" s="119"/>
      <c r="AZ394" s="119"/>
      <c r="BA394" s="119"/>
      <c r="BB394" s="119"/>
      <c r="BC394" s="119"/>
      <c r="BD394" s="119"/>
      <c r="BE394" s="119"/>
      <c r="BF394" s="119"/>
      <c r="BG394" s="119"/>
      <c r="BH394" s="119"/>
      <c r="BI394" s="119"/>
      <c r="BJ394" s="119"/>
      <c r="BK394" s="119"/>
      <c r="BL394" s="119"/>
      <c r="BM394" s="119"/>
      <c r="BN394" s="119"/>
      <c r="BO394" s="119"/>
      <c r="BP394" s="119"/>
      <c r="BQ394" s="119"/>
      <c r="BR394" s="119"/>
      <c r="BS394" s="119"/>
      <c r="BT394" s="119"/>
      <c r="BU394" s="119"/>
      <c r="BV394" s="119"/>
      <c r="BW394" s="119"/>
      <c r="BX394" s="119"/>
      <c r="BY394" s="119"/>
      <c r="BZ394" s="119"/>
      <c r="CA394" s="119"/>
      <c r="CB394" s="119"/>
      <c r="CC394" s="119"/>
      <c r="CD394" s="148">
        <v>43868.0</v>
      </c>
      <c r="CE394" s="74">
        <v>1.0</v>
      </c>
      <c r="CF394" s="74" t="s">
        <v>15555</v>
      </c>
      <c r="CG394" s="120">
        <v>7156.0</v>
      </c>
      <c r="CH394" s="74" t="s">
        <v>19983</v>
      </c>
      <c r="CI394" s="74" t="s">
        <v>19984</v>
      </c>
      <c r="CJ394" s="120">
        <v>393.0</v>
      </c>
    </row>
    <row r="395">
      <c r="A395" s="74" t="s">
        <v>19974</v>
      </c>
      <c r="B395" s="74" t="s">
        <v>6876</v>
      </c>
      <c r="C395" s="74" t="s">
        <v>6877</v>
      </c>
      <c r="D395" s="74" t="s">
        <v>8493</v>
      </c>
      <c r="E395" s="74" t="s">
        <v>19985</v>
      </c>
      <c r="F395" s="74">
        <v>59.0</v>
      </c>
      <c r="G395" s="74">
        <v>1.0</v>
      </c>
      <c r="H395" s="74">
        <v>11.0</v>
      </c>
      <c r="I395" s="119"/>
      <c r="J395" s="119"/>
      <c r="K395" s="74" t="s">
        <v>2014</v>
      </c>
      <c r="L395" s="74" t="s">
        <v>2014</v>
      </c>
      <c r="M395" s="74" t="s">
        <v>14851</v>
      </c>
      <c r="N395" s="74" t="s">
        <v>19988</v>
      </c>
      <c r="O395" s="74" t="s">
        <v>19989</v>
      </c>
      <c r="P395" s="74">
        <v>4.0</v>
      </c>
      <c r="Q395" s="119"/>
      <c r="R395" s="119"/>
      <c r="S395" s="74">
        <v>7.0</v>
      </c>
      <c r="T395" s="74">
        <v>1000.0</v>
      </c>
      <c r="U395" s="74">
        <v>3.0</v>
      </c>
      <c r="V395" s="74">
        <v>0.0</v>
      </c>
      <c r="W395" s="74">
        <v>7.0</v>
      </c>
      <c r="X395" s="74">
        <v>100.0</v>
      </c>
      <c r="Y395" s="74">
        <v>3.0</v>
      </c>
      <c r="Z395" s="74">
        <v>59.0</v>
      </c>
      <c r="AA395" s="74">
        <v>1.0</v>
      </c>
      <c r="AB395" s="74">
        <v>4.0</v>
      </c>
      <c r="AC395" s="74">
        <v>1000.0</v>
      </c>
      <c r="AD395" s="74">
        <v>3.0</v>
      </c>
      <c r="AE395" s="74">
        <v>3.0</v>
      </c>
      <c r="AF395" s="119"/>
      <c r="AG395" s="119"/>
      <c r="AH395" s="74">
        <v>7.0</v>
      </c>
      <c r="AI395" s="74">
        <v>5000.0</v>
      </c>
      <c r="AJ395" s="74">
        <v>3.0</v>
      </c>
      <c r="AK395" s="74">
        <v>0.0</v>
      </c>
      <c r="AL395" s="74">
        <v>7.0</v>
      </c>
      <c r="AM395" s="74">
        <v>1000.0</v>
      </c>
      <c r="AN395" s="74">
        <v>3.0</v>
      </c>
      <c r="AO395" s="74">
        <v>0.0</v>
      </c>
      <c r="AP395" s="74">
        <v>1.0</v>
      </c>
      <c r="AQ395" s="74">
        <v>7.0</v>
      </c>
      <c r="AR395" s="74">
        <v>100.0</v>
      </c>
      <c r="AS395" s="74">
        <v>3.0</v>
      </c>
      <c r="AT395" s="74">
        <v>0.0</v>
      </c>
      <c r="AU395" s="74">
        <v>0.0</v>
      </c>
      <c r="AV395" s="119"/>
      <c r="AW395" s="119"/>
      <c r="AX395" s="119"/>
      <c r="AY395" s="119"/>
      <c r="AZ395" s="119"/>
      <c r="BA395" s="119"/>
      <c r="BB395" s="119"/>
      <c r="BC395" s="119"/>
      <c r="BD395" s="119"/>
      <c r="BE395" s="119"/>
      <c r="BF395" s="119"/>
      <c r="BG395" s="119"/>
      <c r="BH395" s="119"/>
      <c r="BI395" s="119"/>
      <c r="BJ395" s="119"/>
      <c r="BK395" s="119"/>
      <c r="BL395" s="119"/>
      <c r="BM395" s="119"/>
      <c r="BN395" s="119"/>
      <c r="BO395" s="119"/>
      <c r="BP395" s="119"/>
      <c r="BQ395" s="119"/>
      <c r="BR395" s="119"/>
      <c r="BS395" s="119"/>
      <c r="BT395" s="119"/>
      <c r="BU395" s="119"/>
      <c r="BV395" s="119"/>
      <c r="BW395" s="119"/>
      <c r="BX395" s="119"/>
      <c r="BY395" s="119"/>
      <c r="BZ395" s="119"/>
      <c r="CA395" s="119"/>
      <c r="CB395" s="119"/>
      <c r="CC395" s="74" t="s">
        <v>16795</v>
      </c>
      <c r="CD395" s="148">
        <v>43868.0</v>
      </c>
      <c r="CE395" s="74">
        <v>1.0</v>
      </c>
      <c r="CF395" s="74" t="s">
        <v>15555</v>
      </c>
      <c r="CG395" s="120">
        <v>7157.0</v>
      </c>
      <c r="CH395" s="74" t="s">
        <v>20000</v>
      </c>
      <c r="CI395" s="74" t="s">
        <v>20001</v>
      </c>
      <c r="CJ395" s="120">
        <v>394.0</v>
      </c>
    </row>
    <row r="396">
      <c r="A396" s="74" t="s">
        <v>20004</v>
      </c>
      <c r="B396" s="74" t="s">
        <v>6876</v>
      </c>
      <c r="C396" s="74" t="s">
        <v>6877</v>
      </c>
      <c r="D396" s="74" t="s">
        <v>8493</v>
      </c>
      <c r="E396" s="74" t="s">
        <v>20007</v>
      </c>
      <c r="F396" s="74">
        <v>59.0</v>
      </c>
      <c r="G396" s="74">
        <v>1.0</v>
      </c>
      <c r="H396" s="74">
        <v>11.0</v>
      </c>
      <c r="I396" s="119"/>
      <c r="J396" s="119"/>
      <c r="K396" s="74" t="s">
        <v>2019</v>
      </c>
      <c r="L396" s="74" t="s">
        <v>2019</v>
      </c>
      <c r="M396" s="74" t="s">
        <v>14851</v>
      </c>
      <c r="N396" s="74" t="s">
        <v>19988</v>
      </c>
      <c r="O396" s="74" t="s">
        <v>19989</v>
      </c>
      <c r="P396" s="74">
        <v>4.0</v>
      </c>
      <c r="Q396" s="119"/>
      <c r="R396" s="119"/>
      <c r="S396" s="74">
        <v>7.0</v>
      </c>
      <c r="T396" s="74">
        <v>1000.0</v>
      </c>
      <c r="U396" s="74">
        <v>1.0</v>
      </c>
      <c r="V396" s="119"/>
      <c r="W396" s="74">
        <v>7.0</v>
      </c>
      <c r="X396" s="74">
        <v>100.0</v>
      </c>
      <c r="Y396" s="74">
        <v>3.0</v>
      </c>
      <c r="Z396" s="74">
        <v>88.0</v>
      </c>
      <c r="AA396" s="74">
        <v>1.0</v>
      </c>
      <c r="AB396" s="74">
        <v>4.0</v>
      </c>
      <c r="AC396" s="74">
        <v>1000.0</v>
      </c>
      <c r="AD396" s="74">
        <v>3.0</v>
      </c>
      <c r="AE396" s="74">
        <v>3.0</v>
      </c>
      <c r="AF396" s="119"/>
      <c r="AG396" s="119"/>
      <c r="AH396" s="74">
        <v>7.0</v>
      </c>
      <c r="AI396" s="74">
        <v>5000.0</v>
      </c>
      <c r="AJ396" s="74">
        <v>3.0</v>
      </c>
      <c r="AK396" s="74">
        <v>0.0</v>
      </c>
      <c r="AL396" s="74">
        <v>7.0</v>
      </c>
      <c r="AM396" s="74">
        <v>1000.0</v>
      </c>
      <c r="AN396" s="74">
        <v>3.0</v>
      </c>
      <c r="AO396" s="74">
        <v>0.0</v>
      </c>
      <c r="AP396" s="74">
        <v>1.0</v>
      </c>
      <c r="AQ396" s="74">
        <v>7.0</v>
      </c>
      <c r="AR396" s="74">
        <v>100.0</v>
      </c>
      <c r="AS396" s="74">
        <v>3.0</v>
      </c>
      <c r="AT396" s="74">
        <v>0.0</v>
      </c>
      <c r="AU396" s="74">
        <v>0.0</v>
      </c>
      <c r="AV396" s="119"/>
      <c r="AW396" s="119"/>
      <c r="AX396" s="119"/>
      <c r="AY396" s="119"/>
      <c r="AZ396" s="119"/>
      <c r="BA396" s="119"/>
      <c r="BB396" s="119"/>
      <c r="BC396" s="119"/>
      <c r="BD396" s="119"/>
      <c r="BE396" s="119"/>
      <c r="BF396" s="119"/>
      <c r="BG396" s="119"/>
      <c r="BH396" s="119"/>
      <c r="BI396" s="119"/>
      <c r="BJ396" s="119"/>
      <c r="BK396" s="119"/>
      <c r="BL396" s="119"/>
      <c r="BM396" s="119"/>
      <c r="BN396" s="119"/>
      <c r="BO396" s="119"/>
      <c r="BP396" s="119"/>
      <c r="BQ396" s="119"/>
      <c r="BR396" s="119"/>
      <c r="BS396" s="119"/>
      <c r="BT396" s="119"/>
      <c r="BU396" s="119"/>
      <c r="BV396" s="119"/>
      <c r="BW396" s="119"/>
      <c r="BX396" s="119"/>
      <c r="BY396" s="119"/>
      <c r="BZ396" s="119"/>
      <c r="CA396" s="119"/>
      <c r="CB396" s="119"/>
      <c r="CC396" s="74" t="s">
        <v>18350</v>
      </c>
      <c r="CD396" s="148">
        <v>43868.0</v>
      </c>
      <c r="CE396" s="74">
        <v>1.0</v>
      </c>
      <c r="CF396" s="74" t="s">
        <v>15555</v>
      </c>
      <c r="CG396" s="120">
        <v>7158.0</v>
      </c>
      <c r="CH396" s="74" t="s">
        <v>20023</v>
      </c>
      <c r="CI396" s="74" t="s">
        <v>20024</v>
      </c>
      <c r="CJ396" s="120">
        <v>395.0</v>
      </c>
    </row>
    <row r="397">
      <c r="A397" s="74" t="s">
        <v>20025</v>
      </c>
      <c r="B397" s="74" t="s">
        <v>6876</v>
      </c>
      <c r="C397" s="74" t="s">
        <v>6877</v>
      </c>
      <c r="D397" s="74" t="s">
        <v>8493</v>
      </c>
      <c r="E397" s="74" t="s">
        <v>20027</v>
      </c>
      <c r="F397" s="74">
        <v>59.0</v>
      </c>
      <c r="G397" s="74">
        <v>1.0</v>
      </c>
      <c r="H397" s="74">
        <v>11.0</v>
      </c>
      <c r="I397" s="119"/>
      <c r="J397" s="119"/>
      <c r="K397" s="74" t="s">
        <v>2023</v>
      </c>
      <c r="L397" s="74" t="s">
        <v>2023</v>
      </c>
      <c r="M397" s="74" t="s">
        <v>14851</v>
      </c>
      <c r="N397" s="74" t="s">
        <v>19988</v>
      </c>
      <c r="O397" s="74" t="s">
        <v>19989</v>
      </c>
      <c r="P397" s="74">
        <v>4.0</v>
      </c>
      <c r="Q397" s="119"/>
      <c r="R397" s="119"/>
      <c r="S397" s="74">
        <v>7.0</v>
      </c>
      <c r="T397" s="74">
        <v>1000.0</v>
      </c>
      <c r="U397" s="74">
        <v>3.0</v>
      </c>
      <c r="V397" s="74">
        <v>127.0</v>
      </c>
      <c r="W397" s="74">
        <v>7.0</v>
      </c>
      <c r="X397" s="74">
        <v>100.0</v>
      </c>
      <c r="Y397" s="74">
        <v>3.0</v>
      </c>
      <c r="Z397" s="74">
        <v>46.0</v>
      </c>
      <c r="AA397" s="74">
        <v>1.0</v>
      </c>
      <c r="AB397" s="74">
        <v>4.0</v>
      </c>
      <c r="AC397" s="74">
        <v>1000.0</v>
      </c>
      <c r="AD397" s="74">
        <v>3.0</v>
      </c>
      <c r="AE397" s="74">
        <v>1.0</v>
      </c>
      <c r="AF397" s="119"/>
      <c r="AG397" s="119"/>
      <c r="AH397" s="74">
        <v>7.0</v>
      </c>
      <c r="AI397" s="74">
        <v>5000.0</v>
      </c>
      <c r="AJ397" s="74">
        <v>3.0</v>
      </c>
      <c r="AK397" s="74">
        <v>0.0</v>
      </c>
      <c r="AL397" s="74">
        <v>7.0</v>
      </c>
      <c r="AM397" s="74">
        <v>1000.0</v>
      </c>
      <c r="AN397" s="74">
        <v>3.0</v>
      </c>
      <c r="AO397" s="74">
        <v>0.0</v>
      </c>
      <c r="AP397" s="74">
        <v>1.0</v>
      </c>
      <c r="AQ397" s="74">
        <v>7.0</v>
      </c>
      <c r="AR397" s="74">
        <v>100.0</v>
      </c>
      <c r="AS397" s="74">
        <v>3.0</v>
      </c>
      <c r="AT397" s="74">
        <v>0.0</v>
      </c>
      <c r="AU397" s="74">
        <v>0.0</v>
      </c>
      <c r="AV397" s="119"/>
      <c r="AW397" s="119"/>
      <c r="AX397" s="119"/>
      <c r="AY397" s="119"/>
      <c r="AZ397" s="119"/>
      <c r="BA397" s="119"/>
      <c r="BB397" s="119"/>
      <c r="BC397" s="119"/>
      <c r="BD397" s="119"/>
      <c r="BE397" s="119"/>
      <c r="BF397" s="119"/>
      <c r="BG397" s="119"/>
      <c r="BH397" s="119"/>
      <c r="BI397" s="119"/>
      <c r="BJ397" s="119"/>
      <c r="BK397" s="119"/>
      <c r="BL397" s="119"/>
      <c r="BM397" s="119"/>
      <c r="BN397" s="119"/>
      <c r="BO397" s="119"/>
      <c r="BP397" s="119"/>
      <c r="BQ397" s="119"/>
      <c r="BR397" s="119"/>
      <c r="BS397" s="119"/>
      <c r="BT397" s="119"/>
      <c r="BU397" s="119"/>
      <c r="BV397" s="119"/>
      <c r="BW397" s="119"/>
      <c r="BX397" s="119"/>
      <c r="BY397" s="119"/>
      <c r="BZ397" s="119"/>
      <c r="CA397" s="119"/>
      <c r="CB397" s="119"/>
      <c r="CC397" s="74" t="s">
        <v>16851</v>
      </c>
      <c r="CD397" s="148">
        <v>43868.0</v>
      </c>
      <c r="CE397" s="74">
        <v>1.0</v>
      </c>
      <c r="CF397" s="74" t="s">
        <v>15555</v>
      </c>
      <c r="CG397" s="120">
        <v>7159.0</v>
      </c>
      <c r="CH397" s="74" t="s">
        <v>20038</v>
      </c>
      <c r="CI397" s="74" t="s">
        <v>20039</v>
      </c>
      <c r="CJ397" s="120">
        <v>396.0</v>
      </c>
    </row>
    <row r="398">
      <c r="A398" s="74" t="s">
        <v>20040</v>
      </c>
      <c r="B398" s="74" t="s">
        <v>6876</v>
      </c>
      <c r="C398" s="74" t="s">
        <v>6877</v>
      </c>
      <c r="D398" s="74" t="s">
        <v>8493</v>
      </c>
      <c r="E398" s="74" t="s">
        <v>20041</v>
      </c>
      <c r="F398" s="74">
        <v>59.0</v>
      </c>
      <c r="G398" s="74">
        <v>1.0</v>
      </c>
      <c r="H398" s="74">
        <v>11.0</v>
      </c>
      <c r="I398" s="119"/>
      <c r="J398" s="119"/>
      <c r="K398" s="74" t="s">
        <v>2027</v>
      </c>
      <c r="L398" s="74" t="s">
        <v>2027</v>
      </c>
      <c r="M398" s="74" t="s">
        <v>14851</v>
      </c>
      <c r="N398" s="74" t="s">
        <v>19988</v>
      </c>
      <c r="O398" s="74" t="s">
        <v>19989</v>
      </c>
      <c r="P398" s="74">
        <v>4.0</v>
      </c>
      <c r="Q398" s="119"/>
      <c r="R398" s="119"/>
      <c r="S398" s="74">
        <v>7.0</v>
      </c>
      <c r="T398" s="74">
        <v>1000.0</v>
      </c>
      <c r="U398" s="74">
        <v>3.0</v>
      </c>
      <c r="V398" s="74">
        <v>0.0</v>
      </c>
      <c r="W398" s="74">
        <v>7.0</v>
      </c>
      <c r="X398" s="74">
        <v>100.0</v>
      </c>
      <c r="Y398" s="74">
        <v>1.0</v>
      </c>
      <c r="Z398" s="119"/>
      <c r="AA398" s="74">
        <v>1.0</v>
      </c>
      <c r="AB398" s="74">
        <v>4.0</v>
      </c>
      <c r="AC398" s="74">
        <v>1000.0</v>
      </c>
      <c r="AD398" s="74">
        <v>3.0</v>
      </c>
      <c r="AE398" s="74">
        <v>45.0</v>
      </c>
      <c r="AF398" s="119"/>
      <c r="AG398" s="119"/>
      <c r="AH398" s="74">
        <v>7.0</v>
      </c>
      <c r="AI398" s="74">
        <v>5000.0</v>
      </c>
      <c r="AJ398" s="74">
        <v>3.0</v>
      </c>
      <c r="AK398" s="74">
        <v>0.0</v>
      </c>
      <c r="AL398" s="74">
        <v>7.0</v>
      </c>
      <c r="AM398" s="74">
        <v>1000.0</v>
      </c>
      <c r="AN398" s="74">
        <v>3.0</v>
      </c>
      <c r="AO398" s="74">
        <v>0.0</v>
      </c>
      <c r="AP398" s="74">
        <v>1.0</v>
      </c>
      <c r="AQ398" s="74">
        <v>7.0</v>
      </c>
      <c r="AR398" s="74">
        <v>100.0</v>
      </c>
      <c r="AS398" s="74">
        <v>3.0</v>
      </c>
      <c r="AT398" s="74">
        <v>0.0</v>
      </c>
      <c r="AU398" s="74">
        <v>0.0</v>
      </c>
      <c r="AV398" s="119"/>
      <c r="AW398" s="119"/>
      <c r="AX398" s="119"/>
      <c r="AY398" s="119"/>
      <c r="AZ398" s="119"/>
      <c r="BA398" s="119"/>
      <c r="BB398" s="119"/>
      <c r="BC398" s="119"/>
      <c r="BD398" s="119"/>
      <c r="BE398" s="119"/>
      <c r="BF398" s="119"/>
      <c r="BG398" s="119"/>
      <c r="BH398" s="119"/>
      <c r="BI398" s="119"/>
      <c r="BJ398" s="119"/>
      <c r="BK398" s="119"/>
      <c r="BL398" s="119"/>
      <c r="BM398" s="119"/>
      <c r="BN398" s="119"/>
      <c r="BO398" s="119"/>
      <c r="BP398" s="119"/>
      <c r="BQ398" s="119"/>
      <c r="BR398" s="119"/>
      <c r="BS398" s="119"/>
      <c r="BT398" s="119"/>
      <c r="BU398" s="119"/>
      <c r="BV398" s="119"/>
      <c r="BW398" s="119"/>
      <c r="BX398" s="119"/>
      <c r="BY398" s="119"/>
      <c r="BZ398" s="119"/>
      <c r="CA398" s="119"/>
      <c r="CB398" s="119"/>
      <c r="CC398" s="74" t="s">
        <v>18302</v>
      </c>
      <c r="CD398" s="74" t="s">
        <v>14054</v>
      </c>
      <c r="CE398" s="74">
        <v>1.0</v>
      </c>
      <c r="CF398" s="74" t="s">
        <v>15555</v>
      </c>
      <c r="CG398" s="120">
        <v>7160.0</v>
      </c>
      <c r="CH398" s="74" t="s">
        <v>20057</v>
      </c>
      <c r="CI398" s="74" t="s">
        <v>20058</v>
      </c>
      <c r="CJ398" s="120">
        <v>397.0</v>
      </c>
    </row>
    <row r="399">
      <c r="A399" s="74" t="s">
        <v>20041</v>
      </c>
      <c r="B399" s="74" t="s">
        <v>6876</v>
      </c>
      <c r="C399" s="74" t="s">
        <v>6877</v>
      </c>
      <c r="D399" s="74" t="s">
        <v>8493</v>
      </c>
      <c r="E399" s="74" t="s">
        <v>20061</v>
      </c>
      <c r="F399" s="74">
        <v>57.0</v>
      </c>
      <c r="G399" s="74">
        <v>1.0</v>
      </c>
      <c r="H399" s="74">
        <v>16.0</v>
      </c>
      <c r="I399" s="119"/>
      <c r="J399" s="119"/>
      <c r="K399" s="74" t="s">
        <v>2041</v>
      </c>
      <c r="L399" s="74" t="s">
        <v>2041</v>
      </c>
      <c r="M399" s="74" t="s">
        <v>14851</v>
      </c>
      <c r="N399" s="74" t="s">
        <v>19988</v>
      </c>
      <c r="O399" s="74" t="s">
        <v>19989</v>
      </c>
      <c r="P399" s="119"/>
      <c r="Q399" s="119"/>
      <c r="R399" s="119"/>
      <c r="S399" s="74">
        <v>7.0</v>
      </c>
      <c r="T399" s="74">
        <v>1000.0</v>
      </c>
      <c r="U399" s="74">
        <v>3.0</v>
      </c>
      <c r="V399" s="74">
        <v>0.0</v>
      </c>
      <c r="W399" s="74">
        <v>7.0</v>
      </c>
      <c r="X399" s="74">
        <v>100.0</v>
      </c>
      <c r="Y399" s="74">
        <v>1.0</v>
      </c>
      <c r="Z399" s="119"/>
      <c r="AA399" s="74">
        <v>1.0</v>
      </c>
      <c r="AB399" s="74">
        <v>4.0</v>
      </c>
      <c r="AC399" s="74">
        <v>1000.0</v>
      </c>
      <c r="AD399" s="74">
        <v>3.0</v>
      </c>
      <c r="AE399" s="74">
        <v>4.0</v>
      </c>
      <c r="AF399" s="119"/>
      <c r="AG399" s="119"/>
      <c r="AH399" s="74">
        <v>7.0</v>
      </c>
      <c r="AI399" s="74">
        <v>5000.0</v>
      </c>
      <c r="AJ399" s="74">
        <v>3.0</v>
      </c>
      <c r="AK399" s="74">
        <v>0.0</v>
      </c>
      <c r="AL399" s="74">
        <v>7.0</v>
      </c>
      <c r="AM399" s="74">
        <v>1000.0</v>
      </c>
      <c r="AN399" s="74">
        <v>3.0</v>
      </c>
      <c r="AO399" s="74">
        <v>0.0</v>
      </c>
      <c r="AP399" s="74">
        <v>1.0</v>
      </c>
      <c r="AQ399" s="74">
        <v>7.0</v>
      </c>
      <c r="AR399" s="74">
        <v>100.0</v>
      </c>
      <c r="AS399" s="74">
        <v>3.0</v>
      </c>
      <c r="AT399" s="74">
        <v>0.0</v>
      </c>
      <c r="AU399" s="74">
        <v>0.0</v>
      </c>
      <c r="AV399" s="119"/>
      <c r="AW399" s="119"/>
      <c r="AX399" s="119"/>
      <c r="AY399" s="119"/>
      <c r="AZ399" s="119"/>
      <c r="BA399" s="119"/>
      <c r="BB399" s="119"/>
      <c r="BC399" s="119"/>
      <c r="BD399" s="119"/>
      <c r="BE399" s="119"/>
      <c r="BF399" s="119"/>
      <c r="BG399" s="119"/>
      <c r="BH399" s="119"/>
      <c r="BI399" s="119"/>
      <c r="BJ399" s="119"/>
      <c r="BK399" s="119"/>
      <c r="BL399" s="119"/>
      <c r="BM399" s="119"/>
      <c r="BN399" s="119"/>
      <c r="BO399" s="119"/>
      <c r="BP399" s="119"/>
      <c r="BQ399" s="119"/>
      <c r="BR399" s="119"/>
      <c r="BS399" s="119"/>
      <c r="BT399" s="119"/>
      <c r="BU399" s="119"/>
      <c r="BV399" s="119"/>
      <c r="BW399" s="119"/>
      <c r="BX399" s="119"/>
      <c r="BY399" s="119"/>
      <c r="BZ399" s="119"/>
      <c r="CA399" s="119"/>
      <c r="CB399" s="119"/>
      <c r="CC399" s="74" t="s">
        <v>16795</v>
      </c>
      <c r="CD399" s="148">
        <v>43868.0</v>
      </c>
      <c r="CE399" s="74">
        <v>1.0</v>
      </c>
      <c r="CF399" s="74" t="s">
        <v>15555</v>
      </c>
      <c r="CG399" s="120">
        <v>7161.0</v>
      </c>
      <c r="CH399" s="74" t="s">
        <v>20073</v>
      </c>
      <c r="CI399" s="74" t="s">
        <v>20074</v>
      </c>
      <c r="CJ399" s="120">
        <v>398.0</v>
      </c>
    </row>
    <row r="400">
      <c r="A400" s="74" t="s">
        <v>20075</v>
      </c>
      <c r="B400" s="74" t="s">
        <v>6876</v>
      </c>
      <c r="C400" s="74" t="s">
        <v>6877</v>
      </c>
      <c r="D400" s="74" t="s">
        <v>8493</v>
      </c>
      <c r="E400" s="74" t="s">
        <v>20077</v>
      </c>
      <c r="F400" s="74">
        <v>59.0</v>
      </c>
      <c r="G400" s="74">
        <v>1.0</v>
      </c>
      <c r="H400" s="74">
        <v>3.0</v>
      </c>
      <c r="I400" s="119"/>
      <c r="J400" s="119"/>
      <c r="K400" s="74" t="s">
        <v>2045</v>
      </c>
      <c r="L400" s="74" t="s">
        <v>2045</v>
      </c>
      <c r="M400" s="74" t="s">
        <v>14851</v>
      </c>
      <c r="N400" s="74" t="s">
        <v>19988</v>
      </c>
      <c r="O400" s="74" t="s">
        <v>19989</v>
      </c>
      <c r="P400" s="119"/>
      <c r="Q400" s="119"/>
      <c r="R400" s="119"/>
      <c r="S400" s="74">
        <v>7.0</v>
      </c>
      <c r="T400" s="74">
        <v>1000.0</v>
      </c>
      <c r="U400" s="74">
        <v>3.0</v>
      </c>
      <c r="V400" s="74">
        <v>0.0</v>
      </c>
      <c r="W400" s="74">
        <v>7.0</v>
      </c>
      <c r="X400" s="74">
        <v>100.0</v>
      </c>
      <c r="Y400" s="74">
        <v>3.0</v>
      </c>
      <c r="Z400" s="74">
        <v>0.0</v>
      </c>
      <c r="AA400" s="74">
        <v>0.0</v>
      </c>
      <c r="AB400" s="119"/>
      <c r="AC400" s="119"/>
      <c r="AD400" s="119"/>
      <c r="AE400" s="119"/>
      <c r="AF400" s="119"/>
      <c r="AG400" s="119"/>
      <c r="AH400" s="74">
        <v>7.0</v>
      </c>
      <c r="AI400" s="74">
        <v>5000.0</v>
      </c>
      <c r="AJ400" s="74">
        <v>3.0</v>
      </c>
      <c r="AK400" s="74">
        <v>0.0</v>
      </c>
      <c r="AL400" s="74">
        <v>7.0</v>
      </c>
      <c r="AM400" s="74">
        <v>1000.0</v>
      </c>
      <c r="AN400" s="74">
        <v>3.0</v>
      </c>
      <c r="AO400" s="74">
        <v>0.0</v>
      </c>
      <c r="AP400" s="74">
        <v>1.0</v>
      </c>
      <c r="AQ400" s="74">
        <v>7.0</v>
      </c>
      <c r="AR400" s="74">
        <v>100.0</v>
      </c>
      <c r="AS400" s="74">
        <v>3.0</v>
      </c>
      <c r="AT400" s="74">
        <v>0.0</v>
      </c>
      <c r="AU400" s="74">
        <v>0.0</v>
      </c>
      <c r="AV400" s="119"/>
      <c r="AW400" s="119"/>
      <c r="AX400" s="119"/>
      <c r="AY400" s="119"/>
      <c r="AZ400" s="119"/>
      <c r="BA400" s="119"/>
      <c r="BB400" s="119"/>
      <c r="BC400" s="119"/>
      <c r="BD400" s="119"/>
      <c r="BE400" s="119"/>
      <c r="BF400" s="119"/>
      <c r="BG400" s="119"/>
      <c r="BH400" s="119"/>
      <c r="BI400" s="119"/>
      <c r="BJ400" s="119"/>
      <c r="BK400" s="119"/>
      <c r="BL400" s="119"/>
      <c r="BM400" s="119"/>
      <c r="BN400" s="119"/>
      <c r="BO400" s="119"/>
      <c r="BP400" s="119"/>
      <c r="BQ400" s="119"/>
      <c r="BR400" s="119"/>
      <c r="BS400" s="119"/>
      <c r="BT400" s="119"/>
      <c r="BU400" s="119"/>
      <c r="BV400" s="119"/>
      <c r="BW400" s="119"/>
      <c r="BX400" s="119"/>
      <c r="BY400" s="119"/>
      <c r="BZ400" s="119"/>
      <c r="CA400" s="119"/>
      <c r="CB400" s="119"/>
      <c r="CC400" s="119"/>
      <c r="CD400" s="148">
        <v>43868.0</v>
      </c>
      <c r="CE400" s="74">
        <v>1.0</v>
      </c>
      <c r="CF400" s="74" t="s">
        <v>15555</v>
      </c>
      <c r="CG400" s="120">
        <v>7162.0</v>
      </c>
      <c r="CH400" s="74" t="s">
        <v>20091</v>
      </c>
      <c r="CI400" s="74" t="s">
        <v>20093</v>
      </c>
      <c r="CJ400" s="120">
        <v>399.0</v>
      </c>
    </row>
    <row r="401">
      <c r="A401" s="74" t="s">
        <v>20095</v>
      </c>
      <c r="B401" s="74" t="s">
        <v>6876</v>
      </c>
      <c r="C401" s="74" t="s">
        <v>6877</v>
      </c>
      <c r="D401" s="74" t="s">
        <v>8493</v>
      </c>
      <c r="E401" s="74" t="s">
        <v>20098</v>
      </c>
      <c r="F401" s="74">
        <v>59.0</v>
      </c>
      <c r="G401" s="74">
        <v>1.0</v>
      </c>
      <c r="H401" s="74">
        <v>11.0</v>
      </c>
      <c r="I401" s="119"/>
      <c r="J401" s="119"/>
      <c r="K401" s="74" t="s">
        <v>2057</v>
      </c>
      <c r="L401" s="74" t="s">
        <v>2057</v>
      </c>
      <c r="M401" s="74" t="s">
        <v>14851</v>
      </c>
      <c r="N401" s="74" t="s">
        <v>19988</v>
      </c>
      <c r="O401" s="74" t="s">
        <v>19989</v>
      </c>
      <c r="P401" s="74">
        <v>4.0</v>
      </c>
      <c r="Q401" s="119"/>
      <c r="R401" s="119"/>
      <c r="S401" s="74">
        <v>7.0</v>
      </c>
      <c r="T401" s="74">
        <v>1000.0</v>
      </c>
      <c r="U401" s="74">
        <v>3.0</v>
      </c>
      <c r="V401" s="74">
        <v>0.0</v>
      </c>
      <c r="W401" s="74">
        <v>7.0</v>
      </c>
      <c r="X401" s="74">
        <v>100.0</v>
      </c>
      <c r="Y401" s="74">
        <v>1.0</v>
      </c>
      <c r="Z401" s="119"/>
      <c r="AA401" s="74">
        <v>1.0</v>
      </c>
      <c r="AB401" s="74">
        <v>4.0</v>
      </c>
      <c r="AC401" s="74">
        <v>1000.0</v>
      </c>
      <c r="AD401" s="74">
        <v>3.0</v>
      </c>
      <c r="AE401" s="74">
        <v>33.0</v>
      </c>
      <c r="AF401" s="119"/>
      <c r="AG401" s="119"/>
      <c r="AH401" s="74">
        <v>7.0</v>
      </c>
      <c r="AI401" s="74">
        <v>5000.0</v>
      </c>
      <c r="AJ401" s="74">
        <v>3.0</v>
      </c>
      <c r="AK401" s="74">
        <v>0.0</v>
      </c>
      <c r="AL401" s="74">
        <v>7.0</v>
      </c>
      <c r="AM401" s="74">
        <v>1000.0</v>
      </c>
      <c r="AN401" s="74">
        <v>3.0</v>
      </c>
      <c r="AO401" s="74">
        <v>0.0</v>
      </c>
      <c r="AP401" s="74">
        <v>1.0</v>
      </c>
      <c r="AQ401" s="74">
        <v>7.0</v>
      </c>
      <c r="AR401" s="74">
        <v>100.0</v>
      </c>
      <c r="AS401" s="74">
        <v>3.0</v>
      </c>
      <c r="AT401" s="74">
        <v>0.0</v>
      </c>
      <c r="AU401" s="74">
        <v>0.0</v>
      </c>
      <c r="AV401" s="119"/>
      <c r="AW401" s="119"/>
      <c r="AX401" s="119"/>
      <c r="AY401" s="119"/>
      <c r="AZ401" s="119"/>
      <c r="BA401" s="119"/>
      <c r="BB401" s="119"/>
      <c r="BC401" s="119"/>
      <c r="BD401" s="119"/>
      <c r="BE401" s="119"/>
      <c r="BF401" s="119"/>
      <c r="BG401" s="119"/>
      <c r="BH401" s="119"/>
      <c r="BI401" s="119"/>
      <c r="BJ401" s="119"/>
      <c r="BK401" s="119"/>
      <c r="BL401" s="119"/>
      <c r="BM401" s="119"/>
      <c r="BN401" s="119"/>
      <c r="BO401" s="119"/>
      <c r="BP401" s="119"/>
      <c r="BQ401" s="119"/>
      <c r="BR401" s="119"/>
      <c r="BS401" s="119"/>
      <c r="BT401" s="119"/>
      <c r="BU401" s="119"/>
      <c r="BV401" s="119"/>
      <c r="BW401" s="119"/>
      <c r="BX401" s="119"/>
      <c r="BY401" s="119"/>
      <c r="BZ401" s="119"/>
      <c r="CA401" s="119"/>
      <c r="CB401" s="119"/>
      <c r="CC401" s="74" t="s">
        <v>20111</v>
      </c>
      <c r="CD401" s="148">
        <v>43868.0</v>
      </c>
      <c r="CE401" s="74">
        <v>1.0</v>
      </c>
      <c r="CF401" s="74" t="s">
        <v>15555</v>
      </c>
      <c r="CG401" s="120">
        <v>7163.0</v>
      </c>
      <c r="CH401" s="74" t="s">
        <v>20113</v>
      </c>
      <c r="CI401" s="74" t="s">
        <v>20114</v>
      </c>
      <c r="CJ401" s="120">
        <v>400.0</v>
      </c>
    </row>
    <row r="402">
      <c r="A402" s="74" t="s">
        <v>20115</v>
      </c>
      <c r="B402" s="74" t="s">
        <v>6876</v>
      </c>
      <c r="C402" s="74" t="s">
        <v>6877</v>
      </c>
      <c r="D402" s="74" t="s">
        <v>8493</v>
      </c>
      <c r="E402" s="74" t="s">
        <v>20116</v>
      </c>
      <c r="F402" s="74">
        <v>33.0</v>
      </c>
      <c r="G402" s="74">
        <v>1.0</v>
      </c>
      <c r="H402" s="74">
        <v>97.0</v>
      </c>
      <c r="I402" s="119"/>
      <c r="J402" s="119"/>
      <c r="K402" s="74" t="s">
        <v>436</v>
      </c>
      <c r="L402" s="74" t="s">
        <v>436</v>
      </c>
      <c r="M402" s="74" t="s">
        <v>14851</v>
      </c>
      <c r="N402" s="74" t="s">
        <v>19988</v>
      </c>
      <c r="O402" s="74" t="s">
        <v>19989</v>
      </c>
      <c r="P402" s="119"/>
      <c r="Q402" s="119"/>
      <c r="R402" s="119"/>
      <c r="S402" s="74">
        <v>7.0</v>
      </c>
      <c r="T402" s="74">
        <v>1000.0</v>
      </c>
      <c r="U402" s="74">
        <v>3.0</v>
      </c>
      <c r="V402" s="74">
        <v>155.0</v>
      </c>
      <c r="W402" s="119"/>
      <c r="X402" s="119"/>
      <c r="Y402" s="119"/>
      <c r="Z402" s="119"/>
      <c r="AA402" s="119"/>
      <c r="AB402" s="119"/>
      <c r="AC402" s="119"/>
      <c r="AD402" s="119"/>
      <c r="AE402" s="119"/>
      <c r="AF402" s="119"/>
      <c r="AG402" s="119"/>
      <c r="AH402" s="119"/>
      <c r="AI402" s="119"/>
      <c r="AJ402" s="119"/>
      <c r="AK402" s="119"/>
      <c r="AL402" s="119"/>
      <c r="AM402" s="119"/>
      <c r="AN402" s="119"/>
      <c r="AO402" s="119"/>
      <c r="AP402" s="119"/>
      <c r="AQ402" s="119"/>
      <c r="AR402" s="119"/>
      <c r="AS402" s="119"/>
      <c r="AT402" s="119"/>
      <c r="AU402" s="74">
        <v>0.0</v>
      </c>
      <c r="AV402" s="119"/>
      <c r="AW402" s="119"/>
      <c r="AX402" s="119"/>
      <c r="AY402" s="119"/>
      <c r="AZ402" s="119"/>
      <c r="BA402" s="119"/>
      <c r="BB402" s="119"/>
      <c r="BC402" s="119"/>
      <c r="BD402" s="119"/>
      <c r="BE402" s="119"/>
      <c r="BF402" s="119"/>
      <c r="BG402" s="119"/>
      <c r="BH402" s="119"/>
      <c r="BI402" s="119"/>
      <c r="BJ402" s="119"/>
      <c r="BK402" s="119"/>
      <c r="BL402" s="119"/>
      <c r="BM402" s="119"/>
      <c r="BN402" s="119"/>
      <c r="BO402" s="119"/>
      <c r="BP402" s="119"/>
      <c r="BQ402" s="119"/>
      <c r="BR402" s="119"/>
      <c r="BS402" s="119"/>
      <c r="BT402" s="119"/>
      <c r="BU402" s="119"/>
      <c r="BV402" s="119"/>
      <c r="BW402" s="119"/>
      <c r="BX402" s="119"/>
      <c r="BY402" s="119"/>
      <c r="BZ402" s="119"/>
      <c r="CA402" s="119"/>
      <c r="CB402" s="119"/>
      <c r="CC402" s="119"/>
      <c r="CD402" s="148">
        <v>43868.0</v>
      </c>
      <c r="CE402" s="74">
        <v>1.0</v>
      </c>
      <c r="CF402" s="74" t="s">
        <v>15555</v>
      </c>
      <c r="CG402" s="120">
        <v>7164.0</v>
      </c>
      <c r="CH402" s="74" t="s">
        <v>20133</v>
      </c>
      <c r="CI402" s="74" t="s">
        <v>20134</v>
      </c>
      <c r="CJ402" s="120">
        <v>401.0</v>
      </c>
    </row>
    <row r="403">
      <c r="A403" s="74" t="s">
        <v>20136</v>
      </c>
      <c r="B403" s="74" t="s">
        <v>6876</v>
      </c>
      <c r="C403" s="74" t="s">
        <v>6877</v>
      </c>
      <c r="D403" s="74" t="s">
        <v>8493</v>
      </c>
      <c r="E403" s="74" t="s">
        <v>20139</v>
      </c>
      <c r="F403" s="74">
        <v>33.0</v>
      </c>
      <c r="G403" s="74">
        <v>1.0</v>
      </c>
      <c r="H403" s="74">
        <v>97.0</v>
      </c>
      <c r="I403" s="119"/>
      <c r="J403" s="119"/>
      <c r="K403" s="74" t="s">
        <v>15565</v>
      </c>
      <c r="L403" s="74" t="s">
        <v>15565</v>
      </c>
      <c r="M403" s="74" t="s">
        <v>14851</v>
      </c>
      <c r="N403" s="74" t="s">
        <v>19988</v>
      </c>
      <c r="O403" s="74" t="s">
        <v>19989</v>
      </c>
      <c r="P403" s="119"/>
      <c r="Q403" s="119"/>
      <c r="R403" s="119"/>
      <c r="S403" s="119"/>
      <c r="T403" s="119"/>
      <c r="U403" s="119"/>
      <c r="V403" s="119"/>
      <c r="W403" s="119"/>
      <c r="X403" s="119"/>
      <c r="Y403" s="119"/>
      <c r="Z403" s="119"/>
      <c r="AA403" s="119"/>
      <c r="AB403" s="119"/>
      <c r="AC403" s="119"/>
      <c r="AD403" s="119"/>
      <c r="AE403" s="119"/>
      <c r="AF403" s="119"/>
      <c r="AG403" s="119"/>
      <c r="AH403" s="74">
        <v>7.0</v>
      </c>
      <c r="AI403" s="74">
        <v>1000.0</v>
      </c>
      <c r="AJ403" s="74">
        <v>3.0</v>
      </c>
      <c r="AK403" s="74">
        <v>0.0</v>
      </c>
      <c r="AL403" s="119"/>
      <c r="AM403" s="119"/>
      <c r="AN403" s="119"/>
      <c r="AO403" s="119"/>
      <c r="AP403" s="119"/>
      <c r="AQ403" s="119"/>
      <c r="AR403" s="119"/>
      <c r="AS403" s="119"/>
      <c r="AT403" s="119"/>
      <c r="AU403" s="74">
        <v>0.0</v>
      </c>
      <c r="AV403" s="119"/>
      <c r="AW403" s="119"/>
      <c r="AX403" s="119"/>
      <c r="AY403" s="119"/>
      <c r="AZ403" s="119"/>
      <c r="BA403" s="119"/>
      <c r="BB403" s="119"/>
      <c r="BC403" s="119"/>
      <c r="BD403" s="119"/>
      <c r="BE403" s="119"/>
      <c r="BF403" s="119"/>
      <c r="BG403" s="119"/>
      <c r="BH403" s="119"/>
      <c r="BI403" s="119"/>
      <c r="BJ403" s="119"/>
      <c r="BK403" s="119"/>
      <c r="BL403" s="119"/>
      <c r="BM403" s="119"/>
      <c r="BN403" s="119"/>
      <c r="BO403" s="119"/>
      <c r="BP403" s="119"/>
      <c r="BQ403" s="119"/>
      <c r="BR403" s="119"/>
      <c r="BS403" s="119"/>
      <c r="BT403" s="119"/>
      <c r="BU403" s="119"/>
      <c r="BV403" s="119"/>
      <c r="BW403" s="119"/>
      <c r="BX403" s="119"/>
      <c r="BY403" s="119"/>
      <c r="BZ403" s="119"/>
      <c r="CA403" s="119"/>
      <c r="CB403" s="119"/>
      <c r="CC403" s="119"/>
      <c r="CD403" s="148">
        <v>43868.0</v>
      </c>
      <c r="CE403" s="74">
        <v>1.0</v>
      </c>
      <c r="CF403" s="74" t="s">
        <v>15555</v>
      </c>
      <c r="CG403" s="120">
        <v>7165.0</v>
      </c>
      <c r="CH403" s="74" t="s">
        <v>20151</v>
      </c>
      <c r="CI403" s="74" t="s">
        <v>20152</v>
      </c>
      <c r="CJ403" s="120">
        <v>402.0</v>
      </c>
    </row>
    <row r="404">
      <c r="A404" s="74" t="s">
        <v>20154</v>
      </c>
      <c r="B404" s="74" t="s">
        <v>6876</v>
      </c>
      <c r="C404" s="74" t="s">
        <v>6877</v>
      </c>
      <c r="D404" s="74" t="s">
        <v>8493</v>
      </c>
      <c r="E404" s="74" t="s">
        <v>20157</v>
      </c>
      <c r="F404" s="74">
        <v>59.0</v>
      </c>
      <c r="G404" s="74">
        <v>1.0</v>
      </c>
      <c r="H404" s="74">
        <v>11.0</v>
      </c>
      <c r="I404" s="119"/>
      <c r="J404" s="119"/>
      <c r="K404" s="74" t="s">
        <v>2017</v>
      </c>
      <c r="L404" s="74" t="s">
        <v>2017</v>
      </c>
      <c r="M404" s="74" t="s">
        <v>14851</v>
      </c>
      <c r="N404" s="74" t="s">
        <v>19988</v>
      </c>
      <c r="O404" s="74" t="s">
        <v>19989</v>
      </c>
      <c r="P404" s="74">
        <v>4.0</v>
      </c>
      <c r="Q404" s="119"/>
      <c r="R404" s="119"/>
      <c r="S404" s="74">
        <v>7.0</v>
      </c>
      <c r="T404" s="74">
        <v>1000.0</v>
      </c>
      <c r="U404" s="74">
        <v>4.0</v>
      </c>
      <c r="V404" s="119"/>
      <c r="W404" s="74">
        <v>7.0</v>
      </c>
      <c r="X404" s="74">
        <v>100.0</v>
      </c>
      <c r="Y404" s="74">
        <v>3.0</v>
      </c>
      <c r="Z404" s="74">
        <v>59.0</v>
      </c>
      <c r="AA404" s="74">
        <v>1.0</v>
      </c>
      <c r="AB404" s="74">
        <v>4.0</v>
      </c>
      <c r="AC404" s="74">
        <v>1000.0</v>
      </c>
      <c r="AD404" s="74">
        <v>3.0</v>
      </c>
      <c r="AE404" s="74">
        <v>3.0</v>
      </c>
      <c r="AF404" s="119"/>
      <c r="AG404" s="119"/>
      <c r="AH404" s="74">
        <v>7.0</v>
      </c>
      <c r="AI404" s="74">
        <v>1000.0</v>
      </c>
      <c r="AJ404" s="74">
        <v>3.0</v>
      </c>
      <c r="AK404" s="74">
        <v>4.0</v>
      </c>
      <c r="AL404" s="74">
        <v>7.0</v>
      </c>
      <c r="AM404" s="74">
        <v>100.0</v>
      </c>
      <c r="AN404" s="74">
        <v>3.0</v>
      </c>
      <c r="AO404" s="74">
        <v>0.0</v>
      </c>
      <c r="AP404" s="74">
        <v>0.0</v>
      </c>
      <c r="AQ404" s="119"/>
      <c r="AR404" s="119"/>
      <c r="AS404" s="119"/>
      <c r="AT404" s="119"/>
      <c r="AU404" s="74">
        <v>0.0</v>
      </c>
      <c r="AV404" s="119"/>
      <c r="AW404" s="119"/>
      <c r="AX404" s="119"/>
      <c r="AY404" s="119"/>
      <c r="AZ404" s="119"/>
      <c r="BA404" s="119"/>
      <c r="BB404" s="119"/>
      <c r="BC404" s="119"/>
      <c r="BD404" s="119"/>
      <c r="BE404" s="119"/>
      <c r="BF404" s="119"/>
      <c r="BG404" s="119"/>
      <c r="BH404" s="119"/>
      <c r="BI404" s="119"/>
      <c r="BJ404" s="119"/>
      <c r="BK404" s="119"/>
      <c r="BL404" s="119"/>
      <c r="BM404" s="119"/>
      <c r="BN404" s="119"/>
      <c r="BO404" s="119"/>
      <c r="BP404" s="119"/>
      <c r="BQ404" s="119"/>
      <c r="BR404" s="119"/>
      <c r="BS404" s="119"/>
      <c r="BT404" s="119"/>
      <c r="BU404" s="119"/>
      <c r="BV404" s="119"/>
      <c r="BW404" s="119"/>
      <c r="BX404" s="119"/>
      <c r="BY404" s="119"/>
      <c r="BZ404" s="119"/>
      <c r="CA404" s="119"/>
      <c r="CB404" s="119"/>
      <c r="CC404" s="74" t="s">
        <v>16851</v>
      </c>
      <c r="CD404" s="74" t="s">
        <v>14054</v>
      </c>
      <c r="CE404" s="74">
        <v>1.0</v>
      </c>
      <c r="CF404" s="74" t="s">
        <v>20169</v>
      </c>
      <c r="CG404" s="120">
        <v>7767.0</v>
      </c>
      <c r="CH404" s="74" t="s">
        <v>20170</v>
      </c>
      <c r="CI404" s="74" t="s">
        <v>20172</v>
      </c>
      <c r="CJ404" s="120">
        <v>403.0</v>
      </c>
    </row>
    <row r="405">
      <c r="A405" s="74" t="s">
        <v>20157</v>
      </c>
      <c r="B405" s="74" t="s">
        <v>6876</v>
      </c>
      <c r="C405" s="74" t="s">
        <v>6877</v>
      </c>
      <c r="D405" s="74" t="s">
        <v>8493</v>
      </c>
      <c r="E405" s="74" t="s">
        <v>20174</v>
      </c>
      <c r="F405" s="74">
        <v>59.0</v>
      </c>
      <c r="G405" s="74">
        <v>1.0</v>
      </c>
      <c r="H405" s="74">
        <v>11.0</v>
      </c>
      <c r="I405" s="119"/>
      <c r="J405" s="119"/>
      <c r="K405" s="74" t="s">
        <v>2021</v>
      </c>
      <c r="L405" s="74" t="s">
        <v>2021</v>
      </c>
      <c r="M405" s="74" t="s">
        <v>14851</v>
      </c>
      <c r="N405" s="74" t="s">
        <v>19988</v>
      </c>
      <c r="O405" s="74" t="s">
        <v>19989</v>
      </c>
      <c r="P405" s="74">
        <v>4.0</v>
      </c>
      <c r="Q405" s="119"/>
      <c r="R405" s="119"/>
      <c r="S405" s="74">
        <v>7.0</v>
      </c>
      <c r="T405" s="74">
        <v>1000.0</v>
      </c>
      <c r="U405" s="74">
        <v>1.0</v>
      </c>
      <c r="V405" s="119"/>
      <c r="W405" s="74">
        <v>7.0</v>
      </c>
      <c r="X405" s="74">
        <v>100.0</v>
      </c>
      <c r="Y405" s="74">
        <v>3.0</v>
      </c>
      <c r="Z405" s="74">
        <v>88.0</v>
      </c>
      <c r="AA405" s="74">
        <v>1.0</v>
      </c>
      <c r="AB405" s="74">
        <v>4.0</v>
      </c>
      <c r="AC405" s="74">
        <v>1000.0</v>
      </c>
      <c r="AD405" s="74">
        <v>3.0</v>
      </c>
      <c r="AE405" s="74">
        <v>3.0</v>
      </c>
      <c r="AF405" s="119"/>
      <c r="AG405" s="119"/>
      <c r="AH405" s="74">
        <v>7.0</v>
      </c>
      <c r="AI405" s="74">
        <v>1000.0</v>
      </c>
      <c r="AJ405" s="74">
        <v>3.0</v>
      </c>
      <c r="AK405" s="74">
        <v>6.0</v>
      </c>
      <c r="AL405" s="74">
        <v>7.0</v>
      </c>
      <c r="AM405" s="74">
        <v>100.0</v>
      </c>
      <c r="AN405" s="74">
        <v>3.0</v>
      </c>
      <c r="AO405" s="74">
        <v>1.0</v>
      </c>
      <c r="AP405" s="74">
        <v>0.0</v>
      </c>
      <c r="AQ405" s="119"/>
      <c r="AR405" s="119"/>
      <c r="AS405" s="119"/>
      <c r="AT405" s="119"/>
      <c r="AU405" s="74">
        <v>0.0</v>
      </c>
      <c r="AV405" s="119"/>
      <c r="AW405" s="119"/>
      <c r="AX405" s="119"/>
      <c r="AY405" s="119"/>
      <c r="AZ405" s="119"/>
      <c r="BA405" s="119"/>
      <c r="BB405" s="119"/>
      <c r="BC405" s="119"/>
      <c r="BD405" s="119"/>
      <c r="BE405" s="119"/>
      <c r="BF405" s="119"/>
      <c r="BG405" s="119"/>
      <c r="BH405" s="119"/>
      <c r="BI405" s="119"/>
      <c r="BJ405" s="119"/>
      <c r="BK405" s="119"/>
      <c r="BL405" s="119"/>
      <c r="BM405" s="119"/>
      <c r="BN405" s="119"/>
      <c r="BO405" s="119"/>
      <c r="BP405" s="119"/>
      <c r="BQ405" s="119"/>
      <c r="BR405" s="119"/>
      <c r="BS405" s="119"/>
      <c r="BT405" s="119"/>
      <c r="BU405" s="119"/>
      <c r="BV405" s="119"/>
      <c r="BW405" s="119"/>
      <c r="BX405" s="119"/>
      <c r="BY405" s="119"/>
      <c r="BZ405" s="119"/>
      <c r="CA405" s="119"/>
      <c r="CB405" s="119"/>
      <c r="CC405" s="74" t="s">
        <v>18350</v>
      </c>
      <c r="CD405" s="148">
        <v>43868.0</v>
      </c>
      <c r="CE405" s="74">
        <v>1.0</v>
      </c>
      <c r="CF405" s="74" t="s">
        <v>20169</v>
      </c>
      <c r="CG405" s="120">
        <v>7768.0</v>
      </c>
      <c r="CH405" s="74" t="s">
        <v>20186</v>
      </c>
      <c r="CI405" s="74" t="s">
        <v>20187</v>
      </c>
      <c r="CJ405" s="120">
        <v>404.0</v>
      </c>
    </row>
    <row r="406">
      <c r="A406" s="74" t="s">
        <v>20188</v>
      </c>
      <c r="B406" s="74" t="s">
        <v>6876</v>
      </c>
      <c r="C406" s="74" t="s">
        <v>6877</v>
      </c>
      <c r="D406" s="74" t="s">
        <v>8493</v>
      </c>
      <c r="E406" s="74" t="s">
        <v>20190</v>
      </c>
      <c r="F406" s="74">
        <v>59.0</v>
      </c>
      <c r="G406" s="74">
        <v>1.0</v>
      </c>
      <c r="H406" s="74">
        <v>11.0</v>
      </c>
      <c r="I406" s="119"/>
      <c r="J406" s="119"/>
      <c r="K406" s="74" t="s">
        <v>2025</v>
      </c>
      <c r="L406" s="74" t="s">
        <v>2025</v>
      </c>
      <c r="M406" s="74" t="s">
        <v>14851</v>
      </c>
      <c r="N406" s="74" t="s">
        <v>19988</v>
      </c>
      <c r="O406" s="74" t="s">
        <v>19989</v>
      </c>
      <c r="P406" s="74">
        <v>4.0</v>
      </c>
      <c r="Q406" s="119"/>
      <c r="R406" s="119"/>
      <c r="S406" s="74">
        <v>7.0</v>
      </c>
      <c r="T406" s="74">
        <v>1000.0</v>
      </c>
      <c r="U406" s="74">
        <v>3.0</v>
      </c>
      <c r="V406" s="74">
        <v>127.0</v>
      </c>
      <c r="W406" s="74">
        <v>7.0</v>
      </c>
      <c r="X406" s="74">
        <v>100.0</v>
      </c>
      <c r="Y406" s="74">
        <v>3.0</v>
      </c>
      <c r="Z406" s="74">
        <v>46.0</v>
      </c>
      <c r="AA406" s="74">
        <v>1.0</v>
      </c>
      <c r="AB406" s="74">
        <v>4.0</v>
      </c>
      <c r="AC406" s="74">
        <v>1000.0</v>
      </c>
      <c r="AD406" s="74">
        <v>3.0</v>
      </c>
      <c r="AE406" s="74">
        <v>1.0</v>
      </c>
      <c r="AF406" s="119"/>
      <c r="AG406" s="119"/>
      <c r="AH406" s="74">
        <v>7.0</v>
      </c>
      <c r="AI406" s="74">
        <v>1000.0</v>
      </c>
      <c r="AJ406" s="74">
        <v>3.0</v>
      </c>
      <c r="AK406" s="74">
        <v>1.0</v>
      </c>
      <c r="AL406" s="74">
        <v>7.0</v>
      </c>
      <c r="AM406" s="74">
        <v>100.0</v>
      </c>
      <c r="AN406" s="74">
        <v>3.0</v>
      </c>
      <c r="AO406" s="74">
        <v>0.0</v>
      </c>
      <c r="AP406" s="74">
        <v>0.0</v>
      </c>
      <c r="AQ406" s="119"/>
      <c r="AR406" s="119"/>
      <c r="AS406" s="119"/>
      <c r="AT406" s="119"/>
      <c r="AU406" s="74">
        <v>0.0</v>
      </c>
      <c r="AV406" s="119"/>
      <c r="AW406" s="119"/>
      <c r="AX406" s="119"/>
      <c r="AY406" s="119"/>
      <c r="AZ406" s="119"/>
      <c r="BA406" s="119"/>
      <c r="BB406" s="119"/>
      <c r="BC406" s="119"/>
      <c r="BD406" s="119"/>
      <c r="BE406" s="119"/>
      <c r="BF406" s="119"/>
      <c r="BG406" s="119"/>
      <c r="BH406" s="119"/>
      <c r="BI406" s="119"/>
      <c r="BJ406" s="119"/>
      <c r="BK406" s="119"/>
      <c r="BL406" s="119"/>
      <c r="BM406" s="119"/>
      <c r="BN406" s="119"/>
      <c r="BO406" s="119"/>
      <c r="BP406" s="119"/>
      <c r="BQ406" s="119"/>
      <c r="BR406" s="119"/>
      <c r="BS406" s="119"/>
      <c r="BT406" s="119"/>
      <c r="BU406" s="119"/>
      <c r="BV406" s="119"/>
      <c r="BW406" s="119"/>
      <c r="BX406" s="119"/>
      <c r="BY406" s="119"/>
      <c r="BZ406" s="119"/>
      <c r="CA406" s="119"/>
      <c r="CB406" s="119"/>
      <c r="CC406" s="74" t="s">
        <v>16851</v>
      </c>
      <c r="CD406" s="148">
        <v>43868.0</v>
      </c>
      <c r="CE406" s="74">
        <v>1.0</v>
      </c>
      <c r="CF406" s="74" t="s">
        <v>20169</v>
      </c>
      <c r="CG406" s="120">
        <v>7769.0</v>
      </c>
      <c r="CH406" s="74" t="s">
        <v>20199</v>
      </c>
      <c r="CI406" s="74" t="s">
        <v>20200</v>
      </c>
      <c r="CJ406" s="120">
        <v>405.0</v>
      </c>
    </row>
    <row r="407">
      <c r="A407" s="74" t="s">
        <v>20190</v>
      </c>
      <c r="B407" s="74" t="s">
        <v>6876</v>
      </c>
      <c r="C407" s="74" t="s">
        <v>6877</v>
      </c>
      <c r="D407" s="74" t="s">
        <v>8493</v>
      </c>
      <c r="E407" s="74" t="s">
        <v>20202</v>
      </c>
      <c r="F407" s="74">
        <v>59.0</v>
      </c>
      <c r="G407" s="74">
        <v>1.0</v>
      </c>
      <c r="H407" s="74">
        <v>11.0</v>
      </c>
      <c r="I407" s="119"/>
      <c r="J407" s="119"/>
      <c r="K407" s="74" t="s">
        <v>2029</v>
      </c>
      <c r="L407" s="74" t="s">
        <v>2029</v>
      </c>
      <c r="M407" s="74" t="s">
        <v>14851</v>
      </c>
      <c r="N407" s="74" t="s">
        <v>19988</v>
      </c>
      <c r="O407" s="74" t="s">
        <v>19989</v>
      </c>
      <c r="P407" s="74">
        <v>4.0</v>
      </c>
      <c r="Q407" s="119"/>
      <c r="R407" s="119"/>
      <c r="S407" s="74">
        <v>7.0</v>
      </c>
      <c r="T407" s="74">
        <v>1000.0</v>
      </c>
      <c r="U407" s="74">
        <v>4.0</v>
      </c>
      <c r="V407" s="119"/>
      <c r="W407" s="74">
        <v>7.0</v>
      </c>
      <c r="X407" s="74">
        <v>100.0</v>
      </c>
      <c r="Y407" s="74">
        <v>1.0</v>
      </c>
      <c r="Z407" s="119"/>
      <c r="AA407" s="74">
        <v>1.0</v>
      </c>
      <c r="AB407" s="74">
        <v>4.0</v>
      </c>
      <c r="AC407" s="74">
        <v>1000.0</v>
      </c>
      <c r="AD407" s="74">
        <v>3.0</v>
      </c>
      <c r="AE407" s="74">
        <v>45.0</v>
      </c>
      <c r="AF407" s="119"/>
      <c r="AG407" s="119"/>
      <c r="AH407" s="74">
        <v>7.0</v>
      </c>
      <c r="AI407" s="74">
        <v>1000.0</v>
      </c>
      <c r="AJ407" s="74">
        <v>3.0</v>
      </c>
      <c r="AK407" s="74">
        <v>22.0</v>
      </c>
      <c r="AL407" s="74">
        <v>7.0</v>
      </c>
      <c r="AM407" s="74">
        <v>100.0</v>
      </c>
      <c r="AN407" s="74">
        <v>3.0</v>
      </c>
      <c r="AO407" s="74">
        <v>2.0</v>
      </c>
      <c r="AP407" s="74">
        <v>0.0</v>
      </c>
      <c r="AQ407" s="119"/>
      <c r="AR407" s="119"/>
      <c r="AS407" s="119"/>
      <c r="AT407" s="119"/>
      <c r="AU407" s="74">
        <v>0.0</v>
      </c>
      <c r="AV407" s="119"/>
      <c r="AW407" s="119"/>
      <c r="AX407" s="119"/>
      <c r="AY407" s="119"/>
      <c r="AZ407" s="119"/>
      <c r="BA407" s="119"/>
      <c r="BB407" s="119"/>
      <c r="BC407" s="119"/>
      <c r="BD407" s="119"/>
      <c r="BE407" s="119"/>
      <c r="BF407" s="119"/>
      <c r="BG407" s="119"/>
      <c r="BH407" s="119"/>
      <c r="BI407" s="119"/>
      <c r="BJ407" s="119"/>
      <c r="BK407" s="119"/>
      <c r="BL407" s="119"/>
      <c r="BM407" s="119"/>
      <c r="BN407" s="119"/>
      <c r="BO407" s="119"/>
      <c r="BP407" s="119"/>
      <c r="BQ407" s="119"/>
      <c r="BR407" s="119"/>
      <c r="BS407" s="119"/>
      <c r="BT407" s="119"/>
      <c r="BU407" s="119"/>
      <c r="BV407" s="119"/>
      <c r="BW407" s="119"/>
      <c r="BX407" s="119"/>
      <c r="BY407" s="119"/>
      <c r="BZ407" s="119"/>
      <c r="CA407" s="119"/>
      <c r="CB407" s="119"/>
      <c r="CC407" s="74" t="s">
        <v>18350</v>
      </c>
      <c r="CD407" s="148">
        <v>43868.0</v>
      </c>
      <c r="CE407" s="74">
        <v>1.0</v>
      </c>
      <c r="CF407" s="74" t="s">
        <v>20169</v>
      </c>
      <c r="CG407" s="120">
        <v>7770.0</v>
      </c>
      <c r="CH407" s="74" t="s">
        <v>20214</v>
      </c>
      <c r="CI407" s="74" t="s">
        <v>20215</v>
      </c>
      <c r="CJ407" s="120">
        <v>406.0</v>
      </c>
    </row>
    <row r="408">
      <c r="A408" s="74" t="s">
        <v>20216</v>
      </c>
      <c r="B408" s="74" t="s">
        <v>6876</v>
      </c>
      <c r="C408" s="74" t="s">
        <v>6877</v>
      </c>
      <c r="D408" s="74" t="s">
        <v>8493</v>
      </c>
      <c r="E408" s="74" t="s">
        <v>20218</v>
      </c>
      <c r="F408" s="74">
        <v>57.0</v>
      </c>
      <c r="G408" s="74">
        <v>1.0</v>
      </c>
      <c r="H408" s="74">
        <v>16.0</v>
      </c>
      <c r="I408" s="119"/>
      <c r="J408" s="119"/>
      <c r="K408" s="74" t="s">
        <v>2042</v>
      </c>
      <c r="L408" s="74" t="s">
        <v>2042</v>
      </c>
      <c r="M408" s="74" t="s">
        <v>14851</v>
      </c>
      <c r="N408" s="74" t="s">
        <v>19988</v>
      </c>
      <c r="O408" s="74" t="s">
        <v>19989</v>
      </c>
      <c r="P408" s="119"/>
      <c r="Q408" s="119"/>
      <c r="R408" s="119"/>
      <c r="S408" s="74">
        <v>7.0</v>
      </c>
      <c r="T408" s="74">
        <v>1000.0</v>
      </c>
      <c r="U408" s="74">
        <v>4.0</v>
      </c>
      <c r="V408" s="119"/>
      <c r="W408" s="74">
        <v>7.0</v>
      </c>
      <c r="X408" s="74">
        <v>100.0</v>
      </c>
      <c r="Y408" s="74">
        <v>1.0</v>
      </c>
      <c r="Z408" s="119"/>
      <c r="AA408" s="74">
        <v>1.0</v>
      </c>
      <c r="AB408" s="74">
        <v>4.0</v>
      </c>
      <c r="AC408" s="74">
        <v>1000.0</v>
      </c>
      <c r="AD408" s="74">
        <v>3.0</v>
      </c>
      <c r="AE408" s="74">
        <v>4.0</v>
      </c>
      <c r="AF408" s="119"/>
      <c r="AG408" s="119"/>
      <c r="AH408" s="74">
        <v>7.0</v>
      </c>
      <c r="AI408" s="74">
        <v>1000.0</v>
      </c>
      <c r="AJ408" s="74">
        <v>3.0</v>
      </c>
      <c r="AK408" s="74">
        <v>2.0</v>
      </c>
      <c r="AL408" s="74">
        <v>7.0</v>
      </c>
      <c r="AM408" s="74">
        <v>100.0</v>
      </c>
      <c r="AN408" s="74">
        <v>3.0</v>
      </c>
      <c r="AO408" s="74">
        <v>0.0</v>
      </c>
      <c r="AP408" s="74">
        <v>0.0</v>
      </c>
      <c r="AQ408" s="119"/>
      <c r="AR408" s="119"/>
      <c r="AS408" s="119"/>
      <c r="AT408" s="119"/>
      <c r="AU408" s="74">
        <v>0.0</v>
      </c>
      <c r="AV408" s="119"/>
      <c r="AW408" s="119"/>
      <c r="AX408" s="119"/>
      <c r="AY408" s="119"/>
      <c r="AZ408" s="119"/>
      <c r="BA408" s="119"/>
      <c r="BB408" s="119"/>
      <c r="BC408" s="119"/>
      <c r="BD408" s="119"/>
      <c r="BE408" s="119"/>
      <c r="BF408" s="119"/>
      <c r="BG408" s="119"/>
      <c r="BH408" s="119"/>
      <c r="BI408" s="119"/>
      <c r="BJ408" s="119"/>
      <c r="BK408" s="119"/>
      <c r="BL408" s="119"/>
      <c r="BM408" s="119"/>
      <c r="BN408" s="119"/>
      <c r="BO408" s="119"/>
      <c r="BP408" s="119"/>
      <c r="BQ408" s="119"/>
      <c r="BR408" s="119"/>
      <c r="BS408" s="119"/>
      <c r="BT408" s="119"/>
      <c r="BU408" s="119"/>
      <c r="BV408" s="119"/>
      <c r="BW408" s="119"/>
      <c r="BX408" s="119"/>
      <c r="BY408" s="119"/>
      <c r="BZ408" s="119"/>
      <c r="CA408" s="119"/>
      <c r="CB408" s="119"/>
      <c r="CC408" s="74" t="s">
        <v>16851</v>
      </c>
      <c r="CD408" s="148">
        <v>43868.0</v>
      </c>
      <c r="CE408" s="74">
        <v>1.0</v>
      </c>
      <c r="CF408" s="74" t="s">
        <v>20169</v>
      </c>
      <c r="CG408" s="120">
        <v>7771.0</v>
      </c>
      <c r="CH408" s="74" t="s">
        <v>20231</v>
      </c>
      <c r="CI408" s="74" t="s">
        <v>20232</v>
      </c>
      <c r="CJ408" s="120">
        <v>407.0</v>
      </c>
    </row>
    <row r="409">
      <c r="A409" s="74" t="s">
        <v>20218</v>
      </c>
      <c r="B409" s="74" t="s">
        <v>6876</v>
      </c>
      <c r="C409" s="74" t="s">
        <v>6877</v>
      </c>
      <c r="D409" s="74" t="s">
        <v>8493</v>
      </c>
      <c r="E409" s="74" t="s">
        <v>20233</v>
      </c>
      <c r="F409" s="74">
        <v>59.0</v>
      </c>
      <c r="G409" s="74">
        <v>1.0</v>
      </c>
      <c r="H409" s="74">
        <v>3.0</v>
      </c>
      <c r="I409" s="119"/>
      <c r="J409" s="119"/>
      <c r="K409" s="74" t="s">
        <v>2046</v>
      </c>
      <c r="L409" s="74" t="s">
        <v>2046</v>
      </c>
      <c r="M409" s="74" t="s">
        <v>14851</v>
      </c>
      <c r="N409" s="74" t="s">
        <v>19988</v>
      </c>
      <c r="O409" s="74" t="s">
        <v>19989</v>
      </c>
      <c r="P409" s="119"/>
      <c r="Q409" s="119"/>
      <c r="R409" s="119"/>
      <c r="S409" s="74">
        <v>7.0</v>
      </c>
      <c r="T409" s="74">
        <v>1000.0</v>
      </c>
      <c r="U409" s="74">
        <v>3.0</v>
      </c>
      <c r="V409" s="74">
        <v>0.0</v>
      </c>
      <c r="W409" s="74">
        <v>7.0</v>
      </c>
      <c r="X409" s="74">
        <v>100.0</v>
      </c>
      <c r="Y409" s="74">
        <v>3.0</v>
      </c>
      <c r="Z409" s="74">
        <v>0.0</v>
      </c>
      <c r="AA409" s="74">
        <v>0.0</v>
      </c>
      <c r="AB409" s="119"/>
      <c r="AC409" s="119"/>
      <c r="AD409" s="119"/>
      <c r="AE409" s="119"/>
      <c r="AF409" s="119"/>
      <c r="AG409" s="119"/>
      <c r="AH409" s="74">
        <v>7.0</v>
      </c>
      <c r="AI409" s="74">
        <v>1000.0</v>
      </c>
      <c r="AJ409" s="74">
        <v>3.0</v>
      </c>
      <c r="AK409" s="74">
        <v>0.0</v>
      </c>
      <c r="AL409" s="74">
        <v>7.0</v>
      </c>
      <c r="AM409" s="74">
        <v>100.0</v>
      </c>
      <c r="AN409" s="74">
        <v>3.0</v>
      </c>
      <c r="AO409" s="74">
        <v>0.0</v>
      </c>
      <c r="AP409" s="74">
        <v>0.0</v>
      </c>
      <c r="AQ409" s="119"/>
      <c r="AR409" s="119"/>
      <c r="AS409" s="119"/>
      <c r="AT409" s="119"/>
      <c r="AU409" s="74">
        <v>0.0</v>
      </c>
      <c r="AV409" s="119"/>
      <c r="AW409" s="119"/>
      <c r="AX409" s="119"/>
      <c r="AY409" s="119"/>
      <c r="AZ409" s="119"/>
      <c r="BA409" s="119"/>
      <c r="BB409" s="119"/>
      <c r="BC409" s="119"/>
      <c r="BD409" s="119"/>
      <c r="BE409" s="119"/>
      <c r="BF409" s="119"/>
      <c r="BG409" s="119"/>
      <c r="BH409" s="119"/>
      <c r="BI409" s="119"/>
      <c r="BJ409" s="119"/>
      <c r="BK409" s="119"/>
      <c r="BL409" s="119"/>
      <c r="BM409" s="119"/>
      <c r="BN409" s="119"/>
      <c r="BO409" s="119"/>
      <c r="BP409" s="119"/>
      <c r="BQ409" s="119"/>
      <c r="BR409" s="119"/>
      <c r="BS409" s="119"/>
      <c r="BT409" s="119"/>
      <c r="BU409" s="119"/>
      <c r="BV409" s="119"/>
      <c r="BW409" s="119"/>
      <c r="BX409" s="119"/>
      <c r="BY409" s="119"/>
      <c r="BZ409" s="119"/>
      <c r="CA409" s="119"/>
      <c r="CB409" s="119"/>
      <c r="CC409" s="119"/>
      <c r="CD409" s="148">
        <v>43868.0</v>
      </c>
      <c r="CE409" s="74">
        <v>1.0</v>
      </c>
      <c r="CF409" s="74" t="s">
        <v>20169</v>
      </c>
      <c r="CG409" s="120">
        <v>7772.0</v>
      </c>
      <c r="CH409" s="74" t="s">
        <v>20244</v>
      </c>
      <c r="CI409" s="74" t="s">
        <v>20245</v>
      </c>
      <c r="CJ409" s="120">
        <v>408.0</v>
      </c>
    </row>
    <row r="410">
      <c r="A410" s="74" t="s">
        <v>20233</v>
      </c>
      <c r="B410" s="74" t="s">
        <v>6876</v>
      </c>
      <c r="C410" s="74" t="s">
        <v>6877</v>
      </c>
      <c r="D410" s="74" t="s">
        <v>8493</v>
      </c>
      <c r="E410" s="74" t="s">
        <v>20246</v>
      </c>
      <c r="F410" s="74">
        <v>59.0</v>
      </c>
      <c r="G410" s="74">
        <v>1.0</v>
      </c>
      <c r="H410" s="74">
        <v>11.0</v>
      </c>
      <c r="I410" s="119"/>
      <c r="J410" s="119"/>
      <c r="K410" s="74" t="s">
        <v>2050</v>
      </c>
      <c r="L410" s="74" t="s">
        <v>2050</v>
      </c>
      <c r="M410" s="74" t="s">
        <v>14851</v>
      </c>
      <c r="N410" s="74" t="s">
        <v>19988</v>
      </c>
      <c r="O410" s="74" t="s">
        <v>19989</v>
      </c>
      <c r="P410" s="74">
        <v>4.0</v>
      </c>
      <c r="Q410" s="119"/>
      <c r="R410" s="119"/>
      <c r="S410" s="74">
        <v>7.0</v>
      </c>
      <c r="T410" s="74">
        <v>1000.0</v>
      </c>
      <c r="U410" s="74">
        <v>4.0</v>
      </c>
      <c r="V410" s="119"/>
      <c r="W410" s="74">
        <v>7.0</v>
      </c>
      <c r="X410" s="74">
        <v>100.0</v>
      </c>
      <c r="Y410" s="74">
        <v>1.0</v>
      </c>
      <c r="Z410" s="119"/>
      <c r="AA410" s="74">
        <v>1.0</v>
      </c>
      <c r="AB410" s="74">
        <v>4.0</v>
      </c>
      <c r="AC410" s="74">
        <v>1000.0</v>
      </c>
      <c r="AD410" s="74">
        <v>3.0</v>
      </c>
      <c r="AE410" s="74">
        <v>33.0</v>
      </c>
      <c r="AF410" s="119"/>
      <c r="AG410" s="119"/>
      <c r="AH410" s="74">
        <v>7.0</v>
      </c>
      <c r="AI410" s="74">
        <v>1000.0</v>
      </c>
      <c r="AJ410" s="74">
        <v>3.0</v>
      </c>
      <c r="AK410" s="74">
        <v>1.0</v>
      </c>
      <c r="AL410" s="74">
        <v>7.0</v>
      </c>
      <c r="AM410" s="74">
        <v>100.0</v>
      </c>
      <c r="AN410" s="74">
        <v>3.0</v>
      </c>
      <c r="AO410" s="74">
        <v>0.0</v>
      </c>
      <c r="AP410" s="74">
        <v>0.0</v>
      </c>
      <c r="AQ410" s="119"/>
      <c r="AR410" s="119"/>
      <c r="AS410" s="119"/>
      <c r="AT410" s="119"/>
      <c r="AU410" s="74">
        <v>0.0</v>
      </c>
      <c r="AV410" s="119"/>
      <c r="AW410" s="119"/>
      <c r="AX410" s="119"/>
      <c r="AY410" s="119"/>
      <c r="AZ410" s="119"/>
      <c r="BA410" s="119"/>
      <c r="BB410" s="119"/>
      <c r="BC410" s="119"/>
      <c r="BD410" s="119"/>
      <c r="BE410" s="119"/>
      <c r="BF410" s="119"/>
      <c r="BG410" s="119"/>
      <c r="BH410" s="119"/>
      <c r="BI410" s="119"/>
      <c r="BJ410" s="119"/>
      <c r="BK410" s="119"/>
      <c r="BL410" s="119"/>
      <c r="BM410" s="119"/>
      <c r="BN410" s="119"/>
      <c r="BO410" s="119"/>
      <c r="BP410" s="119"/>
      <c r="BQ410" s="119"/>
      <c r="BR410" s="119"/>
      <c r="BS410" s="119"/>
      <c r="BT410" s="119"/>
      <c r="BU410" s="119"/>
      <c r="BV410" s="119"/>
      <c r="BW410" s="119"/>
      <c r="BX410" s="119"/>
      <c r="BY410" s="119"/>
      <c r="BZ410" s="119"/>
      <c r="CA410" s="119"/>
      <c r="CB410" s="119"/>
      <c r="CC410" s="74" t="s">
        <v>17121</v>
      </c>
      <c r="CD410" s="148">
        <v>43868.0</v>
      </c>
      <c r="CE410" s="74">
        <v>1.0</v>
      </c>
      <c r="CF410" s="74" t="s">
        <v>20169</v>
      </c>
      <c r="CG410" s="120">
        <v>7773.0</v>
      </c>
      <c r="CH410" s="74" t="s">
        <v>20260</v>
      </c>
      <c r="CI410" s="74" t="s">
        <v>20262</v>
      </c>
      <c r="CJ410" s="120">
        <v>409.0</v>
      </c>
    </row>
    <row r="411">
      <c r="A411" s="74" t="s">
        <v>20263</v>
      </c>
      <c r="B411" s="74" t="s">
        <v>6876</v>
      </c>
      <c r="C411" s="74" t="s">
        <v>6877</v>
      </c>
      <c r="D411" s="74" t="s">
        <v>8493</v>
      </c>
      <c r="E411" s="74" t="s">
        <v>20264</v>
      </c>
      <c r="F411" s="74">
        <v>59.0</v>
      </c>
      <c r="G411" s="74">
        <v>1.0</v>
      </c>
      <c r="H411" s="74">
        <v>11.0</v>
      </c>
      <c r="I411" s="119"/>
      <c r="J411" s="119"/>
      <c r="K411" s="74" t="s">
        <v>2063</v>
      </c>
      <c r="L411" s="74" t="s">
        <v>2063</v>
      </c>
      <c r="M411" s="74" t="s">
        <v>15087</v>
      </c>
      <c r="N411" s="74" t="s">
        <v>14939</v>
      </c>
      <c r="O411" s="74" t="s">
        <v>15089</v>
      </c>
      <c r="P411" s="74">
        <v>4.0</v>
      </c>
      <c r="Q411" s="119"/>
      <c r="R411" s="119"/>
      <c r="S411" s="74">
        <v>7.0</v>
      </c>
      <c r="T411" s="74">
        <v>1000.0</v>
      </c>
      <c r="U411" s="74">
        <v>1.0</v>
      </c>
      <c r="V411" s="119"/>
      <c r="W411" s="74">
        <v>7.0</v>
      </c>
      <c r="X411" s="74">
        <v>100.0</v>
      </c>
      <c r="Y411" s="74">
        <v>3.0</v>
      </c>
      <c r="Z411" s="74">
        <v>68.0</v>
      </c>
      <c r="AA411" s="74">
        <v>1.0</v>
      </c>
      <c r="AB411" s="74">
        <v>4.0</v>
      </c>
      <c r="AC411" s="74">
        <v>1000.0</v>
      </c>
      <c r="AD411" s="74">
        <v>3.0</v>
      </c>
      <c r="AE411" s="74">
        <v>1.0</v>
      </c>
      <c r="AF411" s="119"/>
      <c r="AG411" s="119"/>
      <c r="AH411" s="74">
        <v>7.0</v>
      </c>
      <c r="AI411" s="74">
        <v>1000.0</v>
      </c>
      <c r="AJ411" s="74">
        <v>3.0</v>
      </c>
      <c r="AK411" s="74">
        <v>0.0</v>
      </c>
      <c r="AL411" s="74">
        <v>7.0</v>
      </c>
      <c r="AM411" s="74">
        <v>100.0</v>
      </c>
      <c r="AN411" s="74">
        <v>3.0</v>
      </c>
      <c r="AO411" s="74">
        <v>0.0</v>
      </c>
      <c r="AP411" s="74">
        <v>0.0</v>
      </c>
      <c r="AQ411" s="119"/>
      <c r="AR411" s="119"/>
      <c r="AS411" s="119"/>
      <c r="AT411" s="119"/>
      <c r="AU411" s="74">
        <v>0.0</v>
      </c>
      <c r="AV411" s="119"/>
      <c r="AW411" s="119"/>
      <c r="AX411" s="119"/>
      <c r="AY411" s="119"/>
      <c r="AZ411" s="119"/>
      <c r="BA411" s="119"/>
      <c r="BB411" s="119"/>
      <c r="BC411" s="119"/>
      <c r="BD411" s="119"/>
      <c r="BE411" s="119"/>
      <c r="BF411" s="119"/>
      <c r="BG411" s="119"/>
      <c r="BH411" s="119"/>
      <c r="BI411" s="119"/>
      <c r="BJ411" s="119"/>
      <c r="BK411" s="119"/>
      <c r="BL411" s="119"/>
      <c r="BM411" s="119"/>
      <c r="BN411" s="119"/>
      <c r="BO411" s="119"/>
      <c r="BP411" s="119"/>
      <c r="BQ411" s="119"/>
      <c r="BR411" s="119"/>
      <c r="BS411" s="119"/>
      <c r="BT411" s="119"/>
      <c r="BU411" s="119"/>
      <c r="BV411" s="119"/>
      <c r="BW411" s="119"/>
      <c r="BX411" s="119"/>
      <c r="BY411" s="119"/>
      <c r="BZ411" s="119"/>
      <c r="CA411" s="119"/>
      <c r="CB411" s="119"/>
      <c r="CC411" s="74" t="s">
        <v>16851</v>
      </c>
      <c r="CD411" s="148">
        <v>43868.0</v>
      </c>
      <c r="CE411" s="74">
        <v>1.0</v>
      </c>
      <c r="CF411" s="74" t="s">
        <v>20169</v>
      </c>
      <c r="CG411" s="120">
        <v>7774.0</v>
      </c>
      <c r="CH411" s="74" t="s">
        <v>20280</v>
      </c>
      <c r="CI411" s="74" t="s">
        <v>20281</v>
      </c>
      <c r="CJ411" s="120">
        <v>410.0</v>
      </c>
    </row>
    <row r="412">
      <c r="A412" s="74" t="s">
        <v>20282</v>
      </c>
      <c r="B412" s="74" t="s">
        <v>6876</v>
      </c>
      <c r="C412" s="74" t="s">
        <v>6877</v>
      </c>
      <c r="D412" s="74" t="s">
        <v>8493</v>
      </c>
      <c r="E412" s="74" t="s">
        <v>20284</v>
      </c>
      <c r="F412" s="74">
        <v>59.0</v>
      </c>
      <c r="G412" s="74">
        <v>1.0</v>
      </c>
      <c r="H412" s="74">
        <v>11.0</v>
      </c>
      <c r="I412" s="119"/>
      <c r="J412" s="119"/>
      <c r="K412" s="74" t="s">
        <v>2066</v>
      </c>
      <c r="L412" s="74" t="s">
        <v>2066</v>
      </c>
      <c r="M412" s="74" t="s">
        <v>15087</v>
      </c>
      <c r="N412" s="74" t="s">
        <v>14939</v>
      </c>
      <c r="O412" s="74" t="s">
        <v>15089</v>
      </c>
      <c r="P412" s="74">
        <v>4.0</v>
      </c>
      <c r="Q412" s="119"/>
      <c r="R412" s="119"/>
      <c r="S412" s="74">
        <v>7.0</v>
      </c>
      <c r="T412" s="74">
        <v>1000.0</v>
      </c>
      <c r="U412" s="74">
        <v>3.0</v>
      </c>
      <c r="V412" s="74">
        <v>43.0</v>
      </c>
      <c r="W412" s="74">
        <v>7.0</v>
      </c>
      <c r="X412" s="74">
        <v>100.0</v>
      </c>
      <c r="Y412" s="74">
        <v>3.0</v>
      </c>
      <c r="Z412" s="74">
        <v>6.0</v>
      </c>
      <c r="AA412" s="74">
        <v>1.0</v>
      </c>
      <c r="AB412" s="74">
        <v>4.0</v>
      </c>
      <c r="AC412" s="74">
        <v>1000.0</v>
      </c>
      <c r="AD412" s="74">
        <v>3.0</v>
      </c>
      <c r="AE412" s="74">
        <v>0.0</v>
      </c>
      <c r="AF412" s="119"/>
      <c r="AG412" s="119"/>
      <c r="AH412" s="74">
        <v>7.0</v>
      </c>
      <c r="AI412" s="74">
        <v>1000.0</v>
      </c>
      <c r="AJ412" s="74">
        <v>3.0</v>
      </c>
      <c r="AK412" s="74">
        <v>0.0</v>
      </c>
      <c r="AL412" s="74">
        <v>7.0</v>
      </c>
      <c r="AM412" s="74">
        <v>100.0</v>
      </c>
      <c r="AN412" s="74">
        <v>3.0</v>
      </c>
      <c r="AO412" s="74">
        <v>0.0</v>
      </c>
      <c r="AP412" s="74">
        <v>0.0</v>
      </c>
      <c r="AQ412" s="119"/>
      <c r="AR412" s="119"/>
      <c r="AS412" s="119"/>
      <c r="AT412" s="119"/>
      <c r="AU412" s="74">
        <v>0.0</v>
      </c>
      <c r="AV412" s="119"/>
      <c r="AW412" s="119"/>
      <c r="AX412" s="119"/>
      <c r="AY412" s="119"/>
      <c r="AZ412" s="119"/>
      <c r="BA412" s="119"/>
      <c r="BB412" s="119"/>
      <c r="BC412" s="119"/>
      <c r="BD412" s="119"/>
      <c r="BE412" s="119"/>
      <c r="BF412" s="119"/>
      <c r="BG412" s="119"/>
      <c r="BH412" s="119"/>
      <c r="BI412" s="119"/>
      <c r="BJ412" s="119"/>
      <c r="BK412" s="119"/>
      <c r="BL412" s="119"/>
      <c r="BM412" s="119"/>
      <c r="BN412" s="119"/>
      <c r="BO412" s="119"/>
      <c r="BP412" s="119"/>
      <c r="BQ412" s="119"/>
      <c r="BR412" s="119"/>
      <c r="BS412" s="119"/>
      <c r="BT412" s="119"/>
      <c r="BU412" s="119"/>
      <c r="BV412" s="119"/>
      <c r="BW412" s="119"/>
      <c r="BX412" s="119"/>
      <c r="BY412" s="119"/>
      <c r="BZ412" s="119"/>
      <c r="CA412" s="119"/>
      <c r="CB412" s="119"/>
      <c r="CC412" s="74" t="s">
        <v>16851</v>
      </c>
      <c r="CD412" s="148">
        <v>43868.0</v>
      </c>
      <c r="CE412" s="74">
        <v>1.0</v>
      </c>
      <c r="CF412" s="74" t="s">
        <v>20169</v>
      </c>
      <c r="CG412" s="120">
        <v>7775.0</v>
      </c>
      <c r="CH412" s="74" t="s">
        <v>20299</v>
      </c>
      <c r="CI412" s="74" t="s">
        <v>20300</v>
      </c>
      <c r="CJ412" s="120">
        <v>411.0</v>
      </c>
    </row>
    <row r="413">
      <c r="A413" s="74" t="s">
        <v>20284</v>
      </c>
      <c r="B413" s="74" t="s">
        <v>6876</v>
      </c>
      <c r="C413" s="74" t="s">
        <v>6877</v>
      </c>
      <c r="D413" s="74" t="s">
        <v>8493</v>
      </c>
      <c r="E413" s="74" t="s">
        <v>20302</v>
      </c>
      <c r="F413" s="74">
        <v>59.0</v>
      </c>
      <c r="G413" s="74">
        <v>1.0</v>
      </c>
      <c r="H413" s="74">
        <v>11.0</v>
      </c>
      <c r="I413" s="119"/>
      <c r="J413" s="119"/>
      <c r="K413" s="74" t="s">
        <v>2069</v>
      </c>
      <c r="L413" s="74" t="s">
        <v>2069</v>
      </c>
      <c r="M413" s="74" t="s">
        <v>15087</v>
      </c>
      <c r="N413" s="74" t="s">
        <v>14939</v>
      </c>
      <c r="O413" s="74" t="s">
        <v>15089</v>
      </c>
      <c r="P413" s="74">
        <v>4.0</v>
      </c>
      <c r="Q413" s="119"/>
      <c r="R413" s="119"/>
      <c r="S413" s="74">
        <v>7.0</v>
      </c>
      <c r="T413" s="74">
        <v>1000.0</v>
      </c>
      <c r="U413" s="74">
        <v>3.0</v>
      </c>
      <c r="V413" s="74">
        <v>42.0</v>
      </c>
      <c r="W413" s="74">
        <v>7.0</v>
      </c>
      <c r="X413" s="74">
        <v>100.0</v>
      </c>
      <c r="Y413" s="74">
        <v>3.0</v>
      </c>
      <c r="Z413" s="74">
        <v>9.0</v>
      </c>
      <c r="AA413" s="74">
        <v>1.0</v>
      </c>
      <c r="AB413" s="74">
        <v>4.0</v>
      </c>
      <c r="AC413" s="74">
        <v>1000.0</v>
      </c>
      <c r="AD413" s="74">
        <v>3.0</v>
      </c>
      <c r="AE413" s="74">
        <v>1.0</v>
      </c>
      <c r="AF413" s="119"/>
      <c r="AG413" s="119"/>
      <c r="AH413" s="74">
        <v>7.0</v>
      </c>
      <c r="AI413" s="74">
        <v>1000.0</v>
      </c>
      <c r="AJ413" s="74">
        <v>3.0</v>
      </c>
      <c r="AK413" s="74">
        <v>0.0</v>
      </c>
      <c r="AL413" s="74">
        <v>7.0</v>
      </c>
      <c r="AM413" s="74">
        <v>100.0</v>
      </c>
      <c r="AN413" s="74">
        <v>3.0</v>
      </c>
      <c r="AO413" s="74">
        <v>0.0</v>
      </c>
      <c r="AP413" s="74">
        <v>0.0</v>
      </c>
      <c r="AQ413" s="119"/>
      <c r="AR413" s="119"/>
      <c r="AS413" s="119"/>
      <c r="AT413" s="119"/>
      <c r="AU413" s="74">
        <v>0.0</v>
      </c>
      <c r="AV413" s="119"/>
      <c r="AW413" s="119"/>
      <c r="AX413" s="119"/>
      <c r="AY413" s="119"/>
      <c r="AZ413" s="119"/>
      <c r="BA413" s="119"/>
      <c r="BB413" s="119"/>
      <c r="BC413" s="119"/>
      <c r="BD413" s="119"/>
      <c r="BE413" s="119"/>
      <c r="BF413" s="119"/>
      <c r="BG413" s="119"/>
      <c r="BH413" s="119"/>
      <c r="BI413" s="119"/>
      <c r="BJ413" s="119"/>
      <c r="BK413" s="119"/>
      <c r="BL413" s="119"/>
      <c r="BM413" s="119"/>
      <c r="BN413" s="119"/>
      <c r="BO413" s="119"/>
      <c r="BP413" s="119"/>
      <c r="BQ413" s="119"/>
      <c r="BR413" s="119"/>
      <c r="BS413" s="119"/>
      <c r="BT413" s="119"/>
      <c r="BU413" s="119"/>
      <c r="BV413" s="119"/>
      <c r="BW413" s="119"/>
      <c r="BX413" s="119"/>
      <c r="BY413" s="119"/>
      <c r="BZ413" s="119"/>
      <c r="CA413" s="119"/>
      <c r="CB413" s="119"/>
      <c r="CC413" s="74" t="s">
        <v>16851</v>
      </c>
      <c r="CD413" s="148">
        <v>43868.0</v>
      </c>
      <c r="CE413" s="74">
        <v>1.0</v>
      </c>
      <c r="CF413" s="74" t="s">
        <v>20169</v>
      </c>
      <c r="CG413" s="120">
        <v>7776.0</v>
      </c>
      <c r="CH413" s="74" t="s">
        <v>20317</v>
      </c>
      <c r="CI413" s="74" t="s">
        <v>20318</v>
      </c>
      <c r="CJ413" s="120">
        <v>412.0</v>
      </c>
    </row>
    <row r="414">
      <c r="A414" s="74" t="s">
        <v>20302</v>
      </c>
      <c r="B414" s="74" t="s">
        <v>6876</v>
      </c>
      <c r="C414" s="74" t="s">
        <v>6877</v>
      </c>
      <c r="D414" s="74" t="s">
        <v>8493</v>
      </c>
      <c r="E414" s="74" t="s">
        <v>20319</v>
      </c>
      <c r="F414" s="74">
        <v>59.0</v>
      </c>
      <c r="G414" s="74">
        <v>1.0</v>
      </c>
      <c r="H414" s="74">
        <v>11.0</v>
      </c>
      <c r="I414" s="119"/>
      <c r="J414" s="119"/>
      <c r="K414" s="74" t="s">
        <v>2072</v>
      </c>
      <c r="L414" s="74" t="s">
        <v>2072</v>
      </c>
      <c r="M414" s="74" t="s">
        <v>15087</v>
      </c>
      <c r="N414" s="74" t="s">
        <v>14939</v>
      </c>
      <c r="O414" s="74" t="s">
        <v>15089</v>
      </c>
      <c r="P414" s="74">
        <v>4.0</v>
      </c>
      <c r="Q414" s="119"/>
      <c r="R414" s="119"/>
      <c r="S414" s="74">
        <v>7.0</v>
      </c>
      <c r="T414" s="74">
        <v>1000.0</v>
      </c>
      <c r="U414" s="74">
        <v>1.0</v>
      </c>
      <c r="V414" s="119"/>
      <c r="W414" s="74">
        <v>7.0</v>
      </c>
      <c r="X414" s="74">
        <v>100.0</v>
      </c>
      <c r="Y414" s="74">
        <v>1.0</v>
      </c>
      <c r="Z414" s="119"/>
      <c r="AA414" s="74">
        <v>1.0</v>
      </c>
      <c r="AB414" s="74">
        <v>4.0</v>
      </c>
      <c r="AC414" s="74">
        <v>1000.0</v>
      </c>
      <c r="AD414" s="74">
        <v>3.0</v>
      </c>
      <c r="AE414" s="74">
        <v>8.0</v>
      </c>
      <c r="AF414" s="119"/>
      <c r="AG414" s="119"/>
      <c r="AH414" s="74">
        <v>7.0</v>
      </c>
      <c r="AI414" s="74">
        <v>1000.0</v>
      </c>
      <c r="AJ414" s="74">
        <v>3.0</v>
      </c>
      <c r="AK414" s="74">
        <v>6.0</v>
      </c>
      <c r="AL414" s="74">
        <v>7.0</v>
      </c>
      <c r="AM414" s="74">
        <v>100.0</v>
      </c>
      <c r="AN414" s="74">
        <v>3.0</v>
      </c>
      <c r="AO414" s="74">
        <v>0.0</v>
      </c>
      <c r="AP414" s="74">
        <v>0.0</v>
      </c>
      <c r="AQ414" s="119"/>
      <c r="AR414" s="119"/>
      <c r="AS414" s="119"/>
      <c r="AT414" s="119"/>
      <c r="AU414" s="74">
        <v>0.0</v>
      </c>
      <c r="AV414" s="119"/>
      <c r="AW414" s="119"/>
      <c r="AX414" s="119"/>
      <c r="AY414" s="119"/>
      <c r="AZ414" s="119"/>
      <c r="BA414" s="119"/>
      <c r="BB414" s="119"/>
      <c r="BC414" s="119"/>
      <c r="BD414" s="119"/>
      <c r="BE414" s="119"/>
      <c r="BF414" s="119"/>
      <c r="BG414" s="119"/>
      <c r="BH414" s="119"/>
      <c r="BI414" s="119"/>
      <c r="BJ414" s="119"/>
      <c r="BK414" s="119"/>
      <c r="BL414" s="119"/>
      <c r="BM414" s="119"/>
      <c r="BN414" s="119"/>
      <c r="BO414" s="119"/>
      <c r="BP414" s="119"/>
      <c r="BQ414" s="119"/>
      <c r="BR414" s="119"/>
      <c r="BS414" s="119"/>
      <c r="BT414" s="119"/>
      <c r="BU414" s="119"/>
      <c r="BV414" s="119"/>
      <c r="BW414" s="119"/>
      <c r="BX414" s="119"/>
      <c r="BY414" s="119"/>
      <c r="BZ414" s="119"/>
      <c r="CA414" s="119"/>
      <c r="CB414" s="119"/>
      <c r="CC414" s="74" t="s">
        <v>16851</v>
      </c>
      <c r="CD414" s="148">
        <v>43868.0</v>
      </c>
      <c r="CE414" s="74">
        <v>1.0</v>
      </c>
      <c r="CF414" s="74" t="s">
        <v>20169</v>
      </c>
      <c r="CG414" s="120">
        <v>7777.0</v>
      </c>
      <c r="CH414" s="74" t="s">
        <v>20333</v>
      </c>
      <c r="CI414" s="74" t="s">
        <v>20334</v>
      </c>
      <c r="CJ414" s="120">
        <v>413.0</v>
      </c>
    </row>
    <row r="415">
      <c r="A415" s="74" t="s">
        <v>20319</v>
      </c>
      <c r="B415" s="74" t="s">
        <v>6876</v>
      </c>
      <c r="C415" s="74" t="s">
        <v>6877</v>
      </c>
      <c r="D415" s="74" t="s">
        <v>8493</v>
      </c>
      <c r="E415" s="74" t="s">
        <v>20338</v>
      </c>
      <c r="F415" s="74">
        <v>57.0</v>
      </c>
      <c r="G415" s="74">
        <v>1.0</v>
      </c>
      <c r="H415" s="74">
        <v>16.0</v>
      </c>
      <c r="I415" s="119"/>
      <c r="J415" s="119"/>
      <c r="K415" s="74" t="s">
        <v>2086</v>
      </c>
      <c r="L415" s="74" t="s">
        <v>2086</v>
      </c>
      <c r="M415" s="74" t="s">
        <v>15087</v>
      </c>
      <c r="N415" s="74" t="s">
        <v>14939</v>
      </c>
      <c r="O415" s="74" t="s">
        <v>15089</v>
      </c>
      <c r="P415" s="119"/>
      <c r="Q415" s="119"/>
      <c r="R415" s="119"/>
      <c r="S415" s="74">
        <v>7.0</v>
      </c>
      <c r="T415" s="74">
        <v>1000.0</v>
      </c>
      <c r="U415" s="74">
        <v>4.0</v>
      </c>
      <c r="V415" s="119"/>
      <c r="W415" s="74">
        <v>7.0</v>
      </c>
      <c r="X415" s="74">
        <v>100.0</v>
      </c>
      <c r="Y415" s="74">
        <v>1.0</v>
      </c>
      <c r="Z415" s="119"/>
      <c r="AA415" s="74">
        <v>1.0</v>
      </c>
      <c r="AB415" s="74">
        <v>4.0</v>
      </c>
      <c r="AC415" s="74">
        <v>1000.0</v>
      </c>
      <c r="AD415" s="74">
        <v>3.0</v>
      </c>
      <c r="AE415" s="74">
        <v>5.0</v>
      </c>
      <c r="AF415" s="119"/>
      <c r="AG415" s="119"/>
      <c r="AH415" s="74">
        <v>7.0</v>
      </c>
      <c r="AI415" s="74">
        <v>1000.0</v>
      </c>
      <c r="AJ415" s="74">
        <v>3.0</v>
      </c>
      <c r="AK415" s="74">
        <v>1.0</v>
      </c>
      <c r="AL415" s="74">
        <v>7.0</v>
      </c>
      <c r="AM415" s="74">
        <v>100.0</v>
      </c>
      <c r="AN415" s="74">
        <v>3.0</v>
      </c>
      <c r="AO415" s="74">
        <v>0.0</v>
      </c>
      <c r="AP415" s="74">
        <v>0.0</v>
      </c>
      <c r="AQ415" s="119"/>
      <c r="AR415" s="119"/>
      <c r="AS415" s="119"/>
      <c r="AT415" s="119"/>
      <c r="AU415" s="74">
        <v>0.0</v>
      </c>
      <c r="AV415" s="119"/>
      <c r="AW415" s="119"/>
      <c r="AX415" s="119"/>
      <c r="AY415" s="119"/>
      <c r="AZ415" s="119"/>
      <c r="BA415" s="119"/>
      <c r="BB415" s="119"/>
      <c r="BC415" s="119"/>
      <c r="BD415" s="119"/>
      <c r="BE415" s="119"/>
      <c r="BF415" s="119"/>
      <c r="BG415" s="119"/>
      <c r="BH415" s="119"/>
      <c r="BI415" s="119"/>
      <c r="BJ415" s="119"/>
      <c r="BK415" s="119"/>
      <c r="BL415" s="119"/>
      <c r="BM415" s="119"/>
      <c r="BN415" s="119"/>
      <c r="BO415" s="119"/>
      <c r="BP415" s="119"/>
      <c r="BQ415" s="119"/>
      <c r="BR415" s="119"/>
      <c r="BS415" s="119"/>
      <c r="BT415" s="119"/>
      <c r="BU415" s="119"/>
      <c r="BV415" s="119"/>
      <c r="BW415" s="119"/>
      <c r="BX415" s="119"/>
      <c r="BY415" s="119"/>
      <c r="BZ415" s="119"/>
      <c r="CA415" s="119"/>
      <c r="CB415" s="119"/>
      <c r="CC415" s="74" t="s">
        <v>18350</v>
      </c>
      <c r="CD415" s="148">
        <v>43868.0</v>
      </c>
      <c r="CE415" s="74">
        <v>1.0</v>
      </c>
      <c r="CF415" s="74" t="s">
        <v>20169</v>
      </c>
      <c r="CG415" s="120">
        <v>7778.0</v>
      </c>
      <c r="CH415" s="74" t="s">
        <v>20349</v>
      </c>
      <c r="CI415" s="74" t="s">
        <v>20350</v>
      </c>
      <c r="CJ415" s="120">
        <v>414.0</v>
      </c>
    </row>
    <row r="416">
      <c r="A416" s="74" t="s">
        <v>20351</v>
      </c>
      <c r="B416" s="74" t="s">
        <v>6876</v>
      </c>
      <c r="C416" s="74" t="s">
        <v>6877</v>
      </c>
      <c r="D416" s="74" t="s">
        <v>8493</v>
      </c>
      <c r="E416" s="74" t="s">
        <v>20352</v>
      </c>
      <c r="F416" s="74">
        <v>33.0</v>
      </c>
      <c r="G416" s="74">
        <v>1.0</v>
      </c>
      <c r="H416" s="74">
        <v>97.0</v>
      </c>
      <c r="I416" s="119"/>
      <c r="J416" s="119"/>
      <c r="K416" s="74" t="s">
        <v>436</v>
      </c>
      <c r="L416" s="74" t="s">
        <v>436</v>
      </c>
      <c r="M416" s="74" t="s">
        <v>15087</v>
      </c>
      <c r="N416" s="74" t="s">
        <v>14939</v>
      </c>
      <c r="O416" s="74" t="s">
        <v>20357</v>
      </c>
      <c r="P416" s="119"/>
      <c r="Q416" s="119"/>
      <c r="R416" s="119"/>
      <c r="S416" s="74">
        <v>7.0</v>
      </c>
      <c r="T416" s="74">
        <v>1000.0</v>
      </c>
      <c r="U416" s="74">
        <v>3.0</v>
      </c>
      <c r="V416" s="74">
        <v>132.0</v>
      </c>
      <c r="W416" s="119"/>
      <c r="X416" s="119"/>
      <c r="Y416" s="119"/>
      <c r="Z416" s="119"/>
      <c r="AA416" s="119"/>
      <c r="AB416" s="119"/>
      <c r="AC416" s="119"/>
      <c r="AD416" s="119"/>
      <c r="AE416" s="119"/>
      <c r="AF416" s="119"/>
      <c r="AG416" s="119"/>
      <c r="AH416" s="119"/>
      <c r="AI416" s="119"/>
      <c r="AJ416" s="119"/>
      <c r="AK416" s="119"/>
      <c r="AL416" s="119"/>
      <c r="AM416" s="119"/>
      <c r="AN416" s="119"/>
      <c r="AO416" s="119"/>
      <c r="AP416" s="119"/>
      <c r="AQ416" s="119"/>
      <c r="AR416" s="119"/>
      <c r="AS416" s="119"/>
      <c r="AT416" s="119"/>
      <c r="AU416" s="74">
        <v>0.0</v>
      </c>
      <c r="AV416" s="119"/>
      <c r="AW416" s="119"/>
      <c r="AX416" s="119"/>
      <c r="AY416" s="119"/>
      <c r="AZ416" s="119"/>
      <c r="BA416" s="119"/>
      <c r="BB416" s="119"/>
      <c r="BC416" s="119"/>
      <c r="BD416" s="119"/>
      <c r="BE416" s="119"/>
      <c r="BF416" s="119"/>
      <c r="BG416" s="119"/>
      <c r="BH416" s="119"/>
      <c r="BI416" s="119"/>
      <c r="BJ416" s="119"/>
      <c r="BK416" s="119"/>
      <c r="BL416" s="119"/>
      <c r="BM416" s="119"/>
      <c r="BN416" s="119"/>
      <c r="BO416" s="119"/>
      <c r="BP416" s="119"/>
      <c r="BQ416" s="119"/>
      <c r="BR416" s="119"/>
      <c r="BS416" s="119"/>
      <c r="BT416" s="119"/>
      <c r="BU416" s="119"/>
      <c r="BV416" s="119"/>
      <c r="BW416" s="119"/>
      <c r="BX416" s="119"/>
      <c r="BY416" s="119"/>
      <c r="BZ416" s="119"/>
      <c r="CA416" s="119"/>
      <c r="CB416" s="119"/>
      <c r="CC416" s="119"/>
      <c r="CD416" s="148">
        <v>43868.0</v>
      </c>
      <c r="CE416" s="74">
        <v>1.0</v>
      </c>
      <c r="CF416" s="74" t="s">
        <v>20366</v>
      </c>
      <c r="CG416" s="120">
        <v>7797.0</v>
      </c>
      <c r="CH416" s="74" t="s">
        <v>20367</v>
      </c>
      <c r="CI416" s="74" t="s">
        <v>20368</v>
      </c>
      <c r="CJ416" s="120">
        <v>415.0</v>
      </c>
    </row>
    <row r="417">
      <c r="A417" s="74" t="s">
        <v>20352</v>
      </c>
      <c r="B417" s="74" t="s">
        <v>6876</v>
      </c>
      <c r="C417" s="74" t="s">
        <v>6877</v>
      </c>
      <c r="D417" s="74" t="s">
        <v>8493</v>
      </c>
      <c r="E417" s="74" t="s">
        <v>20369</v>
      </c>
      <c r="F417" s="74">
        <v>33.0</v>
      </c>
      <c r="G417" s="74">
        <v>1.0</v>
      </c>
      <c r="H417" s="74">
        <v>97.0</v>
      </c>
      <c r="I417" s="119"/>
      <c r="J417" s="119"/>
      <c r="K417" s="74" t="s">
        <v>15565</v>
      </c>
      <c r="L417" s="74" t="s">
        <v>15565</v>
      </c>
      <c r="M417" s="74" t="s">
        <v>15087</v>
      </c>
      <c r="N417" s="74" t="s">
        <v>14939</v>
      </c>
      <c r="O417" s="74" t="s">
        <v>15089</v>
      </c>
      <c r="P417" s="119"/>
      <c r="Q417" s="119"/>
      <c r="R417" s="119"/>
      <c r="S417" s="119"/>
      <c r="T417" s="119"/>
      <c r="U417" s="119"/>
      <c r="V417" s="119"/>
      <c r="W417" s="119"/>
      <c r="X417" s="119"/>
      <c r="Y417" s="119"/>
      <c r="Z417" s="119"/>
      <c r="AA417" s="119"/>
      <c r="AB417" s="119"/>
      <c r="AC417" s="119"/>
      <c r="AD417" s="119"/>
      <c r="AE417" s="119"/>
      <c r="AF417" s="119"/>
      <c r="AG417" s="119"/>
      <c r="AH417" s="74">
        <v>7.0</v>
      </c>
      <c r="AI417" s="74">
        <v>1000.0</v>
      </c>
      <c r="AJ417" s="74">
        <v>3.0</v>
      </c>
      <c r="AK417" s="74">
        <v>140.0</v>
      </c>
      <c r="AL417" s="119"/>
      <c r="AM417" s="119"/>
      <c r="AN417" s="119"/>
      <c r="AO417" s="119"/>
      <c r="AP417" s="119"/>
      <c r="AQ417" s="119"/>
      <c r="AR417" s="119"/>
      <c r="AS417" s="119"/>
      <c r="AT417" s="119"/>
      <c r="AU417" s="74">
        <v>0.0</v>
      </c>
      <c r="AV417" s="119"/>
      <c r="AW417" s="119"/>
      <c r="AX417" s="119"/>
      <c r="AY417" s="119"/>
      <c r="AZ417" s="119"/>
      <c r="BA417" s="119"/>
      <c r="BB417" s="119"/>
      <c r="BC417" s="119"/>
      <c r="BD417" s="119"/>
      <c r="BE417" s="119"/>
      <c r="BF417" s="119"/>
      <c r="BG417" s="119"/>
      <c r="BH417" s="119"/>
      <c r="BI417" s="119"/>
      <c r="BJ417" s="119"/>
      <c r="BK417" s="119"/>
      <c r="BL417" s="119"/>
      <c r="BM417" s="119"/>
      <c r="BN417" s="119"/>
      <c r="BO417" s="119"/>
      <c r="BP417" s="119"/>
      <c r="BQ417" s="119"/>
      <c r="BR417" s="119"/>
      <c r="BS417" s="119"/>
      <c r="BT417" s="119"/>
      <c r="BU417" s="119"/>
      <c r="BV417" s="119"/>
      <c r="BW417" s="119"/>
      <c r="BX417" s="119"/>
      <c r="BY417" s="119"/>
      <c r="BZ417" s="119"/>
      <c r="CA417" s="119"/>
      <c r="CB417" s="119"/>
      <c r="CC417" s="119"/>
      <c r="CD417" s="74" t="s">
        <v>14054</v>
      </c>
      <c r="CE417" s="74">
        <v>1.0</v>
      </c>
      <c r="CF417" s="74" t="s">
        <v>20366</v>
      </c>
      <c r="CG417" s="120">
        <v>7798.0</v>
      </c>
      <c r="CH417" s="74" t="s">
        <v>20385</v>
      </c>
      <c r="CI417" s="74" t="s">
        <v>20387</v>
      </c>
      <c r="CJ417" s="120">
        <v>416.0</v>
      </c>
    </row>
    <row r="418">
      <c r="A418" s="74" t="s">
        <v>20389</v>
      </c>
      <c r="B418" s="74" t="s">
        <v>6876</v>
      </c>
      <c r="C418" s="74" t="s">
        <v>6877</v>
      </c>
      <c r="D418" s="74" t="s">
        <v>8493</v>
      </c>
      <c r="E418" s="74" t="s">
        <v>20390</v>
      </c>
      <c r="F418" s="74">
        <v>58.0</v>
      </c>
      <c r="G418" s="74">
        <v>2.0</v>
      </c>
      <c r="H418" s="74">
        <v>15.0</v>
      </c>
      <c r="I418" s="119"/>
      <c r="J418" s="74">
        <v>151.0</v>
      </c>
      <c r="K418" s="74" t="s">
        <v>676</v>
      </c>
      <c r="L418" s="74" t="s">
        <v>676</v>
      </c>
      <c r="M418" s="74" t="s">
        <v>20394</v>
      </c>
      <c r="N418" s="74" t="s">
        <v>15342</v>
      </c>
      <c r="O418" s="74" t="s">
        <v>15343</v>
      </c>
      <c r="P418" s="119"/>
      <c r="Q418" s="119"/>
      <c r="R418" s="119"/>
      <c r="S418" s="74">
        <v>7.0</v>
      </c>
      <c r="T418" s="74">
        <v>1000.0</v>
      </c>
      <c r="U418" s="74">
        <v>3.0</v>
      </c>
      <c r="V418" s="74">
        <v>0.0</v>
      </c>
      <c r="W418" s="74">
        <v>7.0</v>
      </c>
      <c r="X418" s="74">
        <v>100.0</v>
      </c>
      <c r="Y418" s="74">
        <v>3.0</v>
      </c>
      <c r="Z418" s="74">
        <v>0.0</v>
      </c>
      <c r="AA418" s="74">
        <v>0.0</v>
      </c>
      <c r="AB418" s="119"/>
      <c r="AC418" s="119"/>
      <c r="AD418" s="119"/>
      <c r="AE418" s="119"/>
      <c r="AF418" s="119"/>
      <c r="AG418" s="119"/>
      <c r="AH418" s="74">
        <v>7.0</v>
      </c>
      <c r="AI418" s="74">
        <v>5000.0</v>
      </c>
      <c r="AJ418" s="74">
        <v>3.0</v>
      </c>
      <c r="AK418" s="74">
        <v>0.0</v>
      </c>
      <c r="AL418" s="74">
        <v>7.0</v>
      </c>
      <c r="AM418" s="74">
        <v>1000.0</v>
      </c>
      <c r="AN418" s="74">
        <v>3.0</v>
      </c>
      <c r="AO418" s="74">
        <v>0.0</v>
      </c>
      <c r="AP418" s="74">
        <v>1.0</v>
      </c>
      <c r="AQ418" s="74">
        <v>7.0</v>
      </c>
      <c r="AR418" s="74">
        <v>100.0</v>
      </c>
      <c r="AS418" s="74">
        <v>3.0</v>
      </c>
      <c r="AT418" s="74">
        <v>0.0</v>
      </c>
      <c r="AU418" s="74">
        <v>0.0</v>
      </c>
      <c r="AV418" s="119"/>
      <c r="AW418" s="119"/>
      <c r="AX418" s="119"/>
      <c r="AY418" s="119"/>
      <c r="AZ418" s="119"/>
      <c r="BA418" s="119"/>
      <c r="BB418" s="119"/>
      <c r="BC418" s="119"/>
      <c r="BD418" s="119"/>
      <c r="BE418" s="119"/>
      <c r="BF418" s="119"/>
      <c r="BG418" s="119"/>
      <c r="BH418" s="119"/>
      <c r="BI418" s="119"/>
      <c r="BJ418" s="119"/>
      <c r="BK418" s="119"/>
      <c r="BL418" s="119"/>
      <c r="BM418" s="119"/>
      <c r="BN418" s="119"/>
      <c r="BO418" s="119"/>
      <c r="BP418" s="119"/>
      <c r="BQ418" s="119"/>
      <c r="BR418" s="119"/>
      <c r="BS418" s="119"/>
      <c r="BT418" s="119"/>
      <c r="BU418" s="119"/>
      <c r="BV418" s="119"/>
      <c r="BW418" s="119"/>
      <c r="BX418" s="119"/>
      <c r="BY418" s="119"/>
      <c r="BZ418" s="119"/>
      <c r="CA418" s="119"/>
      <c r="CB418" s="119"/>
      <c r="CC418" s="119"/>
      <c r="CD418" s="148">
        <v>43868.0</v>
      </c>
      <c r="CE418" s="74">
        <v>1.0</v>
      </c>
      <c r="CF418" s="74" t="s">
        <v>20366</v>
      </c>
      <c r="CG418" s="120">
        <v>7799.0</v>
      </c>
      <c r="CH418" s="74" t="s">
        <v>20405</v>
      </c>
      <c r="CI418" s="74" t="s">
        <v>20406</v>
      </c>
      <c r="CJ418" s="120">
        <v>417.0</v>
      </c>
    </row>
    <row r="419">
      <c r="A419" s="74" t="s">
        <v>20390</v>
      </c>
      <c r="B419" s="74" t="s">
        <v>6876</v>
      </c>
      <c r="C419" s="74" t="s">
        <v>6877</v>
      </c>
      <c r="D419" s="74" t="s">
        <v>8493</v>
      </c>
      <c r="E419" s="74" t="s">
        <v>20407</v>
      </c>
      <c r="F419" s="74">
        <v>58.0</v>
      </c>
      <c r="G419" s="74">
        <v>2.0</v>
      </c>
      <c r="H419" s="74">
        <v>15.0</v>
      </c>
      <c r="I419" s="119"/>
      <c r="J419" s="74">
        <v>152.0</v>
      </c>
      <c r="K419" s="74" t="s">
        <v>678</v>
      </c>
      <c r="L419" s="74" t="s">
        <v>678</v>
      </c>
      <c r="M419" s="74" t="s">
        <v>20394</v>
      </c>
      <c r="N419" s="74" t="s">
        <v>15342</v>
      </c>
      <c r="O419" s="74" t="s">
        <v>15343</v>
      </c>
      <c r="P419" s="119"/>
      <c r="Q419" s="119"/>
      <c r="R419" s="119"/>
      <c r="S419" s="74">
        <v>7.0</v>
      </c>
      <c r="T419" s="74">
        <v>1000.0</v>
      </c>
      <c r="U419" s="74">
        <v>3.0</v>
      </c>
      <c r="V419" s="74">
        <v>0.0</v>
      </c>
      <c r="W419" s="74">
        <v>7.0</v>
      </c>
      <c r="X419" s="74">
        <v>100.0</v>
      </c>
      <c r="Y419" s="74">
        <v>3.0</v>
      </c>
      <c r="Z419" s="74">
        <v>0.0</v>
      </c>
      <c r="AA419" s="74">
        <v>0.0</v>
      </c>
      <c r="AB419" s="119"/>
      <c r="AC419" s="119"/>
      <c r="AD419" s="119"/>
      <c r="AE419" s="119"/>
      <c r="AF419" s="119"/>
      <c r="AG419" s="119"/>
      <c r="AH419" s="74">
        <v>7.0</v>
      </c>
      <c r="AI419" s="74">
        <v>5000.0</v>
      </c>
      <c r="AJ419" s="74">
        <v>3.0</v>
      </c>
      <c r="AK419" s="74">
        <v>0.0</v>
      </c>
      <c r="AL419" s="74">
        <v>7.0</v>
      </c>
      <c r="AM419" s="74">
        <v>1000.0</v>
      </c>
      <c r="AN419" s="74">
        <v>3.0</v>
      </c>
      <c r="AO419" s="74">
        <v>0.0</v>
      </c>
      <c r="AP419" s="74">
        <v>1.0</v>
      </c>
      <c r="AQ419" s="74">
        <v>7.0</v>
      </c>
      <c r="AR419" s="74">
        <v>100.0</v>
      </c>
      <c r="AS419" s="74">
        <v>3.0</v>
      </c>
      <c r="AT419" s="74">
        <v>0.0</v>
      </c>
      <c r="AU419" s="74">
        <v>0.0</v>
      </c>
      <c r="AV419" s="119"/>
      <c r="AW419" s="119"/>
      <c r="AX419" s="119"/>
      <c r="AY419" s="119"/>
      <c r="AZ419" s="119"/>
      <c r="BA419" s="119"/>
      <c r="BB419" s="119"/>
      <c r="BC419" s="119"/>
      <c r="BD419" s="119"/>
      <c r="BE419" s="119"/>
      <c r="BF419" s="119"/>
      <c r="BG419" s="119"/>
      <c r="BH419" s="119"/>
      <c r="BI419" s="119"/>
      <c r="BJ419" s="119"/>
      <c r="BK419" s="119"/>
      <c r="BL419" s="119"/>
      <c r="BM419" s="119"/>
      <c r="BN419" s="119"/>
      <c r="BO419" s="119"/>
      <c r="BP419" s="119"/>
      <c r="BQ419" s="119"/>
      <c r="BR419" s="119"/>
      <c r="BS419" s="119"/>
      <c r="BT419" s="119"/>
      <c r="BU419" s="119"/>
      <c r="BV419" s="119"/>
      <c r="BW419" s="119"/>
      <c r="BX419" s="119"/>
      <c r="BY419" s="119"/>
      <c r="BZ419" s="119"/>
      <c r="CA419" s="119"/>
      <c r="CB419" s="119"/>
      <c r="CC419" s="119"/>
      <c r="CD419" s="148">
        <v>43868.0</v>
      </c>
      <c r="CE419" s="74">
        <v>1.0</v>
      </c>
      <c r="CF419" s="74" t="s">
        <v>20366</v>
      </c>
      <c r="CG419" s="120">
        <v>7800.0</v>
      </c>
      <c r="CH419" s="74" t="s">
        <v>20420</v>
      </c>
      <c r="CI419" s="74" t="s">
        <v>20422</v>
      </c>
      <c r="CJ419" s="120">
        <v>418.0</v>
      </c>
    </row>
    <row r="420">
      <c r="A420" s="74" t="s">
        <v>20407</v>
      </c>
      <c r="B420" s="74" t="s">
        <v>6876</v>
      </c>
      <c r="C420" s="74" t="s">
        <v>6877</v>
      </c>
      <c r="D420" s="74" t="s">
        <v>8493</v>
      </c>
      <c r="E420" s="74" t="s">
        <v>20423</v>
      </c>
      <c r="F420" s="74">
        <v>58.0</v>
      </c>
      <c r="G420" s="74">
        <v>2.0</v>
      </c>
      <c r="H420" s="74">
        <v>15.0</v>
      </c>
      <c r="I420" s="119"/>
      <c r="J420" s="74">
        <v>152.0</v>
      </c>
      <c r="K420" s="74" t="s">
        <v>679</v>
      </c>
      <c r="L420" s="74" t="s">
        <v>679</v>
      </c>
      <c r="M420" s="74" t="s">
        <v>20394</v>
      </c>
      <c r="N420" s="74" t="s">
        <v>15342</v>
      </c>
      <c r="O420" s="74" t="s">
        <v>15343</v>
      </c>
      <c r="P420" s="119"/>
      <c r="Q420" s="119"/>
      <c r="R420" s="119"/>
      <c r="S420" s="74">
        <v>7.0</v>
      </c>
      <c r="T420" s="74">
        <v>1000.0</v>
      </c>
      <c r="U420" s="74">
        <v>3.0</v>
      </c>
      <c r="V420" s="74">
        <v>0.0</v>
      </c>
      <c r="W420" s="74">
        <v>7.0</v>
      </c>
      <c r="X420" s="74">
        <v>100.0</v>
      </c>
      <c r="Y420" s="74">
        <v>3.0</v>
      </c>
      <c r="Z420" s="74">
        <v>0.0</v>
      </c>
      <c r="AA420" s="74">
        <v>0.0</v>
      </c>
      <c r="AB420" s="119"/>
      <c r="AC420" s="119"/>
      <c r="AD420" s="119"/>
      <c r="AE420" s="119"/>
      <c r="AF420" s="119"/>
      <c r="AG420" s="119"/>
      <c r="AH420" s="74">
        <v>7.0</v>
      </c>
      <c r="AI420" s="74">
        <v>5000.0</v>
      </c>
      <c r="AJ420" s="74">
        <v>3.0</v>
      </c>
      <c r="AK420" s="74">
        <v>0.0</v>
      </c>
      <c r="AL420" s="74">
        <v>7.0</v>
      </c>
      <c r="AM420" s="74">
        <v>1000.0</v>
      </c>
      <c r="AN420" s="74">
        <v>3.0</v>
      </c>
      <c r="AO420" s="74">
        <v>0.0</v>
      </c>
      <c r="AP420" s="74">
        <v>1.0</v>
      </c>
      <c r="AQ420" s="74">
        <v>7.0</v>
      </c>
      <c r="AR420" s="74">
        <v>100.0</v>
      </c>
      <c r="AS420" s="74">
        <v>3.0</v>
      </c>
      <c r="AT420" s="74">
        <v>0.0</v>
      </c>
      <c r="AU420" s="74">
        <v>0.0</v>
      </c>
      <c r="AV420" s="119"/>
      <c r="AW420" s="119"/>
      <c r="AX420" s="119"/>
      <c r="AY420" s="119"/>
      <c r="AZ420" s="119"/>
      <c r="BA420" s="119"/>
      <c r="BB420" s="119"/>
      <c r="BC420" s="119"/>
      <c r="BD420" s="119"/>
      <c r="BE420" s="119"/>
      <c r="BF420" s="119"/>
      <c r="BG420" s="119"/>
      <c r="BH420" s="119"/>
      <c r="BI420" s="119"/>
      <c r="BJ420" s="119"/>
      <c r="BK420" s="119"/>
      <c r="BL420" s="119"/>
      <c r="BM420" s="119"/>
      <c r="BN420" s="119"/>
      <c r="BO420" s="119"/>
      <c r="BP420" s="119"/>
      <c r="BQ420" s="119"/>
      <c r="BR420" s="119"/>
      <c r="BS420" s="119"/>
      <c r="BT420" s="119"/>
      <c r="BU420" s="119"/>
      <c r="BV420" s="119"/>
      <c r="BW420" s="119"/>
      <c r="BX420" s="119"/>
      <c r="BY420" s="119"/>
      <c r="BZ420" s="119"/>
      <c r="CA420" s="119"/>
      <c r="CB420" s="119"/>
      <c r="CC420" s="119"/>
      <c r="CD420" s="74" t="s">
        <v>14054</v>
      </c>
      <c r="CE420" s="74">
        <v>1.0</v>
      </c>
      <c r="CF420" s="74" t="s">
        <v>20366</v>
      </c>
      <c r="CG420" s="120">
        <v>7801.0</v>
      </c>
      <c r="CH420" s="74" t="s">
        <v>20438</v>
      </c>
      <c r="CI420" s="74" t="s">
        <v>20439</v>
      </c>
      <c r="CJ420" s="120">
        <v>419.0</v>
      </c>
    </row>
    <row r="421">
      <c r="A421" s="74" t="s">
        <v>20423</v>
      </c>
      <c r="B421" s="74" t="s">
        <v>6876</v>
      </c>
      <c r="C421" s="74" t="s">
        <v>6877</v>
      </c>
      <c r="D421" s="74" t="s">
        <v>8493</v>
      </c>
      <c r="E421" s="74" t="s">
        <v>20442</v>
      </c>
      <c r="F421" s="74">
        <v>58.0</v>
      </c>
      <c r="G421" s="74">
        <v>2.0</v>
      </c>
      <c r="H421" s="74">
        <v>15.0</v>
      </c>
      <c r="I421" s="119"/>
      <c r="J421" s="74">
        <v>152.0</v>
      </c>
      <c r="K421" s="74" t="s">
        <v>681</v>
      </c>
      <c r="L421" s="74" t="s">
        <v>681</v>
      </c>
      <c r="M421" s="74" t="s">
        <v>20394</v>
      </c>
      <c r="N421" s="74" t="s">
        <v>15342</v>
      </c>
      <c r="O421" s="74" t="s">
        <v>15343</v>
      </c>
      <c r="P421" s="119"/>
      <c r="Q421" s="119"/>
      <c r="R421" s="119"/>
      <c r="S421" s="74">
        <v>7.0</v>
      </c>
      <c r="T421" s="74">
        <v>1000.0</v>
      </c>
      <c r="U421" s="74">
        <v>3.0</v>
      </c>
      <c r="V421" s="74">
        <v>1.0</v>
      </c>
      <c r="W421" s="74">
        <v>7.0</v>
      </c>
      <c r="X421" s="74">
        <v>100.0</v>
      </c>
      <c r="Y421" s="74">
        <v>3.0</v>
      </c>
      <c r="Z421" s="74">
        <v>0.0</v>
      </c>
      <c r="AA421" s="74">
        <v>0.0</v>
      </c>
      <c r="AB421" s="119"/>
      <c r="AC421" s="119"/>
      <c r="AD421" s="119"/>
      <c r="AE421" s="119"/>
      <c r="AF421" s="119"/>
      <c r="AG421" s="119"/>
      <c r="AH421" s="74">
        <v>7.0</v>
      </c>
      <c r="AI421" s="74">
        <v>5000.0</v>
      </c>
      <c r="AJ421" s="74">
        <v>3.0</v>
      </c>
      <c r="AK421" s="74">
        <v>0.0</v>
      </c>
      <c r="AL421" s="74">
        <v>7.0</v>
      </c>
      <c r="AM421" s="74">
        <v>1000.0</v>
      </c>
      <c r="AN421" s="74">
        <v>3.0</v>
      </c>
      <c r="AO421" s="74">
        <v>0.0</v>
      </c>
      <c r="AP421" s="74">
        <v>1.0</v>
      </c>
      <c r="AQ421" s="74">
        <v>7.0</v>
      </c>
      <c r="AR421" s="74">
        <v>100.0</v>
      </c>
      <c r="AS421" s="74">
        <v>3.0</v>
      </c>
      <c r="AT421" s="74">
        <v>0.0</v>
      </c>
      <c r="AU421" s="74">
        <v>0.0</v>
      </c>
      <c r="AV421" s="119"/>
      <c r="AW421" s="119"/>
      <c r="AX421" s="119"/>
      <c r="AY421" s="119"/>
      <c r="AZ421" s="119"/>
      <c r="BA421" s="119"/>
      <c r="BB421" s="119"/>
      <c r="BC421" s="119"/>
      <c r="BD421" s="119"/>
      <c r="BE421" s="119"/>
      <c r="BF421" s="119"/>
      <c r="BG421" s="119"/>
      <c r="BH421" s="119"/>
      <c r="BI421" s="119"/>
      <c r="BJ421" s="119"/>
      <c r="BK421" s="119"/>
      <c r="BL421" s="119"/>
      <c r="BM421" s="119"/>
      <c r="BN421" s="119"/>
      <c r="BO421" s="119"/>
      <c r="BP421" s="119"/>
      <c r="BQ421" s="119"/>
      <c r="BR421" s="119"/>
      <c r="BS421" s="119"/>
      <c r="BT421" s="119"/>
      <c r="BU421" s="119"/>
      <c r="BV421" s="119"/>
      <c r="BW421" s="119"/>
      <c r="BX421" s="119"/>
      <c r="BY421" s="119"/>
      <c r="BZ421" s="119"/>
      <c r="CA421" s="119"/>
      <c r="CB421" s="119"/>
      <c r="CC421" s="119"/>
      <c r="CD421" s="74" t="s">
        <v>14054</v>
      </c>
      <c r="CE421" s="74">
        <v>1.0</v>
      </c>
      <c r="CF421" s="74" t="s">
        <v>20366</v>
      </c>
      <c r="CG421" s="120">
        <v>7802.0</v>
      </c>
      <c r="CH421" s="74" t="s">
        <v>20461</v>
      </c>
      <c r="CI421" s="74" t="s">
        <v>20462</v>
      </c>
      <c r="CJ421" s="120">
        <v>420.0</v>
      </c>
    </row>
    <row r="422">
      <c r="A422" s="74" t="s">
        <v>20442</v>
      </c>
      <c r="B422" s="74" t="s">
        <v>6876</v>
      </c>
      <c r="C422" s="74" t="s">
        <v>6877</v>
      </c>
      <c r="D422" s="74" t="s">
        <v>8493</v>
      </c>
      <c r="E422" s="74" t="s">
        <v>20465</v>
      </c>
      <c r="F422" s="74">
        <v>58.0</v>
      </c>
      <c r="G422" s="74">
        <v>2.0</v>
      </c>
      <c r="H422" s="74">
        <v>15.0</v>
      </c>
      <c r="I422" s="119"/>
      <c r="J422" s="74">
        <v>151.0</v>
      </c>
      <c r="K422" s="74" t="s">
        <v>686</v>
      </c>
      <c r="L422" s="74" t="s">
        <v>686</v>
      </c>
      <c r="M422" s="74" t="s">
        <v>20394</v>
      </c>
      <c r="N422" s="74" t="s">
        <v>15342</v>
      </c>
      <c r="O422" s="74" t="s">
        <v>15343</v>
      </c>
      <c r="P422" s="119"/>
      <c r="Q422" s="119"/>
      <c r="R422" s="119"/>
      <c r="S422" s="74">
        <v>7.0</v>
      </c>
      <c r="T422" s="74">
        <v>1000.0</v>
      </c>
      <c r="U422" s="74">
        <v>3.0</v>
      </c>
      <c r="V422" s="74">
        <v>0.0</v>
      </c>
      <c r="W422" s="74">
        <v>7.0</v>
      </c>
      <c r="X422" s="74">
        <v>100.0</v>
      </c>
      <c r="Y422" s="74">
        <v>3.0</v>
      </c>
      <c r="Z422" s="74">
        <v>0.0</v>
      </c>
      <c r="AA422" s="74">
        <v>0.0</v>
      </c>
      <c r="AB422" s="119"/>
      <c r="AC422" s="119"/>
      <c r="AD422" s="119"/>
      <c r="AE422" s="119"/>
      <c r="AF422" s="119"/>
      <c r="AG422" s="119"/>
      <c r="AH422" s="74">
        <v>7.0</v>
      </c>
      <c r="AI422" s="74">
        <v>5000.0</v>
      </c>
      <c r="AJ422" s="74">
        <v>3.0</v>
      </c>
      <c r="AK422" s="74">
        <v>0.0</v>
      </c>
      <c r="AL422" s="74">
        <v>7.0</v>
      </c>
      <c r="AM422" s="74">
        <v>1000.0</v>
      </c>
      <c r="AN422" s="74">
        <v>3.0</v>
      </c>
      <c r="AO422" s="74">
        <v>0.0</v>
      </c>
      <c r="AP422" s="74">
        <v>1.0</v>
      </c>
      <c r="AQ422" s="74">
        <v>7.0</v>
      </c>
      <c r="AR422" s="74">
        <v>100.0</v>
      </c>
      <c r="AS422" s="74">
        <v>3.0</v>
      </c>
      <c r="AT422" s="74">
        <v>0.0</v>
      </c>
      <c r="AU422" s="74">
        <v>0.0</v>
      </c>
      <c r="AV422" s="119"/>
      <c r="AW422" s="119"/>
      <c r="AX422" s="119"/>
      <c r="AY422" s="119"/>
      <c r="AZ422" s="119"/>
      <c r="BA422" s="119"/>
      <c r="BB422" s="119"/>
      <c r="BC422" s="119"/>
      <c r="BD422" s="119"/>
      <c r="BE422" s="119"/>
      <c r="BF422" s="119"/>
      <c r="BG422" s="119"/>
      <c r="BH422" s="119"/>
      <c r="BI422" s="119"/>
      <c r="BJ422" s="119"/>
      <c r="BK422" s="119"/>
      <c r="BL422" s="119"/>
      <c r="BM422" s="119"/>
      <c r="BN422" s="119"/>
      <c r="BO422" s="119"/>
      <c r="BP422" s="119"/>
      <c r="BQ422" s="119"/>
      <c r="BR422" s="119"/>
      <c r="BS422" s="119"/>
      <c r="BT422" s="119"/>
      <c r="BU422" s="119"/>
      <c r="BV422" s="119"/>
      <c r="BW422" s="119"/>
      <c r="BX422" s="119"/>
      <c r="BY422" s="119"/>
      <c r="BZ422" s="119"/>
      <c r="CA422" s="119"/>
      <c r="CB422" s="119"/>
      <c r="CC422" s="119"/>
      <c r="CD422" s="74" t="s">
        <v>14054</v>
      </c>
      <c r="CE422" s="74">
        <v>1.0</v>
      </c>
      <c r="CF422" s="74" t="s">
        <v>20366</v>
      </c>
      <c r="CG422" s="120">
        <v>7803.0</v>
      </c>
      <c r="CH422" s="74" t="s">
        <v>20482</v>
      </c>
      <c r="CI422" s="74" t="s">
        <v>20484</v>
      </c>
      <c r="CJ422" s="120">
        <v>421.0</v>
      </c>
    </row>
    <row r="423">
      <c r="A423" s="74" t="s">
        <v>20485</v>
      </c>
      <c r="B423" s="74" t="s">
        <v>6876</v>
      </c>
      <c r="C423" s="74" t="s">
        <v>6877</v>
      </c>
      <c r="D423" s="74" t="s">
        <v>8493</v>
      </c>
      <c r="E423" s="74" t="s">
        <v>20486</v>
      </c>
      <c r="F423" s="74">
        <v>58.0</v>
      </c>
      <c r="G423" s="74">
        <v>2.0</v>
      </c>
      <c r="H423" s="74">
        <v>15.0</v>
      </c>
      <c r="I423" s="119"/>
      <c r="J423" s="74">
        <v>152.0</v>
      </c>
      <c r="K423" s="74" t="s">
        <v>688</v>
      </c>
      <c r="L423" s="74" t="s">
        <v>688</v>
      </c>
      <c r="M423" s="74" t="s">
        <v>20394</v>
      </c>
      <c r="N423" s="74" t="s">
        <v>15342</v>
      </c>
      <c r="O423" s="74" t="s">
        <v>15343</v>
      </c>
      <c r="P423" s="119"/>
      <c r="Q423" s="119"/>
      <c r="R423" s="119"/>
      <c r="S423" s="74">
        <v>7.0</v>
      </c>
      <c r="T423" s="74">
        <v>1000.0</v>
      </c>
      <c r="U423" s="74">
        <v>3.0</v>
      </c>
      <c r="V423" s="74">
        <v>0.0</v>
      </c>
      <c r="W423" s="74">
        <v>7.0</v>
      </c>
      <c r="X423" s="74">
        <v>100.0</v>
      </c>
      <c r="Y423" s="74">
        <v>3.0</v>
      </c>
      <c r="Z423" s="74">
        <v>0.0</v>
      </c>
      <c r="AA423" s="74">
        <v>0.0</v>
      </c>
      <c r="AB423" s="119"/>
      <c r="AC423" s="119"/>
      <c r="AD423" s="119"/>
      <c r="AE423" s="119"/>
      <c r="AF423" s="119"/>
      <c r="AG423" s="119"/>
      <c r="AH423" s="74">
        <v>7.0</v>
      </c>
      <c r="AI423" s="74">
        <v>5000.0</v>
      </c>
      <c r="AJ423" s="74">
        <v>3.0</v>
      </c>
      <c r="AK423" s="74">
        <v>1.0</v>
      </c>
      <c r="AL423" s="74">
        <v>7.0</v>
      </c>
      <c r="AM423" s="74">
        <v>1000.0</v>
      </c>
      <c r="AN423" s="74">
        <v>3.0</v>
      </c>
      <c r="AO423" s="74">
        <v>0.0</v>
      </c>
      <c r="AP423" s="74">
        <v>1.0</v>
      </c>
      <c r="AQ423" s="74">
        <v>7.0</v>
      </c>
      <c r="AR423" s="74">
        <v>100.0</v>
      </c>
      <c r="AS423" s="74">
        <v>3.0</v>
      </c>
      <c r="AT423" s="74">
        <v>0.0</v>
      </c>
      <c r="AU423" s="74">
        <v>0.0</v>
      </c>
      <c r="AV423" s="119"/>
      <c r="AW423" s="119"/>
      <c r="AX423" s="119"/>
      <c r="AY423" s="119"/>
      <c r="AZ423" s="119"/>
      <c r="BA423" s="119"/>
      <c r="BB423" s="119"/>
      <c r="BC423" s="119"/>
      <c r="BD423" s="119"/>
      <c r="BE423" s="119"/>
      <c r="BF423" s="119"/>
      <c r="BG423" s="119"/>
      <c r="BH423" s="119"/>
      <c r="BI423" s="119"/>
      <c r="BJ423" s="119"/>
      <c r="BK423" s="119"/>
      <c r="BL423" s="119"/>
      <c r="BM423" s="119"/>
      <c r="BN423" s="119"/>
      <c r="BO423" s="119"/>
      <c r="BP423" s="119"/>
      <c r="BQ423" s="119"/>
      <c r="BR423" s="119"/>
      <c r="BS423" s="119"/>
      <c r="BT423" s="119"/>
      <c r="BU423" s="119"/>
      <c r="BV423" s="119"/>
      <c r="BW423" s="119"/>
      <c r="BX423" s="119"/>
      <c r="BY423" s="119"/>
      <c r="BZ423" s="119"/>
      <c r="CA423" s="119"/>
      <c r="CB423" s="119"/>
      <c r="CC423" s="119"/>
      <c r="CD423" s="74" t="s">
        <v>14054</v>
      </c>
      <c r="CE423" s="74">
        <v>1.0</v>
      </c>
      <c r="CF423" s="74" t="s">
        <v>20366</v>
      </c>
      <c r="CG423" s="120">
        <v>7804.0</v>
      </c>
      <c r="CH423" s="74" t="s">
        <v>20499</v>
      </c>
      <c r="CI423" s="74" t="s">
        <v>20500</v>
      </c>
      <c r="CJ423" s="120">
        <v>422.0</v>
      </c>
    </row>
    <row r="424">
      <c r="A424" s="74" t="s">
        <v>20486</v>
      </c>
      <c r="B424" s="74" t="s">
        <v>6876</v>
      </c>
      <c r="C424" s="74" t="s">
        <v>6877</v>
      </c>
      <c r="D424" s="74" t="s">
        <v>8493</v>
      </c>
      <c r="E424" s="74" t="s">
        <v>20501</v>
      </c>
      <c r="F424" s="74">
        <v>58.0</v>
      </c>
      <c r="G424" s="74">
        <v>2.0</v>
      </c>
      <c r="H424" s="74">
        <v>15.0</v>
      </c>
      <c r="I424" s="119"/>
      <c r="J424" s="74">
        <v>152.0</v>
      </c>
      <c r="K424" s="74" t="s">
        <v>690</v>
      </c>
      <c r="L424" s="74" t="s">
        <v>690</v>
      </c>
      <c r="M424" s="74" t="s">
        <v>20394</v>
      </c>
      <c r="N424" s="74" t="s">
        <v>15342</v>
      </c>
      <c r="O424" s="74" t="s">
        <v>15343</v>
      </c>
      <c r="P424" s="119"/>
      <c r="Q424" s="119"/>
      <c r="R424" s="119"/>
      <c r="S424" s="74">
        <v>7.0</v>
      </c>
      <c r="T424" s="74">
        <v>1000.0</v>
      </c>
      <c r="U424" s="74">
        <v>3.0</v>
      </c>
      <c r="V424" s="74">
        <v>0.0</v>
      </c>
      <c r="W424" s="74">
        <v>7.0</v>
      </c>
      <c r="X424" s="74">
        <v>100.0</v>
      </c>
      <c r="Y424" s="74">
        <v>3.0</v>
      </c>
      <c r="Z424" s="74">
        <v>0.0</v>
      </c>
      <c r="AA424" s="74">
        <v>0.0</v>
      </c>
      <c r="AB424" s="119"/>
      <c r="AC424" s="119"/>
      <c r="AD424" s="119"/>
      <c r="AE424" s="119"/>
      <c r="AF424" s="119"/>
      <c r="AG424" s="119"/>
      <c r="AH424" s="74">
        <v>7.0</v>
      </c>
      <c r="AI424" s="74">
        <v>5000.0</v>
      </c>
      <c r="AJ424" s="74">
        <v>3.0</v>
      </c>
      <c r="AK424" s="74">
        <v>0.0</v>
      </c>
      <c r="AL424" s="74">
        <v>7.0</v>
      </c>
      <c r="AM424" s="74">
        <v>1000.0</v>
      </c>
      <c r="AN424" s="74">
        <v>3.0</v>
      </c>
      <c r="AO424" s="74">
        <v>0.0</v>
      </c>
      <c r="AP424" s="74">
        <v>1.0</v>
      </c>
      <c r="AQ424" s="74">
        <v>7.0</v>
      </c>
      <c r="AR424" s="74">
        <v>100.0</v>
      </c>
      <c r="AS424" s="74">
        <v>3.0</v>
      </c>
      <c r="AT424" s="74">
        <v>0.0</v>
      </c>
      <c r="AU424" s="74">
        <v>0.0</v>
      </c>
      <c r="AV424" s="119"/>
      <c r="AW424" s="119"/>
      <c r="AX424" s="119"/>
      <c r="AY424" s="119"/>
      <c r="AZ424" s="119"/>
      <c r="BA424" s="119"/>
      <c r="BB424" s="119"/>
      <c r="BC424" s="119"/>
      <c r="BD424" s="119"/>
      <c r="BE424" s="119"/>
      <c r="BF424" s="119"/>
      <c r="BG424" s="119"/>
      <c r="BH424" s="119"/>
      <c r="BI424" s="119"/>
      <c r="BJ424" s="119"/>
      <c r="BK424" s="119"/>
      <c r="BL424" s="119"/>
      <c r="BM424" s="119"/>
      <c r="BN424" s="119"/>
      <c r="BO424" s="119"/>
      <c r="BP424" s="119"/>
      <c r="BQ424" s="119"/>
      <c r="BR424" s="119"/>
      <c r="BS424" s="119"/>
      <c r="BT424" s="119"/>
      <c r="BU424" s="119"/>
      <c r="BV424" s="119"/>
      <c r="BW424" s="119"/>
      <c r="BX424" s="119"/>
      <c r="BY424" s="119"/>
      <c r="BZ424" s="119"/>
      <c r="CA424" s="119"/>
      <c r="CB424" s="119"/>
      <c r="CC424" s="119"/>
      <c r="CD424" s="74" t="s">
        <v>14054</v>
      </c>
      <c r="CE424" s="74">
        <v>1.0</v>
      </c>
      <c r="CF424" s="74" t="s">
        <v>20366</v>
      </c>
      <c r="CG424" s="120">
        <v>7805.0</v>
      </c>
      <c r="CH424" s="74" t="s">
        <v>20517</v>
      </c>
      <c r="CI424" s="74" t="s">
        <v>20518</v>
      </c>
      <c r="CJ424" s="120">
        <v>423.0</v>
      </c>
    </row>
    <row r="425">
      <c r="A425" s="74" t="s">
        <v>20501</v>
      </c>
      <c r="B425" s="74" t="s">
        <v>6876</v>
      </c>
      <c r="C425" s="74" t="s">
        <v>6877</v>
      </c>
      <c r="D425" s="74" t="s">
        <v>8493</v>
      </c>
      <c r="E425" s="74" t="s">
        <v>20524</v>
      </c>
      <c r="F425" s="74">
        <v>58.0</v>
      </c>
      <c r="G425" s="74">
        <v>2.0</v>
      </c>
      <c r="H425" s="74">
        <v>15.0</v>
      </c>
      <c r="I425" s="119"/>
      <c r="J425" s="74">
        <v>152.0</v>
      </c>
      <c r="K425" s="74" t="s">
        <v>691</v>
      </c>
      <c r="L425" s="74" t="s">
        <v>691</v>
      </c>
      <c r="M425" s="74" t="s">
        <v>20394</v>
      </c>
      <c r="N425" s="74" t="s">
        <v>15342</v>
      </c>
      <c r="O425" s="74" t="s">
        <v>15343</v>
      </c>
      <c r="P425" s="119"/>
      <c r="Q425" s="119"/>
      <c r="R425" s="119"/>
      <c r="S425" s="74">
        <v>7.0</v>
      </c>
      <c r="T425" s="74">
        <v>1000.0</v>
      </c>
      <c r="U425" s="74">
        <v>3.0</v>
      </c>
      <c r="V425" s="74">
        <v>0.0</v>
      </c>
      <c r="W425" s="74">
        <v>7.0</v>
      </c>
      <c r="X425" s="74">
        <v>100.0</v>
      </c>
      <c r="Y425" s="74">
        <v>3.0</v>
      </c>
      <c r="Z425" s="74">
        <v>0.0</v>
      </c>
      <c r="AA425" s="74">
        <v>0.0</v>
      </c>
      <c r="AB425" s="119"/>
      <c r="AC425" s="119"/>
      <c r="AD425" s="119"/>
      <c r="AE425" s="119"/>
      <c r="AF425" s="119"/>
      <c r="AG425" s="119"/>
      <c r="AH425" s="74">
        <v>7.0</v>
      </c>
      <c r="AI425" s="74">
        <v>5000.0</v>
      </c>
      <c r="AJ425" s="74">
        <v>3.0</v>
      </c>
      <c r="AK425" s="74">
        <v>0.0</v>
      </c>
      <c r="AL425" s="74">
        <v>7.0</v>
      </c>
      <c r="AM425" s="74">
        <v>1000.0</v>
      </c>
      <c r="AN425" s="74">
        <v>3.0</v>
      </c>
      <c r="AO425" s="74">
        <v>0.0</v>
      </c>
      <c r="AP425" s="74">
        <v>1.0</v>
      </c>
      <c r="AQ425" s="74">
        <v>7.0</v>
      </c>
      <c r="AR425" s="74">
        <v>100.0</v>
      </c>
      <c r="AS425" s="74">
        <v>3.0</v>
      </c>
      <c r="AT425" s="74">
        <v>0.0</v>
      </c>
      <c r="AU425" s="74">
        <v>0.0</v>
      </c>
      <c r="AV425" s="119"/>
      <c r="AW425" s="119"/>
      <c r="AX425" s="119"/>
      <c r="AY425" s="119"/>
      <c r="AZ425" s="119"/>
      <c r="BA425" s="119"/>
      <c r="BB425" s="119"/>
      <c r="BC425" s="119"/>
      <c r="BD425" s="119"/>
      <c r="BE425" s="119"/>
      <c r="BF425" s="119"/>
      <c r="BG425" s="119"/>
      <c r="BH425" s="119"/>
      <c r="BI425" s="119"/>
      <c r="BJ425" s="119"/>
      <c r="BK425" s="119"/>
      <c r="BL425" s="119"/>
      <c r="BM425" s="119"/>
      <c r="BN425" s="119"/>
      <c r="BO425" s="119"/>
      <c r="BP425" s="119"/>
      <c r="BQ425" s="119"/>
      <c r="BR425" s="119"/>
      <c r="BS425" s="119"/>
      <c r="BT425" s="119"/>
      <c r="BU425" s="119"/>
      <c r="BV425" s="119"/>
      <c r="BW425" s="119"/>
      <c r="BX425" s="119"/>
      <c r="BY425" s="119"/>
      <c r="BZ425" s="119"/>
      <c r="CA425" s="119"/>
      <c r="CB425" s="119"/>
      <c r="CC425" s="119"/>
      <c r="CD425" s="74" t="s">
        <v>14054</v>
      </c>
      <c r="CE425" s="74">
        <v>1.0</v>
      </c>
      <c r="CF425" s="74" t="s">
        <v>20366</v>
      </c>
      <c r="CG425" s="120">
        <v>7806.0</v>
      </c>
      <c r="CH425" s="74" t="s">
        <v>20535</v>
      </c>
      <c r="CI425" s="74" t="s">
        <v>20536</v>
      </c>
      <c r="CJ425" s="120">
        <v>424.0</v>
      </c>
    </row>
    <row r="426">
      <c r="A426" s="74" t="s">
        <v>20537</v>
      </c>
      <c r="B426" s="74" t="s">
        <v>6876</v>
      </c>
      <c r="C426" s="74" t="s">
        <v>6877</v>
      </c>
      <c r="D426" s="74" t="s">
        <v>8493</v>
      </c>
      <c r="E426" s="74" t="s">
        <v>20541</v>
      </c>
      <c r="F426" s="74">
        <v>58.0</v>
      </c>
      <c r="G426" s="74">
        <v>2.0</v>
      </c>
      <c r="H426" s="74">
        <v>2.0</v>
      </c>
      <c r="I426" s="119"/>
      <c r="J426" s="119"/>
      <c r="K426" s="74" t="s">
        <v>333</v>
      </c>
      <c r="L426" s="74" t="s">
        <v>333</v>
      </c>
      <c r="M426" s="74" t="s">
        <v>20394</v>
      </c>
      <c r="N426" s="74" t="s">
        <v>15342</v>
      </c>
      <c r="O426" s="74" t="s">
        <v>15343</v>
      </c>
      <c r="P426" s="119"/>
      <c r="Q426" s="119"/>
      <c r="R426" s="119"/>
      <c r="S426" s="74">
        <v>7.0</v>
      </c>
      <c r="T426" s="74">
        <v>1000.0</v>
      </c>
      <c r="U426" s="74">
        <v>3.0</v>
      </c>
      <c r="V426" s="74">
        <v>0.0</v>
      </c>
      <c r="W426" s="74">
        <v>7.0</v>
      </c>
      <c r="X426" s="74">
        <v>100.0</v>
      </c>
      <c r="Y426" s="74">
        <v>3.0</v>
      </c>
      <c r="Z426" s="74">
        <v>0.0</v>
      </c>
      <c r="AA426" s="74">
        <v>0.0</v>
      </c>
      <c r="AB426" s="119"/>
      <c r="AC426" s="119"/>
      <c r="AD426" s="119"/>
      <c r="AE426" s="119"/>
      <c r="AF426" s="119"/>
      <c r="AG426" s="119"/>
      <c r="AH426" s="74">
        <v>7.0</v>
      </c>
      <c r="AI426" s="74">
        <v>5000.0</v>
      </c>
      <c r="AJ426" s="74">
        <v>3.0</v>
      </c>
      <c r="AK426" s="74">
        <v>0.0</v>
      </c>
      <c r="AL426" s="74">
        <v>7.0</v>
      </c>
      <c r="AM426" s="74">
        <v>1000.0</v>
      </c>
      <c r="AN426" s="74">
        <v>3.0</v>
      </c>
      <c r="AO426" s="74">
        <v>0.0</v>
      </c>
      <c r="AP426" s="74">
        <v>1.0</v>
      </c>
      <c r="AQ426" s="74">
        <v>7.0</v>
      </c>
      <c r="AR426" s="74">
        <v>100.0</v>
      </c>
      <c r="AS426" s="74">
        <v>3.0</v>
      </c>
      <c r="AT426" s="74">
        <v>0.0</v>
      </c>
      <c r="AU426" s="74">
        <v>0.0</v>
      </c>
      <c r="AV426" s="119"/>
      <c r="AW426" s="119"/>
      <c r="AX426" s="119"/>
      <c r="AY426" s="119"/>
      <c r="AZ426" s="119"/>
      <c r="BA426" s="119"/>
      <c r="BB426" s="119"/>
      <c r="BC426" s="119"/>
      <c r="BD426" s="119"/>
      <c r="BE426" s="119"/>
      <c r="BF426" s="119"/>
      <c r="BG426" s="119"/>
      <c r="BH426" s="119"/>
      <c r="BI426" s="119"/>
      <c r="BJ426" s="119"/>
      <c r="BK426" s="119"/>
      <c r="BL426" s="119"/>
      <c r="BM426" s="119"/>
      <c r="BN426" s="119"/>
      <c r="BO426" s="119"/>
      <c r="BP426" s="119"/>
      <c r="BQ426" s="119"/>
      <c r="BR426" s="119"/>
      <c r="BS426" s="119"/>
      <c r="BT426" s="119"/>
      <c r="BU426" s="119"/>
      <c r="BV426" s="119"/>
      <c r="BW426" s="119"/>
      <c r="BX426" s="119"/>
      <c r="BY426" s="119"/>
      <c r="BZ426" s="119"/>
      <c r="CA426" s="119"/>
      <c r="CB426" s="119"/>
      <c r="CC426" s="119"/>
      <c r="CD426" s="74" t="s">
        <v>14054</v>
      </c>
      <c r="CE426" s="74">
        <v>1.0</v>
      </c>
      <c r="CF426" s="74" t="s">
        <v>20366</v>
      </c>
      <c r="CG426" s="120">
        <v>7807.0</v>
      </c>
      <c r="CH426" s="74" t="s">
        <v>20550</v>
      </c>
      <c r="CI426" s="74" t="s">
        <v>20551</v>
      </c>
      <c r="CJ426" s="120">
        <v>425.0</v>
      </c>
    </row>
    <row r="427">
      <c r="A427" s="74" t="s">
        <v>20552</v>
      </c>
      <c r="B427" s="74" t="s">
        <v>6876</v>
      </c>
      <c r="C427" s="74" t="s">
        <v>6877</v>
      </c>
      <c r="D427" s="74" t="s">
        <v>8493</v>
      </c>
      <c r="E427" s="74" t="s">
        <v>20553</v>
      </c>
      <c r="F427" s="74">
        <v>58.0</v>
      </c>
      <c r="G427" s="74">
        <v>2.0</v>
      </c>
      <c r="H427" s="74">
        <v>8.0</v>
      </c>
      <c r="I427" s="119"/>
      <c r="J427" s="119"/>
      <c r="K427" s="74" t="s">
        <v>330</v>
      </c>
      <c r="L427" s="74" t="s">
        <v>330</v>
      </c>
      <c r="M427" s="74" t="s">
        <v>20394</v>
      </c>
      <c r="N427" s="74" t="s">
        <v>15342</v>
      </c>
      <c r="O427" s="74" t="s">
        <v>15343</v>
      </c>
      <c r="P427" s="119"/>
      <c r="Q427" s="119"/>
      <c r="R427" s="119"/>
      <c r="S427" s="74">
        <v>7.0</v>
      </c>
      <c r="T427" s="74">
        <v>1000.0</v>
      </c>
      <c r="U427" s="74">
        <v>3.0</v>
      </c>
      <c r="V427" s="74">
        <v>1.0</v>
      </c>
      <c r="W427" s="74">
        <v>7.0</v>
      </c>
      <c r="X427" s="74">
        <v>100.0</v>
      </c>
      <c r="Y427" s="74">
        <v>3.0</v>
      </c>
      <c r="Z427" s="74">
        <v>0.0</v>
      </c>
      <c r="AA427" s="74">
        <v>0.0</v>
      </c>
      <c r="AB427" s="119"/>
      <c r="AC427" s="119"/>
      <c r="AD427" s="119"/>
      <c r="AE427" s="119"/>
      <c r="AF427" s="119"/>
      <c r="AG427" s="119"/>
      <c r="AH427" s="74">
        <v>7.0</v>
      </c>
      <c r="AI427" s="74">
        <v>5000.0</v>
      </c>
      <c r="AJ427" s="74">
        <v>3.0</v>
      </c>
      <c r="AK427" s="74">
        <v>0.0</v>
      </c>
      <c r="AL427" s="74">
        <v>7.0</v>
      </c>
      <c r="AM427" s="74">
        <v>1000.0</v>
      </c>
      <c r="AN427" s="74">
        <v>3.0</v>
      </c>
      <c r="AO427" s="74">
        <v>0.0</v>
      </c>
      <c r="AP427" s="74">
        <v>1.0</v>
      </c>
      <c r="AQ427" s="74">
        <v>7.0</v>
      </c>
      <c r="AR427" s="74">
        <v>100.0</v>
      </c>
      <c r="AS427" s="74">
        <v>3.0</v>
      </c>
      <c r="AT427" s="74">
        <v>0.0</v>
      </c>
      <c r="AU427" s="74">
        <v>0.0</v>
      </c>
      <c r="AV427" s="119"/>
      <c r="AW427" s="119"/>
      <c r="AX427" s="119"/>
      <c r="AY427" s="119"/>
      <c r="AZ427" s="119"/>
      <c r="BA427" s="119"/>
      <c r="BB427" s="119"/>
      <c r="BC427" s="119"/>
      <c r="BD427" s="119"/>
      <c r="BE427" s="119"/>
      <c r="BF427" s="119"/>
      <c r="BG427" s="119"/>
      <c r="BH427" s="119"/>
      <c r="BI427" s="119"/>
      <c r="BJ427" s="119"/>
      <c r="BK427" s="119"/>
      <c r="BL427" s="119"/>
      <c r="BM427" s="119"/>
      <c r="BN427" s="119"/>
      <c r="BO427" s="119"/>
      <c r="BP427" s="119"/>
      <c r="BQ427" s="119"/>
      <c r="BR427" s="119"/>
      <c r="BS427" s="119"/>
      <c r="BT427" s="119"/>
      <c r="BU427" s="119"/>
      <c r="BV427" s="119"/>
      <c r="BW427" s="119"/>
      <c r="BX427" s="119"/>
      <c r="BY427" s="119"/>
      <c r="BZ427" s="119"/>
      <c r="CA427" s="119"/>
      <c r="CB427" s="119"/>
      <c r="CC427" s="119"/>
      <c r="CD427" s="74" t="s">
        <v>14054</v>
      </c>
      <c r="CE427" s="74">
        <v>1.0</v>
      </c>
      <c r="CF427" s="74" t="s">
        <v>20366</v>
      </c>
      <c r="CG427" s="120">
        <v>7808.0</v>
      </c>
      <c r="CH427" s="74" t="s">
        <v>20566</v>
      </c>
      <c r="CI427" s="74" t="s">
        <v>20567</v>
      </c>
      <c r="CJ427" s="120">
        <v>426.0</v>
      </c>
    </row>
    <row r="428">
      <c r="A428" s="74" t="s">
        <v>20568</v>
      </c>
      <c r="B428" s="74" t="s">
        <v>6876</v>
      </c>
      <c r="C428" s="74" t="s">
        <v>6877</v>
      </c>
      <c r="D428" s="74" t="s">
        <v>8493</v>
      </c>
      <c r="E428" s="74" t="s">
        <v>20569</v>
      </c>
      <c r="F428" s="74">
        <v>59.0</v>
      </c>
      <c r="G428" s="74">
        <v>1.0</v>
      </c>
      <c r="H428" s="74">
        <v>11.0</v>
      </c>
      <c r="I428" s="119"/>
      <c r="J428" s="119"/>
      <c r="K428" s="74" t="s">
        <v>2108</v>
      </c>
      <c r="L428" s="74" t="s">
        <v>2108</v>
      </c>
      <c r="M428" s="74" t="s">
        <v>20394</v>
      </c>
      <c r="N428" s="74" t="s">
        <v>15342</v>
      </c>
      <c r="O428" s="74" t="s">
        <v>15343</v>
      </c>
      <c r="P428" s="74">
        <v>4.0</v>
      </c>
      <c r="Q428" s="119"/>
      <c r="R428" s="119"/>
      <c r="S428" s="74">
        <v>7.0</v>
      </c>
      <c r="T428" s="74">
        <v>1000.0</v>
      </c>
      <c r="U428" s="74">
        <v>4.0</v>
      </c>
      <c r="V428" s="119"/>
      <c r="W428" s="74">
        <v>7.0</v>
      </c>
      <c r="X428" s="74">
        <v>100.0</v>
      </c>
      <c r="Y428" s="74">
        <v>1.0</v>
      </c>
      <c r="Z428" s="119"/>
      <c r="AA428" s="74">
        <v>1.0</v>
      </c>
      <c r="AB428" s="74">
        <v>4.0</v>
      </c>
      <c r="AC428" s="74">
        <v>1000.0</v>
      </c>
      <c r="AD428" s="74">
        <v>3.0</v>
      </c>
      <c r="AE428" s="74">
        <v>4.0</v>
      </c>
      <c r="AF428" s="119"/>
      <c r="AG428" s="119"/>
      <c r="AH428" s="74">
        <v>7.0</v>
      </c>
      <c r="AI428" s="74">
        <v>5000.0</v>
      </c>
      <c r="AJ428" s="74">
        <v>3.0</v>
      </c>
      <c r="AK428" s="74">
        <v>0.0</v>
      </c>
      <c r="AL428" s="74">
        <v>7.0</v>
      </c>
      <c r="AM428" s="74">
        <v>1000.0</v>
      </c>
      <c r="AN428" s="74">
        <v>3.0</v>
      </c>
      <c r="AO428" s="74">
        <v>0.0</v>
      </c>
      <c r="AP428" s="74">
        <v>1.0</v>
      </c>
      <c r="AQ428" s="74">
        <v>7.0</v>
      </c>
      <c r="AR428" s="74">
        <v>100.0</v>
      </c>
      <c r="AS428" s="74">
        <v>3.0</v>
      </c>
      <c r="AT428" s="74">
        <v>0.0</v>
      </c>
      <c r="AU428" s="74">
        <v>0.0</v>
      </c>
      <c r="AV428" s="119"/>
      <c r="AW428" s="119"/>
      <c r="AX428" s="119"/>
      <c r="AY428" s="119"/>
      <c r="AZ428" s="119"/>
      <c r="BA428" s="119"/>
      <c r="BB428" s="119"/>
      <c r="BC428" s="119"/>
      <c r="BD428" s="119"/>
      <c r="BE428" s="119"/>
      <c r="BF428" s="119"/>
      <c r="BG428" s="119"/>
      <c r="BH428" s="119"/>
      <c r="BI428" s="119"/>
      <c r="BJ428" s="119"/>
      <c r="BK428" s="119"/>
      <c r="BL428" s="119"/>
      <c r="BM428" s="119"/>
      <c r="BN428" s="119"/>
      <c r="BO428" s="119"/>
      <c r="BP428" s="119"/>
      <c r="BQ428" s="119"/>
      <c r="BR428" s="119"/>
      <c r="BS428" s="119"/>
      <c r="BT428" s="119"/>
      <c r="BU428" s="119"/>
      <c r="BV428" s="119"/>
      <c r="BW428" s="119"/>
      <c r="BX428" s="119"/>
      <c r="BY428" s="119"/>
      <c r="BZ428" s="119"/>
      <c r="CA428" s="119"/>
      <c r="CB428" s="119"/>
      <c r="CC428" s="74" t="s">
        <v>18350</v>
      </c>
      <c r="CD428" s="74" t="s">
        <v>14054</v>
      </c>
      <c r="CE428" s="74">
        <v>1.0</v>
      </c>
      <c r="CF428" s="74" t="s">
        <v>20366</v>
      </c>
      <c r="CG428" s="120">
        <v>7809.0</v>
      </c>
      <c r="CH428" s="74" t="s">
        <v>20579</v>
      </c>
      <c r="CI428" s="74" t="s">
        <v>20580</v>
      </c>
      <c r="CJ428" s="120">
        <v>427.0</v>
      </c>
    </row>
    <row r="429">
      <c r="A429" s="74" t="s">
        <v>20581</v>
      </c>
      <c r="B429" s="74" t="s">
        <v>6876</v>
      </c>
      <c r="C429" s="74" t="s">
        <v>6877</v>
      </c>
      <c r="D429" s="74" t="s">
        <v>8493</v>
      </c>
      <c r="E429" s="74" t="s">
        <v>20584</v>
      </c>
      <c r="F429" s="74">
        <v>59.0</v>
      </c>
      <c r="G429" s="74">
        <v>1.0</v>
      </c>
      <c r="H429" s="74">
        <v>11.0</v>
      </c>
      <c r="I429" s="119"/>
      <c r="J429" s="119"/>
      <c r="K429" s="74" t="s">
        <v>2111</v>
      </c>
      <c r="L429" s="74" t="s">
        <v>2111</v>
      </c>
      <c r="M429" s="74" t="s">
        <v>20394</v>
      </c>
      <c r="N429" s="74" t="s">
        <v>15342</v>
      </c>
      <c r="O429" s="74" t="s">
        <v>15343</v>
      </c>
      <c r="P429" s="74">
        <v>4.0</v>
      </c>
      <c r="Q429" s="119"/>
      <c r="R429" s="119"/>
      <c r="S429" s="74">
        <v>7.0</v>
      </c>
      <c r="T429" s="74">
        <v>1000.0</v>
      </c>
      <c r="U429" s="74">
        <v>4.0</v>
      </c>
      <c r="V429" s="119"/>
      <c r="W429" s="74">
        <v>7.0</v>
      </c>
      <c r="X429" s="74">
        <v>100.0</v>
      </c>
      <c r="Y429" s="74">
        <v>1.0</v>
      </c>
      <c r="Z429" s="119"/>
      <c r="AA429" s="74">
        <v>1.0</v>
      </c>
      <c r="AB429" s="74">
        <v>4.0</v>
      </c>
      <c r="AC429" s="74">
        <v>1000.0</v>
      </c>
      <c r="AD429" s="74">
        <v>3.0</v>
      </c>
      <c r="AE429" s="74">
        <v>19.0</v>
      </c>
      <c r="AF429" s="119"/>
      <c r="AG429" s="119"/>
      <c r="AH429" s="74">
        <v>7.0</v>
      </c>
      <c r="AI429" s="74">
        <v>5000.0</v>
      </c>
      <c r="AJ429" s="74">
        <v>3.0</v>
      </c>
      <c r="AK429" s="74">
        <v>0.0</v>
      </c>
      <c r="AL429" s="74">
        <v>7.0</v>
      </c>
      <c r="AM429" s="74">
        <v>1000.0</v>
      </c>
      <c r="AN429" s="74">
        <v>3.0</v>
      </c>
      <c r="AO429" s="74">
        <v>0.0</v>
      </c>
      <c r="AP429" s="74">
        <v>1.0</v>
      </c>
      <c r="AQ429" s="74">
        <v>7.0</v>
      </c>
      <c r="AR429" s="74">
        <v>100.0</v>
      </c>
      <c r="AS429" s="74">
        <v>3.0</v>
      </c>
      <c r="AT429" s="74">
        <v>0.0</v>
      </c>
      <c r="AU429" s="74">
        <v>0.0</v>
      </c>
      <c r="AV429" s="119"/>
      <c r="AW429" s="119"/>
      <c r="AX429" s="119"/>
      <c r="AY429" s="119"/>
      <c r="AZ429" s="119"/>
      <c r="BA429" s="119"/>
      <c r="BB429" s="119"/>
      <c r="BC429" s="119"/>
      <c r="BD429" s="119"/>
      <c r="BE429" s="119"/>
      <c r="BF429" s="119"/>
      <c r="BG429" s="119"/>
      <c r="BH429" s="119"/>
      <c r="BI429" s="119"/>
      <c r="BJ429" s="119"/>
      <c r="BK429" s="119"/>
      <c r="BL429" s="119"/>
      <c r="BM429" s="119"/>
      <c r="BN429" s="119"/>
      <c r="BO429" s="119"/>
      <c r="BP429" s="119"/>
      <c r="BQ429" s="119"/>
      <c r="BR429" s="119"/>
      <c r="BS429" s="119"/>
      <c r="BT429" s="119"/>
      <c r="BU429" s="119"/>
      <c r="BV429" s="119"/>
      <c r="BW429" s="119"/>
      <c r="BX429" s="119"/>
      <c r="BY429" s="119"/>
      <c r="BZ429" s="119"/>
      <c r="CA429" s="119"/>
      <c r="CB429" s="119"/>
      <c r="CC429" s="74" t="s">
        <v>16851</v>
      </c>
      <c r="CD429" s="148">
        <v>43868.0</v>
      </c>
      <c r="CE429" s="74">
        <v>1.0</v>
      </c>
      <c r="CF429" s="74" t="s">
        <v>20366</v>
      </c>
      <c r="CG429" s="120">
        <v>7810.0</v>
      </c>
      <c r="CH429" s="74" t="s">
        <v>20596</v>
      </c>
      <c r="CI429" s="74" t="s">
        <v>20597</v>
      </c>
      <c r="CJ429" s="120">
        <v>428.0</v>
      </c>
    </row>
    <row r="430">
      <c r="A430" s="74" t="s">
        <v>20599</v>
      </c>
      <c r="B430" s="74" t="s">
        <v>6876</v>
      </c>
      <c r="C430" s="74" t="s">
        <v>6877</v>
      </c>
      <c r="D430" s="74" t="s">
        <v>8493</v>
      </c>
      <c r="E430" s="74" t="s">
        <v>20602</v>
      </c>
      <c r="F430" s="74">
        <v>59.0</v>
      </c>
      <c r="G430" s="74">
        <v>1.0</v>
      </c>
      <c r="H430" s="74">
        <v>3.0</v>
      </c>
      <c r="I430" s="119"/>
      <c r="J430" s="119"/>
      <c r="K430" s="74" t="s">
        <v>2115</v>
      </c>
      <c r="L430" s="74" t="s">
        <v>2115</v>
      </c>
      <c r="M430" s="74" t="s">
        <v>20394</v>
      </c>
      <c r="N430" s="74" t="s">
        <v>15342</v>
      </c>
      <c r="O430" s="74" t="s">
        <v>15343</v>
      </c>
      <c r="P430" s="119"/>
      <c r="Q430" s="119"/>
      <c r="R430" s="119"/>
      <c r="S430" s="74">
        <v>7.0</v>
      </c>
      <c r="T430" s="74">
        <v>1000.0</v>
      </c>
      <c r="U430" s="74">
        <v>3.0</v>
      </c>
      <c r="V430" s="74">
        <v>0.0</v>
      </c>
      <c r="W430" s="74">
        <v>7.0</v>
      </c>
      <c r="X430" s="74">
        <v>100.0</v>
      </c>
      <c r="Y430" s="74">
        <v>3.0</v>
      </c>
      <c r="Z430" s="74">
        <v>0.0</v>
      </c>
      <c r="AA430" s="74">
        <v>0.0</v>
      </c>
      <c r="AB430" s="119"/>
      <c r="AC430" s="119"/>
      <c r="AD430" s="119"/>
      <c r="AE430" s="119"/>
      <c r="AF430" s="119"/>
      <c r="AG430" s="119"/>
      <c r="AH430" s="74">
        <v>7.0</v>
      </c>
      <c r="AI430" s="74">
        <v>5000.0</v>
      </c>
      <c r="AJ430" s="74">
        <v>3.0</v>
      </c>
      <c r="AK430" s="74">
        <v>0.0</v>
      </c>
      <c r="AL430" s="74">
        <v>7.0</v>
      </c>
      <c r="AM430" s="74">
        <v>1000.0</v>
      </c>
      <c r="AN430" s="74">
        <v>3.0</v>
      </c>
      <c r="AO430" s="74">
        <v>0.0</v>
      </c>
      <c r="AP430" s="74">
        <v>1.0</v>
      </c>
      <c r="AQ430" s="74">
        <v>7.0</v>
      </c>
      <c r="AR430" s="74">
        <v>100.0</v>
      </c>
      <c r="AS430" s="74">
        <v>3.0</v>
      </c>
      <c r="AT430" s="74">
        <v>0.0</v>
      </c>
      <c r="AU430" s="74">
        <v>0.0</v>
      </c>
      <c r="AV430" s="119"/>
      <c r="AW430" s="119"/>
      <c r="AX430" s="119"/>
      <c r="AY430" s="119"/>
      <c r="AZ430" s="119"/>
      <c r="BA430" s="119"/>
      <c r="BB430" s="119"/>
      <c r="BC430" s="119"/>
      <c r="BD430" s="119"/>
      <c r="BE430" s="119"/>
      <c r="BF430" s="119"/>
      <c r="BG430" s="119"/>
      <c r="BH430" s="119"/>
      <c r="BI430" s="119"/>
      <c r="BJ430" s="119"/>
      <c r="BK430" s="119"/>
      <c r="BL430" s="119"/>
      <c r="BM430" s="119"/>
      <c r="BN430" s="119"/>
      <c r="BO430" s="119"/>
      <c r="BP430" s="119"/>
      <c r="BQ430" s="119"/>
      <c r="BR430" s="119"/>
      <c r="BS430" s="119"/>
      <c r="BT430" s="119"/>
      <c r="BU430" s="119"/>
      <c r="BV430" s="119"/>
      <c r="BW430" s="119"/>
      <c r="BX430" s="119"/>
      <c r="BY430" s="119"/>
      <c r="BZ430" s="119"/>
      <c r="CA430" s="119"/>
      <c r="CB430" s="119"/>
      <c r="CC430" s="119"/>
      <c r="CD430" s="148">
        <v>43868.0</v>
      </c>
      <c r="CE430" s="74">
        <v>1.0</v>
      </c>
      <c r="CF430" s="74" t="s">
        <v>20366</v>
      </c>
      <c r="CG430" s="120">
        <v>7811.0</v>
      </c>
      <c r="CH430" s="74" t="s">
        <v>20614</v>
      </c>
      <c r="CI430" s="74" t="s">
        <v>20615</v>
      </c>
      <c r="CJ430" s="120">
        <v>429.0</v>
      </c>
    </row>
    <row r="431">
      <c r="A431" s="74" t="s">
        <v>20618</v>
      </c>
      <c r="B431" s="74" t="s">
        <v>6876</v>
      </c>
      <c r="C431" s="74" t="s">
        <v>6877</v>
      </c>
      <c r="D431" s="74" t="s">
        <v>8493</v>
      </c>
      <c r="E431" s="74" t="s">
        <v>20620</v>
      </c>
      <c r="F431" s="74">
        <v>33.0</v>
      </c>
      <c r="G431" s="74">
        <v>1.0</v>
      </c>
      <c r="H431" s="74">
        <v>97.0</v>
      </c>
      <c r="I431" s="119"/>
      <c r="J431" s="119"/>
      <c r="K431" s="74" t="s">
        <v>436</v>
      </c>
      <c r="L431" s="74" t="s">
        <v>436</v>
      </c>
      <c r="M431" s="74" t="s">
        <v>20394</v>
      </c>
      <c r="N431" s="74" t="s">
        <v>15342</v>
      </c>
      <c r="O431" s="74" t="s">
        <v>15343</v>
      </c>
      <c r="P431" s="119"/>
      <c r="Q431" s="119"/>
      <c r="R431" s="119"/>
      <c r="S431" s="74">
        <v>7.0</v>
      </c>
      <c r="T431" s="74">
        <v>1000.0</v>
      </c>
      <c r="U431" s="74">
        <v>3.0</v>
      </c>
      <c r="V431" s="74">
        <v>123.0</v>
      </c>
      <c r="W431" s="119"/>
      <c r="X431" s="119"/>
      <c r="Y431" s="119"/>
      <c r="Z431" s="119"/>
      <c r="AA431" s="119"/>
      <c r="AB431" s="119"/>
      <c r="AC431" s="119"/>
      <c r="AD431" s="119"/>
      <c r="AE431" s="119"/>
      <c r="AF431" s="119"/>
      <c r="AG431" s="119"/>
      <c r="AH431" s="119"/>
      <c r="AI431" s="119"/>
      <c r="AJ431" s="119"/>
      <c r="AK431" s="119"/>
      <c r="AL431" s="119"/>
      <c r="AM431" s="119"/>
      <c r="AN431" s="119"/>
      <c r="AO431" s="119"/>
      <c r="AP431" s="119"/>
      <c r="AQ431" s="119"/>
      <c r="AR431" s="119"/>
      <c r="AS431" s="119"/>
      <c r="AT431" s="119"/>
      <c r="AU431" s="74">
        <v>0.0</v>
      </c>
      <c r="AV431" s="119"/>
      <c r="AW431" s="119"/>
      <c r="AX431" s="119"/>
      <c r="AY431" s="119"/>
      <c r="AZ431" s="119"/>
      <c r="BA431" s="119"/>
      <c r="BB431" s="119"/>
      <c r="BC431" s="119"/>
      <c r="BD431" s="119"/>
      <c r="BE431" s="119"/>
      <c r="BF431" s="119"/>
      <c r="BG431" s="119"/>
      <c r="BH431" s="119"/>
      <c r="BI431" s="119"/>
      <c r="BJ431" s="119"/>
      <c r="BK431" s="119"/>
      <c r="BL431" s="119"/>
      <c r="BM431" s="119"/>
      <c r="BN431" s="119"/>
      <c r="BO431" s="119"/>
      <c r="BP431" s="119"/>
      <c r="BQ431" s="119"/>
      <c r="BR431" s="119"/>
      <c r="BS431" s="119"/>
      <c r="BT431" s="119"/>
      <c r="BU431" s="119"/>
      <c r="BV431" s="119"/>
      <c r="BW431" s="119"/>
      <c r="BX431" s="119"/>
      <c r="BY431" s="119"/>
      <c r="BZ431" s="119"/>
      <c r="CA431" s="119"/>
      <c r="CB431" s="119"/>
      <c r="CC431" s="119"/>
      <c r="CD431" s="148">
        <v>43868.0</v>
      </c>
      <c r="CE431" s="74">
        <v>1.0</v>
      </c>
      <c r="CF431" s="74" t="s">
        <v>20366</v>
      </c>
      <c r="CG431" s="120">
        <v>7812.0</v>
      </c>
      <c r="CH431" s="74" t="s">
        <v>20630</v>
      </c>
      <c r="CI431" s="74" t="s">
        <v>20632</v>
      </c>
      <c r="CJ431" s="120">
        <v>430.0</v>
      </c>
    </row>
    <row r="432">
      <c r="A432" s="74" t="s">
        <v>20633</v>
      </c>
      <c r="B432" s="74" t="s">
        <v>6876</v>
      </c>
      <c r="C432" s="74" t="s">
        <v>6877</v>
      </c>
      <c r="D432" s="74" t="s">
        <v>8493</v>
      </c>
      <c r="E432" s="74" t="s">
        <v>20634</v>
      </c>
      <c r="F432" s="74">
        <v>33.0</v>
      </c>
      <c r="G432" s="74">
        <v>1.0</v>
      </c>
      <c r="H432" s="74">
        <v>97.0</v>
      </c>
      <c r="I432" s="119"/>
      <c r="J432" s="119"/>
      <c r="K432" s="74" t="s">
        <v>15565</v>
      </c>
      <c r="L432" s="74" t="s">
        <v>15565</v>
      </c>
      <c r="M432" s="74" t="s">
        <v>20394</v>
      </c>
      <c r="N432" s="74" t="s">
        <v>15342</v>
      </c>
      <c r="O432" s="74" t="s">
        <v>15343</v>
      </c>
      <c r="P432" s="119"/>
      <c r="Q432" s="119"/>
      <c r="R432" s="119"/>
      <c r="S432" s="119"/>
      <c r="T432" s="119"/>
      <c r="U432" s="119"/>
      <c r="V432" s="119"/>
      <c r="W432" s="119"/>
      <c r="X432" s="119"/>
      <c r="Y432" s="119"/>
      <c r="Z432" s="119"/>
      <c r="AA432" s="119"/>
      <c r="AB432" s="119"/>
      <c r="AC432" s="119"/>
      <c r="AD432" s="119"/>
      <c r="AE432" s="119"/>
      <c r="AF432" s="119"/>
      <c r="AG432" s="119"/>
      <c r="AH432" s="74">
        <v>7.0</v>
      </c>
      <c r="AI432" s="74">
        <v>1000.0</v>
      </c>
      <c r="AJ432" s="74">
        <v>3.0</v>
      </c>
      <c r="AK432" s="74">
        <v>159.0</v>
      </c>
      <c r="AL432" s="119"/>
      <c r="AM432" s="119"/>
      <c r="AN432" s="119"/>
      <c r="AO432" s="119"/>
      <c r="AP432" s="119"/>
      <c r="AQ432" s="119"/>
      <c r="AR432" s="119"/>
      <c r="AS432" s="119"/>
      <c r="AT432" s="119"/>
      <c r="AU432" s="74">
        <v>0.0</v>
      </c>
      <c r="AV432" s="119"/>
      <c r="AW432" s="119"/>
      <c r="AX432" s="119"/>
      <c r="AY432" s="119"/>
      <c r="AZ432" s="119"/>
      <c r="BA432" s="119"/>
      <c r="BB432" s="119"/>
      <c r="BC432" s="119"/>
      <c r="BD432" s="119"/>
      <c r="BE432" s="119"/>
      <c r="BF432" s="119"/>
      <c r="BG432" s="119"/>
      <c r="BH432" s="119"/>
      <c r="BI432" s="119"/>
      <c r="BJ432" s="119"/>
      <c r="BK432" s="119"/>
      <c r="BL432" s="119"/>
      <c r="BM432" s="119"/>
      <c r="BN432" s="119"/>
      <c r="BO432" s="119"/>
      <c r="BP432" s="119"/>
      <c r="BQ432" s="119"/>
      <c r="BR432" s="119"/>
      <c r="BS432" s="119"/>
      <c r="BT432" s="119"/>
      <c r="BU432" s="119"/>
      <c r="BV432" s="119"/>
      <c r="BW432" s="119"/>
      <c r="BX432" s="119"/>
      <c r="BY432" s="119"/>
      <c r="BZ432" s="119"/>
      <c r="CA432" s="119"/>
      <c r="CB432" s="119"/>
      <c r="CC432" s="119"/>
      <c r="CD432" s="148">
        <v>43868.0</v>
      </c>
      <c r="CE432" s="74">
        <v>1.0</v>
      </c>
      <c r="CF432" s="74" t="s">
        <v>20366</v>
      </c>
      <c r="CG432" s="120">
        <v>7813.0</v>
      </c>
      <c r="CH432" s="74" t="s">
        <v>20648</v>
      </c>
      <c r="CI432" s="74" t="s">
        <v>20649</v>
      </c>
      <c r="CJ432" s="120">
        <v>431.0</v>
      </c>
    </row>
    <row r="433">
      <c r="A433" s="74" t="s">
        <v>20650</v>
      </c>
      <c r="B433" s="74" t="s">
        <v>6876</v>
      </c>
      <c r="C433" s="74" t="s">
        <v>6877</v>
      </c>
      <c r="D433" s="74" t="s">
        <v>8493</v>
      </c>
      <c r="E433" s="74" t="s">
        <v>20651</v>
      </c>
      <c r="F433" s="74">
        <v>59.0</v>
      </c>
      <c r="G433" s="74">
        <v>1.0</v>
      </c>
      <c r="H433" s="74">
        <v>11.0</v>
      </c>
      <c r="I433" s="119"/>
      <c r="J433" s="119"/>
      <c r="K433" s="74" t="s">
        <v>2122</v>
      </c>
      <c r="L433" s="74" t="s">
        <v>2122</v>
      </c>
      <c r="M433" s="74" t="s">
        <v>15807</v>
      </c>
      <c r="N433" s="74" t="s">
        <v>20656</v>
      </c>
      <c r="O433" s="74" t="s">
        <v>20657</v>
      </c>
      <c r="P433" s="74">
        <v>4.0</v>
      </c>
      <c r="Q433" s="119"/>
      <c r="R433" s="119"/>
      <c r="S433" s="74">
        <v>7.0</v>
      </c>
      <c r="T433" s="74">
        <v>1000.0</v>
      </c>
      <c r="U433" s="74">
        <v>4.0</v>
      </c>
      <c r="V433" s="119"/>
      <c r="W433" s="74">
        <v>7.0</v>
      </c>
      <c r="X433" s="74">
        <v>100.0</v>
      </c>
      <c r="Y433" s="74">
        <v>4.0</v>
      </c>
      <c r="Z433" s="119"/>
      <c r="AA433" s="74">
        <v>1.0</v>
      </c>
      <c r="AB433" s="74">
        <v>4.0</v>
      </c>
      <c r="AC433" s="74">
        <v>1000.0</v>
      </c>
      <c r="AD433" s="74">
        <v>3.0</v>
      </c>
      <c r="AE433" s="74">
        <v>47.0</v>
      </c>
      <c r="AF433" s="119"/>
      <c r="AG433" s="119"/>
      <c r="AH433" s="74">
        <v>7.0</v>
      </c>
      <c r="AI433" s="74">
        <v>5000.0</v>
      </c>
      <c r="AJ433" s="74">
        <v>3.0</v>
      </c>
      <c r="AK433" s="74">
        <v>0.0</v>
      </c>
      <c r="AL433" s="74">
        <v>7.0</v>
      </c>
      <c r="AM433" s="74">
        <v>1000.0</v>
      </c>
      <c r="AN433" s="74">
        <v>3.0</v>
      </c>
      <c r="AO433" s="74">
        <v>0.0</v>
      </c>
      <c r="AP433" s="74">
        <v>1.0</v>
      </c>
      <c r="AQ433" s="74">
        <v>7.0</v>
      </c>
      <c r="AR433" s="74">
        <v>100.0</v>
      </c>
      <c r="AS433" s="74">
        <v>3.0</v>
      </c>
      <c r="AT433" s="74">
        <v>0.0</v>
      </c>
      <c r="AU433" s="74">
        <v>0.0</v>
      </c>
      <c r="AV433" s="119"/>
      <c r="AW433" s="119"/>
      <c r="AX433" s="119"/>
      <c r="AY433" s="119"/>
      <c r="AZ433" s="119"/>
      <c r="BA433" s="119"/>
      <c r="BB433" s="119"/>
      <c r="BC433" s="119"/>
      <c r="BD433" s="119"/>
      <c r="BE433" s="119"/>
      <c r="BF433" s="119"/>
      <c r="BG433" s="119"/>
      <c r="BH433" s="119"/>
      <c r="BI433" s="119"/>
      <c r="BJ433" s="119"/>
      <c r="BK433" s="119"/>
      <c r="BL433" s="119"/>
      <c r="BM433" s="119"/>
      <c r="BN433" s="119"/>
      <c r="BO433" s="119"/>
      <c r="BP433" s="119"/>
      <c r="BQ433" s="119"/>
      <c r="BR433" s="119"/>
      <c r="BS433" s="119"/>
      <c r="BT433" s="119"/>
      <c r="BU433" s="119"/>
      <c r="BV433" s="119"/>
      <c r="BW433" s="119"/>
      <c r="BX433" s="119"/>
      <c r="BY433" s="119"/>
      <c r="BZ433" s="119"/>
      <c r="CA433" s="119"/>
      <c r="CB433" s="119"/>
      <c r="CC433" s="74" t="s">
        <v>20672</v>
      </c>
      <c r="CD433" s="148">
        <v>43868.0</v>
      </c>
      <c r="CE433" s="74">
        <v>1.0</v>
      </c>
      <c r="CF433" s="74" t="s">
        <v>20366</v>
      </c>
      <c r="CG433" s="120">
        <v>7918.0</v>
      </c>
      <c r="CH433" s="74" t="s">
        <v>20674</v>
      </c>
      <c r="CI433" s="74" t="s">
        <v>20675</v>
      </c>
      <c r="CJ433" s="120">
        <v>432.0</v>
      </c>
    </row>
    <row r="434">
      <c r="A434" s="74" t="s">
        <v>20676</v>
      </c>
      <c r="B434" s="74" t="s">
        <v>6876</v>
      </c>
      <c r="C434" s="74" t="s">
        <v>6877</v>
      </c>
      <c r="D434" s="74" t="s">
        <v>8493</v>
      </c>
      <c r="E434" s="74" t="s">
        <v>20678</v>
      </c>
      <c r="F434" s="74">
        <v>59.0</v>
      </c>
      <c r="G434" s="74">
        <v>1.0</v>
      </c>
      <c r="H434" s="74">
        <v>11.0</v>
      </c>
      <c r="I434" s="119"/>
      <c r="J434" s="119"/>
      <c r="K434" s="74" t="s">
        <v>2125</v>
      </c>
      <c r="L434" s="74" t="s">
        <v>2125</v>
      </c>
      <c r="M434" s="74" t="s">
        <v>15807</v>
      </c>
      <c r="N434" s="74" t="s">
        <v>20656</v>
      </c>
      <c r="O434" s="74" t="s">
        <v>20657</v>
      </c>
      <c r="P434" s="74">
        <v>4.0</v>
      </c>
      <c r="Q434" s="119"/>
      <c r="R434" s="119"/>
      <c r="S434" s="74">
        <v>7.0</v>
      </c>
      <c r="T434" s="74">
        <v>1000.0</v>
      </c>
      <c r="U434" s="74">
        <v>1.0</v>
      </c>
      <c r="V434" s="119"/>
      <c r="W434" s="74">
        <v>7.0</v>
      </c>
      <c r="X434" s="74">
        <v>100.0</v>
      </c>
      <c r="Y434" s="74">
        <v>3.0</v>
      </c>
      <c r="Z434" s="74">
        <v>42.0</v>
      </c>
      <c r="AA434" s="74">
        <v>1.0</v>
      </c>
      <c r="AB434" s="74">
        <v>4.0</v>
      </c>
      <c r="AC434" s="74">
        <v>1000.0</v>
      </c>
      <c r="AD434" s="74">
        <v>3.0</v>
      </c>
      <c r="AE434" s="74">
        <v>2.0</v>
      </c>
      <c r="AF434" s="119"/>
      <c r="AG434" s="119"/>
      <c r="AH434" s="74">
        <v>7.0</v>
      </c>
      <c r="AI434" s="74">
        <v>5000.0</v>
      </c>
      <c r="AJ434" s="74">
        <v>3.0</v>
      </c>
      <c r="AK434" s="74">
        <v>0.0</v>
      </c>
      <c r="AL434" s="74">
        <v>7.0</v>
      </c>
      <c r="AM434" s="74">
        <v>1000.0</v>
      </c>
      <c r="AN434" s="74">
        <v>3.0</v>
      </c>
      <c r="AO434" s="74">
        <v>0.0</v>
      </c>
      <c r="AP434" s="74">
        <v>1.0</v>
      </c>
      <c r="AQ434" s="74">
        <v>7.0</v>
      </c>
      <c r="AR434" s="74">
        <v>100.0</v>
      </c>
      <c r="AS434" s="74">
        <v>3.0</v>
      </c>
      <c r="AT434" s="74">
        <v>0.0</v>
      </c>
      <c r="AU434" s="74">
        <v>0.0</v>
      </c>
      <c r="AV434" s="119"/>
      <c r="AW434" s="119"/>
      <c r="AX434" s="119"/>
      <c r="AY434" s="119"/>
      <c r="AZ434" s="119"/>
      <c r="BA434" s="119"/>
      <c r="BB434" s="119"/>
      <c r="BC434" s="119"/>
      <c r="BD434" s="119"/>
      <c r="BE434" s="119"/>
      <c r="BF434" s="119"/>
      <c r="BG434" s="119"/>
      <c r="BH434" s="119"/>
      <c r="BI434" s="119"/>
      <c r="BJ434" s="119"/>
      <c r="BK434" s="119"/>
      <c r="BL434" s="119"/>
      <c r="BM434" s="119"/>
      <c r="BN434" s="119"/>
      <c r="BO434" s="119"/>
      <c r="BP434" s="119"/>
      <c r="BQ434" s="119"/>
      <c r="BR434" s="119"/>
      <c r="BS434" s="119"/>
      <c r="BT434" s="119"/>
      <c r="BU434" s="119"/>
      <c r="BV434" s="119"/>
      <c r="BW434" s="119"/>
      <c r="BX434" s="119"/>
      <c r="BY434" s="119"/>
      <c r="BZ434" s="119"/>
      <c r="CA434" s="119"/>
      <c r="CB434" s="119"/>
      <c r="CC434" s="74" t="s">
        <v>20696</v>
      </c>
      <c r="CD434" s="148">
        <v>43868.0</v>
      </c>
      <c r="CE434" s="74">
        <v>1.0</v>
      </c>
      <c r="CF434" s="74" t="s">
        <v>20366</v>
      </c>
      <c r="CG434" s="120">
        <v>7919.0</v>
      </c>
      <c r="CH434" s="74" t="s">
        <v>20697</v>
      </c>
      <c r="CI434" s="74" t="s">
        <v>20698</v>
      </c>
      <c r="CJ434" s="120">
        <v>433.0</v>
      </c>
    </row>
    <row r="435">
      <c r="A435" s="74" t="s">
        <v>20678</v>
      </c>
      <c r="B435" s="74" t="s">
        <v>6876</v>
      </c>
      <c r="C435" s="74" t="s">
        <v>6877</v>
      </c>
      <c r="D435" s="74" t="s">
        <v>8493</v>
      </c>
      <c r="E435" s="74" t="s">
        <v>20701</v>
      </c>
      <c r="F435" s="74">
        <v>59.0</v>
      </c>
      <c r="G435" s="74">
        <v>1.0</v>
      </c>
      <c r="H435" s="74">
        <v>11.0</v>
      </c>
      <c r="I435" s="119"/>
      <c r="J435" s="119"/>
      <c r="K435" s="74" t="s">
        <v>2128</v>
      </c>
      <c r="L435" s="74" t="s">
        <v>2128</v>
      </c>
      <c r="M435" s="74" t="s">
        <v>15807</v>
      </c>
      <c r="N435" s="74" t="s">
        <v>20656</v>
      </c>
      <c r="O435" s="74" t="s">
        <v>20657</v>
      </c>
      <c r="P435" s="74">
        <v>4.0</v>
      </c>
      <c r="Q435" s="119"/>
      <c r="R435" s="119"/>
      <c r="S435" s="74">
        <v>7.0</v>
      </c>
      <c r="T435" s="74">
        <v>1000.0</v>
      </c>
      <c r="U435" s="74">
        <v>4.0</v>
      </c>
      <c r="V435" s="119"/>
      <c r="W435" s="74">
        <v>7.0</v>
      </c>
      <c r="X435" s="74">
        <v>100.0</v>
      </c>
      <c r="Y435" s="74">
        <v>4.0</v>
      </c>
      <c r="Z435" s="119"/>
      <c r="AA435" s="74">
        <v>1.0</v>
      </c>
      <c r="AB435" s="74">
        <v>4.0</v>
      </c>
      <c r="AC435" s="74">
        <v>1000.0</v>
      </c>
      <c r="AD435" s="74">
        <v>3.0</v>
      </c>
      <c r="AE435" s="74">
        <v>14.0</v>
      </c>
      <c r="AF435" s="119"/>
      <c r="AG435" s="119"/>
      <c r="AH435" s="74">
        <v>7.0</v>
      </c>
      <c r="AI435" s="74">
        <v>1000.0</v>
      </c>
      <c r="AJ435" s="74">
        <v>1.0</v>
      </c>
      <c r="AK435" s="119"/>
      <c r="AL435" s="74">
        <v>7.0</v>
      </c>
      <c r="AM435" s="74">
        <v>100.0</v>
      </c>
      <c r="AN435" s="74">
        <v>3.0</v>
      </c>
      <c r="AO435" s="74">
        <v>35.0</v>
      </c>
      <c r="AP435" s="74">
        <v>0.0</v>
      </c>
      <c r="AQ435" s="119"/>
      <c r="AR435" s="119"/>
      <c r="AS435" s="119"/>
      <c r="AT435" s="119"/>
      <c r="AU435" s="74">
        <v>0.0</v>
      </c>
      <c r="AV435" s="119"/>
      <c r="AW435" s="119"/>
      <c r="AX435" s="119"/>
      <c r="AY435" s="119"/>
      <c r="AZ435" s="119"/>
      <c r="BA435" s="119"/>
      <c r="BB435" s="119"/>
      <c r="BC435" s="119"/>
      <c r="BD435" s="119"/>
      <c r="BE435" s="119"/>
      <c r="BF435" s="119"/>
      <c r="BG435" s="119"/>
      <c r="BH435" s="119"/>
      <c r="BI435" s="119"/>
      <c r="BJ435" s="119"/>
      <c r="BK435" s="119"/>
      <c r="BL435" s="119"/>
      <c r="BM435" s="119"/>
      <c r="BN435" s="119"/>
      <c r="BO435" s="119"/>
      <c r="BP435" s="119"/>
      <c r="BQ435" s="119"/>
      <c r="BR435" s="119"/>
      <c r="BS435" s="119"/>
      <c r="BT435" s="119"/>
      <c r="BU435" s="119"/>
      <c r="BV435" s="119"/>
      <c r="BW435" s="119"/>
      <c r="BX435" s="119"/>
      <c r="BY435" s="119"/>
      <c r="BZ435" s="119"/>
      <c r="CA435" s="119"/>
      <c r="CB435" s="119"/>
      <c r="CC435" s="74" t="s">
        <v>20717</v>
      </c>
      <c r="CD435" s="148">
        <v>43868.0</v>
      </c>
      <c r="CE435" s="74">
        <v>1.0</v>
      </c>
      <c r="CF435" s="74" t="s">
        <v>20366</v>
      </c>
      <c r="CG435" s="120">
        <v>7920.0</v>
      </c>
      <c r="CH435" s="74" t="s">
        <v>20718</v>
      </c>
      <c r="CI435" s="74" t="s">
        <v>20719</v>
      </c>
      <c r="CJ435" s="120">
        <v>434.0</v>
      </c>
    </row>
    <row r="436">
      <c r="A436" s="74" t="s">
        <v>20701</v>
      </c>
      <c r="B436" s="74" t="s">
        <v>6876</v>
      </c>
      <c r="C436" s="74" t="s">
        <v>6877</v>
      </c>
      <c r="D436" s="74" t="s">
        <v>8493</v>
      </c>
      <c r="E436" s="74" t="s">
        <v>20720</v>
      </c>
      <c r="F436" s="74">
        <v>57.0</v>
      </c>
      <c r="G436" s="74">
        <v>1.0</v>
      </c>
      <c r="H436" s="74">
        <v>16.0</v>
      </c>
      <c r="I436" s="119"/>
      <c r="J436" s="119"/>
      <c r="K436" s="74" t="s">
        <v>2148</v>
      </c>
      <c r="L436" s="74" t="s">
        <v>2148</v>
      </c>
      <c r="M436" s="74" t="s">
        <v>15807</v>
      </c>
      <c r="N436" s="74" t="s">
        <v>20656</v>
      </c>
      <c r="O436" s="74" t="s">
        <v>20657</v>
      </c>
      <c r="P436" s="119"/>
      <c r="Q436" s="119"/>
      <c r="R436" s="119"/>
      <c r="S436" s="74">
        <v>7.0</v>
      </c>
      <c r="T436" s="74">
        <v>1000.0</v>
      </c>
      <c r="U436" s="74">
        <v>1.0</v>
      </c>
      <c r="V436" s="119"/>
      <c r="W436" s="74">
        <v>7.0</v>
      </c>
      <c r="X436" s="74">
        <v>100.0</v>
      </c>
      <c r="Y436" s="74">
        <v>3.0</v>
      </c>
      <c r="Z436" s="74">
        <v>14.0</v>
      </c>
      <c r="AA436" s="74">
        <v>1.0</v>
      </c>
      <c r="AB436" s="74">
        <v>4.0</v>
      </c>
      <c r="AC436" s="74">
        <v>1000.0</v>
      </c>
      <c r="AD436" s="74">
        <v>3.0</v>
      </c>
      <c r="AE436" s="74">
        <v>7.0</v>
      </c>
      <c r="AF436" s="119"/>
      <c r="AG436" s="119"/>
      <c r="AH436" s="74">
        <v>7.0</v>
      </c>
      <c r="AI436" s="74">
        <v>1000.0</v>
      </c>
      <c r="AJ436" s="74">
        <v>1.0</v>
      </c>
      <c r="AK436" s="119"/>
      <c r="AL436" s="74">
        <v>7.0</v>
      </c>
      <c r="AM436" s="74">
        <v>100.0</v>
      </c>
      <c r="AN436" s="74">
        <v>3.0</v>
      </c>
      <c r="AO436" s="74">
        <v>33.0</v>
      </c>
      <c r="AP436" s="74">
        <v>0.0</v>
      </c>
      <c r="AQ436" s="119"/>
      <c r="AR436" s="119"/>
      <c r="AS436" s="119"/>
      <c r="AT436" s="119"/>
      <c r="AU436" s="74">
        <v>0.0</v>
      </c>
      <c r="AV436" s="119"/>
      <c r="AW436" s="119"/>
      <c r="AX436" s="119"/>
      <c r="AY436" s="119"/>
      <c r="AZ436" s="119"/>
      <c r="BA436" s="119"/>
      <c r="BB436" s="119"/>
      <c r="BC436" s="119"/>
      <c r="BD436" s="119"/>
      <c r="BE436" s="119"/>
      <c r="BF436" s="119"/>
      <c r="BG436" s="119"/>
      <c r="BH436" s="119"/>
      <c r="BI436" s="119"/>
      <c r="BJ436" s="119"/>
      <c r="BK436" s="119"/>
      <c r="BL436" s="119"/>
      <c r="BM436" s="119"/>
      <c r="BN436" s="119"/>
      <c r="BO436" s="119"/>
      <c r="BP436" s="119"/>
      <c r="BQ436" s="119"/>
      <c r="BR436" s="119"/>
      <c r="BS436" s="119"/>
      <c r="BT436" s="119"/>
      <c r="BU436" s="119"/>
      <c r="BV436" s="119"/>
      <c r="BW436" s="119"/>
      <c r="BX436" s="119"/>
      <c r="BY436" s="119"/>
      <c r="BZ436" s="119"/>
      <c r="CA436" s="119"/>
      <c r="CB436" s="119"/>
      <c r="CC436" s="74" t="s">
        <v>20734</v>
      </c>
      <c r="CD436" s="148">
        <v>43868.0</v>
      </c>
      <c r="CE436" s="74">
        <v>1.0</v>
      </c>
      <c r="CF436" s="74" t="s">
        <v>20366</v>
      </c>
      <c r="CG436" s="120">
        <v>7921.0</v>
      </c>
      <c r="CH436" s="74" t="s">
        <v>20736</v>
      </c>
      <c r="CI436" s="74" t="s">
        <v>20737</v>
      </c>
      <c r="CJ436" s="120">
        <v>435.0</v>
      </c>
    </row>
    <row r="437">
      <c r="A437" s="74" t="s">
        <v>20720</v>
      </c>
      <c r="B437" s="74" t="s">
        <v>6876</v>
      </c>
      <c r="C437" s="74" t="s">
        <v>6877</v>
      </c>
      <c r="D437" s="74" t="s">
        <v>8493</v>
      </c>
      <c r="E437" s="74" t="s">
        <v>20740</v>
      </c>
      <c r="F437" s="74">
        <v>65.0</v>
      </c>
      <c r="G437" s="74">
        <v>1.0</v>
      </c>
      <c r="H437" s="74">
        <v>16.0</v>
      </c>
      <c r="I437" s="119"/>
      <c r="J437" s="119"/>
      <c r="K437" s="74" t="s">
        <v>2174</v>
      </c>
      <c r="L437" s="74" t="s">
        <v>2174</v>
      </c>
      <c r="M437" s="74" t="s">
        <v>15807</v>
      </c>
      <c r="N437" s="74" t="s">
        <v>20656</v>
      </c>
      <c r="O437" s="74" t="s">
        <v>20657</v>
      </c>
      <c r="P437" s="119"/>
      <c r="Q437" s="119"/>
      <c r="R437" s="119"/>
      <c r="S437" s="74">
        <v>7.0</v>
      </c>
      <c r="T437" s="74">
        <v>1000.0</v>
      </c>
      <c r="U437" s="74">
        <v>4.0</v>
      </c>
      <c r="V437" s="119"/>
      <c r="W437" s="74">
        <v>7.0</v>
      </c>
      <c r="X437" s="74">
        <v>100.0</v>
      </c>
      <c r="Y437" s="74">
        <v>3.0</v>
      </c>
      <c r="Z437" s="74">
        <v>58.0</v>
      </c>
      <c r="AA437" s="74">
        <v>1.0</v>
      </c>
      <c r="AB437" s="74">
        <v>4.0</v>
      </c>
      <c r="AC437" s="74">
        <v>1000.0</v>
      </c>
      <c r="AD437" s="74">
        <v>3.0</v>
      </c>
      <c r="AE437" s="74">
        <v>19.0</v>
      </c>
      <c r="AF437" s="119"/>
      <c r="AG437" s="119"/>
      <c r="AH437" s="74">
        <v>7.0</v>
      </c>
      <c r="AI437" s="74">
        <v>1000.0</v>
      </c>
      <c r="AJ437" s="74">
        <v>1.0</v>
      </c>
      <c r="AK437" s="119"/>
      <c r="AL437" s="74">
        <v>7.0</v>
      </c>
      <c r="AM437" s="74">
        <v>100.0</v>
      </c>
      <c r="AN437" s="74">
        <v>3.0</v>
      </c>
      <c r="AO437" s="74">
        <v>17.0</v>
      </c>
      <c r="AP437" s="74">
        <v>0.0</v>
      </c>
      <c r="AQ437" s="119"/>
      <c r="AR437" s="119"/>
      <c r="AS437" s="119"/>
      <c r="AT437" s="119"/>
      <c r="AU437" s="74">
        <v>0.0</v>
      </c>
      <c r="AV437" s="119"/>
      <c r="AW437" s="119"/>
      <c r="AX437" s="119"/>
      <c r="AY437" s="119"/>
      <c r="AZ437" s="119"/>
      <c r="BA437" s="119"/>
      <c r="BB437" s="119"/>
      <c r="BC437" s="119"/>
      <c r="BD437" s="119"/>
      <c r="BE437" s="119"/>
      <c r="BF437" s="119"/>
      <c r="BG437" s="119"/>
      <c r="BH437" s="119"/>
      <c r="BI437" s="119"/>
      <c r="BJ437" s="119"/>
      <c r="BK437" s="119"/>
      <c r="BL437" s="119"/>
      <c r="BM437" s="119"/>
      <c r="BN437" s="119"/>
      <c r="BO437" s="119"/>
      <c r="BP437" s="119"/>
      <c r="BQ437" s="119"/>
      <c r="BR437" s="119"/>
      <c r="BS437" s="119"/>
      <c r="BT437" s="119"/>
      <c r="BU437" s="119"/>
      <c r="BV437" s="119"/>
      <c r="BW437" s="119"/>
      <c r="BX437" s="119"/>
      <c r="BY437" s="119"/>
      <c r="BZ437" s="119"/>
      <c r="CA437" s="119"/>
      <c r="CB437" s="119"/>
      <c r="CC437" s="74" t="s">
        <v>20734</v>
      </c>
      <c r="CD437" s="148">
        <v>43868.0</v>
      </c>
      <c r="CE437" s="74">
        <v>1.0</v>
      </c>
      <c r="CF437" s="74" t="s">
        <v>20366</v>
      </c>
      <c r="CG437" s="120">
        <v>7922.0</v>
      </c>
      <c r="CH437" s="74" t="s">
        <v>20762</v>
      </c>
      <c r="CI437" s="74" t="s">
        <v>20764</v>
      </c>
      <c r="CJ437" s="120">
        <v>436.0</v>
      </c>
    </row>
    <row r="438">
      <c r="A438" s="74" t="s">
        <v>20740</v>
      </c>
      <c r="B438" s="74" t="s">
        <v>6876</v>
      </c>
      <c r="C438" s="74" t="s">
        <v>6877</v>
      </c>
      <c r="D438" s="74" t="s">
        <v>8493</v>
      </c>
      <c r="E438" s="74" t="s">
        <v>20767</v>
      </c>
      <c r="F438" s="74">
        <v>58.0</v>
      </c>
      <c r="G438" s="74">
        <v>2.0</v>
      </c>
      <c r="H438" s="74">
        <v>14.0</v>
      </c>
      <c r="I438" s="74">
        <v>144.0</v>
      </c>
      <c r="J438" s="119"/>
      <c r="K438" s="74" t="s">
        <v>696</v>
      </c>
      <c r="L438" s="74" t="s">
        <v>696</v>
      </c>
      <c r="M438" s="74" t="s">
        <v>15807</v>
      </c>
      <c r="N438" s="74" t="s">
        <v>20656</v>
      </c>
      <c r="O438" s="74" t="s">
        <v>20657</v>
      </c>
      <c r="P438" s="119"/>
      <c r="Q438" s="119"/>
      <c r="R438" s="119"/>
      <c r="S438" s="74">
        <v>7.0</v>
      </c>
      <c r="T438" s="74">
        <v>1000.0</v>
      </c>
      <c r="U438" s="74">
        <v>3.0</v>
      </c>
      <c r="V438" s="74">
        <v>2.0</v>
      </c>
      <c r="W438" s="74">
        <v>7.0</v>
      </c>
      <c r="X438" s="74">
        <v>100.0</v>
      </c>
      <c r="Y438" s="74">
        <v>3.0</v>
      </c>
      <c r="Z438" s="74">
        <v>0.0</v>
      </c>
      <c r="AA438" s="74">
        <v>0.0</v>
      </c>
      <c r="AB438" s="119"/>
      <c r="AC438" s="119"/>
      <c r="AD438" s="119"/>
      <c r="AE438" s="119"/>
      <c r="AF438" s="119"/>
      <c r="AG438" s="119"/>
      <c r="AH438" s="74">
        <v>7.0</v>
      </c>
      <c r="AI438" s="74">
        <v>5000.0</v>
      </c>
      <c r="AJ438" s="74">
        <v>3.0</v>
      </c>
      <c r="AK438" s="74">
        <v>0.0</v>
      </c>
      <c r="AL438" s="74">
        <v>7.0</v>
      </c>
      <c r="AM438" s="74">
        <v>1000.0</v>
      </c>
      <c r="AN438" s="74">
        <v>3.0</v>
      </c>
      <c r="AO438" s="74">
        <v>0.0</v>
      </c>
      <c r="AP438" s="74">
        <v>1.0</v>
      </c>
      <c r="AQ438" s="74">
        <v>7.0</v>
      </c>
      <c r="AR438" s="74">
        <v>100.0</v>
      </c>
      <c r="AS438" s="74">
        <v>3.0</v>
      </c>
      <c r="AT438" s="74">
        <v>0.0</v>
      </c>
      <c r="AU438" s="74">
        <v>0.0</v>
      </c>
      <c r="AV438" s="119"/>
      <c r="AW438" s="119"/>
      <c r="AX438" s="119"/>
      <c r="AY438" s="119"/>
      <c r="AZ438" s="119"/>
      <c r="BA438" s="119"/>
      <c r="BB438" s="119"/>
      <c r="BC438" s="119"/>
      <c r="BD438" s="119"/>
      <c r="BE438" s="119"/>
      <c r="BF438" s="119"/>
      <c r="BG438" s="119"/>
      <c r="BH438" s="119"/>
      <c r="BI438" s="119"/>
      <c r="BJ438" s="119"/>
      <c r="BK438" s="119"/>
      <c r="BL438" s="119"/>
      <c r="BM438" s="119"/>
      <c r="BN438" s="119"/>
      <c r="BO438" s="119"/>
      <c r="BP438" s="119"/>
      <c r="BQ438" s="119"/>
      <c r="BR438" s="119"/>
      <c r="BS438" s="119"/>
      <c r="BT438" s="119"/>
      <c r="BU438" s="119"/>
      <c r="BV438" s="119"/>
      <c r="BW438" s="119"/>
      <c r="BX438" s="119"/>
      <c r="BY438" s="119"/>
      <c r="BZ438" s="119"/>
      <c r="CA438" s="119"/>
      <c r="CB438" s="119"/>
      <c r="CC438" s="74" t="s">
        <v>20788</v>
      </c>
      <c r="CD438" s="148">
        <v>43868.0</v>
      </c>
      <c r="CE438" s="74">
        <v>1.0</v>
      </c>
      <c r="CF438" s="74" t="s">
        <v>20366</v>
      </c>
      <c r="CG438" s="120">
        <v>7923.0</v>
      </c>
      <c r="CH438" s="74" t="s">
        <v>20791</v>
      </c>
      <c r="CI438" s="74" t="s">
        <v>20793</v>
      </c>
      <c r="CJ438" s="120">
        <v>437.0</v>
      </c>
    </row>
    <row r="439">
      <c r="A439" s="74" t="s">
        <v>20794</v>
      </c>
      <c r="B439" s="74" t="s">
        <v>6876</v>
      </c>
      <c r="C439" s="74" t="s">
        <v>6877</v>
      </c>
      <c r="D439" s="74" t="s">
        <v>8493</v>
      </c>
      <c r="E439" s="74" t="s">
        <v>20795</v>
      </c>
      <c r="F439" s="74">
        <v>58.0</v>
      </c>
      <c r="G439" s="74">
        <v>2.0</v>
      </c>
      <c r="H439" s="74">
        <v>14.0</v>
      </c>
      <c r="I439" s="74">
        <v>142.0</v>
      </c>
      <c r="J439" s="119"/>
      <c r="K439" s="74" t="s">
        <v>699</v>
      </c>
      <c r="L439" s="74" t="s">
        <v>699</v>
      </c>
      <c r="M439" s="74" t="s">
        <v>15807</v>
      </c>
      <c r="N439" s="74" t="s">
        <v>20656</v>
      </c>
      <c r="O439" s="74" t="s">
        <v>20657</v>
      </c>
      <c r="P439" s="119"/>
      <c r="Q439" s="119"/>
      <c r="R439" s="119"/>
      <c r="S439" s="74">
        <v>7.0</v>
      </c>
      <c r="T439" s="74">
        <v>1000.0</v>
      </c>
      <c r="U439" s="74">
        <v>3.0</v>
      </c>
      <c r="V439" s="74">
        <v>0.0</v>
      </c>
      <c r="W439" s="74">
        <v>7.0</v>
      </c>
      <c r="X439" s="74">
        <v>100.0</v>
      </c>
      <c r="Y439" s="74">
        <v>3.0</v>
      </c>
      <c r="Z439" s="74">
        <v>0.0</v>
      </c>
      <c r="AA439" s="74">
        <v>0.0</v>
      </c>
      <c r="AB439" s="119"/>
      <c r="AC439" s="119"/>
      <c r="AD439" s="119"/>
      <c r="AE439" s="119"/>
      <c r="AF439" s="119"/>
      <c r="AG439" s="119"/>
      <c r="AH439" s="74">
        <v>7.0</v>
      </c>
      <c r="AI439" s="74">
        <v>5000.0</v>
      </c>
      <c r="AJ439" s="74">
        <v>3.0</v>
      </c>
      <c r="AK439" s="74">
        <v>0.0</v>
      </c>
      <c r="AL439" s="74">
        <v>7.0</v>
      </c>
      <c r="AM439" s="74">
        <v>1000.0</v>
      </c>
      <c r="AN439" s="74">
        <v>3.0</v>
      </c>
      <c r="AO439" s="74">
        <v>0.0</v>
      </c>
      <c r="AP439" s="74">
        <v>1.0</v>
      </c>
      <c r="AQ439" s="74">
        <v>7.0</v>
      </c>
      <c r="AR439" s="74">
        <v>100.0</v>
      </c>
      <c r="AS439" s="74">
        <v>3.0</v>
      </c>
      <c r="AT439" s="74">
        <v>0.0</v>
      </c>
      <c r="AU439" s="74">
        <v>0.0</v>
      </c>
      <c r="AV439" s="119"/>
      <c r="AW439" s="119"/>
      <c r="AX439" s="119"/>
      <c r="AY439" s="119"/>
      <c r="AZ439" s="119"/>
      <c r="BA439" s="119"/>
      <c r="BB439" s="119"/>
      <c r="BC439" s="119"/>
      <c r="BD439" s="119"/>
      <c r="BE439" s="119"/>
      <c r="BF439" s="119"/>
      <c r="BG439" s="119"/>
      <c r="BH439" s="119"/>
      <c r="BI439" s="119"/>
      <c r="BJ439" s="119"/>
      <c r="BK439" s="119"/>
      <c r="BL439" s="119"/>
      <c r="BM439" s="119"/>
      <c r="BN439" s="119"/>
      <c r="BO439" s="119"/>
      <c r="BP439" s="119"/>
      <c r="BQ439" s="119"/>
      <c r="BR439" s="119"/>
      <c r="BS439" s="119"/>
      <c r="BT439" s="119"/>
      <c r="BU439" s="119"/>
      <c r="BV439" s="119"/>
      <c r="BW439" s="119"/>
      <c r="BX439" s="119"/>
      <c r="BY439" s="119"/>
      <c r="BZ439" s="119"/>
      <c r="CA439" s="119"/>
      <c r="CB439" s="119"/>
      <c r="CC439" s="74" t="s">
        <v>20788</v>
      </c>
      <c r="CD439" s="148">
        <v>43868.0</v>
      </c>
      <c r="CE439" s="74">
        <v>1.0</v>
      </c>
      <c r="CF439" s="74" t="s">
        <v>20366</v>
      </c>
      <c r="CG439" s="120">
        <v>7924.0</v>
      </c>
      <c r="CH439" s="74" t="s">
        <v>20819</v>
      </c>
      <c r="CI439" s="74" t="s">
        <v>20820</v>
      </c>
      <c r="CJ439" s="120">
        <v>438.0</v>
      </c>
    </row>
    <row r="440">
      <c r="A440" s="74" t="s">
        <v>20821</v>
      </c>
      <c r="B440" s="74" t="s">
        <v>6876</v>
      </c>
      <c r="C440" s="74" t="s">
        <v>6877</v>
      </c>
      <c r="D440" s="74" t="s">
        <v>8493</v>
      </c>
      <c r="E440" s="74" t="s">
        <v>20825</v>
      </c>
      <c r="F440" s="74">
        <v>58.0</v>
      </c>
      <c r="G440" s="74">
        <v>2.0</v>
      </c>
      <c r="H440" s="74">
        <v>14.0</v>
      </c>
      <c r="I440" s="74">
        <v>145.0</v>
      </c>
      <c r="J440" s="119"/>
      <c r="K440" s="74" t="s">
        <v>701</v>
      </c>
      <c r="L440" s="74" t="s">
        <v>701</v>
      </c>
      <c r="M440" s="74" t="s">
        <v>15807</v>
      </c>
      <c r="N440" s="74" t="s">
        <v>20656</v>
      </c>
      <c r="O440" s="74" t="s">
        <v>20657</v>
      </c>
      <c r="P440" s="119"/>
      <c r="Q440" s="119"/>
      <c r="R440" s="119"/>
      <c r="S440" s="74">
        <v>7.0</v>
      </c>
      <c r="T440" s="74">
        <v>1000.0</v>
      </c>
      <c r="U440" s="74">
        <v>3.0</v>
      </c>
      <c r="V440" s="74">
        <v>0.0</v>
      </c>
      <c r="W440" s="74">
        <v>7.0</v>
      </c>
      <c r="X440" s="74">
        <v>100.0</v>
      </c>
      <c r="Y440" s="74">
        <v>3.0</v>
      </c>
      <c r="Z440" s="74">
        <v>0.0</v>
      </c>
      <c r="AA440" s="74">
        <v>0.0</v>
      </c>
      <c r="AB440" s="119"/>
      <c r="AC440" s="119"/>
      <c r="AD440" s="119"/>
      <c r="AE440" s="119"/>
      <c r="AF440" s="119"/>
      <c r="AG440" s="119"/>
      <c r="AH440" s="74">
        <v>7.0</v>
      </c>
      <c r="AI440" s="74">
        <v>5000.0</v>
      </c>
      <c r="AJ440" s="74">
        <v>3.0</v>
      </c>
      <c r="AK440" s="74">
        <v>0.0</v>
      </c>
      <c r="AL440" s="74">
        <v>7.0</v>
      </c>
      <c r="AM440" s="74">
        <v>1000.0</v>
      </c>
      <c r="AN440" s="74">
        <v>3.0</v>
      </c>
      <c r="AO440" s="74">
        <v>0.0</v>
      </c>
      <c r="AP440" s="74">
        <v>1.0</v>
      </c>
      <c r="AQ440" s="74">
        <v>7.0</v>
      </c>
      <c r="AR440" s="74">
        <v>100.0</v>
      </c>
      <c r="AS440" s="74">
        <v>3.0</v>
      </c>
      <c r="AT440" s="74">
        <v>0.0</v>
      </c>
      <c r="AU440" s="74">
        <v>0.0</v>
      </c>
      <c r="AV440" s="119"/>
      <c r="AW440" s="119"/>
      <c r="AX440" s="119"/>
      <c r="AY440" s="119"/>
      <c r="AZ440" s="119"/>
      <c r="BA440" s="119"/>
      <c r="BB440" s="119"/>
      <c r="BC440" s="119"/>
      <c r="BD440" s="119"/>
      <c r="BE440" s="119"/>
      <c r="BF440" s="119"/>
      <c r="BG440" s="119"/>
      <c r="BH440" s="119"/>
      <c r="BI440" s="119"/>
      <c r="BJ440" s="119"/>
      <c r="BK440" s="119"/>
      <c r="BL440" s="119"/>
      <c r="BM440" s="119"/>
      <c r="BN440" s="119"/>
      <c r="BO440" s="119"/>
      <c r="BP440" s="119"/>
      <c r="BQ440" s="119"/>
      <c r="BR440" s="119"/>
      <c r="BS440" s="119"/>
      <c r="BT440" s="119"/>
      <c r="BU440" s="119"/>
      <c r="BV440" s="119"/>
      <c r="BW440" s="119"/>
      <c r="BX440" s="119"/>
      <c r="BY440" s="119"/>
      <c r="BZ440" s="119"/>
      <c r="CA440" s="119"/>
      <c r="CB440" s="119"/>
      <c r="CC440" s="74" t="s">
        <v>20788</v>
      </c>
      <c r="CD440" s="148">
        <v>43868.0</v>
      </c>
      <c r="CE440" s="74">
        <v>1.0</v>
      </c>
      <c r="CF440" s="74" t="s">
        <v>20366</v>
      </c>
      <c r="CG440" s="120">
        <v>7925.0</v>
      </c>
      <c r="CH440" s="74" t="s">
        <v>20847</v>
      </c>
      <c r="CI440" s="74" t="s">
        <v>20848</v>
      </c>
      <c r="CJ440" s="120">
        <v>439.0</v>
      </c>
    </row>
    <row r="441">
      <c r="A441" s="74" t="s">
        <v>20825</v>
      </c>
      <c r="B441" s="74" t="s">
        <v>6876</v>
      </c>
      <c r="C441" s="74" t="s">
        <v>6877</v>
      </c>
      <c r="D441" s="74" t="s">
        <v>8493</v>
      </c>
      <c r="E441" s="74" t="s">
        <v>20850</v>
      </c>
      <c r="F441" s="74">
        <v>58.0</v>
      </c>
      <c r="G441" s="74">
        <v>2.0</v>
      </c>
      <c r="H441" s="74">
        <v>14.0</v>
      </c>
      <c r="I441" s="74">
        <v>141.0</v>
      </c>
      <c r="J441" s="119"/>
      <c r="K441" s="74" t="s">
        <v>704</v>
      </c>
      <c r="L441" s="74" t="s">
        <v>704</v>
      </c>
      <c r="M441" s="74" t="s">
        <v>15807</v>
      </c>
      <c r="N441" s="74" t="s">
        <v>20656</v>
      </c>
      <c r="O441" s="74" t="s">
        <v>20657</v>
      </c>
      <c r="P441" s="119"/>
      <c r="Q441" s="119"/>
      <c r="R441" s="119"/>
      <c r="S441" s="74">
        <v>7.0</v>
      </c>
      <c r="T441" s="74">
        <v>1000.0</v>
      </c>
      <c r="U441" s="74">
        <v>3.0</v>
      </c>
      <c r="V441" s="74">
        <v>0.0</v>
      </c>
      <c r="W441" s="74">
        <v>7.0</v>
      </c>
      <c r="X441" s="74">
        <v>100.0</v>
      </c>
      <c r="Y441" s="74">
        <v>3.0</v>
      </c>
      <c r="Z441" s="74">
        <v>0.0</v>
      </c>
      <c r="AA441" s="74">
        <v>0.0</v>
      </c>
      <c r="AB441" s="119"/>
      <c r="AC441" s="119"/>
      <c r="AD441" s="119"/>
      <c r="AE441" s="119"/>
      <c r="AF441" s="119"/>
      <c r="AG441" s="119"/>
      <c r="AH441" s="74">
        <v>7.0</v>
      </c>
      <c r="AI441" s="74">
        <v>5000.0</v>
      </c>
      <c r="AJ441" s="74">
        <v>3.0</v>
      </c>
      <c r="AK441" s="74">
        <v>0.0</v>
      </c>
      <c r="AL441" s="74">
        <v>7.0</v>
      </c>
      <c r="AM441" s="74">
        <v>1000.0</v>
      </c>
      <c r="AN441" s="74">
        <v>3.0</v>
      </c>
      <c r="AO441" s="74">
        <v>0.0</v>
      </c>
      <c r="AP441" s="74">
        <v>1.0</v>
      </c>
      <c r="AQ441" s="74">
        <v>7.0</v>
      </c>
      <c r="AR441" s="74">
        <v>100.0</v>
      </c>
      <c r="AS441" s="74">
        <v>3.0</v>
      </c>
      <c r="AT441" s="74">
        <v>0.0</v>
      </c>
      <c r="AU441" s="74">
        <v>0.0</v>
      </c>
      <c r="AV441" s="119"/>
      <c r="AW441" s="119"/>
      <c r="AX441" s="119"/>
      <c r="AY441" s="119"/>
      <c r="AZ441" s="119"/>
      <c r="BA441" s="119"/>
      <c r="BB441" s="119"/>
      <c r="BC441" s="119"/>
      <c r="BD441" s="119"/>
      <c r="BE441" s="119"/>
      <c r="BF441" s="119"/>
      <c r="BG441" s="119"/>
      <c r="BH441" s="119"/>
      <c r="BI441" s="119"/>
      <c r="BJ441" s="119"/>
      <c r="BK441" s="119"/>
      <c r="BL441" s="119"/>
      <c r="BM441" s="119"/>
      <c r="BN441" s="119"/>
      <c r="BO441" s="119"/>
      <c r="BP441" s="119"/>
      <c r="BQ441" s="119"/>
      <c r="BR441" s="119"/>
      <c r="BS441" s="119"/>
      <c r="BT441" s="119"/>
      <c r="BU441" s="119"/>
      <c r="BV441" s="119"/>
      <c r="BW441" s="119"/>
      <c r="BX441" s="119"/>
      <c r="BY441" s="119"/>
      <c r="BZ441" s="119"/>
      <c r="CA441" s="119"/>
      <c r="CB441" s="119"/>
      <c r="CC441" s="74" t="s">
        <v>20788</v>
      </c>
      <c r="CD441" s="148">
        <v>43868.0</v>
      </c>
      <c r="CE441" s="74">
        <v>1.0</v>
      </c>
      <c r="CF441" s="74" t="s">
        <v>20366</v>
      </c>
      <c r="CG441" s="120">
        <v>7926.0</v>
      </c>
      <c r="CH441" s="74" t="s">
        <v>20870</v>
      </c>
      <c r="CI441" s="74" t="s">
        <v>20871</v>
      </c>
      <c r="CJ441" s="120">
        <v>440.0</v>
      </c>
    </row>
    <row r="442">
      <c r="A442" s="74" t="s">
        <v>20850</v>
      </c>
      <c r="B442" s="74" t="s">
        <v>6876</v>
      </c>
      <c r="C442" s="74" t="s">
        <v>6877</v>
      </c>
      <c r="D442" s="74" t="s">
        <v>8493</v>
      </c>
      <c r="E442" s="74" t="s">
        <v>20873</v>
      </c>
      <c r="F442" s="74">
        <v>58.0</v>
      </c>
      <c r="G442" s="74">
        <v>2.0</v>
      </c>
      <c r="H442" s="74">
        <v>14.0</v>
      </c>
      <c r="I442" s="74">
        <v>143.0</v>
      </c>
      <c r="J442" s="119"/>
      <c r="K442" s="74" t="s">
        <v>706</v>
      </c>
      <c r="L442" s="74" t="s">
        <v>706</v>
      </c>
      <c r="M442" s="74" t="s">
        <v>15807</v>
      </c>
      <c r="N442" s="74" t="s">
        <v>20656</v>
      </c>
      <c r="O442" s="74" t="s">
        <v>20657</v>
      </c>
      <c r="P442" s="119"/>
      <c r="Q442" s="119"/>
      <c r="R442" s="119"/>
      <c r="S442" s="74">
        <v>7.0</v>
      </c>
      <c r="T442" s="74">
        <v>1000.0</v>
      </c>
      <c r="U442" s="74">
        <v>3.0</v>
      </c>
      <c r="V442" s="74">
        <v>0.0</v>
      </c>
      <c r="W442" s="74">
        <v>7.0</v>
      </c>
      <c r="X442" s="74">
        <v>100.0</v>
      </c>
      <c r="Y442" s="74">
        <v>3.0</v>
      </c>
      <c r="Z442" s="74">
        <v>0.0</v>
      </c>
      <c r="AA442" s="74">
        <v>0.0</v>
      </c>
      <c r="AB442" s="119"/>
      <c r="AC442" s="119"/>
      <c r="AD442" s="119"/>
      <c r="AE442" s="119"/>
      <c r="AF442" s="119"/>
      <c r="AG442" s="119"/>
      <c r="AH442" s="74">
        <v>7.0</v>
      </c>
      <c r="AI442" s="74">
        <v>5000.0</v>
      </c>
      <c r="AJ442" s="74">
        <v>3.0</v>
      </c>
      <c r="AK442" s="74">
        <v>0.0</v>
      </c>
      <c r="AL442" s="74">
        <v>7.0</v>
      </c>
      <c r="AM442" s="74">
        <v>1000.0</v>
      </c>
      <c r="AN442" s="74">
        <v>3.0</v>
      </c>
      <c r="AO442" s="74">
        <v>0.0</v>
      </c>
      <c r="AP442" s="74">
        <v>1.0</v>
      </c>
      <c r="AQ442" s="74">
        <v>7.0</v>
      </c>
      <c r="AR442" s="74">
        <v>100.0</v>
      </c>
      <c r="AS442" s="74">
        <v>3.0</v>
      </c>
      <c r="AT442" s="74">
        <v>0.0</v>
      </c>
      <c r="AU442" s="74">
        <v>0.0</v>
      </c>
      <c r="AV442" s="119"/>
      <c r="AW442" s="119"/>
      <c r="AX442" s="119"/>
      <c r="AY442" s="119"/>
      <c r="AZ442" s="119"/>
      <c r="BA442" s="119"/>
      <c r="BB442" s="119"/>
      <c r="BC442" s="119"/>
      <c r="BD442" s="119"/>
      <c r="BE442" s="119"/>
      <c r="BF442" s="119"/>
      <c r="BG442" s="119"/>
      <c r="BH442" s="119"/>
      <c r="BI442" s="119"/>
      <c r="BJ442" s="119"/>
      <c r="BK442" s="119"/>
      <c r="BL442" s="119"/>
      <c r="BM442" s="119"/>
      <c r="BN442" s="119"/>
      <c r="BO442" s="119"/>
      <c r="BP442" s="119"/>
      <c r="BQ442" s="119"/>
      <c r="BR442" s="119"/>
      <c r="BS442" s="119"/>
      <c r="BT442" s="119"/>
      <c r="BU442" s="119"/>
      <c r="BV442" s="119"/>
      <c r="BW442" s="119"/>
      <c r="BX442" s="119"/>
      <c r="BY442" s="119"/>
      <c r="BZ442" s="119"/>
      <c r="CA442" s="119"/>
      <c r="CB442" s="119"/>
      <c r="CC442" s="74" t="s">
        <v>20788</v>
      </c>
      <c r="CD442" s="148">
        <v>43868.0</v>
      </c>
      <c r="CE442" s="74">
        <v>1.0</v>
      </c>
      <c r="CF442" s="74" t="s">
        <v>20366</v>
      </c>
      <c r="CG442" s="120">
        <v>7927.0</v>
      </c>
      <c r="CH442" s="74" t="s">
        <v>20894</v>
      </c>
      <c r="CI442" s="74" t="s">
        <v>20897</v>
      </c>
      <c r="CJ442" s="120">
        <v>441.0</v>
      </c>
    </row>
    <row r="443">
      <c r="A443" s="74" t="s">
        <v>20898</v>
      </c>
      <c r="B443" s="74" t="s">
        <v>6876</v>
      </c>
      <c r="C443" s="74" t="s">
        <v>6877</v>
      </c>
      <c r="D443" s="74" t="s">
        <v>8493</v>
      </c>
      <c r="E443" s="74" t="s">
        <v>20902</v>
      </c>
      <c r="F443" s="74">
        <v>58.0</v>
      </c>
      <c r="G443" s="74">
        <v>2.0</v>
      </c>
      <c r="H443" s="74">
        <v>5.0</v>
      </c>
      <c r="I443" s="119"/>
      <c r="J443" s="119"/>
      <c r="K443" s="74" t="s">
        <v>2171</v>
      </c>
      <c r="L443" s="74" t="s">
        <v>2171</v>
      </c>
      <c r="M443" s="74" t="s">
        <v>15807</v>
      </c>
      <c r="N443" s="74" t="s">
        <v>20656</v>
      </c>
      <c r="O443" s="74" t="s">
        <v>20657</v>
      </c>
      <c r="P443" s="119"/>
      <c r="Q443" s="119"/>
      <c r="R443" s="119"/>
      <c r="S443" s="74">
        <v>7.0</v>
      </c>
      <c r="T443" s="74">
        <v>1000.0</v>
      </c>
      <c r="U443" s="74">
        <v>3.0</v>
      </c>
      <c r="V443" s="74">
        <v>3.0</v>
      </c>
      <c r="W443" s="74">
        <v>7.0</v>
      </c>
      <c r="X443" s="74">
        <v>100.0</v>
      </c>
      <c r="Y443" s="74">
        <v>3.0</v>
      </c>
      <c r="Z443" s="74">
        <v>1.0</v>
      </c>
      <c r="AA443" s="74">
        <v>0.0</v>
      </c>
      <c r="AB443" s="119"/>
      <c r="AC443" s="119"/>
      <c r="AD443" s="119"/>
      <c r="AE443" s="119"/>
      <c r="AF443" s="119"/>
      <c r="AG443" s="119"/>
      <c r="AH443" s="74">
        <v>7.0</v>
      </c>
      <c r="AI443" s="74">
        <v>5000.0</v>
      </c>
      <c r="AJ443" s="74">
        <v>3.0</v>
      </c>
      <c r="AK443" s="74">
        <v>0.0</v>
      </c>
      <c r="AL443" s="74">
        <v>7.0</v>
      </c>
      <c r="AM443" s="74">
        <v>1000.0</v>
      </c>
      <c r="AN443" s="74">
        <v>3.0</v>
      </c>
      <c r="AO443" s="74">
        <v>0.0</v>
      </c>
      <c r="AP443" s="74">
        <v>1.0</v>
      </c>
      <c r="AQ443" s="74">
        <v>7.0</v>
      </c>
      <c r="AR443" s="74">
        <v>100.0</v>
      </c>
      <c r="AS443" s="74">
        <v>3.0</v>
      </c>
      <c r="AT443" s="74">
        <v>0.0</v>
      </c>
      <c r="AU443" s="74">
        <v>0.0</v>
      </c>
      <c r="AV443" s="119"/>
      <c r="AW443" s="119"/>
      <c r="AX443" s="119"/>
      <c r="AY443" s="119"/>
      <c r="AZ443" s="119"/>
      <c r="BA443" s="119"/>
      <c r="BB443" s="119"/>
      <c r="BC443" s="119"/>
      <c r="BD443" s="119"/>
      <c r="BE443" s="119"/>
      <c r="BF443" s="119"/>
      <c r="BG443" s="119"/>
      <c r="BH443" s="119"/>
      <c r="BI443" s="119"/>
      <c r="BJ443" s="119"/>
      <c r="BK443" s="119"/>
      <c r="BL443" s="119"/>
      <c r="BM443" s="119"/>
      <c r="BN443" s="119"/>
      <c r="BO443" s="119"/>
      <c r="BP443" s="119"/>
      <c r="BQ443" s="119"/>
      <c r="BR443" s="119"/>
      <c r="BS443" s="119"/>
      <c r="BT443" s="119"/>
      <c r="BU443" s="119"/>
      <c r="BV443" s="119"/>
      <c r="BW443" s="119"/>
      <c r="BX443" s="119"/>
      <c r="BY443" s="119"/>
      <c r="BZ443" s="119"/>
      <c r="CA443" s="119"/>
      <c r="CB443" s="119"/>
      <c r="CC443" s="74" t="s">
        <v>20788</v>
      </c>
      <c r="CD443" s="148">
        <v>43868.0</v>
      </c>
      <c r="CE443" s="74">
        <v>1.0</v>
      </c>
      <c r="CF443" s="74" t="s">
        <v>20366</v>
      </c>
      <c r="CG443" s="120">
        <v>7928.0</v>
      </c>
      <c r="CH443" s="74" t="s">
        <v>20929</v>
      </c>
      <c r="CI443" s="74" t="s">
        <v>20931</v>
      </c>
      <c r="CJ443" s="120">
        <v>442.0</v>
      </c>
    </row>
    <row r="444">
      <c r="A444" s="74" t="s">
        <v>20932</v>
      </c>
      <c r="B444" s="74" t="s">
        <v>6876</v>
      </c>
      <c r="C444" s="74" t="s">
        <v>6877</v>
      </c>
      <c r="D444" s="74" t="s">
        <v>8493</v>
      </c>
      <c r="E444" s="74" t="s">
        <v>20934</v>
      </c>
      <c r="F444" s="74">
        <v>58.0</v>
      </c>
      <c r="G444" s="74">
        <v>2.0</v>
      </c>
      <c r="H444" s="74">
        <v>5.0</v>
      </c>
      <c r="I444" s="119"/>
      <c r="J444" s="119"/>
      <c r="K444" s="74" t="s">
        <v>2163</v>
      </c>
      <c r="L444" s="74" t="s">
        <v>2163</v>
      </c>
      <c r="M444" s="74" t="s">
        <v>20939</v>
      </c>
      <c r="N444" s="74" t="s">
        <v>20941</v>
      </c>
      <c r="O444" s="74" t="s">
        <v>20943</v>
      </c>
      <c r="P444" s="119"/>
      <c r="Q444" s="119"/>
      <c r="R444" s="119"/>
      <c r="S444" s="74">
        <v>7.0</v>
      </c>
      <c r="T444" s="74">
        <v>1000.0</v>
      </c>
      <c r="U444" s="74">
        <v>3.0</v>
      </c>
      <c r="V444" s="74">
        <v>0.0</v>
      </c>
      <c r="W444" s="74">
        <v>7.0</v>
      </c>
      <c r="X444" s="74">
        <v>100.0</v>
      </c>
      <c r="Y444" s="74">
        <v>3.0</v>
      </c>
      <c r="Z444" s="74">
        <v>0.0</v>
      </c>
      <c r="AA444" s="74">
        <v>0.0</v>
      </c>
      <c r="AB444" s="119"/>
      <c r="AC444" s="119"/>
      <c r="AD444" s="119"/>
      <c r="AE444" s="119"/>
      <c r="AF444" s="119"/>
      <c r="AG444" s="119"/>
      <c r="AH444" s="74">
        <v>7.0</v>
      </c>
      <c r="AI444" s="74">
        <v>5000.0</v>
      </c>
      <c r="AJ444" s="74">
        <v>3.0</v>
      </c>
      <c r="AK444" s="74">
        <v>0.0</v>
      </c>
      <c r="AL444" s="74">
        <v>7.0</v>
      </c>
      <c r="AM444" s="74">
        <v>1000.0</v>
      </c>
      <c r="AN444" s="74">
        <v>3.0</v>
      </c>
      <c r="AO444" s="74">
        <v>0.0</v>
      </c>
      <c r="AP444" s="74">
        <v>1.0</v>
      </c>
      <c r="AQ444" s="74">
        <v>7.0</v>
      </c>
      <c r="AR444" s="74">
        <v>100.0</v>
      </c>
      <c r="AS444" s="74">
        <v>3.0</v>
      </c>
      <c r="AT444" s="74">
        <v>0.0</v>
      </c>
      <c r="AU444" s="74">
        <v>0.0</v>
      </c>
      <c r="AV444" s="119"/>
      <c r="AW444" s="119"/>
      <c r="AX444" s="119"/>
      <c r="AY444" s="119"/>
      <c r="AZ444" s="119"/>
      <c r="BA444" s="119"/>
      <c r="BB444" s="119"/>
      <c r="BC444" s="119"/>
      <c r="BD444" s="119"/>
      <c r="BE444" s="119"/>
      <c r="BF444" s="119"/>
      <c r="BG444" s="119"/>
      <c r="BH444" s="119"/>
      <c r="BI444" s="119"/>
      <c r="BJ444" s="119"/>
      <c r="BK444" s="119"/>
      <c r="BL444" s="119"/>
      <c r="BM444" s="119"/>
      <c r="BN444" s="119"/>
      <c r="BO444" s="119"/>
      <c r="BP444" s="119"/>
      <c r="BQ444" s="119"/>
      <c r="BR444" s="119"/>
      <c r="BS444" s="119"/>
      <c r="BT444" s="119"/>
      <c r="BU444" s="119"/>
      <c r="BV444" s="119"/>
      <c r="BW444" s="119"/>
      <c r="BX444" s="119"/>
      <c r="BY444" s="119"/>
      <c r="BZ444" s="119"/>
      <c r="CA444" s="119"/>
      <c r="CB444" s="119"/>
      <c r="CC444" s="74" t="s">
        <v>20788</v>
      </c>
      <c r="CD444" s="148">
        <v>43868.0</v>
      </c>
      <c r="CE444" s="74">
        <v>1.0</v>
      </c>
      <c r="CF444" s="74" t="s">
        <v>20366</v>
      </c>
      <c r="CG444" s="120">
        <v>7929.0</v>
      </c>
      <c r="CH444" s="74" t="s">
        <v>20963</v>
      </c>
      <c r="CI444" s="74" t="s">
        <v>20965</v>
      </c>
      <c r="CJ444" s="120">
        <v>443.0</v>
      </c>
    </row>
    <row r="445">
      <c r="A445" s="74" t="s">
        <v>20934</v>
      </c>
      <c r="B445" s="74" t="s">
        <v>6876</v>
      </c>
      <c r="C445" s="74" t="s">
        <v>6877</v>
      </c>
      <c r="D445" s="74" t="s">
        <v>8493</v>
      </c>
      <c r="E445" s="74" t="s">
        <v>20968</v>
      </c>
      <c r="F445" s="74">
        <v>33.0</v>
      </c>
      <c r="G445" s="74">
        <v>1.0</v>
      </c>
      <c r="H445" s="74">
        <v>97.0</v>
      </c>
      <c r="I445" s="119"/>
      <c r="J445" s="119"/>
      <c r="K445" s="74" t="s">
        <v>436</v>
      </c>
      <c r="L445" s="74" t="s">
        <v>436</v>
      </c>
      <c r="M445" s="74" t="s">
        <v>20939</v>
      </c>
      <c r="N445" s="74" t="s">
        <v>20941</v>
      </c>
      <c r="O445" s="74" t="s">
        <v>20943</v>
      </c>
      <c r="P445" s="119"/>
      <c r="Q445" s="119"/>
      <c r="R445" s="119"/>
      <c r="S445" s="74">
        <v>7.0</v>
      </c>
      <c r="T445" s="74">
        <v>1000.0</v>
      </c>
      <c r="U445" s="74">
        <v>3.0</v>
      </c>
      <c r="V445" s="74">
        <v>83.0</v>
      </c>
      <c r="W445" s="119"/>
      <c r="X445" s="119"/>
      <c r="Y445" s="119"/>
      <c r="Z445" s="119"/>
      <c r="AA445" s="119"/>
      <c r="AB445" s="119"/>
      <c r="AC445" s="119"/>
      <c r="AD445" s="119"/>
      <c r="AE445" s="119"/>
      <c r="AF445" s="119"/>
      <c r="AG445" s="119"/>
      <c r="AH445" s="119"/>
      <c r="AI445" s="119"/>
      <c r="AJ445" s="119"/>
      <c r="AK445" s="119"/>
      <c r="AL445" s="119"/>
      <c r="AM445" s="119"/>
      <c r="AN445" s="119"/>
      <c r="AO445" s="119"/>
      <c r="AP445" s="119"/>
      <c r="AQ445" s="119"/>
      <c r="AR445" s="119"/>
      <c r="AS445" s="119"/>
      <c r="AT445" s="119"/>
      <c r="AU445" s="74">
        <v>0.0</v>
      </c>
      <c r="AV445" s="119"/>
      <c r="AW445" s="119"/>
      <c r="AX445" s="119"/>
      <c r="AY445" s="119"/>
      <c r="AZ445" s="119"/>
      <c r="BA445" s="119"/>
      <c r="BB445" s="119"/>
      <c r="BC445" s="119"/>
      <c r="BD445" s="119"/>
      <c r="BE445" s="119"/>
      <c r="BF445" s="119"/>
      <c r="BG445" s="119"/>
      <c r="BH445" s="119"/>
      <c r="BI445" s="119"/>
      <c r="BJ445" s="119"/>
      <c r="BK445" s="119"/>
      <c r="BL445" s="119"/>
      <c r="BM445" s="119"/>
      <c r="BN445" s="119"/>
      <c r="BO445" s="119"/>
      <c r="BP445" s="119"/>
      <c r="BQ445" s="119"/>
      <c r="BR445" s="119"/>
      <c r="BS445" s="119"/>
      <c r="BT445" s="119"/>
      <c r="BU445" s="119"/>
      <c r="BV445" s="119"/>
      <c r="BW445" s="119"/>
      <c r="BX445" s="119"/>
      <c r="BY445" s="119"/>
      <c r="BZ445" s="119"/>
      <c r="CA445" s="119"/>
      <c r="CB445" s="119"/>
      <c r="CC445" s="119"/>
      <c r="CD445" s="148">
        <v>43868.0</v>
      </c>
      <c r="CE445" s="74">
        <v>1.0</v>
      </c>
      <c r="CF445" s="74" t="s">
        <v>20366</v>
      </c>
      <c r="CG445" s="120">
        <v>7930.0</v>
      </c>
      <c r="CH445" s="74" t="s">
        <v>20991</v>
      </c>
      <c r="CI445" s="74" t="s">
        <v>20994</v>
      </c>
      <c r="CJ445" s="120">
        <v>444.0</v>
      </c>
    </row>
    <row r="446">
      <c r="A446" s="74" t="s">
        <v>20968</v>
      </c>
      <c r="B446" s="74" t="s">
        <v>6876</v>
      </c>
      <c r="C446" s="74" t="s">
        <v>6877</v>
      </c>
      <c r="D446" s="74" t="s">
        <v>8493</v>
      </c>
      <c r="E446" s="74" t="s">
        <v>20996</v>
      </c>
      <c r="F446" s="74">
        <v>33.0</v>
      </c>
      <c r="G446" s="74">
        <v>1.0</v>
      </c>
      <c r="H446" s="74">
        <v>97.0</v>
      </c>
      <c r="I446" s="119"/>
      <c r="J446" s="119"/>
      <c r="K446" s="74" t="s">
        <v>15565</v>
      </c>
      <c r="L446" s="74" t="s">
        <v>15565</v>
      </c>
      <c r="M446" s="74" t="s">
        <v>20939</v>
      </c>
      <c r="N446" s="74" t="s">
        <v>20941</v>
      </c>
      <c r="O446" s="74" t="s">
        <v>20943</v>
      </c>
      <c r="P446" s="119"/>
      <c r="Q446" s="119"/>
      <c r="R446" s="119"/>
      <c r="S446" s="119"/>
      <c r="T446" s="119"/>
      <c r="U446" s="119"/>
      <c r="V446" s="119"/>
      <c r="W446" s="119"/>
      <c r="X446" s="119"/>
      <c r="Y446" s="119"/>
      <c r="Z446" s="119"/>
      <c r="AA446" s="119"/>
      <c r="AB446" s="119"/>
      <c r="AC446" s="119"/>
      <c r="AD446" s="119"/>
      <c r="AE446" s="119"/>
      <c r="AF446" s="119"/>
      <c r="AG446" s="119"/>
      <c r="AH446" s="74">
        <v>7.0</v>
      </c>
      <c r="AI446" s="74">
        <v>1000.0</v>
      </c>
      <c r="AJ446" s="74">
        <v>3.0</v>
      </c>
      <c r="AK446" s="74">
        <v>179.0</v>
      </c>
      <c r="AL446" s="119"/>
      <c r="AM446" s="119"/>
      <c r="AN446" s="119"/>
      <c r="AO446" s="119"/>
      <c r="AP446" s="119"/>
      <c r="AQ446" s="119"/>
      <c r="AR446" s="119"/>
      <c r="AS446" s="119"/>
      <c r="AT446" s="119"/>
      <c r="AU446" s="74">
        <v>0.0</v>
      </c>
      <c r="AV446" s="119"/>
      <c r="AW446" s="119"/>
      <c r="AX446" s="119"/>
      <c r="AY446" s="119"/>
      <c r="AZ446" s="119"/>
      <c r="BA446" s="119"/>
      <c r="BB446" s="119"/>
      <c r="BC446" s="119"/>
      <c r="BD446" s="119"/>
      <c r="BE446" s="119"/>
      <c r="BF446" s="119"/>
      <c r="BG446" s="119"/>
      <c r="BH446" s="119"/>
      <c r="BI446" s="119"/>
      <c r="BJ446" s="119"/>
      <c r="BK446" s="119"/>
      <c r="BL446" s="119"/>
      <c r="BM446" s="119"/>
      <c r="BN446" s="119"/>
      <c r="BO446" s="119"/>
      <c r="BP446" s="119"/>
      <c r="BQ446" s="119"/>
      <c r="BR446" s="119"/>
      <c r="BS446" s="119"/>
      <c r="BT446" s="119"/>
      <c r="BU446" s="119"/>
      <c r="BV446" s="119"/>
      <c r="BW446" s="119"/>
      <c r="BX446" s="119"/>
      <c r="BY446" s="119"/>
      <c r="BZ446" s="119"/>
      <c r="CA446" s="119"/>
      <c r="CB446" s="119"/>
      <c r="CC446" s="119"/>
      <c r="CD446" s="148">
        <v>43868.0</v>
      </c>
      <c r="CE446" s="74">
        <v>1.0</v>
      </c>
      <c r="CF446" s="74" t="s">
        <v>20366</v>
      </c>
      <c r="CG446" s="120">
        <v>7931.0</v>
      </c>
      <c r="CH446" s="74" t="s">
        <v>21019</v>
      </c>
      <c r="CI446" s="74" t="s">
        <v>21020</v>
      </c>
      <c r="CJ446" s="120">
        <v>445.0</v>
      </c>
    </row>
    <row r="447">
      <c r="A447" s="74" t="s">
        <v>21023</v>
      </c>
      <c r="B447" s="74" t="s">
        <v>6876</v>
      </c>
      <c r="C447" s="74" t="s">
        <v>6877</v>
      </c>
      <c r="D447" s="74" t="s">
        <v>8493</v>
      </c>
      <c r="E447" s="74" t="s">
        <v>21024</v>
      </c>
      <c r="F447" s="74">
        <v>33.0</v>
      </c>
      <c r="G447" s="74">
        <v>1.0</v>
      </c>
      <c r="H447" s="74">
        <v>97.0</v>
      </c>
      <c r="I447" s="119"/>
      <c r="J447" s="119"/>
      <c r="K447" s="74" t="s">
        <v>436</v>
      </c>
      <c r="L447" s="74" t="s">
        <v>436</v>
      </c>
      <c r="M447" s="74" t="s">
        <v>15807</v>
      </c>
      <c r="N447" s="74" t="s">
        <v>20656</v>
      </c>
      <c r="O447" s="74" t="s">
        <v>20657</v>
      </c>
      <c r="P447" s="119"/>
      <c r="Q447" s="119"/>
      <c r="R447" s="119"/>
      <c r="S447" s="74">
        <v>7.0</v>
      </c>
      <c r="T447" s="74">
        <v>1000.0</v>
      </c>
      <c r="U447" s="74">
        <v>3.0</v>
      </c>
      <c r="V447" s="74">
        <v>110.0</v>
      </c>
      <c r="W447" s="119"/>
      <c r="X447" s="119"/>
      <c r="Y447" s="119"/>
      <c r="Z447" s="119"/>
      <c r="AA447" s="119"/>
      <c r="AB447" s="119"/>
      <c r="AC447" s="119"/>
      <c r="AD447" s="119"/>
      <c r="AE447" s="119"/>
      <c r="AF447" s="119"/>
      <c r="AG447" s="119"/>
      <c r="AH447" s="119"/>
      <c r="AI447" s="119"/>
      <c r="AJ447" s="119"/>
      <c r="AK447" s="119"/>
      <c r="AL447" s="119"/>
      <c r="AM447" s="119"/>
      <c r="AN447" s="119"/>
      <c r="AO447" s="119"/>
      <c r="AP447" s="119"/>
      <c r="AQ447" s="119"/>
      <c r="AR447" s="119"/>
      <c r="AS447" s="119"/>
      <c r="AT447" s="119"/>
      <c r="AU447" s="74">
        <v>0.0</v>
      </c>
      <c r="AV447" s="119"/>
      <c r="AW447" s="119"/>
      <c r="AX447" s="119"/>
      <c r="AY447" s="119"/>
      <c r="AZ447" s="119"/>
      <c r="BA447" s="119"/>
      <c r="BB447" s="119"/>
      <c r="BC447" s="119"/>
      <c r="BD447" s="119"/>
      <c r="BE447" s="119"/>
      <c r="BF447" s="119"/>
      <c r="BG447" s="119"/>
      <c r="BH447" s="119"/>
      <c r="BI447" s="119"/>
      <c r="BJ447" s="119"/>
      <c r="BK447" s="119"/>
      <c r="BL447" s="119"/>
      <c r="BM447" s="119"/>
      <c r="BN447" s="119"/>
      <c r="BO447" s="119"/>
      <c r="BP447" s="119"/>
      <c r="BQ447" s="119"/>
      <c r="BR447" s="119"/>
      <c r="BS447" s="119"/>
      <c r="BT447" s="119"/>
      <c r="BU447" s="119"/>
      <c r="BV447" s="119"/>
      <c r="BW447" s="119"/>
      <c r="BX447" s="119"/>
      <c r="BY447" s="119"/>
      <c r="BZ447" s="119"/>
      <c r="CA447" s="119"/>
      <c r="CB447" s="119"/>
      <c r="CC447" s="119"/>
      <c r="CD447" s="148">
        <v>43868.0</v>
      </c>
      <c r="CE447" s="74">
        <v>1.0</v>
      </c>
      <c r="CF447" s="74" t="s">
        <v>20366</v>
      </c>
      <c r="CG447" s="120">
        <v>7932.0</v>
      </c>
      <c r="CH447" s="74" t="s">
        <v>21045</v>
      </c>
      <c r="CI447" s="74" t="s">
        <v>21046</v>
      </c>
      <c r="CJ447" s="120">
        <v>446.0</v>
      </c>
    </row>
    <row r="448">
      <c r="A448" s="74" t="s">
        <v>21047</v>
      </c>
      <c r="B448" s="74" t="s">
        <v>6876</v>
      </c>
      <c r="C448" s="74" t="s">
        <v>6877</v>
      </c>
      <c r="D448" s="74" t="s">
        <v>8493</v>
      </c>
      <c r="E448" s="74" t="s">
        <v>21049</v>
      </c>
      <c r="F448" s="74">
        <v>33.0</v>
      </c>
      <c r="G448" s="74">
        <v>1.0</v>
      </c>
      <c r="H448" s="74">
        <v>97.0</v>
      </c>
      <c r="I448" s="119"/>
      <c r="J448" s="119"/>
      <c r="K448" s="74" t="s">
        <v>15565</v>
      </c>
      <c r="L448" s="74" t="s">
        <v>15565</v>
      </c>
      <c r="M448" s="74" t="s">
        <v>15807</v>
      </c>
      <c r="N448" s="74" t="s">
        <v>20656</v>
      </c>
      <c r="O448" s="74" t="s">
        <v>20657</v>
      </c>
      <c r="P448" s="119"/>
      <c r="Q448" s="119"/>
      <c r="R448" s="119"/>
      <c r="S448" s="119"/>
      <c r="T448" s="119"/>
      <c r="U448" s="119"/>
      <c r="V448" s="119"/>
      <c r="W448" s="119"/>
      <c r="X448" s="119"/>
      <c r="Y448" s="119"/>
      <c r="Z448" s="119"/>
      <c r="AA448" s="119"/>
      <c r="AB448" s="119"/>
      <c r="AC448" s="119"/>
      <c r="AD448" s="119"/>
      <c r="AE448" s="119"/>
      <c r="AF448" s="119"/>
      <c r="AG448" s="119"/>
      <c r="AH448" s="74">
        <v>7.0</v>
      </c>
      <c r="AI448" s="74">
        <v>1000.0</v>
      </c>
      <c r="AJ448" s="74">
        <v>3.0</v>
      </c>
      <c r="AK448" s="74">
        <v>183.0</v>
      </c>
      <c r="AL448" s="119"/>
      <c r="AM448" s="119"/>
      <c r="AN448" s="119"/>
      <c r="AO448" s="119"/>
      <c r="AP448" s="119"/>
      <c r="AQ448" s="119"/>
      <c r="AR448" s="119"/>
      <c r="AS448" s="119"/>
      <c r="AT448" s="119"/>
      <c r="AU448" s="74">
        <v>0.0</v>
      </c>
      <c r="AV448" s="119"/>
      <c r="AW448" s="119"/>
      <c r="AX448" s="119"/>
      <c r="AY448" s="119"/>
      <c r="AZ448" s="119"/>
      <c r="BA448" s="119"/>
      <c r="BB448" s="119"/>
      <c r="BC448" s="119"/>
      <c r="BD448" s="119"/>
      <c r="BE448" s="119"/>
      <c r="BF448" s="119"/>
      <c r="BG448" s="119"/>
      <c r="BH448" s="119"/>
      <c r="BI448" s="119"/>
      <c r="BJ448" s="119"/>
      <c r="BK448" s="119"/>
      <c r="BL448" s="119"/>
      <c r="BM448" s="119"/>
      <c r="BN448" s="119"/>
      <c r="BO448" s="119"/>
      <c r="BP448" s="119"/>
      <c r="BQ448" s="119"/>
      <c r="BR448" s="119"/>
      <c r="BS448" s="119"/>
      <c r="BT448" s="119"/>
      <c r="BU448" s="119"/>
      <c r="BV448" s="119"/>
      <c r="BW448" s="119"/>
      <c r="BX448" s="119"/>
      <c r="BY448" s="119"/>
      <c r="BZ448" s="119"/>
      <c r="CA448" s="119"/>
      <c r="CB448" s="119"/>
      <c r="CC448" s="119"/>
      <c r="CD448" s="148">
        <v>43868.0</v>
      </c>
      <c r="CE448" s="74">
        <v>1.0</v>
      </c>
      <c r="CF448" s="74" t="s">
        <v>20366</v>
      </c>
      <c r="CG448" s="120">
        <v>7933.0</v>
      </c>
      <c r="CH448" s="74" t="s">
        <v>21073</v>
      </c>
      <c r="CI448" s="74" t="s">
        <v>21074</v>
      </c>
      <c r="CJ448" s="120">
        <v>447.0</v>
      </c>
    </row>
    <row r="449">
      <c r="A449" s="74" t="s">
        <v>21077</v>
      </c>
      <c r="B449" s="74" t="s">
        <v>6876</v>
      </c>
      <c r="C449" s="74" t="s">
        <v>6877</v>
      </c>
      <c r="D449" s="74" t="s">
        <v>8493</v>
      </c>
      <c r="E449" s="74" t="s">
        <v>21079</v>
      </c>
      <c r="F449" s="74">
        <v>59.0</v>
      </c>
      <c r="G449" s="74">
        <v>1.0</v>
      </c>
      <c r="H449" s="74">
        <v>11.0</v>
      </c>
      <c r="I449" s="119"/>
      <c r="J449" s="119"/>
      <c r="K449" s="74" t="s">
        <v>2291</v>
      </c>
      <c r="L449" s="74" t="s">
        <v>2291</v>
      </c>
      <c r="M449" s="74" t="s">
        <v>15978</v>
      </c>
      <c r="N449" s="74" t="s">
        <v>21082</v>
      </c>
      <c r="O449" s="74" t="s">
        <v>21083</v>
      </c>
      <c r="P449" s="74">
        <v>4.0</v>
      </c>
      <c r="Q449" s="119"/>
      <c r="R449" s="119"/>
      <c r="S449" s="74">
        <v>7.0</v>
      </c>
      <c r="T449" s="74">
        <v>1000.0</v>
      </c>
      <c r="U449" s="74">
        <v>3.0</v>
      </c>
      <c r="V449" s="74">
        <v>7.0</v>
      </c>
      <c r="W449" s="74">
        <v>7.0</v>
      </c>
      <c r="X449" s="74">
        <v>100.0</v>
      </c>
      <c r="Y449" s="74">
        <v>3.0</v>
      </c>
      <c r="Z449" s="74">
        <v>1.0</v>
      </c>
      <c r="AA449" s="74">
        <v>1.0</v>
      </c>
      <c r="AB449" s="74">
        <v>4.0</v>
      </c>
      <c r="AC449" s="74">
        <v>1000.0</v>
      </c>
      <c r="AD449" s="74">
        <v>3.0</v>
      </c>
      <c r="AE449" s="74">
        <v>0.0</v>
      </c>
      <c r="AF449" s="119"/>
      <c r="AG449" s="119"/>
      <c r="AH449" s="74">
        <v>7.0</v>
      </c>
      <c r="AI449" s="74">
        <v>5000.0</v>
      </c>
      <c r="AJ449" s="74">
        <v>3.0</v>
      </c>
      <c r="AK449" s="74">
        <v>0.0</v>
      </c>
      <c r="AL449" s="74">
        <v>7.0</v>
      </c>
      <c r="AM449" s="74">
        <v>1000.0</v>
      </c>
      <c r="AN449" s="74">
        <v>3.0</v>
      </c>
      <c r="AO449" s="74">
        <v>0.0</v>
      </c>
      <c r="AP449" s="74">
        <v>1.0</v>
      </c>
      <c r="AQ449" s="74">
        <v>7.0</v>
      </c>
      <c r="AR449" s="74">
        <v>100.0</v>
      </c>
      <c r="AS449" s="74">
        <v>3.0</v>
      </c>
      <c r="AT449" s="74">
        <v>0.0</v>
      </c>
      <c r="AU449" s="74">
        <v>0.0</v>
      </c>
      <c r="AV449" s="119"/>
      <c r="AW449" s="119"/>
      <c r="AX449" s="119"/>
      <c r="AY449" s="119"/>
      <c r="AZ449" s="119"/>
      <c r="BA449" s="119"/>
      <c r="BB449" s="119"/>
      <c r="BC449" s="119"/>
      <c r="BD449" s="119"/>
      <c r="BE449" s="119"/>
      <c r="BF449" s="119"/>
      <c r="BG449" s="119"/>
      <c r="BH449" s="119"/>
      <c r="BI449" s="119"/>
      <c r="BJ449" s="119"/>
      <c r="BK449" s="119"/>
      <c r="BL449" s="119"/>
      <c r="BM449" s="119"/>
      <c r="BN449" s="119"/>
      <c r="BO449" s="119"/>
      <c r="BP449" s="119"/>
      <c r="BQ449" s="119"/>
      <c r="BR449" s="119"/>
      <c r="BS449" s="119"/>
      <c r="BT449" s="119"/>
      <c r="BU449" s="119"/>
      <c r="BV449" s="119"/>
      <c r="BW449" s="119"/>
      <c r="BX449" s="119"/>
      <c r="BY449" s="119"/>
      <c r="BZ449" s="119"/>
      <c r="CA449" s="119"/>
      <c r="CB449" s="119"/>
      <c r="CC449" s="74" t="s">
        <v>16851</v>
      </c>
      <c r="CD449" s="148">
        <v>43868.0</v>
      </c>
      <c r="CE449" s="74">
        <v>1.0</v>
      </c>
      <c r="CF449" s="74" t="s">
        <v>20366</v>
      </c>
      <c r="CG449" s="120">
        <v>7934.0</v>
      </c>
      <c r="CH449" s="74" t="s">
        <v>21105</v>
      </c>
      <c r="CI449" s="74" t="s">
        <v>21106</v>
      </c>
      <c r="CJ449" s="120">
        <v>448.0</v>
      </c>
    </row>
    <row r="450">
      <c r="A450" s="74" t="s">
        <v>21107</v>
      </c>
      <c r="B450" s="74" t="s">
        <v>6876</v>
      </c>
      <c r="C450" s="74" t="s">
        <v>6877</v>
      </c>
      <c r="D450" s="74" t="s">
        <v>8493</v>
      </c>
      <c r="E450" s="74" t="s">
        <v>21109</v>
      </c>
      <c r="F450" s="74">
        <v>58.0</v>
      </c>
      <c r="G450" s="74">
        <v>2.0</v>
      </c>
      <c r="H450" s="74">
        <v>9.0</v>
      </c>
      <c r="I450" s="119"/>
      <c r="J450" s="119"/>
      <c r="K450" s="74" t="s">
        <v>2180</v>
      </c>
      <c r="L450" s="74" t="s">
        <v>2180</v>
      </c>
      <c r="M450" s="74" t="s">
        <v>15978</v>
      </c>
      <c r="N450" s="74" t="s">
        <v>21082</v>
      </c>
      <c r="O450" s="74" t="s">
        <v>21083</v>
      </c>
      <c r="P450" s="119"/>
      <c r="Q450" s="119"/>
      <c r="R450" s="119"/>
      <c r="S450" s="74">
        <v>7.0</v>
      </c>
      <c r="T450" s="74">
        <v>1000.0</v>
      </c>
      <c r="U450" s="74">
        <v>3.0</v>
      </c>
      <c r="V450" s="74">
        <v>0.0</v>
      </c>
      <c r="W450" s="74">
        <v>7.0</v>
      </c>
      <c r="X450" s="74">
        <v>100.0</v>
      </c>
      <c r="Y450" s="74">
        <v>3.0</v>
      </c>
      <c r="Z450" s="74">
        <v>0.0</v>
      </c>
      <c r="AA450" s="74">
        <v>0.0</v>
      </c>
      <c r="AB450" s="119"/>
      <c r="AC450" s="119"/>
      <c r="AD450" s="119"/>
      <c r="AE450" s="119"/>
      <c r="AF450" s="119"/>
      <c r="AG450" s="119"/>
      <c r="AH450" s="74">
        <v>7.0</v>
      </c>
      <c r="AI450" s="74">
        <v>5000.0</v>
      </c>
      <c r="AJ450" s="74">
        <v>3.0</v>
      </c>
      <c r="AK450" s="74">
        <v>0.0</v>
      </c>
      <c r="AL450" s="74">
        <v>7.0</v>
      </c>
      <c r="AM450" s="74">
        <v>1000.0</v>
      </c>
      <c r="AN450" s="74">
        <v>3.0</v>
      </c>
      <c r="AO450" s="74">
        <v>0.0</v>
      </c>
      <c r="AP450" s="74">
        <v>1.0</v>
      </c>
      <c r="AQ450" s="74">
        <v>7.0</v>
      </c>
      <c r="AR450" s="74">
        <v>100.0</v>
      </c>
      <c r="AS450" s="74">
        <v>3.0</v>
      </c>
      <c r="AT450" s="74">
        <v>0.0</v>
      </c>
      <c r="AU450" s="74">
        <v>0.0</v>
      </c>
      <c r="AV450" s="119"/>
      <c r="AW450" s="119"/>
      <c r="AX450" s="119"/>
      <c r="AY450" s="119"/>
      <c r="AZ450" s="119"/>
      <c r="BA450" s="119"/>
      <c r="BB450" s="119"/>
      <c r="BC450" s="119"/>
      <c r="BD450" s="119"/>
      <c r="BE450" s="119"/>
      <c r="BF450" s="119"/>
      <c r="BG450" s="119"/>
      <c r="BH450" s="119"/>
      <c r="BI450" s="119"/>
      <c r="BJ450" s="119"/>
      <c r="BK450" s="119"/>
      <c r="BL450" s="119"/>
      <c r="BM450" s="119"/>
      <c r="BN450" s="119"/>
      <c r="BO450" s="119"/>
      <c r="BP450" s="119"/>
      <c r="BQ450" s="119"/>
      <c r="BR450" s="119"/>
      <c r="BS450" s="119"/>
      <c r="BT450" s="119"/>
      <c r="BU450" s="119"/>
      <c r="BV450" s="119"/>
      <c r="BW450" s="119"/>
      <c r="BX450" s="119"/>
      <c r="BY450" s="119"/>
      <c r="BZ450" s="119"/>
      <c r="CA450" s="119"/>
      <c r="CB450" s="119"/>
      <c r="CC450" s="119"/>
      <c r="CD450" s="148">
        <v>43868.0</v>
      </c>
      <c r="CE450" s="74">
        <v>1.0</v>
      </c>
      <c r="CF450" s="74" t="s">
        <v>20366</v>
      </c>
      <c r="CG450" s="120">
        <v>7935.0</v>
      </c>
      <c r="CH450" s="74" t="s">
        <v>21131</v>
      </c>
      <c r="CI450" s="74" t="s">
        <v>21133</v>
      </c>
      <c r="CJ450" s="120">
        <v>449.0</v>
      </c>
    </row>
    <row r="451">
      <c r="A451" s="74" t="s">
        <v>21134</v>
      </c>
      <c r="B451" s="74" t="s">
        <v>6876</v>
      </c>
      <c r="C451" s="74" t="s">
        <v>6877</v>
      </c>
      <c r="D451" s="74" t="s">
        <v>8493</v>
      </c>
      <c r="E451" s="74" t="s">
        <v>21137</v>
      </c>
      <c r="F451" s="74">
        <v>58.0</v>
      </c>
      <c r="G451" s="74">
        <v>2.0</v>
      </c>
      <c r="H451" s="74">
        <v>8.0</v>
      </c>
      <c r="I451" s="119"/>
      <c r="J451" s="119"/>
      <c r="K451" s="74" t="s">
        <v>2183</v>
      </c>
      <c r="L451" s="74" t="s">
        <v>2183</v>
      </c>
      <c r="M451" s="74" t="s">
        <v>15978</v>
      </c>
      <c r="N451" s="74" t="s">
        <v>21082</v>
      </c>
      <c r="O451" s="74" t="s">
        <v>21083</v>
      </c>
      <c r="P451" s="119"/>
      <c r="Q451" s="119"/>
      <c r="R451" s="119"/>
      <c r="S451" s="74">
        <v>7.0</v>
      </c>
      <c r="T451" s="74">
        <v>1000.0</v>
      </c>
      <c r="U451" s="74">
        <v>3.0</v>
      </c>
      <c r="V451" s="74">
        <v>0.0</v>
      </c>
      <c r="W451" s="74">
        <v>7.0</v>
      </c>
      <c r="X451" s="74">
        <v>100.0</v>
      </c>
      <c r="Y451" s="74">
        <v>3.0</v>
      </c>
      <c r="Z451" s="74">
        <v>0.0</v>
      </c>
      <c r="AA451" s="74">
        <v>0.0</v>
      </c>
      <c r="AB451" s="119"/>
      <c r="AC451" s="119"/>
      <c r="AD451" s="119"/>
      <c r="AE451" s="119"/>
      <c r="AF451" s="119"/>
      <c r="AG451" s="119"/>
      <c r="AH451" s="74">
        <v>7.0</v>
      </c>
      <c r="AI451" s="74">
        <v>5000.0</v>
      </c>
      <c r="AJ451" s="74">
        <v>3.0</v>
      </c>
      <c r="AK451" s="74">
        <v>0.0</v>
      </c>
      <c r="AL451" s="74">
        <v>7.0</v>
      </c>
      <c r="AM451" s="74">
        <v>1000.0</v>
      </c>
      <c r="AN451" s="74">
        <v>3.0</v>
      </c>
      <c r="AO451" s="74">
        <v>0.0</v>
      </c>
      <c r="AP451" s="74">
        <v>1.0</v>
      </c>
      <c r="AQ451" s="74">
        <v>7.0</v>
      </c>
      <c r="AR451" s="74">
        <v>100.0</v>
      </c>
      <c r="AS451" s="74">
        <v>3.0</v>
      </c>
      <c r="AT451" s="74">
        <v>0.0</v>
      </c>
      <c r="AU451" s="74">
        <v>0.0</v>
      </c>
      <c r="AV451" s="119"/>
      <c r="AW451" s="119"/>
      <c r="AX451" s="119"/>
      <c r="AY451" s="119"/>
      <c r="AZ451" s="119"/>
      <c r="BA451" s="119"/>
      <c r="BB451" s="119"/>
      <c r="BC451" s="119"/>
      <c r="BD451" s="119"/>
      <c r="BE451" s="119"/>
      <c r="BF451" s="119"/>
      <c r="BG451" s="119"/>
      <c r="BH451" s="119"/>
      <c r="BI451" s="119"/>
      <c r="BJ451" s="119"/>
      <c r="BK451" s="119"/>
      <c r="BL451" s="119"/>
      <c r="BM451" s="119"/>
      <c r="BN451" s="119"/>
      <c r="BO451" s="119"/>
      <c r="BP451" s="119"/>
      <c r="BQ451" s="119"/>
      <c r="BR451" s="119"/>
      <c r="BS451" s="119"/>
      <c r="BT451" s="119"/>
      <c r="BU451" s="119"/>
      <c r="BV451" s="119"/>
      <c r="BW451" s="119"/>
      <c r="BX451" s="119"/>
      <c r="BY451" s="119"/>
      <c r="BZ451" s="119"/>
      <c r="CA451" s="119"/>
      <c r="CB451" s="119"/>
      <c r="CC451" s="119"/>
      <c r="CD451" s="148">
        <v>43868.0</v>
      </c>
      <c r="CE451" s="74">
        <v>1.0</v>
      </c>
      <c r="CF451" s="74" t="s">
        <v>20366</v>
      </c>
      <c r="CG451" s="120">
        <v>7936.0</v>
      </c>
      <c r="CH451" s="74" t="s">
        <v>21160</v>
      </c>
      <c r="CI451" s="74" t="s">
        <v>21161</v>
      </c>
      <c r="CJ451" s="120">
        <v>450.0</v>
      </c>
    </row>
    <row r="452">
      <c r="A452" s="74" t="s">
        <v>21164</v>
      </c>
      <c r="B452" s="74" t="s">
        <v>6876</v>
      </c>
      <c r="C452" s="74" t="s">
        <v>6877</v>
      </c>
      <c r="D452" s="74" t="s">
        <v>8493</v>
      </c>
      <c r="E452" s="74" t="s">
        <v>21166</v>
      </c>
      <c r="F452" s="74">
        <v>57.0</v>
      </c>
      <c r="G452" s="74">
        <v>1.0</v>
      </c>
      <c r="H452" s="74">
        <v>16.0</v>
      </c>
      <c r="I452" s="119"/>
      <c r="J452" s="119"/>
      <c r="K452" s="74" t="s">
        <v>2435</v>
      </c>
      <c r="L452" s="74" t="s">
        <v>2435</v>
      </c>
      <c r="M452" s="74" t="s">
        <v>15978</v>
      </c>
      <c r="N452" s="74" t="s">
        <v>21082</v>
      </c>
      <c r="O452" s="74" t="s">
        <v>21083</v>
      </c>
      <c r="P452" s="119"/>
      <c r="Q452" s="119"/>
      <c r="R452" s="119"/>
      <c r="S452" s="74">
        <v>7.0</v>
      </c>
      <c r="T452" s="74">
        <v>1000.0</v>
      </c>
      <c r="U452" s="74">
        <v>3.0</v>
      </c>
      <c r="V452" s="74">
        <v>27.0</v>
      </c>
      <c r="W452" s="74">
        <v>7.0</v>
      </c>
      <c r="X452" s="74">
        <v>100.0</v>
      </c>
      <c r="Y452" s="74">
        <v>3.0</v>
      </c>
      <c r="Z452" s="74">
        <v>6.0</v>
      </c>
      <c r="AA452" s="74">
        <v>1.0</v>
      </c>
      <c r="AB452" s="74">
        <v>4.0</v>
      </c>
      <c r="AC452" s="74">
        <v>1000.0</v>
      </c>
      <c r="AD452" s="74">
        <v>3.0</v>
      </c>
      <c r="AE452" s="74">
        <v>1.0</v>
      </c>
      <c r="AF452" s="119"/>
      <c r="AG452" s="119"/>
      <c r="AH452" s="74">
        <v>7.0</v>
      </c>
      <c r="AI452" s="74">
        <v>5000.0</v>
      </c>
      <c r="AJ452" s="74">
        <v>1.0</v>
      </c>
      <c r="AK452" s="119"/>
      <c r="AL452" s="74">
        <v>7.0</v>
      </c>
      <c r="AM452" s="74">
        <v>1000.0</v>
      </c>
      <c r="AN452" s="74">
        <v>3.0</v>
      </c>
      <c r="AO452" s="74">
        <v>30.0</v>
      </c>
      <c r="AP452" s="74">
        <v>1.0</v>
      </c>
      <c r="AQ452" s="74">
        <v>7.0</v>
      </c>
      <c r="AR452" s="74">
        <v>100.0</v>
      </c>
      <c r="AS452" s="74">
        <v>3.0</v>
      </c>
      <c r="AT452" s="74">
        <v>11.0</v>
      </c>
      <c r="AU452" s="74">
        <v>0.0</v>
      </c>
      <c r="AV452" s="119"/>
      <c r="AW452" s="119"/>
      <c r="AX452" s="119"/>
      <c r="AY452" s="119"/>
      <c r="AZ452" s="119"/>
      <c r="BA452" s="119"/>
      <c r="BB452" s="119"/>
      <c r="BC452" s="119"/>
      <c r="BD452" s="119"/>
      <c r="BE452" s="119"/>
      <c r="BF452" s="119"/>
      <c r="BG452" s="119"/>
      <c r="BH452" s="119"/>
      <c r="BI452" s="119"/>
      <c r="BJ452" s="119"/>
      <c r="BK452" s="119"/>
      <c r="BL452" s="119"/>
      <c r="BM452" s="119"/>
      <c r="BN452" s="119"/>
      <c r="BO452" s="119"/>
      <c r="BP452" s="119"/>
      <c r="BQ452" s="119"/>
      <c r="BR452" s="119"/>
      <c r="BS452" s="119"/>
      <c r="BT452" s="119"/>
      <c r="BU452" s="119"/>
      <c r="BV452" s="119"/>
      <c r="BW452" s="119"/>
      <c r="BX452" s="119"/>
      <c r="BY452" s="119"/>
      <c r="BZ452" s="119"/>
      <c r="CA452" s="119"/>
      <c r="CB452" s="119"/>
      <c r="CC452" s="74" t="s">
        <v>16851</v>
      </c>
      <c r="CD452" s="148">
        <v>43868.0</v>
      </c>
      <c r="CE452" s="74">
        <v>1.0</v>
      </c>
      <c r="CF452" s="74" t="s">
        <v>20366</v>
      </c>
      <c r="CG452" s="120">
        <v>7937.0</v>
      </c>
      <c r="CH452" s="74" t="s">
        <v>21194</v>
      </c>
      <c r="CI452" s="74" t="s">
        <v>21195</v>
      </c>
      <c r="CJ452" s="120">
        <v>451.0</v>
      </c>
    </row>
    <row r="453">
      <c r="A453" s="74" t="s">
        <v>21199</v>
      </c>
      <c r="B453" s="74" t="s">
        <v>6876</v>
      </c>
      <c r="C453" s="74" t="s">
        <v>6877</v>
      </c>
      <c r="D453" s="74" t="s">
        <v>8493</v>
      </c>
      <c r="E453" s="74" t="s">
        <v>21202</v>
      </c>
      <c r="F453" s="74">
        <v>33.0</v>
      </c>
      <c r="G453" s="74">
        <v>1.0</v>
      </c>
      <c r="H453" s="74">
        <v>97.0</v>
      </c>
      <c r="I453" s="119"/>
      <c r="J453" s="119"/>
      <c r="K453" s="74" t="s">
        <v>436</v>
      </c>
      <c r="L453" s="74" t="s">
        <v>436</v>
      </c>
      <c r="M453" s="74" t="s">
        <v>15978</v>
      </c>
      <c r="N453" s="74" t="s">
        <v>21082</v>
      </c>
      <c r="O453" s="74" t="s">
        <v>21083</v>
      </c>
      <c r="P453" s="119"/>
      <c r="Q453" s="119"/>
      <c r="R453" s="119"/>
      <c r="S453" s="74">
        <v>7.0</v>
      </c>
      <c r="T453" s="74">
        <v>1000.0</v>
      </c>
      <c r="U453" s="74">
        <v>3.0</v>
      </c>
      <c r="V453" s="74">
        <v>55.0</v>
      </c>
      <c r="W453" s="119"/>
      <c r="X453" s="119"/>
      <c r="Y453" s="119"/>
      <c r="Z453" s="119"/>
      <c r="AA453" s="119"/>
      <c r="AB453" s="119"/>
      <c r="AC453" s="119"/>
      <c r="AD453" s="119"/>
      <c r="AE453" s="119"/>
      <c r="AF453" s="119"/>
      <c r="AG453" s="119"/>
      <c r="AH453" s="119"/>
      <c r="AI453" s="119"/>
      <c r="AJ453" s="119"/>
      <c r="AK453" s="119"/>
      <c r="AL453" s="119"/>
      <c r="AM453" s="119"/>
      <c r="AN453" s="119"/>
      <c r="AO453" s="119"/>
      <c r="AP453" s="119"/>
      <c r="AQ453" s="119"/>
      <c r="AR453" s="119"/>
      <c r="AS453" s="119"/>
      <c r="AT453" s="119"/>
      <c r="AU453" s="74">
        <v>0.0</v>
      </c>
      <c r="AV453" s="119"/>
      <c r="AW453" s="119"/>
      <c r="AX453" s="119"/>
      <c r="AY453" s="119"/>
      <c r="AZ453" s="119"/>
      <c r="BA453" s="119"/>
      <c r="BB453" s="119"/>
      <c r="BC453" s="119"/>
      <c r="BD453" s="119"/>
      <c r="BE453" s="119"/>
      <c r="BF453" s="119"/>
      <c r="BG453" s="119"/>
      <c r="BH453" s="119"/>
      <c r="BI453" s="119"/>
      <c r="BJ453" s="119"/>
      <c r="BK453" s="119"/>
      <c r="BL453" s="119"/>
      <c r="BM453" s="119"/>
      <c r="BN453" s="119"/>
      <c r="BO453" s="119"/>
      <c r="BP453" s="119"/>
      <c r="BQ453" s="119"/>
      <c r="BR453" s="119"/>
      <c r="BS453" s="119"/>
      <c r="BT453" s="119"/>
      <c r="BU453" s="119"/>
      <c r="BV453" s="119"/>
      <c r="BW453" s="119"/>
      <c r="BX453" s="119"/>
      <c r="BY453" s="119"/>
      <c r="BZ453" s="119"/>
      <c r="CA453" s="119"/>
      <c r="CB453" s="119"/>
      <c r="CC453" s="119"/>
      <c r="CD453" s="148">
        <v>43868.0</v>
      </c>
      <c r="CE453" s="74">
        <v>1.0</v>
      </c>
      <c r="CF453" s="74" t="s">
        <v>20366</v>
      </c>
      <c r="CG453" s="120">
        <v>7938.0</v>
      </c>
      <c r="CH453" s="74" t="s">
        <v>21221</v>
      </c>
      <c r="CI453" s="74" t="s">
        <v>21223</v>
      </c>
      <c r="CJ453" s="120">
        <v>452.0</v>
      </c>
    </row>
    <row r="454">
      <c r="A454" s="74" t="s">
        <v>21225</v>
      </c>
      <c r="B454" s="74" t="s">
        <v>6876</v>
      </c>
      <c r="C454" s="74" t="s">
        <v>6877</v>
      </c>
      <c r="D454" s="74" t="s">
        <v>8493</v>
      </c>
      <c r="E454" s="74" t="s">
        <v>21227</v>
      </c>
      <c r="F454" s="74">
        <v>33.0</v>
      </c>
      <c r="G454" s="74">
        <v>1.0</v>
      </c>
      <c r="H454" s="74">
        <v>97.0</v>
      </c>
      <c r="I454" s="119"/>
      <c r="J454" s="119"/>
      <c r="K454" s="74" t="s">
        <v>15565</v>
      </c>
      <c r="L454" s="74" t="s">
        <v>15565</v>
      </c>
      <c r="M454" s="74" t="s">
        <v>15978</v>
      </c>
      <c r="N454" s="74" t="s">
        <v>21082</v>
      </c>
      <c r="O454" s="74" t="s">
        <v>21083</v>
      </c>
      <c r="P454" s="119"/>
      <c r="Q454" s="119"/>
      <c r="R454" s="119"/>
      <c r="S454" s="119"/>
      <c r="T454" s="119"/>
      <c r="U454" s="119"/>
      <c r="V454" s="119"/>
      <c r="W454" s="119"/>
      <c r="X454" s="119"/>
      <c r="Y454" s="119"/>
      <c r="Z454" s="119"/>
      <c r="AA454" s="119"/>
      <c r="AB454" s="119"/>
      <c r="AC454" s="119"/>
      <c r="AD454" s="119"/>
      <c r="AE454" s="119"/>
      <c r="AF454" s="119"/>
      <c r="AG454" s="119"/>
      <c r="AH454" s="74">
        <v>7.0</v>
      </c>
      <c r="AI454" s="74">
        <v>1000.0</v>
      </c>
      <c r="AJ454" s="74">
        <v>3.0</v>
      </c>
      <c r="AK454" s="74">
        <v>120.0</v>
      </c>
      <c r="AL454" s="119"/>
      <c r="AM454" s="119"/>
      <c r="AN454" s="119"/>
      <c r="AO454" s="119"/>
      <c r="AP454" s="119"/>
      <c r="AQ454" s="119"/>
      <c r="AR454" s="119"/>
      <c r="AS454" s="119"/>
      <c r="AT454" s="119"/>
      <c r="AU454" s="74">
        <v>0.0</v>
      </c>
      <c r="AV454" s="119"/>
      <c r="AW454" s="119"/>
      <c r="AX454" s="119"/>
      <c r="AY454" s="119"/>
      <c r="AZ454" s="119"/>
      <c r="BA454" s="119"/>
      <c r="BB454" s="119"/>
      <c r="BC454" s="119"/>
      <c r="BD454" s="119"/>
      <c r="BE454" s="119"/>
      <c r="BF454" s="119"/>
      <c r="BG454" s="119"/>
      <c r="BH454" s="119"/>
      <c r="BI454" s="119"/>
      <c r="BJ454" s="119"/>
      <c r="BK454" s="119"/>
      <c r="BL454" s="119"/>
      <c r="BM454" s="119"/>
      <c r="BN454" s="119"/>
      <c r="BO454" s="119"/>
      <c r="BP454" s="119"/>
      <c r="BQ454" s="119"/>
      <c r="BR454" s="119"/>
      <c r="BS454" s="119"/>
      <c r="BT454" s="119"/>
      <c r="BU454" s="119"/>
      <c r="BV454" s="119"/>
      <c r="BW454" s="119"/>
      <c r="BX454" s="119"/>
      <c r="BY454" s="119"/>
      <c r="BZ454" s="119"/>
      <c r="CA454" s="119"/>
      <c r="CB454" s="119"/>
      <c r="CC454" s="119"/>
      <c r="CD454" s="148">
        <v>43868.0</v>
      </c>
      <c r="CE454" s="74">
        <v>1.0</v>
      </c>
      <c r="CF454" s="74" t="s">
        <v>20366</v>
      </c>
      <c r="CG454" s="120">
        <v>7939.0</v>
      </c>
      <c r="CH454" s="74" t="s">
        <v>21251</v>
      </c>
      <c r="CI454" s="74" t="s">
        <v>21252</v>
      </c>
      <c r="CJ454" s="120">
        <v>453.0</v>
      </c>
    </row>
    <row r="455">
      <c r="A455" s="74" t="s">
        <v>21254</v>
      </c>
      <c r="B455" s="74" t="s">
        <v>6876</v>
      </c>
      <c r="C455" s="74" t="s">
        <v>6877</v>
      </c>
      <c r="D455" s="74" t="s">
        <v>8493</v>
      </c>
      <c r="E455" s="74" t="s">
        <v>21257</v>
      </c>
      <c r="F455" s="74">
        <v>59.0</v>
      </c>
      <c r="G455" s="74">
        <v>1.0</v>
      </c>
      <c r="H455" s="74">
        <v>11.0</v>
      </c>
      <c r="I455" s="119"/>
      <c r="J455" s="119"/>
      <c r="K455" s="74" t="s">
        <v>2485</v>
      </c>
      <c r="L455" s="74" t="s">
        <v>2485</v>
      </c>
      <c r="M455" s="74" t="s">
        <v>21262</v>
      </c>
      <c r="N455" s="74" t="s">
        <v>21263</v>
      </c>
      <c r="O455" s="74" t="s">
        <v>21264</v>
      </c>
      <c r="P455" s="74">
        <v>4.0</v>
      </c>
      <c r="Q455" s="119"/>
      <c r="R455" s="119"/>
      <c r="S455" s="74">
        <v>7.0</v>
      </c>
      <c r="T455" s="74">
        <v>1000.0</v>
      </c>
      <c r="U455" s="74">
        <v>4.0</v>
      </c>
      <c r="V455" s="119"/>
      <c r="W455" s="74">
        <v>7.0</v>
      </c>
      <c r="X455" s="74">
        <v>100.0</v>
      </c>
      <c r="Y455" s="74">
        <v>1.0</v>
      </c>
      <c r="Z455" s="119"/>
      <c r="AA455" s="74">
        <v>1.0</v>
      </c>
      <c r="AB455" s="74">
        <v>4.0</v>
      </c>
      <c r="AC455" s="74">
        <v>1000.0</v>
      </c>
      <c r="AD455" s="74">
        <v>3.0</v>
      </c>
      <c r="AE455" s="74">
        <v>20.0</v>
      </c>
      <c r="AF455" s="119"/>
      <c r="AG455" s="119"/>
      <c r="AH455" s="74">
        <v>7.0</v>
      </c>
      <c r="AI455" s="74">
        <v>5000.0</v>
      </c>
      <c r="AJ455" s="74">
        <v>3.0</v>
      </c>
      <c r="AK455" s="74">
        <v>5.0</v>
      </c>
      <c r="AL455" s="74">
        <v>7.0</v>
      </c>
      <c r="AM455" s="74">
        <v>1000.0</v>
      </c>
      <c r="AN455" s="74">
        <v>3.0</v>
      </c>
      <c r="AO455" s="74">
        <v>1.0</v>
      </c>
      <c r="AP455" s="74">
        <v>1.0</v>
      </c>
      <c r="AQ455" s="74">
        <v>7.0</v>
      </c>
      <c r="AR455" s="74">
        <v>100.0</v>
      </c>
      <c r="AS455" s="74">
        <v>3.0</v>
      </c>
      <c r="AT455" s="74">
        <v>0.0</v>
      </c>
      <c r="AU455" s="74">
        <v>0.0</v>
      </c>
      <c r="AV455" s="119"/>
      <c r="AW455" s="119"/>
      <c r="AX455" s="119"/>
      <c r="AY455" s="119"/>
      <c r="AZ455" s="119"/>
      <c r="BA455" s="119"/>
      <c r="BB455" s="119"/>
      <c r="BC455" s="119"/>
      <c r="BD455" s="119"/>
      <c r="BE455" s="119"/>
      <c r="BF455" s="119"/>
      <c r="BG455" s="119"/>
      <c r="BH455" s="119"/>
      <c r="BI455" s="119"/>
      <c r="BJ455" s="119"/>
      <c r="BK455" s="119"/>
      <c r="BL455" s="119"/>
      <c r="BM455" s="119"/>
      <c r="BN455" s="119"/>
      <c r="BO455" s="119"/>
      <c r="BP455" s="119"/>
      <c r="BQ455" s="119"/>
      <c r="BR455" s="119"/>
      <c r="BS455" s="119"/>
      <c r="BT455" s="119"/>
      <c r="BU455" s="119"/>
      <c r="BV455" s="119"/>
      <c r="BW455" s="119"/>
      <c r="BX455" s="119"/>
      <c r="BY455" s="119"/>
      <c r="BZ455" s="119"/>
      <c r="CA455" s="119"/>
      <c r="CB455" s="119"/>
      <c r="CC455" s="74" t="s">
        <v>21282</v>
      </c>
      <c r="CD455" s="148">
        <v>43868.0</v>
      </c>
      <c r="CE455" s="74">
        <v>1.0</v>
      </c>
      <c r="CF455" s="74" t="s">
        <v>20366</v>
      </c>
      <c r="CG455" s="120">
        <v>7940.0</v>
      </c>
      <c r="CH455" s="74" t="s">
        <v>21283</v>
      </c>
      <c r="CI455" s="74" t="s">
        <v>21284</v>
      </c>
      <c r="CJ455" s="120">
        <v>454.0</v>
      </c>
    </row>
    <row r="456">
      <c r="A456" s="74" t="s">
        <v>21285</v>
      </c>
      <c r="B456" s="74" t="s">
        <v>6876</v>
      </c>
      <c r="C456" s="74" t="s">
        <v>6877</v>
      </c>
      <c r="D456" s="74" t="s">
        <v>8493</v>
      </c>
      <c r="E456" s="74" t="s">
        <v>21288</v>
      </c>
      <c r="F456" s="74">
        <v>59.0</v>
      </c>
      <c r="G456" s="74">
        <v>1.0</v>
      </c>
      <c r="H456" s="74">
        <v>11.0</v>
      </c>
      <c r="I456" s="119"/>
      <c r="J456" s="119"/>
      <c r="K456" s="74" t="s">
        <v>2522</v>
      </c>
      <c r="L456" s="74" t="s">
        <v>2522</v>
      </c>
      <c r="M456" s="74" t="s">
        <v>21262</v>
      </c>
      <c r="N456" s="74" t="s">
        <v>21263</v>
      </c>
      <c r="O456" s="74" t="s">
        <v>21264</v>
      </c>
      <c r="P456" s="74">
        <v>4.0</v>
      </c>
      <c r="Q456" s="119"/>
      <c r="R456" s="119"/>
      <c r="S456" s="74">
        <v>7.0</v>
      </c>
      <c r="T456" s="74">
        <v>1000.0</v>
      </c>
      <c r="U456" s="74">
        <v>4.0</v>
      </c>
      <c r="V456" s="119"/>
      <c r="W456" s="74">
        <v>7.0</v>
      </c>
      <c r="X456" s="74">
        <v>100.0</v>
      </c>
      <c r="Y456" s="74">
        <v>1.0</v>
      </c>
      <c r="Z456" s="119"/>
      <c r="AA456" s="74">
        <v>1.0</v>
      </c>
      <c r="AB456" s="74">
        <v>4.0</v>
      </c>
      <c r="AC456" s="74">
        <v>1000.0</v>
      </c>
      <c r="AD456" s="74">
        <v>3.0</v>
      </c>
      <c r="AE456" s="74">
        <v>2.0</v>
      </c>
      <c r="AF456" s="119"/>
      <c r="AG456" s="119"/>
      <c r="AH456" s="74">
        <v>7.0</v>
      </c>
      <c r="AI456" s="74">
        <v>1000.0</v>
      </c>
      <c r="AJ456" s="74">
        <v>3.0</v>
      </c>
      <c r="AK456" s="74">
        <v>133.0</v>
      </c>
      <c r="AL456" s="74">
        <v>7.0</v>
      </c>
      <c r="AM456" s="74">
        <v>100.0</v>
      </c>
      <c r="AN456" s="74">
        <v>3.0</v>
      </c>
      <c r="AO456" s="74">
        <v>9.0</v>
      </c>
      <c r="AP456" s="74">
        <v>0.0</v>
      </c>
      <c r="AQ456" s="119"/>
      <c r="AR456" s="119"/>
      <c r="AS456" s="119"/>
      <c r="AT456" s="119"/>
      <c r="AU456" s="74">
        <v>0.0</v>
      </c>
      <c r="AV456" s="119"/>
      <c r="AW456" s="119"/>
      <c r="AX456" s="119"/>
      <c r="AY456" s="119"/>
      <c r="AZ456" s="119"/>
      <c r="BA456" s="119"/>
      <c r="BB456" s="119"/>
      <c r="BC456" s="119"/>
      <c r="BD456" s="119"/>
      <c r="BE456" s="119"/>
      <c r="BF456" s="119"/>
      <c r="BG456" s="119"/>
      <c r="BH456" s="119"/>
      <c r="BI456" s="119"/>
      <c r="BJ456" s="119"/>
      <c r="BK456" s="119"/>
      <c r="BL456" s="119"/>
      <c r="BM456" s="119"/>
      <c r="BN456" s="119"/>
      <c r="BO456" s="119"/>
      <c r="BP456" s="119"/>
      <c r="BQ456" s="119"/>
      <c r="BR456" s="119"/>
      <c r="BS456" s="119"/>
      <c r="BT456" s="119"/>
      <c r="BU456" s="119"/>
      <c r="BV456" s="119"/>
      <c r="BW456" s="119"/>
      <c r="BX456" s="119"/>
      <c r="BY456" s="119"/>
      <c r="BZ456" s="119"/>
      <c r="CA456" s="119"/>
      <c r="CB456" s="119"/>
      <c r="CC456" s="74" t="s">
        <v>21308</v>
      </c>
      <c r="CD456" s="148">
        <v>43868.0</v>
      </c>
      <c r="CE456" s="74">
        <v>1.0</v>
      </c>
      <c r="CF456" s="74" t="s">
        <v>20366</v>
      </c>
      <c r="CG456" s="120">
        <v>7941.0</v>
      </c>
      <c r="CH456" s="74" t="s">
        <v>21311</v>
      </c>
      <c r="CI456" s="74" t="s">
        <v>21312</v>
      </c>
      <c r="CJ456" s="120">
        <v>455.0</v>
      </c>
    </row>
    <row r="457">
      <c r="A457" s="74" t="s">
        <v>21313</v>
      </c>
      <c r="B457" s="74" t="s">
        <v>6876</v>
      </c>
      <c r="C457" s="74" t="s">
        <v>6877</v>
      </c>
      <c r="D457" s="74" t="s">
        <v>8493</v>
      </c>
      <c r="E457" s="74" t="s">
        <v>21315</v>
      </c>
      <c r="F457" s="74">
        <v>59.0</v>
      </c>
      <c r="G457" s="74">
        <v>1.0</v>
      </c>
      <c r="H457" s="74">
        <v>11.0</v>
      </c>
      <c r="I457" s="119"/>
      <c r="J457" s="119"/>
      <c r="K457" s="74" t="s">
        <v>2557</v>
      </c>
      <c r="L457" s="74" t="s">
        <v>2557</v>
      </c>
      <c r="M457" s="74" t="s">
        <v>21262</v>
      </c>
      <c r="N457" s="74" t="s">
        <v>21263</v>
      </c>
      <c r="O457" s="74" t="s">
        <v>21264</v>
      </c>
      <c r="P457" s="74">
        <v>4.0</v>
      </c>
      <c r="Q457" s="119"/>
      <c r="R457" s="119"/>
      <c r="S457" s="74">
        <v>7.0</v>
      </c>
      <c r="T457" s="74">
        <v>1000.0</v>
      </c>
      <c r="U457" s="74">
        <v>1.0</v>
      </c>
      <c r="V457" s="119"/>
      <c r="W457" s="74">
        <v>7.0</v>
      </c>
      <c r="X457" s="74">
        <v>100.0</v>
      </c>
      <c r="Y457" s="74">
        <v>1.0</v>
      </c>
      <c r="Z457" s="119"/>
      <c r="AA457" s="74">
        <v>1.0</v>
      </c>
      <c r="AB457" s="74">
        <v>4.0</v>
      </c>
      <c r="AC457" s="74">
        <v>1000.0</v>
      </c>
      <c r="AD457" s="74">
        <v>3.0</v>
      </c>
      <c r="AE457" s="74">
        <v>118.0</v>
      </c>
      <c r="AF457" s="119"/>
      <c r="AG457" s="119"/>
      <c r="AH457" s="74">
        <v>7.0</v>
      </c>
      <c r="AI457" s="74">
        <v>5000.0</v>
      </c>
      <c r="AJ457" s="74">
        <v>3.0</v>
      </c>
      <c r="AK457" s="74">
        <v>0.0</v>
      </c>
      <c r="AL457" s="74">
        <v>7.0</v>
      </c>
      <c r="AM457" s="74">
        <v>1000.0</v>
      </c>
      <c r="AN457" s="74">
        <v>3.0</v>
      </c>
      <c r="AO457" s="74">
        <v>0.0</v>
      </c>
      <c r="AP457" s="74">
        <v>1.0</v>
      </c>
      <c r="AQ457" s="74">
        <v>7.0</v>
      </c>
      <c r="AR457" s="74">
        <v>100.0</v>
      </c>
      <c r="AS457" s="74">
        <v>3.0</v>
      </c>
      <c r="AT457" s="74">
        <v>0.0</v>
      </c>
      <c r="AU457" s="74">
        <v>0.0</v>
      </c>
      <c r="AV457" s="119"/>
      <c r="AW457" s="119"/>
      <c r="AX457" s="119"/>
      <c r="AY457" s="119"/>
      <c r="AZ457" s="119"/>
      <c r="BA457" s="119"/>
      <c r="BB457" s="119"/>
      <c r="BC457" s="119"/>
      <c r="BD457" s="119"/>
      <c r="BE457" s="119"/>
      <c r="BF457" s="119"/>
      <c r="BG457" s="119"/>
      <c r="BH457" s="119"/>
      <c r="BI457" s="119"/>
      <c r="BJ457" s="119"/>
      <c r="BK457" s="119"/>
      <c r="BL457" s="119"/>
      <c r="BM457" s="119"/>
      <c r="BN457" s="119"/>
      <c r="BO457" s="119"/>
      <c r="BP457" s="119"/>
      <c r="BQ457" s="119"/>
      <c r="BR457" s="119"/>
      <c r="BS457" s="119"/>
      <c r="BT457" s="119"/>
      <c r="BU457" s="119"/>
      <c r="BV457" s="119"/>
      <c r="BW457" s="119"/>
      <c r="BX457" s="119"/>
      <c r="BY457" s="119"/>
      <c r="BZ457" s="119"/>
      <c r="CA457" s="119"/>
      <c r="CB457" s="119"/>
      <c r="CC457" s="74" t="s">
        <v>21337</v>
      </c>
      <c r="CD457" s="148">
        <v>43868.0</v>
      </c>
      <c r="CE457" s="74">
        <v>1.0</v>
      </c>
      <c r="CF457" s="74" t="s">
        <v>20366</v>
      </c>
      <c r="CG457" s="120">
        <v>7942.0</v>
      </c>
      <c r="CH457" s="74" t="s">
        <v>21339</v>
      </c>
      <c r="CI457" s="74" t="s">
        <v>21340</v>
      </c>
      <c r="CJ457" s="120">
        <v>456.0</v>
      </c>
    </row>
    <row r="458">
      <c r="A458" s="74" t="s">
        <v>21342</v>
      </c>
      <c r="B458" s="74" t="s">
        <v>6876</v>
      </c>
      <c r="C458" s="74" t="s">
        <v>6877</v>
      </c>
      <c r="D458" s="74" t="s">
        <v>8493</v>
      </c>
      <c r="E458" s="74" t="s">
        <v>21347</v>
      </c>
      <c r="F458" s="74">
        <v>57.0</v>
      </c>
      <c r="G458" s="74">
        <v>1.0</v>
      </c>
      <c r="H458" s="74">
        <v>16.0</v>
      </c>
      <c r="I458" s="119"/>
      <c r="J458" s="119"/>
      <c r="K458" s="74" t="s">
        <v>2738</v>
      </c>
      <c r="L458" s="74" t="s">
        <v>2738</v>
      </c>
      <c r="M458" s="74" t="s">
        <v>21262</v>
      </c>
      <c r="N458" s="74" t="s">
        <v>21263</v>
      </c>
      <c r="O458" s="74" t="s">
        <v>21264</v>
      </c>
      <c r="P458" s="119"/>
      <c r="Q458" s="119"/>
      <c r="R458" s="119"/>
      <c r="S458" s="74">
        <v>7.0</v>
      </c>
      <c r="T458" s="74">
        <v>1000.0</v>
      </c>
      <c r="U458" s="74">
        <v>4.0</v>
      </c>
      <c r="V458" s="119"/>
      <c r="W458" s="74">
        <v>7.0</v>
      </c>
      <c r="X458" s="74">
        <v>100.0</v>
      </c>
      <c r="Y458" s="74">
        <v>1.0</v>
      </c>
      <c r="Z458" s="119"/>
      <c r="AA458" s="74">
        <v>1.0</v>
      </c>
      <c r="AB458" s="74">
        <v>4.0</v>
      </c>
      <c r="AC458" s="74">
        <v>1000.0</v>
      </c>
      <c r="AD458" s="74">
        <v>3.0</v>
      </c>
      <c r="AE458" s="74">
        <v>16.0</v>
      </c>
      <c r="AF458" s="119"/>
      <c r="AG458" s="119"/>
      <c r="AH458" s="74">
        <v>7.0</v>
      </c>
      <c r="AI458" s="74">
        <v>1000.0</v>
      </c>
      <c r="AJ458" s="74">
        <v>1.0</v>
      </c>
      <c r="AK458" s="119"/>
      <c r="AL458" s="74">
        <v>7.0</v>
      </c>
      <c r="AM458" s="74">
        <v>100.0</v>
      </c>
      <c r="AN458" s="74">
        <v>3.0</v>
      </c>
      <c r="AO458" s="74">
        <v>141.0</v>
      </c>
      <c r="AP458" s="74">
        <v>0.0</v>
      </c>
      <c r="AQ458" s="119"/>
      <c r="AR458" s="119"/>
      <c r="AS458" s="119"/>
      <c r="AT458" s="119"/>
      <c r="AU458" s="74">
        <v>0.0</v>
      </c>
      <c r="AV458" s="119"/>
      <c r="AW458" s="119"/>
      <c r="AX458" s="119"/>
      <c r="AY458" s="119"/>
      <c r="AZ458" s="119"/>
      <c r="BA458" s="119"/>
      <c r="BB458" s="119"/>
      <c r="BC458" s="119"/>
      <c r="BD458" s="119"/>
      <c r="BE458" s="119"/>
      <c r="BF458" s="119"/>
      <c r="BG458" s="119"/>
      <c r="BH458" s="119"/>
      <c r="BI458" s="119"/>
      <c r="BJ458" s="119"/>
      <c r="BK458" s="119"/>
      <c r="BL458" s="119"/>
      <c r="BM458" s="119"/>
      <c r="BN458" s="119"/>
      <c r="BO458" s="119"/>
      <c r="BP458" s="119"/>
      <c r="BQ458" s="119"/>
      <c r="BR458" s="119"/>
      <c r="BS458" s="119"/>
      <c r="BT458" s="119"/>
      <c r="BU458" s="119"/>
      <c r="BV458" s="119"/>
      <c r="BW458" s="119"/>
      <c r="BX458" s="119"/>
      <c r="BY458" s="119"/>
      <c r="BZ458" s="119"/>
      <c r="CA458" s="119"/>
      <c r="CB458" s="119"/>
      <c r="CC458" s="74" t="s">
        <v>21365</v>
      </c>
      <c r="CD458" s="148">
        <v>43868.0</v>
      </c>
      <c r="CE458" s="74">
        <v>1.0</v>
      </c>
      <c r="CF458" s="74" t="s">
        <v>20366</v>
      </c>
      <c r="CG458" s="120">
        <v>7943.0</v>
      </c>
      <c r="CH458" s="74" t="s">
        <v>21370</v>
      </c>
      <c r="CI458" s="74" t="s">
        <v>21372</v>
      </c>
      <c r="CJ458" s="120">
        <v>457.0</v>
      </c>
    </row>
    <row r="459">
      <c r="A459" s="74" t="s">
        <v>21373</v>
      </c>
      <c r="B459" s="74" t="s">
        <v>6876</v>
      </c>
      <c r="C459" s="74" t="s">
        <v>6877</v>
      </c>
      <c r="D459" s="74" t="s">
        <v>8493</v>
      </c>
      <c r="E459" s="74" t="s">
        <v>21376</v>
      </c>
      <c r="F459" s="74">
        <v>59.0</v>
      </c>
      <c r="G459" s="74">
        <v>1.0</v>
      </c>
      <c r="H459" s="74">
        <v>11.0</v>
      </c>
      <c r="I459" s="119"/>
      <c r="J459" s="119"/>
      <c r="K459" s="74" t="s">
        <v>2600</v>
      </c>
      <c r="L459" s="74" t="s">
        <v>2600</v>
      </c>
      <c r="M459" s="74" t="s">
        <v>21262</v>
      </c>
      <c r="N459" s="74" t="s">
        <v>21263</v>
      </c>
      <c r="O459" s="74" t="s">
        <v>21264</v>
      </c>
      <c r="P459" s="74">
        <v>4.0</v>
      </c>
      <c r="Q459" s="119"/>
      <c r="R459" s="119"/>
      <c r="S459" s="74">
        <v>7.0</v>
      </c>
      <c r="T459" s="74">
        <v>1000.0</v>
      </c>
      <c r="U459" s="74">
        <v>1.0</v>
      </c>
      <c r="V459" s="119"/>
      <c r="W459" s="74">
        <v>7.0</v>
      </c>
      <c r="X459" s="74">
        <v>100.0</v>
      </c>
      <c r="Y459" s="74">
        <v>1.0</v>
      </c>
      <c r="Z459" s="119"/>
      <c r="AA459" s="74">
        <v>1.0</v>
      </c>
      <c r="AB459" s="74">
        <v>4.0</v>
      </c>
      <c r="AC459" s="74">
        <v>1000.0</v>
      </c>
      <c r="AD459" s="74">
        <v>3.0</v>
      </c>
      <c r="AE459" s="74">
        <v>30.0</v>
      </c>
      <c r="AF459" s="119"/>
      <c r="AG459" s="119"/>
      <c r="AH459" s="74">
        <v>7.0</v>
      </c>
      <c r="AI459" s="74">
        <v>5000.0</v>
      </c>
      <c r="AJ459" s="74">
        <v>3.0</v>
      </c>
      <c r="AK459" s="74">
        <v>0.0</v>
      </c>
      <c r="AL459" s="74">
        <v>7.0</v>
      </c>
      <c r="AM459" s="74">
        <v>1000.0</v>
      </c>
      <c r="AN459" s="74">
        <v>3.0</v>
      </c>
      <c r="AO459" s="74">
        <v>0.0</v>
      </c>
      <c r="AP459" s="74">
        <v>1.0</v>
      </c>
      <c r="AQ459" s="74">
        <v>7.0</v>
      </c>
      <c r="AR459" s="74">
        <v>100.0</v>
      </c>
      <c r="AS459" s="74">
        <v>3.0</v>
      </c>
      <c r="AT459" s="74">
        <v>0.0</v>
      </c>
      <c r="AU459" s="74">
        <v>0.0</v>
      </c>
      <c r="AV459" s="119"/>
      <c r="AW459" s="119"/>
      <c r="AX459" s="119"/>
      <c r="AY459" s="119"/>
      <c r="AZ459" s="119"/>
      <c r="BA459" s="119"/>
      <c r="BB459" s="119"/>
      <c r="BC459" s="119"/>
      <c r="BD459" s="119"/>
      <c r="BE459" s="119"/>
      <c r="BF459" s="119"/>
      <c r="BG459" s="119"/>
      <c r="BH459" s="119"/>
      <c r="BI459" s="119"/>
      <c r="BJ459" s="119"/>
      <c r="BK459" s="119"/>
      <c r="BL459" s="119"/>
      <c r="BM459" s="119"/>
      <c r="BN459" s="119"/>
      <c r="BO459" s="119"/>
      <c r="BP459" s="119"/>
      <c r="BQ459" s="119"/>
      <c r="BR459" s="119"/>
      <c r="BS459" s="119"/>
      <c r="BT459" s="119"/>
      <c r="BU459" s="119"/>
      <c r="BV459" s="119"/>
      <c r="BW459" s="119"/>
      <c r="BX459" s="119"/>
      <c r="BY459" s="119"/>
      <c r="BZ459" s="119"/>
      <c r="CA459" s="119"/>
      <c r="CB459" s="119"/>
      <c r="CC459" s="74" t="s">
        <v>21399</v>
      </c>
      <c r="CD459" s="148">
        <v>43868.0</v>
      </c>
      <c r="CE459" s="74">
        <v>1.0</v>
      </c>
      <c r="CF459" s="74" t="s">
        <v>20366</v>
      </c>
      <c r="CG459" s="120">
        <v>7944.0</v>
      </c>
      <c r="CH459" s="74" t="s">
        <v>21401</v>
      </c>
      <c r="CI459" s="74" t="s">
        <v>21403</v>
      </c>
      <c r="CJ459" s="120">
        <v>458.0</v>
      </c>
    </row>
    <row r="460">
      <c r="A460" s="74" t="s">
        <v>21404</v>
      </c>
      <c r="B460" s="74" t="s">
        <v>6876</v>
      </c>
      <c r="C460" s="74" t="s">
        <v>6877</v>
      </c>
      <c r="D460" s="74" t="s">
        <v>8493</v>
      </c>
      <c r="E460" s="74" t="s">
        <v>21406</v>
      </c>
      <c r="F460" s="74">
        <v>33.0</v>
      </c>
      <c r="G460" s="74">
        <v>1.0</v>
      </c>
      <c r="H460" s="74">
        <v>97.0</v>
      </c>
      <c r="I460" s="119"/>
      <c r="J460" s="119"/>
      <c r="K460" s="74" t="s">
        <v>438</v>
      </c>
      <c r="L460" s="74" t="s">
        <v>438</v>
      </c>
      <c r="M460" s="74" t="s">
        <v>21262</v>
      </c>
      <c r="N460" s="74" t="s">
        <v>21263</v>
      </c>
      <c r="O460" s="74" t="s">
        <v>21264</v>
      </c>
      <c r="P460" s="119"/>
      <c r="Q460" s="119"/>
      <c r="R460" s="119"/>
      <c r="S460" s="74">
        <v>7.0</v>
      </c>
      <c r="T460" s="74">
        <v>1000.0</v>
      </c>
      <c r="U460" s="74">
        <v>3.0</v>
      </c>
      <c r="V460" s="74">
        <v>71.0</v>
      </c>
      <c r="W460" s="119"/>
      <c r="X460" s="119"/>
      <c r="Y460" s="119"/>
      <c r="Z460" s="119"/>
      <c r="AA460" s="119"/>
      <c r="AB460" s="119"/>
      <c r="AC460" s="119"/>
      <c r="AD460" s="119"/>
      <c r="AE460" s="119"/>
      <c r="AF460" s="119"/>
      <c r="AG460" s="119"/>
      <c r="AH460" s="119"/>
      <c r="AI460" s="119"/>
      <c r="AJ460" s="119"/>
      <c r="AK460" s="119"/>
      <c r="AL460" s="119"/>
      <c r="AM460" s="119"/>
      <c r="AN460" s="119"/>
      <c r="AO460" s="119"/>
      <c r="AP460" s="119"/>
      <c r="AQ460" s="119"/>
      <c r="AR460" s="119"/>
      <c r="AS460" s="119"/>
      <c r="AT460" s="119"/>
      <c r="AU460" s="74">
        <v>0.0</v>
      </c>
      <c r="AV460" s="119"/>
      <c r="AW460" s="119"/>
      <c r="AX460" s="119"/>
      <c r="AY460" s="119"/>
      <c r="AZ460" s="119"/>
      <c r="BA460" s="119"/>
      <c r="BB460" s="119"/>
      <c r="BC460" s="119"/>
      <c r="BD460" s="119"/>
      <c r="BE460" s="119"/>
      <c r="BF460" s="119"/>
      <c r="BG460" s="119"/>
      <c r="BH460" s="119"/>
      <c r="BI460" s="119"/>
      <c r="BJ460" s="119"/>
      <c r="BK460" s="119"/>
      <c r="BL460" s="119"/>
      <c r="BM460" s="119"/>
      <c r="BN460" s="119"/>
      <c r="BO460" s="119"/>
      <c r="BP460" s="119"/>
      <c r="BQ460" s="119"/>
      <c r="BR460" s="119"/>
      <c r="BS460" s="119"/>
      <c r="BT460" s="119"/>
      <c r="BU460" s="119"/>
      <c r="BV460" s="119"/>
      <c r="BW460" s="119"/>
      <c r="BX460" s="119"/>
      <c r="BY460" s="119"/>
      <c r="BZ460" s="119"/>
      <c r="CA460" s="119"/>
      <c r="CB460" s="119"/>
      <c r="CC460" s="119"/>
      <c r="CD460" s="148">
        <v>43868.0</v>
      </c>
      <c r="CE460" s="74">
        <v>1.0</v>
      </c>
      <c r="CF460" s="74" t="s">
        <v>20366</v>
      </c>
      <c r="CG460" s="120">
        <v>7945.0</v>
      </c>
      <c r="CH460" s="74" t="s">
        <v>21426</v>
      </c>
      <c r="CI460" s="74" t="s">
        <v>21428</v>
      </c>
      <c r="CJ460" s="120">
        <v>459.0</v>
      </c>
    </row>
    <row r="461">
      <c r="A461" s="74" t="s">
        <v>21429</v>
      </c>
      <c r="B461" s="74" t="s">
        <v>6876</v>
      </c>
      <c r="C461" s="74" t="s">
        <v>6877</v>
      </c>
      <c r="D461" s="74" t="s">
        <v>8493</v>
      </c>
      <c r="E461" s="74" t="s">
        <v>21432</v>
      </c>
      <c r="F461" s="74">
        <v>33.0</v>
      </c>
      <c r="G461" s="74">
        <v>1.0</v>
      </c>
      <c r="H461" s="74">
        <v>97.0</v>
      </c>
      <c r="I461" s="119"/>
      <c r="J461" s="119"/>
      <c r="K461" s="74" t="s">
        <v>15565</v>
      </c>
      <c r="L461" s="74" t="s">
        <v>15565</v>
      </c>
      <c r="M461" s="74" t="s">
        <v>21262</v>
      </c>
      <c r="N461" s="74" t="s">
        <v>21263</v>
      </c>
      <c r="O461" s="74" t="s">
        <v>21264</v>
      </c>
      <c r="P461" s="119"/>
      <c r="Q461" s="119"/>
      <c r="R461" s="119"/>
      <c r="S461" s="119"/>
      <c r="T461" s="119"/>
      <c r="U461" s="119"/>
      <c r="V461" s="119"/>
      <c r="W461" s="119"/>
      <c r="X461" s="119"/>
      <c r="Y461" s="119"/>
      <c r="Z461" s="119"/>
      <c r="AA461" s="119"/>
      <c r="AB461" s="119"/>
      <c r="AC461" s="119"/>
      <c r="AD461" s="119"/>
      <c r="AE461" s="119"/>
      <c r="AF461" s="119"/>
      <c r="AG461" s="119"/>
      <c r="AH461" s="74">
        <v>7.0</v>
      </c>
      <c r="AI461" s="74">
        <v>1000.0</v>
      </c>
      <c r="AJ461" s="74">
        <v>3.0</v>
      </c>
      <c r="AK461" s="74">
        <v>152.0</v>
      </c>
      <c r="AL461" s="119"/>
      <c r="AM461" s="119"/>
      <c r="AN461" s="119"/>
      <c r="AO461" s="119"/>
      <c r="AP461" s="119"/>
      <c r="AQ461" s="119"/>
      <c r="AR461" s="119"/>
      <c r="AS461" s="119"/>
      <c r="AT461" s="119"/>
      <c r="AU461" s="74">
        <v>0.0</v>
      </c>
      <c r="AV461" s="119"/>
      <c r="AW461" s="119"/>
      <c r="AX461" s="119"/>
      <c r="AY461" s="119"/>
      <c r="AZ461" s="119"/>
      <c r="BA461" s="119"/>
      <c r="BB461" s="119"/>
      <c r="BC461" s="119"/>
      <c r="BD461" s="119"/>
      <c r="BE461" s="119"/>
      <c r="BF461" s="119"/>
      <c r="BG461" s="119"/>
      <c r="BH461" s="119"/>
      <c r="BI461" s="119"/>
      <c r="BJ461" s="119"/>
      <c r="BK461" s="119"/>
      <c r="BL461" s="119"/>
      <c r="BM461" s="119"/>
      <c r="BN461" s="119"/>
      <c r="BO461" s="119"/>
      <c r="BP461" s="119"/>
      <c r="BQ461" s="119"/>
      <c r="BR461" s="119"/>
      <c r="BS461" s="119"/>
      <c r="BT461" s="119"/>
      <c r="BU461" s="119"/>
      <c r="BV461" s="119"/>
      <c r="BW461" s="119"/>
      <c r="BX461" s="119"/>
      <c r="BY461" s="119"/>
      <c r="BZ461" s="119"/>
      <c r="CA461" s="119"/>
      <c r="CB461" s="119"/>
      <c r="CC461" s="119"/>
      <c r="CD461" s="148">
        <v>43868.0</v>
      </c>
      <c r="CE461" s="74">
        <v>1.0</v>
      </c>
      <c r="CF461" s="74" t="s">
        <v>20366</v>
      </c>
      <c r="CG461" s="120">
        <v>7946.0</v>
      </c>
      <c r="CH461" s="74" t="s">
        <v>21453</v>
      </c>
      <c r="CI461" s="74" t="s">
        <v>21454</v>
      </c>
      <c r="CJ461" s="120">
        <v>460.0</v>
      </c>
    </row>
    <row r="462">
      <c r="A462" s="74" t="s">
        <v>21457</v>
      </c>
      <c r="B462" s="74" t="s">
        <v>6876</v>
      </c>
      <c r="C462" s="74" t="s">
        <v>6877</v>
      </c>
      <c r="D462" s="74" t="s">
        <v>8493</v>
      </c>
      <c r="E462" s="74" t="s">
        <v>21462</v>
      </c>
      <c r="F462" s="74">
        <v>59.0</v>
      </c>
      <c r="G462" s="74">
        <v>1.0</v>
      </c>
      <c r="H462" s="74">
        <v>11.0</v>
      </c>
      <c r="I462" s="119"/>
      <c r="J462" s="119"/>
      <c r="K462" s="74" t="s">
        <v>3037</v>
      </c>
      <c r="L462" s="74" t="s">
        <v>3037</v>
      </c>
      <c r="M462" s="74" t="s">
        <v>21464</v>
      </c>
      <c r="N462" s="74" t="s">
        <v>21465</v>
      </c>
      <c r="O462" s="74" t="s">
        <v>21466</v>
      </c>
      <c r="P462" s="74">
        <v>4.0</v>
      </c>
      <c r="Q462" s="119"/>
      <c r="R462" s="119"/>
      <c r="S462" s="74">
        <v>7.0</v>
      </c>
      <c r="T462" s="74">
        <v>1000.0</v>
      </c>
      <c r="U462" s="74">
        <v>1.0</v>
      </c>
      <c r="V462" s="119"/>
      <c r="W462" s="74">
        <v>7.0</v>
      </c>
      <c r="X462" s="74">
        <v>100.0</v>
      </c>
      <c r="Y462" s="74">
        <v>1.0</v>
      </c>
      <c r="Z462" s="119"/>
      <c r="AA462" s="74">
        <v>1.0</v>
      </c>
      <c r="AB462" s="74">
        <v>4.0</v>
      </c>
      <c r="AC462" s="74">
        <v>1000.0</v>
      </c>
      <c r="AD462" s="74">
        <v>3.0</v>
      </c>
      <c r="AE462" s="74">
        <v>8.0</v>
      </c>
      <c r="AF462" s="119"/>
      <c r="AG462" s="119"/>
      <c r="AH462" s="74">
        <v>7.0</v>
      </c>
      <c r="AI462" s="74">
        <v>5000.0</v>
      </c>
      <c r="AJ462" s="74">
        <v>3.0</v>
      </c>
      <c r="AK462" s="74">
        <v>0.0</v>
      </c>
      <c r="AL462" s="74">
        <v>7.0</v>
      </c>
      <c r="AM462" s="74">
        <v>1000.0</v>
      </c>
      <c r="AN462" s="74">
        <v>3.0</v>
      </c>
      <c r="AO462" s="74">
        <v>0.0</v>
      </c>
      <c r="AP462" s="74">
        <v>1.0</v>
      </c>
      <c r="AQ462" s="74">
        <v>7.0</v>
      </c>
      <c r="AR462" s="74">
        <v>100.0</v>
      </c>
      <c r="AS462" s="74">
        <v>3.0</v>
      </c>
      <c r="AT462" s="74">
        <v>0.0</v>
      </c>
      <c r="AU462" s="74">
        <v>0.0</v>
      </c>
      <c r="AV462" s="119"/>
      <c r="AW462" s="119"/>
      <c r="AX462" s="119"/>
      <c r="AY462" s="119"/>
      <c r="AZ462" s="119"/>
      <c r="BA462" s="119"/>
      <c r="BB462" s="119"/>
      <c r="BC462" s="119"/>
      <c r="BD462" s="119"/>
      <c r="BE462" s="119"/>
      <c r="BF462" s="119"/>
      <c r="BG462" s="119"/>
      <c r="BH462" s="119"/>
      <c r="BI462" s="119"/>
      <c r="BJ462" s="119"/>
      <c r="BK462" s="119"/>
      <c r="BL462" s="119"/>
      <c r="BM462" s="119"/>
      <c r="BN462" s="119"/>
      <c r="BO462" s="119"/>
      <c r="BP462" s="119"/>
      <c r="BQ462" s="119"/>
      <c r="BR462" s="119"/>
      <c r="BS462" s="119"/>
      <c r="BT462" s="119"/>
      <c r="BU462" s="119"/>
      <c r="BV462" s="119"/>
      <c r="BW462" s="119"/>
      <c r="BX462" s="119"/>
      <c r="BY462" s="119"/>
      <c r="BZ462" s="119"/>
      <c r="CA462" s="119"/>
      <c r="CB462" s="119"/>
      <c r="CC462" s="74" t="s">
        <v>16851</v>
      </c>
      <c r="CD462" s="148">
        <v>43868.0</v>
      </c>
      <c r="CE462" s="74">
        <v>1.0</v>
      </c>
      <c r="CF462" s="74" t="s">
        <v>20366</v>
      </c>
      <c r="CG462" s="120">
        <v>7947.0</v>
      </c>
      <c r="CH462" s="74" t="s">
        <v>21486</v>
      </c>
      <c r="CI462" s="74" t="s">
        <v>21488</v>
      </c>
      <c r="CJ462" s="120">
        <v>461.0</v>
      </c>
    </row>
    <row r="463">
      <c r="A463" s="74" t="s">
        <v>21491</v>
      </c>
      <c r="B463" s="74" t="s">
        <v>6876</v>
      </c>
      <c r="C463" s="74" t="s">
        <v>6877</v>
      </c>
      <c r="D463" s="74" t="s">
        <v>8493</v>
      </c>
      <c r="E463" s="74" t="s">
        <v>21493</v>
      </c>
      <c r="F463" s="74">
        <v>33.0</v>
      </c>
      <c r="G463" s="74">
        <v>1.0</v>
      </c>
      <c r="H463" s="74">
        <v>97.0</v>
      </c>
      <c r="I463" s="119"/>
      <c r="J463" s="119"/>
      <c r="K463" s="74" t="s">
        <v>15565</v>
      </c>
      <c r="L463" s="74" t="s">
        <v>15565</v>
      </c>
      <c r="M463" s="74" t="s">
        <v>21464</v>
      </c>
      <c r="N463" s="74" t="s">
        <v>16373</v>
      </c>
      <c r="O463" s="74" t="s">
        <v>21466</v>
      </c>
      <c r="P463" s="119"/>
      <c r="Q463" s="119"/>
      <c r="R463" s="119"/>
      <c r="S463" s="119"/>
      <c r="T463" s="119"/>
      <c r="U463" s="119"/>
      <c r="V463" s="119"/>
      <c r="W463" s="119"/>
      <c r="X463" s="119"/>
      <c r="Y463" s="119"/>
      <c r="Z463" s="119"/>
      <c r="AA463" s="119"/>
      <c r="AB463" s="119"/>
      <c r="AC463" s="119"/>
      <c r="AD463" s="119"/>
      <c r="AE463" s="119"/>
      <c r="AF463" s="119"/>
      <c r="AG463" s="119"/>
      <c r="AH463" s="74">
        <v>7.0</v>
      </c>
      <c r="AI463" s="74">
        <v>1000.0</v>
      </c>
      <c r="AJ463" s="74">
        <v>3.0</v>
      </c>
      <c r="AK463" s="74">
        <v>148.0</v>
      </c>
      <c r="AL463" s="119"/>
      <c r="AM463" s="119"/>
      <c r="AN463" s="119"/>
      <c r="AO463" s="119"/>
      <c r="AP463" s="119"/>
      <c r="AQ463" s="119"/>
      <c r="AR463" s="119"/>
      <c r="AS463" s="119"/>
      <c r="AT463" s="119"/>
      <c r="AU463" s="74">
        <v>0.0</v>
      </c>
      <c r="AV463" s="119"/>
      <c r="AW463" s="119"/>
      <c r="AX463" s="119"/>
      <c r="AY463" s="119"/>
      <c r="AZ463" s="119"/>
      <c r="BA463" s="119"/>
      <c r="BB463" s="119"/>
      <c r="BC463" s="119"/>
      <c r="BD463" s="119"/>
      <c r="BE463" s="119"/>
      <c r="BF463" s="119"/>
      <c r="BG463" s="119"/>
      <c r="BH463" s="119"/>
      <c r="BI463" s="119"/>
      <c r="BJ463" s="119"/>
      <c r="BK463" s="119"/>
      <c r="BL463" s="119"/>
      <c r="BM463" s="119"/>
      <c r="BN463" s="119"/>
      <c r="BO463" s="119"/>
      <c r="BP463" s="119"/>
      <c r="BQ463" s="119"/>
      <c r="BR463" s="119"/>
      <c r="BS463" s="119"/>
      <c r="BT463" s="119"/>
      <c r="BU463" s="119"/>
      <c r="BV463" s="119"/>
      <c r="BW463" s="119"/>
      <c r="BX463" s="119"/>
      <c r="BY463" s="119"/>
      <c r="BZ463" s="119"/>
      <c r="CA463" s="119"/>
      <c r="CB463" s="119"/>
      <c r="CC463" s="119"/>
      <c r="CD463" s="148">
        <v>43868.0</v>
      </c>
      <c r="CE463" s="74">
        <v>1.0</v>
      </c>
      <c r="CF463" s="74" t="s">
        <v>20366</v>
      </c>
      <c r="CG463" s="120">
        <v>7948.0</v>
      </c>
      <c r="CH463" s="74" t="s">
        <v>21517</v>
      </c>
      <c r="CI463" s="74" t="s">
        <v>21519</v>
      </c>
      <c r="CJ463" s="120">
        <v>462.0</v>
      </c>
    </row>
    <row r="464">
      <c r="A464" s="74" t="s">
        <v>21520</v>
      </c>
      <c r="B464" s="74" t="s">
        <v>6876</v>
      </c>
      <c r="C464" s="74" t="s">
        <v>6877</v>
      </c>
      <c r="D464" s="74" t="s">
        <v>8493</v>
      </c>
      <c r="E464" s="74" t="s">
        <v>21524</v>
      </c>
      <c r="F464" s="74">
        <v>33.0</v>
      </c>
      <c r="G464" s="74">
        <v>1.0</v>
      </c>
      <c r="H464" s="74">
        <v>97.0</v>
      </c>
      <c r="I464" s="119"/>
      <c r="J464" s="119"/>
      <c r="K464" s="74" t="s">
        <v>436</v>
      </c>
      <c r="L464" s="74" t="s">
        <v>436</v>
      </c>
      <c r="M464" s="74" t="s">
        <v>21464</v>
      </c>
      <c r="N464" s="74" t="s">
        <v>16373</v>
      </c>
      <c r="O464" s="74" t="s">
        <v>21466</v>
      </c>
      <c r="P464" s="119"/>
      <c r="Q464" s="119"/>
      <c r="R464" s="119"/>
      <c r="S464" s="74">
        <v>7.0</v>
      </c>
      <c r="T464" s="74">
        <v>1000.0</v>
      </c>
      <c r="U464" s="74">
        <v>3.0</v>
      </c>
      <c r="V464" s="74">
        <v>167.0</v>
      </c>
      <c r="W464" s="119"/>
      <c r="X464" s="119"/>
      <c r="Y464" s="119"/>
      <c r="Z464" s="119"/>
      <c r="AA464" s="119"/>
      <c r="AB464" s="119"/>
      <c r="AC464" s="119"/>
      <c r="AD464" s="119"/>
      <c r="AE464" s="119"/>
      <c r="AF464" s="119"/>
      <c r="AG464" s="119"/>
      <c r="AH464" s="119"/>
      <c r="AI464" s="119"/>
      <c r="AJ464" s="119"/>
      <c r="AK464" s="119"/>
      <c r="AL464" s="119"/>
      <c r="AM464" s="119"/>
      <c r="AN464" s="119"/>
      <c r="AO464" s="119"/>
      <c r="AP464" s="119"/>
      <c r="AQ464" s="119"/>
      <c r="AR464" s="119"/>
      <c r="AS464" s="119"/>
      <c r="AT464" s="119"/>
      <c r="AU464" s="74">
        <v>0.0</v>
      </c>
      <c r="AV464" s="119"/>
      <c r="AW464" s="119"/>
      <c r="AX464" s="119"/>
      <c r="AY464" s="119"/>
      <c r="AZ464" s="119"/>
      <c r="BA464" s="119"/>
      <c r="BB464" s="119"/>
      <c r="BC464" s="119"/>
      <c r="BD464" s="119"/>
      <c r="BE464" s="119"/>
      <c r="BF464" s="119"/>
      <c r="BG464" s="119"/>
      <c r="BH464" s="119"/>
      <c r="BI464" s="119"/>
      <c r="BJ464" s="119"/>
      <c r="BK464" s="119"/>
      <c r="BL464" s="119"/>
      <c r="BM464" s="119"/>
      <c r="BN464" s="119"/>
      <c r="BO464" s="119"/>
      <c r="BP464" s="119"/>
      <c r="BQ464" s="119"/>
      <c r="BR464" s="119"/>
      <c r="BS464" s="119"/>
      <c r="BT464" s="119"/>
      <c r="BU464" s="119"/>
      <c r="BV464" s="119"/>
      <c r="BW464" s="119"/>
      <c r="BX464" s="119"/>
      <c r="BY464" s="119"/>
      <c r="BZ464" s="119"/>
      <c r="CA464" s="119"/>
      <c r="CB464" s="119"/>
      <c r="CC464" s="119"/>
      <c r="CD464" s="148">
        <v>43868.0</v>
      </c>
      <c r="CE464" s="74">
        <v>1.0</v>
      </c>
      <c r="CF464" s="74" t="s">
        <v>20366</v>
      </c>
      <c r="CG464" s="120">
        <v>7949.0</v>
      </c>
      <c r="CH464" s="74" t="s">
        <v>21543</v>
      </c>
      <c r="CI464" s="74" t="s">
        <v>21546</v>
      </c>
      <c r="CJ464" s="120">
        <v>463.0</v>
      </c>
    </row>
    <row r="465">
      <c r="A465" s="74" t="s">
        <v>21547</v>
      </c>
      <c r="B465" s="74" t="s">
        <v>6876</v>
      </c>
      <c r="C465" s="74" t="s">
        <v>6877</v>
      </c>
      <c r="D465" s="74" t="s">
        <v>8493</v>
      </c>
      <c r="E465" s="74" t="s">
        <v>21549</v>
      </c>
      <c r="F465" s="74">
        <v>65.0</v>
      </c>
      <c r="G465" s="74">
        <v>1.0</v>
      </c>
      <c r="H465" s="74">
        <v>16.0</v>
      </c>
      <c r="I465" s="119"/>
      <c r="J465" s="119"/>
      <c r="K465" s="74" t="s">
        <v>2895</v>
      </c>
      <c r="L465" s="74" t="s">
        <v>2895</v>
      </c>
      <c r="M465" s="74" t="s">
        <v>21551</v>
      </c>
      <c r="N465" s="74" t="s">
        <v>16556</v>
      </c>
      <c r="O465" s="74" t="s">
        <v>21554</v>
      </c>
      <c r="P465" s="119"/>
      <c r="Q465" s="119"/>
      <c r="R465" s="119"/>
      <c r="S465" s="74">
        <v>7.0</v>
      </c>
      <c r="T465" s="74">
        <v>1000.0</v>
      </c>
      <c r="U465" s="74">
        <v>3.0</v>
      </c>
      <c r="V465" s="74">
        <v>45.0</v>
      </c>
      <c r="W465" s="74">
        <v>7.0</v>
      </c>
      <c r="X465" s="74">
        <v>100.0</v>
      </c>
      <c r="Y465" s="74">
        <v>1.0</v>
      </c>
      <c r="Z465" s="119"/>
      <c r="AA465" s="74">
        <v>1.0</v>
      </c>
      <c r="AB465" s="74">
        <v>4.0</v>
      </c>
      <c r="AC465" s="74">
        <v>1000.0</v>
      </c>
      <c r="AD465" s="74">
        <v>3.0</v>
      </c>
      <c r="AE465" s="74">
        <v>15.0</v>
      </c>
      <c r="AF465" s="119"/>
      <c r="AG465" s="119"/>
      <c r="AH465" s="74">
        <v>7.0</v>
      </c>
      <c r="AI465" s="74">
        <v>1000.0</v>
      </c>
      <c r="AJ465" s="74">
        <v>3.0</v>
      </c>
      <c r="AK465" s="74">
        <v>172.0</v>
      </c>
      <c r="AL465" s="74">
        <v>7.0</v>
      </c>
      <c r="AM465" s="74">
        <v>100.0</v>
      </c>
      <c r="AN465" s="74">
        <v>3.0</v>
      </c>
      <c r="AO465" s="74">
        <v>8.0</v>
      </c>
      <c r="AP465" s="74">
        <v>0.0</v>
      </c>
      <c r="AQ465" s="119"/>
      <c r="AR465" s="119"/>
      <c r="AS465" s="119"/>
      <c r="AT465" s="119"/>
      <c r="AU465" s="74">
        <v>0.0</v>
      </c>
      <c r="AV465" s="119"/>
      <c r="AW465" s="119"/>
      <c r="AX465" s="119"/>
      <c r="AY465" s="119"/>
      <c r="AZ465" s="119"/>
      <c r="BA465" s="119"/>
      <c r="BB465" s="119"/>
      <c r="BC465" s="119"/>
      <c r="BD465" s="119"/>
      <c r="BE465" s="119"/>
      <c r="BF465" s="119"/>
      <c r="BG465" s="119"/>
      <c r="BH465" s="119"/>
      <c r="BI465" s="119"/>
      <c r="BJ465" s="119"/>
      <c r="BK465" s="119"/>
      <c r="BL465" s="119"/>
      <c r="BM465" s="119"/>
      <c r="BN465" s="119"/>
      <c r="BO465" s="119"/>
      <c r="BP465" s="119"/>
      <c r="BQ465" s="119"/>
      <c r="BR465" s="119"/>
      <c r="BS465" s="119"/>
      <c r="BT465" s="119"/>
      <c r="BU465" s="119"/>
      <c r="BV465" s="119"/>
      <c r="BW465" s="119"/>
      <c r="BX465" s="119"/>
      <c r="BY465" s="119"/>
      <c r="BZ465" s="119"/>
      <c r="CA465" s="119"/>
      <c r="CB465" s="119"/>
      <c r="CC465" s="74" t="s">
        <v>21574</v>
      </c>
      <c r="CD465" s="148">
        <v>43868.0</v>
      </c>
      <c r="CE465" s="74">
        <v>1.0</v>
      </c>
      <c r="CF465" s="74" t="s">
        <v>20366</v>
      </c>
      <c r="CG465" s="120">
        <v>7977.0</v>
      </c>
      <c r="CH465" s="74" t="s">
        <v>21578</v>
      </c>
      <c r="CI465" s="74" t="s">
        <v>21579</v>
      </c>
      <c r="CJ465" s="120">
        <v>464.0</v>
      </c>
    </row>
    <row r="466">
      <c r="A466" s="74" t="s">
        <v>21581</v>
      </c>
      <c r="B466" s="74" t="s">
        <v>6876</v>
      </c>
      <c r="C466" s="74" t="s">
        <v>6877</v>
      </c>
      <c r="D466" s="74" t="s">
        <v>8493</v>
      </c>
      <c r="E466" s="74" t="s">
        <v>21582</v>
      </c>
      <c r="F466" s="74">
        <v>59.0</v>
      </c>
      <c r="G466" s="74">
        <v>1.0</v>
      </c>
      <c r="H466" s="74">
        <v>11.0</v>
      </c>
      <c r="I466" s="119"/>
      <c r="J466" s="119"/>
      <c r="K466" s="74" t="s">
        <v>3226</v>
      </c>
      <c r="L466" s="74" t="s">
        <v>3226</v>
      </c>
      <c r="M466" s="74" t="s">
        <v>21551</v>
      </c>
      <c r="N466" s="74" t="s">
        <v>16556</v>
      </c>
      <c r="O466" s="74" t="s">
        <v>21554</v>
      </c>
      <c r="P466" s="74">
        <v>4.0</v>
      </c>
      <c r="Q466" s="119"/>
      <c r="R466" s="119"/>
      <c r="S466" s="74">
        <v>7.0</v>
      </c>
      <c r="T466" s="74">
        <v>1000.0</v>
      </c>
      <c r="U466" s="74">
        <v>3.0</v>
      </c>
      <c r="V466" s="74">
        <v>37.0</v>
      </c>
      <c r="W466" s="74">
        <v>7.0</v>
      </c>
      <c r="X466" s="74">
        <v>100.0</v>
      </c>
      <c r="Y466" s="74">
        <v>3.0</v>
      </c>
      <c r="Z466" s="74">
        <v>2.0</v>
      </c>
      <c r="AA466" s="74">
        <v>1.0</v>
      </c>
      <c r="AB466" s="74">
        <v>4.0</v>
      </c>
      <c r="AC466" s="74">
        <v>1000.0</v>
      </c>
      <c r="AD466" s="74">
        <v>3.0</v>
      </c>
      <c r="AE466" s="74">
        <v>3.0</v>
      </c>
      <c r="AF466" s="119"/>
      <c r="AG466" s="119"/>
      <c r="AH466" s="74">
        <v>7.0</v>
      </c>
      <c r="AI466" s="74">
        <v>5000.0</v>
      </c>
      <c r="AJ466" s="74">
        <v>3.0</v>
      </c>
      <c r="AK466" s="74">
        <v>0.0</v>
      </c>
      <c r="AL466" s="74">
        <v>7.0</v>
      </c>
      <c r="AM466" s="74">
        <v>1000.0</v>
      </c>
      <c r="AN466" s="74">
        <v>3.0</v>
      </c>
      <c r="AO466" s="74">
        <v>0.0</v>
      </c>
      <c r="AP466" s="74">
        <v>1.0</v>
      </c>
      <c r="AQ466" s="74">
        <v>7.0</v>
      </c>
      <c r="AR466" s="74">
        <v>100.0</v>
      </c>
      <c r="AS466" s="74">
        <v>3.0</v>
      </c>
      <c r="AT466" s="74">
        <v>0.0</v>
      </c>
      <c r="AU466" s="74">
        <v>0.0</v>
      </c>
      <c r="AV466" s="119"/>
      <c r="AW466" s="119"/>
      <c r="AX466" s="119"/>
      <c r="AY466" s="119"/>
      <c r="AZ466" s="119"/>
      <c r="BA466" s="119"/>
      <c r="BB466" s="119"/>
      <c r="BC466" s="119"/>
      <c r="BD466" s="119"/>
      <c r="BE466" s="119"/>
      <c r="BF466" s="119"/>
      <c r="BG466" s="119"/>
      <c r="BH466" s="119"/>
      <c r="BI466" s="119"/>
      <c r="BJ466" s="119"/>
      <c r="BK466" s="119"/>
      <c r="BL466" s="119"/>
      <c r="BM466" s="119"/>
      <c r="BN466" s="119"/>
      <c r="BO466" s="119"/>
      <c r="BP466" s="119"/>
      <c r="BQ466" s="119"/>
      <c r="BR466" s="119"/>
      <c r="BS466" s="119"/>
      <c r="BT466" s="119"/>
      <c r="BU466" s="119"/>
      <c r="BV466" s="119"/>
      <c r="BW466" s="119"/>
      <c r="BX466" s="119"/>
      <c r="BY466" s="119"/>
      <c r="BZ466" s="119"/>
      <c r="CA466" s="119"/>
      <c r="CB466" s="119"/>
      <c r="CC466" s="74" t="s">
        <v>21602</v>
      </c>
      <c r="CD466" s="148">
        <v>43868.0</v>
      </c>
      <c r="CE466" s="74">
        <v>1.0</v>
      </c>
      <c r="CF466" s="74" t="s">
        <v>20366</v>
      </c>
      <c r="CG466" s="120">
        <v>7978.0</v>
      </c>
      <c r="CH466" s="74" t="s">
        <v>21605</v>
      </c>
      <c r="CI466" s="74" t="s">
        <v>21607</v>
      </c>
      <c r="CJ466" s="120">
        <v>465.0</v>
      </c>
    </row>
    <row r="467">
      <c r="A467" s="74" t="s">
        <v>21608</v>
      </c>
      <c r="B467" s="74" t="s">
        <v>6876</v>
      </c>
      <c r="C467" s="74" t="s">
        <v>6877</v>
      </c>
      <c r="D467" s="74" t="s">
        <v>8493</v>
      </c>
      <c r="E467" s="74" t="s">
        <v>21610</v>
      </c>
      <c r="F467" s="74">
        <v>59.0</v>
      </c>
      <c r="G467" s="74">
        <v>1.0</v>
      </c>
      <c r="H467" s="74">
        <v>11.0</v>
      </c>
      <c r="I467" s="119"/>
      <c r="J467" s="119"/>
      <c r="K467" s="74" t="s">
        <v>3263</v>
      </c>
      <c r="L467" s="74" t="s">
        <v>3263</v>
      </c>
      <c r="M467" s="74" t="s">
        <v>21551</v>
      </c>
      <c r="N467" s="74" t="s">
        <v>16556</v>
      </c>
      <c r="O467" s="74" t="s">
        <v>21554</v>
      </c>
      <c r="P467" s="74">
        <v>4.0</v>
      </c>
      <c r="Q467" s="119"/>
      <c r="R467" s="119"/>
      <c r="S467" s="74">
        <v>7.0</v>
      </c>
      <c r="T467" s="74">
        <v>1000.0</v>
      </c>
      <c r="U467" s="74">
        <v>1.0</v>
      </c>
      <c r="V467" s="119"/>
      <c r="W467" s="74">
        <v>7.0</v>
      </c>
      <c r="X467" s="74">
        <v>100.0</v>
      </c>
      <c r="Y467" s="74">
        <v>3.0</v>
      </c>
      <c r="Z467" s="74">
        <v>35.0</v>
      </c>
      <c r="AA467" s="74">
        <v>1.0</v>
      </c>
      <c r="AB467" s="74">
        <v>4.0</v>
      </c>
      <c r="AC467" s="74">
        <v>1000.0</v>
      </c>
      <c r="AD467" s="74">
        <v>3.0</v>
      </c>
      <c r="AE467" s="74">
        <v>4.0</v>
      </c>
      <c r="AF467" s="119"/>
      <c r="AG467" s="119"/>
      <c r="AH467" s="74">
        <v>7.0</v>
      </c>
      <c r="AI467" s="74">
        <v>5000.0</v>
      </c>
      <c r="AJ467" s="74">
        <v>3.0</v>
      </c>
      <c r="AK467" s="74">
        <v>0.0</v>
      </c>
      <c r="AL467" s="74">
        <v>7.0</v>
      </c>
      <c r="AM467" s="74">
        <v>1000.0</v>
      </c>
      <c r="AN467" s="74">
        <v>3.0</v>
      </c>
      <c r="AO467" s="74">
        <v>0.0</v>
      </c>
      <c r="AP467" s="74">
        <v>1.0</v>
      </c>
      <c r="AQ467" s="74">
        <v>7.0</v>
      </c>
      <c r="AR467" s="74">
        <v>100.0</v>
      </c>
      <c r="AS467" s="74">
        <v>3.0</v>
      </c>
      <c r="AT467" s="74">
        <v>0.0</v>
      </c>
      <c r="AU467" s="74">
        <v>0.0</v>
      </c>
      <c r="AV467" s="119"/>
      <c r="AW467" s="119"/>
      <c r="AX467" s="119"/>
      <c r="AY467" s="119"/>
      <c r="AZ467" s="119"/>
      <c r="BA467" s="119"/>
      <c r="BB467" s="119"/>
      <c r="BC467" s="119"/>
      <c r="BD467" s="119"/>
      <c r="BE467" s="119"/>
      <c r="BF467" s="119"/>
      <c r="BG467" s="119"/>
      <c r="BH467" s="119"/>
      <c r="BI467" s="119"/>
      <c r="BJ467" s="119"/>
      <c r="BK467" s="119"/>
      <c r="BL467" s="119"/>
      <c r="BM467" s="119"/>
      <c r="BN467" s="119"/>
      <c r="BO467" s="119"/>
      <c r="BP467" s="119"/>
      <c r="BQ467" s="119"/>
      <c r="BR467" s="119"/>
      <c r="BS467" s="119"/>
      <c r="BT467" s="119"/>
      <c r="BU467" s="119"/>
      <c r="BV467" s="119"/>
      <c r="BW467" s="119"/>
      <c r="BX467" s="119"/>
      <c r="BY467" s="119"/>
      <c r="BZ467" s="119"/>
      <c r="CA467" s="119"/>
      <c r="CB467" s="119"/>
      <c r="CC467" s="74" t="s">
        <v>21632</v>
      </c>
      <c r="CD467" s="148">
        <v>43868.0</v>
      </c>
      <c r="CE467" s="74">
        <v>1.0</v>
      </c>
      <c r="CF467" s="74" t="s">
        <v>20366</v>
      </c>
      <c r="CG467" s="120">
        <v>7979.0</v>
      </c>
      <c r="CH467" s="74" t="s">
        <v>21635</v>
      </c>
      <c r="CI467" s="74" t="s">
        <v>21636</v>
      </c>
      <c r="CJ467" s="120">
        <v>466.0</v>
      </c>
    </row>
    <row r="468">
      <c r="A468" s="74" t="s">
        <v>21638</v>
      </c>
      <c r="B468" s="74" t="s">
        <v>6876</v>
      </c>
      <c r="C468" s="74" t="s">
        <v>6877</v>
      </c>
      <c r="D468" s="74" t="s">
        <v>8493</v>
      </c>
      <c r="E468" s="74" t="s">
        <v>21641</v>
      </c>
      <c r="F468" s="74">
        <v>59.0</v>
      </c>
      <c r="G468" s="74">
        <v>1.0</v>
      </c>
      <c r="H468" s="74">
        <v>11.0</v>
      </c>
      <c r="I468" s="119"/>
      <c r="J468" s="119"/>
      <c r="K468" s="74" t="s">
        <v>3294</v>
      </c>
      <c r="L468" s="74" t="s">
        <v>3294</v>
      </c>
      <c r="M468" s="74" t="s">
        <v>21646</v>
      </c>
      <c r="N468" s="74" t="s">
        <v>21647</v>
      </c>
      <c r="O468" s="74" t="s">
        <v>21649</v>
      </c>
      <c r="P468" s="74">
        <v>4.0</v>
      </c>
      <c r="Q468" s="119"/>
      <c r="R468" s="119"/>
      <c r="S468" s="74">
        <v>7.0</v>
      </c>
      <c r="T468" s="74">
        <v>1000.0</v>
      </c>
      <c r="U468" s="74">
        <v>1.0</v>
      </c>
      <c r="V468" s="119"/>
      <c r="W468" s="74">
        <v>7.0</v>
      </c>
      <c r="X468" s="74">
        <v>100.0</v>
      </c>
      <c r="Y468" s="74">
        <v>3.0</v>
      </c>
      <c r="Z468" s="74">
        <v>29.0</v>
      </c>
      <c r="AA468" s="74">
        <v>1.0</v>
      </c>
      <c r="AB468" s="74">
        <v>4.0</v>
      </c>
      <c r="AC468" s="74">
        <v>1000.0</v>
      </c>
      <c r="AD468" s="74">
        <v>3.0</v>
      </c>
      <c r="AE468" s="74">
        <v>0.0</v>
      </c>
      <c r="AF468" s="119"/>
      <c r="AG468" s="119"/>
      <c r="AH468" s="74">
        <v>7.0</v>
      </c>
      <c r="AI468" s="74">
        <v>5000.0</v>
      </c>
      <c r="AJ468" s="74">
        <v>3.0</v>
      </c>
      <c r="AK468" s="74">
        <v>0.0</v>
      </c>
      <c r="AL468" s="74">
        <v>7.0</v>
      </c>
      <c r="AM468" s="74">
        <v>1000.0</v>
      </c>
      <c r="AN468" s="74">
        <v>3.0</v>
      </c>
      <c r="AO468" s="74">
        <v>0.0</v>
      </c>
      <c r="AP468" s="74">
        <v>1.0</v>
      </c>
      <c r="AQ468" s="74">
        <v>7.0</v>
      </c>
      <c r="AR468" s="74">
        <v>100.0</v>
      </c>
      <c r="AS468" s="74">
        <v>3.0</v>
      </c>
      <c r="AT468" s="74">
        <v>0.0</v>
      </c>
      <c r="AU468" s="74">
        <v>0.0</v>
      </c>
      <c r="AV468" s="119"/>
      <c r="AW468" s="119"/>
      <c r="AX468" s="119"/>
      <c r="AY468" s="119"/>
      <c r="AZ468" s="119"/>
      <c r="BA468" s="119"/>
      <c r="BB468" s="119"/>
      <c r="BC468" s="119"/>
      <c r="BD468" s="119"/>
      <c r="BE468" s="119"/>
      <c r="BF468" s="119"/>
      <c r="BG468" s="119"/>
      <c r="BH468" s="119"/>
      <c r="BI468" s="119"/>
      <c r="BJ468" s="119"/>
      <c r="BK468" s="119"/>
      <c r="BL468" s="119"/>
      <c r="BM468" s="119"/>
      <c r="BN468" s="119"/>
      <c r="BO468" s="119"/>
      <c r="BP468" s="119"/>
      <c r="BQ468" s="119"/>
      <c r="BR468" s="119"/>
      <c r="BS468" s="119"/>
      <c r="BT468" s="119"/>
      <c r="BU468" s="119"/>
      <c r="BV468" s="119"/>
      <c r="BW468" s="119"/>
      <c r="BX468" s="119"/>
      <c r="BY468" s="119"/>
      <c r="BZ468" s="119"/>
      <c r="CA468" s="119"/>
      <c r="CB468" s="119"/>
      <c r="CC468" s="74" t="s">
        <v>21602</v>
      </c>
      <c r="CD468" s="148">
        <v>43868.0</v>
      </c>
      <c r="CE468" s="74">
        <v>1.0</v>
      </c>
      <c r="CF468" s="74" t="s">
        <v>20366</v>
      </c>
      <c r="CG468" s="120">
        <v>7980.0</v>
      </c>
      <c r="CH468" s="74" t="s">
        <v>21670</v>
      </c>
      <c r="CI468" s="74" t="s">
        <v>21671</v>
      </c>
      <c r="CJ468" s="120">
        <v>467.0</v>
      </c>
    </row>
    <row r="469">
      <c r="A469" s="74" t="s">
        <v>21641</v>
      </c>
      <c r="B469" s="74" t="s">
        <v>6876</v>
      </c>
      <c r="C469" s="74" t="s">
        <v>6877</v>
      </c>
      <c r="D469" s="74" t="s">
        <v>8493</v>
      </c>
      <c r="E469" s="74" t="s">
        <v>21676</v>
      </c>
      <c r="F469" s="74">
        <v>59.0</v>
      </c>
      <c r="G469" s="74">
        <v>1.0</v>
      </c>
      <c r="H469" s="74">
        <v>11.0</v>
      </c>
      <c r="I469" s="119"/>
      <c r="J469" s="119"/>
      <c r="K469" s="74" t="s">
        <v>3323</v>
      </c>
      <c r="L469" s="74" t="s">
        <v>3323</v>
      </c>
      <c r="M469" s="74" t="s">
        <v>21646</v>
      </c>
      <c r="N469" s="74" t="s">
        <v>21647</v>
      </c>
      <c r="O469" s="74" t="s">
        <v>21649</v>
      </c>
      <c r="P469" s="74">
        <v>4.0</v>
      </c>
      <c r="Q469" s="119"/>
      <c r="R469" s="119"/>
      <c r="S469" s="74">
        <v>7.0</v>
      </c>
      <c r="T469" s="74">
        <v>1000.0</v>
      </c>
      <c r="U469" s="74">
        <v>1.0</v>
      </c>
      <c r="V469" s="119"/>
      <c r="W469" s="74">
        <v>7.0</v>
      </c>
      <c r="X469" s="74">
        <v>100.0</v>
      </c>
      <c r="Y469" s="74">
        <v>3.0</v>
      </c>
      <c r="Z469" s="74">
        <v>108.0</v>
      </c>
      <c r="AA469" s="74">
        <v>1.0</v>
      </c>
      <c r="AB469" s="74">
        <v>4.0</v>
      </c>
      <c r="AC469" s="74">
        <v>1000.0</v>
      </c>
      <c r="AD469" s="74">
        <v>3.0</v>
      </c>
      <c r="AE469" s="74">
        <v>2.0</v>
      </c>
      <c r="AF469" s="119"/>
      <c r="AG469" s="119"/>
      <c r="AH469" s="74">
        <v>7.0</v>
      </c>
      <c r="AI469" s="74">
        <v>5000.0</v>
      </c>
      <c r="AJ469" s="74">
        <v>3.0</v>
      </c>
      <c r="AK469" s="74">
        <v>0.0</v>
      </c>
      <c r="AL469" s="74">
        <v>7.0</v>
      </c>
      <c r="AM469" s="74">
        <v>1000.0</v>
      </c>
      <c r="AN469" s="74">
        <v>3.0</v>
      </c>
      <c r="AO469" s="74">
        <v>0.0</v>
      </c>
      <c r="AP469" s="74">
        <v>1.0</v>
      </c>
      <c r="AQ469" s="74">
        <v>7.0</v>
      </c>
      <c r="AR469" s="74">
        <v>100.0</v>
      </c>
      <c r="AS469" s="74">
        <v>3.0</v>
      </c>
      <c r="AT469" s="74">
        <v>0.0</v>
      </c>
      <c r="AU469" s="74">
        <v>0.0</v>
      </c>
      <c r="AV469" s="119"/>
      <c r="AW469" s="119"/>
      <c r="AX469" s="119"/>
      <c r="AY469" s="119"/>
      <c r="AZ469" s="119"/>
      <c r="BA469" s="119"/>
      <c r="BB469" s="119"/>
      <c r="BC469" s="119"/>
      <c r="BD469" s="119"/>
      <c r="BE469" s="119"/>
      <c r="BF469" s="119"/>
      <c r="BG469" s="119"/>
      <c r="BH469" s="119"/>
      <c r="BI469" s="119"/>
      <c r="BJ469" s="119"/>
      <c r="BK469" s="119"/>
      <c r="BL469" s="119"/>
      <c r="BM469" s="119"/>
      <c r="BN469" s="119"/>
      <c r="BO469" s="119"/>
      <c r="BP469" s="119"/>
      <c r="BQ469" s="119"/>
      <c r="BR469" s="119"/>
      <c r="BS469" s="119"/>
      <c r="BT469" s="119"/>
      <c r="BU469" s="119"/>
      <c r="BV469" s="119"/>
      <c r="BW469" s="119"/>
      <c r="BX469" s="119"/>
      <c r="BY469" s="119"/>
      <c r="BZ469" s="119"/>
      <c r="CA469" s="119"/>
      <c r="CB469" s="119"/>
      <c r="CC469" s="74" t="s">
        <v>21602</v>
      </c>
      <c r="CD469" s="148">
        <v>43868.0</v>
      </c>
      <c r="CE469" s="74">
        <v>1.0</v>
      </c>
      <c r="CF469" s="74" t="s">
        <v>20366</v>
      </c>
      <c r="CG469" s="120">
        <v>7981.0</v>
      </c>
      <c r="CH469" s="74" t="s">
        <v>21699</v>
      </c>
      <c r="CI469" s="74" t="s">
        <v>21700</v>
      </c>
      <c r="CJ469" s="120">
        <v>468.0</v>
      </c>
    </row>
    <row r="470">
      <c r="A470" s="74" t="s">
        <v>21676</v>
      </c>
      <c r="B470" s="74" t="s">
        <v>6876</v>
      </c>
      <c r="C470" s="74" t="s">
        <v>6877</v>
      </c>
      <c r="D470" s="74" t="s">
        <v>8493</v>
      </c>
      <c r="E470" s="74" t="s">
        <v>21703</v>
      </c>
      <c r="F470" s="74">
        <v>59.0</v>
      </c>
      <c r="G470" s="74">
        <v>1.0</v>
      </c>
      <c r="H470" s="74">
        <v>11.0</v>
      </c>
      <c r="I470" s="119"/>
      <c r="J470" s="119"/>
      <c r="K470" s="74" t="s">
        <v>3356</v>
      </c>
      <c r="L470" s="74" t="s">
        <v>3356</v>
      </c>
      <c r="M470" s="74" t="s">
        <v>21646</v>
      </c>
      <c r="N470" s="74" t="s">
        <v>21647</v>
      </c>
      <c r="O470" s="74" t="s">
        <v>21649</v>
      </c>
      <c r="P470" s="74">
        <v>4.0</v>
      </c>
      <c r="Q470" s="119"/>
      <c r="R470" s="119"/>
      <c r="S470" s="74">
        <v>7.0</v>
      </c>
      <c r="T470" s="74">
        <v>1000.0</v>
      </c>
      <c r="U470" s="74">
        <v>1.0</v>
      </c>
      <c r="V470" s="119"/>
      <c r="W470" s="74">
        <v>7.0</v>
      </c>
      <c r="X470" s="74">
        <v>100.0</v>
      </c>
      <c r="Y470" s="74">
        <v>3.0</v>
      </c>
      <c r="Z470" s="74">
        <v>22.0</v>
      </c>
      <c r="AA470" s="74">
        <v>1.0</v>
      </c>
      <c r="AB470" s="74">
        <v>4.0</v>
      </c>
      <c r="AC470" s="74">
        <v>1000.0</v>
      </c>
      <c r="AD470" s="74">
        <v>3.0</v>
      </c>
      <c r="AE470" s="74">
        <v>1.0</v>
      </c>
      <c r="AF470" s="119"/>
      <c r="AG470" s="119"/>
      <c r="AH470" s="74">
        <v>7.0</v>
      </c>
      <c r="AI470" s="74">
        <v>5000.0</v>
      </c>
      <c r="AJ470" s="74">
        <v>3.0</v>
      </c>
      <c r="AK470" s="74">
        <v>0.0</v>
      </c>
      <c r="AL470" s="74">
        <v>7.0</v>
      </c>
      <c r="AM470" s="74">
        <v>1000.0</v>
      </c>
      <c r="AN470" s="74">
        <v>3.0</v>
      </c>
      <c r="AO470" s="74">
        <v>0.0</v>
      </c>
      <c r="AP470" s="74">
        <v>1.0</v>
      </c>
      <c r="AQ470" s="74">
        <v>7.0</v>
      </c>
      <c r="AR470" s="74">
        <v>100.0</v>
      </c>
      <c r="AS470" s="74">
        <v>3.0</v>
      </c>
      <c r="AT470" s="74">
        <v>0.0</v>
      </c>
      <c r="AU470" s="74">
        <v>0.0</v>
      </c>
      <c r="AV470" s="119"/>
      <c r="AW470" s="119"/>
      <c r="AX470" s="119"/>
      <c r="AY470" s="119"/>
      <c r="AZ470" s="119"/>
      <c r="BA470" s="119"/>
      <c r="BB470" s="119"/>
      <c r="BC470" s="119"/>
      <c r="BD470" s="119"/>
      <c r="BE470" s="119"/>
      <c r="BF470" s="119"/>
      <c r="BG470" s="119"/>
      <c r="BH470" s="119"/>
      <c r="BI470" s="119"/>
      <c r="BJ470" s="119"/>
      <c r="BK470" s="119"/>
      <c r="BL470" s="119"/>
      <c r="BM470" s="119"/>
      <c r="BN470" s="119"/>
      <c r="BO470" s="119"/>
      <c r="BP470" s="119"/>
      <c r="BQ470" s="119"/>
      <c r="BR470" s="119"/>
      <c r="BS470" s="119"/>
      <c r="BT470" s="119"/>
      <c r="BU470" s="119"/>
      <c r="BV470" s="119"/>
      <c r="BW470" s="119"/>
      <c r="BX470" s="119"/>
      <c r="BY470" s="119"/>
      <c r="BZ470" s="119"/>
      <c r="CA470" s="119"/>
      <c r="CB470" s="119"/>
      <c r="CC470" s="74" t="s">
        <v>21602</v>
      </c>
      <c r="CD470" s="148">
        <v>43868.0</v>
      </c>
      <c r="CE470" s="74">
        <v>1.0</v>
      </c>
      <c r="CF470" s="74" t="s">
        <v>20366</v>
      </c>
      <c r="CG470" s="120">
        <v>7982.0</v>
      </c>
      <c r="CH470" s="74" t="s">
        <v>21725</v>
      </c>
      <c r="CI470" s="74" t="s">
        <v>21726</v>
      </c>
      <c r="CJ470" s="120">
        <v>469.0</v>
      </c>
    </row>
    <row r="471">
      <c r="A471" s="74" t="s">
        <v>21703</v>
      </c>
      <c r="B471" s="74" t="s">
        <v>6876</v>
      </c>
      <c r="C471" s="74" t="s">
        <v>6877</v>
      </c>
      <c r="D471" s="74" t="s">
        <v>8493</v>
      </c>
      <c r="E471" s="74" t="s">
        <v>21730</v>
      </c>
      <c r="F471" s="74">
        <v>59.0</v>
      </c>
      <c r="G471" s="74">
        <v>1.0</v>
      </c>
      <c r="H471" s="74">
        <v>11.0</v>
      </c>
      <c r="I471" s="119"/>
      <c r="J471" s="119"/>
      <c r="K471" s="74" t="s">
        <v>3380</v>
      </c>
      <c r="L471" s="74" t="s">
        <v>3380</v>
      </c>
      <c r="M471" s="74" t="s">
        <v>21646</v>
      </c>
      <c r="N471" s="74" t="s">
        <v>21647</v>
      </c>
      <c r="O471" s="74" t="s">
        <v>21649</v>
      </c>
      <c r="P471" s="74">
        <v>4.0</v>
      </c>
      <c r="Q471" s="119"/>
      <c r="R471" s="119"/>
      <c r="S471" s="74">
        <v>7.0</v>
      </c>
      <c r="T471" s="74">
        <v>1000.0</v>
      </c>
      <c r="U471" s="74">
        <v>1.0</v>
      </c>
      <c r="V471" s="119"/>
      <c r="W471" s="74">
        <v>7.0</v>
      </c>
      <c r="X471" s="74">
        <v>100.0</v>
      </c>
      <c r="Y471" s="74">
        <v>1.0</v>
      </c>
      <c r="Z471" s="119"/>
      <c r="AA471" s="74">
        <v>1.0</v>
      </c>
      <c r="AB471" s="74">
        <v>4.0</v>
      </c>
      <c r="AC471" s="74">
        <v>1000.0</v>
      </c>
      <c r="AD471" s="74">
        <v>3.0</v>
      </c>
      <c r="AE471" s="74">
        <v>2.0</v>
      </c>
      <c r="AF471" s="119"/>
      <c r="AG471" s="119"/>
      <c r="AH471" s="74">
        <v>7.0</v>
      </c>
      <c r="AI471" s="74">
        <v>1000.0</v>
      </c>
      <c r="AJ471" s="74">
        <v>3.0</v>
      </c>
      <c r="AK471" s="74">
        <v>6.0</v>
      </c>
      <c r="AL471" s="74">
        <v>7.0</v>
      </c>
      <c r="AM471" s="74">
        <v>100.0</v>
      </c>
      <c r="AN471" s="74">
        <v>3.0</v>
      </c>
      <c r="AO471" s="74">
        <v>0.0</v>
      </c>
      <c r="AP471" s="74">
        <v>0.0</v>
      </c>
      <c r="AQ471" s="119"/>
      <c r="AR471" s="119"/>
      <c r="AS471" s="119"/>
      <c r="AT471" s="119"/>
      <c r="AU471" s="74">
        <v>0.0</v>
      </c>
      <c r="AV471" s="119"/>
      <c r="AW471" s="119"/>
      <c r="AX471" s="119"/>
      <c r="AY471" s="119"/>
      <c r="AZ471" s="119"/>
      <c r="BA471" s="119"/>
      <c r="BB471" s="119"/>
      <c r="BC471" s="119"/>
      <c r="BD471" s="119"/>
      <c r="BE471" s="119"/>
      <c r="BF471" s="119"/>
      <c r="BG471" s="119"/>
      <c r="BH471" s="119"/>
      <c r="BI471" s="119"/>
      <c r="BJ471" s="119"/>
      <c r="BK471" s="119"/>
      <c r="BL471" s="119"/>
      <c r="BM471" s="119"/>
      <c r="BN471" s="119"/>
      <c r="BO471" s="119"/>
      <c r="BP471" s="119"/>
      <c r="BQ471" s="119"/>
      <c r="BR471" s="119"/>
      <c r="BS471" s="119"/>
      <c r="BT471" s="119"/>
      <c r="BU471" s="119"/>
      <c r="BV471" s="119"/>
      <c r="BW471" s="119"/>
      <c r="BX471" s="119"/>
      <c r="BY471" s="119"/>
      <c r="BZ471" s="119"/>
      <c r="CA471" s="119"/>
      <c r="CB471" s="119"/>
      <c r="CC471" s="74" t="s">
        <v>21749</v>
      </c>
      <c r="CD471" s="148">
        <v>43868.0</v>
      </c>
      <c r="CE471" s="74">
        <v>1.0</v>
      </c>
      <c r="CF471" s="74" t="s">
        <v>20366</v>
      </c>
      <c r="CG471" s="120">
        <v>7983.0</v>
      </c>
      <c r="CH471" s="74" t="s">
        <v>21753</v>
      </c>
      <c r="CI471" s="74" t="s">
        <v>21754</v>
      </c>
      <c r="CJ471" s="120">
        <v>470.0</v>
      </c>
    </row>
    <row r="472">
      <c r="A472" s="74" t="s">
        <v>21730</v>
      </c>
      <c r="B472" s="74" t="s">
        <v>6876</v>
      </c>
      <c r="C472" s="74" t="s">
        <v>6877</v>
      </c>
      <c r="D472" s="74" t="s">
        <v>8493</v>
      </c>
      <c r="E472" s="74" t="s">
        <v>21758</v>
      </c>
      <c r="F472" s="74">
        <v>59.0</v>
      </c>
      <c r="G472" s="74">
        <v>1.0</v>
      </c>
      <c r="H472" s="74">
        <v>11.0</v>
      </c>
      <c r="I472" s="119"/>
      <c r="J472" s="119"/>
      <c r="K472" s="74" t="s">
        <v>3412</v>
      </c>
      <c r="L472" s="74" t="s">
        <v>3412</v>
      </c>
      <c r="M472" s="74" t="s">
        <v>21646</v>
      </c>
      <c r="N472" s="74" t="s">
        <v>21647</v>
      </c>
      <c r="O472" s="74" t="s">
        <v>21649</v>
      </c>
      <c r="P472" s="74">
        <v>4.0</v>
      </c>
      <c r="Q472" s="119"/>
      <c r="R472" s="119"/>
      <c r="S472" s="74">
        <v>7.0</v>
      </c>
      <c r="T472" s="74">
        <v>1000.0</v>
      </c>
      <c r="U472" s="74">
        <v>1.0</v>
      </c>
      <c r="V472" s="119"/>
      <c r="W472" s="74">
        <v>7.0</v>
      </c>
      <c r="X472" s="74">
        <v>100.0</v>
      </c>
      <c r="Y472" s="74">
        <v>1.0</v>
      </c>
      <c r="Z472" s="119"/>
      <c r="AA472" s="74">
        <v>1.0</v>
      </c>
      <c r="AB472" s="74">
        <v>4.0</v>
      </c>
      <c r="AC472" s="74">
        <v>1000.0</v>
      </c>
      <c r="AD472" s="74">
        <v>3.0</v>
      </c>
      <c r="AE472" s="74">
        <v>37.0</v>
      </c>
      <c r="AF472" s="119"/>
      <c r="AG472" s="119"/>
      <c r="AH472" s="74">
        <v>7.0</v>
      </c>
      <c r="AI472" s="74">
        <v>5000.0</v>
      </c>
      <c r="AJ472" s="74">
        <v>4.0</v>
      </c>
      <c r="AK472" s="119"/>
      <c r="AL472" s="74">
        <v>7.0</v>
      </c>
      <c r="AM472" s="74">
        <v>1000.0</v>
      </c>
      <c r="AN472" s="74">
        <v>3.0</v>
      </c>
      <c r="AO472" s="74">
        <v>0.0</v>
      </c>
      <c r="AP472" s="74">
        <v>1.0</v>
      </c>
      <c r="AQ472" s="74">
        <v>7.0</v>
      </c>
      <c r="AR472" s="74">
        <v>100.0</v>
      </c>
      <c r="AS472" s="74">
        <v>3.0</v>
      </c>
      <c r="AT472" s="74">
        <v>0.0</v>
      </c>
      <c r="AU472" s="74">
        <v>0.0</v>
      </c>
      <c r="AV472" s="119"/>
      <c r="AW472" s="119"/>
      <c r="AX472" s="119"/>
      <c r="AY472" s="119"/>
      <c r="AZ472" s="119"/>
      <c r="BA472" s="119"/>
      <c r="BB472" s="119"/>
      <c r="BC472" s="119"/>
      <c r="BD472" s="119"/>
      <c r="BE472" s="119"/>
      <c r="BF472" s="119"/>
      <c r="BG472" s="119"/>
      <c r="BH472" s="119"/>
      <c r="BI472" s="119"/>
      <c r="BJ472" s="119"/>
      <c r="BK472" s="119"/>
      <c r="BL472" s="119"/>
      <c r="BM472" s="119"/>
      <c r="BN472" s="119"/>
      <c r="BO472" s="119"/>
      <c r="BP472" s="119"/>
      <c r="BQ472" s="119"/>
      <c r="BR472" s="119"/>
      <c r="BS472" s="119"/>
      <c r="BT472" s="119"/>
      <c r="BU472" s="119"/>
      <c r="BV472" s="119"/>
      <c r="BW472" s="119"/>
      <c r="BX472" s="119"/>
      <c r="BY472" s="119"/>
      <c r="BZ472" s="119"/>
      <c r="CA472" s="119"/>
      <c r="CB472" s="119"/>
      <c r="CC472" s="74" t="s">
        <v>21778</v>
      </c>
      <c r="CD472" s="148">
        <v>43868.0</v>
      </c>
      <c r="CE472" s="74">
        <v>1.0</v>
      </c>
      <c r="CF472" s="74" t="s">
        <v>20366</v>
      </c>
      <c r="CG472" s="120">
        <v>7984.0</v>
      </c>
      <c r="CH472" s="74" t="s">
        <v>21779</v>
      </c>
      <c r="CI472" s="74" t="s">
        <v>21781</v>
      </c>
      <c r="CJ472" s="120">
        <v>471.0</v>
      </c>
    </row>
    <row r="473">
      <c r="A473" s="74" t="s">
        <v>21758</v>
      </c>
      <c r="B473" s="74" t="s">
        <v>6876</v>
      </c>
      <c r="C473" s="74" t="s">
        <v>6877</v>
      </c>
      <c r="D473" s="74" t="s">
        <v>8493</v>
      </c>
      <c r="E473" s="74" t="s">
        <v>21784</v>
      </c>
      <c r="F473" s="74">
        <v>57.0</v>
      </c>
      <c r="G473" s="74">
        <v>1.0</v>
      </c>
      <c r="H473" s="74">
        <v>16.0</v>
      </c>
      <c r="I473" s="119"/>
      <c r="J473" s="119"/>
      <c r="K473" s="74" t="s">
        <v>3755</v>
      </c>
      <c r="L473" s="74" t="s">
        <v>3755</v>
      </c>
      <c r="M473" s="74" t="s">
        <v>21646</v>
      </c>
      <c r="N473" s="74" t="s">
        <v>21647</v>
      </c>
      <c r="O473" s="74" t="s">
        <v>21649</v>
      </c>
      <c r="P473" s="119"/>
      <c r="Q473" s="119"/>
      <c r="R473" s="119"/>
      <c r="S473" s="74">
        <v>7.0</v>
      </c>
      <c r="T473" s="74">
        <v>1000.0</v>
      </c>
      <c r="U473" s="74">
        <v>4.0</v>
      </c>
      <c r="V473" s="119"/>
      <c r="W473" s="74">
        <v>7.0</v>
      </c>
      <c r="X473" s="74">
        <v>100.0</v>
      </c>
      <c r="Y473" s="74">
        <v>1.0</v>
      </c>
      <c r="Z473" s="119"/>
      <c r="AA473" s="74">
        <v>1.0</v>
      </c>
      <c r="AB473" s="74">
        <v>4.0</v>
      </c>
      <c r="AC473" s="74">
        <v>1000.0</v>
      </c>
      <c r="AD473" s="74">
        <v>3.0</v>
      </c>
      <c r="AE473" s="74">
        <v>7.0</v>
      </c>
      <c r="AF473" s="119"/>
      <c r="AG473" s="119"/>
      <c r="AH473" s="74">
        <v>7.0</v>
      </c>
      <c r="AI473" s="74">
        <v>1000.0</v>
      </c>
      <c r="AJ473" s="74">
        <v>1.0</v>
      </c>
      <c r="AK473" s="119"/>
      <c r="AL473" s="74">
        <v>7.0</v>
      </c>
      <c r="AM473" s="74">
        <v>100.0</v>
      </c>
      <c r="AN473" s="74">
        <v>3.0</v>
      </c>
      <c r="AO473" s="74">
        <v>79.0</v>
      </c>
      <c r="AP473" s="74">
        <v>0.0</v>
      </c>
      <c r="AQ473" s="119"/>
      <c r="AR473" s="119"/>
      <c r="AS473" s="119"/>
      <c r="AT473" s="119"/>
      <c r="AU473" s="74">
        <v>0.0</v>
      </c>
      <c r="AV473" s="119"/>
      <c r="AW473" s="119"/>
      <c r="AX473" s="119"/>
      <c r="AY473" s="119"/>
      <c r="AZ473" s="119"/>
      <c r="BA473" s="119"/>
      <c r="BB473" s="119"/>
      <c r="BC473" s="119"/>
      <c r="BD473" s="119"/>
      <c r="BE473" s="119"/>
      <c r="BF473" s="119"/>
      <c r="BG473" s="119"/>
      <c r="BH473" s="119"/>
      <c r="BI473" s="119"/>
      <c r="BJ473" s="119"/>
      <c r="BK473" s="119"/>
      <c r="BL473" s="119"/>
      <c r="BM473" s="119"/>
      <c r="BN473" s="119"/>
      <c r="BO473" s="119"/>
      <c r="BP473" s="119"/>
      <c r="BQ473" s="119"/>
      <c r="BR473" s="119"/>
      <c r="BS473" s="119"/>
      <c r="BT473" s="119"/>
      <c r="BU473" s="119"/>
      <c r="BV473" s="119"/>
      <c r="BW473" s="119"/>
      <c r="BX473" s="119"/>
      <c r="BY473" s="119"/>
      <c r="BZ473" s="119"/>
      <c r="CA473" s="119"/>
      <c r="CB473" s="119"/>
      <c r="CC473" s="74" t="s">
        <v>21632</v>
      </c>
      <c r="CD473" s="148">
        <v>43868.0</v>
      </c>
      <c r="CE473" s="74">
        <v>1.0</v>
      </c>
      <c r="CF473" s="74" t="s">
        <v>20366</v>
      </c>
      <c r="CG473" s="120">
        <v>7985.0</v>
      </c>
      <c r="CH473" s="74" t="s">
        <v>21803</v>
      </c>
      <c r="CI473" s="74" t="s">
        <v>21805</v>
      </c>
      <c r="CJ473" s="120">
        <v>472.0</v>
      </c>
    </row>
    <row r="474">
      <c r="A474" s="74" t="s">
        <v>21807</v>
      </c>
      <c r="B474" s="74" t="s">
        <v>6876</v>
      </c>
      <c r="C474" s="74" t="s">
        <v>6877</v>
      </c>
      <c r="D474" s="74" t="s">
        <v>8493</v>
      </c>
      <c r="E474" s="74" t="s">
        <v>21810</v>
      </c>
      <c r="F474" s="74">
        <v>58.0</v>
      </c>
      <c r="G474" s="74">
        <v>2.0</v>
      </c>
      <c r="H474" s="74">
        <v>2.0</v>
      </c>
      <c r="I474" s="119"/>
      <c r="J474" s="119"/>
      <c r="K474" s="74" t="s">
        <v>350</v>
      </c>
      <c r="L474" s="74" t="s">
        <v>350</v>
      </c>
      <c r="M474" s="74" t="s">
        <v>21646</v>
      </c>
      <c r="N474" s="74" t="s">
        <v>21647</v>
      </c>
      <c r="O474" s="74" t="s">
        <v>21649</v>
      </c>
      <c r="P474" s="119"/>
      <c r="Q474" s="119"/>
      <c r="R474" s="119"/>
      <c r="S474" s="74">
        <v>7.0</v>
      </c>
      <c r="T474" s="74">
        <v>1000.0</v>
      </c>
      <c r="U474" s="74">
        <v>3.0</v>
      </c>
      <c r="V474" s="74">
        <v>0.0</v>
      </c>
      <c r="W474" s="74">
        <v>7.0</v>
      </c>
      <c r="X474" s="74">
        <v>100.0</v>
      </c>
      <c r="Y474" s="74">
        <v>3.0</v>
      </c>
      <c r="Z474" s="74">
        <v>0.0</v>
      </c>
      <c r="AA474" s="74">
        <v>0.0</v>
      </c>
      <c r="AB474" s="119"/>
      <c r="AC474" s="119"/>
      <c r="AD474" s="119"/>
      <c r="AE474" s="119"/>
      <c r="AF474" s="119"/>
      <c r="AG474" s="119"/>
      <c r="AH474" s="74">
        <v>7.0</v>
      </c>
      <c r="AI474" s="74">
        <v>5000.0</v>
      </c>
      <c r="AJ474" s="74">
        <v>3.0</v>
      </c>
      <c r="AK474" s="74">
        <v>0.0</v>
      </c>
      <c r="AL474" s="74">
        <v>7.0</v>
      </c>
      <c r="AM474" s="74">
        <v>1000.0</v>
      </c>
      <c r="AN474" s="74">
        <v>3.0</v>
      </c>
      <c r="AO474" s="74">
        <v>0.0</v>
      </c>
      <c r="AP474" s="74">
        <v>1.0</v>
      </c>
      <c r="AQ474" s="74">
        <v>7.0</v>
      </c>
      <c r="AR474" s="74">
        <v>100.0</v>
      </c>
      <c r="AS474" s="74">
        <v>3.0</v>
      </c>
      <c r="AT474" s="74">
        <v>0.0</v>
      </c>
      <c r="AU474" s="74">
        <v>0.0</v>
      </c>
      <c r="AV474" s="119"/>
      <c r="AW474" s="119"/>
      <c r="AX474" s="119"/>
      <c r="AY474" s="119"/>
      <c r="AZ474" s="119"/>
      <c r="BA474" s="119"/>
      <c r="BB474" s="119"/>
      <c r="BC474" s="119"/>
      <c r="BD474" s="119"/>
      <c r="BE474" s="119"/>
      <c r="BF474" s="119"/>
      <c r="BG474" s="119"/>
      <c r="BH474" s="119"/>
      <c r="BI474" s="119"/>
      <c r="BJ474" s="119"/>
      <c r="BK474" s="119"/>
      <c r="BL474" s="119"/>
      <c r="BM474" s="119"/>
      <c r="BN474" s="119"/>
      <c r="BO474" s="119"/>
      <c r="BP474" s="119"/>
      <c r="BQ474" s="119"/>
      <c r="BR474" s="119"/>
      <c r="BS474" s="119"/>
      <c r="BT474" s="119"/>
      <c r="BU474" s="119"/>
      <c r="BV474" s="119"/>
      <c r="BW474" s="119"/>
      <c r="BX474" s="119"/>
      <c r="BY474" s="119"/>
      <c r="BZ474" s="119"/>
      <c r="CA474" s="119"/>
      <c r="CB474" s="119"/>
      <c r="CC474" s="119"/>
      <c r="CD474" s="148">
        <v>43868.0</v>
      </c>
      <c r="CE474" s="74">
        <v>1.0</v>
      </c>
      <c r="CF474" s="74" t="s">
        <v>20366</v>
      </c>
      <c r="CG474" s="120">
        <v>7986.0</v>
      </c>
      <c r="CH474" s="74" t="s">
        <v>21826</v>
      </c>
      <c r="CI474" s="74" t="s">
        <v>21827</v>
      </c>
      <c r="CJ474" s="120">
        <v>473.0</v>
      </c>
    </row>
    <row r="475">
      <c r="A475" s="74" t="s">
        <v>21828</v>
      </c>
      <c r="B475" s="74" t="s">
        <v>6876</v>
      </c>
      <c r="C475" s="74" t="s">
        <v>6877</v>
      </c>
      <c r="D475" s="74" t="s">
        <v>8493</v>
      </c>
      <c r="E475" s="74" t="s">
        <v>21832</v>
      </c>
      <c r="F475" s="74">
        <v>58.0</v>
      </c>
      <c r="G475" s="74">
        <v>2.0</v>
      </c>
      <c r="H475" s="74">
        <v>2.0</v>
      </c>
      <c r="I475" s="119"/>
      <c r="J475" s="119"/>
      <c r="K475" s="74" t="s">
        <v>16838</v>
      </c>
      <c r="L475" s="74" t="s">
        <v>16838</v>
      </c>
      <c r="M475" s="74" t="s">
        <v>21646</v>
      </c>
      <c r="N475" s="74" t="s">
        <v>21647</v>
      </c>
      <c r="O475" s="74" t="s">
        <v>21649</v>
      </c>
      <c r="P475" s="119"/>
      <c r="Q475" s="119"/>
      <c r="R475" s="119"/>
      <c r="S475" s="74">
        <v>7.0</v>
      </c>
      <c r="T475" s="74">
        <v>1000.0</v>
      </c>
      <c r="U475" s="74">
        <v>3.0</v>
      </c>
      <c r="V475" s="74">
        <v>4.0</v>
      </c>
      <c r="W475" s="74">
        <v>7.0</v>
      </c>
      <c r="X475" s="74">
        <v>100.0</v>
      </c>
      <c r="Y475" s="74">
        <v>3.0</v>
      </c>
      <c r="Z475" s="74">
        <v>0.0</v>
      </c>
      <c r="AA475" s="74">
        <v>0.0</v>
      </c>
      <c r="AB475" s="119"/>
      <c r="AC475" s="119"/>
      <c r="AD475" s="119"/>
      <c r="AE475" s="119"/>
      <c r="AF475" s="119"/>
      <c r="AG475" s="119"/>
      <c r="AH475" s="74">
        <v>7.0</v>
      </c>
      <c r="AI475" s="74">
        <v>5000.0</v>
      </c>
      <c r="AJ475" s="74">
        <v>3.0</v>
      </c>
      <c r="AK475" s="74">
        <v>0.0</v>
      </c>
      <c r="AL475" s="74">
        <v>7.0</v>
      </c>
      <c r="AM475" s="74">
        <v>1000.0</v>
      </c>
      <c r="AN475" s="74">
        <v>3.0</v>
      </c>
      <c r="AO475" s="74">
        <v>0.0</v>
      </c>
      <c r="AP475" s="74">
        <v>1.0</v>
      </c>
      <c r="AQ475" s="74">
        <v>7.0</v>
      </c>
      <c r="AR475" s="74">
        <v>100.0</v>
      </c>
      <c r="AS475" s="74">
        <v>3.0</v>
      </c>
      <c r="AT475" s="74">
        <v>0.0</v>
      </c>
      <c r="AU475" s="74">
        <v>0.0</v>
      </c>
      <c r="AV475" s="119"/>
      <c r="AW475" s="119"/>
      <c r="AX475" s="119"/>
      <c r="AY475" s="119"/>
      <c r="AZ475" s="119"/>
      <c r="BA475" s="119"/>
      <c r="BB475" s="119"/>
      <c r="BC475" s="119"/>
      <c r="BD475" s="119"/>
      <c r="BE475" s="119"/>
      <c r="BF475" s="119"/>
      <c r="BG475" s="119"/>
      <c r="BH475" s="119"/>
      <c r="BI475" s="119"/>
      <c r="BJ475" s="119"/>
      <c r="BK475" s="119"/>
      <c r="BL475" s="119"/>
      <c r="BM475" s="119"/>
      <c r="BN475" s="119"/>
      <c r="BO475" s="119"/>
      <c r="BP475" s="119"/>
      <c r="BQ475" s="119"/>
      <c r="BR475" s="119"/>
      <c r="BS475" s="119"/>
      <c r="BT475" s="119"/>
      <c r="BU475" s="119"/>
      <c r="BV475" s="119"/>
      <c r="BW475" s="119"/>
      <c r="BX475" s="119"/>
      <c r="BY475" s="119"/>
      <c r="BZ475" s="119"/>
      <c r="CA475" s="119"/>
      <c r="CB475" s="119"/>
      <c r="CC475" s="119"/>
      <c r="CD475" s="148">
        <v>43868.0</v>
      </c>
      <c r="CE475" s="74">
        <v>1.0</v>
      </c>
      <c r="CF475" s="74" t="s">
        <v>20366</v>
      </c>
      <c r="CG475" s="120">
        <v>7987.0</v>
      </c>
      <c r="CH475" s="74" t="s">
        <v>21857</v>
      </c>
      <c r="CI475" s="74" t="s">
        <v>21859</v>
      </c>
      <c r="CJ475" s="120">
        <v>474.0</v>
      </c>
    </row>
    <row r="476">
      <c r="A476" s="74" t="s">
        <v>21860</v>
      </c>
      <c r="B476" s="74" t="s">
        <v>6876</v>
      </c>
      <c r="C476" s="74" t="s">
        <v>6877</v>
      </c>
      <c r="D476" s="74" t="s">
        <v>8493</v>
      </c>
      <c r="E476" s="74" t="s">
        <v>21862</v>
      </c>
      <c r="F476" s="74">
        <v>33.0</v>
      </c>
      <c r="G476" s="74">
        <v>1.0</v>
      </c>
      <c r="H476" s="74">
        <v>97.0</v>
      </c>
      <c r="I476" s="119"/>
      <c r="J476" s="119"/>
      <c r="K476" s="74" t="s">
        <v>436</v>
      </c>
      <c r="L476" s="74" t="s">
        <v>436</v>
      </c>
      <c r="M476" s="74" t="s">
        <v>21646</v>
      </c>
      <c r="N476" s="74" t="s">
        <v>21647</v>
      </c>
      <c r="O476" s="74" t="s">
        <v>21649</v>
      </c>
      <c r="P476" s="119"/>
      <c r="Q476" s="119"/>
      <c r="R476" s="119"/>
      <c r="S476" s="74">
        <v>7.0</v>
      </c>
      <c r="T476" s="74">
        <v>1000.0</v>
      </c>
      <c r="U476" s="74">
        <v>3.0</v>
      </c>
      <c r="V476" s="74">
        <v>76.0</v>
      </c>
      <c r="W476" s="119"/>
      <c r="X476" s="119"/>
      <c r="Y476" s="119"/>
      <c r="Z476" s="119"/>
      <c r="AA476" s="119"/>
      <c r="AB476" s="119"/>
      <c r="AC476" s="119"/>
      <c r="AD476" s="119"/>
      <c r="AE476" s="119"/>
      <c r="AF476" s="119"/>
      <c r="AG476" s="119"/>
      <c r="AH476" s="119"/>
      <c r="AI476" s="119"/>
      <c r="AJ476" s="119"/>
      <c r="AK476" s="119"/>
      <c r="AL476" s="119"/>
      <c r="AM476" s="119"/>
      <c r="AN476" s="119"/>
      <c r="AO476" s="119"/>
      <c r="AP476" s="119"/>
      <c r="AQ476" s="119"/>
      <c r="AR476" s="119"/>
      <c r="AS476" s="119"/>
      <c r="AT476" s="119"/>
      <c r="AU476" s="74">
        <v>0.0</v>
      </c>
      <c r="AV476" s="119"/>
      <c r="AW476" s="119"/>
      <c r="AX476" s="119"/>
      <c r="AY476" s="119"/>
      <c r="AZ476" s="119"/>
      <c r="BA476" s="119"/>
      <c r="BB476" s="119"/>
      <c r="BC476" s="119"/>
      <c r="BD476" s="119"/>
      <c r="BE476" s="119"/>
      <c r="BF476" s="119"/>
      <c r="BG476" s="119"/>
      <c r="BH476" s="119"/>
      <c r="BI476" s="119"/>
      <c r="BJ476" s="119"/>
      <c r="BK476" s="119"/>
      <c r="BL476" s="119"/>
      <c r="BM476" s="119"/>
      <c r="BN476" s="119"/>
      <c r="BO476" s="119"/>
      <c r="BP476" s="119"/>
      <c r="BQ476" s="119"/>
      <c r="BR476" s="119"/>
      <c r="BS476" s="119"/>
      <c r="BT476" s="119"/>
      <c r="BU476" s="119"/>
      <c r="BV476" s="119"/>
      <c r="BW476" s="119"/>
      <c r="BX476" s="119"/>
      <c r="BY476" s="119"/>
      <c r="BZ476" s="119"/>
      <c r="CA476" s="119"/>
      <c r="CB476" s="119"/>
      <c r="CC476" s="119"/>
      <c r="CD476" s="148">
        <v>43868.0</v>
      </c>
      <c r="CE476" s="74">
        <v>1.0</v>
      </c>
      <c r="CF476" s="74" t="s">
        <v>20366</v>
      </c>
      <c r="CG476" s="120">
        <v>7988.0</v>
      </c>
      <c r="CH476" s="74" t="s">
        <v>21878</v>
      </c>
      <c r="CI476" s="74" t="s">
        <v>21880</v>
      </c>
      <c r="CJ476" s="120">
        <v>475.0</v>
      </c>
    </row>
    <row r="477">
      <c r="A477" s="74" t="s">
        <v>21882</v>
      </c>
      <c r="B477" s="74" t="s">
        <v>6876</v>
      </c>
      <c r="C477" s="74" t="s">
        <v>6877</v>
      </c>
      <c r="D477" s="74" t="s">
        <v>8493</v>
      </c>
      <c r="E477" s="74" t="s">
        <v>21883</v>
      </c>
      <c r="F477" s="74">
        <v>33.0</v>
      </c>
      <c r="G477" s="74">
        <v>1.0</v>
      </c>
      <c r="H477" s="74">
        <v>97.0</v>
      </c>
      <c r="I477" s="119"/>
      <c r="J477" s="119"/>
      <c r="K477" s="74" t="s">
        <v>15565</v>
      </c>
      <c r="L477" s="74" t="s">
        <v>15565</v>
      </c>
      <c r="M477" s="74" t="s">
        <v>21646</v>
      </c>
      <c r="N477" s="74" t="s">
        <v>21647</v>
      </c>
      <c r="O477" s="74" t="s">
        <v>21649</v>
      </c>
      <c r="P477" s="119"/>
      <c r="Q477" s="119"/>
      <c r="R477" s="119"/>
      <c r="S477" s="119"/>
      <c r="T477" s="119"/>
      <c r="U477" s="119"/>
      <c r="V477" s="119"/>
      <c r="W477" s="119"/>
      <c r="X477" s="119"/>
      <c r="Y477" s="119"/>
      <c r="Z477" s="119"/>
      <c r="AA477" s="119"/>
      <c r="AB477" s="119"/>
      <c r="AC477" s="119"/>
      <c r="AD477" s="119"/>
      <c r="AE477" s="119"/>
      <c r="AF477" s="119"/>
      <c r="AG477" s="119"/>
      <c r="AH477" s="74">
        <v>7.0</v>
      </c>
      <c r="AI477" s="74">
        <v>1000.0</v>
      </c>
      <c r="AJ477" s="74">
        <v>1.0</v>
      </c>
      <c r="AK477" s="119"/>
      <c r="AL477" s="119"/>
      <c r="AM477" s="119"/>
      <c r="AN477" s="119"/>
      <c r="AO477" s="119"/>
      <c r="AP477" s="119"/>
      <c r="AQ477" s="119"/>
      <c r="AR477" s="119"/>
      <c r="AS477" s="119"/>
      <c r="AT477" s="119"/>
      <c r="AU477" s="74">
        <v>0.0</v>
      </c>
      <c r="AV477" s="119"/>
      <c r="AW477" s="119"/>
      <c r="AX477" s="119"/>
      <c r="AY477" s="119"/>
      <c r="AZ477" s="119"/>
      <c r="BA477" s="119"/>
      <c r="BB477" s="119"/>
      <c r="BC477" s="119"/>
      <c r="BD477" s="119"/>
      <c r="BE477" s="119"/>
      <c r="BF477" s="119"/>
      <c r="BG477" s="119"/>
      <c r="BH477" s="119"/>
      <c r="BI477" s="119"/>
      <c r="BJ477" s="119"/>
      <c r="BK477" s="119"/>
      <c r="BL477" s="119"/>
      <c r="BM477" s="119"/>
      <c r="BN477" s="119"/>
      <c r="BO477" s="119"/>
      <c r="BP477" s="119"/>
      <c r="BQ477" s="119"/>
      <c r="BR477" s="119"/>
      <c r="BS477" s="119"/>
      <c r="BT477" s="119"/>
      <c r="BU477" s="119"/>
      <c r="BV477" s="119"/>
      <c r="BW477" s="119"/>
      <c r="BX477" s="119"/>
      <c r="BY477" s="119"/>
      <c r="BZ477" s="119"/>
      <c r="CA477" s="119"/>
      <c r="CB477" s="119"/>
      <c r="CC477" s="74" t="s">
        <v>21897</v>
      </c>
      <c r="CD477" s="148">
        <v>43868.0</v>
      </c>
      <c r="CE477" s="74">
        <v>0.0</v>
      </c>
      <c r="CF477" s="74" t="s">
        <v>20366</v>
      </c>
      <c r="CG477" s="120">
        <v>7989.0</v>
      </c>
      <c r="CH477" s="74" t="s">
        <v>21899</v>
      </c>
      <c r="CI477" s="74" t="s">
        <v>21900</v>
      </c>
      <c r="CJ477" s="120">
        <v>476.0</v>
      </c>
    </row>
    <row r="478">
      <c r="A478" s="74" t="s">
        <v>21902</v>
      </c>
      <c r="B478" s="74" t="s">
        <v>6876</v>
      </c>
      <c r="C478" s="74" t="s">
        <v>6877</v>
      </c>
      <c r="D478" s="74" t="s">
        <v>8493</v>
      </c>
      <c r="E478" s="74" t="s">
        <v>21903</v>
      </c>
      <c r="F478" s="74">
        <v>65.0</v>
      </c>
      <c r="G478" s="74">
        <v>1.0</v>
      </c>
      <c r="H478" s="74">
        <v>16.0</v>
      </c>
      <c r="I478" s="119"/>
      <c r="J478" s="119"/>
      <c r="K478" s="74" t="s">
        <v>3838</v>
      </c>
      <c r="L478" s="74" t="s">
        <v>3838</v>
      </c>
      <c r="M478" s="74" t="s">
        <v>21907</v>
      </c>
      <c r="N478" s="74" t="s">
        <v>21908</v>
      </c>
      <c r="O478" s="74" t="s">
        <v>21909</v>
      </c>
      <c r="P478" s="119"/>
      <c r="Q478" s="119"/>
      <c r="R478" s="119"/>
      <c r="S478" s="74">
        <v>7.0</v>
      </c>
      <c r="T478" s="74">
        <v>1000.0</v>
      </c>
      <c r="U478" s="74">
        <v>4.0</v>
      </c>
      <c r="V478" s="119"/>
      <c r="W478" s="74">
        <v>7.0</v>
      </c>
      <c r="X478" s="74">
        <v>100.0</v>
      </c>
      <c r="Y478" s="74">
        <v>1.0</v>
      </c>
      <c r="Z478" s="119"/>
      <c r="AA478" s="74">
        <v>1.0</v>
      </c>
      <c r="AB478" s="74">
        <v>4.0</v>
      </c>
      <c r="AC478" s="74">
        <v>1000.0</v>
      </c>
      <c r="AD478" s="74">
        <v>3.0</v>
      </c>
      <c r="AE478" s="74">
        <v>12.0</v>
      </c>
      <c r="AF478" s="119"/>
      <c r="AG478" s="119"/>
      <c r="AH478" s="74">
        <v>7.0</v>
      </c>
      <c r="AI478" s="74">
        <v>1000.0</v>
      </c>
      <c r="AJ478" s="74">
        <v>3.0</v>
      </c>
      <c r="AK478" s="74">
        <v>103.0</v>
      </c>
      <c r="AL478" s="74">
        <v>7.0</v>
      </c>
      <c r="AM478" s="74">
        <v>100.0</v>
      </c>
      <c r="AN478" s="74">
        <v>3.0</v>
      </c>
      <c r="AO478" s="74">
        <v>33.0</v>
      </c>
      <c r="AP478" s="74">
        <v>0.0</v>
      </c>
      <c r="AQ478" s="119"/>
      <c r="AR478" s="119"/>
      <c r="AS478" s="119"/>
      <c r="AT478" s="119"/>
      <c r="AU478" s="74">
        <v>0.0</v>
      </c>
      <c r="AV478" s="119"/>
      <c r="AW478" s="119"/>
      <c r="AX478" s="119"/>
      <c r="AY478" s="119"/>
      <c r="AZ478" s="119"/>
      <c r="BA478" s="119"/>
      <c r="BB478" s="119"/>
      <c r="BC478" s="119"/>
      <c r="BD478" s="119"/>
      <c r="BE478" s="119"/>
      <c r="BF478" s="119"/>
      <c r="BG478" s="119"/>
      <c r="BH478" s="119"/>
      <c r="BI478" s="119"/>
      <c r="BJ478" s="119"/>
      <c r="BK478" s="119"/>
      <c r="BL478" s="119"/>
      <c r="BM478" s="119"/>
      <c r="BN478" s="119"/>
      <c r="BO478" s="119"/>
      <c r="BP478" s="119"/>
      <c r="BQ478" s="119"/>
      <c r="BR478" s="119"/>
      <c r="BS478" s="119"/>
      <c r="BT478" s="119"/>
      <c r="BU478" s="119"/>
      <c r="BV478" s="119"/>
      <c r="BW478" s="119"/>
      <c r="BX478" s="119"/>
      <c r="BY478" s="119"/>
      <c r="BZ478" s="119"/>
      <c r="CA478" s="119"/>
      <c r="CB478" s="119"/>
      <c r="CC478" s="74" t="s">
        <v>21915</v>
      </c>
      <c r="CD478" s="148">
        <v>43868.0</v>
      </c>
      <c r="CE478" s="74">
        <v>1.0</v>
      </c>
      <c r="CF478" s="74" t="s">
        <v>20366</v>
      </c>
      <c r="CG478" s="120">
        <v>7990.0</v>
      </c>
      <c r="CH478" s="74" t="s">
        <v>21916</v>
      </c>
      <c r="CI478" s="74" t="s">
        <v>21917</v>
      </c>
      <c r="CJ478" s="120">
        <v>477.0</v>
      </c>
    </row>
    <row r="479">
      <c r="A479" s="74" t="s">
        <v>21919</v>
      </c>
      <c r="B479" s="74" t="s">
        <v>6876</v>
      </c>
      <c r="C479" s="74" t="s">
        <v>6877</v>
      </c>
      <c r="D479" s="74" t="s">
        <v>8493</v>
      </c>
      <c r="E479" s="74" t="s">
        <v>21920</v>
      </c>
      <c r="F479" s="74">
        <v>58.0</v>
      </c>
      <c r="G479" s="74">
        <v>1.0</v>
      </c>
      <c r="H479" s="74">
        <v>7.0</v>
      </c>
      <c r="I479" s="119"/>
      <c r="J479" s="119"/>
      <c r="K479" s="74" t="s">
        <v>3805</v>
      </c>
      <c r="L479" s="74" t="s">
        <v>3805</v>
      </c>
      <c r="M479" s="74" t="s">
        <v>21907</v>
      </c>
      <c r="N479" s="74" t="s">
        <v>21908</v>
      </c>
      <c r="O479" s="74" t="s">
        <v>21909</v>
      </c>
      <c r="P479" s="119"/>
      <c r="Q479" s="119"/>
      <c r="R479" s="119"/>
      <c r="S479" s="74">
        <v>7.0</v>
      </c>
      <c r="T479" s="74">
        <v>1000.0</v>
      </c>
      <c r="U479" s="74">
        <v>4.0</v>
      </c>
      <c r="V479" s="119"/>
      <c r="W479" s="74">
        <v>7.0</v>
      </c>
      <c r="X479" s="74">
        <v>100.0</v>
      </c>
      <c r="Y479" s="74">
        <v>3.0</v>
      </c>
      <c r="Z479" s="74">
        <v>19.0</v>
      </c>
      <c r="AA479" s="74">
        <v>1.0</v>
      </c>
      <c r="AB479" s="74">
        <v>4.0</v>
      </c>
      <c r="AC479" s="74">
        <v>1000.0</v>
      </c>
      <c r="AD479" s="74">
        <v>3.0</v>
      </c>
      <c r="AE479" s="74">
        <v>0.0</v>
      </c>
      <c r="AF479" s="119"/>
      <c r="AG479" s="119"/>
      <c r="AH479" s="74">
        <v>7.0</v>
      </c>
      <c r="AI479" s="74">
        <v>5000.0</v>
      </c>
      <c r="AJ479" s="74">
        <v>3.0</v>
      </c>
      <c r="AK479" s="74">
        <v>0.0</v>
      </c>
      <c r="AL479" s="74">
        <v>7.0</v>
      </c>
      <c r="AM479" s="74">
        <v>1000.0</v>
      </c>
      <c r="AN479" s="74">
        <v>3.0</v>
      </c>
      <c r="AO479" s="74">
        <v>0.0</v>
      </c>
      <c r="AP479" s="74">
        <v>1.0</v>
      </c>
      <c r="AQ479" s="74">
        <v>7.0</v>
      </c>
      <c r="AR479" s="74">
        <v>100.0</v>
      </c>
      <c r="AS479" s="74">
        <v>3.0</v>
      </c>
      <c r="AT479" s="74">
        <v>0.0</v>
      </c>
      <c r="AU479" s="74">
        <v>0.0</v>
      </c>
      <c r="AV479" s="119"/>
      <c r="AW479" s="119"/>
      <c r="AX479" s="119"/>
      <c r="AY479" s="119"/>
      <c r="AZ479" s="119"/>
      <c r="BA479" s="119"/>
      <c r="BB479" s="119"/>
      <c r="BC479" s="119"/>
      <c r="BD479" s="119"/>
      <c r="BE479" s="119"/>
      <c r="BF479" s="119"/>
      <c r="BG479" s="119"/>
      <c r="BH479" s="119"/>
      <c r="BI479" s="119"/>
      <c r="BJ479" s="119"/>
      <c r="BK479" s="119"/>
      <c r="BL479" s="119"/>
      <c r="BM479" s="119"/>
      <c r="BN479" s="119"/>
      <c r="BO479" s="119"/>
      <c r="BP479" s="119"/>
      <c r="BQ479" s="119"/>
      <c r="BR479" s="119"/>
      <c r="BS479" s="119"/>
      <c r="BT479" s="119"/>
      <c r="BU479" s="119"/>
      <c r="BV479" s="119"/>
      <c r="BW479" s="119"/>
      <c r="BX479" s="119"/>
      <c r="BY479" s="119"/>
      <c r="BZ479" s="119"/>
      <c r="CA479" s="119"/>
      <c r="CB479" s="119"/>
      <c r="CC479" s="74" t="s">
        <v>21927</v>
      </c>
      <c r="CD479" s="148">
        <v>43868.0</v>
      </c>
      <c r="CE479" s="74">
        <v>1.0</v>
      </c>
      <c r="CF479" s="74" t="s">
        <v>20366</v>
      </c>
      <c r="CG479" s="120">
        <v>7991.0</v>
      </c>
      <c r="CH479" s="74" t="s">
        <v>21928</v>
      </c>
      <c r="CI479" s="74" t="s">
        <v>21929</v>
      </c>
      <c r="CJ479" s="120">
        <v>478.0</v>
      </c>
    </row>
    <row r="480">
      <c r="A480" s="74" t="s">
        <v>21930</v>
      </c>
      <c r="B480" s="74" t="s">
        <v>6876</v>
      </c>
      <c r="C480" s="74" t="s">
        <v>6877</v>
      </c>
      <c r="D480" s="74" t="s">
        <v>8493</v>
      </c>
      <c r="E480" s="74" t="s">
        <v>21932</v>
      </c>
      <c r="F480" s="74">
        <v>58.0</v>
      </c>
      <c r="G480" s="74">
        <v>1.0</v>
      </c>
      <c r="H480" s="74">
        <v>7.0</v>
      </c>
      <c r="I480" s="119"/>
      <c r="J480" s="119"/>
      <c r="K480" s="74" t="s">
        <v>3821</v>
      </c>
      <c r="L480" s="74" t="s">
        <v>3821</v>
      </c>
      <c r="M480" s="74" t="s">
        <v>21907</v>
      </c>
      <c r="N480" s="74" t="s">
        <v>21908</v>
      </c>
      <c r="O480" s="74" t="s">
        <v>21909</v>
      </c>
      <c r="P480" s="119"/>
      <c r="Q480" s="119"/>
      <c r="R480" s="119"/>
      <c r="S480" s="74">
        <v>7.0</v>
      </c>
      <c r="T480" s="74">
        <v>1000.0</v>
      </c>
      <c r="U480" s="74">
        <v>3.0</v>
      </c>
      <c r="V480" s="74">
        <v>189.0</v>
      </c>
      <c r="W480" s="74">
        <v>7.0</v>
      </c>
      <c r="X480" s="74">
        <v>100.0</v>
      </c>
      <c r="Y480" s="74">
        <v>3.0</v>
      </c>
      <c r="Z480" s="74">
        <v>23.0</v>
      </c>
      <c r="AA480" s="74">
        <v>1.0</v>
      </c>
      <c r="AB480" s="74">
        <v>4.0</v>
      </c>
      <c r="AC480" s="74">
        <v>1000.0</v>
      </c>
      <c r="AD480" s="74">
        <v>3.0</v>
      </c>
      <c r="AE480" s="74">
        <v>0.0</v>
      </c>
      <c r="AF480" s="119"/>
      <c r="AG480" s="119"/>
      <c r="AH480" s="74">
        <v>7.0</v>
      </c>
      <c r="AI480" s="74">
        <v>5000.0</v>
      </c>
      <c r="AJ480" s="74">
        <v>3.0</v>
      </c>
      <c r="AK480" s="74">
        <v>0.0</v>
      </c>
      <c r="AL480" s="74">
        <v>7.0</v>
      </c>
      <c r="AM480" s="74">
        <v>1000.0</v>
      </c>
      <c r="AN480" s="74">
        <v>3.0</v>
      </c>
      <c r="AO480" s="74">
        <v>0.0</v>
      </c>
      <c r="AP480" s="74">
        <v>1.0</v>
      </c>
      <c r="AQ480" s="74">
        <v>7.0</v>
      </c>
      <c r="AR480" s="74">
        <v>100.0</v>
      </c>
      <c r="AS480" s="74">
        <v>3.0</v>
      </c>
      <c r="AT480" s="74">
        <v>0.0</v>
      </c>
      <c r="AU480" s="74">
        <v>0.0</v>
      </c>
      <c r="AV480" s="119"/>
      <c r="AW480" s="119"/>
      <c r="AX480" s="119"/>
      <c r="AY480" s="119"/>
      <c r="AZ480" s="119"/>
      <c r="BA480" s="119"/>
      <c r="BB480" s="119"/>
      <c r="BC480" s="119"/>
      <c r="BD480" s="119"/>
      <c r="BE480" s="119"/>
      <c r="BF480" s="119"/>
      <c r="BG480" s="119"/>
      <c r="BH480" s="119"/>
      <c r="BI480" s="119"/>
      <c r="BJ480" s="119"/>
      <c r="BK480" s="119"/>
      <c r="BL480" s="119"/>
      <c r="BM480" s="119"/>
      <c r="BN480" s="119"/>
      <c r="BO480" s="119"/>
      <c r="BP480" s="119"/>
      <c r="BQ480" s="119"/>
      <c r="BR480" s="119"/>
      <c r="BS480" s="119"/>
      <c r="BT480" s="119"/>
      <c r="BU480" s="119"/>
      <c r="BV480" s="119"/>
      <c r="BW480" s="119"/>
      <c r="BX480" s="119"/>
      <c r="BY480" s="119"/>
      <c r="BZ480" s="119"/>
      <c r="CA480" s="119"/>
      <c r="CB480" s="119"/>
      <c r="CC480" s="74" t="s">
        <v>21602</v>
      </c>
      <c r="CD480" s="148">
        <v>43868.0</v>
      </c>
      <c r="CE480" s="74">
        <v>1.0</v>
      </c>
      <c r="CF480" s="74" t="s">
        <v>20366</v>
      </c>
      <c r="CG480" s="120">
        <v>7992.0</v>
      </c>
      <c r="CH480" s="74" t="s">
        <v>21970</v>
      </c>
      <c r="CI480" s="74" t="s">
        <v>21971</v>
      </c>
      <c r="CJ480" s="120">
        <v>479.0</v>
      </c>
    </row>
    <row r="481">
      <c r="A481" s="74" t="s">
        <v>21932</v>
      </c>
      <c r="B481" s="74" t="s">
        <v>6876</v>
      </c>
      <c r="C481" s="74" t="s">
        <v>6877</v>
      </c>
      <c r="D481" s="74" t="s">
        <v>8493</v>
      </c>
      <c r="E481" s="74" t="s">
        <v>21976</v>
      </c>
      <c r="F481" s="74">
        <v>59.0</v>
      </c>
      <c r="G481" s="74">
        <v>1.0</v>
      </c>
      <c r="H481" s="74">
        <v>11.0</v>
      </c>
      <c r="I481" s="119"/>
      <c r="J481" s="119"/>
      <c r="K481" s="74" t="s">
        <v>3896</v>
      </c>
      <c r="L481" s="74" t="s">
        <v>3896</v>
      </c>
      <c r="M481" s="74" t="s">
        <v>17082</v>
      </c>
      <c r="N481" s="74" t="s">
        <v>16899</v>
      </c>
      <c r="O481" s="74" t="s">
        <v>21988</v>
      </c>
      <c r="P481" s="74">
        <v>4.0</v>
      </c>
      <c r="Q481" s="119"/>
      <c r="R481" s="119"/>
      <c r="S481" s="74">
        <v>7.0</v>
      </c>
      <c r="T481" s="74">
        <v>1000.0</v>
      </c>
      <c r="U481" s="74">
        <v>1.0</v>
      </c>
      <c r="V481" s="119"/>
      <c r="W481" s="74">
        <v>7.0</v>
      </c>
      <c r="X481" s="74">
        <v>100.0</v>
      </c>
      <c r="Y481" s="74">
        <v>3.0</v>
      </c>
      <c r="Z481" s="74">
        <v>150.0</v>
      </c>
      <c r="AA481" s="74">
        <v>1.0</v>
      </c>
      <c r="AB481" s="74">
        <v>4.0</v>
      </c>
      <c r="AC481" s="74">
        <v>1000.0</v>
      </c>
      <c r="AD481" s="74">
        <v>3.0</v>
      </c>
      <c r="AE481" s="74">
        <v>0.0</v>
      </c>
      <c r="AF481" s="119"/>
      <c r="AG481" s="119"/>
      <c r="AH481" s="74">
        <v>7.0</v>
      </c>
      <c r="AI481" s="74">
        <v>5000.0</v>
      </c>
      <c r="AJ481" s="74">
        <v>3.0</v>
      </c>
      <c r="AK481" s="74">
        <v>0.0</v>
      </c>
      <c r="AL481" s="74">
        <v>7.0</v>
      </c>
      <c r="AM481" s="74">
        <v>1000.0</v>
      </c>
      <c r="AN481" s="74">
        <v>3.0</v>
      </c>
      <c r="AO481" s="74">
        <v>0.0</v>
      </c>
      <c r="AP481" s="74">
        <v>1.0</v>
      </c>
      <c r="AQ481" s="74">
        <v>7.0</v>
      </c>
      <c r="AR481" s="74">
        <v>100.0</v>
      </c>
      <c r="AS481" s="74">
        <v>3.0</v>
      </c>
      <c r="AT481" s="74">
        <v>0.0</v>
      </c>
      <c r="AU481" s="74">
        <v>0.0</v>
      </c>
      <c r="AV481" s="119"/>
      <c r="AW481" s="119"/>
      <c r="AX481" s="119"/>
      <c r="AY481" s="119"/>
      <c r="AZ481" s="119"/>
      <c r="BA481" s="119"/>
      <c r="BB481" s="119"/>
      <c r="BC481" s="119"/>
      <c r="BD481" s="119"/>
      <c r="BE481" s="119"/>
      <c r="BF481" s="119"/>
      <c r="BG481" s="119"/>
      <c r="BH481" s="119"/>
      <c r="BI481" s="119"/>
      <c r="BJ481" s="119"/>
      <c r="BK481" s="119"/>
      <c r="BL481" s="119"/>
      <c r="BM481" s="119"/>
      <c r="BN481" s="119"/>
      <c r="BO481" s="119"/>
      <c r="BP481" s="119"/>
      <c r="BQ481" s="119"/>
      <c r="BR481" s="119"/>
      <c r="BS481" s="119"/>
      <c r="BT481" s="119"/>
      <c r="BU481" s="119"/>
      <c r="BV481" s="119"/>
      <c r="BW481" s="119"/>
      <c r="BX481" s="119"/>
      <c r="BY481" s="119"/>
      <c r="BZ481" s="119"/>
      <c r="CA481" s="119"/>
      <c r="CB481" s="119"/>
      <c r="CC481" s="74" t="s">
        <v>21602</v>
      </c>
      <c r="CD481" s="148">
        <v>43868.0</v>
      </c>
      <c r="CE481" s="74">
        <v>1.0</v>
      </c>
      <c r="CF481" s="74" t="s">
        <v>20366</v>
      </c>
      <c r="CG481" s="120">
        <v>7993.0</v>
      </c>
      <c r="CH481" s="74" t="s">
        <v>22017</v>
      </c>
      <c r="CI481" s="74" t="s">
        <v>22018</v>
      </c>
      <c r="CJ481" s="120">
        <v>480.0</v>
      </c>
    </row>
    <row r="482">
      <c r="A482" s="74" t="s">
        <v>21976</v>
      </c>
      <c r="B482" s="74" t="s">
        <v>6876</v>
      </c>
      <c r="C482" s="74" t="s">
        <v>6877</v>
      </c>
      <c r="D482" s="74" t="s">
        <v>8493</v>
      </c>
      <c r="E482" s="74" t="s">
        <v>22019</v>
      </c>
      <c r="F482" s="74">
        <v>59.0</v>
      </c>
      <c r="G482" s="74">
        <v>1.0</v>
      </c>
      <c r="H482" s="74">
        <v>11.0</v>
      </c>
      <c r="I482" s="119"/>
      <c r="J482" s="119"/>
      <c r="K482" s="74" t="s">
        <v>3911</v>
      </c>
      <c r="L482" s="74" t="s">
        <v>3911</v>
      </c>
      <c r="M482" s="74" t="s">
        <v>17082</v>
      </c>
      <c r="N482" s="74" t="s">
        <v>16899</v>
      </c>
      <c r="O482" s="74" t="s">
        <v>21988</v>
      </c>
      <c r="P482" s="74">
        <v>4.0</v>
      </c>
      <c r="Q482" s="119"/>
      <c r="R482" s="119"/>
      <c r="S482" s="74">
        <v>7.0</v>
      </c>
      <c r="T482" s="74">
        <v>1000.0</v>
      </c>
      <c r="U482" s="74">
        <v>1.0</v>
      </c>
      <c r="V482" s="119"/>
      <c r="W482" s="74">
        <v>7.0</v>
      </c>
      <c r="X482" s="74">
        <v>100.0</v>
      </c>
      <c r="Y482" s="74">
        <v>3.0</v>
      </c>
      <c r="Z482" s="74">
        <v>180.0</v>
      </c>
      <c r="AA482" s="74">
        <v>1.0</v>
      </c>
      <c r="AB482" s="74">
        <v>4.0</v>
      </c>
      <c r="AC482" s="74">
        <v>1000.0</v>
      </c>
      <c r="AD482" s="74">
        <v>3.0</v>
      </c>
      <c r="AE482" s="74">
        <v>0.0</v>
      </c>
      <c r="AF482" s="119"/>
      <c r="AG482" s="119"/>
      <c r="AH482" s="74">
        <v>7.0</v>
      </c>
      <c r="AI482" s="74">
        <v>1000.0</v>
      </c>
      <c r="AJ482" s="74">
        <v>3.0</v>
      </c>
      <c r="AK482" s="74">
        <v>0.0</v>
      </c>
      <c r="AL482" s="74">
        <v>7.0</v>
      </c>
      <c r="AM482" s="74">
        <v>1000.0</v>
      </c>
      <c r="AN482" s="74">
        <v>3.0</v>
      </c>
      <c r="AO482" s="74">
        <v>0.0</v>
      </c>
      <c r="AP482" s="74">
        <v>1.0</v>
      </c>
      <c r="AQ482" s="74">
        <v>7.0</v>
      </c>
      <c r="AR482" s="74">
        <v>100.0</v>
      </c>
      <c r="AS482" s="74">
        <v>3.0</v>
      </c>
      <c r="AT482" s="74">
        <v>0.0</v>
      </c>
      <c r="AU482" s="74">
        <v>0.0</v>
      </c>
      <c r="AV482" s="119"/>
      <c r="AW482" s="119"/>
      <c r="AX482" s="119"/>
      <c r="AY482" s="119"/>
      <c r="AZ482" s="119"/>
      <c r="BA482" s="119"/>
      <c r="BB482" s="119"/>
      <c r="BC482" s="119"/>
      <c r="BD482" s="119"/>
      <c r="BE482" s="119"/>
      <c r="BF482" s="119"/>
      <c r="BG482" s="119"/>
      <c r="BH482" s="119"/>
      <c r="BI482" s="119"/>
      <c r="BJ482" s="119"/>
      <c r="BK482" s="119"/>
      <c r="BL482" s="119"/>
      <c r="BM482" s="119"/>
      <c r="BN482" s="119"/>
      <c r="BO482" s="119"/>
      <c r="BP482" s="119"/>
      <c r="BQ482" s="119"/>
      <c r="BR482" s="119"/>
      <c r="BS482" s="119"/>
      <c r="BT482" s="119"/>
      <c r="BU482" s="119"/>
      <c r="BV482" s="119"/>
      <c r="BW482" s="119"/>
      <c r="BX482" s="119"/>
      <c r="BY482" s="119"/>
      <c r="BZ482" s="119"/>
      <c r="CA482" s="119"/>
      <c r="CB482" s="119"/>
      <c r="CC482" s="74" t="s">
        <v>21602</v>
      </c>
      <c r="CD482" s="148">
        <v>43868.0</v>
      </c>
      <c r="CE482" s="74">
        <v>1.0</v>
      </c>
      <c r="CF482" s="74" t="s">
        <v>20366</v>
      </c>
      <c r="CG482" s="120">
        <v>7994.0</v>
      </c>
      <c r="CH482" s="74" t="s">
        <v>22041</v>
      </c>
      <c r="CI482" s="74" t="s">
        <v>22042</v>
      </c>
      <c r="CJ482" s="120">
        <v>481.0</v>
      </c>
    </row>
    <row r="483">
      <c r="A483" s="74" t="s">
        <v>22019</v>
      </c>
      <c r="B483" s="74" t="s">
        <v>6876</v>
      </c>
      <c r="C483" s="74" t="s">
        <v>6877</v>
      </c>
      <c r="D483" s="74" t="s">
        <v>8493</v>
      </c>
      <c r="E483" s="74" t="s">
        <v>22048</v>
      </c>
      <c r="F483" s="74">
        <v>59.0</v>
      </c>
      <c r="G483" s="74">
        <v>1.0</v>
      </c>
      <c r="H483" s="74">
        <v>11.0</v>
      </c>
      <c r="I483" s="119"/>
      <c r="J483" s="119"/>
      <c r="K483" s="74" t="s">
        <v>3931</v>
      </c>
      <c r="L483" s="74" t="s">
        <v>3931</v>
      </c>
      <c r="M483" s="74" t="s">
        <v>17082</v>
      </c>
      <c r="N483" s="74" t="s">
        <v>16899</v>
      </c>
      <c r="O483" s="74" t="s">
        <v>21988</v>
      </c>
      <c r="P483" s="74">
        <v>4.0</v>
      </c>
      <c r="Q483" s="119"/>
      <c r="R483" s="119"/>
      <c r="S483" s="74">
        <v>7.0</v>
      </c>
      <c r="T483" s="74">
        <v>1000.0</v>
      </c>
      <c r="U483" s="74">
        <v>1.0</v>
      </c>
      <c r="V483" s="119"/>
      <c r="W483" s="74">
        <v>7.0</v>
      </c>
      <c r="X483" s="74">
        <v>100.0</v>
      </c>
      <c r="Y483" s="74">
        <v>3.0</v>
      </c>
      <c r="Z483" s="74">
        <v>178.0</v>
      </c>
      <c r="AA483" s="74">
        <v>1.0</v>
      </c>
      <c r="AB483" s="74">
        <v>4.0</v>
      </c>
      <c r="AC483" s="74">
        <v>1000.0</v>
      </c>
      <c r="AD483" s="74">
        <v>3.0</v>
      </c>
      <c r="AE483" s="74">
        <v>2.0</v>
      </c>
      <c r="AF483" s="119"/>
      <c r="AG483" s="119"/>
      <c r="AH483" s="74">
        <v>7.0</v>
      </c>
      <c r="AI483" s="74">
        <v>5000.0</v>
      </c>
      <c r="AJ483" s="74">
        <v>3.0</v>
      </c>
      <c r="AK483" s="74">
        <v>3.0</v>
      </c>
      <c r="AL483" s="74">
        <v>7.0</v>
      </c>
      <c r="AM483" s="74">
        <v>1000.0</v>
      </c>
      <c r="AN483" s="74">
        <v>3.0</v>
      </c>
      <c r="AO483" s="74">
        <v>0.0</v>
      </c>
      <c r="AP483" s="74">
        <v>1.0</v>
      </c>
      <c r="AQ483" s="74">
        <v>7.0</v>
      </c>
      <c r="AR483" s="74">
        <v>100.0</v>
      </c>
      <c r="AS483" s="74">
        <v>3.0</v>
      </c>
      <c r="AT483" s="74">
        <v>0.0</v>
      </c>
      <c r="AU483" s="74">
        <v>0.0</v>
      </c>
      <c r="AV483" s="119"/>
      <c r="AW483" s="119"/>
      <c r="AX483" s="119"/>
      <c r="AY483" s="119"/>
      <c r="AZ483" s="119"/>
      <c r="BA483" s="119"/>
      <c r="BB483" s="119"/>
      <c r="BC483" s="119"/>
      <c r="BD483" s="119"/>
      <c r="BE483" s="119"/>
      <c r="BF483" s="119"/>
      <c r="BG483" s="119"/>
      <c r="BH483" s="119"/>
      <c r="BI483" s="119"/>
      <c r="BJ483" s="119"/>
      <c r="BK483" s="119"/>
      <c r="BL483" s="119"/>
      <c r="BM483" s="119"/>
      <c r="BN483" s="119"/>
      <c r="BO483" s="119"/>
      <c r="BP483" s="119"/>
      <c r="BQ483" s="119"/>
      <c r="BR483" s="119"/>
      <c r="BS483" s="119"/>
      <c r="BT483" s="119"/>
      <c r="BU483" s="119"/>
      <c r="BV483" s="119"/>
      <c r="BW483" s="119"/>
      <c r="BX483" s="119"/>
      <c r="BY483" s="119"/>
      <c r="BZ483" s="119"/>
      <c r="CA483" s="119"/>
      <c r="CB483" s="119"/>
      <c r="CC483" s="74" t="s">
        <v>21602</v>
      </c>
      <c r="CD483" s="148">
        <v>43868.0</v>
      </c>
      <c r="CE483" s="74">
        <v>1.0</v>
      </c>
      <c r="CF483" s="74" t="s">
        <v>20366</v>
      </c>
      <c r="CG483" s="120">
        <v>7995.0</v>
      </c>
      <c r="CH483" s="74" t="s">
        <v>22087</v>
      </c>
      <c r="CI483" s="74" t="s">
        <v>22089</v>
      </c>
      <c r="CJ483" s="120">
        <v>482.0</v>
      </c>
    </row>
    <row r="484">
      <c r="A484" s="74" t="s">
        <v>22091</v>
      </c>
      <c r="B484" s="74" t="s">
        <v>6876</v>
      </c>
      <c r="C484" s="74" t="s">
        <v>6877</v>
      </c>
      <c r="D484" s="74" t="s">
        <v>8493</v>
      </c>
      <c r="E484" s="74" t="s">
        <v>22095</v>
      </c>
      <c r="F484" s="74">
        <v>58.0</v>
      </c>
      <c r="G484" s="74">
        <v>2.0</v>
      </c>
      <c r="H484" s="74">
        <v>14.0</v>
      </c>
      <c r="I484" s="74">
        <v>144.0</v>
      </c>
      <c r="J484" s="119"/>
      <c r="K484" s="74" t="s">
        <v>762</v>
      </c>
      <c r="L484" s="74" t="s">
        <v>762</v>
      </c>
      <c r="M484" s="74" t="s">
        <v>17082</v>
      </c>
      <c r="N484" s="74" t="s">
        <v>16899</v>
      </c>
      <c r="O484" s="74" t="s">
        <v>21988</v>
      </c>
      <c r="P484" s="119"/>
      <c r="Q484" s="119"/>
      <c r="R484" s="119"/>
      <c r="S484" s="74">
        <v>7.0</v>
      </c>
      <c r="T484" s="74">
        <v>1000.0</v>
      </c>
      <c r="U484" s="74">
        <v>3.0</v>
      </c>
      <c r="V484" s="74">
        <v>0.0</v>
      </c>
      <c r="W484" s="74">
        <v>7.0</v>
      </c>
      <c r="X484" s="74">
        <v>100.0</v>
      </c>
      <c r="Y484" s="74">
        <v>3.0</v>
      </c>
      <c r="Z484" s="74">
        <v>0.0</v>
      </c>
      <c r="AA484" s="74">
        <v>0.0</v>
      </c>
      <c r="AB484" s="119"/>
      <c r="AC484" s="119"/>
      <c r="AD484" s="119"/>
      <c r="AE484" s="119"/>
      <c r="AF484" s="119"/>
      <c r="AG484" s="119"/>
      <c r="AH484" s="74">
        <v>7.0</v>
      </c>
      <c r="AI484" s="74">
        <v>5000.0</v>
      </c>
      <c r="AJ484" s="74">
        <v>3.0</v>
      </c>
      <c r="AK484" s="74">
        <v>0.0</v>
      </c>
      <c r="AL484" s="74">
        <v>7.0</v>
      </c>
      <c r="AM484" s="74">
        <v>1000.0</v>
      </c>
      <c r="AN484" s="74">
        <v>3.0</v>
      </c>
      <c r="AO484" s="74">
        <v>0.0</v>
      </c>
      <c r="AP484" s="74">
        <v>1.0</v>
      </c>
      <c r="AQ484" s="74">
        <v>7.0</v>
      </c>
      <c r="AR484" s="74">
        <v>100.0</v>
      </c>
      <c r="AS484" s="74">
        <v>3.0</v>
      </c>
      <c r="AT484" s="74">
        <v>0.0</v>
      </c>
      <c r="AU484" s="74">
        <v>0.0</v>
      </c>
      <c r="AV484" s="119"/>
      <c r="AW484" s="119"/>
      <c r="AX484" s="119"/>
      <c r="AY484" s="119"/>
      <c r="AZ484" s="119"/>
      <c r="BA484" s="119"/>
      <c r="BB484" s="119"/>
      <c r="BC484" s="119"/>
      <c r="BD484" s="119"/>
      <c r="BE484" s="119"/>
      <c r="BF484" s="119"/>
      <c r="BG484" s="119"/>
      <c r="BH484" s="119"/>
      <c r="BI484" s="119"/>
      <c r="BJ484" s="119"/>
      <c r="BK484" s="119"/>
      <c r="BL484" s="119"/>
      <c r="BM484" s="119"/>
      <c r="BN484" s="119"/>
      <c r="BO484" s="119"/>
      <c r="BP484" s="119"/>
      <c r="BQ484" s="119"/>
      <c r="BR484" s="119"/>
      <c r="BS484" s="119"/>
      <c r="BT484" s="119"/>
      <c r="BU484" s="119"/>
      <c r="BV484" s="119"/>
      <c r="BW484" s="119"/>
      <c r="BX484" s="119"/>
      <c r="BY484" s="119"/>
      <c r="BZ484" s="119"/>
      <c r="CA484" s="119"/>
      <c r="CB484" s="119"/>
      <c r="CC484" s="119"/>
      <c r="CD484" s="148">
        <v>43868.0</v>
      </c>
      <c r="CE484" s="74">
        <v>1.0</v>
      </c>
      <c r="CF484" s="74" t="s">
        <v>20366</v>
      </c>
      <c r="CG484" s="120">
        <v>7996.0</v>
      </c>
      <c r="CH484" s="74" t="s">
        <v>22118</v>
      </c>
      <c r="CI484" s="74" t="s">
        <v>22119</v>
      </c>
      <c r="CJ484" s="120">
        <v>483.0</v>
      </c>
    </row>
    <row r="485">
      <c r="A485" s="74" t="s">
        <v>22095</v>
      </c>
      <c r="B485" s="74" t="s">
        <v>6876</v>
      </c>
      <c r="C485" s="74" t="s">
        <v>6877</v>
      </c>
      <c r="D485" s="74" t="s">
        <v>8493</v>
      </c>
      <c r="E485" s="74" t="s">
        <v>22125</v>
      </c>
      <c r="F485" s="74">
        <v>58.0</v>
      </c>
      <c r="G485" s="74">
        <v>2.0</v>
      </c>
      <c r="H485" s="74">
        <v>14.0</v>
      </c>
      <c r="I485" s="74">
        <v>142.0</v>
      </c>
      <c r="J485" s="119"/>
      <c r="K485" s="74" t="s">
        <v>759</v>
      </c>
      <c r="L485" s="74" t="s">
        <v>759</v>
      </c>
      <c r="M485" s="74" t="s">
        <v>17082</v>
      </c>
      <c r="N485" s="74" t="s">
        <v>16899</v>
      </c>
      <c r="O485" s="74" t="s">
        <v>21988</v>
      </c>
      <c r="P485" s="119"/>
      <c r="Q485" s="119"/>
      <c r="R485" s="119"/>
      <c r="S485" s="74">
        <v>7.0</v>
      </c>
      <c r="T485" s="74">
        <v>1000.0</v>
      </c>
      <c r="U485" s="74">
        <v>3.0</v>
      </c>
      <c r="V485" s="74">
        <v>0.0</v>
      </c>
      <c r="W485" s="74">
        <v>7.0</v>
      </c>
      <c r="X485" s="74">
        <v>100.0</v>
      </c>
      <c r="Y485" s="74">
        <v>3.0</v>
      </c>
      <c r="Z485" s="74">
        <v>0.0</v>
      </c>
      <c r="AA485" s="74">
        <v>0.0</v>
      </c>
      <c r="AB485" s="119"/>
      <c r="AC485" s="119"/>
      <c r="AD485" s="119"/>
      <c r="AE485" s="119"/>
      <c r="AF485" s="119"/>
      <c r="AG485" s="119"/>
      <c r="AH485" s="74">
        <v>7.0</v>
      </c>
      <c r="AI485" s="74">
        <v>5000.0</v>
      </c>
      <c r="AJ485" s="74">
        <v>3.0</v>
      </c>
      <c r="AK485" s="74">
        <v>0.0</v>
      </c>
      <c r="AL485" s="74">
        <v>7.0</v>
      </c>
      <c r="AM485" s="74">
        <v>1000.0</v>
      </c>
      <c r="AN485" s="74">
        <v>3.0</v>
      </c>
      <c r="AO485" s="74">
        <v>0.0</v>
      </c>
      <c r="AP485" s="74">
        <v>1.0</v>
      </c>
      <c r="AQ485" s="74">
        <v>7.0</v>
      </c>
      <c r="AR485" s="74">
        <v>100.0</v>
      </c>
      <c r="AS485" s="74">
        <v>3.0</v>
      </c>
      <c r="AT485" s="74">
        <v>0.0</v>
      </c>
      <c r="AU485" s="74">
        <v>0.0</v>
      </c>
      <c r="AV485" s="119"/>
      <c r="AW485" s="119"/>
      <c r="AX485" s="119"/>
      <c r="AY485" s="119"/>
      <c r="AZ485" s="119"/>
      <c r="BA485" s="119"/>
      <c r="BB485" s="119"/>
      <c r="BC485" s="119"/>
      <c r="BD485" s="119"/>
      <c r="BE485" s="119"/>
      <c r="BF485" s="119"/>
      <c r="BG485" s="119"/>
      <c r="BH485" s="119"/>
      <c r="BI485" s="119"/>
      <c r="BJ485" s="119"/>
      <c r="BK485" s="119"/>
      <c r="BL485" s="119"/>
      <c r="BM485" s="119"/>
      <c r="BN485" s="119"/>
      <c r="BO485" s="119"/>
      <c r="BP485" s="119"/>
      <c r="BQ485" s="119"/>
      <c r="BR485" s="119"/>
      <c r="BS485" s="119"/>
      <c r="BT485" s="119"/>
      <c r="BU485" s="119"/>
      <c r="BV485" s="119"/>
      <c r="BW485" s="119"/>
      <c r="BX485" s="119"/>
      <c r="BY485" s="119"/>
      <c r="BZ485" s="119"/>
      <c r="CA485" s="119"/>
      <c r="CB485" s="119"/>
      <c r="CC485" s="119"/>
      <c r="CD485" s="148">
        <v>43868.0</v>
      </c>
      <c r="CE485" s="74">
        <v>1.0</v>
      </c>
      <c r="CF485" s="74" t="s">
        <v>20366</v>
      </c>
      <c r="CG485" s="120">
        <v>7997.0</v>
      </c>
      <c r="CH485" s="74" t="s">
        <v>22142</v>
      </c>
      <c r="CI485" s="74" t="s">
        <v>22143</v>
      </c>
      <c r="CJ485" s="120">
        <v>484.0</v>
      </c>
    </row>
    <row r="486">
      <c r="A486" s="74" t="s">
        <v>22125</v>
      </c>
      <c r="B486" s="74" t="s">
        <v>6876</v>
      </c>
      <c r="C486" s="74" t="s">
        <v>6877</v>
      </c>
      <c r="D486" s="74" t="s">
        <v>8493</v>
      </c>
      <c r="E486" s="74" t="s">
        <v>22148</v>
      </c>
      <c r="F486" s="74">
        <v>58.0</v>
      </c>
      <c r="G486" s="74">
        <v>2.0</v>
      </c>
      <c r="H486" s="74">
        <v>14.0</v>
      </c>
      <c r="I486" s="74">
        <v>145.0</v>
      </c>
      <c r="J486" s="119"/>
      <c r="K486" s="74" t="s">
        <v>764</v>
      </c>
      <c r="L486" s="74" t="s">
        <v>764</v>
      </c>
      <c r="M486" s="74" t="s">
        <v>17082</v>
      </c>
      <c r="N486" s="74" t="s">
        <v>16899</v>
      </c>
      <c r="O486" s="74" t="s">
        <v>21988</v>
      </c>
      <c r="P486" s="119"/>
      <c r="Q486" s="119"/>
      <c r="R486" s="119"/>
      <c r="S486" s="74">
        <v>7.0</v>
      </c>
      <c r="T486" s="74">
        <v>1000.0</v>
      </c>
      <c r="U486" s="74">
        <v>3.0</v>
      </c>
      <c r="V486" s="74">
        <v>0.0</v>
      </c>
      <c r="W486" s="74">
        <v>7.0</v>
      </c>
      <c r="X486" s="74">
        <v>100.0</v>
      </c>
      <c r="Y486" s="74">
        <v>3.0</v>
      </c>
      <c r="Z486" s="74">
        <v>0.0</v>
      </c>
      <c r="AA486" s="74">
        <v>0.0</v>
      </c>
      <c r="AB486" s="119"/>
      <c r="AC486" s="119"/>
      <c r="AD486" s="119"/>
      <c r="AE486" s="119"/>
      <c r="AF486" s="119"/>
      <c r="AG486" s="119"/>
      <c r="AH486" s="74">
        <v>7.0</v>
      </c>
      <c r="AI486" s="74">
        <v>5000.0</v>
      </c>
      <c r="AJ486" s="74">
        <v>3.0</v>
      </c>
      <c r="AK486" s="74">
        <v>0.0</v>
      </c>
      <c r="AL486" s="74">
        <v>7.0</v>
      </c>
      <c r="AM486" s="74">
        <v>1000.0</v>
      </c>
      <c r="AN486" s="74">
        <v>3.0</v>
      </c>
      <c r="AO486" s="74">
        <v>0.0</v>
      </c>
      <c r="AP486" s="74">
        <v>1.0</v>
      </c>
      <c r="AQ486" s="74">
        <v>7.0</v>
      </c>
      <c r="AR486" s="74">
        <v>100.0</v>
      </c>
      <c r="AS486" s="74">
        <v>3.0</v>
      </c>
      <c r="AT486" s="74">
        <v>0.0</v>
      </c>
      <c r="AU486" s="74">
        <v>0.0</v>
      </c>
      <c r="AV486" s="119"/>
      <c r="AW486" s="119"/>
      <c r="AX486" s="119"/>
      <c r="AY486" s="119"/>
      <c r="AZ486" s="119"/>
      <c r="BA486" s="119"/>
      <c r="BB486" s="119"/>
      <c r="BC486" s="119"/>
      <c r="BD486" s="119"/>
      <c r="BE486" s="119"/>
      <c r="BF486" s="119"/>
      <c r="BG486" s="119"/>
      <c r="BH486" s="119"/>
      <c r="BI486" s="119"/>
      <c r="BJ486" s="119"/>
      <c r="BK486" s="119"/>
      <c r="BL486" s="119"/>
      <c r="BM486" s="119"/>
      <c r="BN486" s="119"/>
      <c r="BO486" s="119"/>
      <c r="BP486" s="119"/>
      <c r="BQ486" s="119"/>
      <c r="BR486" s="119"/>
      <c r="BS486" s="119"/>
      <c r="BT486" s="119"/>
      <c r="BU486" s="119"/>
      <c r="BV486" s="119"/>
      <c r="BW486" s="119"/>
      <c r="BX486" s="119"/>
      <c r="BY486" s="119"/>
      <c r="BZ486" s="119"/>
      <c r="CA486" s="119"/>
      <c r="CB486" s="119"/>
      <c r="CC486" s="119"/>
      <c r="CD486" s="148">
        <v>43868.0</v>
      </c>
      <c r="CE486" s="74">
        <v>1.0</v>
      </c>
      <c r="CF486" s="74" t="s">
        <v>20366</v>
      </c>
      <c r="CG486" s="120">
        <v>7998.0</v>
      </c>
      <c r="CH486" s="74" t="s">
        <v>22164</v>
      </c>
      <c r="CI486" s="74" t="s">
        <v>22165</v>
      </c>
      <c r="CJ486" s="120">
        <v>485.0</v>
      </c>
    </row>
    <row r="487">
      <c r="A487" s="74" t="s">
        <v>22148</v>
      </c>
      <c r="B487" s="74" t="s">
        <v>6876</v>
      </c>
      <c r="C487" s="74" t="s">
        <v>6877</v>
      </c>
      <c r="D487" s="74" t="s">
        <v>8493</v>
      </c>
      <c r="E487" s="74" t="s">
        <v>22167</v>
      </c>
      <c r="F487" s="74">
        <v>58.0</v>
      </c>
      <c r="G487" s="74">
        <v>2.0</v>
      </c>
      <c r="H487" s="74">
        <v>14.0</v>
      </c>
      <c r="I487" s="74">
        <v>144.0</v>
      </c>
      <c r="J487" s="119"/>
      <c r="K487" s="74" t="s">
        <v>776</v>
      </c>
      <c r="L487" s="74" t="s">
        <v>776</v>
      </c>
      <c r="M487" s="74" t="s">
        <v>17082</v>
      </c>
      <c r="N487" s="74" t="s">
        <v>16899</v>
      </c>
      <c r="O487" s="74" t="s">
        <v>21988</v>
      </c>
      <c r="P487" s="119"/>
      <c r="Q487" s="119"/>
      <c r="R487" s="119"/>
      <c r="S487" s="74">
        <v>7.0</v>
      </c>
      <c r="T487" s="74">
        <v>1000.0</v>
      </c>
      <c r="U487" s="74">
        <v>3.0</v>
      </c>
      <c r="V487" s="74">
        <v>0.0</v>
      </c>
      <c r="W487" s="74">
        <v>7.0</v>
      </c>
      <c r="X487" s="74">
        <v>100.0</v>
      </c>
      <c r="Y487" s="74">
        <v>3.0</v>
      </c>
      <c r="Z487" s="74">
        <v>0.0</v>
      </c>
      <c r="AA487" s="74">
        <v>0.0</v>
      </c>
      <c r="AB487" s="119"/>
      <c r="AC487" s="119"/>
      <c r="AD487" s="119"/>
      <c r="AE487" s="119"/>
      <c r="AF487" s="119"/>
      <c r="AG487" s="119"/>
      <c r="AH487" s="74">
        <v>7.0</v>
      </c>
      <c r="AI487" s="74">
        <v>5000.0</v>
      </c>
      <c r="AJ487" s="74">
        <v>3.0</v>
      </c>
      <c r="AK487" s="74">
        <v>0.0</v>
      </c>
      <c r="AL487" s="74">
        <v>7.0</v>
      </c>
      <c r="AM487" s="74">
        <v>1000.0</v>
      </c>
      <c r="AN487" s="74">
        <v>3.0</v>
      </c>
      <c r="AO487" s="74">
        <v>0.0</v>
      </c>
      <c r="AP487" s="74">
        <v>1.0</v>
      </c>
      <c r="AQ487" s="74">
        <v>7.0</v>
      </c>
      <c r="AR487" s="74">
        <v>100.0</v>
      </c>
      <c r="AS487" s="74">
        <v>3.0</v>
      </c>
      <c r="AT487" s="74">
        <v>0.0</v>
      </c>
      <c r="AU487" s="74">
        <v>0.0</v>
      </c>
      <c r="AV487" s="119"/>
      <c r="AW487" s="119"/>
      <c r="AX487" s="119"/>
      <c r="AY487" s="119"/>
      <c r="AZ487" s="119"/>
      <c r="BA487" s="119"/>
      <c r="BB487" s="119"/>
      <c r="BC487" s="119"/>
      <c r="BD487" s="119"/>
      <c r="BE487" s="119"/>
      <c r="BF487" s="119"/>
      <c r="BG487" s="119"/>
      <c r="BH487" s="119"/>
      <c r="BI487" s="119"/>
      <c r="BJ487" s="119"/>
      <c r="BK487" s="119"/>
      <c r="BL487" s="119"/>
      <c r="BM487" s="119"/>
      <c r="BN487" s="119"/>
      <c r="BO487" s="119"/>
      <c r="BP487" s="119"/>
      <c r="BQ487" s="119"/>
      <c r="BR487" s="119"/>
      <c r="BS487" s="119"/>
      <c r="BT487" s="119"/>
      <c r="BU487" s="119"/>
      <c r="BV487" s="119"/>
      <c r="BW487" s="119"/>
      <c r="BX487" s="119"/>
      <c r="BY487" s="119"/>
      <c r="BZ487" s="119"/>
      <c r="CA487" s="119"/>
      <c r="CB487" s="119"/>
      <c r="CC487" s="119"/>
      <c r="CD487" s="148">
        <v>43868.0</v>
      </c>
      <c r="CE487" s="74">
        <v>1.0</v>
      </c>
      <c r="CF487" s="74" t="s">
        <v>20366</v>
      </c>
      <c r="CG487" s="120">
        <v>7999.0</v>
      </c>
      <c r="CH487" s="74" t="s">
        <v>22186</v>
      </c>
      <c r="CI487" s="74" t="s">
        <v>22188</v>
      </c>
      <c r="CJ487" s="120">
        <v>486.0</v>
      </c>
    </row>
    <row r="488">
      <c r="A488" s="74" t="s">
        <v>22189</v>
      </c>
      <c r="B488" s="74" t="s">
        <v>6876</v>
      </c>
      <c r="C488" s="74" t="s">
        <v>6877</v>
      </c>
      <c r="D488" s="74" t="s">
        <v>8493</v>
      </c>
      <c r="E488" s="74" t="s">
        <v>22191</v>
      </c>
      <c r="F488" s="74">
        <v>58.0</v>
      </c>
      <c r="G488" s="74">
        <v>2.0</v>
      </c>
      <c r="H488" s="74">
        <v>14.0</v>
      </c>
      <c r="I488" s="74">
        <v>142.0</v>
      </c>
      <c r="J488" s="119"/>
      <c r="K488" s="74" t="s">
        <v>778</v>
      </c>
      <c r="L488" s="74" t="s">
        <v>778</v>
      </c>
      <c r="M488" s="74" t="s">
        <v>17082</v>
      </c>
      <c r="N488" s="74" t="s">
        <v>16899</v>
      </c>
      <c r="O488" s="74" t="s">
        <v>21988</v>
      </c>
      <c r="P488" s="119"/>
      <c r="Q488" s="119"/>
      <c r="R488" s="119"/>
      <c r="S488" s="74">
        <v>7.0</v>
      </c>
      <c r="T488" s="74">
        <v>1000.0</v>
      </c>
      <c r="U488" s="74">
        <v>3.0</v>
      </c>
      <c r="V488" s="74">
        <v>0.0</v>
      </c>
      <c r="W488" s="74">
        <v>7.0</v>
      </c>
      <c r="X488" s="74">
        <v>100.0</v>
      </c>
      <c r="Y488" s="74">
        <v>3.0</v>
      </c>
      <c r="Z488" s="74">
        <v>0.0</v>
      </c>
      <c r="AA488" s="74">
        <v>0.0</v>
      </c>
      <c r="AB488" s="119"/>
      <c r="AC488" s="119"/>
      <c r="AD488" s="119"/>
      <c r="AE488" s="119"/>
      <c r="AF488" s="119"/>
      <c r="AG488" s="119"/>
      <c r="AH488" s="74">
        <v>7.0</v>
      </c>
      <c r="AI488" s="74">
        <v>5000.0</v>
      </c>
      <c r="AJ488" s="74">
        <v>3.0</v>
      </c>
      <c r="AK488" s="74">
        <v>0.0</v>
      </c>
      <c r="AL488" s="74">
        <v>7.0</v>
      </c>
      <c r="AM488" s="74">
        <v>1000.0</v>
      </c>
      <c r="AN488" s="74">
        <v>3.0</v>
      </c>
      <c r="AO488" s="74">
        <v>0.0</v>
      </c>
      <c r="AP488" s="74">
        <v>1.0</v>
      </c>
      <c r="AQ488" s="74">
        <v>7.0</v>
      </c>
      <c r="AR488" s="74">
        <v>100.0</v>
      </c>
      <c r="AS488" s="74">
        <v>3.0</v>
      </c>
      <c r="AT488" s="74">
        <v>0.0</v>
      </c>
      <c r="AU488" s="74">
        <v>0.0</v>
      </c>
      <c r="AV488" s="119"/>
      <c r="AW488" s="119"/>
      <c r="AX488" s="119"/>
      <c r="AY488" s="119"/>
      <c r="AZ488" s="119"/>
      <c r="BA488" s="119"/>
      <c r="BB488" s="119"/>
      <c r="BC488" s="119"/>
      <c r="BD488" s="119"/>
      <c r="BE488" s="119"/>
      <c r="BF488" s="119"/>
      <c r="BG488" s="119"/>
      <c r="BH488" s="119"/>
      <c r="BI488" s="119"/>
      <c r="BJ488" s="119"/>
      <c r="BK488" s="119"/>
      <c r="BL488" s="119"/>
      <c r="BM488" s="119"/>
      <c r="BN488" s="119"/>
      <c r="BO488" s="119"/>
      <c r="BP488" s="119"/>
      <c r="BQ488" s="119"/>
      <c r="BR488" s="119"/>
      <c r="BS488" s="119"/>
      <c r="BT488" s="119"/>
      <c r="BU488" s="119"/>
      <c r="BV488" s="119"/>
      <c r="BW488" s="119"/>
      <c r="BX488" s="119"/>
      <c r="BY488" s="119"/>
      <c r="BZ488" s="119"/>
      <c r="CA488" s="119"/>
      <c r="CB488" s="119"/>
      <c r="CC488" s="119"/>
      <c r="CD488" s="148">
        <v>43868.0</v>
      </c>
      <c r="CE488" s="74">
        <v>1.0</v>
      </c>
      <c r="CF488" s="74" t="s">
        <v>20366</v>
      </c>
      <c r="CG488" s="120">
        <v>8000.0</v>
      </c>
      <c r="CH488" s="74" t="s">
        <v>22207</v>
      </c>
      <c r="CI488" s="74" t="s">
        <v>22208</v>
      </c>
      <c r="CJ488" s="120">
        <v>487.0</v>
      </c>
    </row>
    <row r="489">
      <c r="A489" s="74" t="s">
        <v>22191</v>
      </c>
      <c r="B489" s="74" t="s">
        <v>6876</v>
      </c>
      <c r="C489" s="74" t="s">
        <v>6877</v>
      </c>
      <c r="D489" s="74" t="s">
        <v>8493</v>
      </c>
      <c r="E489" s="74" t="s">
        <v>22213</v>
      </c>
      <c r="F489" s="74">
        <v>58.0</v>
      </c>
      <c r="G489" s="74">
        <v>2.0</v>
      </c>
      <c r="H489" s="74">
        <v>14.0</v>
      </c>
      <c r="I489" s="74">
        <v>145.0</v>
      </c>
      <c r="J489" s="119"/>
      <c r="K489" s="74" t="s">
        <v>780</v>
      </c>
      <c r="L489" s="74" t="s">
        <v>780</v>
      </c>
      <c r="M489" s="74" t="s">
        <v>17082</v>
      </c>
      <c r="N489" s="74" t="s">
        <v>16899</v>
      </c>
      <c r="O489" s="74" t="s">
        <v>21988</v>
      </c>
      <c r="P489" s="119"/>
      <c r="Q489" s="119"/>
      <c r="R489" s="119"/>
      <c r="S489" s="74">
        <v>7.0</v>
      </c>
      <c r="T489" s="74">
        <v>1000.0</v>
      </c>
      <c r="U489" s="74">
        <v>3.0</v>
      </c>
      <c r="V489" s="74">
        <v>0.0</v>
      </c>
      <c r="W489" s="74">
        <v>7.0</v>
      </c>
      <c r="X489" s="74">
        <v>100.0</v>
      </c>
      <c r="Y489" s="74">
        <v>3.0</v>
      </c>
      <c r="Z489" s="74">
        <v>0.0</v>
      </c>
      <c r="AA489" s="74">
        <v>0.0</v>
      </c>
      <c r="AB489" s="119"/>
      <c r="AC489" s="119"/>
      <c r="AD489" s="119"/>
      <c r="AE489" s="119"/>
      <c r="AF489" s="119"/>
      <c r="AG489" s="119"/>
      <c r="AH489" s="74">
        <v>7.0</v>
      </c>
      <c r="AI489" s="74">
        <v>5000.0</v>
      </c>
      <c r="AJ489" s="74">
        <v>3.0</v>
      </c>
      <c r="AK489" s="74">
        <v>0.0</v>
      </c>
      <c r="AL489" s="74">
        <v>7.0</v>
      </c>
      <c r="AM489" s="74">
        <v>1000.0</v>
      </c>
      <c r="AN489" s="74">
        <v>3.0</v>
      </c>
      <c r="AO489" s="74">
        <v>0.0</v>
      </c>
      <c r="AP489" s="74">
        <v>1.0</v>
      </c>
      <c r="AQ489" s="74">
        <v>7.0</v>
      </c>
      <c r="AR489" s="74">
        <v>100.0</v>
      </c>
      <c r="AS489" s="74">
        <v>3.0</v>
      </c>
      <c r="AT489" s="74">
        <v>0.0</v>
      </c>
      <c r="AU489" s="74">
        <v>0.0</v>
      </c>
      <c r="AV489" s="119"/>
      <c r="AW489" s="119"/>
      <c r="AX489" s="119"/>
      <c r="AY489" s="119"/>
      <c r="AZ489" s="119"/>
      <c r="BA489" s="119"/>
      <c r="BB489" s="119"/>
      <c r="BC489" s="119"/>
      <c r="BD489" s="119"/>
      <c r="BE489" s="119"/>
      <c r="BF489" s="119"/>
      <c r="BG489" s="119"/>
      <c r="BH489" s="119"/>
      <c r="BI489" s="119"/>
      <c r="BJ489" s="119"/>
      <c r="BK489" s="119"/>
      <c r="BL489" s="119"/>
      <c r="BM489" s="119"/>
      <c r="BN489" s="119"/>
      <c r="BO489" s="119"/>
      <c r="BP489" s="119"/>
      <c r="BQ489" s="119"/>
      <c r="BR489" s="119"/>
      <c r="BS489" s="119"/>
      <c r="BT489" s="119"/>
      <c r="BU489" s="119"/>
      <c r="BV489" s="119"/>
      <c r="BW489" s="119"/>
      <c r="BX489" s="119"/>
      <c r="BY489" s="119"/>
      <c r="BZ489" s="119"/>
      <c r="CA489" s="119"/>
      <c r="CB489" s="119"/>
      <c r="CC489" s="119"/>
      <c r="CD489" s="148">
        <v>43868.0</v>
      </c>
      <c r="CE489" s="74">
        <v>1.0</v>
      </c>
      <c r="CF489" s="74" t="s">
        <v>20366</v>
      </c>
      <c r="CG489" s="120">
        <v>8001.0</v>
      </c>
      <c r="CH489" s="74" t="s">
        <v>22230</v>
      </c>
      <c r="CI489" s="74" t="s">
        <v>22232</v>
      </c>
      <c r="CJ489" s="120">
        <v>488.0</v>
      </c>
    </row>
    <row r="490">
      <c r="A490" s="74" t="s">
        <v>22233</v>
      </c>
      <c r="B490" s="74" t="s">
        <v>6876</v>
      </c>
      <c r="C490" s="74" t="s">
        <v>6877</v>
      </c>
      <c r="D490" s="74" t="s">
        <v>8493</v>
      </c>
      <c r="E490" s="74" t="s">
        <v>22236</v>
      </c>
      <c r="F490" s="74">
        <v>33.0</v>
      </c>
      <c r="G490" s="74">
        <v>1.0</v>
      </c>
      <c r="H490" s="74">
        <v>97.0</v>
      </c>
      <c r="I490" s="119"/>
      <c r="J490" s="119"/>
      <c r="K490" s="74" t="s">
        <v>15565</v>
      </c>
      <c r="L490" s="74" t="s">
        <v>15565</v>
      </c>
      <c r="M490" s="74" t="s">
        <v>17082</v>
      </c>
      <c r="N490" s="74" t="s">
        <v>16899</v>
      </c>
      <c r="O490" s="74" t="s">
        <v>21988</v>
      </c>
      <c r="P490" s="119"/>
      <c r="Q490" s="119"/>
      <c r="R490" s="119"/>
      <c r="S490" s="119"/>
      <c r="T490" s="119"/>
      <c r="U490" s="119"/>
      <c r="V490" s="119"/>
      <c r="W490" s="119"/>
      <c r="X490" s="119"/>
      <c r="Y490" s="119"/>
      <c r="Z490" s="119"/>
      <c r="AA490" s="119"/>
      <c r="AB490" s="119"/>
      <c r="AC490" s="119"/>
      <c r="AD490" s="119"/>
      <c r="AE490" s="119"/>
      <c r="AF490" s="119"/>
      <c r="AG490" s="119"/>
      <c r="AH490" s="74">
        <v>4.0</v>
      </c>
      <c r="AI490" s="74">
        <v>1000.0</v>
      </c>
      <c r="AJ490" s="74">
        <v>1.0</v>
      </c>
      <c r="AK490" s="119"/>
      <c r="AL490" s="119"/>
      <c r="AM490" s="119"/>
      <c r="AN490" s="119"/>
      <c r="AO490" s="119"/>
      <c r="AP490" s="119"/>
      <c r="AQ490" s="119"/>
      <c r="AR490" s="119"/>
      <c r="AS490" s="119"/>
      <c r="AT490" s="119"/>
      <c r="AU490" s="74">
        <v>0.0</v>
      </c>
      <c r="AV490" s="119"/>
      <c r="AW490" s="119"/>
      <c r="AX490" s="119"/>
      <c r="AY490" s="119"/>
      <c r="AZ490" s="119"/>
      <c r="BA490" s="119"/>
      <c r="BB490" s="119"/>
      <c r="BC490" s="119"/>
      <c r="BD490" s="119"/>
      <c r="BE490" s="119"/>
      <c r="BF490" s="119"/>
      <c r="BG490" s="119"/>
      <c r="BH490" s="119"/>
      <c r="BI490" s="119"/>
      <c r="BJ490" s="119"/>
      <c r="BK490" s="119"/>
      <c r="BL490" s="119"/>
      <c r="BM490" s="119"/>
      <c r="BN490" s="119"/>
      <c r="BO490" s="119"/>
      <c r="BP490" s="119"/>
      <c r="BQ490" s="119"/>
      <c r="BR490" s="119"/>
      <c r="BS490" s="119"/>
      <c r="BT490" s="119"/>
      <c r="BU490" s="119"/>
      <c r="BV490" s="119"/>
      <c r="BW490" s="119"/>
      <c r="BX490" s="119"/>
      <c r="BY490" s="119"/>
      <c r="BZ490" s="119"/>
      <c r="CA490" s="119"/>
      <c r="CB490" s="119"/>
      <c r="CC490" s="74" t="s">
        <v>22250</v>
      </c>
      <c r="CD490" s="148">
        <v>43868.0</v>
      </c>
      <c r="CE490" s="74">
        <v>1.0</v>
      </c>
      <c r="CF490" s="74" t="s">
        <v>20366</v>
      </c>
      <c r="CG490" s="120">
        <v>8002.0</v>
      </c>
      <c r="CH490" s="74" t="s">
        <v>22251</v>
      </c>
      <c r="CI490" s="74" t="s">
        <v>22253</v>
      </c>
      <c r="CJ490" s="120">
        <v>489.0</v>
      </c>
    </row>
    <row r="491">
      <c r="A491" s="74" t="s">
        <v>22255</v>
      </c>
      <c r="B491" s="74" t="s">
        <v>6876</v>
      </c>
      <c r="C491" s="74" t="s">
        <v>6877</v>
      </c>
      <c r="D491" s="74" t="s">
        <v>8493</v>
      </c>
      <c r="E491" s="74" t="s">
        <v>22256</v>
      </c>
      <c r="F491" s="74">
        <v>33.0</v>
      </c>
      <c r="G491" s="74">
        <v>1.0</v>
      </c>
      <c r="H491" s="74">
        <v>97.0</v>
      </c>
      <c r="I491" s="119"/>
      <c r="J491" s="119"/>
      <c r="K491" s="74" t="s">
        <v>436</v>
      </c>
      <c r="L491" s="74" t="s">
        <v>436</v>
      </c>
      <c r="M491" s="74" t="s">
        <v>17082</v>
      </c>
      <c r="N491" s="74" t="s">
        <v>16899</v>
      </c>
      <c r="O491" s="74" t="s">
        <v>21988</v>
      </c>
      <c r="P491" s="119"/>
      <c r="Q491" s="119"/>
      <c r="R491" s="119"/>
      <c r="S491" s="74">
        <v>7.0</v>
      </c>
      <c r="T491" s="74">
        <v>1000.0</v>
      </c>
      <c r="U491" s="74">
        <v>3.0</v>
      </c>
      <c r="V491" s="74">
        <v>230.0</v>
      </c>
      <c r="W491" s="119"/>
      <c r="X491" s="119"/>
      <c r="Y491" s="119"/>
      <c r="Z491" s="119"/>
      <c r="AA491" s="119"/>
      <c r="AB491" s="119"/>
      <c r="AC491" s="119"/>
      <c r="AD491" s="119"/>
      <c r="AE491" s="119"/>
      <c r="AF491" s="119"/>
      <c r="AG491" s="119"/>
      <c r="AH491" s="119"/>
      <c r="AI491" s="119"/>
      <c r="AJ491" s="119"/>
      <c r="AK491" s="119"/>
      <c r="AL491" s="119"/>
      <c r="AM491" s="119"/>
      <c r="AN491" s="119"/>
      <c r="AO491" s="119"/>
      <c r="AP491" s="119"/>
      <c r="AQ491" s="119"/>
      <c r="AR491" s="119"/>
      <c r="AS491" s="119"/>
      <c r="AT491" s="119"/>
      <c r="AU491" s="74">
        <v>0.0</v>
      </c>
      <c r="AV491" s="119"/>
      <c r="AW491" s="119"/>
      <c r="AX491" s="119"/>
      <c r="AY491" s="119"/>
      <c r="AZ491" s="119"/>
      <c r="BA491" s="119"/>
      <c r="BB491" s="119"/>
      <c r="BC491" s="119"/>
      <c r="BD491" s="119"/>
      <c r="BE491" s="119"/>
      <c r="BF491" s="119"/>
      <c r="BG491" s="119"/>
      <c r="BH491" s="119"/>
      <c r="BI491" s="119"/>
      <c r="BJ491" s="119"/>
      <c r="BK491" s="119"/>
      <c r="BL491" s="119"/>
      <c r="BM491" s="119"/>
      <c r="BN491" s="119"/>
      <c r="BO491" s="119"/>
      <c r="BP491" s="119"/>
      <c r="BQ491" s="119"/>
      <c r="BR491" s="119"/>
      <c r="BS491" s="119"/>
      <c r="BT491" s="119"/>
      <c r="BU491" s="119"/>
      <c r="BV491" s="119"/>
      <c r="BW491" s="119"/>
      <c r="BX491" s="119"/>
      <c r="BY491" s="119"/>
      <c r="BZ491" s="119"/>
      <c r="CA491" s="119"/>
      <c r="CB491" s="119"/>
      <c r="CC491" s="119"/>
      <c r="CD491" s="148">
        <v>43868.0</v>
      </c>
      <c r="CE491" s="74">
        <v>1.0</v>
      </c>
      <c r="CF491" s="74" t="s">
        <v>20366</v>
      </c>
      <c r="CG491" s="120">
        <v>8003.0</v>
      </c>
      <c r="CH491" s="74" t="s">
        <v>22278</v>
      </c>
      <c r="CI491" s="74" t="s">
        <v>22279</v>
      </c>
      <c r="CJ491" s="120">
        <v>490.0</v>
      </c>
    </row>
    <row r="492">
      <c r="A492" s="74" t="s">
        <v>22256</v>
      </c>
      <c r="B492" s="74" t="s">
        <v>6876</v>
      </c>
      <c r="C492" s="74" t="s">
        <v>6877</v>
      </c>
      <c r="D492" s="74" t="s">
        <v>8493</v>
      </c>
      <c r="E492" s="74" t="s">
        <v>22280</v>
      </c>
      <c r="F492" s="74">
        <v>33.0</v>
      </c>
      <c r="G492" s="74">
        <v>1.0</v>
      </c>
      <c r="H492" s="74">
        <v>97.0</v>
      </c>
      <c r="I492" s="119"/>
      <c r="J492" s="119"/>
      <c r="K492" s="74" t="s">
        <v>15565</v>
      </c>
      <c r="L492" s="74" t="s">
        <v>15565</v>
      </c>
      <c r="M492" s="74" t="s">
        <v>22283</v>
      </c>
      <c r="N492" s="74" t="s">
        <v>22283</v>
      </c>
      <c r="O492" s="74" t="s">
        <v>22285</v>
      </c>
      <c r="P492" s="119"/>
      <c r="Q492" s="119"/>
      <c r="R492" s="119"/>
      <c r="S492" s="119"/>
      <c r="T492" s="119"/>
      <c r="U492" s="119"/>
      <c r="V492" s="119"/>
      <c r="W492" s="119"/>
      <c r="X492" s="119"/>
      <c r="Y492" s="119"/>
      <c r="Z492" s="119"/>
      <c r="AA492" s="119"/>
      <c r="AB492" s="119"/>
      <c r="AC492" s="119"/>
      <c r="AD492" s="119"/>
      <c r="AE492" s="119"/>
      <c r="AF492" s="119"/>
      <c r="AG492" s="119"/>
      <c r="AH492" s="74">
        <v>7.0</v>
      </c>
      <c r="AI492" s="74">
        <v>1000.0</v>
      </c>
      <c r="AJ492" s="74">
        <v>1.0</v>
      </c>
      <c r="AK492" s="119"/>
      <c r="AL492" s="119"/>
      <c r="AM492" s="119"/>
      <c r="AN492" s="119"/>
      <c r="AO492" s="119"/>
      <c r="AP492" s="119"/>
      <c r="AQ492" s="119"/>
      <c r="AR492" s="119"/>
      <c r="AS492" s="119"/>
      <c r="AT492" s="119"/>
      <c r="AU492" s="74">
        <v>0.0</v>
      </c>
      <c r="AV492" s="119"/>
      <c r="AW492" s="119"/>
      <c r="AX492" s="119"/>
      <c r="AY492" s="119"/>
      <c r="AZ492" s="119"/>
      <c r="BA492" s="119"/>
      <c r="BB492" s="119"/>
      <c r="BC492" s="119"/>
      <c r="BD492" s="119"/>
      <c r="BE492" s="119"/>
      <c r="BF492" s="119"/>
      <c r="BG492" s="119"/>
      <c r="BH492" s="119"/>
      <c r="BI492" s="119"/>
      <c r="BJ492" s="119"/>
      <c r="BK492" s="119"/>
      <c r="BL492" s="119"/>
      <c r="BM492" s="119"/>
      <c r="BN492" s="119"/>
      <c r="BO492" s="119"/>
      <c r="BP492" s="119"/>
      <c r="BQ492" s="119"/>
      <c r="BR492" s="119"/>
      <c r="BS492" s="119"/>
      <c r="BT492" s="119"/>
      <c r="BU492" s="119"/>
      <c r="BV492" s="119"/>
      <c r="BW492" s="119"/>
      <c r="BX492" s="119"/>
      <c r="BY492" s="119"/>
      <c r="BZ492" s="119"/>
      <c r="CA492" s="119"/>
      <c r="CB492" s="119"/>
      <c r="CC492" s="119"/>
      <c r="CD492" s="148">
        <v>43868.0</v>
      </c>
      <c r="CE492" s="74">
        <v>1.0</v>
      </c>
      <c r="CF492" s="74" t="s">
        <v>20366</v>
      </c>
      <c r="CG492" s="120">
        <v>8004.0</v>
      </c>
      <c r="CH492" s="74" t="s">
        <v>22297</v>
      </c>
      <c r="CI492" s="74" t="s">
        <v>22298</v>
      </c>
      <c r="CJ492" s="120">
        <v>491.0</v>
      </c>
    </row>
    <row r="493">
      <c r="A493" s="74" t="s">
        <v>22301</v>
      </c>
      <c r="B493" s="74" t="s">
        <v>6876</v>
      </c>
      <c r="C493" s="74" t="s">
        <v>6877</v>
      </c>
      <c r="D493" s="74" t="s">
        <v>8493</v>
      </c>
      <c r="E493" s="74" t="s">
        <v>22302</v>
      </c>
      <c r="F493" s="74">
        <v>33.0</v>
      </c>
      <c r="G493" s="74">
        <v>1.0</v>
      </c>
      <c r="H493" s="74">
        <v>97.0</v>
      </c>
      <c r="I493" s="119"/>
      <c r="J493" s="119"/>
      <c r="K493" s="74" t="s">
        <v>436</v>
      </c>
      <c r="L493" s="74" t="s">
        <v>436</v>
      </c>
      <c r="M493" s="74" t="s">
        <v>22283</v>
      </c>
      <c r="N493" s="74" t="s">
        <v>21988</v>
      </c>
      <c r="O493" s="74" t="s">
        <v>22285</v>
      </c>
      <c r="P493" s="119"/>
      <c r="Q493" s="119"/>
      <c r="R493" s="119"/>
      <c r="S493" s="74">
        <v>7.0</v>
      </c>
      <c r="T493" s="74">
        <v>1000.0</v>
      </c>
      <c r="U493" s="74">
        <v>1.0</v>
      </c>
      <c r="V493" s="119"/>
      <c r="W493" s="119"/>
      <c r="X493" s="119"/>
      <c r="Y493" s="119"/>
      <c r="Z493" s="119"/>
      <c r="AA493" s="119"/>
      <c r="AB493" s="119"/>
      <c r="AC493" s="119"/>
      <c r="AD493" s="119"/>
      <c r="AE493" s="119"/>
      <c r="AF493" s="119"/>
      <c r="AG493" s="119"/>
      <c r="AH493" s="119"/>
      <c r="AI493" s="119"/>
      <c r="AJ493" s="119"/>
      <c r="AK493" s="119"/>
      <c r="AL493" s="119"/>
      <c r="AM493" s="119"/>
      <c r="AN493" s="119"/>
      <c r="AO493" s="119"/>
      <c r="AP493" s="119"/>
      <c r="AQ493" s="119"/>
      <c r="AR493" s="119"/>
      <c r="AS493" s="119"/>
      <c r="AT493" s="119"/>
      <c r="AU493" s="74">
        <v>0.0</v>
      </c>
      <c r="AV493" s="119"/>
      <c r="AW493" s="119"/>
      <c r="AX493" s="119"/>
      <c r="AY493" s="119"/>
      <c r="AZ493" s="119"/>
      <c r="BA493" s="119"/>
      <c r="BB493" s="119"/>
      <c r="BC493" s="119"/>
      <c r="BD493" s="119"/>
      <c r="BE493" s="119"/>
      <c r="BF493" s="119"/>
      <c r="BG493" s="119"/>
      <c r="BH493" s="119"/>
      <c r="BI493" s="119"/>
      <c r="BJ493" s="119"/>
      <c r="BK493" s="119"/>
      <c r="BL493" s="119"/>
      <c r="BM493" s="119"/>
      <c r="BN493" s="119"/>
      <c r="BO493" s="119"/>
      <c r="BP493" s="119"/>
      <c r="BQ493" s="119"/>
      <c r="BR493" s="119"/>
      <c r="BS493" s="119"/>
      <c r="BT493" s="119"/>
      <c r="BU493" s="119"/>
      <c r="BV493" s="119"/>
      <c r="BW493" s="119"/>
      <c r="BX493" s="119"/>
      <c r="BY493" s="119"/>
      <c r="BZ493" s="119"/>
      <c r="CA493" s="119"/>
      <c r="CB493" s="119"/>
      <c r="CC493" s="119"/>
      <c r="CD493" s="148">
        <v>43868.0</v>
      </c>
      <c r="CE493" s="74">
        <v>1.0</v>
      </c>
      <c r="CF493" s="74" t="s">
        <v>20366</v>
      </c>
      <c r="CG493" s="120">
        <v>8005.0</v>
      </c>
      <c r="CH493" s="74" t="s">
        <v>22315</v>
      </c>
      <c r="CI493" s="74" t="s">
        <v>22316</v>
      </c>
      <c r="CJ493" s="120">
        <v>492.0</v>
      </c>
    </row>
    <row r="494">
      <c r="A494" s="74" t="s">
        <v>22317</v>
      </c>
      <c r="B494" s="74" t="s">
        <v>6876</v>
      </c>
      <c r="C494" s="74" t="s">
        <v>6877</v>
      </c>
      <c r="D494" s="74" t="s">
        <v>8493</v>
      </c>
      <c r="E494" s="74" t="s">
        <v>22319</v>
      </c>
      <c r="F494" s="74">
        <v>58.0</v>
      </c>
      <c r="G494" s="74">
        <v>2.0</v>
      </c>
      <c r="H494" s="74">
        <v>15.0</v>
      </c>
      <c r="I494" s="119"/>
      <c r="J494" s="74">
        <v>151.0</v>
      </c>
      <c r="K494" s="74" t="s">
        <v>710</v>
      </c>
      <c r="L494" s="74" t="s">
        <v>710</v>
      </c>
      <c r="M494" s="74" t="s">
        <v>21551</v>
      </c>
      <c r="N494" s="74" t="s">
        <v>16556</v>
      </c>
      <c r="O494" s="74" t="s">
        <v>21554</v>
      </c>
      <c r="P494" s="119"/>
      <c r="Q494" s="119"/>
      <c r="R494" s="119"/>
      <c r="S494" s="119"/>
      <c r="T494" s="119"/>
      <c r="U494" s="119"/>
      <c r="V494" s="119"/>
      <c r="W494" s="119"/>
      <c r="X494" s="119"/>
      <c r="Y494" s="119"/>
      <c r="Z494" s="119"/>
      <c r="AA494" s="119"/>
      <c r="AB494" s="119"/>
      <c r="AC494" s="119"/>
      <c r="AD494" s="119"/>
      <c r="AE494" s="119"/>
      <c r="AF494" s="119"/>
      <c r="AG494" s="119"/>
      <c r="AH494" s="119"/>
      <c r="AI494" s="119"/>
      <c r="AJ494" s="119"/>
      <c r="AK494" s="119"/>
      <c r="AL494" s="119"/>
      <c r="AM494" s="119"/>
      <c r="AN494" s="119"/>
      <c r="AO494" s="119"/>
      <c r="AP494" s="119"/>
      <c r="AQ494" s="119"/>
      <c r="AR494" s="119"/>
      <c r="AS494" s="119"/>
      <c r="AT494" s="119"/>
      <c r="AU494" s="74">
        <v>1.0</v>
      </c>
      <c r="AV494" s="74" t="s">
        <v>16556</v>
      </c>
      <c r="AW494" s="74" t="s">
        <v>21554</v>
      </c>
      <c r="AX494" s="119"/>
      <c r="AY494" s="119"/>
      <c r="AZ494" s="74">
        <v>7.0</v>
      </c>
      <c r="BA494" s="74">
        <v>1000.0</v>
      </c>
      <c r="BB494" s="74">
        <v>3.0</v>
      </c>
      <c r="BC494" s="74">
        <v>0.0</v>
      </c>
      <c r="BD494" s="74">
        <v>7.0</v>
      </c>
      <c r="BE494" s="74">
        <v>100.0</v>
      </c>
      <c r="BF494" s="74">
        <v>3.0</v>
      </c>
      <c r="BG494" s="74">
        <v>0.0</v>
      </c>
      <c r="BH494" s="74">
        <v>0.0</v>
      </c>
      <c r="BI494" s="119"/>
      <c r="BJ494" s="119"/>
      <c r="BK494" s="119"/>
      <c r="BL494" s="119"/>
      <c r="BM494" s="119"/>
      <c r="BN494" s="119"/>
      <c r="BO494" s="74">
        <v>7.0</v>
      </c>
      <c r="BP494" s="74">
        <v>5000.0</v>
      </c>
      <c r="BQ494" s="74">
        <v>3.0</v>
      </c>
      <c r="BR494" s="74">
        <v>2.0</v>
      </c>
      <c r="BS494" s="74">
        <v>7.0</v>
      </c>
      <c r="BT494" s="74">
        <v>1000.0</v>
      </c>
      <c r="BU494" s="74">
        <v>3.0</v>
      </c>
      <c r="BV494" s="74">
        <v>0.0</v>
      </c>
      <c r="BW494" s="74">
        <v>1.0</v>
      </c>
      <c r="BX494" s="74">
        <v>7.0</v>
      </c>
      <c r="BY494" s="74">
        <v>100.0</v>
      </c>
      <c r="BZ494" s="74">
        <v>3.0</v>
      </c>
      <c r="CA494" s="74">
        <v>0.0</v>
      </c>
      <c r="CB494" s="119"/>
      <c r="CC494" s="119"/>
      <c r="CD494" s="148">
        <v>43868.0</v>
      </c>
      <c r="CE494" s="74">
        <v>1.0</v>
      </c>
      <c r="CF494" s="74" t="s">
        <v>22338</v>
      </c>
      <c r="CG494" s="120">
        <v>8016.0</v>
      </c>
      <c r="CH494" s="74" t="s">
        <v>22340</v>
      </c>
      <c r="CI494" s="74" t="s">
        <v>22341</v>
      </c>
      <c r="CJ494" s="120">
        <v>493.0</v>
      </c>
    </row>
    <row r="495">
      <c r="A495" s="74" t="s">
        <v>22319</v>
      </c>
      <c r="B495" s="74" t="s">
        <v>6876</v>
      </c>
      <c r="C495" s="74" t="s">
        <v>6877</v>
      </c>
      <c r="D495" s="74" t="s">
        <v>8493</v>
      </c>
      <c r="E495" s="74" t="s">
        <v>22344</v>
      </c>
      <c r="F495" s="74">
        <v>58.0</v>
      </c>
      <c r="G495" s="74">
        <v>2.0</v>
      </c>
      <c r="H495" s="74">
        <v>15.0</v>
      </c>
      <c r="I495" s="119"/>
      <c r="J495" s="74">
        <v>152.0</v>
      </c>
      <c r="K495" s="74" t="s">
        <v>713</v>
      </c>
      <c r="L495" s="74" t="s">
        <v>713</v>
      </c>
      <c r="M495" s="74" t="s">
        <v>21551</v>
      </c>
      <c r="N495" s="74" t="s">
        <v>16556</v>
      </c>
      <c r="O495" s="74" t="s">
        <v>21554</v>
      </c>
      <c r="P495" s="119"/>
      <c r="Q495" s="119"/>
      <c r="R495" s="119"/>
      <c r="S495" s="119"/>
      <c r="T495" s="119"/>
      <c r="U495" s="119"/>
      <c r="V495" s="119"/>
      <c r="W495" s="119"/>
      <c r="X495" s="119"/>
      <c r="Y495" s="119"/>
      <c r="Z495" s="119"/>
      <c r="AA495" s="119"/>
      <c r="AB495" s="119"/>
      <c r="AC495" s="119"/>
      <c r="AD495" s="119"/>
      <c r="AE495" s="119"/>
      <c r="AF495" s="119"/>
      <c r="AG495" s="119"/>
      <c r="AH495" s="119"/>
      <c r="AI495" s="119"/>
      <c r="AJ495" s="119"/>
      <c r="AK495" s="119"/>
      <c r="AL495" s="119"/>
      <c r="AM495" s="119"/>
      <c r="AN495" s="119"/>
      <c r="AO495" s="119"/>
      <c r="AP495" s="119"/>
      <c r="AQ495" s="119"/>
      <c r="AR495" s="119"/>
      <c r="AS495" s="119"/>
      <c r="AT495" s="119"/>
      <c r="AU495" s="74">
        <v>1.0</v>
      </c>
      <c r="AV495" s="74" t="s">
        <v>16556</v>
      </c>
      <c r="AW495" s="74" t="s">
        <v>21554</v>
      </c>
      <c r="AX495" s="119"/>
      <c r="AY495" s="119"/>
      <c r="AZ495" s="74">
        <v>7.0</v>
      </c>
      <c r="BA495" s="74">
        <v>1000.0</v>
      </c>
      <c r="BB495" s="74">
        <v>3.0</v>
      </c>
      <c r="BC495" s="74">
        <v>0.0</v>
      </c>
      <c r="BD495" s="74">
        <v>7.0</v>
      </c>
      <c r="BE495" s="74">
        <v>100.0</v>
      </c>
      <c r="BF495" s="74">
        <v>3.0</v>
      </c>
      <c r="BG495" s="74">
        <v>0.0</v>
      </c>
      <c r="BH495" s="74">
        <v>0.0</v>
      </c>
      <c r="BI495" s="119"/>
      <c r="BJ495" s="119"/>
      <c r="BK495" s="119"/>
      <c r="BL495" s="119"/>
      <c r="BM495" s="119"/>
      <c r="BN495" s="119"/>
      <c r="BO495" s="74">
        <v>7.0</v>
      </c>
      <c r="BP495" s="74">
        <v>5000.0</v>
      </c>
      <c r="BQ495" s="74">
        <v>3.0</v>
      </c>
      <c r="BR495" s="74">
        <v>3.0</v>
      </c>
      <c r="BS495" s="74">
        <v>7.0</v>
      </c>
      <c r="BT495" s="74">
        <v>1000.0</v>
      </c>
      <c r="BU495" s="74">
        <v>3.0</v>
      </c>
      <c r="BV495" s="74">
        <v>0.0</v>
      </c>
      <c r="BW495" s="74">
        <v>1.0</v>
      </c>
      <c r="BX495" s="74">
        <v>7.0</v>
      </c>
      <c r="BY495" s="74">
        <v>100.0</v>
      </c>
      <c r="BZ495" s="74">
        <v>3.0</v>
      </c>
      <c r="CA495" s="74">
        <v>0.0</v>
      </c>
      <c r="CB495" s="119"/>
      <c r="CC495" s="119"/>
      <c r="CD495" s="148">
        <v>43868.0</v>
      </c>
      <c r="CE495" s="74">
        <v>1.0</v>
      </c>
      <c r="CF495" s="74" t="s">
        <v>22338</v>
      </c>
      <c r="CG495" s="120">
        <v>8017.0</v>
      </c>
      <c r="CH495" s="74" t="s">
        <v>22367</v>
      </c>
      <c r="CI495" s="74" t="s">
        <v>22368</v>
      </c>
      <c r="CJ495" s="120">
        <v>494.0</v>
      </c>
    </row>
    <row r="496">
      <c r="A496" s="74" t="s">
        <v>22369</v>
      </c>
      <c r="B496" s="74" t="s">
        <v>6876</v>
      </c>
      <c r="C496" s="74" t="s">
        <v>6877</v>
      </c>
      <c r="D496" s="74" t="s">
        <v>8493</v>
      </c>
      <c r="E496" s="74" t="s">
        <v>22373</v>
      </c>
      <c r="F496" s="74">
        <v>58.0</v>
      </c>
      <c r="G496" s="74">
        <v>2.0</v>
      </c>
      <c r="H496" s="74">
        <v>15.0</v>
      </c>
      <c r="I496" s="119"/>
      <c r="J496" s="74">
        <v>152.0</v>
      </c>
      <c r="K496" s="74" t="s">
        <v>715</v>
      </c>
      <c r="L496" s="74" t="s">
        <v>715</v>
      </c>
      <c r="M496" s="74" t="s">
        <v>21551</v>
      </c>
      <c r="N496" s="74" t="s">
        <v>16556</v>
      </c>
      <c r="O496" s="74" t="s">
        <v>21554</v>
      </c>
      <c r="P496" s="119"/>
      <c r="Q496" s="119"/>
      <c r="R496" s="119"/>
      <c r="S496" s="119"/>
      <c r="T496" s="119"/>
      <c r="U496" s="119"/>
      <c r="V496" s="119"/>
      <c r="W496" s="119"/>
      <c r="X496" s="119"/>
      <c r="Y496" s="119"/>
      <c r="Z496" s="119"/>
      <c r="AA496" s="119"/>
      <c r="AB496" s="119"/>
      <c r="AC496" s="119"/>
      <c r="AD496" s="119"/>
      <c r="AE496" s="119"/>
      <c r="AF496" s="119"/>
      <c r="AG496" s="119"/>
      <c r="AH496" s="119"/>
      <c r="AI496" s="119"/>
      <c r="AJ496" s="119"/>
      <c r="AK496" s="119"/>
      <c r="AL496" s="119"/>
      <c r="AM496" s="119"/>
      <c r="AN496" s="119"/>
      <c r="AO496" s="119"/>
      <c r="AP496" s="119"/>
      <c r="AQ496" s="119"/>
      <c r="AR496" s="119"/>
      <c r="AS496" s="119"/>
      <c r="AT496" s="119"/>
      <c r="AU496" s="74">
        <v>1.0</v>
      </c>
      <c r="AV496" s="74" t="s">
        <v>16556</v>
      </c>
      <c r="AW496" s="74" t="s">
        <v>21554</v>
      </c>
      <c r="AX496" s="119"/>
      <c r="AY496" s="119"/>
      <c r="AZ496" s="74">
        <v>7.0</v>
      </c>
      <c r="BA496" s="74">
        <v>1000.0</v>
      </c>
      <c r="BB496" s="74">
        <v>3.0</v>
      </c>
      <c r="BC496" s="74">
        <v>0.0</v>
      </c>
      <c r="BD496" s="74">
        <v>7.0</v>
      </c>
      <c r="BE496" s="74">
        <v>100.0</v>
      </c>
      <c r="BF496" s="74">
        <v>3.0</v>
      </c>
      <c r="BG496" s="74">
        <v>0.0</v>
      </c>
      <c r="BH496" s="74">
        <v>0.0</v>
      </c>
      <c r="BI496" s="119"/>
      <c r="BJ496" s="119"/>
      <c r="BK496" s="119"/>
      <c r="BL496" s="119"/>
      <c r="BM496" s="119"/>
      <c r="BN496" s="119"/>
      <c r="BO496" s="74">
        <v>7.0</v>
      </c>
      <c r="BP496" s="74">
        <v>1000.0</v>
      </c>
      <c r="BQ496" s="74">
        <v>3.0</v>
      </c>
      <c r="BR496" s="74">
        <v>1.0</v>
      </c>
      <c r="BS496" s="74">
        <v>7.0</v>
      </c>
      <c r="BT496" s="74">
        <v>100.0</v>
      </c>
      <c r="BU496" s="74">
        <v>3.0</v>
      </c>
      <c r="BV496" s="74">
        <v>0.0</v>
      </c>
      <c r="BW496" s="74">
        <v>0.0</v>
      </c>
      <c r="BX496" s="119"/>
      <c r="BY496" s="119"/>
      <c r="BZ496" s="119"/>
      <c r="CA496" s="119"/>
      <c r="CB496" s="119"/>
      <c r="CC496" s="119"/>
      <c r="CD496" s="148">
        <v>43868.0</v>
      </c>
      <c r="CE496" s="74">
        <v>1.0</v>
      </c>
      <c r="CF496" s="74" t="s">
        <v>22338</v>
      </c>
      <c r="CG496" s="120">
        <v>8018.0</v>
      </c>
      <c r="CH496" s="74" t="s">
        <v>22403</v>
      </c>
      <c r="CI496" s="74" t="s">
        <v>22405</v>
      </c>
      <c r="CJ496" s="120">
        <v>495.0</v>
      </c>
    </row>
    <row r="497">
      <c r="A497" s="74" t="s">
        <v>22408</v>
      </c>
      <c r="B497" s="74" t="s">
        <v>6876</v>
      </c>
      <c r="C497" s="74" t="s">
        <v>6877</v>
      </c>
      <c r="D497" s="74" t="s">
        <v>8493</v>
      </c>
      <c r="E497" s="74" t="s">
        <v>22410</v>
      </c>
      <c r="F497" s="74">
        <v>58.0</v>
      </c>
      <c r="G497" s="74">
        <v>2.0</v>
      </c>
      <c r="H497" s="74">
        <v>15.0</v>
      </c>
      <c r="I497" s="119"/>
      <c r="J497" s="74">
        <v>152.0</v>
      </c>
      <c r="K497" s="74" t="s">
        <v>717</v>
      </c>
      <c r="L497" s="74" t="s">
        <v>717</v>
      </c>
      <c r="M497" s="74" t="s">
        <v>21551</v>
      </c>
      <c r="N497" s="74" t="s">
        <v>16556</v>
      </c>
      <c r="O497" s="74" t="s">
        <v>21554</v>
      </c>
      <c r="P497" s="119"/>
      <c r="Q497" s="119"/>
      <c r="R497" s="119"/>
      <c r="S497" s="119"/>
      <c r="T497" s="119"/>
      <c r="U497" s="119"/>
      <c r="V497" s="119"/>
      <c r="W497" s="119"/>
      <c r="X497" s="119"/>
      <c r="Y497" s="119"/>
      <c r="Z497" s="119"/>
      <c r="AA497" s="119"/>
      <c r="AB497" s="119"/>
      <c r="AC497" s="119"/>
      <c r="AD497" s="119"/>
      <c r="AE497" s="119"/>
      <c r="AF497" s="119"/>
      <c r="AG497" s="119"/>
      <c r="AH497" s="119"/>
      <c r="AI497" s="119"/>
      <c r="AJ497" s="119"/>
      <c r="AK497" s="119"/>
      <c r="AL497" s="119"/>
      <c r="AM497" s="119"/>
      <c r="AN497" s="119"/>
      <c r="AO497" s="119"/>
      <c r="AP497" s="119"/>
      <c r="AQ497" s="119"/>
      <c r="AR497" s="119"/>
      <c r="AS497" s="119"/>
      <c r="AT497" s="119"/>
      <c r="AU497" s="74">
        <v>1.0</v>
      </c>
      <c r="AV497" s="74" t="s">
        <v>16556</v>
      </c>
      <c r="AW497" s="74" t="s">
        <v>21554</v>
      </c>
      <c r="AX497" s="119"/>
      <c r="AY497" s="119"/>
      <c r="AZ497" s="74">
        <v>7.0</v>
      </c>
      <c r="BA497" s="74">
        <v>1000.0</v>
      </c>
      <c r="BB497" s="74">
        <v>3.0</v>
      </c>
      <c r="BC497" s="74">
        <v>0.0</v>
      </c>
      <c r="BD497" s="74">
        <v>7.0</v>
      </c>
      <c r="BE497" s="74">
        <v>100.0</v>
      </c>
      <c r="BF497" s="74">
        <v>3.0</v>
      </c>
      <c r="BG497" s="74">
        <v>0.0</v>
      </c>
      <c r="BH497" s="74">
        <v>0.0</v>
      </c>
      <c r="BI497" s="119"/>
      <c r="BJ497" s="119"/>
      <c r="BK497" s="119"/>
      <c r="BL497" s="119"/>
      <c r="BM497" s="119"/>
      <c r="BN497" s="119"/>
      <c r="BO497" s="74">
        <v>7.0</v>
      </c>
      <c r="BP497" s="74">
        <v>1000.0</v>
      </c>
      <c r="BQ497" s="74">
        <v>3.0</v>
      </c>
      <c r="BR497" s="74">
        <v>1.0</v>
      </c>
      <c r="BS497" s="74">
        <v>7.0</v>
      </c>
      <c r="BT497" s="74">
        <v>100.0</v>
      </c>
      <c r="BU497" s="74">
        <v>3.0</v>
      </c>
      <c r="BV497" s="74">
        <v>0.0</v>
      </c>
      <c r="BW497" s="74">
        <v>0.0</v>
      </c>
      <c r="BX497" s="119"/>
      <c r="BY497" s="119"/>
      <c r="BZ497" s="119"/>
      <c r="CA497" s="119"/>
      <c r="CB497" s="119"/>
      <c r="CC497" s="119"/>
      <c r="CD497" s="148">
        <v>43868.0</v>
      </c>
      <c r="CE497" s="74">
        <v>1.0</v>
      </c>
      <c r="CF497" s="74" t="s">
        <v>22338</v>
      </c>
      <c r="CG497" s="120">
        <v>8019.0</v>
      </c>
      <c r="CH497" s="74" t="s">
        <v>22443</v>
      </c>
      <c r="CI497" s="74" t="s">
        <v>22444</v>
      </c>
      <c r="CJ497" s="120">
        <v>496.0</v>
      </c>
    </row>
    <row r="498">
      <c r="A498" s="74" t="s">
        <v>22447</v>
      </c>
      <c r="B498" s="74" t="s">
        <v>6876</v>
      </c>
      <c r="C498" s="74" t="s">
        <v>6877</v>
      </c>
      <c r="D498" s="74" t="s">
        <v>8493</v>
      </c>
      <c r="E498" s="74" t="s">
        <v>22449</v>
      </c>
      <c r="F498" s="74">
        <v>58.0</v>
      </c>
      <c r="G498" s="74">
        <v>2.0</v>
      </c>
      <c r="H498" s="74">
        <v>15.0</v>
      </c>
      <c r="I498" s="119"/>
      <c r="J498" s="74">
        <v>151.0</v>
      </c>
      <c r="K498" s="74" t="s">
        <v>721</v>
      </c>
      <c r="L498" s="74" t="s">
        <v>721</v>
      </c>
      <c r="M498" s="74" t="s">
        <v>21551</v>
      </c>
      <c r="N498" s="74" t="s">
        <v>16556</v>
      </c>
      <c r="O498" s="74" t="s">
        <v>21554</v>
      </c>
      <c r="P498" s="119"/>
      <c r="Q498" s="119"/>
      <c r="R498" s="119"/>
      <c r="S498" s="119"/>
      <c r="T498" s="119"/>
      <c r="U498" s="119"/>
      <c r="V498" s="119"/>
      <c r="W498" s="119"/>
      <c r="X498" s="119"/>
      <c r="Y498" s="119"/>
      <c r="Z498" s="119"/>
      <c r="AA498" s="119"/>
      <c r="AB498" s="119"/>
      <c r="AC498" s="119"/>
      <c r="AD498" s="119"/>
      <c r="AE498" s="119"/>
      <c r="AF498" s="119"/>
      <c r="AG498" s="119"/>
      <c r="AH498" s="119"/>
      <c r="AI498" s="119"/>
      <c r="AJ498" s="119"/>
      <c r="AK498" s="119"/>
      <c r="AL498" s="119"/>
      <c r="AM498" s="119"/>
      <c r="AN498" s="119"/>
      <c r="AO498" s="119"/>
      <c r="AP498" s="119"/>
      <c r="AQ498" s="119"/>
      <c r="AR498" s="119"/>
      <c r="AS498" s="119"/>
      <c r="AT498" s="119"/>
      <c r="AU498" s="74">
        <v>1.0</v>
      </c>
      <c r="AV498" s="74" t="s">
        <v>16556</v>
      </c>
      <c r="AW498" s="74" t="s">
        <v>21554</v>
      </c>
      <c r="AX498" s="119"/>
      <c r="AY498" s="119"/>
      <c r="AZ498" s="74">
        <v>7.0</v>
      </c>
      <c r="BA498" s="74">
        <v>1000.0</v>
      </c>
      <c r="BB498" s="74">
        <v>3.0</v>
      </c>
      <c r="BC498" s="74">
        <v>0.0</v>
      </c>
      <c r="BD498" s="74">
        <v>7.0</v>
      </c>
      <c r="BE498" s="74">
        <v>100.0</v>
      </c>
      <c r="BF498" s="74">
        <v>3.0</v>
      </c>
      <c r="BG498" s="74">
        <v>0.0</v>
      </c>
      <c r="BH498" s="74">
        <v>0.0</v>
      </c>
      <c r="BI498" s="119"/>
      <c r="BJ498" s="119"/>
      <c r="BK498" s="119"/>
      <c r="BL498" s="119"/>
      <c r="BM498" s="119"/>
      <c r="BN498" s="119"/>
      <c r="BO498" s="74">
        <v>7.0</v>
      </c>
      <c r="BP498" s="74">
        <v>1000.0</v>
      </c>
      <c r="BQ498" s="74">
        <v>3.0</v>
      </c>
      <c r="BR498" s="74">
        <v>1.0</v>
      </c>
      <c r="BS498" s="74">
        <v>7.0</v>
      </c>
      <c r="BT498" s="74">
        <v>100.0</v>
      </c>
      <c r="BU498" s="74">
        <v>3.0</v>
      </c>
      <c r="BV498" s="74">
        <v>0.0</v>
      </c>
      <c r="BW498" s="74">
        <v>0.0</v>
      </c>
      <c r="BX498" s="119"/>
      <c r="BY498" s="119"/>
      <c r="BZ498" s="119"/>
      <c r="CA498" s="119"/>
      <c r="CB498" s="119"/>
      <c r="CC498" s="119"/>
      <c r="CD498" s="74" t="s">
        <v>14054</v>
      </c>
      <c r="CE498" s="74">
        <v>1.0</v>
      </c>
      <c r="CF498" s="74" t="s">
        <v>22338</v>
      </c>
      <c r="CG498" s="120">
        <v>8020.0</v>
      </c>
      <c r="CH498" s="74" t="s">
        <v>22480</v>
      </c>
      <c r="CI498" s="74" t="s">
        <v>22482</v>
      </c>
      <c r="CJ498" s="120">
        <v>497.0</v>
      </c>
    </row>
    <row r="499">
      <c r="A499" s="74" t="s">
        <v>22484</v>
      </c>
      <c r="B499" s="74" t="s">
        <v>6876</v>
      </c>
      <c r="C499" s="74" t="s">
        <v>6877</v>
      </c>
      <c r="D499" s="74" t="s">
        <v>8493</v>
      </c>
      <c r="E499" s="74" t="s">
        <v>22486</v>
      </c>
      <c r="F499" s="74">
        <v>58.0</v>
      </c>
      <c r="G499" s="74">
        <v>2.0</v>
      </c>
      <c r="H499" s="74">
        <v>15.0</v>
      </c>
      <c r="I499" s="119"/>
      <c r="J499" s="74">
        <v>152.0</v>
      </c>
      <c r="K499" s="74" t="s">
        <v>724</v>
      </c>
      <c r="L499" s="74" t="s">
        <v>724</v>
      </c>
      <c r="M499" s="74" t="s">
        <v>21551</v>
      </c>
      <c r="N499" s="74" t="s">
        <v>16556</v>
      </c>
      <c r="O499" s="74" t="s">
        <v>21554</v>
      </c>
      <c r="P499" s="119"/>
      <c r="Q499" s="119"/>
      <c r="R499" s="119"/>
      <c r="S499" s="119"/>
      <c r="T499" s="119"/>
      <c r="U499" s="119"/>
      <c r="V499" s="119"/>
      <c r="W499" s="119"/>
      <c r="X499" s="119"/>
      <c r="Y499" s="119"/>
      <c r="Z499" s="119"/>
      <c r="AA499" s="119"/>
      <c r="AB499" s="119"/>
      <c r="AC499" s="119"/>
      <c r="AD499" s="119"/>
      <c r="AE499" s="119"/>
      <c r="AF499" s="119"/>
      <c r="AG499" s="119"/>
      <c r="AH499" s="119"/>
      <c r="AI499" s="119"/>
      <c r="AJ499" s="119"/>
      <c r="AK499" s="119"/>
      <c r="AL499" s="119"/>
      <c r="AM499" s="119"/>
      <c r="AN499" s="119"/>
      <c r="AO499" s="119"/>
      <c r="AP499" s="119"/>
      <c r="AQ499" s="119"/>
      <c r="AR499" s="119"/>
      <c r="AS499" s="119"/>
      <c r="AT499" s="119"/>
      <c r="AU499" s="74">
        <v>1.0</v>
      </c>
      <c r="AV499" s="74" t="s">
        <v>16556</v>
      </c>
      <c r="AW499" s="74" t="s">
        <v>21554</v>
      </c>
      <c r="AX499" s="119"/>
      <c r="AY499" s="119"/>
      <c r="AZ499" s="74">
        <v>7.0</v>
      </c>
      <c r="BA499" s="74">
        <v>1000.0</v>
      </c>
      <c r="BB499" s="74">
        <v>3.0</v>
      </c>
      <c r="BC499" s="74">
        <v>0.0</v>
      </c>
      <c r="BD499" s="74">
        <v>7.0</v>
      </c>
      <c r="BE499" s="74">
        <v>100.0</v>
      </c>
      <c r="BF499" s="74">
        <v>3.0</v>
      </c>
      <c r="BG499" s="74">
        <v>0.0</v>
      </c>
      <c r="BH499" s="74">
        <v>0.0</v>
      </c>
      <c r="BI499" s="119"/>
      <c r="BJ499" s="119"/>
      <c r="BK499" s="119"/>
      <c r="BL499" s="119"/>
      <c r="BM499" s="119"/>
      <c r="BN499" s="119"/>
      <c r="BO499" s="74">
        <v>7.0</v>
      </c>
      <c r="BP499" s="74">
        <v>5000.0</v>
      </c>
      <c r="BQ499" s="74">
        <v>3.0</v>
      </c>
      <c r="BR499" s="74">
        <v>0.0</v>
      </c>
      <c r="BS499" s="74">
        <v>7.0</v>
      </c>
      <c r="BT499" s="74">
        <v>1000.0</v>
      </c>
      <c r="BU499" s="74">
        <v>3.0</v>
      </c>
      <c r="BV499" s="74">
        <v>0.0</v>
      </c>
      <c r="BW499" s="74">
        <v>1.0</v>
      </c>
      <c r="BX499" s="74">
        <v>7.0</v>
      </c>
      <c r="BY499" s="74">
        <v>100.0</v>
      </c>
      <c r="BZ499" s="74">
        <v>3.0</v>
      </c>
      <c r="CA499" s="74">
        <v>0.0</v>
      </c>
      <c r="CB499" s="119"/>
      <c r="CC499" s="119"/>
      <c r="CD499" s="148">
        <v>43868.0</v>
      </c>
      <c r="CE499" s="74">
        <v>1.0</v>
      </c>
      <c r="CF499" s="74" t="s">
        <v>22338</v>
      </c>
      <c r="CG499" s="120">
        <v>8021.0</v>
      </c>
      <c r="CH499" s="74" t="s">
        <v>22513</v>
      </c>
      <c r="CI499" s="74" t="s">
        <v>22514</v>
      </c>
      <c r="CJ499" s="120">
        <v>498.0</v>
      </c>
    </row>
    <row r="500">
      <c r="A500" s="74" t="s">
        <v>22515</v>
      </c>
      <c r="B500" s="74" t="s">
        <v>6876</v>
      </c>
      <c r="C500" s="74" t="s">
        <v>6877</v>
      </c>
      <c r="D500" s="74" t="s">
        <v>8493</v>
      </c>
      <c r="E500" s="74" t="s">
        <v>22521</v>
      </c>
      <c r="F500" s="74">
        <v>58.0</v>
      </c>
      <c r="G500" s="74">
        <v>2.0</v>
      </c>
      <c r="H500" s="74">
        <v>15.0</v>
      </c>
      <c r="I500" s="119"/>
      <c r="J500" s="74">
        <v>152.0</v>
      </c>
      <c r="K500" s="74" t="s">
        <v>725</v>
      </c>
      <c r="L500" s="74" t="s">
        <v>725</v>
      </c>
      <c r="M500" s="74" t="s">
        <v>21551</v>
      </c>
      <c r="N500" s="74" t="s">
        <v>16556</v>
      </c>
      <c r="O500" s="74" t="s">
        <v>21554</v>
      </c>
      <c r="P500" s="119"/>
      <c r="Q500" s="119"/>
      <c r="R500" s="119"/>
      <c r="S500" s="119"/>
      <c r="T500" s="119"/>
      <c r="U500" s="119"/>
      <c r="V500" s="119"/>
      <c r="W500" s="119"/>
      <c r="X500" s="119"/>
      <c r="Y500" s="119"/>
      <c r="Z500" s="119"/>
      <c r="AA500" s="119"/>
      <c r="AB500" s="119"/>
      <c r="AC500" s="119"/>
      <c r="AD500" s="119"/>
      <c r="AE500" s="119"/>
      <c r="AF500" s="119"/>
      <c r="AG500" s="119"/>
      <c r="AH500" s="119"/>
      <c r="AI500" s="119"/>
      <c r="AJ500" s="119"/>
      <c r="AK500" s="119"/>
      <c r="AL500" s="119"/>
      <c r="AM500" s="119"/>
      <c r="AN500" s="119"/>
      <c r="AO500" s="119"/>
      <c r="AP500" s="119"/>
      <c r="AQ500" s="119"/>
      <c r="AR500" s="119"/>
      <c r="AS500" s="119"/>
      <c r="AT500" s="119"/>
      <c r="AU500" s="74">
        <v>1.0</v>
      </c>
      <c r="AV500" s="74" t="s">
        <v>16556</v>
      </c>
      <c r="AW500" s="74" t="s">
        <v>21554</v>
      </c>
      <c r="AX500" s="119"/>
      <c r="AY500" s="119"/>
      <c r="AZ500" s="74">
        <v>7.0</v>
      </c>
      <c r="BA500" s="74">
        <v>1000.0</v>
      </c>
      <c r="BB500" s="74">
        <v>3.0</v>
      </c>
      <c r="BC500" s="74">
        <v>1.0</v>
      </c>
      <c r="BD500" s="74">
        <v>7.0</v>
      </c>
      <c r="BE500" s="74">
        <v>100.0</v>
      </c>
      <c r="BF500" s="74">
        <v>3.0</v>
      </c>
      <c r="BG500" s="74">
        <v>0.0</v>
      </c>
      <c r="BH500" s="74">
        <v>0.0</v>
      </c>
      <c r="BI500" s="119"/>
      <c r="BJ500" s="119"/>
      <c r="BK500" s="119"/>
      <c r="BL500" s="119"/>
      <c r="BM500" s="119"/>
      <c r="BN500" s="119"/>
      <c r="BO500" s="74">
        <v>7.0</v>
      </c>
      <c r="BP500" s="74">
        <v>5000.0</v>
      </c>
      <c r="BQ500" s="74">
        <v>3.0</v>
      </c>
      <c r="BR500" s="74">
        <v>0.0</v>
      </c>
      <c r="BS500" s="74">
        <v>7.0</v>
      </c>
      <c r="BT500" s="74">
        <v>1000.0</v>
      </c>
      <c r="BU500" s="74">
        <v>3.0</v>
      </c>
      <c r="BV500" s="74">
        <v>0.0</v>
      </c>
      <c r="BW500" s="74">
        <v>1.0</v>
      </c>
      <c r="BX500" s="74">
        <v>7.0</v>
      </c>
      <c r="BY500" s="74">
        <v>100.0</v>
      </c>
      <c r="BZ500" s="74">
        <v>3.0</v>
      </c>
      <c r="CA500" s="74">
        <v>0.0</v>
      </c>
      <c r="CB500" s="119"/>
      <c r="CC500" s="119"/>
      <c r="CD500" s="148">
        <v>43868.0</v>
      </c>
      <c r="CE500" s="74">
        <v>1.0</v>
      </c>
      <c r="CF500" s="74" t="s">
        <v>22338</v>
      </c>
      <c r="CG500" s="120">
        <v>8022.0</v>
      </c>
      <c r="CH500" s="74" t="s">
        <v>22556</v>
      </c>
      <c r="CI500" s="74" t="s">
        <v>22557</v>
      </c>
      <c r="CJ500" s="120">
        <v>499.0</v>
      </c>
    </row>
    <row r="501">
      <c r="A501" s="74" t="s">
        <v>22560</v>
      </c>
      <c r="B501" s="74" t="s">
        <v>6876</v>
      </c>
      <c r="C501" s="74" t="s">
        <v>6877</v>
      </c>
      <c r="D501" s="74" t="s">
        <v>8493</v>
      </c>
      <c r="E501" s="74" t="s">
        <v>22563</v>
      </c>
      <c r="F501" s="74">
        <v>58.0</v>
      </c>
      <c r="G501" s="74">
        <v>2.0</v>
      </c>
      <c r="H501" s="74">
        <v>15.0</v>
      </c>
      <c r="I501" s="119"/>
      <c r="J501" s="74">
        <v>152.0</v>
      </c>
      <c r="K501" s="74" t="s">
        <v>726</v>
      </c>
      <c r="L501" s="74" t="s">
        <v>726</v>
      </c>
      <c r="M501" s="74" t="s">
        <v>21551</v>
      </c>
      <c r="N501" s="74" t="s">
        <v>16556</v>
      </c>
      <c r="O501" s="74" t="s">
        <v>21554</v>
      </c>
      <c r="P501" s="119"/>
      <c r="Q501" s="119"/>
      <c r="R501" s="119"/>
      <c r="S501" s="119"/>
      <c r="T501" s="119"/>
      <c r="U501" s="119"/>
      <c r="V501" s="119"/>
      <c r="W501" s="119"/>
      <c r="X501" s="119"/>
      <c r="Y501" s="119"/>
      <c r="Z501" s="119"/>
      <c r="AA501" s="119"/>
      <c r="AB501" s="119"/>
      <c r="AC501" s="119"/>
      <c r="AD501" s="119"/>
      <c r="AE501" s="119"/>
      <c r="AF501" s="119"/>
      <c r="AG501" s="119"/>
      <c r="AH501" s="119"/>
      <c r="AI501" s="119"/>
      <c r="AJ501" s="119"/>
      <c r="AK501" s="119"/>
      <c r="AL501" s="119"/>
      <c r="AM501" s="119"/>
      <c r="AN501" s="119"/>
      <c r="AO501" s="119"/>
      <c r="AP501" s="119"/>
      <c r="AQ501" s="119"/>
      <c r="AR501" s="119"/>
      <c r="AS501" s="119"/>
      <c r="AT501" s="119"/>
      <c r="AU501" s="74">
        <v>1.0</v>
      </c>
      <c r="AV501" s="74" t="s">
        <v>16556</v>
      </c>
      <c r="AW501" s="74" t="s">
        <v>21554</v>
      </c>
      <c r="AX501" s="119"/>
      <c r="AY501" s="119"/>
      <c r="AZ501" s="74">
        <v>7.0</v>
      </c>
      <c r="BA501" s="74">
        <v>1000.0</v>
      </c>
      <c r="BB501" s="74">
        <v>3.0</v>
      </c>
      <c r="BC501" s="74">
        <v>0.0</v>
      </c>
      <c r="BD501" s="74">
        <v>7.0</v>
      </c>
      <c r="BE501" s="74">
        <v>100.0</v>
      </c>
      <c r="BF501" s="74">
        <v>3.0</v>
      </c>
      <c r="BG501" s="74">
        <v>0.0</v>
      </c>
      <c r="BH501" s="74">
        <v>0.0</v>
      </c>
      <c r="BI501" s="119"/>
      <c r="BJ501" s="119"/>
      <c r="BK501" s="119"/>
      <c r="BL501" s="119"/>
      <c r="BM501" s="119"/>
      <c r="BN501" s="119"/>
      <c r="BO501" s="74">
        <v>7.0</v>
      </c>
      <c r="BP501" s="74">
        <v>5000.0</v>
      </c>
      <c r="BQ501" s="74">
        <v>3.0</v>
      </c>
      <c r="BR501" s="74">
        <v>0.0</v>
      </c>
      <c r="BS501" s="74">
        <v>7.0</v>
      </c>
      <c r="BT501" s="74">
        <v>1000.0</v>
      </c>
      <c r="BU501" s="74">
        <v>3.0</v>
      </c>
      <c r="BV501" s="74">
        <v>0.0</v>
      </c>
      <c r="BW501" s="74">
        <v>1.0</v>
      </c>
      <c r="BX501" s="74">
        <v>7.0</v>
      </c>
      <c r="BY501" s="74">
        <v>100.0</v>
      </c>
      <c r="BZ501" s="74">
        <v>3.0</v>
      </c>
      <c r="CA501" s="74">
        <v>0.0</v>
      </c>
      <c r="CB501" s="119"/>
      <c r="CC501" s="119"/>
      <c r="CD501" s="74" t="s">
        <v>14054</v>
      </c>
      <c r="CE501" s="74">
        <v>1.0</v>
      </c>
      <c r="CF501" s="74" t="s">
        <v>22338</v>
      </c>
      <c r="CG501" s="120">
        <v>8023.0</v>
      </c>
      <c r="CH501" s="74" t="s">
        <v>22589</v>
      </c>
      <c r="CI501" s="74" t="s">
        <v>22590</v>
      </c>
      <c r="CJ501" s="120">
        <v>500.0</v>
      </c>
    </row>
    <row r="502">
      <c r="A502" s="74" t="s">
        <v>22563</v>
      </c>
      <c r="B502" s="74" t="s">
        <v>6876</v>
      </c>
      <c r="C502" s="74" t="s">
        <v>6877</v>
      </c>
      <c r="D502" s="74" t="s">
        <v>8493</v>
      </c>
      <c r="E502" s="74" t="s">
        <v>22591</v>
      </c>
      <c r="F502" s="74">
        <v>58.0</v>
      </c>
      <c r="G502" s="74">
        <v>2.0</v>
      </c>
      <c r="H502" s="74">
        <v>7.0</v>
      </c>
      <c r="I502" s="119"/>
      <c r="J502" s="119"/>
      <c r="K502" s="74" t="s">
        <v>2625</v>
      </c>
      <c r="L502" s="74" t="s">
        <v>2625</v>
      </c>
      <c r="M502" s="74" t="s">
        <v>21551</v>
      </c>
      <c r="N502" s="74" t="s">
        <v>16556</v>
      </c>
      <c r="O502" s="74" t="s">
        <v>21554</v>
      </c>
      <c r="P502" s="119"/>
      <c r="Q502" s="119"/>
      <c r="R502" s="119"/>
      <c r="S502" s="119"/>
      <c r="T502" s="119"/>
      <c r="U502" s="119"/>
      <c r="V502" s="119"/>
      <c r="W502" s="119"/>
      <c r="X502" s="119"/>
      <c r="Y502" s="119"/>
      <c r="Z502" s="119"/>
      <c r="AA502" s="119"/>
      <c r="AB502" s="119"/>
      <c r="AC502" s="119"/>
      <c r="AD502" s="119"/>
      <c r="AE502" s="119"/>
      <c r="AF502" s="119"/>
      <c r="AG502" s="119"/>
      <c r="AH502" s="119"/>
      <c r="AI502" s="119"/>
      <c r="AJ502" s="119"/>
      <c r="AK502" s="119"/>
      <c r="AL502" s="119"/>
      <c r="AM502" s="119"/>
      <c r="AN502" s="119"/>
      <c r="AO502" s="119"/>
      <c r="AP502" s="119"/>
      <c r="AQ502" s="119"/>
      <c r="AR502" s="119"/>
      <c r="AS502" s="119"/>
      <c r="AT502" s="119"/>
      <c r="AU502" s="74">
        <v>1.0</v>
      </c>
      <c r="AV502" s="74" t="s">
        <v>16556</v>
      </c>
      <c r="AW502" s="74" t="s">
        <v>21554</v>
      </c>
      <c r="AX502" s="119"/>
      <c r="AY502" s="119"/>
      <c r="AZ502" s="74">
        <v>7.0</v>
      </c>
      <c r="BA502" s="74">
        <v>1000.0</v>
      </c>
      <c r="BB502" s="74">
        <v>3.0</v>
      </c>
      <c r="BC502" s="74">
        <v>0.0</v>
      </c>
      <c r="BD502" s="74">
        <v>7.0</v>
      </c>
      <c r="BE502" s="74">
        <v>100.0</v>
      </c>
      <c r="BF502" s="74">
        <v>3.0</v>
      </c>
      <c r="BG502" s="74">
        <v>0.0</v>
      </c>
      <c r="BH502" s="74">
        <v>0.0</v>
      </c>
      <c r="BI502" s="119"/>
      <c r="BJ502" s="119"/>
      <c r="BK502" s="119"/>
      <c r="BL502" s="119"/>
      <c r="BM502" s="119"/>
      <c r="BN502" s="119"/>
      <c r="BO502" s="74">
        <v>7.0</v>
      </c>
      <c r="BP502" s="74">
        <v>1000.0</v>
      </c>
      <c r="BQ502" s="74">
        <v>3.0</v>
      </c>
      <c r="BR502" s="74">
        <v>6.0</v>
      </c>
      <c r="BS502" s="74">
        <v>7.0</v>
      </c>
      <c r="BT502" s="74">
        <v>100.0</v>
      </c>
      <c r="BU502" s="74">
        <v>3.0</v>
      </c>
      <c r="BV502" s="74">
        <v>1.0</v>
      </c>
      <c r="BW502" s="74">
        <v>0.0</v>
      </c>
      <c r="BX502" s="119"/>
      <c r="BY502" s="119"/>
      <c r="BZ502" s="119"/>
      <c r="CA502" s="119"/>
      <c r="CB502" s="119"/>
      <c r="CC502" s="119"/>
      <c r="CD502" s="74" t="s">
        <v>14054</v>
      </c>
      <c r="CE502" s="74">
        <v>1.0</v>
      </c>
      <c r="CF502" s="74" t="s">
        <v>22338</v>
      </c>
      <c r="CG502" s="120">
        <v>8024.0</v>
      </c>
      <c r="CH502" s="74" t="s">
        <v>22628</v>
      </c>
      <c r="CI502" s="74" t="s">
        <v>22630</v>
      </c>
      <c r="CJ502" s="120">
        <v>501.0</v>
      </c>
    </row>
    <row r="503">
      <c r="A503" s="74" t="s">
        <v>22631</v>
      </c>
      <c r="B503" s="74" t="s">
        <v>6876</v>
      </c>
      <c r="C503" s="74" t="s">
        <v>6877</v>
      </c>
      <c r="D503" s="74" t="s">
        <v>8493</v>
      </c>
      <c r="E503" s="74" t="s">
        <v>22633</v>
      </c>
      <c r="F503" s="74">
        <v>33.0</v>
      </c>
      <c r="G503" s="74">
        <v>1.0</v>
      </c>
      <c r="H503" s="74">
        <v>97.0</v>
      </c>
      <c r="I503" s="119"/>
      <c r="J503" s="119"/>
      <c r="K503" s="74" t="s">
        <v>15565</v>
      </c>
      <c r="L503" s="74" t="s">
        <v>15565</v>
      </c>
      <c r="M503" s="74" t="s">
        <v>21551</v>
      </c>
      <c r="N503" s="74" t="s">
        <v>16556</v>
      </c>
      <c r="O503" s="74" t="s">
        <v>21554</v>
      </c>
      <c r="P503" s="119"/>
      <c r="Q503" s="119"/>
      <c r="R503" s="119"/>
      <c r="S503" s="119"/>
      <c r="T503" s="119"/>
      <c r="U503" s="119"/>
      <c r="V503" s="119"/>
      <c r="W503" s="119"/>
      <c r="X503" s="119"/>
      <c r="Y503" s="119"/>
      <c r="Z503" s="119"/>
      <c r="AA503" s="119"/>
      <c r="AB503" s="119"/>
      <c r="AC503" s="119"/>
      <c r="AD503" s="119"/>
      <c r="AE503" s="119"/>
      <c r="AF503" s="119"/>
      <c r="AG503" s="119"/>
      <c r="AH503" s="74">
        <v>4.0</v>
      </c>
      <c r="AI503" s="74">
        <v>1000.0</v>
      </c>
      <c r="AJ503" s="74">
        <v>3.0</v>
      </c>
      <c r="AK503" s="74">
        <v>161.0</v>
      </c>
      <c r="AL503" s="119"/>
      <c r="AM503" s="119"/>
      <c r="AN503" s="119"/>
      <c r="AO503" s="119"/>
      <c r="AP503" s="119"/>
      <c r="AQ503" s="119"/>
      <c r="AR503" s="119"/>
      <c r="AS503" s="119"/>
      <c r="AT503" s="119"/>
      <c r="AU503" s="74">
        <v>0.0</v>
      </c>
      <c r="AV503" s="119"/>
      <c r="AW503" s="119"/>
      <c r="AX503" s="119"/>
      <c r="AY503" s="119"/>
      <c r="AZ503" s="119"/>
      <c r="BA503" s="119"/>
      <c r="BB503" s="119"/>
      <c r="BC503" s="119"/>
      <c r="BD503" s="119"/>
      <c r="BE503" s="119"/>
      <c r="BF503" s="119"/>
      <c r="BG503" s="119"/>
      <c r="BH503" s="119"/>
      <c r="BI503" s="119"/>
      <c r="BJ503" s="119"/>
      <c r="BK503" s="119"/>
      <c r="BL503" s="119"/>
      <c r="BM503" s="119"/>
      <c r="BN503" s="119"/>
      <c r="BO503" s="119"/>
      <c r="BP503" s="119"/>
      <c r="BQ503" s="119"/>
      <c r="BR503" s="119"/>
      <c r="BS503" s="119"/>
      <c r="BT503" s="119"/>
      <c r="BU503" s="119"/>
      <c r="BV503" s="119"/>
      <c r="BW503" s="119"/>
      <c r="BX503" s="119"/>
      <c r="BY503" s="119"/>
      <c r="BZ503" s="119"/>
      <c r="CA503" s="119"/>
      <c r="CB503" s="119"/>
      <c r="CC503" s="119"/>
      <c r="CD503" s="148">
        <v>43868.0</v>
      </c>
      <c r="CE503" s="74">
        <v>1.0</v>
      </c>
      <c r="CF503" s="74" t="s">
        <v>22338</v>
      </c>
      <c r="CG503" s="120">
        <v>8025.0</v>
      </c>
      <c r="CH503" s="74" t="s">
        <v>22670</v>
      </c>
      <c r="CI503" s="74" t="s">
        <v>22671</v>
      </c>
      <c r="CJ503" s="120">
        <v>502.0</v>
      </c>
    </row>
    <row r="504">
      <c r="A504" s="74" t="s">
        <v>22674</v>
      </c>
      <c r="B504" s="74" t="s">
        <v>6876</v>
      </c>
      <c r="C504" s="74" t="s">
        <v>6877</v>
      </c>
      <c r="D504" s="74" t="s">
        <v>8493</v>
      </c>
      <c r="E504" s="74" t="s">
        <v>22677</v>
      </c>
      <c r="F504" s="74">
        <v>33.0</v>
      </c>
      <c r="G504" s="74">
        <v>1.0</v>
      </c>
      <c r="H504" s="74">
        <v>97.0</v>
      </c>
      <c r="I504" s="119"/>
      <c r="J504" s="119"/>
      <c r="K504" s="74" t="s">
        <v>436</v>
      </c>
      <c r="L504" s="74" t="s">
        <v>436</v>
      </c>
      <c r="M504" s="74" t="s">
        <v>21551</v>
      </c>
      <c r="N504" s="74" t="s">
        <v>16556</v>
      </c>
      <c r="O504" s="74" t="s">
        <v>21554</v>
      </c>
      <c r="P504" s="119"/>
      <c r="Q504" s="119"/>
      <c r="R504" s="119"/>
      <c r="S504" s="74">
        <v>10.0</v>
      </c>
      <c r="T504" s="74">
        <v>1000.0</v>
      </c>
      <c r="U504" s="74">
        <v>3.0</v>
      </c>
      <c r="V504" s="74">
        <v>169.0</v>
      </c>
      <c r="W504" s="119"/>
      <c r="X504" s="119"/>
      <c r="Y504" s="119"/>
      <c r="Z504" s="119"/>
      <c r="AA504" s="119"/>
      <c r="AB504" s="119"/>
      <c r="AC504" s="119"/>
      <c r="AD504" s="119"/>
      <c r="AE504" s="119"/>
      <c r="AF504" s="119"/>
      <c r="AG504" s="119"/>
      <c r="AH504" s="119"/>
      <c r="AI504" s="119"/>
      <c r="AJ504" s="119"/>
      <c r="AK504" s="119"/>
      <c r="AL504" s="119"/>
      <c r="AM504" s="119"/>
      <c r="AN504" s="119"/>
      <c r="AO504" s="119"/>
      <c r="AP504" s="119"/>
      <c r="AQ504" s="119"/>
      <c r="AR504" s="119"/>
      <c r="AS504" s="119"/>
      <c r="AT504" s="119"/>
      <c r="AU504" s="74">
        <v>0.0</v>
      </c>
      <c r="AV504" s="119"/>
      <c r="AW504" s="119"/>
      <c r="AX504" s="119"/>
      <c r="AY504" s="119"/>
      <c r="AZ504" s="119"/>
      <c r="BA504" s="119"/>
      <c r="BB504" s="119"/>
      <c r="BC504" s="119"/>
      <c r="BD504" s="119"/>
      <c r="BE504" s="119"/>
      <c r="BF504" s="119"/>
      <c r="BG504" s="119"/>
      <c r="BH504" s="119"/>
      <c r="BI504" s="119"/>
      <c r="BJ504" s="119"/>
      <c r="BK504" s="119"/>
      <c r="BL504" s="119"/>
      <c r="BM504" s="119"/>
      <c r="BN504" s="119"/>
      <c r="BO504" s="119"/>
      <c r="BP504" s="119"/>
      <c r="BQ504" s="119"/>
      <c r="BR504" s="119"/>
      <c r="BS504" s="119"/>
      <c r="BT504" s="119"/>
      <c r="BU504" s="119"/>
      <c r="BV504" s="119"/>
      <c r="BW504" s="119"/>
      <c r="BX504" s="119"/>
      <c r="BY504" s="119"/>
      <c r="BZ504" s="119"/>
      <c r="CA504" s="119"/>
      <c r="CB504" s="119"/>
      <c r="CC504" s="119"/>
      <c r="CD504" s="148">
        <v>43868.0</v>
      </c>
      <c r="CE504" s="74">
        <v>1.0</v>
      </c>
      <c r="CF504" s="74" t="s">
        <v>22338</v>
      </c>
      <c r="CG504" s="120">
        <v>8026.0</v>
      </c>
      <c r="CH504" s="74" t="s">
        <v>22707</v>
      </c>
      <c r="CI504" s="74" t="s">
        <v>22709</v>
      </c>
      <c r="CJ504" s="120">
        <v>503.0</v>
      </c>
    </row>
    <row r="505">
      <c r="A505" s="74" t="s">
        <v>22711</v>
      </c>
      <c r="B505" s="74" t="s">
        <v>6876</v>
      </c>
      <c r="C505" s="74" t="s">
        <v>6877</v>
      </c>
      <c r="D505" s="74" t="s">
        <v>8493</v>
      </c>
      <c r="E505" s="74" t="s">
        <v>22714</v>
      </c>
      <c r="F505" s="74">
        <v>58.0</v>
      </c>
      <c r="G505" s="74">
        <v>2.0</v>
      </c>
      <c r="H505" s="74">
        <v>15.0</v>
      </c>
      <c r="I505" s="119"/>
      <c r="J505" s="74">
        <v>151.0</v>
      </c>
      <c r="K505" s="74" t="s">
        <v>731</v>
      </c>
      <c r="L505" s="74" t="s">
        <v>731</v>
      </c>
      <c r="M505" s="74" t="s">
        <v>21464</v>
      </c>
      <c r="N505" s="74" t="s">
        <v>21908</v>
      </c>
      <c r="O505" s="74" t="s">
        <v>21909</v>
      </c>
      <c r="P505" s="119"/>
      <c r="Q505" s="119"/>
      <c r="R505" s="119"/>
      <c r="S505" s="119"/>
      <c r="T505" s="119"/>
      <c r="U505" s="119"/>
      <c r="V505" s="119"/>
      <c r="W505" s="119"/>
      <c r="X505" s="119"/>
      <c r="Y505" s="119"/>
      <c r="Z505" s="119"/>
      <c r="AA505" s="119"/>
      <c r="AB505" s="119"/>
      <c r="AC505" s="119"/>
      <c r="AD505" s="119"/>
      <c r="AE505" s="119"/>
      <c r="AF505" s="119"/>
      <c r="AG505" s="119"/>
      <c r="AH505" s="119"/>
      <c r="AI505" s="119"/>
      <c r="AJ505" s="119"/>
      <c r="AK505" s="119"/>
      <c r="AL505" s="119"/>
      <c r="AM505" s="119"/>
      <c r="AN505" s="119"/>
      <c r="AO505" s="119"/>
      <c r="AP505" s="119"/>
      <c r="AQ505" s="119"/>
      <c r="AR505" s="119"/>
      <c r="AS505" s="119"/>
      <c r="AT505" s="119"/>
      <c r="AU505" s="74">
        <v>1.0</v>
      </c>
      <c r="AV505" s="74" t="s">
        <v>21908</v>
      </c>
      <c r="AW505" s="74" t="s">
        <v>21909</v>
      </c>
      <c r="AX505" s="119"/>
      <c r="AY505" s="119"/>
      <c r="AZ505" s="74">
        <v>7.0</v>
      </c>
      <c r="BA505" s="74">
        <v>1000.0</v>
      </c>
      <c r="BB505" s="74">
        <v>3.0</v>
      </c>
      <c r="BC505" s="74">
        <v>0.0</v>
      </c>
      <c r="BD505" s="74">
        <v>7.0</v>
      </c>
      <c r="BE505" s="74">
        <v>100.0</v>
      </c>
      <c r="BF505" s="74">
        <v>3.0</v>
      </c>
      <c r="BG505" s="74">
        <v>0.0</v>
      </c>
      <c r="BH505" s="74">
        <v>0.0</v>
      </c>
      <c r="BI505" s="119"/>
      <c r="BJ505" s="119"/>
      <c r="BK505" s="119"/>
      <c r="BL505" s="119"/>
      <c r="BM505" s="119"/>
      <c r="BN505" s="119"/>
      <c r="BO505" s="74">
        <v>7.0</v>
      </c>
      <c r="BP505" s="74">
        <v>5000.0</v>
      </c>
      <c r="BQ505" s="74">
        <v>3.0</v>
      </c>
      <c r="BR505" s="74">
        <v>0.0</v>
      </c>
      <c r="BS505" s="74">
        <v>7.0</v>
      </c>
      <c r="BT505" s="74">
        <v>1000.0</v>
      </c>
      <c r="BU505" s="74">
        <v>3.0</v>
      </c>
      <c r="BV505" s="74">
        <v>0.0</v>
      </c>
      <c r="BW505" s="74">
        <v>1.0</v>
      </c>
      <c r="BX505" s="74">
        <v>7.0</v>
      </c>
      <c r="BY505" s="74">
        <v>100.0</v>
      </c>
      <c r="BZ505" s="74">
        <v>3.0</v>
      </c>
      <c r="CA505" s="74">
        <v>0.0</v>
      </c>
      <c r="CB505" s="119"/>
      <c r="CC505" s="119"/>
      <c r="CD505" s="148">
        <v>43868.0</v>
      </c>
      <c r="CE505" s="74">
        <v>1.0</v>
      </c>
      <c r="CF505" s="74" t="s">
        <v>22338</v>
      </c>
      <c r="CG505" s="120">
        <v>8027.0</v>
      </c>
      <c r="CH505" s="74" t="s">
        <v>22746</v>
      </c>
      <c r="CI505" s="74" t="s">
        <v>22748</v>
      </c>
      <c r="CJ505" s="120">
        <v>504.0</v>
      </c>
    </row>
    <row r="506">
      <c r="A506" s="74" t="s">
        <v>22750</v>
      </c>
      <c r="B506" s="74" t="s">
        <v>6876</v>
      </c>
      <c r="C506" s="74" t="s">
        <v>6877</v>
      </c>
      <c r="D506" s="74" t="s">
        <v>8493</v>
      </c>
      <c r="E506" s="74" t="s">
        <v>22752</v>
      </c>
      <c r="F506" s="74">
        <v>58.0</v>
      </c>
      <c r="G506" s="74">
        <v>2.0</v>
      </c>
      <c r="H506" s="74">
        <v>15.0</v>
      </c>
      <c r="I506" s="119"/>
      <c r="J506" s="74">
        <v>152.0</v>
      </c>
      <c r="K506" s="74" t="s">
        <v>733</v>
      </c>
      <c r="L506" s="74" t="s">
        <v>733</v>
      </c>
      <c r="M506" s="74" t="s">
        <v>21464</v>
      </c>
      <c r="N506" s="74" t="s">
        <v>21908</v>
      </c>
      <c r="O506" s="74" t="s">
        <v>21909</v>
      </c>
      <c r="P506" s="119"/>
      <c r="Q506" s="119"/>
      <c r="R506" s="119"/>
      <c r="S506" s="119"/>
      <c r="T506" s="119"/>
      <c r="U506" s="119"/>
      <c r="V506" s="119"/>
      <c r="W506" s="119"/>
      <c r="X506" s="119"/>
      <c r="Y506" s="119"/>
      <c r="Z506" s="119"/>
      <c r="AA506" s="119"/>
      <c r="AB506" s="119"/>
      <c r="AC506" s="119"/>
      <c r="AD506" s="119"/>
      <c r="AE506" s="119"/>
      <c r="AF506" s="119"/>
      <c r="AG506" s="119"/>
      <c r="AH506" s="119"/>
      <c r="AI506" s="119"/>
      <c r="AJ506" s="119"/>
      <c r="AK506" s="119"/>
      <c r="AL506" s="119"/>
      <c r="AM506" s="119"/>
      <c r="AN506" s="119"/>
      <c r="AO506" s="119"/>
      <c r="AP506" s="119"/>
      <c r="AQ506" s="119"/>
      <c r="AR506" s="119"/>
      <c r="AS506" s="119"/>
      <c r="AT506" s="119"/>
      <c r="AU506" s="74">
        <v>1.0</v>
      </c>
      <c r="AV506" s="74" t="s">
        <v>21908</v>
      </c>
      <c r="AW506" s="74" t="s">
        <v>21909</v>
      </c>
      <c r="AX506" s="119"/>
      <c r="AY506" s="119"/>
      <c r="AZ506" s="74">
        <v>7.0</v>
      </c>
      <c r="BA506" s="74">
        <v>1000.0</v>
      </c>
      <c r="BB506" s="74">
        <v>3.0</v>
      </c>
      <c r="BC506" s="74">
        <v>0.0</v>
      </c>
      <c r="BD506" s="74">
        <v>7.0</v>
      </c>
      <c r="BE506" s="74">
        <v>100.0</v>
      </c>
      <c r="BF506" s="74">
        <v>3.0</v>
      </c>
      <c r="BG506" s="74">
        <v>0.0</v>
      </c>
      <c r="BH506" s="74">
        <v>0.0</v>
      </c>
      <c r="BI506" s="119"/>
      <c r="BJ506" s="119"/>
      <c r="BK506" s="119"/>
      <c r="BL506" s="119"/>
      <c r="BM506" s="119"/>
      <c r="BN506" s="119"/>
      <c r="BO506" s="74">
        <v>7.0</v>
      </c>
      <c r="BP506" s="74">
        <v>5000.0</v>
      </c>
      <c r="BQ506" s="74">
        <v>3.0</v>
      </c>
      <c r="BR506" s="74">
        <v>0.0</v>
      </c>
      <c r="BS506" s="74">
        <v>7.0</v>
      </c>
      <c r="BT506" s="74">
        <v>1000.0</v>
      </c>
      <c r="BU506" s="74">
        <v>3.0</v>
      </c>
      <c r="BV506" s="74">
        <v>0.0</v>
      </c>
      <c r="BW506" s="74">
        <v>1.0</v>
      </c>
      <c r="BX506" s="74">
        <v>7.0</v>
      </c>
      <c r="BY506" s="74">
        <v>100.0</v>
      </c>
      <c r="BZ506" s="74">
        <v>3.0</v>
      </c>
      <c r="CA506" s="74">
        <v>0.0</v>
      </c>
      <c r="CB506" s="119"/>
      <c r="CC506" s="119"/>
      <c r="CD506" s="74" t="s">
        <v>14054</v>
      </c>
      <c r="CE506" s="74">
        <v>1.0</v>
      </c>
      <c r="CF506" s="74" t="s">
        <v>22338</v>
      </c>
      <c r="CG506" s="120">
        <v>8028.0</v>
      </c>
      <c r="CH506" s="74" t="s">
        <v>22784</v>
      </c>
      <c r="CI506" s="74" t="s">
        <v>22785</v>
      </c>
      <c r="CJ506" s="120">
        <v>505.0</v>
      </c>
    </row>
    <row r="507">
      <c r="A507" s="74" t="s">
        <v>22788</v>
      </c>
      <c r="B507" s="74" t="s">
        <v>6876</v>
      </c>
      <c r="C507" s="74" t="s">
        <v>6877</v>
      </c>
      <c r="D507" s="74" t="s">
        <v>8493</v>
      </c>
      <c r="E507" s="74" t="s">
        <v>22790</v>
      </c>
      <c r="F507" s="74">
        <v>58.0</v>
      </c>
      <c r="G507" s="74">
        <v>2.0</v>
      </c>
      <c r="H507" s="74">
        <v>15.0</v>
      </c>
      <c r="I507" s="119"/>
      <c r="J507" s="74">
        <v>152.0</v>
      </c>
      <c r="K507" s="74" t="s">
        <v>734</v>
      </c>
      <c r="L507" s="74" t="s">
        <v>734</v>
      </c>
      <c r="M507" s="74" t="s">
        <v>21464</v>
      </c>
      <c r="N507" s="74" t="s">
        <v>21908</v>
      </c>
      <c r="O507" s="74" t="s">
        <v>21909</v>
      </c>
      <c r="P507" s="119"/>
      <c r="Q507" s="119"/>
      <c r="R507" s="119"/>
      <c r="S507" s="119"/>
      <c r="T507" s="119"/>
      <c r="U507" s="119"/>
      <c r="V507" s="119"/>
      <c r="W507" s="119"/>
      <c r="X507" s="119"/>
      <c r="Y507" s="119"/>
      <c r="Z507" s="119"/>
      <c r="AA507" s="119"/>
      <c r="AB507" s="119"/>
      <c r="AC507" s="119"/>
      <c r="AD507" s="119"/>
      <c r="AE507" s="119"/>
      <c r="AF507" s="119"/>
      <c r="AG507" s="119"/>
      <c r="AH507" s="119"/>
      <c r="AI507" s="119"/>
      <c r="AJ507" s="119"/>
      <c r="AK507" s="119"/>
      <c r="AL507" s="119"/>
      <c r="AM507" s="119"/>
      <c r="AN507" s="119"/>
      <c r="AO507" s="119"/>
      <c r="AP507" s="119"/>
      <c r="AQ507" s="119"/>
      <c r="AR507" s="119"/>
      <c r="AS507" s="119"/>
      <c r="AT507" s="119"/>
      <c r="AU507" s="74">
        <v>1.0</v>
      </c>
      <c r="AV507" s="74" t="s">
        <v>21908</v>
      </c>
      <c r="AW507" s="74" t="s">
        <v>21909</v>
      </c>
      <c r="AX507" s="119"/>
      <c r="AY507" s="119"/>
      <c r="AZ507" s="74">
        <v>7.0</v>
      </c>
      <c r="BA507" s="74">
        <v>1000.0</v>
      </c>
      <c r="BB507" s="74">
        <v>3.0</v>
      </c>
      <c r="BC507" s="74">
        <v>0.0</v>
      </c>
      <c r="BD507" s="74">
        <v>7.0</v>
      </c>
      <c r="BE507" s="74">
        <v>100.0</v>
      </c>
      <c r="BF507" s="74">
        <v>3.0</v>
      </c>
      <c r="BG507" s="74">
        <v>0.0</v>
      </c>
      <c r="BH507" s="74">
        <v>0.0</v>
      </c>
      <c r="BI507" s="119"/>
      <c r="BJ507" s="119"/>
      <c r="BK507" s="119"/>
      <c r="BL507" s="119"/>
      <c r="BM507" s="119"/>
      <c r="BN507" s="119"/>
      <c r="BO507" s="74">
        <v>7.0</v>
      </c>
      <c r="BP507" s="74">
        <v>5000.0</v>
      </c>
      <c r="BQ507" s="74">
        <v>3.0</v>
      </c>
      <c r="BR507" s="74">
        <v>0.0</v>
      </c>
      <c r="BS507" s="74">
        <v>7.0</v>
      </c>
      <c r="BT507" s="74">
        <v>1000.0</v>
      </c>
      <c r="BU507" s="74">
        <v>3.0</v>
      </c>
      <c r="BV507" s="74">
        <v>0.0</v>
      </c>
      <c r="BW507" s="74">
        <v>1.0</v>
      </c>
      <c r="BX507" s="74">
        <v>7.0</v>
      </c>
      <c r="BY507" s="74">
        <v>100.0</v>
      </c>
      <c r="BZ507" s="74">
        <v>3.0</v>
      </c>
      <c r="CA507" s="74">
        <v>0.0</v>
      </c>
      <c r="CB507" s="119"/>
      <c r="CC507" s="119"/>
      <c r="CD507" s="74" t="s">
        <v>14054</v>
      </c>
      <c r="CE507" s="74">
        <v>1.0</v>
      </c>
      <c r="CF507" s="74" t="s">
        <v>22338</v>
      </c>
      <c r="CG507" s="120">
        <v>8029.0</v>
      </c>
      <c r="CH507" s="74" t="s">
        <v>22815</v>
      </c>
      <c r="CI507" s="74" t="s">
        <v>22816</v>
      </c>
      <c r="CJ507" s="120">
        <v>506.0</v>
      </c>
    </row>
    <row r="508">
      <c r="A508" s="74" t="s">
        <v>22819</v>
      </c>
      <c r="B508" s="74" t="s">
        <v>6876</v>
      </c>
      <c r="C508" s="74" t="s">
        <v>6877</v>
      </c>
      <c r="D508" s="74" t="s">
        <v>8493</v>
      </c>
      <c r="E508" s="74" t="s">
        <v>22820</v>
      </c>
      <c r="F508" s="74">
        <v>58.0</v>
      </c>
      <c r="G508" s="74">
        <v>2.0</v>
      </c>
      <c r="H508" s="74">
        <v>15.0</v>
      </c>
      <c r="I508" s="119"/>
      <c r="J508" s="74">
        <v>152.0</v>
      </c>
      <c r="K508" s="74" t="s">
        <v>735</v>
      </c>
      <c r="L508" s="74" t="s">
        <v>735</v>
      </c>
      <c r="M508" s="74" t="s">
        <v>21464</v>
      </c>
      <c r="N508" s="74" t="s">
        <v>21908</v>
      </c>
      <c r="O508" s="74" t="s">
        <v>21909</v>
      </c>
      <c r="P508" s="119"/>
      <c r="Q508" s="119"/>
      <c r="R508" s="119"/>
      <c r="S508" s="119"/>
      <c r="T508" s="119"/>
      <c r="U508" s="119"/>
      <c r="V508" s="119"/>
      <c r="W508" s="119"/>
      <c r="X508" s="119"/>
      <c r="Y508" s="119"/>
      <c r="Z508" s="119"/>
      <c r="AA508" s="119"/>
      <c r="AB508" s="119"/>
      <c r="AC508" s="119"/>
      <c r="AD508" s="119"/>
      <c r="AE508" s="119"/>
      <c r="AF508" s="119"/>
      <c r="AG508" s="119"/>
      <c r="AH508" s="119"/>
      <c r="AI508" s="119"/>
      <c r="AJ508" s="119"/>
      <c r="AK508" s="119"/>
      <c r="AL508" s="119"/>
      <c r="AM508" s="119"/>
      <c r="AN508" s="119"/>
      <c r="AO508" s="119"/>
      <c r="AP508" s="119"/>
      <c r="AQ508" s="119"/>
      <c r="AR508" s="119"/>
      <c r="AS508" s="119"/>
      <c r="AT508" s="119"/>
      <c r="AU508" s="74">
        <v>1.0</v>
      </c>
      <c r="AV508" s="74" t="s">
        <v>21908</v>
      </c>
      <c r="AW508" s="74" t="s">
        <v>21909</v>
      </c>
      <c r="AX508" s="119"/>
      <c r="AY508" s="119"/>
      <c r="AZ508" s="74">
        <v>7.0</v>
      </c>
      <c r="BA508" s="74">
        <v>1000.0</v>
      </c>
      <c r="BB508" s="74">
        <v>3.0</v>
      </c>
      <c r="BC508" s="74">
        <v>0.0</v>
      </c>
      <c r="BD508" s="74">
        <v>7.0</v>
      </c>
      <c r="BE508" s="74">
        <v>100.0</v>
      </c>
      <c r="BF508" s="74">
        <v>3.0</v>
      </c>
      <c r="BG508" s="74">
        <v>0.0</v>
      </c>
      <c r="BH508" s="74">
        <v>0.0</v>
      </c>
      <c r="BI508" s="119"/>
      <c r="BJ508" s="119"/>
      <c r="BK508" s="119"/>
      <c r="BL508" s="119"/>
      <c r="BM508" s="119"/>
      <c r="BN508" s="119"/>
      <c r="BO508" s="74">
        <v>7.0</v>
      </c>
      <c r="BP508" s="74">
        <v>5000.0</v>
      </c>
      <c r="BQ508" s="74">
        <v>3.0</v>
      </c>
      <c r="BR508" s="74">
        <v>0.0</v>
      </c>
      <c r="BS508" s="74">
        <v>7.0</v>
      </c>
      <c r="BT508" s="74">
        <v>1000.0</v>
      </c>
      <c r="BU508" s="74">
        <v>3.0</v>
      </c>
      <c r="BV508" s="74">
        <v>0.0</v>
      </c>
      <c r="BW508" s="74">
        <v>1.0</v>
      </c>
      <c r="BX508" s="74">
        <v>7.0</v>
      </c>
      <c r="BY508" s="74">
        <v>100.0</v>
      </c>
      <c r="BZ508" s="74">
        <v>3.0</v>
      </c>
      <c r="CA508" s="74">
        <v>0.0</v>
      </c>
      <c r="CB508" s="119"/>
      <c r="CC508" s="119"/>
      <c r="CD508" s="74" t="s">
        <v>14054</v>
      </c>
      <c r="CE508" s="74">
        <v>1.0</v>
      </c>
      <c r="CF508" s="74" t="s">
        <v>22338</v>
      </c>
      <c r="CG508" s="120">
        <v>8030.0</v>
      </c>
      <c r="CH508" s="74" t="s">
        <v>22841</v>
      </c>
      <c r="CI508" s="74" t="s">
        <v>22843</v>
      </c>
      <c r="CJ508" s="120">
        <v>507.0</v>
      </c>
    </row>
    <row r="509">
      <c r="A509" s="74" t="s">
        <v>22845</v>
      </c>
      <c r="B509" s="74" t="s">
        <v>6876</v>
      </c>
      <c r="C509" s="74" t="s">
        <v>6877</v>
      </c>
      <c r="D509" s="74" t="s">
        <v>8493</v>
      </c>
      <c r="E509" s="74" t="s">
        <v>22849</v>
      </c>
      <c r="F509" s="74">
        <v>58.0</v>
      </c>
      <c r="G509" s="74">
        <v>2.0</v>
      </c>
      <c r="H509" s="74">
        <v>15.0</v>
      </c>
      <c r="I509" s="119"/>
      <c r="J509" s="74">
        <v>152.0</v>
      </c>
      <c r="K509" s="74" t="s">
        <v>743</v>
      </c>
      <c r="L509" s="74" t="s">
        <v>743</v>
      </c>
      <c r="M509" s="74" t="s">
        <v>21464</v>
      </c>
      <c r="N509" s="74" t="s">
        <v>21908</v>
      </c>
      <c r="O509" s="74" t="s">
        <v>21909</v>
      </c>
      <c r="P509" s="119"/>
      <c r="Q509" s="119"/>
      <c r="R509" s="119"/>
      <c r="S509" s="119"/>
      <c r="T509" s="119"/>
      <c r="U509" s="119"/>
      <c r="V509" s="119"/>
      <c r="W509" s="119"/>
      <c r="X509" s="119"/>
      <c r="Y509" s="119"/>
      <c r="Z509" s="119"/>
      <c r="AA509" s="119"/>
      <c r="AB509" s="119"/>
      <c r="AC509" s="119"/>
      <c r="AD509" s="119"/>
      <c r="AE509" s="119"/>
      <c r="AF509" s="119"/>
      <c r="AG509" s="119"/>
      <c r="AH509" s="119"/>
      <c r="AI509" s="119"/>
      <c r="AJ509" s="119"/>
      <c r="AK509" s="119"/>
      <c r="AL509" s="119"/>
      <c r="AM509" s="119"/>
      <c r="AN509" s="119"/>
      <c r="AO509" s="119"/>
      <c r="AP509" s="119"/>
      <c r="AQ509" s="119"/>
      <c r="AR509" s="119"/>
      <c r="AS509" s="119"/>
      <c r="AT509" s="119"/>
      <c r="AU509" s="74">
        <v>1.0</v>
      </c>
      <c r="AV509" s="74" t="s">
        <v>21908</v>
      </c>
      <c r="AW509" s="74" t="s">
        <v>21909</v>
      </c>
      <c r="AX509" s="119"/>
      <c r="AY509" s="119"/>
      <c r="AZ509" s="74">
        <v>7.0</v>
      </c>
      <c r="BA509" s="74">
        <v>1000.0</v>
      </c>
      <c r="BB509" s="74">
        <v>3.0</v>
      </c>
      <c r="BC509" s="74">
        <v>0.0</v>
      </c>
      <c r="BD509" s="74">
        <v>7.0</v>
      </c>
      <c r="BE509" s="74">
        <v>100.0</v>
      </c>
      <c r="BF509" s="74">
        <v>3.0</v>
      </c>
      <c r="BG509" s="74">
        <v>0.0</v>
      </c>
      <c r="BH509" s="74">
        <v>0.0</v>
      </c>
      <c r="BI509" s="119"/>
      <c r="BJ509" s="119"/>
      <c r="BK509" s="119"/>
      <c r="BL509" s="119"/>
      <c r="BM509" s="119"/>
      <c r="BN509" s="119"/>
      <c r="BO509" s="74">
        <v>7.0</v>
      </c>
      <c r="BP509" s="74">
        <v>5000.0</v>
      </c>
      <c r="BQ509" s="74">
        <v>3.0</v>
      </c>
      <c r="BR509" s="74">
        <v>0.0</v>
      </c>
      <c r="BS509" s="74">
        <v>7.0</v>
      </c>
      <c r="BT509" s="74">
        <v>1000.0</v>
      </c>
      <c r="BU509" s="74">
        <v>3.0</v>
      </c>
      <c r="BV509" s="74">
        <v>0.0</v>
      </c>
      <c r="BW509" s="74">
        <v>1.0</v>
      </c>
      <c r="BX509" s="74">
        <v>7.0</v>
      </c>
      <c r="BY509" s="74">
        <v>100.0</v>
      </c>
      <c r="BZ509" s="74">
        <v>3.0</v>
      </c>
      <c r="CA509" s="74">
        <v>0.0</v>
      </c>
      <c r="CB509" s="119"/>
      <c r="CC509" s="119"/>
      <c r="CD509" s="74" t="s">
        <v>14054</v>
      </c>
      <c r="CE509" s="74">
        <v>1.0</v>
      </c>
      <c r="CF509" s="74" t="s">
        <v>22338</v>
      </c>
      <c r="CG509" s="120">
        <v>8031.0</v>
      </c>
      <c r="CH509" s="74" t="s">
        <v>22879</v>
      </c>
      <c r="CI509" s="74" t="s">
        <v>22880</v>
      </c>
      <c r="CJ509" s="120">
        <v>508.0</v>
      </c>
    </row>
    <row r="510">
      <c r="A510" s="74" t="s">
        <v>22884</v>
      </c>
      <c r="B510" s="74" t="s">
        <v>6876</v>
      </c>
      <c r="C510" s="74" t="s">
        <v>6877</v>
      </c>
      <c r="D510" s="74" t="s">
        <v>8493</v>
      </c>
      <c r="E510" s="74" t="s">
        <v>22886</v>
      </c>
      <c r="F510" s="74">
        <v>58.0</v>
      </c>
      <c r="G510" s="74">
        <v>2.0</v>
      </c>
      <c r="H510" s="74">
        <v>15.0</v>
      </c>
      <c r="I510" s="119"/>
      <c r="J510" s="74">
        <v>151.0</v>
      </c>
      <c r="K510" s="74" t="s">
        <v>740</v>
      </c>
      <c r="L510" s="74" t="s">
        <v>740</v>
      </c>
      <c r="M510" s="74" t="s">
        <v>21464</v>
      </c>
      <c r="N510" s="74" t="s">
        <v>21908</v>
      </c>
      <c r="O510" s="74" t="s">
        <v>21909</v>
      </c>
      <c r="P510" s="119"/>
      <c r="Q510" s="119"/>
      <c r="R510" s="119"/>
      <c r="S510" s="119"/>
      <c r="T510" s="119"/>
      <c r="U510" s="119"/>
      <c r="V510" s="119"/>
      <c r="W510" s="119"/>
      <c r="X510" s="119"/>
      <c r="Y510" s="119"/>
      <c r="Z510" s="119"/>
      <c r="AA510" s="119"/>
      <c r="AB510" s="119"/>
      <c r="AC510" s="119"/>
      <c r="AD510" s="119"/>
      <c r="AE510" s="119"/>
      <c r="AF510" s="119"/>
      <c r="AG510" s="119"/>
      <c r="AH510" s="119"/>
      <c r="AI510" s="119"/>
      <c r="AJ510" s="119"/>
      <c r="AK510" s="119"/>
      <c r="AL510" s="119"/>
      <c r="AM510" s="119"/>
      <c r="AN510" s="119"/>
      <c r="AO510" s="119"/>
      <c r="AP510" s="119"/>
      <c r="AQ510" s="119"/>
      <c r="AR510" s="119"/>
      <c r="AS510" s="119"/>
      <c r="AT510" s="119"/>
      <c r="AU510" s="74">
        <v>1.0</v>
      </c>
      <c r="AV510" s="74" t="s">
        <v>21908</v>
      </c>
      <c r="AW510" s="74" t="s">
        <v>21909</v>
      </c>
      <c r="AX510" s="119"/>
      <c r="AY510" s="119"/>
      <c r="AZ510" s="74">
        <v>7.0</v>
      </c>
      <c r="BA510" s="74">
        <v>1000.0</v>
      </c>
      <c r="BB510" s="74">
        <v>3.0</v>
      </c>
      <c r="BC510" s="74">
        <v>0.0</v>
      </c>
      <c r="BD510" s="74">
        <v>7.0</v>
      </c>
      <c r="BE510" s="74">
        <v>100.0</v>
      </c>
      <c r="BF510" s="74">
        <v>3.0</v>
      </c>
      <c r="BG510" s="74">
        <v>0.0</v>
      </c>
      <c r="BH510" s="74">
        <v>0.0</v>
      </c>
      <c r="BI510" s="119"/>
      <c r="BJ510" s="119"/>
      <c r="BK510" s="119"/>
      <c r="BL510" s="119"/>
      <c r="BM510" s="119"/>
      <c r="BN510" s="119"/>
      <c r="BO510" s="74">
        <v>7.0</v>
      </c>
      <c r="BP510" s="74">
        <v>5000.0</v>
      </c>
      <c r="BQ510" s="74">
        <v>3.0</v>
      </c>
      <c r="BR510" s="74">
        <v>0.0</v>
      </c>
      <c r="BS510" s="74">
        <v>7.0</v>
      </c>
      <c r="BT510" s="74">
        <v>1000.0</v>
      </c>
      <c r="BU510" s="74">
        <v>3.0</v>
      </c>
      <c r="BV510" s="74">
        <v>0.0</v>
      </c>
      <c r="BW510" s="74">
        <v>1.0</v>
      </c>
      <c r="BX510" s="74">
        <v>7.0</v>
      </c>
      <c r="BY510" s="74">
        <v>100.0</v>
      </c>
      <c r="BZ510" s="74">
        <v>3.0</v>
      </c>
      <c r="CA510" s="74">
        <v>0.0</v>
      </c>
      <c r="CB510" s="119"/>
      <c r="CC510" s="119"/>
      <c r="CD510" s="74" t="s">
        <v>14054</v>
      </c>
      <c r="CE510" s="74">
        <v>1.0</v>
      </c>
      <c r="CF510" s="74" t="s">
        <v>22338</v>
      </c>
      <c r="CG510" s="120">
        <v>8032.0</v>
      </c>
      <c r="CH510" s="74" t="s">
        <v>22916</v>
      </c>
      <c r="CI510" s="74" t="s">
        <v>22918</v>
      </c>
      <c r="CJ510" s="120">
        <v>509.0</v>
      </c>
    </row>
    <row r="511">
      <c r="A511" s="74" t="s">
        <v>22920</v>
      </c>
      <c r="B511" s="74" t="s">
        <v>6876</v>
      </c>
      <c r="C511" s="74" t="s">
        <v>6877</v>
      </c>
      <c r="D511" s="74" t="s">
        <v>8493</v>
      </c>
      <c r="E511" s="74" t="s">
        <v>22922</v>
      </c>
      <c r="F511" s="74">
        <v>58.0</v>
      </c>
      <c r="G511" s="74">
        <v>2.0</v>
      </c>
      <c r="H511" s="74">
        <v>15.0</v>
      </c>
      <c r="I511" s="119"/>
      <c r="J511" s="74">
        <v>152.0</v>
      </c>
      <c r="K511" s="74" t="s">
        <v>745</v>
      </c>
      <c r="L511" s="74" t="s">
        <v>745</v>
      </c>
      <c r="M511" s="74" t="s">
        <v>21464</v>
      </c>
      <c r="N511" s="74" t="s">
        <v>21908</v>
      </c>
      <c r="O511" s="74" t="s">
        <v>21909</v>
      </c>
      <c r="P511" s="119"/>
      <c r="Q511" s="119"/>
      <c r="R511" s="119"/>
      <c r="S511" s="119"/>
      <c r="T511" s="119"/>
      <c r="U511" s="119"/>
      <c r="V511" s="119"/>
      <c r="W511" s="119"/>
      <c r="X511" s="119"/>
      <c r="Y511" s="119"/>
      <c r="Z511" s="119"/>
      <c r="AA511" s="119"/>
      <c r="AB511" s="119"/>
      <c r="AC511" s="119"/>
      <c r="AD511" s="119"/>
      <c r="AE511" s="119"/>
      <c r="AF511" s="119"/>
      <c r="AG511" s="119"/>
      <c r="AH511" s="119"/>
      <c r="AI511" s="119"/>
      <c r="AJ511" s="119"/>
      <c r="AK511" s="119"/>
      <c r="AL511" s="119"/>
      <c r="AM511" s="119"/>
      <c r="AN511" s="119"/>
      <c r="AO511" s="119"/>
      <c r="AP511" s="119"/>
      <c r="AQ511" s="119"/>
      <c r="AR511" s="119"/>
      <c r="AS511" s="119"/>
      <c r="AT511" s="119"/>
      <c r="AU511" s="74">
        <v>1.0</v>
      </c>
      <c r="AV511" s="74" t="s">
        <v>21908</v>
      </c>
      <c r="AW511" s="74" t="s">
        <v>21909</v>
      </c>
      <c r="AX511" s="119"/>
      <c r="AY511" s="119"/>
      <c r="AZ511" s="74">
        <v>7.0</v>
      </c>
      <c r="BA511" s="74">
        <v>1000.0</v>
      </c>
      <c r="BB511" s="74">
        <v>3.0</v>
      </c>
      <c r="BC511" s="74">
        <v>0.0</v>
      </c>
      <c r="BD511" s="74">
        <v>7.0</v>
      </c>
      <c r="BE511" s="74">
        <v>100.0</v>
      </c>
      <c r="BF511" s="74">
        <v>3.0</v>
      </c>
      <c r="BG511" s="74">
        <v>0.0</v>
      </c>
      <c r="BH511" s="74">
        <v>0.0</v>
      </c>
      <c r="BI511" s="119"/>
      <c r="BJ511" s="119"/>
      <c r="BK511" s="119"/>
      <c r="BL511" s="119"/>
      <c r="BM511" s="119"/>
      <c r="BN511" s="119"/>
      <c r="BO511" s="74">
        <v>7.0</v>
      </c>
      <c r="BP511" s="74">
        <v>5000.0</v>
      </c>
      <c r="BQ511" s="74">
        <v>3.0</v>
      </c>
      <c r="BR511" s="74">
        <v>0.0</v>
      </c>
      <c r="BS511" s="74">
        <v>7.0</v>
      </c>
      <c r="BT511" s="74">
        <v>1000.0</v>
      </c>
      <c r="BU511" s="74">
        <v>3.0</v>
      </c>
      <c r="BV511" s="74">
        <v>0.0</v>
      </c>
      <c r="BW511" s="74">
        <v>1.0</v>
      </c>
      <c r="BX511" s="74">
        <v>7.0</v>
      </c>
      <c r="BY511" s="74">
        <v>100.0</v>
      </c>
      <c r="BZ511" s="74">
        <v>3.0</v>
      </c>
      <c r="CA511" s="74">
        <v>0.0</v>
      </c>
      <c r="CB511" s="119"/>
      <c r="CC511" s="119"/>
      <c r="CD511" s="74" t="s">
        <v>14054</v>
      </c>
      <c r="CE511" s="74">
        <v>1.0</v>
      </c>
      <c r="CF511" s="74" t="s">
        <v>22338</v>
      </c>
      <c r="CG511" s="120">
        <v>8033.0</v>
      </c>
      <c r="CH511" s="74" t="s">
        <v>22946</v>
      </c>
      <c r="CI511" s="74" t="s">
        <v>22947</v>
      </c>
      <c r="CJ511" s="120">
        <v>510.0</v>
      </c>
    </row>
    <row r="512">
      <c r="A512" s="74" t="s">
        <v>22948</v>
      </c>
      <c r="B512" s="74" t="s">
        <v>6876</v>
      </c>
      <c r="C512" s="74" t="s">
        <v>6877</v>
      </c>
      <c r="D512" s="74" t="s">
        <v>8493</v>
      </c>
      <c r="E512" s="74" t="s">
        <v>22950</v>
      </c>
      <c r="F512" s="74">
        <v>58.0</v>
      </c>
      <c r="G512" s="74">
        <v>2.0</v>
      </c>
      <c r="H512" s="74">
        <v>15.0</v>
      </c>
      <c r="I512" s="119"/>
      <c r="J512" s="74">
        <v>152.0</v>
      </c>
      <c r="K512" s="74" t="s">
        <v>746</v>
      </c>
      <c r="L512" s="74" t="s">
        <v>746</v>
      </c>
      <c r="M512" s="74" t="s">
        <v>21464</v>
      </c>
      <c r="N512" s="74" t="s">
        <v>21908</v>
      </c>
      <c r="O512" s="74" t="s">
        <v>21909</v>
      </c>
      <c r="P512" s="119"/>
      <c r="Q512" s="119"/>
      <c r="R512" s="119"/>
      <c r="S512" s="119"/>
      <c r="T512" s="119"/>
      <c r="U512" s="119"/>
      <c r="V512" s="119"/>
      <c r="W512" s="119"/>
      <c r="X512" s="119"/>
      <c r="Y512" s="119"/>
      <c r="Z512" s="119"/>
      <c r="AA512" s="119"/>
      <c r="AB512" s="119"/>
      <c r="AC512" s="119"/>
      <c r="AD512" s="119"/>
      <c r="AE512" s="119"/>
      <c r="AF512" s="119"/>
      <c r="AG512" s="119"/>
      <c r="AH512" s="119"/>
      <c r="AI512" s="119"/>
      <c r="AJ512" s="119"/>
      <c r="AK512" s="119"/>
      <c r="AL512" s="119"/>
      <c r="AM512" s="119"/>
      <c r="AN512" s="119"/>
      <c r="AO512" s="119"/>
      <c r="AP512" s="119"/>
      <c r="AQ512" s="119"/>
      <c r="AR512" s="119"/>
      <c r="AS512" s="119"/>
      <c r="AT512" s="119"/>
      <c r="AU512" s="74">
        <v>1.0</v>
      </c>
      <c r="AV512" s="74" t="s">
        <v>21908</v>
      </c>
      <c r="AW512" s="74" t="s">
        <v>21909</v>
      </c>
      <c r="AX512" s="119"/>
      <c r="AY512" s="119"/>
      <c r="AZ512" s="74">
        <v>7.0</v>
      </c>
      <c r="BA512" s="74">
        <v>1000.0</v>
      </c>
      <c r="BB512" s="74">
        <v>3.0</v>
      </c>
      <c r="BC512" s="74">
        <v>0.0</v>
      </c>
      <c r="BD512" s="74">
        <v>7.0</v>
      </c>
      <c r="BE512" s="74">
        <v>100.0</v>
      </c>
      <c r="BF512" s="74">
        <v>3.0</v>
      </c>
      <c r="BG512" s="74">
        <v>0.0</v>
      </c>
      <c r="BH512" s="74">
        <v>0.0</v>
      </c>
      <c r="BI512" s="119"/>
      <c r="BJ512" s="119"/>
      <c r="BK512" s="119"/>
      <c r="BL512" s="119"/>
      <c r="BM512" s="119"/>
      <c r="BN512" s="119"/>
      <c r="BO512" s="74">
        <v>7.0</v>
      </c>
      <c r="BP512" s="74">
        <v>5000.0</v>
      </c>
      <c r="BQ512" s="74">
        <v>3.0</v>
      </c>
      <c r="BR512" s="74">
        <v>0.0</v>
      </c>
      <c r="BS512" s="74">
        <v>7.0</v>
      </c>
      <c r="BT512" s="74">
        <v>1000.0</v>
      </c>
      <c r="BU512" s="74">
        <v>3.0</v>
      </c>
      <c r="BV512" s="74">
        <v>0.0</v>
      </c>
      <c r="BW512" s="74">
        <v>1.0</v>
      </c>
      <c r="BX512" s="74">
        <v>7.0</v>
      </c>
      <c r="BY512" s="74">
        <v>100.0</v>
      </c>
      <c r="BZ512" s="74">
        <v>3.0</v>
      </c>
      <c r="CA512" s="74">
        <v>0.0</v>
      </c>
      <c r="CB512" s="119"/>
      <c r="CC512" s="119"/>
      <c r="CD512" s="74" t="s">
        <v>14054</v>
      </c>
      <c r="CE512" s="74">
        <v>1.0</v>
      </c>
      <c r="CF512" s="74" t="s">
        <v>22338</v>
      </c>
      <c r="CG512" s="120">
        <v>8034.0</v>
      </c>
      <c r="CH512" s="74" t="s">
        <v>22967</v>
      </c>
      <c r="CI512" s="74" t="s">
        <v>22969</v>
      </c>
      <c r="CJ512" s="120">
        <v>511.0</v>
      </c>
    </row>
    <row r="513">
      <c r="A513" s="74" t="s">
        <v>22971</v>
      </c>
      <c r="B513" s="74" t="s">
        <v>6876</v>
      </c>
      <c r="C513" s="74" t="s">
        <v>6877</v>
      </c>
      <c r="D513" s="74" t="s">
        <v>8493</v>
      </c>
      <c r="E513" s="74" t="s">
        <v>22973</v>
      </c>
      <c r="F513" s="74">
        <v>33.0</v>
      </c>
      <c r="G513" s="74">
        <v>1.0</v>
      </c>
      <c r="H513" s="74">
        <v>97.0</v>
      </c>
      <c r="I513" s="119"/>
      <c r="J513" s="119"/>
      <c r="K513" s="74" t="s">
        <v>436</v>
      </c>
      <c r="L513" s="74" t="s">
        <v>436</v>
      </c>
      <c r="M513" s="74" t="s">
        <v>21464</v>
      </c>
      <c r="N513" s="74" t="s">
        <v>21908</v>
      </c>
      <c r="O513" s="74" t="s">
        <v>21909</v>
      </c>
      <c r="P513" s="119"/>
      <c r="Q513" s="119"/>
      <c r="R513" s="119"/>
      <c r="S513" s="74">
        <v>9.0</v>
      </c>
      <c r="T513" s="74">
        <v>1000.0</v>
      </c>
      <c r="U513" s="74">
        <v>3.0</v>
      </c>
      <c r="V513" s="74">
        <v>138.0</v>
      </c>
      <c r="W513" s="119"/>
      <c r="X513" s="119"/>
      <c r="Y513" s="119"/>
      <c r="Z513" s="119"/>
      <c r="AA513" s="119"/>
      <c r="AB513" s="119"/>
      <c r="AC513" s="119"/>
      <c r="AD513" s="119"/>
      <c r="AE513" s="119"/>
      <c r="AF513" s="119"/>
      <c r="AG513" s="119"/>
      <c r="AH513" s="119"/>
      <c r="AI513" s="119"/>
      <c r="AJ513" s="119"/>
      <c r="AK513" s="119"/>
      <c r="AL513" s="119"/>
      <c r="AM513" s="119"/>
      <c r="AN513" s="119"/>
      <c r="AO513" s="119"/>
      <c r="AP513" s="119"/>
      <c r="AQ513" s="119"/>
      <c r="AR513" s="119"/>
      <c r="AS513" s="119"/>
      <c r="AT513" s="119"/>
      <c r="AU513" s="74">
        <v>0.0</v>
      </c>
      <c r="AV513" s="119"/>
      <c r="AW513" s="119"/>
      <c r="AX513" s="119"/>
      <c r="AY513" s="119"/>
      <c r="AZ513" s="119"/>
      <c r="BA513" s="119"/>
      <c r="BB513" s="119"/>
      <c r="BC513" s="119"/>
      <c r="BD513" s="119"/>
      <c r="BE513" s="119"/>
      <c r="BF513" s="119"/>
      <c r="BG513" s="119"/>
      <c r="BH513" s="119"/>
      <c r="BI513" s="119"/>
      <c r="BJ513" s="119"/>
      <c r="BK513" s="119"/>
      <c r="BL513" s="119"/>
      <c r="BM513" s="119"/>
      <c r="BN513" s="119"/>
      <c r="BO513" s="119"/>
      <c r="BP513" s="119"/>
      <c r="BQ513" s="119"/>
      <c r="BR513" s="119"/>
      <c r="BS513" s="119"/>
      <c r="BT513" s="119"/>
      <c r="BU513" s="119"/>
      <c r="BV513" s="119"/>
      <c r="BW513" s="119"/>
      <c r="BX513" s="119"/>
      <c r="BY513" s="119"/>
      <c r="BZ513" s="119"/>
      <c r="CA513" s="119"/>
      <c r="CB513" s="119"/>
      <c r="CC513" s="119"/>
      <c r="CD513" s="74" t="s">
        <v>14054</v>
      </c>
      <c r="CE513" s="74">
        <v>1.0</v>
      </c>
      <c r="CF513" s="74" t="s">
        <v>22338</v>
      </c>
      <c r="CG513" s="120">
        <v>8035.0</v>
      </c>
      <c r="CH513" s="74" t="s">
        <v>22990</v>
      </c>
      <c r="CI513" s="74" t="s">
        <v>22991</v>
      </c>
      <c r="CJ513" s="120">
        <v>512.0</v>
      </c>
    </row>
    <row r="514">
      <c r="A514" s="74" t="s">
        <v>22992</v>
      </c>
      <c r="B514" s="74" t="s">
        <v>6876</v>
      </c>
      <c r="C514" s="74" t="s">
        <v>6877</v>
      </c>
      <c r="D514" s="74" t="s">
        <v>8493</v>
      </c>
      <c r="E514" s="74" t="s">
        <v>22996</v>
      </c>
      <c r="F514" s="74">
        <v>33.0</v>
      </c>
      <c r="G514" s="74">
        <v>1.0</v>
      </c>
      <c r="H514" s="74">
        <v>97.0</v>
      </c>
      <c r="I514" s="119"/>
      <c r="J514" s="119"/>
      <c r="K514" s="74" t="s">
        <v>15565</v>
      </c>
      <c r="L514" s="74" t="s">
        <v>15565</v>
      </c>
      <c r="M514" s="74" t="s">
        <v>21464</v>
      </c>
      <c r="N514" s="74" t="s">
        <v>21908</v>
      </c>
      <c r="O514" s="74" t="s">
        <v>21909</v>
      </c>
      <c r="P514" s="119"/>
      <c r="Q514" s="119"/>
      <c r="R514" s="119"/>
      <c r="S514" s="119"/>
      <c r="T514" s="119"/>
      <c r="U514" s="119"/>
      <c r="V514" s="119"/>
      <c r="W514" s="119"/>
      <c r="X514" s="119"/>
      <c r="Y514" s="119"/>
      <c r="Z514" s="119"/>
      <c r="AA514" s="119"/>
      <c r="AB514" s="119"/>
      <c r="AC514" s="119"/>
      <c r="AD514" s="119"/>
      <c r="AE514" s="119"/>
      <c r="AF514" s="119"/>
      <c r="AG514" s="119"/>
      <c r="AH514" s="74">
        <v>4.0</v>
      </c>
      <c r="AI514" s="74">
        <v>1000.0</v>
      </c>
      <c r="AJ514" s="74">
        <v>3.0</v>
      </c>
      <c r="AK514" s="74">
        <v>122.0</v>
      </c>
      <c r="AL514" s="119"/>
      <c r="AM514" s="119"/>
      <c r="AN514" s="119"/>
      <c r="AO514" s="119"/>
      <c r="AP514" s="119"/>
      <c r="AQ514" s="119"/>
      <c r="AR514" s="119"/>
      <c r="AS514" s="119"/>
      <c r="AT514" s="119"/>
      <c r="AU514" s="74">
        <v>0.0</v>
      </c>
      <c r="AV514" s="119"/>
      <c r="AW514" s="119"/>
      <c r="AX514" s="119"/>
      <c r="AY514" s="119"/>
      <c r="AZ514" s="119"/>
      <c r="BA514" s="119"/>
      <c r="BB514" s="119"/>
      <c r="BC514" s="119"/>
      <c r="BD514" s="119"/>
      <c r="BE514" s="119"/>
      <c r="BF514" s="119"/>
      <c r="BG514" s="119"/>
      <c r="BH514" s="119"/>
      <c r="BI514" s="119"/>
      <c r="BJ514" s="119"/>
      <c r="BK514" s="119"/>
      <c r="BL514" s="119"/>
      <c r="BM514" s="119"/>
      <c r="BN514" s="119"/>
      <c r="BO514" s="119"/>
      <c r="BP514" s="119"/>
      <c r="BQ514" s="119"/>
      <c r="BR514" s="119"/>
      <c r="BS514" s="119"/>
      <c r="BT514" s="119"/>
      <c r="BU514" s="119"/>
      <c r="BV514" s="119"/>
      <c r="BW514" s="119"/>
      <c r="BX514" s="119"/>
      <c r="BY514" s="119"/>
      <c r="BZ514" s="119"/>
      <c r="CA514" s="119"/>
      <c r="CB514" s="119"/>
      <c r="CC514" s="119"/>
      <c r="CD514" s="74" t="s">
        <v>14054</v>
      </c>
      <c r="CE514" s="74">
        <v>1.0</v>
      </c>
      <c r="CF514" s="74" t="s">
        <v>22338</v>
      </c>
      <c r="CG514" s="120">
        <v>8036.0</v>
      </c>
      <c r="CH514" s="74" t="s">
        <v>23013</v>
      </c>
      <c r="CI514" s="74" t="s">
        <v>23014</v>
      </c>
      <c r="CJ514" s="120">
        <v>513.0</v>
      </c>
    </row>
    <row r="515">
      <c r="A515" s="74" t="s">
        <v>23015</v>
      </c>
      <c r="B515" s="74" t="s">
        <v>6876</v>
      </c>
      <c r="C515" s="74" t="s">
        <v>6877</v>
      </c>
      <c r="D515" s="74" t="s">
        <v>8493</v>
      </c>
      <c r="E515" s="74" t="s">
        <v>23017</v>
      </c>
      <c r="F515" s="74">
        <v>58.0</v>
      </c>
      <c r="G515" s="74">
        <v>2.0</v>
      </c>
      <c r="H515" s="74">
        <v>14.0</v>
      </c>
      <c r="I515" s="74">
        <v>141.0</v>
      </c>
      <c r="J515" s="119"/>
      <c r="K515" s="74" t="s">
        <v>755</v>
      </c>
      <c r="L515" s="74" t="s">
        <v>755</v>
      </c>
      <c r="M515" s="74" t="s">
        <v>22283</v>
      </c>
      <c r="N515" s="74" t="s">
        <v>21988</v>
      </c>
      <c r="O515" s="74" t="s">
        <v>23023</v>
      </c>
      <c r="P515" s="119"/>
      <c r="Q515" s="119"/>
      <c r="R515" s="119"/>
      <c r="S515" s="119"/>
      <c r="T515" s="119"/>
      <c r="U515" s="119"/>
      <c r="V515" s="119"/>
      <c r="W515" s="119"/>
      <c r="X515" s="119"/>
      <c r="Y515" s="119"/>
      <c r="Z515" s="119"/>
      <c r="AA515" s="119"/>
      <c r="AB515" s="119"/>
      <c r="AC515" s="119"/>
      <c r="AD515" s="119"/>
      <c r="AE515" s="119"/>
      <c r="AF515" s="119"/>
      <c r="AG515" s="119"/>
      <c r="AH515" s="119"/>
      <c r="AI515" s="119"/>
      <c r="AJ515" s="119"/>
      <c r="AK515" s="119"/>
      <c r="AL515" s="119"/>
      <c r="AM515" s="119"/>
      <c r="AN515" s="119"/>
      <c r="AO515" s="119"/>
      <c r="AP515" s="119"/>
      <c r="AQ515" s="119"/>
      <c r="AR515" s="119"/>
      <c r="AS515" s="119"/>
      <c r="AT515" s="119"/>
      <c r="AU515" s="74">
        <v>1.0</v>
      </c>
      <c r="AV515" s="74" t="s">
        <v>21988</v>
      </c>
      <c r="AW515" s="74" t="s">
        <v>23023</v>
      </c>
      <c r="AX515" s="119"/>
      <c r="AY515" s="119"/>
      <c r="AZ515" s="74">
        <v>7.0</v>
      </c>
      <c r="BA515" s="74">
        <v>1000.0</v>
      </c>
      <c r="BB515" s="74">
        <v>3.0</v>
      </c>
      <c r="BC515" s="74">
        <v>1.0</v>
      </c>
      <c r="BD515" s="74">
        <v>7.0</v>
      </c>
      <c r="BE515" s="74">
        <v>100.0</v>
      </c>
      <c r="BF515" s="74">
        <v>3.0</v>
      </c>
      <c r="BG515" s="74">
        <v>0.0</v>
      </c>
      <c r="BH515" s="74">
        <v>0.0</v>
      </c>
      <c r="BI515" s="119"/>
      <c r="BJ515" s="119"/>
      <c r="BK515" s="119"/>
      <c r="BL515" s="119"/>
      <c r="BM515" s="119"/>
      <c r="BN515" s="119"/>
      <c r="BO515" s="74">
        <v>7.0</v>
      </c>
      <c r="BP515" s="74">
        <v>5000.0</v>
      </c>
      <c r="BQ515" s="74">
        <v>3.0</v>
      </c>
      <c r="BR515" s="74">
        <v>0.0</v>
      </c>
      <c r="BS515" s="74">
        <v>7.0</v>
      </c>
      <c r="BT515" s="74">
        <v>1000.0</v>
      </c>
      <c r="BU515" s="74">
        <v>3.0</v>
      </c>
      <c r="BV515" s="74">
        <v>0.0</v>
      </c>
      <c r="BW515" s="74">
        <v>1.0</v>
      </c>
      <c r="BX515" s="74">
        <v>7.0</v>
      </c>
      <c r="BY515" s="74">
        <v>100.0</v>
      </c>
      <c r="BZ515" s="74">
        <v>3.0</v>
      </c>
      <c r="CA515" s="74">
        <v>0.0</v>
      </c>
      <c r="CB515" s="119"/>
      <c r="CC515" s="119"/>
      <c r="CD515" s="74" t="s">
        <v>14054</v>
      </c>
      <c r="CE515" s="74">
        <v>1.0</v>
      </c>
      <c r="CF515" s="74" t="s">
        <v>22338</v>
      </c>
      <c r="CG515" s="120">
        <v>8037.0</v>
      </c>
      <c r="CH515" s="74" t="s">
        <v>23037</v>
      </c>
      <c r="CI515" s="74" t="s">
        <v>23038</v>
      </c>
      <c r="CJ515" s="120">
        <v>514.0</v>
      </c>
    </row>
    <row r="516">
      <c r="A516" s="74" t="s">
        <v>23039</v>
      </c>
      <c r="B516" s="74" t="s">
        <v>6876</v>
      </c>
      <c r="C516" s="74" t="s">
        <v>6877</v>
      </c>
      <c r="D516" s="74" t="s">
        <v>8493</v>
      </c>
      <c r="E516" s="74" t="s">
        <v>23041</v>
      </c>
      <c r="F516" s="74">
        <v>58.0</v>
      </c>
      <c r="G516" s="74">
        <v>2.0</v>
      </c>
      <c r="H516" s="74">
        <v>14.0</v>
      </c>
      <c r="I516" s="74">
        <v>141.0</v>
      </c>
      <c r="J516" s="119"/>
      <c r="K516" s="74" t="s">
        <v>769</v>
      </c>
      <c r="L516" s="74" t="s">
        <v>769</v>
      </c>
      <c r="M516" s="74" t="s">
        <v>22283</v>
      </c>
      <c r="N516" s="74" t="s">
        <v>21988</v>
      </c>
      <c r="O516" s="74" t="s">
        <v>23023</v>
      </c>
      <c r="P516" s="119"/>
      <c r="Q516" s="119"/>
      <c r="R516" s="119"/>
      <c r="S516" s="119"/>
      <c r="T516" s="119"/>
      <c r="U516" s="119"/>
      <c r="V516" s="119"/>
      <c r="W516" s="119"/>
      <c r="X516" s="119"/>
      <c r="Y516" s="119"/>
      <c r="Z516" s="119"/>
      <c r="AA516" s="119"/>
      <c r="AB516" s="119"/>
      <c r="AC516" s="119"/>
      <c r="AD516" s="119"/>
      <c r="AE516" s="119"/>
      <c r="AF516" s="119"/>
      <c r="AG516" s="119"/>
      <c r="AH516" s="119"/>
      <c r="AI516" s="119"/>
      <c r="AJ516" s="119"/>
      <c r="AK516" s="119"/>
      <c r="AL516" s="119"/>
      <c r="AM516" s="119"/>
      <c r="AN516" s="119"/>
      <c r="AO516" s="119"/>
      <c r="AP516" s="119"/>
      <c r="AQ516" s="119"/>
      <c r="AR516" s="119"/>
      <c r="AS516" s="119"/>
      <c r="AT516" s="119"/>
      <c r="AU516" s="74">
        <v>1.0</v>
      </c>
      <c r="AV516" s="74" t="s">
        <v>21988</v>
      </c>
      <c r="AW516" s="74" t="s">
        <v>23023</v>
      </c>
      <c r="AX516" s="119"/>
      <c r="AY516" s="119"/>
      <c r="AZ516" s="74">
        <v>7.0</v>
      </c>
      <c r="BA516" s="74">
        <v>1000.0</v>
      </c>
      <c r="BB516" s="74">
        <v>3.0</v>
      </c>
      <c r="BC516" s="74">
        <v>0.0</v>
      </c>
      <c r="BD516" s="74">
        <v>7.0</v>
      </c>
      <c r="BE516" s="74">
        <v>100.0</v>
      </c>
      <c r="BF516" s="74">
        <v>3.0</v>
      </c>
      <c r="BG516" s="74">
        <v>0.0</v>
      </c>
      <c r="BH516" s="74">
        <v>0.0</v>
      </c>
      <c r="BI516" s="119"/>
      <c r="BJ516" s="119"/>
      <c r="BK516" s="119"/>
      <c r="BL516" s="119"/>
      <c r="BM516" s="119"/>
      <c r="BN516" s="119"/>
      <c r="BO516" s="74">
        <v>7.0</v>
      </c>
      <c r="BP516" s="74">
        <v>5000.0</v>
      </c>
      <c r="BQ516" s="74">
        <v>3.0</v>
      </c>
      <c r="BR516" s="74">
        <v>0.0</v>
      </c>
      <c r="BS516" s="74">
        <v>7.0</v>
      </c>
      <c r="BT516" s="74">
        <v>1000.0</v>
      </c>
      <c r="BU516" s="74">
        <v>3.0</v>
      </c>
      <c r="BV516" s="74">
        <v>0.0</v>
      </c>
      <c r="BW516" s="74">
        <v>1.0</v>
      </c>
      <c r="BX516" s="74">
        <v>7.0</v>
      </c>
      <c r="BY516" s="74">
        <v>100.0</v>
      </c>
      <c r="BZ516" s="74">
        <v>4.0</v>
      </c>
      <c r="CA516" s="119"/>
      <c r="CB516" s="119"/>
      <c r="CC516" s="74" t="s">
        <v>23058</v>
      </c>
      <c r="CD516" s="148">
        <v>43868.0</v>
      </c>
      <c r="CE516" s="74">
        <v>1.0</v>
      </c>
      <c r="CF516" s="74" t="s">
        <v>22338</v>
      </c>
      <c r="CG516" s="120">
        <v>8038.0</v>
      </c>
      <c r="CH516" s="74" t="s">
        <v>23060</v>
      </c>
      <c r="CI516" s="74" t="s">
        <v>23061</v>
      </c>
      <c r="CJ516" s="120">
        <v>515.0</v>
      </c>
    </row>
    <row r="517">
      <c r="A517" s="74" t="s">
        <v>23063</v>
      </c>
      <c r="B517" s="74" t="s">
        <v>6876</v>
      </c>
      <c r="C517" s="74" t="s">
        <v>6877</v>
      </c>
      <c r="D517" s="74" t="s">
        <v>8493</v>
      </c>
      <c r="E517" s="74" t="s">
        <v>23067</v>
      </c>
      <c r="F517" s="74">
        <v>58.0</v>
      </c>
      <c r="G517" s="74">
        <v>2.0</v>
      </c>
      <c r="H517" s="74">
        <v>14.0</v>
      </c>
      <c r="I517" s="74">
        <v>143.0</v>
      </c>
      <c r="J517" s="119"/>
      <c r="K517" s="74" t="s">
        <v>757</v>
      </c>
      <c r="L517" s="74" t="s">
        <v>757</v>
      </c>
      <c r="M517" s="74" t="s">
        <v>22283</v>
      </c>
      <c r="N517" s="74" t="s">
        <v>21988</v>
      </c>
      <c r="O517" s="74" t="s">
        <v>23023</v>
      </c>
      <c r="P517" s="119"/>
      <c r="Q517" s="119"/>
      <c r="R517" s="119"/>
      <c r="S517" s="119"/>
      <c r="T517" s="119"/>
      <c r="U517" s="119"/>
      <c r="V517" s="119"/>
      <c r="W517" s="119"/>
      <c r="X517" s="119"/>
      <c r="Y517" s="119"/>
      <c r="Z517" s="119"/>
      <c r="AA517" s="119"/>
      <c r="AB517" s="119"/>
      <c r="AC517" s="119"/>
      <c r="AD517" s="119"/>
      <c r="AE517" s="119"/>
      <c r="AF517" s="119"/>
      <c r="AG517" s="119"/>
      <c r="AH517" s="119"/>
      <c r="AI517" s="119"/>
      <c r="AJ517" s="119"/>
      <c r="AK517" s="119"/>
      <c r="AL517" s="119"/>
      <c r="AM517" s="119"/>
      <c r="AN517" s="119"/>
      <c r="AO517" s="119"/>
      <c r="AP517" s="119"/>
      <c r="AQ517" s="119"/>
      <c r="AR517" s="119"/>
      <c r="AS517" s="119"/>
      <c r="AT517" s="119"/>
      <c r="AU517" s="74">
        <v>1.0</v>
      </c>
      <c r="AV517" s="74" t="s">
        <v>21988</v>
      </c>
      <c r="AW517" s="74" t="s">
        <v>23023</v>
      </c>
      <c r="AX517" s="119"/>
      <c r="AY517" s="119"/>
      <c r="AZ517" s="74">
        <v>7.0</v>
      </c>
      <c r="BA517" s="74">
        <v>1000.0</v>
      </c>
      <c r="BB517" s="74">
        <v>3.0</v>
      </c>
      <c r="BC517" s="74">
        <v>50.0</v>
      </c>
      <c r="BD517" s="74">
        <v>7.0</v>
      </c>
      <c r="BE517" s="74">
        <v>100.0</v>
      </c>
      <c r="BF517" s="74">
        <v>3.0</v>
      </c>
      <c r="BG517" s="74">
        <v>3.0</v>
      </c>
      <c r="BH517" s="74">
        <v>0.0</v>
      </c>
      <c r="BI517" s="119"/>
      <c r="BJ517" s="119"/>
      <c r="BK517" s="119"/>
      <c r="BL517" s="119"/>
      <c r="BM517" s="119"/>
      <c r="BN517" s="119"/>
      <c r="BO517" s="74">
        <v>7.0</v>
      </c>
      <c r="BP517" s="74">
        <v>5000.0</v>
      </c>
      <c r="BQ517" s="74">
        <v>3.0</v>
      </c>
      <c r="BR517" s="74">
        <v>0.0</v>
      </c>
      <c r="BS517" s="74">
        <v>7.0</v>
      </c>
      <c r="BT517" s="74">
        <v>1000.0</v>
      </c>
      <c r="BU517" s="74">
        <v>3.0</v>
      </c>
      <c r="BV517" s="74">
        <v>0.0</v>
      </c>
      <c r="BW517" s="74">
        <v>1.0</v>
      </c>
      <c r="BX517" s="74">
        <v>7.0</v>
      </c>
      <c r="BY517" s="74">
        <v>100.0</v>
      </c>
      <c r="BZ517" s="74">
        <v>3.0</v>
      </c>
      <c r="CA517" s="74">
        <v>0.0</v>
      </c>
      <c r="CB517" s="119"/>
      <c r="CC517" s="119"/>
      <c r="CD517" s="74" t="s">
        <v>14054</v>
      </c>
      <c r="CE517" s="74">
        <v>1.0</v>
      </c>
      <c r="CF517" s="74" t="s">
        <v>22338</v>
      </c>
      <c r="CG517" s="120">
        <v>8039.0</v>
      </c>
      <c r="CH517" s="74" t="s">
        <v>23082</v>
      </c>
      <c r="CI517" s="74" t="s">
        <v>23083</v>
      </c>
      <c r="CJ517" s="120">
        <v>516.0</v>
      </c>
    </row>
    <row r="518">
      <c r="A518" s="74" t="s">
        <v>23084</v>
      </c>
      <c r="B518" s="74" t="s">
        <v>6876</v>
      </c>
      <c r="C518" s="74" t="s">
        <v>6877</v>
      </c>
      <c r="D518" s="74" t="s">
        <v>8493</v>
      </c>
      <c r="E518" s="74" t="s">
        <v>23087</v>
      </c>
      <c r="F518" s="74">
        <v>58.0</v>
      </c>
      <c r="G518" s="74">
        <v>2.0</v>
      </c>
      <c r="H518" s="74">
        <v>14.0</v>
      </c>
      <c r="I518" s="74">
        <v>143.0</v>
      </c>
      <c r="J518" s="119"/>
      <c r="K518" s="74" t="s">
        <v>772</v>
      </c>
      <c r="L518" s="74" t="s">
        <v>772</v>
      </c>
      <c r="M518" s="74" t="s">
        <v>22283</v>
      </c>
      <c r="N518" s="74" t="s">
        <v>21988</v>
      </c>
      <c r="O518" s="74" t="s">
        <v>23023</v>
      </c>
      <c r="P518" s="119"/>
      <c r="Q518" s="119"/>
      <c r="R518" s="119"/>
      <c r="S518" s="119"/>
      <c r="T518" s="119"/>
      <c r="U518" s="119"/>
      <c r="V518" s="119"/>
      <c r="W518" s="119"/>
      <c r="X518" s="119"/>
      <c r="Y518" s="119"/>
      <c r="Z518" s="119"/>
      <c r="AA518" s="119"/>
      <c r="AB518" s="119"/>
      <c r="AC518" s="119"/>
      <c r="AD518" s="119"/>
      <c r="AE518" s="119"/>
      <c r="AF518" s="119"/>
      <c r="AG518" s="119"/>
      <c r="AH518" s="119"/>
      <c r="AI518" s="119"/>
      <c r="AJ518" s="119"/>
      <c r="AK518" s="119"/>
      <c r="AL518" s="119"/>
      <c r="AM518" s="119"/>
      <c r="AN518" s="119"/>
      <c r="AO518" s="119"/>
      <c r="AP518" s="119"/>
      <c r="AQ518" s="119"/>
      <c r="AR518" s="119"/>
      <c r="AS518" s="119"/>
      <c r="AT518" s="119"/>
      <c r="AU518" s="74">
        <v>1.0</v>
      </c>
      <c r="AV518" s="74" t="s">
        <v>21988</v>
      </c>
      <c r="AW518" s="74" t="s">
        <v>23023</v>
      </c>
      <c r="AX518" s="119"/>
      <c r="AY518" s="119"/>
      <c r="AZ518" s="74">
        <v>7.0</v>
      </c>
      <c r="BA518" s="74">
        <v>1000.0</v>
      </c>
      <c r="BB518" s="74">
        <v>3.0</v>
      </c>
      <c r="BC518" s="74">
        <v>0.0</v>
      </c>
      <c r="BD518" s="74">
        <v>7.0</v>
      </c>
      <c r="BE518" s="74">
        <v>100.0</v>
      </c>
      <c r="BF518" s="74">
        <v>3.0</v>
      </c>
      <c r="BG518" s="74">
        <v>0.0</v>
      </c>
      <c r="BH518" s="74">
        <v>0.0</v>
      </c>
      <c r="BI518" s="119"/>
      <c r="BJ518" s="119"/>
      <c r="BK518" s="119"/>
      <c r="BL518" s="119"/>
      <c r="BM518" s="119"/>
      <c r="BN518" s="119"/>
      <c r="BO518" s="74">
        <v>7.0</v>
      </c>
      <c r="BP518" s="74">
        <v>5000.0</v>
      </c>
      <c r="BQ518" s="74">
        <v>3.0</v>
      </c>
      <c r="BR518" s="74">
        <v>0.0</v>
      </c>
      <c r="BS518" s="74">
        <v>7.0</v>
      </c>
      <c r="BT518" s="74">
        <v>1000.0</v>
      </c>
      <c r="BU518" s="74">
        <v>3.0</v>
      </c>
      <c r="BV518" s="74">
        <v>0.0</v>
      </c>
      <c r="BW518" s="74">
        <v>1.0</v>
      </c>
      <c r="BX518" s="74">
        <v>7.0</v>
      </c>
      <c r="BY518" s="74">
        <v>100.0</v>
      </c>
      <c r="BZ518" s="74">
        <v>3.0</v>
      </c>
      <c r="CA518" s="74">
        <v>0.0</v>
      </c>
      <c r="CB518" s="119"/>
      <c r="CC518" s="119"/>
      <c r="CD518" s="74" t="s">
        <v>14054</v>
      </c>
      <c r="CE518" s="74">
        <v>1.0</v>
      </c>
      <c r="CF518" s="74" t="s">
        <v>22338</v>
      </c>
      <c r="CG518" s="120">
        <v>8040.0</v>
      </c>
      <c r="CH518" s="74" t="s">
        <v>23110</v>
      </c>
      <c r="CI518" s="74" t="s">
        <v>23111</v>
      </c>
      <c r="CJ518" s="120">
        <v>517.0</v>
      </c>
    </row>
    <row r="519">
      <c r="A519" s="74" t="s">
        <v>23113</v>
      </c>
      <c r="B519" s="74" t="s">
        <v>6876</v>
      </c>
      <c r="C519" s="74" t="s">
        <v>6877</v>
      </c>
      <c r="D519" s="74" t="s">
        <v>8493</v>
      </c>
      <c r="E519" s="74" t="s">
        <v>23114</v>
      </c>
      <c r="F519" s="74">
        <v>58.0</v>
      </c>
      <c r="G519" s="74">
        <v>2.0</v>
      </c>
      <c r="H519" s="74">
        <v>15.0</v>
      </c>
      <c r="I519" s="119"/>
      <c r="J519" s="74">
        <v>151.0</v>
      </c>
      <c r="K519" s="74" t="s">
        <v>785</v>
      </c>
      <c r="L519" s="74" t="s">
        <v>785</v>
      </c>
      <c r="M519" s="74" t="s">
        <v>22283</v>
      </c>
      <c r="N519" s="74" t="s">
        <v>21988</v>
      </c>
      <c r="O519" s="74" t="s">
        <v>23023</v>
      </c>
      <c r="P519" s="119"/>
      <c r="Q519" s="119"/>
      <c r="R519" s="119"/>
      <c r="S519" s="119"/>
      <c r="T519" s="119"/>
      <c r="U519" s="119"/>
      <c r="V519" s="119"/>
      <c r="W519" s="119"/>
      <c r="X519" s="119"/>
      <c r="Y519" s="119"/>
      <c r="Z519" s="119"/>
      <c r="AA519" s="119"/>
      <c r="AB519" s="119"/>
      <c r="AC519" s="119"/>
      <c r="AD519" s="119"/>
      <c r="AE519" s="119"/>
      <c r="AF519" s="119"/>
      <c r="AG519" s="119"/>
      <c r="AH519" s="119"/>
      <c r="AI519" s="119"/>
      <c r="AJ519" s="119"/>
      <c r="AK519" s="119"/>
      <c r="AL519" s="119"/>
      <c r="AM519" s="119"/>
      <c r="AN519" s="119"/>
      <c r="AO519" s="119"/>
      <c r="AP519" s="119"/>
      <c r="AQ519" s="119"/>
      <c r="AR519" s="119"/>
      <c r="AS519" s="119"/>
      <c r="AT519" s="119"/>
      <c r="AU519" s="74">
        <v>1.0</v>
      </c>
      <c r="AV519" s="74" t="s">
        <v>21988</v>
      </c>
      <c r="AW519" s="74" t="s">
        <v>23023</v>
      </c>
      <c r="AX519" s="119"/>
      <c r="AY519" s="119"/>
      <c r="AZ519" s="74">
        <v>7.0</v>
      </c>
      <c r="BA519" s="74">
        <v>1000.0</v>
      </c>
      <c r="BB519" s="74">
        <v>3.0</v>
      </c>
      <c r="BC519" s="74">
        <v>110.0</v>
      </c>
      <c r="BD519" s="74">
        <v>7.0</v>
      </c>
      <c r="BE519" s="74">
        <v>100.0</v>
      </c>
      <c r="BF519" s="74">
        <v>3.0</v>
      </c>
      <c r="BG519" s="74">
        <v>14.0</v>
      </c>
      <c r="BH519" s="74">
        <v>0.0</v>
      </c>
      <c r="BI519" s="119"/>
      <c r="BJ519" s="119"/>
      <c r="BK519" s="119"/>
      <c r="BL519" s="119"/>
      <c r="BM519" s="119"/>
      <c r="BN519" s="119"/>
      <c r="BO519" s="74">
        <v>7.0</v>
      </c>
      <c r="BP519" s="74">
        <v>5000.0</v>
      </c>
      <c r="BQ519" s="74">
        <v>3.0</v>
      </c>
      <c r="BR519" s="74">
        <v>1.0</v>
      </c>
      <c r="BS519" s="74">
        <v>7.0</v>
      </c>
      <c r="BT519" s="74">
        <v>1000.0</v>
      </c>
      <c r="BU519" s="74">
        <v>3.0</v>
      </c>
      <c r="BV519" s="74">
        <v>1.0</v>
      </c>
      <c r="BW519" s="74">
        <v>1.0</v>
      </c>
      <c r="BX519" s="74">
        <v>7.0</v>
      </c>
      <c r="BY519" s="74">
        <v>100.0</v>
      </c>
      <c r="BZ519" s="74">
        <v>3.0</v>
      </c>
      <c r="CA519" s="74">
        <v>0.0</v>
      </c>
      <c r="CB519" s="119"/>
      <c r="CC519" s="119"/>
      <c r="CD519" s="74" t="s">
        <v>14054</v>
      </c>
      <c r="CE519" s="74">
        <v>1.0</v>
      </c>
      <c r="CF519" s="74" t="s">
        <v>22338</v>
      </c>
      <c r="CG519" s="120">
        <v>8041.0</v>
      </c>
      <c r="CH519" s="74" t="s">
        <v>23132</v>
      </c>
      <c r="CI519" s="74" t="s">
        <v>23134</v>
      </c>
      <c r="CJ519" s="120">
        <v>518.0</v>
      </c>
    </row>
    <row r="520">
      <c r="A520" s="74" t="s">
        <v>23135</v>
      </c>
      <c r="B520" s="74" t="s">
        <v>6876</v>
      </c>
      <c r="C520" s="74" t="s">
        <v>6877</v>
      </c>
      <c r="D520" s="74" t="s">
        <v>8493</v>
      </c>
      <c r="E520" s="74" t="s">
        <v>23137</v>
      </c>
      <c r="F520" s="74">
        <v>58.0</v>
      </c>
      <c r="G520" s="74">
        <v>2.0</v>
      </c>
      <c r="H520" s="74">
        <v>15.0</v>
      </c>
      <c r="I520" s="119"/>
      <c r="J520" s="74">
        <v>152.0</v>
      </c>
      <c r="K520" s="74" t="s">
        <v>750</v>
      </c>
      <c r="L520" s="74" t="s">
        <v>750</v>
      </c>
      <c r="M520" s="74" t="s">
        <v>22283</v>
      </c>
      <c r="N520" s="74" t="s">
        <v>21988</v>
      </c>
      <c r="O520" s="74" t="s">
        <v>23023</v>
      </c>
      <c r="P520" s="119"/>
      <c r="Q520" s="119"/>
      <c r="R520" s="119"/>
      <c r="S520" s="119"/>
      <c r="T520" s="119"/>
      <c r="U520" s="119"/>
      <c r="V520" s="119"/>
      <c r="W520" s="119"/>
      <c r="X520" s="119"/>
      <c r="Y520" s="119"/>
      <c r="Z520" s="119"/>
      <c r="AA520" s="119"/>
      <c r="AB520" s="119"/>
      <c r="AC520" s="119"/>
      <c r="AD520" s="119"/>
      <c r="AE520" s="119"/>
      <c r="AF520" s="119"/>
      <c r="AG520" s="119"/>
      <c r="AH520" s="119"/>
      <c r="AI520" s="119"/>
      <c r="AJ520" s="119"/>
      <c r="AK520" s="119"/>
      <c r="AL520" s="119"/>
      <c r="AM520" s="119"/>
      <c r="AN520" s="119"/>
      <c r="AO520" s="119"/>
      <c r="AP520" s="119"/>
      <c r="AQ520" s="119"/>
      <c r="AR520" s="119"/>
      <c r="AS520" s="119"/>
      <c r="AT520" s="119"/>
      <c r="AU520" s="74">
        <v>1.0</v>
      </c>
      <c r="AV520" s="74" t="s">
        <v>21988</v>
      </c>
      <c r="AW520" s="74" t="s">
        <v>23023</v>
      </c>
      <c r="AX520" s="119"/>
      <c r="AY520" s="119"/>
      <c r="AZ520" s="74">
        <v>7.0</v>
      </c>
      <c r="BA520" s="74">
        <v>1000.0</v>
      </c>
      <c r="BB520" s="74">
        <v>3.0</v>
      </c>
      <c r="BC520" s="74">
        <v>0.0</v>
      </c>
      <c r="BD520" s="74">
        <v>7.0</v>
      </c>
      <c r="BE520" s="74">
        <v>100.0</v>
      </c>
      <c r="BF520" s="74">
        <v>3.0</v>
      </c>
      <c r="BG520" s="74">
        <v>0.0</v>
      </c>
      <c r="BH520" s="74">
        <v>0.0</v>
      </c>
      <c r="BI520" s="119"/>
      <c r="BJ520" s="119"/>
      <c r="BK520" s="119"/>
      <c r="BL520" s="119"/>
      <c r="BM520" s="119"/>
      <c r="BN520" s="119"/>
      <c r="BO520" s="74">
        <v>7.0</v>
      </c>
      <c r="BP520" s="74">
        <v>5000.0</v>
      </c>
      <c r="BQ520" s="74">
        <v>3.0</v>
      </c>
      <c r="BR520" s="74">
        <v>0.0</v>
      </c>
      <c r="BS520" s="74">
        <v>7.0</v>
      </c>
      <c r="BT520" s="74">
        <v>1000.0</v>
      </c>
      <c r="BU520" s="74">
        <v>3.0</v>
      </c>
      <c r="BV520" s="74">
        <v>0.0</v>
      </c>
      <c r="BW520" s="74">
        <v>1.0</v>
      </c>
      <c r="BX520" s="74">
        <v>7.0</v>
      </c>
      <c r="BY520" s="74">
        <v>100.0</v>
      </c>
      <c r="BZ520" s="74">
        <v>3.0</v>
      </c>
      <c r="CA520" s="74">
        <v>0.0</v>
      </c>
      <c r="CB520" s="119"/>
      <c r="CC520" s="119"/>
      <c r="CD520" s="74" t="s">
        <v>14054</v>
      </c>
      <c r="CE520" s="74">
        <v>1.0</v>
      </c>
      <c r="CF520" s="74" t="s">
        <v>22338</v>
      </c>
      <c r="CG520" s="120">
        <v>8042.0</v>
      </c>
      <c r="CH520" s="74" t="s">
        <v>23156</v>
      </c>
      <c r="CI520" s="74" t="s">
        <v>23157</v>
      </c>
      <c r="CJ520" s="120">
        <v>519.0</v>
      </c>
    </row>
    <row r="521">
      <c r="A521" s="50" t="s">
        <v>23159</v>
      </c>
      <c r="B521" s="50" t="s">
        <v>6876</v>
      </c>
      <c r="C521" s="50" t="s">
        <v>6877</v>
      </c>
      <c r="D521" s="50" t="s">
        <v>8493</v>
      </c>
      <c r="E521" s="50" t="s">
        <v>23160</v>
      </c>
      <c r="F521" s="50">
        <v>33.0</v>
      </c>
      <c r="G521" s="50">
        <v>1.0</v>
      </c>
      <c r="H521" s="50">
        <v>97.0</v>
      </c>
      <c r="I521" s="116"/>
      <c r="J521" s="116"/>
      <c r="K521" s="50" t="s">
        <v>436</v>
      </c>
      <c r="L521" s="50" t="s">
        <v>436</v>
      </c>
      <c r="M521" s="50" t="s">
        <v>21988</v>
      </c>
      <c r="N521" s="50" t="s">
        <v>17483</v>
      </c>
      <c r="O521" s="50" t="s">
        <v>23162</v>
      </c>
      <c r="P521" s="116"/>
      <c r="Q521" s="116"/>
      <c r="R521" s="116"/>
      <c r="S521" s="50">
        <v>10.0</v>
      </c>
      <c r="T521" s="50">
        <v>1000.0</v>
      </c>
      <c r="U521" s="50">
        <v>3.0</v>
      </c>
      <c r="V521" s="50">
        <v>97.0</v>
      </c>
      <c r="W521" s="116"/>
      <c r="X521" s="116"/>
      <c r="Y521" s="116"/>
      <c r="Z521" s="116"/>
      <c r="AA521" s="116"/>
      <c r="AB521" s="116"/>
      <c r="AC521" s="116"/>
      <c r="AD521" s="116"/>
      <c r="AE521" s="116"/>
      <c r="AF521" s="116"/>
      <c r="AG521" s="116"/>
      <c r="AH521" s="116"/>
      <c r="AI521" s="116"/>
      <c r="AJ521" s="116"/>
      <c r="AK521" s="116"/>
      <c r="AL521" s="116"/>
      <c r="AM521" s="116"/>
      <c r="AN521" s="116"/>
      <c r="AO521" s="116"/>
      <c r="AP521" s="116"/>
      <c r="AQ521" s="116"/>
      <c r="AR521" s="116"/>
      <c r="AS521" s="116"/>
      <c r="AT521" s="116"/>
      <c r="AU521" s="50">
        <v>0.0</v>
      </c>
      <c r="AV521" s="116"/>
      <c r="AW521" s="116"/>
      <c r="AX521" s="116"/>
      <c r="AY521" s="116"/>
      <c r="AZ521" s="116"/>
      <c r="BA521" s="116"/>
      <c r="BB521" s="116"/>
      <c r="BC521" s="116"/>
      <c r="BD521" s="116"/>
      <c r="BE521" s="116"/>
      <c r="BF521" s="116"/>
      <c r="BG521" s="116"/>
      <c r="BH521" s="116"/>
      <c r="BI521" s="116"/>
      <c r="BJ521" s="116"/>
      <c r="BK521" s="116"/>
      <c r="BL521" s="116"/>
      <c r="BM521" s="116"/>
      <c r="BN521" s="116"/>
      <c r="BO521" s="116"/>
      <c r="BP521" s="116"/>
      <c r="BQ521" s="116"/>
      <c r="BR521" s="116"/>
      <c r="BS521" s="116"/>
      <c r="BT521" s="116"/>
      <c r="BU521" s="116"/>
      <c r="BV521" s="116"/>
      <c r="BW521" s="116"/>
      <c r="BX521" s="116"/>
      <c r="BY521" s="116"/>
      <c r="BZ521" s="116"/>
      <c r="CA521" s="116"/>
      <c r="CB521" s="116"/>
      <c r="CC521" s="116"/>
      <c r="CD521" s="145">
        <v>43868.0</v>
      </c>
      <c r="CE521" s="50">
        <v>1.0</v>
      </c>
      <c r="CF521" s="50" t="s">
        <v>22338</v>
      </c>
      <c r="CG521" s="117">
        <v>8244.0</v>
      </c>
      <c r="CH521" s="50" t="s">
        <v>23181</v>
      </c>
      <c r="CI521" s="50" t="s">
        <v>23183</v>
      </c>
      <c r="CJ521" s="117">
        <v>520.0</v>
      </c>
    </row>
    <row r="522">
      <c r="A522" s="50" t="s">
        <v>23160</v>
      </c>
      <c r="B522" s="50" t="s">
        <v>6876</v>
      </c>
      <c r="C522" s="50" t="s">
        <v>6877</v>
      </c>
      <c r="D522" s="50" t="s">
        <v>8493</v>
      </c>
      <c r="E522" s="50" t="s">
        <v>23185</v>
      </c>
      <c r="F522" s="50">
        <v>33.0</v>
      </c>
      <c r="G522" s="50">
        <v>1.0</v>
      </c>
      <c r="H522" s="50">
        <v>97.0</v>
      </c>
      <c r="I522" s="116"/>
      <c r="J522" s="116"/>
      <c r="K522" s="50" t="s">
        <v>15565</v>
      </c>
      <c r="L522" s="50" t="s">
        <v>15565</v>
      </c>
      <c r="M522" s="50" t="s">
        <v>21988</v>
      </c>
      <c r="N522" s="50" t="s">
        <v>17483</v>
      </c>
      <c r="O522" s="50" t="s">
        <v>23162</v>
      </c>
      <c r="P522" s="116"/>
      <c r="Q522" s="116"/>
      <c r="R522" s="116"/>
      <c r="S522" s="116"/>
      <c r="T522" s="116"/>
      <c r="U522" s="116"/>
      <c r="V522" s="116"/>
      <c r="W522" s="116"/>
      <c r="X522" s="116"/>
      <c r="Y522" s="116"/>
      <c r="Z522" s="116"/>
      <c r="AA522" s="116"/>
      <c r="AB522" s="116"/>
      <c r="AC522" s="116"/>
      <c r="AD522" s="116"/>
      <c r="AE522" s="116"/>
      <c r="AF522" s="116"/>
      <c r="AG522" s="116"/>
      <c r="AH522" s="50">
        <v>5.0</v>
      </c>
      <c r="AI522" s="50">
        <v>1000.0</v>
      </c>
      <c r="AJ522" s="50">
        <v>3.0</v>
      </c>
      <c r="AK522" s="50">
        <v>243.0</v>
      </c>
      <c r="AL522" s="116"/>
      <c r="AM522" s="116"/>
      <c r="AN522" s="116"/>
      <c r="AO522" s="116"/>
      <c r="AP522" s="116"/>
      <c r="AQ522" s="116"/>
      <c r="AR522" s="116"/>
      <c r="AS522" s="116"/>
      <c r="AT522" s="116"/>
      <c r="AU522" s="50">
        <v>0.0</v>
      </c>
      <c r="AV522" s="116"/>
      <c r="AW522" s="116"/>
      <c r="AX522" s="116"/>
      <c r="AY522" s="116"/>
      <c r="AZ522" s="116"/>
      <c r="BA522" s="116"/>
      <c r="BB522" s="116"/>
      <c r="BC522" s="116"/>
      <c r="BD522" s="116"/>
      <c r="BE522" s="116"/>
      <c r="BF522" s="116"/>
      <c r="BG522" s="116"/>
      <c r="BH522" s="116"/>
      <c r="BI522" s="116"/>
      <c r="BJ522" s="116"/>
      <c r="BK522" s="116"/>
      <c r="BL522" s="116"/>
      <c r="BM522" s="116"/>
      <c r="BN522" s="116"/>
      <c r="BO522" s="116"/>
      <c r="BP522" s="116"/>
      <c r="BQ522" s="116"/>
      <c r="BR522" s="116"/>
      <c r="BS522" s="116"/>
      <c r="BT522" s="116"/>
      <c r="BU522" s="116"/>
      <c r="BV522" s="116"/>
      <c r="BW522" s="116"/>
      <c r="BX522" s="116"/>
      <c r="BY522" s="116"/>
      <c r="BZ522" s="116"/>
      <c r="CA522" s="116"/>
      <c r="CB522" s="116"/>
      <c r="CC522" s="116"/>
      <c r="CD522" s="145">
        <v>43868.0</v>
      </c>
      <c r="CE522" s="50">
        <v>1.0</v>
      </c>
      <c r="CF522" s="50" t="s">
        <v>22338</v>
      </c>
      <c r="CG522" s="117">
        <v>8245.0</v>
      </c>
      <c r="CH522" s="50" t="s">
        <v>23203</v>
      </c>
      <c r="CI522" s="50" t="s">
        <v>23204</v>
      </c>
      <c r="CJ522" s="117">
        <v>521.0</v>
      </c>
    </row>
    <row r="523">
      <c r="A523" s="50" t="s">
        <v>23185</v>
      </c>
      <c r="B523" s="50" t="s">
        <v>6876</v>
      </c>
      <c r="C523" s="50" t="s">
        <v>6877</v>
      </c>
      <c r="D523" s="50" t="s">
        <v>8493</v>
      </c>
      <c r="E523" s="50" t="s">
        <v>23207</v>
      </c>
      <c r="F523" s="50">
        <v>59.0</v>
      </c>
      <c r="G523" s="50">
        <v>1.0</v>
      </c>
      <c r="H523" s="50">
        <v>11.0</v>
      </c>
      <c r="I523" s="116"/>
      <c r="J523" s="116"/>
      <c r="K523" s="50" t="s">
        <v>4009</v>
      </c>
      <c r="L523" s="50" t="s">
        <v>4009</v>
      </c>
      <c r="M523" s="50" t="s">
        <v>23210</v>
      </c>
      <c r="N523" s="50" t="s">
        <v>17483</v>
      </c>
      <c r="O523" s="50" t="s">
        <v>23162</v>
      </c>
      <c r="P523" s="50">
        <v>4.0</v>
      </c>
      <c r="Q523" s="116"/>
      <c r="R523" s="116"/>
      <c r="S523" s="50">
        <v>7.0</v>
      </c>
      <c r="T523" s="50">
        <v>1000.0</v>
      </c>
      <c r="U523" s="50">
        <v>4.0</v>
      </c>
      <c r="V523" s="116"/>
      <c r="W523" s="50">
        <v>7.0</v>
      </c>
      <c r="X523" s="50">
        <v>100.0</v>
      </c>
      <c r="Y523" s="50">
        <v>3.0</v>
      </c>
      <c r="Z523" s="50">
        <v>25.0</v>
      </c>
      <c r="AA523" s="50">
        <v>1.0</v>
      </c>
      <c r="AB523" s="50">
        <v>4.0</v>
      </c>
      <c r="AC523" s="50">
        <v>1000.0</v>
      </c>
      <c r="AD523" s="50">
        <v>3.0</v>
      </c>
      <c r="AE523" s="50">
        <v>1.0</v>
      </c>
      <c r="AF523" s="116"/>
      <c r="AG523" s="116"/>
      <c r="AH523" s="50">
        <v>7.0</v>
      </c>
      <c r="AI523" s="50">
        <v>5000.0</v>
      </c>
      <c r="AJ523" s="50">
        <v>4.0</v>
      </c>
      <c r="AK523" s="116"/>
      <c r="AL523" s="50">
        <v>7.0</v>
      </c>
      <c r="AM523" s="50">
        <v>1000.0</v>
      </c>
      <c r="AN523" s="50">
        <v>4.0</v>
      </c>
      <c r="AO523" s="116"/>
      <c r="AP523" s="50">
        <v>1.0</v>
      </c>
      <c r="AQ523" s="50">
        <v>7.0</v>
      </c>
      <c r="AR523" s="50">
        <v>100.0</v>
      </c>
      <c r="AS523" s="50">
        <v>3.0</v>
      </c>
      <c r="AT523" s="50">
        <v>0.0</v>
      </c>
      <c r="AU523" s="50">
        <v>0.0</v>
      </c>
      <c r="AV523" s="116"/>
      <c r="AW523" s="116"/>
      <c r="AX523" s="116"/>
      <c r="AY523" s="116"/>
      <c r="AZ523" s="116"/>
      <c r="BA523" s="116"/>
      <c r="BB523" s="116"/>
      <c r="BC523" s="116"/>
      <c r="BD523" s="116"/>
      <c r="BE523" s="116"/>
      <c r="BF523" s="116"/>
      <c r="BG523" s="116"/>
      <c r="BH523" s="116"/>
      <c r="BI523" s="116"/>
      <c r="BJ523" s="116"/>
      <c r="BK523" s="116"/>
      <c r="BL523" s="116"/>
      <c r="BM523" s="116"/>
      <c r="BN523" s="116"/>
      <c r="BO523" s="116"/>
      <c r="BP523" s="116"/>
      <c r="BQ523" s="116"/>
      <c r="BR523" s="116"/>
      <c r="BS523" s="116"/>
      <c r="BT523" s="116"/>
      <c r="BU523" s="116"/>
      <c r="BV523" s="116"/>
      <c r="BW523" s="116"/>
      <c r="BX523" s="116"/>
      <c r="BY523" s="116"/>
      <c r="BZ523" s="116"/>
      <c r="CA523" s="116"/>
      <c r="CB523" s="116"/>
      <c r="CC523" s="50" t="s">
        <v>23225</v>
      </c>
      <c r="CD523" s="145">
        <v>43868.0</v>
      </c>
      <c r="CE523" s="50">
        <v>1.0</v>
      </c>
      <c r="CF523" s="50" t="s">
        <v>22338</v>
      </c>
      <c r="CG523" s="117">
        <v>8246.0</v>
      </c>
      <c r="CH523" s="50" t="s">
        <v>23227</v>
      </c>
      <c r="CI523" s="50" t="s">
        <v>23228</v>
      </c>
      <c r="CJ523" s="117">
        <v>522.0</v>
      </c>
    </row>
    <row r="524">
      <c r="A524" s="50" t="s">
        <v>23230</v>
      </c>
      <c r="B524" s="50" t="s">
        <v>6876</v>
      </c>
      <c r="C524" s="50" t="s">
        <v>6877</v>
      </c>
      <c r="D524" s="50" t="s">
        <v>8493</v>
      </c>
      <c r="E524" s="50" t="s">
        <v>23232</v>
      </c>
      <c r="F524" s="50">
        <v>59.0</v>
      </c>
      <c r="G524" s="50">
        <v>1.0</v>
      </c>
      <c r="H524" s="50">
        <v>11.0</v>
      </c>
      <c r="I524" s="116"/>
      <c r="J524" s="116"/>
      <c r="K524" s="50" t="s">
        <v>4022</v>
      </c>
      <c r="L524" s="50" t="s">
        <v>4022</v>
      </c>
      <c r="M524" s="50" t="s">
        <v>23210</v>
      </c>
      <c r="N524" s="50" t="s">
        <v>17483</v>
      </c>
      <c r="O524" s="50" t="s">
        <v>23162</v>
      </c>
      <c r="P524" s="50">
        <v>4.0</v>
      </c>
      <c r="Q524" s="116"/>
      <c r="R524" s="116"/>
      <c r="S524" s="50">
        <v>7.0</v>
      </c>
      <c r="T524" s="50">
        <v>1000.0</v>
      </c>
      <c r="U524" s="50">
        <v>1.0</v>
      </c>
      <c r="V524" s="116"/>
      <c r="W524" s="50">
        <v>7.0</v>
      </c>
      <c r="X524" s="50">
        <v>100.0</v>
      </c>
      <c r="Y524" s="50">
        <v>1.0</v>
      </c>
      <c r="Z524" s="116"/>
      <c r="AA524" s="50">
        <v>1.0</v>
      </c>
      <c r="AB524" s="50">
        <v>4.0</v>
      </c>
      <c r="AC524" s="50">
        <v>1000.0</v>
      </c>
      <c r="AD524" s="50">
        <v>3.0</v>
      </c>
      <c r="AE524" s="50">
        <v>9.0</v>
      </c>
      <c r="AF524" s="116"/>
      <c r="AG524" s="116"/>
      <c r="AH524" s="50">
        <v>7.0</v>
      </c>
      <c r="AI524" s="50">
        <v>5000.0</v>
      </c>
      <c r="AJ524" s="50">
        <v>1.0</v>
      </c>
      <c r="AK524" s="116"/>
      <c r="AL524" s="50">
        <v>7.0</v>
      </c>
      <c r="AM524" s="50">
        <v>1000.0</v>
      </c>
      <c r="AN524" s="50">
        <v>1.0</v>
      </c>
      <c r="AO524" s="116"/>
      <c r="AP524" s="50">
        <v>1.0</v>
      </c>
      <c r="AQ524" s="50">
        <v>7.0</v>
      </c>
      <c r="AR524" s="50">
        <v>100.0</v>
      </c>
      <c r="AS524" s="50">
        <v>3.0</v>
      </c>
      <c r="AT524" s="50">
        <v>90.0</v>
      </c>
      <c r="AU524" s="50">
        <v>0.0</v>
      </c>
      <c r="AV524" s="116"/>
      <c r="AW524" s="116"/>
      <c r="AX524" s="116"/>
      <c r="AY524" s="116"/>
      <c r="AZ524" s="116"/>
      <c r="BA524" s="116"/>
      <c r="BB524" s="116"/>
      <c r="BC524" s="116"/>
      <c r="BD524" s="116"/>
      <c r="BE524" s="116"/>
      <c r="BF524" s="116"/>
      <c r="BG524" s="116"/>
      <c r="BH524" s="116"/>
      <c r="BI524" s="116"/>
      <c r="BJ524" s="116"/>
      <c r="BK524" s="116"/>
      <c r="BL524" s="116"/>
      <c r="BM524" s="116"/>
      <c r="BN524" s="116"/>
      <c r="BO524" s="116"/>
      <c r="BP524" s="116"/>
      <c r="BQ524" s="116"/>
      <c r="BR524" s="116"/>
      <c r="BS524" s="116"/>
      <c r="BT524" s="116"/>
      <c r="BU524" s="116"/>
      <c r="BV524" s="116"/>
      <c r="BW524" s="116"/>
      <c r="BX524" s="116"/>
      <c r="BY524" s="116"/>
      <c r="BZ524" s="116"/>
      <c r="CA524" s="116"/>
      <c r="CB524" s="116"/>
      <c r="CC524" s="50" t="s">
        <v>21749</v>
      </c>
      <c r="CD524" s="145">
        <v>43868.0</v>
      </c>
      <c r="CE524" s="50">
        <v>1.0</v>
      </c>
      <c r="CF524" s="50" t="s">
        <v>22338</v>
      </c>
      <c r="CG524" s="117">
        <v>8247.0</v>
      </c>
      <c r="CH524" s="50" t="s">
        <v>23249</v>
      </c>
      <c r="CI524" s="50" t="s">
        <v>23250</v>
      </c>
      <c r="CJ524" s="117">
        <v>523.0</v>
      </c>
    </row>
    <row r="525">
      <c r="A525" s="50" t="s">
        <v>23251</v>
      </c>
      <c r="B525" s="50" t="s">
        <v>6876</v>
      </c>
      <c r="C525" s="50" t="s">
        <v>6877</v>
      </c>
      <c r="D525" s="50" t="s">
        <v>8493</v>
      </c>
      <c r="E525" s="50" t="s">
        <v>23254</v>
      </c>
      <c r="F525" s="50">
        <v>59.0</v>
      </c>
      <c r="G525" s="50">
        <v>1.0</v>
      </c>
      <c r="H525" s="50">
        <v>11.0</v>
      </c>
      <c r="I525" s="116"/>
      <c r="J525" s="116"/>
      <c r="K525" s="50" t="s">
        <v>4035</v>
      </c>
      <c r="L525" s="50" t="s">
        <v>4035</v>
      </c>
      <c r="M525" s="50" t="s">
        <v>23210</v>
      </c>
      <c r="N525" s="50" t="s">
        <v>17483</v>
      </c>
      <c r="O525" s="50" t="s">
        <v>23162</v>
      </c>
      <c r="P525" s="50">
        <v>4.0</v>
      </c>
      <c r="Q525" s="116"/>
      <c r="R525" s="116"/>
      <c r="S525" s="50">
        <v>7.0</v>
      </c>
      <c r="T525" s="50">
        <v>1000.0</v>
      </c>
      <c r="U525" s="50">
        <v>1.0</v>
      </c>
      <c r="V525" s="116"/>
      <c r="W525" s="50">
        <v>7.0</v>
      </c>
      <c r="X525" s="50">
        <v>100.0</v>
      </c>
      <c r="Y525" s="50">
        <v>3.0</v>
      </c>
      <c r="Z525" s="50">
        <v>37.0</v>
      </c>
      <c r="AA525" s="50">
        <v>1.0</v>
      </c>
      <c r="AB525" s="50">
        <v>4.0</v>
      </c>
      <c r="AC525" s="50">
        <v>1000.0</v>
      </c>
      <c r="AD525" s="50">
        <v>3.0</v>
      </c>
      <c r="AE525" s="50">
        <v>0.0</v>
      </c>
      <c r="AF525" s="116"/>
      <c r="AG525" s="116"/>
      <c r="AH525" s="50">
        <v>7.0</v>
      </c>
      <c r="AI525" s="50">
        <v>5000.0</v>
      </c>
      <c r="AJ525" s="50">
        <v>3.0</v>
      </c>
      <c r="AK525" s="50">
        <v>0.0</v>
      </c>
      <c r="AL525" s="50">
        <v>7.0</v>
      </c>
      <c r="AM525" s="50">
        <v>1000.0</v>
      </c>
      <c r="AN525" s="50">
        <v>3.0</v>
      </c>
      <c r="AO525" s="50">
        <v>0.0</v>
      </c>
      <c r="AP525" s="50">
        <v>1.0</v>
      </c>
      <c r="AQ525" s="50">
        <v>7.0</v>
      </c>
      <c r="AR525" s="50">
        <v>100.0</v>
      </c>
      <c r="AS525" s="50">
        <v>3.0</v>
      </c>
      <c r="AT525" s="50">
        <v>0.0</v>
      </c>
      <c r="AU525" s="50">
        <v>0.0</v>
      </c>
      <c r="AV525" s="116"/>
      <c r="AW525" s="116"/>
      <c r="AX525" s="116"/>
      <c r="AY525" s="116"/>
      <c r="AZ525" s="116"/>
      <c r="BA525" s="116"/>
      <c r="BB525" s="116"/>
      <c r="BC525" s="116"/>
      <c r="BD525" s="116"/>
      <c r="BE525" s="116"/>
      <c r="BF525" s="116"/>
      <c r="BG525" s="116"/>
      <c r="BH525" s="116"/>
      <c r="BI525" s="116"/>
      <c r="BJ525" s="116"/>
      <c r="BK525" s="116"/>
      <c r="BL525" s="116"/>
      <c r="BM525" s="116"/>
      <c r="BN525" s="116"/>
      <c r="BO525" s="116"/>
      <c r="BP525" s="116"/>
      <c r="BQ525" s="116"/>
      <c r="BR525" s="116"/>
      <c r="BS525" s="116"/>
      <c r="BT525" s="116"/>
      <c r="BU525" s="116"/>
      <c r="BV525" s="116"/>
      <c r="BW525" s="116"/>
      <c r="BX525" s="116"/>
      <c r="BY525" s="116"/>
      <c r="BZ525" s="116"/>
      <c r="CA525" s="116"/>
      <c r="CB525" s="116"/>
      <c r="CC525" s="50" t="s">
        <v>21602</v>
      </c>
      <c r="CD525" s="145">
        <v>43868.0</v>
      </c>
      <c r="CE525" s="50">
        <v>1.0</v>
      </c>
      <c r="CF525" s="50" t="s">
        <v>22338</v>
      </c>
      <c r="CG525" s="117">
        <v>8248.0</v>
      </c>
      <c r="CH525" s="50" t="s">
        <v>23275</v>
      </c>
      <c r="CI525" s="50" t="s">
        <v>23278</v>
      </c>
      <c r="CJ525" s="117">
        <v>524.0</v>
      </c>
    </row>
    <row r="526">
      <c r="A526" s="50" t="s">
        <v>23282</v>
      </c>
      <c r="B526" s="50" t="s">
        <v>6876</v>
      </c>
      <c r="C526" s="50" t="s">
        <v>6877</v>
      </c>
      <c r="D526" s="50" t="s">
        <v>8493</v>
      </c>
      <c r="E526" s="50" t="s">
        <v>23286</v>
      </c>
      <c r="F526" s="50">
        <v>59.0</v>
      </c>
      <c r="G526" s="50">
        <v>1.0</v>
      </c>
      <c r="H526" s="50">
        <v>11.0</v>
      </c>
      <c r="I526" s="116"/>
      <c r="J526" s="116"/>
      <c r="K526" s="50" t="s">
        <v>4050</v>
      </c>
      <c r="L526" s="50" t="s">
        <v>4050</v>
      </c>
      <c r="M526" s="50" t="s">
        <v>23210</v>
      </c>
      <c r="N526" s="50" t="s">
        <v>17483</v>
      </c>
      <c r="O526" s="50" t="s">
        <v>23162</v>
      </c>
      <c r="P526" s="50">
        <v>4.0</v>
      </c>
      <c r="Q526" s="116"/>
      <c r="R526" s="116"/>
      <c r="S526" s="50">
        <v>7.0</v>
      </c>
      <c r="T526" s="50">
        <v>1000.0</v>
      </c>
      <c r="U526" s="50">
        <v>1.0</v>
      </c>
      <c r="V526" s="116"/>
      <c r="W526" s="50">
        <v>7.0</v>
      </c>
      <c r="X526" s="50">
        <v>100.0</v>
      </c>
      <c r="Y526" s="50">
        <v>3.0</v>
      </c>
      <c r="Z526" s="50">
        <v>166.0</v>
      </c>
      <c r="AA526" s="50">
        <v>1.0</v>
      </c>
      <c r="AB526" s="50">
        <v>4.0</v>
      </c>
      <c r="AC526" s="50">
        <v>1000.0</v>
      </c>
      <c r="AD526" s="50">
        <v>3.0</v>
      </c>
      <c r="AE526" s="50">
        <v>0.0</v>
      </c>
      <c r="AF526" s="116"/>
      <c r="AG526" s="116"/>
      <c r="AH526" s="50">
        <v>7.0</v>
      </c>
      <c r="AI526" s="50">
        <v>5000.0</v>
      </c>
      <c r="AJ526" s="50">
        <v>3.0</v>
      </c>
      <c r="AK526" s="50">
        <v>1.0</v>
      </c>
      <c r="AL526" s="50">
        <v>7.0</v>
      </c>
      <c r="AM526" s="50">
        <v>1000.0</v>
      </c>
      <c r="AN526" s="50">
        <v>3.0</v>
      </c>
      <c r="AO526" s="50">
        <v>0.0</v>
      </c>
      <c r="AP526" s="50">
        <v>1.0</v>
      </c>
      <c r="AQ526" s="50">
        <v>7.0</v>
      </c>
      <c r="AR526" s="50">
        <v>100.0</v>
      </c>
      <c r="AS526" s="50">
        <v>3.0</v>
      </c>
      <c r="AT526" s="50">
        <v>0.0</v>
      </c>
      <c r="AU526" s="50">
        <v>0.0</v>
      </c>
      <c r="AV526" s="116"/>
      <c r="AW526" s="116"/>
      <c r="AX526" s="116"/>
      <c r="AY526" s="116"/>
      <c r="AZ526" s="116"/>
      <c r="BA526" s="116"/>
      <c r="BB526" s="116"/>
      <c r="BC526" s="116"/>
      <c r="BD526" s="116"/>
      <c r="BE526" s="116"/>
      <c r="BF526" s="116"/>
      <c r="BG526" s="116"/>
      <c r="BH526" s="116"/>
      <c r="BI526" s="116"/>
      <c r="BJ526" s="116"/>
      <c r="BK526" s="116"/>
      <c r="BL526" s="116"/>
      <c r="BM526" s="116"/>
      <c r="BN526" s="116"/>
      <c r="BO526" s="116"/>
      <c r="BP526" s="116"/>
      <c r="BQ526" s="116"/>
      <c r="BR526" s="116"/>
      <c r="BS526" s="116"/>
      <c r="BT526" s="116"/>
      <c r="BU526" s="116"/>
      <c r="BV526" s="116"/>
      <c r="BW526" s="116"/>
      <c r="BX526" s="116"/>
      <c r="BY526" s="116"/>
      <c r="BZ526" s="116"/>
      <c r="CA526" s="116"/>
      <c r="CB526" s="116"/>
      <c r="CC526" s="50" t="s">
        <v>21602</v>
      </c>
      <c r="CD526" s="145">
        <v>43868.0</v>
      </c>
      <c r="CE526" s="50">
        <v>1.0</v>
      </c>
      <c r="CF526" s="50" t="s">
        <v>22338</v>
      </c>
      <c r="CG526" s="117">
        <v>8249.0</v>
      </c>
      <c r="CH526" s="50" t="s">
        <v>23304</v>
      </c>
      <c r="CI526" s="50" t="s">
        <v>23305</v>
      </c>
      <c r="CJ526" s="117">
        <v>525.0</v>
      </c>
    </row>
    <row r="527">
      <c r="A527" s="50" t="s">
        <v>23307</v>
      </c>
      <c r="B527" s="50" t="s">
        <v>6876</v>
      </c>
      <c r="C527" s="50" t="s">
        <v>6877</v>
      </c>
      <c r="D527" s="50" t="s">
        <v>8493</v>
      </c>
      <c r="E527" s="50" t="s">
        <v>23310</v>
      </c>
      <c r="F527" s="50">
        <v>59.0</v>
      </c>
      <c r="G527" s="50">
        <v>1.0</v>
      </c>
      <c r="H527" s="50">
        <v>11.0</v>
      </c>
      <c r="I527" s="116"/>
      <c r="J527" s="116"/>
      <c r="K527" s="50" t="s">
        <v>4000</v>
      </c>
      <c r="L527" s="50" t="s">
        <v>4000</v>
      </c>
      <c r="M527" s="50" t="s">
        <v>23210</v>
      </c>
      <c r="N527" s="50" t="s">
        <v>17483</v>
      </c>
      <c r="O527" s="50" t="s">
        <v>23162</v>
      </c>
      <c r="P527" s="50">
        <v>4.0</v>
      </c>
      <c r="Q527" s="116"/>
      <c r="R527" s="116"/>
      <c r="S527" s="50">
        <v>7.0</v>
      </c>
      <c r="T527" s="50">
        <v>1000.0</v>
      </c>
      <c r="U527" s="50">
        <v>1.0</v>
      </c>
      <c r="V527" s="116"/>
      <c r="W527" s="50">
        <v>7.0</v>
      </c>
      <c r="X527" s="50">
        <v>100.0</v>
      </c>
      <c r="Y527" s="50">
        <v>3.0</v>
      </c>
      <c r="Z527" s="50">
        <v>85.0</v>
      </c>
      <c r="AA527" s="50">
        <v>1.0</v>
      </c>
      <c r="AB527" s="50">
        <v>4.0</v>
      </c>
      <c r="AC527" s="50">
        <v>1000.0</v>
      </c>
      <c r="AD527" s="50">
        <v>3.0</v>
      </c>
      <c r="AE527" s="50">
        <v>4.0</v>
      </c>
      <c r="AF527" s="116"/>
      <c r="AG527" s="116"/>
      <c r="AH527" s="50">
        <v>7.0</v>
      </c>
      <c r="AI527" s="50">
        <v>5000.0</v>
      </c>
      <c r="AJ527" s="50">
        <v>3.0</v>
      </c>
      <c r="AK527" s="50">
        <v>0.0</v>
      </c>
      <c r="AL527" s="50">
        <v>7.0</v>
      </c>
      <c r="AM527" s="50">
        <v>1000.0</v>
      </c>
      <c r="AN527" s="50">
        <v>3.0</v>
      </c>
      <c r="AO527" s="50">
        <v>0.0</v>
      </c>
      <c r="AP527" s="50">
        <v>1.0</v>
      </c>
      <c r="AQ527" s="50">
        <v>7.0</v>
      </c>
      <c r="AR527" s="50">
        <v>100.0</v>
      </c>
      <c r="AS527" s="50">
        <v>3.0</v>
      </c>
      <c r="AT527" s="50">
        <v>0.0</v>
      </c>
      <c r="AU527" s="50">
        <v>0.0</v>
      </c>
      <c r="AV527" s="116"/>
      <c r="AW527" s="116"/>
      <c r="AX527" s="116"/>
      <c r="AY527" s="116"/>
      <c r="AZ527" s="116"/>
      <c r="BA527" s="116"/>
      <c r="BB527" s="116"/>
      <c r="BC527" s="116"/>
      <c r="BD527" s="116"/>
      <c r="BE527" s="116"/>
      <c r="BF527" s="116"/>
      <c r="BG527" s="116"/>
      <c r="BH527" s="116"/>
      <c r="BI527" s="116"/>
      <c r="BJ527" s="116"/>
      <c r="BK527" s="116"/>
      <c r="BL527" s="116"/>
      <c r="BM527" s="116"/>
      <c r="BN527" s="116"/>
      <c r="BO527" s="116"/>
      <c r="BP527" s="116"/>
      <c r="BQ527" s="116"/>
      <c r="BR527" s="116"/>
      <c r="BS527" s="116"/>
      <c r="BT527" s="116"/>
      <c r="BU527" s="116"/>
      <c r="BV527" s="116"/>
      <c r="BW527" s="116"/>
      <c r="BX527" s="116"/>
      <c r="BY527" s="116"/>
      <c r="BZ527" s="116"/>
      <c r="CA527" s="116"/>
      <c r="CB527" s="116"/>
      <c r="CC527" s="50" t="s">
        <v>21749</v>
      </c>
      <c r="CD527" s="145">
        <v>43868.0</v>
      </c>
      <c r="CE527" s="50">
        <v>1.0</v>
      </c>
      <c r="CF527" s="50" t="s">
        <v>22338</v>
      </c>
      <c r="CG527" s="117">
        <v>8250.0</v>
      </c>
      <c r="CH527" s="50" t="s">
        <v>23334</v>
      </c>
      <c r="CI527" s="50" t="s">
        <v>23335</v>
      </c>
      <c r="CJ527" s="117">
        <v>526.0</v>
      </c>
    </row>
    <row r="528">
      <c r="A528" s="50" t="s">
        <v>23336</v>
      </c>
      <c r="B528" s="50" t="s">
        <v>6876</v>
      </c>
      <c r="C528" s="50" t="s">
        <v>6877</v>
      </c>
      <c r="D528" s="50" t="s">
        <v>8493</v>
      </c>
      <c r="E528" s="50" t="s">
        <v>23338</v>
      </c>
      <c r="F528" s="50">
        <v>58.0</v>
      </c>
      <c r="G528" s="50">
        <v>2.0</v>
      </c>
      <c r="H528" s="50">
        <v>8.0</v>
      </c>
      <c r="I528" s="116"/>
      <c r="J528" s="116"/>
      <c r="K528" s="50" t="s">
        <v>2384</v>
      </c>
      <c r="L528" s="50" t="s">
        <v>2384</v>
      </c>
      <c r="M528" s="50" t="s">
        <v>17426</v>
      </c>
      <c r="N528" s="50" t="s">
        <v>17483</v>
      </c>
      <c r="O528" s="50" t="s">
        <v>23162</v>
      </c>
      <c r="P528" s="116"/>
      <c r="Q528" s="116"/>
      <c r="R528" s="116"/>
      <c r="S528" s="50">
        <v>7.0</v>
      </c>
      <c r="T528" s="50">
        <v>1000.0</v>
      </c>
      <c r="U528" s="50">
        <v>3.0</v>
      </c>
      <c r="V528" s="50">
        <v>8.0</v>
      </c>
      <c r="W528" s="50">
        <v>7.0</v>
      </c>
      <c r="X528" s="50">
        <v>100.0</v>
      </c>
      <c r="Y528" s="50">
        <v>3.0</v>
      </c>
      <c r="Z528" s="50">
        <v>0.0</v>
      </c>
      <c r="AA528" s="50">
        <v>0.0</v>
      </c>
      <c r="AB528" s="116"/>
      <c r="AC528" s="116"/>
      <c r="AD528" s="116"/>
      <c r="AE528" s="116"/>
      <c r="AF528" s="116"/>
      <c r="AG528" s="116"/>
      <c r="AH528" s="50">
        <v>7.0</v>
      </c>
      <c r="AI528" s="50">
        <v>5000.0</v>
      </c>
      <c r="AJ528" s="50">
        <v>3.0</v>
      </c>
      <c r="AK528" s="50">
        <v>1.0</v>
      </c>
      <c r="AL528" s="50">
        <v>7.0</v>
      </c>
      <c r="AM528" s="50">
        <v>1000.0</v>
      </c>
      <c r="AN528" s="50">
        <v>3.0</v>
      </c>
      <c r="AO528" s="50">
        <v>0.0</v>
      </c>
      <c r="AP528" s="50">
        <v>1.0</v>
      </c>
      <c r="AQ528" s="50">
        <v>7.0</v>
      </c>
      <c r="AR528" s="50">
        <v>100.0</v>
      </c>
      <c r="AS528" s="50">
        <v>3.0</v>
      </c>
      <c r="AT528" s="50">
        <v>0.0</v>
      </c>
      <c r="AU528" s="50">
        <v>0.0</v>
      </c>
      <c r="AV528" s="116"/>
      <c r="AW528" s="116"/>
      <c r="AX528" s="116"/>
      <c r="AY528" s="116"/>
      <c r="AZ528" s="116"/>
      <c r="BA528" s="116"/>
      <c r="BB528" s="116"/>
      <c r="BC528" s="116"/>
      <c r="BD528" s="116"/>
      <c r="BE528" s="116"/>
      <c r="BF528" s="116"/>
      <c r="BG528" s="116"/>
      <c r="BH528" s="116"/>
      <c r="BI528" s="116"/>
      <c r="BJ528" s="116"/>
      <c r="BK528" s="116"/>
      <c r="BL528" s="116"/>
      <c r="BM528" s="116"/>
      <c r="BN528" s="116"/>
      <c r="BO528" s="116"/>
      <c r="BP528" s="116"/>
      <c r="BQ528" s="116"/>
      <c r="BR528" s="116"/>
      <c r="BS528" s="116"/>
      <c r="BT528" s="116"/>
      <c r="BU528" s="116"/>
      <c r="BV528" s="116"/>
      <c r="BW528" s="116"/>
      <c r="BX528" s="116"/>
      <c r="BY528" s="116"/>
      <c r="BZ528" s="116"/>
      <c r="CA528" s="116"/>
      <c r="CB528" s="116"/>
      <c r="CC528" s="116"/>
      <c r="CD528" s="145">
        <v>43868.0</v>
      </c>
      <c r="CE528" s="50">
        <v>1.0</v>
      </c>
      <c r="CF528" s="50" t="s">
        <v>22338</v>
      </c>
      <c r="CG528" s="117">
        <v>8251.0</v>
      </c>
      <c r="CH528" s="50" t="s">
        <v>23368</v>
      </c>
      <c r="CI528" s="50" t="s">
        <v>23370</v>
      </c>
      <c r="CJ528" s="117">
        <v>527.0</v>
      </c>
    </row>
    <row r="529">
      <c r="A529" s="50" t="s">
        <v>23373</v>
      </c>
      <c r="B529" s="50" t="s">
        <v>6876</v>
      </c>
      <c r="C529" s="50" t="s">
        <v>6877</v>
      </c>
      <c r="D529" s="50" t="s">
        <v>8493</v>
      </c>
      <c r="E529" s="50" t="s">
        <v>23376</v>
      </c>
      <c r="F529" s="50">
        <v>57.0</v>
      </c>
      <c r="G529" s="50">
        <v>1.0</v>
      </c>
      <c r="H529" s="50">
        <v>16.0</v>
      </c>
      <c r="I529" s="116"/>
      <c r="J529" s="116"/>
      <c r="K529" s="50" t="s">
        <v>4168</v>
      </c>
      <c r="L529" s="50" t="s">
        <v>4168</v>
      </c>
      <c r="M529" s="50" t="s">
        <v>17426</v>
      </c>
      <c r="N529" s="50" t="s">
        <v>17483</v>
      </c>
      <c r="O529" s="50" t="s">
        <v>23162</v>
      </c>
      <c r="P529" s="116"/>
      <c r="Q529" s="116"/>
      <c r="R529" s="116"/>
      <c r="S529" s="50">
        <v>7.0</v>
      </c>
      <c r="T529" s="50">
        <v>1000.0</v>
      </c>
      <c r="U529" s="50">
        <v>1.0</v>
      </c>
      <c r="V529" s="116"/>
      <c r="W529" s="50">
        <v>7.0</v>
      </c>
      <c r="X529" s="50">
        <v>100.0</v>
      </c>
      <c r="Y529" s="50">
        <v>1.0</v>
      </c>
      <c r="Z529" s="116"/>
      <c r="AA529" s="50">
        <v>1.0</v>
      </c>
      <c r="AB529" s="50">
        <v>4.0</v>
      </c>
      <c r="AC529" s="50">
        <v>1000.0</v>
      </c>
      <c r="AD529" s="50">
        <v>3.0</v>
      </c>
      <c r="AE529" s="50">
        <v>5.0</v>
      </c>
      <c r="AF529" s="116"/>
      <c r="AG529" s="116"/>
      <c r="AH529" s="50">
        <v>7.0</v>
      </c>
      <c r="AI529" s="50">
        <v>5000.0</v>
      </c>
      <c r="AJ529" s="50">
        <v>4.0</v>
      </c>
      <c r="AK529" s="116"/>
      <c r="AL529" s="50">
        <v>7.0</v>
      </c>
      <c r="AM529" s="50">
        <v>1000.0</v>
      </c>
      <c r="AN529" s="50">
        <v>1.0</v>
      </c>
      <c r="AO529" s="116"/>
      <c r="AP529" s="50">
        <v>1.0</v>
      </c>
      <c r="AQ529" s="50">
        <v>7.0</v>
      </c>
      <c r="AR529" s="50">
        <v>100.0</v>
      </c>
      <c r="AS529" s="50">
        <v>3.0</v>
      </c>
      <c r="AT529" s="50">
        <v>239.0</v>
      </c>
      <c r="AU529" s="50">
        <v>0.0</v>
      </c>
      <c r="AV529" s="116"/>
      <c r="AW529" s="116"/>
      <c r="AX529" s="116"/>
      <c r="AY529" s="116"/>
      <c r="AZ529" s="116"/>
      <c r="BA529" s="116"/>
      <c r="BB529" s="116"/>
      <c r="BC529" s="116"/>
      <c r="BD529" s="116"/>
      <c r="BE529" s="116"/>
      <c r="BF529" s="116"/>
      <c r="BG529" s="116"/>
      <c r="BH529" s="116"/>
      <c r="BI529" s="116"/>
      <c r="BJ529" s="116"/>
      <c r="BK529" s="116"/>
      <c r="BL529" s="116"/>
      <c r="BM529" s="116"/>
      <c r="BN529" s="116"/>
      <c r="BO529" s="116"/>
      <c r="BP529" s="116"/>
      <c r="BQ529" s="116"/>
      <c r="BR529" s="116"/>
      <c r="BS529" s="116"/>
      <c r="BT529" s="116"/>
      <c r="BU529" s="116"/>
      <c r="BV529" s="116"/>
      <c r="BW529" s="116"/>
      <c r="BX529" s="116"/>
      <c r="BY529" s="116"/>
      <c r="BZ529" s="116"/>
      <c r="CA529" s="116"/>
      <c r="CB529" s="116"/>
      <c r="CC529" s="50" t="s">
        <v>21602</v>
      </c>
      <c r="CD529" s="145">
        <v>43868.0</v>
      </c>
      <c r="CE529" s="50">
        <v>1.0</v>
      </c>
      <c r="CF529" s="50" t="s">
        <v>22338</v>
      </c>
      <c r="CG529" s="117">
        <v>8252.0</v>
      </c>
      <c r="CH529" s="50" t="s">
        <v>23404</v>
      </c>
      <c r="CI529" s="50" t="s">
        <v>23405</v>
      </c>
      <c r="CJ529" s="117">
        <v>528.0</v>
      </c>
    </row>
    <row r="530">
      <c r="A530" s="50" t="s">
        <v>23376</v>
      </c>
      <c r="B530" s="50" t="s">
        <v>6876</v>
      </c>
      <c r="C530" s="50" t="s">
        <v>6877</v>
      </c>
      <c r="D530" s="50" t="s">
        <v>8493</v>
      </c>
      <c r="E530" s="50" t="s">
        <v>23408</v>
      </c>
      <c r="F530" s="50">
        <v>58.0</v>
      </c>
      <c r="G530" s="50">
        <v>1.0</v>
      </c>
      <c r="H530" s="50">
        <v>5.0</v>
      </c>
      <c r="I530" s="116"/>
      <c r="J530" s="116"/>
      <c r="K530" s="50" t="s">
        <v>3362</v>
      </c>
      <c r="L530" s="50" t="s">
        <v>3362</v>
      </c>
      <c r="M530" s="50" t="s">
        <v>17426</v>
      </c>
      <c r="N530" s="50" t="s">
        <v>17483</v>
      </c>
      <c r="O530" s="50" t="s">
        <v>23162</v>
      </c>
      <c r="P530" s="116"/>
      <c r="Q530" s="116"/>
      <c r="R530" s="116"/>
      <c r="S530" s="50">
        <v>7.0</v>
      </c>
      <c r="T530" s="50">
        <v>1000.0</v>
      </c>
      <c r="U530" s="50">
        <v>1.0</v>
      </c>
      <c r="V530" s="116"/>
      <c r="W530" s="50">
        <v>7.0</v>
      </c>
      <c r="X530" s="50">
        <v>100.0</v>
      </c>
      <c r="Y530" s="50">
        <v>3.0</v>
      </c>
      <c r="Z530" s="50">
        <v>16.0</v>
      </c>
      <c r="AA530" s="50">
        <v>0.0</v>
      </c>
      <c r="AB530" s="116"/>
      <c r="AC530" s="116"/>
      <c r="AD530" s="116"/>
      <c r="AE530" s="116"/>
      <c r="AF530" s="116"/>
      <c r="AG530" s="116"/>
      <c r="AH530" s="50">
        <v>7.0</v>
      </c>
      <c r="AI530" s="50">
        <v>5000.0</v>
      </c>
      <c r="AJ530" s="50">
        <v>3.0</v>
      </c>
      <c r="AK530" s="50">
        <v>1.0</v>
      </c>
      <c r="AL530" s="50">
        <v>7.0</v>
      </c>
      <c r="AM530" s="50">
        <v>1000.0</v>
      </c>
      <c r="AN530" s="50">
        <v>3.0</v>
      </c>
      <c r="AO530" s="50">
        <v>0.0</v>
      </c>
      <c r="AP530" s="50">
        <v>1.0</v>
      </c>
      <c r="AQ530" s="50">
        <v>7.0</v>
      </c>
      <c r="AR530" s="50">
        <v>100.0</v>
      </c>
      <c r="AS530" s="50">
        <v>3.0</v>
      </c>
      <c r="AT530" s="50">
        <v>0.0</v>
      </c>
      <c r="AU530" s="50">
        <v>0.0</v>
      </c>
      <c r="AV530" s="116"/>
      <c r="AW530" s="116"/>
      <c r="AX530" s="116"/>
      <c r="AY530" s="116"/>
      <c r="AZ530" s="116"/>
      <c r="BA530" s="116"/>
      <c r="BB530" s="116"/>
      <c r="BC530" s="116"/>
      <c r="BD530" s="116"/>
      <c r="BE530" s="116"/>
      <c r="BF530" s="116"/>
      <c r="BG530" s="116"/>
      <c r="BH530" s="116"/>
      <c r="BI530" s="116"/>
      <c r="BJ530" s="116"/>
      <c r="BK530" s="116"/>
      <c r="BL530" s="116"/>
      <c r="BM530" s="116"/>
      <c r="BN530" s="116"/>
      <c r="BO530" s="116"/>
      <c r="BP530" s="116"/>
      <c r="BQ530" s="116"/>
      <c r="BR530" s="116"/>
      <c r="BS530" s="116"/>
      <c r="BT530" s="116"/>
      <c r="BU530" s="116"/>
      <c r="BV530" s="116"/>
      <c r="BW530" s="116"/>
      <c r="BX530" s="116"/>
      <c r="BY530" s="116"/>
      <c r="BZ530" s="116"/>
      <c r="CA530" s="116"/>
      <c r="CB530" s="116"/>
      <c r="CC530" s="116"/>
      <c r="CD530" s="145">
        <v>43868.0</v>
      </c>
      <c r="CE530" s="50">
        <v>1.0</v>
      </c>
      <c r="CF530" s="50" t="s">
        <v>22338</v>
      </c>
      <c r="CG530" s="117">
        <v>8253.0</v>
      </c>
      <c r="CH530" s="50" t="s">
        <v>23433</v>
      </c>
      <c r="CI530" s="50" t="s">
        <v>23434</v>
      </c>
      <c r="CJ530" s="117">
        <v>529.0</v>
      </c>
    </row>
    <row r="531">
      <c r="A531" s="50" t="s">
        <v>23436</v>
      </c>
      <c r="B531" s="50" t="s">
        <v>6876</v>
      </c>
      <c r="C531" s="50" t="s">
        <v>6877</v>
      </c>
      <c r="D531" s="50" t="s">
        <v>8493</v>
      </c>
      <c r="E531" s="50" t="s">
        <v>23440</v>
      </c>
      <c r="F531" s="50">
        <v>33.0</v>
      </c>
      <c r="G531" s="50">
        <v>1.0</v>
      </c>
      <c r="H531" s="50">
        <v>97.0</v>
      </c>
      <c r="I531" s="116"/>
      <c r="J531" s="116"/>
      <c r="K531" s="50" t="s">
        <v>15565</v>
      </c>
      <c r="L531" s="50" t="s">
        <v>15565</v>
      </c>
      <c r="M531" s="50" t="s">
        <v>17426</v>
      </c>
      <c r="N531" s="50" t="s">
        <v>17483</v>
      </c>
      <c r="O531" s="50" t="s">
        <v>23162</v>
      </c>
      <c r="P531" s="116"/>
      <c r="Q531" s="116"/>
      <c r="R531" s="116"/>
      <c r="S531" s="116"/>
      <c r="T531" s="116"/>
      <c r="U531" s="116"/>
      <c r="V531" s="116"/>
      <c r="W531" s="116"/>
      <c r="X531" s="116"/>
      <c r="Y531" s="116"/>
      <c r="Z531" s="116"/>
      <c r="AA531" s="116"/>
      <c r="AB531" s="116"/>
      <c r="AC531" s="116"/>
      <c r="AD531" s="116"/>
      <c r="AE531" s="116"/>
      <c r="AF531" s="116"/>
      <c r="AG531" s="116"/>
      <c r="AH531" s="50">
        <v>3.0</v>
      </c>
      <c r="AI531" s="50">
        <v>1000.0</v>
      </c>
      <c r="AJ531" s="50">
        <v>3.0</v>
      </c>
      <c r="AK531" s="50">
        <v>3.0</v>
      </c>
      <c r="AL531" s="116"/>
      <c r="AM531" s="116"/>
      <c r="AN531" s="116"/>
      <c r="AO531" s="116"/>
      <c r="AP531" s="116"/>
      <c r="AQ531" s="116"/>
      <c r="AR531" s="116"/>
      <c r="AS531" s="116"/>
      <c r="AT531" s="116"/>
      <c r="AU531" s="50">
        <v>0.0</v>
      </c>
      <c r="AV531" s="116"/>
      <c r="AW531" s="116"/>
      <c r="AX531" s="116"/>
      <c r="AY531" s="116"/>
      <c r="AZ531" s="116"/>
      <c r="BA531" s="116"/>
      <c r="BB531" s="116"/>
      <c r="BC531" s="116"/>
      <c r="BD531" s="116"/>
      <c r="BE531" s="116"/>
      <c r="BF531" s="116"/>
      <c r="BG531" s="116"/>
      <c r="BH531" s="116"/>
      <c r="BI531" s="116"/>
      <c r="BJ531" s="116"/>
      <c r="BK531" s="116"/>
      <c r="BL531" s="116"/>
      <c r="BM531" s="116"/>
      <c r="BN531" s="116"/>
      <c r="BO531" s="116"/>
      <c r="BP531" s="116"/>
      <c r="BQ531" s="116"/>
      <c r="BR531" s="116"/>
      <c r="BS531" s="116"/>
      <c r="BT531" s="116"/>
      <c r="BU531" s="116"/>
      <c r="BV531" s="116"/>
      <c r="BW531" s="116"/>
      <c r="BX531" s="116"/>
      <c r="BY531" s="116"/>
      <c r="BZ531" s="116"/>
      <c r="CA531" s="116"/>
      <c r="CB531" s="116"/>
      <c r="CC531" s="116"/>
      <c r="CD531" s="145">
        <v>43868.0</v>
      </c>
      <c r="CE531" s="50">
        <v>1.0</v>
      </c>
      <c r="CF531" s="50" t="s">
        <v>22338</v>
      </c>
      <c r="CG531" s="117">
        <v>8254.0</v>
      </c>
      <c r="CH531" s="50" t="s">
        <v>23468</v>
      </c>
      <c r="CI531" s="50" t="s">
        <v>23469</v>
      </c>
      <c r="CJ531" s="117">
        <v>530.0</v>
      </c>
    </row>
    <row r="532">
      <c r="A532" s="50" t="s">
        <v>23474</v>
      </c>
      <c r="B532" s="50" t="s">
        <v>6876</v>
      </c>
      <c r="C532" s="50" t="s">
        <v>6877</v>
      </c>
      <c r="D532" s="50" t="s">
        <v>8493</v>
      </c>
      <c r="E532" s="50" t="s">
        <v>23476</v>
      </c>
      <c r="F532" s="50">
        <v>33.0</v>
      </c>
      <c r="G532" s="50">
        <v>1.0</v>
      </c>
      <c r="H532" s="50">
        <v>97.0</v>
      </c>
      <c r="I532" s="116"/>
      <c r="J532" s="116"/>
      <c r="K532" s="50" t="s">
        <v>436</v>
      </c>
      <c r="L532" s="50" t="s">
        <v>436</v>
      </c>
      <c r="M532" s="50" t="s">
        <v>17426</v>
      </c>
      <c r="N532" s="50" t="s">
        <v>17483</v>
      </c>
      <c r="O532" s="50" t="s">
        <v>23162</v>
      </c>
      <c r="P532" s="116"/>
      <c r="Q532" s="116"/>
      <c r="R532" s="116"/>
      <c r="S532" s="50">
        <v>10.0</v>
      </c>
      <c r="T532" s="50">
        <v>1000.0</v>
      </c>
      <c r="U532" s="50">
        <v>3.0</v>
      </c>
      <c r="V532" s="50">
        <v>64.0</v>
      </c>
      <c r="W532" s="116"/>
      <c r="X532" s="116"/>
      <c r="Y532" s="116"/>
      <c r="Z532" s="116"/>
      <c r="AA532" s="116"/>
      <c r="AB532" s="116"/>
      <c r="AC532" s="116"/>
      <c r="AD532" s="116"/>
      <c r="AE532" s="116"/>
      <c r="AF532" s="116"/>
      <c r="AG532" s="116"/>
      <c r="AH532" s="116"/>
      <c r="AI532" s="116"/>
      <c r="AJ532" s="116"/>
      <c r="AK532" s="116"/>
      <c r="AL532" s="116"/>
      <c r="AM532" s="116"/>
      <c r="AN532" s="116"/>
      <c r="AO532" s="116"/>
      <c r="AP532" s="116"/>
      <c r="AQ532" s="116"/>
      <c r="AR532" s="116"/>
      <c r="AS532" s="116"/>
      <c r="AT532" s="116"/>
      <c r="AU532" s="50">
        <v>0.0</v>
      </c>
      <c r="AV532" s="116"/>
      <c r="AW532" s="116"/>
      <c r="AX532" s="116"/>
      <c r="AY532" s="116"/>
      <c r="AZ532" s="116"/>
      <c r="BA532" s="116"/>
      <c r="BB532" s="116"/>
      <c r="BC532" s="116"/>
      <c r="BD532" s="116"/>
      <c r="BE532" s="116"/>
      <c r="BF532" s="116"/>
      <c r="BG532" s="116"/>
      <c r="BH532" s="116"/>
      <c r="BI532" s="116"/>
      <c r="BJ532" s="116"/>
      <c r="BK532" s="116"/>
      <c r="BL532" s="116"/>
      <c r="BM532" s="116"/>
      <c r="BN532" s="116"/>
      <c r="BO532" s="116"/>
      <c r="BP532" s="116"/>
      <c r="BQ532" s="116"/>
      <c r="BR532" s="116"/>
      <c r="BS532" s="116"/>
      <c r="BT532" s="116"/>
      <c r="BU532" s="116"/>
      <c r="BV532" s="116"/>
      <c r="BW532" s="116"/>
      <c r="BX532" s="116"/>
      <c r="BY532" s="116"/>
      <c r="BZ532" s="116"/>
      <c r="CA532" s="116"/>
      <c r="CB532" s="116"/>
      <c r="CC532" s="116"/>
      <c r="CD532" s="145">
        <v>43868.0</v>
      </c>
      <c r="CE532" s="50">
        <v>1.0</v>
      </c>
      <c r="CF532" s="50" t="s">
        <v>22338</v>
      </c>
      <c r="CG532" s="117">
        <v>8255.0</v>
      </c>
      <c r="CH532" s="50" t="s">
        <v>23503</v>
      </c>
      <c r="CI532" s="50" t="s">
        <v>23504</v>
      </c>
      <c r="CJ532" s="117">
        <v>531.0</v>
      </c>
    </row>
    <row r="533">
      <c r="A533" s="50" t="s">
        <v>23476</v>
      </c>
      <c r="B533" s="50" t="s">
        <v>6876</v>
      </c>
      <c r="C533" s="50" t="s">
        <v>6877</v>
      </c>
      <c r="D533" s="50" t="s">
        <v>8493</v>
      </c>
      <c r="E533" s="50" t="s">
        <v>23510</v>
      </c>
      <c r="F533" s="50">
        <v>65.0</v>
      </c>
      <c r="G533" s="50">
        <v>1.0</v>
      </c>
      <c r="H533" s="50">
        <v>16.0</v>
      </c>
      <c r="I533" s="116"/>
      <c r="J533" s="116"/>
      <c r="K533" s="50" t="s">
        <v>4260</v>
      </c>
      <c r="L533" s="50" t="s">
        <v>4260</v>
      </c>
      <c r="M533" s="50" t="s">
        <v>23520</v>
      </c>
      <c r="N533" s="50" t="s">
        <v>23521</v>
      </c>
      <c r="O533" s="50" t="s">
        <v>23522</v>
      </c>
      <c r="P533" s="116"/>
      <c r="Q533" s="116"/>
      <c r="R533" s="116"/>
      <c r="S533" s="50">
        <v>7.0</v>
      </c>
      <c r="T533" s="50">
        <v>1000.0</v>
      </c>
      <c r="U533" s="50">
        <v>4.0</v>
      </c>
      <c r="V533" s="116"/>
      <c r="W533" s="50">
        <v>7.0</v>
      </c>
      <c r="X533" s="50">
        <v>100.0</v>
      </c>
      <c r="Y533" s="50">
        <v>1.0</v>
      </c>
      <c r="Z533" s="116"/>
      <c r="AA533" s="50">
        <v>1.0</v>
      </c>
      <c r="AB533" s="50">
        <v>4.0</v>
      </c>
      <c r="AC533" s="50">
        <v>1000.0</v>
      </c>
      <c r="AD533" s="50">
        <v>3.0</v>
      </c>
      <c r="AE533" s="50">
        <v>14.0</v>
      </c>
      <c r="AF533" s="116"/>
      <c r="AG533" s="116"/>
      <c r="AH533" s="50">
        <v>7.0</v>
      </c>
      <c r="AI533" s="50">
        <v>5000.0</v>
      </c>
      <c r="AJ533" s="50">
        <v>1.0</v>
      </c>
      <c r="AK533" s="116"/>
      <c r="AL533" s="50">
        <v>7.0</v>
      </c>
      <c r="AM533" s="50">
        <v>1000.0</v>
      </c>
      <c r="AN533" s="50">
        <v>3.0</v>
      </c>
      <c r="AO533" s="50">
        <v>183.0</v>
      </c>
      <c r="AP533" s="50">
        <v>1.0</v>
      </c>
      <c r="AQ533" s="50">
        <v>7.0</v>
      </c>
      <c r="AR533" s="50">
        <v>100.0</v>
      </c>
      <c r="AS533" s="50">
        <v>3.0</v>
      </c>
      <c r="AT533" s="50">
        <v>32.0</v>
      </c>
      <c r="AU533" s="50">
        <v>0.0</v>
      </c>
      <c r="AV533" s="116"/>
      <c r="AW533" s="116"/>
      <c r="AX533" s="116"/>
      <c r="AY533" s="116"/>
      <c r="AZ533" s="116"/>
      <c r="BA533" s="116"/>
      <c r="BB533" s="116"/>
      <c r="BC533" s="116"/>
      <c r="BD533" s="116"/>
      <c r="BE533" s="116"/>
      <c r="BF533" s="116"/>
      <c r="BG533" s="116"/>
      <c r="BH533" s="116"/>
      <c r="BI533" s="116"/>
      <c r="BJ533" s="116"/>
      <c r="BK533" s="116"/>
      <c r="BL533" s="116"/>
      <c r="BM533" s="116"/>
      <c r="BN533" s="116"/>
      <c r="BO533" s="116"/>
      <c r="BP533" s="116"/>
      <c r="BQ533" s="116"/>
      <c r="BR533" s="116"/>
      <c r="BS533" s="116"/>
      <c r="BT533" s="116"/>
      <c r="BU533" s="116"/>
      <c r="BV533" s="116"/>
      <c r="BW533" s="116"/>
      <c r="BX533" s="116"/>
      <c r="BY533" s="116"/>
      <c r="BZ533" s="116"/>
      <c r="CA533" s="116"/>
      <c r="CB533" s="116"/>
      <c r="CC533" s="50" t="s">
        <v>23547</v>
      </c>
      <c r="CD533" s="145">
        <v>43868.0</v>
      </c>
      <c r="CE533" s="50">
        <v>1.0</v>
      </c>
      <c r="CF533" s="50" t="s">
        <v>22338</v>
      </c>
      <c r="CG533" s="117">
        <v>8256.0</v>
      </c>
      <c r="CH533" s="50" t="s">
        <v>23549</v>
      </c>
      <c r="CI533" s="50" t="s">
        <v>23550</v>
      </c>
      <c r="CJ533" s="117">
        <v>532.0</v>
      </c>
    </row>
    <row r="534">
      <c r="A534" s="50" t="s">
        <v>23551</v>
      </c>
      <c r="B534" s="50" t="s">
        <v>6876</v>
      </c>
      <c r="C534" s="50" t="s">
        <v>6877</v>
      </c>
      <c r="D534" s="50" t="s">
        <v>8493</v>
      </c>
      <c r="E534" s="50" t="s">
        <v>23553</v>
      </c>
      <c r="F534" s="50">
        <v>58.0</v>
      </c>
      <c r="G534" s="50">
        <v>1.0</v>
      </c>
      <c r="H534" s="50">
        <v>7.0</v>
      </c>
      <c r="I534" s="116"/>
      <c r="J534" s="116"/>
      <c r="K534" s="50" t="s">
        <v>4236</v>
      </c>
      <c r="L534" s="50" t="s">
        <v>4236</v>
      </c>
      <c r="M534" s="50" t="s">
        <v>23520</v>
      </c>
      <c r="N534" s="50" t="s">
        <v>23521</v>
      </c>
      <c r="O534" s="50" t="s">
        <v>23522</v>
      </c>
      <c r="P534" s="116"/>
      <c r="Q534" s="116"/>
      <c r="R534" s="116"/>
      <c r="S534" s="50">
        <v>7.0</v>
      </c>
      <c r="T534" s="50">
        <v>1000.0</v>
      </c>
      <c r="U534" s="50">
        <v>3.0</v>
      </c>
      <c r="V534" s="50">
        <v>36.0</v>
      </c>
      <c r="W534" s="50">
        <v>7.0</v>
      </c>
      <c r="X534" s="50">
        <v>100.0</v>
      </c>
      <c r="Y534" s="50">
        <v>3.0</v>
      </c>
      <c r="Z534" s="50">
        <v>2.0</v>
      </c>
      <c r="AA534" s="50">
        <v>1.0</v>
      </c>
      <c r="AB534" s="50">
        <v>4.0</v>
      </c>
      <c r="AC534" s="50">
        <v>1000.0</v>
      </c>
      <c r="AD534" s="50">
        <v>3.0</v>
      </c>
      <c r="AE534" s="50">
        <v>0.0</v>
      </c>
      <c r="AF534" s="116"/>
      <c r="AG534" s="116"/>
      <c r="AH534" s="50">
        <v>7.0</v>
      </c>
      <c r="AI534" s="50">
        <v>5000.0</v>
      </c>
      <c r="AJ534" s="50">
        <v>3.0</v>
      </c>
      <c r="AK534" s="50">
        <v>0.0</v>
      </c>
      <c r="AL534" s="50">
        <v>7.0</v>
      </c>
      <c r="AM534" s="50">
        <v>1000.0</v>
      </c>
      <c r="AN534" s="50">
        <v>3.0</v>
      </c>
      <c r="AO534" s="50">
        <v>0.0</v>
      </c>
      <c r="AP534" s="50">
        <v>1.0</v>
      </c>
      <c r="AQ534" s="50">
        <v>7.0</v>
      </c>
      <c r="AR534" s="50">
        <v>100.0</v>
      </c>
      <c r="AS534" s="50">
        <v>3.0</v>
      </c>
      <c r="AT534" s="50">
        <v>0.0</v>
      </c>
      <c r="AU534" s="50">
        <v>0.0</v>
      </c>
      <c r="AV534" s="116"/>
      <c r="AW534" s="116"/>
      <c r="AX534" s="116"/>
      <c r="AY534" s="116"/>
      <c r="AZ534" s="116"/>
      <c r="BA534" s="116"/>
      <c r="BB534" s="116"/>
      <c r="BC534" s="116"/>
      <c r="BD534" s="116"/>
      <c r="BE534" s="116"/>
      <c r="BF534" s="116"/>
      <c r="BG534" s="116"/>
      <c r="BH534" s="116"/>
      <c r="BI534" s="116"/>
      <c r="BJ534" s="116"/>
      <c r="BK534" s="116"/>
      <c r="BL534" s="116"/>
      <c r="BM534" s="116"/>
      <c r="BN534" s="116"/>
      <c r="BO534" s="116"/>
      <c r="BP534" s="116"/>
      <c r="BQ534" s="116"/>
      <c r="BR534" s="116"/>
      <c r="BS534" s="116"/>
      <c r="BT534" s="116"/>
      <c r="BU534" s="116"/>
      <c r="BV534" s="116"/>
      <c r="BW534" s="116"/>
      <c r="BX534" s="116"/>
      <c r="BY534" s="116"/>
      <c r="BZ534" s="116"/>
      <c r="CA534" s="116"/>
      <c r="CB534" s="116"/>
      <c r="CC534" s="50" t="s">
        <v>21602</v>
      </c>
      <c r="CD534" s="145">
        <v>43868.0</v>
      </c>
      <c r="CE534" s="50">
        <v>1.0</v>
      </c>
      <c r="CF534" s="50" t="s">
        <v>22338</v>
      </c>
      <c r="CG534" s="117">
        <v>8257.0</v>
      </c>
      <c r="CH534" s="50" t="s">
        <v>23571</v>
      </c>
      <c r="CI534" s="50" t="s">
        <v>23572</v>
      </c>
      <c r="CJ534" s="117">
        <v>533.0</v>
      </c>
    </row>
    <row r="535">
      <c r="A535" s="50" t="s">
        <v>23573</v>
      </c>
      <c r="B535" s="50" t="s">
        <v>6876</v>
      </c>
      <c r="C535" s="50" t="s">
        <v>6877</v>
      </c>
      <c r="D535" s="50" t="s">
        <v>8493</v>
      </c>
      <c r="E535" s="50" t="s">
        <v>23574</v>
      </c>
      <c r="F535" s="50">
        <v>58.0</v>
      </c>
      <c r="G535" s="50">
        <v>1.0</v>
      </c>
      <c r="H535" s="50">
        <v>7.0</v>
      </c>
      <c r="I535" s="116"/>
      <c r="J535" s="116"/>
      <c r="K535" s="50" t="s">
        <v>4244</v>
      </c>
      <c r="L535" s="50" t="s">
        <v>4244</v>
      </c>
      <c r="M535" s="50" t="s">
        <v>23520</v>
      </c>
      <c r="N535" s="50" t="s">
        <v>23521</v>
      </c>
      <c r="O535" s="50" t="s">
        <v>23522</v>
      </c>
      <c r="P535" s="116"/>
      <c r="Q535" s="116"/>
      <c r="R535" s="116"/>
      <c r="S535" s="50">
        <v>7.0</v>
      </c>
      <c r="T535" s="50">
        <v>1000.0</v>
      </c>
      <c r="U535" s="50">
        <v>4.0</v>
      </c>
      <c r="V535" s="116"/>
      <c r="W535" s="50">
        <v>7.0</v>
      </c>
      <c r="X535" s="50">
        <v>100.0</v>
      </c>
      <c r="Y535" s="50">
        <v>4.0</v>
      </c>
      <c r="Z535" s="116"/>
      <c r="AA535" s="50">
        <v>0.0</v>
      </c>
      <c r="AB535" s="116"/>
      <c r="AC535" s="116"/>
      <c r="AD535" s="116"/>
      <c r="AE535" s="116"/>
      <c r="AF535" s="116"/>
      <c r="AG535" s="116"/>
      <c r="AH535" s="50">
        <v>7.0</v>
      </c>
      <c r="AI535" s="50">
        <v>5000.0</v>
      </c>
      <c r="AJ535" s="50">
        <v>3.0</v>
      </c>
      <c r="AK535" s="50">
        <v>0.0</v>
      </c>
      <c r="AL535" s="50">
        <v>7.0</v>
      </c>
      <c r="AM535" s="50">
        <v>1000.0</v>
      </c>
      <c r="AN535" s="50">
        <v>3.0</v>
      </c>
      <c r="AO535" s="50">
        <v>0.0</v>
      </c>
      <c r="AP535" s="50">
        <v>1.0</v>
      </c>
      <c r="AQ535" s="50">
        <v>7.0</v>
      </c>
      <c r="AR535" s="50">
        <v>100.0</v>
      </c>
      <c r="AS535" s="50">
        <v>3.0</v>
      </c>
      <c r="AT535" s="50">
        <v>0.0</v>
      </c>
      <c r="AU535" s="50">
        <v>0.0</v>
      </c>
      <c r="AV535" s="116"/>
      <c r="AW535" s="116"/>
      <c r="AX535" s="116"/>
      <c r="AY535" s="116"/>
      <c r="AZ535" s="116"/>
      <c r="BA535" s="116"/>
      <c r="BB535" s="116"/>
      <c r="BC535" s="116"/>
      <c r="BD535" s="116"/>
      <c r="BE535" s="116"/>
      <c r="BF535" s="116"/>
      <c r="BG535" s="116"/>
      <c r="BH535" s="116"/>
      <c r="BI535" s="116"/>
      <c r="BJ535" s="116"/>
      <c r="BK535" s="116"/>
      <c r="BL535" s="116"/>
      <c r="BM535" s="116"/>
      <c r="BN535" s="116"/>
      <c r="BO535" s="116"/>
      <c r="BP535" s="116"/>
      <c r="BQ535" s="116"/>
      <c r="BR535" s="116"/>
      <c r="BS535" s="116"/>
      <c r="BT535" s="116"/>
      <c r="BU535" s="116"/>
      <c r="BV535" s="116"/>
      <c r="BW535" s="116"/>
      <c r="BX535" s="116"/>
      <c r="BY535" s="116"/>
      <c r="BZ535" s="116"/>
      <c r="CA535" s="116"/>
      <c r="CB535" s="116"/>
      <c r="CC535" s="50" t="s">
        <v>23593</v>
      </c>
      <c r="CD535" s="145">
        <v>43868.0</v>
      </c>
      <c r="CE535" s="50">
        <v>1.0</v>
      </c>
      <c r="CF535" s="50" t="s">
        <v>22338</v>
      </c>
      <c r="CG535" s="117">
        <v>8258.0</v>
      </c>
      <c r="CH535" s="50" t="s">
        <v>23596</v>
      </c>
      <c r="CI535" s="50" t="s">
        <v>23598</v>
      </c>
      <c r="CJ535" s="117">
        <v>534.0</v>
      </c>
    </row>
    <row r="536">
      <c r="A536" s="50" t="s">
        <v>23601</v>
      </c>
      <c r="B536" s="50" t="s">
        <v>6876</v>
      </c>
      <c r="C536" s="50" t="s">
        <v>6877</v>
      </c>
      <c r="D536" s="50" t="s">
        <v>8493</v>
      </c>
      <c r="E536" s="50" t="s">
        <v>23602</v>
      </c>
      <c r="F536" s="50">
        <v>33.0</v>
      </c>
      <c r="G536" s="50">
        <v>1.0</v>
      </c>
      <c r="H536" s="50">
        <v>97.0</v>
      </c>
      <c r="I536" s="116"/>
      <c r="J536" s="116"/>
      <c r="K536" s="50" t="s">
        <v>436</v>
      </c>
      <c r="L536" s="50" t="s">
        <v>436</v>
      </c>
      <c r="M536" s="50" t="s">
        <v>23520</v>
      </c>
      <c r="N536" s="50" t="s">
        <v>23521</v>
      </c>
      <c r="O536" s="50" t="s">
        <v>23522</v>
      </c>
      <c r="P536" s="116"/>
      <c r="Q536" s="116"/>
      <c r="R536" s="116"/>
      <c r="S536" s="50">
        <v>10.0</v>
      </c>
      <c r="T536" s="50">
        <v>1000.0</v>
      </c>
      <c r="U536" s="50">
        <v>3.0</v>
      </c>
      <c r="V536" s="50">
        <v>110.0</v>
      </c>
      <c r="W536" s="116"/>
      <c r="X536" s="116"/>
      <c r="Y536" s="116"/>
      <c r="Z536" s="116"/>
      <c r="AA536" s="116"/>
      <c r="AB536" s="116"/>
      <c r="AC536" s="116"/>
      <c r="AD536" s="116"/>
      <c r="AE536" s="116"/>
      <c r="AF536" s="116"/>
      <c r="AG536" s="116"/>
      <c r="AH536" s="116"/>
      <c r="AI536" s="116"/>
      <c r="AJ536" s="116"/>
      <c r="AK536" s="116"/>
      <c r="AL536" s="116"/>
      <c r="AM536" s="116"/>
      <c r="AN536" s="116"/>
      <c r="AO536" s="116"/>
      <c r="AP536" s="116"/>
      <c r="AQ536" s="116"/>
      <c r="AR536" s="116"/>
      <c r="AS536" s="116"/>
      <c r="AT536" s="116"/>
      <c r="AU536" s="50">
        <v>0.0</v>
      </c>
      <c r="AV536" s="116"/>
      <c r="AW536" s="116"/>
      <c r="AX536" s="116"/>
      <c r="AY536" s="116"/>
      <c r="AZ536" s="116"/>
      <c r="BA536" s="116"/>
      <c r="BB536" s="116"/>
      <c r="BC536" s="116"/>
      <c r="BD536" s="116"/>
      <c r="BE536" s="116"/>
      <c r="BF536" s="116"/>
      <c r="BG536" s="116"/>
      <c r="BH536" s="116"/>
      <c r="BI536" s="116"/>
      <c r="BJ536" s="116"/>
      <c r="BK536" s="116"/>
      <c r="BL536" s="116"/>
      <c r="BM536" s="116"/>
      <c r="BN536" s="116"/>
      <c r="BO536" s="116"/>
      <c r="BP536" s="116"/>
      <c r="BQ536" s="116"/>
      <c r="BR536" s="116"/>
      <c r="BS536" s="116"/>
      <c r="BT536" s="116"/>
      <c r="BU536" s="116"/>
      <c r="BV536" s="116"/>
      <c r="BW536" s="116"/>
      <c r="BX536" s="116"/>
      <c r="BY536" s="116"/>
      <c r="BZ536" s="116"/>
      <c r="CA536" s="116"/>
      <c r="CB536" s="116"/>
      <c r="CC536" s="116"/>
      <c r="CD536" s="145">
        <v>43868.0</v>
      </c>
      <c r="CE536" s="50">
        <v>1.0</v>
      </c>
      <c r="CF536" s="50" t="s">
        <v>22338</v>
      </c>
      <c r="CG536" s="117">
        <v>8259.0</v>
      </c>
      <c r="CH536" s="50" t="s">
        <v>23622</v>
      </c>
      <c r="CI536" s="50" t="s">
        <v>23623</v>
      </c>
      <c r="CJ536" s="117">
        <v>535.0</v>
      </c>
    </row>
    <row r="537">
      <c r="A537" s="50" t="s">
        <v>23625</v>
      </c>
      <c r="B537" s="50" t="s">
        <v>6876</v>
      </c>
      <c r="C537" s="50" t="s">
        <v>6877</v>
      </c>
      <c r="D537" s="50" t="s">
        <v>8493</v>
      </c>
      <c r="E537" s="50" t="s">
        <v>23628</v>
      </c>
      <c r="F537" s="50">
        <v>33.0</v>
      </c>
      <c r="G537" s="50">
        <v>1.0</v>
      </c>
      <c r="H537" s="50">
        <v>97.0</v>
      </c>
      <c r="I537" s="116"/>
      <c r="J537" s="116"/>
      <c r="K537" s="50" t="s">
        <v>15565</v>
      </c>
      <c r="L537" s="50" t="s">
        <v>15565</v>
      </c>
      <c r="M537" s="50" t="s">
        <v>23520</v>
      </c>
      <c r="N537" s="50" t="s">
        <v>23521</v>
      </c>
      <c r="O537" s="50" t="s">
        <v>23522</v>
      </c>
      <c r="P537" s="116"/>
      <c r="Q537" s="116"/>
      <c r="R537" s="116"/>
      <c r="S537" s="116"/>
      <c r="T537" s="116"/>
      <c r="U537" s="116"/>
      <c r="V537" s="116"/>
      <c r="W537" s="116"/>
      <c r="X537" s="116"/>
      <c r="Y537" s="116"/>
      <c r="Z537" s="116"/>
      <c r="AA537" s="116"/>
      <c r="AB537" s="116"/>
      <c r="AC537" s="116"/>
      <c r="AD537" s="116"/>
      <c r="AE537" s="116"/>
      <c r="AF537" s="116"/>
      <c r="AG537" s="116"/>
      <c r="AH537" s="50">
        <v>4.0</v>
      </c>
      <c r="AI537" s="50">
        <v>1000.0</v>
      </c>
      <c r="AJ537" s="50">
        <v>1.0</v>
      </c>
      <c r="AK537" s="116"/>
      <c r="AL537" s="116"/>
      <c r="AM537" s="116"/>
      <c r="AN537" s="116"/>
      <c r="AO537" s="116"/>
      <c r="AP537" s="116"/>
      <c r="AQ537" s="116"/>
      <c r="AR537" s="116"/>
      <c r="AS537" s="116"/>
      <c r="AT537" s="116"/>
      <c r="AU537" s="50">
        <v>0.0</v>
      </c>
      <c r="AV537" s="116"/>
      <c r="AW537" s="116"/>
      <c r="AX537" s="116"/>
      <c r="AY537" s="116"/>
      <c r="AZ537" s="116"/>
      <c r="BA537" s="116"/>
      <c r="BB537" s="116"/>
      <c r="BC537" s="116"/>
      <c r="BD537" s="116"/>
      <c r="BE537" s="116"/>
      <c r="BF537" s="116"/>
      <c r="BG537" s="116"/>
      <c r="BH537" s="116"/>
      <c r="BI537" s="116"/>
      <c r="BJ537" s="116"/>
      <c r="BK537" s="116"/>
      <c r="BL537" s="116"/>
      <c r="BM537" s="116"/>
      <c r="BN537" s="116"/>
      <c r="BO537" s="116"/>
      <c r="BP537" s="116"/>
      <c r="BQ537" s="116"/>
      <c r="BR537" s="116"/>
      <c r="BS537" s="116"/>
      <c r="BT537" s="116"/>
      <c r="BU537" s="116"/>
      <c r="BV537" s="116"/>
      <c r="BW537" s="116"/>
      <c r="BX537" s="116"/>
      <c r="BY537" s="116"/>
      <c r="BZ537" s="116"/>
      <c r="CA537" s="116"/>
      <c r="CB537" s="116"/>
      <c r="CC537" s="50" t="s">
        <v>23644</v>
      </c>
      <c r="CD537" s="145">
        <v>43868.0</v>
      </c>
      <c r="CE537" s="50">
        <v>1.0</v>
      </c>
      <c r="CF537" s="50" t="s">
        <v>22338</v>
      </c>
      <c r="CG537" s="117">
        <v>8260.0</v>
      </c>
      <c r="CH537" s="50" t="s">
        <v>23647</v>
      </c>
      <c r="CI537" s="50" t="s">
        <v>23648</v>
      </c>
      <c r="CJ537" s="117">
        <v>536.0</v>
      </c>
    </row>
    <row r="538">
      <c r="A538" s="50" t="s">
        <v>23650</v>
      </c>
      <c r="B538" s="50" t="s">
        <v>6876</v>
      </c>
      <c r="C538" s="50" t="s">
        <v>6877</v>
      </c>
      <c r="D538" s="50" t="s">
        <v>8493</v>
      </c>
      <c r="E538" s="50" t="s">
        <v>23653</v>
      </c>
      <c r="F538" s="50">
        <v>59.0</v>
      </c>
      <c r="G538" s="50">
        <v>1.0</v>
      </c>
      <c r="H538" s="50">
        <v>11.0</v>
      </c>
      <c r="I538" s="116"/>
      <c r="J538" s="116"/>
      <c r="K538" s="50" t="s">
        <v>4354</v>
      </c>
      <c r="L538" s="50" t="s">
        <v>4354</v>
      </c>
      <c r="M538" s="50" t="s">
        <v>17515</v>
      </c>
      <c r="N538" s="50" t="s">
        <v>23654</v>
      </c>
      <c r="O538" s="50" t="s">
        <v>23657</v>
      </c>
      <c r="P538" s="50">
        <v>4.0</v>
      </c>
      <c r="Q538" s="116"/>
      <c r="R538" s="116"/>
      <c r="S538" s="50">
        <v>7.0</v>
      </c>
      <c r="T538" s="50">
        <v>1000.0</v>
      </c>
      <c r="U538" s="50">
        <v>1.0</v>
      </c>
      <c r="V538" s="116"/>
      <c r="W538" s="50">
        <v>7.0</v>
      </c>
      <c r="X538" s="50">
        <v>100.0</v>
      </c>
      <c r="Y538" s="50">
        <v>3.0</v>
      </c>
      <c r="Z538" s="50">
        <v>94.0</v>
      </c>
      <c r="AA538" s="50">
        <v>1.0</v>
      </c>
      <c r="AB538" s="50">
        <v>4.0</v>
      </c>
      <c r="AC538" s="50">
        <v>1000.0</v>
      </c>
      <c r="AD538" s="50">
        <v>3.0</v>
      </c>
      <c r="AE538" s="50">
        <v>4.0</v>
      </c>
      <c r="AF538" s="116"/>
      <c r="AG538" s="116"/>
      <c r="AH538" s="50">
        <v>7.0</v>
      </c>
      <c r="AI538" s="50">
        <v>5000.0</v>
      </c>
      <c r="AJ538" s="50">
        <v>3.0</v>
      </c>
      <c r="AK538" s="50">
        <v>0.0</v>
      </c>
      <c r="AL538" s="50">
        <v>7.0</v>
      </c>
      <c r="AM538" s="50">
        <v>1000.0</v>
      </c>
      <c r="AN538" s="50">
        <v>3.0</v>
      </c>
      <c r="AO538" s="50">
        <v>0.0</v>
      </c>
      <c r="AP538" s="50">
        <v>1.0</v>
      </c>
      <c r="AQ538" s="50">
        <v>7.0</v>
      </c>
      <c r="AR538" s="50">
        <v>100.0</v>
      </c>
      <c r="AS538" s="50">
        <v>3.0</v>
      </c>
      <c r="AT538" s="50">
        <v>0.0</v>
      </c>
      <c r="AU538" s="50">
        <v>0.0</v>
      </c>
      <c r="AV538" s="116"/>
      <c r="AW538" s="116"/>
      <c r="AX538" s="116"/>
      <c r="AY538" s="116"/>
      <c r="AZ538" s="116"/>
      <c r="BA538" s="116"/>
      <c r="BB538" s="116"/>
      <c r="BC538" s="116"/>
      <c r="BD538" s="116"/>
      <c r="BE538" s="116"/>
      <c r="BF538" s="116"/>
      <c r="BG538" s="116"/>
      <c r="BH538" s="116"/>
      <c r="BI538" s="116"/>
      <c r="BJ538" s="116"/>
      <c r="BK538" s="116"/>
      <c r="BL538" s="116"/>
      <c r="BM538" s="116"/>
      <c r="BN538" s="116"/>
      <c r="BO538" s="116"/>
      <c r="BP538" s="116"/>
      <c r="BQ538" s="116"/>
      <c r="BR538" s="116"/>
      <c r="BS538" s="116"/>
      <c r="BT538" s="116"/>
      <c r="BU538" s="116"/>
      <c r="BV538" s="116"/>
      <c r="BW538" s="116"/>
      <c r="BX538" s="116"/>
      <c r="BY538" s="116"/>
      <c r="BZ538" s="116"/>
      <c r="CA538" s="116"/>
      <c r="CB538" s="116"/>
      <c r="CC538" s="50" t="s">
        <v>21749</v>
      </c>
      <c r="CD538" s="145">
        <v>43868.0</v>
      </c>
      <c r="CE538" s="50">
        <v>1.0</v>
      </c>
      <c r="CF538" s="50" t="s">
        <v>22338</v>
      </c>
      <c r="CG538" s="117">
        <v>8261.0</v>
      </c>
      <c r="CH538" s="50" t="s">
        <v>23674</v>
      </c>
      <c r="CI538" s="50" t="s">
        <v>23675</v>
      </c>
      <c r="CJ538" s="117">
        <v>537.0</v>
      </c>
    </row>
    <row r="539">
      <c r="A539" s="50" t="s">
        <v>23677</v>
      </c>
      <c r="B539" s="50" t="s">
        <v>6876</v>
      </c>
      <c r="C539" s="50" t="s">
        <v>6877</v>
      </c>
      <c r="D539" s="50" t="s">
        <v>8493</v>
      </c>
      <c r="E539" s="50" t="s">
        <v>23678</v>
      </c>
      <c r="F539" s="50">
        <v>59.0</v>
      </c>
      <c r="G539" s="50">
        <v>1.0</v>
      </c>
      <c r="H539" s="50">
        <v>11.0</v>
      </c>
      <c r="I539" s="116"/>
      <c r="J539" s="116"/>
      <c r="K539" s="50" t="s">
        <v>4372</v>
      </c>
      <c r="L539" s="50" t="s">
        <v>4372</v>
      </c>
      <c r="M539" s="50" t="s">
        <v>17515</v>
      </c>
      <c r="N539" s="50" t="s">
        <v>23654</v>
      </c>
      <c r="O539" s="50" t="s">
        <v>23657</v>
      </c>
      <c r="P539" s="50">
        <v>4.0</v>
      </c>
      <c r="Q539" s="116"/>
      <c r="R539" s="116"/>
      <c r="S539" s="50">
        <v>7.0</v>
      </c>
      <c r="T539" s="50">
        <v>1000.0</v>
      </c>
      <c r="U539" s="50">
        <v>1.0</v>
      </c>
      <c r="V539" s="116"/>
      <c r="W539" s="50">
        <v>7.0</v>
      </c>
      <c r="X539" s="50">
        <v>100.0</v>
      </c>
      <c r="Y539" s="50">
        <v>1.0</v>
      </c>
      <c r="Z539" s="116"/>
      <c r="AA539" s="50">
        <v>1.0</v>
      </c>
      <c r="AB539" s="50">
        <v>4.0</v>
      </c>
      <c r="AC539" s="50">
        <v>1000.0</v>
      </c>
      <c r="AD539" s="50">
        <v>3.0</v>
      </c>
      <c r="AE539" s="50">
        <v>12.0</v>
      </c>
      <c r="AF539" s="116"/>
      <c r="AG539" s="116"/>
      <c r="AH539" s="50">
        <v>7.0</v>
      </c>
      <c r="AI539" s="50">
        <v>5000.0</v>
      </c>
      <c r="AJ539" s="50">
        <v>3.0</v>
      </c>
      <c r="AK539" s="50">
        <v>0.0</v>
      </c>
      <c r="AL539" s="50">
        <v>7.0</v>
      </c>
      <c r="AM539" s="50">
        <v>1000.0</v>
      </c>
      <c r="AN539" s="50">
        <v>3.0</v>
      </c>
      <c r="AO539" s="50">
        <v>0.0</v>
      </c>
      <c r="AP539" s="50">
        <v>1.0</v>
      </c>
      <c r="AQ539" s="50">
        <v>7.0</v>
      </c>
      <c r="AR539" s="50">
        <v>100.0</v>
      </c>
      <c r="AS539" s="50">
        <v>3.0</v>
      </c>
      <c r="AT539" s="50">
        <v>0.0</v>
      </c>
      <c r="AU539" s="50">
        <v>0.0</v>
      </c>
      <c r="AV539" s="116"/>
      <c r="AW539" s="116"/>
      <c r="AX539" s="116"/>
      <c r="AY539" s="116"/>
      <c r="AZ539" s="116"/>
      <c r="BA539" s="116"/>
      <c r="BB539" s="116"/>
      <c r="BC539" s="116"/>
      <c r="BD539" s="116"/>
      <c r="BE539" s="116"/>
      <c r="BF539" s="116"/>
      <c r="BG539" s="116"/>
      <c r="BH539" s="116"/>
      <c r="BI539" s="116"/>
      <c r="BJ539" s="116"/>
      <c r="BK539" s="116"/>
      <c r="BL539" s="116"/>
      <c r="BM539" s="116"/>
      <c r="BN539" s="116"/>
      <c r="BO539" s="116"/>
      <c r="BP539" s="116"/>
      <c r="BQ539" s="116"/>
      <c r="BR539" s="116"/>
      <c r="BS539" s="116"/>
      <c r="BT539" s="116"/>
      <c r="BU539" s="116"/>
      <c r="BV539" s="116"/>
      <c r="BW539" s="116"/>
      <c r="BX539" s="116"/>
      <c r="BY539" s="116"/>
      <c r="BZ539" s="116"/>
      <c r="CA539" s="116"/>
      <c r="CB539" s="116"/>
      <c r="CC539" s="50" t="s">
        <v>21632</v>
      </c>
      <c r="CD539" s="145">
        <v>43868.0</v>
      </c>
      <c r="CE539" s="50">
        <v>1.0</v>
      </c>
      <c r="CF539" s="50" t="s">
        <v>22338</v>
      </c>
      <c r="CG539" s="117">
        <v>8262.0</v>
      </c>
      <c r="CH539" s="50" t="s">
        <v>23697</v>
      </c>
      <c r="CI539" s="50" t="s">
        <v>23699</v>
      </c>
      <c r="CJ539" s="117">
        <v>538.0</v>
      </c>
    </row>
    <row r="540">
      <c r="A540" s="50" t="s">
        <v>23701</v>
      </c>
      <c r="B540" s="50" t="s">
        <v>6876</v>
      </c>
      <c r="C540" s="50" t="s">
        <v>6877</v>
      </c>
      <c r="D540" s="50" t="s">
        <v>8493</v>
      </c>
      <c r="E540" s="50" t="s">
        <v>23704</v>
      </c>
      <c r="F540" s="50">
        <v>59.0</v>
      </c>
      <c r="G540" s="50">
        <v>1.0</v>
      </c>
      <c r="H540" s="50">
        <v>11.0</v>
      </c>
      <c r="I540" s="116"/>
      <c r="J540" s="116"/>
      <c r="K540" s="50" t="s">
        <v>4391</v>
      </c>
      <c r="L540" s="50" t="s">
        <v>4391</v>
      </c>
      <c r="M540" s="50" t="s">
        <v>17515</v>
      </c>
      <c r="N540" s="50" t="s">
        <v>23654</v>
      </c>
      <c r="O540" s="50" t="s">
        <v>23657</v>
      </c>
      <c r="P540" s="50">
        <v>4.0</v>
      </c>
      <c r="Q540" s="116"/>
      <c r="R540" s="116"/>
      <c r="S540" s="50">
        <v>7.0</v>
      </c>
      <c r="T540" s="50">
        <v>1000.0</v>
      </c>
      <c r="U540" s="50">
        <v>1.0</v>
      </c>
      <c r="V540" s="116"/>
      <c r="W540" s="50">
        <v>7.0</v>
      </c>
      <c r="X540" s="50">
        <v>100.0</v>
      </c>
      <c r="Y540" s="50">
        <v>3.0</v>
      </c>
      <c r="Z540" s="50">
        <v>70.0</v>
      </c>
      <c r="AA540" s="50">
        <v>1.0</v>
      </c>
      <c r="AB540" s="50">
        <v>4.0</v>
      </c>
      <c r="AC540" s="50">
        <v>1000.0</v>
      </c>
      <c r="AD540" s="50">
        <v>3.0</v>
      </c>
      <c r="AE540" s="50">
        <v>0.0</v>
      </c>
      <c r="AF540" s="116"/>
      <c r="AG540" s="116"/>
      <c r="AH540" s="50">
        <v>7.0</v>
      </c>
      <c r="AI540" s="50">
        <v>5000.0</v>
      </c>
      <c r="AJ540" s="50">
        <v>3.0</v>
      </c>
      <c r="AK540" s="50">
        <v>0.0</v>
      </c>
      <c r="AL540" s="50">
        <v>7.0</v>
      </c>
      <c r="AM540" s="50">
        <v>1000.0</v>
      </c>
      <c r="AN540" s="50">
        <v>3.0</v>
      </c>
      <c r="AO540" s="50">
        <v>0.0</v>
      </c>
      <c r="AP540" s="50">
        <v>1.0</v>
      </c>
      <c r="AQ540" s="50">
        <v>7.0</v>
      </c>
      <c r="AR540" s="50">
        <v>100.0</v>
      </c>
      <c r="AS540" s="50">
        <v>3.0</v>
      </c>
      <c r="AT540" s="50">
        <v>0.0</v>
      </c>
      <c r="AU540" s="50">
        <v>0.0</v>
      </c>
      <c r="AV540" s="116"/>
      <c r="AW540" s="116"/>
      <c r="AX540" s="116"/>
      <c r="AY540" s="116"/>
      <c r="AZ540" s="116"/>
      <c r="BA540" s="116"/>
      <c r="BB540" s="116"/>
      <c r="BC540" s="116"/>
      <c r="BD540" s="116"/>
      <c r="BE540" s="116"/>
      <c r="BF540" s="116"/>
      <c r="BG540" s="116"/>
      <c r="BH540" s="116"/>
      <c r="BI540" s="116"/>
      <c r="BJ540" s="116"/>
      <c r="BK540" s="116"/>
      <c r="BL540" s="116"/>
      <c r="BM540" s="116"/>
      <c r="BN540" s="116"/>
      <c r="BO540" s="116"/>
      <c r="BP540" s="116"/>
      <c r="BQ540" s="116"/>
      <c r="BR540" s="116"/>
      <c r="BS540" s="116"/>
      <c r="BT540" s="116"/>
      <c r="BU540" s="116"/>
      <c r="BV540" s="116"/>
      <c r="BW540" s="116"/>
      <c r="BX540" s="116"/>
      <c r="BY540" s="116"/>
      <c r="BZ540" s="116"/>
      <c r="CA540" s="116"/>
      <c r="CB540" s="116"/>
      <c r="CC540" s="50" t="s">
        <v>23735</v>
      </c>
      <c r="CD540" s="145">
        <v>43868.0</v>
      </c>
      <c r="CE540" s="50">
        <v>1.0</v>
      </c>
      <c r="CF540" s="50" t="s">
        <v>22338</v>
      </c>
      <c r="CG540" s="117">
        <v>8263.0</v>
      </c>
      <c r="CH540" s="50" t="s">
        <v>23736</v>
      </c>
      <c r="CI540" s="50" t="s">
        <v>23738</v>
      </c>
      <c r="CJ540" s="117">
        <v>539.0</v>
      </c>
    </row>
    <row r="541">
      <c r="A541" s="50" t="s">
        <v>23740</v>
      </c>
      <c r="B541" s="50" t="s">
        <v>6876</v>
      </c>
      <c r="C541" s="50" t="s">
        <v>6877</v>
      </c>
      <c r="D541" s="50" t="s">
        <v>8493</v>
      </c>
      <c r="E541" s="50" t="s">
        <v>23742</v>
      </c>
      <c r="F541" s="50">
        <v>58.0</v>
      </c>
      <c r="G541" s="50">
        <v>2.0</v>
      </c>
      <c r="H541" s="50">
        <v>14.0</v>
      </c>
      <c r="I541" s="50">
        <v>142.0</v>
      </c>
      <c r="J541" s="116"/>
      <c r="K541" s="50" t="s">
        <v>792</v>
      </c>
      <c r="L541" s="50" t="s">
        <v>792</v>
      </c>
      <c r="M541" s="50" t="s">
        <v>17515</v>
      </c>
      <c r="N541" s="50" t="s">
        <v>23654</v>
      </c>
      <c r="O541" s="50" t="s">
        <v>23657</v>
      </c>
      <c r="P541" s="116"/>
      <c r="Q541" s="116"/>
      <c r="R541" s="116"/>
      <c r="S541" s="50">
        <v>7.0</v>
      </c>
      <c r="T541" s="50">
        <v>1000.0</v>
      </c>
      <c r="U541" s="50">
        <v>3.0</v>
      </c>
      <c r="V541" s="50">
        <v>0.0</v>
      </c>
      <c r="W541" s="50">
        <v>7.0</v>
      </c>
      <c r="X541" s="50">
        <v>100.0</v>
      </c>
      <c r="Y541" s="50">
        <v>3.0</v>
      </c>
      <c r="Z541" s="50">
        <v>0.0</v>
      </c>
      <c r="AA541" s="50">
        <v>0.0</v>
      </c>
      <c r="AB541" s="116"/>
      <c r="AC541" s="116"/>
      <c r="AD541" s="116"/>
      <c r="AE541" s="116"/>
      <c r="AF541" s="116"/>
      <c r="AG541" s="116"/>
      <c r="AH541" s="50">
        <v>7.0</v>
      </c>
      <c r="AI541" s="50">
        <v>1000.0</v>
      </c>
      <c r="AJ541" s="50">
        <v>3.0</v>
      </c>
      <c r="AK541" s="50">
        <v>0.0</v>
      </c>
      <c r="AL541" s="50">
        <v>7.0</v>
      </c>
      <c r="AM541" s="50">
        <v>100.0</v>
      </c>
      <c r="AN541" s="50">
        <v>3.0</v>
      </c>
      <c r="AO541" s="50">
        <v>0.0</v>
      </c>
      <c r="AP541" s="50">
        <v>0.0</v>
      </c>
      <c r="AQ541" s="116"/>
      <c r="AR541" s="116"/>
      <c r="AS541" s="116"/>
      <c r="AT541" s="116"/>
      <c r="AU541" s="50">
        <v>0.0</v>
      </c>
      <c r="AV541" s="116"/>
      <c r="AW541" s="116"/>
      <c r="AX541" s="116"/>
      <c r="AY541" s="116"/>
      <c r="AZ541" s="116"/>
      <c r="BA541" s="116"/>
      <c r="BB541" s="116"/>
      <c r="BC541" s="116"/>
      <c r="BD541" s="116"/>
      <c r="BE541" s="116"/>
      <c r="BF541" s="116"/>
      <c r="BG541" s="116"/>
      <c r="BH541" s="116"/>
      <c r="BI541" s="116"/>
      <c r="BJ541" s="116"/>
      <c r="BK541" s="116"/>
      <c r="BL541" s="116"/>
      <c r="BM541" s="116"/>
      <c r="BN541" s="116"/>
      <c r="BO541" s="116"/>
      <c r="BP541" s="116"/>
      <c r="BQ541" s="116"/>
      <c r="BR541" s="116"/>
      <c r="BS541" s="116"/>
      <c r="BT541" s="116"/>
      <c r="BU541" s="116"/>
      <c r="BV541" s="116"/>
      <c r="BW541" s="116"/>
      <c r="BX541" s="116"/>
      <c r="BY541" s="116"/>
      <c r="BZ541" s="116"/>
      <c r="CA541" s="116"/>
      <c r="CB541" s="116"/>
      <c r="CC541" s="116"/>
      <c r="CD541" s="145">
        <v>43868.0</v>
      </c>
      <c r="CE541" s="50">
        <v>1.0</v>
      </c>
      <c r="CF541" s="50" t="s">
        <v>22338</v>
      </c>
      <c r="CG541" s="117">
        <v>8264.0</v>
      </c>
      <c r="CH541" s="50" t="s">
        <v>23762</v>
      </c>
      <c r="CI541" s="50" t="s">
        <v>23763</v>
      </c>
      <c r="CJ541" s="117">
        <v>540.0</v>
      </c>
    </row>
    <row r="542">
      <c r="A542" s="50" t="s">
        <v>23766</v>
      </c>
      <c r="B542" s="50" t="s">
        <v>6876</v>
      </c>
      <c r="C542" s="50" t="s">
        <v>6877</v>
      </c>
      <c r="D542" s="50" t="s">
        <v>8493</v>
      </c>
      <c r="E542" s="50" t="s">
        <v>23767</v>
      </c>
      <c r="F542" s="50">
        <v>58.0</v>
      </c>
      <c r="G542" s="50">
        <v>2.0</v>
      </c>
      <c r="H542" s="50">
        <v>14.0</v>
      </c>
      <c r="I542" s="50">
        <v>144.0</v>
      </c>
      <c r="J542" s="116"/>
      <c r="K542" s="50" t="s">
        <v>790</v>
      </c>
      <c r="L542" s="50" t="s">
        <v>790</v>
      </c>
      <c r="M542" s="50" t="s">
        <v>17515</v>
      </c>
      <c r="N542" s="50" t="s">
        <v>23654</v>
      </c>
      <c r="O542" s="50" t="s">
        <v>23657</v>
      </c>
      <c r="P542" s="116"/>
      <c r="Q542" s="116"/>
      <c r="R542" s="116"/>
      <c r="S542" s="50">
        <v>7.0</v>
      </c>
      <c r="T542" s="50">
        <v>1000.0</v>
      </c>
      <c r="U542" s="50">
        <v>3.0</v>
      </c>
      <c r="V542" s="50">
        <v>0.0</v>
      </c>
      <c r="W542" s="50">
        <v>7.0</v>
      </c>
      <c r="X542" s="50">
        <v>100.0</v>
      </c>
      <c r="Y542" s="50">
        <v>3.0</v>
      </c>
      <c r="Z542" s="50">
        <v>0.0</v>
      </c>
      <c r="AA542" s="50">
        <v>0.0</v>
      </c>
      <c r="AB542" s="116"/>
      <c r="AC542" s="116"/>
      <c r="AD542" s="116"/>
      <c r="AE542" s="116"/>
      <c r="AF542" s="116"/>
      <c r="AG542" s="116"/>
      <c r="AH542" s="50">
        <v>7.0</v>
      </c>
      <c r="AI542" s="50">
        <v>1000.0</v>
      </c>
      <c r="AJ542" s="50">
        <v>3.0</v>
      </c>
      <c r="AK542" s="50">
        <v>0.0</v>
      </c>
      <c r="AL542" s="50">
        <v>7.0</v>
      </c>
      <c r="AM542" s="50">
        <v>100.0</v>
      </c>
      <c r="AN542" s="50">
        <v>3.0</v>
      </c>
      <c r="AO542" s="50">
        <v>0.0</v>
      </c>
      <c r="AP542" s="50">
        <v>0.0</v>
      </c>
      <c r="AQ542" s="116"/>
      <c r="AR542" s="116"/>
      <c r="AS542" s="116"/>
      <c r="AT542" s="116"/>
      <c r="AU542" s="50">
        <v>0.0</v>
      </c>
      <c r="AV542" s="116"/>
      <c r="AW542" s="116"/>
      <c r="AX542" s="116"/>
      <c r="AY542" s="116"/>
      <c r="AZ542" s="116"/>
      <c r="BA542" s="116"/>
      <c r="BB542" s="116"/>
      <c r="BC542" s="116"/>
      <c r="BD542" s="116"/>
      <c r="BE542" s="116"/>
      <c r="BF542" s="116"/>
      <c r="BG542" s="116"/>
      <c r="BH542" s="116"/>
      <c r="BI542" s="116"/>
      <c r="BJ542" s="116"/>
      <c r="BK542" s="116"/>
      <c r="BL542" s="116"/>
      <c r="BM542" s="116"/>
      <c r="BN542" s="116"/>
      <c r="BO542" s="116"/>
      <c r="BP542" s="116"/>
      <c r="BQ542" s="116"/>
      <c r="BR542" s="116"/>
      <c r="BS542" s="116"/>
      <c r="BT542" s="116"/>
      <c r="BU542" s="116"/>
      <c r="BV542" s="116"/>
      <c r="BW542" s="116"/>
      <c r="BX542" s="116"/>
      <c r="BY542" s="116"/>
      <c r="BZ542" s="116"/>
      <c r="CA542" s="116"/>
      <c r="CB542" s="116"/>
      <c r="CC542" s="116"/>
      <c r="CD542" s="145">
        <v>43868.0</v>
      </c>
      <c r="CE542" s="50">
        <v>1.0</v>
      </c>
      <c r="CF542" s="50" t="s">
        <v>22338</v>
      </c>
      <c r="CG542" s="117">
        <v>8265.0</v>
      </c>
      <c r="CH542" s="50" t="s">
        <v>23784</v>
      </c>
      <c r="CI542" s="50" t="s">
        <v>23786</v>
      </c>
      <c r="CJ542" s="117">
        <v>541.0</v>
      </c>
    </row>
    <row r="543">
      <c r="A543" s="50" t="s">
        <v>23787</v>
      </c>
      <c r="B543" s="50" t="s">
        <v>6876</v>
      </c>
      <c r="C543" s="50" t="s">
        <v>6877</v>
      </c>
      <c r="D543" s="50" t="s">
        <v>8493</v>
      </c>
      <c r="E543" s="50" t="s">
        <v>23789</v>
      </c>
      <c r="F543" s="50">
        <v>58.0</v>
      </c>
      <c r="G543" s="50">
        <v>2.0</v>
      </c>
      <c r="H543" s="50">
        <v>14.0</v>
      </c>
      <c r="I543" s="50">
        <v>145.0</v>
      </c>
      <c r="J543" s="116"/>
      <c r="K543" s="50" t="s">
        <v>793</v>
      </c>
      <c r="L543" s="50" t="s">
        <v>793</v>
      </c>
      <c r="M543" s="50" t="s">
        <v>17515</v>
      </c>
      <c r="N543" s="50" t="s">
        <v>23654</v>
      </c>
      <c r="O543" s="50" t="s">
        <v>23657</v>
      </c>
      <c r="P543" s="116"/>
      <c r="Q543" s="116"/>
      <c r="R543" s="116"/>
      <c r="S543" s="50">
        <v>7.0</v>
      </c>
      <c r="T543" s="50">
        <v>1000.0</v>
      </c>
      <c r="U543" s="50">
        <v>3.0</v>
      </c>
      <c r="V543" s="50">
        <v>0.0</v>
      </c>
      <c r="W543" s="50">
        <v>7.0</v>
      </c>
      <c r="X543" s="50">
        <v>100.0</v>
      </c>
      <c r="Y543" s="50">
        <v>3.0</v>
      </c>
      <c r="Z543" s="50">
        <v>0.0</v>
      </c>
      <c r="AA543" s="50">
        <v>0.0</v>
      </c>
      <c r="AB543" s="116"/>
      <c r="AC543" s="116"/>
      <c r="AD543" s="116"/>
      <c r="AE543" s="116"/>
      <c r="AF543" s="116"/>
      <c r="AG543" s="116"/>
      <c r="AH543" s="50">
        <v>7.0</v>
      </c>
      <c r="AI543" s="50">
        <v>5000.0</v>
      </c>
      <c r="AJ543" s="50">
        <v>4.0</v>
      </c>
      <c r="AK543" s="116"/>
      <c r="AL543" s="50">
        <v>7.0</v>
      </c>
      <c r="AM543" s="50">
        <v>1000.0</v>
      </c>
      <c r="AN543" s="50">
        <v>4.0</v>
      </c>
      <c r="AO543" s="116"/>
      <c r="AP543" s="50">
        <v>1.0</v>
      </c>
      <c r="AQ543" s="50">
        <v>7.0</v>
      </c>
      <c r="AR543" s="50">
        <v>100.0</v>
      </c>
      <c r="AS543" s="50">
        <v>3.0</v>
      </c>
      <c r="AT543" s="50">
        <v>0.0</v>
      </c>
      <c r="AU543" s="50">
        <v>0.0</v>
      </c>
      <c r="AV543" s="116"/>
      <c r="AW543" s="116"/>
      <c r="AX543" s="116"/>
      <c r="AY543" s="116"/>
      <c r="AZ543" s="116"/>
      <c r="BA543" s="116"/>
      <c r="BB543" s="116"/>
      <c r="BC543" s="116"/>
      <c r="BD543" s="116"/>
      <c r="BE543" s="116"/>
      <c r="BF543" s="116"/>
      <c r="BG543" s="116"/>
      <c r="BH543" s="116"/>
      <c r="BI543" s="116"/>
      <c r="BJ543" s="116"/>
      <c r="BK543" s="116"/>
      <c r="BL543" s="116"/>
      <c r="BM543" s="116"/>
      <c r="BN543" s="116"/>
      <c r="BO543" s="116"/>
      <c r="BP543" s="116"/>
      <c r="BQ543" s="116"/>
      <c r="BR543" s="116"/>
      <c r="BS543" s="116"/>
      <c r="BT543" s="116"/>
      <c r="BU543" s="116"/>
      <c r="BV543" s="116"/>
      <c r="BW543" s="116"/>
      <c r="BX543" s="116"/>
      <c r="BY543" s="116"/>
      <c r="BZ543" s="116"/>
      <c r="CA543" s="116"/>
      <c r="CB543" s="116"/>
      <c r="CC543" s="50" t="s">
        <v>23803</v>
      </c>
      <c r="CD543" s="145">
        <v>43868.0</v>
      </c>
      <c r="CE543" s="50">
        <v>1.0</v>
      </c>
      <c r="CF543" s="50" t="s">
        <v>22338</v>
      </c>
      <c r="CG543" s="117">
        <v>8266.0</v>
      </c>
      <c r="CH543" s="50" t="s">
        <v>23805</v>
      </c>
      <c r="CI543" s="50" t="s">
        <v>23806</v>
      </c>
      <c r="CJ543" s="117">
        <v>542.0</v>
      </c>
    </row>
    <row r="544">
      <c r="A544" s="50" t="s">
        <v>23807</v>
      </c>
      <c r="B544" s="50" t="s">
        <v>6876</v>
      </c>
      <c r="C544" s="50" t="s">
        <v>6877</v>
      </c>
      <c r="D544" s="50" t="s">
        <v>8493</v>
      </c>
      <c r="E544" s="50" t="s">
        <v>23809</v>
      </c>
      <c r="F544" s="50">
        <v>58.0</v>
      </c>
      <c r="G544" s="50">
        <v>2.0</v>
      </c>
      <c r="H544" s="50">
        <v>14.0</v>
      </c>
      <c r="I544" s="50">
        <v>141.0</v>
      </c>
      <c r="J544" s="116"/>
      <c r="K544" s="50" t="s">
        <v>788</v>
      </c>
      <c r="L544" s="50" t="s">
        <v>788</v>
      </c>
      <c r="M544" s="50" t="s">
        <v>17515</v>
      </c>
      <c r="N544" s="50" t="s">
        <v>23654</v>
      </c>
      <c r="O544" s="50" t="s">
        <v>23657</v>
      </c>
      <c r="P544" s="116"/>
      <c r="Q544" s="116"/>
      <c r="R544" s="116"/>
      <c r="S544" s="116"/>
      <c r="T544" s="116"/>
      <c r="U544" s="116"/>
      <c r="V544" s="116"/>
      <c r="W544" s="116"/>
      <c r="X544" s="116"/>
      <c r="Y544" s="116"/>
      <c r="Z544" s="116"/>
      <c r="AA544" s="116"/>
      <c r="AB544" s="116"/>
      <c r="AC544" s="116"/>
      <c r="AD544" s="116"/>
      <c r="AE544" s="116"/>
      <c r="AF544" s="116"/>
      <c r="AG544" s="116"/>
      <c r="AH544" s="116"/>
      <c r="AI544" s="116"/>
      <c r="AJ544" s="116"/>
      <c r="AK544" s="116"/>
      <c r="AL544" s="116"/>
      <c r="AM544" s="116"/>
      <c r="AN544" s="116"/>
      <c r="AO544" s="116"/>
      <c r="AP544" s="116"/>
      <c r="AQ544" s="116"/>
      <c r="AR544" s="116"/>
      <c r="AS544" s="116"/>
      <c r="AT544" s="116"/>
      <c r="AU544" s="50">
        <v>1.0</v>
      </c>
      <c r="AV544" s="50" t="s">
        <v>23654</v>
      </c>
      <c r="AW544" s="50" t="s">
        <v>23657</v>
      </c>
      <c r="AX544" s="116"/>
      <c r="AY544" s="116"/>
      <c r="AZ544" s="50">
        <v>7.0</v>
      </c>
      <c r="BA544" s="50">
        <v>1000.0</v>
      </c>
      <c r="BB544" s="50">
        <v>3.0</v>
      </c>
      <c r="BC544" s="50">
        <v>0.0</v>
      </c>
      <c r="BD544" s="50">
        <v>7.0</v>
      </c>
      <c r="BE544" s="50">
        <v>100.0</v>
      </c>
      <c r="BF544" s="50">
        <v>3.0</v>
      </c>
      <c r="BG544" s="50">
        <v>0.0</v>
      </c>
      <c r="BH544" s="50">
        <v>0.0</v>
      </c>
      <c r="BI544" s="116"/>
      <c r="BJ544" s="116"/>
      <c r="BK544" s="116"/>
      <c r="BL544" s="116"/>
      <c r="BM544" s="116"/>
      <c r="BN544" s="116"/>
      <c r="BO544" s="50">
        <v>7.0</v>
      </c>
      <c r="BP544" s="50">
        <v>5000.0</v>
      </c>
      <c r="BQ544" s="50">
        <v>3.0</v>
      </c>
      <c r="BR544" s="50">
        <v>0.0</v>
      </c>
      <c r="BS544" s="50">
        <v>7.0</v>
      </c>
      <c r="BT544" s="50">
        <v>1000.0</v>
      </c>
      <c r="BU544" s="50">
        <v>3.0</v>
      </c>
      <c r="BV544" s="50">
        <v>0.0</v>
      </c>
      <c r="BW544" s="50">
        <v>1.0</v>
      </c>
      <c r="BX544" s="50">
        <v>7.0</v>
      </c>
      <c r="BY544" s="50">
        <v>100.0</v>
      </c>
      <c r="BZ544" s="50">
        <v>3.0</v>
      </c>
      <c r="CA544" s="50">
        <v>0.0</v>
      </c>
      <c r="CB544" s="116"/>
      <c r="CC544" s="116"/>
      <c r="CD544" s="145">
        <v>43868.0</v>
      </c>
      <c r="CE544" s="50">
        <v>1.0</v>
      </c>
      <c r="CF544" s="50" t="s">
        <v>22338</v>
      </c>
      <c r="CG544" s="117">
        <v>8267.0</v>
      </c>
      <c r="CH544" s="50" t="s">
        <v>23828</v>
      </c>
      <c r="CI544" s="50" t="s">
        <v>23829</v>
      </c>
      <c r="CJ544" s="117">
        <v>543.0</v>
      </c>
    </row>
    <row r="545">
      <c r="A545" s="50" t="s">
        <v>23831</v>
      </c>
      <c r="B545" s="50" t="s">
        <v>6876</v>
      </c>
      <c r="C545" s="50" t="s">
        <v>6877</v>
      </c>
      <c r="D545" s="50" t="s">
        <v>8493</v>
      </c>
      <c r="E545" s="50" t="s">
        <v>23834</v>
      </c>
      <c r="F545" s="50">
        <v>58.0</v>
      </c>
      <c r="G545" s="50">
        <v>2.0</v>
      </c>
      <c r="H545" s="50">
        <v>14.0</v>
      </c>
      <c r="I545" s="50">
        <v>143.0</v>
      </c>
      <c r="J545" s="116"/>
      <c r="K545" s="50" t="s">
        <v>789</v>
      </c>
      <c r="L545" s="50" t="s">
        <v>789</v>
      </c>
      <c r="M545" s="50" t="s">
        <v>17515</v>
      </c>
      <c r="N545" s="50" t="s">
        <v>23654</v>
      </c>
      <c r="O545" s="50" t="s">
        <v>23657</v>
      </c>
      <c r="P545" s="116"/>
      <c r="Q545" s="116"/>
      <c r="R545" s="116"/>
      <c r="S545" s="116"/>
      <c r="T545" s="116"/>
      <c r="U545" s="116"/>
      <c r="V545" s="116"/>
      <c r="W545" s="116"/>
      <c r="X545" s="116"/>
      <c r="Y545" s="116"/>
      <c r="Z545" s="116"/>
      <c r="AA545" s="116"/>
      <c r="AB545" s="116"/>
      <c r="AC545" s="116"/>
      <c r="AD545" s="116"/>
      <c r="AE545" s="116"/>
      <c r="AF545" s="116"/>
      <c r="AG545" s="116"/>
      <c r="AH545" s="116"/>
      <c r="AI545" s="116"/>
      <c r="AJ545" s="116"/>
      <c r="AK545" s="116"/>
      <c r="AL545" s="116"/>
      <c r="AM545" s="116"/>
      <c r="AN545" s="116"/>
      <c r="AO545" s="116"/>
      <c r="AP545" s="116"/>
      <c r="AQ545" s="116"/>
      <c r="AR545" s="116"/>
      <c r="AS545" s="116"/>
      <c r="AT545" s="116"/>
      <c r="AU545" s="50">
        <v>1.0</v>
      </c>
      <c r="AV545" s="50" t="s">
        <v>23654</v>
      </c>
      <c r="AW545" s="50" t="s">
        <v>23657</v>
      </c>
      <c r="AX545" s="116"/>
      <c r="AY545" s="116"/>
      <c r="AZ545" s="50">
        <v>7.0</v>
      </c>
      <c r="BA545" s="50">
        <v>1000.0</v>
      </c>
      <c r="BB545" s="50">
        <v>3.0</v>
      </c>
      <c r="BC545" s="50">
        <v>104.0</v>
      </c>
      <c r="BD545" s="50">
        <v>7.0</v>
      </c>
      <c r="BE545" s="50">
        <v>100.0</v>
      </c>
      <c r="BF545" s="50">
        <v>3.0</v>
      </c>
      <c r="BG545" s="50">
        <v>5.0</v>
      </c>
      <c r="BH545" s="50">
        <v>0.0</v>
      </c>
      <c r="BI545" s="116"/>
      <c r="BJ545" s="116"/>
      <c r="BK545" s="116"/>
      <c r="BL545" s="116"/>
      <c r="BM545" s="116"/>
      <c r="BN545" s="116"/>
      <c r="BO545" s="50">
        <v>7.0</v>
      </c>
      <c r="BP545" s="50">
        <v>5000.0</v>
      </c>
      <c r="BQ545" s="50">
        <v>4.0</v>
      </c>
      <c r="BR545" s="116"/>
      <c r="BS545" s="50">
        <v>7.0</v>
      </c>
      <c r="BT545" s="50">
        <v>1000.0</v>
      </c>
      <c r="BU545" s="50">
        <v>4.0</v>
      </c>
      <c r="BV545" s="116"/>
      <c r="BW545" s="50">
        <v>1.0</v>
      </c>
      <c r="BX545" s="50">
        <v>7.0</v>
      </c>
      <c r="BY545" s="50">
        <v>100.0</v>
      </c>
      <c r="BZ545" s="50">
        <v>4.0</v>
      </c>
      <c r="CA545" s="116"/>
      <c r="CB545" s="116"/>
      <c r="CC545" s="116"/>
      <c r="CD545" s="145">
        <v>43868.0</v>
      </c>
      <c r="CE545" s="50">
        <v>1.0</v>
      </c>
      <c r="CF545" s="50" t="s">
        <v>22338</v>
      </c>
      <c r="CG545" s="117">
        <v>8268.0</v>
      </c>
      <c r="CH545" s="50" t="s">
        <v>23854</v>
      </c>
      <c r="CI545" s="50" t="s">
        <v>23855</v>
      </c>
      <c r="CJ545" s="117">
        <v>544.0</v>
      </c>
    </row>
    <row r="546">
      <c r="A546" s="50" t="s">
        <v>23856</v>
      </c>
      <c r="B546" s="50" t="s">
        <v>6876</v>
      </c>
      <c r="C546" s="50" t="s">
        <v>6877</v>
      </c>
      <c r="D546" s="50" t="s">
        <v>8493</v>
      </c>
      <c r="E546" s="50" t="s">
        <v>23860</v>
      </c>
      <c r="F546" s="50">
        <v>33.0</v>
      </c>
      <c r="G546" s="50">
        <v>1.0</v>
      </c>
      <c r="H546" s="50">
        <v>97.0</v>
      </c>
      <c r="I546" s="116"/>
      <c r="J546" s="116"/>
      <c r="K546" s="50" t="s">
        <v>436</v>
      </c>
      <c r="L546" s="50" t="s">
        <v>436</v>
      </c>
      <c r="M546" s="50" t="s">
        <v>17515</v>
      </c>
      <c r="N546" s="50" t="s">
        <v>23654</v>
      </c>
      <c r="O546" s="50" t="s">
        <v>23657</v>
      </c>
      <c r="P546" s="116"/>
      <c r="Q546" s="116"/>
      <c r="R546" s="116"/>
      <c r="S546" s="50">
        <v>10.0</v>
      </c>
      <c r="T546" s="50">
        <v>1000.0</v>
      </c>
      <c r="U546" s="50">
        <v>3.0</v>
      </c>
      <c r="V546" s="50">
        <v>98.0</v>
      </c>
      <c r="W546" s="116"/>
      <c r="X546" s="116"/>
      <c r="Y546" s="116"/>
      <c r="Z546" s="116"/>
      <c r="AA546" s="116"/>
      <c r="AB546" s="116"/>
      <c r="AC546" s="116"/>
      <c r="AD546" s="116"/>
      <c r="AE546" s="116"/>
      <c r="AF546" s="116"/>
      <c r="AG546" s="116"/>
      <c r="AH546" s="116"/>
      <c r="AI546" s="116"/>
      <c r="AJ546" s="116"/>
      <c r="AK546" s="116"/>
      <c r="AL546" s="116"/>
      <c r="AM546" s="116"/>
      <c r="AN546" s="116"/>
      <c r="AO546" s="116"/>
      <c r="AP546" s="116"/>
      <c r="AQ546" s="116"/>
      <c r="AR546" s="116"/>
      <c r="AS546" s="116"/>
      <c r="AT546" s="116"/>
      <c r="AU546" s="50">
        <v>0.0</v>
      </c>
      <c r="AV546" s="116"/>
      <c r="AW546" s="116"/>
      <c r="AX546" s="116"/>
      <c r="AY546" s="116"/>
      <c r="AZ546" s="116"/>
      <c r="BA546" s="116"/>
      <c r="BB546" s="116"/>
      <c r="BC546" s="116"/>
      <c r="BD546" s="116"/>
      <c r="BE546" s="116"/>
      <c r="BF546" s="116"/>
      <c r="BG546" s="116"/>
      <c r="BH546" s="116"/>
      <c r="BI546" s="116"/>
      <c r="BJ546" s="116"/>
      <c r="BK546" s="116"/>
      <c r="BL546" s="116"/>
      <c r="BM546" s="116"/>
      <c r="BN546" s="116"/>
      <c r="BO546" s="116"/>
      <c r="BP546" s="116"/>
      <c r="BQ546" s="116"/>
      <c r="BR546" s="116"/>
      <c r="BS546" s="116"/>
      <c r="BT546" s="116"/>
      <c r="BU546" s="116"/>
      <c r="BV546" s="116"/>
      <c r="BW546" s="116"/>
      <c r="BX546" s="116"/>
      <c r="BY546" s="116"/>
      <c r="BZ546" s="116"/>
      <c r="CA546" s="116"/>
      <c r="CB546" s="116"/>
      <c r="CC546" s="116"/>
      <c r="CD546" s="145">
        <v>43868.0</v>
      </c>
      <c r="CE546" s="50">
        <v>1.0</v>
      </c>
      <c r="CF546" s="50" t="s">
        <v>22338</v>
      </c>
      <c r="CG546" s="117">
        <v>8269.0</v>
      </c>
      <c r="CH546" s="50" t="s">
        <v>23879</v>
      </c>
      <c r="CI546" s="50" t="s">
        <v>23880</v>
      </c>
      <c r="CJ546" s="117">
        <v>545.0</v>
      </c>
    </row>
    <row r="547">
      <c r="A547" s="50" t="s">
        <v>23883</v>
      </c>
      <c r="B547" s="50" t="s">
        <v>6876</v>
      </c>
      <c r="C547" s="50" t="s">
        <v>6877</v>
      </c>
      <c r="D547" s="50" t="s">
        <v>8493</v>
      </c>
      <c r="E547" s="50" t="s">
        <v>23887</v>
      </c>
      <c r="F547" s="50">
        <v>33.0</v>
      </c>
      <c r="G547" s="50">
        <v>1.0</v>
      </c>
      <c r="H547" s="50">
        <v>97.0</v>
      </c>
      <c r="I547" s="116"/>
      <c r="J547" s="116"/>
      <c r="K547" s="50" t="s">
        <v>15565</v>
      </c>
      <c r="L547" s="50" t="s">
        <v>15565</v>
      </c>
      <c r="M547" s="50" t="s">
        <v>17515</v>
      </c>
      <c r="N547" s="50" t="s">
        <v>23654</v>
      </c>
      <c r="O547" s="50" t="s">
        <v>23657</v>
      </c>
      <c r="P547" s="116"/>
      <c r="Q547" s="116"/>
      <c r="R547" s="116"/>
      <c r="S547" s="116"/>
      <c r="T547" s="116"/>
      <c r="U547" s="116"/>
      <c r="V547" s="116"/>
      <c r="W547" s="116"/>
      <c r="X547" s="116"/>
      <c r="Y547" s="116"/>
      <c r="Z547" s="116"/>
      <c r="AA547" s="116"/>
      <c r="AB547" s="116"/>
      <c r="AC547" s="116"/>
      <c r="AD547" s="116"/>
      <c r="AE547" s="116"/>
      <c r="AF547" s="116"/>
      <c r="AG547" s="116"/>
      <c r="AH547" s="50">
        <v>4.0</v>
      </c>
      <c r="AI547" s="50">
        <v>1000.0</v>
      </c>
      <c r="AJ547" s="50">
        <v>1.0</v>
      </c>
      <c r="AK547" s="116"/>
      <c r="AL547" s="116"/>
      <c r="AM547" s="116"/>
      <c r="AN547" s="116"/>
      <c r="AO547" s="116"/>
      <c r="AP547" s="116"/>
      <c r="AQ547" s="116"/>
      <c r="AR547" s="116"/>
      <c r="AS547" s="116"/>
      <c r="AT547" s="116"/>
      <c r="AU547" s="50">
        <v>0.0</v>
      </c>
      <c r="AV547" s="116"/>
      <c r="AW547" s="116"/>
      <c r="AX547" s="116"/>
      <c r="AY547" s="116"/>
      <c r="AZ547" s="116"/>
      <c r="BA547" s="116"/>
      <c r="BB547" s="116"/>
      <c r="BC547" s="116"/>
      <c r="BD547" s="116"/>
      <c r="BE547" s="116"/>
      <c r="BF547" s="116"/>
      <c r="BG547" s="116"/>
      <c r="BH547" s="116"/>
      <c r="BI547" s="116"/>
      <c r="BJ547" s="116"/>
      <c r="BK547" s="116"/>
      <c r="BL547" s="116"/>
      <c r="BM547" s="116"/>
      <c r="BN547" s="116"/>
      <c r="BO547" s="116"/>
      <c r="BP547" s="116"/>
      <c r="BQ547" s="116"/>
      <c r="BR547" s="116"/>
      <c r="BS547" s="116"/>
      <c r="BT547" s="116"/>
      <c r="BU547" s="116"/>
      <c r="BV547" s="116"/>
      <c r="BW547" s="116"/>
      <c r="BX547" s="116"/>
      <c r="BY547" s="116"/>
      <c r="BZ547" s="116"/>
      <c r="CA547" s="116"/>
      <c r="CB547" s="116"/>
      <c r="CC547" s="50" t="s">
        <v>23903</v>
      </c>
      <c r="CD547" s="145">
        <v>43868.0</v>
      </c>
      <c r="CE547" s="50">
        <v>1.0</v>
      </c>
      <c r="CF547" s="50" t="s">
        <v>22338</v>
      </c>
      <c r="CG547" s="117">
        <v>8270.0</v>
      </c>
      <c r="CH547" s="50" t="s">
        <v>23905</v>
      </c>
      <c r="CI547" s="50" t="s">
        <v>23907</v>
      </c>
      <c r="CJ547" s="117">
        <v>546.0</v>
      </c>
    </row>
    <row r="548">
      <c r="A548" s="50" t="s">
        <v>23908</v>
      </c>
      <c r="B548" s="50" t="s">
        <v>6876</v>
      </c>
      <c r="C548" s="50" t="s">
        <v>6877</v>
      </c>
      <c r="D548" s="50" t="s">
        <v>8493</v>
      </c>
      <c r="E548" s="50" t="s">
        <v>23910</v>
      </c>
      <c r="F548" s="50">
        <v>59.0</v>
      </c>
      <c r="G548" s="50">
        <v>1.0</v>
      </c>
      <c r="H548" s="50">
        <v>11.0</v>
      </c>
      <c r="I548" s="116"/>
      <c r="J548" s="116"/>
      <c r="K548" s="50" t="s">
        <v>4451</v>
      </c>
      <c r="L548" s="50" t="s">
        <v>4451</v>
      </c>
      <c r="M548" s="50" t="s">
        <v>23913</v>
      </c>
      <c r="N548" s="50" t="s">
        <v>23914</v>
      </c>
      <c r="O548" s="50" t="s">
        <v>23915</v>
      </c>
      <c r="P548" s="50">
        <v>4.0</v>
      </c>
      <c r="Q548" s="116"/>
      <c r="R548" s="116"/>
      <c r="S548" s="50">
        <v>7.0</v>
      </c>
      <c r="T548" s="50">
        <v>1000.0</v>
      </c>
      <c r="U548" s="50">
        <v>4.0</v>
      </c>
      <c r="V548" s="116"/>
      <c r="W548" s="50">
        <v>7.0</v>
      </c>
      <c r="X548" s="50">
        <v>100.0</v>
      </c>
      <c r="Y548" s="50">
        <v>1.0</v>
      </c>
      <c r="Z548" s="116"/>
      <c r="AA548" s="50">
        <v>1.0</v>
      </c>
      <c r="AB548" s="50">
        <v>4.0</v>
      </c>
      <c r="AC548" s="50">
        <v>1000.0</v>
      </c>
      <c r="AD548" s="50">
        <v>3.0</v>
      </c>
      <c r="AE548" s="50">
        <v>79.0</v>
      </c>
      <c r="AF548" s="116"/>
      <c r="AG548" s="116"/>
      <c r="AH548" s="50">
        <v>7.0</v>
      </c>
      <c r="AI548" s="50">
        <v>5000.0</v>
      </c>
      <c r="AJ548" s="50">
        <v>3.0</v>
      </c>
      <c r="AK548" s="50">
        <v>0.0</v>
      </c>
      <c r="AL548" s="50">
        <v>7.0</v>
      </c>
      <c r="AM548" s="50">
        <v>1000.0</v>
      </c>
      <c r="AN548" s="50">
        <v>3.0</v>
      </c>
      <c r="AO548" s="50">
        <v>0.0</v>
      </c>
      <c r="AP548" s="50">
        <v>1.0</v>
      </c>
      <c r="AQ548" s="50">
        <v>7.0</v>
      </c>
      <c r="AR548" s="50">
        <v>100.0</v>
      </c>
      <c r="AS548" s="50">
        <v>3.0</v>
      </c>
      <c r="AT548" s="50">
        <v>0.0</v>
      </c>
      <c r="AU548" s="50">
        <v>0.0</v>
      </c>
      <c r="AV548" s="116"/>
      <c r="AW548" s="116"/>
      <c r="AX548" s="116"/>
      <c r="AY548" s="116"/>
      <c r="AZ548" s="116"/>
      <c r="BA548" s="116"/>
      <c r="BB548" s="116"/>
      <c r="BC548" s="116"/>
      <c r="BD548" s="116"/>
      <c r="BE548" s="116"/>
      <c r="BF548" s="116"/>
      <c r="BG548" s="116"/>
      <c r="BH548" s="116"/>
      <c r="BI548" s="116"/>
      <c r="BJ548" s="116"/>
      <c r="BK548" s="116"/>
      <c r="BL548" s="116"/>
      <c r="BM548" s="116"/>
      <c r="BN548" s="116"/>
      <c r="BO548" s="116"/>
      <c r="BP548" s="116"/>
      <c r="BQ548" s="116"/>
      <c r="BR548" s="116"/>
      <c r="BS548" s="116"/>
      <c r="BT548" s="116"/>
      <c r="BU548" s="116"/>
      <c r="BV548" s="116"/>
      <c r="BW548" s="116"/>
      <c r="BX548" s="116"/>
      <c r="BY548" s="116"/>
      <c r="BZ548" s="116"/>
      <c r="CA548" s="116"/>
      <c r="CB548" s="116"/>
      <c r="CC548" s="50" t="s">
        <v>23938</v>
      </c>
      <c r="CD548" s="145">
        <v>43868.0</v>
      </c>
      <c r="CE548" s="50">
        <v>1.0</v>
      </c>
      <c r="CF548" s="50" t="s">
        <v>22338</v>
      </c>
      <c r="CG548" s="117">
        <v>8405.0</v>
      </c>
      <c r="CH548" s="50" t="s">
        <v>23941</v>
      </c>
      <c r="CI548" s="50" t="s">
        <v>23943</v>
      </c>
      <c r="CJ548" s="117">
        <v>547.0</v>
      </c>
    </row>
    <row r="549">
      <c r="A549" s="50" t="s">
        <v>23945</v>
      </c>
      <c r="B549" s="50" t="s">
        <v>6876</v>
      </c>
      <c r="C549" s="50" t="s">
        <v>6877</v>
      </c>
      <c r="D549" s="50" t="s">
        <v>8493</v>
      </c>
      <c r="E549" s="50" t="s">
        <v>23948</v>
      </c>
      <c r="F549" s="50">
        <v>59.0</v>
      </c>
      <c r="G549" s="50">
        <v>1.0</v>
      </c>
      <c r="H549" s="50">
        <v>11.0</v>
      </c>
      <c r="I549" s="116"/>
      <c r="J549" s="116"/>
      <c r="K549" s="50" t="s">
        <v>4466</v>
      </c>
      <c r="L549" s="50" t="s">
        <v>4466</v>
      </c>
      <c r="M549" s="50" t="s">
        <v>23913</v>
      </c>
      <c r="N549" s="50" t="s">
        <v>23914</v>
      </c>
      <c r="O549" s="50" t="s">
        <v>23915</v>
      </c>
      <c r="P549" s="50">
        <v>4.0</v>
      </c>
      <c r="Q549" s="116"/>
      <c r="R549" s="116"/>
      <c r="S549" s="50">
        <v>7.0</v>
      </c>
      <c r="T549" s="50">
        <v>1000.0</v>
      </c>
      <c r="U549" s="50">
        <v>1.0</v>
      </c>
      <c r="V549" s="116"/>
      <c r="W549" s="50">
        <v>7.0</v>
      </c>
      <c r="X549" s="50">
        <v>100.0</v>
      </c>
      <c r="Y549" s="50">
        <v>1.0</v>
      </c>
      <c r="Z549" s="116"/>
      <c r="AA549" s="50">
        <v>1.0</v>
      </c>
      <c r="AB549" s="50">
        <v>4.0</v>
      </c>
      <c r="AC549" s="50">
        <v>1000.0</v>
      </c>
      <c r="AD549" s="50">
        <v>1.0</v>
      </c>
      <c r="AE549" s="116"/>
      <c r="AF549" s="116"/>
      <c r="AG549" s="116"/>
      <c r="AH549" s="50">
        <v>7.0</v>
      </c>
      <c r="AI549" s="50">
        <v>5000.0</v>
      </c>
      <c r="AJ549" s="50">
        <v>3.0</v>
      </c>
      <c r="AK549" s="50">
        <v>0.0</v>
      </c>
      <c r="AL549" s="50">
        <v>7.0</v>
      </c>
      <c r="AM549" s="50">
        <v>1000.0</v>
      </c>
      <c r="AN549" s="50">
        <v>3.0</v>
      </c>
      <c r="AO549" s="50">
        <v>0.0</v>
      </c>
      <c r="AP549" s="50">
        <v>1.0</v>
      </c>
      <c r="AQ549" s="50">
        <v>7.0</v>
      </c>
      <c r="AR549" s="50">
        <v>100.0</v>
      </c>
      <c r="AS549" s="50">
        <v>3.0</v>
      </c>
      <c r="AT549" s="50">
        <v>0.0</v>
      </c>
      <c r="AU549" s="50">
        <v>0.0</v>
      </c>
      <c r="AV549" s="116"/>
      <c r="AW549" s="116"/>
      <c r="AX549" s="116"/>
      <c r="AY549" s="116"/>
      <c r="AZ549" s="116"/>
      <c r="BA549" s="116"/>
      <c r="BB549" s="116"/>
      <c r="BC549" s="116"/>
      <c r="BD549" s="116"/>
      <c r="BE549" s="116"/>
      <c r="BF549" s="116"/>
      <c r="BG549" s="116"/>
      <c r="BH549" s="116"/>
      <c r="BI549" s="116"/>
      <c r="BJ549" s="116"/>
      <c r="BK549" s="116"/>
      <c r="BL549" s="116"/>
      <c r="BM549" s="116"/>
      <c r="BN549" s="116"/>
      <c r="BO549" s="116"/>
      <c r="BP549" s="116"/>
      <c r="BQ549" s="116"/>
      <c r="BR549" s="116"/>
      <c r="BS549" s="116"/>
      <c r="BT549" s="116"/>
      <c r="BU549" s="116"/>
      <c r="BV549" s="116"/>
      <c r="BW549" s="116"/>
      <c r="BX549" s="116"/>
      <c r="BY549" s="116"/>
      <c r="BZ549" s="116"/>
      <c r="CA549" s="116"/>
      <c r="CB549" s="116"/>
      <c r="CC549" s="50" t="s">
        <v>23960</v>
      </c>
      <c r="CD549" s="145">
        <v>43868.0</v>
      </c>
      <c r="CE549" s="50">
        <v>1.0</v>
      </c>
      <c r="CF549" s="50" t="s">
        <v>22338</v>
      </c>
      <c r="CG549" s="117">
        <v>8406.0</v>
      </c>
      <c r="CH549" s="50" t="s">
        <v>23962</v>
      </c>
      <c r="CI549" s="50" t="s">
        <v>23963</v>
      </c>
      <c r="CJ549" s="117">
        <v>548.0</v>
      </c>
    </row>
    <row r="550">
      <c r="A550" s="50" t="s">
        <v>23964</v>
      </c>
      <c r="B550" s="50" t="s">
        <v>6876</v>
      </c>
      <c r="C550" s="50" t="s">
        <v>6877</v>
      </c>
      <c r="D550" s="50" t="s">
        <v>8493</v>
      </c>
      <c r="E550" s="50" t="s">
        <v>23965</v>
      </c>
      <c r="F550" s="50">
        <v>59.0</v>
      </c>
      <c r="G550" s="50">
        <v>1.0</v>
      </c>
      <c r="H550" s="50">
        <v>11.0</v>
      </c>
      <c r="I550" s="116"/>
      <c r="J550" s="116"/>
      <c r="K550" s="50" t="s">
        <v>4479</v>
      </c>
      <c r="L550" s="50" t="s">
        <v>4479</v>
      </c>
      <c r="M550" s="50" t="s">
        <v>23913</v>
      </c>
      <c r="N550" s="50" t="s">
        <v>23914</v>
      </c>
      <c r="O550" s="50" t="s">
        <v>23915</v>
      </c>
      <c r="P550" s="50">
        <v>4.0</v>
      </c>
      <c r="Q550" s="116"/>
      <c r="R550" s="116"/>
      <c r="S550" s="50">
        <v>7.0</v>
      </c>
      <c r="T550" s="50">
        <v>1000.0</v>
      </c>
      <c r="U550" s="50">
        <v>1.0</v>
      </c>
      <c r="V550" s="116"/>
      <c r="W550" s="50">
        <v>7.0</v>
      </c>
      <c r="X550" s="50">
        <v>100.0</v>
      </c>
      <c r="Y550" s="50">
        <v>1.0</v>
      </c>
      <c r="Z550" s="116"/>
      <c r="AA550" s="50">
        <v>1.0</v>
      </c>
      <c r="AB550" s="50">
        <v>4.0</v>
      </c>
      <c r="AC550" s="50">
        <v>1000.0</v>
      </c>
      <c r="AD550" s="50">
        <v>3.0</v>
      </c>
      <c r="AE550" s="50">
        <v>21.0</v>
      </c>
      <c r="AF550" s="116"/>
      <c r="AG550" s="116"/>
      <c r="AH550" s="50">
        <v>7.0</v>
      </c>
      <c r="AI550" s="50">
        <v>5000.0</v>
      </c>
      <c r="AJ550" s="50">
        <v>3.0</v>
      </c>
      <c r="AK550" s="50">
        <v>0.0</v>
      </c>
      <c r="AL550" s="50">
        <v>7.0</v>
      </c>
      <c r="AM550" s="50">
        <v>1000.0</v>
      </c>
      <c r="AN550" s="50">
        <v>3.0</v>
      </c>
      <c r="AO550" s="50">
        <v>0.0</v>
      </c>
      <c r="AP550" s="50">
        <v>1.0</v>
      </c>
      <c r="AQ550" s="50">
        <v>7.0</v>
      </c>
      <c r="AR550" s="50">
        <v>100.0</v>
      </c>
      <c r="AS550" s="50">
        <v>3.0</v>
      </c>
      <c r="AT550" s="50">
        <v>0.0</v>
      </c>
      <c r="AU550" s="50">
        <v>0.0</v>
      </c>
      <c r="AV550" s="116"/>
      <c r="AW550" s="116"/>
      <c r="AX550" s="116"/>
      <c r="AY550" s="116"/>
      <c r="AZ550" s="116"/>
      <c r="BA550" s="116"/>
      <c r="BB550" s="116"/>
      <c r="BC550" s="116"/>
      <c r="BD550" s="116"/>
      <c r="BE550" s="116"/>
      <c r="BF550" s="116"/>
      <c r="BG550" s="116"/>
      <c r="BH550" s="116"/>
      <c r="BI550" s="116"/>
      <c r="BJ550" s="116"/>
      <c r="BK550" s="116"/>
      <c r="BL550" s="116"/>
      <c r="BM550" s="116"/>
      <c r="BN550" s="116"/>
      <c r="BO550" s="116"/>
      <c r="BP550" s="116"/>
      <c r="BQ550" s="116"/>
      <c r="BR550" s="116"/>
      <c r="BS550" s="116"/>
      <c r="BT550" s="116"/>
      <c r="BU550" s="116"/>
      <c r="BV550" s="116"/>
      <c r="BW550" s="116"/>
      <c r="BX550" s="116"/>
      <c r="BY550" s="116"/>
      <c r="BZ550" s="116"/>
      <c r="CA550" s="116"/>
      <c r="CB550" s="116"/>
      <c r="CC550" s="50" t="s">
        <v>21778</v>
      </c>
      <c r="CD550" s="145">
        <v>43868.0</v>
      </c>
      <c r="CE550" s="50">
        <v>1.0</v>
      </c>
      <c r="CF550" s="50" t="s">
        <v>22338</v>
      </c>
      <c r="CG550" s="117">
        <v>8407.0</v>
      </c>
      <c r="CH550" s="50" t="s">
        <v>23982</v>
      </c>
      <c r="CI550" s="50" t="s">
        <v>23983</v>
      </c>
      <c r="CJ550" s="117">
        <v>549.0</v>
      </c>
    </row>
    <row r="551">
      <c r="A551" s="50" t="s">
        <v>23984</v>
      </c>
      <c r="B551" s="50" t="s">
        <v>6876</v>
      </c>
      <c r="C551" s="50" t="s">
        <v>6877</v>
      </c>
      <c r="D551" s="50" t="s">
        <v>8493</v>
      </c>
      <c r="E551" s="50" t="s">
        <v>23985</v>
      </c>
      <c r="F551" s="50">
        <v>59.0</v>
      </c>
      <c r="G551" s="50">
        <v>1.0</v>
      </c>
      <c r="H551" s="50">
        <v>11.0</v>
      </c>
      <c r="I551" s="116"/>
      <c r="J551" s="116"/>
      <c r="K551" s="50" t="s">
        <v>4492</v>
      </c>
      <c r="L551" s="50" t="s">
        <v>4492</v>
      </c>
      <c r="M551" s="50" t="s">
        <v>23913</v>
      </c>
      <c r="N551" s="50" t="s">
        <v>23914</v>
      </c>
      <c r="O551" s="50" t="s">
        <v>23915</v>
      </c>
      <c r="P551" s="50">
        <v>4.0</v>
      </c>
      <c r="Q551" s="116"/>
      <c r="R551" s="116"/>
      <c r="S551" s="50">
        <v>7.0</v>
      </c>
      <c r="T551" s="50">
        <v>1000.0</v>
      </c>
      <c r="U551" s="50">
        <v>1.0</v>
      </c>
      <c r="V551" s="116"/>
      <c r="W551" s="50">
        <v>7.0</v>
      </c>
      <c r="X551" s="50">
        <v>100.0</v>
      </c>
      <c r="Y551" s="50">
        <v>1.0</v>
      </c>
      <c r="Z551" s="116"/>
      <c r="AA551" s="50">
        <v>1.0</v>
      </c>
      <c r="AB551" s="50">
        <v>4.0</v>
      </c>
      <c r="AC551" s="50">
        <v>1000.0</v>
      </c>
      <c r="AD551" s="50">
        <v>3.0</v>
      </c>
      <c r="AE551" s="50">
        <v>22.0</v>
      </c>
      <c r="AF551" s="116"/>
      <c r="AG551" s="116"/>
      <c r="AH551" s="50">
        <v>7.0</v>
      </c>
      <c r="AI551" s="50">
        <v>5000.0</v>
      </c>
      <c r="AJ551" s="50">
        <v>1.0</v>
      </c>
      <c r="AK551" s="116"/>
      <c r="AL551" s="50">
        <v>7.0</v>
      </c>
      <c r="AM551" s="50">
        <v>1000.0</v>
      </c>
      <c r="AN551" s="50">
        <v>3.0</v>
      </c>
      <c r="AO551" s="50">
        <v>12.0</v>
      </c>
      <c r="AP551" s="50">
        <v>1.0</v>
      </c>
      <c r="AQ551" s="50">
        <v>7.0</v>
      </c>
      <c r="AR551" s="50">
        <v>100.0</v>
      </c>
      <c r="AS551" s="50">
        <v>3.0</v>
      </c>
      <c r="AT551" s="50">
        <v>0.0</v>
      </c>
      <c r="AU551" s="50">
        <v>0.0</v>
      </c>
      <c r="AV551" s="116"/>
      <c r="AW551" s="116"/>
      <c r="AX551" s="116"/>
      <c r="AY551" s="116"/>
      <c r="AZ551" s="116"/>
      <c r="BA551" s="116"/>
      <c r="BB551" s="116"/>
      <c r="BC551" s="116"/>
      <c r="BD551" s="116"/>
      <c r="BE551" s="116"/>
      <c r="BF551" s="116"/>
      <c r="BG551" s="116"/>
      <c r="BH551" s="116"/>
      <c r="BI551" s="116"/>
      <c r="BJ551" s="116"/>
      <c r="BK551" s="116"/>
      <c r="BL551" s="116"/>
      <c r="BM551" s="116"/>
      <c r="BN551" s="116"/>
      <c r="BO551" s="116"/>
      <c r="BP551" s="116"/>
      <c r="BQ551" s="116"/>
      <c r="BR551" s="116"/>
      <c r="BS551" s="116"/>
      <c r="BT551" s="116"/>
      <c r="BU551" s="116"/>
      <c r="BV551" s="116"/>
      <c r="BW551" s="116"/>
      <c r="BX551" s="116"/>
      <c r="BY551" s="116"/>
      <c r="BZ551" s="116"/>
      <c r="CA551" s="116"/>
      <c r="CB551" s="116"/>
      <c r="CC551" s="50" t="s">
        <v>23992</v>
      </c>
      <c r="CD551" s="50" t="s">
        <v>14054</v>
      </c>
      <c r="CE551" s="50">
        <v>1.0</v>
      </c>
      <c r="CF551" s="50" t="s">
        <v>22338</v>
      </c>
      <c r="CG551" s="117">
        <v>8408.0</v>
      </c>
      <c r="CH551" s="50" t="s">
        <v>23995</v>
      </c>
      <c r="CI551" s="50" t="s">
        <v>23996</v>
      </c>
      <c r="CJ551" s="117">
        <v>550.0</v>
      </c>
    </row>
    <row r="552">
      <c r="A552" s="50" t="s">
        <v>23985</v>
      </c>
      <c r="B552" s="50" t="s">
        <v>6876</v>
      </c>
      <c r="C552" s="50" t="s">
        <v>6877</v>
      </c>
      <c r="D552" s="50" t="s">
        <v>8493</v>
      </c>
      <c r="E552" s="50" t="s">
        <v>23999</v>
      </c>
      <c r="F552" s="50">
        <v>59.0</v>
      </c>
      <c r="G552" s="50">
        <v>1.0</v>
      </c>
      <c r="H552" s="50">
        <v>11.0</v>
      </c>
      <c r="I552" s="116"/>
      <c r="J552" s="116"/>
      <c r="K552" s="50" t="s">
        <v>4505</v>
      </c>
      <c r="L552" s="50" t="s">
        <v>4505</v>
      </c>
      <c r="M552" s="50" t="s">
        <v>23913</v>
      </c>
      <c r="N552" s="50" t="s">
        <v>23914</v>
      </c>
      <c r="O552" s="50" t="s">
        <v>23915</v>
      </c>
      <c r="P552" s="50">
        <v>4.0</v>
      </c>
      <c r="Q552" s="116"/>
      <c r="R552" s="116"/>
      <c r="S552" s="50">
        <v>7.0</v>
      </c>
      <c r="T552" s="50">
        <v>1000.0</v>
      </c>
      <c r="U552" s="50">
        <v>1.0</v>
      </c>
      <c r="V552" s="116"/>
      <c r="W552" s="50">
        <v>7.0</v>
      </c>
      <c r="X552" s="50">
        <v>100.0</v>
      </c>
      <c r="Y552" s="50">
        <v>1.0</v>
      </c>
      <c r="Z552" s="116"/>
      <c r="AA552" s="50">
        <v>1.0</v>
      </c>
      <c r="AB552" s="50">
        <v>4.0</v>
      </c>
      <c r="AC552" s="50">
        <v>1000.0</v>
      </c>
      <c r="AD552" s="50">
        <v>3.0</v>
      </c>
      <c r="AE552" s="50">
        <v>13.0</v>
      </c>
      <c r="AF552" s="116"/>
      <c r="AG552" s="116"/>
      <c r="AH552" s="50">
        <v>7.0</v>
      </c>
      <c r="AI552" s="50">
        <v>5000.0</v>
      </c>
      <c r="AJ552" s="50">
        <v>3.0</v>
      </c>
      <c r="AK552" s="50">
        <v>0.0</v>
      </c>
      <c r="AL552" s="50">
        <v>7.0</v>
      </c>
      <c r="AM552" s="50">
        <v>1000.0</v>
      </c>
      <c r="AN552" s="50">
        <v>3.0</v>
      </c>
      <c r="AO552" s="50">
        <v>0.0</v>
      </c>
      <c r="AP552" s="50">
        <v>1.0</v>
      </c>
      <c r="AQ552" s="50">
        <v>7.0</v>
      </c>
      <c r="AR552" s="50">
        <v>100.0</v>
      </c>
      <c r="AS552" s="50">
        <v>3.0</v>
      </c>
      <c r="AT552" s="50">
        <v>0.0</v>
      </c>
      <c r="AU552" s="50">
        <v>0.0</v>
      </c>
      <c r="AV552" s="116"/>
      <c r="AW552" s="116"/>
      <c r="AX552" s="116"/>
      <c r="AY552" s="116"/>
      <c r="AZ552" s="116"/>
      <c r="BA552" s="116"/>
      <c r="BB552" s="116"/>
      <c r="BC552" s="116"/>
      <c r="BD552" s="116"/>
      <c r="BE552" s="116"/>
      <c r="BF552" s="116"/>
      <c r="BG552" s="116"/>
      <c r="BH552" s="116"/>
      <c r="BI552" s="116"/>
      <c r="BJ552" s="116"/>
      <c r="BK552" s="116"/>
      <c r="BL552" s="116"/>
      <c r="BM552" s="116"/>
      <c r="BN552" s="116"/>
      <c r="BO552" s="116"/>
      <c r="BP552" s="116"/>
      <c r="BQ552" s="116"/>
      <c r="BR552" s="116"/>
      <c r="BS552" s="116"/>
      <c r="BT552" s="116"/>
      <c r="BU552" s="116"/>
      <c r="BV552" s="116"/>
      <c r="BW552" s="116"/>
      <c r="BX552" s="116"/>
      <c r="BY552" s="116"/>
      <c r="BZ552" s="116"/>
      <c r="CA552" s="116"/>
      <c r="CB552" s="116"/>
      <c r="CC552" s="50" t="s">
        <v>23992</v>
      </c>
      <c r="CD552" s="145">
        <v>43868.0</v>
      </c>
      <c r="CE552" s="50">
        <v>1.0</v>
      </c>
      <c r="CF552" s="50" t="s">
        <v>22338</v>
      </c>
      <c r="CG552" s="117">
        <v>8409.0</v>
      </c>
      <c r="CH552" s="50" t="s">
        <v>24010</v>
      </c>
      <c r="CI552" s="50" t="s">
        <v>24012</v>
      </c>
      <c r="CJ552" s="117">
        <v>551.0</v>
      </c>
    </row>
    <row r="553">
      <c r="A553" s="50" t="s">
        <v>24013</v>
      </c>
      <c r="B553" s="50" t="s">
        <v>6876</v>
      </c>
      <c r="C553" s="50" t="s">
        <v>6877</v>
      </c>
      <c r="D553" s="50" t="s">
        <v>8493</v>
      </c>
      <c r="E553" s="50" t="s">
        <v>24014</v>
      </c>
      <c r="F553" s="50">
        <v>57.0</v>
      </c>
      <c r="G553" s="50">
        <v>1.0</v>
      </c>
      <c r="H553" s="50">
        <v>16.0</v>
      </c>
      <c r="I553" s="116"/>
      <c r="J553" s="116"/>
      <c r="K553" s="50" t="s">
        <v>4696</v>
      </c>
      <c r="L553" s="50" t="s">
        <v>4696</v>
      </c>
      <c r="M553" s="50" t="s">
        <v>23913</v>
      </c>
      <c r="N553" s="50" t="s">
        <v>23914</v>
      </c>
      <c r="O553" s="50" t="s">
        <v>23915</v>
      </c>
      <c r="P553" s="116"/>
      <c r="Q553" s="116"/>
      <c r="R553" s="116"/>
      <c r="S553" s="50">
        <v>7.0</v>
      </c>
      <c r="T553" s="50">
        <v>1000.0</v>
      </c>
      <c r="U553" s="50">
        <v>3.0</v>
      </c>
      <c r="V553" s="50">
        <v>0.0</v>
      </c>
      <c r="W553" s="50">
        <v>7.0</v>
      </c>
      <c r="X553" s="50">
        <v>100.0</v>
      </c>
      <c r="Y553" s="50">
        <v>3.0</v>
      </c>
      <c r="Z553" s="50">
        <v>0.0</v>
      </c>
      <c r="AA553" s="50">
        <v>1.0</v>
      </c>
      <c r="AB553" s="50">
        <v>4.0</v>
      </c>
      <c r="AC553" s="50">
        <v>1000.0</v>
      </c>
      <c r="AD553" s="50">
        <v>3.0</v>
      </c>
      <c r="AE553" s="50">
        <v>0.0</v>
      </c>
      <c r="AF553" s="116"/>
      <c r="AG553" s="116"/>
      <c r="AH553" s="50">
        <v>7.0</v>
      </c>
      <c r="AI553" s="50">
        <v>5000.0</v>
      </c>
      <c r="AJ553" s="50">
        <v>3.0</v>
      </c>
      <c r="AK553" s="50">
        <v>0.0</v>
      </c>
      <c r="AL553" s="50">
        <v>7.0</v>
      </c>
      <c r="AM553" s="50">
        <v>1000.0</v>
      </c>
      <c r="AN553" s="50">
        <v>3.0</v>
      </c>
      <c r="AO553" s="50">
        <v>0.0</v>
      </c>
      <c r="AP553" s="50">
        <v>1.0</v>
      </c>
      <c r="AQ553" s="50">
        <v>7.0</v>
      </c>
      <c r="AR553" s="50">
        <v>100.0</v>
      </c>
      <c r="AS553" s="50">
        <v>3.0</v>
      </c>
      <c r="AT553" s="50">
        <v>0.0</v>
      </c>
      <c r="AU553" s="50">
        <v>0.0</v>
      </c>
      <c r="AV553" s="116"/>
      <c r="AW553" s="116"/>
      <c r="AX553" s="116"/>
      <c r="AY553" s="116"/>
      <c r="AZ553" s="116"/>
      <c r="BA553" s="116"/>
      <c r="BB553" s="116"/>
      <c r="BC553" s="116"/>
      <c r="BD553" s="116"/>
      <c r="BE553" s="116"/>
      <c r="BF553" s="116"/>
      <c r="BG553" s="116"/>
      <c r="BH553" s="116"/>
      <c r="BI553" s="116"/>
      <c r="BJ553" s="116"/>
      <c r="BK553" s="116"/>
      <c r="BL553" s="116"/>
      <c r="BM553" s="116"/>
      <c r="BN553" s="116"/>
      <c r="BO553" s="116"/>
      <c r="BP553" s="116"/>
      <c r="BQ553" s="116"/>
      <c r="BR553" s="116"/>
      <c r="BS553" s="116"/>
      <c r="BT553" s="116"/>
      <c r="BU553" s="116"/>
      <c r="BV553" s="116"/>
      <c r="BW553" s="116"/>
      <c r="BX553" s="116"/>
      <c r="BY553" s="116"/>
      <c r="BZ553" s="116"/>
      <c r="CA553" s="116"/>
      <c r="CB553" s="116"/>
      <c r="CC553" s="50" t="s">
        <v>24025</v>
      </c>
      <c r="CD553" s="145">
        <v>43868.0</v>
      </c>
      <c r="CE553" s="50">
        <v>1.0</v>
      </c>
      <c r="CF553" s="50" t="s">
        <v>22338</v>
      </c>
      <c r="CG553" s="117">
        <v>8410.0</v>
      </c>
      <c r="CH553" s="50" t="s">
        <v>24026</v>
      </c>
      <c r="CI553" s="50" t="s">
        <v>24027</v>
      </c>
      <c r="CJ553" s="117">
        <v>552.0</v>
      </c>
    </row>
    <row r="554">
      <c r="A554" s="50" t="s">
        <v>24014</v>
      </c>
      <c r="B554" s="50" t="s">
        <v>6876</v>
      </c>
      <c r="C554" s="50" t="s">
        <v>6877</v>
      </c>
      <c r="D554" s="50" t="s">
        <v>8493</v>
      </c>
      <c r="E554" s="50" t="s">
        <v>24028</v>
      </c>
      <c r="F554" s="50">
        <v>33.0</v>
      </c>
      <c r="G554" s="50">
        <v>1.0</v>
      </c>
      <c r="H554" s="50">
        <v>97.0</v>
      </c>
      <c r="I554" s="116"/>
      <c r="J554" s="116"/>
      <c r="K554" s="50" t="s">
        <v>436</v>
      </c>
      <c r="L554" s="50" t="s">
        <v>436</v>
      </c>
      <c r="M554" s="50" t="s">
        <v>23913</v>
      </c>
      <c r="N554" s="50" t="s">
        <v>23914</v>
      </c>
      <c r="O554" s="50" t="s">
        <v>23915</v>
      </c>
      <c r="P554" s="116"/>
      <c r="Q554" s="116"/>
      <c r="R554" s="116"/>
      <c r="S554" s="50">
        <v>10.0</v>
      </c>
      <c r="T554" s="50">
        <v>1000.0</v>
      </c>
      <c r="U554" s="50">
        <v>3.0</v>
      </c>
      <c r="V554" s="50">
        <v>88.0</v>
      </c>
      <c r="W554" s="116"/>
      <c r="X554" s="116"/>
      <c r="Y554" s="116"/>
      <c r="Z554" s="116"/>
      <c r="AA554" s="116"/>
      <c r="AB554" s="116"/>
      <c r="AC554" s="116"/>
      <c r="AD554" s="116"/>
      <c r="AE554" s="116"/>
      <c r="AF554" s="116"/>
      <c r="AG554" s="116"/>
      <c r="AH554" s="116"/>
      <c r="AI554" s="116"/>
      <c r="AJ554" s="116"/>
      <c r="AK554" s="116"/>
      <c r="AL554" s="116"/>
      <c r="AM554" s="116"/>
      <c r="AN554" s="116"/>
      <c r="AO554" s="116"/>
      <c r="AP554" s="116"/>
      <c r="AQ554" s="116"/>
      <c r="AR554" s="116"/>
      <c r="AS554" s="116"/>
      <c r="AT554" s="116"/>
      <c r="AU554" s="50">
        <v>0.0</v>
      </c>
      <c r="AV554" s="116"/>
      <c r="AW554" s="116"/>
      <c r="AX554" s="116"/>
      <c r="AY554" s="116"/>
      <c r="AZ554" s="116"/>
      <c r="BA554" s="116"/>
      <c r="BB554" s="116"/>
      <c r="BC554" s="116"/>
      <c r="BD554" s="116"/>
      <c r="BE554" s="116"/>
      <c r="BF554" s="116"/>
      <c r="BG554" s="116"/>
      <c r="BH554" s="116"/>
      <c r="BI554" s="116"/>
      <c r="BJ554" s="116"/>
      <c r="BK554" s="116"/>
      <c r="BL554" s="116"/>
      <c r="BM554" s="116"/>
      <c r="BN554" s="116"/>
      <c r="BO554" s="116"/>
      <c r="BP554" s="116"/>
      <c r="BQ554" s="116"/>
      <c r="BR554" s="116"/>
      <c r="BS554" s="116"/>
      <c r="BT554" s="116"/>
      <c r="BU554" s="116"/>
      <c r="BV554" s="116"/>
      <c r="BW554" s="116"/>
      <c r="BX554" s="116"/>
      <c r="BY554" s="116"/>
      <c r="BZ554" s="116"/>
      <c r="CA554" s="116"/>
      <c r="CB554" s="116"/>
      <c r="CC554" s="116"/>
      <c r="CD554" s="145">
        <v>43868.0</v>
      </c>
      <c r="CE554" s="50">
        <v>1.0</v>
      </c>
      <c r="CF554" s="50" t="s">
        <v>22338</v>
      </c>
      <c r="CG554" s="117">
        <v>8411.0</v>
      </c>
      <c r="CH554" s="50" t="s">
        <v>24045</v>
      </c>
      <c r="CI554" s="50" t="s">
        <v>24046</v>
      </c>
      <c r="CJ554" s="117">
        <v>553.0</v>
      </c>
    </row>
    <row r="555">
      <c r="A555" s="50" t="s">
        <v>24047</v>
      </c>
      <c r="B555" s="50" t="s">
        <v>6876</v>
      </c>
      <c r="C555" s="50" t="s">
        <v>6877</v>
      </c>
      <c r="D555" s="50" t="s">
        <v>8493</v>
      </c>
      <c r="E555" s="50" t="s">
        <v>24049</v>
      </c>
      <c r="F555" s="50">
        <v>33.0</v>
      </c>
      <c r="G555" s="50">
        <v>1.0</v>
      </c>
      <c r="H555" s="50">
        <v>97.0</v>
      </c>
      <c r="I555" s="116"/>
      <c r="J555" s="116"/>
      <c r="K555" s="50" t="s">
        <v>15565</v>
      </c>
      <c r="L555" s="50" t="s">
        <v>15565</v>
      </c>
      <c r="M555" s="50" t="s">
        <v>23913</v>
      </c>
      <c r="N555" s="50" t="s">
        <v>23914</v>
      </c>
      <c r="O555" s="50" t="s">
        <v>23915</v>
      </c>
      <c r="P555" s="116"/>
      <c r="Q555" s="116"/>
      <c r="R555" s="116"/>
      <c r="S555" s="116"/>
      <c r="T555" s="116"/>
      <c r="U555" s="116"/>
      <c r="V555" s="116"/>
      <c r="W555" s="116"/>
      <c r="X555" s="116"/>
      <c r="Y555" s="116"/>
      <c r="Z555" s="116"/>
      <c r="AA555" s="116"/>
      <c r="AB555" s="116"/>
      <c r="AC555" s="116"/>
      <c r="AD555" s="116"/>
      <c r="AE555" s="116"/>
      <c r="AF555" s="116"/>
      <c r="AG555" s="116"/>
      <c r="AH555" s="50">
        <v>4.0</v>
      </c>
      <c r="AI555" s="50">
        <v>1000.0</v>
      </c>
      <c r="AJ555" s="50">
        <v>3.0</v>
      </c>
      <c r="AK555" s="50">
        <v>249.0</v>
      </c>
      <c r="AL555" s="116"/>
      <c r="AM555" s="116"/>
      <c r="AN555" s="116"/>
      <c r="AO555" s="116"/>
      <c r="AP555" s="116"/>
      <c r="AQ555" s="116"/>
      <c r="AR555" s="116"/>
      <c r="AS555" s="116"/>
      <c r="AT555" s="116"/>
      <c r="AU555" s="50">
        <v>0.0</v>
      </c>
      <c r="AV555" s="116"/>
      <c r="AW555" s="116"/>
      <c r="AX555" s="116"/>
      <c r="AY555" s="116"/>
      <c r="AZ555" s="116"/>
      <c r="BA555" s="116"/>
      <c r="BB555" s="116"/>
      <c r="BC555" s="116"/>
      <c r="BD555" s="116"/>
      <c r="BE555" s="116"/>
      <c r="BF555" s="116"/>
      <c r="BG555" s="116"/>
      <c r="BH555" s="116"/>
      <c r="BI555" s="116"/>
      <c r="BJ555" s="116"/>
      <c r="BK555" s="116"/>
      <c r="BL555" s="116"/>
      <c r="BM555" s="116"/>
      <c r="BN555" s="116"/>
      <c r="BO555" s="116"/>
      <c r="BP555" s="116"/>
      <c r="BQ555" s="116"/>
      <c r="BR555" s="116"/>
      <c r="BS555" s="116"/>
      <c r="BT555" s="116"/>
      <c r="BU555" s="116"/>
      <c r="BV555" s="116"/>
      <c r="BW555" s="116"/>
      <c r="BX555" s="116"/>
      <c r="BY555" s="116"/>
      <c r="BZ555" s="116"/>
      <c r="CA555" s="116"/>
      <c r="CB555" s="116"/>
      <c r="CC555" s="116"/>
      <c r="CD555" s="145">
        <v>43868.0</v>
      </c>
      <c r="CE555" s="50">
        <v>1.0</v>
      </c>
      <c r="CF555" s="50" t="s">
        <v>22338</v>
      </c>
      <c r="CG555" s="117">
        <v>8412.0</v>
      </c>
      <c r="CH555" s="50" t="s">
        <v>24067</v>
      </c>
      <c r="CI555" s="50" t="s">
        <v>24068</v>
      </c>
      <c r="CJ555" s="117">
        <v>554.0</v>
      </c>
    </row>
    <row r="556">
      <c r="A556" s="50" t="s">
        <v>24049</v>
      </c>
      <c r="B556" s="50" t="s">
        <v>6876</v>
      </c>
      <c r="C556" s="50" t="s">
        <v>6877</v>
      </c>
      <c r="D556" s="50" t="s">
        <v>8493</v>
      </c>
      <c r="E556" s="50" t="s">
        <v>24070</v>
      </c>
      <c r="F556" s="50">
        <v>33.0</v>
      </c>
      <c r="G556" s="50">
        <v>1.0</v>
      </c>
      <c r="H556" s="50">
        <v>97.0</v>
      </c>
      <c r="I556" s="116"/>
      <c r="J556" s="116"/>
      <c r="K556" s="50" t="s">
        <v>436</v>
      </c>
      <c r="L556" s="50" t="s">
        <v>436</v>
      </c>
      <c r="M556" s="50" t="s">
        <v>18090</v>
      </c>
      <c r="N556" s="50" t="s">
        <v>24075</v>
      </c>
      <c r="O556" s="50" t="s">
        <v>24076</v>
      </c>
      <c r="P556" s="116"/>
      <c r="Q556" s="116"/>
      <c r="R556" s="116"/>
      <c r="S556" s="50">
        <v>7.0</v>
      </c>
      <c r="T556" s="50">
        <v>1000.0</v>
      </c>
      <c r="U556" s="50">
        <v>3.0</v>
      </c>
      <c r="V556" s="50">
        <v>84.0</v>
      </c>
      <c r="W556" s="116"/>
      <c r="X556" s="116"/>
      <c r="Y556" s="116"/>
      <c r="Z556" s="116"/>
      <c r="AA556" s="116"/>
      <c r="AB556" s="116"/>
      <c r="AC556" s="116"/>
      <c r="AD556" s="116"/>
      <c r="AE556" s="116"/>
      <c r="AF556" s="116"/>
      <c r="AG556" s="116"/>
      <c r="AH556" s="116"/>
      <c r="AI556" s="116"/>
      <c r="AJ556" s="116"/>
      <c r="AK556" s="116"/>
      <c r="AL556" s="116"/>
      <c r="AM556" s="116"/>
      <c r="AN556" s="116"/>
      <c r="AO556" s="116"/>
      <c r="AP556" s="116"/>
      <c r="AQ556" s="116"/>
      <c r="AR556" s="116"/>
      <c r="AS556" s="116"/>
      <c r="AT556" s="116"/>
      <c r="AU556" s="50">
        <v>0.0</v>
      </c>
      <c r="AV556" s="116"/>
      <c r="AW556" s="116"/>
      <c r="AX556" s="116"/>
      <c r="AY556" s="116"/>
      <c r="AZ556" s="116"/>
      <c r="BA556" s="116"/>
      <c r="BB556" s="116"/>
      <c r="BC556" s="116"/>
      <c r="BD556" s="116"/>
      <c r="BE556" s="116"/>
      <c r="BF556" s="116"/>
      <c r="BG556" s="116"/>
      <c r="BH556" s="116"/>
      <c r="BI556" s="116"/>
      <c r="BJ556" s="116"/>
      <c r="BK556" s="116"/>
      <c r="BL556" s="116"/>
      <c r="BM556" s="116"/>
      <c r="BN556" s="116"/>
      <c r="BO556" s="116"/>
      <c r="BP556" s="116"/>
      <c r="BQ556" s="116"/>
      <c r="BR556" s="116"/>
      <c r="BS556" s="116"/>
      <c r="BT556" s="116"/>
      <c r="BU556" s="116"/>
      <c r="BV556" s="116"/>
      <c r="BW556" s="116"/>
      <c r="BX556" s="116"/>
      <c r="BY556" s="116"/>
      <c r="BZ556" s="116"/>
      <c r="CA556" s="116"/>
      <c r="CB556" s="116"/>
      <c r="CC556" s="116"/>
      <c r="CD556" s="145">
        <v>43868.0</v>
      </c>
      <c r="CE556" s="50">
        <v>1.0</v>
      </c>
      <c r="CF556" s="50" t="s">
        <v>22338</v>
      </c>
      <c r="CG556" s="117">
        <v>8413.0</v>
      </c>
      <c r="CH556" s="50" t="s">
        <v>24090</v>
      </c>
      <c r="CI556" s="50" t="s">
        <v>24091</v>
      </c>
      <c r="CJ556" s="117">
        <v>555.0</v>
      </c>
    </row>
    <row r="557">
      <c r="A557" s="50" t="s">
        <v>24070</v>
      </c>
      <c r="B557" s="50" t="s">
        <v>6876</v>
      </c>
      <c r="C557" s="50" t="s">
        <v>6877</v>
      </c>
      <c r="D557" s="50" t="s">
        <v>8493</v>
      </c>
      <c r="E557" s="50" t="s">
        <v>24096</v>
      </c>
      <c r="F557" s="50">
        <v>33.0</v>
      </c>
      <c r="G557" s="50">
        <v>1.0</v>
      </c>
      <c r="H557" s="50">
        <v>97.0</v>
      </c>
      <c r="I557" s="116"/>
      <c r="J557" s="116"/>
      <c r="K557" s="50" t="s">
        <v>15565</v>
      </c>
      <c r="L557" s="50" t="s">
        <v>15565</v>
      </c>
      <c r="M557" s="50" t="s">
        <v>18090</v>
      </c>
      <c r="N557" s="50" t="s">
        <v>24075</v>
      </c>
      <c r="O557" s="50" t="s">
        <v>24076</v>
      </c>
      <c r="P557" s="116"/>
      <c r="Q557" s="116"/>
      <c r="R557" s="116"/>
      <c r="S557" s="116"/>
      <c r="T557" s="116"/>
      <c r="U557" s="116"/>
      <c r="V557" s="116"/>
      <c r="W557" s="116"/>
      <c r="X557" s="116"/>
      <c r="Y557" s="116"/>
      <c r="Z557" s="116"/>
      <c r="AA557" s="116"/>
      <c r="AB557" s="116"/>
      <c r="AC557" s="116"/>
      <c r="AD557" s="116"/>
      <c r="AE557" s="116"/>
      <c r="AF557" s="116"/>
      <c r="AG557" s="116"/>
      <c r="AH557" s="50">
        <v>7.0</v>
      </c>
      <c r="AI557" s="50">
        <v>1000.0</v>
      </c>
      <c r="AJ557" s="50">
        <v>3.0</v>
      </c>
      <c r="AK557" s="50">
        <v>192.0</v>
      </c>
      <c r="AL557" s="116"/>
      <c r="AM557" s="116"/>
      <c r="AN557" s="116"/>
      <c r="AO557" s="116"/>
      <c r="AP557" s="116"/>
      <c r="AQ557" s="116"/>
      <c r="AR557" s="116"/>
      <c r="AS557" s="116"/>
      <c r="AT557" s="116"/>
      <c r="AU557" s="50">
        <v>0.0</v>
      </c>
      <c r="AV557" s="116"/>
      <c r="AW557" s="116"/>
      <c r="AX557" s="116"/>
      <c r="AY557" s="116"/>
      <c r="AZ557" s="116"/>
      <c r="BA557" s="116"/>
      <c r="BB557" s="116"/>
      <c r="BC557" s="116"/>
      <c r="BD557" s="116"/>
      <c r="BE557" s="116"/>
      <c r="BF557" s="116"/>
      <c r="BG557" s="116"/>
      <c r="BH557" s="116"/>
      <c r="BI557" s="116"/>
      <c r="BJ557" s="116"/>
      <c r="BK557" s="116"/>
      <c r="BL557" s="116"/>
      <c r="BM557" s="116"/>
      <c r="BN557" s="116"/>
      <c r="BO557" s="116"/>
      <c r="BP557" s="116"/>
      <c r="BQ557" s="116"/>
      <c r="BR557" s="116"/>
      <c r="BS557" s="116"/>
      <c r="BT557" s="116"/>
      <c r="BU557" s="116"/>
      <c r="BV557" s="116"/>
      <c r="BW557" s="116"/>
      <c r="BX557" s="116"/>
      <c r="BY557" s="116"/>
      <c r="BZ557" s="116"/>
      <c r="CA557" s="116"/>
      <c r="CB557" s="116"/>
      <c r="CC557" s="116"/>
      <c r="CD557" s="50" t="s">
        <v>14054</v>
      </c>
      <c r="CE557" s="50">
        <v>1.0</v>
      </c>
      <c r="CF557" s="50" t="s">
        <v>22338</v>
      </c>
      <c r="CG557" s="117">
        <v>8414.0</v>
      </c>
      <c r="CH557" s="50" t="s">
        <v>24121</v>
      </c>
      <c r="CI557" s="50" t="s">
        <v>24123</v>
      </c>
      <c r="CJ557" s="117">
        <v>556.0</v>
      </c>
    </row>
    <row r="558">
      <c r="A558" s="50" t="s">
        <v>24124</v>
      </c>
      <c r="B558" s="50" t="s">
        <v>6876</v>
      </c>
      <c r="C558" s="50" t="s">
        <v>6877</v>
      </c>
      <c r="D558" s="50" t="s">
        <v>8493</v>
      </c>
      <c r="E558" s="50" t="s">
        <v>24126</v>
      </c>
      <c r="F558" s="50">
        <v>57.0</v>
      </c>
      <c r="G558" s="50">
        <v>2.0</v>
      </c>
      <c r="H558" s="50">
        <v>3.0</v>
      </c>
      <c r="I558" s="116"/>
      <c r="J558" s="116"/>
      <c r="K558" s="50" t="s">
        <v>2339</v>
      </c>
      <c r="L558" s="50" t="s">
        <v>2339</v>
      </c>
      <c r="M558" s="50" t="s">
        <v>18016</v>
      </c>
      <c r="N558" s="50" t="s">
        <v>24075</v>
      </c>
      <c r="O558" s="50" t="s">
        <v>24076</v>
      </c>
      <c r="P558" s="116"/>
      <c r="Q558" s="116"/>
      <c r="R558" s="116"/>
      <c r="S558" s="116"/>
      <c r="T558" s="116"/>
      <c r="U558" s="116"/>
      <c r="V558" s="116"/>
      <c r="W558" s="116"/>
      <c r="X558" s="116"/>
      <c r="Y558" s="116"/>
      <c r="Z558" s="116"/>
      <c r="AA558" s="116"/>
      <c r="AB558" s="116"/>
      <c r="AC558" s="116"/>
      <c r="AD558" s="116"/>
      <c r="AE558" s="116"/>
      <c r="AF558" s="116"/>
      <c r="AG558" s="116"/>
      <c r="AH558" s="116"/>
      <c r="AI558" s="116"/>
      <c r="AJ558" s="116"/>
      <c r="AK558" s="116"/>
      <c r="AL558" s="116"/>
      <c r="AM558" s="116"/>
      <c r="AN558" s="116"/>
      <c r="AO558" s="116"/>
      <c r="AP558" s="116"/>
      <c r="AQ558" s="116"/>
      <c r="AR558" s="116"/>
      <c r="AS558" s="116"/>
      <c r="AT558" s="116"/>
      <c r="AU558" s="50">
        <v>1.0</v>
      </c>
      <c r="AV558" s="50" t="s">
        <v>17966</v>
      </c>
      <c r="AW558" s="50" t="s">
        <v>23915</v>
      </c>
      <c r="AX558" s="116"/>
      <c r="AY558" s="116"/>
      <c r="AZ558" s="50">
        <v>7.0</v>
      </c>
      <c r="BA558" s="50">
        <v>1000.0</v>
      </c>
      <c r="BB558" s="50">
        <v>3.0</v>
      </c>
      <c r="BC558" s="50">
        <v>0.0</v>
      </c>
      <c r="BD558" s="50">
        <v>7.0</v>
      </c>
      <c r="BE558" s="50">
        <v>100.0</v>
      </c>
      <c r="BF558" s="50">
        <v>3.0</v>
      </c>
      <c r="BG558" s="50">
        <v>0.0</v>
      </c>
      <c r="BH558" s="50">
        <v>0.0</v>
      </c>
      <c r="BI558" s="116"/>
      <c r="BJ558" s="116"/>
      <c r="BK558" s="116"/>
      <c r="BL558" s="116"/>
      <c r="BM558" s="116"/>
      <c r="BN558" s="116"/>
      <c r="BO558" s="50">
        <v>7.0</v>
      </c>
      <c r="BP558" s="50">
        <v>5000.0</v>
      </c>
      <c r="BQ558" s="50">
        <v>3.0</v>
      </c>
      <c r="BR558" s="50">
        <v>0.0</v>
      </c>
      <c r="BS558" s="50">
        <v>7.0</v>
      </c>
      <c r="BT558" s="50">
        <v>1000.0</v>
      </c>
      <c r="BU558" s="50">
        <v>3.0</v>
      </c>
      <c r="BV558" s="50">
        <v>0.0</v>
      </c>
      <c r="BW558" s="50">
        <v>1.0</v>
      </c>
      <c r="BX558" s="50">
        <v>7.0</v>
      </c>
      <c r="BY558" s="50">
        <v>100.0</v>
      </c>
      <c r="BZ558" s="50">
        <v>3.0</v>
      </c>
      <c r="CA558" s="50">
        <v>0.0</v>
      </c>
      <c r="CB558" s="116"/>
      <c r="CC558" s="116"/>
      <c r="CD558" s="50" t="s">
        <v>14054</v>
      </c>
      <c r="CE558" s="50">
        <v>1.0</v>
      </c>
      <c r="CF558" s="50" t="s">
        <v>22338</v>
      </c>
      <c r="CG558" s="117">
        <v>8415.0</v>
      </c>
      <c r="CH558" s="50" t="s">
        <v>24147</v>
      </c>
      <c r="CI558" s="50" t="s">
        <v>24148</v>
      </c>
      <c r="CJ558" s="117">
        <v>557.0</v>
      </c>
    </row>
    <row r="559">
      <c r="A559" s="50" t="s">
        <v>24151</v>
      </c>
      <c r="B559" s="50" t="s">
        <v>6876</v>
      </c>
      <c r="C559" s="50" t="s">
        <v>6877</v>
      </c>
      <c r="D559" s="50" t="s">
        <v>8493</v>
      </c>
      <c r="E559" s="50" t="s">
        <v>24153</v>
      </c>
      <c r="F559" s="50">
        <v>58.0</v>
      </c>
      <c r="G559" s="50">
        <v>2.0</v>
      </c>
      <c r="H559" s="50">
        <v>10.0</v>
      </c>
      <c r="I559" s="116"/>
      <c r="J559" s="116"/>
      <c r="K559" s="50" t="s">
        <v>3409</v>
      </c>
      <c r="L559" s="50" t="s">
        <v>3409</v>
      </c>
      <c r="M559" s="50" t="s">
        <v>18016</v>
      </c>
      <c r="N559" s="50" t="s">
        <v>24075</v>
      </c>
      <c r="O559" s="50" t="s">
        <v>24076</v>
      </c>
      <c r="P559" s="116"/>
      <c r="Q559" s="116"/>
      <c r="R559" s="116"/>
      <c r="S559" s="116"/>
      <c r="T559" s="116"/>
      <c r="U559" s="116"/>
      <c r="V559" s="116"/>
      <c r="W559" s="116"/>
      <c r="X559" s="116"/>
      <c r="Y559" s="116"/>
      <c r="Z559" s="116"/>
      <c r="AA559" s="116"/>
      <c r="AB559" s="116"/>
      <c r="AC559" s="116"/>
      <c r="AD559" s="116"/>
      <c r="AE559" s="116"/>
      <c r="AF559" s="116"/>
      <c r="AG559" s="116"/>
      <c r="AH559" s="116"/>
      <c r="AI559" s="116"/>
      <c r="AJ559" s="116"/>
      <c r="AK559" s="116"/>
      <c r="AL559" s="116"/>
      <c r="AM559" s="116"/>
      <c r="AN559" s="116"/>
      <c r="AO559" s="116"/>
      <c r="AP559" s="116"/>
      <c r="AQ559" s="116"/>
      <c r="AR559" s="116"/>
      <c r="AS559" s="116"/>
      <c r="AT559" s="116"/>
      <c r="AU559" s="50">
        <v>1.0</v>
      </c>
      <c r="AV559" s="50" t="s">
        <v>17966</v>
      </c>
      <c r="AW559" s="50" t="s">
        <v>23915</v>
      </c>
      <c r="AX559" s="116"/>
      <c r="AY559" s="116"/>
      <c r="AZ559" s="50">
        <v>7.0</v>
      </c>
      <c r="BA559" s="50">
        <v>1000.0</v>
      </c>
      <c r="BB559" s="50">
        <v>3.0</v>
      </c>
      <c r="BC559" s="50">
        <v>1.0</v>
      </c>
      <c r="BD559" s="50">
        <v>7.0</v>
      </c>
      <c r="BE559" s="50">
        <v>100.0</v>
      </c>
      <c r="BF559" s="50">
        <v>3.0</v>
      </c>
      <c r="BG559" s="50">
        <v>0.0</v>
      </c>
      <c r="BH559" s="50">
        <v>0.0</v>
      </c>
      <c r="BI559" s="116"/>
      <c r="BJ559" s="116"/>
      <c r="BK559" s="116"/>
      <c r="BL559" s="116"/>
      <c r="BM559" s="116"/>
      <c r="BN559" s="116"/>
      <c r="BO559" s="50">
        <v>7.0</v>
      </c>
      <c r="BP559" s="50">
        <v>5000.0</v>
      </c>
      <c r="BQ559" s="50">
        <v>3.0</v>
      </c>
      <c r="BR559" s="50">
        <v>0.0</v>
      </c>
      <c r="BS559" s="50">
        <v>7.0</v>
      </c>
      <c r="BT559" s="50">
        <v>1000.0</v>
      </c>
      <c r="BU559" s="50">
        <v>3.0</v>
      </c>
      <c r="BV559" s="50">
        <v>0.0</v>
      </c>
      <c r="BW559" s="50">
        <v>1.0</v>
      </c>
      <c r="BX559" s="50">
        <v>7.0</v>
      </c>
      <c r="BY559" s="50">
        <v>100.0</v>
      </c>
      <c r="BZ559" s="50">
        <v>3.0</v>
      </c>
      <c r="CA559" s="50">
        <v>0.0</v>
      </c>
      <c r="CB559" s="116"/>
      <c r="CC559" s="116"/>
      <c r="CD559" s="145">
        <v>43868.0</v>
      </c>
      <c r="CE559" s="50">
        <v>1.0</v>
      </c>
      <c r="CF559" s="50" t="s">
        <v>22338</v>
      </c>
      <c r="CG559" s="117">
        <v>8416.0</v>
      </c>
      <c r="CH559" s="50" t="s">
        <v>24191</v>
      </c>
      <c r="CI559" s="50" t="s">
        <v>24194</v>
      </c>
      <c r="CJ559" s="117">
        <v>558.0</v>
      </c>
    </row>
    <row r="560">
      <c r="A560" s="50" t="s">
        <v>24199</v>
      </c>
      <c r="B560" s="50" t="s">
        <v>6876</v>
      </c>
      <c r="C560" s="50" t="s">
        <v>6877</v>
      </c>
      <c r="D560" s="50" t="s">
        <v>8493</v>
      </c>
      <c r="E560" s="50" t="s">
        <v>24201</v>
      </c>
      <c r="F560" s="50">
        <v>65.0</v>
      </c>
      <c r="G560" s="50">
        <v>1.0</v>
      </c>
      <c r="H560" s="50">
        <v>16.0</v>
      </c>
      <c r="I560" s="116"/>
      <c r="J560" s="116"/>
      <c r="K560" s="50" t="s">
        <v>4957</v>
      </c>
      <c r="L560" s="50" t="s">
        <v>4957</v>
      </c>
      <c r="M560" s="50" t="s">
        <v>18016</v>
      </c>
      <c r="N560" s="50" t="s">
        <v>24075</v>
      </c>
      <c r="O560" s="50" t="s">
        <v>24076</v>
      </c>
      <c r="P560" s="116"/>
      <c r="Q560" s="116"/>
      <c r="R560" s="116"/>
      <c r="S560" s="50">
        <v>7.0</v>
      </c>
      <c r="T560" s="50">
        <v>1000.0</v>
      </c>
      <c r="U560" s="50">
        <v>4.0</v>
      </c>
      <c r="V560" s="116"/>
      <c r="W560" s="50">
        <v>7.0</v>
      </c>
      <c r="X560" s="50">
        <v>100.0</v>
      </c>
      <c r="Y560" s="50">
        <v>1.0</v>
      </c>
      <c r="Z560" s="116"/>
      <c r="AA560" s="50">
        <v>1.0</v>
      </c>
      <c r="AB560" s="50">
        <v>4.0</v>
      </c>
      <c r="AC560" s="50">
        <v>1000.0</v>
      </c>
      <c r="AD560" s="50">
        <v>3.0</v>
      </c>
      <c r="AE560" s="50">
        <v>32.0</v>
      </c>
      <c r="AF560" s="116"/>
      <c r="AG560" s="116"/>
      <c r="AH560" s="50">
        <v>7.0</v>
      </c>
      <c r="AI560" s="50">
        <v>5000.0</v>
      </c>
      <c r="AJ560" s="50">
        <v>1.0</v>
      </c>
      <c r="AK560" s="116"/>
      <c r="AL560" s="50">
        <v>7.0</v>
      </c>
      <c r="AM560" s="50">
        <v>1000.0</v>
      </c>
      <c r="AN560" s="50">
        <v>3.0</v>
      </c>
      <c r="AO560" s="50">
        <v>142.0</v>
      </c>
      <c r="AP560" s="50">
        <v>1.0</v>
      </c>
      <c r="AQ560" s="50">
        <v>7.0</v>
      </c>
      <c r="AR560" s="50">
        <v>100.0</v>
      </c>
      <c r="AS560" s="50">
        <v>3.0</v>
      </c>
      <c r="AT560" s="50">
        <v>13.0</v>
      </c>
      <c r="AU560" s="50">
        <v>0.0</v>
      </c>
      <c r="AV560" s="116"/>
      <c r="AW560" s="116"/>
      <c r="AX560" s="116"/>
      <c r="AY560" s="116"/>
      <c r="AZ560" s="116"/>
      <c r="BA560" s="116"/>
      <c r="BB560" s="116"/>
      <c r="BC560" s="116"/>
      <c r="BD560" s="116"/>
      <c r="BE560" s="116"/>
      <c r="BF560" s="116"/>
      <c r="BG560" s="116"/>
      <c r="BH560" s="116"/>
      <c r="BI560" s="116"/>
      <c r="BJ560" s="116"/>
      <c r="BK560" s="116"/>
      <c r="BL560" s="116"/>
      <c r="BM560" s="116"/>
      <c r="BN560" s="116"/>
      <c r="BO560" s="116"/>
      <c r="BP560" s="116"/>
      <c r="BQ560" s="116"/>
      <c r="BR560" s="116"/>
      <c r="BS560" s="116"/>
      <c r="BT560" s="116"/>
      <c r="BU560" s="116"/>
      <c r="BV560" s="116"/>
      <c r="BW560" s="116"/>
      <c r="BX560" s="116"/>
      <c r="BY560" s="116"/>
      <c r="BZ560" s="116"/>
      <c r="CA560" s="116"/>
      <c r="CB560" s="116"/>
      <c r="CC560" s="50" t="s">
        <v>24230</v>
      </c>
      <c r="CD560" s="145">
        <v>43868.0</v>
      </c>
      <c r="CE560" s="50">
        <v>1.0</v>
      </c>
      <c r="CF560" s="50" t="s">
        <v>22338</v>
      </c>
      <c r="CG560" s="117">
        <v>8417.0</v>
      </c>
      <c r="CH560" s="50" t="s">
        <v>24237</v>
      </c>
      <c r="CI560" s="50" t="s">
        <v>24238</v>
      </c>
      <c r="CJ560" s="117">
        <v>559.0</v>
      </c>
    </row>
    <row r="561">
      <c r="A561" s="50" t="s">
        <v>24240</v>
      </c>
      <c r="B561" s="50" t="s">
        <v>6876</v>
      </c>
      <c r="C561" s="50" t="s">
        <v>6877</v>
      </c>
      <c r="D561" s="50" t="s">
        <v>8493</v>
      </c>
      <c r="E561" s="50" t="s">
        <v>24242</v>
      </c>
      <c r="F561" s="50">
        <v>58.0</v>
      </c>
      <c r="G561" s="50">
        <v>1.0</v>
      </c>
      <c r="H561" s="50">
        <v>11.0</v>
      </c>
      <c r="I561" s="116"/>
      <c r="J561" s="116"/>
      <c r="K561" s="50" t="s">
        <v>4876</v>
      </c>
      <c r="L561" s="50" t="s">
        <v>4876</v>
      </c>
      <c r="M561" s="50" t="s">
        <v>18016</v>
      </c>
      <c r="N561" s="50" t="s">
        <v>24075</v>
      </c>
      <c r="O561" s="50" t="s">
        <v>24076</v>
      </c>
      <c r="P561" s="50">
        <v>4.0</v>
      </c>
      <c r="Q561" s="116"/>
      <c r="R561" s="116"/>
      <c r="S561" s="50">
        <v>7.0</v>
      </c>
      <c r="T561" s="50">
        <v>1000.0</v>
      </c>
      <c r="U561" s="50">
        <v>1.0</v>
      </c>
      <c r="V561" s="116"/>
      <c r="W561" s="50">
        <v>7.0</v>
      </c>
      <c r="X561" s="50">
        <v>100.0</v>
      </c>
      <c r="Y561" s="50">
        <v>3.0</v>
      </c>
      <c r="Z561" s="50">
        <v>89.0</v>
      </c>
      <c r="AA561" s="50">
        <v>1.0</v>
      </c>
      <c r="AB561" s="50">
        <v>4.0</v>
      </c>
      <c r="AC561" s="50">
        <v>1000.0</v>
      </c>
      <c r="AD561" s="50">
        <v>3.0</v>
      </c>
      <c r="AE561" s="50">
        <v>2.0</v>
      </c>
      <c r="AF561" s="116"/>
      <c r="AG561" s="116"/>
      <c r="AH561" s="50">
        <v>7.0</v>
      </c>
      <c r="AI561" s="50">
        <v>5000.0</v>
      </c>
      <c r="AJ561" s="50">
        <v>3.0</v>
      </c>
      <c r="AK561" s="50">
        <v>1.0</v>
      </c>
      <c r="AL561" s="50">
        <v>7.0</v>
      </c>
      <c r="AM561" s="50">
        <v>1000.0</v>
      </c>
      <c r="AN561" s="50">
        <v>3.0</v>
      </c>
      <c r="AO561" s="50">
        <v>0.0</v>
      </c>
      <c r="AP561" s="50">
        <v>1.0</v>
      </c>
      <c r="AQ561" s="50">
        <v>7.0</v>
      </c>
      <c r="AR561" s="50">
        <v>100.0</v>
      </c>
      <c r="AS561" s="50">
        <v>3.0</v>
      </c>
      <c r="AT561" s="50">
        <v>0.0</v>
      </c>
      <c r="AU561" s="50">
        <v>0.0</v>
      </c>
      <c r="AV561" s="116"/>
      <c r="AW561" s="116"/>
      <c r="AX561" s="116"/>
      <c r="AY561" s="116"/>
      <c r="AZ561" s="116"/>
      <c r="BA561" s="116"/>
      <c r="BB561" s="116"/>
      <c r="BC561" s="116"/>
      <c r="BD561" s="116"/>
      <c r="BE561" s="116"/>
      <c r="BF561" s="116"/>
      <c r="BG561" s="116"/>
      <c r="BH561" s="116"/>
      <c r="BI561" s="116"/>
      <c r="BJ561" s="116"/>
      <c r="BK561" s="116"/>
      <c r="BL561" s="116"/>
      <c r="BM561" s="116"/>
      <c r="BN561" s="116"/>
      <c r="BO561" s="116"/>
      <c r="BP561" s="116"/>
      <c r="BQ561" s="116"/>
      <c r="BR561" s="116"/>
      <c r="BS561" s="116"/>
      <c r="BT561" s="116"/>
      <c r="BU561" s="116"/>
      <c r="BV561" s="116"/>
      <c r="BW561" s="116"/>
      <c r="BX561" s="116"/>
      <c r="BY561" s="116"/>
      <c r="BZ561" s="116"/>
      <c r="CA561" s="116"/>
      <c r="CB561" s="116"/>
      <c r="CC561" s="50" t="s">
        <v>24268</v>
      </c>
      <c r="CD561" s="145">
        <v>43868.0</v>
      </c>
      <c r="CE561" s="50">
        <v>1.0</v>
      </c>
      <c r="CF561" s="50" t="s">
        <v>22338</v>
      </c>
      <c r="CG561" s="117">
        <v>8418.0</v>
      </c>
      <c r="CH561" s="50" t="s">
        <v>24270</v>
      </c>
      <c r="CI561" s="50" t="s">
        <v>24271</v>
      </c>
      <c r="CJ561" s="117">
        <v>560.0</v>
      </c>
    </row>
    <row r="562">
      <c r="A562" s="50" t="s">
        <v>24272</v>
      </c>
      <c r="B562" s="50" t="s">
        <v>6876</v>
      </c>
      <c r="C562" s="50" t="s">
        <v>6877</v>
      </c>
      <c r="D562" s="50" t="s">
        <v>8493</v>
      </c>
      <c r="E562" s="50" t="s">
        <v>24273</v>
      </c>
      <c r="F562" s="50">
        <v>58.0</v>
      </c>
      <c r="G562" s="50">
        <v>1.0</v>
      </c>
      <c r="H562" s="50">
        <v>7.0</v>
      </c>
      <c r="I562" s="116"/>
      <c r="J562" s="116"/>
      <c r="K562" s="50" t="s">
        <v>4915</v>
      </c>
      <c r="L562" s="50" t="s">
        <v>4915</v>
      </c>
      <c r="M562" s="50" t="s">
        <v>18016</v>
      </c>
      <c r="N562" s="50" t="s">
        <v>24075</v>
      </c>
      <c r="O562" s="50" t="s">
        <v>24076</v>
      </c>
      <c r="P562" s="116"/>
      <c r="Q562" s="116"/>
      <c r="R562" s="116"/>
      <c r="S562" s="50">
        <v>7.0</v>
      </c>
      <c r="T562" s="50">
        <v>1000.0</v>
      </c>
      <c r="U562" s="50">
        <v>1.0</v>
      </c>
      <c r="V562" s="116"/>
      <c r="W562" s="50">
        <v>7.0</v>
      </c>
      <c r="X562" s="50">
        <v>100.0</v>
      </c>
      <c r="Y562" s="50">
        <v>3.0</v>
      </c>
      <c r="Z562" s="50">
        <v>42.0</v>
      </c>
      <c r="AA562" s="50">
        <v>1.0</v>
      </c>
      <c r="AB562" s="50">
        <v>4.0</v>
      </c>
      <c r="AC562" s="50">
        <v>1000.0</v>
      </c>
      <c r="AD562" s="50">
        <v>3.0</v>
      </c>
      <c r="AE562" s="50">
        <v>1.0</v>
      </c>
      <c r="AF562" s="116"/>
      <c r="AG562" s="116"/>
      <c r="AH562" s="50">
        <v>7.0</v>
      </c>
      <c r="AI562" s="50">
        <v>5000.0</v>
      </c>
      <c r="AJ562" s="50">
        <v>3.0</v>
      </c>
      <c r="AK562" s="50">
        <v>0.0</v>
      </c>
      <c r="AL562" s="50">
        <v>7.0</v>
      </c>
      <c r="AM562" s="50">
        <v>1000.0</v>
      </c>
      <c r="AN562" s="50">
        <v>3.0</v>
      </c>
      <c r="AO562" s="50">
        <v>0.0</v>
      </c>
      <c r="AP562" s="50">
        <v>1.0</v>
      </c>
      <c r="AQ562" s="50">
        <v>7.0</v>
      </c>
      <c r="AR562" s="50">
        <v>100.0</v>
      </c>
      <c r="AS562" s="50">
        <v>3.0</v>
      </c>
      <c r="AT562" s="50">
        <v>0.0</v>
      </c>
      <c r="AU562" s="50">
        <v>0.0</v>
      </c>
      <c r="AV562" s="116"/>
      <c r="AW562" s="116"/>
      <c r="AX562" s="116"/>
      <c r="AY562" s="116"/>
      <c r="AZ562" s="116"/>
      <c r="BA562" s="116"/>
      <c r="BB562" s="116"/>
      <c r="BC562" s="116"/>
      <c r="BD562" s="116"/>
      <c r="BE562" s="116"/>
      <c r="BF562" s="116"/>
      <c r="BG562" s="116"/>
      <c r="BH562" s="116"/>
      <c r="BI562" s="116"/>
      <c r="BJ562" s="116"/>
      <c r="BK562" s="116"/>
      <c r="BL562" s="116"/>
      <c r="BM562" s="116"/>
      <c r="BN562" s="116"/>
      <c r="BO562" s="116"/>
      <c r="BP562" s="116"/>
      <c r="BQ562" s="116"/>
      <c r="BR562" s="116"/>
      <c r="BS562" s="116"/>
      <c r="BT562" s="116"/>
      <c r="BU562" s="116"/>
      <c r="BV562" s="116"/>
      <c r="BW562" s="116"/>
      <c r="BX562" s="116"/>
      <c r="BY562" s="116"/>
      <c r="BZ562" s="116"/>
      <c r="CA562" s="116"/>
      <c r="CB562" s="116"/>
      <c r="CC562" s="50" t="s">
        <v>24025</v>
      </c>
      <c r="CD562" s="145">
        <v>43868.0</v>
      </c>
      <c r="CE562" s="50">
        <v>1.0</v>
      </c>
      <c r="CF562" s="50" t="s">
        <v>22338</v>
      </c>
      <c r="CG562" s="117">
        <v>8419.0</v>
      </c>
      <c r="CH562" s="50" t="s">
        <v>24301</v>
      </c>
      <c r="CI562" s="50" t="s">
        <v>24302</v>
      </c>
      <c r="CJ562" s="117">
        <v>561.0</v>
      </c>
    </row>
    <row r="563">
      <c r="A563" s="50" t="s">
        <v>24304</v>
      </c>
      <c r="B563" s="50" t="s">
        <v>6876</v>
      </c>
      <c r="C563" s="50" t="s">
        <v>6877</v>
      </c>
      <c r="D563" s="50" t="s">
        <v>8493</v>
      </c>
      <c r="E563" s="50" t="s">
        <v>24307</v>
      </c>
      <c r="F563" s="50">
        <v>33.0</v>
      </c>
      <c r="G563" s="50">
        <v>1.0</v>
      </c>
      <c r="H563" s="50">
        <v>97.0</v>
      </c>
      <c r="I563" s="116"/>
      <c r="J563" s="116"/>
      <c r="K563" s="50" t="s">
        <v>436</v>
      </c>
      <c r="L563" s="50" t="s">
        <v>436</v>
      </c>
      <c r="M563" s="50" t="s">
        <v>24312</v>
      </c>
      <c r="N563" s="50" t="s">
        <v>24313</v>
      </c>
      <c r="O563" s="50" t="s">
        <v>24314</v>
      </c>
      <c r="P563" s="116"/>
      <c r="Q563" s="116"/>
      <c r="R563" s="116"/>
      <c r="S563" s="50">
        <v>7.0</v>
      </c>
      <c r="T563" s="50">
        <v>1000.0</v>
      </c>
      <c r="U563" s="50">
        <v>3.0</v>
      </c>
      <c r="V563" s="50">
        <v>43.0</v>
      </c>
      <c r="W563" s="116"/>
      <c r="X563" s="116"/>
      <c r="Y563" s="116"/>
      <c r="Z563" s="116"/>
      <c r="AA563" s="116"/>
      <c r="AB563" s="116"/>
      <c r="AC563" s="116"/>
      <c r="AD563" s="116"/>
      <c r="AE563" s="116"/>
      <c r="AF563" s="116"/>
      <c r="AG563" s="116"/>
      <c r="AH563" s="116"/>
      <c r="AI563" s="116"/>
      <c r="AJ563" s="116"/>
      <c r="AK563" s="116"/>
      <c r="AL563" s="116"/>
      <c r="AM563" s="116"/>
      <c r="AN563" s="116"/>
      <c r="AO563" s="116"/>
      <c r="AP563" s="116"/>
      <c r="AQ563" s="116"/>
      <c r="AR563" s="116"/>
      <c r="AS563" s="116"/>
      <c r="AT563" s="116"/>
      <c r="AU563" s="50">
        <v>0.0</v>
      </c>
      <c r="AV563" s="116"/>
      <c r="AW563" s="116"/>
      <c r="AX563" s="116"/>
      <c r="AY563" s="116"/>
      <c r="AZ563" s="116"/>
      <c r="BA563" s="116"/>
      <c r="BB563" s="116"/>
      <c r="BC563" s="116"/>
      <c r="BD563" s="116"/>
      <c r="BE563" s="116"/>
      <c r="BF563" s="116"/>
      <c r="BG563" s="116"/>
      <c r="BH563" s="116"/>
      <c r="BI563" s="116"/>
      <c r="BJ563" s="116"/>
      <c r="BK563" s="116"/>
      <c r="BL563" s="116"/>
      <c r="BM563" s="116"/>
      <c r="BN563" s="116"/>
      <c r="BO563" s="116"/>
      <c r="BP563" s="116"/>
      <c r="BQ563" s="116"/>
      <c r="BR563" s="116"/>
      <c r="BS563" s="116"/>
      <c r="BT563" s="116"/>
      <c r="BU563" s="116"/>
      <c r="BV563" s="116"/>
      <c r="BW563" s="116"/>
      <c r="BX563" s="116"/>
      <c r="BY563" s="116"/>
      <c r="BZ563" s="116"/>
      <c r="CA563" s="116"/>
      <c r="CB563" s="116"/>
      <c r="CC563" s="116"/>
      <c r="CD563" s="145">
        <v>43868.0</v>
      </c>
      <c r="CE563" s="50">
        <v>1.0</v>
      </c>
      <c r="CF563" s="50" t="s">
        <v>22338</v>
      </c>
      <c r="CG563" s="117">
        <v>8420.0</v>
      </c>
      <c r="CH563" s="50" t="s">
        <v>24339</v>
      </c>
      <c r="CI563" s="50" t="s">
        <v>24343</v>
      </c>
      <c r="CJ563" s="117">
        <v>562.0</v>
      </c>
    </row>
    <row r="564">
      <c r="A564" s="50" t="s">
        <v>24344</v>
      </c>
      <c r="B564" s="50" t="s">
        <v>6876</v>
      </c>
      <c r="C564" s="50" t="s">
        <v>6877</v>
      </c>
      <c r="D564" s="50" t="s">
        <v>8493</v>
      </c>
      <c r="E564" s="50" t="s">
        <v>24347</v>
      </c>
      <c r="F564" s="50">
        <v>33.0</v>
      </c>
      <c r="G564" s="50">
        <v>1.0</v>
      </c>
      <c r="H564" s="50">
        <v>97.0</v>
      </c>
      <c r="I564" s="116"/>
      <c r="J564" s="116"/>
      <c r="K564" s="50" t="s">
        <v>15565</v>
      </c>
      <c r="L564" s="50" t="s">
        <v>15565</v>
      </c>
      <c r="M564" s="50" t="s">
        <v>24312</v>
      </c>
      <c r="N564" s="50" t="s">
        <v>24313</v>
      </c>
      <c r="O564" s="50" t="s">
        <v>24314</v>
      </c>
      <c r="P564" s="116"/>
      <c r="Q564" s="116"/>
      <c r="R564" s="116"/>
      <c r="S564" s="116"/>
      <c r="T564" s="116"/>
      <c r="U564" s="116"/>
      <c r="V564" s="116"/>
      <c r="W564" s="116"/>
      <c r="X564" s="116"/>
      <c r="Y564" s="116"/>
      <c r="Z564" s="116"/>
      <c r="AA564" s="116"/>
      <c r="AB564" s="116"/>
      <c r="AC564" s="116"/>
      <c r="AD564" s="116"/>
      <c r="AE564" s="116"/>
      <c r="AF564" s="116"/>
      <c r="AG564" s="116"/>
      <c r="AH564" s="50">
        <v>7.0</v>
      </c>
      <c r="AI564" s="50">
        <v>1000.0</v>
      </c>
      <c r="AJ564" s="50">
        <v>3.0</v>
      </c>
      <c r="AK564" s="50">
        <v>201.0</v>
      </c>
      <c r="AL564" s="116"/>
      <c r="AM564" s="116"/>
      <c r="AN564" s="116"/>
      <c r="AO564" s="116"/>
      <c r="AP564" s="116"/>
      <c r="AQ564" s="116"/>
      <c r="AR564" s="116"/>
      <c r="AS564" s="116"/>
      <c r="AT564" s="116"/>
      <c r="AU564" s="50">
        <v>0.0</v>
      </c>
      <c r="AV564" s="116"/>
      <c r="AW564" s="116"/>
      <c r="AX564" s="116"/>
      <c r="AY564" s="116"/>
      <c r="AZ564" s="116"/>
      <c r="BA564" s="116"/>
      <c r="BB564" s="116"/>
      <c r="BC564" s="116"/>
      <c r="BD564" s="116"/>
      <c r="BE564" s="116"/>
      <c r="BF564" s="116"/>
      <c r="BG564" s="116"/>
      <c r="BH564" s="116"/>
      <c r="BI564" s="116"/>
      <c r="BJ564" s="116"/>
      <c r="BK564" s="116"/>
      <c r="BL564" s="116"/>
      <c r="BM564" s="116"/>
      <c r="BN564" s="116"/>
      <c r="BO564" s="116"/>
      <c r="BP564" s="116"/>
      <c r="BQ564" s="116"/>
      <c r="BR564" s="116"/>
      <c r="BS564" s="116"/>
      <c r="BT564" s="116"/>
      <c r="BU564" s="116"/>
      <c r="BV564" s="116"/>
      <c r="BW564" s="116"/>
      <c r="BX564" s="116"/>
      <c r="BY564" s="116"/>
      <c r="BZ564" s="116"/>
      <c r="CA564" s="116"/>
      <c r="CB564" s="116"/>
      <c r="CC564" s="116"/>
      <c r="CD564" s="145">
        <v>43868.0</v>
      </c>
      <c r="CE564" s="50">
        <v>1.0</v>
      </c>
      <c r="CF564" s="50" t="s">
        <v>22338</v>
      </c>
      <c r="CG564" s="117">
        <v>8421.0</v>
      </c>
      <c r="CH564" s="50" t="s">
        <v>24367</v>
      </c>
      <c r="CI564" s="50" t="s">
        <v>24369</v>
      </c>
      <c r="CJ564" s="117">
        <v>563.0</v>
      </c>
    </row>
    <row r="565">
      <c r="A565" s="50" t="s">
        <v>24372</v>
      </c>
      <c r="B565" s="50" t="s">
        <v>6876</v>
      </c>
      <c r="C565" s="50" t="s">
        <v>6877</v>
      </c>
      <c r="D565" s="50" t="s">
        <v>8493</v>
      </c>
      <c r="E565" s="50" t="s">
        <v>24373</v>
      </c>
      <c r="F565" s="50">
        <v>59.0</v>
      </c>
      <c r="G565" s="50">
        <v>1.0</v>
      </c>
      <c r="H565" s="50">
        <v>11.0</v>
      </c>
      <c r="I565" s="116"/>
      <c r="J565" s="116"/>
      <c r="K565" s="50" t="s">
        <v>4996</v>
      </c>
      <c r="L565" s="50" t="s">
        <v>4996</v>
      </c>
      <c r="M565" s="50" t="s">
        <v>24312</v>
      </c>
      <c r="N565" s="50" t="s">
        <v>24313</v>
      </c>
      <c r="O565" s="50" t="s">
        <v>24314</v>
      </c>
      <c r="P565" s="50">
        <v>4.0</v>
      </c>
      <c r="Q565" s="116"/>
      <c r="R565" s="116"/>
      <c r="S565" s="50">
        <v>7.0</v>
      </c>
      <c r="T565" s="50">
        <v>1000.0</v>
      </c>
      <c r="U565" s="50">
        <v>1.0</v>
      </c>
      <c r="V565" s="116"/>
      <c r="W565" s="50">
        <v>7.0</v>
      </c>
      <c r="X565" s="50">
        <v>100.0</v>
      </c>
      <c r="Y565" s="50">
        <v>1.0</v>
      </c>
      <c r="Z565" s="116"/>
      <c r="AA565" s="50">
        <v>1.0</v>
      </c>
      <c r="AB565" s="50">
        <v>4.0</v>
      </c>
      <c r="AC565" s="50">
        <v>1000.0</v>
      </c>
      <c r="AD565" s="50">
        <v>3.0</v>
      </c>
      <c r="AE565" s="50">
        <v>11.0</v>
      </c>
      <c r="AF565" s="116"/>
      <c r="AG565" s="116"/>
      <c r="AH565" s="50">
        <v>7.0</v>
      </c>
      <c r="AI565" s="50">
        <v>5000.0</v>
      </c>
      <c r="AJ565" s="50">
        <v>3.0</v>
      </c>
      <c r="AK565" s="50">
        <v>0.0</v>
      </c>
      <c r="AL565" s="50">
        <v>7.0</v>
      </c>
      <c r="AM565" s="50">
        <v>1000.0</v>
      </c>
      <c r="AN565" s="50">
        <v>3.0</v>
      </c>
      <c r="AO565" s="50">
        <v>0.0</v>
      </c>
      <c r="AP565" s="50">
        <v>1.0</v>
      </c>
      <c r="AQ565" s="50">
        <v>7.0</v>
      </c>
      <c r="AR565" s="50">
        <v>100.0</v>
      </c>
      <c r="AS565" s="50">
        <v>3.0</v>
      </c>
      <c r="AT565" s="50">
        <v>0.0</v>
      </c>
      <c r="AU565" s="50">
        <v>0.0</v>
      </c>
      <c r="AV565" s="116"/>
      <c r="AW565" s="116"/>
      <c r="AX565" s="116"/>
      <c r="AY565" s="116"/>
      <c r="AZ565" s="116"/>
      <c r="BA565" s="116"/>
      <c r="BB565" s="116"/>
      <c r="BC565" s="116"/>
      <c r="BD565" s="116"/>
      <c r="BE565" s="116"/>
      <c r="BF565" s="116"/>
      <c r="BG565" s="116"/>
      <c r="BH565" s="116"/>
      <c r="BI565" s="116"/>
      <c r="BJ565" s="116"/>
      <c r="BK565" s="116"/>
      <c r="BL565" s="116"/>
      <c r="BM565" s="116"/>
      <c r="BN565" s="116"/>
      <c r="BO565" s="116"/>
      <c r="BP565" s="116"/>
      <c r="BQ565" s="116"/>
      <c r="BR565" s="116"/>
      <c r="BS565" s="116"/>
      <c r="BT565" s="116"/>
      <c r="BU565" s="116"/>
      <c r="BV565" s="116"/>
      <c r="BW565" s="116"/>
      <c r="BX565" s="116"/>
      <c r="BY565" s="116"/>
      <c r="BZ565" s="116"/>
      <c r="CA565" s="116"/>
      <c r="CB565" s="116"/>
      <c r="CC565" s="50" t="s">
        <v>24025</v>
      </c>
      <c r="CD565" s="145">
        <v>43868.0</v>
      </c>
      <c r="CE565" s="50">
        <v>1.0</v>
      </c>
      <c r="CF565" s="50" t="s">
        <v>22338</v>
      </c>
      <c r="CG565" s="117">
        <v>8422.0</v>
      </c>
      <c r="CH565" s="50" t="s">
        <v>24397</v>
      </c>
      <c r="CI565" s="50" t="s">
        <v>24398</v>
      </c>
      <c r="CJ565" s="117">
        <v>564.0</v>
      </c>
    </row>
    <row r="566">
      <c r="A566" s="50" t="s">
        <v>24401</v>
      </c>
      <c r="B566" s="50" t="s">
        <v>6876</v>
      </c>
      <c r="C566" s="50" t="s">
        <v>6877</v>
      </c>
      <c r="D566" s="50" t="s">
        <v>8493</v>
      </c>
      <c r="E566" s="50" t="s">
        <v>24405</v>
      </c>
      <c r="F566" s="50">
        <v>59.0</v>
      </c>
      <c r="G566" s="50">
        <v>1.0</v>
      </c>
      <c r="H566" s="50">
        <v>11.0</v>
      </c>
      <c r="I566" s="116"/>
      <c r="J566" s="116"/>
      <c r="K566" s="50" t="s">
        <v>5038</v>
      </c>
      <c r="L566" s="50" t="s">
        <v>5038</v>
      </c>
      <c r="M566" s="50" t="s">
        <v>24312</v>
      </c>
      <c r="N566" s="50" t="s">
        <v>24313</v>
      </c>
      <c r="O566" s="50" t="s">
        <v>24314</v>
      </c>
      <c r="P566" s="50">
        <v>4.0</v>
      </c>
      <c r="Q566" s="116"/>
      <c r="R566" s="116"/>
      <c r="S566" s="50">
        <v>7.0</v>
      </c>
      <c r="T566" s="50">
        <v>1000.0</v>
      </c>
      <c r="U566" s="50">
        <v>1.0</v>
      </c>
      <c r="V566" s="116"/>
      <c r="W566" s="50">
        <v>7.0</v>
      </c>
      <c r="X566" s="50">
        <v>100.0</v>
      </c>
      <c r="Y566" s="50">
        <v>1.0</v>
      </c>
      <c r="Z566" s="116"/>
      <c r="AA566" s="50">
        <v>1.0</v>
      </c>
      <c r="AB566" s="50">
        <v>4.0</v>
      </c>
      <c r="AC566" s="50">
        <v>1000.0</v>
      </c>
      <c r="AD566" s="50">
        <v>3.0</v>
      </c>
      <c r="AE566" s="50">
        <v>7.0</v>
      </c>
      <c r="AF566" s="116"/>
      <c r="AG566" s="116"/>
      <c r="AH566" s="50">
        <v>7.0</v>
      </c>
      <c r="AI566" s="50">
        <v>5000.0</v>
      </c>
      <c r="AJ566" s="50">
        <v>3.0</v>
      </c>
      <c r="AK566" s="50">
        <v>0.0</v>
      </c>
      <c r="AL566" s="50">
        <v>7.0</v>
      </c>
      <c r="AM566" s="50">
        <v>1000.0</v>
      </c>
      <c r="AN566" s="50">
        <v>3.0</v>
      </c>
      <c r="AO566" s="50">
        <v>0.0</v>
      </c>
      <c r="AP566" s="50">
        <v>1.0</v>
      </c>
      <c r="AQ566" s="50">
        <v>7.0</v>
      </c>
      <c r="AR566" s="50">
        <v>100.0</v>
      </c>
      <c r="AS566" s="50">
        <v>3.0</v>
      </c>
      <c r="AT566" s="50">
        <v>0.0</v>
      </c>
      <c r="AU566" s="50">
        <v>0.0</v>
      </c>
      <c r="AV566" s="116"/>
      <c r="AW566" s="116"/>
      <c r="AX566" s="116"/>
      <c r="AY566" s="116"/>
      <c r="AZ566" s="116"/>
      <c r="BA566" s="116"/>
      <c r="BB566" s="116"/>
      <c r="BC566" s="116"/>
      <c r="BD566" s="116"/>
      <c r="BE566" s="116"/>
      <c r="BF566" s="116"/>
      <c r="BG566" s="116"/>
      <c r="BH566" s="116"/>
      <c r="BI566" s="116"/>
      <c r="BJ566" s="116"/>
      <c r="BK566" s="116"/>
      <c r="BL566" s="116"/>
      <c r="BM566" s="116"/>
      <c r="BN566" s="116"/>
      <c r="BO566" s="116"/>
      <c r="BP566" s="116"/>
      <c r="BQ566" s="116"/>
      <c r="BR566" s="116"/>
      <c r="BS566" s="116"/>
      <c r="BT566" s="116"/>
      <c r="BU566" s="116"/>
      <c r="BV566" s="116"/>
      <c r="BW566" s="116"/>
      <c r="BX566" s="116"/>
      <c r="BY566" s="116"/>
      <c r="BZ566" s="116"/>
      <c r="CA566" s="116"/>
      <c r="CB566" s="116"/>
      <c r="CC566" s="50" t="s">
        <v>24025</v>
      </c>
      <c r="CD566" s="145">
        <v>43868.0</v>
      </c>
      <c r="CE566" s="50">
        <v>1.0</v>
      </c>
      <c r="CF566" s="50" t="s">
        <v>22338</v>
      </c>
      <c r="CG566" s="117">
        <v>8423.0</v>
      </c>
      <c r="CH566" s="50" t="s">
        <v>24435</v>
      </c>
      <c r="CI566" s="50" t="s">
        <v>24436</v>
      </c>
      <c r="CJ566" s="117">
        <v>565.0</v>
      </c>
    </row>
    <row r="567">
      <c r="A567" s="50" t="s">
        <v>24437</v>
      </c>
      <c r="B567" s="50" t="s">
        <v>6876</v>
      </c>
      <c r="C567" s="50" t="s">
        <v>6877</v>
      </c>
      <c r="D567" s="50" t="s">
        <v>8493</v>
      </c>
      <c r="E567" s="50" t="s">
        <v>24438</v>
      </c>
      <c r="F567" s="50">
        <v>59.0</v>
      </c>
      <c r="G567" s="50">
        <v>1.0</v>
      </c>
      <c r="H567" s="50">
        <v>11.0</v>
      </c>
      <c r="I567" s="116"/>
      <c r="J567" s="116"/>
      <c r="K567" s="50" t="s">
        <v>5079</v>
      </c>
      <c r="L567" s="50" t="s">
        <v>5079</v>
      </c>
      <c r="M567" s="50" t="s">
        <v>24312</v>
      </c>
      <c r="N567" s="50" t="s">
        <v>24313</v>
      </c>
      <c r="O567" s="50" t="s">
        <v>24314</v>
      </c>
      <c r="P567" s="50">
        <v>4.0</v>
      </c>
      <c r="Q567" s="116"/>
      <c r="R567" s="116"/>
      <c r="S567" s="50">
        <v>7.0</v>
      </c>
      <c r="T567" s="50">
        <v>1000.0</v>
      </c>
      <c r="U567" s="50">
        <v>1.0</v>
      </c>
      <c r="V567" s="116"/>
      <c r="W567" s="50">
        <v>7.0</v>
      </c>
      <c r="X567" s="50">
        <v>100.0</v>
      </c>
      <c r="Y567" s="50">
        <v>1.0</v>
      </c>
      <c r="Z567" s="116"/>
      <c r="AA567" s="50">
        <v>1.0</v>
      </c>
      <c r="AB567" s="50">
        <v>4.0</v>
      </c>
      <c r="AC567" s="50">
        <v>1000.0</v>
      </c>
      <c r="AD567" s="50">
        <v>3.0</v>
      </c>
      <c r="AE567" s="50">
        <v>42.0</v>
      </c>
      <c r="AF567" s="116"/>
      <c r="AG567" s="116"/>
      <c r="AH567" s="50">
        <v>7.0</v>
      </c>
      <c r="AI567" s="50">
        <v>5000.0</v>
      </c>
      <c r="AJ567" s="50">
        <v>3.0</v>
      </c>
      <c r="AK567" s="50">
        <v>0.0</v>
      </c>
      <c r="AL567" s="50">
        <v>7.0</v>
      </c>
      <c r="AM567" s="50">
        <v>1000.0</v>
      </c>
      <c r="AN567" s="50">
        <v>3.0</v>
      </c>
      <c r="AO567" s="50">
        <v>0.0</v>
      </c>
      <c r="AP567" s="50">
        <v>1.0</v>
      </c>
      <c r="AQ567" s="50">
        <v>7.0</v>
      </c>
      <c r="AR567" s="50">
        <v>100.0</v>
      </c>
      <c r="AS567" s="50">
        <v>3.0</v>
      </c>
      <c r="AT567" s="50">
        <v>0.0</v>
      </c>
      <c r="AU567" s="50">
        <v>0.0</v>
      </c>
      <c r="AV567" s="116"/>
      <c r="AW567" s="116"/>
      <c r="AX567" s="116"/>
      <c r="AY567" s="116"/>
      <c r="AZ567" s="116"/>
      <c r="BA567" s="116"/>
      <c r="BB567" s="116"/>
      <c r="BC567" s="116"/>
      <c r="BD567" s="116"/>
      <c r="BE567" s="116"/>
      <c r="BF567" s="116"/>
      <c r="BG567" s="116"/>
      <c r="BH567" s="116"/>
      <c r="BI567" s="116"/>
      <c r="BJ567" s="116"/>
      <c r="BK567" s="116"/>
      <c r="BL567" s="116"/>
      <c r="BM567" s="116"/>
      <c r="BN567" s="116"/>
      <c r="BO567" s="116"/>
      <c r="BP567" s="116"/>
      <c r="BQ567" s="116"/>
      <c r="BR567" s="116"/>
      <c r="BS567" s="116"/>
      <c r="BT567" s="116"/>
      <c r="BU567" s="116"/>
      <c r="BV567" s="116"/>
      <c r="BW567" s="116"/>
      <c r="BX567" s="116"/>
      <c r="BY567" s="116"/>
      <c r="BZ567" s="116"/>
      <c r="CA567" s="116"/>
      <c r="CB567" s="116"/>
      <c r="CC567" s="50" t="s">
        <v>24455</v>
      </c>
      <c r="CD567" s="145">
        <v>43868.0</v>
      </c>
      <c r="CE567" s="50">
        <v>1.0</v>
      </c>
      <c r="CF567" s="50" t="s">
        <v>22338</v>
      </c>
      <c r="CG567" s="117">
        <v>8424.0</v>
      </c>
      <c r="CH567" s="50" t="s">
        <v>24457</v>
      </c>
      <c r="CI567" s="50" t="s">
        <v>24458</v>
      </c>
      <c r="CJ567" s="117">
        <v>566.0</v>
      </c>
    </row>
    <row r="568">
      <c r="A568" s="50" t="s">
        <v>24459</v>
      </c>
      <c r="B568" s="50" t="s">
        <v>6876</v>
      </c>
      <c r="C568" s="50" t="s">
        <v>6877</v>
      </c>
      <c r="D568" s="50" t="s">
        <v>8493</v>
      </c>
      <c r="E568" s="50" t="s">
        <v>24460</v>
      </c>
      <c r="F568" s="50">
        <v>58.0</v>
      </c>
      <c r="G568" s="50">
        <v>2.0</v>
      </c>
      <c r="H568" s="50">
        <v>14.0</v>
      </c>
      <c r="I568" s="50">
        <v>142.0</v>
      </c>
      <c r="J568" s="116"/>
      <c r="K568" s="50" t="s">
        <v>803</v>
      </c>
      <c r="L568" s="50" t="s">
        <v>803</v>
      </c>
      <c r="M568" s="50" t="s">
        <v>24312</v>
      </c>
      <c r="N568" s="50" t="s">
        <v>24313</v>
      </c>
      <c r="O568" s="50" t="s">
        <v>24314</v>
      </c>
      <c r="P568" s="116"/>
      <c r="Q568" s="116"/>
      <c r="R568" s="116"/>
      <c r="S568" s="50">
        <v>7.0</v>
      </c>
      <c r="T568" s="50">
        <v>1000.0</v>
      </c>
      <c r="U568" s="50">
        <v>3.0</v>
      </c>
      <c r="V568" s="50">
        <v>0.0</v>
      </c>
      <c r="W568" s="50">
        <v>7.0</v>
      </c>
      <c r="X568" s="50">
        <v>100.0</v>
      </c>
      <c r="Y568" s="50">
        <v>3.0</v>
      </c>
      <c r="Z568" s="50">
        <v>0.0</v>
      </c>
      <c r="AA568" s="50">
        <v>0.0</v>
      </c>
      <c r="AB568" s="116"/>
      <c r="AC568" s="116"/>
      <c r="AD568" s="116"/>
      <c r="AE568" s="116"/>
      <c r="AF568" s="116"/>
      <c r="AG568" s="116"/>
      <c r="AH568" s="50">
        <v>7.0</v>
      </c>
      <c r="AI568" s="50">
        <v>5000.0</v>
      </c>
      <c r="AJ568" s="50">
        <v>3.0</v>
      </c>
      <c r="AK568" s="50">
        <v>0.0</v>
      </c>
      <c r="AL568" s="50">
        <v>7.0</v>
      </c>
      <c r="AM568" s="50">
        <v>1000.0</v>
      </c>
      <c r="AN568" s="50">
        <v>3.0</v>
      </c>
      <c r="AO568" s="50">
        <v>0.0</v>
      </c>
      <c r="AP568" s="50">
        <v>1.0</v>
      </c>
      <c r="AQ568" s="50">
        <v>7.0</v>
      </c>
      <c r="AR568" s="50">
        <v>100.0</v>
      </c>
      <c r="AS568" s="50">
        <v>3.0</v>
      </c>
      <c r="AT568" s="50">
        <v>0.0</v>
      </c>
      <c r="AU568" s="50">
        <v>0.0</v>
      </c>
      <c r="AV568" s="116"/>
      <c r="AW568" s="116"/>
      <c r="AX568" s="116"/>
      <c r="AY568" s="116"/>
      <c r="AZ568" s="116"/>
      <c r="BA568" s="116"/>
      <c r="BB568" s="116"/>
      <c r="BC568" s="116"/>
      <c r="BD568" s="116"/>
      <c r="BE568" s="116"/>
      <c r="BF568" s="116"/>
      <c r="BG568" s="116"/>
      <c r="BH568" s="116"/>
      <c r="BI568" s="116"/>
      <c r="BJ568" s="116"/>
      <c r="BK568" s="116"/>
      <c r="BL568" s="116"/>
      <c r="BM568" s="116"/>
      <c r="BN568" s="116"/>
      <c r="BO568" s="116"/>
      <c r="BP568" s="116"/>
      <c r="BQ568" s="116"/>
      <c r="BR568" s="116"/>
      <c r="BS568" s="116"/>
      <c r="BT568" s="116"/>
      <c r="BU568" s="116"/>
      <c r="BV568" s="116"/>
      <c r="BW568" s="116"/>
      <c r="BX568" s="116"/>
      <c r="BY568" s="116"/>
      <c r="BZ568" s="116"/>
      <c r="CA568" s="116"/>
      <c r="CB568" s="116"/>
      <c r="CC568" s="116"/>
      <c r="CD568" s="145">
        <v>43868.0</v>
      </c>
      <c r="CE568" s="50">
        <v>1.0</v>
      </c>
      <c r="CF568" s="50" t="s">
        <v>22338</v>
      </c>
      <c r="CG568" s="117">
        <v>8425.0</v>
      </c>
      <c r="CH568" s="50" t="s">
        <v>24481</v>
      </c>
      <c r="CI568" s="50" t="s">
        <v>24482</v>
      </c>
      <c r="CJ568" s="117">
        <v>567.0</v>
      </c>
    </row>
    <row r="569">
      <c r="A569" s="50" t="s">
        <v>24483</v>
      </c>
      <c r="B569" s="50" t="s">
        <v>6876</v>
      </c>
      <c r="C569" s="50" t="s">
        <v>6877</v>
      </c>
      <c r="D569" s="50" t="s">
        <v>8493</v>
      </c>
      <c r="E569" s="50" t="s">
        <v>24485</v>
      </c>
      <c r="F569" s="50">
        <v>58.0</v>
      </c>
      <c r="G569" s="50">
        <v>2.0</v>
      </c>
      <c r="H569" s="50">
        <v>14.0</v>
      </c>
      <c r="I569" s="50">
        <v>144.0</v>
      </c>
      <c r="J569" s="116"/>
      <c r="K569" s="50" t="s">
        <v>805</v>
      </c>
      <c r="L569" s="50" t="s">
        <v>805</v>
      </c>
      <c r="M569" s="50" t="s">
        <v>24312</v>
      </c>
      <c r="N569" s="50" t="s">
        <v>24313</v>
      </c>
      <c r="O569" s="50" t="s">
        <v>24314</v>
      </c>
      <c r="P569" s="116"/>
      <c r="Q569" s="116"/>
      <c r="R569" s="116"/>
      <c r="S569" s="50">
        <v>7.0</v>
      </c>
      <c r="T569" s="50">
        <v>1000.0</v>
      </c>
      <c r="U569" s="50">
        <v>3.0</v>
      </c>
      <c r="V569" s="50">
        <v>0.0</v>
      </c>
      <c r="W569" s="50">
        <v>7.0</v>
      </c>
      <c r="X569" s="50">
        <v>100.0</v>
      </c>
      <c r="Y569" s="50">
        <v>3.0</v>
      </c>
      <c r="Z569" s="50">
        <v>0.0</v>
      </c>
      <c r="AA569" s="50">
        <v>0.0</v>
      </c>
      <c r="AB569" s="116"/>
      <c r="AC569" s="116"/>
      <c r="AD569" s="116"/>
      <c r="AE569" s="116"/>
      <c r="AF569" s="116"/>
      <c r="AG569" s="116"/>
      <c r="AH569" s="50">
        <v>7.0</v>
      </c>
      <c r="AI569" s="50">
        <v>5000.0</v>
      </c>
      <c r="AJ569" s="50">
        <v>3.0</v>
      </c>
      <c r="AK569" s="50">
        <v>0.0</v>
      </c>
      <c r="AL569" s="50">
        <v>7.0</v>
      </c>
      <c r="AM569" s="50">
        <v>1000.0</v>
      </c>
      <c r="AN569" s="50">
        <v>3.0</v>
      </c>
      <c r="AO569" s="50">
        <v>0.0</v>
      </c>
      <c r="AP569" s="50">
        <v>1.0</v>
      </c>
      <c r="AQ569" s="50">
        <v>7.0</v>
      </c>
      <c r="AR569" s="50">
        <v>100.0</v>
      </c>
      <c r="AS569" s="50">
        <v>3.0</v>
      </c>
      <c r="AT569" s="50">
        <v>0.0</v>
      </c>
      <c r="AU569" s="50">
        <v>0.0</v>
      </c>
      <c r="AV569" s="116"/>
      <c r="AW569" s="116"/>
      <c r="AX569" s="116"/>
      <c r="AY569" s="116"/>
      <c r="AZ569" s="116"/>
      <c r="BA569" s="116"/>
      <c r="BB569" s="116"/>
      <c r="BC569" s="116"/>
      <c r="BD569" s="116"/>
      <c r="BE569" s="116"/>
      <c r="BF569" s="116"/>
      <c r="BG569" s="116"/>
      <c r="BH569" s="116"/>
      <c r="BI569" s="116"/>
      <c r="BJ569" s="116"/>
      <c r="BK569" s="116"/>
      <c r="BL569" s="116"/>
      <c r="BM569" s="116"/>
      <c r="BN569" s="116"/>
      <c r="BO569" s="116"/>
      <c r="BP569" s="116"/>
      <c r="BQ569" s="116"/>
      <c r="BR569" s="116"/>
      <c r="BS569" s="116"/>
      <c r="BT569" s="116"/>
      <c r="BU569" s="116"/>
      <c r="BV569" s="116"/>
      <c r="BW569" s="116"/>
      <c r="BX569" s="116"/>
      <c r="BY569" s="116"/>
      <c r="BZ569" s="116"/>
      <c r="CA569" s="116"/>
      <c r="CB569" s="116"/>
      <c r="CC569" s="50" t="s">
        <v>24506</v>
      </c>
      <c r="CD569" s="145">
        <v>43868.0</v>
      </c>
      <c r="CE569" s="50">
        <v>1.0</v>
      </c>
      <c r="CF569" s="50" t="s">
        <v>22338</v>
      </c>
      <c r="CG569" s="117">
        <v>8426.0</v>
      </c>
      <c r="CH569" s="50" t="s">
        <v>24508</v>
      </c>
      <c r="CI569" s="50" t="s">
        <v>24509</v>
      </c>
      <c r="CJ569" s="117">
        <v>568.0</v>
      </c>
    </row>
    <row r="570">
      <c r="A570" s="50" t="s">
        <v>24510</v>
      </c>
      <c r="B570" s="50" t="s">
        <v>6876</v>
      </c>
      <c r="C570" s="50" t="s">
        <v>6877</v>
      </c>
      <c r="D570" s="50" t="s">
        <v>8493</v>
      </c>
      <c r="E570" s="50" t="s">
        <v>24511</v>
      </c>
      <c r="F570" s="50">
        <v>58.0</v>
      </c>
      <c r="G570" s="50">
        <v>2.0</v>
      </c>
      <c r="H570" s="50">
        <v>14.0</v>
      </c>
      <c r="I570" s="50">
        <v>145.0</v>
      </c>
      <c r="J570" s="116"/>
      <c r="K570" s="50" t="s">
        <v>807</v>
      </c>
      <c r="L570" s="50" t="s">
        <v>807</v>
      </c>
      <c r="M570" s="50" t="s">
        <v>24312</v>
      </c>
      <c r="N570" s="50" t="s">
        <v>24313</v>
      </c>
      <c r="O570" s="50" t="s">
        <v>24314</v>
      </c>
      <c r="P570" s="116"/>
      <c r="Q570" s="116"/>
      <c r="R570" s="116"/>
      <c r="S570" s="50">
        <v>7.0</v>
      </c>
      <c r="T570" s="50">
        <v>1000.0</v>
      </c>
      <c r="U570" s="50">
        <v>3.0</v>
      </c>
      <c r="V570" s="50">
        <v>0.0</v>
      </c>
      <c r="W570" s="50">
        <v>7.0</v>
      </c>
      <c r="X570" s="50">
        <v>100.0</v>
      </c>
      <c r="Y570" s="50">
        <v>3.0</v>
      </c>
      <c r="Z570" s="50">
        <v>0.0</v>
      </c>
      <c r="AA570" s="50">
        <v>0.0</v>
      </c>
      <c r="AB570" s="116"/>
      <c r="AC570" s="116"/>
      <c r="AD570" s="116"/>
      <c r="AE570" s="116"/>
      <c r="AF570" s="116"/>
      <c r="AG570" s="116"/>
      <c r="AH570" s="50">
        <v>7.0</v>
      </c>
      <c r="AI570" s="50">
        <v>5000.0</v>
      </c>
      <c r="AJ570" s="50">
        <v>3.0</v>
      </c>
      <c r="AK570" s="50">
        <v>0.0</v>
      </c>
      <c r="AL570" s="50">
        <v>7.0</v>
      </c>
      <c r="AM570" s="50">
        <v>1000.0</v>
      </c>
      <c r="AN570" s="50">
        <v>3.0</v>
      </c>
      <c r="AO570" s="50">
        <v>0.0</v>
      </c>
      <c r="AP570" s="50">
        <v>1.0</v>
      </c>
      <c r="AQ570" s="50">
        <v>7.0</v>
      </c>
      <c r="AR570" s="50">
        <v>100.0</v>
      </c>
      <c r="AS570" s="50">
        <v>3.0</v>
      </c>
      <c r="AT570" s="50">
        <v>0.0</v>
      </c>
      <c r="AU570" s="50">
        <v>0.0</v>
      </c>
      <c r="AV570" s="116"/>
      <c r="AW570" s="116"/>
      <c r="AX570" s="116"/>
      <c r="AY570" s="116"/>
      <c r="AZ570" s="116"/>
      <c r="BA570" s="116"/>
      <c r="BB570" s="116"/>
      <c r="BC570" s="116"/>
      <c r="BD570" s="116"/>
      <c r="BE570" s="116"/>
      <c r="BF570" s="116"/>
      <c r="BG570" s="116"/>
      <c r="BH570" s="116"/>
      <c r="BI570" s="116"/>
      <c r="BJ570" s="116"/>
      <c r="BK570" s="116"/>
      <c r="BL570" s="116"/>
      <c r="BM570" s="116"/>
      <c r="BN570" s="116"/>
      <c r="BO570" s="116"/>
      <c r="BP570" s="116"/>
      <c r="BQ570" s="116"/>
      <c r="BR570" s="116"/>
      <c r="BS570" s="116"/>
      <c r="BT570" s="116"/>
      <c r="BU570" s="116"/>
      <c r="BV570" s="116"/>
      <c r="BW570" s="116"/>
      <c r="BX570" s="116"/>
      <c r="BY570" s="116"/>
      <c r="BZ570" s="116"/>
      <c r="CA570" s="116"/>
      <c r="CB570" s="116"/>
      <c r="CC570" s="116"/>
      <c r="CD570" s="145">
        <v>43868.0</v>
      </c>
      <c r="CE570" s="50">
        <v>1.0</v>
      </c>
      <c r="CF570" s="50" t="s">
        <v>22338</v>
      </c>
      <c r="CG570" s="117">
        <v>8427.0</v>
      </c>
      <c r="CH570" s="50" t="s">
        <v>24533</v>
      </c>
      <c r="CI570" s="50" t="s">
        <v>24534</v>
      </c>
      <c r="CJ570" s="117">
        <v>569.0</v>
      </c>
    </row>
    <row r="571">
      <c r="A571" s="50" t="s">
        <v>24536</v>
      </c>
      <c r="B571" s="50" t="s">
        <v>6876</v>
      </c>
      <c r="C571" s="50" t="s">
        <v>6877</v>
      </c>
      <c r="D571" s="50" t="s">
        <v>8493</v>
      </c>
      <c r="E571" s="50" t="s">
        <v>24538</v>
      </c>
      <c r="F571" s="50">
        <v>58.0</v>
      </c>
      <c r="G571" s="50">
        <v>2.0</v>
      </c>
      <c r="H571" s="50">
        <v>14.0</v>
      </c>
      <c r="I571" s="50">
        <v>141.0</v>
      </c>
      <c r="J571" s="116"/>
      <c r="K571" s="50" t="s">
        <v>797</v>
      </c>
      <c r="L571" s="50" t="s">
        <v>797</v>
      </c>
      <c r="M571" s="50" t="s">
        <v>24313</v>
      </c>
      <c r="N571" s="50" t="s">
        <v>24543</v>
      </c>
      <c r="O571" s="50" t="s">
        <v>24545</v>
      </c>
      <c r="P571" s="116"/>
      <c r="Q571" s="116"/>
      <c r="R571" s="116"/>
      <c r="S571" s="116"/>
      <c r="T571" s="116"/>
      <c r="U571" s="116"/>
      <c r="V571" s="116"/>
      <c r="W571" s="116"/>
      <c r="X571" s="116"/>
      <c r="Y571" s="116"/>
      <c r="Z571" s="116"/>
      <c r="AA571" s="116"/>
      <c r="AB571" s="116"/>
      <c r="AC571" s="116"/>
      <c r="AD571" s="116"/>
      <c r="AE571" s="116"/>
      <c r="AF571" s="116"/>
      <c r="AG571" s="116"/>
      <c r="AH571" s="116"/>
      <c r="AI571" s="116"/>
      <c r="AJ571" s="116"/>
      <c r="AK571" s="116"/>
      <c r="AL571" s="116"/>
      <c r="AM571" s="116"/>
      <c r="AN571" s="116"/>
      <c r="AO571" s="116"/>
      <c r="AP571" s="116"/>
      <c r="AQ571" s="116"/>
      <c r="AR571" s="116"/>
      <c r="AS571" s="116"/>
      <c r="AT571" s="116"/>
      <c r="AU571" s="50">
        <v>1.0</v>
      </c>
      <c r="AV571" s="50" t="s">
        <v>24543</v>
      </c>
      <c r="AW571" s="50" t="s">
        <v>24552</v>
      </c>
      <c r="AX571" s="116"/>
      <c r="AY571" s="116"/>
      <c r="AZ571" s="50">
        <v>7.0</v>
      </c>
      <c r="BA571" s="50">
        <v>1000.0</v>
      </c>
      <c r="BB571" s="50">
        <v>1.0</v>
      </c>
      <c r="BC571" s="116"/>
      <c r="BD571" s="50">
        <v>7.0</v>
      </c>
      <c r="BE571" s="50">
        <v>100.0</v>
      </c>
      <c r="BF571" s="50">
        <v>3.0</v>
      </c>
      <c r="BG571" s="50">
        <v>105.0</v>
      </c>
      <c r="BH571" s="50">
        <v>0.0</v>
      </c>
      <c r="BI571" s="116"/>
      <c r="BJ571" s="116"/>
      <c r="BK571" s="116"/>
      <c r="BL571" s="116"/>
      <c r="BM571" s="116"/>
      <c r="BN571" s="116"/>
      <c r="BO571" s="50">
        <v>7.0</v>
      </c>
      <c r="BP571" s="50">
        <v>5000.0</v>
      </c>
      <c r="BQ571" s="50">
        <v>3.0</v>
      </c>
      <c r="BR571" s="50">
        <v>0.0</v>
      </c>
      <c r="BS571" s="50">
        <v>7.0</v>
      </c>
      <c r="BT571" s="50">
        <v>1000.0</v>
      </c>
      <c r="BU571" s="50">
        <v>3.0</v>
      </c>
      <c r="BV571" s="50">
        <v>0.0</v>
      </c>
      <c r="BW571" s="50">
        <v>1.0</v>
      </c>
      <c r="BX571" s="50">
        <v>7.0</v>
      </c>
      <c r="BY571" s="50">
        <v>100.0</v>
      </c>
      <c r="BZ571" s="50">
        <v>3.0</v>
      </c>
      <c r="CA571" s="50">
        <v>0.0</v>
      </c>
      <c r="CB571" s="116"/>
      <c r="CC571" s="116"/>
      <c r="CD571" s="145">
        <v>43868.0</v>
      </c>
      <c r="CE571" s="50">
        <v>1.0</v>
      </c>
      <c r="CF571" s="50" t="s">
        <v>22338</v>
      </c>
      <c r="CG571" s="117">
        <v>8428.0</v>
      </c>
      <c r="CH571" s="50" t="s">
        <v>24562</v>
      </c>
      <c r="CI571" s="50" t="s">
        <v>24564</v>
      </c>
      <c r="CJ571" s="117">
        <v>570.0</v>
      </c>
    </row>
    <row r="572">
      <c r="A572" s="50" t="s">
        <v>24566</v>
      </c>
      <c r="B572" s="50" t="s">
        <v>6876</v>
      </c>
      <c r="C572" s="50" t="s">
        <v>6877</v>
      </c>
      <c r="D572" s="50" t="s">
        <v>8493</v>
      </c>
      <c r="E572" s="50" t="s">
        <v>24569</v>
      </c>
      <c r="F572" s="50">
        <v>58.0</v>
      </c>
      <c r="G572" s="50">
        <v>2.0</v>
      </c>
      <c r="H572" s="50">
        <v>14.0</v>
      </c>
      <c r="I572" s="50">
        <v>143.0</v>
      </c>
      <c r="J572" s="116"/>
      <c r="K572" s="50" t="s">
        <v>800</v>
      </c>
      <c r="L572" s="50" t="s">
        <v>800</v>
      </c>
      <c r="M572" s="50" t="s">
        <v>24313</v>
      </c>
      <c r="N572" s="50" t="s">
        <v>24543</v>
      </c>
      <c r="O572" s="50" t="s">
        <v>24552</v>
      </c>
      <c r="P572" s="116"/>
      <c r="Q572" s="116"/>
      <c r="R572" s="116"/>
      <c r="S572" s="116"/>
      <c r="T572" s="116"/>
      <c r="U572" s="116"/>
      <c r="V572" s="116"/>
      <c r="W572" s="116"/>
      <c r="X572" s="116"/>
      <c r="Y572" s="116"/>
      <c r="Z572" s="116"/>
      <c r="AA572" s="116"/>
      <c r="AB572" s="116"/>
      <c r="AC572" s="116"/>
      <c r="AD572" s="116"/>
      <c r="AE572" s="116"/>
      <c r="AF572" s="116"/>
      <c r="AG572" s="116"/>
      <c r="AH572" s="116"/>
      <c r="AI572" s="116"/>
      <c r="AJ572" s="116"/>
      <c r="AK572" s="116"/>
      <c r="AL572" s="116"/>
      <c r="AM572" s="116"/>
      <c r="AN572" s="116"/>
      <c r="AO572" s="116"/>
      <c r="AP572" s="116"/>
      <c r="AQ572" s="116"/>
      <c r="AR572" s="116"/>
      <c r="AS572" s="116"/>
      <c r="AT572" s="116"/>
      <c r="AU572" s="50">
        <v>1.0</v>
      </c>
      <c r="AV572" s="50" t="s">
        <v>24543</v>
      </c>
      <c r="AW572" s="50" t="s">
        <v>24552</v>
      </c>
      <c r="AX572" s="116"/>
      <c r="AY572" s="116"/>
      <c r="AZ572" s="50">
        <v>7.0</v>
      </c>
      <c r="BA572" s="50">
        <v>1000.0</v>
      </c>
      <c r="BB572" s="50">
        <v>1.0</v>
      </c>
      <c r="BC572" s="116"/>
      <c r="BD572" s="50">
        <v>7.0</v>
      </c>
      <c r="BE572" s="50">
        <v>100.0</v>
      </c>
      <c r="BF572" s="50">
        <v>1.0</v>
      </c>
      <c r="BG572" s="116"/>
      <c r="BH572" s="50">
        <v>0.0</v>
      </c>
      <c r="BI572" s="116"/>
      <c r="BJ572" s="116"/>
      <c r="BK572" s="116"/>
      <c r="BL572" s="116"/>
      <c r="BM572" s="116"/>
      <c r="BN572" s="116"/>
      <c r="BO572" s="50">
        <v>7.0</v>
      </c>
      <c r="BP572" s="50">
        <v>5000.0</v>
      </c>
      <c r="BQ572" s="50">
        <v>4.0</v>
      </c>
      <c r="BR572" s="116"/>
      <c r="BS572" s="50">
        <v>7.0</v>
      </c>
      <c r="BT572" s="50">
        <v>1000.0</v>
      </c>
      <c r="BU572" s="50">
        <v>3.0</v>
      </c>
      <c r="BV572" s="50">
        <v>0.0</v>
      </c>
      <c r="BW572" s="50">
        <v>1.0</v>
      </c>
      <c r="BX572" s="50">
        <v>7.0</v>
      </c>
      <c r="BY572" s="50">
        <v>100.0</v>
      </c>
      <c r="BZ572" s="50">
        <v>3.0</v>
      </c>
      <c r="CA572" s="50">
        <v>0.0</v>
      </c>
      <c r="CB572" s="116"/>
      <c r="CC572" s="116"/>
      <c r="CD572" s="145">
        <v>43868.0</v>
      </c>
      <c r="CE572" s="50">
        <v>1.0</v>
      </c>
      <c r="CF572" s="50" t="s">
        <v>22338</v>
      </c>
      <c r="CG572" s="117">
        <v>8429.0</v>
      </c>
      <c r="CH572" s="50" t="s">
        <v>24585</v>
      </c>
      <c r="CI572" s="50" t="s">
        <v>24586</v>
      </c>
      <c r="CJ572" s="117">
        <v>571.0</v>
      </c>
    </row>
    <row r="573">
      <c r="A573" s="50" t="s">
        <v>24590</v>
      </c>
      <c r="B573" s="50" t="s">
        <v>6876</v>
      </c>
      <c r="C573" s="50" t="s">
        <v>6877</v>
      </c>
      <c r="D573" s="50" t="s">
        <v>8493</v>
      </c>
      <c r="E573" s="50" t="s">
        <v>24593</v>
      </c>
      <c r="F573" s="50">
        <v>33.0</v>
      </c>
      <c r="G573" s="50">
        <v>1.0</v>
      </c>
      <c r="H573" s="50">
        <v>97.0</v>
      </c>
      <c r="I573" s="116"/>
      <c r="J573" s="116"/>
      <c r="K573" s="50" t="s">
        <v>436</v>
      </c>
      <c r="L573" s="50" t="s">
        <v>436</v>
      </c>
      <c r="M573" s="50" t="s">
        <v>24313</v>
      </c>
      <c r="N573" s="50" t="s">
        <v>24543</v>
      </c>
      <c r="O573" s="50" t="s">
        <v>24552</v>
      </c>
      <c r="P573" s="116"/>
      <c r="Q573" s="116"/>
      <c r="R573" s="116"/>
      <c r="S573" s="50">
        <v>7.0</v>
      </c>
      <c r="T573" s="116"/>
      <c r="U573" s="116"/>
      <c r="V573" s="116"/>
      <c r="W573" s="116"/>
      <c r="X573" s="116"/>
      <c r="Y573" s="116"/>
      <c r="Z573" s="116"/>
      <c r="AA573" s="116"/>
      <c r="AB573" s="116"/>
      <c r="AC573" s="116"/>
      <c r="AD573" s="116"/>
      <c r="AE573" s="116"/>
      <c r="AF573" s="116"/>
      <c r="AG573" s="116"/>
      <c r="AH573" s="116"/>
      <c r="AI573" s="116"/>
      <c r="AJ573" s="116"/>
      <c r="AK573" s="116"/>
      <c r="AL573" s="116"/>
      <c r="AM573" s="116"/>
      <c r="AN573" s="116"/>
      <c r="AO573" s="116"/>
      <c r="AP573" s="116"/>
      <c r="AQ573" s="116"/>
      <c r="AR573" s="116"/>
      <c r="AS573" s="116"/>
      <c r="AT573" s="116"/>
      <c r="AU573" s="50">
        <v>1.0</v>
      </c>
      <c r="AV573" s="50" t="s">
        <v>24543</v>
      </c>
      <c r="AW573" s="50" t="s">
        <v>24552</v>
      </c>
      <c r="AX573" s="116"/>
      <c r="AY573" s="116"/>
      <c r="AZ573" s="50">
        <v>7.0</v>
      </c>
      <c r="BA573" s="50">
        <v>1000.0</v>
      </c>
      <c r="BB573" s="50">
        <v>3.0</v>
      </c>
      <c r="BC573" s="50">
        <v>111.0</v>
      </c>
      <c r="BD573" s="116"/>
      <c r="BE573" s="116"/>
      <c r="BF573" s="116"/>
      <c r="BG573" s="116"/>
      <c r="BH573" s="116"/>
      <c r="BI573" s="116"/>
      <c r="BJ573" s="116"/>
      <c r="BK573" s="116"/>
      <c r="BL573" s="116"/>
      <c r="BM573" s="116"/>
      <c r="BN573" s="116"/>
      <c r="BO573" s="116"/>
      <c r="BP573" s="116"/>
      <c r="BQ573" s="116"/>
      <c r="BR573" s="116"/>
      <c r="BS573" s="116"/>
      <c r="BT573" s="116"/>
      <c r="BU573" s="116"/>
      <c r="BV573" s="116"/>
      <c r="BW573" s="116"/>
      <c r="BX573" s="116"/>
      <c r="BY573" s="116"/>
      <c r="BZ573" s="116"/>
      <c r="CA573" s="116"/>
      <c r="CB573" s="116"/>
      <c r="CC573" s="116"/>
      <c r="CD573" s="145">
        <v>43868.0</v>
      </c>
      <c r="CE573" s="50">
        <v>1.0</v>
      </c>
      <c r="CF573" s="50" t="s">
        <v>22338</v>
      </c>
      <c r="CG573" s="117">
        <v>8430.0</v>
      </c>
      <c r="CH573" s="50" t="s">
        <v>24612</v>
      </c>
      <c r="CI573" s="50" t="s">
        <v>24613</v>
      </c>
      <c r="CJ573" s="117">
        <v>572.0</v>
      </c>
    </row>
    <row r="574">
      <c r="A574" s="50" t="s">
        <v>24615</v>
      </c>
      <c r="B574" s="50" t="s">
        <v>6876</v>
      </c>
      <c r="C574" s="50" t="s">
        <v>6877</v>
      </c>
      <c r="D574" s="50" t="s">
        <v>8493</v>
      </c>
      <c r="E574" s="50" t="s">
        <v>24619</v>
      </c>
      <c r="F574" s="50">
        <v>33.0</v>
      </c>
      <c r="G574" s="50">
        <v>1.0</v>
      </c>
      <c r="H574" s="50">
        <v>97.0</v>
      </c>
      <c r="I574" s="116"/>
      <c r="J574" s="116"/>
      <c r="K574" s="50" t="s">
        <v>15565</v>
      </c>
      <c r="L574" s="50" t="s">
        <v>15565</v>
      </c>
      <c r="M574" s="50" t="s">
        <v>24313</v>
      </c>
      <c r="N574" s="50" t="s">
        <v>24543</v>
      </c>
      <c r="O574" s="50" t="s">
        <v>24552</v>
      </c>
      <c r="P574" s="116"/>
      <c r="Q574" s="116"/>
      <c r="R574" s="116"/>
      <c r="S574" s="116"/>
      <c r="T574" s="116"/>
      <c r="U574" s="116"/>
      <c r="V574" s="116"/>
      <c r="W574" s="116"/>
      <c r="X574" s="116"/>
      <c r="Y574" s="116"/>
      <c r="Z574" s="116"/>
      <c r="AA574" s="116"/>
      <c r="AB574" s="116"/>
      <c r="AC574" s="116"/>
      <c r="AD574" s="116"/>
      <c r="AE574" s="116"/>
      <c r="AF574" s="116"/>
      <c r="AG574" s="116"/>
      <c r="AH574" s="116"/>
      <c r="AI574" s="116"/>
      <c r="AJ574" s="116"/>
      <c r="AK574" s="116"/>
      <c r="AL574" s="116"/>
      <c r="AM574" s="116"/>
      <c r="AN574" s="116"/>
      <c r="AO574" s="116"/>
      <c r="AP574" s="116"/>
      <c r="AQ574" s="116"/>
      <c r="AR574" s="116"/>
      <c r="AS574" s="116"/>
      <c r="AT574" s="116"/>
      <c r="AU574" s="50">
        <v>1.0</v>
      </c>
      <c r="AV574" s="50" t="s">
        <v>24543</v>
      </c>
      <c r="AW574" s="50" t="s">
        <v>24552</v>
      </c>
      <c r="AX574" s="116"/>
      <c r="AY574" s="116"/>
      <c r="AZ574" s="116"/>
      <c r="BA574" s="116"/>
      <c r="BB574" s="116"/>
      <c r="BC574" s="116"/>
      <c r="BD574" s="116"/>
      <c r="BE574" s="116"/>
      <c r="BF574" s="116"/>
      <c r="BG574" s="116"/>
      <c r="BH574" s="116"/>
      <c r="BI574" s="116"/>
      <c r="BJ574" s="116"/>
      <c r="BK574" s="116"/>
      <c r="BL574" s="116"/>
      <c r="BM574" s="116"/>
      <c r="BN574" s="116"/>
      <c r="BO574" s="50">
        <v>7.0</v>
      </c>
      <c r="BP574" s="50">
        <v>1000.0</v>
      </c>
      <c r="BQ574" s="50">
        <v>1.0</v>
      </c>
      <c r="BR574" s="116"/>
      <c r="BS574" s="116"/>
      <c r="BT574" s="116"/>
      <c r="BU574" s="116"/>
      <c r="BV574" s="116"/>
      <c r="BW574" s="116"/>
      <c r="BX574" s="116"/>
      <c r="BY574" s="116"/>
      <c r="BZ574" s="116"/>
      <c r="CA574" s="116"/>
      <c r="CB574" s="116"/>
      <c r="CC574" s="50" t="s">
        <v>24638</v>
      </c>
      <c r="CD574" s="145">
        <v>43868.0</v>
      </c>
      <c r="CE574" s="50">
        <v>1.0</v>
      </c>
      <c r="CF574" s="50" t="s">
        <v>22338</v>
      </c>
      <c r="CG574" s="117">
        <v>8431.0</v>
      </c>
      <c r="CH574" s="50" t="s">
        <v>24641</v>
      </c>
      <c r="CI574" s="50" t="s">
        <v>24642</v>
      </c>
      <c r="CJ574" s="117">
        <v>573.0</v>
      </c>
    </row>
    <row r="575">
      <c r="A575" s="1" t="s">
        <v>24646</v>
      </c>
      <c r="B575" s="1" t="s">
        <v>6876</v>
      </c>
      <c r="C575" s="1" t="s">
        <v>6877</v>
      </c>
      <c r="D575" s="1" t="s">
        <v>8493</v>
      </c>
      <c r="E575" s="1" t="s">
        <v>24649</v>
      </c>
      <c r="F575" s="1">
        <v>59.0</v>
      </c>
      <c r="G575" s="1">
        <v>1.0</v>
      </c>
      <c r="H575" s="1">
        <v>11.0</v>
      </c>
      <c r="K575" s="1" t="s">
        <v>5350</v>
      </c>
      <c r="L575" s="1" t="s">
        <v>5350</v>
      </c>
      <c r="M575" s="1" t="s">
        <v>18269</v>
      </c>
      <c r="N575" s="1" t="s">
        <v>18274</v>
      </c>
      <c r="O575" s="1" t="s">
        <v>24652</v>
      </c>
      <c r="P575" s="1">
        <v>4.0</v>
      </c>
      <c r="S575" s="1">
        <v>7.0</v>
      </c>
      <c r="T575" s="1">
        <v>1000.0</v>
      </c>
      <c r="U575" s="1">
        <v>1.0</v>
      </c>
      <c r="W575" s="1">
        <v>7.0</v>
      </c>
      <c r="X575" s="1">
        <v>100.0</v>
      </c>
      <c r="Y575" s="1">
        <v>3.0</v>
      </c>
      <c r="Z575" s="1">
        <v>98.0</v>
      </c>
      <c r="AA575" s="1">
        <v>1.0</v>
      </c>
      <c r="AB575" s="1">
        <v>4.0</v>
      </c>
      <c r="AC575" s="1">
        <v>1000.0</v>
      </c>
      <c r="AD575" s="1">
        <v>3.0</v>
      </c>
      <c r="AE575" s="1">
        <v>1.0</v>
      </c>
      <c r="AH575" s="1">
        <v>7.0</v>
      </c>
      <c r="AI575" s="1">
        <v>5000.0</v>
      </c>
      <c r="AJ575" s="1">
        <v>3.0</v>
      </c>
      <c r="AK575" s="1">
        <v>0.0</v>
      </c>
      <c r="AL575" s="1">
        <v>7.0</v>
      </c>
      <c r="AM575" s="1">
        <v>1000.0</v>
      </c>
      <c r="AN575" s="1">
        <v>3.0</v>
      </c>
      <c r="AO575" s="1">
        <v>0.0</v>
      </c>
      <c r="AP575" s="1">
        <v>1.0</v>
      </c>
      <c r="AQ575" s="1">
        <v>7.0</v>
      </c>
      <c r="AR575" s="1">
        <v>100.0</v>
      </c>
      <c r="AS575" s="1">
        <v>3.0</v>
      </c>
      <c r="AT575" s="1">
        <v>0.0</v>
      </c>
      <c r="AU575" s="1">
        <v>0.0</v>
      </c>
      <c r="CC575" s="1" t="s">
        <v>24660</v>
      </c>
      <c r="CD575" s="153">
        <v>43868.0</v>
      </c>
      <c r="CE575" s="1">
        <v>1.0</v>
      </c>
      <c r="CF575" s="1" t="s">
        <v>22338</v>
      </c>
      <c r="CG575" s="121">
        <v>8845.0</v>
      </c>
      <c r="CH575" s="1" t="s">
        <v>24672</v>
      </c>
      <c r="CI575" s="1" t="s">
        <v>24673</v>
      </c>
      <c r="CJ575" s="121">
        <v>574.0</v>
      </c>
    </row>
    <row r="576">
      <c r="A576" s="1" t="s">
        <v>24649</v>
      </c>
      <c r="B576" s="1" t="s">
        <v>6876</v>
      </c>
      <c r="C576" s="1" t="s">
        <v>6877</v>
      </c>
      <c r="D576" s="1" t="s">
        <v>8493</v>
      </c>
      <c r="E576" s="1" t="s">
        <v>24677</v>
      </c>
      <c r="F576" s="1">
        <v>59.0</v>
      </c>
      <c r="G576" s="1">
        <v>1.0</v>
      </c>
      <c r="H576" s="1">
        <v>11.0</v>
      </c>
      <c r="K576" s="1" t="s">
        <v>5378</v>
      </c>
      <c r="L576" s="1" t="s">
        <v>5378</v>
      </c>
      <c r="M576" s="1" t="s">
        <v>18269</v>
      </c>
      <c r="N576" s="1" t="s">
        <v>18274</v>
      </c>
      <c r="O576" s="1" t="s">
        <v>24652</v>
      </c>
      <c r="P576" s="1">
        <v>4.0</v>
      </c>
      <c r="S576" s="1">
        <v>7.0</v>
      </c>
      <c r="T576" s="1">
        <v>1000.0</v>
      </c>
      <c r="U576" s="1">
        <v>4.0</v>
      </c>
      <c r="W576" s="1">
        <v>7.0</v>
      </c>
      <c r="X576" s="1">
        <v>100.0</v>
      </c>
      <c r="Y576" s="1">
        <v>1.0</v>
      </c>
      <c r="AA576" s="1">
        <v>1.0</v>
      </c>
      <c r="AB576" s="1">
        <v>4.0</v>
      </c>
      <c r="AC576" s="1">
        <v>1000.0</v>
      </c>
      <c r="AD576" s="1">
        <v>3.0</v>
      </c>
      <c r="AE576" s="1">
        <v>2.0</v>
      </c>
      <c r="AH576" s="1">
        <v>7.0</v>
      </c>
      <c r="AI576" s="1">
        <v>5000.0</v>
      </c>
      <c r="AJ576" s="1">
        <v>3.0</v>
      </c>
      <c r="AK576" s="1">
        <v>113.0</v>
      </c>
      <c r="AL576" s="1">
        <v>7.0</v>
      </c>
      <c r="AM576" s="1">
        <v>1000.0</v>
      </c>
      <c r="AN576" s="1">
        <v>3.0</v>
      </c>
      <c r="AO576" s="1">
        <v>20.0</v>
      </c>
      <c r="AP576" s="1">
        <v>1.0</v>
      </c>
      <c r="AQ576" s="1">
        <v>7.0</v>
      </c>
      <c r="AR576" s="1">
        <v>100.0</v>
      </c>
      <c r="AS576" s="1">
        <v>3.0</v>
      </c>
      <c r="AT576" s="1">
        <v>0.0</v>
      </c>
      <c r="AU576" s="1">
        <v>0.0</v>
      </c>
      <c r="CC576" s="1" t="s">
        <v>24660</v>
      </c>
      <c r="CD576" s="153">
        <v>43868.0</v>
      </c>
      <c r="CE576" s="1">
        <v>1.0</v>
      </c>
      <c r="CF576" s="1" t="s">
        <v>22338</v>
      </c>
      <c r="CG576" s="121">
        <v>8846.0</v>
      </c>
      <c r="CH576" s="1" t="s">
        <v>24693</v>
      </c>
      <c r="CI576" s="1" t="s">
        <v>24694</v>
      </c>
      <c r="CJ576" s="121">
        <v>575.0</v>
      </c>
    </row>
    <row r="577">
      <c r="A577" s="1" t="s">
        <v>24677</v>
      </c>
      <c r="B577" s="1" t="s">
        <v>6876</v>
      </c>
      <c r="C577" s="1" t="s">
        <v>6877</v>
      </c>
      <c r="D577" s="1" t="s">
        <v>8493</v>
      </c>
      <c r="E577" s="1" t="s">
        <v>24698</v>
      </c>
      <c r="F577" s="1">
        <v>59.0</v>
      </c>
      <c r="G577" s="1">
        <v>1.0</v>
      </c>
      <c r="H577" s="1">
        <v>11.0</v>
      </c>
      <c r="K577" s="1" t="s">
        <v>5406</v>
      </c>
      <c r="L577" s="1" t="s">
        <v>5406</v>
      </c>
      <c r="M577" s="1" t="s">
        <v>18269</v>
      </c>
      <c r="N577" s="1" t="s">
        <v>18274</v>
      </c>
      <c r="O577" s="1" t="s">
        <v>24652</v>
      </c>
      <c r="P577" s="1">
        <v>4.0</v>
      </c>
      <c r="S577" s="1">
        <v>7.0</v>
      </c>
      <c r="T577" s="1">
        <v>1000.0</v>
      </c>
      <c r="U577" s="1">
        <v>1.0</v>
      </c>
      <c r="W577" s="1">
        <v>7.0</v>
      </c>
      <c r="X577" s="1">
        <v>100.0</v>
      </c>
      <c r="Y577" s="1">
        <v>1.0</v>
      </c>
      <c r="AA577" s="1">
        <v>1.0</v>
      </c>
      <c r="AB577" s="1">
        <v>4.0</v>
      </c>
      <c r="AC577" s="1">
        <v>1000.0</v>
      </c>
      <c r="AD577" s="1">
        <v>3.0</v>
      </c>
      <c r="AE577" s="1">
        <v>1.0</v>
      </c>
      <c r="AH577" s="1">
        <v>7.0</v>
      </c>
      <c r="AI577" s="1">
        <v>5000.0</v>
      </c>
      <c r="AJ577" s="1">
        <v>3.0</v>
      </c>
      <c r="AK577" s="1">
        <v>0.0</v>
      </c>
      <c r="AL577" s="1">
        <v>7.0</v>
      </c>
      <c r="AM577" s="1">
        <v>1000.0</v>
      </c>
      <c r="AN577" s="1">
        <v>3.0</v>
      </c>
      <c r="AO577" s="1">
        <v>0.0</v>
      </c>
      <c r="AP577" s="1">
        <v>1.0</v>
      </c>
      <c r="AQ577" s="1">
        <v>7.0</v>
      </c>
      <c r="AR577" s="1">
        <v>100.0</v>
      </c>
      <c r="AS577" s="1">
        <v>3.0</v>
      </c>
      <c r="AT577" s="1">
        <v>0.0</v>
      </c>
      <c r="AU577" s="1">
        <v>0.0</v>
      </c>
      <c r="CC577" s="1" t="s">
        <v>24707</v>
      </c>
      <c r="CD577" s="153">
        <v>43868.0</v>
      </c>
      <c r="CE577" s="1">
        <v>1.0</v>
      </c>
      <c r="CF577" s="1" t="s">
        <v>22338</v>
      </c>
      <c r="CG577" s="121">
        <v>8847.0</v>
      </c>
      <c r="CH577" s="1" t="s">
        <v>24711</v>
      </c>
      <c r="CI577" s="1" t="s">
        <v>24712</v>
      </c>
      <c r="CJ577" s="121">
        <v>576.0</v>
      </c>
    </row>
    <row r="578">
      <c r="A578" s="1" t="s">
        <v>24698</v>
      </c>
      <c r="B578" s="1" t="s">
        <v>6876</v>
      </c>
      <c r="C578" s="1" t="s">
        <v>6877</v>
      </c>
      <c r="D578" s="1" t="s">
        <v>8493</v>
      </c>
      <c r="E578" s="1" t="s">
        <v>24714</v>
      </c>
      <c r="F578" s="1">
        <v>57.0</v>
      </c>
      <c r="G578" s="1">
        <v>1.0</v>
      </c>
      <c r="H578" s="1">
        <v>16.0</v>
      </c>
      <c r="K578" s="1" t="s">
        <v>5577</v>
      </c>
      <c r="L578" s="1" t="s">
        <v>5577</v>
      </c>
      <c r="M578" s="1" t="s">
        <v>24717</v>
      </c>
      <c r="N578" s="1" t="s">
        <v>18274</v>
      </c>
      <c r="O578" s="1" t="s">
        <v>24652</v>
      </c>
      <c r="S578" s="1">
        <v>7.0</v>
      </c>
      <c r="T578" s="1">
        <v>1000.0</v>
      </c>
      <c r="U578" s="1">
        <v>4.0</v>
      </c>
      <c r="W578" s="1">
        <v>7.0</v>
      </c>
      <c r="X578" s="1">
        <v>100.0</v>
      </c>
      <c r="Y578" s="1">
        <v>1.0</v>
      </c>
      <c r="AA578" s="1">
        <v>1.0</v>
      </c>
      <c r="AB578" s="1">
        <v>4.0</v>
      </c>
      <c r="AC578" s="1">
        <v>1000.0</v>
      </c>
      <c r="AD578" s="1">
        <v>3.0</v>
      </c>
      <c r="AE578" s="1">
        <v>15.0</v>
      </c>
      <c r="AH578" s="1">
        <v>7.0</v>
      </c>
      <c r="AI578" s="1">
        <v>5000.0</v>
      </c>
      <c r="AJ578" s="1">
        <v>1.0</v>
      </c>
      <c r="AL578" s="1">
        <v>7.0</v>
      </c>
      <c r="AM578" s="1">
        <v>1000.0</v>
      </c>
      <c r="AN578" s="1">
        <v>1.0</v>
      </c>
      <c r="AP578" s="1">
        <v>1.0</v>
      </c>
      <c r="AQ578" s="1">
        <v>7.0</v>
      </c>
      <c r="AR578" s="1">
        <v>100.0</v>
      </c>
      <c r="AS578" s="1">
        <v>3.0</v>
      </c>
      <c r="AT578" s="1">
        <v>72.0</v>
      </c>
      <c r="AU578" s="1">
        <v>0.0</v>
      </c>
      <c r="CC578" s="1" t="s">
        <v>24726</v>
      </c>
      <c r="CD578" s="153">
        <v>43868.0</v>
      </c>
      <c r="CE578" s="1">
        <v>1.0</v>
      </c>
      <c r="CF578" s="1" t="s">
        <v>22338</v>
      </c>
      <c r="CG578" s="121">
        <v>8848.0</v>
      </c>
      <c r="CH578" s="1" t="s">
        <v>24730</v>
      </c>
      <c r="CI578" s="1" t="s">
        <v>24732</v>
      </c>
      <c r="CJ578" s="121">
        <v>577.0</v>
      </c>
    </row>
    <row r="579">
      <c r="A579" s="1" t="s">
        <v>24714</v>
      </c>
      <c r="B579" s="1" t="s">
        <v>6876</v>
      </c>
      <c r="C579" s="1" t="s">
        <v>6877</v>
      </c>
      <c r="D579" s="1" t="s">
        <v>8493</v>
      </c>
      <c r="E579" s="1" t="s">
        <v>24735</v>
      </c>
      <c r="F579" s="1">
        <v>58.0</v>
      </c>
      <c r="G579" s="1">
        <v>2.0</v>
      </c>
      <c r="H579" s="1">
        <v>9.0</v>
      </c>
      <c r="K579" s="1" t="s">
        <v>3427</v>
      </c>
      <c r="L579" s="1" t="s">
        <v>3427</v>
      </c>
      <c r="M579" s="1" t="s">
        <v>24717</v>
      </c>
      <c r="N579" s="1" t="s">
        <v>18274</v>
      </c>
      <c r="O579" s="1" t="s">
        <v>24652</v>
      </c>
      <c r="S579" s="1">
        <v>7.0</v>
      </c>
      <c r="T579" s="1">
        <v>1000.0</v>
      </c>
      <c r="U579" s="1">
        <v>3.0</v>
      </c>
      <c r="V579" s="1">
        <v>0.0</v>
      </c>
      <c r="W579" s="1">
        <v>7.0</v>
      </c>
      <c r="X579" s="1">
        <v>100.0</v>
      </c>
      <c r="Y579" s="1">
        <v>3.0</v>
      </c>
      <c r="Z579" s="1">
        <v>0.0</v>
      </c>
      <c r="AA579" s="1">
        <v>0.0</v>
      </c>
      <c r="AH579" s="1">
        <v>7.0</v>
      </c>
      <c r="AI579" s="1">
        <v>5000.0</v>
      </c>
      <c r="AJ579" s="1">
        <v>3.0</v>
      </c>
      <c r="AK579" s="1">
        <v>0.0</v>
      </c>
      <c r="AL579" s="1">
        <v>7.0</v>
      </c>
      <c r="AM579" s="1">
        <v>1000.0</v>
      </c>
      <c r="AN579" s="1">
        <v>3.0</v>
      </c>
      <c r="AO579" s="1">
        <v>0.0</v>
      </c>
      <c r="AP579" s="1">
        <v>1.0</v>
      </c>
      <c r="AQ579" s="1">
        <v>7.0</v>
      </c>
      <c r="AR579" s="1">
        <v>100.0</v>
      </c>
      <c r="AS579" s="1">
        <v>3.0</v>
      </c>
      <c r="AT579" s="1">
        <v>0.0</v>
      </c>
      <c r="AU579" s="1">
        <v>0.0</v>
      </c>
      <c r="CD579" s="153">
        <v>43868.0</v>
      </c>
      <c r="CE579" s="1">
        <v>1.0</v>
      </c>
      <c r="CF579" s="1" t="s">
        <v>22338</v>
      </c>
      <c r="CG579" s="121">
        <v>8849.0</v>
      </c>
      <c r="CH579" s="1" t="s">
        <v>24750</v>
      </c>
      <c r="CI579" s="1" t="s">
        <v>24751</v>
      </c>
      <c r="CJ579" s="121">
        <v>578.0</v>
      </c>
    </row>
    <row r="580">
      <c r="A580" s="1" t="s">
        <v>24735</v>
      </c>
      <c r="B580" s="1" t="s">
        <v>6876</v>
      </c>
      <c r="C580" s="1" t="s">
        <v>6877</v>
      </c>
      <c r="D580" s="1" t="s">
        <v>8493</v>
      </c>
      <c r="E580" s="1" t="s">
        <v>24753</v>
      </c>
      <c r="F580" s="1">
        <v>58.0</v>
      </c>
      <c r="G580" s="1">
        <v>2.0</v>
      </c>
      <c r="H580" s="1">
        <v>2.0</v>
      </c>
      <c r="K580" s="1" t="s">
        <v>347</v>
      </c>
      <c r="L580" s="1" t="s">
        <v>347</v>
      </c>
      <c r="M580" s="1" t="s">
        <v>24717</v>
      </c>
      <c r="N580" s="1" t="s">
        <v>18274</v>
      </c>
      <c r="O580" s="1" t="s">
        <v>24652</v>
      </c>
      <c r="S580" s="1">
        <v>7.0</v>
      </c>
      <c r="T580" s="1">
        <v>1000.0</v>
      </c>
      <c r="U580" s="1">
        <v>3.0</v>
      </c>
      <c r="V580" s="1">
        <v>0.0</v>
      </c>
      <c r="W580" s="1">
        <v>7.0</v>
      </c>
      <c r="X580" s="1">
        <v>100.0</v>
      </c>
      <c r="Y580" s="1">
        <v>3.0</v>
      </c>
      <c r="Z580" s="1">
        <v>0.0</v>
      </c>
      <c r="AA580" s="1">
        <v>0.0</v>
      </c>
      <c r="AH580" s="1">
        <v>7.0</v>
      </c>
      <c r="AI580" s="1">
        <v>5000.0</v>
      </c>
      <c r="AJ580" s="1">
        <v>3.0</v>
      </c>
      <c r="AK580" s="1">
        <v>0.0</v>
      </c>
      <c r="AL580" s="1">
        <v>7.0</v>
      </c>
      <c r="AM580" s="1">
        <v>1000.0</v>
      </c>
      <c r="AN580" s="1">
        <v>3.0</v>
      </c>
      <c r="AO580" s="1">
        <v>0.0</v>
      </c>
      <c r="AP580" s="1">
        <v>1.0</v>
      </c>
      <c r="AQ580" s="1">
        <v>7.0</v>
      </c>
      <c r="AR580" s="1">
        <v>100.0</v>
      </c>
      <c r="AS580" s="1">
        <v>3.0</v>
      </c>
      <c r="AT580" s="1">
        <v>0.0</v>
      </c>
      <c r="AU580" s="1">
        <v>0.0</v>
      </c>
      <c r="CD580" s="153">
        <v>43868.0</v>
      </c>
      <c r="CE580" s="1">
        <v>1.0</v>
      </c>
      <c r="CF580" s="1" t="s">
        <v>22338</v>
      </c>
      <c r="CG580" s="121">
        <v>8850.0</v>
      </c>
      <c r="CH580" s="1" t="s">
        <v>24765</v>
      </c>
      <c r="CI580" s="1" t="s">
        <v>24766</v>
      </c>
      <c r="CJ580" s="121">
        <v>579.0</v>
      </c>
    </row>
    <row r="581">
      <c r="A581" s="1" t="s">
        <v>24768</v>
      </c>
      <c r="B581" s="1" t="s">
        <v>6876</v>
      </c>
      <c r="C581" s="1" t="s">
        <v>6877</v>
      </c>
      <c r="D581" s="1" t="s">
        <v>8493</v>
      </c>
      <c r="E581" s="1" t="s">
        <v>24770</v>
      </c>
      <c r="F581" s="1">
        <v>33.0</v>
      </c>
      <c r="G581" s="1">
        <v>1.0</v>
      </c>
      <c r="H581" s="1">
        <v>97.0</v>
      </c>
      <c r="K581" s="1" t="s">
        <v>24774</v>
      </c>
      <c r="L581" s="1" t="s">
        <v>24774</v>
      </c>
      <c r="M581" s="1" t="s">
        <v>24717</v>
      </c>
      <c r="N581" s="1" t="s">
        <v>18274</v>
      </c>
      <c r="O581" s="1" t="s">
        <v>24652</v>
      </c>
      <c r="S581" s="1">
        <v>10.0</v>
      </c>
      <c r="T581" s="1">
        <v>1000.0</v>
      </c>
      <c r="U581" s="1">
        <v>3.0</v>
      </c>
      <c r="V581" s="1">
        <v>97.0</v>
      </c>
      <c r="AU581" s="1">
        <v>0.0</v>
      </c>
      <c r="CD581" s="153">
        <v>43868.0</v>
      </c>
      <c r="CE581" s="1">
        <v>1.0</v>
      </c>
      <c r="CF581" s="1" t="s">
        <v>22338</v>
      </c>
      <c r="CG581" s="121">
        <v>8851.0</v>
      </c>
      <c r="CH581" s="1" t="s">
        <v>24780</v>
      </c>
      <c r="CI581" s="1" t="s">
        <v>24781</v>
      </c>
      <c r="CJ581" s="121">
        <v>580.0</v>
      </c>
    </row>
    <row r="582">
      <c r="A582" s="1" t="s">
        <v>24770</v>
      </c>
      <c r="B582" s="1" t="s">
        <v>6876</v>
      </c>
      <c r="C582" s="1" t="s">
        <v>6877</v>
      </c>
      <c r="D582" s="1" t="s">
        <v>8493</v>
      </c>
      <c r="E582" s="1" t="s">
        <v>24784</v>
      </c>
      <c r="F582" s="1">
        <v>33.0</v>
      </c>
      <c r="G582" s="1">
        <v>1.0</v>
      </c>
      <c r="H582" s="1">
        <v>97.0</v>
      </c>
      <c r="K582" s="1" t="s">
        <v>24786</v>
      </c>
      <c r="L582" s="1" t="s">
        <v>24786</v>
      </c>
      <c r="M582" s="1" t="s">
        <v>24717</v>
      </c>
      <c r="N582" s="1" t="s">
        <v>18274</v>
      </c>
      <c r="O582" s="1" t="s">
        <v>24652</v>
      </c>
      <c r="S582" s="1">
        <v>10.0</v>
      </c>
      <c r="T582" s="1">
        <v>1000.0</v>
      </c>
      <c r="U582" s="1">
        <v>3.0</v>
      </c>
      <c r="V582" s="1">
        <v>82.0</v>
      </c>
      <c r="AU582" s="1">
        <v>0.0</v>
      </c>
      <c r="CD582" s="153">
        <v>43868.0</v>
      </c>
      <c r="CE582" s="1">
        <v>1.0</v>
      </c>
      <c r="CF582" s="1" t="s">
        <v>22338</v>
      </c>
      <c r="CG582" s="121">
        <v>8852.0</v>
      </c>
      <c r="CH582" s="1" t="s">
        <v>24791</v>
      </c>
      <c r="CI582" s="1" t="s">
        <v>24794</v>
      </c>
      <c r="CJ582" s="121">
        <v>581.0</v>
      </c>
    </row>
    <row r="583">
      <c r="A583" s="1" t="s">
        <v>24795</v>
      </c>
      <c r="B583" s="1" t="s">
        <v>6876</v>
      </c>
      <c r="C583" s="1" t="s">
        <v>6877</v>
      </c>
      <c r="D583" s="1" t="s">
        <v>8493</v>
      </c>
      <c r="E583" s="1" t="s">
        <v>24798</v>
      </c>
      <c r="F583" s="1">
        <v>33.0</v>
      </c>
      <c r="G583" s="1">
        <v>1.0</v>
      </c>
      <c r="H583" s="1">
        <v>97.0</v>
      </c>
      <c r="K583" s="1" t="s">
        <v>24799</v>
      </c>
      <c r="L583" s="1" t="s">
        <v>24799</v>
      </c>
      <c r="M583" s="1" t="s">
        <v>24717</v>
      </c>
      <c r="N583" s="1" t="s">
        <v>18274</v>
      </c>
      <c r="O583" s="1" t="s">
        <v>24652</v>
      </c>
      <c r="AH583" s="1">
        <v>4.0</v>
      </c>
      <c r="AI583" s="1">
        <v>1000.0</v>
      </c>
      <c r="AJ583" s="1">
        <v>3.0</v>
      </c>
      <c r="AK583" s="1">
        <v>213.0</v>
      </c>
      <c r="AU583" s="1">
        <v>0.0</v>
      </c>
      <c r="CD583" s="153">
        <v>43868.0</v>
      </c>
      <c r="CE583" s="1">
        <v>1.0</v>
      </c>
      <c r="CF583" s="1" t="s">
        <v>22338</v>
      </c>
      <c r="CG583" s="121">
        <v>8853.0</v>
      </c>
      <c r="CH583" s="1" t="s">
        <v>24804</v>
      </c>
      <c r="CI583" s="1" t="s">
        <v>24805</v>
      </c>
      <c r="CJ583" s="121">
        <v>582.0</v>
      </c>
    </row>
    <row r="584">
      <c r="A584" s="1" t="s">
        <v>24807</v>
      </c>
      <c r="B584" s="1" t="s">
        <v>6876</v>
      </c>
      <c r="C584" s="1" t="s">
        <v>6877</v>
      </c>
      <c r="D584" s="1" t="s">
        <v>8493</v>
      </c>
      <c r="E584" s="1" t="s">
        <v>24809</v>
      </c>
      <c r="F584" s="1">
        <v>33.0</v>
      </c>
      <c r="G584" s="1">
        <v>1.0</v>
      </c>
      <c r="H584" s="1">
        <v>97.0</v>
      </c>
      <c r="K584" s="1" t="s">
        <v>24812</v>
      </c>
      <c r="L584" s="1" t="s">
        <v>24812</v>
      </c>
      <c r="M584" s="1" t="s">
        <v>24717</v>
      </c>
      <c r="N584" s="1" t="s">
        <v>18274</v>
      </c>
      <c r="O584" s="1" t="s">
        <v>24652</v>
      </c>
      <c r="AH584" s="1">
        <v>4.0</v>
      </c>
      <c r="AI584" s="1">
        <v>1000.0</v>
      </c>
      <c r="AJ584" s="1">
        <v>3.0</v>
      </c>
      <c r="AK584" s="1">
        <v>234.0</v>
      </c>
      <c r="AU584" s="1">
        <v>0.0</v>
      </c>
      <c r="CD584" s="153">
        <v>43868.0</v>
      </c>
      <c r="CE584" s="1">
        <v>1.0</v>
      </c>
      <c r="CF584" s="1" t="s">
        <v>22338</v>
      </c>
      <c r="CG584" s="121">
        <v>8854.0</v>
      </c>
      <c r="CH584" s="1" t="s">
        <v>24816</v>
      </c>
      <c r="CI584" s="1" t="s">
        <v>24817</v>
      </c>
      <c r="CJ584" s="121">
        <v>583.0</v>
      </c>
    </row>
    <row r="585">
      <c r="A585" s="1" t="s">
        <v>24820</v>
      </c>
      <c r="B585" s="1" t="s">
        <v>6876</v>
      </c>
      <c r="C585" s="1" t="s">
        <v>6877</v>
      </c>
      <c r="D585" s="1" t="s">
        <v>8493</v>
      </c>
      <c r="E585" s="1" t="s">
        <v>24822</v>
      </c>
      <c r="F585" s="1">
        <v>33.0</v>
      </c>
      <c r="G585" s="1">
        <v>1.0</v>
      </c>
      <c r="H585" s="1">
        <v>97.0</v>
      </c>
      <c r="K585" s="1" t="s">
        <v>24826</v>
      </c>
      <c r="L585" s="1" t="s">
        <v>24826</v>
      </c>
      <c r="M585" s="1" t="s">
        <v>24717</v>
      </c>
      <c r="N585" s="1" t="s">
        <v>18274</v>
      </c>
      <c r="O585" s="1" t="s">
        <v>24652</v>
      </c>
      <c r="AH585" s="1">
        <v>4.0</v>
      </c>
      <c r="AI585" s="1">
        <v>1000.0</v>
      </c>
      <c r="AJ585" s="1">
        <v>4.0</v>
      </c>
      <c r="AU585" s="1">
        <v>0.0</v>
      </c>
      <c r="CD585" s="153">
        <v>43868.0</v>
      </c>
      <c r="CE585" s="1">
        <v>1.0</v>
      </c>
      <c r="CF585" s="1" t="s">
        <v>22338</v>
      </c>
      <c r="CG585" s="121">
        <v>8855.0</v>
      </c>
      <c r="CH585" s="1" t="s">
        <v>24831</v>
      </c>
      <c r="CI585" s="1" t="s">
        <v>24832</v>
      </c>
      <c r="CJ585" s="121">
        <v>584.0</v>
      </c>
    </row>
    <row r="586">
      <c r="A586" s="1" t="s">
        <v>24833</v>
      </c>
      <c r="B586" s="1" t="s">
        <v>6876</v>
      </c>
      <c r="C586" s="1" t="s">
        <v>6877</v>
      </c>
      <c r="D586" s="1" t="s">
        <v>8493</v>
      </c>
      <c r="E586" s="1" t="s">
        <v>24836</v>
      </c>
      <c r="F586" s="1">
        <v>33.0</v>
      </c>
      <c r="G586" s="1">
        <v>1.0</v>
      </c>
      <c r="H586" s="1">
        <v>97.0</v>
      </c>
      <c r="K586" s="1" t="s">
        <v>24837</v>
      </c>
      <c r="L586" s="1" t="s">
        <v>24837</v>
      </c>
      <c r="M586" s="1" t="s">
        <v>24717</v>
      </c>
      <c r="N586" s="1" t="s">
        <v>18274</v>
      </c>
      <c r="O586" s="1" t="s">
        <v>24652</v>
      </c>
      <c r="AH586" s="1">
        <v>4.0</v>
      </c>
      <c r="AI586" s="1">
        <v>1000.0</v>
      </c>
      <c r="AJ586" s="1">
        <v>3.0</v>
      </c>
      <c r="AK586" s="1">
        <v>192.0</v>
      </c>
      <c r="AU586" s="1">
        <v>0.0</v>
      </c>
      <c r="CD586" s="153">
        <v>43868.0</v>
      </c>
      <c r="CE586" s="1">
        <v>1.0</v>
      </c>
      <c r="CF586" s="1" t="s">
        <v>22338</v>
      </c>
      <c r="CG586" s="121">
        <v>8856.0</v>
      </c>
      <c r="CH586" s="1" t="s">
        <v>24844</v>
      </c>
      <c r="CI586" s="1" t="s">
        <v>24846</v>
      </c>
      <c r="CJ586" s="121">
        <v>585.0</v>
      </c>
    </row>
    <row r="587">
      <c r="A587" s="1" t="s">
        <v>24836</v>
      </c>
      <c r="B587" s="1" t="s">
        <v>6876</v>
      </c>
      <c r="C587" s="1" t="s">
        <v>6877</v>
      </c>
      <c r="D587" s="1" t="s">
        <v>8493</v>
      </c>
      <c r="E587" s="1" t="s">
        <v>24849</v>
      </c>
      <c r="F587" s="1">
        <v>58.0</v>
      </c>
      <c r="G587" s="1">
        <v>2.0</v>
      </c>
      <c r="H587" s="1">
        <v>14.0</v>
      </c>
      <c r="I587" s="1">
        <v>143.0</v>
      </c>
      <c r="K587" s="1" t="s">
        <v>24851</v>
      </c>
      <c r="L587" s="1" t="s">
        <v>24851</v>
      </c>
      <c r="M587" s="1" t="s">
        <v>24717</v>
      </c>
      <c r="N587" s="1" t="s">
        <v>18274</v>
      </c>
      <c r="O587" s="1" t="s">
        <v>24652</v>
      </c>
      <c r="AH587" s="1">
        <v>7.0</v>
      </c>
      <c r="AI587" s="1">
        <v>5000.0</v>
      </c>
      <c r="AJ587" s="1">
        <v>3.0</v>
      </c>
      <c r="AK587" s="1">
        <v>0.0</v>
      </c>
      <c r="AL587" s="1">
        <v>7.0</v>
      </c>
      <c r="AM587" s="1">
        <v>1000.0</v>
      </c>
      <c r="AN587" s="1">
        <v>3.0</v>
      </c>
      <c r="AO587" s="1">
        <v>0.0</v>
      </c>
      <c r="AP587" s="1">
        <v>1.0</v>
      </c>
      <c r="AQ587" s="1">
        <v>7.0</v>
      </c>
      <c r="AR587" s="1">
        <v>100.0</v>
      </c>
      <c r="AS587" s="1">
        <v>3.0</v>
      </c>
      <c r="AT587" s="1">
        <v>0.0</v>
      </c>
      <c r="AU587" s="1">
        <v>0.0</v>
      </c>
      <c r="CD587" s="153">
        <v>43868.0</v>
      </c>
      <c r="CE587" s="1">
        <v>1.0</v>
      </c>
      <c r="CF587" s="1" t="s">
        <v>22338</v>
      </c>
      <c r="CG587" s="121">
        <v>8857.0</v>
      </c>
      <c r="CH587" s="1" t="s">
        <v>24859</v>
      </c>
      <c r="CI587" s="1" t="s">
        <v>24860</v>
      </c>
      <c r="CJ587" s="121">
        <v>586.0</v>
      </c>
    </row>
    <row r="588">
      <c r="A588" s="1" t="s">
        <v>24862</v>
      </c>
      <c r="B588" s="1" t="s">
        <v>6876</v>
      </c>
      <c r="C588" s="1" t="s">
        <v>6877</v>
      </c>
      <c r="D588" s="1" t="s">
        <v>8493</v>
      </c>
      <c r="E588" s="1" t="s">
        <v>24865</v>
      </c>
      <c r="F588" s="1">
        <v>33.0</v>
      </c>
      <c r="G588" s="1">
        <v>1.0</v>
      </c>
      <c r="H588" s="1">
        <v>97.0</v>
      </c>
      <c r="K588" s="1" t="s">
        <v>436</v>
      </c>
      <c r="L588" s="1" t="s">
        <v>436</v>
      </c>
      <c r="M588" s="1" t="s">
        <v>24717</v>
      </c>
      <c r="N588" s="1" t="s">
        <v>18274</v>
      </c>
      <c r="O588" s="1" t="s">
        <v>24652</v>
      </c>
      <c r="S588" s="1">
        <v>10.0</v>
      </c>
      <c r="T588" s="1">
        <v>1000.0</v>
      </c>
      <c r="U588" s="1">
        <v>3.0</v>
      </c>
      <c r="V588" s="1">
        <v>110.0</v>
      </c>
      <c r="AU588" s="1">
        <v>0.0</v>
      </c>
      <c r="CD588" s="153">
        <v>43868.0</v>
      </c>
      <c r="CE588" s="1">
        <v>1.0</v>
      </c>
      <c r="CF588" s="1" t="s">
        <v>22338</v>
      </c>
      <c r="CG588" s="121">
        <v>8858.0</v>
      </c>
      <c r="CH588" s="1" t="s">
        <v>24871</v>
      </c>
      <c r="CI588" s="1" t="s">
        <v>24873</v>
      </c>
      <c r="CJ588" s="121">
        <v>587.0</v>
      </c>
    </row>
    <row r="589">
      <c r="A589" s="1" t="s">
        <v>24875</v>
      </c>
      <c r="B589" s="1" t="s">
        <v>6876</v>
      </c>
      <c r="C589" s="1" t="s">
        <v>6877</v>
      </c>
      <c r="D589" s="1" t="s">
        <v>8493</v>
      </c>
      <c r="E589" s="1" t="s">
        <v>24876</v>
      </c>
      <c r="F589" s="1">
        <v>33.0</v>
      </c>
      <c r="G589" s="1">
        <v>1.0</v>
      </c>
      <c r="H589" s="1">
        <v>97.0</v>
      </c>
      <c r="K589" s="1" t="s">
        <v>24799</v>
      </c>
      <c r="L589" s="1" t="s">
        <v>24799</v>
      </c>
      <c r="M589" s="1" t="s">
        <v>24717</v>
      </c>
      <c r="N589" s="1" t="s">
        <v>18274</v>
      </c>
      <c r="O589" s="1" t="s">
        <v>24652</v>
      </c>
      <c r="AH589" s="1">
        <v>4.0</v>
      </c>
      <c r="AI589" s="1">
        <v>1000.0</v>
      </c>
      <c r="AJ589" s="1">
        <v>4.0</v>
      </c>
      <c r="AU589" s="1">
        <v>0.0</v>
      </c>
      <c r="CC589" s="1" t="s">
        <v>24885</v>
      </c>
      <c r="CD589" s="153">
        <v>43868.0</v>
      </c>
      <c r="CE589" s="1">
        <v>1.0</v>
      </c>
      <c r="CF589" s="1" t="s">
        <v>22338</v>
      </c>
      <c r="CG589" s="121">
        <v>8859.0</v>
      </c>
      <c r="CH589" s="1" t="s">
        <v>24888</v>
      </c>
      <c r="CI589" s="1" t="s">
        <v>24889</v>
      </c>
      <c r="CJ589" s="121">
        <v>588.0</v>
      </c>
    </row>
    <row r="590">
      <c r="A590" s="1" t="s">
        <v>24891</v>
      </c>
      <c r="B590" s="1" t="s">
        <v>6876</v>
      </c>
      <c r="C590" s="1" t="s">
        <v>6877</v>
      </c>
      <c r="D590" s="1" t="s">
        <v>8493</v>
      </c>
      <c r="E590" s="1" t="s">
        <v>24893</v>
      </c>
      <c r="F590" s="1">
        <v>33.0</v>
      </c>
      <c r="G590" s="1">
        <v>1.0</v>
      </c>
      <c r="H590" s="1">
        <v>97.0</v>
      </c>
      <c r="K590" s="1" t="s">
        <v>24812</v>
      </c>
      <c r="L590" s="1" t="s">
        <v>24812</v>
      </c>
      <c r="M590" s="1" t="s">
        <v>24717</v>
      </c>
      <c r="N590" s="1" t="s">
        <v>18274</v>
      </c>
      <c r="O590" s="1" t="s">
        <v>24652</v>
      </c>
      <c r="AH590" s="1">
        <v>4.0</v>
      </c>
      <c r="AI590" s="1">
        <v>1000.0</v>
      </c>
      <c r="AJ590" s="1">
        <v>3.0</v>
      </c>
      <c r="AK590" s="1">
        <v>168.0</v>
      </c>
      <c r="AU590" s="1">
        <v>0.0</v>
      </c>
      <c r="CC590" s="1" t="s">
        <v>24901</v>
      </c>
      <c r="CD590" s="153">
        <v>43868.0</v>
      </c>
      <c r="CE590" s="1">
        <v>1.0</v>
      </c>
      <c r="CF590" s="1" t="s">
        <v>22338</v>
      </c>
      <c r="CG590" s="121">
        <v>8860.0</v>
      </c>
      <c r="CH590" s="1" t="s">
        <v>24904</v>
      </c>
      <c r="CI590" s="1" t="s">
        <v>24905</v>
      </c>
      <c r="CJ590" s="121">
        <v>589.0</v>
      </c>
    </row>
    <row r="591">
      <c r="A591" s="1" t="s">
        <v>24907</v>
      </c>
      <c r="B591" s="1" t="s">
        <v>6876</v>
      </c>
      <c r="C591" s="1" t="s">
        <v>6877</v>
      </c>
      <c r="D591" s="1" t="s">
        <v>8493</v>
      </c>
      <c r="E591" s="1" t="s">
        <v>24910</v>
      </c>
      <c r="F591" s="1">
        <v>65.0</v>
      </c>
      <c r="G591" s="1">
        <v>1.0</v>
      </c>
      <c r="H591" s="1">
        <v>16.0</v>
      </c>
      <c r="K591" s="1" t="s">
        <v>5762</v>
      </c>
      <c r="L591" s="1" t="s">
        <v>5762</v>
      </c>
      <c r="M591" s="1" t="s">
        <v>24912</v>
      </c>
      <c r="N591" s="1" t="s">
        <v>18418</v>
      </c>
      <c r="O591" s="1" t="s">
        <v>24914</v>
      </c>
      <c r="S591" s="1">
        <v>7.0</v>
      </c>
      <c r="T591" s="1">
        <v>1000.0</v>
      </c>
      <c r="U591" s="1">
        <v>4.0</v>
      </c>
      <c r="W591" s="1">
        <v>7.0</v>
      </c>
      <c r="X591" s="1">
        <v>100.0</v>
      </c>
      <c r="Y591" s="1">
        <v>1.0</v>
      </c>
      <c r="AA591" s="1">
        <v>1.0</v>
      </c>
      <c r="AB591" s="1">
        <v>4.0</v>
      </c>
      <c r="AC591" s="1">
        <v>1000.0</v>
      </c>
      <c r="AD591" s="1">
        <v>3.0</v>
      </c>
      <c r="AE591" s="1">
        <v>16.0</v>
      </c>
      <c r="AH591" s="1">
        <v>7.0</v>
      </c>
      <c r="AI591" s="1">
        <v>5000.0</v>
      </c>
      <c r="AJ591" s="1">
        <v>1.0</v>
      </c>
      <c r="AL591" s="1">
        <v>7.0</v>
      </c>
      <c r="AM591" s="1">
        <v>1000.0</v>
      </c>
      <c r="AN591" s="1">
        <v>3.0</v>
      </c>
      <c r="AO591" s="1">
        <v>78.0</v>
      </c>
      <c r="AP591" s="1">
        <v>1.0</v>
      </c>
      <c r="AQ591" s="1">
        <v>7.0</v>
      </c>
      <c r="AR591" s="1">
        <v>100.0</v>
      </c>
      <c r="AS591" s="1">
        <v>3.0</v>
      </c>
      <c r="AT591" s="1">
        <v>14.0</v>
      </c>
      <c r="AU591" s="1">
        <v>0.0</v>
      </c>
      <c r="CC591" s="1" t="s">
        <v>24921</v>
      </c>
      <c r="CD591" s="153">
        <v>43868.0</v>
      </c>
      <c r="CE591" s="1">
        <v>1.0</v>
      </c>
      <c r="CF591" s="1" t="s">
        <v>22338</v>
      </c>
      <c r="CG591" s="121">
        <v>8867.0</v>
      </c>
      <c r="CH591" s="1" t="s">
        <v>24924</v>
      </c>
      <c r="CI591" s="1" t="s">
        <v>24925</v>
      </c>
      <c r="CJ591" s="121">
        <v>590.0</v>
      </c>
    </row>
    <row r="592">
      <c r="A592" s="1" t="s">
        <v>24910</v>
      </c>
      <c r="B592" s="1" t="s">
        <v>6876</v>
      </c>
      <c r="C592" s="1" t="s">
        <v>6877</v>
      </c>
      <c r="D592" s="1" t="s">
        <v>8493</v>
      </c>
      <c r="E592" s="1" t="s">
        <v>24927</v>
      </c>
      <c r="F592" s="1">
        <v>58.0</v>
      </c>
      <c r="G592" s="1">
        <v>1.0</v>
      </c>
      <c r="H592" s="1">
        <v>7.0</v>
      </c>
      <c r="K592" s="1" t="s">
        <v>5593</v>
      </c>
      <c r="L592" s="1" t="s">
        <v>5593</v>
      </c>
      <c r="M592" s="1" t="s">
        <v>24912</v>
      </c>
      <c r="N592" s="1" t="s">
        <v>18418</v>
      </c>
      <c r="O592" s="1" t="s">
        <v>24914</v>
      </c>
      <c r="S592" s="1">
        <v>7.0</v>
      </c>
      <c r="T592" s="1">
        <v>1000.0</v>
      </c>
      <c r="U592" s="1">
        <v>3.0</v>
      </c>
      <c r="V592" s="1">
        <v>2.0</v>
      </c>
      <c r="W592" s="1">
        <v>7.0</v>
      </c>
      <c r="X592" s="1">
        <v>100.0</v>
      </c>
      <c r="Y592" s="1">
        <v>3.0</v>
      </c>
      <c r="Z592" s="1">
        <v>0.0</v>
      </c>
      <c r="AA592" s="1">
        <v>1.0</v>
      </c>
      <c r="AB592" s="1">
        <v>4.0</v>
      </c>
      <c r="AC592" s="1">
        <v>1000.0</v>
      </c>
      <c r="AD592" s="1">
        <v>3.0</v>
      </c>
      <c r="AE592" s="1">
        <v>0.0</v>
      </c>
      <c r="AH592" s="1">
        <v>7.0</v>
      </c>
      <c r="AI592" s="1">
        <v>5000.0</v>
      </c>
      <c r="AJ592" s="1">
        <v>3.0</v>
      </c>
      <c r="AK592" s="1">
        <v>0.0</v>
      </c>
      <c r="AL592" s="1">
        <v>7.0</v>
      </c>
      <c r="AM592" s="1">
        <v>1000.0</v>
      </c>
      <c r="AN592" s="1">
        <v>3.0</v>
      </c>
      <c r="AO592" s="1">
        <v>0.0</v>
      </c>
      <c r="AP592" s="1">
        <v>1.0</v>
      </c>
      <c r="AQ592" s="1">
        <v>7.0</v>
      </c>
      <c r="AR592" s="1">
        <v>100.0</v>
      </c>
      <c r="AS592" s="1">
        <v>3.0</v>
      </c>
      <c r="AT592" s="1">
        <v>0.0</v>
      </c>
      <c r="AU592" s="1">
        <v>0.0</v>
      </c>
      <c r="CC592" s="1" t="s">
        <v>24707</v>
      </c>
      <c r="CD592" s="153">
        <v>43868.0</v>
      </c>
      <c r="CE592" s="1">
        <v>1.0</v>
      </c>
      <c r="CF592" s="1" t="s">
        <v>22338</v>
      </c>
      <c r="CG592" s="121">
        <v>8868.0</v>
      </c>
      <c r="CH592" s="1" t="s">
        <v>24942</v>
      </c>
      <c r="CI592" s="1" t="s">
        <v>24943</v>
      </c>
      <c r="CJ592" s="121">
        <v>591.0</v>
      </c>
    </row>
    <row r="593">
      <c r="A593" s="1" t="s">
        <v>24945</v>
      </c>
      <c r="B593" s="1" t="s">
        <v>6876</v>
      </c>
      <c r="C593" s="1" t="s">
        <v>6877</v>
      </c>
      <c r="D593" s="1" t="s">
        <v>8493</v>
      </c>
      <c r="E593" s="1" t="s">
        <v>24949</v>
      </c>
      <c r="F593" s="1">
        <v>58.0</v>
      </c>
      <c r="G593" s="1">
        <v>1.0</v>
      </c>
      <c r="H593" s="1">
        <v>7.0</v>
      </c>
      <c r="K593" s="1" t="s">
        <v>5628</v>
      </c>
      <c r="L593" s="1" t="s">
        <v>5628</v>
      </c>
      <c r="M593" s="1" t="s">
        <v>24912</v>
      </c>
      <c r="N593" s="1" t="s">
        <v>18418</v>
      </c>
      <c r="O593" s="1" t="s">
        <v>24914</v>
      </c>
      <c r="S593" s="1">
        <v>7.0</v>
      </c>
      <c r="T593" s="1">
        <v>1000.0</v>
      </c>
      <c r="U593" s="1">
        <v>4.0</v>
      </c>
      <c r="W593" s="1">
        <v>7.0</v>
      </c>
      <c r="X593" s="1">
        <v>100.0</v>
      </c>
      <c r="Y593" s="1">
        <v>4.0</v>
      </c>
      <c r="AA593" s="1">
        <v>1.0</v>
      </c>
      <c r="AB593" s="1">
        <v>4.0</v>
      </c>
      <c r="AC593" s="1">
        <v>1000.0</v>
      </c>
      <c r="AD593" s="1">
        <v>1.0</v>
      </c>
      <c r="AH593" s="1">
        <v>7.0</v>
      </c>
      <c r="AI593" s="1">
        <v>5000.0</v>
      </c>
      <c r="AJ593" s="1">
        <v>1.0</v>
      </c>
      <c r="AL593" s="1">
        <v>7.0</v>
      </c>
      <c r="AM593" s="1">
        <v>1000.0</v>
      </c>
      <c r="AN593" s="1">
        <v>1.0</v>
      </c>
      <c r="AP593" s="1">
        <v>1.0</v>
      </c>
      <c r="AQ593" s="1">
        <v>7.0</v>
      </c>
      <c r="AR593" s="1">
        <v>100.0</v>
      </c>
      <c r="AS593" s="1">
        <v>3.0</v>
      </c>
      <c r="AT593" s="1">
        <v>87.0</v>
      </c>
      <c r="AU593" s="1">
        <v>0.0</v>
      </c>
      <c r="CC593" s="1" t="s">
        <v>24962</v>
      </c>
      <c r="CD593" s="153">
        <v>43868.0</v>
      </c>
      <c r="CE593" s="1">
        <v>1.0</v>
      </c>
      <c r="CF593" s="1" t="s">
        <v>22338</v>
      </c>
      <c r="CG593" s="121">
        <v>8869.0</v>
      </c>
      <c r="CH593" s="1" t="s">
        <v>24963</v>
      </c>
      <c r="CI593" s="1" t="s">
        <v>24964</v>
      </c>
      <c r="CJ593" s="121">
        <v>592.0</v>
      </c>
    </row>
    <row r="594">
      <c r="A594" s="1" t="s">
        <v>24949</v>
      </c>
      <c r="B594" s="1" t="s">
        <v>6876</v>
      </c>
      <c r="C594" s="1" t="s">
        <v>6877</v>
      </c>
      <c r="D594" s="1" t="s">
        <v>8493</v>
      </c>
      <c r="E594" s="1" t="s">
        <v>24967</v>
      </c>
      <c r="F594" s="1">
        <v>59.0</v>
      </c>
      <c r="G594" s="1">
        <v>1.0</v>
      </c>
      <c r="H594" s="1">
        <v>11.0</v>
      </c>
      <c r="K594" s="1" t="s">
        <v>5795</v>
      </c>
      <c r="L594" s="1" t="s">
        <v>5795</v>
      </c>
      <c r="M594" s="1" t="s">
        <v>18419</v>
      </c>
      <c r="N594" s="1" t="s">
        <v>24970</v>
      </c>
      <c r="O594" s="1" t="s">
        <v>24971</v>
      </c>
      <c r="P594" s="1">
        <v>4.0</v>
      </c>
      <c r="S594" s="1">
        <v>7.0</v>
      </c>
      <c r="T594" s="1">
        <v>1000.0</v>
      </c>
      <c r="U594" s="1">
        <v>1.0</v>
      </c>
      <c r="W594" s="1">
        <v>7.0</v>
      </c>
      <c r="X594" s="1">
        <v>100.0</v>
      </c>
      <c r="Y594" s="1">
        <v>3.0</v>
      </c>
      <c r="Z594" s="1">
        <v>187.0</v>
      </c>
      <c r="AA594" s="1">
        <v>1.0</v>
      </c>
      <c r="AB594" s="1">
        <v>4.0</v>
      </c>
      <c r="AC594" s="1">
        <v>1000.0</v>
      </c>
      <c r="AD594" s="1">
        <v>3.0</v>
      </c>
      <c r="AE594" s="1">
        <v>7.0</v>
      </c>
      <c r="AH594" s="1">
        <v>7.0</v>
      </c>
      <c r="AI594" s="1">
        <v>5000.0</v>
      </c>
      <c r="AJ594" s="1">
        <v>3.0</v>
      </c>
      <c r="AK594" s="1">
        <v>2.0</v>
      </c>
      <c r="AL594" s="1">
        <v>7.0</v>
      </c>
      <c r="AM594" s="1">
        <v>1000.0</v>
      </c>
      <c r="AN594" s="1">
        <v>3.0</v>
      </c>
      <c r="AO594" s="1">
        <v>0.0</v>
      </c>
      <c r="AP594" s="1">
        <v>1.0</v>
      </c>
      <c r="AQ594" s="1">
        <v>7.0</v>
      </c>
      <c r="AR594" s="1">
        <v>100.0</v>
      </c>
      <c r="AS594" s="1">
        <v>3.0</v>
      </c>
      <c r="AT594" s="1">
        <v>0.0</v>
      </c>
      <c r="AU594" s="1">
        <v>0.0</v>
      </c>
      <c r="CC594" s="1" t="s">
        <v>24660</v>
      </c>
      <c r="CD594" s="153">
        <v>43868.0</v>
      </c>
      <c r="CE594" s="1">
        <v>1.0</v>
      </c>
      <c r="CF594" s="1" t="s">
        <v>22338</v>
      </c>
      <c r="CG594" s="121">
        <v>8870.0</v>
      </c>
      <c r="CH594" s="1" t="s">
        <v>24980</v>
      </c>
      <c r="CI594" s="1" t="s">
        <v>24981</v>
      </c>
      <c r="CJ594" s="121">
        <v>593.0</v>
      </c>
    </row>
    <row r="595">
      <c r="A595" s="1" t="s">
        <v>24982</v>
      </c>
      <c r="B595" s="1" t="s">
        <v>6876</v>
      </c>
      <c r="C595" s="1" t="s">
        <v>6877</v>
      </c>
      <c r="D595" s="1" t="s">
        <v>8493</v>
      </c>
      <c r="E595" s="1" t="s">
        <v>24987</v>
      </c>
      <c r="F595" s="1">
        <v>59.0</v>
      </c>
      <c r="G595" s="1">
        <v>1.0</v>
      </c>
      <c r="H595" s="1">
        <v>11.0</v>
      </c>
      <c r="K595" s="1" t="s">
        <v>5836</v>
      </c>
      <c r="L595" s="1" t="s">
        <v>5836</v>
      </c>
      <c r="M595" s="1" t="s">
        <v>18419</v>
      </c>
      <c r="N595" s="1" t="s">
        <v>24970</v>
      </c>
      <c r="O595" s="1" t="s">
        <v>24971</v>
      </c>
      <c r="P595" s="1">
        <v>4.0</v>
      </c>
      <c r="S595" s="1">
        <v>7.0</v>
      </c>
      <c r="T595" s="1">
        <v>1000.0</v>
      </c>
      <c r="U595" s="1">
        <v>1.0</v>
      </c>
      <c r="W595" s="1">
        <v>7.0</v>
      </c>
      <c r="X595" s="1">
        <v>100.0</v>
      </c>
      <c r="Y595" s="1">
        <v>3.0</v>
      </c>
      <c r="Z595" s="1">
        <v>82.0</v>
      </c>
      <c r="AA595" s="1">
        <v>1.0</v>
      </c>
      <c r="AB595" s="1">
        <v>4.0</v>
      </c>
      <c r="AC595" s="1">
        <v>1000.0</v>
      </c>
      <c r="AD595" s="1">
        <v>3.0</v>
      </c>
      <c r="AE595" s="1">
        <v>4.0</v>
      </c>
      <c r="AH595" s="1">
        <v>7.0</v>
      </c>
      <c r="AI595" s="1">
        <v>5000.0</v>
      </c>
      <c r="AJ595" s="1">
        <v>3.0</v>
      </c>
      <c r="AK595" s="1">
        <v>0.0</v>
      </c>
      <c r="AL595" s="1">
        <v>7.0</v>
      </c>
      <c r="AM595" s="1">
        <v>1000.0</v>
      </c>
      <c r="AN595" s="1">
        <v>3.0</v>
      </c>
      <c r="AO595" s="1">
        <v>0.0</v>
      </c>
      <c r="AP595" s="1">
        <v>1.0</v>
      </c>
      <c r="AQ595" s="1">
        <v>7.0</v>
      </c>
      <c r="AR595" s="1">
        <v>100.0</v>
      </c>
      <c r="AS595" s="1">
        <v>3.0</v>
      </c>
      <c r="AT595" s="1">
        <v>0.0</v>
      </c>
      <c r="AU595" s="1">
        <v>0.0</v>
      </c>
      <c r="CC595" s="1" t="s">
        <v>24707</v>
      </c>
      <c r="CD595" s="153">
        <v>43868.0</v>
      </c>
      <c r="CE595" s="1">
        <v>1.0</v>
      </c>
      <c r="CF595" s="1" t="s">
        <v>22338</v>
      </c>
      <c r="CG595" s="121">
        <v>8871.0</v>
      </c>
      <c r="CH595" s="1" t="s">
        <v>24996</v>
      </c>
      <c r="CI595" s="1" t="s">
        <v>24998</v>
      </c>
      <c r="CJ595" s="121">
        <v>594.0</v>
      </c>
    </row>
    <row r="596">
      <c r="A596" s="1" t="s">
        <v>25000</v>
      </c>
      <c r="B596" s="1" t="s">
        <v>6876</v>
      </c>
      <c r="C596" s="1" t="s">
        <v>6877</v>
      </c>
      <c r="D596" s="1" t="s">
        <v>8493</v>
      </c>
      <c r="E596" s="1" t="s">
        <v>25002</v>
      </c>
      <c r="F596" s="1">
        <v>33.0</v>
      </c>
      <c r="G596" s="1">
        <v>1.0</v>
      </c>
      <c r="H596" s="1">
        <v>97.0</v>
      </c>
      <c r="K596" s="1" t="s">
        <v>436</v>
      </c>
      <c r="L596" s="1" t="s">
        <v>436</v>
      </c>
      <c r="M596" s="1" t="s">
        <v>18419</v>
      </c>
      <c r="N596" s="1" t="s">
        <v>24970</v>
      </c>
      <c r="O596" s="1" t="s">
        <v>24971</v>
      </c>
      <c r="S596" s="1">
        <v>10.0</v>
      </c>
      <c r="T596" s="1">
        <v>1000.0</v>
      </c>
      <c r="U596" s="1">
        <v>3.0</v>
      </c>
      <c r="V596" s="1">
        <v>63.0</v>
      </c>
      <c r="AU596" s="1">
        <v>0.0</v>
      </c>
      <c r="CC596" s="1" t="s">
        <v>24885</v>
      </c>
      <c r="CD596" s="153">
        <v>43868.0</v>
      </c>
      <c r="CE596" s="1">
        <v>1.0</v>
      </c>
      <c r="CF596" s="1" t="s">
        <v>22338</v>
      </c>
      <c r="CG596" s="121">
        <v>8872.0</v>
      </c>
      <c r="CH596" s="1" t="s">
        <v>25004</v>
      </c>
      <c r="CI596" s="1" t="s">
        <v>25006</v>
      </c>
      <c r="CJ596" s="121">
        <v>595.0</v>
      </c>
    </row>
    <row r="597">
      <c r="A597" s="1" t="s">
        <v>25008</v>
      </c>
      <c r="B597" s="1" t="s">
        <v>6876</v>
      </c>
      <c r="C597" s="1" t="s">
        <v>6877</v>
      </c>
      <c r="D597" s="1" t="s">
        <v>8493</v>
      </c>
      <c r="E597" s="1" t="s">
        <v>25010</v>
      </c>
      <c r="F597" s="1">
        <v>33.0</v>
      </c>
      <c r="G597" s="1">
        <v>1.0</v>
      </c>
      <c r="H597" s="1">
        <v>97.0</v>
      </c>
      <c r="K597" s="1" t="s">
        <v>15565</v>
      </c>
      <c r="L597" s="1" t="s">
        <v>15565</v>
      </c>
      <c r="M597" s="1" t="s">
        <v>18419</v>
      </c>
      <c r="N597" s="1" t="s">
        <v>24970</v>
      </c>
      <c r="O597" s="1" t="s">
        <v>24971</v>
      </c>
      <c r="AH597" s="1">
        <v>4.0</v>
      </c>
      <c r="AI597" s="1">
        <v>1000.0</v>
      </c>
      <c r="AJ597" s="1">
        <v>3.0</v>
      </c>
      <c r="AK597" s="1">
        <v>162.0</v>
      </c>
      <c r="AU597" s="1">
        <v>0.0</v>
      </c>
      <c r="CC597" s="1" t="s">
        <v>24901</v>
      </c>
      <c r="CD597" s="153">
        <v>43868.0</v>
      </c>
      <c r="CE597" s="1">
        <v>1.0</v>
      </c>
      <c r="CF597" s="1" t="s">
        <v>22338</v>
      </c>
      <c r="CG597" s="121">
        <v>8873.0</v>
      </c>
      <c r="CH597" s="1" t="s">
        <v>25013</v>
      </c>
      <c r="CI597" s="1" t="s">
        <v>25014</v>
      </c>
      <c r="CJ597" s="121">
        <v>596.0</v>
      </c>
    </row>
    <row r="598">
      <c r="A598" s="1" t="s">
        <v>25010</v>
      </c>
      <c r="B598" s="1" t="s">
        <v>6876</v>
      </c>
      <c r="C598" s="1" t="s">
        <v>6877</v>
      </c>
      <c r="D598" s="1" t="s">
        <v>8493</v>
      </c>
      <c r="E598" s="1" t="s">
        <v>25017</v>
      </c>
      <c r="F598" s="1">
        <v>58.0</v>
      </c>
      <c r="G598" s="1">
        <v>1.0</v>
      </c>
      <c r="H598" s="1">
        <v>5.0</v>
      </c>
      <c r="K598" s="1" t="s">
        <v>3468</v>
      </c>
      <c r="L598" s="1" t="s">
        <v>3468</v>
      </c>
      <c r="M598" s="1" t="s">
        <v>25019</v>
      </c>
      <c r="N598" s="1" t="s">
        <v>25021</v>
      </c>
      <c r="O598" s="1" t="s">
        <v>25023</v>
      </c>
      <c r="S598" s="1">
        <v>7.0</v>
      </c>
      <c r="T598" s="1">
        <v>1000.0</v>
      </c>
      <c r="U598" s="1">
        <v>3.0</v>
      </c>
      <c r="V598" s="1">
        <v>0.0</v>
      </c>
      <c r="W598" s="1">
        <v>7.0</v>
      </c>
      <c r="X598" s="1">
        <v>100.0</v>
      </c>
      <c r="Y598" s="1">
        <v>3.0</v>
      </c>
      <c r="Z598" s="1">
        <v>0.0</v>
      </c>
      <c r="AA598" s="1">
        <v>0.0</v>
      </c>
      <c r="AU598" s="1">
        <v>0.0</v>
      </c>
      <c r="CC598" s="1" t="s">
        <v>25026</v>
      </c>
      <c r="CD598" s="153">
        <v>43868.0</v>
      </c>
      <c r="CE598" s="1">
        <v>1.0</v>
      </c>
      <c r="CF598" s="1" t="s">
        <v>22338</v>
      </c>
      <c r="CG598" s="121">
        <v>8874.0</v>
      </c>
      <c r="CH598" s="1" t="s">
        <v>25027</v>
      </c>
      <c r="CI598" s="1" t="s">
        <v>25028</v>
      </c>
      <c r="CJ598" s="121">
        <v>597.0</v>
      </c>
    </row>
    <row r="599">
      <c r="A599" s="1" t="s">
        <v>25029</v>
      </c>
      <c r="B599" s="1" t="s">
        <v>6876</v>
      </c>
      <c r="C599" s="1" t="s">
        <v>6877</v>
      </c>
      <c r="D599" s="1" t="s">
        <v>8493</v>
      </c>
      <c r="E599" s="1" t="s">
        <v>25030</v>
      </c>
      <c r="F599" s="1">
        <v>58.0</v>
      </c>
      <c r="G599" s="1">
        <v>2.0</v>
      </c>
      <c r="H599" s="1">
        <v>8.0</v>
      </c>
      <c r="K599" s="1" t="s">
        <v>354</v>
      </c>
      <c r="L599" s="1" t="s">
        <v>354</v>
      </c>
      <c r="M599" s="1" t="s">
        <v>25019</v>
      </c>
      <c r="N599" s="1" t="s">
        <v>25021</v>
      </c>
      <c r="O599" s="1" t="s">
        <v>25023</v>
      </c>
      <c r="S599" s="1">
        <v>7.0</v>
      </c>
      <c r="T599" s="1">
        <v>1000.0</v>
      </c>
      <c r="U599" s="1">
        <v>3.0</v>
      </c>
      <c r="V599" s="1">
        <v>0.0</v>
      </c>
      <c r="W599" s="1">
        <v>7.0</v>
      </c>
      <c r="X599" s="1">
        <v>100.0</v>
      </c>
      <c r="Y599" s="1">
        <v>3.0</v>
      </c>
      <c r="Z599" s="1">
        <v>0.0</v>
      </c>
      <c r="AA599" s="1">
        <v>0.0</v>
      </c>
      <c r="AU599" s="1">
        <v>0.0</v>
      </c>
      <c r="CC599" s="1" t="s">
        <v>25026</v>
      </c>
      <c r="CD599" s="153">
        <v>43868.0</v>
      </c>
      <c r="CE599" s="1">
        <v>1.0</v>
      </c>
      <c r="CF599" s="1" t="s">
        <v>22338</v>
      </c>
      <c r="CG599" s="121">
        <v>8875.0</v>
      </c>
      <c r="CH599" s="1" t="s">
        <v>25034</v>
      </c>
      <c r="CI599" s="1" t="s">
        <v>25035</v>
      </c>
      <c r="CJ599" s="121">
        <v>598.0</v>
      </c>
    </row>
    <row r="600">
      <c r="A600" s="1" t="s">
        <v>25036</v>
      </c>
      <c r="B600" s="1" t="s">
        <v>6876</v>
      </c>
      <c r="C600" s="1" t="s">
        <v>6877</v>
      </c>
      <c r="D600" s="1" t="s">
        <v>8493</v>
      </c>
      <c r="E600" s="1" t="s">
        <v>25039</v>
      </c>
      <c r="F600" s="1">
        <v>58.0</v>
      </c>
      <c r="G600" s="1">
        <v>2.0</v>
      </c>
      <c r="H600" s="1">
        <v>9.0</v>
      </c>
      <c r="K600" s="1" t="s">
        <v>3460</v>
      </c>
      <c r="L600" s="1" t="s">
        <v>3460</v>
      </c>
      <c r="M600" s="1" t="s">
        <v>25019</v>
      </c>
      <c r="N600" s="1" t="s">
        <v>25021</v>
      </c>
      <c r="O600" s="1" t="s">
        <v>25023</v>
      </c>
      <c r="S600" s="1">
        <v>7.0</v>
      </c>
      <c r="T600" s="1">
        <v>1000.0</v>
      </c>
      <c r="U600" s="1">
        <v>3.0</v>
      </c>
      <c r="V600" s="1">
        <v>0.0</v>
      </c>
      <c r="W600" s="1">
        <v>7.0</v>
      </c>
      <c r="X600" s="1">
        <v>100.0</v>
      </c>
      <c r="Y600" s="1">
        <v>3.0</v>
      </c>
      <c r="Z600" s="1">
        <v>0.0</v>
      </c>
      <c r="AA600" s="1">
        <v>0.0</v>
      </c>
      <c r="AU600" s="1">
        <v>0.0</v>
      </c>
      <c r="CC600" s="1" t="s">
        <v>25026</v>
      </c>
      <c r="CD600" s="153">
        <v>43868.0</v>
      </c>
      <c r="CE600" s="1">
        <v>1.0</v>
      </c>
      <c r="CF600" s="1" t="s">
        <v>22338</v>
      </c>
      <c r="CG600" s="121">
        <v>8876.0</v>
      </c>
      <c r="CH600" s="1" t="s">
        <v>25043</v>
      </c>
      <c r="CI600" s="1" t="s">
        <v>25045</v>
      </c>
      <c r="CJ600" s="121">
        <v>599.0</v>
      </c>
    </row>
    <row r="601">
      <c r="A601" s="1" t="s">
        <v>25039</v>
      </c>
      <c r="B601" s="1" t="s">
        <v>6876</v>
      </c>
      <c r="C601" s="1" t="s">
        <v>6877</v>
      </c>
      <c r="D601" s="1" t="s">
        <v>8493</v>
      </c>
      <c r="E601" s="1" t="s">
        <v>25048</v>
      </c>
      <c r="F601" s="1">
        <v>58.0</v>
      </c>
      <c r="G601" s="1">
        <v>2.0</v>
      </c>
      <c r="H601" s="1">
        <v>2.0</v>
      </c>
      <c r="K601" s="1" t="s">
        <v>358</v>
      </c>
      <c r="L601" s="1" t="s">
        <v>358</v>
      </c>
      <c r="M601" s="1" t="s">
        <v>25019</v>
      </c>
      <c r="N601" s="1" t="s">
        <v>25021</v>
      </c>
      <c r="O601" s="1" t="s">
        <v>25023</v>
      </c>
      <c r="S601" s="1">
        <v>7.0</v>
      </c>
      <c r="T601" s="1">
        <v>1000.0</v>
      </c>
      <c r="U601" s="1">
        <v>3.0</v>
      </c>
      <c r="V601" s="1">
        <v>0.0</v>
      </c>
      <c r="W601" s="1">
        <v>7.0</v>
      </c>
      <c r="X601" s="1">
        <v>100.0</v>
      </c>
      <c r="Y601" s="1">
        <v>3.0</v>
      </c>
      <c r="Z601" s="1">
        <v>0.0</v>
      </c>
      <c r="AA601" s="1">
        <v>0.0</v>
      </c>
      <c r="AU601" s="1">
        <v>0.0</v>
      </c>
      <c r="CC601" s="1" t="s">
        <v>25026</v>
      </c>
      <c r="CD601" s="153">
        <v>43868.0</v>
      </c>
      <c r="CE601" s="1">
        <v>1.0</v>
      </c>
      <c r="CF601" s="1" t="s">
        <v>22338</v>
      </c>
      <c r="CG601" s="121">
        <v>8877.0</v>
      </c>
      <c r="CH601" s="1" t="s">
        <v>25054</v>
      </c>
      <c r="CI601" s="1" t="s">
        <v>25055</v>
      </c>
      <c r="CJ601" s="121">
        <v>600.0</v>
      </c>
    </row>
    <row r="602">
      <c r="A602" s="1" t="s">
        <v>25056</v>
      </c>
      <c r="B602" s="1" t="s">
        <v>6876</v>
      </c>
      <c r="C602" s="1" t="s">
        <v>6877</v>
      </c>
      <c r="D602" s="1" t="s">
        <v>8493</v>
      </c>
      <c r="E602" s="1" t="s">
        <v>25063</v>
      </c>
      <c r="F602" s="1">
        <v>58.0</v>
      </c>
      <c r="G602" s="1">
        <v>1.0</v>
      </c>
      <c r="H602" s="1">
        <v>7.0</v>
      </c>
      <c r="K602" s="1" t="s">
        <v>6124</v>
      </c>
      <c r="L602" s="1" t="s">
        <v>6124</v>
      </c>
      <c r="M602" s="1" t="s">
        <v>25019</v>
      </c>
      <c r="N602" s="1" t="s">
        <v>25021</v>
      </c>
      <c r="O602" s="1" t="s">
        <v>25066</v>
      </c>
      <c r="S602" s="1">
        <v>7.0</v>
      </c>
      <c r="T602" s="1">
        <v>1000.0</v>
      </c>
      <c r="U602" s="1">
        <v>3.0</v>
      </c>
      <c r="V602" s="1">
        <v>48.0</v>
      </c>
      <c r="W602" s="1">
        <v>7.0</v>
      </c>
      <c r="X602" s="1">
        <v>100.0</v>
      </c>
      <c r="Y602" s="1">
        <v>3.0</v>
      </c>
      <c r="Z602" s="1">
        <v>2.0</v>
      </c>
      <c r="AA602" s="1">
        <v>1.0</v>
      </c>
      <c r="AB602" s="1">
        <v>4.0</v>
      </c>
      <c r="AC602" s="1">
        <v>1000.0</v>
      </c>
      <c r="AD602" s="1">
        <v>3.0</v>
      </c>
      <c r="AE602" s="1">
        <v>0.0</v>
      </c>
      <c r="AU602" s="1">
        <v>0.0</v>
      </c>
      <c r="CC602" s="1" t="s">
        <v>25070</v>
      </c>
      <c r="CD602" s="153">
        <v>43868.0</v>
      </c>
      <c r="CE602" s="1">
        <v>1.0</v>
      </c>
      <c r="CF602" s="1" t="s">
        <v>22338</v>
      </c>
      <c r="CG602" s="121">
        <v>8878.0</v>
      </c>
      <c r="CH602" s="1" t="s">
        <v>25071</v>
      </c>
      <c r="CI602" s="1" t="s">
        <v>25072</v>
      </c>
      <c r="CJ602" s="121">
        <v>601.0</v>
      </c>
    </row>
    <row r="603">
      <c r="A603" s="1" t="s">
        <v>25074</v>
      </c>
      <c r="B603" s="1" t="s">
        <v>6876</v>
      </c>
      <c r="C603" s="1" t="s">
        <v>6877</v>
      </c>
      <c r="D603" s="1" t="s">
        <v>8493</v>
      </c>
      <c r="E603" s="1" t="s">
        <v>25075</v>
      </c>
      <c r="F603" s="1">
        <v>58.0</v>
      </c>
      <c r="G603" s="1">
        <v>1.0</v>
      </c>
      <c r="H603" s="1">
        <v>7.0</v>
      </c>
      <c r="K603" s="1" t="s">
        <v>6138</v>
      </c>
      <c r="L603" s="1" t="s">
        <v>6138</v>
      </c>
      <c r="M603" s="1" t="s">
        <v>25019</v>
      </c>
      <c r="N603" s="1" t="s">
        <v>25021</v>
      </c>
      <c r="O603" s="1" t="s">
        <v>25023</v>
      </c>
      <c r="S603" s="1">
        <v>7.0</v>
      </c>
      <c r="T603" s="1">
        <v>1000.0</v>
      </c>
      <c r="U603" s="1">
        <v>1.0</v>
      </c>
      <c r="W603" s="1">
        <v>7.0</v>
      </c>
      <c r="X603" s="1">
        <v>100.0</v>
      </c>
      <c r="Y603" s="1">
        <v>3.0</v>
      </c>
      <c r="Z603" s="1">
        <v>48.0</v>
      </c>
      <c r="AA603" s="1">
        <v>1.0</v>
      </c>
      <c r="AB603" s="1">
        <v>4.0</v>
      </c>
      <c r="AC603" s="1">
        <v>1000.0</v>
      </c>
      <c r="AD603" s="1">
        <v>3.0</v>
      </c>
      <c r="AE603" s="1">
        <v>1.0</v>
      </c>
      <c r="AU603" s="1">
        <v>0.0</v>
      </c>
      <c r="CC603" s="1" t="s">
        <v>25070</v>
      </c>
      <c r="CD603" s="153">
        <v>43868.0</v>
      </c>
      <c r="CE603" s="1">
        <v>1.0</v>
      </c>
      <c r="CF603" s="1" t="s">
        <v>22338</v>
      </c>
      <c r="CG603" s="121">
        <v>8879.0</v>
      </c>
      <c r="CH603" s="1" t="s">
        <v>25083</v>
      </c>
      <c r="CI603" s="1" t="s">
        <v>25084</v>
      </c>
      <c r="CJ603" s="121">
        <v>602.0</v>
      </c>
    </row>
    <row r="604">
      <c r="A604" s="1" t="s">
        <v>25085</v>
      </c>
      <c r="B604" s="1" t="s">
        <v>6876</v>
      </c>
      <c r="C604" s="1" t="s">
        <v>6877</v>
      </c>
      <c r="D604" s="1" t="s">
        <v>8493</v>
      </c>
      <c r="E604" s="1" t="s">
        <v>25087</v>
      </c>
      <c r="F604" s="1">
        <v>59.0</v>
      </c>
      <c r="G604" s="1">
        <v>1.0</v>
      </c>
      <c r="H604" s="1">
        <v>11.0</v>
      </c>
      <c r="K604" s="1" t="s">
        <v>6229</v>
      </c>
      <c r="L604" s="1" t="s">
        <v>6229</v>
      </c>
      <c r="M604" s="1" t="s">
        <v>25019</v>
      </c>
      <c r="N604" s="1" t="s">
        <v>25021</v>
      </c>
      <c r="O604" s="1" t="s">
        <v>25023</v>
      </c>
      <c r="P604" s="1">
        <v>4.0</v>
      </c>
      <c r="S604" s="1">
        <v>7.0</v>
      </c>
      <c r="T604" s="1">
        <v>1000.0</v>
      </c>
      <c r="U604" s="1">
        <v>1.0</v>
      </c>
      <c r="W604" s="1">
        <v>7.0</v>
      </c>
      <c r="X604" s="1">
        <v>100.0</v>
      </c>
      <c r="Y604" s="1">
        <v>1.0</v>
      </c>
      <c r="AA604" s="1">
        <v>1.0</v>
      </c>
      <c r="AB604" s="1">
        <v>4.0</v>
      </c>
      <c r="AC604" s="1">
        <v>1000.0</v>
      </c>
      <c r="AD604" s="1">
        <v>3.0</v>
      </c>
      <c r="AE604" s="1">
        <v>11.0</v>
      </c>
      <c r="AU604" s="1">
        <v>0.0</v>
      </c>
      <c r="CC604" s="1" t="s">
        <v>25070</v>
      </c>
      <c r="CD604" s="153">
        <v>43868.0</v>
      </c>
      <c r="CE604" s="1">
        <v>1.0</v>
      </c>
      <c r="CF604" s="1" t="s">
        <v>22338</v>
      </c>
      <c r="CG604" s="121">
        <v>8880.0</v>
      </c>
      <c r="CH604" s="1" t="s">
        <v>25094</v>
      </c>
      <c r="CI604" s="1" t="s">
        <v>25096</v>
      </c>
      <c r="CJ604" s="121">
        <v>603.0</v>
      </c>
    </row>
    <row r="605">
      <c r="A605" s="1" t="s">
        <v>25098</v>
      </c>
      <c r="B605" s="1" t="s">
        <v>6876</v>
      </c>
      <c r="C605" s="1" t="s">
        <v>6877</v>
      </c>
      <c r="D605" s="1" t="s">
        <v>8493</v>
      </c>
      <c r="E605" s="1" t="s">
        <v>25099</v>
      </c>
      <c r="F605" s="1">
        <v>58.0</v>
      </c>
      <c r="G605" s="1">
        <v>1.0</v>
      </c>
      <c r="H605" s="1">
        <v>16.0</v>
      </c>
      <c r="K605" s="1" t="s">
        <v>6262</v>
      </c>
      <c r="L605" s="1" t="s">
        <v>6262</v>
      </c>
      <c r="M605" s="1" t="s">
        <v>25019</v>
      </c>
      <c r="N605" s="1" t="s">
        <v>25021</v>
      </c>
      <c r="O605" s="1" t="s">
        <v>25023</v>
      </c>
      <c r="S605" s="1">
        <v>7.0</v>
      </c>
      <c r="T605" s="1">
        <v>1000.0</v>
      </c>
      <c r="U605" s="1">
        <v>1.0</v>
      </c>
      <c r="W605" s="1">
        <v>7.0</v>
      </c>
      <c r="X605" s="1">
        <v>100.0</v>
      </c>
      <c r="Y605" s="1">
        <v>3.0</v>
      </c>
      <c r="Z605" s="1">
        <v>19.0</v>
      </c>
      <c r="AA605" s="1">
        <v>1.0</v>
      </c>
      <c r="AB605" s="1">
        <v>4.0</v>
      </c>
      <c r="AC605" s="1">
        <v>1000.0</v>
      </c>
      <c r="AD605" s="1">
        <v>3.0</v>
      </c>
      <c r="AE605" s="1">
        <v>5.0</v>
      </c>
      <c r="AU605" s="1">
        <v>0.0</v>
      </c>
      <c r="CC605" s="1" t="s">
        <v>25105</v>
      </c>
      <c r="CD605" s="153">
        <v>43868.0</v>
      </c>
      <c r="CE605" s="1">
        <v>1.0</v>
      </c>
      <c r="CF605" s="1" t="s">
        <v>22338</v>
      </c>
      <c r="CG605" s="121">
        <v>8881.0</v>
      </c>
      <c r="CH605" s="1" t="s">
        <v>25106</v>
      </c>
      <c r="CI605" s="1" t="s">
        <v>25107</v>
      </c>
      <c r="CJ605" s="121">
        <v>604.0</v>
      </c>
    </row>
    <row r="606">
      <c r="A606" s="1" t="s">
        <v>25108</v>
      </c>
      <c r="B606" s="1" t="s">
        <v>6876</v>
      </c>
      <c r="C606" s="1" t="s">
        <v>6877</v>
      </c>
      <c r="D606" s="1" t="s">
        <v>8493</v>
      </c>
      <c r="E606" s="1" t="s">
        <v>25110</v>
      </c>
      <c r="F606" s="1">
        <v>59.0</v>
      </c>
      <c r="G606" s="1">
        <v>1.0</v>
      </c>
      <c r="H606" s="1">
        <v>11.0</v>
      </c>
      <c r="K606" s="1" t="s">
        <v>6243</v>
      </c>
      <c r="L606" s="1" t="s">
        <v>6243</v>
      </c>
      <c r="M606" s="1" t="s">
        <v>25019</v>
      </c>
      <c r="N606" s="1" t="s">
        <v>25021</v>
      </c>
      <c r="O606" s="1" t="s">
        <v>25023</v>
      </c>
      <c r="P606" s="1">
        <v>4.0</v>
      </c>
      <c r="S606" s="1">
        <v>7.0</v>
      </c>
      <c r="T606" s="1">
        <v>1000.0</v>
      </c>
      <c r="U606" s="1">
        <v>1.0</v>
      </c>
      <c r="W606" s="1">
        <v>7.0</v>
      </c>
      <c r="X606" s="1">
        <v>100.0</v>
      </c>
      <c r="Y606" s="1">
        <v>3.0</v>
      </c>
      <c r="Z606" s="1">
        <v>58.0</v>
      </c>
      <c r="AA606" s="1">
        <v>1.0</v>
      </c>
      <c r="AB606" s="1">
        <v>4.0</v>
      </c>
      <c r="AC606" s="1">
        <v>1000.0</v>
      </c>
      <c r="AD606" s="1">
        <v>3.0</v>
      </c>
      <c r="AE606" s="1">
        <v>0.0</v>
      </c>
      <c r="AU606" s="1">
        <v>0.0</v>
      </c>
      <c r="CC606" s="1" t="s">
        <v>25120</v>
      </c>
      <c r="CD606" s="153">
        <v>43868.0</v>
      </c>
      <c r="CE606" s="1">
        <v>1.0</v>
      </c>
      <c r="CF606" s="1" t="s">
        <v>22338</v>
      </c>
      <c r="CG606" s="121">
        <v>8882.0</v>
      </c>
      <c r="CH606" s="1" t="s">
        <v>25122</v>
      </c>
      <c r="CI606" s="1" t="s">
        <v>25123</v>
      </c>
      <c r="CJ606" s="121">
        <v>605.0</v>
      </c>
    </row>
    <row r="607">
      <c r="A607" s="1" t="s">
        <v>25124</v>
      </c>
      <c r="B607" s="1" t="s">
        <v>6876</v>
      </c>
      <c r="C607" s="1" t="s">
        <v>6877</v>
      </c>
      <c r="D607" s="1" t="s">
        <v>8493</v>
      </c>
      <c r="E607" s="1" t="s">
        <v>25126</v>
      </c>
      <c r="F607" s="1">
        <v>33.0</v>
      </c>
      <c r="G607" s="1">
        <v>1.0</v>
      </c>
      <c r="H607" s="1">
        <v>97.0</v>
      </c>
      <c r="K607" s="1" t="s">
        <v>436</v>
      </c>
      <c r="L607" s="1" t="s">
        <v>436</v>
      </c>
      <c r="M607" s="1" t="s">
        <v>25019</v>
      </c>
      <c r="N607" s="1" t="s">
        <v>25021</v>
      </c>
      <c r="O607" s="1" t="s">
        <v>25023</v>
      </c>
      <c r="S607" s="1">
        <v>9.0</v>
      </c>
      <c r="T607" s="1">
        <v>1000.0</v>
      </c>
      <c r="U607" s="1">
        <v>3.0</v>
      </c>
      <c r="V607" s="1">
        <v>23.0</v>
      </c>
      <c r="AU607" s="1">
        <v>0.0</v>
      </c>
      <c r="CC607" s="1" t="s">
        <v>25026</v>
      </c>
      <c r="CD607" s="153">
        <v>43868.0</v>
      </c>
      <c r="CE607" s="1">
        <v>1.0</v>
      </c>
      <c r="CF607" s="1" t="s">
        <v>22338</v>
      </c>
      <c r="CG607" s="121">
        <v>8883.0</v>
      </c>
      <c r="CH607" s="1" t="s">
        <v>25131</v>
      </c>
      <c r="CI607" s="1" t="s">
        <v>25132</v>
      </c>
      <c r="CJ607" s="121">
        <v>606.0</v>
      </c>
    </row>
    <row r="608">
      <c r="A608" s="1" t="s">
        <v>25133</v>
      </c>
      <c r="B608" s="1" t="s">
        <v>6876</v>
      </c>
      <c r="C608" s="1" t="s">
        <v>6877</v>
      </c>
      <c r="D608" s="1" t="s">
        <v>8493</v>
      </c>
      <c r="E608" s="1" t="s">
        <v>25139</v>
      </c>
      <c r="F608" s="1">
        <v>33.0</v>
      </c>
      <c r="G608" s="1">
        <v>1.0</v>
      </c>
      <c r="H608" s="1">
        <v>97.0</v>
      </c>
      <c r="K608" s="1" t="s">
        <v>15565</v>
      </c>
      <c r="L608" s="1" t="s">
        <v>15565</v>
      </c>
      <c r="M608" s="1" t="s">
        <v>25019</v>
      </c>
      <c r="N608" s="1" t="s">
        <v>25021</v>
      </c>
      <c r="O608" s="1" t="s">
        <v>25023</v>
      </c>
      <c r="AH608" s="1">
        <v>3.0</v>
      </c>
      <c r="AI608" s="1">
        <v>1000.0</v>
      </c>
      <c r="AJ608" s="1">
        <v>1.0</v>
      </c>
      <c r="AU608" s="1">
        <v>0.0</v>
      </c>
      <c r="CD608" s="153">
        <v>43868.0</v>
      </c>
      <c r="CE608" s="1">
        <v>1.0</v>
      </c>
      <c r="CF608" s="1" t="s">
        <v>22338</v>
      </c>
      <c r="CG608" s="121">
        <v>8884.0</v>
      </c>
      <c r="CH608" s="1" t="s">
        <v>25142</v>
      </c>
      <c r="CI608" s="1" t="s">
        <v>25143</v>
      </c>
      <c r="CJ608" s="121">
        <v>607.0</v>
      </c>
    </row>
    <row r="609">
      <c r="A609" s="1" t="s">
        <v>25144</v>
      </c>
      <c r="B609" s="1" t="s">
        <v>6876</v>
      </c>
      <c r="C609" s="1" t="s">
        <v>6877</v>
      </c>
      <c r="D609" s="1" t="s">
        <v>8493</v>
      </c>
      <c r="E609" s="1" t="s">
        <v>25146</v>
      </c>
      <c r="F609" s="1">
        <v>33.0</v>
      </c>
      <c r="G609" s="1">
        <v>1.0</v>
      </c>
      <c r="H609" s="1">
        <v>97.0</v>
      </c>
      <c r="K609" s="1" t="s">
        <v>436</v>
      </c>
      <c r="L609" s="1" t="s">
        <v>436</v>
      </c>
      <c r="M609" s="1" t="s">
        <v>25019</v>
      </c>
      <c r="N609" s="1" t="s">
        <v>25021</v>
      </c>
      <c r="O609" s="1" t="s">
        <v>25023</v>
      </c>
      <c r="S609" s="1">
        <v>10.0</v>
      </c>
      <c r="T609" s="1">
        <v>1000.0</v>
      </c>
      <c r="U609" s="1">
        <v>3.0</v>
      </c>
      <c r="V609" s="1">
        <v>111.0</v>
      </c>
      <c r="AU609" s="1">
        <v>0.0</v>
      </c>
      <c r="CD609" s="153">
        <v>43868.0</v>
      </c>
      <c r="CE609" s="1">
        <v>1.0</v>
      </c>
      <c r="CF609" s="1" t="s">
        <v>22338</v>
      </c>
      <c r="CG609" s="121">
        <v>8885.0</v>
      </c>
      <c r="CH609" s="1" t="s">
        <v>25151</v>
      </c>
      <c r="CI609" s="1" t="s">
        <v>25152</v>
      </c>
      <c r="CJ609" s="121">
        <v>608.0</v>
      </c>
    </row>
    <row r="610">
      <c r="A610" s="1" t="s">
        <v>25154</v>
      </c>
      <c r="B610" s="1" t="s">
        <v>6876</v>
      </c>
      <c r="C610" s="1" t="s">
        <v>6877</v>
      </c>
      <c r="D610" s="1" t="s">
        <v>8493</v>
      </c>
      <c r="E610" s="1" t="s">
        <v>25156</v>
      </c>
      <c r="F610" s="1">
        <v>58.0</v>
      </c>
      <c r="G610" s="1">
        <v>2.0</v>
      </c>
      <c r="H610" s="1">
        <v>5.0</v>
      </c>
      <c r="K610" s="1" t="s">
        <v>25159</v>
      </c>
      <c r="L610" s="1" t="s">
        <v>25159</v>
      </c>
      <c r="M610" s="1" t="s">
        <v>25019</v>
      </c>
      <c r="N610" s="1" t="s">
        <v>25162</v>
      </c>
      <c r="O610" s="1" t="s">
        <v>25163</v>
      </c>
      <c r="AH610" s="1">
        <v>7.0</v>
      </c>
      <c r="AI610" s="1">
        <v>5000.0</v>
      </c>
      <c r="AJ610" s="1">
        <v>3.0</v>
      </c>
      <c r="AK610" s="1">
        <v>0.0</v>
      </c>
      <c r="AL610" s="1">
        <v>7.0</v>
      </c>
      <c r="AM610" s="1">
        <v>1000.0</v>
      </c>
      <c r="AN610" s="1">
        <v>3.0</v>
      </c>
      <c r="AO610" s="1">
        <v>0.0</v>
      </c>
      <c r="AP610" s="1">
        <v>1.0</v>
      </c>
      <c r="AQ610" s="1">
        <v>7.0</v>
      </c>
      <c r="AR610" s="1">
        <v>100.0</v>
      </c>
      <c r="AS610" s="1">
        <v>3.0</v>
      </c>
      <c r="AT610" s="1">
        <v>0.0</v>
      </c>
      <c r="AU610" s="1">
        <v>0.0</v>
      </c>
      <c r="CD610" s="153">
        <v>43868.0</v>
      </c>
      <c r="CE610" s="1">
        <v>1.0</v>
      </c>
      <c r="CF610" s="1" t="s">
        <v>22338</v>
      </c>
      <c r="CG610" s="121">
        <v>8886.0</v>
      </c>
      <c r="CH610" s="1" t="s">
        <v>25165</v>
      </c>
      <c r="CI610" s="1" t="s">
        <v>25166</v>
      </c>
      <c r="CJ610" s="121">
        <v>609.0</v>
      </c>
    </row>
    <row r="611">
      <c r="A611" s="1" t="s">
        <v>25167</v>
      </c>
      <c r="B611" s="1" t="s">
        <v>6876</v>
      </c>
      <c r="C611" s="1" t="s">
        <v>6877</v>
      </c>
      <c r="D611" s="1" t="s">
        <v>8493</v>
      </c>
      <c r="E611" s="1" t="s">
        <v>25170</v>
      </c>
      <c r="F611" s="1">
        <v>58.0</v>
      </c>
      <c r="G611" s="1">
        <v>2.0</v>
      </c>
      <c r="H611" s="1">
        <v>8.0</v>
      </c>
      <c r="K611" s="1" t="s">
        <v>25173</v>
      </c>
      <c r="L611" s="1" t="s">
        <v>25173</v>
      </c>
      <c r="M611" s="1" t="s">
        <v>25019</v>
      </c>
      <c r="N611" s="1" t="s">
        <v>25162</v>
      </c>
      <c r="O611" s="1" t="s">
        <v>25163</v>
      </c>
      <c r="AH611" s="1">
        <v>7.0</v>
      </c>
      <c r="AI611" s="1">
        <v>5000.0</v>
      </c>
      <c r="AJ611" s="1">
        <v>3.0</v>
      </c>
      <c r="AK611" s="1">
        <v>0.0</v>
      </c>
      <c r="AL611" s="1">
        <v>7.0</v>
      </c>
      <c r="AM611" s="1">
        <v>1000.0</v>
      </c>
      <c r="AN611" s="1">
        <v>3.0</v>
      </c>
      <c r="AO611" s="1">
        <v>0.0</v>
      </c>
      <c r="AP611" s="1">
        <v>1.0</v>
      </c>
      <c r="AQ611" s="1">
        <v>7.0</v>
      </c>
      <c r="AR611" s="1">
        <v>100.0</v>
      </c>
      <c r="AS611" s="1">
        <v>3.0</v>
      </c>
      <c r="AT611" s="1">
        <v>0.0</v>
      </c>
      <c r="AU611" s="1">
        <v>0.0</v>
      </c>
      <c r="CD611" s="153">
        <v>43868.0</v>
      </c>
      <c r="CE611" s="1">
        <v>1.0</v>
      </c>
      <c r="CF611" s="1" t="s">
        <v>22338</v>
      </c>
      <c r="CG611" s="121">
        <v>8887.0</v>
      </c>
      <c r="CH611" s="1" t="s">
        <v>25178</v>
      </c>
      <c r="CI611" s="1" t="s">
        <v>25180</v>
      </c>
      <c r="CJ611" s="121">
        <v>610.0</v>
      </c>
    </row>
    <row r="612">
      <c r="A612" s="1" t="s">
        <v>25181</v>
      </c>
      <c r="B612" s="1" t="s">
        <v>6876</v>
      </c>
      <c r="C612" s="1" t="s">
        <v>6877</v>
      </c>
      <c r="D612" s="1" t="s">
        <v>8493</v>
      </c>
      <c r="E612" s="1" t="s">
        <v>25183</v>
      </c>
      <c r="F612" s="1">
        <v>58.0</v>
      </c>
      <c r="G612" s="1">
        <v>2.0</v>
      </c>
      <c r="H612" s="1">
        <v>9.0</v>
      </c>
      <c r="K612" s="1" t="s">
        <v>25186</v>
      </c>
      <c r="L612" s="1" t="s">
        <v>25186</v>
      </c>
      <c r="M612" s="1" t="s">
        <v>25019</v>
      </c>
      <c r="N612" s="1" t="s">
        <v>25162</v>
      </c>
      <c r="O612" s="1" t="s">
        <v>25163</v>
      </c>
      <c r="AH612" s="1">
        <v>7.0</v>
      </c>
      <c r="AI612" s="1">
        <v>5000.0</v>
      </c>
      <c r="AJ612" s="1">
        <v>3.0</v>
      </c>
      <c r="AK612" s="1">
        <v>0.0</v>
      </c>
      <c r="AL612" s="1">
        <v>7.0</v>
      </c>
      <c r="AM612" s="1">
        <v>1000.0</v>
      </c>
      <c r="AN612" s="1">
        <v>3.0</v>
      </c>
      <c r="AO612" s="1">
        <v>0.0</v>
      </c>
      <c r="AP612" s="1">
        <v>1.0</v>
      </c>
      <c r="AQ612" s="1">
        <v>7.0</v>
      </c>
      <c r="AR612" s="1">
        <v>100.0</v>
      </c>
      <c r="AS612" s="1">
        <v>3.0</v>
      </c>
      <c r="AT612" s="1">
        <v>0.0</v>
      </c>
      <c r="AU612" s="1">
        <v>0.0</v>
      </c>
      <c r="CD612" s="153">
        <v>43868.0</v>
      </c>
      <c r="CE612" s="1">
        <v>1.0</v>
      </c>
      <c r="CF612" s="1" t="s">
        <v>22338</v>
      </c>
      <c r="CG612" s="121">
        <v>8888.0</v>
      </c>
      <c r="CH612" s="1" t="s">
        <v>25191</v>
      </c>
      <c r="CI612" s="1" t="s">
        <v>25192</v>
      </c>
      <c r="CJ612" s="121">
        <v>611.0</v>
      </c>
    </row>
    <row r="613">
      <c r="A613" s="1" t="s">
        <v>25193</v>
      </c>
      <c r="B613" s="1" t="s">
        <v>6876</v>
      </c>
      <c r="C613" s="1" t="s">
        <v>6877</v>
      </c>
      <c r="D613" s="1" t="s">
        <v>8493</v>
      </c>
      <c r="E613" s="1" t="s">
        <v>25196</v>
      </c>
      <c r="F613" s="1">
        <v>58.0</v>
      </c>
      <c r="G613" s="1">
        <v>2.0</v>
      </c>
      <c r="H613" s="1">
        <v>2.0</v>
      </c>
      <c r="K613" s="1" t="s">
        <v>25199</v>
      </c>
      <c r="L613" s="1" t="s">
        <v>25199</v>
      </c>
      <c r="M613" s="1" t="s">
        <v>25019</v>
      </c>
      <c r="N613" s="1" t="s">
        <v>25162</v>
      </c>
      <c r="O613" s="1" t="s">
        <v>25163</v>
      </c>
      <c r="AH613" s="1">
        <v>7.0</v>
      </c>
      <c r="AI613" s="1">
        <v>5000.0</v>
      </c>
      <c r="AJ613" s="1">
        <v>3.0</v>
      </c>
      <c r="AK613" s="1">
        <v>0.0</v>
      </c>
      <c r="AL613" s="1">
        <v>7.0</v>
      </c>
      <c r="AM613" s="1">
        <v>1000.0</v>
      </c>
      <c r="AN613" s="1">
        <v>3.0</v>
      </c>
      <c r="AO613" s="1">
        <v>0.0</v>
      </c>
      <c r="AP613" s="1">
        <v>1.0</v>
      </c>
      <c r="AQ613" s="1">
        <v>7.0</v>
      </c>
      <c r="AR613" s="1">
        <v>100.0</v>
      </c>
      <c r="AS613" s="1">
        <v>3.0</v>
      </c>
      <c r="AT613" s="1">
        <v>0.0</v>
      </c>
      <c r="AU613" s="1">
        <v>0.0</v>
      </c>
      <c r="CD613" s="153">
        <v>43868.0</v>
      </c>
      <c r="CE613" s="1">
        <v>1.0</v>
      </c>
      <c r="CF613" s="1" t="s">
        <v>22338</v>
      </c>
      <c r="CG613" s="121">
        <v>8889.0</v>
      </c>
      <c r="CH613" s="1" t="s">
        <v>25205</v>
      </c>
      <c r="CI613" s="1" t="s">
        <v>25206</v>
      </c>
      <c r="CJ613" s="121">
        <v>612.0</v>
      </c>
    </row>
    <row r="614">
      <c r="A614" s="1" t="s">
        <v>25208</v>
      </c>
      <c r="B614" s="1" t="s">
        <v>6876</v>
      </c>
      <c r="C614" s="1" t="s">
        <v>6877</v>
      </c>
      <c r="D614" s="1" t="s">
        <v>8493</v>
      </c>
      <c r="E614" s="1" t="s">
        <v>25212</v>
      </c>
      <c r="F614" s="1">
        <v>58.0</v>
      </c>
      <c r="G614" s="1">
        <v>1.0</v>
      </c>
      <c r="H614" s="1">
        <v>7.0</v>
      </c>
      <c r="K614" s="1" t="s">
        <v>25213</v>
      </c>
      <c r="L614" s="1" t="s">
        <v>25213</v>
      </c>
      <c r="M614" s="1" t="s">
        <v>25019</v>
      </c>
      <c r="N614" s="1" t="s">
        <v>25162</v>
      </c>
      <c r="O614" s="1" t="s">
        <v>25163</v>
      </c>
      <c r="AH614" s="1">
        <v>7.0</v>
      </c>
      <c r="AI614" s="1">
        <v>5000.0</v>
      </c>
      <c r="AJ614" s="1">
        <v>3.0</v>
      </c>
      <c r="AK614" s="1">
        <v>0.0</v>
      </c>
      <c r="AL614" s="1">
        <v>7.0</v>
      </c>
      <c r="AM614" s="1">
        <v>1000.0</v>
      </c>
      <c r="AN614" s="1">
        <v>3.0</v>
      </c>
      <c r="AO614" s="1">
        <v>0.0</v>
      </c>
      <c r="AP614" s="1">
        <v>1.0</v>
      </c>
      <c r="AQ614" s="1">
        <v>7.0</v>
      </c>
      <c r="AR614" s="1">
        <v>100.0</v>
      </c>
      <c r="AS614" s="1">
        <v>3.0</v>
      </c>
      <c r="AT614" s="1">
        <v>0.0</v>
      </c>
      <c r="AU614" s="1">
        <v>0.0</v>
      </c>
      <c r="CD614" s="153">
        <v>43868.0</v>
      </c>
      <c r="CE614" s="1">
        <v>1.0</v>
      </c>
      <c r="CF614" s="1" t="s">
        <v>22338</v>
      </c>
      <c r="CG614" s="121">
        <v>8890.0</v>
      </c>
      <c r="CH614" s="1" t="s">
        <v>25221</v>
      </c>
      <c r="CI614" s="1" t="s">
        <v>25223</v>
      </c>
      <c r="CJ614" s="121">
        <v>613.0</v>
      </c>
    </row>
    <row r="615">
      <c r="A615" s="1" t="s">
        <v>25224</v>
      </c>
      <c r="B615" s="1" t="s">
        <v>6876</v>
      </c>
      <c r="C615" s="1" t="s">
        <v>6877</v>
      </c>
      <c r="D615" s="1" t="s">
        <v>8493</v>
      </c>
      <c r="E615" s="1" t="s">
        <v>25226</v>
      </c>
      <c r="F615" s="1">
        <v>58.0</v>
      </c>
      <c r="G615" s="1">
        <v>1.0</v>
      </c>
      <c r="H615" s="1">
        <v>7.0</v>
      </c>
      <c r="K615" s="1" t="s">
        <v>25228</v>
      </c>
      <c r="L615" s="1" t="s">
        <v>25228</v>
      </c>
      <c r="M615" s="1" t="s">
        <v>25019</v>
      </c>
      <c r="N615" s="1" t="s">
        <v>25162</v>
      </c>
      <c r="O615" s="1" t="s">
        <v>25163</v>
      </c>
      <c r="AH615" s="1">
        <v>7.0</v>
      </c>
      <c r="AI615" s="1">
        <v>5000.0</v>
      </c>
      <c r="AJ615" s="1">
        <v>3.0</v>
      </c>
      <c r="AK615" s="1">
        <v>0.0</v>
      </c>
      <c r="AL615" s="1">
        <v>7.0</v>
      </c>
      <c r="AM615" s="1">
        <v>1000.0</v>
      </c>
      <c r="AN615" s="1">
        <v>3.0</v>
      </c>
      <c r="AO615" s="1">
        <v>0.0</v>
      </c>
      <c r="AP615" s="1">
        <v>1.0</v>
      </c>
      <c r="AQ615" s="1">
        <v>7.0</v>
      </c>
      <c r="AR615" s="1">
        <v>100.0</v>
      </c>
      <c r="AS615" s="1">
        <v>3.0</v>
      </c>
      <c r="AT615" s="1">
        <v>0.0</v>
      </c>
      <c r="AU615" s="1">
        <v>0.0</v>
      </c>
      <c r="CD615" s="153">
        <v>43868.0</v>
      </c>
      <c r="CE615" s="1">
        <v>1.0</v>
      </c>
      <c r="CF615" s="1" t="s">
        <v>22338</v>
      </c>
      <c r="CG615" s="121">
        <v>8891.0</v>
      </c>
      <c r="CH615" s="1" t="s">
        <v>25236</v>
      </c>
      <c r="CI615" s="1" t="s">
        <v>25237</v>
      </c>
      <c r="CJ615" s="121">
        <v>614.0</v>
      </c>
    </row>
    <row r="616">
      <c r="A616" s="1" t="s">
        <v>25238</v>
      </c>
      <c r="B616" s="1" t="s">
        <v>6876</v>
      </c>
      <c r="C616" s="1" t="s">
        <v>6877</v>
      </c>
      <c r="D616" s="1" t="s">
        <v>8493</v>
      </c>
      <c r="E616" s="1" t="s">
        <v>25239</v>
      </c>
      <c r="F616" s="1">
        <v>59.0</v>
      </c>
      <c r="G616" s="1">
        <v>1.0</v>
      </c>
      <c r="H616" s="1">
        <v>11.0</v>
      </c>
      <c r="K616" s="1" t="s">
        <v>25242</v>
      </c>
      <c r="L616" s="1" t="s">
        <v>25242</v>
      </c>
      <c r="M616" s="1" t="s">
        <v>25019</v>
      </c>
      <c r="N616" s="1" t="s">
        <v>25162</v>
      </c>
      <c r="O616" s="1" t="s">
        <v>25163</v>
      </c>
      <c r="P616" s="1">
        <v>4.0</v>
      </c>
      <c r="AH616" s="1">
        <v>7.0</v>
      </c>
      <c r="AI616" s="1">
        <v>5000.0</v>
      </c>
      <c r="AJ616" s="1">
        <v>3.0</v>
      </c>
      <c r="AK616" s="1">
        <v>0.0</v>
      </c>
      <c r="AL616" s="1">
        <v>7.0</v>
      </c>
      <c r="AM616" s="1">
        <v>1000.0</v>
      </c>
      <c r="AN616" s="1">
        <v>3.0</v>
      </c>
      <c r="AO616" s="1">
        <v>0.0</v>
      </c>
      <c r="AP616" s="1">
        <v>1.0</v>
      </c>
      <c r="AQ616" s="1">
        <v>7.0</v>
      </c>
      <c r="AR616" s="1">
        <v>100.0</v>
      </c>
      <c r="AS616" s="1">
        <v>3.0</v>
      </c>
      <c r="AT616" s="1">
        <v>0.0</v>
      </c>
      <c r="AU616" s="1">
        <v>0.0</v>
      </c>
      <c r="CD616" s="153">
        <v>43868.0</v>
      </c>
      <c r="CE616" s="1">
        <v>1.0</v>
      </c>
      <c r="CF616" s="1" t="s">
        <v>22338</v>
      </c>
      <c r="CG616" s="121">
        <v>8892.0</v>
      </c>
      <c r="CH616" s="1" t="s">
        <v>25248</v>
      </c>
      <c r="CI616" s="1" t="s">
        <v>25249</v>
      </c>
      <c r="CJ616" s="121">
        <v>615.0</v>
      </c>
    </row>
    <row r="617">
      <c r="A617" s="1" t="s">
        <v>25252</v>
      </c>
      <c r="B617" s="1" t="s">
        <v>6876</v>
      </c>
      <c r="C617" s="1" t="s">
        <v>6877</v>
      </c>
      <c r="D617" s="1" t="s">
        <v>8493</v>
      </c>
      <c r="E617" s="1" t="s">
        <v>25254</v>
      </c>
      <c r="F617" s="1">
        <v>59.0</v>
      </c>
      <c r="G617" s="1">
        <v>1.0</v>
      </c>
      <c r="H617" s="1">
        <v>11.0</v>
      </c>
      <c r="K617" s="1" t="s">
        <v>25256</v>
      </c>
      <c r="L617" s="1" t="s">
        <v>25256</v>
      </c>
      <c r="M617" s="1" t="s">
        <v>25019</v>
      </c>
      <c r="N617" s="1" t="s">
        <v>25162</v>
      </c>
      <c r="O617" s="1" t="s">
        <v>25163</v>
      </c>
      <c r="P617" s="1">
        <v>4.0</v>
      </c>
      <c r="AH617" s="1">
        <v>7.0</v>
      </c>
      <c r="AI617" s="1">
        <v>5000.0</v>
      </c>
      <c r="AJ617" s="1">
        <v>3.0</v>
      </c>
      <c r="AK617" s="1">
        <v>0.0</v>
      </c>
      <c r="AL617" s="1">
        <v>7.0</v>
      </c>
      <c r="AM617" s="1">
        <v>1000.0</v>
      </c>
      <c r="AN617" s="1">
        <v>3.0</v>
      </c>
      <c r="AO617" s="1">
        <v>0.0</v>
      </c>
      <c r="AP617" s="1">
        <v>1.0</v>
      </c>
      <c r="AQ617" s="1">
        <v>7.0</v>
      </c>
      <c r="AR617" s="1">
        <v>100.0</v>
      </c>
      <c r="AS617" s="1">
        <v>3.0</v>
      </c>
      <c r="AT617" s="1">
        <v>0.0</v>
      </c>
      <c r="AU617" s="1">
        <v>0.0</v>
      </c>
      <c r="CD617" s="153">
        <v>43868.0</v>
      </c>
      <c r="CE617" s="1">
        <v>1.0</v>
      </c>
      <c r="CF617" s="1" t="s">
        <v>22338</v>
      </c>
      <c r="CG617" s="121">
        <v>8893.0</v>
      </c>
      <c r="CH617" s="1" t="s">
        <v>25263</v>
      </c>
      <c r="CI617" s="1" t="s">
        <v>25265</v>
      </c>
      <c r="CJ617" s="121">
        <v>616.0</v>
      </c>
    </row>
    <row r="618">
      <c r="A618" s="1" t="s">
        <v>25266</v>
      </c>
      <c r="B618" s="1" t="s">
        <v>6876</v>
      </c>
      <c r="C618" s="1" t="s">
        <v>6877</v>
      </c>
      <c r="D618" s="1" t="s">
        <v>8493</v>
      </c>
      <c r="E618" s="1" t="s">
        <v>25268</v>
      </c>
      <c r="F618" s="1">
        <v>58.0</v>
      </c>
      <c r="G618" s="1">
        <v>1.0</v>
      </c>
      <c r="H618" s="1">
        <v>16.0</v>
      </c>
      <c r="K618" s="1" t="s">
        <v>25269</v>
      </c>
      <c r="L618" s="1" t="s">
        <v>25269</v>
      </c>
      <c r="M618" s="1" t="s">
        <v>25019</v>
      </c>
      <c r="N618" s="1" t="s">
        <v>25162</v>
      </c>
      <c r="O618" s="1" t="s">
        <v>25163</v>
      </c>
      <c r="AH618" s="1">
        <v>7.0</v>
      </c>
      <c r="AI618" s="1">
        <v>5000.0</v>
      </c>
      <c r="AJ618" s="1">
        <v>1.0</v>
      </c>
      <c r="AL618" s="1">
        <v>7.0</v>
      </c>
      <c r="AM618" s="1">
        <v>1000.0</v>
      </c>
      <c r="AN618" s="1">
        <v>3.0</v>
      </c>
      <c r="AO618" s="1">
        <v>89.0</v>
      </c>
      <c r="AP618" s="1">
        <v>1.0</v>
      </c>
      <c r="AQ618" s="1">
        <v>7.0</v>
      </c>
      <c r="AR618" s="1">
        <v>100.0</v>
      </c>
      <c r="AS618" s="1">
        <v>3.0</v>
      </c>
      <c r="AT618" s="1">
        <v>6.0</v>
      </c>
      <c r="AU618" s="1">
        <v>0.0</v>
      </c>
      <c r="CD618" s="153">
        <v>43868.0</v>
      </c>
      <c r="CE618" s="1">
        <v>1.0</v>
      </c>
      <c r="CF618" s="1" t="s">
        <v>22338</v>
      </c>
      <c r="CG618" s="121">
        <v>8894.0</v>
      </c>
      <c r="CH618" s="1" t="s">
        <v>25276</v>
      </c>
      <c r="CI618" s="1" t="s">
        <v>25277</v>
      </c>
      <c r="CJ618" s="121">
        <v>617.0</v>
      </c>
    </row>
    <row r="619">
      <c r="A619" s="1" t="s">
        <v>25278</v>
      </c>
      <c r="B619" s="1" t="s">
        <v>6876</v>
      </c>
      <c r="C619" s="1" t="s">
        <v>6877</v>
      </c>
      <c r="D619" s="1" t="s">
        <v>8493</v>
      </c>
      <c r="E619" s="1" t="s">
        <v>25280</v>
      </c>
      <c r="F619" s="1">
        <v>59.0</v>
      </c>
      <c r="G619" s="1">
        <v>1.0</v>
      </c>
      <c r="H619" s="1">
        <v>11.0</v>
      </c>
      <c r="K619" s="1" t="s">
        <v>6364</v>
      </c>
      <c r="L619" s="1" t="s">
        <v>6364</v>
      </c>
      <c r="M619" s="1" t="s">
        <v>25281</v>
      </c>
      <c r="N619" s="1" t="s">
        <v>25162</v>
      </c>
      <c r="O619" s="1" t="s">
        <v>25163</v>
      </c>
      <c r="P619" s="1">
        <v>4.0</v>
      </c>
      <c r="S619" s="1">
        <v>7.0</v>
      </c>
      <c r="T619" s="1">
        <v>1000.0</v>
      </c>
      <c r="U619" s="1">
        <v>1.0</v>
      </c>
      <c r="W619" s="1">
        <v>7.0</v>
      </c>
      <c r="X619" s="1">
        <v>100.0</v>
      </c>
      <c r="Y619" s="1">
        <v>1.0</v>
      </c>
      <c r="AA619" s="1">
        <v>1.0</v>
      </c>
      <c r="AB619" s="1">
        <v>4.0</v>
      </c>
      <c r="AC619" s="1">
        <v>1000.0</v>
      </c>
      <c r="AD619" s="1">
        <v>3.0</v>
      </c>
      <c r="AE619" s="1">
        <v>8.0</v>
      </c>
      <c r="AH619" s="1">
        <v>7.0</v>
      </c>
      <c r="AI619" s="1">
        <v>5000.0</v>
      </c>
      <c r="AJ619" s="1">
        <v>3.0</v>
      </c>
      <c r="AK619" s="1">
        <v>0.0</v>
      </c>
      <c r="AL619" s="1">
        <v>7.0</v>
      </c>
      <c r="AM619" s="1">
        <v>1000.0</v>
      </c>
      <c r="AN619" s="1">
        <v>3.0</v>
      </c>
      <c r="AO619" s="1">
        <v>0.0</v>
      </c>
      <c r="AP619" s="1">
        <v>1.0</v>
      </c>
      <c r="AQ619" s="1">
        <v>7.0</v>
      </c>
      <c r="AR619" s="1">
        <v>100.0</v>
      </c>
      <c r="AS619" s="1">
        <v>3.0</v>
      </c>
      <c r="AT619" s="1">
        <v>0.0</v>
      </c>
      <c r="AU619" s="1">
        <v>0.0</v>
      </c>
      <c r="CC619" s="1" t="s">
        <v>25288</v>
      </c>
      <c r="CD619" s="153">
        <v>43868.0</v>
      </c>
      <c r="CE619" s="1">
        <v>1.0</v>
      </c>
      <c r="CF619" s="1" t="s">
        <v>22338</v>
      </c>
      <c r="CG619" s="121">
        <v>8895.0</v>
      </c>
      <c r="CH619" s="1" t="s">
        <v>25292</v>
      </c>
      <c r="CI619" s="1" t="s">
        <v>25293</v>
      </c>
      <c r="CJ619" s="121">
        <v>618.0</v>
      </c>
    </row>
    <row r="620">
      <c r="A620" s="1" t="s">
        <v>25294</v>
      </c>
      <c r="B620" s="1" t="s">
        <v>6876</v>
      </c>
      <c r="C620" s="1" t="s">
        <v>6877</v>
      </c>
      <c r="D620" s="1" t="s">
        <v>8493</v>
      </c>
      <c r="E620" s="1" t="s">
        <v>25296</v>
      </c>
      <c r="F620" s="1">
        <v>59.0</v>
      </c>
      <c r="G620" s="1">
        <v>1.0</v>
      </c>
      <c r="H620" s="1">
        <v>11.0</v>
      </c>
      <c r="K620" s="1" t="s">
        <v>6378</v>
      </c>
      <c r="L620" s="1" t="s">
        <v>6378</v>
      </c>
      <c r="M620" s="1" t="s">
        <v>25281</v>
      </c>
      <c r="N620" s="1" t="s">
        <v>25162</v>
      </c>
      <c r="O620" s="1" t="s">
        <v>25163</v>
      </c>
      <c r="P620" s="1">
        <v>4.0</v>
      </c>
      <c r="S620" s="1">
        <v>7.0</v>
      </c>
      <c r="T620" s="1">
        <v>1000.0</v>
      </c>
      <c r="U620" s="1">
        <v>1.0</v>
      </c>
      <c r="W620" s="1">
        <v>7.0</v>
      </c>
      <c r="X620" s="1">
        <v>100.0</v>
      </c>
      <c r="Y620" s="1">
        <v>3.0</v>
      </c>
      <c r="Z620" s="1">
        <v>103.0</v>
      </c>
      <c r="AA620" s="1">
        <v>1.0</v>
      </c>
      <c r="AB620" s="1">
        <v>4.0</v>
      </c>
      <c r="AC620" s="1">
        <v>1000.0</v>
      </c>
      <c r="AD620" s="1">
        <v>3.0</v>
      </c>
      <c r="AE620" s="1">
        <v>45.0</v>
      </c>
      <c r="AH620" s="1">
        <v>7.0</v>
      </c>
      <c r="AI620" s="1">
        <v>5000.0</v>
      </c>
      <c r="AJ620" s="1">
        <v>3.0</v>
      </c>
      <c r="AK620" s="1">
        <v>0.0</v>
      </c>
      <c r="AL620" s="1">
        <v>7.0</v>
      </c>
      <c r="AM620" s="1">
        <v>1000.0</v>
      </c>
      <c r="AN620" s="1">
        <v>3.0</v>
      </c>
      <c r="AO620" s="1">
        <v>0.0</v>
      </c>
      <c r="AP620" s="1">
        <v>1.0</v>
      </c>
      <c r="AQ620" s="1">
        <v>7.0</v>
      </c>
      <c r="AR620" s="1">
        <v>100.0</v>
      </c>
      <c r="AS620" s="1">
        <v>3.0</v>
      </c>
      <c r="AT620" s="1">
        <v>0.0</v>
      </c>
      <c r="AU620" s="1">
        <v>0.0</v>
      </c>
      <c r="CC620" s="1" t="s">
        <v>25288</v>
      </c>
      <c r="CD620" s="153">
        <v>43868.0</v>
      </c>
      <c r="CE620" s="1">
        <v>1.0</v>
      </c>
      <c r="CF620" s="1" t="s">
        <v>22338</v>
      </c>
      <c r="CG620" s="121">
        <v>8896.0</v>
      </c>
      <c r="CH620" s="1" t="s">
        <v>25305</v>
      </c>
      <c r="CI620" s="1" t="s">
        <v>25306</v>
      </c>
      <c r="CJ620" s="121">
        <v>619.0</v>
      </c>
    </row>
    <row r="621">
      <c r="A621" s="1" t="s">
        <v>25308</v>
      </c>
      <c r="B621" s="1" t="s">
        <v>6876</v>
      </c>
      <c r="C621" s="1" t="s">
        <v>6877</v>
      </c>
      <c r="D621" s="1" t="s">
        <v>8493</v>
      </c>
      <c r="E621" s="1" t="s">
        <v>25311</v>
      </c>
      <c r="F621" s="1">
        <v>58.0</v>
      </c>
      <c r="G621" s="1">
        <v>2.0</v>
      </c>
      <c r="H621" s="1">
        <v>2.0</v>
      </c>
      <c r="K621" s="1" t="s">
        <v>3503</v>
      </c>
      <c r="L621" s="1" t="s">
        <v>3503</v>
      </c>
      <c r="M621" s="1" t="s">
        <v>25281</v>
      </c>
      <c r="N621" s="1" t="s">
        <v>25162</v>
      </c>
      <c r="O621" s="1" t="s">
        <v>25163</v>
      </c>
      <c r="S621" s="1">
        <v>7.0</v>
      </c>
      <c r="T621" s="1">
        <v>1000.0</v>
      </c>
      <c r="U621" s="1">
        <v>3.0</v>
      </c>
      <c r="V621" s="1">
        <v>5.0</v>
      </c>
      <c r="W621" s="1">
        <v>7.0</v>
      </c>
      <c r="X621" s="1">
        <v>100.0</v>
      </c>
      <c r="Y621" s="1">
        <v>3.0</v>
      </c>
      <c r="Z621" s="1">
        <v>0.0</v>
      </c>
      <c r="AA621" s="1">
        <v>0.0</v>
      </c>
      <c r="AH621" s="1">
        <v>7.0</v>
      </c>
      <c r="AI621" s="1">
        <v>5000.0</v>
      </c>
      <c r="AJ621" s="1">
        <v>3.0</v>
      </c>
      <c r="AK621" s="1">
        <v>0.0</v>
      </c>
      <c r="AL621" s="1">
        <v>7.0</v>
      </c>
      <c r="AM621" s="1">
        <v>1000.0</v>
      </c>
      <c r="AN621" s="1">
        <v>3.0</v>
      </c>
      <c r="AO621" s="1">
        <v>0.0</v>
      </c>
      <c r="AP621" s="1">
        <v>1.0</v>
      </c>
      <c r="AQ621" s="1">
        <v>7.0</v>
      </c>
      <c r="AR621" s="1">
        <v>100.0</v>
      </c>
      <c r="AS621" s="1">
        <v>3.0</v>
      </c>
      <c r="AT621" s="1">
        <v>0.0</v>
      </c>
      <c r="AU621" s="1">
        <v>0.0</v>
      </c>
      <c r="CD621" s="153">
        <v>43868.0</v>
      </c>
      <c r="CE621" s="1">
        <v>1.0</v>
      </c>
      <c r="CF621" s="1" t="s">
        <v>22338</v>
      </c>
      <c r="CG621" s="121">
        <v>8897.0</v>
      </c>
      <c r="CH621" s="1" t="s">
        <v>25322</v>
      </c>
      <c r="CI621" s="1" t="s">
        <v>25323</v>
      </c>
      <c r="CJ621" s="121">
        <v>620.0</v>
      </c>
    </row>
    <row r="622">
      <c r="A622" s="1" t="s">
        <v>25326</v>
      </c>
      <c r="B622" s="1" t="s">
        <v>6876</v>
      </c>
      <c r="C622" s="1" t="s">
        <v>6877</v>
      </c>
      <c r="D622" s="1" t="s">
        <v>8493</v>
      </c>
      <c r="E622" s="1" t="s">
        <v>25327</v>
      </c>
      <c r="F622" s="1">
        <v>58.0</v>
      </c>
      <c r="G622" s="1">
        <v>2.0</v>
      </c>
      <c r="H622" s="1">
        <v>2.0</v>
      </c>
      <c r="K622" s="1" t="s">
        <v>3510</v>
      </c>
      <c r="L622" s="1" t="s">
        <v>3510</v>
      </c>
      <c r="M622" s="1" t="s">
        <v>25281</v>
      </c>
      <c r="N622" s="1" t="s">
        <v>25162</v>
      </c>
      <c r="O622" s="1" t="s">
        <v>25163</v>
      </c>
      <c r="S622" s="1">
        <v>7.0</v>
      </c>
      <c r="T622" s="1">
        <v>1000.0</v>
      </c>
      <c r="U622" s="1">
        <v>3.0</v>
      </c>
      <c r="V622" s="1">
        <v>2.0</v>
      </c>
      <c r="W622" s="1">
        <v>7.0</v>
      </c>
      <c r="X622" s="1">
        <v>100.0</v>
      </c>
      <c r="Y622" s="1">
        <v>3.0</v>
      </c>
      <c r="Z622" s="1">
        <v>1.0</v>
      </c>
      <c r="AA622" s="1">
        <v>0.0</v>
      </c>
      <c r="AH622" s="1">
        <v>7.0</v>
      </c>
      <c r="AI622" s="1">
        <v>5000.0</v>
      </c>
      <c r="AJ622" s="1">
        <v>3.0</v>
      </c>
      <c r="AK622" s="1">
        <v>1.0</v>
      </c>
      <c r="AL622" s="1">
        <v>7.0</v>
      </c>
      <c r="AM622" s="1">
        <v>1000.0</v>
      </c>
      <c r="AN622" s="1">
        <v>3.0</v>
      </c>
      <c r="AO622" s="1">
        <v>0.0</v>
      </c>
      <c r="AP622" s="1">
        <v>1.0</v>
      </c>
      <c r="AQ622" s="1">
        <v>7.0</v>
      </c>
      <c r="AR622" s="1">
        <v>100.0</v>
      </c>
      <c r="AS622" s="1">
        <v>3.0</v>
      </c>
      <c r="AT622" s="1">
        <v>0.0</v>
      </c>
      <c r="AU622" s="1">
        <v>0.0</v>
      </c>
      <c r="CD622" s="153">
        <v>43868.0</v>
      </c>
      <c r="CE622" s="1">
        <v>1.0</v>
      </c>
      <c r="CF622" s="1" t="s">
        <v>22338</v>
      </c>
      <c r="CG622" s="121">
        <v>8898.0</v>
      </c>
      <c r="CH622" s="1" t="s">
        <v>25340</v>
      </c>
      <c r="CI622" s="1" t="s">
        <v>25342</v>
      </c>
      <c r="CJ622" s="121">
        <v>621.0</v>
      </c>
    </row>
    <row r="623">
      <c r="A623" s="1" t="s">
        <v>25344</v>
      </c>
      <c r="B623" s="1" t="s">
        <v>6876</v>
      </c>
      <c r="C623" s="1" t="s">
        <v>6877</v>
      </c>
      <c r="D623" s="1" t="s">
        <v>8493</v>
      </c>
      <c r="E623" s="1" t="s">
        <v>25346</v>
      </c>
      <c r="F623" s="1">
        <v>58.0</v>
      </c>
      <c r="G623" s="1">
        <v>1.0</v>
      </c>
      <c r="H623" s="1">
        <v>8.0</v>
      </c>
      <c r="K623" s="1" t="s">
        <v>3517</v>
      </c>
      <c r="L623" s="1" t="s">
        <v>3517</v>
      </c>
      <c r="M623" s="1" t="s">
        <v>25281</v>
      </c>
      <c r="N623" s="1" t="s">
        <v>25162</v>
      </c>
      <c r="O623" s="1" t="s">
        <v>25163</v>
      </c>
      <c r="S623" s="1">
        <v>7.0</v>
      </c>
      <c r="T623" s="1">
        <v>1000.0</v>
      </c>
      <c r="U623" s="1">
        <v>3.0</v>
      </c>
      <c r="V623" s="1">
        <v>16.0</v>
      </c>
      <c r="W623" s="1">
        <v>7.0</v>
      </c>
      <c r="X623" s="1">
        <v>100.0</v>
      </c>
      <c r="Y623" s="1">
        <v>3.0</v>
      </c>
      <c r="Z623" s="1">
        <v>2.0</v>
      </c>
      <c r="AA623" s="1">
        <v>0.0</v>
      </c>
      <c r="AH623" s="1">
        <v>7.0</v>
      </c>
      <c r="AI623" s="1">
        <v>5000.0</v>
      </c>
      <c r="AJ623" s="1">
        <v>3.0</v>
      </c>
      <c r="AK623" s="1">
        <v>0.0</v>
      </c>
      <c r="AL623" s="1">
        <v>7.0</v>
      </c>
      <c r="AM623" s="1">
        <v>1000.0</v>
      </c>
      <c r="AN623" s="1">
        <v>3.0</v>
      </c>
      <c r="AO623" s="1">
        <v>0.0</v>
      </c>
      <c r="AP623" s="1">
        <v>1.0</v>
      </c>
      <c r="AQ623" s="1">
        <v>7.0</v>
      </c>
      <c r="AR623" s="1">
        <v>100.0</v>
      </c>
      <c r="AS623" s="1">
        <v>3.0</v>
      </c>
      <c r="AT623" s="1">
        <v>0.0</v>
      </c>
      <c r="AU623" s="1">
        <v>0.0</v>
      </c>
      <c r="CD623" s="153">
        <v>43868.0</v>
      </c>
      <c r="CE623" s="1">
        <v>1.0</v>
      </c>
      <c r="CF623" s="1" t="s">
        <v>22338</v>
      </c>
      <c r="CG623" s="121">
        <v>8899.0</v>
      </c>
      <c r="CH623" s="1" t="s">
        <v>25351</v>
      </c>
      <c r="CI623" s="1" t="s">
        <v>25353</v>
      </c>
      <c r="CJ623" s="121">
        <v>622.0</v>
      </c>
    </row>
    <row r="624">
      <c r="A624" s="1" t="s">
        <v>25356</v>
      </c>
      <c r="B624" s="1" t="s">
        <v>6876</v>
      </c>
      <c r="C624" s="1" t="s">
        <v>6877</v>
      </c>
      <c r="D624" s="1" t="s">
        <v>8493</v>
      </c>
      <c r="E624" s="1" t="s">
        <v>25359</v>
      </c>
      <c r="F624" s="1">
        <v>57.0</v>
      </c>
      <c r="G624" s="1">
        <v>1.0</v>
      </c>
      <c r="H624" s="1">
        <v>16.0</v>
      </c>
      <c r="K624" s="1" t="s">
        <v>6445</v>
      </c>
      <c r="L624" s="1" t="s">
        <v>6445</v>
      </c>
      <c r="M624" s="1" t="s">
        <v>25281</v>
      </c>
      <c r="N624" s="1" t="s">
        <v>25162</v>
      </c>
      <c r="O624" s="1" t="s">
        <v>25163</v>
      </c>
      <c r="S624" s="1">
        <v>7.0</v>
      </c>
      <c r="T624" s="1">
        <v>1000.0</v>
      </c>
      <c r="U624" s="1">
        <v>4.0</v>
      </c>
      <c r="W624" s="1">
        <v>7.0</v>
      </c>
      <c r="X624" s="1">
        <v>100.0</v>
      </c>
      <c r="Y624" s="1">
        <v>1.0</v>
      </c>
      <c r="AA624" s="1">
        <v>1.0</v>
      </c>
      <c r="AB624" s="1">
        <v>4.0</v>
      </c>
      <c r="AC624" s="1">
        <v>1000.0</v>
      </c>
      <c r="AD624" s="1">
        <v>3.0</v>
      </c>
      <c r="AE624" s="1">
        <v>14.0</v>
      </c>
      <c r="AH624" s="1">
        <v>7.0</v>
      </c>
      <c r="AI624" s="1">
        <v>5000.0</v>
      </c>
      <c r="AJ624" s="1">
        <v>1.0</v>
      </c>
      <c r="AL624" s="1">
        <v>7.0</v>
      </c>
      <c r="AM624" s="1">
        <v>1000.0</v>
      </c>
      <c r="AN624" s="1">
        <v>1.0</v>
      </c>
      <c r="AP624" s="1">
        <v>1.0</v>
      </c>
      <c r="AQ624" s="1">
        <v>7.0</v>
      </c>
      <c r="AR624" s="1">
        <v>100.0</v>
      </c>
      <c r="AS624" s="1">
        <v>3.0</v>
      </c>
      <c r="AT624" s="1">
        <v>42.0</v>
      </c>
      <c r="AU624" s="1">
        <v>0.0</v>
      </c>
      <c r="CC624" s="1" t="s">
        <v>25368</v>
      </c>
      <c r="CD624" s="153">
        <v>43868.0</v>
      </c>
      <c r="CE624" s="1">
        <v>1.0</v>
      </c>
      <c r="CF624" s="1" t="s">
        <v>22338</v>
      </c>
      <c r="CG624" s="121">
        <v>8900.0</v>
      </c>
      <c r="CH624" s="1" t="s">
        <v>25371</v>
      </c>
      <c r="CI624" s="1" t="s">
        <v>25372</v>
      </c>
      <c r="CJ624" s="121">
        <v>623.0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8.29"/>
    <col customWidth="1" min="2" max="4" width="8.71"/>
    <col customWidth="1" min="5" max="5" width="10.71"/>
    <col customWidth="1" min="6" max="6" width="28.29"/>
    <col customWidth="1" min="7" max="16" width="8.71"/>
    <col customWidth="1" min="17" max="17" width="41.29"/>
    <col customWidth="1" min="18" max="26" width="8.71"/>
  </cols>
  <sheetData>
    <row r="1">
      <c r="A1" s="50" t="s">
        <v>6827</v>
      </c>
      <c r="B1" s="50" t="s">
        <v>2187</v>
      </c>
      <c r="C1" s="50" t="s">
        <v>2188</v>
      </c>
      <c r="D1" s="50" t="s">
        <v>2189</v>
      </c>
      <c r="E1" s="50" t="s">
        <v>6830</v>
      </c>
      <c r="F1" s="50" t="s">
        <v>6831</v>
      </c>
      <c r="G1" s="50" t="s">
        <v>6832</v>
      </c>
      <c r="H1" s="50" t="s">
        <v>6834</v>
      </c>
      <c r="I1" s="50" t="s">
        <v>6835</v>
      </c>
      <c r="J1" s="50" t="s">
        <v>6838</v>
      </c>
      <c r="K1" s="50" t="s">
        <v>6839</v>
      </c>
      <c r="L1" s="50" t="s">
        <v>1274</v>
      </c>
      <c r="M1" s="50" t="s">
        <v>6842</v>
      </c>
      <c r="N1" s="50" t="s">
        <v>14440</v>
      </c>
      <c r="O1" s="50" t="s">
        <v>14443</v>
      </c>
      <c r="P1" s="50" t="s">
        <v>6867</v>
      </c>
      <c r="Q1" s="50" t="s">
        <v>6868</v>
      </c>
      <c r="R1" s="50" t="s">
        <v>6869</v>
      </c>
      <c r="S1" s="50" t="s">
        <v>2267</v>
      </c>
      <c r="T1" s="50" t="s">
        <v>2268</v>
      </c>
      <c r="U1" s="50" t="s">
        <v>2269</v>
      </c>
      <c r="V1" s="50" t="s">
        <v>2270</v>
      </c>
      <c r="W1" s="50" t="s">
        <v>2271</v>
      </c>
    </row>
    <row r="2">
      <c r="A2" s="50" t="s">
        <v>14446</v>
      </c>
      <c r="B2" s="50" t="s">
        <v>6876</v>
      </c>
      <c r="C2" s="50" t="s">
        <v>6877</v>
      </c>
      <c r="D2" s="50" t="s">
        <v>6878</v>
      </c>
      <c r="E2" s="144">
        <v>43600.0</v>
      </c>
      <c r="F2" s="50" t="s">
        <v>14449</v>
      </c>
      <c r="G2" s="50">
        <v>58.0</v>
      </c>
      <c r="H2" s="50">
        <v>1.0</v>
      </c>
      <c r="I2" s="50">
        <v>7.0</v>
      </c>
      <c r="J2" s="116"/>
      <c r="K2" s="116"/>
      <c r="L2" s="50" t="s">
        <v>2274</v>
      </c>
      <c r="M2" s="50" t="s">
        <v>2274</v>
      </c>
      <c r="N2" s="50">
        <v>1.0</v>
      </c>
      <c r="O2" s="50" t="s">
        <v>14451</v>
      </c>
      <c r="P2" s="116"/>
      <c r="Q2" s="116"/>
      <c r="R2" s="50">
        <v>4.0</v>
      </c>
      <c r="S2" s="50" t="s">
        <v>14454</v>
      </c>
      <c r="T2" s="117">
        <v>2837.0</v>
      </c>
      <c r="U2" s="50" t="s">
        <v>14455</v>
      </c>
      <c r="V2" s="50" t="s">
        <v>14457</v>
      </c>
      <c r="W2" s="117">
        <v>1.0</v>
      </c>
    </row>
    <row r="3">
      <c r="A3" s="50" t="s">
        <v>14449</v>
      </c>
      <c r="B3" s="50" t="s">
        <v>6876</v>
      </c>
      <c r="C3" s="50" t="s">
        <v>6877</v>
      </c>
      <c r="D3" s="50" t="s">
        <v>6878</v>
      </c>
      <c r="E3" s="144">
        <v>43600.0</v>
      </c>
      <c r="F3" s="50" t="s">
        <v>14459</v>
      </c>
      <c r="G3" s="50">
        <v>58.0</v>
      </c>
      <c r="H3" s="50">
        <v>2.0</v>
      </c>
      <c r="I3" s="50">
        <v>2.0</v>
      </c>
      <c r="J3" s="116"/>
      <c r="K3" s="116"/>
      <c r="L3" s="51" t="s">
        <v>140</v>
      </c>
      <c r="M3" s="51" t="s">
        <v>140</v>
      </c>
      <c r="N3" s="50">
        <v>1.0</v>
      </c>
      <c r="O3" s="50" t="s">
        <v>14461</v>
      </c>
      <c r="P3" s="116"/>
      <c r="Q3" s="116"/>
      <c r="R3" s="50" t="s">
        <v>6991</v>
      </c>
      <c r="S3" s="50" t="s">
        <v>14454</v>
      </c>
      <c r="T3" s="117">
        <v>2838.0</v>
      </c>
      <c r="U3" s="50" t="s">
        <v>14462</v>
      </c>
      <c r="V3" s="50" t="s">
        <v>14463</v>
      </c>
      <c r="W3" s="117">
        <v>2.0</v>
      </c>
    </row>
    <row r="4">
      <c r="A4" s="50" t="s">
        <v>14459</v>
      </c>
      <c r="B4" s="50" t="s">
        <v>6876</v>
      </c>
      <c r="C4" s="50" t="s">
        <v>6877</v>
      </c>
      <c r="D4" s="50" t="s">
        <v>6878</v>
      </c>
      <c r="E4" s="144">
        <v>43600.0</v>
      </c>
      <c r="F4" s="50" t="s">
        <v>14465</v>
      </c>
      <c r="G4" s="50">
        <v>58.0</v>
      </c>
      <c r="H4" s="50">
        <v>2.0</v>
      </c>
      <c r="I4" s="50">
        <v>2.0</v>
      </c>
      <c r="J4" s="116"/>
      <c r="K4" s="116"/>
      <c r="L4" s="51" t="s">
        <v>178</v>
      </c>
      <c r="M4" s="51" t="s">
        <v>178</v>
      </c>
      <c r="N4" s="50">
        <v>1.0</v>
      </c>
      <c r="O4" s="50" t="s">
        <v>14461</v>
      </c>
      <c r="P4" s="116"/>
      <c r="Q4" s="116"/>
      <c r="R4" s="50" t="s">
        <v>6991</v>
      </c>
      <c r="S4" s="50" t="s">
        <v>14454</v>
      </c>
      <c r="T4" s="117">
        <v>2839.0</v>
      </c>
      <c r="U4" s="50" t="s">
        <v>14469</v>
      </c>
      <c r="V4" s="50" t="s">
        <v>14470</v>
      </c>
      <c r="W4" s="117">
        <v>3.0</v>
      </c>
    </row>
    <row r="5">
      <c r="A5" s="50" t="s">
        <v>14465</v>
      </c>
      <c r="B5" s="50" t="s">
        <v>6876</v>
      </c>
      <c r="C5" s="50" t="s">
        <v>6877</v>
      </c>
      <c r="D5" s="50" t="s">
        <v>6878</v>
      </c>
      <c r="E5" s="144">
        <v>43600.0</v>
      </c>
      <c r="F5" s="50" t="s">
        <v>14471</v>
      </c>
      <c r="G5" s="50">
        <v>58.0</v>
      </c>
      <c r="H5" s="50">
        <v>2.0</v>
      </c>
      <c r="I5" s="50">
        <v>8.0</v>
      </c>
      <c r="J5" s="116"/>
      <c r="K5" s="116"/>
      <c r="L5" s="51" t="s">
        <v>197</v>
      </c>
      <c r="M5" s="51" t="s">
        <v>197</v>
      </c>
      <c r="N5" s="50">
        <v>1.0</v>
      </c>
      <c r="O5" s="50" t="s">
        <v>14461</v>
      </c>
      <c r="P5" s="116"/>
      <c r="Q5" s="116"/>
      <c r="R5" s="50" t="s">
        <v>6991</v>
      </c>
      <c r="S5" s="50" t="s">
        <v>14454</v>
      </c>
      <c r="T5" s="117">
        <v>2845.0</v>
      </c>
      <c r="U5" s="50" t="s">
        <v>14477</v>
      </c>
      <c r="V5" s="50" t="s">
        <v>14478</v>
      </c>
      <c r="W5" s="117">
        <v>4.0</v>
      </c>
    </row>
    <row r="6">
      <c r="A6" s="50" t="s">
        <v>14471</v>
      </c>
      <c r="B6" s="50" t="s">
        <v>6876</v>
      </c>
      <c r="C6" s="50" t="s">
        <v>6877</v>
      </c>
      <c r="D6" s="50" t="s">
        <v>6878</v>
      </c>
      <c r="E6" s="144">
        <v>43600.0</v>
      </c>
      <c r="F6" s="50" t="s">
        <v>14479</v>
      </c>
      <c r="G6" s="50">
        <v>58.0</v>
      </c>
      <c r="H6" s="50">
        <v>2.0</v>
      </c>
      <c r="I6" s="50">
        <v>8.0</v>
      </c>
      <c r="J6" s="116"/>
      <c r="K6" s="116"/>
      <c r="L6" s="51" t="s">
        <v>210</v>
      </c>
      <c r="M6" s="51" t="s">
        <v>210</v>
      </c>
      <c r="N6" s="50">
        <v>1.0</v>
      </c>
      <c r="O6" s="50" t="s">
        <v>14461</v>
      </c>
      <c r="P6" s="116"/>
      <c r="Q6" s="116"/>
      <c r="R6" s="50" t="s">
        <v>6991</v>
      </c>
      <c r="S6" s="50" t="s">
        <v>14454</v>
      </c>
      <c r="T6" s="117">
        <v>2846.0</v>
      </c>
      <c r="U6" s="50" t="s">
        <v>14483</v>
      </c>
      <c r="V6" s="50" t="s">
        <v>14484</v>
      </c>
      <c r="W6" s="117">
        <v>5.0</v>
      </c>
    </row>
    <row r="7">
      <c r="A7" s="50" t="s">
        <v>14479</v>
      </c>
      <c r="B7" s="50" t="s">
        <v>6876</v>
      </c>
      <c r="C7" s="50" t="s">
        <v>6877</v>
      </c>
      <c r="D7" s="50" t="s">
        <v>6878</v>
      </c>
      <c r="E7" s="144">
        <v>43600.0</v>
      </c>
      <c r="F7" s="50" t="s">
        <v>14486</v>
      </c>
      <c r="G7" s="50">
        <v>58.0</v>
      </c>
      <c r="H7" s="50">
        <v>2.0</v>
      </c>
      <c r="I7" s="50">
        <v>3.0</v>
      </c>
      <c r="J7" s="116"/>
      <c r="K7" s="116"/>
      <c r="L7" s="50" t="s">
        <v>2098</v>
      </c>
      <c r="M7" s="50" t="s">
        <v>2098</v>
      </c>
      <c r="N7" s="50">
        <v>1.0</v>
      </c>
      <c r="O7" s="50" t="s">
        <v>14461</v>
      </c>
      <c r="P7" s="116"/>
      <c r="Q7" s="116"/>
      <c r="R7" s="50" t="s">
        <v>6991</v>
      </c>
      <c r="S7" s="50" t="s">
        <v>14454</v>
      </c>
      <c r="T7" s="117">
        <v>2847.0</v>
      </c>
      <c r="U7" s="50" t="s">
        <v>14490</v>
      </c>
      <c r="V7" s="50" t="s">
        <v>14491</v>
      </c>
      <c r="W7" s="117">
        <v>6.0</v>
      </c>
    </row>
    <row r="8">
      <c r="A8" s="50" t="s">
        <v>14486</v>
      </c>
      <c r="B8" s="50" t="s">
        <v>6876</v>
      </c>
      <c r="C8" s="50" t="s">
        <v>6877</v>
      </c>
      <c r="D8" s="50" t="s">
        <v>6878</v>
      </c>
      <c r="E8" s="144">
        <v>43600.0</v>
      </c>
      <c r="F8" s="50" t="s">
        <v>14496</v>
      </c>
      <c r="G8" s="50">
        <v>58.0</v>
      </c>
      <c r="H8" s="50">
        <v>2.0</v>
      </c>
      <c r="I8" s="50">
        <v>9.0</v>
      </c>
      <c r="J8" s="116"/>
      <c r="K8" s="116"/>
      <c r="L8" s="51" t="s">
        <v>365</v>
      </c>
      <c r="M8" s="51" t="s">
        <v>365</v>
      </c>
      <c r="N8" s="50">
        <v>1.0</v>
      </c>
      <c r="O8" s="50" t="s">
        <v>14461</v>
      </c>
      <c r="P8" s="116"/>
      <c r="Q8" s="116"/>
      <c r="R8" s="50" t="s">
        <v>6991</v>
      </c>
      <c r="S8" s="50" t="s">
        <v>14454</v>
      </c>
      <c r="T8" s="117">
        <v>2848.0</v>
      </c>
      <c r="U8" s="50" t="s">
        <v>14501</v>
      </c>
      <c r="V8" s="50" t="s">
        <v>14502</v>
      </c>
      <c r="W8" s="117">
        <v>7.0</v>
      </c>
    </row>
    <row r="9">
      <c r="A9" s="50" t="s">
        <v>14496</v>
      </c>
      <c r="B9" s="50" t="s">
        <v>6876</v>
      </c>
      <c r="C9" s="50" t="s">
        <v>6877</v>
      </c>
      <c r="D9" s="50" t="s">
        <v>6878</v>
      </c>
      <c r="E9" s="144">
        <v>43600.0</v>
      </c>
      <c r="F9" s="50" t="s">
        <v>14506</v>
      </c>
      <c r="G9" s="50">
        <v>58.0</v>
      </c>
      <c r="H9" s="50">
        <v>2.0</v>
      </c>
      <c r="I9" s="50">
        <v>5.0</v>
      </c>
      <c r="J9" s="116"/>
      <c r="K9" s="116"/>
      <c r="L9" s="51" t="s">
        <v>374</v>
      </c>
      <c r="M9" s="51" t="s">
        <v>374</v>
      </c>
      <c r="N9" s="50">
        <v>1.0</v>
      </c>
      <c r="O9" s="50" t="s">
        <v>14461</v>
      </c>
      <c r="P9" s="116"/>
      <c r="Q9" s="116"/>
      <c r="R9" s="50" t="s">
        <v>6991</v>
      </c>
      <c r="S9" s="50" t="s">
        <v>14454</v>
      </c>
      <c r="T9" s="117">
        <v>2849.0</v>
      </c>
      <c r="U9" s="50" t="s">
        <v>14509</v>
      </c>
      <c r="V9" s="50" t="s">
        <v>14510</v>
      </c>
      <c r="W9" s="117">
        <v>8.0</v>
      </c>
    </row>
    <row r="10">
      <c r="A10" s="50" t="s">
        <v>14512</v>
      </c>
      <c r="B10" s="50" t="s">
        <v>6876</v>
      </c>
      <c r="C10" s="50" t="s">
        <v>6877</v>
      </c>
      <c r="D10" s="50" t="s">
        <v>6878</v>
      </c>
      <c r="E10" s="144">
        <v>43608.0</v>
      </c>
      <c r="F10" s="50" t="s">
        <v>14518</v>
      </c>
      <c r="G10" s="50">
        <v>58.0</v>
      </c>
      <c r="H10" s="50">
        <v>2.0</v>
      </c>
      <c r="I10" s="50">
        <v>10.0</v>
      </c>
      <c r="J10" s="116"/>
      <c r="K10" s="116"/>
      <c r="L10" s="51" t="s">
        <v>366</v>
      </c>
      <c r="M10" s="51" t="s">
        <v>366</v>
      </c>
      <c r="N10" s="50">
        <v>1.0</v>
      </c>
      <c r="O10" s="50" t="s">
        <v>14521</v>
      </c>
      <c r="P10" s="116"/>
      <c r="Q10" s="116"/>
      <c r="R10" s="50">
        <v>3.0</v>
      </c>
      <c r="S10" s="50" t="s">
        <v>14454</v>
      </c>
      <c r="T10" s="117">
        <v>2915.0</v>
      </c>
      <c r="U10" s="50" t="s">
        <v>14522</v>
      </c>
      <c r="V10" s="50" t="s">
        <v>14523</v>
      </c>
      <c r="W10" s="117">
        <v>9.0</v>
      </c>
    </row>
    <row r="11">
      <c r="A11" s="50" t="s">
        <v>14518</v>
      </c>
      <c r="B11" s="50" t="s">
        <v>6876</v>
      </c>
      <c r="C11" s="50" t="s">
        <v>6877</v>
      </c>
      <c r="D11" s="50" t="s">
        <v>6878</v>
      </c>
      <c r="E11" s="144">
        <v>43608.0</v>
      </c>
      <c r="F11" s="50" t="s">
        <v>14524</v>
      </c>
      <c r="G11" s="50">
        <v>58.0</v>
      </c>
      <c r="H11" s="50">
        <v>2.0</v>
      </c>
      <c r="I11" s="50">
        <v>7.0</v>
      </c>
      <c r="J11" s="116"/>
      <c r="K11" s="116"/>
      <c r="L11" s="50" t="s">
        <v>2625</v>
      </c>
      <c r="M11" s="50" t="s">
        <v>2625</v>
      </c>
      <c r="N11" s="50">
        <v>1.0</v>
      </c>
      <c r="O11" s="50" t="s">
        <v>14461</v>
      </c>
      <c r="P11" s="116"/>
      <c r="Q11" s="116"/>
      <c r="R11" s="50">
        <v>3.0</v>
      </c>
      <c r="S11" s="50" t="s">
        <v>14454</v>
      </c>
      <c r="T11" s="117">
        <v>2916.0</v>
      </c>
      <c r="U11" s="50" t="s">
        <v>14528</v>
      </c>
      <c r="V11" s="50" t="s">
        <v>14530</v>
      </c>
      <c r="W11" s="117">
        <v>10.0</v>
      </c>
    </row>
    <row r="12">
      <c r="A12" s="50" t="s">
        <v>14524</v>
      </c>
      <c r="B12" s="50" t="s">
        <v>6876</v>
      </c>
      <c r="C12" s="50" t="s">
        <v>6877</v>
      </c>
      <c r="D12" s="50" t="s">
        <v>6878</v>
      </c>
      <c r="E12" s="144">
        <v>43608.0</v>
      </c>
      <c r="F12" s="50" t="s">
        <v>14531</v>
      </c>
      <c r="G12" s="50">
        <v>57.0</v>
      </c>
      <c r="H12" s="50">
        <v>1.0</v>
      </c>
      <c r="I12" s="50">
        <v>12.0</v>
      </c>
      <c r="J12" s="116"/>
      <c r="K12" s="116"/>
      <c r="L12" s="50" t="s">
        <v>377</v>
      </c>
      <c r="M12" s="50" t="s">
        <v>377</v>
      </c>
      <c r="N12" s="50">
        <v>1.0</v>
      </c>
      <c r="O12" s="50" t="s">
        <v>14521</v>
      </c>
      <c r="P12" s="116"/>
      <c r="Q12" s="116"/>
      <c r="R12" s="50">
        <v>4.0</v>
      </c>
      <c r="S12" s="50" t="s">
        <v>14454</v>
      </c>
      <c r="T12" s="117">
        <v>2917.0</v>
      </c>
      <c r="U12" s="50" t="s">
        <v>14533</v>
      </c>
      <c r="V12" s="50" t="s">
        <v>14536</v>
      </c>
      <c r="W12" s="117">
        <v>11.0</v>
      </c>
    </row>
    <row r="13">
      <c r="A13" s="50" t="s">
        <v>14531</v>
      </c>
      <c r="B13" s="50" t="s">
        <v>6876</v>
      </c>
      <c r="C13" s="50" t="s">
        <v>6877</v>
      </c>
      <c r="D13" s="50" t="s">
        <v>6878</v>
      </c>
      <c r="E13" s="144">
        <v>43608.0</v>
      </c>
      <c r="F13" s="50" t="s">
        <v>14541</v>
      </c>
      <c r="G13" s="50">
        <v>57.0</v>
      </c>
      <c r="H13" s="50">
        <v>1.0</v>
      </c>
      <c r="I13" s="50">
        <v>12.0</v>
      </c>
      <c r="J13" s="116"/>
      <c r="K13" s="116"/>
      <c r="L13" s="50" t="s">
        <v>378</v>
      </c>
      <c r="M13" s="50" t="s">
        <v>378</v>
      </c>
      <c r="N13" s="50">
        <v>1.0</v>
      </c>
      <c r="O13" s="50" t="s">
        <v>14521</v>
      </c>
      <c r="P13" s="116"/>
      <c r="Q13" s="116"/>
      <c r="R13" s="50">
        <v>4.0</v>
      </c>
      <c r="S13" s="50" t="s">
        <v>14454</v>
      </c>
      <c r="T13" s="117">
        <v>2918.0</v>
      </c>
      <c r="U13" s="50" t="s">
        <v>14542</v>
      </c>
      <c r="V13" s="50" t="s">
        <v>14544</v>
      </c>
      <c r="W13" s="117">
        <v>12.0</v>
      </c>
    </row>
    <row r="14">
      <c r="A14" s="50" t="s">
        <v>14541</v>
      </c>
      <c r="B14" s="50" t="s">
        <v>6876</v>
      </c>
      <c r="C14" s="50" t="s">
        <v>6877</v>
      </c>
      <c r="D14" s="50" t="s">
        <v>6878</v>
      </c>
      <c r="E14" s="144">
        <v>43608.0</v>
      </c>
      <c r="F14" s="50" t="s">
        <v>14548</v>
      </c>
      <c r="G14" s="50">
        <v>58.0</v>
      </c>
      <c r="H14" s="50">
        <v>2.0</v>
      </c>
      <c r="I14" s="50">
        <v>2.0</v>
      </c>
      <c r="J14" s="116"/>
      <c r="K14" s="116"/>
      <c r="L14" s="51" t="s">
        <v>346</v>
      </c>
      <c r="M14" s="51" t="s">
        <v>346</v>
      </c>
      <c r="N14" s="50">
        <v>1.0</v>
      </c>
      <c r="O14" s="50" t="s">
        <v>14521</v>
      </c>
      <c r="P14" s="116"/>
      <c r="Q14" s="116"/>
      <c r="R14" s="50">
        <v>4.0</v>
      </c>
      <c r="S14" s="50" t="s">
        <v>14454</v>
      </c>
      <c r="T14" s="117">
        <v>2919.0</v>
      </c>
      <c r="U14" s="50" t="s">
        <v>14551</v>
      </c>
      <c r="V14" s="50" t="s">
        <v>14553</v>
      </c>
      <c r="W14" s="117">
        <v>13.0</v>
      </c>
    </row>
    <row r="15">
      <c r="A15" s="50" t="s">
        <v>14548</v>
      </c>
      <c r="B15" s="50" t="s">
        <v>6876</v>
      </c>
      <c r="C15" s="50" t="s">
        <v>6877</v>
      </c>
      <c r="D15" s="50" t="s">
        <v>6878</v>
      </c>
      <c r="E15" s="144">
        <v>43608.0</v>
      </c>
      <c r="F15" s="50" t="s">
        <v>14560</v>
      </c>
      <c r="G15" s="50">
        <v>58.0</v>
      </c>
      <c r="H15" s="50">
        <v>2.0</v>
      </c>
      <c r="I15" s="50">
        <v>2.0</v>
      </c>
      <c r="J15" s="116"/>
      <c r="K15" s="116"/>
      <c r="L15" s="51" t="s">
        <v>357</v>
      </c>
      <c r="M15" s="51" t="s">
        <v>357</v>
      </c>
      <c r="N15" s="50">
        <v>1.0</v>
      </c>
      <c r="O15" s="50" t="s">
        <v>14521</v>
      </c>
      <c r="P15" s="116"/>
      <c r="Q15" s="116"/>
      <c r="R15" s="50">
        <v>4.0</v>
      </c>
      <c r="S15" s="50" t="s">
        <v>14454</v>
      </c>
      <c r="T15" s="117">
        <v>2920.0</v>
      </c>
      <c r="U15" s="50" t="s">
        <v>14562</v>
      </c>
      <c r="V15" s="50" t="s">
        <v>14563</v>
      </c>
      <c r="W15" s="117">
        <v>14.0</v>
      </c>
    </row>
    <row r="16">
      <c r="A16" s="50" t="s">
        <v>14560</v>
      </c>
      <c r="B16" s="50" t="s">
        <v>6876</v>
      </c>
      <c r="C16" s="50" t="s">
        <v>6877</v>
      </c>
      <c r="D16" s="50" t="s">
        <v>6878</v>
      </c>
      <c r="E16" s="144">
        <v>43608.0</v>
      </c>
      <c r="F16" s="50" t="s">
        <v>14566</v>
      </c>
      <c r="G16" s="50">
        <v>59.0</v>
      </c>
      <c r="H16" s="50">
        <v>1.0</v>
      </c>
      <c r="I16" s="50">
        <v>11.0</v>
      </c>
      <c r="J16" s="116"/>
      <c r="K16" s="116"/>
      <c r="L16" s="50" t="s">
        <v>381</v>
      </c>
      <c r="M16" s="50" t="s">
        <v>381</v>
      </c>
      <c r="N16" s="50">
        <v>1.0</v>
      </c>
      <c r="O16" s="50" t="s">
        <v>14521</v>
      </c>
      <c r="P16" s="116"/>
      <c r="Q16" s="116"/>
      <c r="R16" s="50">
        <v>4.0</v>
      </c>
      <c r="S16" s="50" t="s">
        <v>14454</v>
      </c>
      <c r="T16" s="117">
        <v>2921.0</v>
      </c>
      <c r="U16" s="50" t="s">
        <v>14568</v>
      </c>
      <c r="V16" s="50" t="s">
        <v>14569</v>
      </c>
      <c r="W16" s="117">
        <v>15.0</v>
      </c>
    </row>
    <row r="17">
      <c r="A17" s="50" t="s">
        <v>14566</v>
      </c>
      <c r="B17" s="50" t="s">
        <v>6876</v>
      </c>
      <c r="C17" s="50" t="s">
        <v>6877</v>
      </c>
      <c r="D17" s="50" t="s">
        <v>6878</v>
      </c>
      <c r="E17" s="144">
        <v>43608.0</v>
      </c>
      <c r="F17" s="50" t="s">
        <v>14571</v>
      </c>
      <c r="G17" s="50">
        <v>59.0</v>
      </c>
      <c r="H17" s="50">
        <v>2.0</v>
      </c>
      <c r="I17" s="50">
        <v>8.0</v>
      </c>
      <c r="J17" s="116"/>
      <c r="K17" s="116"/>
      <c r="L17" s="50" t="s">
        <v>2384</v>
      </c>
      <c r="M17" s="50" t="s">
        <v>2384</v>
      </c>
      <c r="N17" s="50">
        <v>1.0</v>
      </c>
      <c r="O17" s="50" t="s">
        <v>14521</v>
      </c>
      <c r="P17" s="116"/>
      <c r="Q17" s="116"/>
      <c r="R17" s="50">
        <v>4.0</v>
      </c>
      <c r="S17" s="50" t="s">
        <v>14454</v>
      </c>
      <c r="T17" s="117">
        <v>2922.0</v>
      </c>
      <c r="U17" s="50" t="s">
        <v>14578</v>
      </c>
      <c r="V17" s="50" t="s">
        <v>14579</v>
      </c>
      <c r="W17" s="117">
        <v>16.0</v>
      </c>
    </row>
    <row r="18">
      <c r="A18" s="50" t="s">
        <v>14571</v>
      </c>
      <c r="B18" s="50" t="s">
        <v>6876</v>
      </c>
      <c r="C18" s="50" t="s">
        <v>6877</v>
      </c>
      <c r="D18" s="50" t="s">
        <v>6878</v>
      </c>
      <c r="E18" s="144">
        <v>43608.0</v>
      </c>
      <c r="F18" s="50" t="s">
        <v>14582</v>
      </c>
      <c r="G18" s="50">
        <v>58.0</v>
      </c>
      <c r="H18" s="50">
        <v>2.0</v>
      </c>
      <c r="I18" s="50">
        <v>8.0</v>
      </c>
      <c r="J18" s="116"/>
      <c r="K18" s="116"/>
      <c r="L18" s="51" t="s">
        <v>353</v>
      </c>
      <c r="M18" s="51" t="s">
        <v>353</v>
      </c>
      <c r="N18" s="50">
        <v>1.0</v>
      </c>
      <c r="O18" s="50" t="s">
        <v>14521</v>
      </c>
      <c r="P18" s="116"/>
      <c r="Q18" s="116"/>
      <c r="R18" s="50">
        <v>4.0</v>
      </c>
      <c r="S18" s="50" t="s">
        <v>14454</v>
      </c>
      <c r="T18" s="117">
        <v>2923.0</v>
      </c>
      <c r="U18" s="50" t="s">
        <v>14583</v>
      </c>
      <c r="V18" s="50" t="s">
        <v>14584</v>
      </c>
      <c r="W18" s="117">
        <v>17.0</v>
      </c>
    </row>
    <row r="19">
      <c r="A19" s="50" t="s">
        <v>14586</v>
      </c>
      <c r="B19" s="50" t="s">
        <v>6876</v>
      </c>
      <c r="C19" s="50" t="s">
        <v>6877</v>
      </c>
      <c r="D19" s="50" t="s">
        <v>6878</v>
      </c>
      <c r="E19" s="144">
        <v>43635.0</v>
      </c>
      <c r="F19" s="50" t="s">
        <v>14589</v>
      </c>
      <c r="G19" s="50">
        <v>58.0</v>
      </c>
      <c r="H19" s="50">
        <v>1.0</v>
      </c>
      <c r="I19" s="50">
        <v>10.0</v>
      </c>
      <c r="J19" s="116"/>
      <c r="K19" s="116"/>
      <c r="L19" s="50" t="s">
        <v>392</v>
      </c>
      <c r="M19" s="50" t="s">
        <v>392</v>
      </c>
      <c r="N19" s="50">
        <v>1.0</v>
      </c>
      <c r="O19" s="50" t="s">
        <v>14591</v>
      </c>
      <c r="P19" s="116"/>
      <c r="Q19" s="116"/>
      <c r="R19" s="50">
        <v>4.0</v>
      </c>
      <c r="S19" s="50" t="s">
        <v>14454</v>
      </c>
      <c r="T19" s="117">
        <v>3162.0</v>
      </c>
      <c r="U19" s="50" t="s">
        <v>14592</v>
      </c>
      <c r="V19" s="50" t="s">
        <v>14593</v>
      </c>
      <c r="W19" s="117">
        <v>19.0</v>
      </c>
    </row>
    <row r="20">
      <c r="A20" s="50" t="s">
        <v>14589</v>
      </c>
      <c r="B20" s="50" t="s">
        <v>6876</v>
      </c>
      <c r="C20" s="50" t="s">
        <v>6877</v>
      </c>
      <c r="D20" s="50" t="s">
        <v>6878</v>
      </c>
      <c r="E20" s="144">
        <v>43635.0</v>
      </c>
      <c r="F20" s="50" t="s">
        <v>14597</v>
      </c>
      <c r="G20" s="50">
        <v>58.0</v>
      </c>
      <c r="H20" s="50">
        <v>1.0</v>
      </c>
      <c r="I20" s="50">
        <v>11.0</v>
      </c>
      <c r="J20" s="116"/>
      <c r="K20" s="116"/>
      <c r="L20" s="50" t="s">
        <v>396</v>
      </c>
      <c r="M20" s="50" t="s">
        <v>396</v>
      </c>
      <c r="N20" s="50">
        <v>1.0</v>
      </c>
      <c r="O20" s="50" t="s">
        <v>14591</v>
      </c>
      <c r="P20" s="116"/>
      <c r="Q20" s="116"/>
      <c r="R20" s="50">
        <v>4.0</v>
      </c>
      <c r="S20" s="50" t="s">
        <v>14454</v>
      </c>
      <c r="T20" s="117">
        <v>3163.0</v>
      </c>
      <c r="U20" s="50" t="s">
        <v>14603</v>
      </c>
      <c r="V20" s="50" t="s">
        <v>14604</v>
      </c>
      <c r="W20" s="117">
        <v>20.0</v>
      </c>
    </row>
    <row r="21">
      <c r="A21" s="50" t="s">
        <v>14597</v>
      </c>
      <c r="B21" s="50" t="s">
        <v>6876</v>
      </c>
      <c r="C21" s="50" t="s">
        <v>6877</v>
      </c>
      <c r="D21" s="50" t="s">
        <v>6878</v>
      </c>
      <c r="E21" s="144">
        <v>43635.0</v>
      </c>
      <c r="F21" s="50" t="s">
        <v>14605</v>
      </c>
      <c r="G21" s="50">
        <v>58.0</v>
      </c>
      <c r="H21" s="50">
        <v>1.0</v>
      </c>
      <c r="I21" s="50">
        <v>7.0</v>
      </c>
      <c r="J21" s="116"/>
      <c r="K21" s="116"/>
      <c r="L21" s="50" t="s">
        <v>400</v>
      </c>
      <c r="M21" s="50" t="s">
        <v>400</v>
      </c>
      <c r="N21" s="50">
        <v>1.0</v>
      </c>
      <c r="O21" s="50" t="s">
        <v>14591</v>
      </c>
      <c r="P21" s="116"/>
      <c r="Q21" s="116"/>
      <c r="R21" s="50">
        <v>4.0</v>
      </c>
      <c r="S21" s="50" t="s">
        <v>14454</v>
      </c>
      <c r="T21" s="117">
        <v>3164.0</v>
      </c>
      <c r="U21" s="50" t="s">
        <v>14608</v>
      </c>
      <c r="V21" s="50" t="s">
        <v>14609</v>
      </c>
      <c r="W21" s="117">
        <v>21.0</v>
      </c>
    </row>
    <row r="22">
      <c r="A22" s="50" t="s">
        <v>14610</v>
      </c>
      <c r="B22" s="50" t="s">
        <v>6876</v>
      </c>
      <c r="C22" s="50" t="s">
        <v>6877</v>
      </c>
      <c r="D22" s="50" t="s">
        <v>6878</v>
      </c>
      <c r="E22" s="144">
        <v>43635.0</v>
      </c>
      <c r="F22" s="50" t="s">
        <v>14612</v>
      </c>
      <c r="G22" s="50">
        <v>58.0</v>
      </c>
      <c r="H22" s="50">
        <v>1.0</v>
      </c>
      <c r="I22" s="50">
        <v>7.0</v>
      </c>
      <c r="J22" s="116"/>
      <c r="K22" s="116"/>
      <c r="L22" s="50" t="s">
        <v>401</v>
      </c>
      <c r="M22" s="50" t="s">
        <v>401</v>
      </c>
      <c r="N22" s="50">
        <v>1.0</v>
      </c>
      <c r="O22" s="50" t="s">
        <v>14591</v>
      </c>
      <c r="P22" s="116"/>
      <c r="Q22" s="116"/>
      <c r="R22" s="50">
        <v>4.0</v>
      </c>
      <c r="S22" s="50" t="s">
        <v>14454</v>
      </c>
      <c r="T22" s="117">
        <v>3165.0</v>
      </c>
      <c r="U22" s="50" t="s">
        <v>14617</v>
      </c>
      <c r="V22" s="50" t="s">
        <v>14619</v>
      </c>
      <c r="W22" s="117">
        <v>22.0</v>
      </c>
    </row>
    <row r="23">
      <c r="A23" s="50" t="s">
        <v>14612</v>
      </c>
      <c r="B23" s="50" t="s">
        <v>6876</v>
      </c>
      <c r="C23" s="50" t="s">
        <v>6877</v>
      </c>
      <c r="D23" s="50" t="s">
        <v>6878</v>
      </c>
      <c r="E23" s="144">
        <v>43635.0</v>
      </c>
      <c r="F23" s="50" t="s">
        <v>14624</v>
      </c>
      <c r="G23" s="50">
        <v>58.0</v>
      </c>
      <c r="H23" s="50">
        <v>1.0</v>
      </c>
      <c r="I23" s="50">
        <v>7.0</v>
      </c>
      <c r="J23" s="116"/>
      <c r="K23" s="116"/>
      <c r="L23" s="50" t="s">
        <v>403</v>
      </c>
      <c r="M23" s="50" t="s">
        <v>403</v>
      </c>
      <c r="N23" s="50">
        <v>1.0</v>
      </c>
      <c r="O23" s="50" t="s">
        <v>14591</v>
      </c>
      <c r="P23" s="116"/>
      <c r="Q23" s="116"/>
      <c r="R23" s="50">
        <v>4.0</v>
      </c>
      <c r="S23" s="50" t="s">
        <v>14454</v>
      </c>
      <c r="T23" s="117">
        <v>3166.0</v>
      </c>
      <c r="U23" s="50" t="s">
        <v>14626</v>
      </c>
      <c r="V23" s="50" t="s">
        <v>14628</v>
      </c>
      <c r="W23" s="117">
        <v>23.0</v>
      </c>
    </row>
    <row r="24">
      <c r="A24" s="50" t="s">
        <v>14624</v>
      </c>
      <c r="B24" s="50" t="s">
        <v>6876</v>
      </c>
      <c r="C24" s="50" t="s">
        <v>6877</v>
      </c>
      <c r="D24" s="50" t="s">
        <v>6878</v>
      </c>
      <c r="E24" s="144">
        <v>43635.0</v>
      </c>
      <c r="F24" s="50" t="s">
        <v>14630</v>
      </c>
      <c r="G24" s="50">
        <v>57.0</v>
      </c>
      <c r="H24" s="50">
        <v>1.0</v>
      </c>
      <c r="I24" s="50">
        <v>12.0</v>
      </c>
      <c r="J24" s="116"/>
      <c r="K24" s="116"/>
      <c r="L24" s="50" t="s">
        <v>404</v>
      </c>
      <c r="M24" s="50" t="s">
        <v>404</v>
      </c>
      <c r="N24" s="50">
        <v>1.0</v>
      </c>
      <c r="O24" s="50" t="s">
        <v>14591</v>
      </c>
      <c r="P24" s="116"/>
      <c r="Q24" s="116"/>
      <c r="R24" s="50">
        <v>4.0</v>
      </c>
      <c r="S24" s="50" t="s">
        <v>14454</v>
      </c>
      <c r="T24" s="117">
        <v>3167.0</v>
      </c>
      <c r="U24" s="50" t="s">
        <v>14635</v>
      </c>
      <c r="V24" s="50" t="s">
        <v>14636</v>
      </c>
      <c r="W24" s="117">
        <v>24.0</v>
      </c>
    </row>
    <row r="25">
      <c r="A25" s="50" t="s">
        <v>14630</v>
      </c>
      <c r="B25" s="50" t="s">
        <v>6876</v>
      </c>
      <c r="C25" s="50" t="s">
        <v>6877</v>
      </c>
      <c r="D25" s="50" t="s">
        <v>6878</v>
      </c>
      <c r="E25" s="144">
        <v>43635.0</v>
      </c>
      <c r="F25" s="50" t="s">
        <v>14638</v>
      </c>
      <c r="G25" s="50">
        <v>57.0</v>
      </c>
      <c r="H25" s="50">
        <v>1.0</v>
      </c>
      <c r="I25" s="50">
        <v>12.0</v>
      </c>
      <c r="J25" s="116"/>
      <c r="K25" s="116"/>
      <c r="L25" s="50" t="s">
        <v>406</v>
      </c>
      <c r="M25" s="50" t="s">
        <v>406</v>
      </c>
      <c r="N25" s="50">
        <v>1.0</v>
      </c>
      <c r="O25" s="50" t="s">
        <v>14591</v>
      </c>
      <c r="P25" s="116"/>
      <c r="Q25" s="116"/>
      <c r="R25" s="50">
        <v>4.0</v>
      </c>
      <c r="S25" s="50" t="s">
        <v>14454</v>
      </c>
      <c r="T25" s="117">
        <v>3168.0</v>
      </c>
      <c r="U25" s="50" t="s">
        <v>14640</v>
      </c>
      <c r="V25" s="50" t="s">
        <v>14641</v>
      </c>
      <c r="W25" s="117">
        <v>25.0</v>
      </c>
    </row>
    <row r="26">
      <c r="A26" s="50" t="s">
        <v>14638</v>
      </c>
      <c r="B26" s="50" t="s">
        <v>6876</v>
      </c>
      <c r="C26" s="50" t="s">
        <v>6877</v>
      </c>
      <c r="D26" s="50" t="s">
        <v>6878</v>
      </c>
      <c r="E26" s="144">
        <v>43635.0</v>
      </c>
      <c r="F26" s="50" t="s">
        <v>14642</v>
      </c>
      <c r="G26" s="50">
        <v>59.0</v>
      </c>
      <c r="H26" s="50">
        <v>1.0</v>
      </c>
      <c r="I26" s="50">
        <v>11.0</v>
      </c>
      <c r="J26" s="116"/>
      <c r="K26" s="116"/>
      <c r="L26" s="50" t="s">
        <v>408</v>
      </c>
      <c r="M26" s="50" t="s">
        <v>408</v>
      </c>
      <c r="N26" s="50">
        <v>1.0</v>
      </c>
      <c r="O26" s="50" t="s">
        <v>14591</v>
      </c>
      <c r="P26" s="116"/>
      <c r="Q26" s="116"/>
      <c r="R26" s="50">
        <v>4.0</v>
      </c>
      <c r="S26" s="50" t="s">
        <v>14454</v>
      </c>
      <c r="T26" s="117">
        <v>3169.0</v>
      </c>
      <c r="U26" s="50" t="s">
        <v>14648</v>
      </c>
      <c r="V26" s="50" t="s">
        <v>14650</v>
      </c>
      <c r="W26" s="117">
        <v>26.0</v>
      </c>
    </row>
    <row r="27">
      <c r="A27" s="50" t="s">
        <v>14642</v>
      </c>
      <c r="B27" s="50" t="s">
        <v>6876</v>
      </c>
      <c r="C27" s="50" t="s">
        <v>6877</v>
      </c>
      <c r="D27" s="50" t="s">
        <v>6878</v>
      </c>
      <c r="E27" s="144">
        <v>43635.0</v>
      </c>
      <c r="F27" s="50" t="s">
        <v>14654</v>
      </c>
      <c r="G27" s="50">
        <v>57.0</v>
      </c>
      <c r="H27" s="50">
        <v>1.0</v>
      </c>
      <c r="I27" s="50">
        <v>12.0</v>
      </c>
      <c r="J27" s="116"/>
      <c r="K27" s="116"/>
      <c r="L27" s="50" t="s">
        <v>477</v>
      </c>
      <c r="M27" s="50" t="s">
        <v>477</v>
      </c>
      <c r="N27" s="50">
        <v>1.0</v>
      </c>
      <c r="O27" s="50" t="s">
        <v>14591</v>
      </c>
      <c r="P27" s="116"/>
      <c r="Q27" s="116"/>
      <c r="R27" s="50">
        <v>4.0</v>
      </c>
      <c r="S27" s="50" t="s">
        <v>14454</v>
      </c>
      <c r="T27" s="117">
        <v>3170.0</v>
      </c>
      <c r="U27" s="50" t="s">
        <v>14655</v>
      </c>
      <c r="V27" s="50" t="s">
        <v>14656</v>
      </c>
      <c r="W27" s="117">
        <v>27.0</v>
      </c>
    </row>
    <row r="28">
      <c r="A28" s="50" t="s">
        <v>14654</v>
      </c>
      <c r="B28" s="50" t="s">
        <v>6876</v>
      </c>
      <c r="C28" s="50" t="s">
        <v>6877</v>
      </c>
      <c r="D28" s="50" t="s">
        <v>6878</v>
      </c>
      <c r="E28" s="144">
        <v>43635.0</v>
      </c>
      <c r="F28" s="50" t="s">
        <v>14660</v>
      </c>
      <c r="G28" s="50">
        <v>57.0</v>
      </c>
      <c r="H28" s="50">
        <v>1.0</v>
      </c>
      <c r="I28" s="50">
        <v>12.0</v>
      </c>
      <c r="J28" s="116"/>
      <c r="K28" s="116"/>
      <c r="L28" s="50" t="s">
        <v>481</v>
      </c>
      <c r="M28" s="50" t="s">
        <v>481</v>
      </c>
      <c r="N28" s="50">
        <v>1.0</v>
      </c>
      <c r="O28" s="50" t="s">
        <v>14591</v>
      </c>
      <c r="P28" s="116"/>
      <c r="Q28" s="116"/>
      <c r="R28" s="50">
        <v>4.0</v>
      </c>
      <c r="S28" s="50" t="s">
        <v>14454</v>
      </c>
      <c r="T28" s="117">
        <v>3171.0</v>
      </c>
      <c r="U28" s="50" t="s">
        <v>14663</v>
      </c>
      <c r="V28" s="50" t="s">
        <v>14664</v>
      </c>
      <c r="W28" s="117">
        <v>28.0</v>
      </c>
    </row>
    <row r="29">
      <c r="A29" s="50" t="s">
        <v>14660</v>
      </c>
      <c r="B29" s="50" t="s">
        <v>6876</v>
      </c>
      <c r="C29" s="50" t="s">
        <v>6877</v>
      </c>
      <c r="D29" s="50" t="s">
        <v>6878</v>
      </c>
      <c r="E29" s="144">
        <v>43635.0</v>
      </c>
      <c r="F29" s="50" t="s">
        <v>14671</v>
      </c>
      <c r="G29" s="50">
        <v>58.0</v>
      </c>
      <c r="H29" s="50">
        <v>1.0</v>
      </c>
      <c r="I29" s="50">
        <v>10.0</v>
      </c>
      <c r="J29" s="116"/>
      <c r="K29" s="116"/>
      <c r="L29" s="50" t="s">
        <v>488</v>
      </c>
      <c r="M29" s="50" t="s">
        <v>488</v>
      </c>
      <c r="N29" s="50">
        <v>1.0</v>
      </c>
      <c r="O29" s="50" t="s">
        <v>14591</v>
      </c>
      <c r="P29" s="116"/>
      <c r="Q29" s="50" t="s">
        <v>14674</v>
      </c>
      <c r="R29" s="50">
        <v>3.0</v>
      </c>
      <c r="S29" s="50" t="s">
        <v>14454</v>
      </c>
      <c r="T29" s="117">
        <v>3172.0</v>
      </c>
      <c r="U29" s="50" t="s">
        <v>14675</v>
      </c>
      <c r="V29" s="50" t="s">
        <v>14676</v>
      </c>
      <c r="W29" s="117">
        <v>29.0</v>
      </c>
    </row>
    <row r="30">
      <c r="A30" s="50" t="s">
        <v>14671</v>
      </c>
      <c r="B30" s="50" t="s">
        <v>6876</v>
      </c>
      <c r="C30" s="50" t="s">
        <v>6877</v>
      </c>
      <c r="D30" s="50" t="s">
        <v>6878</v>
      </c>
      <c r="E30" s="144">
        <v>43635.0</v>
      </c>
      <c r="F30" s="50" t="s">
        <v>14681</v>
      </c>
      <c r="G30" s="50">
        <v>58.0</v>
      </c>
      <c r="H30" s="50">
        <v>1.0</v>
      </c>
      <c r="I30" s="50">
        <v>10.0</v>
      </c>
      <c r="J30" s="116"/>
      <c r="K30" s="116"/>
      <c r="L30" s="50" t="s">
        <v>489</v>
      </c>
      <c r="M30" s="50" t="s">
        <v>489</v>
      </c>
      <c r="N30" s="50">
        <v>1.0</v>
      </c>
      <c r="O30" s="50" t="s">
        <v>14591</v>
      </c>
      <c r="P30" s="116"/>
      <c r="Q30" s="50" t="s">
        <v>14686</v>
      </c>
      <c r="R30" s="50">
        <v>1.0</v>
      </c>
      <c r="S30" s="50" t="s">
        <v>14454</v>
      </c>
      <c r="T30" s="117">
        <v>3173.0</v>
      </c>
      <c r="U30" s="50" t="s">
        <v>14687</v>
      </c>
      <c r="V30" s="50" t="s">
        <v>14688</v>
      </c>
      <c r="W30" s="117">
        <v>30.0</v>
      </c>
    </row>
    <row r="31">
      <c r="A31" s="50" t="s">
        <v>14689</v>
      </c>
      <c r="B31" s="50" t="s">
        <v>6876</v>
      </c>
      <c r="C31" s="50" t="s">
        <v>6877</v>
      </c>
      <c r="D31" s="50" t="s">
        <v>6878</v>
      </c>
      <c r="E31" s="144">
        <v>43636.0</v>
      </c>
      <c r="F31" s="50" t="s">
        <v>14693</v>
      </c>
      <c r="G31" s="50">
        <v>58.0</v>
      </c>
      <c r="H31" s="50">
        <v>1.0</v>
      </c>
      <c r="I31" s="50">
        <v>7.0</v>
      </c>
      <c r="J31" s="116"/>
      <c r="K31" s="116"/>
      <c r="L31" s="50" t="s">
        <v>456</v>
      </c>
      <c r="M31" s="50" t="s">
        <v>456</v>
      </c>
      <c r="N31" s="50">
        <v>1.0</v>
      </c>
      <c r="O31" s="50" t="s">
        <v>14694</v>
      </c>
      <c r="P31" s="116"/>
      <c r="Q31" s="116"/>
      <c r="R31" s="50">
        <v>3.0</v>
      </c>
      <c r="S31" s="50" t="s">
        <v>14454</v>
      </c>
      <c r="T31" s="117">
        <v>3175.0</v>
      </c>
      <c r="U31" s="50" t="s">
        <v>14695</v>
      </c>
      <c r="V31" s="50" t="s">
        <v>14696</v>
      </c>
      <c r="W31" s="117">
        <v>31.0</v>
      </c>
    </row>
    <row r="32">
      <c r="A32" s="50" t="s">
        <v>14693</v>
      </c>
      <c r="B32" s="50" t="s">
        <v>6876</v>
      </c>
      <c r="C32" s="50" t="s">
        <v>6877</v>
      </c>
      <c r="D32" s="50" t="s">
        <v>6878</v>
      </c>
      <c r="E32" s="144">
        <v>43636.0</v>
      </c>
      <c r="F32" s="50" t="s">
        <v>14700</v>
      </c>
      <c r="G32" s="50">
        <v>57.0</v>
      </c>
      <c r="H32" s="50">
        <v>1.0</v>
      </c>
      <c r="I32" s="50">
        <v>12.0</v>
      </c>
      <c r="J32" s="116"/>
      <c r="K32" s="116"/>
      <c r="L32" s="50" t="s">
        <v>442</v>
      </c>
      <c r="M32" s="50" t="s">
        <v>442</v>
      </c>
      <c r="N32" s="50">
        <v>1.0</v>
      </c>
      <c r="O32" s="50" t="s">
        <v>14694</v>
      </c>
      <c r="P32" s="116"/>
      <c r="Q32" s="116"/>
      <c r="R32" s="50">
        <v>3.0</v>
      </c>
      <c r="S32" s="50" t="s">
        <v>14454</v>
      </c>
      <c r="T32" s="117">
        <v>3176.0</v>
      </c>
      <c r="U32" s="50" t="s">
        <v>14704</v>
      </c>
      <c r="V32" s="50" t="s">
        <v>14705</v>
      </c>
      <c r="W32" s="117">
        <v>32.0</v>
      </c>
    </row>
    <row r="33">
      <c r="A33" s="50" t="s">
        <v>14700</v>
      </c>
      <c r="B33" s="50" t="s">
        <v>6876</v>
      </c>
      <c r="C33" s="50" t="s">
        <v>6877</v>
      </c>
      <c r="D33" s="50" t="s">
        <v>6878</v>
      </c>
      <c r="E33" s="144">
        <v>43636.0</v>
      </c>
      <c r="F33" s="50" t="s">
        <v>14707</v>
      </c>
      <c r="G33" s="50">
        <v>58.0</v>
      </c>
      <c r="H33" s="50">
        <v>1.0</v>
      </c>
      <c r="I33" s="50">
        <v>3.0</v>
      </c>
      <c r="J33" s="116"/>
      <c r="K33" s="116"/>
      <c r="L33" s="50" t="s">
        <v>453</v>
      </c>
      <c r="M33" s="50" t="s">
        <v>453</v>
      </c>
      <c r="N33" s="50">
        <v>1.0</v>
      </c>
      <c r="O33" s="50" t="s">
        <v>14694</v>
      </c>
      <c r="P33" s="116"/>
      <c r="Q33" s="116"/>
      <c r="R33" s="50">
        <v>3.0</v>
      </c>
      <c r="S33" s="50" t="s">
        <v>14454</v>
      </c>
      <c r="T33" s="117">
        <v>3177.0</v>
      </c>
      <c r="U33" s="50" t="s">
        <v>14711</v>
      </c>
      <c r="V33" s="50" t="s">
        <v>14712</v>
      </c>
      <c r="W33" s="117">
        <v>33.0</v>
      </c>
    </row>
    <row r="34">
      <c r="A34" s="50" t="s">
        <v>14707</v>
      </c>
      <c r="B34" s="50" t="s">
        <v>6876</v>
      </c>
      <c r="C34" s="50" t="s">
        <v>6877</v>
      </c>
      <c r="D34" s="50" t="s">
        <v>6878</v>
      </c>
      <c r="E34" s="144">
        <v>43636.0</v>
      </c>
      <c r="F34" s="50" t="s">
        <v>14714</v>
      </c>
      <c r="G34" s="50">
        <v>58.0</v>
      </c>
      <c r="H34" s="50">
        <v>1.0</v>
      </c>
      <c r="I34" s="50">
        <v>5.0</v>
      </c>
      <c r="J34" s="116"/>
      <c r="K34" s="116"/>
      <c r="L34" s="50" t="s">
        <v>450</v>
      </c>
      <c r="M34" s="50" t="s">
        <v>450</v>
      </c>
      <c r="N34" s="50">
        <v>1.0</v>
      </c>
      <c r="O34" s="50" t="s">
        <v>14694</v>
      </c>
      <c r="P34" s="116"/>
      <c r="Q34" s="116"/>
      <c r="R34" s="50">
        <v>3.0</v>
      </c>
      <c r="S34" s="50" t="s">
        <v>14454</v>
      </c>
      <c r="T34" s="117">
        <v>3178.0</v>
      </c>
      <c r="U34" s="50" t="s">
        <v>14719</v>
      </c>
      <c r="V34" s="50" t="s">
        <v>14722</v>
      </c>
      <c r="W34" s="117">
        <v>34.0</v>
      </c>
    </row>
    <row r="35">
      <c r="A35" s="50" t="s">
        <v>14714</v>
      </c>
      <c r="B35" s="50" t="s">
        <v>6876</v>
      </c>
      <c r="C35" s="50" t="s">
        <v>6877</v>
      </c>
      <c r="D35" s="50" t="s">
        <v>6878</v>
      </c>
      <c r="E35" s="144">
        <v>43636.0</v>
      </c>
      <c r="F35" s="50" t="s">
        <v>14728</v>
      </c>
      <c r="G35" s="50">
        <v>58.0</v>
      </c>
      <c r="H35" s="50">
        <v>1.0</v>
      </c>
      <c r="I35" s="50">
        <v>7.0</v>
      </c>
      <c r="J35" s="116"/>
      <c r="K35" s="116"/>
      <c r="L35" s="50" t="s">
        <v>457</v>
      </c>
      <c r="M35" s="50" t="s">
        <v>457</v>
      </c>
      <c r="N35" s="50">
        <v>1.0</v>
      </c>
      <c r="O35" s="50" t="s">
        <v>14694</v>
      </c>
      <c r="P35" s="116"/>
      <c r="Q35" s="116"/>
      <c r="R35" s="50">
        <v>3.0</v>
      </c>
      <c r="S35" s="50" t="s">
        <v>14454</v>
      </c>
      <c r="T35" s="117">
        <v>3179.0</v>
      </c>
      <c r="U35" s="50" t="s">
        <v>14732</v>
      </c>
      <c r="V35" s="50" t="s">
        <v>14733</v>
      </c>
      <c r="W35" s="117">
        <v>35.0</v>
      </c>
    </row>
    <row r="36">
      <c r="A36" s="50" t="s">
        <v>14728</v>
      </c>
      <c r="B36" s="50" t="s">
        <v>6876</v>
      </c>
      <c r="C36" s="50" t="s">
        <v>6877</v>
      </c>
      <c r="D36" s="50" t="s">
        <v>6878</v>
      </c>
      <c r="E36" s="144">
        <v>43636.0</v>
      </c>
      <c r="F36" s="50" t="s">
        <v>14736</v>
      </c>
      <c r="G36" s="50">
        <v>59.0</v>
      </c>
      <c r="H36" s="50">
        <v>1.0</v>
      </c>
      <c r="I36" s="50">
        <v>11.0</v>
      </c>
      <c r="J36" s="116"/>
      <c r="K36" s="116"/>
      <c r="L36" s="50" t="s">
        <v>429</v>
      </c>
      <c r="M36" s="50" t="s">
        <v>429</v>
      </c>
      <c r="N36" s="50">
        <v>1.0</v>
      </c>
      <c r="O36" s="50" t="s">
        <v>14694</v>
      </c>
      <c r="P36" s="116"/>
      <c r="Q36" s="116"/>
      <c r="R36" s="50">
        <v>3.0</v>
      </c>
      <c r="S36" s="50" t="s">
        <v>14454</v>
      </c>
      <c r="T36" s="117">
        <v>3180.0</v>
      </c>
      <c r="U36" s="50" t="s">
        <v>14740</v>
      </c>
      <c r="V36" s="50" t="s">
        <v>14742</v>
      </c>
      <c r="W36" s="117">
        <v>36.0</v>
      </c>
    </row>
    <row r="37">
      <c r="A37" s="50" t="s">
        <v>14744</v>
      </c>
      <c r="B37" s="50" t="s">
        <v>6876</v>
      </c>
      <c r="C37" s="50" t="s">
        <v>6877</v>
      </c>
      <c r="D37" s="50" t="s">
        <v>6878</v>
      </c>
      <c r="E37" s="144">
        <v>43636.0</v>
      </c>
      <c r="F37" s="50" t="s">
        <v>14746</v>
      </c>
      <c r="G37" s="50">
        <v>58.0</v>
      </c>
      <c r="H37" s="50">
        <v>1.0</v>
      </c>
      <c r="I37" s="50">
        <v>3.0</v>
      </c>
      <c r="J37" s="116"/>
      <c r="K37" s="116"/>
      <c r="L37" s="50" t="s">
        <v>446</v>
      </c>
      <c r="M37" s="50" t="s">
        <v>446</v>
      </c>
      <c r="N37" s="50">
        <v>1.0</v>
      </c>
      <c r="O37" s="50" t="s">
        <v>14694</v>
      </c>
      <c r="P37" s="116"/>
      <c r="Q37" s="116"/>
      <c r="R37" s="50">
        <v>3.0</v>
      </c>
      <c r="S37" s="50" t="s">
        <v>14454</v>
      </c>
      <c r="T37" s="117">
        <v>3181.0</v>
      </c>
      <c r="U37" s="50" t="s">
        <v>14753</v>
      </c>
      <c r="V37" s="50" t="s">
        <v>14754</v>
      </c>
      <c r="W37" s="117">
        <v>37.0</v>
      </c>
    </row>
    <row r="38">
      <c r="A38" s="50" t="s">
        <v>14746</v>
      </c>
      <c r="B38" s="50" t="s">
        <v>6876</v>
      </c>
      <c r="C38" s="50" t="s">
        <v>6877</v>
      </c>
      <c r="D38" s="50" t="s">
        <v>6878</v>
      </c>
      <c r="E38" s="144">
        <v>43636.0</v>
      </c>
      <c r="F38" s="50" t="s">
        <v>14756</v>
      </c>
      <c r="G38" s="50">
        <v>58.0</v>
      </c>
      <c r="H38" s="50">
        <v>1.0</v>
      </c>
      <c r="I38" s="50">
        <v>9.0</v>
      </c>
      <c r="J38" s="116"/>
      <c r="K38" s="116"/>
      <c r="L38" s="50" t="s">
        <v>445</v>
      </c>
      <c r="M38" s="50" t="s">
        <v>445</v>
      </c>
      <c r="N38" s="50">
        <v>1.0</v>
      </c>
      <c r="O38" s="50" t="s">
        <v>14694</v>
      </c>
      <c r="P38" s="116"/>
      <c r="Q38" s="116"/>
      <c r="R38" s="50">
        <v>3.0</v>
      </c>
      <c r="S38" s="50" t="s">
        <v>14454</v>
      </c>
      <c r="T38" s="117">
        <v>3182.0</v>
      </c>
      <c r="U38" s="50" t="s">
        <v>14758</v>
      </c>
      <c r="V38" s="50" t="s">
        <v>14759</v>
      </c>
      <c r="W38" s="117">
        <v>38.0</v>
      </c>
    </row>
    <row r="39">
      <c r="A39" s="50" t="s">
        <v>14756</v>
      </c>
      <c r="B39" s="50" t="s">
        <v>6876</v>
      </c>
      <c r="C39" s="50" t="s">
        <v>6877</v>
      </c>
      <c r="D39" s="50" t="s">
        <v>6878</v>
      </c>
      <c r="E39" s="144">
        <v>43636.0</v>
      </c>
      <c r="F39" s="50" t="s">
        <v>14761</v>
      </c>
      <c r="G39" s="50">
        <v>58.0</v>
      </c>
      <c r="H39" s="50">
        <v>1.0</v>
      </c>
      <c r="I39" s="50">
        <v>8.0</v>
      </c>
      <c r="J39" s="116"/>
      <c r="K39" s="116"/>
      <c r="L39" s="50" t="s">
        <v>436</v>
      </c>
      <c r="M39" s="50" t="s">
        <v>436</v>
      </c>
      <c r="N39" s="50">
        <v>1.0</v>
      </c>
      <c r="O39" s="50" t="s">
        <v>14694</v>
      </c>
      <c r="P39" s="116"/>
      <c r="Q39" s="116"/>
      <c r="R39" s="50">
        <v>3.0</v>
      </c>
      <c r="S39" s="50" t="s">
        <v>14454</v>
      </c>
      <c r="T39" s="117">
        <v>3183.0</v>
      </c>
      <c r="U39" s="50" t="s">
        <v>14764</v>
      </c>
      <c r="V39" s="50" t="s">
        <v>14766</v>
      </c>
      <c r="W39" s="117">
        <v>39.0</v>
      </c>
    </row>
    <row r="40">
      <c r="A40" s="50" t="s">
        <v>14761</v>
      </c>
      <c r="B40" s="50" t="s">
        <v>6876</v>
      </c>
      <c r="C40" s="50" t="s">
        <v>6877</v>
      </c>
      <c r="D40" s="50" t="s">
        <v>6878</v>
      </c>
      <c r="E40" s="144">
        <v>43636.0</v>
      </c>
      <c r="F40" s="50" t="s">
        <v>14770</v>
      </c>
      <c r="G40" s="50">
        <v>57.0</v>
      </c>
      <c r="H40" s="50">
        <v>1.0</v>
      </c>
      <c r="I40" s="50">
        <v>12.0</v>
      </c>
      <c r="J40" s="116"/>
      <c r="K40" s="116"/>
      <c r="L40" s="50" t="s">
        <v>444</v>
      </c>
      <c r="M40" s="50" t="s">
        <v>444</v>
      </c>
      <c r="N40" s="50">
        <v>1.0</v>
      </c>
      <c r="O40" s="50" t="s">
        <v>14694</v>
      </c>
      <c r="P40" s="116"/>
      <c r="Q40" s="116"/>
      <c r="R40" s="50">
        <v>3.0</v>
      </c>
      <c r="S40" s="50" t="s">
        <v>14454</v>
      </c>
      <c r="T40" s="117">
        <v>3184.0</v>
      </c>
      <c r="U40" s="50" t="s">
        <v>14772</v>
      </c>
      <c r="V40" s="50" t="s">
        <v>14773</v>
      </c>
      <c r="W40" s="117">
        <v>40.0</v>
      </c>
    </row>
    <row r="41">
      <c r="A41" s="50" t="s">
        <v>14770</v>
      </c>
      <c r="B41" s="50" t="s">
        <v>6876</v>
      </c>
      <c r="C41" s="50" t="s">
        <v>6877</v>
      </c>
      <c r="D41" s="50" t="s">
        <v>6878</v>
      </c>
      <c r="E41" s="144">
        <v>43636.0</v>
      </c>
      <c r="F41" s="50" t="s">
        <v>14777</v>
      </c>
      <c r="G41" s="50">
        <v>58.0</v>
      </c>
      <c r="H41" s="50">
        <v>1.0</v>
      </c>
      <c r="I41" s="50">
        <v>11.0</v>
      </c>
      <c r="J41" s="116"/>
      <c r="K41" s="116"/>
      <c r="L41" s="50" t="s">
        <v>431</v>
      </c>
      <c r="M41" s="50" t="s">
        <v>431</v>
      </c>
      <c r="N41" s="50">
        <v>1.0</v>
      </c>
      <c r="O41" s="50" t="s">
        <v>14694</v>
      </c>
      <c r="P41" s="116"/>
      <c r="Q41" s="116"/>
      <c r="R41" s="50">
        <v>3.0</v>
      </c>
      <c r="S41" s="50" t="s">
        <v>14454</v>
      </c>
      <c r="T41" s="117">
        <v>3185.0</v>
      </c>
      <c r="U41" s="50" t="s">
        <v>14778</v>
      </c>
      <c r="V41" s="50" t="s">
        <v>14779</v>
      </c>
      <c r="W41" s="117">
        <v>41.0</v>
      </c>
    </row>
    <row r="42">
      <c r="A42" s="50" t="s">
        <v>14777</v>
      </c>
      <c r="B42" s="50" t="s">
        <v>6876</v>
      </c>
      <c r="C42" s="50" t="s">
        <v>6877</v>
      </c>
      <c r="D42" s="50" t="s">
        <v>6878</v>
      </c>
      <c r="E42" s="144">
        <v>43636.0</v>
      </c>
      <c r="F42" s="50" t="s">
        <v>14780</v>
      </c>
      <c r="G42" s="50">
        <v>59.0</v>
      </c>
      <c r="H42" s="50">
        <v>1.0</v>
      </c>
      <c r="I42" s="50">
        <v>11.0</v>
      </c>
      <c r="J42" s="116"/>
      <c r="K42" s="116"/>
      <c r="L42" s="50" t="s">
        <v>432</v>
      </c>
      <c r="M42" s="50" t="s">
        <v>432</v>
      </c>
      <c r="N42" s="50">
        <v>1.0</v>
      </c>
      <c r="O42" s="50" t="s">
        <v>14694</v>
      </c>
      <c r="P42" s="116"/>
      <c r="Q42" s="116"/>
      <c r="R42" s="50">
        <v>3.0</v>
      </c>
      <c r="S42" s="50" t="s">
        <v>14454</v>
      </c>
      <c r="T42" s="117">
        <v>3186.0</v>
      </c>
      <c r="U42" s="50" t="s">
        <v>14790</v>
      </c>
      <c r="V42" s="50" t="s">
        <v>14791</v>
      </c>
      <c r="W42" s="117">
        <v>42.0</v>
      </c>
    </row>
    <row r="43">
      <c r="A43" s="50" t="s">
        <v>14780</v>
      </c>
      <c r="B43" s="50" t="s">
        <v>6876</v>
      </c>
      <c r="C43" s="50" t="s">
        <v>6877</v>
      </c>
      <c r="D43" s="50" t="s">
        <v>6878</v>
      </c>
      <c r="E43" s="144">
        <v>43636.0</v>
      </c>
      <c r="F43" s="50" t="s">
        <v>14796</v>
      </c>
      <c r="G43" s="50">
        <v>58.0</v>
      </c>
      <c r="H43" s="50">
        <v>1.0</v>
      </c>
      <c r="I43" s="50">
        <v>2.0</v>
      </c>
      <c r="J43" s="116"/>
      <c r="K43" s="116"/>
      <c r="L43" s="50" t="s">
        <v>435</v>
      </c>
      <c r="M43" s="50" t="s">
        <v>435</v>
      </c>
      <c r="N43" s="50">
        <v>1.0</v>
      </c>
      <c r="O43" s="50" t="s">
        <v>14797</v>
      </c>
      <c r="P43" s="116"/>
      <c r="Q43" s="50" t="s">
        <v>14798</v>
      </c>
      <c r="R43" s="50">
        <v>1.0</v>
      </c>
      <c r="S43" s="50" t="s">
        <v>14454</v>
      </c>
      <c r="T43" s="117">
        <v>3187.0</v>
      </c>
      <c r="U43" s="50" t="s">
        <v>14800</v>
      </c>
      <c r="V43" s="50" t="s">
        <v>14801</v>
      </c>
      <c r="W43" s="117">
        <v>43.0</v>
      </c>
    </row>
    <row r="44">
      <c r="A44" s="50" t="s">
        <v>14796</v>
      </c>
      <c r="B44" s="50" t="s">
        <v>6876</v>
      </c>
      <c r="C44" s="50" t="s">
        <v>6877</v>
      </c>
      <c r="D44" s="50" t="s">
        <v>6878</v>
      </c>
      <c r="E44" s="144">
        <v>43636.0</v>
      </c>
      <c r="F44" s="50" t="s">
        <v>14804</v>
      </c>
      <c r="G44" s="50">
        <v>57.0</v>
      </c>
      <c r="H44" s="50">
        <v>1.0</v>
      </c>
      <c r="I44" s="50">
        <v>12.0</v>
      </c>
      <c r="J44" s="116"/>
      <c r="K44" s="116"/>
      <c r="L44" s="50" t="s">
        <v>461</v>
      </c>
      <c r="M44" s="50" t="s">
        <v>461</v>
      </c>
      <c r="N44" s="50">
        <v>1.0</v>
      </c>
      <c r="O44" s="50" t="s">
        <v>14797</v>
      </c>
      <c r="P44" s="116"/>
      <c r="Q44" s="116"/>
      <c r="R44" s="50">
        <v>1.0</v>
      </c>
      <c r="S44" s="50" t="s">
        <v>14454</v>
      </c>
      <c r="T44" s="117">
        <v>3188.0</v>
      </c>
      <c r="U44" s="50" t="s">
        <v>14810</v>
      </c>
      <c r="V44" s="50" t="s">
        <v>14811</v>
      </c>
      <c r="W44" s="117">
        <v>44.0</v>
      </c>
    </row>
    <row r="45">
      <c r="A45" s="50" t="s">
        <v>14813</v>
      </c>
      <c r="B45" s="50" t="s">
        <v>6876</v>
      </c>
      <c r="C45" s="50" t="s">
        <v>6877</v>
      </c>
      <c r="D45" s="50" t="s">
        <v>6878</v>
      </c>
      <c r="E45" s="144">
        <v>43636.0</v>
      </c>
      <c r="F45" s="50" t="s">
        <v>14815</v>
      </c>
      <c r="G45" s="50">
        <v>59.0</v>
      </c>
      <c r="H45" s="50">
        <v>1.0</v>
      </c>
      <c r="I45" s="50">
        <v>11.0</v>
      </c>
      <c r="J45" s="116"/>
      <c r="K45" s="116"/>
      <c r="L45" s="50" t="s">
        <v>464</v>
      </c>
      <c r="M45" s="50" t="s">
        <v>464</v>
      </c>
      <c r="N45" s="50">
        <v>1.0</v>
      </c>
      <c r="O45" s="50" t="s">
        <v>14816</v>
      </c>
      <c r="P45" s="116"/>
      <c r="Q45" s="116"/>
      <c r="R45" s="50">
        <v>1.0</v>
      </c>
      <c r="S45" s="50" t="s">
        <v>14454</v>
      </c>
      <c r="T45" s="117">
        <v>3189.0</v>
      </c>
      <c r="U45" s="50" t="s">
        <v>14817</v>
      </c>
      <c r="V45" s="50" t="s">
        <v>14819</v>
      </c>
      <c r="W45" s="117">
        <v>45.0</v>
      </c>
    </row>
    <row r="46">
      <c r="A46" s="50" t="s">
        <v>14815</v>
      </c>
      <c r="B46" s="50" t="s">
        <v>6876</v>
      </c>
      <c r="C46" s="50" t="s">
        <v>6877</v>
      </c>
      <c r="D46" s="50" t="s">
        <v>6878</v>
      </c>
      <c r="E46" s="144">
        <v>43636.0</v>
      </c>
      <c r="F46" s="50" t="s">
        <v>14820</v>
      </c>
      <c r="G46" s="50">
        <v>57.0</v>
      </c>
      <c r="H46" s="50">
        <v>1.0</v>
      </c>
      <c r="I46" s="50">
        <v>8.0</v>
      </c>
      <c r="J46" s="116"/>
      <c r="K46" s="116"/>
      <c r="L46" s="50" t="s">
        <v>440</v>
      </c>
      <c r="M46" s="50" t="s">
        <v>440</v>
      </c>
      <c r="N46" s="50">
        <v>1.0</v>
      </c>
      <c r="O46" s="50" t="s">
        <v>14797</v>
      </c>
      <c r="P46" s="116"/>
      <c r="Q46" s="116"/>
      <c r="R46" s="50">
        <v>1.0</v>
      </c>
      <c r="S46" s="50" t="s">
        <v>14454</v>
      </c>
      <c r="T46" s="117">
        <v>3190.0</v>
      </c>
      <c r="U46" s="50" t="s">
        <v>14824</v>
      </c>
      <c r="V46" s="50" t="s">
        <v>14825</v>
      </c>
      <c r="W46" s="117">
        <v>46.0</v>
      </c>
    </row>
    <row r="47">
      <c r="A47" s="50" t="s">
        <v>14820</v>
      </c>
      <c r="B47" s="50" t="s">
        <v>6876</v>
      </c>
      <c r="C47" s="50" t="s">
        <v>6877</v>
      </c>
      <c r="D47" s="50" t="s">
        <v>6878</v>
      </c>
      <c r="E47" s="144">
        <v>43636.0</v>
      </c>
      <c r="F47" s="50" t="s">
        <v>14833</v>
      </c>
      <c r="G47" s="50">
        <v>58.0</v>
      </c>
      <c r="H47" s="50">
        <v>1.0</v>
      </c>
      <c r="I47" s="50">
        <v>2.0</v>
      </c>
      <c r="J47" s="116"/>
      <c r="K47" s="116"/>
      <c r="L47" s="50" t="s">
        <v>433</v>
      </c>
      <c r="M47" s="50" t="s">
        <v>433</v>
      </c>
      <c r="N47" s="50">
        <v>1.0</v>
      </c>
      <c r="O47" s="50" t="s">
        <v>14797</v>
      </c>
      <c r="P47" s="116"/>
      <c r="Q47" s="50" t="s">
        <v>14838</v>
      </c>
      <c r="R47" s="50">
        <v>1.0</v>
      </c>
      <c r="S47" s="50" t="s">
        <v>14454</v>
      </c>
      <c r="T47" s="117">
        <v>3191.0</v>
      </c>
      <c r="U47" s="50" t="s">
        <v>14839</v>
      </c>
      <c r="V47" s="50" t="s">
        <v>14840</v>
      </c>
      <c r="W47" s="117">
        <v>47.0</v>
      </c>
    </row>
    <row r="48">
      <c r="A48" s="50" t="s">
        <v>14833</v>
      </c>
      <c r="B48" s="50" t="s">
        <v>6876</v>
      </c>
      <c r="C48" s="50" t="s">
        <v>6877</v>
      </c>
      <c r="D48" s="50" t="s">
        <v>6878</v>
      </c>
      <c r="E48" s="144">
        <v>43636.0</v>
      </c>
      <c r="F48" s="50" t="s">
        <v>14842</v>
      </c>
      <c r="G48" s="50">
        <v>57.0</v>
      </c>
      <c r="H48" s="50">
        <v>1.0</v>
      </c>
      <c r="I48" s="50">
        <v>12.0</v>
      </c>
      <c r="J48" s="116"/>
      <c r="K48" s="116"/>
      <c r="L48" s="50" t="s">
        <v>462</v>
      </c>
      <c r="M48" s="50" t="s">
        <v>462</v>
      </c>
      <c r="N48" s="50">
        <v>1.0</v>
      </c>
      <c r="O48" s="50" t="s">
        <v>14797</v>
      </c>
      <c r="P48" s="116"/>
      <c r="Q48" s="116"/>
      <c r="R48" s="50">
        <v>1.0</v>
      </c>
      <c r="S48" s="50" t="s">
        <v>14454</v>
      </c>
      <c r="T48" s="117">
        <v>3192.0</v>
      </c>
      <c r="U48" s="50" t="s">
        <v>14846</v>
      </c>
      <c r="V48" s="50" t="s">
        <v>14847</v>
      </c>
      <c r="W48" s="117">
        <v>48.0</v>
      </c>
    </row>
    <row r="49">
      <c r="A49" s="50" t="s">
        <v>14842</v>
      </c>
      <c r="B49" s="50" t="s">
        <v>6876</v>
      </c>
      <c r="C49" s="50" t="s">
        <v>6877</v>
      </c>
      <c r="D49" s="50" t="s">
        <v>6878</v>
      </c>
      <c r="E49" s="144">
        <v>43636.0</v>
      </c>
      <c r="F49" s="50" t="s">
        <v>14849</v>
      </c>
      <c r="G49" s="50">
        <v>58.0</v>
      </c>
      <c r="H49" s="50">
        <v>1.0</v>
      </c>
      <c r="I49" s="50">
        <v>5.0</v>
      </c>
      <c r="J49" s="116"/>
      <c r="K49" s="116"/>
      <c r="L49" s="50" t="s">
        <v>418</v>
      </c>
      <c r="M49" s="50" t="s">
        <v>418</v>
      </c>
      <c r="N49" s="50">
        <v>1.0</v>
      </c>
      <c r="O49" s="50" t="s">
        <v>14797</v>
      </c>
      <c r="P49" s="116"/>
      <c r="Q49" s="116"/>
      <c r="R49" s="50">
        <v>1.0</v>
      </c>
      <c r="S49" s="50" t="s">
        <v>14454</v>
      </c>
      <c r="T49" s="117">
        <v>3193.0</v>
      </c>
      <c r="U49" s="50" t="s">
        <v>14860</v>
      </c>
      <c r="V49" s="50" t="s">
        <v>14862</v>
      </c>
      <c r="W49" s="117">
        <v>49.0</v>
      </c>
    </row>
    <row r="50">
      <c r="A50" s="50" t="s">
        <v>14863</v>
      </c>
      <c r="B50" s="50" t="s">
        <v>6876</v>
      </c>
      <c r="C50" s="50" t="s">
        <v>6877</v>
      </c>
      <c r="D50" s="50" t="s">
        <v>6878</v>
      </c>
      <c r="E50" s="144">
        <v>43636.0</v>
      </c>
      <c r="F50" s="50" t="s">
        <v>14866</v>
      </c>
      <c r="G50" s="50">
        <v>58.0</v>
      </c>
      <c r="H50" s="50">
        <v>1.0</v>
      </c>
      <c r="I50" s="50">
        <v>10.0</v>
      </c>
      <c r="J50" s="116"/>
      <c r="K50" s="116"/>
      <c r="L50" s="50" t="s">
        <v>448</v>
      </c>
      <c r="M50" s="50" t="s">
        <v>448</v>
      </c>
      <c r="N50" s="50">
        <v>1.0</v>
      </c>
      <c r="O50" s="50" t="s">
        <v>14797</v>
      </c>
      <c r="P50" s="116"/>
      <c r="Q50" s="50" t="s">
        <v>14867</v>
      </c>
      <c r="R50" s="50">
        <v>1.0</v>
      </c>
      <c r="S50" s="50" t="s">
        <v>14454</v>
      </c>
      <c r="T50" s="117">
        <v>3194.0</v>
      </c>
      <c r="U50" s="50" t="s">
        <v>14869</v>
      </c>
      <c r="V50" s="50" t="s">
        <v>14870</v>
      </c>
      <c r="W50" s="117">
        <v>50.0</v>
      </c>
    </row>
    <row r="51">
      <c r="A51" s="50" t="s">
        <v>14866</v>
      </c>
      <c r="B51" s="50" t="s">
        <v>6876</v>
      </c>
      <c r="C51" s="50" t="s">
        <v>6877</v>
      </c>
      <c r="D51" s="50" t="s">
        <v>6878</v>
      </c>
      <c r="E51" s="144">
        <v>43636.0</v>
      </c>
      <c r="F51" s="50" t="s">
        <v>14871</v>
      </c>
      <c r="G51" s="50">
        <v>59.0</v>
      </c>
      <c r="H51" s="50">
        <v>1.0</v>
      </c>
      <c r="I51" s="50">
        <v>11.0</v>
      </c>
      <c r="J51" s="116"/>
      <c r="K51" s="116"/>
      <c r="L51" s="50" t="s">
        <v>409</v>
      </c>
      <c r="M51" s="50" t="s">
        <v>409</v>
      </c>
      <c r="N51" s="50">
        <v>1.0</v>
      </c>
      <c r="O51" s="50" t="s">
        <v>14797</v>
      </c>
      <c r="P51" s="116"/>
      <c r="Q51" s="116"/>
      <c r="R51" s="50">
        <v>1.0</v>
      </c>
      <c r="S51" s="50" t="s">
        <v>14454</v>
      </c>
      <c r="T51" s="117">
        <v>3195.0</v>
      </c>
      <c r="U51" s="50" t="s">
        <v>14874</v>
      </c>
      <c r="V51" s="50" t="s">
        <v>14876</v>
      </c>
      <c r="W51" s="117">
        <v>51.0</v>
      </c>
    </row>
    <row r="52">
      <c r="A52" s="50" t="s">
        <v>14878</v>
      </c>
      <c r="B52" s="50" t="s">
        <v>6876</v>
      </c>
      <c r="C52" s="50" t="s">
        <v>6877</v>
      </c>
      <c r="D52" s="50" t="s">
        <v>6878</v>
      </c>
      <c r="E52" s="144">
        <v>43636.0</v>
      </c>
      <c r="F52" s="50" t="s">
        <v>14881</v>
      </c>
      <c r="G52" s="50">
        <v>58.0</v>
      </c>
      <c r="H52" s="50">
        <v>1.0</v>
      </c>
      <c r="I52" s="50">
        <v>2.0</v>
      </c>
      <c r="J52" s="116"/>
      <c r="K52" s="116"/>
      <c r="L52" s="50" t="s">
        <v>414</v>
      </c>
      <c r="M52" s="50" t="s">
        <v>414</v>
      </c>
      <c r="N52" s="50">
        <v>1.0</v>
      </c>
      <c r="O52" s="50" t="s">
        <v>14797</v>
      </c>
      <c r="P52" s="116"/>
      <c r="Q52" s="50" t="s">
        <v>14889</v>
      </c>
      <c r="R52" s="50">
        <v>1.0</v>
      </c>
      <c r="S52" s="50" t="s">
        <v>14454</v>
      </c>
      <c r="T52" s="117">
        <v>3196.0</v>
      </c>
      <c r="U52" s="50" t="s">
        <v>14890</v>
      </c>
      <c r="V52" s="50" t="s">
        <v>14891</v>
      </c>
      <c r="W52" s="117">
        <v>52.0</v>
      </c>
    </row>
    <row r="53">
      <c r="A53" s="50" t="s">
        <v>14892</v>
      </c>
      <c r="B53" s="50" t="s">
        <v>6876</v>
      </c>
      <c r="C53" s="50" t="s">
        <v>6877</v>
      </c>
      <c r="D53" s="50" t="s">
        <v>6878</v>
      </c>
      <c r="E53" s="144">
        <v>43636.0</v>
      </c>
      <c r="F53" s="50" t="s">
        <v>14893</v>
      </c>
      <c r="G53" s="50">
        <v>58.0</v>
      </c>
      <c r="H53" s="50">
        <v>1.0</v>
      </c>
      <c r="I53" s="50">
        <v>10.0</v>
      </c>
      <c r="J53" s="116"/>
      <c r="K53" s="116"/>
      <c r="L53" s="50" t="s">
        <v>449</v>
      </c>
      <c r="M53" s="50" t="s">
        <v>449</v>
      </c>
      <c r="N53" s="50">
        <v>1.0</v>
      </c>
      <c r="O53" s="50" t="s">
        <v>14797</v>
      </c>
      <c r="P53" s="116"/>
      <c r="Q53" s="50" t="s">
        <v>14894</v>
      </c>
      <c r="R53" s="50">
        <v>1.0</v>
      </c>
      <c r="S53" s="50" t="s">
        <v>14454</v>
      </c>
      <c r="T53" s="117">
        <v>3204.0</v>
      </c>
      <c r="U53" s="50" t="s">
        <v>14897</v>
      </c>
      <c r="V53" s="50" t="s">
        <v>14898</v>
      </c>
      <c r="W53" s="117">
        <v>53.0</v>
      </c>
    </row>
    <row r="54">
      <c r="A54" s="50" t="s">
        <v>14893</v>
      </c>
      <c r="B54" s="50" t="s">
        <v>6876</v>
      </c>
      <c r="C54" s="50" t="s">
        <v>6877</v>
      </c>
      <c r="D54" s="50" t="s">
        <v>6878</v>
      </c>
      <c r="E54" s="144">
        <v>43636.0</v>
      </c>
      <c r="F54" s="50" t="s">
        <v>14906</v>
      </c>
      <c r="G54" s="50">
        <v>58.0</v>
      </c>
      <c r="H54" s="50">
        <v>1.0</v>
      </c>
      <c r="I54" s="50">
        <v>11.0</v>
      </c>
      <c r="J54" s="116"/>
      <c r="K54" s="116"/>
      <c r="L54" s="50" t="s">
        <v>452</v>
      </c>
      <c r="M54" s="50" t="s">
        <v>452</v>
      </c>
      <c r="N54" s="50">
        <v>1.0</v>
      </c>
      <c r="O54" s="50" t="s">
        <v>14797</v>
      </c>
      <c r="P54" s="116"/>
      <c r="Q54" s="116"/>
      <c r="R54" s="50">
        <v>1.0</v>
      </c>
      <c r="S54" s="50" t="s">
        <v>14454</v>
      </c>
      <c r="T54" s="117">
        <v>3205.0</v>
      </c>
      <c r="U54" s="50" t="s">
        <v>14911</v>
      </c>
      <c r="V54" s="50" t="s">
        <v>14912</v>
      </c>
      <c r="W54" s="117">
        <v>54.0</v>
      </c>
    </row>
    <row r="55">
      <c r="A55" s="50" t="s">
        <v>14906</v>
      </c>
      <c r="B55" s="50" t="s">
        <v>6876</v>
      </c>
      <c r="C55" s="50" t="s">
        <v>6877</v>
      </c>
      <c r="D55" s="50" t="s">
        <v>6878</v>
      </c>
      <c r="E55" s="144">
        <v>43636.0</v>
      </c>
      <c r="F55" s="50" t="s">
        <v>14914</v>
      </c>
      <c r="G55" s="50">
        <v>58.0</v>
      </c>
      <c r="H55" s="50">
        <v>1.0</v>
      </c>
      <c r="I55" s="50">
        <v>1.0</v>
      </c>
      <c r="J55" s="116"/>
      <c r="K55" s="116"/>
      <c r="L55" s="50" t="s">
        <v>411</v>
      </c>
      <c r="M55" s="50" t="s">
        <v>411</v>
      </c>
      <c r="N55" s="50">
        <v>1.0</v>
      </c>
      <c r="O55" s="50" t="s">
        <v>14797</v>
      </c>
      <c r="P55" s="116"/>
      <c r="Q55" s="116"/>
      <c r="R55" s="50">
        <v>1.0</v>
      </c>
      <c r="S55" s="50" t="s">
        <v>14454</v>
      </c>
      <c r="T55" s="117">
        <v>3206.0</v>
      </c>
      <c r="U55" s="50" t="s">
        <v>14920</v>
      </c>
      <c r="V55" s="50" t="s">
        <v>14922</v>
      </c>
      <c r="W55" s="117">
        <v>55.0</v>
      </c>
    </row>
    <row r="56">
      <c r="A56" s="50" t="s">
        <v>14914</v>
      </c>
      <c r="B56" s="50" t="s">
        <v>6876</v>
      </c>
      <c r="C56" s="50" t="s">
        <v>6877</v>
      </c>
      <c r="D56" s="50" t="s">
        <v>6878</v>
      </c>
      <c r="E56" s="144">
        <v>43636.0</v>
      </c>
      <c r="F56" s="50" t="s">
        <v>14926</v>
      </c>
      <c r="G56" s="50">
        <v>58.0</v>
      </c>
      <c r="H56" s="50">
        <v>1.0</v>
      </c>
      <c r="I56" s="50">
        <v>11.0</v>
      </c>
      <c r="J56" s="116"/>
      <c r="K56" s="116"/>
      <c r="L56" s="50" t="s">
        <v>468</v>
      </c>
      <c r="M56" s="50" t="s">
        <v>468</v>
      </c>
      <c r="N56" s="50">
        <v>1.0</v>
      </c>
      <c r="O56" s="50" t="s">
        <v>14797</v>
      </c>
      <c r="P56" s="116"/>
      <c r="Q56" s="116"/>
      <c r="R56" s="50">
        <v>1.0</v>
      </c>
      <c r="S56" s="50" t="s">
        <v>14454</v>
      </c>
      <c r="T56" s="117">
        <v>3207.0</v>
      </c>
      <c r="U56" s="50" t="s">
        <v>14931</v>
      </c>
      <c r="V56" s="50" t="s">
        <v>14932</v>
      </c>
      <c r="W56" s="117">
        <v>56.0</v>
      </c>
    </row>
    <row r="57">
      <c r="A57" s="50" t="s">
        <v>14926</v>
      </c>
      <c r="B57" s="50" t="s">
        <v>6876</v>
      </c>
      <c r="C57" s="50" t="s">
        <v>6877</v>
      </c>
      <c r="D57" s="50" t="s">
        <v>6878</v>
      </c>
      <c r="E57" s="144">
        <v>43636.0</v>
      </c>
      <c r="F57" s="50" t="s">
        <v>14935</v>
      </c>
      <c r="G57" s="50">
        <v>58.0</v>
      </c>
      <c r="H57" s="50">
        <v>1.0</v>
      </c>
      <c r="I57" s="50">
        <v>5.0</v>
      </c>
      <c r="J57" s="116"/>
      <c r="K57" s="116"/>
      <c r="L57" s="50" t="s">
        <v>493</v>
      </c>
      <c r="M57" s="50" t="s">
        <v>493</v>
      </c>
      <c r="N57" s="50">
        <v>1.0</v>
      </c>
      <c r="O57" s="50" t="s">
        <v>14797</v>
      </c>
      <c r="P57" s="116"/>
      <c r="Q57" s="116"/>
      <c r="R57" s="50">
        <v>1.0</v>
      </c>
      <c r="S57" s="50" t="s">
        <v>14454</v>
      </c>
      <c r="T57" s="117">
        <v>3208.0</v>
      </c>
      <c r="U57" s="50" t="s">
        <v>14940</v>
      </c>
      <c r="V57" s="50" t="s">
        <v>14941</v>
      </c>
      <c r="W57" s="117">
        <v>57.0</v>
      </c>
    </row>
    <row r="58">
      <c r="A58" s="50" t="s">
        <v>14942</v>
      </c>
      <c r="B58" s="50" t="s">
        <v>6876</v>
      </c>
      <c r="C58" s="50" t="s">
        <v>6877</v>
      </c>
      <c r="D58" s="50" t="s">
        <v>6878</v>
      </c>
      <c r="E58" s="144">
        <v>43636.0</v>
      </c>
      <c r="F58" s="50" t="s">
        <v>14943</v>
      </c>
      <c r="G58" s="50">
        <v>58.0</v>
      </c>
      <c r="H58" s="50">
        <v>1.0</v>
      </c>
      <c r="I58" s="50">
        <v>8.0</v>
      </c>
      <c r="J58" s="116"/>
      <c r="K58" s="116"/>
      <c r="L58" s="50" t="s">
        <v>475</v>
      </c>
      <c r="M58" s="50" t="s">
        <v>475</v>
      </c>
      <c r="N58" s="50">
        <v>1.0</v>
      </c>
      <c r="O58" s="50" t="s">
        <v>14797</v>
      </c>
      <c r="P58" s="116"/>
      <c r="Q58" s="116"/>
      <c r="R58" s="50">
        <v>1.0</v>
      </c>
      <c r="S58" s="50" t="s">
        <v>14454</v>
      </c>
      <c r="T58" s="117">
        <v>3209.0</v>
      </c>
      <c r="U58" s="50" t="s">
        <v>14948</v>
      </c>
      <c r="V58" s="50" t="s">
        <v>14949</v>
      </c>
      <c r="W58" s="117">
        <v>58.0</v>
      </c>
    </row>
    <row r="59">
      <c r="A59" s="50" t="s">
        <v>14943</v>
      </c>
      <c r="B59" s="50" t="s">
        <v>6876</v>
      </c>
      <c r="C59" s="50" t="s">
        <v>6877</v>
      </c>
      <c r="D59" s="50" t="s">
        <v>6878</v>
      </c>
      <c r="E59" s="144">
        <v>43636.0</v>
      </c>
      <c r="F59" s="50" t="s">
        <v>14953</v>
      </c>
      <c r="G59" s="50">
        <v>58.0</v>
      </c>
      <c r="H59" s="50">
        <v>1.0</v>
      </c>
      <c r="I59" s="50">
        <v>3.0</v>
      </c>
      <c r="J59" s="116"/>
      <c r="K59" s="116"/>
      <c r="L59" s="50" t="s">
        <v>485</v>
      </c>
      <c r="M59" s="50" t="s">
        <v>485</v>
      </c>
      <c r="N59" s="50">
        <v>1.0</v>
      </c>
      <c r="O59" s="50" t="s">
        <v>14797</v>
      </c>
      <c r="P59" s="116"/>
      <c r="Q59" s="116"/>
      <c r="R59" s="50">
        <v>1.0</v>
      </c>
      <c r="S59" s="50" t="s">
        <v>14454</v>
      </c>
      <c r="T59" s="117">
        <v>3210.0</v>
      </c>
      <c r="U59" s="50" t="s">
        <v>14956</v>
      </c>
      <c r="V59" s="50" t="s">
        <v>14957</v>
      </c>
      <c r="W59" s="117">
        <v>59.0</v>
      </c>
    </row>
    <row r="60">
      <c r="A60" s="50" t="s">
        <v>14953</v>
      </c>
      <c r="B60" s="50" t="s">
        <v>6876</v>
      </c>
      <c r="C60" s="50" t="s">
        <v>6877</v>
      </c>
      <c r="D60" s="50" t="s">
        <v>6878</v>
      </c>
      <c r="E60" s="144">
        <v>43636.0</v>
      </c>
      <c r="F60" s="50" t="s">
        <v>14959</v>
      </c>
      <c r="G60" s="50">
        <v>58.0</v>
      </c>
      <c r="H60" s="50">
        <v>1.0</v>
      </c>
      <c r="I60" s="50">
        <v>1.0</v>
      </c>
      <c r="J60" s="116"/>
      <c r="K60" s="116"/>
      <c r="L60" s="50" t="s">
        <v>486</v>
      </c>
      <c r="M60" s="50" t="s">
        <v>486</v>
      </c>
      <c r="N60" s="50">
        <v>1.0</v>
      </c>
      <c r="O60" s="50" t="s">
        <v>14963</v>
      </c>
      <c r="P60" s="116"/>
      <c r="Q60" s="116"/>
      <c r="R60" s="50">
        <v>2.0</v>
      </c>
      <c r="S60" s="50" t="s">
        <v>14454</v>
      </c>
      <c r="T60" s="117">
        <v>3211.0</v>
      </c>
      <c r="U60" s="50" t="s">
        <v>14965</v>
      </c>
      <c r="V60" s="50" t="s">
        <v>14966</v>
      </c>
      <c r="W60" s="117">
        <v>60.0</v>
      </c>
    </row>
    <row r="61">
      <c r="A61" s="50" t="s">
        <v>14967</v>
      </c>
      <c r="B61" s="50" t="s">
        <v>6876</v>
      </c>
      <c r="C61" s="50" t="s">
        <v>6877</v>
      </c>
      <c r="D61" s="50" t="s">
        <v>6878</v>
      </c>
      <c r="E61" s="144">
        <v>43636.0</v>
      </c>
      <c r="F61" s="50" t="s">
        <v>14968</v>
      </c>
      <c r="G61" s="50">
        <v>58.0</v>
      </c>
      <c r="H61" s="50">
        <v>1.0</v>
      </c>
      <c r="I61" s="50">
        <v>9.0</v>
      </c>
      <c r="J61" s="116"/>
      <c r="K61" s="116"/>
      <c r="L61" s="50" t="s">
        <v>14969</v>
      </c>
      <c r="M61" s="50" t="s">
        <v>14969</v>
      </c>
      <c r="N61" s="50">
        <v>1.0</v>
      </c>
      <c r="O61" s="50" t="s">
        <v>14963</v>
      </c>
      <c r="P61" s="116"/>
      <c r="Q61" s="116"/>
      <c r="R61" s="50">
        <v>2.0</v>
      </c>
      <c r="S61" s="50" t="s">
        <v>14454</v>
      </c>
      <c r="T61" s="117">
        <v>3212.0</v>
      </c>
      <c r="U61" s="50" t="s">
        <v>14972</v>
      </c>
      <c r="V61" s="50" t="s">
        <v>14975</v>
      </c>
      <c r="W61" s="117">
        <v>61.0</v>
      </c>
    </row>
    <row r="62">
      <c r="A62" s="50" t="s">
        <v>14968</v>
      </c>
      <c r="B62" s="50" t="s">
        <v>6876</v>
      </c>
      <c r="C62" s="50" t="s">
        <v>6877</v>
      </c>
      <c r="D62" s="50" t="s">
        <v>6878</v>
      </c>
      <c r="E62" s="144">
        <v>43636.0</v>
      </c>
      <c r="F62" s="50" t="s">
        <v>14979</v>
      </c>
      <c r="G62" s="50">
        <v>58.0</v>
      </c>
      <c r="H62" s="50">
        <v>1.0</v>
      </c>
      <c r="I62" s="50">
        <v>3.0</v>
      </c>
      <c r="J62" s="116"/>
      <c r="K62" s="116"/>
      <c r="L62" s="50" t="s">
        <v>14981</v>
      </c>
      <c r="M62" s="50" t="s">
        <v>14981</v>
      </c>
      <c r="N62" s="50">
        <v>1.0</v>
      </c>
      <c r="O62" s="50" t="s">
        <v>14963</v>
      </c>
      <c r="P62" s="116"/>
      <c r="Q62" s="116"/>
      <c r="R62" s="50">
        <v>2.0</v>
      </c>
      <c r="S62" s="50" t="s">
        <v>14454</v>
      </c>
      <c r="T62" s="117">
        <v>3213.0</v>
      </c>
      <c r="U62" s="50" t="s">
        <v>14983</v>
      </c>
      <c r="V62" s="50" t="s">
        <v>14984</v>
      </c>
      <c r="W62" s="117">
        <v>62.0</v>
      </c>
    </row>
    <row r="63">
      <c r="A63" s="50" t="s">
        <v>14979</v>
      </c>
      <c r="B63" s="50" t="s">
        <v>6876</v>
      </c>
      <c r="C63" s="50" t="s">
        <v>6877</v>
      </c>
      <c r="D63" s="50" t="s">
        <v>6878</v>
      </c>
      <c r="E63" s="144">
        <v>43636.0</v>
      </c>
      <c r="F63" s="50" t="s">
        <v>14985</v>
      </c>
      <c r="G63" s="50">
        <v>58.0</v>
      </c>
      <c r="H63" s="50">
        <v>1.0</v>
      </c>
      <c r="I63" s="50">
        <v>5.0</v>
      </c>
      <c r="J63" s="116"/>
      <c r="K63" s="116"/>
      <c r="L63" s="50" t="s">
        <v>14986</v>
      </c>
      <c r="M63" s="50" t="s">
        <v>14986</v>
      </c>
      <c r="N63" s="50">
        <v>1.0</v>
      </c>
      <c r="O63" s="50" t="s">
        <v>14963</v>
      </c>
      <c r="P63" s="116"/>
      <c r="Q63" s="116"/>
      <c r="R63" s="50">
        <v>2.0</v>
      </c>
      <c r="S63" s="50" t="s">
        <v>14454</v>
      </c>
      <c r="T63" s="117">
        <v>3214.0</v>
      </c>
      <c r="U63" s="50" t="s">
        <v>14987</v>
      </c>
      <c r="V63" s="50" t="s">
        <v>14989</v>
      </c>
      <c r="W63" s="117">
        <v>63.0</v>
      </c>
    </row>
    <row r="64">
      <c r="A64" s="50" t="s">
        <v>14990</v>
      </c>
      <c r="B64" s="50" t="s">
        <v>6876</v>
      </c>
      <c r="C64" s="50" t="s">
        <v>6877</v>
      </c>
      <c r="D64" s="50" t="s">
        <v>6878</v>
      </c>
      <c r="E64" s="144">
        <v>43636.0</v>
      </c>
      <c r="F64" s="50" t="s">
        <v>14992</v>
      </c>
      <c r="G64" s="50">
        <v>58.0</v>
      </c>
      <c r="H64" s="50">
        <v>1.0</v>
      </c>
      <c r="I64" s="50">
        <v>3.0</v>
      </c>
      <c r="J64" s="116"/>
      <c r="K64" s="116"/>
      <c r="L64" s="50" t="s">
        <v>410</v>
      </c>
      <c r="M64" s="50" t="s">
        <v>410</v>
      </c>
      <c r="N64" s="50">
        <v>1.0</v>
      </c>
      <c r="O64" s="50" t="s">
        <v>14963</v>
      </c>
      <c r="P64" s="116"/>
      <c r="Q64" s="116"/>
      <c r="R64" s="50">
        <v>2.0</v>
      </c>
      <c r="S64" s="50" t="s">
        <v>14454</v>
      </c>
      <c r="T64" s="117">
        <v>3215.0</v>
      </c>
      <c r="U64" s="50" t="s">
        <v>14999</v>
      </c>
      <c r="V64" s="50" t="s">
        <v>15000</v>
      </c>
      <c r="W64" s="117">
        <v>64.0</v>
      </c>
    </row>
    <row r="65">
      <c r="A65" s="50" t="s">
        <v>14992</v>
      </c>
      <c r="B65" s="50" t="s">
        <v>6876</v>
      </c>
      <c r="C65" s="50" t="s">
        <v>6877</v>
      </c>
      <c r="D65" s="50" t="s">
        <v>6878</v>
      </c>
      <c r="E65" s="144">
        <v>43636.0</v>
      </c>
      <c r="F65" s="50" t="s">
        <v>15001</v>
      </c>
      <c r="G65" s="50">
        <v>58.0</v>
      </c>
      <c r="H65" s="50">
        <v>1.0</v>
      </c>
      <c r="I65" s="50">
        <v>2.0</v>
      </c>
      <c r="J65" s="116"/>
      <c r="K65" s="116"/>
      <c r="L65" s="50" t="s">
        <v>470</v>
      </c>
      <c r="M65" s="50" t="s">
        <v>470</v>
      </c>
      <c r="N65" s="50">
        <v>1.0</v>
      </c>
      <c r="O65" s="50" t="s">
        <v>14963</v>
      </c>
      <c r="P65" s="116"/>
      <c r="Q65" s="50" t="s">
        <v>15002</v>
      </c>
      <c r="R65" s="50">
        <v>2.0</v>
      </c>
      <c r="S65" s="50" t="s">
        <v>14454</v>
      </c>
      <c r="T65" s="117">
        <v>3216.0</v>
      </c>
      <c r="U65" s="50" t="s">
        <v>15003</v>
      </c>
      <c r="V65" s="50" t="s">
        <v>15004</v>
      </c>
      <c r="W65" s="117">
        <v>65.0</v>
      </c>
    </row>
    <row r="66">
      <c r="A66" s="50" t="s">
        <v>15001</v>
      </c>
      <c r="B66" s="50" t="s">
        <v>6876</v>
      </c>
      <c r="C66" s="50" t="s">
        <v>6877</v>
      </c>
      <c r="D66" s="50" t="s">
        <v>6878</v>
      </c>
      <c r="E66" s="144">
        <v>43636.0</v>
      </c>
      <c r="F66" s="50" t="s">
        <v>15005</v>
      </c>
      <c r="G66" s="50">
        <v>58.0</v>
      </c>
      <c r="H66" s="50">
        <v>1.0</v>
      </c>
      <c r="I66" s="50">
        <v>8.0</v>
      </c>
      <c r="J66" s="116"/>
      <c r="K66" s="116"/>
      <c r="L66" s="50" t="s">
        <v>473</v>
      </c>
      <c r="M66" s="50" t="s">
        <v>473</v>
      </c>
      <c r="N66" s="50">
        <v>1.0</v>
      </c>
      <c r="O66" s="50" t="s">
        <v>14963</v>
      </c>
      <c r="P66" s="116"/>
      <c r="Q66" s="116"/>
      <c r="R66" s="50">
        <v>2.0</v>
      </c>
      <c r="S66" s="50" t="s">
        <v>14454</v>
      </c>
      <c r="T66" s="117">
        <v>3217.0</v>
      </c>
      <c r="U66" s="50" t="s">
        <v>15008</v>
      </c>
      <c r="V66" s="50" t="s">
        <v>15009</v>
      </c>
      <c r="W66" s="117">
        <v>66.0</v>
      </c>
    </row>
    <row r="67">
      <c r="A67" s="50" t="s">
        <v>15005</v>
      </c>
      <c r="B67" s="50" t="s">
        <v>6876</v>
      </c>
      <c r="C67" s="50" t="s">
        <v>6877</v>
      </c>
      <c r="D67" s="50" t="s">
        <v>6878</v>
      </c>
      <c r="E67" s="144">
        <v>43636.0</v>
      </c>
      <c r="F67" s="50" t="s">
        <v>15015</v>
      </c>
      <c r="G67" s="50">
        <v>58.0</v>
      </c>
      <c r="H67" s="50">
        <v>1.0</v>
      </c>
      <c r="I67" s="50">
        <v>2.0</v>
      </c>
      <c r="J67" s="116"/>
      <c r="K67" s="116"/>
      <c r="L67" s="50" t="s">
        <v>471</v>
      </c>
      <c r="M67" s="50" t="s">
        <v>471</v>
      </c>
      <c r="N67" s="50">
        <v>1.0</v>
      </c>
      <c r="O67" s="50" t="s">
        <v>14963</v>
      </c>
      <c r="P67" s="116"/>
      <c r="Q67" s="50" t="s">
        <v>15018</v>
      </c>
      <c r="R67" s="50">
        <v>2.0</v>
      </c>
      <c r="S67" s="50" t="s">
        <v>14454</v>
      </c>
      <c r="T67" s="117">
        <v>3218.0</v>
      </c>
      <c r="U67" s="50" t="s">
        <v>15019</v>
      </c>
      <c r="V67" s="50" t="s">
        <v>15020</v>
      </c>
      <c r="W67" s="117">
        <v>67.0</v>
      </c>
    </row>
    <row r="68">
      <c r="A68" s="50" t="s">
        <v>15015</v>
      </c>
      <c r="B68" s="50" t="s">
        <v>6876</v>
      </c>
      <c r="C68" s="50" t="s">
        <v>6877</v>
      </c>
      <c r="D68" s="50" t="s">
        <v>6878</v>
      </c>
      <c r="E68" s="144">
        <v>43636.0</v>
      </c>
      <c r="F68" s="50" t="s">
        <v>15021</v>
      </c>
      <c r="G68" s="50">
        <v>58.0</v>
      </c>
      <c r="H68" s="50">
        <v>1.0</v>
      </c>
      <c r="I68" s="50">
        <v>11.0</v>
      </c>
      <c r="J68" s="116"/>
      <c r="K68" s="116"/>
      <c r="L68" s="50" t="s">
        <v>419</v>
      </c>
      <c r="M68" s="50" t="s">
        <v>419</v>
      </c>
      <c r="N68" s="50">
        <v>1.0</v>
      </c>
      <c r="O68" s="50" t="s">
        <v>14963</v>
      </c>
      <c r="P68" s="116"/>
      <c r="Q68" s="116"/>
      <c r="R68" s="50">
        <v>2.0</v>
      </c>
      <c r="S68" s="50" t="s">
        <v>14454</v>
      </c>
      <c r="T68" s="117">
        <v>3219.0</v>
      </c>
      <c r="U68" s="50" t="s">
        <v>15022</v>
      </c>
      <c r="V68" s="50" t="s">
        <v>15023</v>
      </c>
      <c r="W68" s="117">
        <v>68.0</v>
      </c>
    </row>
    <row r="69">
      <c r="A69" s="50" t="s">
        <v>15024</v>
      </c>
      <c r="B69" s="50" t="s">
        <v>6876</v>
      </c>
      <c r="C69" s="50" t="s">
        <v>6877</v>
      </c>
      <c r="D69" s="50" t="s">
        <v>6878</v>
      </c>
      <c r="E69" s="144">
        <v>43636.0</v>
      </c>
      <c r="F69" s="50" t="s">
        <v>15025</v>
      </c>
      <c r="G69" s="50">
        <v>58.0</v>
      </c>
      <c r="H69" s="50">
        <v>1.0</v>
      </c>
      <c r="I69" s="50">
        <v>7.0</v>
      </c>
      <c r="J69" s="116"/>
      <c r="K69" s="116"/>
      <c r="L69" s="50" t="s">
        <v>425</v>
      </c>
      <c r="M69" s="50" t="s">
        <v>425</v>
      </c>
      <c r="N69" s="50">
        <v>1.0</v>
      </c>
      <c r="O69" s="50" t="s">
        <v>14963</v>
      </c>
      <c r="P69" s="116"/>
      <c r="Q69" s="116"/>
      <c r="R69" s="50">
        <v>2.0</v>
      </c>
      <c r="S69" s="50" t="s">
        <v>14454</v>
      </c>
      <c r="T69" s="117">
        <v>3220.0</v>
      </c>
      <c r="U69" s="50" t="s">
        <v>15030</v>
      </c>
      <c r="V69" s="50" t="s">
        <v>15032</v>
      </c>
      <c r="W69" s="117">
        <v>69.0</v>
      </c>
    </row>
    <row r="70">
      <c r="A70" s="50" t="s">
        <v>15025</v>
      </c>
      <c r="B70" s="50" t="s">
        <v>6876</v>
      </c>
      <c r="C70" s="50" t="s">
        <v>6877</v>
      </c>
      <c r="D70" s="50" t="s">
        <v>6878</v>
      </c>
      <c r="E70" s="144">
        <v>43636.0</v>
      </c>
      <c r="F70" s="50" t="s">
        <v>15034</v>
      </c>
      <c r="G70" s="50">
        <v>58.0</v>
      </c>
      <c r="H70" s="50">
        <v>1.0</v>
      </c>
      <c r="I70" s="50">
        <v>7.0</v>
      </c>
      <c r="J70" s="116"/>
      <c r="K70" s="116"/>
      <c r="L70" s="50" t="s">
        <v>427</v>
      </c>
      <c r="M70" s="50" t="s">
        <v>427</v>
      </c>
      <c r="N70" s="50">
        <v>1.0</v>
      </c>
      <c r="O70" s="50" t="s">
        <v>14963</v>
      </c>
      <c r="P70" s="116"/>
      <c r="Q70" s="116"/>
      <c r="R70" s="50">
        <v>2.0</v>
      </c>
      <c r="S70" s="50" t="s">
        <v>14454</v>
      </c>
      <c r="T70" s="117">
        <v>3221.0</v>
      </c>
      <c r="U70" s="50" t="s">
        <v>15037</v>
      </c>
      <c r="V70" s="50" t="s">
        <v>15039</v>
      </c>
      <c r="W70" s="117">
        <v>70.0</v>
      </c>
    </row>
    <row r="71">
      <c r="A71" s="50" t="s">
        <v>15034</v>
      </c>
      <c r="B71" s="50" t="s">
        <v>6876</v>
      </c>
      <c r="C71" s="50" t="s">
        <v>6877</v>
      </c>
      <c r="D71" s="50" t="s">
        <v>6878</v>
      </c>
      <c r="E71" s="144">
        <v>43636.0</v>
      </c>
      <c r="F71" s="50" t="s">
        <v>15040</v>
      </c>
      <c r="G71" s="50">
        <v>58.0</v>
      </c>
      <c r="H71" s="50">
        <v>1.0</v>
      </c>
      <c r="I71" s="50">
        <v>7.0</v>
      </c>
      <c r="J71" s="116"/>
      <c r="K71" s="116"/>
      <c r="L71" s="50" t="s">
        <v>428</v>
      </c>
      <c r="M71" s="50" t="s">
        <v>428</v>
      </c>
      <c r="N71" s="50">
        <v>1.0</v>
      </c>
      <c r="O71" s="50" t="s">
        <v>14963</v>
      </c>
      <c r="P71" s="116"/>
      <c r="Q71" s="116"/>
      <c r="R71" s="50">
        <v>2.0</v>
      </c>
      <c r="S71" s="50" t="s">
        <v>14454</v>
      </c>
      <c r="T71" s="117">
        <v>3222.0</v>
      </c>
      <c r="U71" s="50" t="s">
        <v>15041</v>
      </c>
      <c r="V71" s="50" t="s">
        <v>15042</v>
      </c>
      <c r="W71" s="117">
        <v>71.0</v>
      </c>
    </row>
    <row r="72">
      <c r="A72" s="50" t="s">
        <v>15040</v>
      </c>
      <c r="B72" s="50" t="s">
        <v>6876</v>
      </c>
      <c r="C72" s="50" t="s">
        <v>6877</v>
      </c>
      <c r="D72" s="50" t="s">
        <v>6878</v>
      </c>
      <c r="E72" s="144">
        <v>43636.0</v>
      </c>
      <c r="F72" s="50" t="s">
        <v>15043</v>
      </c>
      <c r="G72" s="50">
        <v>58.0</v>
      </c>
      <c r="H72" s="50">
        <v>1.0</v>
      </c>
      <c r="I72" s="50">
        <v>10.0</v>
      </c>
      <c r="J72" s="116"/>
      <c r="K72" s="116"/>
      <c r="L72" s="50" t="s">
        <v>417</v>
      </c>
      <c r="M72" s="50" t="s">
        <v>417</v>
      </c>
      <c r="N72" s="50">
        <v>1.0</v>
      </c>
      <c r="O72" s="50" t="s">
        <v>14963</v>
      </c>
      <c r="P72" s="116"/>
      <c r="Q72" s="50" t="s">
        <v>15047</v>
      </c>
      <c r="R72" s="50">
        <v>2.0</v>
      </c>
      <c r="S72" s="50" t="s">
        <v>14454</v>
      </c>
      <c r="T72" s="117">
        <v>3223.0</v>
      </c>
      <c r="U72" s="50" t="s">
        <v>15049</v>
      </c>
      <c r="V72" s="50" t="s">
        <v>15051</v>
      </c>
      <c r="W72" s="117">
        <v>72.0</v>
      </c>
    </row>
    <row r="73">
      <c r="A73" s="50" t="s">
        <v>15043</v>
      </c>
      <c r="B73" s="50" t="s">
        <v>6876</v>
      </c>
      <c r="C73" s="50" t="s">
        <v>6877</v>
      </c>
      <c r="D73" s="50" t="s">
        <v>6878</v>
      </c>
      <c r="E73" s="144">
        <v>43636.0</v>
      </c>
      <c r="F73" s="50" t="s">
        <v>15055</v>
      </c>
      <c r="G73" s="50">
        <v>58.0</v>
      </c>
      <c r="H73" s="50">
        <v>1.0</v>
      </c>
      <c r="I73" s="50">
        <v>2.0</v>
      </c>
      <c r="J73" s="116"/>
      <c r="K73" s="116"/>
      <c r="L73" s="50" t="s">
        <v>413</v>
      </c>
      <c r="M73" s="50" t="s">
        <v>413</v>
      </c>
      <c r="N73" s="50">
        <v>1.0</v>
      </c>
      <c r="O73" s="50" t="s">
        <v>14963</v>
      </c>
      <c r="P73" s="116"/>
      <c r="Q73" s="50" t="s">
        <v>15057</v>
      </c>
      <c r="R73" s="50">
        <v>2.0</v>
      </c>
      <c r="S73" s="50" t="s">
        <v>14454</v>
      </c>
      <c r="T73" s="117">
        <v>3224.0</v>
      </c>
      <c r="U73" s="50" t="s">
        <v>15058</v>
      </c>
      <c r="V73" s="50" t="s">
        <v>15059</v>
      </c>
      <c r="W73" s="117">
        <v>73.0</v>
      </c>
    </row>
    <row r="74">
      <c r="A74" s="50" t="s">
        <v>15055</v>
      </c>
      <c r="B74" s="50" t="s">
        <v>6876</v>
      </c>
      <c r="C74" s="50" t="s">
        <v>6877</v>
      </c>
      <c r="D74" s="50" t="s">
        <v>6878</v>
      </c>
      <c r="E74" s="144">
        <v>43636.0</v>
      </c>
      <c r="F74" s="50" t="s">
        <v>15061</v>
      </c>
      <c r="G74" s="50">
        <v>58.0</v>
      </c>
      <c r="H74" s="50">
        <v>1.0</v>
      </c>
      <c r="I74" s="50">
        <v>3.0</v>
      </c>
      <c r="J74" s="116"/>
      <c r="K74" s="116"/>
      <c r="L74" s="50" t="s">
        <v>421</v>
      </c>
      <c r="M74" s="50" t="s">
        <v>421</v>
      </c>
      <c r="N74" s="50">
        <v>1.0</v>
      </c>
      <c r="O74" s="50" t="s">
        <v>14963</v>
      </c>
      <c r="P74" s="116"/>
      <c r="Q74" s="116"/>
      <c r="R74" s="50">
        <v>2.0</v>
      </c>
      <c r="S74" s="50" t="s">
        <v>14454</v>
      </c>
      <c r="T74" s="117">
        <v>3225.0</v>
      </c>
      <c r="U74" s="50" t="s">
        <v>15065</v>
      </c>
      <c r="V74" s="50" t="s">
        <v>15066</v>
      </c>
      <c r="W74" s="117">
        <v>74.0</v>
      </c>
    </row>
    <row r="75">
      <c r="A75" s="50" t="s">
        <v>15061</v>
      </c>
      <c r="B75" s="50" t="s">
        <v>6876</v>
      </c>
      <c r="C75" s="50" t="s">
        <v>6877</v>
      </c>
      <c r="D75" s="50" t="s">
        <v>6878</v>
      </c>
      <c r="E75" s="144">
        <v>43636.0</v>
      </c>
      <c r="F75" s="50" t="s">
        <v>15067</v>
      </c>
      <c r="G75" s="50">
        <v>58.0</v>
      </c>
      <c r="H75" s="50">
        <v>1.0</v>
      </c>
      <c r="I75" s="50">
        <v>10.0</v>
      </c>
      <c r="J75" s="116"/>
      <c r="K75" s="116"/>
      <c r="L75" s="50" t="s">
        <v>415</v>
      </c>
      <c r="M75" s="50" t="s">
        <v>415</v>
      </c>
      <c r="N75" s="50">
        <v>1.0</v>
      </c>
      <c r="O75" s="50" t="s">
        <v>14963</v>
      </c>
      <c r="P75" s="116"/>
      <c r="Q75" s="50" t="s">
        <v>15068</v>
      </c>
      <c r="R75" s="50">
        <v>2.0</v>
      </c>
      <c r="S75" s="50" t="s">
        <v>14454</v>
      </c>
      <c r="T75" s="117">
        <v>3226.0</v>
      </c>
      <c r="U75" s="50" t="s">
        <v>15069</v>
      </c>
      <c r="V75" s="50" t="s">
        <v>15071</v>
      </c>
      <c r="W75" s="117">
        <v>75.0</v>
      </c>
    </row>
    <row r="76">
      <c r="A76" s="50" t="s">
        <v>15067</v>
      </c>
      <c r="B76" s="50" t="s">
        <v>6876</v>
      </c>
      <c r="C76" s="50" t="s">
        <v>6877</v>
      </c>
      <c r="D76" s="50" t="s">
        <v>6878</v>
      </c>
      <c r="E76" s="144">
        <v>43636.0</v>
      </c>
      <c r="F76" s="50" t="s">
        <v>15074</v>
      </c>
      <c r="G76" s="50">
        <v>57.0</v>
      </c>
      <c r="H76" s="50">
        <v>1.0</v>
      </c>
      <c r="I76" s="50">
        <v>12.0</v>
      </c>
      <c r="J76" s="116"/>
      <c r="K76" s="116"/>
      <c r="L76" s="50" t="s">
        <v>495</v>
      </c>
      <c r="M76" s="50" t="s">
        <v>495</v>
      </c>
      <c r="N76" s="50">
        <v>1.0</v>
      </c>
      <c r="O76" s="50" t="s">
        <v>15083</v>
      </c>
      <c r="P76" s="116"/>
      <c r="Q76" s="50" t="s">
        <v>15085</v>
      </c>
      <c r="R76" s="50">
        <v>2.0</v>
      </c>
      <c r="S76" s="50" t="s">
        <v>14454</v>
      </c>
      <c r="T76" s="117">
        <v>3227.0</v>
      </c>
      <c r="U76" s="50" t="s">
        <v>15088</v>
      </c>
      <c r="V76" s="50" t="s">
        <v>15090</v>
      </c>
      <c r="W76" s="117">
        <v>76.0</v>
      </c>
    </row>
    <row r="77">
      <c r="A77" s="50" t="s">
        <v>15074</v>
      </c>
      <c r="B77" s="50" t="s">
        <v>6876</v>
      </c>
      <c r="C77" s="50" t="s">
        <v>6877</v>
      </c>
      <c r="D77" s="50" t="s">
        <v>6878</v>
      </c>
      <c r="E77" s="144">
        <v>43636.0</v>
      </c>
      <c r="F77" s="50" t="s">
        <v>15091</v>
      </c>
      <c r="G77" s="50">
        <v>57.0</v>
      </c>
      <c r="H77" s="50">
        <v>1.0</v>
      </c>
      <c r="I77" s="50">
        <v>12.0</v>
      </c>
      <c r="J77" s="116"/>
      <c r="K77" s="116"/>
      <c r="L77" s="50" t="s">
        <v>494</v>
      </c>
      <c r="M77" s="50" t="s">
        <v>494</v>
      </c>
      <c r="N77" s="50">
        <v>1.0</v>
      </c>
      <c r="O77" s="50" t="s">
        <v>14797</v>
      </c>
      <c r="P77" s="116"/>
      <c r="Q77" s="116"/>
      <c r="R77" s="50">
        <v>1.0</v>
      </c>
      <c r="S77" s="50" t="s">
        <v>14454</v>
      </c>
      <c r="T77" s="117">
        <v>3228.0</v>
      </c>
      <c r="U77" s="50" t="s">
        <v>15095</v>
      </c>
      <c r="V77" s="50" t="s">
        <v>15097</v>
      </c>
      <c r="W77" s="117">
        <v>77.0</v>
      </c>
    </row>
    <row r="78">
      <c r="A78" s="50" t="s">
        <v>15091</v>
      </c>
      <c r="B78" s="50" t="s">
        <v>6876</v>
      </c>
      <c r="C78" s="50" t="s">
        <v>6877</v>
      </c>
      <c r="D78" s="50" t="s">
        <v>6878</v>
      </c>
      <c r="E78" s="144">
        <v>43636.0</v>
      </c>
      <c r="F78" s="50" t="s">
        <v>15098</v>
      </c>
      <c r="G78" s="50">
        <v>57.0</v>
      </c>
      <c r="H78" s="50">
        <v>1.0</v>
      </c>
      <c r="I78" s="50">
        <v>12.0</v>
      </c>
      <c r="J78" s="116"/>
      <c r="K78" s="116"/>
      <c r="L78" s="50" t="s">
        <v>15099</v>
      </c>
      <c r="M78" s="50" t="s">
        <v>15099</v>
      </c>
      <c r="N78" s="50">
        <v>1.0</v>
      </c>
      <c r="O78" s="50" t="s">
        <v>15083</v>
      </c>
      <c r="P78" s="116"/>
      <c r="Q78" s="50" t="s">
        <v>15101</v>
      </c>
      <c r="R78" s="50">
        <v>2.0</v>
      </c>
      <c r="S78" s="50" t="s">
        <v>14454</v>
      </c>
      <c r="T78" s="117">
        <v>3229.0</v>
      </c>
      <c r="U78" s="50" t="s">
        <v>15103</v>
      </c>
      <c r="V78" s="50" t="s">
        <v>15104</v>
      </c>
      <c r="W78" s="117">
        <v>78.0</v>
      </c>
    </row>
    <row r="79">
      <c r="A79" s="50" t="s">
        <v>15098</v>
      </c>
      <c r="B79" s="50" t="s">
        <v>6876</v>
      </c>
      <c r="C79" s="50" t="s">
        <v>6877</v>
      </c>
      <c r="D79" s="50" t="s">
        <v>6878</v>
      </c>
      <c r="E79" s="144">
        <v>43636.0</v>
      </c>
      <c r="F79" s="50" t="s">
        <v>15110</v>
      </c>
      <c r="G79" s="50">
        <v>57.0</v>
      </c>
      <c r="H79" s="50">
        <v>1.0</v>
      </c>
      <c r="I79" s="50">
        <v>12.0</v>
      </c>
      <c r="J79" s="116"/>
      <c r="K79" s="116"/>
      <c r="L79" s="50" t="s">
        <v>496</v>
      </c>
      <c r="M79" s="50" t="s">
        <v>496</v>
      </c>
      <c r="N79" s="50">
        <v>1.0</v>
      </c>
      <c r="O79" s="50" t="s">
        <v>14797</v>
      </c>
      <c r="P79" s="116"/>
      <c r="Q79" s="116"/>
      <c r="R79" s="50">
        <v>1.0</v>
      </c>
      <c r="S79" s="50" t="s">
        <v>14454</v>
      </c>
      <c r="T79" s="117">
        <v>3230.0</v>
      </c>
      <c r="U79" s="50" t="s">
        <v>15112</v>
      </c>
      <c r="V79" s="50" t="s">
        <v>15113</v>
      </c>
      <c r="W79" s="117">
        <v>79.0</v>
      </c>
    </row>
    <row r="80">
      <c r="A80" s="50" t="s">
        <v>15110</v>
      </c>
      <c r="B80" s="50" t="s">
        <v>6876</v>
      </c>
      <c r="C80" s="50" t="s">
        <v>6877</v>
      </c>
      <c r="D80" s="50" t="s">
        <v>6878</v>
      </c>
      <c r="E80" s="144">
        <v>43636.0</v>
      </c>
      <c r="F80" s="50" t="s">
        <v>15114</v>
      </c>
      <c r="G80" s="50">
        <v>58.0</v>
      </c>
      <c r="H80" s="50">
        <v>1.0</v>
      </c>
      <c r="I80" s="50">
        <v>10.0</v>
      </c>
      <c r="J80" s="116"/>
      <c r="K80" s="116"/>
      <c r="L80" s="50" t="s">
        <v>491</v>
      </c>
      <c r="M80" s="50" t="s">
        <v>491</v>
      </c>
      <c r="N80" s="50">
        <v>1.0</v>
      </c>
      <c r="O80" s="50" t="s">
        <v>15115</v>
      </c>
      <c r="P80" s="116"/>
      <c r="Q80" s="50" t="s">
        <v>15116</v>
      </c>
      <c r="R80" s="50">
        <v>1.0</v>
      </c>
      <c r="S80" s="50" t="s">
        <v>14454</v>
      </c>
      <c r="T80" s="117">
        <v>3231.0</v>
      </c>
      <c r="U80" s="50" t="s">
        <v>15118</v>
      </c>
      <c r="V80" s="50" t="s">
        <v>15119</v>
      </c>
      <c r="W80" s="117">
        <v>80.0</v>
      </c>
    </row>
    <row r="81">
      <c r="A81" s="50" t="s">
        <v>15123</v>
      </c>
      <c r="B81" s="50" t="s">
        <v>6876</v>
      </c>
      <c r="C81" s="50" t="s">
        <v>6877</v>
      </c>
      <c r="D81" s="50" t="s">
        <v>6907</v>
      </c>
      <c r="E81" s="144">
        <v>43642.0</v>
      </c>
      <c r="F81" s="50" t="s">
        <v>15127</v>
      </c>
      <c r="G81" s="50">
        <v>58.0</v>
      </c>
      <c r="H81" s="50">
        <v>1.0</v>
      </c>
      <c r="I81" s="50">
        <v>8.0</v>
      </c>
      <c r="J81" s="116"/>
      <c r="K81" s="116"/>
      <c r="L81" s="50" t="s">
        <v>473</v>
      </c>
      <c r="M81" s="50" t="s">
        <v>473</v>
      </c>
      <c r="N81" s="50">
        <v>1.0</v>
      </c>
      <c r="O81" s="50" t="s">
        <v>15132</v>
      </c>
      <c r="P81" s="116"/>
      <c r="Q81" s="116"/>
      <c r="R81" s="50">
        <v>1.0</v>
      </c>
      <c r="S81" s="50" t="s">
        <v>14454</v>
      </c>
      <c r="T81" s="117">
        <v>3284.0</v>
      </c>
      <c r="U81" s="50" t="s">
        <v>15133</v>
      </c>
      <c r="V81" s="50" t="s">
        <v>15134</v>
      </c>
      <c r="W81" s="117">
        <v>81.0</v>
      </c>
    </row>
    <row r="82">
      <c r="A82" s="50" t="s">
        <v>15135</v>
      </c>
      <c r="B82" s="50" t="s">
        <v>6876</v>
      </c>
      <c r="C82" s="50" t="s">
        <v>6877</v>
      </c>
      <c r="D82" s="50" t="s">
        <v>6907</v>
      </c>
      <c r="E82" s="144">
        <v>43663.0</v>
      </c>
      <c r="F82" s="50" t="s">
        <v>15136</v>
      </c>
      <c r="G82" s="50">
        <v>57.0</v>
      </c>
      <c r="H82" s="50">
        <v>1.0</v>
      </c>
      <c r="I82" s="50">
        <v>12.0</v>
      </c>
      <c r="J82" s="116"/>
      <c r="K82" s="116"/>
      <c r="L82" s="50" t="s">
        <v>647</v>
      </c>
      <c r="M82" s="50" t="s">
        <v>647</v>
      </c>
      <c r="N82" s="50">
        <v>1.0</v>
      </c>
      <c r="O82" s="50" t="s">
        <v>15138</v>
      </c>
      <c r="P82" s="116"/>
      <c r="Q82" s="116"/>
      <c r="R82" s="50">
        <v>4.0</v>
      </c>
      <c r="S82" s="50" t="s">
        <v>14454</v>
      </c>
      <c r="T82" s="117">
        <v>3447.0</v>
      </c>
      <c r="U82" s="50" t="s">
        <v>15141</v>
      </c>
      <c r="V82" s="50" t="s">
        <v>15142</v>
      </c>
      <c r="W82" s="117">
        <v>82.0</v>
      </c>
    </row>
    <row r="83">
      <c r="A83" s="50" t="s">
        <v>15136</v>
      </c>
      <c r="B83" s="50" t="s">
        <v>6876</v>
      </c>
      <c r="C83" s="50" t="s">
        <v>6877</v>
      </c>
      <c r="D83" s="50" t="s">
        <v>6907</v>
      </c>
      <c r="E83" s="144">
        <v>43663.0</v>
      </c>
      <c r="F83" s="50" t="s">
        <v>15145</v>
      </c>
      <c r="G83" s="50">
        <v>57.0</v>
      </c>
      <c r="H83" s="50">
        <v>1.0</v>
      </c>
      <c r="I83" s="50">
        <v>12.0</v>
      </c>
      <c r="J83" s="116"/>
      <c r="K83" s="116"/>
      <c r="L83" s="50" t="s">
        <v>652</v>
      </c>
      <c r="M83" s="50" t="s">
        <v>652</v>
      </c>
      <c r="N83" s="50">
        <v>1.0</v>
      </c>
      <c r="O83" s="50" t="s">
        <v>15138</v>
      </c>
      <c r="P83" s="116"/>
      <c r="Q83" s="116"/>
      <c r="R83" s="50">
        <v>4.0</v>
      </c>
      <c r="S83" s="50" t="s">
        <v>14454</v>
      </c>
      <c r="T83" s="117">
        <v>3448.0</v>
      </c>
      <c r="U83" s="50" t="s">
        <v>15154</v>
      </c>
      <c r="V83" s="50" t="s">
        <v>15155</v>
      </c>
      <c r="W83" s="117">
        <v>83.0</v>
      </c>
    </row>
    <row r="84">
      <c r="A84" s="50" t="s">
        <v>15145</v>
      </c>
      <c r="B84" s="50" t="s">
        <v>6876</v>
      </c>
      <c r="C84" s="50" t="s">
        <v>6877</v>
      </c>
      <c r="D84" s="50" t="s">
        <v>6907</v>
      </c>
      <c r="E84" s="144">
        <v>43663.0</v>
      </c>
      <c r="F84" s="50" t="s">
        <v>15157</v>
      </c>
      <c r="G84" s="50">
        <v>66.0</v>
      </c>
      <c r="H84" s="50">
        <v>1.0</v>
      </c>
      <c r="I84" s="50">
        <v>12.0</v>
      </c>
      <c r="J84" s="116"/>
      <c r="K84" s="116"/>
      <c r="L84" s="50" t="s">
        <v>655</v>
      </c>
      <c r="M84" s="50" t="s">
        <v>655</v>
      </c>
      <c r="N84" s="50">
        <v>1.0</v>
      </c>
      <c r="O84" s="50" t="s">
        <v>15138</v>
      </c>
      <c r="P84" s="116"/>
      <c r="Q84" s="116"/>
      <c r="R84" s="50">
        <v>4.0</v>
      </c>
      <c r="S84" s="50" t="s">
        <v>14454</v>
      </c>
      <c r="T84" s="117">
        <v>3449.0</v>
      </c>
      <c r="U84" s="50" t="s">
        <v>15161</v>
      </c>
      <c r="V84" s="50" t="s">
        <v>15162</v>
      </c>
      <c r="W84" s="117">
        <v>84.0</v>
      </c>
    </row>
    <row r="85">
      <c r="A85" s="50" t="s">
        <v>15157</v>
      </c>
      <c r="B85" s="50" t="s">
        <v>6876</v>
      </c>
      <c r="C85" s="50" t="s">
        <v>6877</v>
      </c>
      <c r="D85" s="50" t="s">
        <v>6907</v>
      </c>
      <c r="E85" s="144">
        <v>43663.0</v>
      </c>
      <c r="F85" s="50" t="s">
        <v>15164</v>
      </c>
      <c r="G85" s="50">
        <v>59.0</v>
      </c>
      <c r="H85" s="50">
        <v>1.0</v>
      </c>
      <c r="I85" s="50">
        <v>12.0</v>
      </c>
      <c r="J85" s="116"/>
      <c r="K85" s="116"/>
      <c r="L85" s="50" t="s">
        <v>658</v>
      </c>
      <c r="M85" s="50" t="s">
        <v>658</v>
      </c>
      <c r="N85" s="50">
        <v>1.0</v>
      </c>
      <c r="O85" s="50" t="s">
        <v>15138</v>
      </c>
      <c r="P85" s="116"/>
      <c r="Q85" s="116"/>
      <c r="R85" s="50">
        <v>4.0</v>
      </c>
      <c r="S85" s="50" t="s">
        <v>14454</v>
      </c>
      <c r="T85" s="117">
        <v>3450.0</v>
      </c>
      <c r="U85" s="50" t="s">
        <v>15172</v>
      </c>
      <c r="V85" s="50" t="s">
        <v>15173</v>
      </c>
      <c r="W85" s="117">
        <v>85.0</v>
      </c>
    </row>
    <row r="86">
      <c r="A86" s="50" t="s">
        <v>15164</v>
      </c>
      <c r="B86" s="50" t="s">
        <v>6876</v>
      </c>
      <c r="C86" s="50" t="s">
        <v>6877</v>
      </c>
      <c r="D86" s="50" t="s">
        <v>6907</v>
      </c>
      <c r="E86" s="144">
        <v>43663.0</v>
      </c>
      <c r="F86" s="50" t="s">
        <v>15175</v>
      </c>
      <c r="G86" s="50">
        <v>57.0</v>
      </c>
      <c r="H86" s="50">
        <v>1.0</v>
      </c>
      <c r="I86" s="50">
        <v>12.0</v>
      </c>
      <c r="J86" s="116"/>
      <c r="K86" s="116"/>
      <c r="L86" s="50" t="s">
        <v>662</v>
      </c>
      <c r="M86" s="50" t="s">
        <v>662</v>
      </c>
      <c r="N86" s="50">
        <v>1.0</v>
      </c>
      <c r="O86" s="50" t="s">
        <v>15138</v>
      </c>
      <c r="P86" s="116"/>
      <c r="Q86" s="116"/>
      <c r="R86" s="50">
        <v>4.0</v>
      </c>
      <c r="S86" s="50" t="s">
        <v>14454</v>
      </c>
      <c r="T86" s="117">
        <v>3451.0</v>
      </c>
      <c r="U86" s="50" t="s">
        <v>15176</v>
      </c>
      <c r="V86" s="50" t="s">
        <v>15177</v>
      </c>
      <c r="W86" s="117">
        <v>86.0</v>
      </c>
    </row>
    <row r="87">
      <c r="A87" s="50" t="s">
        <v>15175</v>
      </c>
      <c r="B87" s="50" t="s">
        <v>6876</v>
      </c>
      <c r="C87" s="50" t="s">
        <v>6877</v>
      </c>
      <c r="D87" s="50" t="s">
        <v>6907</v>
      </c>
      <c r="E87" s="144">
        <v>43663.0</v>
      </c>
      <c r="F87" s="50" t="s">
        <v>15178</v>
      </c>
      <c r="G87" s="50">
        <v>57.0</v>
      </c>
      <c r="H87" s="50">
        <v>1.0</v>
      </c>
      <c r="I87" s="50">
        <v>12.0</v>
      </c>
      <c r="J87" s="116"/>
      <c r="K87" s="116"/>
      <c r="L87" s="50" t="s">
        <v>665</v>
      </c>
      <c r="M87" s="50" t="s">
        <v>665</v>
      </c>
      <c r="N87" s="50">
        <v>1.0</v>
      </c>
      <c r="O87" s="50" t="s">
        <v>15138</v>
      </c>
      <c r="P87" s="116"/>
      <c r="Q87" s="116"/>
      <c r="R87" s="50">
        <v>4.0</v>
      </c>
      <c r="S87" s="50" t="s">
        <v>14454</v>
      </c>
      <c r="T87" s="117">
        <v>3452.0</v>
      </c>
      <c r="U87" s="50" t="s">
        <v>15183</v>
      </c>
      <c r="V87" s="50" t="s">
        <v>15184</v>
      </c>
      <c r="W87" s="117">
        <v>87.0</v>
      </c>
    </row>
    <row r="88">
      <c r="A88" s="50" t="s">
        <v>15178</v>
      </c>
      <c r="B88" s="50" t="s">
        <v>6876</v>
      </c>
      <c r="C88" s="50" t="s">
        <v>6877</v>
      </c>
      <c r="D88" s="50" t="s">
        <v>6907</v>
      </c>
      <c r="E88" s="144">
        <v>43663.0</v>
      </c>
      <c r="F88" s="50" t="s">
        <v>15188</v>
      </c>
      <c r="G88" s="50">
        <v>58.0</v>
      </c>
      <c r="H88" s="50">
        <v>1.0</v>
      </c>
      <c r="I88" s="50">
        <v>11.0</v>
      </c>
      <c r="J88" s="116"/>
      <c r="K88" s="116"/>
      <c r="L88" s="50" t="s">
        <v>672</v>
      </c>
      <c r="M88" s="50" t="s">
        <v>672</v>
      </c>
      <c r="N88" s="50">
        <v>1.0</v>
      </c>
      <c r="O88" s="50" t="s">
        <v>15138</v>
      </c>
      <c r="P88" s="116"/>
      <c r="Q88" s="116"/>
      <c r="R88" s="50">
        <v>4.0</v>
      </c>
      <c r="S88" s="50" t="s">
        <v>14454</v>
      </c>
      <c r="T88" s="117">
        <v>3453.0</v>
      </c>
      <c r="U88" s="50" t="s">
        <v>15190</v>
      </c>
      <c r="V88" s="50" t="s">
        <v>15191</v>
      </c>
      <c r="W88" s="117">
        <v>88.0</v>
      </c>
    </row>
    <row r="89">
      <c r="A89" s="50" t="s">
        <v>15188</v>
      </c>
      <c r="B89" s="50" t="s">
        <v>6876</v>
      </c>
      <c r="C89" s="50" t="s">
        <v>6877</v>
      </c>
      <c r="D89" s="50" t="s">
        <v>6907</v>
      </c>
      <c r="E89" s="144">
        <v>43663.0</v>
      </c>
      <c r="F89" s="50" t="s">
        <v>15193</v>
      </c>
      <c r="G89" s="50">
        <v>59.0</v>
      </c>
      <c r="H89" s="50">
        <v>1.0</v>
      </c>
      <c r="I89" s="50">
        <v>11.0</v>
      </c>
      <c r="J89" s="116"/>
      <c r="K89" s="116"/>
      <c r="L89" s="50" t="s">
        <v>680</v>
      </c>
      <c r="M89" s="50" t="s">
        <v>680</v>
      </c>
      <c r="N89" s="50">
        <v>1.0</v>
      </c>
      <c r="O89" s="50" t="s">
        <v>15138</v>
      </c>
      <c r="P89" s="116"/>
      <c r="Q89" s="116"/>
      <c r="R89" s="50">
        <v>4.0</v>
      </c>
      <c r="S89" s="50" t="s">
        <v>14454</v>
      </c>
      <c r="T89" s="117">
        <v>3454.0</v>
      </c>
      <c r="U89" s="50" t="s">
        <v>15196</v>
      </c>
      <c r="V89" s="50" t="s">
        <v>15197</v>
      </c>
      <c r="W89" s="117">
        <v>89.0</v>
      </c>
    </row>
    <row r="90">
      <c r="A90" s="50" t="s">
        <v>15199</v>
      </c>
      <c r="B90" s="50" t="s">
        <v>6876</v>
      </c>
      <c r="C90" s="50" t="s">
        <v>6877</v>
      </c>
      <c r="D90" s="50" t="s">
        <v>6907</v>
      </c>
      <c r="E90" s="144">
        <v>43663.0</v>
      </c>
      <c r="F90" s="50" t="s">
        <v>15200</v>
      </c>
      <c r="G90" s="50">
        <v>59.0</v>
      </c>
      <c r="H90" s="50">
        <v>1.0</v>
      </c>
      <c r="I90" s="50">
        <v>11.0</v>
      </c>
      <c r="J90" s="116"/>
      <c r="K90" s="116"/>
      <c r="L90" s="50" t="s">
        <v>689</v>
      </c>
      <c r="M90" s="50" t="s">
        <v>689</v>
      </c>
      <c r="N90" s="50">
        <v>1.0</v>
      </c>
      <c r="O90" s="50" t="s">
        <v>15138</v>
      </c>
      <c r="P90" s="116"/>
      <c r="Q90" s="116"/>
      <c r="R90" s="50">
        <v>4.0</v>
      </c>
      <c r="S90" s="50" t="s">
        <v>14454</v>
      </c>
      <c r="T90" s="117">
        <v>3455.0</v>
      </c>
      <c r="U90" s="50" t="s">
        <v>15201</v>
      </c>
      <c r="V90" s="50" t="s">
        <v>15202</v>
      </c>
      <c r="W90" s="117">
        <v>90.0</v>
      </c>
    </row>
    <row r="91">
      <c r="A91" s="50" t="s">
        <v>15200</v>
      </c>
      <c r="B91" s="50" t="s">
        <v>6876</v>
      </c>
      <c r="C91" s="50" t="s">
        <v>6877</v>
      </c>
      <c r="D91" s="50" t="s">
        <v>6907</v>
      </c>
      <c r="E91" s="144">
        <v>43663.0</v>
      </c>
      <c r="F91" s="50" t="s">
        <v>15203</v>
      </c>
      <c r="G91" s="50">
        <v>59.0</v>
      </c>
      <c r="H91" s="50">
        <v>1.0</v>
      </c>
      <c r="I91" s="50">
        <v>11.0</v>
      </c>
      <c r="J91" s="116"/>
      <c r="K91" s="116"/>
      <c r="L91" s="50" t="s">
        <v>697</v>
      </c>
      <c r="M91" s="50" t="s">
        <v>697</v>
      </c>
      <c r="N91" s="50">
        <v>1.0</v>
      </c>
      <c r="O91" s="50" t="s">
        <v>15138</v>
      </c>
      <c r="P91" s="116"/>
      <c r="Q91" s="116"/>
      <c r="R91" s="50">
        <v>4.0</v>
      </c>
      <c r="S91" s="50" t="s">
        <v>14454</v>
      </c>
      <c r="T91" s="117">
        <v>3456.0</v>
      </c>
      <c r="U91" s="50" t="s">
        <v>15208</v>
      </c>
      <c r="V91" s="50" t="s">
        <v>15210</v>
      </c>
      <c r="W91" s="117">
        <v>91.0</v>
      </c>
    </row>
    <row r="92">
      <c r="A92" s="50" t="s">
        <v>15203</v>
      </c>
      <c r="B92" s="50" t="s">
        <v>6876</v>
      </c>
      <c r="C92" s="50" t="s">
        <v>6877</v>
      </c>
      <c r="D92" s="50" t="s">
        <v>6907</v>
      </c>
      <c r="E92" s="144">
        <v>43663.0</v>
      </c>
      <c r="F92" s="50" t="s">
        <v>15214</v>
      </c>
      <c r="G92" s="50">
        <v>57.0</v>
      </c>
      <c r="H92" s="50">
        <v>1.0</v>
      </c>
      <c r="I92" s="50">
        <v>12.0</v>
      </c>
      <c r="J92" s="116"/>
      <c r="K92" s="116"/>
      <c r="L92" s="50" t="s">
        <v>711</v>
      </c>
      <c r="M92" s="50" t="s">
        <v>711</v>
      </c>
      <c r="N92" s="50">
        <v>1.0</v>
      </c>
      <c r="O92" s="50" t="s">
        <v>15138</v>
      </c>
      <c r="P92" s="116"/>
      <c r="Q92" s="116"/>
      <c r="R92" s="50">
        <v>4.0</v>
      </c>
      <c r="S92" s="50" t="s">
        <v>14454</v>
      </c>
      <c r="T92" s="117">
        <v>3457.0</v>
      </c>
      <c r="U92" s="50" t="s">
        <v>15215</v>
      </c>
      <c r="V92" s="50" t="s">
        <v>15217</v>
      </c>
      <c r="W92" s="117">
        <v>92.0</v>
      </c>
    </row>
    <row r="93">
      <c r="A93" s="50" t="s">
        <v>15214</v>
      </c>
      <c r="B93" s="50" t="s">
        <v>6876</v>
      </c>
      <c r="C93" s="50" t="s">
        <v>6877</v>
      </c>
      <c r="D93" s="50" t="s">
        <v>6907</v>
      </c>
      <c r="E93" s="144">
        <v>43663.0</v>
      </c>
      <c r="F93" s="50" t="s">
        <v>15220</v>
      </c>
      <c r="G93" s="50">
        <v>57.0</v>
      </c>
      <c r="H93" s="50">
        <v>1.0</v>
      </c>
      <c r="I93" s="50">
        <v>12.0</v>
      </c>
      <c r="J93" s="116"/>
      <c r="K93" s="116"/>
      <c r="L93" s="50" t="s">
        <v>766</v>
      </c>
      <c r="M93" s="50" t="s">
        <v>766</v>
      </c>
      <c r="N93" s="50">
        <v>1.0</v>
      </c>
      <c r="O93" s="50" t="s">
        <v>15225</v>
      </c>
      <c r="P93" s="116"/>
      <c r="Q93" s="116"/>
      <c r="R93" s="50">
        <v>2.0</v>
      </c>
      <c r="S93" s="50" t="s">
        <v>14454</v>
      </c>
      <c r="T93" s="117">
        <v>3458.0</v>
      </c>
      <c r="U93" s="50" t="s">
        <v>15227</v>
      </c>
      <c r="V93" s="50" t="s">
        <v>15228</v>
      </c>
      <c r="W93" s="117">
        <v>93.0</v>
      </c>
    </row>
    <row r="94">
      <c r="A94" s="50" t="s">
        <v>15220</v>
      </c>
      <c r="B94" s="50" t="s">
        <v>6876</v>
      </c>
      <c r="C94" s="50" t="s">
        <v>6877</v>
      </c>
      <c r="D94" s="50" t="s">
        <v>6907</v>
      </c>
      <c r="E94" s="144">
        <v>43663.0</v>
      </c>
      <c r="F94" s="50" t="s">
        <v>15232</v>
      </c>
      <c r="G94" s="50">
        <v>65.0</v>
      </c>
      <c r="H94" s="50">
        <v>1.0</v>
      </c>
      <c r="I94" s="50">
        <v>12.0</v>
      </c>
      <c r="J94" s="116"/>
      <c r="K94" s="116"/>
      <c r="L94" s="50" t="s">
        <v>781</v>
      </c>
      <c r="M94" s="50" t="s">
        <v>781</v>
      </c>
      <c r="N94" s="50">
        <v>1.0</v>
      </c>
      <c r="O94" s="50" t="s">
        <v>15225</v>
      </c>
      <c r="P94" s="116"/>
      <c r="Q94" s="116"/>
      <c r="R94" s="50">
        <v>2.0</v>
      </c>
      <c r="S94" s="50" t="s">
        <v>14454</v>
      </c>
      <c r="T94" s="117">
        <v>3459.0</v>
      </c>
      <c r="U94" s="50" t="s">
        <v>15236</v>
      </c>
      <c r="V94" s="50" t="s">
        <v>15237</v>
      </c>
      <c r="W94" s="117">
        <v>94.0</v>
      </c>
    </row>
    <row r="95">
      <c r="A95" s="50" t="s">
        <v>15232</v>
      </c>
      <c r="B95" s="50" t="s">
        <v>6876</v>
      </c>
      <c r="C95" s="50" t="s">
        <v>6877</v>
      </c>
      <c r="D95" s="50" t="s">
        <v>6907</v>
      </c>
      <c r="E95" s="144">
        <v>43663.0</v>
      </c>
      <c r="F95" s="50" t="s">
        <v>15238</v>
      </c>
      <c r="G95" s="50">
        <v>59.0</v>
      </c>
      <c r="H95" s="50">
        <v>1.0</v>
      </c>
      <c r="I95" s="50">
        <v>11.0</v>
      </c>
      <c r="J95" s="116"/>
      <c r="K95" s="116"/>
      <c r="L95" s="50" t="s">
        <v>791</v>
      </c>
      <c r="M95" s="50" t="s">
        <v>791</v>
      </c>
      <c r="N95" s="50">
        <v>1.0</v>
      </c>
      <c r="O95" s="50" t="s">
        <v>15225</v>
      </c>
      <c r="P95" s="116"/>
      <c r="Q95" s="116"/>
      <c r="R95" s="50">
        <v>2.0</v>
      </c>
      <c r="S95" s="50" t="s">
        <v>14454</v>
      </c>
      <c r="T95" s="117">
        <v>3460.0</v>
      </c>
      <c r="U95" s="50" t="s">
        <v>15247</v>
      </c>
      <c r="V95" s="50" t="s">
        <v>15248</v>
      </c>
      <c r="W95" s="117">
        <v>95.0</v>
      </c>
    </row>
    <row r="96">
      <c r="A96" s="50" t="s">
        <v>15238</v>
      </c>
      <c r="B96" s="50" t="s">
        <v>6876</v>
      </c>
      <c r="C96" s="50" t="s">
        <v>6877</v>
      </c>
      <c r="D96" s="50" t="s">
        <v>6907</v>
      </c>
      <c r="E96" s="144">
        <v>43663.0</v>
      </c>
      <c r="F96" s="50" t="s">
        <v>15250</v>
      </c>
      <c r="G96" s="50">
        <v>59.0</v>
      </c>
      <c r="H96" s="50">
        <v>1.0</v>
      </c>
      <c r="I96" s="50">
        <v>11.0</v>
      </c>
      <c r="J96" s="116"/>
      <c r="K96" s="116"/>
      <c r="L96" s="50" t="s">
        <v>795</v>
      </c>
      <c r="M96" s="50" t="s">
        <v>795</v>
      </c>
      <c r="N96" s="50">
        <v>1.0</v>
      </c>
      <c r="O96" s="50" t="s">
        <v>15225</v>
      </c>
      <c r="P96" s="116"/>
      <c r="Q96" s="116"/>
      <c r="R96" s="50">
        <v>2.0</v>
      </c>
      <c r="S96" s="50" t="s">
        <v>14454</v>
      </c>
      <c r="T96" s="117">
        <v>3461.0</v>
      </c>
      <c r="U96" s="50" t="s">
        <v>15251</v>
      </c>
      <c r="V96" s="50" t="s">
        <v>15253</v>
      </c>
      <c r="W96" s="117">
        <v>96.0</v>
      </c>
    </row>
    <row r="97">
      <c r="A97" s="50" t="s">
        <v>15250</v>
      </c>
      <c r="B97" s="50" t="s">
        <v>6876</v>
      </c>
      <c r="C97" s="50" t="s">
        <v>6877</v>
      </c>
      <c r="D97" s="50" t="s">
        <v>6907</v>
      </c>
      <c r="E97" s="144">
        <v>43663.0</v>
      </c>
      <c r="F97" s="50" t="s">
        <v>15257</v>
      </c>
      <c r="G97" s="50">
        <v>59.0</v>
      </c>
      <c r="H97" s="50">
        <v>1.0</v>
      </c>
      <c r="I97" s="50">
        <v>11.0</v>
      </c>
      <c r="J97" s="116"/>
      <c r="K97" s="116"/>
      <c r="L97" s="50" t="s">
        <v>809</v>
      </c>
      <c r="M97" s="50" t="s">
        <v>809</v>
      </c>
      <c r="N97" s="50">
        <v>1.0</v>
      </c>
      <c r="O97" s="50" t="s">
        <v>15225</v>
      </c>
      <c r="P97" s="116"/>
      <c r="Q97" s="116"/>
      <c r="R97" s="50">
        <v>2.0</v>
      </c>
      <c r="S97" s="50" t="s">
        <v>14454</v>
      </c>
      <c r="T97" s="117">
        <v>3462.0</v>
      </c>
      <c r="U97" s="50" t="s">
        <v>15259</v>
      </c>
      <c r="V97" s="50" t="s">
        <v>15260</v>
      </c>
      <c r="W97" s="117">
        <v>97.0</v>
      </c>
    </row>
    <row r="98">
      <c r="A98" s="50" t="s">
        <v>15257</v>
      </c>
      <c r="B98" s="50" t="s">
        <v>6876</v>
      </c>
      <c r="C98" s="50" t="s">
        <v>6877</v>
      </c>
      <c r="D98" s="50" t="s">
        <v>6907</v>
      </c>
      <c r="E98" s="144">
        <v>43663.0</v>
      </c>
      <c r="F98" s="50" t="s">
        <v>15262</v>
      </c>
      <c r="G98" s="50">
        <v>58.0</v>
      </c>
      <c r="H98" s="50">
        <v>1.0</v>
      </c>
      <c r="I98" s="50">
        <v>11.0</v>
      </c>
      <c r="J98" s="116"/>
      <c r="K98" s="116"/>
      <c r="L98" s="50" t="s">
        <v>811</v>
      </c>
      <c r="M98" s="50" t="s">
        <v>811</v>
      </c>
      <c r="N98" s="50">
        <v>1.0</v>
      </c>
      <c r="O98" s="50" t="s">
        <v>15225</v>
      </c>
      <c r="P98" s="116"/>
      <c r="Q98" s="116"/>
      <c r="R98" s="50">
        <v>2.0</v>
      </c>
      <c r="S98" s="50" t="s">
        <v>14454</v>
      </c>
      <c r="T98" s="117">
        <v>3463.0</v>
      </c>
      <c r="U98" s="50" t="s">
        <v>15267</v>
      </c>
      <c r="V98" s="50" t="s">
        <v>15268</v>
      </c>
      <c r="W98" s="117">
        <v>98.0</v>
      </c>
    </row>
    <row r="99">
      <c r="A99" s="50" t="s">
        <v>15262</v>
      </c>
      <c r="B99" s="50" t="s">
        <v>6876</v>
      </c>
      <c r="C99" s="50" t="s">
        <v>6877</v>
      </c>
      <c r="D99" s="50" t="s">
        <v>6907</v>
      </c>
      <c r="E99" s="144">
        <v>43663.0</v>
      </c>
      <c r="F99" s="50" t="s">
        <v>15271</v>
      </c>
      <c r="G99" s="50">
        <v>57.0</v>
      </c>
      <c r="H99" s="50">
        <v>1.0</v>
      </c>
      <c r="I99" s="50">
        <v>12.0</v>
      </c>
      <c r="J99" s="116"/>
      <c r="K99" s="116"/>
      <c r="L99" s="50" t="s">
        <v>833</v>
      </c>
      <c r="M99" s="50" t="s">
        <v>833</v>
      </c>
      <c r="N99" s="50">
        <v>1.0</v>
      </c>
      <c r="O99" s="50" t="s">
        <v>15225</v>
      </c>
      <c r="P99" s="116"/>
      <c r="Q99" s="116"/>
      <c r="R99" s="50">
        <v>2.0</v>
      </c>
      <c r="S99" s="50" t="s">
        <v>14454</v>
      </c>
      <c r="T99" s="117">
        <v>3464.0</v>
      </c>
      <c r="U99" s="50" t="s">
        <v>15273</v>
      </c>
      <c r="V99" s="50" t="s">
        <v>15274</v>
      </c>
      <c r="W99" s="117">
        <v>99.0</v>
      </c>
    </row>
    <row r="100">
      <c r="A100" s="50" t="s">
        <v>15271</v>
      </c>
      <c r="B100" s="50" t="s">
        <v>6876</v>
      </c>
      <c r="C100" s="50" t="s">
        <v>6877</v>
      </c>
      <c r="D100" s="50" t="s">
        <v>6907</v>
      </c>
      <c r="E100" s="144">
        <v>43663.0</v>
      </c>
      <c r="F100" s="50" t="s">
        <v>15275</v>
      </c>
      <c r="G100" s="50">
        <v>57.0</v>
      </c>
      <c r="H100" s="50">
        <v>1.0</v>
      </c>
      <c r="I100" s="50">
        <v>12.0</v>
      </c>
      <c r="J100" s="116"/>
      <c r="K100" s="116"/>
      <c r="L100" s="50" t="s">
        <v>834</v>
      </c>
      <c r="M100" s="50" t="s">
        <v>834</v>
      </c>
      <c r="N100" s="50">
        <v>1.0</v>
      </c>
      <c r="O100" s="50" t="s">
        <v>15225</v>
      </c>
      <c r="P100" s="116"/>
      <c r="Q100" s="116"/>
      <c r="R100" s="50">
        <v>2.0</v>
      </c>
      <c r="S100" s="50" t="s">
        <v>14454</v>
      </c>
      <c r="T100" s="117">
        <v>3465.0</v>
      </c>
      <c r="U100" s="50" t="s">
        <v>15277</v>
      </c>
      <c r="V100" s="50" t="s">
        <v>15279</v>
      </c>
      <c r="W100" s="117">
        <v>100.0</v>
      </c>
    </row>
    <row r="101">
      <c r="A101" s="50" t="s">
        <v>15281</v>
      </c>
      <c r="B101" s="50" t="s">
        <v>6876</v>
      </c>
      <c r="C101" s="50" t="s">
        <v>6877</v>
      </c>
      <c r="D101" s="50" t="s">
        <v>6907</v>
      </c>
      <c r="E101" s="144">
        <v>43663.0</v>
      </c>
      <c r="F101" s="50" t="s">
        <v>15283</v>
      </c>
      <c r="G101" s="50">
        <v>59.0</v>
      </c>
      <c r="H101" s="50">
        <v>1.0</v>
      </c>
      <c r="I101" s="50">
        <v>99.0</v>
      </c>
      <c r="J101" s="116"/>
      <c r="K101" s="116"/>
      <c r="L101" s="50" t="s">
        <v>851</v>
      </c>
      <c r="M101" s="50" t="s">
        <v>851</v>
      </c>
      <c r="N101" s="50">
        <v>0.0</v>
      </c>
      <c r="O101" s="50" t="s">
        <v>15286</v>
      </c>
      <c r="P101" s="116"/>
      <c r="Q101" s="116"/>
      <c r="R101" s="50">
        <v>3.0</v>
      </c>
      <c r="S101" s="50" t="s">
        <v>14454</v>
      </c>
      <c r="T101" s="117">
        <v>3466.0</v>
      </c>
      <c r="U101" s="50" t="s">
        <v>15288</v>
      </c>
      <c r="V101" s="50" t="s">
        <v>15290</v>
      </c>
      <c r="W101" s="117">
        <v>101.0</v>
      </c>
    </row>
    <row r="102">
      <c r="A102" s="50" t="s">
        <v>15283</v>
      </c>
      <c r="B102" s="50" t="s">
        <v>6876</v>
      </c>
      <c r="C102" s="50" t="s">
        <v>6877</v>
      </c>
      <c r="D102" s="50" t="s">
        <v>6907</v>
      </c>
      <c r="E102" s="144">
        <v>43663.0</v>
      </c>
      <c r="F102" s="50" t="s">
        <v>15293</v>
      </c>
      <c r="G102" s="50">
        <v>59.0</v>
      </c>
      <c r="H102" s="50">
        <v>1.0</v>
      </c>
      <c r="I102" s="50">
        <v>99.0</v>
      </c>
      <c r="J102" s="116"/>
      <c r="K102" s="116"/>
      <c r="L102" s="50" t="s">
        <v>858</v>
      </c>
      <c r="M102" s="50" t="s">
        <v>858</v>
      </c>
      <c r="N102" s="50">
        <v>0.0</v>
      </c>
      <c r="O102" s="50" t="s">
        <v>7892</v>
      </c>
      <c r="P102" s="116"/>
      <c r="Q102" s="116"/>
      <c r="R102" s="50">
        <v>3.0</v>
      </c>
      <c r="S102" s="50" t="s">
        <v>14454</v>
      </c>
      <c r="T102" s="117">
        <v>3467.0</v>
      </c>
      <c r="U102" s="50" t="s">
        <v>15295</v>
      </c>
      <c r="V102" s="50" t="s">
        <v>15296</v>
      </c>
      <c r="W102" s="117">
        <v>102.0</v>
      </c>
    </row>
    <row r="103">
      <c r="A103" s="50" t="s">
        <v>15293</v>
      </c>
      <c r="B103" s="50" t="s">
        <v>6876</v>
      </c>
      <c r="C103" s="50" t="s">
        <v>6877</v>
      </c>
      <c r="D103" s="50" t="s">
        <v>6907</v>
      </c>
      <c r="E103" s="144">
        <v>43663.0</v>
      </c>
      <c r="F103" s="50" t="s">
        <v>15299</v>
      </c>
      <c r="G103" s="50">
        <v>57.0</v>
      </c>
      <c r="H103" s="50">
        <v>1.0</v>
      </c>
      <c r="I103" s="50">
        <v>99.0</v>
      </c>
      <c r="J103" s="116"/>
      <c r="K103" s="116"/>
      <c r="L103" s="50" t="s">
        <v>898</v>
      </c>
      <c r="M103" s="50" t="s">
        <v>898</v>
      </c>
      <c r="N103" s="50">
        <v>0.0</v>
      </c>
      <c r="O103" s="50" t="s">
        <v>15301</v>
      </c>
      <c r="P103" s="116"/>
      <c r="Q103" s="116"/>
      <c r="R103" s="50">
        <v>3.0</v>
      </c>
      <c r="S103" s="50" t="s">
        <v>14454</v>
      </c>
      <c r="T103" s="117">
        <v>3468.0</v>
      </c>
      <c r="U103" s="50" t="s">
        <v>15302</v>
      </c>
      <c r="V103" s="50" t="s">
        <v>15303</v>
      </c>
      <c r="W103" s="117">
        <v>103.0</v>
      </c>
    </row>
    <row r="104">
      <c r="A104" s="50" t="s">
        <v>15304</v>
      </c>
      <c r="B104" s="50" t="s">
        <v>6876</v>
      </c>
      <c r="C104" s="50" t="s">
        <v>6877</v>
      </c>
      <c r="D104" s="50" t="s">
        <v>7831</v>
      </c>
      <c r="E104" s="144">
        <v>43662.0</v>
      </c>
      <c r="F104" s="50" t="s">
        <v>15305</v>
      </c>
      <c r="G104" s="50">
        <v>66.0</v>
      </c>
      <c r="H104" s="50">
        <v>1.0</v>
      </c>
      <c r="I104" s="50">
        <v>12.0</v>
      </c>
      <c r="J104" s="116"/>
      <c r="K104" s="116"/>
      <c r="L104" s="50" t="s">
        <v>511</v>
      </c>
      <c r="M104" s="50" t="s">
        <v>511</v>
      </c>
      <c r="N104" s="50">
        <v>1.0</v>
      </c>
      <c r="O104" s="50" t="s">
        <v>15308</v>
      </c>
      <c r="P104" s="116"/>
      <c r="Q104" s="116"/>
      <c r="R104" s="50">
        <v>3.0</v>
      </c>
      <c r="S104" s="50" t="s">
        <v>14454</v>
      </c>
      <c r="T104" s="117">
        <v>3489.0</v>
      </c>
      <c r="U104" s="50" t="s">
        <v>15312</v>
      </c>
      <c r="V104" s="50" t="s">
        <v>15314</v>
      </c>
      <c r="W104" s="117">
        <v>104.0</v>
      </c>
    </row>
    <row r="105">
      <c r="A105" s="50" t="s">
        <v>15305</v>
      </c>
      <c r="B105" s="50" t="s">
        <v>6876</v>
      </c>
      <c r="C105" s="50" t="s">
        <v>6877</v>
      </c>
      <c r="D105" s="50" t="s">
        <v>7831</v>
      </c>
      <c r="E105" s="144">
        <v>43662.0</v>
      </c>
      <c r="F105" s="50" t="s">
        <v>15317</v>
      </c>
      <c r="G105" s="50">
        <v>59.0</v>
      </c>
      <c r="H105" s="50">
        <v>1.0</v>
      </c>
      <c r="I105" s="50">
        <v>12.0</v>
      </c>
      <c r="J105" s="116"/>
      <c r="K105" s="116"/>
      <c r="L105" s="50" t="s">
        <v>515</v>
      </c>
      <c r="M105" s="50" t="s">
        <v>515</v>
      </c>
      <c r="N105" s="50">
        <v>1.0</v>
      </c>
      <c r="O105" s="50" t="s">
        <v>15308</v>
      </c>
      <c r="P105" s="116"/>
      <c r="Q105" s="116"/>
      <c r="R105" s="50">
        <v>3.0</v>
      </c>
      <c r="S105" s="50" t="s">
        <v>14454</v>
      </c>
      <c r="T105" s="117">
        <v>3490.0</v>
      </c>
      <c r="U105" s="50" t="s">
        <v>15318</v>
      </c>
      <c r="V105" s="50" t="s">
        <v>15319</v>
      </c>
      <c r="W105" s="117">
        <v>105.0</v>
      </c>
    </row>
    <row r="106">
      <c r="A106" s="50" t="s">
        <v>15317</v>
      </c>
      <c r="B106" s="50" t="s">
        <v>6876</v>
      </c>
      <c r="C106" s="50" t="s">
        <v>6877</v>
      </c>
      <c r="D106" s="50" t="s">
        <v>7831</v>
      </c>
      <c r="E106" s="144">
        <v>43662.0</v>
      </c>
      <c r="F106" s="50" t="s">
        <v>15323</v>
      </c>
      <c r="G106" s="50">
        <v>57.0</v>
      </c>
      <c r="H106" s="50">
        <v>1.0</v>
      </c>
      <c r="I106" s="50">
        <v>12.0</v>
      </c>
      <c r="J106" s="116"/>
      <c r="K106" s="116"/>
      <c r="L106" s="50" t="s">
        <v>518</v>
      </c>
      <c r="M106" s="50" t="s">
        <v>518</v>
      </c>
      <c r="N106" s="50">
        <v>1.0</v>
      </c>
      <c r="O106" s="50" t="s">
        <v>15308</v>
      </c>
      <c r="P106" s="116"/>
      <c r="Q106" s="116"/>
      <c r="R106" s="50">
        <v>3.0</v>
      </c>
      <c r="S106" s="50" t="s">
        <v>14454</v>
      </c>
      <c r="T106" s="117">
        <v>3491.0</v>
      </c>
      <c r="U106" s="50" t="s">
        <v>15326</v>
      </c>
      <c r="V106" s="50" t="s">
        <v>15319</v>
      </c>
      <c r="W106" s="117">
        <v>106.0</v>
      </c>
    </row>
    <row r="107">
      <c r="A107" s="50" t="s">
        <v>15327</v>
      </c>
      <c r="B107" s="50" t="s">
        <v>6876</v>
      </c>
      <c r="C107" s="50" t="s">
        <v>6877</v>
      </c>
      <c r="D107" s="50" t="s">
        <v>7831</v>
      </c>
      <c r="E107" s="144">
        <v>43662.0</v>
      </c>
      <c r="F107" s="50" t="s">
        <v>15328</v>
      </c>
      <c r="G107" s="50">
        <v>59.0</v>
      </c>
      <c r="H107" s="50">
        <v>1.0</v>
      </c>
      <c r="I107" s="50">
        <v>11.0</v>
      </c>
      <c r="J107" s="116"/>
      <c r="K107" s="116"/>
      <c r="L107" s="50" t="s">
        <v>522</v>
      </c>
      <c r="M107" s="50" t="s">
        <v>522</v>
      </c>
      <c r="N107" s="50">
        <v>1.0</v>
      </c>
      <c r="O107" s="50" t="s">
        <v>15308</v>
      </c>
      <c r="P107" s="116"/>
      <c r="Q107" s="116"/>
      <c r="R107" s="50">
        <v>3.0</v>
      </c>
      <c r="S107" s="50" t="s">
        <v>14454</v>
      </c>
      <c r="T107" s="117">
        <v>3492.0</v>
      </c>
      <c r="U107" s="50" t="s">
        <v>15336</v>
      </c>
      <c r="V107" s="50" t="s">
        <v>15319</v>
      </c>
      <c r="W107" s="117">
        <v>107.0</v>
      </c>
    </row>
    <row r="108">
      <c r="A108" s="50" t="s">
        <v>15328</v>
      </c>
      <c r="B108" s="50" t="s">
        <v>6876</v>
      </c>
      <c r="C108" s="50" t="s">
        <v>6877</v>
      </c>
      <c r="D108" s="50" t="s">
        <v>7831</v>
      </c>
      <c r="E108" s="144">
        <v>43662.0</v>
      </c>
      <c r="F108" s="50" t="s">
        <v>15339</v>
      </c>
      <c r="G108" s="50">
        <v>57.0</v>
      </c>
      <c r="H108" s="50">
        <v>1.0</v>
      </c>
      <c r="I108" s="50">
        <v>12.0</v>
      </c>
      <c r="J108" s="116"/>
      <c r="K108" s="116"/>
      <c r="L108" s="50" t="s">
        <v>534</v>
      </c>
      <c r="M108" s="50" t="s">
        <v>534</v>
      </c>
      <c r="N108" s="50">
        <v>1.0</v>
      </c>
      <c r="O108" s="50" t="s">
        <v>15308</v>
      </c>
      <c r="P108" s="116"/>
      <c r="Q108" s="116"/>
      <c r="R108" s="50">
        <v>3.0</v>
      </c>
      <c r="S108" s="50" t="s">
        <v>14454</v>
      </c>
      <c r="T108" s="117">
        <v>3493.0</v>
      </c>
      <c r="U108" s="50" t="s">
        <v>15344</v>
      </c>
      <c r="V108" s="50" t="s">
        <v>15346</v>
      </c>
      <c r="W108" s="117">
        <v>108.0</v>
      </c>
    </row>
    <row r="109">
      <c r="A109" s="50" t="s">
        <v>15339</v>
      </c>
      <c r="B109" s="50" t="s">
        <v>6876</v>
      </c>
      <c r="C109" s="50" t="s">
        <v>6877</v>
      </c>
      <c r="D109" s="50" t="s">
        <v>7831</v>
      </c>
      <c r="E109" s="144">
        <v>43662.0</v>
      </c>
      <c r="F109" s="50" t="s">
        <v>15350</v>
      </c>
      <c r="G109" s="50">
        <v>55.0</v>
      </c>
      <c r="H109" s="50">
        <v>1.0</v>
      </c>
      <c r="I109" s="50">
        <v>12.0</v>
      </c>
      <c r="J109" s="116"/>
      <c r="K109" s="116"/>
      <c r="L109" s="50" t="s">
        <v>550</v>
      </c>
      <c r="M109" s="50" t="s">
        <v>550</v>
      </c>
      <c r="N109" s="50">
        <v>1.0</v>
      </c>
      <c r="O109" s="50" t="s">
        <v>15308</v>
      </c>
      <c r="P109" s="116"/>
      <c r="Q109" s="116"/>
      <c r="R109" s="50">
        <v>3.0</v>
      </c>
      <c r="S109" s="50" t="s">
        <v>14454</v>
      </c>
      <c r="T109" s="117">
        <v>3494.0</v>
      </c>
      <c r="U109" s="50" t="s">
        <v>15352</v>
      </c>
      <c r="V109" s="50" t="s">
        <v>15346</v>
      </c>
      <c r="W109" s="117">
        <v>109.0</v>
      </c>
    </row>
    <row r="110">
      <c r="A110" s="50" t="s">
        <v>15350</v>
      </c>
      <c r="B110" s="50" t="s">
        <v>6876</v>
      </c>
      <c r="C110" s="50" t="s">
        <v>6877</v>
      </c>
      <c r="D110" s="50" t="s">
        <v>7831</v>
      </c>
      <c r="E110" s="144">
        <v>43662.0</v>
      </c>
      <c r="F110" s="50" t="s">
        <v>15358</v>
      </c>
      <c r="G110" s="50">
        <v>57.0</v>
      </c>
      <c r="H110" s="50">
        <v>1.0</v>
      </c>
      <c r="I110" s="50">
        <v>12.0</v>
      </c>
      <c r="J110" s="116"/>
      <c r="K110" s="116"/>
      <c r="L110" s="50" t="s">
        <v>564</v>
      </c>
      <c r="M110" s="50" t="s">
        <v>564</v>
      </c>
      <c r="N110" s="50">
        <v>1.0</v>
      </c>
      <c r="O110" s="50" t="s">
        <v>15308</v>
      </c>
      <c r="P110" s="116"/>
      <c r="Q110" s="116"/>
      <c r="R110" s="50">
        <v>3.0</v>
      </c>
      <c r="S110" s="50" t="s">
        <v>14454</v>
      </c>
      <c r="T110" s="117">
        <v>3495.0</v>
      </c>
      <c r="U110" s="50" t="s">
        <v>15363</v>
      </c>
      <c r="V110" s="50" t="s">
        <v>15364</v>
      </c>
      <c r="W110" s="117">
        <v>110.0</v>
      </c>
    </row>
    <row r="111">
      <c r="A111" s="50" t="s">
        <v>15358</v>
      </c>
      <c r="B111" s="50" t="s">
        <v>6876</v>
      </c>
      <c r="C111" s="50" t="s">
        <v>6877</v>
      </c>
      <c r="D111" s="50" t="s">
        <v>7831</v>
      </c>
      <c r="E111" s="144">
        <v>43662.0</v>
      </c>
      <c r="F111" s="50" t="s">
        <v>15365</v>
      </c>
      <c r="G111" s="50">
        <v>65.0</v>
      </c>
      <c r="H111" s="50">
        <v>1.0</v>
      </c>
      <c r="I111" s="50">
        <v>12.0</v>
      </c>
      <c r="J111" s="116"/>
      <c r="K111" s="116"/>
      <c r="L111" s="50" t="s">
        <v>576</v>
      </c>
      <c r="M111" s="50" t="s">
        <v>576</v>
      </c>
      <c r="N111" s="50">
        <v>1.0</v>
      </c>
      <c r="O111" s="50" t="s">
        <v>15308</v>
      </c>
      <c r="P111" s="116"/>
      <c r="Q111" s="116"/>
      <c r="R111" s="50">
        <v>3.0</v>
      </c>
      <c r="S111" s="50" t="s">
        <v>14454</v>
      </c>
      <c r="T111" s="117">
        <v>3496.0</v>
      </c>
      <c r="U111" s="50" t="s">
        <v>15370</v>
      </c>
      <c r="V111" s="50" t="s">
        <v>15364</v>
      </c>
      <c r="W111" s="117">
        <v>111.0</v>
      </c>
    </row>
    <row r="112">
      <c r="A112" s="50" t="s">
        <v>15365</v>
      </c>
      <c r="B112" s="50" t="s">
        <v>6876</v>
      </c>
      <c r="C112" s="50" t="s">
        <v>6877</v>
      </c>
      <c r="D112" s="50" t="s">
        <v>7831</v>
      </c>
      <c r="E112" s="144">
        <v>43662.0</v>
      </c>
      <c r="F112" s="50" t="s">
        <v>15376</v>
      </c>
      <c r="G112" s="50">
        <v>59.0</v>
      </c>
      <c r="H112" s="50">
        <v>1.0</v>
      </c>
      <c r="I112" s="50">
        <v>11.0</v>
      </c>
      <c r="J112" s="116"/>
      <c r="K112" s="116"/>
      <c r="L112" s="50" t="s">
        <v>586</v>
      </c>
      <c r="M112" s="50" t="s">
        <v>586</v>
      </c>
      <c r="N112" s="50">
        <v>1.0</v>
      </c>
      <c r="O112" s="50" t="s">
        <v>15308</v>
      </c>
      <c r="P112" s="116"/>
      <c r="Q112" s="116"/>
      <c r="R112" s="50">
        <v>3.0</v>
      </c>
      <c r="S112" s="50" t="s">
        <v>14454</v>
      </c>
      <c r="T112" s="117">
        <v>3497.0</v>
      </c>
      <c r="U112" s="50" t="s">
        <v>15381</v>
      </c>
      <c r="V112" s="50" t="s">
        <v>15364</v>
      </c>
      <c r="W112" s="117">
        <v>112.0</v>
      </c>
    </row>
    <row r="113">
      <c r="A113" s="50" t="s">
        <v>15376</v>
      </c>
      <c r="B113" s="50" t="s">
        <v>6876</v>
      </c>
      <c r="C113" s="50" t="s">
        <v>6877</v>
      </c>
      <c r="D113" s="50" t="s">
        <v>7831</v>
      </c>
      <c r="E113" s="144">
        <v>43662.0</v>
      </c>
      <c r="F113" s="50" t="s">
        <v>15382</v>
      </c>
      <c r="G113" s="50">
        <v>59.0</v>
      </c>
      <c r="H113" s="50">
        <v>1.0</v>
      </c>
      <c r="I113" s="50">
        <v>11.0</v>
      </c>
      <c r="J113" s="116"/>
      <c r="K113" s="116"/>
      <c r="L113" s="50" t="s">
        <v>607</v>
      </c>
      <c r="M113" s="50" t="s">
        <v>607</v>
      </c>
      <c r="N113" s="50">
        <v>1.0</v>
      </c>
      <c r="O113" s="50" t="s">
        <v>15308</v>
      </c>
      <c r="P113" s="116"/>
      <c r="Q113" s="116"/>
      <c r="R113" s="50">
        <v>3.0</v>
      </c>
      <c r="S113" s="50" t="s">
        <v>14454</v>
      </c>
      <c r="T113" s="117">
        <v>3498.0</v>
      </c>
      <c r="U113" s="50" t="s">
        <v>15383</v>
      </c>
      <c r="V113" s="50" t="s">
        <v>15384</v>
      </c>
      <c r="W113" s="117">
        <v>113.0</v>
      </c>
    </row>
    <row r="114">
      <c r="A114" s="50" t="s">
        <v>15382</v>
      </c>
      <c r="B114" s="50" t="s">
        <v>6876</v>
      </c>
      <c r="C114" s="50" t="s">
        <v>6877</v>
      </c>
      <c r="D114" s="50" t="s">
        <v>7831</v>
      </c>
      <c r="E114" s="144">
        <v>43662.0</v>
      </c>
      <c r="F114" s="50" t="s">
        <v>15388</v>
      </c>
      <c r="G114" s="50">
        <v>55.0</v>
      </c>
      <c r="H114" s="50">
        <v>1.0</v>
      </c>
      <c r="I114" s="50">
        <v>11.0</v>
      </c>
      <c r="J114" s="116"/>
      <c r="K114" s="116"/>
      <c r="L114" s="50" t="s">
        <v>622</v>
      </c>
      <c r="M114" s="50" t="s">
        <v>622</v>
      </c>
      <c r="N114" s="50">
        <v>1.0</v>
      </c>
      <c r="O114" s="50" t="s">
        <v>15308</v>
      </c>
      <c r="P114" s="116"/>
      <c r="Q114" s="116"/>
      <c r="R114" s="50">
        <v>3.0</v>
      </c>
      <c r="S114" s="50" t="s">
        <v>14454</v>
      </c>
      <c r="T114" s="117">
        <v>3499.0</v>
      </c>
      <c r="U114" s="50" t="s">
        <v>15394</v>
      </c>
      <c r="V114" s="50" t="s">
        <v>15384</v>
      </c>
      <c r="W114" s="117">
        <v>114.0</v>
      </c>
    </row>
    <row r="115">
      <c r="A115" s="50" t="s">
        <v>15388</v>
      </c>
      <c r="B115" s="50" t="s">
        <v>6876</v>
      </c>
      <c r="C115" s="50" t="s">
        <v>6877</v>
      </c>
      <c r="D115" s="50" t="s">
        <v>7831</v>
      </c>
      <c r="E115" s="144">
        <v>43662.0</v>
      </c>
      <c r="F115" s="50" t="s">
        <v>15395</v>
      </c>
      <c r="G115" s="50">
        <v>59.0</v>
      </c>
      <c r="H115" s="50">
        <v>1.0</v>
      </c>
      <c r="I115" s="50">
        <v>11.0</v>
      </c>
      <c r="J115" s="116"/>
      <c r="K115" s="116"/>
      <c r="L115" s="50" t="s">
        <v>632</v>
      </c>
      <c r="M115" s="50" t="s">
        <v>632</v>
      </c>
      <c r="N115" s="50">
        <v>1.0</v>
      </c>
      <c r="O115" s="50" t="s">
        <v>15308</v>
      </c>
      <c r="P115" s="116"/>
      <c r="Q115" s="116"/>
      <c r="R115" s="50">
        <v>3.0</v>
      </c>
      <c r="S115" s="50" t="s">
        <v>14454</v>
      </c>
      <c r="T115" s="117">
        <v>3500.0</v>
      </c>
      <c r="U115" s="50" t="s">
        <v>15399</v>
      </c>
      <c r="V115" s="50" t="s">
        <v>15400</v>
      </c>
      <c r="W115" s="117">
        <v>115.0</v>
      </c>
    </row>
    <row r="116">
      <c r="A116" s="50" t="s">
        <v>15395</v>
      </c>
      <c r="B116" s="50" t="s">
        <v>6876</v>
      </c>
      <c r="C116" s="50" t="s">
        <v>6877</v>
      </c>
      <c r="D116" s="50" t="s">
        <v>7831</v>
      </c>
      <c r="E116" s="144">
        <v>43662.0</v>
      </c>
      <c r="F116" s="50" t="s">
        <v>15403</v>
      </c>
      <c r="G116" s="50">
        <v>59.0</v>
      </c>
      <c r="H116" s="50">
        <v>1.0</v>
      </c>
      <c r="I116" s="50">
        <v>11.0</v>
      </c>
      <c r="J116" s="116"/>
      <c r="K116" s="116"/>
      <c r="L116" s="50" t="s">
        <v>637</v>
      </c>
      <c r="M116" s="50" t="s">
        <v>637</v>
      </c>
      <c r="N116" s="50">
        <v>1.0</v>
      </c>
      <c r="O116" s="50" t="s">
        <v>15308</v>
      </c>
      <c r="P116" s="116"/>
      <c r="Q116" s="116"/>
      <c r="R116" s="50">
        <v>3.0</v>
      </c>
      <c r="S116" s="50" t="s">
        <v>14454</v>
      </c>
      <c r="T116" s="117">
        <v>3501.0</v>
      </c>
      <c r="U116" s="50" t="s">
        <v>15410</v>
      </c>
      <c r="V116" s="50" t="s">
        <v>15400</v>
      </c>
      <c r="W116" s="117">
        <v>116.0</v>
      </c>
    </row>
    <row r="117">
      <c r="A117" s="50" t="s">
        <v>15403</v>
      </c>
      <c r="B117" s="50" t="s">
        <v>6876</v>
      </c>
      <c r="C117" s="50" t="s">
        <v>6877</v>
      </c>
      <c r="D117" s="50" t="s">
        <v>7831</v>
      </c>
      <c r="E117" s="144">
        <v>43662.0</v>
      </c>
      <c r="F117" s="50" t="s">
        <v>15413</v>
      </c>
      <c r="G117" s="50">
        <v>58.0</v>
      </c>
      <c r="H117" s="50">
        <v>1.0</v>
      </c>
      <c r="I117" s="50">
        <v>11.0</v>
      </c>
      <c r="J117" s="116"/>
      <c r="K117" s="116"/>
      <c r="L117" s="50" t="s">
        <v>642</v>
      </c>
      <c r="M117" s="50" t="s">
        <v>642</v>
      </c>
      <c r="N117" s="50">
        <v>1.0</v>
      </c>
      <c r="O117" s="50" t="s">
        <v>15308</v>
      </c>
      <c r="P117" s="116"/>
      <c r="Q117" s="116"/>
      <c r="R117" s="50">
        <v>3.0</v>
      </c>
      <c r="S117" s="50" t="s">
        <v>14454</v>
      </c>
      <c r="T117" s="117">
        <v>3502.0</v>
      </c>
      <c r="U117" s="50" t="s">
        <v>15417</v>
      </c>
      <c r="V117" s="50" t="s">
        <v>15418</v>
      </c>
      <c r="W117" s="117">
        <v>117.0</v>
      </c>
    </row>
    <row r="118">
      <c r="A118" s="50" t="s">
        <v>15413</v>
      </c>
      <c r="B118" s="50" t="s">
        <v>6876</v>
      </c>
      <c r="C118" s="50" t="s">
        <v>6877</v>
      </c>
      <c r="D118" s="50" t="s">
        <v>7831</v>
      </c>
      <c r="E118" s="144">
        <v>43662.0</v>
      </c>
      <c r="F118" s="50" t="s">
        <v>15420</v>
      </c>
      <c r="G118" s="50">
        <v>59.0</v>
      </c>
      <c r="H118" s="50">
        <v>1.0</v>
      </c>
      <c r="I118" s="50">
        <v>99.0</v>
      </c>
      <c r="J118" s="116"/>
      <c r="K118" s="116"/>
      <c r="L118" s="50" t="s">
        <v>910</v>
      </c>
      <c r="M118" s="50" t="s">
        <v>910</v>
      </c>
      <c r="N118" s="50">
        <v>0.0</v>
      </c>
      <c r="O118" s="50" t="s">
        <v>7939</v>
      </c>
      <c r="P118" s="116"/>
      <c r="Q118" s="116"/>
      <c r="R118" s="50">
        <v>4.0</v>
      </c>
      <c r="S118" s="50" t="s">
        <v>14454</v>
      </c>
      <c r="T118" s="117">
        <v>3503.0</v>
      </c>
      <c r="U118" s="50" t="s">
        <v>15424</v>
      </c>
      <c r="V118" s="50" t="s">
        <v>15425</v>
      </c>
      <c r="W118" s="117">
        <v>118.0</v>
      </c>
    </row>
    <row r="119">
      <c r="A119" s="50" t="s">
        <v>15420</v>
      </c>
      <c r="B119" s="50" t="s">
        <v>6876</v>
      </c>
      <c r="C119" s="50" t="s">
        <v>6877</v>
      </c>
      <c r="D119" s="50" t="s">
        <v>7831</v>
      </c>
      <c r="E119" s="144">
        <v>43664.0</v>
      </c>
      <c r="F119" s="50" t="s">
        <v>15428</v>
      </c>
      <c r="G119" s="50">
        <v>59.0</v>
      </c>
      <c r="H119" s="50">
        <v>1.0</v>
      </c>
      <c r="I119" s="50">
        <v>11.0</v>
      </c>
      <c r="J119" s="116"/>
      <c r="K119" s="116"/>
      <c r="L119" s="50" t="s">
        <v>692</v>
      </c>
      <c r="M119" s="50" t="s">
        <v>692</v>
      </c>
      <c r="N119" s="50">
        <v>1.0</v>
      </c>
      <c r="O119" s="50" t="s">
        <v>15432</v>
      </c>
      <c r="P119" s="116"/>
      <c r="Q119" s="116"/>
      <c r="R119" s="50">
        <v>4.0</v>
      </c>
      <c r="S119" s="50" t="s">
        <v>14454</v>
      </c>
      <c r="T119" s="117">
        <v>3504.0</v>
      </c>
      <c r="U119" s="50" t="s">
        <v>15433</v>
      </c>
      <c r="V119" s="50" t="s">
        <v>15434</v>
      </c>
      <c r="W119" s="117">
        <v>119.0</v>
      </c>
    </row>
    <row r="120">
      <c r="A120" s="50" t="s">
        <v>15428</v>
      </c>
      <c r="B120" s="50" t="s">
        <v>6876</v>
      </c>
      <c r="C120" s="50" t="s">
        <v>6877</v>
      </c>
      <c r="D120" s="50" t="s">
        <v>7831</v>
      </c>
      <c r="E120" s="144">
        <v>43664.0</v>
      </c>
      <c r="F120" s="50" t="s">
        <v>15436</v>
      </c>
      <c r="G120" s="50">
        <v>58.0</v>
      </c>
      <c r="H120" s="50">
        <v>1.0</v>
      </c>
      <c r="I120" s="50">
        <v>11.0</v>
      </c>
      <c r="J120" s="116"/>
      <c r="K120" s="116"/>
      <c r="L120" s="50" t="s">
        <v>702</v>
      </c>
      <c r="M120" s="50" t="s">
        <v>702</v>
      </c>
      <c r="N120" s="50">
        <v>1.0</v>
      </c>
      <c r="O120" s="50" t="s">
        <v>15432</v>
      </c>
      <c r="P120" s="116"/>
      <c r="Q120" s="116"/>
      <c r="R120" s="50">
        <v>4.0</v>
      </c>
      <c r="S120" s="50" t="s">
        <v>14454</v>
      </c>
      <c r="T120" s="117">
        <v>3505.0</v>
      </c>
      <c r="U120" s="50" t="s">
        <v>15437</v>
      </c>
      <c r="V120" s="50" t="s">
        <v>15438</v>
      </c>
      <c r="W120" s="117">
        <v>120.0</v>
      </c>
    </row>
    <row r="121">
      <c r="A121" s="50" t="s">
        <v>15436</v>
      </c>
      <c r="B121" s="50" t="s">
        <v>6876</v>
      </c>
      <c r="C121" s="50" t="s">
        <v>6877</v>
      </c>
      <c r="D121" s="50" t="s">
        <v>7831</v>
      </c>
      <c r="E121" s="144">
        <v>43664.0</v>
      </c>
      <c r="F121" s="50" t="s">
        <v>15442</v>
      </c>
      <c r="G121" s="50">
        <v>57.0</v>
      </c>
      <c r="H121" s="50">
        <v>1.0</v>
      </c>
      <c r="I121" s="50">
        <v>12.0</v>
      </c>
      <c r="J121" s="116"/>
      <c r="K121" s="116"/>
      <c r="L121" s="50" t="s">
        <v>716</v>
      </c>
      <c r="M121" s="50" t="s">
        <v>716</v>
      </c>
      <c r="N121" s="50">
        <v>1.0</v>
      </c>
      <c r="O121" s="50" t="s">
        <v>15432</v>
      </c>
      <c r="P121" s="116"/>
      <c r="Q121" s="116"/>
      <c r="R121" s="50">
        <v>4.0</v>
      </c>
      <c r="S121" s="50" t="s">
        <v>14454</v>
      </c>
      <c r="T121" s="117">
        <v>3506.0</v>
      </c>
      <c r="U121" s="50" t="s">
        <v>15452</v>
      </c>
      <c r="V121" s="50" t="s">
        <v>15453</v>
      </c>
      <c r="W121" s="117">
        <v>121.0</v>
      </c>
    </row>
    <row r="122">
      <c r="A122" s="50" t="s">
        <v>15442</v>
      </c>
      <c r="B122" s="50" t="s">
        <v>6876</v>
      </c>
      <c r="C122" s="50" t="s">
        <v>6877</v>
      </c>
      <c r="D122" s="50" t="s">
        <v>7831</v>
      </c>
      <c r="E122" s="144">
        <v>43664.0</v>
      </c>
      <c r="F122" s="50" t="s">
        <v>15454</v>
      </c>
      <c r="G122" s="50">
        <v>66.0</v>
      </c>
      <c r="H122" s="50">
        <v>1.0</v>
      </c>
      <c r="I122" s="50">
        <v>12.0</v>
      </c>
      <c r="J122" s="116"/>
      <c r="K122" s="116"/>
      <c r="L122" s="50" t="s">
        <v>722</v>
      </c>
      <c r="M122" s="50" t="s">
        <v>722</v>
      </c>
      <c r="N122" s="50">
        <v>1.0</v>
      </c>
      <c r="O122" s="50" t="s">
        <v>15432</v>
      </c>
      <c r="P122" s="116"/>
      <c r="Q122" s="116"/>
      <c r="R122" s="50">
        <v>4.0</v>
      </c>
      <c r="S122" s="50" t="s">
        <v>14454</v>
      </c>
      <c r="T122" s="117">
        <v>3507.0</v>
      </c>
      <c r="U122" s="50" t="s">
        <v>15455</v>
      </c>
      <c r="V122" s="50" t="s">
        <v>15456</v>
      </c>
      <c r="W122" s="117">
        <v>122.0</v>
      </c>
    </row>
    <row r="123">
      <c r="A123" s="50" t="s">
        <v>15454</v>
      </c>
      <c r="B123" s="50" t="s">
        <v>6876</v>
      </c>
      <c r="C123" s="50" t="s">
        <v>6877</v>
      </c>
      <c r="D123" s="50" t="s">
        <v>7831</v>
      </c>
      <c r="E123" s="144">
        <v>43664.0</v>
      </c>
      <c r="F123" s="50" t="s">
        <v>15457</v>
      </c>
      <c r="G123" s="50">
        <v>59.0</v>
      </c>
      <c r="H123" s="50">
        <v>1.0</v>
      </c>
      <c r="I123" s="50">
        <v>12.0</v>
      </c>
      <c r="J123" s="116"/>
      <c r="K123" s="116"/>
      <c r="L123" s="50" t="s">
        <v>729</v>
      </c>
      <c r="M123" s="50" t="s">
        <v>729</v>
      </c>
      <c r="N123" s="50">
        <v>1.0</v>
      </c>
      <c r="O123" s="50" t="s">
        <v>15432</v>
      </c>
      <c r="P123" s="116"/>
      <c r="Q123" s="116"/>
      <c r="R123" s="50">
        <v>4.0</v>
      </c>
      <c r="S123" s="50" t="s">
        <v>14454</v>
      </c>
      <c r="T123" s="117">
        <v>3508.0</v>
      </c>
      <c r="U123" s="50" t="s">
        <v>15459</v>
      </c>
      <c r="V123" s="50" t="s">
        <v>15460</v>
      </c>
      <c r="W123" s="117">
        <v>123.0</v>
      </c>
    </row>
    <row r="124">
      <c r="A124" s="50" t="s">
        <v>15457</v>
      </c>
      <c r="B124" s="50" t="s">
        <v>6876</v>
      </c>
      <c r="C124" s="50" t="s">
        <v>6877</v>
      </c>
      <c r="D124" s="50" t="s">
        <v>7831</v>
      </c>
      <c r="E124" s="144">
        <v>43664.0</v>
      </c>
      <c r="F124" s="50" t="s">
        <v>15463</v>
      </c>
      <c r="G124" s="50">
        <v>57.0</v>
      </c>
      <c r="H124" s="50">
        <v>1.0</v>
      </c>
      <c r="I124" s="50">
        <v>12.0</v>
      </c>
      <c r="J124" s="116"/>
      <c r="K124" s="116"/>
      <c r="L124" s="50" t="s">
        <v>760</v>
      </c>
      <c r="M124" s="50" t="s">
        <v>760</v>
      </c>
      <c r="N124" s="50">
        <v>1.0</v>
      </c>
      <c r="O124" s="50" t="s">
        <v>15432</v>
      </c>
      <c r="P124" s="116"/>
      <c r="Q124" s="116"/>
      <c r="R124" s="50">
        <v>4.0</v>
      </c>
      <c r="S124" s="50" t="s">
        <v>14454</v>
      </c>
      <c r="T124" s="117">
        <v>3509.0</v>
      </c>
      <c r="U124" s="50" t="s">
        <v>15466</v>
      </c>
      <c r="V124" s="50" t="s">
        <v>15468</v>
      </c>
      <c r="W124" s="117">
        <v>124.0</v>
      </c>
    </row>
    <row r="125">
      <c r="A125" s="50" t="s">
        <v>15463</v>
      </c>
      <c r="B125" s="50" t="s">
        <v>6876</v>
      </c>
      <c r="C125" s="50" t="s">
        <v>6877</v>
      </c>
      <c r="D125" s="50" t="s">
        <v>7831</v>
      </c>
      <c r="E125" s="144">
        <v>43664.0</v>
      </c>
      <c r="F125" s="50" t="s">
        <v>15471</v>
      </c>
      <c r="G125" s="50">
        <v>57.0</v>
      </c>
      <c r="H125" s="50">
        <v>1.0</v>
      </c>
      <c r="I125" s="50">
        <v>12.0</v>
      </c>
      <c r="J125" s="116"/>
      <c r="K125" s="116"/>
      <c r="L125" s="50" t="s">
        <v>766</v>
      </c>
      <c r="M125" s="50" t="s">
        <v>766</v>
      </c>
      <c r="N125" s="50">
        <v>1.0</v>
      </c>
      <c r="O125" s="50" t="s">
        <v>15432</v>
      </c>
      <c r="P125" s="116"/>
      <c r="Q125" s="116"/>
      <c r="R125" s="50">
        <v>4.0</v>
      </c>
      <c r="S125" s="50" t="s">
        <v>14454</v>
      </c>
      <c r="T125" s="117">
        <v>3510.0</v>
      </c>
      <c r="U125" s="50" t="s">
        <v>15475</v>
      </c>
      <c r="V125" s="50" t="s">
        <v>15476</v>
      </c>
      <c r="W125" s="117">
        <v>125.0</v>
      </c>
    </row>
    <row r="126">
      <c r="A126" s="50" t="s">
        <v>15471</v>
      </c>
      <c r="B126" s="50" t="s">
        <v>6876</v>
      </c>
      <c r="C126" s="50" t="s">
        <v>6877</v>
      </c>
      <c r="D126" s="50" t="s">
        <v>7831</v>
      </c>
      <c r="E126" s="144">
        <v>43664.0</v>
      </c>
      <c r="F126" s="50" t="s">
        <v>15479</v>
      </c>
      <c r="G126" s="50">
        <v>55.0</v>
      </c>
      <c r="H126" s="50">
        <v>1.0</v>
      </c>
      <c r="I126" s="50">
        <v>12.0</v>
      </c>
      <c r="J126" s="116"/>
      <c r="K126" s="116"/>
      <c r="L126" s="50" t="s">
        <v>774</v>
      </c>
      <c r="M126" s="50" t="s">
        <v>774</v>
      </c>
      <c r="N126" s="50">
        <v>1.0</v>
      </c>
      <c r="O126" s="50" t="s">
        <v>15432</v>
      </c>
      <c r="P126" s="116"/>
      <c r="Q126" s="116"/>
      <c r="R126" s="50">
        <v>4.0</v>
      </c>
      <c r="S126" s="50" t="s">
        <v>14454</v>
      </c>
      <c r="T126" s="117">
        <v>3511.0</v>
      </c>
      <c r="U126" s="50" t="s">
        <v>15481</v>
      </c>
      <c r="V126" s="50" t="s">
        <v>15482</v>
      </c>
      <c r="W126" s="117">
        <v>126.0</v>
      </c>
    </row>
    <row r="127">
      <c r="A127" s="50" t="s">
        <v>15479</v>
      </c>
      <c r="B127" s="50" t="s">
        <v>6876</v>
      </c>
      <c r="C127" s="50" t="s">
        <v>6877</v>
      </c>
      <c r="D127" s="50" t="s">
        <v>7831</v>
      </c>
      <c r="E127" s="144">
        <v>43664.0</v>
      </c>
      <c r="F127" s="50" t="s">
        <v>15483</v>
      </c>
      <c r="G127" s="50">
        <v>57.0</v>
      </c>
      <c r="H127" s="50">
        <v>1.0</v>
      </c>
      <c r="I127" s="50">
        <v>12.0</v>
      </c>
      <c r="J127" s="116"/>
      <c r="K127" s="116"/>
      <c r="L127" s="50" t="s">
        <v>867</v>
      </c>
      <c r="M127" s="50" t="s">
        <v>867</v>
      </c>
      <c r="N127" s="50">
        <v>1.0</v>
      </c>
      <c r="O127" s="50" t="s">
        <v>15432</v>
      </c>
      <c r="P127" s="116"/>
      <c r="Q127" s="116"/>
      <c r="R127" s="50">
        <v>4.0</v>
      </c>
      <c r="S127" s="50" t="s">
        <v>14454</v>
      </c>
      <c r="T127" s="117">
        <v>3512.0</v>
      </c>
      <c r="U127" s="50" t="s">
        <v>15487</v>
      </c>
      <c r="V127" s="50" t="s">
        <v>15488</v>
      </c>
      <c r="W127" s="117">
        <v>127.0</v>
      </c>
    </row>
    <row r="128">
      <c r="A128" s="50" t="s">
        <v>15483</v>
      </c>
      <c r="B128" s="50" t="s">
        <v>6876</v>
      </c>
      <c r="C128" s="50" t="s">
        <v>6877</v>
      </c>
      <c r="D128" s="50" t="s">
        <v>7831</v>
      </c>
      <c r="E128" s="144">
        <v>43664.0</v>
      </c>
      <c r="F128" s="50" t="s">
        <v>15490</v>
      </c>
      <c r="G128" s="50">
        <v>57.0</v>
      </c>
      <c r="H128" s="50">
        <v>1.0</v>
      </c>
      <c r="I128" s="50">
        <v>12.0</v>
      </c>
      <c r="J128" s="116"/>
      <c r="K128" s="116"/>
      <c r="L128" s="50" t="s">
        <v>869</v>
      </c>
      <c r="M128" s="50" t="s">
        <v>869</v>
      </c>
      <c r="N128" s="50">
        <v>1.0</v>
      </c>
      <c r="O128" s="50" t="s">
        <v>15432</v>
      </c>
      <c r="P128" s="116"/>
      <c r="Q128" s="116"/>
      <c r="R128" s="50">
        <v>4.0</v>
      </c>
      <c r="S128" s="50" t="s">
        <v>14454</v>
      </c>
      <c r="T128" s="117">
        <v>3513.0</v>
      </c>
      <c r="U128" s="50" t="s">
        <v>15494</v>
      </c>
      <c r="V128" s="50" t="s">
        <v>15495</v>
      </c>
      <c r="W128" s="117">
        <v>128.0</v>
      </c>
    </row>
    <row r="129">
      <c r="A129" s="50" t="s">
        <v>15490</v>
      </c>
      <c r="B129" s="50" t="s">
        <v>6876</v>
      </c>
      <c r="C129" s="50" t="s">
        <v>6877</v>
      </c>
      <c r="D129" s="50" t="s">
        <v>7831</v>
      </c>
      <c r="E129" s="144">
        <v>43664.0</v>
      </c>
      <c r="F129" s="50" t="s">
        <v>15499</v>
      </c>
      <c r="G129" s="50">
        <v>55.0</v>
      </c>
      <c r="H129" s="50">
        <v>1.0</v>
      </c>
      <c r="I129" s="50">
        <v>12.0</v>
      </c>
      <c r="J129" s="116"/>
      <c r="K129" s="116"/>
      <c r="L129" s="50" t="s">
        <v>872</v>
      </c>
      <c r="M129" s="50" t="s">
        <v>872</v>
      </c>
      <c r="N129" s="50">
        <v>1.0</v>
      </c>
      <c r="O129" s="50" t="s">
        <v>15432</v>
      </c>
      <c r="P129" s="116"/>
      <c r="Q129" s="116"/>
      <c r="R129" s="50">
        <v>4.0</v>
      </c>
      <c r="S129" s="50" t="s">
        <v>14454</v>
      </c>
      <c r="T129" s="117">
        <v>3514.0</v>
      </c>
      <c r="U129" s="50" t="s">
        <v>15503</v>
      </c>
      <c r="V129" s="50" t="s">
        <v>15504</v>
      </c>
      <c r="W129" s="117">
        <v>129.0</v>
      </c>
    </row>
    <row r="130">
      <c r="A130" s="50" t="s">
        <v>15499</v>
      </c>
      <c r="B130" s="50" t="s">
        <v>6876</v>
      </c>
      <c r="C130" s="50" t="s">
        <v>6877</v>
      </c>
      <c r="D130" s="50" t="s">
        <v>7831</v>
      </c>
      <c r="E130" s="144">
        <v>43664.0</v>
      </c>
      <c r="F130" s="50" t="s">
        <v>15505</v>
      </c>
      <c r="G130" s="50">
        <v>65.0</v>
      </c>
      <c r="H130" s="50">
        <v>1.0</v>
      </c>
      <c r="I130" s="50">
        <v>12.0</v>
      </c>
      <c r="J130" s="116"/>
      <c r="K130" s="116"/>
      <c r="L130" s="50" t="s">
        <v>875</v>
      </c>
      <c r="M130" s="50" t="s">
        <v>875</v>
      </c>
      <c r="N130" s="50">
        <v>1.0</v>
      </c>
      <c r="O130" s="50" t="s">
        <v>15432</v>
      </c>
      <c r="P130" s="116"/>
      <c r="Q130" s="116"/>
      <c r="R130" s="50">
        <v>4.0</v>
      </c>
      <c r="S130" s="50" t="s">
        <v>14454</v>
      </c>
      <c r="T130" s="117">
        <v>3515.0</v>
      </c>
      <c r="U130" s="50" t="s">
        <v>15507</v>
      </c>
      <c r="V130" s="50" t="s">
        <v>15511</v>
      </c>
      <c r="W130" s="117">
        <v>130.0</v>
      </c>
    </row>
    <row r="131">
      <c r="A131" s="50" t="s">
        <v>15513</v>
      </c>
      <c r="B131" s="50" t="s">
        <v>6876</v>
      </c>
      <c r="C131" s="50" t="s">
        <v>6877</v>
      </c>
      <c r="D131" s="50" t="s">
        <v>7831</v>
      </c>
      <c r="E131" s="144">
        <v>43665.0</v>
      </c>
      <c r="F131" s="50" t="s">
        <v>15514</v>
      </c>
      <c r="G131" s="50">
        <v>58.0</v>
      </c>
      <c r="H131" s="50">
        <v>1.0</v>
      </c>
      <c r="I131" s="50">
        <v>3.0</v>
      </c>
      <c r="J131" s="116"/>
      <c r="K131" s="116"/>
      <c r="L131" s="50" t="s">
        <v>385</v>
      </c>
      <c r="M131" s="50" t="s">
        <v>385</v>
      </c>
      <c r="N131" s="50">
        <v>1.0</v>
      </c>
      <c r="O131" s="50" t="s">
        <v>14521</v>
      </c>
      <c r="P131" s="116"/>
      <c r="Q131" s="116"/>
      <c r="R131" s="50">
        <v>4.0</v>
      </c>
      <c r="S131" s="50" t="s">
        <v>14454</v>
      </c>
      <c r="T131" s="117">
        <v>3522.0</v>
      </c>
      <c r="U131" s="50" t="s">
        <v>15517</v>
      </c>
      <c r="V131" s="50" t="s">
        <v>15518</v>
      </c>
      <c r="W131" s="117">
        <v>131.0</v>
      </c>
    </row>
    <row r="132">
      <c r="A132" s="50" t="s">
        <v>15519</v>
      </c>
      <c r="B132" s="50" t="s">
        <v>6876</v>
      </c>
      <c r="C132" s="50" t="s">
        <v>6877</v>
      </c>
      <c r="D132" s="50" t="s">
        <v>7831</v>
      </c>
      <c r="E132" s="144">
        <v>43665.0</v>
      </c>
      <c r="F132" s="50" t="s">
        <v>15524</v>
      </c>
      <c r="G132" s="50">
        <v>58.0</v>
      </c>
      <c r="H132" s="50">
        <v>1.0</v>
      </c>
      <c r="I132" s="50">
        <v>1.0</v>
      </c>
      <c r="J132" s="116"/>
      <c r="K132" s="116"/>
      <c r="L132" s="50" t="s">
        <v>389</v>
      </c>
      <c r="M132" s="50" t="s">
        <v>389</v>
      </c>
      <c r="N132" s="50">
        <v>1.0</v>
      </c>
      <c r="O132" s="50" t="s">
        <v>14521</v>
      </c>
      <c r="P132" s="116"/>
      <c r="Q132" s="116"/>
      <c r="R132" s="50">
        <v>4.0</v>
      </c>
      <c r="S132" s="50" t="s">
        <v>14454</v>
      </c>
      <c r="T132" s="117">
        <v>3523.0</v>
      </c>
      <c r="U132" s="50" t="s">
        <v>15528</v>
      </c>
      <c r="V132" s="50" t="s">
        <v>15529</v>
      </c>
      <c r="W132" s="117">
        <v>132.0</v>
      </c>
    </row>
    <row r="133">
      <c r="A133" s="50" t="s">
        <v>15524</v>
      </c>
      <c r="B133" s="50" t="s">
        <v>6876</v>
      </c>
      <c r="C133" s="50" t="s">
        <v>6877</v>
      </c>
      <c r="D133" s="50" t="s">
        <v>7831</v>
      </c>
      <c r="E133" s="144">
        <v>43665.0</v>
      </c>
      <c r="F133" s="50" t="s">
        <v>15530</v>
      </c>
      <c r="G133" s="50">
        <v>58.0</v>
      </c>
      <c r="H133" s="50">
        <v>1.0</v>
      </c>
      <c r="I133" s="50">
        <v>10.0</v>
      </c>
      <c r="J133" s="116"/>
      <c r="K133" s="116"/>
      <c r="L133" s="50" t="s">
        <v>325</v>
      </c>
      <c r="M133" s="50" t="s">
        <v>325</v>
      </c>
      <c r="N133" s="50">
        <v>1.0</v>
      </c>
      <c r="O133" s="50" t="s">
        <v>15531</v>
      </c>
      <c r="P133" s="116"/>
      <c r="Q133" s="116"/>
      <c r="R133" s="50">
        <v>4.0</v>
      </c>
      <c r="S133" s="50" t="s">
        <v>14454</v>
      </c>
      <c r="T133" s="117">
        <v>3524.0</v>
      </c>
      <c r="U133" s="50" t="s">
        <v>15532</v>
      </c>
      <c r="V133" s="50" t="s">
        <v>15533</v>
      </c>
      <c r="W133" s="117">
        <v>133.0</v>
      </c>
    </row>
    <row r="134">
      <c r="A134" s="50" t="s">
        <v>15530</v>
      </c>
      <c r="B134" s="50" t="s">
        <v>6876</v>
      </c>
      <c r="C134" s="50" t="s">
        <v>6877</v>
      </c>
      <c r="D134" s="50" t="s">
        <v>7831</v>
      </c>
      <c r="E134" s="144">
        <v>43665.0</v>
      </c>
      <c r="F134" s="50" t="s">
        <v>15535</v>
      </c>
      <c r="G134" s="50">
        <v>58.0</v>
      </c>
      <c r="H134" s="50">
        <v>1.0</v>
      </c>
      <c r="I134" s="50">
        <v>5.0</v>
      </c>
      <c r="J134" s="116"/>
      <c r="K134" s="116"/>
      <c r="L134" s="50" t="s">
        <v>394</v>
      </c>
      <c r="M134" s="50" t="s">
        <v>394</v>
      </c>
      <c r="N134" s="50">
        <v>1.0</v>
      </c>
      <c r="O134" s="50" t="s">
        <v>14521</v>
      </c>
      <c r="P134" s="116"/>
      <c r="Q134" s="116"/>
      <c r="R134" s="50">
        <v>4.0</v>
      </c>
      <c r="S134" s="50" t="s">
        <v>14454</v>
      </c>
      <c r="T134" s="117">
        <v>3525.0</v>
      </c>
      <c r="U134" s="50" t="s">
        <v>15538</v>
      </c>
      <c r="V134" s="50" t="s">
        <v>15539</v>
      </c>
      <c r="W134" s="117">
        <v>134.0</v>
      </c>
    </row>
    <row r="135">
      <c r="A135" s="50" t="s">
        <v>15535</v>
      </c>
      <c r="B135" s="50" t="s">
        <v>6876</v>
      </c>
      <c r="C135" s="50" t="s">
        <v>6877</v>
      </c>
      <c r="D135" s="50" t="s">
        <v>7831</v>
      </c>
      <c r="E135" s="144">
        <v>43665.0</v>
      </c>
      <c r="F135" s="50" t="s">
        <v>15544</v>
      </c>
      <c r="G135" s="50">
        <v>58.0</v>
      </c>
      <c r="H135" s="50">
        <v>1.0</v>
      </c>
      <c r="I135" s="50">
        <v>11.0</v>
      </c>
      <c r="J135" s="116"/>
      <c r="K135" s="116"/>
      <c r="L135" s="50" t="s">
        <v>4533</v>
      </c>
      <c r="M135" s="50" t="s">
        <v>4533</v>
      </c>
      <c r="N135" s="50">
        <v>1.0</v>
      </c>
      <c r="O135" s="50" t="s">
        <v>14451</v>
      </c>
      <c r="P135" s="116"/>
      <c r="Q135" s="116"/>
      <c r="R135" s="50" t="s">
        <v>15545</v>
      </c>
      <c r="S135" s="50" t="s">
        <v>14454</v>
      </c>
      <c r="T135" s="117">
        <v>3526.0</v>
      </c>
      <c r="U135" s="50" t="s">
        <v>15547</v>
      </c>
      <c r="V135" s="50" t="s">
        <v>15548</v>
      </c>
      <c r="W135" s="117">
        <v>135.0</v>
      </c>
    </row>
    <row r="136">
      <c r="A136" s="50" t="s">
        <v>15550</v>
      </c>
      <c r="B136" s="50" t="s">
        <v>6876</v>
      </c>
      <c r="C136" s="50" t="s">
        <v>6877</v>
      </c>
      <c r="D136" s="50" t="s">
        <v>7831</v>
      </c>
      <c r="E136" s="144">
        <v>43665.0</v>
      </c>
      <c r="F136" s="50" t="s">
        <v>15553</v>
      </c>
      <c r="G136" s="50">
        <v>58.0</v>
      </c>
      <c r="H136" s="50">
        <v>1.0</v>
      </c>
      <c r="I136" s="50">
        <v>11.0</v>
      </c>
      <c r="J136" s="116"/>
      <c r="K136" s="116"/>
      <c r="L136" s="50" t="s">
        <v>499</v>
      </c>
      <c r="M136" s="50" t="s">
        <v>499</v>
      </c>
      <c r="N136" s="50">
        <v>1.0</v>
      </c>
      <c r="O136" s="50" t="s">
        <v>15557</v>
      </c>
      <c r="P136" s="116"/>
      <c r="Q136" s="116"/>
      <c r="R136" s="50">
        <v>4.0</v>
      </c>
      <c r="S136" s="50" t="s">
        <v>14454</v>
      </c>
      <c r="T136" s="117">
        <v>3527.0</v>
      </c>
      <c r="U136" s="50" t="s">
        <v>15559</v>
      </c>
      <c r="V136" s="50" t="s">
        <v>15560</v>
      </c>
      <c r="W136" s="117">
        <v>136.0</v>
      </c>
    </row>
    <row r="137">
      <c r="A137" s="50" t="s">
        <v>15562</v>
      </c>
      <c r="B137" s="50" t="s">
        <v>6876</v>
      </c>
      <c r="C137" s="50" t="s">
        <v>6877</v>
      </c>
      <c r="D137" s="50" t="s">
        <v>7831</v>
      </c>
      <c r="E137" s="144">
        <v>43665.0</v>
      </c>
      <c r="F137" s="50" t="s">
        <v>15563</v>
      </c>
      <c r="G137" s="50">
        <v>59.0</v>
      </c>
      <c r="H137" s="50">
        <v>1.0</v>
      </c>
      <c r="I137" s="50">
        <v>11.0</v>
      </c>
      <c r="J137" s="116"/>
      <c r="K137" s="116"/>
      <c r="L137" s="50" t="s">
        <v>504</v>
      </c>
      <c r="M137" s="50" t="s">
        <v>504</v>
      </c>
      <c r="N137" s="50">
        <v>1.0</v>
      </c>
      <c r="O137" s="50" t="s">
        <v>15557</v>
      </c>
      <c r="P137" s="116"/>
      <c r="Q137" s="116"/>
      <c r="R137" s="50">
        <v>4.0</v>
      </c>
      <c r="S137" s="50" t="s">
        <v>14454</v>
      </c>
      <c r="T137" s="117">
        <v>3528.0</v>
      </c>
      <c r="U137" s="50" t="s">
        <v>15569</v>
      </c>
      <c r="V137" s="50" t="s">
        <v>15570</v>
      </c>
      <c r="W137" s="117">
        <v>137.0</v>
      </c>
    </row>
    <row r="138">
      <c r="A138" s="50" t="s">
        <v>15563</v>
      </c>
      <c r="B138" s="50" t="s">
        <v>6876</v>
      </c>
      <c r="C138" s="50" t="s">
        <v>6877</v>
      </c>
      <c r="D138" s="50" t="s">
        <v>7831</v>
      </c>
      <c r="E138" s="144">
        <v>43665.0</v>
      </c>
      <c r="F138" s="50" t="s">
        <v>15571</v>
      </c>
      <c r="G138" s="50">
        <v>59.0</v>
      </c>
      <c r="H138" s="50">
        <v>1.0</v>
      </c>
      <c r="I138" s="50">
        <v>11.0</v>
      </c>
      <c r="J138" s="116"/>
      <c r="K138" s="116"/>
      <c r="L138" s="50" t="s">
        <v>586</v>
      </c>
      <c r="M138" s="50" t="s">
        <v>586</v>
      </c>
      <c r="N138" s="50">
        <v>1.0</v>
      </c>
      <c r="O138" s="50" t="s">
        <v>15308</v>
      </c>
      <c r="P138" s="116"/>
      <c r="Q138" s="116"/>
      <c r="R138" s="50">
        <v>4.0</v>
      </c>
      <c r="S138" s="50" t="s">
        <v>14454</v>
      </c>
      <c r="T138" s="117">
        <v>3529.0</v>
      </c>
      <c r="U138" s="50" t="s">
        <v>15577</v>
      </c>
      <c r="V138" s="50" t="s">
        <v>15578</v>
      </c>
      <c r="W138" s="117">
        <v>138.0</v>
      </c>
    </row>
    <row r="139">
      <c r="A139" s="50" t="s">
        <v>15571</v>
      </c>
      <c r="B139" s="50" t="s">
        <v>6876</v>
      </c>
      <c r="C139" s="50" t="s">
        <v>6877</v>
      </c>
      <c r="D139" s="50" t="s">
        <v>7831</v>
      </c>
      <c r="E139" s="144">
        <v>43665.0</v>
      </c>
      <c r="F139" s="50" t="s">
        <v>15582</v>
      </c>
      <c r="G139" s="50">
        <v>58.0</v>
      </c>
      <c r="H139" s="50">
        <v>1.0</v>
      </c>
      <c r="I139" s="50">
        <v>11.0</v>
      </c>
      <c r="J139" s="116"/>
      <c r="K139" s="116"/>
      <c r="L139" s="50" t="s">
        <v>787</v>
      </c>
      <c r="M139" s="50" t="s">
        <v>787</v>
      </c>
      <c r="N139" s="50">
        <v>1.0</v>
      </c>
      <c r="O139" s="50" t="s">
        <v>7936</v>
      </c>
      <c r="P139" s="116"/>
      <c r="Q139" s="116"/>
      <c r="R139" s="50">
        <v>2.0</v>
      </c>
      <c r="S139" s="50" t="s">
        <v>14454</v>
      </c>
      <c r="T139" s="117">
        <v>3530.0</v>
      </c>
      <c r="U139" s="50" t="s">
        <v>15589</v>
      </c>
      <c r="V139" s="50" t="s">
        <v>15590</v>
      </c>
      <c r="W139" s="117">
        <v>139.0</v>
      </c>
    </row>
    <row r="140">
      <c r="A140" s="50" t="s">
        <v>15582</v>
      </c>
      <c r="B140" s="50" t="s">
        <v>6876</v>
      </c>
      <c r="C140" s="50" t="s">
        <v>6877</v>
      </c>
      <c r="D140" s="50" t="s">
        <v>7831</v>
      </c>
      <c r="E140" s="144">
        <v>43665.0</v>
      </c>
      <c r="F140" s="50" t="s">
        <v>15593</v>
      </c>
      <c r="G140" s="50">
        <v>57.0</v>
      </c>
      <c r="H140" s="50">
        <v>1.0</v>
      </c>
      <c r="I140" s="50">
        <v>12.0</v>
      </c>
      <c r="J140" s="116"/>
      <c r="K140" s="116"/>
      <c r="L140" s="50" t="s">
        <v>4542</v>
      </c>
      <c r="M140" s="50" t="s">
        <v>4542</v>
      </c>
      <c r="N140" s="50">
        <v>1.0</v>
      </c>
      <c r="O140" s="50" t="s">
        <v>14451</v>
      </c>
      <c r="P140" s="116"/>
      <c r="Q140" s="116"/>
      <c r="R140" s="50" t="s">
        <v>6991</v>
      </c>
      <c r="S140" s="50" t="s">
        <v>14454</v>
      </c>
      <c r="T140" s="117">
        <v>3531.0</v>
      </c>
      <c r="U140" s="50" t="s">
        <v>15597</v>
      </c>
      <c r="V140" s="50" t="s">
        <v>15598</v>
      </c>
      <c r="W140" s="117">
        <v>140.0</v>
      </c>
    </row>
    <row r="141">
      <c r="A141" s="50" t="s">
        <v>15593</v>
      </c>
      <c r="B141" s="50" t="s">
        <v>6876</v>
      </c>
      <c r="C141" s="50" t="s">
        <v>6877</v>
      </c>
      <c r="D141" s="50" t="s">
        <v>7831</v>
      </c>
      <c r="E141" s="144">
        <v>43665.0</v>
      </c>
      <c r="F141" s="50" t="s">
        <v>15599</v>
      </c>
      <c r="G141" s="50">
        <v>57.0</v>
      </c>
      <c r="H141" s="50">
        <v>1.0</v>
      </c>
      <c r="I141" s="50">
        <v>12.0</v>
      </c>
      <c r="J141" s="116"/>
      <c r="K141" s="116"/>
      <c r="L141" s="50" t="s">
        <v>4550</v>
      </c>
      <c r="M141" s="50" t="s">
        <v>4550</v>
      </c>
      <c r="N141" s="50">
        <v>1.0</v>
      </c>
      <c r="O141" s="50" t="s">
        <v>14451</v>
      </c>
      <c r="P141" s="116"/>
      <c r="Q141" s="116"/>
      <c r="R141" s="50" t="s">
        <v>6991</v>
      </c>
      <c r="S141" s="50" t="s">
        <v>14454</v>
      </c>
      <c r="T141" s="117">
        <v>3532.0</v>
      </c>
      <c r="U141" s="50" t="s">
        <v>15600</v>
      </c>
      <c r="V141" s="50" t="s">
        <v>15602</v>
      </c>
      <c r="W141" s="117">
        <v>141.0</v>
      </c>
    </row>
    <row r="142">
      <c r="A142" s="50" t="s">
        <v>15599</v>
      </c>
      <c r="B142" s="50" t="s">
        <v>6876</v>
      </c>
      <c r="C142" s="50" t="s">
        <v>6877</v>
      </c>
      <c r="D142" s="50" t="s">
        <v>7831</v>
      </c>
      <c r="E142" s="144">
        <v>43665.0</v>
      </c>
      <c r="F142" s="50" t="s">
        <v>15604</v>
      </c>
      <c r="G142" s="50">
        <v>57.0</v>
      </c>
      <c r="H142" s="50">
        <v>1.0</v>
      </c>
      <c r="I142" s="50">
        <v>12.0</v>
      </c>
      <c r="J142" s="116"/>
      <c r="K142" s="116"/>
      <c r="L142" s="50" t="s">
        <v>280</v>
      </c>
      <c r="M142" s="50" t="s">
        <v>280</v>
      </c>
      <c r="N142" s="50">
        <v>1.0</v>
      </c>
      <c r="O142" s="50" t="s">
        <v>15606</v>
      </c>
      <c r="P142" s="116"/>
      <c r="Q142" s="116"/>
      <c r="R142" s="50" t="s">
        <v>6991</v>
      </c>
      <c r="S142" s="50" t="s">
        <v>14454</v>
      </c>
      <c r="T142" s="117">
        <v>3533.0</v>
      </c>
      <c r="U142" s="50" t="s">
        <v>15607</v>
      </c>
      <c r="V142" s="50" t="s">
        <v>15608</v>
      </c>
      <c r="W142" s="117">
        <v>142.0</v>
      </c>
    </row>
    <row r="143">
      <c r="A143" s="50" t="s">
        <v>15604</v>
      </c>
      <c r="B143" s="50" t="s">
        <v>6876</v>
      </c>
      <c r="C143" s="50" t="s">
        <v>6877</v>
      </c>
      <c r="D143" s="50" t="s">
        <v>7831</v>
      </c>
      <c r="E143" s="144">
        <v>43665.0</v>
      </c>
      <c r="F143" s="50" t="s">
        <v>15613</v>
      </c>
      <c r="G143" s="50">
        <v>57.0</v>
      </c>
      <c r="H143" s="50">
        <v>1.0</v>
      </c>
      <c r="I143" s="50">
        <v>12.0</v>
      </c>
      <c r="J143" s="116"/>
      <c r="K143" s="116"/>
      <c r="L143" s="50" t="s">
        <v>324</v>
      </c>
      <c r="M143" s="50" t="s">
        <v>324</v>
      </c>
      <c r="N143" s="50">
        <v>1.0</v>
      </c>
      <c r="O143" s="50" t="s">
        <v>14521</v>
      </c>
      <c r="P143" s="116"/>
      <c r="Q143" s="116"/>
      <c r="R143" s="50" t="s">
        <v>6991</v>
      </c>
      <c r="S143" s="50" t="s">
        <v>14454</v>
      </c>
      <c r="T143" s="117">
        <v>3534.0</v>
      </c>
      <c r="U143" s="50" t="s">
        <v>15616</v>
      </c>
      <c r="V143" s="50" t="s">
        <v>15617</v>
      </c>
      <c r="W143" s="117">
        <v>143.0</v>
      </c>
    </row>
    <row r="144">
      <c r="A144" s="50" t="s">
        <v>15613</v>
      </c>
      <c r="B144" s="50" t="s">
        <v>6876</v>
      </c>
      <c r="C144" s="50" t="s">
        <v>6877</v>
      </c>
      <c r="D144" s="50" t="s">
        <v>7831</v>
      </c>
      <c r="E144" s="144">
        <v>43665.0</v>
      </c>
      <c r="F144" s="50" t="s">
        <v>15623</v>
      </c>
      <c r="G144" s="50">
        <v>57.0</v>
      </c>
      <c r="H144" s="50">
        <v>1.0</v>
      </c>
      <c r="I144" s="50">
        <v>12.0</v>
      </c>
      <c r="J144" s="116"/>
      <c r="K144" s="116"/>
      <c r="L144" s="50" t="s">
        <v>384</v>
      </c>
      <c r="M144" s="50" t="s">
        <v>384</v>
      </c>
      <c r="N144" s="50">
        <v>1.0</v>
      </c>
      <c r="O144" s="50" t="s">
        <v>14521</v>
      </c>
      <c r="P144" s="116"/>
      <c r="Q144" s="116"/>
      <c r="R144" s="50" t="s">
        <v>6991</v>
      </c>
      <c r="S144" s="50" t="s">
        <v>14454</v>
      </c>
      <c r="T144" s="117">
        <v>3535.0</v>
      </c>
      <c r="U144" s="50" t="s">
        <v>15626</v>
      </c>
      <c r="V144" s="50" t="s">
        <v>15627</v>
      </c>
      <c r="W144" s="117">
        <v>144.0</v>
      </c>
    </row>
    <row r="145">
      <c r="A145" s="50" t="s">
        <v>15623</v>
      </c>
      <c r="B145" s="50" t="s">
        <v>6876</v>
      </c>
      <c r="C145" s="50" t="s">
        <v>6877</v>
      </c>
      <c r="D145" s="50" t="s">
        <v>7831</v>
      </c>
      <c r="E145" s="144">
        <v>43665.0</v>
      </c>
      <c r="F145" s="50" t="s">
        <v>15628</v>
      </c>
      <c r="G145" s="50">
        <v>55.0</v>
      </c>
      <c r="H145" s="50">
        <v>1.0</v>
      </c>
      <c r="I145" s="50">
        <v>12.0</v>
      </c>
      <c r="J145" s="116"/>
      <c r="K145" s="116"/>
      <c r="L145" s="50" t="s">
        <v>668</v>
      </c>
      <c r="M145" s="50" t="s">
        <v>668</v>
      </c>
      <c r="N145" s="50">
        <v>1.0</v>
      </c>
      <c r="O145" s="50" t="s">
        <v>15606</v>
      </c>
      <c r="P145" s="116"/>
      <c r="Q145" s="116"/>
      <c r="R145" s="50">
        <v>4.0</v>
      </c>
      <c r="S145" s="50" t="s">
        <v>14454</v>
      </c>
      <c r="T145" s="117">
        <v>3536.0</v>
      </c>
      <c r="U145" s="50" t="s">
        <v>15629</v>
      </c>
      <c r="V145" s="50" t="s">
        <v>15630</v>
      </c>
      <c r="W145" s="117">
        <v>145.0</v>
      </c>
    </row>
    <row r="146">
      <c r="A146" s="50" t="s">
        <v>15631</v>
      </c>
      <c r="B146" s="50" t="s">
        <v>6876</v>
      </c>
      <c r="C146" s="50" t="s">
        <v>6877</v>
      </c>
      <c r="D146" s="50" t="s">
        <v>7831</v>
      </c>
      <c r="E146" s="144">
        <v>43665.0</v>
      </c>
      <c r="F146" s="50" t="s">
        <v>15632</v>
      </c>
      <c r="G146" s="50">
        <v>57.0</v>
      </c>
      <c r="H146" s="50">
        <v>1.0</v>
      </c>
      <c r="I146" s="50">
        <v>12.0</v>
      </c>
      <c r="J146" s="116"/>
      <c r="K146" s="116"/>
      <c r="L146" s="50" t="s">
        <v>816</v>
      </c>
      <c r="M146" s="50" t="s">
        <v>816</v>
      </c>
      <c r="N146" s="50">
        <v>1.0</v>
      </c>
      <c r="O146" s="50" t="s">
        <v>15634</v>
      </c>
      <c r="P146" s="116"/>
      <c r="Q146" s="116"/>
      <c r="R146" s="50">
        <v>3.0</v>
      </c>
      <c r="S146" s="50" t="s">
        <v>14454</v>
      </c>
      <c r="T146" s="117">
        <v>3537.0</v>
      </c>
      <c r="U146" s="50" t="s">
        <v>15636</v>
      </c>
      <c r="V146" s="50" t="s">
        <v>15638</v>
      </c>
      <c r="W146" s="117">
        <v>146.0</v>
      </c>
    </row>
    <row r="147">
      <c r="A147" s="50" t="s">
        <v>15632</v>
      </c>
      <c r="B147" s="50" t="s">
        <v>6876</v>
      </c>
      <c r="C147" s="50" t="s">
        <v>6877</v>
      </c>
      <c r="D147" s="50" t="s">
        <v>7831</v>
      </c>
      <c r="E147" s="144">
        <v>43665.0</v>
      </c>
      <c r="F147" s="50" t="s">
        <v>15640</v>
      </c>
      <c r="G147" s="50">
        <v>57.0</v>
      </c>
      <c r="H147" s="50">
        <v>1.0</v>
      </c>
      <c r="I147" s="50">
        <v>12.0</v>
      </c>
      <c r="J147" s="116"/>
      <c r="K147" s="116"/>
      <c r="L147" s="50" t="s">
        <v>819</v>
      </c>
      <c r="M147" s="50" t="s">
        <v>819</v>
      </c>
      <c r="N147" s="50">
        <v>1.0</v>
      </c>
      <c r="O147" s="50" t="s">
        <v>15634</v>
      </c>
      <c r="P147" s="116"/>
      <c r="Q147" s="116"/>
      <c r="R147" s="50">
        <v>3.0</v>
      </c>
      <c r="S147" s="50" t="s">
        <v>14454</v>
      </c>
      <c r="T147" s="117">
        <v>3538.0</v>
      </c>
      <c r="U147" s="50" t="s">
        <v>15642</v>
      </c>
      <c r="V147" s="50" t="s">
        <v>15643</v>
      </c>
      <c r="W147" s="117">
        <v>147.0</v>
      </c>
    </row>
    <row r="148">
      <c r="A148" s="50" t="s">
        <v>15640</v>
      </c>
      <c r="B148" s="50" t="s">
        <v>6876</v>
      </c>
      <c r="C148" s="50" t="s">
        <v>6877</v>
      </c>
      <c r="D148" s="50" t="s">
        <v>7831</v>
      </c>
      <c r="E148" s="144">
        <v>43665.0</v>
      </c>
      <c r="F148" s="50" t="s">
        <v>15644</v>
      </c>
      <c r="G148" s="50">
        <v>66.0</v>
      </c>
      <c r="H148" s="50">
        <v>1.0</v>
      </c>
      <c r="I148" s="50">
        <v>12.0</v>
      </c>
      <c r="J148" s="116"/>
      <c r="K148" s="116"/>
      <c r="L148" s="50" t="s">
        <v>822</v>
      </c>
      <c r="M148" s="50" t="s">
        <v>822</v>
      </c>
      <c r="N148" s="50">
        <v>1.0</v>
      </c>
      <c r="O148" s="50" t="s">
        <v>15634</v>
      </c>
      <c r="P148" s="116"/>
      <c r="Q148" s="116"/>
      <c r="R148" s="50">
        <v>3.0</v>
      </c>
      <c r="S148" s="50" t="s">
        <v>14454</v>
      </c>
      <c r="T148" s="117">
        <v>3539.0</v>
      </c>
      <c r="U148" s="50" t="s">
        <v>15650</v>
      </c>
      <c r="V148" s="50" t="s">
        <v>15652</v>
      </c>
      <c r="W148" s="117">
        <v>148.0</v>
      </c>
    </row>
    <row r="149">
      <c r="A149" s="50" t="s">
        <v>15644</v>
      </c>
      <c r="B149" s="50" t="s">
        <v>6876</v>
      </c>
      <c r="C149" s="50" t="s">
        <v>6877</v>
      </c>
      <c r="D149" s="50" t="s">
        <v>7831</v>
      </c>
      <c r="E149" s="144">
        <v>43665.0</v>
      </c>
      <c r="F149" s="50" t="s">
        <v>15654</v>
      </c>
      <c r="G149" s="50">
        <v>59.0</v>
      </c>
      <c r="H149" s="50">
        <v>1.0</v>
      </c>
      <c r="I149" s="50">
        <v>12.0</v>
      </c>
      <c r="J149" s="116"/>
      <c r="K149" s="116"/>
      <c r="L149" s="50" t="s">
        <v>824</v>
      </c>
      <c r="M149" s="50" t="s">
        <v>824</v>
      </c>
      <c r="N149" s="50">
        <v>1.0</v>
      </c>
      <c r="O149" s="50" t="s">
        <v>15634</v>
      </c>
      <c r="P149" s="116"/>
      <c r="Q149" s="116"/>
      <c r="R149" s="50">
        <v>3.0</v>
      </c>
      <c r="S149" s="50" t="s">
        <v>14454</v>
      </c>
      <c r="T149" s="117">
        <v>3540.0</v>
      </c>
      <c r="U149" s="50" t="s">
        <v>15658</v>
      </c>
      <c r="V149" s="50" t="s">
        <v>15659</v>
      </c>
      <c r="W149" s="117">
        <v>149.0</v>
      </c>
    </row>
    <row r="150">
      <c r="A150" s="50" t="s">
        <v>15654</v>
      </c>
      <c r="B150" s="50" t="s">
        <v>6876</v>
      </c>
      <c r="C150" s="50" t="s">
        <v>6877</v>
      </c>
      <c r="D150" s="50" t="s">
        <v>7831</v>
      </c>
      <c r="E150" s="144">
        <v>43665.0</v>
      </c>
      <c r="F150" s="50" t="s">
        <v>15660</v>
      </c>
      <c r="G150" s="50">
        <v>58.0</v>
      </c>
      <c r="H150" s="50">
        <v>1.0</v>
      </c>
      <c r="I150" s="50">
        <v>12.0</v>
      </c>
      <c r="J150" s="116"/>
      <c r="K150" s="116"/>
      <c r="L150" s="50" t="s">
        <v>840</v>
      </c>
      <c r="M150" s="50" t="s">
        <v>840</v>
      </c>
      <c r="N150" s="50">
        <v>1.0</v>
      </c>
      <c r="O150" s="50" t="s">
        <v>15634</v>
      </c>
      <c r="P150" s="116"/>
      <c r="Q150" s="116"/>
      <c r="R150" s="50">
        <v>3.0</v>
      </c>
      <c r="S150" s="50" t="s">
        <v>14454</v>
      </c>
      <c r="T150" s="117">
        <v>3541.0</v>
      </c>
      <c r="U150" s="50" t="s">
        <v>15661</v>
      </c>
      <c r="V150" s="50" t="s">
        <v>15663</v>
      </c>
      <c r="W150" s="117">
        <v>150.0</v>
      </c>
    </row>
    <row r="151">
      <c r="A151" s="50" t="s">
        <v>15660</v>
      </c>
      <c r="B151" s="50" t="s">
        <v>6876</v>
      </c>
      <c r="C151" s="50" t="s">
        <v>6877</v>
      </c>
      <c r="D151" s="50" t="s">
        <v>7831</v>
      </c>
      <c r="E151" s="144">
        <v>43665.0</v>
      </c>
      <c r="F151" s="50" t="s">
        <v>15666</v>
      </c>
      <c r="G151" s="50">
        <v>57.0</v>
      </c>
      <c r="H151" s="50">
        <v>1.0</v>
      </c>
      <c r="I151" s="50">
        <v>12.0</v>
      </c>
      <c r="J151" s="116"/>
      <c r="K151" s="116"/>
      <c r="L151" s="50" t="s">
        <v>846</v>
      </c>
      <c r="M151" s="50" t="s">
        <v>846</v>
      </c>
      <c r="N151" s="50">
        <v>1.0</v>
      </c>
      <c r="O151" s="50" t="s">
        <v>15634</v>
      </c>
      <c r="P151" s="116"/>
      <c r="Q151" s="116"/>
      <c r="R151" s="50">
        <v>3.0</v>
      </c>
      <c r="S151" s="50" t="s">
        <v>14454</v>
      </c>
      <c r="T151" s="117">
        <v>3542.0</v>
      </c>
      <c r="U151" s="50" t="s">
        <v>15670</v>
      </c>
      <c r="V151" s="50" t="s">
        <v>15671</v>
      </c>
      <c r="W151" s="117">
        <v>151.0</v>
      </c>
    </row>
    <row r="152">
      <c r="A152" s="50" t="s">
        <v>15666</v>
      </c>
      <c r="B152" s="50" t="s">
        <v>6876</v>
      </c>
      <c r="C152" s="50" t="s">
        <v>6877</v>
      </c>
      <c r="D152" s="50" t="s">
        <v>7831</v>
      </c>
      <c r="E152" s="144">
        <v>43665.0</v>
      </c>
      <c r="F152" s="50" t="s">
        <v>15673</v>
      </c>
      <c r="G152" s="50">
        <v>57.0</v>
      </c>
      <c r="H152" s="50">
        <v>1.0</v>
      </c>
      <c r="I152" s="50">
        <v>12.0</v>
      </c>
      <c r="J152" s="116"/>
      <c r="K152" s="116"/>
      <c r="L152" s="50" t="s">
        <v>847</v>
      </c>
      <c r="M152" s="50" t="s">
        <v>847</v>
      </c>
      <c r="N152" s="50">
        <v>1.0</v>
      </c>
      <c r="O152" s="50" t="s">
        <v>15634</v>
      </c>
      <c r="P152" s="116"/>
      <c r="Q152" s="116"/>
      <c r="R152" s="50">
        <v>3.0</v>
      </c>
      <c r="S152" s="50" t="s">
        <v>14454</v>
      </c>
      <c r="T152" s="117">
        <v>3543.0</v>
      </c>
      <c r="U152" s="50" t="s">
        <v>15678</v>
      </c>
      <c r="V152" s="50" t="s">
        <v>15679</v>
      </c>
      <c r="W152" s="117">
        <v>152.0</v>
      </c>
    </row>
    <row r="153">
      <c r="A153" s="50" t="s">
        <v>15673</v>
      </c>
      <c r="B153" s="50" t="s">
        <v>6876</v>
      </c>
      <c r="C153" s="50" t="s">
        <v>6877</v>
      </c>
      <c r="D153" s="50" t="s">
        <v>7831</v>
      </c>
      <c r="E153" s="144">
        <v>43665.0</v>
      </c>
      <c r="F153" s="50" t="s">
        <v>15681</v>
      </c>
      <c r="G153" s="50">
        <v>66.0</v>
      </c>
      <c r="H153" s="50">
        <v>1.0</v>
      </c>
      <c r="I153" s="50">
        <v>12.0</v>
      </c>
      <c r="J153" s="116"/>
      <c r="K153" s="116"/>
      <c r="L153" s="50" t="s">
        <v>849</v>
      </c>
      <c r="M153" s="50" t="s">
        <v>849</v>
      </c>
      <c r="N153" s="50">
        <v>1.0</v>
      </c>
      <c r="O153" s="50" t="s">
        <v>15634</v>
      </c>
      <c r="P153" s="116"/>
      <c r="Q153" s="116"/>
      <c r="R153" s="50">
        <v>3.0</v>
      </c>
      <c r="S153" s="50" t="s">
        <v>14454</v>
      </c>
      <c r="T153" s="117">
        <v>3544.0</v>
      </c>
      <c r="U153" s="50" t="s">
        <v>15682</v>
      </c>
      <c r="V153" s="50" t="s">
        <v>15683</v>
      </c>
      <c r="W153" s="117">
        <v>153.0</v>
      </c>
    </row>
    <row r="154">
      <c r="A154" s="50" t="s">
        <v>15681</v>
      </c>
      <c r="B154" s="50" t="s">
        <v>6876</v>
      </c>
      <c r="C154" s="50" t="s">
        <v>6877</v>
      </c>
      <c r="D154" s="50" t="s">
        <v>7831</v>
      </c>
      <c r="E154" s="144">
        <v>43665.0</v>
      </c>
      <c r="F154" s="50" t="s">
        <v>15684</v>
      </c>
      <c r="G154" s="50">
        <v>59.0</v>
      </c>
      <c r="H154" s="50">
        <v>1.0</v>
      </c>
      <c r="I154" s="50">
        <v>12.0</v>
      </c>
      <c r="J154" s="116"/>
      <c r="K154" s="116"/>
      <c r="L154" s="50" t="s">
        <v>850</v>
      </c>
      <c r="M154" s="50" t="s">
        <v>850</v>
      </c>
      <c r="N154" s="50">
        <v>1.0</v>
      </c>
      <c r="O154" s="50" t="s">
        <v>15634</v>
      </c>
      <c r="P154" s="116"/>
      <c r="Q154" s="116"/>
      <c r="R154" s="50">
        <v>3.0</v>
      </c>
      <c r="S154" s="50" t="s">
        <v>14454</v>
      </c>
      <c r="T154" s="117">
        <v>3545.0</v>
      </c>
      <c r="U154" s="50" t="s">
        <v>15685</v>
      </c>
      <c r="V154" s="50" t="s">
        <v>15687</v>
      </c>
      <c r="W154" s="117">
        <v>154.0</v>
      </c>
    </row>
    <row r="155">
      <c r="A155" s="50" t="s">
        <v>15684</v>
      </c>
      <c r="B155" s="50" t="s">
        <v>6876</v>
      </c>
      <c r="C155" s="50" t="s">
        <v>6877</v>
      </c>
      <c r="D155" s="50" t="s">
        <v>7831</v>
      </c>
      <c r="E155" s="144">
        <v>43665.0</v>
      </c>
      <c r="F155" s="50" t="s">
        <v>15690</v>
      </c>
      <c r="G155" s="50">
        <v>59.0</v>
      </c>
      <c r="H155" s="50">
        <v>1.0</v>
      </c>
      <c r="I155" s="50">
        <v>11.0</v>
      </c>
      <c r="J155" s="116"/>
      <c r="K155" s="116"/>
      <c r="L155" s="50" t="s">
        <v>855</v>
      </c>
      <c r="M155" s="50" t="s">
        <v>855</v>
      </c>
      <c r="N155" s="50">
        <v>1.0</v>
      </c>
      <c r="O155" s="50" t="s">
        <v>15634</v>
      </c>
      <c r="P155" s="116"/>
      <c r="Q155" s="116"/>
      <c r="R155" s="50">
        <v>3.0</v>
      </c>
      <c r="S155" s="50" t="s">
        <v>14454</v>
      </c>
      <c r="T155" s="117">
        <v>3546.0</v>
      </c>
      <c r="U155" s="50" t="s">
        <v>15696</v>
      </c>
      <c r="V155" s="50" t="s">
        <v>15697</v>
      </c>
      <c r="W155" s="117">
        <v>155.0</v>
      </c>
    </row>
    <row r="156">
      <c r="A156" s="50" t="s">
        <v>15699</v>
      </c>
      <c r="B156" s="50" t="s">
        <v>6876</v>
      </c>
      <c r="C156" s="50" t="s">
        <v>6877</v>
      </c>
      <c r="D156" s="50" t="s">
        <v>7831</v>
      </c>
      <c r="E156" s="144">
        <v>43669.0</v>
      </c>
      <c r="F156" s="50" t="s">
        <v>15700</v>
      </c>
      <c r="G156" s="50">
        <v>58.0</v>
      </c>
      <c r="H156" s="50">
        <v>1.0</v>
      </c>
      <c r="I156" s="50">
        <v>11.0</v>
      </c>
      <c r="J156" s="116"/>
      <c r="K156" s="116"/>
      <c r="L156" s="50" t="s">
        <v>884</v>
      </c>
      <c r="M156" s="50" t="s">
        <v>884</v>
      </c>
      <c r="N156" s="50">
        <v>1.0</v>
      </c>
      <c r="O156" s="50" t="s">
        <v>8059</v>
      </c>
      <c r="P156" s="116"/>
      <c r="Q156" s="50" t="s">
        <v>15701</v>
      </c>
      <c r="R156" s="50">
        <v>1.0</v>
      </c>
      <c r="S156" s="50" t="s">
        <v>14454</v>
      </c>
      <c r="T156" s="117">
        <v>3567.0</v>
      </c>
      <c r="U156" s="50" t="s">
        <v>15703</v>
      </c>
      <c r="V156" s="50" t="s">
        <v>15704</v>
      </c>
      <c r="W156" s="117">
        <v>156.0</v>
      </c>
    </row>
    <row r="157">
      <c r="A157" s="50" t="s">
        <v>15700</v>
      </c>
      <c r="B157" s="50" t="s">
        <v>6876</v>
      </c>
      <c r="C157" s="50" t="s">
        <v>6877</v>
      </c>
      <c r="D157" s="50" t="s">
        <v>7831</v>
      </c>
      <c r="E157" s="144">
        <v>43669.0</v>
      </c>
      <c r="F157" s="50" t="s">
        <v>15707</v>
      </c>
      <c r="G157" s="50">
        <v>57.0</v>
      </c>
      <c r="H157" s="50">
        <v>1.0</v>
      </c>
      <c r="I157" s="50">
        <v>12.0</v>
      </c>
      <c r="J157" s="116"/>
      <c r="K157" s="116"/>
      <c r="L157" s="50" t="s">
        <v>889</v>
      </c>
      <c r="M157" s="50" t="s">
        <v>889</v>
      </c>
      <c r="N157" s="50">
        <v>1.0</v>
      </c>
      <c r="O157" s="50" t="s">
        <v>8059</v>
      </c>
      <c r="P157" s="116"/>
      <c r="Q157" s="116"/>
      <c r="R157" s="50">
        <v>1.0</v>
      </c>
      <c r="S157" s="50" t="s">
        <v>14454</v>
      </c>
      <c r="T157" s="117">
        <v>3568.0</v>
      </c>
      <c r="U157" s="50" t="s">
        <v>15709</v>
      </c>
      <c r="V157" s="50" t="s">
        <v>15710</v>
      </c>
      <c r="W157" s="117">
        <v>157.0</v>
      </c>
    </row>
    <row r="158">
      <c r="A158" s="50" t="s">
        <v>15707</v>
      </c>
      <c r="B158" s="50" t="s">
        <v>6876</v>
      </c>
      <c r="C158" s="50" t="s">
        <v>6877</v>
      </c>
      <c r="D158" s="50" t="s">
        <v>7831</v>
      </c>
      <c r="E158" s="144">
        <v>43669.0</v>
      </c>
      <c r="F158" s="50" t="s">
        <v>15713</v>
      </c>
      <c r="G158" s="50">
        <v>57.0</v>
      </c>
      <c r="H158" s="50">
        <v>1.0</v>
      </c>
      <c r="I158" s="50">
        <v>12.0</v>
      </c>
      <c r="J158" s="116"/>
      <c r="K158" s="116"/>
      <c r="L158" s="50" t="s">
        <v>892</v>
      </c>
      <c r="M158" s="50" t="s">
        <v>892</v>
      </c>
      <c r="N158" s="50">
        <v>1.0</v>
      </c>
      <c r="O158" s="50" t="s">
        <v>8059</v>
      </c>
      <c r="P158" s="116"/>
      <c r="Q158" s="116"/>
      <c r="R158" s="50">
        <v>1.0</v>
      </c>
      <c r="S158" s="50" t="s">
        <v>14454</v>
      </c>
      <c r="T158" s="117">
        <v>3569.0</v>
      </c>
      <c r="U158" s="50" t="s">
        <v>15715</v>
      </c>
      <c r="V158" s="50" t="s">
        <v>15716</v>
      </c>
      <c r="W158" s="117">
        <v>158.0</v>
      </c>
    </row>
    <row r="159">
      <c r="A159" s="50" t="s">
        <v>15713</v>
      </c>
      <c r="B159" s="50" t="s">
        <v>6876</v>
      </c>
      <c r="C159" s="50" t="s">
        <v>6877</v>
      </c>
      <c r="D159" s="50" t="s">
        <v>7831</v>
      </c>
      <c r="E159" s="144">
        <v>43669.0</v>
      </c>
      <c r="F159" s="50" t="s">
        <v>15719</v>
      </c>
      <c r="G159" s="50">
        <v>39.0</v>
      </c>
      <c r="H159" s="50">
        <v>1.0</v>
      </c>
      <c r="I159" s="50">
        <v>12.0</v>
      </c>
      <c r="J159" s="116"/>
      <c r="K159" s="116"/>
      <c r="L159" s="50" t="s">
        <v>894</v>
      </c>
      <c r="M159" s="50" t="s">
        <v>894</v>
      </c>
      <c r="N159" s="50">
        <v>1.0</v>
      </c>
      <c r="O159" s="50" t="s">
        <v>8059</v>
      </c>
      <c r="P159" s="116"/>
      <c r="Q159" s="116"/>
      <c r="R159" s="50">
        <v>1.0</v>
      </c>
      <c r="S159" s="50" t="s">
        <v>14454</v>
      </c>
      <c r="T159" s="117">
        <v>3570.0</v>
      </c>
      <c r="U159" s="50" t="s">
        <v>15724</v>
      </c>
      <c r="V159" s="50" t="s">
        <v>15725</v>
      </c>
      <c r="W159" s="117">
        <v>159.0</v>
      </c>
    </row>
    <row r="160">
      <c r="A160" s="50" t="s">
        <v>15719</v>
      </c>
      <c r="B160" s="50" t="s">
        <v>6876</v>
      </c>
      <c r="C160" s="50" t="s">
        <v>6877</v>
      </c>
      <c r="D160" s="50" t="s">
        <v>7831</v>
      </c>
      <c r="E160" s="144">
        <v>43669.0</v>
      </c>
      <c r="F160" s="50" t="s">
        <v>15726</v>
      </c>
      <c r="G160" s="50">
        <v>59.0</v>
      </c>
      <c r="H160" s="50">
        <v>1.0</v>
      </c>
      <c r="I160" s="50">
        <v>12.0</v>
      </c>
      <c r="J160" s="116"/>
      <c r="K160" s="116"/>
      <c r="L160" s="50" t="s">
        <v>897</v>
      </c>
      <c r="M160" s="50" t="s">
        <v>897</v>
      </c>
      <c r="N160" s="50">
        <v>1.0</v>
      </c>
      <c r="O160" s="50" t="s">
        <v>8059</v>
      </c>
      <c r="P160" s="116"/>
      <c r="Q160" s="116"/>
      <c r="R160" s="50">
        <v>1.0</v>
      </c>
      <c r="S160" s="50" t="s">
        <v>14454</v>
      </c>
      <c r="T160" s="117">
        <v>3571.0</v>
      </c>
      <c r="U160" s="50" t="s">
        <v>15728</v>
      </c>
      <c r="V160" s="50" t="s">
        <v>15729</v>
      </c>
      <c r="W160" s="117">
        <v>160.0</v>
      </c>
    </row>
    <row r="161">
      <c r="A161" s="50" t="s">
        <v>15726</v>
      </c>
      <c r="B161" s="50" t="s">
        <v>6876</v>
      </c>
      <c r="C161" s="50" t="s">
        <v>6877</v>
      </c>
      <c r="D161" s="50" t="s">
        <v>7831</v>
      </c>
      <c r="E161" s="144">
        <v>43669.0</v>
      </c>
      <c r="F161" s="50" t="s">
        <v>15732</v>
      </c>
      <c r="G161" s="50">
        <v>59.0</v>
      </c>
      <c r="H161" s="50">
        <v>1.0</v>
      </c>
      <c r="I161" s="50">
        <v>11.0</v>
      </c>
      <c r="J161" s="116"/>
      <c r="K161" s="116"/>
      <c r="L161" s="50" t="s">
        <v>907</v>
      </c>
      <c r="M161" s="50" t="s">
        <v>907</v>
      </c>
      <c r="N161" s="50">
        <v>1.0</v>
      </c>
      <c r="O161" s="50" t="s">
        <v>8059</v>
      </c>
      <c r="P161" s="116"/>
      <c r="Q161" s="50" t="s">
        <v>15734</v>
      </c>
      <c r="R161" s="50">
        <v>1.0</v>
      </c>
      <c r="S161" s="50" t="s">
        <v>14454</v>
      </c>
      <c r="T161" s="117">
        <v>3572.0</v>
      </c>
      <c r="U161" s="50" t="s">
        <v>15735</v>
      </c>
      <c r="V161" s="50" t="s">
        <v>15736</v>
      </c>
      <c r="W161" s="117">
        <v>161.0</v>
      </c>
    </row>
    <row r="162">
      <c r="A162" s="50" t="s">
        <v>15732</v>
      </c>
      <c r="B162" s="50" t="s">
        <v>6876</v>
      </c>
      <c r="C162" s="50" t="s">
        <v>6877</v>
      </c>
      <c r="D162" s="50" t="s">
        <v>7831</v>
      </c>
      <c r="E162" s="144">
        <v>43669.0</v>
      </c>
      <c r="F162" s="50" t="s">
        <v>15739</v>
      </c>
      <c r="G162" s="50">
        <v>57.0</v>
      </c>
      <c r="H162" s="50">
        <v>1.0</v>
      </c>
      <c r="I162" s="50">
        <v>12.0</v>
      </c>
      <c r="J162" s="116"/>
      <c r="K162" s="116"/>
      <c r="L162" s="50" t="s">
        <v>916</v>
      </c>
      <c r="M162" s="50" t="s">
        <v>916</v>
      </c>
      <c r="N162" s="50">
        <v>1.0</v>
      </c>
      <c r="O162" s="50" t="s">
        <v>8059</v>
      </c>
      <c r="P162" s="116"/>
      <c r="Q162" s="116"/>
      <c r="R162" s="50">
        <v>1.0</v>
      </c>
      <c r="S162" s="50" t="s">
        <v>14454</v>
      </c>
      <c r="T162" s="117">
        <v>3573.0</v>
      </c>
      <c r="U162" s="50" t="s">
        <v>15747</v>
      </c>
      <c r="V162" s="50" t="s">
        <v>15749</v>
      </c>
      <c r="W162" s="117">
        <v>162.0</v>
      </c>
    </row>
    <row r="163">
      <c r="A163" s="50" t="s">
        <v>15739</v>
      </c>
      <c r="B163" s="50" t="s">
        <v>6876</v>
      </c>
      <c r="C163" s="50" t="s">
        <v>6877</v>
      </c>
      <c r="D163" s="50" t="s">
        <v>7831</v>
      </c>
      <c r="E163" s="144">
        <v>43669.0</v>
      </c>
      <c r="F163" s="50" t="s">
        <v>15750</v>
      </c>
      <c r="G163" s="50">
        <v>57.0</v>
      </c>
      <c r="H163" s="50">
        <v>1.0</v>
      </c>
      <c r="I163" s="50">
        <v>12.0</v>
      </c>
      <c r="J163" s="116"/>
      <c r="K163" s="116"/>
      <c r="L163" s="50" t="s">
        <v>918</v>
      </c>
      <c r="M163" s="50" t="s">
        <v>918</v>
      </c>
      <c r="N163" s="50">
        <v>1.0</v>
      </c>
      <c r="O163" s="50" t="s">
        <v>8059</v>
      </c>
      <c r="P163" s="116"/>
      <c r="Q163" s="116"/>
      <c r="R163" s="50">
        <v>1.0</v>
      </c>
      <c r="S163" s="50" t="s">
        <v>14454</v>
      </c>
      <c r="T163" s="117">
        <v>3574.0</v>
      </c>
      <c r="U163" s="50" t="s">
        <v>15751</v>
      </c>
      <c r="V163" s="50" t="s">
        <v>15752</v>
      </c>
      <c r="W163" s="117">
        <v>163.0</v>
      </c>
    </row>
    <row r="164">
      <c r="A164" s="50" t="s">
        <v>15750</v>
      </c>
      <c r="B164" s="50" t="s">
        <v>6876</v>
      </c>
      <c r="C164" s="50" t="s">
        <v>6877</v>
      </c>
      <c r="D164" s="50" t="s">
        <v>7831</v>
      </c>
      <c r="E164" s="144">
        <v>43669.0</v>
      </c>
      <c r="F164" s="50" t="s">
        <v>15753</v>
      </c>
      <c r="G164" s="50">
        <v>55.0</v>
      </c>
      <c r="H164" s="50">
        <v>1.0</v>
      </c>
      <c r="I164" s="50">
        <v>12.0</v>
      </c>
      <c r="J164" s="116"/>
      <c r="K164" s="116"/>
      <c r="L164" s="50" t="s">
        <v>920</v>
      </c>
      <c r="M164" s="50" t="s">
        <v>920</v>
      </c>
      <c r="N164" s="50">
        <v>1.0</v>
      </c>
      <c r="O164" s="50" t="s">
        <v>15757</v>
      </c>
      <c r="P164" s="116"/>
      <c r="Q164" s="116"/>
      <c r="R164" s="50">
        <v>1.0</v>
      </c>
      <c r="S164" s="50" t="s">
        <v>14454</v>
      </c>
      <c r="T164" s="117">
        <v>3575.0</v>
      </c>
      <c r="U164" s="50" t="s">
        <v>15759</v>
      </c>
      <c r="V164" s="50" t="s">
        <v>15760</v>
      </c>
      <c r="W164" s="117">
        <v>164.0</v>
      </c>
    </row>
    <row r="165">
      <c r="A165" s="50" t="s">
        <v>15753</v>
      </c>
      <c r="B165" s="50" t="s">
        <v>6876</v>
      </c>
      <c r="C165" s="50" t="s">
        <v>6877</v>
      </c>
      <c r="D165" s="50" t="s">
        <v>7831</v>
      </c>
      <c r="E165" s="144">
        <v>43669.0</v>
      </c>
      <c r="F165" s="50" t="s">
        <v>15761</v>
      </c>
      <c r="G165" s="50">
        <v>65.0</v>
      </c>
      <c r="H165" s="50">
        <v>1.0</v>
      </c>
      <c r="I165" s="50">
        <v>12.0</v>
      </c>
      <c r="J165" s="116"/>
      <c r="K165" s="116"/>
      <c r="L165" s="50" t="s">
        <v>921</v>
      </c>
      <c r="M165" s="50" t="s">
        <v>921</v>
      </c>
      <c r="N165" s="50">
        <v>1.0</v>
      </c>
      <c r="O165" s="50" t="s">
        <v>8059</v>
      </c>
      <c r="P165" s="116"/>
      <c r="Q165" s="116"/>
      <c r="R165" s="50">
        <v>1.0</v>
      </c>
      <c r="S165" s="50" t="s">
        <v>14454</v>
      </c>
      <c r="T165" s="117">
        <v>3576.0</v>
      </c>
      <c r="U165" s="50" t="s">
        <v>15766</v>
      </c>
      <c r="V165" s="50" t="s">
        <v>15768</v>
      </c>
      <c r="W165" s="117">
        <v>165.0</v>
      </c>
    </row>
    <row r="166">
      <c r="A166" s="50" t="s">
        <v>15770</v>
      </c>
      <c r="B166" s="50" t="s">
        <v>6876</v>
      </c>
      <c r="C166" s="50" t="s">
        <v>6877</v>
      </c>
      <c r="D166" s="50" t="s">
        <v>7831</v>
      </c>
      <c r="E166" s="144">
        <v>43670.0</v>
      </c>
      <c r="F166" s="50" t="s">
        <v>15774</v>
      </c>
      <c r="G166" s="50">
        <v>33.0</v>
      </c>
      <c r="H166" s="50">
        <v>1.0</v>
      </c>
      <c r="I166" s="50">
        <v>98.0</v>
      </c>
      <c r="J166" s="116"/>
      <c r="K166" s="116"/>
      <c r="L166" s="50" t="s">
        <v>827</v>
      </c>
      <c r="M166" s="50" t="s">
        <v>827</v>
      </c>
      <c r="N166" s="50">
        <v>1.0</v>
      </c>
      <c r="O166" s="50" t="s">
        <v>8059</v>
      </c>
      <c r="P166" s="116"/>
      <c r="Q166" s="116"/>
      <c r="R166" s="50">
        <v>1.0</v>
      </c>
      <c r="S166" s="50" t="s">
        <v>14454</v>
      </c>
      <c r="T166" s="117">
        <v>3584.0</v>
      </c>
      <c r="U166" s="50" t="s">
        <v>15776</v>
      </c>
      <c r="V166" s="50" t="s">
        <v>15777</v>
      </c>
      <c r="W166" s="117">
        <v>166.0</v>
      </c>
    </row>
    <row r="167">
      <c r="A167" s="50" t="s">
        <v>15774</v>
      </c>
      <c r="B167" s="50" t="s">
        <v>6876</v>
      </c>
      <c r="C167" s="50" t="s">
        <v>6877</v>
      </c>
      <c r="D167" s="50" t="s">
        <v>7831</v>
      </c>
      <c r="E167" s="144">
        <v>43670.0</v>
      </c>
      <c r="F167" s="50" t="s">
        <v>15779</v>
      </c>
      <c r="G167" s="50">
        <v>33.0</v>
      </c>
      <c r="H167" s="50">
        <v>1.0</v>
      </c>
      <c r="I167" s="50">
        <v>98.0</v>
      </c>
      <c r="J167" s="116"/>
      <c r="K167" s="116"/>
      <c r="L167" s="50" t="s">
        <v>839</v>
      </c>
      <c r="M167" s="50" t="s">
        <v>839</v>
      </c>
      <c r="N167" s="50">
        <v>1.0</v>
      </c>
      <c r="O167" s="50" t="s">
        <v>8059</v>
      </c>
      <c r="P167" s="116"/>
      <c r="Q167" s="116"/>
      <c r="R167" s="50">
        <v>1.0</v>
      </c>
      <c r="S167" s="50" t="s">
        <v>14454</v>
      </c>
      <c r="T167" s="117">
        <v>3585.0</v>
      </c>
      <c r="U167" s="50" t="s">
        <v>15782</v>
      </c>
      <c r="V167" s="50" t="s">
        <v>15784</v>
      </c>
      <c r="W167" s="117">
        <v>167.0</v>
      </c>
    </row>
    <row r="168">
      <c r="A168" s="50" t="s">
        <v>15785</v>
      </c>
      <c r="B168" s="50" t="s">
        <v>6876</v>
      </c>
      <c r="C168" s="50" t="s">
        <v>6877</v>
      </c>
      <c r="D168" s="50" t="s">
        <v>7831</v>
      </c>
      <c r="E168" s="144">
        <v>43670.0</v>
      </c>
      <c r="F168" s="50" t="s">
        <v>15786</v>
      </c>
      <c r="G168" s="50">
        <v>33.0</v>
      </c>
      <c r="H168" s="50">
        <v>1.0</v>
      </c>
      <c r="I168" s="50">
        <v>98.0</v>
      </c>
      <c r="J168" s="116"/>
      <c r="K168" s="116"/>
      <c r="L168" s="50" t="s">
        <v>843</v>
      </c>
      <c r="M168" s="50" t="s">
        <v>843</v>
      </c>
      <c r="N168" s="50">
        <v>1.0</v>
      </c>
      <c r="O168" s="50" t="s">
        <v>15788</v>
      </c>
      <c r="P168" s="116"/>
      <c r="Q168" s="116"/>
      <c r="R168" s="50">
        <v>1.0</v>
      </c>
      <c r="S168" s="50" t="s">
        <v>14454</v>
      </c>
      <c r="T168" s="117">
        <v>3586.0</v>
      </c>
      <c r="U168" s="50" t="s">
        <v>15790</v>
      </c>
      <c r="V168" s="50" t="s">
        <v>15791</v>
      </c>
      <c r="W168" s="117">
        <v>168.0</v>
      </c>
    </row>
    <row r="169">
      <c r="A169" s="50" t="s">
        <v>15786</v>
      </c>
      <c r="B169" s="50" t="s">
        <v>6876</v>
      </c>
      <c r="C169" s="50" t="s">
        <v>6877</v>
      </c>
      <c r="D169" s="50" t="s">
        <v>7831</v>
      </c>
      <c r="E169" s="144">
        <v>43670.0</v>
      </c>
      <c r="F169" s="50" t="s">
        <v>15794</v>
      </c>
      <c r="G169" s="50">
        <v>33.0</v>
      </c>
      <c r="H169" s="50">
        <v>1.0</v>
      </c>
      <c r="I169" s="50">
        <v>98.0</v>
      </c>
      <c r="J169" s="116"/>
      <c r="K169" s="116"/>
      <c r="L169" s="50" t="s">
        <v>854</v>
      </c>
      <c r="M169" s="50" t="s">
        <v>854</v>
      </c>
      <c r="N169" s="50">
        <v>1.0</v>
      </c>
      <c r="O169" s="50" t="s">
        <v>15788</v>
      </c>
      <c r="P169" s="116"/>
      <c r="Q169" s="116"/>
      <c r="R169" s="50">
        <v>1.0</v>
      </c>
      <c r="S169" s="50" t="s">
        <v>14454</v>
      </c>
      <c r="T169" s="117">
        <v>3587.0</v>
      </c>
      <c r="U169" s="50" t="s">
        <v>15796</v>
      </c>
      <c r="V169" s="50" t="s">
        <v>15797</v>
      </c>
      <c r="W169" s="117">
        <v>169.0</v>
      </c>
    </row>
    <row r="170">
      <c r="A170" s="50" t="s">
        <v>15794</v>
      </c>
      <c r="B170" s="50" t="s">
        <v>6876</v>
      </c>
      <c r="C170" s="50" t="s">
        <v>6877</v>
      </c>
      <c r="D170" s="50" t="s">
        <v>7831</v>
      </c>
      <c r="E170" s="144">
        <v>43670.0</v>
      </c>
      <c r="F170" s="50" t="s">
        <v>15798</v>
      </c>
      <c r="G170" s="50">
        <v>33.0</v>
      </c>
      <c r="H170" s="50">
        <v>1.0</v>
      </c>
      <c r="I170" s="50">
        <v>98.0</v>
      </c>
      <c r="J170" s="116"/>
      <c r="K170" s="116"/>
      <c r="L170" s="50" t="s">
        <v>864</v>
      </c>
      <c r="M170" s="50" t="s">
        <v>864</v>
      </c>
      <c r="N170" s="50">
        <v>1.0</v>
      </c>
      <c r="O170" s="50" t="s">
        <v>15788</v>
      </c>
      <c r="P170" s="116"/>
      <c r="Q170" s="116"/>
      <c r="R170" s="50">
        <v>1.0</v>
      </c>
      <c r="S170" s="50" t="s">
        <v>14454</v>
      </c>
      <c r="T170" s="117">
        <v>3588.0</v>
      </c>
      <c r="U170" s="50" t="s">
        <v>15800</v>
      </c>
      <c r="V170" s="50" t="s">
        <v>15801</v>
      </c>
      <c r="W170" s="117">
        <v>170.0</v>
      </c>
    </row>
    <row r="171">
      <c r="A171" s="50" t="s">
        <v>15804</v>
      </c>
      <c r="B171" s="50" t="s">
        <v>6876</v>
      </c>
      <c r="C171" s="50" t="s">
        <v>6877</v>
      </c>
      <c r="D171" s="50" t="s">
        <v>7831</v>
      </c>
      <c r="E171" s="144">
        <v>43670.0</v>
      </c>
      <c r="F171" s="50" t="s">
        <v>15805</v>
      </c>
      <c r="G171" s="50">
        <v>33.0</v>
      </c>
      <c r="H171" s="50">
        <v>1.0</v>
      </c>
      <c r="I171" s="50">
        <v>98.0</v>
      </c>
      <c r="J171" s="116"/>
      <c r="K171" s="116"/>
      <c r="L171" s="50" t="s">
        <v>877</v>
      </c>
      <c r="M171" s="50" t="s">
        <v>877</v>
      </c>
      <c r="N171" s="50">
        <v>1.0</v>
      </c>
      <c r="O171" s="50" t="s">
        <v>8074</v>
      </c>
      <c r="P171" s="116"/>
      <c r="Q171" s="116"/>
      <c r="R171" s="50">
        <v>1.0</v>
      </c>
      <c r="S171" s="50" t="s">
        <v>14454</v>
      </c>
      <c r="T171" s="117">
        <v>3589.0</v>
      </c>
      <c r="U171" s="50" t="s">
        <v>15809</v>
      </c>
      <c r="V171" s="50" t="s">
        <v>15810</v>
      </c>
      <c r="W171" s="117">
        <v>171.0</v>
      </c>
    </row>
    <row r="172">
      <c r="A172" s="50" t="s">
        <v>15805</v>
      </c>
      <c r="B172" s="50" t="s">
        <v>6876</v>
      </c>
      <c r="C172" s="50" t="s">
        <v>6877</v>
      </c>
      <c r="D172" s="50" t="s">
        <v>7831</v>
      </c>
      <c r="E172" s="144">
        <v>43670.0</v>
      </c>
      <c r="F172" s="50" t="s">
        <v>15812</v>
      </c>
      <c r="G172" s="50">
        <v>33.0</v>
      </c>
      <c r="H172" s="50">
        <v>1.0</v>
      </c>
      <c r="I172" s="50">
        <v>98.0</v>
      </c>
      <c r="J172" s="116"/>
      <c r="K172" s="116"/>
      <c r="L172" s="50" t="s">
        <v>888</v>
      </c>
      <c r="M172" s="50" t="s">
        <v>888</v>
      </c>
      <c r="N172" s="50">
        <v>1.0</v>
      </c>
      <c r="O172" s="50" t="s">
        <v>15788</v>
      </c>
      <c r="P172" s="116"/>
      <c r="Q172" s="116"/>
      <c r="R172" s="50">
        <v>1.0</v>
      </c>
      <c r="S172" s="50" t="s">
        <v>14454</v>
      </c>
      <c r="T172" s="117">
        <v>3590.0</v>
      </c>
      <c r="U172" s="50" t="s">
        <v>15813</v>
      </c>
      <c r="V172" s="50" t="s">
        <v>15814</v>
      </c>
      <c r="W172" s="117">
        <v>172.0</v>
      </c>
    </row>
    <row r="173">
      <c r="A173" s="50" t="s">
        <v>15815</v>
      </c>
      <c r="B173" s="50" t="s">
        <v>6876</v>
      </c>
      <c r="C173" s="50" t="s">
        <v>6877</v>
      </c>
      <c r="D173" s="50" t="s">
        <v>7831</v>
      </c>
      <c r="E173" s="144">
        <v>43670.0</v>
      </c>
      <c r="F173" s="50" t="s">
        <v>15816</v>
      </c>
      <c r="G173" s="50">
        <v>33.0</v>
      </c>
      <c r="H173" s="50">
        <v>1.0</v>
      </c>
      <c r="I173" s="50">
        <v>98.0</v>
      </c>
      <c r="J173" s="116"/>
      <c r="K173" s="116"/>
      <c r="L173" s="50" t="s">
        <v>902</v>
      </c>
      <c r="M173" s="50" t="s">
        <v>902</v>
      </c>
      <c r="N173" s="50">
        <v>1.0</v>
      </c>
      <c r="O173" s="50" t="s">
        <v>15788</v>
      </c>
      <c r="P173" s="116"/>
      <c r="Q173" s="116"/>
      <c r="R173" s="50">
        <v>1.0</v>
      </c>
      <c r="S173" s="50" t="s">
        <v>14454</v>
      </c>
      <c r="T173" s="117">
        <v>3591.0</v>
      </c>
      <c r="U173" s="50" t="s">
        <v>15822</v>
      </c>
      <c r="V173" s="50" t="s">
        <v>15823</v>
      </c>
      <c r="W173" s="117">
        <v>173.0</v>
      </c>
    </row>
    <row r="174">
      <c r="A174" s="50" t="s">
        <v>15816</v>
      </c>
      <c r="B174" s="50" t="s">
        <v>6876</v>
      </c>
      <c r="C174" s="50" t="s">
        <v>6877</v>
      </c>
      <c r="D174" s="50" t="s">
        <v>7831</v>
      </c>
      <c r="E174" s="144">
        <v>43670.0</v>
      </c>
      <c r="F174" s="50" t="s">
        <v>15825</v>
      </c>
      <c r="G174" s="50">
        <v>33.0</v>
      </c>
      <c r="H174" s="50">
        <v>1.0</v>
      </c>
      <c r="I174" s="50">
        <v>98.0</v>
      </c>
      <c r="J174" s="116"/>
      <c r="K174" s="116"/>
      <c r="L174" s="50" t="s">
        <v>914</v>
      </c>
      <c r="M174" s="50" t="s">
        <v>914</v>
      </c>
      <c r="N174" s="50">
        <v>1.0</v>
      </c>
      <c r="O174" s="50" t="s">
        <v>8074</v>
      </c>
      <c r="P174" s="116"/>
      <c r="Q174" s="116"/>
      <c r="R174" s="50">
        <v>1.0</v>
      </c>
      <c r="S174" s="50" t="s">
        <v>14454</v>
      </c>
      <c r="T174" s="117">
        <v>3592.0</v>
      </c>
      <c r="U174" s="50" t="s">
        <v>15830</v>
      </c>
      <c r="V174" s="50" t="s">
        <v>15831</v>
      </c>
      <c r="W174" s="117">
        <v>174.0</v>
      </c>
    </row>
    <row r="175">
      <c r="A175" s="50" t="s">
        <v>15825</v>
      </c>
      <c r="B175" s="50" t="s">
        <v>6876</v>
      </c>
      <c r="C175" s="50" t="s">
        <v>6877</v>
      </c>
      <c r="D175" s="50" t="s">
        <v>7831</v>
      </c>
      <c r="E175" s="144">
        <v>43670.0</v>
      </c>
      <c r="F175" s="50" t="s">
        <v>15832</v>
      </c>
      <c r="G175" s="50">
        <v>33.0</v>
      </c>
      <c r="H175" s="50">
        <v>1.0</v>
      </c>
      <c r="I175" s="50">
        <v>98.0</v>
      </c>
      <c r="J175" s="116"/>
      <c r="K175" s="116"/>
      <c r="L175" s="50" t="s">
        <v>922</v>
      </c>
      <c r="M175" s="50" t="s">
        <v>922</v>
      </c>
      <c r="N175" s="50">
        <v>1.0</v>
      </c>
      <c r="O175" s="50" t="s">
        <v>8074</v>
      </c>
      <c r="P175" s="116"/>
      <c r="Q175" s="116"/>
      <c r="R175" s="50">
        <v>1.0</v>
      </c>
      <c r="S175" s="50" t="s">
        <v>14454</v>
      </c>
      <c r="T175" s="117">
        <v>3593.0</v>
      </c>
      <c r="U175" s="50" t="s">
        <v>15833</v>
      </c>
      <c r="V175" s="50" t="s">
        <v>15834</v>
      </c>
      <c r="W175" s="117">
        <v>175.0</v>
      </c>
    </row>
    <row r="176">
      <c r="A176" s="50" t="s">
        <v>15832</v>
      </c>
      <c r="B176" s="50" t="s">
        <v>6876</v>
      </c>
      <c r="C176" s="50" t="s">
        <v>6877</v>
      </c>
      <c r="D176" s="50" t="s">
        <v>7831</v>
      </c>
      <c r="E176" s="144">
        <v>43670.0</v>
      </c>
      <c r="F176" s="50" t="s">
        <v>15835</v>
      </c>
      <c r="G176" s="50">
        <v>57.0</v>
      </c>
      <c r="H176" s="50">
        <v>1.0</v>
      </c>
      <c r="I176" s="50">
        <v>99.0</v>
      </c>
      <c r="J176" s="116"/>
      <c r="K176" s="116"/>
      <c r="L176" s="50" t="s">
        <v>467</v>
      </c>
      <c r="M176" s="50" t="s">
        <v>467</v>
      </c>
      <c r="N176" s="50">
        <v>1.0</v>
      </c>
      <c r="O176" s="50" t="s">
        <v>15788</v>
      </c>
      <c r="P176" s="116"/>
      <c r="Q176" s="50" t="s">
        <v>15838</v>
      </c>
      <c r="R176" s="50">
        <v>1.0</v>
      </c>
      <c r="S176" s="50" t="s">
        <v>14454</v>
      </c>
      <c r="T176" s="117">
        <v>3594.0</v>
      </c>
      <c r="U176" s="50" t="s">
        <v>15840</v>
      </c>
      <c r="V176" s="50" t="s">
        <v>15842</v>
      </c>
      <c r="W176" s="117">
        <v>176.0</v>
      </c>
    </row>
    <row r="177">
      <c r="A177" s="50" t="s">
        <v>15835</v>
      </c>
      <c r="B177" s="50" t="s">
        <v>6876</v>
      </c>
      <c r="C177" s="50" t="s">
        <v>6877</v>
      </c>
      <c r="D177" s="50" t="s">
        <v>7831</v>
      </c>
      <c r="E177" s="144">
        <v>43670.0</v>
      </c>
      <c r="F177" s="50" t="s">
        <v>15845</v>
      </c>
      <c r="G177" s="50">
        <v>58.0</v>
      </c>
      <c r="H177" s="50">
        <v>1.0</v>
      </c>
      <c r="I177" s="50">
        <v>99.0</v>
      </c>
      <c r="J177" s="116"/>
      <c r="K177" s="116"/>
      <c r="L177" s="50" t="s">
        <v>744</v>
      </c>
      <c r="M177" s="50" t="s">
        <v>744</v>
      </c>
      <c r="N177" s="50">
        <v>1.0</v>
      </c>
      <c r="O177" s="50" t="s">
        <v>15788</v>
      </c>
      <c r="P177" s="116"/>
      <c r="Q177" s="116"/>
      <c r="R177" s="50">
        <v>1.0</v>
      </c>
      <c r="S177" s="50" t="s">
        <v>14454</v>
      </c>
      <c r="T177" s="117">
        <v>3595.0</v>
      </c>
      <c r="U177" s="50" t="s">
        <v>15847</v>
      </c>
      <c r="V177" s="50" t="s">
        <v>15848</v>
      </c>
      <c r="W177" s="117">
        <v>177.0</v>
      </c>
    </row>
    <row r="178">
      <c r="A178" s="50" t="s">
        <v>15845</v>
      </c>
      <c r="B178" s="50" t="s">
        <v>6876</v>
      </c>
      <c r="C178" s="50" t="s">
        <v>6877</v>
      </c>
      <c r="D178" s="50" t="s">
        <v>7831</v>
      </c>
      <c r="E178" s="144">
        <v>43670.0</v>
      </c>
      <c r="F178" s="50" t="s">
        <v>15849</v>
      </c>
      <c r="G178" s="50">
        <v>58.0</v>
      </c>
      <c r="H178" s="50">
        <v>1.0</v>
      </c>
      <c r="I178" s="50">
        <v>99.0</v>
      </c>
      <c r="J178" s="116"/>
      <c r="K178" s="116"/>
      <c r="L178" s="50" t="s">
        <v>751</v>
      </c>
      <c r="M178" s="50" t="s">
        <v>751</v>
      </c>
      <c r="N178" s="50">
        <v>1.0</v>
      </c>
      <c r="O178" s="50" t="s">
        <v>7936</v>
      </c>
      <c r="P178" s="116"/>
      <c r="Q178" s="116"/>
      <c r="R178" s="50">
        <v>2.0</v>
      </c>
      <c r="S178" s="50" t="s">
        <v>14454</v>
      </c>
      <c r="T178" s="117">
        <v>3596.0</v>
      </c>
      <c r="U178" s="50" t="s">
        <v>15853</v>
      </c>
      <c r="V178" s="50" t="s">
        <v>15854</v>
      </c>
      <c r="W178" s="117">
        <v>178.0</v>
      </c>
    </row>
    <row r="179">
      <c r="A179" s="50" t="s">
        <v>15849</v>
      </c>
      <c r="B179" s="50" t="s">
        <v>6876</v>
      </c>
      <c r="C179" s="50" t="s">
        <v>6877</v>
      </c>
      <c r="D179" s="50" t="s">
        <v>7831</v>
      </c>
      <c r="E179" s="144">
        <v>43670.0</v>
      </c>
      <c r="F179" s="50" t="s">
        <v>15855</v>
      </c>
      <c r="G179" s="50">
        <v>58.0</v>
      </c>
      <c r="H179" s="50">
        <v>1.0</v>
      </c>
      <c r="I179" s="50">
        <v>99.0</v>
      </c>
      <c r="J179" s="116"/>
      <c r="K179" s="116"/>
      <c r="L179" s="50" t="s">
        <v>813</v>
      </c>
      <c r="M179" s="50" t="s">
        <v>813</v>
      </c>
      <c r="N179" s="50">
        <v>1.0</v>
      </c>
      <c r="O179" s="50" t="s">
        <v>15788</v>
      </c>
      <c r="P179" s="116"/>
      <c r="Q179" s="50" t="s">
        <v>15857</v>
      </c>
      <c r="R179" s="50">
        <v>1.0</v>
      </c>
      <c r="S179" s="50" t="s">
        <v>14454</v>
      </c>
      <c r="T179" s="117">
        <v>3597.0</v>
      </c>
      <c r="U179" s="50" t="s">
        <v>15859</v>
      </c>
      <c r="V179" s="50" t="s">
        <v>15860</v>
      </c>
      <c r="W179" s="117">
        <v>179.0</v>
      </c>
    </row>
    <row r="180">
      <c r="A180" s="50" t="s">
        <v>15855</v>
      </c>
      <c r="B180" s="50" t="s">
        <v>6876</v>
      </c>
      <c r="C180" s="50" t="s">
        <v>6877</v>
      </c>
      <c r="D180" s="50" t="s">
        <v>7831</v>
      </c>
      <c r="E180" s="144">
        <v>43670.0</v>
      </c>
      <c r="F180" s="50" t="s">
        <v>15864</v>
      </c>
      <c r="G180" s="50">
        <v>58.0</v>
      </c>
      <c r="H180" s="50">
        <v>1.0</v>
      </c>
      <c r="I180" s="50">
        <v>99.0</v>
      </c>
      <c r="J180" s="116"/>
      <c r="K180" s="116"/>
      <c r="L180" s="50" t="s">
        <v>830</v>
      </c>
      <c r="M180" s="50" t="s">
        <v>830</v>
      </c>
      <c r="N180" s="50">
        <v>1.0</v>
      </c>
      <c r="O180" s="50" t="s">
        <v>8074</v>
      </c>
      <c r="P180" s="116"/>
      <c r="Q180" s="50" t="s">
        <v>15869</v>
      </c>
      <c r="R180" s="50">
        <v>1.0</v>
      </c>
      <c r="S180" s="50" t="s">
        <v>14454</v>
      </c>
      <c r="T180" s="117">
        <v>3598.0</v>
      </c>
      <c r="U180" s="50" t="s">
        <v>15870</v>
      </c>
      <c r="V180" s="50" t="s">
        <v>15871</v>
      </c>
      <c r="W180" s="117">
        <v>180.0</v>
      </c>
    </row>
    <row r="181">
      <c r="A181" s="50" t="s">
        <v>15864</v>
      </c>
      <c r="B181" s="50" t="s">
        <v>6876</v>
      </c>
      <c r="C181" s="50" t="s">
        <v>6877</v>
      </c>
      <c r="D181" s="50" t="s">
        <v>7831</v>
      </c>
      <c r="E181" s="144">
        <v>43670.0</v>
      </c>
      <c r="F181" s="50" t="s">
        <v>15873</v>
      </c>
      <c r="G181" s="50">
        <v>59.0</v>
      </c>
      <c r="H181" s="50">
        <v>1.0</v>
      </c>
      <c r="I181" s="50">
        <v>99.0</v>
      </c>
      <c r="J181" s="116"/>
      <c r="K181" s="116"/>
      <c r="L181" s="50" t="s">
        <v>851</v>
      </c>
      <c r="M181" s="50" t="s">
        <v>851</v>
      </c>
      <c r="N181" s="50">
        <v>1.0</v>
      </c>
      <c r="O181" s="50" t="s">
        <v>8074</v>
      </c>
      <c r="P181" s="116"/>
      <c r="Q181" s="50" t="s">
        <v>15874</v>
      </c>
      <c r="R181" s="50">
        <v>1.0</v>
      </c>
      <c r="S181" s="50" t="s">
        <v>14454</v>
      </c>
      <c r="T181" s="117">
        <v>3599.0</v>
      </c>
      <c r="U181" s="50" t="s">
        <v>15875</v>
      </c>
      <c r="V181" s="50" t="s">
        <v>15876</v>
      </c>
      <c r="W181" s="117">
        <v>181.0</v>
      </c>
    </row>
    <row r="182">
      <c r="A182" s="50" t="s">
        <v>15873</v>
      </c>
      <c r="B182" s="50" t="s">
        <v>6876</v>
      </c>
      <c r="C182" s="50" t="s">
        <v>6877</v>
      </c>
      <c r="D182" s="50" t="s">
        <v>7831</v>
      </c>
      <c r="E182" s="144">
        <v>43670.0</v>
      </c>
      <c r="F182" s="50" t="s">
        <v>15878</v>
      </c>
      <c r="G182" s="50">
        <v>59.0</v>
      </c>
      <c r="H182" s="50">
        <v>1.0</v>
      </c>
      <c r="I182" s="50">
        <v>99.0</v>
      </c>
      <c r="J182" s="116"/>
      <c r="K182" s="116"/>
      <c r="L182" s="50" t="s">
        <v>851</v>
      </c>
      <c r="M182" s="50" t="s">
        <v>851</v>
      </c>
      <c r="N182" s="50">
        <v>1.0</v>
      </c>
      <c r="O182" s="50" t="s">
        <v>8074</v>
      </c>
      <c r="P182" s="116"/>
      <c r="Q182" s="50" t="s">
        <v>15883</v>
      </c>
      <c r="R182" s="50">
        <v>1.0</v>
      </c>
      <c r="S182" s="50" t="s">
        <v>14454</v>
      </c>
      <c r="T182" s="117">
        <v>3600.0</v>
      </c>
      <c r="U182" s="50" t="s">
        <v>15885</v>
      </c>
      <c r="V182" s="50" t="s">
        <v>15887</v>
      </c>
      <c r="W182" s="117">
        <v>182.0</v>
      </c>
    </row>
    <row r="183">
      <c r="A183" s="50" t="s">
        <v>15878</v>
      </c>
      <c r="B183" s="50" t="s">
        <v>6876</v>
      </c>
      <c r="C183" s="50" t="s">
        <v>6877</v>
      </c>
      <c r="D183" s="50" t="s">
        <v>7831</v>
      </c>
      <c r="E183" s="144">
        <v>43670.0</v>
      </c>
      <c r="F183" s="50" t="s">
        <v>15890</v>
      </c>
      <c r="G183" s="50">
        <v>59.0</v>
      </c>
      <c r="H183" s="50">
        <v>1.0</v>
      </c>
      <c r="I183" s="50">
        <v>99.0</v>
      </c>
      <c r="J183" s="116"/>
      <c r="K183" s="116"/>
      <c r="L183" s="50" t="s">
        <v>858</v>
      </c>
      <c r="M183" s="50" t="s">
        <v>858</v>
      </c>
      <c r="N183" s="50">
        <v>1.0</v>
      </c>
      <c r="O183" s="50" t="s">
        <v>15788</v>
      </c>
      <c r="P183" s="116"/>
      <c r="Q183" s="50" t="s">
        <v>15891</v>
      </c>
      <c r="R183" s="50">
        <v>1.0</v>
      </c>
      <c r="S183" s="50" t="s">
        <v>14454</v>
      </c>
      <c r="T183" s="117">
        <v>3601.0</v>
      </c>
      <c r="U183" s="50" t="s">
        <v>15892</v>
      </c>
      <c r="V183" s="50" t="s">
        <v>15893</v>
      </c>
      <c r="W183" s="117">
        <v>183.0</v>
      </c>
    </row>
    <row r="184">
      <c r="A184" s="50" t="s">
        <v>15890</v>
      </c>
      <c r="B184" s="50" t="s">
        <v>6876</v>
      </c>
      <c r="C184" s="50" t="s">
        <v>6877</v>
      </c>
      <c r="D184" s="50" t="s">
        <v>7831</v>
      </c>
      <c r="E184" s="144">
        <v>43670.0</v>
      </c>
      <c r="F184" s="50" t="s">
        <v>15895</v>
      </c>
      <c r="G184" s="50">
        <v>57.0</v>
      </c>
      <c r="H184" s="50">
        <v>1.0</v>
      </c>
      <c r="I184" s="50">
        <v>99.0</v>
      </c>
      <c r="J184" s="116"/>
      <c r="K184" s="116"/>
      <c r="L184" s="50" t="s">
        <v>898</v>
      </c>
      <c r="M184" s="50" t="s">
        <v>898</v>
      </c>
      <c r="N184" s="50">
        <v>1.0</v>
      </c>
      <c r="O184" s="50" t="s">
        <v>15788</v>
      </c>
      <c r="P184" s="116"/>
      <c r="Q184" s="50" t="s">
        <v>15898</v>
      </c>
      <c r="R184" s="50">
        <v>1.0</v>
      </c>
      <c r="S184" s="50" t="s">
        <v>14454</v>
      </c>
      <c r="T184" s="117">
        <v>3602.0</v>
      </c>
      <c r="U184" s="50" t="s">
        <v>15900</v>
      </c>
      <c r="V184" s="50" t="s">
        <v>15901</v>
      </c>
      <c r="W184" s="117">
        <v>184.0</v>
      </c>
    </row>
    <row r="185">
      <c r="A185" s="50" t="s">
        <v>15895</v>
      </c>
      <c r="B185" s="50" t="s">
        <v>6876</v>
      </c>
      <c r="C185" s="50" t="s">
        <v>6877</v>
      </c>
      <c r="D185" s="50" t="s">
        <v>7831</v>
      </c>
      <c r="E185" s="144">
        <v>43670.0</v>
      </c>
      <c r="F185" s="50" t="s">
        <v>15902</v>
      </c>
      <c r="G185" s="50">
        <v>59.0</v>
      </c>
      <c r="H185" s="50">
        <v>1.0</v>
      </c>
      <c r="I185" s="50">
        <v>99.0</v>
      </c>
      <c r="J185" s="116"/>
      <c r="K185" s="116"/>
      <c r="L185" s="50" t="s">
        <v>910</v>
      </c>
      <c r="M185" s="50" t="s">
        <v>910</v>
      </c>
      <c r="N185" s="50">
        <v>1.0</v>
      </c>
      <c r="O185" s="50" t="s">
        <v>15788</v>
      </c>
      <c r="P185" s="116"/>
      <c r="Q185" s="50" t="s">
        <v>15903</v>
      </c>
      <c r="R185" s="50">
        <v>1.0</v>
      </c>
      <c r="S185" s="50" t="s">
        <v>14454</v>
      </c>
      <c r="T185" s="117">
        <v>3603.0</v>
      </c>
      <c r="U185" s="50" t="s">
        <v>15904</v>
      </c>
      <c r="V185" s="50" t="s">
        <v>15905</v>
      </c>
      <c r="W185" s="117">
        <v>185.0</v>
      </c>
    </row>
    <row r="186">
      <c r="A186" s="50" t="s">
        <v>15906</v>
      </c>
      <c r="B186" s="50" t="s">
        <v>6876</v>
      </c>
      <c r="C186" s="50" t="s">
        <v>6877</v>
      </c>
      <c r="D186" s="50" t="s">
        <v>8069</v>
      </c>
      <c r="E186" s="144">
        <v>43672.0</v>
      </c>
      <c r="F186" s="50" t="s">
        <v>15910</v>
      </c>
      <c r="G186" s="50">
        <v>58.0</v>
      </c>
      <c r="H186" s="50">
        <v>1.0</v>
      </c>
      <c r="I186" s="50">
        <v>11.0</v>
      </c>
      <c r="J186" s="116"/>
      <c r="K186" s="116"/>
      <c r="L186" s="50" t="s">
        <v>924</v>
      </c>
      <c r="M186" s="50" t="s">
        <v>924</v>
      </c>
      <c r="N186" s="50">
        <v>1.0</v>
      </c>
      <c r="O186" s="50" t="s">
        <v>15915</v>
      </c>
      <c r="P186" s="116"/>
      <c r="Q186" s="50" t="s">
        <v>15916</v>
      </c>
      <c r="R186" s="50">
        <v>1.0</v>
      </c>
      <c r="S186" s="50" t="s">
        <v>14454</v>
      </c>
      <c r="T186" s="117">
        <v>3632.0</v>
      </c>
      <c r="U186" s="50" t="s">
        <v>15918</v>
      </c>
      <c r="V186" s="50" t="s">
        <v>15919</v>
      </c>
      <c r="W186" s="117">
        <v>186.0</v>
      </c>
    </row>
    <row r="187">
      <c r="A187" s="50" t="s">
        <v>15910</v>
      </c>
      <c r="B187" s="50" t="s">
        <v>6876</v>
      </c>
      <c r="C187" s="50" t="s">
        <v>6877</v>
      </c>
      <c r="D187" s="50" t="s">
        <v>8069</v>
      </c>
      <c r="E187" s="144">
        <v>43672.0</v>
      </c>
      <c r="F187" s="50" t="s">
        <v>15921</v>
      </c>
      <c r="G187" s="50">
        <v>33.0</v>
      </c>
      <c r="H187" s="50">
        <v>1.0</v>
      </c>
      <c r="I187" s="50">
        <v>98.0</v>
      </c>
      <c r="J187" s="116"/>
      <c r="K187" s="116"/>
      <c r="L187" s="50" t="s">
        <v>928</v>
      </c>
      <c r="M187" s="50" t="s">
        <v>928</v>
      </c>
      <c r="N187" s="50">
        <v>1.0</v>
      </c>
      <c r="O187" s="50" t="s">
        <v>15915</v>
      </c>
      <c r="P187" s="116"/>
      <c r="Q187" s="116"/>
      <c r="R187" s="50">
        <v>1.0</v>
      </c>
      <c r="S187" s="50" t="s">
        <v>14454</v>
      </c>
      <c r="T187" s="117">
        <v>3633.0</v>
      </c>
      <c r="U187" s="50" t="s">
        <v>15922</v>
      </c>
      <c r="V187" s="50" t="s">
        <v>15923</v>
      </c>
      <c r="W187" s="117">
        <v>187.0</v>
      </c>
    </row>
    <row r="188">
      <c r="A188" s="50" t="s">
        <v>15921</v>
      </c>
      <c r="B188" s="50" t="s">
        <v>6876</v>
      </c>
      <c r="C188" s="50" t="s">
        <v>6877</v>
      </c>
      <c r="D188" s="50" t="s">
        <v>8069</v>
      </c>
      <c r="E188" s="144">
        <v>43672.0</v>
      </c>
      <c r="F188" s="50" t="s">
        <v>15924</v>
      </c>
      <c r="G188" s="50">
        <v>57.0</v>
      </c>
      <c r="H188" s="50">
        <v>1.0</v>
      </c>
      <c r="I188" s="50">
        <v>12.0</v>
      </c>
      <c r="J188" s="116"/>
      <c r="K188" s="116"/>
      <c r="L188" s="50" t="s">
        <v>929</v>
      </c>
      <c r="M188" s="50" t="s">
        <v>929</v>
      </c>
      <c r="N188" s="50">
        <v>1.0</v>
      </c>
      <c r="O188" s="50" t="s">
        <v>15915</v>
      </c>
      <c r="P188" s="116"/>
      <c r="Q188" s="116"/>
      <c r="R188" s="50">
        <v>1.0</v>
      </c>
      <c r="S188" s="50" t="s">
        <v>14454</v>
      </c>
      <c r="T188" s="117">
        <v>3634.0</v>
      </c>
      <c r="U188" s="50" t="s">
        <v>15925</v>
      </c>
      <c r="V188" s="50" t="s">
        <v>15926</v>
      </c>
      <c r="W188" s="117">
        <v>188.0</v>
      </c>
    </row>
    <row r="189">
      <c r="A189" s="50" t="s">
        <v>15924</v>
      </c>
      <c r="B189" s="50" t="s">
        <v>6876</v>
      </c>
      <c r="C189" s="50" t="s">
        <v>6877</v>
      </c>
      <c r="D189" s="50" t="s">
        <v>8069</v>
      </c>
      <c r="E189" s="144">
        <v>43672.0</v>
      </c>
      <c r="F189" s="50" t="s">
        <v>15927</v>
      </c>
      <c r="G189" s="50">
        <v>57.0</v>
      </c>
      <c r="H189" s="50">
        <v>1.0</v>
      </c>
      <c r="I189" s="50">
        <v>12.0</v>
      </c>
      <c r="J189" s="116"/>
      <c r="K189" s="116"/>
      <c r="L189" s="50" t="s">
        <v>931</v>
      </c>
      <c r="M189" s="50" t="s">
        <v>931</v>
      </c>
      <c r="N189" s="50">
        <v>1.0</v>
      </c>
      <c r="O189" s="50" t="s">
        <v>15915</v>
      </c>
      <c r="P189" s="116"/>
      <c r="Q189" s="116"/>
      <c r="R189" s="50">
        <v>1.0</v>
      </c>
      <c r="S189" s="50" t="s">
        <v>14454</v>
      </c>
      <c r="T189" s="117">
        <v>3635.0</v>
      </c>
      <c r="U189" s="50" t="s">
        <v>15931</v>
      </c>
      <c r="V189" s="50" t="s">
        <v>15932</v>
      </c>
      <c r="W189" s="117">
        <v>189.0</v>
      </c>
    </row>
    <row r="190">
      <c r="A190" s="50" t="s">
        <v>15927</v>
      </c>
      <c r="B190" s="50" t="s">
        <v>6876</v>
      </c>
      <c r="C190" s="50" t="s">
        <v>6877</v>
      </c>
      <c r="D190" s="50" t="s">
        <v>8069</v>
      </c>
      <c r="E190" s="144">
        <v>43672.0</v>
      </c>
      <c r="F190" s="50" t="s">
        <v>15933</v>
      </c>
      <c r="G190" s="50">
        <v>66.0</v>
      </c>
      <c r="H190" s="50">
        <v>1.0</v>
      </c>
      <c r="I190" s="50">
        <v>12.0</v>
      </c>
      <c r="J190" s="116"/>
      <c r="K190" s="116"/>
      <c r="L190" s="50" t="s">
        <v>934</v>
      </c>
      <c r="M190" s="50" t="s">
        <v>934</v>
      </c>
      <c r="N190" s="50">
        <v>1.0</v>
      </c>
      <c r="O190" s="50" t="s">
        <v>15915</v>
      </c>
      <c r="P190" s="116"/>
      <c r="Q190" s="116"/>
      <c r="R190" s="50">
        <v>1.0</v>
      </c>
      <c r="S190" s="50" t="s">
        <v>14454</v>
      </c>
      <c r="T190" s="117">
        <v>3636.0</v>
      </c>
      <c r="U190" s="50" t="s">
        <v>15939</v>
      </c>
      <c r="V190" s="50" t="s">
        <v>15941</v>
      </c>
      <c r="W190" s="117">
        <v>190.0</v>
      </c>
    </row>
    <row r="191">
      <c r="A191" s="50" t="s">
        <v>15933</v>
      </c>
      <c r="B191" s="50" t="s">
        <v>6876</v>
      </c>
      <c r="C191" s="50" t="s">
        <v>6877</v>
      </c>
      <c r="D191" s="50" t="s">
        <v>8069</v>
      </c>
      <c r="E191" s="144">
        <v>43672.0</v>
      </c>
      <c r="F191" s="50" t="s">
        <v>15945</v>
      </c>
      <c r="G191" s="50">
        <v>59.0</v>
      </c>
      <c r="H191" s="50">
        <v>1.0</v>
      </c>
      <c r="I191" s="50">
        <v>12.0</v>
      </c>
      <c r="J191" s="116"/>
      <c r="K191" s="116"/>
      <c r="L191" s="50" t="s">
        <v>937</v>
      </c>
      <c r="M191" s="50" t="s">
        <v>937</v>
      </c>
      <c r="N191" s="50">
        <v>1.0</v>
      </c>
      <c r="O191" s="50" t="s">
        <v>15915</v>
      </c>
      <c r="P191" s="116"/>
      <c r="Q191" s="116"/>
      <c r="R191" s="50">
        <v>1.0</v>
      </c>
      <c r="S191" s="50" t="s">
        <v>14454</v>
      </c>
      <c r="T191" s="117">
        <v>3637.0</v>
      </c>
      <c r="U191" s="50" t="s">
        <v>15947</v>
      </c>
      <c r="V191" s="50" t="s">
        <v>15948</v>
      </c>
      <c r="W191" s="117">
        <v>191.0</v>
      </c>
    </row>
    <row r="192">
      <c r="A192" s="50" t="s">
        <v>15945</v>
      </c>
      <c r="B192" s="50" t="s">
        <v>6876</v>
      </c>
      <c r="C192" s="50" t="s">
        <v>6877</v>
      </c>
      <c r="D192" s="50" t="s">
        <v>8069</v>
      </c>
      <c r="E192" s="144">
        <v>43672.0</v>
      </c>
      <c r="F192" s="50" t="s">
        <v>15951</v>
      </c>
      <c r="G192" s="50">
        <v>33.0</v>
      </c>
      <c r="H192" s="50">
        <v>1.0</v>
      </c>
      <c r="I192" s="50">
        <v>98.0</v>
      </c>
      <c r="J192" s="116"/>
      <c r="K192" s="116"/>
      <c r="L192" s="50" t="s">
        <v>945</v>
      </c>
      <c r="M192" s="50" t="s">
        <v>945</v>
      </c>
      <c r="N192" s="50">
        <v>1.0</v>
      </c>
      <c r="O192" s="50" t="s">
        <v>15915</v>
      </c>
      <c r="P192" s="116"/>
      <c r="Q192" s="116"/>
      <c r="R192" s="50">
        <v>1.0</v>
      </c>
      <c r="S192" s="50" t="s">
        <v>14454</v>
      </c>
      <c r="T192" s="117">
        <v>3638.0</v>
      </c>
      <c r="U192" s="50" t="s">
        <v>15954</v>
      </c>
      <c r="V192" s="50" t="s">
        <v>15956</v>
      </c>
      <c r="W192" s="117">
        <v>192.0</v>
      </c>
    </row>
    <row r="193">
      <c r="A193" s="50" t="s">
        <v>15951</v>
      </c>
      <c r="B193" s="50" t="s">
        <v>6876</v>
      </c>
      <c r="C193" s="50" t="s">
        <v>6877</v>
      </c>
      <c r="D193" s="50" t="s">
        <v>8069</v>
      </c>
      <c r="E193" s="144">
        <v>43672.0</v>
      </c>
      <c r="F193" s="50" t="s">
        <v>15957</v>
      </c>
      <c r="G193" s="50">
        <v>66.0</v>
      </c>
      <c r="H193" s="50">
        <v>1.0</v>
      </c>
      <c r="I193" s="50">
        <v>99.0</v>
      </c>
      <c r="J193" s="116"/>
      <c r="K193" s="116"/>
      <c r="L193" s="50" t="s">
        <v>939</v>
      </c>
      <c r="M193" s="50" t="s">
        <v>939</v>
      </c>
      <c r="N193" s="50">
        <v>1.0</v>
      </c>
      <c r="O193" s="50" t="s">
        <v>15915</v>
      </c>
      <c r="P193" s="116"/>
      <c r="Q193" s="50" t="s">
        <v>15958</v>
      </c>
      <c r="R193" s="50">
        <v>1.0</v>
      </c>
      <c r="S193" s="50" t="s">
        <v>14454</v>
      </c>
      <c r="T193" s="117">
        <v>3639.0</v>
      </c>
      <c r="U193" s="50" t="s">
        <v>15959</v>
      </c>
      <c r="V193" s="50" t="s">
        <v>15960</v>
      </c>
      <c r="W193" s="117">
        <v>193.0</v>
      </c>
    </row>
    <row r="194">
      <c r="A194" s="50" t="s">
        <v>15957</v>
      </c>
      <c r="B194" s="50" t="s">
        <v>6876</v>
      </c>
      <c r="C194" s="50" t="s">
        <v>6877</v>
      </c>
      <c r="D194" s="50" t="s">
        <v>8069</v>
      </c>
      <c r="E194" s="144">
        <v>43672.0</v>
      </c>
      <c r="F194" s="50" t="s">
        <v>15961</v>
      </c>
      <c r="G194" s="50">
        <v>58.0</v>
      </c>
      <c r="H194" s="50">
        <v>1.0</v>
      </c>
      <c r="I194" s="50">
        <v>8.0</v>
      </c>
      <c r="J194" s="116"/>
      <c r="K194" s="116"/>
      <c r="L194" s="50" t="s">
        <v>942</v>
      </c>
      <c r="M194" s="50" t="s">
        <v>942</v>
      </c>
      <c r="N194" s="50">
        <v>1.0</v>
      </c>
      <c r="O194" s="50" t="s">
        <v>15915</v>
      </c>
      <c r="P194" s="116"/>
      <c r="Q194" s="116"/>
      <c r="R194" s="50">
        <v>1.0</v>
      </c>
      <c r="S194" s="50" t="s">
        <v>14454</v>
      </c>
      <c r="T194" s="117">
        <v>3640.0</v>
      </c>
      <c r="U194" s="50" t="s">
        <v>15970</v>
      </c>
      <c r="V194" s="50" t="s">
        <v>15971</v>
      </c>
      <c r="W194" s="117">
        <v>194.0</v>
      </c>
    </row>
    <row r="195">
      <c r="A195" s="50" t="s">
        <v>15961</v>
      </c>
      <c r="B195" s="50" t="s">
        <v>6876</v>
      </c>
      <c r="C195" s="50" t="s">
        <v>6877</v>
      </c>
      <c r="D195" s="50" t="s">
        <v>8069</v>
      </c>
      <c r="E195" s="144">
        <v>43672.0</v>
      </c>
      <c r="F195" s="50" t="s">
        <v>15975</v>
      </c>
      <c r="G195" s="50">
        <v>58.0</v>
      </c>
      <c r="H195" s="50">
        <v>1.0</v>
      </c>
      <c r="I195" s="50">
        <v>8.0</v>
      </c>
      <c r="J195" s="116"/>
      <c r="K195" s="116"/>
      <c r="L195" s="50" t="s">
        <v>944</v>
      </c>
      <c r="M195" s="50" t="s">
        <v>944</v>
      </c>
      <c r="N195" s="50">
        <v>1.0</v>
      </c>
      <c r="O195" s="50" t="s">
        <v>15915</v>
      </c>
      <c r="P195" s="116"/>
      <c r="Q195" s="116"/>
      <c r="R195" s="50">
        <v>2.0</v>
      </c>
      <c r="S195" s="50" t="s">
        <v>14454</v>
      </c>
      <c r="T195" s="117">
        <v>3641.0</v>
      </c>
      <c r="U195" s="50" t="s">
        <v>15981</v>
      </c>
      <c r="V195" s="50" t="s">
        <v>15982</v>
      </c>
      <c r="W195" s="117">
        <v>195.0</v>
      </c>
    </row>
    <row r="196">
      <c r="A196" s="50" t="s">
        <v>15985</v>
      </c>
      <c r="B196" s="50" t="s">
        <v>6876</v>
      </c>
      <c r="C196" s="50" t="s">
        <v>6877</v>
      </c>
      <c r="D196" s="50" t="s">
        <v>8161</v>
      </c>
      <c r="E196" s="144">
        <v>43675.0</v>
      </c>
      <c r="F196" s="50" t="s">
        <v>15989</v>
      </c>
      <c r="G196" s="50">
        <v>58.0</v>
      </c>
      <c r="H196" s="50">
        <v>1.0</v>
      </c>
      <c r="I196" s="50">
        <v>10.0</v>
      </c>
      <c r="J196" s="116"/>
      <c r="K196" s="116"/>
      <c r="L196" s="50" t="s">
        <v>958</v>
      </c>
      <c r="M196" s="50" t="s">
        <v>958</v>
      </c>
      <c r="N196" s="50">
        <v>1.0</v>
      </c>
      <c r="O196" s="50" t="s">
        <v>15991</v>
      </c>
      <c r="P196" s="116"/>
      <c r="Q196" s="116"/>
      <c r="R196" s="50">
        <v>1.0</v>
      </c>
      <c r="S196" s="50" t="s">
        <v>14454</v>
      </c>
      <c r="T196" s="117">
        <v>3660.0</v>
      </c>
      <c r="U196" s="50" t="s">
        <v>15994</v>
      </c>
      <c r="V196" s="50" t="s">
        <v>15995</v>
      </c>
      <c r="W196" s="117">
        <v>196.0</v>
      </c>
    </row>
    <row r="197">
      <c r="A197" s="50" t="s">
        <v>15989</v>
      </c>
      <c r="B197" s="50" t="s">
        <v>6876</v>
      </c>
      <c r="C197" s="50" t="s">
        <v>6877</v>
      </c>
      <c r="D197" s="50" t="s">
        <v>8161</v>
      </c>
      <c r="E197" s="144">
        <v>43676.0</v>
      </c>
      <c r="F197" s="50" t="s">
        <v>15997</v>
      </c>
      <c r="G197" s="50">
        <v>59.0</v>
      </c>
      <c r="H197" s="50">
        <v>1.0</v>
      </c>
      <c r="I197" s="50">
        <v>11.0</v>
      </c>
      <c r="J197" s="116"/>
      <c r="K197" s="116"/>
      <c r="L197" s="50" t="s">
        <v>953</v>
      </c>
      <c r="M197" s="50" t="s">
        <v>953</v>
      </c>
      <c r="N197" s="50">
        <v>1.0</v>
      </c>
      <c r="O197" s="50" t="s">
        <v>15991</v>
      </c>
      <c r="P197" s="116"/>
      <c r="Q197" s="116"/>
      <c r="R197" s="50">
        <v>1.0</v>
      </c>
      <c r="S197" s="50" t="s">
        <v>14454</v>
      </c>
      <c r="T197" s="117">
        <v>3661.0</v>
      </c>
      <c r="U197" s="50" t="s">
        <v>15998</v>
      </c>
      <c r="V197" s="50" t="s">
        <v>15999</v>
      </c>
      <c r="W197" s="117">
        <v>197.0</v>
      </c>
    </row>
    <row r="198">
      <c r="A198" s="50" t="s">
        <v>15997</v>
      </c>
      <c r="B198" s="50" t="s">
        <v>6876</v>
      </c>
      <c r="C198" s="50" t="s">
        <v>6877</v>
      </c>
      <c r="D198" s="50" t="s">
        <v>8161</v>
      </c>
      <c r="E198" s="144">
        <v>43676.0</v>
      </c>
      <c r="F198" s="50" t="s">
        <v>16003</v>
      </c>
      <c r="G198" s="50">
        <v>59.0</v>
      </c>
      <c r="H198" s="50">
        <v>1.0</v>
      </c>
      <c r="I198" s="50">
        <v>99.0</v>
      </c>
      <c r="J198" s="116"/>
      <c r="K198" s="116"/>
      <c r="L198" s="50" t="s">
        <v>955</v>
      </c>
      <c r="M198" s="50" t="s">
        <v>955</v>
      </c>
      <c r="N198" s="50">
        <v>1.0</v>
      </c>
      <c r="O198" s="50" t="s">
        <v>15991</v>
      </c>
      <c r="P198" s="116"/>
      <c r="Q198" s="50" t="s">
        <v>16008</v>
      </c>
      <c r="R198" s="50">
        <v>1.0</v>
      </c>
      <c r="S198" s="50" t="s">
        <v>14454</v>
      </c>
      <c r="T198" s="117">
        <v>3662.0</v>
      </c>
      <c r="U198" s="50" t="s">
        <v>16012</v>
      </c>
      <c r="V198" s="50" t="s">
        <v>16014</v>
      </c>
      <c r="W198" s="117">
        <v>198.0</v>
      </c>
    </row>
    <row r="199">
      <c r="A199" s="50" t="s">
        <v>16003</v>
      </c>
      <c r="B199" s="50" t="s">
        <v>6876</v>
      </c>
      <c r="C199" s="50" t="s">
        <v>6877</v>
      </c>
      <c r="D199" s="50" t="s">
        <v>8161</v>
      </c>
      <c r="E199" s="144">
        <v>43676.0</v>
      </c>
      <c r="F199" s="50" t="s">
        <v>16016</v>
      </c>
      <c r="G199" s="50">
        <v>58.0</v>
      </c>
      <c r="H199" s="50">
        <v>1.0</v>
      </c>
      <c r="I199" s="50">
        <v>10.0</v>
      </c>
      <c r="J199" s="116"/>
      <c r="K199" s="116"/>
      <c r="L199" s="50" t="s">
        <v>959</v>
      </c>
      <c r="M199" s="50" t="s">
        <v>959</v>
      </c>
      <c r="N199" s="50">
        <v>1.0</v>
      </c>
      <c r="O199" s="50" t="s">
        <v>15991</v>
      </c>
      <c r="P199" s="116"/>
      <c r="Q199" s="116"/>
      <c r="R199" s="50">
        <v>1.0</v>
      </c>
      <c r="S199" s="50" t="s">
        <v>14454</v>
      </c>
      <c r="T199" s="117">
        <v>3663.0</v>
      </c>
      <c r="U199" s="50" t="s">
        <v>16018</v>
      </c>
      <c r="V199" s="50" t="s">
        <v>16019</v>
      </c>
      <c r="W199" s="117">
        <v>199.0</v>
      </c>
    </row>
    <row r="200">
      <c r="A200" s="50" t="s">
        <v>16016</v>
      </c>
      <c r="B200" s="50" t="s">
        <v>6876</v>
      </c>
      <c r="C200" s="50" t="s">
        <v>6877</v>
      </c>
      <c r="D200" s="50" t="s">
        <v>8161</v>
      </c>
      <c r="E200" s="144">
        <v>43676.0</v>
      </c>
      <c r="F200" s="50" t="s">
        <v>16023</v>
      </c>
      <c r="G200" s="50">
        <v>33.0</v>
      </c>
      <c r="H200" s="50">
        <v>1.0</v>
      </c>
      <c r="I200" s="50">
        <v>98.0</v>
      </c>
      <c r="J200" s="116"/>
      <c r="K200" s="116"/>
      <c r="L200" s="50" t="s">
        <v>962</v>
      </c>
      <c r="M200" s="50" t="s">
        <v>962</v>
      </c>
      <c r="N200" s="50">
        <v>1.0</v>
      </c>
      <c r="O200" s="50" t="s">
        <v>15991</v>
      </c>
      <c r="P200" s="116"/>
      <c r="Q200" s="116"/>
      <c r="R200" s="50">
        <v>1.0</v>
      </c>
      <c r="S200" s="50" t="s">
        <v>14454</v>
      </c>
      <c r="T200" s="117">
        <v>3664.0</v>
      </c>
      <c r="U200" s="50" t="s">
        <v>16028</v>
      </c>
      <c r="V200" s="50" t="s">
        <v>16029</v>
      </c>
      <c r="W200" s="117">
        <v>200.0</v>
      </c>
    </row>
    <row r="201">
      <c r="A201" s="50" t="s">
        <v>16023</v>
      </c>
      <c r="B201" s="50" t="s">
        <v>6876</v>
      </c>
      <c r="C201" s="50" t="s">
        <v>6877</v>
      </c>
      <c r="D201" s="50" t="s">
        <v>8161</v>
      </c>
      <c r="E201" s="144">
        <v>43676.0</v>
      </c>
      <c r="F201" s="50" t="s">
        <v>16033</v>
      </c>
      <c r="G201" s="50">
        <v>57.0</v>
      </c>
      <c r="H201" s="50">
        <v>1.0</v>
      </c>
      <c r="I201" s="50">
        <v>12.0</v>
      </c>
      <c r="J201" s="116"/>
      <c r="K201" s="116"/>
      <c r="L201" s="50" t="s">
        <v>966</v>
      </c>
      <c r="M201" s="50" t="s">
        <v>966</v>
      </c>
      <c r="N201" s="50">
        <v>1.0</v>
      </c>
      <c r="O201" s="50" t="s">
        <v>15991</v>
      </c>
      <c r="P201" s="116"/>
      <c r="Q201" s="116"/>
      <c r="R201" s="50">
        <v>1.0</v>
      </c>
      <c r="S201" s="50" t="s">
        <v>14454</v>
      </c>
      <c r="T201" s="117">
        <v>3665.0</v>
      </c>
      <c r="U201" s="50" t="s">
        <v>16037</v>
      </c>
      <c r="V201" s="50" t="s">
        <v>16038</v>
      </c>
      <c r="W201" s="117">
        <v>201.0</v>
      </c>
    </row>
    <row r="202">
      <c r="A202" s="50" t="s">
        <v>16033</v>
      </c>
      <c r="B202" s="50" t="s">
        <v>6876</v>
      </c>
      <c r="C202" s="50" t="s">
        <v>6877</v>
      </c>
      <c r="D202" s="50" t="s">
        <v>8161</v>
      </c>
      <c r="E202" s="144">
        <v>43676.0</v>
      </c>
      <c r="F202" s="50" t="s">
        <v>16039</v>
      </c>
      <c r="G202" s="50">
        <v>57.0</v>
      </c>
      <c r="H202" s="50">
        <v>1.0</v>
      </c>
      <c r="I202" s="50">
        <v>12.0</v>
      </c>
      <c r="J202" s="116"/>
      <c r="K202" s="116"/>
      <c r="L202" s="50" t="s">
        <v>967</v>
      </c>
      <c r="M202" s="50" t="s">
        <v>967</v>
      </c>
      <c r="N202" s="50">
        <v>1.0</v>
      </c>
      <c r="O202" s="50" t="s">
        <v>15991</v>
      </c>
      <c r="P202" s="116"/>
      <c r="Q202" s="116"/>
      <c r="R202" s="50">
        <v>1.0</v>
      </c>
      <c r="S202" s="50" t="s">
        <v>14454</v>
      </c>
      <c r="T202" s="117">
        <v>3666.0</v>
      </c>
      <c r="U202" s="50" t="s">
        <v>16041</v>
      </c>
      <c r="V202" s="50" t="s">
        <v>16042</v>
      </c>
      <c r="W202" s="117">
        <v>202.0</v>
      </c>
    </row>
    <row r="203">
      <c r="A203" s="50" t="s">
        <v>16039</v>
      </c>
      <c r="B203" s="50" t="s">
        <v>6876</v>
      </c>
      <c r="C203" s="50" t="s">
        <v>6877</v>
      </c>
      <c r="D203" s="50" t="s">
        <v>8161</v>
      </c>
      <c r="E203" s="144">
        <v>43676.0</v>
      </c>
      <c r="F203" s="50" t="s">
        <v>16046</v>
      </c>
      <c r="G203" s="50">
        <v>55.0</v>
      </c>
      <c r="H203" s="50">
        <v>1.0</v>
      </c>
      <c r="I203" s="50">
        <v>12.0</v>
      </c>
      <c r="J203" s="116"/>
      <c r="K203" s="116"/>
      <c r="L203" s="50" t="s">
        <v>969</v>
      </c>
      <c r="M203" s="50" t="s">
        <v>969</v>
      </c>
      <c r="N203" s="50">
        <v>1.0</v>
      </c>
      <c r="O203" s="50" t="s">
        <v>15991</v>
      </c>
      <c r="P203" s="116"/>
      <c r="Q203" s="116"/>
      <c r="R203" s="50">
        <v>1.0</v>
      </c>
      <c r="S203" s="50" t="s">
        <v>14454</v>
      </c>
      <c r="T203" s="117">
        <v>3667.0</v>
      </c>
      <c r="U203" s="50" t="s">
        <v>16051</v>
      </c>
      <c r="V203" s="50" t="s">
        <v>16052</v>
      </c>
      <c r="W203" s="117">
        <v>203.0</v>
      </c>
    </row>
    <row r="204">
      <c r="A204" s="50" t="s">
        <v>16053</v>
      </c>
      <c r="B204" s="50" t="s">
        <v>6876</v>
      </c>
      <c r="C204" s="50" t="s">
        <v>6877</v>
      </c>
      <c r="D204" s="50" t="s">
        <v>8161</v>
      </c>
      <c r="E204" s="144">
        <v>43676.0</v>
      </c>
      <c r="F204" s="50" t="s">
        <v>16055</v>
      </c>
      <c r="G204" s="50">
        <v>65.0</v>
      </c>
      <c r="H204" s="50">
        <v>1.0</v>
      </c>
      <c r="I204" s="50">
        <v>12.0</v>
      </c>
      <c r="J204" s="116"/>
      <c r="K204" s="116"/>
      <c r="L204" s="50" t="s">
        <v>970</v>
      </c>
      <c r="M204" s="50" t="s">
        <v>970</v>
      </c>
      <c r="N204" s="50">
        <v>1.0</v>
      </c>
      <c r="O204" s="50" t="s">
        <v>15991</v>
      </c>
      <c r="P204" s="116"/>
      <c r="Q204" s="116"/>
      <c r="R204" s="50">
        <v>1.0</v>
      </c>
      <c r="S204" s="50" t="s">
        <v>14454</v>
      </c>
      <c r="T204" s="117">
        <v>3668.0</v>
      </c>
      <c r="U204" s="50" t="s">
        <v>16059</v>
      </c>
      <c r="V204" s="50" t="s">
        <v>16060</v>
      </c>
      <c r="W204" s="117">
        <v>204.0</v>
      </c>
    </row>
    <row r="205">
      <c r="A205" s="50" t="s">
        <v>16055</v>
      </c>
      <c r="B205" s="50" t="s">
        <v>6876</v>
      </c>
      <c r="C205" s="50" t="s">
        <v>6877</v>
      </c>
      <c r="D205" s="50" t="s">
        <v>8161</v>
      </c>
      <c r="E205" s="144">
        <v>43676.0</v>
      </c>
      <c r="F205" s="50" t="s">
        <v>16061</v>
      </c>
      <c r="G205" s="50">
        <v>33.0</v>
      </c>
      <c r="H205" s="50">
        <v>1.0</v>
      </c>
      <c r="I205" s="50">
        <v>98.0</v>
      </c>
      <c r="J205" s="116"/>
      <c r="K205" s="116"/>
      <c r="L205" s="50" t="s">
        <v>972</v>
      </c>
      <c r="M205" s="50" t="s">
        <v>972</v>
      </c>
      <c r="N205" s="50">
        <v>1.0</v>
      </c>
      <c r="O205" s="50" t="s">
        <v>15991</v>
      </c>
      <c r="P205" s="116"/>
      <c r="Q205" s="116"/>
      <c r="R205" s="50">
        <v>1.0</v>
      </c>
      <c r="S205" s="50" t="s">
        <v>14454</v>
      </c>
      <c r="T205" s="117">
        <v>3669.0</v>
      </c>
      <c r="U205" s="50" t="s">
        <v>16066</v>
      </c>
      <c r="V205" s="50" t="s">
        <v>16068</v>
      </c>
      <c r="W205" s="117">
        <v>205.0</v>
      </c>
    </row>
    <row r="206">
      <c r="A206" s="50" t="s">
        <v>16070</v>
      </c>
      <c r="B206" s="50" t="s">
        <v>6876</v>
      </c>
      <c r="C206" s="50" t="s">
        <v>6877</v>
      </c>
      <c r="D206" s="50" t="s">
        <v>8161</v>
      </c>
      <c r="E206" s="144">
        <v>43678.0</v>
      </c>
      <c r="F206" s="50" t="s">
        <v>16072</v>
      </c>
      <c r="G206" s="50">
        <v>58.0</v>
      </c>
      <c r="H206" s="50">
        <v>1.0</v>
      </c>
      <c r="I206" s="50">
        <v>2.0</v>
      </c>
      <c r="J206" s="116"/>
      <c r="K206" s="116"/>
      <c r="L206" s="50" t="s">
        <v>978</v>
      </c>
      <c r="M206" s="50" t="s">
        <v>978</v>
      </c>
      <c r="N206" s="50">
        <v>1.0</v>
      </c>
      <c r="O206" s="50" t="s">
        <v>16076</v>
      </c>
      <c r="P206" s="116"/>
      <c r="Q206" s="116"/>
      <c r="R206" s="50">
        <v>1.0</v>
      </c>
      <c r="S206" s="50" t="s">
        <v>14454</v>
      </c>
      <c r="T206" s="117">
        <v>3704.0</v>
      </c>
      <c r="U206" s="50" t="s">
        <v>16078</v>
      </c>
      <c r="V206" s="50" t="s">
        <v>16079</v>
      </c>
      <c r="W206" s="117">
        <v>206.0</v>
      </c>
    </row>
    <row r="207">
      <c r="A207" s="50" t="s">
        <v>16072</v>
      </c>
      <c r="B207" s="50" t="s">
        <v>6876</v>
      </c>
      <c r="C207" s="50" t="s">
        <v>6877</v>
      </c>
      <c r="D207" s="50" t="s">
        <v>8161</v>
      </c>
      <c r="E207" s="144">
        <v>43678.0</v>
      </c>
      <c r="F207" s="50" t="s">
        <v>16081</v>
      </c>
      <c r="G207" s="50">
        <v>58.0</v>
      </c>
      <c r="H207" s="50">
        <v>1.0</v>
      </c>
      <c r="I207" s="50">
        <v>2.0</v>
      </c>
      <c r="J207" s="116"/>
      <c r="K207" s="116"/>
      <c r="L207" s="50" t="s">
        <v>979</v>
      </c>
      <c r="M207" s="50" t="s">
        <v>979</v>
      </c>
      <c r="N207" s="50">
        <v>1.0</v>
      </c>
      <c r="O207" s="50" t="s">
        <v>16076</v>
      </c>
      <c r="P207" s="116"/>
      <c r="Q207" s="116"/>
      <c r="R207" s="50">
        <v>1.0</v>
      </c>
      <c r="S207" s="50" t="s">
        <v>14454</v>
      </c>
      <c r="T207" s="117">
        <v>3705.0</v>
      </c>
      <c r="U207" s="50" t="s">
        <v>16086</v>
      </c>
      <c r="V207" s="50" t="s">
        <v>16087</v>
      </c>
      <c r="W207" s="117">
        <v>207.0</v>
      </c>
    </row>
    <row r="208">
      <c r="A208" s="50" t="s">
        <v>16081</v>
      </c>
      <c r="B208" s="50" t="s">
        <v>6876</v>
      </c>
      <c r="C208" s="50" t="s">
        <v>6877</v>
      </c>
      <c r="D208" s="50" t="s">
        <v>8161</v>
      </c>
      <c r="E208" s="144">
        <v>43678.0</v>
      </c>
      <c r="F208" s="50" t="s">
        <v>16089</v>
      </c>
      <c r="G208" s="50">
        <v>58.0</v>
      </c>
      <c r="H208" s="50">
        <v>1.0</v>
      </c>
      <c r="I208" s="50">
        <v>2.0</v>
      </c>
      <c r="J208" s="116"/>
      <c r="K208" s="116"/>
      <c r="L208" s="50" t="s">
        <v>981</v>
      </c>
      <c r="M208" s="50" t="s">
        <v>981</v>
      </c>
      <c r="N208" s="50">
        <v>1.0</v>
      </c>
      <c r="O208" s="50" t="s">
        <v>16076</v>
      </c>
      <c r="P208" s="116"/>
      <c r="Q208" s="116"/>
      <c r="R208" s="50">
        <v>1.0</v>
      </c>
      <c r="S208" s="50" t="s">
        <v>14454</v>
      </c>
      <c r="T208" s="117">
        <v>3706.0</v>
      </c>
      <c r="U208" s="50" t="s">
        <v>16094</v>
      </c>
      <c r="V208" s="50" t="s">
        <v>16096</v>
      </c>
      <c r="W208" s="117">
        <v>208.0</v>
      </c>
    </row>
    <row r="209">
      <c r="A209" s="50" t="s">
        <v>16089</v>
      </c>
      <c r="B209" s="50" t="s">
        <v>6876</v>
      </c>
      <c r="C209" s="50" t="s">
        <v>6877</v>
      </c>
      <c r="D209" s="50" t="s">
        <v>8161</v>
      </c>
      <c r="E209" s="144">
        <v>43678.0</v>
      </c>
      <c r="F209" s="50" t="s">
        <v>16100</v>
      </c>
      <c r="G209" s="50">
        <v>58.0</v>
      </c>
      <c r="H209" s="50">
        <v>1.0</v>
      </c>
      <c r="I209" s="50">
        <v>11.0</v>
      </c>
      <c r="J209" s="116"/>
      <c r="K209" s="116"/>
      <c r="L209" s="50" t="s">
        <v>973</v>
      </c>
      <c r="M209" s="50" t="s">
        <v>973</v>
      </c>
      <c r="N209" s="50">
        <v>1.0</v>
      </c>
      <c r="O209" s="50" t="s">
        <v>16076</v>
      </c>
      <c r="P209" s="116"/>
      <c r="Q209" s="50" t="s">
        <v>16105</v>
      </c>
      <c r="R209" s="50">
        <v>1.0</v>
      </c>
      <c r="S209" s="50" t="s">
        <v>14454</v>
      </c>
      <c r="T209" s="117">
        <v>3707.0</v>
      </c>
      <c r="U209" s="50" t="s">
        <v>16106</v>
      </c>
      <c r="V209" s="50" t="s">
        <v>16107</v>
      </c>
      <c r="W209" s="117">
        <v>209.0</v>
      </c>
    </row>
    <row r="210">
      <c r="A210" s="50" t="s">
        <v>16100</v>
      </c>
      <c r="B210" s="50" t="s">
        <v>6876</v>
      </c>
      <c r="C210" s="50" t="s">
        <v>6877</v>
      </c>
      <c r="D210" s="50" t="s">
        <v>8161</v>
      </c>
      <c r="E210" s="144">
        <v>43678.0</v>
      </c>
      <c r="F210" s="50" t="s">
        <v>16109</v>
      </c>
      <c r="G210" s="50">
        <v>33.0</v>
      </c>
      <c r="H210" s="50">
        <v>1.0</v>
      </c>
      <c r="I210" s="50">
        <v>98.0</v>
      </c>
      <c r="J210" s="116"/>
      <c r="K210" s="116"/>
      <c r="L210" s="50" t="s">
        <v>982</v>
      </c>
      <c r="M210" s="50" t="s">
        <v>982</v>
      </c>
      <c r="N210" s="50">
        <v>1.0</v>
      </c>
      <c r="O210" s="50" t="s">
        <v>16076</v>
      </c>
      <c r="P210" s="116"/>
      <c r="Q210" s="116"/>
      <c r="R210" s="50">
        <v>1.0</v>
      </c>
      <c r="S210" s="50" t="s">
        <v>14454</v>
      </c>
      <c r="T210" s="117">
        <v>3708.0</v>
      </c>
      <c r="U210" s="50" t="s">
        <v>16113</v>
      </c>
      <c r="V210" s="50" t="s">
        <v>16114</v>
      </c>
      <c r="W210" s="117">
        <v>210.0</v>
      </c>
    </row>
    <row r="211">
      <c r="A211" s="50" t="s">
        <v>16109</v>
      </c>
      <c r="B211" s="50" t="s">
        <v>6876</v>
      </c>
      <c r="C211" s="50" t="s">
        <v>6877</v>
      </c>
      <c r="D211" s="50" t="s">
        <v>8161</v>
      </c>
      <c r="E211" s="144">
        <v>43678.0</v>
      </c>
      <c r="F211" s="50" t="s">
        <v>16117</v>
      </c>
      <c r="G211" s="50">
        <v>58.0</v>
      </c>
      <c r="H211" s="50">
        <v>1.0</v>
      </c>
      <c r="I211" s="50">
        <v>99.0</v>
      </c>
      <c r="J211" s="116"/>
      <c r="K211" s="116"/>
      <c r="L211" s="50" t="s">
        <v>975</v>
      </c>
      <c r="M211" s="50" t="s">
        <v>975</v>
      </c>
      <c r="N211" s="50">
        <v>1.0</v>
      </c>
      <c r="O211" s="50" t="s">
        <v>16076</v>
      </c>
      <c r="P211" s="116"/>
      <c r="Q211" s="50" t="s">
        <v>16121</v>
      </c>
      <c r="R211" s="50">
        <v>1.0</v>
      </c>
      <c r="S211" s="50" t="s">
        <v>14454</v>
      </c>
      <c r="T211" s="117">
        <v>3709.0</v>
      </c>
      <c r="U211" s="50" t="s">
        <v>16123</v>
      </c>
      <c r="V211" s="50" t="s">
        <v>16125</v>
      </c>
      <c r="W211" s="117">
        <v>211.0</v>
      </c>
    </row>
    <row r="212">
      <c r="A212" s="50" t="s">
        <v>16126</v>
      </c>
      <c r="B212" s="50" t="s">
        <v>6876</v>
      </c>
      <c r="C212" s="50" t="s">
        <v>6877</v>
      </c>
      <c r="D212" s="50" t="s">
        <v>8493</v>
      </c>
      <c r="E212" s="144">
        <v>43686.0</v>
      </c>
      <c r="F212" s="50" t="s">
        <v>16128</v>
      </c>
      <c r="G212" s="50">
        <v>57.0</v>
      </c>
      <c r="H212" s="50">
        <v>1.0</v>
      </c>
      <c r="I212" s="50">
        <v>12.0</v>
      </c>
      <c r="J212" s="116"/>
      <c r="K212" s="116"/>
      <c r="L212" s="50" t="s">
        <v>1012</v>
      </c>
      <c r="M212" s="50" t="s">
        <v>1012</v>
      </c>
      <c r="N212" s="50">
        <v>1.0</v>
      </c>
      <c r="O212" s="50" t="s">
        <v>16129</v>
      </c>
      <c r="P212" s="116"/>
      <c r="Q212" s="116"/>
      <c r="R212" s="50">
        <v>1.0</v>
      </c>
      <c r="S212" s="50" t="s">
        <v>14454</v>
      </c>
      <c r="T212" s="117">
        <v>3814.0</v>
      </c>
      <c r="U212" s="50" t="s">
        <v>16130</v>
      </c>
      <c r="V212" s="50" t="s">
        <v>16131</v>
      </c>
      <c r="W212" s="117">
        <v>212.0</v>
      </c>
    </row>
    <row r="213">
      <c r="A213" s="50" t="s">
        <v>16128</v>
      </c>
      <c r="B213" s="50" t="s">
        <v>6876</v>
      </c>
      <c r="C213" s="50" t="s">
        <v>6877</v>
      </c>
      <c r="D213" s="50" t="s">
        <v>8493</v>
      </c>
      <c r="E213" s="144">
        <v>43686.0</v>
      </c>
      <c r="F213" s="50" t="s">
        <v>16135</v>
      </c>
      <c r="G213" s="50">
        <v>57.0</v>
      </c>
      <c r="H213" s="50">
        <v>1.0</v>
      </c>
      <c r="I213" s="50">
        <v>12.0</v>
      </c>
      <c r="J213" s="116"/>
      <c r="K213" s="116"/>
      <c r="L213" s="50" t="s">
        <v>1013</v>
      </c>
      <c r="M213" s="50" t="s">
        <v>1013</v>
      </c>
      <c r="N213" s="50">
        <v>1.0</v>
      </c>
      <c r="O213" s="50" t="s">
        <v>16129</v>
      </c>
      <c r="P213" s="116"/>
      <c r="Q213" s="116"/>
      <c r="R213" s="50">
        <v>1.0</v>
      </c>
      <c r="S213" s="50" t="s">
        <v>14454</v>
      </c>
      <c r="T213" s="117">
        <v>3815.0</v>
      </c>
      <c r="U213" s="50" t="s">
        <v>16140</v>
      </c>
      <c r="V213" s="50" t="s">
        <v>16142</v>
      </c>
      <c r="W213" s="117">
        <v>213.0</v>
      </c>
    </row>
    <row r="214">
      <c r="A214" s="50" t="s">
        <v>16135</v>
      </c>
      <c r="B214" s="50" t="s">
        <v>6876</v>
      </c>
      <c r="C214" s="50" t="s">
        <v>6877</v>
      </c>
      <c r="D214" s="50" t="s">
        <v>8493</v>
      </c>
      <c r="E214" s="144">
        <v>43686.0</v>
      </c>
      <c r="F214" s="50" t="s">
        <v>16144</v>
      </c>
      <c r="G214" s="50">
        <v>55.0</v>
      </c>
      <c r="H214" s="50">
        <v>1.0</v>
      </c>
      <c r="I214" s="50">
        <v>12.0</v>
      </c>
      <c r="J214" s="116"/>
      <c r="K214" s="116"/>
      <c r="L214" s="50" t="s">
        <v>1014</v>
      </c>
      <c r="M214" s="50" t="s">
        <v>1014</v>
      </c>
      <c r="N214" s="50">
        <v>1.0</v>
      </c>
      <c r="O214" s="50" t="s">
        <v>16129</v>
      </c>
      <c r="P214" s="116"/>
      <c r="Q214" s="116"/>
      <c r="R214" s="50">
        <v>1.0</v>
      </c>
      <c r="S214" s="50" t="s">
        <v>14454</v>
      </c>
      <c r="T214" s="117">
        <v>3816.0</v>
      </c>
      <c r="U214" s="50" t="s">
        <v>16147</v>
      </c>
      <c r="V214" s="50" t="s">
        <v>16149</v>
      </c>
      <c r="W214" s="117">
        <v>214.0</v>
      </c>
    </row>
    <row r="215">
      <c r="A215" s="50" t="s">
        <v>16144</v>
      </c>
      <c r="B215" s="50" t="s">
        <v>6876</v>
      </c>
      <c r="C215" s="50" t="s">
        <v>6877</v>
      </c>
      <c r="D215" s="50" t="s">
        <v>8493</v>
      </c>
      <c r="E215" s="144">
        <v>43686.0</v>
      </c>
      <c r="F215" s="50" t="s">
        <v>16151</v>
      </c>
      <c r="G215" s="50">
        <v>65.0</v>
      </c>
      <c r="H215" s="50">
        <v>1.0</v>
      </c>
      <c r="I215" s="50">
        <v>12.0</v>
      </c>
      <c r="J215" s="116"/>
      <c r="K215" s="116"/>
      <c r="L215" s="50" t="s">
        <v>1016</v>
      </c>
      <c r="M215" s="50" t="s">
        <v>1016</v>
      </c>
      <c r="N215" s="50">
        <v>1.0</v>
      </c>
      <c r="O215" s="50" t="s">
        <v>16129</v>
      </c>
      <c r="P215" s="116"/>
      <c r="Q215" s="116"/>
      <c r="R215" s="50">
        <v>1.0</v>
      </c>
      <c r="S215" s="50" t="s">
        <v>14454</v>
      </c>
      <c r="T215" s="117">
        <v>3817.0</v>
      </c>
      <c r="U215" s="50" t="s">
        <v>16153</v>
      </c>
      <c r="V215" s="50" t="s">
        <v>16154</v>
      </c>
      <c r="W215" s="117">
        <v>215.0</v>
      </c>
    </row>
    <row r="216">
      <c r="A216" s="50" t="s">
        <v>16151</v>
      </c>
      <c r="B216" s="50" t="s">
        <v>6876</v>
      </c>
      <c r="C216" s="50" t="s">
        <v>6877</v>
      </c>
      <c r="D216" s="50" t="s">
        <v>8493</v>
      </c>
      <c r="E216" s="144">
        <v>43686.0</v>
      </c>
      <c r="F216" s="50" t="s">
        <v>16156</v>
      </c>
      <c r="G216" s="50">
        <v>33.0</v>
      </c>
      <c r="H216" s="50">
        <v>1.0</v>
      </c>
      <c r="I216" s="50">
        <v>98.0</v>
      </c>
      <c r="J216" s="116"/>
      <c r="K216" s="116"/>
      <c r="L216" s="50" t="s">
        <v>1021</v>
      </c>
      <c r="M216" s="50" t="s">
        <v>1021</v>
      </c>
      <c r="N216" s="50">
        <v>1.0</v>
      </c>
      <c r="O216" s="50" t="s">
        <v>16129</v>
      </c>
      <c r="P216" s="116"/>
      <c r="Q216" s="116"/>
      <c r="R216" s="50">
        <v>1.0</v>
      </c>
      <c r="S216" s="50" t="s">
        <v>14454</v>
      </c>
      <c r="T216" s="117">
        <v>3818.0</v>
      </c>
      <c r="U216" s="50" t="s">
        <v>16165</v>
      </c>
      <c r="V216" s="50" t="s">
        <v>16166</v>
      </c>
      <c r="W216" s="117">
        <v>216.0</v>
      </c>
    </row>
    <row r="217">
      <c r="A217" s="50" t="s">
        <v>16156</v>
      </c>
      <c r="B217" s="50" t="s">
        <v>6876</v>
      </c>
      <c r="C217" s="50" t="s">
        <v>6877</v>
      </c>
      <c r="D217" s="50" t="s">
        <v>8493</v>
      </c>
      <c r="E217" s="144">
        <v>43686.0</v>
      </c>
      <c r="F217" s="50" t="s">
        <v>16167</v>
      </c>
      <c r="G217" s="50">
        <v>58.0</v>
      </c>
      <c r="H217" s="50">
        <v>1.0</v>
      </c>
      <c r="I217" s="50">
        <v>8.0</v>
      </c>
      <c r="J217" s="116"/>
      <c r="K217" s="116"/>
      <c r="L217" s="50" t="s">
        <v>1033</v>
      </c>
      <c r="M217" s="50" t="s">
        <v>1033</v>
      </c>
      <c r="N217" s="50">
        <v>1.0</v>
      </c>
      <c r="O217" s="50" t="s">
        <v>16129</v>
      </c>
      <c r="P217" s="116"/>
      <c r="Q217" s="116"/>
      <c r="R217" s="50">
        <v>1.0</v>
      </c>
      <c r="S217" s="50" t="s">
        <v>14454</v>
      </c>
      <c r="T217" s="117">
        <v>3819.0</v>
      </c>
      <c r="U217" s="50" t="s">
        <v>16169</v>
      </c>
      <c r="V217" s="50" t="s">
        <v>16170</v>
      </c>
      <c r="W217" s="117">
        <v>217.0</v>
      </c>
    </row>
    <row r="218">
      <c r="A218" s="50" t="s">
        <v>16167</v>
      </c>
      <c r="B218" s="50" t="s">
        <v>6876</v>
      </c>
      <c r="C218" s="50" t="s">
        <v>6877</v>
      </c>
      <c r="D218" s="50" t="s">
        <v>8493</v>
      </c>
      <c r="E218" s="144">
        <v>43686.0</v>
      </c>
      <c r="F218" s="50" t="s">
        <v>16174</v>
      </c>
      <c r="G218" s="50">
        <v>58.0</v>
      </c>
      <c r="H218" s="50">
        <v>1.0</v>
      </c>
      <c r="I218" s="50">
        <v>11.0</v>
      </c>
      <c r="J218" s="116"/>
      <c r="K218" s="116"/>
      <c r="L218" s="50" t="s">
        <v>1028</v>
      </c>
      <c r="M218" s="50" t="s">
        <v>1028</v>
      </c>
      <c r="N218" s="50">
        <v>1.0</v>
      </c>
      <c r="O218" s="50" t="s">
        <v>16129</v>
      </c>
      <c r="P218" s="116"/>
      <c r="Q218" s="50" t="s">
        <v>16176</v>
      </c>
      <c r="R218" s="50">
        <v>1.0</v>
      </c>
      <c r="S218" s="50" t="s">
        <v>14454</v>
      </c>
      <c r="T218" s="117">
        <v>3820.0</v>
      </c>
      <c r="U218" s="50" t="s">
        <v>16179</v>
      </c>
      <c r="V218" s="50" t="s">
        <v>16180</v>
      </c>
      <c r="W218" s="117">
        <v>218.0</v>
      </c>
    </row>
    <row r="219">
      <c r="A219" s="50" t="s">
        <v>16174</v>
      </c>
      <c r="B219" s="50" t="s">
        <v>6876</v>
      </c>
      <c r="C219" s="50" t="s">
        <v>6877</v>
      </c>
      <c r="D219" s="50" t="s">
        <v>8493</v>
      </c>
      <c r="E219" s="144">
        <v>43686.0</v>
      </c>
      <c r="F219" s="50" t="s">
        <v>16183</v>
      </c>
      <c r="G219" s="50">
        <v>33.0</v>
      </c>
      <c r="H219" s="50">
        <v>1.0</v>
      </c>
      <c r="I219" s="50">
        <v>98.0</v>
      </c>
      <c r="J219" s="116"/>
      <c r="K219" s="116"/>
      <c r="L219" s="50" t="s">
        <v>1035</v>
      </c>
      <c r="M219" s="50" t="s">
        <v>1035</v>
      </c>
      <c r="N219" s="50">
        <v>1.0</v>
      </c>
      <c r="O219" s="50" t="s">
        <v>16129</v>
      </c>
      <c r="P219" s="116"/>
      <c r="Q219" s="116"/>
      <c r="R219" s="50">
        <v>1.0</v>
      </c>
      <c r="S219" s="50" t="s">
        <v>14454</v>
      </c>
      <c r="T219" s="117">
        <v>3821.0</v>
      </c>
      <c r="U219" s="50" t="s">
        <v>16187</v>
      </c>
      <c r="V219" s="50" t="s">
        <v>16188</v>
      </c>
      <c r="W219" s="117">
        <v>219.0</v>
      </c>
    </row>
    <row r="220">
      <c r="A220" s="50" t="s">
        <v>16183</v>
      </c>
      <c r="B220" s="50" t="s">
        <v>6876</v>
      </c>
      <c r="C220" s="50" t="s">
        <v>6877</v>
      </c>
      <c r="D220" s="50" t="s">
        <v>8493</v>
      </c>
      <c r="E220" s="144">
        <v>43686.0</v>
      </c>
      <c r="F220" s="50" t="s">
        <v>16190</v>
      </c>
      <c r="G220" s="50">
        <v>58.0</v>
      </c>
      <c r="H220" s="50">
        <v>1.0</v>
      </c>
      <c r="I220" s="50">
        <v>99.0</v>
      </c>
      <c r="J220" s="116"/>
      <c r="K220" s="116"/>
      <c r="L220" s="50" t="s">
        <v>1030</v>
      </c>
      <c r="M220" s="50" t="s">
        <v>1030</v>
      </c>
      <c r="N220" s="50">
        <v>1.0</v>
      </c>
      <c r="O220" s="50" t="s">
        <v>16129</v>
      </c>
      <c r="P220" s="116"/>
      <c r="Q220" s="50" t="s">
        <v>16191</v>
      </c>
      <c r="R220" s="50">
        <v>1.0</v>
      </c>
      <c r="S220" s="50" t="s">
        <v>14454</v>
      </c>
      <c r="T220" s="117">
        <v>3822.0</v>
      </c>
      <c r="U220" s="50" t="s">
        <v>16192</v>
      </c>
      <c r="V220" s="50" t="s">
        <v>16193</v>
      </c>
      <c r="W220" s="117">
        <v>220.0</v>
      </c>
    </row>
    <row r="221">
      <c r="A221" s="50" t="s">
        <v>16190</v>
      </c>
      <c r="B221" s="50" t="s">
        <v>6876</v>
      </c>
      <c r="C221" s="50" t="s">
        <v>6877</v>
      </c>
      <c r="D221" s="50" t="s">
        <v>8493</v>
      </c>
      <c r="E221" s="144">
        <v>43686.0</v>
      </c>
      <c r="F221" s="50" t="s">
        <v>16195</v>
      </c>
      <c r="G221" s="50">
        <v>57.0</v>
      </c>
      <c r="H221" s="50">
        <v>1.0</v>
      </c>
      <c r="I221" s="50">
        <v>12.0</v>
      </c>
      <c r="J221" s="116"/>
      <c r="K221" s="116"/>
      <c r="L221" s="50" t="s">
        <v>1037</v>
      </c>
      <c r="M221" s="50" t="s">
        <v>1037</v>
      </c>
      <c r="N221" s="50">
        <v>1.0</v>
      </c>
      <c r="O221" s="50" t="s">
        <v>16199</v>
      </c>
      <c r="P221" s="116"/>
      <c r="Q221" s="116"/>
      <c r="R221" s="50">
        <v>1.0</v>
      </c>
      <c r="S221" s="50" t="s">
        <v>14454</v>
      </c>
      <c r="T221" s="117">
        <v>3823.0</v>
      </c>
      <c r="U221" s="50" t="s">
        <v>16204</v>
      </c>
      <c r="V221" s="50" t="s">
        <v>16205</v>
      </c>
      <c r="W221" s="117">
        <v>221.0</v>
      </c>
    </row>
    <row r="222">
      <c r="A222" s="50" t="s">
        <v>16195</v>
      </c>
      <c r="B222" s="50" t="s">
        <v>6876</v>
      </c>
      <c r="C222" s="50" t="s">
        <v>6877</v>
      </c>
      <c r="D222" s="50" t="s">
        <v>8493</v>
      </c>
      <c r="E222" s="144">
        <v>43686.0</v>
      </c>
      <c r="F222" s="50" t="s">
        <v>16208</v>
      </c>
      <c r="G222" s="50">
        <v>66.0</v>
      </c>
      <c r="H222" s="50">
        <v>1.0</v>
      </c>
      <c r="I222" s="50">
        <v>12.0</v>
      </c>
      <c r="J222" s="116"/>
      <c r="K222" s="116"/>
      <c r="L222" s="50" t="s">
        <v>1042</v>
      </c>
      <c r="M222" s="50" t="s">
        <v>1042</v>
      </c>
      <c r="N222" s="50">
        <v>1.0</v>
      </c>
      <c r="O222" s="50" t="s">
        <v>16199</v>
      </c>
      <c r="P222" s="116"/>
      <c r="Q222" s="116"/>
      <c r="R222" s="50">
        <v>1.0</v>
      </c>
      <c r="S222" s="50" t="s">
        <v>14454</v>
      </c>
      <c r="T222" s="117">
        <v>3824.0</v>
      </c>
      <c r="U222" s="50" t="s">
        <v>16209</v>
      </c>
      <c r="V222" s="50" t="s">
        <v>16210</v>
      </c>
      <c r="W222" s="117">
        <v>222.0</v>
      </c>
    </row>
    <row r="223">
      <c r="A223" s="50" t="s">
        <v>16211</v>
      </c>
      <c r="B223" s="50" t="s">
        <v>6876</v>
      </c>
      <c r="C223" s="50" t="s">
        <v>6877</v>
      </c>
      <c r="D223" s="50" t="s">
        <v>8493</v>
      </c>
      <c r="E223" s="144">
        <v>43686.0</v>
      </c>
      <c r="F223" s="50" t="s">
        <v>16212</v>
      </c>
      <c r="G223" s="50">
        <v>59.0</v>
      </c>
      <c r="H223" s="50">
        <v>1.0</v>
      </c>
      <c r="I223" s="50">
        <v>12.0</v>
      </c>
      <c r="J223" s="116"/>
      <c r="K223" s="116"/>
      <c r="L223" s="50" t="s">
        <v>1046</v>
      </c>
      <c r="M223" s="50" t="s">
        <v>1046</v>
      </c>
      <c r="N223" s="50">
        <v>1.0</v>
      </c>
      <c r="O223" s="50" t="s">
        <v>16199</v>
      </c>
      <c r="P223" s="116"/>
      <c r="Q223" s="116"/>
      <c r="R223" s="50">
        <v>1.0</v>
      </c>
      <c r="S223" s="50" t="s">
        <v>14454</v>
      </c>
      <c r="T223" s="117">
        <v>3825.0</v>
      </c>
      <c r="U223" s="50" t="s">
        <v>16216</v>
      </c>
      <c r="V223" s="50" t="s">
        <v>16217</v>
      </c>
      <c r="W223" s="117">
        <v>223.0</v>
      </c>
    </row>
    <row r="224">
      <c r="A224" s="50" t="s">
        <v>16212</v>
      </c>
      <c r="B224" s="50" t="s">
        <v>6876</v>
      </c>
      <c r="C224" s="50" t="s">
        <v>6877</v>
      </c>
      <c r="D224" s="50" t="s">
        <v>8493</v>
      </c>
      <c r="E224" s="144">
        <v>43686.0</v>
      </c>
      <c r="F224" s="50" t="s">
        <v>16222</v>
      </c>
      <c r="G224" s="50">
        <v>57.0</v>
      </c>
      <c r="H224" s="50">
        <v>1.0</v>
      </c>
      <c r="I224" s="50">
        <v>12.0</v>
      </c>
      <c r="J224" s="116"/>
      <c r="K224" s="116"/>
      <c r="L224" s="50" t="s">
        <v>1047</v>
      </c>
      <c r="M224" s="50" t="s">
        <v>1047</v>
      </c>
      <c r="N224" s="50">
        <v>1.0</v>
      </c>
      <c r="O224" s="50" t="s">
        <v>16199</v>
      </c>
      <c r="P224" s="116"/>
      <c r="Q224" s="116"/>
      <c r="R224" s="50">
        <v>1.0</v>
      </c>
      <c r="S224" s="50" t="s">
        <v>14454</v>
      </c>
      <c r="T224" s="117">
        <v>3826.0</v>
      </c>
      <c r="U224" s="50" t="s">
        <v>16228</v>
      </c>
      <c r="V224" s="50" t="s">
        <v>16229</v>
      </c>
      <c r="W224" s="117">
        <v>224.0</v>
      </c>
    </row>
    <row r="225">
      <c r="A225" s="50" t="s">
        <v>16222</v>
      </c>
      <c r="B225" s="50" t="s">
        <v>6876</v>
      </c>
      <c r="C225" s="50" t="s">
        <v>6877</v>
      </c>
      <c r="D225" s="50" t="s">
        <v>8493</v>
      </c>
      <c r="E225" s="144">
        <v>43686.0</v>
      </c>
      <c r="F225" s="50" t="s">
        <v>16232</v>
      </c>
      <c r="G225" s="50">
        <v>33.0</v>
      </c>
      <c r="H225" s="50">
        <v>1.0</v>
      </c>
      <c r="I225" s="50">
        <v>98.0</v>
      </c>
      <c r="J225" s="116"/>
      <c r="K225" s="116"/>
      <c r="L225" s="50" t="s">
        <v>1054</v>
      </c>
      <c r="M225" s="50" t="s">
        <v>1054</v>
      </c>
      <c r="N225" s="50">
        <v>1.0</v>
      </c>
      <c r="O225" s="50" t="s">
        <v>16199</v>
      </c>
      <c r="P225" s="116"/>
      <c r="Q225" s="116"/>
      <c r="R225" s="50">
        <v>1.0</v>
      </c>
      <c r="S225" s="50" t="s">
        <v>14454</v>
      </c>
      <c r="T225" s="117">
        <v>3827.0</v>
      </c>
      <c r="U225" s="50" t="s">
        <v>16234</v>
      </c>
      <c r="V225" s="50" t="s">
        <v>16235</v>
      </c>
      <c r="W225" s="117">
        <v>225.0</v>
      </c>
    </row>
    <row r="226">
      <c r="A226" s="50" t="s">
        <v>16232</v>
      </c>
      <c r="B226" s="50" t="s">
        <v>6876</v>
      </c>
      <c r="C226" s="50" t="s">
        <v>6877</v>
      </c>
      <c r="D226" s="50" t="s">
        <v>8493</v>
      </c>
      <c r="E226" s="144">
        <v>43686.0</v>
      </c>
      <c r="F226" s="50" t="s">
        <v>16236</v>
      </c>
      <c r="G226" s="50">
        <v>66.0</v>
      </c>
      <c r="H226" s="50">
        <v>1.0</v>
      </c>
      <c r="I226" s="50">
        <v>99.0</v>
      </c>
      <c r="J226" s="116"/>
      <c r="K226" s="116"/>
      <c r="L226" s="50" t="s">
        <v>1039</v>
      </c>
      <c r="M226" s="50" t="s">
        <v>1039</v>
      </c>
      <c r="N226" s="50">
        <v>1.0</v>
      </c>
      <c r="O226" s="50" t="s">
        <v>16199</v>
      </c>
      <c r="P226" s="116"/>
      <c r="Q226" s="50" t="s">
        <v>16240</v>
      </c>
      <c r="R226" s="50">
        <v>1.0</v>
      </c>
      <c r="S226" s="50" t="s">
        <v>14454</v>
      </c>
      <c r="T226" s="117">
        <v>3828.0</v>
      </c>
      <c r="U226" s="50" t="s">
        <v>16243</v>
      </c>
      <c r="V226" s="50" t="s">
        <v>16245</v>
      </c>
      <c r="W226" s="117">
        <v>226.0</v>
      </c>
    </row>
    <row r="227">
      <c r="A227" s="50" t="s">
        <v>16236</v>
      </c>
      <c r="B227" s="50" t="s">
        <v>6876</v>
      </c>
      <c r="C227" s="50" t="s">
        <v>6877</v>
      </c>
      <c r="D227" s="50" t="s">
        <v>8493</v>
      </c>
      <c r="E227" s="144">
        <v>43686.0</v>
      </c>
      <c r="F227" s="50" t="s">
        <v>16249</v>
      </c>
      <c r="G227" s="50">
        <v>58.0</v>
      </c>
      <c r="H227" s="50">
        <v>1.0</v>
      </c>
      <c r="I227" s="50">
        <v>6.0</v>
      </c>
      <c r="J227" s="116"/>
      <c r="K227" s="116"/>
      <c r="L227" s="50" t="s">
        <v>1048</v>
      </c>
      <c r="M227" s="50" t="s">
        <v>1048</v>
      </c>
      <c r="N227" s="50">
        <v>1.0</v>
      </c>
      <c r="O227" s="50" t="s">
        <v>16199</v>
      </c>
      <c r="P227" s="116"/>
      <c r="Q227" s="116"/>
      <c r="R227" s="50">
        <v>1.0</v>
      </c>
      <c r="S227" s="50" t="s">
        <v>14454</v>
      </c>
      <c r="T227" s="117">
        <v>3829.0</v>
      </c>
      <c r="U227" s="50" t="s">
        <v>16251</v>
      </c>
      <c r="V227" s="50" t="s">
        <v>16252</v>
      </c>
      <c r="W227" s="117">
        <v>227.0</v>
      </c>
    </row>
    <row r="228">
      <c r="A228" s="50" t="s">
        <v>16249</v>
      </c>
      <c r="B228" s="50" t="s">
        <v>6876</v>
      </c>
      <c r="C228" s="50" t="s">
        <v>6877</v>
      </c>
      <c r="D228" s="50" t="s">
        <v>8493</v>
      </c>
      <c r="E228" s="144">
        <v>43686.0</v>
      </c>
      <c r="F228" s="50" t="s">
        <v>16255</v>
      </c>
      <c r="G228" s="50">
        <v>58.0</v>
      </c>
      <c r="H228" s="50">
        <v>1.0</v>
      </c>
      <c r="I228" s="50">
        <v>1.0</v>
      </c>
      <c r="J228" s="116"/>
      <c r="K228" s="116"/>
      <c r="L228" s="50" t="s">
        <v>1050</v>
      </c>
      <c r="M228" s="50" t="s">
        <v>1050</v>
      </c>
      <c r="N228" s="50">
        <v>1.0</v>
      </c>
      <c r="O228" s="50" t="s">
        <v>16199</v>
      </c>
      <c r="P228" s="116"/>
      <c r="Q228" s="116"/>
      <c r="R228" s="50">
        <v>1.0</v>
      </c>
      <c r="S228" s="50" t="s">
        <v>14454</v>
      </c>
      <c r="T228" s="117">
        <v>3830.0</v>
      </c>
      <c r="U228" s="50" t="s">
        <v>16257</v>
      </c>
      <c r="V228" s="50" t="s">
        <v>16258</v>
      </c>
      <c r="W228" s="117">
        <v>228.0</v>
      </c>
    </row>
    <row r="229">
      <c r="A229" s="50" t="s">
        <v>16255</v>
      </c>
      <c r="B229" s="50" t="s">
        <v>6876</v>
      </c>
      <c r="C229" s="50" t="s">
        <v>6877</v>
      </c>
      <c r="D229" s="50" t="s">
        <v>8493</v>
      </c>
      <c r="E229" s="144">
        <v>43686.0</v>
      </c>
      <c r="F229" s="50" t="s">
        <v>16263</v>
      </c>
      <c r="G229" s="50">
        <v>58.0</v>
      </c>
      <c r="H229" s="50">
        <v>1.0</v>
      </c>
      <c r="I229" s="50">
        <v>1.0</v>
      </c>
      <c r="J229" s="116"/>
      <c r="K229" s="116"/>
      <c r="L229" s="50" t="s">
        <v>1051</v>
      </c>
      <c r="M229" s="50" t="s">
        <v>1051</v>
      </c>
      <c r="N229" s="50">
        <v>1.0</v>
      </c>
      <c r="O229" s="50" t="s">
        <v>16199</v>
      </c>
      <c r="P229" s="116"/>
      <c r="Q229" s="116"/>
      <c r="R229" s="50">
        <v>1.0</v>
      </c>
      <c r="S229" s="50" t="s">
        <v>14454</v>
      </c>
      <c r="T229" s="117">
        <v>3831.0</v>
      </c>
      <c r="U229" s="50" t="s">
        <v>16268</v>
      </c>
      <c r="V229" s="50" t="s">
        <v>16269</v>
      </c>
      <c r="W229" s="117">
        <v>229.0</v>
      </c>
    </row>
    <row r="230">
      <c r="A230" s="50" t="s">
        <v>16263</v>
      </c>
      <c r="B230" s="50" t="s">
        <v>6876</v>
      </c>
      <c r="C230" s="50" t="s">
        <v>6877</v>
      </c>
      <c r="D230" s="50" t="s">
        <v>8493</v>
      </c>
      <c r="E230" s="144">
        <v>43686.0</v>
      </c>
      <c r="F230" s="50" t="s">
        <v>16271</v>
      </c>
      <c r="G230" s="50">
        <v>58.0</v>
      </c>
      <c r="H230" s="50">
        <v>1.0</v>
      </c>
      <c r="I230" s="50">
        <v>99.0</v>
      </c>
      <c r="J230" s="116"/>
      <c r="K230" s="116"/>
      <c r="L230" s="50" t="s">
        <v>1043</v>
      </c>
      <c r="M230" s="50" t="s">
        <v>1043</v>
      </c>
      <c r="N230" s="50">
        <v>1.0</v>
      </c>
      <c r="O230" s="50" t="s">
        <v>16199</v>
      </c>
      <c r="P230" s="116"/>
      <c r="Q230" s="50" t="s">
        <v>16274</v>
      </c>
      <c r="R230" s="50">
        <v>1.0</v>
      </c>
      <c r="S230" s="50" t="s">
        <v>14454</v>
      </c>
      <c r="T230" s="117">
        <v>3832.0</v>
      </c>
      <c r="U230" s="50" t="s">
        <v>16277</v>
      </c>
      <c r="V230" s="50" t="s">
        <v>16279</v>
      </c>
      <c r="W230" s="117">
        <v>230.0</v>
      </c>
    </row>
    <row r="231">
      <c r="A231" s="50" t="s">
        <v>16280</v>
      </c>
      <c r="B231" s="50" t="s">
        <v>6876</v>
      </c>
      <c r="C231" s="50" t="s">
        <v>6877</v>
      </c>
      <c r="D231" s="50" t="s">
        <v>8493</v>
      </c>
      <c r="E231" s="144">
        <v>43699.0</v>
      </c>
      <c r="F231" s="50" t="s">
        <v>16283</v>
      </c>
      <c r="G231" s="50">
        <v>59.0</v>
      </c>
      <c r="H231" s="50">
        <v>1.0</v>
      </c>
      <c r="I231" s="50">
        <v>11.0</v>
      </c>
      <c r="J231" s="116"/>
      <c r="K231" s="116"/>
      <c r="L231" s="50" t="s">
        <v>1055</v>
      </c>
      <c r="M231" s="50" t="s">
        <v>1055</v>
      </c>
      <c r="N231" s="50">
        <v>1.0</v>
      </c>
      <c r="O231" s="50" t="s">
        <v>16285</v>
      </c>
      <c r="P231" s="116"/>
      <c r="Q231" s="116"/>
      <c r="R231" s="50">
        <v>1.0</v>
      </c>
      <c r="S231" s="50" t="s">
        <v>14454</v>
      </c>
      <c r="T231" s="117">
        <v>3952.0</v>
      </c>
      <c r="U231" s="50" t="s">
        <v>16286</v>
      </c>
      <c r="V231" s="50" t="s">
        <v>16287</v>
      </c>
      <c r="W231" s="117">
        <v>231.0</v>
      </c>
    </row>
    <row r="232">
      <c r="A232" s="50" t="s">
        <v>16283</v>
      </c>
      <c r="B232" s="50" t="s">
        <v>6876</v>
      </c>
      <c r="C232" s="50" t="s">
        <v>6877</v>
      </c>
      <c r="D232" s="50" t="s">
        <v>8493</v>
      </c>
      <c r="E232" s="144">
        <v>43699.0</v>
      </c>
      <c r="F232" s="50" t="s">
        <v>16288</v>
      </c>
      <c r="G232" s="50">
        <v>33.0</v>
      </c>
      <c r="H232" s="50">
        <v>1.0</v>
      </c>
      <c r="I232" s="50">
        <v>98.0</v>
      </c>
      <c r="J232" s="116"/>
      <c r="K232" s="116"/>
      <c r="L232" s="50" t="s">
        <v>1065</v>
      </c>
      <c r="M232" s="50" t="s">
        <v>1065</v>
      </c>
      <c r="N232" s="50">
        <v>1.0</v>
      </c>
      <c r="O232" s="50" t="s">
        <v>16285</v>
      </c>
      <c r="P232" s="116"/>
      <c r="Q232" s="116"/>
      <c r="R232" s="50">
        <v>1.0</v>
      </c>
      <c r="S232" s="50" t="s">
        <v>14454</v>
      </c>
      <c r="T232" s="117">
        <v>3953.0</v>
      </c>
      <c r="U232" s="50" t="s">
        <v>16293</v>
      </c>
      <c r="V232" s="50" t="s">
        <v>16294</v>
      </c>
      <c r="W232" s="117">
        <v>232.0</v>
      </c>
    </row>
    <row r="233">
      <c r="A233" s="50" t="s">
        <v>16288</v>
      </c>
      <c r="B233" s="50" t="s">
        <v>6876</v>
      </c>
      <c r="C233" s="50" t="s">
        <v>6877</v>
      </c>
      <c r="D233" s="50" t="s">
        <v>8493</v>
      </c>
      <c r="E233" s="144">
        <v>43699.0</v>
      </c>
      <c r="F233" s="50" t="s">
        <v>16297</v>
      </c>
      <c r="G233" s="50">
        <v>59.0</v>
      </c>
      <c r="H233" s="50">
        <v>1.0</v>
      </c>
      <c r="I233" s="50">
        <v>99.0</v>
      </c>
      <c r="J233" s="116"/>
      <c r="K233" s="116"/>
      <c r="L233" s="50" t="s">
        <v>1057</v>
      </c>
      <c r="M233" s="50" t="s">
        <v>1057</v>
      </c>
      <c r="N233" s="50">
        <v>1.0</v>
      </c>
      <c r="O233" s="50" t="s">
        <v>16285</v>
      </c>
      <c r="P233" s="116"/>
      <c r="Q233" s="50" t="s">
        <v>16300</v>
      </c>
      <c r="R233" s="50">
        <v>1.0</v>
      </c>
      <c r="S233" s="50" t="s">
        <v>14454</v>
      </c>
      <c r="T233" s="117">
        <v>3954.0</v>
      </c>
      <c r="U233" s="50" t="s">
        <v>16301</v>
      </c>
      <c r="V233" s="50" t="s">
        <v>16302</v>
      </c>
      <c r="W233" s="117">
        <v>233.0</v>
      </c>
    </row>
    <row r="234">
      <c r="A234" s="50" t="s">
        <v>16297</v>
      </c>
      <c r="B234" s="50" t="s">
        <v>6876</v>
      </c>
      <c r="C234" s="50" t="s">
        <v>6877</v>
      </c>
      <c r="D234" s="50" t="s">
        <v>8493</v>
      </c>
      <c r="E234" s="144">
        <v>43699.0</v>
      </c>
      <c r="F234" s="50" t="s">
        <v>16306</v>
      </c>
      <c r="G234" s="50">
        <v>58.0</v>
      </c>
      <c r="H234" s="50">
        <v>1.0</v>
      </c>
      <c r="I234" s="50">
        <v>15.0</v>
      </c>
      <c r="J234" s="116"/>
      <c r="K234" s="50">
        <v>151.0</v>
      </c>
      <c r="L234" s="50" t="s">
        <v>12696</v>
      </c>
      <c r="M234" s="50" t="s">
        <v>12696</v>
      </c>
      <c r="N234" s="50">
        <v>1.0</v>
      </c>
      <c r="O234" s="50" t="s">
        <v>16285</v>
      </c>
      <c r="P234" s="116"/>
      <c r="Q234" s="116"/>
      <c r="R234" s="50">
        <v>1.0</v>
      </c>
      <c r="S234" s="50" t="s">
        <v>14454</v>
      </c>
      <c r="T234" s="117">
        <v>3955.0</v>
      </c>
      <c r="U234" s="50" t="s">
        <v>16308</v>
      </c>
      <c r="V234" s="50" t="s">
        <v>16309</v>
      </c>
      <c r="W234" s="117">
        <v>234.0</v>
      </c>
    </row>
    <row r="235">
      <c r="A235" s="50" t="s">
        <v>16306</v>
      </c>
      <c r="B235" s="50" t="s">
        <v>6876</v>
      </c>
      <c r="C235" s="50" t="s">
        <v>6877</v>
      </c>
      <c r="D235" s="50" t="s">
        <v>8493</v>
      </c>
      <c r="E235" s="144">
        <v>43699.0</v>
      </c>
      <c r="F235" s="50" t="s">
        <v>16313</v>
      </c>
      <c r="G235" s="50">
        <v>58.0</v>
      </c>
      <c r="H235" s="50">
        <v>1.0</v>
      </c>
      <c r="I235" s="50">
        <v>15.0</v>
      </c>
      <c r="J235" s="116"/>
      <c r="K235" s="50">
        <v>151.0</v>
      </c>
      <c r="L235" s="50" t="s">
        <v>12730</v>
      </c>
      <c r="M235" s="50" t="s">
        <v>12730</v>
      </c>
      <c r="N235" s="50">
        <v>1.0</v>
      </c>
      <c r="O235" s="50" t="s">
        <v>16285</v>
      </c>
      <c r="P235" s="116"/>
      <c r="Q235" s="116"/>
      <c r="R235" s="50">
        <v>1.0</v>
      </c>
      <c r="S235" s="50" t="s">
        <v>14454</v>
      </c>
      <c r="T235" s="117">
        <v>3956.0</v>
      </c>
      <c r="U235" s="50" t="s">
        <v>16319</v>
      </c>
      <c r="V235" s="50" t="s">
        <v>16320</v>
      </c>
      <c r="W235" s="117">
        <v>235.0</v>
      </c>
    </row>
    <row r="236">
      <c r="A236" s="50" t="s">
        <v>16313</v>
      </c>
      <c r="B236" s="50" t="s">
        <v>6876</v>
      </c>
      <c r="C236" s="50" t="s">
        <v>6877</v>
      </c>
      <c r="D236" s="50" t="s">
        <v>8493</v>
      </c>
      <c r="E236" s="144">
        <v>43699.0</v>
      </c>
      <c r="F236" s="50" t="s">
        <v>16322</v>
      </c>
      <c r="G236" s="50">
        <v>58.0</v>
      </c>
      <c r="H236" s="50">
        <v>1.0</v>
      </c>
      <c r="I236" s="50">
        <v>15.0</v>
      </c>
      <c r="J236" s="116"/>
      <c r="K236" s="50">
        <v>151.0</v>
      </c>
      <c r="L236" s="50" t="s">
        <v>12696</v>
      </c>
      <c r="M236" s="50" t="s">
        <v>12696</v>
      </c>
      <c r="N236" s="50">
        <v>1.0</v>
      </c>
      <c r="O236" s="50" t="s">
        <v>16285</v>
      </c>
      <c r="P236" s="116"/>
      <c r="Q236" s="116"/>
      <c r="R236" s="50">
        <v>1.0</v>
      </c>
      <c r="S236" s="50" t="s">
        <v>14454</v>
      </c>
      <c r="T236" s="117">
        <v>3957.0</v>
      </c>
      <c r="U236" s="50" t="s">
        <v>16323</v>
      </c>
      <c r="V236" s="50" t="s">
        <v>16324</v>
      </c>
      <c r="W236" s="117">
        <v>236.0</v>
      </c>
    </row>
    <row r="237">
      <c r="A237" s="50" t="s">
        <v>16322</v>
      </c>
      <c r="B237" s="50" t="s">
        <v>6876</v>
      </c>
      <c r="C237" s="50" t="s">
        <v>6877</v>
      </c>
      <c r="D237" s="50" t="s">
        <v>8493</v>
      </c>
      <c r="E237" s="144">
        <v>43699.0</v>
      </c>
      <c r="F237" s="50" t="s">
        <v>16327</v>
      </c>
      <c r="G237" s="50">
        <v>58.0</v>
      </c>
      <c r="H237" s="50">
        <v>1.0</v>
      </c>
      <c r="I237" s="50">
        <v>15.0</v>
      </c>
      <c r="J237" s="116"/>
      <c r="K237" s="50">
        <v>152.0</v>
      </c>
      <c r="L237" s="50" t="s">
        <v>12730</v>
      </c>
      <c r="M237" s="50" t="s">
        <v>12730</v>
      </c>
      <c r="N237" s="50">
        <v>1.0</v>
      </c>
      <c r="O237" s="50" t="s">
        <v>16285</v>
      </c>
      <c r="P237" s="116"/>
      <c r="Q237" s="116"/>
      <c r="R237" s="50">
        <v>1.0</v>
      </c>
      <c r="S237" s="50" t="s">
        <v>14454</v>
      </c>
      <c r="T237" s="117">
        <v>3958.0</v>
      </c>
      <c r="U237" s="50" t="s">
        <v>16334</v>
      </c>
      <c r="V237" s="50" t="s">
        <v>16335</v>
      </c>
      <c r="W237" s="117">
        <v>237.0</v>
      </c>
    </row>
    <row r="238">
      <c r="A238" s="50" t="s">
        <v>16327</v>
      </c>
      <c r="B238" s="50" t="s">
        <v>6876</v>
      </c>
      <c r="C238" s="50" t="s">
        <v>6877</v>
      </c>
      <c r="D238" s="50" t="s">
        <v>8493</v>
      </c>
      <c r="E238" s="144">
        <v>43699.0</v>
      </c>
      <c r="F238" s="50" t="s">
        <v>16336</v>
      </c>
      <c r="G238" s="50">
        <v>55.0</v>
      </c>
      <c r="H238" s="50">
        <v>1.0</v>
      </c>
      <c r="I238" s="50">
        <v>12.0</v>
      </c>
      <c r="J238" s="116"/>
      <c r="K238" s="116"/>
      <c r="L238" s="50" t="s">
        <v>1066</v>
      </c>
      <c r="M238" s="50" t="s">
        <v>1066</v>
      </c>
      <c r="N238" s="50">
        <v>1.0</v>
      </c>
      <c r="O238" s="50" t="s">
        <v>16337</v>
      </c>
      <c r="P238" s="116"/>
      <c r="Q238" s="116"/>
      <c r="R238" s="50">
        <v>1.0</v>
      </c>
      <c r="S238" s="50" t="s">
        <v>14454</v>
      </c>
      <c r="T238" s="117">
        <v>3959.0</v>
      </c>
      <c r="U238" s="50" t="s">
        <v>16338</v>
      </c>
      <c r="V238" s="50" t="s">
        <v>16340</v>
      </c>
      <c r="W238" s="117">
        <v>238.0</v>
      </c>
    </row>
    <row r="239">
      <c r="A239" s="50" t="s">
        <v>16336</v>
      </c>
      <c r="B239" s="50" t="s">
        <v>6876</v>
      </c>
      <c r="C239" s="50" t="s">
        <v>6877</v>
      </c>
      <c r="D239" s="50" t="s">
        <v>8493</v>
      </c>
      <c r="E239" s="144">
        <v>43699.0</v>
      </c>
      <c r="F239" s="50" t="s">
        <v>16348</v>
      </c>
      <c r="G239" s="50">
        <v>65.0</v>
      </c>
      <c r="H239" s="50">
        <v>1.0</v>
      </c>
      <c r="I239" s="50">
        <v>12.0</v>
      </c>
      <c r="J239" s="116"/>
      <c r="K239" s="116"/>
      <c r="L239" s="50" t="s">
        <v>1068</v>
      </c>
      <c r="M239" s="50" t="s">
        <v>1068</v>
      </c>
      <c r="N239" s="50">
        <v>1.0</v>
      </c>
      <c r="O239" s="50" t="s">
        <v>16337</v>
      </c>
      <c r="P239" s="116"/>
      <c r="Q239" s="116"/>
      <c r="R239" s="50">
        <v>1.0</v>
      </c>
      <c r="S239" s="50" t="s">
        <v>14454</v>
      </c>
      <c r="T239" s="117">
        <v>3960.0</v>
      </c>
      <c r="U239" s="50" t="s">
        <v>16351</v>
      </c>
      <c r="V239" s="50" t="s">
        <v>16352</v>
      </c>
      <c r="W239" s="117">
        <v>239.0</v>
      </c>
    </row>
    <row r="240">
      <c r="A240" s="50" t="s">
        <v>16348</v>
      </c>
      <c r="B240" s="50" t="s">
        <v>6876</v>
      </c>
      <c r="C240" s="50" t="s">
        <v>6877</v>
      </c>
      <c r="D240" s="50" t="s">
        <v>8493</v>
      </c>
      <c r="E240" s="144">
        <v>43699.0</v>
      </c>
      <c r="F240" s="50" t="s">
        <v>16353</v>
      </c>
      <c r="G240" s="50">
        <v>59.0</v>
      </c>
      <c r="H240" s="50">
        <v>1.0</v>
      </c>
      <c r="I240" s="50">
        <v>12.0</v>
      </c>
      <c r="J240" s="116"/>
      <c r="K240" s="116"/>
      <c r="L240" s="50" t="s">
        <v>1069</v>
      </c>
      <c r="M240" s="50" t="s">
        <v>1069</v>
      </c>
      <c r="N240" s="50">
        <v>1.0</v>
      </c>
      <c r="O240" s="50" t="s">
        <v>16337</v>
      </c>
      <c r="P240" s="116"/>
      <c r="Q240" s="116"/>
      <c r="R240" s="50">
        <v>1.0</v>
      </c>
      <c r="S240" s="50" t="s">
        <v>14454</v>
      </c>
      <c r="T240" s="117">
        <v>3961.0</v>
      </c>
      <c r="U240" s="50" t="s">
        <v>16358</v>
      </c>
      <c r="V240" s="50" t="s">
        <v>16359</v>
      </c>
      <c r="W240" s="117">
        <v>240.0</v>
      </c>
    </row>
    <row r="241">
      <c r="A241" s="50" t="s">
        <v>16353</v>
      </c>
      <c r="B241" s="50" t="s">
        <v>6876</v>
      </c>
      <c r="C241" s="50" t="s">
        <v>6877</v>
      </c>
      <c r="D241" s="50" t="s">
        <v>8493</v>
      </c>
      <c r="E241" s="144">
        <v>43699.0</v>
      </c>
      <c r="F241" s="50" t="s">
        <v>16364</v>
      </c>
      <c r="G241" s="50">
        <v>57.0</v>
      </c>
      <c r="H241" s="50">
        <v>1.0</v>
      </c>
      <c r="I241" s="50">
        <v>12.0</v>
      </c>
      <c r="J241" s="116"/>
      <c r="K241" s="116"/>
      <c r="L241" s="50" t="s">
        <v>1070</v>
      </c>
      <c r="M241" s="50" t="s">
        <v>1070</v>
      </c>
      <c r="N241" s="50">
        <v>1.0</v>
      </c>
      <c r="O241" s="50" t="s">
        <v>16337</v>
      </c>
      <c r="P241" s="116"/>
      <c r="Q241" s="116"/>
      <c r="R241" s="50">
        <v>1.0</v>
      </c>
      <c r="S241" s="50" t="s">
        <v>14454</v>
      </c>
      <c r="T241" s="117">
        <v>3962.0</v>
      </c>
      <c r="U241" s="50" t="s">
        <v>16365</v>
      </c>
      <c r="V241" s="50" t="s">
        <v>16367</v>
      </c>
      <c r="W241" s="117">
        <v>241.0</v>
      </c>
    </row>
    <row r="242">
      <c r="A242" s="50" t="s">
        <v>16364</v>
      </c>
      <c r="B242" s="50" t="s">
        <v>6876</v>
      </c>
      <c r="C242" s="50" t="s">
        <v>6877</v>
      </c>
      <c r="D242" s="50" t="s">
        <v>8493</v>
      </c>
      <c r="E242" s="144">
        <v>43699.0</v>
      </c>
      <c r="F242" s="50" t="s">
        <v>16371</v>
      </c>
      <c r="G242" s="50">
        <v>57.0</v>
      </c>
      <c r="H242" s="50">
        <v>1.0</v>
      </c>
      <c r="I242" s="50">
        <v>99.0</v>
      </c>
      <c r="J242" s="116"/>
      <c r="K242" s="116"/>
      <c r="L242" s="50" t="s">
        <v>1071</v>
      </c>
      <c r="M242" s="50" t="s">
        <v>1071</v>
      </c>
      <c r="N242" s="50">
        <v>1.0</v>
      </c>
      <c r="O242" s="50" t="s">
        <v>16337</v>
      </c>
      <c r="P242" s="116"/>
      <c r="Q242" s="50" t="s">
        <v>16377</v>
      </c>
      <c r="R242" s="50">
        <v>1.0</v>
      </c>
      <c r="S242" s="50" t="s">
        <v>14454</v>
      </c>
      <c r="T242" s="117">
        <v>3963.0</v>
      </c>
      <c r="U242" s="50" t="s">
        <v>16380</v>
      </c>
      <c r="V242" s="50" t="s">
        <v>16382</v>
      </c>
      <c r="W242" s="117">
        <v>242.0</v>
      </c>
    </row>
    <row r="243">
      <c r="A243" s="50" t="s">
        <v>16371</v>
      </c>
      <c r="B243" s="50" t="s">
        <v>6876</v>
      </c>
      <c r="C243" s="50" t="s">
        <v>6877</v>
      </c>
      <c r="D243" s="50" t="s">
        <v>8493</v>
      </c>
      <c r="E243" s="144">
        <v>43699.0</v>
      </c>
      <c r="F243" s="50" t="s">
        <v>16384</v>
      </c>
      <c r="G243" s="50">
        <v>58.0</v>
      </c>
      <c r="H243" s="50">
        <v>1.0</v>
      </c>
      <c r="I243" s="50">
        <v>6.0</v>
      </c>
      <c r="J243" s="116"/>
      <c r="K243" s="116"/>
      <c r="L243" s="50" t="s">
        <v>1074</v>
      </c>
      <c r="M243" s="50" t="s">
        <v>1074</v>
      </c>
      <c r="N243" s="50">
        <v>1.0</v>
      </c>
      <c r="O243" s="50" t="s">
        <v>16337</v>
      </c>
      <c r="P243" s="116"/>
      <c r="Q243" s="116"/>
      <c r="R243" s="50">
        <v>1.0</v>
      </c>
      <c r="S243" s="50" t="s">
        <v>14454</v>
      </c>
      <c r="T243" s="117">
        <v>3964.0</v>
      </c>
      <c r="U243" s="50" t="s">
        <v>16389</v>
      </c>
      <c r="V243" s="50" t="s">
        <v>16390</v>
      </c>
      <c r="W243" s="117">
        <v>243.0</v>
      </c>
    </row>
    <row r="244">
      <c r="A244" s="50" t="s">
        <v>16384</v>
      </c>
      <c r="B244" s="50" t="s">
        <v>6876</v>
      </c>
      <c r="C244" s="50" t="s">
        <v>6877</v>
      </c>
      <c r="D244" s="50" t="s">
        <v>8493</v>
      </c>
      <c r="E244" s="144">
        <v>43699.0</v>
      </c>
      <c r="F244" s="50" t="s">
        <v>16391</v>
      </c>
      <c r="G244" s="50">
        <v>33.0</v>
      </c>
      <c r="H244" s="50">
        <v>1.0</v>
      </c>
      <c r="I244" s="50">
        <v>98.0</v>
      </c>
      <c r="J244" s="116"/>
      <c r="K244" s="116"/>
      <c r="L244" s="50" t="s">
        <v>1077</v>
      </c>
      <c r="M244" s="50" t="s">
        <v>1077</v>
      </c>
      <c r="N244" s="50">
        <v>1.0</v>
      </c>
      <c r="O244" s="50" t="s">
        <v>16337</v>
      </c>
      <c r="P244" s="116"/>
      <c r="Q244" s="116"/>
      <c r="R244" s="50">
        <v>1.0</v>
      </c>
      <c r="S244" s="50" t="s">
        <v>14454</v>
      </c>
      <c r="T244" s="117">
        <v>3965.0</v>
      </c>
      <c r="U244" s="50" t="s">
        <v>16395</v>
      </c>
      <c r="V244" s="50" t="s">
        <v>16396</v>
      </c>
      <c r="W244" s="117">
        <v>244.0</v>
      </c>
    </row>
    <row r="245">
      <c r="A245" s="50" t="s">
        <v>16391</v>
      </c>
      <c r="B245" s="50" t="s">
        <v>6876</v>
      </c>
      <c r="C245" s="50" t="s">
        <v>6877</v>
      </c>
      <c r="D245" s="50" t="s">
        <v>8493</v>
      </c>
      <c r="E245" s="144">
        <v>43699.0</v>
      </c>
      <c r="F245" s="50" t="s">
        <v>16401</v>
      </c>
      <c r="G245" s="50">
        <v>58.0</v>
      </c>
      <c r="H245" s="50">
        <v>1.0</v>
      </c>
      <c r="I245" s="50">
        <v>14.0</v>
      </c>
      <c r="J245" s="50">
        <v>141.0</v>
      </c>
      <c r="K245" s="116"/>
      <c r="L245" s="50" t="s">
        <v>2162</v>
      </c>
      <c r="M245" s="50" t="s">
        <v>2162</v>
      </c>
      <c r="N245" s="50">
        <v>1.0</v>
      </c>
      <c r="O245" s="50" t="s">
        <v>8705</v>
      </c>
      <c r="P245" s="116"/>
      <c r="Q245" s="116"/>
      <c r="R245" s="50">
        <v>2.0</v>
      </c>
      <c r="S245" s="50" t="s">
        <v>14454</v>
      </c>
      <c r="T245" s="117">
        <v>3966.0</v>
      </c>
      <c r="U245" s="50" t="s">
        <v>16403</v>
      </c>
      <c r="V245" s="50" t="s">
        <v>16404</v>
      </c>
      <c r="W245" s="117">
        <v>245.0</v>
      </c>
    </row>
    <row r="246">
      <c r="A246" s="50" t="s">
        <v>16401</v>
      </c>
      <c r="B246" s="50" t="s">
        <v>6876</v>
      </c>
      <c r="C246" s="50" t="s">
        <v>6877</v>
      </c>
      <c r="D246" s="50" t="s">
        <v>8493</v>
      </c>
      <c r="E246" s="144">
        <v>43699.0</v>
      </c>
      <c r="F246" s="50" t="s">
        <v>16406</v>
      </c>
      <c r="G246" s="50">
        <v>58.0</v>
      </c>
      <c r="H246" s="50">
        <v>1.0</v>
      </c>
      <c r="I246" s="50">
        <v>14.0</v>
      </c>
      <c r="J246" s="50">
        <v>143.0</v>
      </c>
      <c r="K246" s="116"/>
      <c r="L246" s="50" t="s">
        <v>2165</v>
      </c>
      <c r="M246" s="50" t="s">
        <v>2165</v>
      </c>
      <c r="N246" s="50">
        <v>1.0</v>
      </c>
      <c r="O246" s="50" t="s">
        <v>8705</v>
      </c>
      <c r="P246" s="116"/>
      <c r="Q246" s="116"/>
      <c r="R246" s="50">
        <v>2.0</v>
      </c>
      <c r="S246" s="50" t="s">
        <v>14454</v>
      </c>
      <c r="T246" s="117">
        <v>3967.0</v>
      </c>
      <c r="U246" s="50" t="s">
        <v>16410</v>
      </c>
      <c r="V246" s="50" t="s">
        <v>16412</v>
      </c>
      <c r="W246" s="117">
        <v>246.0</v>
      </c>
    </row>
    <row r="247">
      <c r="A247" s="50" t="s">
        <v>16406</v>
      </c>
      <c r="B247" s="50" t="s">
        <v>6876</v>
      </c>
      <c r="C247" s="50" t="s">
        <v>6877</v>
      </c>
      <c r="D247" s="50" t="s">
        <v>8493</v>
      </c>
      <c r="E247" s="144">
        <v>43699.0</v>
      </c>
      <c r="F247" s="50" t="s">
        <v>16413</v>
      </c>
      <c r="G247" s="50">
        <v>58.0</v>
      </c>
      <c r="H247" s="50">
        <v>1.0</v>
      </c>
      <c r="I247" s="50">
        <v>14.0</v>
      </c>
      <c r="J247" s="50">
        <v>144.0</v>
      </c>
      <c r="K247" s="116"/>
      <c r="L247" s="50" t="s">
        <v>2168</v>
      </c>
      <c r="M247" s="50" t="s">
        <v>2168</v>
      </c>
      <c r="N247" s="50">
        <v>1.0</v>
      </c>
      <c r="O247" s="50" t="s">
        <v>8705</v>
      </c>
      <c r="P247" s="116"/>
      <c r="Q247" s="116"/>
      <c r="R247" s="50">
        <v>2.0</v>
      </c>
      <c r="S247" s="50" t="s">
        <v>14454</v>
      </c>
      <c r="T247" s="117">
        <v>3968.0</v>
      </c>
      <c r="U247" s="50" t="s">
        <v>16418</v>
      </c>
      <c r="V247" s="50" t="s">
        <v>16419</v>
      </c>
      <c r="W247" s="117">
        <v>247.0</v>
      </c>
    </row>
    <row r="248">
      <c r="A248" s="50" t="s">
        <v>16413</v>
      </c>
      <c r="B248" s="50" t="s">
        <v>6876</v>
      </c>
      <c r="C248" s="50" t="s">
        <v>6877</v>
      </c>
      <c r="D248" s="50" t="s">
        <v>8493</v>
      </c>
      <c r="E248" s="144">
        <v>43699.0</v>
      </c>
      <c r="F248" s="50" t="s">
        <v>16424</v>
      </c>
      <c r="G248" s="50">
        <v>58.0</v>
      </c>
      <c r="H248" s="50">
        <v>1.0</v>
      </c>
      <c r="I248" s="50">
        <v>14.0</v>
      </c>
      <c r="J248" s="50">
        <v>145.0</v>
      </c>
      <c r="K248" s="116"/>
      <c r="L248" s="50" t="s">
        <v>2169</v>
      </c>
      <c r="M248" s="50" t="s">
        <v>2169</v>
      </c>
      <c r="N248" s="50">
        <v>1.0</v>
      </c>
      <c r="O248" s="50" t="s">
        <v>8705</v>
      </c>
      <c r="P248" s="116"/>
      <c r="Q248" s="116"/>
      <c r="R248" s="50">
        <v>1.0</v>
      </c>
      <c r="S248" s="50" t="s">
        <v>14454</v>
      </c>
      <c r="T248" s="117">
        <v>3969.0</v>
      </c>
      <c r="U248" s="50" t="s">
        <v>16426</v>
      </c>
      <c r="V248" s="50" t="s">
        <v>16427</v>
      </c>
      <c r="W248" s="117">
        <v>248.0</v>
      </c>
    </row>
    <row r="249">
      <c r="A249" s="50" t="s">
        <v>16424</v>
      </c>
      <c r="B249" s="50" t="s">
        <v>6876</v>
      </c>
      <c r="C249" s="50" t="s">
        <v>6877</v>
      </c>
      <c r="D249" s="50" t="s">
        <v>8493</v>
      </c>
      <c r="E249" s="144">
        <v>43699.0</v>
      </c>
      <c r="F249" s="50" t="s">
        <v>16431</v>
      </c>
      <c r="G249" s="50">
        <v>58.0</v>
      </c>
      <c r="H249" s="50">
        <v>1.0</v>
      </c>
      <c r="I249" s="50">
        <v>14.0</v>
      </c>
      <c r="J249" s="50">
        <v>143.0</v>
      </c>
      <c r="K249" s="116"/>
      <c r="L249" s="50" t="s">
        <v>2166</v>
      </c>
      <c r="M249" s="50" t="s">
        <v>2166</v>
      </c>
      <c r="N249" s="50">
        <v>1.0</v>
      </c>
      <c r="O249" s="50" t="s">
        <v>8705</v>
      </c>
      <c r="P249" s="116"/>
      <c r="Q249" s="116"/>
      <c r="R249" s="50">
        <v>2.0</v>
      </c>
      <c r="S249" s="50" t="s">
        <v>14454</v>
      </c>
      <c r="T249" s="117">
        <v>3970.0</v>
      </c>
      <c r="U249" s="50" t="s">
        <v>16434</v>
      </c>
      <c r="V249" s="50" t="s">
        <v>16435</v>
      </c>
      <c r="W249" s="117">
        <v>249.0</v>
      </c>
    </row>
    <row r="250">
      <c r="A250" s="50" t="s">
        <v>16431</v>
      </c>
      <c r="B250" s="50" t="s">
        <v>6876</v>
      </c>
      <c r="C250" s="50" t="s">
        <v>6877</v>
      </c>
      <c r="D250" s="50" t="s">
        <v>8493</v>
      </c>
      <c r="E250" s="144">
        <v>43699.0</v>
      </c>
      <c r="F250" s="50" t="s">
        <v>16436</v>
      </c>
      <c r="G250" s="50">
        <v>58.0</v>
      </c>
      <c r="H250" s="50">
        <v>1.0</v>
      </c>
      <c r="I250" s="50">
        <v>14.0</v>
      </c>
      <c r="J250" s="50">
        <v>144.0</v>
      </c>
      <c r="K250" s="116"/>
      <c r="L250" s="50" t="s">
        <v>3776</v>
      </c>
      <c r="M250" s="50" t="s">
        <v>3776</v>
      </c>
      <c r="N250" s="50">
        <v>1.0</v>
      </c>
      <c r="O250" s="50" t="s">
        <v>8705</v>
      </c>
      <c r="P250" s="116"/>
      <c r="Q250" s="116"/>
      <c r="R250" s="50">
        <v>2.0</v>
      </c>
      <c r="S250" s="50" t="s">
        <v>14454</v>
      </c>
      <c r="T250" s="117">
        <v>3971.0</v>
      </c>
      <c r="U250" s="50" t="s">
        <v>16438</v>
      </c>
      <c r="V250" s="50" t="s">
        <v>16439</v>
      </c>
      <c r="W250" s="117">
        <v>250.0</v>
      </c>
    </row>
    <row r="251">
      <c r="A251" s="50" t="s">
        <v>16436</v>
      </c>
      <c r="B251" s="50" t="s">
        <v>6876</v>
      </c>
      <c r="C251" s="50" t="s">
        <v>6877</v>
      </c>
      <c r="D251" s="50" t="s">
        <v>8493</v>
      </c>
      <c r="E251" s="144">
        <v>43699.0</v>
      </c>
      <c r="F251" s="50" t="s">
        <v>16445</v>
      </c>
      <c r="G251" s="50">
        <v>58.0</v>
      </c>
      <c r="H251" s="50">
        <v>1.0</v>
      </c>
      <c r="I251" s="50">
        <v>14.0</v>
      </c>
      <c r="J251" s="50">
        <v>142.0</v>
      </c>
      <c r="K251" s="116"/>
      <c r="L251" s="50" t="s">
        <v>2164</v>
      </c>
      <c r="M251" s="50" t="s">
        <v>2164</v>
      </c>
      <c r="N251" s="50">
        <v>1.0</v>
      </c>
      <c r="O251" s="50" t="s">
        <v>8705</v>
      </c>
      <c r="P251" s="116"/>
      <c r="Q251" s="116"/>
      <c r="R251" s="50">
        <v>2.0</v>
      </c>
      <c r="S251" s="50" t="s">
        <v>14454</v>
      </c>
      <c r="T251" s="117">
        <v>3972.0</v>
      </c>
      <c r="U251" s="50" t="s">
        <v>16448</v>
      </c>
      <c r="V251" s="50" t="s">
        <v>16449</v>
      </c>
      <c r="W251" s="117">
        <v>251.0</v>
      </c>
    </row>
    <row r="252">
      <c r="A252" s="50" t="s">
        <v>16445</v>
      </c>
      <c r="B252" s="50" t="s">
        <v>6876</v>
      </c>
      <c r="C252" s="50" t="s">
        <v>6877</v>
      </c>
      <c r="D252" s="50" t="s">
        <v>8493</v>
      </c>
      <c r="E252" s="144">
        <v>43699.0</v>
      </c>
      <c r="F252" s="50" t="s">
        <v>16450</v>
      </c>
      <c r="G252" s="50">
        <v>58.0</v>
      </c>
      <c r="H252" s="50">
        <v>1.0</v>
      </c>
      <c r="I252" s="50">
        <v>99.0</v>
      </c>
      <c r="J252" s="116"/>
      <c r="K252" s="116"/>
      <c r="L252" s="50" t="s">
        <v>1080</v>
      </c>
      <c r="M252" s="50" t="s">
        <v>1080</v>
      </c>
      <c r="N252" s="50">
        <v>1.0</v>
      </c>
      <c r="O252" s="50" t="s">
        <v>8705</v>
      </c>
      <c r="P252" s="116"/>
      <c r="Q252" s="50" t="s">
        <v>16454</v>
      </c>
      <c r="R252" s="50">
        <v>2.0</v>
      </c>
      <c r="S252" s="50" t="s">
        <v>14454</v>
      </c>
      <c r="T252" s="117">
        <v>3973.0</v>
      </c>
      <c r="U252" s="50" t="s">
        <v>16456</v>
      </c>
      <c r="V252" s="50" t="s">
        <v>16457</v>
      </c>
      <c r="W252" s="117">
        <v>252.0</v>
      </c>
    </row>
    <row r="253">
      <c r="A253" s="50" t="s">
        <v>16450</v>
      </c>
      <c r="B253" s="50" t="s">
        <v>6876</v>
      </c>
      <c r="C253" s="50" t="s">
        <v>6877</v>
      </c>
      <c r="D253" s="50" t="s">
        <v>8493</v>
      </c>
      <c r="E253" s="144">
        <v>43699.0</v>
      </c>
      <c r="F253" s="50" t="s">
        <v>16458</v>
      </c>
      <c r="G253" s="50">
        <v>57.0</v>
      </c>
      <c r="H253" s="50">
        <v>1.0</v>
      </c>
      <c r="I253" s="50">
        <v>16.0</v>
      </c>
      <c r="J253" s="116"/>
      <c r="K253" s="116"/>
      <c r="L253" s="50" t="s">
        <v>954</v>
      </c>
      <c r="M253" s="50" t="s">
        <v>954</v>
      </c>
      <c r="N253" s="50">
        <v>1.0</v>
      </c>
      <c r="O253" s="50" t="s">
        <v>16459</v>
      </c>
      <c r="P253" s="116"/>
      <c r="Q253" s="116"/>
      <c r="R253" s="50">
        <v>1.0</v>
      </c>
      <c r="S253" s="50" t="s">
        <v>14454</v>
      </c>
      <c r="T253" s="117">
        <v>3974.0</v>
      </c>
      <c r="U253" s="50" t="s">
        <v>16460</v>
      </c>
      <c r="V253" s="50" t="s">
        <v>16461</v>
      </c>
      <c r="W253" s="117">
        <v>253.0</v>
      </c>
    </row>
    <row r="254">
      <c r="A254" s="50" t="s">
        <v>16458</v>
      </c>
      <c r="B254" s="50" t="s">
        <v>6876</v>
      </c>
      <c r="C254" s="50" t="s">
        <v>6877</v>
      </c>
      <c r="D254" s="50" t="s">
        <v>8493</v>
      </c>
      <c r="E254" s="144">
        <v>43699.0</v>
      </c>
      <c r="F254" s="50" t="s">
        <v>16466</v>
      </c>
      <c r="G254" s="50">
        <v>58.0</v>
      </c>
      <c r="H254" s="50">
        <v>1.0</v>
      </c>
      <c r="I254" s="50">
        <v>5.0</v>
      </c>
      <c r="J254" s="116"/>
      <c r="K254" s="116"/>
      <c r="L254" s="50" t="s">
        <v>1093</v>
      </c>
      <c r="M254" s="50" t="s">
        <v>1093</v>
      </c>
      <c r="N254" s="50">
        <v>1.0</v>
      </c>
      <c r="O254" s="50" t="s">
        <v>16459</v>
      </c>
      <c r="P254" s="116"/>
      <c r="Q254" s="116"/>
      <c r="R254" s="50">
        <v>1.0</v>
      </c>
      <c r="S254" s="50" t="s">
        <v>14454</v>
      </c>
      <c r="T254" s="117">
        <v>3975.0</v>
      </c>
      <c r="U254" s="50" t="s">
        <v>16472</v>
      </c>
      <c r="V254" s="50" t="s">
        <v>16473</v>
      </c>
      <c r="W254" s="117">
        <v>254.0</v>
      </c>
    </row>
    <row r="255">
      <c r="A255" s="50" t="s">
        <v>16466</v>
      </c>
      <c r="B255" s="50" t="s">
        <v>6876</v>
      </c>
      <c r="C255" s="50" t="s">
        <v>6877</v>
      </c>
      <c r="D255" s="50" t="s">
        <v>8493</v>
      </c>
      <c r="E255" s="144">
        <v>43699.0</v>
      </c>
      <c r="F255" s="50" t="s">
        <v>16474</v>
      </c>
      <c r="G255" s="50">
        <v>58.0</v>
      </c>
      <c r="H255" s="50">
        <v>1.0</v>
      </c>
      <c r="I255" s="50">
        <v>8.0</v>
      </c>
      <c r="J255" s="116"/>
      <c r="K255" s="116"/>
      <c r="L255" s="50" t="s">
        <v>1092</v>
      </c>
      <c r="M255" s="50" t="s">
        <v>1092</v>
      </c>
      <c r="N255" s="50">
        <v>1.0</v>
      </c>
      <c r="O255" s="50" t="s">
        <v>16459</v>
      </c>
      <c r="P255" s="116"/>
      <c r="Q255" s="116"/>
      <c r="R255" s="50">
        <v>1.0</v>
      </c>
      <c r="S255" s="50" t="s">
        <v>14454</v>
      </c>
      <c r="T255" s="117">
        <v>3976.0</v>
      </c>
      <c r="U255" s="50" t="s">
        <v>16478</v>
      </c>
      <c r="V255" s="50" t="s">
        <v>16480</v>
      </c>
      <c r="W255" s="117">
        <v>255.0</v>
      </c>
    </row>
    <row r="256">
      <c r="A256" s="50" t="s">
        <v>16481</v>
      </c>
      <c r="B256" s="50" t="s">
        <v>6876</v>
      </c>
      <c r="C256" s="50" t="s">
        <v>6877</v>
      </c>
      <c r="D256" s="50" t="s">
        <v>8493</v>
      </c>
      <c r="E256" s="144">
        <v>43723.0</v>
      </c>
      <c r="F256" s="50" t="s">
        <v>16482</v>
      </c>
      <c r="G256" s="50">
        <v>58.0</v>
      </c>
      <c r="H256" s="50">
        <v>1.0</v>
      </c>
      <c r="I256" s="50">
        <v>99.0</v>
      </c>
      <c r="J256" s="116"/>
      <c r="K256" s="116"/>
      <c r="L256" s="50" t="s">
        <v>1094</v>
      </c>
      <c r="M256" s="50" t="s">
        <v>1094</v>
      </c>
      <c r="N256" s="50">
        <v>1.0</v>
      </c>
      <c r="O256" s="50" t="s">
        <v>16459</v>
      </c>
      <c r="P256" s="116"/>
      <c r="Q256" s="116"/>
      <c r="R256" s="50">
        <v>1.0</v>
      </c>
      <c r="S256" s="50" t="s">
        <v>14454</v>
      </c>
      <c r="T256" s="117">
        <v>4172.0</v>
      </c>
      <c r="U256" s="50" t="s">
        <v>16487</v>
      </c>
      <c r="V256" s="50" t="s">
        <v>16489</v>
      </c>
      <c r="W256" s="117">
        <v>256.0</v>
      </c>
    </row>
    <row r="257">
      <c r="A257" s="50" t="s">
        <v>16482</v>
      </c>
      <c r="B257" s="50" t="s">
        <v>6876</v>
      </c>
      <c r="C257" s="50" t="s">
        <v>6877</v>
      </c>
      <c r="D257" s="50" t="s">
        <v>8493</v>
      </c>
      <c r="E257" s="144">
        <v>43723.0</v>
      </c>
      <c r="F257" s="50" t="s">
        <v>16492</v>
      </c>
      <c r="G257" s="50">
        <v>58.0</v>
      </c>
      <c r="H257" s="50">
        <v>1.0</v>
      </c>
      <c r="I257" s="50">
        <v>99.0</v>
      </c>
      <c r="J257" s="116"/>
      <c r="K257" s="116"/>
      <c r="L257" s="50" t="s">
        <v>1096</v>
      </c>
      <c r="M257" s="50" t="s">
        <v>1096</v>
      </c>
      <c r="N257" s="50">
        <v>1.0</v>
      </c>
      <c r="O257" s="50" t="s">
        <v>16459</v>
      </c>
      <c r="P257" s="116"/>
      <c r="Q257" s="116"/>
      <c r="R257" s="50">
        <v>1.0</v>
      </c>
      <c r="S257" s="50" t="s">
        <v>14454</v>
      </c>
      <c r="T257" s="117">
        <v>4173.0</v>
      </c>
      <c r="U257" s="50" t="s">
        <v>16494</v>
      </c>
      <c r="V257" s="50" t="s">
        <v>16495</v>
      </c>
      <c r="W257" s="117">
        <v>257.0</v>
      </c>
    </row>
    <row r="258">
      <c r="A258" s="50" t="s">
        <v>16497</v>
      </c>
      <c r="B258" s="50" t="s">
        <v>6876</v>
      </c>
      <c r="C258" s="50" t="s">
        <v>6877</v>
      </c>
      <c r="D258" s="50" t="s">
        <v>8493</v>
      </c>
      <c r="E258" s="144">
        <v>43723.0</v>
      </c>
      <c r="F258" s="50" t="s">
        <v>16501</v>
      </c>
      <c r="G258" s="50">
        <v>58.0</v>
      </c>
      <c r="H258" s="50">
        <v>1.0</v>
      </c>
      <c r="I258" s="50">
        <v>11.0</v>
      </c>
      <c r="J258" s="116"/>
      <c r="K258" s="116"/>
      <c r="L258" s="50" t="s">
        <v>1087</v>
      </c>
      <c r="M258" s="50" t="s">
        <v>1087</v>
      </c>
      <c r="N258" s="50">
        <v>1.0</v>
      </c>
      <c r="O258" s="50" t="s">
        <v>16459</v>
      </c>
      <c r="P258" s="116"/>
      <c r="Q258" s="50" t="s">
        <v>16502</v>
      </c>
      <c r="R258" s="50">
        <v>1.0</v>
      </c>
      <c r="S258" s="50" t="s">
        <v>14454</v>
      </c>
      <c r="T258" s="117">
        <v>4174.0</v>
      </c>
      <c r="U258" s="50" t="s">
        <v>16503</v>
      </c>
      <c r="V258" s="50" t="s">
        <v>16504</v>
      </c>
      <c r="W258" s="117">
        <v>258.0</v>
      </c>
    </row>
    <row r="259">
      <c r="A259" s="50" t="s">
        <v>16501</v>
      </c>
      <c r="B259" s="50" t="s">
        <v>6876</v>
      </c>
      <c r="C259" s="50" t="s">
        <v>6877</v>
      </c>
      <c r="D259" s="50" t="s">
        <v>8493</v>
      </c>
      <c r="E259" s="144">
        <v>43723.0</v>
      </c>
      <c r="F259" s="50" t="s">
        <v>16505</v>
      </c>
      <c r="G259" s="50">
        <v>58.0</v>
      </c>
      <c r="H259" s="50">
        <v>1.0</v>
      </c>
      <c r="I259" s="50">
        <v>99.0</v>
      </c>
      <c r="J259" s="116"/>
      <c r="K259" s="116"/>
      <c r="L259" s="50" t="s">
        <v>1088</v>
      </c>
      <c r="M259" s="50" t="s">
        <v>1088</v>
      </c>
      <c r="N259" s="50">
        <v>1.0</v>
      </c>
      <c r="O259" s="50" t="s">
        <v>16459</v>
      </c>
      <c r="P259" s="116"/>
      <c r="Q259" s="116"/>
      <c r="R259" s="50">
        <v>1.0</v>
      </c>
      <c r="S259" s="50" t="s">
        <v>14454</v>
      </c>
      <c r="T259" s="117">
        <v>4175.0</v>
      </c>
      <c r="U259" s="50" t="s">
        <v>16513</v>
      </c>
      <c r="V259" s="50" t="s">
        <v>16515</v>
      </c>
      <c r="W259" s="117">
        <v>259.0</v>
      </c>
    </row>
    <row r="260">
      <c r="A260" s="50" t="s">
        <v>16505</v>
      </c>
      <c r="B260" s="50" t="s">
        <v>6876</v>
      </c>
      <c r="C260" s="50" t="s">
        <v>6877</v>
      </c>
      <c r="D260" s="50" t="s">
        <v>8493</v>
      </c>
      <c r="E260" s="144">
        <v>43723.0</v>
      </c>
      <c r="F260" s="50" t="s">
        <v>16516</v>
      </c>
      <c r="G260" s="50">
        <v>58.0</v>
      </c>
      <c r="H260" s="50">
        <v>1.0</v>
      </c>
      <c r="I260" s="50">
        <v>99.0</v>
      </c>
      <c r="J260" s="116"/>
      <c r="K260" s="116"/>
      <c r="L260" s="50" t="s">
        <v>1090</v>
      </c>
      <c r="M260" s="50" t="s">
        <v>1090</v>
      </c>
      <c r="N260" s="50">
        <v>1.0</v>
      </c>
      <c r="O260" s="50" t="s">
        <v>16459</v>
      </c>
      <c r="P260" s="116"/>
      <c r="Q260" s="116"/>
      <c r="R260" s="50">
        <v>1.0</v>
      </c>
      <c r="S260" s="50" t="s">
        <v>14454</v>
      </c>
      <c r="T260" s="117">
        <v>4176.0</v>
      </c>
      <c r="U260" s="50" t="s">
        <v>16517</v>
      </c>
      <c r="V260" s="50" t="s">
        <v>16518</v>
      </c>
      <c r="W260" s="117">
        <v>260.0</v>
      </c>
    </row>
    <row r="261">
      <c r="A261" s="50" t="s">
        <v>16516</v>
      </c>
      <c r="B261" s="50" t="s">
        <v>6876</v>
      </c>
      <c r="C261" s="50" t="s">
        <v>6877</v>
      </c>
      <c r="D261" s="50" t="s">
        <v>8493</v>
      </c>
      <c r="E261" s="144">
        <v>43723.0</v>
      </c>
      <c r="F261" s="50" t="s">
        <v>16522</v>
      </c>
      <c r="G261" s="50">
        <v>58.0</v>
      </c>
      <c r="H261" s="50">
        <v>1.0</v>
      </c>
      <c r="I261" s="50">
        <v>14.0</v>
      </c>
      <c r="J261" s="50">
        <v>141.0</v>
      </c>
      <c r="K261" s="116"/>
      <c r="L261" s="50" t="s">
        <v>537</v>
      </c>
      <c r="M261" s="50" t="s">
        <v>537</v>
      </c>
      <c r="N261" s="50">
        <v>1.0</v>
      </c>
      <c r="O261" s="50" t="s">
        <v>16524</v>
      </c>
      <c r="P261" s="116"/>
      <c r="Q261" s="116"/>
      <c r="R261" s="50">
        <v>5.0</v>
      </c>
      <c r="S261" s="50" t="s">
        <v>14454</v>
      </c>
      <c r="T261" s="117">
        <v>4177.0</v>
      </c>
      <c r="U261" s="50" t="s">
        <v>16525</v>
      </c>
      <c r="V261" s="50" t="s">
        <v>16526</v>
      </c>
      <c r="W261" s="117">
        <v>261.0</v>
      </c>
    </row>
    <row r="262">
      <c r="A262" s="50" t="s">
        <v>16522</v>
      </c>
      <c r="B262" s="50" t="s">
        <v>6876</v>
      </c>
      <c r="C262" s="50" t="s">
        <v>6877</v>
      </c>
      <c r="D262" s="50" t="s">
        <v>8493</v>
      </c>
      <c r="E262" s="144">
        <v>43723.0</v>
      </c>
      <c r="F262" s="50" t="s">
        <v>16531</v>
      </c>
      <c r="G262" s="50">
        <v>58.0</v>
      </c>
      <c r="H262" s="50">
        <v>1.0</v>
      </c>
      <c r="I262" s="50">
        <v>14.0</v>
      </c>
      <c r="J262" s="50">
        <v>143.0</v>
      </c>
      <c r="K262" s="116"/>
      <c r="L262" s="50" t="s">
        <v>543</v>
      </c>
      <c r="M262" s="50" t="s">
        <v>543</v>
      </c>
      <c r="N262" s="50">
        <v>1.0</v>
      </c>
      <c r="O262" s="50" t="s">
        <v>16524</v>
      </c>
      <c r="P262" s="116"/>
      <c r="Q262" s="116"/>
      <c r="R262" s="50">
        <v>5.0</v>
      </c>
      <c r="S262" s="50" t="s">
        <v>14454</v>
      </c>
      <c r="T262" s="117">
        <v>4178.0</v>
      </c>
      <c r="U262" s="50" t="s">
        <v>16536</v>
      </c>
      <c r="V262" s="50" t="s">
        <v>16537</v>
      </c>
      <c r="W262" s="117">
        <v>262.0</v>
      </c>
    </row>
    <row r="263">
      <c r="A263" s="50" t="s">
        <v>16531</v>
      </c>
      <c r="B263" s="50" t="s">
        <v>6876</v>
      </c>
      <c r="C263" s="50" t="s">
        <v>6877</v>
      </c>
      <c r="D263" s="50" t="s">
        <v>8493</v>
      </c>
      <c r="E263" s="144">
        <v>43723.0</v>
      </c>
      <c r="F263" s="50" t="s">
        <v>16538</v>
      </c>
      <c r="G263" s="50">
        <v>58.0</v>
      </c>
      <c r="H263" s="50">
        <v>1.0</v>
      </c>
      <c r="I263" s="50">
        <v>14.0</v>
      </c>
      <c r="J263" s="50">
        <v>142.0</v>
      </c>
      <c r="K263" s="116"/>
      <c r="L263" s="50" t="s">
        <v>539</v>
      </c>
      <c r="M263" s="50" t="s">
        <v>539</v>
      </c>
      <c r="N263" s="50">
        <v>1.0</v>
      </c>
      <c r="O263" s="50" t="s">
        <v>16524</v>
      </c>
      <c r="P263" s="116"/>
      <c r="Q263" s="116"/>
      <c r="R263" s="50">
        <v>5.0</v>
      </c>
      <c r="S263" s="50" t="s">
        <v>14454</v>
      </c>
      <c r="T263" s="117">
        <v>4179.0</v>
      </c>
      <c r="U263" s="50" t="s">
        <v>16544</v>
      </c>
      <c r="V263" s="50" t="s">
        <v>16545</v>
      </c>
      <c r="W263" s="117">
        <v>263.0</v>
      </c>
    </row>
    <row r="264">
      <c r="A264" s="50" t="s">
        <v>16538</v>
      </c>
      <c r="B264" s="50" t="s">
        <v>6876</v>
      </c>
      <c r="C264" s="50" t="s">
        <v>6877</v>
      </c>
      <c r="D264" s="50" t="s">
        <v>8493</v>
      </c>
      <c r="E264" s="144">
        <v>43723.0</v>
      </c>
      <c r="F264" s="50" t="s">
        <v>16546</v>
      </c>
      <c r="G264" s="50">
        <v>58.0</v>
      </c>
      <c r="H264" s="50">
        <v>1.0</v>
      </c>
      <c r="I264" s="50">
        <v>14.0</v>
      </c>
      <c r="J264" s="50">
        <v>145.0</v>
      </c>
      <c r="K264" s="116"/>
      <c r="L264" s="50" t="s">
        <v>548</v>
      </c>
      <c r="M264" s="50" t="s">
        <v>548</v>
      </c>
      <c r="N264" s="50">
        <v>1.0</v>
      </c>
      <c r="O264" s="50" t="s">
        <v>16524</v>
      </c>
      <c r="P264" s="116"/>
      <c r="Q264" s="116"/>
      <c r="R264" s="50">
        <v>5.0</v>
      </c>
      <c r="S264" s="50" t="s">
        <v>14454</v>
      </c>
      <c r="T264" s="117">
        <v>4180.0</v>
      </c>
      <c r="U264" s="50" t="s">
        <v>16550</v>
      </c>
      <c r="V264" s="50" t="s">
        <v>16551</v>
      </c>
      <c r="W264" s="117">
        <v>264.0</v>
      </c>
    </row>
    <row r="265">
      <c r="A265" s="50" t="s">
        <v>16546</v>
      </c>
      <c r="B265" s="50" t="s">
        <v>6876</v>
      </c>
      <c r="C265" s="50" t="s">
        <v>6877</v>
      </c>
      <c r="D265" s="50" t="s">
        <v>8493</v>
      </c>
      <c r="E265" s="144">
        <v>43723.0</v>
      </c>
      <c r="F265" s="50" t="s">
        <v>16560</v>
      </c>
      <c r="G265" s="50">
        <v>58.0</v>
      </c>
      <c r="H265" s="50">
        <v>1.0</v>
      </c>
      <c r="I265" s="50">
        <v>14.0</v>
      </c>
      <c r="J265" s="50">
        <v>144.0</v>
      </c>
      <c r="K265" s="116"/>
      <c r="L265" s="50" t="s">
        <v>545</v>
      </c>
      <c r="M265" s="50" t="s">
        <v>545</v>
      </c>
      <c r="N265" s="50">
        <v>1.0</v>
      </c>
      <c r="O265" s="50" t="s">
        <v>16524</v>
      </c>
      <c r="P265" s="116"/>
      <c r="Q265" s="116"/>
      <c r="R265" s="50">
        <v>5.0</v>
      </c>
      <c r="S265" s="50" t="s">
        <v>14454</v>
      </c>
      <c r="T265" s="117">
        <v>4181.0</v>
      </c>
      <c r="U265" s="50" t="s">
        <v>16563</v>
      </c>
      <c r="V265" s="50" t="s">
        <v>16565</v>
      </c>
      <c r="W265" s="117">
        <v>265.0</v>
      </c>
    </row>
    <row r="266">
      <c r="A266" s="50" t="s">
        <v>16560</v>
      </c>
      <c r="B266" s="50" t="s">
        <v>6876</v>
      </c>
      <c r="C266" s="50" t="s">
        <v>6877</v>
      </c>
      <c r="D266" s="50" t="s">
        <v>8493</v>
      </c>
      <c r="E266" s="144">
        <v>43723.0</v>
      </c>
      <c r="F266" s="50" t="s">
        <v>16566</v>
      </c>
      <c r="G266" s="50">
        <v>58.0</v>
      </c>
      <c r="H266" s="50">
        <v>1.0</v>
      </c>
      <c r="I266" s="50">
        <v>99.0</v>
      </c>
      <c r="J266" s="116"/>
      <c r="K266" s="116"/>
      <c r="L266" s="50" t="s">
        <v>1100</v>
      </c>
      <c r="M266" s="50" t="s">
        <v>1100</v>
      </c>
      <c r="N266" s="50">
        <v>1.0</v>
      </c>
      <c r="O266" s="50" t="s">
        <v>16524</v>
      </c>
      <c r="P266" s="116"/>
      <c r="Q266" s="116"/>
      <c r="R266" s="50">
        <v>5.0</v>
      </c>
      <c r="S266" s="50" t="s">
        <v>14454</v>
      </c>
      <c r="T266" s="117">
        <v>4182.0</v>
      </c>
      <c r="U266" s="50" t="s">
        <v>16568</v>
      </c>
      <c r="V266" s="50" t="s">
        <v>16569</v>
      </c>
      <c r="W266" s="117">
        <v>266.0</v>
      </c>
    </row>
    <row r="267">
      <c r="A267" s="50" t="s">
        <v>16566</v>
      </c>
      <c r="B267" s="50" t="s">
        <v>6876</v>
      </c>
      <c r="C267" s="50" t="s">
        <v>6877</v>
      </c>
      <c r="D267" s="50" t="s">
        <v>8493</v>
      </c>
      <c r="E267" s="144">
        <v>43723.0</v>
      </c>
      <c r="F267" s="50" t="s">
        <v>16570</v>
      </c>
      <c r="G267" s="50">
        <v>58.0</v>
      </c>
      <c r="H267" s="50">
        <v>1.0</v>
      </c>
      <c r="I267" s="50">
        <v>99.0</v>
      </c>
      <c r="J267" s="116"/>
      <c r="K267" s="116"/>
      <c r="L267" s="50" t="s">
        <v>1103</v>
      </c>
      <c r="M267" s="50" t="s">
        <v>1103</v>
      </c>
      <c r="N267" s="50">
        <v>1.0</v>
      </c>
      <c r="O267" s="50" t="s">
        <v>16524</v>
      </c>
      <c r="P267" s="116"/>
      <c r="Q267" s="116"/>
      <c r="R267" s="50">
        <v>5.0</v>
      </c>
      <c r="S267" s="50" t="s">
        <v>14454</v>
      </c>
      <c r="T267" s="117">
        <v>4183.0</v>
      </c>
      <c r="U267" s="50" t="s">
        <v>16572</v>
      </c>
      <c r="V267" s="50" t="s">
        <v>16574</v>
      </c>
      <c r="W267" s="117">
        <v>267.0</v>
      </c>
    </row>
    <row r="268">
      <c r="A268" s="50" t="s">
        <v>16570</v>
      </c>
      <c r="B268" s="50" t="s">
        <v>6876</v>
      </c>
      <c r="C268" s="50" t="s">
        <v>6877</v>
      </c>
      <c r="D268" s="50" t="s">
        <v>8493</v>
      </c>
      <c r="E268" s="144">
        <v>43723.0</v>
      </c>
      <c r="F268" s="50" t="s">
        <v>16580</v>
      </c>
      <c r="G268" s="50">
        <v>58.0</v>
      </c>
      <c r="H268" s="50">
        <v>1.0</v>
      </c>
      <c r="I268" s="50">
        <v>99.0</v>
      </c>
      <c r="J268" s="116"/>
      <c r="K268" s="116"/>
      <c r="L268" s="50" t="s">
        <v>1100</v>
      </c>
      <c r="M268" s="50" t="s">
        <v>1100</v>
      </c>
      <c r="N268" s="50">
        <v>1.0</v>
      </c>
      <c r="O268" s="50" t="s">
        <v>16524</v>
      </c>
      <c r="P268" s="116"/>
      <c r="Q268" s="116"/>
      <c r="R268" s="50">
        <v>5.0</v>
      </c>
      <c r="S268" s="50" t="s">
        <v>14454</v>
      </c>
      <c r="T268" s="117">
        <v>4184.0</v>
      </c>
      <c r="U268" s="50" t="s">
        <v>16583</v>
      </c>
      <c r="V268" s="50" t="s">
        <v>16584</v>
      </c>
      <c r="W268" s="117">
        <v>268.0</v>
      </c>
    </row>
    <row r="269">
      <c r="A269" s="50" t="s">
        <v>16580</v>
      </c>
      <c r="B269" s="50" t="s">
        <v>6876</v>
      </c>
      <c r="C269" s="50" t="s">
        <v>6877</v>
      </c>
      <c r="D269" s="50" t="s">
        <v>8493</v>
      </c>
      <c r="E269" s="144">
        <v>43723.0</v>
      </c>
      <c r="F269" s="50" t="s">
        <v>16586</v>
      </c>
      <c r="G269" s="50">
        <v>58.0</v>
      </c>
      <c r="H269" s="50">
        <v>1.0</v>
      </c>
      <c r="I269" s="50">
        <v>99.0</v>
      </c>
      <c r="J269" s="116"/>
      <c r="K269" s="116"/>
      <c r="L269" s="50" t="s">
        <v>1105</v>
      </c>
      <c r="M269" s="50" t="s">
        <v>1105</v>
      </c>
      <c r="N269" s="50">
        <v>1.0</v>
      </c>
      <c r="O269" s="50" t="s">
        <v>16524</v>
      </c>
      <c r="P269" s="116"/>
      <c r="Q269" s="116"/>
      <c r="R269" s="50">
        <v>5.0</v>
      </c>
      <c r="S269" s="50" t="s">
        <v>14454</v>
      </c>
      <c r="T269" s="117">
        <v>4185.0</v>
      </c>
      <c r="U269" s="50" t="s">
        <v>16590</v>
      </c>
      <c r="V269" s="50" t="s">
        <v>16591</v>
      </c>
      <c r="W269" s="117">
        <v>269.0</v>
      </c>
    </row>
    <row r="270">
      <c r="A270" s="50" t="s">
        <v>16586</v>
      </c>
      <c r="B270" s="50" t="s">
        <v>6876</v>
      </c>
      <c r="C270" s="50" t="s">
        <v>6877</v>
      </c>
      <c r="D270" s="50" t="s">
        <v>8493</v>
      </c>
      <c r="E270" s="144">
        <v>43723.0</v>
      </c>
      <c r="F270" s="50" t="s">
        <v>16593</v>
      </c>
      <c r="G270" s="50">
        <v>58.0</v>
      </c>
      <c r="H270" s="50">
        <v>1.0</v>
      </c>
      <c r="I270" s="50">
        <v>99.0</v>
      </c>
      <c r="J270" s="116"/>
      <c r="K270" s="116"/>
      <c r="L270" s="50" t="s">
        <v>1104</v>
      </c>
      <c r="M270" s="50" t="s">
        <v>1104</v>
      </c>
      <c r="N270" s="50">
        <v>1.0</v>
      </c>
      <c r="O270" s="50" t="s">
        <v>16524</v>
      </c>
      <c r="P270" s="116"/>
      <c r="Q270" s="116"/>
      <c r="R270" s="50">
        <v>5.0</v>
      </c>
      <c r="S270" s="50" t="s">
        <v>14454</v>
      </c>
      <c r="T270" s="117">
        <v>4186.0</v>
      </c>
      <c r="U270" s="50" t="s">
        <v>16594</v>
      </c>
      <c r="V270" s="50" t="s">
        <v>16595</v>
      </c>
      <c r="W270" s="117">
        <v>270.0</v>
      </c>
    </row>
    <row r="271">
      <c r="A271" s="50" t="s">
        <v>16593</v>
      </c>
      <c r="B271" s="50" t="s">
        <v>6876</v>
      </c>
      <c r="C271" s="50" t="s">
        <v>6877</v>
      </c>
      <c r="D271" s="50" t="s">
        <v>8493</v>
      </c>
      <c r="E271" s="144">
        <v>43723.0</v>
      </c>
      <c r="F271" s="50" t="s">
        <v>16599</v>
      </c>
      <c r="G271" s="50">
        <v>58.0</v>
      </c>
      <c r="H271" s="50">
        <v>1.0</v>
      </c>
      <c r="I271" s="50">
        <v>15.0</v>
      </c>
      <c r="J271" s="116"/>
      <c r="K271" s="50">
        <v>151.0</v>
      </c>
      <c r="L271" s="50" t="s">
        <v>551</v>
      </c>
      <c r="M271" s="50" t="s">
        <v>551</v>
      </c>
      <c r="N271" s="50">
        <v>1.0</v>
      </c>
      <c r="O271" s="50" t="s">
        <v>16524</v>
      </c>
      <c r="P271" s="116"/>
      <c r="Q271" s="116"/>
      <c r="R271" s="50">
        <v>5.0</v>
      </c>
      <c r="S271" s="50" t="s">
        <v>14454</v>
      </c>
      <c r="T271" s="117">
        <v>4187.0</v>
      </c>
      <c r="U271" s="50" t="s">
        <v>16605</v>
      </c>
      <c r="V271" s="50" t="s">
        <v>16606</v>
      </c>
      <c r="W271" s="117">
        <v>271.0</v>
      </c>
    </row>
    <row r="272">
      <c r="A272" s="50" t="s">
        <v>16599</v>
      </c>
      <c r="B272" s="50" t="s">
        <v>6876</v>
      </c>
      <c r="C272" s="50" t="s">
        <v>6877</v>
      </c>
      <c r="D272" s="50" t="s">
        <v>8493</v>
      </c>
      <c r="E272" s="144">
        <v>43723.0</v>
      </c>
      <c r="F272" s="50" t="s">
        <v>16607</v>
      </c>
      <c r="G272" s="50">
        <v>58.0</v>
      </c>
      <c r="H272" s="50">
        <v>1.0</v>
      </c>
      <c r="I272" s="50">
        <v>15.0</v>
      </c>
      <c r="J272" s="116"/>
      <c r="K272" s="50">
        <v>152.0</v>
      </c>
      <c r="L272" s="50" t="s">
        <v>556</v>
      </c>
      <c r="M272" s="50" t="s">
        <v>556</v>
      </c>
      <c r="N272" s="50">
        <v>1.0</v>
      </c>
      <c r="O272" s="50" t="s">
        <v>16524</v>
      </c>
      <c r="P272" s="116"/>
      <c r="Q272" s="116"/>
      <c r="R272" s="50">
        <v>5.0</v>
      </c>
      <c r="S272" s="50" t="s">
        <v>14454</v>
      </c>
      <c r="T272" s="117">
        <v>4188.0</v>
      </c>
      <c r="U272" s="50" t="s">
        <v>16611</v>
      </c>
      <c r="V272" s="50" t="s">
        <v>16612</v>
      </c>
      <c r="W272" s="117">
        <v>272.0</v>
      </c>
    </row>
    <row r="273">
      <c r="A273" s="50" t="s">
        <v>16607</v>
      </c>
      <c r="B273" s="50" t="s">
        <v>6876</v>
      </c>
      <c r="C273" s="50" t="s">
        <v>6877</v>
      </c>
      <c r="D273" s="50" t="s">
        <v>8493</v>
      </c>
      <c r="E273" s="144">
        <v>43723.0</v>
      </c>
      <c r="F273" s="50" t="s">
        <v>16614</v>
      </c>
      <c r="G273" s="50">
        <v>58.0</v>
      </c>
      <c r="H273" s="50">
        <v>1.0</v>
      </c>
      <c r="I273" s="50">
        <v>15.0</v>
      </c>
      <c r="J273" s="116"/>
      <c r="K273" s="50">
        <v>152.0</v>
      </c>
      <c r="L273" s="50" t="s">
        <v>558</v>
      </c>
      <c r="M273" s="50" t="s">
        <v>558</v>
      </c>
      <c r="N273" s="50">
        <v>1.0</v>
      </c>
      <c r="O273" s="50" t="s">
        <v>16524</v>
      </c>
      <c r="P273" s="116"/>
      <c r="Q273" s="116"/>
      <c r="R273" s="50">
        <v>5.0</v>
      </c>
      <c r="S273" s="50" t="s">
        <v>14454</v>
      </c>
      <c r="T273" s="117">
        <v>4189.0</v>
      </c>
      <c r="U273" s="50" t="s">
        <v>16618</v>
      </c>
      <c r="V273" s="50" t="s">
        <v>16620</v>
      </c>
      <c r="W273" s="117">
        <v>273.0</v>
      </c>
    </row>
    <row r="274">
      <c r="A274" s="50" t="s">
        <v>16614</v>
      </c>
      <c r="B274" s="50" t="s">
        <v>6876</v>
      </c>
      <c r="C274" s="50" t="s">
        <v>6877</v>
      </c>
      <c r="D274" s="50" t="s">
        <v>8493</v>
      </c>
      <c r="E274" s="144">
        <v>43723.0</v>
      </c>
      <c r="F274" s="50" t="s">
        <v>16625</v>
      </c>
      <c r="G274" s="50">
        <v>58.0</v>
      </c>
      <c r="H274" s="50">
        <v>1.0</v>
      </c>
      <c r="I274" s="50">
        <v>15.0</v>
      </c>
      <c r="J274" s="116"/>
      <c r="K274" s="50">
        <v>152.0</v>
      </c>
      <c r="L274" s="50" t="s">
        <v>215</v>
      </c>
      <c r="M274" s="50" t="s">
        <v>215</v>
      </c>
      <c r="N274" s="50">
        <v>1.0</v>
      </c>
      <c r="O274" s="50" t="s">
        <v>16524</v>
      </c>
      <c r="P274" s="116"/>
      <c r="Q274" s="116"/>
      <c r="R274" s="50">
        <v>5.0</v>
      </c>
      <c r="S274" s="50" t="s">
        <v>14454</v>
      </c>
      <c r="T274" s="117">
        <v>4190.0</v>
      </c>
      <c r="U274" s="50" t="s">
        <v>16630</v>
      </c>
      <c r="V274" s="50" t="s">
        <v>16631</v>
      </c>
      <c r="W274" s="117">
        <v>274.0</v>
      </c>
    </row>
    <row r="275">
      <c r="A275" s="50" t="s">
        <v>16625</v>
      </c>
      <c r="B275" s="50" t="s">
        <v>6876</v>
      </c>
      <c r="C275" s="50" t="s">
        <v>6877</v>
      </c>
      <c r="D275" s="50" t="s">
        <v>8493</v>
      </c>
      <c r="E275" s="144">
        <v>43723.0</v>
      </c>
      <c r="F275" s="50" t="s">
        <v>16632</v>
      </c>
      <c r="G275" s="50">
        <v>58.0</v>
      </c>
      <c r="H275" s="50">
        <v>1.0</v>
      </c>
      <c r="I275" s="50">
        <v>15.0</v>
      </c>
      <c r="J275" s="116"/>
      <c r="K275" s="50">
        <v>152.0</v>
      </c>
      <c r="L275" s="50" t="s">
        <v>562</v>
      </c>
      <c r="M275" s="50" t="s">
        <v>562</v>
      </c>
      <c r="N275" s="50">
        <v>1.0</v>
      </c>
      <c r="O275" s="50" t="s">
        <v>16524</v>
      </c>
      <c r="P275" s="116"/>
      <c r="Q275" s="116"/>
      <c r="R275" s="50">
        <v>5.0</v>
      </c>
      <c r="S275" s="50" t="s">
        <v>14454</v>
      </c>
      <c r="T275" s="117">
        <v>4191.0</v>
      </c>
      <c r="U275" s="50" t="s">
        <v>16637</v>
      </c>
      <c r="V275" s="50" t="s">
        <v>16638</v>
      </c>
      <c r="W275" s="117">
        <v>275.0</v>
      </c>
    </row>
    <row r="276">
      <c r="A276" s="50" t="s">
        <v>16640</v>
      </c>
      <c r="B276" s="50" t="s">
        <v>6876</v>
      </c>
      <c r="C276" s="50" t="s">
        <v>6877</v>
      </c>
      <c r="D276" s="50" t="s">
        <v>8493</v>
      </c>
      <c r="E276" s="144">
        <v>43723.0</v>
      </c>
      <c r="F276" s="50" t="s">
        <v>16641</v>
      </c>
      <c r="G276" s="50">
        <v>58.0</v>
      </c>
      <c r="H276" s="50">
        <v>1.0</v>
      </c>
      <c r="I276" s="50">
        <v>99.0</v>
      </c>
      <c r="J276" s="116"/>
      <c r="K276" s="116"/>
      <c r="L276" s="50" t="s">
        <v>1114</v>
      </c>
      <c r="M276" s="50" t="s">
        <v>1114</v>
      </c>
      <c r="N276" s="50">
        <v>1.0</v>
      </c>
      <c r="O276" s="50" t="s">
        <v>16524</v>
      </c>
      <c r="P276" s="116"/>
      <c r="Q276" s="116"/>
      <c r="R276" s="50">
        <v>5.0</v>
      </c>
      <c r="S276" s="50" t="s">
        <v>14454</v>
      </c>
      <c r="T276" s="117">
        <v>4192.0</v>
      </c>
      <c r="U276" s="50" t="s">
        <v>16642</v>
      </c>
      <c r="V276" s="50" t="s">
        <v>16643</v>
      </c>
      <c r="W276" s="117">
        <v>276.0</v>
      </c>
    </row>
    <row r="277">
      <c r="A277" s="50" t="s">
        <v>16641</v>
      </c>
      <c r="B277" s="50" t="s">
        <v>6876</v>
      </c>
      <c r="C277" s="50" t="s">
        <v>6877</v>
      </c>
      <c r="D277" s="50" t="s">
        <v>8493</v>
      </c>
      <c r="E277" s="144">
        <v>43723.0</v>
      </c>
      <c r="F277" s="50" t="s">
        <v>16647</v>
      </c>
      <c r="G277" s="50">
        <v>58.0</v>
      </c>
      <c r="H277" s="50">
        <v>1.0</v>
      </c>
      <c r="I277" s="50">
        <v>99.0</v>
      </c>
      <c r="J277" s="116"/>
      <c r="K277" s="116"/>
      <c r="L277" s="50" t="s">
        <v>1116</v>
      </c>
      <c r="M277" s="50" t="s">
        <v>1116</v>
      </c>
      <c r="N277" s="50">
        <v>1.0</v>
      </c>
      <c r="O277" s="50" t="s">
        <v>16653</v>
      </c>
      <c r="P277" s="116"/>
      <c r="Q277" s="116"/>
      <c r="R277" s="50">
        <v>1.0</v>
      </c>
      <c r="S277" s="50" t="s">
        <v>14454</v>
      </c>
      <c r="T277" s="117">
        <v>4193.0</v>
      </c>
      <c r="U277" s="50" t="s">
        <v>16655</v>
      </c>
      <c r="V277" s="50" t="s">
        <v>16656</v>
      </c>
      <c r="W277" s="117">
        <v>277.0</v>
      </c>
    </row>
    <row r="278">
      <c r="A278" s="50" t="s">
        <v>16647</v>
      </c>
      <c r="B278" s="50" t="s">
        <v>6876</v>
      </c>
      <c r="C278" s="50" t="s">
        <v>6877</v>
      </c>
      <c r="D278" s="50" t="s">
        <v>8493</v>
      </c>
      <c r="E278" s="144">
        <v>43723.0</v>
      </c>
      <c r="F278" s="50" t="s">
        <v>16660</v>
      </c>
      <c r="G278" s="50">
        <v>58.0</v>
      </c>
      <c r="H278" s="50">
        <v>1.0</v>
      </c>
      <c r="I278" s="50">
        <v>15.0</v>
      </c>
      <c r="J278" s="116"/>
      <c r="K278" s="50">
        <v>152.0</v>
      </c>
      <c r="L278" s="50" t="s">
        <v>565</v>
      </c>
      <c r="M278" s="50" t="s">
        <v>565</v>
      </c>
      <c r="N278" s="50">
        <v>1.0</v>
      </c>
      <c r="O278" s="50" t="s">
        <v>16524</v>
      </c>
      <c r="P278" s="116"/>
      <c r="Q278" s="116"/>
      <c r="R278" s="50">
        <v>5.0</v>
      </c>
      <c r="S278" s="50" t="s">
        <v>14454</v>
      </c>
      <c r="T278" s="117">
        <v>4194.0</v>
      </c>
      <c r="U278" s="50" t="s">
        <v>16663</v>
      </c>
      <c r="V278" s="50" t="s">
        <v>16665</v>
      </c>
      <c r="W278" s="117">
        <v>278.0</v>
      </c>
    </row>
    <row r="279">
      <c r="A279" s="50" t="s">
        <v>16660</v>
      </c>
      <c r="B279" s="50" t="s">
        <v>6876</v>
      </c>
      <c r="C279" s="50" t="s">
        <v>6877</v>
      </c>
      <c r="D279" s="50" t="s">
        <v>8493</v>
      </c>
      <c r="E279" s="144">
        <v>43723.0</v>
      </c>
      <c r="F279" s="50" t="s">
        <v>16670</v>
      </c>
      <c r="G279" s="50">
        <v>58.0</v>
      </c>
      <c r="H279" s="50">
        <v>1.0</v>
      </c>
      <c r="I279" s="50">
        <v>15.0</v>
      </c>
      <c r="J279" s="116"/>
      <c r="K279" s="50">
        <v>152.0</v>
      </c>
      <c r="L279" s="50" t="s">
        <v>567</v>
      </c>
      <c r="M279" s="50" t="s">
        <v>567</v>
      </c>
      <c r="N279" s="50">
        <v>1.0</v>
      </c>
      <c r="O279" s="50" t="s">
        <v>16524</v>
      </c>
      <c r="P279" s="116"/>
      <c r="Q279" s="116"/>
      <c r="R279" s="50">
        <v>5.0</v>
      </c>
      <c r="S279" s="50" t="s">
        <v>14454</v>
      </c>
      <c r="T279" s="117">
        <v>4195.0</v>
      </c>
      <c r="U279" s="50" t="s">
        <v>16671</v>
      </c>
      <c r="V279" s="50" t="s">
        <v>16673</v>
      </c>
      <c r="W279" s="117">
        <v>279.0</v>
      </c>
    </row>
    <row r="280">
      <c r="A280" s="50" t="s">
        <v>16670</v>
      </c>
      <c r="B280" s="50" t="s">
        <v>6876</v>
      </c>
      <c r="C280" s="50" t="s">
        <v>6877</v>
      </c>
      <c r="D280" s="50" t="s">
        <v>8493</v>
      </c>
      <c r="E280" s="144">
        <v>43723.0</v>
      </c>
      <c r="F280" s="50" t="s">
        <v>16680</v>
      </c>
      <c r="G280" s="50">
        <v>58.0</v>
      </c>
      <c r="H280" s="50">
        <v>1.0</v>
      </c>
      <c r="I280" s="50">
        <v>99.0</v>
      </c>
      <c r="J280" s="116"/>
      <c r="K280" s="116"/>
      <c r="L280" s="50" t="s">
        <v>1119</v>
      </c>
      <c r="M280" s="50" t="s">
        <v>1119</v>
      </c>
      <c r="N280" s="50">
        <v>1.0</v>
      </c>
      <c r="O280" s="50" t="s">
        <v>16524</v>
      </c>
      <c r="P280" s="116"/>
      <c r="Q280" s="116"/>
      <c r="R280" s="50">
        <v>5.0</v>
      </c>
      <c r="S280" s="50" t="s">
        <v>14454</v>
      </c>
      <c r="T280" s="117">
        <v>4196.0</v>
      </c>
      <c r="U280" s="50" t="s">
        <v>16683</v>
      </c>
      <c r="V280" s="50" t="s">
        <v>16684</v>
      </c>
      <c r="W280" s="117">
        <v>280.0</v>
      </c>
    </row>
    <row r="281">
      <c r="A281" s="50" t="s">
        <v>16680</v>
      </c>
      <c r="B281" s="50" t="s">
        <v>6876</v>
      </c>
      <c r="C281" s="50" t="s">
        <v>6877</v>
      </c>
      <c r="D281" s="50" t="s">
        <v>8493</v>
      </c>
      <c r="E281" s="144">
        <v>43723.0</v>
      </c>
      <c r="F281" s="50" t="s">
        <v>16688</v>
      </c>
      <c r="G281" s="50">
        <v>58.0</v>
      </c>
      <c r="H281" s="50">
        <v>1.0</v>
      </c>
      <c r="I281" s="50">
        <v>99.0</v>
      </c>
      <c r="J281" s="116"/>
      <c r="K281" s="116"/>
      <c r="L281" s="50" t="s">
        <v>1120</v>
      </c>
      <c r="M281" s="50" t="s">
        <v>1120</v>
      </c>
      <c r="N281" s="50">
        <v>1.0</v>
      </c>
      <c r="O281" s="50" t="s">
        <v>16653</v>
      </c>
      <c r="P281" s="116"/>
      <c r="Q281" s="116"/>
      <c r="R281" s="50">
        <v>1.0</v>
      </c>
      <c r="S281" s="50" t="s">
        <v>14454</v>
      </c>
      <c r="T281" s="117">
        <v>4197.0</v>
      </c>
      <c r="U281" s="50" t="s">
        <v>16690</v>
      </c>
      <c r="V281" s="50" t="s">
        <v>16691</v>
      </c>
      <c r="W281" s="117">
        <v>281.0</v>
      </c>
    </row>
    <row r="282">
      <c r="A282" s="50" t="s">
        <v>16688</v>
      </c>
      <c r="B282" s="50" t="s">
        <v>6876</v>
      </c>
      <c r="C282" s="50" t="s">
        <v>6877</v>
      </c>
      <c r="D282" s="50" t="s">
        <v>8493</v>
      </c>
      <c r="E282" s="144">
        <v>43723.0</v>
      </c>
      <c r="F282" s="50" t="s">
        <v>16696</v>
      </c>
      <c r="G282" s="50">
        <v>58.0</v>
      </c>
      <c r="H282" s="50">
        <v>1.0</v>
      </c>
      <c r="I282" s="50">
        <v>1.0</v>
      </c>
      <c r="J282" s="116"/>
      <c r="K282" s="116"/>
      <c r="L282" s="50" t="s">
        <v>1123</v>
      </c>
      <c r="M282" s="50" t="s">
        <v>1123</v>
      </c>
      <c r="N282" s="50">
        <v>1.0</v>
      </c>
      <c r="O282" s="50" t="s">
        <v>16653</v>
      </c>
      <c r="P282" s="116"/>
      <c r="Q282" s="116"/>
      <c r="R282" s="50">
        <v>1.0</v>
      </c>
      <c r="S282" s="50" t="s">
        <v>14454</v>
      </c>
      <c r="T282" s="117">
        <v>4198.0</v>
      </c>
      <c r="U282" s="50" t="s">
        <v>16702</v>
      </c>
      <c r="V282" s="50" t="s">
        <v>16703</v>
      </c>
      <c r="W282" s="117">
        <v>282.0</v>
      </c>
    </row>
    <row r="283">
      <c r="A283" s="50" t="s">
        <v>16696</v>
      </c>
      <c r="B283" s="50" t="s">
        <v>6876</v>
      </c>
      <c r="C283" s="50" t="s">
        <v>6877</v>
      </c>
      <c r="D283" s="50" t="s">
        <v>8493</v>
      </c>
      <c r="E283" s="144">
        <v>43723.0</v>
      </c>
      <c r="F283" s="50" t="s">
        <v>16704</v>
      </c>
      <c r="G283" s="50">
        <v>57.0</v>
      </c>
      <c r="H283" s="50">
        <v>1.0</v>
      </c>
      <c r="I283" s="50">
        <v>16.0</v>
      </c>
      <c r="J283" s="116"/>
      <c r="K283" s="116"/>
      <c r="L283" s="50" t="s">
        <v>1110</v>
      </c>
      <c r="M283" s="50" t="s">
        <v>1110</v>
      </c>
      <c r="N283" s="50">
        <v>1.0</v>
      </c>
      <c r="O283" s="50" t="s">
        <v>16707</v>
      </c>
      <c r="P283" s="116"/>
      <c r="Q283" s="116"/>
      <c r="R283" s="50">
        <v>1.0</v>
      </c>
      <c r="S283" s="50" t="s">
        <v>14454</v>
      </c>
      <c r="T283" s="117">
        <v>4199.0</v>
      </c>
      <c r="U283" s="50" t="s">
        <v>16710</v>
      </c>
      <c r="V283" s="50" t="s">
        <v>16711</v>
      </c>
      <c r="W283" s="117">
        <v>283.0</v>
      </c>
    </row>
    <row r="284">
      <c r="A284" s="50" t="s">
        <v>16704</v>
      </c>
      <c r="B284" s="50" t="s">
        <v>6876</v>
      </c>
      <c r="C284" s="50" t="s">
        <v>6877</v>
      </c>
      <c r="D284" s="50" t="s">
        <v>8493</v>
      </c>
      <c r="E284" s="144">
        <v>43723.0</v>
      </c>
      <c r="F284" s="50" t="s">
        <v>16713</v>
      </c>
      <c r="G284" s="50">
        <v>58.0</v>
      </c>
      <c r="H284" s="50">
        <v>1.0</v>
      </c>
      <c r="I284" s="50">
        <v>99.0</v>
      </c>
      <c r="J284" s="116"/>
      <c r="K284" s="116"/>
      <c r="L284" s="50" t="s">
        <v>1125</v>
      </c>
      <c r="M284" s="50" t="s">
        <v>1125</v>
      </c>
      <c r="N284" s="50">
        <v>1.0</v>
      </c>
      <c r="O284" s="50" t="s">
        <v>16653</v>
      </c>
      <c r="P284" s="116"/>
      <c r="Q284" s="116"/>
      <c r="R284" s="50">
        <v>1.0</v>
      </c>
      <c r="S284" s="50" t="s">
        <v>14454</v>
      </c>
      <c r="T284" s="117">
        <v>4200.0</v>
      </c>
      <c r="U284" s="50" t="s">
        <v>16715</v>
      </c>
      <c r="V284" s="50" t="s">
        <v>16716</v>
      </c>
      <c r="W284" s="117">
        <v>284.0</v>
      </c>
    </row>
    <row r="285">
      <c r="A285" s="50" t="s">
        <v>16713</v>
      </c>
      <c r="B285" s="50" t="s">
        <v>6876</v>
      </c>
      <c r="C285" s="50" t="s">
        <v>6877</v>
      </c>
      <c r="D285" s="50" t="s">
        <v>8493</v>
      </c>
      <c r="E285" s="144">
        <v>43723.0</v>
      </c>
      <c r="F285" s="50" t="s">
        <v>16724</v>
      </c>
      <c r="G285" s="50">
        <v>58.0</v>
      </c>
      <c r="H285" s="50">
        <v>1.0</v>
      </c>
      <c r="I285" s="50">
        <v>99.0</v>
      </c>
      <c r="J285" s="116"/>
      <c r="K285" s="116"/>
      <c r="L285" s="50" t="s">
        <v>1126</v>
      </c>
      <c r="M285" s="50" t="s">
        <v>1126</v>
      </c>
      <c r="N285" s="50">
        <v>1.0</v>
      </c>
      <c r="O285" s="50" t="s">
        <v>16653</v>
      </c>
      <c r="P285" s="116"/>
      <c r="Q285" s="116"/>
      <c r="R285" s="50">
        <v>1.0</v>
      </c>
      <c r="S285" s="50" t="s">
        <v>14454</v>
      </c>
      <c r="T285" s="117">
        <v>4201.0</v>
      </c>
      <c r="U285" s="50" t="s">
        <v>16730</v>
      </c>
      <c r="V285" s="50" t="s">
        <v>16731</v>
      </c>
      <c r="W285" s="117">
        <v>285.0</v>
      </c>
    </row>
    <row r="286">
      <c r="A286" s="50" t="s">
        <v>16724</v>
      </c>
      <c r="B286" s="50" t="s">
        <v>6876</v>
      </c>
      <c r="C286" s="50" t="s">
        <v>6877</v>
      </c>
      <c r="D286" s="50" t="s">
        <v>8493</v>
      </c>
      <c r="E286" s="144">
        <v>43723.0</v>
      </c>
      <c r="F286" s="50" t="s">
        <v>16732</v>
      </c>
      <c r="G286" s="50">
        <v>58.0</v>
      </c>
      <c r="H286" s="50">
        <v>1.0</v>
      </c>
      <c r="I286" s="50">
        <v>2.0</v>
      </c>
      <c r="J286" s="116"/>
      <c r="K286" s="116"/>
      <c r="L286" s="50" t="s">
        <v>1128</v>
      </c>
      <c r="M286" s="50" t="s">
        <v>1128</v>
      </c>
      <c r="N286" s="50">
        <v>1.0</v>
      </c>
      <c r="O286" s="50" t="s">
        <v>16653</v>
      </c>
      <c r="P286" s="116"/>
      <c r="Q286" s="116"/>
      <c r="R286" s="50">
        <v>1.0</v>
      </c>
      <c r="S286" s="50" t="s">
        <v>14454</v>
      </c>
      <c r="T286" s="117">
        <v>4202.0</v>
      </c>
      <c r="U286" s="50" t="s">
        <v>16733</v>
      </c>
      <c r="V286" s="50" t="s">
        <v>16734</v>
      </c>
      <c r="W286" s="117">
        <v>286.0</v>
      </c>
    </row>
    <row r="287">
      <c r="A287" s="50" t="s">
        <v>16732</v>
      </c>
      <c r="B287" s="50" t="s">
        <v>6876</v>
      </c>
      <c r="C287" s="50" t="s">
        <v>6877</v>
      </c>
      <c r="D287" s="50" t="s">
        <v>8493</v>
      </c>
      <c r="E287" s="144">
        <v>43723.0</v>
      </c>
      <c r="F287" s="50" t="s">
        <v>16741</v>
      </c>
      <c r="G287" s="50">
        <v>58.0</v>
      </c>
      <c r="H287" s="50">
        <v>1.0</v>
      </c>
      <c r="I287" s="50">
        <v>99.0</v>
      </c>
      <c r="J287" s="116"/>
      <c r="K287" s="116"/>
      <c r="L287" s="50" t="s">
        <v>1129</v>
      </c>
      <c r="M287" s="50" t="s">
        <v>1129</v>
      </c>
      <c r="N287" s="50">
        <v>1.0</v>
      </c>
      <c r="O287" s="50" t="s">
        <v>16653</v>
      </c>
      <c r="P287" s="116"/>
      <c r="Q287" s="116"/>
      <c r="R287" s="50">
        <v>1.0</v>
      </c>
      <c r="S287" s="50" t="s">
        <v>14454</v>
      </c>
      <c r="T287" s="117">
        <v>4203.0</v>
      </c>
      <c r="U287" s="50" t="s">
        <v>16745</v>
      </c>
      <c r="V287" s="50" t="s">
        <v>16746</v>
      </c>
      <c r="W287" s="117">
        <v>287.0</v>
      </c>
    </row>
    <row r="288">
      <c r="A288" s="50" t="s">
        <v>16741</v>
      </c>
      <c r="B288" s="50" t="s">
        <v>6876</v>
      </c>
      <c r="C288" s="50" t="s">
        <v>6877</v>
      </c>
      <c r="D288" s="50" t="s">
        <v>8493</v>
      </c>
      <c r="E288" s="144">
        <v>43723.0</v>
      </c>
      <c r="F288" s="50" t="s">
        <v>16749</v>
      </c>
      <c r="G288" s="50">
        <v>58.0</v>
      </c>
      <c r="H288" s="50">
        <v>1.0</v>
      </c>
      <c r="I288" s="50">
        <v>99.0</v>
      </c>
      <c r="J288" s="116"/>
      <c r="K288" s="116"/>
      <c r="L288" s="50" t="s">
        <v>1131</v>
      </c>
      <c r="M288" s="50" t="s">
        <v>1131</v>
      </c>
      <c r="N288" s="50">
        <v>1.0</v>
      </c>
      <c r="O288" s="50" t="s">
        <v>16653</v>
      </c>
      <c r="P288" s="116"/>
      <c r="Q288" s="116"/>
      <c r="R288" s="50">
        <v>1.0</v>
      </c>
      <c r="S288" s="50" t="s">
        <v>14454</v>
      </c>
      <c r="T288" s="117">
        <v>4204.0</v>
      </c>
      <c r="U288" s="50" t="s">
        <v>16752</v>
      </c>
      <c r="V288" s="50" t="s">
        <v>16753</v>
      </c>
      <c r="W288" s="117">
        <v>288.0</v>
      </c>
    </row>
    <row r="289">
      <c r="A289" s="50" t="s">
        <v>16749</v>
      </c>
      <c r="B289" s="50" t="s">
        <v>6876</v>
      </c>
      <c r="C289" s="50" t="s">
        <v>6877</v>
      </c>
      <c r="D289" s="50" t="s">
        <v>8493</v>
      </c>
      <c r="E289" s="144">
        <v>43723.0</v>
      </c>
      <c r="F289" s="50" t="s">
        <v>16754</v>
      </c>
      <c r="G289" s="50">
        <v>65.0</v>
      </c>
      <c r="H289" s="50">
        <v>1.0</v>
      </c>
      <c r="I289" s="50">
        <v>16.0</v>
      </c>
      <c r="J289" s="116"/>
      <c r="K289" s="116"/>
      <c r="L289" s="50" t="s">
        <v>1137</v>
      </c>
      <c r="M289" s="50" t="s">
        <v>1137</v>
      </c>
      <c r="N289" s="50">
        <v>1.0</v>
      </c>
      <c r="O289" s="50" t="s">
        <v>16756</v>
      </c>
      <c r="P289" s="116"/>
      <c r="Q289" s="116"/>
      <c r="R289" s="50">
        <v>3.0</v>
      </c>
      <c r="S289" s="50" t="s">
        <v>14454</v>
      </c>
      <c r="T289" s="117">
        <v>4205.0</v>
      </c>
      <c r="U289" s="50" t="s">
        <v>16759</v>
      </c>
      <c r="V289" s="50" t="s">
        <v>16760</v>
      </c>
      <c r="W289" s="117">
        <v>289.0</v>
      </c>
    </row>
    <row r="290">
      <c r="A290" s="50" t="s">
        <v>16754</v>
      </c>
      <c r="B290" s="50" t="s">
        <v>6876</v>
      </c>
      <c r="C290" s="50" t="s">
        <v>6877</v>
      </c>
      <c r="D290" s="50" t="s">
        <v>8493</v>
      </c>
      <c r="E290" s="144">
        <v>43723.0</v>
      </c>
      <c r="F290" s="50" t="s">
        <v>16762</v>
      </c>
      <c r="G290" s="50">
        <v>65.0</v>
      </c>
      <c r="H290" s="50">
        <v>1.0</v>
      </c>
      <c r="I290" s="50">
        <v>3.0</v>
      </c>
      <c r="J290" s="116"/>
      <c r="K290" s="116"/>
      <c r="L290" s="50" t="s">
        <v>1132</v>
      </c>
      <c r="M290" s="50" t="s">
        <v>1132</v>
      </c>
      <c r="N290" s="50">
        <v>1.0</v>
      </c>
      <c r="O290" s="50" t="s">
        <v>16653</v>
      </c>
      <c r="P290" s="116"/>
      <c r="Q290" s="116"/>
      <c r="R290" s="50">
        <v>1.0</v>
      </c>
      <c r="S290" s="50" t="s">
        <v>14454</v>
      </c>
      <c r="T290" s="117">
        <v>4206.0</v>
      </c>
      <c r="U290" s="50" t="s">
        <v>16764</v>
      </c>
      <c r="V290" s="50" t="s">
        <v>16765</v>
      </c>
      <c r="W290" s="117">
        <v>290.0</v>
      </c>
    </row>
    <row r="291">
      <c r="A291" s="50" t="s">
        <v>16762</v>
      </c>
      <c r="B291" s="50" t="s">
        <v>6876</v>
      </c>
      <c r="C291" s="50" t="s">
        <v>6877</v>
      </c>
      <c r="D291" s="50" t="s">
        <v>8493</v>
      </c>
      <c r="E291" s="144">
        <v>43723.0</v>
      </c>
      <c r="F291" s="50" t="s">
        <v>16767</v>
      </c>
      <c r="G291" s="50">
        <v>65.0</v>
      </c>
      <c r="H291" s="50">
        <v>1.0</v>
      </c>
      <c r="I291" s="50">
        <v>99.0</v>
      </c>
      <c r="J291" s="116"/>
      <c r="K291" s="116"/>
      <c r="L291" s="50" t="s">
        <v>1134</v>
      </c>
      <c r="M291" s="50" t="s">
        <v>1134</v>
      </c>
      <c r="N291" s="50">
        <v>1.0</v>
      </c>
      <c r="O291" s="50" t="s">
        <v>16653</v>
      </c>
      <c r="P291" s="116"/>
      <c r="Q291" s="116"/>
      <c r="R291" s="50">
        <v>1.0</v>
      </c>
      <c r="S291" s="50" t="s">
        <v>14454</v>
      </c>
      <c r="T291" s="117">
        <v>4207.0</v>
      </c>
      <c r="U291" s="50" t="s">
        <v>16771</v>
      </c>
      <c r="V291" s="50" t="s">
        <v>16772</v>
      </c>
      <c r="W291" s="117">
        <v>291.0</v>
      </c>
    </row>
    <row r="292">
      <c r="A292" s="50" t="s">
        <v>16767</v>
      </c>
      <c r="B292" s="50" t="s">
        <v>6876</v>
      </c>
      <c r="C292" s="50" t="s">
        <v>6877</v>
      </c>
      <c r="D292" s="50" t="s">
        <v>8493</v>
      </c>
      <c r="E292" s="144">
        <v>43723.0</v>
      </c>
      <c r="F292" s="50" t="s">
        <v>16776</v>
      </c>
      <c r="G292" s="50">
        <v>65.0</v>
      </c>
      <c r="H292" s="50">
        <v>1.0</v>
      </c>
      <c r="I292" s="50">
        <v>99.0</v>
      </c>
      <c r="J292" s="116"/>
      <c r="K292" s="116"/>
      <c r="L292" s="50" t="s">
        <v>1136</v>
      </c>
      <c r="M292" s="50" t="s">
        <v>1136</v>
      </c>
      <c r="N292" s="50">
        <v>1.0</v>
      </c>
      <c r="O292" s="50" t="s">
        <v>16653</v>
      </c>
      <c r="P292" s="116"/>
      <c r="Q292" s="116"/>
      <c r="R292" s="50">
        <v>1.0</v>
      </c>
      <c r="S292" s="50" t="s">
        <v>14454</v>
      </c>
      <c r="T292" s="117">
        <v>4208.0</v>
      </c>
      <c r="U292" s="50" t="s">
        <v>16778</v>
      </c>
      <c r="V292" s="50" t="s">
        <v>16779</v>
      </c>
      <c r="W292" s="117">
        <v>292.0</v>
      </c>
    </row>
    <row r="293">
      <c r="A293" s="50" t="s">
        <v>16776</v>
      </c>
      <c r="B293" s="50" t="s">
        <v>6876</v>
      </c>
      <c r="C293" s="50" t="s">
        <v>6877</v>
      </c>
      <c r="D293" s="50" t="s">
        <v>8493</v>
      </c>
      <c r="E293" s="144">
        <v>43723.0</v>
      </c>
      <c r="F293" s="50" t="s">
        <v>16780</v>
      </c>
      <c r="G293" s="50">
        <v>59.0</v>
      </c>
      <c r="H293" s="50">
        <v>1.0</v>
      </c>
      <c r="I293" s="50">
        <v>11.0</v>
      </c>
      <c r="J293" s="116"/>
      <c r="K293" s="116"/>
      <c r="L293" s="50" t="s">
        <v>1144</v>
      </c>
      <c r="M293" s="50" t="s">
        <v>1144</v>
      </c>
      <c r="N293" s="50">
        <v>1.0</v>
      </c>
      <c r="O293" s="50" t="s">
        <v>16781</v>
      </c>
      <c r="P293" s="116"/>
      <c r="Q293" s="116"/>
      <c r="R293" s="50">
        <v>6.0</v>
      </c>
      <c r="S293" s="50" t="s">
        <v>14454</v>
      </c>
      <c r="T293" s="117">
        <v>4209.0</v>
      </c>
      <c r="U293" s="50" t="s">
        <v>16782</v>
      </c>
      <c r="V293" s="50" t="s">
        <v>16783</v>
      </c>
      <c r="W293" s="117">
        <v>293.0</v>
      </c>
    </row>
    <row r="294">
      <c r="A294" s="50" t="s">
        <v>16780</v>
      </c>
      <c r="B294" s="50" t="s">
        <v>6876</v>
      </c>
      <c r="C294" s="50" t="s">
        <v>6877</v>
      </c>
      <c r="D294" s="50" t="s">
        <v>8493</v>
      </c>
      <c r="E294" s="144">
        <v>43723.0</v>
      </c>
      <c r="F294" s="50" t="s">
        <v>16784</v>
      </c>
      <c r="G294" s="50">
        <v>59.0</v>
      </c>
      <c r="H294" s="50">
        <v>1.0</v>
      </c>
      <c r="I294" s="50">
        <v>99.0</v>
      </c>
      <c r="J294" s="116"/>
      <c r="K294" s="116"/>
      <c r="L294" s="50" t="s">
        <v>1147</v>
      </c>
      <c r="M294" s="50" t="s">
        <v>1147</v>
      </c>
      <c r="N294" s="50">
        <v>1.0</v>
      </c>
      <c r="O294" s="50" t="s">
        <v>16786</v>
      </c>
      <c r="P294" s="116"/>
      <c r="Q294" s="116"/>
      <c r="R294" s="50">
        <v>6.0</v>
      </c>
      <c r="S294" s="50" t="s">
        <v>14454</v>
      </c>
      <c r="T294" s="117">
        <v>4210.0</v>
      </c>
      <c r="U294" s="50" t="s">
        <v>16787</v>
      </c>
      <c r="V294" s="50" t="s">
        <v>16788</v>
      </c>
      <c r="W294" s="117">
        <v>294.0</v>
      </c>
    </row>
    <row r="295">
      <c r="A295" s="50" t="s">
        <v>16784</v>
      </c>
      <c r="B295" s="50" t="s">
        <v>6876</v>
      </c>
      <c r="C295" s="50" t="s">
        <v>6877</v>
      </c>
      <c r="D295" s="50" t="s">
        <v>8493</v>
      </c>
      <c r="E295" s="144">
        <v>43723.0</v>
      </c>
      <c r="F295" s="50" t="s">
        <v>16789</v>
      </c>
      <c r="G295" s="50">
        <v>59.0</v>
      </c>
      <c r="H295" s="50">
        <v>1.0</v>
      </c>
      <c r="I295" s="50">
        <v>99.0</v>
      </c>
      <c r="J295" s="116"/>
      <c r="K295" s="116"/>
      <c r="L295" s="50" t="s">
        <v>1149</v>
      </c>
      <c r="M295" s="50" t="s">
        <v>1149</v>
      </c>
      <c r="N295" s="50">
        <v>1.0</v>
      </c>
      <c r="O295" s="50" t="s">
        <v>16786</v>
      </c>
      <c r="P295" s="116"/>
      <c r="Q295" s="116"/>
      <c r="R295" s="50">
        <v>6.0</v>
      </c>
      <c r="S295" s="50" t="s">
        <v>14454</v>
      </c>
      <c r="T295" s="117">
        <v>4211.0</v>
      </c>
      <c r="U295" s="50" t="s">
        <v>16792</v>
      </c>
      <c r="V295" s="50" t="s">
        <v>16793</v>
      </c>
      <c r="W295" s="117">
        <v>295.0</v>
      </c>
    </row>
    <row r="296">
      <c r="A296" s="50" t="s">
        <v>16789</v>
      </c>
      <c r="B296" s="50" t="s">
        <v>6876</v>
      </c>
      <c r="C296" s="50" t="s">
        <v>6877</v>
      </c>
      <c r="D296" s="50" t="s">
        <v>8493</v>
      </c>
      <c r="E296" s="144">
        <v>43723.0</v>
      </c>
      <c r="F296" s="50" t="s">
        <v>16796</v>
      </c>
      <c r="G296" s="50">
        <v>57.0</v>
      </c>
      <c r="H296" s="50">
        <v>1.0</v>
      </c>
      <c r="I296" s="50">
        <v>12.0</v>
      </c>
      <c r="J296" s="116"/>
      <c r="K296" s="116"/>
      <c r="L296" s="50" t="s">
        <v>1140</v>
      </c>
      <c r="M296" s="50" t="s">
        <v>1140</v>
      </c>
      <c r="N296" s="50">
        <v>1.0</v>
      </c>
      <c r="O296" s="50" t="s">
        <v>16786</v>
      </c>
      <c r="P296" s="116"/>
      <c r="Q296" s="116"/>
      <c r="R296" s="50">
        <v>6.0</v>
      </c>
      <c r="S296" s="50" t="s">
        <v>14454</v>
      </c>
      <c r="T296" s="117">
        <v>4212.0</v>
      </c>
      <c r="U296" s="50" t="s">
        <v>16799</v>
      </c>
      <c r="V296" s="50" t="s">
        <v>16800</v>
      </c>
      <c r="W296" s="117">
        <v>296.0</v>
      </c>
    </row>
    <row r="297">
      <c r="A297" s="50" t="s">
        <v>16801</v>
      </c>
      <c r="B297" s="50" t="s">
        <v>6876</v>
      </c>
      <c r="C297" s="50" t="s">
        <v>6877</v>
      </c>
      <c r="D297" s="50" t="s">
        <v>8493</v>
      </c>
      <c r="E297" s="144">
        <v>43724.0</v>
      </c>
      <c r="F297" s="50" t="s">
        <v>16803</v>
      </c>
      <c r="G297" s="50">
        <v>57.0</v>
      </c>
      <c r="H297" s="50">
        <v>1.0</v>
      </c>
      <c r="I297" s="50">
        <v>99.0</v>
      </c>
      <c r="J297" s="116"/>
      <c r="K297" s="116"/>
      <c r="L297" s="50" t="s">
        <v>1141</v>
      </c>
      <c r="M297" s="50" t="s">
        <v>1141</v>
      </c>
      <c r="N297" s="50">
        <v>1.0</v>
      </c>
      <c r="O297" s="50" t="s">
        <v>16806</v>
      </c>
      <c r="P297" s="116"/>
      <c r="Q297" s="116"/>
      <c r="R297" s="50">
        <v>7.0</v>
      </c>
      <c r="S297" s="50" t="s">
        <v>14454</v>
      </c>
      <c r="T297" s="117">
        <v>4213.0</v>
      </c>
      <c r="U297" s="50" t="s">
        <v>16808</v>
      </c>
      <c r="V297" s="50" t="s">
        <v>16809</v>
      </c>
      <c r="W297" s="117">
        <v>297.0</v>
      </c>
    </row>
    <row r="298">
      <c r="A298" s="50" t="s">
        <v>16803</v>
      </c>
      <c r="B298" s="50" t="s">
        <v>6876</v>
      </c>
      <c r="C298" s="50" t="s">
        <v>6877</v>
      </c>
      <c r="D298" s="50" t="s">
        <v>8493</v>
      </c>
      <c r="E298" s="144">
        <v>43724.0</v>
      </c>
      <c r="F298" s="50" t="s">
        <v>16811</v>
      </c>
      <c r="G298" s="50">
        <v>57.0</v>
      </c>
      <c r="H298" s="50">
        <v>1.0</v>
      </c>
      <c r="I298" s="50">
        <v>99.0</v>
      </c>
      <c r="J298" s="116"/>
      <c r="K298" s="116"/>
      <c r="L298" s="50" t="s">
        <v>1143</v>
      </c>
      <c r="M298" s="50" t="s">
        <v>1143</v>
      </c>
      <c r="N298" s="50">
        <v>1.0</v>
      </c>
      <c r="O298" s="50" t="s">
        <v>16806</v>
      </c>
      <c r="P298" s="116"/>
      <c r="Q298" s="116"/>
      <c r="R298" s="50">
        <v>7.0</v>
      </c>
      <c r="S298" s="50" t="s">
        <v>14454</v>
      </c>
      <c r="T298" s="117">
        <v>4214.0</v>
      </c>
      <c r="U298" s="50" t="s">
        <v>16812</v>
      </c>
      <c r="V298" s="50" t="s">
        <v>16813</v>
      </c>
      <c r="W298" s="117">
        <v>298.0</v>
      </c>
    </row>
    <row r="299">
      <c r="A299" s="50" t="s">
        <v>16811</v>
      </c>
      <c r="B299" s="50" t="s">
        <v>6876</v>
      </c>
      <c r="C299" s="50" t="s">
        <v>6877</v>
      </c>
      <c r="D299" s="50" t="s">
        <v>8493</v>
      </c>
      <c r="E299" s="144">
        <v>43724.0</v>
      </c>
      <c r="F299" s="50" t="s">
        <v>16814</v>
      </c>
      <c r="G299" s="50">
        <v>59.0</v>
      </c>
      <c r="H299" s="50">
        <v>1.0</v>
      </c>
      <c r="I299" s="50">
        <v>16.0</v>
      </c>
      <c r="J299" s="116"/>
      <c r="K299" s="116"/>
      <c r="L299" s="50" t="s">
        <v>1150</v>
      </c>
      <c r="M299" s="50" t="s">
        <v>1150</v>
      </c>
      <c r="N299" s="50">
        <v>1.0</v>
      </c>
      <c r="O299" s="50" t="s">
        <v>16818</v>
      </c>
      <c r="P299" s="116"/>
      <c r="Q299" s="116"/>
      <c r="R299" s="50">
        <v>1.0</v>
      </c>
      <c r="S299" s="50" t="s">
        <v>14454</v>
      </c>
      <c r="T299" s="117">
        <v>4215.0</v>
      </c>
      <c r="U299" s="50" t="s">
        <v>16819</v>
      </c>
      <c r="V299" s="50" t="s">
        <v>16820</v>
      </c>
      <c r="W299" s="117">
        <v>299.0</v>
      </c>
    </row>
    <row r="300">
      <c r="A300" s="50" t="s">
        <v>16814</v>
      </c>
      <c r="B300" s="50" t="s">
        <v>6876</v>
      </c>
      <c r="C300" s="50" t="s">
        <v>6877</v>
      </c>
      <c r="D300" s="50" t="s">
        <v>8493</v>
      </c>
      <c r="E300" s="144">
        <v>43724.0</v>
      </c>
      <c r="F300" s="50" t="s">
        <v>16823</v>
      </c>
      <c r="G300" s="50">
        <v>58.0</v>
      </c>
      <c r="H300" s="50">
        <v>1.0</v>
      </c>
      <c r="I300" s="50">
        <v>10.0</v>
      </c>
      <c r="J300" s="116"/>
      <c r="K300" s="116"/>
      <c r="L300" s="50" t="s">
        <v>1153</v>
      </c>
      <c r="M300" s="50" t="s">
        <v>1153</v>
      </c>
      <c r="N300" s="50">
        <v>1.0</v>
      </c>
      <c r="O300" s="50" t="s">
        <v>16806</v>
      </c>
      <c r="P300" s="116"/>
      <c r="Q300" s="116"/>
      <c r="R300" s="50">
        <v>7.0</v>
      </c>
      <c r="S300" s="50" t="s">
        <v>14454</v>
      </c>
      <c r="T300" s="117">
        <v>4216.0</v>
      </c>
      <c r="U300" s="50" t="s">
        <v>16828</v>
      </c>
      <c r="V300" s="50" t="s">
        <v>16829</v>
      </c>
      <c r="W300" s="117">
        <v>300.0</v>
      </c>
    </row>
    <row r="301">
      <c r="A301" s="50" t="s">
        <v>16823</v>
      </c>
      <c r="B301" s="50" t="s">
        <v>6876</v>
      </c>
      <c r="C301" s="50" t="s">
        <v>6877</v>
      </c>
      <c r="D301" s="50" t="s">
        <v>8493</v>
      </c>
      <c r="E301" s="144">
        <v>43724.0</v>
      </c>
      <c r="F301" s="50" t="s">
        <v>16830</v>
      </c>
      <c r="G301" s="50">
        <v>58.0</v>
      </c>
      <c r="H301" s="50">
        <v>1.0</v>
      </c>
      <c r="I301" s="50">
        <v>99.0</v>
      </c>
      <c r="J301" s="116"/>
      <c r="K301" s="116"/>
      <c r="L301" s="50" t="s">
        <v>1162</v>
      </c>
      <c r="M301" s="50" t="s">
        <v>1162</v>
      </c>
      <c r="N301" s="50">
        <v>1.0</v>
      </c>
      <c r="O301" s="50" t="s">
        <v>16806</v>
      </c>
      <c r="P301" s="116"/>
      <c r="Q301" s="116"/>
      <c r="R301" s="50">
        <v>7.0</v>
      </c>
      <c r="S301" s="50" t="s">
        <v>14454</v>
      </c>
      <c r="T301" s="117">
        <v>4217.0</v>
      </c>
      <c r="U301" s="50" t="s">
        <v>16835</v>
      </c>
      <c r="V301" s="50" t="s">
        <v>16836</v>
      </c>
      <c r="W301" s="117">
        <v>301.0</v>
      </c>
    </row>
    <row r="302">
      <c r="A302" s="50" t="s">
        <v>16830</v>
      </c>
      <c r="B302" s="50" t="s">
        <v>6876</v>
      </c>
      <c r="C302" s="50" t="s">
        <v>6877</v>
      </c>
      <c r="D302" s="50" t="s">
        <v>8493</v>
      </c>
      <c r="E302" s="144">
        <v>43724.0</v>
      </c>
      <c r="F302" s="50" t="s">
        <v>16839</v>
      </c>
      <c r="G302" s="50">
        <v>58.0</v>
      </c>
      <c r="H302" s="50">
        <v>1.0</v>
      </c>
      <c r="I302" s="50">
        <v>99.0</v>
      </c>
      <c r="J302" s="116"/>
      <c r="K302" s="116"/>
      <c r="L302" s="50" t="s">
        <v>1164</v>
      </c>
      <c r="M302" s="50" t="s">
        <v>1164</v>
      </c>
      <c r="N302" s="50">
        <v>1.0</v>
      </c>
      <c r="O302" s="50" t="s">
        <v>16806</v>
      </c>
      <c r="P302" s="116"/>
      <c r="Q302" s="116"/>
      <c r="R302" s="50">
        <v>7.0</v>
      </c>
      <c r="S302" s="50" t="s">
        <v>14454</v>
      </c>
      <c r="T302" s="117">
        <v>4218.0</v>
      </c>
      <c r="U302" s="50" t="s">
        <v>16840</v>
      </c>
      <c r="V302" s="50" t="s">
        <v>16841</v>
      </c>
      <c r="W302" s="117">
        <v>302.0</v>
      </c>
    </row>
    <row r="303">
      <c r="A303" s="50" t="s">
        <v>16839</v>
      </c>
      <c r="B303" s="50" t="s">
        <v>6876</v>
      </c>
      <c r="C303" s="50" t="s">
        <v>6877</v>
      </c>
      <c r="D303" s="50" t="s">
        <v>8493</v>
      </c>
      <c r="E303" s="144">
        <v>43724.0</v>
      </c>
      <c r="F303" s="50" t="s">
        <v>16843</v>
      </c>
      <c r="G303" s="50">
        <v>58.0</v>
      </c>
      <c r="H303" s="50">
        <v>1.0</v>
      </c>
      <c r="I303" s="50">
        <v>10.0</v>
      </c>
      <c r="J303" s="116"/>
      <c r="K303" s="116"/>
      <c r="L303" s="50" t="s">
        <v>1159</v>
      </c>
      <c r="M303" s="50" t="s">
        <v>1159</v>
      </c>
      <c r="N303" s="50">
        <v>1.0</v>
      </c>
      <c r="O303" s="50" t="s">
        <v>16806</v>
      </c>
      <c r="P303" s="116"/>
      <c r="Q303" s="50" t="s">
        <v>16847</v>
      </c>
      <c r="R303" s="50">
        <v>7.0</v>
      </c>
      <c r="S303" s="50" t="s">
        <v>14454</v>
      </c>
      <c r="T303" s="117">
        <v>4219.0</v>
      </c>
      <c r="U303" s="50" t="s">
        <v>16848</v>
      </c>
      <c r="V303" s="50" t="s">
        <v>16849</v>
      </c>
      <c r="W303" s="117">
        <v>303.0</v>
      </c>
    </row>
    <row r="304">
      <c r="A304" s="50" t="s">
        <v>16843</v>
      </c>
      <c r="B304" s="50" t="s">
        <v>6876</v>
      </c>
      <c r="C304" s="50" t="s">
        <v>6877</v>
      </c>
      <c r="D304" s="50" t="s">
        <v>8493</v>
      </c>
      <c r="E304" s="144">
        <v>43724.0</v>
      </c>
      <c r="F304" s="50" t="s">
        <v>16850</v>
      </c>
      <c r="G304" s="50">
        <v>58.0</v>
      </c>
      <c r="H304" s="50">
        <v>1.0</v>
      </c>
      <c r="I304" s="50">
        <v>10.0</v>
      </c>
      <c r="J304" s="116"/>
      <c r="K304" s="116"/>
      <c r="L304" s="50" t="s">
        <v>1161</v>
      </c>
      <c r="M304" s="50" t="s">
        <v>1161</v>
      </c>
      <c r="N304" s="50">
        <v>1.0</v>
      </c>
      <c r="O304" s="50" t="s">
        <v>16806</v>
      </c>
      <c r="P304" s="116"/>
      <c r="Q304" s="50" t="s">
        <v>16853</v>
      </c>
      <c r="R304" s="50">
        <v>7.0</v>
      </c>
      <c r="S304" s="50" t="s">
        <v>14454</v>
      </c>
      <c r="T304" s="117">
        <v>4220.0</v>
      </c>
      <c r="U304" s="50" t="s">
        <v>16856</v>
      </c>
      <c r="V304" s="50" t="s">
        <v>16857</v>
      </c>
      <c r="W304" s="117">
        <v>304.0</v>
      </c>
    </row>
    <row r="305">
      <c r="A305" s="50" t="s">
        <v>16859</v>
      </c>
      <c r="B305" s="50" t="s">
        <v>6876</v>
      </c>
      <c r="C305" s="50" t="s">
        <v>6877</v>
      </c>
      <c r="D305" s="50" t="s">
        <v>8493</v>
      </c>
      <c r="E305" s="144">
        <v>43724.0</v>
      </c>
      <c r="F305" s="50" t="s">
        <v>16861</v>
      </c>
      <c r="G305" s="50">
        <v>58.0</v>
      </c>
      <c r="H305" s="50">
        <v>1.0</v>
      </c>
      <c r="I305" s="50">
        <v>8.0</v>
      </c>
      <c r="J305" s="116"/>
      <c r="K305" s="116"/>
      <c r="L305" s="50" t="s">
        <v>1165</v>
      </c>
      <c r="M305" s="50" t="s">
        <v>1165</v>
      </c>
      <c r="N305" s="50">
        <v>1.0</v>
      </c>
      <c r="O305" s="50" t="s">
        <v>16806</v>
      </c>
      <c r="P305" s="116"/>
      <c r="Q305" s="116"/>
      <c r="R305" s="50">
        <v>7.0</v>
      </c>
      <c r="S305" s="50" t="s">
        <v>14454</v>
      </c>
      <c r="T305" s="117">
        <v>4224.0</v>
      </c>
      <c r="U305" s="50" t="s">
        <v>16864</v>
      </c>
      <c r="V305" s="50" t="s">
        <v>16865</v>
      </c>
      <c r="W305" s="117">
        <v>305.0</v>
      </c>
    </row>
    <row r="306">
      <c r="A306" s="50" t="s">
        <v>16861</v>
      </c>
      <c r="B306" s="50" t="s">
        <v>6876</v>
      </c>
      <c r="C306" s="50" t="s">
        <v>6877</v>
      </c>
      <c r="D306" s="50" t="s">
        <v>8493</v>
      </c>
      <c r="E306" s="144">
        <v>43724.0</v>
      </c>
      <c r="F306" s="50" t="s">
        <v>16866</v>
      </c>
      <c r="G306" s="50">
        <v>58.0</v>
      </c>
      <c r="H306" s="50">
        <v>1.0</v>
      </c>
      <c r="I306" s="50">
        <v>99.0</v>
      </c>
      <c r="J306" s="116"/>
      <c r="K306" s="116"/>
      <c r="L306" s="50" t="s">
        <v>1155</v>
      </c>
      <c r="M306" s="50" t="s">
        <v>1155</v>
      </c>
      <c r="N306" s="50">
        <v>1.0</v>
      </c>
      <c r="O306" s="50" t="s">
        <v>16806</v>
      </c>
      <c r="P306" s="116"/>
      <c r="Q306" s="116"/>
      <c r="R306" s="50">
        <v>7.0</v>
      </c>
      <c r="S306" s="50" t="s">
        <v>14454</v>
      </c>
      <c r="T306" s="117">
        <v>4225.0</v>
      </c>
      <c r="U306" s="50" t="s">
        <v>16870</v>
      </c>
      <c r="V306" s="50" t="s">
        <v>16872</v>
      </c>
      <c r="W306" s="117">
        <v>306.0</v>
      </c>
    </row>
    <row r="307">
      <c r="A307" s="50" t="s">
        <v>16866</v>
      </c>
      <c r="B307" s="50" t="s">
        <v>6876</v>
      </c>
      <c r="C307" s="50" t="s">
        <v>6877</v>
      </c>
      <c r="D307" s="50" t="s">
        <v>8493</v>
      </c>
      <c r="E307" s="144">
        <v>43724.0</v>
      </c>
      <c r="F307" s="50" t="s">
        <v>16874</v>
      </c>
      <c r="G307" s="50">
        <v>58.0</v>
      </c>
      <c r="H307" s="50">
        <v>1.0</v>
      </c>
      <c r="I307" s="50">
        <v>99.0</v>
      </c>
      <c r="J307" s="116"/>
      <c r="K307" s="116"/>
      <c r="L307" s="50" t="s">
        <v>1156</v>
      </c>
      <c r="M307" s="50" t="s">
        <v>1156</v>
      </c>
      <c r="N307" s="50">
        <v>1.0</v>
      </c>
      <c r="O307" s="50" t="s">
        <v>16806</v>
      </c>
      <c r="P307" s="116"/>
      <c r="Q307" s="116"/>
      <c r="R307" s="50">
        <v>7.0</v>
      </c>
      <c r="S307" s="50" t="s">
        <v>14454</v>
      </c>
      <c r="T307" s="117">
        <v>4226.0</v>
      </c>
      <c r="U307" s="50" t="s">
        <v>16875</v>
      </c>
      <c r="V307" s="50" t="s">
        <v>16876</v>
      </c>
      <c r="W307" s="117">
        <v>307.0</v>
      </c>
    </row>
    <row r="308">
      <c r="A308" s="50" t="s">
        <v>16874</v>
      </c>
      <c r="B308" s="50" t="s">
        <v>6876</v>
      </c>
      <c r="C308" s="50" t="s">
        <v>6877</v>
      </c>
      <c r="D308" s="50" t="s">
        <v>8493</v>
      </c>
      <c r="E308" s="144">
        <v>43724.0</v>
      </c>
      <c r="F308" s="50" t="s">
        <v>16879</v>
      </c>
      <c r="G308" s="50">
        <v>58.0</v>
      </c>
      <c r="H308" s="50">
        <v>1.0</v>
      </c>
      <c r="I308" s="50">
        <v>3.0</v>
      </c>
      <c r="J308" s="116"/>
      <c r="K308" s="116"/>
      <c r="L308" s="50" t="s">
        <v>1168</v>
      </c>
      <c r="M308" s="50" t="s">
        <v>1168</v>
      </c>
      <c r="N308" s="50">
        <v>1.0</v>
      </c>
      <c r="O308" s="50" t="s">
        <v>16882</v>
      </c>
      <c r="P308" s="116"/>
      <c r="Q308" s="116"/>
      <c r="R308" s="50">
        <v>7.0</v>
      </c>
      <c r="S308" s="50" t="s">
        <v>14454</v>
      </c>
      <c r="T308" s="117">
        <v>4227.0</v>
      </c>
      <c r="U308" s="50" t="s">
        <v>16883</v>
      </c>
      <c r="V308" s="50" t="s">
        <v>16884</v>
      </c>
      <c r="W308" s="117">
        <v>308.0</v>
      </c>
    </row>
    <row r="309">
      <c r="A309" s="50" t="s">
        <v>16879</v>
      </c>
      <c r="B309" s="50" t="s">
        <v>6876</v>
      </c>
      <c r="C309" s="50" t="s">
        <v>6877</v>
      </c>
      <c r="D309" s="50" t="s">
        <v>8493</v>
      </c>
      <c r="E309" s="144">
        <v>43724.0</v>
      </c>
      <c r="F309" s="50" t="s">
        <v>16887</v>
      </c>
      <c r="G309" s="50">
        <v>58.0</v>
      </c>
      <c r="H309" s="50">
        <v>1.0</v>
      </c>
      <c r="I309" s="50">
        <v>99.0</v>
      </c>
      <c r="J309" s="116"/>
      <c r="K309" s="116"/>
      <c r="L309" s="50" t="s">
        <v>1169</v>
      </c>
      <c r="M309" s="50" t="s">
        <v>1169</v>
      </c>
      <c r="N309" s="50">
        <v>1.0</v>
      </c>
      <c r="O309" s="50" t="s">
        <v>16892</v>
      </c>
      <c r="P309" s="116"/>
      <c r="Q309" s="116"/>
      <c r="R309" s="50">
        <v>6.0</v>
      </c>
      <c r="S309" s="50" t="s">
        <v>14454</v>
      </c>
      <c r="T309" s="117">
        <v>4228.0</v>
      </c>
      <c r="U309" s="50" t="s">
        <v>16894</v>
      </c>
      <c r="V309" s="50" t="s">
        <v>16895</v>
      </c>
      <c r="W309" s="117">
        <v>309.0</v>
      </c>
    </row>
    <row r="310">
      <c r="A310" s="50" t="s">
        <v>16887</v>
      </c>
      <c r="B310" s="50" t="s">
        <v>6876</v>
      </c>
      <c r="C310" s="50" t="s">
        <v>6877</v>
      </c>
      <c r="D310" s="50" t="s">
        <v>8493</v>
      </c>
      <c r="E310" s="144">
        <v>43724.0</v>
      </c>
      <c r="F310" s="50" t="s">
        <v>16900</v>
      </c>
      <c r="G310" s="50">
        <v>58.0</v>
      </c>
      <c r="H310" s="50">
        <v>1.0</v>
      </c>
      <c r="I310" s="50">
        <v>99.0</v>
      </c>
      <c r="J310" s="116"/>
      <c r="K310" s="116"/>
      <c r="L310" s="50" t="s">
        <v>1171</v>
      </c>
      <c r="M310" s="50" t="s">
        <v>1171</v>
      </c>
      <c r="N310" s="50">
        <v>1.0</v>
      </c>
      <c r="O310" s="50" t="s">
        <v>16892</v>
      </c>
      <c r="P310" s="116"/>
      <c r="Q310" s="116"/>
      <c r="R310" s="50">
        <v>6.0</v>
      </c>
      <c r="S310" s="50" t="s">
        <v>14454</v>
      </c>
      <c r="T310" s="117">
        <v>4229.0</v>
      </c>
      <c r="U310" s="50" t="s">
        <v>16904</v>
      </c>
      <c r="V310" s="50" t="s">
        <v>16905</v>
      </c>
      <c r="W310" s="117">
        <v>310.0</v>
      </c>
    </row>
    <row r="311">
      <c r="A311" s="50" t="s">
        <v>16900</v>
      </c>
      <c r="B311" s="50" t="s">
        <v>6876</v>
      </c>
      <c r="C311" s="50" t="s">
        <v>6877</v>
      </c>
      <c r="D311" s="50" t="s">
        <v>8493</v>
      </c>
      <c r="E311" s="144">
        <v>43724.0</v>
      </c>
      <c r="F311" s="50" t="s">
        <v>16907</v>
      </c>
      <c r="G311" s="50">
        <v>58.0</v>
      </c>
      <c r="H311" s="50">
        <v>1.0</v>
      </c>
      <c r="I311" s="50">
        <v>8.0</v>
      </c>
      <c r="J311" s="116"/>
      <c r="K311" s="116"/>
      <c r="L311" s="50" t="s">
        <v>1172</v>
      </c>
      <c r="M311" s="50" t="s">
        <v>1172</v>
      </c>
      <c r="N311" s="50">
        <v>1.0</v>
      </c>
      <c r="O311" s="50" t="s">
        <v>16882</v>
      </c>
      <c r="P311" s="116"/>
      <c r="Q311" s="116"/>
      <c r="R311" s="50">
        <v>7.0</v>
      </c>
      <c r="S311" s="50" t="s">
        <v>14454</v>
      </c>
      <c r="T311" s="117">
        <v>4230.0</v>
      </c>
      <c r="U311" s="50" t="s">
        <v>16908</v>
      </c>
      <c r="V311" s="50" t="s">
        <v>16909</v>
      </c>
      <c r="W311" s="117">
        <v>311.0</v>
      </c>
    </row>
    <row r="312">
      <c r="A312" s="50" t="s">
        <v>16907</v>
      </c>
      <c r="B312" s="50" t="s">
        <v>6876</v>
      </c>
      <c r="C312" s="50" t="s">
        <v>6877</v>
      </c>
      <c r="D312" s="50" t="s">
        <v>8493</v>
      </c>
      <c r="E312" s="144">
        <v>43724.0</v>
      </c>
      <c r="F312" s="50" t="s">
        <v>16910</v>
      </c>
      <c r="G312" s="50">
        <v>58.0</v>
      </c>
      <c r="H312" s="50">
        <v>1.0</v>
      </c>
      <c r="I312" s="50">
        <v>99.0</v>
      </c>
      <c r="J312" s="116"/>
      <c r="K312" s="116"/>
      <c r="L312" s="50" t="s">
        <v>1174</v>
      </c>
      <c r="M312" s="50" t="s">
        <v>1174</v>
      </c>
      <c r="N312" s="50">
        <v>1.0</v>
      </c>
      <c r="O312" s="50" t="s">
        <v>16882</v>
      </c>
      <c r="P312" s="116"/>
      <c r="Q312" s="116"/>
      <c r="R312" s="50">
        <v>7.0</v>
      </c>
      <c r="S312" s="50" t="s">
        <v>14454</v>
      </c>
      <c r="T312" s="117">
        <v>4231.0</v>
      </c>
      <c r="U312" s="50" t="s">
        <v>16914</v>
      </c>
      <c r="V312" s="50" t="s">
        <v>16915</v>
      </c>
      <c r="W312" s="117">
        <v>312.0</v>
      </c>
    </row>
    <row r="313">
      <c r="A313" s="50" t="s">
        <v>16910</v>
      </c>
      <c r="B313" s="50" t="s">
        <v>6876</v>
      </c>
      <c r="C313" s="50" t="s">
        <v>6877</v>
      </c>
      <c r="D313" s="50" t="s">
        <v>8493</v>
      </c>
      <c r="E313" s="144">
        <v>43724.0</v>
      </c>
      <c r="F313" s="50" t="s">
        <v>16919</v>
      </c>
      <c r="G313" s="50">
        <v>58.0</v>
      </c>
      <c r="H313" s="50">
        <v>1.0</v>
      </c>
      <c r="I313" s="50">
        <v>99.0</v>
      </c>
      <c r="J313" s="116"/>
      <c r="K313" s="116"/>
      <c r="L313" s="50" t="s">
        <v>1175</v>
      </c>
      <c r="M313" s="50" t="s">
        <v>1175</v>
      </c>
      <c r="N313" s="50">
        <v>1.0</v>
      </c>
      <c r="O313" s="50" t="s">
        <v>16892</v>
      </c>
      <c r="P313" s="116"/>
      <c r="Q313" s="116"/>
      <c r="R313" s="50">
        <v>6.0</v>
      </c>
      <c r="S313" s="50" t="s">
        <v>14454</v>
      </c>
      <c r="T313" s="117">
        <v>4232.0</v>
      </c>
      <c r="U313" s="50" t="s">
        <v>16921</v>
      </c>
      <c r="V313" s="50" t="s">
        <v>16922</v>
      </c>
      <c r="W313" s="117">
        <v>313.0</v>
      </c>
    </row>
    <row r="314">
      <c r="A314" s="50" t="s">
        <v>16919</v>
      </c>
      <c r="B314" s="50" t="s">
        <v>6876</v>
      </c>
      <c r="C314" s="50" t="s">
        <v>6877</v>
      </c>
      <c r="D314" s="50" t="s">
        <v>8493</v>
      </c>
      <c r="E314" s="144">
        <v>43724.0</v>
      </c>
      <c r="F314" s="50" t="s">
        <v>16923</v>
      </c>
      <c r="G314" s="50">
        <v>57.0</v>
      </c>
      <c r="H314" s="50">
        <v>1.0</v>
      </c>
      <c r="I314" s="50">
        <v>16.0</v>
      </c>
      <c r="J314" s="116"/>
      <c r="K314" s="116"/>
      <c r="L314" s="50" t="s">
        <v>1189</v>
      </c>
      <c r="M314" s="50" t="s">
        <v>1189</v>
      </c>
      <c r="N314" s="50">
        <v>1.0</v>
      </c>
      <c r="O314" s="50" t="s">
        <v>16927</v>
      </c>
      <c r="P314" s="116"/>
      <c r="Q314" s="116"/>
      <c r="R314" s="50">
        <v>5.0</v>
      </c>
      <c r="S314" s="50" t="s">
        <v>14454</v>
      </c>
      <c r="T314" s="117">
        <v>4233.0</v>
      </c>
      <c r="U314" s="50" t="s">
        <v>16929</v>
      </c>
      <c r="V314" s="50" t="s">
        <v>16930</v>
      </c>
      <c r="W314" s="117">
        <v>314.0</v>
      </c>
    </row>
    <row r="315">
      <c r="A315" s="50" t="s">
        <v>16923</v>
      </c>
      <c r="B315" s="50" t="s">
        <v>6876</v>
      </c>
      <c r="C315" s="50" t="s">
        <v>6877</v>
      </c>
      <c r="D315" s="50" t="s">
        <v>8493</v>
      </c>
      <c r="E315" s="144">
        <v>43724.0</v>
      </c>
      <c r="F315" s="50" t="s">
        <v>16931</v>
      </c>
      <c r="G315" s="50">
        <v>58.0</v>
      </c>
      <c r="H315" s="50">
        <v>1.0</v>
      </c>
      <c r="I315" s="50">
        <v>5.0</v>
      </c>
      <c r="J315" s="116"/>
      <c r="K315" s="116"/>
      <c r="L315" s="50" t="s">
        <v>1177</v>
      </c>
      <c r="M315" s="50" t="s">
        <v>1177</v>
      </c>
      <c r="N315" s="50">
        <v>1.0</v>
      </c>
      <c r="O315" s="50" t="s">
        <v>16882</v>
      </c>
      <c r="P315" s="116"/>
      <c r="Q315" s="116"/>
      <c r="R315" s="50">
        <v>7.0</v>
      </c>
      <c r="S315" s="50" t="s">
        <v>14454</v>
      </c>
      <c r="T315" s="117">
        <v>4234.0</v>
      </c>
      <c r="U315" s="50" t="s">
        <v>16936</v>
      </c>
      <c r="V315" s="50" t="s">
        <v>16937</v>
      </c>
      <c r="W315" s="117">
        <v>315.0</v>
      </c>
    </row>
    <row r="316">
      <c r="A316" s="50" t="s">
        <v>16931</v>
      </c>
      <c r="B316" s="50" t="s">
        <v>6876</v>
      </c>
      <c r="C316" s="50" t="s">
        <v>6877</v>
      </c>
      <c r="D316" s="50" t="s">
        <v>8493</v>
      </c>
      <c r="E316" s="144">
        <v>43724.0</v>
      </c>
      <c r="F316" s="50" t="s">
        <v>16938</v>
      </c>
      <c r="G316" s="50">
        <v>58.0</v>
      </c>
      <c r="H316" s="50">
        <v>1.0</v>
      </c>
      <c r="I316" s="50">
        <v>99.0</v>
      </c>
      <c r="J316" s="116"/>
      <c r="K316" s="116"/>
      <c r="L316" s="50" t="s">
        <v>1178</v>
      </c>
      <c r="M316" s="50" t="s">
        <v>1178</v>
      </c>
      <c r="N316" s="50">
        <v>1.0</v>
      </c>
      <c r="O316" s="50" t="s">
        <v>16882</v>
      </c>
      <c r="P316" s="116"/>
      <c r="Q316" s="116"/>
      <c r="R316" s="50">
        <v>7.0</v>
      </c>
      <c r="S316" s="50" t="s">
        <v>14454</v>
      </c>
      <c r="T316" s="117">
        <v>4235.0</v>
      </c>
      <c r="U316" s="50" t="s">
        <v>16946</v>
      </c>
      <c r="V316" s="50" t="s">
        <v>16947</v>
      </c>
      <c r="W316" s="117">
        <v>316.0</v>
      </c>
    </row>
    <row r="317">
      <c r="A317" s="50" t="s">
        <v>16948</v>
      </c>
      <c r="B317" s="50" t="s">
        <v>6876</v>
      </c>
      <c r="C317" s="50" t="s">
        <v>6877</v>
      </c>
      <c r="D317" s="50" t="s">
        <v>8493</v>
      </c>
      <c r="E317" s="144">
        <v>43724.0</v>
      </c>
      <c r="F317" s="50" t="s">
        <v>16950</v>
      </c>
      <c r="G317" s="50">
        <v>58.0</v>
      </c>
      <c r="H317" s="50">
        <v>1.0</v>
      </c>
      <c r="I317" s="50">
        <v>99.0</v>
      </c>
      <c r="J317" s="116"/>
      <c r="K317" s="116"/>
      <c r="L317" s="50" t="s">
        <v>1180</v>
      </c>
      <c r="M317" s="50" t="s">
        <v>1180</v>
      </c>
      <c r="N317" s="50">
        <v>1.0</v>
      </c>
      <c r="O317" s="50" t="s">
        <v>16892</v>
      </c>
      <c r="P317" s="116"/>
      <c r="Q317" s="116"/>
      <c r="R317" s="50">
        <v>6.0</v>
      </c>
      <c r="S317" s="50" t="s">
        <v>14454</v>
      </c>
      <c r="T317" s="117">
        <v>4236.0</v>
      </c>
      <c r="U317" s="50" t="s">
        <v>16955</v>
      </c>
      <c r="V317" s="50" t="s">
        <v>16956</v>
      </c>
      <c r="W317" s="117">
        <v>317.0</v>
      </c>
    </row>
    <row r="318">
      <c r="A318" s="50" t="s">
        <v>16958</v>
      </c>
      <c r="B318" s="50" t="s">
        <v>6876</v>
      </c>
      <c r="C318" s="50" t="s">
        <v>6877</v>
      </c>
      <c r="D318" s="50" t="s">
        <v>8493</v>
      </c>
      <c r="E318" s="144">
        <v>43724.0</v>
      </c>
      <c r="F318" s="50" t="s">
        <v>16959</v>
      </c>
      <c r="G318" s="50">
        <v>58.0</v>
      </c>
      <c r="H318" s="50">
        <v>1.0</v>
      </c>
      <c r="I318" s="50">
        <v>7.0</v>
      </c>
      <c r="J318" s="116"/>
      <c r="K318" s="116"/>
      <c r="L318" s="50" t="s">
        <v>1181</v>
      </c>
      <c r="M318" s="50" t="s">
        <v>1181</v>
      </c>
      <c r="N318" s="50">
        <v>1.0</v>
      </c>
      <c r="O318" s="50" t="s">
        <v>16882</v>
      </c>
      <c r="P318" s="116"/>
      <c r="Q318" s="116"/>
      <c r="R318" s="50">
        <v>7.0</v>
      </c>
      <c r="S318" s="50" t="s">
        <v>14454</v>
      </c>
      <c r="T318" s="117">
        <v>4237.0</v>
      </c>
      <c r="U318" s="50" t="s">
        <v>16961</v>
      </c>
      <c r="V318" s="50" t="s">
        <v>16964</v>
      </c>
      <c r="W318" s="117">
        <v>318.0</v>
      </c>
    </row>
    <row r="319">
      <c r="A319" s="50" t="s">
        <v>16959</v>
      </c>
      <c r="B319" s="50" t="s">
        <v>6876</v>
      </c>
      <c r="C319" s="50" t="s">
        <v>6877</v>
      </c>
      <c r="D319" s="50" t="s">
        <v>8493</v>
      </c>
      <c r="E319" s="144">
        <v>43724.0</v>
      </c>
      <c r="F319" s="50" t="s">
        <v>16966</v>
      </c>
      <c r="G319" s="50">
        <v>58.0</v>
      </c>
      <c r="H319" s="50">
        <v>1.0</v>
      </c>
      <c r="I319" s="50">
        <v>99.0</v>
      </c>
      <c r="J319" s="116"/>
      <c r="K319" s="116"/>
      <c r="L319" s="50" t="s">
        <v>1186</v>
      </c>
      <c r="M319" s="50" t="s">
        <v>1186</v>
      </c>
      <c r="N319" s="50">
        <v>1.0</v>
      </c>
      <c r="O319" s="50" t="s">
        <v>16882</v>
      </c>
      <c r="P319" s="116"/>
      <c r="Q319" s="116"/>
      <c r="R319" s="50">
        <v>7.0</v>
      </c>
      <c r="S319" s="50" t="s">
        <v>14454</v>
      </c>
      <c r="T319" s="117">
        <v>4238.0</v>
      </c>
      <c r="U319" s="50" t="s">
        <v>16968</v>
      </c>
      <c r="V319" s="50" t="s">
        <v>16970</v>
      </c>
      <c r="W319" s="117">
        <v>319.0</v>
      </c>
    </row>
    <row r="320">
      <c r="A320" s="50" t="s">
        <v>16966</v>
      </c>
      <c r="B320" s="50" t="s">
        <v>6876</v>
      </c>
      <c r="C320" s="50" t="s">
        <v>6877</v>
      </c>
      <c r="D320" s="50" t="s">
        <v>8493</v>
      </c>
      <c r="E320" s="144">
        <v>43724.0</v>
      </c>
      <c r="F320" s="50" t="s">
        <v>16973</v>
      </c>
      <c r="G320" s="50">
        <v>58.0</v>
      </c>
      <c r="H320" s="50">
        <v>1.0</v>
      </c>
      <c r="I320" s="50">
        <v>99.0</v>
      </c>
      <c r="J320" s="116"/>
      <c r="K320" s="116"/>
      <c r="L320" s="50" t="s">
        <v>1187</v>
      </c>
      <c r="M320" s="50" t="s">
        <v>1187</v>
      </c>
      <c r="N320" s="50">
        <v>1.0</v>
      </c>
      <c r="O320" s="50" t="s">
        <v>16892</v>
      </c>
      <c r="P320" s="116"/>
      <c r="Q320" s="116"/>
      <c r="R320" s="50">
        <v>6.0</v>
      </c>
      <c r="S320" s="50" t="s">
        <v>14454</v>
      </c>
      <c r="T320" s="117">
        <v>4239.0</v>
      </c>
      <c r="U320" s="50" t="s">
        <v>16977</v>
      </c>
      <c r="V320" s="50" t="s">
        <v>16978</v>
      </c>
      <c r="W320" s="117">
        <v>320.0</v>
      </c>
    </row>
    <row r="321">
      <c r="A321" s="50" t="s">
        <v>16973</v>
      </c>
      <c r="B321" s="50" t="s">
        <v>6876</v>
      </c>
      <c r="C321" s="50" t="s">
        <v>6877</v>
      </c>
      <c r="D321" s="50" t="s">
        <v>8493</v>
      </c>
      <c r="E321" s="144">
        <v>43724.0</v>
      </c>
      <c r="F321" s="50" t="s">
        <v>16983</v>
      </c>
      <c r="G321" s="50">
        <v>58.0</v>
      </c>
      <c r="H321" s="50">
        <v>1.0</v>
      </c>
      <c r="I321" s="50">
        <v>7.0</v>
      </c>
      <c r="J321" s="116"/>
      <c r="K321" s="116"/>
      <c r="L321" s="50" t="s">
        <v>1183</v>
      </c>
      <c r="M321" s="50" t="s">
        <v>1183</v>
      </c>
      <c r="N321" s="50">
        <v>1.0</v>
      </c>
      <c r="O321" s="50" t="s">
        <v>16882</v>
      </c>
      <c r="P321" s="116"/>
      <c r="Q321" s="116"/>
      <c r="R321" s="50">
        <v>7.0</v>
      </c>
      <c r="S321" s="50" t="s">
        <v>14454</v>
      </c>
      <c r="T321" s="117">
        <v>4240.0</v>
      </c>
      <c r="U321" s="50" t="s">
        <v>16985</v>
      </c>
      <c r="V321" s="50" t="s">
        <v>16986</v>
      </c>
      <c r="W321" s="117">
        <v>321.0</v>
      </c>
    </row>
    <row r="322">
      <c r="A322" s="50" t="s">
        <v>16983</v>
      </c>
      <c r="B322" s="50" t="s">
        <v>6876</v>
      </c>
      <c r="C322" s="50" t="s">
        <v>6877</v>
      </c>
      <c r="D322" s="50" t="s">
        <v>8493</v>
      </c>
      <c r="E322" s="144">
        <v>43724.0</v>
      </c>
      <c r="F322" s="50" t="s">
        <v>16990</v>
      </c>
      <c r="G322" s="50">
        <v>58.0</v>
      </c>
      <c r="H322" s="50">
        <v>1.0</v>
      </c>
      <c r="I322" s="50">
        <v>7.0</v>
      </c>
      <c r="J322" s="116"/>
      <c r="K322" s="116"/>
      <c r="L322" s="50" t="s">
        <v>1184</v>
      </c>
      <c r="M322" s="50" t="s">
        <v>1184</v>
      </c>
      <c r="N322" s="50">
        <v>1.0</v>
      </c>
      <c r="O322" s="50" t="s">
        <v>16882</v>
      </c>
      <c r="P322" s="116"/>
      <c r="Q322" s="116"/>
      <c r="R322" s="50">
        <v>7.0</v>
      </c>
      <c r="S322" s="50" t="s">
        <v>14454</v>
      </c>
      <c r="T322" s="117">
        <v>4241.0</v>
      </c>
      <c r="U322" s="50" t="s">
        <v>16993</v>
      </c>
      <c r="V322" s="50" t="s">
        <v>16995</v>
      </c>
      <c r="W322" s="117">
        <v>322.0</v>
      </c>
    </row>
    <row r="323">
      <c r="A323" s="50" t="s">
        <v>16990</v>
      </c>
      <c r="B323" s="50" t="s">
        <v>6876</v>
      </c>
      <c r="C323" s="50" t="s">
        <v>6877</v>
      </c>
      <c r="D323" s="50" t="s">
        <v>8493</v>
      </c>
      <c r="E323" s="144">
        <v>43724.0</v>
      </c>
      <c r="F323" s="50" t="s">
        <v>16998</v>
      </c>
      <c r="G323" s="50">
        <v>57.0</v>
      </c>
      <c r="H323" s="50">
        <v>1.0</v>
      </c>
      <c r="I323" s="50">
        <v>12.0</v>
      </c>
      <c r="J323" s="116"/>
      <c r="K323" s="116"/>
      <c r="L323" s="50" t="s">
        <v>1192</v>
      </c>
      <c r="M323" s="50" t="s">
        <v>1192</v>
      </c>
      <c r="N323" s="50">
        <v>1.0</v>
      </c>
      <c r="O323" s="50" t="s">
        <v>16892</v>
      </c>
      <c r="P323" s="116"/>
      <c r="Q323" s="116"/>
      <c r="R323" s="50">
        <v>6.0</v>
      </c>
      <c r="S323" s="50" t="s">
        <v>14454</v>
      </c>
      <c r="T323" s="117">
        <v>4242.0</v>
      </c>
      <c r="U323" s="50" t="s">
        <v>17002</v>
      </c>
      <c r="V323" s="50" t="s">
        <v>17003</v>
      </c>
      <c r="W323" s="117">
        <v>323.0</v>
      </c>
    </row>
    <row r="324">
      <c r="A324" s="50" t="s">
        <v>16998</v>
      </c>
      <c r="B324" s="50" t="s">
        <v>6876</v>
      </c>
      <c r="C324" s="50" t="s">
        <v>6877</v>
      </c>
      <c r="D324" s="50" t="s">
        <v>8493</v>
      </c>
      <c r="E324" s="144">
        <v>43724.0</v>
      </c>
      <c r="F324" s="50" t="s">
        <v>17005</v>
      </c>
      <c r="G324" s="50">
        <v>57.0</v>
      </c>
      <c r="H324" s="50">
        <v>1.0</v>
      </c>
      <c r="I324" s="50">
        <v>99.0</v>
      </c>
      <c r="J324" s="116"/>
      <c r="K324" s="116"/>
      <c r="L324" s="50" t="s">
        <v>1195</v>
      </c>
      <c r="M324" s="50" t="s">
        <v>1195</v>
      </c>
      <c r="N324" s="50">
        <v>1.0</v>
      </c>
      <c r="O324" s="50" t="s">
        <v>16892</v>
      </c>
      <c r="P324" s="116"/>
      <c r="Q324" s="116"/>
      <c r="R324" s="50">
        <v>6.0</v>
      </c>
      <c r="S324" s="50" t="s">
        <v>14454</v>
      </c>
      <c r="T324" s="117">
        <v>4243.0</v>
      </c>
      <c r="U324" s="50" t="s">
        <v>17006</v>
      </c>
      <c r="V324" s="50" t="s">
        <v>17007</v>
      </c>
      <c r="W324" s="117">
        <v>324.0</v>
      </c>
    </row>
    <row r="325">
      <c r="A325" s="50" t="s">
        <v>17005</v>
      </c>
      <c r="B325" s="50" t="s">
        <v>6876</v>
      </c>
      <c r="C325" s="50" t="s">
        <v>6877</v>
      </c>
      <c r="D325" s="50" t="s">
        <v>8493</v>
      </c>
      <c r="E325" s="144">
        <v>43724.0</v>
      </c>
      <c r="F325" s="50" t="s">
        <v>17010</v>
      </c>
      <c r="G325" s="50">
        <v>57.0</v>
      </c>
      <c r="H325" s="50">
        <v>1.0</v>
      </c>
      <c r="I325" s="50">
        <v>99.0</v>
      </c>
      <c r="J325" s="116"/>
      <c r="K325" s="116"/>
      <c r="L325" s="50" t="s">
        <v>1196</v>
      </c>
      <c r="M325" s="50" t="s">
        <v>1196</v>
      </c>
      <c r="N325" s="50">
        <v>1.0</v>
      </c>
      <c r="O325" s="50" t="s">
        <v>16892</v>
      </c>
      <c r="P325" s="116"/>
      <c r="Q325" s="116"/>
      <c r="R325" s="50">
        <v>6.0</v>
      </c>
      <c r="S325" s="50" t="s">
        <v>14454</v>
      </c>
      <c r="T325" s="117">
        <v>4244.0</v>
      </c>
      <c r="U325" s="50" t="s">
        <v>17017</v>
      </c>
      <c r="V325" s="50" t="s">
        <v>17018</v>
      </c>
      <c r="W325" s="117">
        <v>325.0</v>
      </c>
    </row>
    <row r="326">
      <c r="A326" s="50" t="s">
        <v>17010</v>
      </c>
      <c r="B326" s="50" t="s">
        <v>6876</v>
      </c>
      <c r="C326" s="50" t="s">
        <v>6877</v>
      </c>
      <c r="D326" s="50" t="s">
        <v>8493</v>
      </c>
      <c r="E326" s="144">
        <v>43724.0</v>
      </c>
      <c r="F326" s="50" t="s">
        <v>17024</v>
      </c>
      <c r="G326" s="50">
        <v>57.0</v>
      </c>
      <c r="H326" s="50">
        <v>1.0</v>
      </c>
      <c r="I326" s="50">
        <v>16.0</v>
      </c>
      <c r="J326" s="116"/>
      <c r="K326" s="116"/>
      <c r="L326" s="50" t="s">
        <v>1203</v>
      </c>
      <c r="M326" s="50" t="s">
        <v>1203</v>
      </c>
      <c r="N326" s="50">
        <v>1.0</v>
      </c>
      <c r="O326" s="50" t="s">
        <v>17026</v>
      </c>
      <c r="P326" s="116"/>
      <c r="Q326" s="116"/>
      <c r="R326" s="50">
        <v>5.0</v>
      </c>
      <c r="S326" s="50" t="s">
        <v>14454</v>
      </c>
      <c r="T326" s="117">
        <v>4245.0</v>
      </c>
      <c r="U326" s="50" t="s">
        <v>17027</v>
      </c>
      <c r="V326" s="50" t="s">
        <v>17028</v>
      </c>
      <c r="W326" s="117">
        <v>326.0</v>
      </c>
    </row>
    <row r="327">
      <c r="A327" s="50" t="s">
        <v>17024</v>
      </c>
      <c r="B327" s="50" t="s">
        <v>6876</v>
      </c>
      <c r="C327" s="50" t="s">
        <v>6877</v>
      </c>
      <c r="D327" s="50" t="s">
        <v>8493</v>
      </c>
      <c r="E327" s="144">
        <v>43724.0</v>
      </c>
      <c r="F327" s="50" t="s">
        <v>17030</v>
      </c>
      <c r="G327" s="50">
        <v>58.0</v>
      </c>
      <c r="H327" s="50">
        <v>1.0</v>
      </c>
      <c r="I327" s="50">
        <v>11.0</v>
      </c>
      <c r="J327" s="116"/>
      <c r="K327" s="116"/>
      <c r="L327" s="50" t="s">
        <v>1198</v>
      </c>
      <c r="M327" s="50" t="s">
        <v>1198</v>
      </c>
      <c r="N327" s="50">
        <v>1.0</v>
      </c>
      <c r="O327" s="50" t="s">
        <v>16892</v>
      </c>
      <c r="P327" s="116"/>
      <c r="Q327" s="116"/>
      <c r="R327" s="50">
        <v>6.0</v>
      </c>
      <c r="S327" s="50" t="s">
        <v>14454</v>
      </c>
      <c r="T327" s="117">
        <v>4246.0</v>
      </c>
      <c r="U327" s="50" t="s">
        <v>17034</v>
      </c>
      <c r="V327" s="50" t="s">
        <v>17035</v>
      </c>
      <c r="W327" s="117">
        <v>327.0</v>
      </c>
    </row>
    <row r="328">
      <c r="A328" s="50" t="s">
        <v>17030</v>
      </c>
      <c r="B328" s="50" t="s">
        <v>6876</v>
      </c>
      <c r="C328" s="50" t="s">
        <v>6877</v>
      </c>
      <c r="D328" s="50" t="s">
        <v>8493</v>
      </c>
      <c r="E328" s="144">
        <v>43724.0</v>
      </c>
      <c r="F328" s="50" t="s">
        <v>17036</v>
      </c>
      <c r="G328" s="50">
        <v>59.0</v>
      </c>
      <c r="H328" s="50">
        <v>1.0</v>
      </c>
      <c r="I328" s="50">
        <v>11.0</v>
      </c>
      <c r="J328" s="116"/>
      <c r="K328" s="116"/>
      <c r="L328" s="50" t="s">
        <v>1199</v>
      </c>
      <c r="M328" s="50" t="s">
        <v>1199</v>
      </c>
      <c r="N328" s="50">
        <v>1.0</v>
      </c>
      <c r="O328" s="50" t="s">
        <v>16892</v>
      </c>
      <c r="P328" s="116"/>
      <c r="Q328" s="116"/>
      <c r="R328" s="50">
        <v>6.0</v>
      </c>
      <c r="S328" s="50" t="s">
        <v>14454</v>
      </c>
      <c r="T328" s="117">
        <v>4247.0</v>
      </c>
      <c r="U328" s="50" t="s">
        <v>17039</v>
      </c>
      <c r="V328" s="50" t="s">
        <v>17042</v>
      </c>
      <c r="W328" s="117">
        <v>328.0</v>
      </c>
    </row>
    <row r="329">
      <c r="A329" s="50" t="s">
        <v>17036</v>
      </c>
      <c r="B329" s="50" t="s">
        <v>6876</v>
      </c>
      <c r="C329" s="50" t="s">
        <v>6877</v>
      </c>
      <c r="D329" s="50" t="s">
        <v>8493</v>
      </c>
      <c r="E329" s="144">
        <v>43724.0</v>
      </c>
      <c r="F329" s="50" t="s">
        <v>17047</v>
      </c>
      <c r="G329" s="50">
        <v>58.0</v>
      </c>
      <c r="H329" s="50">
        <v>1.0</v>
      </c>
      <c r="I329" s="50">
        <v>99.0</v>
      </c>
      <c r="J329" s="116"/>
      <c r="K329" s="116"/>
      <c r="L329" s="50" t="s">
        <v>1200</v>
      </c>
      <c r="M329" s="50" t="s">
        <v>1200</v>
      </c>
      <c r="N329" s="50">
        <v>1.0</v>
      </c>
      <c r="O329" s="50" t="s">
        <v>16892</v>
      </c>
      <c r="P329" s="116"/>
      <c r="Q329" s="116"/>
      <c r="R329" s="50">
        <v>6.0</v>
      </c>
      <c r="S329" s="50" t="s">
        <v>14454</v>
      </c>
      <c r="T329" s="117">
        <v>4248.0</v>
      </c>
      <c r="U329" s="50" t="s">
        <v>17048</v>
      </c>
      <c r="V329" s="50" t="s">
        <v>17049</v>
      </c>
      <c r="W329" s="117">
        <v>329.0</v>
      </c>
    </row>
    <row r="330">
      <c r="A330" s="50" t="s">
        <v>17047</v>
      </c>
      <c r="B330" s="50" t="s">
        <v>6876</v>
      </c>
      <c r="C330" s="50" t="s">
        <v>6877</v>
      </c>
      <c r="D330" s="50" t="s">
        <v>8493</v>
      </c>
      <c r="E330" s="144">
        <v>43724.0</v>
      </c>
      <c r="F330" s="50" t="s">
        <v>17051</v>
      </c>
      <c r="G330" s="50">
        <v>59.0</v>
      </c>
      <c r="H330" s="50">
        <v>1.0</v>
      </c>
      <c r="I330" s="50">
        <v>99.0</v>
      </c>
      <c r="J330" s="116"/>
      <c r="K330" s="116"/>
      <c r="L330" s="50" t="s">
        <v>1202</v>
      </c>
      <c r="M330" s="50" t="s">
        <v>1202</v>
      </c>
      <c r="N330" s="50">
        <v>1.0</v>
      </c>
      <c r="O330" s="50" t="s">
        <v>16892</v>
      </c>
      <c r="P330" s="116"/>
      <c r="Q330" s="116"/>
      <c r="R330" s="50">
        <v>6.0</v>
      </c>
      <c r="S330" s="50" t="s">
        <v>14454</v>
      </c>
      <c r="T330" s="117">
        <v>4249.0</v>
      </c>
      <c r="U330" s="50" t="s">
        <v>17055</v>
      </c>
      <c r="V330" s="50" t="s">
        <v>17056</v>
      </c>
      <c r="W330" s="117">
        <v>330.0</v>
      </c>
    </row>
    <row r="331">
      <c r="A331" s="50" t="s">
        <v>17057</v>
      </c>
      <c r="B331" s="50" t="s">
        <v>6876</v>
      </c>
      <c r="C331" s="50" t="s">
        <v>6877</v>
      </c>
      <c r="D331" s="50" t="s">
        <v>8493</v>
      </c>
      <c r="E331" s="144">
        <v>43724.0</v>
      </c>
      <c r="F331" s="50" t="s">
        <v>17058</v>
      </c>
      <c r="G331" s="50">
        <v>58.0</v>
      </c>
      <c r="H331" s="50">
        <v>1.0</v>
      </c>
      <c r="I331" s="50">
        <v>2.0</v>
      </c>
      <c r="J331" s="116"/>
      <c r="K331" s="116"/>
      <c r="L331" s="50" t="s">
        <v>1219</v>
      </c>
      <c r="M331" s="50" t="s">
        <v>1219</v>
      </c>
      <c r="N331" s="50">
        <v>1.0</v>
      </c>
      <c r="O331" s="50" t="s">
        <v>16892</v>
      </c>
      <c r="P331" s="116"/>
      <c r="Q331" s="116"/>
      <c r="R331" s="50">
        <v>6.0</v>
      </c>
      <c r="S331" s="50" t="s">
        <v>14454</v>
      </c>
      <c r="T331" s="117">
        <v>4250.0</v>
      </c>
      <c r="U331" s="50" t="s">
        <v>17063</v>
      </c>
      <c r="V331" s="50" t="s">
        <v>17064</v>
      </c>
      <c r="W331" s="117">
        <v>331.0</v>
      </c>
    </row>
    <row r="332">
      <c r="A332" s="50" t="s">
        <v>17058</v>
      </c>
      <c r="B332" s="50" t="s">
        <v>6876</v>
      </c>
      <c r="C332" s="50" t="s">
        <v>6877</v>
      </c>
      <c r="D332" s="50" t="s">
        <v>8493</v>
      </c>
      <c r="E332" s="144">
        <v>43724.0</v>
      </c>
      <c r="F332" s="50" t="s">
        <v>17068</v>
      </c>
      <c r="G332" s="50">
        <v>58.0</v>
      </c>
      <c r="H332" s="50">
        <v>1.0</v>
      </c>
      <c r="I332" s="50">
        <v>2.0</v>
      </c>
      <c r="J332" s="116"/>
      <c r="K332" s="116"/>
      <c r="L332" s="50" t="s">
        <v>1221</v>
      </c>
      <c r="M332" s="50" t="s">
        <v>1221</v>
      </c>
      <c r="N332" s="50">
        <v>1.0</v>
      </c>
      <c r="O332" s="50" t="s">
        <v>16892</v>
      </c>
      <c r="P332" s="116"/>
      <c r="Q332" s="116"/>
      <c r="R332" s="50">
        <v>6.0</v>
      </c>
      <c r="S332" s="50" t="s">
        <v>14454</v>
      </c>
      <c r="T332" s="117">
        <v>4251.0</v>
      </c>
      <c r="U332" s="50" t="s">
        <v>17072</v>
      </c>
      <c r="V332" s="50" t="s">
        <v>17075</v>
      </c>
      <c r="W332" s="117">
        <v>332.0</v>
      </c>
    </row>
    <row r="333">
      <c r="A333" s="50" t="s">
        <v>17068</v>
      </c>
      <c r="B333" s="50" t="s">
        <v>6876</v>
      </c>
      <c r="C333" s="50" t="s">
        <v>6877</v>
      </c>
      <c r="D333" s="50" t="s">
        <v>8493</v>
      </c>
      <c r="E333" s="144">
        <v>43724.0</v>
      </c>
      <c r="F333" s="50" t="s">
        <v>17078</v>
      </c>
      <c r="G333" s="50">
        <v>58.0</v>
      </c>
      <c r="H333" s="50">
        <v>1.0</v>
      </c>
      <c r="I333" s="50">
        <v>99.0</v>
      </c>
      <c r="J333" s="116"/>
      <c r="K333" s="116"/>
      <c r="L333" s="50" t="s">
        <v>1222</v>
      </c>
      <c r="M333" s="50" t="s">
        <v>1222</v>
      </c>
      <c r="N333" s="50">
        <v>1.0</v>
      </c>
      <c r="O333" s="50" t="s">
        <v>16892</v>
      </c>
      <c r="P333" s="116"/>
      <c r="Q333" s="116"/>
      <c r="R333" s="50">
        <v>6.0</v>
      </c>
      <c r="S333" s="50" t="s">
        <v>14454</v>
      </c>
      <c r="T333" s="117">
        <v>4252.0</v>
      </c>
      <c r="U333" s="50" t="s">
        <v>17085</v>
      </c>
      <c r="V333" s="50" t="s">
        <v>17086</v>
      </c>
      <c r="W333" s="117">
        <v>333.0</v>
      </c>
    </row>
    <row r="334">
      <c r="A334" s="50" t="s">
        <v>17078</v>
      </c>
      <c r="B334" s="50" t="s">
        <v>6876</v>
      </c>
      <c r="C334" s="50" t="s">
        <v>6877</v>
      </c>
      <c r="D334" s="50" t="s">
        <v>8493</v>
      </c>
      <c r="E334" s="144">
        <v>43724.0</v>
      </c>
      <c r="F334" s="50" t="s">
        <v>17087</v>
      </c>
      <c r="G334" s="50">
        <v>58.0</v>
      </c>
      <c r="H334" s="50">
        <v>1.0</v>
      </c>
      <c r="I334" s="50">
        <v>99.0</v>
      </c>
      <c r="J334" s="116"/>
      <c r="K334" s="116"/>
      <c r="L334" s="50" t="s">
        <v>1224</v>
      </c>
      <c r="M334" s="50" t="s">
        <v>1224</v>
      </c>
      <c r="N334" s="50">
        <v>1.0</v>
      </c>
      <c r="O334" s="50" t="s">
        <v>16892</v>
      </c>
      <c r="P334" s="116"/>
      <c r="Q334" s="116"/>
      <c r="R334" s="50">
        <v>6.0</v>
      </c>
      <c r="S334" s="50" t="s">
        <v>14454</v>
      </c>
      <c r="T334" s="117">
        <v>4253.0</v>
      </c>
      <c r="U334" s="50" t="s">
        <v>17093</v>
      </c>
      <c r="V334" s="50" t="s">
        <v>17094</v>
      </c>
      <c r="W334" s="117">
        <v>334.0</v>
      </c>
    </row>
    <row r="335">
      <c r="A335" s="50" t="s">
        <v>17087</v>
      </c>
      <c r="B335" s="50" t="s">
        <v>6876</v>
      </c>
      <c r="C335" s="50" t="s">
        <v>6877</v>
      </c>
      <c r="D335" s="50" t="s">
        <v>8493</v>
      </c>
      <c r="E335" s="144">
        <v>43724.0</v>
      </c>
      <c r="F335" s="50" t="s">
        <v>17095</v>
      </c>
      <c r="G335" s="50">
        <v>58.0</v>
      </c>
      <c r="H335" s="50">
        <v>1.0</v>
      </c>
      <c r="I335" s="50">
        <v>10.0</v>
      </c>
      <c r="J335" s="116"/>
      <c r="K335" s="116"/>
      <c r="L335" s="50" t="s">
        <v>1225</v>
      </c>
      <c r="M335" s="50" t="s">
        <v>1225</v>
      </c>
      <c r="N335" s="50">
        <v>1.0</v>
      </c>
      <c r="O335" s="50" t="s">
        <v>17097</v>
      </c>
      <c r="P335" s="116"/>
      <c r="Q335" s="116"/>
      <c r="R335" s="50">
        <v>6.0</v>
      </c>
      <c r="S335" s="50" t="s">
        <v>14454</v>
      </c>
      <c r="T335" s="117">
        <v>4254.0</v>
      </c>
      <c r="U335" s="50" t="s">
        <v>17099</v>
      </c>
      <c r="V335" s="50" t="s">
        <v>17102</v>
      </c>
      <c r="W335" s="117">
        <v>335.0</v>
      </c>
    </row>
    <row r="336">
      <c r="A336" s="50" t="s">
        <v>17095</v>
      </c>
      <c r="B336" s="50" t="s">
        <v>6876</v>
      </c>
      <c r="C336" s="50" t="s">
        <v>6877</v>
      </c>
      <c r="D336" s="50" t="s">
        <v>8493</v>
      </c>
      <c r="E336" s="144">
        <v>43724.0</v>
      </c>
      <c r="F336" s="50" t="s">
        <v>17105</v>
      </c>
      <c r="G336" s="50">
        <v>58.0</v>
      </c>
      <c r="H336" s="50">
        <v>1.0</v>
      </c>
      <c r="I336" s="50">
        <v>99.0</v>
      </c>
      <c r="J336" s="116"/>
      <c r="K336" s="116"/>
      <c r="L336" s="50" t="s">
        <v>1217</v>
      </c>
      <c r="M336" s="50" t="s">
        <v>1217</v>
      </c>
      <c r="N336" s="50">
        <v>1.0</v>
      </c>
      <c r="O336" s="50" t="s">
        <v>17108</v>
      </c>
      <c r="P336" s="116"/>
      <c r="Q336" s="116"/>
      <c r="R336" s="50">
        <v>7.0</v>
      </c>
      <c r="S336" s="50" t="s">
        <v>14454</v>
      </c>
      <c r="T336" s="117">
        <v>4255.0</v>
      </c>
      <c r="U336" s="50" t="s">
        <v>17110</v>
      </c>
      <c r="V336" s="50" t="s">
        <v>17111</v>
      </c>
      <c r="W336" s="117">
        <v>336.0</v>
      </c>
    </row>
    <row r="337">
      <c r="A337" s="50" t="s">
        <v>17105</v>
      </c>
      <c r="B337" s="50" t="s">
        <v>6876</v>
      </c>
      <c r="C337" s="50" t="s">
        <v>6877</v>
      </c>
      <c r="D337" s="50" t="s">
        <v>8493</v>
      </c>
      <c r="E337" s="144">
        <v>43724.0</v>
      </c>
      <c r="F337" s="50" t="s">
        <v>17112</v>
      </c>
      <c r="G337" s="50">
        <v>58.0</v>
      </c>
      <c r="H337" s="50">
        <v>1.0</v>
      </c>
      <c r="I337" s="50">
        <v>99.0</v>
      </c>
      <c r="J337" s="116"/>
      <c r="K337" s="116"/>
      <c r="L337" s="50" t="s">
        <v>1218</v>
      </c>
      <c r="M337" s="50" t="s">
        <v>1218</v>
      </c>
      <c r="N337" s="50">
        <v>1.0</v>
      </c>
      <c r="O337" s="50" t="s">
        <v>17108</v>
      </c>
      <c r="P337" s="116"/>
      <c r="Q337" s="116"/>
      <c r="R337" s="50">
        <v>7.0</v>
      </c>
      <c r="S337" s="50" t="s">
        <v>14454</v>
      </c>
      <c r="T337" s="117">
        <v>4256.0</v>
      </c>
      <c r="U337" s="50" t="s">
        <v>17114</v>
      </c>
      <c r="V337" s="50" t="s">
        <v>17117</v>
      </c>
      <c r="W337" s="117">
        <v>337.0</v>
      </c>
    </row>
    <row r="338">
      <c r="A338" s="50" t="s">
        <v>17112</v>
      </c>
      <c r="B338" s="50" t="s">
        <v>6876</v>
      </c>
      <c r="C338" s="50" t="s">
        <v>6877</v>
      </c>
      <c r="D338" s="50" t="s">
        <v>8493</v>
      </c>
      <c r="E338" s="144">
        <v>43724.0</v>
      </c>
      <c r="F338" s="50" t="s">
        <v>17120</v>
      </c>
      <c r="G338" s="50">
        <v>58.0</v>
      </c>
      <c r="H338" s="50">
        <v>1.0</v>
      </c>
      <c r="I338" s="50">
        <v>11.0</v>
      </c>
      <c r="J338" s="116"/>
      <c r="K338" s="116"/>
      <c r="L338" s="50" t="s">
        <v>1211</v>
      </c>
      <c r="M338" s="50" t="s">
        <v>1211</v>
      </c>
      <c r="N338" s="50">
        <v>1.0</v>
      </c>
      <c r="O338" s="50" t="s">
        <v>17108</v>
      </c>
      <c r="P338" s="116"/>
      <c r="Q338" s="116"/>
      <c r="R338" s="50">
        <v>7.0</v>
      </c>
      <c r="S338" s="50" t="s">
        <v>14454</v>
      </c>
      <c r="T338" s="117">
        <v>4257.0</v>
      </c>
      <c r="U338" s="50" t="s">
        <v>17123</v>
      </c>
      <c r="V338" s="50" t="s">
        <v>17125</v>
      </c>
      <c r="W338" s="117">
        <v>338.0</v>
      </c>
    </row>
    <row r="339">
      <c r="A339" s="50" t="s">
        <v>17120</v>
      </c>
      <c r="B339" s="50" t="s">
        <v>6876</v>
      </c>
      <c r="C339" s="50" t="s">
        <v>6877</v>
      </c>
      <c r="D339" s="50" t="s">
        <v>8493</v>
      </c>
      <c r="E339" s="144">
        <v>43724.0</v>
      </c>
      <c r="F339" s="50" t="s">
        <v>17131</v>
      </c>
      <c r="G339" s="50">
        <v>58.0</v>
      </c>
      <c r="H339" s="50">
        <v>1.0</v>
      </c>
      <c r="I339" s="50">
        <v>99.0</v>
      </c>
      <c r="J339" s="116"/>
      <c r="K339" s="116"/>
      <c r="L339" s="50" t="s">
        <v>1212</v>
      </c>
      <c r="M339" s="50" t="s">
        <v>1212</v>
      </c>
      <c r="N339" s="50">
        <v>1.0</v>
      </c>
      <c r="O339" s="50" t="s">
        <v>17108</v>
      </c>
      <c r="P339" s="116"/>
      <c r="Q339" s="116"/>
      <c r="R339" s="50">
        <v>7.0</v>
      </c>
      <c r="S339" s="50" t="s">
        <v>14454</v>
      </c>
      <c r="T339" s="117">
        <v>4258.0</v>
      </c>
      <c r="U339" s="50" t="s">
        <v>17133</v>
      </c>
      <c r="V339" s="50" t="s">
        <v>17134</v>
      </c>
      <c r="W339" s="117">
        <v>339.0</v>
      </c>
    </row>
    <row r="340">
      <c r="A340" s="50" t="s">
        <v>17131</v>
      </c>
      <c r="B340" s="50" t="s">
        <v>6876</v>
      </c>
      <c r="C340" s="50" t="s">
        <v>6877</v>
      </c>
      <c r="D340" s="50" t="s">
        <v>8493</v>
      </c>
      <c r="E340" s="144">
        <v>43724.0</v>
      </c>
      <c r="F340" s="50" t="s">
        <v>17135</v>
      </c>
      <c r="G340" s="50">
        <v>58.0</v>
      </c>
      <c r="H340" s="50">
        <v>1.0</v>
      </c>
      <c r="I340" s="50">
        <v>99.0</v>
      </c>
      <c r="J340" s="116"/>
      <c r="K340" s="116"/>
      <c r="L340" s="50" t="s">
        <v>1214</v>
      </c>
      <c r="M340" s="50" t="s">
        <v>1214</v>
      </c>
      <c r="N340" s="50">
        <v>1.0</v>
      </c>
      <c r="O340" s="50" t="s">
        <v>17108</v>
      </c>
      <c r="P340" s="116"/>
      <c r="Q340" s="116"/>
      <c r="R340" s="50">
        <v>7.0</v>
      </c>
      <c r="S340" s="50" t="s">
        <v>14454</v>
      </c>
      <c r="T340" s="117">
        <v>4259.0</v>
      </c>
      <c r="U340" s="50" t="s">
        <v>17139</v>
      </c>
      <c r="V340" s="50" t="s">
        <v>17140</v>
      </c>
      <c r="W340" s="117">
        <v>340.0</v>
      </c>
    </row>
    <row r="341">
      <c r="A341" s="50" t="s">
        <v>17135</v>
      </c>
      <c r="B341" s="50" t="s">
        <v>6876</v>
      </c>
      <c r="C341" s="50" t="s">
        <v>6877</v>
      </c>
      <c r="D341" s="50" t="s">
        <v>8493</v>
      </c>
      <c r="E341" s="144">
        <v>43724.0</v>
      </c>
      <c r="F341" s="50" t="s">
        <v>17142</v>
      </c>
      <c r="G341" s="50">
        <v>57.0</v>
      </c>
      <c r="H341" s="50">
        <v>1.0</v>
      </c>
      <c r="I341" s="50">
        <v>16.0</v>
      </c>
      <c r="J341" s="116"/>
      <c r="K341" s="116"/>
      <c r="L341" s="50" t="s">
        <v>1230</v>
      </c>
      <c r="M341" s="50" t="s">
        <v>1230</v>
      </c>
      <c r="N341" s="50">
        <v>1.0</v>
      </c>
      <c r="O341" s="50" t="s">
        <v>17143</v>
      </c>
      <c r="P341" s="116"/>
      <c r="Q341" s="116"/>
      <c r="R341" s="50">
        <v>1.0</v>
      </c>
      <c r="S341" s="50" t="s">
        <v>14454</v>
      </c>
      <c r="T341" s="117">
        <v>4260.0</v>
      </c>
      <c r="U341" s="50" t="s">
        <v>17144</v>
      </c>
      <c r="V341" s="50" t="s">
        <v>17145</v>
      </c>
      <c r="W341" s="117">
        <v>341.0</v>
      </c>
    </row>
    <row r="342">
      <c r="A342" s="50" t="s">
        <v>17142</v>
      </c>
      <c r="B342" s="50" t="s">
        <v>6876</v>
      </c>
      <c r="C342" s="50" t="s">
        <v>6877</v>
      </c>
      <c r="D342" s="50" t="s">
        <v>8493</v>
      </c>
      <c r="E342" s="144">
        <v>43724.0</v>
      </c>
      <c r="F342" s="50" t="s">
        <v>17150</v>
      </c>
      <c r="G342" s="50">
        <v>58.0</v>
      </c>
      <c r="H342" s="50">
        <v>1.0</v>
      </c>
      <c r="I342" s="50">
        <v>10.0</v>
      </c>
      <c r="J342" s="116"/>
      <c r="K342" s="116"/>
      <c r="L342" s="50" t="s">
        <v>1227</v>
      </c>
      <c r="M342" s="50" t="s">
        <v>1227</v>
      </c>
      <c r="N342" s="50">
        <v>1.0</v>
      </c>
      <c r="O342" s="50" t="s">
        <v>17097</v>
      </c>
      <c r="P342" s="116"/>
      <c r="Q342" s="50" t="s">
        <v>17156</v>
      </c>
      <c r="R342" s="50">
        <v>6.0</v>
      </c>
      <c r="S342" s="50" t="s">
        <v>14454</v>
      </c>
      <c r="T342" s="117">
        <v>4261.0</v>
      </c>
      <c r="U342" s="50" t="s">
        <v>17158</v>
      </c>
      <c r="V342" s="50" t="s">
        <v>17159</v>
      </c>
      <c r="W342" s="117">
        <v>342.0</v>
      </c>
    </row>
    <row r="343">
      <c r="A343" s="50" t="s">
        <v>17150</v>
      </c>
      <c r="B343" s="50" t="s">
        <v>6876</v>
      </c>
      <c r="C343" s="50" t="s">
        <v>6877</v>
      </c>
      <c r="D343" s="50" t="s">
        <v>8493</v>
      </c>
      <c r="E343" s="144">
        <v>43724.0</v>
      </c>
      <c r="F343" s="50" t="s">
        <v>17160</v>
      </c>
      <c r="G343" s="50">
        <v>58.0</v>
      </c>
      <c r="H343" s="50">
        <v>1.0</v>
      </c>
      <c r="I343" s="50">
        <v>10.0</v>
      </c>
      <c r="J343" s="116"/>
      <c r="K343" s="116"/>
      <c r="L343" s="50" t="s">
        <v>1228</v>
      </c>
      <c r="M343" s="50" t="s">
        <v>1228</v>
      </c>
      <c r="N343" s="50">
        <v>1.0</v>
      </c>
      <c r="O343" s="50" t="s">
        <v>17108</v>
      </c>
      <c r="P343" s="116"/>
      <c r="Q343" s="50" t="s">
        <v>17162</v>
      </c>
      <c r="R343" s="50">
        <v>7.0</v>
      </c>
      <c r="S343" s="50" t="s">
        <v>14454</v>
      </c>
      <c r="T343" s="117">
        <v>4262.0</v>
      </c>
      <c r="U343" s="50" t="s">
        <v>17165</v>
      </c>
      <c r="V343" s="50" t="s">
        <v>17166</v>
      </c>
      <c r="W343" s="117">
        <v>343.0</v>
      </c>
    </row>
    <row r="344">
      <c r="A344" s="50" t="s">
        <v>17160</v>
      </c>
      <c r="B344" s="50" t="s">
        <v>6876</v>
      </c>
      <c r="C344" s="50" t="s">
        <v>6877</v>
      </c>
      <c r="D344" s="50" t="s">
        <v>8493</v>
      </c>
      <c r="E344" s="144">
        <v>43724.0</v>
      </c>
      <c r="F344" s="50" t="s">
        <v>17168</v>
      </c>
      <c r="G344" s="50">
        <v>57.0</v>
      </c>
      <c r="H344" s="50">
        <v>1.0</v>
      </c>
      <c r="I344" s="50">
        <v>12.0</v>
      </c>
      <c r="J344" s="116"/>
      <c r="K344" s="116"/>
      <c r="L344" s="50" t="s">
        <v>1207</v>
      </c>
      <c r="M344" s="50" t="s">
        <v>1207</v>
      </c>
      <c r="N344" s="50">
        <v>1.0</v>
      </c>
      <c r="O344" s="50" t="s">
        <v>17108</v>
      </c>
      <c r="P344" s="116"/>
      <c r="Q344" s="116"/>
      <c r="R344" s="50">
        <v>7.0</v>
      </c>
      <c r="S344" s="50" t="s">
        <v>14454</v>
      </c>
      <c r="T344" s="117">
        <v>4263.0</v>
      </c>
      <c r="U344" s="50" t="s">
        <v>17169</v>
      </c>
      <c r="V344" s="50" t="s">
        <v>17170</v>
      </c>
      <c r="W344" s="117">
        <v>344.0</v>
      </c>
    </row>
    <row r="345">
      <c r="A345" s="50" t="s">
        <v>17168</v>
      </c>
      <c r="B345" s="50" t="s">
        <v>6876</v>
      </c>
      <c r="C345" s="50" t="s">
        <v>6877</v>
      </c>
      <c r="D345" s="50" t="s">
        <v>8493</v>
      </c>
      <c r="E345" s="144">
        <v>43724.0</v>
      </c>
      <c r="F345" s="50" t="s">
        <v>17175</v>
      </c>
      <c r="G345" s="50">
        <v>57.0</v>
      </c>
      <c r="H345" s="50">
        <v>1.0</v>
      </c>
      <c r="I345" s="50">
        <v>99.0</v>
      </c>
      <c r="J345" s="116"/>
      <c r="K345" s="116"/>
      <c r="L345" s="50" t="s">
        <v>1208</v>
      </c>
      <c r="M345" s="50" t="s">
        <v>1208</v>
      </c>
      <c r="N345" s="50">
        <v>1.0</v>
      </c>
      <c r="O345" s="50" t="s">
        <v>17108</v>
      </c>
      <c r="P345" s="116"/>
      <c r="Q345" s="116"/>
      <c r="R345" s="50">
        <v>7.0</v>
      </c>
      <c r="S345" s="50" t="s">
        <v>14454</v>
      </c>
      <c r="T345" s="117">
        <v>4264.0</v>
      </c>
      <c r="U345" s="50" t="s">
        <v>17181</v>
      </c>
      <c r="V345" s="50" t="s">
        <v>17182</v>
      </c>
      <c r="W345" s="117">
        <v>345.0</v>
      </c>
    </row>
    <row r="346">
      <c r="A346" s="50" t="s">
        <v>17175</v>
      </c>
      <c r="B346" s="50" t="s">
        <v>6876</v>
      </c>
      <c r="C346" s="50" t="s">
        <v>6877</v>
      </c>
      <c r="D346" s="50" t="s">
        <v>8493</v>
      </c>
      <c r="E346" s="144">
        <v>43724.0</v>
      </c>
      <c r="F346" s="50" t="s">
        <v>17184</v>
      </c>
      <c r="G346" s="50">
        <v>57.0</v>
      </c>
      <c r="H346" s="50">
        <v>1.0</v>
      </c>
      <c r="I346" s="50">
        <v>99.0</v>
      </c>
      <c r="J346" s="116"/>
      <c r="K346" s="116"/>
      <c r="L346" s="50" t="s">
        <v>1209</v>
      </c>
      <c r="M346" s="50" t="s">
        <v>1209</v>
      </c>
      <c r="N346" s="50">
        <v>1.0</v>
      </c>
      <c r="O346" s="50" t="s">
        <v>17108</v>
      </c>
      <c r="P346" s="116"/>
      <c r="Q346" s="116"/>
      <c r="R346" s="50">
        <v>7.0</v>
      </c>
      <c r="S346" s="50" t="s">
        <v>14454</v>
      </c>
      <c r="T346" s="117">
        <v>4265.0</v>
      </c>
      <c r="U346" s="50" t="s">
        <v>17189</v>
      </c>
      <c r="V346" s="50" t="s">
        <v>17190</v>
      </c>
      <c r="W346" s="117">
        <v>346.0</v>
      </c>
    </row>
    <row r="347">
      <c r="A347" s="50" t="s">
        <v>17184</v>
      </c>
      <c r="B347" s="50" t="s">
        <v>6876</v>
      </c>
      <c r="C347" s="50" t="s">
        <v>6877</v>
      </c>
      <c r="D347" s="50" t="s">
        <v>8493</v>
      </c>
      <c r="E347" s="144">
        <v>43724.0</v>
      </c>
      <c r="F347" s="50" t="s">
        <v>17191</v>
      </c>
      <c r="G347" s="50">
        <v>58.0</v>
      </c>
      <c r="H347" s="50">
        <v>1.0</v>
      </c>
      <c r="I347" s="50">
        <v>8.0</v>
      </c>
      <c r="J347" s="116"/>
      <c r="K347" s="116"/>
      <c r="L347" s="50" t="s">
        <v>1233</v>
      </c>
      <c r="M347" s="50" t="s">
        <v>1233</v>
      </c>
      <c r="N347" s="50">
        <v>1.0</v>
      </c>
      <c r="O347" s="50" t="s">
        <v>17195</v>
      </c>
      <c r="P347" s="116"/>
      <c r="Q347" s="116"/>
      <c r="R347" s="50">
        <v>6.0</v>
      </c>
      <c r="S347" s="50" t="s">
        <v>14454</v>
      </c>
      <c r="T347" s="117">
        <v>4266.0</v>
      </c>
      <c r="U347" s="50" t="s">
        <v>17198</v>
      </c>
      <c r="V347" s="50" t="s">
        <v>17199</v>
      </c>
      <c r="W347" s="117">
        <v>347.0</v>
      </c>
    </row>
    <row r="348">
      <c r="A348" s="50" t="s">
        <v>17191</v>
      </c>
      <c r="B348" s="50" t="s">
        <v>6876</v>
      </c>
      <c r="C348" s="50" t="s">
        <v>6877</v>
      </c>
      <c r="D348" s="50" t="s">
        <v>8493</v>
      </c>
      <c r="E348" s="144">
        <v>43724.0</v>
      </c>
      <c r="F348" s="50" t="s">
        <v>17200</v>
      </c>
      <c r="G348" s="50">
        <v>58.0</v>
      </c>
      <c r="H348" s="50">
        <v>1.0</v>
      </c>
      <c r="I348" s="50">
        <v>99.0</v>
      </c>
      <c r="J348" s="116"/>
      <c r="K348" s="116"/>
      <c r="L348" s="50" t="s">
        <v>1234</v>
      </c>
      <c r="M348" s="50" t="s">
        <v>1234</v>
      </c>
      <c r="N348" s="50">
        <v>1.0</v>
      </c>
      <c r="O348" s="50" t="s">
        <v>17195</v>
      </c>
      <c r="P348" s="116"/>
      <c r="Q348" s="116"/>
      <c r="R348" s="50">
        <v>6.0</v>
      </c>
      <c r="S348" s="50" t="s">
        <v>14454</v>
      </c>
      <c r="T348" s="117">
        <v>4267.0</v>
      </c>
      <c r="U348" s="50" t="s">
        <v>17205</v>
      </c>
      <c r="V348" s="50" t="s">
        <v>17206</v>
      </c>
      <c r="W348" s="117">
        <v>348.0</v>
      </c>
    </row>
    <row r="349">
      <c r="A349" s="50" t="s">
        <v>17200</v>
      </c>
      <c r="B349" s="50" t="s">
        <v>6876</v>
      </c>
      <c r="C349" s="50" t="s">
        <v>6877</v>
      </c>
      <c r="D349" s="50" t="s">
        <v>8493</v>
      </c>
      <c r="E349" s="144">
        <v>43724.0</v>
      </c>
      <c r="F349" s="50" t="s">
        <v>17209</v>
      </c>
      <c r="G349" s="50">
        <v>58.0</v>
      </c>
      <c r="H349" s="50">
        <v>1.0</v>
      </c>
      <c r="I349" s="50">
        <v>99.0</v>
      </c>
      <c r="J349" s="116"/>
      <c r="K349" s="116"/>
      <c r="L349" s="50" t="s">
        <v>1234</v>
      </c>
      <c r="M349" s="50" t="s">
        <v>1234</v>
      </c>
      <c r="N349" s="50">
        <v>1.0</v>
      </c>
      <c r="O349" s="50" t="s">
        <v>17195</v>
      </c>
      <c r="P349" s="116"/>
      <c r="Q349" s="116"/>
      <c r="R349" s="50">
        <v>6.0</v>
      </c>
      <c r="S349" s="50" t="s">
        <v>14454</v>
      </c>
      <c r="T349" s="117">
        <v>4268.0</v>
      </c>
      <c r="U349" s="50" t="s">
        <v>17212</v>
      </c>
      <c r="V349" s="50" t="s">
        <v>17213</v>
      </c>
      <c r="W349" s="117">
        <v>349.0</v>
      </c>
    </row>
    <row r="350">
      <c r="A350" s="50" t="s">
        <v>17209</v>
      </c>
      <c r="B350" s="50" t="s">
        <v>6876</v>
      </c>
      <c r="C350" s="50" t="s">
        <v>6877</v>
      </c>
      <c r="D350" s="50" t="s">
        <v>8493</v>
      </c>
      <c r="E350" s="144">
        <v>43724.0</v>
      </c>
      <c r="F350" s="50" t="s">
        <v>17214</v>
      </c>
      <c r="G350" s="50">
        <v>58.0</v>
      </c>
      <c r="H350" s="50">
        <v>1.0</v>
      </c>
      <c r="I350" s="50">
        <v>99.0</v>
      </c>
      <c r="J350" s="116"/>
      <c r="K350" s="116"/>
      <c r="L350" s="50" t="s">
        <v>1236</v>
      </c>
      <c r="M350" s="50" t="s">
        <v>1236</v>
      </c>
      <c r="N350" s="50">
        <v>1.0</v>
      </c>
      <c r="O350" s="50" t="s">
        <v>17195</v>
      </c>
      <c r="P350" s="116"/>
      <c r="Q350" s="116"/>
      <c r="R350" s="50">
        <v>6.0</v>
      </c>
      <c r="S350" s="50" t="s">
        <v>14454</v>
      </c>
      <c r="T350" s="117">
        <v>4269.0</v>
      </c>
      <c r="U350" s="50" t="s">
        <v>17215</v>
      </c>
      <c r="V350" s="50" t="s">
        <v>17217</v>
      </c>
      <c r="W350" s="117">
        <v>350.0</v>
      </c>
    </row>
    <row r="351">
      <c r="A351" s="50" t="s">
        <v>17219</v>
      </c>
      <c r="B351" s="50" t="s">
        <v>6876</v>
      </c>
      <c r="C351" s="50" t="s">
        <v>6877</v>
      </c>
      <c r="D351" s="50" t="s">
        <v>8493</v>
      </c>
      <c r="E351" s="144">
        <v>43724.0</v>
      </c>
      <c r="F351" s="50" t="s">
        <v>17224</v>
      </c>
      <c r="G351" s="50">
        <v>58.0</v>
      </c>
      <c r="H351" s="50">
        <v>1.0</v>
      </c>
      <c r="I351" s="50">
        <v>5.0</v>
      </c>
      <c r="J351" s="116"/>
      <c r="K351" s="116"/>
      <c r="L351" s="50" t="s">
        <v>1237</v>
      </c>
      <c r="M351" s="50" t="s">
        <v>1237</v>
      </c>
      <c r="N351" s="50">
        <v>1.0</v>
      </c>
      <c r="O351" s="50" t="s">
        <v>17195</v>
      </c>
      <c r="P351" s="116"/>
      <c r="Q351" s="116"/>
      <c r="R351" s="50">
        <v>6.0</v>
      </c>
      <c r="S351" s="50" t="s">
        <v>14454</v>
      </c>
      <c r="T351" s="117">
        <v>4270.0</v>
      </c>
      <c r="U351" s="50" t="s">
        <v>17228</v>
      </c>
      <c r="V351" s="50" t="s">
        <v>17229</v>
      </c>
      <c r="W351" s="117">
        <v>351.0</v>
      </c>
    </row>
    <row r="352">
      <c r="A352" s="50" t="s">
        <v>17224</v>
      </c>
      <c r="B352" s="50" t="s">
        <v>6876</v>
      </c>
      <c r="C352" s="50" t="s">
        <v>6877</v>
      </c>
      <c r="D352" s="50" t="s">
        <v>8493</v>
      </c>
      <c r="E352" s="144">
        <v>43724.0</v>
      </c>
      <c r="F352" s="50" t="s">
        <v>17230</v>
      </c>
      <c r="G352" s="50">
        <v>58.0</v>
      </c>
      <c r="H352" s="50">
        <v>1.0</v>
      </c>
      <c r="I352" s="50">
        <v>99.0</v>
      </c>
      <c r="J352" s="116"/>
      <c r="K352" s="116"/>
      <c r="L352" s="50" t="s">
        <v>1239</v>
      </c>
      <c r="M352" s="50" t="s">
        <v>1239</v>
      </c>
      <c r="N352" s="50">
        <v>1.0</v>
      </c>
      <c r="O352" s="50" t="s">
        <v>17195</v>
      </c>
      <c r="P352" s="116"/>
      <c r="Q352" s="116"/>
      <c r="R352" s="50">
        <v>6.0</v>
      </c>
      <c r="S352" s="50" t="s">
        <v>14454</v>
      </c>
      <c r="T352" s="117">
        <v>4271.0</v>
      </c>
      <c r="U352" s="50" t="s">
        <v>17231</v>
      </c>
      <c r="V352" s="50" t="s">
        <v>17232</v>
      </c>
      <c r="W352" s="117">
        <v>352.0</v>
      </c>
    </row>
    <row r="353">
      <c r="A353" s="50" t="s">
        <v>17230</v>
      </c>
      <c r="B353" s="50" t="s">
        <v>6876</v>
      </c>
      <c r="C353" s="50" t="s">
        <v>6877</v>
      </c>
      <c r="D353" s="50" t="s">
        <v>8493</v>
      </c>
      <c r="E353" s="144">
        <v>43724.0</v>
      </c>
      <c r="F353" s="50" t="s">
        <v>17236</v>
      </c>
      <c r="G353" s="50">
        <v>58.0</v>
      </c>
      <c r="H353" s="50">
        <v>1.0</v>
      </c>
      <c r="I353" s="50">
        <v>99.0</v>
      </c>
      <c r="J353" s="116"/>
      <c r="K353" s="116"/>
      <c r="L353" s="50" t="s">
        <v>1240</v>
      </c>
      <c r="M353" s="50" t="s">
        <v>1240</v>
      </c>
      <c r="N353" s="50">
        <v>1.0</v>
      </c>
      <c r="O353" s="50" t="s">
        <v>17195</v>
      </c>
      <c r="P353" s="116"/>
      <c r="Q353" s="116"/>
      <c r="R353" s="50">
        <v>6.0</v>
      </c>
      <c r="S353" s="50" t="s">
        <v>14454</v>
      </c>
      <c r="T353" s="117">
        <v>4272.0</v>
      </c>
      <c r="U353" s="50" t="s">
        <v>17238</v>
      </c>
      <c r="V353" s="50" t="s">
        <v>17239</v>
      </c>
      <c r="W353" s="117">
        <v>353.0</v>
      </c>
    </row>
    <row r="354">
      <c r="A354" s="50" t="s">
        <v>17236</v>
      </c>
      <c r="B354" s="50" t="s">
        <v>6876</v>
      </c>
      <c r="C354" s="50" t="s">
        <v>6877</v>
      </c>
      <c r="D354" s="50" t="s">
        <v>8493</v>
      </c>
      <c r="E354" s="144">
        <v>43724.0</v>
      </c>
      <c r="F354" s="50" t="s">
        <v>17240</v>
      </c>
      <c r="G354" s="50">
        <v>58.0</v>
      </c>
      <c r="H354" s="50">
        <v>1.0</v>
      </c>
      <c r="I354" s="50">
        <v>99.0</v>
      </c>
      <c r="J354" s="116"/>
      <c r="K354" s="116"/>
      <c r="L354" s="50" t="s">
        <v>1246</v>
      </c>
      <c r="M354" s="50" t="s">
        <v>1246</v>
      </c>
      <c r="N354" s="50">
        <v>1.0</v>
      </c>
      <c r="O354" s="50" t="s">
        <v>17242</v>
      </c>
      <c r="P354" s="116"/>
      <c r="Q354" s="116"/>
      <c r="R354" s="50">
        <v>6.0</v>
      </c>
      <c r="S354" s="50" t="s">
        <v>14454</v>
      </c>
      <c r="T354" s="117">
        <v>4273.0</v>
      </c>
      <c r="U354" s="50" t="s">
        <v>17248</v>
      </c>
      <c r="V354" s="50" t="s">
        <v>17249</v>
      </c>
      <c r="W354" s="117">
        <v>354.0</v>
      </c>
    </row>
    <row r="355">
      <c r="A355" s="50" t="s">
        <v>17240</v>
      </c>
      <c r="B355" s="50" t="s">
        <v>6876</v>
      </c>
      <c r="C355" s="50" t="s">
        <v>6877</v>
      </c>
      <c r="D355" s="50" t="s">
        <v>8493</v>
      </c>
      <c r="E355" s="144">
        <v>43724.0</v>
      </c>
      <c r="F355" s="50" t="s">
        <v>17253</v>
      </c>
      <c r="G355" s="50">
        <v>58.0</v>
      </c>
      <c r="H355" s="50">
        <v>1.0</v>
      </c>
      <c r="I355" s="50">
        <v>99.0</v>
      </c>
      <c r="J355" s="116"/>
      <c r="K355" s="116"/>
      <c r="L355" s="50" t="s">
        <v>1248</v>
      </c>
      <c r="M355" s="50" t="s">
        <v>1248</v>
      </c>
      <c r="N355" s="50">
        <v>1.0</v>
      </c>
      <c r="O355" s="50" t="s">
        <v>17242</v>
      </c>
      <c r="P355" s="116"/>
      <c r="Q355" s="116"/>
      <c r="R355" s="50">
        <v>6.0</v>
      </c>
      <c r="S355" s="50" t="s">
        <v>14454</v>
      </c>
      <c r="T355" s="117">
        <v>4274.0</v>
      </c>
      <c r="U355" s="50" t="s">
        <v>17254</v>
      </c>
      <c r="V355" s="50" t="s">
        <v>17255</v>
      </c>
      <c r="W355" s="117">
        <v>355.0</v>
      </c>
    </row>
    <row r="356">
      <c r="A356" s="50" t="s">
        <v>17253</v>
      </c>
      <c r="B356" s="50" t="s">
        <v>6876</v>
      </c>
      <c r="C356" s="50" t="s">
        <v>6877</v>
      </c>
      <c r="D356" s="50" t="s">
        <v>8493</v>
      </c>
      <c r="E356" s="144">
        <v>43724.0</v>
      </c>
      <c r="F356" s="50" t="s">
        <v>17257</v>
      </c>
      <c r="G356" s="50">
        <v>58.0</v>
      </c>
      <c r="H356" s="50">
        <v>1.0</v>
      </c>
      <c r="I356" s="50">
        <v>14.0</v>
      </c>
      <c r="J356" s="50">
        <v>141.0</v>
      </c>
      <c r="K356" s="116"/>
      <c r="L356" s="50" t="s">
        <v>638</v>
      </c>
      <c r="M356" s="50" t="s">
        <v>638</v>
      </c>
      <c r="N356" s="50">
        <v>1.0</v>
      </c>
      <c r="O356" s="50" t="s">
        <v>17242</v>
      </c>
      <c r="P356" s="116"/>
      <c r="Q356" s="116"/>
      <c r="R356" s="50">
        <v>6.0</v>
      </c>
      <c r="S356" s="50" t="s">
        <v>14454</v>
      </c>
      <c r="T356" s="117">
        <v>4275.0</v>
      </c>
      <c r="U356" s="50" t="s">
        <v>17262</v>
      </c>
      <c r="V356" s="50" t="s">
        <v>17263</v>
      </c>
      <c r="W356" s="117">
        <v>356.0</v>
      </c>
    </row>
    <row r="357">
      <c r="A357" s="50" t="s">
        <v>17257</v>
      </c>
      <c r="B357" s="50" t="s">
        <v>6876</v>
      </c>
      <c r="C357" s="50" t="s">
        <v>6877</v>
      </c>
      <c r="D357" s="50" t="s">
        <v>8493</v>
      </c>
      <c r="E357" s="144">
        <v>43724.0</v>
      </c>
      <c r="F357" s="50" t="s">
        <v>17264</v>
      </c>
      <c r="G357" s="50">
        <v>58.0</v>
      </c>
      <c r="H357" s="50">
        <v>1.0</v>
      </c>
      <c r="I357" s="50">
        <v>14.0</v>
      </c>
      <c r="J357" s="50">
        <v>142.0</v>
      </c>
      <c r="K357" s="116"/>
      <c r="L357" s="50" t="s">
        <v>641</v>
      </c>
      <c r="M357" s="50" t="s">
        <v>641</v>
      </c>
      <c r="N357" s="50">
        <v>1.0</v>
      </c>
      <c r="O357" s="50" t="s">
        <v>17242</v>
      </c>
      <c r="P357" s="116"/>
      <c r="Q357" s="116"/>
      <c r="R357" s="50">
        <v>6.0</v>
      </c>
      <c r="S357" s="50" t="s">
        <v>14454</v>
      </c>
      <c r="T357" s="117">
        <v>4276.0</v>
      </c>
      <c r="U357" s="50" t="s">
        <v>17269</v>
      </c>
      <c r="V357" s="50" t="s">
        <v>17271</v>
      </c>
      <c r="W357" s="117">
        <v>357.0</v>
      </c>
    </row>
    <row r="358">
      <c r="A358" s="50" t="s">
        <v>17264</v>
      </c>
      <c r="B358" s="50" t="s">
        <v>6876</v>
      </c>
      <c r="C358" s="50" t="s">
        <v>6877</v>
      </c>
      <c r="D358" s="50" t="s">
        <v>8493</v>
      </c>
      <c r="E358" s="144">
        <v>43724.0</v>
      </c>
      <c r="F358" s="50" t="s">
        <v>17278</v>
      </c>
      <c r="G358" s="50">
        <v>58.0</v>
      </c>
      <c r="H358" s="50">
        <v>1.0</v>
      </c>
      <c r="I358" s="50">
        <v>14.0</v>
      </c>
      <c r="J358" s="50">
        <v>143.0</v>
      </c>
      <c r="K358" s="116"/>
      <c r="L358" s="50" t="s">
        <v>644</v>
      </c>
      <c r="M358" s="50" t="s">
        <v>644</v>
      </c>
      <c r="N358" s="50">
        <v>1.0</v>
      </c>
      <c r="O358" s="50" t="s">
        <v>17242</v>
      </c>
      <c r="P358" s="116"/>
      <c r="Q358" s="116"/>
      <c r="R358" s="50">
        <v>6.0</v>
      </c>
      <c r="S358" s="50" t="s">
        <v>14454</v>
      </c>
      <c r="T358" s="117">
        <v>4277.0</v>
      </c>
      <c r="U358" s="50" t="s">
        <v>17280</v>
      </c>
      <c r="V358" s="50" t="s">
        <v>17282</v>
      </c>
      <c r="W358" s="117">
        <v>358.0</v>
      </c>
    </row>
    <row r="359">
      <c r="A359" s="50" t="s">
        <v>17284</v>
      </c>
      <c r="B359" s="50" t="s">
        <v>6876</v>
      </c>
      <c r="C359" s="50" t="s">
        <v>6877</v>
      </c>
      <c r="D359" s="50" t="s">
        <v>8493</v>
      </c>
      <c r="E359" s="144">
        <v>43724.0</v>
      </c>
      <c r="F359" s="50" t="s">
        <v>17286</v>
      </c>
      <c r="G359" s="50">
        <v>58.0</v>
      </c>
      <c r="H359" s="50">
        <v>1.0</v>
      </c>
      <c r="I359" s="50">
        <v>14.0</v>
      </c>
      <c r="J359" s="50">
        <v>144.0</v>
      </c>
      <c r="K359" s="116"/>
      <c r="L359" s="50" t="s">
        <v>646</v>
      </c>
      <c r="M359" s="50" t="s">
        <v>646</v>
      </c>
      <c r="N359" s="50">
        <v>1.0</v>
      </c>
      <c r="O359" s="50" t="s">
        <v>17242</v>
      </c>
      <c r="P359" s="116"/>
      <c r="Q359" s="116"/>
      <c r="R359" s="50">
        <v>6.0</v>
      </c>
      <c r="S359" s="50" t="s">
        <v>14454</v>
      </c>
      <c r="T359" s="117">
        <v>4278.0</v>
      </c>
      <c r="U359" s="50" t="s">
        <v>17287</v>
      </c>
      <c r="V359" s="50" t="s">
        <v>17288</v>
      </c>
      <c r="W359" s="117">
        <v>359.0</v>
      </c>
    </row>
    <row r="360">
      <c r="A360" s="50" t="s">
        <v>17286</v>
      </c>
      <c r="B360" s="50" t="s">
        <v>6876</v>
      </c>
      <c r="C360" s="50" t="s">
        <v>6877</v>
      </c>
      <c r="D360" s="50" t="s">
        <v>8493</v>
      </c>
      <c r="E360" s="144">
        <v>43724.0</v>
      </c>
      <c r="F360" s="50" t="s">
        <v>17290</v>
      </c>
      <c r="G360" s="50">
        <v>58.0</v>
      </c>
      <c r="H360" s="50">
        <v>1.0</v>
      </c>
      <c r="I360" s="50">
        <v>14.0</v>
      </c>
      <c r="J360" s="50">
        <v>145.0</v>
      </c>
      <c r="K360" s="116"/>
      <c r="L360" s="50" t="s">
        <v>649</v>
      </c>
      <c r="M360" s="50" t="s">
        <v>649</v>
      </c>
      <c r="N360" s="50">
        <v>1.0</v>
      </c>
      <c r="O360" s="50" t="s">
        <v>17242</v>
      </c>
      <c r="P360" s="116"/>
      <c r="Q360" s="116"/>
      <c r="R360" s="50">
        <v>6.0</v>
      </c>
      <c r="S360" s="50" t="s">
        <v>14454</v>
      </c>
      <c r="T360" s="117">
        <v>4279.0</v>
      </c>
      <c r="U360" s="50" t="s">
        <v>17294</v>
      </c>
      <c r="V360" s="50" t="s">
        <v>17295</v>
      </c>
      <c r="W360" s="117">
        <v>360.0</v>
      </c>
    </row>
    <row r="361">
      <c r="A361" s="50" t="s">
        <v>17296</v>
      </c>
      <c r="B361" s="50" t="s">
        <v>6876</v>
      </c>
      <c r="C361" s="50" t="s">
        <v>6877</v>
      </c>
      <c r="D361" s="50" t="s">
        <v>8493</v>
      </c>
      <c r="E361" s="144">
        <v>43726.0</v>
      </c>
      <c r="F361" s="50" t="s">
        <v>17297</v>
      </c>
      <c r="G361" s="50">
        <v>59.0</v>
      </c>
      <c r="H361" s="50">
        <v>1.0</v>
      </c>
      <c r="I361" s="50">
        <v>11.0</v>
      </c>
      <c r="J361" s="116"/>
      <c r="K361" s="116"/>
      <c r="L361" s="50" t="s">
        <v>1250</v>
      </c>
      <c r="M361" s="50" t="s">
        <v>1250</v>
      </c>
      <c r="N361" s="50">
        <v>1.0</v>
      </c>
      <c r="O361" s="50" t="s">
        <v>17302</v>
      </c>
      <c r="P361" s="116"/>
      <c r="Q361" s="50" t="s">
        <v>17304</v>
      </c>
      <c r="R361" s="50">
        <v>5.0</v>
      </c>
      <c r="S361" s="50" t="s">
        <v>14454</v>
      </c>
      <c r="T361" s="117">
        <v>4330.0</v>
      </c>
      <c r="U361" s="50" t="s">
        <v>17306</v>
      </c>
      <c r="V361" s="50" t="s">
        <v>17308</v>
      </c>
      <c r="W361" s="117">
        <v>361.0</v>
      </c>
    </row>
    <row r="362">
      <c r="A362" s="50" t="s">
        <v>17297</v>
      </c>
      <c r="B362" s="50" t="s">
        <v>6876</v>
      </c>
      <c r="C362" s="50" t="s">
        <v>6877</v>
      </c>
      <c r="D362" s="50" t="s">
        <v>8493</v>
      </c>
      <c r="E362" s="144">
        <v>43727.0</v>
      </c>
      <c r="F362" s="50" t="s">
        <v>17313</v>
      </c>
      <c r="G362" s="50">
        <v>59.0</v>
      </c>
      <c r="H362" s="50">
        <v>1.0</v>
      </c>
      <c r="I362" s="50">
        <v>99.0</v>
      </c>
      <c r="J362" s="116"/>
      <c r="K362" s="116"/>
      <c r="L362" s="50" t="s">
        <v>1253</v>
      </c>
      <c r="M362" s="50" t="s">
        <v>1253</v>
      </c>
      <c r="N362" s="50">
        <v>1.0</v>
      </c>
      <c r="O362" s="50" t="s">
        <v>17302</v>
      </c>
      <c r="P362" s="116"/>
      <c r="Q362" s="50" t="s">
        <v>17314</v>
      </c>
      <c r="R362" s="50">
        <v>5.0</v>
      </c>
      <c r="S362" s="50" t="s">
        <v>14454</v>
      </c>
      <c r="T362" s="117">
        <v>4331.0</v>
      </c>
      <c r="U362" s="50" t="s">
        <v>17315</v>
      </c>
      <c r="V362" s="50" t="s">
        <v>17316</v>
      </c>
      <c r="W362" s="117">
        <v>362.0</v>
      </c>
    </row>
    <row r="363">
      <c r="A363" s="50" t="s">
        <v>17318</v>
      </c>
      <c r="B363" s="50" t="s">
        <v>6876</v>
      </c>
      <c r="C363" s="50" t="s">
        <v>6877</v>
      </c>
      <c r="D363" s="50" t="s">
        <v>8493</v>
      </c>
      <c r="E363" s="144">
        <v>43728.0</v>
      </c>
      <c r="F363" s="50" t="s">
        <v>17322</v>
      </c>
      <c r="G363" s="50">
        <v>58.0</v>
      </c>
      <c r="H363" s="50">
        <v>1.0</v>
      </c>
      <c r="I363" s="50">
        <v>15.0</v>
      </c>
      <c r="J363" s="116"/>
      <c r="K363" s="50">
        <v>151.0</v>
      </c>
      <c r="L363" s="50" t="s">
        <v>216</v>
      </c>
      <c r="M363" s="50" t="s">
        <v>216</v>
      </c>
      <c r="N363" s="50">
        <v>1.0</v>
      </c>
      <c r="O363" s="50" t="s">
        <v>17324</v>
      </c>
      <c r="P363" s="116"/>
      <c r="Q363" s="116"/>
      <c r="R363" s="50">
        <v>7.0</v>
      </c>
      <c r="S363" s="50" t="s">
        <v>14454</v>
      </c>
      <c r="T363" s="117">
        <v>4341.0</v>
      </c>
      <c r="U363" s="50" t="s">
        <v>17325</v>
      </c>
      <c r="V363" s="50" t="s">
        <v>17326</v>
      </c>
      <c r="W363" s="117">
        <v>363.0</v>
      </c>
    </row>
    <row r="364">
      <c r="A364" s="50" t="s">
        <v>17322</v>
      </c>
      <c r="B364" s="50" t="s">
        <v>6876</v>
      </c>
      <c r="C364" s="50" t="s">
        <v>6877</v>
      </c>
      <c r="D364" s="50" t="s">
        <v>8493</v>
      </c>
      <c r="E364" s="144">
        <v>43728.0</v>
      </c>
      <c r="F364" s="50" t="s">
        <v>17330</v>
      </c>
      <c r="G364" s="50">
        <v>58.0</v>
      </c>
      <c r="H364" s="50">
        <v>1.0</v>
      </c>
      <c r="I364" s="50">
        <v>15.0</v>
      </c>
      <c r="J364" s="116"/>
      <c r="K364" s="50">
        <v>152.0</v>
      </c>
      <c r="L364" s="50" t="s">
        <v>216</v>
      </c>
      <c r="M364" s="50" t="s">
        <v>216</v>
      </c>
      <c r="N364" s="50">
        <v>1.0</v>
      </c>
      <c r="O364" s="50" t="s">
        <v>17324</v>
      </c>
      <c r="P364" s="116"/>
      <c r="Q364" s="116"/>
      <c r="R364" s="50">
        <v>7.0</v>
      </c>
      <c r="S364" s="50" t="s">
        <v>14454</v>
      </c>
      <c r="T364" s="117">
        <v>4342.0</v>
      </c>
      <c r="U364" s="50" t="s">
        <v>1832</v>
      </c>
      <c r="V364" s="50" t="s">
        <v>17336</v>
      </c>
      <c r="W364" s="117">
        <v>364.0</v>
      </c>
    </row>
    <row r="365">
      <c r="A365" s="50" t="s">
        <v>17330</v>
      </c>
      <c r="B365" s="50" t="s">
        <v>6876</v>
      </c>
      <c r="C365" s="50" t="s">
        <v>6877</v>
      </c>
      <c r="D365" s="50" t="s">
        <v>8493</v>
      </c>
      <c r="E365" s="144">
        <v>43728.0</v>
      </c>
      <c r="F365" s="50" t="s">
        <v>17340</v>
      </c>
      <c r="G365" s="50">
        <v>58.0</v>
      </c>
      <c r="H365" s="50">
        <v>1.0</v>
      </c>
      <c r="I365" s="50">
        <v>15.0</v>
      </c>
      <c r="J365" s="116"/>
      <c r="K365" s="50">
        <v>152.0</v>
      </c>
      <c r="L365" s="50" t="s">
        <v>573</v>
      </c>
      <c r="M365" s="50" t="s">
        <v>573</v>
      </c>
      <c r="N365" s="50">
        <v>1.0</v>
      </c>
      <c r="O365" s="50" t="s">
        <v>17324</v>
      </c>
      <c r="P365" s="116"/>
      <c r="Q365" s="116"/>
      <c r="R365" s="50">
        <v>7.0</v>
      </c>
      <c r="S365" s="50" t="s">
        <v>14454</v>
      </c>
      <c r="T365" s="117">
        <v>4343.0</v>
      </c>
      <c r="U365" s="50" t="s">
        <v>17343</v>
      </c>
      <c r="V365" s="50" t="s">
        <v>17344</v>
      </c>
      <c r="W365" s="117">
        <v>365.0</v>
      </c>
    </row>
    <row r="366">
      <c r="A366" s="50" t="s">
        <v>17340</v>
      </c>
      <c r="B366" s="50" t="s">
        <v>6876</v>
      </c>
      <c r="C366" s="50" t="s">
        <v>6877</v>
      </c>
      <c r="D366" s="50" t="s">
        <v>8493</v>
      </c>
      <c r="E366" s="144">
        <v>43728.0</v>
      </c>
      <c r="F366" s="50" t="s">
        <v>17346</v>
      </c>
      <c r="G366" s="50">
        <v>58.0</v>
      </c>
      <c r="H366" s="50">
        <v>1.0</v>
      </c>
      <c r="I366" s="50">
        <v>15.0</v>
      </c>
      <c r="J366" s="116"/>
      <c r="K366" s="50">
        <v>152.0</v>
      </c>
      <c r="L366" s="50" t="s">
        <v>572</v>
      </c>
      <c r="M366" s="50" t="s">
        <v>572</v>
      </c>
      <c r="N366" s="50">
        <v>1.0</v>
      </c>
      <c r="O366" s="50" t="s">
        <v>17324</v>
      </c>
      <c r="P366" s="116"/>
      <c r="Q366" s="116"/>
      <c r="R366" s="50">
        <v>7.0</v>
      </c>
      <c r="S366" s="50" t="s">
        <v>14454</v>
      </c>
      <c r="T366" s="117">
        <v>4344.0</v>
      </c>
      <c r="U366" s="50" t="s">
        <v>17350</v>
      </c>
      <c r="V366" s="50" t="s">
        <v>17351</v>
      </c>
      <c r="W366" s="117">
        <v>366.0</v>
      </c>
    </row>
    <row r="367">
      <c r="A367" s="50" t="s">
        <v>17352</v>
      </c>
      <c r="B367" s="50" t="s">
        <v>6876</v>
      </c>
      <c r="C367" s="50" t="s">
        <v>6877</v>
      </c>
      <c r="D367" s="50" t="s">
        <v>8493</v>
      </c>
      <c r="E367" s="144">
        <v>43728.0</v>
      </c>
      <c r="F367" s="50" t="s">
        <v>17353</v>
      </c>
      <c r="G367" s="50">
        <v>58.0</v>
      </c>
      <c r="H367" s="50">
        <v>1.0</v>
      </c>
      <c r="I367" s="50">
        <v>15.0</v>
      </c>
      <c r="J367" s="116"/>
      <c r="K367" s="50">
        <v>152.0</v>
      </c>
      <c r="L367" s="50" t="s">
        <v>575</v>
      </c>
      <c r="M367" s="50" t="s">
        <v>575</v>
      </c>
      <c r="N367" s="50">
        <v>1.0</v>
      </c>
      <c r="O367" s="50" t="s">
        <v>17324</v>
      </c>
      <c r="P367" s="116"/>
      <c r="Q367" s="116"/>
      <c r="R367" s="50">
        <v>7.0</v>
      </c>
      <c r="S367" s="50" t="s">
        <v>14454</v>
      </c>
      <c r="T367" s="117">
        <v>4345.0</v>
      </c>
      <c r="U367" s="50" t="s">
        <v>17359</v>
      </c>
      <c r="V367" s="50" t="s">
        <v>17361</v>
      </c>
      <c r="W367" s="117">
        <v>367.0</v>
      </c>
    </row>
    <row r="368">
      <c r="A368" s="50" t="s">
        <v>17362</v>
      </c>
      <c r="B368" s="50" t="s">
        <v>6876</v>
      </c>
      <c r="C368" s="50" t="s">
        <v>6877</v>
      </c>
      <c r="D368" s="50" t="s">
        <v>8493</v>
      </c>
      <c r="E368" s="144">
        <v>43728.0</v>
      </c>
      <c r="F368" s="50" t="s">
        <v>17365</v>
      </c>
      <c r="G368" s="50">
        <v>58.0</v>
      </c>
      <c r="H368" s="50">
        <v>1.0</v>
      </c>
      <c r="I368" s="50">
        <v>99.0</v>
      </c>
      <c r="J368" s="116"/>
      <c r="K368" s="116"/>
      <c r="L368" s="50" t="s">
        <v>1264</v>
      </c>
      <c r="M368" s="50" t="s">
        <v>1264</v>
      </c>
      <c r="N368" s="50">
        <v>1.0</v>
      </c>
      <c r="O368" s="50" t="s">
        <v>17324</v>
      </c>
      <c r="P368" s="116"/>
      <c r="Q368" s="50" t="s">
        <v>17369</v>
      </c>
      <c r="R368" s="50">
        <v>7.0</v>
      </c>
      <c r="S368" s="50" t="s">
        <v>14454</v>
      </c>
      <c r="T368" s="117">
        <v>4346.0</v>
      </c>
      <c r="U368" s="50" t="s">
        <v>17370</v>
      </c>
      <c r="V368" s="50" t="s">
        <v>17371</v>
      </c>
      <c r="W368" s="117">
        <v>368.0</v>
      </c>
    </row>
    <row r="369">
      <c r="A369" s="50" t="s">
        <v>17365</v>
      </c>
      <c r="B369" s="50" t="s">
        <v>6876</v>
      </c>
      <c r="C369" s="50" t="s">
        <v>6877</v>
      </c>
      <c r="D369" s="50" t="s">
        <v>8493</v>
      </c>
      <c r="E369" s="144">
        <v>43728.0</v>
      </c>
      <c r="F369" s="50" t="s">
        <v>17372</v>
      </c>
      <c r="G369" s="50">
        <v>57.0</v>
      </c>
      <c r="H369" s="50">
        <v>1.0</v>
      </c>
      <c r="I369" s="50">
        <v>12.0</v>
      </c>
      <c r="J369" s="116"/>
      <c r="K369" s="116"/>
      <c r="L369" s="50" t="s">
        <v>1258</v>
      </c>
      <c r="M369" s="50" t="s">
        <v>1258</v>
      </c>
      <c r="N369" s="50">
        <v>1.0</v>
      </c>
      <c r="O369" s="50" t="s">
        <v>17324</v>
      </c>
      <c r="P369" s="116"/>
      <c r="Q369" s="116"/>
      <c r="R369" s="50">
        <v>7.0</v>
      </c>
      <c r="S369" s="50" t="s">
        <v>14454</v>
      </c>
      <c r="T369" s="117">
        <v>4347.0</v>
      </c>
      <c r="U369" s="50" t="s">
        <v>17378</v>
      </c>
      <c r="V369" s="50" t="s">
        <v>17379</v>
      </c>
      <c r="W369" s="117">
        <v>369.0</v>
      </c>
    </row>
    <row r="370">
      <c r="A370" s="50" t="s">
        <v>17372</v>
      </c>
      <c r="B370" s="50" t="s">
        <v>6876</v>
      </c>
      <c r="C370" s="50" t="s">
        <v>6877</v>
      </c>
      <c r="D370" s="50" t="s">
        <v>8493</v>
      </c>
      <c r="E370" s="144">
        <v>43728.0</v>
      </c>
      <c r="F370" s="50" t="s">
        <v>17380</v>
      </c>
      <c r="G370" s="50">
        <v>57.0</v>
      </c>
      <c r="H370" s="50">
        <v>1.0</v>
      </c>
      <c r="I370" s="50">
        <v>99.0</v>
      </c>
      <c r="J370" s="116"/>
      <c r="K370" s="116"/>
      <c r="L370" s="50" t="s">
        <v>1259</v>
      </c>
      <c r="M370" s="50" t="s">
        <v>1259</v>
      </c>
      <c r="N370" s="50">
        <v>1.0</v>
      </c>
      <c r="O370" s="50" t="s">
        <v>17324</v>
      </c>
      <c r="P370" s="116"/>
      <c r="Q370" s="50" t="s">
        <v>17386</v>
      </c>
      <c r="R370" s="50">
        <v>7.0</v>
      </c>
      <c r="S370" s="50" t="s">
        <v>14454</v>
      </c>
      <c r="T370" s="117">
        <v>4348.0</v>
      </c>
      <c r="U370" s="50" t="s">
        <v>17389</v>
      </c>
      <c r="V370" s="50" t="s">
        <v>17390</v>
      </c>
      <c r="W370" s="117">
        <v>370.0</v>
      </c>
    </row>
    <row r="371">
      <c r="A371" s="50" t="s">
        <v>17380</v>
      </c>
      <c r="B371" s="50" t="s">
        <v>6876</v>
      </c>
      <c r="C371" s="50" t="s">
        <v>6877</v>
      </c>
      <c r="D371" s="50" t="s">
        <v>8493</v>
      </c>
      <c r="E371" s="144">
        <v>43728.0</v>
      </c>
      <c r="F371" s="50" t="s">
        <v>17396</v>
      </c>
      <c r="G371" s="50">
        <v>33.0</v>
      </c>
      <c r="H371" s="50">
        <v>1.0</v>
      </c>
      <c r="I371" s="50">
        <v>98.0</v>
      </c>
      <c r="J371" s="116"/>
      <c r="K371" s="116"/>
      <c r="L371" s="50" t="s">
        <v>1272</v>
      </c>
      <c r="M371" s="50" t="s">
        <v>1272</v>
      </c>
      <c r="N371" s="50">
        <v>1.0</v>
      </c>
      <c r="O371" s="50" t="s">
        <v>17324</v>
      </c>
      <c r="P371" s="116"/>
      <c r="Q371" s="116"/>
      <c r="R371" s="50">
        <v>7.0</v>
      </c>
      <c r="S371" s="50" t="s">
        <v>14454</v>
      </c>
      <c r="T371" s="117">
        <v>4376.0</v>
      </c>
      <c r="U371" s="50" t="s">
        <v>17401</v>
      </c>
      <c r="V371" s="50" t="s">
        <v>17402</v>
      </c>
      <c r="W371" s="117">
        <v>371.0</v>
      </c>
    </row>
    <row r="372">
      <c r="A372" s="50" t="s">
        <v>17404</v>
      </c>
      <c r="B372" s="50" t="s">
        <v>6876</v>
      </c>
      <c r="C372" s="50" t="s">
        <v>6877</v>
      </c>
      <c r="D372" s="50" t="s">
        <v>8493</v>
      </c>
      <c r="E372" s="144">
        <v>43733.0</v>
      </c>
      <c r="F372" s="50" t="s">
        <v>17405</v>
      </c>
      <c r="G372" s="50">
        <v>58.0</v>
      </c>
      <c r="H372" s="50">
        <v>1.0</v>
      </c>
      <c r="I372" s="50">
        <v>15.0</v>
      </c>
      <c r="J372" s="116"/>
      <c r="K372" s="50">
        <v>151.0</v>
      </c>
      <c r="L372" s="50" t="s">
        <v>578</v>
      </c>
      <c r="M372" s="50" t="s">
        <v>578</v>
      </c>
      <c r="N372" s="50">
        <v>1.0</v>
      </c>
      <c r="O372" s="50" t="s">
        <v>17324</v>
      </c>
      <c r="P372" s="116"/>
      <c r="Q372" s="116"/>
      <c r="R372" s="50">
        <v>7.0</v>
      </c>
      <c r="S372" s="50" t="s">
        <v>14454</v>
      </c>
      <c r="T372" s="117">
        <v>4377.0</v>
      </c>
      <c r="U372" s="50" t="s">
        <v>17409</v>
      </c>
      <c r="V372" s="50" t="s">
        <v>17410</v>
      </c>
      <c r="W372" s="117">
        <v>372.0</v>
      </c>
    </row>
    <row r="373">
      <c r="A373" s="50" t="s">
        <v>17405</v>
      </c>
      <c r="B373" s="50" t="s">
        <v>6876</v>
      </c>
      <c r="C373" s="50" t="s">
        <v>6877</v>
      </c>
      <c r="D373" s="50" t="s">
        <v>8493</v>
      </c>
      <c r="E373" s="144">
        <v>43733.0</v>
      </c>
      <c r="F373" s="50" t="s">
        <v>17412</v>
      </c>
      <c r="G373" s="50">
        <v>58.0</v>
      </c>
      <c r="H373" s="50">
        <v>1.0</v>
      </c>
      <c r="I373" s="50">
        <v>15.0</v>
      </c>
      <c r="J373" s="116"/>
      <c r="K373" s="50">
        <v>152.0</v>
      </c>
      <c r="L373" s="50" t="s">
        <v>580</v>
      </c>
      <c r="M373" s="50" t="s">
        <v>580</v>
      </c>
      <c r="N373" s="50">
        <v>1.0</v>
      </c>
      <c r="O373" s="50" t="s">
        <v>17324</v>
      </c>
      <c r="P373" s="116"/>
      <c r="Q373" s="116"/>
      <c r="R373" s="50">
        <v>7.0</v>
      </c>
      <c r="S373" s="50" t="s">
        <v>14454</v>
      </c>
      <c r="T373" s="117">
        <v>4378.0</v>
      </c>
      <c r="U373" s="50" t="s">
        <v>17417</v>
      </c>
      <c r="V373" s="50" t="s">
        <v>17418</v>
      </c>
      <c r="W373" s="117">
        <v>373.0</v>
      </c>
    </row>
    <row r="374">
      <c r="A374" s="50" t="s">
        <v>17422</v>
      </c>
      <c r="B374" s="50" t="s">
        <v>6876</v>
      </c>
      <c r="C374" s="50" t="s">
        <v>6877</v>
      </c>
      <c r="D374" s="50" t="s">
        <v>8493</v>
      </c>
      <c r="E374" s="144">
        <v>43733.0</v>
      </c>
      <c r="F374" s="50" t="s">
        <v>17425</v>
      </c>
      <c r="G374" s="50">
        <v>58.0</v>
      </c>
      <c r="H374" s="50">
        <v>1.0</v>
      </c>
      <c r="I374" s="50">
        <v>15.0</v>
      </c>
      <c r="J374" s="116"/>
      <c r="K374" s="50">
        <v>152.0</v>
      </c>
      <c r="L374" s="50" t="s">
        <v>582</v>
      </c>
      <c r="M374" s="50" t="s">
        <v>582</v>
      </c>
      <c r="N374" s="50">
        <v>1.0</v>
      </c>
      <c r="O374" s="50" t="s">
        <v>17324</v>
      </c>
      <c r="P374" s="116"/>
      <c r="Q374" s="116"/>
      <c r="R374" s="50">
        <v>7.0</v>
      </c>
      <c r="S374" s="50" t="s">
        <v>14454</v>
      </c>
      <c r="T374" s="117">
        <v>4379.0</v>
      </c>
      <c r="U374" s="50" t="s">
        <v>17430</v>
      </c>
      <c r="V374" s="50" t="s">
        <v>17431</v>
      </c>
      <c r="W374" s="117">
        <v>374.0</v>
      </c>
    </row>
    <row r="375">
      <c r="A375" s="50" t="s">
        <v>17425</v>
      </c>
      <c r="B375" s="50" t="s">
        <v>6876</v>
      </c>
      <c r="C375" s="50" t="s">
        <v>6877</v>
      </c>
      <c r="D375" s="50" t="s">
        <v>8493</v>
      </c>
      <c r="E375" s="144">
        <v>43733.0</v>
      </c>
      <c r="F375" s="50" t="s">
        <v>17436</v>
      </c>
      <c r="G375" s="50">
        <v>58.0</v>
      </c>
      <c r="H375" s="50">
        <v>1.0</v>
      </c>
      <c r="I375" s="50">
        <v>15.0</v>
      </c>
      <c r="J375" s="116"/>
      <c r="K375" s="50">
        <v>152.0</v>
      </c>
      <c r="L375" s="50" t="s">
        <v>584</v>
      </c>
      <c r="M375" s="50" t="s">
        <v>584</v>
      </c>
      <c r="N375" s="50">
        <v>1.0</v>
      </c>
      <c r="O375" s="50" t="s">
        <v>17324</v>
      </c>
      <c r="P375" s="116"/>
      <c r="Q375" s="116"/>
      <c r="R375" s="50">
        <v>7.0</v>
      </c>
      <c r="S375" s="50" t="s">
        <v>14454</v>
      </c>
      <c r="T375" s="117">
        <v>4380.0</v>
      </c>
      <c r="U375" s="50" t="s">
        <v>17438</v>
      </c>
      <c r="V375" s="50" t="s">
        <v>17439</v>
      </c>
      <c r="W375" s="117">
        <v>375.0</v>
      </c>
    </row>
    <row r="376">
      <c r="A376" s="50" t="s">
        <v>17436</v>
      </c>
      <c r="B376" s="50" t="s">
        <v>6876</v>
      </c>
      <c r="C376" s="50" t="s">
        <v>6877</v>
      </c>
      <c r="D376" s="50" t="s">
        <v>8493</v>
      </c>
      <c r="E376" s="144">
        <v>43733.0</v>
      </c>
      <c r="F376" s="50" t="s">
        <v>17444</v>
      </c>
      <c r="G376" s="50">
        <v>58.0</v>
      </c>
      <c r="H376" s="50">
        <v>1.0</v>
      </c>
      <c r="I376" s="50">
        <v>15.0</v>
      </c>
      <c r="J376" s="116"/>
      <c r="K376" s="50">
        <v>152.0</v>
      </c>
      <c r="L376" s="50" t="s">
        <v>587</v>
      </c>
      <c r="M376" s="50" t="s">
        <v>587</v>
      </c>
      <c r="N376" s="50">
        <v>1.0</v>
      </c>
      <c r="O376" s="50" t="s">
        <v>17324</v>
      </c>
      <c r="P376" s="116"/>
      <c r="Q376" s="116"/>
      <c r="R376" s="50">
        <v>7.0</v>
      </c>
      <c r="S376" s="50" t="s">
        <v>14454</v>
      </c>
      <c r="T376" s="117">
        <v>4381.0</v>
      </c>
      <c r="U376" s="50" t="s">
        <v>17450</v>
      </c>
      <c r="V376" s="50" t="s">
        <v>17452</v>
      </c>
      <c r="W376" s="117">
        <v>376.0</v>
      </c>
    </row>
    <row r="377">
      <c r="A377" s="50" t="s">
        <v>17444</v>
      </c>
      <c r="B377" s="50" t="s">
        <v>6876</v>
      </c>
      <c r="C377" s="50" t="s">
        <v>6877</v>
      </c>
      <c r="D377" s="50" t="s">
        <v>8493</v>
      </c>
      <c r="E377" s="144">
        <v>43733.0</v>
      </c>
      <c r="F377" s="50" t="s">
        <v>17456</v>
      </c>
      <c r="G377" s="50">
        <v>58.0</v>
      </c>
      <c r="H377" s="50">
        <v>1.0</v>
      </c>
      <c r="I377" s="50">
        <v>99.0</v>
      </c>
      <c r="J377" s="116"/>
      <c r="K377" s="116"/>
      <c r="L377" s="50" t="s">
        <v>1269</v>
      </c>
      <c r="M377" s="50" t="s">
        <v>1269</v>
      </c>
      <c r="N377" s="50">
        <v>1.0</v>
      </c>
      <c r="O377" s="50" t="s">
        <v>17324</v>
      </c>
      <c r="P377" s="116"/>
      <c r="Q377" s="50" t="s">
        <v>17458</v>
      </c>
      <c r="R377" s="50">
        <v>7.0</v>
      </c>
      <c r="S377" s="50" t="s">
        <v>14454</v>
      </c>
      <c r="T377" s="117">
        <v>4382.0</v>
      </c>
      <c r="U377" s="50" t="s">
        <v>17459</v>
      </c>
      <c r="V377" s="50" t="s">
        <v>17460</v>
      </c>
      <c r="W377" s="117">
        <v>377.0</v>
      </c>
    </row>
    <row r="378">
      <c r="A378" s="50" t="s">
        <v>17456</v>
      </c>
      <c r="B378" s="50" t="s">
        <v>6876</v>
      </c>
      <c r="C378" s="50" t="s">
        <v>6877</v>
      </c>
      <c r="D378" s="50" t="s">
        <v>8493</v>
      </c>
      <c r="E378" s="144">
        <v>43733.0</v>
      </c>
      <c r="F378" s="50" t="s">
        <v>17464</v>
      </c>
      <c r="G378" s="50">
        <v>33.0</v>
      </c>
      <c r="H378" s="50">
        <v>1.0</v>
      </c>
      <c r="I378" s="50">
        <v>98.0</v>
      </c>
      <c r="J378" s="116"/>
      <c r="K378" s="116"/>
      <c r="L378" s="50" t="s">
        <v>1272</v>
      </c>
      <c r="M378" s="50" t="s">
        <v>1272</v>
      </c>
      <c r="N378" s="50">
        <v>1.0</v>
      </c>
      <c r="O378" s="50" t="s">
        <v>17324</v>
      </c>
      <c r="P378" s="116"/>
      <c r="Q378" s="116"/>
      <c r="R378" s="50">
        <v>7.0</v>
      </c>
      <c r="S378" s="50" t="s">
        <v>14454</v>
      </c>
      <c r="T378" s="117">
        <v>4383.0</v>
      </c>
      <c r="U378" s="50" t="s">
        <v>17467</v>
      </c>
      <c r="V378" s="50" t="s">
        <v>17468</v>
      </c>
      <c r="W378" s="117">
        <v>378.0</v>
      </c>
    </row>
    <row r="379">
      <c r="A379" s="50" t="s">
        <v>17464</v>
      </c>
      <c r="B379" s="50" t="s">
        <v>6876</v>
      </c>
      <c r="C379" s="50" t="s">
        <v>6877</v>
      </c>
      <c r="D379" s="50" t="s">
        <v>8493</v>
      </c>
      <c r="E379" s="144">
        <v>43733.0</v>
      </c>
      <c r="F379" s="50" t="s">
        <v>17469</v>
      </c>
      <c r="G379" s="50">
        <v>59.0</v>
      </c>
      <c r="H379" s="50">
        <v>1.0</v>
      </c>
      <c r="I379" s="50">
        <v>11.0</v>
      </c>
      <c r="J379" s="116"/>
      <c r="K379" s="116"/>
      <c r="L379" s="50" t="s">
        <v>1284</v>
      </c>
      <c r="M379" s="50" t="s">
        <v>1284</v>
      </c>
      <c r="N379" s="50">
        <v>1.0</v>
      </c>
      <c r="O379" s="50" t="s">
        <v>17470</v>
      </c>
      <c r="P379" s="116"/>
      <c r="Q379" s="50" t="s">
        <v>17471</v>
      </c>
      <c r="R379" s="50">
        <v>7.0</v>
      </c>
      <c r="S379" s="50" t="s">
        <v>14454</v>
      </c>
      <c r="T379" s="117">
        <v>4384.0</v>
      </c>
      <c r="U379" s="50" t="s">
        <v>17472</v>
      </c>
      <c r="V379" s="50" t="s">
        <v>17474</v>
      </c>
      <c r="W379" s="117">
        <v>379.0</v>
      </c>
    </row>
    <row r="380">
      <c r="A380" s="50" t="s">
        <v>17469</v>
      </c>
      <c r="B380" s="50" t="s">
        <v>6876</v>
      </c>
      <c r="C380" s="50" t="s">
        <v>6877</v>
      </c>
      <c r="D380" s="50" t="s">
        <v>8493</v>
      </c>
      <c r="E380" s="144">
        <v>43733.0</v>
      </c>
      <c r="F380" s="50" t="s">
        <v>17481</v>
      </c>
      <c r="G380" s="50">
        <v>59.0</v>
      </c>
      <c r="H380" s="50">
        <v>1.0</v>
      </c>
      <c r="I380" s="50">
        <v>99.0</v>
      </c>
      <c r="J380" s="116"/>
      <c r="K380" s="116"/>
      <c r="L380" s="50" t="s">
        <v>1286</v>
      </c>
      <c r="M380" s="50" t="s">
        <v>1286</v>
      </c>
      <c r="N380" s="50">
        <v>1.0</v>
      </c>
      <c r="O380" s="50" t="s">
        <v>17470</v>
      </c>
      <c r="P380" s="116"/>
      <c r="Q380" s="116"/>
      <c r="R380" s="50">
        <v>7.0</v>
      </c>
      <c r="S380" s="50" t="s">
        <v>14454</v>
      </c>
      <c r="T380" s="117">
        <v>4385.0</v>
      </c>
      <c r="U380" s="50" t="s">
        <v>17486</v>
      </c>
      <c r="V380" s="50" t="s">
        <v>17487</v>
      </c>
      <c r="W380" s="117">
        <v>380.0</v>
      </c>
    </row>
    <row r="381">
      <c r="A381" s="50" t="s">
        <v>17481</v>
      </c>
      <c r="B381" s="50" t="s">
        <v>6876</v>
      </c>
      <c r="C381" s="50" t="s">
        <v>6877</v>
      </c>
      <c r="D381" s="50" t="s">
        <v>8493</v>
      </c>
      <c r="E381" s="144">
        <v>43733.0</v>
      </c>
      <c r="F381" s="50" t="s">
        <v>17488</v>
      </c>
      <c r="G381" s="50">
        <v>59.0</v>
      </c>
      <c r="H381" s="50">
        <v>1.0</v>
      </c>
      <c r="I381" s="50">
        <v>99.0</v>
      </c>
      <c r="J381" s="116"/>
      <c r="K381" s="116"/>
      <c r="L381" s="50" t="s">
        <v>1288</v>
      </c>
      <c r="M381" s="50" t="s">
        <v>1288</v>
      </c>
      <c r="N381" s="50">
        <v>1.0</v>
      </c>
      <c r="O381" s="50" t="s">
        <v>17470</v>
      </c>
      <c r="P381" s="116"/>
      <c r="Q381" s="116"/>
      <c r="R381" s="50">
        <v>7.0</v>
      </c>
      <c r="S381" s="50" t="s">
        <v>14454</v>
      </c>
      <c r="T381" s="117">
        <v>4386.0</v>
      </c>
      <c r="U381" s="50" t="s">
        <v>17491</v>
      </c>
      <c r="V381" s="50" t="s">
        <v>17492</v>
      </c>
      <c r="W381" s="117">
        <v>381.0</v>
      </c>
    </row>
    <row r="382">
      <c r="A382" s="50" t="s">
        <v>17488</v>
      </c>
      <c r="B382" s="50" t="s">
        <v>6876</v>
      </c>
      <c r="C382" s="50" t="s">
        <v>6877</v>
      </c>
      <c r="D382" s="50" t="s">
        <v>8493</v>
      </c>
      <c r="E382" s="144">
        <v>43733.0</v>
      </c>
      <c r="F382" s="50" t="s">
        <v>17494</v>
      </c>
      <c r="G382" s="50">
        <v>57.0</v>
      </c>
      <c r="H382" s="50">
        <v>1.0</v>
      </c>
      <c r="I382" s="50">
        <v>12.0</v>
      </c>
      <c r="J382" s="116"/>
      <c r="K382" s="116"/>
      <c r="L382" s="50" t="s">
        <v>1281</v>
      </c>
      <c r="M382" s="50" t="s">
        <v>1281</v>
      </c>
      <c r="N382" s="50">
        <v>1.0</v>
      </c>
      <c r="O382" s="50" t="s">
        <v>17470</v>
      </c>
      <c r="P382" s="116"/>
      <c r="Q382" s="116"/>
      <c r="R382" s="50">
        <v>7.0</v>
      </c>
      <c r="S382" s="50" t="s">
        <v>14454</v>
      </c>
      <c r="T382" s="117">
        <v>4387.0</v>
      </c>
      <c r="U382" s="50" t="s">
        <v>17497</v>
      </c>
      <c r="V382" s="50" t="s">
        <v>17498</v>
      </c>
      <c r="W382" s="117">
        <v>382.0</v>
      </c>
    </row>
    <row r="383">
      <c r="A383" s="50" t="s">
        <v>17494</v>
      </c>
      <c r="B383" s="50" t="s">
        <v>6876</v>
      </c>
      <c r="C383" s="50" t="s">
        <v>6877</v>
      </c>
      <c r="D383" s="50" t="s">
        <v>8493</v>
      </c>
      <c r="E383" s="144">
        <v>43733.0</v>
      </c>
      <c r="F383" s="50" t="s">
        <v>17500</v>
      </c>
      <c r="G383" s="50">
        <v>57.0</v>
      </c>
      <c r="H383" s="50">
        <v>1.0</v>
      </c>
      <c r="I383" s="50">
        <v>99.0</v>
      </c>
      <c r="J383" s="116"/>
      <c r="K383" s="116"/>
      <c r="L383" s="50" t="s">
        <v>271</v>
      </c>
      <c r="M383" s="50" t="s">
        <v>271</v>
      </c>
      <c r="N383" s="50">
        <v>1.0</v>
      </c>
      <c r="O383" s="50" t="s">
        <v>17470</v>
      </c>
      <c r="P383" s="116"/>
      <c r="Q383" s="116"/>
      <c r="R383" s="50">
        <v>7.0</v>
      </c>
      <c r="S383" s="50" t="s">
        <v>14454</v>
      </c>
      <c r="T383" s="117">
        <v>4388.0</v>
      </c>
      <c r="U383" s="50" t="s">
        <v>17507</v>
      </c>
      <c r="V383" s="50" t="s">
        <v>17508</v>
      </c>
      <c r="W383" s="117">
        <v>383.0</v>
      </c>
    </row>
    <row r="384">
      <c r="A384" s="50" t="s">
        <v>17500</v>
      </c>
      <c r="B384" s="50" t="s">
        <v>6876</v>
      </c>
      <c r="C384" s="50" t="s">
        <v>6877</v>
      </c>
      <c r="D384" s="50" t="s">
        <v>8493</v>
      </c>
      <c r="E384" s="144">
        <v>43733.0</v>
      </c>
      <c r="F384" s="50" t="s">
        <v>17511</v>
      </c>
      <c r="G384" s="50">
        <v>57.0</v>
      </c>
      <c r="H384" s="50">
        <v>1.0</v>
      </c>
      <c r="I384" s="50">
        <v>99.0</v>
      </c>
      <c r="J384" s="116"/>
      <c r="K384" s="116"/>
      <c r="L384" s="50" t="s">
        <v>270</v>
      </c>
      <c r="M384" s="50" t="s">
        <v>270</v>
      </c>
      <c r="N384" s="50">
        <v>1.0</v>
      </c>
      <c r="O384" s="50" t="s">
        <v>17470</v>
      </c>
      <c r="P384" s="116"/>
      <c r="Q384" s="116"/>
      <c r="R384" s="50">
        <v>7.0</v>
      </c>
      <c r="S384" s="50" t="s">
        <v>14454</v>
      </c>
      <c r="T384" s="117">
        <v>4389.0</v>
      </c>
      <c r="U384" s="50" t="s">
        <v>17516</v>
      </c>
      <c r="V384" s="50" t="s">
        <v>17517</v>
      </c>
      <c r="W384" s="117">
        <v>384.0</v>
      </c>
    </row>
    <row r="385">
      <c r="A385" s="50" t="s">
        <v>17518</v>
      </c>
      <c r="B385" s="50" t="s">
        <v>6876</v>
      </c>
      <c r="C385" s="50" t="s">
        <v>6877</v>
      </c>
      <c r="D385" s="50" t="s">
        <v>8493</v>
      </c>
      <c r="E385" s="144">
        <v>43733.0</v>
      </c>
      <c r="F385" s="50" t="s">
        <v>17519</v>
      </c>
      <c r="G385" s="50">
        <v>33.0</v>
      </c>
      <c r="H385" s="50">
        <v>1.0</v>
      </c>
      <c r="I385" s="50">
        <v>98.0</v>
      </c>
      <c r="J385" s="116"/>
      <c r="K385" s="116"/>
      <c r="L385" s="50" t="s">
        <v>1289</v>
      </c>
      <c r="M385" s="50" t="s">
        <v>1289</v>
      </c>
      <c r="N385" s="50">
        <v>1.0</v>
      </c>
      <c r="O385" s="50" t="s">
        <v>17470</v>
      </c>
      <c r="P385" s="116"/>
      <c r="Q385" s="116"/>
      <c r="R385" s="50">
        <v>7.0</v>
      </c>
      <c r="S385" s="50" t="s">
        <v>14454</v>
      </c>
      <c r="T385" s="117">
        <v>4390.0</v>
      </c>
      <c r="U385" s="50" t="s">
        <v>17522</v>
      </c>
      <c r="V385" s="50" t="s">
        <v>17524</v>
      </c>
      <c r="W385" s="117">
        <v>385.0</v>
      </c>
    </row>
    <row r="386">
      <c r="A386" s="50" t="s">
        <v>17525</v>
      </c>
      <c r="B386" s="50" t="s">
        <v>6876</v>
      </c>
      <c r="C386" s="50" t="s">
        <v>6877</v>
      </c>
      <c r="D386" s="50" t="s">
        <v>8493</v>
      </c>
      <c r="E386" s="144">
        <v>43734.0</v>
      </c>
      <c r="F386" s="50" t="s">
        <v>17529</v>
      </c>
      <c r="G386" s="50">
        <v>59.0</v>
      </c>
      <c r="H386" s="50">
        <v>1.0</v>
      </c>
      <c r="I386" s="50">
        <v>99.0</v>
      </c>
      <c r="J386" s="116"/>
      <c r="K386" s="116"/>
      <c r="L386" s="50" t="s">
        <v>1295</v>
      </c>
      <c r="M386" s="50" t="s">
        <v>1295</v>
      </c>
      <c r="N386" s="50">
        <v>1.0</v>
      </c>
      <c r="O386" s="50" t="s">
        <v>17531</v>
      </c>
      <c r="P386" s="116"/>
      <c r="Q386" s="116"/>
      <c r="R386" s="50">
        <v>7.0</v>
      </c>
      <c r="S386" s="50" t="s">
        <v>14454</v>
      </c>
      <c r="T386" s="117">
        <v>4394.0</v>
      </c>
      <c r="U386" s="50" t="s">
        <v>17532</v>
      </c>
      <c r="V386" s="50" t="s">
        <v>17534</v>
      </c>
      <c r="W386" s="117">
        <v>386.0</v>
      </c>
    </row>
    <row r="387">
      <c r="A387" s="50" t="s">
        <v>17529</v>
      </c>
      <c r="B387" s="50" t="s">
        <v>6876</v>
      </c>
      <c r="C387" s="50" t="s">
        <v>6877</v>
      </c>
      <c r="D387" s="50" t="s">
        <v>8493</v>
      </c>
      <c r="E387" s="144">
        <v>43734.0</v>
      </c>
      <c r="F387" s="50" t="s">
        <v>17538</v>
      </c>
      <c r="G387" s="50">
        <v>59.0</v>
      </c>
      <c r="H387" s="50">
        <v>1.0</v>
      </c>
      <c r="I387" s="50">
        <v>99.0</v>
      </c>
      <c r="J387" s="116"/>
      <c r="K387" s="116"/>
      <c r="L387" s="50" t="s">
        <v>1297</v>
      </c>
      <c r="M387" s="50" t="s">
        <v>1297</v>
      </c>
      <c r="N387" s="50">
        <v>1.0</v>
      </c>
      <c r="O387" s="50" t="s">
        <v>17531</v>
      </c>
      <c r="P387" s="116"/>
      <c r="Q387" s="116"/>
      <c r="R387" s="50">
        <v>7.0</v>
      </c>
      <c r="S387" s="50" t="s">
        <v>14454</v>
      </c>
      <c r="T387" s="117">
        <v>4395.0</v>
      </c>
      <c r="U387" s="50" t="s">
        <v>17540</v>
      </c>
      <c r="V387" s="50" t="s">
        <v>17541</v>
      </c>
      <c r="W387" s="117">
        <v>387.0</v>
      </c>
    </row>
    <row r="388">
      <c r="A388" s="50" t="s">
        <v>17538</v>
      </c>
      <c r="B388" s="50" t="s">
        <v>6876</v>
      </c>
      <c r="C388" s="50" t="s">
        <v>6877</v>
      </c>
      <c r="D388" s="50" t="s">
        <v>8493</v>
      </c>
      <c r="E388" s="144">
        <v>43734.0</v>
      </c>
      <c r="F388" s="50" t="s">
        <v>17545</v>
      </c>
      <c r="G388" s="50">
        <v>59.0</v>
      </c>
      <c r="H388" s="50">
        <v>1.0</v>
      </c>
      <c r="I388" s="50">
        <v>11.0</v>
      </c>
      <c r="J388" s="116"/>
      <c r="K388" s="116"/>
      <c r="L388" s="50" t="s">
        <v>1292</v>
      </c>
      <c r="M388" s="50" t="s">
        <v>1292</v>
      </c>
      <c r="N388" s="50">
        <v>1.0</v>
      </c>
      <c r="O388" s="50" t="s">
        <v>17531</v>
      </c>
      <c r="P388" s="116"/>
      <c r="Q388" s="50" t="s">
        <v>17547</v>
      </c>
      <c r="R388" s="50">
        <v>7.0</v>
      </c>
      <c r="S388" s="50" t="s">
        <v>14454</v>
      </c>
      <c r="T388" s="117">
        <v>4396.0</v>
      </c>
      <c r="U388" s="50" t="s">
        <v>17549</v>
      </c>
      <c r="V388" s="50" t="s">
        <v>17550</v>
      </c>
      <c r="W388" s="117">
        <v>388.0</v>
      </c>
    </row>
    <row r="389">
      <c r="A389" s="50" t="s">
        <v>17545</v>
      </c>
      <c r="B389" s="50" t="s">
        <v>6876</v>
      </c>
      <c r="C389" s="50" t="s">
        <v>6877</v>
      </c>
      <c r="D389" s="50" t="s">
        <v>8493</v>
      </c>
      <c r="E389" s="144">
        <v>43734.0</v>
      </c>
      <c r="F389" s="50" t="s">
        <v>17553</v>
      </c>
      <c r="G389" s="50">
        <v>33.0</v>
      </c>
      <c r="H389" s="50">
        <v>1.0</v>
      </c>
      <c r="I389" s="50">
        <v>98.0</v>
      </c>
      <c r="J389" s="116"/>
      <c r="K389" s="116"/>
      <c r="L389" s="50" t="s">
        <v>1298</v>
      </c>
      <c r="M389" s="50" t="s">
        <v>1298</v>
      </c>
      <c r="N389" s="50">
        <v>1.0</v>
      </c>
      <c r="O389" s="50" t="s">
        <v>17531</v>
      </c>
      <c r="P389" s="116"/>
      <c r="Q389" s="50" t="s">
        <v>17556</v>
      </c>
      <c r="R389" s="50">
        <v>7.0</v>
      </c>
      <c r="S389" s="50" t="s">
        <v>14454</v>
      </c>
      <c r="T389" s="117">
        <v>4397.0</v>
      </c>
      <c r="U389" s="50" t="s">
        <v>17559</v>
      </c>
      <c r="V389" s="50" t="s">
        <v>17560</v>
      </c>
      <c r="W389" s="117">
        <v>389.0</v>
      </c>
    </row>
    <row r="390">
      <c r="A390" s="50" t="s">
        <v>17561</v>
      </c>
      <c r="B390" s="50" t="s">
        <v>6876</v>
      </c>
      <c r="C390" s="50" t="s">
        <v>6877</v>
      </c>
      <c r="D390" s="50" t="s">
        <v>8493</v>
      </c>
      <c r="E390" s="144">
        <v>43738.0</v>
      </c>
      <c r="F390" s="50" t="s">
        <v>17563</v>
      </c>
      <c r="G390" s="50">
        <v>59.0</v>
      </c>
      <c r="H390" s="50">
        <v>1.0</v>
      </c>
      <c r="I390" s="50">
        <v>11.0</v>
      </c>
      <c r="J390" s="116"/>
      <c r="K390" s="116"/>
      <c r="L390" s="50" t="s">
        <v>1325</v>
      </c>
      <c r="M390" s="50" t="s">
        <v>1325</v>
      </c>
      <c r="N390" s="50">
        <v>1.0</v>
      </c>
      <c r="O390" s="50" t="s">
        <v>17564</v>
      </c>
      <c r="P390" s="116"/>
      <c r="Q390" s="50" t="s">
        <v>17565</v>
      </c>
      <c r="R390" s="50">
        <v>5.0</v>
      </c>
      <c r="S390" s="50" t="s">
        <v>14454</v>
      </c>
      <c r="T390" s="117">
        <v>4426.0</v>
      </c>
      <c r="U390" s="50" t="s">
        <v>17566</v>
      </c>
      <c r="V390" s="50" t="s">
        <v>17567</v>
      </c>
      <c r="W390" s="117">
        <v>390.0</v>
      </c>
    </row>
    <row r="391">
      <c r="A391" s="50" t="s">
        <v>17563</v>
      </c>
      <c r="B391" s="50" t="s">
        <v>6876</v>
      </c>
      <c r="C391" s="50" t="s">
        <v>6877</v>
      </c>
      <c r="D391" s="50" t="s">
        <v>8493</v>
      </c>
      <c r="E391" s="144">
        <v>43738.0</v>
      </c>
      <c r="F391" s="50" t="s">
        <v>17571</v>
      </c>
      <c r="G391" s="50">
        <v>59.0</v>
      </c>
      <c r="H391" s="50">
        <v>1.0</v>
      </c>
      <c r="I391" s="50">
        <v>99.0</v>
      </c>
      <c r="J391" s="116"/>
      <c r="K391" s="116"/>
      <c r="L391" s="50" t="s">
        <v>1327</v>
      </c>
      <c r="M391" s="50" t="s">
        <v>1327</v>
      </c>
      <c r="N391" s="50">
        <v>1.0</v>
      </c>
      <c r="O391" s="50" t="s">
        <v>17564</v>
      </c>
      <c r="P391" s="116"/>
      <c r="Q391" s="116"/>
      <c r="R391" s="50">
        <v>5.0</v>
      </c>
      <c r="S391" s="50" t="s">
        <v>14454</v>
      </c>
      <c r="T391" s="117">
        <v>4427.0</v>
      </c>
      <c r="U391" s="50" t="s">
        <v>17573</v>
      </c>
      <c r="V391" s="50" t="s">
        <v>17575</v>
      </c>
      <c r="W391" s="117">
        <v>391.0</v>
      </c>
    </row>
    <row r="392">
      <c r="A392" s="50" t="s">
        <v>17571</v>
      </c>
      <c r="B392" s="50" t="s">
        <v>6876</v>
      </c>
      <c r="C392" s="50" t="s">
        <v>6877</v>
      </c>
      <c r="D392" s="50" t="s">
        <v>8493</v>
      </c>
      <c r="E392" s="144">
        <v>43738.0</v>
      </c>
      <c r="F392" s="50" t="s">
        <v>17576</v>
      </c>
      <c r="G392" s="50">
        <v>59.0</v>
      </c>
      <c r="H392" s="50">
        <v>1.0</v>
      </c>
      <c r="I392" s="50">
        <v>99.0</v>
      </c>
      <c r="J392" s="116"/>
      <c r="K392" s="116"/>
      <c r="L392" s="50" t="s">
        <v>1329</v>
      </c>
      <c r="M392" s="50" t="s">
        <v>1329</v>
      </c>
      <c r="N392" s="50">
        <v>1.0</v>
      </c>
      <c r="O392" s="50" t="s">
        <v>17564</v>
      </c>
      <c r="P392" s="116"/>
      <c r="Q392" s="116"/>
      <c r="R392" s="50">
        <v>5.0</v>
      </c>
      <c r="S392" s="50" t="s">
        <v>14454</v>
      </c>
      <c r="T392" s="117">
        <v>4428.0</v>
      </c>
      <c r="U392" s="50" t="s">
        <v>17582</v>
      </c>
      <c r="V392" s="50" t="s">
        <v>17583</v>
      </c>
      <c r="W392" s="117">
        <v>392.0</v>
      </c>
    </row>
    <row r="393">
      <c r="A393" s="50" t="s">
        <v>17576</v>
      </c>
      <c r="B393" s="50" t="s">
        <v>6876</v>
      </c>
      <c r="C393" s="50" t="s">
        <v>6877</v>
      </c>
      <c r="D393" s="50" t="s">
        <v>8493</v>
      </c>
      <c r="E393" s="144">
        <v>43738.0</v>
      </c>
      <c r="F393" s="50" t="s">
        <v>17588</v>
      </c>
      <c r="G393" s="50">
        <v>66.0</v>
      </c>
      <c r="H393" s="50">
        <v>1.0</v>
      </c>
      <c r="I393" s="50">
        <v>12.0</v>
      </c>
      <c r="J393" s="116"/>
      <c r="K393" s="116"/>
      <c r="L393" s="50" t="s">
        <v>1313</v>
      </c>
      <c r="M393" s="50" t="s">
        <v>1313</v>
      </c>
      <c r="N393" s="50">
        <v>1.0</v>
      </c>
      <c r="O393" s="50" t="s">
        <v>17564</v>
      </c>
      <c r="P393" s="116"/>
      <c r="Q393" s="50" t="s">
        <v>17590</v>
      </c>
      <c r="R393" s="50">
        <v>5.0</v>
      </c>
      <c r="S393" s="50" t="s">
        <v>14454</v>
      </c>
      <c r="T393" s="117">
        <v>4429.0</v>
      </c>
      <c r="U393" s="50" t="s">
        <v>17591</v>
      </c>
      <c r="V393" s="50" t="s">
        <v>17592</v>
      </c>
      <c r="W393" s="117">
        <v>393.0</v>
      </c>
    </row>
    <row r="394">
      <c r="A394" s="50" t="s">
        <v>17588</v>
      </c>
      <c r="B394" s="50" t="s">
        <v>6876</v>
      </c>
      <c r="C394" s="50" t="s">
        <v>6877</v>
      </c>
      <c r="D394" s="50" t="s">
        <v>8493</v>
      </c>
      <c r="E394" s="144">
        <v>43738.0</v>
      </c>
      <c r="F394" s="50" t="s">
        <v>17593</v>
      </c>
      <c r="G394" s="50">
        <v>66.0</v>
      </c>
      <c r="H394" s="50">
        <v>1.0</v>
      </c>
      <c r="I394" s="50">
        <v>99.0</v>
      </c>
      <c r="J394" s="116"/>
      <c r="K394" s="116"/>
      <c r="L394" s="50" t="s">
        <v>1316</v>
      </c>
      <c r="M394" s="50" t="s">
        <v>1316</v>
      </c>
      <c r="N394" s="50">
        <v>1.0</v>
      </c>
      <c r="O394" s="50" t="s">
        <v>17564</v>
      </c>
      <c r="P394" s="116"/>
      <c r="Q394" s="116"/>
      <c r="R394" s="50">
        <v>5.0</v>
      </c>
      <c r="S394" s="50" t="s">
        <v>14454</v>
      </c>
      <c r="T394" s="117">
        <v>4430.0</v>
      </c>
      <c r="U394" s="50" t="s">
        <v>17595</v>
      </c>
      <c r="V394" s="50" t="s">
        <v>17596</v>
      </c>
      <c r="W394" s="117">
        <v>394.0</v>
      </c>
    </row>
    <row r="395">
      <c r="A395" s="50" t="s">
        <v>17593</v>
      </c>
      <c r="B395" s="50" t="s">
        <v>6876</v>
      </c>
      <c r="C395" s="50" t="s">
        <v>6877</v>
      </c>
      <c r="D395" s="50" t="s">
        <v>8493</v>
      </c>
      <c r="E395" s="144">
        <v>43738.0</v>
      </c>
      <c r="F395" s="50" t="s">
        <v>17601</v>
      </c>
      <c r="G395" s="50">
        <v>66.0</v>
      </c>
      <c r="H395" s="50">
        <v>1.0</v>
      </c>
      <c r="I395" s="50">
        <v>99.0</v>
      </c>
      <c r="J395" s="116"/>
      <c r="K395" s="116"/>
      <c r="L395" s="50" t="s">
        <v>1317</v>
      </c>
      <c r="M395" s="50" t="s">
        <v>1317</v>
      </c>
      <c r="N395" s="50">
        <v>1.0</v>
      </c>
      <c r="O395" s="50" t="s">
        <v>17564</v>
      </c>
      <c r="P395" s="116"/>
      <c r="Q395" s="116"/>
      <c r="R395" s="50">
        <v>5.0</v>
      </c>
      <c r="S395" s="50" t="s">
        <v>14454</v>
      </c>
      <c r="T395" s="117">
        <v>4431.0</v>
      </c>
      <c r="U395" s="50" t="s">
        <v>17605</v>
      </c>
      <c r="V395" s="50" t="s">
        <v>17606</v>
      </c>
      <c r="W395" s="117">
        <v>395.0</v>
      </c>
    </row>
    <row r="396">
      <c r="A396" s="50" t="s">
        <v>17601</v>
      </c>
      <c r="B396" s="50" t="s">
        <v>6876</v>
      </c>
      <c r="C396" s="50" t="s">
        <v>6877</v>
      </c>
      <c r="D396" s="50" t="s">
        <v>8493</v>
      </c>
      <c r="E396" s="144">
        <v>43738.0</v>
      </c>
      <c r="F396" s="50" t="s">
        <v>17610</v>
      </c>
      <c r="G396" s="50">
        <v>59.0</v>
      </c>
      <c r="H396" s="50">
        <v>1.0</v>
      </c>
      <c r="I396" s="50">
        <v>12.0</v>
      </c>
      <c r="J396" s="116"/>
      <c r="K396" s="116"/>
      <c r="L396" s="50" t="s">
        <v>1319</v>
      </c>
      <c r="M396" s="50" t="s">
        <v>1319</v>
      </c>
      <c r="N396" s="50">
        <v>1.0</v>
      </c>
      <c r="O396" s="50" t="s">
        <v>17564</v>
      </c>
      <c r="P396" s="116"/>
      <c r="Q396" s="50" t="s">
        <v>17613</v>
      </c>
      <c r="R396" s="50">
        <v>5.0</v>
      </c>
      <c r="S396" s="50" t="s">
        <v>14454</v>
      </c>
      <c r="T396" s="117">
        <v>4432.0</v>
      </c>
      <c r="U396" s="50" t="s">
        <v>17614</v>
      </c>
      <c r="V396" s="50" t="s">
        <v>17615</v>
      </c>
      <c r="W396" s="117">
        <v>396.0</v>
      </c>
    </row>
    <row r="397">
      <c r="A397" s="50" t="s">
        <v>17610</v>
      </c>
      <c r="B397" s="50" t="s">
        <v>6876</v>
      </c>
      <c r="C397" s="50" t="s">
        <v>6877</v>
      </c>
      <c r="D397" s="50" t="s">
        <v>8493</v>
      </c>
      <c r="E397" s="144">
        <v>43738.0</v>
      </c>
      <c r="F397" s="50" t="s">
        <v>17616</v>
      </c>
      <c r="G397" s="50">
        <v>59.0</v>
      </c>
      <c r="H397" s="50">
        <v>1.0</v>
      </c>
      <c r="I397" s="50">
        <v>99.0</v>
      </c>
      <c r="J397" s="116"/>
      <c r="K397" s="116"/>
      <c r="L397" s="50" t="s">
        <v>1321</v>
      </c>
      <c r="M397" s="50" t="s">
        <v>1321</v>
      </c>
      <c r="N397" s="50">
        <v>1.0</v>
      </c>
      <c r="O397" s="50" t="s">
        <v>17564</v>
      </c>
      <c r="P397" s="116"/>
      <c r="Q397" s="116"/>
      <c r="R397" s="50">
        <v>5.0</v>
      </c>
      <c r="S397" s="50" t="s">
        <v>14454</v>
      </c>
      <c r="T397" s="117">
        <v>4433.0</v>
      </c>
      <c r="U397" s="50" t="s">
        <v>17623</v>
      </c>
      <c r="V397" s="50" t="s">
        <v>17624</v>
      </c>
      <c r="W397" s="117">
        <v>397.0</v>
      </c>
    </row>
    <row r="398">
      <c r="A398" s="50" t="s">
        <v>17616</v>
      </c>
      <c r="B398" s="50" t="s">
        <v>6876</v>
      </c>
      <c r="C398" s="50" t="s">
        <v>6877</v>
      </c>
      <c r="D398" s="50" t="s">
        <v>8493</v>
      </c>
      <c r="E398" s="144">
        <v>43738.0</v>
      </c>
      <c r="F398" s="50" t="s">
        <v>17626</v>
      </c>
      <c r="G398" s="50">
        <v>59.0</v>
      </c>
      <c r="H398" s="50">
        <v>1.0</v>
      </c>
      <c r="I398" s="50">
        <v>99.0</v>
      </c>
      <c r="J398" s="116"/>
      <c r="K398" s="116"/>
      <c r="L398" s="50" t="s">
        <v>1323</v>
      </c>
      <c r="M398" s="50" t="s">
        <v>1323</v>
      </c>
      <c r="N398" s="50">
        <v>1.0</v>
      </c>
      <c r="O398" s="50" t="s">
        <v>17564</v>
      </c>
      <c r="P398" s="116"/>
      <c r="Q398" s="116"/>
      <c r="R398" s="50">
        <v>5.0</v>
      </c>
      <c r="S398" s="50" t="s">
        <v>14454</v>
      </c>
      <c r="T398" s="117">
        <v>4434.0</v>
      </c>
      <c r="U398" s="50" t="s">
        <v>17627</v>
      </c>
      <c r="V398" s="50" t="s">
        <v>17628</v>
      </c>
      <c r="W398" s="117">
        <v>398.0</v>
      </c>
    </row>
    <row r="399">
      <c r="A399" s="50" t="s">
        <v>17626</v>
      </c>
      <c r="B399" s="50" t="s">
        <v>6876</v>
      </c>
      <c r="C399" s="50" t="s">
        <v>6877</v>
      </c>
      <c r="D399" s="50" t="s">
        <v>8493</v>
      </c>
      <c r="E399" s="144">
        <v>43738.0</v>
      </c>
      <c r="F399" s="50" t="s">
        <v>17629</v>
      </c>
      <c r="G399" s="50">
        <v>33.0</v>
      </c>
      <c r="H399" s="50">
        <v>1.0</v>
      </c>
      <c r="I399" s="50">
        <v>98.0</v>
      </c>
      <c r="J399" s="116"/>
      <c r="K399" s="116"/>
      <c r="L399" s="50" t="s">
        <v>1331</v>
      </c>
      <c r="M399" s="50" t="s">
        <v>1331</v>
      </c>
      <c r="N399" s="50">
        <v>1.0</v>
      </c>
      <c r="O399" s="50" t="s">
        <v>17564</v>
      </c>
      <c r="P399" s="116"/>
      <c r="Q399" s="116"/>
      <c r="R399" s="50">
        <v>5.0</v>
      </c>
      <c r="S399" s="50" t="s">
        <v>14454</v>
      </c>
      <c r="T399" s="117">
        <v>4435.0</v>
      </c>
      <c r="U399" s="50" t="s">
        <v>17632</v>
      </c>
      <c r="V399" s="50" t="s">
        <v>17634</v>
      </c>
      <c r="W399" s="117">
        <v>399.0</v>
      </c>
    </row>
    <row r="400">
      <c r="A400" s="50" t="s">
        <v>17629</v>
      </c>
      <c r="B400" s="50" t="s">
        <v>6876</v>
      </c>
      <c r="C400" s="50" t="s">
        <v>6877</v>
      </c>
      <c r="D400" s="50" t="s">
        <v>8493</v>
      </c>
      <c r="E400" s="144">
        <v>43738.0</v>
      </c>
      <c r="F400" s="50" t="s">
        <v>17635</v>
      </c>
      <c r="G400" s="50">
        <v>33.0</v>
      </c>
      <c r="H400" s="50">
        <v>1.0</v>
      </c>
      <c r="I400" s="50">
        <v>98.0</v>
      </c>
      <c r="J400" s="116"/>
      <c r="K400" s="116"/>
      <c r="L400" s="50" t="s">
        <v>1334</v>
      </c>
      <c r="M400" s="50" t="s">
        <v>1334</v>
      </c>
      <c r="N400" s="50">
        <v>1.0</v>
      </c>
      <c r="O400" s="50" t="s">
        <v>17564</v>
      </c>
      <c r="P400" s="116"/>
      <c r="Q400" s="50" t="s">
        <v>17642</v>
      </c>
      <c r="R400" s="50">
        <v>5.0</v>
      </c>
      <c r="S400" s="50" t="s">
        <v>14454</v>
      </c>
      <c r="T400" s="117">
        <v>4436.0</v>
      </c>
      <c r="U400" s="50" t="s">
        <v>17644</v>
      </c>
      <c r="V400" s="50" t="s">
        <v>17646</v>
      </c>
      <c r="W400" s="117">
        <v>400.0</v>
      </c>
    </row>
    <row r="401">
      <c r="A401" s="50" t="s">
        <v>17647</v>
      </c>
      <c r="B401" s="50" t="s">
        <v>6876</v>
      </c>
      <c r="C401" s="50" t="s">
        <v>6877</v>
      </c>
      <c r="D401" s="50" t="s">
        <v>8493</v>
      </c>
      <c r="E401" s="144">
        <v>43747.0</v>
      </c>
      <c r="F401" s="50" t="s">
        <v>17649</v>
      </c>
      <c r="G401" s="50">
        <v>59.0</v>
      </c>
      <c r="H401" s="50">
        <v>1.0</v>
      </c>
      <c r="I401" s="50">
        <v>11.0</v>
      </c>
      <c r="J401" s="116"/>
      <c r="K401" s="116"/>
      <c r="L401" s="50" t="s">
        <v>1335</v>
      </c>
      <c r="M401" s="50" t="s">
        <v>1335</v>
      </c>
      <c r="N401" s="50">
        <v>1.0</v>
      </c>
      <c r="O401" s="50" t="s">
        <v>17653</v>
      </c>
      <c r="P401" s="116"/>
      <c r="Q401" s="50" t="s">
        <v>17654</v>
      </c>
      <c r="R401" s="50">
        <v>7.0</v>
      </c>
      <c r="S401" s="50" t="s">
        <v>14454</v>
      </c>
      <c r="T401" s="117">
        <v>4488.0</v>
      </c>
      <c r="U401" s="50" t="s">
        <v>17656</v>
      </c>
      <c r="V401" s="50" t="s">
        <v>17657</v>
      </c>
      <c r="W401" s="117">
        <v>401.0</v>
      </c>
    </row>
    <row r="402">
      <c r="A402" s="50" t="s">
        <v>17658</v>
      </c>
      <c r="B402" s="50" t="s">
        <v>6876</v>
      </c>
      <c r="C402" s="50" t="s">
        <v>6877</v>
      </c>
      <c r="D402" s="50" t="s">
        <v>8493</v>
      </c>
      <c r="E402" s="144">
        <v>43747.0</v>
      </c>
      <c r="F402" s="50" t="s">
        <v>17659</v>
      </c>
      <c r="G402" s="50">
        <v>59.0</v>
      </c>
      <c r="H402" s="50">
        <v>1.0</v>
      </c>
      <c r="I402" s="50">
        <v>99.0</v>
      </c>
      <c r="J402" s="116"/>
      <c r="K402" s="116"/>
      <c r="L402" s="50" t="s">
        <v>1338</v>
      </c>
      <c r="M402" s="50" t="s">
        <v>1338</v>
      </c>
      <c r="N402" s="50">
        <v>1.0</v>
      </c>
      <c r="O402" s="50" t="s">
        <v>17653</v>
      </c>
      <c r="P402" s="116"/>
      <c r="Q402" s="50" t="s">
        <v>17663</v>
      </c>
      <c r="R402" s="50">
        <v>7.0</v>
      </c>
      <c r="S402" s="50" t="s">
        <v>14454</v>
      </c>
      <c r="T402" s="117">
        <v>4489.0</v>
      </c>
      <c r="U402" s="50" t="s">
        <v>17665</v>
      </c>
      <c r="V402" s="50" t="s">
        <v>17667</v>
      </c>
      <c r="W402" s="117">
        <v>402.0</v>
      </c>
    </row>
    <row r="403">
      <c r="A403" s="50" t="s">
        <v>17659</v>
      </c>
      <c r="B403" s="50" t="s">
        <v>6876</v>
      </c>
      <c r="C403" s="50" t="s">
        <v>6877</v>
      </c>
      <c r="D403" s="50" t="s">
        <v>8493</v>
      </c>
      <c r="E403" s="144">
        <v>43747.0</v>
      </c>
      <c r="F403" s="50" t="s">
        <v>17671</v>
      </c>
      <c r="G403" s="50">
        <v>59.0</v>
      </c>
      <c r="H403" s="50">
        <v>1.0</v>
      </c>
      <c r="I403" s="50">
        <v>11.0</v>
      </c>
      <c r="J403" s="116"/>
      <c r="K403" s="116"/>
      <c r="L403" s="50" t="s">
        <v>1341</v>
      </c>
      <c r="M403" s="50" t="s">
        <v>1341</v>
      </c>
      <c r="N403" s="50">
        <v>1.0</v>
      </c>
      <c r="O403" s="50" t="s">
        <v>17653</v>
      </c>
      <c r="P403" s="116"/>
      <c r="Q403" s="50" t="s">
        <v>17673</v>
      </c>
      <c r="R403" s="50">
        <v>7.0</v>
      </c>
      <c r="S403" s="50" t="s">
        <v>14454</v>
      </c>
      <c r="T403" s="117">
        <v>4490.0</v>
      </c>
      <c r="U403" s="50" t="s">
        <v>17674</v>
      </c>
      <c r="V403" s="50" t="s">
        <v>17675</v>
      </c>
      <c r="W403" s="117">
        <v>403.0</v>
      </c>
    </row>
    <row r="404">
      <c r="A404" s="50" t="s">
        <v>17671</v>
      </c>
      <c r="B404" s="50" t="s">
        <v>6876</v>
      </c>
      <c r="C404" s="50" t="s">
        <v>6877</v>
      </c>
      <c r="D404" s="50" t="s">
        <v>8493</v>
      </c>
      <c r="E404" s="144">
        <v>43747.0</v>
      </c>
      <c r="F404" s="50" t="s">
        <v>17677</v>
      </c>
      <c r="G404" s="50">
        <v>59.0</v>
      </c>
      <c r="H404" s="50">
        <v>1.0</v>
      </c>
      <c r="I404" s="50">
        <v>99.0</v>
      </c>
      <c r="J404" s="116"/>
      <c r="K404" s="116"/>
      <c r="L404" s="50" t="s">
        <v>1344</v>
      </c>
      <c r="M404" s="50" t="s">
        <v>1344</v>
      </c>
      <c r="N404" s="50">
        <v>1.0</v>
      </c>
      <c r="O404" s="50" t="s">
        <v>17653</v>
      </c>
      <c r="P404" s="116"/>
      <c r="Q404" s="50" t="s">
        <v>17681</v>
      </c>
      <c r="R404" s="50">
        <v>7.0</v>
      </c>
      <c r="S404" s="50" t="s">
        <v>14454</v>
      </c>
      <c r="T404" s="117">
        <v>4491.0</v>
      </c>
      <c r="U404" s="50" t="s">
        <v>17683</v>
      </c>
      <c r="V404" s="50" t="s">
        <v>17685</v>
      </c>
      <c r="W404" s="117">
        <v>404.0</v>
      </c>
    </row>
    <row r="405">
      <c r="A405" s="50" t="s">
        <v>17677</v>
      </c>
      <c r="B405" s="50" t="s">
        <v>6876</v>
      </c>
      <c r="C405" s="50" t="s">
        <v>6877</v>
      </c>
      <c r="D405" s="50" t="s">
        <v>8493</v>
      </c>
      <c r="E405" s="144">
        <v>43747.0</v>
      </c>
      <c r="F405" s="50" t="s">
        <v>17689</v>
      </c>
      <c r="G405" s="50">
        <v>59.0</v>
      </c>
      <c r="H405" s="50">
        <v>1.0</v>
      </c>
      <c r="I405" s="50">
        <v>11.0</v>
      </c>
      <c r="J405" s="116"/>
      <c r="K405" s="116"/>
      <c r="L405" s="50" t="s">
        <v>1346</v>
      </c>
      <c r="M405" s="50" t="s">
        <v>1346</v>
      </c>
      <c r="N405" s="50">
        <v>1.0</v>
      </c>
      <c r="O405" s="50" t="s">
        <v>17653</v>
      </c>
      <c r="P405" s="116"/>
      <c r="Q405" s="50" t="s">
        <v>17693</v>
      </c>
      <c r="R405" s="50">
        <v>7.0</v>
      </c>
      <c r="S405" s="50" t="s">
        <v>14454</v>
      </c>
      <c r="T405" s="117">
        <v>4492.0</v>
      </c>
      <c r="U405" s="50" t="s">
        <v>17695</v>
      </c>
      <c r="V405" s="50" t="s">
        <v>17696</v>
      </c>
      <c r="W405" s="117">
        <v>405.0</v>
      </c>
    </row>
    <row r="406">
      <c r="A406" s="50" t="s">
        <v>17697</v>
      </c>
      <c r="B406" s="50" t="s">
        <v>6876</v>
      </c>
      <c r="C406" s="50" t="s">
        <v>6877</v>
      </c>
      <c r="D406" s="50" t="s">
        <v>8493</v>
      </c>
      <c r="E406" s="144">
        <v>43747.0</v>
      </c>
      <c r="F406" s="50" t="s">
        <v>17698</v>
      </c>
      <c r="G406" s="50">
        <v>59.0</v>
      </c>
      <c r="H406" s="50">
        <v>1.0</v>
      </c>
      <c r="I406" s="50">
        <v>99.0</v>
      </c>
      <c r="J406" s="116"/>
      <c r="K406" s="116"/>
      <c r="L406" s="50" t="s">
        <v>1349</v>
      </c>
      <c r="M406" s="50" t="s">
        <v>1349</v>
      </c>
      <c r="N406" s="50">
        <v>1.0</v>
      </c>
      <c r="O406" s="50" t="s">
        <v>17653</v>
      </c>
      <c r="P406" s="116"/>
      <c r="Q406" s="50" t="s">
        <v>17700</v>
      </c>
      <c r="R406" s="50">
        <v>7.0</v>
      </c>
      <c r="S406" s="50" t="s">
        <v>14454</v>
      </c>
      <c r="T406" s="117">
        <v>4493.0</v>
      </c>
      <c r="U406" s="50" t="s">
        <v>17703</v>
      </c>
      <c r="V406" s="50" t="s">
        <v>17705</v>
      </c>
      <c r="W406" s="117">
        <v>406.0</v>
      </c>
    </row>
    <row r="407">
      <c r="A407" s="50" t="s">
        <v>17707</v>
      </c>
      <c r="B407" s="50" t="s">
        <v>6876</v>
      </c>
      <c r="C407" s="50" t="s">
        <v>6877</v>
      </c>
      <c r="D407" s="50" t="s">
        <v>8493</v>
      </c>
      <c r="E407" s="144">
        <v>43747.0</v>
      </c>
      <c r="F407" s="50" t="s">
        <v>17711</v>
      </c>
      <c r="G407" s="50">
        <v>33.0</v>
      </c>
      <c r="H407" s="50">
        <v>1.0</v>
      </c>
      <c r="I407" s="50">
        <v>98.0</v>
      </c>
      <c r="J407" s="116"/>
      <c r="K407" s="116"/>
      <c r="L407" s="50" t="s">
        <v>1352</v>
      </c>
      <c r="M407" s="50" t="s">
        <v>1352</v>
      </c>
      <c r="N407" s="50">
        <v>1.0</v>
      </c>
      <c r="O407" s="50" t="s">
        <v>17653</v>
      </c>
      <c r="P407" s="116"/>
      <c r="Q407" s="116"/>
      <c r="R407" s="50">
        <v>7.0</v>
      </c>
      <c r="S407" s="50" t="s">
        <v>14454</v>
      </c>
      <c r="T407" s="117">
        <v>4494.0</v>
      </c>
      <c r="U407" s="50" t="s">
        <v>17712</v>
      </c>
      <c r="V407" s="50" t="s">
        <v>17713</v>
      </c>
      <c r="W407" s="117">
        <v>407.0</v>
      </c>
    </row>
    <row r="408">
      <c r="A408" s="50" t="s">
        <v>17711</v>
      </c>
      <c r="B408" s="50" t="s">
        <v>6876</v>
      </c>
      <c r="C408" s="50" t="s">
        <v>6877</v>
      </c>
      <c r="D408" s="50" t="s">
        <v>8493</v>
      </c>
      <c r="E408" s="144">
        <v>43747.0</v>
      </c>
      <c r="F408" s="50" t="s">
        <v>17714</v>
      </c>
      <c r="G408" s="50">
        <v>34.0</v>
      </c>
      <c r="H408" s="50">
        <v>1.0</v>
      </c>
      <c r="I408" s="50">
        <v>98.0</v>
      </c>
      <c r="J408" s="116"/>
      <c r="K408" s="116"/>
      <c r="L408" s="50" t="s">
        <v>1355</v>
      </c>
      <c r="M408" s="50" t="s">
        <v>1355</v>
      </c>
      <c r="N408" s="50">
        <v>1.0</v>
      </c>
      <c r="O408" s="50" t="s">
        <v>17653</v>
      </c>
      <c r="P408" s="116"/>
      <c r="Q408" s="116"/>
      <c r="R408" s="50">
        <v>7.0</v>
      </c>
      <c r="S408" s="50" t="s">
        <v>14454</v>
      </c>
      <c r="T408" s="117">
        <v>4495.0</v>
      </c>
      <c r="U408" s="50" t="s">
        <v>17718</v>
      </c>
      <c r="V408" s="50" t="s">
        <v>17719</v>
      </c>
      <c r="W408" s="117">
        <v>408.0</v>
      </c>
    </row>
    <row r="409">
      <c r="A409" s="50" t="s">
        <v>17721</v>
      </c>
      <c r="B409" s="50" t="s">
        <v>6876</v>
      </c>
      <c r="C409" s="50" t="s">
        <v>6877</v>
      </c>
      <c r="D409" s="50" t="s">
        <v>8493</v>
      </c>
      <c r="E409" s="144">
        <v>43749.0</v>
      </c>
      <c r="F409" s="50" t="s">
        <v>17724</v>
      </c>
      <c r="G409" s="50">
        <v>59.0</v>
      </c>
      <c r="H409" s="50">
        <v>1.0</v>
      </c>
      <c r="I409" s="50">
        <v>11.0</v>
      </c>
      <c r="J409" s="116"/>
      <c r="K409" s="116"/>
      <c r="L409" s="50" t="s">
        <v>1356</v>
      </c>
      <c r="M409" s="50" t="s">
        <v>1356</v>
      </c>
      <c r="N409" s="50">
        <v>1.0</v>
      </c>
      <c r="O409" s="50" t="s">
        <v>17727</v>
      </c>
      <c r="P409" s="116"/>
      <c r="Q409" s="50" t="s">
        <v>17728</v>
      </c>
      <c r="R409" s="50">
        <v>7.0</v>
      </c>
      <c r="S409" s="50" t="s">
        <v>14454</v>
      </c>
      <c r="T409" s="117">
        <v>4496.0</v>
      </c>
      <c r="U409" s="50" t="s">
        <v>17729</v>
      </c>
      <c r="V409" s="50" t="s">
        <v>17730</v>
      </c>
      <c r="W409" s="117">
        <v>409.0</v>
      </c>
    </row>
    <row r="410">
      <c r="A410" s="50" t="s">
        <v>17724</v>
      </c>
      <c r="B410" s="50" t="s">
        <v>6876</v>
      </c>
      <c r="C410" s="50" t="s">
        <v>6877</v>
      </c>
      <c r="D410" s="50" t="s">
        <v>8493</v>
      </c>
      <c r="E410" s="144">
        <v>43749.0</v>
      </c>
      <c r="F410" s="50" t="s">
        <v>17733</v>
      </c>
      <c r="G410" s="50">
        <v>59.0</v>
      </c>
      <c r="H410" s="50">
        <v>1.0</v>
      </c>
      <c r="I410" s="50">
        <v>11.0</v>
      </c>
      <c r="J410" s="116"/>
      <c r="K410" s="116"/>
      <c r="L410" s="50" t="s">
        <v>1358</v>
      </c>
      <c r="M410" s="50" t="s">
        <v>1358</v>
      </c>
      <c r="N410" s="50">
        <v>1.0</v>
      </c>
      <c r="O410" s="50" t="s">
        <v>17727</v>
      </c>
      <c r="P410" s="116"/>
      <c r="Q410" s="116"/>
      <c r="R410" s="50">
        <v>7.0</v>
      </c>
      <c r="S410" s="50" t="s">
        <v>14454</v>
      </c>
      <c r="T410" s="117">
        <v>4497.0</v>
      </c>
      <c r="U410" s="50" t="s">
        <v>17737</v>
      </c>
      <c r="V410" s="50" t="s">
        <v>17738</v>
      </c>
      <c r="W410" s="117">
        <v>410.0</v>
      </c>
    </row>
    <row r="411">
      <c r="A411" s="50" t="s">
        <v>17733</v>
      </c>
      <c r="B411" s="50" t="s">
        <v>6876</v>
      </c>
      <c r="C411" s="50" t="s">
        <v>6877</v>
      </c>
      <c r="D411" s="50" t="s">
        <v>8493</v>
      </c>
      <c r="E411" s="144">
        <v>43749.0</v>
      </c>
      <c r="F411" s="50" t="s">
        <v>17741</v>
      </c>
      <c r="G411" s="50">
        <v>59.0</v>
      </c>
      <c r="H411" s="50">
        <v>1.0</v>
      </c>
      <c r="I411" s="50">
        <v>99.0</v>
      </c>
      <c r="J411" s="116"/>
      <c r="K411" s="116"/>
      <c r="L411" s="50" t="s">
        <v>1360</v>
      </c>
      <c r="M411" s="50" t="s">
        <v>1360</v>
      </c>
      <c r="N411" s="50">
        <v>1.0</v>
      </c>
      <c r="O411" s="50" t="s">
        <v>17727</v>
      </c>
      <c r="P411" s="116"/>
      <c r="Q411" s="116"/>
      <c r="R411" s="50">
        <v>7.0</v>
      </c>
      <c r="S411" s="50" t="s">
        <v>14454</v>
      </c>
      <c r="T411" s="117">
        <v>4498.0</v>
      </c>
      <c r="U411" s="50" t="s">
        <v>17747</v>
      </c>
      <c r="V411" s="50" t="s">
        <v>17748</v>
      </c>
      <c r="W411" s="117">
        <v>411.0</v>
      </c>
    </row>
    <row r="412">
      <c r="A412" s="50" t="s">
        <v>17741</v>
      </c>
      <c r="B412" s="50" t="s">
        <v>6876</v>
      </c>
      <c r="C412" s="50" t="s">
        <v>6877</v>
      </c>
      <c r="D412" s="50" t="s">
        <v>8493</v>
      </c>
      <c r="E412" s="144">
        <v>43749.0</v>
      </c>
      <c r="F412" s="50" t="s">
        <v>17749</v>
      </c>
      <c r="G412" s="50">
        <v>59.0</v>
      </c>
      <c r="H412" s="50">
        <v>1.0</v>
      </c>
      <c r="I412" s="50">
        <v>11.0</v>
      </c>
      <c r="J412" s="116"/>
      <c r="K412" s="116"/>
      <c r="L412" s="50" t="s">
        <v>1361</v>
      </c>
      <c r="M412" s="50" t="s">
        <v>1361</v>
      </c>
      <c r="N412" s="50">
        <v>1.0</v>
      </c>
      <c r="O412" s="50" t="s">
        <v>17727</v>
      </c>
      <c r="P412" s="116"/>
      <c r="Q412" s="50" t="s">
        <v>17752</v>
      </c>
      <c r="R412" s="50">
        <v>7.0</v>
      </c>
      <c r="S412" s="50" t="s">
        <v>14454</v>
      </c>
      <c r="T412" s="117">
        <v>4499.0</v>
      </c>
      <c r="U412" s="50" t="s">
        <v>17755</v>
      </c>
      <c r="V412" s="50" t="s">
        <v>17757</v>
      </c>
      <c r="W412" s="117">
        <v>412.0</v>
      </c>
    </row>
    <row r="413">
      <c r="A413" s="50" t="s">
        <v>17749</v>
      </c>
      <c r="B413" s="50" t="s">
        <v>6876</v>
      </c>
      <c r="C413" s="50" t="s">
        <v>6877</v>
      </c>
      <c r="D413" s="50" t="s">
        <v>8493</v>
      </c>
      <c r="E413" s="144">
        <v>43749.0</v>
      </c>
      <c r="F413" s="50" t="s">
        <v>17761</v>
      </c>
      <c r="G413" s="50">
        <v>59.0</v>
      </c>
      <c r="H413" s="50">
        <v>1.0</v>
      </c>
      <c r="I413" s="50">
        <v>99.0</v>
      </c>
      <c r="J413" s="116"/>
      <c r="K413" s="116"/>
      <c r="L413" s="50" t="s">
        <v>220</v>
      </c>
      <c r="M413" s="50" t="s">
        <v>220</v>
      </c>
      <c r="N413" s="50">
        <v>1.0</v>
      </c>
      <c r="O413" s="50" t="s">
        <v>17727</v>
      </c>
      <c r="P413" s="116"/>
      <c r="Q413" s="116"/>
      <c r="R413" s="50">
        <v>7.0</v>
      </c>
      <c r="S413" s="50" t="s">
        <v>14454</v>
      </c>
      <c r="T413" s="117">
        <v>4500.0</v>
      </c>
      <c r="U413" s="50" t="s">
        <v>17763</v>
      </c>
      <c r="V413" s="50" t="s">
        <v>17764</v>
      </c>
      <c r="W413" s="117">
        <v>413.0</v>
      </c>
    </row>
    <row r="414">
      <c r="A414" s="50" t="s">
        <v>17761</v>
      </c>
      <c r="B414" s="50" t="s">
        <v>6876</v>
      </c>
      <c r="C414" s="50" t="s">
        <v>6877</v>
      </c>
      <c r="D414" s="50" t="s">
        <v>8493</v>
      </c>
      <c r="E414" s="144">
        <v>43749.0</v>
      </c>
      <c r="F414" s="50" t="s">
        <v>17765</v>
      </c>
      <c r="G414" s="50">
        <v>59.0</v>
      </c>
      <c r="H414" s="50">
        <v>1.0</v>
      </c>
      <c r="I414" s="50">
        <v>99.0</v>
      </c>
      <c r="J414" s="116"/>
      <c r="K414" s="116"/>
      <c r="L414" s="50" t="s">
        <v>222</v>
      </c>
      <c r="M414" s="50" t="s">
        <v>222</v>
      </c>
      <c r="N414" s="50">
        <v>1.0</v>
      </c>
      <c r="O414" s="50" t="s">
        <v>17727</v>
      </c>
      <c r="P414" s="116"/>
      <c r="Q414" s="116"/>
      <c r="R414" s="50">
        <v>7.0</v>
      </c>
      <c r="S414" s="50" t="s">
        <v>14454</v>
      </c>
      <c r="T414" s="117">
        <v>4501.0</v>
      </c>
      <c r="U414" s="50" t="s">
        <v>17767</v>
      </c>
      <c r="V414" s="50" t="s">
        <v>17768</v>
      </c>
      <c r="W414" s="117">
        <v>414.0</v>
      </c>
    </row>
    <row r="415">
      <c r="A415" s="50" t="s">
        <v>17765</v>
      </c>
      <c r="B415" s="50" t="s">
        <v>6876</v>
      </c>
      <c r="C415" s="50" t="s">
        <v>6877</v>
      </c>
      <c r="D415" s="50" t="s">
        <v>8493</v>
      </c>
      <c r="E415" s="144">
        <v>43749.0</v>
      </c>
      <c r="F415" s="50" t="s">
        <v>17774</v>
      </c>
      <c r="G415" s="50">
        <v>59.0</v>
      </c>
      <c r="H415" s="50">
        <v>1.0</v>
      </c>
      <c r="I415" s="50">
        <v>11.0</v>
      </c>
      <c r="J415" s="116"/>
      <c r="K415" s="116"/>
      <c r="L415" s="50" t="s">
        <v>1364</v>
      </c>
      <c r="M415" s="50" t="s">
        <v>1364</v>
      </c>
      <c r="N415" s="50">
        <v>1.0</v>
      </c>
      <c r="O415" s="50" t="s">
        <v>17727</v>
      </c>
      <c r="P415" s="116"/>
      <c r="Q415" s="50" t="s">
        <v>17777</v>
      </c>
      <c r="R415" s="50">
        <v>7.0</v>
      </c>
      <c r="S415" s="50" t="s">
        <v>14454</v>
      </c>
      <c r="T415" s="117">
        <v>4502.0</v>
      </c>
      <c r="U415" s="50" t="s">
        <v>17778</v>
      </c>
      <c r="V415" s="50" t="s">
        <v>17779</v>
      </c>
      <c r="W415" s="117">
        <v>415.0</v>
      </c>
    </row>
    <row r="416">
      <c r="A416" s="50" t="s">
        <v>17774</v>
      </c>
      <c r="B416" s="50" t="s">
        <v>6876</v>
      </c>
      <c r="C416" s="50" t="s">
        <v>6877</v>
      </c>
      <c r="D416" s="50" t="s">
        <v>8493</v>
      </c>
      <c r="E416" s="144">
        <v>43749.0</v>
      </c>
      <c r="F416" s="50" t="s">
        <v>17780</v>
      </c>
      <c r="G416" s="50">
        <v>59.0</v>
      </c>
      <c r="H416" s="50">
        <v>1.0</v>
      </c>
      <c r="I416" s="50">
        <v>99.0</v>
      </c>
      <c r="J416" s="116"/>
      <c r="K416" s="116"/>
      <c r="L416" s="50" t="s">
        <v>220</v>
      </c>
      <c r="M416" s="50" t="s">
        <v>220</v>
      </c>
      <c r="N416" s="50">
        <v>1.0</v>
      </c>
      <c r="O416" s="50" t="s">
        <v>17727</v>
      </c>
      <c r="P416" s="116"/>
      <c r="Q416" s="116"/>
      <c r="R416" s="50">
        <v>7.0</v>
      </c>
      <c r="S416" s="50" t="s">
        <v>14454</v>
      </c>
      <c r="T416" s="117">
        <v>4503.0</v>
      </c>
      <c r="U416" s="50" t="s">
        <v>17783</v>
      </c>
      <c r="V416" s="50" t="s">
        <v>17785</v>
      </c>
      <c r="W416" s="117">
        <v>416.0</v>
      </c>
    </row>
    <row r="417">
      <c r="A417" s="50" t="s">
        <v>17780</v>
      </c>
      <c r="B417" s="50" t="s">
        <v>6876</v>
      </c>
      <c r="C417" s="50" t="s">
        <v>6877</v>
      </c>
      <c r="D417" s="50" t="s">
        <v>8493</v>
      </c>
      <c r="E417" s="144">
        <v>43749.0</v>
      </c>
      <c r="F417" s="50" t="s">
        <v>17788</v>
      </c>
      <c r="G417" s="50">
        <v>59.0</v>
      </c>
      <c r="H417" s="50">
        <v>1.0</v>
      </c>
      <c r="I417" s="50">
        <v>99.0</v>
      </c>
      <c r="J417" s="116"/>
      <c r="K417" s="116"/>
      <c r="L417" s="50" t="s">
        <v>222</v>
      </c>
      <c r="M417" s="50" t="s">
        <v>222</v>
      </c>
      <c r="N417" s="50">
        <v>1.0</v>
      </c>
      <c r="O417" s="50" t="s">
        <v>17727</v>
      </c>
      <c r="P417" s="116"/>
      <c r="Q417" s="116"/>
      <c r="R417" s="50">
        <v>7.0</v>
      </c>
      <c r="S417" s="50" t="s">
        <v>14454</v>
      </c>
      <c r="T417" s="117">
        <v>4504.0</v>
      </c>
      <c r="U417" s="50" t="s">
        <v>17792</v>
      </c>
      <c r="V417" s="50" t="s">
        <v>17793</v>
      </c>
      <c r="W417" s="117">
        <v>417.0</v>
      </c>
    </row>
    <row r="418">
      <c r="A418" s="50" t="s">
        <v>17788</v>
      </c>
      <c r="B418" s="50" t="s">
        <v>6876</v>
      </c>
      <c r="C418" s="50" t="s">
        <v>6877</v>
      </c>
      <c r="D418" s="50" t="s">
        <v>8493</v>
      </c>
      <c r="E418" s="144">
        <v>43749.0</v>
      </c>
      <c r="F418" s="50" t="s">
        <v>17794</v>
      </c>
      <c r="G418" s="50">
        <v>33.0</v>
      </c>
      <c r="H418" s="50">
        <v>1.0</v>
      </c>
      <c r="I418" s="50">
        <v>98.0</v>
      </c>
      <c r="J418" s="116"/>
      <c r="K418" s="116"/>
      <c r="L418" s="50" t="s">
        <v>1367</v>
      </c>
      <c r="M418" s="50" t="s">
        <v>1367</v>
      </c>
      <c r="N418" s="50">
        <v>1.0</v>
      </c>
      <c r="O418" s="50" t="s">
        <v>17727</v>
      </c>
      <c r="P418" s="116"/>
      <c r="Q418" s="116"/>
      <c r="R418" s="50">
        <v>7.0</v>
      </c>
      <c r="S418" s="50" t="s">
        <v>14454</v>
      </c>
      <c r="T418" s="117">
        <v>4505.0</v>
      </c>
      <c r="U418" s="50" t="s">
        <v>17799</v>
      </c>
      <c r="V418" s="50" t="s">
        <v>17800</v>
      </c>
      <c r="W418" s="117">
        <v>418.0</v>
      </c>
    </row>
    <row r="419">
      <c r="A419" s="50" t="s">
        <v>17794</v>
      </c>
      <c r="B419" s="50" t="s">
        <v>6876</v>
      </c>
      <c r="C419" s="50" t="s">
        <v>6877</v>
      </c>
      <c r="D419" s="50" t="s">
        <v>8493</v>
      </c>
      <c r="E419" s="144">
        <v>43749.0</v>
      </c>
      <c r="F419" s="50" t="s">
        <v>17801</v>
      </c>
      <c r="G419" s="50">
        <v>33.0</v>
      </c>
      <c r="H419" s="50">
        <v>1.0</v>
      </c>
      <c r="I419" s="50">
        <v>98.0</v>
      </c>
      <c r="J419" s="116"/>
      <c r="K419" s="116"/>
      <c r="L419" s="50" t="s">
        <v>1370</v>
      </c>
      <c r="M419" s="50" t="s">
        <v>1370</v>
      </c>
      <c r="N419" s="50">
        <v>1.0</v>
      </c>
      <c r="O419" s="50" t="s">
        <v>17727</v>
      </c>
      <c r="P419" s="116"/>
      <c r="Q419" s="116"/>
      <c r="R419" s="50">
        <v>7.0</v>
      </c>
      <c r="S419" s="50" t="s">
        <v>14454</v>
      </c>
      <c r="T419" s="117">
        <v>4506.0</v>
      </c>
      <c r="U419" s="50" t="s">
        <v>17805</v>
      </c>
      <c r="V419" s="50" t="s">
        <v>17806</v>
      </c>
      <c r="W419" s="117">
        <v>419.0</v>
      </c>
    </row>
    <row r="420">
      <c r="A420" s="50" t="s">
        <v>17808</v>
      </c>
      <c r="B420" s="50" t="s">
        <v>6876</v>
      </c>
      <c r="C420" s="50" t="s">
        <v>6877</v>
      </c>
      <c r="D420" s="50" t="s">
        <v>8493</v>
      </c>
      <c r="E420" s="144">
        <v>43755.0</v>
      </c>
      <c r="F420" s="50" t="s">
        <v>17811</v>
      </c>
      <c r="G420" s="50">
        <v>59.0</v>
      </c>
      <c r="H420" s="50">
        <v>1.0</v>
      </c>
      <c r="I420" s="50">
        <v>11.0</v>
      </c>
      <c r="J420" s="116"/>
      <c r="K420" s="116"/>
      <c r="L420" s="50" t="s">
        <v>1371</v>
      </c>
      <c r="M420" s="50" t="s">
        <v>1371</v>
      </c>
      <c r="N420" s="50">
        <v>1.0</v>
      </c>
      <c r="O420" s="50" t="s">
        <v>17813</v>
      </c>
      <c r="P420" s="116"/>
      <c r="Q420" s="50" t="s">
        <v>17814</v>
      </c>
      <c r="R420" s="50">
        <v>5.0</v>
      </c>
      <c r="S420" s="50" t="s">
        <v>14454</v>
      </c>
      <c r="T420" s="117">
        <v>4547.0</v>
      </c>
      <c r="U420" s="50" t="s">
        <v>17815</v>
      </c>
      <c r="V420" s="50" t="s">
        <v>17816</v>
      </c>
      <c r="W420" s="117">
        <v>420.0</v>
      </c>
    </row>
    <row r="421">
      <c r="A421" s="50" t="s">
        <v>17811</v>
      </c>
      <c r="B421" s="50" t="s">
        <v>6876</v>
      </c>
      <c r="C421" s="50" t="s">
        <v>6877</v>
      </c>
      <c r="D421" s="50" t="s">
        <v>8493</v>
      </c>
      <c r="E421" s="144">
        <v>43755.0</v>
      </c>
      <c r="F421" s="50" t="s">
        <v>17817</v>
      </c>
      <c r="G421" s="50">
        <v>59.0</v>
      </c>
      <c r="H421" s="50">
        <v>1.0</v>
      </c>
      <c r="I421" s="50">
        <v>99.0</v>
      </c>
      <c r="J421" s="116"/>
      <c r="K421" s="116"/>
      <c r="L421" s="50" t="s">
        <v>1374</v>
      </c>
      <c r="M421" s="50" t="s">
        <v>1374</v>
      </c>
      <c r="N421" s="50">
        <v>1.0</v>
      </c>
      <c r="O421" s="50" t="s">
        <v>17813</v>
      </c>
      <c r="P421" s="116"/>
      <c r="Q421" s="116"/>
      <c r="R421" s="50">
        <v>5.0</v>
      </c>
      <c r="S421" s="50" t="s">
        <v>14454</v>
      </c>
      <c r="T421" s="117">
        <v>4548.0</v>
      </c>
      <c r="U421" s="50" t="s">
        <v>17825</v>
      </c>
      <c r="V421" s="50" t="s">
        <v>17826</v>
      </c>
      <c r="W421" s="117">
        <v>421.0</v>
      </c>
    </row>
    <row r="422">
      <c r="A422" s="50" t="s">
        <v>17817</v>
      </c>
      <c r="B422" s="50" t="s">
        <v>6876</v>
      </c>
      <c r="C422" s="50" t="s">
        <v>6877</v>
      </c>
      <c r="D422" s="50" t="s">
        <v>8493</v>
      </c>
      <c r="E422" s="144">
        <v>43755.0</v>
      </c>
      <c r="F422" s="50" t="s">
        <v>17829</v>
      </c>
      <c r="G422" s="50">
        <v>59.0</v>
      </c>
      <c r="H422" s="50">
        <v>1.0</v>
      </c>
      <c r="I422" s="50">
        <v>99.0</v>
      </c>
      <c r="J422" s="116"/>
      <c r="K422" s="116"/>
      <c r="L422" s="50" t="s">
        <v>1375</v>
      </c>
      <c r="M422" s="50" t="s">
        <v>1375</v>
      </c>
      <c r="N422" s="50">
        <v>1.0</v>
      </c>
      <c r="O422" s="50" t="s">
        <v>17813</v>
      </c>
      <c r="P422" s="116"/>
      <c r="Q422" s="116"/>
      <c r="R422" s="50">
        <v>5.0</v>
      </c>
      <c r="S422" s="50" t="s">
        <v>14454</v>
      </c>
      <c r="T422" s="117">
        <v>4549.0</v>
      </c>
      <c r="U422" s="50" t="s">
        <v>17830</v>
      </c>
      <c r="V422" s="50" t="s">
        <v>17831</v>
      </c>
      <c r="W422" s="117">
        <v>422.0</v>
      </c>
    </row>
    <row r="423">
      <c r="A423" s="50" t="s">
        <v>17829</v>
      </c>
      <c r="B423" s="50" t="s">
        <v>6876</v>
      </c>
      <c r="C423" s="50" t="s">
        <v>6877</v>
      </c>
      <c r="D423" s="50" t="s">
        <v>8493</v>
      </c>
      <c r="E423" s="144">
        <v>43755.0</v>
      </c>
      <c r="F423" s="50" t="s">
        <v>17832</v>
      </c>
      <c r="G423" s="50">
        <v>59.0</v>
      </c>
      <c r="H423" s="50">
        <v>1.0</v>
      </c>
      <c r="I423" s="50">
        <v>11.0</v>
      </c>
      <c r="J423" s="116"/>
      <c r="K423" s="116"/>
      <c r="L423" s="50" t="s">
        <v>1377</v>
      </c>
      <c r="M423" s="50" t="s">
        <v>1377</v>
      </c>
      <c r="N423" s="50">
        <v>1.0</v>
      </c>
      <c r="O423" s="50" t="s">
        <v>17813</v>
      </c>
      <c r="P423" s="116"/>
      <c r="Q423" s="50" t="s">
        <v>17837</v>
      </c>
      <c r="R423" s="50">
        <v>5.0</v>
      </c>
      <c r="S423" s="50" t="s">
        <v>14454</v>
      </c>
      <c r="T423" s="117">
        <v>4550.0</v>
      </c>
      <c r="U423" s="50" t="s">
        <v>17839</v>
      </c>
      <c r="V423" s="50" t="s">
        <v>17841</v>
      </c>
      <c r="W423" s="117">
        <v>423.0</v>
      </c>
    </row>
    <row r="424">
      <c r="A424" s="50" t="s">
        <v>17832</v>
      </c>
      <c r="B424" s="50" t="s">
        <v>6876</v>
      </c>
      <c r="C424" s="50" t="s">
        <v>6877</v>
      </c>
      <c r="D424" s="50" t="s">
        <v>8493</v>
      </c>
      <c r="E424" s="144">
        <v>43755.0</v>
      </c>
      <c r="F424" s="50" t="s">
        <v>17843</v>
      </c>
      <c r="G424" s="50">
        <v>59.0</v>
      </c>
      <c r="H424" s="50">
        <v>1.0</v>
      </c>
      <c r="I424" s="50">
        <v>99.0</v>
      </c>
      <c r="J424" s="116"/>
      <c r="K424" s="116"/>
      <c r="L424" s="50" t="s">
        <v>1379</v>
      </c>
      <c r="M424" s="50" t="s">
        <v>1379</v>
      </c>
      <c r="N424" s="50">
        <v>1.0</v>
      </c>
      <c r="O424" s="50" t="s">
        <v>17813</v>
      </c>
      <c r="P424" s="116"/>
      <c r="Q424" s="116"/>
      <c r="R424" s="50">
        <v>5.0</v>
      </c>
      <c r="S424" s="50" t="s">
        <v>14454</v>
      </c>
      <c r="T424" s="117">
        <v>4551.0</v>
      </c>
      <c r="U424" s="50" t="s">
        <v>17844</v>
      </c>
      <c r="V424" s="50" t="s">
        <v>17845</v>
      </c>
      <c r="W424" s="117">
        <v>424.0</v>
      </c>
    </row>
    <row r="425">
      <c r="A425" s="50" t="s">
        <v>17846</v>
      </c>
      <c r="B425" s="50" t="s">
        <v>6876</v>
      </c>
      <c r="C425" s="50" t="s">
        <v>6877</v>
      </c>
      <c r="D425" s="50" t="s">
        <v>8493</v>
      </c>
      <c r="E425" s="144">
        <v>43755.0</v>
      </c>
      <c r="F425" s="50" t="s">
        <v>17848</v>
      </c>
      <c r="G425" s="50">
        <v>59.0</v>
      </c>
      <c r="H425" s="50">
        <v>1.0</v>
      </c>
      <c r="I425" s="50">
        <v>99.0</v>
      </c>
      <c r="J425" s="116"/>
      <c r="K425" s="116"/>
      <c r="L425" s="50" t="s">
        <v>1381</v>
      </c>
      <c r="M425" s="50" t="s">
        <v>1381</v>
      </c>
      <c r="N425" s="50">
        <v>1.0</v>
      </c>
      <c r="O425" s="50" t="s">
        <v>17813</v>
      </c>
      <c r="P425" s="116"/>
      <c r="Q425" s="116"/>
      <c r="R425" s="50">
        <v>5.0</v>
      </c>
      <c r="S425" s="50" t="s">
        <v>14454</v>
      </c>
      <c r="T425" s="117">
        <v>4552.0</v>
      </c>
      <c r="U425" s="50" t="s">
        <v>17854</v>
      </c>
      <c r="V425" s="50" t="s">
        <v>17855</v>
      </c>
      <c r="W425" s="117">
        <v>425.0</v>
      </c>
    </row>
    <row r="426">
      <c r="A426" s="50" t="s">
        <v>17848</v>
      </c>
      <c r="B426" s="50" t="s">
        <v>6876</v>
      </c>
      <c r="C426" s="50" t="s">
        <v>6877</v>
      </c>
      <c r="D426" s="50" t="s">
        <v>8493</v>
      </c>
      <c r="E426" s="144">
        <v>43755.0</v>
      </c>
      <c r="F426" s="50" t="s">
        <v>17857</v>
      </c>
      <c r="G426" s="50">
        <v>33.0</v>
      </c>
      <c r="H426" s="50">
        <v>1.0</v>
      </c>
      <c r="I426" s="50">
        <v>98.0</v>
      </c>
      <c r="J426" s="116"/>
      <c r="K426" s="116"/>
      <c r="L426" s="50" t="s">
        <v>1385</v>
      </c>
      <c r="M426" s="50" t="s">
        <v>1385</v>
      </c>
      <c r="N426" s="50">
        <v>1.0</v>
      </c>
      <c r="O426" s="50" t="s">
        <v>17813</v>
      </c>
      <c r="P426" s="116"/>
      <c r="Q426" s="116"/>
      <c r="R426" s="50">
        <v>5.0</v>
      </c>
      <c r="S426" s="50" t="s">
        <v>14454</v>
      </c>
      <c r="T426" s="117">
        <v>4553.0</v>
      </c>
      <c r="U426" s="50" t="s">
        <v>17858</v>
      </c>
      <c r="V426" s="50" t="s">
        <v>17860</v>
      </c>
      <c r="W426" s="117">
        <v>426.0</v>
      </c>
    </row>
    <row r="427">
      <c r="A427" s="50" t="s">
        <v>17861</v>
      </c>
      <c r="B427" s="50" t="s">
        <v>6876</v>
      </c>
      <c r="C427" s="50" t="s">
        <v>6877</v>
      </c>
      <c r="D427" s="50" t="s">
        <v>8493</v>
      </c>
      <c r="E427" s="144">
        <v>43759.0</v>
      </c>
      <c r="F427" s="50" t="s">
        <v>17864</v>
      </c>
      <c r="G427" s="50">
        <v>57.0</v>
      </c>
      <c r="H427" s="50">
        <v>1.0</v>
      </c>
      <c r="I427" s="50">
        <v>12.0</v>
      </c>
      <c r="J427" s="116"/>
      <c r="K427" s="116"/>
      <c r="L427" s="50" t="s">
        <v>1386</v>
      </c>
      <c r="M427" s="50" t="s">
        <v>1386</v>
      </c>
      <c r="N427" s="50">
        <v>1.0</v>
      </c>
      <c r="O427" s="50" t="s">
        <v>17867</v>
      </c>
      <c r="P427" s="116"/>
      <c r="Q427" s="116"/>
      <c r="R427" s="50">
        <v>3.0</v>
      </c>
      <c r="S427" s="50" t="s">
        <v>14454</v>
      </c>
      <c r="T427" s="117">
        <v>4572.0</v>
      </c>
      <c r="U427" s="50" t="s">
        <v>17871</v>
      </c>
      <c r="V427" s="50" t="s">
        <v>17872</v>
      </c>
      <c r="W427" s="117">
        <v>427.0</v>
      </c>
    </row>
    <row r="428">
      <c r="A428" s="50" t="s">
        <v>17864</v>
      </c>
      <c r="B428" s="50" t="s">
        <v>6876</v>
      </c>
      <c r="C428" s="50" t="s">
        <v>6877</v>
      </c>
      <c r="D428" s="50" t="s">
        <v>8493</v>
      </c>
      <c r="E428" s="144">
        <v>43759.0</v>
      </c>
      <c r="F428" s="50" t="s">
        <v>17874</v>
      </c>
      <c r="G428" s="50">
        <v>57.0</v>
      </c>
      <c r="H428" s="50">
        <v>1.0</v>
      </c>
      <c r="I428" s="50">
        <v>99.0</v>
      </c>
      <c r="J428" s="116"/>
      <c r="K428" s="116"/>
      <c r="L428" s="50" t="s">
        <v>1387</v>
      </c>
      <c r="M428" s="50" t="s">
        <v>1387</v>
      </c>
      <c r="N428" s="50">
        <v>1.0</v>
      </c>
      <c r="O428" s="50" t="s">
        <v>17867</v>
      </c>
      <c r="P428" s="116"/>
      <c r="Q428" s="116"/>
      <c r="R428" s="50">
        <v>3.0</v>
      </c>
      <c r="S428" s="50" t="s">
        <v>14454</v>
      </c>
      <c r="T428" s="117">
        <v>4573.0</v>
      </c>
      <c r="U428" s="50" t="s">
        <v>17875</v>
      </c>
      <c r="V428" s="50" t="s">
        <v>17876</v>
      </c>
      <c r="W428" s="117">
        <v>428.0</v>
      </c>
    </row>
    <row r="429">
      <c r="A429" s="50" t="s">
        <v>17874</v>
      </c>
      <c r="B429" s="50" t="s">
        <v>6876</v>
      </c>
      <c r="C429" s="50" t="s">
        <v>6877</v>
      </c>
      <c r="D429" s="50" t="s">
        <v>8493</v>
      </c>
      <c r="E429" s="144">
        <v>43759.0</v>
      </c>
      <c r="F429" s="50" t="s">
        <v>17879</v>
      </c>
      <c r="G429" s="50">
        <v>57.0</v>
      </c>
      <c r="H429" s="50">
        <v>1.0</v>
      </c>
      <c r="I429" s="50">
        <v>99.0</v>
      </c>
      <c r="J429" s="116"/>
      <c r="K429" s="116"/>
      <c r="L429" s="50" t="s">
        <v>1389</v>
      </c>
      <c r="M429" s="50" t="s">
        <v>1389</v>
      </c>
      <c r="N429" s="50">
        <v>1.0</v>
      </c>
      <c r="O429" s="50" t="s">
        <v>17867</v>
      </c>
      <c r="P429" s="116"/>
      <c r="Q429" s="116"/>
      <c r="R429" s="50">
        <v>3.0</v>
      </c>
      <c r="S429" s="50" t="s">
        <v>14454</v>
      </c>
      <c r="T429" s="117">
        <v>4574.0</v>
      </c>
      <c r="U429" s="50" t="s">
        <v>17885</v>
      </c>
      <c r="V429" s="50" t="s">
        <v>17886</v>
      </c>
      <c r="W429" s="117">
        <v>429.0</v>
      </c>
    </row>
    <row r="430">
      <c r="A430" s="50" t="s">
        <v>17879</v>
      </c>
      <c r="B430" s="50" t="s">
        <v>6876</v>
      </c>
      <c r="C430" s="50" t="s">
        <v>6877</v>
      </c>
      <c r="D430" s="50" t="s">
        <v>8493</v>
      </c>
      <c r="E430" s="144">
        <v>43759.0</v>
      </c>
      <c r="F430" s="50" t="s">
        <v>17890</v>
      </c>
      <c r="G430" s="50">
        <v>55.0</v>
      </c>
      <c r="H430" s="50">
        <v>1.0</v>
      </c>
      <c r="I430" s="50">
        <v>12.0</v>
      </c>
      <c r="J430" s="116"/>
      <c r="K430" s="116"/>
      <c r="L430" s="50" t="s">
        <v>1390</v>
      </c>
      <c r="M430" s="50" t="s">
        <v>1390</v>
      </c>
      <c r="N430" s="50">
        <v>1.0</v>
      </c>
      <c r="O430" s="50" t="s">
        <v>17867</v>
      </c>
      <c r="P430" s="116"/>
      <c r="Q430" s="116"/>
      <c r="R430" s="50">
        <v>3.0</v>
      </c>
      <c r="S430" s="50" t="s">
        <v>14454</v>
      </c>
      <c r="T430" s="117">
        <v>4575.0</v>
      </c>
      <c r="U430" s="50" t="s">
        <v>17897</v>
      </c>
      <c r="V430" s="50" t="s">
        <v>17898</v>
      </c>
      <c r="W430" s="117">
        <v>430.0</v>
      </c>
    </row>
    <row r="431">
      <c r="A431" s="50" t="s">
        <v>17890</v>
      </c>
      <c r="B431" s="50" t="s">
        <v>6876</v>
      </c>
      <c r="C431" s="50" t="s">
        <v>6877</v>
      </c>
      <c r="D431" s="50" t="s">
        <v>8493</v>
      </c>
      <c r="E431" s="144">
        <v>43759.0</v>
      </c>
      <c r="F431" s="50" t="s">
        <v>17900</v>
      </c>
      <c r="G431" s="50">
        <v>57.0</v>
      </c>
      <c r="H431" s="50">
        <v>1.0</v>
      </c>
      <c r="I431" s="50">
        <v>99.0</v>
      </c>
      <c r="J431" s="116"/>
      <c r="K431" s="116"/>
      <c r="L431" s="50" t="s">
        <v>1392</v>
      </c>
      <c r="M431" s="50" t="s">
        <v>1392</v>
      </c>
      <c r="N431" s="50">
        <v>1.0</v>
      </c>
      <c r="O431" s="50" t="s">
        <v>17867</v>
      </c>
      <c r="P431" s="116"/>
      <c r="Q431" s="116"/>
      <c r="R431" s="50">
        <v>3.0</v>
      </c>
      <c r="S431" s="50" t="s">
        <v>14454</v>
      </c>
      <c r="T431" s="117">
        <v>4576.0</v>
      </c>
      <c r="U431" s="50" t="s">
        <v>17902</v>
      </c>
      <c r="V431" s="50" t="s">
        <v>17903</v>
      </c>
      <c r="W431" s="117">
        <v>431.0</v>
      </c>
    </row>
    <row r="432">
      <c r="A432" s="50" t="s">
        <v>17900</v>
      </c>
      <c r="B432" s="50" t="s">
        <v>6876</v>
      </c>
      <c r="C432" s="50" t="s">
        <v>6877</v>
      </c>
      <c r="D432" s="50" t="s">
        <v>8493</v>
      </c>
      <c r="E432" s="144">
        <v>43759.0</v>
      </c>
      <c r="F432" s="50" t="s">
        <v>17904</v>
      </c>
      <c r="G432" s="50">
        <v>55.0</v>
      </c>
      <c r="H432" s="50">
        <v>1.0</v>
      </c>
      <c r="I432" s="50">
        <v>99.0</v>
      </c>
      <c r="J432" s="116"/>
      <c r="K432" s="116"/>
      <c r="L432" s="50" t="s">
        <v>1393</v>
      </c>
      <c r="M432" s="50" t="s">
        <v>1393</v>
      </c>
      <c r="N432" s="50">
        <v>1.0</v>
      </c>
      <c r="O432" s="50" t="s">
        <v>17867</v>
      </c>
      <c r="P432" s="116"/>
      <c r="Q432" s="116"/>
      <c r="R432" s="50">
        <v>3.0</v>
      </c>
      <c r="S432" s="50" t="s">
        <v>14454</v>
      </c>
      <c r="T432" s="117">
        <v>4577.0</v>
      </c>
      <c r="U432" s="50" t="s">
        <v>17906</v>
      </c>
      <c r="V432" s="50" t="s">
        <v>17907</v>
      </c>
      <c r="W432" s="117">
        <v>432.0</v>
      </c>
    </row>
    <row r="433">
      <c r="A433" s="50" t="s">
        <v>17904</v>
      </c>
      <c r="B433" s="50" t="s">
        <v>6876</v>
      </c>
      <c r="C433" s="50" t="s">
        <v>6877</v>
      </c>
      <c r="D433" s="50" t="s">
        <v>8493</v>
      </c>
      <c r="E433" s="144">
        <v>43759.0</v>
      </c>
      <c r="F433" s="50" t="s">
        <v>17911</v>
      </c>
      <c r="G433" s="50">
        <v>33.0</v>
      </c>
      <c r="H433" s="50">
        <v>1.0</v>
      </c>
      <c r="I433" s="50">
        <v>98.0</v>
      </c>
      <c r="J433" s="116"/>
      <c r="K433" s="116"/>
      <c r="L433" s="50" t="s">
        <v>1397</v>
      </c>
      <c r="M433" s="50" t="s">
        <v>1397</v>
      </c>
      <c r="N433" s="50">
        <v>1.0</v>
      </c>
      <c r="O433" s="50" t="s">
        <v>17867</v>
      </c>
      <c r="P433" s="116"/>
      <c r="Q433" s="116"/>
      <c r="R433" s="50">
        <v>3.0</v>
      </c>
      <c r="S433" s="50" t="s">
        <v>14454</v>
      </c>
      <c r="T433" s="117">
        <v>4578.0</v>
      </c>
      <c r="U433" s="50" t="s">
        <v>17916</v>
      </c>
      <c r="V433" s="50" t="s">
        <v>17917</v>
      </c>
      <c r="W433" s="117">
        <v>433.0</v>
      </c>
    </row>
    <row r="434">
      <c r="A434" s="50" t="s">
        <v>17918</v>
      </c>
      <c r="B434" s="50" t="s">
        <v>6876</v>
      </c>
      <c r="C434" s="50" t="s">
        <v>6877</v>
      </c>
      <c r="D434" s="50" t="s">
        <v>8493</v>
      </c>
      <c r="E434" s="144">
        <v>43760.0</v>
      </c>
      <c r="F434" s="50" t="s">
        <v>17919</v>
      </c>
      <c r="G434" s="50">
        <v>33.0</v>
      </c>
      <c r="H434" s="50">
        <v>1.0</v>
      </c>
      <c r="I434" s="50">
        <v>98.0</v>
      </c>
      <c r="J434" s="116"/>
      <c r="K434" s="116"/>
      <c r="L434" s="50" t="s">
        <v>1382</v>
      </c>
      <c r="M434" s="50" t="s">
        <v>1382</v>
      </c>
      <c r="N434" s="50">
        <v>1.0</v>
      </c>
      <c r="O434" s="50" t="s">
        <v>17813</v>
      </c>
      <c r="P434" s="116"/>
      <c r="Q434" s="116"/>
      <c r="R434" s="50">
        <v>5.0</v>
      </c>
      <c r="S434" s="50" t="s">
        <v>14454</v>
      </c>
      <c r="T434" s="117">
        <v>4591.0</v>
      </c>
      <c r="U434" s="50" t="s">
        <v>17920</v>
      </c>
      <c r="V434" s="50" t="s">
        <v>17922</v>
      </c>
      <c r="W434" s="117">
        <v>434.0</v>
      </c>
    </row>
    <row r="435">
      <c r="A435" s="50" t="s">
        <v>17919</v>
      </c>
      <c r="B435" s="50" t="s">
        <v>6876</v>
      </c>
      <c r="C435" s="50" t="s">
        <v>6877</v>
      </c>
      <c r="D435" s="50" t="s">
        <v>8493</v>
      </c>
      <c r="E435" s="144">
        <v>43760.0</v>
      </c>
      <c r="F435" s="50" t="s">
        <v>17923</v>
      </c>
      <c r="G435" s="50">
        <v>33.0</v>
      </c>
      <c r="H435" s="50">
        <v>1.0</v>
      </c>
      <c r="I435" s="50">
        <v>98.0</v>
      </c>
      <c r="J435" s="116"/>
      <c r="K435" s="116"/>
      <c r="L435" s="50" t="s">
        <v>1394</v>
      </c>
      <c r="M435" s="50" t="s">
        <v>1394</v>
      </c>
      <c r="N435" s="50">
        <v>1.0</v>
      </c>
      <c r="O435" s="50" t="s">
        <v>17867</v>
      </c>
      <c r="P435" s="116"/>
      <c r="Q435" s="116"/>
      <c r="R435" s="50">
        <v>3.0</v>
      </c>
      <c r="S435" s="50" t="s">
        <v>14454</v>
      </c>
      <c r="T435" s="117">
        <v>4592.0</v>
      </c>
      <c r="U435" s="50" t="s">
        <v>17924</v>
      </c>
      <c r="V435" s="50" t="s">
        <v>17925</v>
      </c>
      <c r="W435" s="117">
        <v>435.0</v>
      </c>
    </row>
    <row r="436">
      <c r="A436" s="50" t="s">
        <v>17923</v>
      </c>
      <c r="B436" s="50" t="s">
        <v>6876</v>
      </c>
      <c r="C436" s="50" t="s">
        <v>6877</v>
      </c>
      <c r="D436" s="50" t="s">
        <v>8493</v>
      </c>
      <c r="E436" s="144">
        <v>43760.0</v>
      </c>
      <c r="F436" s="50" t="s">
        <v>17931</v>
      </c>
      <c r="G436" s="50">
        <v>59.0</v>
      </c>
      <c r="H436" s="50">
        <v>1.0</v>
      </c>
      <c r="I436" s="50">
        <v>11.0</v>
      </c>
      <c r="J436" s="116"/>
      <c r="K436" s="116"/>
      <c r="L436" s="50" t="s">
        <v>1406</v>
      </c>
      <c r="M436" s="50" t="s">
        <v>1406</v>
      </c>
      <c r="N436" s="50">
        <v>1.0</v>
      </c>
      <c r="O436" s="50" t="s">
        <v>17935</v>
      </c>
      <c r="P436" s="116"/>
      <c r="Q436" s="50" t="s">
        <v>17936</v>
      </c>
      <c r="R436" s="50">
        <v>5.0</v>
      </c>
      <c r="S436" s="50" t="s">
        <v>14454</v>
      </c>
      <c r="T436" s="117">
        <v>4593.0</v>
      </c>
      <c r="U436" s="50" t="s">
        <v>17937</v>
      </c>
      <c r="V436" s="50" t="s">
        <v>17938</v>
      </c>
      <c r="W436" s="117">
        <v>436.0</v>
      </c>
    </row>
    <row r="437">
      <c r="A437" s="50" t="s">
        <v>17931</v>
      </c>
      <c r="B437" s="50" t="s">
        <v>6876</v>
      </c>
      <c r="C437" s="50" t="s">
        <v>6877</v>
      </c>
      <c r="D437" s="50" t="s">
        <v>8493</v>
      </c>
      <c r="E437" s="144">
        <v>43760.0</v>
      </c>
      <c r="F437" s="50" t="s">
        <v>17940</v>
      </c>
      <c r="G437" s="50">
        <v>59.0</v>
      </c>
      <c r="H437" s="50">
        <v>1.0</v>
      </c>
      <c r="I437" s="50">
        <v>99.0</v>
      </c>
      <c r="J437" s="116"/>
      <c r="K437" s="116"/>
      <c r="L437" s="50" t="s">
        <v>1409</v>
      </c>
      <c r="M437" s="50" t="s">
        <v>1409</v>
      </c>
      <c r="N437" s="50">
        <v>1.0</v>
      </c>
      <c r="O437" s="50" t="s">
        <v>17935</v>
      </c>
      <c r="P437" s="116"/>
      <c r="Q437" s="116"/>
      <c r="R437" s="50">
        <v>5.0</v>
      </c>
      <c r="S437" s="50" t="s">
        <v>14454</v>
      </c>
      <c r="T437" s="117">
        <v>4594.0</v>
      </c>
      <c r="U437" s="50" t="s">
        <v>17944</v>
      </c>
      <c r="V437" s="50" t="s">
        <v>17945</v>
      </c>
      <c r="W437" s="117">
        <v>437.0</v>
      </c>
    </row>
    <row r="438">
      <c r="A438" s="50" t="s">
        <v>17940</v>
      </c>
      <c r="B438" s="50" t="s">
        <v>6876</v>
      </c>
      <c r="C438" s="50" t="s">
        <v>6877</v>
      </c>
      <c r="D438" s="50" t="s">
        <v>8493</v>
      </c>
      <c r="E438" s="144">
        <v>43760.0</v>
      </c>
      <c r="F438" s="50" t="s">
        <v>17947</v>
      </c>
      <c r="G438" s="50">
        <v>59.0</v>
      </c>
      <c r="H438" s="50">
        <v>1.0</v>
      </c>
      <c r="I438" s="50">
        <v>99.0</v>
      </c>
      <c r="J438" s="116"/>
      <c r="K438" s="116"/>
      <c r="L438" s="50" t="s">
        <v>1410</v>
      </c>
      <c r="M438" s="50" t="s">
        <v>1410</v>
      </c>
      <c r="N438" s="50">
        <v>1.0</v>
      </c>
      <c r="O438" s="50" t="s">
        <v>17935</v>
      </c>
      <c r="P438" s="116"/>
      <c r="Q438" s="116"/>
      <c r="R438" s="50">
        <v>5.0</v>
      </c>
      <c r="S438" s="50" t="s">
        <v>14454</v>
      </c>
      <c r="T438" s="117">
        <v>4595.0</v>
      </c>
      <c r="U438" s="50" t="s">
        <v>17954</v>
      </c>
      <c r="V438" s="50" t="s">
        <v>17955</v>
      </c>
      <c r="W438" s="117">
        <v>438.0</v>
      </c>
    </row>
    <row r="439">
      <c r="A439" s="50" t="s">
        <v>17947</v>
      </c>
      <c r="B439" s="50" t="s">
        <v>6876</v>
      </c>
      <c r="C439" s="50" t="s">
        <v>6877</v>
      </c>
      <c r="D439" s="50" t="s">
        <v>8493</v>
      </c>
      <c r="E439" s="144">
        <v>43760.0</v>
      </c>
      <c r="F439" s="50" t="s">
        <v>17957</v>
      </c>
      <c r="G439" s="50">
        <v>59.0</v>
      </c>
      <c r="H439" s="50">
        <v>1.0</v>
      </c>
      <c r="I439" s="50">
        <v>11.0</v>
      </c>
      <c r="J439" s="116"/>
      <c r="K439" s="116"/>
      <c r="L439" s="50" t="s">
        <v>1412</v>
      </c>
      <c r="M439" s="50" t="s">
        <v>1412</v>
      </c>
      <c r="N439" s="50">
        <v>1.0</v>
      </c>
      <c r="O439" s="50" t="s">
        <v>17935</v>
      </c>
      <c r="P439" s="116"/>
      <c r="Q439" s="50" t="s">
        <v>17960</v>
      </c>
      <c r="R439" s="50">
        <v>5.0</v>
      </c>
      <c r="S439" s="50" t="s">
        <v>14454</v>
      </c>
      <c r="T439" s="117">
        <v>4596.0</v>
      </c>
      <c r="U439" s="50" t="s">
        <v>17962</v>
      </c>
      <c r="V439" s="50" t="s">
        <v>17963</v>
      </c>
      <c r="W439" s="117">
        <v>439.0</v>
      </c>
    </row>
    <row r="440">
      <c r="A440" s="50" t="s">
        <v>17957</v>
      </c>
      <c r="B440" s="50" t="s">
        <v>6876</v>
      </c>
      <c r="C440" s="50" t="s">
        <v>6877</v>
      </c>
      <c r="D440" s="50" t="s">
        <v>8493</v>
      </c>
      <c r="E440" s="144">
        <v>43760.0</v>
      </c>
      <c r="F440" s="50" t="s">
        <v>17965</v>
      </c>
      <c r="G440" s="50">
        <v>59.0</v>
      </c>
      <c r="H440" s="50">
        <v>1.0</v>
      </c>
      <c r="I440" s="50">
        <v>99.0</v>
      </c>
      <c r="J440" s="116"/>
      <c r="K440" s="116"/>
      <c r="L440" s="50" t="s">
        <v>1415</v>
      </c>
      <c r="M440" s="50" t="s">
        <v>1415</v>
      </c>
      <c r="N440" s="50">
        <v>1.0</v>
      </c>
      <c r="O440" s="50" t="s">
        <v>17935</v>
      </c>
      <c r="P440" s="116"/>
      <c r="Q440" s="116"/>
      <c r="R440" s="50">
        <v>5.0</v>
      </c>
      <c r="S440" s="50" t="s">
        <v>14454</v>
      </c>
      <c r="T440" s="117">
        <v>4597.0</v>
      </c>
      <c r="U440" s="50" t="s">
        <v>17968</v>
      </c>
      <c r="V440" s="50" t="s">
        <v>17969</v>
      </c>
      <c r="W440" s="117">
        <v>440.0</v>
      </c>
    </row>
    <row r="441">
      <c r="A441" s="50" t="s">
        <v>17972</v>
      </c>
      <c r="B441" s="50" t="s">
        <v>6876</v>
      </c>
      <c r="C441" s="50" t="s">
        <v>6877</v>
      </c>
      <c r="D441" s="50" t="s">
        <v>8493</v>
      </c>
      <c r="E441" s="144">
        <v>43760.0</v>
      </c>
      <c r="F441" s="50" t="s">
        <v>17975</v>
      </c>
      <c r="G441" s="50">
        <v>59.0</v>
      </c>
      <c r="H441" s="50">
        <v>1.0</v>
      </c>
      <c r="I441" s="50">
        <v>99.0</v>
      </c>
      <c r="J441" s="116"/>
      <c r="K441" s="116"/>
      <c r="L441" s="50" t="s">
        <v>1416</v>
      </c>
      <c r="M441" s="50" t="s">
        <v>1416</v>
      </c>
      <c r="N441" s="50">
        <v>1.0</v>
      </c>
      <c r="O441" s="50" t="s">
        <v>17935</v>
      </c>
      <c r="P441" s="116"/>
      <c r="Q441" s="116"/>
      <c r="R441" s="50">
        <v>5.0</v>
      </c>
      <c r="S441" s="50" t="s">
        <v>14454</v>
      </c>
      <c r="T441" s="117">
        <v>4599.0</v>
      </c>
      <c r="U441" s="50" t="s">
        <v>17980</v>
      </c>
      <c r="V441" s="50" t="s">
        <v>17981</v>
      </c>
      <c r="W441" s="117">
        <v>442.0</v>
      </c>
    </row>
    <row r="442">
      <c r="A442" s="50" t="s">
        <v>17983</v>
      </c>
      <c r="B442" s="50" t="s">
        <v>6876</v>
      </c>
      <c r="C442" s="50" t="s">
        <v>6877</v>
      </c>
      <c r="D442" s="50" t="s">
        <v>8493</v>
      </c>
      <c r="E442" s="144">
        <v>43760.0</v>
      </c>
      <c r="F442" s="50" t="s">
        <v>17985</v>
      </c>
      <c r="G442" s="50">
        <v>66.0</v>
      </c>
      <c r="H442" s="50">
        <v>1.0</v>
      </c>
      <c r="I442" s="50">
        <v>12.0</v>
      </c>
      <c r="J442" s="116"/>
      <c r="K442" s="116"/>
      <c r="L442" s="50" t="s">
        <v>1398</v>
      </c>
      <c r="M442" s="50" t="s">
        <v>1398</v>
      </c>
      <c r="N442" s="50">
        <v>1.0</v>
      </c>
      <c r="O442" s="50" t="s">
        <v>17935</v>
      </c>
      <c r="P442" s="116"/>
      <c r="Q442" s="116"/>
      <c r="R442" s="50">
        <v>5.0</v>
      </c>
      <c r="S442" s="50" t="s">
        <v>14454</v>
      </c>
      <c r="T442" s="117">
        <v>4600.0</v>
      </c>
      <c r="U442" s="50" t="s">
        <v>17987</v>
      </c>
      <c r="V442" s="50" t="s">
        <v>17988</v>
      </c>
      <c r="W442" s="117">
        <v>443.0</v>
      </c>
    </row>
    <row r="443">
      <c r="A443" s="50" t="s">
        <v>17985</v>
      </c>
      <c r="B443" s="50" t="s">
        <v>6876</v>
      </c>
      <c r="C443" s="50" t="s">
        <v>6877</v>
      </c>
      <c r="D443" s="50" t="s">
        <v>8493</v>
      </c>
      <c r="E443" s="144">
        <v>43760.0</v>
      </c>
      <c r="F443" s="50" t="s">
        <v>17990</v>
      </c>
      <c r="G443" s="50">
        <v>59.0</v>
      </c>
      <c r="H443" s="50">
        <v>1.0</v>
      </c>
      <c r="I443" s="50">
        <v>12.0</v>
      </c>
      <c r="J443" s="116"/>
      <c r="K443" s="116"/>
      <c r="L443" s="50" t="s">
        <v>1402</v>
      </c>
      <c r="M443" s="50" t="s">
        <v>1402</v>
      </c>
      <c r="N443" s="50">
        <v>1.0</v>
      </c>
      <c r="O443" s="50" t="s">
        <v>17935</v>
      </c>
      <c r="P443" s="116"/>
      <c r="Q443" s="116"/>
      <c r="R443" s="50">
        <v>5.0</v>
      </c>
      <c r="S443" s="50" t="s">
        <v>14454</v>
      </c>
      <c r="T443" s="117">
        <v>4601.0</v>
      </c>
      <c r="U443" s="50" t="s">
        <v>17994</v>
      </c>
      <c r="V443" s="50" t="s">
        <v>17995</v>
      </c>
      <c r="W443" s="117">
        <v>444.0</v>
      </c>
    </row>
    <row r="444">
      <c r="A444" s="50" t="s">
        <v>17990</v>
      </c>
      <c r="B444" s="50" t="s">
        <v>6876</v>
      </c>
      <c r="C444" s="50" t="s">
        <v>6877</v>
      </c>
      <c r="D444" s="50" t="s">
        <v>8493</v>
      </c>
      <c r="E444" s="144">
        <v>43760.0</v>
      </c>
      <c r="F444" s="50" t="s">
        <v>17996</v>
      </c>
      <c r="G444" s="50">
        <v>59.0</v>
      </c>
      <c r="H444" s="50">
        <v>1.0</v>
      </c>
      <c r="I444" s="50">
        <v>99.0</v>
      </c>
      <c r="J444" s="116"/>
      <c r="K444" s="116"/>
      <c r="L444" s="50" t="s">
        <v>1404</v>
      </c>
      <c r="M444" s="50" t="s">
        <v>1404</v>
      </c>
      <c r="N444" s="50">
        <v>1.0</v>
      </c>
      <c r="O444" s="50" t="s">
        <v>17935</v>
      </c>
      <c r="P444" s="116"/>
      <c r="Q444" s="116"/>
      <c r="R444" s="50">
        <v>5.0</v>
      </c>
      <c r="S444" s="50" t="s">
        <v>14454</v>
      </c>
      <c r="T444" s="117">
        <v>4602.0</v>
      </c>
      <c r="U444" s="50" t="s">
        <v>18002</v>
      </c>
      <c r="V444" s="50" t="s">
        <v>18003</v>
      </c>
      <c r="W444" s="117">
        <v>445.0</v>
      </c>
    </row>
    <row r="445">
      <c r="A445" s="50" t="s">
        <v>17996</v>
      </c>
      <c r="B445" s="50" t="s">
        <v>6876</v>
      </c>
      <c r="C445" s="50" t="s">
        <v>6877</v>
      </c>
      <c r="D445" s="50" t="s">
        <v>8493</v>
      </c>
      <c r="E445" s="144">
        <v>43760.0</v>
      </c>
      <c r="F445" s="50" t="s">
        <v>18007</v>
      </c>
      <c r="G445" s="50">
        <v>59.0</v>
      </c>
      <c r="H445" s="50">
        <v>1.0</v>
      </c>
      <c r="I445" s="50">
        <v>99.0</v>
      </c>
      <c r="J445" s="116"/>
      <c r="K445" s="116"/>
      <c r="L445" s="50" t="s">
        <v>1405</v>
      </c>
      <c r="M445" s="50" t="s">
        <v>1405</v>
      </c>
      <c r="N445" s="50">
        <v>1.0</v>
      </c>
      <c r="O445" s="50" t="s">
        <v>17935</v>
      </c>
      <c r="P445" s="116"/>
      <c r="Q445" s="116"/>
      <c r="R445" s="50">
        <v>5.0</v>
      </c>
      <c r="S445" s="50" t="s">
        <v>14454</v>
      </c>
      <c r="T445" s="117">
        <v>4603.0</v>
      </c>
      <c r="U445" s="50" t="s">
        <v>18012</v>
      </c>
      <c r="V445" s="50" t="s">
        <v>18014</v>
      </c>
      <c r="W445" s="117">
        <v>446.0</v>
      </c>
    </row>
    <row r="446">
      <c r="A446" s="50" t="s">
        <v>18007</v>
      </c>
      <c r="B446" s="50" t="s">
        <v>6876</v>
      </c>
      <c r="C446" s="50" t="s">
        <v>6877</v>
      </c>
      <c r="D446" s="50" t="s">
        <v>8493</v>
      </c>
      <c r="E446" s="144">
        <v>43760.0</v>
      </c>
      <c r="F446" s="50" t="s">
        <v>18018</v>
      </c>
      <c r="G446" s="50">
        <v>66.0</v>
      </c>
      <c r="H446" s="50">
        <v>1.0</v>
      </c>
      <c r="I446" s="50">
        <v>99.0</v>
      </c>
      <c r="J446" s="116"/>
      <c r="K446" s="116"/>
      <c r="L446" s="50" t="s">
        <v>1399</v>
      </c>
      <c r="M446" s="50" t="s">
        <v>1399</v>
      </c>
      <c r="N446" s="50">
        <v>1.0</v>
      </c>
      <c r="O446" s="50" t="s">
        <v>17935</v>
      </c>
      <c r="P446" s="116"/>
      <c r="Q446" s="116"/>
      <c r="R446" s="50">
        <v>5.0</v>
      </c>
      <c r="S446" s="50" t="s">
        <v>14454</v>
      </c>
      <c r="T446" s="117">
        <v>4604.0</v>
      </c>
      <c r="U446" s="50" t="s">
        <v>18022</v>
      </c>
      <c r="V446" s="50" t="s">
        <v>18023</v>
      </c>
      <c r="W446" s="117">
        <v>447.0</v>
      </c>
    </row>
    <row r="447">
      <c r="A447" s="50" t="s">
        <v>18018</v>
      </c>
      <c r="B447" s="50" t="s">
        <v>6876</v>
      </c>
      <c r="C447" s="50" t="s">
        <v>6877</v>
      </c>
      <c r="D447" s="50" t="s">
        <v>8493</v>
      </c>
      <c r="E447" s="144">
        <v>43760.0</v>
      </c>
      <c r="F447" s="50" t="s">
        <v>18026</v>
      </c>
      <c r="G447" s="50">
        <v>66.0</v>
      </c>
      <c r="H447" s="50">
        <v>1.0</v>
      </c>
      <c r="I447" s="50">
        <v>99.0</v>
      </c>
      <c r="J447" s="116"/>
      <c r="K447" s="116"/>
      <c r="L447" s="50" t="s">
        <v>1401</v>
      </c>
      <c r="M447" s="50" t="s">
        <v>1401</v>
      </c>
      <c r="N447" s="50">
        <v>1.0</v>
      </c>
      <c r="O447" s="50" t="s">
        <v>17935</v>
      </c>
      <c r="P447" s="116"/>
      <c r="Q447" s="116"/>
      <c r="R447" s="50">
        <v>5.0</v>
      </c>
      <c r="S447" s="50" t="s">
        <v>14454</v>
      </c>
      <c r="T447" s="117">
        <v>4605.0</v>
      </c>
      <c r="U447" s="50" t="s">
        <v>18031</v>
      </c>
      <c r="V447" s="50" t="s">
        <v>18033</v>
      </c>
      <c r="W447" s="117">
        <v>448.0</v>
      </c>
    </row>
    <row r="448">
      <c r="A448" s="50" t="s">
        <v>18035</v>
      </c>
      <c r="B448" s="50" t="s">
        <v>6876</v>
      </c>
      <c r="C448" s="50" t="s">
        <v>6877</v>
      </c>
      <c r="D448" s="50" t="s">
        <v>8493</v>
      </c>
      <c r="E448" s="144">
        <v>43760.0</v>
      </c>
      <c r="F448" s="50" t="s">
        <v>18036</v>
      </c>
      <c r="G448" s="50">
        <v>33.0</v>
      </c>
      <c r="H448" s="50">
        <v>1.0</v>
      </c>
      <c r="I448" s="50">
        <v>98.0</v>
      </c>
      <c r="J448" s="116"/>
      <c r="K448" s="116"/>
      <c r="L448" s="50" t="s">
        <v>1418</v>
      </c>
      <c r="M448" s="50" t="s">
        <v>1418</v>
      </c>
      <c r="N448" s="50">
        <v>1.0</v>
      </c>
      <c r="O448" s="50" t="s">
        <v>17935</v>
      </c>
      <c r="P448" s="116"/>
      <c r="Q448" s="116"/>
      <c r="R448" s="50">
        <v>5.0</v>
      </c>
      <c r="S448" s="50" t="s">
        <v>14454</v>
      </c>
      <c r="T448" s="117">
        <v>4606.0</v>
      </c>
      <c r="U448" s="50" t="s">
        <v>18038</v>
      </c>
      <c r="V448" s="50" t="s">
        <v>18039</v>
      </c>
      <c r="W448" s="117">
        <v>449.0</v>
      </c>
    </row>
    <row r="449">
      <c r="A449" s="50" t="s">
        <v>18036</v>
      </c>
      <c r="B449" s="50" t="s">
        <v>6876</v>
      </c>
      <c r="C449" s="50" t="s">
        <v>6877</v>
      </c>
      <c r="D449" s="50" t="s">
        <v>8493</v>
      </c>
      <c r="E449" s="144">
        <v>43760.0</v>
      </c>
      <c r="F449" s="50" t="s">
        <v>18045</v>
      </c>
      <c r="G449" s="50">
        <v>33.0</v>
      </c>
      <c r="H449" s="50">
        <v>1.0</v>
      </c>
      <c r="I449" s="50">
        <v>98.0</v>
      </c>
      <c r="J449" s="116"/>
      <c r="K449" s="116"/>
      <c r="L449" s="50" t="s">
        <v>1421</v>
      </c>
      <c r="M449" s="50" t="s">
        <v>1421</v>
      </c>
      <c r="N449" s="50">
        <v>1.0</v>
      </c>
      <c r="O449" s="50" t="s">
        <v>17935</v>
      </c>
      <c r="P449" s="116"/>
      <c r="Q449" s="116"/>
      <c r="R449" s="50">
        <v>5.0</v>
      </c>
      <c r="S449" s="50" t="s">
        <v>14454</v>
      </c>
      <c r="T449" s="117">
        <v>4607.0</v>
      </c>
      <c r="U449" s="50" t="s">
        <v>18049</v>
      </c>
      <c r="V449" s="50" t="s">
        <v>18050</v>
      </c>
      <c r="W449" s="117">
        <v>450.0</v>
      </c>
    </row>
    <row r="450">
      <c r="A450" s="50" t="s">
        <v>18051</v>
      </c>
      <c r="B450" s="50" t="s">
        <v>6876</v>
      </c>
      <c r="C450" s="50" t="s">
        <v>6877</v>
      </c>
      <c r="D450" s="50" t="s">
        <v>8493</v>
      </c>
      <c r="E450" s="144">
        <v>43762.0</v>
      </c>
      <c r="F450" s="50" t="s">
        <v>18053</v>
      </c>
      <c r="G450" s="50">
        <v>59.0</v>
      </c>
      <c r="H450" s="50">
        <v>1.0</v>
      </c>
      <c r="I450" s="50">
        <v>11.0</v>
      </c>
      <c r="J450" s="116"/>
      <c r="K450" s="116"/>
      <c r="L450" s="50" t="s">
        <v>1422</v>
      </c>
      <c r="M450" s="50" t="s">
        <v>1422</v>
      </c>
      <c r="N450" s="50">
        <v>1.0</v>
      </c>
      <c r="O450" s="50" t="s">
        <v>10658</v>
      </c>
      <c r="P450" s="116"/>
      <c r="Q450" s="116"/>
      <c r="R450" s="50">
        <v>3.0</v>
      </c>
      <c r="S450" s="50" t="s">
        <v>18057</v>
      </c>
      <c r="T450" s="117">
        <v>4651.0</v>
      </c>
      <c r="U450" s="50" t="s">
        <v>18058</v>
      </c>
      <c r="V450" s="50" t="s">
        <v>18059</v>
      </c>
      <c r="W450" s="117">
        <v>451.0</v>
      </c>
    </row>
    <row r="451">
      <c r="A451" s="50" t="s">
        <v>18053</v>
      </c>
      <c r="B451" s="50" t="s">
        <v>6876</v>
      </c>
      <c r="C451" s="50" t="s">
        <v>6877</v>
      </c>
      <c r="D451" s="50" t="s">
        <v>8493</v>
      </c>
      <c r="E451" s="144">
        <v>43762.0</v>
      </c>
      <c r="F451" s="50" t="s">
        <v>18061</v>
      </c>
      <c r="G451" s="50">
        <v>59.0</v>
      </c>
      <c r="H451" s="50">
        <v>1.0</v>
      </c>
      <c r="I451" s="50">
        <v>99.0</v>
      </c>
      <c r="J451" s="116"/>
      <c r="K451" s="116"/>
      <c r="L451" s="50" t="s">
        <v>1424</v>
      </c>
      <c r="M451" s="50" t="s">
        <v>1424</v>
      </c>
      <c r="N451" s="50">
        <v>1.0</v>
      </c>
      <c r="O451" s="50" t="s">
        <v>10658</v>
      </c>
      <c r="P451" s="116"/>
      <c r="Q451" s="116"/>
      <c r="R451" s="50">
        <v>3.0</v>
      </c>
      <c r="S451" s="50" t="s">
        <v>18057</v>
      </c>
      <c r="T451" s="117">
        <v>4652.0</v>
      </c>
      <c r="U451" s="50" t="s">
        <v>18069</v>
      </c>
      <c r="V451" s="50" t="s">
        <v>18070</v>
      </c>
      <c r="W451" s="117">
        <v>452.0</v>
      </c>
    </row>
    <row r="452">
      <c r="A452" s="50" t="s">
        <v>18071</v>
      </c>
      <c r="B452" s="50" t="s">
        <v>6876</v>
      </c>
      <c r="C452" s="50" t="s">
        <v>6877</v>
      </c>
      <c r="D452" s="50" t="s">
        <v>8493</v>
      </c>
      <c r="E452" s="144">
        <v>43762.0</v>
      </c>
      <c r="F452" s="50" t="s">
        <v>18075</v>
      </c>
      <c r="G452" s="50">
        <v>59.0</v>
      </c>
      <c r="H452" s="50">
        <v>1.0</v>
      </c>
      <c r="I452" s="50">
        <v>99.0</v>
      </c>
      <c r="J452" s="116"/>
      <c r="K452" s="116"/>
      <c r="L452" s="50" t="s">
        <v>1425</v>
      </c>
      <c r="M452" s="50" t="s">
        <v>1425</v>
      </c>
      <c r="N452" s="50">
        <v>1.0</v>
      </c>
      <c r="O452" s="50" t="s">
        <v>10658</v>
      </c>
      <c r="P452" s="116"/>
      <c r="Q452" s="116"/>
      <c r="R452" s="50">
        <v>3.0</v>
      </c>
      <c r="S452" s="50" t="s">
        <v>18057</v>
      </c>
      <c r="T452" s="117">
        <v>4653.0</v>
      </c>
      <c r="U452" s="50" t="s">
        <v>18077</v>
      </c>
      <c r="V452" s="50" t="s">
        <v>18078</v>
      </c>
      <c r="W452" s="117">
        <v>453.0</v>
      </c>
    </row>
    <row r="453">
      <c r="A453" s="50" t="s">
        <v>18075</v>
      </c>
      <c r="B453" s="50" t="s">
        <v>6876</v>
      </c>
      <c r="C453" s="50" t="s">
        <v>6877</v>
      </c>
      <c r="D453" s="50" t="s">
        <v>8493</v>
      </c>
      <c r="E453" s="144">
        <v>43762.0</v>
      </c>
      <c r="F453" s="50" t="s">
        <v>18079</v>
      </c>
      <c r="G453" s="50">
        <v>33.0</v>
      </c>
      <c r="H453" s="50">
        <v>1.0</v>
      </c>
      <c r="I453" s="50">
        <v>98.0</v>
      </c>
      <c r="J453" s="116"/>
      <c r="K453" s="116"/>
      <c r="L453" s="50" t="s">
        <v>1445</v>
      </c>
      <c r="M453" s="50" t="s">
        <v>1445</v>
      </c>
      <c r="N453" s="50">
        <v>1.0</v>
      </c>
      <c r="O453" s="50" t="s">
        <v>10658</v>
      </c>
      <c r="P453" s="116"/>
      <c r="Q453" s="116"/>
      <c r="R453" s="50">
        <v>3.0</v>
      </c>
      <c r="S453" s="50" t="s">
        <v>18057</v>
      </c>
      <c r="T453" s="117">
        <v>4654.0</v>
      </c>
      <c r="U453" s="50" t="s">
        <v>18087</v>
      </c>
      <c r="V453" s="50" t="s">
        <v>18088</v>
      </c>
      <c r="W453" s="117">
        <v>454.0</v>
      </c>
    </row>
    <row r="454">
      <c r="A454" s="50" t="s">
        <v>18079</v>
      </c>
      <c r="B454" s="50" t="s">
        <v>6876</v>
      </c>
      <c r="C454" s="50" t="s">
        <v>6877</v>
      </c>
      <c r="D454" s="50" t="s">
        <v>8493</v>
      </c>
      <c r="E454" s="144">
        <v>43762.0</v>
      </c>
      <c r="F454" s="50" t="s">
        <v>18094</v>
      </c>
      <c r="G454" s="50">
        <v>59.0</v>
      </c>
      <c r="H454" s="50">
        <v>1.0</v>
      </c>
      <c r="I454" s="50">
        <v>99.0</v>
      </c>
      <c r="J454" s="116"/>
      <c r="K454" s="116"/>
      <c r="L454" s="50" t="s">
        <v>1426</v>
      </c>
      <c r="M454" s="50" t="s">
        <v>1426</v>
      </c>
      <c r="N454" s="50">
        <v>1.0</v>
      </c>
      <c r="O454" s="50" t="s">
        <v>10658</v>
      </c>
      <c r="P454" s="116"/>
      <c r="Q454" s="116"/>
      <c r="R454" s="50">
        <v>3.0</v>
      </c>
      <c r="S454" s="50" t="s">
        <v>18057</v>
      </c>
      <c r="T454" s="117">
        <v>4655.0</v>
      </c>
      <c r="U454" s="50" t="s">
        <v>18098</v>
      </c>
      <c r="V454" s="50" t="s">
        <v>18099</v>
      </c>
      <c r="W454" s="117">
        <v>455.0</v>
      </c>
    </row>
    <row r="455">
      <c r="A455" s="50" t="s">
        <v>18094</v>
      </c>
      <c r="B455" s="50" t="s">
        <v>6876</v>
      </c>
      <c r="C455" s="50" t="s">
        <v>6877</v>
      </c>
      <c r="D455" s="50" t="s">
        <v>8493</v>
      </c>
      <c r="E455" s="144">
        <v>43762.0</v>
      </c>
      <c r="F455" s="50" t="s">
        <v>18101</v>
      </c>
      <c r="G455" s="50">
        <v>59.0</v>
      </c>
      <c r="H455" s="50">
        <v>1.0</v>
      </c>
      <c r="I455" s="50">
        <v>99.0</v>
      </c>
      <c r="J455" s="116"/>
      <c r="K455" s="116"/>
      <c r="L455" s="50" t="s">
        <v>1428</v>
      </c>
      <c r="M455" s="50" t="s">
        <v>1428</v>
      </c>
      <c r="N455" s="50">
        <v>1.0</v>
      </c>
      <c r="O455" s="50" t="s">
        <v>10658</v>
      </c>
      <c r="P455" s="116"/>
      <c r="Q455" s="116"/>
      <c r="R455" s="50">
        <v>3.0</v>
      </c>
      <c r="S455" s="50" t="s">
        <v>18057</v>
      </c>
      <c r="T455" s="117">
        <v>4656.0</v>
      </c>
      <c r="U455" s="50" t="s">
        <v>18107</v>
      </c>
      <c r="V455" s="50" t="s">
        <v>18108</v>
      </c>
      <c r="W455" s="117">
        <v>456.0</v>
      </c>
    </row>
    <row r="456">
      <c r="A456" s="50" t="s">
        <v>18101</v>
      </c>
      <c r="B456" s="50" t="s">
        <v>6876</v>
      </c>
      <c r="C456" s="50" t="s">
        <v>6877</v>
      </c>
      <c r="D456" s="50" t="s">
        <v>8493</v>
      </c>
      <c r="E456" s="144">
        <v>43762.0</v>
      </c>
      <c r="F456" s="50" t="s">
        <v>18112</v>
      </c>
      <c r="G456" s="50">
        <v>59.0</v>
      </c>
      <c r="H456" s="50">
        <v>1.0</v>
      </c>
      <c r="I456" s="50">
        <v>99.0</v>
      </c>
      <c r="J456" s="116"/>
      <c r="K456" s="116"/>
      <c r="L456" s="50" t="s">
        <v>1429</v>
      </c>
      <c r="M456" s="50" t="s">
        <v>1429</v>
      </c>
      <c r="N456" s="50">
        <v>1.0</v>
      </c>
      <c r="O456" s="50" t="s">
        <v>10658</v>
      </c>
      <c r="P456" s="116"/>
      <c r="Q456" s="116"/>
      <c r="R456" s="50">
        <v>3.0</v>
      </c>
      <c r="S456" s="50" t="s">
        <v>18057</v>
      </c>
      <c r="T456" s="117">
        <v>4657.0</v>
      </c>
      <c r="U456" s="50" t="s">
        <v>18116</v>
      </c>
      <c r="V456" s="50" t="s">
        <v>18118</v>
      </c>
      <c r="W456" s="117">
        <v>457.0</v>
      </c>
    </row>
    <row r="457">
      <c r="A457" s="50" t="s">
        <v>18112</v>
      </c>
      <c r="B457" s="50" t="s">
        <v>6876</v>
      </c>
      <c r="C457" s="50" t="s">
        <v>6877</v>
      </c>
      <c r="D457" s="50" t="s">
        <v>8493</v>
      </c>
      <c r="E457" s="144">
        <v>43762.0</v>
      </c>
      <c r="F457" s="50" t="s">
        <v>18119</v>
      </c>
      <c r="G457" s="50">
        <v>59.0</v>
      </c>
      <c r="H457" s="50">
        <v>1.0</v>
      </c>
      <c r="I457" s="50">
        <v>11.0</v>
      </c>
      <c r="J457" s="116"/>
      <c r="K457" s="116"/>
      <c r="L457" s="50" t="s">
        <v>1430</v>
      </c>
      <c r="M457" s="50" t="s">
        <v>1430</v>
      </c>
      <c r="N457" s="50">
        <v>1.0</v>
      </c>
      <c r="O457" s="50" t="s">
        <v>10658</v>
      </c>
      <c r="P457" s="116"/>
      <c r="Q457" s="116"/>
      <c r="R457" s="50">
        <v>3.0</v>
      </c>
      <c r="S457" s="50" t="s">
        <v>18057</v>
      </c>
      <c r="T457" s="117">
        <v>4658.0</v>
      </c>
      <c r="U457" s="50" t="s">
        <v>18126</v>
      </c>
      <c r="V457" s="50" t="s">
        <v>18128</v>
      </c>
      <c r="W457" s="117">
        <v>458.0</v>
      </c>
    </row>
    <row r="458">
      <c r="A458" s="50" t="s">
        <v>18129</v>
      </c>
      <c r="B458" s="50" t="s">
        <v>6876</v>
      </c>
      <c r="C458" s="50" t="s">
        <v>6877</v>
      </c>
      <c r="D458" s="50" t="s">
        <v>8493</v>
      </c>
      <c r="E458" s="144">
        <v>43762.0</v>
      </c>
      <c r="F458" s="50" t="s">
        <v>18130</v>
      </c>
      <c r="G458" s="50">
        <v>59.0</v>
      </c>
      <c r="H458" s="50">
        <v>1.0</v>
      </c>
      <c r="I458" s="50">
        <v>99.0</v>
      </c>
      <c r="J458" s="116"/>
      <c r="K458" s="116"/>
      <c r="L458" s="50" t="s">
        <v>1432</v>
      </c>
      <c r="M458" s="50" t="s">
        <v>1432</v>
      </c>
      <c r="N458" s="50">
        <v>1.0</v>
      </c>
      <c r="O458" s="50" t="s">
        <v>10658</v>
      </c>
      <c r="P458" s="116"/>
      <c r="Q458" s="116"/>
      <c r="R458" s="50">
        <v>3.0</v>
      </c>
      <c r="S458" s="50" t="s">
        <v>18057</v>
      </c>
      <c r="T458" s="117">
        <v>4659.0</v>
      </c>
      <c r="U458" s="50" t="s">
        <v>18134</v>
      </c>
      <c r="V458" s="50" t="s">
        <v>18135</v>
      </c>
      <c r="W458" s="117">
        <v>459.0</v>
      </c>
    </row>
    <row r="459">
      <c r="A459" s="50" t="s">
        <v>18130</v>
      </c>
      <c r="B459" s="50" t="s">
        <v>6876</v>
      </c>
      <c r="C459" s="50" t="s">
        <v>6877</v>
      </c>
      <c r="D459" s="50" t="s">
        <v>8493</v>
      </c>
      <c r="E459" s="144">
        <v>43762.0</v>
      </c>
      <c r="F459" s="50" t="s">
        <v>18140</v>
      </c>
      <c r="G459" s="50">
        <v>59.0</v>
      </c>
      <c r="H459" s="50">
        <v>1.0</v>
      </c>
      <c r="I459" s="50">
        <v>99.0</v>
      </c>
      <c r="J459" s="116"/>
      <c r="K459" s="116"/>
      <c r="L459" s="50" t="s">
        <v>1433</v>
      </c>
      <c r="M459" s="50" t="s">
        <v>1433</v>
      </c>
      <c r="N459" s="50">
        <v>1.0</v>
      </c>
      <c r="O459" s="50" t="s">
        <v>10658</v>
      </c>
      <c r="P459" s="116"/>
      <c r="Q459" s="116"/>
      <c r="R459" s="50">
        <v>3.0</v>
      </c>
      <c r="S459" s="50" t="s">
        <v>18057</v>
      </c>
      <c r="T459" s="117">
        <v>4660.0</v>
      </c>
      <c r="U459" s="50" t="s">
        <v>18146</v>
      </c>
      <c r="V459" s="50" t="s">
        <v>18147</v>
      </c>
      <c r="W459" s="117">
        <v>460.0</v>
      </c>
    </row>
    <row r="460">
      <c r="A460" s="50" t="s">
        <v>18140</v>
      </c>
      <c r="B460" s="50" t="s">
        <v>6876</v>
      </c>
      <c r="C460" s="50" t="s">
        <v>6877</v>
      </c>
      <c r="D460" s="50" t="s">
        <v>8493</v>
      </c>
      <c r="E460" s="144">
        <v>43762.0</v>
      </c>
      <c r="F460" s="50" t="s">
        <v>18148</v>
      </c>
      <c r="G460" s="50">
        <v>59.0</v>
      </c>
      <c r="H460" s="50">
        <v>1.0</v>
      </c>
      <c r="I460" s="50">
        <v>11.0</v>
      </c>
      <c r="J460" s="116"/>
      <c r="K460" s="116"/>
      <c r="L460" s="50" t="s">
        <v>1434</v>
      </c>
      <c r="M460" s="50" t="s">
        <v>1434</v>
      </c>
      <c r="N460" s="50">
        <v>1.0</v>
      </c>
      <c r="O460" s="50" t="s">
        <v>10658</v>
      </c>
      <c r="P460" s="116"/>
      <c r="Q460" s="116"/>
      <c r="R460" s="50">
        <v>3.0</v>
      </c>
      <c r="S460" s="50" t="s">
        <v>18057</v>
      </c>
      <c r="T460" s="117">
        <v>4661.0</v>
      </c>
      <c r="U460" s="50" t="s">
        <v>18156</v>
      </c>
      <c r="V460" s="50" t="s">
        <v>18157</v>
      </c>
      <c r="W460" s="117">
        <v>461.0</v>
      </c>
    </row>
    <row r="461">
      <c r="A461" s="50" t="s">
        <v>18148</v>
      </c>
      <c r="B461" s="50" t="s">
        <v>6876</v>
      </c>
      <c r="C461" s="50" t="s">
        <v>6877</v>
      </c>
      <c r="D461" s="50" t="s">
        <v>8493</v>
      </c>
      <c r="E461" s="144">
        <v>43762.0</v>
      </c>
      <c r="F461" s="50" t="s">
        <v>18158</v>
      </c>
      <c r="G461" s="50">
        <v>59.0</v>
      </c>
      <c r="H461" s="50">
        <v>1.0</v>
      </c>
      <c r="I461" s="50">
        <v>99.0</v>
      </c>
      <c r="J461" s="116"/>
      <c r="K461" s="116"/>
      <c r="L461" s="50" t="s">
        <v>1435</v>
      </c>
      <c r="M461" s="50" t="s">
        <v>1435</v>
      </c>
      <c r="N461" s="50">
        <v>1.0</v>
      </c>
      <c r="O461" s="50" t="s">
        <v>10658</v>
      </c>
      <c r="P461" s="116"/>
      <c r="Q461" s="116"/>
      <c r="R461" s="50">
        <v>3.0</v>
      </c>
      <c r="S461" s="50" t="s">
        <v>18057</v>
      </c>
      <c r="T461" s="117">
        <v>4662.0</v>
      </c>
      <c r="U461" s="50" t="s">
        <v>18161</v>
      </c>
      <c r="V461" s="50" t="s">
        <v>18163</v>
      </c>
      <c r="W461" s="117">
        <v>462.0</v>
      </c>
    </row>
    <row r="462">
      <c r="A462" s="50" t="s">
        <v>18158</v>
      </c>
      <c r="B462" s="50" t="s">
        <v>6876</v>
      </c>
      <c r="C462" s="50" t="s">
        <v>6877</v>
      </c>
      <c r="D462" s="50" t="s">
        <v>8493</v>
      </c>
      <c r="E462" s="144">
        <v>43762.0</v>
      </c>
      <c r="F462" s="50" t="s">
        <v>18166</v>
      </c>
      <c r="G462" s="50">
        <v>59.0</v>
      </c>
      <c r="H462" s="50">
        <v>1.0</v>
      </c>
      <c r="I462" s="50">
        <v>99.0</v>
      </c>
      <c r="J462" s="116"/>
      <c r="K462" s="116"/>
      <c r="L462" s="50" t="s">
        <v>1437</v>
      </c>
      <c r="M462" s="50" t="s">
        <v>1437</v>
      </c>
      <c r="N462" s="50">
        <v>1.0</v>
      </c>
      <c r="O462" s="50" t="s">
        <v>18168</v>
      </c>
      <c r="P462" s="116"/>
      <c r="Q462" s="116"/>
      <c r="R462" s="50">
        <v>3.0</v>
      </c>
      <c r="S462" s="50" t="s">
        <v>18057</v>
      </c>
      <c r="T462" s="117">
        <v>4663.0</v>
      </c>
      <c r="U462" s="50" t="s">
        <v>18171</v>
      </c>
      <c r="V462" s="50" t="s">
        <v>18173</v>
      </c>
      <c r="W462" s="117">
        <v>463.0</v>
      </c>
    </row>
    <row r="463">
      <c r="A463" s="50" t="s">
        <v>18166</v>
      </c>
      <c r="B463" s="50" t="s">
        <v>6876</v>
      </c>
      <c r="C463" s="50" t="s">
        <v>6877</v>
      </c>
      <c r="D463" s="50" t="s">
        <v>8493</v>
      </c>
      <c r="E463" s="144">
        <v>43762.0</v>
      </c>
      <c r="F463" s="50" t="s">
        <v>18175</v>
      </c>
      <c r="G463" s="50">
        <v>59.0</v>
      </c>
      <c r="H463" s="50">
        <v>1.0</v>
      </c>
      <c r="I463" s="50">
        <v>11.0</v>
      </c>
      <c r="J463" s="116"/>
      <c r="K463" s="116"/>
      <c r="L463" s="50" t="s">
        <v>1438</v>
      </c>
      <c r="M463" s="50" t="s">
        <v>1438</v>
      </c>
      <c r="N463" s="50">
        <v>1.0</v>
      </c>
      <c r="O463" s="50" t="s">
        <v>10658</v>
      </c>
      <c r="P463" s="116"/>
      <c r="Q463" s="116"/>
      <c r="R463" s="50">
        <v>3.0</v>
      </c>
      <c r="S463" s="50" t="s">
        <v>18057</v>
      </c>
      <c r="T463" s="117">
        <v>4664.0</v>
      </c>
      <c r="U463" s="50" t="s">
        <v>18181</v>
      </c>
      <c r="V463" s="50" t="s">
        <v>18182</v>
      </c>
      <c r="W463" s="117">
        <v>464.0</v>
      </c>
    </row>
    <row r="464">
      <c r="A464" s="50" t="s">
        <v>18186</v>
      </c>
      <c r="B464" s="50" t="s">
        <v>6876</v>
      </c>
      <c r="C464" s="50" t="s">
        <v>6877</v>
      </c>
      <c r="D464" s="50" t="s">
        <v>8493</v>
      </c>
      <c r="E464" s="144">
        <v>43762.0</v>
      </c>
      <c r="F464" s="50" t="s">
        <v>18188</v>
      </c>
      <c r="G464" s="50">
        <v>59.0</v>
      </c>
      <c r="H464" s="50">
        <v>1.0</v>
      </c>
      <c r="I464" s="50">
        <v>99.0</v>
      </c>
      <c r="J464" s="116"/>
      <c r="K464" s="116"/>
      <c r="L464" s="50" t="s">
        <v>1439</v>
      </c>
      <c r="M464" s="50" t="s">
        <v>1439</v>
      </c>
      <c r="N464" s="50">
        <v>1.0</v>
      </c>
      <c r="O464" s="50" t="s">
        <v>10658</v>
      </c>
      <c r="P464" s="116"/>
      <c r="Q464" s="116"/>
      <c r="R464" s="50">
        <v>3.0</v>
      </c>
      <c r="S464" s="50" t="s">
        <v>18057</v>
      </c>
      <c r="T464" s="117">
        <v>4665.0</v>
      </c>
      <c r="U464" s="50" t="s">
        <v>18193</v>
      </c>
      <c r="V464" s="50" t="s">
        <v>18194</v>
      </c>
      <c r="W464" s="117">
        <v>465.0</v>
      </c>
    </row>
    <row r="465">
      <c r="A465" s="50" t="s">
        <v>18188</v>
      </c>
      <c r="B465" s="50" t="s">
        <v>6876</v>
      </c>
      <c r="C465" s="50" t="s">
        <v>6877</v>
      </c>
      <c r="D465" s="50" t="s">
        <v>8493</v>
      </c>
      <c r="E465" s="144">
        <v>43762.0</v>
      </c>
      <c r="F465" s="50" t="s">
        <v>18195</v>
      </c>
      <c r="G465" s="50">
        <v>59.0</v>
      </c>
      <c r="H465" s="50">
        <v>1.0</v>
      </c>
      <c r="I465" s="50">
        <v>99.0</v>
      </c>
      <c r="J465" s="116"/>
      <c r="K465" s="116"/>
      <c r="L465" s="50" t="s">
        <v>1441</v>
      </c>
      <c r="M465" s="50" t="s">
        <v>1441</v>
      </c>
      <c r="N465" s="50">
        <v>1.0</v>
      </c>
      <c r="O465" s="50" t="s">
        <v>10658</v>
      </c>
      <c r="P465" s="116"/>
      <c r="Q465" s="116"/>
      <c r="R465" s="50">
        <v>3.0</v>
      </c>
      <c r="S465" s="50" t="s">
        <v>18057</v>
      </c>
      <c r="T465" s="117">
        <v>4666.0</v>
      </c>
      <c r="U465" s="50" t="s">
        <v>18197</v>
      </c>
      <c r="V465" s="50" t="s">
        <v>18198</v>
      </c>
      <c r="W465" s="117">
        <v>466.0</v>
      </c>
    </row>
    <row r="466">
      <c r="A466" s="50" t="s">
        <v>18195</v>
      </c>
      <c r="B466" s="50" t="s">
        <v>6876</v>
      </c>
      <c r="C466" s="50" t="s">
        <v>6877</v>
      </c>
      <c r="D466" s="50" t="s">
        <v>8493</v>
      </c>
      <c r="E466" s="144">
        <v>43762.0</v>
      </c>
      <c r="F466" s="50" t="s">
        <v>18205</v>
      </c>
      <c r="G466" s="50">
        <v>33.0</v>
      </c>
      <c r="H466" s="50">
        <v>1.0</v>
      </c>
      <c r="I466" s="50">
        <v>98.0</v>
      </c>
      <c r="J466" s="116"/>
      <c r="K466" s="116"/>
      <c r="L466" s="50" t="s">
        <v>1442</v>
      </c>
      <c r="M466" s="50" t="s">
        <v>1442</v>
      </c>
      <c r="N466" s="50">
        <v>1.0</v>
      </c>
      <c r="O466" s="50" t="s">
        <v>10658</v>
      </c>
      <c r="P466" s="116"/>
      <c r="Q466" s="116"/>
      <c r="R466" s="50">
        <v>3.0</v>
      </c>
      <c r="S466" s="50" t="s">
        <v>18057</v>
      </c>
      <c r="T466" s="117">
        <v>4667.0</v>
      </c>
      <c r="U466" s="50" t="s">
        <v>18209</v>
      </c>
      <c r="V466" s="50" t="s">
        <v>18210</v>
      </c>
      <c r="W466" s="117">
        <v>467.0</v>
      </c>
    </row>
    <row r="467">
      <c r="A467" s="50" t="s">
        <v>18211</v>
      </c>
      <c r="B467" s="50" t="s">
        <v>6876</v>
      </c>
      <c r="C467" s="50" t="s">
        <v>6877</v>
      </c>
      <c r="D467" s="50" t="s">
        <v>8493</v>
      </c>
      <c r="E467" s="144">
        <v>43763.0</v>
      </c>
      <c r="F467" s="50" t="s">
        <v>18213</v>
      </c>
      <c r="G467" s="50">
        <v>57.0</v>
      </c>
      <c r="H467" s="50">
        <v>1.0</v>
      </c>
      <c r="I467" s="50">
        <v>12.0</v>
      </c>
      <c r="J467" s="116"/>
      <c r="K467" s="116"/>
      <c r="L467" s="50" t="s">
        <v>1446</v>
      </c>
      <c r="M467" s="50" t="s">
        <v>1446</v>
      </c>
      <c r="N467" s="50">
        <v>1.0</v>
      </c>
      <c r="O467" s="50" t="s">
        <v>10660</v>
      </c>
      <c r="P467" s="116"/>
      <c r="Q467" s="50" t="s">
        <v>18218</v>
      </c>
      <c r="R467" s="50">
        <v>5.0</v>
      </c>
      <c r="S467" s="50" t="s">
        <v>18057</v>
      </c>
      <c r="T467" s="117">
        <v>4696.0</v>
      </c>
      <c r="U467" s="50" t="s">
        <v>18219</v>
      </c>
      <c r="V467" s="50" t="s">
        <v>18220</v>
      </c>
      <c r="W467" s="117">
        <v>468.0</v>
      </c>
    </row>
    <row r="468">
      <c r="A468" s="50" t="s">
        <v>18221</v>
      </c>
      <c r="B468" s="50" t="s">
        <v>6876</v>
      </c>
      <c r="C468" s="50" t="s">
        <v>6877</v>
      </c>
      <c r="D468" s="50" t="s">
        <v>8493</v>
      </c>
      <c r="E468" s="144">
        <v>43763.0</v>
      </c>
      <c r="F468" s="50" t="s">
        <v>18222</v>
      </c>
      <c r="G468" s="50">
        <v>57.0</v>
      </c>
      <c r="H468" s="50">
        <v>1.0</v>
      </c>
      <c r="I468" s="50">
        <v>99.0</v>
      </c>
      <c r="J468" s="116"/>
      <c r="K468" s="116"/>
      <c r="L468" s="50" t="s">
        <v>1448</v>
      </c>
      <c r="M468" s="50" t="s">
        <v>1448</v>
      </c>
      <c r="N468" s="50">
        <v>1.0</v>
      </c>
      <c r="O468" s="50" t="s">
        <v>10660</v>
      </c>
      <c r="P468" s="116"/>
      <c r="Q468" s="50" t="s">
        <v>18227</v>
      </c>
      <c r="R468" s="50">
        <v>5.0</v>
      </c>
      <c r="S468" s="50" t="s">
        <v>18057</v>
      </c>
      <c r="T468" s="117">
        <v>4697.0</v>
      </c>
      <c r="U468" s="50" t="s">
        <v>18229</v>
      </c>
      <c r="V468" s="50" t="s">
        <v>18230</v>
      </c>
      <c r="W468" s="117">
        <v>469.0</v>
      </c>
    </row>
    <row r="469">
      <c r="A469" s="50" t="s">
        <v>18222</v>
      </c>
      <c r="B469" s="50" t="s">
        <v>6876</v>
      </c>
      <c r="C469" s="50" t="s">
        <v>6877</v>
      </c>
      <c r="D469" s="50" t="s">
        <v>8493</v>
      </c>
      <c r="E469" s="144">
        <v>43763.0</v>
      </c>
      <c r="F469" s="50" t="s">
        <v>18231</v>
      </c>
      <c r="G469" s="50">
        <v>55.0</v>
      </c>
      <c r="H469" s="50">
        <v>1.0</v>
      </c>
      <c r="I469" s="50">
        <v>99.0</v>
      </c>
      <c r="J469" s="116"/>
      <c r="K469" s="116"/>
      <c r="L469" s="50" t="s">
        <v>1451</v>
      </c>
      <c r="M469" s="50" t="s">
        <v>1451</v>
      </c>
      <c r="N469" s="50">
        <v>1.0</v>
      </c>
      <c r="O469" s="50" t="s">
        <v>10660</v>
      </c>
      <c r="P469" s="116"/>
      <c r="Q469" s="50" t="s">
        <v>18237</v>
      </c>
      <c r="R469" s="50">
        <v>5.0</v>
      </c>
      <c r="S469" s="50" t="s">
        <v>18057</v>
      </c>
      <c r="T469" s="117">
        <v>4698.0</v>
      </c>
      <c r="U469" s="50" t="s">
        <v>18239</v>
      </c>
      <c r="V469" s="50" t="s">
        <v>18240</v>
      </c>
      <c r="W469" s="117">
        <v>470.0</v>
      </c>
    </row>
    <row r="470">
      <c r="A470" s="50" t="s">
        <v>18231</v>
      </c>
      <c r="B470" s="50" t="s">
        <v>6876</v>
      </c>
      <c r="C470" s="50" t="s">
        <v>6877</v>
      </c>
      <c r="D470" s="50" t="s">
        <v>8493</v>
      </c>
      <c r="E470" s="144">
        <v>43763.0</v>
      </c>
      <c r="F470" s="50" t="s">
        <v>18243</v>
      </c>
      <c r="G470" s="50">
        <v>55.0</v>
      </c>
      <c r="H470" s="50">
        <v>1.0</v>
      </c>
      <c r="I470" s="50">
        <v>99.0</v>
      </c>
      <c r="J470" s="116"/>
      <c r="K470" s="116"/>
      <c r="L470" s="50" t="s">
        <v>1455</v>
      </c>
      <c r="M470" s="50" t="s">
        <v>1455</v>
      </c>
      <c r="N470" s="50">
        <v>1.0</v>
      </c>
      <c r="O470" s="50" t="s">
        <v>10660</v>
      </c>
      <c r="P470" s="116"/>
      <c r="Q470" s="50" t="s">
        <v>18248</v>
      </c>
      <c r="R470" s="50">
        <v>5.0</v>
      </c>
      <c r="S470" s="50" t="s">
        <v>18057</v>
      </c>
      <c r="T470" s="117">
        <v>4699.0</v>
      </c>
      <c r="U470" s="50" t="s">
        <v>18250</v>
      </c>
      <c r="V470" s="50" t="s">
        <v>18251</v>
      </c>
      <c r="W470" s="117">
        <v>471.0</v>
      </c>
    </row>
    <row r="471">
      <c r="A471" s="50" t="s">
        <v>18243</v>
      </c>
      <c r="B471" s="50" t="s">
        <v>6876</v>
      </c>
      <c r="C471" s="50" t="s">
        <v>6877</v>
      </c>
      <c r="D471" s="50" t="s">
        <v>8493</v>
      </c>
      <c r="E471" s="144">
        <v>43763.0</v>
      </c>
      <c r="F471" s="50" t="s">
        <v>18253</v>
      </c>
      <c r="G471" s="50">
        <v>33.0</v>
      </c>
      <c r="H471" s="50">
        <v>1.0</v>
      </c>
      <c r="I471" s="50">
        <v>98.0</v>
      </c>
      <c r="J471" s="116"/>
      <c r="K471" s="116"/>
      <c r="L471" s="50" t="s">
        <v>1458</v>
      </c>
      <c r="M471" s="50" t="s">
        <v>1458</v>
      </c>
      <c r="N471" s="50">
        <v>1.0</v>
      </c>
      <c r="O471" s="50" t="s">
        <v>10660</v>
      </c>
      <c r="P471" s="116"/>
      <c r="Q471" s="116"/>
      <c r="R471" s="50">
        <v>5.0</v>
      </c>
      <c r="S471" s="50" t="s">
        <v>18057</v>
      </c>
      <c r="T471" s="117">
        <v>4700.0</v>
      </c>
      <c r="U471" s="50" t="s">
        <v>18259</v>
      </c>
      <c r="V471" s="50" t="s">
        <v>18260</v>
      </c>
      <c r="W471" s="117">
        <v>472.0</v>
      </c>
    </row>
    <row r="472">
      <c r="A472" s="50" t="s">
        <v>18253</v>
      </c>
      <c r="B472" s="50" t="s">
        <v>6876</v>
      </c>
      <c r="C472" s="50" t="s">
        <v>6877</v>
      </c>
      <c r="D472" s="50" t="s">
        <v>8493</v>
      </c>
      <c r="E472" s="144">
        <v>43763.0</v>
      </c>
      <c r="F472" s="50" t="s">
        <v>18264</v>
      </c>
      <c r="G472" s="50">
        <v>58.0</v>
      </c>
      <c r="H472" s="50">
        <v>1.0</v>
      </c>
      <c r="I472" s="50">
        <v>14.0</v>
      </c>
      <c r="J472" s="50">
        <v>141.0</v>
      </c>
      <c r="K472" s="116"/>
      <c r="L472" s="50" t="s">
        <v>224</v>
      </c>
      <c r="M472" s="50" t="s">
        <v>224</v>
      </c>
      <c r="N472" s="50">
        <v>1.0</v>
      </c>
      <c r="O472" s="50" t="s">
        <v>10660</v>
      </c>
      <c r="P472" s="116"/>
      <c r="Q472" s="50" t="s">
        <v>18268</v>
      </c>
      <c r="R472" s="50">
        <v>5.0</v>
      </c>
      <c r="S472" s="50" t="s">
        <v>18057</v>
      </c>
      <c r="T472" s="117">
        <v>4701.0</v>
      </c>
      <c r="U472" s="50" t="s">
        <v>18270</v>
      </c>
      <c r="V472" s="50" t="s">
        <v>18272</v>
      </c>
      <c r="W472" s="117">
        <v>473.0</v>
      </c>
    </row>
    <row r="473">
      <c r="A473" s="50" t="s">
        <v>18264</v>
      </c>
      <c r="B473" s="50" t="s">
        <v>6876</v>
      </c>
      <c r="C473" s="50" t="s">
        <v>6877</v>
      </c>
      <c r="D473" s="50" t="s">
        <v>8493</v>
      </c>
      <c r="E473" s="144">
        <v>43763.0</v>
      </c>
      <c r="F473" s="50" t="s">
        <v>18275</v>
      </c>
      <c r="G473" s="50">
        <v>58.0</v>
      </c>
      <c r="H473" s="50">
        <v>1.0</v>
      </c>
      <c r="I473" s="50">
        <v>14.0</v>
      </c>
      <c r="J473" s="50">
        <v>142.0</v>
      </c>
      <c r="K473" s="116"/>
      <c r="L473" s="50" t="s">
        <v>226</v>
      </c>
      <c r="M473" s="50" t="s">
        <v>226</v>
      </c>
      <c r="N473" s="50">
        <v>1.0</v>
      </c>
      <c r="O473" s="50" t="s">
        <v>10660</v>
      </c>
      <c r="P473" s="116"/>
      <c r="Q473" s="50" t="s">
        <v>18268</v>
      </c>
      <c r="R473" s="50">
        <v>5.0</v>
      </c>
      <c r="S473" s="50" t="s">
        <v>18057</v>
      </c>
      <c r="T473" s="117">
        <v>4702.0</v>
      </c>
      <c r="U473" s="50" t="s">
        <v>18280</v>
      </c>
      <c r="V473" s="50" t="s">
        <v>18281</v>
      </c>
      <c r="W473" s="117">
        <v>474.0</v>
      </c>
    </row>
    <row r="474">
      <c r="A474" s="50" t="s">
        <v>18275</v>
      </c>
      <c r="B474" s="50" t="s">
        <v>6876</v>
      </c>
      <c r="C474" s="50" t="s">
        <v>6877</v>
      </c>
      <c r="D474" s="50" t="s">
        <v>8493</v>
      </c>
      <c r="E474" s="144">
        <v>43763.0</v>
      </c>
      <c r="F474" s="50" t="s">
        <v>18284</v>
      </c>
      <c r="G474" s="50">
        <v>58.0</v>
      </c>
      <c r="H474" s="50">
        <v>1.0</v>
      </c>
      <c r="I474" s="50">
        <v>14.0</v>
      </c>
      <c r="J474" s="50">
        <v>143.0</v>
      </c>
      <c r="K474" s="116"/>
      <c r="L474" s="50" t="s">
        <v>228</v>
      </c>
      <c r="M474" s="50" t="s">
        <v>228</v>
      </c>
      <c r="N474" s="50">
        <v>1.0</v>
      </c>
      <c r="O474" s="50" t="s">
        <v>10660</v>
      </c>
      <c r="P474" s="116"/>
      <c r="Q474" s="50" t="s">
        <v>18268</v>
      </c>
      <c r="R474" s="50">
        <v>5.0</v>
      </c>
      <c r="S474" s="50" t="s">
        <v>18057</v>
      </c>
      <c r="T474" s="117">
        <v>4703.0</v>
      </c>
      <c r="U474" s="50" t="s">
        <v>18290</v>
      </c>
      <c r="V474" s="50" t="s">
        <v>18291</v>
      </c>
      <c r="W474" s="117">
        <v>475.0</v>
      </c>
    </row>
    <row r="475">
      <c r="A475" s="50" t="s">
        <v>18284</v>
      </c>
      <c r="B475" s="50" t="s">
        <v>6876</v>
      </c>
      <c r="C475" s="50" t="s">
        <v>6877</v>
      </c>
      <c r="D475" s="50" t="s">
        <v>8493</v>
      </c>
      <c r="E475" s="144">
        <v>43763.0</v>
      </c>
      <c r="F475" s="50" t="s">
        <v>18293</v>
      </c>
      <c r="G475" s="50">
        <v>58.0</v>
      </c>
      <c r="H475" s="50">
        <v>1.0</v>
      </c>
      <c r="I475" s="50">
        <v>14.0</v>
      </c>
      <c r="J475" s="50">
        <v>144.0</v>
      </c>
      <c r="K475" s="116"/>
      <c r="L475" s="50" t="s">
        <v>230</v>
      </c>
      <c r="M475" s="50" t="s">
        <v>230</v>
      </c>
      <c r="N475" s="50">
        <v>1.0</v>
      </c>
      <c r="O475" s="50" t="s">
        <v>10660</v>
      </c>
      <c r="P475" s="116"/>
      <c r="Q475" s="50" t="s">
        <v>18268</v>
      </c>
      <c r="R475" s="50">
        <v>5.0</v>
      </c>
      <c r="S475" s="50" t="s">
        <v>18057</v>
      </c>
      <c r="T475" s="117">
        <v>4704.0</v>
      </c>
      <c r="U475" s="50" t="s">
        <v>18296</v>
      </c>
      <c r="V475" s="50" t="s">
        <v>18298</v>
      </c>
      <c r="W475" s="117">
        <v>476.0</v>
      </c>
    </row>
    <row r="476">
      <c r="A476" s="50" t="s">
        <v>18293</v>
      </c>
      <c r="B476" s="50" t="s">
        <v>6876</v>
      </c>
      <c r="C476" s="50" t="s">
        <v>6877</v>
      </c>
      <c r="D476" s="50" t="s">
        <v>8493</v>
      </c>
      <c r="E476" s="144">
        <v>43763.0</v>
      </c>
      <c r="F476" s="50" t="s">
        <v>18300</v>
      </c>
      <c r="G476" s="50">
        <v>58.0</v>
      </c>
      <c r="H476" s="50">
        <v>1.0</v>
      </c>
      <c r="I476" s="50">
        <v>14.0</v>
      </c>
      <c r="J476" s="50">
        <v>145.0</v>
      </c>
      <c r="K476" s="116"/>
      <c r="L476" s="50" t="s">
        <v>232</v>
      </c>
      <c r="M476" s="50" t="s">
        <v>232</v>
      </c>
      <c r="N476" s="50">
        <v>1.0</v>
      </c>
      <c r="O476" s="50" t="s">
        <v>10660</v>
      </c>
      <c r="P476" s="116"/>
      <c r="Q476" s="50" t="s">
        <v>18268</v>
      </c>
      <c r="R476" s="50">
        <v>5.0</v>
      </c>
      <c r="S476" s="50" t="s">
        <v>18057</v>
      </c>
      <c r="T476" s="117">
        <v>4705.0</v>
      </c>
      <c r="U476" s="50" t="s">
        <v>18303</v>
      </c>
      <c r="V476" s="50" t="s">
        <v>18304</v>
      </c>
      <c r="W476" s="117">
        <v>477.0</v>
      </c>
    </row>
    <row r="477">
      <c r="A477" s="50" t="s">
        <v>18300</v>
      </c>
      <c r="B477" s="50" t="s">
        <v>6876</v>
      </c>
      <c r="C477" s="50" t="s">
        <v>6877</v>
      </c>
      <c r="D477" s="50" t="s">
        <v>8493</v>
      </c>
      <c r="E477" s="144">
        <v>43763.0</v>
      </c>
      <c r="F477" s="50" t="s">
        <v>18309</v>
      </c>
      <c r="G477" s="50">
        <v>58.0</v>
      </c>
      <c r="H477" s="50">
        <v>1.0</v>
      </c>
      <c r="I477" s="50">
        <v>99.0</v>
      </c>
      <c r="J477" s="116"/>
      <c r="K477" s="116"/>
      <c r="L477" s="50" t="s">
        <v>603</v>
      </c>
      <c r="M477" s="50" t="s">
        <v>603</v>
      </c>
      <c r="N477" s="50">
        <v>1.0</v>
      </c>
      <c r="O477" s="50" t="s">
        <v>10660</v>
      </c>
      <c r="P477" s="116"/>
      <c r="Q477" s="50" t="s">
        <v>18314</v>
      </c>
      <c r="R477" s="50">
        <v>5.0</v>
      </c>
      <c r="S477" s="50" t="s">
        <v>18057</v>
      </c>
      <c r="T477" s="117">
        <v>4706.0</v>
      </c>
      <c r="U477" s="50" t="s">
        <v>18315</v>
      </c>
      <c r="V477" s="50" t="s">
        <v>18316</v>
      </c>
      <c r="W477" s="117">
        <v>478.0</v>
      </c>
    </row>
    <row r="478">
      <c r="A478" s="50" t="s">
        <v>18317</v>
      </c>
      <c r="B478" s="50" t="s">
        <v>6876</v>
      </c>
      <c r="C478" s="50" t="s">
        <v>6877</v>
      </c>
      <c r="D478" s="50" t="s">
        <v>8493</v>
      </c>
      <c r="E478" s="144">
        <v>43763.0</v>
      </c>
      <c r="F478" s="50" t="s">
        <v>18318</v>
      </c>
      <c r="G478" s="50">
        <v>33.0</v>
      </c>
      <c r="H478" s="50">
        <v>1.0</v>
      </c>
      <c r="I478" s="50">
        <v>98.0</v>
      </c>
      <c r="J478" s="116"/>
      <c r="K478" s="116"/>
      <c r="L478" s="50" t="s">
        <v>1464</v>
      </c>
      <c r="M478" s="50" t="s">
        <v>1464</v>
      </c>
      <c r="N478" s="50">
        <v>1.0</v>
      </c>
      <c r="O478" s="50" t="s">
        <v>10660</v>
      </c>
      <c r="P478" s="116"/>
      <c r="Q478" s="116"/>
      <c r="R478" s="50">
        <v>5.0</v>
      </c>
      <c r="S478" s="50" t="s">
        <v>18057</v>
      </c>
      <c r="T478" s="117">
        <v>4707.0</v>
      </c>
      <c r="U478" s="50" t="s">
        <v>18323</v>
      </c>
      <c r="V478" s="50" t="s">
        <v>18324</v>
      </c>
      <c r="W478" s="117">
        <v>479.0</v>
      </c>
    </row>
    <row r="479">
      <c r="A479" s="50" t="s">
        <v>18318</v>
      </c>
      <c r="B479" s="50" t="s">
        <v>6876</v>
      </c>
      <c r="C479" s="50" t="s">
        <v>6877</v>
      </c>
      <c r="D479" s="50" t="s">
        <v>8493</v>
      </c>
      <c r="E479" s="144">
        <v>43763.0</v>
      </c>
      <c r="F479" s="50" t="s">
        <v>18326</v>
      </c>
      <c r="G479" s="50">
        <v>33.0</v>
      </c>
      <c r="H479" s="50">
        <v>1.0</v>
      </c>
      <c r="I479" s="50">
        <v>98.0</v>
      </c>
      <c r="J479" s="116"/>
      <c r="K479" s="116"/>
      <c r="L479" s="50" t="s">
        <v>1467</v>
      </c>
      <c r="M479" s="50" t="s">
        <v>1467</v>
      </c>
      <c r="N479" s="50">
        <v>1.0</v>
      </c>
      <c r="O479" s="50" t="s">
        <v>10660</v>
      </c>
      <c r="P479" s="116"/>
      <c r="Q479" s="116"/>
      <c r="R479" s="50">
        <v>5.0</v>
      </c>
      <c r="S479" s="50" t="s">
        <v>18057</v>
      </c>
      <c r="T479" s="117">
        <v>4708.0</v>
      </c>
      <c r="U479" s="50" t="s">
        <v>18328</v>
      </c>
      <c r="V479" s="50" t="s">
        <v>18330</v>
      </c>
      <c r="W479" s="117">
        <v>480.0</v>
      </c>
    </row>
    <row r="480">
      <c r="A480" s="50" t="s">
        <v>18331</v>
      </c>
      <c r="B480" s="50" t="s">
        <v>6876</v>
      </c>
      <c r="C480" s="50" t="s">
        <v>6877</v>
      </c>
      <c r="D480" s="50" t="s">
        <v>8493</v>
      </c>
      <c r="E480" s="144">
        <v>43770.0</v>
      </c>
      <c r="F480" s="50" t="s">
        <v>18335</v>
      </c>
      <c r="G480" s="50">
        <v>66.0</v>
      </c>
      <c r="H480" s="50">
        <v>1.0</v>
      </c>
      <c r="I480" s="50">
        <v>12.0</v>
      </c>
      <c r="J480" s="116"/>
      <c r="K480" s="116"/>
      <c r="L480" s="50" t="s">
        <v>1468</v>
      </c>
      <c r="M480" s="50" t="s">
        <v>1468</v>
      </c>
      <c r="N480" s="50">
        <v>1.0</v>
      </c>
      <c r="O480" s="50" t="s">
        <v>18339</v>
      </c>
      <c r="P480" s="116"/>
      <c r="Q480" s="116"/>
      <c r="R480" s="50">
        <v>5.0</v>
      </c>
      <c r="S480" s="50" t="s">
        <v>18057</v>
      </c>
      <c r="T480" s="117">
        <v>4801.0</v>
      </c>
      <c r="U480" s="50" t="s">
        <v>18340</v>
      </c>
      <c r="V480" s="50" t="s">
        <v>18341</v>
      </c>
      <c r="W480" s="117">
        <v>481.0</v>
      </c>
    </row>
    <row r="481">
      <c r="A481" s="50" t="s">
        <v>18335</v>
      </c>
      <c r="B481" s="50" t="s">
        <v>6876</v>
      </c>
      <c r="C481" s="50" t="s">
        <v>6877</v>
      </c>
      <c r="D481" s="50" t="s">
        <v>8493</v>
      </c>
      <c r="E481" s="144">
        <v>43770.0</v>
      </c>
      <c r="F481" s="50" t="s">
        <v>18345</v>
      </c>
      <c r="G481" s="50">
        <v>66.0</v>
      </c>
      <c r="H481" s="50">
        <v>1.0</v>
      </c>
      <c r="I481" s="50">
        <v>99.0</v>
      </c>
      <c r="J481" s="116"/>
      <c r="K481" s="116"/>
      <c r="L481" s="50" t="s">
        <v>994</v>
      </c>
      <c r="M481" s="50" t="s">
        <v>994</v>
      </c>
      <c r="N481" s="50">
        <v>1.0</v>
      </c>
      <c r="O481" s="50" t="s">
        <v>18339</v>
      </c>
      <c r="P481" s="116"/>
      <c r="Q481" s="50" t="s">
        <v>18346</v>
      </c>
      <c r="R481" s="50">
        <v>5.0</v>
      </c>
      <c r="S481" s="50" t="s">
        <v>18057</v>
      </c>
      <c r="T481" s="117">
        <v>4802.0</v>
      </c>
      <c r="U481" s="50" t="s">
        <v>18348</v>
      </c>
      <c r="V481" s="50" t="s">
        <v>18349</v>
      </c>
      <c r="W481" s="117">
        <v>482.0</v>
      </c>
    </row>
    <row r="482">
      <c r="A482" s="50" t="s">
        <v>18345</v>
      </c>
      <c r="B482" s="50" t="s">
        <v>6876</v>
      </c>
      <c r="C482" s="50" t="s">
        <v>6877</v>
      </c>
      <c r="D482" s="50" t="s">
        <v>8493</v>
      </c>
      <c r="E482" s="144">
        <v>43770.0</v>
      </c>
      <c r="F482" s="50" t="s">
        <v>18351</v>
      </c>
      <c r="G482" s="50">
        <v>66.0</v>
      </c>
      <c r="H482" s="50">
        <v>1.0</v>
      </c>
      <c r="I482" s="50">
        <v>99.0</v>
      </c>
      <c r="J482" s="116"/>
      <c r="K482" s="116"/>
      <c r="L482" s="50" t="s">
        <v>1470</v>
      </c>
      <c r="M482" s="50" t="s">
        <v>1470</v>
      </c>
      <c r="N482" s="50">
        <v>1.0</v>
      </c>
      <c r="O482" s="50" t="s">
        <v>18339</v>
      </c>
      <c r="P482" s="116"/>
      <c r="Q482" s="50" t="s">
        <v>18346</v>
      </c>
      <c r="R482" s="50">
        <v>5.0</v>
      </c>
      <c r="S482" s="50" t="s">
        <v>18057</v>
      </c>
      <c r="T482" s="117">
        <v>4803.0</v>
      </c>
      <c r="U482" s="50" t="s">
        <v>18361</v>
      </c>
      <c r="V482" s="50" t="s">
        <v>18363</v>
      </c>
      <c r="W482" s="117">
        <v>483.0</v>
      </c>
    </row>
    <row r="483">
      <c r="A483" s="50" t="s">
        <v>18351</v>
      </c>
      <c r="B483" s="50" t="s">
        <v>6876</v>
      </c>
      <c r="C483" s="50" t="s">
        <v>6877</v>
      </c>
      <c r="D483" s="50" t="s">
        <v>8493</v>
      </c>
      <c r="E483" s="144">
        <v>43770.0</v>
      </c>
      <c r="F483" s="50" t="s">
        <v>18365</v>
      </c>
      <c r="G483" s="50">
        <v>59.0</v>
      </c>
      <c r="H483" s="50">
        <v>1.0</v>
      </c>
      <c r="I483" s="50">
        <v>12.0</v>
      </c>
      <c r="J483" s="116"/>
      <c r="K483" s="116"/>
      <c r="L483" s="50" t="s">
        <v>1471</v>
      </c>
      <c r="M483" s="50" t="s">
        <v>1471</v>
      </c>
      <c r="N483" s="50">
        <v>1.0</v>
      </c>
      <c r="O483" s="50" t="s">
        <v>18339</v>
      </c>
      <c r="P483" s="116"/>
      <c r="Q483" s="116"/>
      <c r="R483" s="50">
        <v>5.0</v>
      </c>
      <c r="S483" s="50" t="s">
        <v>18057</v>
      </c>
      <c r="T483" s="117">
        <v>4804.0</v>
      </c>
      <c r="U483" s="50" t="s">
        <v>18367</v>
      </c>
      <c r="V483" s="50" t="s">
        <v>18368</v>
      </c>
      <c r="W483" s="117">
        <v>484.0</v>
      </c>
    </row>
    <row r="484">
      <c r="A484" s="50" t="s">
        <v>18365</v>
      </c>
      <c r="B484" s="50" t="s">
        <v>6876</v>
      </c>
      <c r="C484" s="50" t="s">
        <v>6877</v>
      </c>
      <c r="D484" s="50" t="s">
        <v>8493</v>
      </c>
      <c r="E484" s="144">
        <v>43770.0</v>
      </c>
      <c r="F484" s="50" t="s">
        <v>18371</v>
      </c>
      <c r="G484" s="50">
        <v>59.0</v>
      </c>
      <c r="H484" s="50">
        <v>1.0</v>
      </c>
      <c r="I484" s="50">
        <v>99.0</v>
      </c>
      <c r="J484" s="116"/>
      <c r="K484" s="116"/>
      <c r="L484" s="50" t="s">
        <v>234</v>
      </c>
      <c r="M484" s="50" t="s">
        <v>234</v>
      </c>
      <c r="N484" s="50">
        <v>1.0</v>
      </c>
      <c r="O484" s="50" t="s">
        <v>18339</v>
      </c>
      <c r="P484" s="116"/>
      <c r="Q484" s="50" t="s">
        <v>18377</v>
      </c>
      <c r="R484" s="50">
        <v>5.0</v>
      </c>
      <c r="S484" s="50" t="s">
        <v>18057</v>
      </c>
      <c r="T484" s="117">
        <v>4805.0</v>
      </c>
      <c r="U484" s="50" t="s">
        <v>18380</v>
      </c>
      <c r="V484" s="50" t="s">
        <v>18382</v>
      </c>
      <c r="W484" s="117">
        <v>485.0</v>
      </c>
    </row>
    <row r="485">
      <c r="A485" s="50" t="s">
        <v>18371</v>
      </c>
      <c r="B485" s="50" t="s">
        <v>6876</v>
      </c>
      <c r="C485" s="50" t="s">
        <v>6877</v>
      </c>
      <c r="D485" s="50" t="s">
        <v>8493</v>
      </c>
      <c r="E485" s="144">
        <v>43770.0</v>
      </c>
      <c r="F485" s="50" t="s">
        <v>18384</v>
      </c>
      <c r="G485" s="50">
        <v>59.0</v>
      </c>
      <c r="H485" s="50">
        <v>1.0</v>
      </c>
      <c r="I485" s="50">
        <v>11.0</v>
      </c>
      <c r="J485" s="116"/>
      <c r="K485" s="116"/>
      <c r="L485" s="50" t="s">
        <v>1474</v>
      </c>
      <c r="M485" s="50" t="s">
        <v>1474</v>
      </c>
      <c r="N485" s="50">
        <v>1.0</v>
      </c>
      <c r="O485" s="50" t="s">
        <v>18339</v>
      </c>
      <c r="P485" s="116"/>
      <c r="Q485" s="116"/>
      <c r="R485" s="50">
        <v>5.0</v>
      </c>
      <c r="S485" s="50" t="s">
        <v>18057</v>
      </c>
      <c r="T485" s="117">
        <v>4806.0</v>
      </c>
      <c r="U485" s="50" t="s">
        <v>18385</v>
      </c>
      <c r="V485" s="50" t="s">
        <v>18386</v>
      </c>
      <c r="W485" s="117">
        <v>486.0</v>
      </c>
    </row>
    <row r="486">
      <c r="A486" s="50" t="s">
        <v>18388</v>
      </c>
      <c r="B486" s="50" t="s">
        <v>6876</v>
      </c>
      <c r="C486" s="50" t="s">
        <v>6877</v>
      </c>
      <c r="D486" s="50" t="s">
        <v>8493</v>
      </c>
      <c r="E486" s="144">
        <v>43770.0</v>
      </c>
      <c r="F486" s="50" t="s">
        <v>18391</v>
      </c>
      <c r="G486" s="50">
        <v>59.0</v>
      </c>
      <c r="H486" s="50">
        <v>1.0</v>
      </c>
      <c r="I486" s="50">
        <v>99.0</v>
      </c>
      <c r="J486" s="116"/>
      <c r="K486" s="116"/>
      <c r="L486" s="50" t="s">
        <v>238</v>
      </c>
      <c r="M486" s="50" t="s">
        <v>238</v>
      </c>
      <c r="N486" s="50">
        <v>1.0</v>
      </c>
      <c r="O486" s="50" t="s">
        <v>18339</v>
      </c>
      <c r="P486" s="116"/>
      <c r="Q486" s="50" t="s">
        <v>18393</v>
      </c>
      <c r="R486" s="50">
        <v>5.0</v>
      </c>
      <c r="S486" s="50" t="s">
        <v>18057</v>
      </c>
      <c r="T486" s="117">
        <v>4807.0</v>
      </c>
      <c r="U486" s="50" t="s">
        <v>18394</v>
      </c>
      <c r="V486" s="50" t="s">
        <v>18395</v>
      </c>
      <c r="W486" s="117">
        <v>487.0</v>
      </c>
    </row>
    <row r="487">
      <c r="A487" s="50" t="s">
        <v>18391</v>
      </c>
      <c r="B487" s="50" t="s">
        <v>6876</v>
      </c>
      <c r="C487" s="50" t="s">
        <v>6877</v>
      </c>
      <c r="D487" s="50" t="s">
        <v>8493</v>
      </c>
      <c r="E487" s="144">
        <v>43770.0</v>
      </c>
      <c r="F487" s="50" t="s">
        <v>18399</v>
      </c>
      <c r="G487" s="50">
        <v>59.0</v>
      </c>
      <c r="H487" s="50">
        <v>1.0</v>
      </c>
      <c r="I487" s="50">
        <v>11.0</v>
      </c>
      <c r="J487" s="116"/>
      <c r="K487" s="116"/>
      <c r="L487" s="50" t="s">
        <v>1476</v>
      </c>
      <c r="M487" s="50" t="s">
        <v>1476</v>
      </c>
      <c r="N487" s="50">
        <v>1.0</v>
      </c>
      <c r="O487" s="50" t="s">
        <v>18339</v>
      </c>
      <c r="P487" s="116"/>
      <c r="Q487" s="116"/>
      <c r="R487" s="50">
        <v>5.0</v>
      </c>
      <c r="S487" s="50" t="s">
        <v>18057</v>
      </c>
      <c r="T487" s="117">
        <v>4808.0</v>
      </c>
      <c r="U487" s="50" t="s">
        <v>18406</v>
      </c>
      <c r="V487" s="50" t="s">
        <v>18407</v>
      </c>
      <c r="W487" s="117">
        <v>488.0</v>
      </c>
    </row>
    <row r="488">
      <c r="A488" s="50" t="s">
        <v>18399</v>
      </c>
      <c r="B488" s="50" t="s">
        <v>6876</v>
      </c>
      <c r="C488" s="50" t="s">
        <v>6877</v>
      </c>
      <c r="D488" s="50" t="s">
        <v>8493</v>
      </c>
      <c r="E488" s="144">
        <v>43770.0</v>
      </c>
      <c r="F488" s="50" t="s">
        <v>18408</v>
      </c>
      <c r="G488" s="50">
        <v>59.0</v>
      </c>
      <c r="H488" s="50">
        <v>1.0</v>
      </c>
      <c r="I488" s="50">
        <v>99.0</v>
      </c>
      <c r="J488" s="116"/>
      <c r="K488" s="116"/>
      <c r="L488" s="50" t="s">
        <v>241</v>
      </c>
      <c r="M488" s="50" t="s">
        <v>241</v>
      </c>
      <c r="N488" s="50">
        <v>1.0</v>
      </c>
      <c r="O488" s="50" t="s">
        <v>18339</v>
      </c>
      <c r="P488" s="116"/>
      <c r="Q488" s="116"/>
      <c r="R488" s="50">
        <v>5.0</v>
      </c>
      <c r="S488" s="50" t="s">
        <v>18057</v>
      </c>
      <c r="T488" s="117">
        <v>4809.0</v>
      </c>
      <c r="U488" s="50" t="s">
        <v>18412</v>
      </c>
      <c r="V488" s="50" t="s">
        <v>18413</v>
      </c>
      <c r="W488" s="117">
        <v>489.0</v>
      </c>
    </row>
    <row r="489">
      <c r="A489" s="50" t="s">
        <v>18408</v>
      </c>
      <c r="B489" s="50" t="s">
        <v>6876</v>
      </c>
      <c r="C489" s="50" t="s">
        <v>6877</v>
      </c>
      <c r="D489" s="50" t="s">
        <v>8493</v>
      </c>
      <c r="E489" s="144">
        <v>43770.0</v>
      </c>
      <c r="F489" s="50" t="s">
        <v>18417</v>
      </c>
      <c r="G489" s="50">
        <v>59.0</v>
      </c>
      <c r="H489" s="50">
        <v>1.0</v>
      </c>
      <c r="I489" s="50">
        <v>11.0</v>
      </c>
      <c r="J489" s="116"/>
      <c r="K489" s="116"/>
      <c r="L489" s="50" t="s">
        <v>1479</v>
      </c>
      <c r="M489" s="50" t="s">
        <v>1479</v>
      </c>
      <c r="N489" s="50">
        <v>1.0</v>
      </c>
      <c r="O489" s="50" t="s">
        <v>18339</v>
      </c>
      <c r="P489" s="116"/>
      <c r="Q489" s="116"/>
      <c r="R489" s="50">
        <v>5.0</v>
      </c>
      <c r="S489" s="50" t="s">
        <v>18057</v>
      </c>
      <c r="T489" s="117">
        <v>4810.0</v>
      </c>
      <c r="U489" s="50" t="s">
        <v>18421</v>
      </c>
      <c r="V489" s="50" t="s">
        <v>18422</v>
      </c>
      <c r="W489" s="117">
        <v>490.0</v>
      </c>
    </row>
    <row r="490">
      <c r="A490" s="50" t="s">
        <v>18417</v>
      </c>
      <c r="B490" s="50" t="s">
        <v>6876</v>
      </c>
      <c r="C490" s="50" t="s">
        <v>6877</v>
      </c>
      <c r="D490" s="50" t="s">
        <v>8493</v>
      </c>
      <c r="E490" s="144">
        <v>43770.0</v>
      </c>
      <c r="F490" s="50" t="s">
        <v>18426</v>
      </c>
      <c r="G490" s="50">
        <v>59.0</v>
      </c>
      <c r="H490" s="50">
        <v>1.0</v>
      </c>
      <c r="I490" s="50">
        <v>99.0</v>
      </c>
      <c r="J490" s="116"/>
      <c r="K490" s="116"/>
      <c r="L490" s="50" t="s">
        <v>245</v>
      </c>
      <c r="M490" s="50" t="s">
        <v>245</v>
      </c>
      <c r="N490" s="50">
        <v>1.0</v>
      </c>
      <c r="O490" s="50" t="s">
        <v>18339</v>
      </c>
      <c r="P490" s="116"/>
      <c r="Q490" s="116"/>
      <c r="R490" s="50">
        <v>5.0</v>
      </c>
      <c r="S490" s="50" t="s">
        <v>18057</v>
      </c>
      <c r="T490" s="117">
        <v>4811.0</v>
      </c>
      <c r="U490" s="50" t="s">
        <v>18431</v>
      </c>
      <c r="V490" s="50" t="s">
        <v>18433</v>
      </c>
      <c r="W490" s="117">
        <v>491.0</v>
      </c>
    </row>
    <row r="491">
      <c r="A491" s="50" t="s">
        <v>18426</v>
      </c>
      <c r="B491" s="50" t="s">
        <v>6876</v>
      </c>
      <c r="C491" s="50" t="s">
        <v>6877</v>
      </c>
      <c r="D491" s="50" t="s">
        <v>8493</v>
      </c>
      <c r="E491" s="144">
        <v>43770.0</v>
      </c>
      <c r="F491" s="50" t="s">
        <v>18434</v>
      </c>
      <c r="G491" s="50">
        <v>59.0</v>
      </c>
      <c r="H491" s="50">
        <v>1.0</v>
      </c>
      <c r="I491" s="50">
        <v>11.0</v>
      </c>
      <c r="J491" s="116"/>
      <c r="K491" s="116"/>
      <c r="L491" s="50" t="s">
        <v>1481</v>
      </c>
      <c r="M491" s="50" t="s">
        <v>1481</v>
      </c>
      <c r="N491" s="50">
        <v>1.0</v>
      </c>
      <c r="O491" s="50" t="s">
        <v>18339</v>
      </c>
      <c r="P491" s="116"/>
      <c r="Q491" s="116"/>
      <c r="R491" s="50">
        <v>5.0</v>
      </c>
      <c r="S491" s="50" t="s">
        <v>18057</v>
      </c>
      <c r="T491" s="117">
        <v>4812.0</v>
      </c>
      <c r="U491" s="50" t="s">
        <v>18439</v>
      </c>
      <c r="V491" s="50" t="s">
        <v>18440</v>
      </c>
      <c r="W491" s="117">
        <v>492.0</v>
      </c>
    </row>
    <row r="492">
      <c r="A492" s="50" t="s">
        <v>18434</v>
      </c>
      <c r="B492" s="50" t="s">
        <v>6876</v>
      </c>
      <c r="C492" s="50" t="s">
        <v>6877</v>
      </c>
      <c r="D492" s="50" t="s">
        <v>8493</v>
      </c>
      <c r="E492" s="144">
        <v>43770.0</v>
      </c>
      <c r="F492" s="50" t="s">
        <v>18441</v>
      </c>
      <c r="G492" s="50">
        <v>59.0</v>
      </c>
      <c r="H492" s="50">
        <v>1.0</v>
      </c>
      <c r="I492" s="50">
        <v>99.0</v>
      </c>
      <c r="J492" s="116"/>
      <c r="K492" s="116"/>
      <c r="L492" s="50" t="s">
        <v>248</v>
      </c>
      <c r="M492" s="50" t="s">
        <v>248</v>
      </c>
      <c r="N492" s="50">
        <v>1.0</v>
      </c>
      <c r="O492" s="50" t="s">
        <v>18339</v>
      </c>
      <c r="P492" s="116"/>
      <c r="Q492" s="116"/>
      <c r="R492" s="50">
        <v>5.0</v>
      </c>
      <c r="S492" s="50" t="s">
        <v>18057</v>
      </c>
      <c r="T492" s="117">
        <v>4813.0</v>
      </c>
      <c r="U492" s="50" t="s">
        <v>18447</v>
      </c>
      <c r="V492" s="50" t="s">
        <v>18448</v>
      </c>
      <c r="W492" s="117">
        <v>493.0</v>
      </c>
    </row>
    <row r="493">
      <c r="A493" s="50" t="s">
        <v>18441</v>
      </c>
      <c r="B493" s="50" t="s">
        <v>6876</v>
      </c>
      <c r="C493" s="50" t="s">
        <v>6877</v>
      </c>
      <c r="D493" s="50" t="s">
        <v>8493</v>
      </c>
      <c r="E493" s="144">
        <v>43770.0</v>
      </c>
      <c r="F493" s="50" t="s">
        <v>18449</v>
      </c>
      <c r="G493" s="50">
        <v>59.0</v>
      </c>
      <c r="H493" s="50">
        <v>1.0</v>
      </c>
      <c r="I493" s="50">
        <v>11.0</v>
      </c>
      <c r="J493" s="116"/>
      <c r="K493" s="116"/>
      <c r="L493" s="50" t="s">
        <v>1483</v>
      </c>
      <c r="M493" s="50" t="s">
        <v>1483</v>
      </c>
      <c r="N493" s="50">
        <v>1.0</v>
      </c>
      <c r="O493" s="50" t="s">
        <v>18339</v>
      </c>
      <c r="P493" s="116"/>
      <c r="Q493" s="116"/>
      <c r="R493" s="50">
        <v>5.0</v>
      </c>
      <c r="S493" s="50" t="s">
        <v>18057</v>
      </c>
      <c r="T493" s="117">
        <v>4814.0</v>
      </c>
      <c r="U493" s="50" t="s">
        <v>18455</v>
      </c>
      <c r="V493" s="50" t="s">
        <v>18456</v>
      </c>
      <c r="W493" s="117">
        <v>494.0</v>
      </c>
    </row>
    <row r="494">
      <c r="A494" s="50" t="s">
        <v>18449</v>
      </c>
      <c r="B494" s="50" t="s">
        <v>6876</v>
      </c>
      <c r="C494" s="50" t="s">
        <v>6877</v>
      </c>
      <c r="D494" s="50" t="s">
        <v>8493</v>
      </c>
      <c r="E494" s="144">
        <v>43770.0</v>
      </c>
      <c r="F494" s="50" t="s">
        <v>18461</v>
      </c>
      <c r="G494" s="50">
        <v>59.0</v>
      </c>
      <c r="H494" s="50">
        <v>1.0</v>
      </c>
      <c r="I494" s="50">
        <v>99.0</v>
      </c>
      <c r="J494" s="116"/>
      <c r="K494" s="116"/>
      <c r="L494" s="50" t="s">
        <v>251</v>
      </c>
      <c r="M494" s="50" t="s">
        <v>251</v>
      </c>
      <c r="N494" s="50">
        <v>1.0</v>
      </c>
      <c r="O494" s="50" t="s">
        <v>18339</v>
      </c>
      <c r="P494" s="116"/>
      <c r="Q494" s="50" t="s">
        <v>18463</v>
      </c>
      <c r="R494" s="50">
        <v>5.0</v>
      </c>
      <c r="S494" s="50" t="s">
        <v>18057</v>
      </c>
      <c r="T494" s="117">
        <v>4815.0</v>
      </c>
      <c r="U494" s="50" t="s">
        <v>18466</v>
      </c>
      <c r="V494" s="50" t="s">
        <v>18468</v>
      </c>
      <c r="W494" s="117">
        <v>495.0</v>
      </c>
    </row>
    <row r="495">
      <c r="A495" s="50" t="s">
        <v>18469</v>
      </c>
      <c r="B495" s="50" t="s">
        <v>6876</v>
      </c>
      <c r="C495" s="50" t="s">
        <v>6877</v>
      </c>
      <c r="D495" s="50" t="s">
        <v>8493</v>
      </c>
      <c r="E495" s="144">
        <v>43770.0</v>
      </c>
      <c r="F495" s="50" t="s">
        <v>18474</v>
      </c>
      <c r="G495" s="50">
        <v>33.0</v>
      </c>
      <c r="H495" s="50">
        <v>1.0</v>
      </c>
      <c r="I495" s="50">
        <v>98.0</v>
      </c>
      <c r="J495" s="116"/>
      <c r="K495" s="116"/>
      <c r="L495" s="50" t="s">
        <v>1484</v>
      </c>
      <c r="M495" s="50" t="s">
        <v>1484</v>
      </c>
      <c r="N495" s="50">
        <v>1.0</v>
      </c>
      <c r="O495" s="50" t="s">
        <v>18339</v>
      </c>
      <c r="P495" s="116"/>
      <c r="Q495" s="116"/>
      <c r="R495" s="50">
        <v>5.0</v>
      </c>
      <c r="S495" s="50" t="s">
        <v>18057</v>
      </c>
      <c r="T495" s="117">
        <v>4816.0</v>
      </c>
      <c r="U495" s="50" t="s">
        <v>18480</v>
      </c>
      <c r="V495" s="50" t="s">
        <v>18481</v>
      </c>
      <c r="W495" s="117">
        <v>496.0</v>
      </c>
    </row>
    <row r="496">
      <c r="A496" s="50" t="s">
        <v>18474</v>
      </c>
      <c r="B496" s="50" t="s">
        <v>6876</v>
      </c>
      <c r="C496" s="50" t="s">
        <v>6877</v>
      </c>
      <c r="D496" s="50" t="s">
        <v>8493</v>
      </c>
      <c r="E496" s="144">
        <v>43770.0</v>
      </c>
      <c r="F496" s="50" t="s">
        <v>18483</v>
      </c>
      <c r="G496" s="50">
        <v>59.0</v>
      </c>
      <c r="H496" s="50">
        <v>1.0</v>
      </c>
      <c r="I496" s="50">
        <v>11.0</v>
      </c>
      <c r="J496" s="116"/>
      <c r="K496" s="116"/>
      <c r="L496" s="50" t="s">
        <v>6212</v>
      </c>
      <c r="M496" s="50" t="s">
        <v>6212</v>
      </c>
      <c r="N496" s="50">
        <v>1.0</v>
      </c>
      <c r="O496" s="50" t="s">
        <v>18339</v>
      </c>
      <c r="P496" s="116"/>
      <c r="Q496" s="116"/>
      <c r="R496" s="50">
        <v>5.0</v>
      </c>
      <c r="S496" s="50" t="s">
        <v>18057</v>
      </c>
      <c r="T496" s="117">
        <v>4817.0</v>
      </c>
      <c r="U496" s="50" t="s">
        <v>18490</v>
      </c>
      <c r="V496" s="50" t="s">
        <v>18491</v>
      </c>
      <c r="W496" s="117">
        <v>497.0</v>
      </c>
    </row>
    <row r="497">
      <c r="A497" s="50" t="s">
        <v>18483</v>
      </c>
      <c r="B497" s="50" t="s">
        <v>6876</v>
      </c>
      <c r="C497" s="50" t="s">
        <v>6877</v>
      </c>
      <c r="D497" s="50" t="s">
        <v>8493</v>
      </c>
      <c r="E497" s="144">
        <v>43770.0</v>
      </c>
      <c r="F497" s="50" t="s">
        <v>18496</v>
      </c>
      <c r="G497" s="50">
        <v>59.0</v>
      </c>
      <c r="H497" s="50">
        <v>1.0</v>
      </c>
      <c r="I497" s="50">
        <v>99.0</v>
      </c>
      <c r="J497" s="116"/>
      <c r="K497" s="116"/>
      <c r="L497" s="50" t="s">
        <v>254</v>
      </c>
      <c r="M497" s="50" t="s">
        <v>254</v>
      </c>
      <c r="N497" s="50">
        <v>1.0</v>
      </c>
      <c r="O497" s="50" t="s">
        <v>18339</v>
      </c>
      <c r="P497" s="116"/>
      <c r="Q497" s="116"/>
      <c r="R497" s="50">
        <v>5.0</v>
      </c>
      <c r="S497" s="50" t="s">
        <v>18057</v>
      </c>
      <c r="T497" s="117">
        <v>4818.0</v>
      </c>
      <c r="U497" s="50" t="s">
        <v>18501</v>
      </c>
      <c r="V497" s="50" t="s">
        <v>18503</v>
      </c>
      <c r="W497" s="117">
        <v>498.0</v>
      </c>
    </row>
    <row r="498">
      <c r="A498" s="50" t="s">
        <v>18496</v>
      </c>
      <c r="B498" s="50" t="s">
        <v>6876</v>
      </c>
      <c r="C498" s="50" t="s">
        <v>6877</v>
      </c>
      <c r="D498" s="50" t="s">
        <v>8493</v>
      </c>
      <c r="E498" s="144">
        <v>43770.0</v>
      </c>
      <c r="F498" s="50" t="s">
        <v>18505</v>
      </c>
      <c r="G498" s="50">
        <v>59.0</v>
      </c>
      <c r="H498" s="50">
        <v>1.0</v>
      </c>
      <c r="I498" s="50">
        <v>11.0</v>
      </c>
      <c r="J498" s="116"/>
      <c r="K498" s="116"/>
      <c r="L498" s="50" t="s">
        <v>6220</v>
      </c>
      <c r="M498" s="50" t="s">
        <v>6220</v>
      </c>
      <c r="N498" s="50">
        <v>1.0</v>
      </c>
      <c r="O498" s="50" t="s">
        <v>10740</v>
      </c>
      <c r="P498" s="116"/>
      <c r="Q498" s="116"/>
      <c r="R498" s="50">
        <v>5.0</v>
      </c>
      <c r="S498" s="50" t="s">
        <v>18057</v>
      </c>
      <c r="T498" s="117">
        <v>4819.0</v>
      </c>
      <c r="U498" s="50" t="s">
        <v>18506</v>
      </c>
      <c r="V498" s="50" t="s">
        <v>18507</v>
      </c>
      <c r="W498" s="117">
        <v>499.0</v>
      </c>
    </row>
    <row r="499">
      <c r="A499" s="50" t="s">
        <v>18505</v>
      </c>
      <c r="B499" s="50" t="s">
        <v>6876</v>
      </c>
      <c r="C499" s="50" t="s">
        <v>6877</v>
      </c>
      <c r="D499" s="50" t="s">
        <v>8493</v>
      </c>
      <c r="E499" s="144">
        <v>43770.0</v>
      </c>
      <c r="F499" s="50" t="s">
        <v>18509</v>
      </c>
      <c r="G499" s="50">
        <v>59.0</v>
      </c>
      <c r="H499" s="50">
        <v>1.0</v>
      </c>
      <c r="I499" s="50">
        <v>99.0</v>
      </c>
      <c r="J499" s="116"/>
      <c r="K499" s="116"/>
      <c r="L499" s="50" t="s">
        <v>257</v>
      </c>
      <c r="M499" s="50" t="s">
        <v>257</v>
      </c>
      <c r="N499" s="50">
        <v>1.0</v>
      </c>
      <c r="O499" s="50" t="s">
        <v>10740</v>
      </c>
      <c r="P499" s="116"/>
      <c r="Q499" s="50" t="s">
        <v>18513</v>
      </c>
      <c r="R499" s="50">
        <v>5.0</v>
      </c>
      <c r="S499" s="50" t="s">
        <v>18057</v>
      </c>
      <c r="T499" s="117">
        <v>4820.0</v>
      </c>
      <c r="U499" s="50" t="s">
        <v>18515</v>
      </c>
      <c r="V499" s="50" t="s">
        <v>18516</v>
      </c>
      <c r="W499" s="117">
        <v>500.0</v>
      </c>
    </row>
    <row r="500">
      <c r="A500" s="50" t="s">
        <v>18509</v>
      </c>
      <c r="B500" s="50" t="s">
        <v>6876</v>
      </c>
      <c r="C500" s="50" t="s">
        <v>6877</v>
      </c>
      <c r="D500" s="50" t="s">
        <v>8493</v>
      </c>
      <c r="E500" s="144">
        <v>43770.0</v>
      </c>
      <c r="F500" s="50" t="s">
        <v>18518</v>
      </c>
      <c r="G500" s="50">
        <v>59.0</v>
      </c>
      <c r="H500" s="50">
        <v>1.0</v>
      </c>
      <c r="I500" s="50">
        <v>11.0</v>
      </c>
      <c r="J500" s="116"/>
      <c r="K500" s="116"/>
      <c r="L500" s="50" t="s">
        <v>6240</v>
      </c>
      <c r="M500" s="50" t="s">
        <v>6240</v>
      </c>
      <c r="N500" s="50">
        <v>1.0</v>
      </c>
      <c r="O500" s="50" t="s">
        <v>10740</v>
      </c>
      <c r="P500" s="116"/>
      <c r="Q500" s="116"/>
      <c r="R500" s="50">
        <v>5.0</v>
      </c>
      <c r="S500" s="50" t="s">
        <v>18057</v>
      </c>
      <c r="T500" s="117">
        <v>4821.0</v>
      </c>
      <c r="U500" s="50" t="s">
        <v>18525</v>
      </c>
      <c r="V500" s="50" t="s">
        <v>18526</v>
      </c>
      <c r="W500" s="117">
        <v>501.0</v>
      </c>
    </row>
    <row r="501">
      <c r="A501" s="50" t="s">
        <v>18518</v>
      </c>
      <c r="B501" s="50" t="s">
        <v>6876</v>
      </c>
      <c r="C501" s="50" t="s">
        <v>6877</v>
      </c>
      <c r="D501" s="50" t="s">
        <v>8493</v>
      </c>
      <c r="E501" s="144">
        <v>43770.0</v>
      </c>
      <c r="F501" s="50" t="s">
        <v>18529</v>
      </c>
      <c r="G501" s="50">
        <v>59.0</v>
      </c>
      <c r="H501" s="50">
        <v>1.0</v>
      </c>
      <c r="I501" s="50">
        <v>99.0</v>
      </c>
      <c r="J501" s="116"/>
      <c r="K501" s="116"/>
      <c r="L501" s="50" t="s">
        <v>260</v>
      </c>
      <c r="M501" s="50" t="s">
        <v>260</v>
      </c>
      <c r="N501" s="50">
        <v>1.0</v>
      </c>
      <c r="O501" s="50" t="s">
        <v>10740</v>
      </c>
      <c r="P501" s="116"/>
      <c r="Q501" s="50" t="s">
        <v>18534</v>
      </c>
      <c r="R501" s="50">
        <v>5.0</v>
      </c>
      <c r="S501" s="50" t="s">
        <v>18057</v>
      </c>
      <c r="T501" s="117">
        <v>4822.0</v>
      </c>
      <c r="U501" s="50" t="s">
        <v>18535</v>
      </c>
      <c r="V501" s="50" t="s">
        <v>18537</v>
      </c>
      <c r="W501" s="117">
        <v>502.0</v>
      </c>
    </row>
    <row r="502">
      <c r="A502" s="50" t="s">
        <v>18529</v>
      </c>
      <c r="B502" s="50" t="s">
        <v>6876</v>
      </c>
      <c r="C502" s="50" t="s">
        <v>6877</v>
      </c>
      <c r="D502" s="50" t="s">
        <v>8493</v>
      </c>
      <c r="E502" s="144">
        <v>43770.0</v>
      </c>
      <c r="F502" s="50" t="s">
        <v>18541</v>
      </c>
      <c r="G502" s="50">
        <v>59.0</v>
      </c>
      <c r="H502" s="50">
        <v>1.0</v>
      </c>
      <c r="I502" s="50">
        <v>11.0</v>
      </c>
      <c r="J502" s="116"/>
      <c r="K502" s="116"/>
      <c r="L502" s="50" t="s">
        <v>6255</v>
      </c>
      <c r="M502" s="50" t="s">
        <v>6255</v>
      </c>
      <c r="N502" s="50">
        <v>1.0</v>
      </c>
      <c r="O502" s="50" t="s">
        <v>10740</v>
      </c>
      <c r="P502" s="116"/>
      <c r="Q502" s="116"/>
      <c r="R502" s="50">
        <v>5.0</v>
      </c>
      <c r="S502" s="50" t="s">
        <v>18057</v>
      </c>
      <c r="T502" s="117">
        <v>4823.0</v>
      </c>
      <c r="U502" s="50" t="s">
        <v>18543</v>
      </c>
      <c r="V502" s="50" t="s">
        <v>18545</v>
      </c>
      <c r="W502" s="117">
        <v>503.0</v>
      </c>
    </row>
    <row r="503">
      <c r="A503" s="50" t="s">
        <v>18541</v>
      </c>
      <c r="B503" s="50" t="s">
        <v>6876</v>
      </c>
      <c r="C503" s="50" t="s">
        <v>6877</v>
      </c>
      <c r="D503" s="50" t="s">
        <v>8493</v>
      </c>
      <c r="E503" s="144">
        <v>43770.0</v>
      </c>
      <c r="F503" s="50" t="s">
        <v>18550</v>
      </c>
      <c r="G503" s="50">
        <v>59.0</v>
      </c>
      <c r="H503" s="50">
        <v>1.0</v>
      </c>
      <c r="I503" s="50">
        <v>99.0</v>
      </c>
      <c r="J503" s="116"/>
      <c r="K503" s="116"/>
      <c r="L503" s="50" t="s">
        <v>263</v>
      </c>
      <c r="M503" s="50" t="s">
        <v>263</v>
      </c>
      <c r="N503" s="50">
        <v>1.0</v>
      </c>
      <c r="O503" s="50" t="s">
        <v>10740</v>
      </c>
      <c r="P503" s="116"/>
      <c r="Q503" s="50" t="s">
        <v>18552</v>
      </c>
      <c r="R503" s="50">
        <v>5.0</v>
      </c>
      <c r="S503" s="50" t="s">
        <v>18057</v>
      </c>
      <c r="T503" s="117">
        <v>4824.0</v>
      </c>
      <c r="U503" s="50" t="s">
        <v>18553</v>
      </c>
      <c r="V503" s="50" t="s">
        <v>18554</v>
      </c>
      <c r="W503" s="117">
        <v>504.0</v>
      </c>
    </row>
    <row r="504">
      <c r="A504" s="50" t="s">
        <v>18550</v>
      </c>
      <c r="B504" s="50" t="s">
        <v>6876</v>
      </c>
      <c r="C504" s="50" t="s">
        <v>6877</v>
      </c>
      <c r="D504" s="50" t="s">
        <v>8493</v>
      </c>
      <c r="E504" s="144">
        <v>43770.0</v>
      </c>
      <c r="F504" s="50" t="s">
        <v>18558</v>
      </c>
      <c r="G504" s="50">
        <v>59.0</v>
      </c>
      <c r="H504" s="50">
        <v>1.0</v>
      </c>
      <c r="I504" s="50">
        <v>11.0</v>
      </c>
      <c r="J504" s="116"/>
      <c r="K504" s="116"/>
      <c r="L504" s="50" t="s">
        <v>6270</v>
      </c>
      <c r="M504" s="50" t="s">
        <v>6270</v>
      </c>
      <c r="N504" s="50">
        <v>1.0</v>
      </c>
      <c r="O504" s="50" t="s">
        <v>10740</v>
      </c>
      <c r="P504" s="116"/>
      <c r="Q504" s="116"/>
      <c r="R504" s="50">
        <v>5.0</v>
      </c>
      <c r="S504" s="50" t="s">
        <v>18057</v>
      </c>
      <c r="T504" s="117">
        <v>4825.0</v>
      </c>
      <c r="U504" s="50" t="s">
        <v>18560</v>
      </c>
      <c r="V504" s="50" t="s">
        <v>18561</v>
      </c>
      <c r="W504" s="117">
        <v>505.0</v>
      </c>
    </row>
    <row r="505">
      <c r="A505" s="50" t="s">
        <v>18558</v>
      </c>
      <c r="B505" s="50" t="s">
        <v>6876</v>
      </c>
      <c r="C505" s="50" t="s">
        <v>6877</v>
      </c>
      <c r="D505" s="50" t="s">
        <v>8493</v>
      </c>
      <c r="E505" s="144">
        <v>43770.0</v>
      </c>
      <c r="F505" s="50" t="s">
        <v>18564</v>
      </c>
      <c r="G505" s="50">
        <v>59.0</v>
      </c>
      <c r="H505" s="50">
        <v>1.0</v>
      </c>
      <c r="I505" s="50">
        <v>99.0</v>
      </c>
      <c r="J505" s="116"/>
      <c r="K505" s="116"/>
      <c r="L505" s="50" t="s">
        <v>266</v>
      </c>
      <c r="M505" s="50" t="s">
        <v>266</v>
      </c>
      <c r="N505" s="50">
        <v>1.0</v>
      </c>
      <c r="O505" s="50" t="s">
        <v>10740</v>
      </c>
      <c r="P505" s="116"/>
      <c r="Q505" s="50" t="s">
        <v>18570</v>
      </c>
      <c r="R505" s="50">
        <v>5.0</v>
      </c>
      <c r="S505" s="50" t="s">
        <v>18057</v>
      </c>
      <c r="T505" s="117">
        <v>4826.0</v>
      </c>
      <c r="U505" s="50" t="s">
        <v>18572</v>
      </c>
      <c r="V505" s="50" t="s">
        <v>18573</v>
      </c>
      <c r="W505" s="117">
        <v>506.0</v>
      </c>
    </row>
    <row r="506">
      <c r="A506" s="50" t="s">
        <v>18564</v>
      </c>
      <c r="B506" s="50" t="s">
        <v>6876</v>
      </c>
      <c r="C506" s="50" t="s">
        <v>6877</v>
      </c>
      <c r="D506" s="50" t="s">
        <v>8493</v>
      </c>
      <c r="E506" s="144">
        <v>43770.0</v>
      </c>
      <c r="F506" s="50" t="s">
        <v>18574</v>
      </c>
      <c r="G506" s="50">
        <v>33.0</v>
      </c>
      <c r="H506" s="50">
        <v>1.0</v>
      </c>
      <c r="I506" s="50">
        <v>98.0</v>
      </c>
      <c r="J506" s="116"/>
      <c r="K506" s="116"/>
      <c r="L506" s="50" t="s">
        <v>1492</v>
      </c>
      <c r="M506" s="50" t="s">
        <v>1492</v>
      </c>
      <c r="N506" s="50">
        <v>1.0</v>
      </c>
      <c r="O506" s="50" t="s">
        <v>10740</v>
      </c>
      <c r="P506" s="116"/>
      <c r="Q506" s="116"/>
      <c r="R506" s="50">
        <v>5.0</v>
      </c>
      <c r="S506" s="50" t="s">
        <v>18057</v>
      </c>
      <c r="T506" s="117">
        <v>4827.0</v>
      </c>
      <c r="U506" s="50" t="s">
        <v>18578</v>
      </c>
      <c r="V506" s="50" t="s">
        <v>18579</v>
      </c>
      <c r="W506" s="117">
        <v>507.0</v>
      </c>
    </row>
    <row r="507">
      <c r="A507" s="50" t="s">
        <v>18581</v>
      </c>
      <c r="B507" s="50" t="s">
        <v>6876</v>
      </c>
      <c r="C507" s="50" t="s">
        <v>6877</v>
      </c>
      <c r="D507" s="50" t="s">
        <v>8310</v>
      </c>
      <c r="E507" s="144">
        <v>43776.0</v>
      </c>
      <c r="F507" s="50" t="s">
        <v>18582</v>
      </c>
      <c r="G507" s="50">
        <v>57.0</v>
      </c>
      <c r="H507" s="50">
        <v>1.0</v>
      </c>
      <c r="I507" s="50">
        <v>12.0</v>
      </c>
      <c r="J507" s="116"/>
      <c r="K507" s="116"/>
      <c r="L507" s="50" t="s">
        <v>1494</v>
      </c>
      <c r="M507" s="50" t="s">
        <v>1494</v>
      </c>
      <c r="N507" s="50">
        <v>1.0</v>
      </c>
      <c r="O507" s="50" t="s">
        <v>11390</v>
      </c>
      <c r="P507" s="116"/>
      <c r="Q507" s="116"/>
      <c r="R507" s="50">
        <v>5.0</v>
      </c>
      <c r="S507" s="50" t="s">
        <v>18057</v>
      </c>
      <c r="T507" s="117">
        <v>4952.0</v>
      </c>
      <c r="U507" s="50" t="s">
        <v>18587</v>
      </c>
      <c r="V507" s="50" t="s">
        <v>18589</v>
      </c>
      <c r="W507" s="117">
        <v>508.0</v>
      </c>
    </row>
    <row r="508">
      <c r="A508" s="50" t="s">
        <v>18590</v>
      </c>
      <c r="B508" s="50" t="s">
        <v>6876</v>
      </c>
      <c r="C508" s="50" t="s">
        <v>6877</v>
      </c>
      <c r="D508" s="50" t="s">
        <v>8310</v>
      </c>
      <c r="E508" s="144">
        <v>43776.0</v>
      </c>
      <c r="F508" s="50" t="s">
        <v>18591</v>
      </c>
      <c r="G508" s="50">
        <v>57.0</v>
      </c>
      <c r="H508" s="50">
        <v>1.0</v>
      </c>
      <c r="I508" s="50">
        <v>99.0</v>
      </c>
      <c r="J508" s="116"/>
      <c r="K508" s="116"/>
      <c r="L508" s="50" t="s">
        <v>1495</v>
      </c>
      <c r="M508" s="50" t="s">
        <v>1495</v>
      </c>
      <c r="N508" s="50">
        <v>1.0</v>
      </c>
      <c r="O508" s="50" t="s">
        <v>11390</v>
      </c>
      <c r="P508" s="116"/>
      <c r="Q508" s="50" t="s">
        <v>15204</v>
      </c>
      <c r="R508" s="50">
        <v>5.0</v>
      </c>
      <c r="S508" s="50" t="s">
        <v>18057</v>
      </c>
      <c r="T508" s="117">
        <v>4972.0</v>
      </c>
      <c r="U508" s="50" t="s">
        <v>18596</v>
      </c>
      <c r="V508" s="50" t="s">
        <v>18599</v>
      </c>
      <c r="W508" s="117">
        <v>509.0</v>
      </c>
    </row>
    <row r="509">
      <c r="A509" s="50" t="s">
        <v>18591</v>
      </c>
      <c r="B509" s="50" t="s">
        <v>6876</v>
      </c>
      <c r="C509" s="50" t="s">
        <v>6877</v>
      </c>
      <c r="D509" s="50" t="s">
        <v>8310</v>
      </c>
      <c r="E509" s="144">
        <v>43776.0</v>
      </c>
      <c r="F509" s="50" t="s">
        <v>18602</v>
      </c>
      <c r="G509" s="50">
        <v>57.0</v>
      </c>
      <c r="H509" s="50">
        <v>1.0</v>
      </c>
      <c r="I509" s="50">
        <v>99.0</v>
      </c>
      <c r="J509" s="116"/>
      <c r="K509" s="116"/>
      <c r="L509" s="50" t="s">
        <v>1496</v>
      </c>
      <c r="M509" s="50" t="s">
        <v>1496</v>
      </c>
      <c r="N509" s="50">
        <v>1.0</v>
      </c>
      <c r="O509" s="50" t="s">
        <v>11390</v>
      </c>
      <c r="P509" s="116"/>
      <c r="Q509" s="50" t="s">
        <v>15204</v>
      </c>
      <c r="R509" s="50">
        <v>5.0</v>
      </c>
      <c r="S509" s="50" t="s">
        <v>18057</v>
      </c>
      <c r="T509" s="117">
        <v>4973.0</v>
      </c>
      <c r="U509" s="50" t="s">
        <v>18603</v>
      </c>
      <c r="V509" s="50" t="s">
        <v>18604</v>
      </c>
      <c r="W509" s="117">
        <v>510.0</v>
      </c>
    </row>
    <row r="510">
      <c r="A510" s="50" t="s">
        <v>18602</v>
      </c>
      <c r="B510" s="50" t="s">
        <v>6876</v>
      </c>
      <c r="C510" s="50" t="s">
        <v>6877</v>
      </c>
      <c r="D510" s="50" t="s">
        <v>8310</v>
      </c>
      <c r="E510" s="144">
        <v>43776.0</v>
      </c>
      <c r="F510" s="50" t="s">
        <v>18606</v>
      </c>
      <c r="G510" s="50">
        <v>55.0</v>
      </c>
      <c r="H510" s="50">
        <v>1.0</v>
      </c>
      <c r="I510" s="50">
        <v>12.0</v>
      </c>
      <c r="J510" s="116"/>
      <c r="K510" s="116"/>
      <c r="L510" s="50" t="s">
        <v>1497</v>
      </c>
      <c r="M510" s="50" t="s">
        <v>1497</v>
      </c>
      <c r="N510" s="50">
        <v>1.0</v>
      </c>
      <c r="O510" s="50" t="s">
        <v>11390</v>
      </c>
      <c r="P510" s="116"/>
      <c r="Q510" s="116"/>
      <c r="R510" s="50">
        <v>5.0</v>
      </c>
      <c r="S510" s="50" t="s">
        <v>18057</v>
      </c>
      <c r="T510" s="117">
        <v>4974.0</v>
      </c>
      <c r="U510" s="50" t="s">
        <v>18611</v>
      </c>
      <c r="V510" s="50" t="s">
        <v>18612</v>
      </c>
      <c r="W510" s="117">
        <v>511.0</v>
      </c>
    </row>
    <row r="511">
      <c r="A511" s="50" t="s">
        <v>18606</v>
      </c>
      <c r="B511" s="50" t="s">
        <v>6876</v>
      </c>
      <c r="C511" s="50" t="s">
        <v>6877</v>
      </c>
      <c r="D511" s="50" t="s">
        <v>8310</v>
      </c>
      <c r="E511" s="144">
        <v>43776.0</v>
      </c>
      <c r="F511" s="50" t="s">
        <v>18613</v>
      </c>
      <c r="G511" s="50">
        <v>55.0</v>
      </c>
      <c r="H511" s="50">
        <v>1.0</v>
      </c>
      <c r="I511" s="50">
        <v>99.0</v>
      </c>
      <c r="J511" s="116"/>
      <c r="K511" s="116"/>
      <c r="L511" s="50" t="s">
        <v>1498</v>
      </c>
      <c r="M511" s="50" t="s">
        <v>1498</v>
      </c>
      <c r="N511" s="50">
        <v>1.0</v>
      </c>
      <c r="O511" s="50" t="s">
        <v>11390</v>
      </c>
      <c r="P511" s="116"/>
      <c r="Q511" s="50" t="s">
        <v>15222</v>
      </c>
      <c r="R511" s="50">
        <v>5.0</v>
      </c>
      <c r="S511" s="50" t="s">
        <v>18057</v>
      </c>
      <c r="T511" s="117">
        <v>4975.0</v>
      </c>
      <c r="U511" s="50" t="s">
        <v>18615</v>
      </c>
      <c r="V511" s="50" t="s">
        <v>18616</v>
      </c>
      <c r="W511" s="117">
        <v>512.0</v>
      </c>
    </row>
    <row r="512">
      <c r="A512" s="50" t="s">
        <v>18613</v>
      </c>
      <c r="B512" s="50" t="s">
        <v>6876</v>
      </c>
      <c r="C512" s="50" t="s">
        <v>6877</v>
      </c>
      <c r="D512" s="50" t="s">
        <v>8310</v>
      </c>
      <c r="E512" s="144">
        <v>43776.0</v>
      </c>
      <c r="F512" s="50" t="s">
        <v>18620</v>
      </c>
      <c r="G512" s="50">
        <v>55.0</v>
      </c>
      <c r="H512" s="50">
        <v>1.0</v>
      </c>
      <c r="I512" s="50">
        <v>99.0</v>
      </c>
      <c r="J512" s="116"/>
      <c r="K512" s="116"/>
      <c r="L512" s="50" t="s">
        <v>1499</v>
      </c>
      <c r="M512" s="50" t="s">
        <v>1499</v>
      </c>
      <c r="N512" s="50">
        <v>1.0</v>
      </c>
      <c r="O512" s="50" t="s">
        <v>11390</v>
      </c>
      <c r="P512" s="116"/>
      <c r="Q512" s="50" t="s">
        <v>15222</v>
      </c>
      <c r="R512" s="50">
        <v>5.0</v>
      </c>
      <c r="S512" s="50" t="s">
        <v>18057</v>
      </c>
      <c r="T512" s="117">
        <v>4976.0</v>
      </c>
      <c r="U512" s="50" t="s">
        <v>18626</v>
      </c>
      <c r="V512" s="50" t="s">
        <v>18627</v>
      </c>
      <c r="W512" s="117">
        <v>513.0</v>
      </c>
    </row>
    <row r="513">
      <c r="A513" s="50" t="s">
        <v>18620</v>
      </c>
      <c r="B513" s="50" t="s">
        <v>6876</v>
      </c>
      <c r="C513" s="50" t="s">
        <v>6877</v>
      </c>
      <c r="D513" s="50" t="s">
        <v>8310</v>
      </c>
      <c r="E513" s="144">
        <v>43776.0</v>
      </c>
      <c r="F513" s="50" t="s">
        <v>18629</v>
      </c>
      <c r="G513" s="50">
        <v>59.0</v>
      </c>
      <c r="H513" s="50">
        <v>1.0</v>
      </c>
      <c r="I513" s="50">
        <v>11.0</v>
      </c>
      <c r="J513" s="116"/>
      <c r="K513" s="116"/>
      <c r="L513" s="50" t="s">
        <v>1508</v>
      </c>
      <c r="M513" s="50" t="s">
        <v>1508</v>
      </c>
      <c r="N513" s="50">
        <v>1.0</v>
      </c>
      <c r="O513" s="50" t="s">
        <v>11390</v>
      </c>
      <c r="P513" s="116"/>
      <c r="Q513" s="116"/>
      <c r="R513" s="50">
        <v>5.0</v>
      </c>
      <c r="S513" s="50" t="s">
        <v>18057</v>
      </c>
      <c r="T513" s="117">
        <v>4977.0</v>
      </c>
      <c r="U513" s="50" t="s">
        <v>18634</v>
      </c>
      <c r="V513" s="50" t="s">
        <v>18635</v>
      </c>
      <c r="W513" s="117">
        <v>514.0</v>
      </c>
    </row>
    <row r="514">
      <c r="A514" s="50" t="s">
        <v>18629</v>
      </c>
      <c r="B514" s="50" t="s">
        <v>6876</v>
      </c>
      <c r="C514" s="50" t="s">
        <v>6877</v>
      </c>
      <c r="D514" s="50" t="s">
        <v>8310</v>
      </c>
      <c r="E514" s="144">
        <v>43776.0</v>
      </c>
      <c r="F514" s="50" t="s">
        <v>18640</v>
      </c>
      <c r="G514" s="50">
        <v>59.0</v>
      </c>
      <c r="H514" s="50">
        <v>1.0</v>
      </c>
      <c r="I514" s="50">
        <v>99.0</v>
      </c>
      <c r="J514" s="116"/>
      <c r="K514" s="116"/>
      <c r="L514" s="50" t="s">
        <v>1509</v>
      </c>
      <c r="M514" s="50" t="s">
        <v>1509</v>
      </c>
      <c r="N514" s="50">
        <v>1.0</v>
      </c>
      <c r="O514" s="50" t="s">
        <v>11390</v>
      </c>
      <c r="P514" s="116"/>
      <c r="Q514" s="50" t="s">
        <v>15239</v>
      </c>
      <c r="R514" s="50">
        <v>5.0</v>
      </c>
      <c r="S514" s="50" t="s">
        <v>18057</v>
      </c>
      <c r="T514" s="117">
        <v>4978.0</v>
      </c>
      <c r="U514" s="50" t="s">
        <v>18644</v>
      </c>
      <c r="V514" s="50" t="s">
        <v>18645</v>
      </c>
      <c r="W514" s="117">
        <v>515.0</v>
      </c>
    </row>
    <row r="515">
      <c r="A515" s="50" t="s">
        <v>18640</v>
      </c>
      <c r="B515" s="50" t="s">
        <v>6876</v>
      </c>
      <c r="C515" s="50" t="s">
        <v>6877</v>
      </c>
      <c r="D515" s="50" t="s">
        <v>8310</v>
      </c>
      <c r="E515" s="144">
        <v>43776.0</v>
      </c>
      <c r="F515" s="50" t="s">
        <v>18648</v>
      </c>
      <c r="G515" s="50">
        <v>59.0</v>
      </c>
      <c r="H515" s="50">
        <v>1.0</v>
      </c>
      <c r="I515" s="50">
        <v>99.0</v>
      </c>
      <c r="J515" s="116"/>
      <c r="K515" s="116"/>
      <c r="L515" s="50" t="s">
        <v>1510</v>
      </c>
      <c r="M515" s="50" t="s">
        <v>1510</v>
      </c>
      <c r="N515" s="50">
        <v>1.0</v>
      </c>
      <c r="O515" s="50" t="s">
        <v>11390</v>
      </c>
      <c r="P515" s="116"/>
      <c r="Q515" s="50" t="s">
        <v>15239</v>
      </c>
      <c r="R515" s="50">
        <v>5.0</v>
      </c>
      <c r="S515" s="50" t="s">
        <v>18057</v>
      </c>
      <c r="T515" s="117">
        <v>4979.0</v>
      </c>
      <c r="U515" s="50" t="s">
        <v>18651</v>
      </c>
      <c r="V515" s="50" t="s">
        <v>18652</v>
      </c>
      <c r="W515" s="117">
        <v>516.0</v>
      </c>
    </row>
    <row r="516">
      <c r="A516" s="50" t="s">
        <v>18648</v>
      </c>
      <c r="B516" s="50" t="s">
        <v>6876</v>
      </c>
      <c r="C516" s="50" t="s">
        <v>6877</v>
      </c>
      <c r="D516" s="50" t="s">
        <v>8310</v>
      </c>
      <c r="E516" s="144">
        <v>43776.0</v>
      </c>
      <c r="F516" s="50" t="s">
        <v>18655</v>
      </c>
      <c r="G516" s="50">
        <v>59.0</v>
      </c>
      <c r="H516" s="50">
        <v>1.0</v>
      </c>
      <c r="I516" s="50">
        <v>11.0</v>
      </c>
      <c r="J516" s="116"/>
      <c r="K516" s="116"/>
      <c r="L516" s="50" t="s">
        <v>1511</v>
      </c>
      <c r="M516" s="50" t="s">
        <v>1511</v>
      </c>
      <c r="N516" s="50">
        <v>1.0</v>
      </c>
      <c r="O516" s="50" t="s">
        <v>11390</v>
      </c>
      <c r="P516" s="116"/>
      <c r="Q516" s="116"/>
      <c r="R516" s="50">
        <v>5.0</v>
      </c>
      <c r="S516" s="50" t="s">
        <v>18057</v>
      </c>
      <c r="T516" s="117">
        <v>4980.0</v>
      </c>
      <c r="U516" s="50" t="s">
        <v>18660</v>
      </c>
      <c r="V516" s="50" t="s">
        <v>18661</v>
      </c>
      <c r="W516" s="117">
        <v>517.0</v>
      </c>
    </row>
    <row r="517">
      <c r="A517" s="50" t="s">
        <v>18663</v>
      </c>
      <c r="B517" s="50" t="s">
        <v>6876</v>
      </c>
      <c r="C517" s="50" t="s">
        <v>6877</v>
      </c>
      <c r="D517" s="50" t="s">
        <v>8310</v>
      </c>
      <c r="E517" s="144">
        <v>43776.0</v>
      </c>
      <c r="F517" s="50" t="s">
        <v>18664</v>
      </c>
      <c r="G517" s="50">
        <v>59.0</v>
      </c>
      <c r="H517" s="50">
        <v>1.0</v>
      </c>
      <c r="I517" s="50">
        <v>99.0</v>
      </c>
      <c r="J517" s="116"/>
      <c r="K517" s="116"/>
      <c r="L517" s="50" t="s">
        <v>1512</v>
      </c>
      <c r="M517" s="50" t="s">
        <v>1512</v>
      </c>
      <c r="N517" s="50">
        <v>1.0</v>
      </c>
      <c r="O517" s="50" t="s">
        <v>11390</v>
      </c>
      <c r="P517" s="116"/>
      <c r="Q517" s="50" t="s">
        <v>15261</v>
      </c>
      <c r="R517" s="50">
        <v>5.0</v>
      </c>
      <c r="S517" s="50" t="s">
        <v>18057</v>
      </c>
      <c r="T517" s="117">
        <v>4981.0</v>
      </c>
      <c r="U517" s="50" t="s">
        <v>18669</v>
      </c>
      <c r="V517" s="50" t="s">
        <v>18670</v>
      </c>
      <c r="W517" s="117">
        <v>518.0</v>
      </c>
    </row>
    <row r="518">
      <c r="A518" s="50" t="s">
        <v>18664</v>
      </c>
      <c r="B518" s="50" t="s">
        <v>6876</v>
      </c>
      <c r="C518" s="50" t="s">
        <v>6877</v>
      </c>
      <c r="D518" s="50" t="s">
        <v>8310</v>
      </c>
      <c r="E518" s="144">
        <v>43776.0</v>
      </c>
      <c r="F518" s="50" t="s">
        <v>18672</v>
      </c>
      <c r="G518" s="50">
        <v>59.0</v>
      </c>
      <c r="H518" s="50">
        <v>1.0</v>
      </c>
      <c r="I518" s="50">
        <v>99.0</v>
      </c>
      <c r="J518" s="116"/>
      <c r="K518" s="116"/>
      <c r="L518" s="50" t="s">
        <v>1513</v>
      </c>
      <c r="M518" s="50" t="s">
        <v>1513</v>
      </c>
      <c r="N518" s="50">
        <v>1.0</v>
      </c>
      <c r="O518" s="50" t="s">
        <v>11390</v>
      </c>
      <c r="P518" s="116"/>
      <c r="Q518" s="50" t="s">
        <v>15261</v>
      </c>
      <c r="R518" s="50">
        <v>5.0</v>
      </c>
      <c r="S518" s="50" t="s">
        <v>18057</v>
      </c>
      <c r="T518" s="117">
        <v>4982.0</v>
      </c>
      <c r="U518" s="50" t="s">
        <v>18673</v>
      </c>
      <c r="V518" s="50" t="s">
        <v>18675</v>
      </c>
      <c r="W518" s="117">
        <v>519.0</v>
      </c>
    </row>
    <row r="519">
      <c r="A519" s="50" t="s">
        <v>18672</v>
      </c>
      <c r="B519" s="50" t="s">
        <v>6876</v>
      </c>
      <c r="C519" s="50" t="s">
        <v>6877</v>
      </c>
      <c r="D519" s="50" t="s">
        <v>8310</v>
      </c>
      <c r="E519" s="144">
        <v>43776.0</v>
      </c>
      <c r="F519" s="50" t="s">
        <v>18683</v>
      </c>
      <c r="G519" s="50">
        <v>59.0</v>
      </c>
      <c r="H519" s="50">
        <v>1.0</v>
      </c>
      <c r="I519" s="50">
        <v>11.0</v>
      </c>
      <c r="J519" s="116"/>
      <c r="K519" s="116"/>
      <c r="L519" s="50" t="s">
        <v>1514</v>
      </c>
      <c r="M519" s="50" t="s">
        <v>1514</v>
      </c>
      <c r="N519" s="50">
        <v>1.0</v>
      </c>
      <c r="O519" s="50" t="s">
        <v>11390</v>
      </c>
      <c r="P519" s="116"/>
      <c r="Q519" s="116"/>
      <c r="R519" s="50">
        <v>5.0</v>
      </c>
      <c r="S519" s="50" t="s">
        <v>18057</v>
      </c>
      <c r="T519" s="117">
        <v>4983.0</v>
      </c>
      <c r="U519" s="50" t="s">
        <v>18685</v>
      </c>
      <c r="V519" s="50" t="s">
        <v>18686</v>
      </c>
      <c r="W519" s="117">
        <v>520.0</v>
      </c>
    </row>
    <row r="520">
      <c r="A520" s="50" t="s">
        <v>18683</v>
      </c>
      <c r="B520" s="50" t="s">
        <v>6876</v>
      </c>
      <c r="C520" s="50" t="s">
        <v>6877</v>
      </c>
      <c r="D520" s="50" t="s">
        <v>8310</v>
      </c>
      <c r="E520" s="144">
        <v>43776.0</v>
      </c>
      <c r="F520" s="50" t="s">
        <v>18689</v>
      </c>
      <c r="G520" s="50">
        <v>59.0</v>
      </c>
      <c r="H520" s="50">
        <v>1.0</v>
      </c>
      <c r="I520" s="50">
        <v>99.0</v>
      </c>
      <c r="J520" s="116"/>
      <c r="K520" s="116"/>
      <c r="L520" s="50" t="s">
        <v>1515</v>
      </c>
      <c r="M520" s="50" t="s">
        <v>1515</v>
      </c>
      <c r="N520" s="50">
        <v>1.0</v>
      </c>
      <c r="O520" s="50" t="s">
        <v>11390</v>
      </c>
      <c r="P520" s="116"/>
      <c r="Q520" s="50" t="s">
        <v>15285</v>
      </c>
      <c r="R520" s="50">
        <v>5.0</v>
      </c>
      <c r="S520" s="50" t="s">
        <v>18057</v>
      </c>
      <c r="T520" s="117">
        <v>4984.0</v>
      </c>
      <c r="U520" s="50" t="s">
        <v>18692</v>
      </c>
      <c r="V520" s="50" t="s">
        <v>18693</v>
      </c>
      <c r="W520" s="117">
        <v>521.0</v>
      </c>
    </row>
    <row r="521">
      <c r="A521" s="50" t="s">
        <v>18689</v>
      </c>
      <c r="B521" s="50" t="s">
        <v>6876</v>
      </c>
      <c r="C521" s="50" t="s">
        <v>6877</v>
      </c>
      <c r="D521" s="50" t="s">
        <v>8310</v>
      </c>
      <c r="E521" s="144">
        <v>43776.0</v>
      </c>
      <c r="F521" s="50" t="s">
        <v>18694</v>
      </c>
      <c r="G521" s="50">
        <v>59.0</v>
      </c>
      <c r="H521" s="50">
        <v>1.0</v>
      </c>
      <c r="I521" s="50">
        <v>99.0</v>
      </c>
      <c r="J521" s="116"/>
      <c r="K521" s="116"/>
      <c r="L521" s="50" t="s">
        <v>1516</v>
      </c>
      <c r="M521" s="50" t="s">
        <v>1516</v>
      </c>
      <c r="N521" s="50">
        <v>1.0</v>
      </c>
      <c r="O521" s="50" t="s">
        <v>11390</v>
      </c>
      <c r="P521" s="116"/>
      <c r="Q521" s="50" t="s">
        <v>15285</v>
      </c>
      <c r="R521" s="50">
        <v>5.0</v>
      </c>
      <c r="S521" s="50" t="s">
        <v>18057</v>
      </c>
      <c r="T521" s="117">
        <v>4985.0</v>
      </c>
      <c r="U521" s="50" t="s">
        <v>18701</v>
      </c>
      <c r="V521" s="50" t="s">
        <v>18702</v>
      </c>
      <c r="W521" s="117">
        <v>522.0</v>
      </c>
    </row>
    <row r="522">
      <c r="A522" s="50" t="s">
        <v>18703</v>
      </c>
      <c r="B522" s="50" t="s">
        <v>6876</v>
      </c>
      <c r="C522" s="50" t="s">
        <v>6877</v>
      </c>
      <c r="D522" s="50" t="s">
        <v>8310</v>
      </c>
      <c r="E522" s="144">
        <v>43776.0</v>
      </c>
      <c r="F522" s="50" t="s">
        <v>18704</v>
      </c>
      <c r="G522" s="50">
        <v>59.0</v>
      </c>
      <c r="H522" s="50">
        <v>1.0</v>
      </c>
      <c r="I522" s="50">
        <v>11.0</v>
      </c>
      <c r="J522" s="116"/>
      <c r="K522" s="116"/>
      <c r="L522" s="50" t="s">
        <v>1517</v>
      </c>
      <c r="M522" s="50" t="s">
        <v>1517</v>
      </c>
      <c r="N522" s="50">
        <v>1.0</v>
      </c>
      <c r="O522" s="50" t="s">
        <v>11390</v>
      </c>
      <c r="P522" s="116"/>
      <c r="Q522" s="116"/>
      <c r="R522" s="50">
        <v>5.0</v>
      </c>
      <c r="S522" s="50" t="s">
        <v>18057</v>
      </c>
      <c r="T522" s="117">
        <v>4986.0</v>
      </c>
      <c r="U522" s="50" t="s">
        <v>18705</v>
      </c>
      <c r="V522" s="50" t="s">
        <v>18706</v>
      </c>
      <c r="W522" s="117">
        <v>523.0</v>
      </c>
    </row>
    <row r="523">
      <c r="A523" s="50" t="s">
        <v>18704</v>
      </c>
      <c r="B523" s="50" t="s">
        <v>6876</v>
      </c>
      <c r="C523" s="50" t="s">
        <v>6877</v>
      </c>
      <c r="D523" s="50" t="s">
        <v>8310</v>
      </c>
      <c r="E523" s="144">
        <v>43776.0</v>
      </c>
      <c r="F523" s="50" t="s">
        <v>18707</v>
      </c>
      <c r="G523" s="50">
        <v>59.0</v>
      </c>
      <c r="H523" s="50">
        <v>1.0</v>
      </c>
      <c r="I523" s="50">
        <v>99.0</v>
      </c>
      <c r="J523" s="116"/>
      <c r="K523" s="116"/>
      <c r="L523" s="50" t="s">
        <v>1518</v>
      </c>
      <c r="M523" s="50" t="s">
        <v>1518</v>
      </c>
      <c r="N523" s="50">
        <v>1.0</v>
      </c>
      <c r="O523" s="50" t="s">
        <v>11390</v>
      </c>
      <c r="P523" s="116"/>
      <c r="Q523" s="50" t="s">
        <v>15306</v>
      </c>
      <c r="R523" s="50">
        <v>5.0</v>
      </c>
      <c r="S523" s="50" t="s">
        <v>18057</v>
      </c>
      <c r="T523" s="117">
        <v>4987.0</v>
      </c>
      <c r="U523" s="50" t="s">
        <v>18708</v>
      </c>
      <c r="V523" s="50" t="s">
        <v>18709</v>
      </c>
      <c r="W523" s="117">
        <v>524.0</v>
      </c>
    </row>
    <row r="524">
      <c r="A524" s="50" t="s">
        <v>18707</v>
      </c>
      <c r="B524" s="50" t="s">
        <v>6876</v>
      </c>
      <c r="C524" s="50" t="s">
        <v>6877</v>
      </c>
      <c r="D524" s="50" t="s">
        <v>8310</v>
      </c>
      <c r="E524" s="144">
        <v>43776.0</v>
      </c>
      <c r="F524" s="50" t="s">
        <v>18710</v>
      </c>
      <c r="G524" s="50">
        <v>59.0</v>
      </c>
      <c r="H524" s="50">
        <v>1.0</v>
      </c>
      <c r="I524" s="50">
        <v>99.0</v>
      </c>
      <c r="J524" s="116"/>
      <c r="K524" s="116"/>
      <c r="L524" s="50" t="s">
        <v>1519</v>
      </c>
      <c r="M524" s="50" t="s">
        <v>1519</v>
      </c>
      <c r="N524" s="50">
        <v>1.0</v>
      </c>
      <c r="O524" s="50" t="s">
        <v>11390</v>
      </c>
      <c r="P524" s="116"/>
      <c r="Q524" s="50" t="s">
        <v>15306</v>
      </c>
      <c r="R524" s="50">
        <v>5.0</v>
      </c>
      <c r="S524" s="50" t="s">
        <v>18057</v>
      </c>
      <c r="T524" s="117">
        <v>4988.0</v>
      </c>
      <c r="U524" s="50" t="s">
        <v>18711</v>
      </c>
      <c r="V524" s="50" t="s">
        <v>18713</v>
      </c>
      <c r="W524" s="117">
        <v>525.0</v>
      </c>
    </row>
    <row r="525">
      <c r="A525" s="50" t="s">
        <v>18710</v>
      </c>
      <c r="B525" s="50" t="s">
        <v>6876</v>
      </c>
      <c r="C525" s="50" t="s">
        <v>6877</v>
      </c>
      <c r="D525" s="50" t="s">
        <v>8310</v>
      </c>
      <c r="E525" s="144">
        <v>43776.0</v>
      </c>
      <c r="F525" s="50" t="s">
        <v>18716</v>
      </c>
      <c r="G525" s="50">
        <v>59.0</v>
      </c>
      <c r="H525" s="50">
        <v>1.0</v>
      </c>
      <c r="I525" s="50">
        <v>11.0</v>
      </c>
      <c r="J525" s="116"/>
      <c r="K525" s="116"/>
      <c r="L525" s="50" t="s">
        <v>1520</v>
      </c>
      <c r="M525" s="50" t="s">
        <v>1520</v>
      </c>
      <c r="N525" s="50">
        <v>1.0</v>
      </c>
      <c r="O525" s="50" t="s">
        <v>11390</v>
      </c>
      <c r="P525" s="116"/>
      <c r="Q525" s="116"/>
      <c r="R525" s="50">
        <v>5.0</v>
      </c>
      <c r="S525" s="50" t="s">
        <v>18057</v>
      </c>
      <c r="T525" s="117">
        <v>4989.0</v>
      </c>
      <c r="U525" s="50" t="s">
        <v>18718</v>
      </c>
      <c r="V525" s="50" t="s">
        <v>18719</v>
      </c>
      <c r="W525" s="117">
        <v>526.0</v>
      </c>
    </row>
    <row r="526">
      <c r="A526" s="50" t="s">
        <v>18716</v>
      </c>
      <c r="B526" s="50" t="s">
        <v>6876</v>
      </c>
      <c r="C526" s="50" t="s">
        <v>6877</v>
      </c>
      <c r="D526" s="50" t="s">
        <v>8310</v>
      </c>
      <c r="E526" s="144">
        <v>43776.0</v>
      </c>
      <c r="F526" s="50" t="s">
        <v>18720</v>
      </c>
      <c r="G526" s="50">
        <v>59.0</v>
      </c>
      <c r="H526" s="50">
        <v>1.0</v>
      </c>
      <c r="I526" s="50">
        <v>99.0</v>
      </c>
      <c r="J526" s="116"/>
      <c r="K526" s="116"/>
      <c r="L526" s="50" t="s">
        <v>1521</v>
      </c>
      <c r="M526" s="50" t="s">
        <v>1521</v>
      </c>
      <c r="N526" s="50">
        <v>1.0</v>
      </c>
      <c r="O526" s="50" t="s">
        <v>11390</v>
      </c>
      <c r="P526" s="116"/>
      <c r="Q526" s="50" t="s">
        <v>15329</v>
      </c>
      <c r="R526" s="50">
        <v>5.0</v>
      </c>
      <c r="S526" s="50" t="s">
        <v>18057</v>
      </c>
      <c r="T526" s="117">
        <v>4990.0</v>
      </c>
      <c r="U526" s="50" t="s">
        <v>18721</v>
      </c>
      <c r="V526" s="50" t="s">
        <v>18722</v>
      </c>
      <c r="W526" s="117">
        <v>527.0</v>
      </c>
    </row>
    <row r="527">
      <c r="A527" s="50" t="s">
        <v>18720</v>
      </c>
      <c r="B527" s="50" t="s">
        <v>6876</v>
      </c>
      <c r="C527" s="50" t="s">
        <v>6877</v>
      </c>
      <c r="D527" s="50" t="s">
        <v>8310</v>
      </c>
      <c r="E527" s="144">
        <v>43776.0</v>
      </c>
      <c r="F527" s="50" t="s">
        <v>18723</v>
      </c>
      <c r="G527" s="50">
        <v>59.0</v>
      </c>
      <c r="H527" s="50">
        <v>1.0</v>
      </c>
      <c r="I527" s="50">
        <v>99.0</v>
      </c>
      <c r="J527" s="116"/>
      <c r="K527" s="116"/>
      <c r="L527" s="50" t="s">
        <v>1522</v>
      </c>
      <c r="M527" s="50" t="s">
        <v>1522</v>
      </c>
      <c r="N527" s="50">
        <v>1.0</v>
      </c>
      <c r="O527" s="50" t="s">
        <v>11390</v>
      </c>
      <c r="P527" s="116"/>
      <c r="Q527" s="50" t="s">
        <v>15329</v>
      </c>
      <c r="R527" s="50">
        <v>5.0</v>
      </c>
      <c r="S527" s="50" t="s">
        <v>18057</v>
      </c>
      <c r="T527" s="117">
        <v>4991.0</v>
      </c>
      <c r="U527" s="50" t="s">
        <v>18724</v>
      </c>
      <c r="V527" s="50" t="s">
        <v>18725</v>
      </c>
      <c r="W527" s="117">
        <v>528.0</v>
      </c>
    </row>
    <row r="528">
      <c r="A528" s="50" t="s">
        <v>18723</v>
      </c>
      <c r="B528" s="50" t="s">
        <v>6876</v>
      </c>
      <c r="C528" s="50" t="s">
        <v>6877</v>
      </c>
      <c r="D528" s="50" t="s">
        <v>8310</v>
      </c>
      <c r="E528" s="144">
        <v>43776.0</v>
      </c>
      <c r="F528" s="50" t="s">
        <v>18726</v>
      </c>
      <c r="G528" s="50">
        <v>66.0</v>
      </c>
      <c r="H528" s="50">
        <v>1.0</v>
      </c>
      <c r="I528" s="50">
        <v>12.0</v>
      </c>
      <c r="J528" s="116"/>
      <c r="K528" s="116"/>
      <c r="L528" s="50" t="s">
        <v>1502</v>
      </c>
      <c r="M528" s="50" t="s">
        <v>1502</v>
      </c>
      <c r="N528" s="50">
        <v>1.0</v>
      </c>
      <c r="O528" s="50" t="s">
        <v>11390</v>
      </c>
      <c r="P528" s="116"/>
      <c r="Q528" s="116"/>
      <c r="R528" s="50">
        <v>5.0</v>
      </c>
      <c r="S528" s="50" t="s">
        <v>18057</v>
      </c>
      <c r="T528" s="117">
        <v>4992.0</v>
      </c>
      <c r="U528" s="50" t="s">
        <v>18727</v>
      </c>
      <c r="V528" s="50" t="s">
        <v>18728</v>
      </c>
      <c r="W528" s="117">
        <v>529.0</v>
      </c>
    </row>
    <row r="529">
      <c r="A529" s="50" t="s">
        <v>18726</v>
      </c>
      <c r="B529" s="50" t="s">
        <v>6876</v>
      </c>
      <c r="C529" s="50" t="s">
        <v>6877</v>
      </c>
      <c r="D529" s="50" t="s">
        <v>8310</v>
      </c>
      <c r="E529" s="144">
        <v>43776.0</v>
      </c>
      <c r="F529" s="50" t="s">
        <v>18732</v>
      </c>
      <c r="G529" s="50">
        <v>66.0</v>
      </c>
      <c r="H529" s="50">
        <v>1.0</v>
      </c>
      <c r="I529" s="50">
        <v>99.0</v>
      </c>
      <c r="J529" s="116"/>
      <c r="K529" s="116"/>
      <c r="L529" s="50" t="s">
        <v>1503</v>
      </c>
      <c r="M529" s="50" t="s">
        <v>1503</v>
      </c>
      <c r="N529" s="50">
        <v>1.0</v>
      </c>
      <c r="O529" s="50" t="s">
        <v>11390</v>
      </c>
      <c r="P529" s="116"/>
      <c r="Q529" s="50" t="s">
        <v>15351</v>
      </c>
      <c r="R529" s="50">
        <v>5.0</v>
      </c>
      <c r="S529" s="50" t="s">
        <v>18057</v>
      </c>
      <c r="T529" s="117">
        <v>4993.0</v>
      </c>
      <c r="U529" s="50" t="s">
        <v>18736</v>
      </c>
      <c r="V529" s="50" t="s">
        <v>18737</v>
      </c>
      <c r="W529" s="117">
        <v>530.0</v>
      </c>
    </row>
    <row r="530">
      <c r="A530" s="50" t="s">
        <v>18732</v>
      </c>
      <c r="B530" s="50" t="s">
        <v>6876</v>
      </c>
      <c r="C530" s="50" t="s">
        <v>6877</v>
      </c>
      <c r="D530" s="50" t="s">
        <v>8310</v>
      </c>
      <c r="E530" s="144">
        <v>43776.0</v>
      </c>
      <c r="F530" s="50" t="s">
        <v>18738</v>
      </c>
      <c r="G530" s="50">
        <v>66.0</v>
      </c>
      <c r="H530" s="50">
        <v>1.0</v>
      </c>
      <c r="I530" s="50">
        <v>99.0</v>
      </c>
      <c r="J530" s="116"/>
      <c r="K530" s="116"/>
      <c r="L530" s="50" t="s">
        <v>1504</v>
      </c>
      <c r="M530" s="50" t="s">
        <v>1504</v>
      </c>
      <c r="N530" s="50">
        <v>1.0</v>
      </c>
      <c r="O530" s="50" t="s">
        <v>11390</v>
      </c>
      <c r="P530" s="116"/>
      <c r="Q530" s="50" t="s">
        <v>15351</v>
      </c>
      <c r="R530" s="50">
        <v>5.0</v>
      </c>
      <c r="S530" s="50" t="s">
        <v>18057</v>
      </c>
      <c r="T530" s="117">
        <v>4994.0</v>
      </c>
      <c r="U530" s="50" t="s">
        <v>18739</v>
      </c>
      <c r="V530" s="50" t="s">
        <v>18740</v>
      </c>
      <c r="W530" s="117">
        <v>531.0</v>
      </c>
    </row>
    <row r="531">
      <c r="A531" s="50" t="s">
        <v>18741</v>
      </c>
      <c r="B531" s="50" t="s">
        <v>6876</v>
      </c>
      <c r="C531" s="50" t="s">
        <v>6877</v>
      </c>
      <c r="D531" s="50" t="s">
        <v>8310</v>
      </c>
      <c r="E531" s="144">
        <v>43776.0</v>
      </c>
      <c r="F531" s="50" t="s">
        <v>18742</v>
      </c>
      <c r="G531" s="50">
        <v>59.0</v>
      </c>
      <c r="H531" s="50">
        <v>1.0</v>
      </c>
      <c r="I531" s="50">
        <v>12.0</v>
      </c>
      <c r="J531" s="116"/>
      <c r="K531" s="116"/>
      <c r="L531" s="50" t="s">
        <v>1505</v>
      </c>
      <c r="M531" s="50" t="s">
        <v>1505</v>
      </c>
      <c r="N531" s="50">
        <v>1.0</v>
      </c>
      <c r="O531" s="50" t="s">
        <v>11390</v>
      </c>
      <c r="P531" s="116"/>
      <c r="Q531" s="116"/>
      <c r="R531" s="50">
        <v>5.0</v>
      </c>
      <c r="S531" s="50" t="s">
        <v>18057</v>
      </c>
      <c r="T531" s="117">
        <v>4995.0</v>
      </c>
      <c r="U531" s="50" t="s">
        <v>18743</v>
      </c>
      <c r="V531" s="50" t="s">
        <v>18744</v>
      </c>
      <c r="W531" s="117">
        <v>532.0</v>
      </c>
    </row>
    <row r="532">
      <c r="A532" s="50" t="s">
        <v>18742</v>
      </c>
      <c r="B532" s="50" t="s">
        <v>6876</v>
      </c>
      <c r="C532" s="50" t="s">
        <v>6877</v>
      </c>
      <c r="D532" s="50" t="s">
        <v>8310</v>
      </c>
      <c r="E532" s="144">
        <v>43776.0</v>
      </c>
      <c r="F532" s="50" t="s">
        <v>18745</v>
      </c>
      <c r="G532" s="50">
        <v>59.0</v>
      </c>
      <c r="H532" s="50">
        <v>1.0</v>
      </c>
      <c r="I532" s="50">
        <v>99.0</v>
      </c>
      <c r="J532" s="116"/>
      <c r="K532" s="116"/>
      <c r="L532" s="50" t="s">
        <v>1506</v>
      </c>
      <c r="M532" s="50" t="s">
        <v>1506</v>
      </c>
      <c r="N532" s="50">
        <v>1.0</v>
      </c>
      <c r="O532" s="50" t="s">
        <v>11390</v>
      </c>
      <c r="P532" s="116"/>
      <c r="Q532" s="50" t="s">
        <v>18746</v>
      </c>
      <c r="R532" s="50">
        <v>5.0</v>
      </c>
      <c r="S532" s="50" t="s">
        <v>18057</v>
      </c>
      <c r="T532" s="117">
        <v>4996.0</v>
      </c>
      <c r="U532" s="50" t="s">
        <v>18747</v>
      </c>
      <c r="V532" s="50" t="s">
        <v>18748</v>
      </c>
      <c r="W532" s="117">
        <v>533.0</v>
      </c>
    </row>
    <row r="533">
      <c r="A533" s="50" t="s">
        <v>18745</v>
      </c>
      <c r="B533" s="50" t="s">
        <v>6876</v>
      </c>
      <c r="C533" s="50" t="s">
        <v>6877</v>
      </c>
      <c r="D533" s="50" t="s">
        <v>8310</v>
      </c>
      <c r="E533" s="144">
        <v>43776.0</v>
      </c>
      <c r="F533" s="50" t="s">
        <v>18751</v>
      </c>
      <c r="G533" s="50">
        <v>59.0</v>
      </c>
      <c r="H533" s="50">
        <v>1.0</v>
      </c>
      <c r="I533" s="50">
        <v>99.0</v>
      </c>
      <c r="J533" s="116"/>
      <c r="K533" s="116"/>
      <c r="L533" s="50" t="s">
        <v>1507</v>
      </c>
      <c r="M533" s="50" t="s">
        <v>1507</v>
      </c>
      <c r="N533" s="50">
        <v>1.0</v>
      </c>
      <c r="O533" s="50" t="s">
        <v>11390</v>
      </c>
      <c r="P533" s="116"/>
      <c r="Q533" s="50" t="s">
        <v>15371</v>
      </c>
      <c r="R533" s="50">
        <v>5.0</v>
      </c>
      <c r="S533" s="50" t="s">
        <v>18057</v>
      </c>
      <c r="T533" s="117">
        <v>4997.0</v>
      </c>
      <c r="U533" s="50" t="s">
        <v>18758</v>
      </c>
      <c r="V533" s="50" t="s">
        <v>18760</v>
      </c>
      <c r="W533" s="117">
        <v>534.0</v>
      </c>
    </row>
    <row r="534">
      <c r="A534" s="50" t="s">
        <v>18751</v>
      </c>
      <c r="B534" s="50" t="s">
        <v>6876</v>
      </c>
      <c r="C534" s="50" t="s">
        <v>6877</v>
      </c>
      <c r="D534" s="50" t="s">
        <v>8310</v>
      </c>
      <c r="E534" s="144">
        <v>43776.0</v>
      </c>
      <c r="F534" s="50" t="s">
        <v>18765</v>
      </c>
      <c r="G534" s="50">
        <v>33.0</v>
      </c>
      <c r="H534" s="50">
        <v>1.0</v>
      </c>
      <c r="I534" s="50">
        <v>98.0</v>
      </c>
      <c r="J534" s="116"/>
      <c r="K534" s="116"/>
      <c r="L534" s="50" t="s">
        <v>1500</v>
      </c>
      <c r="M534" s="50" t="s">
        <v>1500</v>
      </c>
      <c r="N534" s="50">
        <v>1.0</v>
      </c>
      <c r="O534" s="50" t="s">
        <v>11390</v>
      </c>
      <c r="P534" s="116"/>
      <c r="Q534" s="116"/>
      <c r="R534" s="50">
        <v>5.0</v>
      </c>
      <c r="S534" s="50" t="s">
        <v>18057</v>
      </c>
      <c r="T534" s="117">
        <v>4998.0</v>
      </c>
      <c r="U534" s="50" t="s">
        <v>18771</v>
      </c>
      <c r="V534" s="50" t="s">
        <v>18772</v>
      </c>
      <c r="W534" s="117">
        <v>535.0</v>
      </c>
    </row>
    <row r="535">
      <c r="A535" s="50" t="s">
        <v>18765</v>
      </c>
      <c r="B535" s="50" t="s">
        <v>6876</v>
      </c>
      <c r="C535" s="50" t="s">
        <v>6877</v>
      </c>
      <c r="D535" s="50" t="s">
        <v>8310</v>
      </c>
      <c r="E535" s="144">
        <v>43776.0</v>
      </c>
      <c r="F535" s="50" t="s">
        <v>18774</v>
      </c>
      <c r="G535" s="50">
        <v>58.0</v>
      </c>
      <c r="H535" s="50">
        <v>1.0</v>
      </c>
      <c r="I535" s="50">
        <v>15.0</v>
      </c>
      <c r="J535" s="116"/>
      <c r="K535" s="50">
        <v>151.0</v>
      </c>
      <c r="L535" s="50" t="s">
        <v>609</v>
      </c>
      <c r="M535" s="50" t="s">
        <v>609</v>
      </c>
      <c r="N535" s="50">
        <v>1.0</v>
      </c>
      <c r="O535" s="50" t="s">
        <v>11390</v>
      </c>
      <c r="P535" s="116"/>
      <c r="Q535" s="116"/>
      <c r="R535" s="50">
        <v>5.0</v>
      </c>
      <c r="S535" s="50" t="s">
        <v>18057</v>
      </c>
      <c r="T535" s="117">
        <v>4999.0</v>
      </c>
      <c r="U535" s="50" t="s">
        <v>18776</v>
      </c>
      <c r="V535" s="50" t="s">
        <v>18777</v>
      </c>
      <c r="W535" s="117">
        <v>536.0</v>
      </c>
    </row>
    <row r="536">
      <c r="A536" s="50" t="s">
        <v>18774</v>
      </c>
      <c r="B536" s="50" t="s">
        <v>6876</v>
      </c>
      <c r="C536" s="50" t="s">
        <v>6877</v>
      </c>
      <c r="D536" s="50" t="s">
        <v>8310</v>
      </c>
      <c r="E536" s="144">
        <v>43776.0</v>
      </c>
      <c r="F536" s="50" t="s">
        <v>18779</v>
      </c>
      <c r="G536" s="50">
        <v>58.0</v>
      </c>
      <c r="H536" s="50">
        <v>1.0</v>
      </c>
      <c r="I536" s="50">
        <v>15.0</v>
      </c>
      <c r="J536" s="116"/>
      <c r="K536" s="50">
        <v>152.0</v>
      </c>
      <c r="L536" s="50" t="s">
        <v>606</v>
      </c>
      <c r="M536" s="50" t="s">
        <v>606</v>
      </c>
      <c r="N536" s="50">
        <v>1.0</v>
      </c>
      <c r="O536" s="50" t="s">
        <v>11390</v>
      </c>
      <c r="P536" s="116"/>
      <c r="Q536" s="116"/>
      <c r="R536" s="50">
        <v>5.0</v>
      </c>
      <c r="S536" s="50" t="s">
        <v>18057</v>
      </c>
      <c r="T536" s="117">
        <v>5000.0</v>
      </c>
      <c r="U536" s="50" t="s">
        <v>18783</v>
      </c>
      <c r="V536" s="50" t="s">
        <v>18784</v>
      </c>
      <c r="W536" s="117">
        <v>537.0</v>
      </c>
    </row>
    <row r="537">
      <c r="A537" s="50" t="s">
        <v>18779</v>
      </c>
      <c r="B537" s="50" t="s">
        <v>6876</v>
      </c>
      <c r="C537" s="50" t="s">
        <v>6877</v>
      </c>
      <c r="D537" s="50" t="s">
        <v>8310</v>
      </c>
      <c r="E537" s="144">
        <v>43776.0</v>
      </c>
      <c r="F537" s="50" t="s">
        <v>18787</v>
      </c>
      <c r="G537" s="50">
        <v>58.0</v>
      </c>
      <c r="H537" s="50">
        <v>1.0</v>
      </c>
      <c r="I537" s="50">
        <v>15.0</v>
      </c>
      <c r="J537" s="116"/>
      <c r="K537" s="50">
        <v>152.0</v>
      </c>
      <c r="L537" s="50" t="s">
        <v>610</v>
      </c>
      <c r="M537" s="50" t="s">
        <v>610</v>
      </c>
      <c r="N537" s="50">
        <v>1.0</v>
      </c>
      <c r="O537" s="50" t="s">
        <v>11390</v>
      </c>
      <c r="P537" s="116"/>
      <c r="Q537" s="116"/>
      <c r="R537" s="50">
        <v>5.0</v>
      </c>
      <c r="S537" s="50" t="s">
        <v>18057</v>
      </c>
      <c r="T537" s="117">
        <v>5001.0</v>
      </c>
      <c r="U537" s="50" t="s">
        <v>18790</v>
      </c>
      <c r="V537" s="50" t="s">
        <v>18791</v>
      </c>
      <c r="W537" s="117">
        <v>538.0</v>
      </c>
    </row>
    <row r="538">
      <c r="A538" s="50" t="s">
        <v>18787</v>
      </c>
      <c r="B538" s="50" t="s">
        <v>6876</v>
      </c>
      <c r="C538" s="50" t="s">
        <v>6877</v>
      </c>
      <c r="D538" s="50" t="s">
        <v>8310</v>
      </c>
      <c r="E538" s="144">
        <v>43776.0</v>
      </c>
      <c r="F538" s="50" t="s">
        <v>18792</v>
      </c>
      <c r="G538" s="50">
        <v>58.0</v>
      </c>
      <c r="H538" s="50">
        <v>1.0</v>
      </c>
      <c r="I538" s="50">
        <v>15.0</v>
      </c>
      <c r="J538" s="116"/>
      <c r="K538" s="50">
        <v>152.0</v>
      </c>
      <c r="L538" s="50" t="s">
        <v>612</v>
      </c>
      <c r="M538" s="50" t="s">
        <v>612</v>
      </c>
      <c r="N538" s="50">
        <v>1.0</v>
      </c>
      <c r="O538" s="50" t="s">
        <v>11390</v>
      </c>
      <c r="P538" s="116"/>
      <c r="Q538" s="116"/>
      <c r="R538" s="50">
        <v>5.0</v>
      </c>
      <c r="S538" s="50" t="s">
        <v>18057</v>
      </c>
      <c r="T538" s="117">
        <v>5002.0</v>
      </c>
      <c r="U538" s="50" t="s">
        <v>18795</v>
      </c>
      <c r="V538" s="50" t="s">
        <v>18796</v>
      </c>
      <c r="W538" s="117">
        <v>539.0</v>
      </c>
    </row>
    <row r="539">
      <c r="A539" s="50" t="s">
        <v>18797</v>
      </c>
      <c r="B539" s="50" t="s">
        <v>6876</v>
      </c>
      <c r="C539" s="50" t="s">
        <v>6877</v>
      </c>
      <c r="D539" s="50" t="s">
        <v>8310</v>
      </c>
      <c r="E539" s="144">
        <v>43776.0</v>
      </c>
      <c r="F539" s="50" t="s">
        <v>18799</v>
      </c>
      <c r="G539" s="50">
        <v>58.0</v>
      </c>
      <c r="H539" s="50">
        <v>1.0</v>
      </c>
      <c r="I539" s="50">
        <v>99.0</v>
      </c>
      <c r="J539" s="116"/>
      <c r="K539" s="116"/>
      <c r="L539" s="50" t="s">
        <v>614</v>
      </c>
      <c r="M539" s="50" t="s">
        <v>614</v>
      </c>
      <c r="N539" s="50">
        <v>1.0</v>
      </c>
      <c r="O539" s="50" t="s">
        <v>11390</v>
      </c>
      <c r="P539" s="116"/>
      <c r="Q539" s="50" t="s">
        <v>15465</v>
      </c>
      <c r="R539" s="50">
        <v>5.0</v>
      </c>
      <c r="S539" s="50" t="s">
        <v>18057</v>
      </c>
      <c r="T539" s="117">
        <v>5003.0</v>
      </c>
      <c r="U539" s="50" t="s">
        <v>18800</v>
      </c>
      <c r="V539" s="50" t="s">
        <v>18801</v>
      </c>
      <c r="W539" s="117">
        <v>540.0</v>
      </c>
    </row>
    <row r="540">
      <c r="A540" s="50" t="s">
        <v>18802</v>
      </c>
      <c r="B540" s="50" t="s">
        <v>6876</v>
      </c>
      <c r="C540" s="50" t="s">
        <v>6877</v>
      </c>
      <c r="D540" s="50" t="s">
        <v>8310</v>
      </c>
      <c r="E540" s="144">
        <v>43776.0</v>
      </c>
      <c r="F540" s="50" t="s">
        <v>18803</v>
      </c>
      <c r="G540" s="50">
        <v>58.0</v>
      </c>
      <c r="H540" s="50">
        <v>1.0</v>
      </c>
      <c r="I540" s="50">
        <v>99.0</v>
      </c>
      <c r="J540" s="116"/>
      <c r="K540" s="116"/>
      <c r="L540" s="50" t="s">
        <v>1531</v>
      </c>
      <c r="M540" s="50" t="s">
        <v>1531</v>
      </c>
      <c r="N540" s="50">
        <v>1.0</v>
      </c>
      <c r="O540" s="50" t="s">
        <v>11390</v>
      </c>
      <c r="P540" s="116"/>
      <c r="Q540" s="50" t="s">
        <v>15465</v>
      </c>
      <c r="R540" s="50">
        <v>5.0</v>
      </c>
      <c r="S540" s="50" t="s">
        <v>18057</v>
      </c>
      <c r="T540" s="117">
        <v>5004.0</v>
      </c>
      <c r="U540" s="50" t="s">
        <v>18808</v>
      </c>
      <c r="V540" s="50" t="s">
        <v>18810</v>
      </c>
      <c r="W540" s="117">
        <v>541.0</v>
      </c>
    </row>
    <row r="541">
      <c r="A541" s="50" t="s">
        <v>18803</v>
      </c>
      <c r="B541" s="50" t="s">
        <v>6876</v>
      </c>
      <c r="C541" s="50" t="s">
        <v>6877</v>
      </c>
      <c r="D541" s="50" t="s">
        <v>8310</v>
      </c>
      <c r="E541" s="144">
        <v>43776.0</v>
      </c>
      <c r="F541" s="50" t="s">
        <v>18811</v>
      </c>
      <c r="G541" s="50">
        <v>33.0</v>
      </c>
      <c r="H541" s="50">
        <v>1.0</v>
      </c>
      <c r="I541" s="50">
        <v>98.0</v>
      </c>
      <c r="J541" s="116"/>
      <c r="K541" s="116"/>
      <c r="L541" s="50" t="s">
        <v>1523</v>
      </c>
      <c r="M541" s="50" t="s">
        <v>1523</v>
      </c>
      <c r="N541" s="50">
        <v>1.0</v>
      </c>
      <c r="O541" s="50" t="s">
        <v>11390</v>
      </c>
      <c r="P541" s="116"/>
      <c r="Q541" s="116"/>
      <c r="R541" s="50">
        <v>5.0</v>
      </c>
      <c r="S541" s="50" t="s">
        <v>18057</v>
      </c>
      <c r="T541" s="117">
        <v>5005.0</v>
      </c>
      <c r="U541" s="50" t="s">
        <v>18813</v>
      </c>
      <c r="V541" s="50" t="s">
        <v>18814</v>
      </c>
      <c r="W541" s="117">
        <v>542.0</v>
      </c>
    </row>
    <row r="542">
      <c r="A542" s="50" t="s">
        <v>18811</v>
      </c>
      <c r="B542" s="50" t="s">
        <v>6876</v>
      </c>
      <c r="C542" s="50" t="s">
        <v>6877</v>
      </c>
      <c r="D542" s="50" t="s">
        <v>8310</v>
      </c>
      <c r="E542" s="144">
        <v>43776.0</v>
      </c>
      <c r="F542" s="50" t="s">
        <v>18815</v>
      </c>
      <c r="G542" s="50">
        <v>59.0</v>
      </c>
      <c r="H542" s="50">
        <v>1.0</v>
      </c>
      <c r="I542" s="50">
        <v>11.0</v>
      </c>
      <c r="J542" s="116"/>
      <c r="K542" s="116"/>
      <c r="L542" s="50" t="s">
        <v>1525</v>
      </c>
      <c r="M542" s="50" t="s">
        <v>1525</v>
      </c>
      <c r="N542" s="50">
        <v>1.0</v>
      </c>
      <c r="O542" s="50" t="s">
        <v>11390</v>
      </c>
      <c r="P542" s="116"/>
      <c r="Q542" s="116"/>
      <c r="R542" s="50">
        <v>5.0</v>
      </c>
      <c r="S542" s="50" t="s">
        <v>18057</v>
      </c>
      <c r="T542" s="117">
        <v>5006.0</v>
      </c>
      <c r="U542" s="50" t="s">
        <v>18819</v>
      </c>
      <c r="V542" s="50" t="s">
        <v>18820</v>
      </c>
      <c r="W542" s="117">
        <v>543.0</v>
      </c>
    </row>
    <row r="543">
      <c r="A543" s="50" t="s">
        <v>18815</v>
      </c>
      <c r="B543" s="50" t="s">
        <v>6876</v>
      </c>
      <c r="C543" s="50" t="s">
        <v>6877</v>
      </c>
      <c r="D543" s="50" t="s">
        <v>8310</v>
      </c>
      <c r="E543" s="144">
        <v>43776.0</v>
      </c>
      <c r="F543" s="50" t="s">
        <v>18821</v>
      </c>
      <c r="G543" s="50">
        <v>59.0</v>
      </c>
      <c r="H543" s="50">
        <v>1.0</v>
      </c>
      <c r="I543" s="50">
        <v>99.0</v>
      </c>
      <c r="J543" s="116"/>
      <c r="K543" s="116"/>
      <c r="L543" s="50" t="s">
        <v>1526</v>
      </c>
      <c r="M543" s="50" t="s">
        <v>1526</v>
      </c>
      <c r="N543" s="50">
        <v>1.0</v>
      </c>
      <c r="O543" s="50" t="s">
        <v>11390</v>
      </c>
      <c r="P543" s="116"/>
      <c r="Q543" s="50" t="s">
        <v>15491</v>
      </c>
      <c r="R543" s="50">
        <v>5.0</v>
      </c>
      <c r="S543" s="50" t="s">
        <v>18057</v>
      </c>
      <c r="T543" s="117">
        <v>5007.0</v>
      </c>
      <c r="U543" s="50" t="s">
        <v>18826</v>
      </c>
      <c r="V543" s="50" t="s">
        <v>18827</v>
      </c>
      <c r="W543" s="117">
        <v>544.0</v>
      </c>
    </row>
    <row r="544">
      <c r="A544" s="50" t="s">
        <v>18821</v>
      </c>
      <c r="B544" s="50" t="s">
        <v>6876</v>
      </c>
      <c r="C544" s="50" t="s">
        <v>6877</v>
      </c>
      <c r="D544" s="50" t="s">
        <v>8310</v>
      </c>
      <c r="E544" s="144">
        <v>43776.0</v>
      </c>
      <c r="F544" s="50" t="s">
        <v>18830</v>
      </c>
      <c r="G544" s="50">
        <v>59.0</v>
      </c>
      <c r="H544" s="50">
        <v>1.0</v>
      </c>
      <c r="I544" s="50">
        <v>99.0</v>
      </c>
      <c r="J544" s="116"/>
      <c r="K544" s="116"/>
      <c r="L544" s="50" t="s">
        <v>1527</v>
      </c>
      <c r="M544" s="50" t="s">
        <v>1527</v>
      </c>
      <c r="N544" s="50">
        <v>1.0</v>
      </c>
      <c r="O544" s="50" t="s">
        <v>11390</v>
      </c>
      <c r="P544" s="116"/>
      <c r="Q544" s="50" t="s">
        <v>15491</v>
      </c>
      <c r="R544" s="50">
        <v>5.0</v>
      </c>
      <c r="S544" s="50" t="s">
        <v>18057</v>
      </c>
      <c r="T544" s="117">
        <v>5008.0</v>
      </c>
      <c r="U544" s="50" t="s">
        <v>18832</v>
      </c>
      <c r="V544" s="50" t="s">
        <v>18834</v>
      </c>
      <c r="W544" s="117">
        <v>545.0</v>
      </c>
    </row>
    <row r="545">
      <c r="A545" s="50" t="s">
        <v>18830</v>
      </c>
      <c r="B545" s="50" t="s">
        <v>6876</v>
      </c>
      <c r="C545" s="50" t="s">
        <v>6877</v>
      </c>
      <c r="D545" s="50" t="s">
        <v>8310</v>
      </c>
      <c r="E545" s="144">
        <v>43776.0</v>
      </c>
      <c r="F545" s="50" t="s">
        <v>18837</v>
      </c>
      <c r="G545" s="50">
        <v>59.0</v>
      </c>
      <c r="H545" s="50">
        <v>1.0</v>
      </c>
      <c r="I545" s="50">
        <v>11.0</v>
      </c>
      <c r="J545" s="116"/>
      <c r="K545" s="116"/>
      <c r="L545" s="50" t="s">
        <v>1528</v>
      </c>
      <c r="M545" s="50" t="s">
        <v>1528</v>
      </c>
      <c r="N545" s="50">
        <v>1.0</v>
      </c>
      <c r="O545" s="50" t="s">
        <v>11390</v>
      </c>
      <c r="P545" s="116"/>
      <c r="Q545" s="116"/>
      <c r="R545" s="50">
        <v>5.0</v>
      </c>
      <c r="S545" s="50" t="s">
        <v>18057</v>
      </c>
      <c r="T545" s="117">
        <v>5009.0</v>
      </c>
      <c r="U545" s="50" t="s">
        <v>18838</v>
      </c>
      <c r="V545" s="50" t="s">
        <v>18839</v>
      </c>
      <c r="W545" s="117">
        <v>546.0</v>
      </c>
    </row>
    <row r="546">
      <c r="A546" s="50" t="s">
        <v>18837</v>
      </c>
      <c r="B546" s="50" t="s">
        <v>6876</v>
      </c>
      <c r="C546" s="50" t="s">
        <v>6877</v>
      </c>
      <c r="D546" s="50" t="s">
        <v>8310</v>
      </c>
      <c r="E546" s="144">
        <v>43776.0</v>
      </c>
      <c r="F546" s="50" t="s">
        <v>18842</v>
      </c>
      <c r="G546" s="50">
        <v>59.0</v>
      </c>
      <c r="H546" s="50">
        <v>1.0</v>
      </c>
      <c r="I546" s="50">
        <v>99.0</v>
      </c>
      <c r="J546" s="116"/>
      <c r="K546" s="116"/>
      <c r="L546" s="50" t="s">
        <v>1529</v>
      </c>
      <c r="M546" s="50" t="s">
        <v>1529</v>
      </c>
      <c r="N546" s="50">
        <v>1.0</v>
      </c>
      <c r="O546" s="50" t="s">
        <v>11390</v>
      </c>
      <c r="P546" s="116"/>
      <c r="Q546" s="50" t="s">
        <v>15516</v>
      </c>
      <c r="R546" s="50">
        <v>5.0</v>
      </c>
      <c r="S546" s="50" t="s">
        <v>18057</v>
      </c>
      <c r="T546" s="117">
        <v>5010.0</v>
      </c>
      <c r="U546" s="50" t="s">
        <v>18844</v>
      </c>
      <c r="V546" s="50" t="s">
        <v>18845</v>
      </c>
      <c r="W546" s="117">
        <v>547.0</v>
      </c>
    </row>
    <row r="547">
      <c r="A547" s="50" t="s">
        <v>18842</v>
      </c>
      <c r="B547" s="50" t="s">
        <v>6876</v>
      </c>
      <c r="C547" s="50" t="s">
        <v>6877</v>
      </c>
      <c r="D547" s="50" t="s">
        <v>8310</v>
      </c>
      <c r="E547" s="144">
        <v>43776.0</v>
      </c>
      <c r="F547" s="50" t="s">
        <v>18846</v>
      </c>
      <c r="G547" s="50">
        <v>59.0</v>
      </c>
      <c r="H547" s="50">
        <v>1.0</v>
      </c>
      <c r="I547" s="50">
        <v>99.0</v>
      </c>
      <c r="J547" s="116"/>
      <c r="K547" s="116"/>
      <c r="L547" s="50" t="s">
        <v>1530</v>
      </c>
      <c r="M547" s="50" t="s">
        <v>1530</v>
      </c>
      <c r="N547" s="50">
        <v>1.0</v>
      </c>
      <c r="O547" s="50" t="s">
        <v>11390</v>
      </c>
      <c r="P547" s="116"/>
      <c r="Q547" s="50" t="s">
        <v>15516</v>
      </c>
      <c r="R547" s="50">
        <v>5.0</v>
      </c>
      <c r="S547" s="50" t="s">
        <v>18057</v>
      </c>
      <c r="T547" s="117">
        <v>5011.0</v>
      </c>
      <c r="U547" s="50" t="s">
        <v>18851</v>
      </c>
      <c r="V547" s="50" t="s">
        <v>18852</v>
      </c>
      <c r="W547" s="117">
        <v>548.0</v>
      </c>
    </row>
    <row r="548">
      <c r="A548" s="50" t="s">
        <v>18853</v>
      </c>
      <c r="B548" s="50" t="s">
        <v>6876</v>
      </c>
      <c r="C548" s="50" t="s">
        <v>6877</v>
      </c>
      <c r="D548" s="50" t="s">
        <v>8310</v>
      </c>
      <c r="E548" s="144">
        <v>43776.0</v>
      </c>
      <c r="F548" s="50" t="s">
        <v>18856</v>
      </c>
      <c r="G548" s="50">
        <v>33.0</v>
      </c>
      <c r="H548" s="50">
        <v>1.0</v>
      </c>
      <c r="I548" s="50">
        <v>98.0</v>
      </c>
      <c r="J548" s="116"/>
      <c r="K548" s="116"/>
      <c r="L548" s="50" t="s">
        <v>1532</v>
      </c>
      <c r="M548" s="50" t="s">
        <v>1532</v>
      </c>
      <c r="N548" s="50">
        <v>1.0</v>
      </c>
      <c r="O548" s="50" t="s">
        <v>11390</v>
      </c>
      <c r="P548" s="116"/>
      <c r="Q548" s="116"/>
      <c r="R548" s="50">
        <v>5.0</v>
      </c>
      <c r="S548" s="50" t="s">
        <v>18057</v>
      </c>
      <c r="T548" s="117">
        <v>5012.0</v>
      </c>
      <c r="U548" s="50" t="s">
        <v>18858</v>
      </c>
      <c r="V548" s="50" t="s">
        <v>18859</v>
      </c>
      <c r="W548" s="117">
        <v>549.0</v>
      </c>
    </row>
    <row r="549">
      <c r="A549" s="50" t="s">
        <v>18856</v>
      </c>
      <c r="B549" s="50" t="s">
        <v>6876</v>
      </c>
      <c r="C549" s="50" t="s">
        <v>6877</v>
      </c>
      <c r="D549" s="50" t="s">
        <v>8310</v>
      </c>
      <c r="E549" s="144">
        <v>43776.0</v>
      </c>
      <c r="F549" s="50" t="s">
        <v>18863</v>
      </c>
      <c r="G549" s="50">
        <v>33.0</v>
      </c>
      <c r="H549" s="50">
        <v>1.0</v>
      </c>
      <c r="I549" s="50">
        <v>98.0</v>
      </c>
      <c r="J549" s="116"/>
      <c r="K549" s="116"/>
      <c r="L549" s="50" t="s">
        <v>1534</v>
      </c>
      <c r="M549" s="50" t="s">
        <v>1534</v>
      </c>
      <c r="N549" s="50">
        <v>1.0</v>
      </c>
      <c r="O549" s="50" t="s">
        <v>11390</v>
      </c>
      <c r="P549" s="116"/>
      <c r="Q549" s="116"/>
      <c r="R549" s="50">
        <v>5.0</v>
      </c>
      <c r="S549" s="50" t="s">
        <v>18057</v>
      </c>
      <c r="T549" s="117">
        <v>5013.0</v>
      </c>
      <c r="U549" s="50" t="s">
        <v>18865</v>
      </c>
      <c r="V549" s="50" t="s">
        <v>18866</v>
      </c>
      <c r="W549" s="117">
        <v>550.0</v>
      </c>
    </row>
    <row r="550">
      <c r="A550" s="50" t="s">
        <v>18863</v>
      </c>
      <c r="B550" s="50" t="s">
        <v>6876</v>
      </c>
      <c r="C550" s="50" t="s">
        <v>6877</v>
      </c>
      <c r="D550" s="50" t="s">
        <v>8310</v>
      </c>
      <c r="E550" s="144">
        <v>43776.0</v>
      </c>
      <c r="F550" s="50" t="s">
        <v>18867</v>
      </c>
      <c r="G550" s="50">
        <v>59.0</v>
      </c>
      <c r="H550" s="50">
        <v>1.0</v>
      </c>
      <c r="I550" s="50">
        <v>11.0</v>
      </c>
      <c r="J550" s="116"/>
      <c r="K550" s="116"/>
      <c r="L550" s="50" t="s">
        <v>1535</v>
      </c>
      <c r="M550" s="50" t="s">
        <v>1535</v>
      </c>
      <c r="N550" s="50">
        <v>1.0</v>
      </c>
      <c r="O550" s="50" t="s">
        <v>18869</v>
      </c>
      <c r="P550" s="116"/>
      <c r="Q550" s="116"/>
      <c r="R550" s="50">
        <v>5.0</v>
      </c>
      <c r="S550" s="50" t="s">
        <v>18057</v>
      </c>
      <c r="T550" s="117">
        <v>5014.0</v>
      </c>
      <c r="U550" s="50" t="s">
        <v>18871</v>
      </c>
      <c r="V550" s="50" t="s">
        <v>18873</v>
      </c>
      <c r="W550" s="117">
        <v>551.0</v>
      </c>
    </row>
    <row r="551">
      <c r="A551" s="50" t="s">
        <v>18867</v>
      </c>
      <c r="B551" s="50" t="s">
        <v>6876</v>
      </c>
      <c r="C551" s="50" t="s">
        <v>6877</v>
      </c>
      <c r="D551" s="50" t="s">
        <v>8310</v>
      </c>
      <c r="E551" s="144">
        <v>43776.0</v>
      </c>
      <c r="F551" s="50" t="s">
        <v>18874</v>
      </c>
      <c r="G551" s="50">
        <v>59.0</v>
      </c>
      <c r="H551" s="50">
        <v>1.0</v>
      </c>
      <c r="I551" s="50">
        <v>99.0</v>
      </c>
      <c r="J551" s="116"/>
      <c r="K551" s="116"/>
      <c r="L551" s="50" t="s">
        <v>1536</v>
      </c>
      <c r="M551" s="50" t="s">
        <v>1536</v>
      </c>
      <c r="N551" s="50">
        <v>1.0</v>
      </c>
      <c r="O551" s="50" t="s">
        <v>18869</v>
      </c>
      <c r="P551" s="116"/>
      <c r="Q551" s="50" t="s">
        <v>15693</v>
      </c>
      <c r="R551" s="50">
        <v>5.0</v>
      </c>
      <c r="S551" s="50" t="s">
        <v>18057</v>
      </c>
      <c r="T551" s="117">
        <v>5015.0</v>
      </c>
      <c r="U551" s="50" t="s">
        <v>18878</v>
      </c>
      <c r="V551" s="50" t="s">
        <v>18879</v>
      </c>
      <c r="W551" s="117">
        <v>552.0</v>
      </c>
    </row>
    <row r="552">
      <c r="A552" s="50" t="s">
        <v>18874</v>
      </c>
      <c r="B552" s="50" t="s">
        <v>6876</v>
      </c>
      <c r="C552" s="50" t="s">
        <v>6877</v>
      </c>
      <c r="D552" s="50" t="s">
        <v>8310</v>
      </c>
      <c r="E552" s="144">
        <v>43776.0</v>
      </c>
      <c r="F552" s="50" t="s">
        <v>18880</v>
      </c>
      <c r="G552" s="50">
        <v>59.0</v>
      </c>
      <c r="H552" s="50">
        <v>1.0</v>
      </c>
      <c r="I552" s="50">
        <v>99.0</v>
      </c>
      <c r="J552" s="116"/>
      <c r="K552" s="116"/>
      <c r="L552" s="50" t="s">
        <v>1537</v>
      </c>
      <c r="M552" s="50" t="s">
        <v>1537</v>
      </c>
      <c r="N552" s="50">
        <v>1.0</v>
      </c>
      <c r="O552" s="50" t="s">
        <v>18869</v>
      </c>
      <c r="P552" s="116"/>
      <c r="Q552" s="50" t="s">
        <v>15693</v>
      </c>
      <c r="R552" s="50">
        <v>5.0</v>
      </c>
      <c r="S552" s="50" t="s">
        <v>18057</v>
      </c>
      <c r="T552" s="117">
        <v>5016.0</v>
      </c>
      <c r="U552" s="50" t="s">
        <v>18884</v>
      </c>
      <c r="V552" s="50" t="s">
        <v>18886</v>
      </c>
      <c r="W552" s="117">
        <v>553.0</v>
      </c>
    </row>
    <row r="553">
      <c r="A553" s="50" t="s">
        <v>18880</v>
      </c>
      <c r="B553" s="50" t="s">
        <v>6876</v>
      </c>
      <c r="C553" s="50" t="s">
        <v>6877</v>
      </c>
      <c r="D553" s="50" t="s">
        <v>8310</v>
      </c>
      <c r="E553" s="144">
        <v>43776.0</v>
      </c>
      <c r="F553" s="50" t="s">
        <v>18888</v>
      </c>
      <c r="G553" s="50">
        <v>59.0</v>
      </c>
      <c r="H553" s="50">
        <v>1.0</v>
      </c>
      <c r="I553" s="50">
        <v>11.0</v>
      </c>
      <c r="J553" s="116"/>
      <c r="K553" s="116"/>
      <c r="L553" s="50" t="s">
        <v>1538</v>
      </c>
      <c r="M553" s="50" t="s">
        <v>1538</v>
      </c>
      <c r="N553" s="50">
        <v>1.0</v>
      </c>
      <c r="O553" s="50" t="s">
        <v>18869</v>
      </c>
      <c r="P553" s="116"/>
      <c r="Q553" s="116"/>
      <c r="R553" s="50">
        <v>5.0</v>
      </c>
      <c r="S553" s="50" t="s">
        <v>18057</v>
      </c>
      <c r="T553" s="117">
        <v>5017.0</v>
      </c>
      <c r="U553" s="50" t="s">
        <v>18890</v>
      </c>
      <c r="V553" s="50" t="s">
        <v>18891</v>
      </c>
      <c r="W553" s="117">
        <v>554.0</v>
      </c>
    </row>
    <row r="554">
      <c r="A554" s="50" t="s">
        <v>18888</v>
      </c>
      <c r="B554" s="50" t="s">
        <v>6876</v>
      </c>
      <c r="C554" s="50" t="s">
        <v>6877</v>
      </c>
      <c r="D554" s="50" t="s">
        <v>8310</v>
      </c>
      <c r="E554" s="144">
        <v>43776.0</v>
      </c>
      <c r="F554" s="50" t="s">
        <v>18895</v>
      </c>
      <c r="G554" s="50">
        <v>59.0</v>
      </c>
      <c r="H554" s="50">
        <v>1.0</v>
      </c>
      <c r="I554" s="50">
        <v>99.0</v>
      </c>
      <c r="J554" s="116"/>
      <c r="K554" s="116"/>
      <c r="L554" s="50" t="s">
        <v>1540</v>
      </c>
      <c r="M554" s="50" t="s">
        <v>1540</v>
      </c>
      <c r="N554" s="50">
        <v>1.0</v>
      </c>
      <c r="O554" s="50" t="s">
        <v>18869</v>
      </c>
      <c r="P554" s="116"/>
      <c r="Q554" s="50" t="s">
        <v>18897</v>
      </c>
      <c r="R554" s="50">
        <v>5.0</v>
      </c>
      <c r="S554" s="50" t="s">
        <v>18057</v>
      </c>
      <c r="T554" s="117">
        <v>5018.0</v>
      </c>
      <c r="U554" s="50" t="s">
        <v>18898</v>
      </c>
      <c r="V554" s="50" t="s">
        <v>18900</v>
      </c>
      <c r="W554" s="117">
        <v>555.0</v>
      </c>
    </row>
    <row r="555">
      <c r="A555" s="50" t="s">
        <v>18895</v>
      </c>
      <c r="B555" s="50" t="s">
        <v>6876</v>
      </c>
      <c r="C555" s="50" t="s">
        <v>6877</v>
      </c>
      <c r="D555" s="50" t="s">
        <v>8310</v>
      </c>
      <c r="E555" s="144">
        <v>43776.0</v>
      </c>
      <c r="F555" s="50" t="s">
        <v>18901</v>
      </c>
      <c r="G555" s="50">
        <v>59.0</v>
      </c>
      <c r="H555" s="50">
        <v>1.0</v>
      </c>
      <c r="I555" s="50">
        <v>11.0</v>
      </c>
      <c r="J555" s="116"/>
      <c r="K555" s="116"/>
      <c r="L555" s="50" t="s">
        <v>1541</v>
      </c>
      <c r="M555" s="50" t="s">
        <v>1541</v>
      </c>
      <c r="N555" s="50">
        <v>1.0</v>
      </c>
      <c r="O555" s="50" t="s">
        <v>18869</v>
      </c>
      <c r="P555" s="116"/>
      <c r="Q555" s="116"/>
      <c r="R555" s="50">
        <v>5.0</v>
      </c>
      <c r="S555" s="50" t="s">
        <v>18057</v>
      </c>
      <c r="T555" s="117">
        <v>5019.0</v>
      </c>
      <c r="U555" s="50" t="s">
        <v>18905</v>
      </c>
      <c r="V555" s="50" t="s">
        <v>18906</v>
      </c>
      <c r="W555" s="117">
        <v>556.0</v>
      </c>
    </row>
    <row r="556">
      <c r="A556" s="50" t="s">
        <v>18901</v>
      </c>
      <c r="B556" s="50" t="s">
        <v>6876</v>
      </c>
      <c r="C556" s="50" t="s">
        <v>6877</v>
      </c>
      <c r="D556" s="50" t="s">
        <v>8310</v>
      </c>
      <c r="E556" s="144">
        <v>43776.0</v>
      </c>
      <c r="F556" s="50" t="s">
        <v>18908</v>
      </c>
      <c r="G556" s="50">
        <v>59.0</v>
      </c>
      <c r="H556" s="50">
        <v>1.0</v>
      </c>
      <c r="I556" s="50">
        <v>99.0</v>
      </c>
      <c r="J556" s="116"/>
      <c r="K556" s="116"/>
      <c r="L556" s="50" t="s">
        <v>272</v>
      </c>
      <c r="M556" s="50" t="s">
        <v>272</v>
      </c>
      <c r="N556" s="50">
        <v>1.0</v>
      </c>
      <c r="O556" s="50" t="s">
        <v>18869</v>
      </c>
      <c r="P556" s="116"/>
      <c r="Q556" s="50" t="s">
        <v>15789</v>
      </c>
      <c r="R556" s="50">
        <v>5.0</v>
      </c>
      <c r="S556" s="50" t="s">
        <v>18057</v>
      </c>
      <c r="T556" s="117">
        <v>5020.0</v>
      </c>
      <c r="U556" s="50" t="s">
        <v>18911</v>
      </c>
      <c r="V556" s="50" t="s">
        <v>18912</v>
      </c>
      <c r="W556" s="117">
        <v>557.0</v>
      </c>
    </row>
    <row r="557">
      <c r="A557" s="50" t="s">
        <v>18908</v>
      </c>
      <c r="B557" s="50" t="s">
        <v>6876</v>
      </c>
      <c r="C557" s="50" t="s">
        <v>6877</v>
      </c>
      <c r="D557" s="50" t="s">
        <v>8310</v>
      </c>
      <c r="E557" s="144">
        <v>43776.0</v>
      </c>
      <c r="F557" s="50" t="s">
        <v>18914</v>
      </c>
      <c r="G557" s="50">
        <v>59.0</v>
      </c>
      <c r="H557" s="50">
        <v>1.0</v>
      </c>
      <c r="I557" s="50">
        <v>11.0</v>
      </c>
      <c r="J557" s="116"/>
      <c r="K557" s="116"/>
      <c r="L557" s="50" t="s">
        <v>1547</v>
      </c>
      <c r="M557" s="50" t="s">
        <v>1547</v>
      </c>
      <c r="N557" s="50">
        <v>1.0</v>
      </c>
      <c r="O557" s="50" t="s">
        <v>18869</v>
      </c>
      <c r="P557" s="116"/>
      <c r="Q557" s="116"/>
      <c r="R557" s="50">
        <v>5.0</v>
      </c>
      <c r="S557" s="50" t="s">
        <v>18057</v>
      </c>
      <c r="T557" s="117">
        <v>5021.0</v>
      </c>
      <c r="U557" s="50" t="s">
        <v>18921</v>
      </c>
      <c r="V557" s="50" t="s">
        <v>18922</v>
      </c>
      <c r="W557" s="117">
        <v>558.0</v>
      </c>
    </row>
    <row r="558">
      <c r="A558" s="50" t="s">
        <v>18914</v>
      </c>
      <c r="B558" s="50" t="s">
        <v>6876</v>
      </c>
      <c r="C558" s="50" t="s">
        <v>6877</v>
      </c>
      <c r="D558" s="50" t="s">
        <v>8310</v>
      </c>
      <c r="E558" s="144">
        <v>43776.0</v>
      </c>
      <c r="F558" s="50" t="s">
        <v>18924</v>
      </c>
      <c r="G558" s="50">
        <v>59.0</v>
      </c>
      <c r="H558" s="50">
        <v>1.0</v>
      </c>
      <c r="I558" s="50">
        <v>99.0</v>
      </c>
      <c r="J558" s="116"/>
      <c r="K558" s="116"/>
      <c r="L558" s="50" t="s">
        <v>1549</v>
      </c>
      <c r="M558" s="50" t="s">
        <v>1549</v>
      </c>
      <c r="N558" s="50">
        <v>1.0</v>
      </c>
      <c r="O558" s="50" t="s">
        <v>18869</v>
      </c>
      <c r="P558" s="116"/>
      <c r="Q558" s="50" t="s">
        <v>15839</v>
      </c>
      <c r="R558" s="50">
        <v>5.0</v>
      </c>
      <c r="S558" s="50" t="s">
        <v>18057</v>
      </c>
      <c r="T558" s="117">
        <v>5022.0</v>
      </c>
      <c r="U558" s="50" t="s">
        <v>18925</v>
      </c>
      <c r="V558" s="50" t="s">
        <v>18926</v>
      </c>
      <c r="W558" s="117">
        <v>559.0</v>
      </c>
    </row>
    <row r="559">
      <c r="A559" s="50" t="s">
        <v>18924</v>
      </c>
      <c r="B559" s="50" t="s">
        <v>6876</v>
      </c>
      <c r="C559" s="50" t="s">
        <v>6877</v>
      </c>
      <c r="D559" s="50" t="s">
        <v>8310</v>
      </c>
      <c r="E559" s="144">
        <v>43776.0</v>
      </c>
      <c r="F559" s="50" t="s">
        <v>18929</v>
      </c>
      <c r="G559" s="50">
        <v>59.0</v>
      </c>
      <c r="H559" s="50">
        <v>1.0</v>
      </c>
      <c r="I559" s="50">
        <v>11.0</v>
      </c>
      <c r="J559" s="116"/>
      <c r="K559" s="116"/>
      <c r="L559" s="50" t="s">
        <v>1550</v>
      </c>
      <c r="M559" s="50" t="s">
        <v>1550</v>
      </c>
      <c r="N559" s="50">
        <v>1.0</v>
      </c>
      <c r="O559" s="50" t="s">
        <v>18869</v>
      </c>
      <c r="P559" s="116"/>
      <c r="Q559" s="116"/>
      <c r="R559" s="50">
        <v>5.0</v>
      </c>
      <c r="S559" s="50" t="s">
        <v>18057</v>
      </c>
      <c r="T559" s="117">
        <v>5023.0</v>
      </c>
      <c r="U559" s="50" t="s">
        <v>18931</v>
      </c>
      <c r="V559" s="50" t="s">
        <v>18932</v>
      </c>
      <c r="W559" s="117">
        <v>560.0</v>
      </c>
    </row>
    <row r="560">
      <c r="A560" s="50" t="s">
        <v>18929</v>
      </c>
      <c r="B560" s="50" t="s">
        <v>6876</v>
      </c>
      <c r="C560" s="50" t="s">
        <v>6877</v>
      </c>
      <c r="D560" s="50" t="s">
        <v>8310</v>
      </c>
      <c r="E560" s="144">
        <v>43776.0</v>
      </c>
      <c r="F560" s="50" t="s">
        <v>18933</v>
      </c>
      <c r="G560" s="50">
        <v>59.0</v>
      </c>
      <c r="H560" s="50">
        <v>1.0</v>
      </c>
      <c r="I560" s="50">
        <v>99.0</v>
      </c>
      <c r="J560" s="116"/>
      <c r="K560" s="116"/>
      <c r="L560" s="50" t="s">
        <v>1553</v>
      </c>
      <c r="M560" s="50" t="s">
        <v>1553</v>
      </c>
      <c r="N560" s="50">
        <v>1.0</v>
      </c>
      <c r="O560" s="50" t="s">
        <v>18869</v>
      </c>
      <c r="P560" s="116"/>
      <c r="Q560" s="50" t="s">
        <v>15882</v>
      </c>
      <c r="R560" s="50">
        <v>5.0</v>
      </c>
      <c r="S560" s="50" t="s">
        <v>18057</v>
      </c>
      <c r="T560" s="117">
        <v>5024.0</v>
      </c>
      <c r="U560" s="50" t="s">
        <v>18937</v>
      </c>
      <c r="V560" s="50" t="s">
        <v>18938</v>
      </c>
      <c r="W560" s="117">
        <v>561.0</v>
      </c>
    </row>
    <row r="561">
      <c r="A561" s="50" t="s">
        <v>18933</v>
      </c>
      <c r="B561" s="50" t="s">
        <v>6876</v>
      </c>
      <c r="C561" s="50" t="s">
        <v>6877</v>
      </c>
      <c r="D561" s="50" t="s">
        <v>8310</v>
      </c>
      <c r="E561" s="144">
        <v>43776.0</v>
      </c>
      <c r="F561" s="50" t="s">
        <v>18940</v>
      </c>
      <c r="G561" s="50">
        <v>33.0</v>
      </c>
      <c r="H561" s="50">
        <v>1.0</v>
      </c>
      <c r="I561" s="50">
        <v>98.0</v>
      </c>
      <c r="J561" s="116"/>
      <c r="K561" s="116"/>
      <c r="L561" s="50" t="s">
        <v>1554</v>
      </c>
      <c r="M561" s="50" t="s">
        <v>1554</v>
      </c>
      <c r="N561" s="50">
        <v>1.0</v>
      </c>
      <c r="O561" s="50" t="s">
        <v>18869</v>
      </c>
      <c r="P561" s="116"/>
      <c r="Q561" s="116"/>
      <c r="R561" s="50">
        <v>5.0</v>
      </c>
      <c r="S561" s="50" t="s">
        <v>18057</v>
      </c>
      <c r="T561" s="117">
        <v>5025.0</v>
      </c>
      <c r="U561" s="50" t="s">
        <v>18948</v>
      </c>
      <c r="V561" s="50" t="s">
        <v>18949</v>
      </c>
      <c r="W561" s="117">
        <v>562.0</v>
      </c>
    </row>
    <row r="562">
      <c r="A562" s="50" t="s">
        <v>18940</v>
      </c>
      <c r="B562" s="50" t="s">
        <v>6876</v>
      </c>
      <c r="C562" s="50" t="s">
        <v>6877</v>
      </c>
      <c r="D562" s="50" t="s">
        <v>8310</v>
      </c>
      <c r="E562" s="144">
        <v>43776.0</v>
      </c>
      <c r="F562" s="50" t="s">
        <v>18950</v>
      </c>
      <c r="G562" s="50">
        <v>59.0</v>
      </c>
      <c r="H562" s="50">
        <v>1.0</v>
      </c>
      <c r="I562" s="50">
        <v>11.0</v>
      </c>
      <c r="J562" s="116"/>
      <c r="K562" s="116"/>
      <c r="L562" s="50" t="s">
        <v>1561</v>
      </c>
      <c r="M562" s="50" t="s">
        <v>1561</v>
      </c>
      <c r="N562" s="50">
        <v>1.0</v>
      </c>
      <c r="O562" s="50" t="s">
        <v>18869</v>
      </c>
      <c r="P562" s="116"/>
      <c r="Q562" s="116"/>
      <c r="R562" s="50">
        <v>5.0</v>
      </c>
      <c r="S562" s="50" t="s">
        <v>18057</v>
      </c>
      <c r="T562" s="117">
        <v>5026.0</v>
      </c>
      <c r="U562" s="50" t="s">
        <v>18954</v>
      </c>
      <c r="V562" s="50" t="s">
        <v>18955</v>
      </c>
      <c r="W562" s="117">
        <v>563.0</v>
      </c>
    </row>
    <row r="563">
      <c r="A563" s="50" t="s">
        <v>18950</v>
      </c>
      <c r="B563" s="50" t="s">
        <v>6876</v>
      </c>
      <c r="C563" s="50" t="s">
        <v>6877</v>
      </c>
      <c r="D563" s="50" t="s">
        <v>8310</v>
      </c>
      <c r="E563" s="144">
        <v>43776.0</v>
      </c>
      <c r="F563" s="50" t="s">
        <v>18957</v>
      </c>
      <c r="G563" s="50">
        <v>59.0</v>
      </c>
      <c r="H563" s="50">
        <v>1.0</v>
      </c>
      <c r="I563" s="50">
        <v>99.0</v>
      </c>
      <c r="J563" s="116"/>
      <c r="K563" s="116"/>
      <c r="L563" s="50" t="s">
        <v>1563</v>
      </c>
      <c r="M563" s="50" t="s">
        <v>1563</v>
      </c>
      <c r="N563" s="50">
        <v>1.0</v>
      </c>
      <c r="O563" s="50" t="s">
        <v>18869</v>
      </c>
      <c r="P563" s="116"/>
      <c r="Q563" s="50" t="s">
        <v>15935</v>
      </c>
      <c r="R563" s="50">
        <v>5.0</v>
      </c>
      <c r="S563" s="50" t="s">
        <v>18057</v>
      </c>
      <c r="T563" s="117">
        <v>5027.0</v>
      </c>
      <c r="U563" s="50" t="s">
        <v>18961</v>
      </c>
      <c r="V563" s="50" t="s">
        <v>18962</v>
      </c>
      <c r="W563" s="117">
        <v>564.0</v>
      </c>
    </row>
    <row r="564">
      <c r="A564" s="50" t="s">
        <v>18964</v>
      </c>
      <c r="B564" s="50" t="s">
        <v>6876</v>
      </c>
      <c r="C564" s="50" t="s">
        <v>6877</v>
      </c>
      <c r="D564" s="50" t="s">
        <v>8310</v>
      </c>
      <c r="E564" s="144">
        <v>43776.0</v>
      </c>
      <c r="F564" s="50" t="s">
        <v>18965</v>
      </c>
      <c r="G564" s="50">
        <v>59.0</v>
      </c>
      <c r="H564" s="50">
        <v>1.0</v>
      </c>
      <c r="I564" s="50">
        <v>11.0</v>
      </c>
      <c r="J564" s="116"/>
      <c r="K564" s="116"/>
      <c r="L564" s="50" t="s">
        <v>1564</v>
      </c>
      <c r="M564" s="50" t="s">
        <v>1564</v>
      </c>
      <c r="N564" s="50">
        <v>1.0</v>
      </c>
      <c r="O564" s="50" t="s">
        <v>18869</v>
      </c>
      <c r="P564" s="116"/>
      <c r="Q564" s="116"/>
      <c r="R564" s="50">
        <v>5.0</v>
      </c>
      <c r="S564" s="50" t="s">
        <v>18057</v>
      </c>
      <c r="T564" s="117">
        <v>5028.0</v>
      </c>
      <c r="U564" s="50" t="s">
        <v>18967</v>
      </c>
      <c r="V564" s="50" t="s">
        <v>18969</v>
      </c>
      <c r="W564" s="117">
        <v>565.0</v>
      </c>
    </row>
    <row r="565">
      <c r="A565" s="50" t="s">
        <v>18965</v>
      </c>
      <c r="B565" s="50" t="s">
        <v>6876</v>
      </c>
      <c r="C565" s="50" t="s">
        <v>6877</v>
      </c>
      <c r="D565" s="50" t="s">
        <v>8310</v>
      </c>
      <c r="E565" s="144">
        <v>43776.0</v>
      </c>
      <c r="F565" s="50" t="s">
        <v>18973</v>
      </c>
      <c r="G565" s="50">
        <v>59.0</v>
      </c>
      <c r="H565" s="50">
        <v>1.0</v>
      </c>
      <c r="I565" s="50">
        <v>99.0</v>
      </c>
      <c r="J565" s="116"/>
      <c r="K565" s="116"/>
      <c r="L565" s="50" t="s">
        <v>1566</v>
      </c>
      <c r="M565" s="50" t="s">
        <v>1566</v>
      </c>
      <c r="N565" s="50">
        <v>1.0</v>
      </c>
      <c r="O565" s="50" t="s">
        <v>18869</v>
      </c>
      <c r="P565" s="116"/>
      <c r="Q565" s="50" t="s">
        <v>15980</v>
      </c>
      <c r="R565" s="50">
        <v>5.0</v>
      </c>
      <c r="S565" s="50" t="s">
        <v>18057</v>
      </c>
      <c r="T565" s="117">
        <v>5029.0</v>
      </c>
      <c r="U565" s="50" t="s">
        <v>18976</v>
      </c>
      <c r="V565" s="50" t="s">
        <v>18977</v>
      </c>
      <c r="W565" s="117">
        <v>566.0</v>
      </c>
    </row>
    <row r="566">
      <c r="A566" s="50" t="s">
        <v>18973</v>
      </c>
      <c r="B566" s="50" t="s">
        <v>6876</v>
      </c>
      <c r="C566" s="50" t="s">
        <v>6877</v>
      </c>
      <c r="D566" s="50" t="s">
        <v>8310</v>
      </c>
      <c r="E566" s="144">
        <v>43776.0</v>
      </c>
      <c r="F566" s="50" t="s">
        <v>18978</v>
      </c>
      <c r="G566" s="50">
        <v>57.0</v>
      </c>
      <c r="H566" s="50">
        <v>1.0</v>
      </c>
      <c r="I566" s="50">
        <v>12.0</v>
      </c>
      <c r="J566" s="116"/>
      <c r="K566" s="116"/>
      <c r="L566" s="50" t="s">
        <v>1557</v>
      </c>
      <c r="M566" s="50" t="s">
        <v>1557</v>
      </c>
      <c r="N566" s="50">
        <v>1.0</v>
      </c>
      <c r="O566" s="50" t="s">
        <v>18869</v>
      </c>
      <c r="P566" s="116"/>
      <c r="Q566" s="116"/>
      <c r="R566" s="50">
        <v>5.0</v>
      </c>
      <c r="S566" s="50" t="s">
        <v>18057</v>
      </c>
      <c r="T566" s="117">
        <v>5030.0</v>
      </c>
      <c r="U566" s="50" t="s">
        <v>18982</v>
      </c>
      <c r="V566" s="50" t="s">
        <v>18983</v>
      </c>
      <c r="W566" s="117">
        <v>567.0</v>
      </c>
    </row>
    <row r="567">
      <c r="A567" s="50" t="s">
        <v>18978</v>
      </c>
      <c r="B567" s="50" t="s">
        <v>6876</v>
      </c>
      <c r="C567" s="50" t="s">
        <v>6877</v>
      </c>
      <c r="D567" s="50" t="s">
        <v>8310</v>
      </c>
      <c r="E567" s="144">
        <v>43776.0</v>
      </c>
      <c r="F567" s="50" t="s">
        <v>18984</v>
      </c>
      <c r="G567" s="50">
        <v>57.0</v>
      </c>
      <c r="H567" s="50">
        <v>1.0</v>
      </c>
      <c r="I567" s="50">
        <v>99.0</v>
      </c>
      <c r="J567" s="116"/>
      <c r="K567" s="116"/>
      <c r="L567" s="50" t="s">
        <v>1560</v>
      </c>
      <c r="M567" s="50" t="s">
        <v>1560</v>
      </c>
      <c r="N567" s="50">
        <v>1.0</v>
      </c>
      <c r="O567" s="50" t="s">
        <v>18869</v>
      </c>
      <c r="P567" s="116"/>
      <c r="Q567" s="50" t="s">
        <v>16002</v>
      </c>
      <c r="R567" s="50">
        <v>5.0</v>
      </c>
      <c r="S567" s="50" t="s">
        <v>18057</v>
      </c>
      <c r="T567" s="117">
        <v>5031.0</v>
      </c>
      <c r="U567" s="50" t="s">
        <v>18987</v>
      </c>
      <c r="V567" s="50" t="s">
        <v>18989</v>
      </c>
      <c r="W567" s="117">
        <v>568.0</v>
      </c>
    </row>
    <row r="568">
      <c r="A568" s="50" t="s">
        <v>18984</v>
      </c>
      <c r="B568" s="50" t="s">
        <v>6876</v>
      </c>
      <c r="C568" s="50" t="s">
        <v>6877</v>
      </c>
      <c r="D568" s="50" t="s">
        <v>8310</v>
      </c>
      <c r="E568" s="144">
        <v>43776.0</v>
      </c>
      <c r="F568" s="50" t="s">
        <v>18992</v>
      </c>
      <c r="G568" s="50">
        <v>55.0</v>
      </c>
      <c r="H568" s="50">
        <v>1.0</v>
      </c>
      <c r="I568" s="50">
        <v>12.0</v>
      </c>
      <c r="J568" s="116"/>
      <c r="K568" s="116"/>
      <c r="L568" s="50" t="s">
        <v>1558</v>
      </c>
      <c r="M568" s="50" t="s">
        <v>1558</v>
      </c>
      <c r="N568" s="50">
        <v>1.0</v>
      </c>
      <c r="O568" s="50" t="s">
        <v>18869</v>
      </c>
      <c r="P568" s="116"/>
      <c r="Q568" s="116"/>
      <c r="R568" s="50">
        <v>5.0</v>
      </c>
      <c r="S568" s="50" t="s">
        <v>18057</v>
      </c>
      <c r="T568" s="117">
        <v>5032.0</v>
      </c>
      <c r="U568" s="50" t="s">
        <v>18997</v>
      </c>
      <c r="V568" s="50" t="s">
        <v>18998</v>
      </c>
      <c r="W568" s="117">
        <v>569.0</v>
      </c>
    </row>
    <row r="569">
      <c r="A569" s="50" t="s">
        <v>18999</v>
      </c>
      <c r="B569" s="50" t="s">
        <v>6876</v>
      </c>
      <c r="C569" s="50" t="s">
        <v>6877</v>
      </c>
      <c r="D569" s="50" t="s">
        <v>8310</v>
      </c>
      <c r="E569" s="144">
        <v>43776.0</v>
      </c>
      <c r="F569" s="50" t="s">
        <v>19001</v>
      </c>
      <c r="G569" s="50">
        <v>55.0</v>
      </c>
      <c r="H569" s="50">
        <v>1.0</v>
      </c>
      <c r="I569" s="50">
        <v>99.0</v>
      </c>
      <c r="J569" s="116"/>
      <c r="K569" s="116"/>
      <c r="L569" s="50" t="s">
        <v>269</v>
      </c>
      <c r="M569" s="50" t="s">
        <v>269</v>
      </c>
      <c r="N569" s="50">
        <v>1.0</v>
      </c>
      <c r="O569" s="50" t="s">
        <v>18869</v>
      </c>
      <c r="P569" s="116"/>
      <c r="Q569" s="50" t="s">
        <v>16024</v>
      </c>
      <c r="R569" s="50">
        <v>5.0</v>
      </c>
      <c r="S569" s="50" t="s">
        <v>18057</v>
      </c>
      <c r="T569" s="117">
        <v>5033.0</v>
      </c>
      <c r="U569" s="50" t="s">
        <v>19002</v>
      </c>
      <c r="V569" s="50" t="s">
        <v>19004</v>
      </c>
      <c r="W569" s="117">
        <v>570.0</v>
      </c>
    </row>
    <row r="570">
      <c r="A570" s="50" t="s">
        <v>19001</v>
      </c>
      <c r="B570" s="50" t="s">
        <v>6876</v>
      </c>
      <c r="C570" s="50" t="s">
        <v>6877</v>
      </c>
      <c r="D570" s="50" t="s">
        <v>8310</v>
      </c>
      <c r="E570" s="144">
        <v>43776.0</v>
      </c>
      <c r="F570" s="50" t="s">
        <v>19007</v>
      </c>
      <c r="G570" s="50">
        <v>33.0</v>
      </c>
      <c r="H570" s="50">
        <v>1.0</v>
      </c>
      <c r="I570" s="50">
        <v>98.0</v>
      </c>
      <c r="J570" s="116"/>
      <c r="K570" s="116"/>
      <c r="L570" s="50" t="s">
        <v>1567</v>
      </c>
      <c r="M570" s="50" t="s">
        <v>1567</v>
      </c>
      <c r="N570" s="50">
        <v>1.0</v>
      </c>
      <c r="O570" s="50" t="s">
        <v>18869</v>
      </c>
      <c r="P570" s="116"/>
      <c r="Q570" s="116"/>
      <c r="R570" s="50">
        <v>5.0</v>
      </c>
      <c r="S570" s="50" t="s">
        <v>18057</v>
      </c>
      <c r="T570" s="117">
        <v>5034.0</v>
      </c>
      <c r="U570" s="50" t="s">
        <v>19011</v>
      </c>
      <c r="V570" s="50" t="s">
        <v>19012</v>
      </c>
      <c r="W570" s="117">
        <v>571.0</v>
      </c>
    </row>
    <row r="571">
      <c r="A571" s="50" t="s">
        <v>19007</v>
      </c>
      <c r="B571" s="50" t="s">
        <v>6876</v>
      </c>
      <c r="C571" s="50" t="s">
        <v>6877</v>
      </c>
      <c r="D571" s="50" t="s">
        <v>8310</v>
      </c>
      <c r="E571" s="144">
        <v>43776.0</v>
      </c>
      <c r="F571" s="50" t="s">
        <v>19016</v>
      </c>
      <c r="G571" s="50">
        <v>33.0</v>
      </c>
      <c r="H571" s="50">
        <v>1.0</v>
      </c>
      <c r="I571" s="50">
        <v>98.0</v>
      </c>
      <c r="J571" s="116"/>
      <c r="K571" s="116"/>
      <c r="L571" s="50" t="s">
        <v>1556</v>
      </c>
      <c r="M571" s="50" t="s">
        <v>1556</v>
      </c>
      <c r="N571" s="50">
        <v>1.0</v>
      </c>
      <c r="O571" s="50" t="s">
        <v>18869</v>
      </c>
      <c r="P571" s="116"/>
      <c r="Q571" s="116"/>
      <c r="R571" s="50">
        <v>5.0</v>
      </c>
      <c r="S571" s="50" t="s">
        <v>18057</v>
      </c>
      <c r="T571" s="117">
        <v>5035.0</v>
      </c>
      <c r="U571" s="50" t="s">
        <v>19021</v>
      </c>
      <c r="V571" s="50" t="s">
        <v>19022</v>
      </c>
      <c r="W571" s="117">
        <v>572.0</v>
      </c>
    </row>
    <row r="572">
      <c r="A572" s="50" t="s">
        <v>19023</v>
      </c>
      <c r="B572" s="50" t="s">
        <v>6876</v>
      </c>
      <c r="C572" s="50" t="s">
        <v>6877</v>
      </c>
      <c r="D572" s="50" t="s">
        <v>11623</v>
      </c>
      <c r="E572" s="144">
        <v>43790.0</v>
      </c>
      <c r="F572" s="50" t="s">
        <v>19025</v>
      </c>
      <c r="G572" s="50">
        <v>58.0</v>
      </c>
      <c r="H572" s="50">
        <v>1.0</v>
      </c>
      <c r="I572" s="50">
        <v>14.0</v>
      </c>
      <c r="J572" s="50">
        <v>144.0</v>
      </c>
      <c r="K572" s="116"/>
      <c r="L572" s="50" t="s">
        <v>598</v>
      </c>
      <c r="M572" s="50" t="s">
        <v>598</v>
      </c>
      <c r="N572" s="50">
        <v>1.0</v>
      </c>
      <c r="O572" s="50" t="s">
        <v>16075</v>
      </c>
      <c r="P572" s="116"/>
      <c r="Q572" s="116"/>
      <c r="R572" s="50">
        <v>5.0</v>
      </c>
      <c r="S572" s="50" t="s">
        <v>18057</v>
      </c>
      <c r="T572" s="117">
        <v>5360.0</v>
      </c>
      <c r="U572" s="50" t="s">
        <v>19029</v>
      </c>
      <c r="V572" s="50" t="s">
        <v>19030</v>
      </c>
      <c r="W572" s="117">
        <v>573.0</v>
      </c>
    </row>
    <row r="573">
      <c r="A573" s="50" t="s">
        <v>19025</v>
      </c>
      <c r="B573" s="50" t="s">
        <v>6876</v>
      </c>
      <c r="C573" s="50" t="s">
        <v>6877</v>
      </c>
      <c r="D573" s="50" t="s">
        <v>11623</v>
      </c>
      <c r="E573" s="144">
        <v>43790.0</v>
      </c>
      <c r="F573" s="50" t="s">
        <v>19031</v>
      </c>
      <c r="G573" s="50">
        <v>58.0</v>
      </c>
      <c r="H573" s="50">
        <v>1.0</v>
      </c>
      <c r="I573" s="50">
        <v>14.0</v>
      </c>
      <c r="J573" s="50">
        <v>142.0</v>
      </c>
      <c r="K573" s="116"/>
      <c r="L573" s="50" t="s">
        <v>591</v>
      </c>
      <c r="M573" s="50" t="s">
        <v>591</v>
      </c>
      <c r="N573" s="50">
        <v>1.0</v>
      </c>
      <c r="O573" s="50" t="s">
        <v>16075</v>
      </c>
      <c r="P573" s="116"/>
      <c r="Q573" s="116"/>
      <c r="R573" s="50">
        <v>5.0</v>
      </c>
      <c r="S573" s="50" t="s">
        <v>18057</v>
      </c>
      <c r="T573" s="117">
        <v>5361.0</v>
      </c>
      <c r="U573" s="50" t="s">
        <v>19032</v>
      </c>
      <c r="V573" s="50" t="s">
        <v>19033</v>
      </c>
      <c r="W573" s="117">
        <v>574.0</v>
      </c>
    </row>
    <row r="574">
      <c r="A574" s="50" t="s">
        <v>19036</v>
      </c>
      <c r="B574" s="50" t="s">
        <v>6876</v>
      </c>
      <c r="C574" s="50" t="s">
        <v>6877</v>
      </c>
      <c r="D574" s="50" t="s">
        <v>11623</v>
      </c>
      <c r="E574" s="144">
        <v>43790.0</v>
      </c>
      <c r="F574" s="50" t="s">
        <v>19038</v>
      </c>
      <c r="G574" s="50">
        <v>58.0</v>
      </c>
      <c r="H574" s="50">
        <v>1.0</v>
      </c>
      <c r="I574" s="50">
        <v>14.0</v>
      </c>
      <c r="J574" s="50">
        <v>145.0</v>
      </c>
      <c r="K574" s="116"/>
      <c r="L574" s="50" t="s">
        <v>601</v>
      </c>
      <c r="M574" s="50" t="s">
        <v>601</v>
      </c>
      <c r="N574" s="50">
        <v>1.0</v>
      </c>
      <c r="O574" s="50" t="s">
        <v>16075</v>
      </c>
      <c r="P574" s="116"/>
      <c r="Q574" s="116"/>
      <c r="R574" s="50">
        <v>5.0</v>
      </c>
      <c r="S574" s="50" t="s">
        <v>18057</v>
      </c>
      <c r="T574" s="117">
        <v>5362.0</v>
      </c>
      <c r="U574" s="50" t="s">
        <v>19039</v>
      </c>
      <c r="V574" s="50" t="s">
        <v>19040</v>
      </c>
      <c r="W574" s="117">
        <v>575.0</v>
      </c>
    </row>
    <row r="575">
      <c r="A575" s="50" t="s">
        <v>19038</v>
      </c>
      <c r="B575" s="50" t="s">
        <v>6876</v>
      </c>
      <c r="C575" s="50" t="s">
        <v>6877</v>
      </c>
      <c r="D575" s="50" t="s">
        <v>11623</v>
      </c>
      <c r="E575" s="144">
        <v>43790.0</v>
      </c>
      <c r="F575" s="50" t="s">
        <v>19047</v>
      </c>
      <c r="G575" s="50">
        <v>58.0</v>
      </c>
      <c r="H575" s="50">
        <v>1.0</v>
      </c>
      <c r="I575" s="50">
        <v>14.0</v>
      </c>
      <c r="J575" s="50">
        <v>141.0</v>
      </c>
      <c r="K575" s="116"/>
      <c r="L575" s="50" t="s">
        <v>589</v>
      </c>
      <c r="M575" s="50" t="s">
        <v>589</v>
      </c>
      <c r="N575" s="50">
        <v>1.0</v>
      </c>
      <c r="O575" s="50" t="s">
        <v>16075</v>
      </c>
      <c r="P575" s="116"/>
      <c r="Q575" s="116"/>
      <c r="R575" s="50">
        <v>5.0</v>
      </c>
      <c r="S575" s="50" t="s">
        <v>18057</v>
      </c>
      <c r="T575" s="117">
        <v>5363.0</v>
      </c>
      <c r="U575" s="50" t="s">
        <v>19048</v>
      </c>
      <c r="V575" s="50" t="s">
        <v>19050</v>
      </c>
      <c r="W575" s="117">
        <v>576.0</v>
      </c>
    </row>
    <row r="576">
      <c r="A576" s="50" t="s">
        <v>19047</v>
      </c>
      <c r="B576" s="50" t="s">
        <v>6876</v>
      </c>
      <c r="C576" s="50" t="s">
        <v>6877</v>
      </c>
      <c r="D576" s="50" t="s">
        <v>11623</v>
      </c>
      <c r="E576" s="144">
        <v>43790.0</v>
      </c>
      <c r="F576" s="50" t="s">
        <v>19053</v>
      </c>
      <c r="G576" s="50">
        <v>58.0</v>
      </c>
      <c r="H576" s="50">
        <v>1.0</v>
      </c>
      <c r="I576" s="50">
        <v>14.0</v>
      </c>
      <c r="J576" s="50">
        <v>143.0</v>
      </c>
      <c r="K576" s="116"/>
      <c r="L576" s="50" t="s">
        <v>594</v>
      </c>
      <c r="M576" s="50" t="s">
        <v>594</v>
      </c>
      <c r="N576" s="50">
        <v>1.0</v>
      </c>
      <c r="O576" s="50" t="s">
        <v>16075</v>
      </c>
      <c r="P576" s="116"/>
      <c r="Q576" s="116"/>
      <c r="R576" s="50">
        <v>5.0</v>
      </c>
      <c r="S576" s="50" t="s">
        <v>18057</v>
      </c>
      <c r="T576" s="117">
        <v>5364.0</v>
      </c>
      <c r="U576" s="50" t="s">
        <v>19054</v>
      </c>
      <c r="V576" s="50" t="s">
        <v>19055</v>
      </c>
      <c r="W576" s="117">
        <v>577.0</v>
      </c>
    </row>
    <row r="577">
      <c r="A577" s="50" t="s">
        <v>19053</v>
      </c>
      <c r="B577" s="50" t="s">
        <v>6876</v>
      </c>
      <c r="C577" s="50" t="s">
        <v>6877</v>
      </c>
      <c r="D577" s="50" t="s">
        <v>11623</v>
      </c>
      <c r="E577" s="144">
        <v>43790.0</v>
      </c>
      <c r="F577" s="50" t="s">
        <v>19058</v>
      </c>
      <c r="G577" s="50">
        <v>58.0</v>
      </c>
      <c r="H577" s="50">
        <v>1.0</v>
      </c>
      <c r="I577" s="50">
        <v>99.0</v>
      </c>
      <c r="J577" s="116"/>
      <c r="K577" s="116"/>
      <c r="L577" s="50" t="s">
        <v>1569</v>
      </c>
      <c r="M577" s="50" t="s">
        <v>1569</v>
      </c>
      <c r="N577" s="50">
        <v>1.0</v>
      </c>
      <c r="O577" s="50" t="s">
        <v>16075</v>
      </c>
      <c r="P577" s="116"/>
      <c r="Q577" s="50" t="s">
        <v>19061</v>
      </c>
      <c r="R577" s="50">
        <v>5.0</v>
      </c>
      <c r="S577" s="50" t="s">
        <v>18057</v>
      </c>
      <c r="T577" s="117">
        <v>5365.0</v>
      </c>
      <c r="U577" s="50" t="s">
        <v>19064</v>
      </c>
      <c r="V577" s="50" t="s">
        <v>19065</v>
      </c>
      <c r="W577" s="117">
        <v>578.0</v>
      </c>
    </row>
    <row r="578">
      <c r="A578" s="50" t="s">
        <v>19058</v>
      </c>
      <c r="B578" s="50" t="s">
        <v>6876</v>
      </c>
      <c r="C578" s="50" t="s">
        <v>6877</v>
      </c>
      <c r="D578" s="50" t="s">
        <v>11623</v>
      </c>
      <c r="E578" s="144">
        <v>43790.0</v>
      </c>
      <c r="F578" s="50" t="s">
        <v>19071</v>
      </c>
      <c r="G578" s="50">
        <v>33.0</v>
      </c>
      <c r="H578" s="50">
        <v>1.0</v>
      </c>
      <c r="I578" s="50">
        <v>98.0</v>
      </c>
      <c r="J578" s="116"/>
      <c r="K578" s="116"/>
      <c r="L578" s="50" t="s">
        <v>1570</v>
      </c>
      <c r="M578" s="50" t="s">
        <v>1570</v>
      </c>
      <c r="N578" s="50">
        <v>1.0</v>
      </c>
      <c r="O578" s="50" t="s">
        <v>16075</v>
      </c>
      <c r="P578" s="116"/>
      <c r="Q578" s="116"/>
      <c r="R578" s="50">
        <v>5.0</v>
      </c>
      <c r="S578" s="50" t="s">
        <v>18057</v>
      </c>
      <c r="T578" s="117">
        <v>5366.0</v>
      </c>
      <c r="U578" s="50" t="s">
        <v>19074</v>
      </c>
      <c r="V578" s="50" t="s">
        <v>19075</v>
      </c>
      <c r="W578" s="117">
        <v>579.0</v>
      </c>
    </row>
    <row r="579">
      <c r="A579" s="50" t="s">
        <v>19071</v>
      </c>
      <c r="B579" s="50" t="s">
        <v>6876</v>
      </c>
      <c r="C579" s="50" t="s">
        <v>6877</v>
      </c>
      <c r="D579" s="50" t="s">
        <v>11623</v>
      </c>
      <c r="E579" s="144">
        <v>43790.0</v>
      </c>
      <c r="F579" s="50" t="s">
        <v>19077</v>
      </c>
      <c r="G579" s="50">
        <v>66.0</v>
      </c>
      <c r="H579" s="50">
        <v>1.0</v>
      </c>
      <c r="I579" s="50">
        <v>12.0</v>
      </c>
      <c r="J579" s="116"/>
      <c r="K579" s="116"/>
      <c r="L579" s="50" t="s">
        <v>1573</v>
      </c>
      <c r="M579" s="50" t="s">
        <v>1573</v>
      </c>
      <c r="N579" s="50">
        <v>1.0</v>
      </c>
      <c r="O579" s="50" t="s">
        <v>16077</v>
      </c>
      <c r="P579" s="116"/>
      <c r="Q579" s="116"/>
      <c r="R579" s="50">
        <v>5.0</v>
      </c>
      <c r="S579" s="50" t="s">
        <v>18057</v>
      </c>
      <c r="T579" s="117">
        <v>5367.0</v>
      </c>
      <c r="U579" s="50" t="s">
        <v>19083</v>
      </c>
      <c r="V579" s="50" t="s">
        <v>19085</v>
      </c>
      <c r="W579" s="117">
        <v>580.0</v>
      </c>
    </row>
    <row r="580">
      <c r="A580" s="50" t="s">
        <v>19087</v>
      </c>
      <c r="B580" s="50" t="s">
        <v>6876</v>
      </c>
      <c r="C580" s="50" t="s">
        <v>6877</v>
      </c>
      <c r="D580" s="50" t="s">
        <v>11623</v>
      </c>
      <c r="E580" s="144">
        <v>43790.0</v>
      </c>
      <c r="F580" s="50" t="s">
        <v>19088</v>
      </c>
      <c r="G580" s="50">
        <v>66.0</v>
      </c>
      <c r="H580" s="50">
        <v>1.0</v>
      </c>
      <c r="I580" s="50">
        <v>99.0</v>
      </c>
      <c r="J580" s="116"/>
      <c r="K580" s="116"/>
      <c r="L580" s="50" t="s">
        <v>1575</v>
      </c>
      <c r="M580" s="50" t="s">
        <v>1575</v>
      </c>
      <c r="N580" s="50">
        <v>1.0</v>
      </c>
      <c r="O580" s="50" t="s">
        <v>16077</v>
      </c>
      <c r="P580" s="116"/>
      <c r="Q580" s="50" t="s">
        <v>16221</v>
      </c>
      <c r="R580" s="50">
        <v>5.0</v>
      </c>
      <c r="S580" s="50" t="s">
        <v>18057</v>
      </c>
      <c r="T580" s="117">
        <v>5368.0</v>
      </c>
      <c r="U580" s="50" t="s">
        <v>19092</v>
      </c>
      <c r="V580" s="50" t="s">
        <v>19093</v>
      </c>
      <c r="W580" s="117">
        <v>581.0</v>
      </c>
    </row>
    <row r="581">
      <c r="A581" s="50" t="s">
        <v>19094</v>
      </c>
      <c r="B581" s="50" t="s">
        <v>6876</v>
      </c>
      <c r="C581" s="50" t="s">
        <v>6877</v>
      </c>
      <c r="D581" s="50" t="s">
        <v>11623</v>
      </c>
      <c r="E581" s="144">
        <v>43790.0</v>
      </c>
      <c r="F581" s="50" t="s">
        <v>19095</v>
      </c>
      <c r="G581" s="50">
        <v>59.0</v>
      </c>
      <c r="H581" s="50">
        <v>1.0</v>
      </c>
      <c r="I581" s="50">
        <v>12.0</v>
      </c>
      <c r="J581" s="116"/>
      <c r="K581" s="116"/>
      <c r="L581" s="50" t="s">
        <v>1576</v>
      </c>
      <c r="M581" s="50" t="s">
        <v>1576</v>
      </c>
      <c r="N581" s="50">
        <v>1.0</v>
      </c>
      <c r="O581" s="50" t="s">
        <v>16077</v>
      </c>
      <c r="P581" s="116"/>
      <c r="Q581" s="116"/>
      <c r="R581" s="50">
        <v>5.0</v>
      </c>
      <c r="S581" s="50" t="s">
        <v>18057</v>
      </c>
      <c r="T581" s="117">
        <v>5369.0</v>
      </c>
      <c r="U581" s="50" t="s">
        <v>19098</v>
      </c>
      <c r="V581" s="50" t="s">
        <v>19100</v>
      </c>
      <c r="W581" s="117">
        <v>582.0</v>
      </c>
    </row>
    <row r="582">
      <c r="A582" s="50" t="s">
        <v>19095</v>
      </c>
      <c r="B582" s="50" t="s">
        <v>6876</v>
      </c>
      <c r="C582" s="50" t="s">
        <v>6877</v>
      </c>
      <c r="D582" s="50" t="s">
        <v>11623</v>
      </c>
      <c r="E582" s="144">
        <v>43790.0</v>
      </c>
      <c r="F582" s="50" t="s">
        <v>19104</v>
      </c>
      <c r="G582" s="50">
        <v>59.0</v>
      </c>
      <c r="H582" s="50">
        <v>1.0</v>
      </c>
      <c r="I582" s="50">
        <v>99.0</v>
      </c>
      <c r="J582" s="116"/>
      <c r="K582" s="116"/>
      <c r="L582" s="50" t="s">
        <v>1578</v>
      </c>
      <c r="M582" s="50" t="s">
        <v>1578</v>
      </c>
      <c r="N582" s="50">
        <v>1.0</v>
      </c>
      <c r="O582" s="50" t="s">
        <v>16077</v>
      </c>
      <c r="P582" s="116"/>
      <c r="Q582" s="50" t="s">
        <v>16241</v>
      </c>
      <c r="R582" s="50">
        <v>5.0</v>
      </c>
      <c r="S582" s="50" t="s">
        <v>18057</v>
      </c>
      <c r="T582" s="117">
        <v>5370.0</v>
      </c>
      <c r="U582" s="50" t="s">
        <v>19107</v>
      </c>
      <c r="V582" s="50" t="s">
        <v>19109</v>
      </c>
      <c r="W582" s="117">
        <v>583.0</v>
      </c>
    </row>
    <row r="583">
      <c r="A583" s="50" t="s">
        <v>19104</v>
      </c>
      <c r="B583" s="50" t="s">
        <v>6876</v>
      </c>
      <c r="C583" s="50" t="s">
        <v>6877</v>
      </c>
      <c r="D583" s="50" t="s">
        <v>11623</v>
      </c>
      <c r="E583" s="144">
        <v>43790.0</v>
      </c>
      <c r="F583" s="50" t="s">
        <v>19110</v>
      </c>
      <c r="G583" s="50">
        <v>59.0</v>
      </c>
      <c r="H583" s="50">
        <v>1.0</v>
      </c>
      <c r="I583" s="50">
        <v>11.0</v>
      </c>
      <c r="J583" s="116"/>
      <c r="K583" s="116"/>
      <c r="L583" s="50" t="s">
        <v>1579</v>
      </c>
      <c r="M583" s="50" t="s">
        <v>1579</v>
      </c>
      <c r="N583" s="50">
        <v>1.0</v>
      </c>
      <c r="O583" s="50" t="s">
        <v>16077</v>
      </c>
      <c r="P583" s="116"/>
      <c r="Q583" s="116"/>
      <c r="R583" s="50">
        <v>5.0</v>
      </c>
      <c r="S583" s="50" t="s">
        <v>18057</v>
      </c>
      <c r="T583" s="117">
        <v>5371.0</v>
      </c>
      <c r="U583" s="50" t="s">
        <v>19114</v>
      </c>
      <c r="V583" s="50" t="s">
        <v>19116</v>
      </c>
      <c r="W583" s="117">
        <v>584.0</v>
      </c>
    </row>
    <row r="584">
      <c r="A584" s="50" t="s">
        <v>19110</v>
      </c>
      <c r="B584" s="50" t="s">
        <v>6876</v>
      </c>
      <c r="C584" s="50" t="s">
        <v>6877</v>
      </c>
      <c r="D584" s="50" t="s">
        <v>11623</v>
      </c>
      <c r="E584" s="144">
        <v>43790.0</v>
      </c>
      <c r="F584" s="50" t="s">
        <v>19118</v>
      </c>
      <c r="G584" s="50">
        <v>59.0</v>
      </c>
      <c r="H584" s="50">
        <v>1.0</v>
      </c>
      <c r="I584" s="50">
        <v>99.0</v>
      </c>
      <c r="J584" s="116"/>
      <c r="K584" s="116"/>
      <c r="L584" s="50" t="s">
        <v>1581</v>
      </c>
      <c r="M584" s="50" t="s">
        <v>1581</v>
      </c>
      <c r="N584" s="50">
        <v>1.0</v>
      </c>
      <c r="O584" s="50" t="s">
        <v>16077</v>
      </c>
      <c r="P584" s="116"/>
      <c r="Q584" s="50" t="s">
        <v>16272</v>
      </c>
      <c r="R584" s="50">
        <v>5.0</v>
      </c>
      <c r="S584" s="50" t="s">
        <v>18057</v>
      </c>
      <c r="T584" s="117">
        <v>5372.0</v>
      </c>
      <c r="U584" s="50" t="s">
        <v>19122</v>
      </c>
      <c r="V584" s="50" t="s">
        <v>19123</v>
      </c>
      <c r="W584" s="117">
        <v>585.0</v>
      </c>
    </row>
    <row r="585">
      <c r="A585" s="50" t="s">
        <v>19118</v>
      </c>
      <c r="B585" s="50" t="s">
        <v>6876</v>
      </c>
      <c r="C585" s="50" t="s">
        <v>6877</v>
      </c>
      <c r="D585" s="50" t="s">
        <v>11623</v>
      </c>
      <c r="E585" s="144">
        <v>43790.0</v>
      </c>
      <c r="F585" s="50" t="s">
        <v>19126</v>
      </c>
      <c r="G585" s="50">
        <v>59.0</v>
      </c>
      <c r="H585" s="50">
        <v>1.0</v>
      </c>
      <c r="I585" s="50">
        <v>11.0</v>
      </c>
      <c r="J585" s="116"/>
      <c r="K585" s="116"/>
      <c r="L585" s="50" t="s">
        <v>1582</v>
      </c>
      <c r="M585" s="50" t="s">
        <v>1582</v>
      </c>
      <c r="N585" s="50">
        <v>1.0</v>
      </c>
      <c r="O585" s="50" t="s">
        <v>16077</v>
      </c>
      <c r="P585" s="116"/>
      <c r="Q585" s="116"/>
      <c r="R585" s="50">
        <v>5.0</v>
      </c>
      <c r="S585" s="50" t="s">
        <v>18057</v>
      </c>
      <c r="T585" s="117">
        <v>5373.0</v>
      </c>
      <c r="U585" s="50" t="s">
        <v>19131</v>
      </c>
      <c r="V585" s="50" t="s">
        <v>19132</v>
      </c>
      <c r="W585" s="117">
        <v>586.0</v>
      </c>
    </row>
    <row r="586">
      <c r="A586" s="50" t="s">
        <v>19126</v>
      </c>
      <c r="B586" s="50" t="s">
        <v>6876</v>
      </c>
      <c r="C586" s="50" t="s">
        <v>6877</v>
      </c>
      <c r="D586" s="50" t="s">
        <v>11623</v>
      </c>
      <c r="E586" s="144">
        <v>43790.0</v>
      </c>
      <c r="F586" s="50" t="s">
        <v>19133</v>
      </c>
      <c r="G586" s="50">
        <v>59.0</v>
      </c>
      <c r="H586" s="50">
        <v>1.0</v>
      </c>
      <c r="I586" s="50">
        <v>99.0</v>
      </c>
      <c r="J586" s="116"/>
      <c r="K586" s="116"/>
      <c r="L586" s="50" t="s">
        <v>274</v>
      </c>
      <c r="M586" s="50" t="s">
        <v>274</v>
      </c>
      <c r="N586" s="50">
        <v>1.0</v>
      </c>
      <c r="O586" s="50" t="s">
        <v>16077</v>
      </c>
      <c r="P586" s="116"/>
      <c r="Q586" s="50" t="s">
        <v>16310</v>
      </c>
      <c r="R586" s="50">
        <v>5.0</v>
      </c>
      <c r="S586" s="50" t="s">
        <v>18057</v>
      </c>
      <c r="T586" s="117">
        <v>5374.0</v>
      </c>
      <c r="U586" s="50" t="s">
        <v>19138</v>
      </c>
      <c r="V586" s="50" t="s">
        <v>19139</v>
      </c>
      <c r="W586" s="117">
        <v>587.0</v>
      </c>
    </row>
    <row r="587">
      <c r="A587" s="50" t="s">
        <v>19133</v>
      </c>
      <c r="B587" s="50" t="s">
        <v>6876</v>
      </c>
      <c r="C587" s="50" t="s">
        <v>6877</v>
      </c>
      <c r="D587" s="50" t="s">
        <v>11623</v>
      </c>
      <c r="E587" s="144">
        <v>43790.0</v>
      </c>
      <c r="F587" s="50" t="s">
        <v>19143</v>
      </c>
      <c r="G587" s="50">
        <v>59.0</v>
      </c>
      <c r="H587" s="50">
        <v>1.0</v>
      </c>
      <c r="I587" s="50">
        <v>11.0</v>
      </c>
      <c r="J587" s="116"/>
      <c r="K587" s="116"/>
      <c r="L587" s="50" t="s">
        <v>1583</v>
      </c>
      <c r="M587" s="50" t="s">
        <v>1583</v>
      </c>
      <c r="N587" s="50">
        <v>1.0</v>
      </c>
      <c r="O587" s="50" t="s">
        <v>16077</v>
      </c>
      <c r="P587" s="116"/>
      <c r="Q587" s="116"/>
      <c r="R587" s="50">
        <v>5.0</v>
      </c>
      <c r="S587" s="50" t="s">
        <v>18057</v>
      </c>
      <c r="T587" s="117">
        <v>5375.0</v>
      </c>
      <c r="U587" s="50" t="s">
        <v>19148</v>
      </c>
      <c r="V587" s="50" t="s">
        <v>19151</v>
      </c>
      <c r="W587" s="117">
        <v>588.0</v>
      </c>
    </row>
    <row r="588">
      <c r="A588" s="50" t="s">
        <v>19154</v>
      </c>
      <c r="B588" s="50" t="s">
        <v>6876</v>
      </c>
      <c r="C588" s="50" t="s">
        <v>6877</v>
      </c>
      <c r="D588" s="50" t="s">
        <v>11623</v>
      </c>
      <c r="E588" s="144">
        <v>43790.0</v>
      </c>
      <c r="F588" s="50" t="s">
        <v>19157</v>
      </c>
      <c r="G588" s="50">
        <v>59.0</v>
      </c>
      <c r="H588" s="50">
        <v>1.0</v>
      </c>
      <c r="I588" s="50">
        <v>99.0</v>
      </c>
      <c r="J588" s="116"/>
      <c r="K588" s="116"/>
      <c r="L588" s="50" t="s">
        <v>1585</v>
      </c>
      <c r="M588" s="50" t="s">
        <v>1585</v>
      </c>
      <c r="N588" s="50">
        <v>1.0</v>
      </c>
      <c r="O588" s="50" t="s">
        <v>16077</v>
      </c>
      <c r="P588" s="116"/>
      <c r="Q588" s="50" t="s">
        <v>16339</v>
      </c>
      <c r="R588" s="50">
        <v>5.0</v>
      </c>
      <c r="S588" s="50" t="s">
        <v>18057</v>
      </c>
      <c r="T588" s="117">
        <v>5376.0</v>
      </c>
      <c r="U588" s="50" t="s">
        <v>19158</v>
      </c>
      <c r="V588" s="50" t="s">
        <v>19159</v>
      </c>
      <c r="W588" s="117">
        <v>589.0</v>
      </c>
    </row>
    <row r="589">
      <c r="A589" s="50" t="s">
        <v>19161</v>
      </c>
      <c r="B589" s="50" t="s">
        <v>6876</v>
      </c>
      <c r="C589" s="50" t="s">
        <v>6877</v>
      </c>
      <c r="D589" s="50" t="s">
        <v>11623</v>
      </c>
      <c r="E589" s="144">
        <v>43790.0</v>
      </c>
      <c r="F589" s="50" t="s">
        <v>19163</v>
      </c>
      <c r="G589" s="50">
        <v>59.0</v>
      </c>
      <c r="H589" s="50">
        <v>1.0</v>
      </c>
      <c r="I589" s="50">
        <v>11.0</v>
      </c>
      <c r="J589" s="116"/>
      <c r="K589" s="116"/>
      <c r="L589" s="50" t="s">
        <v>1586</v>
      </c>
      <c r="M589" s="50" t="s">
        <v>1586</v>
      </c>
      <c r="N589" s="50">
        <v>1.0</v>
      </c>
      <c r="O589" s="50" t="s">
        <v>16077</v>
      </c>
      <c r="P589" s="116"/>
      <c r="Q589" s="116"/>
      <c r="R589" s="50">
        <v>5.0</v>
      </c>
      <c r="S589" s="50" t="s">
        <v>18057</v>
      </c>
      <c r="T589" s="117">
        <v>5377.0</v>
      </c>
      <c r="U589" s="50" t="s">
        <v>19166</v>
      </c>
      <c r="V589" s="50" t="s">
        <v>19167</v>
      </c>
      <c r="W589" s="117">
        <v>590.0</v>
      </c>
    </row>
    <row r="590">
      <c r="A590" s="50" t="s">
        <v>19163</v>
      </c>
      <c r="B590" s="50" t="s">
        <v>6876</v>
      </c>
      <c r="C590" s="50" t="s">
        <v>6877</v>
      </c>
      <c r="D590" s="50" t="s">
        <v>11623</v>
      </c>
      <c r="E590" s="144">
        <v>43790.0</v>
      </c>
      <c r="F590" s="50" t="s">
        <v>19168</v>
      </c>
      <c r="G590" s="50">
        <v>59.0</v>
      </c>
      <c r="H590" s="50">
        <v>1.0</v>
      </c>
      <c r="I590" s="50">
        <v>99.0</v>
      </c>
      <c r="J590" s="116"/>
      <c r="K590" s="116"/>
      <c r="L590" s="50" t="s">
        <v>1587</v>
      </c>
      <c r="M590" s="50" t="s">
        <v>1587</v>
      </c>
      <c r="N590" s="50">
        <v>1.0</v>
      </c>
      <c r="O590" s="50" t="s">
        <v>16077</v>
      </c>
      <c r="P590" s="116"/>
      <c r="Q590" s="50" t="s">
        <v>16376</v>
      </c>
      <c r="R590" s="50">
        <v>5.0</v>
      </c>
      <c r="S590" s="50" t="s">
        <v>18057</v>
      </c>
      <c r="T590" s="117">
        <v>5378.0</v>
      </c>
      <c r="U590" s="50" t="s">
        <v>19174</v>
      </c>
      <c r="V590" s="50" t="s">
        <v>19175</v>
      </c>
      <c r="W590" s="117">
        <v>591.0</v>
      </c>
    </row>
    <row r="591">
      <c r="A591" s="50" t="s">
        <v>19168</v>
      </c>
      <c r="B591" s="50" t="s">
        <v>6876</v>
      </c>
      <c r="C591" s="50" t="s">
        <v>6877</v>
      </c>
      <c r="D591" s="50" t="s">
        <v>11623</v>
      </c>
      <c r="E591" s="144">
        <v>43790.0</v>
      </c>
      <c r="F591" s="50" t="s">
        <v>19178</v>
      </c>
      <c r="G591" s="50">
        <v>59.0</v>
      </c>
      <c r="H591" s="50">
        <v>1.0</v>
      </c>
      <c r="I591" s="50">
        <v>11.0</v>
      </c>
      <c r="J591" s="116"/>
      <c r="K591" s="116"/>
      <c r="L591" s="50" t="s">
        <v>1589</v>
      </c>
      <c r="M591" s="50" t="s">
        <v>1589</v>
      </c>
      <c r="N591" s="50">
        <v>1.0</v>
      </c>
      <c r="O591" s="50" t="s">
        <v>16077</v>
      </c>
      <c r="P591" s="116"/>
      <c r="Q591" s="116"/>
      <c r="R591" s="50">
        <v>5.0</v>
      </c>
      <c r="S591" s="50" t="s">
        <v>18057</v>
      </c>
      <c r="T591" s="117">
        <v>5379.0</v>
      </c>
      <c r="U591" s="50" t="s">
        <v>19182</v>
      </c>
      <c r="V591" s="50" t="s">
        <v>19183</v>
      </c>
      <c r="W591" s="117">
        <v>592.0</v>
      </c>
    </row>
    <row r="592">
      <c r="A592" s="50" t="s">
        <v>19178</v>
      </c>
      <c r="B592" s="50" t="s">
        <v>6876</v>
      </c>
      <c r="C592" s="50" t="s">
        <v>6877</v>
      </c>
      <c r="D592" s="50" t="s">
        <v>11623</v>
      </c>
      <c r="E592" s="144">
        <v>43790.0</v>
      </c>
      <c r="F592" s="50" t="s">
        <v>19186</v>
      </c>
      <c r="G592" s="50">
        <v>59.0</v>
      </c>
      <c r="H592" s="50">
        <v>1.0</v>
      </c>
      <c r="I592" s="50">
        <v>99.0</v>
      </c>
      <c r="J592" s="116"/>
      <c r="K592" s="116"/>
      <c r="L592" s="50" t="s">
        <v>1591</v>
      </c>
      <c r="M592" s="50" t="s">
        <v>1591</v>
      </c>
      <c r="N592" s="50">
        <v>1.0</v>
      </c>
      <c r="O592" s="50" t="s">
        <v>16077</v>
      </c>
      <c r="P592" s="116"/>
      <c r="Q592" s="50" t="s">
        <v>16417</v>
      </c>
      <c r="R592" s="50">
        <v>5.0</v>
      </c>
      <c r="S592" s="50" t="s">
        <v>18057</v>
      </c>
      <c r="T592" s="117">
        <v>5380.0</v>
      </c>
      <c r="U592" s="50" t="s">
        <v>19188</v>
      </c>
      <c r="V592" s="50" t="s">
        <v>19189</v>
      </c>
      <c r="W592" s="117">
        <v>593.0</v>
      </c>
    </row>
    <row r="593">
      <c r="A593" s="50" t="s">
        <v>19186</v>
      </c>
      <c r="B593" s="50" t="s">
        <v>6876</v>
      </c>
      <c r="C593" s="50" t="s">
        <v>6877</v>
      </c>
      <c r="D593" s="50" t="s">
        <v>11623</v>
      </c>
      <c r="E593" s="144">
        <v>43790.0</v>
      </c>
      <c r="F593" s="50" t="s">
        <v>19190</v>
      </c>
      <c r="G593" s="50">
        <v>33.0</v>
      </c>
      <c r="H593" s="50">
        <v>1.0</v>
      </c>
      <c r="I593" s="50">
        <v>98.0</v>
      </c>
      <c r="J593" s="116"/>
      <c r="K593" s="116"/>
      <c r="L593" s="50" t="s">
        <v>1592</v>
      </c>
      <c r="M593" s="50" t="s">
        <v>1592</v>
      </c>
      <c r="N593" s="50">
        <v>1.0</v>
      </c>
      <c r="O593" s="50" t="s">
        <v>16077</v>
      </c>
      <c r="P593" s="116"/>
      <c r="Q593" s="116"/>
      <c r="R593" s="50">
        <v>5.0</v>
      </c>
      <c r="S593" s="50" t="s">
        <v>18057</v>
      </c>
      <c r="T593" s="117">
        <v>5381.0</v>
      </c>
      <c r="U593" s="50" t="s">
        <v>19196</v>
      </c>
      <c r="V593" s="50" t="s">
        <v>19198</v>
      </c>
      <c r="W593" s="117">
        <v>594.0</v>
      </c>
    </row>
    <row r="594">
      <c r="A594" s="50" t="s">
        <v>19190</v>
      </c>
      <c r="B594" s="50" t="s">
        <v>6876</v>
      </c>
      <c r="C594" s="50" t="s">
        <v>6877</v>
      </c>
      <c r="D594" s="50" t="s">
        <v>11623</v>
      </c>
      <c r="E594" s="144">
        <v>43790.0</v>
      </c>
      <c r="F594" s="50" t="s">
        <v>19200</v>
      </c>
      <c r="G594" s="50">
        <v>58.0</v>
      </c>
      <c r="H594" s="50">
        <v>1.0</v>
      </c>
      <c r="I594" s="50">
        <v>15.0</v>
      </c>
      <c r="J594" s="116"/>
      <c r="K594" s="50">
        <v>151.0</v>
      </c>
      <c r="L594" s="50" t="s">
        <v>628</v>
      </c>
      <c r="M594" s="50" t="s">
        <v>628</v>
      </c>
      <c r="N594" s="50">
        <v>1.0</v>
      </c>
      <c r="O594" s="50" t="s">
        <v>19201</v>
      </c>
      <c r="P594" s="116"/>
      <c r="Q594" s="116"/>
      <c r="R594" s="50">
        <v>5.0</v>
      </c>
      <c r="S594" s="50" t="s">
        <v>18057</v>
      </c>
      <c r="T594" s="117">
        <v>5382.0</v>
      </c>
      <c r="U594" s="50" t="s">
        <v>19204</v>
      </c>
      <c r="V594" s="50" t="s">
        <v>19205</v>
      </c>
      <c r="W594" s="117">
        <v>595.0</v>
      </c>
    </row>
    <row r="595">
      <c r="A595" s="50" t="s">
        <v>19200</v>
      </c>
      <c r="B595" s="50" t="s">
        <v>6876</v>
      </c>
      <c r="C595" s="50" t="s">
        <v>6877</v>
      </c>
      <c r="D595" s="50" t="s">
        <v>11623</v>
      </c>
      <c r="E595" s="144">
        <v>43790.0</v>
      </c>
      <c r="F595" s="50" t="s">
        <v>19207</v>
      </c>
      <c r="G595" s="50">
        <v>58.0</v>
      </c>
      <c r="H595" s="50">
        <v>1.0</v>
      </c>
      <c r="I595" s="50">
        <v>15.0</v>
      </c>
      <c r="J595" s="116"/>
      <c r="K595" s="50">
        <v>152.0</v>
      </c>
      <c r="L595" s="50" t="s">
        <v>631</v>
      </c>
      <c r="M595" s="50" t="s">
        <v>631</v>
      </c>
      <c r="N595" s="50">
        <v>1.0</v>
      </c>
      <c r="O595" s="50" t="s">
        <v>19208</v>
      </c>
      <c r="P595" s="116"/>
      <c r="Q595" s="116"/>
      <c r="R595" s="50">
        <v>5.0</v>
      </c>
      <c r="S595" s="50" t="s">
        <v>18057</v>
      </c>
      <c r="T595" s="117">
        <v>5383.0</v>
      </c>
      <c r="U595" s="50" t="s">
        <v>19209</v>
      </c>
      <c r="V595" s="50" t="s">
        <v>19210</v>
      </c>
      <c r="W595" s="117">
        <v>596.0</v>
      </c>
    </row>
    <row r="596">
      <c r="A596" s="50" t="s">
        <v>19207</v>
      </c>
      <c r="B596" s="50" t="s">
        <v>6876</v>
      </c>
      <c r="C596" s="50" t="s">
        <v>6877</v>
      </c>
      <c r="D596" s="50" t="s">
        <v>11623</v>
      </c>
      <c r="E596" s="144">
        <v>43790.0</v>
      </c>
      <c r="F596" s="50" t="s">
        <v>19213</v>
      </c>
      <c r="G596" s="50">
        <v>58.0</v>
      </c>
      <c r="H596" s="50">
        <v>1.0</v>
      </c>
      <c r="I596" s="50">
        <v>15.0</v>
      </c>
      <c r="J596" s="116"/>
      <c r="K596" s="50">
        <v>152.0</v>
      </c>
      <c r="L596" s="50" t="s">
        <v>633</v>
      </c>
      <c r="M596" s="50" t="s">
        <v>633</v>
      </c>
      <c r="N596" s="50">
        <v>1.0</v>
      </c>
      <c r="O596" s="50" t="s">
        <v>19201</v>
      </c>
      <c r="P596" s="116"/>
      <c r="Q596" s="116"/>
      <c r="R596" s="50">
        <v>5.0</v>
      </c>
      <c r="S596" s="50" t="s">
        <v>18057</v>
      </c>
      <c r="T596" s="117">
        <v>5384.0</v>
      </c>
      <c r="U596" s="50" t="s">
        <v>19217</v>
      </c>
      <c r="V596" s="50" t="s">
        <v>19218</v>
      </c>
      <c r="W596" s="117">
        <v>597.0</v>
      </c>
    </row>
    <row r="597">
      <c r="A597" s="50" t="s">
        <v>19213</v>
      </c>
      <c r="B597" s="50" t="s">
        <v>6876</v>
      </c>
      <c r="C597" s="50" t="s">
        <v>6877</v>
      </c>
      <c r="D597" s="50" t="s">
        <v>11623</v>
      </c>
      <c r="E597" s="144">
        <v>43790.0</v>
      </c>
      <c r="F597" s="50" t="s">
        <v>19223</v>
      </c>
      <c r="G597" s="50">
        <v>58.0</v>
      </c>
      <c r="H597" s="50">
        <v>1.0</v>
      </c>
      <c r="I597" s="50">
        <v>15.0</v>
      </c>
      <c r="J597" s="116"/>
      <c r="K597" s="50">
        <v>152.0</v>
      </c>
      <c r="L597" s="50" t="s">
        <v>634</v>
      </c>
      <c r="M597" s="50" t="s">
        <v>634</v>
      </c>
      <c r="N597" s="50">
        <v>1.0</v>
      </c>
      <c r="O597" s="50" t="s">
        <v>19201</v>
      </c>
      <c r="P597" s="116"/>
      <c r="Q597" s="116"/>
      <c r="R597" s="50">
        <v>5.0</v>
      </c>
      <c r="S597" s="50" t="s">
        <v>18057</v>
      </c>
      <c r="T597" s="117">
        <v>5385.0</v>
      </c>
      <c r="U597" s="50" t="s">
        <v>19225</v>
      </c>
      <c r="V597" s="50" t="s">
        <v>19226</v>
      </c>
      <c r="W597" s="117">
        <v>598.0</v>
      </c>
    </row>
    <row r="598">
      <c r="A598" s="50" t="s">
        <v>19223</v>
      </c>
      <c r="B598" s="50" t="s">
        <v>6876</v>
      </c>
      <c r="C598" s="50" t="s">
        <v>6877</v>
      </c>
      <c r="D598" s="50" t="s">
        <v>11623</v>
      </c>
      <c r="E598" s="144">
        <v>43790.0</v>
      </c>
      <c r="F598" s="50" t="s">
        <v>19227</v>
      </c>
      <c r="G598" s="50">
        <v>59.0</v>
      </c>
      <c r="H598" s="50">
        <v>1.0</v>
      </c>
      <c r="I598" s="50">
        <v>11.0</v>
      </c>
      <c r="J598" s="116"/>
      <c r="K598" s="116"/>
      <c r="L598" s="50" t="s">
        <v>1595</v>
      </c>
      <c r="M598" s="50" t="s">
        <v>1595</v>
      </c>
      <c r="N598" s="50">
        <v>1.0</v>
      </c>
      <c r="O598" s="50" t="s">
        <v>19201</v>
      </c>
      <c r="P598" s="116"/>
      <c r="Q598" s="116"/>
      <c r="R598" s="50">
        <v>5.0</v>
      </c>
      <c r="S598" s="50" t="s">
        <v>18057</v>
      </c>
      <c r="T598" s="117">
        <v>5386.0</v>
      </c>
      <c r="U598" s="50" t="s">
        <v>19228</v>
      </c>
      <c r="V598" s="50" t="s">
        <v>19229</v>
      </c>
      <c r="W598" s="117">
        <v>599.0</v>
      </c>
    </row>
    <row r="599">
      <c r="A599" s="50" t="s">
        <v>19227</v>
      </c>
      <c r="B599" s="50" t="s">
        <v>6876</v>
      </c>
      <c r="C599" s="50" t="s">
        <v>6877</v>
      </c>
      <c r="D599" s="50" t="s">
        <v>11623</v>
      </c>
      <c r="E599" s="144">
        <v>43790.0</v>
      </c>
      <c r="F599" s="50" t="s">
        <v>19232</v>
      </c>
      <c r="G599" s="50">
        <v>59.0</v>
      </c>
      <c r="H599" s="50">
        <v>1.0</v>
      </c>
      <c r="I599" s="50">
        <v>11.0</v>
      </c>
      <c r="J599" s="116"/>
      <c r="K599" s="116"/>
      <c r="L599" s="50" t="s">
        <v>1596</v>
      </c>
      <c r="M599" s="50" t="s">
        <v>1596</v>
      </c>
      <c r="N599" s="50">
        <v>1.0</v>
      </c>
      <c r="O599" s="50" t="s">
        <v>19201</v>
      </c>
      <c r="P599" s="116"/>
      <c r="Q599" s="116"/>
      <c r="R599" s="50">
        <v>5.0</v>
      </c>
      <c r="S599" s="50" t="s">
        <v>18057</v>
      </c>
      <c r="T599" s="117">
        <v>5387.0</v>
      </c>
      <c r="U599" s="50" t="s">
        <v>19234</v>
      </c>
      <c r="V599" s="50" t="s">
        <v>19235</v>
      </c>
      <c r="W599" s="117">
        <v>600.0</v>
      </c>
    </row>
    <row r="600">
      <c r="A600" s="50" t="s">
        <v>19232</v>
      </c>
      <c r="B600" s="50" t="s">
        <v>6876</v>
      </c>
      <c r="C600" s="50" t="s">
        <v>6877</v>
      </c>
      <c r="D600" s="50" t="s">
        <v>11623</v>
      </c>
      <c r="E600" s="144">
        <v>43790.0</v>
      </c>
      <c r="F600" s="50" t="s">
        <v>19236</v>
      </c>
      <c r="G600" s="50">
        <v>58.0</v>
      </c>
      <c r="H600" s="50">
        <v>1.0</v>
      </c>
      <c r="I600" s="50">
        <v>11.0</v>
      </c>
      <c r="J600" s="116"/>
      <c r="K600" s="116"/>
      <c r="L600" s="50" t="s">
        <v>1599</v>
      </c>
      <c r="M600" s="50" t="s">
        <v>1599</v>
      </c>
      <c r="N600" s="50">
        <v>1.0</v>
      </c>
      <c r="O600" s="50" t="s">
        <v>19201</v>
      </c>
      <c r="P600" s="116"/>
      <c r="Q600" s="116"/>
      <c r="R600" s="50">
        <v>5.0</v>
      </c>
      <c r="S600" s="50" t="s">
        <v>18057</v>
      </c>
      <c r="T600" s="117">
        <v>5388.0</v>
      </c>
      <c r="U600" s="50" t="s">
        <v>19240</v>
      </c>
      <c r="V600" s="50" t="s">
        <v>19241</v>
      </c>
      <c r="W600" s="117">
        <v>601.0</v>
      </c>
    </row>
    <row r="601">
      <c r="A601" s="50" t="s">
        <v>19236</v>
      </c>
      <c r="B601" s="50" t="s">
        <v>6876</v>
      </c>
      <c r="C601" s="50" t="s">
        <v>6877</v>
      </c>
      <c r="D601" s="50" t="s">
        <v>11623</v>
      </c>
      <c r="E601" s="144">
        <v>43790.0</v>
      </c>
      <c r="F601" s="50" t="s">
        <v>19245</v>
      </c>
      <c r="G601" s="50">
        <v>58.0</v>
      </c>
      <c r="H601" s="50">
        <v>1.0</v>
      </c>
      <c r="I601" s="50">
        <v>99.0</v>
      </c>
      <c r="J601" s="116"/>
      <c r="K601" s="116"/>
      <c r="L601" s="50" t="s">
        <v>281</v>
      </c>
      <c r="M601" s="50" t="s">
        <v>281</v>
      </c>
      <c r="N601" s="50">
        <v>1.0</v>
      </c>
      <c r="O601" s="50" t="s">
        <v>19201</v>
      </c>
      <c r="P601" s="116"/>
      <c r="Q601" s="50" t="s">
        <v>16714</v>
      </c>
      <c r="R601" s="50">
        <v>5.0</v>
      </c>
      <c r="S601" s="50" t="s">
        <v>18057</v>
      </c>
      <c r="T601" s="117">
        <v>5389.0</v>
      </c>
      <c r="U601" s="50" t="s">
        <v>19247</v>
      </c>
      <c r="V601" s="50" t="s">
        <v>19248</v>
      </c>
      <c r="W601" s="117">
        <v>602.0</v>
      </c>
    </row>
    <row r="602">
      <c r="A602" s="50" t="s">
        <v>19245</v>
      </c>
      <c r="B602" s="50" t="s">
        <v>6876</v>
      </c>
      <c r="C602" s="50" t="s">
        <v>6877</v>
      </c>
      <c r="D602" s="50" t="s">
        <v>11623</v>
      </c>
      <c r="E602" s="144">
        <v>43790.0</v>
      </c>
      <c r="F602" s="50" t="s">
        <v>19249</v>
      </c>
      <c r="G602" s="50">
        <v>33.0</v>
      </c>
      <c r="H602" s="50">
        <v>1.0</v>
      </c>
      <c r="I602" s="50">
        <v>98.0</v>
      </c>
      <c r="J602" s="116"/>
      <c r="K602" s="116"/>
      <c r="L602" s="50" t="s">
        <v>1600</v>
      </c>
      <c r="M602" s="50" t="s">
        <v>1600</v>
      </c>
      <c r="N602" s="50">
        <v>1.0</v>
      </c>
      <c r="O602" s="50" t="s">
        <v>19201</v>
      </c>
      <c r="P602" s="116"/>
      <c r="Q602" s="116"/>
      <c r="R602" s="50">
        <v>5.0</v>
      </c>
      <c r="S602" s="50" t="s">
        <v>18057</v>
      </c>
      <c r="T602" s="117">
        <v>5390.0</v>
      </c>
      <c r="U602" s="50" t="s">
        <v>19252</v>
      </c>
      <c r="V602" s="50" t="s">
        <v>19253</v>
      </c>
      <c r="W602" s="117">
        <v>603.0</v>
      </c>
    </row>
    <row r="603">
      <c r="A603" s="50" t="s">
        <v>19249</v>
      </c>
      <c r="B603" s="50" t="s">
        <v>6876</v>
      </c>
      <c r="C603" s="50" t="s">
        <v>6877</v>
      </c>
      <c r="D603" s="50" t="s">
        <v>11623</v>
      </c>
      <c r="E603" s="144">
        <v>43790.0</v>
      </c>
      <c r="F603" s="50" t="s">
        <v>19254</v>
      </c>
      <c r="G603" s="50">
        <v>66.0</v>
      </c>
      <c r="H603" s="50">
        <v>1.0</v>
      </c>
      <c r="I603" s="50">
        <v>12.0</v>
      </c>
      <c r="J603" s="116"/>
      <c r="K603" s="116"/>
      <c r="L603" s="50" t="s">
        <v>1603</v>
      </c>
      <c r="M603" s="50" t="s">
        <v>1603</v>
      </c>
      <c r="N603" s="50">
        <v>1.0</v>
      </c>
      <c r="O603" s="50" t="s">
        <v>19255</v>
      </c>
      <c r="P603" s="116"/>
      <c r="Q603" s="116"/>
      <c r="R603" s="50">
        <v>5.0</v>
      </c>
      <c r="S603" s="50" t="s">
        <v>18057</v>
      </c>
      <c r="T603" s="117">
        <v>5391.0</v>
      </c>
      <c r="U603" s="50" t="s">
        <v>19257</v>
      </c>
      <c r="V603" s="50" t="s">
        <v>19258</v>
      </c>
      <c r="W603" s="117">
        <v>604.0</v>
      </c>
    </row>
    <row r="604">
      <c r="A604" s="50" t="s">
        <v>19254</v>
      </c>
      <c r="B604" s="50" t="s">
        <v>6876</v>
      </c>
      <c r="C604" s="50" t="s">
        <v>6877</v>
      </c>
      <c r="D604" s="50" t="s">
        <v>11623</v>
      </c>
      <c r="E604" s="144">
        <v>43790.0</v>
      </c>
      <c r="F604" s="50" t="s">
        <v>19259</v>
      </c>
      <c r="G604" s="50">
        <v>59.0</v>
      </c>
      <c r="H604" s="50">
        <v>1.0</v>
      </c>
      <c r="I604" s="50">
        <v>12.0</v>
      </c>
      <c r="J604" s="116"/>
      <c r="K604" s="116"/>
      <c r="L604" s="50" t="s">
        <v>1606</v>
      </c>
      <c r="M604" s="50" t="s">
        <v>1606</v>
      </c>
      <c r="N604" s="50">
        <v>1.0</v>
      </c>
      <c r="O604" s="50" t="s">
        <v>19255</v>
      </c>
      <c r="P604" s="116"/>
      <c r="Q604" s="116"/>
      <c r="R604" s="50">
        <v>5.0</v>
      </c>
      <c r="S604" s="50" t="s">
        <v>18057</v>
      </c>
      <c r="T604" s="117">
        <v>5392.0</v>
      </c>
      <c r="U604" s="50" t="s">
        <v>19266</v>
      </c>
      <c r="V604" s="50" t="s">
        <v>19267</v>
      </c>
      <c r="W604" s="117">
        <v>605.0</v>
      </c>
    </row>
    <row r="605">
      <c r="A605" s="50" t="s">
        <v>19259</v>
      </c>
      <c r="B605" s="50" t="s">
        <v>6876</v>
      </c>
      <c r="C605" s="50" t="s">
        <v>6877</v>
      </c>
      <c r="D605" s="50" t="s">
        <v>11623</v>
      </c>
      <c r="E605" s="144">
        <v>43790.0</v>
      </c>
      <c r="F605" s="50" t="s">
        <v>19269</v>
      </c>
      <c r="G605" s="50">
        <v>59.0</v>
      </c>
      <c r="H605" s="50">
        <v>1.0</v>
      </c>
      <c r="I605" s="50">
        <v>99.0</v>
      </c>
      <c r="J605" s="116"/>
      <c r="K605" s="116"/>
      <c r="L605" s="50" t="s">
        <v>341</v>
      </c>
      <c r="M605" s="50" t="s">
        <v>341</v>
      </c>
      <c r="N605" s="50">
        <v>1.0</v>
      </c>
      <c r="O605" s="50" t="s">
        <v>19255</v>
      </c>
      <c r="P605" s="116"/>
      <c r="Q605" s="50" t="s">
        <v>19271</v>
      </c>
      <c r="R605" s="50">
        <v>5.0</v>
      </c>
      <c r="S605" s="50" t="s">
        <v>18057</v>
      </c>
      <c r="T605" s="117">
        <v>5393.0</v>
      </c>
      <c r="U605" s="50" t="s">
        <v>19274</v>
      </c>
      <c r="V605" s="50" t="s">
        <v>19275</v>
      </c>
      <c r="W605" s="117">
        <v>606.0</v>
      </c>
    </row>
    <row r="606">
      <c r="A606" s="50" t="s">
        <v>19269</v>
      </c>
      <c r="B606" s="50" t="s">
        <v>6876</v>
      </c>
      <c r="C606" s="50" t="s">
        <v>6877</v>
      </c>
      <c r="D606" s="50" t="s">
        <v>11623</v>
      </c>
      <c r="E606" s="144">
        <v>43790.0</v>
      </c>
      <c r="F606" s="50" t="s">
        <v>19277</v>
      </c>
      <c r="G606" s="50">
        <v>59.0</v>
      </c>
      <c r="H606" s="50">
        <v>1.0</v>
      </c>
      <c r="I606" s="50">
        <v>11.0</v>
      </c>
      <c r="J606" s="116"/>
      <c r="K606" s="116"/>
      <c r="L606" s="50" t="s">
        <v>1611</v>
      </c>
      <c r="M606" s="50" t="s">
        <v>1611</v>
      </c>
      <c r="N606" s="50">
        <v>1.0</v>
      </c>
      <c r="O606" s="50" t="s">
        <v>19278</v>
      </c>
      <c r="P606" s="116"/>
      <c r="Q606" s="116"/>
      <c r="R606" s="50">
        <v>5.0</v>
      </c>
      <c r="S606" s="50" t="s">
        <v>18057</v>
      </c>
      <c r="T606" s="117">
        <v>5394.0</v>
      </c>
      <c r="U606" s="50" t="s">
        <v>19279</v>
      </c>
      <c r="V606" s="50" t="s">
        <v>19282</v>
      </c>
      <c r="W606" s="117">
        <v>607.0</v>
      </c>
    </row>
    <row r="607">
      <c r="A607" s="50" t="s">
        <v>19277</v>
      </c>
      <c r="B607" s="50" t="s">
        <v>6876</v>
      </c>
      <c r="C607" s="50" t="s">
        <v>6877</v>
      </c>
      <c r="D607" s="50" t="s">
        <v>11623</v>
      </c>
      <c r="E607" s="144">
        <v>43790.0</v>
      </c>
      <c r="F607" s="50" t="s">
        <v>19284</v>
      </c>
      <c r="G607" s="50">
        <v>59.0</v>
      </c>
      <c r="H607" s="50">
        <v>1.0</v>
      </c>
      <c r="I607" s="50">
        <v>11.0</v>
      </c>
      <c r="J607" s="116"/>
      <c r="K607" s="116"/>
      <c r="L607" s="50" t="s">
        <v>1613</v>
      </c>
      <c r="M607" s="50" t="s">
        <v>1613</v>
      </c>
      <c r="N607" s="50">
        <v>1.0</v>
      </c>
      <c r="O607" s="50" t="s">
        <v>19278</v>
      </c>
      <c r="P607" s="116"/>
      <c r="Q607" s="116"/>
      <c r="R607" s="50">
        <v>5.0</v>
      </c>
      <c r="S607" s="50" t="s">
        <v>18057</v>
      </c>
      <c r="T607" s="117">
        <v>5395.0</v>
      </c>
      <c r="U607" s="50" t="s">
        <v>19288</v>
      </c>
      <c r="V607" s="50" t="s">
        <v>19289</v>
      </c>
      <c r="W607" s="117">
        <v>608.0</v>
      </c>
    </row>
    <row r="608">
      <c r="A608" s="50" t="s">
        <v>19284</v>
      </c>
      <c r="B608" s="50" t="s">
        <v>6876</v>
      </c>
      <c r="C608" s="50" t="s">
        <v>6877</v>
      </c>
      <c r="D608" s="50" t="s">
        <v>11623</v>
      </c>
      <c r="E608" s="144">
        <v>43790.0</v>
      </c>
      <c r="F608" s="50" t="s">
        <v>19294</v>
      </c>
      <c r="G608" s="50">
        <v>59.0</v>
      </c>
      <c r="H608" s="50">
        <v>1.0</v>
      </c>
      <c r="I608" s="50">
        <v>11.0</v>
      </c>
      <c r="J608" s="116"/>
      <c r="K608" s="116"/>
      <c r="L608" s="50" t="s">
        <v>1616</v>
      </c>
      <c r="M608" s="50" t="s">
        <v>1616</v>
      </c>
      <c r="N608" s="50">
        <v>1.0</v>
      </c>
      <c r="O608" s="50" t="s">
        <v>19278</v>
      </c>
      <c r="P608" s="116"/>
      <c r="Q608" s="116"/>
      <c r="R608" s="50">
        <v>5.0</v>
      </c>
      <c r="S608" s="50" t="s">
        <v>18057</v>
      </c>
      <c r="T608" s="117">
        <v>5396.0</v>
      </c>
      <c r="U608" s="50" t="s">
        <v>19297</v>
      </c>
      <c r="V608" s="50" t="s">
        <v>19298</v>
      </c>
      <c r="W608" s="117">
        <v>609.0</v>
      </c>
    </row>
    <row r="609">
      <c r="A609" s="50" t="s">
        <v>19294</v>
      </c>
      <c r="B609" s="50" t="s">
        <v>6876</v>
      </c>
      <c r="C609" s="50" t="s">
        <v>6877</v>
      </c>
      <c r="D609" s="50" t="s">
        <v>11623</v>
      </c>
      <c r="E609" s="144">
        <v>43790.0</v>
      </c>
      <c r="F609" s="50" t="s">
        <v>19300</v>
      </c>
      <c r="G609" s="50">
        <v>50.0</v>
      </c>
      <c r="H609" s="50">
        <v>1.0</v>
      </c>
      <c r="I609" s="50">
        <v>11.0</v>
      </c>
      <c r="J609" s="116"/>
      <c r="K609" s="116"/>
      <c r="L609" s="50" t="s">
        <v>1619</v>
      </c>
      <c r="M609" s="50" t="s">
        <v>1619</v>
      </c>
      <c r="N609" s="50">
        <v>1.0</v>
      </c>
      <c r="O609" s="50" t="s">
        <v>19278</v>
      </c>
      <c r="P609" s="116"/>
      <c r="Q609" s="116"/>
      <c r="R609" s="50">
        <v>5.0</v>
      </c>
      <c r="S609" s="50" t="s">
        <v>18057</v>
      </c>
      <c r="T609" s="117">
        <v>5397.0</v>
      </c>
      <c r="U609" s="50" t="s">
        <v>19304</v>
      </c>
      <c r="V609" s="50" t="s">
        <v>19305</v>
      </c>
      <c r="W609" s="117">
        <v>610.0</v>
      </c>
    </row>
    <row r="610">
      <c r="A610" s="50" t="s">
        <v>19300</v>
      </c>
      <c r="B610" s="50" t="s">
        <v>6876</v>
      </c>
      <c r="C610" s="50" t="s">
        <v>6877</v>
      </c>
      <c r="D610" s="50" t="s">
        <v>11623</v>
      </c>
      <c r="E610" s="144">
        <v>43790.0</v>
      </c>
      <c r="F610" s="50" t="s">
        <v>19307</v>
      </c>
      <c r="G610" s="50">
        <v>58.0</v>
      </c>
      <c r="H610" s="50">
        <v>1.0</v>
      </c>
      <c r="I610" s="50">
        <v>11.0</v>
      </c>
      <c r="J610" s="116"/>
      <c r="K610" s="116"/>
      <c r="L610" s="50" t="s">
        <v>1622</v>
      </c>
      <c r="M610" s="50" t="s">
        <v>1622</v>
      </c>
      <c r="N610" s="50">
        <v>1.0</v>
      </c>
      <c r="O610" s="50" t="s">
        <v>19278</v>
      </c>
      <c r="P610" s="116"/>
      <c r="Q610" s="116"/>
      <c r="R610" s="50">
        <v>5.0</v>
      </c>
      <c r="S610" s="50" t="s">
        <v>18057</v>
      </c>
      <c r="T610" s="117">
        <v>5398.0</v>
      </c>
      <c r="U610" s="50" t="s">
        <v>19310</v>
      </c>
      <c r="V610" s="50" t="s">
        <v>19311</v>
      </c>
      <c r="W610" s="117">
        <v>611.0</v>
      </c>
    </row>
    <row r="611">
      <c r="A611" s="50" t="s">
        <v>19307</v>
      </c>
      <c r="B611" s="50" t="s">
        <v>6876</v>
      </c>
      <c r="C611" s="50" t="s">
        <v>6877</v>
      </c>
      <c r="D611" s="50" t="s">
        <v>11623</v>
      </c>
      <c r="E611" s="144">
        <v>43790.0</v>
      </c>
      <c r="F611" s="50" t="s">
        <v>19317</v>
      </c>
      <c r="G611" s="50">
        <v>58.0</v>
      </c>
      <c r="H611" s="50">
        <v>1.0</v>
      </c>
      <c r="I611" s="50">
        <v>99.0</v>
      </c>
      <c r="J611" s="116"/>
      <c r="K611" s="116"/>
      <c r="L611" s="50" t="s">
        <v>1624</v>
      </c>
      <c r="M611" s="50" t="s">
        <v>1624</v>
      </c>
      <c r="N611" s="50">
        <v>1.0</v>
      </c>
      <c r="O611" s="50" t="s">
        <v>19278</v>
      </c>
      <c r="P611" s="116"/>
      <c r="Q611" s="50" t="s">
        <v>19319</v>
      </c>
      <c r="R611" s="50">
        <v>5.0</v>
      </c>
      <c r="S611" s="50" t="s">
        <v>18057</v>
      </c>
      <c r="T611" s="117">
        <v>5399.0</v>
      </c>
      <c r="U611" s="50" t="s">
        <v>19320</v>
      </c>
      <c r="V611" s="50" t="s">
        <v>19321</v>
      </c>
      <c r="W611" s="117">
        <v>612.0</v>
      </c>
    </row>
    <row r="612">
      <c r="A612" s="50" t="s">
        <v>19317</v>
      </c>
      <c r="B612" s="50" t="s">
        <v>6876</v>
      </c>
      <c r="C612" s="50" t="s">
        <v>6877</v>
      </c>
      <c r="D612" s="50" t="s">
        <v>11623</v>
      </c>
      <c r="E612" s="144">
        <v>43790.0</v>
      </c>
      <c r="F612" s="50" t="s">
        <v>19322</v>
      </c>
      <c r="G612" s="50">
        <v>58.0</v>
      </c>
      <c r="H612" s="50">
        <v>1.0</v>
      </c>
      <c r="I612" s="50">
        <v>14.0</v>
      </c>
      <c r="J612" s="50">
        <v>144.0</v>
      </c>
      <c r="K612" s="116"/>
      <c r="L612" s="50" t="s">
        <v>671</v>
      </c>
      <c r="M612" s="50" t="s">
        <v>671</v>
      </c>
      <c r="N612" s="50">
        <v>1.0</v>
      </c>
      <c r="O612" s="50" t="s">
        <v>19278</v>
      </c>
      <c r="P612" s="116"/>
      <c r="Q612" s="116"/>
      <c r="R612" s="50">
        <v>5.0</v>
      </c>
      <c r="S612" s="50" t="s">
        <v>18057</v>
      </c>
      <c r="T612" s="117">
        <v>5400.0</v>
      </c>
      <c r="U612" s="50" t="s">
        <v>19323</v>
      </c>
      <c r="V612" s="50" t="s">
        <v>19325</v>
      </c>
      <c r="W612" s="117">
        <v>613.0</v>
      </c>
    </row>
    <row r="613">
      <c r="A613" s="50" t="s">
        <v>19322</v>
      </c>
      <c r="B613" s="50" t="s">
        <v>6876</v>
      </c>
      <c r="C613" s="50" t="s">
        <v>6877</v>
      </c>
      <c r="D613" s="50" t="s">
        <v>11623</v>
      </c>
      <c r="E613" s="144">
        <v>43790.0</v>
      </c>
      <c r="F613" s="50" t="s">
        <v>19328</v>
      </c>
      <c r="G613" s="50">
        <v>58.0</v>
      </c>
      <c r="H613" s="50">
        <v>1.0</v>
      </c>
      <c r="I613" s="50">
        <v>14.0</v>
      </c>
      <c r="J613" s="50">
        <v>142.0</v>
      </c>
      <c r="K613" s="116"/>
      <c r="L613" s="50" t="s">
        <v>667</v>
      </c>
      <c r="M613" s="50" t="s">
        <v>667</v>
      </c>
      <c r="N613" s="50">
        <v>1.0</v>
      </c>
      <c r="O613" s="50" t="s">
        <v>19278</v>
      </c>
      <c r="P613" s="116"/>
      <c r="Q613" s="116"/>
      <c r="R613" s="50">
        <v>5.0</v>
      </c>
      <c r="S613" s="50" t="s">
        <v>18057</v>
      </c>
      <c r="T613" s="117">
        <v>5401.0</v>
      </c>
      <c r="U613" s="50" t="s">
        <v>19330</v>
      </c>
      <c r="V613" s="50" t="s">
        <v>19331</v>
      </c>
      <c r="W613" s="117">
        <v>614.0</v>
      </c>
    </row>
    <row r="614">
      <c r="A614" s="50" t="s">
        <v>19328</v>
      </c>
      <c r="B614" s="50" t="s">
        <v>6876</v>
      </c>
      <c r="C614" s="50" t="s">
        <v>6877</v>
      </c>
      <c r="D614" s="50" t="s">
        <v>11623</v>
      </c>
      <c r="E614" s="144">
        <v>43790.0</v>
      </c>
      <c r="F614" s="50" t="s">
        <v>19332</v>
      </c>
      <c r="G614" s="50">
        <v>58.0</v>
      </c>
      <c r="H614" s="50">
        <v>1.0</v>
      </c>
      <c r="I614" s="50">
        <v>14.0</v>
      </c>
      <c r="J614" s="50">
        <v>145.0</v>
      </c>
      <c r="K614" s="116"/>
      <c r="L614" s="50" t="s">
        <v>673</v>
      </c>
      <c r="M614" s="50" t="s">
        <v>673</v>
      </c>
      <c r="N614" s="50">
        <v>1.0</v>
      </c>
      <c r="O614" s="50" t="s">
        <v>19278</v>
      </c>
      <c r="P614" s="116"/>
      <c r="Q614" s="116"/>
      <c r="R614" s="50">
        <v>5.0</v>
      </c>
      <c r="S614" s="50" t="s">
        <v>18057</v>
      </c>
      <c r="T614" s="117">
        <v>5402.0</v>
      </c>
      <c r="U614" s="50" t="s">
        <v>19333</v>
      </c>
      <c r="V614" s="50" t="s">
        <v>19334</v>
      </c>
      <c r="W614" s="117">
        <v>615.0</v>
      </c>
    </row>
    <row r="615">
      <c r="A615" s="50" t="s">
        <v>19332</v>
      </c>
      <c r="B615" s="50" t="s">
        <v>6876</v>
      </c>
      <c r="C615" s="50" t="s">
        <v>6877</v>
      </c>
      <c r="D615" s="50" t="s">
        <v>11623</v>
      </c>
      <c r="E615" s="144">
        <v>43790.0</v>
      </c>
      <c r="F615" s="50" t="s">
        <v>19340</v>
      </c>
      <c r="G615" s="50">
        <v>58.0</v>
      </c>
      <c r="H615" s="50">
        <v>1.0</v>
      </c>
      <c r="I615" s="50">
        <v>14.0</v>
      </c>
      <c r="J615" s="50">
        <v>141.0</v>
      </c>
      <c r="K615" s="116"/>
      <c r="L615" s="50" t="s">
        <v>666</v>
      </c>
      <c r="M615" s="50" t="s">
        <v>666</v>
      </c>
      <c r="N615" s="50">
        <v>1.0</v>
      </c>
      <c r="O615" s="50" t="s">
        <v>19278</v>
      </c>
      <c r="P615" s="116"/>
      <c r="Q615" s="116"/>
      <c r="R615" s="50">
        <v>5.0</v>
      </c>
      <c r="S615" s="50" t="s">
        <v>18057</v>
      </c>
      <c r="T615" s="117">
        <v>5403.0</v>
      </c>
      <c r="U615" s="50" t="s">
        <v>19344</v>
      </c>
      <c r="V615" s="50" t="s">
        <v>19345</v>
      </c>
      <c r="W615" s="117">
        <v>616.0</v>
      </c>
    </row>
    <row r="616">
      <c r="A616" s="50" t="s">
        <v>19340</v>
      </c>
      <c r="B616" s="50" t="s">
        <v>6876</v>
      </c>
      <c r="C616" s="50" t="s">
        <v>6877</v>
      </c>
      <c r="D616" s="50" t="s">
        <v>11623</v>
      </c>
      <c r="E616" s="144">
        <v>43790.0</v>
      </c>
      <c r="F616" s="50" t="s">
        <v>19346</v>
      </c>
      <c r="G616" s="50">
        <v>58.0</v>
      </c>
      <c r="H616" s="50">
        <v>1.0</v>
      </c>
      <c r="I616" s="50">
        <v>14.0</v>
      </c>
      <c r="J616" s="50">
        <v>143.0</v>
      </c>
      <c r="K616" s="116"/>
      <c r="L616" s="50" t="s">
        <v>669</v>
      </c>
      <c r="M616" s="50" t="s">
        <v>669</v>
      </c>
      <c r="N616" s="50">
        <v>1.0</v>
      </c>
      <c r="O616" s="50" t="s">
        <v>19278</v>
      </c>
      <c r="P616" s="116"/>
      <c r="Q616" s="116"/>
      <c r="R616" s="50">
        <v>5.0</v>
      </c>
      <c r="S616" s="50" t="s">
        <v>18057</v>
      </c>
      <c r="T616" s="117">
        <v>5404.0</v>
      </c>
      <c r="U616" s="50" t="s">
        <v>19349</v>
      </c>
      <c r="V616" s="50" t="s">
        <v>19350</v>
      </c>
      <c r="W616" s="117">
        <v>617.0</v>
      </c>
    </row>
    <row r="617">
      <c r="A617" s="50" t="s">
        <v>19346</v>
      </c>
      <c r="B617" s="50" t="s">
        <v>6876</v>
      </c>
      <c r="C617" s="50" t="s">
        <v>6877</v>
      </c>
      <c r="D617" s="50" t="s">
        <v>11623</v>
      </c>
      <c r="E617" s="144">
        <v>43790.0</v>
      </c>
      <c r="F617" s="50" t="s">
        <v>19352</v>
      </c>
      <c r="G617" s="50">
        <v>33.0</v>
      </c>
      <c r="H617" s="50">
        <v>1.0</v>
      </c>
      <c r="I617" s="50">
        <v>98.0</v>
      </c>
      <c r="J617" s="116"/>
      <c r="K617" s="116"/>
      <c r="L617" s="50" t="s">
        <v>1608</v>
      </c>
      <c r="M617" s="50" t="s">
        <v>1608</v>
      </c>
      <c r="N617" s="50">
        <v>1.0</v>
      </c>
      <c r="O617" s="50" t="s">
        <v>19278</v>
      </c>
      <c r="P617" s="116"/>
      <c r="Q617" s="116"/>
      <c r="R617" s="50">
        <v>5.0</v>
      </c>
      <c r="S617" s="50" t="s">
        <v>18057</v>
      </c>
      <c r="T617" s="117">
        <v>5405.0</v>
      </c>
      <c r="U617" s="50" t="s">
        <v>19353</v>
      </c>
      <c r="V617" s="50" t="s">
        <v>19354</v>
      </c>
      <c r="W617" s="117">
        <v>618.0</v>
      </c>
    </row>
    <row r="618">
      <c r="A618" s="50" t="s">
        <v>19352</v>
      </c>
      <c r="B618" s="50" t="s">
        <v>6876</v>
      </c>
      <c r="C618" s="50" t="s">
        <v>6877</v>
      </c>
      <c r="D618" s="50" t="s">
        <v>11623</v>
      </c>
      <c r="E618" s="144">
        <v>43790.0</v>
      </c>
      <c r="F618" s="50" t="s">
        <v>19356</v>
      </c>
      <c r="G618" s="50">
        <v>58.0</v>
      </c>
      <c r="H618" s="50">
        <v>1.0</v>
      </c>
      <c r="I618" s="50">
        <v>11.0</v>
      </c>
      <c r="J618" s="116"/>
      <c r="K618" s="116"/>
      <c r="L618" s="50" t="s">
        <v>1628</v>
      </c>
      <c r="M618" s="50" t="s">
        <v>1628</v>
      </c>
      <c r="N618" s="50">
        <v>1.0</v>
      </c>
      <c r="O618" s="50" t="s">
        <v>19360</v>
      </c>
      <c r="P618" s="116"/>
      <c r="Q618" s="116"/>
      <c r="R618" s="50">
        <v>5.0</v>
      </c>
      <c r="S618" s="50" t="s">
        <v>18057</v>
      </c>
      <c r="T618" s="117">
        <v>5406.0</v>
      </c>
      <c r="U618" s="50" t="s">
        <v>19364</v>
      </c>
      <c r="V618" s="50" t="s">
        <v>19365</v>
      </c>
      <c r="W618" s="117">
        <v>619.0</v>
      </c>
    </row>
    <row r="619">
      <c r="A619" s="50" t="s">
        <v>19356</v>
      </c>
      <c r="B619" s="50" t="s">
        <v>6876</v>
      </c>
      <c r="C619" s="50" t="s">
        <v>6877</v>
      </c>
      <c r="D619" s="50" t="s">
        <v>11623</v>
      </c>
      <c r="E619" s="144">
        <v>43790.0</v>
      </c>
      <c r="F619" s="50" t="s">
        <v>19368</v>
      </c>
      <c r="G619" s="50">
        <v>59.0</v>
      </c>
      <c r="H619" s="50">
        <v>1.0</v>
      </c>
      <c r="I619" s="50">
        <v>99.0</v>
      </c>
      <c r="J619" s="116"/>
      <c r="K619" s="116"/>
      <c r="L619" s="50" t="s">
        <v>1629</v>
      </c>
      <c r="M619" s="50" t="s">
        <v>1629</v>
      </c>
      <c r="N619" s="50">
        <v>1.0</v>
      </c>
      <c r="O619" s="50" t="s">
        <v>19360</v>
      </c>
      <c r="P619" s="116"/>
      <c r="Q619" s="50" t="s">
        <v>19369</v>
      </c>
      <c r="R619" s="50">
        <v>5.0</v>
      </c>
      <c r="S619" s="50" t="s">
        <v>18057</v>
      </c>
      <c r="T619" s="117">
        <v>5407.0</v>
      </c>
      <c r="U619" s="50" t="s">
        <v>19372</v>
      </c>
      <c r="V619" s="50" t="s">
        <v>19373</v>
      </c>
      <c r="W619" s="117">
        <v>620.0</v>
      </c>
    </row>
    <row r="620">
      <c r="A620" s="50" t="s">
        <v>19368</v>
      </c>
      <c r="B620" s="50" t="s">
        <v>6876</v>
      </c>
      <c r="C620" s="50" t="s">
        <v>6877</v>
      </c>
      <c r="D620" s="50" t="s">
        <v>11623</v>
      </c>
      <c r="E620" s="144">
        <v>43790.0</v>
      </c>
      <c r="F620" s="50" t="s">
        <v>19375</v>
      </c>
      <c r="G620" s="50">
        <v>59.0</v>
      </c>
      <c r="H620" s="50">
        <v>1.0</v>
      </c>
      <c r="I620" s="50">
        <v>11.0</v>
      </c>
      <c r="J620" s="116"/>
      <c r="K620" s="116"/>
      <c r="L620" s="50" t="s">
        <v>1631</v>
      </c>
      <c r="M620" s="50" t="s">
        <v>1631</v>
      </c>
      <c r="N620" s="50">
        <v>1.0</v>
      </c>
      <c r="O620" s="50" t="s">
        <v>19360</v>
      </c>
      <c r="P620" s="116"/>
      <c r="Q620" s="116"/>
      <c r="R620" s="50">
        <v>5.0</v>
      </c>
      <c r="S620" s="50" t="s">
        <v>18057</v>
      </c>
      <c r="T620" s="117">
        <v>5408.0</v>
      </c>
      <c r="U620" s="50" t="s">
        <v>19376</v>
      </c>
      <c r="V620" s="50" t="s">
        <v>19377</v>
      </c>
      <c r="W620" s="117">
        <v>621.0</v>
      </c>
    </row>
    <row r="621">
      <c r="A621" s="50" t="s">
        <v>19375</v>
      </c>
      <c r="B621" s="50" t="s">
        <v>6876</v>
      </c>
      <c r="C621" s="50" t="s">
        <v>6877</v>
      </c>
      <c r="D621" s="50" t="s">
        <v>11623</v>
      </c>
      <c r="E621" s="144">
        <v>43790.0</v>
      </c>
      <c r="F621" s="50" t="s">
        <v>19380</v>
      </c>
      <c r="G621" s="50">
        <v>59.0</v>
      </c>
      <c r="H621" s="50">
        <v>1.0</v>
      </c>
      <c r="I621" s="50">
        <v>11.0</v>
      </c>
      <c r="J621" s="116"/>
      <c r="K621" s="116"/>
      <c r="L621" s="50" t="s">
        <v>1634</v>
      </c>
      <c r="M621" s="50" t="s">
        <v>1634</v>
      </c>
      <c r="N621" s="50">
        <v>1.0</v>
      </c>
      <c r="O621" s="50" t="s">
        <v>19360</v>
      </c>
      <c r="P621" s="116"/>
      <c r="Q621" s="116"/>
      <c r="R621" s="50">
        <v>5.0</v>
      </c>
      <c r="S621" s="50" t="s">
        <v>18057</v>
      </c>
      <c r="T621" s="117">
        <v>5409.0</v>
      </c>
      <c r="U621" s="50" t="s">
        <v>19387</v>
      </c>
      <c r="V621" s="50" t="s">
        <v>19388</v>
      </c>
      <c r="W621" s="117">
        <v>622.0</v>
      </c>
    </row>
    <row r="622">
      <c r="A622" s="50" t="s">
        <v>19380</v>
      </c>
      <c r="B622" s="50" t="s">
        <v>6876</v>
      </c>
      <c r="C622" s="50" t="s">
        <v>6877</v>
      </c>
      <c r="D622" s="50" t="s">
        <v>11623</v>
      </c>
      <c r="E622" s="144">
        <v>43790.0</v>
      </c>
      <c r="F622" s="50" t="s">
        <v>19389</v>
      </c>
      <c r="G622" s="50">
        <v>58.0</v>
      </c>
      <c r="H622" s="50">
        <v>1.0</v>
      </c>
      <c r="I622" s="50">
        <v>11.0</v>
      </c>
      <c r="J622" s="116"/>
      <c r="K622" s="116"/>
      <c r="L622" s="50" t="s">
        <v>1637</v>
      </c>
      <c r="M622" s="50" t="s">
        <v>1637</v>
      </c>
      <c r="N622" s="50">
        <v>1.0</v>
      </c>
      <c r="O622" s="50" t="s">
        <v>19360</v>
      </c>
      <c r="P622" s="116"/>
      <c r="Q622" s="116"/>
      <c r="R622" s="50">
        <v>5.0</v>
      </c>
      <c r="S622" s="50" t="s">
        <v>18057</v>
      </c>
      <c r="T622" s="117">
        <v>5410.0</v>
      </c>
      <c r="U622" s="50" t="s">
        <v>19392</v>
      </c>
      <c r="V622" s="50" t="s">
        <v>19393</v>
      </c>
      <c r="W622" s="117">
        <v>623.0</v>
      </c>
    </row>
    <row r="623">
      <c r="A623" s="50" t="s">
        <v>19389</v>
      </c>
      <c r="B623" s="50" t="s">
        <v>6876</v>
      </c>
      <c r="C623" s="50" t="s">
        <v>6877</v>
      </c>
      <c r="D623" s="50" t="s">
        <v>11623</v>
      </c>
      <c r="E623" s="144">
        <v>43790.0</v>
      </c>
      <c r="F623" s="50" t="s">
        <v>19395</v>
      </c>
      <c r="G623" s="50">
        <v>59.0</v>
      </c>
      <c r="H623" s="50">
        <v>1.0</v>
      </c>
      <c r="I623" s="50">
        <v>11.0</v>
      </c>
      <c r="J623" s="116"/>
      <c r="K623" s="116"/>
      <c r="L623" s="50" t="s">
        <v>1643</v>
      </c>
      <c r="M623" s="50" t="s">
        <v>1643</v>
      </c>
      <c r="N623" s="50">
        <v>1.0</v>
      </c>
      <c r="O623" s="50" t="s">
        <v>19360</v>
      </c>
      <c r="P623" s="116"/>
      <c r="Q623" s="116"/>
      <c r="R623" s="50">
        <v>5.0</v>
      </c>
      <c r="S623" s="50" t="s">
        <v>18057</v>
      </c>
      <c r="T623" s="117">
        <v>5411.0</v>
      </c>
      <c r="U623" s="50" t="s">
        <v>19397</v>
      </c>
      <c r="V623" s="50" t="s">
        <v>19399</v>
      </c>
      <c r="W623" s="117">
        <v>624.0</v>
      </c>
    </row>
    <row r="624">
      <c r="A624" s="50" t="s">
        <v>19395</v>
      </c>
      <c r="B624" s="50" t="s">
        <v>6876</v>
      </c>
      <c r="C624" s="50" t="s">
        <v>6877</v>
      </c>
      <c r="D624" s="50" t="s">
        <v>11623</v>
      </c>
      <c r="E624" s="144">
        <v>43790.0</v>
      </c>
      <c r="F624" s="50" t="s">
        <v>19405</v>
      </c>
      <c r="G624" s="50">
        <v>59.0</v>
      </c>
      <c r="H624" s="50">
        <v>1.0</v>
      </c>
      <c r="I624" s="50">
        <v>11.0</v>
      </c>
      <c r="J624" s="116"/>
      <c r="K624" s="116"/>
      <c r="L624" s="50" t="s">
        <v>1644</v>
      </c>
      <c r="M624" s="50" t="s">
        <v>1644</v>
      </c>
      <c r="N624" s="50">
        <v>1.0</v>
      </c>
      <c r="O624" s="50" t="s">
        <v>19360</v>
      </c>
      <c r="P624" s="116"/>
      <c r="Q624" s="116"/>
      <c r="R624" s="50">
        <v>5.0</v>
      </c>
      <c r="S624" s="50" t="s">
        <v>18057</v>
      </c>
      <c r="T624" s="117">
        <v>5412.0</v>
      </c>
      <c r="U624" s="50" t="s">
        <v>19408</v>
      </c>
      <c r="V624" s="50" t="s">
        <v>19409</v>
      </c>
      <c r="W624" s="117">
        <v>625.0</v>
      </c>
    </row>
    <row r="625">
      <c r="A625" s="50" t="s">
        <v>19410</v>
      </c>
      <c r="B625" s="50" t="s">
        <v>6876</v>
      </c>
      <c r="C625" s="50" t="s">
        <v>6877</v>
      </c>
      <c r="D625" s="50" t="s">
        <v>11623</v>
      </c>
      <c r="E625" s="144">
        <v>43790.0</v>
      </c>
      <c r="F625" s="50" t="s">
        <v>19411</v>
      </c>
      <c r="G625" s="50">
        <v>59.0</v>
      </c>
      <c r="H625" s="50">
        <v>1.0</v>
      </c>
      <c r="I625" s="50">
        <v>11.0</v>
      </c>
      <c r="J625" s="116"/>
      <c r="K625" s="116"/>
      <c r="L625" s="50" t="s">
        <v>1645</v>
      </c>
      <c r="M625" s="50" t="s">
        <v>1645</v>
      </c>
      <c r="N625" s="50">
        <v>1.0</v>
      </c>
      <c r="O625" s="50" t="s">
        <v>19360</v>
      </c>
      <c r="P625" s="116"/>
      <c r="Q625" s="116"/>
      <c r="R625" s="50">
        <v>5.0</v>
      </c>
      <c r="S625" s="50" t="s">
        <v>18057</v>
      </c>
      <c r="T625" s="117">
        <v>5413.0</v>
      </c>
      <c r="U625" s="50" t="s">
        <v>19414</v>
      </c>
      <c r="V625" s="50" t="s">
        <v>19415</v>
      </c>
      <c r="W625" s="117">
        <v>626.0</v>
      </c>
    </row>
    <row r="626">
      <c r="A626" s="50" t="s">
        <v>19411</v>
      </c>
      <c r="B626" s="50" t="s">
        <v>6876</v>
      </c>
      <c r="C626" s="50" t="s">
        <v>6877</v>
      </c>
      <c r="D626" s="50" t="s">
        <v>11623</v>
      </c>
      <c r="E626" s="144">
        <v>43790.0</v>
      </c>
      <c r="F626" s="50" t="s">
        <v>19418</v>
      </c>
      <c r="G626" s="50">
        <v>55.0</v>
      </c>
      <c r="H626" s="50">
        <v>1.0</v>
      </c>
      <c r="I626" s="50">
        <v>12.0</v>
      </c>
      <c r="J626" s="116"/>
      <c r="K626" s="116"/>
      <c r="L626" s="50" t="s">
        <v>1641</v>
      </c>
      <c r="M626" s="50" t="s">
        <v>1641</v>
      </c>
      <c r="N626" s="50">
        <v>1.0</v>
      </c>
      <c r="O626" s="50" t="s">
        <v>19360</v>
      </c>
      <c r="P626" s="116"/>
      <c r="Q626" s="116"/>
      <c r="R626" s="50">
        <v>5.0</v>
      </c>
      <c r="S626" s="50" t="s">
        <v>18057</v>
      </c>
      <c r="T626" s="117">
        <v>5414.0</v>
      </c>
      <c r="U626" s="50" t="s">
        <v>19422</v>
      </c>
      <c r="V626" s="50" t="s">
        <v>19423</v>
      </c>
      <c r="W626" s="117">
        <v>627.0</v>
      </c>
    </row>
    <row r="627">
      <c r="A627" s="50" t="s">
        <v>19418</v>
      </c>
      <c r="B627" s="50" t="s">
        <v>6876</v>
      </c>
      <c r="C627" s="50" t="s">
        <v>6877</v>
      </c>
      <c r="D627" s="50" t="s">
        <v>11623</v>
      </c>
      <c r="E627" s="144">
        <v>43790.0</v>
      </c>
      <c r="F627" s="50" t="s">
        <v>19424</v>
      </c>
      <c r="G627" s="50">
        <v>55.0</v>
      </c>
      <c r="H627" s="50">
        <v>1.0</v>
      </c>
      <c r="I627" s="50">
        <v>99.0</v>
      </c>
      <c r="J627" s="116"/>
      <c r="K627" s="116"/>
      <c r="L627" s="50" t="s">
        <v>294</v>
      </c>
      <c r="M627" s="50" t="s">
        <v>294</v>
      </c>
      <c r="N627" s="50">
        <v>1.0</v>
      </c>
      <c r="O627" s="50" t="s">
        <v>19360</v>
      </c>
      <c r="P627" s="116"/>
      <c r="Q627" s="50" t="s">
        <v>19427</v>
      </c>
      <c r="R627" s="50">
        <v>5.0</v>
      </c>
      <c r="S627" s="50" t="s">
        <v>18057</v>
      </c>
      <c r="T627" s="117">
        <v>5415.0</v>
      </c>
      <c r="U627" s="50" t="s">
        <v>19428</v>
      </c>
      <c r="V627" s="50" t="s">
        <v>19429</v>
      </c>
      <c r="W627" s="117">
        <v>628.0</v>
      </c>
    </row>
    <row r="628">
      <c r="A628" s="50" t="s">
        <v>19424</v>
      </c>
      <c r="B628" s="50" t="s">
        <v>6876</v>
      </c>
      <c r="C628" s="50" t="s">
        <v>6877</v>
      </c>
      <c r="D628" s="50" t="s">
        <v>11623</v>
      </c>
      <c r="E628" s="144">
        <v>43790.0</v>
      </c>
      <c r="F628" s="50" t="s">
        <v>19431</v>
      </c>
      <c r="G628" s="50">
        <v>57.0</v>
      </c>
      <c r="H628" s="50">
        <v>1.0</v>
      </c>
      <c r="I628" s="50">
        <v>12.0</v>
      </c>
      <c r="J628" s="116"/>
      <c r="K628" s="116"/>
      <c r="L628" s="50" t="s">
        <v>1642</v>
      </c>
      <c r="M628" s="50" t="s">
        <v>1642</v>
      </c>
      <c r="N628" s="50">
        <v>1.0</v>
      </c>
      <c r="O628" s="50" t="s">
        <v>19360</v>
      </c>
      <c r="P628" s="116"/>
      <c r="Q628" s="116"/>
      <c r="R628" s="50">
        <v>5.0</v>
      </c>
      <c r="S628" s="50" t="s">
        <v>18057</v>
      </c>
      <c r="T628" s="117">
        <v>5416.0</v>
      </c>
      <c r="U628" s="50" t="s">
        <v>19435</v>
      </c>
      <c r="V628" s="50" t="s">
        <v>19437</v>
      </c>
      <c r="W628" s="117">
        <v>629.0</v>
      </c>
    </row>
    <row r="629">
      <c r="A629" s="50" t="s">
        <v>19438</v>
      </c>
      <c r="B629" s="50" t="s">
        <v>6876</v>
      </c>
      <c r="C629" s="50" t="s">
        <v>6877</v>
      </c>
      <c r="D629" s="50" t="s">
        <v>11623</v>
      </c>
      <c r="E629" s="144">
        <v>43797.0</v>
      </c>
      <c r="F629" s="50" t="s">
        <v>19439</v>
      </c>
      <c r="G629" s="50">
        <v>58.0</v>
      </c>
      <c r="H629" s="50">
        <v>1.0</v>
      </c>
      <c r="I629" s="50">
        <v>98.0</v>
      </c>
      <c r="J629" s="116"/>
      <c r="K629" s="116"/>
      <c r="L629" s="50" t="s">
        <v>1572</v>
      </c>
      <c r="M629" s="50" t="s">
        <v>1572</v>
      </c>
      <c r="N629" s="50">
        <v>1.0</v>
      </c>
      <c r="O629" s="50" t="s">
        <v>16075</v>
      </c>
      <c r="P629" s="116"/>
      <c r="Q629" s="116"/>
      <c r="R629" s="50">
        <v>5.0</v>
      </c>
      <c r="S629" s="50" t="s">
        <v>18057</v>
      </c>
      <c r="T629" s="117">
        <v>5642.0</v>
      </c>
      <c r="U629" s="50" t="s">
        <v>19442</v>
      </c>
      <c r="V629" s="50" t="s">
        <v>19443</v>
      </c>
      <c r="W629" s="117">
        <v>630.0</v>
      </c>
    </row>
    <row r="630">
      <c r="A630" s="50" t="s">
        <v>19439</v>
      </c>
      <c r="B630" s="50" t="s">
        <v>6876</v>
      </c>
      <c r="C630" s="50" t="s">
        <v>6877</v>
      </c>
      <c r="D630" s="50" t="s">
        <v>11623</v>
      </c>
      <c r="E630" s="144">
        <v>43797.0</v>
      </c>
      <c r="F630" s="50" t="s">
        <v>19445</v>
      </c>
      <c r="G630" s="50">
        <v>59.0</v>
      </c>
      <c r="H630" s="50">
        <v>1.0</v>
      </c>
      <c r="I630" s="50">
        <v>98.0</v>
      </c>
      <c r="J630" s="116"/>
      <c r="K630" s="116"/>
      <c r="L630" s="50" t="s">
        <v>1594</v>
      </c>
      <c r="M630" s="50" t="s">
        <v>1594</v>
      </c>
      <c r="N630" s="50">
        <v>1.0</v>
      </c>
      <c r="O630" s="50" t="s">
        <v>16077</v>
      </c>
      <c r="P630" s="116"/>
      <c r="Q630" s="116"/>
      <c r="R630" s="50">
        <v>5.0</v>
      </c>
      <c r="S630" s="50" t="s">
        <v>18057</v>
      </c>
      <c r="T630" s="117">
        <v>5643.0</v>
      </c>
      <c r="U630" s="50" t="s">
        <v>19446</v>
      </c>
      <c r="V630" s="50" t="s">
        <v>19447</v>
      </c>
      <c r="W630" s="117">
        <v>631.0</v>
      </c>
    </row>
    <row r="631">
      <c r="A631" s="50" t="s">
        <v>19445</v>
      </c>
      <c r="B631" s="50" t="s">
        <v>6876</v>
      </c>
      <c r="C631" s="50" t="s">
        <v>6877</v>
      </c>
      <c r="D631" s="50" t="s">
        <v>11623</v>
      </c>
      <c r="E631" s="144">
        <v>43797.0</v>
      </c>
      <c r="F631" s="50" t="s">
        <v>19448</v>
      </c>
      <c r="G631" s="50">
        <v>58.0</v>
      </c>
      <c r="H631" s="50">
        <v>1.0</v>
      </c>
      <c r="I631" s="50">
        <v>98.0</v>
      </c>
      <c r="J631" s="116"/>
      <c r="K631" s="116"/>
      <c r="L631" s="50" t="s">
        <v>1602</v>
      </c>
      <c r="M631" s="50" t="s">
        <v>1602</v>
      </c>
      <c r="N631" s="50">
        <v>1.0</v>
      </c>
      <c r="O631" s="50" t="s">
        <v>19201</v>
      </c>
      <c r="P631" s="116"/>
      <c r="Q631" s="116"/>
      <c r="R631" s="50">
        <v>5.0</v>
      </c>
      <c r="S631" s="50" t="s">
        <v>18057</v>
      </c>
      <c r="T631" s="117">
        <v>5644.0</v>
      </c>
      <c r="U631" s="50" t="s">
        <v>19454</v>
      </c>
      <c r="V631" s="50" t="s">
        <v>19455</v>
      </c>
      <c r="W631" s="117">
        <v>632.0</v>
      </c>
    </row>
    <row r="632">
      <c r="A632" s="50" t="s">
        <v>19448</v>
      </c>
      <c r="B632" s="50" t="s">
        <v>6876</v>
      </c>
      <c r="C632" s="50" t="s">
        <v>6877</v>
      </c>
      <c r="D632" s="50" t="s">
        <v>11623</v>
      </c>
      <c r="E632" s="144">
        <v>43797.0</v>
      </c>
      <c r="F632" s="50" t="s">
        <v>19461</v>
      </c>
      <c r="G632" s="50">
        <v>59.0</v>
      </c>
      <c r="H632" s="50">
        <v>1.0</v>
      </c>
      <c r="I632" s="50">
        <v>98.0</v>
      </c>
      <c r="J632" s="116"/>
      <c r="K632" s="116"/>
      <c r="L632" s="50" t="s">
        <v>1610</v>
      </c>
      <c r="M632" s="50" t="s">
        <v>1610</v>
      </c>
      <c r="N632" s="50">
        <v>1.0</v>
      </c>
      <c r="O632" s="50" t="s">
        <v>19255</v>
      </c>
      <c r="P632" s="116"/>
      <c r="Q632" s="116"/>
      <c r="R632" s="50">
        <v>5.0</v>
      </c>
      <c r="S632" s="50" t="s">
        <v>18057</v>
      </c>
      <c r="T632" s="117">
        <v>5645.0</v>
      </c>
      <c r="U632" s="50" t="s">
        <v>19462</v>
      </c>
      <c r="V632" s="50" t="s">
        <v>19463</v>
      </c>
      <c r="W632" s="117">
        <v>633.0</v>
      </c>
    </row>
    <row r="633">
      <c r="A633" s="50" t="s">
        <v>19461</v>
      </c>
      <c r="B633" s="50" t="s">
        <v>6876</v>
      </c>
      <c r="C633" s="50" t="s">
        <v>6877</v>
      </c>
      <c r="D633" s="50" t="s">
        <v>11623</v>
      </c>
      <c r="E633" s="144">
        <v>43797.0</v>
      </c>
      <c r="F633" s="50" t="s">
        <v>19466</v>
      </c>
      <c r="G633" s="50">
        <v>58.0</v>
      </c>
      <c r="H633" s="50">
        <v>1.0</v>
      </c>
      <c r="I633" s="50">
        <v>98.0</v>
      </c>
      <c r="J633" s="116"/>
      <c r="K633" s="116"/>
      <c r="L633" s="50" t="s">
        <v>1627</v>
      </c>
      <c r="M633" s="50" t="s">
        <v>1627</v>
      </c>
      <c r="N633" s="50">
        <v>1.0</v>
      </c>
      <c r="O633" s="50" t="s">
        <v>19278</v>
      </c>
      <c r="P633" s="116"/>
      <c r="Q633" s="116"/>
      <c r="R633" s="50">
        <v>5.0</v>
      </c>
      <c r="S633" s="50" t="s">
        <v>18057</v>
      </c>
      <c r="T633" s="117">
        <v>5646.0</v>
      </c>
      <c r="U633" s="50" t="s">
        <v>19469</v>
      </c>
      <c r="V633" s="50" t="s">
        <v>19471</v>
      </c>
      <c r="W633" s="117">
        <v>634.0</v>
      </c>
    </row>
    <row r="634">
      <c r="A634" s="50" t="s">
        <v>19466</v>
      </c>
      <c r="B634" s="50" t="s">
        <v>6876</v>
      </c>
      <c r="C634" s="50" t="s">
        <v>6877</v>
      </c>
      <c r="D634" s="50" t="s">
        <v>11623</v>
      </c>
      <c r="E634" s="144">
        <v>43797.0</v>
      </c>
      <c r="F634" s="50" t="s">
        <v>19475</v>
      </c>
      <c r="G634" s="50">
        <v>57.0</v>
      </c>
      <c r="H634" s="50">
        <v>1.0</v>
      </c>
      <c r="I634" s="50">
        <v>98.0</v>
      </c>
      <c r="J634" s="116"/>
      <c r="K634" s="116"/>
      <c r="L634" s="50" t="s">
        <v>1648</v>
      </c>
      <c r="M634" s="50" t="s">
        <v>1648</v>
      </c>
      <c r="N634" s="50">
        <v>1.0</v>
      </c>
      <c r="O634" s="50" t="s">
        <v>19360</v>
      </c>
      <c r="P634" s="116"/>
      <c r="Q634" s="116"/>
      <c r="R634" s="50">
        <v>5.0</v>
      </c>
      <c r="S634" s="50" t="s">
        <v>18057</v>
      </c>
      <c r="T634" s="117">
        <v>5647.0</v>
      </c>
      <c r="U634" s="50" t="s">
        <v>19478</v>
      </c>
      <c r="V634" s="50" t="s">
        <v>19479</v>
      </c>
      <c r="W634" s="117">
        <v>635.0</v>
      </c>
    </row>
    <row r="635">
      <c r="A635" s="50" t="s">
        <v>19475</v>
      </c>
      <c r="B635" s="50" t="s">
        <v>6876</v>
      </c>
      <c r="C635" s="50" t="s">
        <v>6877</v>
      </c>
      <c r="D635" s="50" t="s">
        <v>11623</v>
      </c>
      <c r="E635" s="144">
        <v>43797.0</v>
      </c>
      <c r="F635" s="50" t="s">
        <v>19481</v>
      </c>
      <c r="G635" s="50">
        <v>66.0</v>
      </c>
      <c r="H635" s="50">
        <v>1.0</v>
      </c>
      <c r="I635" s="50">
        <v>16.0</v>
      </c>
      <c r="J635" s="116"/>
      <c r="K635" s="116"/>
      <c r="L635" s="50" t="s">
        <v>1653</v>
      </c>
      <c r="M635" s="50" t="s">
        <v>1653</v>
      </c>
      <c r="N635" s="50">
        <v>1.0</v>
      </c>
      <c r="O635" s="50" t="s">
        <v>19482</v>
      </c>
      <c r="P635" s="116"/>
      <c r="Q635" s="116"/>
      <c r="R635" s="50">
        <v>7.0</v>
      </c>
      <c r="S635" s="50" t="s">
        <v>18057</v>
      </c>
      <c r="T635" s="117">
        <v>5648.0</v>
      </c>
      <c r="U635" s="50" t="s">
        <v>19483</v>
      </c>
      <c r="V635" s="50" t="s">
        <v>19484</v>
      </c>
      <c r="W635" s="117">
        <v>636.0</v>
      </c>
    </row>
    <row r="636">
      <c r="A636" s="50" t="s">
        <v>19481</v>
      </c>
      <c r="B636" s="50" t="s">
        <v>6876</v>
      </c>
      <c r="C636" s="50" t="s">
        <v>6877</v>
      </c>
      <c r="D636" s="50" t="s">
        <v>11623</v>
      </c>
      <c r="E636" s="144">
        <v>43797.0</v>
      </c>
      <c r="F636" s="50" t="s">
        <v>19487</v>
      </c>
      <c r="G636" s="50">
        <v>66.0</v>
      </c>
      <c r="H636" s="50">
        <v>1.0</v>
      </c>
      <c r="I636" s="50">
        <v>16.0</v>
      </c>
      <c r="J636" s="116"/>
      <c r="K636" s="116"/>
      <c r="L636" s="50" t="s">
        <v>19491</v>
      </c>
      <c r="M636" s="50" t="s">
        <v>19491</v>
      </c>
      <c r="N636" s="50">
        <v>1.0</v>
      </c>
      <c r="O636" s="50" t="s">
        <v>19482</v>
      </c>
      <c r="P636" s="116"/>
      <c r="Q636" s="116"/>
      <c r="R636" s="50">
        <v>7.0</v>
      </c>
      <c r="S636" s="50" t="s">
        <v>18057</v>
      </c>
      <c r="T636" s="117">
        <v>5649.0</v>
      </c>
      <c r="U636" s="50" t="s">
        <v>19493</v>
      </c>
      <c r="V636" s="50" t="s">
        <v>19494</v>
      </c>
      <c r="W636" s="117">
        <v>637.0</v>
      </c>
    </row>
    <row r="637">
      <c r="A637" s="50" t="s">
        <v>19487</v>
      </c>
      <c r="B637" s="50" t="s">
        <v>6876</v>
      </c>
      <c r="C637" s="50" t="s">
        <v>6877</v>
      </c>
      <c r="D637" s="50" t="s">
        <v>11623</v>
      </c>
      <c r="E637" s="144">
        <v>43797.0</v>
      </c>
      <c r="F637" s="50" t="s">
        <v>19495</v>
      </c>
      <c r="G637" s="50">
        <v>58.0</v>
      </c>
      <c r="H637" s="50">
        <v>1.0</v>
      </c>
      <c r="I637" s="50">
        <v>15.0</v>
      </c>
      <c r="J637" s="116"/>
      <c r="K637" s="50">
        <v>151.0</v>
      </c>
      <c r="L637" s="50" t="s">
        <v>654</v>
      </c>
      <c r="M637" s="50" t="s">
        <v>654</v>
      </c>
      <c r="N637" s="50">
        <v>1.0</v>
      </c>
      <c r="O637" s="50" t="s">
        <v>19482</v>
      </c>
      <c r="P637" s="116"/>
      <c r="Q637" s="116"/>
      <c r="R637" s="50">
        <v>7.0</v>
      </c>
      <c r="S637" s="50" t="s">
        <v>18057</v>
      </c>
      <c r="T637" s="117">
        <v>5650.0</v>
      </c>
      <c r="U637" s="50" t="s">
        <v>19498</v>
      </c>
      <c r="V637" s="50" t="s">
        <v>19499</v>
      </c>
      <c r="W637" s="117">
        <v>638.0</v>
      </c>
    </row>
    <row r="638">
      <c r="A638" s="50" t="s">
        <v>19495</v>
      </c>
      <c r="B638" s="50" t="s">
        <v>6876</v>
      </c>
      <c r="C638" s="50" t="s">
        <v>6877</v>
      </c>
      <c r="D638" s="50" t="s">
        <v>11623</v>
      </c>
      <c r="E638" s="144">
        <v>43797.0</v>
      </c>
      <c r="F638" s="50" t="s">
        <v>19501</v>
      </c>
      <c r="G638" s="50">
        <v>58.0</v>
      </c>
      <c r="H638" s="50">
        <v>1.0</v>
      </c>
      <c r="I638" s="50">
        <v>15.0</v>
      </c>
      <c r="J638" s="116"/>
      <c r="K638" s="50">
        <v>152.0</v>
      </c>
      <c r="L638" s="50" t="s">
        <v>657</v>
      </c>
      <c r="M638" s="50" t="s">
        <v>657</v>
      </c>
      <c r="N638" s="50">
        <v>1.0</v>
      </c>
      <c r="O638" s="50" t="s">
        <v>19482</v>
      </c>
      <c r="P638" s="116"/>
      <c r="Q638" s="116"/>
      <c r="R638" s="50">
        <v>7.0</v>
      </c>
      <c r="S638" s="50" t="s">
        <v>18057</v>
      </c>
      <c r="T638" s="117">
        <v>5651.0</v>
      </c>
      <c r="U638" s="50" t="s">
        <v>19502</v>
      </c>
      <c r="V638" s="50" t="s">
        <v>19503</v>
      </c>
      <c r="W638" s="117">
        <v>639.0</v>
      </c>
    </row>
    <row r="639">
      <c r="A639" s="50" t="s">
        <v>19501</v>
      </c>
      <c r="B639" s="50" t="s">
        <v>6876</v>
      </c>
      <c r="C639" s="50" t="s">
        <v>6877</v>
      </c>
      <c r="D639" s="50" t="s">
        <v>11623</v>
      </c>
      <c r="E639" s="144">
        <v>43797.0</v>
      </c>
      <c r="F639" s="50" t="s">
        <v>19509</v>
      </c>
      <c r="G639" s="50">
        <v>58.0</v>
      </c>
      <c r="H639" s="50">
        <v>1.0</v>
      </c>
      <c r="I639" s="50">
        <v>15.0</v>
      </c>
      <c r="J639" s="116"/>
      <c r="K639" s="50">
        <v>152.0</v>
      </c>
      <c r="L639" s="50" t="s">
        <v>659</v>
      </c>
      <c r="M639" s="50" t="s">
        <v>659</v>
      </c>
      <c r="N639" s="50">
        <v>1.0</v>
      </c>
      <c r="O639" s="50" t="s">
        <v>19482</v>
      </c>
      <c r="P639" s="116"/>
      <c r="Q639" s="116"/>
      <c r="R639" s="50">
        <v>7.0</v>
      </c>
      <c r="S639" s="50" t="s">
        <v>18057</v>
      </c>
      <c r="T639" s="117">
        <v>5652.0</v>
      </c>
      <c r="U639" s="50" t="s">
        <v>19512</v>
      </c>
      <c r="V639" s="50" t="s">
        <v>19513</v>
      </c>
      <c r="W639" s="117">
        <v>640.0</v>
      </c>
    </row>
    <row r="640">
      <c r="A640" s="50" t="s">
        <v>19509</v>
      </c>
      <c r="B640" s="50" t="s">
        <v>6876</v>
      </c>
      <c r="C640" s="50" t="s">
        <v>6877</v>
      </c>
      <c r="D640" s="50" t="s">
        <v>11623</v>
      </c>
      <c r="E640" s="144">
        <v>43797.0</v>
      </c>
      <c r="F640" s="50" t="s">
        <v>19514</v>
      </c>
      <c r="G640" s="50">
        <v>58.0</v>
      </c>
      <c r="H640" s="50">
        <v>1.0</v>
      </c>
      <c r="I640" s="50">
        <v>15.0</v>
      </c>
      <c r="J640" s="116"/>
      <c r="K640" s="50">
        <v>152.0</v>
      </c>
      <c r="L640" s="50" t="s">
        <v>661</v>
      </c>
      <c r="M640" s="50" t="s">
        <v>661</v>
      </c>
      <c r="N640" s="50">
        <v>1.0</v>
      </c>
      <c r="O640" s="50" t="s">
        <v>19482</v>
      </c>
      <c r="P640" s="116"/>
      <c r="Q640" s="116"/>
      <c r="R640" s="50">
        <v>7.0</v>
      </c>
      <c r="S640" s="50" t="s">
        <v>18057</v>
      </c>
      <c r="T640" s="117">
        <v>5653.0</v>
      </c>
      <c r="U640" s="50" t="s">
        <v>19517</v>
      </c>
      <c r="V640" s="50" t="s">
        <v>19518</v>
      </c>
      <c r="W640" s="117">
        <v>641.0</v>
      </c>
    </row>
    <row r="641">
      <c r="A641" s="50" t="s">
        <v>19514</v>
      </c>
      <c r="B641" s="50" t="s">
        <v>6876</v>
      </c>
      <c r="C641" s="50" t="s">
        <v>6877</v>
      </c>
      <c r="D641" s="50" t="s">
        <v>11623</v>
      </c>
      <c r="E641" s="144">
        <v>43797.0</v>
      </c>
      <c r="F641" s="50" t="s">
        <v>19520</v>
      </c>
      <c r="G641" s="50">
        <v>58.0</v>
      </c>
      <c r="H641" s="50">
        <v>1.0</v>
      </c>
      <c r="I641" s="50">
        <v>99.0</v>
      </c>
      <c r="J641" s="116"/>
      <c r="K641" s="116"/>
      <c r="L641" s="50" t="s">
        <v>664</v>
      </c>
      <c r="M641" s="50" t="s">
        <v>664</v>
      </c>
      <c r="N641" s="50">
        <v>1.0</v>
      </c>
      <c r="O641" s="50" t="s">
        <v>19482</v>
      </c>
      <c r="P641" s="116"/>
      <c r="Q641" s="50" t="s">
        <v>19521</v>
      </c>
      <c r="R641" s="50">
        <v>7.0</v>
      </c>
      <c r="S641" s="50" t="s">
        <v>18057</v>
      </c>
      <c r="T641" s="117">
        <v>5654.0</v>
      </c>
      <c r="U641" s="50" t="s">
        <v>19522</v>
      </c>
      <c r="V641" s="50" t="s">
        <v>19523</v>
      </c>
      <c r="W641" s="117">
        <v>642.0</v>
      </c>
    </row>
    <row r="642">
      <c r="A642" s="50" t="s">
        <v>19520</v>
      </c>
      <c r="B642" s="50" t="s">
        <v>6876</v>
      </c>
      <c r="C642" s="50" t="s">
        <v>6877</v>
      </c>
      <c r="D642" s="50" t="s">
        <v>11623</v>
      </c>
      <c r="E642" s="144">
        <v>43797.0</v>
      </c>
      <c r="F642" s="50" t="s">
        <v>19526</v>
      </c>
      <c r="G642" s="50">
        <v>58.0</v>
      </c>
      <c r="H642" s="50">
        <v>1.0</v>
      </c>
      <c r="I642" s="50">
        <v>98.0</v>
      </c>
      <c r="J642" s="116"/>
      <c r="K642" s="116"/>
      <c r="L642" s="50" t="s">
        <v>1652</v>
      </c>
      <c r="M642" s="50" t="s">
        <v>1652</v>
      </c>
      <c r="N642" s="50">
        <v>1.0</v>
      </c>
      <c r="O642" s="50" t="s">
        <v>19482</v>
      </c>
      <c r="P642" s="116"/>
      <c r="Q642" s="116"/>
      <c r="R642" s="50">
        <v>7.0</v>
      </c>
      <c r="S642" s="50" t="s">
        <v>18057</v>
      </c>
      <c r="T642" s="117">
        <v>5655.0</v>
      </c>
      <c r="U642" s="50" t="s">
        <v>19531</v>
      </c>
      <c r="V642" s="50" t="s">
        <v>19532</v>
      </c>
      <c r="W642" s="117">
        <v>643.0</v>
      </c>
    </row>
    <row r="643">
      <c r="A643" s="50" t="s">
        <v>19526</v>
      </c>
      <c r="B643" s="50" t="s">
        <v>6876</v>
      </c>
      <c r="C643" s="50" t="s">
        <v>6877</v>
      </c>
      <c r="D643" s="50" t="s">
        <v>11623</v>
      </c>
      <c r="E643" s="144">
        <v>43797.0</v>
      </c>
      <c r="F643" s="50" t="s">
        <v>19533</v>
      </c>
      <c r="G643" s="50">
        <v>59.0</v>
      </c>
      <c r="H643" s="50">
        <v>1.0</v>
      </c>
      <c r="I643" s="50">
        <v>11.0</v>
      </c>
      <c r="J643" s="116"/>
      <c r="K643" s="116"/>
      <c r="L643" s="50" t="s">
        <v>1657</v>
      </c>
      <c r="M643" s="50" t="s">
        <v>1657</v>
      </c>
      <c r="N643" s="50">
        <v>1.0</v>
      </c>
      <c r="O643" s="50" t="s">
        <v>19534</v>
      </c>
      <c r="P643" s="116"/>
      <c r="Q643" s="116"/>
      <c r="R643" s="50">
        <v>5.0</v>
      </c>
      <c r="S643" s="50" t="s">
        <v>18057</v>
      </c>
      <c r="T643" s="117">
        <v>5656.0</v>
      </c>
      <c r="U643" s="50" t="s">
        <v>19537</v>
      </c>
      <c r="V643" s="50" t="s">
        <v>19539</v>
      </c>
      <c r="W643" s="117">
        <v>644.0</v>
      </c>
    </row>
    <row r="644">
      <c r="A644" s="50" t="s">
        <v>19533</v>
      </c>
      <c r="B644" s="50" t="s">
        <v>6876</v>
      </c>
      <c r="C644" s="50" t="s">
        <v>6877</v>
      </c>
      <c r="D644" s="50" t="s">
        <v>11623</v>
      </c>
      <c r="E644" s="144">
        <v>43797.0</v>
      </c>
      <c r="F644" s="50" t="s">
        <v>19541</v>
      </c>
      <c r="G644" s="50">
        <v>59.0</v>
      </c>
      <c r="H644" s="50">
        <v>1.0</v>
      </c>
      <c r="I644" s="50">
        <v>99.0</v>
      </c>
      <c r="J644" s="116"/>
      <c r="K644" s="116"/>
      <c r="L644" s="50" t="s">
        <v>298</v>
      </c>
      <c r="M644" s="50" t="s">
        <v>298</v>
      </c>
      <c r="N644" s="50">
        <v>1.0</v>
      </c>
      <c r="O644" s="50" t="s">
        <v>19534</v>
      </c>
      <c r="P644" s="116"/>
      <c r="Q644" s="50" t="s">
        <v>19544</v>
      </c>
      <c r="R644" s="50">
        <v>5.0</v>
      </c>
      <c r="S644" s="50" t="s">
        <v>18057</v>
      </c>
      <c r="T644" s="117">
        <v>5657.0</v>
      </c>
      <c r="U644" s="50" t="s">
        <v>19547</v>
      </c>
      <c r="V644" s="50" t="s">
        <v>19548</v>
      </c>
      <c r="W644" s="117">
        <v>645.0</v>
      </c>
    </row>
    <row r="645">
      <c r="A645" s="50" t="s">
        <v>19551</v>
      </c>
      <c r="B645" s="50" t="s">
        <v>6876</v>
      </c>
      <c r="C645" s="50" t="s">
        <v>6877</v>
      </c>
      <c r="D645" s="50" t="s">
        <v>11623</v>
      </c>
      <c r="E645" s="144">
        <v>43797.0</v>
      </c>
      <c r="F645" s="50" t="s">
        <v>19552</v>
      </c>
      <c r="G645" s="50">
        <v>59.0</v>
      </c>
      <c r="H645" s="50">
        <v>1.0</v>
      </c>
      <c r="I645" s="50">
        <v>11.0</v>
      </c>
      <c r="J645" s="116"/>
      <c r="K645" s="116"/>
      <c r="L645" s="50" t="s">
        <v>1658</v>
      </c>
      <c r="M645" s="50" t="s">
        <v>1658</v>
      </c>
      <c r="N645" s="50">
        <v>1.0</v>
      </c>
      <c r="O645" s="50" t="s">
        <v>19534</v>
      </c>
      <c r="P645" s="116"/>
      <c r="Q645" s="116"/>
      <c r="R645" s="50">
        <v>5.0</v>
      </c>
      <c r="S645" s="50" t="s">
        <v>18057</v>
      </c>
      <c r="T645" s="117">
        <v>5658.0</v>
      </c>
      <c r="U645" s="50" t="s">
        <v>19554</v>
      </c>
      <c r="V645" s="50" t="s">
        <v>19555</v>
      </c>
      <c r="W645" s="117">
        <v>646.0</v>
      </c>
    </row>
    <row r="646">
      <c r="A646" s="50" t="s">
        <v>19556</v>
      </c>
      <c r="B646" s="50" t="s">
        <v>6876</v>
      </c>
      <c r="C646" s="50" t="s">
        <v>6877</v>
      </c>
      <c r="D646" s="50" t="s">
        <v>11623</v>
      </c>
      <c r="E646" s="144">
        <v>43797.0</v>
      </c>
      <c r="F646" s="50" t="s">
        <v>19557</v>
      </c>
      <c r="G646" s="50">
        <v>59.0</v>
      </c>
      <c r="H646" s="50">
        <v>1.0</v>
      </c>
      <c r="I646" s="50">
        <v>99.0</v>
      </c>
      <c r="J646" s="116"/>
      <c r="K646" s="116"/>
      <c r="L646" s="50" t="s">
        <v>300</v>
      </c>
      <c r="M646" s="50" t="s">
        <v>300</v>
      </c>
      <c r="N646" s="50">
        <v>1.0</v>
      </c>
      <c r="O646" s="50" t="s">
        <v>19534</v>
      </c>
      <c r="P646" s="116"/>
      <c r="Q646" s="50" t="s">
        <v>19558</v>
      </c>
      <c r="R646" s="50">
        <v>5.0</v>
      </c>
      <c r="S646" s="50" t="s">
        <v>18057</v>
      </c>
      <c r="T646" s="117">
        <v>5659.0</v>
      </c>
      <c r="U646" s="50" t="s">
        <v>19559</v>
      </c>
      <c r="V646" s="50" t="s">
        <v>19561</v>
      </c>
      <c r="W646" s="117">
        <v>647.0</v>
      </c>
    </row>
    <row r="647">
      <c r="A647" s="50" t="s">
        <v>19563</v>
      </c>
      <c r="B647" s="50" t="s">
        <v>6876</v>
      </c>
      <c r="C647" s="50" t="s">
        <v>6877</v>
      </c>
      <c r="D647" s="50" t="s">
        <v>11623</v>
      </c>
      <c r="E647" s="144">
        <v>43797.0</v>
      </c>
      <c r="F647" s="50" t="s">
        <v>19565</v>
      </c>
      <c r="G647" s="50">
        <v>59.0</v>
      </c>
      <c r="H647" s="50">
        <v>1.0</v>
      </c>
      <c r="I647" s="50">
        <v>11.0</v>
      </c>
      <c r="J647" s="116"/>
      <c r="K647" s="116"/>
      <c r="L647" s="50" t="s">
        <v>1659</v>
      </c>
      <c r="M647" s="50" t="s">
        <v>1659</v>
      </c>
      <c r="N647" s="50">
        <v>1.0</v>
      </c>
      <c r="O647" s="50" t="s">
        <v>19534</v>
      </c>
      <c r="P647" s="116"/>
      <c r="Q647" s="116"/>
      <c r="R647" s="50">
        <v>5.0</v>
      </c>
      <c r="S647" s="50" t="s">
        <v>18057</v>
      </c>
      <c r="T647" s="117">
        <v>5660.0</v>
      </c>
      <c r="U647" s="50" t="s">
        <v>19567</v>
      </c>
      <c r="V647" s="50" t="s">
        <v>19568</v>
      </c>
      <c r="W647" s="117">
        <v>648.0</v>
      </c>
    </row>
    <row r="648">
      <c r="A648" s="50" t="s">
        <v>19565</v>
      </c>
      <c r="B648" s="50" t="s">
        <v>6876</v>
      </c>
      <c r="C648" s="50" t="s">
        <v>6877</v>
      </c>
      <c r="D648" s="50" t="s">
        <v>11623</v>
      </c>
      <c r="E648" s="144">
        <v>43797.0</v>
      </c>
      <c r="F648" s="50" t="s">
        <v>19569</v>
      </c>
      <c r="G648" s="50">
        <v>59.0</v>
      </c>
      <c r="H648" s="50">
        <v>1.0</v>
      </c>
      <c r="I648" s="50">
        <v>99.0</v>
      </c>
      <c r="J648" s="116"/>
      <c r="K648" s="116"/>
      <c r="L648" s="50" t="s">
        <v>302</v>
      </c>
      <c r="M648" s="50" t="s">
        <v>302</v>
      </c>
      <c r="N648" s="50">
        <v>1.0</v>
      </c>
      <c r="O648" s="50" t="s">
        <v>19534</v>
      </c>
      <c r="P648" s="116"/>
      <c r="Q648" s="50" t="s">
        <v>19573</v>
      </c>
      <c r="R648" s="50">
        <v>5.0</v>
      </c>
      <c r="S648" s="50" t="s">
        <v>18057</v>
      </c>
      <c r="T648" s="117">
        <v>5661.0</v>
      </c>
      <c r="U648" s="50" t="s">
        <v>19575</v>
      </c>
      <c r="V648" s="50" t="s">
        <v>19576</v>
      </c>
      <c r="W648" s="117">
        <v>649.0</v>
      </c>
    </row>
    <row r="649">
      <c r="A649" s="50" t="s">
        <v>19569</v>
      </c>
      <c r="B649" s="50" t="s">
        <v>6876</v>
      </c>
      <c r="C649" s="50" t="s">
        <v>6877</v>
      </c>
      <c r="D649" s="50" t="s">
        <v>11623</v>
      </c>
      <c r="E649" s="144">
        <v>43797.0</v>
      </c>
      <c r="F649" s="50" t="s">
        <v>19577</v>
      </c>
      <c r="G649" s="50">
        <v>58.0</v>
      </c>
      <c r="H649" s="50">
        <v>1.0</v>
      </c>
      <c r="I649" s="50">
        <v>11.0</v>
      </c>
      <c r="J649" s="116"/>
      <c r="K649" s="116"/>
      <c r="L649" s="50" t="s">
        <v>1660</v>
      </c>
      <c r="M649" s="50" t="s">
        <v>1660</v>
      </c>
      <c r="N649" s="50">
        <v>1.0</v>
      </c>
      <c r="O649" s="50" t="s">
        <v>19534</v>
      </c>
      <c r="P649" s="116"/>
      <c r="Q649" s="116"/>
      <c r="R649" s="50">
        <v>5.0</v>
      </c>
      <c r="S649" s="50" t="s">
        <v>18057</v>
      </c>
      <c r="T649" s="117">
        <v>5662.0</v>
      </c>
      <c r="U649" s="50" t="s">
        <v>19580</v>
      </c>
      <c r="V649" s="50" t="s">
        <v>19581</v>
      </c>
      <c r="W649" s="117">
        <v>650.0</v>
      </c>
    </row>
    <row r="650">
      <c r="A650" s="50" t="s">
        <v>19577</v>
      </c>
      <c r="B650" s="50" t="s">
        <v>6876</v>
      </c>
      <c r="C650" s="50" t="s">
        <v>6877</v>
      </c>
      <c r="D650" s="50" t="s">
        <v>11623</v>
      </c>
      <c r="E650" s="144">
        <v>43797.0</v>
      </c>
      <c r="F650" s="50" t="s">
        <v>19583</v>
      </c>
      <c r="G650" s="50">
        <v>58.0</v>
      </c>
      <c r="H650" s="50">
        <v>1.0</v>
      </c>
      <c r="I650" s="50">
        <v>99.0</v>
      </c>
      <c r="J650" s="116"/>
      <c r="K650" s="116"/>
      <c r="L650" s="50" t="s">
        <v>304</v>
      </c>
      <c r="M650" s="50" t="s">
        <v>304</v>
      </c>
      <c r="N650" s="50">
        <v>1.0</v>
      </c>
      <c r="O650" s="50" t="s">
        <v>19534</v>
      </c>
      <c r="P650" s="116"/>
      <c r="Q650" s="50" t="s">
        <v>19584</v>
      </c>
      <c r="R650" s="50">
        <v>5.0</v>
      </c>
      <c r="S650" s="50" t="s">
        <v>18057</v>
      </c>
      <c r="T650" s="117">
        <v>5663.0</v>
      </c>
      <c r="U650" s="50" t="s">
        <v>19585</v>
      </c>
      <c r="V650" s="50" t="s">
        <v>19586</v>
      </c>
      <c r="W650" s="117">
        <v>651.0</v>
      </c>
    </row>
    <row r="651">
      <c r="A651" s="50" t="s">
        <v>19583</v>
      </c>
      <c r="B651" s="50" t="s">
        <v>6876</v>
      </c>
      <c r="C651" s="50" t="s">
        <v>6877</v>
      </c>
      <c r="D651" s="50" t="s">
        <v>11623</v>
      </c>
      <c r="E651" s="144">
        <v>43797.0</v>
      </c>
      <c r="F651" s="50" t="s">
        <v>19588</v>
      </c>
      <c r="G651" s="50">
        <v>66.0</v>
      </c>
      <c r="H651" s="50">
        <v>1.0</v>
      </c>
      <c r="I651" s="50">
        <v>12.0</v>
      </c>
      <c r="J651" s="116"/>
      <c r="K651" s="116"/>
      <c r="L651" s="50" t="s">
        <v>1654</v>
      </c>
      <c r="M651" s="50" t="s">
        <v>1654</v>
      </c>
      <c r="N651" s="50">
        <v>1.0</v>
      </c>
      <c r="O651" s="50" t="s">
        <v>19534</v>
      </c>
      <c r="P651" s="116"/>
      <c r="Q651" s="116"/>
      <c r="R651" s="50">
        <v>5.0</v>
      </c>
      <c r="S651" s="50" t="s">
        <v>18057</v>
      </c>
      <c r="T651" s="117">
        <v>5664.0</v>
      </c>
      <c r="U651" s="50" t="s">
        <v>19594</v>
      </c>
      <c r="V651" s="50" t="s">
        <v>19596</v>
      </c>
      <c r="W651" s="117">
        <v>652.0</v>
      </c>
    </row>
    <row r="652">
      <c r="A652" s="50" t="s">
        <v>19588</v>
      </c>
      <c r="B652" s="50" t="s">
        <v>6876</v>
      </c>
      <c r="C652" s="50" t="s">
        <v>6877</v>
      </c>
      <c r="D652" s="50" t="s">
        <v>11623</v>
      </c>
      <c r="E652" s="144">
        <v>43797.0</v>
      </c>
      <c r="F652" s="50" t="s">
        <v>19597</v>
      </c>
      <c r="G652" s="50">
        <v>66.0</v>
      </c>
      <c r="H652" s="50">
        <v>1.0</v>
      </c>
      <c r="I652" s="50">
        <v>99.0</v>
      </c>
      <c r="J652" s="116"/>
      <c r="K652" s="116"/>
      <c r="L652" s="50" t="s">
        <v>306</v>
      </c>
      <c r="M652" s="50" t="s">
        <v>306</v>
      </c>
      <c r="N652" s="50">
        <v>1.0</v>
      </c>
      <c r="O652" s="50" t="s">
        <v>19534</v>
      </c>
      <c r="P652" s="116"/>
      <c r="Q652" s="50" t="s">
        <v>19599</v>
      </c>
      <c r="R652" s="50">
        <v>5.0</v>
      </c>
      <c r="S652" s="50" t="s">
        <v>18057</v>
      </c>
      <c r="T652" s="117">
        <v>5665.0</v>
      </c>
      <c r="U652" s="50" t="s">
        <v>19600</v>
      </c>
      <c r="V652" s="50" t="s">
        <v>19601</v>
      </c>
      <c r="W652" s="117">
        <v>653.0</v>
      </c>
    </row>
    <row r="653">
      <c r="A653" s="50" t="s">
        <v>19597</v>
      </c>
      <c r="B653" s="50" t="s">
        <v>6876</v>
      </c>
      <c r="C653" s="50" t="s">
        <v>6877</v>
      </c>
      <c r="D653" s="50" t="s">
        <v>11623</v>
      </c>
      <c r="E653" s="144">
        <v>43797.0</v>
      </c>
      <c r="F653" s="50" t="s">
        <v>19602</v>
      </c>
      <c r="G653" s="50">
        <v>59.0</v>
      </c>
      <c r="H653" s="50">
        <v>1.0</v>
      </c>
      <c r="I653" s="50">
        <v>12.0</v>
      </c>
      <c r="J653" s="116"/>
      <c r="K653" s="116"/>
      <c r="L653" s="50" t="s">
        <v>1655</v>
      </c>
      <c r="M653" s="50" t="s">
        <v>1655</v>
      </c>
      <c r="N653" s="50">
        <v>1.0</v>
      </c>
      <c r="O653" s="50" t="s">
        <v>19534</v>
      </c>
      <c r="P653" s="116"/>
      <c r="Q653" s="116"/>
      <c r="R653" s="50">
        <v>5.0</v>
      </c>
      <c r="S653" s="50" t="s">
        <v>18057</v>
      </c>
      <c r="T653" s="117">
        <v>5666.0</v>
      </c>
      <c r="U653" s="50" t="s">
        <v>19603</v>
      </c>
      <c r="V653" s="50" t="s">
        <v>19605</v>
      </c>
      <c r="W653" s="117">
        <v>654.0</v>
      </c>
    </row>
    <row r="654">
      <c r="A654" s="50" t="s">
        <v>19602</v>
      </c>
      <c r="B654" s="50" t="s">
        <v>6876</v>
      </c>
      <c r="C654" s="50" t="s">
        <v>6877</v>
      </c>
      <c r="D654" s="50" t="s">
        <v>11623</v>
      </c>
      <c r="E654" s="144">
        <v>43797.0</v>
      </c>
      <c r="F654" s="50" t="s">
        <v>19607</v>
      </c>
      <c r="G654" s="50">
        <v>59.0</v>
      </c>
      <c r="H654" s="50">
        <v>1.0</v>
      </c>
      <c r="I654" s="50">
        <v>99.0</v>
      </c>
      <c r="J654" s="116"/>
      <c r="K654" s="116"/>
      <c r="L654" s="50" t="s">
        <v>1656</v>
      </c>
      <c r="M654" s="50" t="s">
        <v>1656</v>
      </c>
      <c r="N654" s="50">
        <v>1.0</v>
      </c>
      <c r="O654" s="50" t="s">
        <v>19534</v>
      </c>
      <c r="P654" s="116"/>
      <c r="Q654" s="50" t="s">
        <v>19611</v>
      </c>
      <c r="R654" s="50">
        <v>5.0</v>
      </c>
      <c r="S654" s="50" t="s">
        <v>18057</v>
      </c>
      <c r="T654" s="117">
        <v>5667.0</v>
      </c>
      <c r="U654" s="50" t="s">
        <v>19612</v>
      </c>
      <c r="V654" s="50" t="s">
        <v>19613</v>
      </c>
      <c r="W654" s="117">
        <v>655.0</v>
      </c>
    </row>
    <row r="655">
      <c r="A655" s="50" t="s">
        <v>19607</v>
      </c>
      <c r="B655" s="50" t="s">
        <v>6876</v>
      </c>
      <c r="C655" s="50" t="s">
        <v>6877</v>
      </c>
      <c r="D655" s="50" t="s">
        <v>11623</v>
      </c>
      <c r="E655" s="144">
        <v>43797.0</v>
      </c>
      <c r="F655" s="50" t="s">
        <v>19615</v>
      </c>
      <c r="G655" s="50">
        <v>59.0</v>
      </c>
      <c r="H655" s="50">
        <v>1.0</v>
      </c>
      <c r="I655" s="50">
        <v>98.0</v>
      </c>
      <c r="J655" s="116"/>
      <c r="K655" s="116"/>
      <c r="L655" s="50" t="s">
        <v>1663</v>
      </c>
      <c r="M655" s="50" t="s">
        <v>1663</v>
      </c>
      <c r="N655" s="50">
        <v>1.0</v>
      </c>
      <c r="O655" s="50" t="s">
        <v>19534</v>
      </c>
      <c r="P655" s="116"/>
      <c r="Q655" s="116"/>
      <c r="R655" s="50">
        <v>5.0</v>
      </c>
      <c r="S655" s="50" t="s">
        <v>18057</v>
      </c>
      <c r="T655" s="117">
        <v>5668.0</v>
      </c>
      <c r="U655" s="50" t="s">
        <v>19616</v>
      </c>
      <c r="V655" s="50" t="s">
        <v>19617</v>
      </c>
      <c r="W655" s="117">
        <v>656.0</v>
      </c>
    </row>
    <row r="656">
      <c r="A656" s="50" t="s">
        <v>19615</v>
      </c>
      <c r="B656" s="50" t="s">
        <v>6876</v>
      </c>
      <c r="C656" s="50" t="s">
        <v>6877</v>
      </c>
      <c r="D656" s="50" t="s">
        <v>11623</v>
      </c>
      <c r="E656" s="144">
        <v>43797.0</v>
      </c>
      <c r="F656" s="50" t="s">
        <v>19621</v>
      </c>
      <c r="G656" s="50">
        <v>59.0</v>
      </c>
      <c r="H656" s="50">
        <v>1.0</v>
      </c>
      <c r="I656" s="50">
        <v>11.0</v>
      </c>
      <c r="J656" s="116"/>
      <c r="K656" s="116"/>
      <c r="L656" s="50" t="s">
        <v>1664</v>
      </c>
      <c r="M656" s="50" t="s">
        <v>1664</v>
      </c>
      <c r="N656" s="50">
        <v>1.0</v>
      </c>
      <c r="O656" s="50" t="s">
        <v>19623</v>
      </c>
      <c r="P656" s="116"/>
      <c r="Q656" s="116"/>
      <c r="R656" s="50">
        <v>5.0</v>
      </c>
      <c r="S656" s="50" t="s">
        <v>18057</v>
      </c>
      <c r="T656" s="117">
        <v>5669.0</v>
      </c>
      <c r="U656" s="50" t="s">
        <v>19625</v>
      </c>
      <c r="V656" s="50" t="s">
        <v>19626</v>
      </c>
      <c r="W656" s="117">
        <v>657.0</v>
      </c>
    </row>
    <row r="657">
      <c r="A657" s="50" t="s">
        <v>19621</v>
      </c>
      <c r="B657" s="50" t="s">
        <v>6876</v>
      </c>
      <c r="C657" s="50" t="s">
        <v>6877</v>
      </c>
      <c r="D657" s="50" t="s">
        <v>11623</v>
      </c>
      <c r="E657" s="144">
        <v>43797.0</v>
      </c>
      <c r="F657" s="50" t="s">
        <v>19632</v>
      </c>
      <c r="G657" s="50">
        <v>59.0</v>
      </c>
      <c r="H657" s="50">
        <v>1.0</v>
      </c>
      <c r="I657" s="50">
        <v>11.0</v>
      </c>
      <c r="J657" s="116"/>
      <c r="K657" s="116"/>
      <c r="L657" s="50" t="s">
        <v>1665</v>
      </c>
      <c r="M657" s="50" t="s">
        <v>1665</v>
      </c>
      <c r="N657" s="50">
        <v>1.0</v>
      </c>
      <c r="O657" s="50" t="s">
        <v>19623</v>
      </c>
      <c r="P657" s="116"/>
      <c r="Q657" s="116"/>
      <c r="R657" s="50">
        <v>5.0</v>
      </c>
      <c r="S657" s="50" t="s">
        <v>18057</v>
      </c>
      <c r="T657" s="117">
        <v>5670.0</v>
      </c>
      <c r="U657" s="50" t="s">
        <v>19635</v>
      </c>
      <c r="V657" s="50" t="s">
        <v>19636</v>
      </c>
      <c r="W657" s="117">
        <v>658.0</v>
      </c>
    </row>
    <row r="658">
      <c r="A658" s="50" t="s">
        <v>19632</v>
      </c>
      <c r="B658" s="50" t="s">
        <v>6876</v>
      </c>
      <c r="C658" s="50" t="s">
        <v>6877</v>
      </c>
      <c r="D658" s="50" t="s">
        <v>11623</v>
      </c>
      <c r="E658" s="144">
        <v>43797.0</v>
      </c>
      <c r="F658" s="50" t="s">
        <v>19637</v>
      </c>
      <c r="G658" s="50">
        <v>59.0</v>
      </c>
      <c r="H658" s="50">
        <v>1.0</v>
      </c>
      <c r="I658" s="50">
        <v>11.0</v>
      </c>
      <c r="J658" s="116"/>
      <c r="K658" s="116"/>
      <c r="L658" s="50" t="s">
        <v>1666</v>
      </c>
      <c r="M658" s="50" t="s">
        <v>1666</v>
      </c>
      <c r="N658" s="50">
        <v>1.0</v>
      </c>
      <c r="O658" s="50" t="s">
        <v>19623</v>
      </c>
      <c r="P658" s="116"/>
      <c r="Q658" s="116"/>
      <c r="R658" s="50">
        <v>5.0</v>
      </c>
      <c r="S658" s="50" t="s">
        <v>18057</v>
      </c>
      <c r="T658" s="117">
        <v>5671.0</v>
      </c>
      <c r="U658" s="50" t="s">
        <v>19638</v>
      </c>
      <c r="V658" s="50" t="s">
        <v>19639</v>
      </c>
      <c r="W658" s="117">
        <v>659.0</v>
      </c>
    </row>
    <row r="659">
      <c r="A659" s="50" t="s">
        <v>19637</v>
      </c>
      <c r="B659" s="50" t="s">
        <v>6876</v>
      </c>
      <c r="C659" s="50" t="s">
        <v>6877</v>
      </c>
      <c r="D659" s="50" t="s">
        <v>11623</v>
      </c>
      <c r="E659" s="144">
        <v>43797.0</v>
      </c>
      <c r="F659" s="50" t="s">
        <v>19641</v>
      </c>
      <c r="G659" s="50">
        <v>59.0</v>
      </c>
      <c r="H659" s="50">
        <v>1.0</v>
      </c>
      <c r="I659" s="50">
        <v>99.0</v>
      </c>
      <c r="J659" s="116"/>
      <c r="K659" s="116"/>
      <c r="L659" s="50" t="s">
        <v>312</v>
      </c>
      <c r="M659" s="50" t="s">
        <v>312</v>
      </c>
      <c r="N659" s="50">
        <v>1.0</v>
      </c>
      <c r="O659" s="50" t="s">
        <v>19623</v>
      </c>
      <c r="P659" s="116"/>
      <c r="Q659" s="50" t="s">
        <v>19643</v>
      </c>
      <c r="R659" s="50">
        <v>5.0</v>
      </c>
      <c r="S659" s="50" t="s">
        <v>18057</v>
      </c>
      <c r="T659" s="117">
        <v>5672.0</v>
      </c>
      <c r="U659" s="50" t="s">
        <v>19644</v>
      </c>
      <c r="V659" s="50" t="s">
        <v>19646</v>
      </c>
      <c r="W659" s="117">
        <v>660.0</v>
      </c>
    </row>
    <row r="660">
      <c r="A660" s="50" t="s">
        <v>19641</v>
      </c>
      <c r="B660" s="50" t="s">
        <v>6876</v>
      </c>
      <c r="C660" s="50" t="s">
        <v>6877</v>
      </c>
      <c r="D660" s="50" t="s">
        <v>11623</v>
      </c>
      <c r="E660" s="144">
        <v>43797.0</v>
      </c>
      <c r="F660" s="50" t="s">
        <v>19647</v>
      </c>
      <c r="G660" s="50">
        <v>59.0</v>
      </c>
      <c r="H660" s="50">
        <v>1.0</v>
      </c>
      <c r="I660" s="50">
        <v>98.0</v>
      </c>
      <c r="J660" s="116"/>
      <c r="K660" s="116"/>
      <c r="L660" s="50" t="s">
        <v>1669</v>
      </c>
      <c r="M660" s="50" t="s">
        <v>1669</v>
      </c>
      <c r="N660" s="50">
        <v>1.0</v>
      </c>
      <c r="O660" s="50" t="s">
        <v>19623</v>
      </c>
      <c r="P660" s="116"/>
      <c r="Q660" s="116"/>
      <c r="R660" s="50">
        <v>5.0</v>
      </c>
      <c r="S660" s="50" t="s">
        <v>18057</v>
      </c>
      <c r="T660" s="117">
        <v>5673.0</v>
      </c>
      <c r="U660" s="50" t="s">
        <v>19648</v>
      </c>
      <c r="V660" s="50" t="s">
        <v>19649</v>
      </c>
      <c r="W660" s="117">
        <v>661.0</v>
      </c>
    </row>
    <row r="661">
      <c r="A661" s="50" t="s">
        <v>19647</v>
      </c>
      <c r="B661" s="50" t="s">
        <v>6876</v>
      </c>
      <c r="C661" s="50" t="s">
        <v>6877</v>
      </c>
      <c r="D661" s="50" t="s">
        <v>11623</v>
      </c>
      <c r="E661" s="144">
        <v>43797.0</v>
      </c>
      <c r="F661" s="50" t="s">
        <v>19650</v>
      </c>
      <c r="G661" s="50">
        <v>58.0</v>
      </c>
      <c r="H661" s="50">
        <v>1.0</v>
      </c>
      <c r="I661" s="50">
        <v>11.0</v>
      </c>
      <c r="J661" s="116"/>
      <c r="K661" s="116"/>
      <c r="L661" s="50" t="s">
        <v>1670</v>
      </c>
      <c r="M661" s="50" t="s">
        <v>1670</v>
      </c>
      <c r="N661" s="50">
        <v>1.0</v>
      </c>
      <c r="O661" s="50" t="s">
        <v>19651</v>
      </c>
      <c r="P661" s="116"/>
      <c r="Q661" s="116"/>
      <c r="R661" s="50">
        <v>5.0</v>
      </c>
      <c r="S661" s="50" t="s">
        <v>18057</v>
      </c>
      <c r="T661" s="117">
        <v>5674.0</v>
      </c>
      <c r="U661" s="50" t="s">
        <v>19652</v>
      </c>
      <c r="V661" s="50" t="s">
        <v>19653</v>
      </c>
      <c r="W661" s="117">
        <v>662.0</v>
      </c>
    </row>
    <row r="662">
      <c r="A662" s="50" t="s">
        <v>19650</v>
      </c>
      <c r="B662" s="50" t="s">
        <v>6876</v>
      </c>
      <c r="C662" s="50" t="s">
        <v>6877</v>
      </c>
      <c r="D662" s="50" t="s">
        <v>11623</v>
      </c>
      <c r="E662" s="144">
        <v>43797.0</v>
      </c>
      <c r="F662" s="50" t="s">
        <v>19654</v>
      </c>
      <c r="G662" s="50">
        <v>59.0</v>
      </c>
      <c r="H662" s="50">
        <v>1.0</v>
      </c>
      <c r="I662" s="50">
        <v>11.0</v>
      </c>
      <c r="J662" s="116"/>
      <c r="K662" s="116"/>
      <c r="L662" s="50" t="s">
        <v>1673</v>
      </c>
      <c r="M662" s="50" t="s">
        <v>1673</v>
      </c>
      <c r="N662" s="50">
        <v>1.0</v>
      </c>
      <c r="O662" s="50" t="s">
        <v>19651</v>
      </c>
      <c r="P662" s="116"/>
      <c r="Q662" s="116"/>
      <c r="R662" s="50">
        <v>5.0</v>
      </c>
      <c r="S662" s="50" t="s">
        <v>18057</v>
      </c>
      <c r="T662" s="117">
        <v>5675.0</v>
      </c>
      <c r="U662" s="50" t="s">
        <v>19657</v>
      </c>
      <c r="V662" s="50" t="s">
        <v>19659</v>
      </c>
      <c r="W662" s="117">
        <v>663.0</v>
      </c>
    </row>
    <row r="663">
      <c r="A663" s="50" t="s">
        <v>19654</v>
      </c>
      <c r="B663" s="50" t="s">
        <v>6876</v>
      </c>
      <c r="C663" s="50" t="s">
        <v>6877</v>
      </c>
      <c r="D663" s="50" t="s">
        <v>11623</v>
      </c>
      <c r="E663" s="144">
        <v>43797.0</v>
      </c>
      <c r="F663" s="50" t="s">
        <v>19661</v>
      </c>
      <c r="G663" s="50">
        <v>59.0</v>
      </c>
      <c r="H663" s="50">
        <v>1.0</v>
      </c>
      <c r="I663" s="50">
        <v>99.0</v>
      </c>
      <c r="J663" s="116"/>
      <c r="K663" s="116"/>
      <c r="L663" s="50" t="s">
        <v>1674</v>
      </c>
      <c r="M663" s="50" t="s">
        <v>1674</v>
      </c>
      <c r="N663" s="50">
        <v>1.0</v>
      </c>
      <c r="O663" s="50" t="s">
        <v>19651</v>
      </c>
      <c r="P663" s="116"/>
      <c r="Q663" s="50" t="s">
        <v>19664</v>
      </c>
      <c r="R663" s="50">
        <v>5.0</v>
      </c>
      <c r="S663" s="50" t="s">
        <v>18057</v>
      </c>
      <c r="T663" s="117">
        <v>5676.0</v>
      </c>
      <c r="U663" s="50" t="s">
        <v>19665</v>
      </c>
      <c r="V663" s="50" t="s">
        <v>19666</v>
      </c>
      <c r="W663" s="117">
        <v>664.0</v>
      </c>
    </row>
    <row r="664">
      <c r="A664" s="50" t="s">
        <v>19661</v>
      </c>
      <c r="B664" s="50" t="s">
        <v>6876</v>
      </c>
      <c r="C664" s="50" t="s">
        <v>6877</v>
      </c>
      <c r="D664" s="50" t="s">
        <v>11623</v>
      </c>
      <c r="E664" s="144">
        <v>43797.0</v>
      </c>
      <c r="F664" s="50" t="s">
        <v>19668</v>
      </c>
      <c r="G664" s="50">
        <v>55.0</v>
      </c>
      <c r="H664" s="50">
        <v>1.0</v>
      </c>
      <c r="I664" s="50">
        <v>12.0</v>
      </c>
      <c r="J664" s="116"/>
      <c r="K664" s="116"/>
      <c r="L664" s="50" t="s">
        <v>1678</v>
      </c>
      <c r="M664" s="50" t="s">
        <v>1678</v>
      </c>
      <c r="N664" s="50">
        <v>1.0</v>
      </c>
      <c r="O664" s="50" t="s">
        <v>19651</v>
      </c>
      <c r="P664" s="116"/>
      <c r="Q664" s="116"/>
      <c r="R664" s="50">
        <v>5.0</v>
      </c>
      <c r="S664" s="50" t="s">
        <v>18057</v>
      </c>
      <c r="T664" s="117">
        <v>5677.0</v>
      </c>
      <c r="U664" s="50" t="s">
        <v>19672</v>
      </c>
      <c r="V664" s="50" t="s">
        <v>19673</v>
      </c>
      <c r="W664" s="117">
        <v>665.0</v>
      </c>
    </row>
    <row r="665">
      <c r="A665" s="50" t="s">
        <v>19674</v>
      </c>
      <c r="B665" s="50" t="s">
        <v>6876</v>
      </c>
      <c r="C665" s="50" t="s">
        <v>6877</v>
      </c>
      <c r="D665" s="50" t="s">
        <v>11623</v>
      </c>
      <c r="E665" s="144">
        <v>43797.0</v>
      </c>
      <c r="F665" s="50" t="s">
        <v>19676</v>
      </c>
      <c r="G665" s="50">
        <v>57.0</v>
      </c>
      <c r="H665" s="50">
        <v>1.0</v>
      </c>
      <c r="I665" s="50">
        <v>12.0</v>
      </c>
      <c r="J665" s="116"/>
      <c r="K665" s="116"/>
      <c r="L665" s="50" t="s">
        <v>1681</v>
      </c>
      <c r="M665" s="50" t="s">
        <v>1681</v>
      </c>
      <c r="N665" s="50">
        <v>1.0</v>
      </c>
      <c r="O665" s="50" t="s">
        <v>19651</v>
      </c>
      <c r="P665" s="116"/>
      <c r="Q665" s="116"/>
      <c r="R665" s="50">
        <v>5.0</v>
      </c>
      <c r="S665" s="50" t="s">
        <v>18057</v>
      </c>
      <c r="T665" s="117">
        <v>5678.0</v>
      </c>
      <c r="U665" s="50" t="s">
        <v>19677</v>
      </c>
      <c r="V665" s="50" t="s">
        <v>19678</v>
      </c>
      <c r="W665" s="117">
        <v>666.0</v>
      </c>
    </row>
    <row r="666">
      <c r="A666" s="50" t="s">
        <v>19676</v>
      </c>
      <c r="B666" s="50" t="s">
        <v>6876</v>
      </c>
      <c r="C666" s="50" t="s">
        <v>6877</v>
      </c>
      <c r="D666" s="50" t="s">
        <v>11623</v>
      </c>
      <c r="E666" s="144">
        <v>43797.0</v>
      </c>
      <c r="F666" s="50" t="s">
        <v>19679</v>
      </c>
      <c r="G666" s="50">
        <v>57.0</v>
      </c>
      <c r="H666" s="50">
        <v>1.0</v>
      </c>
      <c r="I666" s="50">
        <v>99.0</v>
      </c>
      <c r="J666" s="116"/>
      <c r="K666" s="116"/>
      <c r="L666" s="50" t="s">
        <v>1679</v>
      </c>
      <c r="M666" s="50" t="s">
        <v>1679</v>
      </c>
      <c r="N666" s="50">
        <v>1.0</v>
      </c>
      <c r="O666" s="50" t="s">
        <v>19651</v>
      </c>
      <c r="P666" s="116"/>
      <c r="Q666" s="50" t="s">
        <v>19680</v>
      </c>
      <c r="R666" s="50">
        <v>5.0</v>
      </c>
      <c r="S666" s="50" t="s">
        <v>18057</v>
      </c>
      <c r="T666" s="117">
        <v>5679.0</v>
      </c>
      <c r="U666" s="50" t="s">
        <v>19682</v>
      </c>
      <c r="V666" s="50" t="s">
        <v>19684</v>
      </c>
      <c r="W666" s="117">
        <v>667.0</v>
      </c>
    </row>
    <row r="667">
      <c r="A667" s="50" t="s">
        <v>19679</v>
      </c>
      <c r="B667" s="50" t="s">
        <v>6876</v>
      </c>
      <c r="C667" s="50" t="s">
        <v>6877</v>
      </c>
      <c r="D667" s="50" t="s">
        <v>11623</v>
      </c>
      <c r="E667" s="144">
        <v>43797.0</v>
      </c>
      <c r="F667" s="50" t="s">
        <v>19686</v>
      </c>
      <c r="G667" s="50">
        <v>59.0</v>
      </c>
      <c r="H667" s="50">
        <v>1.0</v>
      </c>
      <c r="I667" s="50">
        <v>11.0</v>
      </c>
      <c r="J667" s="116"/>
      <c r="K667" s="116"/>
      <c r="L667" s="50" t="s">
        <v>1684</v>
      </c>
      <c r="M667" s="50" t="s">
        <v>1684</v>
      </c>
      <c r="N667" s="50">
        <v>1.0</v>
      </c>
      <c r="O667" s="50" t="s">
        <v>19651</v>
      </c>
      <c r="P667" s="116"/>
      <c r="Q667" s="116"/>
      <c r="R667" s="50">
        <v>5.0</v>
      </c>
      <c r="S667" s="50" t="s">
        <v>18057</v>
      </c>
      <c r="T667" s="117">
        <v>5680.0</v>
      </c>
      <c r="U667" s="50" t="s">
        <v>19688</v>
      </c>
      <c r="V667" s="50" t="s">
        <v>19689</v>
      </c>
      <c r="W667" s="117">
        <v>668.0</v>
      </c>
    </row>
    <row r="668">
      <c r="A668" s="50" t="s">
        <v>19686</v>
      </c>
      <c r="B668" s="50" t="s">
        <v>6876</v>
      </c>
      <c r="C668" s="50" t="s">
        <v>6877</v>
      </c>
      <c r="D668" s="50" t="s">
        <v>11623</v>
      </c>
      <c r="E668" s="144">
        <v>43797.0</v>
      </c>
      <c r="F668" s="50" t="s">
        <v>19690</v>
      </c>
      <c r="G668" s="50">
        <v>59.0</v>
      </c>
      <c r="H668" s="50">
        <v>1.0</v>
      </c>
      <c r="I668" s="50">
        <v>11.0</v>
      </c>
      <c r="J668" s="116"/>
      <c r="K668" s="116"/>
      <c r="L668" s="50" t="s">
        <v>1687</v>
      </c>
      <c r="M668" s="50" t="s">
        <v>1687</v>
      </c>
      <c r="N668" s="50">
        <v>1.0</v>
      </c>
      <c r="O668" s="50" t="s">
        <v>19651</v>
      </c>
      <c r="P668" s="116"/>
      <c r="Q668" s="116"/>
      <c r="R668" s="50">
        <v>5.0</v>
      </c>
      <c r="S668" s="50" t="s">
        <v>18057</v>
      </c>
      <c r="T668" s="117">
        <v>5681.0</v>
      </c>
      <c r="U668" s="50" t="s">
        <v>19691</v>
      </c>
      <c r="V668" s="50" t="s">
        <v>19692</v>
      </c>
      <c r="W668" s="117">
        <v>669.0</v>
      </c>
    </row>
    <row r="669">
      <c r="A669" s="50" t="s">
        <v>19690</v>
      </c>
      <c r="B669" s="50" t="s">
        <v>6876</v>
      </c>
      <c r="C669" s="50" t="s">
        <v>6877</v>
      </c>
      <c r="D669" s="50" t="s">
        <v>11623</v>
      </c>
      <c r="E669" s="144">
        <v>43797.0</v>
      </c>
      <c r="F669" s="50" t="s">
        <v>19694</v>
      </c>
      <c r="G669" s="50">
        <v>59.0</v>
      </c>
      <c r="H669" s="50">
        <v>1.0</v>
      </c>
      <c r="I669" s="50">
        <v>11.0</v>
      </c>
      <c r="J669" s="116"/>
      <c r="K669" s="116"/>
      <c r="L669" s="50" t="s">
        <v>1690</v>
      </c>
      <c r="M669" s="50" t="s">
        <v>1690</v>
      </c>
      <c r="N669" s="50">
        <v>1.0</v>
      </c>
      <c r="O669" s="50" t="s">
        <v>19651</v>
      </c>
      <c r="P669" s="116"/>
      <c r="Q669" s="116"/>
      <c r="R669" s="50">
        <v>5.0</v>
      </c>
      <c r="S669" s="50" t="s">
        <v>18057</v>
      </c>
      <c r="T669" s="117">
        <v>5682.0</v>
      </c>
      <c r="U669" s="50" t="s">
        <v>19700</v>
      </c>
      <c r="V669" s="50" t="s">
        <v>19701</v>
      </c>
      <c r="W669" s="117">
        <v>670.0</v>
      </c>
    </row>
    <row r="670">
      <c r="A670" s="50" t="s">
        <v>19694</v>
      </c>
      <c r="B670" s="50" t="s">
        <v>6876</v>
      </c>
      <c r="C670" s="50" t="s">
        <v>6877</v>
      </c>
      <c r="D670" s="50" t="s">
        <v>11623</v>
      </c>
      <c r="E670" s="144">
        <v>43797.0</v>
      </c>
      <c r="F670" s="50" t="s">
        <v>19704</v>
      </c>
      <c r="G670" s="50">
        <v>59.0</v>
      </c>
      <c r="H670" s="50">
        <v>1.0</v>
      </c>
      <c r="I670" s="50">
        <v>98.0</v>
      </c>
      <c r="J670" s="116"/>
      <c r="K670" s="116"/>
      <c r="L670" s="50" t="s">
        <v>1695</v>
      </c>
      <c r="M670" s="50" t="s">
        <v>1695</v>
      </c>
      <c r="N670" s="50">
        <v>1.0</v>
      </c>
      <c r="O670" s="50" t="s">
        <v>19651</v>
      </c>
      <c r="P670" s="116"/>
      <c r="Q670" s="116"/>
      <c r="R670" s="50">
        <v>5.0</v>
      </c>
      <c r="S670" s="50" t="s">
        <v>18057</v>
      </c>
      <c r="T670" s="117">
        <v>5683.0</v>
      </c>
      <c r="U670" s="50" t="s">
        <v>19705</v>
      </c>
      <c r="V670" s="50" t="s">
        <v>19706</v>
      </c>
      <c r="W670" s="117">
        <v>671.0</v>
      </c>
    </row>
    <row r="671">
      <c r="A671" s="50" t="s">
        <v>19707</v>
      </c>
      <c r="B671" s="50" t="s">
        <v>6876</v>
      </c>
      <c r="C671" s="50" t="s">
        <v>6877</v>
      </c>
      <c r="D671" s="50" t="s">
        <v>11623</v>
      </c>
      <c r="E671" s="144">
        <v>43803.0</v>
      </c>
      <c r="F671" s="50" t="s">
        <v>19708</v>
      </c>
      <c r="G671" s="50">
        <v>58.0</v>
      </c>
      <c r="H671" s="50">
        <v>1.0</v>
      </c>
      <c r="I671" s="50">
        <v>14.0</v>
      </c>
      <c r="J671" s="50">
        <v>144.0</v>
      </c>
      <c r="K671" s="116"/>
      <c r="L671" s="50" t="s">
        <v>528</v>
      </c>
      <c r="M671" s="50" t="s">
        <v>528</v>
      </c>
      <c r="N671" s="50">
        <v>1.0</v>
      </c>
      <c r="O671" s="50" t="s">
        <v>19709</v>
      </c>
      <c r="P671" s="116"/>
      <c r="Q671" s="116"/>
      <c r="R671" s="50">
        <v>5.0</v>
      </c>
      <c r="S671" s="50" t="s">
        <v>18057</v>
      </c>
      <c r="T671" s="117">
        <v>5833.0</v>
      </c>
      <c r="U671" s="50" t="s">
        <v>19712</v>
      </c>
      <c r="V671" s="50" t="s">
        <v>19713</v>
      </c>
      <c r="W671" s="117">
        <v>672.0</v>
      </c>
    </row>
    <row r="672">
      <c r="A672" s="50" t="s">
        <v>19708</v>
      </c>
      <c r="B672" s="50" t="s">
        <v>6876</v>
      </c>
      <c r="C672" s="50" t="s">
        <v>6877</v>
      </c>
      <c r="D672" s="50" t="s">
        <v>11623</v>
      </c>
      <c r="E672" s="144">
        <v>43803.0</v>
      </c>
      <c r="F672" s="50" t="s">
        <v>19715</v>
      </c>
      <c r="G672" s="50">
        <v>58.0</v>
      </c>
      <c r="H672" s="50">
        <v>1.0</v>
      </c>
      <c r="I672" s="50">
        <v>14.0</v>
      </c>
      <c r="J672" s="50">
        <v>142.0</v>
      </c>
      <c r="K672" s="116"/>
      <c r="L672" s="50" t="s">
        <v>530</v>
      </c>
      <c r="M672" s="50" t="s">
        <v>530</v>
      </c>
      <c r="N672" s="50">
        <v>1.0</v>
      </c>
      <c r="O672" s="50" t="s">
        <v>19709</v>
      </c>
      <c r="P672" s="116"/>
      <c r="Q672" s="116"/>
      <c r="R672" s="50">
        <v>5.0</v>
      </c>
      <c r="S672" s="50" t="s">
        <v>18057</v>
      </c>
      <c r="T672" s="117">
        <v>5834.0</v>
      </c>
      <c r="U672" s="50" t="s">
        <v>19717</v>
      </c>
      <c r="V672" s="50" t="s">
        <v>19718</v>
      </c>
      <c r="W672" s="117">
        <v>673.0</v>
      </c>
    </row>
    <row r="673">
      <c r="A673" s="50" t="s">
        <v>19719</v>
      </c>
      <c r="B673" s="50" t="s">
        <v>6876</v>
      </c>
      <c r="C673" s="50" t="s">
        <v>6877</v>
      </c>
      <c r="D673" s="50" t="s">
        <v>11623</v>
      </c>
      <c r="E673" s="144">
        <v>43803.0</v>
      </c>
      <c r="F673" s="50" t="s">
        <v>19720</v>
      </c>
      <c r="G673" s="50">
        <v>58.0</v>
      </c>
      <c r="H673" s="50">
        <v>1.0</v>
      </c>
      <c r="I673" s="50">
        <v>14.0</v>
      </c>
      <c r="J673" s="50">
        <v>145.0</v>
      </c>
      <c r="K673" s="116"/>
      <c r="L673" s="50" t="s">
        <v>535</v>
      </c>
      <c r="M673" s="50" t="s">
        <v>535</v>
      </c>
      <c r="N673" s="50">
        <v>1.0</v>
      </c>
      <c r="O673" s="50" t="s">
        <v>19709</v>
      </c>
      <c r="P673" s="116"/>
      <c r="Q673" s="116"/>
      <c r="R673" s="50">
        <v>5.0</v>
      </c>
      <c r="S673" s="50" t="s">
        <v>18057</v>
      </c>
      <c r="T673" s="117">
        <v>5835.0</v>
      </c>
      <c r="U673" s="50" t="s">
        <v>19722</v>
      </c>
      <c r="V673" s="50" t="s">
        <v>19723</v>
      </c>
      <c r="W673" s="117">
        <v>674.0</v>
      </c>
    </row>
    <row r="674">
      <c r="A674" s="50" t="s">
        <v>19720</v>
      </c>
      <c r="B674" s="50" t="s">
        <v>6876</v>
      </c>
      <c r="C674" s="50" t="s">
        <v>6877</v>
      </c>
      <c r="D674" s="50" t="s">
        <v>11623</v>
      </c>
      <c r="E674" s="144">
        <v>43803.0</v>
      </c>
      <c r="F674" s="50" t="s">
        <v>19726</v>
      </c>
      <c r="G674" s="50">
        <v>58.0</v>
      </c>
      <c r="H674" s="50">
        <v>1.0</v>
      </c>
      <c r="I674" s="50">
        <v>14.0</v>
      </c>
      <c r="J674" s="50">
        <v>141.0</v>
      </c>
      <c r="K674" s="116"/>
      <c r="L674" s="50" t="s">
        <v>532</v>
      </c>
      <c r="M674" s="50" t="s">
        <v>532</v>
      </c>
      <c r="N674" s="50">
        <v>1.0</v>
      </c>
      <c r="O674" s="50" t="s">
        <v>19709</v>
      </c>
      <c r="P674" s="116"/>
      <c r="Q674" s="116"/>
      <c r="R674" s="50">
        <v>5.0</v>
      </c>
      <c r="S674" s="50" t="s">
        <v>18057</v>
      </c>
      <c r="T674" s="117">
        <v>5836.0</v>
      </c>
      <c r="U674" s="50" t="s">
        <v>19732</v>
      </c>
      <c r="V674" s="50" t="s">
        <v>19733</v>
      </c>
      <c r="W674" s="117">
        <v>675.0</v>
      </c>
    </row>
    <row r="675">
      <c r="A675" s="50" t="s">
        <v>19726</v>
      </c>
      <c r="B675" s="50" t="s">
        <v>6876</v>
      </c>
      <c r="C675" s="50" t="s">
        <v>6877</v>
      </c>
      <c r="D675" s="50" t="s">
        <v>11623</v>
      </c>
      <c r="E675" s="144">
        <v>43803.0</v>
      </c>
      <c r="F675" s="50" t="s">
        <v>19735</v>
      </c>
      <c r="G675" s="50">
        <v>58.0</v>
      </c>
      <c r="H675" s="50">
        <v>1.0</v>
      </c>
      <c r="I675" s="50">
        <v>14.0</v>
      </c>
      <c r="J675" s="50">
        <v>143.0</v>
      </c>
      <c r="K675" s="116"/>
      <c r="L675" s="50" t="s">
        <v>533</v>
      </c>
      <c r="M675" s="50" t="s">
        <v>533</v>
      </c>
      <c r="N675" s="50">
        <v>1.0</v>
      </c>
      <c r="O675" s="50" t="s">
        <v>19709</v>
      </c>
      <c r="P675" s="116"/>
      <c r="Q675" s="116"/>
      <c r="R675" s="50">
        <v>5.0</v>
      </c>
      <c r="S675" s="50" t="s">
        <v>18057</v>
      </c>
      <c r="T675" s="117">
        <v>5837.0</v>
      </c>
      <c r="U675" s="50" t="s">
        <v>19736</v>
      </c>
      <c r="V675" s="50" t="s">
        <v>19737</v>
      </c>
      <c r="W675" s="117">
        <v>676.0</v>
      </c>
    </row>
    <row r="676">
      <c r="A676" s="50" t="s">
        <v>19735</v>
      </c>
      <c r="B676" s="50" t="s">
        <v>6876</v>
      </c>
      <c r="C676" s="50" t="s">
        <v>6877</v>
      </c>
      <c r="D676" s="50" t="s">
        <v>11623</v>
      </c>
      <c r="E676" s="144">
        <v>43803.0</v>
      </c>
      <c r="F676" s="50" t="s">
        <v>19738</v>
      </c>
      <c r="G676" s="50">
        <v>58.0</v>
      </c>
      <c r="H676" s="50">
        <v>1.0</v>
      </c>
      <c r="I676" s="50">
        <v>99.0</v>
      </c>
      <c r="J676" s="116"/>
      <c r="K676" s="116"/>
      <c r="L676" s="50" t="s">
        <v>674</v>
      </c>
      <c r="M676" s="50" t="s">
        <v>674</v>
      </c>
      <c r="N676" s="50">
        <v>1.0</v>
      </c>
      <c r="O676" s="50" t="s">
        <v>19709</v>
      </c>
      <c r="P676" s="116"/>
      <c r="Q676" s="50" t="s">
        <v>17866</v>
      </c>
      <c r="R676" s="50">
        <v>5.0</v>
      </c>
      <c r="S676" s="50" t="s">
        <v>18057</v>
      </c>
      <c r="T676" s="117">
        <v>5838.0</v>
      </c>
      <c r="U676" s="50" t="s">
        <v>19741</v>
      </c>
      <c r="V676" s="50" t="s">
        <v>19742</v>
      </c>
      <c r="W676" s="117">
        <v>677.0</v>
      </c>
    </row>
    <row r="677">
      <c r="A677" s="50" t="s">
        <v>19738</v>
      </c>
      <c r="B677" s="50" t="s">
        <v>6876</v>
      </c>
      <c r="C677" s="50" t="s">
        <v>6877</v>
      </c>
      <c r="D677" s="50" t="s">
        <v>11623</v>
      </c>
      <c r="E677" s="144">
        <v>43803.0</v>
      </c>
      <c r="F677" s="50" t="s">
        <v>19743</v>
      </c>
      <c r="G677" s="50">
        <v>66.0</v>
      </c>
      <c r="H677" s="50">
        <v>1.0</v>
      </c>
      <c r="I677" s="50">
        <v>16.0</v>
      </c>
      <c r="J677" s="116"/>
      <c r="K677" s="116"/>
      <c r="L677" s="50" t="s">
        <v>1699</v>
      </c>
      <c r="M677" s="50" t="s">
        <v>1699</v>
      </c>
      <c r="N677" s="50">
        <v>1.0</v>
      </c>
      <c r="O677" s="50" t="s">
        <v>19709</v>
      </c>
      <c r="P677" s="116"/>
      <c r="Q677" s="116"/>
      <c r="R677" s="50">
        <v>5.0</v>
      </c>
      <c r="S677" s="50" t="s">
        <v>18057</v>
      </c>
      <c r="T677" s="117">
        <v>5839.0</v>
      </c>
      <c r="U677" s="50" t="s">
        <v>19745</v>
      </c>
      <c r="V677" s="50" t="s">
        <v>19746</v>
      </c>
      <c r="W677" s="117">
        <v>678.0</v>
      </c>
    </row>
    <row r="678">
      <c r="A678" s="50" t="s">
        <v>19743</v>
      </c>
      <c r="B678" s="50" t="s">
        <v>6876</v>
      </c>
      <c r="C678" s="50" t="s">
        <v>6877</v>
      </c>
      <c r="D678" s="50" t="s">
        <v>11623</v>
      </c>
      <c r="E678" s="144">
        <v>43803.0</v>
      </c>
      <c r="F678" s="50" t="s">
        <v>19747</v>
      </c>
      <c r="G678" s="50">
        <v>58.0</v>
      </c>
      <c r="H678" s="50">
        <v>1.0</v>
      </c>
      <c r="I678" s="50">
        <v>11.0</v>
      </c>
      <c r="J678" s="116"/>
      <c r="K678" s="116"/>
      <c r="L678" s="50" t="s">
        <v>1704</v>
      </c>
      <c r="M678" s="50" t="s">
        <v>1704</v>
      </c>
      <c r="N678" s="50">
        <v>1.0</v>
      </c>
      <c r="O678" s="50" t="s">
        <v>19709</v>
      </c>
      <c r="P678" s="116"/>
      <c r="Q678" s="116"/>
      <c r="R678" s="50">
        <v>5.0</v>
      </c>
      <c r="S678" s="50" t="s">
        <v>18057</v>
      </c>
      <c r="T678" s="117">
        <v>5840.0</v>
      </c>
      <c r="U678" s="50" t="s">
        <v>19749</v>
      </c>
      <c r="V678" s="50" t="s">
        <v>19750</v>
      </c>
      <c r="W678" s="117">
        <v>679.0</v>
      </c>
    </row>
    <row r="679">
      <c r="A679" s="50" t="s">
        <v>19747</v>
      </c>
      <c r="B679" s="50" t="s">
        <v>6876</v>
      </c>
      <c r="C679" s="50" t="s">
        <v>6877</v>
      </c>
      <c r="D679" s="50" t="s">
        <v>11623</v>
      </c>
      <c r="E679" s="144">
        <v>43803.0</v>
      </c>
      <c r="F679" s="50" t="s">
        <v>19755</v>
      </c>
      <c r="G679" s="50">
        <v>59.0</v>
      </c>
      <c r="H679" s="50">
        <v>1.0</v>
      </c>
      <c r="I679" s="50">
        <v>11.0</v>
      </c>
      <c r="J679" s="116"/>
      <c r="K679" s="116"/>
      <c r="L679" s="50" t="s">
        <v>1705</v>
      </c>
      <c r="M679" s="50" t="s">
        <v>1705</v>
      </c>
      <c r="N679" s="50">
        <v>1.0</v>
      </c>
      <c r="O679" s="50" t="s">
        <v>19709</v>
      </c>
      <c r="P679" s="116"/>
      <c r="Q679" s="116"/>
      <c r="R679" s="50">
        <v>5.0</v>
      </c>
      <c r="S679" s="50" t="s">
        <v>18057</v>
      </c>
      <c r="T679" s="117">
        <v>5841.0</v>
      </c>
      <c r="U679" s="50" t="s">
        <v>19759</v>
      </c>
      <c r="V679" s="50" t="s">
        <v>19760</v>
      </c>
      <c r="W679" s="117">
        <v>680.0</v>
      </c>
    </row>
    <row r="680">
      <c r="A680" s="50" t="s">
        <v>19755</v>
      </c>
      <c r="B680" s="50" t="s">
        <v>6876</v>
      </c>
      <c r="C680" s="50" t="s">
        <v>6877</v>
      </c>
      <c r="D680" s="50" t="s">
        <v>11623</v>
      </c>
      <c r="E680" s="144">
        <v>43803.0</v>
      </c>
      <c r="F680" s="50" t="s">
        <v>19761</v>
      </c>
      <c r="G680" s="50">
        <v>66.0</v>
      </c>
      <c r="H680" s="50">
        <v>1.0</v>
      </c>
      <c r="I680" s="50">
        <v>12.0</v>
      </c>
      <c r="J680" s="116"/>
      <c r="K680" s="116"/>
      <c r="L680" s="50" t="s">
        <v>1700</v>
      </c>
      <c r="M680" s="50" t="s">
        <v>1700</v>
      </c>
      <c r="N680" s="50">
        <v>1.0</v>
      </c>
      <c r="O680" s="50" t="s">
        <v>19709</v>
      </c>
      <c r="P680" s="116"/>
      <c r="Q680" s="116"/>
      <c r="R680" s="50">
        <v>5.0</v>
      </c>
      <c r="S680" s="50" t="s">
        <v>18057</v>
      </c>
      <c r="T680" s="117">
        <v>5842.0</v>
      </c>
      <c r="U680" s="50" t="s">
        <v>19764</v>
      </c>
      <c r="V680" s="50" t="s">
        <v>19765</v>
      </c>
      <c r="W680" s="117">
        <v>681.0</v>
      </c>
    </row>
    <row r="681">
      <c r="A681" s="50" t="s">
        <v>19761</v>
      </c>
      <c r="B681" s="50" t="s">
        <v>6876</v>
      </c>
      <c r="C681" s="50" t="s">
        <v>6877</v>
      </c>
      <c r="D681" s="50" t="s">
        <v>11623</v>
      </c>
      <c r="E681" s="144">
        <v>43803.0</v>
      </c>
      <c r="F681" s="50" t="s">
        <v>19767</v>
      </c>
      <c r="G681" s="50">
        <v>59.0</v>
      </c>
      <c r="H681" s="50">
        <v>1.0</v>
      </c>
      <c r="I681" s="50">
        <v>12.0</v>
      </c>
      <c r="J681" s="116"/>
      <c r="K681" s="116"/>
      <c r="L681" s="50" t="s">
        <v>1701</v>
      </c>
      <c r="M681" s="50" t="s">
        <v>1701</v>
      </c>
      <c r="N681" s="50">
        <v>1.0</v>
      </c>
      <c r="O681" s="50" t="s">
        <v>19709</v>
      </c>
      <c r="P681" s="116"/>
      <c r="Q681" s="116"/>
      <c r="R681" s="50">
        <v>5.0</v>
      </c>
      <c r="S681" s="50" t="s">
        <v>18057</v>
      </c>
      <c r="T681" s="117">
        <v>5843.0</v>
      </c>
      <c r="U681" s="50" t="s">
        <v>19768</v>
      </c>
      <c r="V681" s="50" t="s">
        <v>19769</v>
      </c>
      <c r="W681" s="117">
        <v>682.0</v>
      </c>
    </row>
    <row r="682">
      <c r="A682" s="50" t="s">
        <v>19767</v>
      </c>
      <c r="B682" s="50" t="s">
        <v>6876</v>
      </c>
      <c r="C682" s="50" t="s">
        <v>6877</v>
      </c>
      <c r="D682" s="50" t="s">
        <v>11623</v>
      </c>
      <c r="E682" s="144">
        <v>43803.0</v>
      </c>
      <c r="F682" s="50" t="s">
        <v>19770</v>
      </c>
      <c r="G682" s="50">
        <v>59.0</v>
      </c>
      <c r="H682" s="50">
        <v>1.0</v>
      </c>
      <c r="I682" s="50">
        <v>99.0</v>
      </c>
      <c r="J682" s="116"/>
      <c r="K682" s="116"/>
      <c r="L682" s="50" t="s">
        <v>320</v>
      </c>
      <c r="M682" s="50" t="s">
        <v>320</v>
      </c>
      <c r="N682" s="50">
        <v>1.0</v>
      </c>
      <c r="O682" s="50" t="s">
        <v>19709</v>
      </c>
      <c r="P682" s="116"/>
      <c r="Q682" s="50" t="s">
        <v>19771</v>
      </c>
      <c r="R682" s="50">
        <v>5.0</v>
      </c>
      <c r="S682" s="50" t="s">
        <v>18057</v>
      </c>
      <c r="T682" s="117">
        <v>5844.0</v>
      </c>
      <c r="U682" s="50" t="s">
        <v>19773</v>
      </c>
      <c r="V682" s="50" t="s">
        <v>19774</v>
      </c>
      <c r="W682" s="117">
        <v>683.0</v>
      </c>
    </row>
    <row r="683">
      <c r="A683" s="50" t="s">
        <v>19770</v>
      </c>
      <c r="B683" s="50" t="s">
        <v>6876</v>
      </c>
      <c r="C683" s="50" t="s">
        <v>6877</v>
      </c>
      <c r="D683" s="50" t="s">
        <v>11623</v>
      </c>
      <c r="E683" s="144">
        <v>43803.0</v>
      </c>
      <c r="F683" s="50" t="s">
        <v>19776</v>
      </c>
      <c r="G683" s="50">
        <v>59.0</v>
      </c>
      <c r="H683" s="50">
        <v>1.0</v>
      </c>
      <c r="I683" s="50">
        <v>98.0</v>
      </c>
      <c r="J683" s="116"/>
      <c r="K683" s="116"/>
      <c r="L683" s="50" t="s">
        <v>1708</v>
      </c>
      <c r="M683" s="50" t="s">
        <v>1708</v>
      </c>
      <c r="N683" s="50">
        <v>1.0</v>
      </c>
      <c r="O683" s="50" t="s">
        <v>19709</v>
      </c>
      <c r="P683" s="116"/>
      <c r="Q683" s="116"/>
      <c r="R683" s="50">
        <v>5.0</v>
      </c>
      <c r="S683" s="50" t="s">
        <v>18057</v>
      </c>
      <c r="T683" s="117">
        <v>5845.0</v>
      </c>
      <c r="U683" s="50" t="s">
        <v>19782</v>
      </c>
      <c r="V683" s="50" t="s">
        <v>19783</v>
      </c>
      <c r="W683" s="117">
        <v>684.0</v>
      </c>
    </row>
    <row r="684">
      <c r="A684" s="50" t="s">
        <v>19776</v>
      </c>
      <c r="B684" s="50" t="s">
        <v>6876</v>
      </c>
      <c r="C684" s="50" t="s">
        <v>6877</v>
      </c>
      <c r="D684" s="50" t="s">
        <v>11623</v>
      </c>
      <c r="E684" s="144">
        <v>43803.0</v>
      </c>
      <c r="F684" s="50" t="s">
        <v>19785</v>
      </c>
      <c r="G684" s="50">
        <v>59.0</v>
      </c>
      <c r="H684" s="50">
        <v>1.0</v>
      </c>
      <c r="I684" s="50">
        <v>11.0</v>
      </c>
      <c r="J684" s="116"/>
      <c r="K684" s="116"/>
      <c r="L684" s="50" t="s">
        <v>1709</v>
      </c>
      <c r="M684" s="50" t="s">
        <v>1709</v>
      </c>
      <c r="N684" s="50">
        <v>1.0</v>
      </c>
      <c r="O684" s="50" t="s">
        <v>19786</v>
      </c>
      <c r="P684" s="116"/>
      <c r="Q684" s="116"/>
      <c r="R684" s="50">
        <v>5.0</v>
      </c>
      <c r="S684" s="50" t="s">
        <v>18057</v>
      </c>
      <c r="T684" s="117">
        <v>5846.0</v>
      </c>
      <c r="U684" s="50" t="s">
        <v>19787</v>
      </c>
      <c r="V684" s="50" t="s">
        <v>19788</v>
      </c>
      <c r="W684" s="117">
        <v>685.0</v>
      </c>
    </row>
    <row r="685">
      <c r="A685" s="50" t="s">
        <v>19785</v>
      </c>
      <c r="B685" s="50" t="s">
        <v>6876</v>
      </c>
      <c r="C685" s="50" t="s">
        <v>6877</v>
      </c>
      <c r="D685" s="50" t="s">
        <v>11623</v>
      </c>
      <c r="E685" s="144">
        <v>43803.0</v>
      </c>
      <c r="F685" s="50" t="s">
        <v>19791</v>
      </c>
      <c r="G685" s="50">
        <v>59.0</v>
      </c>
      <c r="H685" s="50">
        <v>1.0</v>
      </c>
      <c r="I685" s="50">
        <v>11.0</v>
      </c>
      <c r="J685" s="116"/>
      <c r="K685" s="116"/>
      <c r="L685" s="50" t="s">
        <v>1712</v>
      </c>
      <c r="M685" s="50" t="s">
        <v>1712</v>
      </c>
      <c r="N685" s="50">
        <v>1.0</v>
      </c>
      <c r="O685" s="50" t="s">
        <v>19786</v>
      </c>
      <c r="P685" s="116"/>
      <c r="Q685" s="116"/>
      <c r="R685" s="50">
        <v>5.0</v>
      </c>
      <c r="S685" s="50" t="s">
        <v>18057</v>
      </c>
      <c r="T685" s="117">
        <v>5847.0</v>
      </c>
      <c r="U685" s="50" t="s">
        <v>19793</v>
      </c>
      <c r="V685" s="50" t="s">
        <v>19794</v>
      </c>
      <c r="W685" s="117">
        <v>686.0</v>
      </c>
    </row>
    <row r="686">
      <c r="A686" s="50" t="s">
        <v>19791</v>
      </c>
      <c r="B686" s="50" t="s">
        <v>6876</v>
      </c>
      <c r="C686" s="50" t="s">
        <v>6877</v>
      </c>
      <c r="D686" s="50" t="s">
        <v>11623</v>
      </c>
      <c r="E686" s="144">
        <v>43803.0</v>
      </c>
      <c r="F686" s="50" t="s">
        <v>19795</v>
      </c>
      <c r="G686" s="50">
        <v>59.0</v>
      </c>
      <c r="H686" s="50">
        <v>1.0</v>
      </c>
      <c r="I686" s="50">
        <v>99.0</v>
      </c>
      <c r="J686" s="116"/>
      <c r="K686" s="116"/>
      <c r="L686" s="50" t="s">
        <v>1713</v>
      </c>
      <c r="M686" s="50" t="s">
        <v>1713</v>
      </c>
      <c r="N686" s="50">
        <v>1.0</v>
      </c>
      <c r="O686" s="50" t="s">
        <v>19786</v>
      </c>
      <c r="P686" s="116"/>
      <c r="Q686" s="50" t="s">
        <v>19801</v>
      </c>
      <c r="R686" s="50">
        <v>5.0</v>
      </c>
      <c r="S686" s="50" t="s">
        <v>18057</v>
      </c>
      <c r="T686" s="117">
        <v>5848.0</v>
      </c>
      <c r="U686" s="50" t="s">
        <v>19803</v>
      </c>
      <c r="V686" s="50" t="s">
        <v>19804</v>
      </c>
      <c r="W686" s="117">
        <v>687.0</v>
      </c>
    </row>
    <row r="687">
      <c r="A687" s="50" t="s">
        <v>19795</v>
      </c>
      <c r="B687" s="50" t="s">
        <v>6876</v>
      </c>
      <c r="C687" s="50" t="s">
        <v>6877</v>
      </c>
      <c r="D687" s="50" t="s">
        <v>11623</v>
      </c>
      <c r="E687" s="144">
        <v>43803.0</v>
      </c>
      <c r="F687" s="50" t="s">
        <v>19806</v>
      </c>
      <c r="G687" s="50">
        <v>59.0</v>
      </c>
      <c r="H687" s="50">
        <v>1.0</v>
      </c>
      <c r="I687" s="50">
        <v>11.0</v>
      </c>
      <c r="J687" s="116"/>
      <c r="K687" s="116"/>
      <c r="L687" s="50" t="s">
        <v>1715</v>
      </c>
      <c r="M687" s="50" t="s">
        <v>1715</v>
      </c>
      <c r="N687" s="50">
        <v>1.0</v>
      </c>
      <c r="O687" s="50" t="s">
        <v>19786</v>
      </c>
      <c r="P687" s="116"/>
      <c r="Q687" s="116"/>
      <c r="R687" s="50">
        <v>5.0</v>
      </c>
      <c r="S687" s="50" t="s">
        <v>18057</v>
      </c>
      <c r="T687" s="117">
        <v>5849.0</v>
      </c>
      <c r="U687" s="50" t="s">
        <v>19807</v>
      </c>
      <c r="V687" s="50" t="s">
        <v>19808</v>
      </c>
      <c r="W687" s="117">
        <v>688.0</v>
      </c>
    </row>
    <row r="688">
      <c r="A688" s="50" t="s">
        <v>19806</v>
      </c>
      <c r="B688" s="50" t="s">
        <v>6876</v>
      </c>
      <c r="C688" s="50" t="s">
        <v>6877</v>
      </c>
      <c r="D688" s="50" t="s">
        <v>11623</v>
      </c>
      <c r="E688" s="144">
        <v>43803.0</v>
      </c>
      <c r="F688" s="50" t="s">
        <v>19809</v>
      </c>
      <c r="G688" s="50">
        <v>59.0</v>
      </c>
      <c r="H688" s="50">
        <v>1.0</v>
      </c>
      <c r="I688" s="50">
        <v>11.0</v>
      </c>
      <c r="J688" s="116"/>
      <c r="K688" s="116"/>
      <c r="L688" s="50" t="s">
        <v>1720</v>
      </c>
      <c r="M688" s="50" t="s">
        <v>1720</v>
      </c>
      <c r="N688" s="50">
        <v>1.0</v>
      </c>
      <c r="O688" s="50" t="s">
        <v>19786</v>
      </c>
      <c r="P688" s="116"/>
      <c r="Q688" s="116"/>
      <c r="R688" s="50">
        <v>5.0</v>
      </c>
      <c r="S688" s="50" t="s">
        <v>18057</v>
      </c>
      <c r="T688" s="117">
        <v>5850.0</v>
      </c>
      <c r="U688" s="50" t="s">
        <v>19812</v>
      </c>
      <c r="V688" s="50" t="s">
        <v>19814</v>
      </c>
      <c r="W688" s="117">
        <v>689.0</v>
      </c>
    </row>
    <row r="689">
      <c r="A689" s="50" t="s">
        <v>19809</v>
      </c>
      <c r="B689" s="50" t="s">
        <v>6876</v>
      </c>
      <c r="C689" s="50" t="s">
        <v>6877</v>
      </c>
      <c r="D689" s="50" t="s">
        <v>11623</v>
      </c>
      <c r="E689" s="144">
        <v>43803.0</v>
      </c>
      <c r="F689" s="50" t="s">
        <v>19817</v>
      </c>
      <c r="G689" s="50">
        <v>59.0</v>
      </c>
      <c r="H689" s="50">
        <v>1.0</v>
      </c>
      <c r="I689" s="50">
        <v>99.0</v>
      </c>
      <c r="J689" s="116"/>
      <c r="K689" s="116"/>
      <c r="L689" s="50" t="s">
        <v>1721</v>
      </c>
      <c r="M689" s="50" t="s">
        <v>1721</v>
      </c>
      <c r="N689" s="50">
        <v>1.0</v>
      </c>
      <c r="O689" s="50" t="s">
        <v>19786</v>
      </c>
      <c r="P689" s="116"/>
      <c r="Q689" s="50" t="s">
        <v>19821</v>
      </c>
      <c r="R689" s="50">
        <v>5.0</v>
      </c>
      <c r="S689" s="50" t="s">
        <v>18057</v>
      </c>
      <c r="T689" s="117">
        <v>5851.0</v>
      </c>
      <c r="U689" s="50" t="s">
        <v>19822</v>
      </c>
      <c r="V689" s="50" t="s">
        <v>19823</v>
      </c>
      <c r="W689" s="117">
        <v>690.0</v>
      </c>
    </row>
    <row r="690">
      <c r="A690" s="50" t="s">
        <v>19817</v>
      </c>
      <c r="B690" s="50" t="s">
        <v>6876</v>
      </c>
      <c r="C690" s="50" t="s">
        <v>6877</v>
      </c>
      <c r="D690" s="50" t="s">
        <v>11623</v>
      </c>
      <c r="E690" s="144">
        <v>43803.0</v>
      </c>
      <c r="F690" s="50" t="s">
        <v>19825</v>
      </c>
      <c r="G690" s="50">
        <v>59.0</v>
      </c>
      <c r="H690" s="50">
        <v>1.0</v>
      </c>
      <c r="I690" s="50">
        <v>11.0</v>
      </c>
      <c r="J690" s="116"/>
      <c r="K690" s="116"/>
      <c r="L690" s="50" t="s">
        <v>1723</v>
      </c>
      <c r="M690" s="50" t="s">
        <v>1723</v>
      </c>
      <c r="N690" s="50">
        <v>1.0</v>
      </c>
      <c r="O690" s="50" t="s">
        <v>19786</v>
      </c>
      <c r="P690" s="116"/>
      <c r="Q690" s="116"/>
      <c r="R690" s="50">
        <v>5.0</v>
      </c>
      <c r="S690" s="50" t="s">
        <v>18057</v>
      </c>
      <c r="T690" s="117">
        <v>5852.0</v>
      </c>
      <c r="U690" s="50" t="s">
        <v>19828</v>
      </c>
      <c r="V690" s="50" t="s">
        <v>19829</v>
      </c>
      <c r="W690" s="117">
        <v>691.0</v>
      </c>
    </row>
    <row r="691">
      <c r="A691" s="50" t="s">
        <v>19825</v>
      </c>
      <c r="B691" s="50" t="s">
        <v>6876</v>
      </c>
      <c r="C691" s="50" t="s">
        <v>6877</v>
      </c>
      <c r="D691" s="50" t="s">
        <v>11623</v>
      </c>
      <c r="E691" s="144">
        <v>43803.0</v>
      </c>
      <c r="F691" s="50" t="s">
        <v>19830</v>
      </c>
      <c r="G691" s="50">
        <v>59.0</v>
      </c>
      <c r="H691" s="50">
        <v>1.0</v>
      </c>
      <c r="I691" s="50">
        <v>98.0</v>
      </c>
      <c r="J691" s="116"/>
      <c r="K691" s="116"/>
      <c r="L691" s="50" t="s">
        <v>1728</v>
      </c>
      <c r="M691" s="50" t="s">
        <v>1728</v>
      </c>
      <c r="N691" s="50">
        <v>1.0</v>
      </c>
      <c r="O691" s="50" t="s">
        <v>19786</v>
      </c>
      <c r="P691" s="116"/>
      <c r="Q691" s="116"/>
      <c r="R691" s="50">
        <v>5.0</v>
      </c>
      <c r="S691" s="50" t="s">
        <v>18057</v>
      </c>
      <c r="T691" s="117">
        <v>5853.0</v>
      </c>
      <c r="U691" s="50" t="s">
        <v>19833</v>
      </c>
      <c r="V691" s="50" t="s">
        <v>19834</v>
      </c>
      <c r="W691" s="117">
        <v>692.0</v>
      </c>
    </row>
    <row r="692">
      <c r="A692" s="50" t="s">
        <v>19835</v>
      </c>
      <c r="B692" s="50" t="s">
        <v>6876</v>
      </c>
      <c r="C692" s="50" t="s">
        <v>6877</v>
      </c>
      <c r="D692" s="50" t="s">
        <v>11623</v>
      </c>
      <c r="E692" s="144">
        <v>43809.0</v>
      </c>
      <c r="F692" s="50" t="s">
        <v>19840</v>
      </c>
      <c r="G692" s="50">
        <v>57.0</v>
      </c>
      <c r="H692" s="50">
        <v>1.0</v>
      </c>
      <c r="I692" s="50">
        <v>12.0</v>
      </c>
      <c r="J692" s="116"/>
      <c r="K692" s="116"/>
      <c r="L692" s="50" t="s">
        <v>1729</v>
      </c>
      <c r="M692" s="50" t="s">
        <v>1729</v>
      </c>
      <c r="N692" s="50">
        <v>1.0</v>
      </c>
      <c r="O692" s="50" t="s">
        <v>19842</v>
      </c>
      <c r="P692" s="116"/>
      <c r="Q692" s="116"/>
      <c r="R692" s="50">
        <v>5.0</v>
      </c>
      <c r="S692" s="50" t="s">
        <v>18057</v>
      </c>
      <c r="T692" s="117">
        <v>6113.0</v>
      </c>
      <c r="U692" s="50" t="s">
        <v>19845</v>
      </c>
      <c r="V692" s="50" t="s">
        <v>19846</v>
      </c>
      <c r="W692" s="117">
        <v>693.0</v>
      </c>
    </row>
    <row r="693">
      <c r="A693" s="50" t="s">
        <v>19840</v>
      </c>
      <c r="B693" s="50" t="s">
        <v>6876</v>
      </c>
      <c r="C693" s="50" t="s">
        <v>6877</v>
      </c>
      <c r="D693" s="50" t="s">
        <v>11623</v>
      </c>
      <c r="E693" s="144">
        <v>43809.0</v>
      </c>
      <c r="F693" s="50" t="s">
        <v>19849</v>
      </c>
      <c r="G693" s="50">
        <v>55.0</v>
      </c>
      <c r="H693" s="50">
        <v>1.0</v>
      </c>
      <c r="I693" s="50">
        <v>12.0</v>
      </c>
      <c r="J693" s="116"/>
      <c r="K693" s="116"/>
      <c r="L693" s="50" t="s">
        <v>1732</v>
      </c>
      <c r="M693" s="50" t="s">
        <v>1732</v>
      </c>
      <c r="N693" s="50">
        <v>1.0</v>
      </c>
      <c r="O693" s="50" t="s">
        <v>19842</v>
      </c>
      <c r="P693" s="116"/>
      <c r="Q693" s="116"/>
      <c r="R693" s="50">
        <v>5.0</v>
      </c>
      <c r="S693" s="50" t="s">
        <v>18057</v>
      </c>
      <c r="T693" s="117">
        <v>6114.0</v>
      </c>
      <c r="U693" s="50" t="s">
        <v>19851</v>
      </c>
      <c r="V693" s="50" t="s">
        <v>19852</v>
      </c>
      <c r="W693" s="117">
        <v>694.0</v>
      </c>
    </row>
    <row r="694">
      <c r="A694" s="50" t="s">
        <v>19849</v>
      </c>
      <c r="B694" s="50" t="s">
        <v>6876</v>
      </c>
      <c r="C694" s="50" t="s">
        <v>6877</v>
      </c>
      <c r="D694" s="50" t="s">
        <v>11623</v>
      </c>
      <c r="E694" s="144">
        <v>43809.0</v>
      </c>
      <c r="F694" s="50" t="s">
        <v>19853</v>
      </c>
      <c r="G694" s="50">
        <v>59.0</v>
      </c>
      <c r="H694" s="50">
        <v>1.0</v>
      </c>
      <c r="I694" s="50">
        <v>11.0</v>
      </c>
      <c r="J694" s="116"/>
      <c r="K694" s="116"/>
      <c r="L694" s="50" t="s">
        <v>1735</v>
      </c>
      <c r="M694" s="50" t="s">
        <v>1735</v>
      </c>
      <c r="N694" s="50">
        <v>1.0</v>
      </c>
      <c r="O694" s="50" t="s">
        <v>19842</v>
      </c>
      <c r="P694" s="116"/>
      <c r="Q694" s="116"/>
      <c r="R694" s="50">
        <v>5.0</v>
      </c>
      <c r="S694" s="50" t="s">
        <v>18057</v>
      </c>
      <c r="T694" s="117">
        <v>6115.0</v>
      </c>
      <c r="U694" s="50" t="s">
        <v>19857</v>
      </c>
      <c r="V694" s="50" t="s">
        <v>19859</v>
      </c>
      <c r="W694" s="117">
        <v>695.0</v>
      </c>
    </row>
    <row r="695">
      <c r="A695" s="50" t="s">
        <v>19853</v>
      </c>
      <c r="B695" s="50" t="s">
        <v>6876</v>
      </c>
      <c r="C695" s="50" t="s">
        <v>6877</v>
      </c>
      <c r="D695" s="50" t="s">
        <v>11623</v>
      </c>
      <c r="E695" s="144">
        <v>43809.0</v>
      </c>
      <c r="F695" s="50" t="s">
        <v>19863</v>
      </c>
      <c r="G695" s="50">
        <v>59.0</v>
      </c>
      <c r="H695" s="50">
        <v>1.0</v>
      </c>
      <c r="I695" s="50">
        <v>11.0</v>
      </c>
      <c r="J695" s="116"/>
      <c r="K695" s="116"/>
      <c r="L695" s="50" t="s">
        <v>1738</v>
      </c>
      <c r="M695" s="50" t="s">
        <v>1738</v>
      </c>
      <c r="N695" s="50">
        <v>1.0</v>
      </c>
      <c r="O695" s="50" t="s">
        <v>19842</v>
      </c>
      <c r="P695" s="116"/>
      <c r="Q695" s="116"/>
      <c r="R695" s="50">
        <v>5.0</v>
      </c>
      <c r="S695" s="50" t="s">
        <v>18057</v>
      </c>
      <c r="T695" s="117">
        <v>6116.0</v>
      </c>
      <c r="U695" s="50" t="s">
        <v>19869</v>
      </c>
      <c r="V695" s="50" t="s">
        <v>19870</v>
      </c>
      <c r="W695" s="117">
        <v>696.0</v>
      </c>
    </row>
    <row r="696">
      <c r="A696" s="50" t="s">
        <v>19863</v>
      </c>
      <c r="B696" s="50" t="s">
        <v>6876</v>
      </c>
      <c r="C696" s="50" t="s">
        <v>6877</v>
      </c>
      <c r="D696" s="50" t="s">
        <v>11623</v>
      </c>
      <c r="E696" s="144">
        <v>43809.0</v>
      </c>
      <c r="F696" s="50" t="s">
        <v>19872</v>
      </c>
      <c r="G696" s="50">
        <v>59.0</v>
      </c>
      <c r="H696" s="50">
        <v>1.0</v>
      </c>
      <c r="I696" s="50">
        <v>11.0</v>
      </c>
      <c r="J696" s="116"/>
      <c r="K696" s="116"/>
      <c r="L696" s="50" t="s">
        <v>1741</v>
      </c>
      <c r="M696" s="50" t="s">
        <v>1741</v>
      </c>
      <c r="N696" s="50">
        <v>1.0</v>
      </c>
      <c r="O696" s="50" t="s">
        <v>19842</v>
      </c>
      <c r="P696" s="116"/>
      <c r="Q696" s="116"/>
      <c r="R696" s="50">
        <v>5.0</v>
      </c>
      <c r="S696" s="50" t="s">
        <v>18057</v>
      </c>
      <c r="T696" s="117">
        <v>6117.0</v>
      </c>
      <c r="U696" s="50" t="s">
        <v>19873</v>
      </c>
      <c r="V696" s="50" t="s">
        <v>19874</v>
      </c>
      <c r="W696" s="117">
        <v>697.0</v>
      </c>
    </row>
    <row r="697">
      <c r="A697" s="50" t="s">
        <v>19872</v>
      </c>
      <c r="B697" s="50" t="s">
        <v>6876</v>
      </c>
      <c r="C697" s="50" t="s">
        <v>6877</v>
      </c>
      <c r="D697" s="50" t="s">
        <v>11623</v>
      </c>
      <c r="E697" s="144">
        <v>43809.0</v>
      </c>
      <c r="F697" s="50" t="s">
        <v>19878</v>
      </c>
      <c r="G697" s="50">
        <v>59.0</v>
      </c>
      <c r="H697" s="50">
        <v>1.0</v>
      </c>
      <c r="I697" s="50">
        <v>99.0</v>
      </c>
      <c r="J697" s="116"/>
      <c r="K697" s="116"/>
      <c r="L697" s="50" t="s">
        <v>1743</v>
      </c>
      <c r="M697" s="50" t="s">
        <v>1743</v>
      </c>
      <c r="N697" s="50">
        <v>1.0</v>
      </c>
      <c r="O697" s="50" t="s">
        <v>19842</v>
      </c>
      <c r="P697" s="116"/>
      <c r="Q697" s="50" t="s">
        <v>19881</v>
      </c>
      <c r="R697" s="50">
        <v>5.0</v>
      </c>
      <c r="S697" s="50" t="s">
        <v>18057</v>
      </c>
      <c r="T697" s="117">
        <v>6118.0</v>
      </c>
      <c r="U697" s="50" t="s">
        <v>19884</v>
      </c>
      <c r="V697" s="50" t="s">
        <v>19885</v>
      </c>
      <c r="W697" s="117">
        <v>698.0</v>
      </c>
    </row>
    <row r="698">
      <c r="A698" s="50" t="s">
        <v>19878</v>
      </c>
      <c r="B698" s="50" t="s">
        <v>6876</v>
      </c>
      <c r="C698" s="50" t="s">
        <v>6877</v>
      </c>
      <c r="D698" s="50" t="s">
        <v>11623</v>
      </c>
      <c r="E698" s="144">
        <v>43809.0</v>
      </c>
      <c r="F698" s="50" t="s">
        <v>19887</v>
      </c>
      <c r="G698" s="50">
        <v>58.0</v>
      </c>
      <c r="H698" s="50">
        <v>1.0</v>
      </c>
      <c r="I698" s="50">
        <v>16.0</v>
      </c>
      <c r="J698" s="116"/>
      <c r="K698" s="116"/>
      <c r="L698" s="50" t="s">
        <v>1747</v>
      </c>
      <c r="M698" s="50" t="s">
        <v>1747</v>
      </c>
      <c r="N698" s="50">
        <v>1.0</v>
      </c>
      <c r="O698" s="50" t="s">
        <v>19842</v>
      </c>
      <c r="P698" s="116"/>
      <c r="Q698" s="116"/>
      <c r="R698" s="50">
        <v>5.0</v>
      </c>
      <c r="S698" s="50" t="s">
        <v>18057</v>
      </c>
      <c r="T698" s="117">
        <v>6119.0</v>
      </c>
      <c r="U698" s="50" t="s">
        <v>19891</v>
      </c>
      <c r="V698" s="50" t="s">
        <v>19892</v>
      </c>
      <c r="W698" s="117">
        <v>699.0</v>
      </c>
    </row>
    <row r="699">
      <c r="A699" s="50" t="s">
        <v>19887</v>
      </c>
      <c r="B699" s="50" t="s">
        <v>6876</v>
      </c>
      <c r="C699" s="50" t="s">
        <v>6877</v>
      </c>
      <c r="D699" s="50" t="s">
        <v>11623</v>
      </c>
      <c r="E699" s="144">
        <v>43809.0</v>
      </c>
      <c r="F699" s="50" t="s">
        <v>19893</v>
      </c>
      <c r="G699" s="50">
        <v>58.0</v>
      </c>
      <c r="H699" s="50">
        <v>1.0</v>
      </c>
      <c r="I699" s="50">
        <v>16.0</v>
      </c>
      <c r="J699" s="116"/>
      <c r="K699" s="116"/>
      <c r="L699" s="50" t="s">
        <v>1748</v>
      </c>
      <c r="M699" s="50" t="s">
        <v>1748</v>
      </c>
      <c r="N699" s="50">
        <v>1.0</v>
      </c>
      <c r="O699" s="50" t="s">
        <v>19842</v>
      </c>
      <c r="P699" s="116"/>
      <c r="Q699" s="116"/>
      <c r="R699" s="50">
        <v>5.0</v>
      </c>
      <c r="S699" s="50" t="s">
        <v>18057</v>
      </c>
      <c r="T699" s="117">
        <v>6120.0</v>
      </c>
      <c r="U699" s="50" t="s">
        <v>19894</v>
      </c>
      <c r="V699" s="50" t="s">
        <v>19895</v>
      </c>
      <c r="W699" s="117">
        <v>700.0</v>
      </c>
    </row>
    <row r="700">
      <c r="A700" s="50" t="s">
        <v>19893</v>
      </c>
      <c r="B700" s="50" t="s">
        <v>6876</v>
      </c>
      <c r="C700" s="50" t="s">
        <v>6877</v>
      </c>
      <c r="D700" s="50" t="s">
        <v>11623</v>
      </c>
      <c r="E700" s="144">
        <v>43809.0</v>
      </c>
      <c r="F700" s="50" t="s">
        <v>19898</v>
      </c>
      <c r="G700" s="50">
        <v>58.0</v>
      </c>
      <c r="H700" s="50">
        <v>1.0</v>
      </c>
      <c r="I700" s="50">
        <v>98.0</v>
      </c>
      <c r="J700" s="116"/>
      <c r="K700" s="116"/>
      <c r="L700" s="50" t="s">
        <v>1746</v>
      </c>
      <c r="M700" s="50" t="s">
        <v>1746</v>
      </c>
      <c r="N700" s="50">
        <v>1.0</v>
      </c>
      <c r="O700" s="50" t="s">
        <v>19842</v>
      </c>
      <c r="P700" s="116"/>
      <c r="Q700" s="116"/>
      <c r="R700" s="50">
        <v>5.0</v>
      </c>
      <c r="S700" s="50" t="s">
        <v>18057</v>
      </c>
      <c r="T700" s="117">
        <v>6121.0</v>
      </c>
      <c r="U700" s="50" t="s">
        <v>19900</v>
      </c>
      <c r="V700" s="50" t="s">
        <v>19902</v>
      </c>
      <c r="W700" s="117">
        <v>701.0</v>
      </c>
    </row>
    <row r="701">
      <c r="A701" s="50" t="s">
        <v>19898</v>
      </c>
      <c r="B701" s="50" t="s">
        <v>6876</v>
      </c>
      <c r="C701" s="50" t="s">
        <v>6877</v>
      </c>
      <c r="D701" s="50" t="s">
        <v>11623</v>
      </c>
      <c r="E701" s="144">
        <v>43809.0</v>
      </c>
      <c r="F701" s="50" t="s">
        <v>19907</v>
      </c>
      <c r="G701" s="50">
        <v>66.0</v>
      </c>
      <c r="H701" s="50">
        <v>1.0</v>
      </c>
      <c r="I701" s="50">
        <v>12.0</v>
      </c>
      <c r="J701" s="116"/>
      <c r="K701" s="116"/>
      <c r="L701" s="50" t="s">
        <v>1750</v>
      </c>
      <c r="M701" s="50" t="s">
        <v>1750</v>
      </c>
      <c r="N701" s="50">
        <v>1.0</v>
      </c>
      <c r="O701" s="50" t="s">
        <v>19910</v>
      </c>
      <c r="P701" s="116"/>
      <c r="Q701" s="116"/>
      <c r="R701" s="50">
        <v>5.0</v>
      </c>
      <c r="S701" s="50" t="s">
        <v>18057</v>
      </c>
      <c r="T701" s="117">
        <v>6122.0</v>
      </c>
      <c r="U701" s="50" t="s">
        <v>19912</v>
      </c>
      <c r="V701" s="50" t="s">
        <v>19913</v>
      </c>
      <c r="W701" s="117">
        <v>702.0</v>
      </c>
    </row>
    <row r="702">
      <c r="A702" s="50" t="s">
        <v>19907</v>
      </c>
      <c r="B702" s="50" t="s">
        <v>6876</v>
      </c>
      <c r="C702" s="50" t="s">
        <v>6877</v>
      </c>
      <c r="D702" s="50" t="s">
        <v>11623</v>
      </c>
      <c r="E702" s="144">
        <v>43809.0</v>
      </c>
      <c r="F702" s="50" t="s">
        <v>19915</v>
      </c>
      <c r="G702" s="50">
        <v>59.0</v>
      </c>
      <c r="H702" s="50">
        <v>1.0</v>
      </c>
      <c r="I702" s="50">
        <v>12.0</v>
      </c>
      <c r="J702" s="116"/>
      <c r="K702" s="116"/>
      <c r="L702" s="50" t="s">
        <v>1753</v>
      </c>
      <c r="M702" s="50" t="s">
        <v>1753</v>
      </c>
      <c r="N702" s="50">
        <v>1.0</v>
      </c>
      <c r="O702" s="50" t="s">
        <v>19910</v>
      </c>
      <c r="P702" s="116"/>
      <c r="Q702" s="116"/>
      <c r="R702" s="50">
        <v>5.0</v>
      </c>
      <c r="S702" s="50" t="s">
        <v>18057</v>
      </c>
      <c r="T702" s="117">
        <v>6123.0</v>
      </c>
      <c r="U702" s="50" t="s">
        <v>19917</v>
      </c>
      <c r="V702" s="50" t="s">
        <v>19919</v>
      </c>
      <c r="W702" s="117">
        <v>703.0</v>
      </c>
    </row>
    <row r="703">
      <c r="A703" s="50" t="s">
        <v>19915</v>
      </c>
      <c r="B703" s="50" t="s">
        <v>6876</v>
      </c>
      <c r="C703" s="50" t="s">
        <v>6877</v>
      </c>
      <c r="D703" s="50" t="s">
        <v>11623</v>
      </c>
      <c r="E703" s="144">
        <v>43809.0</v>
      </c>
      <c r="F703" s="50" t="s">
        <v>19921</v>
      </c>
      <c r="G703" s="50">
        <v>59.0</v>
      </c>
      <c r="H703" s="50">
        <v>1.0</v>
      </c>
      <c r="I703" s="50">
        <v>99.0</v>
      </c>
      <c r="J703" s="116"/>
      <c r="K703" s="116"/>
      <c r="L703" s="50" t="s">
        <v>1754</v>
      </c>
      <c r="M703" s="50" t="s">
        <v>1754</v>
      </c>
      <c r="N703" s="50">
        <v>1.0</v>
      </c>
      <c r="O703" s="50" t="s">
        <v>19910</v>
      </c>
      <c r="P703" s="116"/>
      <c r="Q703" s="50" t="s">
        <v>19922</v>
      </c>
      <c r="R703" s="50">
        <v>5.0</v>
      </c>
      <c r="S703" s="50" t="s">
        <v>18057</v>
      </c>
      <c r="T703" s="117">
        <v>6124.0</v>
      </c>
      <c r="U703" s="50" t="s">
        <v>19923</v>
      </c>
      <c r="V703" s="50" t="s">
        <v>19924</v>
      </c>
      <c r="W703" s="117">
        <v>704.0</v>
      </c>
    </row>
    <row r="704">
      <c r="A704" s="50" t="s">
        <v>19921</v>
      </c>
      <c r="B704" s="50" t="s">
        <v>6876</v>
      </c>
      <c r="C704" s="50" t="s">
        <v>6877</v>
      </c>
      <c r="D704" s="50" t="s">
        <v>11623</v>
      </c>
      <c r="E704" s="144">
        <v>43809.0</v>
      </c>
      <c r="F704" s="50" t="s">
        <v>19930</v>
      </c>
      <c r="G704" s="50">
        <v>58.0</v>
      </c>
      <c r="H704" s="50">
        <v>1.0</v>
      </c>
      <c r="I704" s="50">
        <v>98.0</v>
      </c>
      <c r="J704" s="116"/>
      <c r="K704" s="116"/>
      <c r="L704" s="50" t="s">
        <v>1768</v>
      </c>
      <c r="M704" s="50" t="s">
        <v>1768</v>
      </c>
      <c r="N704" s="50">
        <v>1.0</v>
      </c>
      <c r="O704" s="50" t="s">
        <v>19910</v>
      </c>
      <c r="P704" s="116"/>
      <c r="Q704" s="116"/>
      <c r="R704" s="50">
        <v>5.0</v>
      </c>
      <c r="S704" s="50" t="s">
        <v>18057</v>
      </c>
      <c r="T704" s="117">
        <v>6125.0</v>
      </c>
      <c r="U704" s="50" t="s">
        <v>19932</v>
      </c>
      <c r="V704" s="50" t="s">
        <v>19933</v>
      </c>
      <c r="W704" s="117">
        <v>705.0</v>
      </c>
    </row>
    <row r="705">
      <c r="A705" s="50" t="s">
        <v>19930</v>
      </c>
      <c r="B705" s="50" t="s">
        <v>6876</v>
      </c>
      <c r="C705" s="50" t="s">
        <v>6877</v>
      </c>
      <c r="D705" s="50" t="s">
        <v>11623</v>
      </c>
      <c r="E705" s="144">
        <v>43809.0</v>
      </c>
      <c r="F705" s="50" t="s">
        <v>19934</v>
      </c>
      <c r="G705" s="50">
        <v>58.0</v>
      </c>
      <c r="H705" s="50">
        <v>1.0</v>
      </c>
      <c r="I705" s="50">
        <v>11.0</v>
      </c>
      <c r="J705" s="116"/>
      <c r="K705" s="116"/>
      <c r="L705" s="50" t="s">
        <v>1756</v>
      </c>
      <c r="M705" s="50" t="s">
        <v>1756</v>
      </c>
      <c r="N705" s="50">
        <v>1.0</v>
      </c>
      <c r="O705" s="50" t="s">
        <v>19910</v>
      </c>
      <c r="P705" s="116"/>
      <c r="Q705" s="116"/>
      <c r="R705" s="50">
        <v>5.0</v>
      </c>
      <c r="S705" s="50" t="s">
        <v>18057</v>
      </c>
      <c r="T705" s="117">
        <v>6126.0</v>
      </c>
      <c r="U705" s="50" t="s">
        <v>19937</v>
      </c>
      <c r="V705" s="50" t="s">
        <v>19938</v>
      </c>
      <c r="W705" s="117">
        <v>706.0</v>
      </c>
    </row>
    <row r="706">
      <c r="A706" s="50" t="s">
        <v>19934</v>
      </c>
      <c r="B706" s="50" t="s">
        <v>6876</v>
      </c>
      <c r="C706" s="50" t="s">
        <v>6877</v>
      </c>
      <c r="D706" s="50" t="s">
        <v>11623</v>
      </c>
      <c r="E706" s="144">
        <v>43809.0</v>
      </c>
      <c r="F706" s="50" t="s">
        <v>19940</v>
      </c>
      <c r="G706" s="50">
        <v>59.0</v>
      </c>
      <c r="H706" s="50">
        <v>1.0</v>
      </c>
      <c r="I706" s="50">
        <v>11.0</v>
      </c>
      <c r="J706" s="116"/>
      <c r="K706" s="116"/>
      <c r="L706" s="50" t="s">
        <v>323</v>
      </c>
      <c r="M706" s="50" t="s">
        <v>323</v>
      </c>
      <c r="N706" s="50">
        <v>1.0</v>
      </c>
      <c r="O706" s="50" t="s">
        <v>19910</v>
      </c>
      <c r="P706" s="116"/>
      <c r="Q706" s="116"/>
      <c r="R706" s="50">
        <v>5.0</v>
      </c>
      <c r="S706" s="50" t="s">
        <v>18057</v>
      </c>
      <c r="T706" s="117">
        <v>6127.0</v>
      </c>
      <c r="U706" s="50" t="s">
        <v>19946</v>
      </c>
      <c r="V706" s="50" t="s">
        <v>19949</v>
      </c>
      <c r="W706" s="117">
        <v>707.0</v>
      </c>
    </row>
    <row r="707">
      <c r="A707" s="50" t="s">
        <v>19940</v>
      </c>
      <c r="B707" s="50" t="s">
        <v>6876</v>
      </c>
      <c r="C707" s="50" t="s">
        <v>6877</v>
      </c>
      <c r="D707" s="50" t="s">
        <v>11623</v>
      </c>
      <c r="E707" s="144">
        <v>43809.0</v>
      </c>
      <c r="F707" s="50" t="s">
        <v>19950</v>
      </c>
      <c r="G707" s="50">
        <v>59.0</v>
      </c>
      <c r="H707" s="50">
        <v>1.0</v>
      </c>
      <c r="I707" s="50">
        <v>11.0</v>
      </c>
      <c r="J707" s="116"/>
      <c r="K707" s="116"/>
      <c r="L707" s="50" t="s">
        <v>1761</v>
      </c>
      <c r="M707" s="50" t="s">
        <v>1761</v>
      </c>
      <c r="N707" s="50">
        <v>1.0</v>
      </c>
      <c r="O707" s="50" t="s">
        <v>19910</v>
      </c>
      <c r="P707" s="116"/>
      <c r="Q707" s="116"/>
      <c r="R707" s="50">
        <v>5.0</v>
      </c>
      <c r="S707" s="50" t="s">
        <v>18057</v>
      </c>
      <c r="T707" s="117">
        <v>6128.0</v>
      </c>
      <c r="U707" s="50" t="s">
        <v>19953</v>
      </c>
      <c r="V707" s="50" t="s">
        <v>19954</v>
      </c>
      <c r="W707" s="117">
        <v>708.0</v>
      </c>
    </row>
    <row r="708">
      <c r="A708" s="50" t="s">
        <v>19950</v>
      </c>
      <c r="B708" s="50" t="s">
        <v>6876</v>
      </c>
      <c r="C708" s="50" t="s">
        <v>6877</v>
      </c>
      <c r="D708" s="50" t="s">
        <v>11623</v>
      </c>
      <c r="E708" s="144">
        <v>43809.0</v>
      </c>
      <c r="F708" s="50" t="s">
        <v>19956</v>
      </c>
      <c r="G708" s="50">
        <v>59.0</v>
      </c>
      <c r="H708" s="50">
        <v>1.0</v>
      </c>
      <c r="I708" s="50">
        <v>11.0</v>
      </c>
      <c r="J708" s="116"/>
      <c r="K708" s="116"/>
      <c r="L708" s="50" t="s">
        <v>1764</v>
      </c>
      <c r="M708" s="50" t="s">
        <v>1764</v>
      </c>
      <c r="N708" s="50">
        <v>1.0</v>
      </c>
      <c r="O708" s="50" t="s">
        <v>19910</v>
      </c>
      <c r="P708" s="116"/>
      <c r="Q708" s="116"/>
      <c r="R708" s="50">
        <v>5.0</v>
      </c>
      <c r="S708" s="50" t="s">
        <v>18057</v>
      </c>
      <c r="T708" s="117">
        <v>6129.0</v>
      </c>
      <c r="U708" s="50" t="s">
        <v>19960</v>
      </c>
      <c r="V708" s="50" t="s">
        <v>19961</v>
      </c>
      <c r="W708" s="117">
        <v>709.0</v>
      </c>
    </row>
    <row r="709">
      <c r="A709" s="50" t="s">
        <v>19956</v>
      </c>
      <c r="B709" s="50" t="s">
        <v>6876</v>
      </c>
      <c r="C709" s="50" t="s">
        <v>6877</v>
      </c>
      <c r="D709" s="50" t="s">
        <v>11623</v>
      </c>
      <c r="E709" s="144">
        <v>43809.0</v>
      </c>
      <c r="F709" s="50" t="s">
        <v>19964</v>
      </c>
      <c r="G709" s="50">
        <v>59.0</v>
      </c>
      <c r="H709" s="50">
        <v>1.0</v>
      </c>
      <c r="I709" s="50">
        <v>11.0</v>
      </c>
      <c r="J709" s="116"/>
      <c r="K709" s="116"/>
      <c r="L709" s="50" t="s">
        <v>1769</v>
      </c>
      <c r="M709" s="50" t="s">
        <v>1769</v>
      </c>
      <c r="N709" s="50">
        <v>1.0</v>
      </c>
      <c r="O709" s="50" t="s">
        <v>19910</v>
      </c>
      <c r="P709" s="116"/>
      <c r="Q709" s="116"/>
      <c r="R709" s="50">
        <v>5.0</v>
      </c>
      <c r="S709" s="50" t="s">
        <v>18057</v>
      </c>
      <c r="T709" s="117">
        <v>6130.0</v>
      </c>
      <c r="U709" s="50" t="s">
        <v>19969</v>
      </c>
      <c r="V709" s="50" t="s">
        <v>19972</v>
      </c>
      <c r="W709" s="117">
        <v>710.0</v>
      </c>
    </row>
    <row r="710">
      <c r="A710" s="50" t="s">
        <v>19964</v>
      </c>
      <c r="B710" s="50" t="s">
        <v>6876</v>
      </c>
      <c r="C710" s="50" t="s">
        <v>6877</v>
      </c>
      <c r="D710" s="50" t="s">
        <v>11623</v>
      </c>
      <c r="E710" s="144">
        <v>43809.0</v>
      </c>
      <c r="F710" s="50" t="s">
        <v>19976</v>
      </c>
      <c r="G710" s="50">
        <v>59.0</v>
      </c>
      <c r="H710" s="50">
        <v>1.0</v>
      </c>
      <c r="I710" s="50">
        <v>11.0</v>
      </c>
      <c r="J710" s="116"/>
      <c r="K710" s="116"/>
      <c r="L710" s="50" t="s">
        <v>1772</v>
      </c>
      <c r="M710" s="50" t="s">
        <v>1772</v>
      </c>
      <c r="N710" s="50">
        <v>1.0</v>
      </c>
      <c r="O710" s="50" t="s">
        <v>19910</v>
      </c>
      <c r="P710" s="116"/>
      <c r="Q710" s="116"/>
      <c r="R710" s="50">
        <v>5.0</v>
      </c>
      <c r="S710" s="50" t="s">
        <v>18057</v>
      </c>
      <c r="T710" s="117">
        <v>6131.0</v>
      </c>
      <c r="U710" s="50" t="s">
        <v>19977</v>
      </c>
      <c r="V710" s="50" t="s">
        <v>19979</v>
      </c>
      <c r="W710" s="117">
        <v>711.0</v>
      </c>
    </row>
    <row r="711">
      <c r="A711" s="50" t="s">
        <v>19976</v>
      </c>
      <c r="B711" s="50" t="s">
        <v>6876</v>
      </c>
      <c r="C711" s="50" t="s">
        <v>6877</v>
      </c>
      <c r="D711" s="50" t="s">
        <v>11623</v>
      </c>
      <c r="E711" s="144">
        <v>43809.0</v>
      </c>
      <c r="F711" s="50" t="s">
        <v>19982</v>
      </c>
      <c r="G711" s="50">
        <v>59.0</v>
      </c>
      <c r="H711" s="50">
        <v>1.0</v>
      </c>
      <c r="I711" s="50">
        <v>11.0</v>
      </c>
      <c r="J711" s="116"/>
      <c r="K711" s="116"/>
      <c r="L711" s="50" t="s">
        <v>1775</v>
      </c>
      <c r="M711" s="50" t="s">
        <v>1775</v>
      </c>
      <c r="N711" s="50">
        <v>1.0</v>
      </c>
      <c r="O711" s="50" t="s">
        <v>19910</v>
      </c>
      <c r="P711" s="116"/>
      <c r="Q711" s="116"/>
      <c r="R711" s="50">
        <v>5.0</v>
      </c>
      <c r="S711" s="50" t="s">
        <v>18057</v>
      </c>
      <c r="T711" s="117">
        <v>6132.0</v>
      </c>
      <c r="U711" s="50" t="s">
        <v>19986</v>
      </c>
      <c r="V711" s="50" t="s">
        <v>19987</v>
      </c>
      <c r="W711" s="117">
        <v>712.0</v>
      </c>
    </row>
    <row r="712">
      <c r="A712" s="50" t="s">
        <v>19982</v>
      </c>
      <c r="B712" s="50" t="s">
        <v>6876</v>
      </c>
      <c r="C712" s="50" t="s">
        <v>6877</v>
      </c>
      <c r="D712" s="50" t="s">
        <v>11623</v>
      </c>
      <c r="E712" s="144">
        <v>43809.0</v>
      </c>
      <c r="F712" s="50" t="s">
        <v>19992</v>
      </c>
      <c r="G712" s="50">
        <v>59.0</v>
      </c>
      <c r="H712" s="50">
        <v>1.0</v>
      </c>
      <c r="I712" s="50">
        <v>99.0</v>
      </c>
      <c r="J712" s="116"/>
      <c r="K712" s="116"/>
      <c r="L712" s="50" t="s">
        <v>1776</v>
      </c>
      <c r="M712" s="50" t="s">
        <v>1776</v>
      </c>
      <c r="N712" s="50">
        <v>1.0</v>
      </c>
      <c r="O712" s="50" t="s">
        <v>19910</v>
      </c>
      <c r="P712" s="116"/>
      <c r="Q712" s="50" t="s">
        <v>19994</v>
      </c>
      <c r="R712" s="50">
        <v>5.0</v>
      </c>
      <c r="S712" s="50" t="s">
        <v>18057</v>
      </c>
      <c r="T712" s="117">
        <v>6133.0</v>
      </c>
      <c r="U712" s="50" t="s">
        <v>19995</v>
      </c>
      <c r="V712" s="50" t="s">
        <v>19996</v>
      </c>
      <c r="W712" s="117">
        <v>713.0</v>
      </c>
    </row>
    <row r="713">
      <c r="A713" s="50" t="s">
        <v>19992</v>
      </c>
      <c r="B713" s="50" t="s">
        <v>6876</v>
      </c>
      <c r="C713" s="50" t="s">
        <v>6877</v>
      </c>
      <c r="D713" s="50" t="s">
        <v>11623</v>
      </c>
      <c r="E713" s="144">
        <v>43809.0</v>
      </c>
      <c r="F713" s="50" t="s">
        <v>19997</v>
      </c>
      <c r="G713" s="50">
        <v>59.0</v>
      </c>
      <c r="H713" s="50">
        <v>1.0</v>
      </c>
      <c r="I713" s="50">
        <v>11.0</v>
      </c>
      <c r="J713" s="116"/>
      <c r="K713" s="116"/>
      <c r="L713" s="50" t="s">
        <v>1778</v>
      </c>
      <c r="M713" s="50" t="s">
        <v>1778</v>
      </c>
      <c r="N713" s="50">
        <v>1.0</v>
      </c>
      <c r="O713" s="50" t="s">
        <v>19910</v>
      </c>
      <c r="P713" s="116"/>
      <c r="Q713" s="116"/>
      <c r="R713" s="50">
        <v>5.0</v>
      </c>
      <c r="S713" s="50" t="s">
        <v>18057</v>
      </c>
      <c r="T713" s="117">
        <v>6134.0</v>
      </c>
      <c r="U713" s="50" t="s">
        <v>20002</v>
      </c>
      <c r="V713" s="50" t="s">
        <v>20003</v>
      </c>
      <c r="W713" s="117">
        <v>714.0</v>
      </c>
    </row>
    <row r="714">
      <c r="A714" s="50" t="s">
        <v>20005</v>
      </c>
      <c r="B714" s="50" t="s">
        <v>6876</v>
      </c>
      <c r="C714" s="50" t="s">
        <v>6877</v>
      </c>
      <c r="D714" s="50" t="s">
        <v>11623</v>
      </c>
      <c r="E714" s="144">
        <v>43812.0</v>
      </c>
      <c r="F714" s="50" t="s">
        <v>20008</v>
      </c>
      <c r="G714" s="50">
        <v>58.0</v>
      </c>
      <c r="H714" s="50">
        <v>1.0</v>
      </c>
      <c r="I714" s="50">
        <v>11.0</v>
      </c>
      <c r="J714" s="116"/>
      <c r="K714" s="116"/>
      <c r="L714" s="50" t="s">
        <v>1783</v>
      </c>
      <c r="M714" s="50" t="s">
        <v>1783</v>
      </c>
      <c r="N714" s="50">
        <v>1.0</v>
      </c>
      <c r="O714" s="50" t="s">
        <v>20009</v>
      </c>
      <c r="P714" s="116"/>
      <c r="Q714" s="116"/>
      <c r="R714" s="50">
        <v>5.0</v>
      </c>
      <c r="S714" s="50" t="s">
        <v>18057</v>
      </c>
      <c r="T714" s="117">
        <v>6291.0</v>
      </c>
      <c r="U714" s="50" t="s">
        <v>20011</v>
      </c>
      <c r="V714" s="50" t="s">
        <v>20015</v>
      </c>
      <c r="W714" s="117">
        <v>715.0</v>
      </c>
    </row>
    <row r="715">
      <c r="A715" s="50" t="s">
        <v>20008</v>
      </c>
      <c r="B715" s="50" t="s">
        <v>6876</v>
      </c>
      <c r="C715" s="50" t="s">
        <v>6877</v>
      </c>
      <c r="D715" s="50" t="s">
        <v>11623</v>
      </c>
      <c r="E715" s="144">
        <v>43812.0</v>
      </c>
      <c r="F715" s="50" t="s">
        <v>20017</v>
      </c>
      <c r="G715" s="50">
        <v>58.0</v>
      </c>
      <c r="H715" s="50">
        <v>1.0</v>
      </c>
      <c r="I715" s="50">
        <v>99.0</v>
      </c>
      <c r="J715" s="116"/>
      <c r="K715" s="116"/>
      <c r="L715" s="50" t="s">
        <v>1784</v>
      </c>
      <c r="M715" s="50" t="s">
        <v>1784</v>
      </c>
      <c r="N715" s="50">
        <v>1.0</v>
      </c>
      <c r="O715" s="50" t="s">
        <v>20009</v>
      </c>
      <c r="P715" s="116"/>
      <c r="Q715" s="50" t="s">
        <v>20018</v>
      </c>
      <c r="R715" s="50">
        <v>5.0</v>
      </c>
      <c r="S715" s="50" t="s">
        <v>18057</v>
      </c>
      <c r="T715" s="117">
        <v>6292.0</v>
      </c>
      <c r="U715" s="50" t="s">
        <v>20019</v>
      </c>
      <c r="V715" s="50" t="s">
        <v>20020</v>
      </c>
      <c r="W715" s="117">
        <v>716.0</v>
      </c>
    </row>
    <row r="716">
      <c r="A716" s="50" t="s">
        <v>20017</v>
      </c>
      <c r="B716" s="50" t="s">
        <v>6876</v>
      </c>
      <c r="C716" s="50" t="s">
        <v>6877</v>
      </c>
      <c r="D716" s="50" t="s">
        <v>11623</v>
      </c>
      <c r="E716" s="144">
        <v>43812.0</v>
      </c>
      <c r="F716" s="50" t="s">
        <v>20026</v>
      </c>
      <c r="G716" s="50">
        <v>59.0</v>
      </c>
      <c r="H716" s="50">
        <v>1.0</v>
      </c>
      <c r="I716" s="50">
        <v>11.0</v>
      </c>
      <c r="J716" s="116"/>
      <c r="K716" s="116"/>
      <c r="L716" s="50" t="s">
        <v>1786</v>
      </c>
      <c r="M716" s="50" t="s">
        <v>1786</v>
      </c>
      <c r="N716" s="50">
        <v>1.0</v>
      </c>
      <c r="O716" s="50" t="s">
        <v>20009</v>
      </c>
      <c r="P716" s="116"/>
      <c r="Q716" s="116"/>
      <c r="R716" s="50">
        <v>5.0</v>
      </c>
      <c r="S716" s="50" t="s">
        <v>18057</v>
      </c>
      <c r="T716" s="117">
        <v>6293.0</v>
      </c>
      <c r="U716" s="50" t="s">
        <v>20029</v>
      </c>
      <c r="V716" s="50" t="s">
        <v>20030</v>
      </c>
      <c r="W716" s="117">
        <v>717.0</v>
      </c>
    </row>
    <row r="717">
      <c r="A717" s="50" t="s">
        <v>20026</v>
      </c>
      <c r="B717" s="50" t="s">
        <v>6876</v>
      </c>
      <c r="C717" s="50" t="s">
        <v>6877</v>
      </c>
      <c r="D717" s="50" t="s">
        <v>11623</v>
      </c>
      <c r="E717" s="144">
        <v>43812.0</v>
      </c>
      <c r="F717" s="50" t="s">
        <v>20031</v>
      </c>
      <c r="G717" s="50">
        <v>59.0</v>
      </c>
      <c r="H717" s="50">
        <v>1.0</v>
      </c>
      <c r="I717" s="50">
        <v>11.0</v>
      </c>
      <c r="J717" s="116"/>
      <c r="K717" s="116"/>
      <c r="L717" s="50" t="s">
        <v>1789</v>
      </c>
      <c r="M717" s="50" t="s">
        <v>1789</v>
      </c>
      <c r="N717" s="50">
        <v>1.0</v>
      </c>
      <c r="O717" s="50" t="s">
        <v>20009</v>
      </c>
      <c r="P717" s="116"/>
      <c r="Q717" s="116"/>
      <c r="R717" s="50">
        <v>5.0</v>
      </c>
      <c r="S717" s="50" t="s">
        <v>18057</v>
      </c>
      <c r="T717" s="117">
        <v>6294.0</v>
      </c>
      <c r="U717" s="50" t="s">
        <v>20035</v>
      </c>
      <c r="V717" s="50" t="s">
        <v>20036</v>
      </c>
      <c r="W717" s="117">
        <v>718.0</v>
      </c>
    </row>
    <row r="718">
      <c r="A718" s="50" t="s">
        <v>20031</v>
      </c>
      <c r="B718" s="50" t="s">
        <v>6876</v>
      </c>
      <c r="C718" s="50" t="s">
        <v>6877</v>
      </c>
      <c r="D718" s="50" t="s">
        <v>11623</v>
      </c>
      <c r="E718" s="144">
        <v>43812.0</v>
      </c>
      <c r="F718" s="50" t="s">
        <v>20037</v>
      </c>
      <c r="G718" s="50">
        <v>59.0</v>
      </c>
      <c r="H718" s="50">
        <v>1.0</v>
      </c>
      <c r="I718" s="50">
        <v>11.0</v>
      </c>
      <c r="J718" s="116"/>
      <c r="K718" s="116"/>
      <c r="L718" s="50" t="s">
        <v>1792</v>
      </c>
      <c r="M718" s="50" t="s">
        <v>1792</v>
      </c>
      <c r="N718" s="50">
        <v>1.0</v>
      </c>
      <c r="O718" s="50" t="s">
        <v>20009</v>
      </c>
      <c r="P718" s="116"/>
      <c r="Q718" s="116"/>
      <c r="R718" s="50">
        <v>5.0</v>
      </c>
      <c r="S718" s="50" t="s">
        <v>18057</v>
      </c>
      <c r="T718" s="117">
        <v>6295.0</v>
      </c>
      <c r="U718" s="50" t="s">
        <v>20042</v>
      </c>
      <c r="V718" s="50" t="s">
        <v>20043</v>
      </c>
      <c r="W718" s="117">
        <v>719.0</v>
      </c>
    </row>
    <row r="719">
      <c r="A719" s="50" t="s">
        <v>20037</v>
      </c>
      <c r="B719" s="50" t="s">
        <v>6876</v>
      </c>
      <c r="C719" s="50" t="s">
        <v>6877</v>
      </c>
      <c r="D719" s="50" t="s">
        <v>11623</v>
      </c>
      <c r="E719" s="144">
        <v>43812.0</v>
      </c>
      <c r="F719" s="50" t="s">
        <v>20044</v>
      </c>
      <c r="G719" s="50">
        <v>56.0</v>
      </c>
      <c r="H719" s="50">
        <v>1.0</v>
      </c>
      <c r="I719" s="50">
        <v>12.0</v>
      </c>
      <c r="J719" s="116"/>
      <c r="K719" s="116"/>
      <c r="L719" s="50" t="s">
        <v>1797</v>
      </c>
      <c r="M719" s="50" t="s">
        <v>1797</v>
      </c>
      <c r="N719" s="50">
        <v>1.0</v>
      </c>
      <c r="O719" s="50" t="s">
        <v>20009</v>
      </c>
      <c r="P719" s="116"/>
      <c r="Q719" s="116"/>
      <c r="R719" s="50">
        <v>5.0</v>
      </c>
      <c r="S719" s="50" t="s">
        <v>18057</v>
      </c>
      <c r="T719" s="117">
        <v>6296.0</v>
      </c>
      <c r="U719" s="50" t="s">
        <v>20047</v>
      </c>
      <c r="V719" s="50" t="s">
        <v>20049</v>
      </c>
      <c r="W719" s="117">
        <v>720.0</v>
      </c>
    </row>
    <row r="720">
      <c r="A720" s="50" t="s">
        <v>20044</v>
      </c>
      <c r="B720" s="50" t="s">
        <v>6876</v>
      </c>
      <c r="C720" s="50" t="s">
        <v>6877</v>
      </c>
      <c r="D720" s="50" t="s">
        <v>11623</v>
      </c>
      <c r="E720" s="144">
        <v>43812.0</v>
      </c>
      <c r="F720" s="50" t="s">
        <v>20050</v>
      </c>
      <c r="G720" s="50">
        <v>55.0</v>
      </c>
      <c r="H720" s="50">
        <v>1.0</v>
      </c>
      <c r="I720" s="50">
        <v>12.0</v>
      </c>
      <c r="J720" s="116"/>
      <c r="K720" s="116"/>
      <c r="L720" s="50" t="s">
        <v>1800</v>
      </c>
      <c r="M720" s="50" t="s">
        <v>1800</v>
      </c>
      <c r="N720" s="50">
        <v>1.0</v>
      </c>
      <c r="O720" s="50" t="s">
        <v>20009</v>
      </c>
      <c r="P720" s="116"/>
      <c r="Q720" s="116"/>
      <c r="R720" s="50">
        <v>5.0</v>
      </c>
      <c r="S720" s="50" t="s">
        <v>18057</v>
      </c>
      <c r="T720" s="117">
        <v>6297.0</v>
      </c>
      <c r="U720" s="50" t="s">
        <v>20052</v>
      </c>
      <c r="V720" s="50" t="s">
        <v>20053</v>
      </c>
      <c r="W720" s="117">
        <v>721.0</v>
      </c>
    </row>
    <row r="721">
      <c r="A721" s="50" t="s">
        <v>20050</v>
      </c>
      <c r="B721" s="50" t="s">
        <v>6876</v>
      </c>
      <c r="C721" s="50" t="s">
        <v>6877</v>
      </c>
      <c r="D721" s="50" t="s">
        <v>11623</v>
      </c>
      <c r="E721" s="144">
        <v>43812.0</v>
      </c>
      <c r="F721" s="50" t="s">
        <v>20054</v>
      </c>
      <c r="G721" s="50">
        <v>59.0</v>
      </c>
      <c r="H721" s="50">
        <v>1.0</v>
      </c>
      <c r="I721" s="50">
        <v>11.0</v>
      </c>
      <c r="J721" s="116"/>
      <c r="K721" s="116"/>
      <c r="L721" s="51" t="s">
        <v>359</v>
      </c>
      <c r="M721" s="51" t="s">
        <v>359</v>
      </c>
      <c r="N721" s="50">
        <v>1.0</v>
      </c>
      <c r="O721" s="50" t="s">
        <v>20009</v>
      </c>
      <c r="P721" s="116"/>
      <c r="Q721" s="116"/>
      <c r="R721" s="50">
        <v>5.0</v>
      </c>
      <c r="S721" s="50" t="s">
        <v>18057</v>
      </c>
      <c r="T721" s="117">
        <v>6298.0</v>
      </c>
      <c r="U721" s="50" t="s">
        <v>20059</v>
      </c>
      <c r="V721" s="50" t="s">
        <v>20060</v>
      </c>
      <c r="W721" s="117">
        <v>722.0</v>
      </c>
    </row>
    <row r="722">
      <c r="A722" s="50" t="s">
        <v>20054</v>
      </c>
      <c r="B722" s="50" t="s">
        <v>6876</v>
      </c>
      <c r="C722" s="50" t="s">
        <v>6877</v>
      </c>
      <c r="D722" s="50" t="s">
        <v>11623</v>
      </c>
      <c r="E722" s="144">
        <v>43812.0</v>
      </c>
      <c r="F722" s="50" t="s">
        <v>20063</v>
      </c>
      <c r="G722" s="50">
        <v>59.0</v>
      </c>
      <c r="H722" s="50">
        <v>1.0</v>
      </c>
      <c r="I722" s="50">
        <v>11.0</v>
      </c>
      <c r="J722" s="116"/>
      <c r="K722" s="116"/>
      <c r="L722" s="51" t="s">
        <v>363</v>
      </c>
      <c r="M722" s="51" t="s">
        <v>363</v>
      </c>
      <c r="N722" s="50">
        <v>1.0</v>
      </c>
      <c r="O722" s="50" t="s">
        <v>20009</v>
      </c>
      <c r="P722" s="116"/>
      <c r="Q722" s="116"/>
      <c r="R722" s="50">
        <v>5.0</v>
      </c>
      <c r="S722" s="50" t="s">
        <v>18057</v>
      </c>
      <c r="T722" s="117">
        <v>6299.0</v>
      </c>
      <c r="U722" s="50" t="s">
        <v>20064</v>
      </c>
      <c r="V722" s="50" t="s">
        <v>20065</v>
      </c>
      <c r="W722" s="117">
        <v>723.0</v>
      </c>
    </row>
    <row r="723">
      <c r="A723" s="50" t="s">
        <v>20063</v>
      </c>
      <c r="B723" s="50" t="s">
        <v>6876</v>
      </c>
      <c r="C723" s="50" t="s">
        <v>6877</v>
      </c>
      <c r="D723" s="50" t="s">
        <v>11623</v>
      </c>
      <c r="E723" s="144">
        <v>43812.0</v>
      </c>
      <c r="F723" s="50" t="s">
        <v>20066</v>
      </c>
      <c r="G723" s="50">
        <v>59.0</v>
      </c>
      <c r="H723" s="50">
        <v>1.0</v>
      </c>
      <c r="I723" s="50">
        <v>11.0</v>
      </c>
      <c r="J723" s="116"/>
      <c r="K723" s="116"/>
      <c r="L723" s="50" t="s">
        <v>1807</v>
      </c>
      <c r="M723" s="50" t="s">
        <v>1807</v>
      </c>
      <c r="N723" s="50">
        <v>1.0</v>
      </c>
      <c r="O723" s="50" t="s">
        <v>20009</v>
      </c>
      <c r="P723" s="116"/>
      <c r="Q723" s="116"/>
      <c r="R723" s="50">
        <v>5.0</v>
      </c>
      <c r="S723" s="50" t="s">
        <v>18057</v>
      </c>
      <c r="T723" s="117">
        <v>6300.0</v>
      </c>
      <c r="U723" s="50" t="s">
        <v>20070</v>
      </c>
      <c r="V723" s="50" t="s">
        <v>20071</v>
      </c>
      <c r="W723" s="117">
        <v>724.0</v>
      </c>
    </row>
    <row r="724">
      <c r="A724" s="50" t="s">
        <v>20066</v>
      </c>
      <c r="B724" s="50" t="s">
        <v>6876</v>
      </c>
      <c r="C724" s="50" t="s">
        <v>6877</v>
      </c>
      <c r="D724" s="50" t="s">
        <v>11623</v>
      </c>
      <c r="E724" s="144">
        <v>43812.0</v>
      </c>
      <c r="F724" s="50" t="s">
        <v>20072</v>
      </c>
      <c r="G724" s="50">
        <v>59.0</v>
      </c>
      <c r="H724" s="50">
        <v>1.0</v>
      </c>
      <c r="I724" s="50">
        <v>99.0</v>
      </c>
      <c r="J724" s="116"/>
      <c r="K724" s="116"/>
      <c r="L724" s="50" t="s">
        <v>1808</v>
      </c>
      <c r="M724" s="50" t="s">
        <v>1808</v>
      </c>
      <c r="N724" s="50">
        <v>1.0</v>
      </c>
      <c r="O724" s="50" t="s">
        <v>20009</v>
      </c>
      <c r="P724" s="116"/>
      <c r="Q724" s="50" t="s">
        <v>20076</v>
      </c>
      <c r="R724" s="50">
        <v>5.0</v>
      </c>
      <c r="S724" s="50" t="s">
        <v>18057</v>
      </c>
      <c r="T724" s="117">
        <v>6301.0</v>
      </c>
      <c r="U724" s="50" t="s">
        <v>20078</v>
      </c>
      <c r="V724" s="50" t="s">
        <v>20079</v>
      </c>
      <c r="W724" s="117">
        <v>725.0</v>
      </c>
    </row>
    <row r="725">
      <c r="A725" s="50" t="s">
        <v>20072</v>
      </c>
      <c r="B725" s="50" t="s">
        <v>6876</v>
      </c>
      <c r="C725" s="50" t="s">
        <v>6877</v>
      </c>
      <c r="D725" s="50" t="s">
        <v>11623</v>
      </c>
      <c r="E725" s="144">
        <v>43812.0</v>
      </c>
      <c r="F725" s="50" t="s">
        <v>20082</v>
      </c>
      <c r="G725" s="50">
        <v>59.0</v>
      </c>
      <c r="H725" s="50">
        <v>1.0</v>
      </c>
      <c r="I725" s="50">
        <v>11.0</v>
      </c>
      <c r="J725" s="116"/>
      <c r="K725" s="116"/>
      <c r="L725" s="50" t="s">
        <v>1810</v>
      </c>
      <c r="M725" s="50" t="s">
        <v>1810</v>
      </c>
      <c r="N725" s="50">
        <v>1.0</v>
      </c>
      <c r="O725" s="50" t="s">
        <v>20009</v>
      </c>
      <c r="P725" s="116"/>
      <c r="Q725" s="116"/>
      <c r="R725" s="50">
        <v>5.0</v>
      </c>
      <c r="S725" s="50" t="s">
        <v>18057</v>
      </c>
      <c r="T725" s="117">
        <v>6302.0</v>
      </c>
      <c r="U725" s="50" t="s">
        <v>20084</v>
      </c>
      <c r="V725" s="50" t="s">
        <v>20085</v>
      </c>
      <c r="W725" s="117">
        <v>726.0</v>
      </c>
    </row>
    <row r="726">
      <c r="A726" s="50" t="s">
        <v>20082</v>
      </c>
      <c r="B726" s="50" t="s">
        <v>6876</v>
      </c>
      <c r="C726" s="50" t="s">
        <v>6877</v>
      </c>
      <c r="D726" s="50" t="s">
        <v>11623</v>
      </c>
      <c r="E726" s="144">
        <v>43812.0</v>
      </c>
      <c r="F726" s="50" t="s">
        <v>20086</v>
      </c>
      <c r="G726" s="50">
        <v>59.0</v>
      </c>
      <c r="H726" s="50">
        <v>1.0</v>
      </c>
      <c r="I726" s="50">
        <v>98.0</v>
      </c>
      <c r="J726" s="116"/>
      <c r="K726" s="116"/>
      <c r="L726" s="50" t="s">
        <v>1815</v>
      </c>
      <c r="M726" s="50" t="s">
        <v>1815</v>
      </c>
      <c r="N726" s="50">
        <v>1.0</v>
      </c>
      <c r="O726" s="50" t="s">
        <v>20009</v>
      </c>
      <c r="P726" s="116"/>
      <c r="Q726" s="116"/>
      <c r="R726" s="50">
        <v>5.0</v>
      </c>
      <c r="S726" s="50" t="s">
        <v>18057</v>
      </c>
      <c r="T726" s="117">
        <v>6303.0</v>
      </c>
      <c r="U726" s="50" t="s">
        <v>20087</v>
      </c>
      <c r="V726" s="50" t="s">
        <v>20088</v>
      </c>
      <c r="W726" s="117">
        <v>727.0</v>
      </c>
    </row>
    <row r="727">
      <c r="A727" s="50" t="s">
        <v>20086</v>
      </c>
      <c r="B727" s="50" t="s">
        <v>6876</v>
      </c>
      <c r="C727" s="50" t="s">
        <v>6877</v>
      </c>
      <c r="D727" s="50" t="s">
        <v>11623</v>
      </c>
      <c r="E727" s="144">
        <v>43812.0</v>
      </c>
      <c r="F727" s="50" t="s">
        <v>20089</v>
      </c>
      <c r="G727" s="50">
        <v>59.0</v>
      </c>
      <c r="H727" s="50">
        <v>1.0</v>
      </c>
      <c r="I727" s="50">
        <v>16.0</v>
      </c>
      <c r="J727" s="116"/>
      <c r="K727" s="116"/>
      <c r="L727" s="50" t="s">
        <v>1816</v>
      </c>
      <c r="M727" s="50" t="s">
        <v>1816</v>
      </c>
      <c r="N727" s="50">
        <v>1.0</v>
      </c>
      <c r="O727" s="50" t="s">
        <v>20090</v>
      </c>
      <c r="P727" s="116"/>
      <c r="Q727" s="116"/>
      <c r="R727" s="50">
        <v>5.0</v>
      </c>
      <c r="S727" s="50" t="s">
        <v>18057</v>
      </c>
      <c r="T727" s="117">
        <v>6304.0</v>
      </c>
      <c r="U727" s="50" t="s">
        <v>20096</v>
      </c>
      <c r="V727" s="50" t="s">
        <v>20097</v>
      </c>
      <c r="W727" s="117">
        <v>728.0</v>
      </c>
    </row>
    <row r="728">
      <c r="A728" s="50" t="s">
        <v>20099</v>
      </c>
      <c r="B728" s="50" t="s">
        <v>6876</v>
      </c>
      <c r="C728" s="50" t="s">
        <v>6877</v>
      </c>
      <c r="D728" s="50" t="s">
        <v>11623</v>
      </c>
      <c r="E728" s="144">
        <v>43812.0</v>
      </c>
      <c r="F728" s="50" t="s">
        <v>20100</v>
      </c>
      <c r="G728" s="50">
        <v>59.0</v>
      </c>
      <c r="H728" s="50">
        <v>1.0</v>
      </c>
      <c r="I728" s="50">
        <v>16.0</v>
      </c>
      <c r="J728" s="116"/>
      <c r="K728" s="116"/>
      <c r="L728" s="50" t="s">
        <v>1817</v>
      </c>
      <c r="M728" s="50" t="s">
        <v>1817</v>
      </c>
      <c r="N728" s="50">
        <v>1.0</v>
      </c>
      <c r="O728" s="50" t="s">
        <v>20090</v>
      </c>
      <c r="P728" s="116"/>
      <c r="Q728" s="116"/>
      <c r="R728" s="50">
        <v>5.0</v>
      </c>
      <c r="S728" s="50" t="s">
        <v>18057</v>
      </c>
      <c r="T728" s="117">
        <v>6305.0</v>
      </c>
      <c r="U728" s="50" t="s">
        <v>20102</v>
      </c>
      <c r="V728" s="50" t="s">
        <v>20103</v>
      </c>
      <c r="W728" s="117">
        <v>729.0</v>
      </c>
    </row>
    <row r="729">
      <c r="A729" s="50" t="s">
        <v>20104</v>
      </c>
      <c r="B729" s="50" t="s">
        <v>6876</v>
      </c>
      <c r="C729" s="50" t="s">
        <v>6877</v>
      </c>
      <c r="D729" s="50" t="s">
        <v>11623</v>
      </c>
      <c r="E729" s="144">
        <v>43817.0</v>
      </c>
      <c r="F729" s="50" t="s">
        <v>20105</v>
      </c>
      <c r="G729" s="50">
        <v>59.0</v>
      </c>
      <c r="H729" s="50">
        <v>1.0</v>
      </c>
      <c r="I729" s="50">
        <v>98.0</v>
      </c>
      <c r="J729" s="116"/>
      <c r="K729" s="116"/>
      <c r="L729" s="50" t="s">
        <v>1820</v>
      </c>
      <c r="M729" s="50" t="s">
        <v>1820</v>
      </c>
      <c r="N729" s="50">
        <v>1.0</v>
      </c>
      <c r="O729" s="50" t="s">
        <v>20090</v>
      </c>
      <c r="P729" s="116"/>
      <c r="Q729" s="116"/>
      <c r="R729" s="50">
        <v>5.0</v>
      </c>
      <c r="S729" s="50" t="s">
        <v>18057</v>
      </c>
      <c r="T729" s="117">
        <v>6443.0</v>
      </c>
      <c r="U729" s="50" t="s">
        <v>20109</v>
      </c>
      <c r="V729" s="50" t="s">
        <v>20110</v>
      </c>
      <c r="W729" s="117">
        <v>730.0</v>
      </c>
    </row>
    <row r="730">
      <c r="A730" s="50" t="s">
        <v>20105</v>
      </c>
      <c r="B730" s="50" t="s">
        <v>6876</v>
      </c>
      <c r="C730" s="50" t="s">
        <v>6877</v>
      </c>
      <c r="D730" s="50" t="s">
        <v>11623</v>
      </c>
      <c r="E730" s="144">
        <v>43817.0</v>
      </c>
      <c r="F730" s="50" t="s">
        <v>20112</v>
      </c>
      <c r="G730" s="50">
        <v>58.0</v>
      </c>
      <c r="H730" s="50">
        <v>1.0</v>
      </c>
      <c r="I730" s="50">
        <v>11.0</v>
      </c>
      <c r="J730" s="116"/>
      <c r="K730" s="116"/>
      <c r="L730" s="50" t="s">
        <v>1821</v>
      </c>
      <c r="M730" s="50" t="s">
        <v>1821</v>
      </c>
      <c r="N730" s="50">
        <v>1.0</v>
      </c>
      <c r="O730" s="50" t="s">
        <v>20117</v>
      </c>
      <c r="P730" s="116"/>
      <c r="Q730" s="116"/>
      <c r="R730" s="50">
        <v>5.0</v>
      </c>
      <c r="S730" s="50" t="s">
        <v>18057</v>
      </c>
      <c r="T730" s="117">
        <v>6444.0</v>
      </c>
      <c r="U730" s="50" t="s">
        <v>20118</v>
      </c>
      <c r="V730" s="50" t="s">
        <v>20119</v>
      </c>
      <c r="W730" s="117">
        <v>731.0</v>
      </c>
    </row>
    <row r="731">
      <c r="A731" s="50" t="s">
        <v>20112</v>
      </c>
      <c r="B731" s="50" t="s">
        <v>6876</v>
      </c>
      <c r="C731" s="50" t="s">
        <v>6877</v>
      </c>
      <c r="D731" s="50" t="s">
        <v>11623</v>
      </c>
      <c r="E731" s="144">
        <v>43817.0</v>
      </c>
      <c r="F731" s="50" t="s">
        <v>20120</v>
      </c>
      <c r="G731" s="50">
        <v>59.0</v>
      </c>
      <c r="H731" s="50">
        <v>1.0</v>
      </c>
      <c r="I731" s="50">
        <v>11.0</v>
      </c>
      <c r="J731" s="116"/>
      <c r="K731" s="116"/>
      <c r="L731" s="50" t="s">
        <v>1824</v>
      </c>
      <c r="M731" s="50" t="s">
        <v>1824</v>
      </c>
      <c r="N731" s="50">
        <v>1.0</v>
      </c>
      <c r="O731" s="50" t="s">
        <v>20117</v>
      </c>
      <c r="P731" s="116"/>
      <c r="Q731" s="116"/>
      <c r="R731" s="50">
        <v>5.0</v>
      </c>
      <c r="S731" s="50" t="s">
        <v>18057</v>
      </c>
      <c r="T731" s="117">
        <v>6445.0</v>
      </c>
      <c r="U731" s="50" t="s">
        <v>20123</v>
      </c>
      <c r="V731" s="50" t="s">
        <v>20124</v>
      </c>
      <c r="W731" s="117">
        <v>732.0</v>
      </c>
    </row>
    <row r="732">
      <c r="A732" s="50" t="s">
        <v>20120</v>
      </c>
      <c r="B732" s="50" t="s">
        <v>6876</v>
      </c>
      <c r="C732" s="50" t="s">
        <v>6877</v>
      </c>
      <c r="D732" s="50" t="s">
        <v>11623</v>
      </c>
      <c r="E732" s="144">
        <v>43817.0</v>
      </c>
      <c r="F732" s="50" t="s">
        <v>20126</v>
      </c>
      <c r="G732" s="50">
        <v>59.0</v>
      </c>
      <c r="H732" s="50">
        <v>1.0</v>
      </c>
      <c r="I732" s="50">
        <v>11.0</v>
      </c>
      <c r="J732" s="116"/>
      <c r="K732" s="116"/>
      <c r="L732" s="50" t="s">
        <v>1827</v>
      </c>
      <c r="M732" s="50" t="s">
        <v>1827</v>
      </c>
      <c r="N732" s="50">
        <v>1.0</v>
      </c>
      <c r="O732" s="50" t="s">
        <v>20117</v>
      </c>
      <c r="P732" s="116"/>
      <c r="Q732" s="116"/>
      <c r="R732" s="50">
        <v>5.0</v>
      </c>
      <c r="S732" s="50" t="s">
        <v>18057</v>
      </c>
      <c r="T732" s="117">
        <v>6446.0</v>
      </c>
      <c r="U732" s="50" t="s">
        <v>20127</v>
      </c>
      <c r="V732" s="50" t="s">
        <v>20128</v>
      </c>
      <c r="W732" s="117">
        <v>733.0</v>
      </c>
    </row>
    <row r="733">
      <c r="A733" s="50" t="s">
        <v>20129</v>
      </c>
      <c r="B733" s="50" t="s">
        <v>6876</v>
      </c>
      <c r="C733" s="50" t="s">
        <v>6877</v>
      </c>
      <c r="D733" s="50" t="s">
        <v>11623</v>
      </c>
      <c r="E733" s="144">
        <v>43817.0</v>
      </c>
      <c r="F733" s="50" t="s">
        <v>20130</v>
      </c>
      <c r="G733" s="50">
        <v>59.0</v>
      </c>
      <c r="H733" s="50">
        <v>1.0</v>
      </c>
      <c r="I733" s="50">
        <v>11.0</v>
      </c>
      <c r="J733" s="116"/>
      <c r="K733" s="116"/>
      <c r="L733" s="50" t="s">
        <v>1830</v>
      </c>
      <c r="M733" s="50" t="s">
        <v>1830</v>
      </c>
      <c r="N733" s="50">
        <v>1.0</v>
      </c>
      <c r="O733" s="50" t="s">
        <v>20117</v>
      </c>
      <c r="P733" s="116"/>
      <c r="Q733" s="116"/>
      <c r="R733" s="50">
        <v>5.0</v>
      </c>
      <c r="S733" s="50" t="s">
        <v>18057</v>
      </c>
      <c r="T733" s="117">
        <v>6447.0</v>
      </c>
      <c r="U733" s="50" t="s">
        <v>20137</v>
      </c>
      <c r="V733" s="50" t="s">
        <v>20138</v>
      </c>
      <c r="W733" s="117">
        <v>734.0</v>
      </c>
    </row>
    <row r="734">
      <c r="A734" s="50" t="s">
        <v>20130</v>
      </c>
      <c r="B734" s="50" t="s">
        <v>6876</v>
      </c>
      <c r="C734" s="50" t="s">
        <v>6877</v>
      </c>
      <c r="D734" s="50" t="s">
        <v>11623</v>
      </c>
      <c r="E734" s="144">
        <v>43817.0</v>
      </c>
      <c r="F734" s="50" t="s">
        <v>20141</v>
      </c>
      <c r="G734" s="50">
        <v>59.0</v>
      </c>
      <c r="H734" s="50">
        <v>1.0</v>
      </c>
      <c r="I734" s="50">
        <v>11.0</v>
      </c>
      <c r="J734" s="116"/>
      <c r="K734" s="116"/>
      <c r="L734" s="50" t="s">
        <v>1834</v>
      </c>
      <c r="M734" s="50" t="s">
        <v>1834</v>
      </c>
      <c r="N734" s="50">
        <v>1.0</v>
      </c>
      <c r="O734" s="50" t="s">
        <v>20117</v>
      </c>
      <c r="P734" s="116"/>
      <c r="Q734" s="116"/>
      <c r="R734" s="50">
        <v>5.0</v>
      </c>
      <c r="S734" s="50" t="s">
        <v>18057</v>
      </c>
      <c r="T734" s="117">
        <v>6448.0</v>
      </c>
      <c r="U734" s="50" t="s">
        <v>20142</v>
      </c>
      <c r="V734" s="50" t="s">
        <v>20143</v>
      </c>
      <c r="W734" s="117">
        <v>735.0</v>
      </c>
    </row>
    <row r="735">
      <c r="A735" s="50" t="s">
        <v>20141</v>
      </c>
      <c r="B735" s="50" t="s">
        <v>6876</v>
      </c>
      <c r="C735" s="50" t="s">
        <v>6877</v>
      </c>
      <c r="D735" s="50" t="s">
        <v>11623</v>
      </c>
      <c r="E735" s="144">
        <v>43817.0</v>
      </c>
      <c r="F735" s="50" t="s">
        <v>20144</v>
      </c>
      <c r="G735" s="50">
        <v>59.0</v>
      </c>
      <c r="H735" s="50">
        <v>1.0</v>
      </c>
      <c r="I735" s="50">
        <v>99.0</v>
      </c>
      <c r="J735" s="116"/>
      <c r="K735" s="116"/>
      <c r="L735" s="50" t="s">
        <v>1835</v>
      </c>
      <c r="M735" s="50" t="s">
        <v>1835</v>
      </c>
      <c r="N735" s="50">
        <v>1.0</v>
      </c>
      <c r="O735" s="50" t="s">
        <v>20117</v>
      </c>
      <c r="P735" s="116"/>
      <c r="Q735" s="50" t="s">
        <v>20145</v>
      </c>
      <c r="R735" s="50">
        <v>5.0</v>
      </c>
      <c r="S735" s="50" t="s">
        <v>18057</v>
      </c>
      <c r="T735" s="117">
        <v>6449.0</v>
      </c>
      <c r="U735" s="50" t="s">
        <v>20146</v>
      </c>
      <c r="V735" s="50" t="s">
        <v>20147</v>
      </c>
      <c r="W735" s="117">
        <v>736.0</v>
      </c>
    </row>
    <row r="736">
      <c r="A736" s="50" t="s">
        <v>20144</v>
      </c>
      <c r="B736" s="50" t="s">
        <v>6876</v>
      </c>
      <c r="C736" s="50" t="s">
        <v>6877</v>
      </c>
      <c r="D736" s="50" t="s">
        <v>11623</v>
      </c>
      <c r="E736" s="144">
        <v>43817.0</v>
      </c>
      <c r="F736" s="50" t="s">
        <v>20148</v>
      </c>
      <c r="G736" s="50">
        <v>66.0</v>
      </c>
      <c r="H736" s="50">
        <v>1.0</v>
      </c>
      <c r="I736" s="50">
        <v>12.0</v>
      </c>
      <c r="J736" s="116"/>
      <c r="K736" s="116"/>
      <c r="L736" s="50" t="s">
        <v>1837</v>
      </c>
      <c r="M736" s="50" t="s">
        <v>1837</v>
      </c>
      <c r="N736" s="50">
        <v>1.0</v>
      </c>
      <c r="O736" s="50" t="s">
        <v>20117</v>
      </c>
      <c r="P736" s="116"/>
      <c r="Q736" s="116"/>
      <c r="R736" s="50">
        <v>5.0</v>
      </c>
      <c r="S736" s="50" t="s">
        <v>18057</v>
      </c>
      <c r="T736" s="117">
        <v>6450.0</v>
      </c>
      <c r="U736" s="50" t="s">
        <v>20153</v>
      </c>
      <c r="V736" s="50" t="s">
        <v>20156</v>
      </c>
      <c r="W736" s="117">
        <v>737.0</v>
      </c>
    </row>
    <row r="737">
      <c r="A737" s="50" t="s">
        <v>20148</v>
      </c>
      <c r="B737" s="50" t="s">
        <v>6876</v>
      </c>
      <c r="C737" s="50" t="s">
        <v>6877</v>
      </c>
      <c r="D737" s="50" t="s">
        <v>11623</v>
      </c>
      <c r="E737" s="144">
        <v>43817.0</v>
      </c>
      <c r="F737" s="50" t="s">
        <v>20158</v>
      </c>
      <c r="G737" s="50">
        <v>59.0</v>
      </c>
      <c r="H737" s="50">
        <v>1.0</v>
      </c>
      <c r="I737" s="50">
        <v>12.0</v>
      </c>
      <c r="J737" s="116"/>
      <c r="K737" s="116"/>
      <c r="L737" s="50" t="s">
        <v>1840</v>
      </c>
      <c r="M737" s="50" t="s">
        <v>1840</v>
      </c>
      <c r="N737" s="50">
        <v>1.0</v>
      </c>
      <c r="O737" s="50" t="s">
        <v>20117</v>
      </c>
      <c r="P737" s="116"/>
      <c r="Q737" s="116"/>
      <c r="R737" s="50">
        <v>5.0</v>
      </c>
      <c r="S737" s="50" t="s">
        <v>18057</v>
      </c>
      <c r="T737" s="117">
        <v>6451.0</v>
      </c>
      <c r="U737" s="50" t="s">
        <v>20159</v>
      </c>
      <c r="V737" s="50" t="s">
        <v>20160</v>
      </c>
      <c r="W737" s="117">
        <v>738.0</v>
      </c>
    </row>
    <row r="738">
      <c r="A738" s="50" t="s">
        <v>20158</v>
      </c>
      <c r="B738" s="50" t="s">
        <v>6876</v>
      </c>
      <c r="C738" s="50" t="s">
        <v>6877</v>
      </c>
      <c r="D738" s="50" t="s">
        <v>11623</v>
      </c>
      <c r="E738" s="144">
        <v>43817.0</v>
      </c>
      <c r="F738" s="50" t="s">
        <v>20161</v>
      </c>
      <c r="G738" s="50">
        <v>59.0</v>
      </c>
      <c r="H738" s="50">
        <v>1.0</v>
      </c>
      <c r="I738" s="50">
        <v>11.0</v>
      </c>
      <c r="J738" s="116"/>
      <c r="K738" s="116"/>
      <c r="L738" s="50" t="s">
        <v>1845</v>
      </c>
      <c r="M738" s="50" t="s">
        <v>1845</v>
      </c>
      <c r="N738" s="50">
        <v>1.0</v>
      </c>
      <c r="O738" s="50" t="s">
        <v>20117</v>
      </c>
      <c r="P738" s="116"/>
      <c r="Q738" s="116"/>
      <c r="R738" s="50">
        <v>5.0</v>
      </c>
      <c r="S738" s="50" t="s">
        <v>18057</v>
      </c>
      <c r="T738" s="117">
        <v>6452.0</v>
      </c>
      <c r="U738" s="50" t="s">
        <v>20164</v>
      </c>
      <c r="V738" s="50" t="s">
        <v>20165</v>
      </c>
      <c r="W738" s="117">
        <v>739.0</v>
      </c>
    </row>
    <row r="739">
      <c r="A739" s="50" t="s">
        <v>20161</v>
      </c>
      <c r="B739" s="50" t="s">
        <v>6876</v>
      </c>
      <c r="C739" s="50" t="s">
        <v>6877</v>
      </c>
      <c r="D739" s="50" t="s">
        <v>11623</v>
      </c>
      <c r="E739" s="144">
        <v>43817.0</v>
      </c>
      <c r="F739" s="50" t="s">
        <v>20167</v>
      </c>
      <c r="G739" s="50">
        <v>59.0</v>
      </c>
      <c r="H739" s="50">
        <v>1.0</v>
      </c>
      <c r="I739" s="50">
        <v>99.0</v>
      </c>
      <c r="J739" s="116"/>
      <c r="K739" s="116"/>
      <c r="L739" s="50" t="s">
        <v>1846</v>
      </c>
      <c r="M739" s="50" t="s">
        <v>1846</v>
      </c>
      <c r="N739" s="50">
        <v>1.0</v>
      </c>
      <c r="O739" s="50" t="s">
        <v>20117</v>
      </c>
      <c r="P739" s="116"/>
      <c r="Q739" s="50" t="s">
        <v>20168</v>
      </c>
      <c r="R739" s="50">
        <v>5.0</v>
      </c>
      <c r="S739" s="50" t="s">
        <v>18057</v>
      </c>
      <c r="T739" s="117">
        <v>6453.0</v>
      </c>
      <c r="U739" s="50" t="s">
        <v>20171</v>
      </c>
      <c r="V739" s="50" t="s">
        <v>20173</v>
      </c>
      <c r="W739" s="117">
        <v>740.0</v>
      </c>
    </row>
    <row r="740">
      <c r="A740" s="50" t="s">
        <v>20167</v>
      </c>
      <c r="B740" s="50" t="s">
        <v>6876</v>
      </c>
      <c r="C740" s="50" t="s">
        <v>6877</v>
      </c>
      <c r="D740" s="50" t="s">
        <v>11623</v>
      </c>
      <c r="E740" s="144">
        <v>43817.0</v>
      </c>
      <c r="F740" s="50" t="s">
        <v>20175</v>
      </c>
      <c r="G740" s="50">
        <v>59.0</v>
      </c>
      <c r="H740" s="50">
        <v>1.0</v>
      </c>
      <c r="I740" s="50">
        <v>11.0</v>
      </c>
      <c r="J740" s="116"/>
      <c r="K740" s="116"/>
      <c r="L740" s="50" t="s">
        <v>1848</v>
      </c>
      <c r="M740" s="50" t="s">
        <v>1848</v>
      </c>
      <c r="N740" s="50">
        <v>1.0</v>
      </c>
      <c r="O740" s="50" t="s">
        <v>20117</v>
      </c>
      <c r="P740" s="116"/>
      <c r="Q740" s="116"/>
      <c r="R740" s="50">
        <v>5.0</v>
      </c>
      <c r="S740" s="50" t="s">
        <v>18057</v>
      </c>
      <c r="T740" s="117">
        <v>6454.0</v>
      </c>
      <c r="U740" s="50" t="s">
        <v>20178</v>
      </c>
      <c r="V740" s="50" t="s">
        <v>20179</v>
      </c>
      <c r="W740" s="117">
        <v>741.0</v>
      </c>
    </row>
    <row r="741">
      <c r="A741" s="50" t="s">
        <v>20175</v>
      </c>
      <c r="B741" s="50" t="s">
        <v>6876</v>
      </c>
      <c r="C741" s="50" t="s">
        <v>6877</v>
      </c>
      <c r="D741" s="50" t="s">
        <v>11623</v>
      </c>
      <c r="E741" s="144">
        <v>43817.0</v>
      </c>
      <c r="F741" s="50" t="s">
        <v>20181</v>
      </c>
      <c r="G741" s="50">
        <v>59.0</v>
      </c>
      <c r="H741" s="50">
        <v>1.0</v>
      </c>
      <c r="I741" s="50">
        <v>11.0</v>
      </c>
      <c r="J741" s="116"/>
      <c r="K741" s="116"/>
      <c r="L741" s="50" t="s">
        <v>1851</v>
      </c>
      <c r="M741" s="50" t="s">
        <v>1851</v>
      </c>
      <c r="N741" s="50">
        <v>1.0</v>
      </c>
      <c r="O741" s="50" t="s">
        <v>20117</v>
      </c>
      <c r="P741" s="116"/>
      <c r="Q741" s="116"/>
      <c r="R741" s="50">
        <v>5.0</v>
      </c>
      <c r="S741" s="50" t="s">
        <v>18057</v>
      </c>
      <c r="T741" s="117">
        <v>6455.0</v>
      </c>
      <c r="U741" s="50" t="s">
        <v>20182</v>
      </c>
      <c r="V741" s="50" t="s">
        <v>20183</v>
      </c>
      <c r="W741" s="117">
        <v>742.0</v>
      </c>
    </row>
    <row r="742">
      <c r="A742" s="50" t="s">
        <v>20181</v>
      </c>
      <c r="B742" s="50" t="s">
        <v>6876</v>
      </c>
      <c r="C742" s="50" t="s">
        <v>6877</v>
      </c>
      <c r="D742" s="50" t="s">
        <v>11623</v>
      </c>
      <c r="E742" s="144">
        <v>43817.0</v>
      </c>
      <c r="F742" s="50" t="s">
        <v>20191</v>
      </c>
      <c r="G742" s="50">
        <v>59.0</v>
      </c>
      <c r="H742" s="50">
        <v>1.0</v>
      </c>
      <c r="I742" s="50">
        <v>11.0</v>
      </c>
      <c r="J742" s="116"/>
      <c r="K742" s="116"/>
      <c r="L742" s="50" t="s">
        <v>1854</v>
      </c>
      <c r="M742" s="50" t="s">
        <v>1854</v>
      </c>
      <c r="N742" s="50">
        <v>1.0</v>
      </c>
      <c r="O742" s="50" t="s">
        <v>20117</v>
      </c>
      <c r="P742" s="116"/>
      <c r="Q742" s="116"/>
      <c r="R742" s="50">
        <v>5.0</v>
      </c>
      <c r="S742" s="50" t="s">
        <v>18057</v>
      </c>
      <c r="T742" s="117">
        <v>6456.0</v>
      </c>
      <c r="U742" s="50" t="s">
        <v>20194</v>
      </c>
      <c r="V742" s="50" t="s">
        <v>20195</v>
      </c>
      <c r="W742" s="117">
        <v>743.0</v>
      </c>
    </row>
    <row r="743">
      <c r="A743" s="50" t="s">
        <v>20191</v>
      </c>
      <c r="B743" s="50" t="s">
        <v>6876</v>
      </c>
      <c r="C743" s="50" t="s">
        <v>6877</v>
      </c>
      <c r="D743" s="50" t="s">
        <v>11623</v>
      </c>
      <c r="E743" s="144">
        <v>43817.0</v>
      </c>
      <c r="F743" s="50" t="s">
        <v>20197</v>
      </c>
      <c r="G743" s="50">
        <v>59.0</v>
      </c>
      <c r="H743" s="50">
        <v>1.0</v>
      </c>
      <c r="I743" s="50">
        <v>98.0</v>
      </c>
      <c r="J743" s="116"/>
      <c r="K743" s="116"/>
      <c r="L743" s="50" t="s">
        <v>1859</v>
      </c>
      <c r="M743" s="50" t="s">
        <v>1859</v>
      </c>
      <c r="N743" s="50">
        <v>1.0</v>
      </c>
      <c r="O743" s="50" t="s">
        <v>20117</v>
      </c>
      <c r="P743" s="116"/>
      <c r="Q743" s="116"/>
      <c r="R743" s="50">
        <v>5.0</v>
      </c>
      <c r="S743" s="50" t="s">
        <v>18057</v>
      </c>
      <c r="T743" s="117">
        <v>6457.0</v>
      </c>
      <c r="U743" s="50" t="s">
        <v>20203</v>
      </c>
      <c r="V743" s="50" t="s">
        <v>20204</v>
      </c>
      <c r="W743" s="117">
        <v>744.0</v>
      </c>
    </row>
    <row r="744">
      <c r="A744" s="50" t="s">
        <v>20197</v>
      </c>
      <c r="B744" s="50" t="s">
        <v>6876</v>
      </c>
      <c r="C744" s="50" t="s">
        <v>6877</v>
      </c>
      <c r="D744" s="50" t="s">
        <v>11623</v>
      </c>
      <c r="E744" s="144">
        <v>43817.0</v>
      </c>
      <c r="F744" s="50" t="s">
        <v>20206</v>
      </c>
      <c r="G744" s="50">
        <v>59.0</v>
      </c>
      <c r="H744" s="50">
        <v>1.0</v>
      </c>
      <c r="I744" s="50">
        <v>16.0</v>
      </c>
      <c r="J744" s="116"/>
      <c r="K744" s="116"/>
      <c r="L744" s="50" t="s">
        <v>1818</v>
      </c>
      <c r="M744" s="50" t="s">
        <v>1818</v>
      </c>
      <c r="N744" s="50">
        <v>1.0</v>
      </c>
      <c r="O744" s="50" t="s">
        <v>20117</v>
      </c>
      <c r="P744" s="116"/>
      <c r="Q744" s="116"/>
      <c r="R744" s="50">
        <v>5.0</v>
      </c>
      <c r="S744" s="50" t="s">
        <v>18057</v>
      </c>
      <c r="T744" s="117">
        <v>6458.0</v>
      </c>
      <c r="U744" s="50" t="s">
        <v>20209</v>
      </c>
      <c r="V744" s="50" t="s">
        <v>20211</v>
      </c>
      <c r="W744" s="117">
        <v>745.0</v>
      </c>
    </row>
    <row r="745">
      <c r="A745" s="74" t="s">
        <v>20212</v>
      </c>
      <c r="B745" s="74" t="s">
        <v>6876</v>
      </c>
      <c r="C745" s="74" t="s">
        <v>6877</v>
      </c>
      <c r="D745" s="74" t="s">
        <v>8493</v>
      </c>
      <c r="E745" s="146">
        <v>43832.0</v>
      </c>
      <c r="F745" s="74" t="s">
        <v>20213</v>
      </c>
      <c r="G745" s="74">
        <v>59.0</v>
      </c>
      <c r="H745" s="74">
        <v>1.0</v>
      </c>
      <c r="I745" s="74">
        <v>11.0</v>
      </c>
      <c r="J745" s="119"/>
      <c r="K745" s="119"/>
      <c r="L745" s="74" t="s">
        <v>1872</v>
      </c>
      <c r="M745" s="74" t="s">
        <v>1872</v>
      </c>
      <c r="N745" s="74">
        <v>1.0</v>
      </c>
      <c r="O745" s="74" t="s">
        <v>20217</v>
      </c>
      <c r="P745" s="119"/>
      <c r="Q745" s="119"/>
      <c r="R745" s="74">
        <v>5.0</v>
      </c>
      <c r="S745" s="74" t="s">
        <v>18057</v>
      </c>
      <c r="T745" s="120">
        <v>6876.0</v>
      </c>
      <c r="U745" s="74" t="s">
        <v>20221</v>
      </c>
      <c r="V745" s="74" t="s">
        <v>20222</v>
      </c>
      <c r="W745" s="120">
        <v>746.0</v>
      </c>
    </row>
    <row r="746">
      <c r="A746" s="74" t="s">
        <v>20213</v>
      </c>
      <c r="B746" s="74" t="s">
        <v>6876</v>
      </c>
      <c r="C746" s="74" t="s">
        <v>6877</v>
      </c>
      <c r="D746" s="74" t="s">
        <v>8493</v>
      </c>
      <c r="E746" s="146">
        <v>43832.0</v>
      </c>
      <c r="F746" s="74" t="s">
        <v>20224</v>
      </c>
      <c r="G746" s="74">
        <v>59.0</v>
      </c>
      <c r="H746" s="74">
        <v>1.0</v>
      </c>
      <c r="I746" s="74">
        <v>11.0</v>
      </c>
      <c r="J746" s="119"/>
      <c r="K746" s="119"/>
      <c r="L746" s="74" t="s">
        <v>1863</v>
      </c>
      <c r="M746" s="74" t="s">
        <v>1863</v>
      </c>
      <c r="N746" s="74">
        <v>1.0</v>
      </c>
      <c r="O746" s="74" t="s">
        <v>20217</v>
      </c>
      <c r="P746" s="119"/>
      <c r="Q746" s="119"/>
      <c r="R746" s="74">
        <v>5.0</v>
      </c>
      <c r="S746" s="74" t="s">
        <v>18057</v>
      </c>
      <c r="T746" s="120">
        <v>6877.0</v>
      </c>
      <c r="U746" s="74" t="s">
        <v>20225</v>
      </c>
      <c r="V746" s="74" t="s">
        <v>20226</v>
      </c>
      <c r="W746" s="120">
        <v>747.0</v>
      </c>
    </row>
    <row r="747">
      <c r="A747" s="74" t="s">
        <v>20224</v>
      </c>
      <c r="B747" s="74" t="s">
        <v>6876</v>
      </c>
      <c r="C747" s="74" t="s">
        <v>6877</v>
      </c>
      <c r="D747" s="74" t="s">
        <v>8493</v>
      </c>
      <c r="E747" s="146">
        <v>43832.0</v>
      </c>
      <c r="F747" s="74" t="s">
        <v>20229</v>
      </c>
      <c r="G747" s="74">
        <v>59.0</v>
      </c>
      <c r="H747" s="74">
        <v>1.0</v>
      </c>
      <c r="I747" s="74">
        <v>99.0</v>
      </c>
      <c r="J747" s="119"/>
      <c r="K747" s="119"/>
      <c r="L747" s="74" t="s">
        <v>1865</v>
      </c>
      <c r="M747" s="74" t="s">
        <v>1865</v>
      </c>
      <c r="N747" s="74">
        <v>1.0</v>
      </c>
      <c r="O747" s="74" t="s">
        <v>20217</v>
      </c>
      <c r="P747" s="119"/>
      <c r="Q747" s="119"/>
      <c r="R747" s="74">
        <v>5.0</v>
      </c>
      <c r="S747" s="74" t="s">
        <v>18057</v>
      </c>
      <c r="T747" s="120">
        <v>6878.0</v>
      </c>
      <c r="U747" s="74" t="s">
        <v>20234</v>
      </c>
      <c r="V747" s="74" t="s">
        <v>20235</v>
      </c>
      <c r="W747" s="120">
        <v>748.0</v>
      </c>
    </row>
    <row r="748">
      <c r="A748" s="74" t="s">
        <v>20229</v>
      </c>
      <c r="B748" s="74" t="s">
        <v>6876</v>
      </c>
      <c r="C748" s="74" t="s">
        <v>6877</v>
      </c>
      <c r="D748" s="74" t="s">
        <v>8493</v>
      </c>
      <c r="E748" s="146">
        <v>43832.0</v>
      </c>
      <c r="F748" s="74" t="s">
        <v>20236</v>
      </c>
      <c r="G748" s="74">
        <v>59.0</v>
      </c>
      <c r="H748" s="74">
        <v>1.0</v>
      </c>
      <c r="I748" s="74">
        <v>11.0</v>
      </c>
      <c r="J748" s="119"/>
      <c r="K748" s="119"/>
      <c r="L748" s="74" t="s">
        <v>1866</v>
      </c>
      <c r="M748" s="74" t="s">
        <v>1866</v>
      </c>
      <c r="N748" s="74">
        <v>1.0</v>
      </c>
      <c r="O748" s="74" t="s">
        <v>20217</v>
      </c>
      <c r="P748" s="119"/>
      <c r="Q748" s="119"/>
      <c r="R748" s="74">
        <v>5.0</v>
      </c>
      <c r="S748" s="74" t="s">
        <v>18057</v>
      </c>
      <c r="T748" s="120">
        <v>6879.0</v>
      </c>
      <c r="U748" s="74" t="s">
        <v>20240</v>
      </c>
      <c r="V748" s="74" t="s">
        <v>20241</v>
      </c>
      <c r="W748" s="120">
        <v>749.0</v>
      </c>
    </row>
    <row r="749">
      <c r="A749" s="74" t="s">
        <v>20242</v>
      </c>
      <c r="B749" s="74" t="s">
        <v>6876</v>
      </c>
      <c r="C749" s="74" t="s">
        <v>6877</v>
      </c>
      <c r="D749" s="74" t="s">
        <v>8493</v>
      </c>
      <c r="E749" s="146">
        <v>43832.0</v>
      </c>
      <c r="F749" s="74" t="s">
        <v>20243</v>
      </c>
      <c r="G749" s="74">
        <v>59.0</v>
      </c>
      <c r="H749" s="74">
        <v>1.0</v>
      </c>
      <c r="I749" s="74">
        <v>11.0</v>
      </c>
      <c r="J749" s="119"/>
      <c r="K749" s="119"/>
      <c r="L749" s="74" t="s">
        <v>1869</v>
      </c>
      <c r="M749" s="74" t="s">
        <v>1869</v>
      </c>
      <c r="N749" s="74">
        <v>1.0</v>
      </c>
      <c r="O749" s="74" t="s">
        <v>20217</v>
      </c>
      <c r="P749" s="119"/>
      <c r="Q749" s="119"/>
      <c r="R749" s="74">
        <v>5.0</v>
      </c>
      <c r="S749" s="74" t="s">
        <v>18057</v>
      </c>
      <c r="T749" s="120">
        <v>6880.0</v>
      </c>
      <c r="U749" s="74" t="s">
        <v>20248</v>
      </c>
      <c r="V749" s="74" t="s">
        <v>20250</v>
      </c>
      <c r="W749" s="120">
        <v>750.0</v>
      </c>
    </row>
    <row r="750">
      <c r="A750" s="74" t="s">
        <v>20243</v>
      </c>
      <c r="B750" s="74" t="s">
        <v>6876</v>
      </c>
      <c r="C750" s="74" t="s">
        <v>6877</v>
      </c>
      <c r="D750" s="74" t="s">
        <v>8493</v>
      </c>
      <c r="E750" s="146">
        <v>43832.0</v>
      </c>
      <c r="F750" s="74" t="s">
        <v>20253</v>
      </c>
      <c r="G750" s="74">
        <v>58.0</v>
      </c>
      <c r="H750" s="74">
        <v>1.0</v>
      </c>
      <c r="I750" s="74">
        <v>11.0</v>
      </c>
      <c r="J750" s="119"/>
      <c r="K750" s="119"/>
      <c r="L750" s="74" t="s">
        <v>1872</v>
      </c>
      <c r="M750" s="74" t="s">
        <v>1872</v>
      </c>
      <c r="N750" s="74">
        <v>1.0</v>
      </c>
      <c r="O750" s="74" t="s">
        <v>20217</v>
      </c>
      <c r="P750" s="119"/>
      <c r="Q750" s="119"/>
      <c r="R750" s="74">
        <v>5.0</v>
      </c>
      <c r="S750" s="74" t="s">
        <v>18057</v>
      </c>
      <c r="T750" s="120">
        <v>6881.0</v>
      </c>
      <c r="U750" s="74" t="s">
        <v>20254</v>
      </c>
      <c r="V750" s="74" t="s">
        <v>20255</v>
      </c>
      <c r="W750" s="120">
        <v>751.0</v>
      </c>
    </row>
    <row r="751">
      <c r="A751" s="74" t="s">
        <v>20253</v>
      </c>
      <c r="B751" s="74" t="s">
        <v>6876</v>
      </c>
      <c r="C751" s="74" t="s">
        <v>6877</v>
      </c>
      <c r="D751" s="74" t="s">
        <v>8493</v>
      </c>
      <c r="E751" s="146">
        <v>43832.0</v>
      </c>
      <c r="F751" s="74" t="s">
        <v>20259</v>
      </c>
      <c r="G751" s="74">
        <v>57.0</v>
      </c>
      <c r="H751" s="74">
        <v>1.0</v>
      </c>
      <c r="I751" s="74">
        <v>12.0</v>
      </c>
      <c r="J751" s="119"/>
      <c r="K751" s="119"/>
      <c r="L751" s="74" t="s">
        <v>1877</v>
      </c>
      <c r="M751" s="74" t="s">
        <v>1877</v>
      </c>
      <c r="N751" s="74">
        <v>1.0</v>
      </c>
      <c r="O751" s="74" t="s">
        <v>20217</v>
      </c>
      <c r="P751" s="119"/>
      <c r="Q751" s="119"/>
      <c r="R751" s="74">
        <v>5.0</v>
      </c>
      <c r="S751" s="74" t="s">
        <v>18057</v>
      </c>
      <c r="T751" s="120">
        <v>6882.0</v>
      </c>
      <c r="U751" s="74" t="s">
        <v>20267</v>
      </c>
      <c r="V751" s="74" t="s">
        <v>20269</v>
      </c>
      <c r="W751" s="120">
        <v>752.0</v>
      </c>
    </row>
    <row r="752">
      <c r="A752" s="74" t="s">
        <v>20259</v>
      </c>
      <c r="B752" s="74" t="s">
        <v>6876</v>
      </c>
      <c r="C752" s="74" t="s">
        <v>6877</v>
      </c>
      <c r="D752" s="74" t="s">
        <v>8493</v>
      </c>
      <c r="E752" s="146">
        <v>43832.0</v>
      </c>
      <c r="F752" s="74" t="s">
        <v>20271</v>
      </c>
      <c r="G752" s="74">
        <v>57.0</v>
      </c>
      <c r="H752" s="74">
        <v>1.0</v>
      </c>
      <c r="I752" s="74">
        <v>12.0</v>
      </c>
      <c r="J752" s="119"/>
      <c r="K752" s="119"/>
      <c r="L752" s="74" t="s">
        <v>1879</v>
      </c>
      <c r="M752" s="74" t="s">
        <v>1879</v>
      </c>
      <c r="N752" s="74">
        <v>1.0</v>
      </c>
      <c r="O752" s="74" t="s">
        <v>20217</v>
      </c>
      <c r="P752" s="119"/>
      <c r="Q752" s="119"/>
      <c r="R752" s="74">
        <v>5.0</v>
      </c>
      <c r="S752" s="74" t="s">
        <v>18057</v>
      </c>
      <c r="T752" s="120">
        <v>6883.0</v>
      </c>
      <c r="U752" s="74" t="s">
        <v>20272</v>
      </c>
      <c r="V752" s="74" t="s">
        <v>20275</v>
      </c>
      <c r="W752" s="120">
        <v>753.0</v>
      </c>
    </row>
    <row r="753">
      <c r="A753" s="74" t="s">
        <v>20271</v>
      </c>
      <c r="B753" s="74" t="s">
        <v>6876</v>
      </c>
      <c r="C753" s="74" t="s">
        <v>6877</v>
      </c>
      <c r="D753" s="74" t="s">
        <v>8493</v>
      </c>
      <c r="E753" s="146">
        <v>43832.0</v>
      </c>
      <c r="F753" s="74" t="s">
        <v>20276</v>
      </c>
      <c r="G753" s="74">
        <v>59.0</v>
      </c>
      <c r="H753" s="74">
        <v>1.0</v>
      </c>
      <c r="I753" s="74">
        <v>11.0</v>
      </c>
      <c r="J753" s="119"/>
      <c r="K753" s="119"/>
      <c r="L753" s="74" t="s">
        <v>1882</v>
      </c>
      <c r="M753" s="74" t="s">
        <v>1882</v>
      </c>
      <c r="N753" s="74">
        <v>1.0</v>
      </c>
      <c r="O753" s="74" t="s">
        <v>20217</v>
      </c>
      <c r="P753" s="119"/>
      <c r="Q753" s="119"/>
      <c r="R753" s="74">
        <v>5.0</v>
      </c>
      <c r="S753" s="74" t="s">
        <v>18057</v>
      </c>
      <c r="T753" s="120">
        <v>6884.0</v>
      </c>
      <c r="U753" s="74" t="s">
        <v>20278</v>
      </c>
      <c r="V753" s="74" t="s">
        <v>20279</v>
      </c>
      <c r="W753" s="120">
        <v>754.0</v>
      </c>
    </row>
    <row r="754">
      <c r="A754" s="74" t="s">
        <v>20276</v>
      </c>
      <c r="B754" s="74" t="s">
        <v>6876</v>
      </c>
      <c r="C754" s="74" t="s">
        <v>6877</v>
      </c>
      <c r="D754" s="74" t="s">
        <v>8493</v>
      </c>
      <c r="E754" s="146">
        <v>43832.0</v>
      </c>
      <c r="F754" s="74" t="s">
        <v>20283</v>
      </c>
      <c r="G754" s="74">
        <v>59.0</v>
      </c>
      <c r="H754" s="74">
        <v>1.0</v>
      </c>
      <c r="I754" s="74">
        <v>11.0</v>
      </c>
      <c r="J754" s="119"/>
      <c r="K754" s="119"/>
      <c r="L754" s="74" t="s">
        <v>1884</v>
      </c>
      <c r="M754" s="74" t="s">
        <v>1884</v>
      </c>
      <c r="N754" s="74">
        <v>1.0</v>
      </c>
      <c r="O754" s="74" t="s">
        <v>20217</v>
      </c>
      <c r="P754" s="119"/>
      <c r="Q754" s="119"/>
      <c r="R754" s="74">
        <v>5.0</v>
      </c>
      <c r="S754" s="74" t="s">
        <v>18057</v>
      </c>
      <c r="T754" s="120">
        <v>6885.0</v>
      </c>
      <c r="U754" s="74" t="s">
        <v>20287</v>
      </c>
      <c r="V754" s="74" t="s">
        <v>20288</v>
      </c>
      <c r="W754" s="120">
        <v>755.0</v>
      </c>
    </row>
    <row r="755">
      <c r="A755" s="74" t="s">
        <v>20283</v>
      </c>
      <c r="B755" s="74" t="s">
        <v>6876</v>
      </c>
      <c r="C755" s="74" t="s">
        <v>6877</v>
      </c>
      <c r="D755" s="74" t="s">
        <v>8493</v>
      </c>
      <c r="E755" s="146">
        <v>43832.0</v>
      </c>
      <c r="F755" s="74" t="s">
        <v>20290</v>
      </c>
      <c r="G755" s="74">
        <v>59.0</v>
      </c>
      <c r="H755" s="74">
        <v>1.0</v>
      </c>
      <c r="I755" s="74">
        <v>11.0</v>
      </c>
      <c r="J755" s="119"/>
      <c r="K755" s="119"/>
      <c r="L755" s="74" t="s">
        <v>1886</v>
      </c>
      <c r="M755" s="74" t="s">
        <v>1886</v>
      </c>
      <c r="N755" s="74">
        <v>1.0</v>
      </c>
      <c r="O755" s="74" t="s">
        <v>20217</v>
      </c>
      <c r="P755" s="119"/>
      <c r="Q755" s="119"/>
      <c r="R755" s="74">
        <v>5.0</v>
      </c>
      <c r="S755" s="74" t="s">
        <v>18057</v>
      </c>
      <c r="T755" s="120">
        <v>6886.0</v>
      </c>
      <c r="U755" s="74" t="s">
        <v>20291</v>
      </c>
      <c r="V755" s="74" t="s">
        <v>20292</v>
      </c>
      <c r="W755" s="120">
        <v>756.0</v>
      </c>
    </row>
    <row r="756">
      <c r="A756" s="74" t="s">
        <v>20290</v>
      </c>
      <c r="B756" s="74" t="s">
        <v>6876</v>
      </c>
      <c r="C756" s="74" t="s">
        <v>6877</v>
      </c>
      <c r="D756" s="74" t="s">
        <v>8493</v>
      </c>
      <c r="E756" s="146">
        <v>43832.0</v>
      </c>
      <c r="F756" s="74" t="s">
        <v>20293</v>
      </c>
      <c r="G756" s="74">
        <v>59.0</v>
      </c>
      <c r="H756" s="74">
        <v>1.0</v>
      </c>
      <c r="I756" s="74">
        <v>11.0</v>
      </c>
      <c r="J756" s="119"/>
      <c r="K756" s="119"/>
      <c r="L756" s="74" t="s">
        <v>1889</v>
      </c>
      <c r="M756" s="74" t="s">
        <v>1889</v>
      </c>
      <c r="N756" s="74">
        <v>1.0</v>
      </c>
      <c r="O756" s="74" t="s">
        <v>20217</v>
      </c>
      <c r="P756" s="119"/>
      <c r="Q756" s="119"/>
      <c r="R756" s="74">
        <v>5.0</v>
      </c>
      <c r="S756" s="74" t="s">
        <v>18057</v>
      </c>
      <c r="T756" s="120">
        <v>6887.0</v>
      </c>
      <c r="U756" s="74" t="s">
        <v>20296</v>
      </c>
      <c r="V756" s="74" t="s">
        <v>20297</v>
      </c>
      <c r="W756" s="120">
        <v>757.0</v>
      </c>
    </row>
    <row r="757">
      <c r="A757" s="74" t="s">
        <v>20293</v>
      </c>
      <c r="B757" s="74" t="s">
        <v>6876</v>
      </c>
      <c r="C757" s="74" t="s">
        <v>6877</v>
      </c>
      <c r="D757" s="74" t="s">
        <v>8493</v>
      </c>
      <c r="E757" s="146">
        <v>43832.0</v>
      </c>
      <c r="F757" s="74" t="s">
        <v>20301</v>
      </c>
      <c r="G757" s="74">
        <v>59.0</v>
      </c>
      <c r="H757" s="74">
        <v>1.0</v>
      </c>
      <c r="I757" s="74">
        <v>99.0</v>
      </c>
      <c r="J757" s="119"/>
      <c r="K757" s="119"/>
      <c r="L757" s="74" t="s">
        <v>1890</v>
      </c>
      <c r="M757" s="74" t="s">
        <v>1890</v>
      </c>
      <c r="N757" s="74">
        <v>1.0</v>
      </c>
      <c r="O757" s="74" t="s">
        <v>20217</v>
      </c>
      <c r="P757" s="119"/>
      <c r="Q757" s="74" t="s">
        <v>20303</v>
      </c>
      <c r="R757" s="74">
        <v>5.0</v>
      </c>
      <c r="S757" s="74" t="s">
        <v>18057</v>
      </c>
      <c r="T757" s="120">
        <v>6888.0</v>
      </c>
      <c r="U757" s="74" t="s">
        <v>20304</v>
      </c>
      <c r="V757" s="74" t="s">
        <v>20306</v>
      </c>
      <c r="W757" s="120">
        <v>758.0</v>
      </c>
    </row>
    <row r="758">
      <c r="A758" s="74" t="s">
        <v>20301</v>
      </c>
      <c r="B758" s="74" t="s">
        <v>6876</v>
      </c>
      <c r="C758" s="74" t="s">
        <v>6877</v>
      </c>
      <c r="D758" s="74" t="s">
        <v>8493</v>
      </c>
      <c r="E758" s="146">
        <v>43832.0</v>
      </c>
      <c r="F758" s="74" t="s">
        <v>20310</v>
      </c>
      <c r="G758" s="74">
        <v>59.0</v>
      </c>
      <c r="H758" s="74">
        <v>1.0</v>
      </c>
      <c r="I758" s="74">
        <v>16.0</v>
      </c>
      <c r="J758" s="119"/>
      <c r="K758" s="119"/>
      <c r="L758" s="74" t="s">
        <v>345</v>
      </c>
      <c r="M758" s="74" t="s">
        <v>345</v>
      </c>
      <c r="N758" s="74">
        <v>1.0</v>
      </c>
      <c r="O758" s="74" t="s">
        <v>20217</v>
      </c>
      <c r="P758" s="119"/>
      <c r="Q758" s="119"/>
      <c r="R758" s="74">
        <v>5.0</v>
      </c>
      <c r="S758" s="74" t="s">
        <v>18057</v>
      </c>
      <c r="T758" s="120">
        <v>6889.0</v>
      </c>
      <c r="U758" s="74" t="s">
        <v>20311</v>
      </c>
      <c r="V758" s="74" t="s">
        <v>20312</v>
      </c>
      <c r="W758" s="120">
        <v>759.0</v>
      </c>
    </row>
    <row r="759">
      <c r="A759" s="74" t="s">
        <v>20310</v>
      </c>
      <c r="B759" s="74" t="s">
        <v>6876</v>
      </c>
      <c r="C759" s="74" t="s">
        <v>6877</v>
      </c>
      <c r="D759" s="74" t="s">
        <v>8493</v>
      </c>
      <c r="E759" s="146">
        <v>43832.0</v>
      </c>
      <c r="F759" s="74" t="s">
        <v>20315</v>
      </c>
      <c r="G759" s="74">
        <v>59.0</v>
      </c>
      <c r="H759" s="74">
        <v>1.0</v>
      </c>
      <c r="I759" s="74">
        <v>16.0</v>
      </c>
      <c r="J759" s="119"/>
      <c r="K759" s="119"/>
      <c r="L759" s="74" t="s">
        <v>344</v>
      </c>
      <c r="M759" s="74" t="s">
        <v>344</v>
      </c>
      <c r="N759" s="74">
        <v>1.0</v>
      </c>
      <c r="O759" s="74" t="s">
        <v>20217</v>
      </c>
      <c r="P759" s="119"/>
      <c r="Q759" s="119"/>
      <c r="R759" s="74">
        <v>5.0</v>
      </c>
      <c r="S759" s="74" t="s">
        <v>18057</v>
      </c>
      <c r="T759" s="120">
        <v>6890.0</v>
      </c>
      <c r="U759" s="74" t="s">
        <v>20320</v>
      </c>
      <c r="V759" s="74" t="s">
        <v>20321</v>
      </c>
      <c r="W759" s="120">
        <v>760.0</v>
      </c>
    </row>
    <row r="760">
      <c r="A760" s="74" t="s">
        <v>20315</v>
      </c>
      <c r="B760" s="74" t="s">
        <v>6876</v>
      </c>
      <c r="C760" s="74" t="s">
        <v>6877</v>
      </c>
      <c r="D760" s="74" t="s">
        <v>8493</v>
      </c>
      <c r="E760" s="146">
        <v>43832.0</v>
      </c>
      <c r="F760" s="74" t="s">
        <v>20324</v>
      </c>
      <c r="G760" s="74">
        <v>59.0</v>
      </c>
      <c r="H760" s="74">
        <v>1.0</v>
      </c>
      <c r="I760" s="74">
        <v>98.0</v>
      </c>
      <c r="J760" s="119"/>
      <c r="K760" s="119"/>
      <c r="L760" s="74" t="s">
        <v>1894</v>
      </c>
      <c r="M760" s="74" t="s">
        <v>1894</v>
      </c>
      <c r="N760" s="74">
        <v>1.0</v>
      </c>
      <c r="O760" s="74" t="s">
        <v>20217</v>
      </c>
      <c r="P760" s="119"/>
      <c r="Q760" s="119"/>
      <c r="R760" s="74">
        <v>5.0</v>
      </c>
      <c r="S760" s="74" t="s">
        <v>18057</v>
      </c>
      <c r="T760" s="120">
        <v>6891.0</v>
      </c>
      <c r="U760" s="74" t="s">
        <v>20328</v>
      </c>
      <c r="V760" s="74" t="s">
        <v>20330</v>
      </c>
      <c r="W760" s="120">
        <v>761.0</v>
      </c>
    </row>
    <row r="761">
      <c r="A761" s="74" t="s">
        <v>20324</v>
      </c>
      <c r="B761" s="74" t="s">
        <v>6876</v>
      </c>
      <c r="C761" s="74" t="s">
        <v>6877</v>
      </c>
      <c r="D761" s="74" t="s">
        <v>8493</v>
      </c>
      <c r="E761" s="146">
        <v>43832.0</v>
      </c>
      <c r="F761" s="74" t="s">
        <v>20332</v>
      </c>
      <c r="G761" s="74">
        <v>59.0</v>
      </c>
      <c r="H761" s="74">
        <v>1.0</v>
      </c>
      <c r="I761" s="74">
        <v>11.0</v>
      </c>
      <c r="J761" s="119"/>
      <c r="K761" s="119"/>
      <c r="L761" s="74" t="s">
        <v>1901</v>
      </c>
      <c r="M761" s="74" t="s">
        <v>1901</v>
      </c>
      <c r="N761" s="74">
        <v>1.0</v>
      </c>
      <c r="O761" s="74" t="s">
        <v>20335</v>
      </c>
      <c r="P761" s="119"/>
      <c r="Q761" s="119"/>
      <c r="R761" s="74">
        <v>5.0</v>
      </c>
      <c r="S761" s="74" t="s">
        <v>18057</v>
      </c>
      <c r="T761" s="120">
        <v>6892.0</v>
      </c>
      <c r="U761" s="74" t="s">
        <v>20339</v>
      </c>
      <c r="V761" s="74" t="s">
        <v>20340</v>
      </c>
      <c r="W761" s="120">
        <v>762.0</v>
      </c>
    </row>
    <row r="762">
      <c r="A762" s="74" t="s">
        <v>20332</v>
      </c>
      <c r="B762" s="74" t="s">
        <v>6876</v>
      </c>
      <c r="C762" s="74" t="s">
        <v>6877</v>
      </c>
      <c r="D762" s="74" t="s">
        <v>8493</v>
      </c>
      <c r="E762" s="146">
        <v>43832.0</v>
      </c>
      <c r="F762" s="74" t="s">
        <v>20342</v>
      </c>
      <c r="G762" s="74">
        <v>59.0</v>
      </c>
      <c r="H762" s="74">
        <v>1.0</v>
      </c>
      <c r="I762" s="74">
        <v>11.0</v>
      </c>
      <c r="J762" s="119"/>
      <c r="K762" s="119"/>
      <c r="L762" s="74" t="s">
        <v>1904</v>
      </c>
      <c r="M762" s="74" t="s">
        <v>1904</v>
      </c>
      <c r="N762" s="74">
        <v>1.0</v>
      </c>
      <c r="O762" s="74" t="s">
        <v>20335</v>
      </c>
      <c r="P762" s="119"/>
      <c r="Q762" s="119"/>
      <c r="R762" s="74">
        <v>5.0</v>
      </c>
      <c r="S762" s="74" t="s">
        <v>18057</v>
      </c>
      <c r="T762" s="120">
        <v>6893.0</v>
      </c>
      <c r="U762" s="74" t="s">
        <v>20345</v>
      </c>
      <c r="V762" s="74" t="s">
        <v>20346</v>
      </c>
      <c r="W762" s="120">
        <v>763.0</v>
      </c>
    </row>
    <row r="763">
      <c r="A763" s="74" t="s">
        <v>20342</v>
      </c>
      <c r="B763" s="74" t="s">
        <v>6876</v>
      </c>
      <c r="C763" s="74" t="s">
        <v>6877</v>
      </c>
      <c r="D763" s="74" t="s">
        <v>8493</v>
      </c>
      <c r="E763" s="146">
        <v>43832.0</v>
      </c>
      <c r="F763" s="74" t="s">
        <v>20348</v>
      </c>
      <c r="G763" s="74">
        <v>59.0</v>
      </c>
      <c r="H763" s="74">
        <v>1.0</v>
      </c>
      <c r="I763" s="74">
        <v>11.0</v>
      </c>
      <c r="J763" s="119"/>
      <c r="K763" s="119"/>
      <c r="L763" s="74" t="s">
        <v>1907</v>
      </c>
      <c r="M763" s="74" t="s">
        <v>1907</v>
      </c>
      <c r="N763" s="74">
        <v>1.0</v>
      </c>
      <c r="O763" s="74" t="s">
        <v>20335</v>
      </c>
      <c r="P763" s="119"/>
      <c r="Q763" s="119"/>
      <c r="R763" s="74">
        <v>5.0</v>
      </c>
      <c r="S763" s="74" t="s">
        <v>18057</v>
      </c>
      <c r="T763" s="120">
        <v>6894.0</v>
      </c>
      <c r="U763" s="74" t="s">
        <v>20355</v>
      </c>
      <c r="V763" s="74" t="s">
        <v>20356</v>
      </c>
      <c r="W763" s="120">
        <v>764.0</v>
      </c>
    </row>
    <row r="764">
      <c r="A764" s="74" t="s">
        <v>20348</v>
      </c>
      <c r="B764" s="74" t="s">
        <v>6876</v>
      </c>
      <c r="C764" s="74" t="s">
        <v>6877</v>
      </c>
      <c r="D764" s="74" t="s">
        <v>8493</v>
      </c>
      <c r="E764" s="146">
        <v>43832.0</v>
      </c>
      <c r="F764" s="74" t="s">
        <v>20359</v>
      </c>
      <c r="G764" s="74">
        <v>59.0</v>
      </c>
      <c r="H764" s="74">
        <v>1.0</v>
      </c>
      <c r="I764" s="74">
        <v>11.0</v>
      </c>
      <c r="J764" s="119"/>
      <c r="K764" s="119"/>
      <c r="L764" s="74" t="s">
        <v>1910</v>
      </c>
      <c r="M764" s="74" t="s">
        <v>1910</v>
      </c>
      <c r="N764" s="74">
        <v>1.0</v>
      </c>
      <c r="O764" s="74" t="s">
        <v>20335</v>
      </c>
      <c r="P764" s="119"/>
      <c r="Q764" s="119"/>
      <c r="R764" s="74">
        <v>5.0</v>
      </c>
      <c r="S764" s="74" t="s">
        <v>18057</v>
      </c>
      <c r="T764" s="120">
        <v>6895.0</v>
      </c>
      <c r="U764" s="74" t="s">
        <v>20362</v>
      </c>
      <c r="V764" s="74" t="s">
        <v>20363</v>
      </c>
      <c r="W764" s="120">
        <v>765.0</v>
      </c>
    </row>
    <row r="765">
      <c r="A765" s="74" t="s">
        <v>20359</v>
      </c>
      <c r="B765" s="74" t="s">
        <v>6876</v>
      </c>
      <c r="C765" s="74" t="s">
        <v>6877</v>
      </c>
      <c r="D765" s="74" t="s">
        <v>8493</v>
      </c>
      <c r="E765" s="146">
        <v>43832.0</v>
      </c>
      <c r="F765" s="74" t="s">
        <v>20365</v>
      </c>
      <c r="G765" s="74">
        <v>59.0</v>
      </c>
      <c r="H765" s="74">
        <v>1.0</v>
      </c>
      <c r="I765" s="74">
        <v>11.0</v>
      </c>
      <c r="J765" s="119"/>
      <c r="K765" s="119"/>
      <c r="L765" s="74" t="s">
        <v>1913</v>
      </c>
      <c r="M765" s="74" t="s">
        <v>1913</v>
      </c>
      <c r="N765" s="74">
        <v>1.0</v>
      </c>
      <c r="O765" s="74" t="s">
        <v>20335</v>
      </c>
      <c r="P765" s="119"/>
      <c r="Q765" s="119"/>
      <c r="R765" s="74">
        <v>5.0</v>
      </c>
      <c r="S765" s="74" t="s">
        <v>18057</v>
      </c>
      <c r="T765" s="120">
        <v>6896.0</v>
      </c>
      <c r="U765" s="74" t="s">
        <v>20372</v>
      </c>
      <c r="V765" s="74" t="s">
        <v>20373</v>
      </c>
      <c r="W765" s="120">
        <v>766.0</v>
      </c>
    </row>
    <row r="766">
      <c r="A766" s="74" t="s">
        <v>20365</v>
      </c>
      <c r="B766" s="74" t="s">
        <v>6876</v>
      </c>
      <c r="C766" s="74" t="s">
        <v>6877</v>
      </c>
      <c r="D766" s="74" t="s">
        <v>8493</v>
      </c>
      <c r="E766" s="146">
        <v>43832.0</v>
      </c>
      <c r="F766" s="74" t="s">
        <v>20375</v>
      </c>
      <c r="G766" s="74">
        <v>59.0</v>
      </c>
      <c r="H766" s="74">
        <v>1.0</v>
      </c>
      <c r="I766" s="74">
        <v>11.0</v>
      </c>
      <c r="J766" s="119"/>
      <c r="K766" s="119"/>
      <c r="L766" s="74" t="s">
        <v>1916</v>
      </c>
      <c r="M766" s="74" t="s">
        <v>1916</v>
      </c>
      <c r="N766" s="74">
        <v>1.0</v>
      </c>
      <c r="O766" s="74" t="s">
        <v>20335</v>
      </c>
      <c r="P766" s="119"/>
      <c r="Q766" s="119"/>
      <c r="R766" s="74">
        <v>5.0</v>
      </c>
      <c r="S766" s="74" t="s">
        <v>18057</v>
      </c>
      <c r="T766" s="120">
        <v>6897.0</v>
      </c>
      <c r="U766" s="74" t="s">
        <v>20376</v>
      </c>
      <c r="V766" s="74" t="s">
        <v>20377</v>
      </c>
      <c r="W766" s="120">
        <v>767.0</v>
      </c>
    </row>
    <row r="767">
      <c r="A767" s="74" t="s">
        <v>20375</v>
      </c>
      <c r="B767" s="74" t="s">
        <v>6876</v>
      </c>
      <c r="C767" s="74" t="s">
        <v>6877</v>
      </c>
      <c r="D767" s="74" t="s">
        <v>8493</v>
      </c>
      <c r="E767" s="146">
        <v>43832.0</v>
      </c>
      <c r="F767" s="74" t="s">
        <v>20381</v>
      </c>
      <c r="G767" s="74">
        <v>59.0</v>
      </c>
      <c r="H767" s="74">
        <v>1.0</v>
      </c>
      <c r="I767" s="74">
        <v>99.0</v>
      </c>
      <c r="J767" s="119"/>
      <c r="K767" s="119"/>
      <c r="L767" s="74" t="s">
        <v>277</v>
      </c>
      <c r="M767" s="74" t="s">
        <v>277</v>
      </c>
      <c r="N767" s="74">
        <v>1.0</v>
      </c>
      <c r="O767" s="74" t="s">
        <v>20335</v>
      </c>
      <c r="P767" s="119"/>
      <c r="Q767" s="74" t="s">
        <v>20383</v>
      </c>
      <c r="R767" s="74">
        <v>5.0</v>
      </c>
      <c r="S767" s="74" t="s">
        <v>18057</v>
      </c>
      <c r="T767" s="120">
        <v>6898.0</v>
      </c>
      <c r="U767" s="74" t="s">
        <v>20386</v>
      </c>
      <c r="V767" s="74" t="s">
        <v>20388</v>
      </c>
      <c r="W767" s="120">
        <v>768.0</v>
      </c>
    </row>
    <row r="768">
      <c r="A768" s="74" t="s">
        <v>20381</v>
      </c>
      <c r="B768" s="74" t="s">
        <v>6876</v>
      </c>
      <c r="C768" s="74" t="s">
        <v>6877</v>
      </c>
      <c r="D768" s="74" t="s">
        <v>8493</v>
      </c>
      <c r="E768" s="146">
        <v>43832.0</v>
      </c>
      <c r="F768" s="74" t="s">
        <v>20391</v>
      </c>
      <c r="G768" s="74">
        <v>59.0</v>
      </c>
      <c r="H768" s="74">
        <v>1.0</v>
      </c>
      <c r="I768" s="74">
        <v>11.0</v>
      </c>
      <c r="J768" s="119"/>
      <c r="K768" s="119"/>
      <c r="L768" s="74" t="s">
        <v>1920</v>
      </c>
      <c r="M768" s="74" t="s">
        <v>1920</v>
      </c>
      <c r="N768" s="74">
        <v>1.0</v>
      </c>
      <c r="O768" s="74" t="s">
        <v>20335</v>
      </c>
      <c r="P768" s="119"/>
      <c r="Q768" s="119"/>
      <c r="R768" s="74">
        <v>5.0</v>
      </c>
      <c r="S768" s="74" t="s">
        <v>18057</v>
      </c>
      <c r="T768" s="120">
        <v>6899.0</v>
      </c>
      <c r="U768" s="74" t="s">
        <v>20396</v>
      </c>
      <c r="V768" s="74" t="s">
        <v>20397</v>
      </c>
      <c r="W768" s="120">
        <v>769.0</v>
      </c>
    </row>
    <row r="769">
      <c r="A769" s="74" t="s">
        <v>20398</v>
      </c>
      <c r="B769" s="74" t="s">
        <v>6876</v>
      </c>
      <c r="C769" s="74" t="s">
        <v>6877</v>
      </c>
      <c r="D769" s="74" t="s">
        <v>8493</v>
      </c>
      <c r="E769" s="146">
        <v>43832.0</v>
      </c>
      <c r="F769" s="74" t="s">
        <v>20399</v>
      </c>
      <c r="G769" s="74">
        <v>59.0</v>
      </c>
      <c r="H769" s="74">
        <v>1.0</v>
      </c>
      <c r="I769" s="74">
        <v>11.0</v>
      </c>
      <c r="J769" s="119"/>
      <c r="K769" s="119"/>
      <c r="L769" s="74" t="s">
        <v>1923</v>
      </c>
      <c r="M769" s="74" t="s">
        <v>1923</v>
      </c>
      <c r="N769" s="74">
        <v>1.0</v>
      </c>
      <c r="O769" s="74" t="s">
        <v>20335</v>
      </c>
      <c r="P769" s="119"/>
      <c r="Q769" s="119"/>
      <c r="R769" s="74">
        <v>5.0</v>
      </c>
      <c r="S769" s="74" t="s">
        <v>18057</v>
      </c>
      <c r="T769" s="120">
        <v>6900.0</v>
      </c>
      <c r="U769" s="74" t="s">
        <v>20403</v>
      </c>
      <c r="V769" s="74" t="s">
        <v>20404</v>
      </c>
      <c r="W769" s="120">
        <v>770.0</v>
      </c>
    </row>
    <row r="770">
      <c r="A770" s="74" t="s">
        <v>20399</v>
      </c>
      <c r="B770" s="74" t="s">
        <v>6876</v>
      </c>
      <c r="C770" s="74" t="s">
        <v>6877</v>
      </c>
      <c r="D770" s="74" t="s">
        <v>8493</v>
      </c>
      <c r="E770" s="146">
        <v>43832.0</v>
      </c>
      <c r="F770" s="74" t="s">
        <v>20408</v>
      </c>
      <c r="G770" s="74">
        <v>66.0</v>
      </c>
      <c r="H770" s="74">
        <v>1.0</v>
      </c>
      <c r="I770" s="74">
        <v>12.0</v>
      </c>
      <c r="J770" s="119"/>
      <c r="K770" s="119"/>
      <c r="L770" s="74" t="s">
        <v>1895</v>
      </c>
      <c r="M770" s="74" t="s">
        <v>1895</v>
      </c>
      <c r="N770" s="74">
        <v>1.0</v>
      </c>
      <c r="O770" s="74" t="s">
        <v>20335</v>
      </c>
      <c r="P770" s="119"/>
      <c r="Q770" s="119"/>
      <c r="R770" s="74">
        <v>5.0</v>
      </c>
      <c r="S770" s="74" t="s">
        <v>18057</v>
      </c>
      <c r="T770" s="120">
        <v>6901.0</v>
      </c>
      <c r="U770" s="74" t="s">
        <v>20412</v>
      </c>
      <c r="V770" s="74" t="s">
        <v>20413</v>
      </c>
      <c r="W770" s="120">
        <v>771.0</v>
      </c>
    </row>
    <row r="771">
      <c r="A771" s="74" t="s">
        <v>20408</v>
      </c>
      <c r="B771" s="74" t="s">
        <v>6876</v>
      </c>
      <c r="C771" s="74" t="s">
        <v>6877</v>
      </c>
      <c r="D771" s="74" t="s">
        <v>8493</v>
      </c>
      <c r="E771" s="146">
        <v>43832.0</v>
      </c>
      <c r="F771" s="74" t="s">
        <v>20414</v>
      </c>
      <c r="G771" s="74">
        <v>59.0</v>
      </c>
      <c r="H771" s="74">
        <v>1.0</v>
      </c>
      <c r="I771" s="74">
        <v>12.0</v>
      </c>
      <c r="J771" s="119"/>
      <c r="K771" s="119"/>
      <c r="L771" s="74" t="s">
        <v>1898</v>
      </c>
      <c r="M771" s="74" t="s">
        <v>1898</v>
      </c>
      <c r="N771" s="74">
        <v>1.0</v>
      </c>
      <c r="O771" s="74" t="s">
        <v>20335</v>
      </c>
      <c r="P771" s="119"/>
      <c r="Q771" s="119"/>
      <c r="R771" s="74">
        <v>5.0</v>
      </c>
      <c r="S771" s="74" t="s">
        <v>18057</v>
      </c>
      <c r="T771" s="120">
        <v>6902.0</v>
      </c>
      <c r="U771" s="74" t="s">
        <v>20419</v>
      </c>
      <c r="V771" s="74" t="s">
        <v>20421</v>
      </c>
      <c r="W771" s="120">
        <v>772.0</v>
      </c>
    </row>
    <row r="772">
      <c r="A772" s="74" t="s">
        <v>20414</v>
      </c>
      <c r="B772" s="74" t="s">
        <v>6876</v>
      </c>
      <c r="C772" s="74" t="s">
        <v>6877</v>
      </c>
      <c r="D772" s="74" t="s">
        <v>8493</v>
      </c>
      <c r="E772" s="146">
        <v>43832.0</v>
      </c>
      <c r="F772" s="74" t="s">
        <v>20424</v>
      </c>
      <c r="G772" s="74">
        <v>59.0</v>
      </c>
      <c r="H772" s="74">
        <v>1.0</v>
      </c>
      <c r="I772" s="74">
        <v>99.0</v>
      </c>
      <c r="J772" s="119"/>
      <c r="K772" s="119"/>
      <c r="L772" s="74" t="s">
        <v>1924</v>
      </c>
      <c r="M772" s="74" t="s">
        <v>1924</v>
      </c>
      <c r="N772" s="74">
        <v>1.0</v>
      </c>
      <c r="O772" s="74" t="s">
        <v>20335</v>
      </c>
      <c r="P772" s="119"/>
      <c r="Q772" s="74" t="s">
        <v>20427</v>
      </c>
      <c r="R772" s="74">
        <v>5.0</v>
      </c>
      <c r="S772" s="74" t="s">
        <v>18057</v>
      </c>
      <c r="T772" s="120">
        <v>6903.0</v>
      </c>
      <c r="U772" s="74" t="s">
        <v>20428</v>
      </c>
      <c r="V772" s="74" t="s">
        <v>20430</v>
      </c>
      <c r="W772" s="120">
        <v>773.0</v>
      </c>
    </row>
    <row r="773">
      <c r="A773" s="74" t="s">
        <v>20424</v>
      </c>
      <c r="B773" s="74" t="s">
        <v>6876</v>
      </c>
      <c r="C773" s="74" t="s">
        <v>6877</v>
      </c>
      <c r="D773" s="74" t="s">
        <v>8493</v>
      </c>
      <c r="E773" s="146">
        <v>43832.0</v>
      </c>
      <c r="F773" s="74" t="s">
        <v>20431</v>
      </c>
      <c r="G773" s="74">
        <v>59.0</v>
      </c>
      <c r="H773" s="74">
        <v>1.0</v>
      </c>
      <c r="I773" s="74">
        <v>98.0</v>
      </c>
      <c r="J773" s="119"/>
      <c r="K773" s="119"/>
      <c r="L773" s="74" t="s">
        <v>1932</v>
      </c>
      <c r="M773" s="74" t="s">
        <v>1932</v>
      </c>
      <c r="N773" s="74">
        <v>1.0</v>
      </c>
      <c r="O773" s="74" t="s">
        <v>20335</v>
      </c>
      <c r="P773" s="119"/>
      <c r="Q773" s="119"/>
      <c r="R773" s="74">
        <v>5.0</v>
      </c>
      <c r="S773" s="74" t="s">
        <v>18057</v>
      </c>
      <c r="T773" s="120">
        <v>6904.0</v>
      </c>
      <c r="U773" s="74" t="s">
        <v>20434</v>
      </c>
      <c r="V773" s="74" t="s">
        <v>20435</v>
      </c>
      <c r="W773" s="120">
        <v>774.0</v>
      </c>
    </row>
    <row r="774">
      <c r="A774" s="74" t="s">
        <v>20431</v>
      </c>
      <c r="B774" s="74" t="s">
        <v>6876</v>
      </c>
      <c r="C774" s="74" t="s">
        <v>6877</v>
      </c>
      <c r="D774" s="74" t="s">
        <v>8493</v>
      </c>
      <c r="E774" s="146">
        <v>43832.0</v>
      </c>
      <c r="F774" s="74" t="s">
        <v>20437</v>
      </c>
      <c r="G774" s="74">
        <v>59.0</v>
      </c>
      <c r="H774" s="74">
        <v>1.0</v>
      </c>
      <c r="I774" s="74">
        <v>11.0</v>
      </c>
      <c r="J774" s="119"/>
      <c r="K774" s="119"/>
      <c r="L774" s="74" t="s">
        <v>1926</v>
      </c>
      <c r="M774" s="74" t="s">
        <v>1926</v>
      </c>
      <c r="N774" s="74">
        <v>1.0</v>
      </c>
      <c r="O774" s="74" t="s">
        <v>20335</v>
      </c>
      <c r="P774" s="119"/>
      <c r="Q774" s="119"/>
      <c r="R774" s="74">
        <v>5.0</v>
      </c>
      <c r="S774" s="74" t="s">
        <v>18057</v>
      </c>
      <c r="T774" s="120">
        <v>6905.0</v>
      </c>
      <c r="U774" s="74" t="s">
        <v>20440</v>
      </c>
      <c r="V774" s="74" t="s">
        <v>20441</v>
      </c>
      <c r="W774" s="120">
        <v>775.0</v>
      </c>
    </row>
    <row r="775">
      <c r="A775" s="74" t="s">
        <v>20437</v>
      </c>
      <c r="B775" s="74" t="s">
        <v>6876</v>
      </c>
      <c r="C775" s="74" t="s">
        <v>6877</v>
      </c>
      <c r="D775" s="74" t="s">
        <v>8493</v>
      </c>
      <c r="E775" s="146">
        <v>43832.0</v>
      </c>
      <c r="F775" s="74" t="s">
        <v>20445</v>
      </c>
      <c r="G775" s="74">
        <v>59.0</v>
      </c>
      <c r="H775" s="74">
        <v>1.0</v>
      </c>
      <c r="I775" s="74">
        <v>11.0</v>
      </c>
      <c r="J775" s="119"/>
      <c r="K775" s="119"/>
      <c r="L775" s="74" t="s">
        <v>1929</v>
      </c>
      <c r="M775" s="74" t="s">
        <v>1929</v>
      </c>
      <c r="N775" s="74">
        <v>1.0</v>
      </c>
      <c r="O775" s="74" t="s">
        <v>20335</v>
      </c>
      <c r="P775" s="119"/>
      <c r="Q775" s="119"/>
      <c r="R775" s="74">
        <v>5.0</v>
      </c>
      <c r="S775" s="74" t="s">
        <v>18057</v>
      </c>
      <c r="T775" s="120">
        <v>6906.0</v>
      </c>
      <c r="U775" s="74" t="s">
        <v>20447</v>
      </c>
      <c r="V775" s="74" t="s">
        <v>20448</v>
      </c>
      <c r="W775" s="120">
        <v>776.0</v>
      </c>
    </row>
    <row r="776">
      <c r="A776" s="74" t="s">
        <v>20449</v>
      </c>
      <c r="B776" s="74" t="s">
        <v>6876</v>
      </c>
      <c r="C776" s="74" t="s">
        <v>6877</v>
      </c>
      <c r="D776" s="74" t="s">
        <v>8493</v>
      </c>
      <c r="E776" s="146">
        <v>43838.0</v>
      </c>
      <c r="F776" s="74" t="s">
        <v>20450</v>
      </c>
      <c r="G776" s="74">
        <v>59.0</v>
      </c>
      <c r="H776" s="74">
        <v>1.0</v>
      </c>
      <c r="I776" s="74">
        <v>11.0</v>
      </c>
      <c r="J776" s="119"/>
      <c r="K776" s="119"/>
      <c r="L776" s="74" t="s">
        <v>1934</v>
      </c>
      <c r="M776" s="74" t="s">
        <v>1934</v>
      </c>
      <c r="N776" s="74">
        <v>1.0</v>
      </c>
      <c r="O776" s="74" t="s">
        <v>20453</v>
      </c>
      <c r="P776" s="119"/>
      <c r="Q776" s="119"/>
      <c r="R776" s="74">
        <v>5.0</v>
      </c>
      <c r="S776" s="74" t="s">
        <v>18057</v>
      </c>
      <c r="T776" s="120">
        <v>7067.0</v>
      </c>
      <c r="U776" s="74" t="s">
        <v>20454</v>
      </c>
      <c r="V776" s="74" t="s">
        <v>20455</v>
      </c>
      <c r="W776" s="120">
        <v>777.0</v>
      </c>
    </row>
    <row r="777">
      <c r="A777" s="74" t="s">
        <v>20450</v>
      </c>
      <c r="B777" s="74" t="s">
        <v>6876</v>
      </c>
      <c r="C777" s="74" t="s">
        <v>6877</v>
      </c>
      <c r="D777" s="74" t="s">
        <v>8493</v>
      </c>
      <c r="E777" s="146">
        <v>43838.0</v>
      </c>
      <c r="F777" s="74" t="s">
        <v>20457</v>
      </c>
      <c r="G777" s="74">
        <v>59.0</v>
      </c>
      <c r="H777" s="74">
        <v>1.0</v>
      </c>
      <c r="I777" s="74">
        <v>11.0</v>
      </c>
      <c r="J777" s="119"/>
      <c r="K777" s="119"/>
      <c r="L777" s="74" t="s">
        <v>1937</v>
      </c>
      <c r="M777" s="74" t="s">
        <v>1937</v>
      </c>
      <c r="N777" s="74">
        <v>1.0</v>
      </c>
      <c r="O777" s="74" t="s">
        <v>20453</v>
      </c>
      <c r="P777" s="119"/>
      <c r="Q777" s="119"/>
      <c r="R777" s="74">
        <v>5.0</v>
      </c>
      <c r="S777" s="74" t="s">
        <v>18057</v>
      </c>
      <c r="T777" s="120">
        <v>7068.0</v>
      </c>
      <c r="U777" s="74" t="s">
        <v>20458</v>
      </c>
      <c r="V777" s="74" t="s">
        <v>20459</v>
      </c>
      <c r="W777" s="120">
        <v>778.0</v>
      </c>
    </row>
    <row r="778">
      <c r="A778" s="74" t="s">
        <v>20457</v>
      </c>
      <c r="B778" s="74" t="s">
        <v>6876</v>
      </c>
      <c r="C778" s="74" t="s">
        <v>6877</v>
      </c>
      <c r="D778" s="74" t="s">
        <v>8493</v>
      </c>
      <c r="E778" s="146">
        <v>43838.0</v>
      </c>
      <c r="F778" s="74" t="s">
        <v>20460</v>
      </c>
      <c r="G778" s="74">
        <v>59.0</v>
      </c>
      <c r="H778" s="74">
        <v>1.0</v>
      </c>
      <c r="I778" s="74">
        <v>11.0</v>
      </c>
      <c r="J778" s="119"/>
      <c r="K778" s="119"/>
      <c r="L778" s="74" t="s">
        <v>1940</v>
      </c>
      <c r="M778" s="74" t="s">
        <v>1940</v>
      </c>
      <c r="N778" s="74">
        <v>1.0</v>
      </c>
      <c r="O778" s="74" t="s">
        <v>20453</v>
      </c>
      <c r="P778" s="119"/>
      <c r="Q778" s="119"/>
      <c r="R778" s="74">
        <v>5.0</v>
      </c>
      <c r="S778" s="74" t="s">
        <v>18057</v>
      </c>
      <c r="T778" s="120">
        <v>7069.0</v>
      </c>
      <c r="U778" s="74" t="s">
        <v>20467</v>
      </c>
      <c r="V778" s="74" t="s">
        <v>20468</v>
      </c>
      <c r="W778" s="120">
        <v>779.0</v>
      </c>
    </row>
    <row r="779">
      <c r="A779" s="74" t="s">
        <v>20460</v>
      </c>
      <c r="B779" s="74" t="s">
        <v>6876</v>
      </c>
      <c r="C779" s="74" t="s">
        <v>6877</v>
      </c>
      <c r="D779" s="74" t="s">
        <v>8493</v>
      </c>
      <c r="E779" s="146">
        <v>43838.0</v>
      </c>
      <c r="F779" s="74" t="s">
        <v>20469</v>
      </c>
      <c r="G779" s="74">
        <v>59.0</v>
      </c>
      <c r="H779" s="74">
        <v>1.0</v>
      </c>
      <c r="I779" s="74">
        <v>11.0</v>
      </c>
      <c r="J779" s="119"/>
      <c r="K779" s="119"/>
      <c r="L779" s="74" t="s">
        <v>1943</v>
      </c>
      <c r="M779" s="74" t="s">
        <v>1943</v>
      </c>
      <c r="N779" s="74">
        <v>1.0</v>
      </c>
      <c r="O779" s="74" t="s">
        <v>20453</v>
      </c>
      <c r="P779" s="119"/>
      <c r="Q779" s="119"/>
      <c r="R779" s="74">
        <v>5.0</v>
      </c>
      <c r="S779" s="74" t="s">
        <v>18057</v>
      </c>
      <c r="T779" s="120">
        <v>7070.0</v>
      </c>
      <c r="U779" s="74" t="s">
        <v>20472</v>
      </c>
      <c r="V779" s="74" t="s">
        <v>20474</v>
      </c>
      <c r="W779" s="120">
        <v>780.0</v>
      </c>
    </row>
    <row r="780">
      <c r="A780" s="74" t="s">
        <v>20469</v>
      </c>
      <c r="B780" s="74" t="s">
        <v>6876</v>
      </c>
      <c r="C780" s="74" t="s">
        <v>6877</v>
      </c>
      <c r="D780" s="74" t="s">
        <v>8493</v>
      </c>
      <c r="E780" s="146">
        <v>43838.0</v>
      </c>
      <c r="F780" s="74" t="s">
        <v>20475</v>
      </c>
      <c r="G780" s="74">
        <v>59.0</v>
      </c>
      <c r="H780" s="74">
        <v>1.0</v>
      </c>
      <c r="I780" s="74">
        <v>99.0</v>
      </c>
      <c r="J780" s="119"/>
      <c r="K780" s="119"/>
      <c r="L780" s="74" t="s">
        <v>1944</v>
      </c>
      <c r="M780" s="74" t="s">
        <v>1944</v>
      </c>
      <c r="N780" s="74">
        <v>1.0</v>
      </c>
      <c r="O780" s="74" t="s">
        <v>20453</v>
      </c>
      <c r="P780" s="119"/>
      <c r="Q780" s="74" t="s">
        <v>20476</v>
      </c>
      <c r="R780" s="74">
        <v>5.0</v>
      </c>
      <c r="S780" s="74" t="s">
        <v>18057</v>
      </c>
      <c r="T780" s="120">
        <v>7071.0</v>
      </c>
      <c r="U780" s="74" t="s">
        <v>20479</v>
      </c>
      <c r="V780" s="74" t="s">
        <v>20480</v>
      </c>
      <c r="W780" s="120">
        <v>781.0</v>
      </c>
    </row>
    <row r="781">
      <c r="A781" s="74" t="s">
        <v>20475</v>
      </c>
      <c r="B781" s="74" t="s">
        <v>6876</v>
      </c>
      <c r="C781" s="74" t="s">
        <v>6877</v>
      </c>
      <c r="D781" s="74" t="s">
        <v>8493</v>
      </c>
      <c r="E781" s="146">
        <v>43838.0</v>
      </c>
      <c r="F781" s="74" t="s">
        <v>20483</v>
      </c>
      <c r="G781" s="74">
        <v>66.0</v>
      </c>
      <c r="H781" s="74">
        <v>1.0</v>
      </c>
      <c r="I781" s="74">
        <v>12.0</v>
      </c>
      <c r="J781" s="119"/>
      <c r="K781" s="119"/>
      <c r="L781" s="74" t="s">
        <v>2708</v>
      </c>
      <c r="M781" s="74" t="s">
        <v>2708</v>
      </c>
      <c r="N781" s="74">
        <v>1.0</v>
      </c>
      <c r="O781" s="74" t="s">
        <v>20453</v>
      </c>
      <c r="P781" s="119"/>
      <c r="Q781" s="119"/>
      <c r="R781" s="74">
        <v>5.0</v>
      </c>
      <c r="S781" s="74" t="s">
        <v>18057</v>
      </c>
      <c r="T781" s="120">
        <v>7072.0</v>
      </c>
      <c r="U781" s="74" t="s">
        <v>20487</v>
      </c>
      <c r="V781" s="74" t="s">
        <v>20488</v>
      </c>
      <c r="W781" s="120">
        <v>782.0</v>
      </c>
    </row>
    <row r="782">
      <c r="A782" s="74" t="s">
        <v>20483</v>
      </c>
      <c r="B782" s="74" t="s">
        <v>6876</v>
      </c>
      <c r="C782" s="74" t="s">
        <v>6877</v>
      </c>
      <c r="D782" s="74" t="s">
        <v>8493</v>
      </c>
      <c r="E782" s="146">
        <v>43838.0</v>
      </c>
      <c r="F782" s="74" t="s">
        <v>20492</v>
      </c>
      <c r="G782" s="74">
        <v>59.0</v>
      </c>
      <c r="H782" s="74">
        <v>1.0</v>
      </c>
      <c r="I782" s="74">
        <v>12.0</v>
      </c>
      <c r="J782" s="119"/>
      <c r="K782" s="119"/>
      <c r="L782" s="74" t="s">
        <v>1953</v>
      </c>
      <c r="M782" s="74" t="s">
        <v>1953</v>
      </c>
      <c r="N782" s="74">
        <v>1.0</v>
      </c>
      <c r="O782" s="74" t="s">
        <v>20453</v>
      </c>
      <c r="P782" s="119"/>
      <c r="Q782" s="119"/>
      <c r="R782" s="74">
        <v>5.0</v>
      </c>
      <c r="S782" s="74" t="s">
        <v>18057</v>
      </c>
      <c r="T782" s="120">
        <v>7073.0</v>
      </c>
      <c r="U782" s="74" t="s">
        <v>20495</v>
      </c>
      <c r="V782" s="74" t="s">
        <v>20496</v>
      </c>
      <c r="W782" s="120">
        <v>783.0</v>
      </c>
    </row>
    <row r="783">
      <c r="A783" s="74" t="s">
        <v>20492</v>
      </c>
      <c r="B783" s="74" t="s">
        <v>6876</v>
      </c>
      <c r="C783" s="74" t="s">
        <v>6877</v>
      </c>
      <c r="D783" s="74" t="s">
        <v>8493</v>
      </c>
      <c r="E783" s="146">
        <v>43838.0</v>
      </c>
      <c r="F783" s="74" t="s">
        <v>20498</v>
      </c>
      <c r="G783" s="74">
        <v>59.0</v>
      </c>
      <c r="H783" s="74">
        <v>1.0</v>
      </c>
      <c r="I783" s="74">
        <v>12.0</v>
      </c>
      <c r="J783" s="119"/>
      <c r="K783" s="119"/>
      <c r="L783" s="74" t="s">
        <v>1956</v>
      </c>
      <c r="M783" s="74" t="s">
        <v>1956</v>
      </c>
      <c r="N783" s="74">
        <v>1.0</v>
      </c>
      <c r="O783" s="74" t="s">
        <v>20453</v>
      </c>
      <c r="P783" s="119"/>
      <c r="Q783" s="119"/>
      <c r="R783" s="74">
        <v>5.0</v>
      </c>
      <c r="S783" s="74" t="s">
        <v>18057</v>
      </c>
      <c r="T783" s="120">
        <v>7074.0</v>
      </c>
      <c r="U783" s="74" t="s">
        <v>20502</v>
      </c>
      <c r="V783" s="74" t="s">
        <v>20504</v>
      </c>
      <c r="W783" s="120">
        <v>784.0</v>
      </c>
    </row>
    <row r="784">
      <c r="A784" s="74" t="s">
        <v>20498</v>
      </c>
      <c r="B784" s="74" t="s">
        <v>6876</v>
      </c>
      <c r="C784" s="74" t="s">
        <v>6877</v>
      </c>
      <c r="D784" s="74" t="s">
        <v>8493</v>
      </c>
      <c r="E784" s="146">
        <v>43838.0</v>
      </c>
      <c r="F784" s="74" t="s">
        <v>20508</v>
      </c>
      <c r="G784" s="74">
        <v>59.0</v>
      </c>
      <c r="H784" s="74">
        <v>1.0</v>
      </c>
      <c r="I784" s="74">
        <v>11.0</v>
      </c>
      <c r="J784" s="119"/>
      <c r="K784" s="119"/>
      <c r="L784" s="74" t="s">
        <v>334</v>
      </c>
      <c r="M784" s="74" t="s">
        <v>334</v>
      </c>
      <c r="N784" s="74">
        <v>1.0</v>
      </c>
      <c r="O784" s="74" t="s">
        <v>20453</v>
      </c>
      <c r="P784" s="119"/>
      <c r="Q784" s="119"/>
      <c r="R784" s="74">
        <v>5.0</v>
      </c>
      <c r="S784" s="74" t="s">
        <v>18057</v>
      </c>
      <c r="T784" s="120">
        <v>7075.0</v>
      </c>
      <c r="U784" s="74" t="s">
        <v>20509</v>
      </c>
      <c r="V784" s="74" t="s">
        <v>20512</v>
      </c>
      <c r="W784" s="120">
        <v>785.0</v>
      </c>
    </row>
    <row r="785">
      <c r="A785" s="74" t="s">
        <v>20508</v>
      </c>
      <c r="B785" s="74" t="s">
        <v>6876</v>
      </c>
      <c r="C785" s="74" t="s">
        <v>6877</v>
      </c>
      <c r="D785" s="74" t="s">
        <v>8493</v>
      </c>
      <c r="E785" s="146">
        <v>43838.0</v>
      </c>
      <c r="F785" s="74" t="s">
        <v>20515</v>
      </c>
      <c r="G785" s="74">
        <v>59.0</v>
      </c>
      <c r="H785" s="74">
        <v>1.0</v>
      </c>
      <c r="I785" s="74">
        <v>99.0</v>
      </c>
      <c r="J785" s="119"/>
      <c r="K785" s="119"/>
      <c r="L785" s="74" t="s">
        <v>1948</v>
      </c>
      <c r="M785" s="74" t="s">
        <v>1948</v>
      </c>
      <c r="N785" s="74">
        <v>1.0</v>
      </c>
      <c r="O785" s="74" t="s">
        <v>20453</v>
      </c>
      <c r="P785" s="119"/>
      <c r="Q785" s="119"/>
      <c r="R785" s="74">
        <v>5.0</v>
      </c>
      <c r="S785" s="74" t="s">
        <v>18057</v>
      </c>
      <c r="T785" s="120">
        <v>7076.0</v>
      </c>
      <c r="U785" s="74" t="s">
        <v>20521</v>
      </c>
      <c r="V785" s="74" t="s">
        <v>20523</v>
      </c>
      <c r="W785" s="120">
        <v>786.0</v>
      </c>
    </row>
    <row r="786">
      <c r="A786" s="74" t="s">
        <v>20515</v>
      </c>
      <c r="B786" s="74" t="s">
        <v>6876</v>
      </c>
      <c r="C786" s="74" t="s">
        <v>6877</v>
      </c>
      <c r="D786" s="74" t="s">
        <v>8493</v>
      </c>
      <c r="E786" s="146">
        <v>43838.0</v>
      </c>
      <c r="F786" s="74" t="s">
        <v>20526</v>
      </c>
      <c r="G786" s="74">
        <v>59.0</v>
      </c>
      <c r="H786" s="74">
        <v>1.0</v>
      </c>
      <c r="I786" s="74">
        <v>11.0</v>
      </c>
      <c r="J786" s="119"/>
      <c r="K786" s="119"/>
      <c r="L786" s="74" t="s">
        <v>1950</v>
      </c>
      <c r="M786" s="74" t="s">
        <v>1950</v>
      </c>
      <c r="N786" s="74">
        <v>1.0</v>
      </c>
      <c r="O786" s="74" t="s">
        <v>20453</v>
      </c>
      <c r="P786" s="119"/>
      <c r="Q786" s="119"/>
      <c r="R786" s="74">
        <v>5.0</v>
      </c>
      <c r="S786" s="74" t="s">
        <v>18057</v>
      </c>
      <c r="T786" s="120">
        <v>7077.0</v>
      </c>
      <c r="U786" s="74" t="s">
        <v>20529</v>
      </c>
      <c r="V786" s="74" t="s">
        <v>20530</v>
      </c>
      <c r="W786" s="120">
        <v>787.0</v>
      </c>
    </row>
    <row r="787">
      <c r="A787" s="74" t="s">
        <v>20526</v>
      </c>
      <c r="B787" s="74" t="s">
        <v>6876</v>
      </c>
      <c r="C787" s="74" t="s">
        <v>6877</v>
      </c>
      <c r="D787" s="74" t="s">
        <v>8493</v>
      </c>
      <c r="E787" s="146">
        <v>43838.0</v>
      </c>
      <c r="F787" s="74" t="s">
        <v>20532</v>
      </c>
      <c r="G787" s="74">
        <v>59.0</v>
      </c>
      <c r="H787" s="74">
        <v>1.0</v>
      </c>
      <c r="I787" s="74">
        <v>11.0</v>
      </c>
      <c r="J787" s="119"/>
      <c r="K787" s="119"/>
      <c r="L787" s="74" t="s">
        <v>1960</v>
      </c>
      <c r="M787" s="74" t="s">
        <v>1960</v>
      </c>
      <c r="N787" s="74">
        <v>1.0</v>
      </c>
      <c r="O787" s="74" t="s">
        <v>20453</v>
      </c>
      <c r="P787" s="119"/>
      <c r="Q787" s="119"/>
      <c r="R787" s="74">
        <v>5.0</v>
      </c>
      <c r="S787" s="74" t="s">
        <v>18057</v>
      </c>
      <c r="T787" s="120">
        <v>7078.0</v>
      </c>
      <c r="U787" s="74" t="s">
        <v>20538</v>
      </c>
      <c r="V787" s="74" t="s">
        <v>20540</v>
      </c>
      <c r="W787" s="120">
        <v>788.0</v>
      </c>
    </row>
    <row r="788">
      <c r="A788" s="74" t="s">
        <v>20532</v>
      </c>
      <c r="B788" s="74" t="s">
        <v>6876</v>
      </c>
      <c r="C788" s="74" t="s">
        <v>6877</v>
      </c>
      <c r="D788" s="74" t="s">
        <v>8493</v>
      </c>
      <c r="E788" s="146">
        <v>43838.0</v>
      </c>
      <c r="F788" s="74" t="s">
        <v>20542</v>
      </c>
      <c r="G788" s="74">
        <v>59.0</v>
      </c>
      <c r="H788" s="74">
        <v>1.0</v>
      </c>
      <c r="I788" s="74">
        <v>11.0</v>
      </c>
      <c r="J788" s="119"/>
      <c r="K788" s="119"/>
      <c r="L788" s="74" t="s">
        <v>1963</v>
      </c>
      <c r="M788" s="74" t="s">
        <v>1963</v>
      </c>
      <c r="N788" s="74">
        <v>1.0</v>
      </c>
      <c r="O788" s="74" t="s">
        <v>20453</v>
      </c>
      <c r="P788" s="119"/>
      <c r="Q788" s="119"/>
      <c r="R788" s="74">
        <v>5.0</v>
      </c>
      <c r="S788" s="74" t="s">
        <v>18057</v>
      </c>
      <c r="T788" s="120">
        <v>7079.0</v>
      </c>
      <c r="U788" s="74" t="s">
        <v>20545</v>
      </c>
      <c r="V788" s="74" t="s">
        <v>20546</v>
      </c>
      <c r="W788" s="120">
        <v>789.0</v>
      </c>
    </row>
    <row r="789">
      <c r="A789" s="74" t="s">
        <v>20542</v>
      </c>
      <c r="B789" s="74" t="s">
        <v>6876</v>
      </c>
      <c r="C789" s="74" t="s">
        <v>6877</v>
      </c>
      <c r="D789" s="74" t="s">
        <v>8493</v>
      </c>
      <c r="E789" s="146">
        <v>43838.0</v>
      </c>
      <c r="F789" s="74" t="s">
        <v>20548</v>
      </c>
      <c r="G789" s="74">
        <v>59.0</v>
      </c>
      <c r="H789" s="74">
        <v>1.0</v>
      </c>
      <c r="I789" s="74">
        <v>99.0</v>
      </c>
      <c r="J789" s="119"/>
      <c r="K789" s="119"/>
      <c r="L789" s="74" t="s">
        <v>1964</v>
      </c>
      <c r="M789" s="74" t="s">
        <v>1964</v>
      </c>
      <c r="N789" s="74">
        <v>1.0</v>
      </c>
      <c r="O789" s="74" t="s">
        <v>20453</v>
      </c>
      <c r="P789" s="119"/>
      <c r="Q789" s="74" t="s">
        <v>20549</v>
      </c>
      <c r="R789" s="74">
        <v>5.0</v>
      </c>
      <c r="S789" s="74" t="s">
        <v>18057</v>
      </c>
      <c r="T789" s="120">
        <v>7080.0</v>
      </c>
      <c r="U789" s="74" t="s">
        <v>20557</v>
      </c>
      <c r="V789" s="74" t="s">
        <v>20558</v>
      </c>
      <c r="W789" s="120">
        <v>790.0</v>
      </c>
    </row>
    <row r="790">
      <c r="A790" s="74" t="s">
        <v>20548</v>
      </c>
      <c r="B790" s="74" t="s">
        <v>6876</v>
      </c>
      <c r="C790" s="74" t="s">
        <v>6877</v>
      </c>
      <c r="D790" s="74" t="s">
        <v>8493</v>
      </c>
      <c r="E790" s="146">
        <v>43838.0</v>
      </c>
      <c r="F790" s="74" t="s">
        <v>20559</v>
      </c>
      <c r="G790" s="74">
        <v>59.0</v>
      </c>
      <c r="H790" s="74">
        <v>1.0</v>
      </c>
      <c r="I790" s="74">
        <v>11.0</v>
      </c>
      <c r="J790" s="119"/>
      <c r="K790" s="119"/>
      <c r="L790" s="74" t="s">
        <v>1966</v>
      </c>
      <c r="M790" s="74" t="s">
        <v>1966</v>
      </c>
      <c r="N790" s="74">
        <v>1.0</v>
      </c>
      <c r="O790" s="74" t="s">
        <v>20453</v>
      </c>
      <c r="P790" s="119"/>
      <c r="Q790" s="119"/>
      <c r="R790" s="74">
        <v>5.0</v>
      </c>
      <c r="S790" s="74" t="s">
        <v>18057</v>
      </c>
      <c r="T790" s="120">
        <v>7081.0</v>
      </c>
      <c r="U790" s="74" t="s">
        <v>20562</v>
      </c>
      <c r="V790" s="74" t="s">
        <v>20563</v>
      </c>
      <c r="W790" s="120">
        <v>791.0</v>
      </c>
    </row>
    <row r="791">
      <c r="A791" s="74" t="s">
        <v>20559</v>
      </c>
      <c r="B791" s="74" t="s">
        <v>6876</v>
      </c>
      <c r="C791" s="74" t="s">
        <v>6877</v>
      </c>
      <c r="D791" s="74" t="s">
        <v>8493</v>
      </c>
      <c r="E791" s="146">
        <v>43838.0</v>
      </c>
      <c r="F791" s="74" t="s">
        <v>20565</v>
      </c>
      <c r="G791" s="74">
        <v>59.0</v>
      </c>
      <c r="H791" s="74">
        <v>1.0</v>
      </c>
      <c r="I791" s="74">
        <v>16.0</v>
      </c>
      <c r="J791" s="119"/>
      <c r="K791" s="119"/>
      <c r="L791" s="74" t="s">
        <v>1982</v>
      </c>
      <c r="M791" s="74" t="s">
        <v>1982</v>
      </c>
      <c r="N791" s="74">
        <v>1.0</v>
      </c>
      <c r="O791" s="74" t="s">
        <v>20453</v>
      </c>
      <c r="P791" s="119"/>
      <c r="Q791" s="119"/>
      <c r="R791" s="74">
        <v>5.0</v>
      </c>
      <c r="S791" s="74" t="s">
        <v>18057</v>
      </c>
      <c r="T791" s="120">
        <v>7082.0</v>
      </c>
      <c r="U791" s="74" t="s">
        <v>20570</v>
      </c>
      <c r="V791" s="74" t="s">
        <v>20571</v>
      </c>
      <c r="W791" s="120">
        <v>792.0</v>
      </c>
    </row>
    <row r="792">
      <c r="A792" s="74" t="s">
        <v>20565</v>
      </c>
      <c r="B792" s="74" t="s">
        <v>6876</v>
      </c>
      <c r="C792" s="74" t="s">
        <v>6877</v>
      </c>
      <c r="D792" s="74" t="s">
        <v>8493</v>
      </c>
      <c r="E792" s="146">
        <v>43838.0</v>
      </c>
      <c r="F792" s="74" t="s">
        <v>20573</v>
      </c>
      <c r="G792" s="74">
        <v>59.0</v>
      </c>
      <c r="H792" s="74">
        <v>1.0</v>
      </c>
      <c r="I792" s="74">
        <v>11.0</v>
      </c>
      <c r="J792" s="119"/>
      <c r="K792" s="119"/>
      <c r="L792" s="74" t="s">
        <v>1969</v>
      </c>
      <c r="M792" s="74" t="s">
        <v>1969</v>
      </c>
      <c r="N792" s="74">
        <v>1.0</v>
      </c>
      <c r="O792" s="74" t="s">
        <v>20453</v>
      </c>
      <c r="P792" s="119"/>
      <c r="Q792" s="119"/>
      <c r="R792" s="74">
        <v>5.0</v>
      </c>
      <c r="S792" s="74" t="s">
        <v>18057</v>
      </c>
      <c r="T792" s="120">
        <v>7083.0</v>
      </c>
      <c r="U792" s="74" t="s">
        <v>20575</v>
      </c>
      <c r="V792" s="74" t="s">
        <v>20576</v>
      </c>
      <c r="W792" s="120">
        <v>793.0</v>
      </c>
    </row>
    <row r="793">
      <c r="A793" s="74" t="s">
        <v>20573</v>
      </c>
      <c r="B793" s="74" t="s">
        <v>6876</v>
      </c>
      <c r="C793" s="74" t="s">
        <v>6877</v>
      </c>
      <c r="D793" s="74" t="s">
        <v>8493</v>
      </c>
      <c r="E793" s="146">
        <v>43838.0</v>
      </c>
      <c r="F793" s="74" t="s">
        <v>20578</v>
      </c>
      <c r="G793" s="74">
        <v>59.0</v>
      </c>
      <c r="H793" s="74">
        <v>1.0</v>
      </c>
      <c r="I793" s="74">
        <v>98.0</v>
      </c>
      <c r="J793" s="119"/>
      <c r="K793" s="119"/>
      <c r="L793" s="74" t="s">
        <v>1946</v>
      </c>
      <c r="M793" s="74" t="s">
        <v>1946</v>
      </c>
      <c r="N793" s="74">
        <v>1.0</v>
      </c>
      <c r="O793" s="74" t="s">
        <v>20453</v>
      </c>
      <c r="P793" s="119"/>
      <c r="Q793" s="119"/>
      <c r="R793" s="74">
        <v>5.0</v>
      </c>
      <c r="S793" s="74" t="s">
        <v>18057</v>
      </c>
      <c r="T793" s="120">
        <v>7084.0</v>
      </c>
      <c r="U793" s="74" t="s">
        <v>20582</v>
      </c>
      <c r="V793" s="74" t="s">
        <v>20583</v>
      </c>
      <c r="W793" s="120">
        <v>794.0</v>
      </c>
    </row>
    <row r="794">
      <c r="A794" s="74" t="s">
        <v>20578</v>
      </c>
      <c r="B794" s="74" t="s">
        <v>6876</v>
      </c>
      <c r="C794" s="74" t="s">
        <v>6877</v>
      </c>
      <c r="D794" s="74" t="s">
        <v>8493</v>
      </c>
      <c r="E794" s="146">
        <v>43838.0</v>
      </c>
      <c r="F794" s="74" t="s">
        <v>20587</v>
      </c>
      <c r="G794" s="74">
        <v>55.0</v>
      </c>
      <c r="H794" s="74">
        <v>1.0</v>
      </c>
      <c r="I794" s="74">
        <v>12.0</v>
      </c>
      <c r="J794" s="119"/>
      <c r="K794" s="119"/>
      <c r="L794" s="74" t="s">
        <v>1973</v>
      </c>
      <c r="M794" s="74" t="s">
        <v>1973</v>
      </c>
      <c r="N794" s="74">
        <v>1.0</v>
      </c>
      <c r="O794" s="74" t="s">
        <v>20453</v>
      </c>
      <c r="P794" s="119"/>
      <c r="Q794" s="119"/>
      <c r="R794" s="74">
        <v>6.0</v>
      </c>
      <c r="S794" s="74" t="s">
        <v>18057</v>
      </c>
      <c r="T794" s="120">
        <v>7085.0</v>
      </c>
      <c r="U794" s="74" t="s">
        <v>20589</v>
      </c>
      <c r="V794" s="74" t="s">
        <v>20590</v>
      </c>
      <c r="W794" s="120">
        <v>795.0</v>
      </c>
    </row>
    <row r="795">
      <c r="A795" s="74" t="s">
        <v>20587</v>
      </c>
      <c r="B795" s="74" t="s">
        <v>6876</v>
      </c>
      <c r="C795" s="74" t="s">
        <v>6877</v>
      </c>
      <c r="D795" s="74" t="s">
        <v>8493</v>
      </c>
      <c r="E795" s="146">
        <v>43838.0</v>
      </c>
      <c r="F795" s="74" t="s">
        <v>20591</v>
      </c>
      <c r="G795" s="74">
        <v>55.0</v>
      </c>
      <c r="H795" s="74">
        <v>1.0</v>
      </c>
      <c r="I795" s="74">
        <v>99.0</v>
      </c>
      <c r="J795" s="119"/>
      <c r="K795" s="119"/>
      <c r="L795" s="74" t="s">
        <v>1974</v>
      </c>
      <c r="M795" s="74" t="s">
        <v>1974</v>
      </c>
      <c r="N795" s="74">
        <v>1.0</v>
      </c>
      <c r="O795" s="74" t="s">
        <v>20594</v>
      </c>
      <c r="P795" s="119"/>
      <c r="Q795" s="74" t="s">
        <v>20595</v>
      </c>
      <c r="R795" s="74">
        <v>6.0</v>
      </c>
      <c r="S795" s="74" t="s">
        <v>18057</v>
      </c>
      <c r="T795" s="120">
        <v>7086.0</v>
      </c>
      <c r="U795" s="74" t="s">
        <v>20598</v>
      </c>
      <c r="V795" s="74" t="s">
        <v>20600</v>
      </c>
      <c r="W795" s="120">
        <v>796.0</v>
      </c>
    </row>
    <row r="796">
      <c r="A796" s="74" t="s">
        <v>20591</v>
      </c>
      <c r="B796" s="74" t="s">
        <v>6876</v>
      </c>
      <c r="C796" s="74" t="s">
        <v>6877</v>
      </c>
      <c r="D796" s="74" t="s">
        <v>8493</v>
      </c>
      <c r="E796" s="146">
        <v>43838.0</v>
      </c>
      <c r="F796" s="74" t="s">
        <v>20603</v>
      </c>
      <c r="G796" s="74">
        <v>57.0</v>
      </c>
      <c r="H796" s="74">
        <v>1.0</v>
      </c>
      <c r="I796" s="74">
        <v>12.0</v>
      </c>
      <c r="J796" s="119"/>
      <c r="K796" s="119"/>
      <c r="L796" s="74" t="s">
        <v>1976</v>
      </c>
      <c r="M796" s="74" t="s">
        <v>1976</v>
      </c>
      <c r="N796" s="74">
        <v>1.0</v>
      </c>
      <c r="O796" s="74" t="s">
        <v>20594</v>
      </c>
      <c r="P796" s="119"/>
      <c r="Q796" s="119"/>
      <c r="R796" s="74">
        <v>6.0</v>
      </c>
      <c r="S796" s="74" t="s">
        <v>18057</v>
      </c>
      <c r="T796" s="120">
        <v>7087.0</v>
      </c>
      <c r="U796" s="74" t="s">
        <v>20604</v>
      </c>
      <c r="V796" s="74" t="s">
        <v>20606</v>
      </c>
      <c r="W796" s="120">
        <v>797.0</v>
      </c>
    </row>
    <row r="797">
      <c r="A797" s="74" t="s">
        <v>20603</v>
      </c>
      <c r="B797" s="74" t="s">
        <v>6876</v>
      </c>
      <c r="C797" s="74" t="s">
        <v>6877</v>
      </c>
      <c r="D797" s="74" t="s">
        <v>8493</v>
      </c>
      <c r="E797" s="146">
        <v>43838.0</v>
      </c>
      <c r="F797" s="74" t="s">
        <v>20609</v>
      </c>
      <c r="G797" s="74">
        <v>57.0</v>
      </c>
      <c r="H797" s="74">
        <v>1.0</v>
      </c>
      <c r="I797" s="74">
        <v>12.0</v>
      </c>
      <c r="J797" s="119"/>
      <c r="K797" s="119"/>
      <c r="L797" s="74" t="s">
        <v>1979</v>
      </c>
      <c r="M797" s="74" t="s">
        <v>1979</v>
      </c>
      <c r="N797" s="74">
        <v>1.0</v>
      </c>
      <c r="O797" s="74" t="s">
        <v>20594</v>
      </c>
      <c r="P797" s="119"/>
      <c r="Q797" s="119"/>
      <c r="R797" s="74">
        <v>6.0</v>
      </c>
      <c r="S797" s="74" t="s">
        <v>18057</v>
      </c>
      <c r="T797" s="120">
        <v>7088.0</v>
      </c>
      <c r="U797" s="74" t="s">
        <v>20611</v>
      </c>
      <c r="V797" s="74" t="s">
        <v>20612</v>
      </c>
      <c r="W797" s="120">
        <v>798.0</v>
      </c>
    </row>
    <row r="798">
      <c r="A798" s="74" t="s">
        <v>20613</v>
      </c>
      <c r="B798" s="74" t="s">
        <v>6876</v>
      </c>
      <c r="C798" s="74" t="s">
        <v>6877</v>
      </c>
      <c r="D798" s="74" t="s">
        <v>8493</v>
      </c>
      <c r="E798" s="146">
        <v>43838.0</v>
      </c>
      <c r="F798" s="74" t="s">
        <v>20616</v>
      </c>
      <c r="G798" s="74">
        <v>59.0</v>
      </c>
      <c r="H798" s="74">
        <v>1.0</v>
      </c>
      <c r="I798" s="74">
        <v>16.0</v>
      </c>
      <c r="J798" s="119"/>
      <c r="K798" s="119"/>
      <c r="L798" s="74" t="s">
        <v>1983</v>
      </c>
      <c r="M798" s="74" t="s">
        <v>1983</v>
      </c>
      <c r="N798" s="74">
        <v>1.0</v>
      </c>
      <c r="O798" s="74" t="s">
        <v>20594</v>
      </c>
      <c r="P798" s="119"/>
      <c r="Q798" s="119"/>
      <c r="R798" s="74">
        <v>6.0</v>
      </c>
      <c r="S798" s="74" t="s">
        <v>18057</v>
      </c>
      <c r="T798" s="120">
        <v>7089.0</v>
      </c>
      <c r="U798" s="74" t="s">
        <v>20622</v>
      </c>
      <c r="V798" s="74" t="s">
        <v>20623</v>
      </c>
      <c r="W798" s="120">
        <v>799.0</v>
      </c>
    </row>
    <row r="799">
      <c r="A799" s="74" t="s">
        <v>20616</v>
      </c>
      <c r="B799" s="74" t="s">
        <v>6876</v>
      </c>
      <c r="C799" s="74" t="s">
        <v>6877</v>
      </c>
      <c r="D799" s="74" t="s">
        <v>8493</v>
      </c>
      <c r="E799" s="146">
        <v>43838.0</v>
      </c>
      <c r="F799" s="74" t="s">
        <v>20624</v>
      </c>
      <c r="G799" s="74">
        <v>59.0</v>
      </c>
      <c r="H799" s="74">
        <v>1.0</v>
      </c>
      <c r="I799" s="74">
        <v>3.0</v>
      </c>
      <c r="J799" s="119"/>
      <c r="K799" s="119"/>
      <c r="L799" s="74" t="s">
        <v>1985</v>
      </c>
      <c r="M799" s="74" t="s">
        <v>1985</v>
      </c>
      <c r="N799" s="74">
        <v>1.0</v>
      </c>
      <c r="O799" s="74" t="s">
        <v>20627</v>
      </c>
      <c r="P799" s="119"/>
      <c r="Q799" s="119"/>
      <c r="R799" s="74">
        <v>6.0</v>
      </c>
      <c r="S799" s="74" t="s">
        <v>18057</v>
      </c>
      <c r="T799" s="120">
        <v>7090.0</v>
      </c>
      <c r="U799" s="74" t="s">
        <v>20629</v>
      </c>
      <c r="V799" s="74" t="s">
        <v>20631</v>
      </c>
      <c r="W799" s="120">
        <v>800.0</v>
      </c>
    </row>
    <row r="800">
      <c r="A800" s="74" t="s">
        <v>20624</v>
      </c>
      <c r="B800" s="74" t="s">
        <v>6876</v>
      </c>
      <c r="C800" s="74" t="s">
        <v>6877</v>
      </c>
      <c r="D800" s="74" t="s">
        <v>8493</v>
      </c>
      <c r="E800" s="146">
        <v>43838.0</v>
      </c>
      <c r="F800" s="74" t="s">
        <v>20635</v>
      </c>
      <c r="G800" s="74">
        <v>59.0</v>
      </c>
      <c r="H800" s="74">
        <v>1.0</v>
      </c>
      <c r="I800" s="74">
        <v>99.0</v>
      </c>
      <c r="J800" s="119"/>
      <c r="K800" s="119"/>
      <c r="L800" s="74" t="s">
        <v>1986</v>
      </c>
      <c r="M800" s="74" t="s">
        <v>1986</v>
      </c>
      <c r="N800" s="74">
        <v>1.0</v>
      </c>
      <c r="O800" s="74" t="s">
        <v>20594</v>
      </c>
      <c r="P800" s="119"/>
      <c r="Q800" s="119"/>
      <c r="R800" s="74">
        <v>6.0</v>
      </c>
      <c r="S800" s="74" t="s">
        <v>18057</v>
      </c>
      <c r="T800" s="120">
        <v>7091.0</v>
      </c>
      <c r="U800" s="74" t="s">
        <v>20638</v>
      </c>
      <c r="V800" s="74" t="s">
        <v>20639</v>
      </c>
      <c r="W800" s="120">
        <v>801.0</v>
      </c>
    </row>
    <row r="801">
      <c r="A801" s="74" t="s">
        <v>20635</v>
      </c>
      <c r="B801" s="74" t="s">
        <v>6876</v>
      </c>
      <c r="C801" s="74" t="s">
        <v>6877</v>
      </c>
      <c r="D801" s="74" t="s">
        <v>8493</v>
      </c>
      <c r="E801" s="146">
        <v>43838.0</v>
      </c>
      <c r="F801" s="74" t="s">
        <v>20641</v>
      </c>
      <c r="G801" s="74">
        <v>59.0</v>
      </c>
      <c r="H801" s="74">
        <v>1.0</v>
      </c>
      <c r="I801" s="74">
        <v>98.0</v>
      </c>
      <c r="J801" s="119"/>
      <c r="K801" s="119"/>
      <c r="L801" s="74" t="s">
        <v>2013</v>
      </c>
      <c r="M801" s="74" t="s">
        <v>2013</v>
      </c>
      <c r="N801" s="74">
        <v>1.0</v>
      </c>
      <c r="O801" s="74" t="s">
        <v>20594</v>
      </c>
      <c r="P801" s="119"/>
      <c r="Q801" s="119"/>
      <c r="R801" s="74">
        <v>6.0</v>
      </c>
      <c r="S801" s="74" t="s">
        <v>18057</v>
      </c>
      <c r="T801" s="120">
        <v>7092.0</v>
      </c>
      <c r="U801" s="74" t="s">
        <v>20642</v>
      </c>
      <c r="V801" s="74" t="s">
        <v>20643</v>
      </c>
      <c r="W801" s="120">
        <v>802.0</v>
      </c>
    </row>
    <row r="802">
      <c r="A802" s="74" t="s">
        <v>20641</v>
      </c>
      <c r="B802" s="74" t="s">
        <v>6876</v>
      </c>
      <c r="C802" s="74" t="s">
        <v>6877</v>
      </c>
      <c r="D802" s="74" t="s">
        <v>8493</v>
      </c>
      <c r="E802" s="146">
        <v>43838.0</v>
      </c>
      <c r="F802" s="74" t="s">
        <v>20646</v>
      </c>
      <c r="G802" s="74">
        <v>66.0</v>
      </c>
      <c r="H802" s="74">
        <v>1.0</v>
      </c>
      <c r="I802" s="74">
        <v>12.0</v>
      </c>
      <c r="J802" s="119"/>
      <c r="K802" s="119"/>
      <c r="L802" s="74" t="s">
        <v>2003</v>
      </c>
      <c r="M802" s="74" t="s">
        <v>2003</v>
      </c>
      <c r="N802" s="74">
        <v>1.0</v>
      </c>
      <c r="O802" s="74" t="s">
        <v>20627</v>
      </c>
      <c r="P802" s="119"/>
      <c r="Q802" s="119"/>
      <c r="R802" s="74">
        <v>5.0</v>
      </c>
      <c r="S802" s="74" t="s">
        <v>18057</v>
      </c>
      <c r="T802" s="120">
        <v>7093.0</v>
      </c>
      <c r="U802" s="74" t="s">
        <v>20652</v>
      </c>
      <c r="V802" s="74" t="s">
        <v>20653</v>
      </c>
      <c r="W802" s="120">
        <v>803.0</v>
      </c>
    </row>
    <row r="803">
      <c r="A803" s="74" t="s">
        <v>20646</v>
      </c>
      <c r="B803" s="74" t="s">
        <v>6876</v>
      </c>
      <c r="C803" s="74" t="s">
        <v>6877</v>
      </c>
      <c r="D803" s="74" t="s">
        <v>8493</v>
      </c>
      <c r="E803" s="146">
        <v>43838.0</v>
      </c>
      <c r="F803" s="74" t="s">
        <v>20658</v>
      </c>
      <c r="G803" s="74">
        <v>59.0</v>
      </c>
      <c r="H803" s="74">
        <v>1.0</v>
      </c>
      <c r="I803" s="74">
        <v>12.0</v>
      </c>
      <c r="J803" s="119"/>
      <c r="K803" s="119"/>
      <c r="L803" s="74" t="s">
        <v>2006</v>
      </c>
      <c r="M803" s="74" t="s">
        <v>2006</v>
      </c>
      <c r="N803" s="74">
        <v>1.0</v>
      </c>
      <c r="O803" s="74" t="s">
        <v>20594</v>
      </c>
      <c r="P803" s="119"/>
      <c r="Q803" s="119"/>
      <c r="R803" s="74">
        <v>5.0</v>
      </c>
      <c r="S803" s="74" t="s">
        <v>18057</v>
      </c>
      <c r="T803" s="120">
        <v>7094.0</v>
      </c>
      <c r="U803" s="74" t="s">
        <v>20660</v>
      </c>
      <c r="V803" s="74" t="s">
        <v>20661</v>
      </c>
      <c r="W803" s="120">
        <v>804.0</v>
      </c>
    </row>
    <row r="804">
      <c r="A804" s="74" t="s">
        <v>20658</v>
      </c>
      <c r="B804" s="74" t="s">
        <v>6876</v>
      </c>
      <c r="C804" s="74" t="s">
        <v>6877</v>
      </c>
      <c r="D804" s="74" t="s">
        <v>8493</v>
      </c>
      <c r="E804" s="146">
        <v>43838.0</v>
      </c>
      <c r="F804" s="74" t="s">
        <v>20665</v>
      </c>
      <c r="G804" s="74">
        <v>65.0</v>
      </c>
      <c r="H804" s="74">
        <v>1.0</v>
      </c>
      <c r="I804" s="74">
        <v>12.0</v>
      </c>
      <c r="J804" s="119"/>
      <c r="K804" s="119"/>
      <c r="L804" s="74" t="s">
        <v>2009</v>
      </c>
      <c r="M804" s="74" t="s">
        <v>2009</v>
      </c>
      <c r="N804" s="74">
        <v>1.0</v>
      </c>
      <c r="O804" s="74" t="s">
        <v>20666</v>
      </c>
      <c r="P804" s="119"/>
      <c r="Q804" s="119"/>
      <c r="R804" s="74">
        <v>5.0</v>
      </c>
      <c r="S804" s="74" t="s">
        <v>18057</v>
      </c>
      <c r="T804" s="120">
        <v>7095.0</v>
      </c>
      <c r="U804" s="74" t="s">
        <v>20667</v>
      </c>
      <c r="V804" s="74" t="s">
        <v>20669</v>
      </c>
      <c r="W804" s="120">
        <v>805.0</v>
      </c>
    </row>
    <row r="805">
      <c r="A805" s="74" t="s">
        <v>20665</v>
      </c>
      <c r="B805" s="74" t="s">
        <v>6876</v>
      </c>
      <c r="C805" s="74" t="s">
        <v>6877</v>
      </c>
      <c r="D805" s="74" t="s">
        <v>8493</v>
      </c>
      <c r="E805" s="146">
        <v>43838.0</v>
      </c>
      <c r="F805" s="74" t="s">
        <v>20673</v>
      </c>
      <c r="G805" s="74">
        <v>59.0</v>
      </c>
      <c r="H805" s="74">
        <v>1.0</v>
      </c>
      <c r="I805" s="74">
        <v>11.0</v>
      </c>
      <c r="J805" s="119"/>
      <c r="K805" s="119"/>
      <c r="L805" s="74" t="s">
        <v>1988</v>
      </c>
      <c r="M805" s="74" t="s">
        <v>1988</v>
      </c>
      <c r="N805" s="74">
        <v>1.0</v>
      </c>
      <c r="O805" s="74" t="s">
        <v>20666</v>
      </c>
      <c r="P805" s="119"/>
      <c r="Q805" s="119"/>
      <c r="R805" s="74">
        <v>5.0</v>
      </c>
      <c r="S805" s="74" t="s">
        <v>18057</v>
      </c>
      <c r="T805" s="120">
        <v>7096.0</v>
      </c>
      <c r="U805" s="74" t="s">
        <v>20680</v>
      </c>
      <c r="V805" s="74" t="s">
        <v>20681</v>
      </c>
      <c r="W805" s="120">
        <v>806.0</v>
      </c>
    </row>
    <row r="806">
      <c r="A806" s="74" t="s">
        <v>20673</v>
      </c>
      <c r="B806" s="74" t="s">
        <v>6876</v>
      </c>
      <c r="C806" s="74" t="s">
        <v>6877</v>
      </c>
      <c r="D806" s="74" t="s">
        <v>8493</v>
      </c>
      <c r="E806" s="146">
        <v>43838.0</v>
      </c>
      <c r="F806" s="74" t="s">
        <v>20683</v>
      </c>
      <c r="G806" s="74">
        <v>59.0</v>
      </c>
      <c r="H806" s="74">
        <v>1.0</v>
      </c>
      <c r="I806" s="74">
        <v>11.0</v>
      </c>
      <c r="J806" s="119"/>
      <c r="K806" s="119"/>
      <c r="L806" s="74" t="s">
        <v>1991</v>
      </c>
      <c r="M806" s="74" t="s">
        <v>1991</v>
      </c>
      <c r="N806" s="74">
        <v>1.0</v>
      </c>
      <c r="O806" s="74" t="s">
        <v>20666</v>
      </c>
      <c r="P806" s="119"/>
      <c r="Q806" s="119"/>
      <c r="R806" s="74">
        <v>5.0</v>
      </c>
      <c r="S806" s="74" t="s">
        <v>18057</v>
      </c>
      <c r="T806" s="120">
        <v>7097.0</v>
      </c>
      <c r="U806" s="74" t="s">
        <v>20686</v>
      </c>
      <c r="V806" s="74" t="s">
        <v>20687</v>
      </c>
      <c r="W806" s="120">
        <v>807.0</v>
      </c>
    </row>
    <row r="807">
      <c r="A807" s="74" t="s">
        <v>20683</v>
      </c>
      <c r="B807" s="74" t="s">
        <v>6876</v>
      </c>
      <c r="C807" s="74" t="s">
        <v>6877</v>
      </c>
      <c r="D807" s="74" t="s">
        <v>8493</v>
      </c>
      <c r="E807" s="146">
        <v>43838.0</v>
      </c>
      <c r="F807" s="74" t="s">
        <v>20689</v>
      </c>
      <c r="G807" s="74">
        <v>59.0</v>
      </c>
      <c r="H807" s="74">
        <v>1.0</v>
      </c>
      <c r="I807" s="74">
        <v>11.0</v>
      </c>
      <c r="J807" s="119"/>
      <c r="K807" s="119"/>
      <c r="L807" s="74" t="s">
        <v>1994</v>
      </c>
      <c r="M807" s="74" t="s">
        <v>1994</v>
      </c>
      <c r="N807" s="74">
        <v>1.0</v>
      </c>
      <c r="O807" s="74" t="s">
        <v>20666</v>
      </c>
      <c r="P807" s="119"/>
      <c r="Q807" s="119"/>
      <c r="R807" s="74">
        <v>5.0</v>
      </c>
      <c r="S807" s="74" t="s">
        <v>18057</v>
      </c>
      <c r="T807" s="120">
        <v>7098.0</v>
      </c>
      <c r="U807" s="74" t="s">
        <v>20692</v>
      </c>
      <c r="V807" s="74" t="s">
        <v>20693</v>
      </c>
      <c r="W807" s="120">
        <v>808.0</v>
      </c>
    </row>
    <row r="808">
      <c r="A808" s="74" t="s">
        <v>20689</v>
      </c>
      <c r="B808" s="74" t="s">
        <v>6876</v>
      </c>
      <c r="C808" s="74" t="s">
        <v>6877</v>
      </c>
      <c r="D808" s="74" t="s">
        <v>8493</v>
      </c>
      <c r="E808" s="146">
        <v>43838.0</v>
      </c>
      <c r="F808" s="74" t="s">
        <v>20695</v>
      </c>
      <c r="G808" s="74">
        <v>59.0</v>
      </c>
      <c r="H808" s="74">
        <v>1.0</v>
      </c>
      <c r="I808" s="74">
        <v>11.0</v>
      </c>
      <c r="J808" s="119"/>
      <c r="K808" s="119"/>
      <c r="L808" s="74" t="s">
        <v>1997</v>
      </c>
      <c r="M808" s="74" t="s">
        <v>1997</v>
      </c>
      <c r="N808" s="74">
        <v>1.0</v>
      </c>
      <c r="O808" s="74" t="s">
        <v>20666</v>
      </c>
      <c r="P808" s="119"/>
      <c r="Q808" s="119"/>
      <c r="R808" s="74">
        <v>5.0</v>
      </c>
      <c r="S808" s="74" t="s">
        <v>18057</v>
      </c>
      <c r="T808" s="120">
        <v>7099.0</v>
      </c>
      <c r="U808" s="74" t="s">
        <v>20699</v>
      </c>
      <c r="V808" s="74" t="s">
        <v>20700</v>
      </c>
      <c r="W808" s="120">
        <v>809.0</v>
      </c>
    </row>
    <row r="809">
      <c r="A809" s="74" t="s">
        <v>20695</v>
      </c>
      <c r="B809" s="74" t="s">
        <v>6876</v>
      </c>
      <c r="C809" s="74" t="s">
        <v>6877</v>
      </c>
      <c r="D809" s="74" t="s">
        <v>8493</v>
      </c>
      <c r="E809" s="146">
        <v>43838.0</v>
      </c>
      <c r="F809" s="74" t="s">
        <v>20705</v>
      </c>
      <c r="G809" s="74">
        <v>59.0</v>
      </c>
      <c r="H809" s="74">
        <v>1.0</v>
      </c>
      <c r="I809" s="74">
        <v>99.0</v>
      </c>
      <c r="J809" s="119"/>
      <c r="K809" s="119"/>
      <c r="L809" s="74" t="s">
        <v>1998</v>
      </c>
      <c r="M809" s="74" t="s">
        <v>1998</v>
      </c>
      <c r="N809" s="74">
        <v>1.0</v>
      </c>
      <c r="O809" s="74" t="s">
        <v>20666</v>
      </c>
      <c r="P809" s="119"/>
      <c r="Q809" s="119"/>
      <c r="R809" s="74">
        <v>5.0</v>
      </c>
      <c r="S809" s="74" t="s">
        <v>18057</v>
      </c>
      <c r="T809" s="120">
        <v>7100.0</v>
      </c>
      <c r="U809" s="74" t="s">
        <v>20708</v>
      </c>
      <c r="V809" s="74" t="s">
        <v>20709</v>
      </c>
      <c r="W809" s="120">
        <v>810.0</v>
      </c>
    </row>
    <row r="810">
      <c r="A810" s="74" t="s">
        <v>20705</v>
      </c>
      <c r="B810" s="74" t="s">
        <v>6876</v>
      </c>
      <c r="C810" s="74" t="s">
        <v>6877</v>
      </c>
      <c r="D810" s="74" t="s">
        <v>8493</v>
      </c>
      <c r="E810" s="146">
        <v>43838.0</v>
      </c>
      <c r="F810" s="74" t="s">
        <v>20710</v>
      </c>
      <c r="G810" s="74">
        <v>59.0</v>
      </c>
      <c r="H810" s="74">
        <v>1.0</v>
      </c>
      <c r="I810" s="74">
        <v>11.0</v>
      </c>
      <c r="J810" s="119"/>
      <c r="K810" s="119"/>
      <c r="L810" s="74" t="s">
        <v>2000</v>
      </c>
      <c r="M810" s="74" t="s">
        <v>2000</v>
      </c>
      <c r="N810" s="74">
        <v>1.0</v>
      </c>
      <c r="O810" s="74" t="s">
        <v>20666</v>
      </c>
      <c r="P810" s="119"/>
      <c r="Q810" s="119"/>
      <c r="R810" s="74">
        <v>5.0</v>
      </c>
      <c r="S810" s="74" t="s">
        <v>18057</v>
      </c>
      <c r="T810" s="120">
        <v>7101.0</v>
      </c>
      <c r="U810" s="74" t="s">
        <v>20714</v>
      </c>
      <c r="V810" s="74" t="s">
        <v>20715</v>
      </c>
      <c r="W810" s="120">
        <v>811.0</v>
      </c>
    </row>
    <row r="811">
      <c r="A811" s="74" t="s">
        <v>20710</v>
      </c>
      <c r="B811" s="74" t="s">
        <v>6876</v>
      </c>
      <c r="C811" s="74" t="s">
        <v>6877</v>
      </c>
      <c r="D811" s="74" t="s">
        <v>8493</v>
      </c>
      <c r="E811" s="146">
        <v>43838.0</v>
      </c>
      <c r="F811" s="74" t="s">
        <v>20716</v>
      </c>
      <c r="G811" s="74">
        <v>59.0</v>
      </c>
      <c r="H811" s="74">
        <v>1.0</v>
      </c>
      <c r="I811" s="74">
        <v>11.0</v>
      </c>
      <c r="J811" s="119"/>
      <c r="K811" s="119"/>
      <c r="L811" s="74" t="s">
        <v>2014</v>
      </c>
      <c r="M811" s="74" t="s">
        <v>2014</v>
      </c>
      <c r="N811" s="74">
        <v>1.0</v>
      </c>
      <c r="O811" s="74" t="s">
        <v>20666</v>
      </c>
      <c r="P811" s="119"/>
      <c r="Q811" s="119"/>
      <c r="R811" s="74">
        <v>5.0</v>
      </c>
      <c r="S811" s="74" t="s">
        <v>18057</v>
      </c>
      <c r="T811" s="120">
        <v>7102.0</v>
      </c>
      <c r="U811" s="74" t="s">
        <v>20723</v>
      </c>
      <c r="V811" s="74" t="s">
        <v>20724</v>
      </c>
      <c r="W811" s="120">
        <v>812.0</v>
      </c>
    </row>
    <row r="812">
      <c r="A812" s="74" t="s">
        <v>20716</v>
      </c>
      <c r="B812" s="74" t="s">
        <v>6876</v>
      </c>
      <c r="C812" s="74" t="s">
        <v>6877</v>
      </c>
      <c r="D812" s="74" t="s">
        <v>8493</v>
      </c>
      <c r="E812" s="146">
        <v>43838.0</v>
      </c>
      <c r="F812" s="74" t="s">
        <v>20726</v>
      </c>
      <c r="G812" s="74">
        <v>59.0</v>
      </c>
      <c r="H812" s="74">
        <v>1.0</v>
      </c>
      <c r="I812" s="74">
        <v>11.0</v>
      </c>
      <c r="J812" s="119"/>
      <c r="K812" s="119"/>
      <c r="L812" s="74" t="s">
        <v>2019</v>
      </c>
      <c r="M812" s="74" t="s">
        <v>2019</v>
      </c>
      <c r="N812" s="74">
        <v>1.0</v>
      </c>
      <c r="O812" s="74" t="s">
        <v>20666</v>
      </c>
      <c r="P812" s="119"/>
      <c r="Q812" s="119"/>
      <c r="R812" s="74">
        <v>5.0</v>
      </c>
      <c r="S812" s="74" t="s">
        <v>18057</v>
      </c>
      <c r="T812" s="120">
        <v>7103.0</v>
      </c>
      <c r="U812" s="74" t="s">
        <v>20727</v>
      </c>
      <c r="V812" s="74" t="s">
        <v>20728</v>
      </c>
      <c r="W812" s="120">
        <v>813.0</v>
      </c>
    </row>
    <row r="813">
      <c r="A813" s="74" t="s">
        <v>20726</v>
      </c>
      <c r="B813" s="74" t="s">
        <v>6876</v>
      </c>
      <c r="C813" s="74" t="s">
        <v>6877</v>
      </c>
      <c r="D813" s="74" t="s">
        <v>8493</v>
      </c>
      <c r="E813" s="146">
        <v>43838.0</v>
      </c>
      <c r="F813" s="74" t="s">
        <v>20731</v>
      </c>
      <c r="G813" s="74">
        <v>59.0</v>
      </c>
      <c r="H813" s="74">
        <v>1.0</v>
      </c>
      <c r="I813" s="74">
        <v>99.0</v>
      </c>
      <c r="J813" s="119"/>
      <c r="K813" s="119"/>
      <c r="L813" s="74" t="s">
        <v>2020</v>
      </c>
      <c r="M813" s="74" t="s">
        <v>2020</v>
      </c>
      <c r="N813" s="74">
        <v>1.0</v>
      </c>
      <c r="O813" s="74" t="s">
        <v>20666</v>
      </c>
      <c r="P813" s="119"/>
      <c r="Q813" s="119"/>
      <c r="R813" s="74">
        <v>5.0</v>
      </c>
      <c r="S813" s="74" t="s">
        <v>18057</v>
      </c>
      <c r="T813" s="120">
        <v>7104.0</v>
      </c>
      <c r="U813" s="74" t="s">
        <v>20733</v>
      </c>
      <c r="V813" s="74" t="s">
        <v>20735</v>
      </c>
      <c r="W813" s="120">
        <v>814.0</v>
      </c>
    </row>
    <row r="814">
      <c r="A814" s="74" t="s">
        <v>20731</v>
      </c>
      <c r="B814" s="74" t="s">
        <v>6876</v>
      </c>
      <c r="C814" s="74" t="s">
        <v>6877</v>
      </c>
      <c r="D814" s="74" t="s">
        <v>8493</v>
      </c>
      <c r="E814" s="146">
        <v>43838.0</v>
      </c>
      <c r="F814" s="74" t="s">
        <v>20738</v>
      </c>
      <c r="G814" s="74">
        <v>59.0</v>
      </c>
      <c r="H814" s="74">
        <v>1.0</v>
      </c>
      <c r="I814" s="74">
        <v>11.0</v>
      </c>
      <c r="J814" s="119"/>
      <c r="K814" s="119"/>
      <c r="L814" s="74" t="s">
        <v>2023</v>
      </c>
      <c r="M814" s="74" t="s">
        <v>2023</v>
      </c>
      <c r="N814" s="74">
        <v>1.0</v>
      </c>
      <c r="O814" s="74" t="s">
        <v>20666</v>
      </c>
      <c r="P814" s="119"/>
      <c r="Q814" s="119"/>
      <c r="R814" s="74">
        <v>5.0</v>
      </c>
      <c r="S814" s="74" t="s">
        <v>18057</v>
      </c>
      <c r="T814" s="120">
        <v>7105.0</v>
      </c>
      <c r="U814" s="74" t="s">
        <v>20743</v>
      </c>
      <c r="V814" s="74" t="s">
        <v>20744</v>
      </c>
      <c r="W814" s="120">
        <v>815.0</v>
      </c>
    </row>
    <row r="815">
      <c r="A815" s="74" t="s">
        <v>20738</v>
      </c>
      <c r="B815" s="74" t="s">
        <v>6876</v>
      </c>
      <c r="C815" s="74" t="s">
        <v>6877</v>
      </c>
      <c r="D815" s="74" t="s">
        <v>8493</v>
      </c>
      <c r="E815" s="146">
        <v>43838.0</v>
      </c>
      <c r="F815" s="74" t="s">
        <v>20745</v>
      </c>
      <c r="G815" s="74">
        <v>59.0</v>
      </c>
      <c r="H815" s="74">
        <v>1.0</v>
      </c>
      <c r="I815" s="74">
        <v>11.0</v>
      </c>
      <c r="J815" s="119"/>
      <c r="K815" s="119"/>
      <c r="L815" s="74" t="s">
        <v>2027</v>
      </c>
      <c r="M815" s="74" t="s">
        <v>2027</v>
      </c>
      <c r="N815" s="74">
        <v>1.0</v>
      </c>
      <c r="O815" s="74" t="s">
        <v>20666</v>
      </c>
      <c r="P815" s="119"/>
      <c r="Q815" s="119"/>
      <c r="R815" s="74">
        <v>5.0</v>
      </c>
      <c r="S815" s="74" t="s">
        <v>18057</v>
      </c>
      <c r="T815" s="120">
        <v>7106.0</v>
      </c>
      <c r="U815" s="74" t="s">
        <v>20750</v>
      </c>
      <c r="V815" s="74" t="s">
        <v>20751</v>
      </c>
      <c r="W815" s="120">
        <v>816.0</v>
      </c>
    </row>
    <row r="816">
      <c r="A816" s="74" t="s">
        <v>20745</v>
      </c>
      <c r="B816" s="74" t="s">
        <v>6876</v>
      </c>
      <c r="C816" s="74" t="s">
        <v>6877</v>
      </c>
      <c r="D816" s="74" t="s">
        <v>8493</v>
      </c>
      <c r="E816" s="146">
        <v>43838.0</v>
      </c>
      <c r="F816" s="74" t="s">
        <v>20752</v>
      </c>
      <c r="G816" s="74">
        <v>59.0</v>
      </c>
      <c r="H816" s="74">
        <v>1.0</v>
      </c>
      <c r="I816" s="74">
        <v>98.0</v>
      </c>
      <c r="J816" s="119"/>
      <c r="K816" s="119"/>
      <c r="L816" s="74" t="s">
        <v>2044</v>
      </c>
      <c r="M816" s="74" t="s">
        <v>2044</v>
      </c>
      <c r="N816" s="74">
        <v>1.0</v>
      </c>
      <c r="O816" s="74" t="s">
        <v>20666</v>
      </c>
      <c r="P816" s="119"/>
      <c r="Q816" s="119"/>
      <c r="R816" s="74">
        <v>5.0</v>
      </c>
      <c r="S816" s="74" t="s">
        <v>18057</v>
      </c>
      <c r="T816" s="120">
        <v>7107.0</v>
      </c>
      <c r="U816" s="74" t="s">
        <v>20755</v>
      </c>
      <c r="V816" s="74" t="s">
        <v>20757</v>
      </c>
      <c r="W816" s="120">
        <v>817.0</v>
      </c>
    </row>
    <row r="817">
      <c r="A817" s="74" t="s">
        <v>20758</v>
      </c>
      <c r="B817" s="74" t="s">
        <v>6876</v>
      </c>
      <c r="C817" s="74" t="s">
        <v>6877</v>
      </c>
      <c r="D817" s="74" t="s">
        <v>8493</v>
      </c>
      <c r="E817" s="146">
        <v>43854.0</v>
      </c>
      <c r="F817" s="74" t="s">
        <v>20759</v>
      </c>
      <c r="G817" s="74">
        <v>57.0</v>
      </c>
      <c r="H817" s="74">
        <v>1.0</v>
      </c>
      <c r="I817" s="74">
        <v>12.0</v>
      </c>
      <c r="J817" s="119"/>
      <c r="K817" s="119"/>
      <c r="L817" s="74" t="s">
        <v>2032</v>
      </c>
      <c r="M817" s="74" t="s">
        <v>2032</v>
      </c>
      <c r="N817" s="74">
        <v>1.0</v>
      </c>
      <c r="O817" s="74" t="s">
        <v>20761</v>
      </c>
      <c r="P817" s="119"/>
      <c r="Q817" s="119"/>
      <c r="R817" s="74">
        <v>5.0</v>
      </c>
      <c r="S817" s="74" t="s">
        <v>18057</v>
      </c>
      <c r="T817" s="120">
        <v>7483.0</v>
      </c>
      <c r="U817" s="74" t="s">
        <v>20763</v>
      </c>
      <c r="V817" s="74" t="s">
        <v>20765</v>
      </c>
      <c r="W817" s="120">
        <v>818.0</v>
      </c>
    </row>
    <row r="818">
      <c r="A818" s="74" t="s">
        <v>20759</v>
      </c>
      <c r="B818" s="74" t="s">
        <v>6876</v>
      </c>
      <c r="C818" s="74" t="s">
        <v>6877</v>
      </c>
      <c r="D818" s="74" t="s">
        <v>8493</v>
      </c>
      <c r="E818" s="146">
        <v>43854.0</v>
      </c>
      <c r="F818" s="74" t="s">
        <v>20766</v>
      </c>
      <c r="G818" s="74">
        <v>57.0</v>
      </c>
      <c r="H818" s="74">
        <v>1.0</v>
      </c>
      <c r="I818" s="74">
        <v>99.0</v>
      </c>
      <c r="J818" s="119"/>
      <c r="K818" s="119"/>
      <c r="L818" s="74" t="s">
        <v>2033</v>
      </c>
      <c r="M818" s="74" t="s">
        <v>2033</v>
      </c>
      <c r="N818" s="74">
        <v>1.0</v>
      </c>
      <c r="O818" s="74" t="s">
        <v>20761</v>
      </c>
      <c r="P818" s="119"/>
      <c r="Q818" s="74" t="s">
        <v>20768</v>
      </c>
      <c r="R818" s="74">
        <v>5.0</v>
      </c>
      <c r="S818" s="74" t="s">
        <v>18057</v>
      </c>
      <c r="T818" s="120">
        <v>7484.0</v>
      </c>
      <c r="U818" s="74" t="s">
        <v>20769</v>
      </c>
      <c r="V818" s="74" t="s">
        <v>20771</v>
      </c>
      <c r="W818" s="120">
        <v>819.0</v>
      </c>
    </row>
    <row r="819">
      <c r="A819" s="74" t="s">
        <v>20766</v>
      </c>
      <c r="B819" s="74" t="s">
        <v>6876</v>
      </c>
      <c r="C819" s="74" t="s">
        <v>6877</v>
      </c>
      <c r="D819" s="74" t="s">
        <v>8493</v>
      </c>
      <c r="E819" s="146">
        <v>43854.0</v>
      </c>
      <c r="F819" s="74" t="s">
        <v>20773</v>
      </c>
      <c r="G819" s="74">
        <v>57.0</v>
      </c>
      <c r="H819" s="74">
        <v>1.0</v>
      </c>
      <c r="I819" s="74">
        <v>12.0</v>
      </c>
      <c r="J819" s="119"/>
      <c r="K819" s="119"/>
      <c r="L819" s="74" t="s">
        <v>2035</v>
      </c>
      <c r="M819" s="74" t="s">
        <v>2035</v>
      </c>
      <c r="N819" s="74">
        <v>1.0</v>
      </c>
      <c r="O819" s="74" t="s">
        <v>20761</v>
      </c>
      <c r="P819" s="119"/>
      <c r="Q819" s="119"/>
      <c r="R819" s="74">
        <v>5.0</v>
      </c>
      <c r="S819" s="74" t="s">
        <v>18057</v>
      </c>
      <c r="T819" s="120">
        <v>7485.0</v>
      </c>
      <c r="U819" s="74" t="s">
        <v>20775</v>
      </c>
      <c r="V819" s="74" t="s">
        <v>20776</v>
      </c>
      <c r="W819" s="120">
        <v>820.0</v>
      </c>
    </row>
    <row r="820">
      <c r="A820" s="74" t="s">
        <v>20773</v>
      </c>
      <c r="B820" s="74" t="s">
        <v>6876</v>
      </c>
      <c r="C820" s="74" t="s">
        <v>6877</v>
      </c>
      <c r="D820" s="74" t="s">
        <v>8493</v>
      </c>
      <c r="E820" s="146">
        <v>43854.0</v>
      </c>
      <c r="F820" s="74" t="s">
        <v>20777</v>
      </c>
      <c r="G820" s="74">
        <v>55.0</v>
      </c>
      <c r="H820" s="74">
        <v>1.0</v>
      </c>
      <c r="I820" s="74">
        <v>12.0</v>
      </c>
      <c r="J820" s="119"/>
      <c r="K820" s="119"/>
      <c r="L820" s="74" t="s">
        <v>2038</v>
      </c>
      <c r="M820" s="74" t="s">
        <v>2038</v>
      </c>
      <c r="N820" s="74">
        <v>1.0</v>
      </c>
      <c r="O820" s="74" t="s">
        <v>20761</v>
      </c>
      <c r="P820" s="119"/>
      <c r="Q820" s="119"/>
      <c r="R820" s="74">
        <v>5.0</v>
      </c>
      <c r="S820" s="74" t="s">
        <v>18057</v>
      </c>
      <c r="T820" s="120">
        <v>7486.0</v>
      </c>
      <c r="U820" s="74" t="s">
        <v>20778</v>
      </c>
      <c r="V820" s="74" t="s">
        <v>20779</v>
      </c>
      <c r="W820" s="120">
        <v>821.0</v>
      </c>
    </row>
    <row r="821">
      <c r="A821" s="74" t="s">
        <v>20777</v>
      </c>
      <c r="B821" s="74" t="s">
        <v>6876</v>
      </c>
      <c r="C821" s="74" t="s">
        <v>6877</v>
      </c>
      <c r="D821" s="74" t="s">
        <v>8493</v>
      </c>
      <c r="E821" s="146">
        <v>43854.0</v>
      </c>
      <c r="F821" s="74" t="s">
        <v>20780</v>
      </c>
      <c r="G821" s="74">
        <v>57.0</v>
      </c>
      <c r="H821" s="74">
        <v>1.0</v>
      </c>
      <c r="I821" s="74">
        <v>16.0</v>
      </c>
      <c r="J821" s="119"/>
      <c r="K821" s="119"/>
      <c r="L821" s="74" t="s">
        <v>2041</v>
      </c>
      <c r="M821" s="74" t="s">
        <v>2041</v>
      </c>
      <c r="N821" s="74">
        <v>1.0</v>
      </c>
      <c r="O821" s="74" t="s">
        <v>20761</v>
      </c>
      <c r="P821" s="119"/>
      <c r="Q821" s="119"/>
      <c r="R821" s="74">
        <v>5.0</v>
      </c>
      <c r="S821" s="74" t="s">
        <v>18057</v>
      </c>
      <c r="T821" s="120">
        <v>7487.0</v>
      </c>
      <c r="U821" s="74" t="s">
        <v>20783</v>
      </c>
      <c r="V821" s="74" t="s">
        <v>20785</v>
      </c>
      <c r="W821" s="120">
        <v>822.0</v>
      </c>
    </row>
    <row r="822">
      <c r="A822" s="74" t="s">
        <v>20780</v>
      </c>
      <c r="B822" s="74" t="s">
        <v>6876</v>
      </c>
      <c r="C822" s="74" t="s">
        <v>6877</v>
      </c>
      <c r="D822" s="74" t="s">
        <v>8493</v>
      </c>
      <c r="E822" s="146">
        <v>43854.0</v>
      </c>
      <c r="F822" s="74" t="s">
        <v>20786</v>
      </c>
      <c r="G822" s="74">
        <v>57.0</v>
      </c>
      <c r="H822" s="74">
        <v>1.0</v>
      </c>
      <c r="I822" s="74">
        <v>16.0</v>
      </c>
      <c r="J822" s="119"/>
      <c r="K822" s="119"/>
      <c r="L822" s="74" t="s">
        <v>20787</v>
      </c>
      <c r="M822" s="74" t="s">
        <v>20787</v>
      </c>
      <c r="N822" s="74">
        <v>1.0</v>
      </c>
      <c r="O822" s="74" t="s">
        <v>20761</v>
      </c>
      <c r="P822" s="119"/>
      <c r="Q822" s="119"/>
      <c r="R822" s="74">
        <v>5.0</v>
      </c>
      <c r="S822" s="74" t="s">
        <v>18057</v>
      </c>
      <c r="T822" s="120">
        <v>7488.0</v>
      </c>
      <c r="U822" s="74" t="s">
        <v>20789</v>
      </c>
      <c r="V822" s="74" t="s">
        <v>20790</v>
      </c>
      <c r="W822" s="120">
        <v>823.0</v>
      </c>
    </row>
    <row r="823">
      <c r="A823" s="74" t="s">
        <v>20786</v>
      </c>
      <c r="B823" s="74" t="s">
        <v>6876</v>
      </c>
      <c r="C823" s="74" t="s">
        <v>6877</v>
      </c>
      <c r="D823" s="74" t="s">
        <v>8493</v>
      </c>
      <c r="E823" s="146">
        <v>43854.0</v>
      </c>
      <c r="F823" s="74" t="s">
        <v>20792</v>
      </c>
      <c r="G823" s="74">
        <v>59.0</v>
      </c>
      <c r="H823" s="74">
        <v>1.0</v>
      </c>
      <c r="I823" s="74">
        <v>3.0</v>
      </c>
      <c r="J823" s="119"/>
      <c r="K823" s="119"/>
      <c r="L823" s="74" t="s">
        <v>2045</v>
      </c>
      <c r="M823" s="74" t="s">
        <v>2045</v>
      </c>
      <c r="N823" s="74">
        <v>1.0</v>
      </c>
      <c r="O823" s="74" t="s">
        <v>20761</v>
      </c>
      <c r="P823" s="119"/>
      <c r="Q823" s="119"/>
      <c r="R823" s="74">
        <v>5.0</v>
      </c>
      <c r="S823" s="74" t="s">
        <v>18057</v>
      </c>
      <c r="T823" s="120">
        <v>7489.0</v>
      </c>
      <c r="U823" s="74" t="s">
        <v>20797</v>
      </c>
      <c r="V823" s="74" t="s">
        <v>20798</v>
      </c>
      <c r="W823" s="120">
        <v>824.0</v>
      </c>
    </row>
    <row r="824">
      <c r="A824" s="74" t="s">
        <v>20792</v>
      </c>
      <c r="B824" s="74" t="s">
        <v>6876</v>
      </c>
      <c r="C824" s="74" t="s">
        <v>6877</v>
      </c>
      <c r="D824" s="74" t="s">
        <v>8493</v>
      </c>
      <c r="E824" s="146">
        <v>43854.0</v>
      </c>
      <c r="F824" s="74" t="s">
        <v>20801</v>
      </c>
      <c r="G824" s="74">
        <v>59.0</v>
      </c>
      <c r="H824" s="74">
        <v>1.0</v>
      </c>
      <c r="I824" s="74">
        <v>3.0</v>
      </c>
      <c r="J824" s="119"/>
      <c r="K824" s="119"/>
      <c r="L824" s="74" t="s">
        <v>20803</v>
      </c>
      <c r="M824" s="74" t="s">
        <v>20803</v>
      </c>
      <c r="N824" s="74">
        <v>1.0</v>
      </c>
      <c r="O824" s="74" t="s">
        <v>20761</v>
      </c>
      <c r="P824" s="119"/>
      <c r="Q824" s="119"/>
      <c r="R824" s="74">
        <v>5.0</v>
      </c>
      <c r="S824" s="74" t="s">
        <v>18057</v>
      </c>
      <c r="T824" s="120">
        <v>7490.0</v>
      </c>
      <c r="U824" s="74" t="s">
        <v>20804</v>
      </c>
      <c r="V824" s="74" t="s">
        <v>20805</v>
      </c>
      <c r="W824" s="120">
        <v>825.0</v>
      </c>
    </row>
    <row r="825">
      <c r="A825" s="74" t="s">
        <v>20801</v>
      </c>
      <c r="B825" s="74" t="s">
        <v>6876</v>
      </c>
      <c r="C825" s="74" t="s">
        <v>6877</v>
      </c>
      <c r="D825" s="74" t="s">
        <v>8493</v>
      </c>
      <c r="E825" s="146">
        <v>43854.0</v>
      </c>
      <c r="F825" s="74" t="s">
        <v>20806</v>
      </c>
      <c r="G825" s="74">
        <v>59.0</v>
      </c>
      <c r="H825" s="74">
        <v>1.0</v>
      </c>
      <c r="I825" s="74">
        <v>99.0</v>
      </c>
      <c r="J825" s="119"/>
      <c r="K825" s="119"/>
      <c r="L825" s="74" t="s">
        <v>2047</v>
      </c>
      <c r="M825" s="74" t="s">
        <v>2047</v>
      </c>
      <c r="N825" s="74">
        <v>1.0</v>
      </c>
      <c r="O825" s="74" t="s">
        <v>20761</v>
      </c>
      <c r="P825" s="119"/>
      <c r="Q825" s="74" t="s">
        <v>20809</v>
      </c>
      <c r="R825" s="74">
        <v>5.0</v>
      </c>
      <c r="S825" s="74" t="s">
        <v>18057</v>
      </c>
      <c r="T825" s="120">
        <v>7491.0</v>
      </c>
      <c r="U825" s="74" t="s">
        <v>20811</v>
      </c>
      <c r="V825" s="74" t="s">
        <v>20812</v>
      </c>
      <c r="W825" s="120">
        <v>826.0</v>
      </c>
    </row>
    <row r="826">
      <c r="A826" s="74" t="s">
        <v>20806</v>
      </c>
      <c r="B826" s="74" t="s">
        <v>6876</v>
      </c>
      <c r="C826" s="74" t="s">
        <v>6877</v>
      </c>
      <c r="D826" s="74" t="s">
        <v>8493</v>
      </c>
      <c r="E826" s="146">
        <v>43854.0</v>
      </c>
      <c r="F826" s="74" t="s">
        <v>20813</v>
      </c>
      <c r="G826" s="74">
        <v>33.0</v>
      </c>
      <c r="H826" s="74">
        <v>1.0</v>
      </c>
      <c r="I826" s="74">
        <v>98.0</v>
      </c>
      <c r="J826" s="119"/>
      <c r="K826" s="119"/>
      <c r="L826" s="74" t="s">
        <v>2062</v>
      </c>
      <c r="M826" s="74" t="s">
        <v>2062</v>
      </c>
      <c r="N826" s="74">
        <v>1.0</v>
      </c>
      <c r="O826" s="74" t="s">
        <v>20761</v>
      </c>
      <c r="P826" s="119"/>
      <c r="Q826" s="119"/>
      <c r="R826" s="74">
        <v>5.0</v>
      </c>
      <c r="S826" s="74" t="s">
        <v>18057</v>
      </c>
      <c r="T826" s="120">
        <v>7492.0</v>
      </c>
      <c r="U826" s="74" t="s">
        <v>20815</v>
      </c>
      <c r="V826" s="74" t="s">
        <v>20816</v>
      </c>
      <c r="W826" s="120">
        <v>827.0</v>
      </c>
    </row>
    <row r="827">
      <c r="A827" s="74" t="s">
        <v>20813</v>
      </c>
      <c r="B827" s="74" t="s">
        <v>6876</v>
      </c>
      <c r="C827" s="74" t="s">
        <v>6877</v>
      </c>
      <c r="D827" s="74" t="s">
        <v>8493</v>
      </c>
      <c r="E827" s="146">
        <v>43854.0</v>
      </c>
      <c r="F827" s="74" t="s">
        <v>20818</v>
      </c>
      <c r="G827" s="74">
        <v>65.0</v>
      </c>
      <c r="H827" s="74">
        <v>1.0</v>
      </c>
      <c r="I827" s="74">
        <v>12.0</v>
      </c>
      <c r="J827" s="119"/>
      <c r="K827" s="119"/>
      <c r="L827" s="74" t="s">
        <v>2051</v>
      </c>
      <c r="M827" s="74" t="s">
        <v>2051</v>
      </c>
      <c r="N827" s="74">
        <v>1.0</v>
      </c>
      <c r="O827" s="74" t="s">
        <v>20822</v>
      </c>
      <c r="P827" s="119"/>
      <c r="Q827" s="119"/>
      <c r="R827" s="74">
        <v>5.0</v>
      </c>
      <c r="S827" s="74" t="s">
        <v>18057</v>
      </c>
      <c r="T827" s="120">
        <v>7493.0</v>
      </c>
      <c r="U827" s="74" t="s">
        <v>20824</v>
      </c>
      <c r="V827" s="74" t="s">
        <v>20827</v>
      </c>
      <c r="W827" s="120">
        <v>828.0</v>
      </c>
    </row>
    <row r="828">
      <c r="A828" s="74" t="s">
        <v>20818</v>
      </c>
      <c r="B828" s="74" t="s">
        <v>6876</v>
      </c>
      <c r="C828" s="74" t="s">
        <v>6877</v>
      </c>
      <c r="D828" s="74" t="s">
        <v>8493</v>
      </c>
      <c r="E828" s="146">
        <v>43854.0</v>
      </c>
      <c r="F828" s="74" t="s">
        <v>20828</v>
      </c>
      <c r="G828" s="74">
        <v>59.0</v>
      </c>
      <c r="H828" s="74">
        <v>1.0</v>
      </c>
      <c r="I828" s="74">
        <v>12.0</v>
      </c>
      <c r="J828" s="119"/>
      <c r="K828" s="119"/>
      <c r="L828" s="74" t="s">
        <v>2054</v>
      </c>
      <c r="M828" s="74" t="s">
        <v>2054</v>
      </c>
      <c r="N828" s="74">
        <v>1.0</v>
      </c>
      <c r="O828" s="74" t="s">
        <v>20822</v>
      </c>
      <c r="P828" s="119"/>
      <c r="Q828" s="119"/>
      <c r="R828" s="74">
        <v>5.0</v>
      </c>
      <c r="S828" s="74" t="s">
        <v>18057</v>
      </c>
      <c r="T828" s="120">
        <v>7494.0</v>
      </c>
      <c r="U828" s="74" t="s">
        <v>20830</v>
      </c>
      <c r="V828" s="74" t="s">
        <v>20831</v>
      </c>
      <c r="W828" s="120">
        <v>829.0</v>
      </c>
    </row>
    <row r="829">
      <c r="A829" s="74" t="s">
        <v>20828</v>
      </c>
      <c r="B829" s="74" t="s">
        <v>6876</v>
      </c>
      <c r="C829" s="74" t="s">
        <v>6877</v>
      </c>
      <c r="D829" s="74" t="s">
        <v>8493</v>
      </c>
      <c r="E829" s="146">
        <v>43854.0</v>
      </c>
      <c r="F829" s="74" t="s">
        <v>20833</v>
      </c>
      <c r="G829" s="74">
        <v>59.0</v>
      </c>
      <c r="H829" s="74">
        <v>1.0</v>
      </c>
      <c r="I829" s="74">
        <v>11.0</v>
      </c>
      <c r="J829" s="119"/>
      <c r="K829" s="119"/>
      <c r="L829" s="74" t="s">
        <v>2057</v>
      </c>
      <c r="M829" s="74" t="s">
        <v>2057</v>
      </c>
      <c r="N829" s="74">
        <v>1.0</v>
      </c>
      <c r="O829" s="74" t="s">
        <v>20822</v>
      </c>
      <c r="P829" s="119"/>
      <c r="Q829" s="119"/>
      <c r="R829" s="74">
        <v>5.0</v>
      </c>
      <c r="S829" s="74" t="s">
        <v>18057</v>
      </c>
      <c r="T829" s="120">
        <v>7495.0</v>
      </c>
      <c r="U829" s="74" t="s">
        <v>20837</v>
      </c>
      <c r="V829" s="74" t="s">
        <v>20838</v>
      </c>
      <c r="W829" s="120">
        <v>830.0</v>
      </c>
    </row>
    <row r="830">
      <c r="A830" s="74" t="s">
        <v>20833</v>
      </c>
      <c r="B830" s="74" t="s">
        <v>6876</v>
      </c>
      <c r="C830" s="74" t="s">
        <v>6877</v>
      </c>
      <c r="D830" s="74" t="s">
        <v>8493</v>
      </c>
      <c r="E830" s="146">
        <v>43854.0</v>
      </c>
      <c r="F830" s="74" t="s">
        <v>20840</v>
      </c>
      <c r="G830" s="74">
        <v>59.0</v>
      </c>
      <c r="H830" s="74">
        <v>1.0</v>
      </c>
      <c r="I830" s="74">
        <v>99.0</v>
      </c>
      <c r="J830" s="119"/>
      <c r="K830" s="119"/>
      <c r="L830" s="74" t="s">
        <v>2058</v>
      </c>
      <c r="M830" s="74" t="s">
        <v>2058</v>
      </c>
      <c r="N830" s="74">
        <v>1.0</v>
      </c>
      <c r="O830" s="74" t="s">
        <v>20822</v>
      </c>
      <c r="P830" s="119"/>
      <c r="Q830" s="74" t="s">
        <v>20841</v>
      </c>
      <c r="R830" s="74">
        <v>5.0</v>
      </c>
      <c r="S830" s="74" t="s">
        <v>18057</v>
      </c>
      <c r="T830" s="120">
        <v>7496.0</v>
      </c>
      <c r="U830" s="74" t="s">
        <v>20842</v>
      </c>
      <c r="V830" s="74" t="s">
        <v>20843</v>
      </c>
      <c r="W830" s="120">
        <v>831.0</v>
      </c>
    </row>
    <row r="831">
      <c r="A831" s="74" t="s">
        <v>20840</v>
      </c>
      <c r="B831" s="74" t="s">
        <v>6876</v>
      </c>
      <c r="C831" s="74" t="s">
        <v>6877</v>
      </c>
      <c r="D831" s="74" t="s">
        <v>8493</v>
      </c>
      <c r="E831" s="146">
        <v>43854.0</v>
      </c>
      <c r="F831" s="74" t="s">
        <v>20845</v>
      </c>
      <c r="G831" s="74">
        <v>59.0</v>
      </c>
      <c r="H831" s="74">
        <v>1.0</v>
      </c>
      <c r="I831" s="74">
        <v>11.0</v>
      </c>
      <c r="J831" s="119"/>
      <c r="K831" s="119"/>
      <c r="L831" s="74" t="s">
        <v>2063</v>
      </c>
      <c r="M831" s="74" t="s">
        <v>2063</v>
      </c>
      <c r="N831" s="74">
        <v>1.0</v>
      </c>
      <c r="O831" s="74" t="s">
        <v>20822</v>
      </c>
      <c r="P831" s="119"/>
      <c r="Q831" s="119"/>
      <c r="R831" s="74">
        <v>5.0</v>
      </c>
      <c r="S831" s="74" t="s">
        <v>18057</v>
      </c>
      <c r="T831" s="120">
        <v>7497.0</v>
      </c>
      <c r="U831" s="74" t="s">
        <v>20852</v>
      </c>
      <c r="V831" s="74" t="s">
        <v>20854</v>
      </c>
      <c r="W831" s="120">
        <v>832.0</v>
      </c>
    </row>
    <row r="832">
      <c r="A832" s="74" t="s">
        <v>20845</v>
      </c>
      <c r="B832" s="74" t="s">
        <v>6876</v>
      </c>
      <c r="C832" s="74" t="s">
        <v>6877</v>
      </c>
      <c r="D832" s="74" t="s">
        <v>8493</v>
      </c>
      <c r="E832" s="146">
        <v>43854.0</v>
      </c>
      <c r="F832" s="74" t="s">
        <v>20856</v>
      </c>
      <c r="G832" s="74">
        <v>59.0</v>
      </c>
      <c r="H832" s="74">
        <v>1.0</v>
      </c>
      <c r="I832" s="74">
        <v>99.0</v>
      </c>
      <c r="J832" s="119"/>
      <c r="K832" s="119"/>
      <c r="L832" s="74" t="s">
        <v>2064</v>
      </c>
      <c r="M832" s="74" t="s">
        <v>2064</v>
      </c>
      <c r="N832" s="74">
        <v>1.0</v>
      </c>
      <c r="O832" s="74" t="s">
        <v>20822</v>
      </c>
      <c r="P832" s="119"/>
      <c r="Q832" s="74" t="s">
        <v>20858</v>
      </c>
      <c r="R832" s="74">
        <v>5.0</v>
      </c>
      <c r="S832" s="74" t="s">
        <v>18057</v>
      </c>
      <c r="T832" s="120">
        <v>7498.0</v>
      </c>
      <c r="U832" s="74" t="s">
        <v>20859</v>
      </c>
      <c r="V832" s="74" t="s">
        <v>20860</v>
      </c>
      <c r="W832" s="120">
        <v>833.0</v>
      </c>
    </row>
    <row r="833">
      <c r="A833" s="74" t="s">
        <v>20856</v>
      </c>
      <c r="B833" s="74" t="s">
        <v>6876</v>
      </c>
      <c r="C833" s="74" t="s">
        <v>6877</v>
      </c>
      <c r="D833" s="74" t="s">
        <v>8493</v>
      </c>
      <c r="E833" s="146">
        <v>43854.0</v>
      </c>
      <c r="F833" s="74" t="s">
        <v>20861</v>
      </c>
      <c r="G833" s="74">
        <v>59.0</v>
      </c>
      <c r="H833" s="74">
        <v>1.0</v>
      </c>
      <c r="I833" s="74">
        <v>11.0</v>
      </c>
      <c r="J833" s="119"/>
      <c r="K833" s="119"/>
      <c r="L833" s="74" t="s">
        <v>2066</v>
      </c>
      <c r="M833" s="74" t="s">
        <v>2066</v>
      </c>
      <c r="N833" s="74">
        <v>1.0</v>
      </c>
      <c r="O833" s="74" t="s">
        <v>20822</v>
      </c>
      <c r="P833" s="119"/>
      <c r="Q833" s="119"/>
      <c r="R833" s="74">
        <v>5.0</v>
      </c>
      <c r="S833" s="74" t="s">
        <v>18057</v>
      </c>
      <c r="T833" s="120">
        <v>7499.0</v>
      </c>
      <c r="U833" s="74" t="s">
        <v>20864</v>
      </c>
      <c r="V833" s="74" t="s">
        <v>20865</v>
      </c>
      <c r="W833" s="120">
        <v>834.0</v>
      </c>
    </row>
    <row r="834">
      <c r="A834" s="74" t="s">
        <v>20861</v>
      </c>
      <c r="B834" s="74" t="s">
        <v>6876</v>
      </c>
      <c r="C834" s="74" t="s">
        <v>6877</v>
      </c>
      <c r="D834" s="74" t="s">
        <v>8493</v>
      </c>
      <c r="E834" s="146">
        <v>43854.0</v>
      </c>
      <c r="F834" s="74" t="s">
        <v>20866</v>
      </c>
      <c r="G834" s="74">
        <v>59.0</v>
      </c>
      <c r="H834" s="74">
        <v>1.0</v>
      </c>
      <c r="I834" s="74">
        <v>11.0</v>
      </c>
      <c r="J834" s="119"/>
      <c r="K834" s="119"/>
      <c r="L834" s="74" t="s">
        <v>2069</v>
      </c>
      <c r="M834" s="74" t="s">
        <v>2069</v>
      </c>
      <c r="N834" s="74">
        <v>1.0</v>
      </c>
      <c r="O834" s="74" t="s">
        <v>20822</v>
      </c>
      <c r="P834" s="119"/>
      <c r="Q834" s="119"/>
      <c r="R834" s="74">
        <v>5.0</v>
      </c>
      <c r="S834" s="74" t="s">
        <v>18057</v>
      </c>
      <c r="T834" s="120">
        <v>7500.0</v>
      </c>
      <c r="U834" s="74" t="s">
        <v>20868</v>
      </c>
      <c r="V834" s="74" t="s">
        <v>20869</v>
      </c>
      <c r="W834" s="120">
        <v>835.0</v>
      </c>
    </row>
    <row r="835">
      <c r="A835" s="74" t="s">
        <v>20866</v>
      </c>
      <c r="B835" s="74" t="s">
        <v>6876</v>
      </c>
      <c r="C835" s="74" t="s">
        <v>6877</v>
      </c>
      <c r="D835" s="74" t="s">
        <v>8493</v>
      </c>
      <c r="E835" s="146">
        <v>43854.0</v>
      </c>
      <c r="F835" s="74" t="s">
        <v>20872</v>
      </c>
      <c r="G835" s="74">
        <v>59.0</v>
      </c>
      <c r="H835" s="74">
        <v>1.0</v>
      </c>
      <c r="I835" s="74">
        <v>11.0</v>
      </c>
      <c r="J835" s="119"/>
      <c r="K835" s="119"/>
      <c r="L835" s="74" t="s">
        <v>2072</v>
      </c>
      <c r="M835" s="74" t="s">
        <v>2072</v>
      </c>
      <c r="N835" s="74">
        <v>1.0</v>
      </c>
      <c r="O835" s="74" t="s">
        <v>20822</v>
      </c>
      <c r="P835" s="119"/>
      <c r="Q835" s="119"/>
      <c r="R835" s="74">
        <v>5.0</v>
      </c>
      <c r="S835" s="74" t="s">
        <v>18057</v>
      </c>
      <c r="T835" s="120">
        <v>7501.0</v>
      </c>
      <c r="U835" s="74" t="s">
        <v>20875</v>
      </c>
      <c r="V835" s="74" t="s">
        <v>20876</v>
      </c>
      <c r="W835" s="120">
        <v>836.0</v>
      </c>
    </row>
    <row r="836">
      <c r="A836" s="74" t="s">
        <v>20872</v>
      </c>
      <c r="B836" s="74" t="s">
        <v>6876</v>
      </c>
      <c r="C836" s="74" t="s">
        <v>6877</v>
      </c>
      <c r="D836" s="74" t="s">
        <v>8493</v>
      </c>
      <c r="E836" s="146">
        <v>43854.0</v>
      </c>
      <c r="F836" s="74" t="s">
        <v>20879</v>
      </c>
      <c r="G836" s="74">
        <v>33.0</v>
      </c>
      <c r="H836" s="74">
        <v>1.0</v>
      </c>
      <c r="I836" s="74">
        <v>98.0</v>
      </c>
      <c r="J836" s="119"/>
      <c r="K836" s="119"/>
      <c r="L836" s="74" t="s">
        <v>2088</v>
      </c>
      <c r="M836" s="74" t="s">
        <v>2088</v>
      </c>
      <c r="N836" s="74">
        <v>1.0</v>
      </c>
      <c r="O836" s="74" t="s">
        <v>20822</v>
      </c>
      <c r="P836" s="119"/>
      <c r="Q836" s="119"/>
      <c r="R836" s="74">
        <v>5.0</v>
      </c>
      <c r="S836" s="74" t="s">
        <v>18057</v>
      </c>
      <c r="T836" s="120">
        <v>7502.0</v>
      </c>
      <c r="U836" s="74" t="s">
        <v>20881</v>
      </c>
      <c r="V836" s="74" t="s">
        <v>20882</v>
      </c>
      <c r="W836" s="120">
        <v>837.0</v>
      </c>
    </row>
    <row r="837">
      <c r="A837" s="74" t="s">
        <v>20879</v>
      </c>
      <c r="B837" s="74" t="s">
        <v>6876</v>
      </c>
      <c r="C837" s="74" t="s">
        <v>6877</v>
      </c>
      <c r="D837" s="74" t="s">
        <v>8493</v>
      </c>
      <c r="E837" s="146">
        <v>43854.0</v>
      </c>
      <c r="F837" s="74" t="s">
        <v>20883</v>
      </c>
      <c r="G837" s="74">
        <v>57.0</v>
      </c>
      <c r="H837" s="74">
        <v>1.0</v>
      </c>
      <c r="I837" s="74">
        <v>12.0</v>
      </c>
      <c r="J837" s="119"/>
      <c r="K837" s="119"/>
      <c r="L837" s="74" t="s">
        <v>2077</v>
      </c>
      <c r="M837" s="74" t="s">
        <v>2077</v>
      </c>
      <c r="N837" s="74">
        <v>1.0</v>
      </c>
      <c r="O837" s="74" t="s">
        <v>20884</v>
      </c>
      <c r="P837" s="119"/>
      <c r="Q837" s="119"/>
      <c r="R837" s="74">
        <v>5.0</v>
      </c>
      <c r="S837" s="74" t="s">
        <v>18057</v>
      </c>
      <c r="T837" s="120">
        <v>7503.0</v>
      </c>
      <c r="U837" s="74" t="s">
        <v>20887</v>
      </c>
      <c r="V837" s="74" t="s">
        <v>20888</v>
      </c>
      <c r="W837" s="120">
        <v>838.0</v>
      </c>
    </row>
    <row r="838">
      <c r="A838" s="74" t="s">
        <v>20883</v>
      </c>
      <c r="B838" s="74" t="s">
        <v>6876</v>
      </c>
      <c r="C838" s="74" t="s">
        <v>6877</v>
      </c>
      <c r="D838" s="74" t="s">
        <v>8493</v>
      </c>
      <c r="E838" s="146">
        <v>43854.0</v>
      </c>
      <c r="F838" s="74" t="s">
        <v>20890</v>
      </c>
      <c r="G838" s="74">
        <v>57.0</v>
      </c>
      <c r="H838" s="74">
        <v>1.0</v>
      </c>
      <c r="I838" s="74">
        <v>99.0</v>
      </c>
      <c r="J838" s="119"/>
      <c r="K838" s="119"/>
      <c r="L838" s="74" t="s">
        <v>2078</v>
      </c>
      <c r="M838" s="74" t="s">
        <v>2078</v>
      </c>
      <c r="N838" s="74">
        <v>1.0</v>
      </c>
      <c r="O838" s="74" t="s">
        <v>20884</v>
      </c>
      <c r="P838" s="119"/>
      <c r="Q838" s="74" t="s">
        <v>20891</v>
      </c>
      <c r="R838" s="74">
        <v>5.0</v>
      </c>
      <c r="S838" s="74" t="s">
        <v>18057</v>
      </c>
      <c r="T838" s="120">
        <v>7504.0</v>
      </c>
      <c r="U838" s="74" t="s">
        <v>20892</v>
      </c>
      <c r="V838" s="74" t="s">
        <v>20893</v>
      </c>
      <c r="W838" s="120">
        <v>839.0</v>
      </c>
    </row>
    <row r="839">
      <c r="A839" s="74" t="s">
        <v>20890</v>
      </c>
      <c r="B839" s="74" t="s">
        <v>6876</v>
      </c>
      <c r="C839" s="74" t="s">
        <v>6877</v>
      </c>
      <c r="D839" s="74" t="s">
        <v>8493</v>
      </c>
      <c r="E839" s="146">
        <v>43854.0</v>
      </c>
      <c r="F839" s="74" t="s">
        <v>20896</v>
      </c>
      <c r="G839" s="74">
        <v>57.0</v>
      </c>
      <c r="H839" s="74">
        <v>1.0</v>
      </c>
      <c r="I839" s="74">
        <v>12.0</v>
      </c>
      <c r="J839" s="119"/>
      <c r="K839" s="119"/>
      <c r="L839" s="74" t="s">
        <v>2080</v>
      </c>
      <c r="M839" s="74" t="s">
        <v>2080</v>
      </c>
      <c r="N839" s="74">
        <v>1.0</v>
      </c>
      <c r="O839" s="74" t="s">
        <v>20884</v>
      </c>
      <c r="P839" s="119"/>
      <c r="Q839" s="119"/>
      <c r="R839" s="74">
        <v>5.0</v>
      </c>
      <c r="S839" s="74" t="s">
        <v>18057</v>
      </c>
      <c r="T839" s="120">
        <v>7505.0</v>
      </c>
      <c r="U839" s="74" t="s">
        <v>20903</v>
      </c>
      <c r="V839" s="74" t="s">
        <v>20904</v>
      </c>
      <c r="W839" s="120">
        <v>840.0</v>
      </c>
    </row>
    <row r="840">
      <c r="A840" s="74" t="s">
        <v>20896</v>
      </c>
      <c r="B840" s="74" t="s">
        <v>6876</v>
      </c>
      <c r="C840" s="74" t="s">
        <v>6877</v>
      </c>
      <c r="D840" s="74" t="s">
        <v>8493</v>
      </c>
      <c r="E840" s="146">
        <v>43854.0</v>
      </c>
      <c r="F840" s="74" t="s">
        <v>20906</v>
      </c>
      <c r="G840" s="74">
        <v>55.0</v>
      </c>
      <c r="H840" s="74">
        <v>1.0</v>
      </c>
      <c r="I840" s="74">
        <v>12.0</v>
      </c>
      <c r="J840" s="119"/>
      <c r="K840" s="119"/>
      <c r="L840" s="74" t="s">
        <v>2083</v>
      </c>
      <c r="M840" s="74" t="s">
        <v>2083</v>
      </c>
      <c r="N840" s="74">
        <v>1.0</v>
      </c>
      <c r="O840" s="74" t="s">
        <v>20884</v>
      </c>
      <c r="P840" s="119"/>
      <c r="Q840" s="119"/>
      <c r="R840" s="74">
        <v>5.0</v>
      </c>
      <c r="S840" s="74" t="s">
        <v>18057</v>
      </c>
      <c r="T840" s="120">
        <v>7506.0</v>
      </c>
      <c r="U840" s="74" t="s">
        <v>20908</v>
      </c>
      <c r="V840" s="74" t="s">
        <v>20909</v>
      </c>
      <c r="W840" s="120">
        <v>841.0</v>
      </c>
    </row>
    <row r="841">
      <c r="A841" s="74" t="s">
        <v>20906</v>
      </c>
      <c r="B841" s="74" t="s">
        <v>6876</v>
      </c>
      <c r="C841" s="74" t="s">
        <v>6877</v>
      </c>
      <c r="D841" s="74" t="s">
        <v>8493</v>
      </c>
      <c r="E841" s="146">
        <v>43854.0</v>
      </c>
      <c r="F841" s="74" t="s">
        <v>20910</v>
      </c>
      <c r="G841" s="74">
        <v>57.0</v>
      </c>
      <c r="H841" s="74">
        <v>1.0</v>
      </c>
      <c r="I841" s="74">
        <v>16.0</v>
      </c>
      <c r="J841" s="119"/>
      <c r="K841" s="119"/>
      <c r="L841" s="74" t="s">
        <v>2086</v>
      </c>
      <c r="M841" s="74" t="s">
        <v>2086</v>
      </c>
      <c r="N841" s="74">
        <v>1.0</v>
      </c>
      <c r="O841" s="74" t="s">
        <v>20884</v>
      </c>
      <c r="P841" s="119"/>
      <c r="Q841" s="119"/>
      <c r="R841" s="74">
        <v>5.0</v>
      </c>
      <c r="S841" s="74" t="s">
        <v>18057</v>
      </c>
      <c r="T841" s="120">
        <v>7507.0</v>
      </c>
      <c r="U841" s="74" t="s">
        <v>20915</v>
      </c>
      <c r="V841" s="74" t="s">
        <v>20916</v>
      </c>
      <c r="W841" s="120">
        <v>842.0</v>
      </c>
    </row>
    <row r="842">
      <c r="A842" s="74" t="s">
        <v>20917</v>
      </c>
      <c r="B842" s="74" t="s">
        <v>6876</v>
      </c>
      <c r="C842" s="74" t="s">
        <v>6877</v>
      </c>
      <c r="D842" s="74" t="s">
        <v>8493</v>
      </c>
      <c r="E842" s="146">
        <v>43854.0</v>
      </c>
      <c r="F842" s="74" t="s">
        <v>20918</v>
      </c>
      <c r="G842" s="74">
        <v>57.0</v>
      </c>
      <c r="H842" s="74">
        <v>1.0</v>
      </c>
      <c r="I842" s="74">
        <v>16.0</v>
      </c>
      <c r="J842" s="119"/>
      <c r="K842" s="119"/>
      <c r="L842" s="74" t="s">
        <v>20919</v>
      </c>
      <c r="M842" s="74" t="s">
        <v>20919</v>
      </c>
      <c r="N842" s="74">
        <v>1.0</v>
      </c>
      <c r="O842" s="74" t="s">
        <v>20884</v>
      </c>
      <c r="P842" s="119"/>
      <c r="Q842" s="119"/>
      <c r="R842" s="74">
        <v>5.0</v>
      </c>
      <c r="S842" s="74" t="s">
        <v>18057</v>
      </c>
      <c r="T842" s="120">
        <v>7508.0</v>
      </c>
      <c r="U842" s="74" t="s">
        <v>20920</v>
      </c>
      <c r="V842" s="74" t="s">
        <v>20921</v>
      </c>
      <c r="W842" s="120">
        <v>843.0</v>
      </c>
    </row>
    <row r="843">
      <c r="A843" s="74" t="s">
        <v>20918</v>
      </c>
      <c r="B843" s="74" t="s">
        <v>6876</v>
      </c>
      <c r="C843" s="74" t="s">
        <v>6877</v>
      </c>
      <c r="D843" s="74" t="s">
        <v>8493</v>
      </c>
      <c r="E843" s="146">
        <v>43854.0</v>
      </c>
      <c r="F843" s="74" t="s">
        <v>20924</v>
      </c>
      <c r="G843" s="74">
        <v>33.0</v>
      </c>
      <c r="H843" s="74">
        <v>1.0</v>
      </c>
      <c r="I843" s="74">
        <v>98.0</v>
      </c>
      <c r="J843" s="119"/>
      <c r="K843" s="119"/>
      <c r="L843" s="74" t="s">
        <v>2101</v>
      </c>
      <c r="M843" s="74" t="s">
        <v>2101</v>
      </c>
      <c r="N843" s="74">
        <v>1.0</v>
      </c>
      <c r="O843" s="74" t="s">
        <v>20884</v>
      </c>
      <c r="P843" s="119"/>
      <c r="Q843" s="119"/>
      <c r="R843" s="74">
        <v>5.0</v>
      </c>
      <c r="S843" s="74" t="s">
        <v>18057</v>
      </c>
      <c r="T843" s="120">
        <v>7509.0</v>
      </c>
      <c r="U843" s="74" t="s">
        <v>20927</v>
      </c>
      <c r="V843" s="74" t="s">
        <v>20928</v>
      </c>
      <c r="W843" s="120">
        <v>844.0</v>
      </c>
    </row>
    <row r="844">
      <c r="A844" s="74" t="s">
        <v>20924</v>
      </c>
      <c r="B844" s="74" t="s">
        <v>6876</v>
      </c>
      <c r="C844" s="74" t="s">
        <v>6877</v>
      </c>
      <c r="D844" s="74" t="s">
        <v>8493</v>
      </c>
      <c r="E844" s="146">
        <v>43854.0</v>
      </c>
      <c r="F844" s="74" t="s">
        <v>20930</v>
      </c>
      <c r="G844" s="74">
        <v>58.0</v>
      </c>
      <c r="H844" s="74">
        <v>2.0</v>
      </c>
      <c r="I844" s="74">
        <v>15.0</v>
      </c>
      <c r="J844" s="119"/>
      <c r="K844" s="74">
        <v>151.0</v>
      </c>
      <c r="L844" s="74" t="s">
        <v>676</v>
      </c>
      <c r="M844" s="74" t="s">
        <v>676</v>
      </c>
      <c r="N844" s="74">
        <v>1.0</v>
      </c>
      <c r="O844" s="74" t="s">
        <v>20933</v>
      </c>
      <c r="P844" s="119"/>
      <c r="Q844" s="119"/>
      <c r="R844" s="74">
        <v>5.0</v>
      </c>
      <c r="S844" s="74" t="s">
        <v>18057</v>
      </c>
      <c r="T844" s="120">
        <v>7510.0</v>
      </c>
      <c r="U844" s="74" t="s">
        <v>20935</v>
      </c>
      <c r="V844" s="74" t="s">
        <v>20936</v>
      </c>
      <c r="W844" s="120">
        <v>845.0</v>
      </c>
    </row>
    <row r="845">
      <c r="A845" s="74" t="s">
        <v>20930</v>
      </c>
      <c r="B845" s="74" t="s">
        <v>6876</v>
      </c>
      <c r="C845" s="74" t="s">
        <v>6877</v>
      </c>
      <c r="D845" s="74" t="s">
        <v>8493</v>
      </c>
      <c r="E845" s="146">
        <v>43854.0</v>
      </c>
      <c r="F845" s="74" t="s">
        <v>20938</v>
      </c>
      <c r="G845" s="74">
        <v>58.0</v>
      </c>
      <c r="H845" s="74">
        <v>2.0</v>
      </c>
      <c r="I845" s="74">
        <v>15.0</v>
      </c>
      <c r="J845" s="119"/>
      <c r="K845" s="74">
        <v>152.0</v>
      </c>
      <c r="L845" s="74" t="s">
        <v>678</v>
      </c>
      <c r="M845" s="74" t="s">
        <v>678</v>
      </c>
      <c r="N845" s="74">
        <v>1.0</v>
      </c>
      <c r="O845" s="74" t="s">
        <v>20933</v>
      </c>
      <c r="P845" s="119"/>
      <c r="Q845" s="119"/>
      <c r="R845" s="74">
        <v>5.0</v>
      </c>
      <c r="S845" s="74" t="s">
        <v>18057</v>
      </c>
      <c r="T845" s="120">
        <v>7511.0</v>
      </c>
      <c r="U845" s="74" t="s">
        <v>20945</v>
      </c>
      <c r="V845" s="74" t="s">
        <v>20946</v>
      </c>
      <c r="W845" s="120">
        <v>846.0</v>
      </c>
    </row>
    <row r="846">
      <c r="A846" s="74" t="s">
        <v>20938</v>
      </c>
      <c r="B846" s="74" t="s">
        <v>6876</v>
      </c>
      <c r="C846" s="74" t="s">
        <v>6877</v>
      </c>
      <c r="D846" s="74" t="s">
        <v>8493</v>
      </c>
      <c r="E846" s="146">
        <v>43854.0</v>
      </c>
      <c r="F846" s="74" t="s">
        <v>20948</v>
      </c>
      <c r="G846" s="74">
        <v>58.0</v>
      </c>
      <c r="H846" s="74">
        <v>2.0</v>
      </c>
      <c r="I846" s="74">
        <v>15.0</v>
      </c>
      <c r="J846" s="119"/>
      <c r="K846" s="74">
        <v>152.0</v>
      </c>
      <c r="L846" s="74" t="s">
        <v>679</v>
      </c>
      <c r="M846" s="74" t="s">
        <v>679</v>
      </c>
      <c r="N846" s="74">
        <v>1.0</v>
      </c>
      <c r="O846" s="74" t="s">
        <v>20933</v>
      </c>
      <c r="P846" s="119"/>
      <c r="Q846" s="119"/>
      <c r="R846" s="74">
        <v>5.0</v>
      </c>
      <c r="S846" s="74" t="s">
        <v>18057</v>
      </c>
      <c r="T846" s="120">
        <v>7512.0</v>
      </c>
      <c r="U846" s="74" t="s">
        <v>20949</v>
      </c>
      <c r="V846" s="74" t="s">
        <v>20950</v>
      </c>
      <c r="W846" s="120">
        <v>847.0</v>
      </c>
    </row>
    <row r="847">
      <c r="A847" s="74" t="s">
        <v>20948</v>
      </c>
      <c r="B847" s="74" t="s">
        <v>6876</v>
      </c>
      <c r="C847" s="74" t="s">
        <v>6877</v>
      </c>
      <c r="D847" s="74" t="s">
        <v>8493</v>
      </c>
      <c r="E847" s="146">
        <v>43854.0</v>
      </c>
      <c r="F847" s="74" t="s">
        <v>20954</v>
      </c>
      <c r="G847" s="74">
        <v>58.0</v>
      </c>
      <c r="H847" s="74">
        <v>2.0</v>
      </c>
      <c r="I847" s="74">
        <v>15.0</v>
      </c>
      <c r="J847" s="119"/>
      <c r="K847" s="74">
        <v>152.0</v>
      </c>
      <c r="L847" s="74" t="s">
        <v>681</v>
      </c>
      <c r="M847" s="74" t="s">
        <v>681</v>
      </c>
      <c r="N847" s="74">
        <v>1.0</v>
      </c>
      <c r="O847" s="74" t="s">
        <v>20933</v>
      </c>
      <c r="P847" s="119"/>
      <c r="Q847" s="119"/>
      <c r="R847" s="74">
        <v>5.0</v>
      </c>
      <c r="S847" s="74" t="s">
        <v>18057</v>
      </c>
      <c r="T847" s="120">
        <v>7513.0</v>
      </c>
      <c r="U847" s="74" t="s">
        <v>20956</v>
      </c>
      <c r="V847" s="74" t="s">
        <v>20957</v>
      </c>
      <c r="W847" s="120">
        <v>848.0</v>
      </c>
    </row>
    <row r="848">
      <c r="A848" s="74" t="s">
        <v>20954</v>
      </c>
      <c r="B848" s="74" t="s">
        <v>6876</v>
      </c>
      <c r="C848" s="74" t="s">
        <v>6877</v>
      </c>
      <c r="D848" s="74" t="s">
        <v>8493</v>
      </c>
      <c r="E848" s="146">
        <v>43854.0</v>
      </c>
      <c r="F848" s="74" t="s">
        <v>20958</v>
      </c>
      <c r="G848" s="74">
        <v>58.0</v>
      </c>
      <c r="H848" s="74">
        <v>2.0</v>
      </c>
      <c r="I848" s="74">
        <v>15.0</v>
      </c>
      <c r="J848" s="119"/>
      <c r="K848" s="74">
        <v>151.0</v>
      </c>
      <c r="L848" s="74" t="s">
        <v>686</v>
      </c>
      <c r="M848" s="74" t="s">
        <v>686</v>
      </c>
      <c r="N848" s="74">
        <v>1.0</v>
      </c>
      <c r="O848" s="74" t="s">
        <v>20933</v>
      </c>
      <c r="P848" s="119"/>
      <c r="Q848" s="119"/>
      <c r="R848" s="74">
        <v>5.0</v>
      </c>
      <c r="S848" s="74" t="s">
        <v>18057</v>
      </c>
      <c r="T848" s="120">
        <v>7514.0</v>
      </c>
      <c r="U848" s="74" t="s">
        <v>20961</v>
      </c>
      <c r="V848" s="74" t="s">
        <v>20962</v>
      </c>
      <c r="W848" s="120">
        <v>849.0</v>
      </c>
    </row>
    <row r="849">
      <c r="A849" s="74" t="s">
        <v>20958</v>
      </c>
      <c r="B849" s="74" t="s">
        <v>6876</v>
      </c>
      <c r="C849" s="74" t="s">
        <v>6877</v>
      </c>
      <c r="D849" s="74" t="s">
        <v>8493</v>
      </c>
      <c r="E849" s="146">
        <v>43854.0</v>
      </c>
      <c r="F849" s="74" t="s">
        <v>20966</v>
      </c>
      <c r="G849" s="74">
        <v>58.0</v>
      </c>
      <c r="H849" s="74">
        <v>2.0</v>
      </c>
      <c r="I849" s="74">
        <v>15.0</v>
      </c>
      <c r="J849" s="119"/>
      <c r="K849" s="74">
        <v>152.0</v>
      </c>
      <c r="L849" s="74" t="s">
        <v>688</v>
      </c>
      <c r="M849" s="74" t="s">
        <v>688</v>
      </c>
      <c r="N849" s="74">
        <v>1.0</v>
      </c>
      <c r="O849" s="74" t="s">
        <v>20933</v>
      </c>
      <c r="P849" s="119"/>
      <c r="Q849" s="119"/>
      <c r="R849" s="74">
        <v>5.0</v>
      </c>
      <c r="S849" s="74" t="s">
        <v>18057</v>
      </c>
      <c r="T849" s="120">
        <v>7515.0</v>
      </c>
      <c r="U849" s="74" t="s">
        <v>20969</v>
      </c>
      <c r="V849" s="74" t="s">
        <v>20970</v>
      </c>
      <c r="W849" s="120">
        <v>850.0</v>
      </c>
    </row>
    <row r="850">
      <c r="A850" s="74" t="s">
        <v>20971</v>
      </c>
      <c r="B850" s="74" t="s">
        <v>6876</v>
      </c>
      <c r="C850" s="74" t="s">
        <v>6877</v>
      </c>
      <c r="D850" s="74" t="s">
        <v>8493</v>
      </c>
      <c r="E850" s="146">
        <v>43854.0</v>
      </c>
      <c r="F850" s="74" t="s">
        <v>20972</v>
      </c>
      <c r="G850" s="74">
        <v>58.0</v>
      </c>
      <c r="H850" s="74">
        <v>2.0</v>
      </c>
      <c r="I850" s="74">
        <v>15.0</v>
      </c>
      <c r="J850" s="119"/>
      <c r="K850" s="74">
        <v>152.0</v>
      </c>
      <c r="L850" s="74" t="s">
        <v>690</v>
      </c>
      <c r="M850" s="74" t="s">
        <v>690</v>
      </c>
      <c r="N850" s="74">
        <v>1.0</v>
      </c>
      <c r="O850" s="74" t="s">
        <v>20933</v>
      </c>
      <c r="P850" s="119"/>
      <c r="Q850" s="119"/>
      <c r="R850" s="74">
        <v>5.0</v>
      </c>
      <c r="S850" s="74" t="s">
        <v>18057</v>
      </c>
      <c r="T850" s="120">
        <v>7516.0</v>
      </c>
      <c r="U850" s="74" t="s">
        <v>20974</v>
      </c>
      <c r="V850" s="74" t="s">
        <v>20976</v>
      </c>
      <c r="W850" s="120">
        <v>851.0</v>
      </c>
    </row>
    <row r="851">
      <c r="A851" s="74" t="s">
        <v>20972</v>
      </c>
      <c r="B851" s="74" t="s">
        <v>6876</v>
      </c>
      <c r="C851" s="74" t="s">
        <v>6877</v>
      </c>
      <c r="D851" s="74" t="s">
        <v>8493</v>
      </c>
      <c r="E851" s="146">
        <v>43854.0</v>
      </c>
      <c r="F851" s="74" t="s">
        <v>20978</v>
      </c>
      <c r="G851" s="74">
        <v>58.0</v>
      </c>
      <c r="H851" s="74">
        <v>2.0</v>
      </c>
      <c r="I851" s="74">
        <v>15.0</v>
      </c>
      <c r="J851" s="119"/>
      <c r="K851" s="74">
        <v>152.0</v>
      </c>
      <c r="L851" s="74" t="s">
        <v>691</v>
      </c>
      <c r="M851" s="74" t="s">
        <v>691</v>
      </c>
      <c r="N851" s="74">
        <v>1.0</v>
      </c>
      <c r="O851" s="74" t="s">
        <v>20933</v>
      </c>
      <c r="P851" s="119"/>
      <c r="Q851" s="119"/>
      <c r="R851" s="74">
        <v>5.0</v>
      </c>
      <c r="S851" s="74" t="s">
        <v>18057</v>
      </c>
      <c r="T851" s="120">
        <v>7517.0</v>
      </c>
      <c r="U851" s="74" t="s">
        <v>20980</v>
      </c>
      <c r="V851" s="74" t="s">
        <v>20981</v>
      </c>
      <c r="W851" s="120">
        <v>852.0</v>
      </c>
    </row>
    <row r="852">
      <c r="A852" s="74" t="s">
        <v>20978</v>
      </c>
      <c r="B852" s="74" t="s">
        <v>6876</v>
      </c>
      <c r="C852" s="74" t="s">
        <v>6877</v>
      </c>
      <c r="D852" s="74" t="s">
        <v>8493</v>
      </c>
      <c r="E852" s="146">
        <v>43854.0</v>
      </c>
      <c r="F852" s="74" t="s">
        <v>20982</v>
      </c>
      <c r="G852" s="74">
        <v>58.0</v>
      </c>
      <c r="H852" s="74">
        <v>2.0</v>
      </c>
      <c r="I852" s="74">
        <v>2.0</v>
      </c>
      <c r="J852" s="119"/>
      <c r="K852" s="119"/>
      <c r="L852" s="74" t="s">
        <v>333</v>
      </c>
      <c r="M852" s="74" t="s">
        <v>333</v>
      </c>
      <c r="N852" s="74">
        <v>1.0</v>
      </c>
      <c r="O852" s="74" t="s">
        <v>20933</v>
      </c>
      <c r="P852" s="119"/>
      <c r="Q852" s="119"/>
      <c r="R852" s="74">
        <v>5.0</v>
      </c>
      <c r="S852" s="74" t="s">
        <v>18057</v>
      </c>
      <c r="T852" s="120">
        <v>7518.0</v>
      </c>
      <c r="U852" s="74" t="s">
        <v>20983</v>
      </c>
      <c r="V852" s="74" t="s">
        <v>20984</v>
      </c>
      <c r="W852" s="120">
        <v>853.0</v>
      </c>
    </row>
    <row r="853">
      <c r="A853" s="74" t="s">
        <v>20982</v>
      </c>
      <c r="B853" s="74" t="s">
        <v>6876</v>
      </c>
      <c r="C853" s="74" t="s">
        <v>6877</v>
      </c>
      <c r="D853" s="74" t="s">
        <v>8493</v>
      </c>
      <c r="E853" s="146">
        <v>43854.0</v>
      </c>
      <c r="F853" s="74" t="s">
        <v>20988</v>
      </c>
      <c r="G853" s="74">
        <v>58.0</v>
      </c>
      <c r="H853" s="74">
        <v>2.0</v>
      </c>
      <c r="I853" s="74">
        <v>99.0</v>
      </c>
      <c r="J853" s="119"/>
      <c r="K853" s="119"/>
      <c r="L853" s="74" t="s">
        <v>2091</v>
      </c>
      <c r="M853" s="74" t="s">
        <v>2091</v>
      </c>
      <c r="N853" s="74">
        <v>1.0</v>
      </c>
      <c r="O853" s="74" t="s">
        <v>20933</v>
      </c>
      <c r="P853" s="119"/>
      <c r="Q853" s="74" t="s">
        <v>20990</v>
      </c>
      <c r="R853" s="74">
        <v>5.0</v>
      </c>
      <c r="S853" s="74" t="s">
        <v>18057</v>
      </c>
      <c r="T853" s="120">
        <v>7519.0</v>
      </c>
      <c r="U853" s="74" t="s">
        <v>20992</v>
      </c>
      <c r="V853" s="74" t="s">
        <v>20993</v>
      </c>
      <c r="W853" s="120">
        <v>854.0</v>
      </c>
    </row>
    <row r="854">
      <c r="A854" s="74" t="s">
        <v>20988</v>
      </c>
      <c r="B854" s="74" t="s">
        <v>6876</v>
      </c>
      <c r="C854" s="74" t="s">
        <v>6877</v>
      </c>
      <c r="D854" s="74" t="s">
        <v>8493</v>
      </c>
      <c r="E854" s="146">
        <v>43854.0</v>
      </c>
      <c r="F854" s="74" t="s">
        <v>20995</v>
      </c>
      <c r="G854" s="74">
        <v>58.0</v>
      </c>
      <c r="H854" s="74">
        <v>2.0</v>
      </c>
      <c r="I854" s="74">
        <v>8.0</v>
      </c>
      <c r="J854" s="119"/>
      <c r="K854" s="119"/>
      <c r="L854" s="74" t="s">
        <v>330</v>
      </c>
      <c r="M854" s="74" t="s">
        <v>330</v>
      </c>
      <c r="N854" s="74">
        <v>1.0</v>
      </c>
      <c r="O854" s="74" t="s">
        <v>20933</v>
      </c>
      <c r="P854" s="119"/>
      <c r="Q854" s="119"/>
      <c r="R854" s="74">
        <v>5.0</v>
      </c>
      <c r="S854" s="74" t="s">
        <v>18057</v>
      </c>
      <c r="T854" s="120">
        <v>7520.0</v>
      </c>
      <c r="U854" s="74" t="s">
        <v>20998</v>
      </c>
      <c r="V854" s="74" t="s">
        <v>20999</v>
      </c>
      <c r="W854" s="120">
        <v>855.0</v>
      </c>
    </row>
    <row r="855">
      <c r="A855" s="74" t="s">
        <v>20995</v>
      </c>
      <c r="B855" s="74" t="s">
        <v>6876</v>
      </c>
      <c r="C855" s="74" t="s">
        <v>6877</v>
      </c>
      <c r="D855" s="74" t="s">
        <v>8493</v>
      </c>
      <c r="E855" s="146">
        <v>43854.0</v>
      </c>
      <c r="F855" s="74" t="s">
        <v>21002</v>
      </c>
      <c r="G855" s="74">
        <v>59.0</v>
      </c>
      <c r="H855" s="74">
        <v>1.0</v>
      </c>
      <c r="I855" s="74">
        <v>11.0</v>
      </c>
      <c r="J855" s="119"/>
      <c r="K855" s="119"/>
      <c r="L855" s="74" t="s">
        <v>2108</v>
      </c>
      <c r="M855" s="74" t="s">
        <v>2108</v>
      </c>
      <c r="N855" s="74">
        <v>1.0</v>
      </c>
      <c r="O855" s="74" t="s">
        <v>20933</v>
      </c>
      <c r="P855" s="119"/>
      <c r="Q855" s="119"/>
      <c r="R855" s="74">
        <v>5.0</v>
      </c>
      <c r="S855" s="74" t="s">
        <v>18057</v>
      </c>
      <c r="T855" s="120">
        <v>7521.0</v>
      </c>
      <c r="U855" s="74" t="s">
        <v>21004</v>
      </c>
      <c r="V855" s="74" t="s">
        <v>21005</v>
      </c>
      <c r="W855" s="120">
        <v>856.0</v>
      </c>
    </row>
    <row r="856">
      <c r="A856" s="74" t="s">
        <v>21006</v>
      </c>
      <c r="B856" s="74" t="s">
        <v>6876</v>
      </c>
      <c r="C856" s="74" t="s">
        <v>6877</v>
      </c>
      <c r="D856" s="74" t="s">
        <v>8493</v>
      </c>
      <c r="E856" s="146">
        <v>43854.0</v>
      </c>
      <c r="F856" s="74" t="s">
        <v>21007</v>
      </c>
      <c r="G856" s="74">
        <v>59.0</v>
      </c>
      <c r="H856" s="74">
        <v>1.0</v>
      </c>
      <c r="I856" s="74">
        <v>99.0</v>
      </c>
      <c r="J856" s="119"/>
      <c r="K856" s="119"/>
      <c r="L856" s="74" t="s">
        <v>2109</v>
      </c>
      <c r="M856" s="74" t="s">
        <v>2109</v>
      </c>
      <c r="N856" s="74">
        <v>1.0</v>
      </c>
      <c r="O856" s="74" t="s">
        <v>20933</v>
      </c>
      <c r="P856" s="119"/>
      <c r="Q856" s="74" t="s">
        <v>21008</v>
      </c>
      <c r="R856" s="74">
        <v>5.0</v>
      </c>
      <c r="S856" s="74" t="s">
        <v>18057</v>
      </c>
      <c r="T856" s="120">
        <v>7522.0</v>
      </c>
      <c r="U856" s="74" t="s">
        <v>21009</v>
      </c>
      <c r="V856" s="74" t="s">
        <v>21010</v>
      </c>
      <c r="W856" s="120">
        <v>857.0</v>
      </c>
    </row>
    <row r="857">
      <c r="A857" s="74" t="s">
        <v>21007</v>
      </c>
      <c r="B857" s="74" t="s">
        <v>6876</v>
      </c>
      <c r="C857" s="74" t="s">
        <v>6877</v>
      </c>
      <c r="D857" s="74" t="s">
        <v>8493</v>
      </c>
      <c r="E857" s="146">
        <v>43854.0</v>
      </c>
      <c r="F857" s="74" t="s">
        <v>21011</v>
      </c>
      <c r="G857" s="74">
        <v>59.0</v>
      </c>
      <c r="H857" s="74">
        <v>1.0</v>
      </c>
      <c r="I857" s="74">
        <v>11.0</v>
      </c>
      <c r="J857" s="119"/>
      <c r="K857" s="119"/>
      <c r="L857" s="74" t="s">
        <v>2111</v>
      </c>
      <c r="M857" s="74" t="s">
        <v>2111</v>
      </c>
      <c r="N857" s="74">
        <v>1.0</v>
      </c>
      <c r="O857" s="74" t="s">
        <v>20933</v>
      </c>
      <c r="P857" s="119"/>
      <c r="Q857" s="119"/>
      <c r="R857" s="74">
        <v>5.0</v>
      </c>
      <c r="S857" s="74" t="s">
        <v>18057</v>
      </c>
      <c r="T857" s="120">
        <v>7523.0</v>
      </c>
      <c r="U857" s="74" t="s">
        <v>21015</v>
      </c>
      <c r="V857" s="74" t="s">
        <v>21016</v>
      </c>
      <c r="W857" s="120">
        <v>858.0</v>
      </c>
    </row>
    <row r="858">
      <c r="A858" s="74" t="s">
        <v>21011</v>
      </c>
      <c r="B858" s="74" t="s">
        <v>6876</v>
      </c>
      <c r="C858" s="74" t="s">
        <v>6877</v>
      </c>
      <c r="D858" s="74" t="s">
        <v>8493</v>
      </c>
      <c r="E858" s="146">
        <v>43854.0</v>
      </c>
      <c r="F858" s="74" t="s">
        <v>21018</v>
      </c>
      <c r="G858" s="74">
        <v>59.0</v>
      </c>
      <c r="H858" s="74">
        <v>1.0</v>
      </c>
      <c r="I858" s="74">
        <v>3.0</v>
      </c>
      <c r="J858" s="119"/>
      <c r="K858" s="119"/>
      <c r="L858" s="74" t="s">
        <v>2114</v>
      </c>
      <c r="M858" s="74" t="s">
        <v>2114</v>
      </c>
      <c r="N858" s="74">
        <v>1.0</v>
      </c>
      <c r="O858" s="74" t="s">
        <v>20933</v>
      </c>
      <c r="P858" s="119"/>
      <c r="Q858" s="119"/>
      <c r="R858" s="74">
        <v>5.0</v>
      </c>
      <c r="S858" s="74" t="s">
        <v>18057</v>
      </c>
      <c r="T858" s="120">
        <v>7524.0</v>
      </c>
      <c r="U858" s="74" t="s">
        <v>21021</v>
      </c>
      <c r="V858" s="74" t="s">
        <v>21022</v>
      </c>
      <c r="W858" s="120">
        <v>859.0</v>
      </c>
    </row>
    <row r="859">
      <c r="A859" s="74" t="s">
        <v>21018</v>
      </c>
      <c r="B859" s="74" t="s">
        <v>6876</v>
      </c>
      <c r="C859" s="74" t="s">
        <v>6877</v>
      </c>
      <c r="D859" s="74" t="s">
        <v>8493</v>
      </c>
      <c r="E859" s="146">
        <v>43854.0</v>
      </c>
      <c r="F859" s="74" t="s">
        <v>21025</v>
      </c>
      <c r="G859" s="74">
        <v>59.0</v>
      </c>
      <c r="H859" s="74">
        <v>1.0</v>
      </c>
      <c r="I859" s="74">
        <v>3.0</v>
      </c>
      <c r="J859" s="119"/>
      <c r="K859" s="119"/>
      <c r="L859" s="74" t="s">
        <v>2116</v>
      </c>
      <c r="M859" s="74" t="s">
        <v>2116</v>
      </c>
      <c r="N859" s="74">
        <v>1.0</v>
      </c>
      <c r="O859" s="74" t="s">
        <v>20933</v>
      </c>
      <c r="P859" s="119"/>
      <c r="Q859" s="119"/>
      <c r="R859" s="74">
        <v>5.0</v>
      </c>
      <c r="S859" s="74" t="s">
        <v>18057</v>
      </c>
      <c r="T859" s="120">
        <v>7525.0</v>
      </c>
      <c r="U859" s="74" t="s">
        <v>21029</v>
      </c>
      <c r="V859" s="74" t="s">
        <v>21030</v>
      </c>
      <c r="W859" s="120">
        <v>860.0</v>
      </c>
    </row>
    <row r="860">
      <c r="A860" s="74" t="s">
        <v>21025</v>
      </c>
      <c r="B860" s="74" t="s">
        <v>6876</v>
      </c>
      <c r="C860" s="74" t="s">
        <v>6877</v>
      </c>
      <c r="D860" s="74" t="s">
        <v>8493</v>
      </c>
      <c r="E860" s="146">
        <v>43854.0</v>
      </c>
      <c r="F860" s="74" t="s">
        <v>21031</v>
      </c>
      <c r="G860" s="74">
        <v>66.0</v>
      </c>
      <c r="H860" s="74">
        <v>1.0</v>
      </c>
      <c r="I860" s="74">
        <v>12.0</v>
      </c>
      <c r="J860" s="119"/>
      <c r="K860" s="119"/>
      <c r="L860" s="74" t="s">
        <v>2102</v>
      </c>
      <c r="M860" s="74" t="s">
        <v>2102</v>
      </c>
      <c r="N860" s="74">
        <v>1.0</v>
      </c>
      <c r="O860" s="74" t="s">
        <v>20933</v>
      </c>
      <c r="P860" s="119"/>
      <c r="Q860" s="119"/>
      <c r="R860" s="74">
        <v>5.0</v>
      </c>
      <c r="S860" s="74" t="s">
        <v>18057</v>
      </c>
      <c r="T860" s="120">
        <v>7526.0</v>
      </c>
      <c r="U860" s="74" t="s">
        <v>21033</v>
      </c>
      <c r="V860" s="74" t="s">
        <v>21034</v>
      </c>
      <c r="W860" s="120">
        <v>861.0</v>
      </c>
    </row>
    <row r="861">
      <c r="A861" s="74" t="s">
        <v>21031</v>
      </c>
      <c r="B861" s="74" t="s">
        <v>6876</v>
      </c>
      <c r="C861" s="74" t="s">
        <v>6877</v>
      </c>
      <c r="D861" s="74" t="s">
        <v>8493</v>
      </c>
      <c r="E861" s="146">
        <v>43854.0</v>
      </c>
      <c r="F861" s="74" t="s">
        <v>21036</v>
      </c>
      <c r="G861" s="74">
        <v>66.0</v>
      </c>
      <c r="H861" s="74">
        <v>1.0</v>
      </c>
      <c r="I861" s="74">
        <v>99.0</v>
      </c>
      <c r="J861" s="119"/>
      <c r="K861" s="119"/>
      <c r="L861" s="74" t="s">
        <v>2103</v>
      </c>
      <c r="M861" s="74" t="s">
        <v>2103</v>
      </c>
      <c r="N861" s="74">
        <v>1.0</v>
      </c>
      <c r="O861" s="74" t="s">
        <v>20933</v>
      </c>
      <c r="P861" s="119"/>
      <c r="Q861" s="119"/>
      <c r="R861" s="74">
        <v>5.0</v>
      </c>
      <c r="S861" s="74" t="s">
        <v>18057</v>
      </c>
      <c r="T861" s="120">
        <v>7527.0</v>
      </c>
      <c r="U861" s="74" t="s">
        <v>21037</v>
      </c>
      <c r="V861" s="74" t="s">
        <v>21038</v>
      </c>
      <c r="W861" s="120">
        <v>862.0</v>
      </c>
    </row>
    <row r="862">
      <c r="A862" s="74" t="s">
        <v>21036</v>
      </c>
      <c r="B862" s="74" t="s">
        <v>6876</v>
      </c>
      <c r="C862" s="74" t="s">
        <v>6877</v>
      </c>
      <c r="D862" s="74" t="s">
        <v>8493</v>
      </c>
      <c r="E862" s="146">
        <v>43854.0</v>
      </c>
      <c r="F862" s="74" t="s">
        <v>21041</v>
      </c>
      <c r="G862" s="74">
        <v>65.0</v>
      </c>
      <c r="H862" s="74">
        <v>1.0</v>
      </c>
      <c r="I862" s="74">
        <v>12.0</v>
      </c>
      <c r="J862" s="119"/>
      <c r="K862" s="119"/>
      <c r="L862" s="74" t="s">
        <v>2105</v>
      </c>
      <c r="M862" s="74" t="s">
        <v>2105</v>
      </c>
      <c r="N862" s="74">
        <v>1.0</v>
      </c>
      <c r="O862" s="74" t="s">
        <v>20933</v>
      </c>
      <c r="P862" s="119"/>
      <c r="Q862" s="119"/>
      <c r="R862" s="74">
        <v>5.0</v>
      </c>
      <c r="S862" s="74" t="s">
        <v>18057</v>
      </c>
      <c r="T862" s="120">
        <v>7528.0</v>
      </c>
      <c r="U862" s="74" t="s">
        <v>21043</v>
      </c>
      <c r="V862" s="74" t="s">
        <v>21044</v>
      </c>
      <c r="W862" s="120">
        <v>863.0</v>
      </c>
    </row>
    <row r="863">
      <c r="A863" s="74" t="s">
        <v>21041</v>
      </c>
      <c r="B863" s="74" t="s">
        <v>6876</v>
      </c>
      <c r="C863" s="74" t="s">
        <v>6877</v>
      </c>
      <c r="D863" s="74" t="s">
        <v>8493</v>
      </c>
      <c r="E863" s="146">
        <v>43854.0</v>
      </c>
      <c r="F863" s="74" t="s">
        <v>21048</v>
      </c>
      <c r="G863" s="74">
        <v>33.0</v>
      </c>
      <c r="H863" s="74">
        <v>1.0</v>
      </c>
      <c r="I863" s="74">
        <v>98.0</v>
      </c>
      <c r="J863" s="119"/>
      <c r="K863" s="119"/>
      <c r="L863" s="74" t="s">
        <v>2121</v>
      </c>
      <c r="M863" s="74" t="s">
        <v>2121</v>
      </c>
      <c r="N863" s="74">
        <v>1.0</v>
      </c>
      <c r="O863" s="74" t="s">
        <v>20933</v>
      </c>
      <c r="P863" s="119"/>
      <c r="Q863" s="119"/>
      <c r="R863" s="74">
        <v>5.0</v>
      </c>
      <c r="S863" s="74" t="s">
        <v>18057</v>
      </c>
      <c r="T863" s="120">
        <v>7529.0</v>
      </c>
      <c r="U863" s="74" t="s">
        <v>21050</v>
      </c>
      <c r="V863" s="74" t="s">
        <v>21051</v>
      </c>
      <c r="W863" s="120">
        <v>864.0</v>
      </c>
    </row>
    <row r="864">
      <c r="A864" s="74" t="s">
        <v>21048</v>
      </c>
      <c r="B864" s="74" t="s">
        <v>6876</v>
      </c>
      <c r="C864" s="74" t="s">
        <v>6877</v>
      </c>
      <c r="D864" s="74" t="s">
        <v>8493</v>
      </c>
      <c r="E864" s="146">
        <v>43854.0</v>
      </c>
      <c r="F864" s="74" t="s">
        <v>21052</v>
      </c>
      <c r="G864" s="74">
        <v>59.0</v>
      </c>
      <c r="H864" s="74">
        <v>1.0</v>
      </c>
      <c r="I864" s="74">
        <v>11.0</v>
      </c>
      <c r="J864" s="119"/>
      <c r="K864" s="119"/>
      <c r="L864" s="74" t="s">
        <v>2122</v>
      </c>
      <c r="M864" s="74" t="s">
        <v>2122</v>
      </c>
      <c r="N864" s="74">
        <v>1.0</v>
      </c>
      <c r="O864" s="74" t="s">
        <v>21053</v>
      </c>
      <c r="P864" s="119"/>
      <c r="Q864" s="119"/>
      <c r="R864" s="74">
        <v>5.0</v>
      </c>
      <c r="S864" s="74" t="s">
        <v>18057</v>
      </c>
      <c r="T864" s="120">
        <v>7530.0</v>
      </c>
      <c r="U864" s="74" t="s">
        <v>21055</v>
      </c>
      <c r="V864" s="74" t="s">
        <v>21057</v>
      </c>
      <c r="W864" s="120">
        <v>865.0</v>
      </c>
    </row>
    <row r="865">
      <c r="A865" s="74" t="s">
        <v>21058</v>
      </c>
      <c r="B865" s="74" t="s">
        <v>6876</v>
      </c>
      <c r="C865" s="74" t="s">
        <v>6877</v>
      </c>
      <c r="D865" s="74" t="s">
        <v>8493</v>
      </c>
      <c r="E865" s="146">
        <v>43854.0</v>
      </c>
      <c r="F865" s="74" t="s">
        <v>21059</v>
      </c>
      <c r="G865" s="74">
        <v>59.0</v>
      </c>
      <c r="H865" s="74">
        <v>1.0</v>
      </c>
      <c r="I865" s="74">
        <v>11.0</v>
      </c>
      <c r="J865" s="119"/>
      <c r="K865" s="119"/>
      <c r="L865" s="74" t="s">
        <v>2125</v>
      </c>
      <c r="M865" s="74" t="s">
        <v>2125</v>
      </c>
      <c r="N865" s="74">
        <v>1.0</v>
      </c>
      <c r="O865" s="74" t="s">
        <v>21053</v>
      </c>
      <c r="P865" s="119"/>
      <c r="Q865" s="119"/>
      <c r="R865" s="74">
        <v>5.0</v>
      </c>
      <c r="S865" s="74" t="s">
        <v>18057</v>
      </c>
      <c r="T865" s="120">
        <v>7531.0</v>
      </c>
      <c r="U865" s="74" t="s">
        <v>21061</v>
      </c>
      <c r="V865" s="74" t="s">
        <v>21062</v>
      </c>
      <c r="W865" s="120">
        <v>866.0</v>
      </c>
    </row>
    <row r="866">
      <c r="A866" s="74" t="s">
        <v>21063</v>
      </c>
      <c r="B866" s="74" t="s">
        <v>6876</v>
      </c>
      <c r="C866" s="74" t="s">
        <v>6877</v>
      </c>
      <c r="D866" s="74" t="s">
        <v>8493</v>
      </c>
      <c r="E866" s="146">
        <v>43854.0</v>
      </c>
      <c r="F866" s="74" t="s">
        <v>21064</v>
      </c>
      <c r="G866" s="74">
        <v>59.0</v>
      </c>
      <c r="H866" s="74">
        <v>1.0</v>
      </c>
      <c r="I866" s="74">
        <v>99.0</v>
      </c>
      <c r="J866" s="119"/>
      <c r="K866" s="119"/>
      <c r="L866" s="74" t="s">
        <v>2126</v>
      </c>
      <c r="M866" s="74" t="s">
        <v>2126</v>
      </c>
      <c r="N866" s="74">
        <v>1.0</v>
      </c>
      <c r="O866" s="74" t="s">
        <v>21053</v>
      </c>
      <c r="P866" s="119"/>
      <c r="Q866" s="74" t="s">
        <v>21065</v>
      </c>
      <c r="R866" s="74">
        <v>5.0</v>
      </c>
      <c r="S866" s="74" t="s">
        <v>18057</v>
      </c>
      <c r="T866" s="120">
        <v>7532.0</v>
      </c>
      <c r="U866" s="74" t="s">
        <v>21068</v>
      </c>
      <c r="V866" s="74" t="s">
        <v>21070</v>
      </c>
      <c r="W866" s="120">
        <v>867.0</v>
      </c>
    </row>
    <row r="867">
      <c r="A867" s="74" t="s">
        <v>21064</v>
      </c>
      <c r="B867" s="74" t="s">
        <v>6876</v>
      </c>
      <c r="C867" s="74" t="s">
        <v>6877</v>
      </c>
      <c r="D867" s="74" t="s">
        <v>8493</v>
      </c>
      <c r="E867" s="146">
        <v>43854.0</v>
      </c>
      <c r="F867" s="74" t="s">
        <v>21071</v>
      </c>
      <c r="G867" s="74">
        <v>59.0</v>
      </c>
      <c r="H867" s="74">
        <v>1.0</v>
      </c>
      <c r="I867" s="74">
        <v>11.0</v>
      </c>
      <c r="J867" s="119"/>
      <c r="K867" s="119"/>
      <c r="L867" s="74" t="s">
        <v>2128</v>
      </c>
      <c r="M867" s="74" t="s">
        <v>2128</v>
      </c>
      <c r="N867" s="74">
        <v>1.0</v>
      </c>
      <c r="O867" s="74" t="s">
        <v>21053</v>
      </c>
      <c r="P867" s="119"/>
      <c r="Q867" s="119"/>
      <c r="R867" s="74">
        <v>5.0</v>
      </c>
      <c r="S867" s="74" t="s">
        <v>18057</v>
      </c>
      <c r="T867" s="120">
        <v>7533.0</v>
      </c>
      <c r="U867" s="74" t="s">
        <v>21075</v>
      </c>
      <c r="V867" s="74" t="s">
        <v>21076</v>
      </c>
      <c r="W867" s="120">
        <v>868.0</v>
      </c>
    </row>
    <row r="868">
      <c r="A868" s="74" t="s">
        <v>21071</v>
      </c>
      <c r="B868" s="74" t="s">
        <v>6876</v>
      </c>
      <c r="C868" s="74" t="s">
        <v>6877</v>
      </c>
      <c r="D868" s="74" t="s">
        <v>8493</v>
      </c>
      <c r="E868" s="146">
        <v>43854.0</v>
      </c>
      <c r="F868" s="74" t="s">
        <v>21078</v>
      </c>
      <c r="G868" s="74">
        <v>57.0</v>
      </c>
      <c r="H868" s="74">
        <v>1.0</v>
      </c>
      <c r="I868" s="74">
        <v>12.0</v>
      </c>
      <c r="J868" s="119"/>
      <c r="K868" s="119"/>
      <c r="L868" s="74" t="s">
        <v>2134</v>
      </c>
      <c r="M868" s="74" t="s">
        <v>2134</v>
      </c>
      <c r="N868" s="74">
        <v>1.0</v>
      </c>
      <c r="O868" s="74" t="s">
        <v>21053</v>
      </c>
      <c r="P868" s="119"/>
      <c r="Q868" s="119"/>
      <c r="R868" s="74">
        <v>5.0</v>
      </c>
      <c r="S868" s="74" t="s">
        <v>18057</v>
      </c>
      <c r="T868" s="120">
        <v>7534.0</v>
      </c>
      <c r="U868" s="74" t="s">
        <v>21080</v>
      </c>
      <c r="V868" s="74" t="s">
        <v>21081</v>
      </c>
      <c r="W868" s="120">
        <v>869.0</v>
      </c>
    </row>
    <row r="869">
      <c r="A869" s="74" t="s">
        <v>21084</v>
      </c>
      <c r="B869" s="74" t="s">
        <v>6876</v>
      </c>
      <c r="C869" s="74" t="s">
        <v>6877</v>
      </c>
      <c r="D869" s="74" t="s">
        <v>8493</v>
      </c>
      <c r="E869" s="146">
        <v>43854.0</v>
      </c>
      <c r="F869" s="74" t="s">
        <v>21085</v>
      </c>
      <c r="G869" s="74">
        <v>57.0</v>
      </c>
      <c r="H869" s="74">
        <v>1.0</v>
      </c>
      <c r="I869" s="74">
        <v>12.0</v>
      </c>
      <c r="J869" s="119"/>
      <c r="K869" s="119"/>
      <c r="L869" s="74" t="s">
        <v>2137</v>
      </c>
      <c r="M869" s="74" t="s">
        <v>2137</v>
      </c>
      <c r="N869" s="74">
        <v>1.0</v>
      </c>
      <c r="O869" s="74" t="s">
        <v>21053</v>
      </c>
      <c r="P869" s="119"/>
      <c r="Q869" s="119"/>
      <c r="R869" s="74">
        <v>5.0</v>
      </c>
      <c r="S869" s="74" t="s">
        <v>18057</v>
      </c>
      <c r="T869" s="120">
        <v>7535.0</v>
      </c>
      <c r="U869" s="74" t="s">
        <v>21089</v>
      </c>
      <c r="V869" s="74" t="s">
        <v>21090</v>
      </c>
      <c r="W869" s="120">
        <v>870.0</v>
      </c>
    </row>
    <row r="870">
      <c r="A870" s="74" t="s">
        <v>21085</v>
      </c>
      <c r="B870" s="74" t="s">
        <v>6876</v>
      </c>
      <c r="C870" s="74" t="s">
        <v>6877</v>
      </c>
      <c r="D870" s="74" t="s">
        <v>8493</v>
      </c>
      <c r="E870" s="146">
        <v>43854.0</v>
      </c>
      <c r="F870" s="74" t="s">
        <v>21092</v>
      </c>
      <c r="G870" s="74">
        <v>55.0</v>
      </c>
      <c r="H870" s="74">
        <v>1.0</v>
      </c>
      <c r="I870" s="74">
        <v>12.0</v>
      </c>
      <c r="J870" s="119"/>
      <c r="K870" s="119"/>
      <c r="L870" s="74" t="s">
        <v>2144</v>
      </c>
      <c r="M870" s="74" t="s">
        <v>2144</v>
      </c>
      <c r="N870" s="74">
        <v>1.0</v>
      </c>
      <c r="O870" s="74" t="s">
        <v>21053</v>
      </c>
      <c r="P870" s="119"/>
      <c r="Q870" s="119"/>
      <c r="R870" s="74">
        <v>5.0</v>
      </c>
      <c r="S870" s="74" t="s">
        <v>18057</v>
      </c>
      <c r="T870" s="120">
        <v>7536.0</v>
      </c>
      <c r="U870" s="74" t="s">
        <v>21093</v>
      </c>
      <c r="V870" s="74" t="s">
        <v>21094</v>
      </c>
      <c r="W870" s="120">
        <v>871.0</v>
      </c>
    </row>
    <row r="871">
      <c r="A871" s="74" t="s">
        <v>21092</v>
      </c>
      <c r="B871" s="74" t="s">
        <v>6876</v>
      </c>
      <c r="C871" s="74" t="s">
        <v>6877</v>
      </c>
      <c r="D871" s="74" t="s">
        <v>8493</v>
      </c>
      <c r="E871" s="146">
        <v>43854.0</v>
      </c>
      <c r="F871" s="74" t="s">
        <v>21095</v>
      </c>
      <c r="G871" s="74">
        <v>55.0</v>
      </c>
      <c r="H871" s="74">
        <v>1.0</v>
      </c>
      <c r="I871" s="74">
        <v>99.0</v>
      </c>
      <c r="J871" s="119"/>
      <c r="K871" s="119"/>
      <c r="L871" s="74" t="s">
        <v>2146</v>
      </c>
      <c r="M871" s="74" t="s">
        <v>2146</v>
      </c>
      <c r="N871" s="74">
        <v>1.0</v>
      </c>
      <c r="O871" s="74" t="s">
        <v>21053</v>
      </c>
      <c r="P871" s="119"/>
      <c r="Q871" s="74" t="s">
        <v>21096</v>
      </c>
      <c r="R871" s="74">
        <v>5.0</v>
      </c>
      <c r="S871" s="74" t="s">
        <v>18057</v>
      </c>
      <c r="T871" s="120">
        <v>7537.0</v>
      </c>
      <c r="U871" s="74" t="s">
        <v>21098</v>
      </c>
      <c r="V871" s="74" t="s">
        <v>21099</v>
      </c>
      <c r="W871" s="120">
        <v>872.0</v>
      </c>
    </row>
    <row r="872">
      <c r="A872" s="74" t="s">
        <v>21095</v>
      </c>
      <c r="B872" s="74" t="s">
        <v>6876</v>
      </c>
      <c r="C872" s="74" t="s">
        <v>6877</v>
      </c>
      <c r="D872" s="74" t="s">
        <v>8493</v>
      </c>
      <c r="E872" s="146">
        <v>43854.0</v>
      </c>
      <c r="F872" s="74" t="s">
        <v>21101</v>
      </c>
      <c r="G872" s="74">
        <v>57.0</v>
      </c>
      <c r="H872" s="74">
        <v>1.0</v>
      </c>
      <c r="I872" s="74">
        <v>16.0</v>
      </c>
      <c r="J872" s="119"/>
      <c r="K872" s="119"/>
      <c r="L872" s="74" t="s">
        <v>2148</v>
      </c>
      <c r="M872" s="74" t="s">
        <v>2148</v>
      </c>
      <c r="N872" s="74">
        <v>1.0</v>
      </c>
      <c r="O872" s="74" t="s">
        <v>21053</v>
      </c>
      <c r="P872" s="119"/>
      <c r="Q872" s="119"/>
      <c r="R872" s="74">
        <v>5.0</v>
      </c>
      <c r="S872" s="74" t="s">
        <v>18057</v>
      </c>
      <c r="T872" s="120">
        <v>7538.0</v>
      </c>
      <c r="U872" s="74" t="s">
        <v>21103</v>
      </c>
      <c r="V872" s="74" t="s">
        <v>21104</v>
      </c>
      <c r="W872" s="120">
        <v>873.0</v>
      </c>
    </row>
    <row r="873">
      <c r="A873" s="74" t="s">
        <v>21101</v>
      </c>
      <c r="B873" s="74" t="s">
        <v>6876</v>
      </c>
      <c r="C873" s="74" t="s">
        <v>6877</v>
      </c>
      <c r="D873" s="74" t="s">
        <v>8493</v>
      </c>
      <c r="E873" s="146">
        <v>43854.0</v>
      </c>
      <c r="F873" s="74" t="s">
        <v>21108</v>
      </c>
      <c r="G873" s="74">
        <v>57.0</v>
      </c>
      <c r="H873" s="74">
        <v>1.0</v>
      </c>
      <c r="I873" s="74">
        <v>16.0</v>
      </c>
      <c r="J873" s="119"/>
      <c r="K873" s="119"/>
      <c r="L873" s="74" t="s">
        <v>2149</v>
      </c>
      <c r="M873" s="74" t="s">
        <v>2149</v>
      </c>
      <c r="N873" s="74">
        <v>1.0</v>
      </c>
      <c r="O873" s="74" t="s">
        <v>21053</v>
      </c>
      <c r="P873" s="119"/>
      <c r="Q873" s="119"/>
      <c r="R873" s="74">
        <v>5.0</v>
      </c>
      <c r="S873" s="74" t="s">
        <v>18057</v>
      </c>
      <c r="T873" s="120">
        <v>7539.0</v>
      </c>
      <c r="U873" s="74" t="s">
        <v>21110</v>
      </c>
      <c r="V873" s="74" t="s">
        <v>21111</v>
      </c>
      <c r="W873" s="120">
        <v>874.0</v>
      </c>
    </row>
    <row r="874">
      <c r="A874" s="74" t="s">
        <v>21108</v>
      </c>
      <c r="B874" s="74" t="s">
        <v>6876</v>
      </c>
      <c r="C874" s="74" t="s">
        <v>6877</v>
      </c>
      <c r="D874" s="74" t="s">
        <v>8493</v>
      </c>
      <c r="E874" s="146">
        <v>43854.0</v>
      </c>
      <c r="F874" s="74" t="s">
        <v>21113</v>
      </c>
      <c r="G874" s="74">
        <v>33.0</v>
      </c>
      <c r="H874" s="74">
        <v>1.0</v>
      </c>
      <c r="I874" s="74">
        <v>98.0</v>
      </c>
      <c r="J874" s="119"/>
      <c r="K874" s="119"/>
      <c r="L874" s="74" t="s">
        <v>2178</v>
      </c>
      <c r="M874" s="74" t="s">
        <v>2178</v>
      </c>
      <c r="N874" s="74">
        <v>1.0</v>
      </c>
      <c r="O874" s="74" t="s">
        <v>21053</v>
      </c>
      <c r="P874" s="119"/>
      <c r="Q874" s="119"/>
      <c r="R874" s="74">
        <v>5.0</v>
      </c>
      <c r="S874" s="74" t="s">
        <v>18057</v>
      </c>
      <c r="T874" s="120">
        <v>7540.0</v>
      </c>
      <c r="U874" s="74" t="s">
        <v>21116</v>
      </c>
      <c r="V874" s="74" t="s">
        <v>21118</v>
      </c>
      <c r="W874" s="120">
        <v>875.0</v>
      </c>
    </row>
    <row r="875">
      <c r="A875" s="74" t="s">
        <v>21113</v>
      </c>
      <c r="B875" s="74" t="s">
        <v>6876</v>
      </c>
      <c r="C875" s="74" t="s">
        <v>6877</v>
      </c>
      <c r="D875" s="74" t="s">
        <v>8493</v>
      </c>
      <c r="E875" s="146">
        <v>43854.0</v>
      </c>
      <c r="F875" s="74" t="s">
        <v>21119</v>
      </c>
      <c r="G875" s="74">
        <v>66.0</v>
      </c>
      <c r="H875" s="74">
        <v>1.0</v>
      </c>
      <c r="I875" s="74">
        <v>12.0</v>
      </c>
      <c r="J875" s="119"/>
      <c r="K875" s="119"/>
      <c r="L875" s="74" t="s">
        <v>2152</v>
      </c>
      <c r="M875" s="74" t="s">
        <v>2152</v>
      </c>
      <c r="N875" s="74">
        <v>1.0</v>
      </c>
      <c r="O875" s="74" t="s">
        <v>21120</v>
      </c>
      <c r="P875" s="119"/>
      <c r="Q875" s="119"/>
      <c r="R875" s="74">
        <v>5.0</v>
      </c>
      <c r="S875" s="74" t="s">
        <v>18057</v>
      </c>
      <c r="T875" s="120">
        <v>7541.0</v>
      </c>
      <c r="U875" s="74" t="s">
        <v>21121</v>
      </c>
      <c r="V875" s="74" t="s">
        <v>21122</v>
      </c>
      <c r="W875" s="120">
        <v>876.0</v>
      </c>
    </row>
    <row r="876">
      <c r="A876" s="74" t="s">
        <v>21119</v>
      </c>
      <c r="B876" s="74" t="s">
        <v>6876</v>
      </c>
      <c r="C876" s="74" t="s">
        <v>6877</v>
      </c>
      <c r="D876" s="74" t="s">
        <v>8493</v>
      </c>
      <c r="E876" s="146">
        <v>43854.0</v>
      </c>
      <c r="F876" s="74" t="s">
        <v>21124</v>
      </c>
      <c r="G876" s="74">
        <v>59.0</v>
      </c>
      <c r="H876" s="74">
        <v>1.0</v>
      </c>
      <c r="I876" s="74">
        <v>12.0</v>
      </c>
      <c r="J876" s="119"/>
      <c r="K876" s="119"/>
      <c r="L876" s="74" t="s">
        <v>2155</v>
      </c>
      <c r="M876" s="74" t="s">
        <v>2155</v>
      </c>
      <c r="N876" s="74">
        <v>1.0</v>
      </c>
      <c r="O876" s="74" t="s">
        <v>21120</v>
      </c>
      <c r="P876" s="119"/>
      <c r="Q876" s="119"/>
      <c r="R876" s="74">
        <v>5.0</v>
      </c>
      <c r="S876" s="74" t="s">
        <v>18057</v>
      </c>
      <c r="T876" s="120">
        <v>7542.0</v>
      </c>
      <c r="U876" s="74" t="s">
        <v>21127</v>
      </c>
      <c r="V876" s="74" t="s">
        <v>21128</v>
      </c>
      <c r="W876" s="120">
        <v>877.0</v>
      </c>
    </row>
    <row r="877">
      <c r="A877" s="74" t="s">
        <v>21124</v>
      </c>
      <c r="B877" s="74" t="s">
        <v>6876</v>
      </c>
      <c r="C877" s="74" t="s">
        <v>6877</v>
      </c>
      <c r="D877" s="74" t="s">
        <v>8493</v>
      </c>
      <c r="E877" s="146">
        <v>43854.0</v>
      </c>
      <c r="F877" s="74" t="s">
        <v>21129</v>
      </c>
      <c r="G877" s="74">
        <v>65.0</v>
      </c>
      <c r="H877" s="74">
        <v>1.0</v>
      </c>
      <c r="I877" s="74">
        <v>12.0</v>
      </c>
      <c r="J877" s="119"/>
      <c r="K877" s="119"/>
      <c r="L877" s="74" t="s">
        <v>2158</v>
      </c>
      <c r="M877" s="74" t="s">
        <v>2158</v>
      </c>
      <c r="N877" s="74">
        <v>1.0</v>
      </c>
      <c r="O877" s="74" t="s">
        <v>21120</v>
      </c>
      <c r="P877" s="119"/>
      <c r="Q877" s="119"/>
      <c r="R877" s="74">
        <v>5.0</v>
      </c>
      <c r="S877" s="74" t="s">
        <v>18057</v>
      </c>
      <c r="T877" s="120">
        <v>7543.0</v>
      </c>
      <c r="U877" s="74" t="s">
        <v>21130</v>
      </c>
      <c r="V877" s="74" t="s">
        <v>21132</v>
      </c>
      <c r="W877" s="120">
        <v>878.0</v>
      </c>
    </row>
    <row r="878">
      <c r="A878" s="74" t="s">
        <v>21129</v>
      </c>
      <c r="B878" s="74" t="s">
        <v>6876</v>
      </c>
      <c r="C878" s="74" t="s">
        <v>6877</v>
      </c>
      <c r="D878" s="74" t="s">
        <v>8493</v>
      </c>
      <c r="E878" s="146">
        <v>43854.0</v>
      </c>
      <c r="F878" s="74" t="s">
        <v>21135</v>
      </c>
      <c r="G878" s="74">
        <v>65.0</v>
      </c>
      <c r="H878" s="74">
        <v>1.0</v>
      </c>
      <c r="I878" s="74">
        <v>16.0</v>
      </c>
      <c r="J878" s="119"/>
      <c r="K878" s="119"/>
      <c r="L878" s="74" t="s">
        <v>2174</v>
      </c>
      <c r="M878" s="74" t="s">
        <v>2174</v>
      </c>
      <c r="N878" s="74">
        <v>1.0</v>
      </c>
      <c r="O878" s="74" t="s">
        <v>21120</v>
      </c>
      <c r="P878" s="119"/>
      <c r="Q878" s="119"/>
      <c r="R878" s="74">
        <v>5.0</v>
      </c>
      <c r="S878" s="74" t="s">
        <v>18057</v>
      </c>
      <c r="T878" s="120">
        <v>7544.0</v>
      </c>
      <c r="U878" s="74" t="s">
        <v>21140</v>
      </c>
      <c r="V878" s="74" t="s">
        <v>21141</v>
      </c>
      <c r="W878" s="120">
        <v>879.0</v>
      </c>
    </row>
    <row r="879">
      <c r="A879" s="74" t="s">
        <v>21143</v>
      </c>
      <c r="B879" s="74" t="s">
        <v>6876</v>
      </c>
      <c r="C879" s="74" t="s">
        <v>6877</v>
      </c>
      <c r="D879" s="74" t="s">
        <v>8493</v>
      </c>
      <c r="E879" s="146">
        <v>43854.0</v>
      </c>
      <c r="F879" s="74" t="s">
        <v>21144</v>
      </c>
      <c r="G879" s="74">
        <v>58.0</v>
      </c>
      <c r="H879" s="74">
        <v>2.0</v>
      </c>
      <c r="I879" s="74">
        <v>14.0</v>
      </c>
      <c r="J879" s="74">
        <v>144.0</v>
      </c>
      <c r="K879" s="119"/>
      <c r="L879" s="74" t="s">
        <v>696</v>
      </c>
      <c r="M879" s="74" t="s">
        <v>696</v>
      </c>
      <c r="N879" s="74">
        <v>1.0</v>
      </c>
      <c r="O879" s="74" t="s">
        <v>21120</v>
      </c>
      <c r="P879" s="119"/>
      <c r="Q879" s="119"/>
      <c r="R879" s="74">
        <v>5.0</v>
      </c>
      <c r="S879" s="74" t="s">
        <v>18057</v>
      </c>
      <c r="T879" s="120">
        <v>7545.0</v>
      </c>
      <c r="U879" s="74" t="s">
        <v>21146</v>
      </c>
      <c r="V879" s="74" t="s">
        <v>21147</v>
      </c>
      <c r="W879" s="120">
        <v>880.0</v>
      </c>
    </row>
    <row r="880">
      <c r="A880" s="74" t="s">
        <v>21148</v>
      </c>
      <c r="B880" s="74" t="s">
        <v>6876</v>
      </c>
      <c r="C880" s="74" t="s">
        <v>6877</v>
      </c>
      <c r="D880" s="74" t="s">
        <v>8493</v>
      </c>
      <c r="E880" s="146">
        <v>43854.0</v>
      </c>
      <c r="F880" s="74" t="s">
        <v>21149</v>
      </c>
      <c r="G880" s="74">
        <v>58.0</v>
      </c>
      <c r="H880" s="74">
        <v>2.0</v>
      </c>
      <c r="I880" s="74">
        <v>14.0</v>
      </c>
      <c r="J880" s="74">
        <v>142.0</v>
      </c>
      <c r="K880" s="119"/>
      <c r="L880" s="74" t="s">
        <v>699</v>
      </c>
      <c r="M880" s="74" t="s">
        <v>699</v>
      </c>
      <c r="N880" s="74">
        <v>1.0</v>
      </c>
      <c r="O880" s="74" t="s">
        <v>21120</v>
      </c>
      <c r="P880" s="119"/>
      <c r="Q880" s="119"/>
      <c r="R880" s="74">
        <v>5.0</v>
      </c>
      <c r="S880" s="74" t="s">
        <v>18057</v>
      </c>
      <c r="T880" s="120">
        <v>7546.0</v>
      </c>
      <c r="U880" s="74" t="s">
        <v>21150</v>
      </c>
      <c r="V880" s="74" t="s">
        <v>21151</v>
      </c>
      <c r="W880" s="120">
        <v>881.0</v>
      </c>
    </row>
    <row r="881">
      <c r="A881" s="74" t="s">
        <v>21149</v>
      </c>
      <c r="B881" s="74" t="s">
        <v>6876</v>
      </c>
      <c r="C881" s="74" t="s">
        <v>6877</v>
      </c>
      <c r="D881" s="74" t="s">
        <v>8493</v>
      </c>
      <c r="E881" s="146">
        <v>43854.0</v>
      </c>
      <c r="F881" s="74" t="s">
        <v>21152</v>
      </c>
      <c r="G881" s="74">
        <v>58.0</v>
      </c>
      <c r="H881" s="74">
        <v>2.0</v>
      </c>
      <c r="I881" s="74">
        <v>14.0</v>
      </c>
      <c r="J881" s="74">
        <v>145.0</v>
      </c>
      <c r="K881" s="119"/>
      <c r="L881" s="74" t="s">
        <v>701</v>
      </c>
      <c r="M881" s="74" t="s">
        <v>701</v>
      </c>
      <c r="N881" s="74">
        <v>1.0</v>
      </c>
      <c r="O881" s="74" t="s">
        <v>21120</v>
      </c>
      <c r="P881" s="119"/>
      <c r="Q881" s="119"/>
      <c r="R881" s="74">
        <v>5.0</v>
      </c>
      <c r="S881" s="74" t="s">
        <v>18057</v>
      </c>
      <c r="T881" s="120">
        <v>7547.0</v>
      </c>
      <c r="U881" s="74" t="s">
        <v>21155</v>
      </c>
      <c r="V881" s="74" t="s">
        <v>21156</v>
      </c>
      <c r="W881" s="120">
        <v>882.0</v>
      </c>
    </row>
    <row r="882">
      <c r="A882" s="74" t="s">
        <v>21157</v>
      </c>
      <c r="B882" s="74" t="s">
        <v>6876</v>
      </c>
      <c r="C882" s="74" t="s">
        <v>6877</v>
      </c>
      <c r="D882" s="74" t="s">
        <v>8493</v>
      </c>
      <c r="E882" s="146">
        <v>43854.0</v>
      </c>
      <c r="F882" s="74" t="s">
        <v>21159</v>
      </c>
      <c r="G882" s="74">
        <v>58.0</v>
      </c>
      <c r="H882" s="74">
        <v>2.0</v>
      </c>
      <c r="I882" s="74">
        <v>14.0</v>
      </c>
      <c r="J882" s="74">
        <v>141.0</v>
      </c>
      <c r="K882" s="119"/>
      <c r="L882" s="74" t="s">
        <v>704</v>
      </c>
      <c r="M882" s="74" t="s">
        <v>704</v>
      </c>
      <c r="N882" s="74">
        <v>1.0</v>
      </c>
      <c r="O882" s="74" t="s">
        <v>21120</v>
      </c>
      <c r="P882" s="119"/>
      <c r="Q882" s="119"/>
      <c r="R882" s="74">
        <v>5.0</v>
      </c>
      <c r="S882" s="74" t="s">
        <v>18057</v>
      </c>
      <c r="T882" s="120">
        <v>7548.0</v>
      </c>
      <c r="U882" s="74" t="s">
        <v>21162</v>
      </c>
      <c r="V882" s="74" t="s">
        <v>21163</v>
      </c>
      <c r="W882" s="120">
        <v>883.0</v>
      </c>
    </row>
    <row r="883">
      <c r="A883" s="74" t="s">
        <v>21159</v>
      </c>
      <c r="B883" s="74" t="s">
        <v>6876</v>
      </c>
      <c r="C883" s="74" t="s">
        <v>6877</v>
      </c>
      <c r="D883" s="74" t="s">
        <v>8493</v>
      </c>
      <c r="E883" s="146">
        <v>43854.0</v>
      </c>
      <c r="F883" s="74" t="s">
        <v>21165</v>
      </c>
      <c r="G883" s="74">
        <v>58.0</v>
      </c>
      <c r="H883" s="74">
        <v>2.0</v>
      </c>
      <c r="I883" s="74">
        <v>14.0</v>
      </c>
      <c r="J883" s="74">
        <v>143.0</v>
      </c>
      <c r="K883" s="119"/>
      <c r="L883" s="74" t="s">
        <v>706</v>
      </c>
      <c r="M883" s="74" t="s">
        <v>706</v>
      </c>
      <c r="N883" s="74">
        <v>1.0</v>
      </c>
      <c r="O883" s="74" t="s">
        <v>21120</v>
      </c>
      <c r="P883" s="119"/>
      <c r="Q883" s="119"/>
      <c r="R883" s="74">
        <v>5.0</v>
      </c>
      <c r="S883" s="74" t="s">
        <v>18057</v>
      </c>
      <c r="T883" s="120">
        <v>7549.0</v>
      </c>
      <c r="U883" s="74" t="s">
        <v>21168</v>
      </c>
      <c r="V883" s="74" t="s">
        <v>21170</v>
      </c>
      <c r="W883" s="120">
        <v>884.0</v>
      </c>
    </row>
    <row r="884">
      <c r="A884" s="74" t="s">
        <v>21165</v>
      </c>
      <c r="B884" s="74" t="s">
        <v>6876</v>
      </c>
      <c r="C884" s="74" t="s">
        <v>6877</v>
      </c>
      <c r="D884" s="74" t="s">
        <v>8493</v>
      </c>
      <c r="E884" s="146">
        <v>43854.0</v>
      </c>
      <c r="F884" s="74" t="s">
        <v>21172</v>
      </c>
      <c r="G884" s="74">
        <v>58.0</v>
      </c>
      <c r="H884" s="74">
        <v>2.0</v>
      </c>
      <c r="I884" s="74">
        <v>5.0</v>
      </c>
      <c r="J884" s="119"/>
      <c r="K884" s="119"/>
      <c r="L884" s="74" t="s">
        <v>2171</v>
      </c>
      <c r="M884" s="74" t="s">
        <v>2171</v>
      </c>
      <c r="N884" s="74">
        <v>1.0</v>
      </c>
      <c r="O884" s="74" t="s">
        <v>21120</v>
      </c>
      <c r="P884" s="119"/>
      <c r="Q884" s="119"/>
      <c r="R884" s="74">
        <v>5.0</v>
      </c>
      <c r="S884" s="74" t="s">
        <v>18057</v>
      </c>
      <c r="T884" s="120">
        <v>7550.0</v>
      </c>
      <c r="U884" s="74" t="s">
        <v>21174</v>
      </c>
      <c r="V884" s="74" t="s">
        <v>21175</v>
      </c>
      <c r="W884" s="120">
        <v>885.0</v>
      </c>
    </row>
    <row r="885">
      <c r="A885" s="74" t="s">
        <v>21172</v>
      </c>
      <c r="B885" s="74" t="s">
        <v>6876</v>
      </c>
      <c r="C885" s="74" t="s">
        <v>6877</v>
      </c>
      <c r="D885" s="74" t="s">
        <v>8493</v>
      </c>
      <c r="E885" s="146">
        <v>43854.0</v>
      </c>
      <c r="F885" s="74" t="s">
        <v>21176</v>
      </c>
      <c r="G885" s="74">
        <v>58.0</v>
      </c>
      <c r="H885" s="74">
        <v>2.0</v>
      </c>
      <c r="I885" s="74">
        <v>10.0</v>
      </c>
      <c r="J885" s="119"/>
      <c r="K885" s="119"/>
      <c r="L885" s="74" t="s">
        <v>2163</v>
      </c>
      <c r="M885" s="74" t="s">
        <v>2163</v>
      </c>
      <c r="N885" s="74">
        <v>1.0</v>
      </c>
      <c r="O885" s="74" t="s">
        <v>21120</v>
      </c>
      <c r="P885" s="119"/>
      <c r="Q885" s="119"/>
      <c r="R885" s="74">
        <v>5.0</v>
      </c>
      <c r="S885" s="74" t="s">
        <v>18057</v>
      </c>
      <c r="T885" s="120">
        <v>7551.0</v>
      </c>
      <c r="U885" s="74" t="s">
        <v>21177</v>
      </c>
      <c r="V885" s="74" t="s">
        <v>21178</v>
      </c>
      <c r="W885" s="120">
        <v>886.0</v>
      </c>
    </row>
    <row r="886">
      <c r="A886" s="74" t="s">
        <v>21176</v>
      </c>
      <c r="B886" s="74" t="s">
        <v>6876</v>
      </c>
      <c r="C886" s="74" t="s">
        <v>6877</v>
      </c>
      <c r="D886" s="74" t="s">
        <v>8493</v>
      </c>
      <c r="E886" s="146">
        <v>43854.0</v>
      </c>
      <c r="F886" s="74" t="s">
        <v>21180</v>
      </c>
      <c r="G886" s="74">
        <v>58.0</v>
      </c>
      <c r="H886" s="74">
        <v>2.0</v>
      </c>
      <c r="I886" s="74">
        <v>99.0</v>
      </c>
      <c r="J886" s="119"/>
      <c r="K886" s="119"/>
      <c r="L886" s="74" t="s">
        <v>2167</v>
      </c>
      <c r="M886" s="74" t="s">
        <v>2167</v>
      </c>
      <c r="N886" s="74">
        <v>1.0</v>
      </c>
      <c r="O886" s="74" t="s">
        <v>21120</v>
      </c>
      <c r="P886" s="119"/>
      <c r="Q886" s="74" t="s">
        <v>21184</v>
      </c>
      <c r="R886" s="74">
        <v>5.0</v>
      </c>
      <c r="S886" s="74" t="s">
        <v>18057</v>
      </c>
      <c r="T886" s="120">
        <v>7552.0</v>
      </c>
      <c r="U886" s="74" t="s">
        <v>21185</v>
      </c>
      <c r="V886" s="74" t="s">
        <v>21186</v>
      </c>
      <c r="W886" s="120">
        <v>887.0</v>
      </c>
    </row>
    <row r="887">
      <c r="A887" s="74" t="s">
        <v>21187</v>
      </c>
      <c r="B887" s="74" t="s">
        <v>6876</v>
      </c>
      <c r="C887" s="74" t="s">
        <v>6877</v>
      </c>
      <c r="D887" s="74" t="s">
        <v>8493</v>
      </c>
      <c r="E887" s="146">
        <v>43854.0</v>
      </c>
      <c r="F887" s="74" t="s">
        <v>21189</v>
      </c>
      <c r="G887" s="74">
        <v>33.0</v>
      </c>
      <c r="H887" s="74">
        <v>1.0</v>
      </c>
      <c r="I887" s="74">
        <v>98.0</v>
      </c>
      <c r="J887" s="119"/>
      <c r="K887" s="119"/>
      <c r="L887" s="74" t="s">
        <v>2179</v>
      </c>
      <c r="M887" s="74" t="s">
        <v>2179</v>
      </c>
      <c r="N887" s="74">
        <v>1.0</v>
      </c>
      <c r="O887" s="74" t="s">
        <v>21120</v>
      </c>
      <c r="P887" s="119"/>
      <c r="Q887" s="119"/>
      <c r="R887" s="74">
        <v>5.0</v>
      </c>
      <c r="S887" s="74" t="s">
        <v>18057</v>
      </c>
      <c r="T887" s="120">
        <v>7553.0</v>
      </c>
      <c r="U887" s="74" t="s">
        <v>21190</v>
      </c>
      <c r="V887" s="74" t="s">
        <v>21191</v>
      </c>
      <c r="W887" s="120">
        <v>888.0</v>
      </c>
    </row>
    <row r="888">
      <c r="A888" s="74" t="s">
        <v>21192</v>
      </c>
      <c r="B888" s="74" t="s">
        <v>6876</v>
      </c>
      <c r="C888" s="74" t="s">
        <v>6877</v>
      </c>
      <c r="D888" s="74" t="s">
        <v>8493</v>
      </c>
      <c r="E888" s="146">
        <v>43865.0</v>
      </c>
      <c r="F888" s="74" t="s">
        <v>21193</v>
      </c>
      <c r="G888" s="74">
        <v>59.0</v>
      </c>
      <c r="H888" s="74">
        <v>1.0</v>
      </c>
      <c r="I888" s="74">
        <v>11.0</v>
      </c>
      <c r="J888" s="119"/>
      <c r="K888" s="119"/>
      <c r="L888" s="74" t="s">
        <v>2291</v>
      </c>
      <c r="M888" s="74" t="s">
        <v>2291</v>
      </c>
      <c r="N888" s="74">
        <v>1.0</v>
      </c>
      <c r="O888" s="74" t="s">
        <v>21196</v>
      </c>
      <c r="P888" s="119"/>
      <c r="Q888" s="119"/>
      <c r="R888" s="74">
        <v>5.0</v>
      </c>
      <c r="S888" s="74" t="s">
        <v>18057</v>
      </c>
      <c r="T888" s="120">
        <v>7680.0</v>
      </c>
      <c r="U888" s="74" t="s">
        <v>21197</v>
      </c>
      <c r="V888" s="74" t="s">
        <v>21198</v>
      </c>
      <c r="W888" s="120">
        <v>889.0</v>
      </c>
    </row>
    <row r="889">
      <c r="A889" s="74" t="s">
        <v>21193</v>
      </c>
      <c r="B889" s="74" t="s">
        <v>6876</v>
      </c>
      <c r="C889" s="74" t="s">
        <v>6877</v>
      </c>
      <c r="D889" s="74" t="s">
        <v>8493</v>
      </c>
      <c r="E889" s="146">
        <v>43865.0</v>
      </c>
      <c r="F889" s="74" t="s">
        <v>21203</v>
      </c>
      <c r="G889" s="74">
        <v>59.0</v>
      </c>
      <c r="H889" s="74">
        <v>1.0</v>
      </c>
      <c r="I889" s="74">
        <v>99.0</v>
      </c>
      <c r="J889" s="119"/>
      <c r="K889" s="119"/>
      <c r="L889" s="74" t="s">
        <v>2301</v>
      </c>
      <c r="M889" s="74" t="s">
        <v>2301</v>
      </c>
      <c r="N889" s="74">
        <v>1.0</v>
      </c>
      <c r="O889" s="74" t="s">
        <v>21196</v>
      </c>
      <c r="P889" s="119"/>
      <c r="Q889" s="74" t="s">
        <v>21205</v>
      </c>
      <c r="R889" s="74">
        <v>5.0</v>
      </c>
      <c r="S889" s="74" t="s">
        <v>18057</v>
      </c>
      <c r="T889" s="120">
        <v>7681.0</v>
      </c>
      <c r="U889" s="74" t="s">
        <v>21206</v>
      </c>
      <c r="V889" s="74" t="s">
        <v>21207</v>
      </c>
      <c r="W889" s="120">
        <v>890.0</v>
      </c>
    </row>
    <row r="890">
      <c r="A890" s="74" t="s">
        <v>21203</v>
      </c>
      <c r="B890" s="74" t="s">
        <v>6876</v>
      </c>
      <c r="C890" s="74" t="s">
        <v>6877</v>
      </c>
      <c r="D890" s="74" t="s">
        <v>8493</v>
      </c>
      <c r="E890" s="146">
        <v>43865.0</v>
      </c>
      <c r="F890" s="74" t="s">
        <v>21208</v>
      </c>
      <c r="G890" s="74">
        <v>58.0</v>
      </c>
      <c r="H890" s="74">
        <v>2.0</v>
      </c>
      <c r="I890" s="74">
        <v>9.0</v>
      </c>
      <c r="J890" s="119"/>
      <c r="K890" s="119"/>
      <c r="L890" s="74" t="s">
        <v>2180</v>
      </c>
      <c r="M890" s="74" t="s">
        <v>2180</v>
      </c>
      <c r="N890" s="74">
        <v>1.0</v>
      </c>
      <c r="O890" s="74" t="s">
        <v>21196</v>
      </c>
      <c r="P890" s="119"/>
      <c r="Q890" s="119"/>
      <c r="R890" s="74">
        <v>5.0</v>
      </c>
      <c r="S890" s="74" t="s">
        <v>18057</v>
      </c>
      <c r="T890" s="120">
        <v>7682.0</v>
      </c>
      <c r="U890" s="74" t="s">
        <v>21209</v>
      </c>
      <c r="V890" s="74" t="s">
        <v>21210</v>
      </c>
      <c r="W890" s="120">
        <v>891.0</v>
      </c>
    </row>
    <row r="891">
      <c r="A891" s="74" t="s">
        <v>21208</v>
      </c>
      <c r="B891" s="74" t="s">
        <v>6876</v>
      </c>
      <c r="C891" s="74" t="s">
        <v>6877</v>
      </c>
      <c r="D891" s="74" t="s">
        <v>8493</v>
      </c>
      <c r="E891" s="146">
        <v>43865.0</v>
      </c>
      <c r="F891" s="74" t="s">
        <v>21211</v>
      </c>
      <c r="G891" s="74">
        <v>58.0</v>
      </c>
      <c r="H891" s="74">
        <v>2.0</v>
      </c>
      <c r="I891" s="74">
        <v>8.0</v>
      </c>
      <c r="J891" s="119"/>
      <c r="K891" s="119"/>
      <c r="L891" s="74" t="s">
        <v>2183</v>
      </c>
      <c r="M891" s="74" t="s">
        <v>2183</v>
      </c>
      <c r="N891" s="74">
        <v>1.0</v>
      </c>
      <c r="O891" s="74" t="s">
        <v>21196</v>
      </c>
      <c r="P891" s="119"/>
      <c r="Q891" s="119"/>
      <c r="R891" s="74">
        <v>5.0</v>
      </c>
      <c r="S891" s="74" t="s">
        <v>18057</v>
      </c>
      <c r="T891" s="120">
        <v>7683.0</v>
      </c>
      <c r="U891" s="74" t="s">
        <v>21214</v>
      </c>
      <c r="V891" s="74" t="s">
        <v>21215</v>
      </c>
      <c r="W891" s="120">
        <v>892.0</v>
      </c>
    </row>
    <row r="892">
      <c r="A892" s="74" t="s">
        <v>21216</v>
      </c>
      <c r="B892" s="74" t="s">
        <v>6876</v>
      </c>
      <c r="C892" s="74" t="s">
        <v>6877</v>
      </c>
      <c r="D892" s="74" t="s">
        <v>8493</v>
      </c>
      <c r="E892" s="146">
        <v>43865.0</v>
      </c>
      <c r="F892" s="74" t="s">
        <v>21218</v>
      </c>
      <c r="G892" s="74">
        <v>55.0</v>
      </c>
      <c r="H892" s="74">
        <v>1.0</v>
      </c>
      <c r="I892" s="74">
        <v>12.0</v>
      </c>
      <c r="J892" s="119"/>
      <c r="K892" s="119"/>
      <c r="L892" s="74" t="s">
        <v>2347</v>
      </c>
      <c r="M892" s="74" t="s">
        <v>2347</v>
      </c>
      <c r="N892" s="74">
        <v>1.0</v>
      </c>
      <c r="O892" s="74" t="s">
        <v>21196</v>
      </c>
      <c r="P892" s="119"/>
      <c r="Q892" s="119"/>
      <c r="R892" s="74">
        <v>5.0</v>
      </c>
      <c r="S892" s="74" t="s">
        <v>18057</v>
      </c>
      <c r="T892" s="120">
        <v>7684.0</v>
      </c>
      <c r="U892" s="74" t="s">
        <v>21219</v>
      </c>
      <c r="V892" s="74" t="s">
        <v>21220</v>
      </c>
      <c r="W892" s="120">
        <v>893.0</v>
      </c>
    </row>
    <row r="893">
      <c r="A893" s="74" t="s">
        <v>21218</v>
      </c>
      <c r="B893" s="74" t="s">
        <v>6876</v>
      </c>
      <c r="C893" s="74" t="s">
        <v>6877</v>
      </c>
      <c r="D893" s="74" t="s">
        <v>8493</v>
      </c>
      <c r="E893" s="146">
        <v>43865.0</v>
      </c>
      <c r="F893" s="74" t="s">
        <v>21222</v>
      </c>
      <c r="G893" s="74">
        <v>57.0</v>
      </c>
      <c r="H893" s="74">
        <v>1.0</v>
      </c>
      <c r="I893" s="74">
        <v>12.0</v>
      </c>
      <c r="J893" s="119"/>
      <c r="K893" s="119"/>
      <c r="L893" s="74" t="s">
        <v>2379</v>
      </c>
      <c r="M893" s="74" t="s">
        <v>2379</v>
      </c>
      <c r="N893" s="74">
        <v>1.0</v>
      </c>
      <c r="O893" s="74" t="s">
        <v>21196</v>
      </c>
      <c r="P893" s="119"/>
      <c r="Q893" s="119"/>
      <c r="R893" s="74">
        <v>5.0</v>
      </c>
      <c r="S893" s="74" t="s">
        <v>18057</v>
      </c>
      <c r="T893" s="120">
        <v>7685.0</v>
      </c>
      <c r="U893" s="74" t="s">
        <v>21229</v>
      </c>
      <c r="V893" s="74" t="s">
        <v>21230</v>
      </c>
      <c r="W893" s="120">
        <v>894.0</v>
      </c>
    </row>
    <row r="894">
      <c r="A894" s="74" t="s">
        <v>21222</v>
      </c>
      <c r="B894" s="74" t="s">
        <v>6876</v>
      </c>
      <c r="C894" s="74" t="s">
        <v>6877</v>
      </c>
      <c r="D894" s="74" t="s">
        <v>8493</v>
      </c>
      <c r="E894" s="146">
        <v>43865.0</v>
      </c>
      <c r="F894" s="74" t="s">
        <v>21232</v>
      </c>
      <c r="G894" s="74">
        <v>57.0</v>
      </c>
      <c r="H894" s="74">
        <v>1.0</v>
      </c>
      <c r="I894" s="74">
        <v>12.0</v>
      </c>
      <c r="J894" s="119"/>
      <c r="K894" s="119"/>
      <c r="L894" s="74" t="s">
        <v>2408</v>
      </c>
      <c r="M894" s="74" t="s">
        <v>2408</v>
      </c>
      <c r="N894" s="74">
        <v>1.0</v>
      </c>
      <c r="O894" s="74" t="s">
        <v>21196</v>
      </c>
      <c r="P894" s="119"/>
      <c r="Q894" s="119"/>
      <c r="R894" s="74">
        <v>5.0</v>
      </c>
      <c r="S894" s="74" t="s">
        <v>18057</v>
      </c>
      <c r="T894" s="120">
        <v>7686.0</v>
      </c>
      <c r="U894" s="74" t="s">
        <v>21233</v>
      </c>
      <c r="V894" s="74" t="s">
        <v>21234</v>
      </c>
      <c r="W894" s="120">
        <v>895.0</v>
      </c>
    </row>
    <row r="895">
      <c r="A895" s="74" t="s">
        <v>21232</v>
      </c>
      <c r="B895" s="74" t="s">
        <v>6876</v>
      </c>
      <c r="C895" s="74" t="s">
        <v>6877</v>
      </c>
      <c r="D895" s="74" t="s">
        <v>8493</v>
      </c>
      <c r="E895" s="146">
        <v>43865.0</v>
      </c>
      <c r="F895" s="74" t="s">
        <v>21235</v>
      </c>
      <c r="G895" s="74">
        <v>57.0</v>
      </c>
      <c r="H895" s="74">
        <v>1.0</v>
      </c>
      <c r="I895" s="74">
        <v>99.0</v>
      </c>
      <c r="J895" s="119"/>
      <c r="K895" s="119"/>
      <c r="L895" s="74" t="s">
        <v>2415</v>
      </c>
      <c r="M895" s="74" t="s">
        <v>2415</v>
      </c>
      <c r="N895" s="74">
        <v>1.0</v>
      </c>
      <c r="O895" s="74" t="s">
        <v>21196</v>
      </c>
      <c r="P895" s="119"/>
      <c r="Q895" s="74" t="s">
        <v>21237</v>
      </c>
      <c r="R895" s="74">
        <v>5.0</v>
      </c>
      <c r="S895" s="74" t="s">
        <v>18057</v>
      </c>
      <c r="T895" s="120">
        <v>7687.0</v>
      </c>
      <c r="U895" s="74" t="s">
        <v>21238</v>
      </c>
      <c r="V895" s="74" t="s">
        <v>21239</v>
      </c>
      <c r="W895" s="120">
        <v>896.0</v>
      </c>
    </row>
    <row r="896">
      <c r="A896" s="74" t="s">
        <v>21235</v>
      </c>
      <c r="B896" s="74" t="s">
        <v>6876</v>
      </c>
      <c r="C896" s="74" t="s">
        <v>6877</v>
      </c>
      <c r="D896" s="74" t="s">
        <v>8493</v>
      </c>
      <c r="E896" s="146">
        <v>43865.0</v>
      </c>
      <c r="F896" s="74" t="s">
        <v>21240</v>
      </c>
      <c r="G896" s="74">
        <v>57.0</v>
      </c>
      <c r="H896" s="74">
        <v>1.0</v>
      </c>
      <c r="I896" s="74">
        <v>16.0</v>
      </c>
      <c r="J896" s="119"/>
      <c r="K896" s="119"/>
      <c r="L896" s="74" t="s">
        <v>2435</v>
      </c>
      <c r="M896" s="74" t="s">
        <v>2435</v>
      </c>
      <c r="N896" s="74">
        <v>1.0</v>
      </c>
      <c r="O896" s="74" t="s">
        <v>21196</v>
      </c>
      <c r="P896" s="119"/>
      <c r="Q896" s="119"/>
      <c r="R896" s="74">
        <v>5.0</v>
      </c>
      <c r="S896" s="74" t="s">
        <v>18057</v>
      </c>
      <c r="T896" s="120">
        <v>7688.0</v>
      </c>
      <c r="U896" s="74" t="s">
        <v>21242</v>
      </c>
      <c r="V896" s="74" t="s">
        <v>21244</v>
      </c>
      <c r="W896" s="120">
        <v>897.0</v>
      </c>
    </row>
    <row r="897">
      <c r="A897" s="74" t="s">
        <v>21240</v>
      </c>
      <c r="B897" s="74" t="s">
        <v>6876</v>
      </c>
      <c r="C897" s="74" t="s">
        <v>6877</v>
      </c>
      <c r="D897" s="74" t="s">
        <v>8493</v>
      </c>
      <c r="E897" s="146">
        <v>43865.0</v>
      </c>
      <c r="F897" s="74" t="s">
        <v>21245</v>
      </c>
      <c r="G897" s="74">
        <v>33.0</v>
      </c>
      <c r="H897" s="74">
        <v>1.0</v>
      </c>
      <c r="I897" s="74">
        <v>98.0</v>
      </c>
      <c r="J897" s="119"/>
      <c r="K897" s="119"/>
      <c r="L897" s="74" t="s">
        <v>2464</v>
      </c>
      <c r="M897" s="74" t="s">
        <v>2464</v>
      </c>
      <c r="N897" s="74">
        <v>1.0</v>
      </c>
      <c r="O897" s="74" t="s">
        <v>21196</v>
      </c>
      <c r="P897" s="119"/>
      <c r="Q897" s="119"/>
      <c r="R897" s="74">
        <v>5.0</v>
      </c>
      <c r="S897" s="74" t="s">
        <v>18057</v>
      </c>
      <c r="T897" s="120">
        <v>7689.0</v>
      </c>
      <c r="U897" s="74" t="s">
        <v>21247</v>
      </c>
      <c r="V897" s="74" t="s">
        <v>21248</v>
      </c>
      <c r="W897" s="120">
        <v>898.0</v>
      </c>
    </row>
    <row r="898">
      <c r="A898" s="74" t="s">
        <v>21249</v>
      </c>
      <c r="B898" s="74" t="s">
        <v>6876</v>
      </c>
      <c r="C898" s="74" t="s">
        <v>6877</v>
      </c>
      <c r="D898" s="74" t="s">
        <v>8493</v>
      </c>
      <c r="E898" s="146">
        <v>43879.0</v>
      </c>
      <c r="F898" s="74" t="s">
        <v>21250</v>
      </c>
      <c r="G898" s="74">
        <v>59.0</v>
      </c>
      <c r="H898" s="74">
        <v>1.0</v>
      </c>
      <c r="I898" s="74">
        <v>11.0</v>
      </c>
      <c r="J898" s="119"/>
      <c r="K898" s="119"/>
      <c r="L898" s="74" t="s">
        <v>2471</v>
      </c>
      <c r="M898" s="74" t="s">
        <v>2471</v>
      </c>
      <c r="N898" s="74">
        <v>1.0</v>
      </c>
      <c r="O898" s="74" t="s">
        <v>21253</v>
      </c>
      <c r="P898" s="119"/>
      <c r="Q898" s="119"/>
      <c r="R898" s="74">
        <v>5.0</v>
      </c>
      <c r="S898" s="74" t="s">
        <v>18057</v>
      </c>
      <c r="T898" s="120">
        <v>8043.0</v>
      </c>
      <c r="U898" s="74" t="s">
        <v>21255</v>
      </c>
      <c r="V898" s="74" t="s">
        <v>21256</v>
      </c>
      <c r="W898" s="120">
        <v>899.0</v>
      </c>
    </row>
    <row r="899">
      <c r="A899" s="74" t="s">
        <v>21250</v>
      </c>
      <c r="B899" s="74" t="s">
        <v>6876</v>
      </c>
      <c r="C899" s="74" t="s">
        <v>6877</v>
      </c>
      <c r="D899" s="74" t="s">
        <v>8493</v>
      </c>
      <c r="E899" s="146">
        <v>43879.0</v>
      </c>
      <c r="F899" s="74" t="s">
        <v>21259</v>
      </c>
      <c r="G899" s="74">
        <v>59.0</v>
      </c>
      <c r="H899" s="74">
        <v>1.0</v>
      </c>
      <c r="I899" s="74">
        <v>99.0</v>
      </c>
      <c r="J899" s="119"/>
      <c r="K899" s="119"/>
      <c r="L899" s="74" t="s">
        <v>2490</v>
      </c>
      <c r="M899" s="74" t="s">
        <v>2490</v>
      </c>
      <c r="N899" s="74">
        <v>1.0</v>
      </c>
      <c r="O899" s="74" t="s">
        <v>21253</v>
      </c>
      <c r="P899" s="119"/>
      <c r="Q899" s="74" t="s">
        <v>21265</v>
      </c>
      <c r="R899" s="74" t="s">
        <v>14054</v>
      </c>
      <c r="S899" s="74" t="s">
        <v>18057</v>
      </c>
      <c r="T899" s="120">
        <v>8044.0</v>
      </c>
      <c r="U899" s="74" t="s">
        <v>21266</v>
      </c>
      <c r="V899" s="74" t="s">
        <v>21268</v>
      </c>
      <c r="W899" s="120">
        <v>900.0</v>
      </c>
    </row>
    <row r="900">
      <c r="A900" s="74" t="s">
        <v>21259</v>
      </c>
      <c r="B900" s="74" t="s">
        <v>6876</v>
      </c>
      <c r="C900" s="74" t="s">
        <v>6877</v>
      </c>
      <c r="D900" s="74" t="s">
        <v>8493</v>
      </c>
      <c r="E900" s="146">
        <v>43879.0</v>
      </c>
      <c r="F900" s="74" t="s">
        <v>21269</v>
      </c>
      <c r="G900" s="74">
        <v>59.0</v>
      </c>
      <c r="H900" s="74">
        <v>1.0</v>
      </c>
      <c r="I900" s="74">
        <v>11.0</v>
      </c>
      <c r="J900" s="119"/>
      <c r="K900" s="119"/>
      <c r="L900" s="74" t="s">
        <v>2515</v>
      </c>
      <c r="M900" s="74" t="s">
        <v>2515</v>
      </c>
      <c r="N900" s="74">
        <v>1.0</v>
      </c>
      <c r="O900" s="74" t="s">
        <v>21253</v>
      </c>
      <c r="P900" s="119"/>
      <c r="Q900" s="119"/>
      <c r="R900" s="74">
        <v>5.0</v>
      </c>
      <c r="S900" s="74" t="s">
        <v>18057</v>
      </c>
      <c r="T900" s="120">
        <v>8045.0</v>
      </c>
      <c r="U900" s="74" t="s">
        <v>21270</v>
      </c>
      <c r="V900" s="74" t="s">
        <v>21271</v>
      </c>
      <c r="W900" s="120">
        <v>901.0</v>
      </c>
    </row>
    <row r="901">
      <c r="A901" s="74" t="s">
        <v>21269</v>
      </c>
      <c r="B901" s="74" t="s">
        <v>6876</v>
      </c>
      <c r="C901" s="74" t="s">
        <v>6877</v>
      </c>
      <c r="D901" s="74" t="s">
        <v>8493</v>
      </c>
      <c r="E901" s="146">
        <v>43879.0</v>
      </c>
      <c r="F901" s="74" t="s">
        <v>21272</v>
      </c>
      <c r="G901" s="74">
        <v>59.0</v>
      </c>
      <c r="H901" s="74">
        <v>1.0</v>
      </c>
      <c r="I901" s="74">
        <v>11.0</v>
      </c>
      <c r="J901" s="119"/>
      <c r="K901" s="119"/>
      <c r="L901" s="74" t="s">
        <v>2549</v>
      </c>
      <c r="M901" s="74" t="s">
        <v>2549</v>
      </c>
      <c r="N901" s="74">
        <v>1.0</v>
      </c>
      <c r="O901" s="74" t="s">
        <v>21253</v>
      </c>
      <c r="P901" s="119"/>
      <c r="Q901" s="119"/>
      <c r="R901" s="74">
        <v>5.0</v>
      </c>
      <c r="S901" s="74" t="s">
        <v>18057</v>
      </c>
      <c r="T901" s="120">
        <v>8046.0</v>
      </c>
      <c r="U901" s="74" t="s">
        <v>21273</v>
      </c>
      <c r="V901" s="74" t="s">
        <v>21274</v>
      </c>
      <c r="W901" s="120">
        <v>902.0</v>
      </c>
    </row>
    <row r="902">
      <c r="A902" s="74" t="s">
        <v>21272</v>
      </c>
      <c r="B902" s="74" t="s">
        <v>6876</v>
      </c>
      <c r="C902" s="74" t="s">
        <v>6877</v>
      </c>
      <c r="D902" s="74" t="s">
        <v>8493</v>
      </c>
      <c r="E902" s="146">
        <v>43879.0</v>
      </c>
      <c r="F902" s="74" t="s">
        <v>21277</v>
      </c>
      <c r="G902" s="74">
        <v>57.0</v>
      </c>
      <c r="H902" s="74">
        <v>1.0</v>
      </c>
      <c r="I902" s="74">
        <v>12.0</v>
      </c>
      <c r="J902" s="119"/>
      <c r="K902" s="119"/>
      <c r="L902" s="74" t="s">
        <v>2653</v>
      </c>
      <c r="M902" s="74" t="s">
        <v>2653</v>
      </c>
      <c r="N902" s="74">
        <v>1.0</v>
      </c>
      <c r="O902" s="74" t="s">
        <v>21253</v>
      </c>
      <c r="P902" s="119"/>
      <c r="Q902" s="119"/>
      <c r="R902" s="74">
        <v>5.0</v>
      </c>
      <c r="S902" s="74" t="s">
        <v>18057</v>
      </c>
      <c r="T902" s="120">
        <v>8047.0</v>
      </c>
      <c r="U902" s="74" t="s">
        <v>21279</v>
      </c>
      <c r="V902" s="74" t="s">
        <v>21280</v>
      </c>
      <c r="W902" s="120">
        <v>903.0</v>
      </c>
    </row>
    <row r="903">
      <c r="A903" s="74" t="s">
        <v>21277</v>
      </c>
      <c r="B903" s="74" t="s">
        <v>6876</v>
      </c>
      <c r="C903" s="74" t="s">
        <v>6877</v>
      </c>
      <c r="D903" s="74" t="s">
        <v>8493</v>
      </c>
      <c r="E903" s="146">
        <v>43879.0</v>
      </c>
      <c r="F903" s="74" t="s">
        <v>21281</v>
      </c>
      <c r="G903" s="74">
        <v>57.0</v>
      </c>
      <c r="H903" s="74">
        <v>1.0</v>
      </c>
      <c r="I903" s="74">
        <v>12.0</v>
      </c>
      <c r="J903" s="119"/>
      <c r="K903" s="119"/>
      <c r="L903" s="74" t="s">
        <v>2681</v>
      </c>
      <c r="M903" s="74" t="s">
        <v>2681</v>
      </c>
      <c r="N903" s="74">
        <v>1.0</v>
      </c>
      <c r="O903" s="74" t="s">
        <v>21253</v>
      </c>
      <c r="P903" s="119"/>
      <c r="Q903" s="119"/>
      <c r="R903" s="74">
        <v>5.0</v>
      </c>
      <c r="S903" s="74" t="s">
        <v>18057</v>
      </c>
      <c r="T903" s="120">
        <v>8048.0</v>
      </c>
      <c r="U903" s="74" t="s">
        <v>21286</v>
      </c>
      <c r="V903" s="74" t="s">
        <v>21287</v>
      </c>
      <c r="W903" s="120">
        <v>904.0</v>
      </c>
    </row>
    <row r="904">
      <c r="A904" s="74" t="s">
        <v>21281</v>
      </c>
      <c r="B904" s="74" t="s">
        <v>6876</v>
      </c>
      <c r="C904" s="74" t="s">
        <v>6877</v>
      </c>
      <c r="D904" s="74" t="s">
        <v>8493</v>
      </c>
      <c r="E904" s="146">
        <v>43879.0</v>
      </c>
      <c r="F904" s="74" t="s">
        <v>21289</v>
      </c>
      <c r="G904" s="74">
        <v>55.0</v>
      </c>
      <c r="H904" s="74">
        <v>1.0</v>
      </c>
      <c r="I904" s="74">
        <v>12.0</v>
      </c>
      <c r="J904" s="119"/>
      <c r="K904" s="119"/>
      <c r="L904" s="74" t="s">
        <v>2708</v>
      </c>
      <c r="M904" s="74" t="s">
        <v>2708</v>
      </c>
      <c r="N904" s="74">
        <v>1.0</v>
      </c>
      <c r="O904" s="74" t="s">
        <v>21253</v>
      </c>
      <c r="P904" s="119"/>
      <c r="Q904" s="119"/>
      <c r="R904" s="74">
        <v>5.0</v>
      </c>
      <c r="S904" s="74" t="s">
        <v>18057</v>
      </c>
      <c r="T904" s="120">
        <v>8049.0</v>
      </c>
      <c r="U904" s="74" t="s">
        <v>21292</v>
      </c>
      <c r="V904" s="74" t="s">
        <v>21294</v>
      </c>
      <c r="W904" s="120">
        <v>905.0</v>
      </c>
    </row>
    <row r="905">
      <c r="A905" s="74" t="s">
        <v>21289</v>
      </c>
      <c r="B905" s="74" t="s">
        <v>6876</v>
      </c>
      <c r="C905" s="74" t="s">
        <v>6877</v>
      </c>
      <c r="D905" s="74" t="s">
        <v>8493</v>
      </c>
      <c r="E905" s="146">
        <v>43879.0</v>
      </c>
      <c r="F905" s="74" t="s">
        <v>21295</v>
      </c>
      <c r="G905" s="74">
        <v>55.0</v>
      </c>
      <c r="H905" s="74">
        <v>1.0</v>
      </c>
      <c r="I905" s="74">
        <v>99.0</v>
      </c>
      <c r="J905" s="119"/>
      <c r="K905" s="119"/>
      <c r="L905" s="74" t="s">
        <v>2715</v>
      </c>
      <c r="M905" s="74" t="s">
        <v>2715</v>
      </c>
      <c r="N905" s="74">
        <v>1.0</v>
      </c>
      <c r="O905" s="74" t="s">
        <v>21253</v>
      </c>
      <c r="P905" s="119"/>
      <c r="Q905" s="74" t="s">
        <v>21296</v>
      </c>
      <c r="R905" s="74">
        <v>5.0</v>
      </c>
      <c r="S905" s="74" t="s">
        <v>18057</v>
      </c>
      <c r="T905" s="120">
        <v>8050.0</v>
      </c>
      <c r="U905" s="74" t="s">
        <v>21297</v>
      </c>
      <c r="V905" s="74" t="s">
        <v>21298</v>
      </c>
      <c r="W905" s="120">
        <v>906.0</v>
      </c>
    </row>
    <row r="906">
      <c r="A906" s="74" t="s">
        <v>21295</v>
      </c>
      <c r="B906" s="74" t="s">
        <v>6876</v>
      </c>
      <c r="C906" s="74" t="s">
        <v>6877</v>
      </c>
      <c r="D906" s="74" t="s">
        <v>8493</v>
      </c>
      <c r="E906" s="146">
        <v>43879.0</v>
      </c>
      <c r="F906" s="74" t="s">
        <v>21299</v>
      </c>
      <c r="G906" s="74">
        <v>57.0</v>
      </c>
      <c r="H906" s="74">
        <v>1.0</v>
      </c>
      <c r="I906" s="74">
        <v>16.0</v>
      </c>
      <c r="J906" s="119"/>
      <c r="K906" s="119"/>
      <c r="L906" s="74" t="s">
        <v>2730</v>
      </c>
      <c r="M906" s="74" t="s">
        <v>2730</v>
      </c>
      <c r="N906" s="74">
        <v>1.0</v>
      </c>
      <c r="O906" s="74" t="s">
        <v>21301</v>
      </c>
      <c r="P906" s="119"/>
      <c r="Q906" s="119"/>
      <c r="R906" s="74">
        <v>5.0</v>
      </c>
      <c r="S906" s="74" t="s">
        <v>18057</v>
      </c>
      <c r="T906" s="120">
        <v>8051.0</v>
      </c>
      <c r="U906" s="74" t="s">
        <v>21304</v>
      </c>
      <c r="V906" s="74" t="s">
        <v>21305</v>
      </c>
      <c r="W906" s="120">
        <v>907.0</v>
      </c>
    </row>
    <row r="907">
      <c r="A907" s="74" t="s">
        <v>21299</v>
      </c>
      <c r="B907" s="74" t="s">
        <v>6876</v>
      </c>
      <c r="C907" s="74" t="s">
        <v>6877</v>
      </c>
      <c r="D907" s="74" t="s">
        <v>8493</v>
      </c>
      <c r="E907" s="146">
        <v>43879.0</v>
      </c>
      <c r="F907" s="74" t="s">
        <v>21306</v>
      </c>
      <c r="G907" s="74">
        <v>33.0</v>
      </c>
      <c r="H907" s="74">
        <v>1.0</v>
      </c>
      <c r="I907" s="74">
        <v>98.0</v>
      </c>
      <c r="J907" s="119"/>
      <c r="K907" s="119"/>
      <c r="L907" s="74" t="s">
        <v>2766</v>
      </c>
      <c r="M907" s="74" t="s">
        <v>2766</v>
      </c>
      <c r="N907" s="74">
        <v>1.0</v>
      </c>
      <c r="O907" s="74" t="s">
        <v>21253</v>
      </c>
      <c r="P907" s="119"/>
      <c r="Q907" s="119"/>
      <c r="R907" s="74">
        <v>5.0</v>
      </c>
      <c r="S907" s="74" t="s">
        <v>18057</v>
      </c>
      <c r="T907" s="120">
        <v>8052.0</v>
      </c>
      <c r="U907" s="74" t="s">
        <v>21309</v>
      </c>
      <c r="V907" s="74" t="s">
        <v>21310</v>
      </c>
      <c r="W907" s="120">
        <v>908.0</v>
      </c>
    </row>
    <row r="908">
      <c r="A908" s="74" t="s">
        <v>21306</v>
      </c>
      <c r="B908" s="74" t="s">
        <v>6876</v>
      </c>
      <c r="C908" s="74" t="s">
        <v>6877</v>
      </c>
      <c r="D908" s="74" t="s">
        <v>8493</v>
      </c>
      <c r="E908" s="146">
        <v>43879.0</v>
      </c>
      <c r="F908" s="74" t="s">
        <v>21314</v>
      </c>
      <c r="G908" s="74">
        <v>58.0</v>
      </c>
      <c r="H908" s="74">
        <v>2.0</v>
      </c>
      <c r="I908" s="74">
        <v>7.0</v>
      </c>
      <c r="J908" s="119"/>
      <c r="K908" s="119"/>
      <c r="L908" s="74" t="s">
        <v>2625</v>
      </c>
      <c r="M908" s="74" t="s">
        <v>2625</v>
      </c>
      <c r="N908" s="74">
        <v>1.0</v>
      </c>
      <c r="O908" s="74" t="s">
        <v>21253</v>
      </c>
      <c r="P908" s="119"/>
      <c r="Q908" s="119"/>
      <c r="R908" s="74">
        <v>5.0</v>
      </c>
      <c r="S908" s="74" t="s">
        <v>18057</v>
      </c>
      <c r="T908" s="120">
        <v>8053.0</v>
      </c>
      <c r="U908" s="74" t="s">
        <v>21318</v>
      </c>
      <c r="V908" s="74" t="s">
        <v>21319</v>
      </c>
      <c r="W908" s="120">
        <v>909.0</v>
      </c>
    </row>
    <row r="909">
      <c r="A909" s="74" t="s">
        <v>21314</v>
      </c>
      <c r="B909" s="74" t="s">
        <v>6876</v>
      </c>
      <c r="C909" s="74" t="s">
        <v>6877</v>
      </c>
      <c r="D909" s="74" t="s">
        <v>8493</v>
      </c>
      <c r="E909" s="146">
        <v>43879.0</v>
      </c>
      <c r="F909" s="74" t="s">
        <v>21321</v>
      </c>
      <c r="G909" s="74">
        <v>59.0</v>
      </c>
      <c r="H909" s="74">
        <v>1.0</v>
      </c>
      <c r="I909" s="74">
        <v>11.0</v>
      </c>
      <c r="J909" s="119"/>
      <c r="K909" s="119"/>
      <c r="L909" s="74" t="s">
        <v>2590</v>
      </c>
      <c r="M909" s="74" t="s">
        <v>2590</v>
      </c>
      <c r="N909" s="74">
        <v>1.0</v>
      </c>
      <c r="O909" s="74" t="s">
        <v>21253</v>
      </c>
      <c r="P909" s="119"/>
      <c r="Q909" s="119"/>
      <c r="R909" s="74">
        <v>5.0</v>
      </c>
      <c r="S909" s="74" t="s">
        <v>18057</v>
      </c>
      <c r="T909" s="120">
        <v>8054.0</v>
      </c>
      <c r="U909" s="74" t="s">
        <v>21322</v>
      </c>
      <c r="V909" s="74" t="s">
        <v>21323</v>
      </c>
      <c r="W909" s="120">
        <v>910.0</v>
      </c>
    </row>
    <row r="910">
      <c r="A910" s="74" t="s">
        <v>21321</v>
      </c>
      <c r="B910" s="74" t="s">
        <v>6876</v>
      </c>
      <c r="C910" s="74" t="s">
        <v>6877</v>
      </c>
      <c r="D910" s="74" t="s">
        <v>8493</v>
      </c>
      <c r="E910" s="146">
        <v>43879.0</v>
      </c>
      <c r="F910" s="74" t="s">
        <v>21324</v>
      </c>
      <c r="G910" s="74">
        <v>65.0</v>
      </c>
      <c r="H910" s="74">
        <v>1.0</v>
      </c>
      <c r="I910" s="74">
        <v>16.0</v>
      </c>
      <c r="J910" s="119"/>
      <c r="K910" s="119"/>
      <c r="L910" s="74" t="s">
        <v>2895</v>
      </c>
      <c r="M910" s="74" t="s">
        <v>2895</v>
      </c>
      <c r="N910" s="74">
        <v>1.0</v>
      </c>
      <c r="O910" s="74" t="s">
        <v>21253</v>
      </c>
      <c r="P910" s="119"/>
      <c r="Q910" s="119"/>
      <c r="R910" s="74">
        <v>5.0</v>
      </c>
      <c r="S910" s="74" t="s">
        <v>18057</v>
      </c>
      <c r="T910" s="120">
        <v>8055.0</v>
      </c>
      <c r="U910" s="74" t="s">
        <v>21325</v>
      </c>
      <c r="V910" s="74" t="s">
        <v>21326</v>
      </c>
      <c r="W910" s="120">
        <v>911.0</v>
      </c>
    </row>
    <row r="911">
      <c r="A911" s="74" t="s">
        <v>21329</v>
      </c>
      <c r="B911" s="74" t="s">
        <v>6876</v>
      </c>
      <c r="C911" s="74" t="s">
        <v>6877</v>
      </c>
      <c r="D911" s="74" t="s">
        <v>8493</v>
      </c>
      <c r="E911" s="146">
        <v>43879.0</v>
      </c>
      <c r="F911" s="74" t="s">
        <v>21330</v>
      </c>
      <c r="G911" s="74">
        <v>58.0</v>
      </c>
      <c r="H911" s="74">
        <v>2.0</v>
      </c>
      <c r="I911" s="74">
        <v>15.0</v>
      </c>
      <c r="J911" s="119"/>
      <c r="K911" s="74">
        <v>151.0</v>
      </c>
      <c r="L911" s="74" t="s">
        <v>710</v>
      </c>
      <c r="M911" s="74" t="s">
        <v>710</v>
      </c>
      <c r="N911" s="74">
        <v>1.0</v>
      </c>
      <c r="O911" s="74" t="s">
        <v>21253</v>
      </c>
      <c r="P911" s="119"/>
      <c r="Q911" s="119"/>
      <c r="R911" s="74">
        <v>5.0</v>
      </c>
      <c r="S911" s="74" t="s">
        <v>18057</v>
      </c>
      <c r="T911" s="120">
        <v>8056.0</v>
      </c>
      <c r="U911" s="74" t="s">
        <v>21331</v>
      </c>
      <c r="V911" s="74" t="s">
        <v>21333</v>
      </c>
      <c r="W911" s="120">
        <v>912.0</v>
      </c>
    </row>
    <row r="912">
      <c r="A912" s="74" t="s">
        <v>21330</v>
      </c>
      <c r="B912" s="74" t="s">
        <v>6876</v>
      </c>
      <c r="C912" s="74" t="s">
        <v>6877</v>
      </c>
      <c r="D912" s="74" t="s">
        <v>8493</v>
      </c>
      <c r="E912" s="146">
        <v>43879.0</v>
      </c>
      <c r="F912" s="74" t="s">
        <v>21334</v>
      </c>
      <c r="G912" s="74">
        <v>58.0</v>
      </c>
      <c r="H912" s="74">
        <v>2.0</v>
      </c>
      <c r="I912" s="74">
        <v>15.0</v>
      </c>
      <c r="J912" s="119"/>
      <c r="K912" s="74">
        <v>152.0</v>
      </c>
      <c r="L912" s="74" t="s">
        <v>713</v>
      </c>
      <c r="M912" s="74" t="s">
        <v>713</v>
      </c>
      <c r="N912" s="74">
        <v>1.0</v>
      </c>
      <c r="O912" s="74" t="s">
        <v>21253</v>
      </c>
      <c r="P912" s="119"/>
      <c r="Q912" s="119"/>
      <c r="R912" s="74">
        <v>5.0</v>
      </c>
      <c r="S912" s="74" t="s">
        <v>18057</v>
      </c>
      <c r="T912" s="120">
        <v>8057.0</v>
      </c>
      <c r="U912" s="74" t="s">
        <v>21335</v>
      </c>
      <c r="V912" s="74" t="s">
        <v>21336</v>
      </c>
      <c r="W912" s="120">
        <v>913.0</v>
      </c>
    </row>
    <row r="913">
      <c r="A913" s="74" t="s">
        <v>21334</v>
      </c>
      <c r="B913" s="74" t="s">
        <v>6876</v>
      </c>
      <c r="C913" s="74" t="s">
        <v>6877</v>
      </c>
      <c r="D913" s="74" t="s">
        <v>8493</v>
      </c>
      <c r="E913" s="146">
        <v>43879.0</v>
      </c>
      <c r="F913" s="74" t="s">
        <v>21338</v>
      </c>
      <c r="G913" s="74">
        <v>58.0</v>
      </c>
      <c r="H913" s="74">
        <v>2.0</v>
      </c>
      <c r="I913" s="74">
        <v>15.0</v>
      </c>
      <c r="J913" s="119"/>
      <c r="K913" s="74">
        <v>152.0</v>
      </c>
      <c r="L913" s="74" t="s">
        <v>715</v>
      </c>
      <c r="M913" s="74" t="s">
        <v>715</v>
      </c>
      <c r="N913" s="74">
        <v>1.0</v>
      </c>
      <c r="O913" s="74" t="s">
        <v>21253</v>
      </c>
      <c r="P913" s="119"/>
      <c r="Q913" s="119"/>
      <c r="R913" s="74">
        <v>5.0</v>
      </c>
      <c r="S913" s="74" t="s">
        <v>18057</v>
      </c>
      <c r="T913" s="120">
        <v>8058.0</v>
      </c>
      <c r="U913" s="74" t="s">
        <v>21343</v>
      </c>
      <c r="V913" s="74" t="s">
        <v>21344</v>
      </c>
      <c r="W913" s="120">
        <v>914.0</v>
      </c>
    </row>
    <row r="914">
      <c r="A914" s="74" t="s">
        <v>21338</v>
      </c>
      <c r="B914" s="74" t="s">
        <v>6876</v>
      </c>
      <c r="C914" s="74" t="s">
        <v>6877</v>
      </c>
      <c r="D914" s="74" t="s">
        <v>8493</v>
      </c>
      <c r="E914" s="146">
        <v>43879.0</v>
      </c>
      <c r="F914" s="74" t="s">
        <v>21349</v>
      </c>
      <c r="G914" s="74">
        <v>58.0</v>
      </c>
      <c r="H914" s="74">
        <v>2.0</v>
      </c>
      <c r="I914" s="74">
        <v>15.0</v>
      </c>
      <c r="J914" s="119"/>
      <c r="K914" s="74">
        <v>152.0</v>
      </c>
      <c r="L914" s="74" t="s">
        <v>717</v>
      </c>
      <c r="M914" s="74" t="s">
        <v>717</v>
      </c>
      <c r="N914" s="74">
        <v>1.0</v>
      </c>
      <c r="O914" s="74" t="s">
        <v>21253</v>
      </c>
      <c r="P914" s="119"/>
      <c r="Q914" s="119"/>
      <c r="R914" s="74">
        <v>5.0</v>
      </c>
      <c r="S914" s="74" t="s">
        <v>18057</v>
      </c>
      <c r="T914" s="120">
        <v>8059.0</v>
      </c>
      <c r="U914" s="74" t="s">
        <v>21351</v>
      </c>
      <c r="V914" s="74" t="s">
        <v>21352</v>
      </c>
      <c r="W914" s="120">
        <v>915.0</v>
      </c>
    </row>
    <row r="915">
      <c r="A915" s="74" t="s">
        <v>21349</v>
      </c>
      <c r="B915" s="74" t="s">
        <v>6876</v>
      </c>
      <c r="C915" s="74" t="s">
        <v>6877</v>
      </c>
      <c r="D915" s="74" t="s">
        <v>8493</v>
      </c>
      <c r="E915" s="146">
        <v>43879.0</v>
      </c>
      <c r="F915" s="74" t="s">
        <v>21353</v>
      </c>
      <c r="G915" s="74">
        <v>58.0</v>
      </c>
      <c r="H915" s="74">
        <v>2.0</v>
      </c>
      <c r="I915" s="74">
        <v>99.0</v>
      </c>
      <c r="J915" s="119"/>
      <c r="K915" s="119"/>
      <c r="L915" s="74" t="s">
        <v>719</v>
      </c>
      <c r="M915" s="74" t="s">
        <v>719</v>
      </c>
      <c r="N915" s="74">
        <v>1.0</v>
      </c>
      <c r="O915" s="74" t="s">
        <v>21253</v>
      </c>
      <c r="P915" s="119"/>
      <c r="Q915" s="74" t="s">
        <v>21354</v>
      </c>
      <c r="R915" s="74">
        <v>5.0</v>
      </c>
      <c r="S915" s="74" t="s">
        <v>18057</v>
      </c>
      <c r="T915" s="120">
        <v>8060.0</v>
      </c>
      <c r="U915" s="74" t="s">
        <v>21355</v>
      </c>
      <c r="V915" s="74" t="s">
        <v>21356</v>
      </c>
      <c r="W915" s="120">
        <v>916.0</v>
      </c>
    </row>
    <row r="916">
      <c r="A916" s="74" t="s">
        <v>21353</v>
      </c>
      <c r="B916" s="74" t="s">
        <v>6876</v>
      </c>
      <c r="C916" s="74" t="s">
        <v>6877</v>
      </c>
      <c r="D916" s="74" t="s">
        <v>8493</v>
      </c>
      <c r="E916" s="146">
        <v>43879.0</v>
      </c>
      <c r="F916" s="74" t="s">
        <v>21359</v>
      </c>
      <c r="G916" s="74">
        <v>58.0</v>
      </c>
      <c r="H916" s="74">
        <v>2.0</v>
      </c>
      <c r="I916" s="74">
        <v>15.0</v>
      </c>
      <c r="J916" s="119"/>
      <c r="K916" s="74">
        <v>151.0</v>
      </c>
      <c r="L916" s="74" t="s">
        <v>721</v>
      </c>
      <c r="M916" s="74" t="s">
        <v>721</v>
      </c>
      <c r="N916" s="74">
        <v>1.0</v>
      </c>
      <c r="O916" s="74" t="s">
        <v>21253</v>
      </c>
      <c r="P916" s="119"/>
      <c r="Q916" s="119"/>
      <c r="R916" s="74">
        <v>5.0</v>
      </c>
      <c r="S916" s="74" t="s">
        <v>18057</v>
      </c>
      <c r="T916" s="120">
        <v>8061.0</v>
      </c>
      <c r="U916" s="74" t="s">
        <v>21361</v>
      </c>
      <c r="V916" s="74" t="s">
        <v>21362</v>
      </c>
      <c r="W916" s="120">
        <v>917.0</v>
      </c>
    </row>
    <row r="917">
      <c r="A917" s="74" t="s">
        <v>21363</v>
      </c>
      <c r="B917" s="74" t="s">
        <v>6876</v>
      </c>
      <c r="C917" s="74" t="s">
        <v>6877</v>
      </c>
      <c r="D917" s="74" t="s">
        <v>8493</v>
      </c>
      <c r="E917" s="146">
        <v>43879.0</v>
      </c>
      <c r="F917" s="74" t="s">
        <v>21364</v>
      </c>
      <c r="G917" s="74">
        <v>58.0</v>
      </c>
      <c r="H917" s="74">
        <v>2.0</v>
      </c>
      <c r="I917" s="74">
        <v>15.0</v>
      </c>
      <c r="J917" s="119"/>
      <c r="K917" s="74">
        <v>152.0</v>
      </c>
      <c r="L917" s="74" t="s">
        <v>724</v>
      </c>
      <c r="M917" s="74" t="s">
        <v>724</v>
      </c>
      <c r="N917" s="74">
        <v>1.0</v>
      </c>
      <c r="O917" s="74" t="s">
        <v>21253</v>
      </c>
      <c r="P917" s="119"/>
      <c r="Q917" s="119"/>
      <c r="R917" s="74">
        <v>5.0</v>
      </c>
      <c r="S917" s="74" t="s">
        <v>18057</v>
      </c>
      <c r="T917" s="120">
        <v>8062.0</v>
      </c>
      <c r="U917" s="74" t="s">
        <v>21366</v>
      </c>
      <c r="V917" s="74" t="s">
        <v>21367</v>
      </c>
      <c r="W917" s="120">
        <v>918.0</v>
      </c>
    </row>
    <row r="918">
      <c r="A918" s="74" t="s">
        <v>21364</v>
      </c>
      <c r="B918" s="74" t="s">
        <v>6876</v>
      </c>
      <c r="C918" s="74" t="s">
        <v>6877</v>
      </c>
      <c r="D918" s="74" t="s">
        <v>8493</v>
      </c>
      <c r="E918" s="146">
        <v>43879.0</v>
      </c>
      <c r="F918" s="74" t="s">
        <v>21371</v>
      </c>
      <c r="G918" s="74">
        <v>58.0</v>
      </c>
      <c r="H918" s="74">
        <v>2.0</v>
      </c>
      <c r="I918" s="74">
        <v>15.0</v>
      </c>
      <c r="J918" s="119"/>
      <c r="K918" s="74">
        <v>152.0</v>
      </c>
      <c r="L918" s="74" t="s">
        <v>21374</v>
      </c>
      <c r="M918" s="74" t="s">
        <v>21374</v>
      </c>
      <c r="N918" s="74">
        <v>1.0</v>
      </c>
      <c r="O918" s="74" t="s">
        <v>21253</v>
      </c>
      <c r="P918" s="119"/>
      <c r="Q918" s="119"/>
      <c r="R918" s="74">
        <v>5.0</v>
      </c>
      <c r="S918" s="74" t="s">
        <v>18057</v>
      </c>
      <c r="T918" s="120">
        <v>8063.0</v>
      </c>
      <c r="U918" s="74" t="s">
        <v>21377</v>
      </c>
      <c r="V918" s="74" t="s">
        <v>21378</v>
      </c>
      <c r="W918" s="120">
        <v>919.0</v>
      </c>
    </row>
    <row r="919">
      <c r="A919" s="74" t="s">
        <v>21371</v>
      </c>
      <c r="B919" s="74" t="s">
        <v>6876</v>
      </c>
      <c r="C919" s="74" t="s">
        <v>6877</v>
      </c>
      <c r="D919" s="74" t="s">
        <v>8493</v>
      </c>
      <c r="E919" s="146">
        <v>43879.0</v>
      </c>
      <c r="F919" s="74" t="s">
        <v>21379</v>
      </c>
      <c r="G919" s="74">
        <v>58.0</v>
      </c>
      <c r="H919" s="74">
        <v>2.0</v>
      </c>
      <c r="I919" s="74">
        <v>15.0</v>
      </c>
      <c r="J919" s="119"/>
      <c r="K919" s="74">
        <v>152.0</v>
      </c>
      <c r="L919" s="74" t="s">
        <v>726</v>
      </c>
      <c r="M919" s="74" t="s">
        <v>726</v>
      </c>
      <c r="N919" s="74">
        <v>1.0</v>
      </c>
      <c r="O919" s="74" t="s">
        <v>21253</v>
      </c>
      <c r="P919" s="119"/>
      <c r="Q919" s="119"/>
      <c r="R919" s="74">
        <v>5.0</v>
      </c>
      <c r="S919" s="74" t="s">
        <v>18057</v>
      </c>
      <c r="T919" s="120">
        <v>8064.0</v>
      </c>
      <c r="U919" s="74" t="s">
        <v>21380</v>
      </c>
      <c r="V919" s="74" t="s">
        <v>21381</v>
      </c>
      <c r="W919" s="120">
        <v>920.0</v>
      </c>
    </row>
    <row r="920">
      <c r="A920" s="74" t="s">
        <v>21379</v>
      </c>
      <c r="B920" s="74" t="s">
        <v>6876</v>
      </c>
      <c r="C920" s="74" t="s">
        <v>6877</v>
      </c>
      <c r="D920" s="74" t="s">
        <v>8493</v>
      </c>
      <c r="E920" s="146">
        <v>43879.0</v>
      </c>
      <c r="F920" s="74" t="s">
        <v>21383</v>
      </c>
      <c r="G920" s="74">
        <v>33.0</v>
      </c>
      <c r="H920" s="74">
        <v>1.0</v>
      </c>
      <c r="I920" s="74">
        <v>98.0</v>
      </c>
      <c r="J920" s="119"/>
      <c r="K920" s="119"/>
      <c r="L920" s="74" t="s">
        <v>2931</v>
      </c>
      <c r="M920" s="74" t="s">
        <v>2931</v>
      </c>
      <c r="N920" s="74">
        <v>1.0</v>
      </c>
      <c r="O920" s="74" t="s">
        <v>21253</v>
      </c>
      <c r="P920" s="119"/>
      <c r="Q920" s="119"/>
      <c r="R920" s="74">
        <v>5.0</v>
      </c>
      <c r="S920" s="74" t="s">
        <v>18057</v>
      </c>
      <c r="T920" s="120">
        <v>8065.0</v>
      </c>
      <c r="U920" s="74" t="s">
        <v>21387</v>
      </c>
      <c r="V920" s="74" t="s">
        <v>21388</v>
      </c>
      <c r="W920" s="120">
        <v>921.0</v>
      </c>
    </row>
    <row r="921">
      <c r="A921" s="50" t="s">
        <v>21390</v>
      </c>
      <c r="B921" s="50" t="s">
        <v>6876</v>
      </c>
      <c r="C921" s="50" t="s">
        <v>6877</v>
      </c>
      <c r="D921" s="50" t="s">
        <v>8493</v>
      </c>
      <c r="E921" s="144">
        <v>43893.0</v>
      </c>
      <c r="F921" s="50" t="s">
        <v>21391</v>
      </c>
      <c r="G921" s="50">
        <v>66.0</v>
      </c>
      <c r="H921" s="50">
        <v>1.0</v>
      </c>
      <c r="I921" s="50">
        <v>12.0</v>
      </c>
      <c r="J921" s="116"/>
      <c r="K921" s="116"/>
      <c r="L921" s="50" t="s">
        <v>2939</v>
      </c>
      <c r="M921" s="50" t="s">
        <v>2939</v>
      </c>
      <c r="N921" s="50">
        <v>1.0</v>
      </c>
      <c r="O921" s="50" t="s">
        <v>21393</v>
      </c>
      <c r="P921" s="116"/>
      <c r="Q921" s="116"/>
      <c r="R921" s="50">
        <v>5.0</v>
      </c>
      <c r="S921" s="50" t="s">
        <v>18057</v>
      </c>
      <c r="T921" s="117">
        <v>8432.0</v>
      </c>
      <c r="U921" s="50" t="s">
        <v>21394</v>
      </c>
      <c r="V921" s="50" t="s">
        <v>21395</v>
      </c>
      <c r="W921" s="117">
        <v>922.0</v>
      </c>
    </row>
    <row r="922">
      <c r="A922" s="50" t="s">
        <v>21391</v>
      </c>
      <c r="B922" s="50" t="s">
        <v>6876</v>
      </c>
      <c r="C922" s="50" t="s">
        <v>6877</v>
      </c>
      <c r="D922" s="50" t="s">
        <v>8493</v>
      </c>
      <c r="E922" s="144">
        <v>43893.0</v>
      </c>
      <c r="F922" s="50" t="s">
        <v>21397</v>
      </c>
      <c r="G922" s="50">
        <v>59.0</v>
      </c>
      <c r="H922" s="50">
        <v>1.0</v>
      </c>
      <c r="I922" s="50">
        <v>12.0</v>
      </c>
      <c r="J922" s="116"/>
      <c r="K922" s="116"/>
      <c r="L922" s="50" t="s">
        <v>2964</v>
      </c>
      <c r="M922" s="50" t="s">
        <v>2964</v>
      </c>
      <c r="N922" s="50">
        <v>1.0</v>
      </c>
      <c r="O922" s="50" t="s">
        <v>21393</v>
      </c>
      <c r="P922" s="116"/>
      <c r="Q922" s="116"/>
      <c r="R922" s="50">
        <v>5.0</v>
      </c>
      <c r="S922" s="50" t="s">
        <v>18057</v>
      </c>
      <c r="T922" s="117">
        <v>8433.0</v>
      </c>
      <c r="U922" s="50" t="s">
        <v>21405</v>
      </c>
      <c r="V922" s="50" t="s">
        <v>21407</v>
      </c>
      <c r="W922" s="117">
        <v>923.0</v>
      </c>
    </row>
    <row r="923">
      <c r="A923" s="50" t="s">
        <v>21408</v>
      </c>
      <c r="B923" s="50" t="s">
        <v>6876</v>
      </c>
      <c r="C923" s="50" t="s">
        <v>6877</v>
      </c>
      <c r="D923" s="50" t="s">
        <v>8493</v>
      </c>
      <c r="E923" s="144">
        <v>43893.0</v>
      </c>
      <c r="F923" s="50" t="s">
        <v>21409</v>
      </c>
      <c r="G923" s="50">
        <v>65.0</v>
      </c>
      <c r="H923" s="50">
        <v>1.0</v>
      </c>
      <c r="I923" s="50">
        <v>12.0</v>
      </c>
      <c r="J923" s="116"/>
      <c r="K923" s="116"/>
      <c r="L923" s="50" t="s">
        <v>3001</v>
      </c>
      <c r="M923" s="50" t="s">
        <v>3001</v>
      </c>
      <c r="N923" s="50">
        <v>1.0</v>
      </c>
      <c r="O923" s="50" t="s">
        <v>21393</v>
      </c>
      <c r="P923" s="116"/>
      <c r="Q923" s="116"/>
      <c r="R923" s="50">
        <v>5.0</v>
      </c>
      <c r="S923" s="50" t="s">
        <v>18057</v>
      </c>
      <c r="T923" s="117">
        <v>8434.0</v>
      </c>
      <c r="U923" s="50" t="s">
        <v>21411</v>
      </c>
      <c r="V923" s="50" t="s">
        <v>21412</v>
      </c>
      <c r="W923" s="117">
        <v>924.0</v>
      </c>
    </row>
    <row r="924">
      <c r="A924" s="50" t="s">
        <v>21409</v>
      </c>
      <c r="B924" s="50" t="s">
        <v>6876</v>
      </c>
      <c r="C924" s="50" t="s">
        <v>6877</v>
      </c>
      <c r="D924" s="50" t="s">
        <v>8493</v>
      </c>
      <c r="E924" s="144">
        <v>43893.0</v>
      </c>
      <c r="F924" s="50" t="s">
        <v>21414</v>
      </c>
      <c r="G924" s="50">
        <v>65.0</v>
      </c>
      <c r="H924" s="50">
        <v>1.0</v>
      </c>
      <c r="I924" s="50">
        <v>99.0</v>
      </c>
      <c r="J924" s="116"/>
      <c r="K924" s="116"/>
      <c r="L924" s="50" t="s">
        <v>2947</v>
      </c>
      <c r="M924" s="50" t="s">
        <v>2947</v>
      </c>
      <c r="N924" s="50">
        <v>1.0</v>
      </c>
      <c r="O924" s="50" t="s">
        <v>21393</v>
      </c>
      <c r="P924" s="116"/>
      <c r="Q924" s="50" t="s">
        <v>21417</v>
      </c>
      <c r="R924" s="50">
        <v>5.0</v>
      </c>
      <c r="S924" s="50" t="s">
        <v>18057</v>
      </c>
      <c r="T924" s="117">
        <v>8435.0</v>
      </c>
      <c r="U924" s="50" t="s">
        <v>21418</v>
      </c>
      <c r="V924" s="50" t="s">
        <v>21419</v>
      </c>
      <c r="W924" s="117">
        <v>925.0</v>
      </c>
    </row>
    <row r="925">
      <c r="A925" s="50" t="s">
        <v>21414</v>
      </c>
      <c r="B925" s="50" t="s">
        <v>6876</v>
      </c>
      <c r="C925" s="50" t="s">
        <v>6877</v>
      </c>
      <c r="D925" s="50" t="s">
        <v>8493</v>
      </c>
      <c r="E925" s="144">
        <v>43893.0</v>
      </c>
      <c r="F925" s="50" t="s">
        <v>21420</v>
      </c>
      <c r="G925" s="50">
        <v>59.0</v>
      </c>
      <c r="H925" s="50">
        <v>1.0</v>
      </c>
      <c r="I925" s="50">
        <v>11.0</v>
      </c>
      <c r="J925" s="116"/>
      <c r="K925" s="116"/>
      <c r="L925" s="50" t="s">
        <v>3037</v>
      </c>
      <c r="M925" s="50" t="s">
        <v>3037</v>
      </c>
      <c r="N925" s="50">
        <v>1.0</v>
      </c>
      <c r="O925" s="50" t="s">
        <v>21393</v>
      </c>
      <c r="P925" s="116"/>
      <c r="Q925" s="116"/>
      <c r="R925" s="50">
        <v>5.0</v>
      </c>
      <c r="S925" s="50" t="s">
        <v>18057</v>
      </c>
      <c r="T925" s="117">
        <v>8436.0</v>
      </c>
      <c r="U925" s="50" t="s">
        <v>21422</v>
      </c>
      <c r="V925" s="50" t="s">
        <v>21424</v>
      </c>
      <c r="W925" s="117">
        <v>926.0</v>
      </c>
    </row>
    <row r="926">
      <c r="A926" s="50" t="s">
        <v>21420</v>
      </c>
      <c r="B926" s="50" t="s">
        <v>6876</v>
      </c>
      <c r="C926" s="50" t="s">
        <v>6877</v>
      </c>
      <c r="D926" s="50" t="s">
        <v>8493</v>
      </c>
      <c r="E926" s="144">
        <v>43893.0</v>
      </c>
      <c r="F926" s="50" t="s">
        <v>21431</v>
      </c>
      <c r="G926" s="50">
        <v>58.0</v>
      </c>
      <c r="H926" s="50">
        <v>2.0</v>
      </c>
      <c r="I926" s="50">
        <v>15.0</v>
      </c>
      <c r="J926" s="116"/>
      <c r="K926" s="50">
        <v>151.0</v>
      </c>
      <c r="L926" s="50" t="s">
        <v>731</v>
      </c>
      <c r="M926" s="50" t="s">
        <v>731</v>
      </c>
      <c r="N926" s="50">
        <v>1.0</v>
      </c>
      <c r="O926" s="50" t="s">
        <v>21433</v>
      </c>
      <c r="P926" s="116"/>
      <c r="Q926" s="116"/>
      <c r="R926" s="50">
        <v>5.0</v>
      </c>
      <c r="S926" s="50" t="s">
        <v>18057</v>
      </c>
      <c r="T926" s="117">
        <v>8437.0</v>
      </c>
      <c r="U926" s="50" t="s">
        <v>21434</v>
      </c>
      <c r="V926" s="50" t="s">
        <v>21435</v>
      </c>
      <c r="W926" s="117">
        <v>927.0</v>
      </c>
    </row>
    <row r="927">
      <c r="A927" s="50" t="s">
        <v>21431</v>
      </c>
      <c r="B927" s="50" t="s">
        <v>6876</v>
      </c>
      <c r="C927" s="50" t="s">
        <v>6877</v>
      </c>
      <c r="D927" s="50" t="s">
        <v>8493</v>
      </c>
      <c r="E927" s="144">
        <v>43893.0</v>
      </c>
      <c r="F927" s="50" t="s">
        <v>21436</v>
      </c>
      <c r="G927" s="50">
        <v>58.0</v>
      </c>
      <c r="H927" s="50">
        <v>2.0</v>
      </c>
      <c r="I927" s="50">
        <v>15.0</v>
      </c>
      <c r="J927" s="116"/>
      <c r="K927" s="50">
        <v>152.0</v>
      </c>
      <c r="L927" s="50" t="s">
        <v>733</v>
      </c>
      <c r="M927" s="50" t="s">
        <v>733</v>
      </c>
      <c r="N927" s="50">
        <v>1.0</v>
      </c>
      <c r="O927" s="50" t="s">
        <v>21433</v>
      </c>
      <c r="P927" s="116"/>
      <c r="Q927" s="116"/>
      <c r="R927" s="50">
        <v>5.0</v>
      </c>
      <c r="S927" s="50" t="s">
        <v>18057</v>
      </c>
      <c r="T927" s="117">
        <v>8438.0</v>
      </c>
      <c r="U927" s="50" t="s">
        <v>21439</v>
      </c>
      <c r="V927" s="50" t="s">
        <v>21440</v>
      </c>
      <c r="W927" s="117">
        <v>928.0</v>
      </c>
    </row>
    <row r="928">
      <c r="A928" s="50" t="s">
        <v>21436</v>
      </c>
      <c r="B928" s="50" t="s">
        <v>6876</v>
      </c>
      <c r="C928" s="50" t="s">
        <v>6877</v>
      </c>
      <c r="D928" s="50" t="s">
        <v>8493</v>
      </c>
      <c r="E928" s="144">
        <v>43893.0</v>
      </c>
      <c r="F928" s="50" t="s">
        <v>21442</v>
      </c>
      <c r="G928" s="50">
        <v>58.0</v>
      </c>
      <c r="H928" s="50">
        <v>2.0</v>
      </c>
      <c r="I928" s="50">
        <v>15.0</v>
      </c>
      <c r="J928" s="116"/>
      <c r="K928" s="50">
        <v>152.0</v>
      </c>
      <c r="L928" s="50" t="s">
        <v>734</v>
      </c>
      <c r="M928" s="50" t="s">
        <v>734</v>
      </c>
      <c r="N928" s="50">
        <v>1.0</v>
      </c>
      <c r="O928" s="50" t="s">
        <v>21433</v>
      </c>
      <c r="P928" s="116"/>
      <c r="Q928" s="116"/>
      <c r="R928" s="50">
        <v>5.0</v>
      </c>
      <c r="S928" s="50" t="s">
        <v>18057</v>
      </c>
      <c r="T928" s="117">
        <v>8439.0</v>
      </c>
      <c r="U928" s="50" t="s">
        <v>21443</v>
      </c>
      <c r="V928" s="50" t="s">
        <v>21444</v>
      </c>
      <c r="W928" s="117">
        <v>929.0</v>
      </c>
    </row>
    <row r="929">
      <c r="A929" s="50" t="s">
        <v>21445</v>
      </c>
      <c r="B929" s="50" t="s">
        <v>6876</v>
      </c>
      <c r="C929" s="50" t="s">
        <v>6877</v>
      </c>
      <c r="D929" s="50" t="s">
        <v>8493</v>
      </c>
      <c r="E929" s="144">
        <v>43893.0</v>
      </c>
      <c r="F929" s="50" t="s">
        <v>21446</v>
      </c>
      <c r="G929" s="50">
        <v>58.0</v>
      </c>
      <c r="H929" s="50">
        <v>2.0</v>
      </c>
      <c r="I929" s="50">
        <v>15.0</v>
      </c>
      <c r="J929" s="116"/>
      <c r="K929" s="50">
        <v>152.0</v>
      </c>
      <c r="L929" s="50" t="s">
        <v>735</v>
      </c>
      <c r="M929" s="50" t="s">
        <v>735</v>
      </c>
      <c r="N929" s="50">
        <v>1.0</v>
      </c>
      <c r="O929" s="50" t="s">
        <v>21433</v>
      </c>
      <c r="P929" s="116"/>
      <c r="Q929" s="116"/>
      <c r="R929" s="50">
        <v>5.0</v>
      </c>
      <c r="S929" s="50" t="s">
        <v>18057</v>
      </c>
      <c r="T929" s="117">
        <v>8440.0</v>
      </c>
      <c r="U929" s="50" t="s">
        <v>21450</v>
      </c>
      <c r="V929" s="50" t="s">
        <v>21451</v>
      </c>
      <c r="W929" s="117">
        <v>930.0</v>
      </c>
    </row>
    <row r="930">
      <c r="A930" s="50" t="s">
        <v>21446</v>
      </c>
      <c r="B930" s="50" t="s">
        <v>6876</v>
      </c>
      <c r="C930" s="50" t="s">
        <v>6877</v>
      </c>
      <c r="D930" s="50" t="s">
        <v>8493</v>
      </c>
      <c r="E930" s="144">
        <v>43893.0</v>
      </c>
      <c r="F930" s="50" t="s">
        <v>21452</v>
      </c>
      <c r="G930" s="50">
        <v>58.0</v>
      </c>
      <c r="H930" s="50">
        <v>2.0</v>
      </c>
      <c r="I930" s="50">
        <v>15.0</v>
      </c>
      <c r="J930" s="116"/>
      <c r="K930" s="50">
        <v>151.0</v>
      </c>
      <c r="L930" s="50" t="s">
        <v>740</v>
      </c>
      <c r="M930" s="50" t="s">
        <v>740</v>
      </c>
      <c r="N930" s="50">
        <v>1.0</v>
      </c>
      <c r="O930" s="50" t="s">
        <v>21433</v>
      </c>
      <c r="P930" s="116"/>
      <c r="Q930" s="116"/>
      <c r="R930" s="50">
        <v>5.0</v>
      </c>
      <c r="S930" s="50" t="s">
        <v>18057</v>
      </c>
      <c r="T930" s="117">
        <v>8441.0</v>
      </c>
      <c r="U930" s="50" t="s">
        <v>21458</v>
      </c>
      <c r="V930" s="50" t="s">
        <v>21459</v>
      </c>
      <c r="W930" s="117">
        <v>931.0</v>
      </c>
    </row>
    <row r="931">
      <c r="A931" s="50" t="s">
        <v>21460</v>
      </c>
      <c r="B931" s="50" t="s">
        <v>6876</v>
      </c>
      <c r="C931" s="50" t="s">
        <v>6877</v>
      </c>
      <c r="D931" s="50" t="s">
        <v>8493</v>
      </c>
      <c r="E931" s="144">
        <v>43893.0</v>
      </c>
      <c r="F931" s="50" t="s">
        <v>21463</v>
      </c>
      <c r="G931" s="50">
        <v>58.0</v>
      </c>
      <c r="H931" s="50">
        <v>2.0</v>
      </c>
      <c r="I931" s="50">
        <v>15.0</v>
      </c>
      <c r="J931" s="116"/>
      <c r="K931" s="50">
        <v>152.0</v>
      </c>
      <c r="L931" s="50" t="s">
        <v>743</v>
      </c>
      <c r="M931" s="50" t="s">
        <v>743</v>
      </c>
      <c r="N931" s="50">
        <v>1.0</v>
      </c>
      <c r="O931" s="50" t="s">
        <v>21433</v>
      </c>
      <c r="P931" s="116"/>
      <c r="Q931" s="116"/>
      <c r="R931" s="50">
        <v>5.0</v>
      </c>
      <c r="S931" s="50" t="s">
        <v>18057</v>
      </c>
      <c r="T931" s="117">
        <v>8442.0</v>
      </c>
      <c r="U931" s="50" t="s">
        <v>21467</v>
      </c>
      <c r="V931" s="50" t="s">
        <v>21468</v>
      </c>
      <c r="W931" s="117">
        <v>932.0</v>
      </c>
    </row>
    <row r="932">
      <c r="A932" s="50" t="s">
        <v>21463</v>
      </c>
      <c r="B932" s="50" t="s">
        <v>6876</v>
      </c>
      <c r="C932" s="50" t="s">
        <v>6877</v>
      </c>
      <c r="D932" s="50" t="s">
        <v>8493</v>
      </c>
      <c r="E932" s="144">
        <v>43893.0</v>
      </c>
      <c r="F932" s="50" t="s">
        <v>21471</v>
      </c>
      <c r="G932" s="50">
        <v>58.0</v>
      </c>
      <c r="H932" s="50">
        <v>2.0</v>
      </c>
      <c r="I932" s="50">
        <v>15.0</v>
      </c>
      <c r="J932" s="116"/>
      <c r="K932" s="50">
        <v>152.0</v>
      </c>
      <c r="L932" s="50" t="s">
        <v>745</v>
      </c>
      <c r="M932" s="50" t="s">
        <v>745</v>
      </c>
      <c r="N932" s="50">
        <v>1.0</v>
      </c>
      <c r="O932" s="50" t="s">
        <v>21433</v>
      </c>
      <c r="P932" s="116"/>
      <c r="Q932" s="116"/>
      <c r="R932" s="50">
        <v>5.0</v>
      </c>
      <c r="S932" s="50" t="s">
        <v>18057</v>
      </c>
      <c r="T932" s="117">
        <v>8443.0</v>
      </c>
      <c r="U932" s="50" t="s">
        <v>21474</v>
      </c>
      <c r="V932" s="50" t="s">
        <v>21475</v>
      </c>
      <c r="W932" s="117">
        <v>933.0</v>
      </c>
    </row>
    <row r="933">
      <c r="A933" s="50" t="s">
        <v>21471</v>
      </c>
      <c r="B933" s="50" t="s">
        <v>6876</v>
      </c>
      <c r="C933" s="50" t="s">
        <v>6877</v>
      </c>
      <c r="D933" s="50" t="s">
        <v>8493</v>
      </c>
      <c r="E933" s="144">
        <v>43893.0</v>
      </c>
      <c r="F933" s="50" t="s">
        <v>21476</v>
      </c>
      <c r="G933" s="50">
        <v>58.0</v>
      </c>
      <c r="H933" s="50">
        <v>2.0</v>
      </c>
      <c r="I933" s="50">
        <v>15.0</v>
      </c>
      <c r="J933" s="116"/>
      <c r="K933" s="50">
        <v>152.0</v>
      </c>
      <c r="L933" s="50" t="s">
        <v>746</v>
      </c>
      <c r="M933" s="50" t="s">
        <v>746</v>
      </c>
      <c r="N933" s="50">
        <v>1.0</v>
      </c>
      <c r="O933" s="50" t="s">
        <v>21433</v>
      </c>
      <c r="P933" s="116"/>
      <c r="Q933" s="116"/>
      <c r="R933" s="50">
        <v>5.0</v>
      </c>
      <c r="S933" s="50" t="s">
        <v>18057</v>
      </c>
      <c r="T933" s="117">
        <v>8444.0</v>
      </c>
      <c r="U933" s="50" t="s">
        <v>21478</v>
      </c>
      <c r="V933" s="50" t="s">
        <v>21479</v>
      </c>
      <c r="W933" s="117">
        <v>934.0</v>
      </c>
    </row>
    <row r="934">
      <c r="A934" s="50" t="s">
        <v>21476</v>
      </c>
      <c r="B934" s="50" t="s">
        <v>6876</v>
      </c>
      <c r="C934" s="50" t="s">
        <v>6877</v>
      </c>
      <c r="D934" s="50" t="s">
        <v>8493</v>
      </c>
      <c r="E934" s="144">
        <v>43893.0</v>
      </c>
      <c r="F934" s="50" t="s">
        <v>21481</v>
      </c>
      <c r="G934" s="50">
        <v>59.0</v>
      </c>
      <c r="H934" s="50">
        <v>1.0</v>
      </c>
      <c r="I934" s="50">
        <v>11.0</v>
      </c>
      <c r="J934" s="116"/>
      <c r="K934" s="116"/>
      <c r="L934" s="50" t="s">
        <v>3226</v>
      </c>
      <c r="M934" s="50" t="s">
        <v>3226</v>
      </c>
      <c r="N934" s="50">
        <v>1.0</v>
      </c>
      <c r="O934" s="50" t="s">
        <v>21433</v>
      </c>
      <c r="P934" s="116"/>
      <c r="Q934" s="116"/>
      <c r="R934" s="50">
        <v>5.0</v>
      </c>
      <c r="S934" s="50" t="s">
        <v>18057</v>
      </c>
      <c r="T934" s="117">
        <v>8445.0</v>
      </c>
      <c r="U934" s="50" t="s">
        <v>21483</v>
      </c>
      <c r="V934" s="50" t="s">
        <v>21484</v>
      </c>
      <c r="W934" s="117">
        <v>935.0</v>
      </c>
    </row>
    <row r="935">
      <c r="A935" s="50" t="s">
        <v>21485</v>
      </c>
      <c r="B935" s="50" t="s">
        <v>6876</v>
      </c>
      <c r="C935" s="50" t="s">
        <v>6877</v>
      </c>
      <c r="D935" s="50" t="s">
        <v>8493</v>
      </c>
      <c r="E935" s="144">
        <v>43893.0</v>
      </c>
      <c r="F935" s="50" t="s">
        <v>21487</v>
      </c>
      <c r="G935" s="50">
        <v>59.0</v>
      </c>
      <c r="H935" s="50">
        <v>1.0</v>
      </c>
      <c r="I935" s="50">
        <v>99.0</v>
      </c>
      <c r="J935" s="116"/>
      <c r="K935" s="116"/>
      <c r="L935" s="50" t="s">
        <v>3235</v>
      </c>
      <c r="M935" s="50" t="s">
        <v>3235</v>
      </c>
      <c r="N935" s="50">
        <v>1.0</v>
      </c>
      <c r="O935" s="50" t="s">
        <v>21433</v>
      </c>
      <c r="P935" s="116"/>
      <c r="Q935" s="50" t="s">
        <v>21492</v>
      </c>
      <c r="R935" s="50">
        <v>5.0</v>
      </c>
      <c r="S935" s="50" t="s">
        <v>18057</v>
      </c>
      <c r="T935" s="117">
        <v>8446.0</v>
      </c>
      <c r="U935" s="50" t="s">
        <v>21495</v>
      </c>
      <c r="V935" s="50" t="s">
        <v>21496</v>
      </c>
      <c r="W935" s="117">
        <v>936.0</v>
      </c>
    </row>
    <row r="936">
      <c r="A936" s="50" t="s">
        <v>21497</v>
      </c>
      <c r="B936" s="50" t="s">
        <v>6876</v>
      </c>
      <c r="C936" s="50" t="s">
        <v>6877</v>
      </c>
      <c r="D936" s="50" t="s">
        <v>8493</v>
      </c>
      <c r="E936" s="144">
        <v>43893.0</v>
      </c>
      <c r="F936" s="50" t="s">
        <v>21498</v>
      </c>
      <c r="G936" s="50">
        <v>59.0</v>
      </c>
      <c r="H936" s="50">
        <v>1.0</v>
      </c>
      <c r="I936" s="50">
        <v>11.0</v>
      </c>
      <c r="J936" s="116"/>
      <c r="K936" s="116"/>
      <c r="L936" s="50" t="s">
        <v>3263</v>
      </c>
      <c r="M936" s="50" t="s">
        <v>3263</v>
      </c>
      <c r="N936" s="50">
        <v>1.0</v>
      </c>
      <c r="O936" s="50" t="s">
        <v>21433</v>
      </c>
      <c r="P936" s="116"/>
      <c r="Q936" s="116"/>
      <c r="R936" s="50">
        <v>5.0</v>
      </c>
      <c r="S936" s="50" t="s">
        <v>18057</v>
      </c>
      <c r="T936" s="117">
        <v>8447.0</v>
      </c>
      <c r="U936" s="50" t="s">
        <v>21499</v>
      </c>
      <c r="V936" s="50" t="s">
        <v>21500</v>
      </c>
      <c r="W936" s="117">
        <v>937.0</v>
      </c>
    </row>
    <row r="937">
      <c r="A937" s="50" t="s">
        <v>21498</v>
      </c>
      <c r="B937" s="50" t="s">
        <v>6876</v>
      </c>
      <c r="C937" s="50" t="s">
        <v>6877</v>
      </c>
      <c r="D937" s="50" t="s">
        <v>8493</v>
      </c>
      <c r="E937" s="144">
        <v>43893.0</v>
      </c>
      <c r="F937" s="50" t="s">
        <v>21503</v>
      </c>
      <c r="G937" s="50">
        <v>33.0</v>
      </c>
      <c r="H937" s="50">
        <v>1.0</v>
      </c>
      <c r="I937" s="50">
        <v>98.0</v>
      </c>
      <c r="J937" s="116"/>
      <c r="K937" s="116"/>
      <c r="L937" s="50" t="s">
        <v>21505</v>
      </c>
      <c r="M937" s="50" t="s">
        <v>21505</v>
      </c>
      <c r="N937" s="50">
        <v>1.0</v>
      </c>
      <c r="O937" s="50" t="s">
        <v>21433</v>
      </c>
      <c r="P937" s="116"/>
      <c r="Q937" s="116"/>
      <c r="R937" s="50">
        <v>5.0</v>
      </c>
      <c r="S937" s="50" t="s">
        <v>18057</v>
      </c>
      <c r="T937" s="117">
        <v>8448.0</v>
      </c>
      <c r="U937" s="50" t="s">
        <v>21506</v>
      </c>
      <c r="V937" s="50" t="s">
        <v>21507</v>
      </c>
      <c r="W937" s="117">
        <v>938.0</v>
      </c>
    </row>
    <row r="938">
      <c r="A938" s="50" t="s">
        <v>21508</v>
      </c>
      <c r="B938" s="50" t="s">
        <v>6876</v>
      </c>
      <c r="C938" s="50" t="s">
        <v>6877</v>
      </c>
      <c r="D938" s="50" t="s">
        <v>8493</v>
      </c>
      <c r="E938" s="144">
        <v>43893.0</v>
      </c>
      <c r="F938" s="50" t="s">
        <v>21509</v>
      </c>
      <c r="G938" s="50">
        <v>59.0</v>
      </c>
      <c r="H938" s="50">
        <v>1.0</v>
      </c>
      <c r="I938" s="50">
        <v>11.0</v>
      </c>
      <c r="J938" s="116"/>
      <c r="K938" s="116"/>
      <c r="L938" s="50" t="s">
        <v>3294</v>
      </c>
      <c r="M938" s="50" t="s">
        <v>3294</v>
      </c>
      <c r="N938" s="50">
        <v>1.0</v>
      </c>
      <c r="O938" s="50" t="s">
        <v>21433</v>
      </c>
      <c r="P938" s="116"/>
      <c r="Q938" s="116"/>
      <c r="R938" s="50">
        <v>5.0</v>
      </c>
      <c r="S938" s="50" t="s">
        <v>18057</v>
      </c>
      <c r="T938" s="117">
        <v>8449.0</v>
      </c>
      <c r="U938" s="50" t="s">
        <v>21513</v>
      </c>
      <c r="V938" s="50" t="s">
        <v>21514</v>
      </c>
      <c r="W938" s="117">
        <v>939.0</v>
      </c>
    </row>
    <row r="939">
      <c r="A939" s="50" t="s">
        <v>21509</v>
      </c>
      <c r="B939" s="50" t="s">
        <v>6876</v>
      </c>
      <c r="C939" s="50" t="s">
        <v>6877</v>
      </c>
      <c r="D939" s="50" t="s">
        <v>8493</v>
      </c>
      <c r="E939" s="144">
        <v>43893.0</v>
      </c>
      <c r="F939" s="50" t="s">
        <v>21515</v>
      </c>
      <c r="G939" s="50">
        <v>59.0</v>
      </c>
      <c r="H939" s="50">
        <v>1.0</v>
      </c>
      <c r="I939" s="50">
        <v>11.0</v>
      </c>
      <c r="J939" s="116"/>
      <c r="K939" s="116"/>
      <c r="L939" s="50" t="s">
        <v>3323</v>
      </c>
      <c r="M939" s="50" t="s">
        <v>3323</v>
      </c>
      <c r="N939" s="50">
        <v>1.0</v>
      </c>
      <c r="O939" s="50" t="s">
        <v>21433</v>
      </c>
      <c r="P939" s="116"/>
      <c r="Q939" s="116"/>
      <c r="R939" s="50">
        <v>5.0</v>
      </c>
      <c r="S939" s="50" t="s">
        <v>18057</v>
      </c>
      <c r="T939" s="117">
        <v>8450.0</v>
      </c>
      <c r="U939" s="50" t="s">
        <v>21521</v>
      </c>
      <c r="V939" s="50" t="s">
        <v>21522</v>
      </c>
      <c r="W939" s="117">
        <v>940.0</v>
      </c>
    </row>
    <row r="940">
      <c r="A940" s="50" t="s">
        <v>21515</v>
      </c>
      <c r="B940" s="50" t="s">
        <v>6876</v>
      </c>
      <c r="C940" s="50" t="s">
        <v>6877</v>
      </c>
      <c r="D940" s="50" t="s">
        <v>8493</v>
      </c>
      <c r="E940" s="144">
        <v>43893.0</v>
      </c>
      <c r="F940" s="50" t="s">
        <v>21525</v>
      </c>
      <c r="G940" s="50">
        <v>59.0</v>
      </c>
      <c r="H940" s="50">
        <v>1.0</v>
      </c>
      <c r="I940" s="50">
        <v>11.0</v>
      </c>
      <c r="J940" s="116"/>
      <c r="K940" s="116"/>
      <c r="L940" s="50" t="s">
        <v>3356</v>
      </c>
      <c r="M940" s="50" t="s">
        <v>3356</v>
      </c>
      <c r="N940" s="50">
        <v>1.0</v>
      </c>
      <c r="O940" s="50" t="s">
        <v>21433</v>
      </c>
      <c r="P940" s="116"/>
      <c r="Q940" s="116"/>
      <c r="R940" s="50">
        <v>5.0</v>
      </c>
      <c r="S940" s="50" t="s">
        <v>18057</v>
      </c>
      <c r="T940" s="117">
        <v>8451.0</v>
      </c>
      <c r="U940" s="50" t="s">
        <v>21526</v>
      </c>
      <c r="V940" s="50" t="s">
        <v>21527</v>
      </c>
      <c r="W940" s="117">
        <v>941.0</v>
      </c>
    </row>
    <row r="941">
      <c r="A941" s="50" t="s">
        <v>21525</v>
      </c>
      <c r="B941" s="50" t="s">
        <v>6876</v>
      </c>
      <c r="C941" s="50" t="s">
        <v>6877</v>
      </c>
      <c r="D941" s="50" t="s">
        <v>8493</v>
      </c>
      <c r="E941" s="144">
        <v>43893.0</v>
      </c>
      <c r="F941" s="50" t="s">
        <v>21528</v>
      </c>
      <c r="G941" s="50">
        <v>59.0</v>
      </c>
      <c r="H941" s="50">
        <v>1.0</v>
      </c>
      <c r="I941" s="50">
        <v>99.0</v>
      </c>
      <c r="J941" s="116"/>
      <c r="K941" s="116"/>
      <c r="L941" s="50" t="s">
        <v>3365</v>
      </c>
      <c r="M941" s="50" t="s">
        <v>3365</v>
      </c>
      <c r="N941" s="50">
        <v>1.0</v>
      </c>
      <c r="O941" s="50" t="s">
        <v>21433</v>
      </c>
      <c r="P941" s="116"/>
      <c r="Q941" s="116"/>
      <c r="R941" s="50">
        <v>5.0</v>
      </c>
      <c r="S941" s="50" t="s">
        <v>18057</v>
      </c>
      <c r="T941" s="117">
        <v>8452.0</v>
      </c>
      <c r="U941" s="50" t="s">
        <v>21532</v>
      </c>
      <c r="V941" s="50" t="s">
        <v>21534</v>
      </c>
      <c r="W941" s="117">
        <v>942.0</v>
      </c>
    </row>
    <row r="942">
      <c r="A942" s="50" t="s">
        <v>21528</v>
      </c>
      <c r="B942" s="50" t="s">
        <v>6876</v>
      </c>
      <c r="C942" s="50" t="s">
        <v>6877</v>
      </c>
      <c r="D942" s="50" t="s">
        <v>8493</v>
      </c>
      <c r="E942" s="144">
        <v>43893.0</v>
      </c>
      <c r="F942" s="50" t="s">
        <v>21536</v>
      </c>
      <c r="G942" s="50">
        <v>59.0</v>
      </c>
      <c r="H942" s="50">
        <v>1.0</v>
      </c>
      <c r="I942" s="50">
        <v>11.0</v>
      </c>
      <c r="J942" s="116"/>
      <c r="K942" s="116"/>
      <c r="L942" s="50" t="s">
        <v>3380</v>
      </c>
      <c r="M942" s="50" t="s">
        <v>3380</v>
      </c>
      <c r="N942" s="50">
        <v>1.0</v>
      </c>
      <c r="O942" s="50" t="s">
        <v>21433</v>
      </c>
      <c r="P942" s="116"/>
      <c r="Q942" s="116"/>
      <c r="R942" s="50">
        <v>5.0</v>
      </c>
      <c r="S942" s="50" t="s">
        <v>18057</v>
      </c>
      <c r="T942" s="117">
        <v>8453.0</v>
      </c>
      <c r="U942" s="50" t="s">
        <v>21537</v>
      </c>
      <c r="V942" s="50" t="s">
        <v>21538</v>
      </c>
      <c r="W942" s="117">
        <v>943.0</v>
      </c>
    </row>
    <row r="943">
      <c r="A943" s="50" t="s">
        <v>21536</v>
      </c>
      <c r="B943" s="50" t="s">
        <v>6876</v>
      </c>
      <c r="C943" s="50" t="s">
        <v>6877</v>
      </c>
      <c r="D943" s="50" t="s">
        <v>8493</v>
      </c>
      <c r="E943" s="144">
        <v>43893.0</v>
      </c>
      <c r="F943" s="50" t="s">
        <v>21539</v>
      </c>
      <c r="G943" s="50">
        <v>59.0</v>
      </c>
      <c r="H943" s="50">
        <v>1.0</v>
      </c>
      <c r="I943" s="50">
        <v>11.0</v>
      </c>
      <c r="J943" s="116"/>
      <c r="K943" s="116"/>
      <c r="L943" s="50" t="s">
        <v>3412</v>
      </c>
      <c r="M943" s="50" t="s">
        <v>3412</v>
      </c>
      <c r="N943" s="50">
        <v>1.0</v>
      </c>
      <c r="O943" s="50" t="s">
        <v>21433</v>
      </c>
      <c r="P943" s="116"/>
      <c r="Q943" s="116"/>
      <c r="R943" s="50">
        <v>5.0</v>
      </c>
      <c r="S943" s="50" t="s">
        <v>18057</v>
      </c>
      <c r="T943" s="117">
        <v>8454.0</v>
      </c>
      <c r="U943" s="50" t="s">
        <v>21544</v>
      </c>
      <c r="V943" s="50" t="s">
        <v>21545</v>
      </c>
      <c r="W943" s="117">
        <v>944.0</v>
      </c>
    </row>
    <row r="944">
      <c r="A944" s="50" t="s">
        <v>21539</v>
      </c>
      <c r="B944" s="50" t="s">
        <v>6876</v>
      </c>
      <c r="C944" s="50" t="s">
        <v>6877</v>
      </c>
      <c r="D944" s="50" t="s">
        <v>8493</v>
      </c>
      <c r="E944" s="144">
        <v>43893.0</v>
      </c>
      <c r="F944" s="50" t="s">
        <v>21548</v>
      </c>
      <c r="G944" s="50">
        <v>57.0</v>
      </c>
      <c r="H944" s="50">
        <v>1.0</v>
      </c>
      <c r="I944" s="50">
        <v>12.0</v>
      </c>
      <c r="J944" s="116"/>
      <c r="K944" s="116"/>
      <c r="L944" s="50" t="s">
        <v>3709</v>
      </c>
      <c r="M944" s="50" t="s">
        <v>3709</v>
      </c>
      <c r="N944" s="50">
        <v>1.0</v>
      </c>
      <c r="O944" s="50" t="s">
        <v>17392</v>
      </c>
      <c r="P944" s="116"/>
      <c r="Q944" s="116"/>
      <c r="R944" s="50">
        <v>5.0</v>
      </c>
      <c r="S944" s="50" t="s">
        <v>18057</v>
      </c>
      <c r="T944" s="117">
        <v>8455.0</v>
      </c>
      <c r="U944" s="50" t="s">
        <v>21550</v>
      </c>
      <c r="V944" s="50" t="s">
        <v>21552</v>
      </c>
      <c r="W944" s="117">
        <v>945.0</v>
      </c>
    </row>
    <row r="945">
      <c r="A945" s="50" t="s">
        <v>21553</v>
      </c>
      <c r="B945" s="50" t="s">
        <v>6876</v>
      </c>
      <c r="C945" s="50" t="s">
        <v>6877</v>
      </c>
      <c r="D945" s="50" t="s">
        <v>8493</v>
      </c>
      <c r="E945" s="144">
        <v>43893.0</v>
      </c>
      <c r="F945" s="50" t="s">
        <v>21555</v>
      </c>
      <c r="G945" s="50">
        <v>57.0</v>
      </c>
      <c r="H945" s="50">
        <v>1.0</v>
      </c>
      <c r="I945" s="50">
        <v>12.0</v>
      </c>
      <c r="J945" s="116"/>
      <c r="K945" s="116"/>
      <c r="L945" s="50" t="s">
        <v>3588</v>
      </c>
      <c r="M945" s="50" t="s">
        <v>3588</v>
      </c>
      <c r="N945" s="50">
        <v>1.0</v>
      </c>
      <c r="O945" s="50" t="s">
        <v>17392</v>
      </c>
      <c r="P945" s="116"/>
      <c r="Q945" s="116"/>
      <c r="R945" s="50">
        <v>5.0</v>
      </c>
      <c r="S945" s="50" t="s">
        <v>18057</v>
      </c>
      <c r="T945" s="117">
        <v>8456.0</v>
      </c>
      <c r="U945" s="50" t="s">
        <v>21559</v>
      </c>
      <c r="V945" s="50" t="s">
        <v>21560</v>
      </c>
      <c r="W945" s="117">
        <v>946.0</v>
      </c>
    </row>
    <row r="946">
      <c r="A946" s="50" t="s">
        <v>21555</v>
      </c>
      <c r="B946" s="50" t="s">
        <v>6876</v>
      </c>
      <c r="C946" s="50" t="s">
        <v>6877</v>
      </c>
      <c r="D946" s="50" t="s">
        <v>8493</v>
      </c>
      <c r="E946" s="144">
        <v>43893.0</v>
      </c>
      <c r="F946" s="50" t="s">
        <v>21562</v>
      </c>
      <c r="G946" s="50">
        <v>57.0</v>
      </c>
      <c r="H946" s="50">
        <v>1.0</v>
      </c>
      <c r="I946" s="50">
        <v>12.0</v>
      </c>
      <c r="J946" s="116"/>
      <c r="K946" s="116"/>
      <c r="L946" s="50" t="s">
        <v>3541</v>
      </c>
      <c r="M946" s="50" t="s">
        <v>3541</v>
      </c>
      <c r="N946" s="50">
        <v>1.0</v>
      </c>
      <c r="O946" s="50" t="s">
        <v>17392</v>
      </c>
      <c r="P946" s="116"/>
      <c r="Q946" s="116"/>
      <c r="R946" s="50">
        <v>5.0</v>
      </c>
      <c r="S946" s="50" t="s">
        <v>18057</v>
      </c>
      <c r="T946" s="117">
        <v>8457.0</v>
      </c>
      <c r="U946" s="50" t="s">
        <v>21563</v>
      </c>
      <c r="V946" s="50" t="s">
        <v>21564</v>
      </c>
      <c r="W946" s="117">
        <v>947.0</v>
      </c>
    </row>
    <row r="947">
      <c r="A947" s="50" t="s">
        <v>21562</v>
      </c>
      <c r="B947" s="50" t="s">
        <v>6876</v>
      </c>
      <c r="C947" s="50" t="s">
        <v>6877</v>
      </c>
      <c r="D947" s="50" t="s">
        <v>8493</v>
      </c>
      <c r="E947" s="144">
        <v>43893.0</v>
      </c>
      <c r="F947" s="50" t="s">
        <v>21565</v>
      </c>
      <c r="G947" s="50">
        <v>57.0</v>
      </c>
      <c r="H947" s="50">
        <v>1.0</v>
      </c>
      <c r="I947" s="50">
        <v>99.0</v>
      </c>
      <c r="J947" s="116"/>
      <c r="K947" s="116"/>
      <c r="L947" s="50" t="s">
        <v>3556</v>
      </c>
      <c r="M947" s="50" t="s">
        <v>3556</v>
      </c>
      <c r="N947" s="50">
        <v>1.0</v>
      </c>
      <c r="O947" s="50" t="s">
        <v>17392</v>
      </c>
      <c r="P947" s="116"/>
      <c r="Q947" s="50" t="s">
        <v>21569</v>
      </c>
      <c r="R947" s="50">
        <v>5.0</v>
      </c>
      <c r="S947" s="50" t="s">
        <v>18057</v>
      </c>
      <c r="T947" s="117">
        <v>8458.0</v>
      </c>
      <c r="U947" s="50" t="s">
        <v>21571</v>
      </c>
      <c r="V947" s="50" t="s">
        <v>21572</v>
      </c>
      <c r="W947" s="117">
        <v>948.0</v>
      </c>
    </row>
    <row r="948">
      <c r="A948" s="50" t="s">
        <v>21565</v>
      </c>
      <c r="B948" s="50" t="s">
        <v>6876</v>
      </c>
      <c r="C948" s="50" t="s">
        <v>6877</v>
      </c>
      <c r="D948" s="50" t="s">
        <v>8493</v>
      </c>
      <c r="E948" s="144">
        <v>43893.0</v>
      </c>
      <c r="F948" s="50" t="s">
        <v>21573</v>
      </c>
      <c r="G948" s="50">
        <v>55.0</v>
      </c>
      <c r="H948" s="50">
        <v>1.0</v>
      </c>
      <c r="I948" s="50">
        <v>12.0</v>
      </c>
      <c r="J948" s="116"/>
      <c r="K948" s="116"/>
      <c r="L948" s="50" t="s">
        <v>3463</v>
      </c>
      <c r="M948" s="50" t="s">
        <v>3463</v>
      </c>
      <c r="N948" s="50">
        <v>1.0</v>
      </c>
      <c r="O948" s="50" t="s">
        <v>17392</v>
      </c>
      <c r="P948" s="116"/>
      <c r="Q948" s="116"/>
      <c r="R948" s="50">
        <v>5.0</v>
      </c>
      <c r="S948" s="50" t="s">
        <v>18057</v>
      </c>
      <c r="T948" s="117">
        <v>8459.0</v>
      </c>
      <c r="U948" s="50" t="s">
        <v>21575</v>
      </c>
      <c r="V948" s="50" t="s">
        <v>21577</v>
      </c>
      <c r="W948" s="117">
        <v>949.0</v>
      </c>
    </row>
    <row r="949">
      <c r="A949" s="50" t="s">
        <v>21573</v>
      </c>
      <c r="B949" s="50" t="s">
        <v>6876</v>
      </c>
      <c r="C949" s="50" t="s">
        <v>6877</v>
      </c>
      <c r="D949" s="50" t="s">
        <v>8493</v>
      </c>
      <c r="E949" s="144">
        <v>43893.0</v>
      </c>
      <c r="F949" s="50" t="s">
        <v>21580</v>
      </c>
      <c r="G949" s="50">
        <v>57.0</v>
      </c>
      <c r="H949" s="50">
        <v>1.0</v>
      </c>
      <c r="I949" s="50">
        <v>16.0</v>
      </c>
      <c r="J949" s="116"/>
      <c r="K949" s="116"/>
      <c r="L949" s="50" t="s">
        <v>3755</v>
      </c>
      <c r="M949" s="50" t="s">
        <v>3755</v>
      </c>
      <c r="N949" s="50">
        <v>1.0</v>
      </c>
      <c r="O949" s="50" t="s">
        <v>17392</v>
      </c>
      <c r="P949" s="116"/>
      <c r="Q949" s="116"/>
      <c r="R949" s="50">
        <v>5.0</v>
      </c>
      <c r="S949" s="50" t="s">
        <v>18057</v>
      </c>
      <c r="T949" s="117">
        <v>8460.0</v>
      </c>
      <c r="U949" s="50" t="s">
        <v>21585</v>
      </c>
      <c r="V949" s="50" t="s">
        <v>21586</v>
      </c>
      <c r="W949" s="117">
        <v>950.0</v>
      </c>
    </row>
    <row r="950">
      <c r="A950" s="50" t="s">
        <v>21580</v>
      </c>
      <c r="B950" s="50" t="s">
        <v>6876</v>
      </c>
      <c r="C950" s="50" t="s">
        <v>6877</v>
      </c>
      <c r="D950" s="50" t="s">
        <v>8493</v>
      </c>
      <c r="E950" s="144">
        <v>43893.0</v>
      </c>
      <c r="F950" s="50" t="s">
        <v>21587</v>
      </c>
      <c r="G950" s="50">
        <v>58.0</v>
      </c>
      <c r="H950" s="50">
        <v>2.0</v>
      </c>
      <c r="I950" s="50">
        <v>2.0</v>
      </c>
      <c r="J950" s="116"/>
      <c r="K950" s="116"/>
      <c r="L950" s="50" t="s">
        <v>350</v>
      </c>
      <c r="M950" s="50" t="s">
        <v>350</v>
      </c>
      <c r="N950" s="50">
        <v>1.0</v>
      </c>
      <c r="O950" s="50" t="s">
        <v>17392</v>
      </c>
      <c r="P950" s="116"/>
      <c r="Q950" s="116"/>
      <c r="R950" s="50">
        <v>5.0</v>
      </c>
      <c r="S950" s="50" t="s">
        <v>18057</v>
      </c>
      <c r="T950" s="117">
        <v>8461.0</v>
      </c>
      <c r="U950" s="50" t="s">
        <v>21589</v>
      </c>
      <c r="V950" s="50" t="s">
        <v>21590</v>
      </c>
      <c r="W950" s="117">
        <v>951.0</v>
      </c>
    </row>
    <row r="951">
      <c r="A951" s="50" t="s">
        <v>21587</v>
      </c>
      <c r="B951" s="50" t="s">
        <v>6876</v>
      </c>
      <c r="C951" s="50" t="s">
        <v>6877</v>
      </c>
      <c r="D951" s="50" t="s">
        <v>8493</v>
      </c>
      <c r="E951" s="144">
        <v>43893.0</v>
      </c>
      <c r="F951" s="50" t="s">
        <v>21591</v>
      </c>
      <c r="G951" s="50">
        <v>58.0</v>
      </c>
      <c r="H951" s="50">
        <v>2.0</v>
      </c>
      <c r="I951" s="50">
        <v>2.0</v>
      </c>
      <c r="J951" s="116"/>
      <c r="K951" s="116"/>
      <c r="L951" s="50" t="s">
        <v>16838</v>
      </c>
      <c r="M951" s="50" t="s">
        <v>16838</v>
      </c>
      <c r="N951" s="50">
        <v>1.0</v>
      </c>
      <c r="O951" s="50" t="s">
        <v>17392</v>
      </c>
      <c r="P951" s="116"/>
      <c r="Q951" s="116"/>
      <c r="R951" s="50">
        <v>5.0</v>
      </c>
      <c r="S951" s="50" t="s">
        <v>18057</v>
      </c>
      <c r="T951" s="117">
        <v>8462.0</v>
      </c>
      <c r="U951" s="50" t="s">
        <v>21593</v>
      </c>
      <c r="V951" s="50" t="s">
        <v>21594</v>
      </c>
      <c r="W951" s="117">
        <v>952.0</v>
      </c>
    </row>
    <row r="952">
      <c r="A952" s="50" t="s">
        <v>21591</v>
      </c>
      <c r="B952" s="50" t="s">
        <v>6876</v>
      </c>
      <c r="C952" s="50" t="s">
        <v>6877</v>
      </c>
      <c r="D952" s="50" t="s">
        <v>8493</v>
      </c>
      <c r="E952" s="144">
        <v>43893.0</v>
      </c>
      <c r="F952" s="50" t="s">
        <v>21597</v>
      </c>
      <c r="G952" s="50">
        <v>58.0</v>
      </c>
      <c r="H952" s="50">
        <v>2.0</v>
      </c>
      <c r="I952" s="50">
        <v>10.0</v>
      </c>
      <c r="J952" s="116"/>
      <c r="K952" s="116"/>
      <c r="L952" s="50" t="s">
        <v>3345</v>
      </c>
      <c r="M952" s="50" t="s">
        <v>3345</v>
      </c>
      <c r="N952" s="50">
        <v>1.0</v>
      </c>
      <c r="O952" s="50" t="s">
        <v>17392</v>
      </c>
      <c r="P952" s="116"/>
      <c r="Q952" s="116"/>
      <c r="R952" s="50">
        <v>5.0</v>
      </c>
      <c r="S952" s="50" t="s">
        <v>18057</v>
      </c>
      <c r="T952" s="117">
        <v>8463.0</v>
      </c>
      <c r="U952" s="50" t="s">
        <v>21599</v>
      </c>
      <c r="V952" s="50" t="s">
        <v>21600</v>
      </c>
      <c r="W952" s="117">
        <v>953.0</v>
      </c>
    </row>
    <row r="953">
      <c r="A953" s="50" t="s">
        <v>21597</v>
      </c>
      <c r="B953" s="50" t="s">
        <v>6876</v>
      </c>
      <c r="C953" s="50" t="s">
        <v>6877</v>
      </c>
      <c r="D953" s="50" t="s">
        <v>8493</v>
      </c>
      <c r="E953" s="144">
        <v>43893.0</v>
      </c>
      <c r="F953" s="50" t="s">
        <v>21601</v>
      </c>
      <c r="G953" s="50">
        <v>33.0</v>
      </c>
      <c r="H953" s="50">
        <v>1.0</v>
      </c>
      <c r="I953" s="50">
        <v>98.0</v>
      </c>
      <c r="J953" s="116"/>
      <c r="K953" s="116"/>
      <c r="L953" s="50" t="s">
        <v>4077</v>
      </c>
      <c r="M953" s="50" t="s">
        <v>4077</v>
      </c>
      <c r="N953" s="50">
        <v>1.0</v>
      </c>
      <c r="O953" s="50" t="s">
        <v>17392</v>
      </c>
      <c r="P953" s="116"/>
      <c r="Q953" s="116"/>
      <c r="R953" s="50">
        <v>5.0</v>
      </c>
      <c r="S953" s="50" t="s">
        <v>18057</v>
      </c>
      <c r="T953" s="117">
        <v>8464.0</v>
      </c>
      <c r="U953" s="50" t="s">
        <v>21603</v>
      </c>
      <c r="V953" s="50" t="s">
        <v>21604</v>
      </c>
      <c r="W953" s="117">
        <v>954.0</v>
      </c>
    </row>
    <row r="954">
      <c r="A954" s="50" t="s">
        <v>21606</v>
      </c>
      <c r="B954" s="50" t="s">
        <v>6876</v>
      </c>
      <c r="C954" s="50" t="s">
        <v>6877</v>
      </c>
      <c r="D954" s="50" t="s">
        <v>8493</v>
      </c>
      <c r="E954" s="144">
        <v>43894.0</v>
      </c>
      <c r="F954" s="50" t="s">
        <v>21609</v>
      </c>
      <c r="G954" s="50">
        <v>29.0</v>
      </c>
      <c r="H954" s="50">
        <v>1.0</v>
      </c>
      <c r="I954" s="50">
        <v>12.0</v>
      </c>
      <c r="J954" s="116"/>
      <c r="K954" s="116"/>
      <c r="L954" s="50" t="s">
        <v>3768</v>
      </c>
      <c r="M954" s="50" t="s">
        <v>3768</v>
      </c>
      <c r="N954" s="50">
        <v>1.0</v>
      </c>
      <c r="O954" s="50" t="s">
        <v>21611</v>
      </c>
      <c r="P954" s="116"/>
      <c r="Q954" s="116"/>
      <c r="R954" s="50">
        <v>5.0</v>
      </c>
      <c r="S954" s="50" t="s">
        <v>18057</v>
      </c>
      <c r="T954" s="117">
        <v>8493.0</v>
      </c>
      <c r="U954" s="50" t="s">
        <v>21612</v>
      </c>
      <c r="V954" s="50" t="s">
        <v>21613</v>
      </c>
      <c r="W954" s="117">
        <v>955.0</v>
      </c>
    </row>
    <row r="955">
      <c r="A955" s="50" t="s">
        <v>21616</v>
      </c>
      <c r="B955" s="50" t="s">
        <v>6876</v>
      </c>
      <c r="C955" s="50" t="s">
        <v>6877</v>
      </c>
      <c r="D955" s="50" t="s">
        <v>8493</v>
      </c>
      <c r="E955" s="144">
        <v>43894.0</v>
      </c>
      <c r="F955" s="50" t="s">
        <v>21617</v>
      </c>
      <c r="G955" s="50">
        <v>3.0</v>
      </c>
      <c r="H955" s="50">
        <v>1.0</v>
      </c>
      <c r="I955" s="50">
        <v>12.0</v>
      </c>
      <c r="J955" s="116"/>
      <c r="K955" s="116"/>
      <c r="L955" s="50" t="s">
        <v>3785</v>
      </c>
      <c r="M955" s="50" t="s">
        <v>3785</v>
      </c>
      <c r="N955" s="50">
        <v>1.0</v>
      </c>
      <c r="O955" s="50" t="s">
        <v>21611</v>
      </c>
      <c r="P955" s="116"/>
      <c r="Q955" s="116"/>
      <c r="R955" s="50">
        <v>5.0</v>
      </c>
      <c r="S955" s="50" t="s">
        <v>18057</v>
      </c>
      <c r="T955" s="117">
        <v>8494.0</v>
      </c>
      <c r="U955" s="50" t="s">
        <v>21619</v>
      </c>
      <c r="V955" s="50" t="s">
        <v>21620</v>
      </c>
      <c r="W955" s="117">
        <v>956.0</v>
      </c>
    </row>
    <row r="956">
      <c r="A956" s="50" t="s">
        <v>21617</v>
      </c>
      <c r="B956" s="50" t="s">
        <v>6876</v>
      </c>
      <c r="C956" s="50" t="s">
        <v>6877</v>
      </c>
      <c r="D956" s="50" t="s">
        <v>8493</v>
      </c>
      <c r="E956" s="144">
        <v>43894.0</v>
      </c>
      <c r="F956" s="50" t="s">
        <v>21621</v>
      </c>
      <c r="G956" s="50">
        <v>3.0</v>
      </c>
      <c r="H956" s="50">
        <v>1.0</v>
      </c>
      <c r="I956" s="50">
        <v>99.0</v>
      </c>
      <c r="J956" s="116"/>
      <c r="K956" s="116"/>
      <c r="L956" s="50" t="s">
        <v>3792</v>
      </c>
      <c r="M956" s="50" t="s">
        <v>3792</v>
      </c>
      <c r="N956" s="50">
        <v>1.0</v>
      </c>
      <c r="O956" s="50" t="s">
        <v>21611</v>
      </c>
      <c r="P956" s="116"/>
      <c r="Q956" s="50" t="s">
        <v>21622</v>
      </c>
      <c r="R956" s="50">
        <v>5.0</v>
      </c>
      <c r="S956" s="50" t="s">
        <v>18057</v>
      </c>
      <c r="T956" s="117">
        <v>8495.0</v>
      </c>
      <c r="U956" s="50" t="s">
        <v>21623</v>
      </c>
      <c r="V956" s="50" t="s">
        <v>21624</v>
      </c>
      <c r="W956" s="117">
        <v>957.0</v>
      </c>
    </row>
    <row r="957">
      <c r="A957" s="50" t="s">
        <v>21621</v>
      </c>
      <c r="B957" s="50" t="s">
        <v>6876</v>
      </c>
      <c r="C957" s="50" t="s">
        <v>6877</v>
      </c>
      <c r="D957" s="50" t="s">
        <v>8493</v>
      </c>
      <c r="E957" s="144">
        <v>43894.0</v>
      </c>
      <c r="F957" s="50" t="s">
        <v>21627</v>
      </c>
      <c r="G957" s="50">
        <v>65.0</v>
      </c>
      <c r="H957" s="50">
        <v>1.0</v>
      </c>
      <c r="I957" s="50">
        <v>16.0</v>
      </c>
      <c r="J957" s="116"/>
      <c r="K957" s="116"/>
      <c r="L957" s="50" t="s">
        <v>3838</v>
      </c>
      <c r="M957" s="50" t="s">
        <v>3838</v>
      </c>
      <c r="N957" s="50">
        <v>1.0</v>
      </c>
      <c r="O957" s="50" t="s">
        <v>21611</v>
      </c>
      <c r="P957" s="116"/>
      <c r="Q957" s="116"/>
      <c r="R957" s="50">
        <v>5.0</v>
      </c>
      <c r="S957" s="50" t="s">
        <v>18057</v>
      </c>
      <c r="T957" s="117">
        <v>8496.0</v>
      </c>
      <c r="U957" s="50" t="s">
        <v>21629</v>
      </c>
      <c r="V957" s="50" t="s">
        <v>21630</v>
      </c>
      <c r="W957" s="117">
        <v>958.0</v>
      </c>
    </row>
    <row r="958">
      <c r="A958" s="50" t="s">
        <v>21627</v>
      </c>
      <c r="B958" s="50" t="s">
        <v>6876</v>
      </c>
      <c r="C958" s="50" t="s">
        <v>6877</v>
      </c>
      <c r="D958" s="50" t="s">
        <v>8493</v>
      </c>
      <c r="E958" s="144">
        <v>43894.0</v>
      </c>
      <c r="F958" s="50" t="s">
        <v>21631</v>
      </c>
      <c r="G958" s="50">
        <v>58.0</v>
      </c>
      <c r="H958" s="50">
        <v>1.0</v>
      </c>
      <c r="I958" s="50">
        <v>7.0</v>
      </c>
      <c r="J958" s="116"/>
      <c r="K958" s="116"/>
      <c r="L958" s="50" t="s">
        <v>3805</v>
      </c>
      <c r="M958" s="50" t="s">
        <v>3805</v>
      </c>
      <c r="N958" s="50">
        <v>1.0</v>
      </c>
      <c r="O958" s="50" t="s">
        <v>21611</v>
      </c>
      <c r="P958" s="116"/>
      <c r="Q958" s="116"/>
      <c r="R958" s="50">
        <v>5.0</v>
      </c>
      <c r="S958" s="50" t="s">
        <v>18057</v>
      </c>
      <c r="T958" s="117">
        <v>8497.0</v>
      </c>
      <c r="U958" s="50" t="s">
        <v>21633</v>
      </c>
      <c r="V958" s="50" t="s">
        <v>21634</v>
      </c>
      <c r="W958" s="117">
        <v>959.0</v>
      </c>
    </row>
    <row r="959">
      <c r="A959" s="50" t="s">
        <v>21631</v>
      </c>
      <c r="B959" s="50" t="s">
        <v>6876</v>
      </c>
      <c r="C959" s="50" t="s">
        <v>6877</v>
      </c>
      <c r="D959" s="50" t="s">
        <v>8493</v>
      </c>
      <c r="E959" s="144">
        <v>43894.0</v>
      </c>
      <c r="F959" s="50" t="s">
        <v>21637</v>
      </c>
      <c r="G959" s="50">
        <v>58.0</v>
      </c>
      <c r="H959" s="50">
        <v>1.0</v>
      </c>
      <c r="I959" s="50">
        <v>7.0</v>
      </c>
      <c r="J959" s="116"/>
      <c r="K959" s="116"/>
      <c r="L959" s="50" t="s">
        <v>3821</v>
      </c>
      <c r="M959" s="50" t="s">
        <v>3821</v>
      </c>
      <c r="N959" s="50">
        <v>1.0</v>
      </c>
      <c r="O959" s="50" t="s">
        <v>21611</v>
      </c>
      <c r="P959" s="116"/>
      <c r="Q959" s="116"/>
      <c r="R959" s="50">
        <v>5.0</v>
      </c>
      <c r="S959" s="50" t="s">
        <v>18057</v>
      </c>
      <c r="T959" s="117">
        <v>8498.0</v>
      </c>
      <c r="U959" s="50" t="s">
        <v>21642</v>
      </c>
      <c r="V959" s="50" t="s">
        <v>21643</v>
      </c>
      <c r="W959" s="117">
        <v>960.0</v>
      </c>
    </row>
    <row r="960">
      <c r="A960" s="50" t="s">
        <v>21645</v>
      </c>
      <c r="B960" s="50" t="s">
        <v>6876</v>
      </c>
      <c r="C960" s="50" t="s">
        <v>6877</v>
      </c>
      <c r="D960" s="50" t="s">
        <v>8493</v>
      </c>
      <c r="E960" s="144">
        <v>43894.0</v>
      </c>
      <c r="F960" s="50" t="s">
        <v>21648</v>
      </c>
      <c r="G960" s="50">
        <v>59.0</v>
      </c>
      <c r="H960" s="50">
        <v>1.0</v>
      </c>
      <c r="I960" s="50">
        <v>11.0</v>
      </c>
      <c r="J960" s="116"/>
      <c r="K960" s="116"/>
      <c r="L960" s="50" t="s">
        <v>3896</v>
      </c>
      <c r="M960" s="50" t="s">
        <v>3896</v>
      </c>
      <c r="N960" s="50">
        <v>1.0</v>
      </c>
      <c r="O960" s="50" t="s">
        <v>21611</v>
      </c>
      <c r="P960" s="116"/>
      <c r="Q960" s="116"/>
      <c r="R960" s="50">
        <v>5.0</v>
      </c>
      <c r="S960" s="50" t="s">
        <v>18057</v>
      </c>
      <c r="T960" s="117">
        <v>8499.0</v>
      </c>
      <c r="U960" s="50" t="s">
        <v>21650</v>
      </c>
      <c r="V960" s="50" t="s">
        <v>21651</v>
      </c>
      <c r="W960" s="117">
        <v>961.0</v>
      </c>
    </row>
    <row r="961">
      <c r="A961" s="50" t="s">
        <v>21653</v>
      </c>
      <c r="B961" s="50" t="s">
        <v>6876</v>
      </c>
      <c r="C961" s="50" t="s">
        <v>6877</v>
      </c>
      <c r="D961" s="50" t="s">
        <v>8493</v>
      </c>
      <c r="E961" s="144">
        <v>43894.0</v>
      </c>
      <c r="F961" s="50" t="s">
        <v>21655</v>
      </c>
      <c r="G961" s="50">
        <v>59.0</v>
      </c>
      <c r="H961" s="50">
        <v>1.0</v>
      </c>
      <c r="I961" s="50">
        <v>11.0</v>
      </c>
      <c r="J961" s="116"/>
      <c r="K961" s="116"/>
      <c r="L961" s="50" t="s">
        <v>3911</v>
      </c>
      <c r="M961" s="50" t="s">
        <v>3911</v>
      </c>
      <c r="N961" s="50">
        <v>1.0</v>
      </c>
      <c r="O961" s="50" t="s">
        <v>21611</v>
      </c>
      <c r="P961" s="116"/>
      <c r="Q961" s="116"/>
      <c r="R961" s="50">
        <v>5.0</v>
      </c>
      <c r="S961" s="50" t="s">
        <v>18057</v>
      </c>
      <c r="T961" s="117">
        <v>8500.0</v>
      </c>
      <c r="U961" s="50" t="s">
        <v>21657</v>
      </c>
      <c r="V961" s="50" t="s">
        <v>21658</v>
      </c>
      <c r="W961" s="117">
        <v>962.0</v>
      </c>
    </row>
    <row r="962">
      <c r="A962" s="50" t="s">
        <v>21655</v>
      </c>
      <c r="B962" s="50" t="s">
        <v>6876</v>
      </c>
      <c r="C962" s="50" t="s">
        <v>6877</v>
      </c>
      <c r="D962" s="50" t="s">
        <v>8493</v>
      </c>
      <c r="E962" s="144">
        <v>43894.0</v>
      </c>
      <c r="F962" s="50" t="s">
        <v>21659</v>
      </c>
      <c r="G962" s="50">
        <v>59.0</v>
      </c>
      <c r="H962" s="50">
        <v>1.0</v>
      </c>
      <c r="I962" s="50">
        <v>11.0</v>
      </c>
      <c r="J962" s="116"/>
      <c r="K962" s="116"/>
      <c r="L962" s="50" t="s">
        <v>3931</v>
      </c>
      <c r="M962" s="50" t="s">
        <v>3931</v>
      </c>
      <c r="N962" s="50">
        <v>1.0</v>
      </c>
      <c r="O962" s="50" t="s">
        <v>21611</v>
      </c>
      <c r="P962" s="116"/>
      <c r="Q962" s="116"/>
      <c r="R962" s="50">
        <v>5.0</v>
      </c>
      <c r="S962" s="50" t="s">
        <v>18057</v>
      </c>
      <c r="T962" s="117">
        <v>8501.0</v>
      </c>
      <c r="U962" s="50" t="s">
        <v>21661</v>
      </c>
      <c r="V962" s="50" t="s">
        <v>21663</v>
      </c>
      <c r="W962" s="117">
        <v>963.0</v>
      </c>
    </row>
    <row r="963">
      <c r="A963" s="50" t="s">
        <v>21659</v>
      </c>
      <c r="B963" s="50" t="s">
        <v>6876</v>
      </c>
      <c r="C963" s="50" t="s">
        <v>6877</v>
      </c>
      <c r="D963" s="50" t="s">
        <v>8493</v>
      </c>
      <c r="E963" s="144">
        <v>43894.0</v>
      </c>
      <c r="F963" s="50" t="s">
        <v>21665</v>
      </c>
      <c r="G963" s="50">
        <v>66.0</v>
      </c>
      <c r="H963" s="50">
        <v>1.0</v>
      </c>
      <c r="I963" s="50">
        <v>12.0</v>
      </c>
      <c r="J963" s="116"/>
      <c r="K963" s="116"/>
      <c r="L963" s="50" t="s">
        <v>3854</v>
      </c>
      <c r="M963" s="50" t="s">
        <v>3854</v>
      </c>
      <c r="N963" s="50">
        <v>1.0</v>
      </c>
      <c r="O963" s="50" t="s">
        <v>21611</v>
      </c>
      <c r="P963" s="116"/>
      <c r="Q963" s="116"/>
      <c r="R963" s="50">
        <v>5.0</v>
      </c>
      <c r="S963" s="50" t="s">
        <v>18057</v>
      </c>
      <c r="T963" s="117">
        <v>8502.0</v>
      </c>
      <c r="U963" s="50" t="s">
        <v>21667</v>
      </c>
      <c r="V963" s="50" t="s">
        <v>21668</v>
      </c>
      <c r="W963" s="117">
        <v>964.0</v>
      </c>
    </row>
    <row r="964">
      <c r="A964" s="50" t="s">
        <v>21665</v>
      </c>
      <c r="B964" s="50" t="s">
        <v>6876</v>
      </c>
      <c r="C964" s="50" t="s">
        <v>6877</v>
      </c>
      <c r="D964" s="50" t="s">
        <v>8493</v>
      </c>
      <c r="E964" s="144">
        <v>43894.0</v>
      </c>
      <c r="F964" s="50" t="s">
        <v>21669</v>
      </c>
      <c r="G964" s="50">
        <v>59.0</v>
      </c>
      <c r="H964" s="50">
        <v>1.0</v>
      </c>
      <c r="I964" s="50">
        <v>12.0</v>
      </c>
      <c r="J964" s="116"/>
      <c r="K964" s="116"/>
      <c r="L964" s="50" t="s">
        <v>3868</v>
      </c>
      <c r="M964" s="50" t="s">
        <v>3868</v>
      </c>
      <c r="N964" s="50">
        <v>1.0</v>
      </c>
      <c r="O964" s="50" t="s">
        <v>21611</v>
      </c>
      <c r="P964" s="116"/>
      <c r="Q964" s="116"/>
      <c r="R964" s="50">
        <v>5.0</v>
      </c>
      <c r="S964" s="50" t="s">
        <v>18057</v>
      </c>
      <c r="T964" s="117">
        <v>8503.0</v>
      </c>
      <c r="U964" s="50" t="s">
        <v>21674</v>
      </c>
      <c r="V964" s="50" t="s">
        <v>21675</v>
      </c>
      <c r="W964" s="117">
        <v>965.0</v>
      </c>
    </row>
    <row r="965">
      <c r="A965" s="50" t="s">
        <v>21669</v>
      </c>
      <c r="B965" s="50" t="s">
        <v>6876</v>
      </c>
      <c r="C965" s="50" t="s">
        <v>6877</v>
      </c>
      <c r="D965" s="50" t="s">
        <v>8493</v>
      </c>
      <c r="E965" s="144">
        <v>43894.0</v>
      </c>
      <c r="F965" s="50" t="s">
        <v>21678</v>
      </c>
      <c r="G965" s="50">
        <v>65.0</v>
      </c>
      <c r="H965" s="50">
        <v>1.0</v>
      </c>
      <c r="I965" s="50">
        <v>12.0</v>
      </c>
      <c r="J965" s="116"/>
      <c r="K965" s="116"/>
      <c r="L965" s="50" t="s">
        <v>3884</v>
      </c>
      <c r="M965" s="50" t="s">
        <v>3884</v>
      </c>
      <c r="N965" s="50">
        <v>1.0</v>
      </c>
      <c r="O965" s="50" t="s">
        <v>21611</v>
      </c>
      <c r="P965" s="116"/>
      <c r="Q965" s="116"/>
      <c r="R965" s="50">
        <v>5.0</v>
      </c>
      <c r="S965" s="50" t="s">
        <v>18057</v>
      </c>
      <c r="T965" s="117">
        <v>8504.0</v>
      </c>
      <c r="U965" s="50" t="s">
        <v>21679</v>
      </c>
      <c r="V965" s="50" t="s">
        <v>21680</v>
      </c>
      <c r="W965" s="117">
        <v>966.0</v>
      </c>
    </row>
    <row r="966">
      <c r="A966" s="50" t="s">
        <v>21678</v>
      </c>
      <c r="B966" s="50" t="s">
        <v>6876</v>
      </c>
      <c r="C966" s="50" t="s">
        <v>6877</v>
      </c>
      <c r="D966" s="50" t="s">
        <v>8493</v>
      </c>
      <c r="E966" s="144">
        <v>43894.0</v>
      </c>
      <c r="F966" s="50" t="s">
        <v>21682</v>
      </c>
      <c r="G966" s="50">
        <v>65.0</v>
      </c>
      <c r="H966" s="50">
        <v>1.0</v>
      </c>
      <c r="I966" s="50">
        <v>99.0</v>
      </c>
      <c r="J966" s="116"/>
      <c r="K966" s="116"/>
      <c r="L966" s="50" t="s">
        <v>3886</v>
      </c>
      <c r="M966" s="50" t="s">
        <v>3886</v>
      </c>
      <c r="N966" s="50">
        <v>1.0</v>
      </c>
      <c r="O966" s="50" t="s">
        <v>21611</v>
      </c>
      <c r="P966" s="116"/>
      <c r="Q966" s="50" t="s">
        <v>21684</v>
      </c>
      <c r="R966" s="50">
        <v>5.0</v>
      </c>
      <c r="S966" s="50" t="s">
        <v>18057</v>
      </c>
      <c r="T966" s="117">
        <v>8505.0</v>
      </c>
      <c r="U966" s="50" t="s">
        <v>21686</v>
      </c>
      <c r="V966" s="50" t="s">
        <v>21687</v>
      </c>
      <c r="W966" s="117">
        <v>967.0</v>
      </c>
    </row>
    <row r="967">
      <c r="A967" s="50" t="s">
        <v>21682</v>
      </c>
      <c r="B967" s="50" t="s">
        <v>6876</v>
      </c>
      <c r="C967" s="50" t="s">
        <v>6877</v>
      </c>
      <c r="D967" s="50" t="s">
        <v>8493</v>
      </c>
      <c r="E967" s="144">
        <v>43894.0</v>
      </c>
      <c r="F967" s="50" t="s">
        <v>21688</v>
      </c>
      <c r="G967" s="50">
        <v>58.0</v>
      </c>
      <c r="H967" s="50">
        <v>2.0</v>
      </c>
      <c r="I967" s="50">
        <v>14.0</v>
      </c>
      <c r="J967" s="50">
        <v>144.0</v>
      </c>
      <c r="K967" s="116"/>
      <c r="L967" s="50" t="s">
        <v>762</v>
      </c>
      <c r="M967" s="50" t="s">
        <v>762</v>
      </c>
      <c r="N967" s="50">
        <v>1.0</v>
      </c>
      <c r="O967" s="50" t="s">
        <v>21611</v>
      </c>
      <c r="P967" s="116"/>
      <c r="Q967" s="116"/>
      <c r="R967" s="50">
        <v>5.0</v>
      </c>
      <c r="S967" s="50" t="s">
        <v>18057</v>
      </c>
      <c r="T967" s="117">
        <v>8506.0</v>
      </c>
      <c r="U967" s="50" t="s">
        <v>21689</v>
      </c>
      <c r="V967" s="50" t="s">
        <v>21690</v>
      </c>
      <c r="W967" s="117">
        <v>968.0</v>
      </c>
    </row>
    <row r="968">
      <c r="A968" s="50" t="s">
        <v>21688</v>
      </c>
      <c r="B968" s="50" t="s">
        <v>6876</v>
      </c>
      <c r="C968" s="50" t="s">
        <v>6877</v>
      </c>
      <c r="D968" s="50" t="s">
        <v>8493</v>
      </c>
      <c r="E968" s="144">
        <v>43894.0</v>
      </c>
      <c r="F968" s="50" t="s">
        <v>21691</v>
      </c>
      <c r="G968" s="50">
        <v>58.0</v>
      </c>
      <c r="H968" s="50">
        <v>2.0</v>
      </c>
      <c r="I968" s="50">
        <v>14.0</v>
      </c>
      <c r="J968" s="50">
        <v>142.0</v>
      </c>
      <c r="K968" s="116"/>
      <c r="L968" s="50" t="s">
        <v>759</v>
      </c>
      <c r="M968" s="50" t="s">
        <v>759</v>
      </c>
      <c r="N968" s="50">
        <v>1.0</v>
      </c>
      <c r="O968" s="50" t="s">
        <v>21611</v>
      </c>
      <c r="P968" s="116"/>
      <c r="Q968" s="116"/>
      <c r="R968" s="50">
        <v>5.0</v>
      </c>
      <c r="S968" s="50" t="s">
        <v>18057</v>
      </c>
      <c r="T968" s="117">
        <v>8507.0</v>
      </c>
      <c r="U968" s="50" t="s">
        <v>21695</v>
      </c>
      <c r="V968" s="50" t="s">
        <v>21696</v>
      </c>
      <c r="W968" s="117">
        <v>969.0</v>
      </c>
    </row>
    <row r="969">
      <c r="A969" s="50" t="s">
        <v>21691</v>
      </c>
      <c r="B969" s="50" t="s">
        <v>6876</v>
      </c>
      <c r="C969" s="50" t="s">
        <v>6877</v>
      </c>
      <c r="D969" s="50" t="s">
        <v>8493</v>
      </c>
      <c r="E969" s="144">
        <v>43894.0</v>
      </c>
      <c r="F969" s="50" t="s">
        <v>21698</v>
      </c>
      <c r="G969" s="50">
        <v>58.0</v>
      </c>
      <c r="H969" s="50">
        <v>2.0</v>
      </c>
      <c r="I969" s="50">
        <v>14.0</v>
      </c>
      <c r="J969" s="50">
        <v>145.0</v>
      </c>
      <c r="K969" s="116"/>
      <c r="L969" s="50" t="s">
        <v>764</v>
      </c>
      <c r="M969" s="50" t="s">
        <v>764</v>
      </c>
      <c r="N969" s="50">
        <v>1.0</v>
      </c>
      <c r="O969" s="50" t="s">
        <v>21611</v>
      </c>
      <c r="P969" s="116"/>
      <c r="Q969" s="116"/>
      <c r="R969" s="50">
        <v>5.0</v>
      </c>
      <c r="S969" s="50" t="s">
        <v>18057</v>
      </c>
      <c r="T969" s="117">
        <v>8508.0</v>
      </c>
      <c r="U969" s="50" t="s">
        <v>21701</v>
      </c>
      <c r="V969" s="50" t="s">
        <v>21702</v>
      </c>
      <c r="W969" s="117">
        <v>970.0</v>
      </c>
    </row>
    <row r="970">
      <c r="A970" s="50" t="s">
        <v>21698</v>
      </c>
      <c r="B970" s="50" t="s">
        <v>6876</v>
      </c>
      <c r="C970" s="50" t="s">
        <v>6877</v>
      </c>
      <c r="D970" s="50" t="s">
        <v>8493</v>
      </c>
      <c r="E970" s="144">
        <v>43894.0</v>
      </c>
      <c r="F970" s="50" t="s">
        <v>21704</v>
      </c>
      <c r="G970" s="50">
        <v>58.0</v>
      </c>
      <c r="H970" s="50">
        <v>2.0</v>
      </c>
      <c r="I970" s="50">
        <v>14.0</v>
      </c>
      <c r="J970" s="50">
        <v>141.0</v>
      </c>
      <c r="K970" s="116"/>
      <c r="L970" s="50" t="s">
        <v>755</v>
      </c>
      <c r="M970" s="50" t="s">
        <v>755</v>
      </c>
      <c r="N970" s="50">
        <v>1.0</v>
      </c>
      <c r="O970" s="50" t="s">
        <v>21611</v>
      </c>
      <c r="P970" s="116"/>
      <c r="Q970" s="116"/>
      <c r="R970" s="50">
        <v>5.0</v>
      </c>
      <c r="S970" s="50" t="s">
        <v>18057</v>
      </c>
      <c r="T970" s="117">
        <v>8509.0</v>
      </c>
      <c r="U970" s="50" t="s">
        <v>21705</v>
      </c>
      <c r="V970" s="50" t="s">
        <v>21707</v>
      </c>
      <c r="W970" s="117">
        <v>971.0</v>
      </c>
    </row>
    <row r="971">
      <c r="A971" s="50" t="s">
        <v>21704</v>
      </c>
      <c r="B971" s="50" t="s">
        <v>6876</v>
      </c>
      <c r="C971" s="50" t="s">
        <v>6877</v>
      </c>
      <c r="D971" s="50" t="s">
        <v>8493</v>
      </c>
      <c r="E971" s="144">
        <v>43894.0</v>
      </c>
      <c r="F971" s="50" t="s">
        <v>21709</v>
      </c>
      <c r="G971" s="50">
        <v>58.0</v>
      </c>
      <c r="H971" s="50">
        <v>2.0</v>
      </c>
      <c r="I971" s="50">
        <v>14.0</v>
      </c>
      <c r="J971" s="50">
        <v>143.0</v>
      </c>
      <c r="K971" s="116"/>
      <c r="L971" s="50" t="s">
        <v>757</v>
      </c>
      <c r="M971" s="50" t="s">
        <v>757</v>
      </c>
      <c r="N971" s="50">
        <v>1.0</v>
      </c>
      <c r="O971" s="50" t="s">
        <v>21611</v>
      </c>
      <c r="P971" s="116"/>
      <c r="Q971" s="116"/>
      <c r="R971" s="50">
        <v>5.0</v>
      </c>
      <c r="S971" s="50" t="s">
        <v>18057</v>
      </c>
      <c r="T971" s="117">
        <v>8510.0</v>
      </c>
      <c r="U971" s="50" t="s">
        <v>21711</v>
      </c>
      <c r="V971" s="50" t="s">
        <v>21712</v>
      </c>
      <c r="W971" s="117">
        <v>972.0</v>
      </c>
    </row>
    <row r="972">
      <c r="A972" s="50" t="s">
        <v>21709</v>
      </c>
      <c r="B972" s="50" t="s">
        <v>6876</v>
      </c>
      <c r="C972" s="50" t="s">
        <v>6877</v>
      </c>
      <c r="D972" s="50" t="s">
        <v>8493</v>
      </c>
      <c r="E972" s="144">
        <v>43894.0</v>
      </c>
      <c r="F972" s="50" t="s">
        <v>21713</v>
      </c>
      <c r="G972" s="50">
        <v>58.0</v>
      </c>
      <c r="H972" s="50">
        <v>2.0</v>
      </c>
      <c r="I972" s="50">
        <v>14.0</v>
      </c>
      <c r="J972" s="50">
        <v>144.0</v>
      </c>
      <c r="K972" s="116"/>
      <c r="L972" s="50" t="s">
        <v>776</v>
      </c>
      <c r="M972" s="50" t="s">
        <v>776</v>
      </c>
      <c r="N972" s="50">
        <v>1.0</v>
      </c>
      <c r="O972" s="50" t="s">
        <v>21611</v>
      </c>
      <c r="P972" s="116"/>
      <c r="Q972" s="116"/>
      <c r="R972" s="50">
        <v>5.0</v>
      </c>
      <c r="S972" s="50" t="s">
        <v>18057</v>
      </c>
      <c r="T972" s="117">
        <v>8511.0</v>
      </c>
      <c r="U972" s="50" t="s">
        <v>21714</v>
      </c>
      <c r="V972" s="50" t="s">
        <v>21715</v>
      </c>
      <c r="W972" s="117">
        <v>973.0</v>
      </c>
    </row>
    <row r="973">
      <c r="A973" s="50" t="s">
        <v>21713</v>
      </c>
      <c r="B973" s="50" t="s">
        <v>6876</v>
      </c>
      <c r="C973" s="50" t="s">
        <v>6877</v>
      </c>
      <c r="D973" s="50" t="s">
        <v>8493</v>
      </c>
      <c r="E973" s="144">
        <v>43894.0</v>
      </c>
      <c r="F973" s="50" t="s">
        <v>21718</v>
      </c>
      <c r="G973" s="50">
        <v>58.0</v>
      </c>
      <c r="H973" s="50">
        <v>2.0</v>
      </c>
      <c r="I973" s="50">
        <v>14.0</v>
      </c>
      <c r="J973" s="50">
        <v>142.0</v>
      </c>
      <c r="K973" s="116"/>
      <c r="L973" s="50" t="s">
        <v>778</v>
      </c>
      <c r="M973" s="50" t="s">
        <v>778</v>
      </c>
      <c r="N973" s="50">
        <v>1.0</v>
      </c>
      <c r="O973" s="50" t="s">
        <v>21611</v>
      </c>
      <c r="P973" s="116"/>
      <c r="Q973" s="116"/>
      <c r="R973" s="50">
        <v>5.0</v>
      </c>
      <c r="S973" s="50" t="s">
        <v>18057</v>
      </c>
      <c r="T973" s="117">
        <v>8512.0</v>
      </c>
      <c r="U973" s="50" t="s">
        <v>21720</v>
      </c>
      <c r="V973" s="50" t="s">
        <v>21721</v>
      </c>
      <c r="W973" s="117">
        <v>974.0</v>
      </c>
    </row>
    <row r="974">
      <c r="A974" s="50" t="s">
        <v>21718</v>
      </c>
      <c r="B974" s="50" t="s">
        <v>6876</v>
      </c>
      <c r="C974" s="50" t="s">
        <v>6877</v>
      </c>
      <c r="D974" s="50" t="s">
        <v>8493</v>
      </c>
      <c r="E974" s="144">
        <v>43894.0</v>
      </c>
      <c r="F974" s="50" t="s">
        <v>21722</v>
      </c>
      <c r="G974" s="50">
        <v>58.0</v>
      </c>
      <c r="H974" s="50">
        <v>2.0</v>
      </c>
      <c r="I974" s="50">
        <v>14.0</v>
      </c>
      <c r="J974" s="50">
        <v>145.0</v>
      </c>
      <c r="K974" s="116"/>
      <c r="L974" s="50" t="s">
        <v>780</v>
      </c>
      <c r="M974" s="50" t="s">
        <v>780</v>
      </c>
      <c r="N974" s="50">
        <v>1.0</v>
      </c>
      <c r="O974" s="50" t="s">
        <v>21611</v>
      </c>
      <c r="P974" s="116"/>
      <c r="Q974" s="116"/>
      <c r="R974" s="50">
        <v>5.0</v>
      </c>
      <c r="S974" s="50" t="s">
        <v>18057</v>
      </c>
      <c r="T974" s="117">
        <v>8513.0</v>
      </c>
      <c r="U974" s="50" t="s">
        <v>21723</v>
      </c>
      <c r="V974" s="50" t="s">
        <v>21724</v>
      </c>
      <c r="W974" s="117">
        <v>975.0</v>
      </c>
    </row>
    <row r="975">
      <c r="A975" s="50" t="s">
        <v>21722</v>
      </c>
      <c r="B975" s="50" t="s">
        <v>6876</v>
      </c>
      <c r="C975" s="50" t="s">
        <v>6877</v>
      </c>
      <c r="D975" s="50" t="s">
        <v>8493</v>
      </c>
      <c r="E975" s="144">
        <v>43894.0</v>
      </c>
      <c r="F975" s="50" t="s">
        <v>21727</v>
      </c>
      <c r="G975" s="50">
        <v>58.0</v>
      </c>
      <c r="H975" s="50">
        <v>2.0</v>
      </c>
      <c r="I975" s="50">
        <v>14.0</v>
      </c>
      <c r="J975" s="50">
        <v>141.0</v>
      </c>
      <c r="K975" s="116"/>
      <c r="L975" s="50" t="s">
        <v>769</v>
      </c>
      <c r="M975" s="50" t="s">
        <v>769</v>
      </c>
      <c r="N975" s="50">
        <v>1.0</v>
      </c>
      <c r="O975" s="50" t="s">
        <v>21611</v>
      </c>
      <c r="P975" s="116"/>
      <c r="Q975" s="116"/>
      <c r="R975" s="50">
        <v>5.0</v>
      </c>
      <c r="S975" s="50" t="s">
        <v>18057</v>
      </c>
      <c r="T975" s="117">
        <v>8514.0</v>
      </c>
      <c r="U975" s="50" t="s">
        <v>21732</v>
      </c>
      <c r="V975" s="50" t="s">
        <v>21733</v>
      </c>
      <c r="W975" s="117">
        <v>976.0</v>
      </c>
    </row>
    <row r="976">
      <c r="A976" s="50" t="s">
        <v>21727</v>
      </c>
      <c r="B976" s="50" t="s">
        <v>6876</v>
      </c>
      <c r="C976" s="50" t="s">
        <v>6877</v>
      </c>
      <c r="D976" s="50" t="s">
        <v>8493</v>
      </c>
      <c r="E976" s="144">
        <v>43894.0</v>
      </c>
      <c r="F976" s="50" t="s">
        <v>21734</v>
      </c>
      <c r="G976" s="50">
        <v>58.0</v>
      </c>
      <c r="H976" s="50">
        <v>2.0</v>
      </c>
      <c r="I976" s="50">
        <v>14.0</v>
      </c>
      <c r="J976" s="50">
        <v>143.0</v>
      </c>
      <c r="K976" s="116"/>
      <c r="L976" s="50" t="s">
        <v>772</v>
      </c>
      <c r="M976" s="50" t="s">
        <v>772</v>
      </c>
      <c r="N976" s="50">
        <v>1.0</v>
      </c>
      <c r="O976" s="50" t="s">
        <v>21611</v>
      </c>
      <c r="P976" s="116"/>
      <c r="Q976" s="116"/>
      <c r="R976" s="50">
        <v>5.0</v>
      </c>
      <c r="S976" s="50" t="s">
        <v>18057</v>
      </c>
      <c r="T976" s="117">
        <v>8515.0</v>
      </c>
      <c r="U976" s="50" t="s">
        <v>21735</v>
      </c>
      <c r="V976" s="50" t="s">
        <v>21736</v>
      </c>
      <c r="W976" s="117">
        <v>977.0</v>
      </c>
    </row>
    <row r="977">
      <c r="A977" s="50" t="s">
        <v>21734</v>
      </c>
      <c r="B977" s="50" t="s">
        <v>6876</v>
      </c>
      <c r="C977" s="50" t="s">
        <v>6877</v>
      </c>
      <c r="D977" s="50" t="s">
        <v>8493</v>
      </c>
      <c r="E977" s="144">
        <v>43894.0</v>
      </c>
      <c r="F977" s="50" t="s">
        <v>21738</v>
      </c>
      <c r="G977" s="50">
        <v>58.0</v>
      </c>
      <c r="H977" s="50">
        <v>2.0</v>
      </c>
      <c r="I977" s="50">
        <v>15.0</v>
      </c>
      <c r="J977" s="116"/>
      <c r="K977" s="50">
        <v>151.0</v>
      </c>
      <c r="L977" s="50" t="s">
        <v>785</v>
      </c>
      <c r="M977" s="50" t="s">
        <v>785</v>
      </c>
      <c r="N977" s="50">
        <v>1.0</v>
      </c>
      <c r="O977" s="50" t="s">
        <v>21611</v>
      </c>
      <c r="P977" s="116"/>
      <c r="Q977" s="116"/>
      <c r="R977" s="50">
        <v>5.0</v>
      </c>
      <c r="S977" s="50" t="s">
        <v>18057</v>
      </c>
      <c r="T977" s="117">
        <v>8516.0</v>
      </c>
      <c r="U977" s="50" t="s">
        <v>21742</v>
      </c>
      <c r="V977" s="50" t="s">
        <v>21743</v>
      </c>
      <c r="W977" s="117">
        <v>978.0</v>
      </c>
    </row>
    <row r="978">
      <c r="A978" s="50" t="s">
        <v>21738</v>
      </c>
      <c r="B978" s="50" t="s">
        <v>6876</v>
      </c>
      <c r="C978" s="50" t="s">
        <v>6877</v>
      </c>
      <c r="D978" s="50" t="s">
        <v>8493</v>
      </c>
      <c r="E978" s="144">
        <v>43894.0</v>
      </c>
      <c r="F978" s="50" t="s">
        <v>21745</v>
      </c>
      <c r="G978" s="50">
        <v>58.0</v>
      </c>
      <c r="H978" s="50">
        <v>2.0</v>
      </c>
      <c r="I978" s="50">
        <v>15.0</v>
      </c>
      <c r="J978" s="116"/>
      <c r="K978" s="50">
        <v>152.0</v>
      </c>
      <c r="L978" s="50" t="s">
        <v>750</v>
      </c>
      <c r="M978" s="50" t="s">
        <v>750</v>
      </c>
      <c r="N978" s="50">
        <v>1.0</v>
      </c>
      <c r="O978" s="50" t="s">
        <v>21611</v>
      </c>
      <c r="P978" s="116"/>
      <c r="Q978" s="116"/>
      <c r="R978" s="50">
        <v>5.0</v>
      </c>
      <c r="S978" s="50" t="s">
        <v>18057</v>
      </c>
      <c r="T978" s="117">
        <v>8517.0</v>
      </c>
      <c r="U978" s="50" t="s">
        <v>21746</v>
      </c>
      <c r="V978" s="50" t="s">
        <v>21747</v>
      </c>
      <c r="W978" s="117">
        <v>979.0</v>
      </c>
    </row>
    <row r="979">
      <c r="A979" s="50" t="s">
        <v>21748</v>
      </c>
      <c r="B979" s="50" t="s">
        <v>6876</v>
      </c>
      <c r="C979" s="50" t="s">
        <v>6877</v>
      </c>
      <c r="D979" s="50" t="s">
        <v>8493</v>
      </c>
      <c r="E979" s="144">
        <v>43894.0</v>
      </c>
      <c r="F979" s="50" t="s">
        <v>21750</v>
      </c>
      <c r="G979" s="50">
        <v>33.0</v>
      </c>
      <c r="H979" s="50">
        <v>1.0</v>
      </c>
      <c r="I979" s="50">
        <v>98.0</v>
      </c>
      <c r="J979" s="116"/>
      <c r="K979" s="116"/>
      <c r="L979" s="50" t="s">
        <v>4079</v>
      </c>
      <c r="M979" s="50" t="s">
        <v>4079</v>
      </c>
      <c r="N979" s="50">
        <v>1.0</v>
      </c>
      <c r="O979" s="50" t="s">
        <v>21611</v>
      </c>
      <c r="P979" s="116"/>
      <c r="Q979" s="116"/>
      <c r="R979" s="50">
        <v>5.0</v>
      </c>
      <c r="S979" s="50" t="s">
        <v>18057</v>
      </c>
      <c r="T979" s="117">
        <v>8518.0</v>
      </c>
      <c r="U979" s="50" t="s">
        <v>21755</v>
      </c>
      <c r="V979" s="50" t="s">
        <v>21756</v>
      </c>
      <c r="W979" s="117">
        <v>980.0</v>
      </c>
    </row>
    <row r="980">
      <c r="A980" s="50" t="s">
        <v>21750</v>
      </c>
      <c r="B980" s="50" t="s">
        <v>6876</v>
      </c>
      <c r="C980" s="50" t="s">
        <v>6877</v>
      </c>
      <c r="D980" s="50" t="s">
        <v>8493</v>
      </c>
      <c r="E980" s="144">
        <v>43894.0</v>
      </c>
      <c r="F980" s="50" t="s">
        <v>21759</v>
      </c>
      <c r="G980" s="50">
        <v>59.0</v>
      </c>
      <c r="H980" s="50">
        <v>1.0</v>
      </c>
      <c r="I980" s="50">
        <v>11.0</v>
      </c>
      <c r="J980" s="116"/>
      <c r="K980" s="116"/>
      <c r="L980" s="50" t="s">
        <v>4000</v>
      </c>
      <c r="M980" s="50" t="s">
        <v>4000</v>
      </c>
      <c r="N980" s="50">
        <v>1.0</v>
      </c>
      <c r="O980" s="50" t="s">
        <v>21611</v>
      </c>
      <c r="P980" s="116"/>
      <c r="Q980" s="116"/>
      <c r="R980" s="50">
        <v>5.0</v>
      </c>
      <c r="S980" s="50" t="s">
        <v>18057</v>
      </c>
      <c r="T980" s="117">
        <v>8519.0</v>
      </c>
      <c r="U980" s="50" t="s">
        <v>21760</v>
      </c>
      <c r="V980" s="50" t="s">
        <v>21761</v>
      </c>
      <c r="W980" s="117">
        <v>981.0</v>
      </c>
    </row>
    <row r="981">
      <c r="A981" s="50" t="s">
        <v>21759</v>
      </c>
      <c r="B981" s="50" t="s">
        <v>6876</v>
      </c>
      <c r="C981" s="50" t="s">
        <v>6877</v>
      </c>
      <c r="D981" s="50" t="s">
        <v>8493</v>
      </c>
      <c r="E981" s="144">
        <v>43894.0</v>
      </c>
      <c r="F981" s="50" t="s">
        <v>21762</v>
      </c>
      <c r="G981" s="50">
        <v>59.0</v>
      </c>
      <c r="H981" s="50">
        <v>1.0</v>
      </c>
      <c r="I981" s="50">
        <v>11.0</v>
      </c>
      <c r="J981" s="116"/>
      <c r="K981" s="116"/>
      <c r="L981" s="50" t="s">
        <v>4009</v>
      </c>
      <c r="M981" s="50" t="s">
        <v>4009</v>
      </c>
      <c r="N981" s="50">
        <v>1.0</v>
      </c>
      <c r="O981" s="50" t="s">
        <v>21611</v>
      </c>
      <c r="P981" s="116"/>
      <c r="Q981" s="116"/>
      <c r="R981" s="50">
        <v>5.0</v>
      </c>
      <c r="S981" s="50" t="s">
        <v>18057</v>
      </c>
      <c r="T981" s="117">
        <v>8520.0</v>
      </c>
      <c r="U981" s="50" t="s">
        <v>21765</v>
      </c>
      <c r="V981" s="50" t="s">
        <v>21766</v>
      </c>
      <c r="W981" s="117">
        <v>982.0</v>
      </c>
    </row>
    <row r="982">
      <c r="A982" s="50" t="s">
        <v>21762</v>
      </c>
      <c r="B982" s="50" t="s">
        <v>6876</v>
      </c>
      <c r="C982" s="50" t="s">
        <v>6877</v>
      </c>
      <c r="D982" s="50" t="s">
        <v>8493</v>
      </c>
      <c r="E982" s="144">
        <v>43894.0</v>
      </c>
      <c r="F982" s="50" t="s">
        <v>21767</v>
      </c>
      <c r="G982" s="50">
        <v>59.0</v>
      </c>
      <c r="H982" s="50">
        <v>1.0</v>
      </c>
      <c r="I982" s="50">
        <v>11.0</v>
      </c>
      <c r="J982" s="116"/>
      <c r="K982" s="116"/>
      <c r="L982" s="50" t="s">
        <v>4022</v>
      </c>
      <c r="M982" s="50" t="s">
        <v>4022</v>
      </c>
      <c r="N982" s="50">
        <v>1.0</v>
      </c>
      <c r="O982" s="50" t="s">
        <v>21611</v>
      </c>
      <c r="P982" s="116"/>
      <c r="Q982" s="116"/>
      <c r="R982" s="50">
        <v>5.0</v>
      </c>
      <c r="S982" s="50" t="s">
        <v>18057</v>
      </c>
      <c r="T982" s="117">
        <v>8521.0</v>
      </c>
      <c r="U982" s="50" t="s">
        <v>21769</v>
      </c>
      <c r="V982" s="50" t="s">
        <v>21770</v>
      </c>
      <c r="W982" s="117">
        <v>983.0</v>
      </c>
    </row>
    <row r="983">
      <c r="A983" s="50" t="s">
        <v>21767</v>
      </c>
      <c r="B983" s="50" t="s">
        <v>6876</v>
      </c>
      <c r="C983" s="50" t="s">
        <v>6877</v>
      </c>
      <c r="D983" s="50" t="s">
        <v>8493</v>
      </c>
      <c r="E983" s="144">
        <v>43894.0</v>
      </c>
      <c r="F983" s="50" t="s">
        <v>21771</v>
      </c>
      <c r="G983" s="50">
        <v>59.0</v>
      </c>
      <c r="H983" s="50">
        <v>1.0</v>
      </c>
      <c r="I983" s="50">
        <v>11.0</v>
      </c>
      <c r="J983" s="116"/>
      <c r="K983" s="116"/>
      <c r="L983" s="50" t="s">
        <v>4035</v>
      </c>
      <c r="M983" s="50" t="s">
        <v>4035</v>
      </c>
      <c r="N983" s="50">
        <v>1.0</v>
      </c>
      <c r="O983" s="50" t="s">
        <v>21611</v>
      </c>
      <c r="P983" s="116"/>
      <c r="Q983" s="116"/>
      <c r="R983" s="50">
        <v>5.0</v>
      </c>
      <c r="S983" s="50" t="s">
        <v>18057</v>
      </c>
      <c r="T983" s="117">
        <v>8522.0</v>
      </c>
      <c r="U983" s="50" t="s">
        <v>21773</v>
      </c>
      <c r="V983" s="50" t="s">
        <v>21775</v>
      </c>
      <c r="W983" s="117">
        <v>984.0</v>
      </c>
    </row>
    <row r="984">
      <c r="A984" s="50" t="s">
        <v>21771</v>
      </c>
      <c r="B984" s="50" t="s">
        <v>6876</v>
      </c>
      <c r="C984" s="50" t="s">
        <v>6877</v>
      </c>
      <c r="D984" s="50" t="s">
        <v>8493</v>
      </c>
      <c r="E984" s="144">
        <v>43894.0</v>
      </c>
      <c r="F984" s="50" t="s">
        <v>21777</v>
      </c>
      <c r="G984" s="50">
        <v>59.0</v>
      </c>
      <c r="H984" s="50">
        <v>1.0</v>
      </c>
      <c r="I984" s="50">
        <v>11.0</v>
      </c>
      <c r="J984" s="116"/>
      <c r="K984" s="116"/>
      <c r="L984" s="50" t="s">
        <v>4050</v>
      </c>
      <c r="M984" s="50" t="s">
        <v>4050</v>
      </c>
      <c r="N984" s="50">
        <v>1.0</v>
      </c>
      <c r="O984" s="50" t="s">
        <v>21780</v>
      </c>
      <c r="P984" s="116"/>
      <c r="Q984" s="116"/>
      <c r="R984" s="50">
        <v>5.0</v>
      </c>
      <c r="S984" s="50" t="s">
        <v>18057</v>
      </c>
      <c r="T984" s="117">
        <v>8523.0</v>
      </c>
      <c r="U984" s="50" t="s">
        <v>21782</v>
      </c>
      <c r="V984" s="50" t="s">
        <v>21783</v>
      </c>
      <c r="W984" s="117">
        <v>985.0</v>
      </c>
    </row>
    <row r="985">
      <c r="A985" s="50" t="s">
        <v>21777</v>
      </c>
      <c r="B985" s="50" t="s">
        <v>6876</v>
      </c>
      <c r="C985" s="50" t="s">
        <v>6877</v>
      </c>
      <c r="D985" s="50" t="s">
        <v>8493</v>
      </c>
      <c r="E985" s="144">
        <v>43894.0</v>
      </c>
      <c r="F985" s="50" t="s">
        <v>21785</v>
      </c>
      <c r="G985" s="50">
        <v>59.0</v>
      </c>
      <c r="H985" s="50">
        <v>1.0</v>
      </c>
      <c r="I985" s="50">
        <v>99.0</v>
      </c>
      <c r="J985" s="116"/>
      <c r="K985" s="116"/>
      <c r="L985" s="50" t="s">
        <v>4056</v>
      </c>
      <c r="M985" s="50" t="s">
        <v>4056</v>
      </c>
      <c r="N985" s="50">
        <v>1.0</v>
      </c>
      <c r="O985" s="50" t="s">
        <v>21780</v>
      </c>
      <c r="P985" s="116"/>
      <c r="Q985" s="116"/>
      <c r="R985" s="50">
        <v>5.0</v>
      </c>
      <c r="S985" s="50" t="s">
        <v>18057</v>
      </c>
      <c r="T985" s="117">
        <v>8524.0</v>
      </c>
      <c r="U985" s="50" t="s">
        <v>21788</v>
      </c>
      <c r="V985" s="50" t="s">
        <v>21790</v>
      </c>
      <c r="W985" s="117">
        <v>986.0</v>
      </c>
    </row>
    <row r="986">
      <c r="A986" s="50" t="s">
        <v>21785</v>
      </c>
      <c r="B986" s="50" t="s">
        <v>6876</v>
      </c>
      <c r="C986" s="50" t="s">
        <v>6877</v>
      </c>
      <c r="D986" s="50" t="s">
        <v>8493</v>
      </c>
      <c r="E986" s="144">
        <v>43894.0</v>
      </c>
      <c r="F986" s="50" t="s">
        <v>21791</v>
      </c>
      <c r="G986" s="50">
        <v>58.0</v>
      </c>
      <c r="H986" s="50">
        <v>2.0</v>
      </c>
      <c r="I986" s="50">
        <v>5.0</v>
      </c>
      <c r="J986" s="116"/>
      <c r="K986" s="116"/>
      <c r="L986" s="50" t="s">
        <v>3362</v>
      </c>
      <c r="M986" s="50" t="s">
        <v>3362</v>
      </c>
      <c r="N986" s="50">
        <v>1.0</v>
      </c>
      <c r="O986" s="50" t="s">
        <v>21780</v>
      </c>
      <c r="P986" s="116"/>
      <c r="Q986" s="116"/>
      <c r="R986" s="50">
        <v>5.0</v>
      </c>
      <c r="S986" s="50" t="s">
        <v>18057</v>
      </c>
      <c r="T986" s="117">
        <v>8525.0</v>
      </c>
      <c r="U986" s="50" t="s">
        <v>21792</v>
      </c>
      <c r="V986" s="50" t="s">
        <v>21793</v>
      </c>
      <c r="W986" s="117">
        <v>987.0</v>
      </c>
    </row>
    <row r="987">
      <c r="A987" s="50" t="s">
        <v>21791</v>
      </c>
      <c r="B987" s="50" t="s">
        <v>6876</v>
      </c>
      <c r="C987" s="50" t="s">
        <v>6877</v>
      </c>
      <c r="D987" s="50" t="s">
        <v>8493</v>
      </c>
      <c r="E987" s="144">
        <v>43894.0</v>
      </c>
      <c r="F987" s="50" t="s">
        <v>21794</v>
      </c>
      <c r="G987" s="50">
        <v>58.0</v>
      </c>
      <c r="H987" s="50">
        <v>2.0</v>
      </c>
      <c r="I987" s="50">
        <v>8.0</v>
      </c>
      <c r="J987" s="116"/>
      <c r="K987" s="116"/>
      <c r="L987" s="50" t="s">
        <v>2384</v>
      </c>
      <c r="M987" s="50" t="s">
        <v>2384</v>
      </c>
      <c r="N987" s="50">
        <v>1.0</v>
      </c>
      <c r="O987" s="50" t="s">
        <v>21780</v>
      </c>
      <c r="P987" s="116"/>
      <c r="Q987" s="116"/>
      <c r="R987" s="50">
        <v>5.0</v>
      </c>
      <c r="S987" s="50" t="s">
        <v>18057</v>
      </c>
      <c r="T987" s="117">
        <v>8526.0</v>
      </c>
      <c r="U987" s="50" t="s">
        <v>21797</v>
      </c>
      <c r="V987" s="50" t="s">
        <v>21798</v>
      </c>
      <c r="W987" s="117">
        <v>988.0</v>
      </c>
    </row>
    <row r="988">
      <c r="A988" s="50" t="s">
        <v>21794</v>
      </c>
      <c r="B988" s="50" t="s">
        <v>6876</v>
      </c>
      <c r="C988" s="50" t="s">
        <v>6877</v>
      </c>
      <c r="D988" s="50" t="s">
        <v>8493</v>
      </c>
      <c r="E988" s="144">
        <v>43894.0</v>
      </c>
      <c r="F988" s="50" t="s">
        <v>21800</v>
      </c>
      <c r="G988" s="50">
        <v>58.0</v>
      </c>
      <c r="H988" s="50">
        <v>1.0</v>
      </c>
      <c r="I988" s="50">
        <v>12.0</v>
      </c>
      <c r="J988" s="116"/>
      <c r="K988" s="116"/>
      <c r="L988" s="50" t="s">
        <v>4085</v>
      </c>
      <c r="M988" s="50" t="s">
        <v>4085</v>
      </c>
      <c r="N988" s="50">
        <v>1.0</v>
      </c>
      <c r="O988" s="50" t="s">
        <v>21780</v>
      </c>
      <c r="P988" s="116"/>
      <c r="Q988" s="116"/>
      <c r="R988" s="50">
        <v>5.0</v>
      </c>
      <c r="S988" s="50" t="s">
        <v>18057</v>
      </c>
      <c r="T988" s="117">
        <v>8527.0</v>
      </c>
      <c r="U988" s="50" t="s">
        <v>21801</v>
      </c>
      <c r="V988" s="50" t="s">
        <v>21802</v>
      </c>
      <c r="W988" s="117">
        <v>989.0</v>
      </c>
    </row>
    <row r="989">
      <c r="A989" s="50" t="s">
        <v>21800</v>
      </c>
      <c r="B989" s="50" t="s">
        <v>6876</v>
      </c>
      <c r="C989" s="50" t="s">
        <v>6877</v>
      </c>
      <c r="D989" s="50" t="s">
        <v>8493</v>
      </c>
      <c r="E989" s="144">
        <v>43894.0</v>
      </c>
      <c r="F989" s="50" t="s">
        <v>21804</v>
      </c>
      <c r="G989" s="50">
        <v>57.0</v>
      </c>
      <c r="H989" s="50">
        <v>1.0</v>
      </c>
      <c r="I989" s="50">
        <v>12.0</v>
      </c>
      <c r="J989" s="116"/>
      <c r="K989" s="116"/>
      <c r="L989" s="50" t="s">
        <v>4101</v>
      </c>
      <c r="M989" s="50" t="s">
        <v>4101</v>
      </c>
      <c r="N989" s="50">
        <v>1.0</v>
      </c>
      <c r="O989" s="50" t="s">
        <v>21780</v>
      </c>
      <c r="P989" s="116"/>
      <c r="Q989" s="116"/>
      <c r="R989" s="50">
        <v>5.0</v>
      </c>
      <c r="S989" s="50" t="s">
        <v>18057</v>
      </c>
      <c r="T989" s="117">
        <v>8528.0</v>
      </c>
      <c r="U989" s="50" t="s">
        <v>21811</v>
      </c>
      <c r="V989" s="50" t="s">
        <v>21813</v>
      </c>
      <c r="W989" s="117">
        <v>990.0</v>
      </c>
    </row>
    <row r="990">
      <c r="A990" s="50" t="s">
        <v>21804</v>
      </c>
      <c r="B990" s="50" t="s">
        <v>6876</v>
      </c>
      <c r="C990" s="50" t="s">
        <v>6877</v>
      </c>
      <c r="D990" s="50" t="s">
        <v>8493</v>
      </c>
      <c r="E990" s="144">
        <v>43894.0</v>
      </c>
      <c r="F990" s="50" t="s">
        <v>21815</v>
      </c>
      <c r="G990" s="50">
        <v>57.0</v>
      </c>
      <c r="H990" s="50">
        <v>1.0</v>
      </c>
      <c r="I990" s="50">
        <v>12.0</v>
      </c>
      <c r="J990" s="116"/>
      <c r="K990" s="116"/>
      <c r="L990" s="50" t="s">
        <v>4114</v>
      </c>
      <c r="M990" s="50" t="s">
        <v>4114</v>
      </c>
      <c r="N990" s="50">
        <v>1.0</v>
      </c>
      <c r="O990" s="50" t="s">
        <v>21611</v>
      </c>
      <c r="P990" s="116"/>
      <c r="Q990" s="116"/>
      <c r="R990" s="50">
        <v>5.0</v>
      </c>
      <c r="S990" s="50" t="s">
        <v>18057</v>
      </c>
      <c r="T990" s="117">
        <v>8529.0</v>
      </c>
      <c r="U990" s="50" t="s">
        <v>21816</v>
      </c>
      <c r="V990" s="50" t="s">
        <v>21817</v>
      </c>
      <c r="W990" s="117">
        <v>991.0</v>
      </c>
    </row>
    <row r="991">
      <c r="A991" s="50" t="s">
        <v>21815</v>
      </c>
      <c r="B991" s="50" t="s">
        <v>6876</v>
      </c>
      <c r="C991" s="50" t="s">
        <v>6877</v>
      </c>
      <c r="D991" s="50" t="s">
        <v>8493</v>
      </c>
      <c r="E991" s="144">
        <v>43894.0</v>
      </c>
      <c r="F991" s="50" t="s">
        <v>21818</v>
      </c>
      <c r="G991" s="50">
        <v>57.0</v>
      </c>
      <c r="H991" s="50">
        <v>1.0</v>
      </c>
      <c r="I991" s="50">
        <v>12.0</v>
      </c>
      <c r="J991" s="116"/>
      <c r="K991" s="116"/>
      <c r="L991" s="50" t="s">
        <v>4130</v>
      </c>
      <c r="M991" s="50" t="s">
        <v>4130</v>
      </c>
      <c r="N991" s="50">
        <v>1.0</v>
      </c>
      <c r="O991" s="50" t="s">
        <v>21780</v>
      </c>
      <c r="P991" s="116"/>
      <c r="Q991" s="116"/>
      <c r="R991" s="50">
        <v>5.0</v>
      </c>
      <c r="S991" s="50" t="s">
        <v>18057</v>
      </c>
      <c r="T991" s="117">
        <v>8530.0</v>
      </c>
      <c r="U991" s="50" t="s">
        <v>21822</v>
      </c>
      <c r="V991" s="50" t="s">
        <v>21824</v>
      </c>
      <c r="W991" s="117">
        <v>992.0</v>
      </c>
    </row>
    <row r="992">
      <c r="A992" s="50" t="s">
        <v>21818</v>
      </c>
      <c r="B992" s="50" t="s">
        <v>6876</v>
      </c>
      <c r="C992" s="50" t="s">
        <v>6877</v>
      </c>
      <c r="D992" s="50" t="s">
        <v>8493</v>
      </c>
      <c r="E992" s="144">
        <v>43894.0</v>
      </c>
      <c r="F992" s="50" t="s">
        <v>21825</v>
      </c>
      <c r="G992" s="50">
        <v>57.0</v>
      </c>
      <c r="H992" s="50">
        <v>1.0</v>
      </c>
      <c r="I992" s="50">
        <v>99.0</v>
      </c>
      <c r="J992" s="116"/>
      <c r="K992" s="116"/>
      <c r="L992" s="50" t="s">
        <v>4137</v>
      </c>
      <c r="M992" s="50" t="s">
        <v>4137</v>
      </c>
      <c r="N992" s="50">
        <v>1.0</v>
      </c>
      <c r="O992" s="50" t="s">
        <v>21780</v>
      </c>
      <c r="P992" s="116"/>
      <c r="Q992" s="116"/>
      <c r="R992" s="50">
        <v>5.0</v>
      </c>
      <c r="S992" s="50" t="s">
        <v>18057</v>
      </c>
      <c r="T992" s="117">
        <v>8531.0</v>
      </c>
      <c r="U992" s="50" t="s">
        <v>21829</v>
      </c>
      <c r="V992" s="50" t="s">
        <v>21830</v>
      </c>
      <c r="W992" s="117">
        <v>993.0</v>
      </c>
    </row>
    <row r="993">
      <c r="A993" s="50" t="s">
        <v>21825</v>
      </c>
      <c r="B993" s="50" t="s">
        <v>6876</v>
      </c>
      <c r="C993" s="50" t="s">
        <v>6877</v>
      </c>
      <c r="D993" s="50" t="s">
        <v>8493</v>
      </c>
      <c r="E993" s="144">
        <v>43894.0</v>
      </c>
      <c r="F993" s="50" t="s">
        <v>21834</v>
      </c>
      <c r="G993" s="50">
        <v>57.0</v>
      </c>
      <c r="H993" s="50">
        <v>1.0</v>
      </c>
      <c r="I993" s="50">
        <v>16.0</v>
      </c>
      <c r="J993" s="116"/>
      <c r="K993" s="116"/>
      <c r="L993" s="50" t="s">
        <v>4168</v>
      </c>
      <c r="M993" s="50" t="s">
        <v>4168</v>
      </c>
      <c r="N993" s="50">
        <v>1.0</v>
      </c>
      <c r="O993" s="50" t="s">
        <v>21780</v>
      </c>
      <c r="P993" s="116"/>
      <c r="Q993" s="116"/>
      <c r="R993" s="50">
        <v>5.0</v>
      </c>
      <c r="S993" s="50" t="s">
        <v>18057</v>
      </c>
      <c r="T993" s="117">
        <v>8532.0</v>
      </c>
      <c r="U993" s="50" t="s">
        <v>21838</v>
      </c>
      <c r="V993" s="50" t="s">
        <v>21839</v>
      </c>
      <c r="W993" s="117">
        <v>994.0</v>
      </c>
    </row>
    <row r="994">
      <c r="A994" s="50" t="s">
        <v>21840</v>
      </c>
      <c r="B994" s="50" t="s">
        <v>6876</v>
      </c>
      <c r="C994" s="50" t="s">
        <v>6877</v>
      </c>
      <c r="D994" s="50" t="s">
        <v>8493</v>
      </c>
      <c r="E994" s="144">
        <v>43894.0</v>
      </c>
      <c r="F994" s="50" t="s">
        <v>21841</v>
      </c>
      <c r="G994" s="50">
        <v>33.0</v>
      </c>
      <c r="H994" s="50">
        <v>1.0</v>
      </c>
      <c r="I994" s="50">
        <v>98.0</v>
      </c>
      <c r="J994" s="116"/>
      <c r="K994" s="116"/>
      <c r="L994" s="50" t="s">
        <v>21842</v>
      </c>
      <c r="M994" s="50" t="s">
        <v>21842</v>
      </c>
      <c r="N994" s="50">
        <v>1.0</v>
      </c>
      <c r="O994" s="50" t="s">
        <v>21780</v>
      </c>
      <c r="P994" s="116"/>
      <c r="Q994" s="116"/>
      <c r="R994" s="50">
        <v>5.0</v>
      </c>
      <c r="S994" s="50" t="s">
        <v>18057</v>
      </c>
      <c r="T994" s="117">
        <v>8533.0</v>
      </c>
      <c r="U994" s="50" t="s">
        <v>21847</v>
      </c>
      <c r="V994" s="50" t="s">
        <v>21848</v>
      </c>
      <c r="W994" s="117">
        <v>995.0</v>
      </c>
    </row>
    <row r="995">
      <c r="A995" s="50" t="s">
        <v>21849</v>
      </c>
      <c r="B995" s="50" t="s">
        <v>6876</v>
      </c>
      <c r="C995" s="50" t="s">
        <v>6877</v>
      </c>
      <c r="D995" s="50" t="s">
        <v>8493</v>
      </c>
      <c r="E995" s="144">
        <v>43894.0</v>
      </c>
      <c r="F995" s="50" t="s">
        <v>21851</v>
      </c>
      <c r="G995" s="50">
        <v>6.0</v>
      </c>
      <c r="H995" s="50">
        <v>1.0</v>
      </c>
      <c r="I995" s="50">
        <v>12.0</v>
      </c>
      <c r="J995" s="116"/>
      <c r="K995" s="116"/>
      <c r="L995" s="50" t="s">
        <v>4185</v>
      </c>
      <c r="M995" s="50" t="s">
        <v>4185</v>
      </c>
      <c r="N995" s="50">
        <v>1.0</v>
      </c>
      <c r="O995" s="50" t="s">
        <v>21852</v>
      </c>
      <c r="P995" s="116"/>
      <c r="Q995" s="116"/>
      <c r="R995" s="50">
        <v>5.0</v>
      </c>
      <c r="S995" s="50" t="s">
        <v>18057</v>
      </c>
      <c r="T995" s="117">
        <v>8534.0</v>
      </c>
      <c r="U995" s="50" t="s">
        <v>21853</v>
      </c>
      <c r="V995" s="50" t="s">
        <v>21854</v>
      </c>
      <c r="W995" s="117">
        <v>996.0</v>
      </c>
    </row>
    <row r="996">
      <c r="A996" s="50" t="s">
        <v>21851</v>
      </c>
      <c r="B996" s="50" t="s">
        <v>6876</v>
      </c>
      <c r="C996" s="50" t="s">
        <v>6877</v>
      </c>
      <c r="D996" s="50" t="s">
        <v>8493</v>
      </c>
      <c r="E996" s="144">
        <v>43894.0</v>
      </c>
      <c r="F996" s="50" t="s">
        <v>21858</v>
      </c>
      <c r="G996" s="50">
        <v>3.0</v>
      </c>
      <c r="H996" s="50">
        <v>1.0</v>
      </c>
      <c r="I996" s="50">
        <v>12.0</v>
      </c>
      <c r="J996" s="116"/>
      <c r="K996" s="116"/>
      <c r="L996" s="50" t="s">
        <v>4206</v>
      </c>
      <c r="M996" s="50" t="s">
        <v>4206</v>
      </c>
      <c r="N996" s="50">
        <v>1.0</v>
      </c>
      <c r="O996" s="50" t="s">
        <v>21852</v>
      </c>
      <c r="P996" s="116"/>
      <c r="Q996" s="116"/>
      <c r="R996" s="50">
        <v>5.0</v>
      </c>
      <c r="S996" s="50" t="s">
        <v>18057</v>
      </c>
      <c r="T996" s="117">
        <v>8535.0</v>
      </c>
      <c r="U996" s="50" t="s">
        <v>21863</v>
      </c>
      <c r="V996" s="50" t="s">
        <v>21864</v>
      </c>
      <c r="W996" s="117">
        <v>997.0</v>
      </c>
    </row>
    <row r="997">
      <c r="A997" s="50" t="s">
        <v>21858</v>
      </c>
      <c r="B997" s="50" t="s">
        <v>6876</v>
      </c>
      <c r="C997" s="50" t="s">
        <v>6877</v>
      </c>
      <c r="D997" s="50" t="s">
        <v>8493</v>
      </c>
      <c r="E997" s="144">
        <v>43894.0</v>
      </c>
      <c r="F997" s="50" t="s">
        <v>21865</v>
      </c>
      <c r="G997" s="50">
        <v>29.0</v>
      </c>
      <c r="H997" s="50">
        <v>1.0</v>
      </c>
      <c r="I997" s="50">
        <v>12.0</v>
      </c>
      <c r="J997" s="116"/>
      <c r="K997" s="116"/>
      <c r="L997" s="50" t="s">
        <v>4221</v>
      </c>
      <c r="M997" s="50" t="s">
        <v>4221</v>
      </c>
      <c r="N997" s="50">
        <v>1.0</v>
      </c>
      <c r="O997" s="50" t="s">
        <v>21852</v>
      </c>
      <c r="P997" s="116"/>
      <c r="Q997" s="116"/>
      <c r="R997" s="50">
        <v>5.0</v>
      </c>
      <c r="S997" s="50" t="s">
        <v>18057</v>
      </c>
      <c r="T997" s="117">
        <v>8536.0</v>
      </c>
      <c r="U997" s="50" t="s">
        <v>21869</v>
      </c>
      <c r="V997" s="50" t="s">
        <v>21871</v>
      </c>
      <c r="W997" s="117">
        <v>998.0</v>
      </c>
    </row>
    <row r="998">
      <c r="A998" s="50" t="s">
        <v>21865</v>
      </c>
      <c r="B998" s="50" t="s">
        <v>6876</v>
      </c>
      <c r="C998" s="50" t="s">
        <v>6877</v>
      </c>
      <c r="D998" s="50" t="s">
        <v>8493</v>
      </c>
      <c r="E998" s="144">
        <v>43894.0</v>
      </c>
      <c r="F998" s="50" t="s">
        <v>21872</v>
      </c>
      <c r="G998" s="50">
        <v>65.0</v>
      </c>
      <c r="H998" s="50">
        <v>1.0</v>
      </c>
      <c r="I998" s="50">
        <v>16.0</v>
      </c>
      <c r="J998" s="116"/>
      <c r="K998" s="116"/>
      <c r="L998" s="50" t="s">
        <v>4260</v>
      </c>
      <c r="M998" s="50" t="s">
        <v>4260</v>
      </c>
      <c r="N998" s="50">
        <v>1.0</v>
      </c>
      <c r="O998" s="50" t="s">
        <v>21852</v>
      </c>
      <c r="P998" s="116"/>
      <c r="Q998" s="116"/>
      <c r="R998" s="50">
        <v>5.0</v>
      </c>
      <c r="S998" s="50" t="s">
        <v>18057</v>
      </c>
      <c r="T998" s="117">
        <v>8537.0</v>
      </c>
      <c r="U998" s="50" t="s">
        <v>21874</v>
      </c>
      <c r="V998" s="50" t="s">
        <v>21875</v>
      </c>
      <c r="W998" s="117">
        <v>999.0</v>
      </c>
    </row>
    <row r="999">
      <c r="A999" s="50" t="s">
        <v>21872</v>
      </c>
      <c r="B999" s="50" t="s">
        <v>6876</v>
      </c>
      <c r="C999" s="50" t="s">
        <v>6877</v>
      </c>
      <c r="D999" s="50" t="s">
        <v>8493</v>
      </c>
      <c r="E999" s="144">
        <v>43894.0</v>
      </c>
      <c r="F999" s="50" t="s">
        <v>21879</v>
      </c>
      <c r="G999" s="50">
        <v>58.0</v>
      </c>
      <c r="H999" s="50">
        <v>1.0</v>
      </c>
      <c r="I999" s="50">
        <v>7.0</v>
      </c>
      <c r="J999" s="116"/>
      <c r="K999" s="116"/>
      <c r="L999" s="50" t="s">
        <v>4236</v>
      </c>
      <c r="M999" s="50" t="s">
        <v>4236</v>
      </c>
      <c r="N999" s="50">
        <v>1.0</v>
      </c>
      <c r="O999" s="50" t="s">
        <v>21852</v>
      </c>
      <c r="P999" s="116"/>
      <c r="Q999" s="116"/>
      <c r="R999" s="50">
        <v>5.0</v>
      </c>
      <c r="S999" s="50" t="s">
        <v>18057</v>
      </c>
      <c r="T999" s="117">
        <v>8538.0</v>
      </c>
      <c r="U999" s="50" t="s">
        <v>21884</v>
      </c>
      <c r="V999" s="50" t="s">
        <v>21885</v>
      </c>
      <c r="W999" s="117">
        <v>1000.0</v>
      </c>
    </row>
    <row r="1000">
      <c r="A1000" s="50" t="s">
        <v>21879</v>
      </c>
      <c r="B1000" s="50" t="s">
        <v>6876</v>
      </c>
      <c r="C1000" s="50" t="s">
        <v>6877</v>
      </c>
      <c r="D1000" s="50" t="s">
        <v>8493</v>
      </c>
      <c r="E1000" s="144">
        <v>43894.0</v>
      </c>
      <c r="F1000" s="50" t="s">
        <v>21886</v>
      </c>
      <c r="G1000" s="50">
        <v>58.0</v>
      </c>
      <c r="H1000" s="50">
        <v>1.0</v>
      </c>
      <c r="I1000" s="50">
        <v>7.0</v>
      </c>
      <c r="J1000" s="116"/>
      <c r="K1000" s="116"/>
      <c r="L1000" s="50" t="s">
        <v>4244</v>
      </c>
      <c r="M1000" s="50" t="s">
        <v>4244</v>
      </c>
      <c r="N1000" s="50">
        <v>1.0</v>
      </c>
      <c r="O1000" s="50" t="s">
        <v>21852</v>
      </c>
      <c r="P1000" s="116"/>
      <c r="Q1000" s="116"/>
      <c r="R1000" s="50">
        <v>5.0</v>
      </c>
      <c r="S1000" s="50" t="s">
        <v>18057</v>
      </c>
      <c r="T1000" s="117">
        <v>8539.0</v>
      </c>
      <c r="U1000" s="50" t="s">
        <v>21889</v>
      </c>
      <c r="V1000" s="50" t="s">
        <v>21890</v>
      </c>
      <c r="W1000" s="117">
        <v>1001.0</v>
      </c>
    </row>
    <row r="1001">
      <c r="A1001" s="50" t="s">
        <v>21886</v>
      </c>
      <c r="B1001" s="50" t="s">
        <v>6876</v>
      </c>
      <c r="C1001" s="50" t="s">
        <v>6877</v>
      </c>
      <c r="D1001" s="50" t="s">
        <v>8493</v>
      </c>
      <c r="E1001" s="144">
        <v>43894.0</v>
      </c>
      <c r="F1001" s="50" t="s">
        <v>21891</v>
      </c>
      <c r="G1001" s="50">
        <v>58.0</v>
      </c>
      <c r="H1001" s="50">
        <v>1.0</v>
      </c>
      <c r="I1001" s="50">
        <v>99.0</v>
      </c>
      <c r="J1001" s="116"/>
      <c r="K1001" s="116"/>
      <c r="L1001" s="50" t="s">
        <v>4250</v>
      </c>
      <c r="M1001" s="50" t="s">
        <v>4250</v>
      </c>
      <c r="N1001" s="50">
        <v>1.0</v>
      </c>
      <c r="O1001" s="50" t="s">
        <v>21852</v>
      </c>
      <c r="P1001" s="116"/>
      <c r="Q1001" s="50" t="s">
        <v>21893</v>
      </c>
      <c r="R1001" s="50">
        <v>5.0</v>
      </c>
      <c r="S1001" s="50" t="s">
        <v>18057</v>
      </c>
      <c r="T1001" s="117">
        <v>8540.0</v>
      </c>
      <c r="U1001" s="50" t="s">
        <v>21894</v>
      </c>
      <c r="V1001" s="50" t="s">
        <v>21895</v>
      </c>
      <c r="W1001" s="117">
        <v>1002.0</v>
      </c>
    </row>
    <row r="1002">
      <c r="A1002" s="50" t="s">
        <v>21891</v>
      </c>
      <c r="B1002" s="50" t="s">
        <v>6876</v>
      </c>
      <c r="C1002" s="50" t="s">
        <v>6877</v>
      </c>
      <c r="D1002" s="50" t="s">
        <v>8493</v>
      </c>
      <c r="E1002" s="144">
        <v>43894.0</v>
      </c>
      <c r="F1002" s="50" t="s">
        <v>21896</v>
      </c>
      <c r="G1002" s="50">
        <v>33.0</v>
      </c>
      <c r="H1002" s="50">
        <v>1.0</v>
      </c>
      <c r="I1002" s="50">
        <v>98.0</v>
      </c>
      <c r="J1002" s="116"/>
      <c r="K1002" s="116"/>
      <c r="L1002" s="50" t="s">
        <v>6715</v>
      </c>
      <c r="M1002" s="50" t="s">
        <v>6715</v>
      </c>
      <c r="N1002" s="50">
        <v>1.0</v>
      </c>
      <c r="O1002" s="50" t="s">
        <v>21852</v>
      </c>
      <c r="P1002" s="116"/>
      <c r="Q1002" s="116"/>
      <c r="R1002" s="50">
        <v>5.0</v>
      </c>
      <c r="S1002" s="50" t="s">
        <v>18057</v>
      </c>
      <c r="T1002" s="117">
        <v>8541.0</v>
      </c>
      <c r="U1002" s="50" t="s">
        <v>21905</v>
      </c>
      <c r="V1002" s="50" t="s">
        <v>21906</v>
      </c>
      <c r="W1002" s="117">
        <v>1003.0</v>
      </c>
    </row>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4.14"/>
    <col customWidth="1" min="2" max="5" width="8.71"/>
    <col customWidth="1" min="6" max="6" width="28.29"/>
    <col customWidth="1" min="7" max="38" width="8.71"/>
  </cols>
  <sheetData>
    <row r="1">
      <c r="A1" s="50" t="s">
        <v>6827</v>
      </c>
      <c r="B1" s="50" t="s">
        <v>2187</v>
      </c>
      <c r="C1" s="50" t="s">
        <v>2188</v>
      </c>
      <c r="D1" s="50" t="s">
        <v>2189</v>
      </c>
      <c r="E1" s="50" t="s">
        <v>6830</v>
      </c>
      <c r="F1" s="50" t="s">
        <v>6831</v>
      </c>
      <c r="G1" s="50" t="s">
        <v>6832</v>
      </c>
      <c r="H1" s="50" t="s">
        <v>6834</v>
      </c>
      <c r="I1" s="50" t="s">
        <v>6835</v>
      </c>
      <c r="J1" s="50" t="s">
        <v>6838</v>
      </c>
      <c r="K1" s="50" t="s">
        <v>6839</v>
      </c>
      <c r="L1" s="50" t="s">
        <v>1274</v>
      </c>
      <c r="M1" s="50" t="s">
        <v>6842</v>
      </c>
      <c r="N1" s="50" t="s">
        <v>18752</v>
      </c>
      <c r="O1" s="50" t="s">
        <v>18753</v>
      </c>
      <c r="P1" s="50" t="s">
        <v>18754</v>
      </c>
      <c r="Q1" s="50" t="s">
        <v>18755</v>
      </c>
      <c r="R1" s="50" t="s">
        <v>18757</v>
      </c>
      <c r="S1" s="50" t="s">
        <v>18759</v>
      </c>
      <c r="T1" s="50" t="s">
        <v>18761</v>
      </c>
      <c r="U1" s="50" t="s">
        <v>18762</v>
      </c>
      <c r="V1" s="50" t="s">
        <v>18763</v>
      </c>
      <c r="W1" s="50" t="s">
        <v>18764</v>
      </c>
      <c r="X1" s="50" t="s">
        <v>18766</v>
      </c>
      <c r="Y1" s="50" t="s">
        <v>18767</v>
      </c>
      <c r="Z1" s="50" t="s">
        <v>18768</v>
      </c>
      <c r="AA1" s="50" t="s">
        <v>18769</v>
      </c>
      <c r="AB1" s="50" t="s">
        <v>18770</v>
      </c>
      <c r="AC1" s="50" t="s">
        <v>6867</v>
      </c>
      <c r="AD1" s="50" t="s">
        <v>6868</v>
      </c>
      <c r="AE1" s="50" t="s">
        <v>6869</v>
      </c>
      <c r="AF1" s="50" t="s">
        <v>2267</v>
      </c>
      <c r="AG1" s="50" t="s">
        <v>2268</v>
      </c>
      <c r="AH1" s="50" t="s">
        <v>2269</v>
      </c>
      <c r="AI1" s="50" t="s">
        <v>2270</v>
      </c>
      <c r="AJ1" s="50" t="s">
        <v>2271</v>
      </c>
    </row>
    <row r="2">
      <c r="A2" s="50" t="s">
        <v>18773</v>
      </c>
      <c r="B2" s="50" t="s">
        <v>6876</v>
      </c>
      <c r="C2" s="50" t="s">
        <v>6877</v>
      </c>
      <c r="D2" s="50" t="s">
        <v>6907</v>
      </c>
      <c r="E2" s="144">
        <v>43606.0</v>
      </c>
      <c r="F2" s="50" t="s">
        <v>18775</v>
      </c>
      <c r="G2" s="50">
        <v>58.0</v>
      </c>
      <c r="H2" s="50">
        <v>1.0</v>
      </c>
      <c r="I2" s="50">
        <v>11.0</v>
      </c>
      <c r="J2" s="116"/>
      <c r="K2" s="116"/>
      <c r="L2" s="50" t="s">
        <v>4533</v>
      </c>
      <c r="M2" s="50" t="s">
        <v>4533</v>
      </c>
      <c r="N2" s="116"/>
      <c r="O2" s="116"/>
      <c r="P2" s="116"/>
      <c r="Q2" s="116"/>
      <c r="R2" s="50" t="s">
        <v>18778</v>
      </c>
      <c r="S2" s="116"/>
      <c r="T2" s="24">
        <v>43595.0</v>
      </c>
      <c r="U2" s="50">
        <v>9999.0</v>
      </c>
      <c r="V2" s="50">
        <v>9999.0</v>
      </c>
      <c r="W2" s="116"/>
      <c r="X2" s="116"/>
      <c r="Y2" s="116"/>
      <c r="Z2" s="50">
        <v>9999.0</v>
      </c>
      <c r="AA2" s="50">
        <v>9999.0</v>
      </c>
      <c r="AB2" s="116"/>
      <c r="AC2" s="116"/>
      <c r="AD2" s="116"/>
      <c r="AE2" s="50">
        <v>1.0</v>
      </c>
      <c r="AF2" s="50" t="s">
        <v>18780</v>
      </c>
      <c r="AG2" s="117">
        <v>2869.0</v>
      </c>
      <c r="AH2" s="50" t="s">
        <v>18781</v>
      </c>
      <c r="AI2" s="50" t="s">
        <v>18782</v>
      </c>
      <c r="AJ2" s="117">
        <v>1.0</v>
      </c>
    </row>
    <row r="3">
      <c r="A3" s="50" t="s">
        <v>18775</v>
      </c>
      <c r="B3" s="50" t="s">
        <v>6876</v>
      </c>
      <c r="C3" s="50" t="s">
        <v>6877</v>
      </c>
      <c r="D3" s="50" t="s">
        <v>6907</v>
      </c>
      <c r="E3" s="144">
        <v>43606.0</v>
      </c>
      <c r="F3" s="50" t="s">
        <v>18785</v>
      </c>
      <c r="G3" s="50">
        <v>58.0</v>
      </c>
      <c r="H3" s="50">
        <v>1.0</v>
      </c>
      <c r="I3" s="50">
        <v>7.0</v>
      </c>
      <c r="J3" s="116"/>
      <c r="K3" s="116"/>
      <c r="L3" s="50" t="s">
        <v>2274</v>
      </c>
      <c r="M3" s="50" t="s">
        <v>2274</v>
      </c>
      <c r="N3" s="116"/>
      <c r="O3" s="116"/>
      <c r="P3" s="116"/>
      <c r="Q3" s="116"/>
      <c r="R3" s="50" t="s">
        <v>18778</v>
      </c>
      <c r="S3" s="116"/>
      <c r="T3" s="24">
        <v>43595.0</v>
      </c>
      <c r="U3" s="50">
        <v>9999.0</v>
      </c>
      <c r="V3" s="50">
        <v>9999.0</v>
      </c>
      <c r="W3" s="116"/>
      <c r="X3" s="116"/>
      <c r="Y3" s="116"/>
      <c r="Z3" s="50">
        <v>9999.0</v>
      </c>
      <c r="AA3" s="50">
        <v>9999.0</v>
      </c>
      <c r="AB3" s="116"/>
      <c r="AC3" s="116"/>
      <c r="AD3" s="116"/>
      <c r="AE3" s="50">
        <v>1.0</v>
      </c>
      <c r="AF3" s="50" t="s">
        <v>18780</v>
      </c>
      <c r="AG3" s="117">
        <v>2870.0</v>
      </c>
      <c r="AH3" s="50" t="s">
        <v>18793</v>
      </c>
      <c r="AI3" s="50" t="s">
        <v>18794</v>
      </c>
      <c r="AJ3" s="117">
        <v>2.0</v>
      </c>
    </row>
    <row r="4">
      <c r="A4" s="50" t="s">
        <v>18785</v>
      </c>
      <c r="B4" s="50" t="s">
        <v>6876</v>
      </c>
      <c r="C4" s="50" t="s">
        <v>6877</v>
      </c>
      <c r="D4" s="50" t="s">
        <v>6907</v>
      </c>
      <c r="E4" s="144">
        <v>43606.0</v>
      </c>
      <c r="F4" s="50" t="s">
        <v>18798</v>
      </c>
      <c r="G4" s="50">
        <v>57.0</v>
      </c>
      <c r="H4" s="50">
        <v>1.0</v>
      </c>
      <c r="I4" s="50">
        <v>12.0</v>
      </c>
      <c r="J4" s="116"/>
      <c r="K4" s="116"/>
      <c r="L4" s="50" t="s">
        <v>4542</v>
      </c>
      <c r="M4" s="50" t="s">
        <v>4542</v>
      </c>
      <c r="N4" s="116"/>
      <c r="O4" s="116"/>
      <c r="P4" s="116"/>
      <c r="Q4" s="116"/>
      <c r="R4" s="50" t="s">
        <v>18778</v>
      </c>
      <c r="S4" s="116"/>
      <c r="T4" s="24">
        <v>43595.0</v>
      </c>
      <c r="U4" s="50">
        <v>9999.0</v>
      </c>
      <c r="V4" s="50">
        <v>9999.0</v>
      </c>
      <c r="W4" s="116"/>
      <c r="X4" s="116"/>
      <c r="Y4" s="116"/>
      <c r="Z4" s="50">
        <v>9999.0</v>
      </c>
      <c r="AA4" s="50">
        <v>9999.0</v>
      </c>
      <c r="AB4" s="116"/>
      <c r="AC4" s="116"/>
      <c r="AD4" s="116"/>
      <c r="AE4" s="50">
        <v>1.0</v>
      </c>
      <c r="AF4" s="50" t="s">
        <v>18780</v>
      </c>
      <c r="AG4" s="117">
        <v>2871.0</v>
      </c>
      <c r="AH4" s="50" t="s">
        <v>18807</v>
      </c>
      <c r="AI4" s="50" t="s">
        <v>18809</v>
      </c>
      <c r="AJ4" s="117">
        <v>3.0</v>
      </c>
    </row>
    <row r="5">
      <c r="A5" s="50" t="s">
        <v>18798</v>
      </c>
      <c r="B5" s="50" t="s">
        <v>6876</v>
      </c>
      <c r="C5" s="50" t="s">
        <v>6877</v>
      </c>
      <c r="D5" s="50" t="s">
        <v>6907</v>
      </c>
      <c r="E5" s="144">
        <v>43606.0</v>
      </c>
      <c r="F5" s="50" t="s">
        <v>18812</v>
      </c>
      <c r="G5" s="50">
        <v>57.0</v>
      </c>
      <c r="H5" s="50">
        <v>1.0</v>
      </c>
      <c r="I5" s="50">
        <v>12.0</v>
      </c>
      <c r="J5" s="116"/>
      <c r="K5" s="116"/>
      <c r="L5" s="50" t="s">
        <v>4550</v>
      </c>
      <c r="M5" s="50" t="s">
        <v>4550</v>
      </c>
      <c r="N5" s="116"/>
      <c r="O5" s="116"/>
      <c r="P5" s="116"/>
      <c r="Q5" s="116"/>
      <c r="R5" s="50" t="s">
        <v>18778</v>
      </c>
      <c r="S5" s="116"/>
      <c r="T5" s="24">
        <v>43595.0</v>
      </c>
      <c r="U5" s="50">
        <v>9999.0</v>
      </c>
      <c r="V5" s="50">
        <v>26.27</v>
      </c>
      <c r="W5" s="116"/>
      <c r="X5" s="116"/>
      <c r="Y5" s="116"/>
      <c r="Z5" s="50">
        <v>9999.0</v>
      </c>
      <c r="AA5" s="50">
        <v>9999.0</v>
      </c>
      <c r="AB5" s="116"/>
      <c r="AC5" s="116"/>
      <c r="AD5" s="116"/>
      <c r="AE5" s="50">
        <v>1.0</v>
      </c>
      <c r="AF5" s="50" t="s">
        <v>18780</v>
      </c>
      <c r="AG5" s="117">
        <v>2872.0</v>
      </c>
      <c r="AH5" s="50" t="s">
        <v>18816</v>
      </c>
      <c r="AI5" s="50" t="s">
        <v>18817</v>
      </c>
      <c r="AJ5" s="117">
        <v>4.0</v>
      </c>
    </row>
    <row r="6">
      <c r="A6" s="50" t="s">
        <v>18812</v>
      </c>
      <c r="B6" s="50" t="s">
        <v>6876</v>
      </c>
      <c r="C6" s="50" t="s">
        <v>6877</v>
      </c>
      <c r="D6" s="50" t="s">
        <v>6907</v>
      </c>
      <c r="E6" s="144">
        <v>43606.0</v>
      </c>
      <c r="F6" s="50" t="s">
        <v>18818</v>
      </c>
      <c r="G6" s="50">
        <v>58.0</v>
      </c>
      <c r="H6" s="50">
        <v>2.0</v>
      </c>
      <c r="I6" s="50">
        <v>2.0</v>
      </c>
      <c r="J6" s="116"/>
      <c r="K6" s="116"/>
      <c r="L6" s="51" t="s">
        <v>140</v>
      </c>
      <c r="M6" s="50" t="s">
        <v>333</v>
      </c>
      <c r="N6" s="116"/>
      <c r="O6" s="116"/>
      <c r="P6" s="116"/>
      <c r="Q6" s="116"/>
      <c r="R6" s="50" t="s">
        <v>18778</v>
      </c>
      <c r="S6" s="116"/>
      <c r="T6" s="24">
        <v>43595.0</v>
      </c>
      <c r="U6" s="50">
        <v>9999.0</v>
      </c>
      <c r="V6" s="50">
        <v>9999.0</v>
      </c>
      <c r="W6" s="116"/>
      <c r="X6" s="116"/>
      <c r="Y6" s="116"/>
      <c r="Z6" s="50">
        <v>9999.0</v>
      </c>
      <c r="AA6" s="50">
        <v>9999.0</v>
      </c>
      <c r="AB6" s="116"/>
      <c r="AC6" s="116"/>
      <c r="AD6" s="116"/>
      <c r="AE6" s="50">
        <v>1.0</v>
      </c>
      <c r="AF6" s="50" t="s">
        <v>18780</v>
      </c>
      <c r="AG6" s="117">
        <v>2873.0</v>
      </c>
      <c r="AH6" s="50" t="s">
        <v>18823</v>
      </c>
      <c r="AI6" s="50" t="s">
        <v>18824</v>
      </c>
      <c r="AJ6" s="117">
        <v>5.0</v>
      </c>
    </row>
    <row r="7">
      <c r="A7" s="50" t="s">
        <v>18818</v>
      </c>
      <c r="B7" s="50" t="s">
        <v>6876</v>
      </c>
      <c r="C7" s="50" t="s">
        <v>6877</v>
      </c>
      <c r="D7" s="50" t="s">
        <v>6907</v>
      </c>
      <c r="E7" s="144">
        <v>43606.0</v>
      </c>
      <c r="F7" s="50" t="s">
        <v>18825</v>
      </c>
      <c r="G7" s="50">
        <v>58.0</v>
      </c>
      <c r="H7" s="50">
        <v>2.0</v>
      </c>
      <c r="I7" s="50">
        <v>2.0</v>
      </c>
      <c r="J7" s="116"/>
      <c r="K7" s="116"/>
      <c r="L7" s="51" t="s">
        <v>178</v>
      </c>
      <c r="M7" s="50" t="s">
        <v>349</v>
      </c>
      <c r="N7" s="116"/>
      <c r="O7" s="116"/>
      <c r="P7" s="116"/>
      <c r="Q7" s="116"/>
      <c r="R7" s="50" t="s">
        <v>18778</v>
      </c>
      <c r="S7" s="116"/>
      <c r="T7" s="24">
        <v>43595.0</v>
      </c>
      <c r="U7" s="50">
        <v>9999.0</v>
      </c>
      <c r="V7" s="50">
        <v>9999.0</v>
      </c>
      <c r="W7" s="116"/>
      <c r="X7" s="116"/>
      <c r="Y7" s="116"/>
      <c r="Z7" s="50">
        <v>9999.0</v>
      </c>
      <c r="AA7" s="50">
        <v>9999.0</v>
      </c>
      <c r="AB7" s="116"/>
      <c r="AC7" s="116"/>
      <c r="AD7" s="116"/>
      <c r="AE7" s="50">
        <v>1.0</v>
      </c>
      <c r="AF7" s="50" t="s">
        <v>18780</v>
      </c>
      <c r="AG7" s="117">
        <v>2874.0</v>
      </c>
      <c r="AH7" s="50" t="s">
        <v>18833</v>
      </c>
      <c r="AI7" s="50" t="s">
        <v>18835</v>
      </c>
      <c r="AJ7" s="117">
        <v>6.0</v>
      </c>
    </row>
    <row r="8">
      <c r="A8" s="50" t="s">
        <v>18825</v>
      </c>
      <c r="B8" s="50" t="s">
        <v>6876</v>
      </c>
      <c r="C8" s="50" t="s">
        <v>6877</v>
      </c>
      <c r="D8" s="50" t="s">
        <v>6907</v>
      </c>
      <c r="E8" s="144">
        <v>43606.0</v>
      </c>
      <c r="F8" s="50" t="s">
        <v>18836</v>
      </c>
      <c r="G8" s="50">
        <v>58.0</v>
      </c>
      <c r="H8" s="50">
        <v>2.0</v>
      </c>
      <c r="I8" s="50">
        <v>8.0</v>
      </c>
      <c r="J8" s="116"/>
      <c r="K8" s="116"/>
      <c r="L8" s="51" t="s">
        <v>197</v>
      </c>
      <c r="M8" s="51" t="s">
        <v>197</v>
      </c>
      <c r="N8" s="116"/>
      <c r="O8" s="116"/>
      <c r="P8" s="116"/>
      <c r="Q8" s="116"/>
      <c r="R8" s="50" t="s">
        <v>18778</v>
      </c>
      <c r="S8" s="116"/>
      <c r="T8" s="24">
        <v>43595.0</v>
      </c>
      <c r="U8" s="50">
        <v>9999.0</v>
      </c>
      <c r="V8" s="50">
        <v>9999.0</v>
      </c>
      <c r="W8" s="116"/>
      <c r="X8" s="116"/>
      <c r="Y8" s="116"/>
      <c r="Z8" s="50">
        <v>9999.0</v>
      </c>
      <c r="AA8" s="50">
        <v>9999.0</v>
      </c>
      <c r="AB8" s="116"/>
      <c r="AC8" s="116"/>
      <c r="AD8" s="116"/>
      <c r="AE8" s="50">
        <v>1.0</v>
      </c>
      <c r="AF8" s="50" t="s">
        <v>18780</v>
      </c>
      <c r="AG8" s="117">
        <v>2875.0</v>
      </c>
      <c r="AH8" s="50" t="s">
        <v>18840</v>
      </c>
      <c r="AI8" s="50" t="s">
        <v>18841</v>
      </c>
      <c r="AJ8" s="117">
        <v>7.0</v>
      </c>
    </row>
    <row r="9">
      <c r="A9" s="50" t="s">
        <v>18836</v>
      </c>
      <c r="B9" s="50" t="s">
        <v>6876</v>
      </c>
      <c r="C9" s="50" t="s">
        <v>6877</v>
      </c>
      <c r="D9" s="50" t="s">
        <v>6907</v>
      </c>
      <c r="E9" s="144">
        <v>43606.0</v>
      </c>
      <c r="F9" s="50" t="s">
        <v>18843</v>
      </c>
      <c r="G9" s="50">
        <v>58.0</v>
      </c>
      <c r="H9" s="50">
        <v>2.0</v>
      </c>
      <c r="I9" s="50">
        <v>8.0</v>
      </c>
      <c r="J9" s="116"/>
      <c r="K9" s="116"/>
      <c r="L9" s="51" t="s">
        <v>210</v>
      </c>
      <c r="M9" s="51" t="s">
        <v>210</v>
      </c>
      <c r="N9" s="116"/>
      <c r="O9" s="116"/>
      <c r="P9" s="116"/>
      <c r="Q9" s="116"/>
      <c r="R9" s="50" t="s">
        <v>18778</v>
      </c>
      <c r="S9" s="116"/>
      <c r="T9" s="24">
        <v>43595.0</v>
      </c>
      <c r="U9" s="50">
        <v>9999.0</v>
      </c>
      <c r="V9" s="50">
        <v>9999.0</v>
      </c>
      <c r="W9" s="116"/>
      <c r="X9" s="116"/>
      <c r="Y9" s="116"/>
      <c r="Z9" s="50">
        <v>9999.0</v>
      </c>
      <c r="AA9" s="50">
        <v>9999.0</v>
      </c>
      <c r="AB9" s="116"/>
      <c r="AC9" s="116"/>
      <c r="AD9" s="116"/>
      <c r="AE9" s="50">
        <v>1.0</v>
      </c>
      <c r="AF9" s="50" t="s">
        <v>18780</v>
      </c>
      <c r="AG9" s="117">
        <v>2876.0</v>
      </c>
      <c r="AH9" s="50" t="s">
        <v>18847</v>
      </c>
      <c r="AI9" s="50" t="s">
        <v>18848</v>
      </c>
      <c r="AJ9" s="117">
        <v>8.0</v>
      </c>
    </row>
    <row r="10">
      <c r="A10" s="50" t="s">
        <v>18843</v>
      </c>
      <c r="B10" s="50" t="s">
        <v>6876</v>
      </c>
      <c r="C10" s="50" t="s">
        <v>6877</v>
      </c>
      <c r="D10" s="50" t="s">
        <v>6907</v>
      </c>
      <c r="E10" s="144">
        <v>43606.0</v>
      </c>
      <c r="F10" s="50" t="s">
        <v>18849</v>
      </c>
      <c r="G10" s="50">
        <v>58.0</v>
      </c>
      <c r="H10" s="50">
        <v>2.0</v>
      </c>
      <c r="I10" s="50">
        <v>11.0</v>
      </c>
      <c r="J10" s="116"/>
      <c r="K10" s="116"/>
      <c r="L10" s="50" t="s">
        <v>4587</v>
      </c>
      <c r="M10" s="50" t="s">
        <v>4587</v>
      </c>
      <c r="N10" s="116"/>
      <c r="O10" s="116"/>
      <c r="P10" s="116"/>
      <c r="Q10" s="116"/>
      <c r="R10" s="50" t="s">
        <v>18778</v>
      </c>
      <c r="S10" s="116"/>
      <c r="T10" s="24">
        <v>43595.0</v>
      </c>
      <c r="U10" s="50">
        <v>9999.0</v>
      </c>
      <c r="V10" s="50">
        <v>9999.0</v>
      </c>
      <c r="W10" s="116"/>
      <c r="X10" s="116"/>
      <c r="Y10" s="116"/>
      <c r="Z10" s="50">
        <v>9999.0</v>
      </c>
      <c r="AA10" s="50">
        <v>9999.0</v>
      </c>
      <c r="AB10" s="116"/>
      <c r="AC10" s="116"/>
      <c r="AD10" s="116"/>
      <c r="AE10" s="50">
        <v>1.0</v>
      </c>
      <c r="AF10" s="50" t="s">
        <v>18780</v>
      </c>
      <c r="AG10" s="117">
        <v>2877.0</v>
      </c>
      <c r="AH10" s="50" t="s">
        <v>18860</v>
      </c>
      <c r="AI10" s="50" t="s">
        <v>18861</v>
      </c>
      <c r="AJ10" s="117">
        <v>9.0</v>
      </c>
    </row>
    <row r="11">
      <c r="A11" s="50" t="s">
        <v>18862</v>
      </c>
      <c r="B11" s="50" t="s">
        <v>6876</v>
      </c>
      <c r="C11" s="50" t="s">
        <v>6877</v>
      </c>
      <c r="D11" s="50" t="s">
        <v>6907</v>
      </c>
      <c r="E11" s="144">
        <v>43606.0</v>
      </c>
      <c r="F11" s="50" t="s">
        <v>18864</v>
      </c>
      <c r="G11" s="50">
        <v>58.0</v>
      </c>
      <c r="H11" s="50">
        <v>2.0</v>
      </c>
      <c r="I11" s="50">
        <v>3.0</v>
      </c>
      <c r="J11" s="116"/>
      <c r="K11" s="116"/>
      <c r="L11" s="50" t="s">
        <v>2098</v>
      </c>
      <c r="M11" s="50" t="s">
        <v>2098</v>
      </c>
      <c r="N11" s="116"/>
      <c r="O11" s="116"/>
      <c r="P11" s="116"/>
      <c r="Q11" s="116"/>
      <c r="R11" s="50" t="s">
        <v>18778</v>
      </c>
      <c r="S11" s="116"/>
      <c r="T11" s="24">
        <v>43595.0</v>
      </c>
      <c r="U11" s="50">
        <v>9999.0</v>
      </c>
      <c r="V11" s="50">
        <v>9999.0</v>
      </c>
      <c r="W11" s="116"/>
      <c r="X11" s="116"/>
      <c r="Y11" s="116"/>
      <c r="Z11" s="50">
        <v>9999.0</v>
      </c>
      <c r="AA11" s="50">
        <v>9999.0</v>
      </c>
      <c r="AB11" s="116"/>
      <c r="AC11" s="116"/>
      <c r="AD11" s="116"/>
      <c r="AE11" s="50">
        <v>1.0</v>
      </c>
      <c r="AF11" s="50" t="s">
        <v>18780</v>
      </c>
      <c r="AG11" s="117">
        <v>2885.0</v>
      </c>
      <c r="AH11" s="50" t="s">
        <v>18868</v>
      </c>
      <c r="AI11" s="50" t="s">
        <v>18870</v>
      </c>
      <c r="AJ11" s="117">
        <v>10.0</v>
      </c>
    </row>
    <row r="12">
      <c r="A12" s="50" t="s">
        <v>18864</v>
      </c>
      <c r="B12" s="50" t="s">
        <v>6876</v>
      </c>
      <c r="C12" s="50" t="s">
        <v>6877</v>
      </c>
      <c r="D12" s="50" t="s">
        <v>6907</v>
      </c>
      <c r="E12" s="144">
        <v>43606.0</v>
      </c>
      <c r="F12" s="50" t="s">
        <v>18872</v>
      </c>
      <c r="G12" s="50">
        <v>58.0</v>
      </c>
      <c r="H12" s="50">
        <v>2.0</v>
      </c>
      <c r="I12" s="50">
        <v>9.0</v>
      </c>
      <c r="J12" s="116"/>
      <c r="K12" s="116"/>
      <c r="L12" s="51" t="s">
        <v>365</v>
      </c>
      <c r="M12" s="51" t="s">
        <v>365</v>
      </c>
      <c r="N12" s="116"/>
      <c r="O12" s="116"/>
      <c r="P12" s="116"/>
      <c r="Q12" s="116"/>
      <c r="R12" s="50" t="s">
        <v>18778</v>
      </c>
      <c r="S12" s="116"/>
      <c r="T12" s="24">
        <v>43595.0</v>
      </c>
      <c r="U12" s="50">
        <v>9999.0</v>
      </c>
      <c r="V12" s="50">
        <v>9999.0</v>
      </c>
      <c r="W12" s="116"/>
      <c r="X12" s="116"/>
      <c r="Y12" s="116"/>
      <c r="Z12" s="50">
        <v>9999.0</v>
      </c>
      <c r="AA12" s="50">
        <v>9999.0</v>
      </c>
      <c r="AB12" s="116"/>
      <c r="AC12" s="116"/>
      <c r="AD12" s="116"/>
      <c r="AE12" s="50">
        <v>1.0</v>
      </c>
      <c r="AF12" s="50" t="s">
        <v>18780</v>
      </c>
      <c r="AG12" s="117">
        <v>2886.0</v>
      </c>
      <c r="AH12" s="50" t="s">
        <v>18875</v>
      </c>
      <c r="AI12" s="50" t="s">
        <v>18876</v>
      </c>
      <c r="AJ12" s="117">
        <v>11.0</v>
      </c>
    </row>
    <row r="13">
      <c r="A13" s="50" t="s">
        <v>18872</v>
      </c>
      <c r="B13" s="50" t="s">
        <v>6876</v>
      </c>
      <c r="C13" s="50" t="s">
        <v>6877</v>
      </c>
      <c r="D13" s="50" t="s">
        <v>6907</v>
      </c>
      <c r="E13" s="144">
        <v>43606.0</v>
      </c>
      <c r="F13" s="50" t="s">
        <v>18877</v>
      </c>
      <c r="G13" s="50">
        <v>58.0</v>
      </c>
      <c r="H13" s="50">
        <v>2.0</v>
      </c>
      <c r="I13" s="50">
        <v>5.0</v>
      </c>
      <c r="J13" s="116"/>
      <c r="K13" s="116"/>
      <c r="L13" s="51" t="s">
        <v>374</v>
      </c>
      <c r="M13" s="51" t="s">
        <v>374</v>
      </c>
      <c r="N13" s="116"/>
      <c r="O13" s="116"/>
      <c r="P13" s="116"/>
      <c r="Q13" s="116"/>
      <c r="R13" s="50" t="s">
        <v>18778</v>
      </c>
      <c r="S13" s="116"/>
      <c r="T13" s="24">
        <v>43595.0</v>
      </c>
      <c r="U13" s="50">
        <v>9999.0</v>
      </c>
      <c r="V13" s="50">
        <v>9999.0</v>
      </c>
      <c r="W13" s="116"/>
      <c r="X13" s="116"/>
      <c r="Y13" s="116"/>
      <c r="Z13" s="50">
        <v>40.0</v>
      </c>
      <c r="AA13" s="50">
        <v>9999.0</v>
      </c>
      <c r="AB13" s="116"/>
      <c r="AC13" s="116"/>
      <c r="AD13" s="116"/>
      <c r="AE13" s="50">
        <v>1.0</v>
      </c>
      <c r="AF13" s="50" t="s">
        <v>18780</v>
      </c>
      <c r="AG13" s="117">
        <v>2891.0</v>
      </c>
      <c r="AH13" s="50" t="s">
        <v>18881</v>
      </c>
      <c r="AI13" s="50" t="s">
        <v>18882</v>
      </c>
      <c r="AJ13" s="117">
        <v>12.0</v>
      </c>
    </row>
    <row r="14">
      <c r="A14" s="50" t="s">
        <v>18877</v>
      </c>
      <c r="B14" s="50" t="s">
        <v>6876</v>
      </c>
      <c r="C14" s="50" t="s">
        <v>6877</v>
      </c>
      <c r="D14" s="50" t="s">
        <v>6907</v>
      </c>
      <c r="E14" s="144">
        <v>43606.0</v>
      </c>
      <c r="F14" s="50" t="s">
        <v>18887</v>
      </c>
      <c r="G14" s="50">
        <v>58.0</v>
      </c>
      <c r="H14" s="50">
        <v>2.0</v>
      </c>
      <c r="I14" s="50">
        <v>7.0</v>
      </c>
      <c r="J14" s="116"/>
      <c r="K14" s="116"/>
      <c r="L14" s="50" t="s">
        <v>2625</v>
      </c>
      <c r="M14" s="50" t="s">
        <v>2625</v>
      </c>
      <c r="N14" s="116"/>
      <c r="O14" s="116"/>
      <c r="P14" s="116"/>
      <c r="Q14" s="116"/>
      <c r="R14" s="50" t="s">
        <v>18778</v>
      </c>
      <c r="S14" s="116"/>
      <c r="T14" s="24">
        <v>43595.0</v>
      </c>
      <c r="U14" s="50">
        <v>9999.0</v>
      </c>
      <c r="V14" s="50">
        <v>9999.0</v>
      </c>
      <c r="W14" s="116"/>
      <c r="X14" s="116"/>
      <c r="Y14" s="116"/>
      <c r="Z14" s="50">
        <v>9999.0</v>
      </c>
      <c r="AA14" s="50">
        <v>9999.0</v>
      </c>
      <c r="AB14" s="116"/>
      <c r="AC14" s="116"/>
      <c r="AD14" s="116"/>
      <c r="AE14" s="50">
        <v>1.0</v>
      </c>
      <c r="AF14" s="50" t="s">
        <v>18780</v>
      </c>
      <c r="AG14" s="117">
        <v>2892.0</v>
      </c>
      <c r="AH14" s="50" t="s">
        <v>18892</v>
      </c>
      <c r="AI14" s="50" t="s">
        <v>18893</v>
      </c>
      <c r="AJ14" s="117">
        <v>13.0</v>
      </c>
    </row>
    <row r="15">
      <c r="A15" s="50" t="s">
        <v>18894</v>
      </c>
      <c r="B15" s="50" t="s">
        <v>6876</v>
      </c>
      <c r="C15" s="50" t="s">
        <v>6877</v>
      </c>
      <c r="D15" s="50" t="s">
        <v>8310</v>
      </c>
      <c r="E15" s="144">
        <v>43777.0</v>
      </c>
      <c r="F15" s="50" t="s">
        <v>18896</v>
      </c>
      <c r="G15" s="50">
        <v>66.0</v>
      </c>
      <c r="H15" s="50">
        <v>1.0</v>
      </c>
      <c r="I15" s="50">
        <v>12.0</v>
      </c>
      <c r="J15" s="116"/>
      <c r="K15" s="116"/>
      <c r="L15" s="50" t="s">
        <v>1468</v>
      </c>
      <c r="M15" s="50" t="s">
        <v>1468</v>
      </c>
      <c r="N15" s="122">
        <v>43467.0</v>
      </c>
      <c r="O15" s="50">
        <v>1.0</v>
      </c>
      <c r="P15" s="50">
        <v>1.0</v>
      </c>
      <c r="Q15" s="116"/>
      <c r="R15" s="50" t="s">
        <v>18899</v>
      </c>
      <c r="S15" s="116"/>
      <c r="T15" s="144">
        <v>43770.0</v>
      </c>
      <c r="U15" s="50">
        <v>23.54</v>
      </c>
      <c r="V15" s="50">
        <v>23.54</v>
      </c>
      <c r="W15" s="116"/>
      <c r="X15" s="116"/>
      <c r="Y15" s="144">
        <v>43770.0</v>
      </c>
      <c r="Z15" s="50">
        <v>30.45</v>
      </c>
      <c r="AA15" s="50">
        <v>30.47</v>
      </c>
      <c r="AB15" s="116"/>
      <c r="AC15" s="116"/>
      <c r="AD15" s="116"/>
      <c r="AE15" s="50">
        <v>1.0</v>
      </c>
      <c r="AF15" s="50" t="s">
        <v>18902</v>
      </c>
      <c r="AG15" s="117">
        <v>5052.0</v>
      </c>
      <c r="AH15" s="50" t="s">
        <v>18903</v>
      </c>
      <c r="AI15" s="50" t="s">
        <v>18904</v>
      </c>
      <c r="AJ15" s="117">
        <v>14.0</v>
      </c>
    </row>
    <row r="16">
      <c r="A16" s="50" t="s">
        <v>18896</v>
      </c>
      <c r="B16" s="50" t="s">
        <v>6876</v>
      </c>
      <c r="C16" s="50" t="s">
        <v>6877</v>
      </c>
      <c r="D16" s="50" t="s">
        <v>8310</v>
      </c>
      <c r="E16" s="144">
        <v>43777.0</v>
      </c>
      <c r="F16" s="50" t="s">
        <v>18907</v>
      </c>
      <c r="G16" s="50">
        <v>66.0</v>
      </c>
      <c r="H16" s="50">
        <v>1.0</v>
      </c>
      <c r="I16" s="50">
        <v>99.0</v>
      </c>
      <c r="J16" s="116"/>
      <c r="K16" s="116"/>
      <c r="L16" s="50" t="s">
        <v>1470</v>
      </c>
      <c r="M16" s="50" t="s">
        <v>1470</v>
      </c>
      <c r="N16" s="122">
        <v>43467.0</v>
      </c>
      <c r="O16" s="50">
        <v>1.0</v>
      </c>
      <c r="P16" s="50">
        <v>1.0</v>
      </c>
      <c r="Q16" s="116"/>
      <c r="R16" s="50" t="s">
        <v>18899</v>
      </c>
      <c r="S16" s="116"/>
      <c r="T16" s="144">
        <v>43770.0</v>
      </c>
      <c r="U16" s="50">
        <v>9999.0</v>
      </c>
      <c r="V16" s="50">
        <v>9999.0</v>
      </c>
      <c r="W16" s="116"/>
      <c r="X16" s="116"/>
      <c r="Y16" s="144">
        <v>43770.0</v>
      </c>
      <c r="Z16" s="50">
        <v>9999.0</v>
      </c>
      <c r="AA16" s="50">
        <v>9999.0</v>
      </c>
      <c r="AB16" s="116"/>
      <c r="AC16" s="116"/>
      <c r="AD16" s="50" t="s">
        <v>14947</v>
      </c>
      <c r="AE16" s="50">
        <v>1.0</v>
      </c>
      <c r="AF16" s="50" t="s">
        <v>18902</v>
      </c>
      <c r="AG16" s="117">
        <v>5053.0</v>
      </c>
      <c r="AH16" s="50" t="s">
        <v>18909</v>
      </c>
      <c r="AI16" s="50" t="s">
        <v>18910</v>
      </c>
      <c r="AJ16" s="117">
        <v>15.0</v>
      </c>
    </row>
    <row r="17">
      <c r="A17" s="50" t="s">
        <v>18907</v>
      </c>
      <c r="B17" s="50" t="s">
        <v>6876</v>
      </c>
      <c r="C17" s="50" t="s">
        <v>6877</v>
      </c>
      <c r="D17" s="50" t="s">
        <v>8310</v>
      </c>
      <c r="E17" s="144">
        <v>43777.0</v>
      </c>
      <c r="F17" s="50" t="s">
        <v>18913</v>
      </c>
      <c r="G17" s="50">
        <v>59.0</v>
      </c>
      <c r="H17" s="50">
        <v>1.0</v>
      </c>
      <c r="I17" s="50">
        <v>12.0</v>
      </c>
      <c r="J17" s="123"/>
      <c r="K17" s="123"/>
      <c r="L17" s="50" t="s">
        <v>1471</v>
      </c>
      <c r="M17" s="50" t="s">
        <v>1471</v>
      </c>
      <c r="N17" s="122">
        <v>43467.0</v>
      </c>
      <c r="O17" s="50">
        <v>1.0</v>
      </c>
      <c r="P17" s="50">
        <v>1.0</v>
      </c>
      <c r="Q17" s="123"/>
      <c r="R17" s="50" t="s">
        <v>18899</v>
      </c>
      <c r="S17" s="123"/>
      <c r="T17" s="144">
        <v>43770.0</v>
      </c>
      <c r="U17" s="50">
        <v>22.71</v>
      </c>
      <c r="V17" s="50">
        <v>22.77</v>
      </c>
      <c r="W17" s="123"/>
      <c r="X17" s="123"/>
      <c r="Y17" s="144">
        <v>43770.0</v>
      </c>
      <c r="Z17" s="50">
        <v>34.57</v>
      </c>
      <c r="AA17" s="50">
        <v>34.67</v>
      </c>
      <c r="AB17" s="123"/>
      <c r="AC17" s="123"/>
      <c r="AD17" s="123"/>
      <c r="AE17" s="50">
        <v>1.0</v>
      </c>
      <c r="AF17" s="50" t="s">
        <v>18902</v>
      </c>
      <c r="AG17" s="117">
        <v>5054.0</v>
      </c>
      <c r="AH17" s="50" t="s">
        <v>18919</v>
      </c>
      <c r="AI17" s="50" t="s">
        <v>18920</v>
      </c>
      <c r="AJ17" s="117">
        <v>16.0</v>
      </c>
    </row>
    <row r="18">
      <c r="A18" s="50" t="s">
        <v>18913</v>
      </c>
      <c r="B18" s="50" t="s">
        <v>6876</v>
      </c>
      <c r="C18" s="50" t="s">
        <v>6877</v>
      </c>
      <c r="D18" s="50" t="s">
        <v>8310</v>
      </c>
      <c r="E18" s="144">
        <v>43777.0</v>
      </c>
      <c r="F18" s="50" t="s">
        <v>18923</v>
      </c>
      <c r="G18" s="50">
        <v>59.0</v>
      </c>
      <c r="H18" s="50">
        <v>1.0</v>
      </c>
      <c r="I18" s="50">
        <v>99.0</v>
      </c>
      <c r="J18" s="116"/>
      <c r="K18" s="116"/>
      <c r="L18" s="50" t="s">
        <v>233</v>
      </c>
      <c r="M18" s="50" t="s">
        <v>233</v>
      </c>
      <c r="N18" s="122">
        <v>43467.0</v>
      </c>
      <c r="O18" s="50">
        <v>1.0</v>
      </c>
      <c r="P18" s="50">
        <v>1.0</v>
      </c>
      <c r="Q18" s="116"/>
      <c r="R18" s="50" t="s">
        <v>18899</v>
      </c>
      <c r="S18" s="116"/>
      <c r="T18" s="144">
        <v>43770.0</v>
      </c>
      <c r="U18" s="50">
        <v>36.72</v>
      </c>
      <c r="V18" s="50">
        <v>9999.0</v>
      </c>
      <c r="W18" s="116"/>
      <c r="X18" s="116"/>
      <c r="Y18" s="144">
        <v>43770.0</v>
      </c>
      <c r="Z18" s="50">
        <v>32.76</v>
      </c>
      <c r="AA18" s="50">
        <v>9999.0</v>
      </c>
      <c r="AB18" s="116"/>
      <c r="AC18" s="116"/>
      <c r="AD18" s="50" t="s">
        <v>14970</v>
      </c>
      <c r="AE18" s="50">
        <v>1.0</v>
      </c>
      <c r="AF18" s="50" t="s">
        <v>18902</v>
      </c>
      <c r="AG18" s="117">
        <v>5055.0</v>
      </c>
      <c r="AH18" s="50" t="s">
        <v>18927</v>
      </c>
      <c r="AI18" s="50" t="s">
        <v>18928</v>
      </c>
      <c r="AJ18" s="117">
        <v>17.0</v>
      </c>
    </row>
    <row r="19">
      <c r="A19" s="50" t="s">
        <v>18923</v>
      </c>
      <c r="B19" s="50" t="s">
        <v>6876</v>
      </c>
      <c r="C19" s="50" t="s">
        <v>6877</v>
      </c>
      <c r="D19" s="50" t="s">
        <v>8310</v>
      </c>
      <c r="E19" s="144">
        <v>43777.0</v>
      </c>
      <c r="F19" s="50" t="s">
        <v>18930</v>
      </c>
      <c r="G19" s="50">
        <v>59.0</v>
      </c>
      <c r="H19" s="50">
        <v>1.0</v>
      </c>
      <c r="I19" s="50">
        <v>99.0</v>
      </c>
      <c r="J19" s="116"/>
      <c r="K19" s="116"/>
      <c r="L19" s="50" t="s">
        <v>236</v>
      </c>
      <c r="M19" s="50" t="s">
        <v>236</v>
      </c>
      <c r="N19" s="122">
        <v>43467.0</v>
      </c>
      <c r="O19" s="50">
        <v>1.0</v>
      </c>
      <c r="P19" s="50">
        <v>1.0</v>
      </c>
      <c r="Q19" s="116"/>
      <c r="R19" s="50" t="s">
        <v>18899</v>
      </c>
      <c r="S19" s="116"/>
      <c r="T19" s="144">
        <v>43770.0</v>
      </c>
      <c r="U19" s="50">
        <v>9999.0</v>
      </c>
      <c r="V19" s="50">
        <v>9999.0</v>
      </c>
      <c r="W19" s="116"/>
      <c r="X19" s="116"/>
      <c r="Y19" s="144">
        <v>43770.0</v>
      </c>
      <c r="Z19" s="50">
        <v>9999.0</v>
      </c>
      <c r="AA19" s="50">
        <v>9999.0</v>
      </c>
      <c r="AB19" s="116"/>
      <c r="AC19" s="116"/>
      <c r="AD19" s="50" t="s">
        <v>14970</v>
      </c>
      <c r="AE19" s="50">
        <v>1.0</v>
      </c>
      <c r="AF19" s="50" t="s">
        <v>18902</v>
      </c>
      <c r="AG19" s="117">
        <v>5056.0</v>
      </c>
      <c r="AH19" s="50" t="s">
        <v>18934</v>
      </c>
      <c r="AI19" s="50" t="s">
        <v>18935</v>
      </c>
      <c r="AJ19" s="117">
        <v>18.0</v>
      </c>
    </row>
    <row r="20">
      <c r="A20" s="50" t="s">
        <v>18930</v>
      </c>
      <c r="B20" s="50" t="s">
        <v>6876</v>
      </c>
      <c r="C20" s="50" t="s">
        <v>6877</v>
      </c>
      <c r="D20" s="50" t="s">
        <v>8310</v>
      </c>
      <c r="E20" s="144">
        <v>43777.0</v>
      </c>
      <c r="F20" s="50" t="s">
        <v>18936</v>
      </c>
      <c r="G20" s="50">
        <v>59.0</v>
      </c>
      <c r="H20" s="50">
        <v>1.0</v>
      </c>
      <c r="I20" s="50">
        <v>11.0</v>
      </c>
      <c r="J20" s="116"/>
      <c r="K20" s="116"/>
      <c r="L20" s="50" t="s">
        <v>1473</v>
      </c>
      <c r="M20" s="50" t="s">
        <v>1473</v>
      </c>
      <c r="N20" s="122">
        <v>43467.0</v>
      </c>
      <c r="O20" s="50">
        <v>1.0</v>
      </c>
      <c r="P20" s="50">
        <v>1.0</v>
      </c>
      <c r="Q20" s="116"/>
      <c r="R20" s="50" t="s">
        <v>18899</v>
      </c>
      <c r="S20" s="116"/>
      <c r="T20" s="144">
        <v>43770.0</v>
      </c>
      <c r="U20" s="50">
        <v>9999.0</v>
      </c>
      <c r="V20" s="50">
        <v>9999.0</v>
      </c>
      <c r="W20" s="116"/>
      <c r="X20" s="116"/>
      <c r="Y20" s="144">
        <v>43770.0</v>
      </c>
      <c r="Z20" s="50">
        <v>9999.0</v>
      </c>
      <c r="AA20" s="50">
        <v>9999.0</v>
      </c>
      <c r="AB20" s="116"/>
      <c r="AC20" s="116"/>
      <c r="AD20" s="116"/>
      <c r="AE20" s="50">
        <v>1.0</v>
      </c>
      <c r="AF20" s="50" t="s">
        <v>18902</v>
      </c>
      <c r="AG20" s="117">
        <v>5057.0</v>
      </c>
      <c r="AH20" s="50" t="s">
        <v>18943</v>
      </c>
      <c r="AI20" s="50" t="s">
        <v>18944</v>
      </c>
      <c r="AJ20" s="117">
        <v>19.0</v>
      </c>
    </row>
    <row r="21">
      <c r="A21" s="50" t="s">
        <v>18945</v>
      </c>
      <c r="B21" s="50" t="s">
        <v>6876</v>
      </c>
      <c r="C21" s="50" t="s">
        <v>6877</v>
      </c>
      <c r="D21" s="50" t="s">
        <v>8310</v>
      </c>
      <c r="E21" s="144">
        <v>43777.0</v>
      </c>
      <c r="F21" s="50" t="s">
        <v>18947</v>
      </c>
      <c r="G21" s="50">
        <v>59.0</v>
      </c>
      <c r="H21" s="50">
        <v>1.0</v>
      </c>
      <c r="I21" s="50">
        <v>99.0</v>
      </c>
      <c r="J21" s="116"/>
      <c r="K21" s="116"/>
      <c r="L21" s="50" t="s">
        <v>237</v>
      </c>
      <c r="M21" s="50" t="s">
        <v>237</v>
      </c>
      <c r="N21" s="122">
        <v>43467.0</v>
      </c>
      <c r="O21" s="50">
        <v>1.0</v>
      </c>
      <c r="P21" s="50">
        <v>1.0</v>
      </c>
      <c r="Q21" s="116"/>
      <c r="R21" s="50" t="s">
        <v>18899</v>
      </c>
      <c r="S21" s="116"/>
      <c r="T21" s="144">
        <v>43770.0</v>
      </c>
      <c r="U21" s="50">
        <v>9999.0</v>
      </c>
      <c r="V21" s="50">
        <v>9999.0</v>
      </c>
      <c r="W21" s="116"/>
      <c r="X21" s="116"/>
      <c r="Y21" s="144">
        <v>43770.0</v>
      </c>
      <c r="Z21" s="50">
        <v>32.6</v>
      </c>
      <c r="AA21" s="50">
        <v>9999.0</v>
      </c>
      <c r="AB21" s="116"/>
      <c r="AC21" s="116"/>
      <c r="AD21" s="50" t="s">
        <v>14991</v>
      </c>
      <c r="AE21" s="50">
        <v>1.0</v>
      </c>
      <c r="AF21" s="50" t="s">
        <v>18902</v>
      </c>
      <c r="AG21" s="117">
        <v>5058.0</v>
      </c>
      <c r="AH21" s="50" t="s">
        <v>18951</v>
      </c>
      <c r="AI21" s="50" t="s">
        <v>18952</v>
      </c>
      <c r="AJ21" s="117">
        <v>20.0</v>
      </c>
    </row>
    <row r="22">
      <c r="A22" s="50" t="s">
        <v>18953</v>
      </c>
      <c r="B22" s="50" t="s">
        <v>6876</v>
      </c>
      <c r="C22" s="50" t="s">
        <v>6877</v>
      </c>
      <c r="D22" s="50" t="s">
        <v>8310</v>
      </c>
      <c r="E22" s="144">
        <v>43777.0</v>
      </c>
      <c r="F22" s="50" t="s">
        <v>18956</v>
      </c>
      <c r="G22" s="50">
        <v>59.0</v>
      </c>
      <c r="H22" s="50">
        <v>1.0</v>
      </c>
      <c r="I22" s="50">
        <v>99.0</v>
      </c>
      <c r="J22" s="116"/>
      <c r="K22" s="116"/>
      <c r="L22" s="50" t="s">
        <v>239</v>
      </c>
      <c r="M22" s="50" t="s">
        <v>239</v>
      </c>
      <c r="N22" s="122">
        <v>43467.0</v>
      </c>
      <c r="O22" s="50">
        <v>1.0</v>
      </c>
      <c r="P22" s="50">
        <v>1.0</v>
      </c>
      <c r="Q22" s="116"/>
      <c r="R22" s="50" t="s">
        <v>18899</v>
      </c>
      <c r="S22" s="116"/>
      <c r="T22" s="144">
        <v>43770.0</v>
      </c>
      <c r="U22" s="50">
        <v>9999.0</v>
      </c>
      <c r="V22" s="50">
        <v>9999.0</v>
      </c>
      <c r="W22" s="116"/>
      <c r="X22" s="116"/>
      <c r="Y22" s="144">
        <v>43770.0</v>
      </c>
      <c r="Z22" s="50">
        <v>9999.0</v>
      </c>
      <c r="AA22" s="50">
        <v>9999.0</v>
      </c>
      <c r="AB22" s="116"/>
      <c r="AC22" s="116"/>
      <c r="AD22" s="50" t="s">
        <v>14991</v>
      </c>
      <c r="AE22" s="50">
        <v>1.0</v>
      </c>
      <c r="AF22" s="50" t="s">
        <v>18902</v>
      </c>
      <c r="AG22" s="117">
        <v>5059.0</v>
      </c>
      <c r="AH22" s="50" t="s">
        <v>18958</v>
      </c>
      <c r="AI22" s="50" t="s">
        <v>18959</v>
      </c>
      <c r="AJ22" s="117">
        <v>21.0</v>
      </c>
    </row>
    <row r="23">
      <c r="A23" s="50" t="s">
        <v>18960</v>
      </c>
      <c r="B23" s="50" t="s">
        <v>6876</v>
      </c>
      <c r="C23" s="50" t="s">
        <v>6877</v>
      </c>
      <c r="D23" s="50" t="s">
        <v>8310</v>
      </c>
      <c r="E23" s="144">
        <v>43777.0</v>
      </c>
      <c r="F23" s="50" t="s">
        <v>18963</v>
      </c>
      <c r="G23" s="50">
        <v>59.0</v>
      </c>
      <c r="H23" s="50">
        <v>1.0</v>
      </c>
      <c r="I23" s="50">
        <v>11.0</v>
      </c>
      <c r="J23" s="116"/>
      <c r="K23" s="116"/>
      <c r="L23" s="50" t="s">
        <v>1476</v>
      </c>
      <c r="M23" s="50" t="s">
        <v>1476</v>
      </c>
      <c r="N23" s="122">
        <v>43467.0</v>
      </c>
      <c r="O23" s="50">
        <v>1.0</v>
      </c>
      <c r="P23" s="50">
        <v>1.0</v>
      </c>
      <c r="Q23" s="116"/>
      <c r="R23" s="50" t="s">
        <v>1476</v>
      </c>
      <c r="S23" s="116"/>
      <c r="T23" s="144">
        <v>43770.0</v>
      </c>
      <c r="U23" s="50">
        <v>24.41</v>
      </c>
      <c r="V23" s="50">
        <v>24.72</v>
      </c>
      <c r="W23" s="116"/>
      <c r="X23" s="116"/>
      <c r="Y23" s="144">
        <v>43770.0</v>
      </c>
      <c r="Z23" s="50">
        <v>36.88</v>
      </c>
      <c r="AA23" s="50">
        <v>37.22</v>
      </c>
      <c r="AB23" s="116"/>
      <c r="AC23" s="116"/>
      <c r="AD23" s="116"/>
      <c r="AE23" s="50">
        <v>1.0</v>
      </c>
      <c r="AF23" s="50" t="s">
        <v>18902</v>
      </c>
      <c r="AG23" s="117">
        <v>5060.0</v>
      </c>
      <c r="AH23" s="50" t="s">
        <v>18970</v>
      </c>
      <c r="AI23" s="50" t="s">
        <v>18971</v>
      </c>
      <c r="AJ23" s="117">
        <v>22.0</v>
      </c>
    </row>
    <row r="24">
      <c r="A24" s="50" t="s">
        <v>18963</v>
      </c>
      <c r="B24" s="50" t="s">
        <v>6876</v>
      </c>
      <c r="C24" s="50" t="s">
        <v>6877</v>
      </c>
      <c r="D24" s="50" t="s">
        <v>8310</v>
      </c>
      <c r="E24" s="144">
        <v>43777.0</v>
      </c>
      <c r="F24" s="50" t="s">
        <v>18975</v>
      </c>
      <c r="G24" s="50">
        <v>59.0</v>
      </c>
      <c r="H24" s="50">
        <v>1.0</v>
      </c>
      <c r="I24" s="50">
        <v>99.0</v>
      </c>
      <c r="J24" s="116"/>
      <c r="K24" s="116"/>
      <c r="L24" s="50" t="s">
        <v>242</v>
      </c>
      <c r="M24" s="50" t="s">
        <v>242</v>
      </c>
      <c r="N24" s="122">
        <v>43467.0</v>
      </c>
      <c r="O24" s="50">
        <v>1.0</v>
      </c>
      <c r="P24" s="50">
        <v>1.0</v>
      </c>
      <c r="Q24" s="116"/>
      <c r="R24" s="50" t="s">
        <v>18899</v>
      </c>
      <c r="S24" s="116"/>
      <c r="T24" s="144">
        <v>43770.0</v>
      </c>
      <c r="U24" s="50">
        <v>9999.0</v>
      </c>
      <c r="V24" s="50">
        <v>9999.0</v>
      </c>
      <c r="W24" s="116"/>
      <c r="X24" s="116"/>
      <c r="Y24" s="144">
        <v>43770.0</v>
      </c>
      <c r="Z24" s="50">
        <v>9999.0</v>
      </c>
      <c r="AA24" s="50">
        <v>9999.0</v>
      </c>
      <c r="AB24" s="116"/>
      <c r="AC24" s="116"/>
      <c r="AD24" s="50" t="s">
        <v>15007</v>
      </c>
      <c r="AE24" s="50">
        <v>1.0</v>
      </c>
      <c r="AF24" s="50" t="s">
        <v>18902</v>
      </c>
      <c r="AG24" s="117">
        <v>5061.0</v>
      </c>
      <c r="AH24" s="50" t="s">
        <v>18979</v>
      </c>
      <c r="AI24" s="50" t="s">
        <v>18980</v>
      </c>
      <c r="AJ24" s="117">
        <v>23.0</v>
      </c>
    </row>
    <row r="25">
      <c r="A25" s="50" t="s">
        <v>18975</v>
      </c>
      <c r="B25" s="50" t="s">
        <v>6876</v>
      </c>
      <c r="C25" s="50" t="s">
        <v>6877</v>
      </c>
      <c r="D25" s="50" t="s">
        <v>8310</v>
      </c>
      <c r="E25" s="144">
        <v>43777.0</v>
      </c>
      <c r="F25" s="50" t="s">
        <v>18981</v>
      </c>
      <c r="G25" s="50">
        <v>59.0</v>
      </c>
      <c r="H25" s="50">
        <v>1.0</v>
      </c>
      <c r="I25" s="50">
        <v>11.0</v>
      </c>
      <c r="J25" s="116"/>
      <c r="K25" s="116"/>
      <c r="L25" s="50" t="s">
        <v>1479</v>
      </c>
      <c r="M25" s="50" t="s">
        <v>1479</v>
      </c>
      <c r="N25" s="122">
        <v>43467.0</v>
      </c>
      <c r="O25" s="50">
        <v>1.0</v>
      </c>
      <c r="P25" s="50">
        <v>1.0</v>
      </c>
      <c r="Q25" s="116"/>
      <c r="R25" s="50" t="s">
        <v>18899</v>
      </c>
      <c r="S25" s="116"/>
      <c r="T25" s="144">
        <v>43770.0</v>
      </c>
      <c r="U25" s="50">
        <v>27.02</v>
      </c>
      <c r="V25" s="50">
        <v>26.5</v>
      </c>
      <c r="W25" s="116"/>
      <c r="X25" s="116"/>
      <c r="Y25" s="144">
        <v>43770.0</v>
      </c>
      <c r="Z25" s="50">
        <v>9999.0</v>
      </c>
      <c r="AA25" s="50">
        <v>9999.0</v>
      </c>
      <c r="AB25" s="116"/>
      <c r="AC25" s="116"/>
      <c r="AD25" s="116"/>
      <c r="AE25" s="50">
        <v>1.0</v>
      </c>
      <c r="AF25" s="50" t="s">
        <v>18902</v>
      </c>
      <c r="AG25" s="117">
        <v>5062.0</v>
      </c>
      <c r="AH25" s="50" t="s">
        <v>18985</v>
      </c>
      <c r="AI25" s="50" t="s">
        <v>18986</v>
      </c>
      <c r="AJ25" s="117">
        <v>24.0</v>
      </c>
    </row>
    <row r="26">
      <c r="A26" s="50" t="s">
        <v>18981</v>
      </c>
      <c r="B26" s="50" t="s">
        <v>6876</v>
      </c>
      <c r="C26" s="50" t="s">
        <v>6877</v>
      </c>
      <c r="D26" s="50" t="s">
        <v>8310</v>
      </c>
      <c r="E26" s="144">
        <v>43777.0</v>
      </c>
      <c r="F26" s="50" t="s">
        <v>18988</v>
      </c>
      <c r="G26" s="50">
        <v>59.0</v>
      </c>
      <c r="H26" s="50">
        <v>1.0</v>
      </c>
      <c r="I26" s="50">
        <v>99.0</v>
      </c>
      <c r="J26" s="116"/>
      <c r="K26" s="116"/>
      <c r="L26" s="50" t="s">
        <v>246</v>
      </c>
      <c r="M26" s="50" t="s">
        <v>246</v>
      </c>
      <c r="N26" s="122">
        <v>43467.0</v>
      </c>
      <c r="O26" s="50">
        <v>1.0</v>
      </c>
      <c r="P26" s="50">
        <v>1.0</v>
      </c>
      <c r="Q26" s="116"/>
      <c r="R26" s="50" t="s">
        <v>18899</v>
      </c>
      <c r="S26" s="116"/>
      <c r="T26" s="144">
        <v>43770.0</v>
      </c>
      <c r="U26" s="50">
        <v>9999.0</v>
      </c>
      <c r="V26" s="50">
        <v>9999.0</v>
      </c>
      <c r="W26" s="116"/>
      <c r="X26" s="116"/>
      <c r="Y26" s="144">
        <v>43770.0</v>
      </c>
      <c r="Z26" s="50">
        <v>9999.0</v>
      </c>
      <c r="AA26" s="50">
        <v>9999.0</v>
      </c>
      <c r="AB26" s="116"/>
      <c r="AC26" s="116"/>
      <c r="AD26" s="50" t="s">
        <v>15026</v>
      </c>
      <c r="AE26" s="50">
        <v>1.0</v>
      </c>
      <c r="AF26" s="50" t="s">
        <v>18902</v>
      </c>
      <c r="AG26" s="117">
        <v>5063.0</v>
      </c>
      <c r="AH26" s="50" t="s">
        <v>18995</v>
      </c>
      <c r="AI26" s="50" t="s">
        <v>18996</v>
      </c>
      <c r="AJ26" s="117">
        <v>25.0</v>
      </c>
    </row>
    <row r="27">
      <c r="A27" s="50" t="s">
        <v>18988</v>
      </c>
      <c r="B27" s="50" t="s">
        <v>6876</v>
      </c>
      <c r="C27" s="50" t="s">
        <v>6877</v>
      </c>
      <c r="D27" s="50" t="s">
        <v>8310</v>
      </c>
      <c r="E27" s="144">
        <v>43777.0</v>
      </c>
      <c r="F27" s="50" t="s">
        <v>19000</v>
      </c>
      <c r="G27" s="50">
        <v>59.0</v>
      </c>
      <c r="H27" s="50">
        <v>1.0</v>
      </c>
      <c r="I27" s="50">
        <v>11.0</v>
      </c>
      <c r="J27" s="116"/>
      <c r="K27" s="116"/>
      <c r="L27" s="50" t="s">
        <v>1481</v>
      </c>
      <c r="M27" s="50" t="s">
        <v>1481</v>
      </c>
      <c r="N27" s="122">
        <v>43467.0</v>
      </c>
      <c r="O27" s="50">
        <v>1.0</v>
      </c>
      <c r="P27" s="50">
        <v>1.0</v>
      </c>
      <c r="Q27" s="116"/>
      <c r="R27" s="50" t="s">
        <v>18899</v>
      </c>
      <c r="S27" s="116"/>
      <c r="T27" s="144">
        <v>43770.0</v>
      </c>
      <c r="U27" s="50">
        <v>23.9</v>
      </c>
      <c r="V27" s="50">
        <v>23.76</v>
      </c>
      <c r="W27" s="116"/>
      <c r="X27" s="116"/>
      <c r="Y27" s="144">
        <v>43770.0</v>
      </c>
      <c r="Z27" s="50">
        <v>39.12</v>
      </c>
      <c r="AA27" s="50">
        <v>37.94</v>
      </c>
      <c r="AB27" s="116"/>
      <c r="AC27" s="116"/>
      <c r="AD27" s="116"/>
      <c r="AE27" s="50">
        <v>1.0</v>
      </c>
      <c r="AF27" s="50" t="s">
        <v>18902</v>
      </c>
      <c r="AG27" s="117">
        <v>5064.0</v>
      </c>
      <c r="AH27" s="50" t="s">
        <v>19003</v>
      </c>
      <c r="AI27" s="50" t="s">
        <v>19005</v>
      </c>
      <c r="AJ27" s="117">
        <v>26.0</v>
      </c>
    </row>
    <row r="28">
      <c r="A28" s="50" t="s">
        <v>19000</v>
      </c>
      <c r="B28" s="50" t="s">
        <v>6876</v>
      </c>
      <c r="C28" s="50" t="s">
        <v>6877</v>
      </c>
      <c r="D28" s="50" t="s">
        <v>8310</v>
      </c>
      <c r="E28" s="144">
        <v>43777.0</v>
      </c>
      <c r="F28" s="50" t="s">
        <v>19006</v>
      </c>
      <c r="G28" s="50">
        <v>59.0</v>
      </c>
      <c r="H28" s="50">
        <v>1.0</v>
      </c>
      <c r="I28" s="50">
        <v>99.0</v>
      </c>
      <c r="J28" s="116"/>
      <c r="K28" s="116"/>
      <c r="L28" s="50" t="s">
        <v>249</v>
      </c>
      <c r="M28" s="50" t="s">
        <v>249</v>
      </c>
      <c r="N28" s="122">
        <v>43467.0</v>
      </c>
      <c r="O28" s="50">
        <v>1.0</v>
      </c>
      <c r="P28" s="50">
        <v>1.0</v>
      </c>
      <c r="Q28" s="116"/>
      <c r="R28" s="50" t="s">
        <v>18899</v>
      </c>
      <c r="S28" s="116"/>
      <c r="T28" s="144">
        <v>43770.0</v>
      </c>
      <c r="U28" s="50">
        <v>9999.0</v>
      </c>
      <c r="V28" s="50">
        <v>9999.0</v>
      </c>
      <c r="W28" s="116"/>
      <c r="X28" s="116"/>
      <c r="Y28" s="144">
        <v>43770.0</v>
      </c>
      <c r="Z28" s="50">
        <v>9999.0</v>
      </c>
      <c r="AA28" s="50">
        <v>9999.0</v>
      </c>
      <c r="AB28" s="116"/>
      <c r="AC28" s="116"/>
      <c r="AD28" s="50" t="s">
        <v>15046</v>
      </c>
      <c r="AE28" s="50">
        <v>1.0</v>
      </c>
      <c r="AF28" s="50" t="s">
        <v>18902</v>
      </c>
      <c r="AG28" s="117">
        <v>5065.0</v>
      </c>
      <c r="AH28" s="50" t="s">
        <v>19014</v>
      </c>
      <c r="AI28" s="50" t="s">
        <v>19015</v>
      </c>
      <c r="AJ28" s="117">
        <v>27.0</v>
      </c>
    </row>
    <row r="29">
      <c r="A29" s="50" t="s">
        <v>19006</v>
      </c>
      <c r="B29" s="50" t="s">
        <v>6876</v>
      </c>
      <c r="C29" s="50" t="s">
        <v>6877</v>
      </c>
      <c r="D29" s="50" t="s">
        <v>8310</v>
      </c>
      <c r="E29" s="144">
        <v>43777.0</v>
      </c>
      <c r="F29" s="50" t="s">
        <v>19020</v>
      </c>
      <c r="G29" s="50">
        <v>59.0</v>
      </c>
      <c r="H29" s="50">
        <v>1.0</v>
      </c>
      <c r="I29" s="50">
        <v>11.0</v>
      </c>
      <c r="J29" s="116"/>
      <c r="K29" s="116"/>
      <c r="L29" s="50" t="s">
        <v>1483</v>
      </c>
      <c r="M29" s="50" t="s">
        <v>1483</v>
      </c>
      <c r="N29" s="122">
        <v>43467.0</v>
      </c>
      <c r="O29" s="50">
        <v>1.0</v>
      </c>
      <c r="P29" s="50">
        <v>1.0</v>
      </c>
      <c r="Q29" s="116"/>
      <c r="R29" s="50" t="s">
        <v>19024</v>
      </c>
      <c r="S29" s="116"/>
      <c r="T29" s="144">
        <v>43771.0</v>
      </c>
      <c r="U29" s="50">
        <v>30.17</v>
      </c>
      <c r="V29" s="50">
        <v>9999.0</v>
      </c>
      <c r="W29" s="116"/>
      <c r="X29" s="116"/>
      <c r="Y29" s="144">
        <v>43771.0</v>
      </c>
      <c r="Z29" s="50">
        <v>38.41</v>
      </c>
      <c r="AA29" s="50">
        <v>38.5</v>
      </c>
      <c r="AB29" s="116"/>
      <c r="AC29" s="116"/>
      <c r="AD29" s="116"/>
      <c r="AE29" s="50">
        <v>1.0</v>
      </c>
      <c r="AF29" s="50" t="s">
        <v>18902</v>
      </c>
      <c r="AG29" s="117">
        <v>5066.0</v>
      </c>
      <c r="AH29" s="50" t="s">
        <v>19026</v>
      </c>
      <c r="AI29" s="50" t="s">
        <v>19027</v>
      </c>
      <c r="AJ29" s="117">
        <v>28.0</v>
      </c>
    </row>
    <row r="30">
      <c r="A30" s="50" t="s">
        <v>19020</v>
      </c>
      <c r="B30" s="50" t="s">
        <v>6876</v>
      </c>
      <c r="C30" s="50" t="s">
        <v>6877</v>
      </c>
      <c r="D30" s="50" t="s">
        <v>8310</v>
      </c>
      <c r="E30" s="144">
        <v>43777.0</v>
      </c>
      <c r="F30" s="50" t="s">
        <v>19028</v>
      </c>
      <c r="G30" s="50">
        <v>59.0</v>
      </c>
      <c r="H30" s="50">
        <v>1.0</v>
      </c>
      <c r="I30" s="50">
        <v>99.0</v>
      </c>
      <c r="J30" s="116"/>
      <c r="K30" s="116"/>
      <c r="L30" s="50" t="s">
        <v>252</v>
      </c>
      <c r="M30" s="50" t="s">
        <v>252</v>
      </c>
      <c r="N30" s="122">
        <v>43467.0</v>
      </c>
      <c r="O30" s="50">
        <v>1.0</v>
      </c>
      <c r="P30" s="50">
        <v>1.0</v>
      </c>
      <c r="Q30" s="116"/>
      <c r="R30" s="50" t="s">
        <v>19024</v>
      </c>
      <c r="S30" s="116"/>
      <c r="T30" s="144">
        <v>43771.0</v>
      </c>
      <c r="U30" s="50">
        <v>9999.0</v>
      </c>
      <c r="V30" s="50">
        <v>9999.0</v>
      </c>
      <c r="W30" s="116"/>
      <c r="X30" s="116"/>
      <c r="Y30" s="144">
        <v>43771.0</v>
      </c>
      <c r="Z30" s="50">
        <v>9999.0</v>
      </c>
      <c r="AA30" s="50">
        <v>9999.0</v>
      </c>
      <c r="AB30" s="116"/>
      <c r="AC30" s="116"/>
      <c r="AD30" s="50" t="s">
        <v>15070</v>
      </c>
      <c r="AE30" s="50">
        <v>1.0</v>
      </c>
      <c r="AF30" s="50" t="s">
        <v>18902</v>
      </c>
      <c r="AG30" s="117">
        <v>5067.0</v>
      </c>
      <c r="AH30" s="50" t="s">
        <v>19034</v>
      </c>
      <c r="AI30" s="50" t="s">
        <v>19035</v>
      </c>
      <c r="AJ30" s="117">
        <v>29.0</v>
      </c>
    </row>
    <row r="31">
      <c r="A31" s="50" t="s">
        <v>19028</v>
      </c>
      <c r="B31" s="50" t="s">
        <v>6876</v>
      </c>
      <c r="C31" s="50" t="s">
        <v>6877</v>
      </c>
      <c r="D31" s="50" t="s">
        <v>8310</v>
      </c>
      <c r="E31" s="144">
        <v>43777.0</v>
      </c>
      <c r="F31" s="50" t="s">
        <v>19037</v>
      </c>
      <c r="G31" s="50">
        <v>59.0</v>
      </c>
      <c r="H31" s="50">
        <v>1.0</v>
      </c>
      <c r="I31" s="50">
        <v>11.0</v>
      </c>
      <c r="J31" s="116"/>
      <c r="K31" s="116"/>
      <c r="L31" s="50" t="s">
        <v>6212</v>
      </c>
      <c r="M31" s="50" t="s">
        <v>6212</v>
      </c>
      <c r="N31" s="122">
        <v>43467.0</v>
      </c>
      <c r="O31" s="50">
        <v>1.0</v>
      </c>
      <c r="P31" s="50">
        <v>1.0</v>
      </c>
      <c r="Q31" s="116"/>
      <c r="R31" s="50" t="s">
        <v>19024</v>
      </c>
      <c r="S31" s="116"/>
      <c r="T31" s="144">
        <v>43771.0</v>
      </c>
      <c r="U31" s="50">
        <v>25.94</v>
      </c>
      <c r="V31" s="50">
        <v>26.04</v>
      </c>
      <c r="W31" s="116"/>
      <c r="X31" s="116"/>
      <c r="Y31" s="144">
        <v>43771.0</v>
      </c>
      <c r="Z31" s="50">
        <v>9999.0</v>
      </c>
      <c r="AA31" s="50">
        <v>9999.0</v>
      </c>
      <c r="AB31" s="116"/>
      <c r="AC31" s="116"/>
      <c r="AD31" s="116"/>
      <c r="AE31" s="50">
        <v>1.0</v>
      </c>
      <c r="AF31" s="50" t="s">
        <v>18902</v>
      </c>
      <c r="AG31" s="117">
        <v>5068.0</v>
      </c>
      <c r="AH31" s="50" t="s">
        <v>19041</v>
      </c>
      <c r="AI31" s="50" t="s">
        <v>19043</v>
      </c>
      <c r="AJ31" s="117">
        <v>30.0</v>
      </c>
    </row>
    <row r="32">
      <c r="A32" s="50" t="s">
        <v>19037</v>
      </c>
      <c r="B32" s="50" t="s">
        <v>6876</v>
      </c>
      <c r="C32" s="50" t="s">
        <v>6877</v>
      </c>
      <c r="D32" s="50" t="s">
        <v>8310</v>
      </c>
      <c r="E32" s="144">
        <v>43777.0</v>
      </c>
      <c r="F32" s="50" t="s">
        <v>19045</v>
      </c>
      <c r="G32" s="50">
        <v>59.0</v>
      </c>
      <c r="H32" s="50">
        <v>1.0</v>
      </c>
      <c r="I32" s="50">
        <v>99.0</v>
      </c>
      <c r="J32" s="116"/>
      <c r="K32" s="116"/>
      <c r="L32" s="50" t="s">
        <v>255</v>
      </c>
      <c r="M32" s="50" t="s">
        <v>255</v>
      </c>
      <c r="N32" s="122">
        <v>43467.0</v>
      </c>
      <c r="O32" s="50">
        <v>1.0</v>
      </c>
      <c r="P32" s="50">
        <v>1.0</v>
      </c>
      <c r="Q32" s="116"/>
      <c r="R32" s="50" t="s">
        <v>19024</v>
      </c>
      <c r="S32" s="116"/>
      <c r="T32" s="144">
        <v>43771.0</v>
      </c>
      <c r="U32" s="50">
        <v>9999.0</v>
      </c>
      <c r="V32" s="50">
        <v>9999.0</v>
      </c>
      <c r="W32" s="116"/>
      <c r="X32" s="116"/>
      <c r="Y32" s="144">
        <v>43771.0</v>
      </c>
      <c r="Z32" s="50">
        <v>9999.0</v>
      </c>
      <c r="AA32" s="50">
        <v>9999.0</v>
      </c>
      <c r="AB32" s="116"/>
      <c r="AC32" s="116"/>
      <c r="AD32" s="50" t="s">
        <v>15100</v>
      </c>
      <c r="AE32" s="50">
        <v>1.0</v>
      </c>
      <c r="AF32" s="50" t="s">
        <v>18902</v>
      </c>
      <c r="AG32" s="117">
        <v>5069.0</v>
      </c>
      <c r="AH32" s="50" t="s">
        <v>19049</v>
      </c>
      <c r="AI32" s="50" t="s">
        <v>19051</v>
      </c>
      <c r="AJ32" s="117">
        <v>31.0</v>
      </c>
    </row>
    <row r="33">
      <c r="A33" s="50" t="s">
        <v>19045</v>
      </c>
      <c r="B33" s="50" t="s">
        <v>6876</v>
      </c>
      <c r="C33" s="50" t="s">
        <v>6877</v>
      </c>
      <c r="D33" s="50" t="s">
        <v>8310</v>
      </c>
      <c r="E33" s="144">
        <v>43777.0</v>
      </c>
      <c r="F33" s="50" t="s">
        <v>19052</v>
      </c>
      <c r="G33" s="50">
        <v>59.0</v>
      </c>
      <c r="H33" s="50">
        <v>1.0</v>
      </c>
      <c r="I33" s="50">
        <v>11.0</v>
      </c>
      <c r="J33" s="116"/>
      <c r="K33" s="116"/>
      <c r="L33" s="50" t="s">
        <v>6220</v>
      </c>
      <c r="M33" s="50" t="s">
        <v>6220</v>
      </c>
      <c r="N33" s="122">
        <v>43467.0</v>
      </c>
      <c r="O33" s="50">
        <v>1.0</v>
      </c>
      <c r="P33" s="50">
        <v>1.0</v>
      </c>
      <c r="Q33" s="116"/>
      <c r="R33" s="50" t="s">
        <v>19024</v>
      </c>
      <c r="S33" s="116"/>
      <c r="T33" s="144">
        <v>43771.0</v>
      </c>
      <c r="U33" s="50">
        <v>24.83</v>
      </c>
      <c r="V33" s="50">
        <v>25.21</v>
      </c>
      <c r="W33" s="116"/>
      <c r="X33" s="116"/>
      <c r="Y33" s="144">
        <v>43771.0</v>
      </c>
      <c r="Z33" s="50">
        <v>40.0</v>
      </c>
      <c r="AA33" s="50">
        <v>9999.0</v>
      </c>
      <c r="AB33" s="116"/>
      <c r="AC33" s="116"/>
      <c r="AD33" s="116"/>
      <c r="AE33" s="50">
        <v>1.0</v>
      </c>
      <c r="AF33" s="50" t="s">
        <v>18902</v>
      </c>
      <c r="AG33" s="117">
        <v>5070.0</v>
      </c>
      <c r="AH33" s="50" t="s">
        <v>19056</v>
      </c>
      <c r="AI33" s="50" t="s">
        <v>19057</v>
      </c>
      <c r="AJ33" s="117">
        <v>32.0</v>
      </c>
    </row>
    <row r="34">
      <c r="A34" s="50" t="s">
        <v>19052</v>
      </c>
      <c r="B34" s="50" t="s">
        <v>6876</v>
      </c>
      <c r="C34" s="50" t="s">
        <v>6877</v>
      </c>
      <c r="D34" s="50" t="s">
        <v>8310</v>
      </c>
      <c r="E34" s="144">
        <v>43777.0</v>
      </c>
      <c r="F34" s="50" t="s">
        <v>19059</v>
      </c>
      <c r="G34" s="50">
        <v>59.0</v>
      </c>
      <c r="H34" s="50">
        <v>1.0</v>
      </c>
      <c r="I34" s="50">
        <v>99.0</v>
      </c>
      <c r="J34" s="116"/>
      <c r="K34" s="116"/>
      <c r="L34" s="50" t="s">
        <v>256</v>
      </c>
      <c r="M34" s="50" t="s">
        <v>256</v>
      </c>
      <c r="N34" s="122">
        <v>43467.0</v>
      </c>
      <c r="O34" s="50">
        <v>1.0</v>
      </c>
      <c r="P34" s="50">
        <v>1.0</v>
      </c>
      <c r="Q34" s="116"/>
      <c r="R34" s="50" t="s">
        <v>19024</v>
      </c>
      <c r="S34" s="116"/>
      <c r="T34" s="144">
        <v>43771.0</v>
      </c>
      <c r="U34" s="50">
        <v>9999.0</v>
      </c>
      <c r="V34" s="50">
        <v>9999.0</v>
      </c>
      <c r="W34" s="116"/>
      <c r="X34" s="116"/>
      <c r="Y34" s="144">
        <v>43771.0</v>
      </c>
      <c r="Z34" s="50">
        <v>9999.0</v>
      </c>
      <c r="AA34" s="50">
        <v>9999.0</v>
      </c>
      <c r="AB34" s="116"/>
      <c r="AC34" s="116"/>
      <c r="AD34" s="50" t="s">
        <v>15122</v>
      </c>
      <c r="AE34" s="50">
        <v>1.0</v>
      </c>
      <c r="AF34" s="50" t="s">
        <v>18902</v>
      </c>
      <c r="AG34" s="117">
        <v>5071.0</v>
      </c>
      <c r="AH34" s="50" t="s">
        <v>19067</v>
      </c>
      <c r="AI34" s="50" t="s">
        <v>19068</v>
      </c>
      <c r="AJ34" s="117">
        <v>33.0</v>
      </c>
    </row>
    <row r="35">
      <c r="A35" s="50" t="s">
        <v>19059</v>
      </c>
      <c r="B35" s="50" t="s">
        <v>6876</v>
      </c>
      <c r="C35" s="50" t="s">
        <v>6877</v>
      </c>
      <c r="D35" s="50" t="s">
        <v>8310</v>
      </c>
      <c r="E35" s="144">
        <v>43777.0</v>
      </c>
      <c r="F35" s="50" t="s">
        <v>19070</v>
      </c>
      <c r="G35" s="50">
        <v>59.0</v>
      </c>
      <c r="H35" s="50">
        <v>1.0</v>
      </c>
      <c r="I35" s="50">
        <v>11.0</v>
      </c>
      <c r="J35" s="116"/>
      <c r="K35" s="116"/>
      <c r="L35" s="50" t="s">
        <v>6240</v>
      </c>
      <c r="M35" s="50" t="s">
        <v>6240</v>
      </c>
      <c r="N35" s="122">
        <v>43467.0</v>
      </c>
      <c r="O35" s="50">
        <v>1.0</v>
      </c>
      <c r="P35" s="50">
        <v>1.0</v>
      </c>
      <c r="Q35" s="116"/>
      <c r="R35" s="50" t="s">
        <v>19024</v>
      </c>
      <c r="S35" s="116"/>
      <c r="T35" s="144">
        <v>43771.0</v>
      </c>
      <c r="U35" s="50">
        <v>25.04</v>
      </c>
      <c r="V35" s="50">
        <v>9999.0</v>
      </c>
      <c r="W35" s="116"/>
      <c r="X35" s="116"/>
      <c r="Y35" s="144">
        <v>43771.0</v>
      </c>
      <c r="Z35" s="50">
        <v>40.0</v>
      </c>
      <c r="AA35" s="50">
        <v>9999.0</v>
      </c>
      <c r="AB35" s="116"/>
      <c r="AC35" s="116"/>
      <c r="AD35" s="123"/>
      <c r="AE35" s="50">
        <v>1.0</v>
      </c>
      <c r="AF35" s="50" t="s">
        <v>18902</v>
      </c>
      <c r="AG35" s="117">
        <v>5072.0</v>
      </c>
      <c r="AH35" s="50" t="s">
        <v>19072</v>
      </c>
      <c r="AI35" s="50" t="s">
        <v>19073</v>
      </c>
      <c r="AJ35" s="117">
        <v>34.0</v>
      </c>
    </row>
    <row r="36">
      <c r="A36" s="50" t="s">
        <v>19070</v>
      </c>
      <c r="B36" s="50" t="s">
        <v>6876</v>
      </c>
      <c r="C36" s="50" t="s">
        <v>6877</v>
      </c>
      <c r="D36" s="50" t="s">
        <v>8310</v>
      </c>
      <c r="E36" s="144">
        <v>43777.0</v>
      </c>
      <c r="F36" s="50" t="s">
        <v>19076</v>
      </c>
      <c r="G36" s="50">
        <v>59.0</v>
      </c>
      <c r="H36" s="50">
        <v>1.0</v>
      </c>
      <c r="I36" s="50">
        <v>99.0</v>
      </c>
      <c r="J36" s="116"/>
      <c r="K36" s="116"/>
      <c r="L36" s="50" t="s">
        <v>259</v>
      </c>
      <c r="M36" s="50" t="s">
        <v>259</v>
      </c>
      <c r="N36" s="122">
        <v>43467.0</v>
      </c>
      <c r="O36" s="50">
        <v>1.0</v>
      </c>
      <c r="P36" s="50">
        <v>1.0</v>
      </c>
      <c r="Q36" s="116"/>
      <c r="R36" s="50" t="s">
        <v>19024</v>
      </c>
      <c r="S36" s="116"/>
      <c r="T36" s="144">
        <v>43771.0</v>
      </c>
      <c r="U36" s="50">
        <v>9999.0</v>
      </c>
      <c r="V36" s="50">
        <v>9999.0</v>
      </c>
      <c r="W36" s="116"/>
      <c r="X36" s="116"/>
      <c r="Y36" s="144">
        <v>43771.0</v>
      </c>
      <c r="Z36" s="50">
        <v>9999.0</v>
      </c>
      <c r="AA36" s="50">
        <v>9999.0</v>
      </c>
      <c r="AB36" s="116"/>
      <c r="AC36" s="116"/>
      <c r="AD36" s="50" t="s">
        <v>15144</v>
      </c>
      <c r="AE36" s="50">
        <v>1.0</v>
      </c>
      <c r="AF36" s="50" t="s">
        <v>18902</v>
      </c>
      <c r="AG36" s="117">
        <v>5073.0</v>
      </c>
      <c r="AH36" s="50" t="s">
        <v>19078</v>
      </c>
      <c r="AI36" s="50" t="s">
        <v>19079</v>
      </c>
      <c r="AJ36" s="117">
        <v>35.0</v>
      </c>
    </row>
    <row r="37">
      <c r="A37" s="50" t="s">
        <v>19080</v>
      </c>
      <c r="B37" s="50" t="s">
        <v>6876</v>
      </c>
      <c r="C37" s="50" t="s">
        <v>6877</v>
      </c>
      <c r="D37" s="50" t="s">
        <v>8310</v>
      </c>
      <c r="E37" s="144">
        <v>43777.0</v>
      </c>
      <c r="F37" s="50" t="s">
        <v>19084</v>
      </c>
      <c r="G37" s="50">
        <v>59.0</v>
      </c>
      <c r="H37" s="50">
        <v>1.0</v>
      </c>
      <c r="I37" s="50">
        <v>11.0</v>
      </c>
      <c r="J37" s="116"/>
      <c r="K37" s="116"/>
      <c r="L37" s="50" t="s">
        <v>6255</v>
      </c>
      <c r="M37" s="50" t="s">
        <v>6255</v>
      </c>
      <c r="N37" s="122">
        <v>43467.0</v>
      </c>
      <c r="O37" s="50">
        <v>1.0</v>
      </c>
      <c r="P37" s="50">
        <v>1.0</v>
      </c>
      <c r="Q37" s="116"/>
      <c r="R37" s="50" t="s">
        <v>19024</v>
      </c>
      <c r="S37" s="116"/>
      <c r="T37" s="144">
        <v>43771.0</v>
      </c>
      <c r="U37" s="50">
        <v>9999.0</v>
      </c>
      <c r="V37" s="50">
        <v>9999.0</v>
      </c>
      <c r="W37" s="116"/>
      <c r="X37" s="116"/>
      <c r="Y37" s="144">
        <v>43771.0</v>
      </c>
      <c r="Z37" s="50">
        <v>9999.0</v>
      </c>
      <c r="AA37" s="50">
        <v>40.0</v>
      </c>
      <c r="AB37" s="116"/>
      <c r="AC37" s="116"/>
      <c r="AD37" s="123"/>
      <c r="AE37" s="50">
        <v>1.0</v>
      </c>
      <c r="AF37" s="50" t="s">
        <v>18902</v>
      </c>
      <c r="AG37" s="117">
        <v>5074.0</v>
      </c>
      <c r="AH37" s="50" t="s">
        <v>19089</v>
      </c>
      <c r="AI37" s="50" t="s">
        <v>19090</v>
      </c>
      <c r="AJ37" s="117">
        <v>36.0</v>
      </c>
    </row>
    <row r="38">
      <c r="A38" s="50" t="s">
        <v>19084</v>
      </c>
      <c r="B38" s="50" t="s">
        <v>6876</v>
      </c>
      <c r="C38" s="50" t="s">
        <v>6877</v>
      </c>
      <c r="D38" s="50" t="s">
        <v>8310</v>
      </c>
      <c r="E38" s="144">
        <v>43777.0</v>
      </c>
      <c r="F38" s="50" t="s">
        <v>19091</v>
      </c>
      <c r="G38" s="50">
        <v>59.0</v>
      </c>
      <c r="H38" s="50">
        <v>1.0</v>
      </c>
      <c r="I38" s="50">
        <v>99.0</v>
      </c>
      <c r="J38" s="116"/>
      <c r="K38" s="116"/>
      <c r="L38" s="50" t="s">
        <v>262</v>
      </c>
      <c r="M38" s="50" t="s">
        <v>262</v>
      </c>
      <c r="N38" s="122">
        <v>43467.0</v>
      </c>
      <c r="O38" s="50">
        <v>1.0</v>
      </c>
      <c r="P38" s="50">
        <v>1.0</v>
      </c>
      <c r="Q38" s="116"/>
      <c r="R38" s="50" t="s">
        <v>19024</v>
      </c>
      <c r="S38" s="116"/>
      <c r="T38" s="144">
        <v>43771.0</v>
      </c>
      <c r="U38" s="50">
        <v>9999.0</v>
      </c>
      <c r="V38" s="50">
        <v>9999.0</v>
      </c>
      <c r="W38" s="116"/>
      <c r="X38" s="116"/>
      <c r="Y38" s="144">
        <v>43771.0</v>
      </c>
      <c r="Z38" s="50">
        <v>9999.0</v>
      </c>
      <c r="AA38" s="50">
        <v>9999.0</v>
      </c>
      <c r="AB38" s="116"/>
      <c r="AC38" s="116"/>
      <c r="AD38" s="50" t="s">
        <v>15163</v>
      </c>
      <c r="AE38" s="50">
        <v>1.0</v>
      </c>
      <c r="AF38" s="50" t="s">
        <v>18902</v>
      </c>
      <c r="AG38" s="117">
        <v>5075.0</v>
      </c>
      <c r="AH38" s="50" t="s">
        <v>19096</v>
      </c>
      <c r="AI38" s="50" t="s">
        <v>19097</v>
      </c>
      <c r="AJ38" s="117">
        <v>37.0</v>
      </c>
    </row>
    <row r="39">
      <c r="A39" s="50" t="s">
        <v>19091</v>
      </c>
      <c r="B39" s="50" t="s">
        <v>6876</v>
      </c>
      <c r="C39" s="50" t="s">
        <v>6877</v>
      </c>
      <c r="D39" s="50" t="s">
        <v>8310</v>
      </c>
      <c r="E39" s="144">
        <v>43777.0</v>
      </c>
      <c r="F39" s="50" t="s">
        <v>19102</v>
      </c>
      <c r="G39" s="50">
        <v>59.0</v>
      </c>
      <c r="H39" s="50">
        <v>1.0</v>
      </c>
      <c r="I39" s="50">
        <v>11.0</v>
      </c>
      <c r="J39" s="116"/>
      <c r="K39" s="116"/>
      <c r="L39" s="50" t="s">
        <v>6270</v>
      </c>
      <c r="M39" s="50" t="s">
        <v>6270</v>
      </c>
      <c r="N39" s="122">
        <v>43467.0</v>
      </c>
      <c r="O39" s="50">
        <v>1.0</v>
      </c>
      <c r="P39" s="50">
        <v>1.0</v>
      </c>
      <c r="Q39" s="116"/>
      <c r="R39" s="50" t="s">
        <v>19024</v>
      </c>
      <c r="S39" s="116"/>
      <c r="T39" s="144">
        <v>43771.0</v>
      </c>
      <c r="U39" s="50">
        <v>24.38</v>
      </c>
      <c r="V39" s="50">
        <v>24.15</v>
      </c>
      <c r="W39" s="116"/>
      <c r="X39" s="116"/>
      <c r="Y39" s="144">
        <v>43771.0</v>
      </c>
      <c r="Z39" s="50">
        <v>38.43</v>
      </c>
      <c r="AA39" s="50">
        <v>40.0</v>
      </c>
      <c r="AB39" s="116"/>
      <c r="AC39" s="116"/>
      <c r="AD39" s="116"/>
      <c r="AE39" s="50">
        <v>1.0</v>
      </c>
      <c r="AF39" s="50" t="s">
        <v>18902</v>
      </c>
      <c r="AG39" s="117">
        <v>5076.0</v>
      </c>
      <c r="AH39" s="50" t="s">
        <v>19105</v>
      </c>
      <c r="AI39" s="50" t="s">
        <v>19106</v>
      </c>
      <c r="AJ39" s="117">
        <v>38.0</v>
      </c>
    </row>
    <row r="40">
      <c r="A40" s="50" t="s">
        <v>19102</v>
      </c>
      <c r="B40" s="50" t="s">
        <v>6876</v>
      </c>
      <c r="C40" s="50" t="s">
        <v>6877</v>
      </c>
      <c r="D40" s="50" t="s">
        <v>8310</v>
      </c>
      <c r="E40" s="144">
        <v>43777.0</v>
      </c>
      <c r="F40" s="50" t="s">
        <v>19108</v>
      </c>
      <c r="G40" s="50">
        <v>59.0</v>
      </c>
      <c r="H40" s="50">
        <v>1.0</v>
      </c>
      <c r="I40" s="50">
        <v>99.0</v>
      </c>
      <c r="J40" s="116"/>
      <c r="K40" s="116"/>
      <c r="L40" s="50" t="s">
        <v>265</v>
      </c>
      <c r="M40" s="50" t="s">
        <v>265</v>
      </c>
      <c r="N40" s="122">
        <v>43467.0</v>
      </c>
      <c r="O40" s="50">
        <v>1.0</v>
      </c>
      <c r="P40" s="50">
        <v>1.0</v>
      </c>
      <c r="Q40" s="116"/>
      <c r="R40" s="50" t="s">
        <v>19024</v>
      </c>
      <c r="S40" s="116"/>
      <c r="T40" s="144">
        <v>43771.0</v>
      </c>
      <c r="U40" s="50">
        <v>9999.0</v>
      </c>
      <c r="V40" s="50">
        <v>9999.0</v>
      </c>
      <c r="W40" s="116"/>
      <c r="X40" s="116"/>
      <c r="Y40" s="144">
        <v>43771.0</v>
      </c>
      <c r="Z40" s="50">
        <v>9999.0</v>
      </c>
      <c r="AA40" s="50">
        <v>9999.0</v>
      </c>
      <c r="AB40" s="116"/>
      <c r="AC40" s="116"/>
      <c r="AD40" s="50" t="s">
        <v>15182</v>
      </c>
      <c r="AE40" s="50">
        <v>1.0</v>
      </c>
      <c r="AF40" s="50" t="s">
        <v>18902</v>
      </c>
      <c r="AG40" s="117">
        <v>5077.0</v>
      </c>
      <c r="AH40" s="50" t="s">
        <v>19111</v>
      </c>
      <c r="AI40" s="50" t="s">
        <v>19112</v>
      </c>
      <c r="AJ40" s="117">
        <v>39.0</v>
      </c>
    </row>
    <row r="41">
      <c r="A41" s="50" t="s">
        <v>19113</v>
      </c>
      <c r="B41" s="50" t="s">
        <v>6876</v>
      </c>
      <c r="C41" s="50" t="s">
        <v>6877</v>
      </c>
      <c r="D41" s="50" t="s">
        <v>8310</v>
      </c>
      <c r="E41" s="144">
        <v>43777.0</v>
      </c>
      <c r="F41" s="50" t="s">
        <v>19115</v>
      </c>
      <c r="G41" s="50">
        <v>57.0</v>
      </c>
      <c r="H41" s="50">
        <v>1.0</v>
      </c>
      <c r="I41" s="50">
        <v>12.0</v>
      </c>
      <c r="J41" s="116"/>
      <c r="K41" s="116"/>
      <c r="L41" s="50" t="s">
        <v>1494</v>
      </c>
      <c r="M41" s="50" t="s">
        <v>1494</v>
      </c>
      <c r="N41" s="122">
        <v>43467.0</v>
      </c>
      <c r="O41" s="50">
        <v>1.0</v>
      </c>
      <c r="P41" s="50">
        <v>1.0</v>
      </c>
      <c r="Q41" s="116"/>
      <c r="R41" s="50" t="s">
        <v>19117</v>
      </c>
      <c r="S41" s="116"/>
      <c r="T41" s="144">
        <v>43775.0</v>
      </c>
      <c r="U41" s="50">
        <v>26.28</v>
      </c>
      <c r="V41" s="50">
        <v>9999.0</v>
      </c>
      <c r="W41" s="116"/>
      <c r="X41" s="116"/>
      <c r="Y41" s="144">
        <v>43775.0</v>
      </c>
      <c r="Z41" s="50">
        <v>40.0</v>
      </c>
      <c r="AA41" s="50">
        <v>40.0</v>
      </c>
      <c r="AB41" s="116"/>
      <c r="AC41" s="116"/>
      <c r="AD41" s="116"/>
      <c r="AE41" s="50">
        <v>1.0</v>
      </c>
      <c r="AF41" s="50" t="s">
        <v>18902</v>
      </c>
      <c r="AG41" s="117">
        <v>5078.0</v>
      </c>
      <c r="AH41" s="50" t="s">
        <v>19119</v>
      </c>
      <c r="AI41" s="50" t="s">
        <v>19120</v>
      </c>
      <c r="AJ41" s="117">
        <v>40.0</v>
      </c>
    </row>
    <row r="42">
      <c r="A42" s="50" t="s">
        <v>19115</v>
      </c>
      <c r="B42" s="50" t="s">
        <v>6876</v>
      </c>
      <c r="C42" s="50" t="s">
        <v>6877</v>
      </c>
      <c r="D42" s="50" t="s">
        <v>8310</v>
      </c>
      <c r="E42" s="144">
        <v>43777.0</v>
      </c>
      <c r="F42" s="50" t="s">
        <v>19121</v>
      </c>
      <c r="G42" s="50">
        <v>57.0</v>
      </c>
      <c r="H42" s="50">
        <v>1.0</v>
      </c>
      <c r="I42" s="50">
        <v>99.0</v>
      </c>
      <c r="J42" s="116"/>
      <c r="K42" s="116"/>
      <c r="L42" s="50" t="s">
        <v>1496</v>
      </c>
      <c r="M42" s="50" t="s">
        <v>1496</v>
      </c>
      <c r="N42" s="122">
        <v>43467.0</v>
      </c>
      <c r="O42" s="50">
        <v>1.0</v>
      </c>
      <c r="P42" s="50">
        <v>1.0</v>
      </c>
      <c r="Q42" s="116"/>
      <c r="R42" s="50" t="s">
        <v>19117</v>
      </c>
      <c r="S42" s="116"/>
      <c r="T42" s="144">
        <v>43775.0</v>
      </c>
      <c r="U42" s="50">
        <v>9999.0</v>
      </c>
      <c r="V42" s="50">
        <v>9999.0</v>
      </c>
      <c r="W42" s="116"/>
      <c r="X42" s="116"/>
      <c r="Y42" s="144">
        <v>43775.0</v>
      </c>
      <c r="Z42" s="50">
        <v>36.04</v>
      </c>
      <c r="AA42" s="50">
        <v>9999.0</v>
      </c>
      <c r="AB42" s="116"/>
      <c r="AC42" s="116"/>
      <c r="AD42" s="50" t="s">
        <v>15204</v>
      </c>
      <c r="AE42" s="50">
        <v>1.0</v>
      </c>
      <c r="AF42" s="50" t="s">
        <v>18902</v>
      </c>
      <c r="AG42" s="117">
        <v>5079.0</v>
      </c>
      <c r="AH42" s="50" t="s">
        <v>19128</v>
      </c>
      <c r="AI42" s="50" t="s">
        <v>19129</v>
      </c>
      <c r="AJ42" s="117">
        <v>41.0</v>
      </c>
    </row>
    <row r="43">
      <c r="A43" s="50" t="s">
        <v>19121</v>
      </c>
      <c r="B43" s="50" t="s">
        <v>6876</v>
      </c>
      <c r="C43" s="50" t="s">
        <v>6877</v>
      </c>
      <c r="D43" s="50" t="s">
        <v>8310</v>
      </c>
      <c r="E43" s="144">
        <v>43777.0</v>
      </c>
      <c r="F43" s="50" t="s">
        <v>19130</v>
      </c>
      <c r="G43" s="50">
        <v>55.0</v>
      </c>
      <c r="H43" s="50">
        <v>1.0</v>
      </c>
      <c r="I43" s="50">
        <v>12.0</v>
      </c>
      <c r="J43" s="116"/>
      <c r="K43" s="116"/>
      <c r="L43" s="50" t="s">
        <v>1497</v>
      </c>
      <c r="M43" s="50" t="s">
        <v>1497</v>
      </c>
      <c r="N43" s="122">
        <v>43467.0</v>
      </c>
      <c r="O43" s="50">
        <v>1.0</v>
      </c>
      <c r="P43" s="50">
        <v>1.0</v>
      </c>
      <c r="Q43" s="116"/>
      <c r="R43" s="50" t="s">
        <v>19117</v>
      </c>
      <c r="S43" s="116"/>
      <c r="T43" s="144">
        <v>43775.0</v>
      </c>
      <c r="U43" s="50">
        <v>24.93</v>
      </c>
      <c r="V43" s="50">
        <v>9999.0</v>
      </c>
      <c r="W43" s="116"/>
      <c r="X43" s="116"/>
      <c r="Y43" s="144">
        <v>43775.0</v>
      </c>
      <c r="Z43" s="50">
        <v>33.35</v>
      </c>
      <c r="AA43" s="50">
        <v>35.04</v>
      </c>
      <c r="AB43" s="116"/>
      <c r="AC43" s="116"/>
      <c r="AD43" s="116"/>
      <c r="AE43" s="50">
        <v>1.0</v>
      </c>
      <c r="AF43" s="50" t="s">
        <v>18902</v>
      </c>
      <c r="AG43" s="117">
        <v>5080.0</v>
      </c>
      <c r="AH43" s="50" t="s">
        <v>19134</v>
      </c>
      <c r="AI43" s="50" t="s">
        <v>19135</v>
      </c>
      <c r="AJ43" s="117">
        <v>42.0</v>
      </c>
    </row>
    <row r="44">
      <c r="A44" s="50" t="s">
        <v>19130</v>
      </c>
      <c r="B44" s="50" t="s">
        <v>6876</v>
      </c>
      <c r="C44" s="50" t="s">
        <v>6877</v>
      </c>
      <c r="D44" s="50" t="s">
        <v>8310</v>
      </c>
      <c r="E44" s="144">
        <v>43777.0</v>
      </c>
      <c r="F44" s="50" t="s">
        <v>19136</v>
      </c>
      <c r="G44" s="50">
        <v>55.0</v>
      </c>
      <c r="H44" s="50">
        <v>1.0</v>
      </c>
      <c r="I44" s="50">
        <v>12.0</v>
      </c>
      <c r="J44" s="116"/>
      <c r="K44" s="116"/>
      <c r="L44" s="50" t="s">
        <v>19137</v>
      </c>
      <c r="M44" s="50" t="s">
        <v>19137</v>
      </c>
      <c r="N44" s="122">
        <v>43467.0</v>
      </c>
      <c r="O44" s="50">
        <v>1.0</v>
      </c>
      <c r="P44" s="50">
        <v>1.0</v>
      </c>
      <c r="Q44" s="116"/>
      <c r="R44" s="50" t="s">
        <v>19117</v>
      </c>
      <c r="S44" s="116"/>
      <c r="T44" s="144">
        <v>43775.0</v>
      </c>
      <c r="U44" s="50">
        <v>24.78</v>
      </c>
      <c r="V44" s="50">
        <v>24.01</v>
      </c>
      <c r="W44" s="116"/>
      <c r="X44" s="116"/>
      <c r="Y44" s="144">
        <v>43775.0</v>
      </c>
      <c r="Z44" s="50">
        <v>33.11</v>
      </c>
      <c r="AA44" s="50">
        <v>33.31</v>
      </c>
      <c r="AB44" s="116"/>
      <c r="AC44" s="116"/>
      <c r="AD44" s="123"/>
      <c r="AE44" s="50">
        <v>1.0</v>
      </c>
      <c r="AF44" s="50" t="s">
        <v>18902</v>
      </c>
      <c r="AG44" s="117">
        <v>5081.0</v>
      </c>
      <c r="AH44" s="50" t="s">
        <v>19140</v>
      </c>
      <c r="AI44" s="50" t="s">
        <v>19141</v>
      </c>
      <c r="AJ44" s="117">
        <v>43.0</v>
      </c>
    </row>
    <row r="45">
      <c r="A45" s="50" t="s">
        <v>19136</v>
      </c>
      <c r="B45" s="50" t="s">
        <v>6876</v>
      </c>
      <c r="C45" s="50" t="s">
        <v>6877</v>
      </c>
      <c r="D45" s="50" t="s">
        <v>8310</v>
      </c>
      <c r="E45" s="144">
        <v>43777.0</v>
      </c>
      <c r="F45" s="50" t="s">
        <v>19142</v>
      </c>
      <c r="G45" s="50">
        <v>55.0</v>
      </c>
      <c r="H45" s="50">
        <v>1.0</v>
      </c>
      <c r="I45" s="50">
        <v>99.0</v>
      </c>
      <c r="J45" s="116"/>
      <c r="K45" s="116"/>
      <c r="L45" s="50" t="s">
        <v>1498</v>
      </c>
      <c r="M45" s="50" t="s">
        <v>1498</v>
      </c>
      <c r="N45" s="122">
        <v>43467.0</v>
      </c>
      <c r="O45" s="50">
        <v>1.0</v>
      </c>
      <c r="P45" s="50">
        <v>1.0</v>
      </c>
      <c r="Q45" s="116"/>
      <c r="R45" s="50" t="s">
        <v>19117</v>
      </c>
      <c r="S45" s="116"/>
      <c r="T45" s="144">
        <v>43775.0</v>
      </c>
      <c r="U45" s="50">
        <v>9999.0</v>
      </c>
      <c r="V45" s="50">
        <v>9999.0</v>
      </c>
      <c r="W45" s="116"/>
      <c r="X45" s="116"/>
      <c r="Y45" s="144">
        <v>43775.0</v>
      </c>
      <c r="Z45" s="50">
        <v>9999.0</v>
      </c>
      <c r="AA45" s="50">
        <v>9999.0</v>
      </c>
      <c r="AB45" s="116"/>
      <c r="AC45" s="116"/>
      <c r="AD45" s="50" t="s">
        <v>19146</v>
      </c>
      <c r="AE45" s="50">
        <v>1.0</v>
      </c>
      <c r="AF45" s="50" t="s">
        <v>18902</v>
      </c>
      <c r="AG45" s="117">
        <v>5082.0</v>
      </c>
      <c r="AH45" s="50" t="s">
        <v>19149</v>
      </c>
      <c r="AI45" s="50" t="s">
        <v>19150</v>
      </c>
      <c r="AJ45" s="117">
        <v>44.0</v>
      </c>
    </row>
    <row r="46">
      <c r="A46" s="50" t="s">
        <v>19153</v>
      </c>
      <c r="B46" s="50" t="s">
        <v>6876</v>
      </c>
      <c r="C46" s="50" t="s">
        <v>6877</v>
      </c>
      <c r="D46" s="50" t="s">
        <v>11623</v>
      </c>
      <c r="E46" s="144">
        <v>43780.0</v>
      </c>
      <c r="F46" s="50" t="s">
        <v>19156</v>
      </c>
      <c r="G46" s="50">
        <v>59.0</v>
      </c>
      <c r="H46" s="50">
        <v>1.0</v>
      </c>
      <c r="I46" s="50">
        <v>11.0</v>
      </c>
      <c r="J46" s="116"/>
      <c r="K46" s="116"/>
      <c r="L46" s="50" t="s">
        <v>1508</v>
      </c>
      <c r="M46" s="50" t="s">
        <v>1508</v>
      </c>
      <c r="N46" s="122">
        <v>43467.0</v>
      </c>
      <c r="O46" s="50">
        <v>1.0</v>
      </c>
      <c r="P46" s="50">
        <v>1.0</v>
      </c>
      <c r="Q46" s="116"/>
      <c r="R46" s="50" t="s">
        <v>19117</v>
      </c>
      <c r="S46" s="116"/>
      <c r="T46" s="144">
        <v>43775.0</v>
      </c>
      <c r="U46" s="50">
        <v>9999.0</v>
      </c>
      <c r="V46" s="50">
        <v>31.6</v>
      </c>
      <c r="W46" s="116"/>
      <c r="X46" s="116"/>
      <c r="Y46" s="144">
        <v>43775.0</v>
      </c>
      <c r="Z46" s="50">
        <v>9999.0</v>
      </c>
      <c r="AA46" s="50">
        <v>36.47</v>
      </c>
      <c r="AB46" s="116"/>
      <c r="AC46" s="116"/>
      <c r="AD46" s="123"/>
      <c r="AE46" s="50">
        <v>1.0</v>
      </c>
      <c r="AF46" s="50" t="s">
        <v>18902</v>
      </c>
      <c r="AG46" s="117">
        <v>5085.0</v>
      </c>
      <c r="AH46" s="50" t="s">
        <v>19160</v>
      </c>
      <c r="AI46" s="50" t="s">
        <v>19162</v>
      </c>
      <c r="AJ46" s="117">
        <v>45.0</v>
      </c>
    </row>
    <row r="47">
      <c r="A47" s="50" t="s">
        <v>19156</v>
      </c>
      <c r="B47" s="50" t="s">
        <v>6876</v>
      </c>
      <c r="C47" s="50" t="s">
        <v>6877</v>
      </c>
      <c r="D47" s="50" t="s">
        <v>11623</v>
      </c>
      <c r="E47" s="144">
        <v>43780.0</v>
      </c>
      <c r="F47" s="50" t="s">
        <v>19164</v>
      </c>
      <c r="G47" s="50">
        <v>59.0</v>
      </c>
      <c r="H47" s="50">
        <v>1.0</v>
      </c>
      <c r="I47" s="50">
        <v>11.0</v>
      </c>
      <c r="J47" s="116"/>
      <c r="K47" s="116"/>
      <c r="L47" s="50" t="s">
        <v>19165</v>
      </c>
      <c r="M47" s="50" t="s">
        <v>19165</v>
      </c>
      <c r="N47" s="122">
        <v>43467.0</v>
      </c>
      <c r="O47" s="50">
        <v>1.0</v>
      </c>
      <c r="P47" s="50">
        <v>1.0</v>
      </c>
      <c r="Q47" s="116"/>
      <c r="R47" s="50" t="s">
        <v>19117</v>
      </c>
      <c r="S47" s="116"/>
      <c r="T47" s="144">
        <v>43775.0</v>
      </c>
      <c r="U47" s="50">
        <v>9999.0</v>
      </c>
      <c r="V47" s="50">
        <v>9999.0</v>
      </c>
      <c r="W47" s="116"/>
      <c r="X47" s="116"/>
      <c r="Y47" s="144">
        <v>43775.0</v>
      </c>
      <c r="Z47" s="50">
        <v>36.67</v>
      </c>
      <c r="AA47" s="50">
        <v>9999.0</v>
      </c>
      <c r="AB47" s="116"/>
      <c r="AC47" s="116"/>
      <c r="AD47" s="116"/>
      <c r="AE47" s="50">
        <v>1.0</v>
      </c>
      <c r="AF47" s="50" t="s">
        <v>18902</v>
      </c>
      <c r="AG47" s="117">
        <v>5086.0</v>
      </c>
      <c r="AH47" s="50" t="s">
        <v>19169</v>
      </c>
      <c r="AI47" s="50" t="s">
        <v>19170</v>
      </c>
      <c r="AJ47" s="117">
        <v>46.0</v>
      </c>
    </row>
    <row r="48">
      <c r="A48" s="50" t="s">
        <v>19164</v>
      </c>
      <c r="B48" s="50" t="s">
        <v>6876</v>
      </c>
      <c r="C48" s="50" t="s">
        <v>6877</v>
      </c>
      <c r="D48" s="50" t="s">
        <v>11623</v>
      </c>
      <c r="E48" s="144">
        <v>43780.0</v>
      </c>
      <c r="F48" s="50" t="s">
        <v>19171</v>
      </c>
      <c r="G48" s="50">
        <v>59.0</v>
      </c>
      <c r="H48" s="50">
        <v>1.0</v>
      </c>
      <c r="I48" s="50">
        <v>99.0</v>
      </c>
      <c r="J48" s="116"/>
      <c r="K48" s="116"/>
      <c r="L48" s="50" t="s">
        <v>1510</v>
      </c>
      <c r="M48" s="50" t="s">
        <v>1510</v>
      </c>
      <c r="N48" s="122">
        <v>43467.0</v>
      </c>
      <c r="O48" s="50">
        <v>1.0</v>
      </c>
      <c r="P48" s="50">
        <v>1.0</v>
      </c>
      <c r="Q48" s="116"/>
      <c r="R48" s="50" t="s">
        <v>19117</v>
      </c>
      <c r="S48" s="116"/>
      <c r="T48" s="144">
        <v>43775.0</v>
      </c>
      <c r="U48" s="50">
        <v>9999.0</v>
      </c>
      <c r="V48" s="50">
        <v>9999.0</v>
      </c>
      <c r="W48" s="116"/>
      <c r="X48" s="116"/>
      <c r="Y48" s="144">
        <v>43775.0</v>
      </c>
      <c r="Z48" s="50">
        <v>9999.0</v>
      </c>
      <c r="AA48" s="50">
        <v>34.55</v>
      </c>
      <c r="AB48" s="116"/>
      <c r="AC48" s="116"/>
      <c r="AD48" s="50" t="s">
        <v>15239</v>
      </c>
      <c r="AE48" s="50">
        <v>1.0</v>
      </c>
      <c r="AF48" s="50" t="s">
        <v>18902</v>
      </c>
      <c r="AG48" s="117">
        <v>5087.0</v>
      </c>
      <c r="AH48" s="50" t="s">
        <v>19177</v>
      </c>
      <c r="AI48" s="50" t="s">
        <v>19179</v>
      </c>
      <c r="AJ48" s="117">
        <v>47.0</v>
      </c>
    </row>
    <row r="49">
      <c r="A49" s="50" t="s">
        <v>19171</v>
      </c>
      <c r="B49" s="50" t="s">
        <v>6876</v>
      </c>
      <c r="C49" s="50" t="s">
        <v>6877</v>
      </c>
      <c r="D49" s="50" t="s">
        <v>11623</v>
      </c>
      <c r="E49" s="144">
        <v>43780.0</v>
      </c>
      <c r="F49" s="50" t="s">
        <v>19181</v>
      </c>
      <c r="G49" s="50">
        <v>59.0</v>
      </c>
      <c r="H49" s="50">
        <v>1.0</v>
      </c>
      <c r="I49" s="50">
        <v>11.0</v>
      </c>
      <c r="J49" s="116"/>
      <c r="K49" s="116"/>
      <c r="L49" s="50" t="s">
        <v>1511</v>
      </c>
      <c r="M49" s="50" t="s">
        <v>1511</v>
      </c>
      <c r="N49" s="122">
        <v>43467.0</v>
      </c>
      <c r="O49" s="50">
        <v>1.0</v>
      </c>
      <c r="P49" s="50">
        <v>1.0</v>
      </c>
      <c r="Q49" s="116"/>
      <c r="R49" s="50" t="s">
        <v>19117</v>
      </c>
      <c r="S49" s="116"/>
      <c r="T49" s="144">
        <v>43775.0</v>
      </c>
      <c r="U49" s="50">
        <v>9999.0</v>
      </c>
      <c r="V49" s="50">
        <v>9999.0</v>
      </c>
      <c r="W49" s="116"/>
      <c r="X49" s="116"/>
      <c r="Y49" s="144">
        <v>43775.0</v>
      </c>
      <c r="Z49" s="50">
        <v>40.0</v>
      </c>
      <c r="AA49" s="50">
        <v>40.0</v>
      </c>
      <c r="AB49" s="116"/>
      <c r="AC49" s="116"/>
      <c r="AD49" s="116"/>
      <c r="AE49" s="50">
        <v>1.0</v>
      </c>
      <c r="AF49" s="50" t="s">
        <v>18902</v>
      </c>
      <c r="AG49" s="117">
        <v>5088.0</v>
      </c>
      <c r="AH49" s="50" t="s">
        <v>19184</v>
      </c>
      <c r="AI49" s="50" t="s">
        <v>19185</v>
      </c>
      <c r="AJ49" s="117">
        <v>48.0</v>
      </c>
    </row>
    <row r="50">
      <c r="A50" s="50" t="s">
        <v>19181</v>
      </c>
      <c r="B50" s="50" t="s">
        <v>6876</v>
      </c>
      <c r="C50" s="50" t="s">
        <v>6877</v>
      </c>
      <c r="D50" s="50" t="s">
        <v>11623</v>
      </c>
      <c r="E50" s="144">
        <v>43780.0</v>
      </c>
      <c r="F50" s="50" t="s">
        <v>19187</v>
      </c>
      <c r="G50" s="50">
        <v>59.0</v>
      </c>
      <c r="H50" s="50">
        <v>1.0</v>
      </c>
      <c r="I50" s="50">
        <v>99.0</v>
      </c>
      <c r="J50" s="116"/>
      <c r="K50" s="116"/>
      <c r="L50" s="50" t="s">
        <v>1512</v>
      </c>
      <c r="M50" s="50" t="s">
        <v>1512</v>
      </c>
      <c r="N50" s="122">
        <v>43467.0</v>
      </c>
      <c r="O50" s="50">
        <v>1.0</v>
      </c>
      <c r="P50" s="50">
        <v>1.0</v>
      </c>
      <c r="Q50" s="116"/>
      <c r="R50" s="50" t="s">
        <v>19117</v>
      </c>
      <c r="S50" s="116"/>
      <c r="T50" s="144">
        <v>43775.0</v>
      </c>
      <c r="U50" s="50">
        <v>9999.0</v>
      </c>
      <c r="V50" s="50">
        <v>9999.0</v>
      </c>
      <c r="W50" s="116"/>
      <c r="X50" s="116"/>
      <c r="Y50" s="144">
        <v>43775.0</v>
      </c>
      <c r="Z50" s="50">
        <v>9999.0</v>
      </c>
      <c r="AA50" s="50">
        <v>9999.0</v>
      </c>
      <c r="AB50" s="116"/>
      <c r="AC50" s="116"/>
      <c r="AD50" s="50" t="s">
        <v>15261</v>
      </c>
      <c r="AE50" s="50">
        <v>1.0</v>
      </c>
      <c r="AF50" s="50" t="s">
        <v>18902</v>
      </c>
      <c r="AG50" s="117">
        <v>5089.0</v>
      </c>
      <c r="AH50" s="50" t="s">
        <v>19191</v>
      </c>
      <c r="AI50" s="50" t="s">
        <v>19192</v>
      </c>
      <c r="AJ50" s="117">
        <v>49.0</v>
      </c>
    </row>
    <row r="51">
      <c r="A51" s="50" t="s">
        <v>19187</v>
      </c>
      <c r="B51" s="50" t="s">
        <v>6876</v>
      </c>
      <c r="C51" s="50" t="s">
        <v>6877</v>
      </c>
      <c r="D51" s="50" t="s">
        <v>11623</v>
      </c>
      <c r="E51" s="144">
        <v>43780.0</v>
      </c>
      <c r="F51" s="50" t="s">
        <v>19194</v>
      </c>
      <c r="G51" s="50">
        <v>59.0</v>
      </c>
      <c r="H51" s="50">
        <v>1.0</v>
      </c>
      <c r="I51" s="50">
        <v>11.0</v>
      </c>
      <c r="J51" s="116"/>
      <c r="K51" s="116"/>
      <c r="L51" s="50" t="s">
        <v>1514</v>
      </c>
      <c r="M51" s="50" t="s">
        <v>1514</v>
      </c>
      <c r="N51" s="122">
        <v>43467.0</v>
      </c>
      <c r="O51" s="50">
        <v>1.0</v>
      </c>
      <c r="P51" s="50">
        <v>1.0</v>
      </c>
      <c r="Q51" s="116"/>
      <c r="R51" s="50" t="s">
        <v>19117</v>
      </c>
      <c r="S51" s="116"/>
      <c r="T51" s="144">
        <v>43775.0</v>
      </c>
      <c r="U51" s="50">
        <v>9999.0</v>
      </c>
      <c r="V51" s="50">
        <v>9999.0</v>
      </c>
      <c r="W51" s="116"/>
      <c r="X51" s="116"/>
      <c r="Y51" s="144">
        <v>43775.0</v>
      </c>
      <c r="Z51" s="50">
        <v>38.02</v>
      </c>
      <c r="AA51" s="50">
        <v>38.54</v>
      </c>
      <c r="AB51" s="116"/>
      <c r="AC51" s="116"/>
      <c r="AD51" s="116"/>
      <c r="AE51" s="50">
        <v>1.0</v>
      </c>
      <c r="AF51" s="50" t="s">
        <v>18902</v>
      </c>
      <c r="AG51" s="117">
        <v>5090.0</v>
      </c>
      <c r="AH51" s="50" t="s">
        <v>19202</v>
      </c>
      <c r="AI51" s="50" t="s">
        <v>19203</v>
      </c>
      <c r="AJ51" s="117">
        <v>50.0</v>
      </c>
    </row>
    <row r="52">
      <c r="A52" s="50" t="s">
        <v>19194</v>
      </c>
      <c r="B52" s="50" t="s">
        <v>6876</v>
      </c>
      <c r="C52" s="50" t="s">
        <v>6877</v>
      </c>
      <c r="D52" s="50" t="s">
        <v>11623</v>
      </c>
      <c r="E52" s="144">
        <v>43780.0</v>
      </c>
      <c r="F52" s="50" t="s">
        <v>19206</v>
      </c>
      <c r="G52" s="50">
        <v>59.0</v>
      </c>
      <c r="H52" s="50">
        <v>1.0</v>
      </c>
      <c r="I52" s="50">
        <v>99.0</v>
      </c>
      <c r="J52" s="116"/>
      <c r="K52" s="116"/>
      <c r="L52" s="50" t="s">
        <v>1516</v>
      </c>
      <c r="M52" s="50" t="s">
        <v>1516</v>
      </c>
      <c r="N52" s="122">
        <v>43467.0</v>
      </c>
      <c r="O52" s="50">
        <v>1.0</v>
      </c>
      <c r="P52" s="50">
        <v>1.0</v>
      </c>
      <c r="Q52" s="116"/>
      <c r="R52" s="50" t="s">
        <v>19117</v>
      </c>
      <c r="S52" s="116"/>
      <c r="T52" s="144">
        <v>43775.0</v>
      </c>
      <c r="U52" s="50">
        <v>9999.0</v>
      </c>
      <c r="V52" s="50">
        <v>38.43</v>
      </c>
      <c r="W52" s="116"/>
      <c r="X52" s="116"/>
      <c r="Y52" s="144">
        <v>43775.0</v>
      </c>
      <c r="Z52" s="50">
        <v>37.06</v>
      </c>
      <c r="AA52" s="50">
        <v>37.71</v>
      </c>
      <c r="AB52" s="116"/>
      <c r="AC52" s="116"/>
      <c r="AD52" s="50" t="s">
        <v>15285</v>
      </c>
      <c r="AE52" s="50">
        <v>1.0</v>
      </c>
      <c r="AF52" s="50" t="s">
        <v>18902</v>
      </c>
      <c r="AG52" s="117">
        <v>5091.0</v>
      </c>
      <c r="AH52" s="50" t="s">
        <v>19211</v>
      </c>
      <c r="AI52" s="50" t="s">
        <v>19212</v>
      </c>
      <c r="AJ52" s="117">
        <v>51.0</v>
      </c>
    </row>
    <row r="53">
      <c r="A53" s="50" t="s">
        <v>19206</v>
      </c>
      <c r="B53" s="50" t="s">
        <v>6876</v>
      </c>
      <c r="C53" s="50" t="s">
        <v>6877</v>
      </c>
      <c r="D53" s="50" t="s">
        <v>11623</v>
      </c>
      <c r="E53" s="144">
        <v>43780.0</v>
      </c>
      <c r="F53" s="50" t="s">
        <v>19214</v>
      </c>
      <c r="G53" s="50">
        <v>59.0</v>
      </c>
      <c r="H53" s="50">
        <v>1.0</v>
      </c>
      <c r="I53" s="50">
        <v>11.0</v>
      </c>
      <c r="J53" s="116"/>
      <c r="K53" s="116"/>
      <c r="L53" s="50" t="s">
        <v>1517</v>
      </c>
      <c r="M53" s="50" t="s">
        <v>1517</v>
      </c>
      <c r="N53" s="122">
        <v>43467.0</v>
      </c>
      <c r="O53" s="50">
        <v>1.0</v>
      </c>
      <c r="P53" s="50">
        <v>1.0</v>
      </c>
      <c r="Q53" s="116"/>
      <c r="R53" s="50" t="s">
        <v>19117</v>
      </c>
      <c r="S53" s="116"/>
      <c r="T53" s="144">
        <v>43775.0</v>
      </c>
      <c r="U53" s="50">
        <v>25.23</v>
      </c>
      <c r="V53" s="50">
        <v>9999.0</v>
      </c>
      <c r="W53" s="116"/>
      <c r="X53" s="116"/>
      <c r="Y53" s="144">
        <v>43775.0</v>
      </c>
      <c r="Z53" s="50">
        <v>9999.0</v>
      </c>
      <c r="AA53" s="50">
        <v>40.0</v>
      </c>
      <c r="AB53" s="116"/>
      <c r="AC53" s="116"/>
      <c r="AD53" s="116"/>
      <c r="AE53" s="50">
        <v>1.0</v>
      </c>
      <c r="AF53" s="50" t="s">
        <v>18902</v>
      </c>
      <c r="AG53" s="117">
        <v>5092.0</v>
      </c>
      <c r="AH53" s="50" t="s">
        <v>19221</v>
      </c>
      <c r="AI53" s="50" t="s">
        <v>19222</v>
      </c>
      <c r="AJ53" s="117">
        <v>52.0</v>
      </c>
    </row>
    <row r="54">
      <c r="A54" s="50" t="s">
        <v>19214</v>
      </c>
      <c r="B54" s="50" t="s">
        <v>6876</v>
      </c>
      <c r="C54" s="50" t="s">
        <v>6877</v>
      </c>
      <c r="D54" s="50" t="s">
        <v>11623</v>
      </c>
      <c r="E54" s="144">
        <v>43780.0</v>
      </c>
      <c r="F54" s="50" t="s">
        <v>19224</v>
      </c>
      <c r="G54" s="50">
        <v>59.0</v>
      </c>
      <c r="H54" s="50">
        <v>1.0</v>
      </c>
      <c r="I54" s="50">
        <v>99.0</v>
      </c>
      <c r="J54" s="116"/>
      <c r="K54" s="116"/>
      <c r="L54" s="50" t="s">
        <v>1519</v>
      </c>
      <c r="M54" s="50" t="s">
        <v>1519</v>
      </c>
      <c r="N54" s="122">
        <v>43467.0</v>
      </c>
      <c r="O54" s="50">
        <v>1.0</v>
      </c>
      <c r="P54" s="50">
        <v>1.0</v>
      </c>
      <c r="Q54" s="116"/>
      <c r="R54" s="50" t="s">
        <v>19117</v>
      </c>
      <c r="S54" s="116"/>
      <c r="T54" s="144">
        <v>43775.0</v>
      </c>
      <c r="U54" s="50">
        <v>9999.0</v>
      </c>
      <c r="V54" s="50">
        <v>9999.0</v>
      </c>
      <c r="W54" s="116"/>
      <c r="X54" s="116"/>
      <c r="Y54" s="144">
        <v>43775.0</v>
      </c>
      <c r="Z54" s="50">
        <v>9999.0</v>
      </c>
      <c r="AA54" s="50">
        <v>9999.0</v>
      </c>
      <c r="AB54" s="116"/>
      <c r="AC54" s="116"/>
      <c r="AD54" s="50" t="s">
        <v>15306</v>
      </c>
      <c r="AE54" s="50">
        <v>1.0</v>
      </c>
      <c r="AF54" s="50" t="s">
        <v>18902</v>
      </c>
      <c r="AG54" s="117">
        <v>5093.0</v>
      </c>
      <c r="AH54" s="50" t="s">
        <v>19230</v>
      </c>
      <c r="AI54" s="50" t="s">
        <v>19231</v>
      </c>
      <c r="AJ54" s="117">
        <v>53.0</v>
      </c>
    </row>
    <row r="55">
      <c r="A55" s="50" t="s">
        <v>19224</v>
      </c>
      <c r="B55" s="50" t="s">
        <v>6876</v>
      </c>
      <c r="C55" s="50" t="s">
        <v>6877</v>
      </c>
      <c r="D55" s="50" t="s">
        <v>11623</v>
      </c>
      <c r="E55" s="144">
        <v>43780.0</v>
      </c>
      <c r="F55" s="50" t="s">
        <v>19233</v>
      </c>
      <c r="G55" s="50">
        <v>59.0</v>
      </c>
      <c r="H55" s="50">
        <v>1.0</v>
      </c>
      <c r="I55" s="50">
        <v>11.0</v>
      </c>
      <c r="J55" s="116"/>
      <c r="K55" s="116"/>
      <c r="L55" s="50" t="s">
        <v>1520</v>
      </c>
      <c r="M55" s="50" t="s">
        <v>1520</v>
      </c>
      <c r="N55" s="122">
        <v>43467.0</v>
      </c>
      <c r="O55" s="50">
        <v>1.0</v>
      </c>
      <c r="P55" s="50">
        <v>1.0</v>
      </c>
      <c r="Q55" s="116"/>
      <c r="R55" s="50" t="s">
        <v>19117</v>
      </c>
      <c r="S55" s="116"/>
      <c r="T55" s="144">
        <v>43775.0</v>
      </c>
      <c r="U55" s="50">
        <v>9999.0</v>
      </c>
      <c r="V55" s="50">
        <v>9999.0</v>
      </c>
      <c r="W55" s="116"/>
      <c r="X55" s="116"/>
      <c r="Y55" s="144">
        <v>43775.0</v>
      </c>
      <c r="Z55" s="50">
        <v>40.0</v>
      </c>
      <c r="AA55" s="50">
        <v>38.53</v>
      </c>
      <c r="AB55" s="116"/>
      <c r="AC55" s="116"/>
      <c r="AD55" s="116"/>
      <c r="AE55" s="50">
        <v>1.0</v>
      </c>
      <c r="AF55" s="50" t="s">
        <v>18902</v>
      </c>
      <c r="AG55" s="117">
        <v>5094.0</v>
      </c>
      <c r="AH55" s="50" t="s">
        <v>19237</v>
      </c>
      <c r="AI55" s="50" t="s">
        <v>19238</v>
      </c>
      <c r="AJ55" s="117">
        <v>54.0</v>
      </c>
    </row>
    <row r="56">
      <c r="A56" s="50" t="s">
        <v>19233</v>
      </c>
      <c r="B56" s="50" t="s">
        <v>6876</v>
      </c>
      <c r="C56" s="50" t="s">
        <v>6877</v>
      </c>
      <c r="D56" s="50" t="s">
        <v>11623</v>
      </c>
      <c r="E56" s="144">
        <v>43780.0</v>
      </c>
      <c r="F56" s="50" t="s">
        <v>19242</v>
      </c>
      <c r="G56" s="50">
        <v>59.0</v>
      </c>
      <c r="H56" s="50">
        <v>1.0</v>
      </c>
      <c r="I56" s="50">
        <v>99.0</v>
      </c>
      <c r="J56" s="116"/>
      <c r="K56" s="116"/>
      <c r="L56" s="50" t="s">
        <v>1521</v>
      </c>
      <c r="M56" s="50" t="s">
        <v>1521</v>
      </c>
      <c r="N56" s="122">
        <v>43467.0</v>
      </c>
      <c r="O56" s="50">
        <v>1.0</v>
      </c>
      <c r="P56" s="50">
        <v>1.0</v>
      </c>
      <c r="Q56" s="116"/>
      <c r="R56" s="50" t="s">
        <v>19117</v>
      </c>
      <c r="S56" s="116"/>
      <c r="T56" s="144">
        <v>43775.0</v>
      </c>
      <c r="U56" s="50">
        <v>9999.0</v>
      </c>
      <c r="V56" s="50">
        <v>9999.0</v>
      </c>
      <c r="W56" s="116"/>
      <c r="X56" s="116"/>
      <c r="Y56" s="144">
        <v>43775.0</v>
      </c>
      <c r="Z56" s="50">
        <v>9999.0</v>
      </c>
      <c r="AA56" s="50">
        <v>9999.0</v>
      </c>
      <c r="AB56" s="116"/>
      <c r="AC56" s="116"/>
      <c r="AD56" s="50" t="s">
        <v>15329</v>
      </c>
      <c r="AE56" s="50">
        <v>1.0</v>
      </c>
      <c r="AF56" s="50" t="s">
        <v>18902</v>
      </c>
      <c r="AG56" s="117">
        <v>5095.0</v>
      </c>
      <c r="AH56" s="50" t="s">
        <v>19250</v>
      </c>
      <c r="AI56" s="50" t="s">
        <v>19251</v>
      </c>
      <c r="AJ56" s="117">
        <v>55.0</v>
      </c>
    </row>
    <row r="57">
      <c r="A57" s="50" t="s">
        <v>19242</v>
      </c>
      <c r="B57" s="50" t="s">
        <v>6876</v>
      </c>
      <c r="C57" s="50" t="s">
        <v>6877</v>
      </c>
      <c r="D57" s="50" t="s">
        <v>11623</v>
      </c>
      <c r="E57" s="144">
        <v>43780.0</v>
      </c>
      <c r="F57" s="50" t="s">
        <v>19256</v>
      </c>
      <c r="G57" s="50">
        <v>66.0</v>
      </c>
      <c r="H57" s="50">
        <v>1.0</v>
      </c>
      <c r="I57" s="50">
        <v>12.0</v>
      </c>
      <c r="J57" s="116"/>
      <c r="K57" s="116"/>
      <c r="L57" s="50" t="s">
        <v>1502</v>
      </c>
      <c r="M57" s="50" t="s">
        <v>1502</v>
      </c>
      <c r="N57" s="122">
        <v>43467.0</v>
      </c>
      <c r="O57" s="50">
        <v>1.0</v>
      </c>
      <c r="P57" s="50">
        <v>1.0</v>
      </c>
      <c r="Q57" s="116"/>
      <c r="R57" s="50" t="s">
        <v>19117</v>
      </c>
      <c r="S57" s="116"/>
      <c r="T57" s="144">
        <v>43775.0</v>
      </c>
      <c r="U57" s="50">
        <v>24.13</v>
      </c>
      <c r="V57" s="50">
        <v>9999.0</v>
      </c>
      <c r="W57" s="116"/>
      <c r="X57" s="116"/>
      <c r="Y57" s="144">
        <v>43775.0</v>
      </c>
      <c r="Z57" s="50">
        <v>33.71</v>
      </c>
      <c r="AA57" s="50">
        <v>34.49</v>
      </c>
      <c r="AB57" s="116"/>
      <c r="AC57" s="116"/>
      <c r="AD57" s="116"/>
      <c r="AE57" s="50">
        <v>1.0</v>
      </c>
      <c r="AF57" s="50" t="s">
        <v>18902</v>
      </c>
      <c r="AG57" s="117">
        <v>5096.0</v>
      </c>
      <c r="AH57" s="50" t="s">
        <v>19260</v>
      </c>
      <c r="AI57" s="50" t="s">
        <v>19261</v>
      </c>
      <c r="AJ57" s="117">
        <v>56.0</v>
      </c>
    </row>
    <row r="58">
      <c r="A58" s="50" t="s">
        <v>19256</v>
      </c>
      <c r="B58" s="50" t="s">
        <v>6876</v>
      </c>
      <c r="C58" s="50" t="s">
        <v>6877</v>
      </c>
      <c r="D58" s="50" t="s">
        <v>11623</v>
      </c>
      <c r="E58" s="144">
        <v>43780.0</v>
      </c>
      <c r="F58" s="50" t="s">
        <v>19262</v>
      </c>
      <c r="G58" s="50">
        <v>59.0</v>
      </c>
      <c r="H58" s="50">
        <v>1.0</v>
      </c>
      <c r="I58" s="50">
        <v>99.0</v>
      </c>
      <c r="J58" s="116"/>
      <c r="K58" s="116"/>
      <c r="L58" s="50" t="s">
        <v>1507</v>
      </c>
      <c r="M58" s="50" t="s">
        <v>1507</v>
      </c>
      <c r="N58" s="122">
        <v>43467.0</v>
      </c>
      <c r="O58" s="50">
        <v>1.0</v>
      </c>
      <c r="P58" s="50">
        <v>1.0</v>
      </c>
      <c r="Q58" s="116"/>
      <c r="R58" s="50" t="s">
        <v>19117</v>
      </c>
      <c r="S58" s="116"/>
      <c r="T58" s="144">
        <v>43775.0</v>
      </c>
      <c r="U58" s="50">
        <v>9999.0</v>
      </c>
      <c r="V58" s="50">
        <v>9999.0</v>
      </c>
      <c r="W58" s="116"/>
      <c r="X58" s="116"/>
      <c r="Y58" s="144">
        <v>43775.0</v>
      </c>
      <c r="Z58" s="50">
        <v>9999.0</v>
      </c>
      <c r="AA58" s="50">
        <v>9999.0</v>
      </c>
      <c r="AB58" s="116"/>
      <c r="AC58" s="116"/>
      <c r="AD58" s="50" t="s">
        <v>15371</v>
      </c>
      <c r="AE58" s="50">
        <v>1.0</v>
      </c>
      <c r="AF58" s="50" t="s">
        <v>18902</v>
      </c>
      <c r="AG58" s="117">
        <v>5097.0</v>
      </c>
      <c r="AH58" s="50" t="s">
        <v>19270</v>
      </c>
      <c r="AI58" s="50" t="s">
        <v>19272</v>
      </c>
      <c r="AJ58" s="117">
        <v>57.0</v>
      </c>
    </row>
    <row r="59">
      <c r="A59" s="50" t="s">
        <v>19273</v>
      </c>
      <c r="B59" s="50" t="s">
        <v>6876</v>
      </c>
      <c r="C59" s="50" t="s">
        <v>6877</v>
      </c>
      <c r="D59" s="50" t="s">
        <v>11623</v>
      </c>
      <c r="E59" s="144">
        <v>43780.0</v>
      </c>
      <c r="F59" s="50" t="s">
        <v>19276</v>
      </c>
      <c r="G59" s="50">
        <v>59.0</v>
      </c>
      <c r="H59" s="50">
        <v>1.0</v>
      </c>
      <c r="I59" s="50">
        <v>99.0</v>
      </c>
      <c r="J59" s="116"/>
      <c r="K59" s="116"/>
      <c r="L59" s="50" t="s">
        <v>1505</v>
      </c>
      <c r="M59" s="50" t="s">
        <v>1505</v>
      </c>
      <c r="N59" s="122">
        <v>43467.0</v>
      </c>
      <c r="O59" s="50">
        <v>1.0</v>
      </c>
      <c r="P59" s="50">
        <v>1.0</v>
      </c>
      <c r="Q59" s="116"/>
      <c r="R59" s="50" t="s">
        <v>19117</v>
      </c>
      <c r="S59" s="116"/>
      <c r="T59" s="144">
        <v>43775.0</v>
      </c>
      <c r="U59" s="50">
        <v>22.1</v>
      </c>
      <c r="V59" s="50">
        <v>22.65</v>
      </c>
      <c r="W59" s="116"/>
      <c r="X59" s="116"/>
      <c r="Y59" s="144">
        <v>43775.0</v>
      </c>
      <c r="Z59" s="50">
        <v>34.31</v>
      </c>
      <c r="AA59" s="50">
        <v>35.13</v>
      </c>
      <c r="AB59" s="116"/>
      <c r="AC59" s="116"/>
      <c r="AD59" s="116"/>
      <c r="AE59" s="50">
        <v>1.0</v>
      </c>
      <c r="AF59" s="50" t="s">
        <v>18902</v>
      </c>
      <c r="AG59" s="117">
        <v>5098.0</v>
      </c>
      <c r="AH59" s="50" t="s">
        <v>19280</v>
      </c>
      <c r="AI59" s="50" t="s">
        <v>19281</v>
      </c>
      <c r="AJ59" s="117">
        <v>58.0</v>
      </c>
    </row>
    <row r="60">
      <c r="A60" s="50" t="s">
        <v>19276</v>
      </c>
      <c r="B60" s="50" t="s">
        <v>6876</v>
      </c>
      <c r="C60" s="50" t="s">
        <v>6877</v>
      </c>
      <c r="D60" s="50" t="s">
        <v>11623</v>
      </c>
      <c r="E60" s="144">
        <v>43780.0</v>
      </c>
      <c r="F60" s="50" t="s">
        <v>19283</v>
      </c>
      <c r="G60" s="50">
        <v>66.0</v>
      </c>
      <c r="H60" s="50">
        <v>1.0</v>
      </c>
      <c r="I60" s="50">
        <v>99.0</v>
      </c>
      <c r="J60" s="116"/>
      <c r="K60" s="116"/>
      <c r="L60" s="50" t="s">
        <v>1503</v>
      </c>
      <c r="M60" s="50" t="s">
        <v>1503</v>
      </c>
      <c r="N60" s="122">
        <v>43467.0</v>
      </c>
      <c r="O60" s="50">
        <v>1.0</v>
      </c>
      <c r="P60" s="50">
        <v>1.0</v>
      </c>
      <c r="Q60" s="116"/>
      <c r="R60" s="50" t="s">
        <v>19117</v>
      </c>
      <c r="S60" s="116"/>
      <c r="T60" s="144">
        <v>43775.0</v>
      </c>
      <c r="U60" s="50">
        <v>9999.0</v>
      </c>
      <c r="V60" s="50">
        <v>9999.0</v>
      </c>
      <c r="W60" s="116"/>
      <c r="X60" s="116"/>
      <c r="Y60" s="144">
        <v>43775.0</v>
      </c>
      <c r="Z60" s="50">
        <v>9999.0</v>
      </c>
      <c r="AA60" s="50">
        <v>9999.0</v>
      </c>
      <c r="AB60" s="116"/>
      <c r="AC60" s="116"/>
      <c r="AD60" s="50" t="s">
        <v>15351</v>
      </c>
      <c r="AE60" s="50">
        <v>1.0</v>
      </c>
      <c r="AF60" s="50" t="s">
        <v>18902</v>
      </c>
      <c r="AG60" s="117">
        <v>5099.0</v>
      </c>
      <c r="AH60" s="50" t="s">
        <v>19292</v>
      </c>
      <c r="AI60" s="50" t="s">
        <v>19295</v>
      </c>
      <c r="AJ60" s="117">
        <v>59.0</v>
      </c>
    </row>
    <row r="61">
      <c r="A61" s="50" t="s">
        <v>19283</v>
      </c>
      <c r="B61" s="50" t="s">
        <v>6876</v>
      </c>
      <c r="C61" s="50" t="s">
        <v>6877</v>
      </c>
      <c r="D61" s="50" t="s">
        <v>11623</v>
      </c>
      <c r="E61" s="144">
        <v>43780.0</v>
      </c>
      <c r="F61" s="50" t="s">
        <v>19296</v>
      </c>
      <c r="G61" s="50">
        <v>58.0</v>
      </c>
      <c r="H61" s="50">
        <v>1.0</v>
      </c>
      <c r="I61" s="50">
        <v>15.0</v>
      </c>
      <c r="J61" s="116"/>
      <c r="K61" s="50">
        <v>151.0</v>
      </c>
      <c r="L61" s="50" t="s">
        <v>609</v>
      </c>
      <c r="M61" s="50" t="s">
        <v>609</v>
      </c>
      <c r="N61" s="122">
        <v>43467.0</v>
      </c>
      <c r="O61" s="50">
        <v>1.0</v>
      </c>
      <c r="P61" s="50">
        <v>1.0</v>
      </c>
      <c r="Q61" s="116"/>
      <c r="R61" s="50" t="s">
        <v>19299</v>
      </c>
      <c r="S61" s="116"/>
      <c r="T61" s="144">
        <v>43777.0</v>
      </c>
      <c r="U61" s="50">
        <v>9999.0</v>
      </c>
      <c r="V61" s="50">
        <v>37.06</v>
      </c>
      <c r="W61" s="116"/>
      <c r="X61" s="116"/>
      <c r="Y61" s="144">
        <v>43777.0</v>
      </c>
      <c r="Z61" s="50">
        <v>36.5</v>
      </c>
      <c r="AA61" s="50">
        <v>36.75</v>
      </c>
      <c r="AB61" s="116"/>
      <c r="AC61" s="116"/>
      <c r="AD61" s="123"/>
      <c r="AE61" s="50">
        <v>1.0</v>
      </c>
      <c r="AF61" s="50" t="s">
        <v>18902</v>
      </c>
      <c r="AG61" s="117">
        <v>5100.0</v>
      </c>
      <c r="AH61" s="50" t="s">
        <v>19301</v>
      </c>
      <c r="AI61" s="50" t="s">
        <v>19302</v>
      </c>
      <c r="AJ61" s="117">
        <v>60.0</v>
      </c>
    </row>
    <row r="62">
      <c r="A62" s="50" t="s">
        <v>19303</v>
      </c>
      <c r="B62" s="50" t="s">
        <v>6876</v>
      </c>
      <c r="C62" s="50" t="s">
        <v>6877</v>
      </c>
      <c r="D62" s="50" t="s">
        <v>11623</v>
      </c>
      <c r="E62" s="144">
        <v>43780.0</v>
      </c>
      <c r="F62" s="50" t="s">
        <v>19306</v>
      </c>
      <c r="G62" s="50">
        <v>58.0</v>
      </c>
      <c r="H62" s="50">
        <v>1.0</v>
      </c>
      <c r="I62" s="50">
        <v>15.0</v>
      </c>
      <c r="J62" s="116"/>
      <c r="K62" s="50">
        <v>152.0</v>
      </c>
      <c r="L62" s="50" t="s">
        <v>606</v>
      </c>
      <c r="M62" s="50" t="s">
        <v>606</v>
      </c>
      <c r="N62" s="122">
        <v>43467.0</v>
      </c>
      <c r="O62" s="50">
        <v>1.0</v>
      </c>
      <c r="P62" s="50">
        <v>1.0</v>
      </c>
      <c r="Q62" s="116"/>
      <c r="R62" s="50" t="s">
        <v>19299</v>
      </c>
      <c r="S62" s="116"/>
      <c r="T62" s="144">
        <v>43777.0</v>
      </c>
      <c r="U62" s="50">
        <v>36.64</v>
      </c>
      <c r="V62" s="50">
        <v>34.81</v>
      </c>
      <c r="W62" s="116"/>
      <c r="X62" s="116"/>
      <c r="Y62" s="144">
        <v>43777.0</v>
      </c>
      <c r="Z62" s="50">
        <v>37.41</v>
      </c>
      <c r="AA62" s="50">
        <v>37.48</v>
      </c>
      <c r="AB62" s="116"/>
      <c r="AC62" s="116"/>
      <c r="AD62" s="116"/>
      <c r="AE62" s="50">
        <v>1.0</v>
      </c>
      <c r="AF62" s="50" t="s">
        <v>18902</v>
      </c>
      <c r="AG62" s="117">
        <v>5101.0</v>
      </c>
      <c r="AH62" s="50" t="s">
        <v>19313</v>
      </c>
      <c r="AI62" s="50" t="s">
        <v>19314</v>
      </c>
      <c r="AJ62" s="117">
        <v>61.0</v>
      </c>
    </row>
    <row r="63">
      <c r="A63" s="50" t="s">
        <v>19316</v>
      </c>
      <c r="B63" s="50" t="s">
        <v>6876</v>
      </c>
      <c r="C63" s="50" t="s">
        <v>6877</v>
      </c>
      <c r="D63" s="50" t="s">
        <v>11623</v>
      </c>
      <c r="E63" s="144">
        <v>43780.0</v>
      </c>
      <c r="F63" s="50" t="s">
        <v>19318</v>
      </c>
      <c r="G63" s="50">
        <v>58.0</v>
      </c>
      <c r="H63" s="50">
        <v>1.0</v>
      </c>
      <c r="I63" s="50">
        <v>15.0</v>
      </c>
      <c r="J63" s="116"/>
      <c r="K63" s="50">
        <v>152.0</v>
      </c>
      <c r="L63" s="50" t="s">
        <v>610</v>
      </c>
      <c r="M63" s="50" t="s">
        <v>610</v>
      </c>
      <c r="N63" s="122">
        <v>43467.0</v>
      </c>
      <c r="O63" s="50">
        <v>1.0</v>
      </c>
      <c r="P63" s="50">
        <v>1.0</v>
      </c>
      <c r="Q63" s="116"/>
      <c r="R63" s="50" t="s">
        <v>19299</v>
      </c>
      <c r="S63" s="116"/>
      <c r="T63" s="144">
        <v>43777.0</v>
      </c>
      <c r="U63" s="50">
        <v>33.71</v>
      </c>
      <c r="V63" s="50">
        <v>33.37</v>
      </c>
      <c r="W63" s="116"/>
      <c r="X63" s="116"/>
      <c r="Y63" s="144">
        <v>43777.0</v>
      </c>
      <c r="Z63" s="50">
        <v>36.68</v>
      </c>
      <c r="AA63" s="50">
        <v>9999.0</v>
      </c>
      <c r="AB63" s="116"/>
      <c r="AC63" s="116"/>
      <c r="AD63" s="116"/>
      <c r="AE63" s="50">
        <v>1.0</v>
      </c>
      <c r="AF63" s="50" t="s">
        <v>18902</v>
      </c>
      <c r="AG63" s="117">
        <v>5102.0</v>
      </c>
      <c r="AH63" s="50" t="s">
        <v>19324</v>
      </c>
      <c r="AI63" s="50" t="s">
        <v>19326</v>
      </c>
      <c r="AJ63" s="117">
        <v>62.0</v>
      </c>
    </row>
    <row r="64">
      <c r="A64" s="50" t="s">
        <v>19327</v>
      </c>
      <c r="B64" s="50" t="s">
        <v>6876</v>
      </c>
      <c r="C64" s="50" t="s">
        <v>6877</v>
      </c>
      <c r="D64" s="50" t="s">
        <v>11623</v>
      </c>
      <c r="E64" s="144">
        <v>43780.0</v>
      </c>
      <c r="F64" s="50" t="s">
        <v>19329</v>
      </c>
      <c r="G64" s="50">
        <v>58.0</v>
      </c>
      <c r="H64" s="50">
        <v>1.0</v>
      </c>
      <c r="I64" s="50">
        <v>15.0</v>
      </c>
      <c r="J64" s="116"/>
      <c r="K64" s="50">
        <v>152.0</v>
      </c>
      <c r="L64" s="50" t="s">
        <v>612</v>
      </c>
      <c r="M64" s="50" t="s">
        <v>612</v>
      </c>
      <c r="N64" s="122">
        <v>43467.0</v>
      </c>
      <c r="O64" s="50">
        <v>1.0</v>
      </c>
      <c r="P64" s="50">
        <v>1.0</v>
      </c>
      <c r="Q64" s="116"/>
      <c r="R64" s="50" t="s">
        <v>19299</v>
      </c>
      <c r="S64" s="116"/>
      <c r="T64" s="144">
        <v>43777.0</v>
      </c>
      <c r="U64" s="50">
        <v>35.15</v>
      </c>
      <c r="V64" s="50">
        <v>34.88</v>
      </c>
      <c r="W64" s="116"/>
      <c r="X64" s="116"/>
      <c r="Y64" s="144">
        <v>43777.0</v>
      </c>
      <c r="Z64" s="50">
        <v>35.71</v>
      </c>
      <c r="AA64" s="50">
        <v>37.22</v>
      </c>
      <c r="AB64" s="116"/>
      <c r="AC64" s="116"/>
      <c r="AD64" s="116"/>
      <c r="AE64" s="50">
        <v>1.0</v>
      </c>
      <c r="AF64" s="50" t="s">
        <v>18902</v>
      </c>
      <c r="AG64" s="117">
        <v>5103.0</v>
      </c>
      <c r="AH64" s="50" t="s">
        <v>19335</v>
      </c>
      <c r="AI64" s="50" t="s">
        <v>19336</v>
      </c>
      <c r="AJ64" s="117">
        <v>63.0</v>
      </c>
    </row>
    <row r="65">
      <c r="A65" s="50" t="s">
        <v>19338</v>
      </c>
      <c r="B65" s="50" t="s">
        <v>6876</v>
      </c>
      <c r="C65" s="50" t="s">
        <v>6877</v>
      </c>
      <c r="D65" s="50" t="s">
        <v>11623</v>
      </c>
      <c r="E65" s="144">
        <v>43780.0</v>
      </c>
      <c r="F65" s="50" t="s">
        <v>19342</v>
      </c>
      <c r="G65" s="50">
        <v>58.0</v>
      </c>
      <c r="H65" s="50">
        <v>1.0</v>
      </c>
      <c r="I65" s="50">
        <v>99.0</v>
      </c>
      <c r="J65" s="116"/>
      <c r="K65" s="116"/>
      <c r="L65" s="50" t="s">
        <v>614</v>
      </c>
      <c r="M65" s="50" t="s">
        <v>614</v>
      </c>
      <c r="N65" s="122">
        <v>43467.0</v>
      </c>
      <c r="O65" s="50">
        <v>1.0</v>
      </c>
      <c r="P65" s="50">
        <v>1.0</v>
      </c>
      <c r="Q65" s="116"/>
      <c r="R65" s="50" t="s">
        <v>19299</v>
      </c>
      <c r="S65" s="116"/>
      <c r="T65" s="144">
        <v>43777.0</v>
      </c>
      <c r="U65" s="50">
        <v>9999.0</v>
      </c>
      <c r="V65" s="50">
        <v>9999.0</v>
      </c>
      <c r="W65" s="116"/>
      <c r="X65" s="116"/>
      <c r="Y65" s="144">
        <v>43777.0</v>
      </c>
      <c r="Z65" s="50">
        <v>9999.0</v>
      </c>
      <c r="AA65" s="50">
        <v>9999.0</v>
      </c>
      <c r="AB65" s="116"/>
      <c r="AC65" s="116"/>
      <c r="AD65" s="50" t="s">
        <v>15465</v>
      </c>
      <c r="AE65" s="50">
        <v>1.0</v>
      </c>
      <c r="AF65" s="50" t="s">
        <v>18902</v>
      </c>
      <c r="AG65" s="117">
        <v>5104.0</v>
      </c>
      <c r="AH65" s="50" t="s">
        <v>19347</v>
      </c>
      <c r="AI65" s="50" t="s">
        <v>19348</v>
      </c>
      <c r="AJ65" s="117">
        <v>64.0</v>
      </c>
    </row>
    <row r="66">
      <c r="A66" s="50" t="s">
        <v>19342</v>
      </c>
      <c r="B66" s="50" t="s">
        <v>6876</v>
      </c>
      <c r="C66" s="50" t="s">
        <v>6877</v>
      </c>
      <c r="D66" s="50" t="s">
        <v>11623</v>
      </c>
      <c r="E66" s="144">
        <v>43780.0</v>
      </c>
      <c r="F66" s="50" t="s">
        <v>19351</v>
      </c>
      <c r="G66" s="50">
        <v>58.0</v>
      </c>
      <c r="H66" s="50">
        <v>1.0</v>
      </c>
      <c r="I66" s="50">
        <v>99.0</v>
      </c>
      <c r="J66" s="116"/>
      <c r="K66" s="116"/>
      <c r="L66" s="50" t="s">
        <v>1531</v>
      </c>
      <c r="M66" s="50" t="s">
        <v>1531</v>
      </c>
      <c r="N66" s="122">
        <v>43467.0</v>
      </c>
      <c r="O66" s="50">
        <v>1.0</v>
      </c>
      <c r="P66" s="50">
        <v>1.0</v>
      </c>
      <c r="Q66" s="116"/>
      <c r="R66" s="50" t="s">
        <v>19299</v>
      </c>
      <c r="S66" s="116"/>
      <c r="T66" s="144">
        <v>43777.0</v>
      </c>
      <c r="U66" s="50">
        <v>9999.0</v>
      </c>
      <c r="V66" s="50">
        <v>9999.0</v>
      </c>
      <c r="W66" s="116"/>
      <c r="X66" s="116"/>
      <c r="Y66" s="144">
        <v>43777.0</v>
      </c>
      <c r="Z66" s="50">
        <v>9999.0</v>
      </c>
      <c r="AA66" s="50">
        <v>9999.0</v>
      </c>
      <c r="AB66" s="116"/>
      <c r="AC66" s="116"/>
      <c r="AD66" s="50" t="s">
        <v>15465</v>
      </c>
      <c r="AE66" s="50">
        <v>1.0</v>
      </c>
      <c r="AF66" s="50" t="s">
        <v>18902</v>
      </c>
      <c r="AG66" s="117">
        <v>5105.0</v>
      </c>
      <c r="AH66" s="50" t="s">
        <v>19355</v>
      </c>
      <c r="AI66" s="50" t="s">
        <v>19357</v>
      </c>
      <c r="AJ66" s="117">
        <v>65.0</v>
      </c>
    </row>
    <row r="67">
      <c r="A67" s="50" t="s">
        <v>19358</v>
      </c>
      <c r="B67" s="50" t="s">
        <v>6876</v>
      </c>
      <c r="C67" s="50" t="s">
        <v>6877</v>
      </c>
      <c r="D67" s="50" t="s">
        <v>11623</v>
      </c>
      <c r="E67" s="144">
        <v>43780.0</v>
      </c>
      <c r="F67" s="50" t="s">
        <v>19361</v>
      </c>
      <c r="G67" s="50">
        <v>59.0</v>
      </c>
      <c r="H67" s="50">
        <v>1.0</v>
      </c>
      <c r="I67" s="50">
        <v>11.0</v>
      </c>
      <c r="J67" s="116"/>
      <c r="K67" s="116"/>
      <c r="L67" s="50" t="s">
        <v>1525</v>
      </c>
      <c r="M67" s="50" t="s">
        <v>1525</v>
      </c>
      <c r="N67" s="122">
        <v>43467.0</v>
      </c>
      <c r="O67" s="50">
        <v>1.0</v>
      </c>
      <c r="P67" s="50">
        <v>1.0</v>
      </c>
      <c r="Q67" s="116"/>
      <c r="R67" s="50" t="s">
        <v>19299</v>
      </c>
      <c r="S67" s="116"/>
      <c r="T67" s="144">
        <v>43777.0</v>
      </c>
      <c r="U67" s="50">
        <v>28.1</v>
      </c>
      <c r="V67" s="50">
        <v>28.17</v>
      </c>
      <c r="W67" s="116"/>
      <c r="X67" s="116"/>
      <c r="Y67" s="144">
        <v>43777.0</v>
      </c>
      <c r="Z67" s="50">
        <v>9999.0</v>
      </c>
      <c r="AA67" s="50">
        <v>9999.0</v>
      </c>
      <c r="AB67" s="116"/>
      <c r="AC67" s="116"/>
      <c r="AD67" s="116"/>
      <c r="AE67" s="50">
        <v>1.0</v>
      </c>
      <c r="AF67" s="50" t="s">
        <v>18902</v>
      </c>
      <c r="AG67" s="117">
        <v>5106.0</v>
      </c>
      <c r="AH67" s="50" t="s">
        <v>19370</v>
      </c>
      <c r="AI67" s="50" t="s">
        <v>19371</v>
      </c>
      <c r="AJ67" s="117">
        <v>66.0</v>
      </c>
    </row>
    <row r="68">
      <c r="A68" s="50" t="s">
        <v>19361</v>
      </c>
      <c r="B68" s="50" t="s">
        <v>6876</v>
      </c>
      <c r="C68" s="50" t="s">
        <v>6877</v>
      </c>
      <c r="D68" s="50" t="s">
        <v>11623</v>
      </c>
      <c r="E68" s="144">
        <v>43780.0</v>
      </c>
      <c r="F68" s="50" t="s">
        <v>19374</v>
      </c>
      <c r="G68" s="50">
        <v>59.0</v>
      </c>
      <c r="H68" s="50">
        <v>1.0</v>
      </c>
      <c r="I68" s="50">
        <v>99.0</v>
      </c>
      <c r="J68" s="116"/>
      <c r="K68" s="116"/>
      <c r="L68" s="50" t="s">
        <v>1527</v>
      </c>
      <c r="M68" s="50" t="s">
        <v>1527</v>
      </c>
      <c r="N68" s="122">
        <v>43467.0</v>
      </c>
      <c r="O68" s="50">
        <v>1.0</v>
      </c>
      <c r="P68" s="50">
        <v>1.0</v>
      </c>
      <c r="Q68" s="116"/>
      <c r="R68" s="50" t="s">
        <v>19299</v>
      </c>
      <c r="S68" s="116"/>
      <c r="T68" s="144">
        <v>43777.0</v>
      </c>
      <c r="U68" s="50">
        <v>9999.0</v>
      </c>
      <c r="V68" s="50">
        <v>9999.0</v>
      </c>
      <c r="W68" s="116"/>
      <c r="X68" s="116"/>
      <c r="Y68" s="144">
        <v>43777.0</v>
      </c>
      <c r="Z68" s="50">
        <v>9999.0</v>
      </c>
      <c r="AA68" s="50">
        <v>9999.0</v>
      </c>
      <c r="AB68" s="116"/>
      <c r="AC68" s="116"/>
      <c r="AD68" s="50" t="s">
        <v>15491</v>
      </c>
      <c r="AE68" s="50">
        <v>1.0</v>
      </c>
      <c r="AF68" s="50" t="s">
        <v>18902</v>
      </c>
      <c r="AG68" s="117">
        <v>5107.0</v>
      </c>
      <c r="AH68" s="50" t="s">
        <v>19378</v>
      </c>
      <c r="AI68" s="50" t="s">
        <v>19379</v>
      </c>
      <c r="AJ68" s="117">
        <v>67.0</v>
      </c>
    </row>
    <row r="69">
      <c r="A69" s="50" t="s">
        <v>19374</v>
      </c>
      <c r="B69" s="50" t="s">
        <v>6876</v>
      </c>
      <c r="C69" s="50" t="s">
        <v>6877</v>
      </c>
      <c r="D69" s="50" t="s">
        <v>11623</v>
      </c>
      <c r="E69" s="144">
        <v>43780.0</v>
      </c>
      <c r="F69" s="50" t="s">
        <v>19382</v>
      </c>
      <c r="G69" s="50">
        <v>59.0</v>
      </c>
      <c r="H69" s="50">
        <v>1.0</v>
      </c>
      <c r="I69" s="50">
        <v>11.0</v>
      </c>
      <c r="J69" s="116"/>
      <c r="K69" s="116"/>
      <c r="L69" s="50" t="s">
        <v>1528</v>
      </c>
      <c r="M69" s="50" t="s">
        <v>1528</v>
      </c>
      <c r="N69" s="122">
        <v>43467.0</v>
      </c>
      <c r="O69" s="50">
        <v>1.0</v>
      </c>
      <c r="P69" s="50">
        <v>1.0</v>
      </c>
      <c r="Q69" s="116"/>
      <c r="R69" s="50" t="s">
        <v>19299</v>
      </c>
      <c r="S69" s="116"/>
      <c r="T69" s="144">
        <v>43777.0</v>
      </c>
      <c r="U69" s="50">
        <v>27.13</v>
      </c>
      <c r="V69" s="50">
        <v>26.36</v>
      </c>
      <c r="W69" s="116"/>
      <c r="X69" s="116"/>
      <c r="Y69" s="144">
        <v>43777.0</v>
      </c>
      <c r="Z69" s="50">
        <v>37.87</v>
      </c>
      <c r="AA69" s="50">
        <v>9999.0</v>
      </c>
      <c r="AB69" s="116"/>
      <c r="AC69" s="116"/>
      <c r="AD69" s="116"/>
      <c r="AE69" s="50">
        <v>1.0</v>
      </c>
      <c r="AF69" s="50" t="s">
        <v>18902</v>
      </c>
      <c r="AG69" s="117">
        <v>5108.0</v>
      </c>
      <c r="AH69" s="50" t="s">
        <v>19390</v>
      </c>
      <c r="AI69" s="50" t="s">
        <v>19391</v>
      </c>
      <c r="AJ69" s="117">
        <v>68.0</v>
      </c>
    </row>
    <row r="70">
      <c r="A70" s="50" t="s">
        <v>19382</v>
      </c>
      <c r="B70" s="50" t="s">
        <v>6876</v>
      </c>
      <c r="C70" s="50" t="s">
        <v>6877</v>
      </c>
      <c r="D70" s="50" t="s">
        <v>11623</v>
      </c>
      <c r="E70" s="144">
        <v>43780.0</v>
      </c>
      <c r="F70" s="50" t="s">
        <v>19394</v>
      </c>
      <c r="G70" s="50">
        <v>59.0</v>
      </c>
      <c r="H70" s="50">
        <v>1.0</v>
      </c>
      <c r="I70" s="50">
        <v>99.0</v>
      </c>
      <c r="J70" s="116"/>
      <c r="K70" s="116"/>
      <c r="L70" s="50" t="s">
        <v>1530</v>
      </c>
      <c r="M70" s="50" t="s">
        <v>1530</v>
      </c>
      <c r="N70" s="122">
        <v>43467.0</v>
      </c>
      <c r="O70" s="50">
        <v>1.0</v>
      </c>
      <c r="P70" s="50">
        <v>1.0</v>
      </c>
      <c r="Q70" s="116"/>
      <c r="R70" s="50" t="s">
        <v>19299</v>
      </c>
      <c r="S70" s="116"/>
      <c r="T70" s="144">
        <v>43777.0</v>
      </c>
      <c r="U70" s="50">
        <v>9999.0</v>
      </c>
      <c r="V70" s="50">
        <v>9999.0</v>
      </c>
      <c r="W70" s="116"/>
      <c r="X70" s="116"/>
      <c r="Y70" s="144">
        <v>43777.0</v>
      </c>
      <c r="Z70" s="50">
        <v>9999.0</v>
      </c>
      <c r="AA70" s="50">
        <v>9999.0</v>
      </c>
      <c r="AB70" s="116"/>
      <c r="AC70" s="116"/>
      <c r="AD70" s="50" t="s">
        <v>15516</v>
      </c>
      <c r="AE70" s="50">
        <v>1.0</v>
      </c>
      <c r="AF70" s="50" t="s">
        <v>18902</v>
      </c>
      <c r="AG70" s="117">
        <v>5109.0</v>
      </c>
      <c r="AH70" s="50" t="s">
        <v>19402</v>
      </c>
      <c r="AI70" s="50" t="s">
        <v>19404</v>
      </c>
      <c r="AJ70" s="117">
        <v>69.0</v>
      </c>
    </row>
    <row r="71">
      <c r="A71" s="50" t="s">
        <v>19406</v>
      </c>
      <c r="B71" s="50" t="s">
        <v>6876</v>
      </c>
      <c r="C71" s="50" t="s">
        <v>6877</v>
      </c>
      <c r="D71" s="50" t="s">
        <v>11623</v>
      </c>
      <c r="E71" s="144">
        <v>43780.0</v>
      </c>
      <c r="F71" s="50" t="s">
        <v>19407</v>
      </c>
      <c r="G71" s="50">
        <v>59.0</v>
      </c>
      <c r="H71" s="50">
        <v>1.0</v>
      </c>
      <c r="I71" s="50">
        <v>11.0</v>
      </c>
      <c r="J71" s="116"/>
      <c r="K71" s="116"/>
      <c r="L71" s="50" t="s">
        <v>1535</v>
      </c>
      <c r="M71" s="50" t="s">
        <v>1535</v>
      </c>
      <c r="N71" s="122">
        <v>43467.0</v>
      </c>
      <c r="O71" s="50">
        <v>1.0</v>
      </c>
      <c r="P71" s="50">
        <v>1.0</v>
      </c>
      <c r="Q71" s="116"/>
      <c r="R71" s="50" t="s">
        <v>19299</v>
      </c>
      <c r="S71" s="116"/>
      <c r="T71" s="144">
        <v>43777.0</v>
      </c>
      <c r="U71" s="50">
        <v>33.0</v>
      </c>
      <c r="V71" s="50">
        <v>33.89</v>
      </c>
      <c r="W71" s="116"/>
      <c r="X71" s="116"/>
      <c r="Y71" s="144">
        <v>43777.0</v>
      </c>
      <c r="Z71" s="50">
        <v>36.65</v>
      </c>
      <c r="AA71" s="50">
        <v>37.37</v>
      </c>
      <c r="AB71" s="116"/>
      <c r="AC71" s="116"/>
      <c r="AD71" s="116"/>
      <c r="AE71" s="50">
        <v>1.0</v>
      </c>
      <c r="AF71" s="50" t="s">
        <v>18902</v>
      </c>
      <c r="AG71" s="117">
        <v>5111.0</v>
      </c>
      <c r="AH71" s="50" t="s">
        <v>19412</v>
      </c>
      <c r="AI71" s="50" t="s">
        <v>19413</v>
      </c>
      <c r="AJ71" s="117">
        <v>71.0</v>
      </c>
    </row>
    <row r="72">
      <c r="A72" s="50" t="s">
        <v>19407</v>
      </c>
      <c r="B72" s="50" t="s">
        <v>6876</v>
      </c>
      <c r="C72" s="50" t="s">
        <v>6877</v>
      </c>
      <c r="D72" s="50" t="s">
        <v>11623</v>
      </c>
      <c r="E72" s="144">
        <v>43780.0</v>
      </c>
      <c r="F72" s="50" t="s">
        <v>19419</v>
      </c>
      <c r="G72" s="50">
        <v>59.0</v>
      </c>
      <c r="H72" s="50">
        <v>1.0</v>
      </c>
      <c r="I72" s="50">
        <v>99.0</v>
      </c>
      <c r="J72" s="116"/>
      <c r="K72" s="116"/>
      <c r="L72" s="50" t="s">
        <v>1537</v>
      </c>
      <c r="M72" s="50" t="s">
        <v>1537</v>
      </c>
      <c r="N72" s="122">
        <v>43467.0</v>
      </c>
      <c r="O72" s="50">
        <v>1.0</v>
      </c>
      <c r="P72" s="50">
        <v>1.0</v>
      </c>
      <c r="Q72" s="116"/>
      <c r="R72" s="50" t="s">
        <v>19299</v>
      </c>
      <c r="S72" s="116"/>
      <c r="T72" s="144">
        <v>43777.0</v>
      </c>
      <c r="U72" s="50">
        <v>9999.0</v>
      </c>
      <c r="V72" s="50">
        <v>9999.0</v>
      </c>
      <c r="W72" s="116"/>
      <c r="X72" s="116"/>
      <c r="Y72" s="144">
        <v>43777.0</v>
      </c>
      <c r="Z72" s="50">
        <v>9999.0</v>
      </c>
      <c r="AA72" s="50">
        <v>9999.0</v>
      </c>
      <c r="AB72" s="116"/>
      <c r="AC72" s="116"/>
      <c r="AD72" s="50" t="s">
        <v>15693</v>
      </c>
      <c r="AE72" s="50">
        <v>1.0</v>
      </c>
      <c r="AF72" s="50" t="s">
        <v>18902</v>
      </c>
      <c r="AG72" s="117">
        <v>5112.0</v>
      </c>
      <c r="AH72" s="50" t="s">
        <v>19425</v>
      </c>
      <c r="AI72" s="50" t="s">
        <v>19426</v>
      </c>
      <c r="AJ72" s="117">
        <v>72.0</v>
      </c>
    </row>
    <row r="73">
      <c r="A73" s="50" t="s">
        <v>19419</v>
      </c>
      <c r="B73" s="50" t="s">
        <v>6876</v>
      </c>
      <c r="C73" s="50" t="s">
        <v>6877</v>
      </c>
      <c r="D73" s="50" t="s">
        <v>11623</v>
      </c>
      <c r="E73" s="144">
        <v>43780.0</v>
      </c>
      <c r="F73" s="50" t="s">
        <v>19430</v>
      </c>
      <c r="G73" s="50">
        <v>59.0</v>
      </c>
      <c r="H73" s="50">
        <v>1.0</v>
      </c>
      <c r="I73" s="50">
        <v>11.0</v>
      </c>
      <c r="J73" s="116"/>
      <c r="K73" s="116"/>
      <c r="L73" s="50" t="s">
        <v>1538</v>
      </c>
      <c r="M73" s="50" t="s">
        <v>1538</v>
      </c>
      <c r="N73" s="122">
        <v>43467.0</v>
      </c>
      <c r="O73" s="50">
        <v>1.0</v>
      </c>
      <c r="P73" s="50">
        <v>1.0</v>
      </c>
      <c r="Q73" s="116"/>
      <c r="R73" s="50" t="s">
        <v>19299</v>
      </c>
      <c r="S73" s="116"/>
      <c r="T73" s="144">
        <v>43777.0</v>
      </c>
      <c r="U73" s="50">
        <v>27.95</v>
      </c>
      <c r="V73" s="50">
        <v>26.19</v>
      </c>
      <c r="W73" s="116"/>
      <c r="X73" s="116"/>
      <c r="Y73" s="144">
        <v>43777.0</v>
      </c>
      <c r="Z73" s="50">
        <v>40.0</v>
      </c>
      <c r="AA73" s="50">
        <v>9999.0</v>
      </c>
      <c r="AB73" s="116"/>
      <c r="AC73" s="116"/>
      <c r="AD73" s="116"/>
      <c r="AE73" s="50">
        <v>1.0</v>
      </c>
      <c r="AF73" s="50" t="s">
        <v>18902</v>
      </c>
      <c r="AG73" s="117">
        <v>5113.0</v>
      </c>
      <c r="AH73" s="50" t="s">
        <v>19440</v>
      </c>
      <c r="AI73" s="50" t="s">
        <v>19441</v>
      </c>
      <c r="AJ73" s="117">
        <v>73.0</v>
      </c>
    </row>
    <row r="74">
      <c r="A74" s="50" t="s">
        <v>19430</v>
      </c>
      <c r="B74" s="50" t="s">
        <v>6876</v>
      </c>
      <c r="C74" s="50" t="s">
        <v>6877</v>
      </c>
      <c r="D74" s="50" t="s">
        <v>11623</v>
      </c>
      <c r="E74" s="144">
        <v>43780.0</v>
      </c>
      <c r="F74" s="50" t="s">
        <v>19444</v>
      </c>
      <c r="G74" s="50">
        <v>59.0</v>
      </c>
      <c r="H74" s="50">
        <v>1.0</v>
      </c>
      <c r="I74" s="50">
        <v>99.0</v>
      </c>
      <c r="J74" s="116"/>
      <c r="K74" s="116"/>
      <c r="L74" s="50" t="s">
        <v>1540</v>
      </c>
      <c r="M74" s="50" t="s">
        <v>1540</v>
      </c>
      <c r="N74" s="122">
        <v>43467.0</v>
      </c>
      <c r="O74" s="50">
        <v>1.0</v>
      </c>
      <c r="P74" s="50">
        <v>1.0</v>
      </c>
      <c r="Q74" s="116"/>
      <c r="R74" s="50" t="s">
        <v>19299</v>
      </c>
      <c r="S74" s="116"/>
      <c r="T74" s="144">
        <v>43777.0</v>
      </c>
      <c r="U74" s="50">
        <v>9999.0</v>
      </c>
      <c r="V74" s="50">
        <v>9999.0</v>
      </c>
      <c r="W74" s="116"/>
      <c r="X74" s="116"/>
      <c r="Y74" s="144">
        <v>43777.0</v>
      </c>
      <c r="Z74" s="50">
        <v>9999.0</v>
      </c>
      <c r="AA74" s="50">
        <v>9999.0</v>
      </c>
      <c r="AB74" s="116"/>
      <c r="AC74" s="116"/>
      <c r="AD74" s="50" t="s">
        <v>18897</v>
      </c>
      <c r="AE74" s="50">
        <v>1.0</v>
      </c>
      <c r="AF74" s="50" t="s">
        <v>18902</v>
      </c>
      <c r="AG74" s="117">
        <v>5114.0</v>
      </c>
      <c r="AH74" s="50" t="s">
        <v>19449</v>
      </c>
      <c r="AI74" s="50" t="s">
        <v>19451</v>
      </c>
      <c r="AJ74" s="117">
        <v>74.0</v>
      </c>
    </row>
    <row r="75">
      <c r="A75" s="50" t="s">
        <v>19444</v>
      </c>
      <c r="B75" s="50" t="s">
        <v>6876</v>
      </c>
      <c r="C75" s="50" t="s">
        <v>6877</v>
      </c>
      <c r="D75" s="50" t="s">
        <v>11623</v>
      </c>
      <c r="E75" s="144">
        <v>43780.0</v>
      </c>
      <c r="F75" s="50" t="s">
        <v>19457</v>
      </c>
      <c r="G75" s="50">
        <v>59.0</v>
      </c>
      <c r="H75" s="50">
        <v>1.0</v>
      </c>
      <c r="I75" s="50">
        <v>11.0</v>
      </c>
      <c r="J75" s="116"/>
      <c r="K75" s="116"/>
      <c r="L75" s="50" t="s">
        <v>1541</v>
      </c>
      <c r="M75" s="50" t="s">
        <v>1541</v>
      </c>
      <c r="N75" s="122">
        <v>43467.0</v>
      </c>
      <c r="O75" s="50">
        <v>1.0</v>
      </c>
      <c r="P75" s="50">
        <v>1.0</v>
      </c>
      <c r="Q75" s="116"/>
      <c r="R75" s="50" t="s">
        <v>19299</v>
      </c>
      <c r="S75" s="116"/>
      <c r="T75" s="144">
        <v>43777.0</v>
      </c>
      <c r="U75" s="50">
        <v>28.35</v>
      </c>
      <c r="V75" s="50">
        <v>28.66</v>
      </c>
      <c r="W75" s="116"/>
      <c r="X75" s="116"/>
      <c r="Y75" s="144">
        <v>43777.0</v>
      </c>
      <c r="Z75" s="50">
        <v>9999.0</v>
      </c>
      <c r="AA75" s="50">
        <v>9999.0</v>
      </c>
      <c r="AB75" s="116"/>
      <c r="AC75" s="116"/>
      <c r="AD75" s="116"/>
      <c r="AE75" s="50">
        <v>1.0</v>
      </c>
      <c r="AF75" s="50" t="s">
        <v>18902</v>
      </c>
      <c r="AG75" s="117">
        <v>5115.0</v>
      </c>
      <c r="AH75" s="50" t="s">
        <v>19464</v>
      </c>
      <c r="AI75" s="50" t="s">
        <v>19465</v>
      </c>
      <c r="AJ75" s="117">
        <v>75.0</v>
      </c>
    </row>
    <row r="76">
      <c r="A76" s="50" t="s">
        <v>19457</v>
      </c>
      <c r="B76" s="50" t="s">
        <v>6876</v>
      </c>
      <c r="C76" s="50" t="s">
        <v>6877</v>
      </c>
      <c r="D76" s="50" t="s">
        <v>11623</v>
      </c>
      <c r="E76" s="144">
        <v>43780.0</v>
      </c>
      <c r="F76" s="50" t="s">
        <v>19467</v>
      </c>
      <c r="G76" s="50">
        <v>59.0</v>
      </c>
      <c r="H76" s="50">
        <v>1.0</v>
      </c>
      <c r="I76" s="50">
        <v>99.0</v>
      </c>
      <c r="J76" s="116"/>
      <c r="K76" s="116"/>
      <c r="L76" s="50" t="s">
        <v>272</v>
      </c>
      <c r="M76" s="50" t="s">
        <v>272</v>
      </c>
      <c r="N76" s="122">
        <v>43467.0</v>
      </c>
      <c r="O76" s="50">
        <v>1.0</v>
      </c>
      <c r="P76" s="50">
        <v>1.0</v>
      </c>
      <c r="Q76" s="116"/>
      <c r="R76" s="50" t="s">
        <v>19299</v>
      </c>
      <c r="S76" s="116"/>
      <c r="T76" s="144">
        <v>43777.0</v>
      </c>
      <c r="U76" s="50">
        <v>9999.0</v>
      </c>
      <c r="V76" s="50">
        <v>9999.0</v>
      </c>
      <c r="W76" s="116"/>
      <c r="X76" s="116"/>
      <c r="Y76" s="144">
        <v>43777.0</v>
      </c>
      <c r="Z76" s="50">
        <v>9999.0</v>
      </c>
      <c r="AA76" s="50">
        <v>9999.0</v>
      </c>
      <c r="AB76" s="116"/>
      <c r="AC76" s="116"/>
      <c r="AD76" s="50" t="s">
        <v>15789</v>
      </c>
      <c r="AE76" s="50">
        <v>1.0</v>
      </c>
      <c r="AF76" s="50" t="s">
        <v>18902</v>
      </c>
      <c r="AG76" s="117">
        <v>5116.0</v>
      </c>
      <c r="AH76" s="50" t="s">
        <v>19476</v>
      </c>
      <c r="AI76" s="50" t="s">
        <v>19477</v>
      </c>
      <c r="AJ76" s="117">
        <v>76.0</v>
      </c>
    </row>
    <row r="77">
      <c r="A77" s="50" t="s">
        <v>19467</v>
      </c>
      <c r="B77" s="50" t="s">
        <v>6876</v>
      </c>
      <c r="C77" s="50" t="s">
        <v>6877</v>
      </c>
      <c r="D77" s="50" t="s">
        <v>11623</v>
      </c>
      <c r="E77" s="144">
        <v>43780.0</v>
      </c>
      <c r="F77" s="50" t="s">
        <v>19480</v>
      </c>
      <c r="G77" s="50">
        <v>59.0</v>
      </c>
      <c r="H77" s="50">
        <v>1.0</v>
      </c>
      <c r="I77" s="50">
        <v>11.0</v>
      </c>
      <c r="J77" s="116"/>
      <c r="K77" s="116"/>
      <c r="L77" s="50" t="s">
        <v>1547</v>
      </c>
      <c r="M77" s="50" t="s">
        <v>1547</v>
      </c>
      <c r="N77" s="122">
        <v>43467.0</v>
      </c>
      <c r="O77" s="50">
        <v>1.0</v>
      </c>
      <c r="P77" s="50">
        <v>1.0</v>
      </c>
      <c r="Q77" s="116"/>
      <c r="R77" s="50" t="s">
        <v>19299</v>
      </c>
      <c r="S77" s="116"/>
      <c r="T77" s="144">
        <v>43777.0</v>
      </c>
      <c r="U77" s="50">
        <v>29.78</v>
      </c>
      <c r="V77" s="50">
        <v>9999.0</v>
      </c>
      <c r="W77" s="116"/>
      <c r="X77" s="116"/>
      <c r="Y77" s="144">
        <v>43777.0</v>
      </c>
      <c r="Z77" s="50">
        <v>38.04</v>
      </c>
      <c r="AA77" s="50">
        <v>9999.0</v>
      </c>
      <c r="AB77" s="116"/>
      <c r="AC77" s="116"/>
      <c r="AD77" s="116"/>
      <c r="AE77" s="50">
        <v>1.0</v>
      </c>
      <c r="AF77" s="50" t="s">
        <v>18902</v>
      </c>
      <c r="AG77" s="117">
        <v>5117.0</v>
      </c>
      <c r="AH77" s="50" t="s">
        <v>19485</v>
      </c>
      <c r="AI77" s="50" t="s">
        <v>19486</v>
      </c>
      <c r="AJ77" s="117">
        <v>77.0</v>
      </c>
    </row>
    <row r="78">
      <c r="A78" s="50" t="s">
        <v>19480</v>
      </c>
      <c r="B78" s="50" t="s">
        <v>6876</v>
      </c>
      <c r="C78" s="50" t="s">
        <v>6877</v>
      </c>
      <c r="D78" s="50" t="s">
        <v>11623</v>
      </c>
      <c r="E78" s="144">
        <v>43780.0</v>
      </c>
      <c r="F78" s="50" t="s">
        <v>19490</v>
      </c>
      <c r="G78" s="50">
        <v>59.0</v>
      </c>
      <c r="H78" s="50">
        <v>1.0</v>
      </c>
      <c r="I78" s="50">
        <v>99.0</v>
      </c>
      <c r="J78" s="116"/>
      <c r="K78" s="116"/>
      <c r="L78" s="50" t="s">
        <v>1549</v>
      </c>
      <c r="M78" s="50" t="s">
        <v>1549</v>
      </c>
      <c r="N78" s="122">
        <v>43467.0</v>
      </c>
      <c r="O78" s="50">
        <v>1.0</v>
      </c>
      <c r="P78" s="50">
        <v>1.0</v>
      </c>
      <c r="Q78" s="116"/>
      <c r="R78" s="50" t="s">
        <v>19299</v>
      </c>
      <c r="S78" s="116"/>
      <c r="T78" s="144">
        <v>43777.0</v>
      </c>
      <c r="U78" s="50">
        <v>9999.0</v>
      </c>
      <c r="V78" s="50">
        <v>9999.0</v>
      </c>
      <c r="W78" s="116"/>
      <c r="X78" s="116"/>
      <c r="Y78" s="144">
        <v>43777.0</v>
      </c>
      <c r="Z78" s="50">
        <v>9999.0</v>
      </c>
      <c r="AA78" s="50">
        <v>9999.0</v>
      </c>
      <c r="AB78" s="116"/>
      <c r="AC78" s="116"/>
      <c r="AD78" s="50" t="s">
        <v>15839</v>
      </c>
      <c r="AE78" s="50">
        <v>1.0</v>
      </c>
      <c r="AF78" s="50" t="s">
        <v>18902</v>
      </c>
      <c r="AG78" s="117">
        <v>5118.0</v>
      </c>
      <c r="AH78" s="50" t="s">
        <v>19496</v>
      </c>
      <c r="AI78" s="50" t="s">
        <v>19497</v>
      </c>
      <c r="AJ78" s="117">
        <v>78.0</v>
      </c>
    </row>
    <row r="79">
      <c r="A79" s="50" t="s">
        <v>19490</v>
      </c>
      <c r="B79" s="50" t="s">
        <v>6876</v>
      </c>
      <c r="C79" s="50" t="s">
        <v>6877</v>
      </c>
      <c r="D79" s="50" t="s">
        <v>11623</v>
      </c>
      <c r="E79" s="144">
        <v>43780.0</v>
      </c>
      <c r="F79" s="50" t="s">
        <v>19500</v>
      </c>
      <c r="G79" s="50">
        <v>59.0</v>
      </c>
      <c r="H79" s="50">
        <v>1.0</v>
      </c>
      <c r="I79" s="50">
        <v>11.0</v>
      </c>
      <c r="J79" s="116"/>
      <c r="K79" s="116"/>
      <c r="L79" s="50" t="s">
        <v>1550</v>
      </c>
      <c r="M79" s="50" t="s">
        <v>1550</v>
      </c>
      <c r="N79" s="122">
        <v>43467.0</v>
      </c>
      <c r="O79" s="50">
        <v>1.0</v>
      </c>
      <c r="P79" s="50">
        <v>1.0</v>
      </c>
      <c r="Q79" s="116"/>
      <c r="R79" s="50" t="s">
        <v>19299</v>
      </c>
      <c r="S79" s="116"/>
      <c r="T79" s="144">
        <v>43777.0</v>
      </c>
      <c r="U79" s="50">
        <v>23.29</v>
      </c>
      <c r="V79" s="50">
        <v>22.26</v>
      </c>
      <c r="W79" s="116"/>
      <c r="X79" s="116"/>
      <c r="Y79" s="144">
        <v>43777.0</v>
      </c>
      <c r="Z79" s="50">
        <v>9999.0</v>
      </c>
      <c r="AA79" s="50">
        <v>9999.0</v>
      </c>
      <c r="AB79" s="116"/>
      <c r="AC79" s="116"/>
      <c r="AD79" s="116"/>
      <c r="AE79" s="50">
        <v>1.0</v>
      </c>
      <c r="AF79" s="50" t="s">
        <v>18902</v>
      </c>
      <c r="AG79" s="117">
        <v>5119.0</v>
      </c>
      <c r="AH79" s="50" t="s">
        <v>19504</v>
      </c>
      <c r="AI79" s="50" t="s">
        <v>19505</v>
      </c>
      <c r="AJ79" s="117">
        <v>79.0</v>
      </c>
    </row>
    <row r="80">
      <c r="A80" s="50" t="s">
        <v>19500</v>
      </c>
      <c r="B80" s="50" t="s">
        <v>6876</v>
      </c>
      <c r="C80" s="50" t="s">
        <v>6877</v>
      </c>
      <c r="D80" s="50" t="s">
        <v>11623</v>
      </c>
      <c r="E80" s="144">
        <v>43780.0</v>
      </c>
      <c r="F80" s="50" t="s">
        <v>19507</v>
      </c>
      <c r="G80" s="50">
        <v>59.0</v>
      </c>
      <c r="H80" s="50">
        <v>1.0</v>
      </c>
      <c r="I80" s="50">
        <v>99.0</v>
      </c>
      <c r="J80" s="116"/>
      <c r="K80" s="116"/>
      <c r="L80" s="50" t="s">
        <v>1553</v>
      </c>
      <c r="M80" s="50" t="s">
        <v>1553</v>
      </c>
      <c r="N80" s="122">
        <v>43467.0</v>
      </c>
      <c r="O80" s="50">
        <v>1.0</v>
      </c>
      <c r="P80" s="50">
        <v>1.0</v>
      </c>
      <c r="Q80" s="116"/>
      <c r="R80" s="50" t="s">
        <v>19299</v>
      </c>
      <c r="S80" s="116"/>
      <c r="T80" s="144">
        <v>43777.0</v>
      </c>
      <c r="U80" s="50">
        <v>9999.0</v>
      </c>
      <c r="V80" s="50">
        <v>9999.0</v>
      </c>
      <c r="W80" s="116"/>
      <c r="X80" s="116"/>
      <c r="Y80" s="144">
        <v>43777.0</v>
      </c>
      <c r="Z80" s="50">
        <v>9999.0</v>
      </c>
      <c r="AA80" s="50">
        <v>9999.0</v>
      </c>
      <c r="AB80" s="116"/>
      <c r="AC80" s="116"/>
      <c r="AD80" s="50" t="s">
        <v>15882</v>
      </c>
      <c r="AE80" s="50">
        <v>1.0</v>
      </c>
      <c r="AF80" s="50" t="s">
        <v>18902</v>
      </c>
      <c r="AG80" s="117">
        <v>5120.0</v>
      </c>
      <c r="AH80" s="50" t="s">
        <v>19515</v>
      </c>
      <c r="AI80" s="50" t="s">
        <v>19516</v>
      </c>
      <c r="AJ80" s="117">
        <v>80.0</v>
      </c>
    </row>
    <row r="81">
      <c r="A81" s="50" t="s">
        <v>19507</v>
      </c>
      <c r="B81" s="50" t="s">
        <v>6876</v>
      </c>
      <c r="C81" s="50" t="s">
        <v>6877</v>
      </c>
      <c r="D81" s="50" t="s">
        <v>11623</v>
      </c>
      <c r="E81" s="144">
        <v>43780.0</v>
      </c>
      <c r="F81" s="50" t="s">
        <v>19519</v>
      </c>
      <c r="G81" s="50">
        <v>59.0</v>
      </c>
      <c r="H81" s="50">
        <v>1.0</v>
      </c>
      <c r="I81" s="50">
        <v>11.0</v>
      </c>
      <c r="J81" s="116"/>
      <c r="K81" s="116"/>
      <c r="L81" s="50" t="s">
        <v>1561</v>
      </c>
      <c r="M81" s="50" t="s">
        <v>1561</v>
      </c>
      <c r="N81" s="122">
        <v>43467.0</v>
      </c>
      <c r="O81" s="50">
        <v>1.0</v>
      </c>
      <c r="P81" s="50">
        <v>1.0</v>
      </c>
      <c r="Q81" s="116"/>
      <c r="R81" s="50" t="s">
        <v>19299</v>
      </c>
      <c r="S81" s="116"/>
      <c r="T81" s="144">
        <v>43777.0</v>
      </c>
      <c r="U81" s="50">
        <v>27.27</v>
      </c>
      <c r="V81" s="50">
        <v>27.14</v>
      </c>
      <c r="W81" s="116"/>
      <c r="X81" s="116"/>
      <c r="Y81" s="144">
        <v>43777.0</v>
      </c>
      <c r="Z81" s="50">
        <v>38.1</v>
      </c>
      <c r="AA81" s="50">
        <v>3737.0</v>
      </c>
      <c r="AB81" s="116"/>
      <c r="AC81" s="116"/>
      <c r="AD81" s="116"/>
      <c r="AE81" s="50">
        <v>1.0</v>
      </c>
      <c r="AF81" s="50" t="s">
        <v>18902</v>
      </c>
      <c r="AG81" s="117">
        <v>5121.0</v>
      </c>
      <c r="AH81" s="50" t="s">
        <v>19524</v>
      </c>
      <c r="AI81" s="50" t="s">
        <v>19525</v>
      </c>
      <c r="AJ81" s="117">
        <v>81.0</v>
      </c>
    </row>
    <row r="82">
      <c r="A82" s="50" t="s">
        <v>19519</v>
      </c>
      <c r="B82" s="50" t="s">
        <v>6876</v>
      </c>
      <c r="C82" s="50" t="s">
        <v>6877</v>
      </c>
      <c r="D82" s="50" t="s">
        <v>11623</v>
      </c>
      <c r="E82" s="144">
        <v>43780.0</v>
      </c>
      <c r="F82" s="50" t="s">
        <v>19529</v>
      </c>
      <c r="G82" s="50">
        <v>59.0</v>
      </c>
      <c r="H82" s="50">
        <v>1.0</v>
      </c>
      <c r="I82" s="50">
        <v>99.0</v>
      </c>
      <c r="J82" s="116"/>
      <c r="K82" s="116"/>
      <c r="L82" s="50" t="s">
        <v>1563</v>
      </c>
      <c r="M82" s="50" t="s">
        <v>1563</v>
      </c>
      <c r="N82" s="122">
        <v>43467.0</v>
      </c>
      <c r="O82" s="50">
        <v>1.0</v>
      </c>
      <c r="P82" s="50">
        <v>1.0</v>
      </c>
      <c r="Q82" s="116"/>
      <c r="R82" s="50" t="s">
        <v>19299</v>
      </c>
      <c r="S82" s="116"/>
      <c r="T82" s="144">
        <v>43777.0</v>
      </c>
      <c r="U82" s="50">
        <v>9999.0</v>
      </c>
      <c r="V82" s="50">
        <v>9999.0</v>
      </c>
      <c r="W82" s="116"/>
      <c r="X82" s="116"/>
      <c r="Y82" s="144">
        <v>43777.0</v>
      </c>
      <c r="Z82" s="50">
        <v>9999.0</v>
      </c>
      <c r="AA82" s="50">
        <v>9999.0</v>
      </c>
      <c r="AB82" s="116"/>
      <c r="AC82" s="116"/>
      <c r="AD82" s="50" t="s">
        <v>15935</v>
      </c>
      <c r="AE82" s="50">
        <v>1.0</v>
      </c>
      <c r="AF82" s="50" t="s">
        <v>18902</v>
      </c>
      <c r="AG82" s="117">
        <v>5122.0</v>
      </c>
      <c r="AH82" s="50" t="s">
        <v>19535</v>
      </c>
      <c r="AI82" s="50" t="s">
        <v>19536</v>
      </c>
      <c r="AJ82" s="117">
        <v>82.0</v>
      </c>
    </row>
    <row r="83">
      <c r="A83" s="50" t="s">
        <v>19538</v>
      </c>
      <c r="B83" s="50" t="s">
        <v>6876</v>
      </c>
      <c r="C83" s="50" t="s">
        <v>6877</v>
      </c>
      <c r="D83" s="50" t="s">
        <v>11623</v>
      </c>
      <c r="E83" s="144">
        <v>43780.0</v>
      </c>
      <c r="F83" s="50" t="s">
        <v>19540</v>
      </c>
      <c r="G83" s="50">
        <v>59.0</v>
      </c>
      <c r="H83" s="50">
        <v>1.0</v>
      </c>
      <c r="I83" s="50">
        <v>11.0</v>
      </c>
      <c r="J83" s="116"/>
      <c r="K83" s="116"/>
      <c r="L83" s="50" t="s">
        <v>1564</v>
      </c>
      <c r="M83" s="50" t="s">
        <v>1564</v>
      </c>
      <c r="N83" s="122">
        <v>43467.0</v>
      </c>
      <c r="O83" s="50">
        <v>1.0</v>
      </c>
      <c r="P83" s="50">
        <v>1.0</v>
      </c>
      <c r="Q83" s="116"/>
      <c r="R83" s="50" t="s">
        <v>19299</v>
      </c>
      <c r="S83" s="116"/>
      <c r="T83" s="144">
        <v>43777.0</v>
      </c>
      <c r="U83" s="50">
        <v>37.31</v>
      </c>
      <c r="V83" s="50">
        <v>9999.0</v>
      </c>
      <c r="W83" s="116"/>
      <c r="X83" s="116"/>
      <c r="Y83" s="144">
        <v>43777.0</v>
      </c>
      <c r="Z83" s="50">
        <v>36.37</v>
      </c>
      <c r="AA83" s="50">
        <v>9999.0</v>
      </c>
      <c r="AB83" s="116"/>
      <c r="AC83" s="116"/>
      <c r="AD83" s="116"/>
      <c r="AE83" s="50">
        <v>1.0</v>
      </c>
      <c r="AF83" s="50" t="s">
        <v>18902</v>
      </c>
      <c r="AG83" s="117">
        <v>5123.0</v>
      </c>
      <c r="AH83" s="50" t="s">
        <v>19549</v>
      </c>
      <c r="AI83" s="50" t="s">
        <v>19550</v>
      </c>
      <c r="AJ83" s="117">
        <v>83.0</v>
      </c>
    </row>
    <row r="84">
      <c r="A84" s="50" t="s">
        <v>19540</v>
      </c>
      <c r="B84" s="50" t="s">
        <v>6876</v>
      </c>
      <c r="C84" s="50" t="s">
        <v>6877</v>
      </c>
      <c r="D84" s="50" t="s">
        <v>11623</v>
      </c>
      <c r="E84" s="144">
        <v>43780.0</v>
      </c>
      <c r="F84" s="50" t="s">
        <v>19553</v>
      </c>
      <c r="G84" s="50">
        <v>59.0</v>
      </c>
      <c r="H84" s="50">
        <v>1.0</v>
      </c>
      <c r="I84" s="50">
        <v>99.0</v>
      </c>
      <c r="J84" s="116"/>
      <c r="K84" s="116"/>
      <c r="L84" s="50" t="s">
        <v>1566</v>
      </c>
      <c r="M84" s="50" t="s">
        <v>1566</v>
      </c>
      <c r="N84" s="122">
        <v>43467.0</v>
      </c>
      <c r="O84" s="50">
        <v>1.0</v>
      </c>
      <c r="P84" s="50">
        <v>1.0</v>
      </c>
      <c r="Q84" s="116"/>
      <c r="R84" s="50" t="s">
        <v>19299</v>
      </c>
      <c r="S84" s="116"/>
      <c r="T84" s="144">
        <v>43777.0</v>
      </c>
      <c r="U84" s="50">
        <v>9999.0</v>
      </c>
      <c r="V84" s="50">
        <v>9999.0</v>
      </c>
      <c r="W84" s="116"/>
      <c r="X84" s="116"/>
      <c r="Y84" s="144">
        <v>43777.0</v>
      </c>
      <c r="Z84" s="50">
        <v>9999.0</v>
      </c>
      <c r="AA84" s="50">
        <v>9999.0</v>
      </c>
      <c r="AB84" s="116"/>
      <c r="AC84" s="116"/>
      <c r="AD84" s="50" t="s">
        <v>15980</v>
      </c>
      <c r="AE84" s="50">
        <v>1.0</v>
      </c>
      <c r="AF84" s="50" t="s">
        <v>18902</v>
      </c>
      <c r="AG84" s="117">
        <v>5124.0</v>
      </c>
      <c r="AH84" s="50" t="s">
        <v>19560</v>
      </c>
      <c r="AI84" s="50" t="s">
        <v>19562</v>
      </c>
      <c r="AJ84" s="117">
        <v>84.0</v>
      </c>
    </row>
    <row r="85">
      <c r="A85" s="50" t="s">
        <v>19564</v>
      </c>
      <c r="B85" s="50" t="s">
        <v>6876</v>
      </c>
      <c r="C85" s="50" t="s">
        <v>6877</v>
      </c>
      <c r="D85" s="50" t="s">
        <v>11623</v>
      </c>
      <c r="E85" s="144">
        <v>43780.0</v>
      </c>
      <c r="F85" s="50" t="s">
        <v>19566</v>
      </c>
      <c r="G85" s="50">
        <v>57.0</v>
      </c>
      <c r="H85" s="50">
        <v>1.0</v>
      </c>
      <c r="I85" s="50">
        <v>12.0</v>
      </c>
      <c r="J85" s="116"/>
      <c r="K85" s="116"/>
      <c r="L85" s="50" t="s">
        <v>1557</v>
      </c>
      <c r="M85" s="50" t="s">
        <v>1557</v>
      </c>
      <c r="N85" s="122">
        <v>43467.0</v>
      </c>
      <c r="O85" s="50">
        <v>1.0</v>
      </c>
      <c r="P85" s="50">
        <v>1.0</v>
      </c>
      <c r="Q85" s="116"/>
      <c r="R85" s="50" t="s">
        <v>19299</v>
      </c>
      <c r="S85" s="116"/>
      <c r="T85" s="144">
        <v>43777.0</v>
      </c>
      <c r="U85" s="50">
        <v>28.14</v>
      </c>
      <c r="V85" s="50">
        <v>24.07</v>
      </c>
      <c r="W85" s="116"/>
      <c r="X85" s="116"/>
      <c r="Y85" s="144">
        <v>43777.0</v>
      </c>
      <c r="Z85" s="50">
        <v>35.04</v>
      </c>
      <c r="AA85" s="50">
        <v>34.88</v>
      </c>
      <c r="AB85" s="116"/>
      <c r="AC85" s="116"/>
      <c r="AD85" s="116"/>
      <c r="AE85" s="50">
        <v>1.0</v>
      </c>
      <c r="AF85" s="50" t="s">
        <v>18902</v>
      </c>
      <c r="AG85" s="117">
        <v>5125.0</v>
      </c>
      <c r="AH85" s="50" t="s">
        <v>19578</v>
      </c>
      <c r="AI85" s="50" t="s">
        <v>19579</v>
      </c>
      <c r="AJ85" s="117">
        <v>85.0</v>
      </c>
    </row>
    <row r="86">
      <c r="A86" s="50" t="s">
        <v>19566</v>
      </c>
      <c r="B86" s="50" t="s">
        <v>6876</v>
      </c>
      <c r="C86" s="50" t="s">
        <v>6877</v>
      </c>
      <c r="D86" s="50" t="s">
        <v>11623</v>
      </c>
      <c r="E86" s="144">
        <v>43780.0</v>
      </c>
      <c r="F86" s="50" t="s">
        <v>19582</v>
      </c>
      <c r="G86" s="50">
        <v>57.0</v>
      </c>
      <c r="H86" s="50">
        <v>1.0</v>
      </c>
      <c r="I86" s="50">
        <v>99.0</v>
      </c>
      <c r="J86" s="116"/>
      <c r="K86" s="116"/>
      <c r="L86" s="50" t="s">
        <v>1560</v>
      </c>
      <c r="M86" s="50" t="s">
        <v>1560</v>
      </c>
      <c r="N86" s="122">
        <v>43467.0</v>
      </c>
      <c r="O86" s="50">
        <v>1.0</v>
      </c>
      <c r="P86" s="50">
        <v>1.0</v>
      </c>
      <c r="Q86" s="116"/>
      <c r="R86" s="50" t="s">
        <v>19299</v>
      </c>
      <c r="S86" s="116"/>
      <c r="T86" s="144">
        <v>43777.0</v>
      </c>
      <c r="U86" s="50">
        <v>9999.0</v>
      </c>
      <c r="V86" s="50">
        <v>9999.0</v>
      </c>
      <c r="W86" s="116"/>
      <c r="X86" s="116"/>
      <c r="Y86" s="144">
        <v>43777.0</v>
      </c>
      <c r="Z86" s="50">
        <v>9999.0</v>
      </c>
      <c r="AA86" s="50">
        <v>9999.0</v>
      </c>
      <c r="AB86" s="116"/>
      <c r="AC86" s="116"/>
      <c r="AD86" s="50" t="s">
        <v>16002</v>
      </c>
      <c r="AE86" s="50">
        <v>1.0</v>
      </c>
      <c r="AF86" s="50" t="s">
        <v>18902</v>
      </c>
      <c r="AG86" s="117">
        <v>5126.0</v>
      </c>
      <c r="AH86" s="50" t="s">
        <v>19591</v>
      </c>
      <c r="AI86" s="50" t="s">
        <v>19593</v>
      </c>
      <c r="AJ86" s="117">
        <v>86.0</v>
      </c>
    </row>
    <row r="87">
      <c r="A87" s="50" t="s">
        <v>19595</v>
      </c>
      <c r="B87" s="50" t="s">
        <v>6876</v>
      </c>
      <c r="C87" s="50" t="s">
        <v>6877</v>
      </c>
      <c r="D87" s="50" t="s">
        <v>11623</v>
      </c>
      <c r="E87" s="144">
        <v>43780.0</v>
      </c>
      <c r="F87" s="50" t="s">
        <v>19598</v>
      </c>
      <c r="G87" s="50">
        <v>55.0</v>
      </c>
      <c r="H87" s="50">
        <v>1.0</v>
      </c>
      <c r="I87" s="50">
        <v>12.0</v>
      </c>
      <c r="J87" s="116"/>
      <c r="K87" s="116"/>
      <c r="L87" s="50" t="s">
        <v>1558</v>
      </c>
      <c r="M87" s="50" t="s">
        <v>1558</v>
      </c>
      <c r="N87" s="122">
        <v>43467.0</v>
      </c>
      <c r="O87" s="50">
        <v>1.0</v>
      </c>
      <c r="P87" s="50">
        <v>1.0</v>
      </c>
      <c r="Q87" s="116"/>
      <c r="R87" s="50" t="s">
        <v>19299</v>
      </c>
      <c r="S87" s="116"/>
      <c r="T87" s="144">
        <v>43777.0</v>
      </c>
      <c r="U87" s="50">
        <v>22.75</v>
      </c>
      <c r="V87" s="50">
        <v>22.99</v>
      </c>
      <c r="W87" s="116"/>
      <c r="X87" s="116"/>
      <c r="Y87" s="144">
        <v>43777.0</v>
      </c>
      <c r="Z87" s="50">
        <v>31.19</v>
      </c>
      <c r="AA87" s="50">
        <v>31.22</v>
      </c>
      <c r="AB87" s="116"/>
      <c r="AC87" s="116"/>
      <c r="AD87" s="116"/>
      <c r="AE87" s="50">
        <v>1.0</v>
      </c>
      <c r="AF87" s="50" t="s">
        <v>18902</v>
      </c>
      <c r="AG87" s="117">
        <v>5127.0</v>
      </c>
      <c r="AH87" s="50" t="s">
        <v>19604</v>
      </c>
      <c r="AI87" s="50" t="s">
        <v>19606</v>
      </c>
      <c r="AJ87" s="117">
        <v>87.0</v>
      </c>
    </row>
    <row r="88">
      <c r="A88" s="50" t="s">
        <v>19598</v>
      </c>
      <c r="B88" s="50" t="s">
        <v>6876</v>
      </c>
      <c r="C88" s="50" t="s">
        <v>6877</v>
      </c>
      <c r="D88" s="50" t="s">
        <v>11623</v>
      </c>
      <c r="E88" s="144">
        <v>43780.0</v>
      </c>
      <c r="F88" s="50" t="s">
        <v>19608</v>
      </c>
      <c r="G88" s="50">
        <v>55.0</v>
      </c>
      <c r="H88" s="50">
        <v>1.0</v>
      </c>
      <c r="I88" s="50">
        <v>99.0</v>
      </c>
      <c r="J88" s="116"/>
      <c r="K88" s="116"/>
      <c r="L88" s="50" t="s">
        <v>268</v>
      </c>
      <c r="M88" s="50" t="s">
        <v>268</v>
      </c>
      <c r="N88" s="122">
        <v>43467.0</v>
      </c>
      <c r="O88" s="50">
        <v>1.0</v>
      </c>
      <c r="P88" s="50">
        <v>1.0</v>
      </c>
      <c r="Q88" s="116"/>
      <c r="R88" s="50" t="s">
        <v>19299</v>
      </c>
      <c r="S88" s="116"/>
      <c r="T88" s="144">
        <v>43777.0</v>
      </c>
      <c r="U88" s="50">
        <v>9999.0</v>
      </c>
      <c r="V88" s="50">
        <v>9999.0</v>
      </c>
      <c r="W88" s="116"/>
      <c r="X88" s="116"/>
      <c r="Y88" s="144">
        <v>43777.0</v>
      </c>
      <c r="Z88" s="50">
        <v>9999.0</v>
      </c>
      <c r="AA88" s="50">
        <v>9999.0</v>
      </c>
      <c r="AB88" s="116"/>
      <c r="AC88" s="116"/>
      <c r="AD88" s="50" t="s">
        <v>16024</v>
      </c>
      <c r="AE88" s="50">
        <v>1.0</v>
      </c>
      <c r="AF88" s="50" t="s">
        <v>18902</v>
      </c>
      <c r="AG88" s="117">
        <v>5128.0</v>
      </c>
      <c r="AH88" s="50" t="s">
        <v>19618</v>
      </c>
      <c r="AI88" s="50" t="s">
        <v>19619</v>
      </c>
      <c r="AJ88" s="117">
        <v>88.0</v>
      </c>
    </row>
    <row r="89">
      <c r="A89" s="50" t="s">
        <v>19620</v>
      </c>
      <c r="B89" s="50" t="s">
        <v>6876</v>
      </c>
      <c r="C89" s="50" t="s">
        <v>6877</v>
      </c>
      <c r="D89" s="50" t="s">
        <v>11623</v>
      </c>
      <c r="E89" s="144">
        <v>43789.0</v>
      </c>
      <c r="F89" s="50" t="s">
        <v>19622</v>
      </c>
      <c r="G89" s="50">
        <v>58.0</v>
      </c>
      <c r="H89" s="50">
        <v>1.0</v>
      </c>
      <c r="I89" s="50">
        <v>14.0</v>
      </c>
      <c r="J89" s="50">
        <v>145.0</v>
      </c>
      <c r="K89" s="116"/>
      <c r="L89" s="50" t="s">
        <v>601</v>
      </c>
      <c r="M89" s="50" t="s">
        <v>601</v>
      </c>
      <c r="N89" s="122">
        <v>43467.0</v>
      </c>
      <c r="O89" s="50">
        <v>1.0</v>
      </c>
      <c r="P89" s="50">
        <v>1.0</v>
      </c>
      <c r="Q89" s="116"/>
      <c r="R89" s="50" t="s">
        <v>19624</v>
      </c>
      <c r="S89" s="116"/>
      <c r="T89" s="144">
        <v>43787.0</v>
      </c>
      <c r="U89" s="50">
        <v>37.0</v>
      </c>
      <c r="V89" s="50">
        <v>36.79</v>
      </c>
      <c r="W89" s="116"/>
      <c r="X89" s="116"/>
      <c r="Y89" s="144">
        <v>43787.0</v>
      </c>
      <c r="Z89" s="50">
        <v>37.55</v>
      </c>
      <c r="AA89" s="50">
        <v>36.61</v>
      </c>
      <c r="AB89" s="116"/>
      <c r="AC89" s="116"/>
      <c r="AD89" s="116"/>
      <c r="AE89" s="50">
        <v>1.0</v>
      </c>
      <c r="AF89" s="50" t="s">
        <v>18902</v>
      </c>
      <c r="AG89" s="117">
        <v>5320.0</v>
      </c>
      <c r="AH89" s="50" t="s">
        <v>19629</v>
      </c>
      <c r="AI89" s="50" t="s">
        <v>19630</v>
      </c>
      <c r="AJ89" s="117">
        <v>90.0</v>
      </c>
    </row>
    <row r="90">
      <c r="A90" s="50" t="s">
        <v>19622</v>
      </c>
      <c r="B90" s="50" t="s">
        <v>6876</v>
      </c>
      <c r="C90" s="50" t="s">
        <v>6877</v>
      </c>
      <c r="D90" s="50" t="s">
        <v>11623</v>
      </c>
      <c r="E90" s="144">
        <v>43789.0</v>
      </c>
      <c r="F90" s="50" t="s">
        <v>19634</v>
      </c>
      <c r="G90" s="50">
        <v>58.0</v>
      </c>
      <c r="H90" s="50">
        <v>1.0</v>
      </c>
      <c r="I90" s="50">
        <v>14.0</v>
      </c>
      <c r="J90" s="50">
        <v>141.0</v>
      </c>
      <c r="K90" s="116"/>
      <c r="L90" s="50" t="s">
        <v>589</v>
      </c>
      <c r="M90" s="50" t="s">
        <v>589</v>
      </c>
      <c r="N90" s="122">
        <v>43467.0</v>
      </c>
      <c r="O90" s="50">
        <v>1.0</v>
      </c>
      <c r="P90" s="50">
        <v>1.0</v>
      </c>
      <c r="Q90" s="116"/>
      <c r="R90" s="50" t="s">
        <v>19624</v>
      </c>
      <c r="S90" s="116"/>
      <c r="T90" s="144">
        <v>43787.0</v>
      </c>
      <c r="U90" s="50">
        <v>32.95</v>
      </c>
      <c r="V90" s="50">
        <v>32.66</v>
      </c>
      <c r="W90" s="116"/>
      <c r="X90" s="116"/>
      <c r="Y90" s="144">
        <v>43787.0</v>
      </c>
      <c r="Z90" s="50">
        <v>37.7</v>
      </c>
      <c r="AA90" s="50">
        <v>9999.0</v>
      </c>
      <c r="AB90" s="116"/>
      <c r="AC90" s="116"/>
      <c r="AD90" s="116"/>
      <c r="AE90" s="50">
        <v>1.0</v>
      </c>
      <c r="AF90" s="50" t="s">
        <v>18902</v>
      </c>
      <c r="AG90" s="117">
        <v>5321.0</v>
      </c>
      <c r="AH90" s="50" t="s">
        <v>19640</v>
      </c>
      <c r="AI90" s="50" t="s">
        <v>19642</v>
      </c>
      <c r="AJ90" s="117">
        <v>91.0</v>
      </c>
    </row>
    <row r="91">
      <c r="A91" s="50" t="s">
        <v>19634</v>
      </c>
      <c r="B91" s="50" t="s">
        <v>6876</v>
      </c>
      <c r="C91" s="50" t="s">
        <v>6877</v>
      </c>
      <c r="D91" s="50" t="s">
        <v>11623</v>
      </c>
      <c r="E91" s="144">
        <v>43789.0</v>
      </c>
      <c r="F91" s="50" t="s">
        <v>19645</v>
      </c>
      <c r="G91" s="50">
        <v>58.0</v>
      </c>
      <c r="H91" s="50">
        <v>1.0</v>
      </c>
      <c r="I91" s="50">
        <v>14.0</v>
      </c>
      <c r="J91" s="50">
        <v>143.0</v>
      </c>
      <c r="K91" s="116"/>
      <c r="L91" s="50" t="s">
        <v>594</v>
      </c>
      <c r="M91" s="50" t="s">
        <v>594</v>
      </c>
      <c r="N91" s="122">
        <v>43467.0</v>
      </c>
      <c r="O91" s="50">
        <v>1.0</v>
      </c>
      <c r="P91" s="50">
        <v>1.0</v>
      </c>
      <c r="Q91" s="116"/>
      <c r="R91" s="50" t="s">
        <v>19624</v>
      </c>
      <c r="S91" s="116"/>
      <c r="T91" s="144">
        <v>43787.0</v>
      </c>
      <c r="U91" s="50">
        <v>9999.0</v>
      </c>
      <c r="V91" s="50">
        <v>9999.0</v>
      </c>
      <c r="W91" s="116"/>
      <c r="X91" s="116"/>
      <c r="Y91" s="144">
        <v>43787.0</v>
      </c>
      <c r="Z91" s="50">
        <v>9999.0</v>
      </c>
      <c r="AA91" s="50">
        <v>9999.0</v>
      </c>
      <c r="AB91" s="116"/>
      <c r="AC91" s="116"/>
      <c r="AD91" s="116"/>
      <c r="AE91" s="50">
        <v>1.0</v>
      </c>
      <c r="AF91" s="50" t="s">
        <v>18902</v>
      </c>
      <c r="AG91" s="117">
        <v>5322.0</v>
      </c>
      <c r="AH91" s="50" t="s">
        <v>19655</v>
      </c>
      <c r="AI91" s="50" t="s">
        <v>19656</v>
      </c>
      <c r="AJ91" s="117">
        <v>92.0</v>
      </c>
    </row>
    <row r="92">
      <c r="A92" s="50" t="s">
        <v>19645</v>
      </c>
      <c r="B92" s="50" t="s">
        <v>6876</v>
      </c>
      <c r="C92" s="50" t="s">
        <v>6877</v>
      </c>
      <c r="D92" s="50" t="s">
        <v>11623</v>
      </c>
      <c r="E92" s="144">
        <v>43789.0</v>
      </c>
      <c r="F92" s="50" t="s">
        <v>19658</v>
      </c>
      <c r="G92" s="50">
        <v>58.0</v>
      </c>
      <c r="H92" s="50">
        <v>1.0</v>
      </c>
      <c r="I92" s="50">
        <v>99.0</v>
      </c>
      <c r="J92" s="116"/>
      <c r="K92" s="116"/>
      <c r="L92" s="50" t="s">
        <v>1569</v>
      </c>
      <c r="M92" s="50" t="s">
        <v>1569</v>
      </c>
      <c r="N92" s="122">
        <v>43467.0</v>
      </c>
      <c r="O92" s="50">
        <v>1.0</v>
      </c>
      <c r="P92" s="50">
        <v>1.0</v>
      </c>
      <c r="Q92" s="116"/>
      <c r="R92" s="50" t="s">
        <v>19624</v>
      </c>
      <c r="S92" s="116"/>
      <c r="T92" s="144">
        <v>43787.0</v>
      </c>
      <c r="U92" s="50">
        <v>9999.0</v>
      </c>
      <c r="V92" s="50">
        <v>9999.0</v>
      </c>
      <c r="W92" s="116"/>
      <c r="X92" s="116"/>
      <c r="Y92" s="144">
        <v>43787.0</v>
      </c>
      <c r="Z92" s="50">
        <v>35.0</v>
      </c>
      <c r="AA92" s="50">
        <v>9999.0</v>
      </c>
      <c r="AB92" s="116"/>
      <c r="AC92" s="116"/>
      <c r="AD92" s="50" t="s">
        <v>19667</v>
      </c>
      <c r="AE92" s="50">
        <v>1.0</v>
      </c>
      <c r="AF92" s="50" t="s">
        <v>18902</v>
      </c>
      <c r="AG92" s="117">
        <v>5323.0</v>
      </c>
      <c r="AH92" s="50" t="s">
        <v>19669</v>
      </c>
      <c r="AI92" s="50" t="s">
        <v>19670</v>
      </c>
      <c r="AJ92" s="117">
        <v>93.0</v>
      </c>
    </row>
    <row r="93">
      <c r="A93" s="50" t="s">
        <v>19671</v>
      </c>
      <c r="B93" s="50" t="s">
        <v>6876</v>
      </c>
      <c r="C93" s="50" t="s">
        <v>6877</v>
      </c>
      <c r="D93" s="50" t="s">
        <v>11623</v>
      </c>
      <c r="E93" s="144">
        <v>43789.0</v>
      </c>
      <c r="F93" s="50" t="s">
        <v>19675</v>
      </c>
      <c r="G93" s="50">
        <v>66.0</v>
      </c>
      <c r="H93" s="50">
        <v>1.0</v>
      </c>
      <c r="I93" s="50">
        <v>12.0</v>
      </c>
      <c r="J93" s="116"/>
      <c r="K93" s="116"/>
      <c r="L93" s="50" t="s">
        <v>1573</v>
      </c>
      <c r="M93" s="50" t="s">
        <v>1573</v>
      </c>
      <c r="N93" s="122">
        <v>43467.0</v>
      </c>
      <c r="O93" s="50">
        <v>1.0</v>
      </c>
      <c r="P93" s="50">
        <v>1.0</v>
      </c>
      <c r="Q93" s="116"/>
      <c r="R93" s="50" t="s">
        <v>19624</v>
      </c>
      <c r="S93" s="116"/>
      <c r="T93" s="144">
        <v>43787.0</v>
      </c>
      <c r="U93" s="50">
        <v>23.07</v>
      </c>
      <c r="V93" s="50">
        <v>23.17</v>
      </c>
      <c r="W93" s="116"/>
      <c r="X93" s="116"/>
      <c r="Y93" s="144">
        <v>43787.0</v>
      </c>
      <c r="Z93" s="50">
        <v>31.04</v>
      </c>
      <c r="AA93" s="50">
        <v>31.96</v>
      </c>
      <c r="AB93" s="116"/>
      <c r="AC93" s="116"/>
      <c r="AD93" s="116"/>
      <c r="AE93" s="50">
        <v>1.0</v>
      </c>
      <c r="AF93" s="50" t="s">
        <v>18902</v>
      </c>
      <c r="AG93" s="117">
        <v>5325.0</v>
      </c>
      <c r="AH93" s="50" t="s">
        <v>19681</v>
      </c>
      <c r="AI93" s="50" t="s">
        <v>19683</v>
      </c>
      <c r="AJ93" s="117">
        <v>94.0</v>
      </c>
    </row>
    <row r="94">
      <c r="A94" s="50" t="s">
        <v>19685</v>
      </c>
      <c r="B94" s="50" t="s">
        <v>6876</v>
      </c>
      <c r="C94" s="50" t="s">
        <v>6877</v>
      </c>
      <c r="D94" s="50" t="s">
        <v>11623</v>
      </c>
      <c r="E94" s="144">
        <v>43789.0</v>
      </c>
      <c r="F94" s="50" t="s">
        <v>19687</v>
      </c>
      <c r="G94" s="50">
        <v>59.0</v>
      </c>
      <c r="H94" s="50">
        <v>1.0</v>
      </c>
      <c r="I94" s="50">
        <v>12.0</v>
      </c>
      <c r="J94" s="116"/>
      <c r="K94" s="116"/>
      <c r="L94" s="50" t="s">
        <v>1576</v>
      </c>
      <c r="M94" s="50" t="s">
        <v>1576</v>
      </c>
      <c r="N94" s="122">
        <v>43467.0</v>
      </c>
      <c r="O94" s="50">
        <v>1.0</v>
      </c>
      <c r="P94" s="50">
        <v>1.0</v>
      </c>
      <c r="Q94" s="116"/>
      <c r="R94" s="50" t="s">
        <v>19624</v>
      </c>
      <c r="S94" s="116"/>
      <c r="T94" s="144">
        <v>43787.0</v>
      </c>
      <c r="U94" s="50">
        <v>22.08</v>
      </c>
      <c r="V94" s="50">
        <v>9999.0</v>
      </c>
      <c r="W94" s="116"/>
      <c r="X94" s="116"/>
      <c r="Y94" s="144">
        <v>43787.0</v>
      </c>
      <c r="Z94" s="50">
        <v>34.78</v>
      </c>
      <c r="AA94" s="50">
        <v>34.23</v>
      </c>
      <c r="AB94" s="116"/>
      <c r="AC94" s="116"/>
      <c r="AD94" s="116"/>
      <c r="AE94" s="50">
        <v>1.0</v>
      </c>
      <c r="AF94" s="50" t="s">
        <v>18902</v>
      </c>
      <c r="AG94" s="117">
        <v>5326.0</v>
      </c>
      <c r="AH94" s="50" t="s">
        <v>19696</v>
      </c>
      <c r="AI94" s="50" t="s">
        <v>19698</v>
      </c>
      <c r="AJ94" s="117">
        <v>95.0</v>
      </c>
    </row>
    <row r="95">
      <c r="A95" s="50" t="s">
        <v>19687</v>
      </c>
      <c r="B95" s="50" t="s">
        <v>6876</v>
      </c>
      <c r="C95" s="50" t="s">
        <v>6877</v>
      </c>
      <c r="D95" s="50" t="s">
        <v>11623</v>
      </c>
      <c r="E95" s="144">
        <v>43789.0</v>
      </c>
      <c r="F95" s="50" t="s">
        <v>19703</v>
      </c>
      <c r="G95" s="50">
        <v>59.0</v>
      </c>
      <c r="H95" s="50">
        <v>1.0</v>
      </c>
      <c r="I95" s="50">
        <v>11.0</v>
      </c>
      <c r="J95" s="116"/>
      <c r="K95" s="116"/>
      <c r="L95" s="50" t="s">
        <v>1579</v>
      </c>
      <c r="M95" s="50" t="s">
        <v>1579</v>
      </c>
      <c r="N95" s="122">
        <v>43467.0</v>
      </c>
      <c r="O95" s="50">
        <v>1.0</v>
      </c>
      <c r="P95" s="50">
        <v>1.0</v>
      </c>
      <c r="Q95" s="116"/>
      <c r="R95" s="50" t="s">
        <v>19624</v>
      </c>
      <c r="S95" s="116"/>
      <c r="T95" s="144">
        <v>43787.0</v>
      </c>
      <c r="U95" s="50">
        <v>24.79</v>
      </c>
      <c r="V95" s="50">
        <v>9999.0</v>
      </c>
      <c r="W95" s="116"/>
      <c r="X95" s="116"/>
      <c r="Y95" s="144">
        <v>43787.0</v>
      </c>
      <c r="Z95" s="50">
        <v>38.04</v>
      </c>
      <c r="AA95" s="50">
        <v>9999.0</v>
      </c>
      <c r="AB95" s="116"/>
      <c r="AC95" s="116"/>
      <c r="AD95" s="116"/>
      <c r="AE95" s="50">
        <v>1.0</v>
      </c>
      <c r="AF95" s="50" t="s">
        <v>18902</v>
      </c>
      <c r="AG95" s="117">
        <v>5327.0</v>
      </c>
      <c r="AH95" s="50" t="s">
        <v>19710</v>
      </c>
      <c r="AI95" s="50" t="s">
        <v>19711</v>
      </c>
      <c r="AJ95" s="117">
        <v>96.0</v>
      </c>
    </row>
    <row r="96">
      <c r="A96" s="50" t="s">
        <v>19714</v>
      </c>
      <c r="B96" s="50" t="s">
        <v>6876</v>
      </c>
      <c r="C96" s="50" t="s">
        <v>6877</v>
      </c>
      <c r="D96" s="50" t="s">
        <v>11623</v>
      </c>
      <c r="E96" s="144">
        <v>43789.0</v>
      </c>
      <c r="F96" s="50" t="s">
        <v>19716</v>
      </c>
      <c r="G96" s="50">
        <v>59.0</v>
      </c>
      <c r="H96" s="50">
        <v>1.0</v>
      </c>
      <c r="I96" s="50">
        <v>99.0</v>
      </c>
      <c r="J96" s="116"/>
      <c r="K96" s="116"/>
      <c r="L96" s="50" t="s">
        <v>1581</v>
      </c>
      <c r="M96" s="50" t="s">
        <v>1581</v>
      </c>
      <c r="N96" s="122">
        <v>43467.0</v>
      </c>
      <c r="O96" s="50">
        <v>1.0</v>
      </c>
      <c r="P96" s="50">
        <v>1.0</v>
      </c>
      <c r="Q96" s="116"/>
      <c r="R96" s="50" t="s">
        <v>19624</v>
      </c>
      <c r="S96" s="116"/>
      <c r="T96" s="144">
        <v>43787.0</v>
      </c>
      <c r="U96" s="50">
        <v>9999.0</v>
      </c>
      <c r="V96" s="50">
        <v>9999.0</v>
      </c>
      <c r="W96" s="116"/>
      <c r="X96" s="116"/>
      <c r="Y96" s="144">
        <v>43787.0</v>
      </c>
      <c r="Z96" s="50">
        <v>9999.0</v>
      </c>
      <c r="AA96" s="50">
        <v>9999.0</v>
      </c>
      <c r="AB96" s="116"/>
      <c r="AC96" s="116"/>
      <c r="AD96" s="50" t="s">
        <v>19721</v>
      </c>
      <c r="AE96" s="50">
        <v>1.0</v>
      </c>
      <c r="AF96" s="50" t="s">
        <v>18902</v>
      </c>
      <c r="AG96" s="117">
        <v>5328.0</v>
      </c>
      <c r="AH96" s="50" t="s">
        <v>19724</v>
      </c>
      <c r="AI96" s="50" t="s">
        <v>19725</v>
      </c>
      <c r="AJ96" s="117">
        <v>97.0</v>
      </c>
    </row>
    <row r="97">
      <c r="A97" s="50" t="s">
        <v>19727</v>
      </c>
      <c r="B97" s="50" t="s">
        <v>6876</v>
      </c>
      <c r="C97" s="50" t="s">
        <v>6877</v>
      </c>
      <c r="D97" s="50" t="s">
        <v>11623</v>
      </c>
      <c r="E97" s="144">
        <v>43789.0</v>
      </c>
      <c r="F97" s="50" t="s">
        <v>19730</v>
      </c>
      <c r="G97" s="50">
        <v>59.0</v>
      </c>
      <c r="H97" s="50">
        <v>1.0</v>
      </c>
      <c r="I97" s="50">
        <v>11.0</v>
      </c>
      <c r="J97" s="116"/>
      <c r="K97" s="116"/>
      <c r="L97" s="50" t="s">
        <v>1582</v>
      </c>
      <c r="M97" s="50" t="s">
        <v>1582</v>
      </c>
      <c r="N97" s="122">
        <v>43467.0</v>
      </c>
      <c r="O97" s="50">
        <v>1.0</v>
      </c>
      <c r="P97" s="50">
        <v>1.0</v>
      </c>
      <c r="Q97" s="116"/>
      <c r="R97" s="50" t="s">
        <v>19624</v>
      </c>
      <c r="S97" s="116"/>
      <c r="T97" s="144">
        <v>43787.0</v>
      </c>
      <c r="U97" s="50">
        <v>27.16</v>
      </c>
      <c r="V97" s="50">
        <v>26.75</v>
      </c>
      <c r="W97" s="116"/>
      <c r="X97" s="116"/>
      <c r="Y97" s="144">
        <v>43787.0</v>
      </c>
      <c r="Z97" s="50">
        <v>9999.0</v>
      </c>
      <c r="AA97" s="50">
        <v>9999.0</v>
      </c>
      <c r="AB97" s="116"/>
      <c r="AC97" s="116"/>
      <c r="AD97" s="116"/>
      <c r="AE97" s="50">
        <v>1.0</v>
      </c>
      <c r="AF97" s="50" t="s">
        <v>18902</v>
      </c>
      <c r="AG97" s="117">
        <v>5329.0</v>
      </c>
      <c r="AH97" s="50" t="s">
        <v>19739</v>
      </c>
      <c r="AI97" s="50" t="s">
        <v>19740</v>
      </c>
      <c r="AJ97" s="117">
        <v>98.0</v>
      </c>
    </row>
    <row r="98">
      <c r="A98" s="50" t="s">
        <v>19730</v>
      </c>
      <c r="B98" s="50" t="s">
        <v>6876</v>
      </c>
      <c r="C98" s="50" t="s">
        <v>6877</v>
      </c>
      <c r="D98" s="50" t="s">
        <v>11623</v>
      </c>
      <c r="E98" s="144">
        <v>43789.0</v>
      </c>
      <c r="F98" s="50" t="s">
        <v>19744</v>
      </c>
      <c r="G98" s="50">
        <v>59.0</v>
      </c>
      <c r="H98" s="50">
        <v>1.0</v>
      </c>
      <c r="I98" s="50">
        <v>99.0</v>
      </c>
      <c r="J98" s="116"/>
      <c r="K98" s="116"/>
      <c r="L98" s="50" t="s">
        <v>274</v>
      </c>
      <c r="M98" s="50" t="s">
        <v>274</v>
      </c>
      <c r="N98" s="122">
        <v>43467.0</v>
      </c>
      <c r="O98" s="50">
        <v>1.0</v>
      </c>
      <c r="P98" s="50">
        <v>1.0</v>
      </c>
      <c r="Q98" s="116"/>
      <c r="R98" s="50" t="s">
        <v>19624</v>
      </c>
      <c r="S98" s="116"/>
      <c r="T98" s="144">
        <v>43787.0</v>
      </c>
      <c r="U98" s="50">
        <v>9999.0</v>
      </c>
      <c r="V98" s="50">
        <v>9999.0</v>
      </c>
      <c r="W98" s="116"/>
      <c r="X98" s="116"/>
      <c r="Y98" s="144">
        <v>43787.0</v>
      </c>
      <c r="Z98" s="50">
        <v>37.59</v>
      </c>
      <c r="AA98" s="50">
        <v>9999.0</v>
      </c>
      <c r="AB98" s="116"/>
      <c r="AC98" s="116"/>
      <c r="AD98" s="50" t="s">
        <v>19748</v>
      </c>
      <c r="AE98" s="50">
        <v>1.0</v>
      </c>
      <c r="AF98" s="50" t="s">
        <v>18902</v>
      </c>
      <c r="AG98" s="117">
        <v>5330.0</v>
      </c>
      <c r="AH98" s="50" t="s">
        <v>19751</v>
      </c>
      <c r="AI98" s="50" t="s">
        <v>19752</v>
      </c>
      <c r="AJ98" s="117">
        <v>99.0</v>
      </c>
    </row>
    <row r="99">
      <c r="A99" s="50" t="s">
        <v>19753</v>
      </c>
      <c r="B99" s="50" t="s">
        <v>6876</v>
      </c>
      <c r="C99" s="50" t="s">
        <v>6877</v>
      </c>
      <c r="D99" s="50" t="s">
        <v>11623</v>
      </c>
      <c r="E99" s="144">
        <v>43789.0</v>
      </c>
      <c r="F99" s="50" t="s">
        <v>19757</v>
      </c>
      <c r="G99" s="50">
        <v>59.0</v>
      </c>
      <c r="H99" s="50">
        <v>1.0</v>
      </c>
      <c r="I99" s="50">
        <v>11.0</v>
      </c>
      <c r="J99" s="116"/>
      <c r="K99" s="116"/>
      <c r="L99" s="50" t="s">
        <v>1583</v>
      </c>
      <c r="M99" s="50" t="s">
        <v>1583</v>
      </c>
      <c r="N99" s="122">
        <v>43467.0</v>
      </c>
      <c r="O99" s="50">
        <v>1.0</v>
      </c>
      <c r="P99" s="50">
        <v>1.0</v>
      </c>
      <c r="Q99" s="116"/>
      <c r="R99" s="50" t="s">
        <v>19624</v>
      </c>
      <c r="S99" s="116"/>
      <c r="T99" s="144">
        <v>43787.0</v>
      </c>
      <c r="U99" s="50">
        <v>23.6</v>
      </c>
      <c r="V99" s="50">
        <v>24.0</v>
      </c>
      <c r="W99" s="116"/>
      <c r="X99" s="116"/>
      <c r="Y99" s="144">
        <v>43787.0</v>
      </c>
      <c r="Z99" s="50">
        <v>40.0</v>
      </c>
      <c r="AA99" s="50">
        <v>9999.0</v>
      </c>
      <c r="AB99" s="116"/>
      <c r="AC99" s="116"/>
      <c r="AD99" s="116"/>
      <c r="AE99" s="50">
        <v>1.0</v>
      </c>
      <c r="AF99" s="50" t="s">
        <v>18902</v>
      </c>
      <c r="AG99" s="117">
        <v>5331.0</v>
      </c>
      <c r="AH99" s="50" t="s">
        <v>19762</v>
      </c>
      <c r="AI99" s="50" t="s">
        <v>19763</v>
      </c>
      <c r="AJ99" s="117">
        <v>100.0</v>
      </c>
    </row>
    <row r="100">
      <c r="A100" s="50" t="s">
        <v>19757</v>
      </c>
      <c r="B100" s="50" t="s">
        <v>6876</v>
      </c>
      <c r="C100" s="50" t="s">
        <v>6877</v>
      </c>
      <c r="D100" s="50" t="s">
        <v>11623</v>
      </c>
      <c r="E100" s="144">
        <v>43789.0</v>
      </c>
      <c r="F100" s="50" t="s">
        <v>19766</v>
      </c>
      <c r="G100" s="50">
        <v>59.0</v>
      </c>
      <c r="H100" s="50">
        <v>1.0</v>
      </c>
      <c r="I100" s="50">
        <v>11.0</v>
      </c>
      <c r="J100" s="116"/>
      <c r="K100" s="116"/>
      <c r="L100" s="50" t="s">
        <v>1586</v>
      </c>
      <c r="M100" s="50" t="s">
        <v>1586</v>
      </c>
      <c r="N100" s="122">
        <v>43467.0</v>
      </c>
      <c r="O100" s="50">
        <v>1.0</v>
      </c>
      <c r="P100" s="50">
        <v>1.0</v>
      </c>
      <c r="Q100" s="116"/>
      <c r="R100" s="50" t="s">
        <v>19624</v>
      </c>
      <c r="S100" s="116"/>
      <c r="T100" s="144">
        <v>43787.0</v>
      </c>
      <c r="U100" s="50">
        <v>24.66</v>
      </c>
      <c r="V100" s="50">
        <v>24.74</v>
      </c>
      <c r="W100" s="116"/>
      <c r="X100" s="116"/>
      <c r="Y100" s="144">
        <v>43787.0</v>
      </c>
      <c r="Z100" s="50">
        <v>39.1</v>
      </c>
      <c r="AA100" s="50">
        <v>39.01</v>
      </c>
      <c r="AB100" s="116"/>
      <c r="AC100" s="116"/>
      <c r="AD100" s="116"/>
      <c r="AE100" s="50">
        <v>1.0</v>
      </c>
      <c r="AF100" s="50" t="s">
        <v>18902</v>
      </c>
      <c r="AG100" s="117">
        <v>5332.0</v>
      </c>
      <c r="AH100" s="50" t="s">
        <v>19772</v>
      </c>
      <c r="AI100" s="50" t="s">
        <v>19775</v>
      </c>
      <c r="AJ100" s="117">
        <v>101.0</v>
      </c>
    </row>
    <row r="101">
      <c r="A101" s="50" t="s">
        <v>19766</v>
      </c>
      <c r="B101" s="50" t="s">
        <v>6876</v>
      </c>
      <c r="C101" s="50" t="s">
        <v>6877</v>
      </c>
      <c r="D101" s="50" t="s">
        <v>11623</v>
      </c>
      <c r="E101" s="144">
        <v>43789.0</v>
      </c>
      <c r="F101" s="50" t="s">
        <v>19778</v>
      </c>
      <c r="G101" s="50">
        <v>59.0</v>
      </c>
      <c r="H101" s="50">
        <v>1.0</v>
      </c>
      <c r="I101" s="50">
        <v>11.0</v>
      </c>
      <c r="J101" s="116"/>
      <c r="K101" s="116"/>
      <c r="L101" s="50" t="s">
        <v>1589</v>
      </c>
      <c r="M101" s="50" t="s">
        <v>1589</v>
      </c>
      <c r="N101" s="122">
        <v>43467.0</v>
      </c>
      <c r="O101" s="50">
        <v>1.0</v>
      </c>
      <c r="P101" s="50">
        <v>1.0</v>
      </c>
      <c r="Q101" s="116"/>
      <c r="R101" s="50" t="s">
        <v>19624</v>
      </c>
      <c r="S101" s="116"/>
      <c r="T101" s="144">
        <v>43787.0</v>
      </c>
      <c r="U101" s="50">
        <v>29.55</v>
      </c>
      <c r="V101" s="50">
        <v>26.83</v>
      </c>
      <c r="W101" s="116"/>
      <c r="X101" s="116"/>
      <c r="Y101" s="144">
        <v>43787.0</v>
      </c>
      <c r="Z101" s="50">
        <v>9999.0</v>
      </c>
      <c r="AA101" s="50">
        <v>9999.0</v>
      </c>
      <c r="AB101" s="116"/>
      <c r="AC101" s="116"/>
      <c r="AD101" s="116"/>
      <c r="AE101" s="50">
        <v>1.0</v>
      </c>
      <c r="AF101" s="50" t="s">
        <v>18902</v>
      </c>
      <c r="AG101" s="117">
        <v>5333.0</v>
      </c>
      <c r="AH101" s="50" t="s">
        <v>19789</v>
      </c>
      <c r="AI101" s="50" t="s">
        <v>19790</v>
      </c>
      <c r="AJ101" s="117">
        <v>102.0</v>
      </c>
    </row>
    <row r="102">
      <c r="A102" s="50" t="s">
        <v>19778</v>
      </c>
      <c r="B102" s="50" t="s">
        <v>6876</v>
      </c>
      <c r="C102" s="50" t="s">
        <v>6877</v>
      </c>
      <c r="D102" s="50" t="s">
        <v>11623</v>
      </c>
      <c r="E102" s="144">
        <v>43789.0</v>
      </c>
      <c r="F102" s="50" t="s">
        <v>19792</v>
      </c>
      <c r="G102" s="50">
        <v>58.0</v>
      </c>
      <c r="H102" s="50">
        <v>1.0</v>
      </c>
      <c r="I102" s="50">
        <v>15.0</v>
      </c>
      <c r="J102" s="116"/>
      <c r="K102" s="50">
        <v>151.0</v>
      </c>
      <c r="L102" s="50" t="s">
        <v>628</v>
      </c>
      <c r="M102" s="50" t="s">
        <v>628</v>
      </c>
      <c r="N102" s="122">
        <v>43467.0</v>
      </c>
      <c r="O102" s="50">
        <v>1.0</v>
      </c>
      <c r="P102" s="50">
        <v>1.0</v>
      </c>
      <c r="Q102" s="116"/>
      <c r="R102" s="50" t="s">
        <v>19624</v>
      </c>
      <c r="S102" s="116"/>
      <c r="T102" s="144">
        <v>43787.0</v>
      </c>
      <c r="U102" s="50">
        <v>36.38</v>
      </c>
      <c r="V102" s="50">
        <v>35.47</v>
      </c>
      <c r="W102" s="116"/>
      <c r="X102" s="116"/>
      <c r="Y102" s="144">
        <v>43787.0</v>
      </c>
      <c r="Z102" s="50">
        <v>34.83</v>
      </c>
      <c r="AA102" s="50">
        <v>9999.0</v>
      </c>
      <c r="AB102" s="116"/>
      <c r="AC102" s="116"/>
      <c r="AD102" s="116"/>
      <c r="AE102" s="50">
        <v>1.0</v>
      </c>
      <c r="AF102" s="50" t="s">
        <v>18902</v>
      </c>
      <c r="AG102" s="117">
        <v>5334.0</v>
      </c>
      <c r="AH102" s="50" t="s">
        <v>19800</v>
      </c>
      <c r="AI102" s="50" t="s">
        <v>19802</v>
      </c>
      <c r="AJ102" s="117">
        <v>103.0</v>
      </c>
    </row>
    <row r="103">
      <c r="A103" s="50" t="s">
        <v>19792</v>
      </c>
      <c r="B103" s="50" t="s">
        <v>6876</v>
      </c>
      <c r="C103" s="50" t="s">
        <v>6877</v>
      </c>
      <c r="D103" s="50" t="s">
        <v>11623</v>
      </c>
      <c r="E103" s="144">
        <v>43789.0</v>
      </c>
      <c r="F103" s="50" t="s">
        <v>19805</v>
      </c>
      <c r="G103" s="50">
        <v>58.0</v>
      </c>
      <c r="H103" s="50">
        <v>1.0</v>
      </c>
      <c r="I103" s="50">
        <v>15.0</v>
      </c>
      <c r="J103" s="116"/>
      <c r="K103" s="50">
        <v>152.0</v>
      </c>
      <c r="L103" s="50" t="s">
        <v>631</v>
      </c>
      <c r="M103" s="50" t="s">
        <v>631</v>
      </c>
      <c r="N103" s="122">
        <v>43467.0</v>
      </c>
      <c r="O103" s="50">
        <v>1.0</v>
      </c>
      <c r="P103" s="50">
        <v>1.0</v>
      </c>
      <c r="Q103" s="116"/>
      <c r="R103" s="50" t="s">
        <v>19624</v>
      </c>
      <c r="S103" s="116"/>
      <c r="T103" s="144">
        <v>43787.0</v>
      </c>
      <c r="U103" s="50">
        <v>40.0</v>
      </c>
      <c r="V103" s="50">
        <v>37.0</v>
      </c>
      <c r="W103" s="116"/>
      <c r="X103" s="116"/>
      <c r="Y103" s="144">
        <v>43787.0</v>
      </c>
      <c r="Z103" s="50">
        <v>36.49</v>
      </c>
      <c r="AA103" s="50">
        <v>9999.0</v>
      </c>
      <c r="AB103" s="116"/>
      <c r="AC103" s="116"/>
      <c r="AD103" s="116"/>
      <c r="AE103" s="50">
        <v>1.0</v>
      </c>
      <c r="AF103" s="50" t="s">
        <v>18902</v>
      </c>
      <c r="AG103" s="117">
        <v>5335.0</v>
      </c>
      <c r="AH103" s="50" t="s">
        <v>19810</v>
      </c>
      <c r="AI103" s="50" t="s">
        <v>19811</v>
      </c>
      <c r="AJ103" s="117">
        <v>104.0</v>
      </c>
    </row>
    <row r="104">
      <c r="A104" s="50" t="s">
        <v>19813</v>
      </c>
      <c r="B104" s="50" t="s">
        <v>6876</v>
      </c>
      <c r="C104" s="50" t="s">
        <v>6877</v>
      </c>
      <c r="D104" s="50" t="s">
        <v>11623</v>
      </c>
      <c r="E104" s="144">
        <v>43789.0</v>
      </c>
      <c r="F104" s="50" t="s">
        <v>19815</v>
      </c>
      <c r="G104" s="50">
        <v>58.0</v>
      </c>
      <c r="H104" s="50">
        <v>1.0</v>
      </c>
      <c r="I104" s="50">
        <v>15.0</v>
      </c>
      <c r="J104" s="116"/>
      <c r="K104" s="50">
        <v>152.0</v>
      </c>
      <c r="L104" s="50" t="s">
        <v>633</v>
      </c>
      <c r="M104" s="50" t="s">
        <v>633</v>
      </c>
      <c r="N104" s="122">
        <v>43467.0</v>
      </c>
      <c r="O104" s="50">
        <v>1.0</v>
      </c>
      <c r="P104" s="50">
        <v>1.0</v>
      </c>
      <c r="Q104" s="116"/>
      <c r="R104" s="50" t="s">
        <v>19624</v>
      </c>
      <c r="S104" s="116"/>
      <c r="T104" s="144">
        <v>43787.0</v>
      </c>
      <c r="U104" s="50">
        <v>36.5</v>
      </c>
      <c r="V104" s="50">
        <v>38.28</v>
      </c>
      <c r="W104" s="116"/>
      <c r="X104" s="116"/>
      <c r="Y104" s="144">
        <v>43787.0</v>
      </c>
      <c r="Z104" s="50">
        <v>37.1</v>
      </c>
      <c r="AA104" s="50">
        <v>9999.0</v>
      </c>
      <c r="AB104" s="116"/>
      <c r="AC104" s="116"/>
      <c r="AD104" s="116"/>
      <c r="AE104" s="50">
        <v>1.0</v>
      </c>
      <c r="AF104" s="50" t="s">
        <v>18902</v>
      </c>
      <c r="AG104" s="117">
        <v>5336.0</v>
      </c>
      <c r="AH104" s="50" t="s">
        <v>19824</v>
      </c>
      <c r="AI104" s="50" t="s">
        <v>19826</v>
      </c>
      <c r="AJ104" s="117">
        <v>105.0</v>
      </c>
    </row>
    <row r="105">
      <c r="A105" s="50" t="s">
        <v>19815</v>
      </c>
      <c r="B105" s="50" t="s">
        <v>6876</v>
      </c>
      <c r="C105" s="50" t="s">
        <v>6877</v>
      </c>
      <c r="D105" s="50" t="s">
        <v>11623</v>
      </c>
      <c r="E105" s="144">
        <v>43789.0</v>
      </c>
      <c r="F105" s="50" t="s">
        <v>19827</v>
      </c>
      <c r="G105" s="50">
        <v>58.0</v>
      </c>
      <c r="H105" s="50">
        <v>1.0</v>
      </c>
      <c r="I105" s="50">
        <v>15.0</v>
      </c>
      <c r="J105" s="116"/>
      <c r="K105" s="50">
        <v>152.0</v>
      </c>
      <c r="L105" s="50" t="s">
        <v>634</v>
      </c>
      <c r="M105" s="50" t="s">
        <v>634</v>
      </c>
      <c r="N105" s="122">
        <v>43467.0</v>
      </c>
      <c r="O105" s="50">
        <v>1.0</v>
      </c>
      <c r="P105" s="50">
        <v>1.0</v>
      </c>
      <c r="Q105" s="116"/>
      <c r="R105" s="50" t="s">
        <v>19624</v>
      </c>
      <c r="S105" s="116"/>
      <c r="T105" s="144">
        <v>43787.0</v>
      </c>
      <c r="U105" s="50">
        <v>9999.0</v>
      </c>
      <c r="V105" s="50">
        <v>9999.0</v>
      </c>
      <c r="W105" s="116"/>
      <c r="X105" s="116"/>
      <c r="Y105" s="144">
        <v>43787.0</v>
      </c>
      <c r="Z105" s="50">
        <v>37.18</v>
      </c>
      <c r="AA105" s="50">
        <v>9999.0</v>
      </c>
      <c r="AB105" s="116"/>
      <c r="AC105" s="116"/>
      <c r="AD105" s="116"/>
      <c r="AE105" s="50">
        <v>1.0</v>
      </c>
      <c r="AF105" s="50" t="s">
        <v>18902</v>
      </c>
      <c r="AG105" s="117">
        <v>5337.0</v>
      </c>
      <c r="AH105" s="50" t="s">
        <v>19831</v>
      </c>
      <c r="AI105" s="50" t="s">
        <v>19832</v>
      </c>
      <c r="AJ105" s="117">
        <v>106.0</v>
      </c>
    </row>
    <row r="106">
      <c r="A106" s="50" t="s">
        <v>19827</v>
      </c>
      <c r="B106" s="50" t="s">
        <v>6876</v>
      </c>
      <c r="C106" s="50" t="s">
        <v>6877</v>
      </c>
      <c r="D106" s="50" t="s">
        <v>11623</v>
      </c>
      <c r="E106" s="144">
        <v>43789.0</v>
      </c>
      <c r="F106" s="50" t="s">
        <v>19838</v>
      </c>
      <c r="G106" s="50">
        <v>59.0</v>
      </c>
      <c r="H106" s="50">
        <v>1.0</v>
      </c>
      <c r="I106" s="50">
        <v>11.0</v>
      </c>
      <c r="J106" s="116"/>
      <c r="K106" s="116"/>
      <c r="L106" s="50" t="s">
        <v>1595</v>
      </c>
      <c r="M106" s="50" t="s">
        <v>1595</v>
      </c>
      <c r="N106" s="122">
        <v>43467.0</v>
      </c>
      <c r="O106" s="50">
        <v>1.0</v>
      </c>
      <c r="P106" s="50">
        <v>1.0</v>
      </c>
      <c r="Q106" s="116"/>
      <c r="R106" s="50" t="s">
        <v>19624</v>
      </c>
      <c r="S106" s="116"/>
      <c r="T106" s="144">
        <v>43787.0</v>
      </c>
      <c r="U106" s="50">
        <v>9999.0</v>
      </c>
      <c r="V106" s="50">
        <v>30.77</v>
      </c>
      <c r="W106" s="116"/>
      <c r="X106" s="116"/>
      <c r="Y106" s="144">
        <v>43787.0</v>
      </c>
      <c r="Z106" s="50">
        <v>9999.0</v>
      </c>
      <c r="AA106" s="50">
        <v>9999.0</v>
      </c>
      <c r="AB106" s="116"/>
      <c r="AC106" s="116"/>
      <c r="AD106" s="116"/>
      <c r="AE106" s="50">
        <v>1.0</v>
      </c>
      <c r="AF106" s="50" t="s">
        <v>18902</v>
      </c>
      <c r="AG106" s="117">
        <v>5338.0</v>
      </c>
      <c r="AH106" s="50" t="s">
        <v>19847</v>
      </c>
      <c r="AI106" s="50" t="s">
        <v>19848</v>
      </c>
      <c r="AJ106" s="117">
        <v>107.0</v>
      </c>
    </row>
    <row r="107">
      <c r="A107" s="50" t="s">
        <v>19838</v>
      </c>
      <c r="B107" s="50" t="s">
        <v>6876</v>
      </c>
      <c r="C107" s="50" t="s">
        <v>6877</v>
      </c>
      <c r="D107" s="50" t="s">
        <v>11623</v>
      </c>
      <c r="E107" s="144">
        <v>43789.0</v>
      </c>
      <c r="F107" s="50" t="s">
        <v>19850</v>
      </c>
      <c r="G107" s="50">
        <v>59.0</v>
      </c>
      <c r="H107" s="50">
        <v>1.0</v>
      </c>
      <c r="I107" s="50">
        <v>11.0</v>
      </c>
      <c r="J107" s="116"/>
      <c r="K107" s="116"/>
      <c r="L107" s="50" t="s">
        <v>1596</v>
      </c>
      <c r="M107" s="50" t="s">
        <v>1596</v>
      </c>
      <c r="N107" s="122">
        <v>43467.0</v>
      </c>
      <c r="O107" s="50">
        <v>1.0</v>
      </c>
      <c r="P107" s="50">
        <v>1.0</v>
      </c>
      <c r="Q107" s="116"/>
      <c r="R107" s="50" t="s">
        <v>19624</v>
      </c>
      <c r="S107" s="116"/>
      <c r="T107" s="144">
        <v>43787.0</v>
      </c>
      <c r="U107" s="50">
        <v>16.6</v>
      </c>
      <c r="V107" s="50">
        <v>16.64</v>
      </c>
      <c r="W107" s="116"/>
      <c r="X107" s="116"/>
      <c r="Y107" s="144">
        <v>43787.0</v>
      </c>
      <c r="Z107" s="50">
        <v>9999.0</v>
      </c>
      <c r="AA107" s="50">
        <v>9999.0</v>
      </c>
      <c r="AB107" s="116"/>
      <c r="AC107" s="116"/>
      <c r="AD107" s="116"/>
      <c r="AE107" s="50">
        <v>1.0</v>
      </c>
      <c r="AF107" s="50" t="s">
        <v>18902</v>
      </c>
      <c r="AG107" s="117">
        <v>5339.0</v>
      </c>
      <c r="AH107" s="50" t="s">
        <v>19854</v>
      </c>
      <c r="AI107" s="50" t="s">
        <v>19855</v>
      </c>
      <c r="AJ107" s="117">
        <v>108.0</v>
      </c>
    </row>
    <row r="108">
      <c r="A108" s="50" t="s">
        <v>19856</v>
      </c>
      <c r="B108" s="50" t="s">
        <v>6876</v>
      </c>
      <c r="C108" s="50" t="s">
        <v>6877</v>
      </c>
      <c r="D108" s="50" t="s">
        <v>11623</v>
      </c>
      <c r="E108" s="144">
        <v>43789.0</v>
      </c>
      <c r="F108" s="50" t="s">
        <v>19858</v>
      </c>
      <c r="G108" s="50">
        <v>58.0</v>
      </c>
      <c r="H108" s="50">
        <v>1.0</v>
      </c>
      <c r="I108" s="50">
        <v>11.0</v>
      </c>
      <c r="J108" s="116"/>
      <c r="K108" s="116"/>
      <c r="L108" s="50" t="s">
        <v>1599</v>
      </c>
      <c r="M108" s="50" t="s">
        <v>1599</v>
      </c>
      <c r="N108" s="122">
        <v>43467.0</v>
      </c>
      <c r="O108" s="50">
        <v>1.0</v>
      </c>
      <c r="P108" s="50">
        <v>1.0</v>
      </c>
      <c r="Q108" s="116"/>
      <c r="R108" s="50" t="s">
        <v>19624</v>
      </c>
      <c r="S108" s="116"/>
      <c r="T108" s="144">
        <v>43787.0</v>
      </c>
      <c r="U108" s="50">
        <v>16.17</v>
      </c>
      <c r="V108" s="50">
        <v>16.29</v>
      </c>
      <c r="W108" s="116"/>
      <c r="X108" s="116"/>
      <c r="Y108" s="144">
        <v>43787.0</v>
      </c>
      <c r="Z108" s="50">
        <v>9999.0</v>
      </c>
      <c r="AA108" s="50">
        <v>9999.0</v>
      </c>
      <c r="AB108" s="116"/>
      <c r="AC108" s="116"/>
      <c r="AD108" s="116"/>
      <c r="AE108" s="50">
        <v>1.0</v>
      </c>
      <c r="AF108" s="50" t="s">
        <v>18902</v>
      </c>
      <c r="AG108" s="117">
        <v>5340.0</v>
      </c>
      <c r="AH108" s="50" t="s">
        <v>19867</v>
      </c>
      <c r="AI108" s="50" t="s">
        <v>19868</v>
      </c>
      <c r="AJ108" s="117">
        <v>109.0</v>
      </c>
    </row>
    <row r="109">
      <c r="A109" s="50" t="s">
        <v>19858</v>
      </c>
      <c r="B109" s="50" t="s">
        <v>6876</v>
      </c>
      <c r="C109" s="50" t="s">
        <v>6877</v>
      </c>
      <c r="D109" s="50" t="s">
        <v>11623</v>
      </c>
      <c r="E109" s="144">
        <v>43789.0</v>
      </c>
      <c r="F109" s="50" t="s">
        <v>19871</v>
      </c>
      <c r="G109" s="50">
        <v>58.0</v>
      </c>
      <c r="H109" s="50">
        <v>1.0</v>
      </c>
      <c r="I109" s="50">
        <v>99.0</v>
      </c>
      <c r="J109" s="116"/>
      <c r="K109" s="116"/>
      <c r="L109" s="50" t="s">
        <v>281</v>
      </c>
      <c r="M109" s="50" t="s">
        <v>281</v>
      </c>
      <c r="N109" s="122">
        <v>43467.0</v>
      </c>
      <c r="O109" s="50">
        <v>1.0</v>
      </c>
      <c r="P109" s="50">
        <v>1.0</v>
      </c>
      <c r="Q109" s="116"/>
      <c r="R109" s="50" t="s">
        <v>19624</v>
      </c>
      <c r="S109" s="116"/>
      <c r="T109" s="144">
        <v>43787.0</v>
      </c>
      <c r="U109" s="50">
        <v>9999.0</v>
      </c>
      <c r="V109" s="50">
        <v>9999.0</v>
      </c>
      <c r="W109" s="116"/>
      <c r="X109" s="116"/>
      <c r="Y109" s="144">
        <v>43787.0</v>
      </c>
      <c r="Z109" s="50">
        <v>9999.0</v>
      </c>
      <c r="AA109" s="50">
        <v>9999.0</v>
      </c>
      <c r="AB109" s="116"/>
      <c r="AC109" s="116"/>
      <c r="AD109" s="50" t="s">
        <v>19875</v>
      </c>
      <c r="AE109" s="50">
        <v>1.0</v>
      </c>
      <c r="AF109" s="50" t="s">
        <v>18902</v>
      </c>
      <c r="AG109" s="117">
        <v>5341.0</v>
      </c>
      <c r="AH109" s="50" t="s">
        <v>19876</v>
      </c>
      <c r="AI109" s="50" t="s">
        <v>19877</v>
      </c>
      <c r="AJ109" s="117">
        <v>110.0</v>
      </c>
    </row>
    <row r="110">
      <c r="A110" s="50" t="s">
        <v>19879</v>
      </c>
      <c r="B110" s="50" t="s">
        <v>6876</v>
      </c>
      <c r="C110" s="50" t="s">
        <v>6877</v>
      </c>
      <c r="D110" s="50" t="s">
        <v>11623</v>
      </c>
      <c r="E110" s="144">
        <v>43789.0</v>
      </c>
      <c r="F110" s="50" t="s">
        <v>19880</v>
      </c>
      <c r="G110" s="50">
        <v>66.0</v>
      </c>
      <c r="H110" s="50">
        <v>1.0</v>
      </c>
      <c r="I110" s="50">
        <v>12.0</v>
      </c>
      <c r="J110" s="116"/>
      <c r="K110" s="116"/>
      <c r="L110" s="50" t="s">
        <v>1603</v>
      </c>
      <c r="M110" s="50" t="s">
        <v>1603</v>
      </c>
      <c r="N110" s="122">
        <v>43467.0</v>
      </c>
      <c r="O110" s="50">
        <v>1.0</v>
      </c>
      <c r="P110" s="50">
        <v>1.0</v>
      </c>
      <c r="Q110" s="116"/>
      <c r="R110" s="50" t="s">
        <v>19624</v>
      </c>
      <c r="S110" s="116"/>
      <c r="T110" s="144">
        <v>43788.0</v>
      </c>
      <c r="U110" s="50">
        <v>9999.0</v>
      </c>
      <c r="V110" s="50">
        <v>9999.0</v>
      </c>
      <c r="W110" s="116"/>
      <c r="X110" s="116"/>
      <c r="Y110" s="144">
        <v>43788.0</v>
      </c>
      <c r="Z110" s="50">
        <v>34.68</v>
      </c>
      <c r="AA110" s="50">
        <v>9999.0</v>
      </c>
      <c r="AB110" s="116"/>
      <c r="AC110" s="116"/>
      <c r="AD110" s="116"/>
      <c r="AE110" s="50">
        <v>1.0</v>
      </c>
      <c r="AF110" s="50" t="s">
        <v>18902</v>
      </c>
      <c r="AG110" s="117">
        <v>5343.0</v>
      </c>
      <c r="AH110" s="50" t="s">
        <v>19888</v>
      </c>
      <c r="AI110" s="50" t="s">
        <v>19889</v>
      </c>
      <c r="AJ110" s="117">
        <v>111.0</v>
      </c>
    </row>
    <row r="111">
      <c r="A111" s="50" t="s">
        <v>19880</v>
      </c>
      <c r="B111" s="50" t="s">
        <v>6876</v>
      </c>
      <c r="C111" s="50" t="s">
        <v>6877</v>
      </c>
      <c r="D111" s="50" t="s">
        <v>11623</v>
      </c>
      <c r="E111" s="144">
        <v>43789.0</v>
      </c>
      <c r="F111" s="50" t="s">
        <v>19890</v>
      </c>
      <c r="G111" s="50">
        <v>59.0</v>
      </c>
      <c r="H111" s="50">
        <v>1.0</v>
      </c>
      <c r="I111" s="50">
        <v>12.0</v>
      </c>
      <c r="J111" s="116"/>
      <c r="K111" s="116"/>
      <c r="L111" s="50" t="s">
        <v>1606</v>
      </c>
      <c r="M111" s="50" t="s">
        <v>1606</v>
      </c>
      <c r="N111" s="122">
        <v>43467.0</v>
      </c>
      <c r="O111" s="50">
        <v>1.0</v>
      </c>
      <c r="P111" s="50">
        <v>1.0</v>
      </c>
      <c r="Q111" s="116"/>
      <c r="R111" s="50" t="s">
        <v>19624</v>
      </c>
      <c r="S111" s="116"/>
      <c r="T111" s="144">
        <v>43788.0</v>
      </c>
      <c r="U111" s="50">
        <v>9999.0</v>
      </c>
      <c r="V111" s="50">
        <v>25.51</v>
      </c>
      <c r="W111" s="116"/>
      <c r="X111" s="116"/>
      <c r="Y111" s="144">
        <v>43788.0</v>
      </c>
      <c r="Z111" s="50">
        <v>9999.0</v>
      </c>
      <c r="AA111" s="50">
        <v>9999.0</v>
      </c>
      <c r="AB111" s="116"/>
      <c r="AC111" s="116"/>
      <c r="AD111" s="116"/>
      <c r="AE111" s="50">
        <v>1.0</v>
      </c>
      <c r="AF111" s="50" t="s">
        <v>18902</v>
      </c>
      <c r="AG111" s="117">
        <v>5344.0</v>
      </c>
      <c r="AH111" s="50" t="s">
        <v>19896</v>
      </c>
      <c r="AI111" s="50" t="s">
        <v>19897</v>
      </c>
      <c r="AJ111" s="117">
        <v>112.0</v>
      </c>
    </row>
    <row r="112">
      <c r="A112" s="50" t="s">
        <v>19890</v>
      </c>
      <c r="B112" s="50" t="s">
        <v>6876</v>
      </c>
      <c r="C112" s="50" t="s">
        <v>6877</v>
      </c>
      <c r="D112" s="50" t="s">
        <v>11623</v>
      </c>
      <c r="E112" s="144">
        <v>43789.0</v>
      </c>
      <c r="F112" s="50" t="s">
        <v>19899</v>
      </c>
      <c r="G112" s="50">
        <v>59.0</v>
      </c>
      <c r="H112" s="50">
        <v>1.0</v>
      </c>
      <c r="I112" s="50">
        <v>99.0</v>
      </c>
      <c r="J112" s="116"/>
      <c r="K112" s="116"/>
      <c r="L112" s="50" t="s">
        <v>341</v>
      </c>
      <c r="M112" s="50" t="s">
        <v>341</v>
      </c>
      <c r="N112" s="122">
        <v>43467.0</v>
      </c>
      <c r="O112" s="50">
        <v>1.0</v>
      </c>
      <c r="P112" s="50">
        <v>1.0</v>
      </c>
      <c r="Q112" s="116"/>
      <c r="R112" s="50" t="s">
        <v>341</v>
      </c>
      <c r="S112" s="116"/>
      <c r="T112" s="144">
        <v>43788.0</v>
      </c>
      <c r="U112" s="50">
        <v>9999.0</v>
      </c>
      <c r="V112" s="50">
        <v>9999.0</v>
      </c>
      <c r="W112" s="116"/>
      <c r="X112" s="116"/>
      <c r="Y112" s="144">
        <v>43788.0</v>
      </c>
      <c r="Z112" s="50">
        <v>9999.0</v>
      </c>
      <c r="AA112" s="50">
        <v>9999.0</v>
      </c>
      <c r="AB112" s="116"/>
      <c r="AC112" s="116"/>
      <c r="AD112" s="50" t="s">
        <v>19906</v>
      </c>
      <c r="AE112" s="50">
        <v>1.0</v>
      </c>
      <c r="AF112" s="50" t="s">
        <v>18902</v>
      </c>
      <c r="AG112" s="117">
        <v>5345.0</v>
      </c>
      <c r="AH112" s="50" t="s">
        <v>19908</v>
      </c>
      <c r="AI112" s="50" t="s">
        <v>19909</v>
      </c>
      <c r="AJ112" s="117">
        <v>113.0</v>
      </c>
    </row>
    <row r="113">
      <c r="A113" s="50" t="s">
        <v>19899</v>
      </c>
      <c r="B113" s="50" t="s">
        <v>6876</v>
      </c>
      <c r="C113" s="50" t="s">
        <v>6877</v>
      </c>
      <c r="D113" s="50" t="s">
        <v>11623</v>
      </c>
      <c r="E113" s="144">
        <v>43789.0</v>
      </c>
      <c r="F113" s="50" t="s">
        <v>19911</v>
      </c>
      <c r="G113" s="50">
        <v>59.0</v>
      </c>
      <c r="H113" s="50">
        <v>1.0</v>
      </c>
      <c r="I113" s="50">
        <v>11.0</v>
      </c>
      <c r="J113" s="116"/>
      <c r="K113" s="116"/>
      <c r="L113" s="50" t="s">
        <v>1611</v>
      </c>
      <c r="M113" s="50" t="s">
        <v>1611</v>
      </c>
      <c r="N113" s="122">
        <v>43467.0</v>
      </c>
      <c r="O113" s="50">
        <v>1.0</v>
      </c>
      <c r="P113" s="50">
        <v>1.0</v>
      </c>
      <c r="Q113" s="116"/>
      <c r="R113" s="50" t="s">
        <v>19914</v>
      </c>
      <c r="S113" s="116"/>
      <c r="T113" s="144">
        <v>43788.0</v>
      </c>
      <c r="U113" s="50">
        <v>9999.0</v>
      </c>
      <c r="V113" s="50">
        <v>9999.0</v>
      </c>
      <c r="W113" s="116"/>
      <c r="X113" s="116"/>
      <c r="Y113" s="144">
        <v>43788.0</v>
      </c>
      <c r="Z113" s="50">
        <v>9999.0</v>
      </c>
      <c r="AA113" s="50">
        <v>9999.0</v>
      </c>
      <c r="AB113" s="116"/>
      <c r="AC113" s="116"/>
      <c r="AD113" s="116"/>
      <c r="AE113" s="50">
        <v>1.0</v>
      </c>
      <c r="AF113" s="50" t="s">
        <v>18902</v>
      </c>
      <c r="AG113" s="117">
        <v>5346.0</v>
      </c>
      <c r="AH113" s="50" t="s">
        <v>19916</v>
      </c>
      <c r="AI113" s="50" t="s">
        <v>19918</v>
      </c>
      <c r="AJ113" s="117">
        <v>114.0</v>
      </c>
    </row>
    <row r="114">
      <c r="A114" s="50" t="s">
        <v>19911</v>
      </c>
      <c r="B114" s="50" t="s">
        <v>6876</v>
      </c>
      <c r="C114" s="50" t="s">
        <v>6877</v>
      </c>
      <c r="D114" s="50" t="s">
        <v>11623</v>
      </c>
      <c r="E114" s="144">
        <v>43789.0</v>
      </c>
      <c r="F114" s="50" t="s">
        <v>19920</v>
      </c>
      <c r="G114" s="50">
        <v>59.0</v>
      </c>
      <c r="H114" s="50">
        <v>1.0</v>
      </c>
      <c r="I114" s="50">
        <v>11.0</v>
      </c>
      <c r="J114" s="116"/>
      <c r="K114" s="116"/>
      <c r="L114" s="50" t="s">
        <v>1613</v>
      </c>
      <c r="M114" s="50" t="s">
        <v>1613</v>
      </c>
      <c r="N114" s="122">
        <v>43467.0</v>
      </c>
      <c r="O114" s="50">
        <v>1.0</v>
      </c>
      <c r="P114" s="50">
        <v>1.0</v>
      </c>
      <c r="Q114" s="116"/>
      <c r="R114" s="50" t="s">
        <v>19914</v>
      </c>
      <c r="S114" s="116"/>
      <c r="T114" s="144">
        <v>43788.0</v>
      </c>
      <c r="U114" s="50">
        <v>9999.0</v>
      </c>
      <c r="V114" s="50">
        <v>9999.0</v>
      </c>
      <c r="W114" s="116"/>
      <c r="X114" s="116"/>
      <c r="Y114" s="144">
        <v>43788.0</v>
      </c>
      <c r="Z114" s="50">
        <v>9999.0</v>
      </c>
      <c r="AA114" s="50">
        <v>9999.0</v>
      </c>
      <c r="AB114" s="116"/>
      <c r="AC114" s="116"/>
      <c r="AD114" s="116"/>
      <c r="AE114" s="50">
        <v>1.0</v>
      </c>
      <c r="AF114" s="50" t="s">
        <v>18902</v>
      </c>
      <c r="AG114" s="117">
        <v>5347.0</v>
      </c>
      <c r="AH114" s="50" t="s">
        <v>19927</v>
      </c>
      <c r="AI114" s="50" t="s">
        <v>19928</v>
      </c>
      <c r="AJ114" s="117">
        <v>115.0</v>
      </c>
    </row>
    <row r="115">
      <c r="A115" s="50" t="s">
        <v>19920</v>
      </c>
      <c r="B115" s="50" t="s">
        <v>6876</v>
      </c>
      <c r="C115" s="50" t="s">
        <v>6877</v>
      </c>
      <c r="D115" s="50" t="s">
        <v>11623</v>
      </c>
      <c r="E115" s="144">
        <v>43789.0</v>
      </c>
      <c r="F115" s="50" t="s">
        <v>19931</v>
      </c>
      <c r="G115" s="50">
        <v>59.0</v>
      </c>
      <c r="H115" s="50">
        <v>1.0</v>
      </c>
      <c r="I115" s="50">
        <v>11.0</v>
      </c>
      <c r="J115" s="116"/>
      <c r="K115" s="116"/>
      <c r="L115" s="50" t="s">
        <v>1616</v>
      </c>
      <c r="M115" s="50" t="s">
        <v>1616</v>
      </c>
      <c r="N115" s="122">
        <v>43467.0</v>
      </c>
      <c r="O115" s="50">
        <v>1.0</v>
      </c>
      <c r="P115" s="50">
        <v>1.0</v>
      </c>
      <c r="Q115" s="116"/>
      <c r="R115" s="50" t="s">
        <v>19914</v>
      </c>
      <c r="S115" s="116"/>
      <c r="T115" s="144">
        <v>43788.0</v>
      </c>
      <c r="U115" s="50">
        <v>9999.0</v>
      </c>
      <c r="V115" s="50">
        <v>9999.0</v>
      </c>
      <c r="W115" s="116"/>
      <c r="X115" s="116"/>
      <c r="Y115" s="144">
        <v>43788.0</v>
      </c>
      <c r="Z115" s="50">
        <v>9999.0</v>
      </c>
      <c r="AA115" s="50">
        <v>9999.0</v>
      </c>
      <c r="AB115" s="116"/>
      <c r="AC115" s="116"/>
      <c r="AD115" s="116"/>
      <c r="AE115" s="50">
        <v>1.0</v>
      </c>
      <c r="AF115" s="50" t="s">
        <v>18902</v>
      </c>
      <c r="AG115" s="117">
        <v>5348.0</v>
      </c>
      <c r="AH115" s="50" t="s">
        <v>19935</v>
      </c>
      <c r="AI115" s="50" t="s">
        <v>19936</v>
      </c>
      <c r="AJ115" s="117">
        <v>116.0</v>
      </c>
    </row>
    <row r="116">
      <c r="A116" s="50" t="s">
        <v>19931</v>
      </c>
      <c r="B116" s="50" t="s">
        <v>6876</v>
      </c>
      <c r="C116" s="50" t="s">
        <v>6877</v>
      </c>
      <c r="D116" s="50" t="s">
        <v>11623</v>
      </c>
      <c r="E116" s="144">
        <v>43789.0</v>
      </c>
      <c r="F116" s="50" t="s">
        <v>19939</v>
      </c>
      <c r="G116" s="50">
        <v>50.0</v>
      </c>
      <c r="H116" s="50">
        <v>1.0</v>
      </c>
      <c r="I116" s="50">
        <v>11.0</v>
      </c>
      <c r="J116" s="116"/>
      <c r="K116" s="116"/>
      <c r="L116" s="50" t="s">
        <v>1619</v>
      </c>
      <c r="M116" s="50" t="s">
        <v>1619</v>
      </c>
      <c r="N116" s="122">
        <v>43467.0</v>
      </c>
      <c r="O116" s="50">
        <v>1.0</v>
      </c>
      <c r="P116" s="50">
        <v>1.0</v>
      </c>
      <c r="Q116" s="116"/>
      <c r="R116" s="50" t="s">
        <v>19914</v>
      </c>
      <c r="S116" s="116"/>
      <c r="T116" s="144">
        <v>43788.0</v>
      </c>
      <c r="U116" s="50">
        <v>9999.0</v>
      </c>
      <c r="V116" s="50">
        <v>27.17</v>
      </c>
      <c r="W116" s="116"/>
      <c r="X116" s="116"/>
      <c r="Y116" s="144">
        <v>43788.0</v>
      </c>
      <c r="Z116" s="50">
        <v>9999.0</v>
      </c>
      <c r="AA116" s="50">
        <v>9999.0</v>
      </c>
      <c r="AB116" s="116"/>
      <c r="AC116" s="116"/>
      <c r="AD116" s="116"/>
      <c r="AE116" s="50">
        <v>1.0</v>
      </c>
      <c r="AF116" s="50" t="s">
        <v>18902</v>
      </c>
      <c r="AG116" s="117">
        <v>5349.0</v>
      </c>
      <c r="AH116" s="50" t="s">
        <v>19941</v>
      </c>
      <c r="AI116" s="50" t="s">
        <v>19942</v>
      </c>
      <c r="AJ116" s="117">
        <v>117.0</v>
      </c>
    </row>
    <row r="117">
      <c r="A117" s="50" t="s">
        <v>19939</v>
      </c>
      <c r="B117" s="50" t="s">
        <v>6876</v>
      </c>
      <c r="C117" s="50" t="s">
        <v>6877</v>
      </c>
      <c r="D117" s="50" t="s">
        <v>11623</v>
      </c>
      <c r="E117" s="144">
        <v>43789.0</v>
      </c>
      <c r="F117" s="50" t="s">
        <v>19948</v>
      </c>
      <c r="G117" s="50">
        <v>58.0</v>
      </c>
      <c r="H117" s="50">
        <v>1.0</v>
      </c>
      <c r="I117" s="50">
        <v>11.0</v>
      </c>
      <c r="J117" s="116"/>
      <c r="K117" s="116"/>
      <c r="L117" s="50" t="s">
        <v>1622</v>
      </c>
      <c r="M117" s="50" t="s">
        <v>1622</v>
      </c>
      <c r="N117" s="122">
        <v>43467.0</v>
      </c>
      <c r="O117" s="50">
        <v>1.0</v>
      </c>
      <c r="P117" s="50">
        <v>1.0</v>
      </c>
      <c r="Q117" s="116"/>
      <c r="R117" s="50" t="s">
        <v>19914</v>
      </c>
      <c r="S117" s="116"/>
      <c r="T117" s="144">
        <v>43788.0</v>
      </c>
      <c r="U117" s="50">
        <v>9999.0</v>
      </c>
      <c r="V117" s="50">
        <v>9999.0</v>
      </c>
      <c r="W117" s="116"/>
      <c r="X117" s="116"/>
      <c r="Y117" s="144">
        <v>43788.0</v>
      </c>
      <c r="Z117" s="50">
        <v>9999.0</v>
      </c>
      <c r="AA117" s="50">
        <v>9999.0</v>
      </c>
      <c r="AB117" s="116"/>
      <c r="AC117" s="116"/>
      <c r="AD117" s="116"/>
      <c r="AE117" s="50">
        <v>1.0</v>
      </c>
      <c r="AF117" s="50" t="s">
        <v>18902</v>
      </c>
      <c r="AG117" s="117">
        <v>5350.0</v>
      </c>
      <c r="AH117" s="50" t="s">
        <v>19951</v>
      </c>
      <c r="AI117" s="50" t="s">
        <v>19952</v>
      </c>
      <c r="AJ117" s="117">
        <v>118.0</v>
      </c>
    </row>
    <row r="118">
      <c r="A118" s="50" t="s">
        <v>19948</v>
      </c>
      <c r="B118" s="50" t="s">
        <v>6876</v>
      </c>
      <c r="C118" s="50" t="s">
        <v>6877</v>
      </c>
      <c r="D118" s="50" t="s">
        <v>11623</v>
      </c>
      <c r="E118" s="144">
        <v>43789.0</v>
      </c>
      <c r="F118" s="50" t="s">
        <v>19955</v>
      </c>
      <c r="G118" s="50">
        <v>58.0</v>
      </c>
      <c r="H118" s="50">
        <v>1.0</v>
      </c>
      <c r="I118" s="50">
        <v>14.0</v>
      </c>
      <c r="J118" s="50">
        <v>144.0</v>
      </c>
      <c r="K118" s="116"/>
      <c r="L118" s="50" t="s">
        <v>671</v>
      </c>
      <c r="M118" s="50" t="s">
        <v>671</v>
      </c>
      <c r="N118" s="122">
        <v>43467.0</v>
      </c>
      <c r="O118" s="50">
        <v>1.0</v>
      </c>
      <c r="P118" s="50">
        <v>1.0</v>
      </c>
      <c r="Q118" s="116"/>
      <c r="R118" s="50" t="s">
        <v>19914</v>
      </c>
      <c r="S118" s="116"/>
      <c r="T118" s="144">
        <v>43788.0</v>
      </c>
      <c r="U118" s="50">
        <v>9999.0</v>
      </c>
      <c r="V118" s="50">
        <v>9999.0</v>
      </c>
      <c r="W118" s="116"/>
      <c r="X118" s="116"/>
      <c r="Y118" s="144">
        <v>43788.0</v>
      </c>
      <c r="Z118" s="50">
        <v>9999.0</v>
      </c>
      <c r="AA118" s="50">
        <v>9999.0</v>
      </c>
      <c r="AB118" s="116"/>
      <c r="AC118" s="116"/>
      <c r="AD118" s="116"/>
      <c r="AE118" s="50">
        <v>1.0</v>
      </c>
      <c r="AF118" s="50" t="s">
        <v>18902</v>
      </c>
      <c r="AG118" s="117">
        <v>5351.0</v>
      </c>
      <c r="AH118" s="50" t="s">
        <v>19962</v>
      </c>
      <c r="AI118" s="50" t="s">
        <v>19963</v>
      </c>
      <c r="AJ118" s="117">
        <v>119.0</v>
      </c>
    </row>
    <row r="119">
      <c r="A119" s="50" t="s">
        <v>19955</v>
      </c>
      <c r="B119" s="50" t="s">
        <v>6876</v>
      </c>
      <c r="C119" s="50" t="s">
        <v>6877</v>
      </c>
      <c r="D119" s="50" t="s">
        <v>11623</v>
      </c>
      <c r="E119" s="144">
        <v>43789.0</v>
      </c>
      <c r="F119" s="50" t="s">
        <v>19965</v>
      </c>
      <c r="G119" s="50">
        <v>58.0</v>
      </c>
      <c r="H119" s="50">
        <v>1.0</v>
      </c>
      <c r="I119" s="50">
        <v>14.0</v>
      </c>
      <c r="J119" s="50">
        <v>142.0</v>
      </c>
      <c r="K119" s="116"/>
      <c r="L119" s="50" t="s">
        <v>667</v>
      </c>
      <c r="M119" s="50" t="s">
        <v>667</v>
      </c>
      <c r="N119" s="122">
        <v>43467.0</v>
      </c>
      <c r="O119" s="50">
        <v>1.0</v>
      </c>
      <c r="P119" s="50">
        <v>1.0</v>
      </c>
      <c r="Q119" s="116"/>
      <c r="R119" s="50" t="s">
        <v>19914</v>
      </c>
      <c r="S119" s="116"/>
      <c r="T119" s="144">
        <v>43788.0</v>
      </c>
      <c r="U119" s="50">
        <v>9999.0</v>
      </c>
      <c r="V119" s="50">
        <v>9999.0</v>
      </c>
      <c r="W119" s="116"/>
      <c r="X119" s="116"/>
      <c r="Y119" s="144">
        <v>43788.0</v>
      </c>
      <c r="Z119" s="50">
        <v>9999.0</v>
      </c>
      <c r="AA119" s="50">
        <v>9999.0</v>
      </c>
      <c r="AB119" s="116"/>
      <c r="AC119" s="116"/>
      <c r="AD119" s="116"/>
      <c r="AE119" s="50">
        <v>1.0</v>
      </c>
      <c r="AF119" s="50" t="s">
        <v>18902</v>
      </c>
      <c r="AG119" s="117">
        <v>5352.0</v>
      </c>
      <c r="AH119" s="50" t="s">
        <v>19968</v>
      </c>
      <c r="AI119" s="50" t="s">
        <v>19970</v>
      </c>
      <c r="AJ119" s="117">
        <v>120.0</v>
      </c>
    </row>
    <row r="120">
      <c r="A120" s="50" t="s">
        <v>19973</v>
      </c>
      <c r="B120" s="50" t="s">
        <v>6876</v>
      </c>
      <c r="C120" s="50" t="s">
        <v>6877</v>
      </c>
      <c r="D120" s="50" t="s">
        <v>11623</v>
      </c>
      <c r="E120" s="144">
        <v>43789.0</v>
      </c>
      <c r="F120" s="50" t="s">
        <v>19975</v>
      </c>
      <c r="G120" s="50">
        <v>58.0</v>
      </c>
      <c r="H120" s="50">
        <v>1.0</v>
      </c>
      <c r="I120" s="50">
        <v>14.0</v>
      </c>
      <c r="J120" s="50">
        <v>143.0</v>
      </c>
      <c r="K120" s="116"/>
      <c r="L120" s="50" t="s">
        <v>669</v>
      </c>
      <c r="M120" s="50" t="s">
        <v>669</v>
      </c>
      <c r="N120" s="122">
        <v>43467.0</v>
      </c>
      <c r="O120" s="50">
        <v>1.0</v>
      </c>
      <c r="P120" s="50">
        <v>1.0</v>
      </c>
      <c r="Q120" s="116"/>
      <c r="R120" s="50" t="s">
        <v>19914</v>
      </c>
      <c r="S120" s="116"/>
      <c r="T120" s="144">
        <v>43788.0</v>
      </c>
      <c r="U120" s="50">
        <v>9999.0</v>
      </c>
      <c r="V120" s="50">
        <v>9999.0</v>
      </c>
      <c r="W120" s="116"/>
      <c r="X120" s="116"/>
      <c r="Y120" s="144">
        <v>43788.0</v>
      </c>
      <c r="Z120" s="50">
        <v>9999.0</v>
      </c>
      <c r="AA120" s="50">
        <v>9999.0</v>
      </c>
      <c r="AB120" s="116"/>
      <c r="AC120" s="116"/>
      <c r="AD120" s="116"/>
      <c r="AE120" s="50">
        <v>1.0</v>
      </c>
      <c r="AF120" s="50" t="s">
        <v>18902</v>
      </c>
      <c r="AG120" s="117">
        <v>5353.0</v>
      </c>
      <c r="AH120" s="50" t="s">
        <v>19978</v>
      </c>
      <c r="AI120" s="50" t="s">
        <v>19980</v>
      </c>
      <c r="AJ120" s="117">
        <v>121.0</v>
      </c>
    </row>
    <row r="121">
      <c r="A121" s="50" t="s">
        <v>19975</v>
      </c>
      <c r="B121" s="50" t="s">
        <v>6876</v>
      </c>
      <c r="C121" s="50" t="s">
        <v>6877</v>
      </c>
      <c r="D121" s="50" t="s">
        <v>11623</v>
      </c>
      <c r="E121" s="144">
        <v>43789.0</v>
      </c>
      <c r="F121" s="50" t="s">
        <v>19981</v>
      </c>
      <c r="G121" s="50">
        <v>58.0</v>
      </c>
      <c r="H121" s="50">
        <v>1.0</v>
      </c>
      <c r="I121" s="50">
        <v>14.0</v>
      </c>
      <c r="J121" s="50">
        <v>141.0</v>
      </c>
      <c r="K121" s="116"/>
      <c r="L121" s="50" t="s">
        <v>666</v>
      </c>
      <c r="M121" s="50" t="s">
        <v>666</v>
      </c>
      <c r="N121" s="122">
        <v>43467.0</v>
      </c>
      <c r="O121" s="50">
        <v>1.0</v>
      </c>
      <c r="P121" s="50">
        <v>1.0</v>
      </c>
      <c r="Q121" s="116"/>
      <c r="R121" s="50" t="s">
        <v>19914</v>
      </c>
      <c r="S121" s="116"/>
      <c r="T121" s="144">
        <v>43788.0</v>
      </c>
      <c r="U121" s="50">
        <v>9999.0</v>
      </c>
      <c r="V121" s="50">
        <v>9999.0</v>
      </c>
      <c r="W121" s="116"/>
      <c r="X121" s="116"/>
      <c r="Y121" s="144">
        <v>43788.0</v>
      </c>
      <c r="Z121" s="50">
        <v>9999.0</v>
      </c>
      <c r="AA121" s="50">
        <v>9999.0</v>
      </c>
      <c r="AB121" s="116"/>
      <c r="AC121" s="116"/>
      <c r="AD121" s="116"/>
      <c r="AE121" s="50">
        <v>1.0</v>
      </c>
      <c r="AF121" s="50" t="s">
        <v>18902</v>
      </c>
      <c r="AG121" s="117">
        <v>5565.0</v>
      </c>
      <c r="AH121" s="50" t="s">
        <v>19990</v>
      </c>
      <c r="AI121" s="50" t="s">
        <v>19991</v>
      </c>
      <c r="AJ121" s="117">
        <v>122.0</v>
      </c>
    </row>
    <row r="122">
      <c r="A122" s="50" t="s">
        <v>19981</v>
      </c>
      <c r="B122" s="50" t="s">
        <v>6876</v>
      </c>
      <c r="C122" s="50" t="s">
        <v>6877</v>
      </c>
      <c r="D122" s="50" t="s">
        <v>11623</v>
      </c>
      <c r="E122" s="144">
        <v>43789.0</v>
      </c>
      <c r="F122" s="50" t="s">
        <v>19993</v>
      </c>
      <c r="G122" s="50">
        <v>58.0</v>
      </c>
      <c r="H122" s="50">
        <v>1.0</v>
      </c>
      <c r="I122" s="50">
        <v>14.0</v>
      </c>
      <c r="J122" s="50">
        <v>145.0</v>
      </c>
      <c r="K122" s="116"/>
      <c r="L122" s="50" t="s">
        <v>673</v>
      </c>
      <c r="M122" s="50" t="s">
        <v>673</v>
      </c>
      <c r="N122" s="122">
        <v>43467.0</v>
      </c>
      <c r="O122" s="50">
        <v>1.0</v>
      </c>
      <c r="P122" s="50">
        <v>1.0</v>
      </c>
      <c r="Q122" s="116"/>
      <c r="R122" s="50" t="s">
        <v>19914</v>
      </c>
      <c r="S122" s="116"/>
      <c r="T122" s="144">
        <v>43788.0</v>
      </c>
      <c r="U122" s="50">
        <v>9999.0</v>
      </c>
      <c r="V122" s="50">
        <v>9999.0</v>
      </c>
      <c r="W122" s="116"/>
      <c r="X122" s="116"/>
      <c r="Y122" s="144">
        <v>43788.0</v>
      </c>
      <c r="Z122" s="50">
        <v>9999.0</v>
      </c>
      <c r="AA122" s="50">
        <v>9999.0</v>
      </c>
      <c r="AB122" s="116"/>
      <c r="AC122" s="116"/>
      <c r="AD122" s="116"/>
      <c r="AE122" s="50">
        <v>1.0</v>
      </c>
      <c r="AF122" s="50" t="s">
        <v>18902</v>
      </c>
      <c r="AG122" s="117">
        <v>5566.0</v>
      </c>
      <c r="AH122" s="50" t="s">
        <v>19998</v>
      </c>
      <c r="AI122" s="50" t="s">
        <v>19999</v>
      </c>
      <c r="AJ122" s="117">
        <v>123.0</v>
      </c>
    </row>
    <row r="123">
      <c r="A123" s="50" t="s">
        <v>19993</v>
      </c>
      <c r="B123" s="50" t="s">
        <v>6876</v>
      </c>
      <c r="C123" s="50" t="s">
        <v>6877</v>
      </c>
      <c r="D123" s="50" t="s">
        <v>11623</v>
      </c>
      <c r="E123" s="144">
        <v>43789.0</v>
      </c>
      <c r="F123" s="50" t="s">
        <v>20006</v>
      </c>
      <c r="G123" s="50">
        <v>58.0</v>
      </c>
      <c r="H123" s="50">
        <v>1.0</v>
      </c>
      <c r="I123" s="50">
        <v>99.0</v>
      </c>
      <c r="J123" s="116"/>
      <c r="K123" s="116"/>
      <c r="L123" s="50" t="s">
        <v>1624</v>
      </c>
      <c r="M123" s="50" t="s">
        <v>1624</v>
      </c>
      <c r="N123" s="122">
        <v>43467.0</v>
      </c>
      <c r="O123" s="50">
        <v>1.0</v>
      </c>
      <c r="P123" s="50">
        <v>1.0</v>
      </c>
      <c r="Q123" s="116"/>
      <c r="R123" s="50" t="s">
        <v>19914</v>
      </c>
      <c r="S123" s="116"/>
      <c r="T123" s="144">
        <v>43788.0</v>
      </c>
      <c r="U123" s="50">
        <v>9999.0</v>
      </c>
      <c r="V123" s="50">
        <v>9999.0</v>
      </c>
      <c r="W123" s="116"/>
      <c r="X123" s="116"/>
      <c r="Y123" s="144">
        <v>43788.0</v>
      </c>
      <c r="Z123" s="50">
        <v>9999.0</v>
      </c>
      <c r="AA123" s="50">
        <v>9999.0</v>
      </c>
      <c r="AB123" s="116"/>
      <c r="AC123" s="116"/>
      <c r="AD123" s="50" t="s">
        <v>20010</v>
      </c>
      <c r="AE123" s="50">
        <v>1.0</v>
      </c>
      <c r="AF123" s="50" t="s">
        <v>18902</v>
      </c>
      <c r="AG123" s="117">
        <v>5567.0</v>
      </c>
      <c r="AH123" s="50" t="s">
        <v>20012</v>
      </c>
      <c r="AI123" s="50" t="s">
        <v>20013</v>
      </c>
      <c r="AJ123" s="117">
        <v>124.0</v>
      </c>
    </row>
    <row r="124">
      <c r="A124" s="50" t="s">
        <v>20014</v>
      </c>
      <c r="B124" s="50" t="s">
        <v>6876</v>
      </c>
      <c r="C124" s="50" t="s">
        <v>6877</v>
      </c>
      <c r="D124" s="50" t="s">
        <v>11623</v>
      </c>
      <c r="E124" s="144">
        <v>43795.0</v>
      </c>
      <c r="F124" s="50" t="s">
        <v>20016</v>
      </c>
      <c r="G124" s="50">
        <v>58.0</v>
      </c>
      <c r="H124" s="50">
        <v>1.0</v>
      </c>
      <c r="I124" s="50">
        <v>98.0</v>
      </c>
      <c r="J124" s="116"/>
      <c r="K124" s="116"/>
      <c r="L124" s="50" t="s">
        <v>1572</v>
      </c>
      <c r="M124" s="50" t="s">
        <v>1572</v>
      </c>
      <c r="N124" s="122">
        <v>43467.0</v>
      </c>
      <c r="O124" s="50">
        <v>1.0</v>
      </c>
      <c r="P124" s="50">
        <v>1.0</v>
      </c>
      <c r="Q124" s="116"/>
      <c r="R124" s="50" t="s">
        <v>19624</v>
      </c>
      <c r="S124" s="116"/>
      <c r="T124" s="144">
        <v>43787.0</v>
      </c>
      <c r="U124" s="50">
        <v>9999.0</v>
      </c>
      <c r="V124" s="50">
        <v>9999.0</v>
      </c>
      <c r="W124" s="116"/>
      <c r="X124" s="116"/>
      <c r="Y124" s="144">
        <v>43787.0</v>
      </c>
      <c r="Z124" s="50">
        <v>40.0</v>
      </c>
      <c r="AA124" s="50">
        <v>9999.0</v>
      </c>
      <c r="AB124" s="116"/>
      <c r="AC124" s="116"/>
      <c r="AD124" s="116"/>
      <c r="AE124" s="50">
        <v>1.0</v>
      </c>
      <c r="AF124" s="50" t="s">
        <v>18902</v>
      </c>
      <c r="AG124" s="117">
        <v>5568.0</v>
      </c>
      <c r="AH124" s="50" t="s">
        <v>20021</v>
      </c>
      <c r="AI124" s="50" t="s">
        <v>20022</v>
      </c>
      <c r="AJ124" s="117">
        <v>125.0</v>
      </c>
    </row>
    <row r="125">
      <c r="A125" s="50" t="s">
        <v>20016</v>
      </c>
      <c r="B125" s="50" t="s">
        <v>6876</v>
      </c>
      <c r="C125" s="50" t="s">
        <v>6877</v>
      </c>
      <c r="D125" s="50" t="s">
        <v>11623</v>
      </c>
      <c r="E125" s="144">
        <v>43795.0</v>
      </c>
      <c r="F125" s="50" t="s">
        <v>20028</v>
      </c>
      <c r="G125" s="50">
        <v>59.0</v>
      </c>
      <c r="H125" s="50">
        <v>1.0</v>
      </c>
      <c r="I125" s="50">
        <v>98.0</v>
      </c>
      <c r="J125" s="116"/>
      <c r="K125" s="116"/>
      <c r="L125" s="50" t="s">
        <v>1534</v>
      </c>
      <c r="M125" s="50" t="s">
        <v>1534</v>
      </c>
      <c r="N125" s="122">
        <v>43467.0</v>
      </c>
      <c r="O125" s="50">
        <v>1.0</v>
      </c>
      <c r="P125" s="50">
        <v>1.0</v>
      </c>
      <c r="Q125" s="116"/>
      <c r="R125" s="50" t="s">
        <v>19299</v>
      </c>
      <c r="S125" s="116"/>
      <c r="T125" s="144">
        <v>43777.0</v>
      </c>
      <c r="U125" s="50">
        <v>9999.0</v>
      </c>
      <c r="V125" s="50">
        <v>9999.0</v>
      </c>
      <c r="W125" s="116"/>
      <c r="X125" s="116"/>
      <c r="Y125" s="144">
        <v>43777.0</v>
      </c>
      <c r="Z125" s="50">
        <v>9999.0</v>
      </c>
      <c r="AA125" s="50">
        <v>9999.0</v>
      </c>
      <c r="AB125" s="116"/>
      <c r="AC125" s="116"/>
      <c r="AD125" s="116"/>
      <c r="AE125" s="50">
        <v>1.0</v>
      </c>
      <c r="AF125" s="50" t="s">
        <v>18902</v>
      </c>
      <c r="AG125" s="117">
        <v>5569.0</v>
      </c>
      <c r="AH125" s="50" t="s">
        <v>20032</v>
      </c>
      <c r="AI125" s="50" t="s">
        <v>20033</v>
      </c>
      <c r="AJ125" s="117">
        <v>126.0</v>
      </c>
    </row>
    <row r="126">
      <c r="A126" s="50" t="s">
        <v>20028</v>
      </c>
      <c r="B126" s="50" t="s">
        <v>6876</v>
      </c>
      <c r="C126" s="50" t="s">
        <v>6877</v>
      </c>
      <c r="D126" s="50" t="s">
        <v>11623</v>
      </c>
      <c r="E126" s="144">
        <v>43795.0</v>
      </c>
      <c r="F126" s="50" t="s">
        <v>20034</v>
      </c>
      <c r="G126" s="50">
        <v>55.0</v>
      </c>
      <c r="H126" s="50">
        <v>1.0</v>
      </c>
      <c r="I126" s="50">
        <v>98.0</v>
      </c>
      <c r="J126" s="116"/>
      <c r="K126" s="116"/>
      <c r="L126" s="50" t="s">
        <v>1556</v>
      </c>
      <c r="M126" s="50" t="s">
        <v>1556</v>
      </c>
      <c r="N126" s="122">
        <v>43467.0</v>
      </c>
      <c r="O126" s="50">
        <v>1.0</v>
      </c>
      <c r="P126" s="50">
        <v>1.0</v>
      </c>
      <c r="Q126" s="116"/>
      <c r="R126" s="50" t="s">
        <v>19299</v>
      </c>
      <c r="S126" s="116"/>
      <c r="T126" s="144">
        <v>43777.0</v>
      </c>
      <c r="U126" s="50">
        <v>9999.0</v>
      </c>
      <c r="V126" s="50">
        <v>9999.0</v>
      </c>
      <c r="W126" s="116"/>
      <c r="X126" s="116"/>
      <c r="Y126" s="144">
        <v>43777.0</v>
      </c>
      <c r="Z126" s="50">
        <v>9999.0</v>
      </c>
      <c r="AA126" s="50">
        <v>9999.0</v>
      </c>
      <c r="AB126" s="116"/>
      <c r="AC126" s="116"/>
      <c r="AD126" s="116"/>
      <c r="AE126" s="50">
        <v>1.0</v>
      </c>
      <c r="AF126" s="50" t="s">
        <v>18902</v>
      </c>
      <c r="AG126" s="117">
        <v>5570.0</v>
      </c>
      <c r="AH126" s="50" t="s">
        <v>20045</v>
      </c>
      <c r="AI126" s="50" t="s">
        <v>20046</v>
      </c>
      <c r="AJ126" s="117">
        <v>127.0</v>
      </c>
    </row>
    <row r="127">
      <c r="A127" s="50" t="s">
        <v>20034</v>
      </c>
      <c r="B127" s="50" t="s">
        <v>6876</v>
      </c>
      <c r="C127" s="50" t="s">
        <v>6877</v>
      </c>
      <c r="D127" s="50" t="s">
        <v>11623</v>
      </c>
      <c r="E127" s="144">
        <v>43795.0</v>
      </c>
      <c r="F127" s="50" t="s">
        <v>20048</v>
      </c>
      <c r="G127" s="50">
        <v>59.0</v>
      </c>
      <c r="H127" s="50">
        <v>1.0</v>
      </c>
      <c r="I127" s="50">
        <v>11.0</v>
      </c>
      <c r="J127" s="116"/>
      <c r="K127" s="116"/>
      <c r="L127" s="50" t="s">
        <v>1628</v>
      </c>
      <c r="M127" s="50" t="s">
        <v>1628</v>
      </c>
      <c r="N127" s="122">
        <v>43467.0</v>
      </c>
      <c r="O127" s="50">
        <v>1.0</v>
      </c>
      <c r="P127" s="50">
        <v>1.0</v>
      </c>
      <c r="Q127" s="116"/>
      <c r="R127" s="50" t="s">
        <v>20051</v>
      </c>
      <c r="S127" s="116"/>
      <c r="T127" s="144">
        <v>43791.0</v>
      </c>
      <c r="U127" s="50">
        <v>26.42</v>
      </c>
      <c r="V127" s="50">
        <v>25.98</v>
      </c>
      <c r="W127" s="116"/>
      <c r="X127" s="116"/>
      <c r="Y127" s="144">
        <v>43791.0</v>
      </c>
      <c r="Z127" s="50">
        <v>9999.0</v>
      </c>
      <c r="AA127" s="50">
        <v>38.42</v>
      </c>
      <c r="AB127" s="116"/>
      <c r="AC127" s="116"/>
      <c r="AD127" s="116"/>
      <c r="AE127" s="50">
        <v>1.0</v>
      </c>
      <c r="AF127" s="50" t="s">
        <v>18902</v>
      </c>
      <c r="AG127" s="117">
        <v>5571.0</v>
      </c>
      <c r="AH127" s="50" t="s">
        <v>20055</v>
      </c>
      <c r="AI127" s="50" t="s">
        <v>20056</v>
      </c>
      <c r="AJ127" s="117">
        <v>128.0</v>
      </c>
    </row>
    <row r="128">
      <c r="A128" s="50" t="s">
        <v>20048</v>
      </c>
      <c r="B128" s="50" t="s">
        <v>6876</v>
      </c>
      <c r="C128" s="50" t="s">
        <v>6877</v>
      </c>
      <c r="D128" s="50" t="s">
        <v>11623</v>
      </c>
      <c r="E128" s="144">
        <v>43795.0</v>
      </c>
      <c r="F128" s="50" t="s">
        <v>20062</v>
      </c>
      <c r="G128" s="50">
        <v>59.0</v>
      </c>
      <c r="H128" s="50">
        <v>1.0</v>
      </c>
      <c r="I128" s="50">
        <v>99.0</v>
      </c>
      <c r="J128" s="116"/>
      <c r="K128" s="116"/>
      <c r="L128" s="50" t="s">
        <v>1629</v>
      </c>
      <c r="M128" s="50" t="s">
        <v>1629</v>
      </c>
      <c r="N128" s="122">
        <v>43467.0</v>
      </c>
      <c r="O128" s="50">
        <v>1.0</v>
      </c>
      <c r="P128" s="50">
        <v>1.0</v>
      </c>
      <c r="Q128" s="116"/>
      <c r="R128" s="50" t="s">
        <v>20051</v>
      </c>
      <c r="S128" s="116"/>
      <c r="T128" s="144">
        <v>43791.0</v>
      </c>
      <c r="U128" s="50">
        <v>9999.0</v>
      </c>
      <c r="V128" s="50">
        <v>9999.0</v>
      </c>
      <c r="W128" s="116"/>
      <c r="X128" s="116"/>
      <c r="Y128" s="144">
        <v>43791.0</v>
      </c>
      <c r="Z128" s="50">
        <v>9999.0</v>
      </c>
      <c r="AA128" s="50">
        <v>9999.0</v>
      </c>
      <c r="AB128" s="116"/>
      <c r="AC128" s="116"/>
      <c r="AD128" s="116"/>
      <c r="AE128" s="50">
        <v>1.0</v>
      </c>
      <c r="AF128" s="50" t="s">
        <v>18902</v>
      </c>
      <c r="AG128" s="117">
        <v>5572.0</v>
      </c>
      <c r="AH128" s="50" t="s">
        <v>20067</v>
      </c>
      <c r="AI128" s="50" t="s">
        <v>20068</v>
      </c>
      <c r="AJ128" s="117">
        <v>129.0</v>
      </c>
    </row>
    <row r="129">
      <c r="A129" s="50" t="s">
        <v>20062</v>
      </c>
      <c r="B129" s="50" t="s">
        <v>6876</v>
      </c>
      <c r="C129" s="50" t="s">
        <v>6877</v>
      </c>
      <c r="D129" s="50" t="s">
        <v>11623</v>
      </c>
      <c r="E129" s="144">
        <v>43795.0</v>
      </c>
      <c r="F129" s="50" t="s">
        <v>20069</v>
      </c>
      <c r="G129" s="50">
        <v>59.0</v>
      </c>
      <c r="H129" s="50">
        <v>1.0</v>
      </c>
      <c r="I129" s="50">
        <v>11.0</v>
      </c>
      <c r="J129" s="116"/>
      <c r="K129" s="116"/>
      <c r="L129" s="50" t="s">
        <v>1634</v>
      </c>
      <c r="M129" s="50" t="s">
        <v>1634</v>
      </c>
      <c r="N129" s="122">
        <v>43467.0</v>
      </c>
      <c r="O129" s="50">
        <v>1.0</v>
      </c>
      <c r="P129" s="50">
        <v>1.0</v>
      </c>
      <c r="Q129" s="116"/>
      <c r="R129" s="50" t="s">
        <v>20051</v>
      </c>
      <c r="S129" s="116"/>
      <c r="T129" s="144">
        <v>43791.0</v>
      </c>
      <c r="U129" s="50">
        <v>23.68</v>
      </c>
      <c r="V129" s="50">
        <v>23.15</v>
      </c>
      <c r="W129" s="116"/>
      <c r="X129" s="116"/>
      <c r="Y129" s="144">
        <v>43791.0</v>
      </c>
      <c r="Z129" s="50">
        <v>9999.0</v>
      </c>
      <c r="AA129" s="50">
        <v>9999.0</v>
      </c>
      <c r="AB129" s="116"/>
      <c r="AC129" s="116"/>
      <c r="AD129" s="116"/>
      <c r="AE129" s="50">
        <v>1.0</v>
      </c>
      <c r="AF129" s="50" t="s">
        <v>18902</v>
      </c>
      <c r="AG129" s="117">
        <v>5573.0</v>
      </c>
      <c r="AH129" s="50" t="s">
        <v>20080</v>
      </c>
      <c r="AI129" s="50" t="s">
        <v>20081</v>
      </c>
      <c r="AJ129" s="117">
        <v>130.0</v>
      </c>
    </row>
    <row r="130">
      <c r="A130" s="50" t="s">
        <v>20069</v>
      </c>
      <c r="B130" s="50" t="s">
        <v>6876</v>
      </c>
      <c r="C130" s="50" t="s">
        <v>6877</v>
      </c>
      <c r="D130" s="50" t="s">
        <v>11623</v>
      </c>
      <c r="E130" s="144">
        <v>43795.0</v>
      </c>
      <c r="F130" s="50" t="s">
        <v>20083</v>
      </c>
      <c r="G130" s="50">
        <v>58.0</v>
      </c>
      <c r="H130" s="50">
        <v>1.0</v>
      </c>
      <c r="I130" s="50">
        <v>11.0</v>
      </c>
      <c r="J130" s="116"/>
      <c r="K130" s="116"/>
      <c r="L130" s="50" t="s">
        <v>1637</v>
      </c>
      <c r="M130" s="50" t="s">
        <v>1637</v>
      </c>
      <c r="N130" s="122">
        <v>43467.0</v>
      </c>
      <c r="O130" s="50">
        <v>1.0</v>
      </c>
      <c r="P130" s="50">
        <v>1.0</v>
      </c>
      <c r="Q130" s="116"/>
      <c r="R130" s="50" t="s">
        <v>20051</v>
      </c>
      <c r="S130" s="116"/>
      <c r="T130" s="144">
        <v>43791.0</v>
      </c>
      <c r="U130" s="50">
        <v>24.73</v>
      </c>
      <c r="V130" s="50">
        <v>25.62</v>
      </c>
      <c r="W130" s="116"/>
      <c r="X130" s="116"/>
      <c r="Y130" s="144">
        <v>43791.0</v>
      </c>
      <c r="Z130" s="50">
        <v>37.52</v>
      </c>
      <c r="AA130" s="50">
        <v>40.0</v>
      </c>
      <c r="AB130" s="116"/>
      <c r="AC130" s="116"/>
      <c r="AD130" s="116"/>
      <c r="AE130" s="50">
        <v>1.0</v>
      </c>
      <c r="AF130" s="50" t="s">
        <v>18902</v>
      </c>
      <c r="AG130" s="117">
        <v>5574.0</v>
      </c>
      <c r="AH130" s="50" t="s">
        <v>20092</v>
      </c>
      <c r="AI130" s="50" t="s">
        <v>20094</v>
      </c>
      <c r="AJ130" s="117">
        <v>131.0</v>
      </c>
    </row>
    <row r="131">
      <c r="A131" s="50" t="s">
        <v>20083</v>
      </c>
      <c r="B131" s="50" t="s">
        <v>6876</v>
      </c>
      <c r="C131" s="50" t="s">
        <v>6877</v>
      </c>
      <c r="D131" s="50" t="s">
        <v>11623</v>
      </c>
      <c r="E131" s="144">
        <v>43795.0</v>
      </c>
      <c r="F131" s="50" t="s">
        <v>20101</v>
      </c>
      <c r="G131" s="50">
        <v>59.0</v>
      </c>
      <c r="H131" s="50">
        <v>1.0</v>
      </c>
      <c r="I131" s="50">
        <v>11.0</v>
      </c>
      <c r="J131" s="116"/>
      <c r="K131" s="116"/>
      <c r="L131" s="50" t="s">
        <v>1643</v>
      </c>
      <c r="M131" s="50" t="s">
        <v>1643</v>
      </c>
      <c r="N131" s="122">
        <v>43467.0</v>
      </c>
      <c r="O131" s="50">
        <v>1.0</v>
      </c>
      <c r="P131" s="50">
        <v>1.0</v>
      </c>
      <c r="Q131" s="116"/>
      <c r="R131" s="50" t="s">
        <v>20051</v>
      </c>
      <c r="S131" s="116"/>
      <c r="T131" s="144">
        <v>43791.0</v>
      </c>
      <c r="U131" s="50">
        <v>26.5</v>
      </c>
      <c r="V131" s="50">
        <v>25.5</v>
      </c>
      <c r="W131" s="116"/>
      <c r="X131" s="116"/>
      <c r="Y131" s="144">
        <v>43791.0</v>
      </c>
      <c r="Z131" s="50">
        <v>9999.0</v>
      </c>
      <c r="AA131" s="50">
        <v>9999.0</v>
      </c>
      <c r="AB131" s="116"/>
      <c r="AC131" s="116"/>
      <c r="AD131" s="116"/>
      <c r="AE131" s="50">
        <v>1.0</v>
      </c>
      <c r="AF131" s="50" t="s">
        <v>18902</v>
      </c>
      <c r="AG131" s="117">
        <v>5575.0</v>
      </c>
      <c r="AH131" s="50" t="s">
        <v>20106</v>
      </c>
      <c r="AI131" s="50" t="s">
        <v>20107</v>
      </c>
      <c r="AJ131" s="117">
        <v>132.0</v>
      </c>
    </row>
    <row r="132">
      <c r="A132" s="50" t="s">
        <v>20101</v>
      </c>
      <c r="B132" s="50" t="s">
        <v>6876</v>
      </c>
      <c r="C132" s="50" t="s">
        <v>6877</v>
      </c>
      <c r="D132" s="50" t="s">
        <v>11623</v>
      </c>
      <c r="E132" s="144">
        <v>43795.0</v>
      </c>
      <c r="F132" s="50" t="s">
        <v>20108</v>
      </c>
      <c r="G132" s="50">
        <v>59.0</v>
      </c>
      <c r="H132" s="50">
        <v>1.0</v>
      </c>
      <c r="I132" s="50">
        <v>11.0</v>
      </c>
      <c r="J132" s="116"/>
      <c r="K132" s="116"/>
      <c r="L132" s="50" t="s">
        <v>1644</v>
      </c>
      <c r="M132" s="50" t="s">
        <v>1644</v>
      </c>
      <c r="N132" s="122">
        <v>43467.0</v>
      </c>
      <c r="O132" s="50">
        <v>1.0</v>
      </c>
      <c r="P132" s="50">
        <v>1.0</v>
      </c>
      <c r="Q132" s="116"/>
      <c r="R132" s="50" t="s">
        <v>20051</v>
      </c>
      <c r="S132" s="116"/>
      <c r="T132" s="144">
        <v>43791.0</v>
      </c>
      <c r="U132" s="50">
        <v>23.11</v>
      </c>
      <c r="V132" s="50">
        <v>22.05</v>
      </c>
      <c r="W132" s="116"/>
      <c r="X132" s="116"/>
      <c r="Y132" s="144">
        <v>43791.0</v>
      </c>
      <c r="Z132" s="50">
        <v>40.0</v>
      </c>
      <c r="AA132" s="50">
        <v>9999.0</v>
      </c>
      <c r="AB132" s="116"/>
      <c r="AC132" s="116"/>
      <c r="AD132" s="116"/>
      <c r="AE132" s="50">
        <v>1.0</v>
      </c>
      <c r="AF132" s="50" t="s">
        <v>18902</v>
      </c>
      <c r="AG132" s="117">
        <v>5576.0</v>
      </c>
      <c r="AH132" s="50" t="s">
        <v>20121</v>
      </c>
      <c r="AI132" s="50" t="s">
        <v>20122</v>
      </c>
      <c r="AJ132" s="117">
        <v>133.0</v>
      </c>
    </row>
    <row r="133">
      <c r="A133" s="50" t="s">
        <v>20108</v>
      </c>
      <c r="B133" s="50" t="s">
        <v>6876</v>
      </c>
      <c r="C133" s="50" t="s">
        <v>6877</v>
      </c>
      <c r="D133" s="50" t="s">
        <v>11623</v>
      </c>
      <c r="E133" s="144">
        <v>43795.0</v>
      </c>
      <c r="F133" s="50" t="s">
        <v>20125</v>
      </c>
      <c r="G133" s="50">
        <v>59.0</v>
      </c>
      <c r="H133" s="50">
        <v>1.0</v>
      </c>
      <c r="I133" s="50">
        <v>11.0</v>
      </c>
      <c r="J133" s="116"/>
      <c r="K133" s="116"/>
      <c r="L133" s="50" t="s">
        <v>1645</v>
      </c>
      <c r="M133" s="50" t="s">
        <v>1645</v>
      </c>
      <c r="N133" s="122">
        <v>43467.0</v>
      </c>
      <c r="O133" s="50">
        <v>1.0</v>
      </c>
      <c r="P133" s="50">
        <v>1.0</v>
      </c>
      <c r="Q133" s="116"/>
      <c r="R133" s="50" t="s">
        <v>20051</v>
      </c>
      <c r="S133" s="116"/>
      <c r="T133" s="144">
        <v>43791.0</v>
      </c>
      <c r="U133" s="50">
        <v>31.63</v>
      </c>
      <c r="V133" s="50">
        <v>31.1</v>
      </c>
      <c r="W133" s="116"/>
      <c r="X133" s="116"/>
      <c r="Y133" s="144">
        <v>43791.0</v>
      </c>
      <c r="Z133" s="50">
        <v>9999.0</v>
      </c>
      <c r="AA133" s="50">
        <v>9999.0</v>
      </c>
      <c r="AB133" s="116"/>
      <c r="AC133" s="116"/>
      <c r="AD133" s="116"/>
      <c r="AE133" s="50">
        <v>1.0</v>
      </c>
      <c r="AF133" s="50" t="s">
        <v>18902</v>
      </c>
      <c r="AG133" s="117">
        <v>5577.0</v>
      </c>
      <c r="AH133" s="50" t="s">
        <v>20131</v>
      </c>
      <c r="AI133" s="50" t="s">
        <v>20132</v>
      </c>
      <c r="AJ133" s="117">
        <v>134.0</v>
      </c>
    </row>
    <row r="134">
      <c r="A134" s="50" t="s">
        <v>20135</v>
      </c>
      <c r="B134" s="50" t="s">
        <v>6876</v>
      </c>
      <c r="C134" s="50" t="s">
        <v>6877</v>
      </c>
      <c r="D134" s="50" t="s">
        <v>11623</v>
      </c>
      <c r="E134" s="144">
        <v>43795.0</v>
      </c>
      <c r="F134" s="50" t="s">
        <v>20140</v>
      </c>
      <c r="G134" s="50">
        <v>55.0</v>
      </c>
      <c r="H134" s="50">
        <v>1.0</v>
      </c>
      <c r="I134" s="50">
        <v>12.0</v>
      </c>
      <c r="J134" s="116"/>
      <c r="K134" s="116"/>
      <c r="L134" s="50" t="s">
        <v>1641</v>
      </c>
      <c r="M134" s="50" t="s">
        <v>1641</v>
      </c>
      <c r="N134" s="122">
        <v>43467.0</v>
      </c>
      <c r="O134" s="50">
        <v>1.0</v>
      </c>
      <c r="P134" s="50">
        <v>1.0</v>
      </c>
      <c r="Q134" s="116"/>
      <c r="R134" s="50" t="s">
        <v>20051</v>
      </c>
      <c r="S134" s="116"/>
      <c r="T134" s="144">
        <v>43791.0</v>
      </c>
      <c r="U134" s="50">
        <v>24.55</v>
      </c>
      <c r="V134" s="50">
        <v>24.83</v>
      </c>
      <c r="W134" s="116"/>
      <c r="X134" s="116"/>
      <c r="Y134" s="144">
        <v>43791.0</v>
      </c>
      <c r="Z134" s="50">
        <v>36.87</v>
      </c>
      <c r="AA134" s="50">
        <v>37.18</v>
      </c>
      <c r="AB134" s="116"/>
      <c r="AC134" s="116"/>
      <c r="AD134" s="116"/>
      <c r="AE134" s="50">
        <v>1.0</v>
      </c>
      <c r="AF134" s="50" t="s">
        <v>18902</v>
      </c>
      <c r="AG134" s="117">
        <v>5578.0</v>
      </c>
      <c r="AH134" s="50" t="s">
        <v>20149</v>
      </c>
      <c r="AI134" s="50" t="s">
        <v>20150</v>
      </c>
      <c r="AJ134" s="117">
        <v>135.0</v>
      </c>
    </row>
    <row r="135">
      <c r="A135" s="50" t="s">
        <v>20140</v>
      </c>
      <c r="B135" s="50" t="s">
        <v>6876</v>
      </c>
      <c r="C135" s="50" t="s">
        <v>6877</v>
      </c>
      <c r="D135" s="50" t="s">
        <v>11623</v>
      </c>
      <c r="E135" s="144">
        <v>43795.0</v>
      </c>
      <c r="F135" s="50" t="s">
        <v>20155</v>
      </c>
      <c r="G135" s="50">
        <v>57.0</v>
      </c>
      <c r="H135" s="50">
        <v>1.0</v>
      </c>
      <c r="I135" s="50">
        <v>12.0</v>
      </c>
      <c r="J135" s="116"/>
      <c r="K135" s="116"/>
      <c r="L135" s="50" t="s">
        <v>1642</v>
      </c>
      <c r="M135" s="50" t="s">
        <v>1642</v>
      </c>
      <c r="N135" s="122">
        <v>43467.0</v>
      </c>
      <c r="O135" s="50">
        <v>1.0</v>
      </c>
      <c r="P135" s="50">
        <v>1.0</v>
      </c>
      <c r="Q135" s="116"/>
      <c r="R135" s="50" t="s">
        <v>20051</v>
      </c>
      <c r="S135" s="116"/>
      <c r="T135" s="144">
        <v>43791.0</v>
      </c>
      <c r="U135" s="50">
        <v>23.66</v>
      </c>
      <c r="V135" s="50">
        <v>24.76</v>
      </c>
      <c r="W135" s="116"/>
      <c r="X135" s="116"/>
      <c r="Y135" s="144">
        <v>43791.0</v>
      </c>
      <c r="Z135" s="50">
        <v>32.96</v>
      </c>
      <c r="AA135" s="50">
        <v>32.96</v>
      </c>
      <c r="AB135" s="116"/>
      <c r="AC135" s="116"/>
      <c r="AD135" s="116"/>
      <c r="AE135" s="50">
        <v>1.0</v>
      </c>
      <c r="AF135" s="50" t="s">
        <v>18902</v>
      </c>
      <c r="AG135" s="117">
        <v>5579.0</v>
      </c>
      <c r="AH135" s="50" t="s">
        <v>20162</v>
      </c>
      <c r="AI135" s="50" t="s">
        <v>20163</v>
      </c>
      <c r="AJ135" s="117">
        <v>136.0</v>
      </c>
    </row>
    <row r="136">
      <c r="A136" s="50" t="s">
        <v>20155</v>
      </c>
      <c r="B136" s="50" t="s">
        <v>6876</v>
      </c>
      <c r="C136" s="50" t="s">
        <v>6877</v>
      </c>
      <c r="D136" s="50" t="s">
        <v>11623</v>
      </c>
      <c r="E136" s="144">
        <v>43795.0</v>
      </c>
      <c r="F136" s="50" t="s">
        <v>20166</v>
      </c>
      <c r="G136" s="50">
        <v>57.0</v>
      </c>
      <c r="H136" s="50">
        <v>1.0</v>
      </c>
      <c r="I136" s="50">
        <v>98.0</v>
      </c>
      <c r="J136" s="116"/>
      <c r="K136" s="116"/>
      <c r="L136" s="50" t="s">
        <v>1648</v>
      </c>
      <c r="M136" s="50" t="s">
        <v>1648</v>
      </c>
      <c r="N136" s="122">
        <v>43467.0</v>
      </c>
      <c r="O136" s="50">
        <v>1.0</v>
      </c>
      <c r="P136" s="50">
        <v>1.0</v>
      </c>
      <c r="Q136" s="116"/>
      <c r="R136" s="50" t="s">
        <v>20051</v>
      </c>
      <c r="S136" s="116"/>
      <c r="T136" s="144">
        <v>43791.0</v>
      </c>
      <c r="U136" s="50">
        <v>9999.0</v>
      </c>
      <c r="V136" s="50">
        <v>9999.0</v>
      </c>
      <c r="W136" s="116"/>
      <c r="X136" s="116"/>
      <c r="Y136" s="144">
        <v>43791.0</v>
      </c>
      <c r="Z136" s="50">
        <v>9999.0</v>
      </c>
      <c r="AA136" s="50">
        <v>9999.0</v>
      </c>
      <c r="AB136" s="116"/>
      <c r="AC136" s="116"/>
      <c r="AD136" s="116"/>
      <c r="AE136" s="50">
        <v>1.0</v>
      </c>
      <c r="AF136" s="50" t="s">
        <v>18902</v>
      </c>
      <c r="AG136" s="117">
        <v>5580.0</v>
      </c>
      <c r="AH136" s="50" t="s">
        <v>20176</v>
      </c>
      <c r="AI136" s="50" t="s">
        <v>20177</v>
      </c>
      <c r="AJ136" s="117">
        <v>137.0</v>
      </c>
    </row>
    <row r="137">
      <c r="A137" s="50" t="s">
        <v>20166</v>
      </c>
      <c r="B137" s="50" t="s">
        <v>6876</v>
      </c>
      <c r="C137" s="50" t="s">
        <v>6877</v>
      </c>
      <c r="D137" s="50" t="s">
        <v>11623</v>
      </c>
      <c r="E137" s="144">
        <v>43795.0</v>
      </c>
      <c r="F137" s="50" t="s">
        <v>20180</v>
      </c>
      <c r="G137" s="50">
        <v>66.0</v>
      </c>
      <c r="H137" s="50">
        <v>1.0</v>
      </c>
      <c r="I137" s="50">
        <v>16.0</v>
      </c>
      <c r="J137" s="116"/>
      <c r="K137" s="116"/>
      <c r="L137" s="50" t="s">
        <v>1653</v>
      </c>
      <c r="M137" s="50" t="s">
        <v>1653</v>
      </c>
      <c r="N137" s="122">
        <v>43467.0</v>
      </c>
      <c r="O137" s="50">
        <v>1.0</v>
      </c>
      <c r="P137" s="50">
        <v>1.0</v>
      </c>
      <c r="Q137" s="116"/>
      <c r="R137" s="50" t="s">
        <v>20051</v>
      </c>
      <c r="S137" s="116"/>
      <c r="T137" s="144">
        <v>43791.0</v>
      </c>
      <c r="U137" s="50">
        <v>9999.0</v>
      </c>
      <c r="V137" s="50">
        <v>9999.0</v>
      </c>
      <c r="W137" s="116"/>
      <c r="X137" s="116"/>
      <c r="Y137" s="144">
        <v>43791.0</v>
      </c>
      <c r="Z137" s="50">
        <v>9999.0</v>
      </c>
      <c r="AA137" s="50">
        <v>9999.0</v>
      </c>
      <c r="AB137" s="116"/>
      <c r="AC137" s="116"/>
      <c r="AD137" s="116"/>
      <c r="AE137" s="50">
        <v>1.0</v>
      </c>
      <c r="AF137" s="50" t="s">
        <v>18902</v>
      </c>
      <c r="AG137" s="117">
        <v>5581.0</v>
      </c>
      <c r="AH137" s="50" t="s">
        <v>20184</v>
      </c>
      <c r="AI137" s="50" t="s">
        <v>20185</v>
      </c>
      <c r="AJ137" s="117">
        <v>138.0</v>
      </c>
    </row>
    <row r="138">
      <c r="A138" s="50" t="s">
        <v>20180</v>
      </c>
      <c r="B138" s="50" t="s">
        <v>6876</v>
      </c>
      <c r="C138" s="50" t="s">
        <v>6877</v>
      </c>
      <c r="D138" s="50" t="s">
        <v>11623</v>
      </c>
      <c r="E138" s="144">
        <v>43795.0</v>
      </c>
      <c r="F138" s="50" t="s">
        <v>20189</v>
      </c>
      <c r="G138" s="50">
        <v>66.0</v>
      </c>
      <c r="H138" s="50">
        <v>1.0</v>
      </c>
      <c r="I138" s="50">
        <v>16.0</v>
      </c>
      <c r="J138" s="116"/>
      <c r="K138" s="116"/>
      <c r="L138" s="50" t="s">
        <v>19491</v>
      </c>
      <c r="M138" s="50" t="s">
        <v>19491</v>
      </c>
      <c r="N138" s="122">
        <v>43467.0</v>
      </c>
      <c r="O138" s="50">
        <v>1.0</v>
      </c>
      <c r="P138" s="50">
        <v>1.0</v>
      </c>
      <c r="Q138" s="116"/>
      <c r="R138" s="50" t="s">
        <v>20051</v>
      </c>
      <c r="S138" s="116"/>
      <c r="T138" s="144">
        <v>43791.0</v>
      </c>
      <c r="U138" s="50">
        <v>9999.0</v>
      </c>
      <c r="V138" s="50">
        <v>9999.0</v>
      </c>
      <c r="W138" s="116"/>
      <c r="X138" s="116"/>
      <c r="Y138" s="144">
        <v>43791.0</v>
      </c>
      <c r="Z138" s="50">
        <v>9999.0</v>
      </c>
      <c r="AA138" s="50">
        <v>9999.0</v>
      </c>
      <c r="AB138" s="116"/>
      <c r="AC138" s="116"/>
      <c r="AD138" s="116"/>
      <c r="AE138" s="50">
        <v>1.0</v>
      </c>
      <c r="AF138" s="50" t="s">
        <v>18902</v>
      </c>
      <c r="AG138" s="117">
        <v>5582.0</v>
      </c>
      <c r="AH138" s="50" t="s">
        <v>20192</v>
      </c>
      <c r="AI138" s="50" t="s">
        <v>20193</v>
      </c>
      <c r="AJ138" s="117">
        <v>139.0</v>
      </c>
    </row>
    <row r="139">
      <c r="A139" s="50" t="s">
        <v>20189</v>
      </c>
      <c r="B139" s="50" t="s">
        <v>6876</v>
      </c>
      <c r="C139" s="50" t="s">
        <v>6877</v>
      </c>
      <c r="D139" s="50" t="s">
        <v>11623</v>
      </c>
      <c r="E139" s="144">
        <v>43795.0</v>
      </c>
      <c r="F139" s="50" t="s">
        <v>20196</v>
      </c>
      <c r="G139" s="50">
        <v>58.0</v>
      </c>
      <c r="H139" s="50">
        <v>1.0</v>
      </c>
      <c r="I139" s="50">
        <v>15.0</v>
      </c>
      <c r="J139" s="116"/>
      <c r="K139" s="50">
        <v>151.0</v>
      </c>
      <c r="L139" s="50" t="s">
        <v>654</v>
      </c>
      <c r="M139" s="50" t="s">
        <v>654</v>
      </c>
      <c r="N139" s="122">
        <v>43467.0</v>
      </c>
      <c r="O139" s="50">
        <v>1.0</v>
      </c>
      <c r="P139" s="50">
        <v>1.0</v>
      </c>
      <c r="Q139" s="116"/>
      <c r="R139" s="50" t="s">
        <v>20051</v>
      </c>
      <c r="S139" s="116"/>
      <c r="T139" s="144">
        <v>43791.0</v>
      </c>
      <c r="U139" s="50">
        <v>34.85</v>
      </c>
      <c r="V139" s="50">
        <v>34.61</v>
      </c>
      <c r="W139" s="116"/>
      <c r="X139" s="116"/>
      <c r="Y139" s="144">
        <v>43791.0</v>
      </c>
      <c r="Z139" s="50">
        <v>35.07</v>
      </c>
      <c r="AA139" s="50">
        <v>35.92</v>
      </c>
      <c r="AB139" s="116"/>
      <c r="AC139" s="116"/>
      <c r="AD139" s="116"/>
      <c r="AE139" s="50">
        <v>1.0</v>
      </c>
      <c r="AF139" s="50" t="s">
        <v>18902</v>
      </c>
      <c r="AG139" s="117">
        <v>5583.0</v>
      </c>
      <c r="AH139" s="50" t="s">
        <v>20198</v>
      </c>
      <c r="AI139" s="50" t="s">
        <v>20201</v>
      </c>
      <c r="AJ139" s="117">
        <v>140.0</v>
      </c>
    </row>
    <row r="140">
      <c r="A140" s="50" t="s">
        <v>20196</v>
      </c>
      <c r="B140" s="50" t="s">
        <v>6876</v>
      </c>
      <c r="C140" s="50" t="s">
        <v>6877</v>
      </c>
      <c r="D140" s="50" t="s">
        <v>11623</v>
      </c>
      <c r="E140" s="144">
        <v>43795.0</v>
      </c>
      <c r="F140" s="50" t="s">
        <v>20205</v>
      </c>
      <c r="G140" s="50">
        <v>58.0</v>
      </c>
      <c r="H140" s="50">
        <v>1.0</v>
      </c>
      <c r="I140" s="50">
        <v>15.0</v>
      </c>
      <c r="J140" s="116"/>
      <c r="K140" s="50">
        <v>152.0</v>
      </c>
      <c r="L140" s="50" t="s">
        <v>657</v>
      </c>
      <c r="M140" s="50" t="s">
        <v>657</v>
      </c>
      <c r="N140" s="122">
        <v>43467.0</v>
      </c>
      <c r="O140" s="50">
        <v>1.0</v>
      </c>
      <c r="P140" s="50">
        <v>1.0</v>
      </c>
      <c r="Q140" s="116"/>
      <c r="R140" s="50" t="s">
        <v>20051</v>
      </c>
      <c r="S140" s="116"/>
      <c r="T140" s="144">
        <v>43791.0</v>
      </c>
      <c r="U140" s="50">
        <v>36.84</v>
      </c>
      <c r="V140" s="50">
        <v>37.2</v>
      </c>
      <c r="W140" s="116"/>
      <c r="X140" s="116"/>
      <c r="Y140" s="144">
        <v>43791.0</v>
      </c>
      <c r="Z140" s="50">
        <v>9999.0</v>
      </c>
      <c r="AA140" s="50">
        <v>9999.0</v>
      </c>
      <c r="AB140" s="116"/>
      <c r="AC140" s="116"/>
      <c r="AD140" s="116"/>
      <c r="AE140" s="50">
        <v>1.0</v>
      </c>
      <c r="AF140" s="50" t="s">
        <v>18902</v>
      </c>
      <c r="AG140" s="117">
        <v>5584.0</v>
      </c>
      <c r="AH140" s="50" t="s">
        <v>20207</v>
      </c>
      <c r="AI140" s="50" t="s">
        <v>20208</v>
      </c>
      <c r="AJ140" s="117">
        <v>141.0</v>
      </c>
    </row>
    <row r="141">
      <c r="A141" s="50" t="s">
        <v>20205</v>
      </c>
      <c r="B141" s="50" t="s">
        <v>6876</v>
      </c>
      <c r="C141" s="50" t="s">
        <v>6877</v>
      </c>
      <c r="D141" s="50" t="s">
        <v>11623</v>
      </c>
      <c r="E141" s="144">
        <v>43795.0</v>
      </c>
      <c r="F141" s="50" t="s">
        <v>20210</v>
      </c>
      <c r="G141" s="50">
        <v>58.0</v>
      </c>
      <c r="H141" s="50">
        <v>1.0</v>
      </c>
      <c r="I141" s="50">
        <v>15.0</v>
      </c>
      <c r="J141" s="116"/>
      <c r="K141" s="50">
        <v>152.0</v>
      </c>
      <c r="L141" s="50" t="s">
        <v>659</v>
      </c>
      <c r="M141" s="50" t="s">
        <v>659</v>
      </c>
      <c r="N141" s="122">
        <v>43467.0</v>
      </c>
      <c r="O141" s="50">
        <v>1.0</v>
      </c>
      <c r="P141" s="50">
        <v>1.0</v>
      </c>
      <c r="Q141" s="116"/>
      <c r="R141" s="50" t="s">
        <v>20051</v>
      </c>
      <c r="S141" s="116"/>
      <c r="T141" s="144">
        <v>43791.0</v>
      </c>
      <c r="U141" s="50">
        <v>35.35</v>
      </c>
      <c r="V141" s="50">
        <v>34.99</v>
      </c>
      <c r="W141" s="116"/>
      <c r="X141" s="116"/>
      <c r="Y141" s="144">
        <v>43791.0</v>
      </c>
      <c r="Z141" s="50">
        <v>9999.0</v>
      </c>
      <c r="AA141" s="50">
        <v>38.5</v>
      </c>
      <c r="AB141" s="116"/>
      <c r="AC141" s="116"/>
      <c r="AD141" s="116"/>
      <c r="AE141" s="50">
        <v>1.0</v>
      </c>
      <c r="AF141" s="50" t="s">
        <v>18902</v>
      </c>
      <c r="AG141" s="117">
        <v>5585.0</v>
      </c>
      <c r="AH141" s="50" t="s">
        <v>20219</v>
      </c>
      <c r="AI141" s="50" t="s">
        <v>20220</v>
      </c>
      <c r="AJ141" s="117">
        <v>142.0</v>
      </c>
    </row>
    <row r="142">
      <c r="A142" s="50" t="s">
        <v>20210</v>
      </c>
      <c r="B142" s="50" t="s">
        <v>6876</v>
      </c>
      <c r="C142" s="50" t="s">
        <v>6877</v>
      </c>
      <c r="D142" s="50" t="s">
        <v>11623</v>
      </c>
      <c r="E142" s="144">
        <v>43795.0</v>
      </c>
      <c r="F142" s="50" t="s">
        <v>20223</v>
      </c>
      <c r="G142" s="50">
        <v>58.0</v>
      </c>
      <c r="H142" s="50">
        <v>1.0</v>
      </c>
      <c r="I142" s="50">
        <v>15.0</v>
      </c>
      <c r="J142" s="116"/>
      <c r="K142" s="50">
        <v>152.0</v>
      </c>
      <c r="L142" s="50" t="s">
        <v>661</v>
      </c>
      <c r="M142" s="50" t="s">
        <v>661</v>
      </c>
      <c r="N142" s="122">
        <v>43467.0</v>
      </c>
      <c r="O142" s="50">
        <v>1.0</v>
      </c>
      <c r="P142" s="50">
        <v>1.0</v>
      </c>
      <c r="Q142" s="116"/>
      <c r="R142" s="50" t="s">
        <v>20051</v>
      </c>
      <c r="S142" s="116"/>
      <c r="T142" s="144">
        <v>43791.0</v>
      </c>
      <c r="U142" s="50">
        <v>35.99</v>
      </c>
      <c r="V142" s="50">
        <v>37.89</v>
      </c>
      <c r="W142" s="116"/>
      <c r="X142" s="116"/>
      <c r="Y142" s="144">
        <v>43791.0</v>
      </c>
      <c r="Z142" s="50">
        <v>9999.0</v>
      </c>
      <c r="AA142" s="50">
        <v>9999.0</v>
      </c>
      <c r="AB142" s="116"/>
      <c r="AC142" s="116"/>
      <c r="AD142" s="116"/>
      <c r="AE142" s="50">
        <v>1.0</v>
      </c>
      <c r="AF142" s="50" t="s">
        <v>18902</v>
      </c>
      <c r="AG142" s="117">
        <v>5586.0</v>
      </c>
      <c r="AH142" s="50" t="s">
        <v>20227</v>
      </c>
      <c r="AI142" s="50" t="s">
        <v>20228</v>
      </c>
      <c r="AJ142" s="117">
        <v>143.0</v>
      </c>
    </row>
    <row r="143">
      <c r="A143" s="50" t="s">
        <v>20223</v>
      </c>
      <c r="B143" s="50" t="s">
        <v>6876</v>
      </c>
      <c r="C143" s="50" t="s">
        <v>6877</v>
      </c>
      <c r="D143" s="50" t="s">
        <v>11623</v>
      </c>
      <c r="E143" s="144">
        <v>43795.0</v>
      </c>
      <c r="F143" s="50" t="s">
        <v>20230</v>
      </c>
      <c r="G143" s="50">
        <v>58.0</v>
      </c>
      <c r="H143" s="50">
        <v>1.0</v>
      </c>
      <c r="I143" s="50">
        <v>99.0</v>
      </c>
      <c r="J143" s="116"/>
      <c r="K143" s="116"/>
      <c r="L143" s="50" t="s">
        <v>664</v>
      </c>
      <c r="M143" s="50" t="s">
        <v>664</v>
      </c>
      <c r="N143" s="122">
        <v>43467.0</v>
      </c>
      <c r="O143" s="50">
        <v>1.0</v>
      </c>
      <c r="P143" s="50">
        <v>1.0</v>
      </c>
      <c r="Q143" s="116"/>
      <c r="R143" s="50" t="s">
        <v>20051</v>
      </c>
      <c r="S143" s="116"/>
      <c r="T143" s="144">
        <v>43791.0</v>
      </c>
      <c r="U143" s="50">
        <v>9999.0</v>
      </c>
      <c r="V143" s="50">
        <v>9999.0</v>
      </c>
      <c r="W143" s="116"/>
      <c r="X143" s="116"/>
      <c r="Y143" s="144">
        <v>43791.0</v>
      </c>
      <c r="Z143" s="50">
        <v>9999.0</v>
      </c>
      <c r="AA143" s="50">
        <v>9999.0</v>
      </c>
      <c r="AB143" s="116"/>
      <c r="AC143" s="116"/>
      <c r="AD143" s="116"/>
      <c r="AE143" s="50">
        <v>1.0</v>
      </c>
      <c r="AF143" s="50" t="s">
        <v>18902</v>
      </c>
      <c r="AG143" s="117">
        <v>5587.0</v>
      </c>
      <c r="AH143" s="50" t="s">
        <v>20237</v>
      </c>
      <c r="AI143" s="50" t="s">
        <v>20238</v>
      </c>
      <c r="AJ143" s="117">
        <v>144.0</v>
      </c>
    </row>
    <row r="144">
      <c r="A144" s="50" t="s">
        <v>20230</v>
      </c>
      <c r="B144" s="50" t="s">
        <v>6876</v>
      </c>
      <c r="C144" s="50" t="s">
        <v>6877</v>
      </c>
      <c r="D144" s="50" t="s">
        <v>11623</v>
      </c>
      <c r="E144" s="144">
        <v>43795.0</v>
      </c>
      <c r="F144" s="50" t="s">
        <v>20239</v>
      </c>
      <c r="G144" s="50">
        <v>59.0</v>
      </c>
      <c r="H144" s="50">
        <v>1.0</v>
      </c>
      <c r="I144" s="50">
        <v>11.0</v>
      </c>
      <c r="J144" s="116"/>
      <c r="K144" s="116"/>
      <c r="L144" s="50" t="s">
        <v>1631</v>
      </c>
      <c r="M144" s="50" t="s">
        <v>1631</v>
      </c>
      <c r="N144" s="122">
        <v>43467.0</v>
      </c>
      <c r="O144" s="50">
        <v>1.0</v>
      </c>
      <c r="P144" s="50">
        <v>1.0</v>
      </c>
      <c r="Q144" s="116"/>
      <c r="R144" s="50" t="s">
        <v>20051</v>
      </c>
      <c r="S144" s="116"/>
      <c r="T144" s="144">
        <v>43791.0</v>
      </c>
      <c r="U144" s="50">
        <v>9999.0</v>
      </c>
      <c r="V144" s="50">
        <v>26.19</v>
      </c>
      <c r="W144" s="116"/>
      <c r="X144" s="116"/>
      <c r="Y144" s="144">
        <v>43791.0</v>
      </c>
      <c r="Z144" s="50">
        <v>22.51</v>
      </c>
      <c r="AA144" s="50">
        <v>22.52</v>
      </c>
      <c r="AB144" s="116"/>
      <c r="AC144" s="116"/>
      <c r="AD144" s="116"/>
      <c r="AE144" s="50">
        <v>1.0</v>
      </c>
      <c r="AF144" s="50" t="s">
        <v>18902</v>
      </c>
      <c r="AG144" s="117">
        <v>5588.0</v>
      </c>
      <c r="AH144" s="50" t="s">
        <v>20247</v>
      </c>
      <c r="AI144" s="50" t="s">
        <v>20249</v>
      </c>
      <c r="AJ144" s="117">
        <v>145.0</v>
      </c>
    </row>
    <row r="145">
      <c r="A145" s="50" t="s">
        <v>20251</v>
      </c>
      <c r="B145" s="50" t="s">
        <v>6876</v>
      </c>
      <c r="C145" s="50" t="s">
        <v>6877</v>
      </c>
      <c r="D145" s="50" t="s">
        <v>11623</v>
      </c>
      <c r="E145" s="144">
        <v>43795.0</v>
      </c>
      <c r="F145" s="50" t="s">
        <v>20252</v>
      </c>
      <c r="G145" s="50">
        <v>59.0</v>
      </c>
      <c r="H145" s="50">
        <v>1.0</v>
      </c>
      <c r="I145" s="50">
        <v>98.0</v>
      </c>
      <c r="J145" s="116"/>
      <c r="K145" s="116"/>
      <c r="L145" s="50" t="s">
        <v>1652</v>
      </c>
      <c r="M145" s="50" t="s">
        <v>1652</v>
      </c>
      <c r="N145" s="122">
        <v>43467.0</v>
      </c>
      <c r="O145" s="50">
        <v>1.0</v>
      </c>
      <c r="P145" s="50">
        <v>1.0</v>
      </c>
      <c r="Q145" s="116"/>
      <c r="R145" s="50" t="s">
        <v>20051</v>
      </c>
      <c r="S145" s="116"/>
      <c r="T145" s="144">
        <v>43791.0</v>
      </c>
      <c r="U145" s="50">
        <v>9999.0</v>
      </c>
      <c r="V145" s="50">
        <v>9999.0</v>
      </c>
      <c r="W145" s="116"/>
      <c r="X145" s="116"/>
      <c r="Y145" s="144">
        <v>43791.0</v>
      </c>
      <c r="Z145" s="50">
        <v>9999.0</v>
      </c>
      <c r="AA145" s="50">
        <v>9999.0</v>
      </c>
      <c r="AB145" s="116"/>
      <c r="AC145" s="116"/>
      <c r="AD145" s="116"/>
      <c r="AE145" s="50">
        <v>1.0</v>
      </c>
      <c r="AF145" s="50" t="s">
        <v>18902</v>
      </c>
      <c r="AG145" s="117">
        <v>5589.0</v>
      </c>
      <c r="AH145" s="50" t="s">
        <v>20256</v>
      </c>
      <c r="AI145" s="50" t="s">
        <v>20257</v>
      </c>
      <c r="AJ145" s="117">
        <v>146.0</v>
      </c>
    </row>
    <row r="146">
      <c r="A146" s="50" t="s">
        <v>20252</v>
      </c>
      <c r="B146" s="50" t="s">
        <v>6876</v>
      </c>
      <c r="C146" s="50" t="s">
        <v>6877</v>
      </c>
      <c r="D146" s="50" t="s">
        <v>11623</v>
      </c>
      <c r="E146" s="144">
        <v>43795.0</v>
      </c>
      <c r="F146" s="50" t="s">
        <v>20258</v>
      </c>
      <c r="G146" s="50">
        <v>59.0</v>
      </c>
      <c r="H146" s="50">
        <v>1.0</v>
      </c>
      <c r="I146" s="50">
        <v>11.0</v>
      </c>
      <c r="J146" s="116"/>
      <c r="K146" s="116"/>
      <c r="L146" s="50" t="s">
        <v>1438</v>
      </c>
      <c r="M146" s="50" t="s">
        <v>1438</v>
      </c>
      <c r="N146" s="122">
        <v>43467.0</v>
      </c>
      <c r="O146" s="50">
        <v>1.0</v>
      </c>
      <c r="P146" s="50">
        <v>1.0</v>
      </c>
      <c r="Q146" s="116"/>
      <c r="R146" s="50" t="s">
        <v>20261</v>
      </c>
      <c r="S146" s="116"/>
      <c r="T146" s="144">
        <v>43769.0</v>
      </c>
      <c r="U146" s="50">
        <v>24.31</v>
      </c>
      <c r="V146" s="50">
        <v>24.45</v>
      </c>
      <c r="W146" s="116"/>
      <c r="X146" s="116"/>
      <c r="Y146" s="144">
        <v>43769.0</v>
      </c>
      <c r="Z146" s="50">
        <v>37.2</v>
      </c>
      <c r="AA146" s="50">
        <v>37.93</v>
      </c>
      <c r="AB146" s="116"/>
      <c r="AC146" s="116"/>
      <c r="AD146" s="116"/>
      <c r="AE146" s="50">
        <v>1.0</v>
      </c>
      <c r="AF146" s="50" t="s">
        <v>18902</v>
      </c>
      <c r="AG146" s="117">
        <v>5590.0</v>
      </c>
      <c r="AH146" s="50" t="s">
        <v>20265</v>
      </c>
      <c r="AI146" s="50" t="s">
        <v>20266</v>
      </c>
      <c r="AJ146" s="117">
        <v>147.0</v>
      </c>
    </row>
    <row r="147">
      <c r="A147" s="50" t="s">
        <v>20268</v>
      </c>
      <c r="B147" s="50" t="s">
        <v>6876</v>
      </c>
      <c r="C147" s="50" t="s">
        <v>6877</v>
      </c>
      <c r="D147" s="50" t="s">
        <v>11623</v>
      </c>
      <c r="E147" s="144">
        <v>43795.0</v>
      </c>
      <c r="F147" s="50" t="s">
        <v>20270</v>
      </c>
      <c r="G147" s="50">
        <v>59.0</v>
      </c>
      <c r="H147" s="50">
        <v>1.0</v>
      </c>
      <c r="I147" s="50">
        <v>99.0</v>
      </c>
      <c r="J147" s="116"/>
      <c r="K147" s="116"/>
      <c r="L147" s="50" t="s">
        <v>1441</v>
      </c>
      <c r="M147" s="50" t="s">
        <v>1441</v>
      </c>
      <c r="N147" s="122">
        <v>43467.0</v>
      </c>
      <c r="O147" s="50">
        <v>1.0</v>
      </c>
      <c r="P147" s="50">
        <v>1.0</v>
      </c>
      <c r="Q147" s="116"/>
      <c r="R147" s="50" t="s">
        <v>20261</v>
      </c>
      <c r="S147" s="116"/>
      <c r="T147" s="144">
        <v>43769.0</v>
      </c>
      <c r="U147" s="50">
        <v>9999.0</v>
      </c>
      <c r="V147" s="50">
        <v>9999.0</v>
      </c>
      <c r="W147" s="116"/>
      <c r="X147" s="116"/>
      <c r="Y147" s="144">
        <v>43769.0</v>
      </c>
      <c r="Z147" s="50">
        <v>9999.0</v>
      </c>
      <c r="AA147" s="50">
        <v>9999.0</v>
      </c>
      <c r="AB147" s="116"/>
      <c r="AC147" s="116"/>
      <c r="AD147" s="116"/>
      <c r="AE147" s="50">
        <v>1.0</v>
      </c>
      <c r="AF147" s="50" t="s">
        <v>18902</v>
      </c>
      <c r="AG147" s="117">
        <v>5591.0</v>
      </c>
      <c r="AH147" s="50" t="s">
        <v>20273</v>
      </c>
      <c r="AI147" s="50" t="s">
        <v>20274</v>
      </c>
      <c r="AJ147" s="117">
        <v>148.0</v>
      </c>
    </row>
    <row r="148">
      <c r="A148" s="50" t="s">
        <v>20270</v>
      </c>
      <c r="B148" s="50" t="s">
        <v>6876</v>
      </c>
      <c r="C148" s="50" t="s">
        <v>6877</v>
      </c>
      <c r="D148" s="50" t="s">
        <v>11623</v>
      </c>
      <c r="E148" s="144">
        <v>43795.0</v>
      </c>
      <c r="F148" s="50" t="s">
        <v>20277</v>
      </c>
      <c r="G148" s="50">
        <v>57.0</v>
      </c>
      <c r="H148" s="50">
        <v>1.0</v>
      </c>
      <c r="I148" s="50">
        <v>12.0</v>
      </c>
      <c r="J148" s="116"/>
      <c r="K148" s="116"/>
      <c r="L148" s="50" t="s">
        <v>1446</v>
      </c>
      <c r="M148" s="50" t="s">
        <v>1446</v>
      </c>
      <c r="N148" s="122">
        <v>43467.0</v>
      </c>
      <c r="O148" s="50">
        <v>1.0</v>
      </c>
      <c r="P148" s="50">
        <v>1.0</v>
      </c>
      <c r="Q148" s="116"/>
      <c r="R148" s="50" t="s">
        <v>20261</v>
      </c>
      <c r="S148" s="116"/>
      <c r="T148" s="144">
        <v>43769.0</v>
      </c>
      <c r="U148" s="50">
        <v>22.39</v>
      </c>
      <c r="V148" s="50">
        <v>23.0</v>
      </c>
      <c r="W148" s="116"/>
      <c r="X148" s="116"/>
      <c r="Y148" s="144">
        <v>43769.0</v>
      </c>
      <c r="Z148" s="50">
        <v>34.58</v>
      </c>
      <c r="AA148" s="50">
        <v>34.63</v>
      </c>
      <c r="AB148" s="116"/>
      <c r="AC148" s="116"/>
      <c r="AD148" s="116"/>
      <c r="AE148" s="50">
        <v>1.0</v>
      </c>
      <c r="AF148" s="50" t="s">
        <v>18902</v>
      </c>
      <c r="AG148" s="117">
        <v>5592.0</v>
      </c>
      <c r="AH148" s="50" t="s">
        <v>20285</v>
      </c>
      <c r="AI148" s="50" t="s">
        <v>20286</v>
      </c>
      <c r="AJ148" s="117">
        <v>149.0</v>
      </c>
    </row>
    <row r="149">
      <c r="A149" s="50" t="s">
        <v>20277</v>
      </c>
      <c r="B149" s="50" t="s">
        <v>6876</v>
      </c>
      <c r="C149" s="50" t="s">
        <v>6877</v>
      </c>
      <c r="D149" s="50" t="s">
        <v>11623</v>
      </c>
      <c r="E149" s="144">
        <v>43795.0</v>
      </c>
      <c r="F149" s="50" t="s">
        <v>20289</v>
      </c>
      <c r="G149" s="50">
        <v>57.0</v>
      </c>
      <c r="H149" s="50">
        <v>1.0</v>
      </c>
      <c r="I149" s="50">
        <v>12.0</v>
      </c>
      <c r="J149" s="116"/>
      <c r="K149" s="116"/>
      <c r="L149" s="50" t="s">
        <v>1447</v>
      </c>
      <c r="M149" s="50" t="s">
        <v>1447</v>
      </c>
      <c r="N149" s="122">
        <v>43467.0</v>
      </c>
      <c r="O149" s="50">
        <v>1.0</v>
      </c>
      <c r="P149" s="50">
        <v>1.0</v>
      </c>
      <c r="Q149" s="116"/>
      <c r="R149" s="50" t="s">
        <v>20261</v>
      </c>
      <c r="S149" s="116"/>
      <c r="T149" s="144">
        <v>43769.0</v>
      </c>
      <c r="U149" s="50">
        <v>23.61</v>
      </c>
      <c r="V149" s="50">
        <v>23.4</v>
      </c>
      <c r="W149" s="116"/>
      <c r="X149" s="116"/>
      <c r="Y149" s="144">
        <v>43769.0</v>
      </c>
      <c r="Z149" s="50">
        <v>34.32</v>
      </c>
      <c r="AA149" s="50">
        <v>34.81</v>
      </c>
      <c r="AB149" s="116"/>
      <c r="AC149" s="116"/>
      <c r="AD149" s="116"/>
      <c r="AE149" s="50">
        <v>1.0</v>
      </c>
      <c r="AF149" s="50" t="s">
        <v>18902</v>
      </c>
      <c r="AG149" s="117">
        <v>5593.0</v>
      </c>
      <c r="AH149" s="50" t="s">
        <v>20294</v>
      </c>
      <c r="AI149" s="50" t="s">
        <v>20295</v>
      </c>
      <c r="AJ149" s="117">
        <v>150.0</v>
      </c>
    </row>
    <row r="150">
      <c r="A150" s="50" t="s">
        <v>20289</v>
      </c>
      <c r="B150" s="50" t="s">
        <v>6876</v>
      </c>
      <c r="C150" s="50" t="s">
        <v>6877</v>
      </c>
      <c r="D150" s="50" t="s">
        <v>11623</v>
      </c>
      <c r="E150" s="144">
        <v>43795.0</v>
      </c>
      <c r="F150" s="50" t="s">
        <v>20298</v>
      </c>
      <c r="G150" s="50">
        <v>57.0</v>
      </c>
      <c r="H150" s="50">
        <v>1.0</v>
      </c>
      <c r="I150" s="50">
        <v>99.0</v>
      </c>
      <c r="J150" s="116"/>
      <c r="K150" s="116"/>
      <c r="L150" s="50" t="s">
        <v>1450</v>
      </c>
      <c r="M150" s="50" t="s">
        <v>1450</v>
      </c>
      <c r="N150" s="122">
        <v>43467.0</v>
      </c>
      <c r="O150" s="50">
        <v>1.0</v>
      </c>
      <c r="P150" s="50">
        <v>1.0</v>
      </c>
      <c r="Q150" s="116"/>
      <c r="R150" s="50" t="s">
        <v>20261</v>
      </c>
      <c r="S150" s="116"/>
      <c r="T150" s="144">
        <v>43769.0</v>
      </c>
      <c r="U150" s="50">
        <v>9999.0</v>
      </c>
      <c r="V150" s="50">
        <v>9999.0</v>
      </c>
      <c r="W150" s="116"/>
      <c r="X150" s="116"/>
      <c r="Y150" s="144">
        <v>43769.0</v>
      </c>
      <c r="Z150" s="50">
        <v>9999.0</v>
      </c>
      <c r="AA150" s="50">
        <v>9999.0</v>
      </c>
      <c r="AB150" s="116"/>
      <c r="AC150" s="116"/>
      <c r="AD150" s="50" t="s">
        <v>20305</v>
      </c>
      <c r="AE150" s="50">
        <v>1.0</v>
      </c>
      <c r="AF150" s="50" t="s">
        <v>18902</v>
      </c>
      <c r="AG150" s="117">
        <v>5594.0</v>
      </c>
      <c r="AH150" s="50" t="s">
        <v>20307</v>
      </c>
      <c r="AI150" s="50" t="s">
        <v>20308</v>
      </c>
      <c r="AJ150" s="117">
        <v>151.0</v>
      </c>
    </row>
    <row r="151">
      <c r="A151" s="50" t="s">
        <v>20298</v>
      </c>
      <c r="B151" s="50" t="s">
        <v>6876</v>
      </c>
      <c r="C151" s="50" t="s">
        <v>6877</v>
      </c>
      <c r="D151" s="50" t="s">
        <v>11623</v>
      </c>
      <c r="E151" s="144">
        <v>43795.0</v>
      </c>
      <c r="F151" s="50" t="s">
        <v>20309</v>
      </c>
      <c r="G151" s="50">
        <v>55.0</v>
      </c>
      <c r="H151" s="50">
        <v>1.0</v>
      </c>
      <c r="I151" s="50">
        <v>12.0</v>
      </c>
      <c r="J151" s="116"/>
      <c r="K151" s="116"/>
      <c r="L151" s="50" t="s">
        <v>1451</v>
      </c>
      <c r="M151" s="50" t="s">
        <v>1451</v>
      </c>
      <c r="N151" s="122">
        <v>43467.0</v>
      </c>
      <c r="O151" s="50">
        <v>1.0</v>
      </c>
      <c r="P151" s="50">
        <v>1.0</v>
      </c>
      <c r="Q151" s="116"/>
      <c r="R151" s="50" t="s">
        <v>20261</v>
      </c>
      <c r="S151" s="116"/>
      <c r="T151" s="144">
        <v>43769.0</v>
      </c>
      <c r="U151" s="50">
        <v>22.96</v>
      </c>
      <c r="V151" s="50">
        <v>23.3</v>
      </c>
      <c r="W151" s="116"/>
      <c r="X151" s="116"/>
      <c r="Y151" s="144">
        <v>43769.0</v>
      </c>
      <c r="Z151" s="50">
        <v>32.6</v>
      </c>
      <c r="AA151" s="50">
        <v>32.81</v>
      </c>
      <c r="AB151" s="116"/>
      <c r="AC151" s="116"/>
      <c r="AD151" s="116"/>
      <c r="AE151" s="50">
        <v>1.0</v>
      </c>
      <c r="AF151" s="50" t="s">
        <v>18902</v>
      </c>
      <c r="AG151" s="117">
        <v>5595.0</v>
      </c>
      <c r="AH151" s="50" t="s">
        <v>20313</v>
      </c>
      <c r="AI151" s="50" t="s">
        <v>20314</v>
      </c>
      <c r="AJ151" s="117">
        <v>152.0</v>
      </c>
    </row>
    <row r="152">
      <c r="A152" s="50" t="s">
        <v>20309</v>
      </c>
      <c r="B152" s="50" t="s">
        <v>6876</v>
      </c>
      <c r="C152" s="50" t="s">
        <v>6877</v>
      </c>
      <c r="D152" s="50" t="s">
        <v>11623</v>
      </c>
      <c r="E152" s="144">
        <v>43795.0</v>
      </c>
      <c r="F152" s="50" t="s">
        <v>20316</v>
      </c>
      <c r="G152" s="50">
        <v>55.0</v>
      </c>
      <c r="H152" s="50">
        <v>1.0</v>
      </c>
      <c r="I152" s="50">
        <v>12.0</v>
      </c>
      <c r="J152" s="116"/>
      <c r="K152" s="116"/>
      <c r="L152" s="50" t="s">
        <v>1453</v>
      </c>
      <c r="M152" s="50" t="s">
        <v>1453</v>
      </c>
      <c r="N152" s="122">
        <v>43467.0</v>
      </c>
      <c r="O152" s="50">
        <v>1.0</v>
      </c>
      <c r="P152" s="50">
        <v>1.0</v>
      </c>
      <c r="Q152" s="116"/>
      <c r="R152" s="50" t="s">
        <v>20261</v>
      </c>
      <c r="S152" s="116"/>
      <c r="T152" s="144">
        <v>43769.0</v>
      </c>
      <c r="U152" s="50">
        <v>22.79</v>
      </c>
      <c r="V152" s="50">
        <v>22.59</v>
      </c>
      <c r="W152" s="116"/>
      <c r="X152" s="116"/>
      <c r="Y152" s="144">
        <v>43769.0</v>
      </c>
      <c r="Z152" s="50">
        <v>32.88</v>
      </c>
      <c r="AA152" s="50">
        <v>32.99</v>
      </c>
      <c r="AB152" s="116"/>
      <c r="AC152" s="116"/>
      <c r="AD152" s="116"/>
      <c r="AE152" s="50">
        <v>1.0</v>
      </c>
      <c r="AF152" s="50" t="s">
        <v>18902</v>
      </c>
      <c r="AG152" s="117">
        <v>5596.0</v>
      </c>
      <c r="AH152" s="50" t="s">
        <v>20322</v>
      </c>
      <c r="AI152" s="50" t="s">
        <v>20323</v>
      </c>
      <c r="AJ152" s="117">
        <v>153.0</v>
      </c>
    </row>
    <row r="153">
      <c r="A153" s="50" t="s">
        <v>20316</v>
      </c>
      <c r="B153" s="50" t="s">
        <v>6876</v>
      </c>
      <c r="C153" s="50" t="s">
        <v>6877</v>
      </c>
      <c r="D153" s="50" t="s">
        <v>11623</v>
      </c>
      <c r="E153" s="144">
        <v>43795.0</v>
      </c>
      <c r="F153" s="50" t="s">
        <v>20325</v>
      </c>
      <c r="G153" s="50">
        <v>55.0</v>
      </c>
      <c r="H153" s="50">
        <v>1.0</v>
      </c>
      <c r="I153" s="50">
        <v>99.0</v>
      </c>
      <c r="J153" s="116"/>
      <c r="K153" s="116"/>
      <c r="L153" s="50" t="s">
        <v>1456</v>
      </c>
      <c r="M153" s="50" t="s">
        <v>1456</v>
      </c>
      <c r="N153" s="122">
        <v>43467.0</v>
      </c>
      <c r="O153" s="50">
        <v>1.0</v>
      </c>
      <c r="P153" s="50">
        <v>1.0</v>
      </c>
      <c r="Q153" s="116"/>
      <c r="R153" s="50" t="s">
        <v>20261</v>
      </c>
      <c r="S153" s="116"/>
      <c r="T153" s="144">
        <v>43769.0</v>
      </c>
      <c r="U153" s="50">
        <v>9999.0</v>
      </c>
      <c r="V153" s="50">
        <v>9999.0</v>
      </c>
      <c r="W153" s="116"/>
      <c r="X153" s="116"/>
      <c r="Y153" s="144">
        <v>43769.0</v>
      </c>
      <c r="Z153" s="50">
        <v>9999.0</v>
      </c>
      <c r="AA153" s="50">
        <v>9999.0</v>
      </c>
      <c r="AB153" s="116"/>
      <c r="AC153" s="116"/>
      <c r="AD153" s="116"/>
      <c r="AE153" s="50">
        <v>1.0</v>
      </c>
      <c r="AF153" s="50" t="s">
        <v>18902</v>
      </c>
      <c r="AG153" s="117">
        <v>5597.0</v>
      </c>
      <c r="AH153" s="50" t="s">
        <v>20326</v>
      </c>
      <c r="AI153" s="50" t="s">
        <v>20327</v>
      </c>
      <c r="AJ153" s="117">
        <v>154.0</v>
      </c>
    </row>
    <row r="154">
      <c r="A154" s="50" t="s">
        <v>20329</v>
      </c>
      <c r="B154" s="50" t="s">
        <v>6876</v>
      </c>
      <c r="C154" s="50" t="s">
        <v>6877</v>
      </c>
      <c r="D154" s="50" t="s">
        <v>11623</v>
      </c>
      <c r="E154" s="144">
        <v>43795.0</v>
      </c>
      <c r="F154" s="50" t="s">
        <v>20331</v>
      </c>
      <c r="G154" s="50">
        <v>58.0</v>
      </c>
      <c r="H154" s="50">
        <v>1.0</v>
      </c>
      <c r="I154" s="50">
        <v>14.0</v>
      </c>
      <c r="J154" s="50">
        <v>141.0</v>
      </c>
      <c r="K154" s="116"/>
      <c r="L154" s="50" t="s">
        <v>223</v>
      </c>
      <c r="M154" s="50" t="s">
        <v>223</v>
      </c>
      <c r="N154" s="122">
        <v>43467.0</v>
      </c>
      <c r="O154" s="50">
        <v>1.0</v>
      </c>
      <c r="P154" s="50">
        <v>1.0</v>
      </c>
      <c r="Q154" s="116"/>
      <c r="R154" s="50" t="s">
        <v>20261</v>
      </c>
      <c r="S154" s="116"/>
      <c r="T154" s="144">
        <v>43769.0</v>
      </c>
      <c r="U154" s="50">
        <v>35.58</v>
      </c>
      <c r="V154" s="50">
        <v>9999.0</v>
      </c>
      <c r="W154" s="116"/>
      <c r="X154" s="116"/>
      <c r="Y154" s="144">
        <v>43769.0</v>
      </c>
      <c r="Z154" s="50">
        <v>37.26</v>
      </c>
      <c r="AA154" s="50">
        <v>35.96</v>
      </c>
      <c r="AB154" s="116"/>
      <c r="AC154" s="116"/>
      <c r="AD154" s="116"/>
      <c r="AE154" s="50">
        <v>1.0</v>
      </c>
      <c r="AF154" s="50" t="s">
        <v>18902</v>
      </c>
      <c r="AG154" s="117">
        <v>5598.0</v>
      </c>
      <c r="AH154" s="50" t="s">
        <v>20336</v>
      </c>
      <c r="AI154" s="50" t="s">
        <v>20337</v>
      </c>
      <c r="AJ154" s="117">
        <v>155.0</v>
      </c>
    </row>
    <row r="155">
      <c r="A155" s="50" t="s">
        <v>20331</v>
      </c>
      <c r="B155" s="50" t="s">
        <v>6876</v>
      </c>
      <c r="C155" s="50" t="s">
        <v>6877</v>
      </c>
      <c r="D155" s="50" t="s">
        <v>11623</v>
      </c>
      <c r="E155" s="144">
        <v>43795.0</v>
      </c>
      <c r="F155" s="50" t="s">
        <v>20341</v>
      </c>
      <c r="G155" s="50">
        <v>58.0</v>
      </c>
      <c r="H155" s="50">
        <v>1.0</v>
      </c>
      <c r="I155" s="50">
        <v>14.0</v>
      </c>
      <c r="J155" s="50">
        <v>143.0</v>
      </c>
      <c r="K155" s="116"/>
      <c r="L155" s="50" t="s">
        <v>227</v>
      </c>
      <c r="M155" s="50" t="s">
        <v>227</v>
      </c>
      <c r="N155" s="122">
        <v>43467.0</v>
      </c>
      <c r="O155" s="50">
        <v>1.0</v>
      </c>
      <c r="P155" s="50">
        <v>1.0</v>
      </c>
      <c r="Q155" s="116"/>
      <c r="R155" s="50" t="s">
        <v>20261</v>
      </c>
      <c r="S155" s="116"/>
      <c r="T155" s="144">
        <v>43769.0</v>
      </c>
      <c r="U155" s="50">
        <v>36.97</v>
      </c>
      <c r="V155" s="50">
        <v>35.9</v>
      </c>
      <c r="W155" s="116"/>
      <c r="X155" s="116"/>
      <c r="Y155" s="144">
        <v>43769.0</v>
      </c>
      <c r="Z155" s="50">
        <v>37.7</v>
      </c>
      <c r="AA155" s="50">
        <v>35.96</v>
      </c>
      <c r="AB155" s="116"/>
      <c r="AC155" s="116"/>
      <c r="AD155" s="116"/>
      <c r="AE155" s="50">
        <v>1.0</v>
      </c>
      <c r="AF155" s="50" t="s">
        <v>18902</v>
      </c>
      <c r="AG155" s="117">
        <v>5599.0</v>
      </c>
      <c r="AH155" s="50" t="s">
        <v>20343</v>
      </c>
      <c r="AI155" s="50" t="s">
        <v>20344</v>
      </c>
      <c r="AJ155" s="117">
        <v>156.0</v>
      </c>
    </row>
    <row r="156">
      <c r="A156" s="50" t="s">
        <v>20341</v>
      </c>
      <c r="B156" s="50" t="s">
        <v>6876</v>
      </c>
      <c r="C156" s="50" t="s">
        <v>6877</v>
      </c>
      <c r="D156" s="50" t="s">
        <v>11623</v>
      </c>
      <c r="E156" s="144">
        <v>43795.0</v>
      </c>
      <c r="F156" s="50" t="s">
        <v>20347</v>
      </c>
      <c r="G156" s="50">
        <v>58.0</v>
      </c>
      <c r="H156" s="50">
        <v>1.0</v>
      </c>
      <c r="I156" s="50">
        <v>14.0</v>
      </c>
      <c r="J156" s="50">
        <v>144.0</v>
      </c>
      <c r="K156" s="116"/>
      <c r="L156" s="50" t="s">
        <v>229</v>
      </c>
      <c r="M156" s="50" t="s">
        <v>229</v>
      </c>
      <c r="N156" s="122">
        <v>43467.0</v>
      </c>
      <c r="O156" s="50">
        <v>1.0</v>
      </c>
      <c r="P156" s="50">
        <v>1.0</v>
      </c>
      <c r="Q156" s="116"/>
      <c r="R156" s="50" t="s">
        <v>20261</v>
      </c>
      <c r="S156" s="116"/>
      <c r="T156" s="144">
        <v>43769.0</v>
      </c>
      <c r="U156" s="50">
        <v>35.7</v>
      </c>
      <c r="V156" s="50">
        <v>35.79</v>
      </c>
      <c r="W156" s="116"/>
      <c r="X156" s="116"/>
      <c r="Y156" s="144">
        <v>43769.0</v>
      </c>
      <c r="Z156" s="50">
        <v>35.33</v>
      </c>
      <c r="AA156" s="50">
        <v>35.97</v>
      </c>
      <c r="AB156" s="116"/>
      <c r="AC156" s="116"/>
      <c r="AD156" s="116"/>
      <c r="AE156" s="50">
        <v>1.0</v>
      </c>
      <c r="AF156" s="50" t="s">
        <v>18902</v>
      </c>
      <c r="AG156" s="117">
        <v>5600.0</v>
      </c>
      <c r="AH156" s="50" t="s">
        <v>20353</v>
      </c>
      <c r="AI156" s="50" t="s">
        <v>20354</v>
      </c>
      <c r="AJ156" s="117">
        <v>157.0</v>
      </c>
    </row>
    <row r="157">
      <c r="A157" s="50" t="s">
        <v>20347</v>
      </c>
      <c r="B157" s="50" t="s">
        <v>6876</v>
      </c>
      <c r="C157" s="50" t="s">
        <v>6877</v>
      </c>
      <c r="D157" s="50" t="s">
        <v>11623</v>
      </c>
      <c r="E157" s="144">
        <v>43795.0</v>
      </c>
      <c r="F157" s="50" t="s">
        <v>20358</v>
      </c>
      <c r="G157" s="50">
        <v>58.0</v>
      </c>
      <c r="H157" s="50">
        <v>1.0</v>
      </c>
      <c r="I157" s="50">
        <v>14.0</v>
      </c>
      <c r="J157" s="50">
        <v>142.0</v>
      </c>
      <c r="K157" s="116"/>
      <c r="L157" s="50" t="s">
        <v>225</v>
      </c>
      <c r="M157" s="50" t="s">
        <v>225</v>
      </c>
      <c r="N157" s="122">
        <v>43467.0</v>
      </c>
      <c r="O157" s="50">
        <v>1.0</v>
      </c>
      <c r="P157" s="50">
        <v>1.0</v>
      </c>
      <c r="Q157" s="116"/>
      <c r="R157" s="50" t="s">
        <v>20261</v>
      </c>
      <c r="S157" s="116"/>
      <c r="T157" s="144">
        <v>43769.0</v>
      </c>
      <c r="U157" s="50">
        <v>9999.0</v>
      </c>
      <c r="V157" s="50">
        <v>9999.0</v>
      </c>
      <c r="W157" s="116"/>
      <c r="X157" s="116"/>
      <c r="Y157" s="144">
        <v>43769.0</v>
      </c>
      <c r="Z157" s="50">
        <v>35.73</v>
      </c>
      <c r="AA157" s="50">
        <v>35.73</v>
      </c>
      <c r="AB157" s="116"/>
      <c r="AC157" s="116"/>
      <c r="AD157" s="116"/>
      <c r="AE157" s="50">
        <v>1.0</v>
      </c>
      <c r="AF157" s="50" t="s">
        <v>18902</v>
      </c>
      <c r="AG157" s="117">
        <v>5601.0</v>
      </c>
      <c r="AH157" s="50" t="s">
        <v>20360</v>
      </c>
      <c r="AI157" s="50" t="s">
        <v>20361</v>
      </c>
      <c r="AJ157" s="117">
        <v>158.0</v>
      </c>
    </row>
    <row r="158">
      <c r="A158" s="50" t="s">
        <v>20358</v>
      </c>
      <c r="B158" s="50" t="s">
        <v>6876</v>
      </c>
      <c r="C158" s="50" t="s">
        <v>6877</v>
      </c>
      <c r="D158" s="50" t="s">
        <v>11623</v>
      </c>
      <c r="E158" s="144">
        <v>43795.0</v>
      </c>
      <c r="F158" s="50" t="s">
        <v>20364</v>
      </c>
      <c r="G158" s="50">
        <v>58.0</v>
      </c>
      <c r="H158" s="50">
        <v>1.0</v>
      </c>
      <c r="I158" s="50">
        <v>14.0</v>
      </c>
      <c r="J158" s="50">
        <v>145.0</v>
      </c>
      <c r="K158" s="116"/>
      <c r="L158" s="50" t="s">
        <v>231</v>
      </c>
      <c r="M158" s="50" t="s">
        <v>231</v>
      </c>
      <c r="N158" s="122">
        <v>43467.0</v>
      </c>
      <c r="O158" s="50">
        <v>1.0</v>
      </c>
      <c r="P158" s="50">
        <v>1.0</v>
      </c>
      <c r="Q158" s="116"/>
      <c r="R158" s="50" t="s">
        <v>20261</v>
      </c>
      <c r="S158" s="116"/>
      <c r="T158" s="144">
        <v>43769.0</v>
      </c>
      <c r="U158" s="50">
        <v>35.78</v>
      </c>
      <c r="V158" s="50">
        <v>35.81</v>
      </c>
      <c r="W158" s="116"/>
      <c r="X158" s="116"/>
      <c r="Y158" s="144">
        <v>43769.0</v>
      </c>
      <c r="Z158" s="50">
        <v>36.29</v>
      </c>
      <c r="AA158" s="50">
        <v>36.24</v>
      </c>
      <c r="AB158" s="116"/>
      <c r="AC158" s="116"/>
      <c r="AD158" s="116"/>
      <c r="AE158" s="50">
        <v>1.0</v>
      </c>
      <c r="AF158" s="50" t="s">
        <v>18902</v>
      </c>
      <c r="AG158" s="117">
        <v>5602.0</v>
      </c>
      <c r="AH158" s="50" t="s">
        <v>20370</v>
      </c>
      <c r="AI158" s="50" t="s">
        <v>20371</v>
      </c>
      <c r="AJ158" s="117">
        <v>159.0</v>
      </c>
    </row>
    <row r="159">
      <c r="A159" s="50" t="s">
        <v>20364</v>
      </c>
      <c r="B159" s="50" t="s">
        <v>6876</v>
      </c>
      <c r="C159" s="50" t="s">
        <v>6877</v>
      </c>
      <c r="D159" s="50" t="s">
        <v>11623</v>
      </c>
      <c r="E159" s="144">
        <v>43795.0</v>
      </c>
      <c r="F159" s="50" t="s">
        <v>20374</v>
      </c>
      <c r="G159" s="50">
        <v>58.0</v>
      </c>
      <c r="H159" s="50">
        <v>1.0</v>
      </c>
      <c r="I159" s="50">
        <v>99.0</v>
      </c>
      <c r="J159" s="116"/>
      <c r="K159" s="116"/>
      <c r="L159" s="50" t="s">
        <v>1462</v>
      </c>
      <c r="M159" s="50" t="s">
        <v>1462</v>
      </c>
      <c r="N159" s="122">
        <v>43467.0</v>
      </c>
      <c r="O159" s="50">
        <v>1.0</v>
      </c>
      <c r="P159" s="50">
        <v>1.0</v>
      </c>
      <c r="Q159" s="116"/>
      <c r="R159" s="50" t="s">
        <v>20261</v>
      </c>
      <c r="S159" s="116"/>
      <c r="T159" s="144">
        <v>43769.0</v>
      </c>
      <c r="U159" s="50">
        <v>9999.0</v>
      </c>
      <c r="V159" s="50">
        <v>9999.0</v>
      </c>
      <c r="W159" s="116"/>
      <c r="X159" s="116"/>
      <c r="Y159" s="144">
        <v>43769.0</v>
      </c>
      <c r="Z159" s="50">
        <v>9999.0</v>
      </c>
      <c r="AA159" s="50">
        <v>9999.0</v>
      </c>
      <c r="AB159" s="116"/>
      <c r="AC159" s="116"/>
      <c r="AD159" s="116"/>
      <c r="AE159" s="50">
        <v>1.0</v>
      </c>
      <c r="AF159" s="50" t="s">
        <v>18902</v>
      </c>
      <c r="AG159" s="117">
        <v>5603.0</v>
      </c>
      <c r="AH159" s="50" t="s">
        <v>20378</v>
      </c>
      <c r="AI159" s="50" t="s">
        <v>20379</v>
      </c>
      <c r="AJ159" s="117">
        <v>160.0</v>
      </c>
    </row>
    <row r="160">
      <c r="A160" s="50" t="s">
        <v>20380</v>
      </c>
      <c r="B160" s="50" t="s">
        <v>6876</v>
      </c>
      <c r="C160" s="50" t="s">
        <v>6877</v>
      </c>
      <c r="D160" s="50" t="s">
        <v>11623</v>
      </c>
      <c r="E160" s="144">
        <v>43801.0</v>
      </c>
      <c r="F160" s="50" t="s">
        <v>20382</v>
      </c>
      <c r="G160" s="50">
        <v>59.0</v>
      </c>
      <c r="H160" s="50">
        <v>1.0</v>
      </c>
      <c r="I160" s="50">
        <v>11.0</v>
      </c>
      <c r="J160" s="116"/>
      <c r="K160" s="116"/>
      <c r="L160" s="50" t="s">
        <v>1657</v>
      </c>
      <c r="M160" s="50" t="s">
        <v>1657</v>
      </c>
      <c r="N160" s="122">
        <v>43467.0</v>
      </c>
      <c r="O160" s="50">
        <v>1.0</v>
      </c>
      <c r="P160" s="50">
        <v>1.0</v>
      </c>
      <c r="Q160" s="116"/>
      <c r="R160" s="50" t="s">
        <v>20384</v>
      </c>
      <c r="S160" s="116"/>
      <c r="T160" s="144">
        <v>43795.0</v>
      </c>
      <c r="U160" s="50">
        <v>24.02</v>
      </c>
      <c r="V160" s="50">
        <v>25.63</v>
      </c>
      <c r="W160" s="116"/>
      <c r="X160" s="116"/>
      <c r="Y160" s="144">
        <v>43795.0</v>
      </c>
      <c r="Z160" s="50">
        <v>9999.0</v>
      </c>
      <c r="AA160" s="50">
        <v>9999.0</v>
      </c>
      <c r="AB160" s="116"/>
      <c r="AC160" s="116"/>
      <c r="AD160" s="116"/>
      <c r="AE160" s="50">
        <v>1.0</v>
      </c>
      <c r="AF160" s="50" t="s">
        <v>18902</v>
      </c>
      <c r="AG160" s="117">
        <v>5765.0</v>
      </c>
      <c r="AH160" s="50" t="s">
        <v>20392</v>
      </c>
      <c r="AI160" s="50" t="s">
        <v>20393</v>
      </c>
      <c r="AJ160" s="117">
        <v>161.0</v>
      </c>
    </row>
    <row r="161">
      <c r="A161" s="50" t="s">
        <v>20382</v>
      </c>
      <c r="B161" s="50" t="s">
        <v>6876</v>
      </c>
      <c r="C161" s="50" t="s">
        <v>6877</v>
      </c>
      <c r="D161" s="50" t="s">
        <v>11623</v>
      </c>
      <c r="E161" s="144">
        <v>43801.0</v>
      </c>
      <c r="F161" s="50" t="s">
        <v>20395</v>
      </c>
      <c r="G161" s="50">
        <v>59.0</v>
      </c>
      <c r="H161" s="50">
        <v>1.0</v>
      </c>
      <c r="I161" s="50">
        <v>99.0</v>
      </c>
      <c r="J161" s="116"/>
      <c r="K161" s="116"/>
      <c r="L161" s="50" t="s">
        <v>298</v>
      </c>
      <c r="M161" s="50" t="s">
        <v>298</v>
      </c>
      <c r="N161" s="122">
        <v>43467.0</v>
      </c>
      <c r="O161" s="50">
        <v>1.0</v>
      </c>
      <c r="P161" s="50">
        <v>1.0</v>
      </c>
      <c r="Q161" s="116"/>
      <c r="R161" s="50" t="s">
        <v>20384</v>
      </c>
      <c r="S161" s="116"/>
      <c r="T161" s="144">
        <v>43795.0</v>
      </c>
      <c r="U161" s="50">
        <v>9999.0</v>
      </c>
      <c r="V161" s="50">
        <v>9999.0</v>
      </c>
      <c r="W161" s="116"/>
      <c r="X161" s="116"/>
      <c r="Y161" s="144">
        <v>43795.0</v>
      </c>
      <c r="Z161" s="50">
        <v>9999.0</v>
      </c>
      <c r="AA161" s="50">
        <v>9999.0</v>
      </c>
      <c r="AB161" s="116"/>
      <c r="AC161" s="116"/>
      <c r="AD161" s="116"/>
      <c r="AE161" s="50">
        <v>1.0</v>
      </c>
      <c r="AF161" s="50" t="s">
        <v>18902</v>
      </c>
      <c r="AG161" s="117">
        <v>5766.0</v>
      </c>
      <c r="AH161" s="50" t="s">
        <v>20400</v>
      </c>
      <c r="AI161" s="50" t="s">
        <v>20401</v>
      </c>
      <c r="AJ161" s="117">
        <v>162.0</v>
      </c>
    </row>
    <row r="162">
      <c r="A162" s="50" t="s">
        <v>20395</v>
      </c>
      <c r="B162" s="50" t="s">
        <v>6876</v>
      </c>
      <c r="C162" s="50" t="s">
        <v>6877</v>
      </c>
      <c r="D162" s="50" t="s">
        <v>11623</v>
      </c>
      <c r="E162" s="144">
        <v>43801.0</v>
      </c>
      <c r="F162" s="50" t="s">
        <v>20402</v>
      </c>
      <c r="G162" s="50">
        <v>59.0</v>
      </c>
      <c r="H162" s="50">
        <v>1.0</v>
      </c>
      <c r="I162" s="50">
        <v>11.0</v>
      </c>
      <c r="J162" s="116"/>
      <c r="K162" s="116"/>
      <c r="L162" s="50" t="s">
        <v>1658</v>
      </c>
      <c r="M162" s="50" t="s">
        <v>1658</v>
      </c>
      <c r="N162" s="122">
        <v>43467.0</v>
      </c>
      <c r="O162" s="50">
        <v>1.0</v>
      </c>
      <c r="P162" s="50">
        <v>1.0</v>
      </c>
      <c r="Q162" s="116"/>
      <c r="R162" s="50" t="s">
        <v>20384</v>
      </c>
      <c r="S162" s="116"/>
      <c r="T162" s="144">
        <v>43795.0</v>
      </c>
      <c r="U162" s="50">
        <v>9999.0</v>
      </c>
      <c r="V162" s="50">
        <v>9999.0</v>
      </c>
      <c r="W162" s="116"/>
      <c r="X162" s="116"/>
      <c r="Y162" s="144">
        <v>43795.0</v>
      </c>
      <c r="Z162" s="50">
        <v>9999.0</v>
      </c>
      <c r="AA162" s="50">
        <v>9999.0</v>
      </c>
      <c r="AB162" s="116"/>
      <c r="AC162" s="116"/>
      <c r="AD162" s="116"/>
      <c r="AE162" s="50">
        <v>1.0</v>
      </c>
      <c r="AF162" s="50" t="s">
        <v>18902</v>
      </c>
      <c r="AG162" s="117">
        <v>5767.0</v>
      </c>
      <c r="AH162" s="50" t="s">
        <v>20409</v>
      </c>
      <c r="AI162" s="50" t="s">
        <v>20410</v>
      </c>
      <c r="AJ162" s="117">
        <v>163.0</v>
      </c>
    </row>
    <row r="163">
      <c r="A163" s="50" t="s">
        <v>20402</v>
      </c>
      <c r="B163" s="50" t="s">
        <v>6876</v>
      </c>
      <c r="C163" s="50" t="s">
        <v>6877</v>
      </c>
      <c r="D163" s="50" t="s">
        <v>11623</v>
      </c>
      <c r="E163" s="144">
        <v>43801.0</v>
      </c>
      <c r="F163" s="50" t="s">
        <v>20411</v>
      </c>
      <c r="G163" s="50">
        <v>59.0</v>
      </c>
      <c r="H163" s="50">
        <v>1.0</v>
      </c>
      <c r="I163" s="50">
        <v>99.0</v>
      </c>
      <c r="J163" s="116"/>
      <c r="K163" s="116"/>
      <c r="L163" s="50" t="s">
        <v>300</v>
      </c>
      <c r="M163" s="50" t="s">
        <v>300</v>
      </c>
      <c r="N163" s="122">
        <v>43467.0</v>
      </c>
      <c r="O163" s="50">
        <v>1.0</v>
      </c>
      <c r="P163" s="50">
        <v>1.0</v>
      </c>
      <c r="Q163" s="116"/>
      <c r="R163" s="50" t="s">
        <v>20384</v>
      </c>
      <c r="S163" s="116"/>
      <c r="T163" s="144">
        <v>43795.0</v>
      </c>
      <c r="U163" s="50">
        <v>9999.0</v>
      </c>
      <c r="V163" s="50">
        <v>9999.0</v>
      </c>
      <c r="W163" s="116"/>
      <c r="X163" s="116"/>
      <c r="Y163" s="144">
        <v>43795.0</v>
      </c>
      <c r="Z163" s="50">
        <v>9999.0</v>
      </c>
      <c r="AA163" s="50">
        <v>9999.0</v>
      </c>
      <c r="AB163" s="116"/>
      <c r="AC163" s="116"/>
      <c r="AD163" s="50" t="s">
        <v>19558</v>
      </c>
      <c r="AE163" s="50">
        <v>1.0</v>
      </c>
      <c r="AF163" s="50" t="s">
        <v>18902</v>
      </c>
      <c r="AG163" s="117">
        <v>5768.0</v>
      </c>
      <c r="AH163" s="50" t="s">
        <v>20415</v>
      </c>
      <c r="AI163" s="50" t="s">
        <v>20416</v>
      </c>
      <c r="AJ163" s="117">
        <v>164.0</v>
      </c>
    </row>
    <row r="164">
      <c r="A164" s="50" t="s">
        <v>20417</v>
      </c>
      <c r="B164" s="50" t="s">
        <v>6876</v>
      </c>
      <c r="C164" s="50" t="s">
        <v>6877</v>
      </c>
      <c r="D164" s="50" t="s">
        <v>11623</v>
      </c>
      <c r="E164" s="144">
        <v>43801.0</v>
      </c>
      <c r="F164" s="50" t="s">
        <v>20418</v>
      </c>
      <c r="G164" s="50">
        <v>59.0</v>
      </c>
      <c r="H164" s="50">
        <v>1.0</v>
      </c>
      <c r="I164" s="50">
        <v>11.0</v>
      </c>
      <c r="J164" s="116"/>
      <c r="K164" s="116"/>
      <c r="L164" s="50" t="s">
        <v>1659</v>
      </c>
      <c r="M164" s="50" t="s">
        <v>1659</v>
      </c>
      <c r="N164" s="122">
        <v>43467.0</v>
      </c>
      <c r="O164" s="50">
        <v>1.0</v>
      </c>
      <c r="P164" s="50">
        <v>1.0</v>
      </c>
      <c r="Q164" s="116"/>
      <c r="R164" s="50" t="s">
        <v>20384</v>
      </c>
      <c r="S164" s="116"/>
      <c r="T164" s="144">
        <v>43795.0</v>
      </c>
      <c r="U164" s="50">
        <v>9999.0</v>
      </c>
      <c r="V164" s="50">
        <v>9999.0</v>
      </c>
      <c r="W164" s="116"/>
      <c r="X164" s="116"/>
      <c r="Y164" s="144">
        <v>43795.0</v>
      </c>
      <c r="Z164" s="50">
        <v>9999.0</v>
      </c>
      <c r="AA164" s="50">
        <v>9999.0</v>
      </c>
      <c r="AB164" s="116"/>
      <c r="AC164" s="116"/>
      <c r="AD164" s="116"/>
      <c r="AE164" s="50">
        <v>1.0</v>
      </c>
      <c r="AF164" s="50" t="s">
        <v>18902</v>
      </c>
      <c r="AG164" s="117">
        <v>5769.0</v>
      </c>
      <c r="AH164" s="50" t="s">
        <v>20425</v>
      </c>
      <c r="AI164" s="50" t="s">
        <v>20426</v>
      </c>
      <c r="AJ164" s="117">
        <v>165.0</v>
      </c>
    </row>
    <row r="165">
      <c r="A165" s="50" t="s">
        <v>20418</v>
      </c>
      <c r="B165" s="50" t="s">
        <v>6876</v>
      </c>
      <c r="C165" s="50" t="s">
        <v>6877</v>
      </c>
      <c r="D165" s="50" t="s">
        <v>11623</v>
      </c>
      <c r="E165" s="144">
        <v>43801.0</v>
      </c>
      <c r="F165" s="50" t="s">
        <v>20429</v>
      </c>
      <c r="G165" s="50">
        <v>58.0</v>
      </c>
      <c r="H165" s="50">
        <v>1.0</v>
      </c>
      <c r="I165" s="50">
        <v>11.0</v>
      </c>
      <c r="J165" s="116"/>
      <c r="K165" s="116"/>
      <c r="L165" s="50" t="s">
        <v>1660</v>
      </c>
      <c r="M165" s="50" t="s">
        <v>1660</v>
      </c>
      <c r="N165" s="122">
        <v>43467.0</v>
      </c>
      <c r="O165" s="50">
        <v>1.0</v>
      </c>
      <c r="P165" s="50">
        <v>1.0</v>
      </c>
      <c r="Q165" s="116"/>
      <c r="R165" s="50" t="s">
        <v>20384</v>
      </c>
      <c r="S165" s="116"/>
      <c r="T165" s="144">
        <v>43795.0</v>
      </c>
      <c r="U165" s="50">
        <v>9999.0</v>
      </c>
      <c r="V165" s="50">
        <v>9999.0</v>
      </c>
      <c r="W165" s="116"/>
      <c r="X165" s="116"/>
      <c r="Y165" s="144">
        <v>43795.0</v>
      </c>
      <c r="Z165" s="50">
        <v>9999.0</v>
      </c>
      <c r="AA165" s="50">
        <v>9999.0</v>
      </c>
      <c r="AB165" s="116"/>
      <c r="AC165" s="116"/>
      <c r="AD165" s="116"/>
      <c r="AE165" s="50">
        <v>1.0</v>
      </c>
      <c r="AF165" s="50" t="s">
        <v>18902</v>
      </c>
      <c r="AG165" s="117">
        <v>5770.0</v>
      </c>
      <c r="AH165" s="50" t="s">
        <v>20432</v>
      </c>
      <c r="AI165" s="50" t="s">
        <v>20433</v>
      </c>
      <c r="AJ165" s="117">
        <v>166.0</v>
      </c>
    </row>
    <row r="166">
      <c r="A166" s="50" t="s">
        <v>20429</v>
      </c>
      <c r="B166" s="50" t="s">
        <v>6876</v>
      </c>
      <c r="C166" s="50" t="s">
        <v>6877</v>
      </c>
      <c r="D166" s="50" t="s">
        <v>11623</v>
      </c>
      <c r="E166" s="144">
        <v>43801.0</v>
      </c>
      <c r="F166" s="50" t="s">
        <v>20436</v>
      </c>
      <c r="G166" s="50">
        <v>66.0</v>
      </c>
      <c r="H166" s="50">
        <v>1.0</v>
      </c>
      <c r="I166" s="50">
        <v>12.0</v>
      </c>
      <c r="J166" s="116"/>
      <c r="K166" s="116"/>
      <c r="L166" s="50" t="s">
        <v>1654</v>
      </c>
      <c r="M166" s="50" t="s">
        <v>1654</v>
      </c>
      <c r="N166" s="122">
        <v>43467.0</v>
      </c>
      <c r="O166" s="50">
        <v>1.0</v>
      </c>
      <c r="P166" s="50">
        <v>1.0</v>
      </c>
      <c r="Q166" s="116"/>
      <c r="R166" s="50" t="s">
        <v>20384</v>
      </c>
      <c r="S166" s="116"/>
      <c r="T166" s="144">
        <v>43795.0</v>
      </c>
      <c r="U166" s="50">
        <v>9999.0</v>
      </c>
      <c r="V166" s="50">
        <v>9999.0</v>
      </c>
      <c r="W166" s="116"/>
      <c r="X166" s="116"/>
      <c r="Y166" s="144">
        <v>43795.0</v>
      </c>
      <c r="Z166" s="50">
        <v>9999.0</v>
      </c>
      <c r="AA166" s="50">
        <v>9999.0</v>
      </c>
      <c r="AB166" s="116"/>
      <c r="AC166" s="116"/>
      <c r="AD166" s="116"/>
      <c r="AE166" s="50">
        <v>1.0</v>
      </c>
      <c r="AF166" s="50" t="s">
        <v>18902</v>
      </c>
      <c r="AG166" s="117">
        <v>5771.0</v>
      </c>
      <c r="AH166" s="50" t="s">
        <v>20443</v>
      </c>
      <c r="AI166" s="50" t="s">
        <v>20444</v>
      </c>
      <c r="AJ166" s="117">
        <v>167.0</v>
      </c>
    </row>
    <row r="167">
      <c r="A167" s="50" t="s">
        <v>20436</v>
      </c>
      <c r="B167" s="50" t="s">
        <v>6876</v>
      </c>
      <c r="C167" s="50" t="s">
        <v>6877</v>
      </c>
      <c r="D167" s="50" t="s">
        <v>11623</v>
      </c>
      <c r="E167" s="144">
        <v>43801.0</v>
      </c>
      <c r="F167" s="50" t="s">
        <v>20446</v>
      </c>
      <c r="G167" s="50">
        <v>59.0</v>
      </c>
      <c r="H167" s="50">
        <v>1.0</v>
      </c>
      <c r="I167" s="50">
        <v>12.0</v>
      </c>
      <c r="J167" s="116"/>
      <c r="K167" s="116"/>
      <c r="L167" s="50" t="s">
        <v>1655</v>
      </c>
      <c r="M167" s="50" t="s">
        <v>1655</v>
      </c>
      <c r="N167" s="122">
        <v>43467.0</v>
      </c>
      <c r="O167" s="50">
        <v>1.0</v>
      </c>
      <c r="P167" s="50">
        <v>1.0</v>
      </c>
      <c r="Q167" s="116"/>
      <c r="R167" s="50" t="s">
        <v>20384</v>
      </c>
      <c r="S167" s="116"/>
      <c r="T167" s="144">
        <v>43795.0</v>
      </c>
      <c r="U167" s="50">
        <v>9999.0</v>
      </c>
      <c r="V167" s="50">
        <v>9999.0</v>
      </c>
      <c r="W167" s="116"/>
      <c r="X167" s="116"/>
      <c r="Y167" s="144">
        <v>43795.0</v>
      </c>
      <c r="Z167" s="50">
        <v>9999.0</v>
      </c>
      <c r="AA167" s="50">
        <v>9999.0</v>
      </c>
      <c r="AB167" s="116"/>
      <c r="AC167" s="116"/>
      <c r="AD167" s="116"/>
      <c r="AE167" s="50">
        <v>1.0</v>
      </c>
      <c r="AF167" s="50" t="s">
        <v>18902</v>
      </c>
      <c r="AG167" s="117">
        <v>5772.0</v>
      </c>
      <c r="AH167" s="50" t="s">
        <v>20451</v>
      </c>
      <c r="AI167" s="50" t="s">
        <v>20452</v>
      </c>
      <c r="AJ167" s="117">
        <v>168.0</v>
      </c>
    </row>
    <row r="168">
      <c r="A168" s="50" t="s">
        <v>20446</v>
      </c>
      <c r="B168" s="50" t="s">
        <v>6876</v>
      </c>
      <c r="C168" s="50" t="s">
        <v>6877</v>
      </c>
      <c r="D168" s="50" t="s">
        <v>11623</v>
      </c>
      <c r="E168" s="144">
        <v>43801.0</v>
      </c>
      <c r="F168" s="50" t="s">
        <v>20456</v>
      </c>
      <c r="G168" s="50">
        <v>59.0</v>
      </c>
      <c r="H168" s="50">
        <v>1.0</v>
      </c>
      <c r="I168" s="50">
        <v>99.0</v>
      </c>
      <c r="J168" s="116"/>
      <c r="K168" s="116"/>
      <c r="L168" s="50" t="s">
        <v>1656</v>
      </c>
      <c r="M168" s="50" t="s">
        <v>1656</v>
      </c>
      <c r="N168" s="122">
        <v>43467.0</v>
      </c>
      <c r="O168" s="50">
        <v>1.0</v>
      </c>
      <c r="P168" s="50">
        <v>1.0</v>
      </c>
      <c r="Q168" s="116"/>
      <c r="R168" s="50" t="s">
        <v>20384</v>
      </c>
      <c r="S168" s="116"/>
      <c r="T168" s="144">
        <v>43795.0</v>
      </c>
      <c r="U168" s="50">
        <v>9999.0</v>
      </c>
      <c r="V168" s="50">
        <v>9999.0</v>
      </c>
      <c r="W168" s="116"/>
      <c r="X168" s="116"/>
      <c r="Y168" s="144">
        <v>43795.0</v>
      </c>
      <c r="Z168" s="50">
        <v>9999.0</v>
      </c>
      <c r="AA168" s="50">
        <v>9999.0</v>
      </c>
      <c r="AB168" s="116"/>
      <c r="AC168" s="116"/>
      <c r="AD168" s="50" t="s">
        <v>19611</v>
      </c>
      <c r="AE168" s="50">
        <v>1.0</v>
      </c>
      <c r="AF168" s="50" t="s">
        <v>18902</v>
      </c>
      <c r="AG168" s="117">
        <v>5773.0</v>
      </c>
      <c r="AH168" s="50" t="s">
        <v>20463</v>
      </c>
      <c r="AI168" s="50" t="s">
        <v>20464</v>
      </c>
      <c r="AJ168" s="117">
        <v>169.0</v>
      </c>
    </row>
    <row r="169">
      <c r="A169" s="50" t="s">
        <v>20456</v>
      </c>
      <c r="B169" s="50" t="s">
        <v>6876</v>
      </c>
      <c r="C169" s="50" t="s">
        <v>6877</v>
      </c>
      <c r="D169" s="50" t="s">
        <v>11623</v>
      </c>
      <c r="E169" s="144">
        <v>43801.0</v>
      </c>
      <c r="F169" s="50" t="s">
        <v>20466</v>
      </c>
      <c r="G169" s="50">
        <v>59.0</v>
      </c>
      <c r="H169" s="50">
        <v>1.0</v>
      </c>
      <c r="I169" s="50">
        <v>98.0</v>
      </c>
      <c r="J169" s="116"/>
      <c r="K169" s="116"/>
      <c r="L169" s="50" t="s">
        <v>1663</v>
      </c>
      <c r="M169" s="50" t="s">
        <v>1663</v>
      </c>
      <c r="N169" s="122">
        <v>43467.0</v>
      </c>
      <c r="O169" s="50">
        <v>1.0</v>
      </c>
      <c r="P169" s="50">
        <v>1.0</v>
      </c>
      <c r="Q169" s="116"/>
      <c r="R169" s="50" t="s">
        <v>20384</v>
      </c>
      <c r="S169" s="116"/>
      <c r="T169" s="144">
        <v>43795.0</v>
      </c>
      <c r="U169" s="50">
        <v>9999.0</v>
      </c>
      <c r="V169" s="50">
        <v>9999.0</v>
      </c>
      <c r="W169" s="116"/>
      <c r="X169" s="116"/>
      <c r="Y169" s="144">
        <v>43795.0</v>
      </c>
      <c r="Z169" s="50">
        <v>9999.0</v>
      </c>
      <c r="AA169" s="50">
        <v>9999.0</v>
      </c>
      <c r="AB169" s="116"/>
      <c r="AC169" s="116"/>
      <c r="AD169" s="116"/>
      <c r="AE169" s="50">
        <v>1.0</v>
      </c>
      <c r="AF169" s="50" t="s">
        <v>18902</v>
      </c>
      <c r="AG169" s="117">
        <v>5774.0</v>
      </c>
      <c r="AH169" s="50" t="s">
        <v>20470</v>
      </c>
      <c r="AI169" s="50" t="s">
        <v>20471</v>
      </c>
      <c r="AJ169" s="117">
        <v>170.0</v>
      </c>
    </row>
    <row r="170">
      <c r="A170" s="50" t="s">
        <v>20466</v>
      </c>
      <c r="B170" s="50" t="s">
        <v>6876</v>
      </c>
      <c r="C170" s="50" t="s">
        <v>6877</v>
      </c>
      <c r="D170" s="50" t="s">
        <v>11623</v>
      </c>
      <c r="E170" s="144">
        <v>43801.0</v>
      </c>
      <c r="F170" s="50" t="s">
        <v>20473</v>
      </c>
      <c r="G170" s="50">
        <v>59.0</v>
      </c>
      <c r="H170" s="50">
        <v>1.0</v>
      </c>
      <c r="I170" s="50">
        <v>11.0</v>
      </c>
      <c r="J170" s="116"/>
      <c r="K170" s="116"/>
      <c r="L170" s="50" t="s">
        <v>1664</v>
      </c>
      <c r="M170" s="50" t="s">
        <v>1664</v>
      </c>
      <c r="N170" s="122">
        <v>43467.0</v>
      </c>
      <c r="O170" s="50">
        <v>1.0</v>
      </c>
      <c r="P170" s="50">
        <v>1.0</v>
      </c>
      <c r="Q170" s="116"/>
      <c r="R170" s="50" t="s">
        <v>20384</v>
      </c>
      <c r="S170" s="116"/>
      <c r="T170" s="144">
        <v>43795.0</v>
      </c>
      <c r="U170" s="50">
        <v>9999.0</v>
      </c>
      <c r="V170" s="50">
        <v>9999.0</v>
      </c>
      <c r="W170" s="116"/>
      <c r="X170" s="116"/>
      <c r="Y170" s="144">
        <v>43795.0</v>
      </c>
      <c r="Z170" s="50">
        <v>9999.0</v>
      </c>
      <c r="AA170" s="50">
        <v>9999.0</v>
      </c>
      <c r="AB170" s="116"/>
      <c r="AC170" s="116"/>
      <c r="AD170" s="116"/>
      <c r="AE170" s="50">
        <v>1.0</v>
      </c>
      <c r="AF170" s="50" t="s">
        <v>18902</v>
      </c>
      <c r="AG170" s="117">
        <v>5775.0</v>
      </c>
      <c r="AH170" s="50" t="s">
        <v>20477</v>
      </c>
      <c r="AI170" s="50" t="s">
        <v>20478</v>
      </c>
      <c r="AJ170" s="117">
        <v>171.0</v>
      </c>
    </row>
    <row r="171">
      <c r="A171" s="50" t="s">
        <v>20473</v>
      </c>
      <c r="B171" s="50" t="s">
        <v>6876</v>
      </c>
      <c r="C171" s="50" t="s">
        <v>6877</v>
      </c>
      <c r="D171" s="50" t="s">
        <v>11623</v>
      </c>
      <c r="E171" s="144">
        <v>43801.0</v>
      </c>
      <c r="F171" s="50" t="s">
        <v>20481</v>
      </c>
      <c r="G171" s="50">
        <v>59.0</v>
      </c>
      <c r="H171" s="50">
        <v>1.0</v>
      </c>
      <c r="I171" s="50">
        <v>11.0</v>
      </c>
      <c r="J171" s="116"/>
      <c r="K171" s="116"/>
      <c r="L171" s="50" t="s">
        <v>1665</v>
      </c>
      <c r="M171" s="50" t="s">
        <v>1665</v>
      </c>
      <c r="N171" s="122">
        <v>43467.0</v>
      </c>
      <c r="O171" s="50">
        <v>1.0</v>
      </c>
      <c r="P171" s="50">
        <v>1.0</v>
      </c>
      <c r="Q171" s="116"/>
      <c r="R171" s="50" t="s">
        <v>20384</v>
      </c>
      <c r="S171" s="116"/>
      <c r="T171" s="144">
        <v>43795.0</v>
      </c>
      <c r="U171" s="50">
        <v>9999.0</v>
      </c>
      <c r="V171" s="50">
        <v>9999.0</v>
      </c>
      <c r="W171" s="116"/>
      <c r="X171" s="116"/>
      <c r="Y171" s="144">
        <v>43795.0</v>
      </c>
      <c r="Z171" s="50">
        <v>9999.0</v>
      </c>
      <c r="AA171" s="50">
        <v>9999.0</v>
      </c>
      <c r="AB171" s="116"/>
      <c r="AC171" s="116"/>
      <c r="AD171" s="116"/>
      <c r="AE171" s="50">
        <v>1.0</v>
      </c>
      <c r="AF171" s="50" t="s">
        <v>18902</v>
      </c>
      <c r="AG171" s="117">
        <v>5776.0</v>
      </c>
      <c r="AH171" s="50" t="s">
        <v>20489</v>
      </c>
      <c r="AI171" s="50" t="s">
        <v>20490</v>
      </c>
      <c r="AJ171" s="117">
        <v>172.0</v>
      </c>
    </row>
    <row r="172">
      <c r="A172" s="50" t="s">
        <v>20481</v>
      </c>
      <c r="B172" s="50" t="s">
        <v>6876</v>
      </c>
      <c r="C172" s="50" t="s">
        <v>6877</v>
      </c>
      <c r="D172" s="50" t="s">
        <v>11623</v>
      </c>
      <c r="E172" s="144">
        <v>43801.0</v>
      </c>
      <c r="F172" s="50" t="s">
        <v>20491</v>
      </c>
      <c r="G172" s="50">
        <v>59.0</v>
      </c>
      <c r="H172" s="50">
        <v>1.0</v>
      </c>
      <c r="I172" s="50">
        <v>11.0</v>
      </c>
      <c r="J172" s="116"/>
      <c r="K172" s="116"/>
      <c r="L172" s="50" t="s">
        <v>1666</v>
      </c>
      <c r="M172" s="50" t="s">
        <v>1666</v>
      </c>
      <c r="N172" s="122">
        <v>43467.0</v>
      </c>
      <c r="O172" s="50">
        <v>1.0</v>
      </c>
      <c r="P172" s="50">
        <v>1.0</v>
      </c>
      <c r="Q172" s="116"/>
      <c r="R172" s="50" t="s">
        <v>20384</v>
      </c>
      <c r="S172" s="116"/>
      <c r="T172" s="144">
        <v>43795.0</v>
      </c>
      <c r="U172" s="50">
        <v>9999.0</v>
      </c>
      <c r="V172" s="50">
        <v>9999.0</v>
      </c>
      <c r="W172" s="116"/>
      <c r="X172" s="116"/>
      <c r="Y172" s="144">
        <v>43795.0</v>
      </c>
      <c r="Z172" s="50">
        <v>9999.0</v>
      </c>
      <c r="AA172" s="50">
        <v>9999.0</v>
      </c>
      <c r="AB172" s="116"/>
      <c r="AC172" s="116"/>
      <c r="AD172" s="116"/>
      <c r="AE172" s="50">
        <v>1.0</v>
      </c>
      <c r="AF172" s="50" t="s">
        <v>18902</v>
      </c>
      <c r="AG172" s="117">
        <v>5777.0</v>
      </c>
      <c r="AH172" s="50" t="s">
        <v>20493</v>
      </c>
      <c r="AI172" s="50" t="s">
        <v>20494</v>
      </c>
      <c r="AJ172" s="117">
        <v>173.0</v>
      </c>
    </row>
    <row r="173">
      <c r="A173" s="50" t="s">
        <v>20491</v>
      </c>
      <c r="B173" s="50" t="s">
        <v>6876</v>
      </c>
      <c r="C173" s="50" t="s">
        <v>6877</v>
      </c>
      <c r="D173" s="50" t="s">
        <v>11623</v>
      </c>
      <c r="E173" s="144">
        <v>43801.0</v>
      </c>
      <c r="F173" s="50" t="s">
        <v>20497</v>
      </c>
      <c r="G173" s="50">
        <v>59.0</v>
      </c>
      <c r="H173" s="50">
        <v>1.0</v>
      </c>
      <c r="I173" s="50">
        <v>99.0</v>
      </c>
      <c r="J173" s="116"/>
      <c r="K173" s="116"/>
      <c r="L173" s="50" t="s">
        <v>312</v>
      </c>
      <c r="M173" s="50" t="s">
        <v>312</v>
      </c>
      <c r="N173" s="122">
        <v>43467.0</v>
      </c>
      <c r="O173" s="50">
        <v>1.0</v>
      </c>
      <c r="P173" s="50">
        <v>1.0</v>
      </c>
      <c r="Q173" s="116"/>
      <c r="R173" s="50" t="s">
        <v>20384</v>
      </c>
      <c r="S173" s="116"/>
      <c r="T173" s="144">
        <v>43795.0</v>
      </c>
      <c r="U173" s="50">
        <v>9999.0</v>
      </c>
      <c r="V173" s="50">
        <v>9999.0</v>
      </c>
      <c r="W173" s="116"/>
      <c r="X173" s="116"/>
      <c r="Y173" s="144">
        <v>43795.0</v>
      </c>
      <c r="Z173" s="50">
        <v>9999.0</v>
      </c>
      <c r="AA173" s="50">
        <v>9999.0</v>
      </c>
      <c r="AB173" s="116"/>
      <c r="AC173" s="116"/>
      <c r="AD173" s="50" t="s">
        <v>19643</v>
      </c>
      <c r="AE173" s="50">
        <v>1.0</v>
      </c>
      <c r="AF173" s="50" t="s">
        <v>18902</v>
      </c>
      <c r="AG173" s="117">
        <v>5778.0</v>
      </c>
      <c r="AH173" s="50" t="s">
        <v>20503</v>
      </c>
      <c r="AI173" s="50" t="s">
        <v>20505</v>
      </c>
      <c r="AJ173" s="117">
        <v>174.0</v>
      </c>
    </row>
    <row r="174">
      <c r="A174" s="50" t="s">
        <v>20506</v>
      </c>
      <c r="B174" s="50" t="s">
        <v>6876</v>
      </c>
      <c r="C174" s="50" t="s">
        <v>6877</v>
      </c>
      <c r="D174" s="50" t="s">
        <v>11623</v>
      </c>
      <c r="E174" s="144">
        <v>43801.0</v>
      </c>
      <c r="F174" s="50" t="s">
        <v>20507</v>
      </c>
      <c r="G174" s="50">
        <v>59.0</v>
      </c>
      <c r="H174" s="50">
        <v>1.0</v>
      </c>
      <c r="I174" s="50">
        <v>98.0</v>
      </c>
      <c r="J174" s="116"/>
      <c r="K174" s="116"/>
      <c r="L174" s="50" t="s">
        <v>1669</v>
      </c>
      <c r="M174" s="50" t="s">
        <v>1669</v>
      </c>
      <c r="N174" s="122">
        <v>43467.0</v>
      </c>
      <c r="O174" s="50">
        <v>1.0</v>
      </c>
      <c r="P174" s="50">
        <v>1.0</v>
      </c>
      <c r="Q174" s="116"/>
      <c r="R174" s="50" t="s">
        <v>20384</v>
      </c>
      <c r="S174" s="116"/>
      <c r="T174" s="144">
        <v>43795.0</v>
      </c>
      <c r="U174" s="50">
        <v>9999.0</v>
      </c>
      <c r="V174" s="50">
        <v>9999.0</v>
      </c>
      <c r="W174" s="116"/>
      <c r="X174" s="116"/>
      <c r="Y174" s="144">
        <v>43795.0</v>
      </c>
      <c r="Z174" s="50">
        <v>9999.0</v>
      </c>
      <c r="AA174" s="50">
        <v>9999.0</v>
      </c>
      <c r="AB174" s="116"/>
      <c r="AC174" s="116"/>
      <c r="AD174" s="116"/>
      <c r="AE174" s="50">
        <v>1.0</v>
      </c>
      <c r="AF174" s="50" t="s">
        <v>18902</v>
      </c>
      <c r="AG174" s="117">
        <v>5779.0</v>
      </c>
      <c r="AH174" s="50" t="s">
        <v>20510</v>
      </c>
      <c r="AI174" s="50" t="s">
        <v>20511</v>
      </c>
      <c r="AJ174" s="117">
        <v>175.0</v>
      </c>
    </row>
    <row r="175">
      <c r="A175" s="50" t="s">
        <v>20513</v>
      </c>
      <c r="B175" s="50" t="s">
        <v>6876</v>
      </c>
      <c r="C175" s="50" t="s">
        <v>6877</v>
      </c>
      <c r="D175" s="50" t="s">
        <v>11623</v>
      </c>
      <c r="E175" s="144">
        <v>43801.0</v>
      </c>
      <c r="F175" s="50" t="s">
        <v>20514</v>
      </c>
      <c r="G175" s="50">
        <v>58.0</v>
      </c>
      <c r="H175" s="50">
        <v>1.0</v>
      </c>
      <c r="I175" s="50">
        <v>11.0</v>
      </c>
      <c r="J175" s="116"/>
      <c r="K175" s="116"/>
      <c r="L175" s="50" t="s">
        <v>1670</v>
      </c>
      <c r="M175" s="50" t="s">
        <v>1670</v>
      </c>
      <c r="N175" s="122">
        <v>43467.0</v>
      </c>
      <c r="O175" s="50">
        <v>1.0</v>
      </c>
      <c r="P175" s="50">
        <v>1.0</v>
      </c>
      <c r="Q175" s="116"/>
      <c r="R175" s="50" t="s">
        <v>20516</v>
      </c>
      <c r="S175" s="116"/>
      <c r="T175" s="144">
        <v>43767.0</v>
      </c>
      <c r="U175" s="50">
        <v>26.88</v>
      </c>
      <c r="V175" s="50">
        <v>24.63</v>
      </c>
      <c r="W175" s="116"/>
      <c r="X175" s="116"/>
      <c r="Y175" s="144">
        <v>43798.0</v>
      </c>
      <c r="Z175" s="50">
        <v>9999.0</v>
      </c>
      <c r="AA175" s="50">
        <v>9999.0</v>
      </c>
      <c r="AB175" s="116"/>
      <c r="AC175" s="116"/>
      <c r="AD175" s="116"/>
      <c r="AE175" s="50">
        <v>1.0</v>
      </c>
      <c r="AF175" s="50" t="s">
        <v>18902</v>
      </c>
      <c r="AG175" s="117">
        <v>5780.0</v>
      </c>
      <c r="AH175" s="50" t="s">
        <v>20519</v>
      </c>
      <c r="AI175" s="50" t="s">
        <v>20520</v>
      </c>
      <c r="AJ175" s="117">
        <v>176.0</v>
      </c>
    </row>
    <row r="176">
      <c r="A176" s="50" t="s">
        <v>20522</v>
      </c>
      <c r="B176" s="50" t="s">
        <v>6876</v>
      </c>
      <c r="C176" s="50" t="s">
        <v>6877</v>
      </c>
      <c r="D176" s="50" t="s">
        <v>11623</v>
      </c>
      <c r="E176" s="144">
        <v>43801.0</v>
      </c>
      <c r="F176" s="50" t="s">
        <v>20525</v>
      </c>
      <c r="G176" s="50">
        <v>59.0</v>
      </c>
      <c r="H176" s="50">
        <v>1.0</v>
      </c>
      <c r="I176" s="50">
        <v>99.0</v>
      </c>
      <c r="J176" s="116"/>
      <c r="K176" s="116"/>
      <c r="L176" s="50" t="s">
        <v>1674</v>
      </c>
      <c r="M176" s="50" t="s">
        <v>1674</v>
      </c>
      <c r="N176" s="122">
        <v>43467.0</v>
      </c>
      <c r="O176" s="50">
        <v>1.0</v>
      </c>
      <c r="P176" s="50">
        <v>1.0</v>
      </c>
      <c r="Q176" s="116"/>
      <c r="R176" s="50" t="s">
        <v>20516</v>
      </c>
      <c r="S176" s="116"/>
      <c r="T176" s="144">
        <v>43798.0</v>
      </c>
      <c r="U176" s="50">
        <v>9999.0</v>
      </c>
      <c r="V176" s="50">
        <v>9999.0</v>
      </c>
      <c r="W176" s="116"/>
      <c r="X176" s="116"/>
      <c r="Y176" s="144">
        <v>43798.0</v>
      </c>
      <c r="Z176" s="50">
        <v>9999.0</v>
      </c>
      <c r="AA176" s="50">
        <v>9999.0</v>
      </c>
      <c r="AB176" s="116"/>
      <c r="AC176" s="116"/>
      <c r="AD176" s="50" t="s">
        <v>19664</v>
      </c>
      <c r="AE176" s="50">
        <v>1.0</v>
      </c>
      <c r="AF176" s="50" t="s">
        <v>18902</v>
      </c>
      <c r="AG176" s="117">
        <v>5781.0</v>
      </c>
      <c r="AH176" s="50" t="s">
        <v>20527</v>
      </c>
      <c r="AI176" s="50" t="s">
        <v>20528</v>
      </c>
      <c r="AJ176" s="117">
        <v>177.0</v>
      </c>
    </row>
    <row r="177">
      <c r="A177" s="50" t="s">
        <v>20525</v>
      </c>
      <c r="B177" s="50" t="s">
        <v>6876</v>
      </c>
      <c r="C177" s="50" t="s">
        <v>6877</v>
      </c>
      <c r="D177" s="50" t="s">
        <v>11623</v>
      </c>
      <c r="E177" s="144">
        <v>43801.0</v>
      </c>
      <c r="F177" s="50" t="s">
        <v>20531</v>
      </c>
      <c r="G177" s="50">
        <v>55.0</v>
      </c>
      <c r="H177" s="50">
        <v>1.0</v>
      </c>
      <c r="I177" s="50">
        <v>12.0</v>
      </c>
      <c r="J177" s="116"/>
      <c r="K177" s="116"/>
      <c r="L177" s="50" t="s">
        <v>1678</v>
      </c>
      <c r="M177" s="50" t="s">
        <v>1678</v>
      </c>
      <c r="N177" s="122">
        <v>43467.0</v>
      </c>
      <c r="O177" s="50">
        <v>1.0</v>
      </c>
      <c r="P177" s="50">
        <v>1.0</v>
      </c>
      <c r="Q177" s="116"/>
      <c r="R177" s="50" t="s">
        <v>20516</v>
      </c>
      <c r="S177" s="116"/>
      <c r="T177" s="144">
        <v>43798.0</v>
      </c>
      <c r="U177" s="50">
        <v>24.6</v>
      </c>
      <c r="V177" s="50">
        <v>24.29</v>
      </c>
      <c r="W177" s="116"/>
      <c r="X177" s="116"/>
      <c r="Y177" s="144">
        <v>43798.0</v>
      </c>
      <c r="Z177" s="50">
        <v>36.88</v>
      </c>
      <c r="AA177" s="50">
        <v>37.49</v>
      </c>
      <c r="AB177" s="116"/>
      <c r="AC177" s="116"/>
      <c r="AD177" s="116"/>
      <c r="AE177" s="50">
        <v>1.0</v>
      </c>
      <c r="AF177" s="50" t="s">
        <v>18902</v>
      </c>
      <c r="AG177" s="117">
        <v>5782.0</v>
      </c>
      <c r="AH177" s="50" t="s">
        <v>20533</v>
      </c>
      <c r="AI177" s="50" t="s">
        <v>20534</v>
      </c>
      <c r="AJ177" s="117">
        <v>178.0</v>
      </c>
    </row>
    <row r="178">
      <c r="A178" s="50" t="s">
        <v>20531</v>
      </c>
      <c r="B178" s="50" t="s">
        <v>6876</v>
      </c>
      <c r="C178" s="50" t="s">
        <v>6877</v>
      </c>
      <c r="D178" s="50" t="s">
        <v>11623</v>
      </c>
      <c r="E178" s="144">
        <v>43801.0</v>
      </c>
      <c r="F178" s="50" t="s">
        <v>20539</v>
      </c>
      <c r="G178" s="50">
        <v>57.0</v>
      </c>
      <c r="H178" s="50">
        <v>1.0</v>
      </c>
      <c r="I178" s="50">
        <v>99.0</v>
      </c>
      <c r="J178" s="116"/>
      <c r="K178" s="116"/>
      <c r="L178" s="50" t="s">
        <v>1679</v>
      </c>
      <c r="M178" s="50" t="s">
        <v>1679</v>
      </c>
      <c r="N178" s="122">
        <v>43467.0</v>
      </c>
      <c r="O178" s="50">
        <v>1.0</v>
      </c>
      <c r="P178" s="50">
        <v>1.0</v>
      </c>
      <c r="Q178" s="116"/>
      <c r="R178" s="50" t="s">
        <v>20516</v>
      </c>
      <c r="S178" s="116"/>
      <c r="T178" s="144">
        <v>43798.0</v>
      </c>
      <c r="U178" s="50">
        <v>9999.0</v>
      </c>
      <c r="V178" s="50">
        <v>9999.0</v>
      </c>
      <c r="W178" s="116"/>
      <c r="X178" s="116"/>
      <c r="Y178" s="144">
        <v>43798.0</v>
      </c>
      <c r="Z178" s="50">
        <v>9999.0</v>
      </c>
      <c r="AA178" s="50">
        <v>9999.0</v>
      </c>
      <c r="AB178" s="116"/>
      <c r="AC178" s="116"/>
      <c r="AD178" s="50" t="s">
        <v>19680</v>
      </c>
      <c r="AE178" s="50">
        <v>1.0</v>
      </c>
      <c r="AF178" s="50" t="s">
        <v>18902</v>
      </c>
      <c r="AG178" s="117">
        <v>5783.0</v>
      </c>
      <c r="AH178" s="50" t="s">
        <v>20543</v>
      </c>
      <c r="AI178" s="50" t="s">
        <v>20544</v>
      </c>
      <c r="AJ178" s="117">
        <v>179.0</v>
      </c>
    </row>
    <row r="179">
      <c r="A179" s="50" t="s">
        <v>20539</v>
      </c>
      <c r="B179" s="50" t="s">
        <v>6876</v>
      </c>
      <c r="C179" s="50" t="s">
        <v>6877</v>
      </c>
      <c r="D179" s="50" t="s">
        <v>11623</v>
      </c>
      <c r="E179" s="144">
        <v>43801.0</v>
      </c>
      <c r="F179" s="50" t="s">
        <v>20547</v>
      </c>
      <c r="G179" s="50">
        <v>59.0</v>
      </c>
      <c r="H179" s="50">
        <v>1.0</v>
      </c>
      <c r="I179" s="50">
        <v>11.0</v>
      </c>
      <c r="J179" s="116"/>
      <c r="K179" s="116"/>
      <c r="L179" s="50" t="s">
        <v>1684</v>
      </c>
      <c r="M179" s="50" t="s">
        <v>1684</v>
      </c>
      <c r="N179" s="122">
        <v>43467.0</v>
      </c>
      <c r="O179" s="50">
        <v>1.0</v>
      </c>
      <c r="P179" s="50">
        <v>1.0</v>
      </c>
      <c r="Q179" s="116"/>
      <c r="R179" s="50" t="s">
        <v>20516</v>
      </c>
      <c r="S179" s="116"/>
      <c r="T179" s="144">
        <v>43798.0</v>
      </c>
      <c r="U179" s="50">
        <v>9999.0</v>
      </c>
      <c r="V179" s="50">
        <v>9999.0</v>
      </c>
      <c r="W179" s="116"/>
      <c r="X179" s="116"/>
      <c r="Y179" s="144">
        <v>43798.0</v>
      </c>
      <c r="Z179" s="50">
        <v>9999.0</v>
      </c>
      <c r="AA179" s="50">
        <v>9999.0</v>
      </c>
      <c r="AB179" s="116"/>
      <c r="AC179" s="116"/>
      <c r="AD179" s="116"/>
      <c r="AE179" s="50">
        <v>1.0</v>
      </c>
      <c r="AF179" s="50" t="s">
        <v>18902</v>
      </c>
      <c r="AG179" s="117">
        <v>5784.0</v>
      </c>
      <c r="AH179" s="50" t="s">
        <v>20554</v>
      </c>
      <c r="AI179" s="50" t="s">
        <v>20555</v>
      </c>
      <c r="AJ179" s="117">
        <v>180.0</v>
      </c>
    </row>
    <row r="180">
      <c r="A180" s="50" t="s">
        <v>20547</v>
      </c>
      <c r="B180" s="50" t="s">
        <v>6876</v>
      </c>
      <c r="C180" s="50" t="s">
        <v>6877</v>
      </c>
      <c r="D180" s="50" t="s">
        <v>11623</v>
      </c>
      <c r="E180" s="144">
        <v>43801.0</v>
      </c>
      <c r="F180" s="50" t="s">
        <v>20556</v>
      </c>
      <c r="G180" s="50">
        <v>59.0</v>
      </c>
      <c r="H180" s="50">
        <v>1.0</v>
      </c>
      <c r="I180" s="50">
        <v>11.0</v>
      </c>
      <c r="J180" s="116"/>
      <c r="K180" s="116"/>
      <c r="L180" s="50" t="s">
        <v>1687</v>
      </c>
      <c r="M180" s="50" t="s">
        <v>1687</v>
      </c>
      <c r="N180" s="122">
        <v>43467.0</v>
      </c>
      <c r="O180" s="50">
        <v>1.0</v>
      </c>
      <c r="P180" s="50">
        <v>1.0</v>
      </c>
      <c r="Q180" s="116"/>
      <c r="R180" s="50" t="s">
        <v>20516</v>
      </c>
      <c r="S180" s="116"/>
      <c r="T180" s="144">
        <v>43798.0</v>
      </c>
      <c r="U180" s="50">
        <v>9999.0</v>
      </c>
      <c r="V180" s="50">
        <v>9999.0</v>
      </c>
      <c r="W180" s="116"/>
      <c r="X180" s="116"/>
      <c r="Y180" s="144">
        <v>43798.0</v>
      </c>
      <c r="Z180" s="50">
        <v>9999.0</v>
      </c>
      <c r="AA180" s="50">
        <v>9999.0</v>
      </c>
      <c r="AB180" s="116"/>
      <c r="AC180" s="116"/>
      <c r="AD180" s="116"/>
      <c r="AE180" s="50">
        <v>1.0</v>
      </c>
      <c r="AF180" s="50" t="s">
        <v>18902</v>
      </c>
      <c r="AG180" s="117">
        <v>5785.0</v>
      </c>
      <c r="AH180" s="50" t="s">
        <v>20560</v>
      </c>
      <c r="AI180" s="50" t="s">
        <v>20561</v>
      </c>
      <c r="AJ180" s="117">
        <v>181.0</v>
      </c>
    </row>
    <row r="181">
      <c r="A181" s="50" t="s">
        <v>20556</v>
      </c>
      <c r="B181" s="50" t="s">
        <v>6876</v>
      </c>
      <c r="C181" s="50" t="s">
        <v>6877</v>
      </c>
      <c r="D181" s="50" t="s">
        <v>11623</v>
      </c>
      <c r="E181" s="144">
        <v>43801.0</v>
      </c>
      <c r="F181" s="50" t="s">
        <v>20564</v>
      </c>
      <c r="G181" s="50">
        <v>59.0</v>
      </c>
      <c r="H181" s="50">
        <v>1.0</v>
      </c>
      <c r="I181" s="50">
        <v>11.0</v>
      </c>
      <c r="J181" s="116"/>
      <c r="K181" s="116"/>
      <c r="L181" s="50" t="s">
        <v>1690</v>
      </c>
      <c r="M181" s="50" t="s">
        <v>1690</v>
      </c>
      <c r="N181" s="122">
        <v>43467.0</v>
      </c>
      <c r="O181" s="50">
        <v>1.0</v>
      </c>
      <c r="P181" s="50">
        <v>1.0</v>
      </c>
      <c r="Q181" s="116"/>
      <c r="R181" s="50" t="s">
        <v>20516</v>
      </c>
      <c r="S181" s="116"/>
      <c r="T181" s="144">
        <v>43798.0</v>
      </c>
      <c r="U181" s="50">
        <v>9999.0</v>
      </c>
      <c r="V181" s="50">
        <v>9999.0</v>
      </c>
      <c r="W181" s="116"/>
      <c r="X181" s="116"/>
      <c r="Y181" s="144">
        <v>43798.0</v>
      </c>
      <c r="Z181" s="50">
        <v>9999.0</v>
      </c>
      <c r="AA181" s="50">
        <v>9999.0</v>
      </c>
      <c r="AB181" s="116"/>
      <c r="AC181" s="116"/>
      <c r="AD181" s="116"/>
      <c r="AE181" s="50">
        <v>1.0</v>
      </c>
      <c r="AF181" s="50" t="s">
        <v>18902</v>
      </c>
      <c r="AG181" s="117">
        <v>5786.0</v>
      </c>
      <c r="AH181" s="50" t="s">
        <v>20572</v>
      </c>
      <c r="AI181" s="50" t="s">
        <v>20574</v>
      </c>
      <c r="AJ181" s="117">
        <v>182.0</v>
      </c>
    </row>
    <row r="182">
      <c r="A182" s="50" t="s">
        <v>20564</v>
      </c>
      <c r="B182" s="50" t="s">
        <v>6876</v>
      </c>
      <c r="C182" s="50" t="s">
        <v>6877</v>
      </c>
      <c r="D182" s="50" t="s">
        <v>11623</v>
      </c>
      <c r="E182" s="144">
        <v>43801.0</v>
      </c>
      <c r="F182" s="50" t="s">
        <v>20577</v>
      </c>
      <c r="G182" s="50">
        <v>59.0</v>
      </c>
      <c r="H182" s="50">
        <v>1.0</v>
      </c>
      <c r="I182" s="50">
        <v>98.0</v>
      </c>
      <c r="J182" s="116"/>
      <c r="K182" s="116"/>
      <c r="L182" s="50" t="s">
        <v>1695</v>
      </c>
      <c r="M182" s="50" t="s">
        <v>1695</v>
      </c>
      <c r="N182" s="122">
        <v>43467.0</v>
      </c>
      <c r="O182" s="50">
        <v>1.0</v>
      </c>
      <c r="P182" s="50">
        <v>1.0</v>
      </c>
      <c r="Q182" s="116"/>
      <c r="R182" s="50" t="s">
        <v>20516</v>
      </c>
      <c r="S182" s="116"/>
      <c r="T182" s="144">
        <v>43798.0</v>
      </c>
      <c r="U182" s="50">
        <v>9999.0</v>
      </c>
      <c r="V182" s="50">
        <v>9999.0</v>
      </c>
      <c r="W182" s="116"/>
      <c r="X182" s="116"/>
      <c r="Y182" s="144">
        <v>43798.0</v>
      </c>
      <c r="Z182" s="50">
        <v>9999.0</v>
      </c>
      <c r="AA182" s="50">
        <v>9999.0</v>
      </c>
      <c r="AB182" s="116"/>
      <c r="AC182" s="116"/>
      <c r="AD182" s="116"/>
      <c r="AE182" s="50">
        <v>1.0</v>
      </c>
      <c r="AF182" s="50" t="s">
        <v>18902</v>
      </c>
      <c r="AG182" s="117">
        <v>5787.0</v>
      </c>
      <c r="AH182" s="50" t="s">
        <v>20585</v>
      </c>
      <c r="AI182" s="50" t="s">
        <v>20586</v>
      </c>
      <c r="AJ182" s="117">
        <v>183.0</v>
      </c>
    </row>
    <row r="183">
      <c r="A183" s="50" t="s">
        <v>20577</v>
      </c>
      <c r="B183" s="50" t="s">
        <v>6876</v>
      </c>
      <c r="C183" s="50" t="s">
        <v>6877</v>
      </c>
      <c r="D183" s="50" t="s">
        <v>11623</v>
      </c>
      <c r="E183" s="144">
        <v>43801.0</v>
      </c>
      <c r="F183" s="50" t="s">
        <v>20588</v>
      </c>
      <c r="G183" s="50">
        <v>66.0</v>
      </c>
      <c r="H183" s="50">
        <v>1.0</v>
      </c>
      <c r="I183" s="50">
        <v>12.0</v>
      </c>
      <c r="J183" s="116"/>
      <c r="K183" s="116"/>
      <c r="L183" s="50" t="s">
        <v>1700</v>
      </c>
      <c r="M183" s="50" t="s">
        <v>1700</v>
      </c>
      <c r="N183" s="122">
        <v>43467.0</v>
      </c>
      <c r="O183" s="50">
        <v>1.0</v>
      </c>
      <c r="P183" s="50">
        <v>1.0</v>
      </c>
      <c r="Q183" s="116"/>
      <c r="R183" s="50" t="s">
        <v>20516</v>
      </c>
      <c r="S183" s="116"/>
      <c r="T183" s="144">
        <v>43798.0</v>
      </c>
      <c r="U183" s="50">
        <v>25.12</v>
      </c>
      <c r="V183" s="50">
        <v>25.68</v>
      </c>
      <c r="W183" s="116"/>
      <c r="X183" s="116"/>
      <c r="Y183" s="144">
        <v>43798.0</v>
      </c>
      <c r="Z183" s="50">
        <v>36.74</v>
      </c>
      <c r="AA183" s="50">
        <v>38.64</v>
      </c>
      <c r="AB183" s="116"/>
      <c r="AC183" s="116"/>
      <c r="AD183" s="116"/>
      <c r="AE183" s="50">
        <v>1.0</v>
      </c>
      <c r="AF183" s="50" t="s">
        <v>18902</v>
      </c>
      <c r="AG183" s="117">
        <v>5788.0</v>
      </c>
      <c r="AH183" s="50" t="s">
        <v>20592</v>
      </c>
      <c r="AI183" s="50" t="s">
        <v>20593</v>
      </c>
      <c r="AJ183" s="117">
        <v>184.0</v>
      </c>
    </row>
    <row r="184">
      <c r="A184" s="50" t="s">
        <v>20588</v>
      </c>
      <c r="B184" s="50" t="s">
        <v>6876</v>
      </c>
      <c r="C184" s="50" t="s">
        <v>6877</v>
      </c>
      <c r="D184" s="50" t="s">
        <v>11623</v>
      </c>
      <c r="E184" s="144">
        <v>43801.0</v>
      </c>
      <c r="F184" s="50" t="s">
        <v>20601</v>
      </c>
      <c r="G184" s="50">
        <v>58.0</v>
      </c>
      <c r="H184" s="50">
        <v>1.0</v>
      </c>
      <c r="I184" s="50">
        <v>11.0</v>
      </c>
      <c r="J184" s="116"/>
      <c r="K184" s="116"/>
      <c r="L184" s="50" t="s">
        <v>1704</v>
      </c>
      <c r="M184" s="50" t="s">
        <v>1704</v>
      </c>
      <c r="N184" s="122">
        <v>43467.0</v>
      </c>
      <c r="O184" s="50">
        <v>1.0</v>
      </c>
      <c r="P184" s="50">
        <v>1.0</v>
      </c>
      <c r="Q184" s="116"/>
      <c r="R184" s="50" t="s">
        <v>20516</v>
      </c>
      <c r="S184" s="116"/>
      <c r="T184" s="144">
        <v>43798.0</v>
      </c>
      <c r="U184" s="50">
        <v>30.73</v>
      </c>
      <c r="V184" s="50">
        <v>9999.0</v>
      </c>
      <c r="W184" s="116"/>
      <c r="X184" s="116"/>
      <c r="Y184" s="144">
        <v>43798.0</v>
      </c>
      <c r="Z184" s="50">
        <v>9999.0</v>
      </c>
      <c r="AA184" s="50">
        <v>9999.0</v>
      </c>
      <c r="AB184" s="116"/>
      <c r="AC184" s="116"/>
      <c r="AD184" s="116"/>
      <c r="AE184" s="50">
        <v>1.0</v>
      </c>
      <c r="AF184" s="50" t="s">
        <v>18902</v>
      </c>
      <c r="AG184" s="117">
        <v>5789.0</v>
      </c>
      <c r="AH184" s="50" t="s">
        <v>20605</v>
      </c>
      <c r="AI184" s="50" t="s">
        <v>20607</v>
      </c>
      <c r="AJ184" s="117">
        <v>185.0</v>
      </c>
    </row>
    <row r="185">
      <c r="A185" s="50" t="s">
        <v>20608</v>
      </c>
      <c r="B185" s="50" t="s">
        <v>6876</v>
      </c>
      <c r="C185" s="50" t="s">
        <v>6877</v>
      </c>
      <c r="D185" s="50" t="s">
        <v>11623</v>
      </c>
      <c r="E185" s="144">
        <v>43801.0</v>
      </c>
      <c r="F185" s="50" t="s">
        <v>20610</v>
      </c>
      <c r="G185" s="50">
        <v>59.0</v>
      </c>
      <c r="H185" s="50">
        <v>1.0</v>
      </c>
      <c r="I185" s="50">
        <v>12.0</v>
      </c>
      <c r="J185" s="116"/>
      <c r="K185" s="116"/>
      <c r="L185" s="50" t="s">
        <v>1701</v>
      </c>
      <c r="M185" s="50" t="s">
        <v>1701</v>
      </c>
      <c r="N185" s="122">
        <v>43467.0</v>
      </c>
      <c r="O185" s="50">
        <v>1.0</v>
      </c>
      <c r="P185" s="50">
        <v>1.0</v>
      </c>
      <c r="Q185" s="116"/>
      <c r="R185" s="50" t="s">
        <v>20516</v>
      </c>
      <c r="S185" s="116"/>
      <c r="T185" s="144">
        <v>43798.0</v>
      </c>
      <c r="U185" s="50">
        <v>26.23</v>
      </c>
      <c r="V185" s="50">
        <v>26.47</v>
      </c>
      <c r="W185" s="116"/>
      <c r="X185" s="116"/>
      <c r="Y185" s="144">
        <v>43798.0</v>
      </c>
      <c r="Z185" s="50">
        <v>40.0</v>
      </c>
      <c r="AA185" s="50">
        <v>9999.0</v>
      </c>
      <c r="AB185" s="116"/>
      <c r="AC185" s="116"/>
      <c r="AD185" s="116"/>
      <c r="AE185" s="50">
        <v>1.0</v>
      </c>
      <c r="AF185" s="50" t="s">
        <v>18902</v>
      </c>
      <c r="AG185" s="117">
        <v>5790.0</v>
      </c>
      <c r="AH185" s="50" t="s">
        <v>20617</v>
      </c>
      <c r="AI185" s="50" t="s">
        <v>20619</v>
      </c>
      <c r="AJ185" s="117">
        <v>186.0</v>
      </c>
    </row>
    <row r="186">
      <c r="A186" s="50" t="s">
        <v>20610</v>
      </c>
      <c r="B186" s="50" t="s">
        <v>6876</v>
      </c>
      <c r="C186" s="50" t="s">
        <v>6877</v>
      </c>
      <c r="D186" s="50" t="s">
        <v>11623</v>
      </c>
      <c r="E186" s="144">
        <v>43801.0</v>
      </c>
      <c r="F186" s="50" t="s">
        <v>20621</v>
      </c>
      <c r="G186" s="50">
        <v>58.0</v>
      </c>
      <c r="H186" s="50">
        <v>1.0</v>
      </c>
      <c r="I186" s="50">
        <v>14.0</v>
      </c>
      <c r="J186" s="50">
        <v>141.0</v>
      </c>
      <c r="K186" s="116"/>
      <c r="L186" s="50" t="s">
        <v>532</v>
      </c>
      <c r="M186" s="50" t="s">
        <v>532</v>
      </c>
      <c r="N186" s="122">
        <v>43467.0</v>
      </c>
      <c r="O186" s="50">
        <v>1.0</v>
      </c>
      <c r="P186" s="50">
        <v>1.0</v>
      </c>
      <c r="Q186" s="116"/>
      <c r="R186" s="50" t="s">
        <v>20516</v>
      </c>
      <c r="S186" s="116"/>
      <c r="T186" s="144">
        <v>43798.0</v>
      </c>
      <c r="U186" s="50">
        <v>9999.0</v>
      </c>
      <c r="V186" s="50">
        <v>9999.0</v>
      </c>
      <c r="W186" s="116"/>
      <c r="X186" s="116"/>
      <c r="Y186" s="144">
        <v>43798.0</v>
      </c>
      <c r="Z186" s="50">
        <v>9999.0</v>
      </c>
      <c r="AA186" s="50">
        <v>9999.0</v>
      </c>
      <c r="AB186" s="116"/>
      <c r="AC186" s="116"/>
      <c r="AD186" s="116"/>
      <c r="AE186" s="50">
        <v>1.0</v>
      </c>
      <c r="AF186" s="50" t="s">
        <v>18902</v>
      </c>
      <c r="AG186" s="117">
        <v>5791.0</v>
      </c>
      <c r="AH186" s="50" t="s">
        <v>20625</v>
      </c>
      <c r="AI186" s="50" t="s">
        <v>20626</v>
      </c>
      <c r="AJ186" s="117">
        <v>187.0</v>
      </c>
    </row>
    <row r="187">
      <c r="A187" s="50" t="s">
        <v>20621</v>
      </c>
      <c r="B187" s="50" t="s">
        <v>6876</v>
      </c>
      <c r="C187" s="50" t="s">
        <v>6877</v>
      </c>
      <c r="D187" s="50" t="s">
        <v>11623</v>
      </c>
      <c r="E187" s="144">
        <v>43801.0</v>
      </c>
      <c r="F187" s="50" t="s">
        <v>20628</v>
      </c>
      <c r="G187" s="50">
        <v>58.0</v>
      </c>
      <c r="H187" s="50">
        <v>1.0</v>
      </c>
      <c r="I187" s="50">
        <v>14.0</v>
      </c>
      <c r="J187" s="50">
        <v>143.0</v>
      </c>
      <c r="K187" s="116"/>
      <c r="L187" s="50" t="s">
        <v>533</v>
      </c>
      <c r="M187" s="50" t="s">
        <v>533</v>
      </c>
      <c r="N187" s="122">
        <v>43467.0</v>
      </c>
      <c r="O187" s="50">
        <v>1.0</v>
      </c>
      <c r="P187" s="50">
        <v>1.0</v>
      </c>
      <c r="Q187" s="116"/>
      <c r="R187" s="50" t="s">
        <v>20516</v>
      </c>
      <c r="S187" s="116"/>
      <c r="T187" s="144">
        <v>43798.0</v>
      </c>
      <c r="U187" s="50">
        <v>9999.0</v>
      </c>
      <c r="V187" s="50">
        <v>9999.0</v>
      </c>
      <c r="W187" s="116"/>
      <c r="X187" s="116"/>
      <c r="Y187" s="144">
        <v>43798.0</v>
      </c>
      <c r="Z187" s="50">
        <v>9999.0</v>
      </c>
      <c r="AA187" s="50">
        <v>9999.0</v>
      </c>
      <c r="AB187" s="116"/>
      <c r="AC187" s="116"/>
      <c r="AD187" s="116"/>
      <c r="AE187" s="50">
        <v>1.0</v>
      </c>
      <c r="AF187" s="50" t="s">
        <v>18902</v>
      </c>
      <c r="AG187" s="117">
        <v>5792.0</v>
      </c>
      <c r="AH187" s="50" t="s">
        <v>20636</v>
      </c>
      <c r="AI187" s="50" t="s">
        <v>20637</v>
      </c>
      <c r="AJ187" s="117">
        <v>188.0</v>
      </c>
    </row>
    <row r="188">
      <c r="A188" s="50" t="s">
        <v>20628</v>
      </c>
      <c r="B188" s="50" t="s">
        <v>6876</v>
      </c>
      <c r="C188" s="50" t="s">
        <v>6877</v>
      </c>
      <c r="D188" s="50" t="s">
        <v>11623</v>
      </c>
      <c r="E188" s="144">
        <v>43801.0</v>
      </c>
      <c r="F188" s="50" t="s">
        <v>20640</v>
      </c>
      <c r="G188" s="50">
        <v>58.0</v>
      </c>
      <c r="H188" s="50">
        <v>1.0</v>
      </c>
      <c r="I188" s="50">
        <v>14.0</v>
      </c>
      <c r="J188" s="50">
        <v>145.0</v>
      </c>
      <c r="K188" s="116"/>
      <c r="L188" s="50" t="s">
        <v>535</v>
      </c>
      <c r="M188" s="50" t="s">
        <v>535</v>
      </c>
      <c r="N188" s="122">
        <v>43467.0</v>
      </c>
      <c r="O188" s="50">
        <v>1.0</v>
      </c>
      <c r="P188" s="50">
        <v>1.0</v>
      </c>
      <c r="Q188" s="116"/>
      <c r="R188" s="50" t="s">
        <v>20516</v>
      </c>
      <c r="S188" s="116"/>
      <c r="T188" s="144">
        <v>43798.0</v>
      </c>
      <c r="U188" s="50">
        <v>40.0</v>
      </c>
      <c r="V188" s="50">
        <v>9999.0</v>
      </c>
      <c r="W188" s="116"/>
      <c r="X188" s="116"/>
      <c r="Y188" s="144">
        <v>43798.0</v>
      </c>
      <c r="Z188" s="50">
        <v>9999.0</v>
      </c>
      <c r="AA188" s="50">
        <v>9999.0</v>
      </c>
      <c r="AB188" s="116"/>
      <c r="AC188" s="116"/>
      <c r="AD188" s="116"/>
      <c r="AE188" s="50">
        <v>1.0</v>
      </c>
      <c r="AF188" s="50" t="s">
        <v>18902</v>
      </c>
      <c r="AG188" s="117">
        <v>5793.0</v>
      </c>
      <c r="AH188" s="50" t="s">
        <v>20644</v>
      </c>
      <c r="AI188" s="50" t="s">
        <v>20645</v>
      </c>
      <c r="AJ188" s="117">
        <v>189.0</v>
      </c>
    </row>
    <row r="189">
      <c r="A189" s="50" t="s">
        <v>20640</v>
      </c>
      <c r="B189" s="50" t="s">
        <v>6876</v>
      </c>
      <c r="C189" s="50" t="s">
        <v>6877</v>
      </c>
      <c r="D189" s="50" t="s">
        <v>11623</v>
      </c>
      <c r="E189" s="144">
        <v>43801.0</v>
      </c>
      <c r="F189" s="50" t="s">
        <v>20647</v>
      </c>
      <c r="G189" s="50">
        <v>58.0</v>
      </c>
      <c r="H189" s="50">
        <v>1.0</v>
      </c>
      <c r="I189" s="50">
        <v>14.0</v>
      </c>
      <c r="J189" s="50">
        <v>144.0</v>
      </c>
      <c r="K189" s="116"/>
      <c r="L189" s="50" t="s">
        <v>528</v>
      </c>
      <c r="M189" s="50" t="s">
        <v>528</v>
      </c>
      <c r="N189" s="122">
        <v>43467.0</v>
      </c>
      <c r="O189" s="50">
        <v>1.0</v>
      </c>
      <c r="P189" s="50">
        <v>1.0</v>
      </c>
      <c r="Q189" s="116"/>
      <c r="R189" s="50" t="s">
        <v>20516</v>
      </c>
      <c r="S189" s="116"/>
      <c r="T189" s="144">
        <v>43798.0</v>
      </c>
      <c r="U189" s="50">
        <v>9999.0</v>
      </c>
      <c r="V189" s="50">
        <v>9999.0</v>
      </c>
      <c r="W189" s="116"/>
      <c r="X189" s="116"/>
      <c r="Y189" s="144">
        <v>43798.0</v>
      </c>
      <c r="Z189" s="50">
        <v>9999.0</v>
      </c>
      <c r="AA189" s="50">
        <v>9999.0</v>
      </c>
      <c r="AB189" s="116"/>
      <c r="AC189" s="116"/>
      <c r="AD189" s="116"/>
      <c r="AE189" s="50">
        <v>1.0</v>
      </c>
      <c r="AF189" s="50" t="s">
        <v>18902</v>
      </c>
      <c r="AG189" s="117">
        <v>5794.0</v>
      </c>
      <c r="AH189" s="50" t="s">
        <v>20654</v>
      </c>
      <c r="AI189" s="50" t="s">
        <v>20655</v>
      </c>
      <c r="AJ189" s="117">
        <v>190.0</v>
      </c>
    </row>
    <row r="190">
      <c r="A190" s="50" t="s">
        <v>20647</v>
      </c>
      <c r="B190" s="50" t="s">
        <v>6876</v>
      </c>
      <c r="C190" s="50" t="s">
        <v>6877</v>
      </c>
      <c r="D190" s="50" t="s">
        <v>11623</v>
      </c>
      <c r="E190" s="144">
        <v>43801.0</v>
      </c>
      <c r="F190" s="50" t="s">
        <v>20659</v>
      </c>
      <c r="G190" s="50">
        <v>58.0</v>
      </c>
      <c r="H190" s="50">
        <v>1.0</v>
      </c>
      <c r="I190" s="50">
        <v>14.0</v>
      </c>
      <c r="J190" s="50">
        <v>142.0</v>
      </c>
      <c r="K190" s="116"/>
      <c r="L190" s="50" t="s">
        <v>530</v>
      </c>
      <c r="M190" s="50" t="s">
        <v>530</v>
      </c>
      <c r="N190" s="122">
        <v>43467.0</v>
      </c>
      <c r="O190" s="50">
        <v>1.0</v>
      </c>
      <c r="P190" s="50">
        <v>1.0</v>
      </c>
      <c r="Q190" s="116"/>
      <c r="R190" s="50" t="s">
        <v>20516</v>
      </c>
      <c r="S190" s="116"/>
      <c r="T190" s="144">
        <v>43798.0</v>
      </c>
      <c r="U190" s="50">
        <v>9999.0</v>
      </c>
      <c r="V190" s="50">
        <v>9999.0</v>
      </c>
      <c r="W190" s="116"/>
      <c r="X190" s="116"/>
      <c r="Y190" s="144">
        <v>43798.0</v>
      </c>
      <c r="Z190" s="50">
        <v>9999.0</v>
      </c>
      <c r="AA190" s="50">
        <v>9999.0</v>
      </c>
      <c r="AB190" s="116"/>
      <c r="AC190" s="116"/>
      <c r="AD190" s="116"/>
      <c r="AE190" s="50">
        <v>1.0</v>
      </c>
      <c r="AF190" s="50" t="s">
        <v>18902</v>
      </c>
      <c r="AG190" s="117">
        <v>5795.0</v>
      </c>
      <c r="AH190" s="50" t="s">
        <v>20662</v>
      </c>
      <c r="AI190" s="50" t="s">
        <v>20663</v>
      </c>
      <c r="AJ190" s="117">
        <v>191.0</v>
      </c>
    </row>
    <row r="191">
      <c r="A191" s="50" t="s">
        <v>20659</v>
      </c>
      <c r="B191" s="50" t="s">
        <v>6876</v>
      </c>
      <c r="C191" s="50" t="s">
        <v>6877</v>
      </c>
      <c r="D191" s="50" t="s">
        <v>11623</v>
      </c>
      <c r="E191" s="144">
        <v>43801.0</v>
      </c>
      <c r="F191" s="50" t="s">
        <v>20664</v>
      </c>
      <c r="G191" s="50">
        <v>59.0</v>
      </c>
      <c r="H191" s="50">
        <v>1.0</v>
      </c>
      <c r="I191" s="50">
        <v>11.0</v>
      </c>
      <c r="J191" s="116"/>
      <c r="K191" s="116"/>
      <c r="L191" s="50" t="s">
        <v>1705</v>
      </c>
      <c r="M191" s="50" t="s">
        <v>1705</v>
      </c>
      <c r="N191" s="122">
        <v>43467.0</v>
      </c>
      <c r="O191" s="50">
        <v>1.0</v>
      </c>
      <c r="P191" s="50">
        <v>1.0</v>
      </c>
      <c r="Q191" s="116"/>
      <c r="R191" s="50" t="s">
        <v>20516</v>
      </c>
      <c r="S191" s="116"/>
      <c r="T191" s="144">
        <v>43798.0</v>
      </c>
      <c r="U191" s="50">
        <v>29.23</v>
      </c>
      <c r="V191" s="50">
        <v>9999.0</v>
      </c>
      <c r="W191" s="116"/>
      <c r="X191" s="116"/>
      <c r="Y191" s="144">
        <v>43798.0</v>
      </c>
      <c r="Z191" s="50">
        <v>9999.0</v>
      </c>
      <c r="AA191" s="50">
        <v>9999.0</v>
      </c>
      <c r="AB191" s="116"/>
      <c r="AC191" s="116"/>
      <c r="AD191" s="116"/>
      <c r="AE191" s="50">
        <v>1.0</v>
      </c>
      <c r="AF191" s="50" t="s">
        <v>18902</v>
      </c>
      <c r="AG191" s="117">
        <v>5796.0</v>
      </c>
      <c r="AH191" s="50" t="s">
        <v>20668</v>
      </c>
      <c r="AI191" s="50" t="s">
        <v>20670</v>
      </c>
      <c r="AJ191" s="117">
        <v>192.0</v>
      </c>
    </row>
    <row r="192">
      <c r="A192" s="50" t="s">
        <v>20664</v>
      </c>
      <c r="B192" s="50" t="s">
        <v>6876</v>
      </c>
      <c r="C192" s="50" t="s">
        <v>6877</v>
      </c>
      <c r="D192" s="50" t="s">
        <v>11623</v>
      </c>
      <c r="E192" s="144">
        <v>43801.0</v>
      </c>
      <c r="F192" s="50" t="s">
        <v>20671</v>
      </c>
      <c r="G192" s="50">
        <v>59.0</v>
      </c>
      <c r="H192" s="50">
        <v>1.0</v>
      </c>
      <c r="I192" s="50">
        <v>99.0</v>
      </c>
      <c r="J192" s="116"/>
      <c r="K192" s="116"/>
      <c r="L192" s="50" t="s">
        <v>320</v>
      </c>
      <c r="M192" s="50" t="s">
        <v>320</v>
      </c>
      <c r="N192" s="122">
        <v>43467.0</v>
      </c>
      <c r="O192" s="50">
        <v>1.0</v>
      </c>
      <c r="P192" s="50">
        <v>1.0</v>
      </c>
      <c r="Q192" s="116"/>
      <c r="R192" s="50" t="s">
        <v>20516</v>
      </c>
      <c r="S192" s="116"/>
      <c r="T192" s="144">
        <v>43798.0</v>
      </c>
      <c r="U192" s="50">
        <v>9999.0</v>
      </c>
      <c r="V192" s="50">
        <v>9999.0</v>
      </c>
      <c r="W192" s="116"/>
      <c r="X192" s="116"/>
      <c r="Y192" s="144">
        <v>43798.0</v>
      </c>
      <c r="Z192" s="50">
        <v>9999.0</v>
      </c>
      <c r="AA192" s="50">
        <v>9999.0</v>
      </c>
      <c r="AB192" s="116"/>
      <c r="AC192" s="116"/>
      <c r="AD192" s="50" t="s">
        <v>19771</v>
      </c>
      <c r="AE192" s="50">
        <v>1.0</v>
      </c>
      <c r="AF192" s="50" t="s">
        <v>18902</v>
      </c>
      <c r="AG192" s="117">
        <v>5797.0</v>
      </c>
      <c r="AH192" s="50" t="s">
        <v>20677</v>
      </c>
      <c r="AI192" s="50" t="s">
        <v>20679</v>
      </c>
      <c r="AJ192" s="117">
        <v>193.0</v>
      </c>
    </row>
    <row r="193">
      <c r="A193" s="50" t="s">
        <v>20671</v>
      </c>
      <c r="B193" s="50" t="s">
        <v>6876</v>
      </c>
      <c r="C193" s="50" t="s">
        <v>6877</v>
      </c>
      <c r="D193" s="50" t="s">
        <v>11623</v>
      </c>
      <c r="E193" s="144">
        <v>43801.0</v>
      </c>
      <c r="F193" s="50" t="s">
        <v>20682</v>
      </c>
      <c r="G193" s="50">
        <v>59.0</v>
      </c>
      <c r="H193" s="50">
        <v>1.0</v>
      </c>
      <c r="I193" s="50">
        <v>98.0</v>
      </c>
      <c r="J193" s="116"/>
      <c r="K193" s="116"/>
      <c r="L193" s="50" t="s">
        <v>1708</v>
      </c>
      <c r="M193" s="50" t="s">
        <v>1708</v>
      </c>
      <c r="N193" s="122">
        <v>43467.0</v>
      </c>
      <c r="O193" s="50">
        <v>1.0</v>
      </c>
      <c r="P193" s="50">
        <v>1.0</v>
      </c>
      <c r="Q193" s="116"/>
      <c r="R193" s="50" t="s">
        <v>20516</v>
      </c>
      <c r="S193" s="116"/>
      <c r="T193" s="144">
        <v>43798.0</v>
      </c>
      <c r="U193" s="50">
        <v>9999.0</v>
      </c>
      <c r="V193" s="50">
        <v>9999.0</v>
      </c>
      <c r="W193" s="116"/>
      <c r="X193" s="116"/>
      <c r="Y193" s="144">
        <v>43798.0</v>
      </c>
      <c r="Z193" s="50">
        <v>9999.0</v>
      </c>
      <c r="AA193" s="50">
        <v>9999.0</v>
      </c>
      <c r="AB193" s="116"/>
      <c r="AC193" s="116"/>
      <c r="AD193" s="116"/>
      <c r="AE193" s="50">
        <v>1.0</v>
      </c>
      <c r="AF193" s="50" t="s">
        <v>18902</v>
      </c>
      <c r="AG193" s="117">
        <v>5798.0</v>
      </c>
      <c r="AH193" s="50" t="s">
        <v>20684</v>
      </c>
      <c r="AI193" s="50" t="s">
        <v>20685</v>
      </c>
      <c r="AJ193" s="117">
        <v>194.0</v>
      </c>
    </row>
    <row r="194">
      <c r="A194" s="50" t="s">
        <v>20682</v>
      </c>
      <c r="B194" s="50" t="s">
        <v>6876</v>
      </c>
      <c r="C194" s="50" t="s">
        <v>6877</v>
      </c>
      <c r="D194" s="50" t="s">
        <v>11623</v>
      </c>
      <c r="E194" s="144">
        <v>43801.0</v>
      </c>
      <c r="F194" s="50" t="s">
        <v>20688</v>
      </c>
      <c r="G194" s="50">
        <v>66.0</v>
      </c>
      <c r="H194" s="50">
        <v>1.0</v>
      </c>
      <c r="I194" s="50">
        <v>16.0</v>
      </c>
      <c r="J194" s="116"/>
      <c r="K194" s="116"/>
      <c r="L194" s="50" t="s">
        <v>1699</v>
      </c>
      <c r="M194" s="50" t="s">
        <v>1699</v>
      </c>
      <c r="N194" s="122">
        <v>43467.0</v>
      </c>
      <c r="O194" s="50">
        <v>1.0</v>
      </c>
      <c r="P194" s="50">
        <v>1.0</v>
      </c>
      <c r="Q194" s="116"/>
      <c r="R194" s="50" t="s">
        <v>20516</v>
      </c>
      <c r="S194" s="116"/>
      <c r="T194" s="144">
        <v>43798.0</v>
      </c>
      <c r="U194" s="50">
        <v>35.41</v>
      </c>
      <c r="V194" s="50">
        <v>9999.0</v>
      </c>
      <c r="W194" s="116"/>
      <c r="X194" s="116"/>
      <c r="Y194" s="144">
        <v>43798.0</v>
      </c>
      <c r="Z194" s="50">
        <v>9999.0</v>
      </c>
      <c r="AA194" s="50">
        <v>9999.0</v>
      </c>
      <c r="AB194" s="116"/>
      <c r="AC194" s="116"/>
      <c r="AD194" s="116"/>
      <c r="AE194" s="50">
        <v>1.0</v>
      </c>
      <c r="AF194" s="50" t="s">
        <v>18902</v>
      </c>
      <c r="AG194" s="117">
        <v>5799.0</v>
      </c>
      <c r="AH194" s="50" t="s">
        <v>20690</v>
      </c>
      <c r="AI194" s="50" t="s">
        <v>20691</v>
      </c>
      <c r="AJ194" s="117">
        <v>195.0</v>
      </c>
    </row>
    <row r="195">
      <c r="A195" s="50" t="s">
        <v>20688</v>
      </c>
      <c r="B195" s="50" t="s">
        <v>6876</v>
      </c>
      <c r="C195" s="50" t="s">
        <v>6877</v>
      </c>
      <c r="D195" s="50" t="s">
        <v>11623</v>
      </c>
      <c r="E195" s="144">
        <v>43801.0</v>
      </c>
      <c r="F195" s="50" t="s">
        <v>20694</v>
      </c>
      <c r="G195" s="50">
        <v>57.0</v>
      </c>
      <c r="H195" s="50">
        <v>1.0</v>
      </c>
      <c r="I195" s="50">
        <v>12.0</v>
      </c>
      <c r="J195" s="116"/>
      <c r="K195" s="116"/>
      <c r="L195" s="50" t="s">
        <v>1681</v>
      </c>
      <c r="M195" s="50" t="s">
        <v>1681</v>
      </c>
      <c r="N195" s="122">
        <v>43467.0</v>
      </c>
      <c r="O195" s="50">
        <v>1.0</v>
      </c>
      <c r="P195" s="50">
        <v>1.0</v>
      </c>
      <c r="Q195" s="116"/>
      <c r="R195" s="50" t="s">
        <v>20516</v>
      </c>
      <c r="S195" s="116"/>
      <c r="T195" s="144">
        <v>43798.0</v>
      </c>
      <c r="U195" s="50">
        <v>26.13</v>
      </c>
      <c r="V195" s="50">
        <v>27.43</v>
      </c>
      <c r="W195" s="116"/>
      <c r="X195" s="116"/>
      <c r="Y195" s="144">
        <v>43798.0</v>
      </c>
      <c r="Z195" s="50">
        <v>38.5</v>
      </c>
      <c r="AA195" s="50">
        <v>37.69</v>
      </c>
      <c r="AB195" s="116"/>
      <c r="AC195" s="116"/>
      <c r="AD195" s="116"/>
      <c r="AE195" s="50">
        <v>1.0</v>
      </c>
      <c r="AF195" s="50" t="s">
        <v>18902</v>
      </c>
      <c r="AG195" s="117">
        <v>5800.0</v>
      </c>
      <c r="AH195" s="50" t="s">
        <v>20702</v>
      </c>
      <c r="AI195" s="50" t="s">
        <v>20703</v>
      </c>
      <c r="AJ195" s="117">
        <v>196.0</v>
      </c>
    </row>
    <row r="196">
      <c r="A196" s="50" t="s">
        <v>20704</v>
      </c>
      <c r="B196" s="50" t="s">
        <v>6876</v>
      </c>
      <c r="C196" s="50" t="s">
        <v>6877</v>
      </c>
      <c r="D196" s="50" t="s">
        <v>11623</v>
      </c>
      <c r="E196" s="144">
        <v>43803.0</v>
      </c>
      <c r="F196" s="50" t="s">
        <v>20706</v>
      </c>
      <c r="G196" s="50">
        <v>59.0</v>
      </c>
      <c r="H196" s="50">
        <v>1.0</v>
      </c>
      <c r="I196" s="50">
        <v>11.0</v>
      </c>
      <c r="J196" s="116"/>
      <c r="K196" s="116"/>
      <c r="L196" s="50" t="s">
        <v>1406</v>
      </c>
      <c r="M196" s="50" t="s">
        <v>1406</v>
      </c>
      <c r="N196" s="122">
        <v>43467.0</v>
      </c>
      <c r="O196" s="50">
        <v>1.0</v>
      </c>
      <c r="P196" s="50">
        <v>1.0</v>
      </c>
      <c r="Q196" s="116"/>
      <c r="R196" s="50" t="s">
        <v>20707</v>
      </c>
      <c r="S196" s="116"/>
      <c r="T196" s="144">
        <v>43761.0</v>
      </c>
      <c r="U196" s="50">
        <v>31.82</v>
      </c>
      <c r="V196" s="50">
        <v>32.12</v>
      </c>
      <c r="W196" s="116"/>
      <c r="X196" s="116"/>
      <c r="Y196" s="144">
        <v>43761.0</v>
      </c>
      <c r="Z196" s="50">
        <v>35.45</v>
      </c>
      <c r="AA196" s="50">
        <v>35.82</v>
      </c>
      <c r="AB196" s="116"/>
      <c r="AC196" s="116"/>
      <c r="AD196" s="116"/>
      <c r="AE196" s="50">
        <v>1.0</v>
      </c>
      <c r="AF196" s="50" t="s">
        <v>18902</v>
      </c>
      <c r="AG196" s="117">
        <v>5854.0</v>
      </c>
      <c r="AH196" s="50" t="s">
        <v>20711</v>
      </c>
      <c r="AI196" s="50" t="s">
        <v>20712</v>
      </c>
      <c r="AJ196" s="117">
        <v>197.0</v>
      </c>
    </row>
    <row r="197">
      <c r="A197" s="50" t="s">
        <v>20706</v>
      </c>
      <c r="B197" s="50" t="s">
        <v>6876</v>
      </c>
      <c r="C197" s="50" t="s">
        <v>6877</v>
      </c>
      <c r="D197" s="50" t="s">
        <v>11623</v>
      </c>
      <c r="E197" s="144">
        <v>43803.0</v>
      </c>
      <c r="F197" s="50" t="s">
        <v>20713</v>
      </c>
      <c r="G197" s="50">
        <v>59.0</v>
      </c>
      <c r="H197" s="50">
        <v>1.0</v>
      </c>
      <c r="I197" s="50">
        <v>11.0</v>
      </c>
      <c r="J197" s="116"/>
      <c r="K197" s="116"/>
      <c r="L197" s="50" t="s">
        <v>1408</v>
      </c>
      <c r="M197" s="50" t="s">
        <v>1408</v>
      </c>
      <c r="N197" s="122">
        <v>43467.0</v>
      </c>
      <c r="O197" s="50">
        <v>1.0</v>
      </c>
      <c r="P197" s="50">
        <v>1.0</v>
      </c>
      <c r="Q197" s="116"/>
      <c r="R197" s="50" t="s">
        <v>20707</v>
      </c>
      <c r="S197" s="116"/>
      <c r="T197" s="144">
        <v>43761.0</v>
      </c>
      <c r="U197" s="50">
        <v>29.82</v>
      </c>
      <c r="V197" s="50">
        <v>31.27</v>
      </c>
      <c r="W197" s="116"/>
      <c r="X197" s="116"/>
      <c r="Y197" s="144">
        <v>43761.0</v>
      </c>
      <c r="Z197" s="50">
        <v>36.27</v>
      </c>
      <c r="AA197" s="50">
        <v>36.3</v>
      </c>
      <c r="AB197" s="116"/>
      <c r="AC197" s="116"/>
      <c r="AD197" s="116"/>
      <c r="AE197" s="50">
        <v>1.0</v>
      </c>
      <c r="AF197" s="50" t="s">
        <v>18902</v>
      </c>
      <c r="AG197" s="117">
        <v>5855.0</v>
      </c>
      <c r="AH197" s="50" t="s">
        <v>20721</v>
      </c>
      <c r="AI197" s="50" t="s">
        <v>20722</v>
      </c>
      <c r="AJ197" s="117">
        <v>198.0</v>
      </c>
    </row>
    <row r="198">
      <c r="A198" s="50" t="s">
        <v>20713</v>
      </c>
      <c r="B198" s="50" t="s">
        <v>6876</v>
      </c>
      <c r="C198" s="50" t="s">
        <v>6877</v>
      </c>
      <c r="D198" s="50" t="s">
        <v>11623</v>
      </c>
      <c r="E198" s="144">
        <v>43803.0</v>
      </c>
      <c r="F198" s="50" t="s">
        <v>20725</v>
      </c>
      <c r="G198" s="50">
        <v>59.0</v>
      </c>
      <c r="H198" s="50">
        <v>1.0</v>
      </c>
      <c r="I198" s="50">
        <v>99.0</v>
      </c>
      <c r="J198" s="116"/>
      <c r="K198" s="116"/>
      <c r="L198" s="50" t="s">
        <v>1410</v>
      </c>
      <c r="M198" s="50" t="s">
        <v>1410</v>
      </c>
      <c r="N198" s="122">
        <v>43467.0</v>
      </c>
      <c r="O198" s="50">
        <v>1.0</v>
      </c>
      <c r="P198" s="50">
        <v>1.0</v>
      </c>
      <c r="Q198" s="116"/>
      <c r="R198" s="50" t="s">
        <v>20707</v>
      </c>
      <c r="S198" s="116"/>
      <c r="T198" s="144">
        <v>43761.0</v>
      </c>
      <c r="U198" s="50">
        <v>9999.0</v>
      </c>
      <c r="V198" s="50">
        <v>9999.0</v>
      </c>
      <c r="W198" s="116"/>
      <c r="X198" s="116"/>
      <c r="Y198" s="144">
        <v>43761.0</v>
      </c>
      <c r="Z198" s="50">
        <v>9999.0</v>
      </c>
      <c r="AA198" s="50">
        <v>9999.0</v>
      </c>
      <c r="AB198" s="116"/>
      <c r="AC198" s="116"/>
      <c r="AD198" s="116"/>
      <c r="AE198" s="50">
        <v>1.0</v>
      </c>
      <c r="AF198" s="50" t="s">
        <v>18902</v>
      </c>
      <c r="AG198" s="117">
        <v>5856.0</v>
      </c>
      <c r="AH198" s="50" t="s">
        <v>20729</v>
      </c>
      <c r="AI198" s="50" t="s">
        <v>20730</v>
      </c>
      <c r="AJ198" s="117">
        <v>199.0</v>
      </c>
    </row>
    <row r="199">
      <c r="A199" s="50" t="s">
        <v>20725</v>
      </c>
      <c r="B199" s="50" t="s">
        <v>6876</v>
      </c>
      <c r="C199" s="50" t="s">
        <v>6877</v>
      </c>
      <c r="D199" s="50" t="s">
        <v>11623</v>
      </c>
      <c r="E199" s="144">
        <v>43803.0</v>
      </c>
      <c r="F199" s="50" t="s">
        <v>20732</v>
      </c>
      <c r="G199" s="50">
        <v>59.0</v>
      </c>
      <c r="H199" s="50">
        <v>1.0</v>
      </c>
      <c r="I199" s="50">
        <v>11.0</v>
      </c>
      <c r="J199" s="116"/>
      <c r="K199" s="116"/>
      <c r="L199" s="50" t="s">
        <v>1412</v>
      </c>
      <c r="M199" s="50" t="s">
        <v>1412</v>
      </c>
      <c r="N199" s="122">
        <v>43467.0</v>
      </c>
      <c r="O199" s="50">
        <v>1.0</v>
      </c>
      <c r="P199" s="50">
        <v>1.0</v>
      </c>
      <c r="Q199" s="116"/>
      <c r="R199" s="50" t="s">
        <v>20707</v>
      </c>
      <c r="S199" s="116"/>
      <c r="T199" s="144">
        <v>43761.0</v>
      </c>
      <c r="U199" s="50">
        <v>33.55</v>
      </c>
      <c r="V199" s="50">
        <v>33.02</v>
      </c>
      <c r="W199" s="116"/>
      <c r="X199" s="116"/>
      <c r="Y199" s="144">
        <v>43761.0</v>
      </c>
      <c r="Z199" s="50">
        <v>34.74</v>
      </c>
      <c r="AA199" s="50">
        <v>34.86</v>
      </c>
      <c r="AB199" s="116"/>
      <c r="AC199" s="116"/>
      <c r="AD199" s="116"/>
      <c r="AE199" s="50">
        <v>1.0</v>
      </c>
      <c r="AF199" s="50" t="s">
        <v>18902</v>
      </c>
      <c r="AG199" s="117">
        <v>5857.0</v>
      </c>
      <c r="AH199" s="50" t="s">
        <v>20739</v>
      </c>
      <c r="AI199" s="50" t="s">
        <v>20741</v>
      </c>
      <c r="AJ199" s="117">
        <v>200.0</v>
      </c>
    </row>
    <row r="200">
      <c r="A200" s="50" t="s">
        <v>20732</v>
      </c>
      <c r="B200" s="50" t="s">
        <v>6876</v>
      </c>
      <c r="C200" s="50" t="s">
        <v>6877</v>
      </c>
      <c r="D200" s="50" t="s">
        <v>11623</v>
      </c>
      <c r="E200" s="144">
        <v>43803.0</v>
      </c>
      <c r="F200" s="50" t="s">
        <v>20742</v>
      </c>
      <c r="G200" s="50">
        <v>59.0</v>
      </c>
      <c r="H200" s="50">
        <v>1.0</v>
      </c>
      <c r="I200" s="50">
        <v>11.0</v>
      </c>
      <c r="J200" s="116"/>
      <c r="K200" s="116"/>
      <c r="L200" s="50" t="s">
        <v>1414</v>
      </c>
      <c r="M200" s="50" t="s">
        <v>1414</v>
      </c>
      <c r="N200" s="122">
        <v>43467.0</v>
      </c>
      <c r="O200" s="50">
        <v>1.0</v>
      </c>
      <c r="P200" s="50">
        <v>1.0</v>
      </c>
      <c r="Q200" s="116"/>
      <c r="R200" s="50" t="s">
        <v>20707</v>
      </c>
      <c r="S200" s="116"/>
      <c r="T200" s="144">
        <v>43761.0</v>
      </c>
      <c r="U200" s="50">
        <v>9999.0</v>
      </c>
      <c r="V200" s="50">
        <v>9999.0</v>
      </c>
      <c r="W200" s="116"/>
      <c r="X200" s="116"/>
      <c r="Y200" s="144">
        <v>43761.0</v>
      </c>
      <c r="Z200" s="50">
        <v>9999.0</v>
      </c>
      <c r="AA200" s="50">
        <v>9999.0</v>
      </c>
      <c r="AB200" s="116"/>
      <c r="AC200" s="116"/>
      <c r="AD200" s="116"/>
      <c r="AE200" s="50">
        <v>1.0</v>
      </c>
      <c r="AF200" s="50" t="s">
        <v>18902</v>
      </c>
      <c r="AG200" s="117">
        <v>5858.0</v>
      </c>
      <c r="AH200" s="50" t="s">
        <v>20746</v>
      </c>
      <c r="AI200" s="50" t="s">
        <v>20747</v>
      </c>
      <c r="AJ200" s="117">
        <v>201.0</v>
      </c>
    </row>
    <row r="201">
      <c r="A201" s="50" t="s">
        <v>20748</v>
      </c>
      <c r="B201" s="50" t="s">
        <v>6876</v>
      </c>
      <c r="C201" s="50" t="s">
        <v>6877</v>
      </c>
      <c r="D201" s="50" t="s">
        <v>11623</v>
      </c>
      <c r="E201" s="144">
        <v>43803.0</v>
      </c>
      <c r="F201" s="50" t="s">
        <v>20749</v>
      </c>
      <c r="G201" s="50">
        <v>59.0</v>
      </c>
      <c r="H201" s="50">
        <v>1.0</v>
      </c>
      <c r="I201" s="50">
        <v>99.0</v>
      </c>
      <c r="J201" s="116"/>
      <c r="K201" s="116"/>
      <c r="L201" s="50" t="s">
        <v>1416</v>
      </c>
      <c r="M201" s="50" t="s">
        <v>1416</v>
      </c>
      <c r="N201" s="122">
        <v>43467.0</v>
      </c>
      <c r="O201" s="50">
        <v>1.0</v>
      </c>
      <c r="P201" s="50">
        <v>1.0</v>
      </c>
      <c r="Q201" s="116"/>
      <c r="R201" s="50" t="s">
        <v>20707</v>
      </c>
      <c r="S201" s="116"/>
      <c r="T201" s="144">
        <v>43761.0</v>
      </c>
      <c r="U201" s="50">
        <v>9999.0</v>
      </c>
      <c r="V201" s="50">
        <v>9999.0</v>
      </c>
      <c r="W201" s="116"/>
      <c r="X201" s="116"/>
      <c r="Y201" s="144">
        <v>43761.0</v>
      </c>
      <c r="Z201" s="50">
        <v>9999.0</v>
      </c>
      <c r="AA201" s="50">
        <v>9999.0</v>
      </c>
      <c r="AB201" s="116"/>
      <c r="AC201" s="116"/>
      <c r="AD201" s="50" t="s">
        <v>20753</v>
      </c>
      <c r="AE201" s="50">
        <v>1.0</v>
      </c>
      <c r="AF201" s="50" t="s">
        <v>18902</v>
      </c>
      <c r="AG201" s="117">
        <v>5859.0</v>
      </c>
      <c r="AH201" s="50" t="s">
        <v>20754</v>
      </c>
      <c r="AI201" s="50" t="s">
        <v>20756</v>
      </c>
      <c r="AJ201" s="117">
        <v>202.0</v>
      </c>
    </row>
    <row r="202">
      <c r="A202" s="50" t="s">
        <v>20749</v>
      </c>
      <c r="B202" s="50" t="s">
        <v>6876</v>
      </c>
      <c r="C202" s="50" t="s">
        <v>6877</v>
      </c>
      <c r="D202" s="50" t="s">
        <v>11623</v>
      </c>
      <c r="E202" s="144">
        <v>43803.0</v>
      </c>
      <c r="F202" s="50" t="s">
        <v>20760</v>
      </c>
      <c r="G202" s="50">
        <v>66.0</v>
      </c>
      <c r="H202" s="50">
        <v>1.0</v>
      </c>
      <c r="I202" s="50">
        <v>12.0</v>
      </c>
      <c r="J202" s="116"/>
      <c r="K202" s="116"/>
      <c r="L202" s="50" t="s">
        <v>1398</v>
      </c>
      <c r="M202" s="50" t="s">
        <v>1398</v>
      </c>
      <c r="N202" s="122">
        <v>43467.0</v>
      </c>
      <c r="O202" s="50">
        <v>1.0</v>
      </c>
      <c r="P202" s="50">
        <v>1.0</v>
      </c>
      <c r="Q202" s="116"/>
      <c r="R202" s="50" t="s">
        <v>20707</v>
      </c>
      <c r="S202" s="116"/>
      <c r="T202" s="144">
        <v>43761.0</v>
      </c>
      <c r="U202" s="50">
        <v>24.55</v>
      </c>
      <c r="V202" s="50">
        <v>24.45</v>
      </c>
      <c r="W202" s="116"/>
      <c r="X202" s="116"/>
      <c r="Y202" s="144">
        <v>43761.0</v>
      </c>
      <c r="Z202" s="50">
        <v>31.92</v>
      </c>
      <c r="AA202" s="50">
        <v>32.17</v>
      </c>
      <c r="AB202" s="116"/>
      <c r="AC202" s="116"/>
      <c r="AD202" s="116"/>
      <c r="AE202" s="50">
        <v>1.0</v>
      </c>
      <c r="AF202" s="50" t="s">
        <v>18902</v>
      </c>
      <c r="AG202" s="117">
        <v>5860.0</v>
      </c>
      <c r="AH202" s="50" t="s">
        <v>20770</v>
      </c>
      <c r="AI202" s="50" t="s">
        <v>20772</v>
      </c>
      <c r="AJ202" s="117">
        <v>203.0</v>
      </c>
    </row>
    <row r="203">
      <c r="A203" s="50" t="s">
        <v>20760</v>
      </c>
      <c r="B203" s="50" t="s">
        <v>6876</v>
      </c>
      <c r="C203" s="50" t="s">
        <v>6877</v>
      </c>
      <c r="D203" s="50" t="s">
        <v>11623</v>
      </c>
      <c r="E203" s="144">
        <v>43803.0</v>
      </c>
      <c r="F203" s="50" t="s">
        <v>20774</v>
      </c>
      <c r="G203" s="50">
        <v>59.0</v>
      </c>
      <c r="H203" s="50">
        <v>1.0</v>
      </c>
      <c r="I203" s="50">
        <v>12.0</v>
      </c>
      <c r="J203" s="116"/>
      <c r="K203" s="116"/>
      <c r="L203" s="50" t="s">
        <v>1402</v>
      </c>
      <c r="M203" s="50" t="s">
        <v>1402</v>
      </c>
      <c r="N203" s="122">
        <v>43467.0</v>
      </c>
      <c r="O203" s="50">
        <v>1.0</v>
      </c>
      <c r="P203" s="50">
        <v>1.0</v>
      </c>
      <c r="Q203" s="116"/>
      <c r="R203" s="50" t="s">
        <v>20707</v>
      </c>
      <c r="S203" s="116"/>
      <c r="T203" s="144">
        <v>43761.0</v>
      </c>
      <c r="U203" s="50">
        <v>23.54</v>
      </c>
      <c r="V203" s="50">
        <v>23.49</v>
      </c>
      <c r="W203" s="116"/>
      <c r="X203" s="116"/>
      <c r="Y203" s="144">
        <v>43761.0</v>
      </c>
      <c r="Z203" s="50">
        <v>31.97</v>
      </c>
      <c r="AA203" s="50">
        <v>31.99</v>
      </c>
      <c r="AB203" s="116"/>
      <c r="AC203" s="116"/>
      <c r="AD203" s="116"/>
      <c r="AE203" s="50">
        <v>1.0</v>
      </c>
      <c r="AF203" s="50" t="s">
        <v>18902</v>
      </c>
      <c r="AG203" s="117">
        <v>5861.0</v>
      </c>
      <c r="AH203" s="50" t="s">
        <v>20781</v>
      </c>
      <c r="AI203" s="50" t="s">
        <v>20782</v>
      </c>
      <c r="AJ203" s="117">
        <v>204.0</v>
      </c>
    </row>
    <row r="204">
      <c r="A204" s="50" t="s">
        <v>20774</v>
      </c>
      <c r="B204" s="50" t="s">
        <v>6876</v>
      </c>
      <c r="C204" s="50" t="s">
        <v>6877</v>
      </c>
      <c r="D204" s="50" t="s">
        <v>11623</v>
      </c>
      <c r="E204" s="144">
        <v>43803.0</v>
      </c>
      <c r="F204" s="50" t="s">
        <v>20784</v>
      </c>
      <c r="G204" s="50">
        <v>59.0</v>
      </c>
      <c r="H204" s="50">
        <v>1.0</v>
      </c>
      <c r="I204" s="50">
        <v>99.0</v>
      </c>
      <c r="J204" s="116"/>
      <c r="K204" s="116"/>
      <c r="L204" s="50" t="s">
        <v>1405</v>
      </c>
      <c r="M204" s="50" t="s">
        <v>1405</v>
      </c>
      <c r="N204" s="122">
        <v>43467.0</v>
      </c>
      <c r="O204" s="50">
        <v>1.0</v>
      </c>
      <c r="P204" s="50">
        <v>1.0</v>
      </c>
      <c r="Q204" s="116"/>
      <c r="R204" s="50" t="s">
        <v>20707</v>
      </c>
      <c r="S204" s="116"/>
      <c r="T204" s="144">
        <v>43761.0</v>
      </c>
      <c r="U204" s="50">
        <v>9999.0</v>
      </c>
      <c r="V204" s="50">
        <v>9999.0</v>
      </c>
      <c r="W204" s="116"/>
      <c r="X204" s="116"/>
      <c r="Y204" s="144">
        <v>43761.0</v>
      </c>
      <c r="Z204" s="50">
        <v>9999.0</v>
      </c>
      <c r="AA204" s="50">
        <v>9999.0</v>
      </c>
      <c r="AB204" s="116"/>
      <c r="AC204" s="116"/>
      <c r="AD204" s="50" t="s">
        <v>20796</v>
      </c>
      <c r="AE204" s="50">
        <v>1.0</v>
      </c>
      <c r="AF204" s="50" t="s">
        <v>18902</v>
      </c>
      <c r="AG204" s="117">
        <v>5862.0</v>
      </c>
      <c r="AH204" s="50" t="s">
        <v>20799</v>
      </c>
      <c r="AI204" s="50" t="s">
        <v>20800</v>
      </c>
      <c r="AJ204" s="117">
        <v>205.0</v>
      </c>
    </row>
    <row r="205">
      <c r="A205" s="50" t="s">
        <v>20784</v>
      </c>
      <c r="B205" s="50" t="s">
        <v>6876</v>
      </c>
      <c r="C205" s="50" t="s">
        <v>6877</v>
      </c>
      <c r="D205" s="50" t="s">
        <v>11623</v>
      </c>
      <c r="E205" s="144">
        <v>43803.0</v>
      </c>
      <c r="F205" s="50" t="s">
        <v>20802</v>
      </c>
      <c r="G205" s="50">
        <v>66.0</v>
      </c>
      <c r="H205" s="50">
        <v>1.0</v>
      </c>
      <c r="I205" s="50">
        <v>99.0</v>
      </c>
      <c r="J205" s="116"/>
      <c r="K205" s="116"/>
      <c r="L205" s="50" t="s">
        <v>1401</v>
      </c>
      <c r="M205" s="50" t="s">
        <v>1401</v>
      </c>
      <c r="N205" s="122">
        <v>43467.0</v>
      </c>
      <c r="O205" s="50">
        <v>1.0</v>
      </c>
      <c r="P205" s="50">
        <v>1.0</v>
      </c>
      <c r="Q205" s="116"/>
      <c r="R205" s="50" t="s">
        <v>20707</v>
      </c>
      <c r="S205" s="116"/>
      <c r="T205" s="144">
        <v>43761.0</v>
      </c>
      <c r="U205" s="50">
        <v>9999.0</v>
      </c>
      <c r="V205" s="50">
        <v>9999.0</v>
      </c>
      <c r="W205" s="116"/>
      <c r="X205" s="116"/>
      <c r="Y205" s="144">
        <v>43761.0</v>
      </c>
      <c r="Z205" s="50">
        <v>9999.0</v>
      </c>
      <c r="AA205" s="50">
        <v>9999.0</v>
      </c>
      <c r="AB205" s="116"/>
      <c r="AC205" s="116"/>
      <c r="AD205" s="50" t="s">
        <v>20807</v>
      </c>
      <c r="AE205" s="50">
        <v>1.0</v>
      </c>
      <c r="AF205" s="50" t="s">
        <v>18902</v>
      </c>
      <c r="AG205" s="117">
        <v>5863.0</v>
      </c>
      <c r="AH205" s="50" t="s">
        <v>20808</v>
      </c>
      <c r="AI205" s="50" t="s">
        <v>20810</v>
      </c>
      <c r="AJ205" s="117">
        <v>206.0</v>
      </c>
    </row>
    <row r="206">
      <c r="A206" s="50" t="s">
        <v>20802</v>
      </c>
      <c r="B206" s="50" t="s">
        <v>6876</v>
      </c>
      <c r="C206" s="50" t="s">
        <v>6877</v>
      </c>
      <c r="D206" s="50" t="s">
        <v>11623</v>
      </c>
      <c r="E206" s="144">
        <v>43803.0</v>
      </c>
      <c r="F206" s="50" t="s">
        <v>20814</v>
      </c>
      <c r="G206" s="50">
        <v>59.0</v>
      </c>
      <c r="H206" s="50">
        <v>1.0</v>
      </c>
      <c r="I206" s="50">
        <v>11.0</v>
      </c>
      <c r="J206" s="116"/>
      <c r="K206" s="116"/>
      <c r="L206" s="50" t="s">
        <v>1422</v>
      </c>
      <c r="M206" s="50" t="s">
        <v>1422</v>
      </c>
      <c r="N206" s="122">
        <v>43467.0</v>
      </c>
      <c r="O206" s="50">
        <v>1.0</v>
      </c>
      <c r="P206" s="50">
        <v>1.0</v>
      </c>
      <c r="Q206" s="116"/>
      <c r="R206" s="50" t="s">
        <v>20817</v>
      </c>
      <c r="S206" s="116"/>
      <c r="T206" s="144">
        <v>43768.0</v>
      </c>
      <c r="U206" s="50">
        <v>32.46</v>
      </c>
      <c r="V206" s="50">
        <v>32.31</v>
      </c>
      <c r="W206" s="116"/>
      <c r="X206" s="116"/>
      <c r="Y206" s="144">
        <v>43768.0</v>
      </c>
      <c r="Z206" s="50">
        <v>38.13</v>
      </c>
      <c r="AA206" s="50">
        <v>36.87</v>
      </c>
      <c r="AB206" s="116"/>
      <c r="AC206" s="116"/>
      <c r="AD206" s="116"/>
      <c r="AE206" s="50">
        <v>1.0</v>
      </c>
      <c r="AF206" s="50" t="s">
        <v>18902</v>
      </c>
      <c r="AG206" s="117">
        <v>5864.0</v>
      </c>
      <c r="AH206" s="50" t="s">
        <v>20823</v>
      </c>
      <c r="AI206" s="50" t="s">
        <v>20826</v>
      </c>
      <c r="AJ206" s="117">
        <v>207.0</v>
      </c>
    </row>
    <row r="207">
      <c r="A207" s="50" t="s">
        <v>20814</v>
      </c>
      <c r="B207" s="50" t="s">
        <v>6876</v>
      </c>
      <c r="C207" s="50" t="s">
        <v>6877</v>
      </c>
      <c r="D207" s="50" t="s">
        <v>11623</v>
      </c>
      <c r="E207" s="144">
        <v>43803.0</v>
      </c>
      <c r="F207" s="50" t="s">
        <v>20829</v>
      </c>
      <c r="G207" s="50">
        <v>59.0</v>
      </c>
      <c r="H207" s="50">
        <v>1.0</v>
      </c>
      <c r="I207" s="50">
        <v>99.0</v>
      </c>
      <c r="J207" s="116"/>
      <c r="K207" s="116"/>
      <c r="L207" s="50" t="s">
        <v>1424</v>
      </c>
      <c r="M207" s="50" t="s">
        <v>1424</v>
      </c>
      <c r="N207" s="122">
        <v>43467.0</v>
      </c>
      <c r="O207" s="50">
        <v>1.0</v>
      </c>
      <c r="P207" s="50">
        <v>1.0</v>
      </c>
      <c r="Q207" s="116"/>
      <c r="R207" s="50" t="s">
        <v>20817</v>
      </c>
      <c r="S207" s="116"/>
      <c r="T207" s="144">
        <v>43768.0</v>
      </c>
      <c r="U207" s="50">
        <v>9999.0</v>
      </c>
      <c r="V207" s="50">
        <v>9999.0</v>
      </c>
      <c r="W207" s="116"/>
      <c r="X207" s="116"/>
      <c r="Y207" s="144">
        <v>43768.0</v>
      </c>
      <c r="Z207" s="50">
        <v>9999.0</v>
      </c>
      <c r="AA207" s="50">
        <v>9999.0</v>
      </c>
      <c r="AB207" s="116"/>
      <c r="AC207" s="116"/>
      <c r="AD207" s="50" t="s">
        <v>20832</v>
      </c>
      <c r="AE207" s="50">
        <v>1.0</v>
      </c>
      <c r="AF207" s="50" t="s">
        <v>18902</v>
      </c>
      <c r="AG207" s="117">
        <v>5865.0</v>
      </c>
      <c r="AH207" s="50" t="s">
        <v>20834</v>
      </c>
      <c r="AI207" s="50" t="s">
        <v>20835</v>
      </c>
      <c r="AJ207" s="117">
        <v>208.0</v>
      </c>
    </row>
    <row r="208">
      <c r="A208" s="50" t="s">
        <v>20836</v>
      </c>
      <c r="B208" s="50" t="s">
        <v>6876</v>
      </c>
      <c r="C208" s="50" t="s">
        <v>6877</v>
      </c>
      <c r="D208" s="50" t="s">
        <v>11623</v>
      </c>
      <c r="E208" s="144">
        <v>43803.0</v>
      </c>
      <c r="F208" s="50" t="s">
        <v>20839</v>
      </c>
      <c r="G208" s="50">
        <v>59.0</v>
      </c>
      <c r="H208" s="50">
        <v>1.0</v>
      </c>
      <c r="I208" s="50">
        <v>11.0</v>
      </c>
      <c r="J208" s="116"/>
      <c r="K208" s="116"/>
      <c r="L208" s="50" t="s">
        <v>1426</v>
      </c>
      <c r="M208" s="50" t="s">
        <v>1426</v>
      </c>
      <c r="N208" s="122">
        <v>43467.0</v>
      </c>
      <c r="O208" s="50">
        <v>1.0</v>
      </c>
      <c r="P208" s="50">
        <v>1.0</v>
      </c>
      <c r="Q208" s="116"/>
      <c r="R208" s="50" t="s">
        <v>20817</v>
      </c>
      <c r="S208" s="116"/>
      <c r="T208" s="144">
        <v>43768.0</v>
      </c>
      <c r="U208" s="50">
        <v>27.27</v>
      </c>
      <c r="V208" s="50">
        <v>27.58</v>
      </c>
      <c r="W208" s="116"/>
      <c r="X208" s="116"/>
      <c r="Y208" s="144">
        <v>43768.0</v>
      </c>
      <c r="Z208" s="50">
        <v>36.97</v>
      </c>
      <c r="AA208" s="50">
        <v>38.89</v>
      </c>
      <c r="AB208" s="116"/>
      <c r="AC208" s="116"/>
      <c r="AD208" s="116"/>
      <c r="AE208" s="50">
        <v>1.0</v>
      </c>
      <c r="AF208" s="50" t="s">
        <v>18902</v>
      </c>
      <c r="AG208" s="117">
        <v>5866.0</v>
      </c>
      <c r="AH208" s="50" t="s">
        <v>20844</v>
      </c>
      <c r="AI208" s="50" t="s">
        <v>20846</v>
      </c>
      <c r="AJ208" s="117">
        <v>209.0</v>
      </c>
    </row>
    <row r="209">
      <c r="A209" s="50" t="s">
        <v>20839</v>
      </c>
      <c r="B209" s="50" t="s">
        <v>6876</v>
      </c>
      <c r="C209" s="50" t="s">
        <v>6877</v>
      </c>
      <c r="D209" s="50" t="s">
        <v>11623</v>
      </c>
      <c r="E209" s="144">
        <v>43803.0</v>
      </c>
      <c r="F209" s="50" t="s">
        <v>20849</v>
      </c>
      <c r="G209" s="50">
        <v>59.0</v>
      </c>
      <c r="H209" s="50">
        <v>1.0</v>
      </c>
      <c r="I209" s="50">
        <v>99.0</v>
      </c>
      <c r="J209" s="116"/>
      <c r="K209" s="116"/>
      <c r="L209" s="50" t="s">
        <v>1429</v>
      </c>
      <c r="M209" s="50" t="s">
        <v>1429</v>
      </c>
      <c r="N209" s="122">
        <v>43467.0</v>
      </c>
      <c r="O209" s="50">
        <v>1.0</v>
      </c>
      <c r="P209" s="50">
        <v>1.0</v>
      </c>
      <c r="Q209" s="116"/>
      <c r="R209" s="50" t="s">
        <v>20817</v>
      </c>
      <c r="S209" s="116"/>
      <c r="T209" s="144">
        <v>43768.0</v>
      </c>
      <c r="U209" s="50">
        <v>9999.0</v>
      </c>
      <c r="V209" s="50">
        <v>9999.0</v>
      </c>
      <c r="W209" s="116"/>
      <c r="X209" s="116"/>
      <c r="Y209" s="144">
        <v>43768.0</v>
      </c>
      <c r="Z209" s="50">
        <v>9999.0</v>
      </c>
      <c r="AA209" s="50">
        <v>9999.0</v>
      </c>
      <c r="AB209" s="116"/>
      <c r="AC209" s="116"/>
      <c r="AD209" s="50" t="s">
        <v>20851</v>
      </c>
      <c r="AE209" s="50">
        <v>1.0</v>
      </c>
      <c r="AF209" s="50" t="s">
        <v>18902</v>
      </c>
      <c r="AG209" s="117">
        <v>5867.0</v>
      </c>
      <c r="AH209" s="50" t="s">
        <v>20853</v>
      </c>
      <c r="AI209" s="50" t="s">
        <v>20855</v>
      </c>
      <c r="AJ209" s="117">
        <v>210.0</v>
      </c>
    </row>
    <row r="210">
      <c r="A210" s="50" t="s">
        <v>20849</v>
      </c>
      <c r="B210" s="50" t="s">
        <v>6876</v>
      </c>
      <c r="C210" s="50" t="s">
        <v>6877</v>
      </c>
      <c r="D210" s="50" t="s">
        <v>11623</v>
      </c>
      <c r="E210" s="144">
        <v>43803.0</v>
      </c>
      <c r="F210" s="50" t="s">
        <v>20857</v>
      </c>
      <c r="G210" s="50">
        <v>59.0</v>
      </c>
      <c r="H210" s="50">
        <v>1.0</v>
      </c>
      <c r="I210" s="50">
        <v>11.0</v>
      </c>
      <c r="J210" s="116"/>
      <c r="K210" s="116"/>
      <c r="L210" s="50" t="s">
        <v>1430</v>
      </c>
      <c r="M210" s="50" t="s">
        <v>1430</v>
      </c>
      <c r="N210" s="122">
        <v>43467.0</v>
      </c>
      <c r="O210" s="50">
        <v>1.0</v>
      </c>
      <c r="P210" s="50">
        <v>1.0</v>
      </c>
      <c r="Q210" s="116"/>
      <c r="R210" s="50" t="s">
        <v>20817</v>
      </c>
      <c r="S210" s="116"/>
      <c r="T210" s="144">
        <v>43768.0</v>
      </c>
      <c r="U210" s="50">
        <v>28.28</v>
      </c>
      <c r="V210" s="50">
        <v>28.41</v>
      </c>
      <c r="W210" s="116"/>
      <c r="X210" s="116"/>
      <c r="Y210" s="144">
        <v>43768.0</v>
      </c>
      <c r="Z210" s="50">
        <v>36.64</v>
      </c>
      <c r="AA210" s="50">
        <v>37.01</v>
      </c>
      <c r="AB210" s="116"/>
      <c r="AC210" s="116"/>
      <c r="AD210" s="116"/>
      <c r="AE210" s="50">
        <v>1.0</v>
      </c>
      <c r="AF210" s="50" t="s">
        <v>18902</v>
      </c>
      <c r="AG210" s="117">
        <v>5868.0</v>
      </c>
      <c r="AH210" s="50" t="s">
        <v>20862</v>
      </c>
      <c r="AI210" s="50" t="s">
        <v>20863</v>
      </c>
      <c r="AJ210" s="117">
        <v>211.0</v>
      </c>
    </row>
    <row r="211">
      <c r="A211" s="50" t="s">
        <v>20857</v>
      </c>
      <c r="B211" s="50" t="s">
        <v>6876</v>
      </c>
      <c r="C211" s="50" t="s">
        <v>6877</v>
      </c>
      <c r="D211" s="50" t="s">
        <v>11623</v>
      </c>
      <c r="E211" s="144">
        <v>43803.0</v>
      </c>
      <c r="F211" s="50" t="s">
        <v>20867</v>
      </c>
      <c r="G211" s="50">
        <v>59.0</v>
      </c>
      <c r="H211" s="50">
        <v>1.0</v>
      </c>
      <c r="I211" s="50">
        <v>99.0</v>
      </c>
      <c r="J211" s="116"/>
      <c r="K211" s="116"/>
      <c r="L211" s="50" t="s">
        <v>1433</v>
      </c>
      <c r="M211" s="50" t="s">
        <v>1433</v>
      </c>
      <c r="N211" s="122">
        <v>43467.0</v>
      </c>
      <c r="O211" s="50">
        <v>1.0</v>
      </c>
      <c r="P211" s="50">
        <v>1.0</v>
      </c>
      <c r="Q211" s="116"/>
      <c r="R211" s="50" t="s">
        <v>20817</v>
      </c>
      <c r="S211" s="116"/>
      <c r="T211" s="144">
        <v>43768.0</v>
      </c>
      <c r="U211" s="50">
        <v>9999.0</v>
      </c>
      <c r="V211" s="50">
        <v>9999.0</v>
      </c>
      <c r="W211" s="116"/>
      <c r="X211" s="116"/>
      <c r="Y211" s="144">
        <v>43768.0</v>
      </c>
      <c r="Z211" s="50">
        <v>9999.0</v>
      </c>
      <c r="AA211" s="50">
        <v>9999.0</v>
      </c>
      <c r="AB211" s="116"/>
      <c r="AC211" s="116"/>
      <c r="AD211" s="50" t="s">
        <v>20874</v>
      </c>
      <c r="AE211" s="50">
        <v>1.0</v>
      </c>
      <c r="AF211" s="50" t="s">
        <v>18902</v>
      </c>
      <c r="AG211" s="117">
        <v>5869.0</v>
      </c>
      <c r="AH211" s="50" t="s">
        <v>20877</v>
      </c>
      <c r="AI211" s="50" t="s">
        <v>20878</v>
      </c>
      <c r="AJ211" s="117">
        <v>212.0</v>
      </c>
    </row>
    <row r="212">
      <c r="A212" s="50" t="s">
        <v>20867</v>
      </c>
      <c r="B212" s="50" t="s">
        <v>6876</v>
      </c>
      <c r="C212" s="50" t="s">
        <v>6877</v>
      </c>
      <c r="D212" s="50" t="s">
        <v>11623</v>
      </c>
      <c r="E212" s="144">
        <v>43803.0</v>
      </c>
      <c r="F212" s="50" t="s">
        <v>20880</v>
      </c>
      <c r="G212" s="50">
        <v>59.0</v>
      </c>
      <c r="H212" s="50">
        <v>1.0</v>
      </c>
      <c r="I212" s="50">
        <v>11.0</v>
      </c>
      <c r="J212" s="116"/>
      <c r="K212" s="116"/>
      <c r="L212" s="50" t="s">
        <v>1434</v>
      </c>
      <c r="M212" s="50" t="s">
        <v>1434</v>
      </c>
      <c r="N212" s="122">
        <v>43467.0</v>
      </c>
      <c r="O212" s="50">
        <v>1.0</v>
      </c>
      <c r="P212" s="50">
        <v>1.0</v>
      </c>
      <c r="Q212" s="116"/>
      <c r="R212" s="50" t="s">
        <v>20817</v>
      </c>
      <c r="S212" s="116"/>
      <c r="T212" s="144">
        <v>43768.0</v>
      </c>
      <c r="U212" s="50">
        <v>30.44</v>
      </c>
      <c r="V212" s="50">
        <v>29.88</v>
      </c>
      <c r="W212" s="116"/>
      <c r="X212" s="116"/>
      <c r="Y212" s="144">
        <v>43768.0</v>
      </c>
      <c r="Z212" s="50">
        <v>37.71</v>
      </c>
      <c r="AA212" s="50">
        <v>37.91</v>
      </c>
      <c r="AB212" s="116"/>
      <c r="AC212" s="116"/>
      <c r="AD212" s="116"/>
      <c r="AE212" s="50">
        <v>1.0</v>
      </c>
      <c r="AF212" s="50" t="s">
        <v>18902</v>
      </c>
      <c r="AG212" s="117">
        <v>5870.0</v>
      </c>
      <c r="AH212" s="50" t="s">
        <v>20885</v>
      </c>
      <c r="AI212" s="50" t="s">
        <v>20886</v>
      </c>
      <c r="AJ212" s="117">
        <v>213.0</v>
      </c>
    </row>
    <row r="213">
      <c r="A213" s="50" t="s">
        <v>20880</v>
      </c>
      <c r="B213" s="50" t="s">
        <v>6876</v>
      </c>
      <c r="C213" s="50" t="s">
        <v>6877</v>
      </c>
      <c r="D213" s="50" t="s">
        <v>11623</v>
      </c>
      <c r="E213" s="144">
        <v>43803.0</v>
      </c>
      <c r="F213" s="50" t="s">
        <v>20889</v>
      </c>
      <c r="G213" s="50">
        <v>59.0</v>
      </c>
      <c r="H213" s="50">
        <v>1.0</v>
      </c>
      <c r="I213" s="50">
        <v>99.0</v>
      </c>
      <c r="J213" s="116"/>
      <c r="K213" s="116"/>
      <c r="L213" s="50" t="s">
        <v>1437</v>
      </c>
      <c r="M213" s="50" t="s">
        <v>1437</v>
      </c>
      <c r="N213" s="122">
        <v>43467.0</v>
      </c>
      <c r="O213" s="50">
        <v>1.0</v>
      </c>
      <c r="P213" s="50">
        <v>1.0</v>
      </c>
      <c r="Q213" s="116"/>
      <c r="R213" s="50" t="s">
        <v>20817</v>
      </c>
      <c r="S213" s="116"/>
      <c r="T213" s="144">
        <v>43768.0</v>
      </c>
      <c r="U213" s="50">
        <v>9999.0</v>
      </c>
      <c r="V213" s="50">
        <v>9999.0</v>
      </c>
      <c r="W213" s="116"/>
      <c r="X213" s="116"/>
      <c r="Y213" s="144">
        <v>43768.0</v>
      </c>
      <c r="Z213" s="50">
        <v>9999.0</v>
      </c>
      <c r="AA213" s="50">
        <v>9999.0</v>
      </c>
      <c r="AB213" s="116"/>
      <c r="AC213" s="116"/>
      <c r="AD213" s="50" t="s">
        <v>20895</v>
      </c>
      <c r="AE213" s="50">
        <v>1.0</v>
      </c>
      <c r="AF213" s="50" t="s">
        <v>18902</v>
      </c>
      <c r="AG213" s="117">
        <v>5871.0</v>
      </c>
      <c r="AH213" s="50" t="s">
        <v>20899</v>
      </c>
      <c r="AI213" s="50" t="s">
        <v>20900</v>
      </c>
      <c r="AJ213" s="117">
        <v>214.0</v>
      </c>
    </row>
    <row r="214">
      <c r="A214" s="50" t="s">
        <v>20901</v>
      </c>
      <c r="B214" s="50" t="s">
        <v>6876</v>
      </c>
      <c r="C214" s="50" t="s">
        <v>6877</v>
      </c>
      <c r="D214" s="50" t="s">
        <v>11623</v>
      </c>
      <c r="E214" s="144">
        <v>43803.0</v>
      </c>
      <c r="F214" s="50" t="s">
        <v>20905</v>
      </c>
      <c r="G214" s="50">
        <v>59.0</v>
      </c>
      <c r="H214" s="50">
        <v>1.0</v>
      </c>
      <c r="I214" s="50">
        <v>11.0</v>
      </c>
      <c r="J214" s="116"/>
      <c r="K214" s="116"/>
      <c r="L214" s="50" t="s">
        <v>1371</v>
      </c>
      <c r="M214" s="50" t="s">
        <v>1371</v>
      </c>
      <c r="N214" s="122">
        <v>43467.0</v>
      </c>
      <c r="O214" s="50">
        <v>1.0</v>
      </c>
      <c r="P214" s="50">
        <v>1.0</v>
      </c>
      <c r="Q214" s="116"/>
      <c r="R214" s="50" t="s">
        <v>20907</v>
      </c>
      <c r="S214" s="116"/>
      <c r="T214" s="144">
        <v>43762.0</v>
      </c>
      <c r="U214" s="50">
        <v>21.92</v>
      </c>
      <c r="V214" s="50">
        <v>22.0</v>
      </c>
      <c r="W214" s="116"/>
      <c r="X214" s="116"/>
      <c r="Y214" s="144">
        <v>43762.0</v>
      </c>
      <c r="Z214" s="50">
        <v>31.83</v>
      </c>
      <c r="AA214" s="50">
        <v>31.75</v>
      </c>
      <c r="AB214" s="116"/>
      <c r="AC214" s="116"/>
      <c r="AD214" s="116"/>
      <c r="AE214" s="50">
        <v>1.0</v>
      </c>
      <c r="AF214" s="50" t="s">
        <v>18902</v>
      </c>
      <c r="AG214" s="117">
        <v>5872.0</v>
      </c>
      <c r="AH214" s="50" t="s">
        <v>20911</v>
      </c>
      <c r="AI214" s="50" t="s">
        <v>20912</v>
      </c>
      <c r="AJ214" s="117">
        <v>215.0</v>
      </c>
    </row>
    <row r="215">
      <c r="A215" s="50" t="s">
        <v>20913</v>
      </c>
      <c r="B215" s="50" t="s">
        <v>6876</v>
      </c>
      <c r="C215" s="50" t="s">
        <v>6877</v>
      </c>
      <c r="D215" s="50" t="s">
        <v>11623</v>
      </c>
      <c r="E215" s="144">
        <v>43803.0</v>
      </c>
      <c r="F215" s="50" t="s">
        <v>20914</v>
      </c>
      <c r="G215" s="50">
        <v>59.0</v>
      </c>
      <c r="H215" s="50">
        <v>1.0</v>
      </c>
      <c r="I215" s="50">
        <v>11.0</v>
      </c>
      <c r="J215" s="116"/>
      <c r="K215" s="116"/>
      <c r="L215" s="50" t="s">
        <v>1373</v>
      </c>
      <c r="M215" s="50" t="s">
        <v>1373</v>
      </c>
      <c r="N215" s="122">
        <v>43467.0</v>
      </c>
      <c r="O215" s="50">
        <v>1.0</v>
      </c>
      <c r="P215" s="50">
        <v>1.0</v>
      </c>
      <c r="Q215" s="116"/>
      <c r="R215" s="50" t="s">
        <v>20907</v>
      </c>
      <c r="S215" s="116"/>
      <c r="T215" s="144">
        <v>43762.0</v>
      </c>
      <c r="U215" s="50">
        <v>29.57</v>
      </c>
      <c r="V215" s="50">
        <v>29.17</v>
      </c>
      <c r="W215" s="116"/>
      <c r="X215" s="116"/>
      <c r="Y215" s="144">
        <v>43762.0</v>
      </c>
      <c r="Z215" s="50">
        <v>36.95</v>
      </c>
      <c r="AA215" s="50">
        <v>36.68</v>
      </c>
      <c r="AB215" s="116"/>
      <c r="AC215" s="116"/>
      <c r="AD215" s="116"/>
      <c r="AE215" s="50">
        <v>1.0</v>
      </c>
      <c r="AF215" s="50" t="s">
        <v>18902</v>
      </c>
      <c r="AG215" s="117">
        <v>5873.0</v>
      </c>
      <c r="AH215" s="50" t="s">
        <v>20922</v>
      </c>
      <c r="AI215" s="50" t="s">
        <v>20923</v>
      </c>
      <c r="AJ215" s="117">
        <v>216.0</v>
      </c>
    </row>
    <row r="216">
      <c r="A216" s="50" t="s">
        <v>20925</v>
      </c>
      <c r="B216" s="50" t="s">
        <v>6876</v>
      </c>
      <c r="C216" s="50" t="s">
        <v>6877</v>
      </c>
      <c r="D216" s="50" t="s">
        <v>11623</v>
      </c>
      <c r="E216" s="144">
        <v>43803.0</v>
      </c>
      <c r="F216" s="50" t="s">
        <v>20926</v>
      </c>
      <c r="G216" s="50">
        <v>59.0</v>
      </c>
      <c r="H216" s="50">
        <v>1.0</v>
      </c>
      <c r="I216" s="50">
        <v>99.0</v>
      </c>
      <c r="J216" s="116"/>
      <c r="K216" s="116"/>
      <c r="L216" s="50" t="s">
        <v>1375</v>
      </c>
      <c r="M216" s="50" t="s">
        <v>1375</v>
      </c>
      <c r="N216" s="122">
        <v>43467.0</v>
      </c>
      <c r="O216" s="50">
        <v>1.0</v>
      </c>
      <c r="P216" s="50">
        <v>1.0</v>
      </c>
      <c r="Q216" s="116"/>
      <c r="R216" s="50" t="s">
        <v>20907</v>
      </c>
      <c r="S216" s="116"/>
      <c r="T216" s="144">
        <v>43762.0</v>
      </c>
      <c r="U216" s="50">
        <v>9999.0</v>
      </c>
      <c r="V216" s="50">
        <v>9999.0</v>
      </c>
      <c r="W216" s="116"/>
      <c r="X216" s="116"/>
      <c r="Y216" s="144">
        <v>43762.0</v>
      </c>
      <c r="Z216" s="50">
        <v>9999.0</v>
      </c>
      <c r="AA216" s="50">
        <v>9999.0</v>
      </c>
      <c r="AB216" s="116"/>
      <c r="AC216" s="116"/>
      <c r="AD216" s="50" t="s">
        <v>20937</v>
      </c>
      <c r="AE216" s="50">
        <v>1.0</v>
      </c>
      <c r="AF216" s="50" t="s">
        <v>18902</v>
      </c>
      <c r="AG216" s="117">
        <v>5874.0</v>
      </c>
      <c r="AH216" s="50" t="s">
        <v>20940</v>
      </c>
      <c r="AI216" s="50" t="s">
        <v>20942</v>
      </c>
      <c r="AJ216" s="117">
        <v>217.0</v>
      </c>
    </row>
    <row r="217">
      <c r="A217" s="50" t="s">
        <v>20944</v>
      </c>
      <c r="B217" s="50" t="s">
        <v>6876</v>
      </c>
      <c r="C217" s="50" t="s">
        <v>6877</v>
      </c>
      <c r="D217" s="50" t="s">
        <v>11623</v>
      </c>
      <c r="E217" s="144">
        <v>43803.0</v>
      </c>
      <c r="F217" s="50" t="s">
        <v>20947</v>
      </c>
      <c r="G217" s="50">
        <v>59.0</v>
      </c>
      <c r="H217" s="50">
        <v>1.0</v>
      </c>
      <c r="I217" s="50">
        <v>11.0</v>
      </c>
      <c r="J217" s="116"/>
      <c r="K217" s="116"/>
      <c r="L217" s="50" t="s">
        <v>1377</v>
      </c>
      <c r="M217" s="50" t="s">
        <v>1377</v>
      </c>
      <c r="N217" s="122">
        <v>43467.0</v>
      </c>
      <c r="O217" s="50">
        <v>1.0</v>
      </c>
      <c r="P217" s="50">
        <v>1.0</v>
      </c>
      <c r="Q217" s="116"/>
      <c r="R217" s="50" t="s">
        <v>20907</v>
      </c>
      <c r="S217" s="116"/>
      <c r="T217" s="144">
        <v>43762.0</v>
      </c>
      <c r="U217" s="50">
        <v>30.58</v>
      </c>
      <c r="V217" s="50">
        <v>30.62</v>
      </c>
      <c r="W217" s="116"/>
      <c r="X217" s="116"/>
      <c r="Y217" s="144">
        <v>43762.0</v>
      </c>
      <c r="Z217" s="50">
        <v>35.33</v>
      </c>
      <c r="AA217" s="50">
        <v>35.1</v>
      </c>
      <c r="AB217" s="116"/>
      <c r="AC217" s="116"/>
      <c r="AD217" s="116"/>
      <c r="AE217" s="50">
        <v>1.0</v>
      </c>
      <c r="AF217" s="50" t="s">
        <v>18902</v>
      </c>
      <c r="AG217" s="117">
        <v>5875.0</v>
      </c>
      <c r="AH217" s="50" t="s">
        <v>20951</v>
      </c>
      <c r="AI217" s="50" t="s">
        <v>20952</v>
      </c>
      <c r="AJ217" s="117">
        <v>218.0</v>
      </c>
    </row>
    <row r="218">
      <c r="A218" s="50" t="s">
        <v>20953</v>
      </c>
      <c r="B218" s="50" t="s">
        <v>6876</v>
      </c>
      <c r="C218" s="50" t="s">
        <v>6877</v>
      </c>
      <c r="D218" s="50" t="s">
        <v>11623</v>
      </c>
      <c r="E218" s="144">
        <v>43803.0</v>
      </c>
      <c r="F218" s="50" t="s">
        <v>20955</v>
      </c>
      <c r="G218" s="50">
        <v>59.0</v>
      </c>
      <c r="H218" s="50">
        <v>1.0</v>
      </c>
      <c r="I218" s="50">
        <v>11.0</v>
      </c>
      <c r="J218" s="116"/>
      <c r="K218" s="116"/>
      <c r="L218" s="50" t="s">
        <v>1378</v>
      </c>
      <c r="M218" s="50" t="s">
        <v>1378</v>
      </c>
      <c r="N218" s="122">
        <v>43467.0</v>
      </c>
      <c r="O218" s="50">
        <v>1.0</v>
      </c>
      <c r="P218" s="50">
        <v>1.0</v>
      </c>
      <c r="Q218" s="116"/>
      <c r="R218" s="50" t="s">
        <v>20907</v>
      </c>
      <c r="S218" s="116"/>
      <c r="T218" s="144">
        <v>43762.0</v>
      </c>
      <c r="U218" s="50">
        <v>9999.0</v>
      </c>
      <c r="V218" s="50">
        <v>9999.0</v>
      </c>
      <c r="W218" s="116"/>
      <c r="X218" s="116"/>
      <c r="Y218" s="144">
        <v>43762.0</v>
      </c>
      <c r="Z218" s="50">
        <v>40.0</v>
      </c>
      <c r="AA218" s="50">
        <v>38.03</v>
      </c>
      <c r="AB218" s="116"/>
      <c r="AC218" s="116"/>
      <c r="AD218" s="116"/>
      <c r="AE218" s="50">
        <v>1.0</v>
      </c>
      <c r="AF218" s="50" t="s">
        <v>18902</v>
      </c>
      <c r="AG218" s="117">
        <v>5876.0</v>
      </c>
      <c r="AH218" s="50" t="s">
        <v>20959</v>
      </c>
      <c r="AI218" s="50" t="s">
        <v>20960</v>
      </c>
      <c r="AJ218" s="117">
        <v>219.0</v>
      </c>
    </row>
    <row r="219">
      <c r="A219" s="50" t="s">
        <v>20964</v>
      </c>
      <c r="B219" s="50" t="s">
        <v>6876</v>
      </c>
      <c r="C219" s="50" t="s">
        <v>6877</v>
      </c>
      <c r="D219" s="50" t="s">
        <v>11623</v>
      </c>
      <c r="E219" s="144">
        <v>43803.0</v>
      </c>
      <c r="F219" s="50" t="s">
        <v>20967</v>
      </c>
      <c r="G219" s="50">
        <v>59.0</v>
      </c>
      <c r="H219" s="50">
        <v>1.0</v>
      </c>
      <c r="I219" s="50">
        <v>99.0</v>
      </c>
      <c r="J219" s="116"/>
      <c r="K219" s="116"/>
      <c r="L219" s="50" t="s">
        <v>1381</v>
      </c>
      <c r="M219" s="50" t="s">
        <v>1381</v>
      </c>
      <c r="N219" s="122">
        <v>43467.0</v>
      </c>
      <c r="O219" s="50">
        <v>1.0</v>
      </c>
      <c r="P219" s="50">
        <v>1.0</v>
      </c>
      <c r="Q219" s="116"/>
      <c r="R219" s="50" t="s">
        <v>20907</v>
      </c>
      <c r="S219" s="116"/>
      <c r="T219" s="144">
        <v>43762.0</v>
      </c>
      <c r="U219" s="50">
        <v>9999.0</v>
      </c>
      <c r="V219" s="50">
        <v>9999.0</v>
      </c>
      <c r="W219" s="116"/>
      <c r="X219" s="116"/>
      <c r="Y219" s="144">
        <v>43762.0</v>
      </c>
      <c r="Z219" s="50">
        <v>9999.0</v>
      </c>
      <c r="AA219" s="50">
        <v>9999.0</v>
      </c>
      <c r="AB219" s="116"/>
      <c r="AC219" s="116"/>
      <c r="AD219" s="50" t="s">
        <v>20973</v>
      </c>
      <c r="AE219" s="50">
        <v>1.0</v>
      </c>
      <c r="AF219" s="50" t="s">
        <v>18902</v>
      </c>
      <c r="AG219" s="117">
        <v>5877.0</v>
      </c>
      <c r="AH219" s="50" t="s">
        <v>20975</v>
      </c>
      <c r="AI219" s="50" t="s">
        <v>20977</v>
      </c>
      <c r="AJ219" s="117">
        <v>220.0</v>
      </c>
    </row>
    <row r="220">
      <c r="A220" s="50" t="s">
        <v>20967</v>
      </c>
      <c r="B220" s="50" t="s">
        <v>6876</v>
      </c>
      <c r="C220" s="50" t="s">
        <v>6877</v>
      </c>
      <c r="D220" s="50" t="s">
        <v>11623</v>
      </c>
      <c r="E220" s="144">
        <v>43803.0</v>
      </c>
      <c r="F220" s="50" t="s">
        <v>20979</v>
      </c>
      <c r="G220" s="50">
        <v>57.0</v>
      </c>
      <c r="H220" s="50">
        <v>1.0</v>
      </c>
      <c r="I220" s="50">
        <v>12.0</v>
      </c>
      <c r="J220" s="116"/>
      <c r="K220" s="116"/>
      <c r="L220" s="50" t="s">
        <v>1386</v>
      </c>
      <c r="M220" s="50" t="s">
        <v>1386</v>
      </c>
      <c r="N220" s="122">
        <v>43467.0</v>
      </c>
      <c r="O220" s="50">
        <v>1.0</v>
      </c>
      <c r="P220" s="50">
        <v>1.0</v>
      </c>
      <c r="Q220" s="116"/>
      <c r="R220" s="50" t="s">
        <v>20907</v>
      </c>
      <c r="S220" s="116"/>
      <c r="T220" s="144">
        <v>43762.0</v>
      </c>
      <c r="U220" s="50">
        <v>22.55</v>
      </c>
      <c r="V220" s="50">
        <v>22.67</v>
      </c>
      <c r="W220" s="116"/>
      <c r="X220" s="116"/>
      <c r="Y220" s="144">
        <v>43762.0</v>
      </c>
      <c r="Z220" s="50">
        <v>33.72</v>
      </c>
      <c r="AA220" s="50">
        <v>33.49</v>
      </c>
      <c r="AB220" s="116"/>
      <c r="AC220" s="116"/>
      <c r="AD220" s="116"/>
      <c r="AE220" s="50">
        <v>1.0</v>
      </c>
      <c r="AF220" s="50" t="s">
        <v>18902</v>
      </c>
      <c r="AG220" s="117">
        <v>5878.0</v>
      </c>
      <c r="AH220" s="50" t="s">
        <v>20985</v>
      </c>
      <c r="AI220" s="50" t="s">
        <v>20986</v>
      </c>
      <c r="AJ220" s="117">
        <v>221.0</v>
      </c>
    </row>
    <row r="221">
      <c r="A221" s="50" t="s">
        <v>20987</v>
      </c>
      <c r="B221" s="50" t="s">
        <v>6876</v>
      </c>
      <c r="C221" s="50" t="s">
        <v>6877</v>
      </c>
      <c r="D221" s="50" t="s">
        <v>11623</v>
      </c>
      <c r="E221" s="144">
        <v>43803.0</v>
      </c>
      <c r="F221" s="50" t="s">
        <v>20989</v>
      </c>
      <c r="G221" s="50">
        <v>57.0</v>
      </c>
      <c r="H221" s="50">
        <v>1.0</v>
      </c>
      <c r="I221" s="50">
        <v>99.0</v>
      </c>
      <c r="J221" s="116"/>
      <c r="K221" s="116"/>
      <c r="L221" s="50" t="s">
        <v>1387</v>
      </c>
      <c r="M221" s="50" t="s">
        <v>1387</v>
      </c>
      <c r="N221" s="122">
        <v>43467.0</v>
      </c>
      <c r="O221" s="50">
        <v>1.0</v>
      </c>
      <c r="P221" s="50">
        <v>1.0</v>
      </c>
      <c r="Q221" s="116"/>
      <c r="R221" s="50" t="s">
        <v>20907</v>
      </c>
      <c r="S221" s="116"/>
      <c r="T221" s="144">
        <v>43762.0</v>
      </c>
      <c r="U221" s="50">
        <v>9999.0</v>
      </c>
      <c r="V221" s="50">
        <v>9999.0</v>
      </c>
      <c r="W221" s="116"/>
      <c r="X221" s="116"/>
      <c r="Y221" s="144">
        <v>43762.0</v>
      </c>
      <c r="Z221" s="50">
        <v>9999.0</v>
      </c>
      <c r="AA221" s="50">
        <v>9999.0</v>
      </c>
      <c r="AB221" s="116"/>
      <c r="AC221" s="116"/>
      <c r="AD221" s="50" t="s">
        <v>20997</v>
      </c>
      <c r="AE221" s="50">
        <v>1.0</v>
      </c>
      <c r="AF221" s="50" t="s">
        <v>18902</v>
      </c>
      <c r="AG221" s="117">
        <v>5879.0</v>
      </c>
      <c r="AH221" s="50" t="s">
        <v>21000</v>
      </c>
      <c r="AI221" s="50" t="s">
        <v>21001</v>
      </c>
      <c r="AJ221" s="117">
        <v>222.0</v>
      </c>
    </row>
    <row r="222">
      <c r="A222" s="50" t="s">
        <v>20989</v>
      </c>
      <c r="B222" s="50" t="s">
        <v>6876</v>
      </c>
      <c r="C222" s="50" t="s">
        <v>6877</v>
      </c>
      <c r="D222" s="50" t="s">
        <v>11623</v>
      </c>
      <c r="E222" s="144">
        <v>43803.0</v>
      </c>
      <c r="F222" s="50" t="s">
        <v>21003</v>
      </c>
      <c r="G222" s="50">
        <v>55.0</v>
      </c>
      <c r="H222" s="50">
        <v>1.0</v>
      </c>
      <c r="I222" s="50">
        <v>12.0</v>
      </c>
      <c r="J222" s="116"/>
      <c r="K222" s="116"/>
      <c r="L222" s="50" t="s">
        <v>1390</v>
      </c>
      <c r="M222" s="50" t="s">
        <v>1390</v>
      </c>
      <c r="N222" s="122">
        <v>43467.0</v>
      </c>
      <c r="O222" s="50">
        <v>1.0</v>
      </c>
      <c r="P222" s="50">
        <v>1.0</v>
      </c>
      <c r="Q222" s="116"/>
      <c r="R222" s="50" t="s">
        <v>20907</v>
      </c>
      <c r="S222" s="116"/>
      <c r="T222" s="144">
        <v>43762.0</v>
      </c>
      <c r="U222" s="50">
        <v>32.65</v>
      </c>
      <c r="V222" s="50">
        <v>29.83</v>
      </c>
      <c r="W222" s="116"/>
      <c r="X222" s="116"/>
      <c r="Y222" s="144">
        <v>43762.0</v>
      </c>
      <c r="Z222" s="50">
        <v>38.44</v>
      </c>
      <c r="AA222" s="50">
        <v>39.28</v>
      </c>
      <c r="AB222" s="116"/>
      <c r="AC222" s="116"/>
      <c r="AD222" s="116"/>
      <c r="AE222" s="50">
        <v>1.0</v>
      </c>
      <c r="AF222" s="50" t="s">
        <v>18902</v>
      </c>
      <c r="AG222" s="117">
        <v>5880.0</v>
      </c>
      <c r="AH222" s="50" t="s">
        <v>21012</v>
      </c>
      <c r="AI222" s="50" t="s">
        <v>21013</v>
      </c>
      <c r="AJ222" s="117">
        <v>223.0</v>
      </c>
    </row>
    <row r="223">
      <c r="A223" s="50" t="s">
        <v>21014</v>
      </c>
      <c r="B223" s="50" t="s">
        <v>6876</v>
      </c>
      <c r="C223" s="50" t="s">
        <v>6877</v>
      </c>
      <c r="D223" s="50" t="s">
        <v>11623</v>
      </c>
      <c r="E223" s="144">
        <v>43803.0</v>
      </c>
      <c r="F223" s="50" t="s">
        <v>21017</v>
      </c>
      <c r="G223" s="50">
        <v>55.0</v>
      </c>
      <c r="H223" s="50">
        <v>1.0</v>
      </c>
      <c r="I223" s="50">
        <v>99.0</v>
      </c>
      <c r="J223" s="116"/>
      <c r="K223" s="116"/>
      <c r="L223" s="50" t="s">
        <v>1393</v>
      </c>
      <c r="M223" s="50" t="s">
        <v>1393</v>
      </c>
      <c r="N223" s="122">
        <v>43467.0</v>
      </c>
      <c r="O223" s="50">
        <v>1.0</v>
      </c>
      <c r="P223" s="50">
        <v>1.0</v>
      </c>
      <c r="Q223" s="116"/>
      <c r="R223" s="50" t="s">
        <v>20907</v>
      </c>
      <c r="S223" s="116"/>
      <c r="T223" s="144">
        <v>43762.0</v>
      </c>
      <c r="U223" s="50">
        <v>9999.0</v>
      </c>
      <c r="V223" s="50">
        <v>9999.0</v>
      </c>
      <c r="W223" s="116"/>
      <c r="X223" s="116"/>
      <c r="Y223" s="144">
        <v>43762.0</v>
      </c>
      <c r="Z223" s="50">
        <v>9999.0</v>
      </c>
      <c r="AA223" s="50">
        <v>9999.0</v>
      </c>
      <c r="AB223" s="116"/>
      <c r="AC223" s="116"/>
      <c r="AD223" s="50" t="s">
        <v>21026</v>
      </c>
      <c r="AE223" s="50">
        <v>1.0</v>
      </c>
      <c r="AF223" s="50" t="s">
        <v>18902</v>
      </c>
      <c r="AG223" s="117">
        <v>5881.0</v>
      </c>
      <c r="AH223" s="50" t="s">
        <v>21027</v>
      </c>
      <c r="AI223" s="50" t="s">
        <v>21028</v>
      </c>
      <c r="AJ223" s="117">
        <v>224.0</v>
      </c>
    </row>
    <row r="224">
      <c r="A224" s="50" t="s">
        <v>21017</v>
      </c>
      <c r="B224" s="50" t="s">
        <v>6876</v>
      </c>
      <c r="C224" s="50" t="s">
        <v>6877</v>
      </c>
      <c r="D224" s="50" t="s">
        <v>11623</v>
      </c>
      <c r="E224" s="144">
        <v>43803.0</v>
      </c>
      <c r="F224" s="50" t="s">
        <v>21032</v>
      </c>
      <c r="G224" s="50">
        <v>59.0</v>
      </c>
      <c r="H224" s="50">
        <v>1.0</v>
      </c>
      <c r="I224" s="50">
        <v>11.0</v>
      </c>
      <c r="J224" s="116"/>
      <c r="K224" s="116"/>
      <c r="L224" s="50" t="s">
        <v>1346</v>
      </c>
      <c r="M224" s="50" t="s">
        <v>1346</v>
      </c>
      <c r="N224" s="122">
        <v>43467.0</v>
      </c>
      <c r="O224" s="50">
        <v>1.0</v>
      </c>
      <c r="P224" s="50">
        <v>1.0</v>
      </c>
      <c r="Q224" s="116"/>
      <c r="R224" s="50" t="s">
        <v>21035</v>
      </c>
      <c r="S224" s="116"/>
      <c r="T224" s="144">
        <v>43763.0</v>
      </c>
      <c r="U224" s="50">
        <v>21.31</v>
      </c>
      <c r="V224" s="50">
        <v>21.59</v>
      </c>
      <c r="W224" s="116"/>
      <c r="X224" s="116"/>
      <c r="Y224" s="144">
        <v>43763.0</v>
      </c>
      <c r="Z224" s="50">
        <v>36.66</v>
      </c>
      <c r="AA224" s="50">
        <v>36.47</v>
      </c>
      <c r="AB224" s="116"/>
      <c r="AC224" s="116"/>
      <c r="AD224" s="116"/>
      <c r="AE224" s="50">
        <v>1.0</v>
      </c>
      <c r="AF224" s="50" t="s">
        <v>18902</v>
      </c>
      <c r="AG224" s="117">
        <v>5882.0</v>
      </c>
      <c r="AH224" s="50" t="s">
        <v>21039</v>
      </c>
      <c r="AI224" s="50" t="s">
        <v>21040</v>
      </c>
      <c r="AJ224" s="117">
        <v>225.0</v>
      </c>
    </row>
    <row r="225">
      <c r="A225" s="50" t="s">
        <v>21032</v>
      </c>
      <c r="B225" s="50" t="s">
        <v>6876</v>
      </c>
      <c r="C225" s="50" t="s">
        <v>6877</v>
      </c>
      <c r="D225" s="50" t="s">
        <v>11623</v>
      </c>
      <c r="E225" s="144">
        <v>43803.0</v>
      </c>
      <c r="F225" s="50" t="s">
        <v>21042</v>
      </c>
      <c r="G225" s="50">
        <v>59.0</v>
      </c>
      <c r="H225" s="50">
        <v>1.0</v>
      </c>
      <c r="I225" s="50">
        <v>11.0</v>
      </c>
      <c r="J225" s="116"/>
      <c r="K225" s="116"/>
      <c r="L225" s="50" t="s">
        <v>1348</v>
      </c>
      <c r="M225" s="50" t="s">
        <v>1348</v>
      </c>
      <c r="N225" s="122">
        <v>43467.0</v>
      </c>
      <c r="O225" s="50">
        <v>1.0</v>
      </c>
      <c r="P225" s="50">
        <v>1.0</v>
      </c>
      <c r="Q225" s="116"/>
      <c r="R225" s="50" t="s">
        <v>21035</v>
      </c>
      <c r="S225" s="116"/>
      <c r="T225" s="144">
        <v>43763.0</v>
      </c>
      <c r="U225" s="50">
        <v>21.93</v>
      </c>
      <c r="V225" s="50">
        <v>21.95</v>
      </c>
      <c r="W225" s="116"/>
      <c r="X225" s="116"/>
      <c r="Y225" s="144">
        <v>43763.0</v>
      </c>
      <c r="Z225" s="50">
        <v>35.03</v>
      </c>
      <c r="AA225" s="50">
        <v>36.21</v>
      </c>
      <c r="AB225" s="116"/>
      <c r="AC225" s="116"/>
      <c r="AD225" s="116"/>
      <c r="AE225" s="50">
        <v>1.0</v>
      </c>
      <c r="AF225" s="50" t="s">
        <v>18902</v>
      </c>
      <c r="AG225" s="117">
        <v>5883.0</v>
      </c>
      <c r="AH225" s="50" t="s">
        <v>21054</v>
      </c>
      <c r="AI225" s="50" t="s">
        <v>21056</v>
      </c>
      <c r="AJ225" s="117">
        <v>226.0</v>
      </c>
    </row>
    <row r="226">
      <c r="A226" s="50" t="s">
        <v>21042</v>
      </c>
      <c r="B226" s="50" t="s">
        <v>6876</v>
      </c>
      <c r="C226" s="50" t="s">
        <v>6877</v>
      </c>
      <c r="D226" s="50" t="s">
        <v>11623</v>
      </c>
      <c r="E226" s="144">
        <v>43803.0</v>
      </c>
      <c r="F226" s="50" t="s">
        <v>21060</v>
      </c>
      <c r="G226" s="50">
        <v>59.0</v>
      </c>
      <c r="H226" s="50">
        <v>1.0</v>
      </c>
      <c r="I226" s="50">
        <v>99.0</v>
      </c>
      <c r="J226" s="116"/>
      <c r="K226" s="116"/>
      <c r="L226" s="50" t="s">
        <v>1351</v>
      </c>
      <c r="M226" s="50" t="s">
        <v>1351</v>
      </c>
      <c r="N226" s="122">
        <v>43467.0</v>
      </c>
      <c r="O226" s="50">
        <v>1.0</v>
      </c>
      <c r="P226" s="50">
        <v>1.0</v>
      </c>
      <c r="Q226" s="116"/>
      <c r="R226" s="50" t="s">
        <v>21035</v>
      </c>
      <c r="S226" s="116"/>
      <c r="T226" s="144">
        <v>43763.0</v>
      </c>
      <c r="U226" s="50">
        <v>32.7</v>
      </c>
      <c r="V226" s="50">
        <v>9999.0</v>
      </c>
      <c r="W226" s="116"/>
      <c r="X226" s="116"/>
      <c r="Y226" s="144">
        <v>43763.0</v>
      </c>
      <c r="Z226" s="50">
        <v>34.16</v>
      </c>
      <c r="AA226" s="50">
        <v>31.7</v>
      </c>
      <c r="AB226" s="116"/>
      <c r="AC226" s="116"/>
      <c r="AD226" s="50" t="s">
        <v>21066</v>
      </c>
      <c r="AE226" s="50">
        <v>1.0</v>
      </c>
      <c r="AF226" s="50" t="s">
        <v>18902</v>
      </c>
      <c r="AG226" s="117">
        <v>5884.0</v>
      </c>
      <c r="AH226" s="50" t="s">
        <v>21067</v>
      </c>
      <c r="AI226" s="50" t="s">
        <v>21069</v>
      </c>
      <c r="AJ226" s="117">
        <v>227.0</v>
      </c>
    </row>
    <row r="227">
      <c r="A227" s="50" t="s">
        <v>21060</v>
      </c>
      <c r="B227" s="50" t="s">
        <v>6876</v>
      </c>
      <c r="C227" s="50" t="s">
        <v>6877</v>
      </c>
      <c r="D227" s="50" t="s">
        <v>11623</v>
      </c>
      <c r="E227" s="144">
        <v>43803.0</v>
      </c>
      <c r="F227" s="50" t="s">
        <v>21072</v>
      </c>
      <c r="G227" s="50">
        <v>59.0</v>
      </c>
      <c r="H227" s="50">
        <v>1.0</v>
      </c>
      <c r="I227" s="50">
        <v>11.0</v>
      </c>
      <c r="J227" s="116"/>
      <c r="K227" s="116"/>
      <c r="L227" s="50" t="s">
        <v>1356</v>
      </c>
      <c r="M227" s="50" t="s">
        <v>1356</v>
      </c>
      <c r="N227" s="122">
        <v>43467.0</v>
      </c>
      <c r="O227" s="50">
        <v>1.0</v>
      </c>
      <c r="P227" s="50">
        <v>1.0</v>
      </c>
      <c r="Q227" s="116"/>
      <c r="R227" s="50" t="s">
        <v>21035</v>
      </c>
      <c r="S227" s="116"/>
      <c r="T227" s="144">
        <v>43763.0</v>
      </c>
      <c r="U227" s="50">
        <v>31.0</v>
      </c>
      <c r="V227" s="50">
        <v>31.62</v>
      </c>
      <c r="W227" s="116"/>
      <c r="X227" s="116"/>
      <c r="Y227" s="144">
        <v>43763.0</v>
      </c>
      <c r="Z227" s="50">
        <v>34.98</v>
      </c>
      <c r="AA227" s="50">
        <v>35.82</v>
      </c>
      <c r="AB227" s="116"/>
      <c r="AC227" s="116"/>
      <c r="AD227" s="116"/>
      <c r="AE227" s="50">
        <v>1.0</v>
      </c>
      <c r="AF227" s="50" t="s">
        <v>18902</v>
      </c>
      <c r="AG227" s="117">
        <v>5885.0</v>
      </c>
      <c r="AH227" s="50" t="s">
        <v>21086</v>
      </c>
      <c r="AI227" s="50" t="s">
        <v>21087</v>
      </c>
      <c r="AJ227" s="117">
        <v>228.0</v>
      </c>
    </row>
    <row r="228">
      <c r="A228" s="50" t="s">
        <v>21088</v>
      </c>
      <c r="B228" s="50" t="s">
        <v>6876</v>
      </c>
      <c r="C228" s="50" t="s">
        <v>6877</v>
      </c>
      <c r="D228" s="50" t="s">
        <v>11623</v>
      </c>
      <c r="E228" s="144">
        <v>43803.0</v>
      </c>
      <c r="F228" s="50" t="s">
        <v>21091</v>
      </c>
      <c r="G228" s="50">
        <v>59.0</v>
      </c>
      <c r="H228" s="50">
        <v>1.0</v>
      </c>
      <c r="I228" s="50">
        <v>11.0</v>
      </c>
      <c r="J228" s="116"/>
      <c r="K228" s="116"/>
      <c r="L228" s="50" t="s">
        <v>1357</v>
      </c>
      <c r="M228" s="50" t="s">
        <v>1357</v>
      </c>
      <c r="N228" s="122">
        <v>43467.0</v>
      </c>
      <c r="O228" s="50">
        <v>1.0</v>
      </c>
      <c r="P228" s="50">
        <v>1.0</v>
      </c>
      <c r="Q228" s="116"/>
      <c r="R228" s="50" t="s">
        <v>21035</v>
      </c>
      <c r="S228" s="116"/>
      <c r="T228" s="144">
        <v>43763.0</v>
      </c>
      <c r="U228" s="50">
        <v>33.75</v>
      </c>
      <c r="V228" s="50">
        <v>32.9</v>
      </c>
      <c r="W228" s="116"/>
      <c r="X228" s="116"/>
      <c r="Y228" s="144">
        <v>43763.0</v>
      </c>
      <c r="Z228" s="50">
        <v>35.23</v>
      </c>
      <c r="AA228" s="50">
        <v>34.37</v>
      </c>
      <c r="AB228" s="116"/>
      <c r="AC228" s="116"/>
      <c r="AD228" s="116"/>
      <c r="AE228" s="50">
        <v>1.0</v>
      </c>
      <c r="AF228" s="50" t="s">
        <v>18902</v>
      </c>
      <c r="AG228" s="117">
        <v>5886.0</v>
      </c>
      <c r="AH228" s="50" t="s">
        <v>21097</v>
      </c>
      <c r="AI228" s="50" t="s">
        <v>21100</v>
      </c>
      <c r="AJ228" s="117">
        <v>229.0</v>
      </c>
    </row>
    <row r="229">
      <c r="A229" s="50" t="s">
        <v>21091</v>
      </c>
      <c r="B229" s="50" t="s">
        <v>6876</v>
      </c>
      <c r="C229" s="50" t="s">
        <v>6877</v>
      </c>
      <c r="D229" s="50" t="s">
        <v>11623</v>
      </c>
      <c r="E229" s="144">
        <v>43803.0</v>
      </c>
      <c r="F229" s="50" t="s">
        <v>21102</v>
      </c>
      <c r="G229" s="50">
        <v>59.0</v>
      </c>
      <c r="H229" s="50">
        <v>1.0</v>
      </c>
      <c r="I229" s="50">
        <v>99.0</v>
      </c>
      <c r="J229" s="116"/>
      <c r="K229" s="116"/>
      <c r="L229" s="50" t="s">
        <v>1360</v>
      </c>
      <c r="M229" s="50" t="s">
        <v>1360</v>
      </c>
      <c r="N229" s="122">
        <v>43467.0</v>
      </c>
      <c r="O229" s="50">
        <v>1.0</v>
      </c>
      <c r="P229" s="50">
        <v>1.0</v>
      </c>
      <c r="Q229" s="116"/>
      <c r="R229" s="50" t="s">
        <v>21035</v>
      </c>
      <c r="S229" s="116"/>
      <c r="T229" s="144">
        <v>43763.0</v>
      </c>
      <c r="U229" s="50">
        <v>9999.0</v>
      </c>
      <c r="V229" s="50">
        <v>9999.0</v>
      </c>
      <c r="W229" s="116"/>
      <c r="X229" s="116"/>
      <c r="Y229" s="144">
        <v>43763.0</v>
      </c>
      <c r="Z229" s="50">
        <v>9999.0</v>
      </c>
      <c r="AA229" s="50">
        <v>9999.0</v>
      </c>
      <c r="AB229" s="116"/>
      <c r="AC229" s="116"/>
      <c r="AD229" s="50" t="s">
        <v>21112</v>
      </c>
      <c r="AE229" s="50">
        <v>1.0</v>
      </c>
      <c r="AF229" s="50" t="s">
        <v>18902</v>
      </c>
      <c r="AG229" s="117">
        <v>5887.0</v>
      </c>
      <c r="AH229" s="50" t="s">
        <v>21114</v>
      </c>
      <c r="AI229" s="50" t="s">
        <v>21115</v>
      </c>
      <c r="AJ229" s="117">
        <v>230.0</v>
      </c>
    </row>
    <row r="230">
      <c r="A230" s="50" t="s">
        <v>21102</v>
      </c>
      <c r="B230" s="50" t="s">
        <v>6876</v>
      </c>
      <c r="C230" s="50" t="s">
        <v>6877</v>
      </c>
      <c r="D230" s="50" t="s">
        <v>11623</v>
      </c>
      <c r="E230" s="144">
        <v>43803.0</v>
      </c>
      <c r="F230" s="50" t="s">
        <v>21117</v>
      </c>
      <c r="G230" s="50">
        <v>59.0</v>
      </c>
      <c r="H230" s="50">
        <v>1.0</v>
      </c>
      <c r="I230" s="50">
        <v>11.0</v>
      </c>
      <c r="J230" s="116"/>
      <c r="K230" s="116"/>
      <c r="L230" s="50" t="s">
        <v>1361</v>
      </c>
      <c r="M230" s="50" t="s">
        <v>1361</v>
      </c>
      <c r="N230" s="122">
        <v>43467.0</v>
      </c>
      <c r="O230" s="50">
        <v>1.0</v>
      </c>
      <c r="P230" s="50">
        <v>1.0</v>
      </c>
      <c r="Q230" s="116"/>
      <c r="R230" s="50" t="s">
        <v>21035</v>
      </c>
      <c r="S230" s="116"/>
      <c r="T230" s="144">
        <v>43763.0</v>
      </c>
      <c r="U230" s="50">
        <v>9999.0</v>
      </c>
      <c r="V230" s="50">
        <v>29.37</v>
      </c>
      <c r="W230" s="116"/>
      <c r="X230" s="116"/>
      <c r="Y230" s="144">
        <v>43763.0</v>
      </c>
      <c r="Z230" s="50">
        <v>36.02</v>
      </c>
      <c r="AA230" s="50">
        <v>35.01</v>
      </c>
      <c r="AB230" s="116"/>
      <c r="AC230" s="116"/>
      <c r="AD230" s="116"/>
      <c r="AE230" s="50">
        <v>1.0</v>
      </c>
      <c r="AF230" s="50" t="s">
        <v>18902</v>
      </c>
      <c r="AG230" s="117">
        <v>5888.0</v>
      </c>
      <c r="AH230" s="50" t="s">
        <v>21123</v>
      </c>
      <c r="AI230" s="50" t="s">
        <v>21125</v>
      </c>
      <c r="AJ230" s="117">
        <v>231.0</v>
      </c>
    </row>
    <row r="231">
      <c r="A231" s="50" t="s">
        <v>21117</v>
      </c>
      <c r="B231" s="50" t="s">
        <v>6876</v>
      </c>
      <c r="C231" s="50" t="s">
        <v>6877</v>
      </c>
      <c r="D231" s="50" t="s">
        <v>11623</v>
      </c>
      <c r="E231" s="144">
        <v>43803.0</v>
      </c>
      <c r="F231" s="50" t="s">
        <v>21126</v>
      </c>
      <c r="G231" s="50">
        <v>59.0</v>
      </c>
      <c r="H231" s="50">
        <v>1.0</v>
      </c>
      <c r="I231" s="50">
        <v>99.0</v>
      </c>
      <c r="J231" s="116"/>
      <c r="K231" s="116"/>
      <c r="L231" s="50" t="s">
        <v>222</v>
      </c>
      <c r="M231" s="50" t="s">
        <v>222</v>
      </c>
      <c r="N231" s="122">
        <v>43467.0</v>
      </c>
      <c r="O231" s="50">
        <v>1.0</v>
      </c>
      <c r="P231" s="50">
        <v>1.0</v>
      </c>
      <c r="Q231" s="116"/>
      <c r="R231" s="50" t="s">
        <v>21035</v>
      </c>
      <c r="S231" s="116"/>
      <c r="T231" s="144">
        <v>43763.0</v>
      </c>
      <c r="U231" s="50">
        <v>9999.0</v>
      </c>
      <c r="V231" s="50">
        <v>9999.0</v>
      </c>
      <c r="W231" s="116"/>
      <c r="X231" s="116"/>
      <c r="Y231" s="144">
        <v>43763.0</v>
      </c>
      <c r="Z231" s="50">
        <v>9999.0</v>
      </c>
      <c r="AA231" s="50">
        <v>9999.0</v>
      </c>
      <c r="AB231" s="116"/>
      <c r="AC231" s="116"/>
      <c r="AD231" s="50" t="s">
        <v>21136</v>
      </c>
      <c r="AE231" s="50">
        <v>1.0</v>
      </c>
      <c r="AF231" s="50" t="s">
        <v>18902</v>
      </c>
      <c r="AG231" s="117">
        <v>5889.0</v>
      </c>
      <c r="AH231" s="50" t="s">
        <v>21138</v>
      </c>
      <c r="AI231" s="50" t="s">
        <v>21139</v>
      </c>
      <c r="AJ231" s="117">
        <v>232.0</v>
      </c>
    </row>
    <row r="232">
      <c r="A232" s="50" t="s">
        <v>21142</v>
      </c>
      <c r="B232" s="50" t="s">
        <v>6876</v>
      </c>
      <c r="C232" s="50" t="s">
        <v>6877</v>
      </c>
      <c r="D232" s="50" t="s">
        <v>11623</v>
      </c>
      <c r="E232" s="144">
        <v>43803.0</v>
      </c>
      <c r="F232" s="50" t="s">
        <v>21145</v>
      </c>
      <c r="G232" s="50">
        <v>59.0</v>
      </c>
      <c r="H232" s="50">
        <v>1.0</v>
      </c>
      <c r="I232" s="50">
        <v>11.0</v>
      </c>
      <c r="J232" s="116"/>
      <c r="K232" s="116"/>
      <c r="L232" s="50" t="s">
        <v>1364</v>
      </c>
      <c r="M232" s="50" t="s">
        <v>1364</v>
      </c>
      <c r="N232" s="122">
        <v>43467.0</v>
      </c>
      <c r="O232" s="50">
        <v>1.0</v>
      </c>
      <c r="P232" s="50">
        <v>1.0</v>
      </c>
      <c r="Q232" s="116"/>
      <c r="R232" s="50" t="s">
        <v>21035</v>
      </c>
      <c r="S232" s="116"/>
      <c r="T232" s="144">
        <v>43763.0</v>
      </c>
      <c r="U232" s="50">
        <v>27.23</v>
      </c>
      <c r="V232" s="50">
        <v>25.47</v>
      </c>
      <c r="W232" s="116"/>
      <c r="X232" s="116"/>
      <c r="Y232" s="144">
        <v>43763.0</v>
      </c>
      <c r="Z232" s="50">
        <v>35.86</v>
      </c>
      <c r="AA232" s="50">
        <v>37.93</v>
      </c>
      <c r="AB232" s="116"/>
      <c r="AC232" s="116"/>
      <c r="AD232" s="116"/>
      <c r="AE232" s="50">
        <v>1.0</v>
      </c>
      <c r="AF232" s="50" t="s">
        <v>18902</v>
      </c>
      <c r="AG232" s="117">
        <v>5890.0</v>
      </c>
      <c r="AH232" s="50" t="s">
        <v>21153</v>
      </c>
      <c r="AI232" s="50" t="s">
        <v>21154</v>
      </c>
      <c r="AJ232" s="117">
        <v>233.0</v>
      </c>
    </row>
    <row r="233">
      <c r="A233" s="50" t="s">
        <v>21145</v>
      </c>
      <c r="B233" s="50" t="s">
        <v>6876</v>
      </c>
      <c r="C233" s="50" t="s">
        <v>6877</v>
      </c>
      <c r="D233" s="50" t="s">
        <v>11623</v>
      </c>
      <c r="E233" s="144">
        <v>43803.0</v>
      </c>
      <c r="F233" s="50" t="s">
        <v>21158</v>
      </c>
      <c r="G233" s="50">
        <v>59.0</v>
      </c>
      <c r="H233" s="50">
        <v>1.0</v>
      </c>
      <c r="I233" s="50">
        <v>11.0</v>
      </c>
      <c r="J233" s="116"/>
      <c r="K233" s="116"/>
      <c r="L233" s="50" t="s">
        <v>1365</v>
      </c>
      <c r="M233" s="50" t="s">
        <v>1365</v>
      </c>
      <c r="N233" s="122">
        <v>43467.0</v>
      </c>
      <c r="O233" s="50">
        <v>1.0</v>
      </c>
      <c r="P233" s="50">
        <v>1.0</v>
      </c>
      <c r="Q233" s="116"/>
      <c r="R233" s="50" t="s">
        <v>21035</v>
      </c>
      <c r="S233" s="116"/>
      <c r="T233" s="144">
        <v>43763.0</v>
      </c>
      <c r="U233" s="50">
        <v>24.16</v>
      </c>
      <c r="V233" s="50">
        <v>24.58</v>
      </c>
      <c r="W233" s="116"/>
      <c r="X233" s="116"/>
      <c r="Y233" s="144">
        <v>43763.0</v>
      </c>
      <c r="Z233" s="50">
        <v>34.91</v>
      </c>
      <c r="AA233" s="50">
        <v>35.83</v>
      </c>
      <c r="AB233" s="116"/>
      <c r="AC233" s="116"/>
      <c r="AD233" s="116"/>
      <c r="AE233" s="50">
        <v>1.0</v>
      </c>
      <c r="AF233" s="50" t="s">
        <v>18902</v>
      </c>
      <c r="AG233" s="117">
        <v>5891.0</v>
      </c>
      <c r="AH233" s="50" t="s">
        <v>21167</v>
      </c>
      <c r="AI233" s="50" t="s">
        <v>21169</v>
      </c>
      <c r="AJ233" s="117">
        <v>234.0</v>
      </c>
    </row>
    <row r="234">
      <c r="A234" s="50" t="s">
        <v>21171</v>
      </c>
      <c r="B234" s="50" t="s">
        <v>6876</v>
      </c>
      <c r="C234" s="50" t="s">
        <v>6877</v>
      </c>
      <c r="D234" s="50" t="s">
        <v>11623</v>
      </c>
      <c r="E234" s="144">
        <v>43803.0</v>
      </c>
      <c r="F234" s="50" t="s">
        <v>21173</v>
      </c>
      <c r="G234" s="50">
        <v>59.0</v>
      </c>
      <c r="H234" s="50">
        <v>1.0</v>
      </c>
      <c r="I234" s="50">
        <v>99.0</v>
      </c>
      <c r="J234" s="116"/>
      <c r="K234" s="116"/>
      <c r="L234" s="50" t="s">
        <v>221</v>
      </c>
      <c r="M234" s="50" t="s">
        <v>221</v>
      </c>
      <c r="N234" s="122">
        <v>43467.0</v>
      </c>
      <c r="O234" s="50">
        <v>1.0</v>
      </c>
      <c r="P234" s="50">
        <v>1.0</v>
      </c>
      <c r="Q234" s="116"/>
      <c r="R234" s="50" t="s">
        <v>21035</v>
      </c>
      <c r="S234" s="116"/>
      <c r="T234" s="144">
        <v>43763.0</v>
      </c>
      <c r="U234" s="50">
        <v>9999.0</v>
      </c>
      <c r="V234" s="50">
        <v>9999.0</v>
      </c>
      <c r="W234" s="116"/>
      <c r="X234" s="116"/>
      <c r="Y234" s="144">
        <v>43763.0</v>
      </c>
      <c r="Z234" s="50">
        <v>9999.0</v>
      </c>
      <c r="AA234" s="50">
        <v>9999.0</v>
      </c>
      <c r="AB234" s="116"/>
      <c r="AC234" s="116"/>
      <c r="AD234" s="50" t="s">
        <v>21179</v>
      </c>
      <c r="AE234" s="50">
        <v>1.0</v>
      </c>
      <c r="AF234" s="50" t="s">
        <v>18902</v>
      </c>
      <c r="AG234" s="117">
        <v>5892.0</v>
      </c>
      <c r="AH234" s="50" t="s">
        <v>21181</v>
      </c>
      <c r="AI234" s="50" t="s">
        <v>21182</v>
      </c>
      <c r="AJ234" s="117">
        <v>235.0</v>
      </c>
    </row>
    <row r="235">
      <c r="A235" s="50" t="s">
        <v>21183</v>
      </c>
      <c r="B235" s="50" t="s">
        <v>6876</v>
      </c>
      <c r="C235" s="50" t="s">
        <v>6877</v>
      </c>
      <c r="D235" s="50" t="s">
        <v>11623</v>
      </c>
      <c r="E235" s="144">
        <v>43804.0</v>
      </c>
      <c r="F235" s="50" t="s">
        <v>21188</v>
      </c>
      <c r="G235" s="50">
        <v>59.0</v>
      </c>
      <c r="H235" s="50">
        <v>1.0</v>
      </c>
      <c r="I235" s="50">
        <v>11.0</v>
      </c>
      <c r="J235" s="116"/>
      <c r="K235" s="116"/>
      <c r="L235" s="50" t="s">
        <v>1325</v>
      </c>
      <c r="M235" s="50" t="s">
        <v>1325</v>
      </c>
      <c r="N235" s="122">
        <v>43467.0</v>
      </c>
      <c r="O235" s="50">
        <v>1.0</v>
      </c>
      <c r="P235" s="50">
        <v>1.0</v>
      </c>
      <c r="Q235" s="116"/>
      <c r="R235" s="50" t="s">
        <v>20817</v>
      </c>
      <c r="S235" s="116"/>
      <c r="T235" s="144">
        <v>43768.0</v>
      </c>
      <c r="U235" s="50">
        <v>30.15</v>
      </c>
      <c r="V235" s="50">
        <v>30.03</v>
      </c>
      <c r="W235" s="116"/>
      <c r="X235" s="116"/>
      <c r="Y235" s="144">
        <v>43768.0</v>
      </c>
      <c r="Z235" s="50">
        <v>35.96</v>
      </c>
      <c r="AA235" s="50">
        <v>36.17</v>
      </c>
      <c r="AB235" s="116"/>
      <c r="AC235" s="116"/>
      <c r="AD235" s="116"/>
      <c r="AE235" s="50">
        <v>1.0</v>
      </c>
      <c r="AF235" s="50" t="s">
        <v>18902</v>
      </c>
      <c r="AG235" s="117">
        <v>5962.0</v>
      </c>
      <c r="AH235" s="50" t="s">
        <v>21200</v>
      </c>
      <c r="AI235" s="50" t="s">
        <v>21201</v>
      </c>
      <c r="AJ235" s="117">
        <v>236.0</v>
      </c>
    </row>
    <row r="236">
      <c r="A236" s="50" t="s">
        <v>21188</v>
      </c>
      <c r="B236" s="50" t="s">
        <v>6876</v>
      </c>
      <c r="C236" s="50" t="s">
        <v>6877</v>
      </c>
      <c r="D236" s="50" t="s">
        <v>11623</v>
      </c>
      <c r="E236" s="144">
        <v>43804.0</v>
      </c>
      <c r="F236" s="50" t="s">
        <v>21204</v>
      </c>
      <c r="G236" s="50">
        <v>59.0</v>
      </c>
      <c r="H236" s="50">
        <v>1.0</v>
      </c>
      <c r="I236" s="50">
        <v>11.0</v>
      </c>
      <c r="J236" s="116"/>
      <c r="K236" s="116"/>
      <c r="L236" s="50" t="s">
        <v>1326</v>
      </c>
      <c r="M236" s="50" t="s">
        <v>1326</v>
      </c>
      <c r="N236" s="122">
        <v>43467.0</v>
      </c>
      <c r="O236" s="50">
        <v>1.0</v>
      </c>
      <c r="P236" s="50">
        <v>1.0</v>
      </c>
      <c r="Q236" s="116"/>
      <c r="R236" s="50" t="s">
        <v>20817</v>
      </c>
      <c r="S236" s="116"/>
      <c r="T236" s="144">
        <v>43768.0</v>
      </c>
      <c r="U236" s="50">
        <v>31.6</v>
      </c>
      <c r="V236" s="50">
        <v>31.82</v>
      </c>
      <c r="W236" s="116"/>
      <c r="X236" s="116"/>
      <c r="Y236" s="144">
        <v>43768.0</v>
      </c>
      <c r="Z236" s="50">
        <v>35.16</v>
      </c>
      <c r="AA236" s="50">
        <v>35.28</v>
      </c>
      <c r="AB236" s="116"/>
      <c r="AC236" s="116"/>
      <c r="AD236" s="116"/>
      <c r="AE236" s="50">
        <v>1.0</v>
      </c>
      <c r="AF236" s="50" t="s">
        <v>18902</v>
      </c>
      <c r="AG236" s="117">
        <v>5963.0</v>
      </c>
      <c r="AH236" s="50" t="s">
        <v>21212</v>
      </c>
      <c r="AI236" s="50" t="s">
        <v>21213</v>
      </c>
      <c r="AJ236" s="117">
        <v>237.0</v>
      </c>
    </row>
    <row r="237">
      <c r="A237" s="50" t="s">
        <v>21204</v>
      </c>
      <c r="B237" s="50" t="s">
        <v>6876</v>
      </c>
      <c r="C237" s="50" t="s">
        <v>6877</v>
      </c>
      <c r="D237" s="50" t="s">
        <v>11623</v>
      </c>
      <c r="E237" s="144">
        <v>43804.0</v>
      </c>
      <c r="F237" s="50" t="s">
        <v>21217</v>
      </c>
      <c r="G237" s="50">
        <v>59.0</v>
      </c>
      <c r="H237" s="50">
        <v>1.0</v>
      </c>
      <c r="I237" s="50">
        <v>99.0</v>
      </c>
      <c r="J237" s="116"/>
      <c r="K237" s="116"/>
      <c r="L237" s="50" t="s">
        <v>1329</v>
      </c>
      <c r="M237" s="50" t="s">
        <v>1329</v>
      </c>
      <c r="N237" s="122">
        <v>43467.0</v>
      </c>
      <c r="O237" s="50">
        <v>1.0</v>
      </c>
      <c r="P237" s="50">
        <v>1.0</v>
      </c>
      <c r="Q237" s="116"/>
      <c r="R237" s="50" t="s">
        <v>20817</v>
      </c>
      <c r="S237" s="116"/>
      <c r="T237" s="144">
        <v>43768.0</v>
      </c>
      <c r="U237" s="50">
        <v>32.67</v>
      </c>
      <c r="V237" s="50">
        <v>31.52</v>
      </c>
      <c r="W237" s="116"/>
      <c r="X237" s="116"/>
      <c r="Y237" s="144">
        <v>43768.0</v>
      </c>
      <c r="Z237" s="50">
        <v>35.33</v>
      </c>
      <c r="AA237" s="50">
        <v>37.19</v>
      </c>
      <c r="AB237" s="116"/>
      <c r="AC237" s="116"/>
      <c r="AD237" s="50" t="s">
        <v>21224</v>
      </c>
      <c r="AE237" s="50">
        <v>1.0</v>
      </c>
      <c r="AF237" s="50" t="s">
        <v>18902</v>
      </c>
      <c r="AG237" s="117">
        <v>5964.0</v>
      </c>
      <c r="AH237" s="50" t="s">
        <v>21226</v>
      </c>
      <c r="AI237" s="50" t="s">
        <v>21228</v>
      </c>
      <c r="AJ237" s="117">
        <v>238.0</v>
      </c>
    </row>
    <row r="238">
      <c r="A238" s="50" t="s">
        <v>21217</v>
      </c>
      <c r="B238" s="50" t="s">
        <v>6876</v>
      </c>
      <c r="C238" s="50" t="s">
        <v>6877</v>
      </c>
      <c r="D238" s="50" t="s">
        <v>11623</v>
      </c>
      <c r="E238" s="144">
        <v>43804.0</v>
      </c>
      <c r="F238" s="50" t="s">
        <v>21231</v>
      </c>
      <c r="G238" s="50">
        <v>66.0</v>
      </c>
      <c r="H238" s="50">
        <v>1.0</v>
      </c>
      <c r="I238" s="50">
        <v>12.0</v>
      </c>
      <c r="J238" s="116"/>
      <c r="K238" s="116"/>
      <c r="L238" s="50" t="s">
        <v>1315</v>
      </c>
      <c r="M238" s="50" t="s">
        <v>1315</v>
      </c>
      <c r="N238" s="122">
        <v>43467.0</v>
      </c>
      <c r="O238" s="50">
        <v>1.0</v>
      </c>
      <c r="P238" s="50">
        <v>1.0</v>
      </c>
      <c r="Q238" s="116"/>
      <c r="R238" s="50" t="s">
        <v>21236</v>
      </c>
      <c r="S238" s="116"/>
      <c r="T238" s="144">
        <v>43767.0</v>
      </c>
      <c r="U238" s="50">
        <v>9999.0</v>
      </c>
      <c r="V238" s="50">
        <v>9999.0</v>
      </c>
      <c r="W238" s="116"/>
      <c r="X238" s="116"/>
      <c r="Y238" s="144">
        <v>43767.0</v>
      </c>
      <c r="Z238" s="50">
        <v>35.12</v>
      </c>
      <c r="AA238" s="50">
        <v>35.7</v>
      </c>
      <c r="AB238" s="116"/>
      <c r="AC238" s="116"/>
      <c r="AD238" s="116"/>
      <c r="AE238" s="50">
        <v>1.0</v>
      </c>
      <c r="AF238" s="50" t="s">
        <v>18902</v>
      </c>
      <c r="AG238" s="117">
        <v>5965.0</v>
      </c>
      <c r="AH238" s="50" t="s">
        <v>21241</v>
      </c>
      <c r="AI238" s="50" t="s">
        <v>21243</v>
      </c>
      <c r="AJ238" s="117">
        <v>239.0</v>
      </c>
    </row>
    <row r="239">
      <c r="A239" s="50" t="s">
        <v>21231</v>
      </c>
      <c r="B239" s="50" t="s">
        <v>6876</v>
      </c>
      <c r="C239" s="50" t="s">
        <v>6877</v>
      </c>
      <c r="D239" s="50" t="s">
        <v>11623</v>
      </c>
      <c r="E239" s="144">
        <v>43804.0</v>
      </c>
      <c r="F239" s="50" t="s">
        <v>21246</v>
      </c>
      <c r="G239" s="50">
        <v>66.0</v>
      </c>
      <c r="H239" s="50">
        <v>1.0</v>
      </c>
      <c r="I239" s="50">
        <v>99.0</v>
      </c>
      <c r="J239" s="116"/>
      <c r="K239" s="116"/>
      <c r="L239" s="50" t="s">
        <v>1317</v>
      </c>
      <c r="M239" s="50" t="s">
        <v>1317</v>
      </c>
      <c r="N239" s="122">
        <v>43467.0</v>
      </c>
      <c r="O239" s="50">
        <v>1.0</v>
      </c>
      <c r="P239" s="50">
        <v>1.0</v>
      </c>
      <c r="Q239" s="116"/>
      <c r="R239" s="50" t="s">
        <v>21236</v>
      </c>
      <c r="S239" s="116"/>
      <c r="T239" s="144">
        <v>43767.0</v>
      </c>
      <c r="U239" s="50">
        <v>9999.0</v>
      </c>
      <c r="V239" s="50">
        <v>9999.0</v>
      </c>
      <c r="W239" s="116"/>
      <c r="X239" s="116"/>
      <c r="Y239" s="144">
        <v>43767.0</v>
      </c>
      <c r="Z239" s="50">
        <v>9999.0</v>
      </c>
      <c r="AA239" s="50">
        <v>9999.0</v>
      </c>
      <c r="AB239" s="116"/>
      <c r="AC239" s="116"/>
      <c r="AD239" s="50" t="s">
        <v>21258</v>
      </c>
      <c r="AE239" s="50">
        <v>1.0</v>
      </c>
      <c r="AF239" s="50" t="s">
        <v>18902</v>
      </c>
      <c r="AG239" s="117">
        <v>5966.0</v>
      </c>
      <c r="AH239" s="50" t="s">
        <v>21260</v>
      </c>
      <c r="AI239" s="50" t="s">
        <v>21261</v>
      </c>
      <c r="AJ239" s="117">
        <v>240.0</v>
      </c>
    </row>
    <row r="240">
      <c r="A240" s="50" t="s">
        <v>21246</v>
      </c>
      <c r="B240" s="50" t="s">
        <v>6876</v>
      </c>
      <c r="C240" s="50" t="s">
        <v>6877</v>
      </c>
      <c r="D240" s="50" t="s">
        <v>11623</v>
      </c>
      <c r="E240" s="144">
        <v>43804.0</v>
      </c>
      <c r="F240" s="50" t="s">
        <v>21267</v>
      </c>
      <c r="G240" s="50">
        <v>59.0</v>
      </c>
      <c r="H240" s="50">
        <v>1.0</v>
      </c>
      <c r="I240" s="50">
        <v>12.0</v>
      </c>
      <c r="J240" s="116"/>
      <c r="K240" s="116"/>
      <c r="L240" s="50" t="s">
        <v>1319</v>
      </c>
      <c r="M240" s="50" t="s">
        <v>1319</v>
      </c>
      <c r="N240" s="122">
        <v>43467.0</v>
      </c>
      <c r="O240" s="50">
        <v>1.0</v>
      </c>
      <c r="P240" s="50">
        <v>1.0</v>
      </c>
      <c r="Q240" s="116"/>
      <c r="R240" s="50" t="s">
        <v>21236</v>
      </c>
      <c r="S240" s="116"/>
      <c r="T240" s="144">
        <v>43767.0</v>
      </c>
      <c r="U240" s="50">
        <v>22.7</v>
      </c>
      <c r="V240" s="50">
        <v>22.59</v>
      </c>
      <c r="W240" s="116"/>
      <c r="X240" s="116"/>
      <c r="Y240" s="144">
        <v>43767.0</v>
      </c>
      <c r="Z240" s="50">
        <v>34.89</v>
      </c>
      <c r="AA240" s="50">
        <v>35.52</v>
      </c>
      <c r="AB240" s="116"/>
      <c r="AC240" s="116"/>
      <c r="AD240" s="116"/>
      <c r="AE240" s="50">
        <v>1.0</v>
      </c>
      <c r="AF240" s="50" t="s">
        <v>18902</v>
      </c>
      <c r="AG240" s="117">
        <v>5967.0</v>
      </c>
      <c r="AH240" s="50" t="s">
        <v>21275</v>
      </c>
      <c r="AI240" s="50" t="s">
        <v>21276</v>
      </c>
      <c r="AJ240" s="117">
        <v>241.0</v>
      </c>
    </row>
    <row r="241">
      <c r="A241" s="50" t="s">
        <v>21267</v>
      </c>
      <c r="B241" s="50" t="s">
        <v>6876</v>
      </c>
      <c r="C241" s="50" t="s">
        <v>6877</v>
      </c>
      <c r="D241" s="50" t="s">
        <v>11623</v>
      </c>
      <c r="E241" s="144">
        <v>43804.0</v>
      </c>
      <c r="F241" s="50" t="s">
        <v>21278</v>
      </c>
      <c r="G241" s="50">
        <v>59.0</v>
      </c>
      <c r="H241" s="50">
        <v>1.0</v>
      </c>
      <c r="I241" s="50">
        <v>12.0</v>
      </c>
      <c r="J241" s="116"/>
      <c r="K241" s="116"/>
      <c r="L241" s="50" t="s">
        <v>1320</v>
      </c>
      <c r="M241" s="50" t="s">
        <v>1320</v>
      </c>
      <c r="N241" s="122">
        <v>43467.0</v>
      </c>
      <c r="O241" s="50">
        <v>1.0</v>
      </c>
      <c r="P241" s="50">
        <v>1.0</v>
      </c>
      <c r="Q241" s="116"/>
      <c r="R241" s="50" t="s">
        <v>21236</v>
      </c>
      <c r="S241" s="116"/>
      <c r="T241" s="144">
        <v>43767.0</v>
      </c>
      <c r="U241" s="50">
        <v>9999.0</v>
      </c>
      <c r="V241" s="50">
        <v>9999.0</v>
      </c>
      <c r="W241" s="116"/>
      <c r="X241" s="116"/>
      <c r="Y241" s="144">
        <v>43767.0</v>
      </c>
      <c r="Z241" s="50">
        <v>9999.0</v>
      </c>
      <c r="AA241" s="50">
        <v>9999.0</v>
      </c>
      <c r="AB241" s="116"/>
      <c r="AC241" s="116"/>
      <c r="AD241" s="116"/>
      <c r="AE241" s="50">
        <v>1.0</v>
      </c>
      <c r="AF241" s="50" t="s">
        <v>18902</v>
      </c>
      <c r="AG241" s="117">
        <v>5968.0</v>
      </c>
      <c r="AH241" s="50" t="s">
        <v>21290</v>
      </c>
      <c r="AI241" s="50" t="s">
        <v>21291</v>
      </c>
      <c r="AJ241" s="117">
        <v>242.0</v>
      </c>
    </row>
    <row r="242">
      <c r="A242" s="50" t="s">
        <v>21278</v>
      </c>
      <c r="B242" s="50" t="s">
        <v>6876</v>
      </c>
      <c r="C242" s="50" t="s">
        <v>6877</v>
      </c>
      <c r="D242" s="50" t="s">
        <v>11623</v>
      </c>
      <c r="E242" s="144">
        <v>43804.0</v>
      </c>
      <c r="F242" s="50" t="s">
        <v>21293</v>
      </c>
      <c r="G242" s="50">
        <v>59.0</v>
      </c>
      <c r="H242" s="50">
        <v>1.0</v>
      </c>
      <c r="I242" s="50">
        <v>99.0</v>
      </c>
      <c r="J242" s="116"/>
      <c r="K242" s="116"/>
      <c r="L242" s="50" t="s">
        <v>1323</v>
      </c>
      <c r="M242" s="50" t="s">
        <v>1323</v>
      </c>
      <c r="N242" s="122">
        <v>43467.0</v>
      </c>
      <c r="O242" s="50">
        <v>1.0</v>
      </c>
      <c r="P242" s="50">
        <v>1.0</v>
      </c>
      <c r="Q242" s="116"/>
      <c r="R242" s="50" t="s">
        <v>21236</v>
      </c>
      <c r="S242" s="116"/>
      <c r="T242" s="144">
        <v>43767.0</v>
      </c>
      <c r="U242" s="50">
        <v>9999.0</v>
      </c>
      <c r="V242" s="50">
        <v>9999.0</v>
      </c>
      <c r="W242" s="116"/>
      <c r="X242" s="116"/>
      <c r="Y242" s="144">
        <v>43767.0</v>
      </c>
      <c r="Z242" s="50">
        <v>9999.0</v>
      </c>
      <c r="AA242" s="50">
        <v>9999.0</v>
      </c>
      <c r="AB242" s="116"/>
      <c r="AC242" s="116"/>
      <c r="AD242" s="50" t="s">
        <v>21300</v>
      </c>
      <c r="AE242" s="50">
        <v>1.0</v>
      </c>
      <c r="AF242" s="50" t="s">
        <v>18902</v>
      </c>
      <c r="AG242" s="117">
        <v>5969.0</v>
      </c>
      <c r="AH242" s="50" t="s">
        <v>21302</v>
      </c>
      <c r="AI242" s="50" t="s">
        <v>21303</v>
      </c>
      <c r="AJ242" s="117">
        <v>243.0</v>
      </c>
    </row>
    <row r="243">
      <c r="A243" s="50" t="s">
        <v>21293</v>
      </c>
      <c r="B243" s="50" t="s">
        <v>6876</v>
      </c>
      <c r="C243" s="50" t="s">
        <v>6877</v>
      </c>
      <c r="D243" s="50" t="s">
        <v>11623</v>
      </c>
      <c r="E243" s="144">
        <v>43804.0</v>
      </c>
      <c r="F243" s="50" t="s">
        <v>21307</v>
      </c>
      <c r="G243" s="50">
        <v>59.0</v>
      </c>
      <c r="H243" s="50">
        <v>1.0</v>
      </c>
      <c r="I243" s="50">
        <v>11.0</v>
      </c>
      <c r="J243" s="116"/>
      <c r="K243" s="116"/>
      <c r="L243" s="50" t="s">
        <v>1335</v>
      </c>
      <c r="M243" s="50" t="s">
        <v>1335</v>
      </c>
      <c r="N243" s="122">
        <v>43467.0</v>
      </c>
      <c r="O243" s="50">
        <v>1.0</v>
      </c>
      <c r="P243" s="50">
        <v>1.0</v>
      </c>
      <c r="Q243" s="116"/>
      <c r="R243" s="50" t="s">
        <v>21236</v>
      </c>
      <c r="S243" s="116"/>
      <c r="T243" s="144">
        <v>43767.0</v>
      </c>
      <c r="U243" s="50">
        <v>9999.0</v>
      </c>
      <c r="V243" s="50">
        <v>9999.0</v>
      </c>
      <c r="W243" s="116"/>
      <c r="X243" s="116"/>
      <c r="Y243" s="144">
        <v>43767.0</v>
      </c>
      <c r="Z243" s="50">
        <v>9999.0</v>
      </c>
      <c r="AA243" s="50">
        <v>9999.0</v>
      </c>
      <c r="AB243" s="116"/>
      <c r="AC243" s="116"/>
      <c r="AD243" s="116"/>
      <c r="AE243" s="50">
        <v>1.0</v>
      </c>
      <c r="AF243" s="50" t="s">
        <v>18902</v>
      </c>
      <c r="AG243" s="117">
        <v>5970.0</v>
      </c>
      <c r="AH243" s="50" t="s">
        <v>21316</v>
      </c>
      <c r="AI243" s="50" t="s">
        <v>21317</v>
      </c>
      <c r="AJ243" s="117">
        <v>244.0</v>
      </c>
    </row>
    <row r="244">
      <c r="A244" s="50" t="s">
        <v>21307</v>
      </c>
      <c r="B244" s="50" t="s">
        <v>6876</v>
      </c>
      <c r="C244" s="50" t="s">
        <v>6877</v>
      </c>
      <c r="D244" s="50" t="s">
        <v>11623</v>
      </c>
      <c r="E244" s="144">
        <v>43804.0</v>
      </c>
      <c r="F244" s="50" t="s">
        <v>21320</v>
      </c>
      <c r="G244" s="50">
        <v>59.0</v>
      </c>
      <c r="H244" s="50">
        <v>1.0</v>
      </c>
      <c r="I244" s="50">
        <v>11.0</v>
      </c>
      <c r="J244" s="116"/>
      <c r="K244" s="116"/>
      <c r="L244" s="50" t="s">
        <v>1337</v>
      </c>
      <c r="M244" s="50" t="s">
        <v>1337</v>
      </c>
      <c r="N244" s="122">
        <v>43467.0</v>
      </c>
      <c r="O244" s="50">
        <v>1.0</v>
      </c>
      <c r="P244" s="50">
        <v>1.0</v>
      </c>
      <c r="Q244" s="116"/>
      <c r="R244" s="50" t="s">
        <v>21236</v>
      </c>
      <c r="S244" s="116"/>
      <c r="T244" s="144">
        <v>43767.0</v>
      </c>
      <c r="U244" s="50">
        <v>22.83</v>
      </c>
      <c r="V244" s="50">
        <v>23.06</v>
      </c>
      <c r="W244" s="116"/>
      <c r="X244" s="116"/>
      <c r="Y244" s="144">
        <v>43767.0</v>
      </c>
      <c r="Z244" s="50">
        <v>36.94</v>
      </c>
      <c r="AA244" s="50">
        <v>36.5</v>
      </c>
      <c r="AB244" s="116"/>
      <c r="AC244" s="116"/>
      <c r="AD244" s="116"/>
      <c r="AE244" s="50">
        <v>1.0</v>
      </c>
      <c r="AF244" s="50" t="s">
        <v>18902</v>
      </c>
      <c r="AG244" s="117">
        <v>5971.0</v>
      </c>
      <c r="AH244" s="50" t="s">
        <v>21327</v>
      </c>
      <c r="AI244" s="50" t="s">
        <v>21328</v>
      </c>
      <c r="AJ244" s="117">
        <v>245.0</v>
      </c>
    </row>
    <row r="245">
      <c r="A245" s="50" t="s">
        <v>21320</v>
      </c>
      <c r="B245" s="50" t="s">
        <v>6876</v>
      </c>
      <c r="C245" s="50" t="s">
        <v>6877</v>
      </c>
      <c r="D245" s="50" t="s">
        <v>11623</v>
      </c>
      <c r="E245" s="144">
        <v>43804.0</v>
      </c>
      <c r="F245" s="50" t="s">
        <v>21332</v>
      </c>
      <c r="G245" s="50">
        <v>59.0</v>
      </c>
      <c r="H245" s="50">
        <v>1.0</v>
      </c>
      <c r="I245" s="50">
        <v>99.0</v>
      </c>
      <c r="J245" s="116"/>
      <c r="K245" s="116"/>
      <c r="L245" s="50" t="s">
        <v>1339</v>
      </c>
      <c r="M245" s="50" t="s">
        <v>1339</v>
      </c>
      <c r="N245" s="122">
        <v>43467.0</v>
      </c>
      <c r="O245" s="50">
        <v>1.0</v>
      </c>
      <c r="P245" s="50">
        <v>1.0</v>
      </c>
      <c r="Q245" s="116"/>
      <c r="R245" s="50" t="s">
        <v>21236</v>
      </c>
      <c r="S245" s="116"/>
      <c r="T245" s="144">
        <v>43767.0</v>
      </c>
      <c r="U245" s="50">
        <v>9999.0</v>
      </c>
      <c r="V245" s="50">
        <v>9999.0</v>
      </c>
      <c r="W245" s="116"/>
      <c r="X245" s="116"/>
      <c r="Y245" s="144">
        <v>43767.0</v>
      </c>
      <c r="Z245" s="50">
        <v>9999.0</v>
      </c>
      <c r="AA245" s="50">
        <v>9999.0</v>
      </c>
      <c r="AB245" s="116"/>
      <c r="AC245" s="116"/>
      <c r="AD245" s="50" t="s">
        <v>21341</v>
      </c>
      <c r="AE245" s="50">
        <v>1.0</v>
      </c>
      <c r="AF245" s="50" t="s">
        <v>18902</v>
      </c>
      <c r="AG245" s="117">
        <v>5972.0</v>
      </c>
      <c r="AH245" s="50" t="s">
        <v>21345</v>
      </c>
      <c r="AI245" s="50" t="s">
        <v>21346</v>
      </c>
      <c r="AJ245" s="117">
        <v>246.0</v>
      </c>
    </row>
    <row r="246">
      <c r="A246" s="50" t="s">
        <v>21348</v>
      </c>
      <c r="B246" s="50" t="s">
        <v>6876</v>
      </c>
      <c r="C246" s="50" t="s">
        <v>6877</v>
      </c>
      <c r="D246" s="50" t="s">
        <v>11623</v>
      </c>
      <c r="E246" s="144">
        <v>43804.0</v>
      </c>
      <c r="F246" s="50" t="s">
        <v>21350</v>
      </c>
      <c r="G246" s="50">
        <v>59.0</v>
      </c>
      <c r="H246" s="50">
        <v>1.0</v>
      </c>
      <c r="I246" s="50">
        <v>11.0</v>
      </c>
      <c r="J246" s="116"/>
      <c r="K246" s="116"/>
      <c r="L246" s="50" t="s">
        <v>1341</v>
      </c>
      <c r="M246" s="50" t="s">
        <v>1341</v>
      </c>
      <c r="N246" s="122">
        <v>43467.0</v>
      </c>
      <c r="O246" s="50">
        <v>1.0</v>
      </c>
      <c r="P246" s="50">
        <v>1.0</v>
      </c>
      <c r="Q246" s="116"/>
      <c r="R246" s="50" t="s">
        <v>21236</v>
      </c>
      <c r="S246" s="116"/>
      <c r="T246" s="144">
        <v>43767.0</v>
      </c>
      <c r="U246" s="50">
        <v>27.02</v>
      </c>
      <c r="V246" s="50">
        <v>27.24</v>
      </c>
      <c r="W246" s="116"/>
      <c r="X246" s="116"/>
      <c r="Y246" s="144">
        <v>43767.0</v>
      </c>
      <c r="Z246" s="50">
        <v>35.1</v>
      </c>
      <c r="AA246" s="50">
        <v>35.76</v>
      </c>
      <c r="AB246" s="116"/>
      <c r="AC246" s="116"/>
      <c r="AD246" s="116"/>
      <c r="AE246" s="50">
        <v>1.0</v>
      </c>
      <c r="AF246" s="50" t="s">
        <v>18902</v>
      </c>
      <c r="AG246" s="117">
        <v>5973.0</v>
      </c>
      <c r="AH246" s="50" t="s">
        <v>21357</v>
      </c>
      <c r="AI246" s="50" t="s">
        <v>21358</v>
      </c>
      <c r="AJ246" s="117">
        <v>247.0</v>
      </c>
    </row>
    <row r="247">
      <c r="A247" s="50" t="s">
        <v>21350</v>
      </c>
      <c r="B247" s="50" t="s">
        <v>6876</v>
      </c>
      <c r="C247" s="50" t="s">
        <v>6877</v>
      </c>
      <c r="D247" s="50" t="s">
        <v>11623</v>
      </c>
      <c r="E247" s="144">
        <v>43804.0</v>
      </c>
      <c r="F247" s="50" t="s">
        <v>21360</v>
      </c>
      <c r="G247" s="50">
        <v>59.0</v>
      </c>
      <c r="H247" s="50">
        <v>1.0</v>
      </c>
      <c r="I247" s="50">
        <v>11.0</v>
      </c>
      <c r="J247" s="116"/>
      <c r="K247" s="116"/>
      <c r="L247" s="50" t="s">
        <v>1342</v>
      </c>
      <c r="M247" s="50" t="s">
        <v>1342</v>
      </c>
      <c r="N247" s="122">
        <v>43467.0</v>
      </c>
      <c r="O247" s="50">
        <v>1.0</v>
      </c>
      <c r="P247" s="50">
        <v>1.0</v>
      </c>
      <c r="Q247" s="116"/>
      <c r="R247" s="50" t="s">
        <v>21236</v>
      </c>
      <c r="S247" s="116"/>
      <c r="T247" s="144">
        <v>43767.0</v>
      </c>
      <c r="U247" s="50">
        <v>26.24</v>
      </c>
      <c r="V247" s="50">
        <v>26.4</v>
      </c>
      <c r="W247" s="116"/>
      <c r="X247" s="116"/>
      <c r="Y247" s="144">
        <v>43767.0</v>
      </c>
      <c r="Z247" s="50">
        <v>36.94</v>
      </c>
      <c r="AA247" s="50">
        <v>37.11</v>
      </c>
      <c r="AB247" s="116"/>
      <c r="AC247" s="116"/>
      <c r="AD247" s="116"/>
      <c r="AE247" s="50">
        <v>1.0</v>
      </c>
      <c r="AF247" s="50" t="s">
        <v>18902</v>
      </c>
      <c r="AG247" s="117">
        <v>5974.0</v>
      </c>
      <c r="AH247" s="50" t="s">
        <v>21368</v>
      </c>
      <c r="AI247" s="50" t="s">
        <v>21369</v>
      </c>
      <c r="AJ247" s="117">
        <v>248.0</v>
      </c>
    </row>
    <row r="248">
      <c r="A248" s="50" t="s">
        <v>21360</v>
      </c>
      <c r="B248" s="50" t="s">
        <v>6876</v>
      </c>
      <c r="C248" s="50" t="s">
        <v>6877</v>
      </c>
      <c r="D248" s="50" t="s">
        <v>11623</v>
      </c>
      <c r="E248" s="144">
        <v>43804.0</v>
      </c>
      <c r="F248" s="50" t="s">
        <v>21375</v>
      </c>
      <c r="G248" s="50">
        <v>59.0</v>
      </c>
      <c r="H248" s="50">
        <v>1.0</v>
      </c>
      <c r="I248" s="50">
        <v>99.0</v>
      </c>
      <c r="J248" s="116"/>
      <c r="K248" s="116"/>
      <c r="L248" s="50" t="s">
        <v>1345</v>
      </c>
      <c r="M248" s="50" t="s">
        <v>1345</v>
      </c>
      <c r="N248" s="122">
        <v>43467.0</v>
      </c>
      <c r="O248" s="50">
        <v>1.0</v>
      </c>
      <c r="P248" s="50">
        <v>1.0</v>
      </c>
      <c r="Q248" s="116"/>
      <c r="R248" s="50" t="s">
        <v>21236</v>
      </c>
      <c r="S248" s="116"/>
      <c r="T248" s="144">
        <v>43767.0</v>
      </c>
      <c r="U248" s="50">
        <v>9999.0</v>
      </c>
      <c r="V248" s="50">
        <v>9999.0</v>
      </c>
      <c r="W248" s="116"/>
      <c r="X248" s="116"/>
      <c r="Y248" s="144">
        <v>43767.0</v>
      </c>
      <c r="Z248" s="50">
        <v>9999.0</v>
      </c>
      <c r="AA248" s="50">
        <v>9999.0</v>
      </c>
      <c r="AB248" s="116"/>
      <c r="AC248" s="116"/>
      <c r="AD248" s="50" t="s">
        <v>21382</v>
      </c>
      <c r="AE248" s="50">
        <v>1.0</v>
      </c>
      <c r="AF248" s="50" t="s">
        <v>18902</v>
      </c>
      <c r="AG248" s="117">
        <v>5975.0</v>
      </c>
      <c r="AH248" s="50" t="s">
        <v>21384</v>
      </c>
      <c r="AI248" s="50" t="s">
        <v>21385</v>
      </c>
      <c r="AJ248" s="117">
        <v>249.0</v>
      </c>
    </row>
    <row r="249">
      <c r="A249" s="50" t="s">
        <v>21386</v>
      </c>
      <c r="B249" s="50" t="s">
        <v>6876</v>
      </c>
      <c r="C249" s="50" t="s">
        <v>6877</v>
      </c>
      <c r="D249" s="50" t="s">
        <v>11623</v>
      </c>
      <c r="E249" s="144">
        <v>43808.0</v>
      </c>
      <c r="F249" s="50" t="s">
        <v>21389</v>
      </c>
      <c r="G249" s="50">
        <v>59.0</v>
      </c>
      <c r="H249" s="50">
        <v>1.0</v>
      </c>
      <c r="I249" s="50">
        <v>11.0</v>
      </c>
      <c r="J249" s="116"/>
      <c r="K249" s="116"/>
      <c r="L249" s="50" t="s">
        <v>1709</v>
      </c>
      <c r="M249" s="50" t="s">
        <v>1709</v>
      </c>
      <c r="N249" s="122">
        <v>43467.0</v>
      </c>
      <c r="O249" s="50">
        <v>1.0</v>
      </c>
      <c r="P249" s="50">
        <v>1.0</v>
      </c>
      <c r="Q249" s="116"/>
      <c r="R249" s="50" t="s">
        <v>21392</v>
      </c>
      <c r="S249" s="116"/>
      <c r="T249" s="144">
        <v>43805.0</v>
      </c>
      <c r="U249" s="50">
        <v>27.09</v>
      </c>
      <c r="V249" s="50">
        <v>9999.0</v>
      </c>
      <c r="W249" s="116"/>
      <c r="X249" s="116"/>
      <c r="Y249" s="144">
        <v>43805.0</v>
      </c>
      <c r="Z249" s="50">
        <v>40.0</v>
      </c>
      <c r="AA249" s="50">
        <v>40.0</v>
      </c>
      <c r="AB249" s="116"/>
      <c r="AC249" s="116"/>
      <c r="AD249" s="116"/>
      <c r="AE249" s="50">
        <v>1.0</v>
      </c>
      <c r="AF249" s="50" t="s">
        <v>18902</v>
      </c>
      <c r="AG249" s="117">
        <v>6050.0</v>
      </c>
      <c r="AH249" s="50" t="s">
        <v>21396</v>
      </c>
      <c r="AI249" s="50" t="s">
        <v>21398</v>
      </c>
      <c r="AJ249" s="117">
        <v>250.0</v>
      </c>
    </row>
    <row r="250">
      <c r="A250" s="50" t="s">
        <v>21400</v>
      </c>
      <c r="B250" s="50" t="s">
        <v>6876</v>
      </c>
      <c r="C250" s="50" t="s">
        <v>6877</v>
      </c>
      <c r="D250" s="50" t="s">
        <v>11623</v>
      </c>
      <c r="E250" s="144">
        <v>43808.0</v>
      </c>
      <c r="F250" s="50" t="s">
        <v>21402</v>
      </c>
      <c r="G250" s="50">
        <v>59.0</v>
      </c>
      <c r="H250" s="50">
        <v>1.0</v>
      </c>
      <c r="I250" s="50">
        <v>11.0</v>
      </c>
      <c r="J250" s="116"/>
      <c r="K250" s="116"/>
      <c r="L250" s="50" t="s">
        <v>1712</v>
      </c>
      <c r="M250" s="50" t="s">
        <v>1712</v>
      </c>
      <c r="N250" s="122">
        <v>43467.0</v>
      </c>
      <c r="O250" s="50">
        <v>1.0</v>
      </c>
      <c r="P250" s="50">
        <v>1.0</v>
      </c>
      <c r="Q250" s="116"/>
      <c r="R250" s="50" t="s">
        <v>21392</v>
      </c>
      <c r="S250" s="116"/>
      <c r="T250" s="144">
        <v>43805.0</v>
      </c>
      <c r="U250" s="50">
        <v>24.39</v>
      </c>
      <c r="V250" s="50">
        <v>24.64</v>
      </c>
      <c r="W250" s="116"/>
      <c r="X250" s="116"/>
      <c r="Y250" s="144">
        <v>43805.0</v>
      </c>
      <c r="Z250" s="50">
        <v>9999.0</v>
      </c>
      <c r="AA250" s="50">
        <v>40.0</v>
      </c>
      <c r="AB250" s="116"/>
      <c r="AC250" s="116"/>
      <c r="AD250" s="116"/>
      <c r="AE250" s="50">
        <v>1.0</v>
      </c>
      <c r="AF250" s="50" t="s">
        <v>18902</v>
      </c>
      <c r="AG250" s="117">
        <v>6051.0</v>
      </c>
      <c r="AH250" s="50" t="s">
        <v>21410</v>
      </c>
      <c r="AI250" s="50" t="s">
        <v>21413</v>
      </c>
      <c r="AJ250" s="117">
        <v>251.0</v>
      </c>
    </row>
    <row r="251">
      <c r="A251" s="50" t="s">
        <v>21415</v>
      </c>
      <c r="B251" s="50" t="s">
        <v>6876</v>
      </c>
      <c r="C251" s="50" t="s">
        <v>6877</v>
      </c>
      <c r="D251" s="50" t="s">
        <v>11623</v>
      </c>
      <c r="E251" s="144">
        <v>43808.0</v>
      </c>
      <c r="F251" s="50" t="s">
        <v>21416</v>
      </c>
      <c r="G251" s="50">
        <v>59.0</v>
      </c>
      <c r="H251" s="50">
        <v>1.0</v>
      </c>
      <c r="I251" s="50">
        <v>99.0</v>
      </c>
      <c r="J251" s="116"/>
      <c r="K251" s="116"/>
      <c r="L251" s="50" t="s">
        <v>1714</v>
      </c>
      <c r="M251" s="50" t="s">
        <v>1714</v>
      </c>
      <c r="N251" s="122">
        <v>43467.0</v>
      </c>
      <c r="O251" s="50">
        <v>1.0</v>
      </c>
      <c r="P251" s="50">
        <v>1.0</v>
      </c>
      <c r="Q251" s="116"/>
      <c r="R251" s="50" t="s">
        <v>21392</v>
      </c>
      <c r="S251" s="116"/>
      <c r="T251" s="144">
        <v>43805.0</v>
      </c>
      <c r="U251" s="50">
        <v>9999.0</v>
      </c>
      <c r="V251" s="50">
        <v>9999.0</v>
      </c>
      <c r="W251" s="116"/>
      <c r="X251" s="116"/>
      <c r="Y251" s="144">
        <v>43805.0</v>
      </c>
      <c r="Z251" s="50">
        <v>9999.0</v>
      </c>
      <c r="AA251" s="50">
        <v>9999.0</v>
      </c>
      <c r="AB251" s="116"/>
      <c r="AC251" s="116"/>
      <c r="AD251" s="50" t="s">
        <v>21421</v>
      </c>
      <c r="AE251" s="50">
        <v>1.0</v>
      </c>
      <c r="AF251" s="50" t="s">
        <v>18902</v>
      </c>
      <c r="AG251" s="117">
        <v>6052.0</v>
      </c>
      <c r="AH251" s="50" t="s">
        <v>21423</v>
      </c>
      <c r="AI251" s="50" t="s">
        <v>21425</v>
      </c>
      <c r="AJ251" s="117">
        <v>252.0</v>
      </c>
    </row>
    <row r="252">
      <c r="A252" s="50" t="s">
        <v>21427</v>
      </c>
      <c r="B252" s="50" t="s">
        <v>6876</v>
      </c>
      <c r="C252" s="50" t="s">
        <v>6877</v>
      </c>
      <c r="D252" s="50" t="s">
        <v>11623</v>
      </c>
      <c r="E252" s="144">
        <v>43808.0</v>
      </c>
      <c r="F252" s="50" t="s">
        <v>21430</v>
      </c>
      <c r="G252" s="50">
        <v>59.0</v>
      </c>
      <c r="H252" s="50">
        <v>1.0</v>
      </c>
      <c r="I252" s="50">
        <v>11.0</v>
      </c>
      <c r="J252" s="116"/>
      <c r="K252" s="116"/>
      <c r="L252" s="50" t="s">
        <v>1715</v>
      </c>
      <c r="M252" s="50" t="s">
        <v>1715</v>
      </c>
      <c r="N252" s="122">
        <v>43467.0</v>
      </c>
      <c r="O252" s="50">
        <v>1.0</v>
      </c>
      <c r="P252" s="50">
        <v>1.0</v>
      </c>
      <c r="Q252" s="116"/>
      <c r="R252" s="50" t="s">
        <v>21392</v>
      </c>
      <c r="S252" s="116"/>
      <c r="T252" s="144">
        <v>43805.0</v>
      </c>
      <c r="U252" s="50">
        <v>26.18</v>
      </c>
      <c r="V252" s="50">
        <v>26.07</v>
      </c>
      <c r="W252" s="116"/>
      <c r="X252" s="116"/>
      <c r="Y252" s="144">
        <v>43805.0</v>
      </c>
      <c r="Z252" s="50">
        <v>9999.0</v>
      </c>
      <c r="AA252" s="50">
        <v>40.0</v>
      </c>
      <c r="AB252" s="116"/>
      <c r="AC252" s="116"/>
      <c r="AD252" s="116"/>
      <c r="AE252" s="50">
        <v>1.0</v>
      </c>
      <c r="AF252" s="50" t="s">
        <v>18902</v>
      </c>
      <c r="AG252" s="117">
        <v>6053.0</v>
      </c>
      <c r="AH252" s="50" t="s">
        <v>21437</v>
      </c>
      <c r="AI252" s="50" t="s">
        <v>21438</v>
      </c>
      <c r="AJ252" s="117">
        <v>253.0</v>
      </c>
    </row>
    <row r="253">
      <c r="A253" s="50" t="s">
        <v>21430</v>
      </c>
      <c r="B253" s="50" t="s">
        <v>6876</v>
      </c>
      <c r="C253" s="50" t="s">
        <v>6877</v>
      </c>
      <c r="D253" s="50" t="s">
        <v>11623</v>
      </c>
      <c r="E253" s="144">
        <v>43808.0</v>
      </c>
      <c r="F253" s="50" t="s">
        <v>21441</v>
      </c>
      <c r="G253" s="50">
        <v>59.0</v>
      </c>
      <c r="H253" s="50">
        <v>1.0</v>
      </c>
      <c r="I253" s="50">
        <v>11.0</v>
      </c>
      <c r="J253" s="116"/>
      <c r="K253" s="116"/>
      <c r="L253" s="50" t="s">
        <v>1720</v>
      </c>
      <c r="M253" s="50" t="s">
        <v>1720</v>
      </c>
      <c r="N253" s="122">
        <v>43467.0</v>
      </c>
      <c r="O253" s="50">
        <v>1.0</v>
      </c>
      <c r="P253" s="50">
        <v>1.0</v>
      </c>
      <c r="Q253" s="116"/>
      <c r="R253" s="50" t="s">
        <v>21392</v>
      </c>
      <c r="S253" s="116"/>
      <c r="T253" s="144">
        <v>43805.0</v>
      </c>
      <c r="U253" s="50">
        <v>24.93</v>
      </c>
      <c r="V253" s="50">
        <v>25.8</v>
      </c>
      <c r="W253" s="116"/>
      <c r="X253" s="116"/>
      <c r="Y253" s="144">
        <v>43805.0</v>
      </c>
      <c r="Z253" s="50">
        <v>9999.0</v>
      </c>
      <c r="AA253" s="50">
        <v>40.0</v>
      </c>
      <c r="AB253" s="116"/>
      <c r="AC253" s="116"/>
      <c r="AD253" s="116"/>
      <c r="AE253" s="50">
        <v>1.0</v>
      </c>
      <c r="AF253" s="50" t="s">
        <v>18902</v>
      </c>
      <c r="AG253" s="117">
        <v>6054.0</v>
      </c>
      <c r="AH253" s="50" t="s">
        <v>21447</v>
      </c>
      <c r="AI253" s="50" t="s">
        <v>21448</v>
      </c>
      <c r="AJ253" s="117">
        <v>254.0</v>
      </c>
    </row>
    <row r="254">
      <c r="A254" s="50" t="s">
        <v>21441</v>
      </c>
      <c r="B254" s="50" t="s">
        <v>6876</v>
      </c>
      <c r="C254" s="50" t="s">
        <v>6877</v>
      </c>
      <c r="D254" s="50" t="s">
        <v>11623</v>
      </c>
      <c r="E254" s="144">
        <v>43808.0</v>
      </c>
      <c r="F254" s="50" t="s">
        <v>21449</v>
      </c>
      <c r="G254" s="50">
        <v>59.0</v>
      </c>
      <c r="H254" s="50">
        <v>1.0</v>
      </c>
      <c r="I254" s="50">
        <v>11.0</v>
      </c>
      <c r="J254" s="116"/>
      <c r="K254" s="116"/>
      <c r="L254" s="50" t="s">
        <v>1723</v>
      </c>
      <c r="M254" s="50" t="s">
        <v>1723</v>
      </c>
      <c r="N254" s="122">
        <v>43467.0</v>
      </c>
      <c r="O254" s="50">
        <v>1.0</v>
      </c>
      <c r="P254" s="50">
        <v>1.0</v>
      </c>
      <c r="Q254" s="116"/>
      <c r="R254" s="50" t="s">
        <v>21392</v>
      </c>
      <c r="S254" s="116"/>
      <c r="T254" s="144">
        <v>43805.0</v>
      </c>
      <c r="U254" s="50">
        <v>32.17</v>
      </c>
      <c r="V254" s="50">
        <v>9999.0</v>
      </c>
      <c r="W254" s="116"/>
      <c r="X254" s="116"/>
      <c r="Y254" s="144">
        <v>43805.0</v>
      </c>
      <c r="Z254" s="50">
        <v>9999.0</v>
      </c>
      <c r="AA254" s="50">
        <v>9999.0</v>
      </c>
      <c r="AB254" s="116"/>
      <c r="AC254" s="116"/>
      <c r="AD254" s="116"/>
      <c r="AE254" s="50">
        <v>1.0</v>
      </c>
      <c r="AF254" s="50" t="s">
        <v>18902</v>
      </c>
      <c r="AG254" s="117">
        <v>6055.0</v>
      </c>
      <c r="AH254" s="50" t="s">
        <v>21455</v>
      </c>
      <c r="AI254" s="50" t="s">
        <v>21456</v>
      </c>
      <c r="AJ254" s="117">
        <v>255.0</v>
      </c>
    </row>
    <row r="255">
      <c r="A255" s="50" t="s">
        <v>21449</v>
      </c>
      <c r="B255" s="50" t="s">
        <v>6876</v>
      </c>
      <c r="C255" s="50" t="s">
        <v>6877</v>
      </c>
      <c r="D255" s="50" t="s">
        <v>11623</v>
      </c>
      <c r="E255" s="144">
        <v>43808.0</v>
      </c>
      <c r="F255" s="50" t="s">
        <v>21461</v>
      </c>
      <c r="G255" s="50">
        <v>59.0</v>
      </c>
      <c r="H255" s="50">
        <v>1.0</v>
      </c>
      <c r="I255" s="50">
        <v>98.0</v>
      </c>
      <c r="J255" s="116"/>
      <c r="K255" s="116"/>
      <c r="L255" s="50" t="s">
        <v>1728</v>
      </c>
      <c r="M255" s="50" t="s">
        <v>1728</v>
      </c>
      <c r="N255" s="122">
        <v>43467.0</v>
      </c>
      <c r="O255" s="50">
        <v>1.0</v>
      </c>
      <c r="P255" s="50">
        <v>1.0</v>
      </c>
      <c r="Q255" s="116"/>
      <c r="R255" s="50" t="s">
        <v>21392</v>
      </c>
      <c r="S255" s="116"/>
      <c r="T255" s="144">
        <v>43805.0</v>
      </c>
      <c r="U255" s="50">
        <v>9999.0</v>
      </c>
      <c r="V255" s="50">
        <v>9999.0</v>
      </c>
      <c r="W255" s="116"/>
      <c r="X255" s="116"/>
      <c r="Y255" s="144">
        <v>43805.0</v>
      </c>
      <c r="Z255" s="50">
        <v>9999.0</v>
      </c>
      <c r="AA255" s="50">
        <v>9999.0</v>
      </c>
      <c r="AB255" s="116"/>
      <c r="AC255" s="116"/>
      <c r="AD255" s="116"/>
      <c r="AE255" s="50">
        <v>1.0</v>
      </c>
      <c r="AF255" s="50" t="s">
        <v>18902</v>
      </c>
      <c r="AG255" s="117">
        <v>6056.0</v>
      </c>
      <c r="AH255" s="50" t="s">
        <v>21469</v>
      </c>
      <c r="AI255" s="50" t="s">
        <v>21470</v>
      </c>
      <c r="AJ255" s="117">
        <v>256.0</v>
      </c>
    </row>
    <row r="256">
      <c r="A256" s="50" t="s">
        <v>21472</v>
      </c>
      <c r="B256" s="50" t="s">
        <v>6876</v>
      </c>
      <c r="C256" s="50" t="s">
        <v>6877</v>
      </c>
      <c r="D256" s="50" t="s">
        <v>11623</v>
      </c>
      <c r="E256" s="144">
        <v>43808.0</v>
      </c>
      <c r="F256" s="50" t="s">
        <v>21473</v>
      </c>
      <c r="G256" s="50">
        <v>57.0</v>
      </c>
      <c r="H256" s="50">
        <v>1.0</v>
      </c>
      <c r="I256" s="50">
        <v>12.0</v>
      </c>
      <c r="J256" s="116"/>
      <c r="K256" s="116"/>
      <c r="L256" s="50" t="s">
        <v>1729</v>
      </c>
      <c r="M256" s="50" t="s">
        <v>1729</v>
      </c>
      <c r="N256" s="122">
        <v>43467.0</v>
      </c>
      <c r="O256" s="50">
        <v>1.0</v>
      </c>
      <c r="P256" s="50">
        <v>1.0</v>
      </c>
      <c r="Q256" s="116"/>
      <c r="R256" s="50" t="s">
        <v>21392</v>
      </c>
      <c r="S256" s="116"/>
      <c r="T256" s="144">
        <v>43805.0</v>
      </c>
      <c r="U256" s="50">
        <v>24.94</v>
      </c>
      <c r="V256" s="50">
        <v>24.86</v>
      </c>
      <c r="W256" s="116"/>
      <c r="X256" s="116"/>
      <c r="Y256" s="144">
        <v>43805.0</v>
      </c>
      <c r="Z256" s="50">
        <v>9999.0</v>
      </c>
      <c r="AA256" s="50">
        <v>9999.0</v>
      </c>
      <c r="AB256" s="116"/>
      <c r="AC256" s="116"/>
      <c r="AD256" s="116"/>
      <c r="AE256" s="50">
        <v>1.0</v>
      </c>
      <c r="AF256" s="50" t="s">
        <v>18902</v>
      </c>
      <c r="AG256" s="117">
        <v>6057.0</v>
      </c>
      <c r="AH256" s="50" t="s">
        <v>21477</v>
      </c>
      <c r="AI256" s="50" t="s">
        <v>21480</v>
      </c>
      <c r="AJ256" s="117">
        <v>257.0</v>
      </c>
    </row>
    <row r="257">
      <c r="A257" s="50" t="s">
        <v>21473</v>
      </c>
      <c r="B257" s="50" t="s">
        <v>6876</v>
      </c>
      <c r="C257" s="50" t="s">
        <v>6877</v>
      </c>
      <c r="D257" s="50" t="s">
        <v>11623</v>
      </c>
      <c r="E257" s="144">
        <v>43808.0</v>
      </c>
      <c r="F257" s="50" t="s">
        <v>21482</v>
      </c>
      <c r="G257" s="50">
        <v>55.0</v>
      </c>
      <c r="H257" s="50">
        <v>1.0</v>
      </c>
      <c r="I257" s="50">
        <v>12.0</v>
      </c>
      <c r="J257" s="116"/>
      <c r="K257" s="116"/>
      <c r="L257" s="50" t="s">
        <v>1732</v>
      </c>
      <c r="M257" s="50" t="s">
        <v>1732</v>
      </c>
      <c r="N257" s="122">
        <v>43467.0</v>
      </c>
      <c r="O257" s="50">
        <v>1.0</v>
      </c>
      <c r="P257" s="50">
        <v>1.0</v>
      </c>
      <c r="Q257" s="116"/>
      <c r="R257" s="50" t="s">
        <v>21392</v>
      </c>
      <c r="S257" s="116"/>
      <c r="T257" s="144">
        <v>43805.0</v>
      </c>
      <c r="U257" s="50">
        <v>22.82</v>
      </c>
      <c r="V257" s="50">
        <v>23.03</v>
      </c>
      <c r="W257" s="116"/>
      <c r="X257" s="116"/>
      <c r="Y257" s="144">
        <v>43805.0</v>
      </c>
      <c r="Z257" s="50">
        <v>33.87</v>
      </c>
      <c r="AA257" s="50">
        <v>33.71</v>
      </c>
      <c r="AB257" s="116"/>
      <c r="AC257" s="116"/>
      <c r="AD257" s="116"/>
      <c r="AE257" s="50">
        <v>1.0</v>
      </c>
      <c r="AF257" s="50" t="s">
        <v>18902</v>
      </c>
      <c r="AG257" s="117">
        <v>6058.0</v>
      </c>
      <c r="AH257" s="50" t="s">
        <v>21489</v>
      </c>
      <c r="AI257" s="50" t="s">
        <v>21490</v>
      </c>
      <c r="AJ257" s="117">
        <v>258.0</v>
      </c>
    </row>
    <row r="258">
      <c r="A258" s="50" t="s">
        <v>21482</v>
      </c>
      <c r="B258" s="50" t="s">
        <v>6876</v>
      </c>
      <c r="C258" s="50" t="s">
        <v>6877</v>
      </c>
      <c r="D258" s="50" t="s">
        <v>11623</v>
      </c>
      <c r="E258" s="144">
        <v>43808.0</v>
      </c>
      <c r="F258" s="50" t="s">
        <v>21494</v>
      </c>
      <c r="G258" s="50">
        <v>59.0</v>
      </c>
      <c r="H258" s="50">
        <v>1.0</v>
      </c>
      <c r="I258" s="50">
        <v>11.0</v>
      </c>
      <c r="J258" s="116"/>
      <c r="K258" s="116"/>
      <c r="L258" s="50" t="s">
        <v>1735</v>
      </c>
      <c r="M258" s="50" t="s">
        <v>1735</v>
      </c>
      <c r="N258" s="122">
        <v>43467.0</v>
      </c>
      <c r="O258" s="50">
        <v>1.0</v>
      </c>
      <c r="P258" s="50">
        <v>1.0</v>
      </c>
      <c r="Q258" s="116"/>
      <c r="R258" s="50" t="s">
        <v>21392</v>
      </c>
      <c r="S258" s="116"/>
      <c r="T258" s="144">
        <v>43805.0</v>
      </c>
      <c r="U258" s="50">
        <v>24.54</v>
      </c>
      <c r="V258" s="50">
        <v>23.63</v>
      </c>
      <c r="W258" s="116"/>
      <c r="X258" s="116"/>
      <c r="Y258" s="144">
        <v>43805.0</v>
      </c>
      <c r="Z258" s="50">
        <v>9999.0</v>
      </c>
      <c r="AA258" s="50">
        <v>9999.0</v>
      </c>
      <c r="AB258" s="116"/>
      <c r="AC258" s="116"/>
      <c r="AD258" s="116"/>
      <c r="AE258" s="50">
        <v>1.0</v>
      </c>
      <c r="AF258" s="50" t="s">
        <v>18902</v>
      </c>
      <c r="AG258" s="117">
        <v>6059.0</v>
      </c>
      <c r="AH258" s="50" t="s">
        <v>21501</v>
      </c>
      <c r="AI258" s="50" t="s">
        <v>21502</v>
      </c>
      <c r="AJ258" s="117">
        <v>259.0</v>
      </c>
    </row>
    <row r="259">
      <c r="A259" s="50" t="s">
        <v>21494</v>
      </c>
      <c r="B259" s="50" t="s">
        <v>6876</v>
      </c>
      <c r="C259" s="50" t="s">
        <v>6877</v>
      </c>
      <c r="D259" s="50" t="s">
        <v>11623</v>
      </c>
      <c r="E259" s="144">
        <v>43808.0</v>
      </c>
      <c r="F259" s="50" t="s">
        <v>21504</v>
      </c>
      <c r="G259" s="50">
        <v>59.0</v>
      </c>
      <c r="H259" s="50">
        <v>1.0</v>
      </c>
      <c r="I259" s="50">
        <v>11.0</v>
      </c>
      <c r="J259" s="116"/>
      <c r="K259" s="116"/>
      <c r="L259" s="50" t="s">
        <v>1738</v>
      </c>
      <c r="M259" s="50" t="s">
        <v>1738</v>
      </c>
      <c r="N259" s="122">
        <v>43467.0</v>
      </c>
      <c r="O259" s="50">
        <v>1.0</v>
      </c>
      <c r="P259" s="50">
        <v>1.0</v>
      </c>
      <c r="Q259" s="116"/>
      <c r="R259" s="50" t="s">
        <v>21392</v>
      </c>
      <c r="S259" s="116"/>
      <c r="T259" s="144">
        <v>43805.0</v>
      </c>
      <c r="U259" s="50">
        <v>28.31</v>
      </c>
      <c r="V259" s="50">
        <v>9999.0</v>
      </c>
      <c r="W259" s="116"/>
      <c r="X259" s="116"/>
      <c r="Y259" s="144">
        <v>43805.0</v>
      </c>
      <c r="Z259" s="50">
        <v>9999.0</v>
      </c>
      <c r="AA259" s="50">
        <v>9999.0</v>
      </c>
      <c r="AB259" s="116"/>
      <c r="AC259" s="116"/>
      <c r="AD259" s="116"/>
      <c r="AE259" s="50">
        <v>1.0</v>
      </c>
      <c r="AF259" s="50" t="s">
        <v>18902</v>
      </c>
      <c r="AG259" s="117">
        <v>6060.0</v>
      </c>
      <c r="AH259" s="50" t="s">
        <v>21510</v>
      </c>
      <c r="AI259" s="50" t="s">
        <v>21511</v>
      </c>
      <c r="AJ259" s="117">
        <v>260.0</v>
      </c>
    </row>
    <row r="260">
      <c r="A260" s="50" t="s">
        <v>21504</v>
      </c>
      <c r="B260" s="50" t="s">
        <v>6876</v>
      </c>
      <c r="C260" s="50" t="s">
        <v>6877</v>
      </c>
      <c r="D260" s="50" t="s">
        <v>11623</v>
      </c>
      <c r="E260" s="144">
        <v>43808.0</v>
      </c>
      <c r="F260" s="50" t="s">
        <v>21512</v>
      </c>
      <c r="G260" s="50">
        <v>59.0</v>
      </c>
      <c r="H260" s="50">
        <v>1.0</v>
      </c>
      <c r="I260" s="50">
        <v>11.0</v>
      </c>
      <c r="J260" s="116"/>
      <c r="K260" s="116"/>
      <c r="L260" s="50" t="s">
        <v>1741</v>
      </c>
      <c r="M260" s="50" t="s">
        <v>1741</v>
      </c>
      <c r="N260" s="122">
        <v>43467.0</v>
      </c>
      <c r="O260" s="50">
        <v>1.0</v>
      </c>
      <c r="P260" s="50">
        <v>1.0</v>
      </c>
      <c r="Q260" s="116"/>
      <c r="R260" s="50" t="s">
        <v>21392</v>
      </c>
      <c r="S260" s="116"/>
      <c r="T260" s="144">
        <v>43805.0</v>
      </c>
      <c r="U260" s="50">
        <v>28.81</v>
      </c>
      <c r="V260" s="50">
        <v>9999.0</v>
      </c>
      <c r="W260" s="116"/>
      <c r="X260" s="116"/>
      <c r="Y260" s="144">
        <v>43805.0</v>
      </c>
      <c r="Z260" s="50">
        <v>40.0</v>
      </c>
      <c r="AA260" s="50">
        <v>40.0</v>
      </c>
      <c r="AB260" s="116"/>
      <c r="AC260" s="116"/>
      <c r="AD260" s="116"/>
      <c r="AE260" s="50">
        <v>1.0</v>
      </c>
      <c r="AF260" s="50" t="s">
        <v>18902</v>
      </c>
      <c r="AG260" s="117">
        <v>6061.0</v>
      </c>
      <c r="AH260" s="50" t="s">
        <v>21516</v>
      </c>
      <c r="AI260" s="50" t="s">
        <v>21518</v>
      </c>
      <c r="AJ260" s="117">
        <v>261.0</v>
      </c>
    </row>
    <row r="261">
      <c r="A261" s="50" t="s">
        <v>21512</v>
      </c>
      <c r="B261" s="50" t="s">
        <v>6876</v>
      </c>
      <c r="C261" s="50" t="s">
        <v>6877</v>
      </c>
      <c r="D261" s="50" t="s">
        <v>11623</v>
      </c>
      <c r="E261" s="144">
        <v>43808.0</v>
      </c>
      <c r="F261" s="50" t="s">
        <v>21523</v>
      </c>
      <c r="G261" s="50">
        <v>59.0</v>
      </c>
      <c r="H261" s="50">
        <v>1.0</v>
      </c>
      <c r="I261" s="50">
        <v>99.0</v>
      </c>
      <c r="J261" s="116"/>
      <c r="K261" s="116"/>
      <c r="L261" s="50" t="s">
        <v>1743</v>
      </c>
      <c r="M261" s="50" t="s">
        <v>1743</v>
      </c>
      <c r="N261" s="122">
        <v>43467.0</v>
      </c>
      <c r="O261" s="50">
        <v>1.0</v>
      </c>
      <c r="P261" s="50">
        <v>1.0</v>
      </c>
      <c r="Q261" s="116"/>
      <c r="R261" s="50" t="s">
        <v>21392</v>
      </c>
      <c r="S261" s="116"/>
      <c r="T261" s="144">
        <v>43805.0</v>
      </c>
      <c r="U261" s="50">
        <v>9999.0</v>
      </c>
      <c r="V261" s="50">
        <v>9999.0</v>
      </c>
      <c r="W261" s="116"/>
      <c r="X261" s="116"/>
      <c r="Y261" s="144">
        <v>43805.0</v>
      </c>
      <c r="Z261" s="50">
        <v>37.08</v>
      </c>
      <c r="AA261" s="50">
        <v>37.35</v>
      </c>
      <c r="AB261" s="116"/>
      <c r="AC261" s="116"/>
      <c r="AD261" s="50" t="s">
        <v>21529</v>
      </c>
      <c r="AE261" s="50">
        <v>1.0</v>
      </c>
      <c r="AF261" s="50" t="s">
        <v>18902</v>
      </c>
      <c r="AG261" s="117">
        <v>6062.0</v>
      </c>
      <c r="AH261" s="50" t="s">
        <v>21530</v>
      </c>
      <c r="AI261" s="50" t="s">
        <v>21531</v>
      </c>
      <c r="AJ261" s="117">
        <v>262.0</v>
      </c>
    </row>
    <row r="262">
      <c r="A262" s="50" t="s">
        <v>21533</v>
      </c>
      <c r="B262" s="50" t="s">
        <v>6876</v>
      </c>
      <c r="C262" s="50" t="s">
        <v>6877</v>
      </c>
      <c r="D262" s="50" t="s">
        <v>11623</v>
      </c>
      <c r="E262" s="144">
        <v>43808.0</v>
      </c>
      <c r="F262" s="50" t="s">
        <v>21535</v>
      </c>
      <c r="G262" s="50">
        <v>59.0</v>
      </c>
      <c r="H262" s="50">
        <v>1.0</v>
      </c>
      <c r="I262" s="50">
        <v>98.0</v>
      </c>
      <c r="J262" s="116"/>
      <c r="K262" s="116"/>
      <c r="L262" s="50" t="s">
        <v>1746</v>
      </c>
      <c r="M262" s="50" t="s">
        <v>1746</v>
      </c>
      <c r="N262" s="122">
        <v>43467.0</v>
      </c>
      <c r="O262" s="50">
        <v>1.0</v>
      </c>
      <c r="P262" s="50">
        <v>1.0</v>
      </c>
      <c r="Q262" s="116"/>
      <c r="R262" s="50" t="s">
        <v>21392</v>
      </c>
      <c r="S262" s="116"/>
      <c r="T262" s="144">
        <v>43805.0</v>
      </c>
      <c r="U262" s="50">
        <v>9999.0</v>
      </c>
      <c r="V262" s="50">
        <v>9999.0</v>
      </c>
      <c r="W262" s="116"/>
      <c r="X262" s="116"/>
      <c r="Y262" s="144">
        <v>43805.0</v>
      </c>
      <c r="Z262" s="50">
        <v>39.16</v>
      </c>
      <c r="AA262" s="50">
        <v>9999.0</v>
      </c>
      <c r="AB262" s="116"/>
      <c r="AC262" s="116"/>
      <c r="AD262" s="116"/>
      <c r="AE262" s="50">
        <v>1.0</v>
      </c>
      <c r="AF262" s="50" t="s">
        <v>18902</v>
      </c>
      <c r="AG262" s="117">
        <v>6063.0</v>
      </c>
      <c r="AH262" s="50" t="s">
        <v>21540</v>
      </c>
      <c r="AI262" s="50" t="s">
        <v>21541</v>
      </c>
      <c r="AJ262" s="117">
        <v>263.0</v>
      </c>
    </row>
    <row r="263">
      <c r="A263" s="50" t="s">
        <v>21535</v>
      </c>
      <c r="B263" s="50" t="s">
        <v>6876</v>
      </c>
      <c r="C263" s="50" t="s">
        <v>6877</v>
      </c>
      <c r="D263" s="50" t="s">
        <v>11623</v>
      </c>
      <c r="E263" s="144">
        <v>43808.0</v>
      </c>
      <c r="F263" s="50" t="s">
        <v>21542</v>
      </c>
      <c r="G263" s="50">
        <v>58.0</v>
      </c>
      <c r="H263" s="50">
        <v>1.0</v>
      </c>
      <c r="I263" s="50">
        <v>16.0</v>
      </c>
      <c r="J263" s="116"/>
      <c r="K263" s="116"/>
      <c r="L263" s="50" t="s">
        <v>1747</v>
      </c>
      <c r="M263" s="50" t="s">
        <v>1747</v>
      </c>
      <c r="N263" s="122">
        <v>43467.0</v>
      </c>
      <c r="O263" s="50">
        <v>1.0</v>
      </c>
      <c r="P263" s="50">
        <v>1.0</v>
      </c>
      <c r="Q263" s="116"/>
      <c r="R263" s="50" t="s">
        <v>21392</v>
      </c>
      <c r="S263" s="116"/>
      <c r="T263" s="144">
        <v>43805.0</v>
      </c>
      <c r="U263" s="50">
        <v>29.86</v>
      </c>
      <c r="V263" s="50">
        <v>29.94</v>
      </c>
      <c r="W263" s="116"/>
      <c r="X263" s="116"/>
      <c r="Y263" s="144">
        <v>43805.0</v>
      </c>
      <c r="Z263" s="50">
        <v>36.79</v>
      </c>
      <c r="AA263" s="50">
        <v>35.77</v>
      </c>
      <c r="AB263" s="116"/>
      <c r="AC263" s="116"/>
      <c r="AD263" s="116"/>
      <c r="AE263" s="50">
        <v>1.0</v>
      </c>
      <c r="AF263" s="50" t="s">
        <v>18902</v>
      </c>
      <c r="AG263" s="117">
        <v>6064.0</v>
      </c>
      <c r="AH263" s="50" t="s">
        <v>21556</v>
      </c>
      <c r="AI263" s="50" t="s">
        <v>21557</v>
      </c>
      <c r="AJ263" s="117">
        <v>264.0</v>
      </c>
    </row>
    <row r="264">
      <c r="A264" s="50" t="s">
        <v>21558</v>
      </c>
      <c r="B264" s="50" t="s">
        <v>6876</v>
      </c>
      <c r="C264" s="50" t="s">
        <v>6877</v>
      </c>
      <c r="D264" s="50" t="s">
        <v>11623</v>
      </c>
      <c r="E264" s="144">
        <v>43808.0</v>
      </c>
      <c r="F264" s="50" t="s">
        <v>21561</v>
      </c>
      <c r="G264" s="50">
        <v>58.0</v>
      </c>
      <c r="H264" s="50">
        <v>1.0</v>
      </c>
      <c r="I264" s="50">
        <v>16.0</v>
      </c>
      <c r="J264" s="116"/>
      <c r="K264" s="116"/>
      <c r="L264" s="50" t="s">
        <v>1748</v>
      </c>
      <c r="M264" s="50" t="s">
        <v>1748</v>
      </c>
      <c r="N264" s="122">
        <v>43467.0</v>
      </c>
      <c r="O264" s="50">
        <v>1.0</v>
      </c>
      <c r="P264" s="50">
        <v>1.0</v>
      </c>
      <c r="Q264" s="116"/>
      <c r="R264" s="50" t="s">
        <v>21392</v>
      </c>
      <c r="S264" s="116"/>
      <c r="T264" s="144">
        <v>43805.0</v>
      </c>
      <c r="U264" s="50">
        <v>24.22</v>
      </c>
      <c r="V264" s="50">
        <v>24.14</v>
      </c>
      <c r="W264" s="116"/>
      <c r="X264" s="116"/>
      <c r="Y264" s="144">
        <v>43805.0</v>
      </c>
      <c r="Z264" s="50">
        <v>34.01</v>
      </c>
      <c r="AA264" s="50">
        <v>33.82</v>
      </c>
      <c r="AB264" s="116"/>
      <c r="AC264" s="116"/>
      <c r="AD264" s="116"/>
      <c r="AE264" s="50">
        <v>1.0</v>
      </c>
      <c r="AF264" s="50" t="s">
        <v>18902</v>
      </c>
      <c r="AG264" s="117">
        <v>6065.0</v>
      </c>
      <c r="AH264" s="50" t="s">
        <v>21566</v>
      </c>
      <c r="AI264" s="50" t="s">
        <v>21567</v>
      </c>
      <c r="AJ264" s="117">
        <v>265.0</v>
      </c>
    </row>
    <row r="265">
      <c r="A265" s="50" t="s">
        <v>21568</v>
      </c>
      <c r="B265" s="50" t="s">
        <v>6876</v>
      </c>
      <c r="C265" s="50" t="s">
        <v>6877</v>
      </c>
      <c r="D265" s="50" t="s">
        <v>11623</v>
      </c>
      <c r="E265" s="144">
        <v>43810.0</v>
      </c>
      <c r="F265" s="50" t="s">
        <v>21570</v>
      </c>
      <c r="G265" s="50">
        <v>59.0</v>
      </c>
      <c r="H265" s="50">
        <v>1.0</v>
      </c>
      <c r="I265" s="50">
        <v>11.0</v>
      </c>
      <c r="J265" s="116"/>
      <c r="K265" s="116"/>
      <c r="L265" s="50" t="s">
        <v>1250</v>
      </c>
      <c r="M265" s="50" t="s">
        <v>1250</v>
      </c>
      <c r="N265" s="122">
        <v>43467.0</v>
      </c>
      <c r="O265" s="50">
        <v>1.0</v>
      </c>
      <c r="P265" s="50">
        <v>1.0</v>
      </c>
      <c r="Q265" s="116"/>
      <c r="R265" s="50" t="s">
        <v>21576</v>
      </c>
      <c r="S265" s="116"/>
      <c r="T265" s="144">
        <v>43735.0</v>
      </c>
      <c r="U265" s="50">
        <v>24.32</v>
      </c>
      <c r="V265" s="50">
        <v>24.39</v>
      </c>
      <c r="W265" s="116"/>
      <c r="X265" s="116"/>
      <c r="Y265" s="144">
        <v>43735.0</v>
      </c>
      <c r="Z265" s="50">
        <v>9999.0</v>
      </c>
      <c r="AA265" s="50">
        <v>9999.0</v>
      </c>
      <c r="AB265" s="116"/>
      <c r="AC265" s="116"/>
      <c r="AD265" s="116"/>
      <c r="AE265" s="50">
        <v>1.0</v>
      </c>
      <c r="AF265" s="50" t="s">
        <v>18902</v>
      </c>
      <c r="AG265" s="117">
        <v>6172.0</v>
      </c>
      <c r="AH265" s="50" t="s">
        <v>21583</v>
      </c>
      <c r="AI265" s="50" t="s">
        <v>21584</v>
      </c>
      <c r="AJ265" s="117">
        <v>266.0</v>
      </c>
    </row>
    <row r="266">
      <c r="A266" s="50" t="s">
        <v>21570</v>
      </c>
      <c r="B266" s="50" t="s">
        <v>6876</v>
      </c>
      <c r="C266" s="50" t="s">
        <v>6877</v>
      </c>
      <c r="D266" s="50" t="s">
        <v>11623</v>
      </c>
      <c r="E266" s="144">
        <v>43810.0</v>
      </c>
      <c r="F266" s="50" t="s">
        <v>21588</v>
      </c>
      <c r="G266" s="50">
        <v>59.0</v>
      </c>
      <c r="H266" s="50">
        <v>1.0</v>
      </c>
      <c r="I266" s="50">
        <v>99.0</v>
      </c>
      <c r="J266" s="116"/>
      <c r="K266" s="116"/>
      <c r="L266" s="50" t="s">
        <v>1255</v>
      </c>
      <c r="M266" s="50" t="s">
        <v>1255</v>
      </c>
      <c r="N266" s="122">
        <v>43467.0</v>
      </c>
      <c r="O266" s="50">
        <v>1.0</v>
      </c>
      <c r="P266" s="50">
        <v>1.0</v>
      </c>
      <c r="Q266" s="116"/>
      <c r="R266" s="50" t="s">
        <v>21576</v>
      </c>
      <c r="S266" s="116"/>
      <c r="T266" s="144">
        <v>43735.0</v>
      </c>
      <c r="U266" s="50">
        <v>9999.0</v>
      </c>
      <c r="V266" s="50">
        <v>34.68</v>
      </c>
      <c r="W266" s="116"/>
      <c r="X266" s="116"/>
      <c r="Y266" s="144">
        <v>43735.0</v>
      </c>
      <c r="Z266" s="50">
        <v>9999.0</v>
      </c>
      <c r="AA266" s="50">
        <v>9999.0</v>
      </c>
      <c r="AB266" s="116"/>
      <c r="AC266" s="116"/>
      <c r="AD266" s="50" t="s">
        <v>21592</v>
      </c>
      <c r="AE266" s="50">
        <v>1.0</v>
      </c>
      <c r="AF266" s="50" t="s">
        <v>18902</v>
      </c>
      <c r="AG266" s="117">
        <v>6173.0</v>
      </c>
      <c r="AH266" s="50" t="s">
        <v>21595</v>
      </c>
      <c r="AI266" s="50" t="s">
        <v>21596</v>
      </c>
      <c r="AJ266" s="117">
        <v>267.0</v>
      </c>
    </row>
    <row r="267">
      <c r="A267" s="50" t="s">
        <v>21588</v>
      </c>
      <c r="B267" s="50" t="s">
        <v>6876</v>
      </c>
      <c r="C267" s="50" t="s">
        <v>6877</v>
      </c>
      <c r="D267" s="50" t="s">
        <v>11623</v>
      </c>
      <c r="E267" s="144">
        <v>43810.0</v>
      </c>
      <c r="F267" s="50" t="s">
        <v>21598</v>
      </c>
      <c r="G267" s="50">
        <v>58.0</v>
      </c>
      <c r="H267" s="50">
        <v>1.0</v>
      </c>
      <c r="I267" s="50">
        <v>15.0</v>
      </c>
      <c r="J267" s="116"/>
      <c r="K267" s="50">
        <v>151.0</v>
      </c>
      <c r="L267" s="50" t="s">
        <v>216</v>
      </c>
      <c r="M267" s="50" t="s">
        <v>216</v>
      </c>
      <c r="N267" s="122">
        <v>43467.0</v>
      </c>
      <c r="O267" s="50">
        <v>1.0</v>
      </c>
      <c r="P267" s="50">
        <v>1.0</v>
      </c>
      <c r="Q267" s="116"/>
      <c r="R267" s="50" t="s">
        <v>21576</v>
      </c>
      <c r="S267" s="116"/>
      <c r="T267" s="144">
        <v>43735.0</v>
      </c>
      <c r="U267" s="50">
        <v>37.15</v>
      </c>
      <c r="V267" s="50">
        <v>35.58</v>
      </c>
      <c r="W267" s="116"/>
      <c r="X267" s="116"/>
      <c r="Y267" s="144">
        <v>43728.0</v>
      </c>
      <c r="Z267" s="50">
        <v>9999.0</v>
      </c>
      <c r="AA267" s="50">
        <v>9999.0</v>
      </c>
      <c r="AB267" s="116"/>
      <c r="AC267" s="116"/>
      <c r="AD267" s="116"/>
      <c r="AE267" s="50">
        <v>1.0</v>
      </c>
      <c r="AF267" s="50" t="s">
        <v>18902</v>
      </c>
      <c r="AG267" s="117">
        <v>6174.0</v>
      </c>
      <c r="AH267" s="50" t="s">
        <v>21614</v>
      </c>
      <c r="AI267" s="50" t="s">
        <v>21615</v>
      </c>
      <c r="AJ267" s="117">
        <v>268.0</v>
      </c>
    </row>
    <row r="268">
      <c r="A268" s="50" t="s">
        <v>21598</v>
      </c>
      <c r="B268" s="50" t="s">
        <v>6876</v>
      </c>
      <c r="C268" s="50" t="s">
        <v>6877</v>
      </c>
      <c r="D268" s="50" t="s">
        <v>11623</v>
      </c>
      <c r="E268" s="144">
        <v>43810.0</v>
      </c>
      <c r="F268" s="50" t="s">
        <v>21618</v>
      </c>
      <c r="G268" s="50">
        <v>58.0</v>
      </c>
      <c r="H268" s="50">
        <v>1.0</v>
      </c>
      <c r="I268" s="50">
        <v>15.0</v>
      </c>
      <c r="J268" s="116"/>
      <c r="K268" s="50">
        <v>152.0</v>
      </c>
      <c r="L268" s="50" t="s">
        <v>572</v>
      </c>
      <c r="M268" s="50" t="s">
        <v>572</v>
      </c>
      <c r="N268" s="122">
        <v>43467.0</v>
      </c>
      <c r="O268" s="50">
        <v>1.0</v>
      </c>
      <c r="P268" s="50">
        <v>1.0</v>
      </c>
      <c r="Q268" s="116"/>
      <c r="R268" s="50" t="s">
        <v>21576</v>
      </c>
      <c r="S268" s="116"/>
      <c r="T268" s="144">
        <v>43735.0</v>
      </c>
      <c r="U268" s="50">
        <v>9999.0</v>
      </c>
      <c r="V268" s="50">
        <v>36.08</v>
      </c>
      <c r="W268" s="116"/>
      <c r="X268" s="116"/>
      <c r="Y268" s="144">
        <v>43735.0</v>
      </c>
      <c r="Z268" s="50">
        <v>9999.0</v>
      </c>
      <c r="AA268" s="50">
        <v>9999.0</v>
      </c>
      <c r="AB268" s="116"/>
      <c r="AC268" s="116"/>
      <c r="AD268" s="116"/>
      <c r="AE268" s="50">
        <v>1.0</v>
      </c>
      <c r="AF268" s="50" t="s">
        <v>18902</v>
      </c>
      <c r="AG268" s="117">
        <v>6175.0</v>
      </c>
      <c r="AH268" s="50" t="s">
        <v>21625</v>
      </c>
      <c r="AI268" s="50" t="s">
        <v>21626</v>
      </c>
      <c r="AJ268" s="117">
        <v>269.0</v>
      </c>
    </row>
    <row r="269">
      <c r="A269" s="50" t="s">
        <v>21618</v>
      </c>
      <c r="B269" s="50" t="s">
        <v>6876</v>
      </c>
      <c r="C269" s="50" t="s">
        <v>6877</v>
      </c>
      <c r="D269" s="50" t="s">
        <v>11623</v>
      </c>
      <c r="E269" s="144">
        <v>43810.0</v>
      </c>
      <c r="F269" s="50" t="s">
        <v>21628</v>
      </c>
      <c r="G269" s="50">
        <v>58.0</v>
      </c>
      <c r="H269" s="50">
        <v>1.0</v>
      </c>
      <c r="I269" s="50">
        <v>15.0</v>
      </c>
      <c r="J269" s="116"/>
      <c r="K269" s="50">
        <v>152.0</v>
      </c>
      <c r="L269" s="50" t="s">
        <v>573</v>
      </c>
      <c r="M269" s="50" t="s">
        <v>573</v>
      </c>
      <c r="N269" s="122">
        <v>43467.0</v>
      </c>
      <c r="O269" s="50">
        <v>1.0</v>
      </c>
      <c r="P269" s="50">
        <v>1.0</v>
      </c>
      <c r="Q269" s="116"/>
      <c r="R269" s="50" t="s">
        <v>21576</v>
      </c>
      <c r="S269" s="116"/>
      <c r="T269" s="144">
        <v>43735.0</v>
      </c>
      <c r="U269" s="50">
        <v>9999.0</v>
      </c>
      <c r="V269" s="50">
        <v>9999.0</v>
      </c>
      <c r="W269" s="116"/>
      <c r="X269" s="116"/>
      <c r="Y269" s="144">
        <v>43728.0</v>
      </c>
      <c r="Z269" s="50">
        <v>40.0</v>
      </c>
      <c r="AA269" s="50">
        <v>9999.0</v>
      </c>
      <c r="AB269" s="116"/>
      <c r="AC269" s="116"/>
      <c r="AD269" s="116"/>
      <c r="AE269" s="50">
        <v>1.0</v>
      </c>
      <c r="AF269" s="50" t="s">
        <v>18902</v>
      </c>
      <c r="AG269" s="117">
        <v>6176.0</v>
      </c>
      <c r="AH269" s="50" t="s">
        <v>21639</v>
      </c>
      <c r="AI269" s="50" t="s">
        <v>21640</v>
      </c>
      <c r="AJ269" s="117">
        <v>270.0</v>
      </c>
    </row>
    <row r="270">
      <c r="A270" s="50" t="s">
        <v>21628</v>
      </c>
      <c r="B270" s="50" t="s">
        <v>6876</v>
      </c>
      <c r="C270" s="50" t="s">
        <v>6877</v>
      </c>
      <c r="D270" s="50" t="s">
        <v>11623</v>
      </c>
      <c r="E270" s="144">
        <v>43810.0</v>
      </c>
      <c r="F270" s="50" t="s">
        <v>21644</v>
      </c>
      <c r="G270" s="50">
        <v>58.0</v>
      </c>
      <c r="H270" s="50">
        <v>1.0</v>
      </c>
      <c r="I270" s="50">
        <v>15.0</v>
      </c>
      <c r="J270" s="116"/>
      <c r="K270" s="50">
        <v>152.0</v>
      </c>
      <c r="L270" s="50" t="s">
        <v>575</v>
      </c>
      <c r="M270" s="50" t="s">
        <v>575</v>
      </c>
      <c r="N270" s="122">
        <v>43467.0</v>
      </c>
      <c r="O270" s="50">
        <v>1.0</v>
      </c>
      <c r="P270" s="50">
        <v>1.0</v>
      </c>
      <c r="Q270" s="116"/>
      <c r="R270" s="50" t="s">
        <v>21576</v>
      </c>
      <c r="S270" s="116"/>
      <c r="T270" s="144">
        <v>43735.0</v>
      </c>
      <c r="U270" s="50">
        <v>36.75</v>
      </c>
      <c r="V270" s="50">
        <v>35.13</v>
      </c>
      <c r="W270" s="116"/>
      <c r="X270" s="116"/>
      <c r="Y270" s="144">
        <v>43728.0</v>
      </c>
      <c r="Z270" s="50">
        <v>40.0</v>
      </c>
      <c r="AA270" s="50">
        <v>40.0</v>
      </c>
      <c r="AB270" s="116"/>
      <c r="AC270" s="116"/>
      <c r="AD270" s="116"/>
      <c r="AE270" s="50">
        <v>1.0</v>
      </c>
      <c r="AF270" s="50" t="s">
        <v>18902</v>
      </c>
      <c r="AG270" s="117">
        <v>6177.0</v>
      </c>
      <c r="AH270" s="50" t="s">
        <v>21652</v>
      </c>
      <c r="AI270" s="50" t="s">
        <v>21654</v>
      </c>
      <c r="AJ270" s="117">
        <v>271.0</v>
      </c>
    </row>
    <row r="271">
      <c r="A271" s="50" t="s">
        <v>21644</v>
      </c>
      <c r="B271" s="50" t="s">
        <v>6876</v>
      </c>
      <c r="C271" s="50" t="s">
        <v>6877</v>
      </c>
      <c r="D271" s="50" t="s">
        <v>11623</v>
      </c>
      <c r="E271" s="144">
        <v>43810.0</v>
      </c>
      <c r="F271" s="50" t="s">
        <v>21656</v>
      </c>
      <c r="G271" s="50">
        <v>58.0</v>
      </c>
      <c r="H271" s="50">
        <v>1.0</v>
      </c>
      <c r="I271" s="50">
        <v>99.0</v>
      </c>
      <c r="J271" s="116"/>
      <c r="K271" s="116"/>
      <c r="L271" s="50" t="s">
        <v>1264</v>
      </c>
      <c r="M271" s="50" t="s">
        <v>1264</v>
      </c>
      <c r="N271" s="122">
        <v>43467.0</v>
      </c>
      <c r="O271" s="50">
        <v>1.0</v>
      </c>
      <c r="P271" s="50">
        <v>1.0</v>
      </c>
      <c r="Q271" s="116"/>
      <c r="R271" s="50" t="s">
        <v>21576</v>
      </c>
      <c r="S271" s="116"/>
      <c r="T271" s="144">
        <v>43735.0</v>
      </c>
      <c r="U271" s="50">
        <v>33.66</v>
      </c>
      <c r="V271" s="50">
        <v>33.22</v>
      </c>
      <c r="W271" s="116"/>
      <c r="X271" s="116"/>
      <c r="Y271" s="144">
        <v>43728.0</v>
      </c>
      <c r="Z271" s="50">
        <v>40.0</v>
      </c>
      <c r="AA271" s="50">
        <v>40.0</v>
      </c>
      <c r="AB271" s="116"/>
      <c r="AC271" s="116"/>
      <c r="AD271" s="50" t="s">
        <v>21660</v>
      </c>
      <c r="AE271" s="50">
        <v>1.0</v>
      </c>
      <c r="AF271" s="50" t="s">
        <v>18902</v>
      </c>
      <c r="AG271" s="117">
        <v>6178.0</v>
      </c>
      <c r="AH271" s="50" t="s">
        <v>21662</v>
      </c>
      <c r="AI271" s="50" t="s">
        <v>21664</v>
      </c>
      <c r="AJ271" s="117">
        <v>272.0</v>
      </c>
    </row>
    <row r="272">
      <c r="A272" s="50" t="s">
        <v>21656</v>
      </c>
      <c r="B272" s="50" t="s">
        <v>6876</v>
      </c>
      <c r="C272" s="50" t="s">
        <v>6877</v>
      </c>
      <c r="D272" s="50" t="s">
        <v>11623</v>
      </c>
      <c r="E272" s="144">
        <v>43810.0</v>
      </c>
      <c r="F272" s="50" t="s">
        <v>21666</v>
      </c>
      <c r="G272" s="50">
        <v>58.0</v>
      </c>
      <c r="H272" s="50">
        <v>1.0</v>
      </c>
      <c r="I272" s="50">
        <v>99.0</v>
      </c>
      <c r="J272" s="116"/>
      <c r="K272" s="116"/>
      <c r="L272" s="50" t="s">
        <v>1265</v>
      </c>
      <c r="M272" s="50" t="s">
        <v>1265</v>
      </c>
      <c r="N272" s="122">
        <v>43467.0</v>
      </c>
      <c r="O272" s="50">
        <v>1.0</v>
      </c>
      <c r="P272" s="50">
        <v>1.0</v>
      </c>
      <c r="Q272" s="116"/>
      <c r="R272" s="50" t="s">
        <v>21576</v>
      </c>
      <c r="S272" s="116"/>
      <c r="T272" s="144">
        <v>43735.0</v>
      </c>
      <c r="U272" s="50">
        <v>9999.0</v>
      </c>
      <c r="V272" s="50">
        <v>9999.0</v>
      </c>
      <c r="W272" s="116"/>
      <c r="X272" s="116"/>
      <c r="Y272" s="144">
        <v>43735.0</v>
      </c>
      <c r="Z272" s="50">
        <v>40.0</v>
      </c>
      <c r="AA272" s="50">
        <v>9999.0</v>
      </c>
      <c r="AB272" s="116"/>
      <c r="AC272" s="116"/>
      <c r="AD272" s="50" t="s">
        <v>21660</v>
      </c>
      <c r="AE272" s="50">
        <v>1.0</v>
      </c>
      <c r="AF272" s="50" t="s">
        <v>18902</v>
      </c>
      <c r="AG272" s="117">
        <v>6179.0</v>
      </c>
      <c r="AH272" s="50" t="s">
        <v>21672</v>
      </c>
      <c r="AI272" s="50" t="s">
        <v>21673</v>
      </c>
      <c r="AJ272" s="117">
        <v>273.0</v>
      </c>
    </row>
    <row r="273">
      <c r="A273" s="50" t="s">
        <v>21666</v>
      </c>
      <c r="B273" s="50" t="s">
        <v>6876</v>
      </c>
      <c r="C273" s="50" t="s">
        <v>6877</v>
      </c>
      <c r="D273" s="50" t="s">
        <v>11623</v>
      </c>
      <c r="E273" s="144">
        <v>43810.0</v>
      </c>
      <c r="F273" s="50" t="s">
        <v>21677</v>
      </c>
      <c r="G273" s="50">
        <v>58.0</v>
      </c>
      <c r="H273" s="50">
        <v>1.0</v>
      </c>
      <c r="I273" s="50">
        <v>15.0</v>
      </c>
      <c r="J273" s="116"/>
      <c r="K273" s="50">
        <v>151.0</v>
      </c>
      <c r="L273" s="50" t="s">
        <v>578</v>
      </c>
      <c r="M273" s="50" t="s">
        <v>578</v>
      </c>
      <c r="N273" s="122">
        <v>43467.0</v>
      </c>
      <c r="O273" s="50">
        <v>1.0</v>
      </c>
      <c r="P273" s="50">
        <v>1.0</v>
      </c>
      <c r="Q273" s="116"/>
      <c r="R273" s="50" t="s">
        <v>21576</v>
      </c>
      <c r="S273" s="116"/>
      <c r="T273" s="144">
        <v>43735.0</v>
      </c>
      <c r="U273" s="50">
        <v>9999.0</v>
      </c>
      <c r="V273" s="50">
        <v>34.94</v>
      </c>
      <c r="W273" s="116"/>
      <c r="X273" s="116"/>
      <c r="Y273" s="144">
        <v>43773.0</v>
      </c>
      <c r="Z273" s="50">
        <v>35.79</v>
      </c>
      <c r="AA273" s="50">
        <v>35.87</v>
      </c>
      <c r="AB273" s="116"/>
      <c r="AC273" s="116"/>
      <c r="AD273" s="116"/>
      <c r="AE273" s="50">
        <v>1.0</v>
      </c>
      <c r="AF273" s="50" t="s">
        <v>18902</v>
      </c>
      <c r="AG273" s="117">
        <v>6180.0</v>
      </c>
      <c r="AH273" s="50" t="s">
        <v>21681</v>
      </c>
      <c r="AI273" s="50" t="s">
        <v>21683</v>
      </c>
      <c r="AJ273" s="117">
        <v>274.0</v>
      </c>
    </row>
    <row r="274">
      <c r="A274" s="50" t="s">
        <v>21677</v>
      </c>
      <c r="B274" s="50" t="s">
        <v>6876</v>
      </c>
      <c r="C274" s="50" t="s">
        <v>6877</v>
      </c>
      <c r="D274" s="50" t="s">
        <v>11623</v>
      </c>
      <c r="E274" s="144">
        <v>43810.0</v>
      </c>
      <c r="F274" s="50" t="s">
        <v>21685</v>
      </c>
      <c r="G274" s="50">
        <v>58.0</v>
      </c>
      <c r="H274" s="50">
        <v>1.0</v>
      </c>
      <c r="I274" s="50">
        <v>15.0</v>
      </c>
      <c r="J274" s="116"/>
      <c r="K274" s="50">
        <v>152.0</v>
      </c>
      <c r="L274" s="50" t="s">
        <v>580</v>
      </c>
      <c r="M274" s="50" t="s">
        <v>580</v>
      </c>
      <c r="N274" s="122">
        <v>43467.0</v>
      </c>
      <c r="O274" s="50">
        <v>1.0</v>
      </c>
      <c r="P274" s="50">
        <v>1.0</v>
      </c>
      <c r="Q274" s="116"/>
      <c r="R274" s="50" t="s">
        <v>21576</v>
      </c>
      <c r="S274" s="116"/>
      <c r="T274" s="144">
        <v>43735.0</v>
      </c>
      <c r="U274" s="50">
        <v>35.03</v>
      </c>
      <c r="V274" s="50">
        <v>33.45</v>
      </c>
      <c r="W274" s="116"/>
      <c r="X274" s="116"/>
      <c r="Y274" s="144">
        <v>43773.0</v>
      </c>
      <c r="Z274" s="50">
        <v>35.65</v>
      </c>
      <c r="AA274" s="50">
        <v>35.86</v>
      </c>
      <c r="AB274" s="116"/>
      <c r="AC274" s="116"/>
      <c r="AD274" s="116"/>
      <c r="AE274" s="50">
        <v>1.0</v>
      </c>
      <c r="AF274" s="50" t="s">
        <v>18902</v>
      </c>
      <c r="AG274" s="117">
        <v>6181.0</v>
      </c>
      <c r="AH274" s="50" t="s">
        <v>21692</v>
      </c>
      <c r="AI274" s="50" t="s">
        <v>21693</v>
      </c>
      <c r="AJ274" s="117">
        <v>275.0</v>
      </c>
    </row>
    <row r="275">
      <c r="A275" s="50" t="s">
        <v>21694</v>
      </c>
      <c r="B275" s="50" t="s">
        <v>6876</v>
      </c>
      <c r="C275" s="50" t="s">
        <v>6877</v>
      </c>
      <c r="D275" s="50" t="s">
        <v>11623</v>
      </c>
      <c r="E275" s="144">
        <v>43810.0</v>
      </c>
      <c r="F275" s="50" t="s">
        <v>21697</v>
      </c>
      <c r="G275" s="50">
        <v>58.0</v>
      </c>
      <c r="H275" s="50">
        <v>1.0</v>
      </c>
      <c r="I275" s="50">
        <v>15.0</v>
      </c>
      <c r="J275" s="116"/>
      <c r="K275" s="50">
        <v>152.0</v>
      </c>
      <c r="L275" s="50" t="s">
        <v>582</v>
      </c>
      <c r="M275" s="50" t="s">
        <v>582</v>
      </c>
      <c r="N275" s="122">
        <v>43467.0</v>
      </c>
      <c r="O275" s="50">
        <v>1.0</v>
      </c>
      <c r="P275" s="50">
        <v>1.0</v>
      </c>
      <c r="Q275" s="116"/>
      <c r="R275" s="50" t="s">
        <v>21576</v>
      </c>
      <c r="S275" s="116"/>
      <c r="T275" s="144">
        <v>43735.0</v>
      </c>
      <c r="U275" s="50">
        <v>33.29</v>
      </c>
      <c r="V275" s="50">
        <v>32.94</v>
      </c>
      <c r="W275" s="116"/>
      <c r="X275" s="116"/>
      <c r="Y275" s="144">
        <v>43773.0</v>
      </c>
      <c r="Z275" s="50">
        <v>35.37</v>
      </c>
      <c r="AA275" s="50">
        <v>34.54</v>
      </c>
      <c r="AB275" s="116"/>
      <c r="AC275" s="116"/>
      <c r="AD275" s="116"/>
      <c r="AE275" s="50">
        <v>1.0</v>
      </c>
      <c r="AF275" s="50" t="s">
        <v>18902</v>
      </c>
      <c r="AG275" s="117">
        <v>6182.0</v>
      </c>
      <c r="AH275" s="50" t="s">
        <v>21706</v>
      </c>
      <c r="AI275" s="50" t="s">
        <v>21708</v>
      </c>
      <c r="AJ275" s="117">
        <v>276.0</v>
      </c>
    </row>
    <row r="276">
      <c r="A276" s="50" t="s">
        <v>21697</v>
      </c>
      <c r="B276" s="50" t="s">
        <v>6876</v>
      </c>
      <c r="C276" s="50" t="s">
        <v>6877</v>
      </c>
      <c r="D276" s="50" t="s">
        <v>11623</v>
      </c>
      <c r="E276" s="144">
        <v>43810.0</v>
      </c>
      <c r="F276" s="50" t="s">
        <v>21710</v>
      </c>
      <c r="G276" s="50">
        <v>58.0</v>
      </c>
      <c r="H276" s="50">
        <v>1.0</v>
      </c>
      <c r="I276" s="50">
        <v>15.0</v>
      </c>
      <c r="J276" s="116"/>
      <c r="K276" s="50">
        <v>152.0</v>
      </c>
      <c r="L276" s="50" t="s">
        <v>584</v>
      </c>
      <c r="M276" s="50" t="s">
        <v>584</v>
      </c>
      <c r="N276" s="122">
        <v>43467.0</v>
      </c>
      <c r="O276" s="50">
        <v>1.0</v>
      </c>
      <c r="P276" s="50">
        <v>1.0</v>
      </c>
      <c r="Q276" s="116"/>
      <c r="R276" s="50" t="s">
        <v>21576</v>
      </c>
      <c r="S276" s="116"/>
      <c r="T276" s="144">
        <v>43735.0</v>
      </c>
      <c r="U276" s="50">
        <v>9999.0</v>
      </c>
      <c r="V276" s="50">
        <v>33.43</v>
      </c>
      <c r="W276" s="116"/>
      <c r="X276" s="116"/>
      <c r="Y276" s="144">
        <v>43773.0</v>
      </c>
      <c r="Z276" s="50">
        <v>34.97</v>
      </c>
      <c r="AA276" s="50">
        <v>35.17</v>
      </c>
      <c r="AB276" s="116"/>
      <c r="AC276" s="116"/>
      <c r="AD276" s="116"/>
      <c r="AE276" s="50">
        <v>1.0</v>
      </c>
      <c r="AF276" s="50" t="s">
        <v>18902</v>
      </c>
      <c r="AG276" s="117">
        <v>6183.0</v>
      </c>
      <c r="AH276" s="50" t="s">
        <v>21716</v>
      </c>
      <c r="AI276" s="50" t="s">
        <v>21717</v>
      </c>
      <c r="AJ276" s="117">
        <v>277.0</v>
      </c>
    </row>
    <row r="277">
      <c r="A277" s="50" t="s">
        <v>21710</v>
      </c>
      <c r="B277" s="50" t="s">
        <v>6876</v>
      </c>
      <c r="C277" s="50" t="s">
        <v>6877</v>
      </c>
      <c r="D277" s="50" t="s">
        <v>11623</v>
      </c>
      <c r="E277" s="144">
        <v>43810.0</v>
      </c>
      <c r="F277" s="50" t="s">
        <v>21719</v>
      </c>
      <c r="G277" s="50">
        <v>58.0</v>
      </c>
      <c r="H277" s="50">
        <v>1.0</v>
      </c>
      <c r="I277" s="50">
        <v>15.0</v>
      </c>
      <c r="J277" s="116"/>
      <c r="K277" s="50">
        <v>152.0</v>
      </c>
      <c r="L277" s="50" t="s">
        <v>587</v>
      </c>
      <c r="M277" s="50" t="s">
        <v>587</v>
      </c>
      <c r="N277" s="122">
        <v>43467.0</v>
      </c>
      <c r="O277" s="50">
        <v>1.0</v>
      </c>
      <c r="P277" s="50">
        <v>1.0</v>
      </c>
      <c r="Q277" s="116"/>
      <c r="R277" s="50" t="s">
        <v>21576</v>
      </c>
      <c r="S277" s="116"/>
      <c r="T277" s="144">
        <v>43735.0</v>
      </c>
      <c r="U277" s="50">
        <v>34.68</v>
      </c>
      <c r="V277" s="50">
        <v>35.71</v>
      </c>
      <c r="W277" s="116"/>
      <c r="X277" s="116"/>
      <c r="Y277" s="144">
        <v>43773.0</v>
      </c>
      <c r="Z277" s="50">
        <v>36.57</v>
      </c>
      <c r="AA277" s="50">
        <v>35.54</v>
      </c>
      <c r="AB277" s="116"/>
      <c r="AC277" s="116"/>
      <c r="AD277" s="116"/>
      <c r="AE277" s="50">
        <v>1.0</v>
      </c>
      <c r="AF277" s="50" t="s">
        <v>18902</v>
      </c>
      <c r="AG277" s="117">
        <v>6184.0</v>
      </c>
      <c r="AH277" s="50" t="s">
        <v>21728</v>
      </c>
      <c r="AI277" s="50" t="s">
        <v>21729</v>
      </c>
      <c r="AJ277" s="117">
        <v>278.0</v>
      </c>
    </row>
    <row r="278">
      <c r="A278" s="50" t="s">
        <v>21719</v>
      </c>
      <c r="B278" s="50" t="s">
        <v>6876</v>
      </c>
      <c r="C278" s="50" t="s">
        <v>6877</v>
      </c>
      <c r="D278" s="50" t="s">
        <v>11623</v>
      </c>
      <c r="E278" s="144">
        <v>43810.0</v>
      </c>
      <c r="F278" s="50" t="s">
        <v>21731</v>
      </c>
      <c r="G278" s="50">
        <v>58.0</v>
      </c>
      <c r="H278" s="50">
        <v>1.0</v>
      </c>
      <c r="I278" s="50">
        <v>99.0</v>
      </c>
      <c r="J278" s="116"/>
      <c r="K278" s="116"/>
      <c r="L278" s="50" t="s">
        <v>1269</v>
      </c>
      <c r="M278" s="50" t="s">
        <v>1269</v>
      </c>
      <c r="N278" s="122">
        <v>43467.0</v>
      </c>
      <c r="O278" s="50">
        <v>1.0</v>
      </c>
      <c r="P278" s="50">
        <v>1.0</v>
      </c>
      <c r="Q278" s="116"/>
      <c r="R278" s="50" t="s">
        <v>21576</v>
      </c>
      <c r="S278" s="116"/>
      <c r="T278" s="144">
        <v>43735.0</v>
      </c>
      <c r="U278" s="50">
        <v>9999.0</v>
      </c>
      <c r="V278" s="50">
        <v>33.73</v>
      </c>
      <c r="W278" s="116"/>
      <c r="X278" s="116"/>
      <c r="Y278" s="144">
        <v>43773.0</v>
      </c>
      <c r="Z278" s="50">
        <v>33.94</v>
      </c>
      <c r="AA278" s="50">
        <v>35.75</v>
      </c>
      <c r="AB278" s="116"/>
      <c r="AC278" s="116"/>
      <c r="AD278" s="50" t="s">
        <v>21737</v>
      </c>
      <c r="AE278" s="50">
        <v>1.0</v>
      </c>
      <c r="AF278" s="50" t="s">
        <v>18902</v>
      </c>
      <c r="AG278" s="117">
        <v>6185.0</v>
      </c>
      <c r="AH278" s="50" t="s">
        <v>21739</v>
      </c>
      <c r="AI278" s="50" t="s">
        <v>21740</v>
      </c>
      <c r="AJ278" s="117">
        <v>279.0</v>
      </c>
    </row>
    <row r="279">
      <c r="A279" s="50" t="s">
        <v>21741</v>
      </c>
      <c r="B279" s="50" t="s">
        <v>6876</v>
      </c>
      <c r="C279" s="50" t="s">
        <v>6877</v>
      </c>
      <c r="D279" s="50" t="s">
        <v>11623</v>
      </c>
      <c r="E279" s="144">
        <v>43810.0</v>
      </c>
      <c r="F279" s="50" t="s">
        <v>21744</v>
      </c>
      <c r="G279" s="50">
        <v>58.0</v>
      </c>
      <c r="H279" s="50">
        <v>1.0</v>
      </c>
      <c r="I279" s="50">
        <v>99.0</v>
      </c>
      <c r="J279" s="116"/>
      <c r="K279" s="116"/>
      <c r="L279" s="50" t="s">
        <v>1271</v>
      </c>
      <c r="M279" s="50" t="s">
        <v>1271</v>
      </c>
      <c r="N279" s="50">
        <v>1.0</v>
      </c>
      <c r="O279" s="50">
        <v>1.0</v>
      </c>
      <c r="P279" s="50">
        <v>0.0</v>
      </c>
      <c r="Q279" s="116"/>
      <c r="R279" s="50" t="s">
        <v>21576</v>
      </c>
      <c r="S279" s="116"/>
      <c r="T279" s="144">
        <v>43735.0</v>
      </c>
      <c r="U279" s="50">
        <v>9999.0</v>
      </c>
      <c r="V279" s="50">
        <v>9999.0</v>
      </c>
      <c r="W279" s="116"/>
      <c r="X279" s="116"/>
      <c r="Y279" s="116"/>
      <c r="Z279" s="116"/>
      <c r="AA279" s="116"/>
      <c r="AB279" s="116"/>
      <c r="AC279" s="116"/>
      <c r="AD279" s="50" t="s">
        <v>21737</v>
      </c>
      <c r="AE279" s="50">
        <v>1.0</v>
      </c>
      <c r="AF279" s="50" t="s">
        <v>18902</v>
      </c>
      <c r="AG279" s="117">
        <v>6186.0</v>
      </c>
      <c r="AH279" s="50" t="s">
        <v>21751</v>
      </c>
      <c r="AI279" s="50" t="s">
        <v>21752</v>
      </c>
      <c r="AJ279" s="117">
        <v>280.0</v>
      </c>
    </row>
    <row r="280">
      <c r="A280" s="50" t="s">
        <v>21744</v>
      </c>
      <c r="B280" s="50" t="s">
        <v>6876</v>
      </c>
      <c r="C280" s="50" t="s">
        <v>6877</v>
      </c>
      <c r="D280" s="50" t="s">
        <v>11623</v>
      </c>
      <c r="E280" s="144">
        <v>43810.0</v>
      </c>
      <c r="F280" s="50" t="s">
        <v>21757</v>
      </c>
      <c r="G280" s="50">
        <v>57.0</v>
      </c>
      <c r="H280" s="50">
        <v>1.0</v>
      </c>
      <c r="I280" s="50">
        <v>12.0</v>
      </c>
      <c r="J280" s="116"/>
      <c r="K280" s="116"/>
      <c r="L280" s="50" t="s">
        <v>1258</v>
      </c>
      <c r="M280" s="50" t="s">
        <v>1258</v>
      </c>
      <c r="N280" s="122">
        <v>43467.0</v>
      </c>
      <c r="O280" s="50">
        <v>1.0</v>
      </c>
      <c r="P280" s="50">
        <v>1.0</v>
      </c>
      <c r="Q280" s="116"/>
      <c r="R280" s="50" t="s">
        <v>21576</v>
      </c>
      <c r="S280" s="116"/>
      <c r="T280" s="144">
        <v>43735.0</v>
      </c>
      <c r="U280" s="50">
        <v>25.35</v>
      </c>
      <c r="V280" s="50">
        <v>25.53</v>
      </c>
      <c r="W280" s="116"/>
      <c r="X280" s="116"/>
      <c r="Y280" s="144">
        <v>43773.0</v>
      </c>
      <c r="Z280" s="50">
        <v>38.27</v>
      </c>
      <c r="AA280" s="50">
        <v>36.06</v>
      </c>
      <c r="AB280" s="116"/>
      <c r="AC280" s="116"/>
      <c r="AD280" s="116"/>
      <c r="AE280" s="50">
        <v>1.0</v>
      </c>
      <c r="AF280" s="50" t="s">
        <v>18902</v>
      </c>
      <c r="AG280" s="117">
        <v>6187.0</v>
      </c>
      <c r="AH280" s="50" t="s">
        <v>21763</v>
      </c>
      <c r="AI280" s="50" t="s">
        <v>21764</v>
      </c>
      <c r="AJ280" s="117">
        <v>281.0</v>
      </c>
    </row>
    <row r="281">
      <c r="A281" s="50" t="s">
        <v>21757</v>
      </c>
      <c r="B281" s="50" t="s">
        <v>6876</v>
      </c>
      <c r="C281" s="50" t="s">
        <v>6877</v>
      </c>
      <c r="D281" s="50" t="s">
        <v>11623</v>
      </c>
      <c r="E281" s="144">
        <v>43810.0</v>
      </c>
      <c r="F281" s="50" t="s">
        <v>21768</v>
      </c>
      <c r="G281" s="50">
        <v>57.0</v>
      </c>
      <c r="H281" s="50">
        <v>1.0</v>
      </c>
      <c r="I281" s="50">
        <v>99.0</v>
      </c>
      <c r="J281" s="116"/>
      <c r="K281" s="116"/>
      <c r="L281" s="50" t="s">
        <v>1261</v>
      </c>
      <c r="M281" s="50" t="s">
        <v>1261</v>
      </c>
      <c r="N281" s="122">
        <v>43467.0</v>
      </c>
      <c r="O281" s="50">
        <v>1.0</v>
      </c>
      <c r="P281" s="50">
        <v>1.0</v>
      </c>
      <c r="Q281" s="116"/>
      <c r="R281" s="50" t="s">
        <v>21576</v>
      </c>
      <c r="S281" s="116"/>
      <c r="T281" s="144">
        <v>43735.0</v>
      </c>
      <c r="U281" s="50">
        <v>36.95</v>
      </c>
      <c r="V281" s="50">
        <v>36.68</v>
      </c>
      <c r="W281" s="116"/>
      <c r="X281" s="116"/>
      <c r="Y281" s="144">
        <v>43728.0</v>
      </c>
      <c r="Z281" s="50">
        <v>40.0</v>
      </c>
      <c r="AA281" s="50">
        <v>40.0</v>
      </c>
      <c r="AB281" s="116"/>
      <c r="AC281" s="116"/>
      <c r="AD281" s="116"/>
      <c r="AE281" s="50">
        <v>1.0</v>
      </c>
      <c r="AF281" s="50" t="s">
        <v>18902</v>
      </c>
      <c r="AG281" s="117">
        <v>6188.0</v>
      </c>
      <c r="AH281" s="50" t="s">
        <v>21772</v>
      </c>
      <c r="AI281" s="50" t="s">
        <v>21774</v>
      </c>
      <c r="AJ281" s="117">
        <v>282.0</v>
      </c>
    </row>
    <row r="282">
      <c r="A282" s="50" t="s">
        <v>21768</v>
      </c>
      <c r="B282" s="50" t="s">
        <v>6876</v>
      </c>
      <c r="C282" s="50" t="s">
        <v>6877</v>
      </c>
      <c r="D282" s="50" t="s">
        <v>11623</v>
      </c>
      <c r="E282" s="144">
        <v>43810.0</v>
      </c>
      <c r="F282" s="50" t="s">
        <v>21776</v>
      </c>
      <c r="G282" s="50">
        <v>59.0</v>
      </c>
      <c r="H282" s="50">
        <v>1.0</v>
      </c>
      <c r="I282" s="50">
        <v>11.0</v>
      </c>
      <c r="J282" s="116"/>
      <c r="K282" s="116"/>
      <c r="L282" s="50" t="s">
        <v>1284</v>
      </c>
      <c r="M282" s="50" t="s">
        <v>1284</v>
      </c>
      <c r="N282" s="122">
        <v>43467.0</v>
      </c>
      <c r="O282" s="50">
        <v>1.0</v>
      </c>
      <c r="P282" s="50">
        <v>1.0</v>
      </c>
      <c r="Q282" s="116"/>
      <c r="R282" s="50" t="s">
        <v>21576</v>
      </c>
      <c r="S282" s="116"/>
      <c r="T282" s="144">
        <v>43735.0</v>
      </c>
      <c r="U282" s="50">
        <v>29.38</v>
      </c>
      <c r="V282" s="50">
        <v>29.29</v>
      </c>
      <c r="W282" s="116"/>
      <c r="X282" s="116"/>
      <c r="Y282" s="144">
        <v>43728.0</v>
      </c>
      <c r="Z282" s="50">
        <v>9999.0</v>
      </c>
      <c r="AA282" s="50">
        <v>9999.0</v>
      </c>
      <c r="AB282" s="116"/>
      <c r="AC282" s="116"/>
      <c r="AD282" s="116"/>
      <c r="AE282" s="50">
        <v>1.0</v>
      </c>
      <c r="AF282" s="50" t="s">
        <v>18902</v>
      </c>
      <c r="AG282" s="117">
        <v>6189.0</v>
      </c>
      <c r="AH282" s="50" t="s">
        <v>21786</v>
      </c>
      <c r="AI282" s="50" t="s">
        <v>21787</v>
      </c>
      <c r="AJ282" s="117">
        <v>283.0</v>
      </c>
    </row>
    <row r="283">
      <c r="A283" s="50" t="s">
        <v>21776</v>
      </c>
      <c r="B283" s="50" t="s">
        <v>6876</v>
      </c>
      <c r="C283" s="50" t="s">
        <v>6877</v>
      </c>
      <c r="D283" s="50" t="s">
        <v>11623</v>
      </c>
      <c r="E283" s="144">
        <v>43810.0</v>
      </c>
      <c r="F283" s="50" t="s">
        <v>21789</v>
      </c>
      <c r="G283" s="50">
        <v>59.0</v>
      </c>
      <c r="H283" s="50">
        <v>1.0</v>
      </c>
      <c r="I283" s="50">
        <v>11.0</v>
      </c>
      <c r="J283" s="116"/>
      <c r="K283" s="116"/>
      <c r="L283" s="50" t="s">
        <v>1285</v>
      </c>
      <c r="M283" s="50" t="s">
        <v>1285</v>
      </c>
      <c r="N283" s="122">
        <v>43467.0</v>
      </c>
      <c r="O283" s="50">
        <v>1.0</v>
      </c>
      <c r="P283" s="50">
        <v>1.0</v>
      </c>
      <c r="Q283" s="116"/>
      <c r="R283" s="50" t="s">
        <v>21576</v>
      </c>
      <c r="S283" s="116"/>
      <c r="T283" s="144">
        <v>43735.0</v>
      </c>
      <c r="U283" s="50">
        <v>31.04</v>
      </c>
      <c r="V283" s="50">
        <v>31.24</v>
      </c>
      <c r="W283" s="116"/>
      <c r="X283" s="116"/>
      <c r="Y283" s="144">
        <v>43728.0</v>
      </c>
      <c r="Z283" s="50">
        <v>9999.0</v>
      </c>
      <c r="AA283" s="50">
        <v>9999.0</v>
      </c>
      <c r="AB283" s="116"/>
      <c r="AC283" s="116"/>
      <c r="AD283" s="116"/>
      <c r="AE283" s="50">
        <v>1.0</v>
      </c>
      <c r="AF283" s="50" t="s">
        <v>18902</v>
      </c>
      <c r="AG283" s="117">
        <v>6190.0</v>
      </c>
      <c r="AH283" s="50" t="s">
        <v>21795</v>
      </c>
      <c r="AI283" s="50" t="s">
        <v>21796</v>
      </c>
      <c r="AJ283" s="117">
        <v>284.0</v>
      </c>
    </row>
    <row r="284">
      <c r="A284" s="50" t="s">
        <v>21789</v>
      </c>
      <c r="B284" s="50" t="s">
        <v>6876</v>
      </c>
      <c r="C284" s="50" t="s">
        <v>6877</v>
      </c>
      <c r="D284" s="50" t="s">
        <v>11623</v>
      </c>
      <c r="E284" s="144">
        <v>43810.0</v>
      </c>
      <c r="F284" s="50" t="s">
        <v>21799</v>
      </c>
      <c r="G284" s="50">
        <v>59.0</v>
      </c>
      <c r="H284" s="50">
        <v>1.0</v>
      </c>
      <c r="I284" s="50">
        <v>99.0</v>
      </c>
      <c r="J284" s="116"/>
      <c r="K284" s="116"/>
      <c r="L284" s="50" t="s">
        <v>1288</v>
      </c>
      <c r="M284" s="50" t="s">
        <v>1288</v>
      </c>
      <c r="N284" s="122">
        <v>43467.0</v>
      </c>
      <c r="O284" s="50">
        <v>1.0</v>
      </c>
      <c r="P284" s="50">
        <v>1.0</v>
      </c>
      <c r="Q284" s="116"/>
      <c r="R284" s="50" t="s">
        <v>21576</v>
      </c>
      <c r="S284" s="116"/>
      <c r="T284" s="144">
        <v>43735.0</v>
      </c>
      <c r="U284" s="50">
        <v>9999.0</v>
      </c>
      <c r="V284" s="50">
        <v>35.5</v>
      </c>
      <c r="W284" s="116"/>
      <c r="X284" s="116"/>
      <c r="Y284" s="144">
        <v>43728.0</v>
      </c>
      <c r="Z284" s="50">
        <v>9999.0</v>
      </c>
      <c r="AA284" s="50">
        <v>9999.0</v>
      </c>
      <c r="AB284" s="116"/>
      <c r="AC284" s="116"/>
      <c r="AD284" s="50" t="s">
        <v>21806</v>
      </c>
      <c r="AE284" s="50">
        <v>1.0</v>
      </c>
      <c r="AF284" s="50" t="s">
        <v>18902</v>
      </c>
      <c r="AG284" s="117">
        <v>6191.0</v>
      </c>
      <c r="AH284" s="50" t="s">
        <v>21808</v>
      </c>
      <c r="AI284" s="50" t="s">
        <v>21809</v>
      </c>
      <c r="AJ284" s="117">
        <v>285.0</v>
      </c>
    </row>
    <row r="285">
      <c r="A285" s="50" t="s">
        <v>21812</v>
      </c>
      <c r="B285" s="50" t="s">
        <v>6876</v>
      </c>
      <c r="C285" s="50" t="s">
        <v>6877</v>
      </c>
      <c r="D285" s="50" t="s">
        <v>11623</v>
      </c>
      <c r="E285" s="144">
        <v>43810.0</v>
      </c>
      <c r="F285" s="50" t="s">
        <v>21814</v>
      </c>
      <c r="G285" s="50">
        <v>57.0</v>
      </c>
      <c r="H285" s="50">
        <v>1.0</v>
      </c>
      <c r="I285" s="50">
        <v>12.0</v>
      </c>
      <c r="J285" s="116"/>
      <c r="K285" s="116"/>
      <c r="L285" s="50" t="s">
        <v>1281</v>
      </c>
      <c r="M285" s="50" t="s">
        <v>1281</v>
      </c>
      <c r="N285" s="122">
        <v>43467.0</v>
      </c>
      <c r="O285" s="50">
        <v>1.0</v>
      </c>
      <c r="P285" s="50">
        <v>1.0</v>
      </c>
      <c r="Q285" s="116"/>
      <c r="R285" s="50" t="s">
        <v>21576</v>
      </c>
      <c r="S285" s="116"/>
      <c r="T285" s="144">
        <v>43735.0</v>
      </c>
      <c r="U285" s="50">
        <v>24.8</v>
      </c>
      <c r="V285" s="50">
        <v>24.69</v>
      </c>
      <c r="W285" s="116"/>
      <c r="X285" s="116"/>
      <c r="Y285" s="144">
        <v>43728.0</v>
      </c>
      <c r="Z285" s="50">
        <v>9999.0</v>
      </c>
      <c r="AA285" s="50">
        <v>9999.0</v>
      </c>
      <c r="AB285" s="116"/>
      <c r="AC285" s="116"/>
      <c r="AD285" s="116"/>
      <c r="AE285" s="50">
        <v>1.0</v>
      </c>
      <c r="AF285" s="50" t="s">
        <v>18902</v>
      </c>
      <c r="AG285" s="117">
        <v>6192.0</v>
      </c>
      <c r="AH285" s="50" t="s">
        <v>21819</v>
      </c>
      <c r="AI285" s="50" t="s">
        <v>21820</v>
      </c>
      <c r="AJ285" s="117">
        <v>286.0</v>
      </c>
    </row>
    <row r="286">
      <c r="A286" s="50" t="s">
        <v>21821</v>
      </c>
      <c r="B286" s="50" t="s">
        <v>6876</v>
      </c>
      <c r="C286" s="50" t="s">
        <v>6877</v>
      </c>
      <c r="D286" s="50" t="s">
        <v>11623</v>
      </c>
      <c r="E286" s="144">
        <v>43810.0</v>
      </c>
      <c r="F286" s="50" t="s">
        <v>21823</v>
      </c>
      <c r="G286" s="50">
        <v>57.0</v>
      </c>
      <c r="H286" s="50">
        <v>1.0</v>
      </c>
      <c r="I286" s="50">
        <v>99.0</v>
      </c>
      <c r="J286" s="116"/>
      <c r="K286" s="116"/>
      <c r="L286" s="50" t="s">
        <v>270</v>
      </c>
      <c r="M286" s="50" t="s">
        <v>270</v>
      </c>
      <c r="N286" s="50">
        <v>1.0</v>
      </c>
      <c r="O286" s="50">
        <v>1.0</v>
      </c>
      <c r="P286" s="50">
        <v>0.0</v>
      </c>
      <c r="Q286" s="116"/>
      <c r="R286" s="50" t="s">
        <v>21576</v>
      </c>
      <c r="S286" s="116"/>
      <c r="T286" s="144">
        <v>43735.0</v>
      </c>
      <c r="U286" s="50">
        <v>36.09</v>
      </c>
      <c r="V286" s="50">
        <v>9999.0</v>
      </c>
      <c r="W286" s="116"/>
      <c r="X286" s="116"/>
      <c r="Y286" s="116"/>
      <c r="Z286" s="116"/>
      <c r="AA286" s="116"/>
      <c r="AB286" s="116"/>
      <c r="AC286" s="116"/>
      <c r="AD286" s="50" t="s">
        <v>21831</v>
      </c>
      <c r="AE286" s="50">
        <v>1.0</v>
      </c>
      <c r="AF286" s="50" t="s">
        <v>18902</v>
      </c>
      <c r="AG286" s="117">
        <v>6193.0</v>
      </c>
      <c r="AH286" s="50" t="s">
        <v>21833</v>
      </c>
      <c r="AI286" s="50" t="s">
        <v>21835</v>
      </c>
      <c r="AJ286" s="117">
        <v>287.0</v>
      </c>
    </row>
    <row r="287">
      <c r="A287" s="50" t="s">
        <v>21836</v>
      </c>
      <c r="B287" s="50" t="s">
        <v>6876</v>
      </c>
      <c r="C287" s="50" t="s">
        <v>6877</v>
      </c>
      <c r="D287" s="50" t="s">
        <v>11623</v>
      </c>
      <c r="E287" s="144">
        <v>43810.0</v>
      </c>
      <c r="F287" s="50" t="s">
        <v>21837</v>
      </c>
      <c r="G287" s="50">
        <v>59.0</v>
      </c>
      <c r="H287" s="50">
        <v>1.0</v>
      </c>
      <c r="I287" s="50">
        <v>99.0</v>
      </c>
      <c r="J287" s="116"/>
      <c r="K287" s="116"/>
      <c r="L287" s="50" t="s">
        <v>1297</v>
      </c>
      <c r="M287" s="50" t="s">
        <v>1297</v>
      </c>
      <c r="N287" s="122">
        <v>43467.0</v>
      </c>
      <c r="O287" s="50">
        <v>1.0</v>
      </c>
      <c r="P287" s="50">
        <v>1.0</v>
      </c>
      <c r="Q287" s="116"/>
      <c r="R287" s="50" t="s">
        <v>21576</v>
      </c>
      <c r="S287" s="116"/>
      <c r="T287" s="144">
        <v>43735.0</v>
      </c>
      <c r="U287" s="50">
        <v>35.26</v>
      </c>
      <c r="V287" s="50">
        <v>34.53</v>
      </c>
      <c r="W287" s="116"/>
      <c r="X287" s="116"/>
      <c r="Y287" s="144">
        <v>43735.0</v>
      </c>
      <c r="Z287" s="50">
        <v>9999.0</v>
      </c>
      <c r="AA287" s="50">
        <v>9999.0</v>
      </c>
      <c r="AB287" s="116"/>
      <c r="AC287" s="116"/>
      <c r="AD287" s="50" t="s">
        <v>21843</v>
      </c>
      <c r="AE287" s="50">
        <v>1.0</v>
      </c>
      <c r="AF287" s="50" t="s">
        <v>18902</v>
      </c>
      <c r="AG287" s="117">
        <v>6195.0</v>
      </c>
      <c r="AH287" s="50" t="s">
        <v>21844</v>
      </c>
      <c r="AI287" s="50" t="s">
        <v>21845</v>
      </c>
      <c r="AJ287" s="117">
        <v>288.0</v>
      </c>
    </row>
    <row r="288">
      <c r="A288" s="50" t="s">
        <v>21846</v>
      </c>
      <c r="B288" s="50" t="s">
        <v>6876</v>
      </c>
      <c r="C288" s="50" t="s">
        <v>6877</v>
      </c>
      <c r="D288" s="50" t="s">
        <v>11623</v>
      </c>
      <c r="E288" s="144">
        <v>43810.0</v>
      </c>
      <c r="F288" s="50" t="s">
        <v>21850</v>
      </c>
      <c r="G288" s="50">
        <v>59.0</v>
      </c>
      <c r="H288" s="50">
        <v>1.0</v>
      </c>
      <c r="I288" s="50">
        <v>11.0</v>
      </c>
      <c r="J288" s="116"/>
      <c r="K288" s="116"/>
      <c r="L288" s="50" t="s">
        <v>1292</v>
      </c>
      <c r="M288" s="50" t="s">
        <v>1292</v>
      </c>
      <c r="N288" s="122">
        <v>43467.0</v>
      </c>
      <c r="O288" s="50">
        <v>1.0</v>
      </c>
      <c r="P288" s="50">
        <v>1.0</v>
      </c>
      <c r="Q288" s="116"/>
      <c r="R288" s="50" t="s">
        <v>21576</v>
      </c>
      <c r="S288" s="116"/>
      <c r="T288" s="144">
        <v>43735.0</v>
      </c>
      <c r="U288" s="50">
        <v>30.94</v>
      </c>
      <c r="V288" s="50">
        <v>31.85</v>
      </c>
      <c r="W288" s="116"/>
      <c r="X288" s="116"/>
      <c r="Y288" s="144">
        <v>43771.0</v>
      </c>
      <c r="Z288" s="50">
        <v>37.94</v>
      </c>
      <c r="AA288" s="50">
        <v>36.97</v>
      </c>
      <c r="AB288" s="116"/>
      <c r="AC288" s="116"/>
      <c r="AD288" s="116"/>
      <c r="AE288" s="50">
        <v>1.0</v>
      </c>
      <c r="AF288" s="50" t="s">
        <v>18902</v>
      </c>
      <c r="AG288" s="117">
        <v>6196.0</v>
      </c>
      <c r="AH288" s="50" t="s">
        <v>21855</v>
      </c>
      <c r="AI288" s="50" t="s">
        <v>21856</v>
      </c>
      <c r="AJ288" s="117">
        <v>289.0</v>
      </c>
    </row>
    <row r="289">
      <c r="A289" s="50" t="s">
        <v>21850</v>
      </c>
      <c r="B289" s="50" t="s">
        <v>6876</v>
      </c>
      <c r="C289" s="50" t="s">
        <v>6877</v>
      </c>
      <c r="D289" s="50" t="s">
        <v>11623</v>
      </c>
      <c r="E289" s="144">
        <v>43810.0</v>
      </c>
      <c r="F289" s="50" t="s">
        <v>21861</v>
      </c>
      <c r="G289" s="50">
        <v>59.0</v>
      </c>
      <c r="H289" s="50">
        <v>1.0</v>
      </c>
      <c r="I289" s="50">
        <v>11.0</v>
      </c>
      <c r="J289" s="116"/>
      <c r="K289" s="116"/>
      <c r="L289" s="50" t="s">
        <v>1294</v>
      </c>
      <c r="M289" s="50" t="s">
        <v>1294</v>
      </c>
      <c r="N289" s="50">
        <v>1.0</v>
      </c>
      <c r="O289" s="50">
        <v>1.0</v>
      </c>
      <c r="P289" s="50">
        <v>0.0</v>
      </c>
      <c r="Q289" s="116"/>
      <c r="R289" s="50" t="s">
        <v>21576</v>
      </c>
      <c r="S289" s="116"/>
      <c r="T289" s="144">
        <v>43735.0</v>
      </c>
      <c r="U289" s="50">
        <v>30.92</v>
      </c>
      <c r="V289" s="50">
        <v>31.31</v>
      </c>
      <c r="W289" s="116"/>
      <c r="X289" s="116"/>
      <c r="Y289" s="116"/>
      <c r="Z289" s="116"/>
      <c r="AA289" s="116"/>
      <c r="AB289" s="116"/>
      <c r="AC289" s="116"/>
      <c r="AD289" s="116"/>
      <c r="AE289" s="50">
        <v>1.0</v>
      </c>
      <c r="AF289" s="50" t="s">
        <v>18902</v>
      </c>
      <c r="AG289" s="117">
        <v>6197.0</v>
      </c>
      <c r="AH289" s="50" t="s">
        <v>21866</v>
      </c>
      <c r="AI289" s="50" t="s">
        <v>21867</v>
      </c>
      <c r="AJ289" s="117">
        <v>290.0</v>
      </c>
    </row>
    <row r="290">
      <c r="A290" s="50" t="s">
        <v>21868</v>
      </c>
      <c r="B290" s="50" t="s">
        <v>6876</v>
      </c>
      <c r="C290" s="50" t="s">
        <v>6877</v>
      </c>
      <c r="D290" s="50" t="s">
        <v>11623</v>
      </c>
      <c r="E290" s="144">
        <v>43815.0</v>
      </c>
      <c r="F290" s="50" t="s">
        <v>21870</v>
      </c>
      <c r="G290" s="50">
        <v>58.0</v>
      </c>
      <c r="H290" s="50">
        <v>1.0</v>
      </c>
      <c r="I290" s="50">
        <v>11.0</v>
      </c>
      <c r="J290" s="116"/>
      <c r="K290" s="116"/>
      <c r="L290" s="50" t="s">
        <v>1756</v>
      </c>
      <c r="M290" s="50" t="s">
        <v>1756</v>
      </c>
      <c r="N290" s="122">
        <v>43467.0</v>
      </c>
      <c r="O290" s="50">
        <v>1.0</v>
      </c>
      <c r="P290" s="50">
        <v>1.0</v>
      </c>
      <c r="Q290" s="116"/>
      <c r="R290" s="50" t="s">
        <v>21873</v>
      </c>
      <c r="S290" s="116"/>
      <c r="T290" s="144">
        <v>43810.0</v>
      </c>
      <c r="U290" s="50">
        <v>24.88</v>
      </c>
      <c r="V290" s="50">
        <v>24.67</v>
      </c>
      <c r="W290" s="116"/>
      <c r="X290" s="116"/>
      <c r="Y290" s="144">
        <v>43810.0</v>
      </c>
      <c r="Z290" s="50">
        <v>36.06</v>
      </c>
      <c r="AA290" s="50">
        <v>36.44</v>
      </c>
      <c r="AB290" s="116"/>
      <c r="AC290" s="116"/>
      <c r="AD290" s="116"/>
      <c r="AE290" s="50">
        <v>1.0</v>
      </c>
      <c r="AF290" s="50" t="s">
        <v>18902</v>
      </c>
      <c r="AG290" s="117">
        <v>6343.0</v>
      </c>
      <c r="AH290" s="50" t="s">
        <v>21876</v>
      </c>
      <c r="AI290" s="50" t="s">
        <v>21877</v>
      </c>
      <c r="AJ290" s="117">
        <v>291.0</v>
      </c>
    </row>
    <row r="291">
      <c r="A291" s="50" t="s">
        <v>21870</v>
      </c>
      <c r="B291" s="50" t="s">
        <v>6876</v>
      </c>
      <c r="C291" s="50" t="s">
        <v>6877</v>
      </c>
      <c r="D291" s="50" t="s">
        <v>11623</v>
      </c>
      <c r="E291" s="144">
        <v>43815.0</v>
      </c>
      <c r="F291" s="50" t="s">
        <v>21881</v>
      </c>
      <c r="G291" s="50">
        <v>59.0</v>
      </c>
      <c r="H291" s="50">
        <v>1.0</v>
      </c>
      <c r="I291" s="50">
        <v>11.0</v>
      </c>
      <c r="J291" s="116"/>
      <c r="K291" s="116"/>
      <c r="L291" s="50" t="s">
        <v>321</v>
      </c>
      <c r="M291" s="50" t="s">
        <v>321</v>
      </c>
      <c r="N291" s="122">
        <v>43467.0</v>
      </c>
      <c r="O291" s="50">
        <v>1.0</v>
      </c>
      <c r="P291" s="50">
        <v>1.0</v>
      </c>
      <c r="Q291" s="116"/>
      <c r="R291" s="50" t="s">
        <v>21873</v>
      </c>
      <c r="S291" s="116"/>
      <c r="T291" s="144">
        <v>43810.0</v>
      </c>
      <c r="U291" s="50">
        <v>32.1</v>
      </c>
      <c r="V291" s="50">
        <v>9999.0</v>
      </c>
      <c r="W291" s="116"/>
      <c r="X291" s="116"/>
      <c r="Y291" s="144">
        <v>43810.0</v>
      </c>
      <c r="Z291" s="50">
        <v>9999.0</v>
      </c>
      <c r="AA291" s="50">
        <v>9999.0</v>
      </c>
      <c r="AB291" s="116"/>
      <c r="AC291" s="116"/>
      <c r="AD291" s="116"/>
      <c r="AE291" s="50">
        <v>1.0</v>
      </c>
      <c r="AF291" s="50" t="s">
        <v>18902</v>
      </c>
      <c r="AG291" s="117">
        <v>6344.0</v>
      </c>
      <c r="AH291" s="50" t="s">
        <v>21887</v>
      </c>
      <c r="AI291" s="50" t="s">
        <v>21888</v>
      </c>
      <c r="AJ291" s="117">
        <v>292.0</v>
      </c>
    </row>
    <row r="292">
      <c r="A292" s="50" t="s">
        <v>21881</v>
      </c>
      <c r="B292" s="50" t="s">
        <v>6876</v>
      </c>
      <c r="C292" s="50" t="s">
        <v>6877</v>
      </c>
      <c r="D292" s="50" t="s">
        <v>11623</v>
      </c>
      <c r="E292" s="144">
        <v>43815.0</v>
      </c>
      <c r="F292" s="50" t="s">
        <v>21892</v>
      </c>
      <c r="G292" s="50">
        <v>66.0</v>
      </c>
      <c r="H292" s="50">
        <v>1.0</v>
      </c>
      <c r="I292" s="50">
        <v>12.0</v>
      </c>
      <c r="J292" s="116"/>
      <c r="K292" s="116"/>
      <c r="L292" s="50" t="s">
        <v>1750</v>
      </c>
      <c r="M292" s="50" t="s">
        <v>1750</v>
      </c>
      <c r="N292" s="122">
        <v>43467.0</v>
      </c>
      <c r="O292" s="50">
        <v>1.0</v>
      </c>
      <c r="P292" s="50">
        <v>1.0</v>
      </c>
      <c r="Q292" s="116"/>
      <c r="R292" s="50" t="s">
        <v>21873</v>
      </c>
      <c r="S292" s="116"/>
      <c r="T292" s="144">
        <v>43810.0</v>
      </c>
      <c r="U292" s="50">
        <v>24.59</v>
      </c>
      <c r="V292" s="50">
        <v>24.63</v>
      </c>
      <c r="W292" s="116"/>
      <c r="X292" s="116"/>
      <c r="Y292" s="144">
        <v>43810.0</v>
      </c>
      <c r="Z292" s="50">
        <v>32.82</v>
      </c>
      <c r="AA292" s="50">
        <v>32.68</v>
      </c>
      <c r="AB292" s="116"/>
      <c r="AC292" s="116"/>
      <c r="AD292" s="116"/>
      <c r="AE292" s="50">
        <v>1.0</v>
      </c>
      <c r="AF292" s="50" t="s">
        <v>18902</v>
      </c>
      <c r="AG292" s="117">
        <v>6345.0</v>
      </c>
      <c r="AH292" s="50" t="s">
        <v>21898</v>
      </c>
      <c r="AI292" s="50" t="s">
        <v>21901</v>
      </c>
      <c r="AJ292" s="117">
        <v>293.0</v>
      </c>
    </row>
    <row r="293">
      <c r="A293" s="50" t="s">
        <v>21892</v>
      </c>
      <c r="B293" s="50" t="s">
        <v>6876</v>
      </c>
      <c r="C293" s="50" t="s">
        <v>6877</v>
      </c>
      <c r="D293" s="50" t="s">
        <v>11623</v>
      </c>
      <c r="E293" s="144">
        <v>43815.0</v>
      </c>
      <c r="F293" s="50" t="s">
        <v>21904</v>
      </c>
      <c r="G293" s="50">
        <v>59.0</v>
      </c>
      <c r="H293" s="50">
        <v>1.0</v>
      </c>
      <c r="I293" s="50">
        <v>12.0</v>
      </c>
      <c r="J293" s="116"/>
      <c r="K293" s="116"/>
      <c r="L293" s="50" t="s">
        <v>1753</v>
      </c>
      <c r="M293" s="50" t="s">
        <v>1753</v>
      </c>
      <c r="N293" s="122">
        <v>43467.0</v>
      </c>
      <c r="O293" s="50">
        <v>1.0</v>
      </c>
      <c r="P293" s="50">
        <v>1.0</v>
      </c>
      <c r="Q293" s="116"/>
      <c r="R293" s="50" t="s">
        <v>21873</v>
      </c>
      <c r="S293" s="116"/>
      <c r="T293" s="144">
        <v>43810.0</v>
      </c>
      <c r="U293" s="50">
        <v>22.29</v>
      </c>
      <c r="V293" s="50">
        <v>22.17</v>
      </c>
      <c r="W293" s="116"/>
      <c r="X293" s="116"/>
      <c r="Y293" s="144">
        <v>43810.0</v>
      </c>
      <c r="Z293" s="50">
        <v>36.12</v>
      </c>
      <c r="AA293" s="50">
        <v>35.87</v>
      </c>
      <c r="AB293" s="116"/>
      <c r="AC293" s="116"/>
      <c r="AD293" s="116"/>
      <c r="AE293" s="50">
        <v>1.0</v>
      </c>
      <c r="AF293" s="50" t="s">
        <v>18902</v>
      </c>
      <c r="AG293" s="117">
        <v>6346.0</v>
      </c>
      <c r="AH293" s="50" t="s">
        <v>21910</v>
      </c>
      <c r="AI293" s="50" t="s">
        <v>21911</v>
      </c>
      <c r="AJ293" s="117">
        <v>294.0</v>
      </c>
    </row>
    <row r="294">
      <c r="A294" s="50" t="s">
        <v>21904</v>
      </c>
      <c r="B294" s="50" t="s">
        <v>6876</v>
      </c>
      <c r="C294" s="50" t="s">
        <v>6877</v>
      </c>
      <c r="D294" s="50" t="s">
        <v>11623</v>
      </c>
      <c r="E294" s="144">
        <v>43815.0</v>
      </c>
      <c r="F294" s="50" t="s">
        <v>21912</v>
      </c>
      <c r="G294" s="50">
        <v>59.0</v>
      </c>
      <c r="H294" s="50">
        <v>1.0</v>
      </c>
      <c r="I294" s="50">
        <v>11.0</v>
      </c>
      <c r="J294" s="116"/>
      <c r="K294" s="116"/>
      <c r="L294" s="50" t="s">
        <v>1761</v>
      </c>
      <c r="M294" s="50" t="s">
        <v>1761</v>
      </c>
      <c r="N294" s="122">
        <v>43467.0</v>
      </c>
      <c r="O294" s="50">
        <v>1.0</v>
      </c>
      <c r="P294" s="50">
        <v>1.0</v>
      </c>
      <c r="Q294" s="116"/>
      <c r="R294" s="50" t="s">
        <v>21873</v>
      </c>
      <c r="S294" s="116"/>
      <c r="T294" s="144">
        <v>43810.0</v>
      </c>
      <c r="U294" s="50">
        <v>26.1</v>
      </c>
      <c r="V294" s="50">
        <v>24.45</v>
      </c>
      <c r="W294" s="116"/>
      <c r="X294" s="116"/>
      <c r="Y294" s="144">
        <v>43810.0</v>
      </c>
      <c r="Z294" s="50">
        <v>40.0</v>
      </c>
      <c r="AA294" s="50">
        <v>39.47</v>
      </c>
      <c r="AB294" s="116"/>
      <c r="AC294" s="116"/>
      <c r="AD294" s="116"/>
      <c r="AE294" s="50">
        <v>1.0</v>
      </c>
      <c r="AF294" s="50" t="s">
        <v>18902</v>
      </c>
      <c r="AG294" s="117">
        <v>6347.0</v>
      </c>
      <c r="AH294" s="50" t="s">
        <v>21913</v>
      </c>
      <c r="AI294" s="50" t="s">
        <v>21914</v>
      </c>
      <c r="AJ294" s="117">
        <v>295.0</v>
      </c>
    </row>
    <row r="295">
      <c r="A295" s="50" t="s">
        <v>21912</v>
      </c>
      <c r="B295" s="50" t="s">
        <v>6876</v>
      </c>
      <c r="C295" s="50" t="s">
        <v>6877</v>
      </c>
      <c r="D295" s="50" t="s">
        <v>11623</v>
      </c>
      <c r="E295" s="144">
        <v>43815.0</v>
      </c>
      <c r="F295" s="50" t="s">
        <v>21918</v>
      </c>
      <c r="G295" s="50">
        <v>59.0</v>
      </c>
      <c r="H295" s="50">
        <v>1.0</v>
      </c>
      <c r="I295" s="50">
        <v>11.0</v>
      </c>
      <c r="J295" s="116"/>
      <c r="K295" s="116"/>
      <c r="L295" s="50" t="s">
        <v>1764</v>
      </c>
      <c r="M295" s="50" t="s">
        <v>1764</v>
      </c>
      <c r="N295" s="122">
        <v>43467.0</v>
      </c>
      <c r="O295" s="50">
        <v>1.0</v>
      </c>
      <c r="P295" s="50">
        <v>1.0</v>
      </c>
      <c r="Q295" s="116"/>
      <c r="R295" s="50" t="s">
        <v>21873</v>
      </c>
      <c r="S295" s="116"/>
      <c r="T295" s="144">
        <v>43810.0</v>
      </c>
      <c r="U295" s="50">
        <v>27.64</v>
      </c>
      <c r="V295" s="50">
        <v>28.86</v>
      </c>
      <c r="W295" s="116"/>
      <c r="X295" s="116"/>
      <c r="Y295" s="144">
        <v>43810.0</v>
      </c>
      <c r="Z295" s="50">
        <v>40.0</v>
      </c>
      <c r="AA295" s="50">
        <v>40.0</v>
      </c>
      <c r="AB295" s="116"/>
      <c r="AC295" s="116"/>
      <c r="AD295" s="116"/>
      <c r="AE295" s="50">
        <v>1.0</v>
      </c>
      <c r="AF295" s="50" t="s">
        <v>18902</v>
      </c>
      <c r="AG295" s="117">
        <v>6348.0</v>
      </c>
      <c r="AH295" s="50" t="s">
        <v>21921</v>
      </c>
      <c r="AI295" s="50" t="s">
        <v>21922</v>
      </c>
      <c r="AJ295" s="117">
        <v>296.0</v>
      </c>
    </row>
    <row r="296">
      <c r="A296" s="50" t="s">
        <v>21918</v>
      </c>
      <c r="B296" s="50" t="s">
        <v>6876</v>
      </c>
      <c r="C296" s="50" t="s">
        <v>6877</v>
      </c>
      <c r="D296" s="50" t="s">
        <v>11623</v>
      </c>
      <c r="E296" s="144">
        <v>43815.0</v>
      </c>
      <c r="F296" s="50" t="s">
        <v>21923</v>
      </c>
      <c r="G296" s="50">
        <v>59.0</v>
      </c>
      <c r="H296" s="50">
        <v>1.0</v>
      </c>
      <c r="I296" s="50">
        <v>11.0</v>
      </c>
      <c r="J296" s="116"/>
      <c r="K296" s="116"/>
      <c r="L296" s="50" t="s">
        <v>1775</v>
      </c>
      <c r="M296" s="50" t="s">
        <v>1775</v>
      </c>
      <c r="N296" s="122">
        <v>43467.0</v>
      </c>
      <c r="O296" s="50">
        <v>1.0</v>
      </c>
      <c r="P296" s="50">
        <v>1.0</v>
      </c>
      <c r="Q296" s="116"/>
      <c r="R296" s="50" t="s">
        <v>21873</v>
      </c>
      <c r="S296" s="116"/>
      <c r="T296" s="144">
        <v>43810.0</v>
      </c>
      <c r="U296" s="50">
        <v>31.71</v>
      </c>
      <c r="V296" s="50">
        <v>30.72</v>
      </c>
      <c r="W296" s="116"/>
      <c r="X296" s="116"/>
      <c r="Y296" s="144">
        <v>43810.0</v>
      </c>
      <c r="Z296" s="50">
        <v>40.0</v>
      </c>
      <c r="AA296" s="50">
        <v>9999.0</v>
      </c>
      <c r="AB296" s="116"/>
      <c r="AC296" s="116"/>
      <c r="AD296" s="116"/>
      <c r="AE296" s="50">
        <v>1.0</v>
      </c>
      <c r="AF296" s="50" t="s">
        <v>18902</v>
      </c>
      <c r="AG296" s="117">
        <v>6349.0</v>
      </c>
      <c r="AH296" s="50" t="s">
        <v>21924</v>
      </c>
      <c r="AI296" s="50" t="s">
        <v>21925</v>
      </c>
      <c r="AJ296" s="117">
        <v>297.0</v>
      </c>
    </row>
    <row r="297">
      <c r="A297" s="50" t="s">
        <v>21923</v>
      </c>
      <c r="B297" s="50" t="s">
        <v>6876</v>
      </c>
      <c r="C297" s="50" t="s">
        <v>6877</v>
      </c>
      <c r="D297" s="50" t="s">
        <v>11623</v>
      </c>
      <c r="E297" s="144">
        <v>43815.0</v>
      </c>
      <c r="F297" s="50" t="s">
        <v>21926</v>
      </c>
      <c r="G297" s="50">
        <v>59.0</v>
      </c>
      <c r="H297" s="50">
        <v>1.0</v>
      </c>
      <c r="I297" s="50">
        <v>11.0</v>
      </c>
      <c r="J297" s="116"/>
      <c r="K297" s="116"/>
      <c r="L297" s="50" t="s">
        <v>1769</v>
      </c>
      <c r="M297" s="50" t="s">
        <v>1769</v>
      </c>
      <c r="N297" s="122">
        <v>43467.0</v>
      </c>
      <c r="O297" s="50">
        <v>1.0</v>
      </c>
      <c r="P297" s="50">
        <v>1.0</v>
      </c>
      <c r="Q297" s="116"/>
      <c r="R297" s="50" t="s">
        <v>21873</v>
      </c>
      <c r="S297" s="116"/>
      <c r="T297" s="144">
        <v>43810.0</v>
      </c>
      <c r="U297" s="50">
        <v>30.09</v>
      </c>
      <c r="V297" s="50">
        <v>29.89</v>
      </c>
      <c r="W297" s="116"/>
      <c r="X297" s="116"/>
      <c r="Y297" s="144">
        <v>43810.0</v>
      </c>
      <c r="Z297" s="50">
        <v>9999.0</v>
      </c>
      <c r="AA297" s="50">
        <v>9999.0</v>
      </c>
      <c r="AB297" s="116"/>
      <c r="AC297" s="116"/>
      <c r="AD297" s="116"/>
      <c r="AE297" s="50">
        <v>1.0</v>
      </c>
      <c r="AF297" s="50" t="s">
        <v>18902</v>
      </c>
      <c r="AG297" s="117">
        <v>6350.0</v>
      </c>
      <c r="AH297" s="50" t="s">
        <v>21936</v>
      </c>
      <c r="AI297" s="50" t="s">
        <v>21937</v>
      </c>
      <c r="AJ297" s="117">
        <v>298.0</v>
      </c>
    </row>
    <row r="298">
      <c r="A298" s="50" t="s">
        <v>21926</v>
      </c>
      <c r="B298" s="50" t="s">
        <v>6876</v>
      </c>
      <c r="C298" s="50" t="s">
        <v>6877</v>
      </c>
      <c r="D298" s="50" t="s">
        <v>11623</v>
      </c>
      <c r="E298" s="144">
        <v>43815.0</v>
      </c>
      <c r="F298" s="50" t="s">
        <v>21943</v>
      </c>
      <c r="G298" s="50">
        <v>59.0</v>
      </c>
      <c r="H298" s="50">
        <v>1.0</v>
      </c>
      <c r="I298" s="50">
        <v>11.0</v>
      </c>
      <c r="J298" s="116"/>
      <c r="K298" s="116"/>
      <c r="L298" s="50" t="s">
        <v>1772</v>
      </c>
      <c r="M298" s="50" t="s">
        <v>1772</v>
      </c>
      <c r="N298" s="122">
        <v>43467.0</v>
      </c>
      <c r="O298" s="50">
        <v>1.0</v>
      </c>
      <c r="P298" s="50">
        <v>1.0</v>
      </c>
      <c r="Q298" s="116"/>
      <c r="R298" s="50" t="s">
        <v>21873</v>
      </c>
      <c r="S298" s="116"/>
      <c r="T298" s="144">
        <v>43810.0</v>
      </c>
      <c r="U298" s="50">
        <v>28.15</v>
      </c>
      <c r="V298" s="50">
        <v>28.55</v>
      </c>
      <c r="W298" s="116"/>
      <c r="X298" s="116"/>
      <c r="Y298" s="144">
        <v>43810.0</v>
      </c>
      <c r="Z298" s="50">
        <v>9999.0</v>
      </c>
      <c r="AA298" s="50">
        <v>9999.0</v>
      </c>
      <c r="AB298" s="116"/>
      <c r="AC298" s="116"/>
      <c r="AD298" s="116"/>
      <c r="AE298" s="50">
        <v>1.0</v>
      </c>
      <c r="AF298" s="50" t="s">
        <v>18902</v>
      </c>
      <c r="AG298" s="117">
        <v>6351.0</v>
      </c>
      <c r="AH298" s="50" t="s">
        <v>21962</v>
      </c>
      <c r="AI298" s="50" t="s">
        <v>21963</v>
      </c>
      <c r="AJ298" s="117">
        <v>299.0</v>
      </c>
    </row>
    <row r="299">
      <c r="A299" s="50" t="s">
        <v>21943</v>
      </c>
      <c r="B299" s="50" t="s">
        <v>6876</v>
      </c>
      <c r="C299" s="50" t="s">
        <v>6877</v>
      </c>
      <c r="D299" s="50" t="s">
        <v>11623</v>
      </c>
      <c r="E299" s="144">
        <v>43815.0</v>
      </c>
      <c r="F299" s="50" t="s">
        <v>21968</v>
      </c>
      <c r="G299" s="50">
        <v>59.0</v>
      </c>
      <c r="H299" s="50">
        <v>1.0</v>
      </c>
      <c r="I299" s="50">
        <v>11.0</v>
      </c>
      <c r="J299" s="116"/>
      <c r="K299" s="116"/>
      <c r="L299" s="50" t="s">
        <v>1778</v>
      </c>
      <c r="M299" s="50" t="s">
        <v>1778</v>
      </c>
      <c r="N299" s="122">
        <v>43467.0</v>
      </c>
      <c r="O299" s="50">
        <v>1.0</v>
      </c>
      <c r="P299" s="50">
        <v>1.0</v>
      </c>
      <c r="Q299" s="116"/>
      <c r="R299" s="50" t="s">
        <v>21873</v>
      </c>
      <c r="S299" s="116"/>
      <c r="T299" s="144">
        <v>43810.0</v>
      </c>
      <c r="U299" s="50">
        <v>38.57</v>
      </c>
      <c r="V299" s="50">
        <v>32.87</v>
      </c>
      <c r="W299" s="116"/>
      <c r="X299" s="116"/>
      <c r="Y299" s="144">
        <v>43810.0</v>
      </c>
      <c r="Z299" s="50">
        <v>40.0</v>
      </c>
      <c r="AA299" s="50">
        <v>40.0</v>
      </c>
      <c r="AB299" s="116"/>
      <c r="AC299" s="116"/>
      <c r="AD299" s="116"/>
      <c r="AE299" s="50">
        <v>1.0</v>
      </c>
      <c r="AF299" s="50" t="s">
        <v>18902</v>
      </c>
      <c r="AG299" s="117">
        <v>6352.0</v>
      </c>
      <c r="AH299" s="50" t="s">
        <v>21984</v>
      </c>
      <c r="AI299" s="50" t="s">
        <v>21986</v>
      </c>
      <c r="AJ299" s="117">
        <v>300.0</v>
      </c>
    </row>
    <row r="300">
      <c r="A300" s="50" t="s">
        <v>21968</v>
      </c>
      <c r="B300" s="50" t="s">
        <v>6876</v>
      </c>
      <c r="C300" s="50" t="s">
        <v>6877</v>
      </c>
      <c r="D300" s="50" t="s">
        <v>11623</v>
      </c>
      <c r="E300" s="144">
        <v>43815.0</v>
      </c>
      <c r="F300" s="50" t="s">
        <v>21990</v>
      </c>
      <c r="G300" s="50">
        <v>59.0</v>
      </c>
      <c r="H300" s="50">
        <v>1.0</v>
      </c>
      <c r="I300" s="50">
        <v>99.0</v>
      </c>
      <c r="J300" s="116"/>
      <c r="K300" s="116"/>
      <c r="L300" s="50" t="s">
        <v>1755</v>
      </c>
      <c r="M300" s="50" t="s">
        <v>1755</v>
      </c>
      <c r="N300" s="122">
        <v>43467.0</v>
      </c>
      <c r="O300" s="50">
        <v>1.0</v>
      </c>
      <c r="P300" s="50">
        <v>1.0</v>
      </c>
      <c r="Q300" s="116"/>
      <c r="R300" s="50" t="s">
        <v>21873</v>
      </c>
      <c r="S300" s="116"/>
      <c r="T300" s="144">
        <v>43810.0</v>
      </c>
      <c r="U300" s="50">
        <v>9999.0</v>
      </c>
      <c r="V300" s="50">
        <v>9999.0</v>
      </c>
      <c r="W300" s="116"/>
      <c r="X300" s="116"/>
      <c r="Y300" s="144">
        <v>43810.0</v>
      </c>
      <c r="Z300" s="50">
        <v>9999.0</v>
      </c>
      <c r="AA300" s="50">
        <v>9999.0</v>
      </c>
      <c r="AB300" s="116"/>
      <c r="AC300" s="116"/>
      <c r="AD300" s="50" t="s">
        <v>21999</v>
      </c>
      <c r="AE300" s="50">
        <v>1.0</v>
      </c>
      <c r="AF300" s="50" t="s">
        <v>18902</v>
      </c>
      <c r="AG300" s="117">
        <v>6353.0</v>
      </c>
      <c r="AH300" s="50" t="s">
        <v>22000</v>
      </c>
      <c r="AI300" s="50" t="s">
        <v>22001</v>
      </c>
      <c r="AJ300" s="117">
        <v>301.0</v>
      </c>
    </row>
    <row r="301">
      <c r="A301" s="50" t="s">
        <v>21990</v>
      </c>
      <c r="B301" s="50" t="s">
        <v>6876</v>
      </c>
      <c r="C301" s="50" t="s">
        <v>6877</v>
      </c>
      <c r="D301" s="50" t="s">
        <v>11623</v>
      </c>
      <c r="E301" s="144">
        <v>43815.0</v>
      </c>
      <c r="F301" s="50" t="s">
        <v>22006</v>
      </c>
      <c r="G301" s="50">
        <v>58.0</v>
      </c>
      <c r="H301" s="50">
        <v>1.0</v>
      </c>
      <c r="I301" s="50">
        <v>11.0</v>
      </c>
      <c r="J301" s="116"/>
      <c r="K301" s="116"/>
      <c r="L301" s="50" t="s">
        <v>1783</v>
      </c>
      <c r="M301" s="50" t="s">
        <v>1783</v>
      </c>
      <c r="N301" s="122">
        <v>43467.0</v>
      </c>
      <c r="O301" s="50">
        <v>1.0</v>
      </c>
      <c r="P301" s="50">
        <v>1.0</v>
      </c>
      <c r="Q301" s="116"/>
      <c r="R301" s="50" t="s">
        <v>21873</v>
      </c>
      <c r="S301" s="116"/>
      <c r="T301" s="144">
        <v>43810.0</v>
      </c>
      <c r="U301" s="50">
        <v>9999.0</v>
      </c>
      <c r="V301" s="50">
        <v>26.23</v>
      </c>
      <c r="W301" s="116"/>
      <c r="X301" s="116"/>
      <c r="Y301" s="144">
        <v>43810.0</v>
      </c>
      <c r="Z301" s="50">
        <v>9999.0</v>
      </c>
      <c r="AA301" s="50">
        <v>9999.0</v>
      </c>
      <c r="AB301" s="116"/>
      <c r="AC301" s="116"/>
      <c r="AD301" s="116"/>
      <c r="AE301" s="50">
        <v>1.0</v>
      </c>
      <c r="AF301" s="50" t="s">
        <v>18902</v>
      </c>
      <c r="AG301" s="117">
        <v>6354.0</v>
      </c>
      <c r="AH301" s="50" t="s">
        <v>22021</v>
      </c>
      <c r="AI301" s="50" t="s">
        <v>22022</v>
      </c>
      <c r="AJ301" s="117">
        <v>302.0</v>
      </c>
    </row>
    <row r="302">
      <c r="A302" s="50" t="s">
        <v>22006</v>
      </c>
      <c r="B302" s="50" t="s">
        <v>6876</v>
      </c>
      <c r="C302" s="50" t="s">
        <v>6877</v>
      </c>
      <c r="D302" s="50" t="s">
        <v>11623</v>
      </c>
      <c r="E302" s="144">
        <v>43815.0</v>
      </c>
      <c r="F302" s="50" t="s">
        <v>22026</v>
      </c>
      <c r="G302" s="50">
        <v>58.0</v>
      </c>
      <c r="H302" s="50">
        <v>1.0</v>
      </c>
      <c r="I302" s="50">
        <v>99.0</v>
      </c>
      <c r="J302" s="116"/>
      <c r="K302" s="116"/>
      <c r="L302" s="50" t="s">
        <v>1785</v>
      </c>
      <c r="M302" s="50" t="s">
        <v>1785</v>
      </c>
      <c r="N302" s="122">
        <v>43467.0</v>
      </c>
      <c r="O302" s="50">
        <v>1.0</v>
      </c>
      <c r="P302" s="50">
        <v>1.0</v>
      </c>
      <c r="Q302" s="116"/>
      <c r="R302" s="50" t="s">
        <v>21873</v>
      </c>
      <c r="S302" s="116"/>
      <c r="T302" s="144">
        <v>43810.0</v>
      </c>
      <c r="U302" s="50">
        <v>9999.0</v>
      </c>
      <c r="V302" s="50">
        <v>9999.0</v>
      </c>
      <c r="W302" s="116"/>
      <c r="X302" s="116"/>
      <c r="Y302" s="144">
        <v>43810.0</v>
      </c>
      <c r="Z302" s="50">
        <v>9999.0</v>
      </c>
      <c r="AA302" s="50">
        <v>9999.0</v>
      </c>
      <c r="AB302" s="116"/>
      <c r="AC302" s="116"/>
      <c r="AD302" s="50" t="s">
        <v>20018</v>
      </c>
      <c r="AE302" s="50">
        <v>1.0</v>
      </c>
      <c r="AF302" s="50" t="s">
        <v>18902</v>
      </c>
      <c r="AG302" s="117">
        <v>6355.0</v>
      </c>
      <c r="AH302" s="50" t="s">
        <v>22036</v>
      </c>
      <c r="AI302" s="50" t="s">
        <v>22037</v>
      </c>
      <c r="AJ302" s="117">
        <v>303.0</v>
      </c>
    </row>
    <row r="303">
      <c r="A303" s="50" t="s">
        <v>22026</v>
      </c>
      <c r="B303" s="50" t="s">
        <v>6876</v>
      </c>
      <c r="C303" s="50" t="s">
        <v>6877</v>
      </c>
      <c r="D303" s="50" t="s">
        <v>11623</v>
      </c>
      <c r="E303" s="144">
        <v>43815.0</v>
      </c>
      <c r="F303" s="50" t="s">
        <v>22043</v>
      </c>
      <c r="G303" s="50">
        <v>59.0</v>
      </c>
      <c r="H303" s="50">
        <v>1.0</v>
      </c>
      <c r="I303" s="50">
        <v>11.0</v>
      </c>
      <c r="J303" s="116"/>
      <c r="K303" s="116"/>
      <c r="L303" s="50" t="s">
        <v>1786</v>
      </c>
      <c r="M303" s="50" t="s">
        <v>1786</v>
      </c>
      <c r="N303" s="122">
        <v>43467.0</v>
      </c>
      <c r="O303" s="50">
        <v>1.0</v>
      </c>
      <c r="P303" s="50">
        <v>1.0</v>
      </c>
      <c r="Q303" s="116"/>
      <c r="R303" s="50" t="s">
        <v>21873</v>
      </c>
      <c r="S303" s="116"/>
      <c r="T303" s="144">
        <v>43810.0</v>
      </c>
      <c r="U303" s="50">
        <v>9999.0</v>
      </c>
      <c r="V303" s="50">
        <v>9999.0</v>
      </c>
      <c r="W303" s="116"/>
      <c r="X303" s="116"/>
      <c r="Y303" s="144">
        <v>43810.0</v>
      </c>
      <c r="Z303" s="50">
        <v>40.0</v>
      </c>
      <c r="AA303" s="50">
        <v>9999.0</v>
      </c>
      <c r="AB303" s="116"/>
      <c r="AC303" s="116"/>
      <c r="AD303" s="116"/>
      <c r="AE303" s="50">
        <v>1.0</v>
      </c>
      <c r="AF303" s="50" t="s">
        <v>18902</v>
      </c>
      <c r="AG303" s="117">
        <v>6356.0</v>
      </c>
      <c r="AH303" s="50" t="s">
        <v>22057</v>
      </c>
      <c r="AI303" s="50" t="s">
        <v>22058</v>
      </c>
      <c r="AJ303" s="117">
        <v>304.0</v>
      </c>
    </row>
    <row r="304">
      <c r="A304" s="50" t="s">
        <v>22043</v>
      </c>
      <c r="B304" s="50" t="s">
        <v>6876</v>
      </c>
      <c r="C304" s="50" t="s">
        <v>6877</v>
      </c>
      <c r="D304" s="50" t="s">
        <v>11623</v>
      </c>
      <c r="E304" s="144">
        <v>43815.0</v>
      </c>
      <c r="F304" s="50" t="s">
        <v>22063</v>
      </c>
      <c r="G304" s="50">
        <v>59.0</v>
      </c>
      <c r="H304" s="50">
        <v>1.0</v>
      </c>
      <c r="I304" s="50">
        <v>11.0</v>
      </c>
      <c r="J304" s="116"/>
      <c r="K304" s="116"/>
      <c r="L304" s="50" t="s">
        <v>1789</v>
      </c>
      <c r="M304" s="50" t="s">
        <v>1789</v>
      </c>
      <c r="N304" s="122">
        <v>43467.0</v>
      </c>
      <c r="O304" s="50">
        <v>1.0</v>
      </c>
      <c r="P304" s="50">
        <v>1.0</v>
      </c>
      <c r="Q304" s="116"/>
      <c r="R304" s="50" t="s">
        <v>21873</v>
      </c>
      <c r="S304" s="116"/>
      <c r="T304" s="144">
        <v>43810.0</v>
      </c>
      <c r="U304" s="50">
        <v>9999.0</v>
      </c>
      <c r="V304" s="50">
        <v>9999.0</v>
      </c>
      <c r="W304" s="116"/>
      <c r="X304" s="116"/>
      <c r="Y304" s="144">
        <v>43810.0</v>
      </c>
      <c r="Z304" s="50">
        <v>9999.0</v>
      </c>
      <c r="AA304" s="50">
        <v>9999.0</v>
      </c>
      <c r="AB304" s="116"/>
      <c r="AC304" s="116"/>
      <c r="AD304" s="116"/>
      <c r="AE304" s="50">
        <v>1.0</v>
      </c>
      <c r="AF304" s="50" t="s">
        <v>18902</v>
      </c>
      <c r="AG304" s="117">
        <v>6357.0</v>
      </c>
      <c r="AH304" s="50" t="s">
        <v>22077</v>
      </c>
      <c r="AI304" s="50" t="s">
        <v>22078</v>
      </c>
      <c r="AJ304" s="117">
        <v>305.0</v>
      </c>
    </row>
    <row r="305">
      <c r="A305" s="50" t="s">
        <v>22063</v>
      </c>
      <c r="B305" s="50" t="s">
        <v>6876</v>
      </c>
      <c r="C305" s="50" t="s">
        <v>6877</v>
      </c>
      <c r="D305" s="50" t="s">
        <v>11623</v>
      </c>
      <c r="E305" s="144">
        <v>43815.0</v>
      </c>
      <c r="F305" s="50" t="s">
        <v>22082</v>
      </c>
      <c r="G305" s="50">
        <v>59.0</v>
      </c>
      <c r="H305" s="50">
        <v>1.0</v>
      </c>
      <c r="I305" s="50">
        <v>11.0</v>
      </c>
      <c r="J305" s="116"/>
      <c r="K305" s="116"/>
      <c r="L305" s="50" t="s">
        <v>1792</v>
      </c>
      <c r="M305" s="50" t="s">
        <v>1792</v>
      </c>
      <c r="N305" s="50">
        <v>1.0</v>
      </c>
      <c r="O305" s="50">
        <v>1.0</v>
      </c>
      <c r="P305" s="50">
        <v>0.0</v>
      </c>
      <c r="Q305" s="116"/>
      <c r="R305" s="50" t="s">
        <v>21873</v>
      </c>
      <c r="S305" s="116"/>
      <c r="T305" s="144">
        <v>43810.0</v>
      </c>
      <c r="U305" s="50">
        <v>9999.0</v>
      </c>
      <c r="V305" s="50">
        <v>31.26</v>
      </c>
      <c r="W305" s="116"/>
      <c r="X305" s="116"/>
      <c r="Y305" s="116"/>
      <c r="Z305" s="116"/>
      <c r="AA305" s="116"/>
      <c r="AB305" s="116"/>
      <c r="AC305" s="116"/>
      <c r="AD305" s="116"/>
      <c r="AE305" s="50">
        <v>1.0</v>
      </c>
      <c r="AF305" s="50" t="s">
        <v>18902</v>
      </c>
      <c r="AG305" s="117">
        <v>6358.0</v>
      </c>
      <c r="AH305" s="50" t="s">
        <v>22099</v>
      </c>
      <c r="AI305" s="50" t="s">
        <v>22100</v>
      </c>
      <c r="AJ305" s="117">
        <v>306.0</v>
      </c>
    </row>
    <row r="306">
      <c r="A306" s="50" t="s">
        <v>22082</v>
      </c>
      <c r="B306" s="50" t="s">
        <v>6876</v>
      </c>
      <c r="C306" s="50" t="s">
        <v>6877</v>
      </c>
      <c r="D306" s="50" t="s">
        <v>11623</v>
      </c>
      <c r="E306" s="144">
        <v>43815.0</v>
      </c>
      <c r="F306" s="50" t="s">
        <v>22102</v>
      </c>
      <c r="G306" s="50">
        <v>56.0</v>
      </c>
      <c r="H306" s="50">
        <v>1.0</v>
      </c>
      <c r="I306" s="50">
        <v>12.0</v>
      </c>
      <c r="J306" s="116"/>
      <c r="K306" s="116"/>
      <c r="L306" s="50" t="s">
        <v>1797</v>
      </c>
      <c r="M306" s="50" t="s">
        <v>1797</v>
      </c>
      <c r="N306" s="122">
        <v>43467.0</v>
      </c>
      <c r="O306" s="50">
        <v>1.0</v>
      </c>
      <c r="P306" s="50">
        <v>1.0</v>
      </c>
      <c r="Q306" s="116"/>
      <c r="R306" s="50" t="s">
        <v>21873</v>
      </c>
      <c r="S306" s="116"/>
      <c r="T306" s="144">
        <v>43810.0</v>
      </c>
      <c r="U306" s="50">
        <v>23.44</v>
      </c>
      <c r="V306" s="50">
        <v>23.99</v>
      </c>
      <c r="W306" s="116"/>
      <c r="X306" s="116"/>
      <c r="Y306" s="144">
        <v>43810.0</v>
      </c>
      <c r="Z306" s="50">
        <v>36.1</v>
      </c>
      <c r="AA306" s="50">
        <v>9999.0</v>
      </c>
      <c r="AB306" s="116"/>
      <c r="AC306" s="116"/>
      <c r="AD306" s="116"/>
      <c r="AE306" s="50">
        <v>1.0</v>
      </c>
      <c r="AF306" s="50" t="s">
        <v>18902</v>
      </c>
      <c r="AG306" s="117">
        <v>6359.0</v>
      </c>
      <c r="AH306" s="50" t="s">
        <v>22110</v>
      </c>
      <c r="AI306" s="50" t="s">
        <v>22111</v>
      </c>
      <c r="AJ306" s="117">
        <v>307.0</v>
      </c>
    </row>
    <row r="307">
      <c r="A307" s="50" t="s">
        <v>22102</v>
      </c>
      <c r="B307" s="50" t="s">
        <v>6876</v>
      </c>
      <c r="C307" s="50" t="s">
        <v>6877</v>
      </c>
      <c r="D307" s="50" t="s">
        <v>11623</v>
      </c>
      <c r="E307" s="144">
        <v>43815.0</v>
      </c>
      <c r="F307" s="50" t="s">
        <v>22113</v>
      </c>
      <c r="G307" s="50">
        <v>55.0</v>
      </c>
      <c r="H307" s="50">
        <v>1.0</v>
      </c>
      <c r="I307" s="50">
        <v>12.0</v>
      </c>
      <c r="J307" s="116"/>
      <c r="K307" s="116"/>
      <c r="L307" s="50" t="s">
        <v>1800</v>
      </c>
      <c r="M307" s="50" t="s">
        <v>1800</v>
      </c>
      <c r="N307" s="122">
        <v>43467.0</v>
      </c>
      <c r="O307" s="50">
        <v>1.0</v>
      </c>
      <c r="P307" s="50">
        <v>1.0</v>
      </c>
      <c r="Q307" s="116"/>
      <c r="R307" s="50" t="s">
        <v>21873</v>
      </c>
      <c r="S307" s="116"/>
      <c r="T307" s="144">
        <v>43810.0</v>
      </c>
      <c r="U307" s="50">
        <v>9999.0</v>
      </c>
      <c r="V307" s="50">
        <v>9999.0</v>
      </c>
      <c r="W307" s="116"/>
      <c r="X307" s="116"/>
      <c r="Y307" s="144">
        <v>43810.0</v>
      </c>
      <c r="Z307" s="50">
        <v>32.64</v>
      </c>
      <c r="AA307" s="50">
        <v>32.52</v>
      </c>
      <c r="AB307" s="116"/>
      <c r="AC307" s="116"/>
      <c r="AD307" s="116"/>
      <c r="AE307" s="50">
        <v>1.0</v>
      </c>
      <c r="AF307" s="50" t="s">
        <v>18902</v>
      </c>
      <c r="AG307" s="117">
        <v>6360.0</v>
      </c>
      <c r="AH307" s="50" t="s">
        <v>22124</v>
      </c>
      <c r="AI307" s="50" t="s">
        <v>22126</v>
      </c>
      <c r="AJ307" s="117">
        <v>308.0</v>
      </c>
    </row>
    <row r="308">
      <c r="A308" s="50" t="s">
        <v>22113</v>
      </c>
      <c r="B308" s="50" t="s">
        <v>6876</v>
      </c>
      <c r="C308" s="50" t="s">
        <v>6877</v>
      </c>
      <c r="D308" s="50" t="s">
        <v>11623</v>
      </c>
      <c r="E308" s="144">
        <v>43815.0</v>
      </c>
      <c r="F308" s="50" t="s">
        <v>22130</v>
      </c>
      <c r="G308" s="50">
        <v>59.0</v>
      </c>
      <c r="H308" s="50">
        <v>1.0</v>
      </c>
      <c r="I308" s="50">
        <v>99.0</v>
      </c>
      <c r="J308" s="116"/>
      <c r="K308" s="116"/>
      <c r="L308" s="50" t="s">
        <v>1776</v>
      </c>
      <c r="M308" s="50" t="s">
        <v>1776</v>
      </c>
      <c r="N308" s="122">
        <v>43467.0</v>
      </c>
      <c r="O308" s="50">
        <v>1.0</v>
      </c>
      <c r="P308" s="50">
        <v>1.0</v>
      </c>
      <c r="Q308" s="116"/>
      <c r="R308" s="50" t="s">
        <v>21873</v>
      </c>
      <c r="S308" s="116"/>
      <c r="T308" s="144">
        <v>43810.0</v>
      </c>
      <c r="U308" s="50">
        <v>9999.0</v>
      </c>
      <c r="V308" s="50">
        <v>9999.0</v>
      </c>
      <c r="W308" s="116"/>
      <c r="X308" s="116"/>
      <c r="Y308" s="144">
        <v>43810.0</v>
      </c>
      <c r="Z308" s="50">
        <v>9999.0</v>
      </c>
      <c r="AA308" s="50">
        <v>9999.0</v>
      </c>
      <c r="AB308" s="116"/>
      <c r="AC308" s="116"/>
      <c r="AD308" s="50" t="s">
        <v>22135</v>
      </c>
      <c r="AE308" s="50">
        <v>1.0</v>
      </c>
      <c r="AF308" s="50" t="s">
        <v>18902</v>
      </c>
      <c r="AG308" s="117">
        <v>6361.0</v>
      </c>
      <c r="AH308" s="50" t="s">
        <v>22136</v>
      </c>
      <c r="AI308" s="50" t="s">
        <v>22137</v>
      </c>
      <c r="AJ308" s="117">
        <v>309.0</v>
      </c>
    </row>
    <row r="309">
      <c r="A309" s="50" t="s">
        <v>22130</v>
      </c>
      <c r="B309" s="50" t="s">
        <v>6876</v>
      </c>
      <c r="C309" s="50" t="s">
        <v>6877</v>
      </c>
      <c r="D309" s="50" t="s">
        <v>11623</v>
      </c>
      <c r="E309" s="144">
        <v>43815.0</v>
      </c>
      <c r="F309" s="50" t="s">
        <v>22140</v>
      </c>
      <c r="G309" s="50">
        <v>59.0</v>
      </c>
      <c r="H309" s="50">
        <v>1.0</v>
      </c>
      <c r="I309" s="50">
        <v>99.0</v>
      </c>
      <c r="J309" s="116"/>
      <c r="K309" s="116"/>
      <c r="L309" s="50" t="s">
        <v>1808</v>
      </c>
      <c r="M309" s="50" t="s">
        <v>1808</v>
      </c>
      <c r="N309" s="122">
        <v>43467.0</v>
      </c>
      <c r="O309" s="50">
        <v>1.0</v>
      </c>
      <c r="P309" s="50">
        <v>1.0</v>
      </c>
      <c r="Q309" s="116"/>
      <c r="R309" s="50" t="s">
        <v>21873</v>
      </c>
      <c r="S309" s="116"/>
      <c r="T309" s="144">
        <v>43810.0</v>
      </c>
      <c r="U309" s="50">
        <v>9999.0</v>
      </c>
      <c r="V309" s="50">
        <v>9999.0</v>
      </c>
      <c r="W309" s="116"/>
      <c r="X309" s="116"/>
      <c r="Y309" s="144">
        <v>43810.0</v>
      </c>
      <c r="Z309" s="50">
        <v>9999.0</v>
      </c>
      <c r="AA309" s="50">
        <v>9999.0</v>
      </c>
      <c r="AB309" s="116"/>
      <c r="AC309" s="116"/>
      <c r="AD309" s="50" t="s">
        <v>20076</v>
      </c>
      <c r="AE309" s="50">
        <v>1.0</v>
      </c>
      <c r="AF309" s="50" t="s">
        <v>18902</v>
      </c>
      <c r="AG309" s="117">
        <v>6362.0</v>
      </c>
      <c r="AH309" s="50" t="s">
        <v>22152</v>
      </c>
      <c r="AI309" s="50" t="s">
        <v>22153</v>
      </c>
      <c r="AJ309" s="117">
        <v>310.0</v>
      </c>
    </row>
    <row r="310">
      <c r="A310" s="50" t="s">
        <v>22140</v>
      </c>
      <c r="B310" s="50" t="s">
        <v>6876</v>
      </c>
      <c r="C310" s="50" t="s">
        <v>6877</v>
      </c>
      <c r="D310" s="50" t="s">
        <v>11623</v>
      </c>
      <c r="E310" s="144">
        <v>43815.0</v>
      </c>
      <c r="F310" s="50" t="s">
        <v>22158</v>
      </c>
      <c r="G310" s="50">
        <v>59.0</v>
      </c>
      <c r="H310" s="50">
        <v>1.0</v>
      </c>
      <c r="I310" s="50">
        <v>98.0</v>
      </c>
      <c r="J310" s="116"/>
      <c r="K310" s="116"/>
      <c r="L310" s="50" t="s">
        <v>1815</v>
      </c>
      <c r="M310" s="50" t="s">
        <v>1815</v>
      </c>
      <c r="N310" s="122">
        <v>43467.0</v>
      </c>
      <c r="O310" s="50">
        <v>1.0</v>
      </c>
      <c r="P310" s="50">
        <v>1.0</v>
      </c>
      <c r="Q310" s="116"/>
      <c r="R310" s="50" t="s">
        <v>21873</v>
      </c>
      <c r="S310" s="116"/>
      <c r="T310" s="144">
        <v>43810.0</v>
      </c>
      <c r="U310" s="50">
        <v>9999.0</v>
      </c>
      <c r="V310" s="50">
        <v>9999.0</v>
      </c>
      <c r="W310" s="116"/>
      <c r="X310" s="116"/>
      <c r="Y310" s="144">
        <v>43810.0</v>
      </c>
      <c r="Z310" s="50">
        <v>9999.0</v>
      </c>
      <c r="AA310" s="50">
        <v>9999.0</v>
      </c>
      <c r="AB310" s="116"/>
      <c r="AC310" s="116"/>
      <c r="AD310" s="116"/>
      <c r="AE310" s="50">
        <v>1.0</v>
      </c>
      <c r="AF310" s="50" t="s">
        <v>18902</v>
      </c>
      <c r="AG310" s="117">
        <v>6363.0</v>
      </c>
      <c r="AH310" s="50" t="s">
        <v>22168</v>
      </c>
      <c r="AI310" s="50" t="s">
        <v>22169</v>
      </c>
      <c r="AJ310" s="117">
        <v>311.0</v>
      </c>
    </row>
    <row r="311">
      <c r="A311" s="50" t="s">
        <v>22158</v>
      </c>
      <c r="B311" s="50" t="s">
        <v>6876</v>
      </c>
      <c r="C311" s="50" t="s">
        <v>6877</v>
      </c>
      <c r="D311" s="50" t="s">
        <v>11623</v>
      </c>
      <c r="E311" s="144">
        <v>43815.0</v>
      </c>
      <c r="F311" s="50" t="s">
        <v>22172</v>
      </c>
      <c r="G311" s="50">
        <v>59.0</v>
      </c>
      <c r="H311" s="50">
        <v>1.0</v>
      </c>
      <c r="I311" s="50">
        <v>98.0</v>
      </c>
      <c r="J311" s="116"/>
      <c r="K311" s="116"/>
      <c r="L311" s="50" t="s">
        <v>1768</v>
      </c>
      <c r="M311" s="50" t="s">
        <v>1768</v>
      </c>
      <c r="N311" s="122">
        <v>43467.0</v>
      </c>
      <c r="O311" s="50">
        <v>1.0</v>
      </c>
      <c r="P311" s="50">
        <v>1.0</v>
      </c>
      <c r="Q311" s="116"/>
      <c r="R311" s="50" t="s">
        <v>21873</v>
      </c>
      <c r="S311" s="116"/>
      <c r="T311" s="144">
        <v>43810.0</v>
      </c>
      <c r="U311" s="50">
        <v>9999.0</v>
      </c>
      <c r="V311" s="50">
        <v>9999.0</v>
      </c>
      <c r="W311" s="116"/>
      <c r="X311" s="116"/>
      <c r="Y311" s="144">
        <v>43810.0</v>
      </c>
      <c r="Z311" s="50">
        <v>9999.0</v>
      </c>
      <c r="AA311" s="50">
        <v>9999.0</v>
      </c>
      <c r="AB311" s="116"/>
      <c r="AC311" s="116"/>
      <c r="AD311" s="116"/>
      <c r="AE311" s="50">
        <v>1.0</v>
      </c>
      <c r="AF311" s="50" t="s">
        <v>18902</v>
      </c>
      <c r="AG311" s="117">
        <v>6364.0</v>
      </c>
      <c r="AH311" s="50" t="s">
        <v>22181</v>
      </c>
      <c r="AI311" s="50" t="s">
        <v>22182</v>
      </c>
      <c r="AJ311" s="117">
        <v>312.0</v>
      </c>
    </row>
    <row r="312">
      <c r="A312" s="50" t="s">
        <v>22185</v>
      </c>
      <c r="B312" s="50" t="s">
        <v>6876</v>
      </c>
      <c r="C312" s="50" t="s">
        <v>6877</v>
      </c>
      <c r="D312" s="50" t="s">
        <v>11623</v>
      </c>
      <c r="E312" s="144">
        <v>43815.0</v>
      </c>
      <c r="F312" s="50" t="s">
        <v>22190</v>
      </c>
      <c r="G312" s="50">
        <v>58.0</v>
      </c>
      <c r="H312" s="50">
        <v>1.0</v>
      </c>
      <c r="I312" s="50">
        <v>11.0</v>
      </c>
      <c r="J312" s="116"/>
      <c r="K312" s="116"/>
      <c r="L312" s="50" t="s">
        <v>809</v>
      </c>
      <c r="M312" s="50" t="s">
        <v>809</v>
      </c>
      <c r="N312" s="122">
        <v>43467.0</v>
      </c>
      <c r="O312" s="50">
        <v>1.0</v>
      </c>
      <c r="P312" s="50">
        <v>1.0</v>
      </c>
      <c r="Q312" s="116"/>
      <c r="R312" s="50" t="s">
        <v>22193</v>
      </c>
      <c r="S312" s="116"/>
      <c r="T312" s="144">
        <v>43717.0</v>
      </c>
      <c r="U312" s="50">
        <v>24.42</v>
      </c>
      <c r="V312" s="50">
        <v>25.11</v>
      </c>
      <c r="W312" s="116"/>
      <c r="X312" s="116"/>
      <c r="Y312" s="144">
        <v>43732.0</v>
      </c>
      <c r="Z312" s="50">
        <v>40.0</v>
      </c>
      <c r="AA312" s="50">
        <v>9999.0</v>
      </c>
      <c r="AB312" s="116"/>
      <c r="AC312" s="116"/>
      <c r="AD312" s="116"/>
      <c r="AE312" s="50">
        <v>1.0</v>
      </c>
      <c r="AF312" s="50" t="s">
        <v>18902</v>
      </c>
      <c r="AG312" s="117">
        <v>6365.0</v>
      </c>
      <c r="AH312" s="50" t="s">
        <v>22197</v>
      </c>
      <c r="AI312" s="50" t="s">
        <v>22198</v>
      </c>
      <c r="AJ312" s="117">
        <v>313.0</v>
      </c>
    </row>
    <row r="313">
      <c r="A313" s="50" t="s">
        <v>22190</v>
      </c>
      <c r="B313" s="50" t="s">
        <v>6876</v>
      </c>
      <c r="C313" s="50" t="s">
        <v>6877</v>
      </c>
      <c r="D313" s="50" t="s">
        <v>11623</v>
      </c>
      <c r="E313" s="144">
        <v>43815.0</v>
      </c>
      <c r="F313" s="50" t="s">
        <v>22200</v>
      </c>
      <c r="G313" s="50">
        <v>58.0</v>
      </c>
      <c r="H313" s="50">
        <v>1.0</v>
      </c>
      <c r="I313" s="50">
        <v>99.0</v>
      </c>
      <c r="J313" s="116"/>
      <c r="K313" s="116"/>
      <c r="L313" s="50" t="s">
        <v>1214</v>
      </c>
      <c r="M313" s="50" t="s">
        <v>1214</v>
      </c>
      <c r="N313" s="122">
        <v>43467.0</v>
      </c>
      <c r="O313" s="50">
        <v>1.0</v>
      </c>
      <c r="P313" s="50">
        <v>1.0</v>
      </c>
      <c r="Q313" s="116"/>
      <c r="R313" s="50" t="s">
        <v>22193</v>
      </c>
      <c r="S313" s="116"/>
      <c r="T313" s="144">
        <v>43717.0</v>
      </c>
      <c r="U313" s="50">
        <v>9999.0</v>
      </c>
      <c r="V313" s="50">
        <v>9999.0</v>
      </c>
      <c r="W313" s="116"/>
      <c r="X313" s="116"/>
      <c r="Y313" s="144">
        <v>43732.0</v>
      </c>
      <c r="Z313" s="50">
        <v>9999.0</v>
      </c>
      <c r="AA313" s="50">
        <v>40.0</v>
      </c>
      <c r="AB313" s="116"/>
      <c r="AC313" s="116"/>
      <c r="AD313" s="50" t="s">
        <v>22211</v>
      </c>
      <c r="AE313" s="50">
        <v>1.0</v>
      </c>
      <c r="AF313" s="50" t="s">
        <v>18902</v>
      </c>
      <c r="AG313" s="117">
        <v>6366.0</v>
      </c>
      <c r="AH313" s="50" t="s">
        <v>22214</v>
      </c>
      <c r="AI313" s="50" t="s">
        <v>22215</v>
      </c>
      <c r="AJ313" s="117">
        <v>314.0</v>
      </c>
    </row>
    <row r="314">
      <c r="A314" s="50" t="s">
        <v>22200</v>
      </c>
      <c r="B314" s="50" t="s">
        <v>6876</v>
      </c>
      <c r="C314" s="50" t="s">
        <v>6877</v>
      </c>
      <c r="D314" s="50" t="s">
        <v>11623</v>
      </c>
      <c r="E314" s="144">
        <v>43815.0</v>
      </c>
      <c r="F314" s="50" t="s">
        <v>22218</v>
      </c>
      <c r="G314" s="50">
        <v>57.0</v>
      </c>
      <c r="H314" s="50">
        <v>1.0</v>
      </c>
      <c r="I314" s="50">
        <v>16.0</v>
      </c>
      <c r="J314" s="116"/>
      <c r="K314" s="116"/>
      <c r="L314" s="50" t="s">
        <v>1230</v>
      </c>
      <c r="M314" s="50" t="s">
        <v>1230</v>
      </c>
      <c r="N314" s="122">
        <v>43467.0</v>
      </c>
      <c r="O314" s="50">
        <v>1.0</v>
      </c>
      <c r="P314" s="50">
        <v>1.0</v>
      </c>
      <c r="Q314" s="116"/>
      <c r="R314" s="50" t="s">
        <v>22193</v>
      </c>
      <c r="S314" s="116"/>
      <c r="T314" s="144">
        <v>43717.0</v>
      </c>
      <c r="U314" s="50">
        <v>36.83</v>
      </c>
      <c r="V314" s="50">
        <v>36.95</v>
      </c>
      <c r="W314" s="116"/>
      <c r="X314" s="116"/>
      <c r="Y314" s="144">
        <v>43732.0</v>
      </c>
      <c r="Z314" s="50">
        <v>40.0</v>
      </c>
      <c r="AA314" s="50">
        <v>38.88</v>
      </c>
      <c r="AB314" s="116"/>
      <c r="AC314" s="116"/>
      <c r="AD314" s="116"/>
      <c r="AE314" s="50">
        <v>1.0</v>
      </c>
      <c r="AF314" s="50" t="s">
        <v>18902</v>
      </c>
      <c r="AG314" s="117">
        <v>6367.0</v>
      </c>
      <c r="AH314" s="50" t="s">
        <v>22225</v>
      </c>
      <c r="AI314" s="50" t="s">
        <v>22227</v>
      </c>
      <c r="AJ314" s="117">
        <v>315.0</v>
      </c>
    </row>
    <row r="315">
      <c r="A315" s="50" t="s">
        <v>22218</v>
      </c>
      <c r="B315" s="50" t="s">
        <v>6876</v>
      </c>
      <c r="C315" s="50" t="s">
        <v>6877</v>
      </c>
      <c r="D315" s="50" t="s">
        <v>11623</v>
      </c>
      <c r="E315" s="144">
        <v>43815.0</v>
      </c>
      <c r="F315" s="50" t="s">
        <v>22234</v>
      </c>
      <c r="G315" s="50">
        <v>58.0</v>
      </c>
      <c r="H315" s="50">
        <v>1.0</v>
      </c>
      <c r="I315" s="50">
        <v>10.0</v>
      </c>
      <c r="J315" s="116"/>
      <c r="K315" s="116"/>
      <c r="L315" s="50" t="s">
        <v>1215</v>
      </c>
      <c r="M315" s="50" t="s">
        <v>1215</v>
      </c>
      <c r="N315" s="122">
        <v>43467.0</v>
      </c>
      <c r="O315" s="50">
        <v>1.0</v>
      </c>
      <c r="P315" s="50">
        <v>1.0</v>
      </c>
      <c r="Q315" s="116"/>
      <c r="R315" s="50" t="s">
        <v>22193</v>
      </c>
      <c r="S315" s="116"/>
      <c r="T315" s="144">
        <v>43717.0</v>
      </c>
      <c r="U315" s="50">
        <v>32.03</v>
      </c>
      <c r="V315" s="50">
        <v>32.34</v>
      </c>
      <c r="W315" s="116"/>
      <c r="X315" s="116"/>
      <c r="Y315" s="144">
        <v>43732.0</v>
      </c>
      <c r="Z315" s="50">
        <v>36.25</v>
      </c>
      <c r="AA315" s="50">
        <v>36.0</v>
      </c>
      <c r="AB315" s="116"/>
      <c r="AC315" s="116"/>
      <c r="AD315" s="116"/>
      <c r="AE315" s="50">
        <v>1.0</v>
      </c>
      <c r="AF315" s="50" t="s">
        <v>18902</v>
      </c>
      <c r="AG315" s="117">
        <v>6368.0</v>
      </c>
      <c r="AH315" s="50" t="s">
        <v>22241</v>
      </c>
      <c r="AI315" s="50" t="s">
        <v>22242</v>
      </c>
      <c r="AJ315" s="117">
        <v>316.0</v>
      </c>
    </row>
    <row r="316">
      <c r="A316" s="50" t="s">
        <v>22234</v>
      </c>
      <c r="B316" s="50" t="s">
        <v>6876</v>
      </c>
      <c r="C316" s="50" t="s">
        <v>6877</v>
      </c>
      <c r="D316" s="50" t="s">
        <v>11623</v>
      </c>
      <c r="E316" s="144">
        <v>43815.0</v>
      </c>
      <c r="F316" s="50" t="s">
        <v>22245</v>
      </c>
      <c r="G316" s="50">
        <v>57.0</v>
      </c>
      <c r="H316" s="50">
        <v>1.0</v>
      </c>
      <c r="I316" s="50">
        <v>12.0</v>
      </c>
      <c r="J316" s="116"/>
      <c r="K316" s="116"/>
      <c r="L316" s="50" t="s">
        <v>1207</v>
      </c>
      <c r="M316" s="50" t="s">
        <v>1207</v>
      </c>
      <c r="N316" s="122">
        <v>43467.0</v>
      </c>
      <c r="O316" s="50">
        <v>1.0</v>
      </c>
      <c r="P316" s="50">
        <v>1.0</v>
      </c>
      <c r="Q316" s="116"/>
      <c r="R316" s="50" t="s">
        <v>22193</v>
      </c>
      <c r="S316" s="116"/>
      <c r="T316" s="144">
        <v>43717.0</v>
      </c>
      <c r="U316" s="50">
        <v>20.58</v>
      </c>
      <c r="V316" s="50">
        <v>20.67</v>
      </c>
      <c r="W316" s="116"/>
      <c r="X316" s="116"/>
      <c r="Y316" s="144">
        <v>43732.0</v>
      </c>
      <c r="Z316" s="50">
        <v>36.79</v>
      </c>
      <c r="AA316" s="50">
        <v>36.8</v>
      </c>
      <c r="AB316" s="116"/>
      <c r="AC316" s="116"/>
      <c r="AD316" s="116"/>
      <c r="AE316" s="50">
        <v>1.0</v>
      </c>
      <c r="AF316" s="50" t="s">
        <v>18902</v>
      </c>
      <c r="AG316" s="117">
        <v>6369.0</v>
      </c>
      <c r="AH316" s="50" t="s">
        <v>22259</v>
      </c>
      <c r="AI316" s="50" t="s">
        <v>22260</v>
      </c>
      <c r="AJ316" s="117">
        <v>317.0</v>
      </c>
    </row>
    <row r="317">
      <c r="A317" s="50" t="s">
        <v>22245</v>
      </c>
      <c r="B317" s="50" t="s">
        <v>6876</v>
      </c>
      <c r="C317" s="50" t="s">
        <v>6877</v>
      </c>
      <c r="D317" s="50" t="s">
        <v>11623</v>
      </c>
      <c r="E317" s="144">
        <v>43815.0</v>
      </c>
      <c r="F317" s="50" t="s">
        <v>22263</v>
      </c>
      <c r="G317" s="50">
        <v>57.0</v>
      </c>
      <c r="H317" s="50">
        <v>1.0</v>
      </c>
      <c r="I317" s="50">
        <v>99.0</v>
      </c>
      <c r="J317" s="116"/>
      <c r="K317" s="116"/>
      <c r="L317" s="50" t="s">
        <v>1209</v>
      </c>
      <c r="M317" s="50" t="s">
        <v>1209</v>
      </c>
      <c r="N317" s="122">
        <v>43467.0</v>
      </c>
      <c r="O317" s="50">
        <v>1.0</v>
      </c>
      <c r="P317" s="50">
        <v>1.0</v>
      </c>
      <c r="Q317" s="116"/>
      <c r="R317" s="50" t="s">
        <v>22193</v>
      </c>
      <c r="S317" s="116"/>
      <c r="T317" s="144">
        <v>43717.0</v>
      </c>
      <c r="U317" s="50">
        <v>9999.0</v>
      </c>
      <c r="V317" s="50">
        <v>9999.0</v>
      </c>
      <c r="W317" s="116"/>
      <c r="X317" s="116"/>
      <c r="Y317" s="144">
        <v>43732.0</v>
      </c>
      <c r="Z317" s="50">
        <v>40.0</v>
      </c>
      <c r="AA317" s="50">
        <v>40.0</v>
      </c>
      <c r="AB317" s="116"/>
      <c r="AC317" s="116"/>
      <c r="AD317" s="50" t="s">
        <v>22270</v>
      </c>
      <c r="AE317" s="50">
        <v>1.0</v>
      </c>
      <c r="AF317" s="50" t="s">
        <v>18902</v>
      </c>
      <c r="AG317" s="117">
        <v>6370.0</v>
      </c>
      <c r="AH317" s="50" t="s">
        <v>22274</v>
      </c>
      <c r="AI317" s="50" t="s">
        <v>22276</v>
      </c>
      <c r="AJ317" s="117">
        <v>318.0</v>
      </c>
    </row>
    <row r="318">
      <c r="A318" s="50" t="s">
        <v>22263</v>
      </c>
      <c r="B318" s="50" t="s">
        <v>6876</v>
      </c>
      <c r="C318" s="50" t="s">
        <v>6877</v>
      </c>
      <c r="D318" s="50" t="s">
        <v>11623</v>
      </c>
      <c r="E318" s="144">
        <v>43815.0</v>
      </c>
      <c r="F318" s="50" t="s">
        <v>22284</v>
      </c>
      <c r="G318" s="50">
        <v>58.0</v>
      </c>
      <c r="H318" s="50">
        <v>1.0</v>
      </c>
      <c r="I318" s="50">
        <v>8.0</v>
      </c>
      <c r="J318" s="116"/>
      <c r="K318" s="116"/>
      <c r="L318" s="50" t="s">
        <v>1233</v>
      </c>
      <c r="M318" s="50" t="s">
        <v>1233</v>
      </c>
      <c r="N318" s="122">
        <v>43467.0</v>
      </c>
      <c r="O318" s="50">
        <v>1.0</v>
      </c>
      <c r="P318" s="50">
        <v>1.0</v>
      </c>
      <c r="Q318" s="116"/>
      <c r="R318" s="50" t="s">
        <v>22287</v>
      </c>
      <c r="S318" s="116"/>
      <c r="T318" s="144">
        <v>43754.0</v>
      </c>
      <c r="U318" s="50">
        <v>37.26</v>
      </c>
      <c r="V318" s="50">
        <v>9999.0</v>
      </c>
      <c r="W318" s="116"/>
      <c r="X318" s="116"/>
      <c r="Y318" s="144">
        <v>43771.0</v>
      </c>
      <c r="Z318" s="50">
        <v>9999.0</v>
      </c>
      <c r="AA318" s="50">
        <v>9999.0</v>
      </c>
      <c r="AB318" s="116"/>
      <c r="AC318" s="116"/>
      <c r="AD318" s="116"/>
      <c r="AE318" s="50">
        <v>1.0</v>
      </c>
      <c r="AF318" s="50" t="s">
        <v>18902</v>
      </c>
      <c r="AG318" s="117">
        <v>6371.0</v>
      </c>
      <c r="AH318" s="50" t="s">
        <v>22290</v>
      </c>
      <c r="AI318" s="50" t="s">
        <v>22292</v>
      </c>
      <c r="AJ318" s="117">
        <v>319.0</v>
      </c>
    </row>
    <row r="319">
      <c r="A319" s="50" t="s">
        <v>22284</v>
      </c>
      <c r="B319" s="50" t="s">
        <v>6876</v>
      </c>
      <c r="C319" s="50" t="s">
        <v>6877</v>
      </c>
      <c r="D319" s="50" t="s">
        <v>11623</v>
      </c>
      <c r="E319" s="144">
        <v>43815.0</v>
      </c>
      <c r="F319" s="50" t="s">
        <v>22296</v>
      </c>
      <c r="G319" s="50">
        <v>58.0</v>
      </c>
      <c r="H319" s="50">
        <v>1.0</v>
      </c>
      <c r="I319" s="50">
        <v>99.0</v>
      </c>
      <c r="J319" s="116"/>
      <c r="K319" s="116"/>
      <c r="L319" s="50" t="s">
        <v>1236</v>
      </c>
      <c r="M319" s="50" t="s">
        <v>1236</v>
      </c>
      <c r="N319" s="122">
        <v>43467.0</v>
      </c>
      <c r="O319" s="50">
        <v>1.0</v>
      </c>
      <c r="P319" s="50">
        <v>1.0</v>
      </c>
      <c r="Q319" s="116"/>
      <c r="R319" s="50" t="s">
        <v>22287</v>
      </c>
      <c r="S319" s="116"/>
      <c r="T319" s="144">
        <v>43724.0</v>
      </c>
      <c r="U319" s="50">
        <v>35.5</v>
      </c>
      <c r="V319" s="50">
        <v>36.21</v>
      </c>
      <c r="W319" s="116"/>
      <c r="X319" s="116"/>
      <c r="Y319" s="144">
        <v>43724.0</v>
      </c>
      <c r="Z319" s="50">
        <v>9999.0</v>
      </c>
      <c r="AA319" s="50">
        <v>9999.0</v>
      </c>
      <c r="AB319" s="116"/>
      <c r="AC319" s="116"/>
      <c r="AD319" s="50" t="s">
        <v>22306</v>
      </c>
      <c r="AE319" s="50">
        <v>1.0</v>
      </c>
      <c r="AF319" s="50" t="s">
        <v>18902</v>
      </c>
      <c r="AG319" s="117">
        <v>6372.0</v>
      </c>
      <c r="AH319" s="50" t="s">
        <v>22308</v>
      </c>
      <c r="AI319" s="50" t="s">
        <v>22309</v>
      </c>
      <c r="AJ319" s="117">
        <v>320.0</v>
      </c>
    </row>
    <row r="320">
      <c r="A320" s="50" t="s">
        <v>22296</v>
      </c>
      <c r="B320" s="50" t="s">
        <v>6876</v>
      </c>
      <c r="C320" s="50" t="s">
        <v>6877</v>
      </c>
      <c r="D320" s="50" t="s">
        <v>11623</v>
      </c>
      <c r="E320" s="144">
        <v>43815.0</v>
      </c>
      <c r="F320" s="50" t="s">
        <v>22310</v>
      </c>
      <c r="G320" s="50">
        <v>58.0</v>
      </c>
      <c r="H320" s="50">
        <v>1.0</v>
      </c>
      <c r="I320" s="50">
        <v>5.0</v>
      </c>
      <c r="J320" s="116"/>
      <c r="K320" s="116"/>
      <c r="L320" s="50" t="s">
        <v>1237</v>
      </c>
      <c r="M320" s="50" t="s">
        <v>1237</v>
      </c>
      <c r="N320" s="122">
        <v>43467.0</v>
      </c>
      <c r="O320" s="50">
        <v>1.0</v>
      </c>
      <c r="P320" s="50">
        <v>1.0</v>
      </c>
      <c r="Q320" s="116"/>
      <c r="R320" s="50" t="s">
        <v>22287</v>
      </c>
      <c r="S320" s="116"/>
      <c r="T320" s="144">
        <v>43724.0</v>
      </c>
      <c r="U320" s="50">
        <v>31.24</v>
      </c>
      <c r="V320" s="50">
        <v>9999.0</v>
      </c>
      <c r="W320" s="116"/>
      <c r="X320" s="116"/>
      <c r="Y320" s="144">
        <v>43771.0</v>
      </c>
      <c r="Z320" s="50">
        <v>35.81</v>
      </c>
      <c r="AA320" s="50">
        <v>35.88</v>
      </c>
      <c r="AB320" s="116"/>
      <c r="AC320" s="116"/>
      <c r="AD320" s="116"/>
      <c r="AE320" s="50">
        <v>1.0</v>
      </c>
      <c r="AF320" s="50" t="s">
        <v>18902</v>
      </c>
      <c r="AG320" s="117">
        <v>6373.0</v>
      </c>
      <c r="AH320" s="50" t="s">
        <v>22323</v>
      </c>
      <c r="AI320" s="50" t="s">
        <v>22324</v>
      </c>
      <c r="AJ320" s="117">
        <v>321.0</v>
      </c>
    </row>
    <row r="321">
      <c r="A321" s="50" t="s">
        <v>22310</v>
      </c>
      <c r="B321" s="50" t="s">
        <v>6876</v>
      </c>
      <c r="C321" s="50" t="s">
        <v>6877</v>
      </c>
      <c r="D321" s="50" t="s">
        <v>11623</v>
      </c>
      <c r="E321" s="144">
        <v>43815.0</v>
      </c>
      <c r="F321" s="50" t="s">
        <v>22326</v>
      </c>
      <c r="G321" s="50">
        <v>58.0</v>
      </c>
      <c r="H321" s="50">
        <v>1.0</v>
      </c>
      <c r="I321" s="50">
        <v>99.0</v>
      </c>
      <c r="J321" s="116"/>
      <c r="K321" s="116"/>
      <c r="L321" s="50" t="s">
        <v>1240</v>
      </c>
      <c r="M321" s="50" t="s">
        <v>1240</v>
      </c>
      <c r="N321" s="122">
        <v>43467.0</v>
      </c>
      <c r="O321" s="50">
        <v>1.0</v>
      </c>
      <c r="P321" s="50">
        <v>1.0</v>
      </c>
      <c r="Q321" s="116"/>
      <c r="R321" s="50" t="s">
        <v>22287</v>
      </c>
      <c r="S321" s="116"/>
      <c r="T321" s="144">
        <v>43724.0</v>
      </c>
      <c r="U321" s="50">
        <v>35.17</v>
      </c>
      <c r="V321" s="50">
        <v>9999.0</v>
      </c>
      <c r="W321" s="116"/>
      <c r="X321" s="116"/>
      <c r="Y321" s="144">
        <v>43771.0</v>
      </c>
      <c r="Z321" s="50">
        <v>9999.0</v>
      </c>
      <c r="AA321" s="50">
        <v>9999.0</v>
      </c>
      <c r="AB321" s="116"/>
      <c r="AC321" s="116"/>
      <c r="AD321" s="50" t="s">
        <v>22333</v>
      </c>
      <c r="AE321" s="50">
        <v>1.0</v>
      </c>
      <c r="AF321" s="50" t="s">
        <v>18902</v>
      </c>
      <c r="AG321" s="117">
        <v>6374.0</v>
      </c>
      <c r="AH321" s="50" t="s">
        <v>22334</v>
      </c>
      <c r="AI321" s="50" t="s">
        <v>22336</v>
      </c>
      <c r="AJ321" s="117">
        <v>322.0</v>
      </c>
    </row>
    <row r="322">
      <c r="A322" s="50" t="s">
        <v>22326</v>
      </c>
      <c r="B322" s="50" t="s">
        <v>6876</v>
      </c>
      <c r="C322" s="50" t="s">
        <v>6877</v>
      </c>
      <c r="D322" s="50" t="s">
        <v>11623</v>
      </c>
      <c r="E322" s="144">
        <v>43815.0</v>
      </c>
      <c r="F322" s="50" t="s">
        <v>22343</v>
      </c>
      <c r="G322" s="50">
        <v>58.0</v>
      </c>
      <c r="H322" s="50">
        <v>1.0</v>
      </c>
      <c r="I322" s="50">
        <v>99.0</v>
      </c>
      <c r="J322" s="116"/>
      <c r="K322" s="116"/>
      <c r="L322" s="50" t="s">
        <v>1248</v>
      </c>
      <c r="M322" s="50" t="s">
        <v>1248</v>
      </c>
      <c r="N322" s="122">
        <v>43467.0</v>
      </c>
      <c r="O322" s="50">
        <v>1.0</v>
      </c>
      <c r="P322" s="50">
        <v>1.0</v>
      </c>
      <c r="Q322" s="116"/>
      <c r="R322" s="50" t="s">
        <v>22287</v>
      </c>
      <c r="S322" s="116"/>
      <c r="T322" s="144">
        <v>43724.0</v>
      </c>
      <c r="U322" s="50">
        <v>34.76</v>
      </c>
      <c r="V322" s="50">
        <v>9999.0</v>
      </c>
      <c r="W322" s="116"/>
      <c r="X322" s="116"/>
      <c r="Y322" s="144">
        <v>43724.0</v>
      </c>
      <c r="Z322" s="50">
        <v>9999.0</v>
      </c>
      <c r="AA322" s="50">
        <v>9999.0</v>
      </c>
      <c r="AB322" s="116"/>
      <c r="AC322" s="116"/>
      <c r="AD322" s="50" t="s">
        <v>22349</v>
      </c>
      <c r="AE322" s="50">
        <v>1.0</v>
      </c>
      <c r="AF322" s="50" t="s">
        <v>18902</v>
      </c>
      <c r="AG322" s="117">
        <v>6375.0</v>
      </c>
      <c r="AH322" s="50" t="s">
        <v>22352</v>
      </c>
      <c r="AI322" s="50" t="s">
        <v>22353</v>
      </c>
      <c r="AJ322" s="117">
        <v>323.0</v>
      </c>
    </row>
    <row r="323">
      <c r="A323" s="50" t="s">
        <v>22343</v>
      </c>
      <c r="B323" s="50" t="s">
        <v>6876</v>
      </c>
      <c r="C323" s="50" t="s">
        <v>6877</v>
      </c>
      <c r="D323" s="50" t="s">
        <v>11623</v>
      </c>
      <c r="E323" s="144">
        <v>43815.0</v>
      </c>
      <c r="F323" s="50" t="s">
        <v>22355</v>
      </c>
      <c r="G323" s="50">
        <v>58.0</v>
      </c>
      <c r="H323" s="50">
        <v>1.0</v>
      </c>
      <c r="I323" s="50">
        <v>14.0</v>
      </c>
      <c r="J323" s="50">
        <v>141.0</v>
      </c>
      <c r="K323" s="116"/>
      <c r="L323" s="50" t="s">
        <v>638</v>
      </c>
      <c r="M323" s="50" t="s">
        <v>638</v>
      </c>
      <c r="N323" s="122">
        <v>43467.0</v>
      </c>
      <c r="O323" s="50">
        <v>1.0</v>
      </c>
      <c r="P323" s="50">
        <v>1.0</v>
      </c>
      <c r="Q323" s="116"/>
      <c r="R323" s="50" t="s">
        <v>22287</v>
      </c>
      <c r="S323" s="116"/>
      <c r="T323" s="144">
        <v>43724.0</v>
      </c>
      <c r="U323" s="50">
        <v>35.17</v>
      </c>
      <c r="V323" s="50">
        <v>9999.0</v>
      </c>
      <c r="W323" s="116"/>
      <c r="X323" s="116"/>
      <c r="Y323" s="144">
        <v>43771.0</v>
      </c>
      <c r="Z323" s="50">
        <v>36.52</v>
      </c>
      <c r="AA323" s="50">
        <v>37.38</v>
      </c>
      <c r="AB323" s="116"/>
      <c r="AC323" s="116"/>
      <c r="AD323" s="116"/>
      <c r="AE323" s="50">
        <v>1.0</v>
      </c>
      <c r="AF323" s="50" t="s">
        <v>18902</v>
      </c>
      <c r="AG323" s="117">
        <v>6376.0</v>
      </c>
      <c r="AH323" s="50" t="s">
        <v>22363</v>
      </c>
      <c r="AI323" s="50" t="s">
        <v>22364</v>
      </c>
      <c r="AJ323" s="117">
        <v>324.0</v>
      </c>
    </row>
    <row r="324">
      <c r="A324" s="50" t="s">
        <v>22355</v>
      </c>
      <c r="B324" s="50" t="s">
        <v>6876</v>
      </c>
      <c r="C324" s="50" t="s">
        <v>6877</v>
      </c>
      <c r="D324" s="50" t="s">
        <v>11623</v>
      </c>
      <c r="E324" s="144">
        <v>43815.0</v>
      </c>
      <c r="F324" s="50" t="s">
        <v>22366</v>
      </c>
      <c r="G324" s="50">
        <v>58.0</v>
      </c>
      <c r="H324" s="50">
        <v>1.0</v>
      </c>
      <c r="I324" s="50">
        <v>14.0</v>
      </c>
      <c r="J324" s="50">
        <v>142.0</v>
      </c>
      <c r="K324" s="116"/>
      <c r="L324" s="50" t="s">
        <v>641</v>
      </c>
      <c r="M324" s="50" t="s">
        <v>641</v>
      </c>
      <c r="N324" s="122">
        <v>43467.0</v>
      </c>
      <c r="O324" s="50">
        <v>1.0</v>
      </c>
      <c r="P324" s="50">
        <v>1.0</v>
      </c>
      <c r="Q324" s="116"/>
      <c r="R324" s="50" t="s">
        <v>22287</v>
      </c>
      <c r="S324" s="116"/>
      <c r="T324" s="144">
        <v>43724.0</v>
      </c>
      <c r="U324" s="50">
        <v>35.1</v>
      </c>
      <c r="V324" s="50">
        <v>9999.0</v>
      </c>
      <c r="W324" s="116"/>
      <c r="X324" s="116"/>
      <c r="Y324" s="144">
        <v>43771.0</v>
      </c>
      <c r="Z324" s="50">
        <v>34.05</v>
      </c>
      <c r="AA324" s="50">
        <v>34.31</v>
      </c>
      <c r="AB324" s="116"/>
      <c r="AC324" s="116"/>
      <c r="AD324" s="116"/>
      <c r="AE324" s="50">
        <v>1.0</v>
      </c>
      <c r="AF324" s="50" t="s">
        <v>18902</v>
      </c>
      <c r="AG324" s="117">
        <v>6377.0</v>
      </c>
      <c r="AH324" s="50" t="s">
        <v>22379</v>
      </c>
      <c r="AI324" s="50" t="s">
        <v>22380</v>
      </c>
      <c r="AJ324" s="117">
        <v>325.0</v>
      </c>
    </row>
    <row r="325">
      <c r="A325" s="50" t="s">
        <v>22366</v>
      </c>
      <c r="B325" s="50" t="s">
        <v>6876</v>
      </c>
      <c r="C325" s="50" t="s">
        <v>6877</v>
      </c>
      <c r="D325" s="50" t="s">
        <v>11623</v>
      </c>
      <c r="E325" s="144">
        <v>43815.0</v>
      </c>
      <c r="F325" s="50" t="s">
        <v>22384</v>
      </c>
      <c r="G325" s="50">
        <v>58.0</v>
      </c>
      <c r="H325" s="50">
        <v>1.0</v>
      </c>
      <c r="I325" s="50">
        <v>14.0</v>
      </c>
      <c r="J325" s="50">
        <v>143.0</v>
      </c>
      <c r="K325" s="116"/>
      <c r="L325" s="50" t="s">
        <v>644</v>
      </c>
      <c r="M325" s="50" t="s">
        <v>644</v>
      </c>
      <c r="N325" s="122">
        <v>43467.0</v>
      </c>
      <c r="O325" s="50">
        <v>1.0</v>
      </c>
      <c r="P325" s="50">
        <v>1.0</v>
      </c>
      <c r="Q325" s="116"/>
      <c r="R325" s="50" t="s">
        <v>22287</v>
      </c>
      <c r="S325" s="116"/>
      <c r="T325" s="144">
        <v>43724.0</v>
      </c>
      <c r="U325" s="50">
        <v>33.72</v>
      </c>
      <c r="V325" s="50">
        <v>9999.0</v>
      </c>
      <c r="W325" s="116"/>
      <c r="X325" s="116"/>
      <c r="Y325" s="144">
        <v>43771.0</v>
      </c>
      <c r="Z325" s="50">
        <v>35.81</v>
      </c>
      <c r="AA325" s="50">
        <v>36.94</v>
      </c>
      <c r="AB325" s="116"/>
      <c r="AC325" s="116"/>
      <c r="AD325" s="116"/>
      <c r="AE325" s="50">
        <v>1.0</v>
      </c>
      <c r="AF325" s="50" t="s">
        <v>18902</v>
      </c>
      <c r="AG325" s="117">
        <v>6378.0</v>
      </c>
      <c r="AH325" s="50" t="s">
        <v>22393</v>
      </c>
      <c r="AI325" s="50" t="s">
        <v>22394</v>
      </c>
      <c r="AJ325" s="117">
        <v>326.0</v>
      </c>
    </row>
    <row r="326">
      <c r="A326" s="50" t="s">
        <v>22384</v>
      </c>
      <c r="B326" s="50" t="s">
        <v>6876</v>
      </c>
      <c r="C326" s="50" t="s">
        <v>6877</v>
      </c>
      <c r="D326" s="50" t="s">
        <v>11623</v>
      </c>
      <c r="E326" s="144">
        <v>43815.0</v>
      </c>
      <c r="F326" s="50" t="s">
        <v>22398</v>
      </c>
      <c r="G326" s="50">
        <v>58.0</v>
      </c>
      <c r="H326" s="50">
        <v>1.0</v>
      </c>
      <c r="I326" s="50">
        <v>14.0</v>
      </c>
      <c r="J326" s="50">
        <v>144.0</v>
      </c>
      <c r="K326" s="116"/>
      <c r="L326" s="50" t="s">
        <v>646</v>
      </c>
      <c r="M326" s="50" t="s">
        <v>646</v>
      </c>
      <c r="N326" s="122">
        <v>43467.0</v>
      </c>
      <c r="O326" s="50">
        <v>1.0</v>
      </c>
      <c r="P326" s="50">
        <v>1.0</v>
      </c>
      <c r="Q326" s="116"/>
      <c r="R326" s="50" t="s">
        <v>22287</v>
      </c>
      <c r="S326" s="116"/>
      <c r="T326" s="144">
        <v>43724.0</v>
      </c>
      <c r="U326" s="50">
        <v>9999.0</v>
      </c>
      <c r="V326" s="50">
        <v>9999.0</v>
      </c>
      <c r="W326" s="116"/>
      <c r="X326" s="116"/>
      <c r="Y326" s="144">
        <v>43771.0</v>
      </c>
      <c r="Z326" s="50">
        <v>35.9</v>
      </c>
      <c r="AA326" s="50">
        <v>37.16</v>
      </c>
      <c r="AB326" s="116"/>
      <c r="AC326" s="116"/>
      <c r="AD326" s="116"/>
      <c r="AE326" s="50">
        <v>1.0</v>
      </c>
      <c r="AF326" s="50" t="s">
        <v>18902</v>
      </c>
      <c r="AG326" s="117">
        <v>6379.0</v>
      </c>
      <c r="AH326" s="50" t="s">
        <v>22415</v>
      </c>
      <c r="AI326" s="50" t="s">
        <v>22416</v>
      </c>
      <c r="AJ326" s="117">
        <v>327.0</v>
      </c>
    </row>
    <row r="327">
      <c r="A327" s="50" t="s">
        <v>22398</v>
      </c>
      <c r="B327" s="50" t="s">
        <v>6876</v>
      </c>
      <c r="C327" s="50" t="s">
        <v>6877</v>
      </c>
      <c r="D327" s="50" t="s">
        <v>11623</v>
      </c>
      <c r="E327" s="144">
        <v>43815.0</v>
      </c>
      <c r="F327" s="50" t="s">
        <v>22420</v>
      </c>
      <c r="G327" s="50">
        <v>58.0</v>
      </c>
      <c r="H327" s="50">
        <v>1.0</v>
      </c>
      <c r="I327" s="50">
        <v>14.0</v>
      </c>
      <c r="J327" s="50">
        <v>145.0</v>
      </c>
      <c r="K327" s="116"/>
      <c r="L327" s="50" t="s">
        <v>649</v>
      </c>
      <c r="M327" s="50" t="s">
        <v>649</v>
      </c>
      <c r="N327" s="122">
        <v>43467.0</v>
      </c>
      <c r="O327" s="50">
        <v>1.0</v>
      </c>
      <c r="P327" s="50">
        <v>1.0</v>
      </c>
      <c r="Q327" s="116"/>
      <c r="R327" s="50" t="s">
        <v>22287</v>
      </c>
      <c r="S327" s="116"/>
      <c r="T327" s="144">
        <v>43724.0</v>
      </c>
      <c r="U327" s="50">
        <v>33.17</v>
      </c>
      <c r="V327" s="50">
        <v>9999.0</v>
      </c>
      <c r="W327" s="116"/>
      <c r="X327" s="116"/>
      <c r="Y327" s="144">
        <v>43771.0</v>
      </c>
      <c r="Z327" s="50">
        <v>36.61</v>
      </c>
      <c r="AA327" s="50">
        <v>36.71</v>
      </c>
      <c r="AB327" s="116"/>
      <c r="AC327" s="116"/>
      <c r="AD327" s="116"/>
      <c r="AE327" s="50">
        <v>1.0</v>
      </c>
      <c r="AF327" s="50" t="s">
        <v>18902</v>
      </c>
      <c r="AG327" s="117">
        <v>6380.0</v>
      </c>
      <c r="AH327" s="50" t="s">
        <v>22431</v>
      </c>
      <c r="AI327" s="50" t="s">
        <v>22433</v>
      </c>
      <c r="AJ327" s="117">
        <v>328.0</v>
      </c>
    </row>
    <row r="328">
      <c r="A328" s="50" t="s">
        <v>22435</v>
      </c>
      <c r="B328" s="50" t="s">
        <v>6876</v>
      </c>
      <c r="C328" s="50" t="s">
        <v>6877</v>
      </c>
      <c r="D328" s="50" t="s">
        <v>11623</v>
      </c>
      <c r="E328" s="144">
        <v>43817.0</v>
      </c>
      <c r="F328" s="50" t="s">
        <v>22438</v>
      </c>
      <c r="G328" s="50">
        <v>59.0</v>
      </c>
      <c r="H328" s="50">
        <v>1.0</v>
      </c>
      <c r="I328" s="50">
        <v>99.0</v>
      </c>
      <c r="J328" s="116"/>
      <c r="K328" s="116"/>
      <c r="L328" s="50" t="s">
        <v>1149</v>
      </c>
      <c r="M328" s="50" t="s">
        <v>1149</v>
      </c>
      <c r="N328" s="50">
        <v>2.0</v>
      </c>
      <c r="O328" s="50">
        <v>0.0</v>
      </c>
      <c r="P328" s="50">
        <v>1.0</v>
      </c>
      <c r="Q328" s="116"/>
      <c r="R328" s="50" t="s">
        <v>22442</v>
      </c>
      <c r="S328" s="116"/>
      <c r="T328" s="116"/>
      <c r="U328" s="116"/>
      <c r="V328" s="116"/>
      <c r="W328" s="116"/>
      <c r="X328" s="116"/>
      <c r="Y328" s="144">
        <v>43773.0</v>
      </c>
      <c r="Z328" s="50">
        <v>9999.0</v>
      </c>
      <c r="AA328" s="50">
        <v>33.05</v>
      </c>
      <c r="AB328" s="116"/>
      <c r="AC328" s="116"/>
      <c r="AD328" s="50" t="s">
        <v>22450</v>
      </c>
      <c r="AE328" s="50">
        <v>1.0</v>
      </c>
      <c r="AF328" s="50" t="s">
        <v>18902</v>
      </c>
      <c r="AG328" s="117">
        <v>6459.0</v>
      </c>
      <c r="AH328" s="50" t="s">
        <v>22452</v>
      </c>
      <c r="AI328" s="50" t="s">
        <v>22455</v>
      </c>
      <c r="AJ328" s="117">
        <v>329.0</v>
      </c>
    </row>
    <row r="329">
      <c r="A329" s="50" t="s">
        <v>22438</v>
      </c>
      <c r="B329" s="50" t="s">
        <v>6876</v>
      </c>
      <c r="C329" s="50" t="s">
        <v>6877</v>
      </c>
      <c r="D329" s="50" t="s">
        <v>11623</v>
      </c>
      <c r="E329" s="144">
        <v>43817.0</v>
      </c>
      <c r="F329" s="50" t="s">
        <v>22458</v>
      </c>
      <c r="G329" s="50">
        <v>57.0</v>
      </c>
      <c r="H329" s="50">
        <v>1.0</v>
      </c>
      <c r="I329" s="50">
        <v>12.0</v>
      </c>
      <c r="J329" s="116"/>
      <c r="K329" s="116"/>
      <c r="L329" s="50" t="s">
        <v>1140</v>
      </c>
      <c r="M329" s="50" t="s">
        <v>1140</v>
      </c>
      <c r="N329" s="50">
        <v>2.0</v>
      </c>
      <c r="O329" s="50">
        <v>0.0</v>
      </c>
      <c r="P329" s="50">
        <v>1.0</v>
      </c>
      <c r="Q329" s="116"/>
      <c r="R329" s="50" t="s">
        <v>22442</v>
      </c>
      <c r="S329" s="116"/>
      <c r="T329" s="116"/>
      <c r="U329" s="116"/>
      <c r="V329" s="116"/>
      <c r="W329" s="116"/>
      <c r="X329" s="116"/>
      <c r="Y329" s="144">
        <v>43773.0</v>
      </c>
      <c r="Z329" s="50">
        <v>9999.0</v>
      </c>
      <c r="AA329" s="50">
        <v>9999.0</v>
      </c>
      <c r="AB329" s="116"/>
      <c r="AC329" s="116"/>
      <c r="AD329" s="116"/>
      <c r="AE329" s="50">
        <v>1.0</v>
      </c>
      <c r="AF329" s="50" t="s">
        <v>18902</v>
      </c>
      <c r="AG329" s="117">
        <v>6460.0</v>
      </c>
      <c r="AH329" s="50" t="s">
        <v>22468</v>
      </c>
      <c r="AI329" s="50" t="s">
        <v>22471</v>
      </c>
      <c r="AJ329" s="117">
        <v>330.0</v>
      </c>
    </row>
    <row r="330">
      <c r="A330" s="50" t="s">
        <v>22458</v>
      </c>
      <c r="B330" s="50" t="s">
        <v>6876</v>
      </c>
      <c r="C330" s="50" t="s">
        <v>6877</v>
      </c>
      <c r="D330" s="50" t="s">
        <v>11623</v>
      </c>
      <c r="E330" s="144">
        <v>43817.0</v>
      </c>
      <c r="F330" s="50" t="s">
        <v>22476</v>
      </c>
      <c r="G330" s="50">
        <v>57.0</v>
      </c>
      <c r="H330" s="50">
        <v>1.0</v>
      </c>
      <c r="I330" s="50">
        <v>99.0</v>
      </c>
      <c r="J330" s="116"/>
      <c r="K330" s="116"/>
      <c r="L330" s="50" t="s">
        <v>1143</v>
      </c>
      <c r="M330" s="50" t="s">
        <v>1143</v>
      </c>
      <c r="N330" s="50">
        <v>2.0</v>
      </c>
      <c r="O330" s="50">
        <v>0.0</v>
      </c>
      <c r="P330" s="50">
        <v>1.0</v>
      </c>
      <c r="Q330" s="116"/>
      <c r="R330" s="50" t="s">
        <v>22442</v>
      </c>
      <c r="S330" s="116"/>
      <c r="T330" s="116"/>
      <c r="U330" s="116"/>
      <c r="V330" s="116"/>
      <c r="W330" s="116"/>
      <c r="X330" s="116"/>
      <c r="Y330" s="144">
        <v>43773.0</v>
      </c>
      <c r="Z330" s="50">
        <v>9999.0</v>
      </c>
      <c r="AA330" s="50">
        <v>33.05</v>
      </c>
      <c r="AB330" s="116"/>
      <c r="AC330" s="116"/>
      <c r="AD330" s="50" t="s">
        <v>22488</v>
      </c>
      <c r="AE330" s="50">
        <v>1.0</v>
      </c>
      <c r="AF330" s="50" t="s">
        <v>18902</v>
      </c>
      <c r="AG330" s="117">
        <v>6461.0</v>
      </c>
      <c r="AH330" s="50" t="s">
        <v>22489</v>
      </c>
      <c r="AI330" s="50" t="s">
        <v>22491</v>
      </c>
      <c r="AJ330" s="117">
        <v>331.0</v>
      </c>
    </row>
    <row r="331">
      <c r="A331" s="50" t="s">
        <v>22476</v>
      </c>
      <c r="B331" s="50" t="s">
        <v>6876</v>
      </c>
      <c r="C331" s="50" t="s">
        <v>6877</v>
      </c>
      <c r="D331" s="50" t="s">
        <v>11623</v>
      </c>
      <c r="E331" s="144">
        <v>43817.0</v>
      </c>
      <c r="F331" s="50" t="s">
        <v>22494</v>
      </c>
      <c r="G331" s="50">
        <v>58.0</v>
      </c>
      <c r="H331" s="50">
        <v>1.0</v>
      </c>
      <c r="I331" s="50">
        <v>10.0</v>
      </c>
      <c r="J331" s="116"/>
      <c r="K331" s="116"/>
      <c r="L331" s="50" t="s">
        <v>1153</v>
      </c>
      <c r="M331" s="50" t="s">
        <v>1153</v>
      </c>
      <c r="N331" s="122">
        <v>43467.0</v>
      </c>
      <c r="O331" s="50">
        <v>1.0</v>
      </c>
      <c r="P331" s="50">
        <v>1.0</v>
      </c>
      <c r="Q331" s="116"/>
      <c r="R331" s="50" t="s">
        <v>22498</v>
      </c>
      <c r="S331" s="116"/>
      <c r="T331" s="144">
        <v>43712.0</v>
      </c>
      <c r="U331" s="50">
        <v>9999.0</v>
      </c>
      <c r="V331" s="50">
        <v>9999.0</v>
      </c>
      <c r="W331" s="116"/>
      <c r="X331" s="116"/>
      <c r="Y331" s="144">
        <v>43773.0</v>
      </c>
      <c r="Z331" s="50">
        <v>9999.0</v>
      </c>
      <c r="AA331" s="50">
        <v>9999.0</v>
      </c>
      <c r="AB331" s="116"/>
      <c r="AC331" s="116"/>
      <c r="AD331" s="116"/>
      <c r="AE331" s="50">
        <v>1.0</v>
      </c>
      <c r="AF331" s="50" t="s">
        <v>18902</v>
      </c>
      <c r="AG331" s="117">
        <v>6462.0</v>
      </c>
      <c r="AH331" s="50" t="s">
        <v>22502</v>
      </c>
      <c r="AI331" s="50" t="s">
        <v>22503</v>
      </c>
      <c r="AJ331" s="117">
        <v>332.0</v>
      </c>
    </row>
    <row r="332">
      <c r="A332" s="50" t="s">
        <v>22505</v>
      </c>
      <c r="B332" s="50" t="s">
        <v>6876</v>
      </c>
      <c r="C332" s="50" t="s">
        <v>6877</v>
      </c>
      <c r="D332" s="50" t="s">
        <v>11623</v>
      </c>
      <c r="E332" s="144">
        <v>43817.0</v>
      </c>
      <c r="F332" s="50" t="s">
        <v>22507</v>
      </c>
      <c r="G332" s="50">
        <v>58.0</v>
      </c>
      <c r="H332" s="50">
        <v>1.0</v>
      </c>
      <c r="I332" s="50">
        <v>99.0</v>
      </c>
      <c r="J332" s="116"/>
      <c r="K332" s="116"/>
      <c r="L332" s="50" t="s">
        <v>1164</v>
      </c>
      <c r="M332" s="50" t="s">
        <v>1164</v>
      </c>
      <c r="N332" s="122">
        <v>43467.0</v>
      </c>
      <c r="O332" s="50">
        <v>1.0</v>
      </c>
      <c r="P332" s="50">
        <v>1.0</v>
      </c>
      <c r="Q332" s="116"/>
      <c r="R332" s="50" t="s">
        <v>22509</v>
      </c>
      <c r="S332" s="116"/>
      <c r="T332" s="144">
        <v>43712.0</v>
      </c>
      <c r="U332" s="50">
        <v>9999.0</v>
      </c>
      <c r="V332" s="50">
        <v>9999.0</v>
      </c>
      <c r="W332" s="116"/>
      <c r="X332" s="116"/>
      <c r="Y332" s="144">
        <v>43732.0</v>
      </c>
      <c r="Z332" s="50">
        <v>39.15</v>
      </c>
      <c r="AA332" s="50">
        <v>37.76</v>
      </c>
      <c r="AB332" s="116"/>
      <c r="AC332" s="116"/>
      <c r="AD332" s="50" t="s">
        <v>22516</v>
      </c>
      <c r="AE332" s="50">
        <v>1.0</v>
      </c>
      <c r="AF332" s="50" t="s">
        <v>18902</v>
      </c>
      <c r="AG332" s="117">
        <v>6463.0</v>
      </c>
      <c r="AH332" s="50" t="s">
        <v>22519</v>
      </c>
      <c r="AI332" s="50" t="s">
        <v>22520</v>
      </c>
      <c r="AJ332" s="117">
        <v>333.0</v>
      </c>
    </row>
    <row r="333">
      <c r="A333" s="50" t="s">
        <v>22523</v>
      </c>
      <c r="B333" s="50" t="s">
        <v>6876</v>
      </c>
      <c r="C333" s="50" t="s">
        <v>6877</v>
      </c>
      <c r="D333" s="50" t="s">
        <v>11623</v>
      </c>
      <c r="E333" s="144">
        <v>43817.0</v>
      </c>
      <c r="F333" s="50" t="s">
        <v>22527</v>
      </c>
      <c r="G333" s="50">
        <v>58.0</v>
      </c>
      <c r="H333" s="50">
        <v>1.0</v>
      </c>
      <c r="I333" s="50">
        <v>10.0</v>
      </c>
      <c r="J333" s="116"/>
      <c r="K333" s="116"/>
      <c r="L333" s="50" t="s">
        <v>1159</v>
      </c>
      <c r="M333" s="50" t="s">
        <v>1159</v>
      </c>
      <c r="N333" s="122">
        <v>43467.0</v>
      </c>
      <c r="O333" s="50">
        <v>1.0</v>
      </c>
      <c r="P333" s="50">
        <v>1.0</v>
      </c>
      <c r="Q333" s="116"/>
      <c r="R333" s="50" t="s">
        <v>22509</v>
      </c>
      <c r="S333" s="116"/>
      <c r="T333" s="144">
        <v>43712.0</v>
      </c>
      <c r="U333" s="50">
        <v>25.27</v>
      </c>
      <c r="V333" s="50">
        <v>25.9</v>
      </c>
      <c r="W333" s="116"/>
      <c r="X333" s="116"/>
      <c r="Y333" s="144">
        <v>43773.0</v>
      </c>
      <c r="Z333" s="50">
        <v>37.37</v>
      </c>
      <c r="AA333" s="50">
        <v>38.51</v>
      </c>
      <c r="AB333" s="116"/>
      <c r="AC333" s="116"/>
      <c r="AD333" s="116"/>
      <c r="AE333" s="50">
        <v>1.0</v>
      </c>
      <c r="AF333" s="50" t="s">
        <v>18902</v>
      </c>
      <c r="AG333" s="117">
        <v>6464.0</v>
      </c>
      <c r="AH333" s="50" t="s">
        <v>22537</v>
      </c>
      <c r="AI333" s="50" t="s">
        <v>22539</v>
      </c>
      <c r="AJ333" s="117">
        <v>334.0</v>
      </c>
    </row>
    <row r="334">
      <c r="A334" s="50" t="s">
        <v>22527</v>
      </c>
      <c r="B334" s="50" t="s">
        <v>6876</v>
      </c>
      <c r="C334" s="50" t="s">
        <v>6877</v>
      </c>
      <c r="D334" s="50" t="s">
        <v>11623</v>
      </c>
      <c r="E334" s="144">
        <v>43817.0</v>
      </c>
      <c r="F334" s="50" t="s">
        <v>22543</v>
      </c>
      <c r="G334" s="50">
        <v>58.0</v>
      </c>
      <c r="H334" s="50">
        <v>1.0</v>
      </c>
      <c r="I334" s="50">
        <v>10.0</v>
      </c>
      <c r="J334" s="116"/>
      <c r="K334" s="116"/>
      <c r="L334" s="50" t="s">
        <v>1161</v>
      </c>
      <c r="M334" s="50" t="s">
        <v>1161</v>
      </c>
      <c r="N334" s="122">
        <v>43467.0</v>
      </c>
      <c r="O334" s="50">
        <v>1.0</v>
      </c>
      <c r="P334" s="50">
        <v>1.0</v>
      </c>
      <c r="Q334" s="116"/>
      <c r="R334" s="50" t="s">
        <v>22509</v>
      </c>
      <c r="S334" s="116"/>
      <c r="T334" s="144">
        <v>43712.0</v>
      </c>
      <c r="U334" s="50">
        <v>9999.0</v>
      </c>
      <c r="V334" s="50">
        <v>9999.0</v>
      </c>
      <c r="W334" s="116"/>
      <c r="X334" s="116"/>
      <c r="Y334" s="144">
        <v>43773.0</v>
      </c>
      <c r="Z334" s="50">
        <v>34.69</v>
      </c>
      <c r="AA334" s="50">
        <v>35.02</v>
      </c>
      <c r="AB334" s="116"/>
      <c r="AC334" s="116"/>
      <c r="AD334" s="116"/>
      <c r="AE334" s="50">
        <v>1.0</v>
      </c>
      <c r="AF334" s="50" t="s">
        <v>18902</v>
      </c>
      <c r="AG334" s="117">
        <v>6465.0</v>
      </c>
      <c r="AH334" s="50" t="s">
        <v>22550</v>
      </c>
      <c r="AI334" s="50" t="s">
        <v>22551</v>
      </c>
      <c r="AJ334" s="117">
        <v>335.0</v>
      </c>
    </row>
    <row r="335">
      <c r="A335" s="50" t="s">
        <v>22543</v>
      </c>
      <c r="B335" s="50" t="s">
        <v>6876</v>
      </c>
      <c r="C335" s="50" t="s">
        <v>6877</v>
      </c>
      <c r="D335" s="50" t="s">
        <v>11623</v>
      </c>
      <c r="E335" s="144">
        <v>43817.0</v>
      </c>
      <c r="F335" s="50" t="s">
        <v>22558</v>
      </c>
      <c r="G335" s="50">
        <v>58.0</v>
      </c>
      <c r="H335" s="50">
        <v>1.0</v>
      </c>
      <c r="I335" s="50">
        <v>8.0</v>
      </c>
      <c r="J335" s="116"/>
      <c r="K335" s="116"/>
      <c r="L335" s="50" t="s">
        <v>1165</v>
      </c>
      <c r="M335" s="50" t="s">
        <v>1165</v>
      </c>
      <c r="N335" s="122">
        <v>43467.0</v>
      </c>
      <c r="O335" s="50">
        <v>1.0</v>
      </c>
      <c r="P335" s="50">
        <v>1.0</v>
      </c>
      <c r="Q335" s="116"/>
      <c r="R335" s="50" t="s">
        <v>22509</v>
      </c>
      <c r="S335" s="116"/>
      <c r="T335" s="144">
        <v>43712.0</v>
      </c>
      <c r="U335" s="50">
        <v>9999.0</v>
      </c>
      <c r="V335" s="50">
        <v>9999.0</v>
      </c>
      <c r="W335" s="116"/>
      <c r="X335" s="116"/>
      <c r="Y335" s="144">
        <v>43773.0</v>
      </c>
      <c r="Z335" s="50">
        <v>36.91</v>
      </c>
      <c r="AA335" s="50">
        <v>36.83</v>
      </c>
      <c r="AB335" s="116"/>
      <c r="AC335" s="116"/>
      <c r="AD335" s="116"/>
      <c r="AE335" s="50">
        <v>1.0</v>
      </c>
      <c r="AF335" s="50" t="s">
        <v>18902</v>
      </c>
      <c r="AG335" s="117">
        <v>6466.0</v>
      </c>
      <c r="AH335" s="50" t="s">
        <v>22569</v>
      </c>
      <c r="AI335" s="50" t="s">
        <v>22570</v>
      </c>
      <c r="AJ335" s="117">
        <v>336.0</v>
      </c>
    </row>
    <row r="336">
      <c r="A336" s="50" t="s">
        <v>22558</v>
      </c>
      <c r="B336" s="50" t="s">
        <v>6876</v>
      </c>
      <c r="C336" s="50" t="s">
        <v>6877</v>
      </c>
      <c r="D336" s="50" t="s">
        <v>11623</v>
      </c>
      <c r="E336" s="144">
        <v>43817.0</v>
      </c>
      <c r="F336" s="50" t="s">
        <v>22577</v>
      </c>
      <c r="G336" s="50">
        <v>58.0</v>
      </c>
      <c r="H336" s="50">
        <v>1.0</v>
      </c>
      <c r="I336" s="50">
        <v>99.0</v>
      </c>
      <c r="J336" s="116"/>
      <c r="K336" s="116"/>
      <c r="L336" s="50" t="s">
        <v>1156</v>
      </c>
      <c r="M336" s="50" t="s">
        <v>1156</v>
      </c>
      <c r="N336" s="122">
        <v>43467.0</v>
      </c>
      <c r="O336" s="50">
        <v>1.0</v>
      </c>
      <c r="P336" s="50">
        <v>1.0</v>
      </c>
      <c r="Q336" s="116"/>
      <c r="R336" s="50" t="s">
        <v>22509</v>
      </c>
      <c r="S336" s="116"/>
      <c r="T336" s="144">
        <v>43712.0</v>
      </c>
      <c r="U336" s="50">
        <v>9999.0</v>
      </c>
      <c r="V336" s="50">
        <v>9999.0</v>
      </c>
      <c r="W336" s="116"/>
      <c r="X336" s="116"/>
      <c r="Y336" s="144">
        <v>43732.0</v>
      </c>
      <c r="Z336" s="50">
        <v>36.68</v>
      </c>
      <c r="AA336" s="50">
        <v>35.92</v>
      </c>
      <c r="AB336" s="116"/>
      <c r="AC336" s="116"/>
      <c r="AD336" s="50" t="s">
        <v>22582</v>
      </c>
      <c r="AE336" s="50">
        <v>1.0</v>
      </c>
      <c r="AF336" s="50" t="s">
        <v>18902</v>
      </c>
      <c r="AG336" s="117">
        <v>6467.0</v>
      </c>
      <c r="AH336" s="50" t="s">
        <v>22583</v>
      </c>
      <c r="AI336" s="50" t="s">
        <v>22584</v>
      </c>
      <c r="AJ336" s="117">
        <v>337.0</v>
      </c>
    </row>
    <row r="337">
      <c r="A337" s="50" t="s">
        <v>22577</v>
      </c>
      <c r="B337" s="50" t="s">
        <v>6876</v>
      </c>
      <c r="C337" s="50" t="s">
        <v>6877</v>
      </c>
      <c r="D337" s="50" t="s">
        <v>11623</v>
      </c>
      <c r="E337" s="144">
        <v>43817.0</v>
      </c>
      <c r="F337" s="50" t="s">
        <v>22588</v>
      </c>
      <c r="G337" s="50">
        <v>58.0</v>
      </c>
      <c r="H337" s="50">
        <v>1.0</v>
      </c>
      <c r="I337" s="50">
        <v>3.0</v>
      </c>
      <c r="J337" s="116"/>
      <c r="K337" s="116"/>
      <c r="L337" s="50" t="s">
        <v>1168</v>
      </c>
      <c r="M337" s="50" t="s">
        <v>1168</v>
      </c>
      <c r="N337" s="122">
        <v>43467.0</v>
      </c>
      <c r="O337" s="50">
        <v>1.0</v>
      </c>
      <c r="P337" s="50">
        <v>1.0</v>
      </c>
      <c r="Q337" s="116"/>
      <c r="R337" s="50" t="s">
        <v>22509</v>
      </c>
      <c r="S337" s="116"/>
      <c r="T337" s="144">
        <v>43712.0</v>
      </c>
      <c r="U337" s="50">
        <v>34.44</v>
      </c>
      <c r="V337" s="50">
        <v>9999.0</v>
      </c>
      <c r="W337" s="116"/>
      <c r="X337" s="116"/>
      <c r="Y337" s="144">
        <v>43771.0</v>
      </c>
      <c r="Z337" s="50">
        <v>34.7</v>
      </c>
      <c r="AA337" s="50">
        <v>34.82</v>
      </c>
      <c r="AB337" s="116"/>
      <c r="AC337" s="116"/>
      <c r="AD337" s="116"/>
      <c r="AE337" s="50">
        <v>1.0</v>
      </c>
      <c r="AF337" s="50" t="s">
        <v>18902</v>
      </c>
      <c r="AG337" s="117">
        <v>6468.0</v>
      </c>
      <c r="AH337" s="50" t="s">
        <v>22601</v>
      </c>
      <c r="AI337" s="50" t="s">
        <v>22602</v>
      </c>
      <c r="AJ337" s="117">
        <v>338.0</v>
      </c>
    </row>
    <row r="338">
      <c r="A338" s="50" t="s">
        <v>22588</v>
      </c>
      <c r="B338" s="50" t="s">
        <v>6876</v>
      </c>
      <c r="C338" s="50" t="s">
        <v>6877</v>
      </c>
      <c r="D338" s="50" t="s">
        <v>11623</v>
      </c>
      <c r="E338" s="144">
        <v>43817.0</v>
      </c>
      <c r="F338" s="50" t="s">
        <v>22608</v>
      </c>
      <c r="G338" s="50">
        <v>58.0</v>
      </c>
      <c r="H338" s="50">
        <v>1.0</v>
      </c>
      <c r="I338" s="50">
        <v>99.0</v>
      </c>
      <c r="J338" s="116"/>
      <c r="K338" s="116"/>
      <c r="L338" s="50" t="s">
        <v>1171</v>
      </c>
      <c r="M338" s="50" t="s">
        <v>1171</v>
      </c>
      <c r="N338" s="50">
        <v>2.0</v>
      </c>
      <c r="O338" s="50">
        <v>0.0</v>
      </c>
      <c r="P338" s="50">
        <v>1.0</v>
      </c>
      <c r="Q338" s="116"/>
      <c r="R338" s="50" t="s">
        <v>22613</v>
      </c>
      <c r="S338" s="116"/>
      <c r="T338" s="116"/>
      <c r="U338" s="116"/>
      <c r="V338" s="116"/>
      <c r="W338" s="116"/>
      <c r="X338" s="116"/>
      <c r="Y338" s="144">
        <v>43732.0</v>
      </c>
      <c r="Z338" s="50">
        <v>40.0</v>
      </c>
      <c r="AA338" s="50">
        <v>9999.0</v>
      </c>
      <c r="AB338" s="116"/>
      <c r="AC338" s="116"/>
      <c r="AD338" s="50" t="s">
        <v>22616</v>
      </c>
      <c r="AE338" s="50">
        <v>1.0</v>
      </c>
      <c r="AF338" s="50" t="s">
        <v>18902</v>
      </c>
      <c r="AG338" s="117">
        <v>6469.0</v>
      </c>
      <c r="AH338" s="50" t="s">
        <v>22619</v>
      </c>
      <c r="AI338" s="50" t="s">
        <v>22621</v>
      </c>
      <c r="AJ338" s="117">
        <v>339.0</v>
      </c>
    </row>
    <row r="339">
      <c r="A339" s="50" t="s">
        <v>22608</v>
      </c>
      <c r="B339" s="50" t="s">
        <v>6876</v>
      </c>
      <c r="C339" s="50" t="s">
        <v>6877</v>
      </c>
      <c r="D339" s="50" t="s">
        <v>11623</v>
      </c>
      <c r="E339" s="144">
        <v>43817.0</v>
      </c>
      <c r="F339" s="50" t="s">
        <v>22623</v>
      </c>
      <c r="G339" s="50">
        <v>58.0</v>
      </c>
      <c r="H339" s="50">
        <v>1.0</v>
      </c>
      <c r="I339" s="50">
        <v>8.0</v>
      </c>
      <c r="J339" s="116"/>
      <c r="K339" s="116"/>
      <c r="L339" s="50" t="s">
        <v>1172</v>
      </c>
      <c r="M339" s="50" t="s">
        <v>1172</v>
      </c>
      <c r="N339" s="122">
        <v>43467.0</v>
      </c>
      <c r="O339" s="50">
        <v>1.0</v>
      </c>
      <c r="P339" s="50">
        <v>1.0</v>
      </c>
      <c r="Q339" s="116"/>
      <c r="R339" s="50" t="s">
        <v>22509</v>
      </c>
      <c r="S339" s="116"/>
      <c r="T339" s="144">
        <v>43712.0</v>
      </c>
      <c r="U339" s="50">
        <v>9999.0</v>
      </c>
      <c r="V339" s="50">
        <v>9999.0</v>
      </c>
      <c r="W339" s="116"/>
      <c r="X339" s="116"/>
      <c r="Y339" s="144">
        <v>43773.0</v>
      </c>
      <c r="Z339" s="50">
        <v>9999.0</v>
      </c>
      <c r="AA339" s="50">
        <v>9999.0</v>
      </c>
      <c r="AB339" s="116"/>
      <c r="AC339" s="116"/>
      <c r="AD339" s="116"/>
      <c r="AE339" s="50">
        <v>1.0</v>
      </c>
      <c r="AF339" s="50" t="s">
        <v>18902</v>
      </c>
      <c r="AG339" s="117">
        <v>6470.0</v>
      </c>
      <c r="AH339" s="50" t="s">
        <v>22637</v>
      </c>
      <c r="AI339" s="50" t="s">
        <v>22638</v>
      </c>
      <c r="AJ339" s="117">
        <v>340.0</v>
      </c>
    </row>
    <row r="340">
      <c r="A340" s="50" t="s">
        <v>22623</v>
      </c>
      <c r="B340" s="50" t="s">
        <v>6876</v>
      </c>
      <c r="C340" s="50" t="s">
        <v>6877</v>
      </c>
      <c r="D340" s="50" t="s">
        <v>11623</v>
      </c>
      <c r="E340" s="144">
        <v>43817.0</v>
      </c>
      <c r="F340" s="50" t="s">
        <v>22642</v>
      </c>
      <c r="G340" s="50">
        <v>58.0</v>
      </c>
      <c r="H340" s="50">
        <v>1.0</v>
      </c>
      <c r="I340" s="50">
        <v>99.0</v>
      </c>
      <c r="J340" s="116"/>
      <c r="K340" s="116"/>
      <c r="L340" s="50" t="s">
        <v>1174</v>
      </c>
      <c r="M340" s="50" t="s">
        <v>1174</v>
      </c>
      <c r="N340" s="122">
        <v>43467.0</v>
      </c>
      <c r="O340" s="50">
        <v>1.0</v>
      </c>
      <c r="P340" s="50">
        <v>1.0</v>
      </c>
      <c r="Q340" s="116"/>
      <c r="R340" s="50" t="s">
        <v>22509</v>
      </c>
      <c r="S340" s="116"/>
      <c r="T340" s="144">
        <v>43712.0</v>
      </c>
      <c r="U340" s="50">
        <v>31.71</v>
      </c>
      <c r="V340" s="50">
        <v>37.5</v>
      </c>
      <c r="W340" s="116"/>
      <c r="X340" s="116"/>
      <c r="Y340" s="144">
        <v>43732.0</v>
      </c>
      <c r="Z340" s="50">
        <v>37.71</v>
      </c>
      <c r="AA340" s="50">
        <v>37.5</v>
      </c>
      <c r="AB340" s="116"/>
      <c r="AC340" s="116"/>
      <c r="AD340" s="50" t="s">
        <v>22652</v>
      </c>
      <c r="AE340" s="50">
        <v>1.0</v>
      </c>
      <c r="AF340" s="50" t="s">
        <v>18902</v>
      </c>
      <c r="AG340" s="117">
        <v>6471.0</v>
      </c>
      <c r="AH340" s="50" t="s">
        <v>22653</v>
      </c>
      <c r="AI340" s="50" t="s">
        <v>22655</v>
      </c>
      <c r="AJ340" s="117">
        <v>341.0</v>
      </c>
    </row>
    <row r="341">
      <c r="A341" s="50" t="s">
        <v>22657</v>
      </c>
      <c r="B341" s="50" t="s">
        <v>6876</v>
      </c>
      <c r="C341" s="50" t="s">
        <v>6877</v>
      </c>
      <c r="D341" s="50" t="s">
        <v>11623</v>
      </c>
      <c r="E341" s="144">
        <v>43817.0</v>
      </c>
      <c r="F341" s="50" t="s">
        <v>22661</v>
      </c>
      <c r="G341" s="50">
        <v>58.0</v>
      </c>
      <c r="H341" s="50">
        <v>1.0</v>
      </c>
      <c r="I341" s="50">
        <v>99.0</v>
      </c>
      <c r="J341" s="116"/>
      <c r="K341" s="116"/>
      <c r="L341" s="50" t="s">
        <v>1175</v>
      </c>
      <c r="M341" s="50" t="s">
        <v>1175</v>
      </c>
      <c r="N341" s="122">
        <v>43467.0</v>
      </c>
      <c r="O341" s="50">
        <v>1.0</v>
      </c>
      <c r="P341" s="50">
        <v>1.0</v>
      </c>
      <c r="Q341" s="116"/>
      <c r="R341" s="50" t="s">
        <v>22509</v>
      </c>
      <c r="S341" s="116"/>
      <c r="T341" s="144">
        <v>43712.0</v>
      </c>
      <c r="U341" s="50">
        <v>36.29</v>
      </c>
      <c r="V341" s="50">
        <v>39.07</v>
      </c>
      <c r="W341" s="116"/>
      <c r="X341" s="116"/>
      <c r="Y341" s="144">
        <v>43732.0</v>
      </c>
      <c r="Z341" s="50">
        <v>40.0</v>
      </c>
      <c r="AA341" s="50">
        <v>40.0</v>
      </c>
      <c r="AB341" s="116"/>
      <c r="AC341" s="116"/>
      <c r="AD341" s="50" t="s">
        <v>22652</v>
      </c>
      <c r="AE341" s="50">
        <v>1.0</v>
      </c>
      <c r="AF341" s="50" t="s">
        <v>18902</v>
      </c>
      <c r="AG341" s="117">
        <v>6472.0</v>
      </c>
      <c r="AH341" s="50" t="s">
        <v>22672</v>
      </c>
      <c r="AI341" s="50" t="s">
        <v>22673</v>
      </c>
      <c r="AJ341" s="117">
        <v>342.0</v>
      </c>
    </row>
    <row r="342">
      <c r="A342" s="50" t="s">
        <v>22661</v>
      </c>
      <c r="B342" s="50" t="s">
        <v>6876</v>
      </c>
      <c r="C342" s="50" t="s">
        <v>6877</v>
      </c>
      <c r="D342" s="50" t="s">
        <v>11623</v>
      </c>
      <c r="E342" s="144">
        <v>43817.0</v>
      </c>
      <c r="F342" s="50" t="s">
        <v>22679</v>
      </c>
      <c r="G342" s="50">
        <v>58.0</v>
      </c>
      <c r="H342" s="50">
        <v>1.0</v>
      </c>
      <c r="I342" s="50">
        <v>99.0</v>
      </c>
      <c r="J342" s="116"/>
      <c r="K342" s="116"/>
      <c r="L342" s="50" t="s">
        <v>1162</v>
      </c>
      <c r="M342" s="50" t="s">
        <v>1162</v>
      </c>
      <c r="N342" s="122">
        <v>43467.0</v>
      </c>
      <c r="O342" s="50">
        <v>1.0</v>
      </c>
      <c r="P342" s="50">
        <v>1.0</v>
      </c>
      <c r="Q342" s="116"/>
      <c r="R342" s="50" t="s">
        <v>22509</v>
      </c>
      <c r="S342" s="116"/>
      <c r="T342" s="144">
        <v>43712.0</v>
      </c>
      <c r="U342" s="50">
        <v>39.59</v>
      </c>
      <c r="V342" s="50">
        <v>9999.0</v>
      </c>
      <c r="W342" s="116"/>
      <c r="X342" s="116"/>
      <c r="Y342" s="144">
        <v>43732.0</v>
      </c>
      <c r="Z342" s="50">
        <v>38.53</v>
      </c>
      <c r="AA342" s="50">
        <v>37.42</v>
      </c>
      <c r="AB342" s="116"/>
      <c r="AC342" s="116"/>
      <c r="AD342" s="50" t="s">
        <v>22516</v>
      </c>
      <c r="AE342" s="50">
        <v>1.0</v>
      </c>
      <c r="AF342" s="50" t="s">
        <v>18902</v>
      </c>
      <c r="AG342" s="117">
        <v>6473.0</v>
      </c>
      <c r="AH342" s="50" t="s">
        <v>22691</v>
      </c>
      <c r="AI342" s="50" t="s">
        <v>22693</v>
      </c>
      <c r="AJ342" s="117">
        <v>343.0</v>
      </c>
    </row>
    <row r="343">
      <c r="A343" s="50" t="s">
        <v>22695</v>
      </c>
      <c r="B343" s="50" t="s">
        <v>6876</v>
      </c>
      <c r="C343" s="50" t="s">
        <v>6877</v>
      </c>
      <c r="D343" s="50" t="s">
        <v>11623</v>
      </c>
      <c r="E343" s="144">
        <v>43817.0</v>
      </c>
      <c r="F343" s="50" t="s">
        <v>22696</v>
      </c>
      <c r="G343" s="50">
        <v>58.0</v>
      </c>
      <c r="H343" s="50">
        <v>1.0</v>
      </c>
      <c r="I343" s="50">
        <v>99.0</v>
      </c>
      <c r="J343" s="116"/>
      <c r="K343" s="116"/>
      <c r="L343" s="50" t="s">
        <v>1155</v>
      </c>
      <c r="M343" s="50" t="s">
        <v>1155</v>
      </c>
      <c r="N343" s="122">
        <v>43467.0</v>
      </c>
      <c r="O343" s="50">
        <v>1.0</v>
      </c>
      <c r="P343" s="50">
        <v>1.0</v>
      </c>
      <c r="Q343" s="116"/>
      <c r="R343" s="50" t="s">
        <v>22509</v>
      </c>
      <c r="S343" s="116"/>
      <c r="T343" s="144">
        <v>43712.0</v>
      </c>
      <c r="U343" s="50">
        <v>9999.0</v>
      </c>
      <c r="V343" s="50">
        <v>9999.0</v>
      </c>
      <c r="W343" s="116"/>
      <c r="X343" s="116"/>
      <c r="Y343" s="144">
        <v>43732.0</v>
      </c>
      <c r="Z343" s="50">
        <v>38.83</v>
      </c>
      <c r="AA343" s="50">
        <v>37.85</v>
      </c>
      <c r="AB343" s="116"/>
      <c r="AC343" s="116"/>
      <c r="AD343" s="50" t="s">
        <v>22582</v>
      </c>
      <c r="AE343" s="50">
        <v>1.0</v>
      </c>
      <c r="AF343" s="50" t="s">
        <v>18902</v>
      </c>
      <c r="AG343" s="117">
        <v>6474.0</v>
      </c>
      <c r="AH343" s="50" t="s">
        <v>22705</v>
      </c>
      <c r="AI343" s="50" t="s">
        <v>22706</v>
      </c>
      <c r="AJ343" s="117">
        <v>344.0</v>
      </c>
    </row>
    <row r="344">
      <c r="A344" s="50" t="s">
        <v>22696</v>
      </c>
      <c r="B344" s="50" t="s">
        <v>6876</v>
      </c>
      <c r="C344" s="50" t="s">
        <v>6877</v>
      </c>
      <c r="D344" s="50" t="s">
        <v>11623</v>
      </c>
      <c r="E344" s="144">
        <v>43817.0</v>
      </c>
      <c r="F344" s="50" t="s">
        <v>22712</v>
      </c>
      <c r="G344" s="50">
        <v>58.0</v>
      </c>
      <c r="H344" s="50">
        <v>1.0</v>
      </c>
      <c r="I344" s="50">
        <v>99.0</v>
      </c>
      <c r="J344" s="116"/>
      <c r="K344" s="116"/>
      <c r="L344" s="50" t="s">
        <v>1169</v>
      </c>
      <c r="M344" s="50" t="s">
        <v>1169</v>
      </c>
      <c r="N344" s="122">
        <v>43467.0</v>
      </c>
      <c r="O344" s="50">
        <v>1.0</v>
      </c>
      <c r="P344" s="50">
        <v>1.0</v>
      </c>
      <c r="Q344" s="116"/>
      <c r="R344" s="50" t="s">
        <v>22509</v>
      </c>
      <c r="S344" s="116"/>
      <c r="T344" s="144">
        <v>43712.0</v>
      </c>
      <c r="U344" s="50">
        <v>9999.0</v>
      </c>
      <c r="V344" s="50">
        <v>9999.0</v>
      </c>
      <c r="W344" s="116"/>
      <c r="X344" s="116"/>
      <c r="Y344" s="144">
        <v>43732.0</v>
      </c>
      <c r="Z344" s="50">
        <v>36.77</v>
      </c>
      <c r="AA344" s="50">
        <v>36.82</v>
      </c>
      <c r="AB344" s="116"/>
      <c r="AC344" s="116"/>
      <c r="AD344" s="50" t="s">
        <v>22616</v>
      </c>
      <c r="AE344" s="50">
        <v>1.0</v>
      </c>
      <c r="AF344" s="50" t="s">
        <v>18902</v>
      </c>
      <c r="AG344" s="117">
        <v>6475.0</v>
      </c>
      <c r="AH344" s="50" t="s">
        <v>22719</v>
      </c>
      <c r="AI344" s="50" t="s">
        <v>22720</v>
      </c>
      <c r="AJ344" s="117">
        <v>345.0</v>
      </c>
    </row>
    <row r="345">
      <c r="A345" s="50" t="s">
        <v>22712</v>
      </c>
      <c r="B345" s="50" t="s">
        <v>6876</v>
      </c>
      <c r="C345" s="50" t="s">
        <v>6877</v>
      </c>
      <c r="D345" s="50" t="s">
        <v>11623</v>
      </c>
      <c r="E345" s="144">
        <v>43817.0</v>
      </c>
      <c r="F345" s="50" t="s">
        <v>22722</v>
      </c>
      <c r="G345" s="50">
        <v>57.0</v>
      </c>
      <c r="H345" s="50">
        <v>1.0</v>
      </c>
      <c r="I345" s="50">
        <v>16.0</v>
      </c>
      <c r="J345" s="116"/>
      <c r="K345" s="116"/>
      <c r="L345" s="50" t="s">
        <v>1189</v>
      </c>
      <c r="M345" s="50" t="s">
        <v>1189</v>
      </c>
      <c r="N345" s="50">
        <v>1.0</v>
      </c>
      <c r="O345" s="50">
        <v>1.0</v>
      </c>
      <c r="P345" s="50">
        <v>0.0</v>
      </c>
      <c r="Q345" s="116"/>
      <c r="R345" s="50" t="s">
        <v>22725</v>
      </c>
      <c r="S345" s="116"/>
      <c r="T345" s="144">
        <v>43713.0</v>
      </c>
      <c r="U345" s="50">
        <v>9999.0</v>
      </c>
      <c r="V345" s="50">
        <v>9999.0</v>
      </c>
      <c r="W345" s="116"/>
      <c r="X345" s="116"/>
      <c r="Y345" s="116"/>
      <c r="Z345" s="116"/>
      <c r="AA345" s="116"/>
      <c r="AB345" s="116"/>
      <c r="AC345" s="116"/>
      <c r="AD345" s="116"/>
      <c r="AE345" s="50">
        <v>1.0</v>
      </c>
      <c r="AF345" s="50" t="s">
        <v>18902</v>
      </c>
      <c r="AG345" s="117">
        <v>6476.0</v>
      </c>
      <c r="AH345" s="50" t="s">
        <v>22728</v>
      </c>
      <c r="AI345" s="50" t="s">
        <v>22729</v>
      </c>
      <c r="AJ345" s="117">
        <v>346.0</v>
      </c>
    </row>
    <row r="346">
      <c r="A346" s="50" t="s">
        <v>22722</v>
      </c>
      <c r="B346" s="50" t="s">
        <v>6876</v>
      </c>
      <c r="C346" s="50" t="s">
        <v>6877</v>
      </c>
      <c r="D346" s="50" t="s">
        <v>11623</v>
      </c>
      <c r="E346" s="144">
        <v>43817.0</v>
      </c>
      <c r="F346" s="50" t="s">
        <v>22731</v>
      </c>
      <c r="G346" s="50">
        <v>58.0</v>
      </c>
      <c r="H346" s="50">
        <v>1.0</v>
      </c>
      <c r="I346" s="50">
        <v>5.0</v>
      </c>
      <c r="J346" s="116"/>
      <c r="K346" s="116"/>
      <c r="L346" s="50" t="s">
        <v>1177</v>
      </c>
      <c r="M346" s="50" t="s">
        <v>1177</v>
      </c>
      <c r="N346" s="122">
        <v>43467.0</v>
      </c>
      <c r="O346" s="50">
        <v>1.0</v>
      </c>
      <c r="P346" s="50">
        <v>1.0</v>
      </c>
      <c r="Q346" s="116"/>
      <c r="R346" s="50" t="s">
        <v>22509</v>
      </c>
      <c r="S346" s="116"/>
      <c r="T346" s="144">
        <v>43712.0</v>
      </c>
      <c r="U346" s="50">
        <v>9999.0</v>
      </c>
      <c r="V346" s="50">
        <v>9999.0</v>
      </c>
      <c r="W346" s="116"/>
      <c r="X346" s="116"/>
      <c r="Y346" s="144">
        <v>43773.0</v>
      </c>
      <c r="Z346" s="50">
        <v>36.73</v>
      </c>
      <c r="AA346" s="50">
        <v>36.1</v>
      </c>
      <c r="AB346" s="116"/>
      <c r="AC346" s="116"/>
      <c r="AD346" s="116"/>
      <c r="AE346" s="50">
        <v>1.0</v>
      </c>
      <c r="AF346" s="50" t="s">
        <v>18902</v>
      </c>
      <c r="AG346" s="117">
        <v>6477.0</v>
      </c>
      <c r="AH346" s="50" t="s">
        <v>22742</v>
      </c>
      <c r="AI346" s="50" t="s">
        <v>22743</v>
      </c>
      <c r="AJ346" s="117">
        <v>347.0</v>
      </c>
    </row>
    <row r="347">
      <c r="A347" s="50" t="s">
        <v>22731</v>
      </c>
      <c r="B347" s="50" t="s">
        <v>6876</v>
      </c>
      <c r="C347" s="50" t="s">
        <v>6877</v>
      </c>
      <c r="D347" s="50" t="s">
        <v>11623</v>
      </c>
      <c r="E347" s="144">
        <v>43817.0</v>
      </c>
      <c r="F347" s="50" t="s">
        <v>22747</v>
      </c>
      <c r="G347" s="50">
        <v>58.0</v>
      </c>
      <c r="H347" s="50">
        <v>1.0</v>
      </c>
      <c r="I347" s="50">
        <v>99.0</v>
      </c>
      <c r="J347" s="116"/>
      <c r="K347" s="116"/>
      <c r="L347" s="50" t="s">
        <v>1178</v>
      </c>
      <c r="M347" s="50" t="s">
        <v>1178</v>
      </c>
      <c r="N347" s="122">
        <v>43467.0</v>
      </c>
      <c r="O347" s="50">
        <v>1.0</v>
      </c>
      <c r="P347" s="50">
        <v>1.0</v>
      </c>
      <c r="Q347" s="116"/>
      <c r="R347" s="50" t="s">
        <v>22509</v>
      </c>
      <c r="S347" s="116"/>
      <c r="T347" s="144">
        <v>43712.0</v>
      </c>
      <c r="U347" s="50">
        <v>9999.0</v>
      </c>
      <c r="V347" s="50">
        <v>9999.0</v>
      </c>
      <c r="W347" s="116"/>
      <c r="X347" s="116"/>
      <c r="Y347" s="144">
        <v>43732.0</v>
      </c>
      <c r="Z347" s="50">
        <v>39.58</v>
      </c>
      <c r="AA347" s="50">
        <v>37.98</v>
      </c>
      <c r="AB347" s="116"/>
      <c r="AC347" s="116"/>
      <c r="AD347" s="50" t="s">
        <v>22756</v>
      </c>
      <c r="AE347" s="50">
        <v>1.0</v>
      </c>
      <c r="AF347" s="50" t="s">
        <v>18902</v>
      </c>
      <c r="AG347" s="117">
        <v>6478.0</v>
      </c>
      <c r="AH347" s="50" t="s">
        <v>22757</v>
      </c>
      <c r="AI347" s="50" t="s">
        <v>22758</v>
      </c>
      <c r="AJ347" s="117">
        <v>348.0</v>
      </c>
    </row>
    <row r="348">
      <c r="A348" s="50" t="s">
        <v>22747</v>
      </c>
      <c r="B348" s="50" t="s">
        <v>6876</v>
      </c>
      <c r="C348" s="50" t="s">
        <v>6877</v>
      </c>
      <c r="D348" s="50" t="s">
        <v>11623</v>
      </c>
      <c r="E348" s="144">
        <v>43817.0</v>
      </c>
      <c r="F348" s="50" t="s">
        <v>22764</v>
      </c>
      <c r="G348" s="50">
        <v>58.0</v>
      </c>
      <c r="H348" s="50">
        <v>1.0</v>
      </c>
      <c r="I348" s="50">
        <v>99.0</v>
      </c>
      <c r="J348" s="116"/>
      <c r="K348" s="116"/>
      <c r="L348" s="50" t="s">
        <v>1180</v>
      </c>
      <c r="M348" s="50" t="s">
        <v>1180</v>
      </c>
      <c r="N348" s="122">
        <v>43467.0</v>
      </c>
      <c r="O348" s="50">
        <v>1.0</v>
      </c>
      <c r="P348" s="50">
        <v>1.0</v>
      </c>
      <c r="Q348" s="116"/>
      <c r="R348" s="50" t="s">
        <v>22193</v>
      </c>
      <c r="S348" s="116"/>
      <c r="T348" s="144">
        <v>43717.0</v>
      </c>
      <c r="U348" s="50">
        <v>9999.0</v>
      </c>
      <c r="V348" s="50">
        <v>37.0</v>
      </c>
      <c r="W348" s="116"/>
      <c r="X348" s="116"/>
      <c r="Y348" s="144">
        <v>43717.0</v>
      </c>
      <c r="Z348" s="50">
        <v>40.0</v>
      </c>
      <c r="AA348" s="50">
        <v>40.0</v>
      </c>
      <c r="AB348" s="116"/>
      <c r="AC348" s="116"/>
      <c r="AD348" s="50" t="s">
        <v>22756</v>
      </c>
      <c r="AE348" s="50">
        <v>1.0</v>
      </c>
      <c r="AF348" s="50" t="s">
        <v>18902</v>
      </c>
      <c r="AG348" s="117">
        <v>6479.0</v>
      </c>
      <c r="AH348" s="50" t="s">
        <v>22773</v>
      </c>
      <c r="AI348" s="50" t="s">
        <v>22774</v>
      </c>
      <c r="AJ348" s="117">
        <v>349.0</v>
      </c>
    </row>
    <row r="349">
      <c r="A349" s="50" t="s">
        <v>22764</v>
      </c>
      <c r="B349" s="50" t="s">
        <v>6876</v>
      </c>
      <c r="C349" s="50" t="s">
        <v>6877</v>
      </c>
      <c r="D349" s="50" t="s">
        <v>11623</v>
      </c>
      <c r="E349" s="144">
        <v>43817.0</v>
      </c>
      <c r="F349" s="50" t="s">
        <v>22777</v>
      </c>
      <c r="G349" s="50">
        <v>57.0</v>
      </c>
      <c r="H349" s="50">
        <v>1.0</v>
      </c>
      <c r="I349" s="50">
        <v>12.0</v>
      </c>
      <c r="J349" s="116"/>
      <c r="K349" s="116"/>
      <c r="L349" s="50" t="s">
        <v>1192</v>
      </c>
      <c r="M349" s="50" t="s">
        <v>1192</v>
      </c>
      <c r="N349" s="122">
        <v>43467.0</v>
      </c>
      <c r="O349" s="50">
        <v>1.0</v>
      </c>
      <c r="P349" s="50">
        <v>1.0</v>
      </c>
      <c r="Q349" s="116"/>
      <c r="R349" s="50" t="s">
        <v>22193</v>
      </c>
      <c r="S349" s="116"/>
      <c r="T349" s="144">
        <v>43717.0</v>
      </c>
      <c r="U349" s="50">
        <v>22.86</v>
      </c>
      <c r="V349" s="50">
        <v>22.45</v>
      </c>
      <c r="W349" s="116"/>
      <c r="X349" s="116"/>
      <c r="Y349" s="144">
        <v>43732.0</v>
      </c>
      <c r="Z349" s="50">
        <v>36.73</v>
      </c>
      <c r="AA349" s="50">
        <v>37.73</v>
      </c>
      <c r="AB349" s="116"/>
      <c r="AC349" s="116"/>
      <c r="AD349" s="116"/>
      <c r="AE349" s="50">
        <v>1.0</v>
      </c>
      <c r="AF349" s="50" t="s">
        <v>18902</v>
      </c>
      <c r="AG349" s="117">
        <v>6480.0</v>
      </c>
      <c r="AH349" s="50" t="s">
        <v>22792</v>
      </c>
      <c r="AI349" s="50" t="s">
        <v>22794</v>
      </c>
      <c r="AJ349" s="117">
        <v>350.0</v>
      </c>
    </row>
    <row r="350">
      <c r="A350" s="50" t="s">
        <v>22777</v>
      </c>
      <c r="B350" s="50" t="s">
        <v>6876</v>
      </c>
      <c r="C350" s="50" t="s">
        <v>6877</v>
      </c>
      <c r="D350" s="50" t="s">
        <v>11623</v>
      </c>
      <c r="E350" s="144">
        <v>43817.0</v>
      </c>
      <c r="F350" s="50" t="s">
        <v>22795</v>
      </c>
      <c r="G350" s="50">
        <v>57.0</v>
      </c>
      <c r="H350" s="50">
        <v>1.0</v>
      </c>
      <c r="I350" s="50">
        <v>12.0</v>
      </c>
      <c r="J350" s="116"/>
      <c r="K350" s="116"/>
      <c r="L350" s="50" t="s">
        <v>1193</v>
      </c>
      <c r="M350" s="50" t="s">
        <v>1193</v>
      </c>
      <c r="N350" s="122">
        <v>43467.0</v>
      </c>
      <c r="O350" s="50">
        <v>1.0</v>
      </c>
      <c r="P350" s="50">
        <v>1.0</v>
      </c>
      <c r="Q350" s="116"/>
      <c r="R350" s="50" t="s">
        <v>22193</v>
      </c>
      <c r="S350" s="116"/>
      <c r="T350" s="144">
        <v>43717.0</v>
      </c>
      <c r="U350" s="50">
        <v>21.88</v>
      </c>
      <c r="V350" s="50">
        <v>22.01</v>
      </c>
      <c r="W350" s="116"/>
      <c r="X350" s="116"/>
      <c r="Y350" s="144">
        <v>43732.0</v>
      </c>
      <c r="Z350" s="50">
        <v>39.02</v>
      </c>
      <c r="AA350" s="50">
        <v>38.95</v>
      </c>
      <c r="AB350" s="116"/>
      <c r="AC350" s="116"/>
      <c r="AD350" s="116"/>
      <c r="AE350" s="50">
        <v>1.0</v>
      </c>
      <c r="AF350" s="50" t="s">
        <v>18902</v>
      </c>
      <c r="AG350" s="117">
        <v>6481.0</v>
      </c>
      <c r="AH350" s="50" t="s">
        <v>22801</v>
      </c>
      <c r="AI350" s="50" t="s">
        <v>22802</v>
      </c>
      <c r="AJ350" s="117">
        <v>351.0</v>
      </c>
    </row>
    <row r="351">
      <c r="A351" s="50" t="s">
        <v>22805</v>
      </c>
      <c r="B351" s="50" t="s">
        <v>6876</v>
      </c>
      <c r="C351" s="50" t="s">
        <v>6877</v>
      </c>
      <c r="D351" s="50" t="s">
        <v>11623</v>
      </c>
      <c r="E351" s="144">
        <v>43817.0</v>
      </c>
      <c r="F351" s="50" t="s">
        <v>22807</v>
      </c>
      <c r="G351" s="50">
        <v>57.0</v>
      </c>
      <c r="H351" s="50">
        <v>1.0</v>
      </c>
      <c r="I351" s="50">
        <v>99.0</v>
      </c>
      <c r="J351" s="116"/>
      <c r="K351" s="116"/>
      <c r="L351" s="50" t="s">
        <v>1196</v>
      </c>
      <c r="M351" s="50" t="s">
        <v>1196</v>
      </c>
      <c r="N351" s="122">
        <v>43467.0</v>
      </c>
      <c r="O351" s="50">
        <v>1.0</v>
      </c>
      <c r="P351" s="50">
        <v>1.0</v>
      </c>
      <c r="Q351" s="116"/>
      <c r="R351" s="50" t="s">
        <v>22193</v>
      </c>
      <c r="S351" s="116"/>
      <c r="T351" s="144">
        <v>43717.0</v>
      </c>
      <c r="U351" s="50">
        <v>37.26</v>
      </c>
      <c r="V351" s="50">
        <v>36.44</v>
      </c>
      <c r="W351" s="116"/>
      <c r="X351" s="116"/>
      <c r="Y351" s="144">
        <v>43732.0</v>
      </c>
      <c r="Z351" s="50">
        <v>9999.0</v>
      </c>
      <c r="AA351" s="50">
        <v>9999.0</v>
      </c>
      <c r="AB351" s="116"/>
      <c r="AC351" s="116"/>
      <c r="AD351" s="50" t="s">
        <v>22814</v>
      </c>
      <c r="AE351" s="50">
        <v>1.0</v>
      </c>
      <c r="AF351" s="50" t="s">
        <v>18902</v>
      </c>
      <c r="AG351" s="117">
        <v>6482.0</v>
      </c>
      <c r="AH351" s="50" t="s">
        <v>22817</v>
      </c>
      <c r="AI351" s="50" t="s">
        <v>22818</v>
      </c>
      <c r="AJ351" s="117">
        <v>352.0</v>
      </c>
    </row>
    <row r="352">
      <c r="A352" s="50" t="s">
        <v>22807</v>
      </c>
      <c r="B352" s="50" t="s">
        <v>6876</v>
      </c>
      <c r="C352" s="50" t="s">
        <v>6877</v>
      </c>
      <c r="D352" s="50" t="s">
        <v>11623</v>
      </c>
      <c r="E352" s="144">
        <v>43817.0</v>
      </c>
      <c r="F352" s="50" t="s">
        <v>22822</v>
      </c>
      <c r="G352" s="50">
        <v>57.0</v>
      </c>
      <c r="H352" s="50">
        <v>1.0</v>
      </c>
      <c r="I352" s="50">
        <v>16.0</v>
      </c>
      <c r="J352" s="116"/>
      <c r="K352" s="116"/>
      <c r="L352" s="50" t="s">
        <v>1203</v>
      </c>
      <c r="M352" s="50" t="s">
        <v>1203</v>
      </c>
      <c r="N352" s="122">
        <v>43467.0</v>
      </c>
      <c r="O352" s="50">
        <v>1.0</v>
      </c>
      <c r="P352" s="50">
        <v>1.0</v>
      </c>
      <c r="Q352" s="116"/>
      <c r="R352" s="50" t="s">
        <v>22193</v>
      </c>
      <c r="S352" s="116"/>
      <c r="T352" s="144">
        <v>43717.0</v>
      </c>
      <c r="U352" s="50">
        <v>30.74</v>
      </c>
      <c r="V352" s="50">
        <v>30.73</v>
      </c>
      <c r="W352" s="116"/>
      <c r="X352" s="116"/>
      <c r="Y352" s="144">
        <v>43732.0</v>
      </c>
      <c r="Z352" s="50">
        <v>9999.0</v>
      </c>
      <c r="AA352" s="50">
        <v>38.57</v>
      </c>
      <c r="AB352" s="116"/>
      <c r="AC352" s="116"/>
      <c r="AD352" s="116"/>
      <c r="AE352" s="50">
        <v>1.0</v>
      </c>
      <c r="AF352" s="50" t="s">
        <v>18902</v>
      </c>
      <c r="AG352" s="117">
        <v>6483.0</v>
      </c>
      <c r="AH352" s="50" t="s">
        <v>22827</v>
      </c>
      <c r="AI352" s="50" t="s">
        <v>22828</v>
      </c>
      <c r="AJ352" s="117">
        <v>353.0</v>
      </c>
    </row>
    <row r="353">
      <c r="A353" s="50" t="s">
        <v>22822</v>
      </c>
      <c r="B353" s="50" t="s">
        <v>6876</v>
      </c>
      <c r="C353" s="50" t="s">
        <v>6877</v>
      </c>
      <c r="D353" s="50" t="s">
        <v>11623</v>
      </c>
      <c r="E353" s="144">
        <v>43817.0</v>
      </c>
      <c r="F353" s="50" t="s">
        <v>22831</v>
      </c>
      <c r="G353" s="50">
        <v>58.0</v>
      </c>
      <c r="H353" s="50">
        <v>1.0</v>
      </c>
      <c r="I353" s="50">
        <v>7.0</v>
      </c>
      <c r="J353" s="116"/>
      <c r="K353" s="116"/>
      <c r="L353" s="50" t="s">
        <v>1198</v>
      </c>
      <c r="M353" s="50" t="s">
        <v>1198</v>
      </c>
      <c r="N353" s="122">
        <v>43467.0</v>
      </c>
      <c r="O353" s="50">
        <v>1.0</v>
      </c>
      <c r="P353" s="50">
        <v>1.0</v>
      </c>
      <c r="Q353" s="116"/>
      <c r="R353" s="50" t="s">
        <v>22193</v>
      </c>
      <c r="S353" s="116"/>
      <c r="T353" s="144">
        <v>43717.0</v>
      </c>
      <c r="U353" s="50">
        <v>26.66</v>
      </c>
      <c r="V353" s="50">
        <v>26.63</v>
      </c>
      <c r="W353" s="116"/>
      <c r="X353" s="116"/>
      <c r="Y353" s="144">
        <v>43732.0</v>
      </c>
      <c r="Z353" s="50">
        <v>40.0</v>
      </c>
      <c r="AA353" s="50">
        <v>9999.0</v>
      </c>
      <c r="AB353" s="116"/>
      <c r="AC353" s="116"/>
      <c r="AD353" s="116"/>
      <c r="AE353" s="50">
        <v>1.0</v>
      </c>
      <c r="AF353" s="50" t="s">
        <v>18902</v>
      </c>
      <c r="AG353" s="117">
        <v>6484.0</v>
      </c>
      <c r="AH353" s="50" t="s">
        <v>22836</v>
      </c>
      <c r="AI353" s="50" t="s">
        <v>22838</v>
      </c>
      <c r="AJ353" s="117">
        <v>354.0</v>
      </c>
    </row>
    <row r="354">
      <c r="A354" s="50" t="s">
        <v>22831</v>
      </c>
      <c r="B354" s="50" t="s">
        <v>6876</v>
      </c>
      <c r="C354" s="50" t="s">
        <v>6877</v>
      </c>
      <c r="D354" s="50" t="s">
        <v>11623</v>
      </c>
      <c r="E354" s="144">
        <v>43817.0</v>
      </c>
      <c r="F354" s="50" t="s">
        <v>22844</v>
      </c>
      <c r="G354" s="50">
        <v>59.0</v>
      </c>
      <c r="H354" s="50">
        <v>1.0</v>
      </c>
      <c r="I354" s="50">
        <v>7.0</v>
      </c>
      <c r="J354" s="116"/>
      <c r="K354" s="116"/>
      <c r="L354" s="50" t="s">
        <v>1199</v>
      </c>
      <c r="M354" s="50" t="s">
        <v>1199</v>
      </c>
      <c r="N354" s="122">
        <v>43467.0</v>
      </c>
      <c r="O354" s="50">
        <v>1.0</v>
      </c>
      <c r="P354" s="50">
        <v>1.0</v>
      </c>
      <c r="Q354" s="116"/>
      <c r="R354" s="50" t="s">
        <v>22193</v>
      </c>
      <c r="S354" s="116"/>
      <c r="T354" s="144">
        <v>43717.0</v>
      </c>
      <c r="U354" s="50">
        <v>34.83</v>
      </c>
      <c r="V354" s="50">
        <v>34.79</v>
      </c>
      <c r="W354" s="116"/>
      <c r="X354" s="116"/>
      <c r="Y354" s="144">
        <v>43732.0</v>
      </c>
      <c r="Z354" s="50">
        <v>38.14</v>
      </c>
      <c r="AA354" s="50">
        <v>40.0</v>
      </c>
      <c r="AB354" s="116"/>
      <c r="AC354" s="116"/>
      <c r="AD354" s="116"/>
      <c r="AE354" s="50">
        <v>1.0</v>
      </c>
      <c r="AF354" s="50" t="s">
        <v>18902</v>
      </c>
      <c r="AG354" s="117">
        <v>6485.0</v>
      </c>
      <c r="AH354" s="50" t="s">
        <v>22857</v>
      </c>
      <c r="AI354" s="50" t="s">
        <v>22859</v>
      </c>
      <c r="AJ354" s="117">
        <v>355.0</v>
      </c>
    </row>
    <row r="355">
      <c r="A355" s="50" t="s">
        <v>22844</v>
      </c>
      <c r="B355" s="50" t="s">
        <v>6876</v>
      </c>
      <c r="C355" s="50" t="s">
        <v>6877</v>
      </c>
      <c r="D355" s="50" t="s">
        <v>11623</v>
      </c>
      <c r="E355" s="144">
        <v>43817.0</v>
      </c>
      <c r="F355" s="50" t="s">
        <v>22864</v>
      </c>
      <c r="G355" s="50">
        <v>58.0</v>
      </c>
      <c r="H355" s="50">
        <v>1.0</v>
      </c>
      <c r="I355" s="50">
        <v>99.0</v>
      </c>
      <c r="J355" s="116"/>
      <c r="K355" s="116"/>
      <c r="L355" s="50" t="s">
        <v>1202</v>
      </c>
      <c r="M355" s="50" t="s">
        <v>1202</v>
      </c>
      <c r="N355" s="122">
        <v>43467.0</v>
      </c>
      <c r="O355" s="50">
        <v>1.0</v>
      </c>
      <c r="P355" s="50">
        <v>1.0</v>
      </c>
      <c r="Q355" s="116"/>
      <c r="R355" s="50" t="s">
        <v>22193</v>
      </c>
      <c r="S355" s="116"/>
      <c r="T355" s="144">
        <v>43717.0</v>
      </c>
      <c r="U355" s="50">
        <v>36.55</v>
      </c>
      <c r="V355" s="50">
        <v>9999.0</v>
      </c>
      <c r="W355" s="116"/>
      <c r="X355" s="116"/>
      <c r="Y355" s="144">
        <v>43732.0</v>
      </c>
      <c r="Z355" s="50">
        <v>9999.0</v>
      </c>
      <c r="AA355" s="50">
        <v>9999.0</v>
      </c>
      <c r="AB355" s="116"/>
      <c r="AC355" s="116"/>
      <c r="AD355" s="50" t="s">
        <v>22874</v>
      </c>
      <c r="AE355" s="50">
        <v>1.0</v>
      </c>
      <c r="AF355" s="50" t="s">
        <v>18902</v>
      </c>
      <c r="AG355" s="117">
        <v>6486.0</v>
      </c>
      <c r="AH355" s="50" t="s">
        <v>22877</v>
      </c>
      <c r="AI355" s="50" t="s">
        <v>22878</v>
      </c>
      <c r="AJ355" s="117">
        <v>356.0</v>
      </c>
    </row>
    <row r="356">
      <c r="A356" s="50" t="s">
        <v>22864</v>
      </c>
      <c r="B356" s="50" t="s">
        <v>6876</v>
      </c>
      <c r="C356" s="50" t="s">
        <v>6877</v>
      </c>
      <c r="D356" s="50" t="s">
        <v>11623</v>
      </c>
      <c r="E356" s="144">
        <v>43817.0</v>
      </c>
      <c r="F356" s="50" t="s">
        <v>22882</v>
      </c>
      <c r="G356" s="50">
        <v>58.0</v>
      </c>
      <c r="H356" s="50">
        <v>1.0</v>
      </c>
      <c r="I356" s="50">
        <v>2.0</v>
      </c>
      <c r="J356" s="116"/>
      <c r="K356" s="116"/>
      <c r="L356" s="50" t="s">
        <v>1219</v>
      </c>
      <c r="M356" s="50" t="s">
        <v>1219</v>
      </c>
      <c r="N356" s="122">
        <v>43467.0</v>
      </c>
      <c r="O356" s="50">
        <v>1.0</v>
      </c>
      <c r="P356" s="50">
        <v>1.0</v>
      </c>
      <c r="Q356" s="116"/>
      <c r="R356" s="50" t="s">
        <v>22193</v>
      </c>
      <c r="S356" s="116"/>
      <c r="T356" s="144">
        <v>43717.0</v>
      </c>
      <c r="U356" s="50">
        <v>36.04</v>
      </c>
      <c r="V356" s="50">
        <v>35.15</v>
      </c>
      <c r="W356" s="116"/>
      <c r="X356" s="116"/>
      <c r="Y356" s="144">
        <v>43732.0</v>
      </c>
      <c r="Z356" s="50">
        <v>40.0</v>
      </c>
      <c r="AA356" s="50">
        <v>40.0</v>
      </c>
      <c r="AB356" s="116"/>
      <c r="AC356" s="116"/>
      <c r="AD356" s="116"/>
      <c r="AE356" s="50">
        <v>1.0</v>
      </c>
      <c r="AF356" s="50" t="s">
        <v>18902</v>
      </c>
      <c r="AG356" s="117">
        <v>6487.0</v>
      </c>
      <c r="AH356" s="50" t="s">
        <v>22890</v>
      </c>
      <c r="AI356" s="50" t="s">
        <v>22891</v>
      </c>
      <c r="AJ356" s="117">
        <v>357.0</v>
      </c>
    </row>
    <row r="357">
      <c r="A357" s="50" t="s">
        <v>22882</v>
      </c>
      <c r="B357" s="50" t="s">
        <v>6876</v>
      </c>
      <c r="C357" s="50" t="s">
        <v>6877</v>
      </c>
      <c r="D357" s="50" t="s">
        <v>11623</v>
      </c>
      <c r="E357" s="144">
        <v>43817.0</v>
      </c>
      <c r="F357" s="50" t="s">
        <v>22896</v>
      </c>
      <c r="G357" s="50">
        <v>58.0</v>
      </c>
      <c r="H357" s="50">
        <v>1.0</v>
      </c>
      <c r="I357" s="50">
        <v>2.0</v>
      </c>
      <c r="J357" s="116"/>
      <c r="K357" s="116"/>
      <c r="L357" s="50" t="s">
        <v>1221</v>
      </c>
      <c r="M357" s="50" t="s">
        <v>1221</v>
      </c>
      <c r="N357" s="122">
        <v>43467.0</v>
      </c>
      <c r="O357" s="50">
        <v>1.0</v>
      </c>
      <c r="P357" s="50">
        <v>1.0</v>
      </c>
      <c r="Q357" s="116"/>
      <c r="R357" s="50" t="s">
        <v>22193</v>
      </c>
      <c r="S357" s="116"/>
      <c r="T357" s="144">
        <v>43717.0</v>
      </c>
      <c r="U357" s="50">
        <v>31.19</v>
      </c>
      <c r="V357" s="50">
        <v>30.83</v>
      </c>
      <c r="W357" s="116"/>
      <c r="X357" s="116"/>
      <c r="Y357" s="144">
        <v>43732.0</v>
      </c>
      <c r="Z357" s="50">
        <v>9999.0</v>
      </c>
      <c r="AA357" s="50">
        <v>40.0</v>
      </c>
      <c r="AB357" s="116"/>
      <c r="AC357" s="116"/>
      <c r="AD357" s="116"/>
      <c r="AE357" s="50">
        <v>1.0</v>
      </c>
      <c r="AF357" s="50" t="s">
        <v>18902</v>
      </c>
      <c r="AG357" s="117">
        <v>6488.0</v>
      </c>
      <c r="AH357" s="50" t="s">
        <v>22905</v>
      </c>
      <c r="AI357" s="50" t="s">
        <v>22907</v>
      </c>
      <c r="AJ357" s="117">
        <v>358.0</v>
      </c>
    </row>
    <row r="358">
      <c r="A358" s="50" t="s">
        <v>22909</v>
      </c>
      <c r="B358" s="50" t="s">
        <v>6876</v>
      </c>
      <c r="C358" s="50" t="s">
        <v>6877</v>
      </c>
      <c r="D358" s="50" t="s">
        <v>11623</v>
      </c>
      <c r="E358" s="144">
        <v>43817.0</v>
      </c>
      <c r="F358" s="50" t="s">
        <v>22911</v>
      </c>
      <c r="G358" s="50">
        <v>58.0</v>
      </c>
      <c r="H358" s="50">
        <v>1.0</v>
      </c>
      <c r="I358" s="50">
        <v>99.0</v>
      </c>
      <c r="J358" s="116"/>
      <c r="K358" s="116"/>
      <c r="L358" s="50" t="s">
        <v>1222</v>
      </c>
      <c r="M358" s="50" t="s">
        <v>1222</v>
      </c>
      <c r="N358" s="122">
        <v>43467.0</v>
      </c>
      <c r="O358" s="50">
        <v>1.0</v>
      </c>
      <c r="P358" s="50">
        <v>1.0</v>
      </c>
      <c r="Q358" s="116"/>
      <c r="R358" s="50" t="s">
        <v>22193</v>
      </c>
      <c r="S358" s="116"/>
      <c r="T358" s="144">
        <v>43717.0</v>
      </c>
      <c r="U358" s="50">
        <v>9999.0</v>
      </c>
      <c r="V358" s="50">
        <v>9999.0</v>
      </c>
      <c r="W358" s="116"/>
      <c r="X358" s="116"/>
      <c r="Y358" s="144">
        <v>43732.0</v>
      </c>
      <c r="Z358" s="50">
        <v>9999.0</v>
      </c>
      <c r="AA358" s="50">
        <v>9999.0</v>
      </c>
      <c r="AB358" s="116"/>
      <c r="AC358" s="116"/>
      <c r="AD358" s="50" t="s">
        <v>22924</v>
      </c>
      <c r="AE358" s="50">
        <v>1.0</v>
      </c>
      <c r="AF358" s="50" t="s">
        <v>18902</v>
      </c>
      <c r="AG358" s="117">
        <v>6489.0</v>
      </c>
      <c r="AH358" s="50" t="s">
        <v>22925</v>
      </c>
      <c r="AI358" s="50" t="s">
        <v>22927</v>
      </c>
      <c r="AJ358" s="117">
        <v>359.0</v>
      </c>
    </row>
    <row r="359">
      <c r="A359" s="50" t="s">
        <v>22911</v>
      </c>
      <c r="B359" s="50" t="s">
        <v>6876</v>
      </c>
      <c r="C359" s="50" t="s">
        <v>6877</v>
      </c>
      <c r="D359" s="50" t="s">
        <v>11623</v>
      </c>
      <c r="E359" s="144">
        <v>43817.0</v>
      </c>
      <c r="F359" s="50" t="s">
        <v>22931</v>
      </c>
      <c r="G359" s="50">
        <v>58.0</v>
      </c>
      <c r="H359" s="50">
        <v>1.0</v>
      </c>
      <c r="I359" s="50">
        <v>99.0</v>
      </c>
      <c r="J359" s="116"/>
      <c r="K359" s="116"/>
      <c r="L359" s="50" t="s">
        <v>1224</v>
      </c>
      <c r="M359" s="50" t="s">
        <v>1224</v>
      </c>
      <c r="N359" s="122">
        <v>43467.0</v>
      </c>
      <c r="O359" s="50">
        <v>1.0</v>
      </c>
      <c r="P359" s="50">
        <v>1.0</v>
      </c>
      <c r="Q359" s="116"/>
      <c r="R359" s="50" t="s">
        <v>22193</v>
      </c>
      <c r="S359" s="116"/>
      <c r="T359" s="144">
        <v>43717.0</v>
      </c>
      <c r="U359" s="50">
        <v>9999.0</v>
      </c>
      <c r="V359" s="50">
        <v>38.5</v>
      </c>
      <c r="W359" s="116"/>
      <c r="X359" s="116"/>
      <c r="Y359" s="144">
        <v>43732.0</v>
      </c>
      <c r="Z359" s="50">
        <v>9999.0</v>
      </c>
      <c r="AA359" s="50">
        <v>38.5</v>
      </c>
      <c r="AB359" s="116"/>
      <c r="AC359" s="116"/>
      <c r="AD359" s="50" t="s">
        <v>22924</v>
      </c>
      <c r="AE359" s="50">
        <v>1.0</v>
      </c>
      <c r="AF359" s="50" t="s">
        <v>18902</v>
      </c>
      <c r="AG359" s="117">
        <v>6490.0</v>
      </c>
      <c r="AH359" s="50" t="s">
        <v>22937</v>
      </c>
      <c r="AI359" s="50" t="s">
        <v>22938</v>
      </c>
      <c r="AJ359" s="117">
        <v>360.0</v>
      </c>
    </row>
    <row r="360">
      <c r="A360" s="50" t="s">
        <v>22931</v>
      </c>
      <c r="B360" s="50" t="s">
        <v>6876</v>
      </c>
      <c r="C360" s="50" t="s">
        <v>6877</v>
      </c>
      <c r="D360" s="50" t="s">
        <v>11623</v>
      </c>
      <c r="E360" s="144">
        <v>43817.0</v>
      </c>
      <c r="F360" s="50" t="s">
        <v>22940</v>
      </c>
      <c r="G360" s="50">
        <v>58.0</v>
      </c>
      <c r="H360" s="50">
        <v>1.0</v>
      </c>
      <c r="I360" s="50">
        <v>10.0</v>
      </c>
      <c r="J360" s="116"/>
      <c r="K360" s="116"/>
      <c r="L360" s="50" t="s">
        <v>1225</v>
      </c>
      <c r="M360" s="50" t="s">
        <v>1225</v>
      </c>
      <c r="N360" s="122">
        <v>43467.0</v>
      </c>
      <c r="O360" s="50">
        <v>1.0</v>
      </c>
      <c r="P360" s="50">
        <v>1.0</v>
      </c>
      <c r="Q360" s="116"/>
      <c r="R360" s="50" t="s">
        <v>22945</v>
      </c>
      <c r="S360" s="116"/>
      <c r="T360" s="144">
        <v>43724.0</v>
      </c>
      <c r="U360" s="50">
        <v>29.08</v>
      </c>
      <c r="V360" s="50">
        <v>9999.0</v>
      </c>
      <c r="W360" s="116"/>
      <c r="X360" s="116"/>
      <c r="Y360" s="144">
        <v>43733.0</v>
      </c>
      <c r="Z360" s="50">
        <v>9999.0</v>
      </c>
      <c r="AA360" s="50">
        <v>9999.0</v>
      </c>
      <c r="AB360" s="116"/>
      <c r="AC360" s="116"/>
      <c r="AD360" s="116"/>
      <c r="AE360" s="50">
        <v>1.0</v>
      </c>
      <c r="AF360" s="50" t="s">
        <v>18902</v>
      </c>
      <c r="AG360" s="117">
        <v>6491.0</v>
      </c>
      <c r="AH360" s="50" t="s">
        <v>22953</v>
      </c>
      <c r="AI360" s="50" t="s">
        <v>22955</v>
      </c>
      <c r="AJ360" s="117">
        <v>361.0</v>
      </c>
    </row>
    <row r="361">
      <c r="A361" s="50" t="s">
        <v>22940</v>
      </c>
      <c r="B361" s="50" t="s">
        <v>6876</v>
      </c>
      <c r="C361" s="50" t="s">
        <v>6877</v>
      </c>
      <c r="D361" s="50" t="s">
        <v>11623</v>
      </c>
      <c r="E361" s="144">
        <v>43817.0</v>
      </c>
      <c r="F361" s="50" t="s">
        <v>22956</v>
      </c>
      <c r="G361" s="50">
        <v>58.0</v>
      </c>
      <c r="H361" s="50">
        <v>1.0</v>
      </c>
      <c r="I361" s="50">
        <v>99.0</v>
      </c>
      <c r="J361" s="116"/>
      <c r="K361" s="116"/>
      <c r="L361" s="50" t="s">
        <v>1217</v>
      </c>
      <c r="M361" s="50" t="s">
        <v>1217</v>
      </c>
      <c r="N361" s="122">
        <v>43467.0</v>
      </c>
      <c r="O361" s="50">
        <v>1.0</v>
      </c>
      <c r="P361" s="50">
        <v>1.0</v>
      </c>
      <c r="Q361" s="116"/>
      <c r="R361" s="50" t="s">
        <v>22193</v>
      </c>
      <c r="S361" s="116"/>
      <c r="T361" s="144">
        <v>43717.0</v>
      </c>
      <c r="U361" s="50">
        <v>36.44</v>
      </c>
      <c r="V361" s="50">
        <v>37.61</v>
      </c>
      <c r="W361" s="116"/>
      <c r="X361" s="116"/>
      <c r="Y361" s="144">
        <v>43725.0</v>
      </c>
      <c r="Z361" s="50">
        <v>36.09</v>
      </c>
      <c r="AA361" s="50">
        <v>35.39</v>
      </c>
      <c r="AB361" s="116"/>
      <c r="AC361" s="116"/>
      <c r="AD361" s="50" t="s">
        <v>22966</v>
      </c>
      <c r="AE361" s="50">
        <v>1.0</v>
      </c>
      <c r="AF361" s="50" t="s">
        <v>18902</v>
      </c>
      <c r="AG361" s="117">
        <v>6492.0</v>
      </c>
      <c r="AH361" s="50" t="s">
        <v>22968</v>
      </c>
      <c r="AI361" s="50" t="s">
        <v>22970</v>
      </c>
      <c r="AJ361" s="117">
        <v>362.0</v>
      </c>
    </row>
    <row r="362">
      <c r="A362" s="50" t="s">
        <v>22956</v>
      </c>
      <c r="B362" s="50" t="s">
        <v>6876</v>
      </c>
      <c r="C362" s="50" t="s">
        <v>6877</v>
      </c>
      <c r="D362" s="50" t="s">
        <v>11623</v>
      </c>
      <c r="E362" s="144">
        <v>43817.0</v>
      </c>
      <c r="F362" s="50" t="s">
        <v>22974</v>
      </c>
      <c r="G362" s="50">
        <v>58.0</v>
      </c>
      <c r="H362" s="50">
        <v>1.0</v>
      </c>
      <c r="I362" s="50">
        <v>99.0</v>
      </c>
      <c r="J362" s="116"/>
      <c r="K362" s="116"/>
      <c r="L362" s="50" t="s">
        <v>1218</v>
      </c>
      <c r="M362" s="50" t="s">
        <v>1218</v>
      </c>
      <c r="N362" s="122">
        <v>43467.0</v>
      </c>
      <c r="O362" s="50">
        <v>1.0</v>
      </c>
      <c r="P362" s="50">
        <v>1.0</v>
      </c>
      <c r="Q362" s="116"/>
      <c r="R362" s="50" t="s">
        <v>22193</v>
      </c>
      <c r="S362" s="116"/>
      <c r="T362" s="144">
        <v>43717.0</v>
      </c>
      <c r="U362" s="50">
        <v>32.81</v>
      </c>
      <c r="V362" s="50">
        <v>32.91</v>
      </c>
      <c r="W362" s="116"/>
      <c r="X362" s="116"/>
      <c r="Y362" s="144">
        <v>43735.0</v>
      </c>
      <c r="Z362" s="50">
        <v>36.25</v>
      </c>
      <c r="AA362" s="50">
        <v>35.57</v>
      </c>
      <c r="AB362" s="116"/>
      <c r="AC362" s="116"/>
      <c r="AD362" s="50" t="s">
        <v>22966</v>
      </c>
      <c r="AE362" s="50">
        <v>1.0</v>
      </c>
      <c r="AF362" s="50" t="s">
        <v>18902</v>
      </c>
      <c r="AG362" s="117">
        <v>6493.0</v>
      </c>
      <c r="AH362" s="50" t="s">
        <v>22982</v>
      </c>
      <c r="AI362" s="50" t="s">
        <v>22983</v>
      </c>
      <c r="AJ362" s="117">
        <v>363.0</v>
      </c>
    </row>
    <row r="363">
      <c r="A363" s="50" t="s">
        <v>22974</v>
      </c>
      <c r="B363" s="50" t="s">
        <v>6876</v>
      </c>
      <c r="C363" s="50" t="s">
        <v>6877</v>
      </c>
      <c r="D363" s="50" t="s">
        <v>11623</v>
      </c>
      <c r="E363" s="144">
        <v>43817.0</v>
      </c>
      <c r="F363" s="50" t="s">
        <v>22985</v>
      </c>
      <c r="G363" s="50">
        <v>59.0</v>
      </c>
      <c r="H363" s="50">
        <v>1.0</v>
      </c>
      <c r="I363" s="50">
        <v>7.0</v>
      </c>
      <c r="J363" s="116"/>
      <c r="K363" s="116"/>
      <c r="L363" s="50" t="s">
        <v>1144</v>
      </c>
      <c r="M363" s="50" t="s">
        <v>1144</v>
      </c>
      <c r="N363" s="50">
        <v>2.0</v>
      </c>
      <c r="O363" s="50">
        <v>0.0</v>
      </c>
      <c r="P363" s="50">
        <v>1.0</v>
      </c>
      <c r="Q363" s="116"/>
      <c r="R363" s="50" t="s">
        <v>22993</v>
      </c>
      <c r="S363" s="116"/>
      <c r="T363" s="116"/>
      <c r="U363" s="116"/>
      <c r="V363" s="116"/>
      <c r="W363" s="116"/>
      <c r="X363" s="116"/>
      <c r="Y363" s="144">
        <v>43771.0</v>
      </c>
      <c r="Z363" s="50">
        <v>37.13</v>
      </c>
      <c r="AA363" s="50">
        <v>9999.0</v>
      </c>
      <c r="AB363" s="116"/>
      <c r="AC363" s="116"/>
      <c r="AD363" s="116"/>
      <c r="AE363" s="50">
        <v>1.0</v>
      </c>
      <c r="AF363" s="50" t="s">
        <v>18902</v>
      </c>
      <c r="AG363" s="117">
        <v>6494.0</v>
      </c>
      <c r="AH363" s="50" t="s">
        <v>23001</v>
      </c>
      <c r="AI363" s="50" t="s">
        <v>23003</v>
      </c>
      <c r="AJ363" s="117">
        <v>364.0</v>
      </c>
    </row>
    <row r="364">
      <c r="A364" s="74" t="s">
        <v>23004</v>
      </c>
      <c r="B364" s="74" t="s">
        <v>6876</v>
      </c>
      <c r="C364" s="74" t="s">
        <v>6877</v>
      </c>
      <c r="D364" s="74" t="s">
        <v>11623</v>
      </c>
      <c r="E364" s="146">
        <v>43822.0</v>
      </c>
      <c r="F364" s="74" t="s">
        <v>23005</v>
      </c>
      <c r="G364" s="74">
        <v>59.0</v>
      </c>
      <c r="H364" s="74">
        <v>1.0</v>
      </c>
      <c r="I364" s="74">
        <v>11.0</v>
      </c>
      <c r="J364" s="119"/>
      <c r="K364" s="119"/>
      <c r="L364" s="51" t="s">
        <v>359</v>
      </c>
      <c r="M364" s="51" t="s">
        <v>359</v>
      </c>
      <c r="N364" s="133">
        <v>43467.0</v>
      </c>
      <c r="O364" s="74">
        <v>1.0</v>
      </c>
      <c r="P364" s="74">
        <v>1.0</v>
      </c>
      <c r="Q364" s="119"/>
      <c r="R364" s="74" t="s">
        <v>23010</v>
      </c>
      <c r="S364" s="119"/>
      <c r="T364" s="146">
        <v>43818.0</v>
      </c>
      <c r="U364" s="74">
        <v>9999.0</v>
      </c>
      <c r="V364" s="74">
        <v>9999.0</v>
      </c>
      <c r="W364" s="119"/>
      <c r="X364" s="119"/>
      <c r="Y364" s="146">
        <v>43818.0</v>
      </c>
      <c r="Z364" s="74">
        <v>9999.0</v>
      </c>
      <c r="AA364" s="74">
        <v>9999.0</v>
      </c>
      <c r="AB364" s="119"/>
      <c r="AC364" s="119"/>
      <c r="AD364" s="119"/>
      <c r="AE364" s="74">
        <v>1.0</v>
      </c>
      <c r="AF364" s="74" t="s">
        <v>18902</v>
      </c>
      <c r="AG364" s="120">
        <v>6561.0</v>
      </c>
      <c r="AH364" s="74" t="s">
        <v>23018</v>
      </c>
      <c r="AI364" s="74" t="s">
        <v>23019</v>
      </c>
      <c r="AJ364" s="120">
        <v>365.0</v>
      </c>
    </row>
    <row r="365">
      <c r="A365" s="74" t="s">
        <v>23005</v>
      </c>
      <c r="B365" s="74" t="s">
        <v>6876</v>
      </c>
      <c r="C365" s="74" t="s">
        <v>6877</v>
      </c>
      <c r="D365" s="74" t="s">
        <v>11623</v>
      </c>
      <c r="E365" s="146">
        <v>43822.0</v>
      </c>
      <c r="F365" s="74" t="s">
        <v>23022</v>
      </c>
      <c r="G365" s="74">
        <v>59.0</v>
      </c>
      <c r="H365" s="74">
        <v>1.0</v>
      </c>
      <c r="I365" s="74">
        <v>11.0</v>
      </c>
      <c r="J365" s="119"/>
      <c r="K365" s="119"/>
      <c r="L365" s="51" t="s">
        <v>363</v>
      </c>
      <c r="M365" s="51" t="s">
        <v>363</v>
      </c>
      <c r="N365" s="133">
        <v>43467.0</v>
      </c>
      <c r="O365" s="74">
        <v>1.0</v>
      </c>
      <c r="P365" s="74">
        <v>1.0</v>
      </c>
      <c r="Q365" s="119"/>
      <c r="R365" s="74" t="s">
        <v>23010</v>
      </c>
      <c r="S365" s="119"/>
      <c r="T365" s="146">
        <v>43818.0</v>
      </c>
      <c r="U365" s="74">
        <v>9999.0</v>
      </c>
      <c r="V365" s="74">
        <v>9999.0</v>
      </c>
      <c r="W365" s="119"/>
      <c r="X365" s="119"/>
      <c r="Y365" s="146">
        <v>43818.0</v>
      </c>
      <c r="Z365" s="74">
        <v>9999.0</v>
      </c>
      <c r="AA365" s="74">
        <v>9999.0</v>
      </c>
      <c r="AB365" s="119"/>
      <c r="AC365" s="119"/>
      <c r="AD365" s="119"/>
      <c r="AE365" s="74">
        <v>1.0</v>
      </c>
      <c r="AF365" s="74" t="s">
        <v>18902</v>
      </c>
      <c r="AG365" s="120">
        <v>6562.0</v>
      </c>
      <c r="AH365" s="74" t="s">
        <v>23029</v>
      </c>
      <c r="AI365" s="74" t="s">
        <v>23030</v>
      </c>
      <c r="AJ365" s="120">
        <v>366.0</v>
      </c>
    </row>
    <row r="366">
      <c r="A366" s="74" t="s">
        <v>23022</v>
      </c>
      <c r="B366" s="74" t="s">
        <v>6876</v>
      </c>
      <c r="C366" s="74" t="s">
        <v>6877</v>
      </c>
      <c r="D366" s="74" t="s">
        <v>11623</v>
      </c>
      <c r="E366" s="146">
        <v>43822.0</v>
      </c>
      <c r="F366" s="74" t="s">
        <v>23033</v>
      </c>
      <c r="G366" s="74">
        <v>59.0</v>
      </c>
      <c r="H366" s="74">
        <v>1.0</v>
      </c>
      <c r="I366" s="74">
        <v>99.0</v>
      </c>
      <c r="J366" s="119"/>
      <c r="K366" s="119"/>
      <c r="L366" s="74" t="s">
        <v>1808</v>
      </c>
      <c r="M366" s="74" t="s">
        <v>1808</v>
      </c>
      <c r="N366" s="133">
        <v>43467.0</v>
      </c>
      <c r="O366" s="74">
        <v>1.0</v>
      </c>
      <c r="P366" s="74">
        <v>1.0</v>
      </c>
      <c r="Q366" s="119"/>
      <c r="R366" s="74" t="s">
        <v>23010</v>
      </c>
      <c r="S366" s="119"/>
      <c r="T366" s="146">
        <v>43818.0</v>
      </c>
      <c r="U366" s="74">
        <v>9999.0</v>
      </c>
      <c r="V366" s="74">
        <v>9999.0</v>
      </c>
      <c r="W366" s="119"/>
      <c r="X366" s="119"/>
      <c r="Y366" s="146">
        <v>43818.0</v>
      </c>
      <c r="Z366" s="74">
        <v>9999.0</v>
      </c>
      <c r="AA366" s="74">
        <v>9999.0</v>
      </c>
      <c r="AB366" s="119"/>
      <c r="AC366" s="119"/>
      <c r="AD366" s="74" t="s">
        <v>20076</v>
      </c>
      <c r="AE366" s="74">
        <v>1.0</v>
      </c>
      <c r="AF366" s="74" t="s">
        <v>18902</v>
      </c>
      <c r="AG366" s="120">
        <v>6563.0</v>
      </c>
      <c r="AH366" s="74" t="s">
        <v>23046</v>
      </c>
      <c r="AI366" s="74" t="s">
        <v>23047</v>
      </c>
      <c r="AJ366" s="120">
        <v>367.0</v>
      </c>
    </row>
    <row r="367">
      <c r="A367" s="74" t="s">
        <v>23033</v>
      </c>
      <c r="B367" s="74" t="s">
        <v>6876</v>
      </c>
      <c r="C367" s="74" t="s">
        <v>6877</v>
      </c>
      <c r="D367" s="74" t="s">
        <v>11623</v>
      </c>
      <c r="E367" s="146">
        <v>43822.0</v>
      </c>
      <c r="F367" s="74" t="s">
        <v>23049</v>
      </c>
      <c r="G367" s="74">
        <v>59.0</v>
      </c>
      <c r="H367" s="74">
        <v>1.0</v>
      </c>
      <c r="I367" s="74">
        <v>11.0</v>
      </c>
      <c r="J367" s="119"/>
      <c r="K367" s="119"/>
      <c r="L367" s="74" t="s">
        <v>1807</v>
      </c>
      <c r="M367" s="74" t="s">
        <v>1807</v>
      </c>
      <c r="N367" s="133">
        <v>43467.0</v>
      </c>
      <c r="O367" s="74">
        <v>1.0</v>
      </c>
      <c r="P367" s="74">
        <v>1.0</v>
      </c>
      <c r="Q367" s="119"/>
      <c r="R367" s="74" t="s">
        <v>23010</v>
      </c>
      <c r="S367" s="119"/>
      <c r="T367" s="146">
        <v>43818.0</v>
      </c>
      <c r="U367" s="74">
        <v>23.97</v>
      </c>
      <c r="V367" s="74">
        <v>24.51</v>
      </c>
      <c r="W367" s="119"/>
      <c r="X367" s="119"/>
      <c r="Y367" s="146">
        <v>43818.0</v>
      </c>
      <c r="Z367" s="74">
        <v>35.19</v>
      </c>
      <c r="AA367" s="74">
        <v>36.21</v>
      </c>
      <c r="AB367" s="119"/>
      <c r="AC367" s="119"/>
      <c r="AD367" s="119"/>
      <c r="AE367" s="74">
        <v>1.0</v>
      </c>
      <c r="AF367" s="74" t="s">
        <v>18902</v>
      </c>
      <c r="AG367" s="120">
        <v>6564.0</v>
      </c>
      <c r="AH367" s="74" t="s">
        <v>23062</v>
      </c>
      <c r="AI367" s="74" t="s">
        <v>23065</v>
      </c>
      <c r="AJ367" s="120">
        <v>368.0</v>
      </c>
    </row>
    <row r="368">
      <c r="A368" s="74" t="s">
        <v>23049</v>
      </c>
      <c r="B368" s="74" t="s">
        <v>6876</v>
      </c>
      <c r="C368" s="74" t="s">
        <v>6877</v>
      </c>
      <c r="D368" s="74" t="s">
        <v>11623</v>
      </c>
      <c r="E368" s="146">
        <v>43822.0</v>
      </c>
      <c r="F368" s="74" t="s">
        <v>23069</v>
      </c>
      <c r="G368" s="74">
        <v>59.0</v>
      </c>
      <c r="H368" s="74">
        <v>1.0</v>
      </c>
      <c r="I368" s="74">
        <v>11.0</v>
      </c>
      <c r="J368" s="119"/>
      <c r="K368" s="119"/>
      <c r="L368" s="74" t="s">
        <v>1810</v>
      </c>
      <c r="M368" s="74" t="s">
        <v>1810</v>
      </c>
      <c r="N368" s="133">
        <v>43467.0</v>
      </c>
      <c r="O368" s="74">
        <v>1.0</v>
      </c>
      <c r="P368" s="74">
        <v>1.0</v>
      </c>
      <c r="Q368" s="119"/>
      <c r="R368" s="74" t="s">
        <v>23010</v>
      </c>
      <c r="S368" s="119"/>
      <c r="T368" s="146">
        <v>43818.0</v>
      </c>
      <c r="U368" s="74">
        <v>9999.0</v>
      </c>
      <c r="V368" s="74">
        <v>27.32</v>
      </c>
      <c r="W368" s="119"/>
      <c r="X368" s="119"/>
      <c r="Y368" s="146">
        <v>43818.0</v>
      </c>
      <c r="Z368" s="74">
        <v>9999.0</v>
      </c>
      <c r="AA368" s="74">
        <v>9999.0</v>
      </c>
      <c r="AB368" s="119"/>
      <c r="AC368" s="119"/>
      <c r="AD368" s="119"/>
      <c r="AE368" s="74">
        <v>1.0</v>
      </c>
      <c r="AF368" s="74" t="s">
        <v>18902</v>
      </c>
      <c r="AG368" s="120">
        <v>6565.0</v>
      </c>
      <c r="AH368" s="74" t="s">
        <v>23075</v>
      </c>
      <c r="AI368" s="74" t="s">
        <v>23076</v>
      </c>
      <c r="AJ368" s="120">
        <v>369.0</v>
      </c>
    </row>
    <row r="369">
      <c r="A369" s="74" t="s">
        <v>23069</v>
      </c>
      <c r="B369" s="74" t="s">
        <v>6876</v>
      </c>
      <c r="C369" s="74" t="s">
        <v>6877</v>
      </c>
      <c r="D369" s="74" t="s">
        <v>11623</v>
      </c>
      <c r="E369" s="146">
        <v>43822.0</v>
      </c>
      <c r="F369" s="74" t="s">
        <v>23080</v>
      </c>
      <c r="G369" s="74">
        <v>59.0</v>
      </c>
      <c r="H369" s="74">
        <v>1.0</v>
      </c>
      <c r="I369" s="74">
        <v>16.0</v>
      </c>
      <c r="J369" s="119"/>
      <c r="K369" s="119"/>
      <c r="L369" s="74" t="s">
        <v>1816</v>
      </c>
      <c r="M369" s="74" t="s">
        <v>1816</v>
      </c>
      <c r="N369" s="133">
        <v>43467.0</v>
      </c>
      <c r="O369" s="74">
        <v>1.0</v>
      </c>
      <c r="P369" s="74">
        <v>1.0</v>
      </c>
      <c r="Q369" s="119"/>
      <c r="R369" s="74" t="s">
        <v>23010</v>
      </c>
      <c r="S369" s="119"/>
      <c r="T369" s="146">
        <v>43818.0</v>
      </c>
      <c r="U369" s="74">
        <v>9999.0</v>
      </c>
      <c r="V369" s="74">
        <v>9999.0</v>
      </c>
      <c r="W369" s="119"/>
      <c r="X369" s="119"/>
      <c r="Y369" s="146">
        <v>43818.0</v>
      </c>
      <c r="Z369" s="74">
        <v>9999.0</v>
      </c>
      <c r="AA369" s="74">
        <v>38.89</v>
      </c>
      <c r="AB369" s="119"/>
      <c r="AC369" s="119"/>
      <c r="AD369" s="119"/>
      <c r="AE369" s="74">
        <v>1.0</v>
      </c>
      <c r="AF369" s="74" t="s">
        <v>18902</v>
      </c>
      <c r="AG369" s="120">
        <v>6566.0</v>
      </c>
      <c r="AH369" s="74" t="s">
        <v>23090</v>
      </c>
      <c r="AI369" s="74" t="s">
        <v>23091</v>
      </c>
      <c r="AJ369" s="120">
        <v>370.0</v>
      </c>
    </row>
    <row r="370">
      <c r="A370" s="74" t="s">
        <v>23080</v>
      </c>
      <c r="B370" s="74" t="s">
        <v>6876</v>
      </c>
      <c r="C370" s="74" t="s">
        <v>6877</v>
      </c>
      <c r="D370" s="74" t="s">
        <v>11623</v>
      </c>
      <c r="E370" s="146">
        <v>43822.0</v>
      </c>
      <c r="F370" s="74" t="s">
        <v>23095</v>
      </c>
      <c r="G370" s="74">
        <v>59.0</v>
      </c>
      <c r="H370" s="74">
        <v>1.0</v>
      </c>
      <c r="I370" s="74">
        <v>16.0</v>
      </c>
      <c r="J370" s="119"/>
      <c r="K370" s="119"/>
      <c r="L370" s="74" t="s">
        <v>1818</v>
      </c>
      <c r="M370" s="74" t="s">
        <v>1818</v>
      </c>
      <c r="N370" s="133">
        <v>43467.0</v>
      </c>
      <c r="O370" s="74">
        <v>1.0</v>
      </c>
      <c r="P370" s="74">
        <v>1.0</v>
      </c>
      <c r="Q370" s="119"/>
      <c r="R370" s="74" t="s">
        <v>23010</v>
      </c>
      <c r="S370" s="119"/>
      <c r="T370" s="146">
        <v>43818.0</v>
      </c>
      <c r="U370" s="74">
        <v>9999.0</v>
      </c>
      <c r="V370" s="74">
        <v>24.76</v>
      </c>
      <c r="W370" s="119"/>
      <c r="X370" s="119"/>
      <c r="Y370" s="146">
        <v>43818.0</v>
      </c>
      <c r="Z370" s="74">
        <v>38.29</v>
      </c>
      <c r="AA370" s="74">
        <v>32.75</v>
      </c>
      <c r="AB370" s="119"/>
      <c r="AC370" s="119"/>
      <c r="AD370" s="119"/>
      <c r="AE370" s="74">
        <v>1.0</v>
      </c>
      <c r="AF370" s="74" t="s">
        <v>18902</v>
      </c>
      <c r="AG370" s="120">
        <v>6567.0</v>
      </c>
      <c r="AH370" s="74" t="s">
        <v>23104</v>
      </c>
      <c r="AI370" s="74" t="s">
        <v>23106</v>
      </c>
      <c r="AJ370" s="120">
        <v>371.0</v>
      </c>
    </row>
    <row r="371">
      <c r="A371" s="74" t="s">
        <v>23095</v>
      </c>
      <c r="B371" s="74" t="s">
        <v>6876</v>
      </c>
      <c r="C371" s="74" t="s">
        <v>6877</v>
      </c>
      <c r="D371" s="74" t="s">
        <v>11623</v>
      </c>
      <c r="E371" s="146">
        <v>43822.0</v>
      </c>
      <c r="F371" s="74" t="s">
        <v>23109</v>
      </c>
      <c r="G371" s="74">
        <v>58.0</v>
      </c>
      <c r="H371" s="74">
        <v>1.0</v>
      </c>
      <c r="I371" s="74">
        <v>11.0</v>
      </c>
      <c r="J371" s="119"/>
      <c r="K371" s="119"/>
      <c r="L371" s="74" t="s">
        <v>1821</v>
      </c>
      <c r="M371" s="74" t="s">
        <v>1821</v>
      </c>
      <c r="N371" s="133">
        <v>43467.0</v>
      </c>
      <c r="O371" s="74">
        <v>1.0</v>
      </c>
      <c r="P371" s="74">
        <v>1.0</v>
      </c>
      <c r="Q371" s="119"/>
      <c r="R371" s="74" t="s">
        <v>23010</v>
      </c>
      <c r="S371" s="119"/>
      <c r="T371" s="146">
        <v>43818.0</v>
      </c>
      <c r="U371" s="74">
        <v>9999.0</v>
      </c>
      <c r="V371" s="74">
        <v>9999.0</v>
      </c>
      <c r="W371" s="119"/>
      <c r="X371" s="119"/>
      <c r="Y371" s="146">
        <v>43818.0</v>
      </c>
      <c r="Z371" s="74">
        <v>40.0</v>
      </c>
      <c r="AA371" s="74">
        <v>40.0</v>
      </c>
      <c r="AB371" s="119"/>
      <c r="AC371" s="119"/>
      <c r="AD371" s="119"/>
      <c r="AE371" s="74">
        <v>1.0</v>
      </c>
      <c r="AF371" s="74" t="s">
        <v>18902</v>
      </c>
      <c r="AG371" s="120">
        <v>6568.0</v>
      </c>
      <c r="AH371" s="74" t="s">
        <v>23120</v>
      </c>
      <c r="AI371" s="74" t="s">
        <v>23123</v>
      </c>
      <c r="AJ371" s="120">
        <v>372.0</v>
      </c>
    </row>
    <row r="372">
      <c r="A372" s="74" t="s">
        <v>23109</v>
      </c>
      <c r="B372" s="74" t="s">
        <v>6876</v>
      </c>
      <c r="C372" s="74" t="s">
        <v>6877</v>
      </c>
      <c r="D372" s="74" t="s">
        <v>11623</v>
      </c>
      <c r="E372" s="146">
        <v>43822.0</v>
      </c>
      <c r="F372" s="74" t="s">
        <v>23127</v>
      </c>
      <c r="G372" s="74">
        <v>59.0</v>
      </c>
      <c r="H372" s="74">
        <v>1.0</v>
      </c>
      <c r="I372" s="74">
        <v>11.0</v>
      </c>
      <c r="J372" s="119"/>
      <c r="K372" s="119"/>
      <c r="L372" s="74" t="s">
        <v>1824</v>
      </c>
      <c r="M372" s="74" t="s">
        <v>1824</v>
      </c>
      <c r="N372" s="133">
        <v>43467.0</v>
      </c>
      <c r="O372" s="74">
        <v>1.0</v>
      </c>
      <c r="P372" s="74">
        <v>1.0</v>
      </c>
      <c r="Q372" s="119"/>
      <c r="R372" s="74" t="s">
        <v>23010</v>
      </c>
      <c r="S372" s="119"/>
      <c r="T372" s="146">
        <v>43818.0</v>
      </c>
      <c r="U372" s="74">
        <v>9999.0</v>
      </c>
      <c r="V372" s="74">
        <v>9999.0</v>
      </c>
      <c r="W372" s="119"/>
      <c r="X372" s="119"/>
      <c r="Y372" s="146">
        <v>43818.0</v>
      </c>
      <c r="Z372" s="74">
        <v>9999.0</v>
      </c>
      <c r="AA372" s="74">
        <v>9999.0</v>
      </c>
      <c r="AB372" s="119"/>
      <c r="AC372" s="119"/>
      <c r="AD372" s="119"/>
      <c r="AE372" s="74">
        <v>1.0</v>
      </c>
      <c r="AF372" s="74" t="s">
        <v>18902</v>
      </c>
      <c r="AG372" s="120">
        <v>6569.0</v>
      </c>
      <c r="AH372" s="74" t="s">
        <v>23140</v>
      </c>
      <c r="AI372" s="74" t="s">
        <v>23141</v>
      </c>
      <c r="AJ372" s="120">
        <v>373.0</v>
      </c>
    </row>
    <row r="373">
      <c r="A373" s="74" t="s">
        <v>23127</v>
      </c>
      <c r="B373" s="74" t="s">
        <v>6876</v>
      </c>
      <c r="C373" s="74" t="s">
        <v>6877</v>
      </c>
      <c r="D373" s="74" t="s">
        <v>11623</v>
      </c>
      <c r="E373" s="146">
        <v>43822.0</v>
      </c>
      <c r="F373" s="74" t="s">
        <v>23144</v>
      </c>
      <c r="G373" s="74">
        <v>59.0</v>
      </c>
      <c r="H373" s="74">
        <v>1.0</v>
      </c>
      <c r="I373" s="74">
        <v>11.0</v>
      </c>
      <c r="J373" s="119"/>
      <c r="K373" s="119"/>
      <c r="L373" s="74" t="s">
        <v>1827</v>
      </c>
      <c r="M373" s="74" t="s">
        <v>1827</v>
      </c>
      <c r="N373" s="133">
        <v>43467.0</v>
      </c>
      <c r="O373" s="74">
        <v>1.0</v>
      </c>
      <c r="P373" s="74">
        <v>1.0</v>
      </c>
      <c r="Q373" s="119"/>
      <c r="R373" s="74" t="s">
        <v>23010</v>
      </c>
      <c r="S373" s="119"/>
      <c r="T373" s="146">
        <v>43818.0</v>
      </c>
      <c r="U373" s="74">
        <v>9999.0</v>
      </c>
      <c r="V373" s="74">
        <v>9999.0</v>
      </c>
      <c r="W373" s="119"/>
      <c r="X373" s="119"/>
      <c r="Y373" s="146">
        <v>43818.0</v>
      </c>
      <c r="Z373" s="74">
        <v>9999.0</v>
      </c>
      <c r="AA373" s="74">
        <v>32.56</v>
      </c>
      <c r="AB373" s="119"/>
      <c r="AC373" s="119"/>
      <c r="AD373" s="119"/>
      <c r="AE373" s="74">
        <v>1.0</v>
      </c>
      <c r="AF373" s="74" t="s">
        <v>18902</v>
      </c>
      <c r="AG373" s="120">
        <v>6570.0</v>
      </c>
      <c r="AH373" s="74" t="s">
        <v>23151</v>
      </c>
      <c r="AI373" s="74" t="s">
        <v>23152</v>
      </c>
      <c r="AJ373" s="120">
        <v>374.0</v>
      </c>
    </row>
    <row r="374">
      <c r="A374" s="74" t="s">
        <v>23144</v>
      </c>
      <c r="B374" s="74" t="s">
        <v>6876</v>
      </c>
      <c r="C374" s="74" t="s">
        <v>6877</v>
      </c>
      <c r="D374" s="74" t="s">
        <v>11623</v>
      </c>
      <c r="E374" s="146">
        <v>43822.0</v>
      </c>
      <c r="F374" s="74" t="s">
        <v>23155</v>
      </c>
      <c r="G374" s="74">
        <v>59.0</v>
      </c>
      <c r="H374" s="74">
        <v>1.0</v>
      </c>
      <c r="I374" s="74">
        <v>11.0</v>
      </c>
      <c r="J374" s="119"/>
      <c r="K374" s="119"/>
      <c r="L374" s="74" t="s">
        <v>1830</v>
      </c>
      <c r="M374" s="74" t="s">
        <v>1830</v>
      </c>
      <c r="N374" s="133">
        <v>43467.0</v>
      </c>
      <c r="O374" s="74">
        <v>1.0</v>
      </c>
      <c r="P374" s="74">
        <v>1.0</v>
      </c>
      <c r="Q374" s="119"/>
      <c r="R374" s="74" t="s">
        <v>23010</v>
      </c>
      <c r="S374" s="119"/>
      <c r="T374" s="146">
        <v>43818.0</v>
      </c>
      <c r="U374" s="74">
        <v>9999.0</v>
      </c>
      <c r="V374" s="74">
        <v>38.15</v>
      </c>
      <c r="W374" s="119"/>
      <c r="X374" s="119"/>
      <c r="Y374" s="146">
        <v>43818.0</v>
      </c>
      <c r="Z374" s="74">
        <v>9999.0</v>
      </c>
      <c r="AA374" s="74">
        <v>36.36</v>
      </c>
      <c r="AB374" s="119"/>
      <c r="AC374" s="119"/>
      <c r="AD374" s="119"/>
      <c r="AE374" s="74">
        <v>1.0</v>
      </c>
      <c r="AF374" s="74" t="s">
        <v>18902</v>
      </c>
      <c r="AG374" s="120">
        <v>6571.0</v>
      </c>
      <c r="AH374" s="74" t="s">
        <v>23169</v>
      </c>
      <c r="AI374" s="74" t="s">
        <v>23171</v>
      </c>
      <c r="AJ374" s="120">
        <v>375.0</v>
      </c>
    </row>
    <row r="375">
      <c r="A375" s="74" t="s">
        <v>23155</v>
      </c>
      <c r="B375" s="74" t="s">
        <v>6876</v>
      </c>
      <c r="C375" s="74" t="s">
        <v>6877</v>
      </c>
      <c r="D375" s="74" t="s">
        <v>11623</v>
      </c>
      <c r="E375" s="146">
        <v>43822.0</v>
      </c>
      <c r="F375" s="74" t="s">
        <v>23174</v>
      </c>
      <c r="G375" s="74">
        <v>59.0</v>
      </c>
      <c r="H375" s="74">
        <v>1.0</v>
      </c>
      <c r="I375" s="74">
        <v>11.0</v>
      </c>
      <c r="J375" s="119"/>
      <c r="K375" s="119"/>
      <c r="L375" s="74" t="s">
        <v>1834</v>
      </c>
      <c r="M375" s="74" t="s">
        <v>1834</v>
      </c>
      <c r="N375" s="133">
        <v>43467.0</v>
      </c>
      <c r="O375" s="74">
        <v>1.0</v>
      </c>
      <c r="P375" s="74">
        <v>1.0</v>
      </c>
      <c r="Q375" s="119"/>
      <c r="R375" s="74" t="s">
        <v>23010</v>
      </c>
      <c r="S375" s="119"/>
      <c r="T375" s="146">
        <v>43818.0</v>
      </c>
      <c r="U375" s="74">
        <v>9999.0</v>
      </c>
      <c r="V375" s="74">
        <v>9999.0</v>
      </c>
      <c r="W375" s="119"/>
      <c r="X375" s="119"/>
      <c r="Y375" s="146">
        <v>43818.0</v>
      </c>
      <c r="Z375" s="74">
        <v>40.0</v>
      </c>
      <c r="AA375" s="74">
        <v>33.69</v>
      </c>
      <c r="AB375" s="119"/>
      <c r="AC375" s="119"/>
      <c r="AD375" s="119"/>
      <c r="AE375" s="74">
        <v>1.0</v>
      </c>
      <c r="AF375" s="74" t="s">
        <v>18902</v>
      </c>
      <c r="AG375" s="120">
        <v>6572.0</v>
      </c>
      <c r="AH375" s="74" t="s">
        <v>23190</v>
      </c>
      <c r="AI375" s="74" t="s">
        <v>23191</v>
      </c>
      <c r="AJ375" s="120">
        <v>376.0</v>
      </c>
    </row>
    <row r="376">
      <c r="A376" s="74" t="s">
        <v>23174</v>
      </c>
      <c r="B376" s="74" t="s">
        <v>6876</v>
      </c>
      <c r="C376" s="74" t="s">
        <v>6877</v>
      </c>
      <c r="D376" s="74" t="s">
        <v>11623</v>
      </c>
      <c r="E376" s="146">
        <v>43822.0</v>
      </c>
      <c r="F376" s="74" t="s">
        <v>23198</v>
      </c>
      <c r="G376" s="74">
        <v>59.0</v>
      </c>
      <c r="H376" s="74">
        <v>1.0</v>
      </c>
      <c r="I376" s="74">
        <v>99.0</v>
      </c>
      <c r="J376" s="119"/>
      <c r="K376" s="119"/>
      <c r="L376" s="74" t="s">
        <v>1835</v>
      </c>
      <c r="M376" s="74" t="s">
        <v>1835</v>
      </c>
      <c r="N376" s="133">
        <v>43467.0</v>
      </c>
      <c r="O376" s="74">
        <v>1.0</v>
      </c>
      <c r="P376" s="74">
        <v>1.0</v>
      </c>
      <c r="Q376" s="119"/>
      <c r="R376" s="74" t="s">
        <v>23010</v>
      </c>
      <c r="S376" s="119"/>
      <c r="T376" s="146">
        <v>43818.0</v>
      </c>
      <c r="U376" s="74">
        <v>9999.0</v>
      </c>
      <c r="V376" s="74">
        <v>9999.0</v>
      </c>
      <c r="W376" s="119"/>
      <c r="X376" s="119"/>
      <c r="Y376" s="146">
        <v>43818.0</v>
      </c>
      <c r="Z376" s="74">
        <v>9999.0</v>
      </c>
      <c r="AA376" s="74">
        <v>9999.0</v>
      </c>
      <c r="AB376" s="119"/>
      <c r="AC376" s="119"/>
      <c r="AD376" s="74" t="s">
        <v>20145</v>
      </c>
      <c r="AE376" s="74">
        <v>1.0</v>
      </c>
      <c r="AF376" s="74" t="s">
        <v>18902</v>
      </c>
      <c r="AG376" s="120">
        <v>6573.0</v>
      </c>
      <c r="AH376" s="74" t="s">
        <v>23211</v>
      </c>
      <c r="AI376" s="74" t="s">
        <v>23212</v>
      </c>
      <c r="AJ376" s="120">
        <v>377.0</v>
      </c>
    </row>
    <row r="377">
      <c r="A377" s="74" t="s">
        <v>23198</v>
      </c>
      <c r="B377" s="74" t="s">
        <v>6876</v>
      </c>
      <c r="C377" s="74" t="s">
        <v>6877</v>
      </c>
      <c r="D377" s="74" t="s">
        <v>11623</v>
      </c>
      <c r="E377" s="146">
        <v>43822.0</v>
      </c>
      <c r="F377" s="74" t="s">
        <v>23215</v>
      </c>
      <c r="G377" s="74">
        <v>66.0</v>
      </c>
      <c r="H377" s="74">
        <v>1.0</v>
      </c>
      <c r="I377" s="74">
        <v>12.0</v>
      </c>
      <c r="J377" s="119"/>
      <c r="K377" s="119"/>
      <c r="L377" s="74" t="s">
        <v>1837</v>
      </c>
      <c r="M377" s="74" t="s">
        <v>1837</v>
      </c>
      <c r="N377" s="133">
        <v>43467.0</v>
      </c>
      <c r="O377" s="74">
        <v>1.0</v>
      </c>
      <c r="P377" s="74">
        <v>1.0</v>
      </c>
      <c r="Q377" s="119"/>
      <c r="R377" s="74" t="s">
        <v>23010</v>
      </c>
      <c r="S377" s="119"/>
      <c r="T377" s="146">
        <v>43818.0</v>
      </c>
      <c r="U377" s="74">
        <v>24.29</v>
      </c>
      <c r="V377" s="74">
        <v>34.75</v>
      </c>
      <c r="W377" s="119"/>
      <c r="X377" s="119"/>
      <c r="Y377" s="146">
        <v>43818.0</v>
      </c>
      <c r="Z377" s="74">
        <v>35.69</v>
      </c>
      <c r="AA377" s="74">
        <v>32.26</v>
      </c>
      <c r="AB377" s="119"/>
      <c r="AC377" s="119"/>
      <c r="AD377" s="119"/>
      <c r="AE377" s="74">
        <v>1.0</v>
      </c>
      <c r="AF377" s="74" t="s">
        <v>18902</v>
      </c>
      <c r="AG377" s="120">
        <v>6574.0</v>
      </c>
      <c r="AH377" s="74" t="s">
        <v>23223</v>
      </c>
      <c r="AI377" s="74" t="s">
        <v>23226</v>
      </c>
      <c r="AJ377" s="120">
        <v>378.0</v>
      </c>
    </row>
    <row r="378">
      <c r="A378" s="74" t="s">
        <v>23215</v>
      </c>
      <c r="B378" s="74" t="s">
        <v>6876</v>
      </c>
      <c r="C378" s="74" t="s">
        <v>6877</v>
      </c>
      <c r="D378" s="74" t="s">
        <v>11623</v>
      </c>
      <c r="E378" s="146">
        <v>43822.0</v>
      </c>
      <c r="F378" s="74" t="s">
        <v>23231</v>
      </c>
      <c r="G378" s="74">
        <v>59.0</v>
      </c>
      <c r="H378" s="74">
        <v>1.0</v>
      </c>
      <c r="I378" s="74">
        <v>12.0</v>
      </c>
      <c r="J378" s="119"/>
      <c r="K378" s="119"/>
      <c r="L378" s="74" t="s">
        <v>1840</v>
      </c>
      <c r="M378" s="74" t="s">
        <v>1840</v>
      </c>
      <c r="N378" s="133">
        <v>43467.0</v>
      </c>
      <c r="O378" s="74">
        <v>1.0</v>
      </c>
      <c r="P378" s="74">
        <v>1.0</v>
      </c>
      <c r="Q378" s="119"/>
      <c r="R378" s="74" t="s">
        <v>23010</v>
      </c>
      <c r="S378" s="119"/>
      <c r="T378" s="146">
        <v>43818.0</v>
      </c>
      <c r="U378" s="74">
        <v>9999.0</v>
      </c>
      <c r="V378" s="74">
        <v>9999.0</v>
      </c>
      <c r="W378" s="119"/>
      <c r="X378" s="119"/>
      <c r="Y378" s="146">
        <v>43818.0</v>
      </c>
      <c r="Z378" s="74">
        <v>9999.0</v>
      </c>
      <c r="AA378" s="74">
        <v>36.74</v>
      </c>
      <c r="AB378" s="119"/>
      <c r="AC378" s="119"/>
      <c r="AD378" s="119"/>
      <c r="AE378" s="74">
        <v>1.0</v>
      </c>
      <c r="AF378" s="74" t="s">
        <v>18902</v>
      </c>
      <c r="AG378" s="120">
        <v>6575.0</v>
      </c>
      <c r="AH378" s="74" t="s">
        <v>23240</v>
      </c>
      <c r="AI378" s="74" t="s">
        <v>23241</v>
      </c>
      <c r="AJ378" s="120">
        <v>379.0</v>
      </c>
    </row>
    <row r="379">
      <c r="A379" s="74" t="s">
        <v>23242</v>
      </c>
      <c r="B379" s="74" t="s">
        <v>6876</v>
      </c>
      <c r="C379" s="74" t="s">
        <v>6877</v>
      </c>
      <c r="D379" s="74" t="s">
        <v>11623</v>
      </c>
      <c r="E379" s="146">
        <v>43822.0</v>
      </c>
      <c r="F379" s="74" t="s">
        <v>23244</v>
      </c>
      <c r="G379" s="74">
        <v>59.0</v>
      </c>
      <c r="H379" s="74">
        <v>1.0</v>
      </c>
      <c r="I379" s="74">
        <v>11.0</v>
      </c>
      <c r="J379" s="119"/>
      <c r="K379" s="119"/>
      <c r="L379" s="74" t="s">
        <v>1845</v>
      </c>
      <c r="M379" s="74" t="s">
        <v>1845</v>
      </c>
      <c r="N379" s="133">
        <v>43467.0</v>
      </c>
      <c r="O379" s="74">
        <v>1.0</v>
      </c>
      <c r="P379" s="74">
        <v>1.0</v>
      </c>
      <c r="Q379" s="119"/>
      <c r="R379" s="74" t="s">
        <v>23010</v>
      </c>
      <c r="S379" s="119"/>
      <c r="T379" s="146">
        <v>43818.0</v>
      </c>
      <c r="U379" s="74">
        <v>32.83</v>
      </c>
      <c r="V379" s="74">
        <v>37.85</v>
      </c>
      <c r="W379" s="119"/>
      <c r="X379" s="119"/>
      <c r="Y379" s="146">
        <v>43818.0</v>
      </c>
      <c r="Z379" s="74">
        <v>9999.0</v>
      </c>
      <c r="AA379" s="74">
        <v>9999.0</v>
      </c>
      <c r="AB379" s="119"/>
      <c r="AC379" s="119"/>
      <c r="AD379" s="119"/>
      <c r="AE379" s="74">
        <v>1.0</v>
      </c>
      <c r="AF379" s="74" t="s">
        <v>18902</v>
      </c>
      <c r="AG379" s="120">
        <v>6576.0</v>
      </c>
      <c r="AH379" s="74" t="s">
        <v>23259</v>
      </c>
      <c r="AI379" s="74" t="s">
        <v>23261</v>
      </c>
      <c r="AJ379" s="120">
        <v>380.0</v>
      </c>
    </row>
    <row r="380">
      <c r="A380" s="74" t="s">
        <v>23262</v>
      </c>
      <c r="B380" s="74" t="s">
        <v>6876</v>
      </c>
      <c r="C380" s="74" t="s">
        <v>6877</v>
      </c>
      <c r="D380" s="74" t="s">
        <v>11623</v>
      </c>
      <c r="E380" s="146">
        <v>43822.0</v>
      </c>
      <c r="F380" s="74" t="s">
        <v>23266</v>
      </c>
      <c r="G380" s="74">
        <v>59.0</v>
      </c>
      <c r="H380" s="74">
        <v>1.0</v>
      </c>
      <c r="I380" s="74">
        <v>99.0</v>
      </c>
      <c r="J380" s="119"/>
      <c r="K380" s="119"/>
      <c r="L380" s="74" t="s">
        <v>1846</v>
      </c>
      <c r="M380" s="74" t="s">
        <v>1846</v>
      </c>
      <c r="N380" s="133">
        <v>43467.0</v>
      </c>
      <c r="O380" s="74">
        <v>1.0</v>
      </c>
      <c r="P380" s="74">
        <v>1.0</v>
      </c>
      <c r="Q380" s="119"/>
      <c r="R380" s="74" t="s">
        <v>23010</v>
      </c>
      <c r="S380" s="119"/>
      <c r="T380" s="146">
        <v>43818.0</v>
      </c>
      <c r="U380" s="74">
        <v>9999.0</v>
      </c>
      <c r="V380" s="74">
        <v>9999.0</v>
      </c>
      <c r="W380" s="119"/>
      <c r="X380" s="119"/>
      <c r="Y380" s="146">
        <v>43818.0</v>
      </c>
      <c r="Z380" s="74">
        <v>9999.0</v>
      </c>
      <c r="AA380" s="74">
        <v>9999.0</v>
      </c>
      <c r="AB380" s="119"/>
      <c r="AC380" s="119"/>
      <c r="AD380" s="74" t="s">
        <v>20168</v>
      </c>
      <c r="AE380" s="74">
        <v>1.0</v>
      </c>
      <c r="AF380" s="74" t="s">
        <v>18902</v>
      </c>
      <c r="AG380" s="120">
        <v>6577.0</v>
      </c>
      <c r="AH380" s="74" t="s">
        <v>23276</v>
      </c>
      <c r="AI380" s="74" t="s">
        <v>23279</v>
      </c>
      <c r="AJ380" s="120">
        <v>381.0</v>
      </c>
    </row>
    <row r="381">
      <c r="A381" s="74" t="s">
        <v>23266</v>
      </c>
      <c r="B381" s="74" t="s">
        <v>6876</v>
      </c>
      <c r="C381" s="74" t="s">
        <v>6877</v>
      </c>
      <c r="D381" s="74" t="s">
        <v>11623</v>
      </c>
      <c r="E381" s="146">
        <v>43822.0</v>
      </c>
      <c r="F381" s="74" t="s">
        <v>23287</v>
      </c>
      <c r="G381" s="74">
        <v>59.0</v>
      </c>
      <c r="H381" s="74">
        <v>1.0</v>
      </c>
      <c r="I381" s="74">
        <v>11.0</v>
      </c>
      <c r="J381" s="119"/>
      <c r="K381" s="119"/>
      <c r="L381" s="74" t="s">
        <v>1848</v>
      </c>
      <c r="M381" s="74" t="s">
        <v>1848</v>
      </c>
      <c r="N381" s="133">
        <v>43467.0</v>
      </c>
      <c r="O381" s="74">
        <v>1.0</v>
      </c>
      <c r="P381" s="74">
        <v>1.0</v>
      </c>
      <c r="Q381" s="119"/>
      <c r="R381" s="74" t="s">
        <v>23010</v>
      </c>
      <c r="S381" s="119"/>
      <c r="T381" s="146">
        <v>43818.0</v>
      </c>
      <c r="U381" s="74">
        <v>9999.0</v>
      </c>
      <c r="V381" s="74">
        <v>9999.0</v>
      </c>
      <c r="W381" s="119"/>
      <c r="X381" s="119"/>
      <c r="Y381" s="146">
        <v>43818.0</v>
      </c>
      <c r="Z381" s="74">
        <v>9999.0</v>
      </c>
      <c r="AA381" s="74">
        <v>9999.0</v>
      </c>
      <c r="AB381" s="119"/>
      <c r="AC381" s="119"/>
      <c r="AD381" s="119"/>
      <c r="AE381" s="74">
        <v>1.0</v>
      </c>
      <c r="AF381" s="74" t="s">
        <v>18902</v>
      </c>
      <c r="AG381" s="120">
        <v>6578.0</v>
      </c>
      <c r="AH381" s="74" t="s">
        <v>23293</v>
      </c>
      <c r="AI381" s="74" t="s">
        <v>23294</v>
      </c>
      <c r="AJ381" s="120">
        <v>382.0</v>
      </c>
    </row>
    <row r="382">
      <c r="A382" s="74" t="s">
        <v>23287</v>
      </c>
      <c r="B382" s="74" t="s">
        <v>6876</v>
      </c>
      <c r="C382" s="74" t="s">
        <v>6877</v>
      </c>
      <c r="D382" s="74" t="s">
        <v>11623</v>
      </c>
      <c r="E382" s="146">
        <v>43822.0</v>
      </c>
      <c r="F382" s="74" t="s">
        <v>23298</v>
      </c>
      <c r="G382" s="74">
        <v>59.0</v>
      </c>
      <c r="H382" s="74">
        <v>1.0</v>
      </c>
      <c r="I382" s="74">
        <v>11.0</v>
      </c>
      <c r="J382" s="119"/>
      <c r="K382" s="119"/>
      <c r="L382" s="74" t="s">
        <v>1851</v>
      </c>
      <c r="M382" s="74" t="s">
        <v>1851</v>
      </c>
      <c r="N382" s="133">
        <v>43467.0</v>
      </c>
      <c r="O382" s="74">
        <v>1.0</v>
      </c>
      <c r="P382" s="74">
        <v>1.0</v>
      </c>
      <c r="Q382" s="119"/>
      <c r="R382" s="74" t="s">
        <v>23010</v>
      </c>
      <c r="S382" s="119"/>
      <c r="T382" s="146">
        <v>43818.0</v>
      </c>
      <c r="U382" s="74">
        <v>9999.0</v>
      </c>
      <c r="V382" s="74">
        <v>33.74</v>
      </c>
      <c r="W382" s="119"/>
      <c r="X382" s="119"/>
      <c r="Y382" s="146">
        <v>43818.0</v>
      </c>
      <c r="Z382" s="74">
        <v>9999.0</v>
      </c>
      <c r="AA382" s="74">
        <v>9999.0</v>
      </c>
      <c r="AB382" s="119"/>
      <c r="AC382" s="119"/>
      <c r="AD382" s="119"/>
      <c r="AE382" s="74">
        <v>1.0</v>
      </c>
      <c r="AF382" s="74" t="s">
        <v>18902</v>
      </c>
      <c r="AG382" s="120">
        <v>6579.0</v>
      </c>
      <c r="AH382" s="74" t="s">
        <v>23312</v>
      </c>
      <c r="AI382" s="74" t="s">
        <v>23313</v>
      </c>
      <c r="AJ382" s="120">
        <v>383.0</v>
      </c>
    </row>
    <row r="383">
      <c r="A383" s="74" t="s">
        <v>23298</v>
      </c>
      <c r="B383" s="74" t="s">
        <v>6876</v>
      </c>
      <c r="C383" s="74" t="s">
        <v>6877</v>
      </c>
      <c r="D383" s="74" t="s">
        <v>11623</v>
      </c>
      <c r="E383" s="146">
        <v>43822.0</v>
      </c>
      <c r="F383" s="74" t="s">
        <v>23318</v>
      </c>
      <c r="G383" s="74">
        <v>59.0</v>
      </c>
      <c r="H383" s="74">
        <v>1.0</v>
      </c>
      <c r="I383" s="74">
        <v>11.0</v>
      </c>
      <c r="J383" s="119"/>
      <c r="K383" s="119"/>
      <c r="L383" s="74" t="s">
        <v>1854</v>
      </c>
      <c r="M383" s="74" t="s">
        <v>1854</v>
      </c>
      <c r="N383" s="133">
        <v>43467.0</v>
      </c>
      <c r="O383" s="74">
        <v>1.0</v>
      </c>
      <c r="P383" s="74">
        <v>1.0</v>
      </c>
      <c r="Q383" s="119"/>
      <c r="R383" s="74" t="s">
        <v>23010</v>
      </c>
      <c r="S383" s="119"/>
      <c r="T383" s="146">
        <v>43818.0</v>
      </c>
      <c r="U383" s="74">
        <v>37.07</v>
      </c>
      <c r="V383" s="74">
        <v>9999.0</v>
      </c>
      <c r="W383" s="119"/>
      <c r="X383" s="119"/>
      <c r="Y383" s="146">
        <v>43818.0</v>
      </c>
      <c r="Z383" s="74">
        <v>9999.0</v>
      </c>
      <c r="AA383" s="74">
        <v>40.0</v>
      </c>
      <c r="AB383" s="119"/>
      <c r="AC383" s="119"/>
      <c r="AD383" s="119"/>
      <c r="AE383" s="74">
        <v>1.0</v>
      </c>
      <c r="AF383" s="74" t="s">
        <v>18902</v>
      </c>
      <c r="AG383" s="120">
        <v>6580.0</v>
      </c>
      <c r="AH383" s="74" t="s">
        <v>23330</v>
      </c>
      <c r="AI383" s="74" t="s">
        <v>23333</v>
      </c>
      <c r="AJ383" s="120">
        <v>384.0</v>
      </c>
    </row>
    <row r="384">
      <c r="A384" s="74" t="s">
        <v>23318</v>
      </c>
      <c r="B384" s="74" t="s">
        <v>6876</v>
      </c>
      <c r="C384" s="74" t="s">
        <v>6877</v>
      </c>
      <c r="D384" s="74" t="s">
        <v>11623</v>
      </c>
      <c r="E384" s="146">
        <v>43822.0</v>
      </c>
      <c r="F384" s="74" t="s">
        <v>23339</v>
      </c>
      <c r="G384" s="74">
        <v>59.0</v>
      </c>
      <c r="H384" s="74">
        <v>1.0</v>
      </c>
      <c r="I384" s="74">
        <v>11.0</v>
      </c>
      <c r="J384" s="119"/>
      <c r="K384" s="119"/>
      <c r="L384" s="74" t="s">
        <v>1860</v>
      </c>
      <c r="M384" s="74" t="s">
        <v>1860</v>
      </c>
      <c r="N384" s="133">
        <v>43467.0</v>
      </c>
      <c r="O384" s="74">
        <v>1.0</v>
      </c>
      <c r="P384" s="74">
        <v>1.0</v>
      </c>
      <c r="Q384" s="119"/>
      <c r="R384" s="74" t="s">
        <v>23010</v>
      </c>
      <c r="S384" s="119"/>
      <c r="T384" s="146">
        <v>43818.0</v>
      </c>
      <c r="U384" s="74">
        <v>22.91</v>
      </c>
      <c r="V384" s="74">
        <v>22.83</v>
      </c>
      <c r="W384" s="119"/>
      <c r="X384" s="119"/>
      <c r="Y384" s="146">
        <v>43818.0</v>
      </c>
      <c r="Z384" s="74">
        <v>9999.0</v>
      </c>
      <c r="AA384" s="74">
        <v>40.0</v>
      </c>
      <c r="AB384" s="119"/>
      <c r="AC384" s="119"/>
      <c r="AD384" s="119"/>
      <c r="AE384" s="74">
        <v>1.0</v>
      </c>
      <c r="AF384" s="74" t="s">
        <v>18902</v>
      </c>
      <c r="AG384" s="120">
        <v>6581.0</v>
      </c>
      <c r="AH384" s="74" t="s">
        <v>23350</v>
      </c>
      <c r="AI384" s="74" t="s">
        <v>23351</v>
      </c>
      <c r="AJ384" s="120">
        <v>385.0</v>
      </c>
    </row>
    <row r="385">
      <c r="A385" s="74" t="s">
        <v>23339</v>
      </c>
      <c r="B385" s="74" t="s">
        <v>6876</v>
      </c>
      <c r="C385" s="74" t="s">
        <v>6877</v>
      </c>
      <c r="D385" s="74" t="s">
        <v>11623</v>
      </c>
      <c r="E385" s="146">
        <v>43822.0</v>
      </c>
      <c r="F385" s="74" t="s">
        <v>23355</v>
      </c>
      <c r="G385" s="74">
        <v>59.0</v>
      </c>
      <c r="H385" s="74">
        <v>1.0</v>
      </c>
      <c r="I385" s="74">
        <v>11.0</v>
      </c>
      <c r="J385" s="119"/>
      <c r="K385" s="119"/>
      <c r="L385" s="74" t="s">
        <v>1863</v>
      </c>
      <c r="M385" s="74" t="s">
        <v>1863</v>
      </c>
      <c r="N385" s="133">
        <v>43467.0</v>
      </c>
      <c r="O385" s="74">
        <v>1.0</v>
      </c>
      <c r="P385" s="74">
        <v>1.0</v>
      </c>
      <c r="Q385" s="119"/>
      <c r="R385" s="74" t="s">
        <v>23010</v>
      </c>
      <c r="S385" s="119"/>
      <c r="T385" s="146">
        <v>43818.0</v>
      </c>
      <c r="U385" s="74">
        <v>34.75</v>
      </c>
      <c r="V385" s="74">
        <v>34.64</v>
      </c>
      <c r="W385" s="119"/>
      <c r="X385" s="119"/>
      <c r="Y385" s="146">
        <v>43818.0</v>
      </c>
      <c r="Z385" s="74">
        <v>29.95</v>
      </c>
      <c r="AA385" s="74">
        <v>9999.0</v>
      </c>
      <c r="AB385" s="119"/>
      <c r="AC385" s="119"/>
      <c r="AD385" s="119"/>
      <c r="AE385" s="74">
        <v>1.0</v>
      </c>
      <c r="AF385" s="74" t="s">
        <v>18902</v>
      </c>
      <c r="AG385" s="120">
        <v>6582.0</v>
      </c>
      <c r="AH385" s="74" t="s">
        <v>23366</v>
      </c>
      <c r="AI385" s="74" t="s">
        <v>23369</v>
      </c>
      <c r="AJ385" s="120">
        <v>386.0</v>
      </c>
    </row>
    <row r="386">
      <c r="A386" s="74" t="s">
        <v>23372</v>
      </c>
      <c r="B386" s="74" t="s">
        <v>6876</v>
      </c>
      <c r="C386" s="74" t="s">
        <v>6877</v>
      </c>
      <c r="D386" s="74" t="s">
        <v>11623</v>
      </c>
      <c r="E386" s="146">
        <v>43822.0</v>
      </c>
      <c r="F386" s="74" t="s">
        <v>23375</v>
      </c>
      <c r="G386" s="74">
        <v>59.0</v>
      </c>
      <c r="H386" s="74">
        <v>1.0</v>
      </c>
      <c r="I386" s="74">
        <v>99.0</v>
      </c>
      <c r="J386" s="119"/>
      <c r="K386" s="119"/>
      <c r="L386" s="74" t="s">
        <v>1865</v>
      </c>
      <c r="M386" s="74" t="s">
        <v>1865</v>
      </c>
      <c r="N386" s="133">
        <v>43467.0</v>
      </c>
      <c r="O386" s="74">
        <v>1.0</v>
      </c>
      <c r="P386" s="74">
        <v>1.0</v>
      </c>
      <c r="Q386" s="119"/>
      <c r="R386" s="74" t="s">
        <v>23010</v>
      </c>
      <c r="S386" s="119"/>
      <c r="T386" s="146">
        <v>43818.0</v>
      </c>
      <c r="U386" s="74">
        <v>9999.0</v>
      </c>
      <c r="V386" s="74">
        <v>9999.0</v>
      </c>
      <c r="W386" s="119"/>
      <c r="X386" s="119"/>
      <c r="Y386" s="146">
        <v>43818.0</v>
      </c>
      <c r="Z386" s="74">
        <v>9999.0</v>
      </c>
      <c r="AA386" s="74">
        <v>9999.0</v>
      </c>
      <c r="AB386" s="119"/>
      <c r="AC386" s="119"/>
      <c r="AD386" s="74" t="s">
        <v>23384</v>
      </c>
      <c r="AE386" s="74">
        <v>1.0</v>
      </c>
      <c r="AF386" s="74" t="s">
        <v>18902</v>
      </c>
      <c r="AG386" s="120">
        <v>6583.0</v>
      </c>
      <c r="AH386" s="74" t="s">
        <v>23385</v>
      </c>
      <c r="AI386" s="74" t="s">
        <v>23386</v>
      </c>
      <c r="AJ386" s="120">
        <v>387.0</v>
      </c>
    </row>
    <row r="387">
      <c r="A387" s="74" t="s">
        <v>23375</v>
      </c>
      <c r="B387" s="74" t="s">
        <v>6876</v>
      </c>
      <c r="C387" s="74" t="s">
        <v>6877</v>
      </c>
      <c r="D387" s="74" t="s">
        <v>11623</v>
      </c>
      <c r="E387" s="146">
        <v>43822.0</v>
      </c>
      <c r="F387" s="74" t="s">
        <v>23390</v>
      </c>
      <c r="G387" s="74">
        <v>59.0</v>
      </c>
      <c r="H387" s="74">
        <v>1.0</v>
      </c>
      <c r="I387" s="74">
        <v>11.0</v>
      </c>
      <c r="J387" s="119"/>
      <c r="K387" s="119"/>
      <c r="L387" s="74" t="s">
        <v>1866</v>
      </c>
      <c r="M387" s="74" t="s">
        <v>1866</v>
      </c>
      <c r="N387" s="133">
        <v>43467.0</v>
      </c>
      <c r="O387" s="74">
        <v>1.0</v>
      </c>
      <c r="P387" s="74">
        <v>1.0</v>
      </c>
      <c r="Q387" s="119"/>
      <c r="R387" s="74" t="s">
        <v>23010</v>
      </c>
      <c r="S387" s="119"/>
      <c r="T387" s="146">
        <v>43818.0</v>
      </c>
      <c r="U387" s="74">
        <v>29.91</v>
      </c>
      <c r="V387" s="74">
        <v>28.49</v>
      </c>
      <c r="W387" s="119"/>
      <c r="X387" s="119"/>
      <c r="Y387" s="146">
        <v>43818.0</v>
      </c>
      <c r="Z387" s="74">
        <v>9999.0</v>
      </c>
      <c r="AA387" s="74">
        <v>40.0</v>
      </c>
      <c r="AB387" s="119"/>
      <c r="AC387" s="119"/>
      <c r="AD387" s="119"/>
      <c r="AE387" s="74">
        <v>1.0</v>
      </c>
      <c r="AF387" s="74" t="s">
        <v>18902</v>
      </c>
      <c r="AG387" s="120">
        <v>6584.0</v>
      </c>
      <c r="AH387" s="74" t="s">
        <v>23400</v>
      </c>
      <c r="AI387" s="74" t="s">
        <v>23401</v>
      </c>
      <c r="AJ387" s="120">
        <v>388.0</v>
      </c>
    </row>
    <row r="388">
      <c r="A388" s="74" t="s">
        <v>23390</v>
      </c>
      <c r="B388" s="74" t="s">
        <v>6876</v>
      </c>
      <c r="C388" s="74" t="s">
        <v>6877</v>
      </c>
      <c r="D388" s="74" t="s">
        <v>11623</v>
      </c>
      <c r="E388" s="146">
        <v>43822.0</v>
      </c>
      <c r="F388" s="74" t="s">
        <v>23407</v>
      </c>
      <c r="G388" s="74">
        <v>59.0</v>
      </c>
      <c r="H388" s="74">
        <v>1.0</v>
      </c>
      <c r="I388" s="74">
        <v>11.0</v>
      </c>
      <c r="J388" s="119"/>
      <c r="K388" s="119"/>
      <c r="L388" s="74" t="s">
        <v>1869</v>
      </c>
      <c r="M388" s="74" t="s">
        <v>1869</v>
      </c>
      <c r="N388" s="133">
        <v>43467.0</v>
      </c>
      <c r="O388" s="74">
        <v>1.0</v>
      </c>
      <c r="P388" s="74">
        <v>1.0</v>
      </c>
      <c r="Q388" s="119"/>
      <c r="R388" s="74" t="s">
        <v>23010</v>
      </c>
      <c r="S388" s="119"/>
      <c r="T388" s="146">
        <v>43818.0</v>
      </c>
      <c r="U388" s="74">
        <v>25.2</v>
      </c>
      <c r="V388" s="74">
        <v>25.28</v>
      </c>
      <c r="W388" s="119"/>
      <c r="X388" s="119"/>
      <c r="Y388" s="146">
        <v>43818.0</v>
      </c>
      <c r="Z388" s="74">
        <v>9999.0</v>
      </c>
      <c r="AA388" s="74">
        <v>9999.0</v>
      </c>
      <c r="AB388" s="119"/>
      <c r="AC388" s="119"/>
      <c r="AD388" s="119"/>
      <c r="AE388" s="74">
        <v>1.0</v>
      </c>
      <c r="AF388" s="74" t="s">
        <v>18902</v>
      </c>
      <c r="AG388" s="120">
        <v>6585.0</v>
      </c>
      <c r="AH388" s="74" t="s">
        <v>23420</v>
      </c>
      <c r="AI388" s="74" t="s">
        <v>23422</v>
      </c>
      <c r="AJ388" s="120">
        <v>389.0</v>
      </c>
    </row>
    <row r="389">
      <c r="A389" s="74" t="s">
        <v>23407</v>
      </c>
      <c r="B389" s="74" t="s">
        <v>6876</v>
      </c>
      <c r="C389" s="74" t="s">
        <v>6877</v>
      </c>
      <c r="D389" s="74" t="s">
        <v>11623</v>
      </c>
      <c r="E389" s="146">
        <v>43822.0</v>
      </c>
      <c r="F389" s="74" t="s">
        <v>23427</v>
      </c>
      <c r="G389" s="74">
        <v>58.0</v>
      </c>
      <c r="H389" s="74">
        <v>1.0</v>
      </c>
      <c r="I389" s="74">
        <v>11.0</v>
      </c>
      <c r="J389" s="119"/>
      <c r="K389" s="119"/>
      <c r="L389" s="74" t="s">
        <v>1872</v>
      </c>
      <c r="M389" s="74" t="s">
        <v>1872</v>
      </c>
      <c r="N389" s="133">
        <v>43467.0</v>
      </c>
      <c r="O389" s="74">
        <v>1.0</v>
      </c>
      <c r="P389" s="74">
        <v>1.0</v>
      </c>
      <c r="Q389" s="119"/>
      <c r="R389" s="74" t="s">
        <v>23010</v>
      </c>
      <c r="S389" s="119"/>
      <c r="T389" s="146">
        <v>43818.0</v>
      </c>
      <c r="U389" s="74">
        <v>9999.0</v>
      </c>
      <c r="V389" s="74">
        <v>27.68</v>
      </c>
      <c r="W389" s="119"/>
      <c r="X389" s="119"/>
      <c r="Y389" s="146">
        <v>43818.0</v>
      </c>
      <c r="Z389" s="74">
        <v>9999.0</v>
      </c>
      <c r="AA389" s="74">
        <v>9999.0</v>
      </c>
      <c r="AB389" s="119"/>
      <c r="AC389" s="119"/>
      <c r="AD389" s="119"/>
      <c r="AE389" s="74">
        <v>1.0</v>
      </c>
      <c r="AF389" s="74" t="s">
        <v>18902</v>
      </c>
      <c r="AG389" s="120">
        <v>6586.0</v>
      </c>
      <c r="AH389" s="74" t="s">
        <v>23435</v>
      </c>
      <c r="AI389" s="74" t="s">
        <v>23437</v>
      </c>
      <c r="AJ389" s="120">
        <v>390.0</v>
      </c>
    </row>
    <row r="390">
      <c r="A390" s="74" t="s">
        <v>23427</v>
      </c>
      <c r="B390" s="74" t="s">
        <v>6876</v>
      </c>
      <c r="C390" s="74" t="s">
        <v>6877</v>
      </c>
      <c r="D390" s="74" t="s">
        <v>11623</v>
      </c>
      <c r="E390" s="146">
        <v>43822.0</v>
      </c>
      <c r="F390" s="74" t="s">
        <v>23442</v>
      </c>
      <c r="G390" s="74">
        <v>57.0</v>
      </c>
      <c r="H390" s="74">
        <v>1.0</v>
      </c>
      <c r="I390" s="74">
        <v>12.0</v>
      </c>
      <c r="J390" s="119"/>
      <c r="K390" s="119"/>
      <c r="L390" s="74" t="s">
        <v>1877</v>
      </c>
      <c r="M390" s="74" t="s">
        <v>1877</v>
      </c>
      <c r="N390" s="133">
        <v>43467.0</v>
      </c>
      <c r="O390" s="74">
        <v>1.0</v>
      </c>
      <c r="P390" s="74">
        <v>1.0</v>
      </c>
      <c r="Q390" s="119"/>
      <c r="R390" s="74" t="s">
        <v>23010</v>
      </c>
      <c r="S390" s="119"/>
      <c r="T390" s="146">
        <v>43818.0</v>
      </c>
      <c r="U390" s="74">
        <v>21.69</v>
      </c>
      <c r="V390" s="74">
        <v>22.36</v>
      </c>
      <c r="W390" s="119"/>
      <c r="X390" s="119"/>
      <c r="Y390" s="146">
        <v>43818.0</v>
      </c>
      <c r="Z390" s="74">
        <v>36.29</v>
      </c>
      <c r="AA390" s="74">
        <v>32.04</v>
      </c>
      <c r="AB390" s="119"/>
      <c r="AC390" s="119"/>
      <c r="AD390" s="119"/>
      <c r="AE390" s="74">
        <v>1.0</v>
      </c>
      <c r="AF390" s="74" t="s">
        <v>18902</v>
      </c>
      <c r="AG390" s="120">
        <v>6587.0</v>
      </c>
      <c r="AH390" s="74" t="s">
        <v>23454</v>
      </c>
      <c r="AI390" s="74" t="s">
        <v>23456</v>
      </c>
      <c r="AJ390" s="120">
        <v>391.0</v>
      </c>
    </row>
    <row r="391">
      <c r="A391" s="74" t="s">
        <v>23442</v>
      </c>
      <c r="B391" s="74" t="s">
        <v>6876</v>
      </c>
      <c r="C391" s="74" t="s">
        <v>6877</v>
      </c>
      <c r="D391" s="74" t="s">
        <v>11623</v>
      </c>
      <c r="E391" s="146">
        <v>43822.0</v>
      </c>
      <c r="F391" s="74" t="s">
        <v>23459</v>
      </c>
      <c r="G391" s="74">
        <v>57.0</v>
      </c>
      <c r="H391" s="74">
        <v>1.0</v>
      </c>
      <c r="I391" s="74">
        <v>12.0</v>
      </c>
      <c r="J391" s="119"/>
      <c r="K391" s="119"/>
      <c r="L391" s="74" t="s">
        <v>1879</v>
      </c>
      <c r="M391" s="74" t="s">
        <v>1879</v>
      </c>
      <c r="N391" s="133">
        <v>43467.0</v>
      </c>
      <c r="O391" s="74">
        <v>1.0</v>
      </c>
      <c r="P391" s="74">
        <v>1.0</v>
      </c>
      <c r="Q391" s="119"/>
      <c r="R391" s="74" t="s">
        <v>23010</v>
      </c>
      <c r="S391" s="119"/>
      <c r="T391" s="146">
        <v>43818.0</v>
      </c>
      <c r="U391" s="74">
        <v>9999.0</v>
      </c>
      <c r="V391" s="74">
        <v>21.97</v>
      </c>
      <c r="W391" s="119"/>
      <c r="X391" s="119"/>
      <c r="Y391" s="146">
        <v>43818.0</v>
      </c>
      <c r="Z391" s="74">
        <v>37.18</v>
      </c>
      <c r="AA391" s="74">
        <v>35.19</v>
      </c>
      <c r="AB391" s="119"/>
      <c r="AC391" s="119"/>
      <c r="AD391" s="119"/>
      <c r="AE391" s="74">
        <v>1.0</v>
      </c>
      <c r="AF391" s="74" t="s">
        <v>18902</v>
      </c>
      <c r="AG391" s="120">
        <v>6588.0</v>
      </c>
      <c r="AH391" s="74" t="s">
        <v>23470</v>
      </c>
      <c r="AI391" s="74" t="s">
        <v>23473</v>
      </c>
      <c r="AJ391" s="120">
        <v>392.0</v>
      </c>
    </row>
    <row r="392">
      <c r="A392" s="74" t="s">
        <v>23459</v>
      </c>
      <c r="B392" s="74" t="s">
        <v>6876</v>
      </c>
      <c r="C392" s="74" t="s">
        <v>6877</v>
      </c>
      <c r="D392" s="74" t="s">
        <v>11623</v>
      </c>
      <c r="E392" s="146">
        <v>43822.0</v>
      </c>
      <c r="F392" s="74" t="s">
        <v>23477</v>
      </c>
      <c r="G392" s="74">
        <v>59.0</v>
      </c>
      <c r="H392" s="74">
        <v>1.0</v>
      </c>
      <c r="I392" s="74">
        <v>11.0</v>
      </c>
      <c r="J392" s="119"/>
      <c r="K392" s="119"/>
      <c r="L392" s="74" t="s">
        <v>1882</v>
      </c>
      <c r="M392" s="74" t="s">
        <v>1882</v>
      </c>
      <c r="N392" s="133">
        <v>43467.0</v>
      </c>
      <c r="O392" s="74">
        <v>1.0</v>
      </c>
      <c r="P392" s="74">
        <v>1.0</v>
      </c>
      <c r="Q392" s="119"/>
      <c r="R392" s="74" t="s">
        <v>23010</v>
      </c>
      <c r="S392" s="119"/>
      <c r="T392" s="146">
        <v>43818.0</v>
      </c>
      <c r="U392" s="74">
        <v>9999.0</v>
      </c>
      <c r="V392" s="74">
        <v>36.51</v>
      </c>
      <c r="W392" s="119"/>
      <c r="X392" s="119"/>
      <c r="Y392" s="146">
        <v>43818.0</v>
      </c>
      <c r="Z392" s="74">
        <v>9999.0</v>
      </c>
      <c r="AA392" s="74">
        <v>9999.0</v>
      </c>
      <c r="AB392" s="119"/>
      <c r="AC392" s="119"/>
      <c r="AD392" s="119"/>
      <c r="AE392" s="74">
        <v>1.0</v>
      </c>
      <c r="AF392" s="74" t="s">
        <v>18902</v>
      </c>
      <c r="AG392" s="120">
        <v>6589.0</v>
      </c>
      <c r="AH392" s="74" t="s">
        <v>23485</v>
      </c>
      <c r="AI392" s="74" t="s">
        <v>23487</v>
      </c>
      <c r="AJ392" s="120">
        <v>393.0</v>
      </c>
    </row>
    <row r="393">
      <c r="A393" s="74" t="s">
        <v>23477</v>
      </c>
      <c r="B393" s="74" t="s">
        <v>6876</v>
      </c>
      <c r="C393" s="74" t="s">
        <v>6877</v>
      </c>
      <c r="D393" s="74" t="s">
        <v>11623</v>
      </c>
      <c r="E393" s="146">
        <v>43822.0</v>
      </c>
      <c r="F393" s="74" t="s">
        <v>23490</v>
      </c>
      <c r="G393" s="74">
        <v>59.0</v>
      </c>
      <c r="H393" s="74">
        <v>1.0</v>
      </c>
      <c r="I393" s="74">
        <v>11.0</v>
      </c>
      <c r="J393" s="119"/>
      <c r="K393" s="119"/>
      <c r="L393" s="74" t="s">
        <v>1884</v>
      </c>
      <c r="M393" s="74" t="s">
        <v>1884</v>
      </c>
      <c r="N393" s="133">
        <v>43467.0</v>
      </c>
      <c r="O393" s="74">
        <v>1.0</v>
      </c>
      <c r="P393" s="74">
        <v>1.0</v>
      </c>
      <c r="Q393" s="119"/>
      <c r="R393" s="74" t="s">
        <v>23010</v>
      </c>
      <c r="S393" s="119"/>
      <c r="T393" s="146">
        <v>43818.0</v>
      </c>
      <c r="U393" s="74">
        <v>34.05</v>
      </c>
      <c r="V393" s="74">
        <v>33.68</v>
      </c>
      <c r="W393" s="119"/>
      <c r="X393" s="119"/>
      <c r="Y393" s="146">
        <v>43818.0</v>
      </c>
      <c r="Z393" s="74">
        <v>9999.0</v>
      </c>
      <c r="AA393" s="74">
        <v>9999.0</v>
      </c>
      <c r="AB393" s="119"/>
      <c r="AC393" s="119"/>
      <c r="AD393" s="119"/>
      <c r="AE393" s="74">
        <v>1.0</v>
      </c>
      <c r="AF393" s="74" t="s">
        <v>18902</v>
      </c>
      <c r="AG393" s="120">
        <v>6590.0</v>
      </c>
      <c r="AH393" s="74" t="s">
        <v>23505</v>
      </c>
      <c r="AI393" s="74" t="s">
        <v>23506</v>
      </c>
      <c r="AJ393" s="120">
        <v>394.0</v>
      </c>
    </row>
    <row r="394">
      <c r="A394" s="74" t="s">
        <v>23509</v>
      </c>
      <c r="B394" s="74" t="s">
        <v>6876</v>
      </c>
      <c r="C394" s="74" t="s">
        <v>6877</v>
      </c>
      <c r="D394" s="74" t="s">
        <v>11623</v>
      </c>
      <c r="E394" s="146">
        <v>43822.0</v>
      </c>
      <c r="F394" s="74" t="s">
        <v>23512</v>
      </c>
      <c r="G394" s="74">
        <v>59.0</v>
      </c>
      <c r="H394" s="74">
        <v>1.0</v>
      </c>
      <c r="I394" s="74">
        <v>11.0</v>
      </c>
      <c r="J394" s="119"/>
      <c r="K394" s="119"/>
      <c r="L394" s="74" t="s">
        <v>1886</v>
      </c>
      <c r="M394" s="74" t="s">
        <v>1886</v>
      </c>
      <c r="N394" s="133">
        <v>43467.0</v>
      </c>
      <c r="O394" s="74">
        <v>1.0</v>
      </c>
      <c r="P394" s="74">
        <v>1.0</v>
      </c>
      <c r="Q394" s="119"/>
      <c r="R394" s="74" t="s">
        <v>23010</v>
      </c>
      <c r="S394" s="119"/>
      <c r="T394" s="146">
        <v>43818.0</v>
      </c>
      <c r="U394" s="74">
        <v>24.86</v>
      </c>
      <c r="V394" s="74">
        <v>24.86</v>
      </c>
      <c r="W394" s="119"/>
      <c r="X394" s="119"/>
      <c r="Y394" s="146">
        <v>43818.0</v>
      </c>
      <c r="Z394" s="74">
        <v>9999.0</v>
      </c>
      <c r="AA394" s="74">
        <v>9999.0</v>
      </c>
      <c r="AB394" s="119"/>
      <c r="AC394" s="119"/>
      <c r="AD394" s="119"/>
      <c r="AE394" s="74">
        <v>1.0</v>
      </c>
      <c r="AF394" s="74" t="s">
        <v>18902</v>
      </c>
      <c r="AG394" s="120">
        <v>6591.0</v>
      </c>
      <c r="AH394" s="74" t="s">
        <v>23527</v>
      </c>
      <c r="AI394" s="74" t="s">
        <v>23529</v>
      </c>
      <c r="AJ394" s="120">
        <v>395.0</v>
      </c>
    </row>
    <row r="395">
      <c r="A395" s="74" t="s">
        <v>23512</v>
      </c>
      <c r="B395" s="74" t="s">
        <v>6876</v>
      </c>
      <c r="C395" s="74" t="s">
        <v>6877</v>
      </c>
      <c r="D395" s="74" t="s">
        <v>11623</v>
      </c>
      <c r="E395" s="146">
        <v>43822.0</v>
      </c>
      <c r="F395" s="74" t="s">
        <v>23533</v>
      </c>
      <c r="G395" s="74">
        <v>59.0</v>
      </c>
      <c r="H395" s="74">
        <v>1.0</v>
      </c>
      <c r="I395" s="74">
        <v>11.0</v>
      </c>
      <c r="J395" s="119"/>
      <c r="K395" s="119"/>
      <c r="L395" s="74" t="s">
        <v>1889</v>
      </c>
      <c r="M395" s="74" t="s">
        <v>1889</v>
      </c>
      <c r="N395" s="133">
        <v>43467.0</v>
      </c>
      <c r="O395" s="74">
        <v>1.0</v>
      </c>
      <c r="P395" s="74">
        <v>1.0</v>
      </c>
      <c r="Q395" s="119"/>
      <c r="R395" s="74" t="s">
        <v>23010</v>
      </c>
      <c r="S395" s="119"/>
      <c r="T395" s="146">
        <v>43818.0</v>
      </c>
      <c r="U395" s="74">
        <v>26.93</v>
      </c>
      <c r="V395" s="74">
        <v>26.71</v>
      </c>
      <c r="W395" s="119"/>
      <c r="X395" s="119"/>
      <c r="Y395" s="146">
        <v>43818.0</v>
      </c>
      <c r="Z395" s="74">
        <v>9999.0</v>
      </c>
      <c r="AA395" s="74">
        <v>9999.0</v>
      </c>
      <c r="AB395" s="119"/>
      <c r="AC395" s="119"/>
      <c r="AD395" s="119"/>
      <c r="AE395" s="74">
        <v>1.0</v>
      </c>
      <c r="AF395" s="74" t="s">
        <v>18902</v>
      </c>
      <c r="AG395" s="120">
        <v>6592.0</v>
      </c>
      <c r="AH395" s="74" t="s">
        <v>23543</v>
      </c>
      <c r="AI395" s="74" t="s">
        <v>23546</v>
      </c>
      <c r="AJ395" s="120">
        <v>396.0</v>
      </c>
    </row>
    <row r="396">
      <c r="A396" s="74" t="s">
        <v>23533</v>
      </c>
      <c r="B396" s="74" t="s">
        <v>6876</v>
      </c>
      <c r="C396" s="74" t="s">
        <v>6877</v>
      </c>
      <c r="D396" s="74" t="s">
        <v>11623</v>
      </c>
      <c r="E396" s="146">
        <v>43822.0</v>
      </c>
      <c r="F396" s="74" t="s">
        <v>23552</v>
      </c>
      <c r="G396" s="74">
        <v>59.0</v>
      </c>
      <c r="H396" s="74">
        <v>1.0</v>
      </c>
      <c r="I396" s="74">
        <v>99.0</v>
      </c>
      <c r="J396" s="119"/>
      <c r="K396" s="119"/>
      <c r="L396" s="74" t="s">
        <v>1890</v>
      </c>
      <c r="M396" s="74" t="s">
        <v>1890</v>
      </c>
      <c r="N396" s="133">
        <v>43467.0</v>
      </c>
      <c r="O396" s="74">
        <v>1.0</v>
      </c>
      <c r="P396" s="74">
        <v>1.0</v>
      </c>
      <c r="Q396" s="119"/>
      <c r="R396" s="74" t="s">
        <v>23010</v>
      </c>
      <c r="S396" s="119"/>
      <c r="T396" s="146">
        <v>43818.0</v>
      </c>
      <c r="U396" s="74">
        <v>9999.0</v>
      </c>
      <c r="V396" s="74">
        <v>9999.0</v>
      </c>
      <c r="W396" s="119"/>
      <c r="X396" s="119"/>
      <c r="Y396" s="146">
        <v>43818.0</v>
      </c>
      <c r="Z396" s="74">
        <v>9999.0</v>
      </c>
      <c r="AA396" s="74">
        <v>9999.0</v>
      </c>
      <c r="AB396" s="119"/>
      <c r="AC396" s="119"/>
      <c r="AD396" s="74" t="s">
        <v>20303</v>
      </c>
      <c r="AE396" s="74">
        <v>1.0</v>
      </c>
      <c r="AF396" s="74" t="s">
        <v>18902</v>
      </c>
      <c r="AG396" s="120">
        <v>6593.0</v>
      </c>
      <c r="AH396" s="74" t="s">
        <v>23564</v>
      </c>
      <c r="AI396" s="74" t="s">
        <v>23565</v>
      </c>
      <c r="AJ396" s="120">
        <v>397.0</v>
      </c>
    </row>
    <row r="397">
      <c r="A397" s="74" t="s">
        <v>23552</v>
      </c>
      <c r="B397" s="74" t="s">
        <v>6876</v>
      </c>
      <c r="C397" s="74" t="s">
        <v>6877</v>
      </c>
      <c r="D397" s="74" t="s">
        <v>11623</v>
      </c>
      <c r="E397" s="146">
        <v>43822.0</v>
      </c>
      <c r="F397" s="74" t="s">
        <v>23567</v>
      </c>
      <c r="G397" s="74">
        <v>59.0</v>
      </c>
      <c r="H397" s="74">
        <v>1.0</v>
      </c>
      <c r="I397" s="74">
        <v>16.0</v>
      </c>
      <c r="J397" s="119"/>
      <c r="K397" s="119"/>
      <c r="L397" s="74" t="s">
        <v>345</v>
      </c>
      <c r="M397" s="74" t="s">
        <v>345</v>
      </c>
      <c r="N397" s="133">
        <v>43467.0</v>
      </c>
      <c r="O397" s="74">
        <v>1.0</v>
      </c>
      <c r="P397" s="74">
        <v>1.0</v>
      </c>
      <c r="Q397" s="119"/>
      <c r="R397" s="74" t="s">
        <v>23010</v>
      </c>
      <c r="S397" s="119"/>
      <c r="T397" s="146">
        <v>43818.0</v>
      </c>
      <c r="U397" s="74">
        <v>9999.0</v>
      </c>
      <c r="V397" s="74">
        <v>9999.0</v>
      </c>
      <c r="W397" s="119"/>
      <c r="X397" s="119"/>
      <c r="Y397" s="146">
        <v>43818.0</v>
      </c>
      <c r="Z397" s="74">
        <v>9999.0</v>
      </c>
      <c r="AA397" s="74">
        <v>9999.0</v>
      </c>
      <c r="AB397" s="119"/>
      <c r="AC397" s="119"/>
      <c r="AD397" s="119"/>
      <c r="AE397" s="74">
        <v>1.0</v>
      </c>
      <c r="AF397" s="74" t="s">
        <v>18902</v>
      </c>
      <c r="AG397" s="120">
        <v>6594.0</v>
      </c>
      <c r="AH397" s="74" t="s">
        <v>23576</v>
      </c>
      <c r="AI397" s="74" t="s">
        <v>23577</v>
      </c>
      <c r="AJ397" s="120">
        <v>398.0</v>
      </c>
    </row>
    <row r="398">
      <c r="A398" s="74" t="s">
        <v>23567</v>
      </c>
      <c r="B398" s="74" t="s">
        <v>6876</v>
      </c>
      <c r="C398" s="74" t="s">
        <v>6877</v>
      </c>
      <c r="D398" s="74" t="s">
        <v>11623</v>
      </c>
      <c r="E398" s="146">
        <v>43822.0</v>
      </c>
      <c r="F398" s="74" t="s">
        <v>23581</v>
      </c>
      <c r="G398" s="74">
        <v>59.0</v>
      </c>
      <c r="H398" s="74">
        <v>1.0</v>
      </c>
      <c r="I398" s="74">
        <v>16.0</v>
      </c>
      <c r="J398" s="119"/>
      <c r="K398" s="119"/>
      <c r="L398" s="74" t="s">
        <v>345</v>
      </c>
      <c r="M398" s="74" t="s">
        <v>345</v>
      </c>
      <c r="N398" s="133">
        <v>43467.0</v>
      </c>
      <c r="O398" s="74">
        <v>1.0</v>
      </c>
      <c r="P398" s="74">
        <v>1.0</v>
      </c>
      <c r="Q398" s="119"/>
      <c r="R398" s="74" t="s">
        <v>23010</v>
      </c>
      <c r="S398" s="119"/>
      <c r="T398" s="146">
        <v>43818.0</v>
      </c>
      <c r="U398" s="74">
        <v>9999.0</v>
      </c>
      <c r="V398" s="74">
        <v>27.82</v>
      </c>
      <c r="W398" s="119"/>
      <c r="X398" s="119"/>
      <c r="Y398" s="146">
        <v>43818.0</v>
      </c>
      <c r="Z398" s="74">
        <v>38.26</v>
      </c>
      <c r="AA398" s="74">
        <v>37.18</v>
      </c>
      <c r="AB398" s="119"/>
      <c r="AC398" s="119"/>
      <c r="AD398" s="119"/>
      <c r="AE398" s="74">
        <v>1.0</v>
      </c>
      <c r="AF398" s="74" t="s">
        <v>18902</v>
      </c>
      <c r="AG398" s="120">
        <v>6595.0</v>
      </c>
      <c r="AH398" s="74" t="s">
        <v>23594</v>
      </c>
      <c r="AI398" s="74" t="s">
        <v>23595</v>
      </c>
      <c r="AJ398" s="120">
        <v>399.0</v>
      </c>
    </row>
    <row r="399">
      <c r="A399" s="74" t="s">
        <v>23599</v>
      </c>
      <c r="B399" s="74" t="s">
        <v>6876</v>
      </c>
      <c r="C399" s="74" t="s">
        <v>6877</v>
      </c>
      <c r="D399" s="74" t="s">
        <v>11623</v>
      </c>
      <c r="E399" s="146">
        <v>43823.0</v>
      </c>
      <c r="F399" s="74" t="s">
        <v>23603</v>
      </c>
      <c r="G399" s="74">
        <v>57.0</v>
      </c>
      <c r="H399" s="74">
        <v>1.0</v>
      </c>
      <c r="I399" s="74">
        <v>12.0</v>
      </c>
      <c r="J399" s="119"/>
      <c r="K399" s="119"/>
      <c r="L399" s="74" t="s">
        <v>1037</v>
      </c>
      <c r="M399" s="74" t="s">
        <v>1037</v>
      </c>
      <c r="N399" s="133">
        <v>43832.0</v>
      </c>
      <c r="O399" s="74">
        <v>1.0</v>
      </c>
      <c r="P399" s="74">
        <v>1.0</v>
      </c>
      <c r="Q399" s="119"/>
      <c r="R399" s="74" t="s">
        <v>23607</v>
      </c>
      <c r="S399" s="119"/>
      <c r="T399" s="146">
        <v>43721.0</v>
      </c>
      <c r="U399" s="74">
        <v>21.56</v>
      </c>
      <c r="V399" s="74">
        <v>22.24</v>
      </c>
      <c r="W399" s="119"/>
      <c r="X399" s="119"/>
      <c r="Y399" s="146">
        <v>43733.0</v>
      </c>
      <c r="Z399" s="74">
        <v>37.95</v>
      </c>
      <c r="AA399" s="74">
        <v>36.39</v>
      </c>
      <c r="AB399" s="119"/>
      <c r="AC399" s="119"/>
      <c r="AD399" s="119"/>
      <c r="AE399" s="74">
        <v>1.0</v>
      </c>
      <c r="AF399" s="74" t="s">
        <v>18902</v>
      </c>
      <c r="AG399" s="120">
        <v>6641.0</v>
      </c>
      <c r="AH399" s="74" t="s">
        <v>23611</v>
      </c>
      <c r="AI399" s="74" t="s">
        <v>23612</v>
      </c>
      <c r="AJ399" s="120">
        <v>400.0</v>
      </c>
    </row>
    <row r="400">
      <c r="A400" s="74" t="s">
        <v>23603</v>
      </c>
      <c r="B400" s="74" t="s">
        <v>6876</v>
      </c>
      <c r="C400" s="74" t="s">
        <v>6877</v>
      </c>
      <c r="D400" s="74" t="s">
        <v>11623</v>
      </c>
      <c r="E400" s="146">
        <v>43823.0</v>
      </c>
      <c r="F400" s="74" t="s">
        <v>23617</v>
      </c>
      <c r="G400" s="74">
        <v>57.0</v>
      </c>
      <c r="H400" s="74">
        <v>1.0</v>
      </c>
      <c r="I400" s="74">
        <v>12.0</v>
      </c>
      <c r="J400" s="119"/>
      <c r="K400" s="119"/>
      <c r="L400" s="74" t="s">
        <v>23620</v>
      </c>
      <c r="M400" s="74" t="s">
        <v>23620</v>
      </c>
      <c r="N400" s="133">
        <v>43832.0</v>
      </c>
      <c r="O400" s="74">
        <v>1.0</v>
      </c>
      <c r="P400" s="74">
        <v>1.0</v>
      </c>
      <c r="Q400" s="119"/>
      <c r="R400" s="74" t="s">
        <v>23607</v>
      </c>
      <c r="S400" s="119"/>
      <c r="T400" s="146">
        <v>43721.0</v>
      </c>
      <c r="U400" s="74">
        <v>9999.0</v>
      </c>
      <c r="V400" s="74">
        <v>23.26</v>
      </c>
      <c r="W400" s="119"/>
      <c r="X400" s="119"/>
      <c r="Y400" s="146">
        <v>43733.0</v>
      </c>
      <c r="Z400" s="74">
        <v>39.55</v>
      </c>
      <c r="AA400" s="74">
        <v>40.0</v>
      </c>
      <c r="AB400" s="119"/>
      <c r="AC400" s="119"/>
      <c r="AD400" s="119"/>
      <c r="AE400" s="74">
        <v>1.0</v>
      </c>
      <c r="AF400" s="74" t="s">
        <v>18902</v>
      </c>
      <c r="AG400" s="120">
        <v>6642.0</v>
      </c>
      <c r="AH400" s="74" t="s">
        <v>23632</v>
      </c>
      <c r="AI400" s="74" t="s">
        <v>23634</v>
      </c>
      <c r="AJ400" s="120">
        <v>401.0</v>
      </c>
    </row>
    <row r="401">
      <c r="A401" s="74" t="s">
        <v>23617</v>
      </c>
      <c r="B401" s="74" t="s">
        <v>6876</v>
      </c>
      <c r="C401" s="74" t="s">
        <v>6877</v>
      </c>
      <c r="D401" s="74" t="s">
        <v>11623</v>
      </c>
      <c r="E401" s="146">
        <v>43823.0</v>
      </c>
      <c r="F401" s="74" t="s">
        <v>23637</v>
      </c>
      <c r="G401" s="74">
        <v>66.0</v>
      </c>
      <c r="H401" s="74">
        <v>1.0</v>
      </c>
      <c r="I401" s="74">
        <v>12.0</v>
      </c>
      <c r="J401" s="119"/>
      <c r="K401" s="119"/>
      <c r="L401" s="74" t="s">
        <v>1042</v>
      </c>
      <c r="M401" s="74" t="s">
        <v>1042</v>
      </c>
      <c r="N401" s="133">
        <v>43832.0</v>
      </c>
      <c r="O401" s="74">
        <v>1.0</v>
      </c>
      <c r="P401" s="74">
        <v>1.0</v>
      </c>
      <c r="Q401" s="119"/>
      <c r="R401" s="74" t="s">
        <v>23607</v>
      </c>
      <c r="S401" s="119"/>
      <c r="T401" s="146">
        <v>43721.0</v>
      </c>
      <c r="U401" s="74">
        <v>22.61</v>
      </c>
      <c r="V401" s="74">
        <v>23.12</v>
      </c>
      <c r="W401" s="119"/>
      <c r="X401" s="119"/>
      <c r="Y401" s="146">
        <v>43733.0</v>
      </c>
      <c r="Z401" s="74">
        <v>38.45</v>
      </c>
      <c r="AA401" s="74">
        <v>34.26</v>
      </c>
      <c r="AB401" s="119"/>
      <c r="AC401" s="119"/>
      <c r="AD401" s="119"/>
      <c r="AE401" s="74">
        <v>1.0</v>
      </c>
      <c r="AF401" s="74" t="s">
        <v>18902</v>
      </c>
      <c r="AG401" s="120">
        <v>6643.0</v>
      </c>
      <c r="AH401" s="74" t="s">
        <v>23651</v>
      </c>
      <c r="AI401" s="74" t="s">
        <v>23652</v>
      </c>
      <c r="AJ401" s="120">
        <v>402.0</v>
      </c>
    </row>
    <row r="402">
      <c r="A402" s="74" t="s">
        <v>23637</v>
      </c>
      <c r="B402" s="74" t="s">
        <v>6876</v>
      </c>
      <c r="C402" s="74" t="s">
        <v>6877</v>
      </c>
      <c r="D402" s="74" t="s">
        <v>11623</v>
      </c>
      <c r="E402" s="146">
        <v>43823.0</v>
      </c>
      <c r="F402" s="74" t="s">
        <v>23656</v>
      </c>
      <c r="G402" s="74">
        <v>66.0</v>
      </c>
      <c r="H402" s="74">
        <v>1.0</v>
      </c>
      <c r="I402" s="74">
        <v>12.0</v>
      </c>
      <c r="J402" s="119"/>
      <c r="K402" s="119"/>
      <c r="L402" s="74" t="s">
        <v>23659</v>
      </c>
      <c r="M402" s="74" t="s">
        <v>23659</v>
      </c>
      <c r="N402" s="133">
        <v>43832.0</v>
      </c>
      <c r="O402" s="74">
        <v>1.0</v>
      </c>
      <c r="P402" s="74">
        <v>1.0</v>
      </c>
      <c r="Q402" s="119"/>
      <c r="R402" s="74" t="s">
        <v>23607</v>
      </c>
      <c r="S402" s="119"/>
      <c r="T402" s="146">
        <v>43721.0</v>
      </c>
      <c r="U402" s="74">
        <v>9999.0</v>
      </c>
      <c r="V402" s="74">
        <v>9999.0</v>
      </c>
      <c r="W402" s="119"/>
      <c r="X402" s="119"/>
      <c r="Y402" s="146">
        <v>43733.0</v>
      </c>
      <c r="Z402" s="74">
        <v>37.51</v>
      </c>
      <c r="AA402" s="74">
        <v>37.32</v>
      </c>
      <c r="AB402" s="119"/>
      <c r="AC402" s="119"/>
      <c r="AD402" s="119"/>
      <c r="AE402" s="74">
        <v>1.0</v>
      </c>
      <c r="AF402" s="74" t="s">
        <v>18902</v>
      </c>
      <c r="AG402" s="120">
        <v>6644.0</v>
      </c>
      <c r="AH402" s="74" t="s">
        <v>23666</v>
      </c>
      <c r="AI402" s="74" t="s">
        <v>23667</v>
      </c>
      <c r="AJ402" s="120">
        <v>403.0</v>
      </c>
    </row>
    <row r="403">
      <c r="A403" s="74" t="s">
        <v>23656</v>
      </c>
      <c r="B403" s="74" t="s">
        <v>6876</v>
      </c>
      <c r="C403" s="74" t="s">
        <v>6877</v>
      </c>
      <c r="D403" s="74" t="s">
        <v>11623</v>
      </c>
      <c r="E403" s="146">
        <v>43823.0</v>
      </c>
      <c r="F403" s="74" t="s">
        <v>23671</v>
      </c>
      <c r="G403" s="74">
        <v>59.0</v>
      </c>
      <c r="H403" s="74">
        <v>1.0</v>
      </c>
      <c r="I403" s="74">
        <v>12.0</v>
      </c>
      <c r="J403" s="119"/>
      <c r="K403" s="119"/>
      <c r="L403" s="74" t="s">
        <v>1046</v>
      </c>
      <c r="M403" s="74" t="s">
        <v>1046</v>
      </c>
      <c r="N403" s="133">
        <v>43832.0</v>
      </c>
      <c r="O403" s="74">
        <v>1.0</v>
      </c>
      <c r="P403" s="74">
        <v>1.0</v>
      </c>
      <c r="Q403" s="119"/>
      <c r="R403" s="74" t="s">
        <v>23607</v>
      </c>
      <c r="S403" s="119"/>
      <c r="T403" s="146">
        <v>43721.0</v>
      </c>
      <c r="U403" s="74">
        <v>22.19</v>
      </c>
      <c r="V403" s="74">
        <v>22.5</v>
      </c>
      <c r="W403" s="119"/>
      <c r="X403" s="119"/>
      <c r="Y403" s="146">
        <v>43733.0</v>
      </c>
      <c r="Z403" s="74">
        <v>35.36</v>
      </c>
      <c r="AA403" s="74">
        <v>35.3</v>
      </c>
      <c r="AB403" s="119"/>
      <c r="AC403" s="119"/>
      <c r="AD403" s="119"/>
      <c r="AE403" s="74">
        <v>1.0</v>
      </c>
      <c r="AF403" s="74" t="s">
        <v>18902</v>
      </c>
      <c r="AG403" s="120">
        <v>6645.0</v>
      </c>
      <c r="AH403" s="74" t="s">
        <v>23682</v>
      </c>
      <c r="AI403" s="74" t="s">
        <v>23683</v>
      </c>
      <c r="AJ403" s="120">
        <v>404.0</v>
      </c>
    </row>
    <row r="404">
      <c r="A404" s="74" t="s">
        <v>23671</v>
      </c>
      <c r="B404" s="74" t="s">
        <v>6876</v>
      </c>
      <c r="C404" s="74" t="s">
        <v>6877</v>
      </c>
      <c r="D404" s="74" t="s">
        <v>11623</v>
      </c>
      <c r="E404" s="146">
        <v>43823.0</v>
      </c>
      <c r="F404" s="74" t="s">
        <v>23685</v>
      </c>
      <c r="G404" s="74">
        <v>59.0</v>
      </c>
      <c r="H404" s="74">
        <v>1.0</v>
      </c>
      <c r="I404" s="74">
        <v>12.0</v>
      </c>
      <c r="J404" s="119"/>
      <c r="K404" s="119"/>
      <c r="L404" s="74" t="s">
        <v>23690</v>
      </c>
      <c r="M404" s="74" t="s">
        <v>23690</v>
      </c>
      <c r="N404" s="133">
        <v>43832.0</v>
      </c>
      <c r="O404" s="74">
        <v>1.0</v>
      </c>
      <c r="P404" s="74">
        <v>1.0</v>
      </c>
      <c r="Q404" s="119"/>
      <c r="R404" s="74" t="s">
        <v>23607</v>
      </c>
      <c r="S404" s="119"/>
      <c r="T404" s="146">
        <v>43721.0</v>
      </c>
      <c r="U404" s="74">
        <v>9999.0</v>
      </c>
      <c r="V404" s="74">
        <v>9999.0</v>
      </c>
      <c r="W404" s="119"/>
      <c r="X404" s="119"/>
      <c r="Y404" s="146">
        <v>43733.0</v>
      </c>
      <c r="Z404" s="74">
        <v>40.0</v>
      </c>
      <c r="AA404" s="74">
        <v>34.52</v>
      </c>
      <c r="AB404" s="119"/>
      <c r="AC404" s="119"/>
      <c r="AD404" s="119"/>
      <c r="AE404" s="74">
        <v>1.0</v>
      </c>
      <c r="AF404" s="74" t="s">
        <v>18902</v>
      </c>
      <c r="AG404" s="120">
        <v>6646.0</v>
      </c>
      <c r="AH404" s="74" t="s">
        <v>23695</v>
      </c>
      <c r="AI404" s="74" t="s">
        <v>23696</v>
      </c>
      <c r="AJ404" s="120">
        <v>405.0</v>
      </c>
    </row>
    <row r="405">
      <c r="A405" s="74" t="s">
        <v>23685</v>
      </c>
      <c r="B405" s="74" t="s">
        <v>6876</v>
      </c>
      <c r="C405" s="74" t="s">
        <v>6877</v>
      </c>
      <c r="D405" s="74" t="s">
        <v>11623</v>
      </c>
      <c r="E405" s="146">
        <v>43823.0</v>
      </c>
      <c r="F405" s="74" t="s">
        <v>23702</v>
      </c>
      <c r="G405" s="74">
        <v>57.0</v>
      </c>
      <c r="H405" s="74">
        <v>1.0</v>
      </c>
      <c r="I405" s="74">
        <v>12.0</v>
      </c>
      <c r="J405" s="119"/>
      <c r="K405" s="119"/>
      <c r="L405" s="74" t="s">
        <v>1047</v>
      </c>
      <c r="M405" s="74" t="s">
        <v>1047</v>
      </c>
      <c r="N405" s="133">
        <v>43832.0</v>
      </c>
      <c r="O405" s="74">
        <v>1.0</v>
      </c>
      <c r="P405" s="74">
        <v>1.0</v>
      </c>
      <c r="Q405" s="119"/>
      <c r="R405" s="74" t="s">
        <v>23607</v>
      </c>
      <c r="S405" s="119"/>
      <c r="T405" s="146">
        <v>43721.0</v>
      </c>
      <c r="U405" s="74">
        <v>22.05</v>
      </c>
      <c r="V405" s="74">
        <v>22.14</v>
      </c>
      <c r="W405" s="119"/>
      <c r="X405" s="119"/>
      <c r="Y405" s="146">
        <v>43733.0</v>
      </c>
      <c r="Z405" s="74">
        <v>40.0</v>
      </c>
      <c r="AA405" s="74">
        <v>40.0</v>
      </c>
      <c r="AB405" s="119"/>
      <c r="AC405" s="119"/>
      <c r="AD405" s="119"/>
      <c r="AE405" s="74">
        <v>1.0</v>
      </c>
      <c r="AF405" s="74" t="s">
        <v>18902</v>
      </c>
      <c r="AG405" s="120">
        <v>6647.0</v>
      </c>
      <c r="AH405" s="74" t="s">
        <v>23710</v>
      </c>
      <c r="AI405" s="74" t="s">
        <v>23711</v>
      </c>
      <c r="AJ405" s="120">
        <v>406.0</v>
      </c>
    </row>
    <row r="406">
      <c r="A406" s="74" t="s">
        <v>23702</v>
      </c>
      <c r="B406" s="74" t="s">
        <v>6876</v>
      </c>
      <c r="C406" s="74" t="s">
        <v>6877</v>
      </c>
      <c r="D406" s="74" t="s">
        <v>11623</v>
      </c>
      <c r="E406" s="146">
        <v>43823.0</v>
      </c>
      <c r="F406" s="74" t="s">
        <v>23716</v>
      </c>
      <c r="G406" s="74">
        <v>57.0</v>
      </c>
      <c r="H406" s="74">
        <v>1.0</v>
      </c>
      <c r="I406" s="74">
        <v>12.0</v>
      </c>
      <c r="J406" s="119"/>
      <c r="K406" s="119"/>
      <c r="L406" s="74" t="s">
        <v>23719</v>
      </c>
      <c r="M406" s="74" t="s">
        <v>23719</v>
      </c>
      <c r="N406" s="133">
        <v>43832.0</v>
      </c>
      <c r="O406" s="74">
        <v>1.0</v>
      </c>
      <c r="P406" s="74">
        <v>1.0</v>
      </c>
      <c r="Q406" s="119"/>
      <c r="R406" s="74" t="s">
        <v>23607</v>
      </c>
      <c r="S406" s="119"/>
      <c r="T406" s="146">
        <v>43721.0</v>
      </c>
      <c r="U406" s="74">
        <v>22.38</v>
      </c>
      <c r="V406" s="74">
        <v>9999.0</v>
      </c>
      <c r="W406" s="119"/>
      <c r="X406" s="119"/>
      <c r="Y406" s="146">
        <v>43733.0</v>
      </c>
      <c r="Z406" s="74">
        <v>9999.0</v>
      </c>
      <c r="AA406" s="74">
        <v>40.0</v>
      </c>
      <c r="AB406" s="119"/>
      <c r="AC406" s="119"/>
      <c r="AD406" s="119"/>
      <c r="AE406" s="74">
        <v>1.0</v>
      </c>
      <c r="AF406" s="74" t="s">
        <v>18902</v>
      </c>
      <c r="AG406" s="120">
        <v>6648.0</v>
      </c>
      <c r="AH406" s="74" t="s">
        <v>23728</v>
      </c>
      <c r="AI406" s="74" t="s">
        <v>23729</v>
      </c>
      <c r="AJ406" s="120">
        <v>407.0</v>
      </c>
    </row>
    <row r="407">
      <c r="A407" s="74" t="s">
        <v>23716</v>
      </c>
      <c r="B407" s="74" t="s">
        <v>6876</v>
      </c>
      <c r="C407" s="74" t="s">
        <v>6877</v>
      </c>
      <c r="D407" s="74" t="s">
        <v>11623</v>
      </c>
      <c r="E407" s="146">
        <v>43823.0</v>
      </c>
      <c r="F407" s="74" t="s">
        <v>23733</v>
      </c>
      <c r="G407" s="74">
        <v>66.0</v>
      </c>
      <c r="H407" s="74">
        <v>1.0</v>
      </c>
      <c r="I407" s="74">
        <v>99.0</v>
      </c>
      <c r="J407" s="119"/>
      <c r="K407" s="119"/>
      <c r="L407" s="74" t="s">
        <v>1040</v>
      </c>
      <c r="M407" s="74" t="s">
        <v>1040</v>
      </c>
      <c r="N407" s="133">
        <v>43832.0</v>
      </c>
      <c r="O407" s="74">
        <v>1.0</v>
      </c>
      <c r="P407" s="74">
        <v>1.0</v>
      </c>
      <c r="Q407" s="119"/>
      <c r="R407" s="74" t="s">
        <v>23607</v>
      </c>
      <c r="S407" s="119"/>
      <c r="T407" s="146">
        <v>43721.0</v>
      </c>
      <c r="U407" s="74">
        <v>36.36</v>
      </c>
      <c r="V407" s="74">
        <v>33.96</v>
      </c>
      <c r="W407" s="119"/>
      <c r="X407" s="119"/>
      <c r="Y407" s="146">
        <v>43733.0</v>
      </c>
      <c r="Z407" s="74">
        <v>40.0</v>
      </c>
      <c r="AA407" s="74">
        <v>9999.0</v>
      </c>
      <c r="AB407" s="119"/>
      <c r="AC407" s="119"/>
      <c r="AD407" s="74" t="s">
        <v>23744</v>
      </c>
      <c r="AE407" s="74">
        <v>1.0</v>
      </c>
      <c r="AF407" s="74" t="s">
        <v>18902</v>
      </c>
      <c r="AG407" s="120">
        <v>6649.0</v>
      </c>
      <c r="AH407" s="74" t="s">
        <v>23747</v>
      </c>
      <c r="AI407" s="74" t="s">
        <v>23748</v>
      </c>
      <c r="AJ407" s="120">
        <v>408.0</v>
      </c>
    </row>
    <row r="408">
      <c r="A408" s="74" t="s">
        <v>23733</v>
      </c>
      <c r="B408" s="74" t="s">
        <v>6876</v>
      </c>
      <c r="C408" s="74" t="s">
        <v>6877</v>
      </c>
      <c r="D408" s="74" t="s">
        <v>11623</v>
      </c>
      <c r="E408" s="146">
        <v>43823.0</v>
      </c>
      <c r="F408" s="74" t="s">
        <v>23750</v>
      </c>
      <c r="G408" s="74">
        <v>58.0</v>
      </c>
      <c r="H408" s="74">
        <v>1.0</v>
      </c>
      <c r="I408" s="74">
        <v>6.0</v>
      </c>
      <c r="J408" s="119"/>
      <c r="K408" s="119"/>
      <c r="L408" s="74" t="s">
        <v>1048</v>
      </c>
      <c r="M408" s="74" t="s">
        <v>1048</v>
      </c>
      <c r="N408" s="133">
        <v>43832.0</v>
      </c>
      <c r="O408" s="74">
        <v>1.0</v>
      </c>
      <c r="P408" s="74">
        <v>1.0</v>
      </c>
      <c r="Q408" s="119"/>
      <c r="R408" s="74" t="s">
        <v>23607</v>
      </c>
      <c r="S408" s="119"/>
      <c r="T408" s="146">
        <v>43721.0</v>
      </c>
      <c r="U408" s="74">
        <v>9999.0</v>
      </c>
      <c r="V408" s="74">
        <v>9999.0</v>
      </c>
      <c r="W408" s="119"/>
      <c r="X408" s="119"/>
      <c r="Y408" s="146">
        <v>43733.0</v>
      </c>
      <c r="Z408" s="74">
        <v>9999.0</v>
      </c>
      <c r="AA408" s="74">
        <v>40.0</v>
      </c>
      <c r="AB408" s="119"/>
      <c r="AC408" s="119"/>
      <c r="AD408" s="119"/>
      <c r="AE408" s="74">
        <v>1.0</v>
      </c>
      <c r="AF408" s="74" t="s">
        <v>18902</v>
      </c>
      <c r="AG408" s="120">
        <v>6650.0</v>
      </c>
      <c r="AH408" s="74" t="s">
        <v>23760</v>
      </c>
      <c r="AI408" s="74" t="s">
        <v>23761</v>
      </c>
      <c r="AJ408" s="120">
        <v>409.0</v>
      </c>
    </row>
    <row r="409">
      <c r="A409" s="74" t="s">
        <v>23750</v>
      </c>
      <c r="B409" s="74" t="s">
        <v>6876</v>
      </c>
      <c r="C409" s="74" t="s">
        <v>6877</v>
      </c>
      <c r="D409" s="74" t="s">
        <v>11623</v>
      </c>
      <c r="E409" s="146">
        <v>43823.0</v>
      </c>
      <c r="F409" s="74" t="s">
        <v>23765</v>
      </c>
      <c r="G409" s="74">
        <v>58.0</v>
      </c>
      <c r="H409" s="74">
        <v>1.0</v>
      </c>
      <c r="I409" s="74">
        <v>1.0</v>
      </c>
      <c r="J409" s="119"/>
      <c r="K409" s="119"/>
      <c r="L409" s="74" t="s">
        <v>1050</v>
      </c>
      <c r="M409" s="74" t="s">
        <v>1050</v>
      </c>
      <c r="N409" s="133">
        <v>43832.0</v>
      </c>
      <c r="O409" s="74">
        <v>1.0</v>
      </c>
      <c r="P409" s="74">
        <v>1.0</v>
      </c>
      <c r="Q409" s="119"/>
      <c r="R409" s="74" t="s">
        <v>23607</v>
      </c>
      <c r="S409" s="119"/>
      <c r="T409" s="146">
        <v>43721.0</v>
      </c>
      <c r="U409" s="74">
        <v>28.6</v>
      </c>
      <c r="V409" s="74">
        <v>9999.0</v>
      </c>
      <c r="W409" s="119"/>
      <c r="X409" s="119"/>
      <c r="Y409" s="146">
        <v>43733.0</v>
      </c>
      <c r="Z409" s="74">
        <v>40.0</v>
      </c>
      <c r="AA409" s="74">
        <v>40.0</v>
      </c>
      <c r="AB409" s="119"/>
      <c r="AC409" s="119"/>
      <c r="AD409" s="119"/>
      <c r="AE409" s="74">
        <v>1.0</v>
      </c>
      <c r="AF409" s="74" t="s">
        <v>18902</v>
      </c>
      <c r="AG409" s="120">
        <v>6651.0</v>
      </c>
      <c r="AH409" s="74" t="s">
        <v>23775</v>
      </c>
      <c r="AI409" s="74" t="s">
        <v>23776</v>
      </c>
      <c r="AJ409" s="120">
        <v>410.0</v>
      </c>
    </row>
    <row r="410">
      <c r="A410" s="74" t="s">
        <v>23765</v>
      </c>
      <c r="B410" s="74" t="s">
        <v>6876</v>
      </c>
      <c r="C410" s="74" t="s">
        <v>6877</v>
      </c>
      <c r="D410" s="74" t="s">
        <v>11623</v>
      </c>
      <c r="E410" s="146">
        <v>43823.0</v>
      </c>
      <c r="F410" s="74" t="s">
        <v>23779</v>
      </c>
      <c r="G410" s="74">
        <v>58.0</v>
      </c>
      <c r="H410" s="74">
        <v>1.0</v>
      </c>
      <c r="I410" s="74">
        <v>1.0</v>
      </c>
      <c r="J410" s="119"/>
      <c r="K410" s="119"/>
      <c r="L410" s="74" t="s">
        <v>1051</v>
      </c>
      <c r="M410" s="74" t="s">
        <v>1051</v>
      </c>
      <c r="N410" s="133">
        <v>43832.0</v>
      </c>
      <c r="O410" s="74">
        <v>1.0</v>
      </c>
      <c r="P410" s="74">
        <v>1.0</v>
      </c>
      <c r="Q410" s="119"/>
      <c r="R410" s="74" t="s">
        <v>23607</v>
      </c>
      <c r="S410" s="119"/>
      <c r="T410" s="146">
        <v>43721.0</v>
      </c>
      <c r="U410" s="74">
        <v>9999.0</v>
      </c>
      <c r="V410" s="74">
        <v>9999.0</v>
      </c>
      <c r="W410" s="119"/>
      <c r="X410" s="119"/>
      <c r="Y410" s="146">
        <v>43733.0</v>
      </c>
      <c r="Z410" s="74">
        <v>9999.0</v>
      </c>
      <c r="AA410" s="74">
        <v>9999.0</v>
      </c>
      <c r="AB410" s="119"/>
      <c r="AC410" s="119"/>
      <c r="AD410" s="119"/>
      <c r="AE410" s="74">
        <v>1.0</v>
      </c>
      <c r="AF410" s="74" t="s">
        <v>18902</v>
      </c>
      <c r="AG410" s="120">
        <v>6652.0</v>
      </c>
      <c r="AH410" s="74" t="s">
        <v>23790</v>
      </c>
      <c r="AI410" s="74" t="s">
        <v>23791</v>
      </c>
      <c r="AJ410" s="120">
        <v>411.0</v>
      </c>
    </row>
    <row r="411">
      <c r="A411" s="74" t="s">
        <v>23779</v>
      </c>
      <c r="B411" s="74" t="s">
        <v>6876</v>
      </c>
      <c r="C411" s="74" t="s">
        <v>6877</v>
      </c>
      <c r="D411" s="74" t="s">
        <v>11623</v>
      </c>
      <c r="E411" s="146">
        <v>43823.0</v>
      </c>
      <c r="F411" s="74" t="s">
        <v>23793</v>
      </c>
      <c r="G411" s="74">
        <v>58.0</v>
      </c>
      <c r="H411" s="74">
        <v>1.0</v>
      </c>
      <c r="I411" s="74">
        <v>99.0</v>
      </c>
      <c r="J411" s="119"/>
      <c r="K411" s="119"/>
      <c r="L411" s="74" t="s">
        <v>1044</v>
      </c>
      <c r="M411" s="74" t="s">
        <v>1044</v>
      </c>
      <c r="N411" s="133">
        <v>43832.0</v>
      </c>
      <c r="O411" s="74">
        <v>1.0</v>
      </c>
      <c r="P411" s="74">
        <v>1.0</v>
      </c>
      <c r="Q411" s="119"/>
      <c r="R411" s="74" t="s">
        <v>23607</v>
      </c>
      <c r="S411" s="119"/>
      <c r="T411" s="146">
        <v>43721.0</v>
      </c>
      <c r="U411" s="74">
        <v>33.02</v>
      </c>
      <c r="V411" s="74">
        <v>9999.0</v>
      </c>
      <c r="W411" s="119"/>
      <c r="X411" s="119"/>
      <c r="Y411" s="146">
        <v>43733.0</v>
      </c>
      <c r="Z411" s="74">
        <v>37.02</v>
      </c>
      <c r="AA411" s="74">
        <v>37.35</v>
      </c>
      <c r="AB411" s="119"/>
      <c r="AC411" s="119"/>
      <c r="AD411" s="74" t="s">
        <v>23797</v>
      </c>
      <c r="AE411" s="74">
        <v>1.0</v>
      </c>
      <c r="AF411" s="74" t="s">
        <v>18902</v>
      </c>
      <c r="AG411" s="120">
        <v>6653.0</v>
      </c>
      <c r="AH411" s="74" t="s">
        <v>23798</v>
      </c>
      <c r="AI411" s="74" t="s">
        <v>23800</v>
      </c>
      <c r="AJ411" s="120">
        <v>412.0</v>
      </c>
    </row>
    <row r="412">
      <c r="A412" s="74" t="s">
        <v>23793</v>
      </c>
      <c r="B412" s="74" t="s">
        <v>6876</v>
      </c>
      <c r="C412" s="74" t="s">
        <v>6877</v>
      </c>
      <c r="D412" s="74" t="s">
        <v>11623</v>
      </c>
      <c r="E412" s="146">
        <v>43823.0</v>
      </c>
      <c r="F412" s="74" t="s">
        <v>23804</v>
      </c>
      <c r="G412" s="74">
        <v>59.0</v>
      </c>
      <c r="H412" s="74">
        <v>1.0</v>
      </c>
      <c r="I412" s="74">
        <v>7.0</v>
      </c>
      <c r="J412" s="119"/>
      <c r="K412" s="119"/>
      <c r="L412" s="74" t="s">
        <v>1055</v>
      </c>
      <c r="M412" s="74" t="s">
        <v>1055</v>
      </c>
      <c r="N412" s="133">
        <v>43832.0</v>
      </c>
      <c r="O412" s="74">
        <v>1.0</v>
      </c>
      <c r="P412" s="74">
        <v>1.0</v>
      </c>
      <c r="Q412" s="119"/>
      <c r="R412" s="74" t="s">
        <v>23607</v>
      </c>
      <c r="S412" s="119"/>
      <c r="T412" s="146">
        <v>43721.0</v>
      </c>
      <c r="U412" s="74">
        <v>24.33</v>
      </c>
      <c r="V412" s="74">
        <v>24.22</v>
      </c>
      <c r="W412" s="119"/>
      <c r="X412" s="119"/>
      <c r="Y412" s="146">
        <v>43733.0</v>
      </c>
      <c r="Z412" s="74">
        <v>39.35</v>
      </c>
      <c r="AA412" s="74">
        <v>40.0</v>
      </c>
      <c r="AB412" s="119"/>
      <c r="AC412" s="119"/>
      <c r="AD412" s="119"/>
      <c r="AE412" s="74">
        <v>1.0</v>
      </c>
      <c r="AF412" s="74" t="s">
        <v>18902</v>
      </c>
      <c r="AG412" s="120">
        <v>6654.0</v>
      </c>
      <c r="AH412" s="74" t="s">
        <v>23814</v>
      </c>
      <c r="AI412" s="74" t="s">
        <v>23815</v>
      </c>
      <c r="AJ412" s="120">
        <v>413.0</v>
      </c>
    </row>
    <row r="413">
      <c r="A413" s="74" t="s">
        <v>23804</v>
      </c>
      <c r="B413" s="74" t="s">
        <v>6876</v>
      </c>
      <c r="C413" s="74" t="s">
        <v>6877</v>
      </c>
      <c r="D413" s="74" t="s">
        <v>11623</v>
      </c>
      <c r="E413" s="146">
        <v>43823.0</v>
      </c>
      <c r="F413" s="74" t="s">
        <v>23819</v>
      </c>
      <c r="G413" s="74">
        <v>59.0</v>
      </c>
      <c r="H413" s="74">
        <v>1.0</v>
      </c>
      <c r="I413" s="74">
        <v>7.0</v>
      </c>
      <c r="J413" s="119"/>
      <c r="K413" s="119"/>
      <c r="L413" s="74" t="s">
        <v>23821</v>
      </c>
      <c r="M413" s="74" t="s">
        <v>23821</v>
      </c>
      <c r="N413" s="74">
        <v>2.0</v>
      </c>
      <c r="O413" s="74">
        <v>0.0</v>
      </c>
      <c r="P413" s="74">
        <v>1.0</v>
      </c>
      <c r="Q413" s="119"/>
      <c r="R413" s="74" t="s">
        <v>23824</v>
      </c>
      <c r="S413" s="119"/>
      <c r="T413" s="119"/>
      <c r="U413" s="119"/>
      <c r="V413" s="119"/>
      <c r="W413" s="119"/>
      <c r="X413" s="119"/>
      <c r="Y413" s="146">
        <v>43733.0</v>
      </c>
      <c r="Z413" s="74">
        <v>9999.0</v>
      </c>
      <c r="AA413" s="74">
        <v>40.0</v>
      </c>
      <c r="AB413" s="119"/>
      <c r="AC413" s="119"/>
      <c r="AD413" s="119"/>
      <c r="AE413" s="74">
        <v>1.0</v>
      </c>
      <c r="AF413" s="74" t="s">
        <v>18902</v>
      </c>
      <c r="AG413" s="120">
        <v>6655.0</v>
      </c>
      <c r="AH413" s="74" t="s">
        <v>23826</v>
      </c>
      <c r="AI413" s="74" t="s">
        <v>23827</v>
      </c>
      <c r="AJ413" s="120">
        <v>414.0</v>
      </c>
    </row>
    <row r="414">
      <c r="A414" s="74" t="s">
        <v>23819</v>
      </c>
      <c r="B414" s="74" t="s">
        <v>6876</v>
      </c>
      <c r="C414" s="74" t="s">
        <v>6877</v>
      </c>
      <c r="D414" s="74" t="s">
        <v>11623</v>
      </c>
      <c r="E414" s="146">
        <v>43823.0</v>
      </c>
      <c r="F414" s="74" t="s">
        <v>23833</v>
      </c>
      <c r="G414" s="74">
        <v>59.0</v>
      </c>
      <c r="H414" s="74">
        <v>1.0</v>
      </c>
      <c r="I414" s="74">
        <v>99.0</v>
      </c>
      <c r="J414" s="119"/>
      <c r="K414" s="119"/>
      <c r="L414" s="74" t="s">
        <v>1058</v>
      </c>
      <c r="M414" s="74" t="s">
        <v>1058</v>
      </c>
      <c r="N414" s="133">
        <v>43832.0</v>
      </c>
      <c r="O414" s="74">
        <v>1.0</v>
      </c>
      <c r="P414" s="74">
        <v>1.0</v>
      </c>
      <c r="Q414" s="119"/>
      <c r="R414" s="74" t="s">
        <v>23607</v>
      </c>
      <c r="S414" s="119"/>
      <c r="T414" s="146">
        <v>43721.0</v>
      </c>
      <c r="U414" s="74">
        <v>9999.0</v>
      </c>
      <c r="V414" s="74">
        <v>36.6</v>
      </c>
      <c r="W414" s="119"/>
      <c r="X414" s="119"/>
      <c r="Y414" s="146">
        <v>43733.0</v>
      </c>
      <c r="Z414" s="74">
        <v>9999.0</v>
      </c>
      <c r="AA414" s="74">
        <v>9999.0</v>
      </c>
      <c r="AB414" s="119"/>
      <c r="AC414" s="119"/>
      <c r="AD414" s="74" t="s">
        <v>23839</v>
      </c>
      <c r="AE414" s="74">
        <v>1.0</v>
      </c>
      <c r="AF414" s="74" t="s">
        <v>18902</v>
      </c>
      <c r="AG414" s="120">
        <v>6656.0</v>
      </c>
      <c r="AH414" s="74" t="s">
        <v>23840</v>
      </c>
      <c r="AI414" s="74" t="s">
        <v>23841</v>
      </c>
      <c r="AJ414" s="120">
        <v>415.0</v>
      </c>
    </row>
    <row r="415">
      <c r="A415" s="74" t="s">
        <v>23833</v>
      </c>
      <c r="B415" s="74" t="s">
        <v>6876</v>
      </c>
      <c r="C415" s="74" t="s">
        <v>6877</v>
      </c>
      <c r="D415" s="74" t="s">
        <v>11623</v>
      </c>
      <c r="E415" s="146">
        <v>43823.0</v>
      </c>
      <c r="F415" s="74" t="s">
        <v>23843</v>
      </c>
      <c r="G415" s="74">
        <v>58.0</v>
      </c>
      <c r="H415" s="74">
        <v>1.0</v>
      </c>
      <c r="I415" s="74">
        <v>15.0</v>
      </c>
      <c r="J415" s="119"/>
      <c r="K415" s="74">
        <v>151.0</v>
      </c>
      <c r="L415" s="74" t="s">
        <v>2138</v>
      </c>
      <c r="M415" s="74" t="s">
        <v>2138</v>
      </c>
      <c r="N415" s="133">
        <v>43832.0</v>
      </c>
      <c r="O415" s="74">
        <v>1.0</v>
      </c>
      <c r="P415" s="74">
        <v>1.0</v>
      </c>
      <c r="Q415" s="119"/>
      <c r="R415" s="74" t="s">
        <v>23607</v>
      </c>
      <c r="S415" s="119"/>
      <c r="T415" s="146">
        <v>43721.0</v>
      </c>
      <c r="U415" s="74">
        <v>9999.0</v>
      </c>
      <c r="V415" s="74">
        <v>9999.0</v>
      </c>
      <c r="W415" s="119"/>
      <c r="X415" s="119"/>
      <c r="Y415" s="146">
        <v>43733.0</v>
      </c>
      <c r="Z415" s="74">
        <v>37.91</v>
      </c>
      <c r="AA415" s="74">
        <v>37.88</v>
      </c>
      <c r="AB415" s="119"/>
      <c r="AC415" s="119"/>
      <c r="AD415" s="119"/>
      <c r="AE415" s="74">
        <v>1.0</v>
      </c>
      <c r="AF415" s="74" t="s">
        <v>18902</v>
      </c>
      <c r="AG415" s="120">
        <v>6657.0</v>
      </c>
      <c r="AH415" s="74" t="s">
        <v>23847</v>
      </c>
      <c r="AI415" s="74" t="s">
        <v>23848</v>
      </c>
      <c r="AJ415" s="120">
        <v>416.0</v>
      </c>
    </row>
    <row r="416">
      <c r="A416" s="74" t="s">
        <v>23843</v>
      </c>
      <c r="B416" s="74" t="s">
        <v>6876</v>
      </c>
      <c r="C416" s="74" t="s">
        <v>6877</v>
      </c>
      <c r="D416" s="74" t="s">
        <v>11623</v>
      </c>
      <c r="E416" s="146">
        <v>43823.0</v>
      </c>
      <c r="F416" s="74" t="s">
        <v>23849</v>
      </c>
      <c r="G416" s="74">
        <v>58.0</v>
      </c>
      <c r="H416" s="74">
        <v>1.0</v>
      </c>
      <c r="I416" s="74">
        <v>15.0</v>
      </c>
      <c r="J416" s="119"/>
      <c r="K416" s="74">
        <v>152.0</v>
      </c>
      <c r="L416" s="74" t="s">
        <v>2142</v>
      </c>
      <c r="M416" s="74" t="s">
        <v>2142</v>
      </c>
      <c r="N416" s="133">
        <v>43832.0</v>
      </c>
      <c r="O416" s="74">
        <v>1.0</v>
      </c>
      <c r="P416" s="74">
        <v>1.0</v>
      </c>
      <c r="Q416" s="119"/>
      <c r="R416" s="74" t="s">
        <v>23607</v>
      </c>
      <c r="S416" s="119"/>
      <c r="T416" s="146">
        <v>43721.0</v>
      </c>
      <c r="U416" s="74">
        <v>34.9</v>
      </c>
      <c r="V416" s="74">
        <v>9999.0</v>
      </c>
      <c r="W416" s="119"/>
      <c r="X416" s="119"/>
      <c r="Y416" s="146">
        <v>43733.0</v>
      </c>
      <c r="Z416" s="74">
        <v>40.0</v>
      </c>
      <c r="AA416" s="74">
        <v>40.0</v>
      </c>
      <c r="AB416" s="119"/>
      <c r="AC416" s="119"/>
      <c r="AD416" s="119"/>
      <c r="AE416" s="74">
        <v>1.0</v>
      </c>
      <c r="AF416" s="74" t="s">
        <v>18902</v>
      </c>
      <c r="AG416" s="120">
        <v>6658.0</v>
      </c>
      <c r="AH416" s="74" t="s">
        <v>23862</v>
      </c>
      <c r="AI416" s="74" t="s">
        <v>23863</v>
      </c>
      <c r="AJ416" s="120">
        <v>417.0</v>
      </c>
    </row>
    <row r="417">
      <c r="A417" s="74" t="s">
        <v>23849</v>
      </c>
      <c r="B417" s="74" t="s">
        <v>6876</v>
      </c>
      <c r="C417" s="74" t="s">
        <v>6877</v>
      </c>
      <c r="D417" s="74" t="s">
        <v>11623</v>
      </c>
      <c r="E417" s="146">
        <v>43823.0</v>
      </c>
      <c r="F417" s="74" t="s">
        <v>23866</v>
      </c>
      <c r="G417" s="74">
        <v>58.0</v>
      </c>
      <c r="H417" s="74">
        <v>1.0</v>
      </c>
      <c r="I417" s="74">
        <v>15.0</v>
      </c>
      <c r="J417" s="119"/>
      <c r="K417" s="74">
        <v>151.0</v>
      </c>
      <c r="L417" s="74" t="s">
        <v>2139</v>
      </c>
      <c r="M417" s="74" t="s">
        <v>2139</v>
      </c>
      <c r="N417" s="133">
        <v>43832.0</v>
      </c>
      <c r="O417" s="74">
        <v>1.0</v>
      </c>
      <c r="P417" s="74">
        <v>1.0</v>
      </c>
      <c r="Q417" s="119"/>
      <c r="R417" s="74" t="s">
        <v>23607</v>
      </c>
      <c r="S417" s="119"/>
      <c r="T417" s="146">
        <v>43721.0</v>
      </c>
      <c r="U417" s="74">
        <v>36.7</v>
      </c>
      <c r="V417" s="74">
        <v>9999.0</v>
      </c>
      <c r="W417" s="119"/>
      <c r="X417" s="119"/>
      <c r="Y417" s="146">
        <v>43733.0</v>
      </c>
      <c r="Z417" s="74">
        <v>40.0</v>
      </c>
      <c r="AA417" s="74">
        <v>40.0</v>
      </c>
      <c r="AB417" s="119"/>
      <c r="AC417" s="119"/>
      <c r="AD417" s="119"/>
      <c r="AE417" s="74">
        <v>1.0</v>
      </c>
      <c r="AF417" s="74" t="s">
        <v>18902</v>
      </c>
      <c r="AG417" s="120">
        <v>6659.0</v>
      </c>
      <c r="AH417" s="74" t="s">
        <v>23871</v>
      </c>
      <c r="AI417" s="74" t="s">
        <v>23872</v>
      </c>
      <c r="AJ417" s="120">
        <v>418.0</v>
      </c>
    </row>
    <row r="418">
      <c r="A418" s="74" t="s">
        <v>23866</v>
      </c>
      <c r="B418" s="74" t="s">
        <v>6876</v>
      </c>
      <c r="C418" s="74" t="s">
        <v>6877</v>
      </c>
      <c r="D418" s="74" t="s">
        <v>11623</v>
      </c>
      <c r="E418" s="146">
        <v>43823.0</v>
      </c>
      <c r="F418" s="74" t="s">
        <v>23874</v>
      </c>
      <c r="G418" s="74">
        <v>58.0</v>
      </c>
      <c r="H418" s="74">
        <v>1.0</v>
      </c>
      <c r="I418" s="74">
        <v>15.0</v>
      </c>
      <c r="J418" s="119"/>
      <c r="K418" s="74">
        <v>152.0</v>
      </c>
      <c r="L418" s="74" t="s">
        <v>2143</v>
      </c>
      <c r="M418" s="74" t="s">
        <v>2143</v>
      </c>
      <c r="N418" s="133">
        <v>43832.0</v>
      </c>
      <c r="O418" s="74">
        <v>1.0</v>
      </c>
      <c r="P418" s="74">
        <v>1.0</v>
      </c>
      <c r="Q418" s="119"/>
      <c r="R418" s="74" t="s">
        <v>23607</v>
      </c>
      <c r="S418" s="119"/>
      <c r="T418" s="146">
        <v>43721.0</v>
      </c>
      <c r="U418" s="74">
        <v>9999.0</v>
      </c>
      <c r="V418" s="74">
        <v>35.67</v>
      </c>
      <c r="W418" s="119"/>
      <c r="X418" s="119"/>
      <c r="Y418" s="146">
        <v>43733.0</v>
      </c>
      <c r="Z418" s="74">
        <v>40.0</v>
      </c>
      <c r="AA418" s="74">
        <v>9999.0</v>
      </c>
      <c r="AB418" s="119"/>
      <c r="AC418" s="119"/>
      <c r="AD418" s="119"/>
      <c r="AE418" s="74">
        <v>1.0</v>
      </c>
      <c r="AF418" s="74" t="s">
        <v>18902</v>
      </c>
      <c r="AG418" s="120">
        <v>6660.0</v>
      </c>
      <c r="AH418" s="74" t="s">
        <v>23881</v>
      </c>
      <c r="AI418" s="74" t="s">
        <v>23882</v>
      </c>
      <c r="AJ418" s="120">
        <v>419.0</v>
      </c>
    </row>
    <row r="419">
      <c r="A419" s="74" t="s">
        <v>23874</v>
      </c>
      <c r="B419" s="74" t="s">
        <v>6876</v>
      </c>
      <c r="C419" s="74" t="s">
        <v>6877</v>
      </c>
      <c r="D419" s="74" t="s">
        <v>11623</v>
      </c>
      <c r="E419" s="146">
        <v>43823.0</v>
      </c>
      <c r="F419" s="74" t="s">
        <v>23888</v>
      </c>
      <c r="G419" s="74">
        <v>55.0</v>
      </c>
      <c r="H419" s="74">
        <v>1.0</v>
      </c>
      <c r="I419" s="74">
        <v>12.0</v>
      </c>
      <c r="J419" s="119"/>
      <c r="K419" s="119"/>
      <c r="L419" s="74" t="s">
        <v>1066</v>
      </c>
      <c r="M419" s="74" t="s">
        <v>1066</v>
      </c>
      <c r="N419" s="133">
        <v>43832.0</v>
      </c>
      <c r="O419" s="74">
        <v>1.0</v>
      </c>
      <c r="P419" s="74">
        <v>1.0</v>
      </c>
      <c r="Q419" s="119"/>
      <c r="R419" s="74" t="s">
        <v>23607</v>
      </c>
      <c r="S419" s="119"/>
      <c r="T419" s="146">
        <v>43721.0</v>
      </c>
      <c r="U419" s="74">
        <v>20.92</v>
      </c>
      <c r="V419" s="74">
        <v>20.26</v>
      </c>
      <c r="W419" s="119"/>
      <c r="X419" s="119"/>
      <c r="Y419" s="146">
        <v>43733.0</v>
      </c>
      <c r="Z419" s="74">
        <v>40.0</v>
      </c>
      <c r="AA419" s="74">
        <v>40.0</v>
      </c>
      <c r="AB419" s="119"/>
      <c r="AC419" s="119"/>
      <c r="AD419" s="119"/>
      <c r="AE419" s="74">
        <v>1.0</v>
      </c>
      <c r="AF419" s="74" t="s">
        <v>18902</v>
      </c>
      <c r="AG419" s="120">
        <v>6661.0</v>
      </c>
      <c r="AH419" s="74" t="s">
        <v>23892</v>
      </c>
      <c r="AI419" s="74" t="s">
        <v>23893</v>
      </c>
      <c r="AJ419" s="120">
        <v>420.0</v>
      </c>
    </row>
    <row r="420">
      <c r="A420" s="74" t="s">
        <v>23888</v>
      </c>
      <c r="B420" s="74" t="s">
        <v>6876</v>
      </c>
      <c r="C420" s="74" t="s">
        <v>6877</v>
      </c>
      <c r="D420" s="74" t="s">
        <v>11623</v>
      </c>
      <c r="E420" s="146">
        <v>43823.0</v>
      </c>
      <c r="F420" s="74" t="s">
        <v>23896</v>
      </c>
      <c r="G420" s="74">
        <v>65.0</v>
      </c>
      <c r="H420" s="74">
        <v>1.0</v>
      </c>
      <c r="I420" s="74">
        <v>12.0</v>
      </c>
      <c r="J420" s="119"/>
      <c r="K420" s="119"/>
      <c r="L420" s="74" t="s">
        <v>1068</v>
      </c>
      <c r="M420" s="74" t="s">
        <v>1068</v>
      </c>
      <c r="N420" s="133">
        <v>43832.0</v>
      </c>
      <c r="O420" s="74">
        <v>1.0</v>
      </c>
      <c r="P420" s="74">
        <v>1.0</v>
      </c>
      <c r="Q420" s="119"/>
      <c r="R420" s="74" t="s">
        <v>23607</v>
      </c>
      <c r="S420" s="119"/>
      <c r="T420" s="146">
        <v>43721.0</v>
      </c>
      <c r="U420" s="74">
        <v>21.54</v>
      </c>
      <c r="V420" s="74">
        <v>21.91</v>
      </c>
      <c r="W420" s="119"/>
      <c r="X420" s="119"/>
      <c r="Y420" s="146">
        <v>43733.0</v>
      </c>
      <c r="Z420" s="74">
        <v>37.41</v>
      </c>
      <c r="AA420" s="74">
        <v>38.43</v>
      </c>
      <c r="AB420" s="119"/>
      <c r="AC420" s="119"/>
      <c r="AD420" s="119"/>
      <c r="AE420" s="74">
        <v>1.0</v>
      </c>
      <c r="AF420" s="74" t="s">
        <v>18902</v>
      </c>
      <c r="AG420" s="120">
        <v>6662.0</v>
      </c>
      <c r="AH420" s="74" t="s">
        <v>23901</v>
      </c>
      <c r="AI420" s="74" t="s">
        <v>23902</v>
      </c>
      <c r="AJ420" s="120">
        <v>421.0</v>
      </c>
    </row>
    <row r="421">
      <c r="A421" s="74" t="s">
        <v>23896</v>
      </c>
      <c r="B421" s="74" t="s">
        <v>6876</v>
      </c>
      <c r="C421" s="74" t="s">
        <v>6877</v>
      </c>
      <c r="D421" s="74" t="s">
        <v>11623</v>
      </c>
      <c r="E421" s="146">
        <v>43823.0</v>
      </c>
      <c r="F421" s="74" t="s">
        <v>23906</v>
      </c>
      <c r="G421" s="74">
        <v>59.0</v>
      </c>
      <c r="H421" s="74">
        <v>1.0</v>
      </c>
      <c r="I421" s="74">
        <v>12.0</v>
      </c>
      <c r="J421" s="119"/>
      <c r="K421" s="119"/>
      <c r="L421" s="74" t="s">
        <v>1069</v>
      </c>
      <c r="M421" s="74" t="s">
        <v>1069</v>
      </c>
      <c r="N421" s="133">
        <v>43832.0</v>
      </c>
      <c r="O421" s="74">
        <v>1.0</v>
      </c>
      <c r="P421" s="74">
        <v>1.0</v>
      </c>
      <c r="Q421" s="119"/>
      <c r="R421" s="74" t="s">
        <v>23607</v>
      </c>
      <c r="S421" s="119"/>
      <c r="T421" s="146">
        <v>43721.0</v>
      </c>
      <c r="U421" s="74">
        <v>21.07</v>
      </c>
      <c r="V421" s="74">
        <v>20.8</v>
      </c>
      <c r="W421" s="119"/>
      <c r="X421" s="119"/>
      <c r="Y421" s="146">
        <v>43733.0</v>
      </c>
      <c r="Z421" s="74">
        <v>40.0</v>
      </c>
      <c r="AA421" s="74">
        <v>40.0</v>
      </c>
      <c r="AB421" s="119"/>
      <c r="AC421" s="119"/>
      <c r="AD421" s="119"/>
      <c r="AE421" s="74">
        <v>1.0</v>
      </c>
      <c r="AF421" s="74" t="s">
        <v>18902</v>
      </c>
      <c r="AG421" s="120">
        <v>6663.0</v>
      </c>
      <c r="AH421" s="74" t="s">
        <v>23917</v>
      </c>
      <c r="AI421" s="74" t="s">
        <v>23918</v>
      </c>
      <c r="AJ421" s="120">
        <v>422.0</v>
      </c>
    </row>
    <row r="422">
      <c r="A422" s="74" t="s">
        <v>23906</v>
      </c>
      <c r="B422" s="74" t="s">
        <v>6876</v>
      </c>
      <c r="C422" s="74" t="s">
        <v>6877</v>
      </c>
      <c r="D422" s="74" t="s">
        <v>11623</v>
      </c>
      <c r="E422" s="146">
        <v>43823.0</v>
      </c>
      <c r="F422" s="74" t="s">
        <v>23922</v>
      </c>
      <c r="G422" s="74">
        <v>57.0</v>
      </c>
      <c r="H422" s="74">
        <v>1.0</v>
      </c>
      <c r="I422" s="74">
        <v>12.0</v>
      </c>
      <c r="J422" s="119"/>
      <c r="K422" s="119"/>
      <c r="L422" s="74" t="s">
        <v>1070</v>
      </c>
      <c r="M422" s="74" t="s">
        <v>1070</v>
      </c>
      <c r="N422" s="133">
        <v>43832.0</v>
      </c>
      <c r="O422" s="74">
        <v>1.0</v>
      </c>
      <c r="P422" s="74">
        <v>1.0</v>
      </c>
      <c r="Q422" s="119"/>
      <c r="R422" s="74" t="s">
        <v>23607</v>
      </c>
      <c r="S422" s="119"/>
      <c r="T422" s="146">
        <v>43721.0</v>
      </c>
      <c r="U422" s="74">
        <v>22.7</v>
      </c>
      <c r="V422" s="74">
        <v>21.98</v>
      </c>
      <c r="W422" s="119"/>
      <c r="X422" s="119"/>
      <c r="Y422" s="146">
        <v>43733.0</v>
      </c>
      <c r="Z422" s="74">
        <v>9999.0</v>
      </c>
      <c r="AA422" s="74">
        <v>40.0</v>
      </c>
      <c r="AB422" s="119"/>
      <c r="AC422" s="119"/>
      <c r="AD422" s="119"/>
      <c r="AE422" s="74">
        <v>1.0</v>
      </c>
      <c r="AF422" s="74" t="s">
        <v>18902</v>
      </c>
      <c r="AG422" s="120">
        <v>6664.0</v>
      </c>
      <c r="AH422" s="74" t="s">
        <v>23930</v>
      </c>
      <c r="AI422" s="74" t="s">
        <v>23931</v>
      </c>
      <c r="AJ422" s="120">
        <v>423.0</v>
      </c>
    </row>
    <row r="423">
      <c r="A423" s="74" t="s">
        <v>23922</v>
      </c>
      <c r="B423" s="74" t="s">
        <v>6876</v>
      </c>
      <c r="C423" s="74" t="s">
        <v>6877</v>
      </c>
      <c r="D423" s="74" t="s">
        <v>11623</v>
      </c>
      <c r="E423" s="146">
        <v>43823.0</v>
      </c>
      <c r="F423" s="74" t="s">
        <v>23935</v>
      </c>
      <c r="G423" s="74">
        <v>57.0</v>
      </c>
      <c r="H423" s="74">
        <v>1.0</v>
      </c>
      <c r="I423" s="74">
        <v>99.0</v>
      </c>
      <c r="J423" s="119"/>
      <c r="K423" s="119"/>
      <c r="L423" s="74" t="s">
        <v>1073</v>
      </c>
      <c r="M423" s="74" t="s">
        <v>1073</v>
      </c>
      <c r="N423" s="133">
        <v>43832.0</v>
      </c>
      <c r="O423" s="74">
        <v>1.0</v>
      </c>
      <c r="P423" s="74">
        <v>1.0</v>
      </c>
      <c r="Q423" s="119"/>
      <c r="R423" s="74" t="s">
        <v>23607</v>
      </c>
      <c r="S423" s="119"/>
      <c r="T423" s="146">
        <v>43721.0</v>
      </c>
      <c r="U423" s="74">
        <v>9999.0</v>
      </c>
      <c r="V423" s="74">
        <v>9999.0</v>
      </c>
      <c r="W423" s="119"/>
      <c r="X423" s="119"/>
      <c r="Y423" s="146">
        <v>43733.0</v>
      </c>
      <c r="Z423" s="74">
        <v>40.0</v>
      </c>
      <c r="AA423" s="74">
        <v>9999.0</v>
      </c>
      <c r="AB423" s="119"/>
      <c r="AC423" s="119"/>
      <c r="AD423" s="74" t="s">
        <v>23939</v>
      </c>
      <c r="AE423" s="74">
        <v>1.0</v>
      </c>
      <c r="AF423" s="74" t="s">
        <v>18902</v>
      </c>
      <c r="AG423" s="120">
        <v>6665.0</v>
      </c>
      <c r="AH423" s="74" t="s">
        <v>23944</v>
      </c>
      <c r="AI423" s="74" t="s">
        <v>23946</v>
      </c>
      <c r="AJ423" s="120">
        <v>424.0</v>
      </c>
    </row>
    <row r="424">
      <c r="A424" s="74" t="s">
        <v>23935</v>
      </c>
      <c r="B424" s="74" t="s">
        <v>6876</v>
      </c>
      <c r="C424" s="74" t="s">
        <v>6877</v>
      </c>
      <c r="D424" s="74" t="s">
        <v>11623</v>
      </c>
      <c r="E424" s="146">
        <v>43823.0</v>
      </c>
      <c r="F424" s="74" t="s">
        <v>23949</v>
      </c>
      <c r="G424" s="74">
        <v>58.0</v>
      </c>
      <c r="H424" s="74">
        <v>1.0</v>
      </c>
      <c r="I424" s="74">
        <v>6.0</v>
      </c>
      <c r="J424" s="119"/>
      <c r="K424" s="119"/>
      <c r="L424" s="74" t="s">
        <v>1074</v>
      </c>
      <c r="M424" s="74" t="s">
        <v>1074</v>
      </c>
      <c r="N424" s="133">
        <v>43832.0</v>
      </c>
      <c r="O424" s="74">
        <v>1.0</v>
      </c>
      <c r="P424" s="74">
        <v>1.0</v>
      </c>
      <c r="Q424" s="119"/>
      <c r="R424" s="74" t="s">
        <v>23607</v>
      </c>
      <c r="S424" s="119"/>
      <c r="T424" s="146">
        <v>43721.0</v>
      </c>
      <c r="U424" s="74">
        <v>9999.0</v>
      </c>
      <c r="V424" s="74">
        <v>9999.0</v>
      </c>
      <c r="W424" s="119"/>
      <c r="X424" s="119"/>
      <c r="Y424" s="146">
        <v>43733.0</v>
      </c>
      <c r="Z424" s="74">
        <v>40.0</v>
      </c>
      <c r="AA424" s="74">
        <v>9999.0</v>
      </c>
      <c r="AB424" s="119"/>
      <c r="AC424" s="119"/>
      <c r="AD424" s="119"/>
      <c r="AE424" s="74">
        <v>1.0</v>
      </c>
      <c r="AF424" s="74" t="s">
        <v>18902</v>
      </c>
      <c r="AG424" s="120">
        <v>6666.0</v>
      </c>
      <c r="AH424" s="74" t="s">
        <v>23954</v>
      </c>
      <c r="AI424" s="74" t="s">
        <v>23955</v>
      </c>
      <c r="AJ424" s="120">
        <v>425.0</v>
      </c>
    </row>
    <row r="425">
      <c r="A425" s="74" t="s">
        <v>23949</v>
      </c>
      <c r="B425" s="74" t="s">
        <v>6876</v>
      </c>
      <c r="C425" s="74" t="s">
        <v>6877</v>
      </c>
      <c r="D425" s="74" t="s">
        <v>11623</v>
      </c>
      <c r="E425" s="146">
        <v>43823.0</v>
      </c>
      <c r="F425" s="74" t="s">
        <v>23956</v>
      </c>
      <c r="G425" s="74">
        <v>58.0</v>
      </c>
      <c r="H425" s="74">
        <v>1.0</v>
      </c>
      <c r="I425" s="74">
        <v>14.0</v>
      </c>
      <c r="J425" s="74">
        <v>141.0</v>
      </c>
      <c r="K425" s="119"/>
      <c r="L425" s="74" t="s">
        <v>2162</v>
      </c>
      <c r="M425" s="74" t="s">
        <v>2162</v>
      </c>
      <c r="N425" s="133">
        <v>43832.0</v>
      </c>
      <c r="O425" s="74">
        <v>1.0</v>
      </c>
      <c r="P425" s="74">
        <v>1.0</v>
      </c>
      <c r="Q425" s="119"/>
      <c r="R425" s="74" t="s">
        <v>23607</v>
      </c>
      <c r="S425" s="119"/>
      <c r="T425" s="146">
        <v>43721.0</v>
      </c>
      <c r="U425" s="74">
        <v>32.96</v>
      </c>
      <c r="V425" s="74">
        <v>9999.0</v>
      </c>
      <c r="W425" s="119"/>
      <c r="X425" s="119"/>
      <c r="Y425" s="146">
        <v>43733.0</v>
      </c>
      <c r="Z425" s="74">
        <v>9999.0</v>
      </c>
      <c r="AA425" s="74">
        <v>9999.0</v>
      </c>
      <c r="AB425" s="119"/>
      <c r="AC425" s="119"/>
      <c r="AD425" s="119"/>
      <c r="AE425" s="74">
        <v>1.0</v>
      </c>
      <c r="AF425" s="74" t="s">
        <v>18902</v>
      </c>
      <c r="AG425" s="120">
        <v>6667.0</v>
      </c>
      <c r="AH425" s="74" t="s">
        <v>23967</v>
      </c>
      <c r="AI425" s="74" t="s">
        <v>23968</v>
      </c>
      <c r="AJ425" s="120">
        <v>426.0</v>
      </c>
    </row>
    <row r="426">
      <c r="A426" s="74" t="s">
        <v>23956</v>
      </c>
      <c r="B426" s="74" t="s">
        <v>6876</v>
      </c>
      <c r="C426" s="74" t="s">
        <v>6877</v>
      </c>
      <c r="D426" s="74" t="s">
        <v>11623</v>
      </c>
      <c r="E426" s="146">
        <v>43823.0</v>
      </c>
      <c r="F426" s="74" t="s">
        <v>23971</v>
      </c>
      <c r="G426" s="74">
        <v>58.0</v>
      </c>
      <c r="H426" s="74">
        <v>1.0</v>
      </c>
      <c r="I426" s="74">
        <v>14.0</v>
      </c>
      <c r="J426" s="74">
        <v>143.0</v>
      </c>
      <c r="K426" s="119"/>
      <c r="L426" s="74" t="s">
        <v>2165</v>
      </c>
      <c r="M426" s="74" t="s">
        <v>2165</v>
      </c>
      <c r="N426" s="133">
        <v>43832.0</v>
      </c>
      <c r="O426" s="74">
        <v>1.0</v>
      </c>
      <c r="P426" s="74">
        <v>1.0</v>
      </c>
      <c r="Q426" s="119"/>
      <c r="R426" s="74" t="s">
        <v>23607</v>
      </c>
      <c r="S426" s="119"/>
      <c r="T426" s="146">
        <v>43721.0</v>
      </c>
      <c r="U426" s="74">
        <v>9999.0</v>
      </c>
      <c r="V426" s="74">
        <v>9999.0</v>
      </c>
      <c r="W426" s="119"/>
      <c r="X426" s="119"/>
      <c r="Y426" s="146">
        <v>43733.0</v>
      </c>
      <c r="Z426" s="74">
        <v>9999.0</v>
      </c>
      <c r="AA426" s="74">
        <v>9999.0</v>
      </c>
      <c r="AB426" s="119"/>
      <c r="AC426" s="119"/>
      <c r="AD426" s="119"/>
      <c r="AE426" s="74">
        <v>1.0</v>
      </c>
      <c r="AF426" s="74" t="s">
        <v>18902</v>
      </c>
      <c r="AG426" s="120">
        <v>6668.0</v>
      </c>
      <c r="AH426" s="74" t="s">
        <v>23975</v>
      </c>
      <c r="AI426" s="74" t="s">
        <v>23976</v>
      </c>
      <c r="AJ426" s="120">
        <v>427.0</v>
      </c>
    </row>
    <row r="427">
      <c r="A427" s="74" t="s">
        <v>23971</v>
      </c>
      <c r="B427" s="74" t="s">
        <v>6876</v>
      </c>
      <c r="C427" s="74" t="s">
        <v>6877</v>
      </c>
      <c r="D427" s="74" t="s">
        <v>11623</v>
      </c>
      <c r="E427" s="146">
        <v>43823.0</v>
      </c>
      <c r="F427" s="74" t="s">
        <v>23978</v>
      </c>
      <c r="G427" s="74">
        <v>58.0</v>
      </c>
      <c r="H427" s="74">
        <v>1.0</v>
      </c>
      <c r="I427" s="74">
        <v>14.0</v>
      </c>
      <c r="J427" s="74">
        <v>144.0</v>
      </c>
      <c r="K427" s="119"/>
      <c r="L427" s="74" t="s">
        <v>2168</v>
      </c>
      <c r="M427" s="74" t="s">
        <v>2168</v>
      </c>
      <c r="N427" s="133">
        <v>43832.0</v>
      </c>
      <c r="O427" s="74">
        <v>1.0</v>
      </c>
      <c r="P427" s="74">
        <v>1.0</v>
      </c>
      <c r="Q427" s="119"/>
      <c r="R427" s="74" t="s">
        <v>23607</v>
      </c>
      <c r="S427" s="119"/>
      <c r="T427" s="146">
        <v>43721.0</v>
      </c>
      <c r="U427" s="74">
        <v>9999.0</v>
      </c>
      <c r="V427" s="74">
        <v>9999.0</v>
      </c>
      <c r="W427" s="119"/>
      <c r="X427" s="119"/>
      <c r="Y427" s="146">
        <v>43735.0</v>
      </c>
      <c r="Z427" s="74">
        <v>9999.0</v>
      </c>
      <c r="AA427" s="74">
        <v>36.59</v>
      </c>
      <c r="AB427" s="119"/>
      <c r="AC427" s="119"/>
      <c r="AD427" s="119"/>
      <c r="AE427" s="74">
        <v>1.0</v>
      </c>
      <c r="AF427" s="74" t="s">
        <v>18902</v>
      </c>
      <c r="AG427" s="120">
        <v>6669.0</v>
      </c>
      <c r="AH427" s="74" t="s">
        <v>23987</v>
      </c>
      <c r="AI427" s="74" t="s">
        <v>23988</v>
      </c>
      <c r="AJ427" s="120">
        <v>428.0</v>
      </c>
    </row>
    <row r="428">
      <c r="A428" s="74" t="s">
        <v>23989</v>
      </c>
      <c r="B428" s="74" t="s">
        <v>6876</v>
      </c>
      <c r="C428" s="74" t="s">
        <v>6877</v>
      </c>
      <c r="D428" s="74" t="s">
        <v>11623</v>
      </c>
      <c r="E428" s="146">
        <v>43823.0</v>
      </c>
      <c r="F428" s="74" t="s">
        <v>23990</v>
      </c>
      <c r="G428" s="74">
        <v>58.0</v>
      </c>
      <c r="H428" s="74">
        <v>1.0</v>
      </c>
      <c r="I428" s="74">
        <v>14.0</v>
      </c>
      <c r="J428" s="74">
        <v>145.0</v>
      </c>
      <c r="K428" s="119"/>
      <c r="L428" s="74" t="s">
        <v>2169</v>
      </c>
      <c r="M428" s="74" t="s">
        <v>2169</v>
      </c>
      <c r="N428" s="133">
        <v>43832.0</v>
      </c>
      <c r="O428" s="74">
        <v>1.0</v>
      </c>
      <c r="P428" s="74">
        <v>1.0</v>
      </c>
      <c r="Q428" s="119"/>
      <c r="R428" s="74" t="s">
        <v>23991</v>
      </c>
      <c r="S428" s="119"/>
      <c r="T428" s="146">
        <v>43721.0</v>
      </c>
      <c r="U428" s="74">
        <v>37.74</v>
      </c>
      <c r="V428" s="74">
        <v>9999.0</v>
      </c>
      <c r="W428" s="119"/>
      <c r="X428" s="119"/>
      <c r="Y428" s="146">
        <v>43735.0</v>
      </c>
      <c r="Z428" s="74">
        <v>9999.0</v>
      </c>
      <c r="AA428" s="74">
        <v>9999.0</v>
      </c>
      <c r="AB428" s="119"/>
      <c r="AC428" s="119"/>
      <c r="AD428" s="119"/>
      <c r="AE428" s="74">
        <v>1.0</v>
      </c>
      <c r="AF428" s="74" t="s">
        <v>18902</v>
      </c>
      <c r="AG428" s="120">
        <v>6670.0</v>
      </c>
      <c r="AH428" s="74" t="s">
        <v>23993</v>
      </c>
      <c r="AI428" s="74" t="s">
        <v>23994</v>
      </c>
      <c r="AJ428" s="120">
        <v>429.0</v>
      </c>
    </row>
    <row r="429">
      <c r="A429" s="74" t="s">
        <v>23997</v>
      </c>
      <c r="B429" s="74" t="s">
        <v>6876</v>
      </c>
      <c r="C429" s="74" t="s">
        <v>6877</v>
      </c>
      <c r="D429" s="74" t="s">
        <v>11623</v>
      </c>
      <c r="E429" s="146">
        <v>43823.0</v>
      </c>
      <c r="F429" s="74" t="s">
        <v>24000</v>
      </c>
      <c r="G429" s="74">
        <v>58.0</v>
      </c>
      <c r="H429" s="74">
        <v>1.0</v>
      </c>
      <c r="I429" s="74">
        <v>14.0</v>
      </c>
      <c r="J429" s="74">
        <v>143.0</v>
      </c>
      <c r="K429" s="119"/>
      <c r="L429" s="74" t="s">
        <v>2166</v>
      </c>
      <c r="M429" s="74" t="s">
        <v>2166</v>
      </c>
      <c r="N429" s="133">
        <v>43832.0</v>
      </c>
      <c r="O429" s="74">
        <v>1.0</v>
      </c>
      <c r="P429" s="74">
        <v>1.0</v>
      </c>
      <c r="Q429" s="119"/>
      <c r="R429" s="74" t="s">
        <v>23991</v>
      </c>
      <c r="S429" s="119"/>
      <c r="T429" s="146">
        <v>43721.0</v>
      </c>
      <c r="U429" s="74">
        <v>9999.0</v>
      </c>
      <c r="V429" s="74">
        <v>9999.0</v>
      </c>
      <c r="W429" s="119"/>
      <c r="X429" s="119"/>
      <c r="Y429" s="146">
        <v>43735.0</v>
      </c>
      <c r="Z429" s="74">
        <v>9999.0</v>
      </c>
      <c r="AA429" s="74">
        <v>9999.0</v>
      </c>
      <c r="AB429" s="119"/>
      <c r="AC429" s="119"/>
      <c r="AD429" s="119"/>
      <c r="AE429" s="74">
        <v>1.0</v>
      </c>
      <c r="AF429" s="74" t="s">
        <v>18902</v>
      </c>
      <c r="AG429" s="120">
        <v>6671.0</v>
      </c>
      <c r="AH429" s="74" t="s">
        <v>24005</v>
      </c>
      <c r="AI429" s="74" t="s">
        <v>24006</v>
      </c>
      <c r="AJ429" s="120">
        <v>430.0</v>
      </c>
    </row>
    <row r="430">
      <c r="A430" s="74" t="s">
        <v>24009</v>
      </c>
      <c r="B430" s="74" t="s">
        <v>6876</v>
      </c>
      <c r="C430" s="74" t="s">
        <v>6877</v>
      </c>
      <c r="D430" s="74" t="s">
        <v>11623</v>
      </c>
      <c r="E430" s="146">
        <v>43823.0</v>
      </c>
      <c r="F430" s="74" t="s">
        <v>24011</v>
      </c>
      <c r="G430" s="74">
        <v>58.0</v>
      </c>
      <c r="H430" s="74">
        <v>1.0</v>
      </c>
      <c r="I430" s="74">
        <v>14.0</v>
      </c>
      <c r="J430" s="74">
        <v>144.0</v>
      </c>
      <c r="K430" s="119"/>
      <c r="L430" s="74" t="s">
        <v>3776</v>
      </c>
      <c r="M430" s="74" t="s">
        <v>3776</v>
      </c>
      <c r="N430" s="133">
        <v>43832.0</v>
      </c>
      <c r="O430" s="74">
        <v>1.0</v>
      </c>
      <c r="P430" s="74">
        <v>1.0</v>
      </c>
      <c r="Q430" s="119"/>
      <c r="R430" s="74" t="s">
        <v>23991</v>
      </c>
      <c r="S430" s="119"/>
      <c r="T430" s="146">
        <v>43721.0</v>
      </c>
      <c r="U430" s="74">
        <v>9999.0</v>
      </c>
      <c r="V430" s="74">
        <v>9999.0</v>
      </c>
      <c r="W430" s="119"/>
      <c r="X430" s="119"/>
      <c r="Y430" s="146">
        <v>43735.0</v>
      </c>
      <c r="Z430" s="74">
        <v>9999.0</v>
      </c>
      <c r="AA430" s="74">
        <v>9999.0</v>
      </c>
      <c r="AB430" s="119"/>
      <c r="AC430" s="119"/>
      <c r="AD430" s="119"/>
      <c r="AE430" s="74">
        <v>1.0</v>
      </c>
      <c r="AF430" s="74" t="s">
        <v>18902</v>
      </c>
      <c r="AG430" s="120">
        <v>6672.0</v>
      </c>
      <c r="AH430" s="74" t="s">
        <v>24018</v>
      </c>
      <c r="AI430" s="74" t="s">
        <v>24019</v>
      </c>
      <c r="AJ430" s="120">
        <v>431.0</v>
      </c>
    </row>
    <row r="431">
      <c r="A431" s="74" t="s">
        <v>24011</v>
      </c>
      <c r="B431" s="74" t="s">
        <v>6876</v>
      </c>
      <c r="C431" s="74" t="s">
        <v>6877</v>
      </c>
      <c r="D431" s="74" t="s">
        <v>11623</v>
      </c>
      <c r="E431" s="146">
        <v>43823.0</v>
      </c>
      <c r="F431" s="74" t="s">
        <v>24023</v>
      </c>
      <c r="G431" s="74">
        <v>58.0</v>
      </c>
      <c r="H431" s="74">
        <v>1.0</v>
      </c>
      <c r="I431" s="74">
        <v>14.0</v>
      </c>
      <c r="J431" s="74">
        <v>142.0</v>
      </c>
      <c r="K431" s="119"/>
      <c r="L431" s="74" t="s">
        <v>2164</v>
      </c>
      <c r="M431" s="74" t="s">
        <v>2164</v>
      </c>
      <c r="N431" s="133">
        <v>43832.0</v>
      </c>
      <c r="O431" s="74">
        <v>1.0</v>
      </c>
      <c r="P431" s="74">
        <v>1.0</v>
      </c>
      <c r="Q431" s="119"/>
      <c r="R431" s="74" t="s">
        <v>23991</v>
      </c>
      <c r="S431" s="119"/>
      <c r="T431" s="146">
        <v>43721.0</v>
      </c>
      <c r="U431" s="74">
        <v>9999.0</v>
      </c>
      <c r="V431" s="74">
        <v>9999.0</v>
      </c>
      <c r="W431" s="119"/>
      <c r="X431" s="119"/>
      <c r="Y431" s="146">
        <v>43735.0</v>
      </c>
      <c r="Z431" s="74">
        <v>9999.0</v>
      </c>
      <c r="AA431" s="74">
        <v>35.23</v>
      </c>
      <c r="AB431" s="119"/>
      <c r="AC431" s="119"/>
      <c r="AD431" s="119"/>
      <c r="AE431" s="74">
        <v>1.0</v>
      </c>
      <c r="AF431" s="74" t="s">
        <v>18902</v>
      </c>
      <c r="AG431" s="120">
        <v>6673.0</v>
      </c>
      <c r="AH431" s="74" t="s">
        <v>24030</v>
      </c>
      <c r="AI431" s="74" t="s">
        <v>24031</v>
      </c>
      <c r="AJ431" s="120">
        <v>432.0</v>
      </c>
    </row>
    <row r="432">
      <c r="A432" s="74" t="s">
        <v>24023</v>
      </c>
      <c r="B432" s="74" t="s">
        <v>6876</v>
      </c>
      <c r="C432" s="74" t="s">
        <v>6877</v>
      </c>
      <c r="D432" s="74" t="s">
        <v>11623</v>
      </c>
      <c r="E432" s="146">
        <v>43823.0</v>
      </c>
      <c r="F432" s="74" t="s">
        <v>24034</v>
      </c>
      <c r="G432" s="74">
        <v>58.0</v>
      </c>
      <c r="H432" s="74">
        <v>1.0</v>
      </c>
      <c r="I432" s="74">
        <v>14.0</v>
      </c>
      <c r="J432" s="74">
        <v>142.0</v>
      </c>
      <c r="K432" s="119"/>
      <c r="L432" s="74" t="s">
        <v>2164</v>
      </c>
      <c r="M432" s="74" t="s">
        <v>2164</v>
      </c>
      <c r="N432" s="133">
        <v>43832.0</v>
      </c>
      <c r="O432" s="74">
        <v>1.0</v>
      </c>
      <c r="P432" s="74">
        <v>1.0</v>
      </c>
      <c r="Q432" s="119"/>
      <c r="R432" s="74" t="s">
        <v>23991</v>
      </c>
      <c r="S432" s="119"/>
      <c r="T432" s="146">
        <v>43721.0</v>
      </c>
      <c r="U432" s="74">
        <v>9999.0</v>
      </c>
      <c r="V432" s="74">
        <v>9999.0</v>
      </c>
      <c r="W432" s="119"/>
      <c r="X432" s="119"/>
      <c r="Y432" s="146">
        <v>43735.0</v>
      </c>
      <c r="Z432" s="74">
        <v>9999.0</v>
      </c>
      <c r="AA432" s="74">
        <v>36.42</v>
      </c>
      <c r="AB432" s="119"/>
      <c r="AC432" s="119"/>
      <c r="AD432" s="119"/>
      <c r="AE432" s="74">
        <v>1.0</v>
      </c>
      <c r="AF432" s="74" t="s">
        <v>18902</v>
      </c>
      <c r="AG432" s="120">
        <v>6674.0</v>
      </c>
      <c r="AH432" s="74" t="s">
        <v>24041</v>
      </c>
      <c r="AI432" s="74" t="s">
        <v>24042</v>
      </c>
      <c r="AJ432" s="120">
        <v>433.0</v>
      </c>
    </row>
    <row r="433">
      <c r="A433" s="74" t="s">
        <v>24034</v>
      </c>
      <c r="B433" s="74" t="s">
        <v>6876</v>
      </c>
      <c r="C433" s="74" t="s">
        <v>6877</v>
      </c>
      <c r="D433" s="74" t="s">
        <v>11623</v>
      </c>
      <c r="E433" s="146">
        <v>43823.0</v>
      </c>
      <c r="F433" s="74" t="s">
        <v>24048</v>
      </c>
      <c r="G433" s="74">
        <v>58.0</v>
      </c>
      <c r="H433" s="74">
        <v>1.0</v>
      </c>
      <c r="I433" s="74">
        <v>99.0</v>
      </c>
      <c r="J433" s="119"/>
      <c r="K433" s="119"/>
      <c r="L433" s="74" t="s">
        <v>1081</v>
      </c>
      <c r="M433" s="74" t="s">
        <v>1081</v>
      </c>
      <c r="N433" s="133">
        <v>43832.0</v>
      </c>
      <c r="O433" s="74">
        <v>1.0</v>
      </c>
      <c r="P433" s="74">
        <v>1.0</v>
      </c>
      <c r="Q433" s="119"/>
      <c r="R433" s="74" t="s">
        <v>23991</v>
      </c>
      <c r="S433" s="119"/>
      <c r="T433" s="146">
        <v>43721.0</v>
      </c>
      <c r="U433" s="74">
        <v>9999.0</v>
      </c>
      <c r="V433" s="74">
        <v>9999.0</v>
      </c>
      <c r="W433" s="119"/>
      <c r="X433" s="119"/>
      <c r="Y433" s="146">
        <v>43735.0</v>
      </c>
      <c r="Z433" s="74">
        <v>9999.0</v>
      </c>
      <c r="AA433" s="74">
        <v>37.59</v>
      </c>
      <c r="AB433" s="119"/>
      <c r="AC433" s="119"/>
      <c r="AD433" s="74" t="s">
        <v>24053</v>
      </c>
      <c r="AE433" s="74">
        <v>1.0</v>
      </c>
      <c r="AF433" s="74" t="s">
        <v>18902</v>
      </c>
      <c r="AG433" s="120">
        <v>6675.0</v>
      </c>
      <c r="AH433" s="74" t="s">
        <v>24055</v>
      </c>
      <c r="AI433" s="74" t="s">
        <v>24057</v>
      </c>
      <c r="AJ433" s="120">
        <v>434.0</v>
      </c>
    </row>
    <row r="434">
      <c r="A434" s="74" t="s">
        <v>24048</v>
      </c>
      <c r="B434" s="74" t="s">
        <v>6876</v>
      </c>
      <c r="C434" s="74" t="s">
        <v>6877</v>
      </c>
      <c r="D434" s="74" t="s">
        <v>11623</v>
      </c>
      <c r="E434" s="146">
        <v>43823.0</v>
      </c>
      <c r="F434" s="74" t="s">
        <v>24059</v>
      </c>
      <c r="G434" s="74">
        <v>58.0</v>
      </c>
      <c r="H434" s="74">
        <v>1.0</v>
      </c>
      <c r="I434" s="74">
        <v>5.0</v>
      </c>
      <c r="J434" s="119"/>
      <c r="K434" s="119"/>
      <c r="L434" s="74" t="s">
        <v>1093</v>
      </c>
      <c r="M434" s="74" t="s">
        <v>1093</v>
      </c>
      <c r="N434" s="133">
        <v>43832.0</v>
      </c>
      <c r="O434" s="74">
        <v>1.0</v>
      </c>
      <c r="P434" s="74">
        <v>1.0</v>
      </c>
      <c r="Q434" s="119"/>
      <c r="R434" s="74" t="s">
        <v>23991</v>
      </c>
      <c r="S434" s="119"/>
      <c r="T434" s="146">
        <v>43721.0</v>
      </c>
      <c r="U434" s="74">
        <v>30.78</v>
      </c>
      <c r="V434" s="74">
        <v>9999.0</v>
      </c>
      <c r="W434" s="119"/>
      <c r="X434" s="119"/>
      <c r="Y434" s="146">
        <v>43735.0</v>
      </c>
      <c r="Z434" s="74">
        <v>31.73</v>
      </c>
      <c r="AA434" s="74">
        <v>31.82</v>
      </c>
      <c r="AB434" s="119"/>
      <c r="AC434" s="119"/>
      <c r="AD434" s="119"/>
      <c r="AE434" s="74">
        <v>1.0</v>
      </c>
      <c r="AF434" s="74" t="s">
        <v>18902</v>
      </c>
      <c r="AG434" s="120">
        <v>6676.0</v>
      </c>
      <c r="AH434" s="74" t="s">
        <v>24071</v>
      </c>
      <c r="AI434" s="74" t="s">
        <v>24072</v>
      </c>
      <c r="AJ434" s="120">
        <v>435.0</v>
      </c>
    </row>
    <row r="435">
      <c r="A435" s="74" t="s">
        <v>24059</v>
      </c>
      <c r="B435" s="74" t="s">
        <v>6876</v>
      </c>
      <c r="C435" s="74" t="s">
        <v>6877</v>
      </c>
      <c r="D435" s="74" t="s">
        <v>11623</v>
      </c>
      <c r="E435" s="146">
        <v>43823.0</v>
      </c>
      <c r="F435" s="74" t="s">
        <v>24077</v>
      </c>
      <c r="G435" s="74">
        <v>58.0</v>
      </c>
      <c r="H435" s="74">
        <v>1.0</v>
      </c>
      <c r="I435" s="74">
        <v>8.0</v>
      </c>
      <c r="J435" s="119"/>
      <c r="K435" s="119"/>
      <c r="L435" s="74" t="s">
        <v>1092</v>
      </c>
      <c r="M435" s="74" t="s">
        <v>1092</v>
      </c>
      <c r="N435" s="133">
        <v>43832.0</v>
      </c>
      <c r="O435" s="74">
        <v>1.0</v>
      </c>
      <c r="P435" s="74">
        <v>1.0</v>
      </c>
      <c r="Q435" s="119"/>
      <c r="R435" s="74" t="s">
        <v>23991</v>
      </c>
      <c r="S435" s="119"/>
      <c r="T435" s="146">
        <v>43721.0</v>
      </c>
      <c r="U435" s="74">
        <v>33.6</v>
      </c>
      <c r="V435" s="74">
        <v>9999.0</v>
      </c>
      <c r="W435" s="119"/>
      <c r="X435" s="119"/>
      <c r="Y435" s="146">
        <v>43735.0</v>
      </c>
      <c r="Z435" s="74">
        <v>34.26</v>
      </c>
      <c r="AA435" s="74">
        <v>33.84</v>
      </c>
      <c r="AB435" s="119"/>
      <c r="AC435" s="119"/>
      <c r="AD435" s="119"/>
      <c r="AE435" s="74">
        <v>1.0</v>
      </c>
      <c r="AF435" s="74" t="s">
        <v>18902</v>
      </c>
      <c r="AG435" s="120">
        <v>6677.0</v>
      </c>
      <c r="AH435" s="74" t="s">
        <v>24083</v>
      </c>
      <c r="AI435" s="74" t="s">
        <v>24084</v>
      </c>
      <c r="AJ435" s="120">
        <v>436.0</v>
      </c>
    </row>
    <row r="436">
      <c r="A436" s="74" t="s">
        <v>24077</v>
      </c>
      <c r="B436" s="74" t="s">
        <v>6876</v>
      </c>
      <c r="C436" s="74" t="s">
        <v>6877</v>
      </c>
      <c r="D436" s="74" t="s">
        <v>11623</v>
      </c>
      <c r="E436" s="146">
        <v>43823.0</v>
      </c>
      <c r="F436" s="74" t="s">
        <v>24087</v>
      </c>
      <c r="G436" s="74">
        <v>58.0</v>
      </c>
      <c r="H436" s="74">
        <v>1.0</v>
      </c>
      <c r="I436" s="74">
        <v>99.0</v>
      </c>
      <c r="J436" s="119"/>
      <c r="K436" s="119"/>
      <c r="L436" s="74" t="s">
        <v>1096</v>
      </c>
      <c r="M436" s="74" t="s">
        <v>1096</v>
      </c>
      <c r="N436" s="133">
        <v>43832.0</v>
      </c>
      <c r="O436" s="74">
        <v>1.0</v>
      </c>
      <c r="P436" s="74">
        <v>1.0</v>
      </c>
      <c r="Q436" s="119"/>
      <c r="R436" s="74" t="s">
        <v>23991</v>
      </c>
      <c r="S436" s="119"/>
      <c r="T436" s="146">
        <v>43721.0</v>
      </c>
      <c r="U436" s="74">
        <v>9999.0</v>
      </c>
      <c r="V436" s="74">
        <v>9999.0</v>
      </c>
      <c r="W436" s="119"/>
      <c r="X436" s="119"/>
      <c r="Y436" s="146">
        <v>43735.0</v>
      </c>
      <c r="Z436" s="74">
        <v>36.76</v>
      </c>
      <c r="AA436" s="74">
        <v>35.43</v>
      </c>
      <c r="AB436" s="119"/>
      <c r="AC436" s="119"/>
      <c r="AD436" s="74" t="s">
        <v>24092</v>
      </c>
      <c r="AE436" s="74">
        <v>1.0</v>
      </c>
      <c r="AF436" s="74" t="s">
        <v>18902</v>
      </c>
      <c r="AG436" s="120">
        <v>6678.0</v>
      </c>
      <c r="AH436" s="74" t="s">
        <v>24095</v>
      </c>
      <c r="AI436" s="74" t="s">
        <v>24098</v>
      </c>
      <c r="AJ436" s="120">
        <v>437.0</v>
      </c>
    </row>
    <row r="437">
      <c r="A437" s="74" t="s">
        <v>24087</v>
      </c>
      <c r="B437" s="74" t="s">
        <v>6876</v>
      </c>
      <c r="C437" s="74" t="s">
        <v>6877</v>
      </c>
      <c r="D437" s="74" t="s">
        <v>11623</v>
      </c>
      <c r="E437" s="146">
        <v>43823.0</v>
      </c>
      <c r="F437" s="74" t="s">
        <v>24100</v>
      </c>
      <c r="G437" s="74">
        <v>58.0</v>
      </c>
      <c r="H437" s="74">
        <v>1.0</v>
      </c>
      <c r="I437" s="74">
        <v>7.0</v>
      </c>
      <c r="J437" s="119"/>
      <c r="K437" s="119"/>
      <c r="L437" s="74" t="s">
        <v>1087</v>
      </c>
      <c r="M437" s="74" t="s">
        <v>1087</v>
      </c>
      <c r="N437" s="133">
        <v>43832.0</v>
      </c>
      <c r="O437" s="74">
        <v>1.0</v>
      </c>
      <c r="P437" s="74">
        <v>1.0</v>
      </c>
      <c r="Q437" s="119"/>
      <c r="R437" s="74" t="s">
        <v>23991</v>
      </c>
      <c r="S437" s="119"/>
      <c r="T437" s="146">
        <v>43721.0</v>
      </c>
      <c r="U437" s="74">
        <v>35.89</v>
      </c>
      <c r="V437" s="74">
        <v>9999.0</v>
      </c>
      <c r="W437" s="119"/>
      <c r="X437" s="119"/>
      <c r="Y437" s="146">
        <v>43735.0</v>
      </c>
      <c r="Z437" s="74">
        <v>35.95</v>
      </c>
      <c r="AA437" s="74">
        <v>35.07</v>
      </c>
      <c r="AB437" s="119"/>
      <c r="AC437" s="119"/>
      <c r="AD437" s="119"/>
      <c r="AE437" s="74">
        <v>1.0</v>
      </c>
      <c r="AF437" s="74" t="s">
        <v>18902</v>
      </c>
      <c r="AG437" s="120">
        <v>6679.0</v>
      </c>
      <c r="AH437" s="74" t="s">
        <v>24107</v>
      </c>
      <c r="AI437" s="74" t="s">
        <v>24108</v>
      </c>
      <c r="AJ437" s="120">
        <v>438.0</v>
      </c>
    </row>
    <row r="438">
      <c r="A438" s="74" t="s">
        <v>24110</v>
      </c>
      <c r="B438" s="74" t="s">
        <v>6876</v>
      </c>
      <c r="C438" s="74" t="s">
        <v>6877</v>
      </c>
      <c r="D438" s="74" t="s">
        <v>11623</v>
      </c>
      <c r="E438" s="146">
        <v>43823.0</v>
      </c>
      <c r="F438" s="74" t="s">
        <v>24112</v>
      </c>
      <c r="G438" s="74">
        <v>58.0</v>
      </c>
      <c r="H438" s="74">
        <v>1.0</v>
      </c>
      <c r="I438" s="74">
        <v>99.0</v>
      </c>
      <c r="J438" s="119"/>
      <c r="K438" s="119"/>
      <c r="L438" s="74" t="s">
        <v>1090</v>
      </c>
      <c r="M438" s="74" t="s">
        <v>1090</v>
      </c>
      <c r="N438" s="133">
        <v>43832.0</v>
      </c>
      <c r="O438" s="74">
        <v>1.0</v>
      </c>
      <c r="P438" s="74">
        <v>1.0</v>
      </c>
      <c r="Q438" s="119"/>
      <c r="R438" s="74" t="s">
        <v>23991</v>
      </c>
      <c r="S438" s="119"/>
      <c r="T438" s="146">
        <v>43721.0</v>
      </c>
      <c r="U438" s="74">
        <v>9999.0</v>
      </c>
      <c r="V438" s="74">
        <v>9999.0</v>
      </c>
      <c r="W438" s="119"/>
      <c r="X438" s="119"/>
      <c r="Y438" s="146">
        <v>43735.0</v>
      </c>
      <c r="Z438" s="74">
        <v>35.13</v>
      </c>
      <c r="AA438" s="74">
        <v>9999.0</v>
      </c>
      <c r="AB438" s="119"/>
      <c r="AC438" s="119"/>
      <c r="AD438" s="74" t="s">
        <v>24114</v>
      </c>
      <c r="AE438" s="74">
        <v>1.0</v>
      </c>
      <c r="AF438" s="74" t="s">
        <v>18902</v>
      </c>
      <c r="AG438" s="120">
        <v>6680.0</v>
      </c>
      <c r="AH438" s="74" t="s">
        <v>24115</v>
      </c>
      <c r="AI438" s="74" t="s">
        <v>24116</v>
      </c>
      <c r="AJ438" s="120">
        <v>439.0</v>
      </c>
    </row>
    <row r="439">
      <c r="A439" s="74" t="s">
        <v>24117</v>
      </c>
      <c r="B439" s="74" t="s">
        <v>6876</v>
      </c>
      <c r="C439" s="74" t="s">
        <v>6877</v>
      </c>
      <c r="D439" s="74" t="s">
        <v>11623</v>
      </c>
      <c r="E439" s="146">
        <v>43823.0</v>
      </c>
      <c r="F439" s="74" t="s">
        <v>24120</v>
      </c>
      <c r="G439" s="74">
        <v>58.0</v>
      </c>
      <c r="H439" s="74">
        <v>1.0</v>
      </c>
      <c r="I439" s="74">
        <v>14.0</v>
      </c>
      <c r="J439" s="74">
        <v>141.0</v>
      </c>
      <c r="K439" s="119"/>
      <c r="L439" s="74" t="s">
        <v>537</v>
      </c>
      <c r="M439" s="74" t="s">
        <v>537</v>
      </c>
      <c r="N439" s="133">
        <v>43832.0</v>
      </c>
      <c r="O439" s="74">
        <v>1.0</v>
      </c>
      <c r="P439" s="74">
        <v>1.0</v>
      </c>
      <c r="Q439" s="119"/>
      <c r="R439" s="74" t="s">
        <v>23991</v>
      </c>
      <c r="S439" s="119"/>
      <c r="T439" s="146">
        <v>43721.0</v>
      </c>
      <c r="U439" s="74">
        <v>34.69</v>
      </c>
      <c r="V439" s="74">
        <v>9999.0</v>
      </c>
      <c r="W439" s="119"/>
      <c r="X439" s="119"/>
      <c r="Y439" s="146">
        <v>43735.0</v>
      </c>
      <c r="Z439" s="74">
        <v>34.18</v>
      </c>
      <c r="AA439" s="74">
        <v>35.54</v>
      </c>
      <c r="AB439" s="119"/>
      <c r="AC439" s="119"/>
      <c r="AD439" s="119"/>
      <c r="AE439" s="74">
        <v>1.0</v>
      </c>
      <c r="AF439" s="74" t="s">
        <v>18902</v>
      </c>
      <c r="AG439" s="120">
        <v>6681.0</v>
      </c>
      <c r="AH439" s="74" t="s">
        <v>24128</v>
      </c>
      <c r="AI439" s="74" t="s">
        <v>24130</v>
      </c>
      <c r="AJ439" s="120">
        <v>440.0</v>
      </c>
    </row>
    <row r="440">
      <c r="A440" s="74" t="s">
        <v>24120</v>
      </c>
      <c r="B440" s="74" t="s">
        <v>6876</v>
      </c>
      <c r="C440" s="74" t="s">
        <v>6877</v>
      </c>
      <c r="D440" s="74" t="s">
        <v>11623</v>
      </c>
      <c r="E440" s="146">
        <v>43823.0</v>
      </c>
      <c r="F440" s="74" t="s">
        <v>24134</v>
      </c>
      <c r="G440" s="74">
        <v>58.0</v>
      </c>
      <c r="H440" s="74">
        <v>1.0</v>
      </c>
      <c r="I440" s="74">
        <v>14.0</v>
      </c>
      <c r="J440" s="74">
        <v>143.0</v>
      </c>
      <c r="K440" s="119"/>
      <c r="L440" s="74" t="s">
        <v>543</v>
      </c>
      <c r="M440" s="74" t="s">
        <v>543</v>
      </c>
      <c r="N440" s="133">
        <v>43832.0</v>
      </c>
      <c r="O440" s="74">
        <v>1.0</v>
      </c>
      <c r="P440" s="74">
        <v>1.0</v>
      </c>
      <c r="Q440" s="119"/>
      <c r="R440" s="74" t="s">
        <v>23991</v>
      </c>
      <c r="S440" s="119"/>
      <c r="T440" s="146">
        <v>43721.0</v>
      </c>
      <c r="U440" s="74">
        <v>33.89</v>
      </c>
      <c r="V440" s="74">
        <v>9999.0</v>
      </c>
      <c r="W440" s="119"/>
      <c r="X440" s="119"/>
      <c r="Y440" s="146">
        <v>43735.0</v>
      </c>
      <c r="Z440" s="74">
        <v>33.43</v>
      </c>
      <c r="AA440" s="74">
        <v>33.48</v>
      </c>
      <c r="AB440" s="119"/>
      <c r="AC440" s="119"/>
      <c r="AD440" s="119"/>
      <c r="AE440" s="74">
        <v>1.0</v>
      </c>
      <c r="AF440" s="74" t="s">
        <v>18902</v>
      </c>
      <c r="AG440" s="120">
        <v>6682.0</v>
      </c>
      <c r="AH440" s="74" t="s">
        <v>24137</v>
      </c>
      <c r="AI440" s="74" t="s">
        <v>24138</v>
      </c>
      <c r="AJ440" s="120">
        <v>441.0</v>
      </c>
    </row>
    <row r="441">
      <c r="A441" s="74" t="s">
        <v>24134</v>
      </c>
      <c r="B441" s="74" t="s">
        <v>6876</v>
      </c>
      <c r="C441" s="74" t="s">
        <v>6877</v>
      </c>
      <c r="D441" s="74" t="s">
        <v>11623</v>
      </c>
      <c r="E441" s="146">
        <v>43823.0</v>
      </c>
      <c r="F441" s="74" t="s">
        <v>24139</v>
      </c>
      <c r="G441" s="74">
        <v>58.0</v>
      </c>
      <c r="H441" s="74">
        <v>1.0</v>
      </c>
      <c r="I441" s="74">
        <v>14.0</v>
      </c>
      <c r="J441" s="74">
        <v>142.0</v>
      </c>
      <c r="K441" s="119"/>
      <c r="L441" s="74" t="s">
        <v>539</v>
      </c>
      <c r="M441" s="74" t="s">
        <v>539</v>
      </c>
      <c r="N441" s="133">
        <v>43832.0</v>
      </c>
      <c r="O441" s="74">
        <v>1.0</v>
      </c>
      <c r="P441" s="74">
        <v>1.0</v>
      </c>
      <c r="Q441" s="119"/>
      <c r="R441" s="74" t="s">
        <v>23991</v>
      </c>
      <c r="S441" s="119"/>
      <c r="T441" s="146">
        <v>43721.0</v>
      </c>
      <c r="U441" s="74">
        <v>34.82</v>
      </c>
      <c r="V441" s="74">
        <v>9999.0</v>
      </c>
      <c r="W441" s="119"/>
      <c r="X441" s="119"/>
      <c r="Y441" s="146">
        <v>43735.0</v>
      </c>
      <c r="Z441" s="74">
        <v>34.8</v>
      </c>
      <c r="AA441" s="74">
        <v>34.3</v>
      </c>
      <c r="AB441" s="119"/>
      <c r="AC441" s="119"/>
      <c r="AD441" s="119"/>
      <c r="AE441" s="74">
        <v>1.0</v>
      </c>
      <c r="AF441" s="74" t="s">
        <v>18902</v>
      </c>
      <c r="AG441" s="120">
        <v>6683.0</v>
      </c>
      <c r="AH441" s="74" t="s">
        <v>24141</v>
      </c>
      <c r="AI441" s="74" t="s">
        <v>24142</v>
      </c>
      <c r="AJ441" s="120">
        <v>442.0</v>
      </c>
    </row>
    <row r="442">
      <c r="A442" s="74" t="s">
        <v>24139</v>
      </c>
      <c r="B442" s="74" t="s">
        <v>6876</v>
      </c>
      <c r="C442" s="74" t="s">
        <v>6877</v>
      </c>
      <c r="D442" s="74" t="s">
        <v>11623</v>
      </c>
      <c r="E442" s="146">
        <v>43823.0</v>
      </c>
      <c r="F442" s="74" t="s">
        <v>24143</v>
      </c>
      <c r="G442" s="74">
        <v>58.0</v>
      </c>
      <c r="H442" s="74">
        <v>1.0</v>
      </c>
      <c r="I442" s="74">
        <v>14.0</v>
      </c>
      <c r="J442" s="74">
        <v>145.0</v>
      </c>
      <c r="K442" s="119"/>
      <c r="L442" s="74" t="s">
        <v>548</v>
      </c>
      <c r="M442" s="74" t="s">
        <v>548</v>
      </c>
      <c r="N442" s="133">
        <v>43832.0</v>
      </c>
      <c r="O442" s="74">
        <v>1.0</v>
      </c>
      <c r="P442" s="74">
        <v>1.0</v>
      </c>
      <c r="Q442" s="119"/>
      <c r="R442" s="74" t="s">
        <v>23991</v>
      </c>
      <c r="S442" s="119"/>
      <c r="T442" s="146">
        <v>43721.0</v>
      </c>
      <c r="U442" s="74">
        <v>34.62</v>
      </c>
      <c r="V442" s="74">
        <v>9999.0</v>
      </c>
      <c r="W442" s="119"/>
      <c r="X442" s="119"/>
      <c r="Y442" s="146">
        <v>43735.0</v>
      </c>
      <c r="Z442" s="74">
        <v>34.42</v>
      </c>
      <c r="AA442" s="74">
        <v>34.93</v>
      </c>
      <c r="AB442" s="119"/>
      <c r="AC442" s="119"/>
      <c r="AD442" s="119"/>
      <c r="AE442" s="74">
        <v>1.0</v>
      </c>
      <c r="AF442" s="74" t="s">
        <v>18902</v>
      </c>
      <c r="AG442" s="120">
        <v>6684.0</v>
      </c>
      <c r="AH442" s="74" t="s">
        <v>24149</v>
      </c>
      <c r="AI442" s="74" t="s">
        <v>24150</v>
      </c>
      <c r="AJ442" s="120">
        <v>443.0</v>
      </c>
    </row>
    <row r="443">
      <c r="A443" s="74" t="s">
        <v>24143</v>
      </c>
      <c r="B443" s="74" t="s">
        <v>6876</v>
      </c>
      <c r="C443" s="74" t="s">
        <v>6877</v>
      </c>
      <c r="D443" s="74" t="s">
        <v>11623</v>
      </c>
      <c r="E443" s="146">
        <v>43823.0</v>
      </c>
      <c r="F443" s="74" t="s">
        <v>24154</v>
      </c>
      <c r="G443" s="74">
        <v>58.0</v>
      </c>
      <c r="H443" s="74">
        <v>1.0</v>
      </c>
      <c r="I443" s="74">
        <v>14.0</v>
      </c>
      <c r="J443" s="74">
        <v>144.0</v>
      </c>
      <c r="K443" s="119"/>
      <c r="L443" s="74" t="s">
        <v>545</v>
      </c>
      <c r="M443" s="74" t="s">
        <v>545</v>
      </c>
      <c r="N443" s="133">
        <v>43832.0</v>
      </c>
      <c r="O443" s="74">
        <v>1.0</v>
      </c>
      <c r="P443" s="74">
        <v>1.0</v>
      </c>
      <c r="Q443" s="119"/>
      <c r="R443" s="74" t="s">
        <v>23991</v>
      </c>
      <c r="S443" s="119"/>
      <c r="T443" s="146">
        <v>43721.0</v>
      </c>
      <c r="U443" s="74">
        <v>37.19</v>
      </c>
      <c r="V443" s="74">
        <v>9999.0</v>
      </c>
      <c r="W443" s="119"/>
      <c r="X443" s="119"/>
      <c r="Y443" s="146">
        <v>43735.0</v>
      </c>
      <c r="Z443" s="74">
        <v>35.02</v>
      </c>
      <c r="AA443" s="74">
        <v>36.61</v>
      </c>
      <c r="AB443" s="119"/>
      <c r="AC443" s="119"/>
      <c r="AD443" s="119"/>
      <c r="AE443" s="74">
        <v>1.0</v>
      </c>
      <c r="AF443" s="74" t="s">
        <v>18902</v>
      </c>
      <c r="AG443" s="120">
        <v>6685.0</v>
      </c>
      <c r="AH443" s="74" t="s">
        <v>24158</v>
      </c>
      <c r="AI443" s="74" t="s">
        <v>24159</v>
      </c>
      <c r="AJ443" s="120">
        <v>444.0</v>
      </c>
    </row>
    <row r="444">
      <c r="A444" s="74" t="s">
        <v>24160</v>
      </c>
      <c r="B444" s="74" t="s">
        <v>6876</v>
      </c>
      <c r="C444" s="74" t="s">
        <v>6877</v>
      </c>
      <c r="D444" s="74" t="s">
        <v>11623</v>
      </c>
      <c r="E444" s="146">
        <v>43823.0</v>
      </c>
      <c r="F444" s="74" t="s">
        <v>24161</v>
      </c>
      <c r="G444" s="74">
        <v>58.0</v>
      </c>
      <c r="H444" s="74">
        <v>1.0</v>
      </c>
      <c r="I444" s="74">
        <v>99.0</v>
      </c>
      <c r="J444" s="119"/>
      <c r="K444" s="119"/>
      <c r="L444" s="74" t="s">
        <v>1103</v>
      </c>
      <c r="M444" s="74" t="s">
        <v>1103</v>
      </c>
      <c r="N444" s="133">
        <v>43832.0</v>
      </c>
      <c r="O444" s="74">
        <v>1.0</v>
      </c>
      <c r="P444" s="74">
        <v>1.0</v>
      </c>
      <c r="Q444" s="119"/>
      <c r="R444" s="74" t="s">
        <v>23991</v>
      </c>
      <c r="S444" s="119"/>
      <c r="T444" s="146">
        <v>43721.0</v>
      </c>
      <c r="U444" s="74">
        <v>35.78</v>
      </c>
      <c r="V444" s="74">
        <v>9999.0</v>
      </c>
      <c r="W444" s="119"/>
      <c r="X444" s="119"/>
      <c r="Y444" s="146">
        <v>43735.0</v>
      </c>
      <c r="Z444" s="74">
        <v>34.01</v>
      </c>
      <c r="AA444" s="74">
        <v>33.82</v>
      </c>
      <c r="AB444" s="119"/>
      <c r="AC444" s="119"/>
      <c r="AD444" s="74" t="s">
        <v>24165</v>
      </c>
      <c r="AE444" s="74">
        <v>1.0</v>
      </c>
      <c r="AF444" s="74" t="s">
        <v>18902</v>
      </c>
      <c r="AG444" s="120">
        <v>6686.0</v>
      </c>
      <c r="AH444" s="74" t="s">
        <v>24167</v>
      </c>
      <c r="AI444" s="74" t="s">
        <v>24168</v>
      </c>
      <c r="AJ444" s="120">
        <v>445.0</v>
      </c>
    </row>
    <row r="445">
      <c r="A445" s="74" t="s">
        <v>24161</v>
      </c>
      <c r="B445" s="74" t="s">
        <v>6876</v>
      </c>
      <c r="C445" s="74" t="s">
        <v>6877</v>
      </c>
      <c r="D445" s="74" t="s">
        <v>11623</v>
      </c>
      <c r="E445" s="146">
        <v>43823.0</v>
      </c>
      <c r="F445" s="74" t="s">
        <v>24171</v>
      </c>
      <c r="G445" s="74">
        <v>58.0</v>
      </c>
      <c r="H445" s="74">
        <v>1.0</v>
      </c>
      <c r="I445" s="74">
        <v>99.0</v>
      </c>
      <c r="J445" s="119"/>
      <c r="K445" s="119"/>
      <c r="L445" s="74" t="s">
        <v>1105</v>
      </c>
      <c r="M445" s="74" t="s">
        <v>1105</v>
      </c>
      <c r="N445" s="133">
        <v>43832.0</v>
      </c>
      <c r="O445" s="74">
        <v>1.0</v>
      </c>
      <c r="P445" s="74">
        <v>1.0</v>
      </c>
      <c r="Q445" s="119"/>
      <c r="R445" s="74" t="s">
        <v>23991</v>
      </c>
      <c r="S445" s="119"/>
      <c r="T445" s="146">
        <v>43721.0</v>
      </c>
      <c r="U445" s="74">
        <v>34.65</v>
      </c>
      <c r="V445" s="74">
        <v>9999.0</v>
      </c>
      <c r="W445" s="119"/>
      <c r="X445" s="119"/>
      <c r="Y445" s="146">
        <v>43735.0</v>
      </c>
      <c r="Z445" s="74">
        <v>35.9</v>
      </c>
      <c r="AA445" s="74">
        <v>35.56</v>
      </c>
      <c r="AB445" s="119"/>
      <c r="AC445" s="119"/>
      <c r="AD445" s="119"/>
      <c r="AE445" s="74">
        <v>1.0</v>
      </c>
      <c r="AF445" s="74" t="s">
        <v>18902</v>
      </c>
      <c r="AG445" s="120">
        <v>6687.0</v>
      </c>
      <c r="AH445" s="74" t="s">
        <v>24175</v>
      </c>
      <c r="AI445" s="74" t="s">
        <v>24176</v>
      </c>
      <c r="AJ445" s="120">
        <v>446.0</v>
      </c>
    </row>
    <row r="446">
      <c r="A446" s="74" t="s">
        <v>24171</v>
      </c>
      <c r="B446" s="74" t="s">
        <v>6876</v>
      </c>
      <c r="C446" s="74" t="s">
        <v>6877</v>
      </c>
      <c r="D446" s="74" t="s">
        <v>11623</v>
      </c>
      <c r="E446" s="146">
        <v>43823.0</v>
      </c>
      <c r="F446" s="74" t="s">
        <v>24178</v>
      </c>
      <c r="G446" s="74">
        <v>58.0</v>
      </c>
      <c r="H446" s="74">
        <v>1.0</v>
      </c>
      <c r="I446" s="74">
        <v>15.0</v>
      </c>
      <c r="J446" s="119"/>
      <c r="K446" s="74">
        <v>151.0</v>
      </c>
      <c r="L446" s="74" t="s">
        <v>551</v>
      </c>
      <c r="M446" s="74" t="s">
        <v>551</v>
      </c>
      <c r="N446" s="133">
        <v>43832.0</v>
      </c>
      <c r="O446" s="74">
        <v>1.0</v>
      </c>
      <c r="P446" s="74">
        <v>1.0</v>
      </c>
      <c r="Q446" s="119"/>
      <c r="R446" s="74" t="s">
        <v>23991</v>
      </c>
      <c r="S446" s="119"/>
      <c r="T446" s="146">
        <v>43721.0</v>
      </c>
      <c r="U446" s="74">
        <v>32.59</v>
      </c>
      <c r="V446" s="74">
        <v>9999.0</v>
      </c>
      <c r="W446" s="119"/>
      <c r="X446" s="119"/>
      <c r="Y446" s="146">
        <v>43735.0</v>
      </c>
      <c r="Z446" s="74">
        <v>9999.0</v>
      </c>
      <c r="AA446" s="74">
        <v>34.34</v>
      </c>
      <c r="AB446" s="119"/>
      <c r="AC446" s="119"/>
      <c r="AD446" s="119"/>
      <c r="AE446" s="74">
        <v>1.0</v>
      </c>
      <c r="AF446" s="74" t="s">
        <v>18902</v>
      </c>
      <c r="AG446" s="120">
        <v>6688.0</v>
      </c>
      <c r="AH446" s="74" t="s">
        <v>24180</v>
      </c>
      <c r="AI446" s="74" t="s">
        <v>24182</v>
      </c>
      <c r="AJ446" s="120">
        <v>447.0</v>
      </c>
    </row>
    <row r="447">
      <c r="A447" s="74" t="s">
        <v>24178</v>
      </c>
      <c r="B447" s="74" t="s">
        <v>6876</v>
      </c>
      <c r="C447" s="74" t="s">
        <v>6877</v>
      </c>
      <c r="D447" s="74" t="s">
        <v>11623</v>
      </c>
      <c r="E447" s="146">
        <v>43823.0</v>
      </c>
      <c r="F447" s="74" t="s">
        <v>24184</v>
      </c>
      <c r="G447" s="74">
        <v>58.0</v>
      </c>
      <c r="H447" s="74">
        <v>1.0</v>
      </c>
      <c r="I447" s="74">
        <v>15.0</v>
      </c>
      <c r="J447" s="119"/>
      <c r="K447" s="74">
        <v>152.0</v>
      </c>
      <c r="L447" s="74" t="s">
        <v>556</v>
      </c>
      <c r="M447" s="74" t="s">
        <v>556</v>
      </c>
      <c r="N447" s="133">
        <v>43832.0</v>
      </c>
      <c r="O447" s="74">
        <v>1.0</v>
      </c>
      <c r="P447" s="74">
        <v>1.0</v>
      </c>
      <c r="Q447" s="119"/>
      <c r="R447" s="74" t="s">
        <v>23991</v>
      </c>
      <c r="S447" s="119"/>
      <c r="T447" s="146">
        <v>43721.0</v>
      </c>
      <c r="U447" s="74">
        <v>34.41</v>
      </c>
      <c r="V447" s="74">
        <v>9999.0</v>
      </c>
      <c r="W447" s="119"/>
      <c r="X447" s="119"/>
      <c r="Y447" s="146">
        <v>43735.0</v>
      </c>
      <c r="Z447" s="74">
        <v>33.7</v>
      </c>
      <c r="AA447" s="74">
        <v>33.08</v>
      </c>
      <c r="AB447" s="119"/>
      <c r="AC447" s="119"/>
      <c r="AD447" s="119"/>
      <c r="AE447" s="74">
        <v>1.0</v>
      </c>
      <c r="AF447" s="74" t="s">
        <v>18902</v>
      </c>
      <c r="AG447" s="120">
        <v>6689.0</v>
      </c>
      <c r="AH447" s="74" t="s">
        <v>24192</v>
      </c>
      <c r="AI447" s="74" t="s">
        <v>24193</v>
      </c>
      <c r="AJ447" s="120">
        <v>448.0</v>
      </c>
    </row>
    <row r="448">
      <c r="A448" s="74" t="s">
        <v>24195</v>
      </c>
      <c r="B448" s="74" t="s">
        <v>6876</v>
      </c>
      <c r="C448" s="74" t="s">
        <v>6877</v>
      </c>
      <c r="D448" s="74" t="s">
        <v>11623</v>
      </c>
      <c r="E448" s="146">
        <v>43823.0</v>
      </c>
      <c r="F448" s="74" t="s">
        <v>24198</v>
      </c>
      <c r="G448" s="74">
        <v>58.0</v>
      </c>
      <c r="H448" s="74">
        <v>1.0</v>
      </c>
      <c r="I448" s="74">
        <v>15.0</v>
      </c>
      <c r="J448" s="119"/>
      <c r="K448" s="74">
        <v>152.0</v>
      </c>
      <c r="L448" s="74" t="s">
        <v>558</v>
      </c>
      <c r="M448" s="74" t="s">
        <v>558</v>
      </c>
      <c r="N448" s="133">
        <v>43832.0</v>
      </c>
      <c r="O448" s="74">
        <v>1.0</v>
      </c>
      <c r="P448" s="74">
        <v>1.0</v>
      </c>
      <c r="Q448" s="119"/>
      <c r="R448" s="74" t="s">
        <v>23991</v>
      </c>
      <c r="S448" s="119"/>
      <c r="T448" s="146">
        <v>43721.0</v>
      </c>
      <c r="U448" s="74">
        <v>34.84</v>
      </c>
      <c r="V448" s="74">
        <v>9999.0</v>
      </c>
      <c r="W448" s="119"/>
      <c r="X448" s="119"/>
      <c r="Y448" s="146">
        <v>43735.0</v>
      </c>
      <c r="Z448" s="74">
        <v>34.1</v>
      </c>
      <c r="AA448" s="74">
        <v>34.2</v>
      </c>
      <c r="AB448" s="119"/>
      <c r="AC448" s="119"/>
      <c r="AD448" s="119"/>
      <c r="AE448" s="74">
        <v>1.0</v>
      </c>
      <c r="AF448" s="74" t="s">
        <v>18902</v>
      </c>
      <c r="AG448" s="120">
        <v>6690.0</v>
      </c>
      <c r="AH448" s="74" t="s">
        <v>24202</v>
      </c>
      <c r="AI448" s="74" t="s">
        <v>24203</v>
      </c>
      <c r="AJ448" s="120">
        <v>449.0</v>
      </c>
    </row>
    <row r="449">
      <c r="A449" s="74" t="s">
        <v>24205</v>
      </c>
      <c r="B449" s="74" t="s">
        <v>6876</v>
      </c>
      <c r="C449" s="74" t="s">
        <v>6877</v>
      </c>
      <c r="D449" s="74" t="s">
        <v>11623</v>
      </c>
      <c r="E449" s="146">
        <v>43823.0</v>
      </c>
      <c r="F449" s="74" t="s">
        <v>24207</v>
      </c>
      <c r="G449" s="74">
        <v>58.0</v>
      </c>
      <c r="H449" s="74">
        <v>1.0</v>
      </c>
      <c r="I449" s="74">
        <v>15.0</v>
      </c>
      <c r="J449" s="119"/>
      <c r="K449" s="74">
        <v>152.0</v>
      </c>
      <c r="L449" s="74" t="s">
        <v>215</v>
      </c>
      <c r="M449" s="74" t="s">
        <v>215</v>
      </c>
      <c r="N449" s="133">
        <v>43832.0</v>
      </c>
      <c r="O449" s="74">
        <v>1.0</v>
      </c>
      <c r="P449" s="74">
        <v>1.0</v>
      </c>
      <c r="Q449" s="119"/>
      <c r="R449" s="74" t="s">
        <v>23991</v>
      </c>
      <c r="S449" s="119"/>
      <c r="T449" s="146">
        <v>43721.0</v>
      </c>
      <c r="U449" s="74">
        <v>36.64</v>
      </c>
      <c r="V449" s="74">
        <v>9999.0</v>
      </c>
      <c r="W449" s="119"/>
      <c r="X449" s="119"/>
      <c r="Y449" s="146">
        <v>43735.0</v>
      </c>
      <c r="Z449" s="74">
        <v>34.99</v>
      </c>
      <c r="AA449" s="74">
        <v>35.6</v>
      </c>
      <c r="AB449" s="119"/>
      <c r="AC449" s="119"/>
      <c r="AD449" s="119"/>
      <c r="AE449" s="74">
        <v>1.0</v>
      </c>
      <c r="AF449" s="74" t="s">
        <v>18902</v>
      </c>
      <c r="AG449" s="120">
        <v>6691.0</v>
      </c>
      <c r="AH449" s="74" t="s">
        <v>24213</v>
      </c>
      <c r="AI449" s="74" t="s">
        <v>24214</v>
      </c>
      <c r="AJ449" s="120">
        <v>450.0</v>
      </c>
    </row>
    <row r="450">
      <c r="A450" s="74" t="s">
        <v>24207</v>
      </c>
      <c r="B450" s="74" t="s">
        <v>6876</v>
      </c>
      <c r="C450" s="74" t="s">
        <v>6877</v>
      </c>
      <c r="D450" s="74" t="s">
        <v>11623</v>
      </c>
      <c r="E450" s="146">
        <v>43823.0</v>
      </c>
      <c r="F450" s="74" t="s">
        <v>24217</v>
      </c>
      <c r="G450" s="74">
        <v>58.0</v>
      </c>
      <c r="H450" s="74">
        <v>1.0</v>
      </c>
      <c r="I450" s="74">
        <v>99.0</v>
      </c>
      <c r="J450" s="119"/>
      <c r="K450" s="119"/>
      <c r="L450" s="74" t="s">
        <v>1116</v>
      </c>
      <c r="M450" s="74" t="s">
        <v>1116</v>
      </c>
      <c r="N450" s="133">
        <v>43832.0</v>
      </c>
      <c r="O450" s="74">
        <v>1.0</v>
      </c>
      <c r="P450" s="74">
        <v>1.0</v>
      </c>
      <c r="Q450" s="119"/>
      <c r="R450" s="74" t="s">
        <v>23991</v>
      </c>
      <c r="S450" s="119"/>
      <c r="T450" s="146">
        <v>43721.0</v>
      </c>
      <c r="U450" s="74">
        <v>36.04</v>
      </c>
      <c r="V450" s="74">
        <v>9999.0</v>
      </c>
      <c r="W450" s="119"/>
      <c r="X450" s="119"/>
      <c r="Y450" s="146">
        <v>43735.0</v>
      </c>
      <c r="Z450" s="74">
        <v>33.86</v>
      </c>
      <c r="AA450" s="74">
        <v>33.8</v>
      </c>
      <c r="AB450" s="119"/>
      <c r="AC450" s="119"/>
      <c r="AD450" s="74" t="s">
        <v>24222</v>
      </c>
      <c r="AE450" s="74">
        <v>1.0</v>
      </c>
      <c r="AF450" s="74" t="s">
        <v>18902</v>
      </c>
      <c r="AG450" s="120">
        <v>6692.0</v>
      </c>
      <c r="AH450" s="74" t="s">
        <v>24224</v>
      </c>
      <c r="AI450" s="74" t="s">
        <v>24225</v>
      </c>
      <c r="AJ450" s="120">
        <v>451.0</v>
      </c>
    </row>
    <row r="451">
      <c r="A451" s="74" t="s">
        <v>24217</v>
      </c>
      <c r="B451" s="74" t="s">
        <v>6876</v>
      </c>
      <c r="C451" s="74" t="s">
        <v>6877</v>
      </c>
      <c r="D451" s="74" t="s">
        <v>11623</v>
      </c>
      <c r="E451" s="146">
        <v>43823.0</v>
      </c>
      <c r="F451" s="74" t="s">
        <v>24226</v>
      </c>
      <c r="G451" s="74">
        <v>58.0</v>
      </c>
      <c r="H451" s="74">
        <v>1.0</v>
      </c>
      <c r="I451" s="74">
        <v>15.0</v>
      </c>
      <c r="J451" s="119"/>
      <c r="K451" s="74">
        <v>151.0</v>
      </c>
      <c r="L451" s="74" t="s">
        <v>553</v>
      </c>
      <c r="M451" s="74" t="s">
        <v>553</v>
      </c>
      <c r="N451" s="133">
        <v>43832.0</v>
      </c>
      <c r="O451" s="74">
        <v>1.0</v>
      </c>
      <c r="P451" s="74">
        <v>1.0</v>
      </c>
      <c r="Q451" s="119"/>
      <c r="R451" s="74" t="s">
        <v>23991</v>
      </c>
      <c r="S451" s="119"/>
      <c r="T451" s="146">
        <v>43721.0</v>
      </c>
      <c r="U451" s="74">
        <v>36.0</v>
      </c>
      <c r="V451" s="74">
        <v>9999.0</v>
      </c>
      <c r="W451" s="119"/>
      <c r="X451" s="119"/>
      <c r="Y451" s="146">
        <v>43735.0</v>
      </c>
      <c r="Z451" s="74">
        <v>34.77</v>
      </c>
      <c r="AA451" s="74">
        <v>35.09</v>
      </c>
      <c r="AB451" s="119"/>
      <c r="AC451" s="119"/>
      <c r="AD451" s="119"/>
      <c r="AE451" s="74">
        <v>1.0</v>
      </c>
      <c r="AF451" s="74" t="s">
        <v>18902</v>
      </c>
      <c r="AG451" s="120">
        <v>6693.0</v>
      </c>
      <c r="AH451" s="74" t="s">
        <v>24231</v>
      </c>
      <c r="AI451" s="74" t="s">
        <v>24233</v>
      </c>
      <c r="AJ451" s="120">
        <v>452.0</v>
      </c>
    </row>
    <row r="452">
      <c r="A452" s="74" t="s">
        <v>24226</v>
      </c>
      <c r="B452" s="74" t="s">
        <v>6876</v>
      </c>
      <c r="C452" s="74" t="s">
        <v>6877</v>
      </c>
      <c r="D452" s="74" t="s">
        <v>11623</v>
      </c>
      <c r="E452" s="146">
        <v>43823.0</v>
      </c>
      <c r="F452" s="74" t="s">
        <v>24239</v>
      </c>
      <c r="G452" s="74">
        <v>58.0</v>
      </c>
      <c r="H452" s="74">
        <v>1.0</v>
      </c>
      <c r="I452" s="74">
        <v>15.0</v>
      </c>
      <c r="J452" s="119"/>
      <c r="K452" s="74">
        <v>152.0</v>
      </c>
      <c r="L452" s="74" t="s">
        <v>562</v>
      </c>
      <c r="M452" s="74" t="s">
        <v>562</v>
      </c>
      <c r="N452" s="133">
        <v>43832.0</v>
      </c>
      <c r="O452" s="74">
        <v>1.0</v>
      </c>
      <c r="P452" s="74">
        <v>1.0</v>
      </c>
      <c r="Q452" s="119"/>
      <c r="R452" s="74" t="s">
        <v>23991</v>
      </c>
      <c r="S452" s="119"/>
      <c r="T452" s="146">
        <v>43721.0</v>
      </c>
      <c r="U452" s="74">
        <v>34.49</v>
      </c>
      <c r="V452" s="74">
        <v>9999.0</v>
      </c>
      <c r="W452" s="119"/>
      <c r="X452" s="119"/>
      <c r="Y452" s="146">
        <v>43735.0</v>
      </c>
      <c r="Z452" s="74">
        <v>9999.0</v>
      </c>
      <c r="AA452" s="74">
        <v>35.47</v>
      </c>
      <c r="AB452" s="119"/>
      <c r="AC452" s="119"/>
      <c r="AD452" s="119"/>
      <c r="AE452" s="74">
        <v>1.0</v>
      </c>
      <c r="AF452" s="74" t="s">
        <v>18902</v>
      </c>
      <c r="AG452" s="120">
        <v>6694.0</v>
      </c>
      <c r="AH452" s="74" t="s">
        <v>24246</v>
      </c>
      <c r="AI452" s="74" t="s">
        <v>24247</v>
      </c>
      <c r="AJ452" s="120">
        <v>453.0</v>
      </c>
    </row>
    <row r="453">
      <c r="A453" s="74" t="s">
        <v>24239</v>
      </c>
      <c r="B453" s="74" t="s">
        <v>6876</v>
      </c>
      <c r="C453" s="74" t="s">
        <v>6877</v>
      </c>
      <c r="D453" s="74" t="s">
        <v>11623</v>
      </c>
      <c r="E453" s="146">
        <v>43823.0</v>
      </c>
      <c r="F453" s="74" t="s">
        <v>24250</v>
      </c>
      <c r="G453" s="74">
        <v>58.0</v>
      </c>
      <c r="H453" s="74">
        <v>1.0</v>
      </c>
      <c r="I453" s="74">
        <v>15.0</v>
      </c>
      <c r="J453" s="119"/>
      <c r="K453" s="74">
        <v>152.0</v>
      </c>
      <c r="L453" s="74" t="s">
        <v>565</v>
      </c>
      <c r="M453" s="74" t="s">
        <v>565</v>
      </c>
      <c r="N453" s="133">
        <v>43832.0</v>
      </c>
      <c r="O453" s="74">
        <v>1.0</v>
      </c>
      <c r="P453" s="74">
        <v>1.0</v>
      </c>
      <c r="Q453" s="119"/>
      <c r="R453" s="74" t="s">
        <v>23991</v>
      </c>
      <c r="S453" s="119"/>
      <c r="T453" s="146">
        <v>43721.0</v>
      </c>
      <c r="U453" s="74">
        <v>35.47</v>
      </c>
      <c r="V453" s="74">
        <v>9999.0</v>
      </c>
      <c r="W453" s="119"/>
      <c r="X453" s="119"/>
      <c r="Y453" s="146">
        <v>43735.0</v>
      </c>
      <c r="Z453" s="74">
        <v>9999.0</v>
      </c>
      <c r="AA453" s="74">
        <v>36.34</v>
      </c>
      <c r="AB453" s="119"/>
      <c r="AC453" s="119"/>
      <c r="AD453" s="119"/>
      <c r="AE453" s="74">
        <v>1.0</v>
      </c>
      <c r="AF453" s="74" t="s">
        <v>18902</v>
      </c>
      <c r="AG453" s="120">
        <v>6695.0</v>
      </c>
      <c r="AH453" s="74" t="s">
        <v>24256</v>
      </c>
      <c r="AI453" s="74" t="s">
        <v>24257</v>
      </c>
      <c r="AJ453" s="120">
        <v>454.0</v>
      </c>
    </row>
    <row r="454">
      <c r="A454" s="74" t="s">
        <v>24250</v>
      </c>
      <c r="B454" s="74" t="s">
        <v>6876</v>
      </c>
      <c r="C454" s="74" t="s">
        <v>6877</v>
      </c>
      <c r="D454" s="74" t="s">
        <v>11623</v>
      </c>
      <c r="E454" s="146">
        <v>43823.0</v>
      </c>
      <c r="F454" s="74" t="s">
        <v>24259</v>
      </c>
      <c r="G454" s="74">
        <v>58.0</v>
      </c>
      <c r="H454" s="74">
        <v>1.0</v>
      </c>
      <c r="I454" s="74">
        <v>15.0</v>
      </c>
      <c r="J454" s="119"/>
      <c r="K454" s="74">
        <v>152.0</v>
      </c>
      <c r="L454" s="74" t="s">
        <v>567</v>
      </c>
      <c r="M454" s="74" t="s">
        <v>567</v>
      </c>
      <c r="N454" s="133">
        <v>43832.0</v>
      </c>
      <c r="O454" s="74">
        <v>1.0</v>
      </c>
      <c r="P454" s="74">
        <v>1.0</v>
      </c>
      <c r="Q454" s="119"/>
      <c r="R454" s="74" t="s">
        <v>23991</v>
      </c>
      <c r="S454" s="119"/>
      <c r="T454" s="146">
        <v>43721.0</v>
      </c>
      <c r="U454" s="74">
        <v>35.4</v>
      </c>
      <c r="V454" s="74">
        <v>9999.0</v>
      </c>
      <c r="W454" s="119"/>
      <c r="X454" s="119"/>
      <c r="Y454" s="146">
        <v>43735.0</v>
      </c>
      <c r="Z454" s="74">
        <v>32.23</v>
      </c>
      <c r="AA454" s="74">
        <v>32.09</v>
      </c>
      <c r="AB454" s="119"/>
      <c r="AC454" s="119"/>
      <c r="AD454" s="119"/>
      <c r="AE454" s="74">
        <v>1.0</v>
      </c>
      <c r="AF454" s="74" t="s">
        <v>18902</v>
      </c>
      <c r="AG454" s="120">
        <v>6696.0</v>
      </c>
      <c r="AH454" s="74" t="s">
        <v>24263</v>
      </c>
      <c r="AI454" s="74" t="s">
        <v>24264</v>
      </c>
      <c r="AJ454" s="120">
        <v>455.0</v>
      </c>
    </row>
    <row r="455">
      <c r="A455" s="74" t="s">
        <v>24259</v>
      </c>
      <c r="B455" s="74" t="s">
        <v>6876</v>
      </c>
      <c r="C455" s="74" t="s">
        <v>6877</v>
      </c>
      <c r="D455" s="74" t="s">
        <v>11623</v>
      </c>
      <c r="E455" s="146">
        <v>43823.0</v>
      </c>
      <c r="F455" s="74" t="s">
        <v>24267</v>
      </c>
      <c r="G455" s="74">
        <v>58.0</v>
      </c>
      <c r="H455" s="74">
        <v>1.0</v>
      </c>
      <c r="I455" s="74">
        <v>99.0</v>
      </c>
      <c r="J455" s="119"/>
      <c r="K455" s="119"/>
      <c r="L455" s="74" t="s">
        <v>1120</v>
      </c>
      <c r="M455" s="74" t="s">
        <v>1120</v>
      </c>
      <c r="N455" s="133">
        <v>43832.0</v>
      </c>
      <c r="O455" s="74">
        <v>1.0</v>
      </c>
      <c r="P455" s="74">
        <v>1.0</v>
      </c>
      <c r="Q455" s="119"/>
      <c r="R455" s="74" t="s">
        <v>23991</v>
      </c>
      <c r="S455" s="119"/>
      <c r="T455" s="146">
        <v>43721.0</v>
      </c>
      <c r="U455" s="74">
        <v>35.57</v>
      </c>
      <c r="V455" s="74">
        <v>9999.0</v>
      </c>
      <c r="W455" s="119"/>
      <c r="X455" s="119"/>
      <c r="Y455" s="146">
        <v>43735.0</v>
      </c>
      <c r="Z455" s="74">
        <v>37.09</v>
      </c>
      <c r="AA455" s="74">
        <v>35.12</v>
      </c>
      <c r="AB455" s="119"/>
      <c r="AC455" s="119"/>
      <c r="AD455" s="119"/>
      <c r="AE455" s="74">
        <v>1.0</v>
      </c>
      <c r="AF455" s="74" t="s">
        <v>18902</v>
      </c>
      <c r="AG455" s="120">
        <v>6697.0</v>
      </c>
      <c r="AH455" s="74" t="s">
        <v>24274</v>
      </c>
      <c r="AI455" s="74" t="s">
        <v>24275</v>
      </c>
      <c r="AJ455" s="120">
        <v>456.0</v>
      </c>
    </row>
    <row r="456">
      <c r="A456" s="74" t="s">
        <v>24267</v>
      </c>
      <c r="B456" s="74" t="s">
        <v>6876</v>
      </c>
      <c r="C456" s="74" t="s">
        <v>6877</v>
      </c>
      <c r="D456" s="74" t="s">
        <v>11623</v>
      </c>
      <c r="E456" s="146">
        <v>43823.0</v>
      </c>
      <c r="F456" s="74" t="s">
        <v>24278</v>
      </c>
      <c r="G456" s="74">
        <v>58.0</v>
      </c>
      <c r="H456" s="74">
        <v>1.0</v>
      </c>
      <c r="I456" s="74">
        <v>1.0</v>
      </c>
      <c r="J456" s="119"/>
      <c r="K456" s="119"/>
      <c r="L456" s="74" t="s">
        <v>1123</v>
      </c>
      <c r="M456" s="74" t="s">
        <v>1123</v>
      </c>
      <c r="N456" s="133">
        <v>43832.0</v>
      </c>
      <c r="O456" s="74">
        <v>1.0</v>
      </c>
      <c r="P456" s="74">
        <v>1.0</v>
      </c>
      <c r="Q456" s="119"/>
      <c r="R456" s="74" t="s">
        <v>23991</v>
      </c>
      <c r="S456" s="119"/>
      <c r="T456" s="146">
        <v>43721.0</v>
      </c>
      <c r="U456" s="74">
        <v>28.55</v>
      </c>
      <c r="V456" s="74">
        <v>9999.0</v>
      </c>
      <c r="W456" s="119"/>
      <c r="X456" s="119"/>
      <c r="Y456" s="146">
        <v>43735.0</v>
      </c>
      <c r="Z456" s="74">
        <v>36.88</v>
      </c>
      <c r="AA456" s="74">
        <v>37.11</v>
      </c>
      <c r="AB456" s="119"/>
      <c r="AC456" s="119"/>
      <c r="AD456" s="119"/>
      <c r="AE456" s="74">
        <v>1.0</v>
      </c>
      <c r="AF456" s="74" t="s">
        <v>18902</v>
      </c>
      <c r="AG456" s="120">
        <v>6698.0</v>
      </c>
      <c r="AH456" s="74" t="s">
        <v>24282</v>
      </c>
      <c r="AI456" s="74" t="s">
        <v>24283</v>
      </c>
      <c r="AJ456" s="120">
        <v>457.0</v>
      </c>
    </row>
    <row r="457">
      <c r="A457" s="74" t="s">
        <v>24278</v>
      </c>
      <c r="B457" s="74" t="s">
        <v>6876</v>
      </c>
      <c r="C457" s="74" t="s">
        <v>6877</v>
      </c>
      <c r="D457" s="74" t="s">
        <v>11623</v>
      </c>
      <c r="E457" s="146">
        <v>43823.0</v>
      </c>
      <c r="F457" s="74" t="s">
        <v>24285</v>
      </c>
      <c r="G457" s="74">
        <v>58.0</v>
      </c>
      <c r="H457" s="74">
        <v>1.0</v>
      </c>
      <c r="I457" s="74">
        <v>99.0</v>
      </c>
      <c r="J457" s="119"/>
      <c r="K457" s="119"/>
      <c r="L457" s="74" t="s">
        <v>1126</v>
      </c>
      <c r="M457" s="74" t="s">
        <v>1126</v>
      </c>
      <c r="N457" s="133">
        <v>43832.0</v>
      </c>
      <c r="O457" s="74">
        <v>1.0</v>
      </c>
      <c r="P457" s="74">
        <v>1.0</v>
      </c>
      <c r="Q457" s="119"/>
      <c r="R457" s="74" t="s">
        <v>23991</v>
      </c>
      <c r="S457" s="119"/>
      <c r="T457" s="146">
        <v>43721.0</v>
      </c>
      <c r="U457" s="74">
        <v>35.57</v>
      </c>
      <c r="V457" s="74">
        <v>9999.0</v>
      </c>
      <c r="W457" s="119"/>
      <c r="X457" s="119"/>
      <c r="Y457" s="146">
        <v>43735.0</v>
      </c>
      <c r="Z457" s="74">
        <v>9999.0</v>
      </c>
      <c r="AA457" s="74">
        <v>9999.0</v>
      </c>
      <c r="AB457" s="119"/>
      <c r="AC457" s="119"/>
      <c r="AD457" s="74" t="s">
        <v>24288</v>
      </c>
      <c r="AE457" s="74">
        <v>1.0</v>
      </c>
      <c r="AF457" s="74" t="s">
        <v>18902</v>
      </c>
      <c r="AG457" s="120">
        <v>6699.0</v>
      </c>
      <c r="AH457" s="74" t="s">
        <v>24290</v>
      </c>
      <c r="AI457" s="74" t="s">
        <v>24291</v>
      </c>
      <c r="AJ457" s="120">
        <v>458.0</v>
      </c>
    </row>
    <row r="458">
      <c r="A458" s="74" t="s">
        <v>24285</v>
      </c>
      <c r="B458" s="74" t="s">
        <v>6876</v>
      </c>
      <c r="C458" s="74" t="s">
        <v>6877</v>
      </c>
      <c r="D458" s="74" t="s">
        <v>11623</v>
      </c>
      <c r="E458" s="146">
        <v>43823.0</v>
      </c>
      <c r="F458" s="74" t="s">
        <v>24293</v>
      </c>
      <c r="G458" s="74">
        <v>58.0</v>
      </c>
      <c r="H458" s="74">
        <v>1.0</v>
      </c>
      <c r="I458" s="74">
        <v>2.0</v>
      </c>
      <c r="J458" s="119"/>
      <c r="K458" s="119"/>
      <c r="L458" s="74" t="s">
        <v>1128</v>
      </c>
      <c r="M458" s="74" t="s">
        <v>1128</v>
      </c>
      <c r="N458" s="133">
        <v>43832.0</v>
      </c>
      <c r="O458" s="74">
        <v>1.0</v>
      </c>
      <c r="P458" s="74">
        <v>1.0</v>
      </c>
      <c r="Q458" s="119"/>
      <c r="R458" s="74" t="s">
        <v>23991</v>
      </c>
      <c r="S458" s="119"/>
      <c r="T458" s="146">
        <v>43721.0</v>
      </c>
      <c r="U458" s="74">
        <v>36.06</v>
      </c>
      <c r="V458" s="74">
        <v>9999.0</v>
      </c>
      <c r="W458" s="119"/>
      <c r="X458" s="119"/>
      <c r="Y458" s="146">
        <v>43735.0</v>
      </c>
      <c r="Z458" s="74">
        <v>9999.0</v>
      </c>
      <c r="AA458" s="74">
        <v>36.27</v>
      </c>
      <c r="AB458" s="119"/>
      <c r="AC458" s="119"/>
      <c r="AD458" s="119"/>
      <c r="AE458" s="74">
        <v>1.0</v>
      </c>
      <c r="AF458" s="74" t="s">
        <v>18902</v>
      </c>
      <c r="AG458" s="120">
        <v>6700.0</v>
      </c>
      <c r="AH458" s="74" t="s">
        <v>24300</v>
      </c>
      <c r="AI458" s="74" t="s">
        <v>24303</v>
      </c>
      <c r="AJ458" s="120">
        <v>459.0</v>
      </c>
    </row>
    <row r="459">
      <c r="A459" s="74" t="s">
        <v>24293</v>
      </c>
      <c r="B459" s="74" t="s">
        <v>6876</v>
      </c>
      <c r="C459" s="74" t="s">
        <v>6877</v>
      </c>
      <c r="D459" s="74" t="s">
        <v>11623</v>
      </c>
      <c r="E459" s="146">
        <v>43823.0</v>
      </c>
      <c r="F459" s="74" t="s">
        <v>24306</v>
      </c>
      <c r="G459" s="74">
        <v>58.0</v>
      </c>
      <c r="H459" s="74">
        <v>1.0</v>
      </c>
      <c r="I459" s="74">
        <v>99.0</v>
      </c>
      <c r="J459" s="119"/>
      <c r="K459" s="119"/>
      <c r="L459" s="74" t="s">
        <v>1131</v>
      </c>
      <c r="M459" s="74" t="s">
        <v>1131</v>
      </c>
      <c r="N459" s="133">
        <v>43832.0</v>
      </c>
      <c r="O459" s="74">
        <v>1.0</v>
      </c>
      <c r="P459" s="74">
        <v>1.0</v>
      </c>
      <c r="Q459" s="119"/>
      <c r="R459" s="74" t="s">
        <v>23991</v>
      </c>
      <c r="S459" s="119"/>
      <c r="T459" s="146">
        <v>43721.0</v>
      </c>
      <c r="U459" s="74">
        <v>35.61</v>
      </c>
      <c r="V459" s="74">
        <v>9999.0</v>
      </c>
      <c r="W459" s="119"/>
      <c r="X459" s="119"/>
      <c r="Y459" s="146">
        <v>43735.0</v>
      </c>
      <c r="Z459" s="74">
        <v>9999.0</v>
      </c>
      <c r="AA459" s="74">
        <v>9999.0</v>
      </c>
      <c r="AB459" s="119"/>
      <c r="AC459" s="119"/>
      <c r="AD459" s="74" t="s">
        <v>24316</v>
      </c>
      <c r="AE459" s="74">
        <v>1.0</v>
      </c>
      <c r="AF459" s="74" t="s">
        <v>18902</v>
      </c>
      <c r="AG459" s="120">
        <v>6701.0</v>
      </c>
      <c r="AH459" s="74" t="s">
        <v>24317</v>
      </c>
      <c r="AI459" s="74" t="s">
        <v>24319</v>
      </c>
      <c r="AJ459" s="120">
        <v>460.0</v>
      </c>
    </row>
    <row r="460">
      <c r="A460" s="74" t="s">
        <v>24306</v>
      </c>
      <c r="B460" s="74" t="s">
        <v>6876</v>
      </c>
      <c r="C460" s="74" t="s">
        <v>6877</v>
      </c>
      <c r="D460" s="74" t="s">
        <v>11623</v>
      </c>
      <c r="E460" s="146">
        <v>43823.0</v>
      </c>
      <c r="F460" s="74" t="s">
        <v>24321</v>
      </c>
      <c r="G460" s="74">
        <v>65.0</v>
      </c>
      <c r="H460" s="74">
        <v>1.0</v>
      </c>
      <c r="I460" s="74">
        <v>3.0</v>
      </c>
      <c r="J460" s="119"/>
      <c r="K460" s="119"/>
      <c r="L460" s="74" t="s">
        <v>1132</v>
      </c>
      <c r="M460" s="74" t="s">
        <v>1132</v>
      </c>
      <c r="N460" s="133">
        <v>43832.0</v>
      </c>
      <c r="O460" s="74">
        <v>1.0</v>
      </c>
      <c r="P460" s="74">
        <v>1.0</v>
      </c>
      <c r="Q460" s="119"/>
      <c r="R460" s="74" t="s">
        <v>23991</v>
      </c>
      <c r="S460" s="119"/>
      <c r="T460" s="146">
        <v>43721.0</v>
      </c>
      <c r="U460" s="74">
        <v>33.6</v>
      </c>
      <c r="V460" s="74">
        <v>9999.0</v>
      </c>
      <c r="W460" s="119"/>
      <c r="X460" s="119"/>
      <c r="Y460" s="146">
        <v>43771.0</v>
      </c>
      <c r="Z460" s="74">
        <v>34.17</v>
      </c>
      <c r="AA460" s="74">
        <v>33.99</v>
      </c>
      <c r="AB460" s="119"/>
      <c r="AC460" s="119"/>
      <c r="AD460" s="119"/>
      <c r="AE460" s="74">
        <v>1.0</v>
      </c>
      <c r="AF460" s="74" t="s">
        <v>18902</v>
      </c>
      <c r="AG460" s="120">
        <v>6702.0</v>
      </c>
      <c r="AH460" s="74" t="s">
        <v>24326</v>
      </c>
      <c r="AI460" s="74" t="s">
        <v>24327</v>
      </c>
      <c r="AJ460" s="120">
        <v>461.0</v>
      </c>
    </row>
    <row r="461">
      <c r="A461" s="74" t="s">
        <v>24321</v>
      </c>
      <c r="B461" s="74" t="s">
        <v>6876</v>
      </c>
      <c r="C461" s="74" t="s">
        <v>6877</v>
      </c>
      <c r="D461" s="74" t="s">
        <v>11623</v>
      </c>
      <c r="E461" s="146">
        <v>43823.0</v>
      </c>
      <c r="F461" s="74" t="s">
        <v>24329</v>
      </c>
      <c r="G461" s="74">
        <v>65.0</v>
      </c>
      <c r="H461" s="74">
        <v>1.0</v>
      </c>
      <c r="I461" s="74">
        <v>99.0</v>
      </c>
      <c r="J461" s="119"/>
      <c r="K461" s="119"/>
      <c r="L461" s="74" t="s">
        <v>1136</v>
      </c>
      <c r="M461" s="74" t="s">
        <v>1136</v>
      </c>
      <c r="N461" s="133">
        <v>43832.0</v>
      </c>
      <c r="O461" s="74">
        <v>1.0</v>
      </c>
      <c r="P461" s="74">
        <v>1.0</v>
      </c>
      <c r="Q461" s="119"/>
      <c r="R461" s="74" t="s">
        <v>23991</v>
      </c>
      <c r="S461" s="119"/>
      <c r="T461" s="146">
        <v>43724.0</v>
      </c>
      <c r="U461" s="74">
        <v>38.2</v>
      </c>
      <c r="V461" s="74">
        <v>9999.0</v>
      </c>
      <c r="W461" s="119"/>
      <c r="X461" s="119"/>
      <c r="Y461" s="146">
        <v>43771.0</v>
      </c>
      <c r="Z461" s="74">
        <v>9999.0</v>
      </c>
      <c r="AA461" s="74">
        <v>9999.0</v>
      </c>
      <c r="AB461" s="119"/>
      <c r="AC461" s="119"/>
      <c r="AD461" s="74" t="s">
        <v>24333</v>
      </c>
      <c r="AE461" s="74">
        <v>1.0</v>
      </c>
      <c r="AF461" s="74" t="s">
        <v>18902</v>
      </c>
      <c r="AG461" s="120">
        <v>6703.0</v>
      </c>
      <c r="AH461" s="74" t="s">
        <v>24334</v>
      </c>
      <c r="AI461" s="74" t="s">
        <v>24335</v>
      </c>
      <c r="AJ461" s="120">
        <v>462.0</v>
      </c>
    </row>
    <row r="462">
      <c r="A462" s="74" t="s">
        <v>24336</v>
      </c>
      <c r="B462" s="74" t="s">
        <v>6876</v>
      </c>
      <c r="C462" s="74" t="s">
        <v>6877</v>
      </c>
      <c r="D462" s="74" t="s">
        <v>8493</v>
      </c>
      <c r="E462" s="146">
        <v>43830.0</v>
      </c>
      <c r="F462" s="74" t="s">
        <v>24338</v>
      </c>
      <c r="G462" s="74">
        <v>59.0</v>
      </c>
      <c r="H462" s="74">
        <v>1.0</v>
      </c>
      <c r="I462" s="74">
        <v>11.0</v>
      </c>
      <c r="J462" s="119"/>
      <c r="K462" s="119"/>
      <c r="L462" s="74" t="s">
        <v>1901</v>
      </c>
      <c r="M462" s="74" t="s">
        <v>1901</v>
      </c>
      <c r="N462" s="133">
        <v>43832.0</v>
      </c>
      <c r="O462" s="74">
        <v>1.0</v>
      </c>
      <c r="P462" s="74">
        <v>1.0</v>
      </c>
      <c r="Q462" s="119"/>
      <c r="R462" s="74" t="s">
        <v>24345</v>
      </c>
      <c r="S462" s="119"/>
      <c r="T462" s="146">
        <v>43826.0</v>
      </c>
      <c r="U462" s="74">
        <v>28.88</v>
      </c>
      <c r="V462" s="74">
        <v>28.55</v>
      </c>
      <c r="W462" s="119"/>
      <c r="X462" s="119"/>
      <c r="Y462" s="146">
        <v>43826.0</v>
      </c>
      <c r="Z462" s="74">
        <v>9999.0</v>
      </c>
      <c r="AA462" s="74">
        <v>9999.0</v>
      </c>
      <c r="AB462" s="119"/>
      <c r="AC462" s="119"/>
      <c r="AD462" s="119"/>
      <c r="AE462" s="74">
        <v>1.0</v>
      </c>
      <c r="AF462" s="74" t="s">
        <v>18902</v>
      </c>
      <c r="AG462" s="120">
        <v>6761.0</v>
      </c>
      <c r="AH462" s="74" t="s">
        <v>24348</v>
      </c>
      <c r="AI462" s="74" t="s">
        <v>24349</v>
      </c>
      <c r="AJ462" s="120">
        <v>463.0</v>
      </c>
    </row>
    <row r="463">
      <c r="A463" s="74" t="s">
        <v>24351</v>
      </c>
      <c r="B463" s="74" t="s">
        <v>6876</v>
      </c>
      <c r="C463" s="74" t="s">
        <v>6877</v>
      </c>
      <c r="D463" s="74" t="s">
        <v>8493</v>
      </c>
      <c r="E463" s="146">
        <v>43830.0</v>
      </c>
      <c r="F463" s="74" t="s">
        <v>24352</v>
      </c>
      <c r="G463" s="74">
        <v>59.0</v>
      </c>
      <c r="H463" s="74">
        <v>1.0</v>
      </c>
      <c r="I463" s="74">
        <v>11.0</v>
      </c>
      <c r="J463" s="119"/>
      <c r="K463" s="119"/>
      <c r="L463" s="74" t="s">
        <v>1904</v>
      </c>
      <c r="M463" s="74" t="s">
        <v>1904</v>
      </c>
      <c r="N463" s="133">
        <v>43832.0</v>
      </c>
      <c r="O463" s="74">
        <v>1.0</v>
      </c>
      <c r="P463" s="74">
        <v>1.0</v>
      </c>
      <c r="Q463" s="119"/>
      <c r="R463" s="74" t="s">
        <v>24345</v>
      </c>
      <c r="S463" s="119"/>
      <c r="T463" s="146">
        <v>43826.0</v>
      </c>
      <c r="U463" s="74">
        <v>22.54</v>
      </c>
      <c r="V463" s="74">
        <v>22.48</v>
      </c>
      <c r="W463" s="119"/>
      <c r="X463" s="119"/>
      <c r="Y463" s="146">
        <v>43826.0</v>
      </c>
      <c r="Z463" s="74">
        <v>9999.0</v>
      </c>
      <c r="AA463" s="74">
        <v>9999.0</v>
      </c>
      <c r="AB463" s="119"/>
      <c r="AC463" s="119"/>
      <c r="AD463" s="119"/>
      <c r="AE463" s="74">
        <v>1.0</v>
      </c>
      <c r="AF463" s="74" t="s">
        <v>18902</v>
      </c>
      <c r="AG463" s="120">
        <v>6762.0</v>
      </c>
      <c r="AH463" s="74" t="s">
        <v>24358</v>
      </c>
      <c r="AI463" s="74" t="s">
        <v>24359</v>
      </c>
      <c r="AJ463" s="120">
        <v>464.0</v>
      </c>
    </row>
    <row r="464">
      <c r="A464" s="74" t="s">
        <v>24352</v>
      </c>
      <c r="B464" s="74" t="s">
        <v>6876</v>
      </c>
      <c r="C464" s="74" t="s">
        <v>6877</v>
      </c>
      <c r="D464" s="74" t="s">
        <v>8493</v>
      </c>
      <c r="E464" s="146">
        <v>43830.0</v>
      </c>
      <c r="F464" s="74" t="s">
        <v>24360</v>
      </c>
      <c r="G464" s="74">
        <v>59.0</v>
      </c>
      <c r="H464" s="74">
        <v>1.0</v>
      </c>
      <c r="I464" s="74">
        <v>11.0</v>
      </c>
      <c r="J464" s="119"/>
      <c r="K464" s="119"/>
      <c r="L464" s="74" t="s">
        <v>1907</v>
      </c>
      <c r="M464" s="74" t="s">
        <v>1907</v>
      </c>
      <c r="N464" s="133">
        <v>43832.0</v>
      </c>
      <c r="O464" s="74">
        <v>1.0</v>
      </c>
      <c r="P464" s="74">
        <v>1.0</v>
      </c>
      <c r="Q464" s="119"/>
      <c r="R464" s="74" t="s">
        <v>24345</v>
      </c>
      <c r="S464" s="119"/>
      <c r="T464" s="146">
        <v>43826.0</v>
      </c>
      <c r="U464" s="74">
        <v>26.49</v>
      </c>
      <c r="V464" s="74">
        <v>26.64</v>
      </c>
      <c r="W464" s="119"/>
      <c r="X464" s="119"/>
      <c r="Y464" s="146">
        <v>43826.0</v>
      </c>
      <c r="Z464" s="74">
        <v>9999.0</v>
      </c>
      <c r="AA464" s="74">
        <v>9999.0</v>
      </c>
      <c r="AB464" s="119"/>
      <c r="AC464" s="119"/>
      <c r="AD464" s="119"/>
      <c r="AE464" s="74">
        <v>1.0</v>
      </c>
      <c r="AF464" s="74" t="s">
        <v>18902</v>
      </c>
      <c r="AG464" s="120">
        <v>6763.0</v>
      </c>
      <c r="AH464" s="74" t="s">
        <v>24364</v>
      </c>
      <c r="AI464" s="74" t="s">
        <v>24366</v>
      </c>
      <c r="AJ464" s="120">
        <v>465.0</v>
      </c>
    </row>
    <row r="465">
      <c r="A465" s="74" t="s">
        <v>24360</v>
      </c>
      <c r="B465" s="74" t="s">
        <v>6876</v>
      </c>
      <c r="C465" s="74" t="s">
        <v>6877</v>
      </c>
      <c r="D465" s="74" t="s">
        <v>8493</v>
      </c>
      <c r="E465" s="146">
        <v>43830.0</v>
      </c>
      <c r="F465" s="74" t="s">
        <v>24368</v>
      </c>
      <c r="G465" s="74">
        <v>59.0</v>
      </c>
      <c r="H465" s="74">
        <v>1.0</v>
      </c>
      <c r="I465" s="74">
        <v>11.0</v>
      </c>
      <c r="J465" s="119"/>
      <c r="K465" s="119"/>
      <c r="L465" s="74" t="s">
        <v>1910</v>
      </c>
      <c r="M465" s="74" t="s">
        <v>1910</v>
      </c>
      <c r="N465" s="133">
        <v>43832.0</v>
      </c>
      <c r="O465" s="74">
        <v>1.0</v>
      </c>
      <c r="P465" s="74">
        <v>1.0</v>
      </c>
      <c r="Q465" s="119"/>
      <c r="R465" s="74" t="s">
        <v>24345</v>
      </c>
      <c r="S465" s="119"/>
      <c r="T465" s="146">
        <v>43826.0</v>
      </c>
      <c r="U465" s="74">
        <v>9999.0</v>
      </c>
      <c r="V465" s="74">
        <v>27.69</v>
      </c>
      <c r="W465" s="119"/>
      <c r="X465" s="119"/>
      <c r="Y465" s="146">
        <v>43826.0</v>
      </c>
      <c r="Z465" s="74">
        <v>9999.0</v>
      </c>
      <c r="AA465" s="74">
        <v>40.0</v>
      </c>
      <c r="AB465" s="119"/>
      <c r="AC465" s="119"/>
      <c r="AD465" s="119"/>
      <c r="AE465" s="74">
        <v>1.0</v>
      </c>
      <c r="AF465" s="74" t="s">
        <v>18902</v>
      </c>
      <c r="AG465" s="120">
        <v>6764.0</v>
      </c>
      <c r="AH465" s="74" t="s">
        <v>24377</v>
      </c>
      <c r="AI465" s="74" t="s">
        <v>24379</v>
      </c>
      <c r="AJ465" s="120">
        <v>466.0</v>
      </c>
    </row>
    <row r="466">
      <c r="A466" s="74" t="s">
        <v>24368</v>
      </c>
      <c r="B466" s="74" t="s">
        <v>6876</v>
      </c>
      <c r="C466" s="74" t="s">
        <v>6877</v>
      </c>
      <c r="D466" s="74" t="s">
        <v>8493</v>
      </c>
      <c r="E466" s="146">
        <v>43830.0</v>
      </c>
      <c r="F466" s="74" t="s">
        <v>24381</v>
      </c>
      <c r="G466" s="74">
        <v>59.0</v>
      </c>
      <c r="H466" s="74">
        <v>1.0</v>
      </c>
      <c r="I466" s="74">
        <v>11.0</v>
      </c>
      <c r="J466" s="119"/>
      <c r="K466" s="119"/>
      <c r="L466" s="74" t="s">
        <v>1913</v>
      </c>
      <c r="M466" s="74" t="s">
        <v>1913</v>
      </c>
      <c r="N466" s="133">
        <v>43832.0</v>
      </c>
      <c r="O466" s="74">
        <v>1.0</v>
      </c>
      <c r="P466" s="74">
        <v>1.0</v>
      </c>
      <c r="Q466" s="119"/>
      <c r="R466" s="74" t="s">
        <v>24345</v>
      </c>
      <c r="S466" s="119"/>
      <c r="T466" s="146">
        <v>43826.0</v>
      </c>
      <c r="U466" s="74">
        <v>29.1</v>
      </c>
      <c r="V466" s="74">
        <v>28.59</v>
      </c>
      <c r="W466" s="119"/>
      <c r="X466" s="119"/>
      <c r="Y466" s="146">
        <v>43826.0</v>
      </c>
      <c r="Z466" s="74">
        <v>40.0</v>
      </c>
      <c r="AA466" s="74">
        <v>9999.0</v>
      </c>
      <c r="AB466" s="119"/>
      <c r="AC466" s="119"/>
      <c r="AD466" s="119"/>
      <c r="AE466" s="74">
        <v>1.0</v>
      </c>
      <c r="AF466" s="74" t="s">
        <v>18902</v>
      </c>
      <c r="AG466" s="120">
        <v>6765.0</v>
      </c>
      <c r="AH466" s="74" t="s">
        <v>24387</v>
      </c>
      <c r="AI466" s="74" t="s">
        <v>24389</v>
      </c>
      <c r="AJ466" s="120">
        <v>467.0</v>
      </c>
    </row>
    <row r="467">
      <c r="A467" s="74" t="s">
        <v>24390</v>
      </c>
      <c r="B467" s="74" t="s">
        <v>6876</v>
      </c>
      <c r="C467" s="74" t="s">
        <v>6877</v>
      </c>
      <c r="D467" s="74" t="s">
        <v>8493</v>
      </c>
      <c r="E467" s="146">
        <v>43830.0</v>
      </c>
      <c r="F467" s="74" t="s">
        <v>24392</v>
      </c>
      <c r="G467" s="74">
        <v>59.0</v>
      </c>
      <c r="H467" s="74">
        <v>1.0</v>
      </c>
      <c r="I467" s="74">
        <v>11.0</v>
      </c>
      <c r="J467" s="119"/>
      <c r="K467" s="119"/>
      <c r="L467" s="74" t="s">
        <v>1916</v>
      </c>
      <c r="M467" s="74" t="s">
        <v>1916</v>
      </c>
      <c r="N467" s="133">
        <v>43832.0</v>
      </c>
      <c r="O467" s="74">
        <v>1.0</v>
      </c>
      <c r="P467" s="74">
        <v>1.0</v>
      </c>
      <c r="Q467" s="119"/>
      <c r="R467" s="74" t="s">
        <v>24345</v>
      </c>
      <c r="S467" s="119"/>
      <c r="T467" s="146">
        <v>43826.0</v>
      </c>
      <c r="U467" s="74">
        <v>9999.0</v>
      </c>
      <c r="V467" s="74">
        <v>27.71</v>
      </c>
      <c r="W467" s="119"/>
      <c r="X467" s="119"/>
      <c r="Y467" s="146">
        <v>43826.0</v>
      </c>
      <c r="Z467" s="74">
        <v>40.0</v>
      </c>
      <c r="AA467" s="74">
        <v>9999.0</v>
      </c>
      <c r="AB467" s="119"/>
      <c r="AC467" s="119"/>
      <c r="AD467" s="119"/>
      <c r="AE467" s="74">
        <v>1.0</v>
      </c>
      <c r="AF467" s="74" t="s">
        <v>18902</v>
      </c>
      <c r="AG467" s="120">
        <v>6766.0</v>
      </c>
      <c r="AH467" s="74" t="s">
        <v>24403</v>
      </c>
      <c r="AI467" s="74" t="s">
        <v>24404</v>
      </c>
      <c r="AJ467" s="120">
        <v>468.0</v>
      </c>
    </row>
    <row r="468">
      <c r="A468" s="74" t="s">
        <v>24392</v>
      </c>
      <c r="B468" s="74" t="s">
        <v>6876</v>
      </c>
      <c r="C468" s="74" t="s">
        <v>6877</v>
      </c>
      <c r="D468" s="74" t="s">
        <v>8493</v>
      </c>
      <c r="E468" s="146">
        <v>43830.0</v>
      </c>
      <c r="F468" s="74" t="s">
        <v>24407</v>
      </c>
      <c r="G468" s="74">
        <v>59.0</v>
      </c>
      <c r="H468" s="74">
        <v>1.0</v>
      </c>
      <c r="I468" s="74">
        <v>99.0</v>
      </c>
      <c r="J468" s="119"/>
      <c r="K468" s="119"/>
      <c r="L468" s="74" t="s">
        <v>1912</v>
      </c>
      <c r="M468" s="74" t="s">
        <v>1912</v>
      </c>
      <c r="N468" s="133">
        <v>43832.0</v>
      </c>
      <c r="O468" s="74">
        <v>1.0</v>
      </c>
      <c r="P468" s="74">
        <v>1.0</v>
      </c>
      <c r="Q468" s="119"/>
      <c r="R468" s="74" t="s">
        <v>24345</v>
      </c>
      <c r="S468" s="119"/>
      <c r="T468" s="146">
        <v>43826.0</v>
      </c>
      <c r="U468" s="74">
        <v>9999.0</v>
      </c>
      <c r="V468" s="74">
        <v>9999.0</v>
      </c>
      <c r="W468" s="119"/>
      <c r="X468" s="119"/>
      <c r="Y468" s="146">
        <v>43826.0</v>
      </c>
      <c r="Z468" s="74">
        <v>9999.0</v>
      </c>
      <c r="AA468" s="74">
        <v>9999.0</v>
      </c>
      <c r="AB468" s="119"/>
      <c r="AC468" s="119"/>
      <c r="AD468" s="74" t="s">
        <v>20383</v>
      </c>
      <c r="AE468" s="74">
        <v>1.0</v>
      </c>
      <c r="AF468" s="74" t="s">
        <v>18902</v>
      </c>
      <c r="AG468" s="120">
        <v>6767.0</v>
      </c>
      <c r="AH468" s="74" t="s">
        <v>24415</v>
      </c>
      <c r="AI468" s="74" t="s">
        <v>24416</v>
      </c>
      <c r="AJ468" s="120">
        <v>469.0</v>
      </c>
    </row>
    <row r="469">
      <c r="A469" s="74" t="s">
        <v>24418</v>
      </c>
      <c r="B469" s="74" t="s">
        <v>6876</v>
      </c>
      <c r="C469" s="74" t="s">
        <v>6877</v>
      </c>
      <c r="D469" s="74" t="s">
        <v>8493</v>
      </c>
      <c r="E469" s="146">
        <v>43830.0</v>
      </c>
      <c r="F469" s="74" t="s">
        <v>24420</v>
      </c>
      <c r="G469" s="74">
        <v>59.0</v>
      </c>
      <c r="H469" s="74">
        <v>1.0</v>
      </c>
      <c r="I469" s="74">
        <v>11.0</v>
      </c>
      <c r="J469" s="119"/>
      <c r="K469" s="119"/>
      <c r="L469" s="74" t="s">
        <v>1920</v>
      </c>
      <c r="M469" s="74" t="s">
        <v>1920</v>
      </c>
      <c r="N469" s="133">
        <v>43832.0</v>
      </c>
      <c r="O469" s="74">
        <v>1.0</v>
      </c>
      <c r="P469" s="74">
        <v>1.0</v>
      </c>
      <c r="Q469" s="119"/>
      <c r="R469" s="74" t="s">
        <v>24345</v>
      </c>
      <c r="S469" s="119"/>
      <c r="T469" s="146">
        <v>43826.0</v>
      </c>
      <c r="U469" s="74">
        <v>25.87</v>
      </c>
      <c r="V469" s="74">
        <v>26.25</v>
      </c>
      <c r="W469" s="119"/>
      <c r="X469" s="119"/>
      <c r="Y469" s="146">
        <v>43826.0</v>
      </c>
      <c r="Z469" s="74">
        <v>9999.0</v>
      </c>
      <c r="AA469" s="74">
        <v>9999.0</v>
      </c>
      <c r="AB469" s="119"/>
      <c r="AC469" s="119"/>
      <c r="AD469" s="119"/>
      <c r="AE469" s="74">
        <v>1.0</v>
      </c>
      <c r="AF469" s="74" t="s">
        <v>18902</v>
      </c>
      <c r="AG469" s="120">
        <v>6768.0</v>
      </c>
      <c r="AH469" s="74" t="s">
        <v>24429</v>
      </c>
      <c r="AI469" s="74" t="s">
        <v>24430</v>
      </c>
      <c r="AJ469" s="120">
        <v>470.0</v>
      </c>
    </row>
    <row r="470">
      <c r="A470" s="74" t="s">
        <v>24420</v>
      </c>
      <c r="B470" s="74" t="s">
        <v>6876</v>
      </c>
      <c r="C470" s="74" t="s">
        <v>6877</v>
      </c>
      <c r="D470" s="74" t="s">
        <v>8493</v>
      </c>
      <c r="E470" s="146">
        <v>43830.0</v>
      </c>
      <c r="F470" s="74" t="s">
        <v>24433</v>
      </c>
      <c r="G470" s="74">
        <v>59.0</v>
      </c>
      <c r="H470" s="74">
        <v>1.0</v>
      </c>
      <c r="I470" s="74">
        <v>11.0</v>
      </c>
      <c r="J470" s="119"/>
      <c r="K470" s="119"/>
      <c r="L470" s="74" t="s">
        <v>1923</v>
      </c>
      <c r="M470" s="74" t="s">
        <v>1923</v>
      </c>
      <c r="N470" s="133">
        <v>43832.0</v>
      </c>
      <c r="O470" s="74">
        <v>1.0</v>
      </c>
      <c r="P470" s="74">
        <v>1.0</v>
      </c>
      <c r="Q470" s="119"/>
      <c r="R470" s="74" t="s">
        <v>24345</v>
      </c>
      <c r="S470" s="119"/>
      <c r="T470" s="146">
        <v>43826.0</v>
      </c>
      <c r="U470" s="74">
        <v>21.27</v>
      </c>
      <c r="V470" s="74">
        <v>21.01</v>
      </c>
      <c r="W470" s="119"/>
      <c r="X470" s="119"/>
      <c r="Y470" s="146">
        <v>43826.0</v>
      </c>
      <c r="Z470" s="74">
        <v>40.0</v>
      </c>
      <c r="AA470" s="74">
        <v>9999.0</v>
      </c>
      <c r="AB470" s="119"/>
      <c r="AC470" s="119"/>
      <c r="AD470" s="119"/>
      <c r="AE470" s="74">
        <v>1.0</v>
      </c>
      <c r="AF470" s="74" t="s">
        <v>18902</v>
      </c>
      <c r="AG470" s="120">
        <v>6769.0</v>
      </c>
      <c r="AH470" s="74" t="s">
        <v>24442</v>
      </c>
      <c r="AI470" s="74" t="s">
        <v>24444</v>
      </c>
      <c r="AJ470" s="120">
        <v>471.0</v>
      </c>
    </row>
    <row r="471">
      <c r="A471" s="74" t="s">
        <v>24433</v>
      </c>
      <c r="B471" s="74" t="s">
        <v>6876</v>
      </c>
      <c r="C471" s="74" t="s">
        <v>6877</v>
      </c>
      <c r="D471" s="74" t="s">
        <v>8493</v>
      </c>
      <c r="E471" s="146">
        <v>43830.0</v>
      </c>
      <c r="F471" s="74" t="s">
        <v>24445</v>
      </c>
      <c r="G471" s="74">
        <v>66.0</v>
      </c>
      <c r="H471" s="74">
        <v>1.0</v>
      </c>
      <c r="I471" s="74">
        <v>12.0</v>
      </c>
      <c r="J471" s="119"/>
      <c r="K471" s="119"/>
      <c r="L471" s="74" t="s">
        <v>1895</v>
      </c>
      <c r="M471" s="74" t="s">
        <v>1895</v>
      </c>
      <c r="N471" s="133">
        <v>43832.0</v>
      </c>
      <c r="O471" s="74">
        <v>1.0</v>
      </c>
      <c r="P471" s="74">
        <v>1.0</v>
      </c>
      <c r="Q471" s="119"/>
      <c r="R471" s="74" t="s">
        <v>24345</v>
      </c>
      <c r="S471" s="119"/>
      <c r="T471" s="146">
        <v>43826.0</v>
      </c>
      <c r="U471" s="74">
        <v>23.17</v>
      </c>
      <c r="V471" s="74">
        <v>23.31</v>
      </c>
      <c r="W471" s="119"/>
      <c r="X471" s="119"/>
      <c r="Y471" s="146">
        <v>43826.0</v>
      </c>
      <c r="Z471" s="74">
        <v>32.08</v>
      </c>
      <c r="AA471" s="74">
        <v>32.25</v>
      </c>
      <c r="AB471" s="119"/>
      <c r="AC471" s="119"/>
      <c r="AD471" s="119"/>
      <c r="AE471" s="74">
        <v>1.0</v>
      </c>
      <c r="AF471" s="74" t="s">
        <v>18902</v>
      </c>
      <c r="AG471" s="120">
        <v>6770.0</v>
      </c>
      <c r="AH471" s="74" t="s">
        <v>24449</v>
      </c>
      <c r="AI471" s="74" t="s">
        <v>24450</v>
      </c>
      <c r="AJ471" s="120">
        <v>472.0</v>
      </c>
    </row>
    <row r="472">
      <c r="A472" s="74" t="s">
        <v>24445</v>
      </c>
      <c r="B472" s="74" t="s">
        <v>6876</v>
      </c>
      <c r="C472" s="74" t="s">
        <v>6877</v>
      </c>
      <c r="D472" s="74" t="s">
        <v>8493</v>
      </c>
      <c r="E472" s="146">
        <v>43830.0</v>
      </c>
      <c r="F472" s="74" t="s">
        <v>24452</v>
      </c>
      <c r="G472" s="74">
        <v>59.0</v>
      </c>
      <c r="H472" s="74">
        <v>1.0</v>
      </c>
      <c r="I472" s="74">
        <v>12.0</v>
      </c>
      <c r="J472" s="119"/>
      <c r="K472" s="119"/>
      <c r="L472" s="74" t="s">
        <v>1898</v>
      </c>
      <c r="M472" s="74" t="s">
        <v>1898</v>
      </c>
      <c r="N472" s="133">
        <v>43832.0</v>
      </c>
      <c r="O472" s="74">
        <v>1.0</v>
      </c>
      <c r="P472" s="74">
        <v>1.0</v>
      </c>
      <c r="Q472" s="119"/>
      <c r="R472" s="74" t="s">
        <v>24345</v>
      </c>
      <c r="S472" s="119"/>
      <c r="T472" s="146">
        <v>43826.0</v>
      </c>
      <c r="U472" s="74">
        <v>21.97</v>
      </c>
      <c r="V472" s="74">
        <v>22.33</v>
      </c>
      <c r="W472" s="119"/>
      <c r="X472" s="119"/>
      <c r="Y472" s="146">
        <v>43826.0</v>
      </c>
      <c r="Z472" s="74">
        <v>34.36</v>
      </c>
      <c r="AA472" s="74">
        <v>34.94</v>
      </c>
      <c r="AB472" s="119"/>
      <c r="AC472" s="119"/>
      <c r="AD472" s="119"/>
      <c r="AE472" s="74">
        <v>1.0</v>
      </c>
      <c r="AF472" s="74" t="s">
        <v>18902</v>
      </c>
      <c r="AG472" s="120">
        <v>6771.0</v>
      </c>
      <c r="AH472" s="74" t="s">
        <v>24461</v>
      </c>
      <c r="AI472" s="74" t="s">
        <v>24462</v>
      </c>
      <c r="AJ472" s="120">
        <v>473.0</v>
      </c>
    </row>
    <row r="473">
      <c r="A473" s="74" t="s">
        <v>24452</v>
      </c>
      <c r="B473" s="74" t="s">
        <v>6876</v>
      </c>
      <c r="C473" s="74" t="s">
        <v>6877</v>
      </c>
      <c r="D473" s="74" t="s">
        <v>8493</v>
      </c>
      <c r="E473" s="146">
        <v>43830.0</v>
      </c>
      <c r="F473" s="74" t="s">
        <v>24466</v>
      </c>
      <c r="G473" s="74">
        <v>59.0</v>
      </c>
      <c r="H473" s="74">
        <v>1.0</v>
      </c>
      <c r="I473" s="74">
        <v>99.0</v>
      </c>
      <c r="J473" s="119"/>
      <c r="K473" s="119"/>
      <c r="L473" s="74" t="s">
        <v>1925</v>
      </c>
      <c r="M473" s="74" t="s">
        <v>1925</v>
      </c>
      <c r="N473" s="133">
        <v>43832.0</v>
      </c>
      <c r="O473" s="74">
        <v>1.0</v>
      </c>
      <c r="P473" s="74">
        <v>1.0</v>
      </c>
      <c r="Q473" s="119"/>
      <c r="R473" s="74" t="s">
        <v>24345</v>
      </c>
      <c r="S473" s="119"/>
      <c r="T473" s="146">
        <v>43826.0</v>
      </c>
      <c r="U473" s="74">
        <v>9999.0</v>
      </c>
      <c r="V473" s="74">
        <v>9999.0</v>
      </c>
      <c r="W473" s="119"/>
      <c r="X473" s="119"/>
      <c r="Y473" s="146">
        <v>43826.0</v>
      </c>
      <c r="Z473" s="74">
        <v>9999.0</v>
      </c>
      <c r="AA473" s="74">
        <v>9999.0</v>
      </c>
      <c r="AB473" s="119"/>
      <c r="AC473" s="119"/>
      <c r="AD473" s="74" t="s">
        <v>20427</v>
      </c>
      <c r="AE473" s="74">
        <v>1.0</v>
      </c>
      <c r="AF473" s="74" t="s">
        <v>18902</v>
      </c>
      <c r="AG473" s="120">
        <v>6772.0</v>
      </c>
      <c r="AH473" s="74" t="s">
        <v>24470</v>
      </c>
      <c r="AI473" s="74" t="s">
        <v>24471</v>
      </c>
      <c r="AJ473" s="120">
        <v>474.0</v>
      </c>
    </row>
    <row r="474">
      <c r="A474" s="74" t="s">
        <v>24466</v>
      </c>
      <c r="B474" s="74" t="s">
        <v>6876</v>
      </c>
      <c r="C474" s="74" t="s">
        <v>6877</v>
      </c>
      <c r="D474" s="74" t="s">
        <v>8493</v>
      </c>
      <c r="E474" s="146">
        <v>43830.0</v>
      </c>
      <c r="F474" s="74" t="s">
        <v>24476</v>
      </c>
      <c r="G474" s="74">
        <v>59.0</v>
      </c>
      <c r="H474" s="74">
        <v>1.0</v>
      </c>
      <c r="I474" s="74">
        <v>11.0</v>
      </c>
      <c r="J474" s="119"/>
      <c r="K474" s="119"/>
      <c r="L474" s="74" t="s">
        <v>1926</v>
      </c>
      <c r="M474" s="74" t="s">
        <v>1926</v>
      </c>
      <c r="N474" s="133">
        <v>43832.0</v>
      </c>
      <c r="O474" s="74">
        <v>1.0</v>
      </c>
      <c r="P474" s="74">
        <v>1.0</v>
      </c>
      <c r="Q474" s="119"/>
      <c r="R474" s="74" t="s">
        <v>24345</v>
      </c>
      <c r="S474" s="119"/>
      <c r="T474" s="146">
        <v>43826.0</v>
      </c>
      <c r="U474" s="74">
        <v>24.41</v>
      </c>
      <c r="V474" s="74">
        <v>24.05</v>
      </c>
      <c r="W474" s="119"/>
      <c r="X474" s="119"/>
      <c r="Y474" s="146">
        <v>43826.0</v>
      </c>
      <c r="Z474" s="74">
        <v>38.67</v>
      </c>
      <c r="AA474" s="74">
        <v>40.0</v>
      </c>
      <c r="AB474" s="119"/>
      <c r="AC474" s="119"/>
      <c r="AD474" s="119"/>
      <c r="AE474" s="74">
        <v>1.0</v>
      </c>
      <c r="AF474" s="74" t="s">
        <v>18902</v>
      </c>
      <c r="AG474" s="120">
        <v>6773.0</v>
      </c>
      <c r="AH474" s="74" t="s">
        <v>24487</v>
      </c>
      <c r="AI474" s="74" t="s">
        <v>24489</v>
      </c>
      <c r="AJ474" s="120">
        <v>475.0</v>
      </c>
    </row>
    <row r="475">
      <c r="A475" s="74" t="s">
        <v>24476</v>
      </c>
      <c r="B475" s="74" t="s">
        <v>6876</v>
      </c>
      <c r="C475" s="74" t="s">
        <v>6877</v>
      </c>
      <c r="D475" s="74" t="s">
        <v>8493</v>
      </c>
      <c r="E475" s="146">
        <v>43830.0</v>
      </c>
      <c r="F475" s="74" t="s">
        <v>24491</v>
      </c>
      <c r="G475" s="74">
        <v>59.0</v>
      </c>
      <c r="H475" s="74">
        <v>1.0</v>
      </c>
      <c r="I475" s="74">
        <v>11.0</v>
      </c>
      <c r="J475" s="119"/>
      <c r="K475" s="119"/>
      <c r="L475" s="74" t="s">
        <v>1929</v>
      </c>
      <c r="M475" s="74" t="s">
        <v>1929</v>
      </c>
      <c r="N475" s="133">
        <v>43832.0</v>
      </c>
      <c r="O475" s="74">
        <v>1.0</v>
      </c>
      <c r="P475" s="74">
        <v>1.0</v>
      </c>
      <c r="Q475" s="119"/>
      <c r="R475" s="74" t="s">
        <v>24345</v>
      </c>
      <c r="S475" s="119"/>
      <c r="T475" s="146">
        <v>43826.0</v>
      </c>
      <c r="U475" s="74">
        <v>26.16</v>
      </c>
      <c r="V475" s="74">
        <v>25.95</v>
      </c>
      <c r="W475" s="119"/>
      <c r="X475" s="119"/>
      <c r="Y475" s="146">
        <v>43826.0</v>
      </c>
      <c r="Z475" s="74">
        <v>9999.0</v>
      </c>
      <c r="AA475" s="74">
        <v>40.0</v>
      </c>
      <c r="AB475" s="119"/>
      <c r="AC475" s="119"/>
      <c r="AD475" s="119"/>
      <c r="AE475" s="74">
        <v>1.0</v>
      </c>
      <c r="AF475" s="74" t="s">
        <v>18902</v>
      </c>
      <c r="AG475" s="120">
        <v>6774.0</v>
      </c>
      <c r="AH475" s="74" t="s">
        <v>24495</v>
      </c>
      <c r="AI475" s="74" t="s">
        <v>24496</v>
      </c>
      <c r="AJ475" s="120">
        <v>476.0</v>
      </c>
    </row>
    <row r="476">
      <c r="A476" s="74" t="s">
        <v>24491</v>
      </c>
      <c r="B476" s="74" t="s">
        <v>6876</v>
      </c>
      <c r="C476" s="74" t="s">
        <v>6877</v>
      </c>
      <c r="D476" s="74" t="s">
        <v>8493</v>
      </c>
      <c r="E476" s="146">
        <v>43830.0</v>
      </c>
      <c r="F476" s="74" t="s">
        <v>24499</v>
      </c>
      <c r="G476" s="74">
        <v>59.0</v>
      </c>
      <c r="H476" s="74">
        <v>1.0</v>
      </c>
      <c r="I476" s="74">
        <v>11.0</v>
      </c>
      <c r="J476" s="119"/>
      <c r="K476" s="119"/>
      <c r="L476" s="74" t="s">
        <v>809</v>
      </c>
      <c r="M476" s="74" t="s">
        <v>809</v>
      </c>
      <c r="N476" s="133">
        <v>43832.0</v>
      </c>
      <c r="O476" s="74">
        <v>1.0</v>
      </c>
      <c r="P476" s="74">
        <v>1.0</v>
      </c>
      <c r="Q476" s="119"/>
      <c r="R476" s="74" t="s">
        <v>24505</v>
      </c>
      <c r="S476" s="119"/>
      <c r="T476" s="146">
        <v>43817.0</v>
      </c>
      <c r="U476" s="74">
        <v>9999.0</v>
      </c>
      <c r="V476" s="74">
        <v>9999.0</v>
      </c>
      <c r="W476" s="119"/>
      <c r="X476" s="119"/>
      <c r="Y476" s="146">
        <v>43826.0</v>
      </c>
      <c r="Z476" s="74">
        <v>9999.0</v>
      </c>
      <c r="AA476" s="74">
        <v>40.0</v>
      </c>
      <c r="AB476" s="119"/>
      <c r="AC476" s="119"/>
      <c r="AD476" s="119"/>
      <c r="AE476" s="74">
        <v>1.0</v>
      </c>
      <c r="AF476" s="74" t="s">
        <v>18902</v>
      </c>
      <c r="AG476" s="120">
        <v>6775.0</v>
      </c>
      <c r="AH476" s="74" t="s">
        <v>24513</v>
      </c>
      <c r="AI476" s="74" t="s">
        <v>24515</v>
      </c>
      <c r="AJ476" s="120">
        <v>477.0</v>
      </c>
    </row>
    <row r="477">
      <c r="A477" s="74" t="s">
        <v>24499</v>
      </c>
      <c r="B477" s="74" t="s">
        <v>6876</v>
      </c>
      <c r="C477" s="74" t="s">
        <v>6877</v>
      </c>
      <c r="D477" s="74" t="s">
        <v>8493</v>
      </c>
      <c r="E477" s="146">
        <v>43830.0</v>
      </c>
      <c r="F477" s="74" t="s">
        <v>24517</v>
      </c>
      <c r="G477" s="74">
        <v>58.0</v>
      </c>
      <c r="H477" s="74">
        <v>1.0</v>
      </c>
      <c r="I477" s="74">
        <v>11.0</v>
      </c>
      <c r="J477" s="119"/>
      <c r="K477" s="119"/>
      <c r="L477" s="74" t="s">
        <v>811</v>
      </c>
      <c r="M477" s="74" t="s">
        <v>811</v>
      </c>
      <c r="N477" s="133">
        <v>43832.0</v>
      </c>
      <c r="O477" s="74">
        <v>1.0</v>
      </c>
      <c r="P477" s="74">
        <v>1.0</v>
      </c>
      <c r="Q477" s="119"/>
      <c r="R477" s="74" t="s">
        <v>24505</v>
      </c>
      <c r="S477" s="119"/>
      <c r="T477" s="146">
        <v>43826.0</v>
      </c>
      <c r="U477" s="74">
        <v>9999.0</v>
      </c>
      <c r="V477" s="74">
        <v>28.07</v>
      </c>
      <c r="W477" s="119"/>
      <c r="X477" s="119"/>
      <c r="Y477" s="146">
        <v>43826.0</v>
      </c>
      <c r="Z477" s="74">
        <v>9999.0</v>
      </c>
      <c r="AA477" s="74">
        <v>9999.0</v>
      </c>
      <c r="AB477" s="119"/>
      <c r="AC477" s="119"/>
      <c r="AD477" s="119"/>
      <c r="AE477" s="74">
        <v>1.0</v>
      </c>
      <c r="AF477" s="74" t="s">
        <v>18902</v>
      </c>
      <c r="AG477" s="120">
        <v>6776.0</v>
      </c>
      <c r="AH477" s="74" t="s">
        <v>24525</v>
      </c>
      <c r="AI477" s="74" t="s">
        <v>24526</v>
      </c>
      <c r="AJ477" s="120">
        <v>478.0</v>
      </c>
    </row>
    <row r="478">
      <c r="A478" s="74" t="s">
        <v>24517</v>
      </c>
      <c r="B478" s="74" t="s">
        <v>6876</v>
      </c>
      <c r="C478" s="74" t="s">
        <v>6877</v>
      </c>
      <c r="D478" s="74" t="s">
        <v>8493</v>
      </c>
      <c r="E478" s="146">
        <v>43830.0</v>
      </c>
      <c r="F478" s="74" t="s">
        <v>24528</v>
      </c>
      <c r="G478" s="74">
        <v>57.0</v>
      </c>
      <c r="H478" s="74">
        <v>1.0</v>
      </c>
      <c r="I478" s="74">
        <v>12.0</v>
      </c>
      <c r="J478" s="119"/>
      <c r="K478" s="119"/>
      <c r="L478" s="74" t="s">
        <v>816</v>
      </c>
      <c r="M478" s="74" t="s">
        <v>816</v>
      </c>
      <c r="N478" s="133">
        <v>43832.0</v>
      </c>
      <c r="O478" s="74">
        <v>1.0</v>
      </c>
      <c r="P478" s="74">
        <v>1.0</v>
      </c>
      <c r="Q478" s="119"/>
      <c r="R478" s="74" t="s">
        <v>24532</v>
      </c>
      <c r="S478" s="119"/>
      <c r="T478" s="146">
        <v>43686.0</v>
      </c>
      <c r="U478" s="74">
        <v>9999.0</v>
      </c>
      <c r="V478" s="74">
        <v>9999.0</v>
      </c>
      <c r="W478" s="119"/>
      <c r="X478" s="119"/>
      <c r="Y478" s="146">
        <v>43686.0</v>
      </c>
      <c r="Z478" s="74">
        <v>9999.0</v>
      </c>
      <c r="AA478" s="74">
        <v>9999.0</v>
      </c>
      <c r="AB478" s="119"/>
      <c r="AC478" s="119"/>
      <c r="AD478" s="119"/>
      <c r="AE478" s="74">
        <v>1.0</v>
      </c>
      <c r="AF478" s="74" t="s">
        <v>18902</v>
      </c>
      <c r="AG478" s="120">
        <v>6777.0</v>
      </c>
      <c r="AH478" s="74" t="s">
        <v>24540</v>
      </c>
      <c r="AI478" s="74" t="s">
        <v>24542</v>
      </c>
      <c r="AJ478" s="120">
        <v>479.0</v>
      </c>
    </row>
    <row r="479">
      <c r="A479" s="74" t="s">
        <v>24528</v>
      </c>
      <c r="B479" s="74" t="s">
        <v>6876</v>
      </c>
      <c r="C479" s="74" t="s">
        <v>6877</v>
      </c>
      <c r="D479" s="74" t="s">
        <v>8493</v>
      </c>
      <c r="E479" s="146">
        <v>43830.0</v>
      </c>
      <c r="F479" s="74" t="s">
        <v>24546</v>
      </c>
      <c r="G479" s="74">
        <v>57.0</v>
      </c>
      <c r="H479" s="74">
        <v>1.0</v>
      </c>
      <c r="I479" s="74">
        <v>12.0</v>
      </c>
      <c r="J479" s="119"/>
      <c r="K479" s="119"/>
      <c r="L479" s="74" t="s">
        <v>818</v>
      </c>
      <c r="M479" s="74" t="s">
        <v>818</v>
      </c>
      <c r="N479" s="133">
        <v>43832.0</v>
      </c>
      <c r="O479" s="74">
        <v>1.0</v>
      </c>
      <c r="P479" s="74">
        <v>1.0</v>
      </c>
      <c r="Q479" s="119"/>
      <c r="R479" s="74" t="s">
        <v>24532</v>
      </c>
      <c r="S479" s="119"/>
      <c r="T479" s="146">
        <v>43686.0</v>
      </c>
      <c r="U479" s="74">
        <v>9999.0</v>
      </c>
      <c r="V479" s="74">
        <v>9999.0</v>
      </c>
      <c r="W479" s="119"/>
      <c r="X479" s="119"/>
      <c r="Y479" s="146">
        <v>43686.0</v>
      </c>
      <c r="Z479" s="74">
        <v>9999.0</v>
      </c>
      <c r="AA479" s="74">
        <v>9999.0</v>
      </c>
      <c r="AB479" s="119"/>
      <c r="AC479" s="119"/>
      <c r="AD479" s="119"/>
      <c r="AE479" s="74">
        <v>1.0</v>
      </c>
      <c r="AF479" s="74" t="s">
        <v>18902</v>
      </c>
      <c r="AG479" s="120">
        <v>6778.0</v>
      </c>
      <c r="AH479" s="74" t="s">
        <v>24556</v>
      </c>
      <c r="AI479" s="74" t="s">
        <v>24558</v>
      </c>
      <c r="AJ479" s="120">
        <v>480.0</v>
      </c>
    </row>
    <row r="480">
      <c r="A480" s="74" t="s">
        <v>24559</v>
      </c>
      <c r="B480" s="74" t="s">
        <v>6876</v>
      </c>
      <c r="C480" s="74" t="s">
        <v>6877</v>
      </c>
      <c r="D480" s="74" t="s">
        <v>8493</v>
      </c>
      <c r="E480" s="146">
        <v>43830.0</v>
      </c>
      <c r="F480" s="74" t="s">
        <v>24561</v>
      </c>
      <c r="G480" s="74">
        <v>57.0</v>
      </c>
      <c r="H480" s="74">
        <v>1.0</v>
      </c>
      <c r="I480" s="74">
        <v>12.0</v>
      </c>
      <c r="J480" s="119"/>
      <c r="K480" s="119"/>
      <c r="L480" s="74" t="s">
        <v>819</v>
      </c>
      <c r="M480" s="74" t="s">
        <v>819</v>
      </c>
      <c r="N480" s="133">
        <v>43832.0</v>
      </c>
      <c r="O480" s="74">
        <v>1.0</v>
      </c>
      <c r="P480" s="74">
        <v>1.0</v>
      </c>
      <c r="Q480" s="119"/>
      <c r="R480" s="74" t="s">
        <v>24532</v>
      </c>
      <c r="S480" s="119"/>
      <c r="T480" s="146">
        <v>43686.0</v>
      </c>
      <c r="U480" s="74">
        <v>9999.0</v>
      </c>
      <c r="V480" s="74">
        <v>9999.0</v>
      </c>
      <c r="W480" s="119"/>
      <c r="X480" s="119"/>
      <c r="Y480" s="146">
        <v>43686.0</v>
      </c>
      <c r="Z480" s="74">
        <v>9999.0</v>
      </c>
      <c r="AA480" s="74">
        <v>9999.0</v>
      </c>
      <c r="AB480" s="119"/>
      <c r="AC480" s="119"/>
      <c r="AD480" s="119"/>
      <c r="AE480" s="74">
        <v>1.0</v>
      </c>
      <c r="AF480" s="74" t="s">
        <v>18902</v>
      </c>
      <c r="AG480" s="120">
        <v>6779.0</v>
      </c>
      <c r="AH480" s="74" t="s">
        <v>24574</v>
      </c>
      <c r="AI480" s="74" t="s">
        <v>24576</v>
      </c>
      <c r="AJ480" s="120">
        <v>481.0</v>
      </c>
    </row>
    <row r="481">
      <c r="A481" s="74" t="s">
        <v>24561</v>
      </c>
      <c r="B481" s="74" t="s">
        <v>6876</v>
      </c>
      <c r="C481" s="74" t="s">
        <v>6877</v>
      </c>
      <c r="D481" s="74" t="s">
        <v>8493</v>
      </c>
      <c r="E481" s="146">
        <v>43830.0</v>
      </c>
      <c r="F481" s="74" t="s">
        <v>24581</v>
      </c>
      <c r="G481" s="74">
        <v>57.0</v>
      </c>
      <c r="H481" s="74">
        <v>1.0</v>
      </c>
      <c r="I481" s="74">
        <v>12.0</v>
      </c>
      <c r="J481" s="119"/>
      <c r="K481" s="119"/>
      <c r="L481" s="74" t="s">
        <v>820</v>
      </c>
      <c r="M481" s="74" t="s">
        <v>820</v>
      </c>
      <c r="N481" s="133">
        <v>43832.0</v>
      </c>
      <c r="O481" s="74">
        <v>1.0</v>
      </c>
      <c r="P481" s="74">
        <v>1.0</v>
      </c>
      <c r="Q481" s="119"/>
      <c r="R481" s="74" t="s">
        <v>24532</v>
      </c>
      <c r="S481" s="119"/>
      <c r="T481" s="146">
        <v>43686.0</v>
      </c>
      <c r="U481" s="74">
        <v>9999.0</v>
      </c>
      <c r="V481" s="74">
        <v>9999.0</v>
      </c>
      <c r="W481" s="119"/>
      <c r="X481" s="119"/>
      <c r="Y481" s="146">
        <v>43686.0</v>
      </c>
      <c r="Z481" s="74">
        <v>9999.0</v>
      </c>
      <c r="AA481" s="74">
        <v>9999.0</v>
      </c>
      <c r="AB481" s="119"/>
      <c r="AC481" s="119"/>
      <c r="AD481" s="119"/>
      <c r="AE481" s="74">
        <v>1.0</v>
      </c>
      <c r="AF481" s="74" t="s">
        <v>18902</v>
      </c>
      <c r="AG481" s="120">
        <v>6780.0</v>
      </c>
      <c r="AH481" s="74" t="s">
        <v>24587</v>
      </c>
      <c r="AI481" s="74" t="s">
        <v>24588</v>
      </c>
      <c r="AJ481" s="120">
        <v>482.0</v>
      </c>
    </row>
    <row r="482">
      <c r="A482" s="74" t="s">
        <v>24581</v>
      </c>
      <c r="B482" s="74" t="s">
        <v>6876</v>
      </c>
      <c r="C482" s="74" t="s">
        <v>6877</v>
      </c>
      <c r="D482" s="74" t="s">
        <v>8493</v>
      </c>
      <c r="E482" s="146">
        <v>43830.0</v>
      </c>
      <c r="F482" s="74" t="s">
        <v>24596</v>
      </c>
      <c r="G482" s="74">
        <v>66.0</v>
      </c>
      <c r="H482" s="74">
        <v>1.0</v>
      </c>
      <c r="I482" s="74">
        <v>12.0</v>
      </c>
      <c r="J482" s="119"/>
      <c r="K482" s="119"/>
      <c r="L482" s="74" t="s">
        <v>822</v>
      </c>
      <c r="M482" s="74" t="s">
        <v>822</v>
      </c>
      <c r="N482" s="133">
        <v>43832.0</v>
      </c>
      <c r="O482" s="74">
        <v>1.0</v>
      </c>
      <c r="P482" s="74">
        <v>1.0</v>
      </c>
      <c r="Q482" s="119"/>
      <c r="R482" s="74" t="s">
        <v>24532</v>
      </c>
      <c r="S482" s="119"/>
      <c r="T482" s="146">
        <v>43686.0</v>
      </c>
      <c r="U482" s="74">
        <v>9999.0</v>
      </c>
      <c r="V482" s="74">
        <v>9999.0</v>
      </c>
      <c r="W482" s="119"/>
      <c r="X482" s="119"/>
      <c r="Y482" s="146">
        <v>43686.0</v>
      </c>
      <c r="Z482" s="74">
        <v>9999.0</v>
      </c>
      <c r="AA482" s="74">
        <v>9999.0</v>
      </c>
      <c r="AB482" s="119"/>
      <c r="AC482" s="119"/>
      <c r="AD482" s="119"/>
      <c r="AE482" s="74">
        <v>1.0</v>
      </c>
      <c r="AF482" s="74" t="s">
        <v>18902</v>
      </c>
      <c r="AG482" s="120">
        <v>6781.0</v>
      </c>
      <c r="AH482" s="74" t="s">
        <v>24601</v>
      </c>
      <c r="AI482" s="74" t="s">
        <v>24602</v>
      </c>
      <c r="AJ482" s="120">
        <v>483.0</v>
      </c>
    </row>
    <row r="483">
      <c r="A483" s="74" t="s">
        <v>24596</v>
      </c>
      <c r="B483" s="74" t="s">
        <v>6876</v>
      </c>
      <c r="C483" s="74" t="s">
        <v>6877</v>
      </c>
      <c r="D483" s="74" t="s">
        <v>8493</v>
      </c>
      <c r="E483" s="146">
        <v>43830.0</v>
      </c>
      <c r="F483" s="74" t="s">
        <v>24605</v>
      </c>
      <c r="G483" s="74">
        <v>66.0</v>
      </c>
      <c r="H483" s="74">
        <v>1.0</v>
      </c>
      <c r="I483" s="74">
        <v>12.0</v>
      </c>
      <c r="J483" s="119"/>
      <c r="K483" s="119"/>
      <c r="L483" s="74" t="s">
        <v>823</v>
      </c>
      <c r="M483" s="74" t="s">
        <v>823</v>
      </c>
      <c r="N483" s="133">
        <v>43832.0</v>
      </c>
      <c r="O483" s="74">
        <v>1.0</v>
      </c>
      <c r="P483" s="74">
        <v>1.0</v>
      </c>
      <c r="Q483" s="119"/>
      <c r="R483" s="74" t="s">
        <v>24532</v>
      </c>
      <c r="S483" s="119"/>
      <c r="T483" s="146">
        <v>43686.0</v>
      </c>
      <c r="U483" s="74">
        <v>9999.0</v>
      </c>
      <c r="V483" s="74">
        <v>9999.0</v>
      </c>
      <c r="W483" s="119"/>
      <c r="X483" s="119"/>
      <c r="Y483" s="146">
        <v>43686.0</v>
      </c>
      <c r="Z483" s="74">
        <v>9999.0</v>
      </c>
      <c r="AA483" s="74">
        <v>9999.0</v>
      </c>
      <c r="AB483" s="119"/>
      <c r="AC483" s="119"/>
      <c r="AD483" s="119"/>
      <c r="AE483" s="74">
        <v>1.0</v>
      </c>
      <c r="AF483" s="74" t="s">
        <v>18902</v>
      </c>
      <c r="AG483" s="120">
        <v>6782.0</v>
      </c>
      <c r="AH483" s="74" t="s">
        <v>24616</v>
      </c>
      <c r="AI483" s="74" t="s">
        <v>24617</v>
      </c>
      <c r="AJ483" s="120">
        <v>484.0</v>
      </c>
    </row>
    <row r="484">
      <c r="A484" s="74" t="s">
        <v>24605</v>
      </c>
      <c r="B484" s="74" t="s">
        <v>6876</v>
      </c>
      <c r="C484" s="74" t="s">
        <v>6877</v>
      </c>
      <c r="D484" s="74" t="s">
        <v>8493</v>
      </c>
      <c r="E484" s="146">
        <v>43830.0</v>
      </c>
      <c r="F484" s="74" t="s">
        <v>24624</v>
      </c>
      <c r="G484" s="74">
        <v>59.0</v>
      </c>
      <c r="H484" s="74">
        <v>1.0</v>
      </c>
      <c r="I484" s="74">
        <v>12.0</v>
      </c>
      <c r="J484" s="119"/>
      <c r="K484" s="119"/>
      <c r="L484" s="74" t="s">
        <v>824</v>
      </c>
      <c r="M484" s="74" t="s">
        <v>824</v>
      </c>
      <c r="N484" s="133">
        <v>43832.0</v>
      </c>
      <c r="O484" s="74">
        <v>1.0</v>
      </c>
      <c r="P484" s="74">
        <v>1.0</v>
      </c>
      <c r="Q484" s="119"/>
      <c r="R484" s="74" t="s">
        <v>24532</v>
      </c>
      <c r="S484" s="119"/>
      <c r="T484" s="146">
        <v>43686.0</v>
      </c>
      <c r="U484" s="74">
        <v>9999.0</v>
      </c>
      <c r="V484" s="74">
        <v>9999.0</v>
      </c>
      <c r="W484" s="119"/>
      <c r="X484" s="119"/>
      <c r="Y484" s="146">
        <v>43686.0</v>
      </c>
      <c r="Z484" s="74">
        <v>9999.0</v>
      </c>
      <c r="AA484" s="74">
        <v>9999.0</v>
      </c>
      <c r="AB484" s="119"/>
      <c r="AC484" s="119"/>
      <c r="AD484" s="119"/>
      <c r="AE484" s="74">
        <v>1.0</v>
      </c>
      <c r="AF484" s="74" t="s">
        <v>18902</v>
      </c>
      <c r="AG484" s="120">
        <v>6783.0</v>
      </c>
      <c r="AH484" s="74" t="s">
        <v>24631</v>
      </c>
      <c r="AI484" s="74" t="s">
        <v>24632</v>
      </c>
      <c r="AJ484" s="120">
        <v>485.0</v>
      </c>
    </row>
    <row r="485">
      <c r="A485" s="74" t="s">
        <v>24624</v>
      </c>
      <c r="B485" s="74" t="s">
        <v>6876</v>
      </c>
      <c r="C485" s="74" t="s">
        <v>6877</v>
      </c>
      <c r="D485" s="74" t="s">
        <v>8493</v>
      </c>
      <c r="E485" s="146">
        <v>43830.0</v>
      </c>
      <c r="F485" s="74" t="s">
        <v>24633</v>
      </c>
      <c r="G485" s="74">
        <v>59.0</v>
      </c>
      <c r="H485" s="74">
        <v>1.0</v>
      </c>
      <c r="I485" s="74">
        <v>12.0</v>
      </c>
      <c r="J485" s="119"/>
      <c r="K485" s="119"/>
      <c r="L485" s="74" t="s">
        <v>826</v>
      </c>
      <c r="M485" s="74" t="s">
        <v>826</v>
      </c>
      <c r="N485" s="133">
        <v>43832.0</v>
      </c>
      <c r="O485" s="74">
        <v>1.0</v>
      </c>
      <c r="P485" s="74">
        <v>1.0</v>
      </c>
      <c r="Q485" s="119"/>
      <c r="R485" s="74" t="s">
        <v>24532</v>
      </c>
      <c r="S485" s="119"/>
      <c r="T485" s="146">
        <v>43686.0</v>
      </c>
      <c r="U485" s="74">
        <v>9999.0</v>
      </c>
      <c r="V485" s="74">
        <v>9999.0</v>
      </c>
      <c r="W485" s="119"/>
      <c r="X485" s="119"/>
      <c r="Y485" s="146">
        <v>43686.0</v>
      </c>
      <c r="Z485" s="74">
        <v>9999.0</v>
      </c>
      <c r="AA485" s="74">
        <v>9999.0</v>
      </c>
      <c r="AB485" s="119"/>
      <c r="AC485" s="119"/>
      <c r="AD485" s="119"/>
      <c r="AE485" s="74">
        <v>1.0</v>
      </c>
      <c r="AF485" s="74" t="s">
        <v>18902</v>
      </c>
      <c r="AG485" s="120">
        <v>6784.0</v>
      </c>
      <c r="AH485" s="74" t="s">
        <v>24644</v>
      </c>
      <c r="AI485" s="74" t="s">
        <v>24645</v>
      </c>
      <c r="AJ485" s="120">
        <v>486.0</v>
      </c>
    </row>
    <row r="486">
      <c r="A486" s="74" t="s">
        <v>24647</v>
      </c>
      <c r="B486" s="74" t="s">
        <v>6876</v>
      </c>
      <c r="C486" s="74" t="s">
        <v>6877</v>
      </c>
      <c r="D486" s="74" t="s">
        <v>8493</v>
      </c>
      <c r="E486" s="146">
        <v>43830.0</v>
      </c>
      <c r="F486" s="74" t="s">
        <v>24651</v>
      </c>
      <c r="G486" s="74">
        <v>58.0</v>
      </c>
      <c r="H486" s="74">
        <v>1.0</v>
      </c>
      <c r="I486" s="74">
        <v>99.0</v>
      </c>
      <c r="J486" s="119"/>
      <c r="K486" s="119"/>
      <c r="L486" s="74" t="s">
        <v>815</v>
      </c>
      <c r="M486" s="74" t="s">
        <v>815</v>
      </c>
      <c r="N486" s="133">
        <v>43832.0</v>
      </c>
      <c r="O486" s="74">
        <v>1.0</v>
      </c>
      <c r="P486" s="74">
        <v>1.0</v>
      </c>
      <c r="Q486" s="119"/>
      <c r="R486" s="74" t="s">
        <v>24532</v>
      </c>
      <c r="S486" s="119"/>
      <c r="T486" s="146">
        <v>43686.0</v>
      </c>
      <c r="U486" s="74">
        <v>9999.0</v>
      </c>
      <c r="V486" s="74">
        <v>9999.0</v>
      </c>
      <c r="W486" s="119"/>
      <c r="X486" s="119"/>
      <c r="Y486" s="146">
        <v>43686.0</v>
      </c>
      <c r="Z486" s="74">
        <v>9999.0</v>
      </c>
      <c r="AA486" s="74">
        <v>9999.0</v>
      </c>
      <c r="AB486" s="119"/>
      <c r="AC486" s="119"/>
      <c r="AD486" s="119"/>
      <c r="AE486" s="74">
        <v>1.0</v>
      </c>
      <c r="AF486" s="74" t="s">
        <v>18902</v>
      </c>
      <c r="AG486" s="120">
        <v>6785.0</v>
      </c>
      <c r="AH486" s="74" t="s">
        <v>24658</v>
      </c>
      <c r="AI486" s="74" t="s">
        <v>24659</v>
      </c>
      <c r="AJ486" s="120">
        <v>487.0</v>
      </c>
    </row>
    <row r="487">
      <c r="A487" s="74" t="s">
        <v>24651</v>
      </c>
      <c r="B487" s="74" t="s">
        <v>6876</v>
      </c>
      <c r="C487" s="74" t="s">
        <v>6877</v>
      </c>
      <c r="D487" s="74" t="s">
        <v>8493</v>
      </c>
      <c r="E487" s="146">
        <v>43830.0</v>
      </c>
      <c r="F487" s="74" t="s">
        <v>24662</v>
      </c>
      <c r="G487" s="74">
        <v>57.0</v>
      </c>
      <c r="H487" s="74">
        <v>1.0</v>
      </c>
      <c r="I487" s="74">
        <v>12.0</v>
      </c>
      <c r="J487" s="119"/>
      <c r="K487" s="119"/>
      <c r="L487" s="74" t="s">
        <v>833</v>
      </c>
      <c r="M487" s="74" t="s">
        <v>833</v>
      </c>
      <c r="N487" s="133">
        <v>43832.0</v>
      </c>
      <c r="O487" s="74">
        <v>1.0</v>
      </c>
      <c r="P487" s="74">
        <v>1.0</v>
      </c>
      <c r="Q487" s="119"/>
      <c r="R487" s="74" t="s">
        <v>24532</v>
      </c>
      <c r="S487" s="119"/>
      <c r="T487" s="146">
        <v>43686.0</v>
      </c>
      <c r="U487" s="74">
        <v>9999.0</v>
      </c>
      <c r="V487" s="74">
        <v>9999.0</v>
      </c>
      <c r="W487" s="119"/>
      <c r="X487" s="119"/>
      <c r="Y487" s="146">
        <v>43686.0</v>
      </c>
      <c r="Z487" s="74">
        <v>36.32</v>
      </c>
      <c r="AA487" s="74">
        <v>9999.0</v>
      </c>
      <c r="AB487" s="119"/>
      <c r="AC487" s="119"/>
      <c r="AD487" s="119"/>
      <c r="AE487" s="74">
        <v>1.0</v>
      </c>
      <c r="AF487" s="74" t="s">
        <v>18902</v>
      </c>
      <c r="AG487" s="120">
        <v>6786.0</v>
      </c>
      <c r="AH487" s="74" t="s">
        <v>24668</v>
      </c>
      <c r="AI487" s="74" t="s">
        <v>24670</v>
      </c>
      <c r="AJ487" s="120">
        <v>488.0</v>
      </c>
    </row>
    <row r="488">
      <c r="A488" s="74" t="s">
        <v>24662</v>
      </c>
      <c r="B488" s="74" t="s">
        <v>6876</v>
      </c>
      <c r="C488" s="74" t="s">
        <v>6877</v>
      </c>
      <c r="D488" s="74" t="s">
        <v>8493</v>
      </c>
      <c r="E488" s="146">
        <v>43830.0</v>
      </c>
      <c r="F488" s="74" t="s">
        <v>24675</v>
      </c>
      <c r="G488" s="74">
        <v>57.0</v>
      </c>
      <c r="H488" s="74">
        <v>1.0</v>
      </c>
      <c r="I488" s="74">
        <v>12.0</v>
      </c>
      <c r="J488" s="119"/>
      <c r="K488" s="119"/>
      <c r="L488" s="74" t="s">
        <v>834</v>
      </c>
      <c r="M488" s="74" t="s">
        <v>834</v>
      </c>
      <c r="N488" s="133">
        <v>43832.0</v>
      </c>
      <c r="O488" s="74">
        <v>1.0</v>
      </c>
      <c r="P488" s="74">
        <v>1.0</v>
      </c>
      <c r="Q488" s="119"/>
      <c r="R488" s="74" t="s">
        <v>24532</v>
      </c>
      <c r="S488" s="119"/>
      <c r="T488" s="146">
        <v>43686.0</v>
      </c>
      <c r="U488" s="74">
        <v>9999.0</v>
      </c>
      <c r="V488" s="74">
        <v>9999.0</v>
      </c>
      <c r="W488" s="119"/>
      <c r="X488" s="119"/>
      <c r="Y488" s="146">
        <v>43686.0</v>
      </c>
      <c r="Z488" s="74">
        <v>9999.0</v>
      </c>
      <c r="AA488" s="74">
        <v>9999.0</v>
      </c>
      <c r="AB488" s="119"/>
      <c r="AC488" s="119"/>
      <c r="AD488" s="119"/>
      <c r="AE488" s="74">
        <v>1.0</v>
      </c>
      <c r="AF488" s="74" t="s">
        <v>18902</v>
      </c>
      <c r="AG488" s="120">
        <v>6787.0</v>
      </c>
      <c r="AH488" s="74" t="s">
        <v>24681</v>
      </c>
      <c r="AI488" s="74" t="s">
        <v>24682</v>
      </c>
      <c r="AJ488" s="120">
        <v>489.0</v>
      </c>
    </row>
    <row r="489">
      <c r="A489" s="74" t="s">
        <v>24675</v>
      </c>
      <c r="B489" s="74" t="s">
        <v>6876</v>
      </c>
      <c r="C489" s="74" t="s">
        <v>6877</v>
      </c>
      <c r="D489" s="74" t="s">
        <v>8493</v>
      </c>
      <c r="E489" s="146">
        <v>43830.0</v>
      </c>
      <c r="F489" s="74" t="s">
        <v>24684</v>
      </c>
      <c r="G489" s="74">
        <v>55.0</v>
      </c>
      <c r="H489" s="74">
        <v>1.0</v>
      </c>
      <c r="I489" s="74">
        <v>12.0</v>
      </c>
      <c r="J489" s="119"/>
      <c r="K489" s="119"/>
      <c r="L489" s="74" t="s">
        <v>836</v>
      </c>
      <c r="M489" s="74" t="s">
        <v>836</v>
      </c>
      <c r="N489" s="133">
        <v>43832.0</v>
      </c>
      <c r="O489" s="74">
        <v>1.0</v>
      </c>
      <c r="P489" s="74">
        <v>1.0</v>
      </c>
      <c r="Q489" s="119"/>
      <c r="R489" s="74" t="s">
        <v>24532</v>
      </c>
      <c r="S489" s="119"/>
      <c r="T489" s="146">
        <v>43686.0</v>
      </c>
      <c r="U489" s="74">
        <v>9999.0</v>
      </c>
      <c r="V489" s="74">
        <v>9999.0</v>
      </c>
      <c r="W489" s="119"/>
      <c r="X489" s="119"/>
      <c r="Y489" s="146">
        <v>43686.0</v>
      </c>
      <c r="Z489" s="74">
        <v>9999.0</v>
      </c>
      <c r="AA489" s="74">
        <v>9999.0</v>
      </c>
      <c r="AB489" s="119"/>
      <c r="AC489" s="119"/>
      <c r="AD489" s="119"/>
      <c r="AE489" s="74">
        <v>1.0</v>
      </c>
      <c r="AF489" s="74" t="s">
        <v>18902</v>
      </c>
      <c r="AG489" s="120">
        <v>6788.0</v>
      </c>
      <c r="AH489" s="74" t="s">
        <v>24690</v>
      </c>
      <c r="AI489" s="74" t="s">
        <v>24692</v>
      </c>
      <c r="AJ489" s="120">
        <v>490.0</v>
      </c>
    </row>
    <row r="490">
      <c r="A490" s="74" t="s">
        <v>24684</v>
      </c>
      <c r="B490" s="74" t="s">
        <v>6876</v>
      </c>
      <c r="C490" s="74" t="s">
        <v>6877</v>
      </c>
      <c r="D490" s="74" t="s">
        <v>8493</v>
      </c>
      <c r="E490" s="146">
        <v>43830.0</v>
      </c>
      <c r="F490" s="74" t="s">
        <v>24697</v>
      </c>
      <c r="G490" s="74">
        <v>65.0</v>
      </c>
      <c r="H490" s="74">
        <v>1.0</v>
      </c>
      <c r="I490" s="74">
        <v>12.0</v>
      </c>
      <c r="J490" s="119"/>
      <c r="K490" s="119"/>
      <c r="L490" s="74" t="s">
        <v>838</v>
      </c>
      <c r="M490" s="74" t="s">
        <v>838</v>
      </c>
      <c r="N490" s="133">
        <v>43832.0</v>
      </c>
      <c r="O490" s="74">
        <v>1.0</v>
      </c>
      <c r="P490" s="74">
        <v>1.0</v>
      </c>
      <c r="Q490" s="119"/>
      <c r="R490" s="74" t="s">
        <v>24532</v>
      </c>
      <c r="S490" s="119"/>
      <c r="T490" s="146">
        <v>43686.0</v>
      </c>
      <c r="U490" s="74">
        <v>9999.0</v>
      </c>
      <c r="V490" s="74">
        <v>9999.0</v>
      </c>
      <c r="W490" s="119"/>
      <c r="X490" s="119"/>
      <c r="Y490" s="146">
        <v>43686.0</v>
      </c>
      <c r="Z490" s="74">
        <v>9999.0</v>
      </c>
      <c r="AA490" s="74">
        <v>9999.0</v>
      </c>
      <c r="AB490" s="119"/>
      <c r="AC490" s="119"/>
      <c r="AD490" s="119"/>
      <c r="AE490" s="74">
        <v>1.0</v>
      </c>
      <c r="AF490" s="74" t="s">
        <v>18902</v>
      </c>
      <c r="AG490" s="120">
        <v>6789.0</v>
      </c>
      <c r="AH490" s="74" t="s">
        <v>24704</v>
      </c>
      <c r="AI490" s="74" t="s">
        <v>24705</v>
      </c>
      <c r="AJ490" s="120">
        <v>491.0</v>
      </c>
    </row>
    <row r="491">
      <c r="A491" s="74" t="s">
        <v>24697</v>
      </c>
      <c r="B491" s="74" t="s">
        <v>6876</v>
      </c>
      <c r="C491" s="74" t="s">
        <v>6877</v>
      </c>
      <c r="D491" s="74" t="s">
        <v>8493</v>
      </c>
      <c r="E491" s="146">
        <v>43830.0</v>
      </c>
      <c r="F491" s="74" t="s">
        <v>24708</v>
      </c>
      <c r="G491" s="74">
        <v>58.0</v>
      </c>
      <c r="H491" s="74">
        <v>1.0</v>
      </c>
      <c r="I491" s="74">
        <v>99.0</v>
      </c>
      <c r="J491" s="119"/>
      <c r="K491" s="119"/>
      <c r="L491" s="74" t="s">
        <v>831</v>
      </c>
      <c r="M491" s="74" t="s">
        <v>831</v>
      </c>
      <c r="N491" s="133">
        <v>43832.0</v>
      </c>
      <c r="O491" s="74">
        <v>1.0</v>
      </c>
      <c r="P491" s="74">
        <v>1.0</v>
      </c>
      <c r="Q491" s="119"/>
      <c r="R491" s="74" t="s">
        <v>24532</v>
      </c>
      <c r="S491" s="119"/>
      <c r="T491" s="146">
        <v>43686.0</v>
      </c>
      <c r="U491" s="74">
        <v>9999.0</v>
      </c>
      <c r="V491" s="74">
        <v>9999.0</v>
      </c>
      <c r="W491" s="119"/>
      <c r="X491" s="119"/>
      <c r="Y491" s="146">
        <v>43686.0</v>
      </c>
      <c r="Z491" s="74">
        <v>9999.0</v>
      </c>
      <c r="AA491" s="74">
        <v>9999.0</v>
      </c>
      <c r="AB491" s="119"/>
      <c r="AC491" s="119"/>
      <c r="AD491" s="119"/>
      <c r="AE491" s="74">
        <v>1.0</v>
      </c>
      <c r="AF491" s="74" t="s">
        <v>18902</v>
      </c>
      <c r="AG491" s="120">
        <v>6790.0</v>
      </c>
      <c r="AH491" s="74" t="s">
        <v>24720</v>
      </c>
      <c r="AI491" s="74" t="s">
        <v>24722</v>
      </c>
      <c r="AJ491" s="120">
        <v>492.0</v>
      </c>
    </row>
    <row r="492">
      <c r="A492" s="74" t="s">
        <v>24708</v>
      </c>
      <c r="B492" s="74" t="s">
        <v>6876</v>
      </c>
      <c r="C492" s="74" t="s">
        <v>6877</v>
      </c>
      <c r="D492" s="74" t="s">
        <v>8493</v>
      </c>
      <c r="E492" s="146">
        <v>43830.0</v>
      </c>
      <c r="F492" s="74" t="s">
        <v>24725</v>
      </c>
      <c r="G492" s="74">
        <v>58.0</v>
      </c>
      <c r="H492" s="74">
        <v>1.0</v>
      </c>
      <c r="I492" s="74">
        <v>7.0</v>
      </c>
      <c r="J492" s="119"/>
      <c r="K492" s="119"/>
      <c r="L492" s="74" t="s">
        <v>840</v>
      </c>
      <c r="M492" s="74" t="s">
        <v>840</v>
      </c>
      <c r="N492" s="133">
        <v>43832.0</v>
      </c>
      <c r="O492" s="74">
        <v>1.0</v>
      </c>
      <c r="P492" s="74">
        <v>1.0</v>
      </c>
      <c r="Q492" s="119"/>
      <c r="R492" s="74" t="s">
        <v>24532</v>
      </c>
      <c r="S492" s="119"/>
      <c r="T492" s="146">
        <v>43686.0</v>
      </c>
      <c r="U492" s="74">
        <v>9999.0</v>
      </c>
      <c r="V492" s="74">
        <v>9999.0</v>
      </c>
      <c r="W492" s="119"/>
      <c r="X492" s="119"/>
      <c r="Y492" s="146">
        <v>43686.0</v>
      </c>
      <c r="Z492" s="74">
        <v>9999.0</v>
      </c>
      <c r="AA492" s="74">
        <v>9999.0</v>
      </c>
      <c r="AB492" s="119"/>
      <c r="AC492" s="119"/>
      <c r="AD492" s="119"/>
      <c r="AE492" s="74">
        <v>1.0</v>
      </c>
      <c r="AF492" s="74" t="s">
        <v>18902</v>
      </c>
      <c r="AG492" s="120">
        <v>6791.0</v>
      </c>
      <c r="AH492" s="74" t="s">
        <v>24738</v>
      </c>
      <c r="AI492" s="74" t="s">
        <v>24740</v>
      </c>
      <c r="AJ492" s="120">
        <v>493.0</v>
      </c>
    </row>
    <row r="493">
      <c r="A493" s="74" t="s">
        <v>24725</v>
      </c>
      <c r="B493" s="74" t="s">
        <v>6876</v>
      </c>
      <c r="C493" s="74" t="s">
        <v>6877</v>
      </c>
      <c r="D493" s="74" t="s">
        <v>8493</v>
      </c>
      <c r="E493" s="146">
        <v>43830.0</v>
      </c>
      <c r="F493" s="74" t="s">
        <v>24745</v>
      </c>
      <c r="G493" s="74">
        <v>58.0</v>
      </c>
      <c r="H493" s="74">
        <v>1.0</v>
      </c>
      <c r="I493" s="74">
        <v>7.0</v>
      </c>
      <c r="J493" s="119"/>
      <c r="K493" s="119"/>
      <c r="L493" s="74" t="s">
        <v>845</v>
      </c>
      <c r="M493" s="74" t="s">
        <v>845</v>
      </c>
      <c r="N493" s="133">
        <v>43832.0</v>
      </c>
      <c r="O493" s="74">
        <v>1.0</v>
      </c>
      <c r="P493" s="74">
        <v>1.0</v>
      </c>
      <c r="Q493" s="119"/>
      <c r="R493" s="74" t="s">
        <v>24532</v>
      </c>
      <c r="S493" s="119"/>
      <c r="T493" s="146">
        <v>43686.0</v>
      </c>
      <c r="U493" s="74">
        <v>9999.0</v>
      </c>
      <c r="V493" s="74">
        <v>9999.0</v>
      </c>
      <c r="W493" s="119"/>
      <c r="X493" s="119"/>
      <c r="Y493" s="146">
        <v>43686.0</v>
      </c>
      <c r="Z493" s="74">
        <v>9999.0</v>
      </c>
      <c r="AA493" s="74">
        <v>9999.0</v>
      </c>
      <c r="AB493" s="119"/>
      <c r="AC493" s="119"/>
      <c r="AD493" s="119"/>
      <c r="AE493" s="74">
        <v>1.0</v>
      </c>
      <c r="AF493" s="74" t="s">
        <v>18902</v>
      </c>
      <c r="AG493" s="120">
        <v>6792.0</v>
      </c>
      <c r="AH493" s="74" t="s">
        <v>24755</v>
      </c>
      <c r="AI493" s="74" t="s">
        <v>24756</v>
      </c>
      <c r="AJ493" s="120">
        <v>494.0</v>
      </c>
    </row>
    <row r="494">
      <c r="A494" s="74" t="s">
        <v>24745</v>
      </c>
      <c r="B494" s="74" t="s">
        <v>6876</v>
      </c>
      <c r="C494" s="74" t="s">
        <v>6877</v>
      </c>
      <c r="D494" s="74" t="s">
        <v>8493</v>
      </c>
      <c r="E494" s="146">
        <v>43830.0</v>
      </c>
      <c r="F494" s="74" t="s">
        <v>24758</v>
      </c>
      <c r="G494" s="74">
        <v>57.0</v>
      </c>
      <c r="H494" s="74">
        <v>1.0</v>
      </c>
      <c r="I494" s="74">
        <v>12.0</v>
      </c>
      <c r="J494" s="119"/>
      <c r="K494" s="119"/>
      <c r="L494" s="74" t="s">
        <v>846</v>
      </c>
      <c r="M494" s="74" t="s">
        <v>846</v>
      </c>
      <c r="N494" s="133">
        <v>43832.0</v>
      </c>
      <c r="O494" s="74">
        <v>1.0</v>
      </c>
      <c r="P494" s="74">
        <v>1.0</v>
      </c>
      <c r="Q494" s="119"/>
      <c r="R494" s="74" t="s">
        <v>24763</v>
      </c>
      <c r="S494" s="119"/>
      <c r="T494" s="146">
        <v>43684.0</v>
      </c>
      <c r="U494" s="74">
        <v>9999.0</v>
      </c>
      <c r="V494" s="74">
        <v>9999.0</v>
      </c>
      <c r="W494" s="119"/>
      <c r="X494" s="119"/>
      <c r="Y494" s="146">
        <v>43684.0</v>
      </c>
      <c r="Z494" s="74">
        <v>34.57</v>
      </c>
      <c r="AA494" s="74">
        <v>9999.0</v>
      </c>
      <c r="AB494" s="119"/>
      <c r="AC494" s="119"/>
      <c r="AD494" s="119"/>
      <c r="AE494" s="74">
        <v>1.0</v>
      </c>
      <c r="AF494" s="74" t="s">
        <v>18902</v>
      </c>
      <c r="AG494" s="120">
        <v>6793.0</v>
      </c>
      <c r="AH494" s="74" t="s">
        <v>24772</v>
      </c>
      <c r="AI494" s="74" t="s">
        <v>24773</v>
      </c>
      <c r="AJ494" s="120">
        <v>495.0</v>
      </c>
    </row>
    <row r="495">
      <c r="A495" s="74" t="s">
        <v>24758</v>
      </c>
      <c r="B495" s="74" t="s">
        <v>6876</v>
      </c>
      <c r="C495" s="74" t="s">
        <v>6877</v>
      </c>
      <c r="D495" s="74" t="s">
        <v>8493</v>
      </c>
      <c r="E495" s="146">
        <v>43830.0</v>
      </c>
      <c r="F495" s="74" t="s">
        <v>24777</v>
      </c>
      <c r="G495" s="74">
        <v>66.0</v>
      </c>
      <c r="H495" s="74">
        <v>1.0</v>
      </c>
      <c r="I495" s="74">
        <v>12.0</v>
      </c>
      <c r="J495" s="119"/>
      <c r="K495" s="119"/>
      <c r="L495" s="74" t="s">
        <v>849</v>
      </c>
      <c r="M495" s="74" t="s">
        <v>849</v>
      </c>
      <c r="N495" s="133">
        <v>43832.0</v>
      </c>
      <c r="O495" s="74">
        <v>1.0</v>
      </c>
      <c r="P495" s="74">
        <v>1.0</v>
      </c>
      <c r="Q495" s="119"/>
      <c r="R495" s="74" t="s">
        <v>24763</v>
      </c>
      <c r="S495" s="119"/>
      <c r="T495" s="146">
        <v>43684.0</v>
      </c>
      <c r="U495" s="74">
        <v>9999.0</v>
      </c>
      <c r="V495" s="74">
        <v>9999.0</v>
      </c>
      <c r="W495" s="119"/>
      <c r="X495" s="119"/>
      <c r="Y495" s="146">
        <v>43684.0</v>
      </c>
      <c r="Z495" s="74">
        <v>37.33</v>
      </c>
      <c r="AA495" s="74">
        <v>9999.0</v>
      </c>
      <c r="AB495" s="119"/>
      <c r="AC495" s="119"/>
      <c r="AD495" s="119"/>
      <c r="AE495" s="74">
        <v>1.0</v>
      </c>
      <c r="AF495" s="74" t="s">
        <v>18902</v>
      </c>
      <c r="AG495" s="120">
        <v>6794.0</v>
      </c>
      <c r="AH495" s="74" t="s">
        <v>24788</v>
      </c>
      <c r="AI495" s="74" t="s">
        <v>24790</v>
      </c>
      <c r="AJ495" s="120">
        <v>496.0</v>
      </c>
    </row>
    <row r="496">
      <c r="A496" s="74" t="s">
        <v>24777</v>
      </c>
      <c r="B496" s="74" t="s">
        <v>6876</v>
      </c>
      <c r="C496" s="74" t="s">
        <v>6877</v>
      </c>
      <c r="D496" s="74" t="s">
        <v>8493</v>
      </c>
      <c r="E496" s="146">
        <v>43830.0</v>
      </c>
      <c r="F496" s="74" t="s">
        <v>24792</v>
      </c>
      <c r="G496" s="74">
        <v>59.0</v>
      </c>
      <c r="H496" s="74">
        <v>1.0</v>
      </c>
      <c r="I496" s="74">
        <v>12.0</v>
      </c>
      <c r="J496" s="119"/>
      <c r="K496" s="119"/>
      <c r="L496" s="74" t="s">
        <v>850</v>
      </c>
      <c r="M496" s="74" t="s">
        <v>850</v>
      </c>
      <c r="N496" s="133">
        <v>43832.0</v>
      </c>
      <c r="O496" s="74">
        <v>1.0</v>
      </c>
      <c r="P496" s="74">
        <v>1.0</v>
      </c>
      <c r="Q496" s="119"/>
      <c r="R496" s="74" t="s">
        <v>24763</v>
      </c>
      <c r="S496" s="119"/>
      <c r="T496" s="146">
        <v>43684.0</v>
      </c>
      <c r="U496" s="74">
        <v>9999.0</v>
      </c>
      <c r="V496" s="74">
        <v>9999.0</v>
      </c>
      <c r="W496" s="119"/>
      <c r="X496" s="119"/>
      <c r="Y496" s="146">
        <v>43684.0</v>
      </c>
      <c r="Z496" s="74">
        <v>37.29</v>
      </c>
      <c r="AA496" s="74">
        <v>9999.0</v>
      </c>
      <c r="AB496" s="119"/>
      <c r="AC496" s="119"/>
      <c r="AD496" s="119"/>
      <c r="AE496" s="74">
        <v>1.0</v>
      </c>
      <c r="AF496" s="74" t="s">
        <v>18902</v>
      </c>
      <c r="AG496" s="120">
        <v>6795.0</v>
      </c>
      <c r="AH496" s="74" t="s">
        <v>24802</v>
      </c>
      <c r="AI496" s="74" t="s">
        <v>24803</v>
      </c>
      <c r="AJ496" s="120">
        <v>497.0</v>
      </c>
    </row>
    <row r="497">
      <c r="A497" s="74" t="s">
        <v>24792</v>
      </c>
      <c r="B497" s="74" t="s">
        <v>6876</v>
      </c>
      <c r="C497" s="74" t="s">
        <v>6877</v>
      </c>
      <c r="D497" s="74" t="s">
        <v>8493</v>
      </c>
      <c r="E497" s="146">
        <v>43830.0</v>
      </c>
      <c r="F497" s="74" t="s">
        <v>24810</v>
      </c>
      <c r="G497" s="74">
        <v>59.0</v>
      </c>
      <c r="H497" s="74">
        <v>1.0</v>
      </c>
      <c r="I497" s="74">
        <v>99.0</v>
      </c>
      <c r="J497" s="119"/>
      <c r="K497" s="119"/>
      <c r="L497" s="74" t="s">
        <v>853</v>
      </c>
      <c r="M497" s="74" t="s">
        <v>853</v>
      </c>
      <c r="N497" s="133">
        <v>43832.0</v>
      </c>
      <c r="O497" s="74">
        <v>1.0</v>
      </c>
      <c r="P497" s="74">
        <v>1.0</v>
      </c>
      <c r="Q497" s="119"/>
      <c r="R497" s="74" t="s">
        <v>24763</v>
      </c>
      <c r="S497" s="119"/>
      <c r="T497" s="146">
        <v>43684.0</v>
      </c>
      <c r="U497" s="74">
        <v>30.74</v>
      </c>
      <c r="V497" s="74">
        <v>9999.0</v>
      </c>
      <c r="W497" s="119"/>
      <c r="X497" s="119"/>
      <c r="Y497" s="146">
        <v>43684.0</v>
      </c>
      <c r="Z497" s="74">
        <v>32.98</v>
      </c>
      <c r="AA497" s="74">
        <v>9999.0</v>
      </c>
      <c r="AB497" s="119"/>
      <c r="AC497" s="119"/>
      <c r="AD497" s="74" t="s">
        <v>24821</v>
      </c>
      <c r="AE497" s="74">
        <v>1.0</v>
      </c>
      <c r="AF497" s="74" t="s">
        <v>18902</v>
      </c>
      <c r="AG497" s="120">
        <v>6796.0</v>
      </c>
      <c r="AH497" s="74" t="s">
        <v>24823</v>
      </c>
      <c r="AI497" s="74" t="s">
        <v>24824</v>
      </c>
      <c r="AJ497" s="120">
        <v>498.0</v>
      </c>
    </row>
    <row r="498">
      <c r="A498" s="74" t="s">
        <v>24810</v>
      </c>
      <c r="B498" s="74" t="s">
        <v>6876</v>
      </c>
      <c r="C498" s="74" t="s">
        <v>6877</v>
      </c>
      <c r="D498" s="74" t="s">
        <v>8493</v>
      </c>
      <c r="E498" s="146">
        <v>43830.0</v>
      </c>
      <c r="F498" s="74" t="s">
        <v>24828</v>
      </c>
      <c r="G498" s="74">
        <v>59.0</v>
      </c>
      <c r="H498" s="74">
        <v>1.0</v>
      </c>
      <c r="I498" s="74">
        <v>7.0</v>
      </c>
      <c r="J498" s="119"/>
      <c r="K498" s="119"/>
      <c r="L498" s="74" t="s">
        <v>855</v>
      </c>
      <c r="M498" s="74" t="s">
        <v>855</v>
      </c>
      <c r="N498" s="133">
        <v>43832.0</v>
      </c>
      <c r="O498" s="74">
        <v>1.0</v>
      </c>
      <c r="P498" s="74">
        <v>1.0</v>
      </c>
      <c r="Q498" s="119"/>
      <c r="R498" s="74" t="s">
        <v>24763</v>
      </c>
      <c r="S498" s="119"/>
      <c r="T498" s="146">
        <v>43684.0</v>
      </c>
      <c r="U498" s="74">
        <v>9999.0</v>
      </c>
      <c r="V498" s="74">
        <v>9999.0</v>
      </c>
      <c r="W498" s="119"/>
      <c r="X498" s="119"/>
      <c r="Y498" s="146">
        <v>43684.0</v>
      </c>
      <c r="Z498" s="74">
        <v>39.04</v>
      </c>
      <c r="AA498" s="74">
        <v>9999.0</v>
      </c>
      <c r="AB498" s="119"/>
      <c r="AC498" s="119"/>
      <c r="AD498" s="119"/>
      <c r="AE498" s="74">
        <v>1.0</v>
      </c>
      <c r="AF498" s="74" t="s">
        <v>18902</v>
      </c>
      <c r="AG498" s="120">
        <v>6797.0</v>
      </c>
      <c r="AH498" s="74" t="s">
        <v>24840</v>
      </c>
      <c r="AI498" s="74" t="s">
        <v>24841</v>
      </c>
      <c r="AJ498" s="120">
        <v>499.0</v>
      </c>
    </row>
    <row r="499">
      <c r="A499" s="74" t="s">
        <v>24842</v>
      </c>
      <c r="B499" s="74" t="s">
        <v>6876</v>
      </c>
      <c r="C499" s="74" t="s">
        <v>6877</v>
      </c>
      <c r="D499" s="74" t="s">
        <v>8493</v>
      </c>
      <c r="E499" s="146">
        <v>43830.0</v>
      </c>
      <c r="F499" s="74" t="s">
        <v>24845</v>
      </c>
      <c r="G499" s="74">
        <v>59.0</v>
      </c>
      <c r="H499" s="74">
        <v>1.0</v>
      </c>
      <c r="I499" s="74">
        <v>7.0</v>
      </c>
      <c r="J499" s="119"/>
      <c r="K499" s="119"/>
      <c r="L499" s="74" t="s">
        <v>865</v>
      </c>
      <c r="M499" s="74" t="s">
        <v>865</v>
      </c>
      <c r="N499" s="133">
        <v>43832.0</v>
      </c>
      <c r="O499" s="74">
        <v>1.0</v>
      </c>
      <c r="P499" s="74">
        <v>1.0</v>
      </c>
      <c r="Q499" s="119"/>
      <c r="R499" s="74" t="s">
        <v>24763</v>
      </c>
      <c r="S499" s="119"/>
      <c r="T499" s="146">
        <v>43684.0</v>
      </c>
      <c r="U499" s="74">
        <v>9999.0</v>
      </c>
      <c r="V499" s="74">
        <v>9999.0</v>
      </c>
      <c r="W499" s="119"/>
      <c r="X499" s="119"/>
      <c r="Y499" s="146">
        <v>43684.0</v>
      </c>
      <c r="Z499" s="74">
        <v>40.0</v>
      </c>
      <c r="AA499" s="74">
        <v>9999.0</v>
      </c>
      <c r="AB499" s="119"/>
      <c r="AC499" s="119"/>
      <c r="AD499" s="119"/>
      <c r="AE499" s="74">
        <v>1.0</v>
      </c>
      <c r="AF499" s="74" t="s">
        <v>18902</v>
      </c>
      <c r="AG499" s="120">
        <v>6798.0</v>
      </c>
      <c r="AH499" s="74" t="s">
        <v>24855</v>
      </c>
      <c r="AI499" s="74" t="s">
        <v>24856</v>
      </c>
      <c r="AJ499" s="120">
        <v>500.0</v>
      </c>
    </row>
    <row r="500">
      <c r="A500" s="74" t="s">
        <v>24845</v>
      </c>
      <c r="B500" s="74" t="s">
        <v>6876</v>
      </c>
      <c r="C500" s="74" t="s">
        <v>6877</v>
      </c>
      <c r="D500" s="74" t="s">
        <v>8493</v>
      </c>
      <c r="E500" s="146">
        <v>43830.0</v>
      </c>
      <c r="F500" s="74" t="s">
        <v>24863</v>
      </c>
      <c r="G500" s="74">
        <v>59.0</v>
      </c>
      <c r="H500" s="74">
        <v>1.0</v>
      </c>
      <c r="I500" s="74">
        <v>99.0</v>
      </c>
      <c r="J500" s="119"/>
      <c r="K500" s="119"/>
      <c r="L500" s="74" t="s">
        <v>861</v>
      </c>
      <c r="M500" s="74" t="s">
        <v>861</v>
      </c>
      <c r="N500" s="133">
        <v>43832.0</v>
      </c>
      <c r="O500" s="74">
        <v>1.0</v>
      </c>
      <c r="P500" s="74">
        <v>1.0</v>
      </c>
      <c r="Q500" s="119"/>
      <c r="R500" s="74" t="s">
        <v>24763</v>
      </c>
      <c r="S500" s="119"/>
      <c r="T500" s="146">
        <v>43684.0</v>
      </c>
      <c r="U500" s="74">
        <v>35.87</v>
      </c>
      <c r="V500" s="74">
        <v>9999.0</v>
      </c>
      <c r="W500" s="119"/>
      <c r="X500" s="119"/>
      <c r="Y500" s="146">
        <v>43684.0</v>
      </c>
      <c r="Z500" s="74">
        <v>39.12</v>
      </c>
      <c r="AA500" s="74">
        <v>9999.0</v>
      </c>
      <c r="AB500" s="119"/>
      <c r="AC500" s="119"/>
      <c r="AD500" s="74" t="s">
        <v>24872</v>
      </c>
      <c r="AE500" s="74">
        <v>1.0</v>
      </c>
      <c r="AF500" s="74" t="s">
        <v>18902</v>
      </c>
      <c r="AG500" s="120">
        <v>6799.0</v>
      </c>
      <c r="AH500" s="74" t="s">
        <v>24877</v>
      </c>
      <c r="AI500" s="74" t="s">
        <v>24878</v>
      </c>
      <c r="AJ500" s="120">
        <v>501.0</v>
      </c>
    </row>
    <row r="501">
      <c r="A501" s="74" t="s">
        <v>24863</v>
      </c>
      <c r="B501" s="74" t="s">
        <v>6876</v>
      </c>
      <c r="C501" s="74" t="s">
        <v>6877</v>
      </c>
      <c r="D501" s="74" t="s">
        <v>8493</v>
      </c>
      <c r="E501" s="146">
        <v>43830.0</v>
      </c>
      <c r="F501" s="74" t="s">
        <v>24883</v>
      </c>
      <c r="G501" s="74">
        <v>57.0</v>
      </c>
      <c r="H501" s="74">
        <v>1.0</v>
      </c>
      <c r="I501" s="74">
        <v>12.0</v>
      </c>
      <c r="J501" s="119"/>
      <c r="K501" s="119"/>
      <c r="L501" s="74" t="s">
        <v>867</v>
      </c>
      <c r="M501" s="74" t="s">
        <v>867</v>
      </c>
      <c r="N501" s="133">
        <v>43832.0</v>
      </c>
      <c r="O501" s="74">
        <v>1.0</v>
      </c>
      <c r="P501" s="74">
        <v>1.0</v>
      </c>
      <c r="Q501" s="119"/>
      <c r="R501" s="74" t="s">
        <v>24763</v>
      </c>
      <c r="S501" s="119"/>
      <c r="T501" s="146">
        <v>43684.0</v>
      </c>
      <c r="U501" s="74">
        <v>22.92</v>
      </c>
      <c r="V501" s="74">
        <v>9999.0</v>
      </c>
      <c r="W501" s="119"/>
      <c r="X501" s="119"/>
      <c r="Y501" s="146">
        <v>43684.0</v>
      </c>
      <c r="Z501" s="74">
        <v>33.37</v>
      </c>
      <c r="AA501" s="74">
        <v>9999.0</v>
      </c>
      <c r="AB501" s="119"/>
      <c r="AC501" s="119"/>
      <c r="AD501" s="119"/>
      <c r="AE501" s="74">
        <v>1.0</v>
      </c>
      <c r="AF501" s="74" t="s">
        <v>18902</v>
      </c>
      <c r="AG501" s="120">
        <v>6800.0</v>
      </c>
      <c r="AH501" s="74" t="s">
        <v>24897</v>
      </c>
      <c r="AI501" s="74" t="s">
        <v>24898</v>
      </c>
      <c r="AJ501" s="120">
        <v>502.0</v>
      </c>
    </row>
    <row r="502">
      <c r="A502" s="74" t="s">
        <v>24883</v>
      </c>
      <c r="B502" s="74" t="s">
        <v>6876</v>
      </c>
      <c r="C502" s="74" t="s">
        <v>6877</v>
      </c>
      <c r="D502" s="74" t="s">
        <v>8493</v>
      </c>
      <c r="E502" s="146">
        <v>43830.0</v>
      </c>
      <c r="F502" s="74" t="s">
        <v>24902</v>
      </c>
      <c r="G502" s="74">
        <v>57.0</v>
      </c>
      <c r="H502" s="74">
        <v>1.0</v>
      </c>
      <c r="I502" s="74">
        <v>12.0</v>
      </c>
      <c r="J502" s="119"/>
      <c r="K502" s="119"/>
      <c r="L502" s="74" t="s">
        <v>879</v>
      </c>
      <c r="M502" s="74" t="s">
        <v>879</v>
      </c>
      <c r="N502" s="133">
        <v>43832.0</v>
      </c>
      <c r="O502" s="74">
        <v>1.0</v>
      </c>
      <c r="P502" s="74">
        <v>1.0</v>
      </c>
      <c r="Q502" s="119"/>
      <c r="R502" s="74" t="s">
        <v>24763</v>
      </c>
      <c r="S502" s="119"/>
      <c r="T502" s="146">
        <v>43684.0</v>
      </c>
      <c r="U502" s="74">
        <v>23.53</v>
      </c>
      <c r="V502" s="74">
        <v>9999.0</v>
      </c>
      <c r="W502" s="119"/>
      <c r="X502" s="119"/>
      <c r="Y502" s="146">
        <v>43684.0</v>
      </c>
      <c r="Z502" s="74">
        <v>33.73</v>
      </c>
      <c r="AA502" s="74">
        <v>9999.0</v>
      </c>
      <c r="AB502" s="119"/>
      <c r="AC502" s="119"/>
      <c r="AD502" s="119"/>
      <c r="AE502" s="74">
        <v>1.0</v>
      </c>
      <c r="AF502" s="74" t="s">
        <v>18902</v>
      </c>
      <c r="AG502" s="120">
        <v>6801.0</v>
      </c>
      <c r="AH502" s="74" t="s">
        <v>24919</v>
      </c>
      <c r="AI502" s="74" t="s">
        <v>24920</v>
      </c>
      <c r="AJ502" s="120">
        <v>503.0</v>
      </c>
    </row>
    <row r="503">
      <c r="A503" s="74" t="s">
        <v>24902</v>
      </c>
      <c r="B503" s="74" t="s">
        <v>6876</v>
      </c>
      <c r="C503" s="74" t="s">
        <v>6877</v>
      </c>
      <c r="D503" s="74" t="s">
        <v>8493</v>
      </c>
      <c r="E503" s="146">
        <v>43830.0</v>
      </c>
      <c r="F503" s="74" t="s">
        <v>24929</v>
      </c>
      <c r="G503" s="74">
        <v>57.0</v>
      </c>
      <c r="H503" s="74">
        <v>1.0</v>
      </c>
      <c r="I503" s="74">
        <v>12.0</v>
      </c>
      <c r="J503" s="119"/>
      <c r="K503" s="119"/>
      <c r="L503" s="74" t="s">
        <v>869</v>
      </c>
      <c r="M503" s="74" t="s">
        <v>869</v>
      </c>
      <c r="N503" s="133">
        <v>43832.0</v>
      </c>
      <c r="O503" s="74">
        <v>1.0</v>
      </c>
      <c r="P503" s="74">
        <v>1.0</v>
      </c>
      <c r="Q503" s="119"/>
      <c r="R503" s="74" t="s">
        <v>24763</v>
      </c>
      <c r="S503" s="119"/>
      <c r="T503" s="146">
        <v>43684.0</v>
      </c>
      <c r="U503" s="74">
        <v>23.24</v>
      </c>
      <c r="V503" s="74">
        <v>9999.0</v>
      </c>
      <c r="W503" s="119"/>
      <c r="X503" s="119"/>
      <c r="Y503" s="146">
        <v>43684.0</v>
      </c>
      <c r="Z503" s="74">
        <v>33.36</v>
      </c>
      <c r="AA503" s="74">
        <v>9999.0</v>
      </c>
      <c r="AB503" s="119"/>
      <c r="AC503" s="119"/>
      <c r="AD503" s="119"/>
      <c r="AE503" s="74">
        <v>1.0</v>
      </c>
      <c r="AF503" s="74" t="s">
        <v>18902</v>
      </c>
      <c r="AG503" s="120">
        <v>6802.0</v>
      </c>
      <c r="AH503" s="74" t="s">
        <v>24936</v>
      </c>
      <c r="AI503" s="74" t="s">
        <v>24937</v>
      </c>
      <c r="AJ503" s="120">
        <v>504.0</v>
      </c>
    </row>
    <row r="504">
      <c r="A504" s="74" t="s">
        <v>24940</v>
      </c>
      <c r="B504" s="74" t="s">
        <v>6876</v>
      </c>
      <c r="C504" s="74" t="s">
        <v>6877</v>
      </c>
      <c r="D504" s="74" t="s">
        <v>8493</v>
      </c>
      <c r="E504" s="146">
        <v>43830.0</v>
      </c>
      <c r="F504" s="74" t="s">
        <v>24944</v>
      </c>
      <c r="G504" s="74">
        <v>57.0</v>
      </c>
      <c r="H504" s="74">
        <v>1.0</v>
      </c>
      <c r="I504" s="74">
        <v>12.0</v>
      </c>
      <c r="J504" s="119"/>
      <c r="K504" s="119"/>
      <c r="L504" s="74" t="s">
        <v>880</v>
      </c>
      <c r="M504" s="74" t="s">
        <v>880</v>
      </c>
      <c r="N504" s="133">
        <v>43832.0</v>
      </c>
      <c r="O504" s="74">
        <v>1.0</v>
      </c>
      <c r="P504" s="74">
        <v>1.0</v>
      </c>
      <c r="Q504" s="119"/>
      <c r="R504" s="74" t="s">
        <v>24763</v>
      </c>
      <c r="S504" s="119"/>
      <c r="T504" s="146">
        <v>43684.0</v>
      </c>
      <c r="U504" s="74">
        <v>22.2</v>
      </c>
      <c r="V504" s="74">
        <v>9999.0</v>
      </c>
      <c r="W504" s="119"/>
      <c r="X504" s="119"/>
      <c r="Y504" s="146">
        <v>43684.0</v>
      </c>
      <c r="Z504" s="74">
        <v>33.2</v>
      </c>
      <c r="AA504" s="74">
        <v>9999.0</v>
      </c>
      <c r="AB504" s="119"/>
      <c r="AC504" s="119"/>
      <c r="AD504" s="119"/>
      <c r="AE504" s="74">
        <v>1.0</v>
      </c>
      <c r="AF504" s="74" t="s">
        <v>18902</v>
      </c>
      <c r="AG504" s="120">
        <v>6803.0</v>
      </c>
      <c r="AH504" s="74" t="s">
        <v>24956</v>
      </c>
      <c r="AI504" s="74" t="s">
        <v>24958</v>
      </c>
      <c r="AJ504" s="120">
        <v>505.0</v>
      </c>
    </row>
    <row r="505">
      <c r="A505" s="74" t="s">
        <v>24944</v>
      </c>
      <c r="B505" s="74" t="s">
        <v>6876</v>
      </c>
      <c r="C505" s="74" t="s">
        <v>6877</v>
      </c>
      <c r="D505" s="74" t="s">
        <v>8493</v>
      </c>
      <c r="E505" s="146">
        <v>43830.0</v>
      </c>
      <c r="F505" s="74" t="s">
        <v>24961</v>
      </c>
      <c r="G505" s="74">
        <v>55.0</v>
      </c>
      <c r="H505" s="74">
        <v>1.0</v>
      </c>
      <c r="I505" s="74">
        <v>12.0</v>
      </c>
      <c r="J505" s="119"/>
      <c r="K505" s="119"/>
      <c r="L505" s="74" t="s">
        <v>872</v>
      </c>
      <c r="M505" s="74" t="s">
        <v>872</v>
      </c>
      <c r="N505" s="133">
        <v>43832.0</v>
      </c>
      <c r="O505" s="74">
        <v>1.0</v>
      </c>
      <c r="P505" s="74">
        <v>1.0</v>
      </c>
      <c r="Q505" s="119"/>
      <c r="R505" s="74" t="s">
        <v>24763</v>
      </c>
      <c r="S505" s="119"/>
      <c r="T505" s="146">
        <v>43684.0</v>
      </c>
      <c r="U505" s="74">
        <v>24.08</v>
      </c>
      <c r="V505" s="74">
        <v>9999.0</v>
      </c>
      <c r="W505" s="119"/>
      <c r="X505" s="119"/>
      <c r="Y505" s="146">
        <v>43684.0</v>
      </c>
      <c r="Z505" s="74">
        <v>32.7</v>
      </c>
      <c r="AA505" s="74">
        <v>9999.0</v>
      </c>
      <c r="AB505" s="119"/>
      <c r="AC505" s="119"/>
      <c r="AD505" s="119"/>
      <c r="AE505" s="74">
        <v>1.0</v>
      </c>
      <c r="AF505" s="74" t="s">
        <v>18902</v>
      </c>
      <c r="AG505" s="120">
        <v>6804.0</v>
      </c>
      <c r="AH505" s="74" t="s">
        <v>24973</v>
      </c>
      <c r="AI505" s="74" t="s">
        <v>24974</v>
      </c>
      <c r="AJ505" s="120">
        <v>506.0</v>
      </c>
    </row>
    <row r="506">
      <c r="A506" s="74" t="s">
        <v>24961</v>
      </c>
      <c r="B506" s="74" t="s">
        <v>6876</v>
      </c>
      <c r="C506" s="74" t="s">
        <v>6877</v>
      </c>
      <c r="D506" s="74" t="s">
        <v>8493</v>
      </c>
      <c r="E506" s="146">
        <v>43830.0</v>
      </c>
      <c r="F506" s="74" t="s">
        <v>24976</v>
      </c>
      <c r="G506" s="74">
        <v>55.0</v>
      </c>
      <c r="H506" s="74">
        <v>1.0</v>
      </c>
      <c r="I506" s="74">
        <v>12.0</v>
      </c>
      <c r="J506" s="119"/>
      <c r="K506" s="119"/>
      <c r="L506" s="74" t="s">
        <v>881</v>
      </c>
      <c r="M506" s="74" t="s">
        <v>881</v>
      </c>
      <c r="N506" s="133">
        <v>43832.0</v>
      </c>
      <c r="O506" s="74">
        <v>1.0</v>
      </c>
      <c r="P506" s="74">
        <v>1.0</v>
      </c>
      <c r="Q506" s="119"/>
      <c r="R506" s="74" t="s">
        <v>24763</v>
      </c>
      <c r="S506" s="119"/>
      <c r="T506" s="146">
        <v>43684.0</v>
      </c>
      <c r="U506" s="74">
        <v>24.1</v>
      </c>
      <c r="V506" s="74">
        <v>9999.0</v>
      </c>
      <c r="W506" s="119"/>
      <c r="X506" s="119"/>
      <c r="Y506" s="146">
        <v>43684.0</v>
      </c>
      <c r="Z506" s="74">
        <v>32.18</v>
      </c>
      <c r="AA506" s="74">
        <v>9999.0</v>
      </c>
      <c r="AB506" s="119"/>
      <c r="AC506" s="119"/>
      <c r="AD506" s="119"/>
      <c r="AE506" s="74">
        <v>1.0</v>
      </c>
      <c r="AF506" s="74" t="s">
        <v>18902</v>
      </c>
      <c r="AG506" s="120">
        <v>6805.0</v>
      </c>
      <c r="AH506" s="74" t="s">
        <v>24983</v>
      </c>
      <c r="AI506" s="74" t="s">
        <v>24985</v>
      </c>
      <c r="AJ506" s="120">
        <v>507.0</v>
      </c>
    </row>
    <row r="507">
      <c r="A507" s="74" t="s">
        <v>24988</v>
      </c>
      <c r="B507" s="74" t="s">
        <v>6876</v>
      </c>
      <c r="C507" s="74" t="s">
        <v>6877</v>
      </c>
      <c r="D507" s="74" t="s">
        <v>8493</v>
      </c>
      <c r="E507" s="146">
        <v>43830.0</v>
      </c>
      <c r="F507" s="74" t="s">
        <v>24991</v>
      </c>
      <c r="G507" s="74">
        <v>65.0</v>
      </c>
      <c r="H507" s="74">
        <v>1.0</v>
      </c>
      <c r="I507" s="74">
        <v>12.0</v>
      </c>
      <c r="J507" s="119"/>
      <c r="K507" s="119"/>
      <c r="L507" s="74" t="s">
        <v>875</v>
      </c>
      <c r="M507" s="74" t="s">
        <v>875</v>
      </c>
      <c r="N507" s="133">
        <v>43832.0</v>
      </c>
      <c r="O507" s="74">
        <v>1.0</v>
      </c>
      <c r="P507" s="74">
        <v>1.0</v>
      </c>
      <c r="Q507" s="119"/>
      <c r="R507" s="74" t="s">
        <v>24763</v>
      </c>
      <c r="S507" s="119"/>
      <c r="T507" s="146">
        <v>43684.0</v>
      </c>
      <c r="U507" s="74">
        <v>9999.0</v>
      </c>
      <c r="V507" s="74">
        <v>9999.0</v>
      </c>
      <c r="W507" s="119"/>
      <c r="X507" s="119"/>
      <c r="Y507" s="146">
        <v>43684.0</v>
      </c>
      <c r="Z507" s="74">
        <v>32.14</v>
      </c>
      <c r="AA507" s="74">
        <v>9999.0</v>
      </c>
      <c r="AB507" s="119"/>
      <c r="AC507" s="119"/>
      <c r="AD507" s="119"/>
      <c r="AE507" s="74">
        <v>1.0</v>
      </c>
      <c r="AF507" s="74" t="s">
        <v>18902</v>
      </c>
      <c r="AG507" s="120">
        <v>6806.0</v>
      </c>
      <c r="AH507" s="74" t="s">
        <v>24999</v>
      </c>
      <c r="AI507" s="74" t="s">
        <v>25001</v>
      </c>
      <c r="AJ507" s="120">
        <v>508.0</v>
      </c>
    </row>
    <row r="508">
      <c r="A508" s="74" t="s">
        <v>24991</v>
      </c>
      <c r="B508" s="74" t="s">
        <v>6876</v>
      </c>
      <c r="C508" s="74" t="s">
        <v>6877</v>
      </c>
      <c r="D508" s="74" t="s">
        <v>8493</v>
      </c>
      <c r="E508" s="146">
        <v>43830.0</v>
      </c>
      <c r="F508" s="74" t="s">
        <v>25003</v>
      </c>
      <c r="G508" s="74">
        <v>65.0</v>
      </c>
      <c r="H508" s="74">
        <v>1.0</v>
      </c>
      <c r="I508" s="74">
        <v>12.0</v>
      </c>
      <c r="J508" s="119"/>
      <c r="K508" s="119"/>
      <c r="L508" s="74" t="s">
        <v>882</v>
      </c>
      <c r="M508" s="74" t="s">
        <v>882</v>
      </c>
      <c r="N508" s="133">
        <v>43832.0</v>
      </c>
      <c r="O508" s="74">
        <v>1.0</v>
      </c>
      <c r="P508" s="74">
        <v>1.0</v>
      </c>
      <c r="Q508" s="119"/>
      <c r="R508" s="74" t="s">
        <v>24763</v>
      </c>
      <c r="S508" s="119"/>
      <c r="T508" s="146">
        <v>43684.0</v>
      </c>
      <c r="U508" s="74">
        <v>9999.0</v>
      </c>
      <c r="V508" s="74">
        <v>9999.0</v>
      </c>
      <c r="W508" s="119"/>
      <c r="X508" s="119"/>
      <c r="Y508" s="146">
        <v>43684.0</v>
      </c>
      <c r="Z508" s="74">
        <v>31.99</v>
      </c>
      <c r="AA508" s="74">
        <v>9999.0</v>
      </c>
      <c r="AB508" s="119"/>
      <c r="AC508" s="119"/>
      <c r="AD508" s="119"/>
      <c r="AE508" s="74">
        <v>1.0</v>
      </c>
      <c r="AF508" s="74" t="s">
        <v>18902</v>
      </c>
      <c r="AG508" s="120">
        <v>6807.0</v>
      </c>
      <c r="AH508" s="74" t="s">
        <v>25015</v>
      </c>
      <c r="AI508" s="74" t="s">
        <v>25018</v>
      </c>
      <c r="AJ508" s="120">
        <v>509.0</v>
      </c>
    </row>
    <row r="509">
      <c r="A509" s="74" t="s">
        <v>25003</v>
      </c>
      <c r="B509" s="74" t="s">
        <v>6876</v>
      </c>
      <c r="C509" s="74" t="s">
        <v>6877</v>
      </c>
      <c r="D509" s="74" t="s">
        <v>8493</v>
      </c>
      <c r="E509" s="146">
        <v>43830.0</v>
      </c>
      <c r="F509" s="74" t="s">
        <v>25024</v>
      </c>
      <c r="G509" s="74">
        <v>58.0</v>
      </c>
      <c r="H509" s="74">
        <v>1.0</v>
      </c>
      <c r="I509" s="74">
        <v>7.0</v>
      </c>
      <c r="J509" s="119"/>
      <c r="K509" s="119"/>
      <c r="L509" s="74" t="s">
        <v>884</v>
      </c>
      <c r="M509" s="74" t="s">
        <v>884</v>
      </c>
      <c r="N509" s="133">
        <v>43832.0</v>
      </c>
      <c r="O509" s="74">
        <v>1.0</v>
      </c>
      <c r="P509" s="74">
        <v>1.0</v>
      </c>
      <c r="Q509" s="119"/>
      <c r="R509" s="74" t="s">
        <v>24763</v>
      </c>
      <c r="S509" s="119"/>
      <c r="T509" s="146">
        <v>43684.0</v>
      </c>
      <c r="U509" s="74">
        <v>30.21</v>
      </c>
      <c r="V509" s="74">
        <v>9999.0</v>
      </c>
      <c r="W509" s="119"/>
      <c r="X509" s="119"/>
      <c r="Y509" s="146">
        <v>43684.0</v>
      </c>
      <c r="Z509" s="74">
        <v>35.43</v>
      </c>
      <c r="AA509" s="74">
        <v>9999.0</v>
      </c>
      <c r="AB509" s="119"/>
      <c r="AC509" s="119"/>
      <c r="AD509" s="119"/>
      <c r="AE509" s="74">
        <v>1.0</v>
      </c>
      <c r="AF509" s="74" t="s">
        <v>18902</v>
      </c>
      <c r="AG509" s="120">
        <v>6808.0</v>
      </c>
      <c r="AH509" s="74" t="s">
        <v>25038</v>
      </c>
      <c r="AI509" s="74" t="s">
        <v>25040</v>
      </c>
      <c r="AJ509" s="120">
        <v>510.0</v>
      </c>
    </row>
    <row r="510">
      <c r="A510" s="74" t="s">
        <v>25024</v>
      </c>
      <c r="B510" s="74" t="s">
        <v>6876</v>
      </c>
      <c r="C510" s="74" t="s">
        <v>6877</v>
      </c>
      <c r="D510" s="74" t="s">
        <v>8493</v>
      </c>
      <c r="E510" s="146">
        <v>43830.0</v>
      </c>
      <c r="F510" s="74" t="s">
        <v>25044</v>
      </c>
      <c r="G510" s="74">
        <v>58.0</v>
      </c>
      <c r="H510" s="74">
        <v>1.0</v>
      </c>
      <c r="I510" s="74">
        <v>7.0</v>
      </c>
      <c r="J510" s="119"/>
      <c r="K510" s="119"/>
      <c r="L510" s="74" t="s">
        <v>885</v>
      </c>
      <c r="M510" s="74" t="s">
        <v>885</v>
      </c>
      <c r="N510" s="133">
        <v>43832.0</v>
      </c>
      <c r="O510" s="74">
        <v>1.0</v>
      </c>
      <c r="P510" s="74">
        <v>1.0</v>
      </c>
      <c r="Q510" s="119"/>
      <c r="R510" s="74" t="s">
        <v>24763</v>
      </c>
      <c r="S510" s="119"/>
      <c r="T510" s="146">
        <v>43684.0</v>
      </c>
      <c r="U510" s="74">
        <v>29.71</v>
      </c>
      <c r="V510" s="74">
        <v>9999.0</v>
      </c>
      <c r="W510" s="119"/>
      <c r="X510" s="119"/>
      <c r="Y510" s="146">
        <v>43684.0</v>
      </c>
      <c r="Z510" s="74">
        <v>36.57</v>
      </c>
      <c r="AA510" s="74">
        <v>9999.0</v>
      </c>
      <c r="AB510" s="119"/>
      <c r="AC510" s="119"/>
      <c r="AD510" s="119"/>
      <c r="AE510" s="74">
        <v>1.0</v>
      </c>
      <c r="AF510" s="74" t="s">
        <v>18902</v>
      </c>
      <c r="AG510" s="120">
        <v>6809.0</v>
      </c>
      <c r="AH510" s="74" t="s">
        <v>25058</v>
      </c>
      <c r="AI510" s="74" t="s">
        <v>25060</v>
      </c>
      <c r="AJ510" s="120">
        <v>511.0</v>
      </c>
    </row>
    <row r="511">
      <c r="A511" s="74" t="s">
        <v>25044</v>
      </c>
      <c r="B511" s="74" t="s">
        <v>6876</v>
      </c>
      <c r="C511" s="74" t="s">
        <v>6877</v>
      </c>
      <c r="D511" s="74" t="s">
        <v>8493</v>
      </c>
      <c r="E511" s="146">
        <v>43830.0</v>
      </c>
      <c r="F511" s="74" t="s">
        <v>25064</v>
      </c>
      <c r="G511" s="74">
        <v>57.0</v>
      </c>
      <c r="H511" s="74">
        <v>1.0</v>
      </c>
      <c r="I511" s="74">
        <v>12.0</v>
      </c>
      <c r="J511" s="119"/>
      <c r="K511" s="119"/>
      <c r="L511" s="74" t="s">
        <v>889</v>
      </c>
      <c r="M511" s="74" t="s">
        <v>889</v>
      </c>
      <c r="N511" s="133">
        <v>43832.0</v>
      </c>
      <c r="O511" s="74">
        <v>1.0</v>
      </c>
      <c r="P511" s="74">
        <v>1.0</v>
      </c>
      <c r="Q511" s="119"/>
      <c r="R511" s="74" t="s">
        <v>24763</v>
      </c>
      <c r="S511" s="119"/>
      <c r="T511" s="146">
        <v>43684.0</v>
      </c>
      <c r="U511" s="74">
        <v>22.99</v>
      </c>
      <c r="V511" s="74">
        <v>9999.0</v>
      </c>
      <c r="W511" s="119"/>
      <c r="X511" s="119"/>
      <c r="Y511" s="146">
        <v>43684.0</v>
      </c>
      <c r="Z511" s="74">
        <v>33.05</v>
      </c>
      <c r="AA511" s="74">
        <v>9999.0</v>
      </c>
      <c r="AB511" s="119"/>
      <c r="AC511" s="119"/>
      <c r="AD511" s="119"/>
      <c r="AE511" s="74">
        <v>1.0</v>
      </c>
      <c r="AF511" s="74" t="s">
        <v>18902</v>
      </c>
      <c r="AG511" s="120">
        <v>6810.0</v>
      </c>
      <c r="AH511" s="74" t="s">
        <v>25076</v>
      </c>
      <c r="AI511" s="74" t="s">
        <v>25077</v>
      </c>
      <c r="AJ511" s="120">
        <v>512.0</v>
      </c>
    </row>
    <row r="512">
      <c r="A512" s="74" t="s">
        <v>25064</v>
      </c>
      <c r="B512" s="74" t="s">
        <v>6876</v>
      </c>
      <c r="C512" s="74" t="s">
        <v>6877</v>
      </c>
      <c r="D512" s="74" t="s">
        <v>8493</v>
      </c>
      <c r="E512" s="146">
        <v>43830.0</v>
      </c>
      <c r="F512" s="74" t="s">
        <v>25079</v>
      </c>
      <c r="G512" s="74">
        <v>57.0</v>
      </c>
      <c r="H512" s="74">
        <v>1.0</v>
      </c>
      <c r="I512" s="74">
        <v>12.0</v>
      </c>
      <c r="J512" s="119"/>
      <c r="K512" s="119"/>
      <c r="L512" s="74" t="s">
        <v>903</v>
      </c>
      <c r="M512" s="74" t="s">
        <v>903</v>
      </c>
      <c r="N512" s="133">
        <v>43832.0</v>
      </c>
      <c r="O512" s="74">
        <v>1.0</v>
      </c>
      <c r="P512" s="74">
        <v>1.0</v>
      </c>
      <c r="Q512" s="119"/>
      <c r="R512" s="74" t="s">
        <v>24763</v>
      </c>
      <c r="S512" s="119"/>
      <c r="T512" s="146">
        <v>43684.0</v>
      </c>
      <c r="U512" s="74">
        <v>22.34</v>
      </c>
      <c r="V512" s="74">
        <v>9999.0</v>
      </c>
      <c r="W512" s="119"/>
      <c r="X512" s="119"/>
      <c r="Y512" s="146">
        <v>43684.0</v>
      </c>
      <c r="Z512" s="74">
        <v>33.17</v>
      </c>
      <c r="AA512" s="74">
        <v>9999.0</v>
      </c>
      <c r="AB512" s="119"/>
      <c r="AC512" s="119"/>
      <c r="AD512" s="119"/>
      <c r="AE512" s="74">
        <v>1.0</v>
      </c>
      <c r="AF512" s="74" t="s">
        <v>18902</v>
      </c>
      <c r="AG512" s="120">
        <v>6811.0</v>
      </c>
      <c r="AH512" s="74" t="s">
        <v>25090</v>
      </c>
      <c r="AI512" s="74" t="s">
        <v>25092</v>
      </c>
      <c r="AJ512" s="120">
        <v>513.0</v>
      </c>
    </row>
    <row r="513">
      <c r="A513" s="74" t="s">
        <v>25079</v>
      </c>
      <c r="B513" s="74" t="s">
        <v>6876</v>
      </c>
      <c r="C513" s="74" t="s">
        <v>6877</v>
      </c>
      <c r="D513" s="74" t="s">
        <v>8493</v>
      </c>
      <c r="E513" s="146">
        <v>43830.0</v>
      </c>
      <c r="F513" s="74" t="s">
        <v>25097</v>
      </c>
      <c r="G513" s="74">
        <v>57.0</v>
      </c>
      <c r="H513" s="74">
        <v>1.0</v>
      </c>
      <c r="I513" s="74">
        <v>12.0</v>
      </c>
      <c r="J513" s="119"/>
      <c r="K513" s="119"/>
      <c r="L513" s="74" t="s">
        <v>892</v>
      </c>
      <c r="M513" s="74" t="s">
        <v>892</v>
      </c>
      <c r="N513" s="133">
        <v>43832.0</v>
      </c>
      <c r="O513" s="74">
        <v>1.0</v>
      </c>
      <c r="P513" s="74">
        <v>1.0</v>
      </c>
      <c r="Q513" s="119"/>
      <c r="R513" s="74" t="s">
        <v>24763</v>
      </c>
      <c r="S513" s="119"/>
      <c r="T513" s="146">
        <v>43684.0</v>
      </c>
      <c r="U513" s="74">
        <v>23.54</v>
      </c>
      <c r="V513" s="74">
        <v>9999.0</v>
      </c>
      <c r="W513" s="119"/>
      <c r="X513" s="119"/>
      <c r="Y513" s="146">
        <v>43684.0</v>
      </c>
      <c r="Z513" s="74">
        <v>31.15</v>
      </c>
      <c r="AA513" s="74">
        <v>9999.0</v>
      </c>
      <c r="AB513" s="119"/>
      <c r="AC513" s="119"/>
      <c r="AD513" s="119"/>
      <c r="AE513" s="74">
        <v>1.0</v>
      </c>
      <c r="AF513" s="74" t="s">
        <v>18902</v>
      </c>
      <c r="AG513" s="120">
        <v>6812.0</v>
      </c>
      <c r="AH513" s="74" t="s">
        <v>25112</v>
      </c>
      <c r="AI513" s="74" t="s">
        <v>25113</v>
      </c>
      <c r="AJ513" s="120">
        <v>514.0</v>
      </c>
    </row>
    <row r="514">
      <c r="A514" s="74" t="s">
        <v>25116</v>
      </c>
      <c r="B514" s="74" t="s">
        <v>6876</v>
      </c>
      <c r="C514" s="74" t="s">
        <v>6877</v>
      </c>
      <c r="D514" s="74" t="s">
        <v>8493</v>
      </c>
      <c r="E514" s="146">
        <v>43830.0</v>
      </c>
      <c r="F514" s="74" t="s">
        <v>25118</v>
      </c>
      <c r="G514" s="74">
        <v>57.0</v>
      </c>
      <c r="H514" s="74">
        <v>1.0</v>
      </c>
      <c r="I514" s="74">
        <v>12.0</v>
      </c>
      <c r="J514" s="119"/>
      <c r="K514" s="119"/>
      <c r="L514" s="74" t="s">
        <v>905</v>
      </c>
      <c r="M514" s="74" t="s">
        <v>905</v>
      </c>
      <c r="N514" s="133">
        <v>43832.0</v>
      </c>
      <c r="O514" s="74">
        <v>1.0</v>
      </c>
      <c r="P514" s="74">
        <v>1.0</v>
      </c>
      <c r="Q514" s="119"/>
      <c r="R514" s="74" t="s">
        <v>24763</v>
      </c>
      <c r="S514" s="119"/>
      <c r="T514" s="146">
        <v>43684.0</v>
      </c>
      <c r="U514" s="74">
        <v>23.22</v>
      </c>
      <c r="V514" s="74">
        <v>9999.0</v>
      </c>
      <c r="W514" s="119"/>
      <c r="X514" s="119"/>
      <c r="Y514" s="146">
        <v>43684.0</v>
      </c>
      <c r="Z514" s="74">
        <v>31.03</v>
      </c>
      <c r="AA514" s="74">
        <v>9999.0</v>
      </c>
      <c r="AB514" s="119"/>
      <c r="AC514" s="119"/>
      <c r="AD514" s="119"/>
      <c r="AE514" s="74">
        <v>1.0</v>
      </c>
      <c r="AF514" s="74" t="s">
        <v>18902</v>
      </c>
      <c r="AG514" s="120">
        <v>6813.0</v>
      </c>
      <c r="AH514" s="74" t="s">
        <v>25134</v>
      </c>
      <c r="AI514" s="74" t="s">
        <v>25136</v>
      </c>
      <c r="AJ514" s="120">
        <v>515.0</v>
      </c>
    </row>
    <row r="515">
      <c r="A515" s="74" t="s">
        <v>25138</v>
      </c>
      <c r="B515" s="74" t="s">
        <v>6876</v>
      </c>
      <c r="C515" s="74" t="s">
        <v>6877</v>
      </c>
      <c r="D515" s="74" t="s">
        <v>8493</v>
      </c>
      <c r="E515" s="146">
        <v>43830.0</v>
      </c>
      <c r="F515" s="74" t="s">
        <v>25141</v>
      </c>
      <c r="G515" s="74">
        <v>66.0</v>
      </c>
      <c r="H515" s="74">
        <v>1.0</v>
      </c>
      <c r="I515" s="74">
        <v>12.0</v>
      </c>
      <c r="J515" s="119"/>
      <c r="K515" s="119"/>
      <c r="L515" s="74" t="s">
        <v>894</v>
      </c>
      <c r="M515" s="74" t="s">
        <v>894</v>
      </c>
      <c r="N515" s="133">
        <v>43832.0</v>
      </c>
      <c r="O515" s="74">
        <v>1.0</v>
      </c>
      <c r="P515" s="74">
        <v>1.0</v>
      </c>
      <c r="Q515" s="119"/>
      <c r="R515" s="74" t="s">
        <v>24763</v>
      </c>
      <c r="S515" s="119"/>
      <c r="T515" s="146">
        <v>43684.0</v>
      </c>
      <c r="U515" s="74">
        <v>23.72</v>
      </c>
      <c r="V515" s="74">
        <v>9999.0</v>
      </c>
      <c r="W515" s="119"/>
      <c r="X515" s="119"/>
      <c r="Y515" s="146">
        <v>43684.0</v>
      </c>
      <c r="Z515" s="74">
        <v>32.05</v>
      </c>
      <c r="AA515" s="74">
        <v>9999.0</v>
      </c>
      <c r="AB515" s="119"/>
      <c r="AC515" s="119"/>
      <c r="AD515" s="119"/>
      <c r="AE515" s="74">
        <v>1.0</v>
      </c>
      <c r="AF515" s="74" t="s">
        <v>18902</v>
      </c>
      <c r="AG515" s="120">
        <v>6814.0</v>
      </c>
      <c r="AH515" s="74" t="s">
        <v>25157</v>
      </c>
      <c r="AI515" s="74" t="s">
        <v>25158</v>
      </c>
      <c r="AJ515" s="120">
        <v>516.0</v>
      </c>
    </row>
    <row r="516">
      <c r="A516" s="74" t="s">
        <v>25160</v>
      </c>
      <c r="B516" s="74" t="s">
        <v>6876</v>
      </c>
      <c r="C516" s="74" t="s">
        <v>6877</v>
      </c>
      <c r="D516" s="74" t="s">
        <v>8493</v>
      </c>
      <c r="E516" s="146">
        <v>43830.0</v>
      </c>
      <c r="F516" s="74" t="s">
        <v>25164</v>
      </c>
      <c r="G516" s="74">
        <v>66.0</v>
      </c>
      <c r="H516" s="74">
        <v>1.0</v>
      </c>
      <c r="I516" s="74">
        <v>12.0</v>
      </c>
      <c r="J516" s="119"/>
      <c r="K516" s="119"/>
      <c r="L516" s="74" t="s">
        <v>906</v>
      </c>
      <c r="M516" s="74" t="s">
        <v>906</v>
      </c>
      <c r="N516" s="133">
        <v>43832.0</v>
      </c>
      <c r="O516" s="74">
        <v>1.0</v>
      </c>
      <c r="P516" s="74">
        <v>1.0</v>
      </c>
      <c r="Q516" s="119"/>
      <c r="R516" s="74" t="s">
        <v>24763</v>
      </c>
      <c r="S516" s="119"/>
      <c r="T516" s="146">
        <v>43684.0</v>
      </c>
      <c r="U516" s="74">
        <v>23.84</v>
      </c>
      <c r="V516" s="74">
        <v>9999.0</v>
      </c>
      <c r="W516" s="119"/>
      <c r="X516" s="119"/>
      <c r="Y516" s="146">
        <v>43684.0</v>
      </c>
      <c r="Z516" s="74">
        <v>32.16</v>
      </c>
      <c r="AA516" s="74">
        <v>9999.0</v>
      </c>
      <c r="AB516" s="119"/>
      <c r="AC516" s="119"/>
      <c r="AD516" s="119"/>
      <c r="AE516" s="74">
        <v>1.0</v>
      </c>
      <c r="AF516" s="74" t="s">
        <v>18902</v>
      </c>
      <c r="AG516" s="120">
        <v>6815.0</v>
      </c>
      <c r="AH516" s="74" t="s">
        <v>25176</v>
      </c>
      <c r="AI516" s="74" t="s">
        <v>25177</v>
      </c>
      <c r="AJ516" s="120">
        <v>517.0</v>
      </c>
    </row>
    <row r="517">
      <c r="A517" s="74" t="s">
        <v>25164</v>
      </c>
      <c r="B517" s="74" t="s">
        <v>6876</v>
      </c>
      <c r="C517" s="74" t="s">
        <v>6877</v>
      </c>
      <c r="D517" s="74" t="s">
        <v>8493</v>
      </c>
      <c r="E517" s="146">
        <v>43830.0</v>
      </c>
      <c r="F517" s="74" t="s">
        <v>25184</v>
      </c>
      <c r="G517" s="74">
        <v>59.0</v>
      </c>
      <c r="H517" s="74">
        <v>1.0</v>
      </c>
      <c r="I517" s="74">
        <v>12.0</v>
      </c>
      <c r="J517" s="119"/>
      <c r="K517" s="119"/>
      <c r="L517" s="74" t="s">
        <v>897</v>
      </c>
      <c r="M517" s="74" t="s">
        <v>897</v>
      </c>
      <c r="N517" s="133">
        <v>43832.0</v>
      </c>
      <c r="O517" s="74">
        <v>1.0</v>
      </c>
      <c r="P517" s="74">
        <v>1.0</v>
      </c>
      <c r="Q517" s="119"/>
      <c r="R517" s="74" t="s">
        <v>24763</v>
      </c>
      <c r="S517" s="119"/>
      <c r="T517" s="146">
        <v>43684.0</v>
      </c>
      <c r="U517" s="74">
        <v>24.03</v>
      </c>
      <c r="V517" s="74">
        <v>9999.0</v>
      </c>
      <c r="W517" s="119"/>
      <c r="X517" s="119"/>
      <c r="Y517" s="146">
        <v>43684.0</v>
      </c>
      <c r="Z517" s="74">
        <v>31.33</v>
      </c>
      <c r="AA517" s="74">
        <v>9999.0</v>
      </c>
      <c r="AB517" s="119"/>
      <c r="AC517" s="119"/>
      <c r="AD517" s="119"/>
      <c r="AE517" s="74">
        <v>1.0</v>
      </c>
      <c r="AF517" s="74" t="s">
        <v>18902</v>
      </c>
      <c r="AG517" s="120">
        <v>6816.0</v>
      </c>
      <c r="AH517" s="74" t="s">
        <v>25195</v>
      </c>
      <c r="AI517" s="74" t="s">
        <v>25197</v>
      </c>
      <c r="AJ517" s="120">
        <v>518.0</v>
      </c>
    </row>
    <row r="518">
      <c r="A518" s="74" t="s">
        <v>25184</v>
      </c>
      <c r="B518" s="74" t="s">
        <v>6876</v>
      </c>
      <c r="C518" s="74" t="s">
        <v>6877</v>
      </c>
      <c r="D518" s="74" t="s">
        <v>8493</v>
      </c>
      <c r="E518" s="146">
        <v>43830.0</v>
      </c>
      <c r="F518" s="74" t="s">
        <v>25200</v>
      </c>
      <c r="G518" s="74">
        <v>57.0</v>
      </c>
      <c r="H518" s="74">
        <v>1.0</v>
      </c>
      <c r="I518" s="74">
        <v>99.0</v>
      </c>
      <c r="J518" s="119"/>
      <c r="K518" s="119"/>
      <c r="L518" s="74" t="s">
        <v>901</v>
      </c>
      <c r="M518" s="74" t="s">
        <v>901</v>
      </c>
      <c r="N518" s="133">
        <v>43832.0</v>
      </c>
      <c r="O518" s="74">
        <v>1.0</v>
      </c>
      <c r="P518" s="74">
        <v>1.0</v>
      </c>
      <c r="Q518" s="119"/>
      <c r="R518" s="74" t="s">
        <v>24763</v>
      </c>
      <c r="S518" s="119"/>
      <c r="T518" s="146">
        <v>43684.0</v>
      </c>
      <c r="U518" s="74">
        <v>33.02</v>
      </c>
      <c r="V518" s="74">
        <v>9999.0</v>
      </c>
      <c r="W518" s="119"/>
      <c r="X518" s="119"/>
      <c r="Y518" s="146">
        <v>43684.0</v>
      </c>
      <c r="Z518" s="74">
        <v>33.05</v>
      </c>
      <c r="AA518" s="74">
        <v>9999.0</v>
      </c>
      <c r="AB518" s="119"/>
      <c r="AC518" s="119"/>
      <c r="AD518" s="119"/>
      <c r="AE518" s="74">
        <v>1.0</v>
      </c>
      <c r="AF518" s="74" t="s">
        <v>18902</v>
      </c>
      <c r="AG518" s="120">
        <v>6817.0</v>
      </c>
      <c r="AH518" s="74" t="s">
        <v>25214</v>
      </c>
      <c r="AI518" s="74" t="s">
        <v>25216</v>
      </c>
      <c r="AJ518" s="120">
        <v>519.0</v>
      </c>
    </row>
    <row r="519">
      <c r="A519" s="74" t="s">
        <v>25218</v>
      </c>
      <c r="B519" s="74" t="s">
        <v>6876</v>
      </c>
      <c r="C519" s="74" t="s">
        <v>6877</v>
      </c>
      <c r="D519" s="74" t="s">
        <v>8493</v>
      </c>
      <c r="E519" s="146">
        <v>43830.0</v>
      </c>
      <c r="F519" s="74" t="s">
        <v>25220</v>
      </c>
      <c r="G519" s="74">
        <v>59.0</v>
      </c>
      <c r="H519" s="74">
        <v>1.0</v>
      </c>
      <c r="I519" s="74">
        <v>7.0</v>
      </c>
      <c r="J519" s="119"/>
      <c r="K519" s="119"/>
      <c r="L519" s="74" t="s">
        <v>907</v>
      </c>
      <c r="M519" s="74" t="s">
        <v>907</v>
      </c>
      <c r="N519" s="133">
        <v>43832.0</v>
      </c>
      <c r="O519" s="74">
        <v>1.0</v>
      </c>
      <c r="P519" s="74">
        <v>1.0</v>
      </c>
      <c r="Q519" s="119"/>
      <c r="R519" s="74" t="s">
        <v>25227</v>
      </c>
      <c r="S519" s="119"/>
      <c r="T519" s="146">
        <v>43683.0</v>
      </c>
      <c r="U519" s="74">
        <v>22.82</v>
      </c>
      <c r="V519" s="74">
        <v>9999.0</v>
      </c>
      <c r="W519" s="119"/>
      <c r="X519" s="119"/>
      <c r="Y519" s="146">
        <v>43683.0</v>
      </c>
      <c r="Z519" s="74">
        <v>9999.0</v>
      </c>
      <c r="AA519" s="74">
        <v>9999.0</v>
      </c>
      <c r="AB519" s="119"/>
      <c r="AC519" s="119"/>
      <c r="AD519" s="119"/>
      <c r="AE519" s="74">
        <v>1.0</v>
      </c>
      <c r="AF519" s="74" t="s">
        <v>18902</v>
      </c>
      <c r="AG519" s="120">
        <v>6818.0</v>
      </c>
      <c r="AH519" s="74" t="s">
        <v>25232</v>
      </c>
      <c r="AI519" s="74" t="s">
        <v>25233</v>
      </c>
      <c r="AJ519" s="120">
        <v>520.0</v>
      </c>
    </row>
    <row r="520">
      <c r="A520" s="74" t="s">
        <v>25220</v>
      </c>
      <c r="B520" s="74" t="s">
        <v>6876</v>
      </c>
      <c r="C520" s="74" t="s">
        <v>6877</v>
      </c>
      <c r="D520" s="74" t="s">
        <v>8493</v>
      </c>
      <c r="E520" s="146">
        <v>43830.0</v>
      </c>
      <c r="F520" s="74" t="s">
        <v>25235</v>
      </c>
      <c r="G520" s="74">
        <v>59.0</v>
      </c>
      <c r="H520" s="74">
        <v>1.0</v>
      </c>
      <c r="I520" s="74">
        <v>7.0</v>
      </c>
      <c r="J520" s="119"/>
      <c r="K520" s="119"/>
      <c r="L520" s="74" t="s">
        <v>909</v>
      </c>
      <c r="M520" s="74" t="s">
        <v>909</v>
      </c>
      <c r="N520" s="133">
        <v>43832.0</v>
      </c>
      <c r="O520" s="74">
        <v>1.0</v>
      </c>
      <c r="P520" s="74">
        <v>1.0</v>
      </c>
      <c r="Q520" s="119"/>
      <c r="R520" s="74" t="s">
        <v>25227</v>
      </c>
      <c r="S520" s="119"/>
      <c r="T520" s="146">
        <v>43683.0</v>
      </c>
      <c r="U520" s="74">
        <v>22.87</v>
      </c>
      <c r="V520" s="74">
        <v>9999.0</v>
      </c>
      <c r="W520" s="119"/>
      <c r="X520" s="119"/>
      <c r="Y520" s="146">
        <v>43683.0</v>
      </c>
      <c r="Z520" s="74">
        <v>33.75</v>
      </c>
      <c r="AA520" s="74">
        <v>9999.0</v>
      </c>
      <c r="AB520" s="119"/>
      <c r="AC520" s="119"/>
      <c r="AD520" s="119"/>
      <c r="AE520" s="74">
        <v>1.0</v>
      </c>
      <c r="AF520" s="74" t="s">
        <v>18902</v>
      </c>
      <c r="AG520" s="120">
        <v>6819.0</v>
      </c>
      <c r="AH520" s="74" t="s">
        <v>25244</v>
      </c>
      <c r="AI520" s="74" t="s">
        <v>25245</v>
      </c>
      <c r="AJ520" s="120">
        <v>521.0</v>
      </c>
    </row>
    <row r="521">
      <c r="A521" s="74" t="s">
        <v>25235</v>
      </c>
      <c r="B521" s="74" t="s">
        <v>6876</v>
      </c>
      <c r="C521" s="74" t="s">
        <v>6877</v>
      </c>
      <c r="D521" s="74" t="s">
        <v>8493</v>
      </c>
      <c r="E521" s="146">
        <v>43830.0</v>
      </c>
      <c r="F521" s="74" t="s">
        <v>25246</v>
      </c>
      <c r="G521" s="74">
        <v>59.0</v>
      </c>
      <c r="H521" s="74">
        <v>1.0</v>
      </c>
      <c r="I521" s="74">
        <v>99.0</v>
      </c>
      <c r="J521" s="119"/>
      <c r="K521" s="119"/>
      <c r="L521" s="74" t="s">
        <v>912</v>
      </c>
      <c r="M521" s="74" t="s">
        <v>912</v>
      </c>
      <c r="N521" s="133">
        <v>43832.0</v>
      </c>
      <c r="O521" s="74">
        <v>1.0</v>
      </c>
      <c r="P521" s="74">
        <v>1.0</v>
      </c>
      <c r="Q521" s="119"/>
      <c r="R521" s="74" t="s">
        <v>25227</v>
      </c>
      <c r="S521" s="119"/>
      <c r="T521" s="146">
        <v>43683.0</v>
      </c>
      <c r="U521" s="74">
        <v>30.8</v>
      </c>
      <c r="V521" s="74">
        <v>9999.0</v>
      </c>
      <c r="W521" s="119"/>
      <c r="X521" s="119"/>
      <c r="Y521" s="146">
        <v>43683.0</v>
      </c>
      <c r="Z521" s="74">
        <v>31.14</v>
      </c>
      <c r="AA521" s="74">
        <v>9999.0</v>
      </c>
      <c r="AB521" s="119"/>
      <c r="AC521" s="119"/>
      <c r="AD521" s="74" t="s">
        <v>25257</v>
      </c>
      <c r="AE521" s="74">
        <v>1.0</v>
      </c>
      <c r="AF521" s="74" t="s">
        <v>18902</v>
      </c>
      <c r="AG521" s="120">
        <v>6820.0</v>
      </c>
      <c r="AH521" s="74" t="s">
        <v>25259</v>
      </c>
      <c r="AI521" s="74" t="s">
        <v>25260</v>
      </c>
      <c r="AJ521" s="120">
        <v>522.0</v>
      </c>
    </row>
    <row r="522">
      <c r="A522" s="74" t="s">
        <v>25246</v>
      </c>
      <c r="B522" s="74" t="s">
        <v>6876</v>
      </c>
      <c r="C522" s="74" t="s">
        <v>6877</v>
      </c>
      <c r="D522" s="74" t="s">
        <v>8493</v>
      </c>
      <c r="E522" s="146">
        <v>43830.0</v>
      </c>
      <c r="F522" s="74" t="s">
        <v>25264</v>
      </c>
      <c r="G522" s="74">
        <v>57.0</v>
      </c>
      <c r="H522" s="74">
        <v>1.0</v>
      </c>
      <c r="I522" s="74">
        <v>12.0</v>
      </c>
      <c r="J522" s="119"/>
      <c r="K522" s="119"/>
      <c r="L522" s="74" t="s">
        <v>916</v>
      </c>
      <c r="M522" s="74" t="s">
        <v>916</v>
      </c>
      <c r="N522" s="133">
        <v>43832.0</v>
      </c>
      <c r="O522" s="74">
        <v>1.0</v>
      </c>
      <c r="P522" s="74">
        <v>1.0</v>
      </c>
      <c r="Q522" s="119"/>
      <c r="R522" s="74" t="s">
        <v>25227</v>
      </c>
      <c r="S522" s="119"/>
      <c r="T522" s="146">
        <v>43684.0</v>
      </c>
      <c r="U522" s="74">
        <v>17.57</v>
      </c>
      <c r="V522" s="74">
        <v>9999.0</v>
      </c>
      <c r="W522" s="119"/>
      <c r="X522" s="119"/>
      <c r="Y522" s="146">
        <v>43684.0</v>
      </c>
      <c r="Z522" s="74">
        <v>32.21</v>
      </c>
      <c r="AA522" s="74">
        <v>9999.0</v>
      </c>
      <c r="AB522" s="119"/>
      <c r="AC522" s="119"/>
      <c r="AD522" s="119"/>
      <c r="AE522" s="74">
        <v>1.0</v>
      </c>
      <c r="AF522" s="74" t="s">
        <v>18902</v>
      </c>
      <c r="AG522" s="120">
        <v>6821.0</v>
      </c>
      <c r="AH522" s="74" t="s">
        <v>25273</v>
      </c>
      <c r="AI522" s="74" t="s">
        <v>25274</v>
      </c>
      <c r="AJ522" s="120">
        <v>523.0</v>
      </c>
    </row>
    <row r="523">
      <c r="A523" s="74" t="s">
        <v>25264</v>
      </c>
      <c r="B523" s="74" t="s">
        <v>6876</v>
      </c>
      <c r="C523" s="74" t="s">
        <v>6877</v>
      </c>
      <c r="D523" s="74" t="s">
        <v>8493</v>
      </c>
      <c r="E523" s="146">
        <v>43830.0</v>
      </c>
      <c r="F523" s="74" t="s">
        <v>25279</v>
      </c>
      <c r="G523" s="74">
        <v>57.0</v>
      </c>
      <c r="H523" s="74">
        <v>1.0</v>
      </c>
      <c r="I523" s="74">
        <v>12.0</v>
      </c>
      <c r="J523" s="119"/>
      <c r="K523" s="119"/>
      <c r="L523" s="74" t="s">
        <v>918</v>
      </c>
      <c r="M523" s="74" t="s">
        <v>918</v>
      </c>
      <c r="N523" s="133">
        <v>43832.0</v>
      </c>
      <c r="O523" s="74">
        <v>1.0</v>
      </c>
      <c r="P523" s="74">
        <v>1.0</v>
      </c>
      <c r="Q523" s="119"/>
      <c r="R523" s="74" t="s">
        <v>24763</v>
      </c>
      <c r="S523" s="119"/>
      <c r="T523" s="146">
        <v>43684.0</v>
      </c>
      <c r="U523" s="74">
        <v>22.72</v>
      </c>
      <c r="V523" s="74">
        <v>9999.0</v>
      </c>
      <c r="W523" s="119"/>
      <c r="X523" s="119"/>
      <c r="Y523" s="146">
        <v>43684.0</v>
      </c>
      <c r="Z523" s="74">
        <v>32.45</v>
      </c>
      <c r="AA523" s="74">
        <v>9999.0</v>
      </c>
      <c r="AB523" s="119"/>
      <c r="AC523" s="119"/>
      <c r="AD523" s="119"/>
      <c r="AE523" s="74">
        <v>1.0</v>
      </c>
      <c r="AF523" s="74" t="s">
        <v>18902</v>
      </c>
      <c r="AG523" s="120">
        <v>6822.0</v>
      </c>
      <c r="AH523" s="74" t="s">
        <v>25285</v>
      </c>
      <c r="AI523" s="74" t="s">
        <v>25286</v>
      </c>
      <c r="AJ523" s="120">
        <v>524.0</v>
      </c>
    </row>
    <row r="524">
      <c r="A524" s="74" t="s">
        <v>25279</v>
      </c>
      <c r="B524" s="74" t="s">
        <v>6876</v>
      </c>
      <c r="C524" s="74" t="s">
        <v>6877</v>
      </c>
      <c r="D524" s="74" t="s">
        <v>8493</v>
      </c>
      <c r="E524" s="146">
        <v>43830.0</v>
      </c>
      <c r="F524" s="74" t="s">
        <v>25289</v>
      </c>
      <c r="G524" s="74">
        <v>55.0</v>
      </c>
      <c r="H524" s="74">
        <v>1.0</v>
      </c>
      <c r="I524" s="74">
        <v>12.0</v>
      </c>
      <c r="J524" s="119"/>
      <c r="K524" s="119"/>
      <c r="L524" s="74" t="s">
        <v>920</v>
      </c>
      <c r="M524" s="74" t="s">
        <v>920</v>
      </c>
      <c r="N524" s="133">
        <v>43832.0</v>
      </c>
      <c r="O524" s="74">
        <v>1.0</v>
      </c>
      <c r="P524" s="74">
        <v>1.0</v>
      </c>
      <c r="Q524" s="119"/>
      <c r="R524" s="74" t="s">
        <v>24763</v>
      </c>
      <c r="S524" s="119"/>
      <c r="T524" s="146">
        <v>43684.0</v>
      </c>
      <c r="U524" s="74">
        <v>22.71</v>
      </c>
      <c r="V524" s="74">
        <v>9999.0</v>
      </c>
      <c r="W524" s="119"/>
      <c r="X524" s="119"/>
      <c r="Y524" s="146">
        <v>43684.0</v>
      </c>
      <c r="Z524" s="74">
        <v>31.24</v>
      </c>
      <c r="AA524" s="74">
        <v>9999.0</v>
      </c>
      <c r="AB524" s="119"/>
      <c r="AC524" s="119"/>
      <c r="AD524" s="119"/>
      <c r="AE524" s="74">
        <v>1.0</v>
      </c>
      <c r="AF524" s="74" t="s">
        <v>18902</v>
      </c>
      <c r="AG524" s="120">
        <v>6823.0</v>
      </c>
      <c r="AH524" s="74" t="s">
        <v>25298</v>
      </c>
      <c r="AI524" s="74" t="s">
        <v>25299</v>
      </c>
      <c r="AJ524" s="120">
        <v>525.0</v>
      </c>
    </row>
    <row r="525">
      <c r="A525" s="74" t="s">
        <v>25289</v>
      </c>
      <c r="B525" s="74" t="s">
        <v>6876</v>
      </c>
      <c r="C525" s="74" t="s">
        <v>6877</v>
      </c>
      <c r="D525" s="74" t="s">
        <v>8493</v>
      </c>
      <c r="E525" s="146">
        <v>43830.0</v>
      </c>
      <c r="F525" s="74" t="s">
        <v>25302</v>
      </c>
      <c r="G525" s="74">
        <v>65.0</v>
      </c>
      <c r="H525" s="74">
        <v>1.0</v>
      </c>
      <c r="I525" s="74">
        <v>12.0</v>
      </c>
      <c r="J525" s="119"/>
      <c r="K525" s="119"/>
      <c r="L525" s="74" t="s">
        <v>921</v>
      </c>
      <c r="M525" s="74" t="s">
        <v>921</v>
      </c>
      <c r="N525" s="133">
        <v>43832.0</v>
      </c>
      <c r="O525" s="74">
        <v>1.0</v>
      </c>
      <c r="P525" s="74">
        <v>1.0</v>
      </c>
      <c r="Q525" s="119"/>
      <c r="R525" s="74" t="s">
        <v>24763</v>
      </c>
      <c r="S525" s="119"/>
      <c r="T525" s="146">
        <v>43684.0</v>
      </c>
      <c r="U525" s="74">
        <v>22.8</v>
      </c>
      <c r="V525" s="74">
        <v>9999.0</v>
      </c>
      <c r="W525" s="119"/>
      <c r="X525" s="119"/>
      <c r="Y525" s="146">
        <v>43684.0</v>
      </c>
      <c r="Z525" s="74">
        <v>31.61</v>
      </c>
      <c r="AA525" s="74">
        <v>9999.0</v>
      </c>
      <c r="AB525" s="119"/>
      <c r="AC525" s="119"/>
      <c r="AD525" s="119"/>
      <c r="AE525" s="74">
        <v>1.0</v>
      </c>
      <c r="AF525" s="74" t="s">
        <v>18902</v>
      </c>
      <c r="AG525" s="120">
        <v>6824.0</v>
      </c>
      <c r="AH525" s="74" t="s">
        <v>25313</v>
      </c>
      <c r="AI525" s="74" t="s">
        <v>25314</v>
      </c>
      <c r="AJ525" s="120">
        <v>526.0</v>
      </c>
    </row>
    <row r="526">
      <c r="A526" s="74" t="s">
        <v>25302</v>
      </c>
      <c r="B526" s="74" t="s">
        <v>6876</v>
      </c>
      <c r="C526" s="74" t="s">
        <v>6877</v>
      </c>
      <c r="D526" s="74" t="s">
        <v>8493</v>
      </c>
      <c r="E526" s="146">
        <v>43830.0</v>
      </c>
      <c r="F526" s="74" t="s">
        <v>25318</v>
      </c>
      <c r="G526" s="74">
        <v>58.0</v>
      </c>
      <c r="H526" s="74">
        <v>1.0</v>
      </c>
      <c r="I526" s="74">
        <v>7.0</v>
      </c>
      <c r="J526" s="119"/>
      <c r="K526" s="119"/>
      <c r="L526" s="74" t="s">
        <v>924</v>
      </c>
      <c r="M526" s="74" t="s">
        <v>924</v>
      </c>
      <c r="N526" s="133">
        <v>43832.0</v>
      </c>
      <c r="O526" s="74">
        <v>1.0</v>
      </c>
      <c r="P526" s="74">
        <v>1.0</v>
      </c>
      <c r="Q526" s="119"/>
      <c r="R526" s="74" t="s">
        <v>24763</v>
      </c>
      <c r="S526" s="119"/>
      <c r="T526" s="146">
        <v>43684.0</v>
      </c>
      <c r="U526" s="74">
        <v>28.91</v>
      </c>
      <c r="V526" s="74">
        <v>9999.0</v>
      </c>
      <c r="W526" s="119"/>
      <c r="X526" s="119"/>
      <c r="Y526" s="146">
        <v>43684.0</v>
      </c>
      <c r="Z526" s="74">
        <v>28.64</v>
      </c>
      <c r="AA526" s="74">
        <v>9999.0</v>
      </c>
      <c r="AB526" s="119"/>
      <c r="AC526" s="119"/>
      <c r="AD526" s="119"/>
      <c r="AE526" s="74">
        <v>1.0</v>
      </c>
      <c r="AF526" s="74" t="s">
        <v>18902</v>
      </c>
      <c r="AG526" s="120">
        <v>6825.0</v>
      </c>
      <c r="AH526" s="74" t="s">
        <v>25328</v>
      </c>
      <c r="AI526" s="74" t="s">
        <v>25329</v>
      </c>
      <c r="AJ526" s="120">
        <v>527.0</v>
      </c>
    </row>
    <row r="527">
      <c r="A527" s="74" t="s">
        <v>25318</v>
      </c>
      <c r="B527" s="74" t="s">
        <v>6876</v>
      </c>
      <c r="C527" s="74" t="s">
        <v>6877</v>
      </c>
      <c r="D527" s="74" t="s">
        <v>8493</v>
      </c>
      <c r="E527" s="146">
        <v>43830.0</v>
      </c>
      <c r="F527" s="74" t="s">
        <v>25332</v>
      </c>
      <c r="G527" s="74">
        <v>58.0</v>
      </c>
      <c r="H527" s="74">
        <v>1.0</v>
      </c>
      <c r="I527" s="74">
        <v>7.0</v>
      </c>
      <c r="J527" s="119"/>
      <c r="K527" s="119"/>
      <c r="L527" s="74" t="s">
        <v>925</v>
      </c>
      <c r="M527" s="74" t="s">
        <v>925</v>
      </c>
      <c r="N527" s="133">
        <v>43832.0</v>
      </c>
      <c r="O527" s="74">
        <v>1.0</v>
      </c>
      <c r="P527" s="74">
        <v>1.0</v>
      </c>
      <c r="Q527" s="119"/>
      <c r="R527" s="74" t="s">
        <v>24763</v>
      </c>
      <c r="S527" s="119"/>
      <c r="T527" s="146">
        <v>43684.0</v>
      </c>
      <c r="U527" s="74">
        <v>28.94</v>
      </c>
      <c r="V527" s="74">
        <v>9999.0</v>
      </c>
      <c r="W527" s="119"/>
      <c r="X527" s="119"/>
      <c r="Y527" s="146">
        <v>43684.0</v>
      </c>
      <c r="Z527" s="74">
        <v>35.5</v>
      </c>
      <c r="AA527" s="74">
        <v>9999.0</v>
      </c>
      <c r="AB527" s="119"/>
      <c r="AC527" s="119"/>
      <c r="AD527" s="119"/>
      <c r="AE527" s="74">
        <v>1.0</v>
      </c>
      <c r="AF527" s="74" t="s">
        <v>18902</v>
      </c>
      <c r="AG527" s="120">
        <v>6826.0</v>
      </c>
      <c r="AH527" s="74" t="s">
        <v>25339</v>
      </c>
      <c r="AI527" s="74" t="s">
        <v>25341</v>
      </c>
      <c r="AJ527" s="120">
        <v>528.0</v>
      </c>
    </row>
    <row r="528">
      <c r="A528" s="74" t="s">
        <v>25345</v>
      </c>
      <c r="B528" s="74" t="s">
        <v>6876</v>
      </c>
      <c r="C528" s="74" t="s">
        <v>6877</v>
      </c>
      <c r="D528" s="74" t="s">
        <v>8493</v>
      </c>
      <c r="E528" s="146">
        <v>43830.0</v>
      </c>
      <c r="F528" s="74" t="s">
        <v>25347</v>
      </c>
      <c r="G528" s="74">
        <v>57.0</v>
      </c>
      <c r="H528" s="74">
        <v>1.0</v>
      </c>
      <c r="I528" s="74">
        <v>12.0</v>
      </c>
      <c r="J528" s="119"/>
      <c r="K528" s="119"/>
      <c r="L528" s="74" t="s">
        <v>929</v>
      </c>
      <c r="M528" s="74" t="s">
        <v>929</v>
      </c>
      <c r="N528" s="133">
        <v>43832.0</v>
      </c>
      <c r="O528" s="74">
        <v>1.0</v>
      </c>
      <c r="P528" s="74">
        <v>1.0</v>
      </c>
      <c r="Q528" s="119"/>
      <c r="R528" s="74" t="s">
        <v>24763</v>
      </c>
      <c r="S528" s="119"/>
      <c r="T528" s="146">
        <v>43684.0</v>
      </c>
      <c r="U528" s="74">
        <v>25.36</v>
      </c>
      <c r="V528" s="74">
        <v>9999.0</v>
      </c>
      <c r="W528" s="119"/>
      <c r="X528" s="119"/>
      <c r="Y528" s="146">
        <v>43684.0</v>
      </c>
      <c r="Z528" s="74">
        <v>34.53</v>
      </c>
      <c r="AA528" s="74">
        <v>9999.0</v>
      </c>
      <c r="AB528" s="119"/>
      <c r="AC528" s="119"/>
      <c r="AD528" s="119"/>
      <c r="AE528" s="74">
        <v>1.0</v>
      </c>
      <c r="AF528" s="74" t="s">
        <v>18902</v>
      </c>
      <c r="AG528" s="120">
        <v>6827.0</v>
      </c>
      <c r="AH528" s="74" t="s">
        <v>25352</v>
      </c>
      <c r="AI528" s="74" t="s">
        <v>25355</v>
      </c>
      <c r="AJ528" s="120">
        <v>529.0</v>
      </c>
    </row>
    <row r="529">
      <c r="A529" s="74" t="s">
        <v>25347</v>
      </c>
      <c r="B529" s="74" t="s">
        <v>6876</v>
      </c>
      <c r="C529" s="74" t="s">
        <v>6877</v>
      </c>
      <c r="D529" s="74" t="s">
        <v>8493</v>
      </c>
      <c r="E529" s="146">
        <v>43830.0</v>
      </c>
      <c r="F529" s="74" t="s">
        <v>25360</v>
      </c>
      <c r="G529" s="74">
        <v>57.0</v>
      </c>
      <c r="H529" s="74">
        <v>1.0</v>
      </c>
      <c r="I529" s="74">
        <v>12.0</v>
      </c>
      <c r="J529" s="119"/>
      <c r="K529" s="119"/>
      <c r="L529" s="74" t="s">
        <v>948</v>
      </c>
      <c r="M529" s="74" t="s">
        <v>948</v>
      </c>
      <c r="N529" s="133">
        <v>43832.0</v>
      </c>
      <c r="O529" s="74">
        <v>1.0</v>
      </c>
      <c r="P529" s="74">
        <v>1.0</v>
      </c>
      <c r="Q529" s="119"/>
      <c r="R529" s="74" t="s">
        <v>24763</v>
      </c>
      <c r="S529" s="119"/>
      <c r="T529" s="146">
        <v>43684.0</v>
      </c>
      <c r="U529" s="74">
        <v>24.47</v>
      </c>
      <c r="V529" s="74">
        <v>9999.0</v>
      </c>
      <c r="W529" s="119"/>
      <c r="X529" s="119"/>
      <c r="Y529" s="146">
        <v>43684.0</v>
      </c>
      <c r="Z529" s="74">
        <v>34.54</v>
      </c>
      <c r="AA529" s="74">
        <v>9999.0</v>
      </c>
      <c r="AB529" s="119"/>
      <c r="AC529" s="119"/>
      <c r="AD529" s="119"/>
      <c r="AE529" s="74">
        <v>1.0</v>
      </c>
      <c r="AF529" s="74" t="s">
        <v>18902</v>
      </c>
      <c r="AG529" s="120">
        <v>6828.0</v>
      </c>
      <c r="AH529" s="74" t="s">
        <v>25369</v>
      </c>
      <c r="AI529" s="74" t="s">
        <v>25370</v>
      </c>
      <c r="AJ529" s="120">
        <v>530.0</v>
      </c>
    </row>
    <row r="530">
      <c r="A530" s="74" t="s">
        <v>25373</v>
      </c>
      <c r="B530" s="74" t="s">
        <v>6876</v>
      </c>
      <c r="C530" s="74" t="s">
        <v>6877</v>
      </c>
      <c r="D530" s="74" t="s">
        <v>8493</v>
      </c>
      <c r="E530" s="146">
        <v>43830.0</v>
      </c>
      <c r="F530" s="74" t="s">
        <v>25375</v>
      </c>
      <c r="G530" s="74">
        <v>57.0</v>
      </c>
      <c r="H530" s="74">
        <v>1.0</v>
      </c>
      <c r="I530" s="74">
        <v>12.0</v>
      </c>
      <c r="J530" s="119"/>
      <c r="K530" s="119"/>
      <c r="L530" s="74" t="s">
        <v>931</v>
      </c>
      <c r="M530" s="74" t="s">
        <v>931</v>
      </c>
      <c r="N530" s="133">
        <v>43832.0</v>
      </c>
      <c r="O530" s="74">
        <v>1.0</v>
      </c>
      <c r="P530" s="74">
        <v>1.0</v>
      </c>
      <c r="Q530" s="119"/>
      <c r="R530" s="74" t="s">
        <v>24763</v>
      </c>
      <c r="S530" s="119"/>
      <c r="T530" s="146">
        <v>43684.0</v>
      </c>
      <c r="U530" s="74">
        <v>23.71</v>
      </c>
      <c r="V530" s="74">
        <v>9999.0</v>
      </c>
      <c r="W530" s="119"/>
      <c r="X530" s="119"/>
      <c r="Y530" s="146">
        <v>43684.0</v>
      </c>
      <c r="Z530" s="74">
        <v>33.54</v>
      </c>
      <c r="AA530" s="74">
        <v>9999.0</v>
      </c>
      <c r="AB530" s="119"/>
      <c r="AC530" s="119"/>
      <c r="AD530" s="119"/>
      <c r="AE530" s="74">
        <v>1.0</v>
      </c>
      <c r="AF530" s="74" t="s">
        <v>18902</v>
      </c>
      <c r="AG530" s="120">
        <v>6829.0</v>
      </c>
      <c r="AH530" s="74" t="s">
        <v>25379</v>
      </c>
      <c r="AI530" s="74" t="s">
        <v>25381</v>
      </c>
      <c r="AJ530" s="120">
        <v>531.0</v>
      </c>
    </row>
    <row r="531">
      <c r="A531" s="74" t="s">
        <v>25375</v>
      </c>
      <c r="B531" s="74" t="s">
        <v>6876</v>
      </c>
      <c r="C531" s="74" t="s">
        <v>6877</v>
      </c>
      <c r="D531" s="74" t="s">
        <v>8493</v>
      </c>
      <c r="E531" s="146">
        <v>43830.0</v>
      </c>
      <c r="F531" s="74" t="s">
        <v>25383</v>
      </c>
      <c r="G531" s="74">
        <v>57.0</v>
      </c>
      <c r="H531" s="74">
        <v>1.0</v>
      </c>
      <c r="I531" s="74">
        <v>12.0</v>
      </c>
      <c r="J531" s="119"/>
      <c r="K531" s="119"/>
      <c r="L531" s="74" t="s">
        <v>949</v>
      </c>
      <c r="M531" s="74" t="s">
        <v>949</v>
      </c>
      <c r="N531" s="133">
        <v>43832.0</v>
      </c>
      <c r="O531" s="74">
        <v>1.0</v>
      </c>
      <c r="P531" s="74">
        <v>1.0</v>
      </c>
      <c r="Q531" s="119"/>
      <c r="R531" s="74" t="s">
        <v>24763</v>
      </c>
      <c r="S531" s="119"/>
      <c r="T531" s="146">
        <v>43684.0</v>
      </c>
      <c r="U531" s="74">
        <v>23.18</v>
      </c>
      <c r="V531" s="74">
        <v>9999.0</v>
      </c>
      <c r="W531" s="119"/>
      <c r="X531" s="119"/>
      <c r="Y531" s="146">
        <v>43684.0</v>
      </c>
      <c r="Z531" s="74">
        <v>32.78</v>
      </c>
      <c r="AA531" s="74">
        <v>9999.0</v>
      </c>
      <c r="AB531" s="119"/>
      <c r="AC531" s="119"/>
      <c r="AD531" s="119"/>
      <c r="AE531" s="74">
        <v>1.0</v>
      </c>
      <c r="AF531" s="74" t="s">
        <v>18902</v>
      </c>
      <c r="AG531" s="120">
        <v>6830.0</v>
      </c>
      <c r="AH531" s="74" t="s">
        <v>25388</v>
      </c>
      <c r="AI531" s="74" t="s">
        <v>25389</v>
      </c>
      <c r="AJ531" s="120">
        <v>532.0</v>
      </c>
    </row>
    <row r="532">
      <c r="A532" s="74" t="s">
        <v>25383</v>
      </c>
      <c r="B532" s="74" t="s">
        <v>6876</v>
      </c>
      <c r="C532" s="74" t="s">
        <v>6877</v>
      </c>
      <c r="D532" s="74" t="s">
        <v>8493</v>
      </c>
      <c r="E532" s="146">
        <v>43830.0</v>
      </c>
      <c r="F532" s="74" t="s">
        <v>25393</v>
      </c>
      <c r="G532" s="74">
        <v>66.0</v>
      </c>
      <c r="H532" s="74">
        <v>1.0</v>
      </c>
      <c r="I532" s="74">
        <v>12.0</v>
      </c>
      <c r="J532" s="119"/>
      <c r="K532" s="119"/>
      <c r="L532" s="74" t="s">
        <v>934</v>
      </c>
      <c r="M532" s="74" t="s">
        <v>934</v>
      </c>
      <c r="N532" s="133">
        <v>43832.0</v>
      </c>
      <c r="O532" s="74">
        <v>1.0</v>
      </c>
      <c r="P532" s="74">
        <v>1.0</v>
      </c>
      <c r="Q532" s="119"/>
      <c r="R532" s="74" t="s">
        <v>24763</v>
      </c>
      <c r="S532" s="119"/>
      <c r="T532" s="146">
        <v>43684.0</v>
      </c>
      <c r="U532" s="74">
        <v>26.08</v>
      </c>
      <c r="V532" s="74">
        <v>9999.0</v>
      </c>
      <c r="W532" s="119"/>
      <c r="X532" s="119"/>
      <c r="Y532" s="146">
        <v>43684.0</v>
      </c>
      <c r="Z532" s="74">
        <v>31.25</v>
      </c>
      <c r="AA532" s="74">
        <v>9999.0</v>
      </c>
      <c r="AB532" s="119"/>
      <c r="AC532" s="119"/>
      <c r="AD532" s="119"/>
      <c r="AE532" s="74">
        <v>1.0</v>
      </c>
      <c r="AF532" s="74" t="s">
        <v>18902</v>
      </c>
      <c r="AG532" s="120">
        <v>6831.0</v>
      </c>
      <c r="AH532" s="74" t="s">
        <v>25401</v>
      </c>
      <c r="AI532" s="74" t="s">
        <v>25402</v>
      </c>
      <c r="AJ532" s="120">
        <v>533.0</v>
      </c>
    </row>
    <row r="533">
      <c r="A533" s="74" t="s">
        <v>25404</v>
      </c>
      <c r="B533" s="74" t="s">
        <v>6876</v>
      </c>
      <c r="C533" s="74" t="s">
        <v>6877</v>
      </c>
      <c r="D533" s="74" t="s">
        <v>8493</v>
      </c>
      <c r="E533" s="146">
        <v>43830.0</v>
      </c>
      <c r="F533" s="74" t="s">
        <v>25406</v>
      </c>
      <c r="G533" s="74">
        <v>66.0</v>
      </c>
      <c r="H533" s="74">
        <v>1.0</v>
      </c>
      <c r="I533" s="74">
        <v>12.0</v>
      </c>
      <c r="J533" s="119"/>
      <c r="K533" s="119"/>
      <c r="L533" s="74" t="s">
        <v>950</v>
      </c>
      <c r="M533" s="74" t="s">
        <v>950</v>
      </c>
      <c r="N533" s="133">
        <v>43832.0</v>
      </c>
      <c r="O533" s="74">
        <v>1.0</v>
      </c>
      <c r="P533" s="74">
        <v>1.0</v>
      </c>
      <c r="Q533" s="119"/>
      <c r="R533" s="74" t="s">
        <v>24763</v>
      </c>
      <c r="S533" s="119"/>
      <c r="T533" s="146">
        <v>43684.0</v>
      </c>
      <c r="U533" s="74">
        <v>25.26</v>
      </c>
      <c r="V533" s="74">
        <v>9999.0</v>
      </c>
      <c r="W533" s="119"/>
      <c r="X533" s="119"/>
      <c r="Y533" s="146">
        <v>43684.0</v>
      </c>
      <c r="Z533" s="74">
        <v>31.23</v>
      </c>
      <c r="AA533" s="74">
        <v>9999.0</v>
      </c>
      <c r="AB533" s="119"/>
      <c r="AC533" s="119"/>
      <c r="AD533" s="119"/>
      <c r="AE533" s="74">
        <v>1.0</v>
      </c>
      <c r="AF533" s="74" t="s">
        <v>18902</v>
      </c>
      <c r="AG533" s="120">
        <v>6832.0</v>
      </c>
      <c r="AH533" s="74" t="s">
        <v>25416</v>
      </c>
      <c r="AI533" s="74" t="s">
        <v>25417</v>
      </c>
      <c r="AJ533" s="120">
        <v>534.0</v>
      </c>
    </row>
    <row r="534">
      <c r="A534" s="74" t="s">
        <v>25406</v>
      </c>
      <c r="B534" s="74" t="s">
        <v>6876</v>
      </c>
      <c r="C534" s="74" t="s">
        <v>6877</v>
      </c>
      <c r="D534" s="74" t="s">
        <v>8493</v>
      </c>
      <c r="E534" s="146">
        <v>43830.0</v>
      </c>
      <c r="F534" s="74" t="s">
        <v>25418</v>
      </c>
      <c r="G534" s="74">
        <v>59.0</v>
      </c>
      <c r="H534" s="74">
        <v>1.0</v>
      </c>
      <c r="I534" s="74">
        <v>12.0</v>
      </c>
      <c r="J534" s="119"/>
      <c r="K534" s="119"/>
      <c r="L534" s="74" t="s">
        <v>937</v>
      </c>
      <c r="M534" s="74" t="s">
        <v>937</v>
      </c>
      <c r="N534" s="133">
        <v>43832.0</v>
      </c>
      <c r="O534" s="74">
        <v>1.0</v>
      </c>
      <c r="P534" s="74">
        <v>1.0</v>
      </c>
      <c r="Q534" s="119"/>
      <c r="R534" s="74" t="s">
        <v>24763</v>
      </c>
      <c r="S534" s="119"/>
      <c r="T534" s="146">
        <v>43684.0</v>
      </c>
      <c r="U534" s="74">
        <v>22.84</v>
      </c>
      <c r="V534" s="74">
        <v>9999.0</v>
      </c>
      <c r="W534" s="119"/>
      <c r="X534" s="119"/>
      <c r="Y534" s="146">
        <v>43684.0</v>
      </c>
      <c r="Z534" s="74">
        <v>31.82</v>
      </c>
      <c r="AA534" s="74">
        <v>9999.0</v>
      </c>
      <c r="AB534" s="119"/>
      <c r="AC534" s="119"/>
      <c r="AD534" s="119"/>
      <c r="AE534" s="74">
        <v>1.0</v>
      </c>
      <c r="AF534" s="74" t="s">
        <v>18902</v>
      </c>
      <c r="AG534" s="120">
        <v>6833.0</v>
      </c>
      <c r="AH534" s="74" t="s">
        <v>25427</v>
      </c>
      <c r="AI534" s="74" t="s">
        <v>25428</v>
      </c>
      <c r="AJ534" s="120">
        <v>535.0</v>
      </c>
    </row>
    <row r="535">
      <c r="A535" s="74" t="s">
        <v>25429</v>
      </c>
      <c r="B535" s="74" t="s">
        <v>6876</v>
      </c>
      <c r="C535" s="74" t="s">
        <v>6877</v>
      </c>
      <c r="D535" s="74" t="s">
        <v>8493</v>
      </c>
      <c r="E535" s="146">
        <v>43830.0</v>
      </c>
      <c r="F535" s="74" t="s">
        <v>25431</v>
      </c>
      <c r="G535" s="74">
        <v>59.0</v>
      </c>
      <c r="H535" s="74">
        <v>1.0</v>
      </c>
      <c r="I535" s="74">
        <v>12.0</v>
      </c>
      <c r="J535" s="119"/>
      <c r="K535" s="119"/>
      <c r="L535" s="74" t="s">
        <v>951</v>
      </c>
      <c r="M535" s="74" t="s">
        <v>951</v>
      </c>
      <c r="N535" s="133">
        <v>43832.0</v>
      </c>
      <c r="O535" s="74">
        <v>1.0</v>
      </c>
      <c r="P535" s="74">
        <v>1.0</v>
      </c>
      <c r="Q535" s="119"/>
      <c r="R535" s="74" t="s">
        <v>24763</v>
      </c>
      <c r="S535" s="119"/>
      <c r="T535" s="146">
        <v>43684.0</v>
      </c>
      <c r="U535" s="74">
        <v>23.9</v>
      </c>
      <c r="V535" s="74">
        <v>9999.0</v>
      </c>
      <c r="W535" s="119"/>
      <c r="X535" s="119"/>
      <c r="Y535" s="146">
        <v>43684.0</v>
      </c>
      <c r="Z535" s="74">
        <v>32.39</v>
      </c>
      <c r="AA535" s="74">
        <v>9999.0</v>
      </c>
      <c r="AB535" s="119"/>
      <c r="AC535" s="119"/>
      <c r="AD535" s="119"/>
      <c r="AE535" s="74">
        <v>1.0</v>
      </c>
      <c r="AF535" s="74" t="s">
        <v>18902</v>
      </c>
      <c r="AG535" s="120">
        <v>6834.0</v>
      </c>
      <c r="AH535" s="74" t="s">
        <v>25437</v>
      </c>
      <c r="AI535" s="74" t="s">
        <v>25439</v>
      </c>
      <c r="AJ535" s="120">
        <v>536.0</v>
      </c>
    </row>
    <row r="536">
      <c r="A536" s="74" t="s">
        <v>25440</v>
      </c>
      <c r="B536" s="74" t="s">
        <v>6876</v>
      </c>
      <c r="C536" s="74" t="s">
        <v>6877</v>
      </c>
      <c r="D536" s="74" t="s">
        <v>8493</v>
      </c>
      <c r="E536" s="146">
        <v>43830.0</v>
      </c>
      <c r="F536" s="74" t="s">
        <v>25441</v>
      </c>
      <c r="G536" s="74">
        <v>66.0</v>
      </c>
      <c r="H536" s="74">
        <v>1.0</v>
      </c>
      <c r="I536" s="74">
        <v>99.0</v>
      </c>
      <c r="J536" s="119"/>
      <c r="K536" s="119"/>
      <c r="L536" s="74" t="s">
        <v>941</v>
      </c>
      <c r="M536" s="74" t="s">
        <v>941</v>
      </c>
      <c r="N536" s="133">
        <v>43832.0</v>
      </c>
      <c r="O536" s="74">
        <v>1.0</v>
      </c>
      <c r="P536" s="74">
        <v>1.0</v>
      </c>
      <c r="Q536" s="119"/>
      <c r="R536" s="74" t="s">
        <v>24763</v>
      </c>
      <c r="S536" s="119"/>
      <c r="T536" s="146">
        <v>43684.0</v>
      </c>
      <c r="U536" s="74">
        <v>32.77</v>
      </c>
      <c r="V536" s="74">
        <v>9999.0</v>
      </c>
      <c r="W536" s="119"/>
      <c r="X536" s="119"/>
      <c r="Y536" s="146">
        <v>43684.0</v>
      </c>
      <c r="Z536" s="74">
        <v>32.86</v>
      </c>
      <c r="AA536" s="74">
        <v>9999.0</v>
      </c>
      <c r="AB536" s="119"/>
      <c r="AC536" s="119"/>
      <c r="AD536" s="119"/>
      <c r="AE536" s="74">
        <v>1.0</v>
      </c>
      <c r="AF536" s="74" t="s">
        <v>18902</v>
      </c>
      <c r="AG536" s="120">
        <v>6835.0</v>
      </c>
      <c r="AH536" s="74" t="s">
        <v>25448</v>
      </c>
      <c r="AI536" s="74" t="s">
        <v>25449</v>
      </c>
      <c r="AJ536" s="120">
        <v>537.0</v>
      </c>
    </row>
    <row r="537">
      <c r="A537" s="74" t="s">
        <v>25441</v>
      </c>
      <c r="B537" s="74" t="s">
        <v>6876</v>
      </c>
      <c r="C537" s="74" t="s">
        <v>6877</v>
      </c>
      <c r="D537" s="74" t="s">
        <v>8493</v>
      </c>
      <c r="E537" s="146">
        <v>43830.0</v>
      </c>
      <c r="F537" s="74" t="s">
        <v>25453</v>
      </c>
      <c r="G537" s="74">
        <v>58.0</v>
      </c>
      <c r="H537" s="74">
        <v>1.0</v>
      </c>
      <c r="I537" s="74">
        <v>8.0</v>
      </c>
      <c r="J537" s="119"/>
      <c r="K537" s="119"/>
      <c r="L537" s="74" t="s">
        <v>942</v>
      </c>
      <c r="M537" s="74" t="s">
        <v>942</v>
      </c>
      <c r="N537" s="133">
        <v>43832.0</v>
      </c>
      <c r="O537" s="74">
        <v>1.0</v>
      </c>
      <c r="P537" s="74">
        <v>1.0</v>
      </c>
      <c r="Q537" s="119"/>
      <c r="R537" s="74" t="s">
        <v>24763</v>
      </c>
      <c r="S537" s="119"/>
      <c r="T537" s="146">
        <v>43684.0</v>
      </c>
      <c r="U537" s="74">
        <v>34.05</v>
      </c>
      <c r="V537" s="74">
        <v>9999.0</v>
      </c>
      <c r="W537" s="119"/>
      <c r="X537" s="119"/>
      <c r="Y537" s="146">
        <v>43684.0</v>
      </c>
      <c r="Z537" s="74">
        <v>35.04</v>
      </c>
      <c r="AA537" s="74">
        <v>9999.0</v>
      </c>
      <c r="AB537" s="119"/>
      <c r="AC537" s="119"/>
      <c r="AD537" s="119"/>
      <c r="AE537" s="74">
        <v>1.0</v>
      </c>
      <c r="AF537" s="74" t="s">
        <v>18902</v>
      </c>
      <c r="AG537" s="120">
        <v>6836.0</v>
      </c>
      <c r="AH537" s="74" t="s">
        <v>25461</v>
      </c>
      <c r="AI537" s="74" t="s">
        <v>25462</v>
      </c>
      <c r="AJ537" s="120">
        <v>538.0</v>
      </c>
    </row>
    <row r="538">
      <c r="A538" s="74" t="s">
        <v>25464</v>
      </c>
      <c r="B538" s="74" t="s">
        <v>6876</v>
      </c>
      <c r="C538" s="74" t="s">
        <v>6877</v>
      </c>
      <c r="D538" s="74" t="s">
        <v>8493</v>
      </c>
      <c r="E538" s="146">
        <v>43830.0</v>
      </c>
      <c r="F538" s="74" t="s">
        <v>25465</v>
      </c>
      <c r="G538" s="74">
        <v>58.0</v>
      </c>
      <c r="H538" s="74">
        <v>1.0</v>
      </c>
      <c r="I538" s="74">
        <v>8.0</v>
      </c>
      <c r="J538" s="119"/>
      <c r="K538" s="119"/>
      <c r="L538" s="74" t="s">
        <v>944</v>
      </c>
      <c r="M538" s="74" t="s">
        <v>944</v>
      </c>
      <c r="N538" s="133">
        <v>43832.0</v>
      </c>
      <c r="O538" s="74">
        <v>1.0</v>
      </c>
      <c r="P538" s="74">
        <v>1.0</v>
      </c>
      <c r="Q538" s="119"/>
      <c r="R538" s="74" t="s">
        <v>24763</v>
      </c>
      <c r="S538" s="119"/>
      <c r="T538" s="146">
        <v>43684.0</v>
      </c>
      <c r="U538" s="74">
        <v>9999.0</v>
      </c>
      <c r="V538" s="74">
        <v>9999.0</v>
      </c>
      <c r="W538" s="119"/>
      <c r="X538" s="119"/>
      <c r="Y538" s="146">
        <v>43684.0</v>
      </c>
      <c r="Z538" s="74">
        <v>37.73</v>
      </c>
      <c r="AA538" s="74">
        <v>9999.0</v>
      </c>
      <c r="AB538" s="119"/>
      <c r="AC538" s="119"/>
      <c r="AD538" s="119"/>
      <c r="AE538" s="74">
        <v>1.0</v>
      </c>
      <c r="AF538" s="74" t="s">
        <v>18902</v>
      </c>
      <c r="AG538" s="120">
        <v>6837.0</v>
      </c>
      <c r="AH538" s="74" t="s">
        <v>25470</v>
      </c>
      <c r="AI538" s="74" t="s">
        <v>25471</v>
      </c>
      <c r="AJ538" s="120">
        <v>539.0</v>
      </c>
    </row>
    <row r="539">
      <c r="A539" s="74" t="s">
        <v>25465</v>
      </c>
      <c r="B539" s="74" t="s">
        <v>6876</v>
      </c>
      <c r="C539" s="74" t="s">
        <v>6877</v>
      </c>
      <c r="D539" s="74" t="s">
        <v>8493</v>
      </c>
      <c r="E539" s="146">
        <v>43830.0</v>
      </c>
      <c r="F539" s="74" t="s">
        <v>25473</v>
      </c>
      <c r="G539" s="74">
        <v>58.0</v>
      </c>
      <c r="H539" s="74">
        <v>1.0</v>
      </c>
      <c r="I539" s="74">
        <v>10.0</v>
      </c>
      <c r="J539" s="119"/>
      <c r="K539" s="119"/>
      <c r="L539" s="74" t="s">
        <v>958</v>
      </c>
      <c r="M539" s="74" t="s">
        <v>958</v>
      </c>
      <c r="N539" s="133">
        <v>43832.0</v>
      </c>
      <c r="O539" s="74">
        <v>1.0</v>
      </c>
      <c r="P539" s="74">
        <v>1.0</v>
      </c>
      <c r="Q539" s="119"/>
      <c r="R539" s="74" t="s">
        <v>24763</v>
      </c>
      <c r="S539" s="119"/>
      <c r="T539" s="146">
        <v>43684.0</v>
      </c>
      <c r="U539" s="74">
        <v>9999.0</v>
      </c>
      <c r="V539" s="74">
        <v>9999.0</v>
      </c>
      <c r="W539" s="119"/>
      <c r="X539" s="119"/>
      <c r="Y539" s="146">
        <v>43684.0</v>
      </c>
      <c r="Z539" s="74">
        <v>9999.0</v>
      </c>
      <c r="AA539" s="74">
        <v>9999.0</v>
      </c>
      <c r="AB539" s="119"/>
      <c r="AC539" s="119"/>
      <c r="AD539" s="119"/>
      <c r="AE539" s="74">
        <v>1.0</v>
      </c>
      <c r="AF539" s="74" t="s">
        <v>18902</v>
      </c>
      <c r="AG539" s="120">
        <v>6838.0</v>
      </c>
      <c r="AH539" s="74" t="s">
        <v>25478</v>
      </c>
      <c r="AI539" s="74" t="s">
        <v>25479</v>
      </c>
      <c r="AJ539" s="120">
        <v>540.0</v>
      </c>
    </row>
    <row r="540">
      <c r="A540" s="74" t="s">
        <v>25481</v>
      </c>
      <c r="B540" s="74" t="s">
        <v>6876</v>
      </c>
      <c r="C540" s="74" t="s">
        <v>6877</v>
      </c>
      <c r="D540" s="74" t="s">
        <v>8493</v>
      </c>
      <c r="E540" s="146">
        <v>43830.0</v>
      </c>
      <c r="F540" s="74" t="s">
        <v>25483</v>
      </c>
      <c r="G540" s="74">
        <v>59.0</v>
      </c>
      <c r="H540" s="74">
        <v>1.0</v>
      </c>
      <c r="I540" s="74">
        <v>7.0</v>
      </c>
      <c r="J540" s="119"/>
      <c r="K540" s="119"/>
      <c r="L540" s="74" t="s">
        <v>953</v>
      </c>
      <c r="M540" s="74" t="s">
        <v>953</v>
      </c>
      <c r="N540" s="133">
        <v>43832.0</v>
      </c>
      <c r="O540" s="74">
        <v>1.0</v>
      </c>
      <c r="P540" s="74">
        <v>1.0</v>
      </c>
      <c r="Q540" s="119"/>
      <c r="R540" s="74" t="s">
        <v>24763</v>
      </c>
      <c r="S540" s="119"/>
      <c r="T540" s="146">
        <v>43684.0</v>
      </c>
      <c r="U540" s="74">
        <v>24.22</v>
      </c>
      <c r="V540" s="74">
        <v>9999.0</v>
      </c>
      <c r="W540" s="119"/>
      <c r="X540" s="119"/>
      <c r="Y540" s="146">
        <v>43684.0</v>
      </c>
      <c r="Z540" s="74">
        <v>36.72</v>
      </c>
      <c r="AA540" s="74">
        <v>9999.0</v>
      </c>
      <c r="AB540" s="119"/>
      <c r="AC540" s="119"/>
      <c r="AD540" s="119"/>
      <c r="AE540" s="74">
        <v>1.0</v>
      </c>
      <c r="AF540" s="74" t="s">
        <v>18902</v>
      </c>
      <c r="AG540" s="120">
        <v>6839.0</v>
      </c>
      <c r="AH540" s="74" t="s">
        <v>25488</v>
      </c>
      <c r="AI540" s="74" t="s">
        <v>25490</v>
      </c>
      <c r="AJ540" s="120">
        <v>541.0</v>
      </c>
    </row>
    <row r="541">
      <c r="A541" s="74" t="s">
        <v>25483</v>
      </c>
      <c r="B541" s="74" t="s">
        <v>6876</v>
      </c>
      <c r="C541" s="74" t="s">
        <v>6877</v>
      </c>
      <c r="D541" s="74" t="s">
        <v>8493</v>
      </c>
      <c r="E541" s="146">
        <v>43830.0</v>
      </c>
      <c r="F541" s="74" t="s">
        <v>25491</v>
      </c>
      <c r="G541" s="74">
        <v>59.0</v>
      </c>
      <c r="H541" s="74">
        <v>1.0</v>
      </c>
      <c r="I541" s="74">
        <v>7.0</v>
      </c>
      <c r="J541" s="119"/>
      <c r="K541" s="119"/>
      <c r="L541" s="74" t="s">
        <v>965</v>
      </c>
      <c r="M541" s="74" t="s">
        <v>965</v>
      </c>
      <c r="N541" s="133">
        <v>43832.0</v>
      </c>
      <c r="O541" s="74">
        <v>1.0</v>
      </c>
      <c r="P541" s="74">
        <v>1.0</v>
      </c>
      <c r="Q541" s="119"/>
      <c r="R541" s="74" t="s">
        <v>24763</v>
      </c>
      <c r="S541" s="119"/>
      <c r="T541" s="146">
        <v>43684.0</v>
      </c>
      <c r="U541" s="74">
        <v>9999.0</v>
      </c>
      <c r="V541" s="74">
        <v>9999.0</v>
      </c>
      <c r="W541" s="119"/>
      <c r="X541" s="119"/>
      <c r="Y541" s="146">
        <v>43684.0</v>
      </c>
      <c r="Z541" s="74">
        <v>9999.0</v>
      </c>
      <c r="AA541" s="74">
        <v>9999.0</v>
      </c>
      <c r="AB541" s="119"/>
      <c r="AC541" s="119"/>
      <c r="AD541" s="119"/>
      <c r="AE541" s="74">
        <v>1.0</v>
      </c>
      <c r="AF541" s="74" t="s">
        <v>18902</v>
      </c>
      <c r="AG541" s="120">
        <v>6840.0</v>
      </c>
      <c r="AH541" s="74" t="s">
        <v>25496</v>
      </c>
      <c r="AI541" s="74" t="s">
        <v>25497</v>
      </c>
      <c r="AJ541" s="120">
        <v>542.0</v>
      </c>
    </row>
    <row r="542">
      <c r="A542" s="74" t="s">
        <v>25498</v>
      </c>
      <c r="B542" s="74" t="s">
        <v>6876</v>
      </c>
      <c r="C542" s="74" t="s">
        <v>6877</v>
      </c>
      <c r="D542" s="74" t="s">
        <v>8493</v>
      </c>
      <c r="E542" s="146">
        <v>43830.0</v>
      </c>
      <c r="F542" s="74" t="s">
        <v>25499</v>
      </c>
      <c r="G542" s="74">
        <v>59.0</v>
      </c>
      <c r="H542" s="74">
        <v>1.0</v>
      </c>
      <c r="I542" s="74">
        <v>99.0</v>
      </c>
      <c r="J542" s="119"/>
      <c r="K542" s="119"/>
      <c r="L542" s="74" t="s">
        <v>957</v>
      </c>
      <c r="M542" s="74" t="s">
        <v>957</v>
      </c>
      <c r="N542" s="133">
        <v>43832.0</v>
      </c>
      <c r="O542" s="74">
        <v>1.0</v>
      </c>
      <c r="P542" s="74">
        <v>1.0</v>
      </c>
      <c r="Q542" s="119"/>
      <c r="R542" s="74" t="s">
        <v>24763</v>
      </c>
      <c r="S542" s="119"/>
      <c r="T542" s="146">
        <v>43684.0</v>
      </c>
      <c r="U542" s="74">
        <v>30.27</v>
      </c>
      <c r="V542" s="74">
        <v>9999.0</v>
      </c>
      <c r="W542" s="119"/>
      <c r="X542" s="119"/>
      <c r="Y542" s="146">
        <v>43684.0</v>
      </c>
      <c r="Z542" s="74">
        <v>32.22</v>
      </c>
      <c r="AA542" s="74">
        <v>9999.0</v>
      </c>
      <c r="AB542" s="119"/>
      <c r="AC542" s="119"/>
      <c r="AD542" s="119"/>
      <c r="AE542" s="74">
        <v>1.0</v>
      </c>
      <c r="AF542" s="74" t="s">
        <v>18902</v>
      </c>
      <c r="AG542" s="120">
        <v>6841.0</v>
      </c>
      <c r="AH542" s="74" t="s">
        <v>25504</v>
      </c>
      <c r="AI542" s="74" t="s">
        <v>25505</v>
      </c>
      <c r="AJ542" s="120">
        <v>543.0</v>
      </c>
    </row>
    <row r="543">
      <c r="A543" s="74" t="s">
        <v>25499</v>
      </c>
      <c r="B543" s="74" t="s">
        <v>6876</v>
      </c>
      <c r="C543" s="74" t="s">
        <v>6877</v>
      </c>
      <c r="D543" s="74" t="s">
        <v>8493</v>
      </c>
      <c r="E543" s="146">
        <v>43830.0</v>
      </c>
      <c r="F543" s="74" t="s">
        <v>25508</v>
      </c>
      <c r="G543" s="74">
        <v>58.0</v>
      </c>
      <c r="H543" s="74">
        <v>1.0</v>
      </c>
      <c r="I543" s="74">
        <v>10.0</v>
      </c>
      <c r="J543" s="119"/>
      <c r="K543" s="119"/>
      <c r="L543" s="74" t="s">
        <v>959</v>
      </c>
      <c r="M543" s="74" t="s">
        <v>959</v>
      </c>
      <c r="N543" s="133">
        <v>43832.0</v>
      </c>
      <c r="O543" s="74">
        <v>1.0</v>
      </c>
      <c r="P543" s="74">
        <v>1.0</v>
      </c>
      <c r="Q543" s="119"/>
      <c r="R543" s="74" t="s">
        <v>24763</v>
      </c>
      <c r="S543" s="119"/>
      <c r="T543" s="146">
        <v>43684.0</v>
      </c>
      <c r="U543" s="74">
        <v>38.02</v>
      </c>
      <c r="V543" s="74">
        <v>9999.0</v>
      </c>
      <c r="W543" s="119"/>
      <c r="X543" s="119"/>
      <c r="Y543" s="146">
        <v>43684.0</v>
      </c>
      <c r="Z543" s="74">
        <v>40.0</v>
      </c>
      <c r="AA543" s="74">
        <v>9999.0</v>
      </c>
      <c r="AB543" s="119"/>
      <c r="AC543" s="119"/>
      <c r="AD543" s="119"/>
      <c r="AE543" s="74">
        <v>1.0</v>
      </c>
      <c r="AF543" s="74" t="s">
        <v>18902</v>
      </c>
      <c r="AG543" s="120">
        <v>6842.0</v>
      </c>
      <c r="AH543" s="74" t="s">
        <v>25513</v>
      </c>
      <c r="AI543" s="74" t="s">
        <v>25515</v>
      </c>
      <c r="AJ543" s="120">
        <v>544.0</v>
      </c>
    </row>
    <row r="544">
      <c r="A544" s="74" t="s">
        <v>25508</v>
      </c>
      <c r="B544" s="74" t="s">
        <v>6876</v>
      </c>
      <c r="C544" s="74" t="s">
        <v>6877</v>
      </c>
      <c r="D544" s="74" t="s">
        <v>8493</v>
      </c>
      <c r="E544" s="146">
        <v>43830.0</v>
      </c>
      <c r="F544" s="74" t="s">
        <v>25516</v>
      </c>
      <c r="G544" s="74">
        <v>57.0</v>
      </c>
      <c r="H544" s="74">
        <v>1.0</v>
      </c>
      <c r="I544" s="74">
        <v>12.0</v>
      </c>
      <c r="J544" s="119"/>
      <c r="K544" s="119"/>
      <c r="L544" s="74" t="s">
        <v>966</v>
      </c>
      <c r="M544" s="74" t="s">
        <v>966</v>
      </c>
      <c r="N544" s="133">
        <v>43832.0</v>
      </c>
      <c r="O544" s="74">
        <v>1.0</v>
      </c>
      <c r="P544" s="74">
        <v>1.0</v>
      </c>
      <c r="Q544" s="119"/>
      <c r="R544" s="74" t="s">
        <v>24763</v>
      </c>
      <c r="S544" s="119"/>
      <c r="T544" s="146">
        <v>43684.0</v>
      </c>
      <c r="U544" s="74">
        <v>20.41</v>
      </c>
      <c r="V544" s="74">
        <v>9999.0</v>
      </c>
      <c r="W544" s="119"/>
      <c r="X544" s="119"/>
      <c r="Y544" s="146">
        <v>43684.0</v>
      </c>
      <c r="Z544" s="74">
        <v>31.72</v>
      </c>
      <c r="AA544" s="74">
        <v>9999.0</v>
      </c>
      <c r="AB544" s="119"/>
      <c r="AC544" s="119"/>
      <c r="AD544" s="119"/>
      <c r="AE544" s="74">
        <v>1.0</v>
      </c>
      <c r="AF544" s="74" t="s">
        <v>18902</v>
      </c>
      <c r="AG544" s="120">
        <v>6843.0</v>
      </c>
      <c r="AH544" s="74" t="s">
        <v>25524</v>
      </c>
      <c r="AI544" s="74" t="s">
        <v>25525</v>
      </c>
      <c r="AJ544" s="120">
        <v>545.0</v>
      </c>
    </row>
    <row r="545">
      <c r="A545" s="74" t="s">
        <v>25527</v>
      </c>
      <c r="B545" s="74" t="s">
        <v>6876</v>
      </c>
      <c r="C545" s="74" t="s">
        <v>6877</v>
      </c>
      <c r="D545" s="74" t="s">
        <v>8493</v>
      </c>
      <c r="E545" s="146">
        <v>43830.0</v>
      </c>
      <c r="F545" s="74" t="s">
        <v>25530</v>
      </c>
      <c r="G545" s="74">
        <v>57.0</v>
      </c>
      <c r="H545" s="74">
        <v>1.0</v>
      </c>
      <c r="I545" s="74">
        <v>12.0</v>
      </c>
      <c r="J545" s="119"/>
      <c r="K545" s="119"/>
      <c r="L545" s="74" t="s">
        <v>967</v>
      </c>
      <c r="M545" s="74" t="s">
        <v>967</v>
      </c>
      <c r="N545" s="133">
        <v>43832.0</v>
      </c>
      <c r="O545" s="74">
        <v>1.0</v>
      </c>
      <c r="P545" s="74">
        <v>1.0</v>
      </c>
      <c r="Q545" s="119"/>
      <c r="R545" s="74" t="s">
        <v>24763</v>
      </c>
      <c r="S545" s="119"/>
      <c r="T545" s="146">
        <v>43684.0</v>
      </c>
      <c r="U545" s="74">
        <v>24.06</v>
      </c>
      <c r="V545" s="74">
        <v>9999.0</v>
      </c>
      <c r="W545" s="119"/>
      <c r="X545" s="119"/>
      <c r="Y545" s="146">
        <v>43684.0</v>
      </c>
      <c r="Z545" s="74">
        <v>35.47</v>
      </c>
      <c r="AA545" s="74">
        <v>9999.0</v>
      </c>
      <c r="AB545" s="119"/>
      <c r="AC545" s="119"/>
      <c r="AD545" s="119"/>
      <c r="AE545" s="74">
        <v>1.0</v>
      </c>
      <c r="AF545" s="74" t="s">
        <v>18902</v>
      </c>
      <c r="AG545" s="120">
        <v>6844.0</v>
      </c>
      <c r="AH545" s="74" t="s">
        <v>25539</v>
      </c>
      <c r="AI545" s="74" t="s">
        <v>25540</v>
      </c>
      <c r="AJ545" s="120">
        <v>546.0</v>
      </c>
    </row>
    <row r="546">
      <c r="A546" s="74" t="s">
        <v>25530</v>
      </c>
      <c r="B546" s="74" t="s">
        <v>6876</v>
      </c>
      <c r="C546" s="74" t="s">
        <v>6877</v>
      </c>
      <c r="D546" s="74" t="s">
        <v>8493</v>
      </c>
      <c r="E546" s="146">
        <v>43830.0</v>
      </c>
      <c r="F546" s="74" t="s">
        <v>25542</v>
      </c>
      <c r="G546" s="74">
        <v>58.0</v>
      </c>
      <c r="H546" s="74">
        <v>1.0</v>
      </c>
      <c r="I546" s="74">
        <v>12.0</v>
      </c>
      <c r="J546" s="119"/>
      <c r="K546" s="119"/>
      <c r="L546" s="74" t="s">
        <v>969</v>
      </c>
      <c r="M546" s="74" t="s">
        <v>969</v>
      </c>
      <c r="N546" s="133">
        <v>43832.0</v>
      </c>
      <c r="O546" s="74">
        <v>1.0</v>
      </c>
      <c r="P546" s="74">
        <v>1.0</v>
      </c>
      <c r="Q546" s="119"/>
      <c r="R546" s="74" t="s">
        <v>24763</v>
      </c>
      <c r="S546" s="119"/>
      <c r="T546" s="146">
        <v>43684.0</v>
      </c>
      <c r="U546" s="74">
        <v>22.72</v>
      </c>
      <c r="V546" s="74">
        <v>9999.0</v>
      </c>
      <c r="W546" s="119"/>
      <c r="X546" s="119"/>
      <c r="Y546" s="146">
        <v>43684.0</v>
      </c>
      <c r="Z546" s="74">
        <v>34.82</v>
      </c>
      <c r="AA546" s="74">
        <v>9999.0</v>
      </c>
      <c r="AB546" s="119"/>
      <c r="AC546" s="119"/>
      <c r="AD546" s="119"/>
      <c r="AE546" s="74">
        <v>1.0</v>
      </c>
      <c r="AF546" s="74" t="s">
        <v>18902</v>
      </c>
      <c r="AG546" s="120">
        <v>6845.0</v>
      </c>
      <c r="AH546" s="74" t="s">
        <v>25550</v>
      </c>
      <c r="AI546" s="74" t="s">
        <v>25551</v>
      </c>
      <c r="AJ546" s="120">
        <v>547.0</v>
      </c>
    </row>
    <row r="547">
      <c r="A547" s="74" t="s">
        <v>25552</v>
      </c>
      <c r="B547" s="74" t="s">
        <v>6876</v>
      </c>
      <c r="C547" s="74" t="s">
        <v>6877</v>
      </c>
      <c r="D547" s="74" t="s">
        <v>8493</v>
      </c>
      <c r="E547" s="146">
        <v>43830.0</v>
      </c>
      <c r="F547" s="74" t="s">
        <v>25553</v>
      </c>
      <c r="G547" s="74">
        <v>65.0</v>
      </c>
      <c r="H547" s="74">
        <v>1.0</v>
      </c>
      <c r="I547" s="74">
        <v>12.0</v>
      </c>
      <c r="J547" s="119"/>
      <c r="K547" s="119"/>
      <c r="L547" s="74" t="s">
        <v>970</v>
      </c>
      <c r="M547" s="74" t="s">
        <v>970</v>
      </c>
      <c r="N547" s="133">
        <v>43832.0</v>
      </c>
      <c r="O547" s="74">
        <v>1.0</v>
      </c>
      <c r="P547" s="74">
        <v>1.0</v>
      </c>
      <c r="Q547" s="119"/>
      <c r="R547" s="74" t="s">
        <v>24763</v>
      </c>
      <c r="S547" s="119"/>
      <c r="T547" s="146">
        <v>43684.0</v>
      </c>
      <c r="U547" s="74">
        <v>23.03</v>
      </c>
      <c r="V547" s="74">
        <v>9999.0</v>
      </c>
      <c r="W547" s="119"/>
      <c r="X547" s="119"/>
      <c r="Y547" s="146">
        <v>43684.0</v>
      </c>
      <c r="Z547" s="74">
        <v>31.46</v>
      </c>
      <c r="AA547" s="74">
        <v>9999.0</v>
      </c>
      <c r="AB547" s="119"/>
      <c r="AC547" s="119"/>
      <c r="AD547" s="119"/>
      <c r="AE547" s="74">
        <v>1.0</v>
      </c>
      <c r="AF547" s="74" t="s">
        <v>18902</v>
      </c>
      <c r="AG547" s="120">
        <v>6846.0</v>
      </c>
      <c r="AH547" s="74" t="s">
        <v>25558</v>
      </c>
      <c r="AI547" s="74" t="s">
        <v>25559</v>
      </c>
      <c r="AJ547" s="120">
        <v>548.0</v>
      </c>
    </row>
    <row r="548">
      <c r="A548" s="74" t="s">
        <v>25560</v>
      </c>
      <c r="B548" s="74" t="s">
        <v>6876</v>
      </c>
      <c r="C548" s="74" t="s">
        <v>6877</v>
      </c>
      <c r="D548" s="74" t="s">
        <v>8493</v>
      </c>
      <c r="E548" s="146">
        <v>43830.0</v>
      </c>
      <c r="F548" s="74" t="s">
        <v>25564</v>
      </c>
      <c r="G548" s="74">
        <v>58.0</v>
      </c>
      <c r="H548" s="74">
        <v>1.0</v>
      </c>
      <c r="I548" s="74">
        <v>2.0</v>
      </c>
      <c r="J548" s="119"/>
      <c r="K548" s="119"/>
      <c r="L548" s="74" t="s">
        <v>978</v>
      </c>
      <c r="M548" s="74" t="s">
        <v>978</v>
      </c>
      <c r="N548" s="133">
        <v>43832.0</v>
      </c>
      <c r="O548" s="74">
        <v>1.0</v>
      </c>
      <c r="P548" s="74">
        <v>1.0</v>
      </c>
      <c r="Q548" s="119"/>
      <c r="R548" s="74" t="s">
        <v>24763</v>
      </c>
      <c r="S548" s="119"/>
      <c r="T548" s="146">
        <v>43684.0</v>
      </c>
      <c r="U548" s="74">
        <v>31.14</v>
      </c>
      <c r="V548" s="74">
        <v>9999.0</v>
      </c>
      <c r="W548" s="119"/>
      <c r="X548" s="119"/>
      <c r="Y548" s="146">
        <v>43684.0</v>
      </c>
      <c r="Z548" s="74">
        <v>32.06</v>
      </c>
      <c r="AA548" s="74">
        <v>9999.0</v>
      </c>
      <c r="AB548" s="119"/>
      <c r="AC548" s="119"/>
      <c r="AD548" s="119"/>
      <c r="AE548" s="74">
        <v>1.0</v>
      </c>
      <c r="AF548" s="74" t="s">
        <v>18902</v>
      </c>
      <c r="AG548" s="120">
        <v>6847.0</v>
      </c>
      <c r="AH548" s="74" t="s">
        <v>25569</v>
      </c>
      <c r="AI548" s="74" t="s">
        <v>25570</v>
      </c>
      <c r="AJ548" s="120">
        <v>549.0</v>
      </c>
    </row>
    <row r="549">
      <c r="A549" s="74" t="s">
        <v>25564</v>
      </c>
      <c r="B549" s="74" t="s">
        <v>6876</v>
      </c>
      <c r="C549" s="74" t="s">
        <v>6877</v>
      </c>
      <c r="D549" s="74" t="s">
        <v>8493</v>
      </c>
      <c r="E549" s="146">
        <v>43830.0</v>
      </c>
      <c r="F549" s="74" t="s">
        <v>25572</v>
      </c>
      <c r="G549" s="74">
        <v>58.0</v>
      </c>
      <c r="H549" s="74">
        <v>1.0</v>
      </c>
      <c r="I549" s="74">
        <v>2.0</v>
      </c>
      <c r="J549" s="119"/>
      <c r="K549" s="119"/>
      <c r="L549" s="74" t="s">
        <v>979</v>
      </c>
      <c r="M549" s="74" t="s">
        <v>979</v>
      </c>
      <c r="N549" s="133">
        <v>43832.0</v>
      </c>
      <c r="O549" s="74">
        <v>1.0</v>
      </c>
      <c r="P549" s="74">
        <v>1.0</v>
      </c>
      <c r="Q549" s="119"/>
      <c r="R549" s="74" t="s">
        <v>24763</v>
      </c>
      <c r="S549" s="119"/>
      <c r="T549" s="146">
        <v>43684.0</v>
      </c>
      <c r="U549" s="74">
        <v>31.06</v>
      </c>
      <c r="V549" s="74">
        <v>9999.0</v>
      </c>
      <c r="W549" s="119"/>
      <c r="X549" s="119"/>
      <c r="Y549" s="146">
        <v>43684.0</v>
      </c>
      <c r="Z549" s="74">
        <v>34.57</v>
      </c>
      <c r="AA549" s="74">
        <v>9999.0</v>
      </c>
      <c r="AB549" s="119"/>
      <c r="AC549" s="119"/>
      <c r="AD549" s="119"/>
      <c r="AE549" s="74">
        <v>1.0</v>
      </c>
      <c r="AF549" s="74" t="s">
        <v>18902</v>
      </c>
      <c r="AG549" s="120">
        <v>6848.0</v>
      </c>
      <c r="AH549" s="74" t="s">
        <v>25576</v>
      </c>
      <c r="AI549" s="74" t="s">
        <v>25577</v>
      </c>
      <c r="AJ549" s="120">
        <v>550.0</v>
      </c>
    </row>
    <row r="550">
      <c r="A550" s="74" t="s">
        <v>25572</v>
      </c>
      <c r="B550" s="74" t="s">
        <v>6876</v>
      </c>
      <c r="C550" s="74" t="s">
        <v>6877</v>
      </c>
      <c r="D550" s="74" t="s">
        <v>8493</v>
      </c>
      <c r="E550" s="146">
        <v>43830.0</v>
      </c>
      <c r="F550" s="74" t="s">
        <v>25579</v>
      </c>
      <c r="G550" s="74">
        <v>58.0</v>
      </c>
      <c r="H550" s="74">
        <v>1.0</v>
      </c>
      <c r="I550" s="74">
        <v>2.0</v>
      </c>
      <c r="J550" s="119"/>
      <c r="K550" s="119"/>
      <c r="L550" s="74" t="s">
        <v>981</v>
      </c>
      <c r="M550" s="74" t="s">
        <v>981</v>
      </c>
      <c r="N550" s="133">
        <v>43832.0</v>
      </c>
      <c r="O550" s="74">
        <v>1.0</v>
      </c>
      <c r="P550" s="74">
        <v>1.0</v>
      </c>
      <c r="Q550" s="119"/>
      <c r="R550" s="74" t="s">
        <v>24763</v>
      </c>
      <c r="S550" s="119"/>
      <c r="T550" s="146">
        <v>43684.0</v>
      </c>
      <c r="U550" s="74">
        <v>32.0</v>
      </c>
      <c r="V550" s="74">
        <v>9999.0</v>
      </c>
      <c r="W550" s="119"/>
      <c r="X550" s="119"/>
      <c r="Y550" s="146">
        <v>43684.0</v>
      </c>
      <c r="Z550" s="74">
        <v>33.34</v>
      </c>
      <c r="AA550" s="74">
        <v>9999.0</v>
      </c>
      <c r="AB550" s="119"/>
      <c r="AC550" s="119"/>
      <c r="AD550" s="119"/>
      <c r="AE550" s="74">
        <v>1.0</v>
      </c>
      <c r="AF550" s="74" t="s">
        <v>18902</v>
      </c>
      <c r="AG550" s="120">
        <v>6849.0</v>
      </c>
      <c r="AH550" s="74" t="s">
        <v>25583</v>
      </c>
      <c r="AI550" s="74" t="s">
        <v>25585</v>
      </c>
      <c r="AJ550" s="120">
        <v>551.0</v>
      </c>
    </row>
    <row r="551">
      <c r="A551" s="74" t="s">
        <v>25587</v>
      </c>
      <c r="B551" s="74" t="s">
        <v>6876</v>
      </c>
      <c r="C551" s="74" t="s">
        <v>6877</v>
      </c>
      <c r="D551" s="74" t="s">
        <v>8493</v>
      </c>
      <c r="E551" s="146">
        <v>43830.0</v>
      </c>
      <c r="F551" s="74" t="s">
        <v>25589</v>
      </c>
      <c r="G551" s="74">
        <v>57.0</v>
      </c>
      <c r="H551" s="74">
        <v>1.0</v>
      </c>
      <c r="I551" s="74">
        <v>12.0</v>
      </c>
      <c r="J551" s="119"/>
      <c r="K551" s="119"/>
      <c r="L551" s="74" t="s">
        <v>1012</v>
      </c>
      <c r="M551" s="74" t="s">
        <v>1012</v>
      </c>
      <c r="N551" s="133">
        <v>43832.0</v>
      </c>
      <c r="O551" s="74">
        <v>1.0</v>
      </c>
      <c r="P551" s="74">
        <v>1.0</v>
      </c>
      <c r="Q551" s="119"/>
      <c r="R551" s="74" t="s">
        <v>24763</v>
      </c>
      <c r="S551" s="119"/>
      <c r="T551" s="146">
        <v>43684.0</v>
      </c>
      <c r="U551" s="74">
        <v>22.33</v>
      </c>
      <c r="V551" s="74">
        <v>9999.0</v>
      </c>
      <c r="W551" s="119"/>
      <c r="X551" s="119"/>
      <c r="Y551" s="146">
        <v>43684.0</v>
      </c>
      <c r="Z551" s="74">
        <v>36.91</v>
      </c>
      <c r="AA551" s="74">
        <v>9999.0</v>
      </c>
      <c r="AB551" s="119"/>
      <c r="AC551" s="119"/>
      <c r="AD551" s="119"/>
      <c r="AE551" s="74">
        <v>1.0</v>
      </c>
      <c r="AF551" s="74" t="s">
        <v>18902</v>
      </c>
      <c r="AG551" s="120">
        <v>6850.0</v>
      </c>
      <c r="AH551" s="74" t="s">
        <v>25593</v>
      </c>
      <c r="AI551" s="74" t="s">
        <v>25594</v>
      </c>
      <c r="AJ551" s="120">
        <v>552.0</v>
      </c>
    </row>
    <row r="552">
      <c r="A552" s="74" t="s">
        <v>25596</v>
      </c>
      <c r="B552" s="74" t="s">
        <v>6876</v>
      </c>
      <c r="C552" s="74" t="s">
        <v>6877</v>
      </c>
      <c r="D552" s="74" t="s">
        <v>8493</v>
      </c>
      <c r="E552" s="146">
        <v>43830.0</v>
      </c>
      <c r="F552" s="74" t="s">
        <v>25598</v>
      </c>
      <c r="G552" s="74">
        <v>57.0</v>
      </c>
      <c r="H552" s="74">
        <v>1.0</v>
      </c>
      <c r="I552" s="74">
        <v>12.0</v>
      </c>
      <c r="J552" s="119"/>
      <c r="K552" s="119"/>
      <c r="L552" s="74" t="s">
        <v>1013</v>
      </c>
      <c r="M552" s="74" t="s">
        <v>1013</v>
      </c>
      <c r="N552" s="133">
        <v>43832.0</v>
      </c>
      <c r="O552" s="74">
        <v>1.0</v>
      </c>
      <c r="P552" s="74">
        <v>1.0</v>
      </c>
      <c r="Q552" s="119"/>
      <c r="R552" s="74" t="s">
        <v>24763</v>
      </c>
      <c r="S552" s="119"/>
      <c r="T552" s="146">
        <v>43684.0</v>
      </c>
      <c r="U552" s="74">
        <v>23.22</v>
      </c>
      <c r="V552" s="74">
        <v>9999.0</v>
      </c>
      <c r="W552" s="119"/>
      <c r="X552" s="119"/>
      <c r="Y552" s="146">
        <v>43684.0</v>
      </c>
      <c r="Z552" s="74">
        <v>39.18</v>
      </c>
      <c r="AA552" s="74">
        <v>9999.0</v>
      </c>
      <c r="AB552" s="119"/>
      <c r="AC552" s="119"/>
      <c r="AD552" s="119"/>
      <c r="AE552" s="74">
        <v>1.0</v>
      </c>
      <c r="AF552" s="74" t="s">
        <v>18902</v>
      </c>
      <c r="AG552" s="120">
        <v>6851.0</v>
      </c>
      <c r="AH552" s="74" t="s">
        <v>25605</v>
      </c>
      <c r="AI552" s="74" t="s">
        <v>25606</v>
      </c>
      <c r="AJ552" s="120">
        <v>553.0</v>
      </c>
    </row>
    <row r="553">
      <c r="A553" s="74" t="s">
        <v>25608</v>
      </c>
      <c r="B553" s="74" t="s">
        <v>6876</v>
      </c>
      <c r="C553" s="74" t="s">
        <v>6877</v>
      </c>
      <c r="D553" s="74" t="s">
        <v>8493</v>
      </c>
      <c r="E553" s="146">
        <v>43830.0</v>
      </c>
      <c r="F553" s="74" t="s">
        <v>25609</v>
      </c>
      <c r="G553" s="74">
        <v>55.0</v>
      </c>
      <c r="H553" s="74">
        <v>1.0</v>
      </c>
      <c r="I553" s="74">
        <v>12.0</v>
      </c>
      <c r="J553" s="119"/>
      <c r="K553" s="119"/>
      <c r="L553" s="74" t="s">
        <v>1014</v>
      </c>
      <c r="M553" s="74" t="s">
        <v>1014</v>
      </c>
      <c r="N553" s="133">
        <v>43832.0</v>
      </c>
      <c r="O553" s="74">
        <v>1.0</v>
      </c>
      <c r="P553" s="74">
        <v>1.0</v>
      </c>
      <c r="Q553" s="119"/>
      <c r="R553" s="74" t="s">
        <v>24763</v>
      </c>
      <c r="S553" s="119"/>
      <c r="T553" s="146">
        <v>43684.0</v>
      </c>
      <c r="U553" s="74">
        <v>22.58</v>
      </c>
      <c r="V553" s="74">
        <v>9999.0</v>
      </c>
      <c r="W553" s="119"/>
      <c r="X553" s="119"/>
      <c r="Y553" s="146">
        <v>43684.0</v>
      </c>
      <c r="Z553" s="74">
        <v>40.0</v>
      </c>
      <c r="AA553" s="74">
        <v>9999.0</v>
      </c>
      <c r="AB553" s="119"/>
      <c r="AC553" s="119"/>
      <c r="AD553" s="119"/>
      <c r="AE553" s="74">
        <v>1.0</v>
      </c>
      <c r="AF553" s="74" t="s">
        <v>18902</v>
      </c>
      <c r="AG553" s="120">
        <v>6852.0</v>
      </c>
      <c r="AH553" s="74" t="s">
        <v>25619</v>
      </c>
      <c r="AI553" s="74" t="s">
        <v>25620</v>
      </c>
      <c r="AJ553" s="120">
        <v>554.0</v>
      </c>
    </row>
    <row r="554">
      <c r="A554" s="74" t="s">
        <v>25609</v>
      </c>
      <c r="B554" s="74" t="s">
        <v>6876</v>
      </c>
      <c r="C554" s="74" t="s">
        <v>6877</v>
      </c>
      <c r="D554" s="74" t="s">
        <v>8493</v>
      </c>
      <c r="E554" s="146">
        <v>43830.0</v>
      </c>
      <c r="F554" s="74" t="s">
        <v>25621</v>
      </c>
      <c r="G554" s="74">
        <v>65.0</v>
      </c>
      <c r="H554" s="74">
        <v>1.0</v>
      </c>
      <c r="I554" s="74">
        <v>12.0</v>
      </c>
      <c r="J554" s="119"/>
      <c r="K554" s="119"/>
      <c r="L554" s="74" t="s">
        <v>1016</v>
      </c>
      <c r="M554" s="74" t="s">
        <v>1016</v>
      </c>
      <c r="N554" s="133">
        <v>43832.0</v>
      </c>
      <c r="O554" s="74">
        <v>1.0</v>
      </c>
      <c r="P554" s="74">
        <v>1.0</v>
      </c>
      <c r="Q554" s="119"/>
      <c r="R554" s="74" t="s">
        <v>24763</v>
      </c>
      <c r="S554" s="119"/>
      <c r="T554" s="146">
        <v>43684.0</v>
      </c>
      <c r="U554" s="74">
        <v>22.45</v>
      </c>
      <c r="V554" s="74">
        <v>9999.0</v>
      </c>
      <c r="W554" s="119"/>
      <c r="X554" s="119"/>
      <c r="Y554" s="146">
        <v>43684.0</v>
      </c>
      <c r="Z554" s="74">
        <v>9999.0</v>
      </c>
      <c r="AA554" s="74">
        <v>9999.0</v>
      </c>
      <c r="AB554" s="119"/>
      <c r="AC554" s="119"/>
      <c r="AD554" s="119"/>
      <c r="AE554" s="74">
        <v>1.0</v>
      </c>
      <c r="AF554" s="74" t="s">
        <v>18902</v>
      </c>
      <c r="AG554" s="120">
        <v>6853.0</v>
      </c>
      <c r="AH554" s="74" t="s">
        <v>25626</v>
      </c>
      <c r="AI554" s="74" t="s">
        <v>25627</v>
      </c>
      <c r="AJ554" s="120">
        <v>555.0</v>
      </c>
    </row>
    <row r="555">
      <c r="A555" s="74" t="s">
        <v>25621</v>
      </c>
      <c r="B555" s="74" t="s">
        <v>6876</v>
      </c>
      <c r="C555" s="74" t="s">
        <v>6877</v>
      </c>
      <c r="D555" s="74" t="s">
        <v>8493</v>
      </c>
      <c r="E555" s="146">
        <v>43830.0</v>
      </c>
      <c r="F555" s="74" t="s">
        <v>25632</v>
      </c>
      <c r="G555" s="74">
        <v>58.0</v>
      </c>
      <c r="H555" s="74">
        <v>1.0</v>
      </c>
      <c r="I555" s="74">
        <v>8.0</v>
      </c>
      <c r="J555" s="119"/>
      <c r="K555" s="119"/>
      <c r="L555" s="74" t="s">
        <v>1033</v>
      </c>
      <c r="M555" s="74" t="s">
        <v>1033</v>
      </c>
      <c r="N555" s="133">
        <v>43832.0</v>
      </c>
      <c r="O555" s="74">
        <v>1.0</v>
      </c>
      <c r="P555" s="74">
        <v>1.0</v>
      </c>
      <c r="Q555" s="119"/>
      <c r="R555" s="74" t="s">
        <v>24763</v>
      </c>
      <c r="S555" s="119"/>
      <c r="T555" s="146">
        <v>43684.0</v>
      </c>
      <c r="U555" s="74">
        <v>33.37</v>
      </c>
      <c r="V555" s="74">
        <v>9999.0</v>
      </c>
      <c r="W555" s="119"/>
      <c r="X555" s="119"/>
      <c r="Y555" s="146">
        <v>43684.0</v>
      </c>
      <c r="Z555" s="74">
        <v>34.52</v>
      </c>
      <c r="AA555" s="74">
        <v>9999.0</v>
      </c>
      <c r="AB555" s="119"/>
      <c r="AC555" s="119"/>
      <c r="AD555" s="119"/>
      <c r="AE555" s="74">
        <v>1.0</v>
      </c>
      <c r="AF555" s="74" t="s">
        <v>18902</v>
      </c>
      <c r="AG555" s="120">
        <v>6854.0</v>
      </c>
      <c r="AH555" s="74" t="s">
        <v>25637</v>
      </c>
      <c r="AI555" s="74" t="s">
        <v>25638</v>
      </c>
      <c r="AJ555" s="120">
        <v>556.0</v>
      </c>
    </row>
    <row r="556">
      <c r="A556" s="74" t="s">
        <v>25632</v>
      </c>
      <c r="B556" s="74" t="s">
        <v>6876</v>
      </c>
      <c r="C556" s="74" t="s">
        <v>6877</v>
      </c>
      <c r="D556" s="74" t="s">
        <v>8493</v>
      </c>
      <c r="E556" s="146">
        <v>43830.0</v>
      </c>
      <c r="F556" s="74" t="s">
        <v>25641</v>
      </c>
      <c r="G556" s="74">
        <v>58.0</v>
      </c>
      <c r="H556" s="74">
        <v>1.0</v>
      </c>
      <c r="I556" s="74">
        <v>7.0</v>
      </c>
      <c r="J556" s="119"/>
      <c r="K556" s="119"/>
      <c r="L556" s="74" t="s">
        <v>1028</v>
      </c>
      <c r="M556" s="74" t="s">
        <v>1028</v>
      </c>
      <c r="N556" s="133">
        <v>43832.0</v>
      </c>
      <c r="O556" s="74">
        <v>1.0</v>
      </c>
      <c r="P556" s="74">
        <v>1.0</v>
      </c>
      <c r="Q556" s="119"/>
      <c r="R556" s="74" t="s">
        <v>24763</v>
      </c>
      <c r="S556" s="119"/>
      <c r="T556" s="146">
        <v>43684.0</v>
      </c>
      <c r="U556" s="74">
        <v>29.87</v>
      </c>
      <c r="V556" s="74">
        <v>9999.0</v>
      </c>
      <c r="W556" s="119"/>
      <c r="X556" s="119"/>
      <c r="Y556" s="146">
        <v>43684.0</v>
      </c>
      <c r="Z556" s="74">
        <v>38.91</v>
      </c>
      <c r="AA556" s="74">
        <v>9999.0</v>
      </c>
      <c r="AB556" s="119"/>
      <c r="AC556" s="119"/>
      <c r="AD556" s="119"/>
      <c r="AE556" s="74">
        <v>1.0</v>
      </c>
      <c r="AF556" s="74" t="s">
        <v>18902</v>
      </c>
      <c r="AG556" s="120">
        <v>6855.0</v>
      </c>
      <c r="AH556" s="74" t="s">
        <v>25645</v>
      </c>
      <c r="AI556" s="74" t="s">
        <v>25647</v>
      </c>
      <c r="AJ556" s="120">
        <v>557.0</v>
      </c>
    </row>
    <row r="557">
      <c r="A557" s="74" t="s">
        <v>25641</v>
      </c>
      <c r="B557" s="74" t="s">
        <v>6876</v>
      </c>
      <c r="C557" s="74" t="s">
        <v>6877</v>
      </c>
      <c r="D557" s="74" t="s">
        <v>8493</v>
      </c>
      <c r="E557" s="146">
        <v>43830.0</v>
      </c>
      <c r="F557" s="74" t="s">
        <v>25649</v>
      </c>
      <c r="G557" s="74">
        <v>58.0</v>
      </c>
      <c r="H557" s="74">
        <v>1.0</v>
      </c>
      <c r="I557" s="74">
        <v>7.0</v>
      </c>
      <c r="J557" s="119"/>
      <c r="K557" s="119"/>
      <c r="L557" s="74" t="s">
        <v>1029</v>
      </c>
      <c r="M557" s="74" t="s">
        <v>1029</v>
      </c>
      <c r="N557" s="133">
        <v>43832.0</v>
      </c>
      <c r="O557" s="74">
        <v>1.0</v>
      </c>
      <c r="P557" s="74">
        <v>1.0</v>
      </c>
      <c r="Q557" s="119"/>
      <c r="R557" s="74" t="s">
        <v>24763</v>
      </c>
      <c r="S557" s="119"/>
      <c r="T557" s="146">
        <v>43684.0</v>
      </c>
      <c r="U557" s="74">
        <v>33.44</v>
      </c>
      <c r="V557" s="74">
        <v>9999.0</v>
      </c>
      <c r="W557" s="119"/>
      <c r="X557" s="119"/>
      <c r="Y557" s="146">
        <v>43684.0</v>
      </c>
      <c r="Z557" s="74">
        <v>40.0</v>
      </c>
      <c r="AA557" s="74">
        <v>9999.0</v>
      </c>
      <c r="AB557" s="119"/>
      <c r="AC557" s="119"/>
      <c r="AD557" s="119"/>
      <c r="AE557" s="74">
        <v>1.0</v>
      </c>
      <c r="AF557" s="74" t="s">
        <v>18902</v>
      </c>
      <c r="AG557" s="120">
        <v>6856.0</v>
      </c>
      <c r="AH557" s="74" t="s">
        <v>25653</v>
      </c>
      <c r="AI557" s="74" t="s">
        <v>25654</v>
      </c>
      <c r="AJ557" s="120">
        <v>558.0</v>
      </c>
    </row>
    <row r="558">
      <c r="A558" s="74" t="s">
        <v>25649</v>
      </c>
      <c r="B558" s="74" t="s">
        <v>6876</v>
      </c>
      <c r="C558" s="74" t="s">
        <v>6877</v>
      </c>
      <c r="D558" s="74" t="s">
        <v>8493</v>
      </c>
      <c r="E558" s="146">
        <v>43830.0</v>
      </c>
      <c r="F558" s="74" t="s">
        <v>25656</v>
      </c>
      <c r="G558" s="74">
        <v>58.0</v>
      </c>
      <c r="H558" s="74">
        <v>1.0</v>
      </c>
      <c r="I558" s="74">
        <v>99.0</v>
      </c>
      <c r="J558" s="119"/>
      <c r="K558" s="119"/>
      <c r="L558" s="74" t="s">
        <v>1032</v>
      </c>
      <c r="M558" s="74" t="s">
        <v>1032</v>
      </c>
      <c r="N558" s="133">
        <v>43832.0</v>
      </c>
      <c r="O558" s="74">
        <v>1.0</v>
      </c>
      <c r="P558" s="74">
        <v>1.0</v>
      </c>
      <c r="Q558" s="119"/>
      <c r="R558" s="74" t="s">
        <v>24763</v>
      </c>
      <c r="S558" s="119"/>
      <c r="T558" s="146">
        <v>43684.0</v>
      </c>
      <c r="U558" s="74">
        <v>34.5</v>
      </c>
      <c r="V558" s="74">
        <v>9999.0</v>
      </c>
      <c r="W558" s="119"/>
      <c r="X558" s="119"/>
      <c r="Y558" s="146">
        <v>43684.0</v>
      </c>
      <c r="Z558" s="74">
        <v>9999.0</v>
      </c>
      <c r="AA558" s="74">
        <v>9999.0</v>
      </c>
      <c r="AB558" s="119"/>
      <c r="AC558" s="119"/>
      <c r="AD558" s="74" t="s">
        <v>25660</v>
      </c>
      <c r="AE558" s="74">
        <v>1.0</v>
      </c>
      <c r="AF558" s="74" t="s">
        <v>18902</v>
      </c>
      <c r="AG558" s="120">
        <v>6857.0</v>
      </c>
      <c r="AH558" s="74" t="s">
        <v>25662</v>
      </c>
      <c r="AI558" s="74" t="s">
        <v>25663</v>
      </c>
      <c r="AJ558" s="120">
        <v>559.0</v>
      </c>
    </row>
    <row r="559">
      <c r="A559" s="74" t="s">
        <v>25664</v>
      </c>
      <c r="B559" s="74" t="s">
        <v>6876</v>
      </c>
      <c r="C559" s="74" t="s">
        <v>6877</v>
      </c>
      <c r="D559" s="74" t="s">
        <v>8493</v>
      </c>
      <c r="E559" s="146">
        <v>43837.0</v>
      </c>
      <c r="F559" s="74" t="s">
        <v>25668</v>
      </c>
      <c r="G559" s="74">
        <v>58.0</v>
      </c>
      <c r="H559" s="74">
        <v>1.0</v>
      </c>
      <c r="I559" s="74">
        <v>11.0</v>
      </c>
      <c r="J559" s="119"/>
      <c r="K559" s="119"/>
      <c r="L559" s="74" t="s">
        <v>672</v>
      </c>
      <c r="M559" s="74" t="s">
        <v>672</v>
      </c>
      <c r="N559" s="133">
        <v>43832.0</v>
      </c>
      <c r="O559" s="74">
        <v>1.0</v>
      </c>
      <c r="P559" s="74">
        <v>1.0</v>
      </c>
      <c r="Q559" s="119"/>
      <c r="R559" s="74" t="s">
        <v>25672</v>
      </c>
      <c r="S559" s="119"/>
      <c r="T559" s="146">
        <v>43789.0</v>
      </c>
      <c r="U559" s="74">
        <v>28.97</v>
      </c>
      <c r="V559" s="74">
        <v>24.27</v>
      </c>
      <c r="W559" s="119"/>
      <c r="X559" s="119"/>
      <c r="Y559" s="146">
        <v>43789.0</v>
      </c>
      <c r="Z559" s="74">
        <v>9999.0</v>
      </c>
      <c r="AA559" s="74">
        <v>9999.0</v>
      </c>
      <c r="AB559" s="119"/>
      <c r="AC559" s="119"/>
      <c r="AD559" s="119"/>
      <c r="AE559" s="74">
        <v>1.0</v>
      </c>
      <c r="AF559" s="74" t="s">
        <v>18902</v>
      </c>
      <c r="AG559" s="120">
        <v>6980.0</v>
      </c>
      <c r="AH559" s="74" t="s">
        <v>25674</v>
      </c>
      <c r="AI559" s="74" t="s">
        <v>25675</v>
      </c>
      <c r="AJ559" s="120">
        <v>560.0</v>
      </c>
    </row>
    <row r="560">
      <c r="A560" s="74" t="s">
        <v>25668</v>
      </c>
      <c r="B560" s="74" t="s">
        <v>6876</v>
      </c>
      <c r="C560" s="74" t="s">
        <v>6877</v>
      </c>
      <c r="D560" s="74" t="s">
        <v>8493</v>
      </c>
      <c r="E560" s="146">
        <v>43837.0</v>
      </c>
      <c r="F560" s="74" t="s">
        <v>25677</v>
      </c>
      <c r="G560" s="74">
        <v>59.0</v>
      </c>
      <c r="H560" s="74">
        <v>1.0</v>
      </c>
      <c r="I560" s="74">
        <v>11.0</v>
      </c>
      <c r="J560" s="119"/>
      <c r="K560" s="119"/>
      <c r="L560" s="74" t="s">
        <v>680</v>
      </c>
      <c r="M560" s="74" t="s">
        <v>680</v>
      </c>
      <c r="N560" s="133">
        <v>43832.0</v>
      </c>
      <c r="O560" s="74">
        <v>1.0</v>
      </c>
      <c r="P560" s="74">
        <v>1.0</v>
      </c>
      <c r="Q560" s="119"/>
      <c r="R560" s="74" t="s">
        <v>25672</v>
      </c>
      <c r="S560" s="119"/>
      <c r="T560" s="146">
        <v>43789.0</v>
      </c>
      <c r="U560" s="74">
        <v>9999.0</v>
      </c>
      <c r="V560" s="74">
        <v>9999.0</v>
      </c>
      <c r="W560" s="119"/>
      <c r="X560" s="119"/>
      <c r="Y560" s="146">
        <v>43789.0</v>
      </c>
      <c r="Z560" s="74">
        <v>9999.0</v>
      </c>
      <c r="AA560" s="74">
        <v>9999.0</v>
      </c>
      <c r="AB560" s="119"/>
      <c r="AC560" s="119"/>
      <c r="AD560" s="119"/>
      <c r="AE560" s="74">
        <v>1.0</v>
      </c>
      <c r="AF560" s="74" t="s">
        <v>18902</v>
      </c>
      <c r="AG560" s="120">
        <v>6981.0</v>
      </c>
      <c r="AH560" s="74" t="s">
        <v>25683</v>
      </c>
      <c r="AI560" s="74" t="s">
        <v>25684</v>
      </c>
      <c r="AJ560" s="120">
        <v>561.0</v>
      </c>
    </row>
    <row r="561">
      <c r="A561" s="74" t="s">
        <v>25677</v>
      </c>
      <c r="B561" s="74" t="s">
        <v>6876</v>
      </c>
      <c r="C561" s="74" t="s">
        <v>6877</v>
      </c>
      <c r="D561" s="74" t="s">
        <v>8493</v>
      </c>
      <c r="E561" s="146">
        <v>43837.0</v>
      </c>
      <c r="F561" s="74" t="s">
        <v>25687</v>
      </c>
      <c r="G561" s="74">
        <v>59.0</v>
      </c>
      <c r="H561" s="74">
        <v>1.0</v>
      </c>
      <c r="I561" s="74">
        <v>11.0</v>
      </c>
      <c r="J561" s="119"/>
      <c r="K561" s="119"/>
      <c r="L561" s="74" t="s">
        <v>689</v>
      </c>
      <c r="M561" s="74" t="s">
        <v>689</v>
      </c>
      <c r="N561" s="133">
        <v>43832.0</v>
      </c>
      <c r="O561" s="74">
        <v>1.0</v>
      </c>
      <c r="P561" s="74">
        <v>1.0</v>
      </c>
      <c r="Q561" s="119"/>
      <c r="R561" s="74" t="s">
        <v>25672</v>
      </c>
      <c r="S561" s="119"/>
      <c r="T561" s="146">
        <v>43789.0</v>
      </c>
      <c r="U561" s="74">
        <v>9999.0</v>
      </c>
      <c r="V561" s="74">
        <v>9999.0</v>
      </c>
      <c r="W561" s="119"/>
      <c r="X561" s="119"/>
      <c r="Y561" s="146">
        <v>43789.0</v>
      </c>
      <c r="Z561" s="74">
        <v>9999.0</v>
      </c>
      <c r="AA561" s="74">
        <v>9999.0</v>
      </c>
      <c r="AB561" s="119"/>
      <c r="AC561" s="119"/>
      <c r="AD561" s="119"/>
      <c r="AE561" s="74">
        <v>1.0</v>
      </c>
      <c r="AF561" s="74" t="s">
        <v>18902</v>
      </c>
      <c r="AG561" s="120">
        <v>6982.0</v>
      </c>
      <c r="AH561" s="74" t="s">
        <v>25693</v>
      </c>
      <c r="AI561" s="74" t="s">
        <v>25694</v>
      </c>
      <c r="AJ561" s="120">
        <v>562.0</v>
      </c>
    </row>
    <row r="562">
      <c r="A562" s="74" t="s">
        <v>25687</v>
      </c>
      <c r="B562" s="74" t="s">
        <v>6876</v>
      </c>
      <c r="C562" s="74" t="s">
        <v>6877</v>
      </c>
      <c r="D562" s="74" t="s">
        <v>8493</v>
      </c>
      <c r="E562" s="146">
        <v>43837.0</v>
      </c>
      <c r="F562" s="74" t="s">
        <v>25696</v>
      </c>
      <c r="G562" s="74">
        <v>59.0</v>
      </c>
      <c r="H562" s="74">
        <v>1.0</v>
      </c>
      <c r="I562" s="74">
        <v>11.0</v>
      </c>
      <c r="J562" s="119"/>
      <c r="K562" s="119"/>
      <c r="L562" s="74" t="s">
        <v>692</v>
      </c>
      <c r="M562" s="74" t="s">
        <v>692</v>
      </c>
      <c r="N562" s="133">
        <v>43832.0</v>
      </c>
      <c r="O562" s="74">
        <v>1.0</v>
      </c>
      <c r="P562" s="74">
        <v>1.0</v>
      </c>
      <c r="Q562" s="119"/>
      <c r="R562" s="74" t="s">
        <v>25672</v>
      </c>
      <c r="S562" s="119"/>
      <c r="T562" s="146">
        <v>43789.0</v>
      </c>
      <c r="U562" s="74">
        <v>9999.0</v>
      </c>
      <c r="V562" s="74">
        <v>9999.0</v>
      </c>
      <c r="W562" s="119"/>
      <c r="X562" s="119"/>
      <c r="Y562" s="146">
        <v>43789.0</v>
      </c>
      <c r="Z562" s="74">
        <v>9999.0</v>
      </c>
      <c r="AA562" s="74">
        <v>9999.0</v>
      </c>
      <c r="AB562" s="119"/>
      <c r="AC562" s="119"/>
      <c r="AD562" s="119"/>
      <c r="AE562" s="74">
        <v>1.0</v>
      </c>
      <c r="AF562" s="74" t="s">
        <v>18902</v>
      </c>
      <c r="AG562" s="120">
        <v>6983.0</v>
      </c>
      <c r="AH562" s="74" t="s">
        <v>25702</v>
      </c>
      <c r="AI562" s="74" t="s">
        <v>25703</v>
      </c>
      <c r="AJ562" s="120">
        <v>563.0</v>
      </c>
    </row>
    <row r="563">
      <c r="A563" s="74" t="s">
        <v>25696</v>
      </c>
      <c r="B563" s="74" t="s">
        <v>6876</v>
      </c>
      <c r="C563" s="74" t="s">
        <v>6877</v>
      </c>
      <c r="D563" s="74" t="s">
        <v>8493</v>
      </c>
      <c r="E563" s="146">
        <v>43837.0</v>
      </c>
      <c r="F563" s="74" t="s">
        <v>25705</v>
      </c>
      <c r="G563" s="74">
        <v>59.0</v>
      </c>
      <c r="H563" s="74">
        <v>1.0</v>
      </c>
      <c r="I563" s="74">
        <v>11.0</v>
      </c>
      <c r="J563" s="119"/>
      <c r="K563" s="119"/>
      <c r="L563" s="74" t="s">
        <v>697</v>
      </c>
      <c r="M563" s="74" t="s">
        <v>697</v>
      </c>
      <c r="N563" s="133">
        <v>43832.0</v>
      </c>
      <c r="O563" s="74">
        <v>1.0</v>
      </c>
      <c r="P563" s="74">
        <v>1.0</v>
      </c>
      <c r="Q563" s="119"/>
      <c r="R563" s="74" t="s">
        <v>25672</v>
      </c>
      <c r="S563" s="119"/>
      <c r="T563" s="146">
        <v>43789.0</v>
      </c>
      <c r="U563" s="74">
        <v>9999.0</v>
      </c>
      <c r="V563" s="74">
        <v>9999.0</v>
      </c>
      <c r="W563" s="119"/>
      <c r="X563" s="119"/>
      <c r="Y563" s="146">
        <v>43789.0</v>
      </c>
      <c r="Z563" s="74">
        <v>9999.0</v>
      </c>
      <c r="AA563" s="74">
        <v>9999.0</v>
      </c>
      <c r="AB563" s="119"/>
      <c r="AC563" s="119"/>
      <c r="AD563" s="119"/>
      <c r="AE563" s="74">
        <v>1.0</v>
      </c>
      <c r="AF563" s="74" t="s">
        <v>18902</v>
      </c>
      <c r="AG563" s="120">
        <v>6984.0</v>
      </c>
      <c r="AH563" s="74" t="s">
        <v>25710</v>
      </c>
      <c r="AI563" s="74" t="s">
        <v>25711</v>
      </c>
      <c r="AJ563" s="120">
        <v>564.0</v>
      </c>
    </row>
    <row r="564">
      <c r="A564" s="74" t="s">
        <v>25705</v>
      </c>
      <c r="B564" s="74" t="s">
        <v>6876</v>
      </c>
      <c r="C564" s="74" t="s">
        <v>6877</v>
      </c>
      <c r="D564" s="74" t="s">
        <v>8493</v>
      </c>
      <c r="E564" s="146">
        <v>43837.0</v>
      </c>
      <c r="F564" s="74" t="s">
        <v>25714</v>
      </c>
      <c r="G564" s="74">
        <v>58.0</v>
      </c>
      <c r="H564" s="74">
        <v>1.0</v>
      </c>
      <c r="I564" s="74">
        <v>11.0</v>
      </c>
      <c r="J564" s="119"/>
      <c r="K564" s="119"/>
      <c r="L564" s="74" t="s">
        <v>702</v>
      </c>
      <c r="M564" s="74" t="s">
        <v>702</v>
      </c>
      <c r="N564" s="133">
        <v>43832.0</v>
      </c>
      <c r="O564" s="74">
        <v>1.0</v>
      </c>
      <c r="P564" s="74">
        <v>1.0</v>
      </c>
      <c r="Q564" s="119"/>
      <c r="R564" s="74" t="s">
        <v>25672</v>
      </c>
      <c r="S564" s="119"/>
      <c r="T564" s="146">
        <v>43789.0</v>
      </c>
      <c r="U564" s="74">
        <v>9999.0</v>
      </c>
      <c r="V564" s="74">
        <v>9999.0</v>
      </c>
      <c r="W564" s="119"/>
      <c r="X564" s="119"/>
      <c r="Y564" s="146">
        <v>43789.0</v>
      </c>
      <c r="Z564" s="74">
        <v>9999.0</v>
      </c>
      <c r="AA564" s="74">
        <v>9999.0</v>
      </c>
      <c r="AB564" s="119"/>
      <c r="AC564" s="119"/>
      <c r="AD564" s="119"/>
      <c r="AE564" s="74">
        <v>1.0</v>
      </c>
      <c r="AF564" s="74" t="s">
        <v>18902</v>
      </c>
      <c r="AG564" s="120">
        <v>6985.0</v>
      </c>
      <c r="AH564" s="74" t="s">
        <v>25721</v>
      </c>
      <c r="AI564" s="74" t="s">
        <v>25723</v>
      </c>
      <c r="AJ564" s="120">
        <v>565.0</v>
      </c>
    </row>
    <row r="565">
      <c r="A565" s="74" t="s">
        <v>25714</v>
      </c>
      <c r="B565" s="74" t="s">
        <v>6876</v>
      </c>
      <c r="C565" s="74" t="s">
        <v>6877</v>
      </c>
      <c r="D565" s="74" t="s">
        <v>8493</v>
      </c>
      <c r="E565" s="146">
        <v>43837.0</v>
      </c>
      <c r="F565" s="74" t="s">
        <v>25725</v>
      </c>
      <c r="G565" s="74">
        <v>57.0</v>
      </c>
      <c r="H565" s="74">
        <v>1.0</v>
      </c>
      <c r="I565" s="74">
        <v>12.0</v>
      </c>
      <c r="J565" s="119"/>
      <c r="K565" s="119"/>
      <c r="L565" s="74" t="s">
        <v>711</v>
      </c>
      <c r="M565" s="74" t="s">
        <v>711</v>
      </c>
      <c r="N565" s="133">
        <v>43832.0</v>
      </c>
      <c r="O565" s="74">
        <v>1.0</v>
      </c>
      <c r="P565" s="74">
        <v>1.0</v>
      </c>
      <c r="Q565" s="119"/>
      <c r="R565" s="74" t="s">
        <v>25672</v>
      </c>
      <c r="S565" s="119"/>
      <c r="T565" s="146">
        <v>43789.0</v>
      </c>
      <c r="U565" s="74">
        <v>9999.0</v>
      </c>
      <c r="V565" s="74">
        <v>20.02</v>
      </c>
      <c r="W565" s="119"/>
      <c r="X565" s="119"/>
      <c r="Y565" s="146">
        <v>43789.0</v>
      </c>
      <c r="Z565" s="74">
        <v>29.02</v>
      </c>
      <c r="AA565" s="74">
        <v>28.54</v>
      </c>
      <c r="AB565" s="119"/>
      <c r="AC565" s="119"/>
      <c r="AD565" s="119"/>
      <c r="AE565" s="74">
        <v>1.0</v>
      </c>
      <c r="AF565" s="74" t="s">
        <v>18902</v>
      </c>
      <c r="AG565" s="120">
        <v>6986.0</v>
      </c>
      <c r="AH565" s="74" t="s">
        <v>25733</v>
      </c>
      <c r="AI565" s="74" t="s">
        <v>25734</v>
      </c>
      <c r="AJ565" s="120">
        <v>566.0</v>
      </c>
    </row>
    <row r="566">
      <c r="A566" s="74" t="s">
        <v>25725</v>
      </c>
      <c r="B566" s="74" t="s">
        <v>6876</v>
      </c>
      <c r="C566" s="74" t="s">
        <v>6877</v>
      </c>
      <c r="D566" s="74" t="s">
        <v>8493</v>
      </c>
      <c r="E566" s="146">
        <v>43837.0</v>
      </c>
      <c r="F566" s="74" t="s">
        <v>25735</v>
      </c>
      <c r="G566" s="74">
        <v>57.0</v>
      </c>
      <c r="H566" s="74">
        <v>1.0</v>
      </c>
      <c r="I566" s="74">
        <v>12.0</v>
      </c>
      <c r="J566" s="119"/>
      <c r="K566" s="119"/>
      <c r="L566" s="74" t="s">
        <v>716</v>
      </c>
      <c r="M566" s="74" t="s">
        <v>716</v>
      </c>
      <c r="N566" s="133">
        <v>43832.0</v>
      </c>
      <c r="O566" s="74">
        <v>1.0</v>
      </c>
      <c r="P566" s="74">
        <v>1.0</v>
      </c>
      <c r="Q566" s="119"/>
      <c r="R566" s="74" t="s">
        <v>25672</v>
      </c>
      <c r="S566" s="119"/>
      <c r="T566" s="146">
        <v>43789.0</v>
      </c>
      <c r="U566" s="74">
        <v>23.47</v>
      </c>
      <c r="V566" s="74">
        <v>24.43</v>
      </c>
      <c r="W566" s="119"/>
      <c r="X566" s="119"/>
      <c r="Y566" s="146">
        <v>43789.0</v>
      </c>
      <c r="Z566" s="74">
        <v>9999.0</v>
      </c>
      <c r="AA566" s="74">
        <v>9999.0</v>
      </c>
      <c r="AB566" s="119"/>
      <c r="AC566" s="119"/>
      <c r="AD566" s="119"/>
      <c r="AE566" s="74">
        <v>1.0</v>
      </c>
      <c r="AF566" s="74" t="s">
        <v>18902</v>
      </c>
      <c r="AG566" s="120">
        <v>6987.0</v>
      </c>
      <c r="AH566" s="74" t="s">
        <v>25740</v>
      </c>
      <c r="AI566" s="74" t="s">
        <v>25741</v>
      </c>
      <c r="AJ566" s="120">
        <v>567.0</v>
      </c>
    </row>
    <row r="567">
      <c r="A567" s="74" t="s">
        <v>25735</v>
      </c>
      <c r="B567" s="74" t="s">
        <v>6876</v>
      </c>
      <c r="C567" s="74" t="s">
        <v>6877</v>
      </c>
      <c r="D567" s="74" t="s">
        <v>8493</v>
      </c>
      <c r="E567" s="146">
        <v>43837.0</v>
      </c>
      <c r="F567" s="74" t="s">
        <v>25743</v>
      </c>
      <c r="G567" s="74">
        <v>66.0</v>
      </c>
      <c r="H567" s="74">
        <v>1.0</v>
      </c>
      <c r="I567" s="74">
        <v>12.0</v>
      </c>
      <c r="J567" s="119"/>
      <c r="K567" s="119"/>
      <c r="L567" s="74" t="s">
        <v>722</v>
      </c>
      <c r="M567" s="74" t="s">
        <v>722</v>
      </c>
      <c r="N567" s="133">
        <v>43832.0</v>
      </c>
      <c r="O567" s="74">
        <v>1.0</v>
      </c>
      <c r="P567" s="74">
        <v>1.0</v>
      </c>
      <c r="Q567" s="119"/>
      <c r="R567" s="74" t="s">
        <v>25672</v>
      </c>
      <c r="S567" s="119"/>
      <c r="T567" s="146">
        <v>43789.0</v>
      </c>
      <c r="U567" s="74">
        <v>9999.0</v>
      </c>
      <c r="V567" s="74">
        <v>9999.0</v>
      </c>
      <c r="W567" s="119"/>
      <c r="X567" s="119"/>
      <c r="Y567" s="146">
        <v>43789.0</v>
      </c>
      <c r="Z567" s="74">
        <v>9999.0</v>
      </c>
      <c r="AA567" s="74">
        <v>9999.0</v>
      </c>
      <c r="AB567" s="119"/>
      <c r="AC567" s="119"/>
      <c r="AD567" s="119"/>
      <c r="AE567" s="74">
        <v>1.0</v>
      </c>
      <c r="AF567" s="74" t="s">
        <v>18902</v>
      </c>
      <c r="AG567" s="120">
        <v>6988.0</v>
      </c>
      <c r="AH567" s="74" t="s">
        <v>25748</v>
      </c>
      <c r="AI567" s="74" t="s">
        <v>25749</v>
      </c>
      <c r="AJ567" s="120">
        <v>568.0</v>
      </c>
    </row>
    <row r="568">
      <c r="A568" s="74" t="s">
        <v>25743</v>
      </c>
      <c r="B568" s="74" t="s">
        <v>6876</v>
      </c>
      <c r="C568" s="74" t="s">
        <v>6877</v>
      </c>
      <c r="D568" s="74" t="s">
        <v>8493</v>
      </c>
      <c r="E568" s="146">
        <v>43837.0</v>
      </c>
      <c r="F568" s="74" t="s">
        <v>25752</v>
      </c>
      <c r="G568" s="74">
        <v>59.0</v>
      </c>
      <c r="H568" s="74">
        <v>1.0</v>
      </c>
      <c r="I568" s="74">
        <v>12.0</v>
      </c>
      <c r="J568" s="119"/>
      <c r="K568" s="119"/>
      <c r="L568" s="74" t="s">
        <v>729</v>
      </c>
      <c r="M568" s="74" t="s">
        <v>729</v>
      </c>
      <c r="N568" s="133">
        <v>43832.0</v>
      </c>
      <c r="O568" s="74">
        <v>1.0</v>
      </c>
      <c r="P568" s="74">
        <v>1.0</v>
      </c>
      <c r="Q568" s="119"/>
      <c r="R568" s="74" t="s">
        <v>25672</v>
      </c>
      <c r="S568" s="119"/>
      <c r="T568" s="146">
        <v>43789.0</v>
      </c>
      <c r="U568" s="74">
        <v>9999.0</v>
      </c>
      <c r="V568" s="74">
        <v>9999.0</v>
      </c>
      <c r="W568" s="119"/>
      <c r="X568" s="119"/>
      <c r="Y568" s="146">
        <v>43789.0</v>
      </c>
      <c r="Z568" s="74">
        <v>9999.0</v>
      </c>
      <c r="AA568" s="74">
        <v>9999.0</v>
      </c>
      <c r="AB568" s="119"/>
      <c r="AC568" s="119"/>
      <c r="AD568" s="119"/>
      <c r="AE568" s="74">
        <v>1.0</v>
      </c>
      <c r="AF568" s="74" t="s">
        <v>18902</v>
      </c>
      <c r="AG568" s="120">
        <v>6989.0</v>
      </c>
      <c r="AH568" s="74" t="s">
        <v>25756</v>
      </c>
      <c r="AI568" s="74" t="s">
        <v>25757</v>
      </c>
      <c r="AJ568" s="120">
        <v>569.0</v>
      </c>
    </row>
    <row r="569">
      <c r="A569" s="74" t="s">
        <v>25760</v>
      </c>
      <c r="B569" s="74" t="s">
        <v>6876</v>
      </c>
      <c r="C569" s="74" t="s">
        <v>6877</v>
      </c>
      <c r="D569" s="74" t="s">
        <v>8493</v>
      </c>
      <c r="E569" s="146">
        <v>43837.0</v>
      </c>
      <c r="F569" s="74" t="s">
        <v>25761</v>
      </c>
      <c r="G569" s="74">
        <v>57.0</v>
      </c>
      <c r="H569" s="74">
        <v>1.0</v>
      </c>
      <c r="I569" s="74">
        <v>99.0</v>
      </c>
      <c r="J569" s="119"/>
      <c r="K569" s="119"/>
      <c r="L569" s="74" t="s">
        <v>467</v>
      </c>
      <c r="M569" s="74" t="s">
        <v>467</v>
      </c>
      <c r="N569" s="133">
        <v>43832.0</v>
      </c>
      <c r="O569" s="74">
        <v>1.0</v>
      </c>
      <c r="P569" s="74">
        <v>1.0</v>
      </c>
      <c r="Q569" s="119"/>
      <c r="R569" s="74" t="s">
        <v>25672</v>
      </c>
      <c r="S569" s="119"/>
      <c r="T569" s="146">
        <v>43789.0</v>
      </c>
      <c r="U569" s="74">
        <v>9999.0</v>
      </c>
      <c r="V569" s="74">
        <v>9999.0</v>
      </c>
      <c r="W569" s="119"/>
      <c r="X569" s="119"/>
      <c r="Y569" s="146">
        <v>43789.0</v>
      </c>
      <c r="Z569" s="74">
        <v>9999.0</v>
      </c>
      <c r="AA569" s="74">
        <v>9999.0</v>
      </c>
      <c r="AB569" s="119"/>
      <c r="AC569" s="119"/>
      <c r="AD569" s="119"/>
      <c r="AE569" s="74">
        <v>1.0</v>
      </c>
      <c r="AF569" s="74" t="s">
        <v>18902</v>
      </c>
      <c r="AG569" s="120">
        <v>6990.0</v>
      </c>
      <c r="AH569" s="74" t="s">
        <v>25768</v>
      </c>
      <c r="AI569" s="74" t="s">
        <v>25770</v>
      </c>
      <c r="AJ569" s="120">
        <v>570.0</v>
      </c>
    </row>
    <row r="570">
      <c r="A570" s="74" t="s">
        <v>25771</v>
      </c>
      <c r="B570" s="74" t="s">
        <v>6876</v>
      </c>
      <c r="C570" s="74" t="s">
        <v>6877</v>
      </c>
      <c r="D570" s="74" t="s">
        <v>8493</v>
      </c>
      <c r="E570" s="146">
        <v>43837.0</v>
      </c>
      <c r="F570" s="74" t="s">
        <v>25774</v>
      </c>
      <c r="G570" s="74">
        <v>57.0</v>
      </c>
      <c r="H570" s="74">
        <v>1.0</v>
      </c>
      <c r="I570" s="74">
        <v>12.0</v>
      </c>
      <c r="J570" s="119"/>
      <c r="K570" s="119"/>
      <c r="L570" s="74" t="s">
        <v>760</v>
      </c>
      <c r="M570" s="74" t="s">
        <v>760</v>
      </c>
      <c r="N570" s="133">
        <v>43832.0</v>
      </c>
      <c r="O570" s="74">
        <v>1.0</v>
      </c>
      <c r="P570" s="74">
        <v>1.0</v>
      </c>
      <c r="Q570" s="119"/>
      <c r="R570" s="74" t="s">
        <v>25672</v>
      </c>
      <c r="S570" s="119"/>
      <c r="T570" s="146">
        <v>43789.0</v>
      </c>
      <c r="U570" s="74">
        <v>9999.0</v>
      </c>
      <c r="V570" s="74">
        <v>9999.0</v>
      </c>
      <c r="W570" s="119"/>
      <c r="X570" s="119"/>
      <c r="Y570" s="146">
        <v>43789.0</v>
      </c>
      <c r="Z570" s="74">
        <v>9999.0</v>
      </c>
      <c r="AA570" s="74">
        <v>9999.0</v>
      </c>
      <c r="AB570" s="119"/>
      <c r="AC570" s="119"/>
      <c r="AD570" s="119"/>
      <c r="AE570" s="74">
        <v>1.0</v>
      </c>
      <c r="AF570" s="74" t="s">
        <v>18902</v>
      </c>
      <c r="AG570" s="120">
        <v>6991.0</v>
      </c>
      <c r="AH570" s="74" t="s">
        <v>25781</v>
      </c>
      <c r="AI570" s="74" t="s">
        <v>25782</v>
      </c>
      <c r="AJ570" s="120">
        <v>571.0</v>
      </c>
    </row>
    <row r="571">
      <c r="A571" s="74" t="s">
        <v>25774</v>
      </c>
      <c r="B571" s="74" t="s">
        <v>6876</v>
      </c>
      <c r="C571" s="74" t="s">
        <v>6877</v>
      </c>
      <c r="D571" s="74" t="s">
        <v>8493</v>
      </c>
      <c r="E571" s="146">
        <v>43837.0</v>
      </c>
      <c r="F571" s="74" t="s">
        <v>25784</v>
      </c>
      <c r="G571" s="74">
        <v>57.0</v>
      </c>
      <c r="H571" s="74">
        <v>1.0</v>
      </c>
      <c r="I571" s="74">
        <v>12.0</v>
      </c>
      <c r="J571" s="119"/>
      <c r="K571" s="119"/>
      <c r="L571" s="74" t="s">
        <v>766</v>
      </c>
      <c r="M571" s="74" t="s">
        <v>766</v>
      </c>
      <c r="N571" s="133">
        <v>43832.0</v>
      </c>
      <c r="O571" s="74">
        <v>1.0</v>
      </c>
      <c r="P571" s="74">
        <v>1.0</v>
      </c>
      <c r="Q571" s="119"/>
      <c r="R571" s="74" t="s">
        <v>25672</v>
      </c>
      <c r="S571" s="119"/>
      <c r="T571" s="146">
        <v>43789.0</v>
      </c>
      <c r="U571" s="74">
        <v>9999.0</v>
      </c>
      <c r="V571" s="74">
        <v>9999.0</v>
      </c>
      <c r="W571" s="119"/>
      <c r="X571" s="119"/>
      <c r="Y571" s="146">
        <v>43789.0</v>
      </c>
      <c r="Z571" s="74">
        <v>9999.0</v>
      </c>
      <c r="AA571" s="74">
        <v>9999.0</v>
      </c>
      <c r="AB571" s="119"/>
      <c r="AC571" s="119"/>
      <c r="AD571" s="119"/>
      <c r="AE571" s="74">
        <v>1.0</v>
      </c>
      <c r="AF571" s="74" t="s">
        <v>18902</v>
      </c>
      <c r="AG571" s="120">
        <v>6992.0</v>
      </c>
      <c r="AH571" s="74" t="s">
        <v>25790</v>
      </c>
      <c r="AI571" s="74" t="s">
        <v>25791</v>
      </c>
      <c r="AJ571" s="120">
        <v>572.0</v>
      </c>
    </row>
    <row r="572">
      <c r="A572" s="74" t="s">
        <v>25784</v>
      </c>
      <c r="B572" s="74" t="s">
        <v>6876</v>
      </c>
      <c r="C572" s="74" t="s">
        <v>6877</v>
      </c>
      <c r="D572" s="74" t="s">
        <v>8493</v>
      </c>
      <c r="E572" s="146">
        <v>43837.0</v>
      </c>
      <c r="F572" s="74" t="s">
        <v>25793</v>
      </c>
      <c r="G572" s="74">
        <v>55.0</v>
      </c>
      <c r="H572" s="74">
        <v>1.0</v>
      </c>
      <c r="I572" s="74">
        <v>12.0</v>
      </c>
      <c r="J572" s="119"/>
      <c r="K572" s="119"/>
      <c r="L572" s="74" t="s">
        <v>774</v>
      </c>
      <c r="M572" s="74" t="s">
        <v>774</v>
      </c>
      <c r="N572" s="133">
        <v>43832.0</v>
      </c>
      <c r="O572" s="74">
        <v>1.0</v>
      </c>
      <c r="P572" s="74">
        <v>1.0</v>
      </c>
      <c r="Q572" s="119"/>
      <c r="R572" s="74" t="s">
        <v>25796</v>
      </c>
      <c r="S572" s="119"/>
      <c r="T572" s="146">
        <v>43836.0</v>
      </c>
      <c r="U572" s="74">
        <v>9999.0</v>
      </c>
      <c r="V572" s="74">
        <v>9999.0</v>
      </c>
      <c r="W572" s="119"/>
      <c r="X572" s="119"/>
      <c r="Y572" s="146">
        <v>43836.0</v>
      </c>
      <c r="Z572" s="74">
        <v>9999.0</v>
      </c>
      <c r="AA572" s="74">
        <v>9999.0</v>
      </c>
      <c r="AB572" s="119"/>
      <c r="AC572" s="119"/>
      <c r="AD572" s="119"/>
      <c r="AE572" s="74">
        <v>1.0</v>
      </c>
      <c r="AF572" s="74" t="s">
        <v>18902</v>
      </c>
      <c r="AG572" s="120">
        <v>6993.0</v>
      </c>
      <c r="AH572" s="74" t="s">
        <v>25798</v>
      </c>
      <c r="AI572" s="74" t="s">
        <v>25799</v>
      </c>
      <c r="AJ572" s="120">
        <v>573.0</v>
      </c>
    </row>
    <row r="573">
      <c r="A573" s="74" t="s">
        <v>25793</v>
      </c>
      <c r="B573" s="74" t="s">
        <v>6876</v>
      </c>
      <c r="C573" s="74" t="s">
        <v>6877</v>
      </c>
      <c r="D573" s="74" t="s">
        <v>8493</v>
      </c>
      <c r="E573" s="146">
        <v>43837.0</v>
      </c>
      <c r="F573" s="74" t="s">
        <v>25802</v>
      </c>
      <c r="G573" s="74">
        <v>65.0</v>
      </c>
      <c r="H573" s="74">
        <v>1.0</v>
      </c>
      <c r="I573" s="74">
        <v>12.0</v>
      </c>
      <c r="J573" s="119"/>
      <c r="K573" s="119"/>
      <c r="L573" s="74" t="s">
        <v>781</v>
      </c>
      <c r="M573" s="74" t="s">
        <v>781</v>
      </c>
      <c r="N573" s="133">
        <v>43832.0</v>
      </c>
      <c r="O573" s="74">
        <v>1.0</v>
      </c>
      <c r="P573" s="74">
        <v>1.0</v>
      </c>
      <c r="Q573" s="119"/>
      <c r="R573" s="74" t="s">
        <v>25796</v>
      </c>
      <c r="S573" s="119"/>
      <c r="T573" s="146">
        <v>43836.0</v>
      </c>
      <c r="U573" s="74">
        <v>9999.0</v>
      </c>
      <c r="V573" s="74">
        <v>9999.0</v>
      </c>
      <c r="W573" s="119"/>
      <c r="X573" s="119"/>
      <c r="Y573" s="146">
        <v>43836.0</v>
      </c>
      <c r="Z573" s="74">
        <v>9999.0</v>
      </c>
      <c r="AA573" s="74">
        <v>9999.0</v>
      </c>
      <c r="AB573" s="119"/>
      <c r="AC573" s="119"/>
      <c r="AD573" s="119"/>
      <c r="AE573" s="74">
        <v>1.0</v>
      </c>
      <c r="AF573" s="74" t="s">
        <v>18902</v>
      </c>
      <c r="AG573" s="120">
        <v>6994.0</v>
      </c>
      <c r="AH573" s="74" t="s">
        <v>25807</v>
      </c>
      <c r="AI573" s="74" t="s">
        <v>25808</v>
      </c>
      <c r="AJ573" s="120">
        <v>574.0</v>
      </c>
    </row>
    <row r="574">
      <c r="A574" s="74" t="s">
        <v>25811</v>
      </c>
      <c r="B574" s="74" t="s">
        <v>6876</v>
      </c>
      <c r="C574" s="74" t="s">
        <v>6877</v>
      </c>
      <c r="D574" s="74" t="s">
        <v>8493</v>
      </c>
      <c r="E574" s="146">
        <v>43837.0</v>
      </c>
      <c r="F574" s="74" t="s">
        <v>25813</v>
      </c>
      <c r="G574" s="74">
        <v>59.0</v>
      </c>
      <c r="H574" s="74">
        <v>1.0</v>
      </c>
      <c r="I574" s="74">
        <v>11.0</v>
      </c>
      <c r="J574" s="119"/>
      <c r="K574" s="119"/>
      <c r="L574" s="74" t="s">
        <v>791</v>
      </c>
      <c r="M574" s="74" t="s">
        <v>791</v>
      </c>
      <c r="N574" s="133">
        <v>43832.0</v>
      </c>
      <c r="O574" s="74">
        <v>1.0</v>
      </c>
      <c r="P574" s="74">
        <v>1.0</v>
      </c>
      <c r="Q574" s="119"/>
      <c r="R574" s="74" t="s">
        <v>24505</v>
      </c>
      <c r="S574" s="119"/>
      <c r="T574" s="146">
        <v>43817.0</v>
      </c>
      <c r="U574" s="74">
        <v>9999.0</v>
      </c>
      <c r="V574" s="74">
        <v>30.58</v>
      </c>
      <c r="W574" s="119"/>
      <c r="X574" s="119"/>
      <c r="Y574" s="146">
        <v>43817.0</v>
      </c>
      <c r="Z574" s="74">
        <v>9999.0</v>
      </c>
      <c r="AA574" s="74">
        <v>9999.0</v>
      </c>
      <c r="AB574" s="119"/>
      <c r="AC574" s="119"/>
      <c r="AD574" s="119"/>
      <c r="AE574" s="74">
        <v>1.0</v>
      </c>
      <c r="AF574" s="74" t="s">
        <v>18902</v>
      </c>
      <c r="AG574" s="120">
        <v>6995.0</v>
      </c>
      <c r="AH574" s="74" t="s">
        <v>25819</v>
      </c>
      <c r="AI574" s="74" t="s">
        <v>25820</v>
      </c>
      <c r="AJ574" s="120">
        <v>575.0</v>
      </c>
    </row>
    <row r="575">
      <c r="A575" s="74" t="s">
        <v>25813</v>
      </c>
      <c r="B575" s="74" t="s">
        <v>6876</v>
      </c>
      <c r="C575" s="74" t="s">
        <v>6877</v>
      </c>
      <c r="D575" s="74" t="s">
        <v>8493</v>
      </c>
      <c r="E575" s="146">
        <v>43837.0</v>
      </c>
      <c r="F575" s="74" t="s">
        <v>25823</v>
      </c>
      <c r="G575" s="74">
        <v>59.0</v>
      </c>
      <c r="H575" s="74">
        <v>1.0</v>
      </c>
      <c r="I575" s="74">
        <v>11.0</v>
      </c>
      <c r="J575" s="119"/>
      <c r="K575" s="119"/>
      <c r="L575" s="74" t="s">
        <v>795</v>
      </c>
      <c r="M575" s="74" t="s">
        <v>795</v>
      </c>
      <c r="N575" s="133">
        <v>43832.0</v>
      </c>
      <c r="O575" s="74">
        <v>1.0</v>
      </c>
      <c r="P575" s="74">
        <v>1.0</v>
      </c>
      <c r="Q575" s="119"/>
      <c r="R575" s="74" t="s">
        <v>24505</v>
      </c>
      <c r="S575" s="119"/>
      <c r="T575" s="146">
        <v>43817.0</v>
      </c>
      <c r="U575" s="74">
        <v>9999.0</v>
      </c>
      <c r="V575" s="74">
        <v>9999.0</v>
      </c>
      <c r="W575" s="119"/>
      <c r="X575" s="119"/>
      <c r="Y575" s="146">
        <v>43817.0</v>
      </c>
      <c r="Z575" s="74">
        <v>34.1</v>
      </c>
      <c r="AA575" s="74">
        <v>33.77</v>
      </c>
      <c r="AB575" s="119"/>
      <c r="AC575" s="119"/>
      <c r="AD575" s="119"/>
      <c r="AE575" s="74">
        <v>1.0</v>
      </c>
      <c r="AF575" s="74" t="s">
        <v>18902</v>
      </c>
      <c r="AG575" s="120">
        <v>6996.0</v>
      </c>
      <c r="AH575" s="74" t="s">
        <v>25829</v>
      </c>
      <c r="AI575" s="74" t="s">
        <v>25830</v>
      </c>
      <c r="AJ575" s="120">
        <v>576.0</v>
      </c>
    </row>
    <row r="576">
      <c r="A576" s="74" t="s">
        <v>25832</v>
      </c>
      <c r="B576" s="74" t="s">
        <v>6876</v>
      </c>
      <c r="C576" s="74" t="s">
        <v>6877</v>
      </c>
      <c r="D576" s="74" t="s">
        <v>8493</v>
      </c>
      <c r="E576" s="146">
        <v>43837.0</v>
      </c>
      <c r="F576" s="74" t="s">
        <v>25835</v>
      </c>
      <c r="G576" s="74">
        <v>58.0</v>
      </c>
      <c r="H576" s="74">
        <v>1.0</v>
      </c>
      <c r="I576" s="74">
        <v>11.0</v>
      </c>
      <c r="J576" s="119"/>
      <c r="K576" s="119"/>
      <c r="L576" s="74" t="s">
        <v>787</v>
      </c>
      <c r="M576" s="74" t="s">
        <v>787</v>
      </c>
      <c r="N576" s="133">
        <v>43832.0</v>
      </c>
      <c r="O576" s="74">
        <v>1.0</v>
      </c>
      <c r="P576" s="74">
        <v>1.0</v>
      </c>
      <c r="Q576" s="119"/>
      <c r="R576" s="74" t="s">
        <v>24505</v>
      </c>
      <c r="S576" s="119"/>
      <c r="T576" s="146">
        <v>43817.0</v>
      </c>
      <c r="U576" s="74">
        <v>9999.0</v>
      </c>
      <c r="V576" s="74">
        <v>23.55</v>
      </c>
      <c r="W576" s="119"/>
      <c r="X576" s="119"/>
      <c r="Y576" s="146">
        <v>43817.0</v>
      </c>
      <c r="Z576" s="74">
        <v>40.0</v>
      </c>
      <c r="AA576" s="74">
        <v>40.0</v>
      </c>
      <c r="AB576" s="119"/>
      <c r="AC576" s="119"/>
      <c r="AD576" s="119"/>
      <c r="AE576" s="74">
        <v>1.0</v>
      </c>
      <c r="AF576" s="74" t="s">
        <v>18902</v>
      </c>
      <c r="AG576" s="120">
        <v>6997.0</v>
      </c>
      <c r="AH576" s="74" t="s">
        <v>25838</v>
      </c>
      <c r="AI576" s="74" t="s">
        <v>25839</v>
      </c>
      <c r="AJ576" s="120">
        <v>577.0</v>
      </c>
    </row>
    <row r="577">
      <c r="A577" s="74" t="s">
        <v>25835</v>
      </c>
      <c r="B577" s="74" t="s">
        <v>6876</v>
      </c>
      <c r="C577" s="74" t="s">
        <v>6877</v>
      </c>
      <c r="D577" s="74" t="s">
        <v>8493</v>
      </c>
      <c r="E577" s="146">
        <v>43837.0</v>
      </c>
      <c r="F577" s="74" t="s">
        <v>25842</v>
      </c>
      <c r="G577" s="74">
        <v>58.0</v>
      </c>
      <c r="H577" s="74">
        <v>1.0</v>
      </c>
      <c r="I577" s="74">
        <v>99.0</v>
      </c>
      <c r="J577" s="119"/>
      <c r="K577" s="119"/>
      <c r="L577" s="74" t="s">
        <v>751</v>
      </c>
      <c r="M577" s="74" t="s">
        <v>751</v>
      </c>
      <c r="N577" s="133">
        <v>43832.0</v>
      </c>
      <c r="O577" s="74">
        <v>1.0</v>
      </c>
      <c r="P577" s="74">
        <v>1.0</v>
      </c>
      <c r="Q577" s="119"/>
      <c r="R577" s="74" t="s">
        <v>24532</v>
      </c>
      <c r="S577" s="119"/>
      <c r="T577" s="146">
        <v>43686.0</v>
      </c>
      <c r="U577" s="74">
        <v>9999.0</v>
      </c>
      <c r="V577" s="74">
        <v>9999.0</v>
      </c>
      <c r="W577" s="119"/>
      <c r="X577" s="119"/>
      <c r="Y577" s="146">
        <v>43686.0</v>
      </c>
      <c r="Z577" s="74">
        <v>36.22</v>
      </c>
      <c r="AA577" s="74">
        <v>9999.0</v>
      </c>
      <c r="AB577" s="119"/>
      <c r="AC577" s="119"/>
      <c r="AD577" s="74" t="s">
        <v>25847</v>
      </c>
      <c r="AE577" s="74">
        <v>1.0</v>
      </c>
      <c r="AF577" s="74" t="s">
        <v>18902</v>
      </c>
      <c r="AG577" s="120">
        <v>6998.0</v>
      </c>
      <c r="AH577" s="74" t="s">
        <v>25848</v>
      </c>
      <c r="AI577" s="74" t="s">
        <v>25850</v>
      </c>
      <c r="AJ577" s="120">
        <v>578.0</v>
      </c>
    </row>
    <row r="578">
      <c r="A578" s="74" t="s">
        <v>25842</v>
      </c>
      <c r="B578" s="74" t="s">
        <v>6876</v>
      </c>
      <c r="C578" s="74" t="s">
        <v>6877</v>
      </c>
      <c r="D578" s="74" t="s">
        <v>8493</v>
      </c>
      <c r="E578" s="146">
        <v>43837.0</v>
      </c>
      <c r="F578" s="74" t="s">
        <v>25853</v>
      </c>
      <c r="G578" s="74">
        <v>58.0</v>
      </c>
      <c r="H578" s="74">
        <v>1.0</v>
      </c>
      <c r="I578" s="74">
        <v>7.0</v>
      </c>
      <c r="J578" s="119"/>
      <c r="K578" s="119"/>
      <c r="L578" s="74" t="s">
        <v>499</v>
      </c>
      <c r="M578" s="74" t="s">
        <v>499</v>
      </c>
      <c r="N578" s="133">
        <v>43832.0</v>
      </c>
      <c r="O578" s="74">
        <v>1.0</v>
      </c>
      <c r="P578" s="74">
        <v>1.0</v>
      </c>
      <c r="Q578" s="119"/>
      <c r="R578" s="74" t="s">
        <v>25858</v>
      </c>
      <c r="S578" s="119"/>
      <c r="T578" s="146">
        <v>43662.0</v>
      </c>
      <c r="U578" s="74">
        <v>33.41</v>
      </c>
      <c r="V578" s="74">
        <v>9999.0</v>
      </c>
      <c r="W578" s="119"/>
      <c r="X578" s="119"/>
      <c r="Y578" s="146">
        <v>43662.0</v>
      </c>
      <c r="Z578" s="74">
        <v>34.15</v>
      </c>
      <c r="AA578" s="74">
        <v>9999.0</v>
      </c>
      <c r="AB578" s="119"/>
      <c r="AC578" s="119"/>
      <c r="AD578" s="119"/>
      <c r="AE578" s="74">
        <v>1.0</v>
      </c>
      <c r="AF578" s="74" t="s">
        <v>18902</v>
      </c>
      <c r="AG578" s="120">
        <v>6999.0</v>
      </c>
      <c r="AH578" s="74" t="s">
        <v>25862</v>
      </c>
      <c r="AI578" s="74" t="s">
        <v>25863</v>
      </c>
      <c r="AJ578" s="120">
        <v>579.0</v>
      </c>
    </row>
    <row r="579">
      <c r="A579" s="74" t="s">
        <v>25853</v>
      </c>
      <c r="B579" s="74" t="s">
        <v>6876</v>
      </c>
      <c r="C579" s="74" t="s">
        <v>6877</v>
      </c>
      <c r="D579" s="74" t="s">
        <v>8493</v>
      </c>
      <c r="E579" s="146">
        <v>43837.0</v>
      </c>
      <c r="F579" s="74" t="s">
        <v>25864</v>
      </c>
      <c r="G579" s="74">
        <v>58.0</v>
      </c>
      <c r="H579" s="74">
        <v>1.0</v>
      </c>
      <c r="I579" s="74">
        <v>7.0</v>
      </c>
      <c r="J579" s="119"/>
      <c r="K579" s="119"/>
      <c r="L579" s="74" t="s">
        <v>502</v>
      </c>
      <c r="M579" s="74" t="s">
        <v>502</v>
      </c>
      <c r="N579" s="133">
        <v>43832.0</v>
      </c>
      <c r="O579" s="74">
        <v>1.0</v>
      </c>
      <c r="P579" s="74">
        <v>1.0</v>
      </c>
      <c r="Q579" s="119"/>
      <c r="R579" s="74" t="s">
        <v>25858</v>
      </c>
      <c r="S579" s="119"/>
      <c r="T579" s="146">
        <v>43662.0</v>
      </c>
      <c r="U579" s="74">
        <v>9999.0</v>
      </c>
      <c r="V579" s="74">
        <v>9999.0</v>
      </c>
      <c r="W579" s="119"/>
      <c r="X579" s="119"/>
      <c r="Y579" s="146">
        <v>43662.0</v>
      </c>
      <c r="Z579" s="74">
        <v>40.0</v>
      </c>
      <c r="AA579" s="74">
        <v>9999.0</v>
      </c>
      <c r="AB579" s="119"/>
      <c r="AC579" s="119"/>
      <c r="AD579" s="119"/>
      <c r="AE579" s="74">
        <v>1.0</v>
      </c>
      <c r="AF579" s="74" t="s">
        <v>18902</v>
      </c>
      <c r="AG579" s="120">
        <v>7000.0</v>
      </c>
      <c r="AH579" s="74" t="s">
        <v>25868</v>
      </c>
      <c r="AI579" s="74" t="s">
        <v>25869</v>
      </c>
      <c r="AJ579" s="120">
        <v>580.0</v>
      </c>
    </row>
    <row r="580">
      <c r="A580" s="74" t="s">
        <v>25864</v>
      </c>
      <c r="B580" s="74" t="s">
        <v>6876</v>
      </c>
      <c r="C580" s="74" t="s">
        <v>6877</v>
      </c>
      <c r="D580" s="74" t="s">
        <v>8493</v>
      </c>
      <c r="E580" s="146">
        <v>43837.0</v>
      </c>
      <c r="F580" s="74" t="s">
        <v>25872</v>
      </c>
      <c r="G580" s="74">
        <v>59.0</v>
      </c>
      <c r="H580" s="74">
        <v>1.0</v>
      </c>
      <c r="I580" s="74">
        <v>11.0</v>
      </c>
      <c r="J580" s="119"/>
      <c r="K580" s="119"/>
      <c r="L580" s="74" t="s">
        <v>504</v>
      </c>
      <c r="M580" s="74" t="s">
        <v>504</v>
      </c>
      <c r="N580" s="133">
        <v>43832.0</v>
      </c>
      <c r="O580" s="74">
        <v>1.0</v>
      </c>
      <c r="P580" s="74">
        <v>1.0</v>
      </c>
      <c r="Q580" s="119"/>
      <c r="R580" s="74" t="s">
        <v>25858</v>
      </c>
      <c r="S580" s="119"/>
      <c r="T580" s="146">
        <v>43662.0</v>
      </c>
      <c r="U580" s="74">
        <v>31.73</v>
      </c>
      <c r="V580" s="74">
        <v>9999.0</v>
      </c>
      <c r="W580" s="119"/>
      <c r="X580" s="119"/>
      <c r="Y580" s="146">
        <v>43662.0</v>
      </c>
      <c r="Z580" s="74">
        <v>34.39</v>
      </c>
      <c r="AA580" s="74">
        <v>9999.0</v>
      </c>
      <c r="AB580" s="119"/>
      <c r="AC580" s="119"/>
      <c r="AD580" s="119"/>
      <c r="AE580" s="74">
        <v>1.0</v>
      </c>
      <c r="AF580" s="74" t="s">
        <v>18902</v>
      </c>
      <c r="AG580" s="120">
        <v>7001.0</v>
      </c>
      <c r="AH580" s="74" t="s">
        <v>25877</v>
      </c>
      <c r="AI580" s="74" t="s">
        <v>25878</v>
      </c>
      <c r="AJ580" s="120">
        <v>581.0</v>
      </c>
    </row>
    <row r="581">
      <c r="A581" s="74" t="s">
        <v>25872</v>
      </c>
      <c r="B581" s="74" t="s">
        <v>6876</v>
      </c>
      <c r="C581" s="74" t="s">
        <v>6877</v>
      </c>
      <c r="D581" s="74" t="s">
        <v>8493</v>
      </c>
      <c r="E581" s="146">
        <v>43837.0</v>
      </c>
      <c r="F581" s="74" t="s">
        <v>25880</v>
      </c>
      <c r="G581" s="74">
        <v>59.0</v>
      </c>
      <c r="H581" s="74">
        <v>1.0</v>
      </c>
      <c r="I581" s="74">
        <v>11.0</v>
      </c>
      <c r="J581" s="119"/>
      <c r="K581" s="119"/>
      <c r="L581" s="74" t="s">
        <v>508</v>
      </c>
      <c r="M581" s="74" t="s">
        <v>508</v>
      </c>
      <c r="N581" s="133">
        <v>43832.0</v>
      </c>
      <c r="O581" s="74">
        <v>1.0</v>
      </c>
      <c r="P581" s="74">
        <v>1.0</v>
      </c>
      <c r="Q581" s="119"/>
      <c r="R581" s="74" t="s">
        <v>25858</v>
      </c>
      <c r="S581" s="119"/>
      <c r="T581" s="146">
        <v>43662.0</v>
      </c>
      <c r="U581" s="74">
        <v>33.76</v>
      </c>
      <c r="V581" s="74">
        <v>9999.0</v>
      </c>
      <c r="W581" s="119"/>
      <c r="X581" s="119"/>
      <c r="Y581" s="146">
        <v>43662.0</v>
      </c>
      <c r="Z581" s="74">
        <v>36.8</v>
      </c>
      <c r="AA581" s="74">
        <v>9999.0</v>
      </c>
      <c r="AB581" s="119"/>
      <c r="AC581" s="119"/>
      <c r="AD581" s="119"/>
      <c r="AE581" s="74">
        <v>1.0</v>
      </c>
      <c r="AF581" s="74" t="s">
        <v>18902</v>
      </c>
      <c r="AG581" s="120">
        <v>7002.0</v>
      </c>
      <c r="AH581" s="74" t="s">
        <v>25885</v>
      </c>
      <c r="AI581" s="74" t="s">
        <v>25887</v>
      </c>
      <c r="AJ581" s="120">
        <v>582.0</v>
      </c>
    </row>
    <row r="582">
      <c r="A582" s="74" t="s">
        <v>25880</v>
      </c>
      <c r="B582" s="74" t="s">
        <v>6876</v>
      </c>
      <c r="C582" s="74" t="s">
        <v>6877</v>
      </c>
      <c r="D582" s="74" t="s">
        <v>8493</v>
      </c>
      <c r="E582" s="146">
        <v>43837.0</v>
      </c>
      <c r="F582" s="74" t="s">
        <v>25890</v>
      </c>
      <c r="G582" s="74">
        <v>66.0</v>
      </c>
      <c r="H582" s="74">
        <v>1.0</v>
      </c>
      <c r="I582" s="74">
        <v>12.0</v>
      </c>
      <c r="J582" s="119"/>
      <c r="K582" s="119"/>
      <c r="L582" s="74" t="s">
        <v>511</v>
      </c>
      <c r="M582" s="74" t="s">
        <v>511</v>
      </c>
      <c r="N582" s="133">
        <v>43832.0</v>
      </c>
      <c r="O582" s="74">
        <v>1.0</v>
      </c>
      <c r="P582" s="74">
        <v>1.0</v>
      </c>
      <c r="Q582" s="119"/>
      <c r="R582" s="74" t="s">
        <v>25858</v>
      </c>
      <c r="S582" s="119"/>
      <c r="T582" s="146">
        <v>43662.0</v>
      </c>
      <c r="U582" s="74">
        <v>9999.0</v>
      </c>
      <c r="V582" s="74">
        <v>9999.0</v>
      </c>
      <c r="W582" s="119"/>
      <c r="X582" s="119"/>
      <c r="Y582" s="146">
        <v>43662.0</v>
      </c>
      <c r="Z582" s="74">
        <v>35.07</v>
      </c>
      <c r="AA582" s="74">
        <v>9999.0</v>
      </c>
      <c r="AB582" s="119"/>
      <c r="AC582" s="119"/>
      <c r="AD582" s="119"/>
      <c r="AE582" s="74">
        <v>1.0</v>
      </c>
      <c r="AF582" s="74" t="s">
        <v>18902</v>
      </c>
      <c r="AG582" s="120">
        <v>7003.0</v>
      </c>
      <c r="AH582" s="74" t="s">
        <v>25894</v>
      </c>
      <c r="AI582" s="74" t="s">
        <v>25895</v>
      </c>
      <c r="AJ582" s="120">
        <v>583.0</v>
      </c>
    </row>
    <row r="583">
      <c r="A583" s="74" t="s">
        <v>25890</v>
      </c>
      <c r="B583" s="74" t="s">
        <v>6876</v>
      </c>
      <c r="C583" s="74" t="s">
        <v>6877</v>
      </c>
      <c r="D583" s="74" t="s">
        <v>8493</v>
      </c>
      <c r="E583" s="146">
        <v>43837.0</v>
      </c>
      <c r="F583" s="74" t="s">
        <v>25897</v>
      </c>
      <c r="G583" s="74">
        <v>66.0</v>
      </c>
      <c r="H583" s="74">
        <v>1.0</v>
      </c>
      <c r="I583" s="74">
        <v>12.0</v>
      </c>
      <c r="J583" s="119"/>
      <c r="K583" s="119"/>
      <c r="L583" s="74" t="s">
        <v>514</v>
      </c>
      <c r="M583" s="74" t="s">
        <v>514</v>
      </c>
      <c r="N583" s="133">
        <v>43832.0</v>
      </c>
      <c r="O583" s="74">
        <v>1.0</v>
      </c>
      <c r="P583" s="74">
        <v>1.0</v>
      </c>
      <c r="Q583" s="119"/>
      <c r="R583" s="74" t="s">
        <v>25858</v>
      </c>
      <c r="S583" s="119"/>
      <c r="T583" s="146">
        <v>43662.0</v>
      </c>
      <c r="U583" s="74">
        <v>25.2</v>
      </c>
      <c r="V583" s="74">
        <v>9999.0</v>
      </c>
      <c r="W583" s="119"/>
      <c r="X583" s="119"/>
      <c r="Y583" s="146">
        <v>43662.0</v>
      </c>
      <c r="Z583" s="74">
        <v>36.91</v>
      </c>
      <c r="AA583" s="74">
        <v>9999.0</v>
      </c>
      <c r="AB583" s="119"/>
      <c r="AC583" s="119"/>
      <c r="AD583" s="119"/>
      <c r="AE583" s="74">
        <v>1.0</v>
      </c>
      <c r="AF583" s="74" t="s">
        <v>18902</v>
      </c>
      <c r="AG583" s="120">
        <v>7004.0</v>
      </c>
      <c r="AH583" s="74" t="s">
        <v>25902</v>
      </c>
      <c r="AI583" s="74" t="s">
        <v>25904</v>
      </c>
      <c r="AJ583" s="120">
        <v>584.0</v>
      </c>
    </row>
    <row r="584">
      <c r="A584" s="74" t="s">
        <v>25897</v>
      </c>
      <c r="B584" s="74" t="s">
        <v>6876</v>
      </c>
      <c r="C584" s="74" t="s">
        <v>6877</v>
      </c>
      <c r="D584" s="74" t="s">
        <v>8493</v>
      </c>
      <c r="E584" s="146">
        <v>43837.0</v>
      </c>
      <c r="F584" s="74" t="s">
        <v>25906</v>
      </c>
      <c r="G584" s="74">
        <v>59.0</v>
      </c>
      <c r="H584" s="74">
        <v>1.0</v>
      </c>
      <c r="I584" s="74">
        <v>12.0</v>
      </c>
      <c r="J584" s="119"/>
      <c r="K584" s="119"/>
      <c r="L584" s="74" t="s">
        <v>515</v>
      </c>
      <c r="M584" s="74" t="s">
        <v>515</v>
      </c>
      <c r="N584" s="133">
        <v>43832.0</v>
      </c>
      <c r="O584" s="74">
        <v>1.0</v>
      </c>
      <c r="P584" s="74">
        <v>1.0</v>
      </c>
      <c r="Q584" s="119"/>
      <c r="R584" s="74" t="s">
        <v>25858</v>
      </c>
      <c r="S584" s="119"/>
      <c r="T584" s="146">
        <v>43662.0</v>
      </c>
      <c r="U584" s="74">
        <v>27.08</v>
      </c>
      <c r="V584" s="74">
        <v>9999.0</v>
      </c>
      <c r="W584" s="119"/>
      <c r="X584" s="119"/>
      <c r="Y584" s="146">
        <v>43662.0</v>
      </c>
      <c r="Z584" s="74">
        <v>36.04</v>
      </c>
      <c r="AA584" s="74">
        <v>9999.0</v>
      </c>
      <c r="AB584" s="119"/>
      <c r="AC584" s="119"/>
      <c r="AD584" s="119"/>
      <c r="AE584" s="74">
        <v>1.0</v>
      </c>
      <c r="AF584" s="74" t="s">
        <v>18902</v>
      </c>
      <c r="AG584" s="120">
        <v>7005.0</v>
      </c>
      <c r="AH584" s="74" t="s">
        <v>25910</v>
      </c>
      <c r="AI584" s="74" t="s">
        <v>25911</v>
      </c>
      <c r="AJ584" s="120">
        <v>585.0</v>
      </c>
    </row>
    <row r="585">
      <c r="A585" s="74" t="s">
        <v>25906</v>
      </c>
      <c r="B585" s="74" t="s">
        <v>6876</v>
      </c>
      <c r="C585" s="74" t="s">
        <v>6877</v>
      </c>
      <c r="D585" s="74" t="s">
        <v>8493</v>
      </c>
      <c r="E585" s="146">
        <v>43837.0</v>
      </c>
      <c r="F585" s="74" t="s">
        <v>25912</v>
      </c>
      <c r="G585" s="74">
        <v>59.0</v>
      </c>
      <c r="H585" s="74">
        <v>1.0</v>
      </c>
      <c r="I585" s="74">
        <v>12.0</v>
      </c>
      <c r="J585" s="119"/>
      <c r="K585" s="119"/>
      <c r="L585" s="74" t="s">
        <v>517</v>
      </c>
      <c r="M585" s="74" t="s">
        <v>517</v>
      </c>
      <c r="N585" s="133">
        <v>43832.0</v>
      </c>
      <c r="O585" s="74">
        <v>1.0</v>
      </c>
      <c r="P585" s="74">
        <v>1.0</v>
      </c>
      <c r="Q585" s="119"/>
      <c r="R585" s="74" t="s">
        <v>25858</v>
      </c>
      <c r="S585" s="119"/>
      <c r="T585" s="146">
        <v>43662.0</v>
      </c>
      <c r="U585" s="74">
        <v>9999.0</v>
      </c>
      <c r="V585" s="74">
        <v>9999.0</v>
      </c>
      <c r="W585" s="119"/>
      <c r="X585" s="119"/>
      <c r="Y585" s="146">
        <v>43662.0</v>
      </c>
      <c r="Z585" s="74">
        <v>40.0</v>
      </c>
      <c r="AA585" s="74">
        <v>9999.0</v>
      </c>
      <c r="AB585" s="119"/>
      <c r="AC585" s="119"/>
      <c r="AD585" s="119"/>
      <c r="AE585" s="74">
        <v>1.0</v>
      </c>
      <c r="AF585" s="74" t="s">
        <v>18902</v>
      </c>
      <c r="AG585" s="120">
        <v>7006.0</v>
      </c>
      <c r="AH585" s="74" t="s">
        <v>25917</v>
      </c>
      <c r="AI585" s="74" t="s">
        <v>25918</v>
      </c>
      <c r="AJ585" s="120">
        <v>586.0</v>
      </c>
    </row>
    <row r="586">
      <c r="A586" s="74" t="s">
        <v>25912</v>
      </c>
      <c r="B586" s="74" t="s">
        <v>6876</v>
      </c>
      <c r="C586" s="74" t="s">
        <v>6877</v>
      </c>
      <c r="D586" s="74" t="s">
        <v>8493</v>
      </c>
      <c r="E586" s="146">
        <v>43837.0</v>
      </c>
      <c r="F586" s="74" t="s">
        <v>25919</v>
      </c>
      <c r="G586" s="74">
        <v>57.0</v>
      </c>
      <c r="H586" s="74">
        <v>1.0</v>
      </c>
      <c r="I586" s="74">
        <v>12.0</v>
      </c>
      <c r="J586" s="119"/>
      <c r="K586" s="119"/>
      <c r="L586" s="74" t="s">
        <v>518</v>
      </c>
      <c r="M586" s="74" t="s">
        <v>518</v>
      </c>
      <c r="N586" s="133">
        <v>43832.0</v>
      </c>
      <c r="O586" s="74">
        <v>1.0</v>
      </c>
      <c r="P586" s="74">
        <v>1.0</v>
      </c>
      <c r="Q586" s="119"/>
      <c r="R586" s="74" t="s">
        <v>25858</v>
      </c>
      <c r="S586" s="119"/>
      <c r="T586" s="146">
        <v>43662.0</v>
      </c>
      <c r="U586" s="74">
        <v>9999.0</v>
      </c>
      <c r="V586" s="74">
        <v>9999.0</v>
      </c>
      <c r="W586" s="119"/>
      <c r="X586" s="119"/>
      <c r="Y586" s="146">
        <v>43662.0</v>
      </c>
      <c r="Z586" s="74">
        <v>9999.0</v>
      </c>
      <c r="AA586" s="74">
        <v>9999.0</v>
      </c>
      <c r="AB586" s="119"/>
      <c r="AC586" s="119"/>
      <c r="AD586" s="119"/>
      <c r="AE586" s="74">
        <v>1.0</v>
      </c>
      <c r="AF586" s="74" t="s">
        <v>18902</v>
      </c>
      <c r="AG586" s="120">
        <v>7007.0</v>
      </c>
      <c r="AH586" s="74" t="s">
        <v>25923</v>
      </c>
      <c r="AI586" s="74" t="s">
        <v>25924</v>
      </c>
      <c r="AJ586" s="120">
        <v>587.0</v>
      </c>
    </row>
    <row r="587">
      <c r="A587" s="74" t="s">
        <v>25919</v>
      </c>
      <c r="B587" s="74" t="s">
        <v>6876</v>
      </c>
      <c r="C587" s="74" t="s">
        <v>6877</v>
      </c>
      <c r="D587" s="74" t="s">
        <v>8493</v>
      </c>
      <c r="E587" s="146">
        <v>43837.0</v>
      </c>
      <c r="F587" s="74" t="s">
        <v>25927</v>
      </c>
      <c r="G587" s="74">
        <v>57.0</v>
      </c>
      <c r="H587" s="74">
        <v>1.0</v>
      </c>
      <c r="I587" s="74">
        <v>12.0</v>
      </c>
      <c r="J587" s="119"/>
      <c r="K587" s="119"/>
      <c r="L587" s="74" t="s">
        <v>521</v>
      </c>
      <c r="M587" s="74" t="s">
        <v>521</v>
      </c>
      <c r="N587" s="133">
        <v>43832.0</v>
      </c>
      <c r="O587" s="74">
        <v>1.0</v>
      </c>
      <c r="P587" s="74">
        <v>1.0</v>
      </c>
      <c r="Q587" s="119"/>
      <c r="R587" s="74" t="s">
        <v>25858</v>
      </c>
      <c r="S587" s="119"/>
      <c r="T587" s="146">
        <v>43662.0</v>
      </c>
      <c r="U587" s="74">
        <v>23.69</v>
      </c>
      <c r="V587" s="74">
        <v>9999.0</v>
      </c>
      <c r="W587" s="119"/>
      <c r="X587" s="119"/>
      <c r="Y587" s="146">
        <v>43662.0</v>
      </c>
      <c r="Z587" s="74">
        <v>37.18</v>
      </c>
      <c r="AA587" s="74">
        <v>9999.0</v>
      </c>
      <c r="AB587" s="119"/>
      <c r="AC587" s="119"/>
      <c r="AD587" s="119"/>
      <c r="AE587" s="74">
        <v>1.0</v>
      </c>
      <c r="AF587" s="74" t="s">
        <v>18902</v>
      </c>
      <c r="AG587" s="120">
        <v>7008.0</v>
      </c>
      <c r="AH587" s="74" t="s">
        <v>25932</v>
      </c>
      <c r="AI587" s="74" t="s">
        <v>25933</v>
      </c>
      <c r="AJ587" s="120">
        <v>588.0</v>
      </c>
    </row>
    <row r="588">
      <c r="A588" s="74" t="s">
        <v>25927</v>
      </c>
      <c r="B588" s="74" t="s">
        <v>6876</v>
      </c>
      <c r="C588" s="74" t="s">
        <v>6877</v>
      </c>
      <c r="D588" s="74" t="s">
        <v>8493</v>
      </c>
      <c r="E588" s="146">
        <v>43837.0</v>
      </c>
      <c r="F588" s="74" t="s">
        <v>25936</v>
      </c>
      <c r="G588" s="74">
        <v>59.0</v>
      </c>
      <c r="H588" s="74">
        <v>1.0</v>
      </c>
      <c r="I588" s="74">
        <v>7.0</v>
      </c>
      <c r="J588" s="119"/>
      <c r="K588" s="119"/>
      <c r="L588" s="74" t="s">
        <v>522</v>
      </c>
      <c r="M588" s="74" t="s">
        <v>522</v>
      </c>
      <c r="N588" s="133">
        <v>43832.0</v>
      </c>
      <c r="O588" s="74">
        <v>1.0</v>
      </c>
      <c r="P588" s="74">
        <v>1.0</v>
      </c>
      <c r="Q588" s="119"/>
      <c r="R588" s="74" t="s">
        <v>25858</v>
      </c>
      <c r="S588" s="119"/>
      <c r="T588" s="146">
        <v>43662.0</v>
      </c>
      <c r="U588" s="74">
        <v>28.9</v>
      </c>
      <c r="V588" s="74">
        <v>9999.0</v>
      </c>
      <c r="W588" s="119"/>
      <c r="X588" s="119"/>
      <c r="Y588" s="146">
        <v>43662.0</v>
      </c>
      <c r="Z588" s="74">
        <v>34.31</v>
      </c>
      <c r="AA588" s="74">
        <v>9999.0</v>
      </c>
      <c r="AB588" s="119"/>
      <c r="AC588" s="119"/>
      <c r="AD588" s="119"/>
      <c r="AE588" s="74">
        <v>1.0</v>
      </c>
      <c r="AF588" s="74" t="s">
        <v>18902</v>
      </c>
      <c r="AG588" s="120">
        <v>7009.0</v>
      </c>
      <c r="AH588" s="74" t="s">
        <v>25941</v>
      </c>
      <c r="AI588" s="74" t="s">
        <v>25942</v>
      </c>
      <c r="AJ588" s="120">
        <v>589.0</v>
      </c>
    </row>
    <row r="589">
      <c r="A589" s="74" t="s">
        <v>25944</v>
      </c>
      <c r="B589" s="74" t="s">
        <v>6876</v>
      </c>
      <c r="C589" s="74" t="s">
        <v>6877</v>
      </c>
      <c r="D589" s="74" t="s">
        <v>8493</v>
      </c>
      <c r="E589" s="146">
        <v>43837.0</v>
      </c>
      <c r="F589" s="74" t="s">
        <v>25945</v>
      </c>
      <c r="G589" s="74">
        <v>59.0</v>
      </c>
      <c r="H589" s="74">
        <v>1.0</v>
      </c>
      <c r="I589" s="74">
        <v>7.0</v>
      </c>
      <c r="J589" s="119"/>
      <c r="K589" s="119"/>
      <c r="L589" s="74" t="s">
        <v>531</v>
      </c>
      <c r="M589" s="74" t="s">
        <v>531</v>
      </c>
      <c r="N589" s="133">
        <v>43832.0</v>
      </c>
      <c r="O589" s="74">
        <v>1.0</v>
      </c>
      <c r="P589" s="74">
        <v>1.0</v>
      </c>
      <c r="Q589" s="119"/>
      <c r="R589" s="74" t="s">
        <v>25858</v>
      </c>
      <c r="S589" s="119"/>
      <c r="T589" s="146">
        <v>43662.0</v>
      </c>
      <c r="U589" s="74">
        <v>33.45</v>
      </c>
      <c r="V589" s="74">
        <v>9999.0</v>
      </c>
      <c r="W589" s="119"/>
      <c r="X589" s="119"/>
      <c r="Y589" s="146">
        <v>43662.0</v>
      </c>
      <c r="Z589" s="74">
        <v>9999.0</v>
      </c>
      <c r="AA589" s="74">
        <v>9999.0</v>
      </c>
      <c r="AB589" s="119"/>
      <c r="AC589" s="119"/>
      <c r="AD589" s="119"/>
      <c r="AE589" s="74">
        <v>1.0</v>
      </c>
      <c r="AF589" s="74" t="s">
        <v>18902</v>
      </c>
      <c r="AG589" s="120">
        <v>7010.0</v>
      </c>
      <c r="AH589" s="74" t="s">
        <v>25949</v>
      </c>
      <c r="AI589" s="74" t="s">
        <v>25951</v>
      </c>
      <c r="AJ589" s="120">
        <v>590.0</v>
      </c>
    </row>
    <row r="590">
      <c r="A590" s="74" t="s">
        <v>25945</v>
      </c>
      <c r="B590" s="74" t="s">
        <v>6876</v>
      </c>
      <c r="C590" s="74" t="s">
        <v>6877</v>
      </c>
      <c r="D590" s="74" t="s">
        <v>8493</v>
      </c>
      <c r="E590" s="146">
        <v>43837.0</v>
      </c>
      <c r="F590" s="74" t="s">
        <v>25953</v>
      </c>
      <c r="G590" s="74">
        <v>57.0</v>
      </c>
      <c r="H590" s="74">
        <v>1.0</v>
      </c>
      <c r="I590" s="74">
        <v>12.0</v>
      </c>
      <c r="J590" s="119"/>
      <c r="K590" s="119"/>
      <c r="L590" s="74" t="s">
        <v>534</v>
      </c>
      <c r="M590" s="74" t="s">
        <v>534</v>
      </c>
      <c r="N590" s="133">
        <v>43832.0</v>
      </c>
      <c r="O590" s="74">
        <v>1.0</v>
      </c>
      <c r="P590" s="74">
        <v>1.0</v>
      </c>
      <c r="Q590" s="119"/>
      <c r="R590" s="74" t="s">
        <v>25858</v>
      </c>
      <c r="S590" s="119"/>
      <c r="T590" s="146">
        <v>43662.0</v>
      </c>
      <c r="U590" s="74">
        <v>9999.0</v>
      </c>
      <c r="V590" s="74">
        <v>9999.0</v>
      </c>
      <c r="W590" s="119"/>
      <c r="X590" s="119"/>
      <c r="Y590" s="146">
        <v>43662.0</v>
      </c>
      <c r="Z590" s="74">
        <v>40.0</v>
      </c>
      <c r="AA590" s="74">
        <v>9999.0</v>
      </c>
      <c r="AB590" s="119"/>
      <c r="AC590" s="119"/>
      <c r="AD590" s="119"/>
      <c r="AE590" s="74">
        <v>1.0</v>
      </c>
      <c r="AF590" s="74" t="s">
        <v>18902</v>
      </c>
      <c r="AG590" s="120">
        <v>7011.0</v>
      </c>
      <c r="AH590" s="74" t="s">
        <v>25960</v>
      </c>
      <c r="AI590" s="74" t="s">
        <v>25961</v>
      </c>
      <c r="AJ590" s="120">
        <v>591.0</v>
      </c>
    </row>
    <row r="591">
      <c r="A591" s="74" t="s">
        <v>25953</v>
      </c>
      <c r="B591" s="74" t="s">
        <v>6876</v>
      </c>
      <c r="C591" s="74" t="s">
        <v>6877</v>
      </c>
      <c r="D591" s="74" t="s">
        <v>8493</v>
      </c>
      <c r="E591" s="146">
        <v>43837.0</v>
      </c>
      <c r="F591" s="74" t="s">
        <v>25964</v>
      </c>
      <c r="G591" s="74">
        <v>57.0</v>
      </c>
      <c r="H591" s="74">
        <v>1.0</v>
      </c>
      <c r="I591" s="74">
        <v>12.0</v>
      </c>
      <c r="J591" s="119"/>
      <c r="K591" s="119"/>
      <c r="L591" s="74" t="s">
        <v>546</v>
      </c>
      <c r="M591" s="74" t="s">
        <v>546</v>
      </c>
      <c r="N591" s="133">
        <v>43832.0</v>
      </c>
      <c r="O591" s="74">
        <v>1.0</v>
      </c>
      <c r="P591" s="74">
        <v>1.0</v>
      </c>
      <c r="Q591" s="119"/>
      <c r="R591" s="74" t="s">
        <v>25858</v>
      </c>
      <c r="S591" s="119"/>
      <c r="T591" s="146">
        <v>43662.0</v>
      </c>
      <c r="U591" s="74">
        <v>24.86</v>
      </c>
      <c r="V591" s="74">
        <v>9999.0</v>
      </c>
      <c r="W591" s="119"/>
      <c r="X591" s="119"/>
      <c r="Y591" s="146">
        <v>43662.0</v>
      </c>
      <c r="Z591" s="74">
        <v>37.53</v>
      </c>
      <c r="AA591" s="74">
        <v>9999.0</v>
      </c>
      <c r="AB591" s="119"/>
      <c r="AC591" s="119"/>
      <c r="AD591" s="119"/>
      <c r="AE591" s="74">
        <v>1.0</v>
      </c>
      <c r="AF591" s="74" t="s">
        <v>18902</v>
      </c>
      <c r="AG591" s="120">
        <v>7012.0</v>
      </c>
      <c r="AH591" s="74" t="s">
        <v>25966</v>
      </c>
      <c r="AI591" s="74" t="s">
        <v>25967</v>
      </c>
      <c r="AJ591" s="120">
        <v>592.0</v>
      </c>
    </row>
    <row r="592">
      <c r="A592" s="74" t="s">
        <v>25968</v>
      </c>
      <c r="B592" s="74" t="s">
        <v>6876</v>
      </c>
      <c r="C592" s="74" t="s">
        <v>6877</v>
      </c>
      <c r="D592" s="74" t="s">
        <v>8493</v>
      </c>
      <c r="E592" s="146">
        <v>43837.0</v>
      </c>
      <c r="F592" s="74" t="s">
        <v>25971</v>
      </c>
      <c r="G592" s="74">
        <v>55.0</v>
      </c>
      <c r="H592" s="74">
        <v>1.0</v>
      </c>
      <c r="I592" s="74">
        <v>12.0</v>
      </c>
      <c r="J592" s="119"/>
      <c r="K592" s="119"/>
      <c r="L592" s="74" t="s">
        <v>550</v>
      </c>
      <c r="M592" s="74" t="s">
        <v>550</v>
      </c>
      <c r="N592" s="133">
        <v>43832.0</v>
      </c>
      <c r="O592" s="74">
        <v>1.0</v>
      </c>
      <c r="P592" s="74">
        <v>1.0</v>
      </c>
      <c r="Q592" s="119"/>
      <c r="R592" s="74" t="s">
        <v>25858</v>
      </c>
      <c r="S592" s="119"/>
      <c r="T592" s="146">
        <v>43662.0</v>
      </c>
      <c r="U592" s="74">
        <v>28.0</v>
      </c>
      <c r="V592" s="74">
        <v>9999.0</v>
      </c>
      <c r="W592" s="119"/>
      <c r="X592" s="119"/>
      <c r="Y592" s="146">
        <v>43662.0</v>
      </c>
      <c r="Z592" s="74">
        <v>32.73</v>
      </c>
      <c r="AA592" s="74">
        <v>9999.0</v>
      </c>
      <c r="AB592" s="119"/>
      <c r="AC592" s="119"/>
      <c r="AD592" s="119"/>
      <c r="AE592" s="74">
        <v>1.0</v>
      </c>
      <c r="AF592" s="74" t="s">
        <v>18902</v>
      </c>
      <c r="AG592" s="120">
        <v>7013.0</v>
      </c>
      <c r="AH592" s="74" t="s">
        <v>25977</v>
      </c>
      <c r="AI592" s="74" t="s">
        <v>25978</v>
      </c>
      <c r="AJ592" s="120">
        <v>593.0</v>
      </c>
    </row>
    <row r="593">
      <c r="A593" s="74" t="s">
        <v>25971</v>
      </c>
      <c r="B593" s="74" t="s">
        <v>6876</v>
      </c>
      <c r="C593" s="74" t="s">
        <v>6877</v>
      </c>
      <c r="D593" s="74" t="s">
        <v>8493</v>
      </c>
      <c r="E593" s="146">
        <v>43837.0</v>
      </c>
      <c r="F593" s="74" t="s">
        <v>25979</v>
      </c>
      <c r="G593" s="74">
        <v>55.0</v>
      </c>
      <c r="H593" s="74">
        <v>1.0</v>
      </c>
      <c r="I593" s="74">
        <v>12.0</v>
      </c>
      <c r="J593" s="119"/>
      <c r="K593" s="119"/>
      <c r="L593" s="74" t="s">
        <v>559</v>
      </c>
      <c r="M593" s="74" t="s">
        <v>559</v>
      </c>
      <c r="N593" s="133">
        <v>43832.0</v>
      </c>
      <c r="O593" s="74">
        <v>1.0</v>
      </c>
      <c r="P593" s="74">
        <v>1.0</v>
      </c>
      <c r="Q593" s="119"/>
      <c r="R593" s="74" t="s">
        <v>25858</v>
      </c>
      <c r="S593" s="119"/>
      <c r="T593" s="146">
        <v>43662.0</v>
      </c>
      <c r="U593" s="74">
        <v>22.57</v>
      </c>
      <c r="V593" s="74">
        <v>9999.0</v>
      </c>
      <c r="W593" s="119"/>
      <c r="X593" s="119"/>
      <c r="Y593" s="146">
        <v>43662.0</v>
      </c>
      <c r="Z593" s="74">
        <v>32.82</v>
      </c>
      <c r="AA593" s="74">
        <v>9999.0</v>
      </c>
      <c r="AB593" s="119"/>
      <c r="AC593" s="119"/>
      <c r="AD593" s="119"/>
      <c r="AE593" s="74">
        <v>1.0</v>
      </c>
      <c r="AF593" s="74" t="s">
        <v>18902</v>
      </c>
      <c r="AG593" s="120">
        <v>7014.0</v>
      </c>
      <c r="AH593" s="74" t="s">
        <v>25983</v>
      </c>
      <c r="AI593" s="74" t="s">
        <v>25985</v>
      </c>
      <c r="AJ593" s="120">
        <v>594.0</v>
      </c>
    </row>
    <row r="594">
      <c r="A594" s="74" t="s">
        <v>25979</v>
      </c>
      <c r="B594" s="74" t="s">
        <v>6876</v>
      </c>
      <c r="C594" s="74" t="s">
        <v>6877</v>
      </c>
      <c r="D594" s="74" t="s">
        <v>8493</v>
      </c>
      <c r="E594" s="146">
        <v>43837.0</v>
      </c>
      <c r="F594" s="74" t="s">
        <v>25988</v>
      </c>
      <c r="G594" s="74">
        <v>57.0</v>
      </c>
      <c r="H594" s="74">
        <v>1.0</v>
      </c>
      <c r="I594" s="74">
        <v>12.0</v>
      </c>
      <c r="J594" s="119"/>
      <c r="K594" s="119"/>
      <c r="L594" s="74" t="s">
        <v>564</v>
      </c>
      <c r="M594" s="74" t="s">
        <v>564</v>
      </c>
      <c r="N594" s="133">
        <v>43832.0</v>
      </c>
      <c r="O594" s="74">
        <v>1.0</v>
      </c>
      <c r="P594" s="74">
        <v>1.0</v>
      </c>
      <c r="Q594" s="119"/>
      <c r="R594" s="74" t="s">
        <v>25858</v>
      </c>
      <c r="S594" s="119"/>
      <c r="T594" s="146">
        <v>43662.0</v>
      </c>
      <c r="U594" s="74">
        <v>9999.0</v>
      </c>
      <c r="V594" s="74">
        <v>9999.0</v>
      </c>
      <c r="W594" s="119"/>
      <c r="X594" s="119"/>
      <c r="Y594" s="146">
        <v>43662.0</v>
      </c>
      <c r="Z594" s="74">
        <v>9999.0</v>
      </c>
      <c r="AA594" s="74">
        <v>9999.0</v>
      </c>
      <c r="AB594" s="119"/>
      <c r="AC594" s="119"/>
      <c r="AD594" s="119"/>
      <c r="AE594" s="74">
        <v>1.0</v>
      </c>
      <c r="AF594" s="74" t="s">
        <v>18902</v>
      </c>
      <c r="AG594" s="120">
        <v>7015.0</v>
      </c>
      <c r="AH594" s="74" t="s">
        <v>25994</v>
      </c>
      <c r="AI594" s="74" t="s">
        <v>25995</v>
      </c>
      <c r="AJ594" s="120">
        <v>595.0</v>
      </c>
    </row>
    <row r="595">
      <c r="A595" s="74" t="s">
        <v>25988</v>
      </c>
      <c r="B595" s="74" t="s">
        <v>6876</v>
      </c>
      <c r="C595" s="74" t="s">
        <v>6877</v>
      </c>
      <c r="D595" s="74" t="s">
        <v>8493</v>
      </c>
      <c r="E595" s="146">
        <v>43837.0</v>
      </c>
      <c r="F595" s="74" t="s">
        <v>25997</v>
      </c>
      <c r="G595" s="74">
        <v>57.0</v>
      </c>
      <c r="H595" s="74">
        <v>1.0</v>
      </c>
      <c r="I595" s="74">
        <v>12.0</v>
      </c>
      <c r="J595" s="119"/>
      <c r="K595" s="119"/>
      <c r="L595" s="74" t="s">
        <v>574</v>
      </c>
      <c r="M595" s="74" t="s">
        <v>574</v>
      </c>
      <c r="N595" s="133">
        <v>43832.0</v>
      </c>
      <c r="O595" s="74">
        <v>1.0</v>
      </c>
      <c r="P595" s="74">
        <v>1.0</v>
      </c>
      <c r="Q595" s="119"/>
      <c r="R595" s="74" t="s">
        <v>25858</v>
      </c>
      <c r="S595" s="119"/>
      <c r="T595" s="146">
        <v>43662.0</v>
      </c>
      <c r="U595" s="74">
        <v>9999.0</v>
      </c>
      <c r="V595" s="74">
        <v>9999.0</v>
      </c>
      <c r="W595" s="119"/>
      <c r="X595" s="119"/>
      <c r="Y595" s="146">
        <v>43662.0</v>
      </c>
      <c r="Z595" s="74">
        <v>39.14</v>
      </c>
      <c r="AA595" s="74">
        <v>9999.0</v>
      </c>
      <c r="AB595" s="119"/>
      <c r="AC595" s="119"/>
      <c r="AD595" s="119"/>
      <c r="AE595" s="74">
        <v>1.0</v>
      </c>
      <c r="AF595" s="74" t="s">
        <v>18902</v>
      </c>
      <c r="AG595" s="120">
        <v>7016.0</v>
      </c>
      <c r="AH595" s="74" t="s">
        <v>26006</v>
      </c>
      <c r="AI595" s="74" t="s">
        <v>26007</v>
      </c>
      <c r="AJ595" s="120">
        <v>596.0</v>
      </c>
    </row>
    <row r="596">
      <c r="A596" s="74" t="s">
        <v>26010</v>
      </c>
      <c r="B596" s="74" t="s">
        <v>6876</v>
      </c>
      <c r="C596" s="74" t="s">
        <v>6877</v>
      </c>
      <c r="D596" s="74" t="s">
        <v>8493</v>
      </c>
      <c r="E596" s="146">
        <v>43837.0</v>
      </c>
      <c r="F596" s="74" t="s">
        <v>26012</v>
      </c>
      <c r="G596" s="74">
        <v>65.0</v>
      </c>
      <c r="H596" s="74">
        <v>1.0</v>
      </c>
      <c r="I596" s="74">
        <v>12.0</v>
      </c>
      <c r="J596" s="119"/>
      <c r="K596" s="119"/>
      <c r="L596" s="74" t="s">
        <v>576</v>
      </c>
      <c r="M596" s="74" t="s">
        <v>576</v>
      </c>
      <c r="N596" s="133">
        <v>43832.0</v>
      </c>
      <c r="O596" s="74">
        <v>1.0</v>
      </c>
      <c r="P596" s="74">
        <v>1.0</v>
      </c>
      <c r="Q596" s="119"/>
      <c r="R596" s="74" t="s">
        <v>25858</v>
      </c>
      <c r="S596" s="119"/>
      <c r="T596" s="146">
        <v>43662.0</v>
      </c>
      <c r="U596" s="74">
        <v>9999.0</v>
      </c>
      <c r="V596" s="74">
        <v>9999.0</v>
      </c>
      <c r="W596" s="119"/>
      <c r="X596" s="119"/>
      <c r="Y596" s="146">
        <v>43662.0</v>
      </c>
      <c r="Z596" s="74">
        <v>40.0</v>
      </c>
      <c r="AA596" s="74">
        <v>9999.0</v>
      </c>
      <c r="AB596" s="119"/>
      <c r="AC596" s="119"/>
      <c r="AD596" s="119"/>
      <c r="AE596" s="74">
        <v>1.0</v>
      </c>
      <c r="AF596" s="74" t="s">
        <v>18902</v>
      </c>
      <c r="AG596" s="120">
        <v>7017.0</v>
      </c>
      <c r="AH596" s="74" t="s">
        <v>26016</v>
      </c>
      <c r="AI596" s="74" t="s">
        <v>26017</v>
      </c>
      <c r="AJ596" s="120">
        <v>597.0</v>
      </c>
    </row>
    <row r="597">
      <c r="A597" s="74" t="s">
        <v>26012</v>
      </c>
      <c r="B597" s="74" t="s">
        <v>6876</v>
      </c>
      <c r="C597" s="74" t="s">
        <v>6877</v>
      </c>
      <c r="D597" s="74" t="s">
        <v>8493</v>
      </c>
      <c r="E597" s="146">
        <v>43837.0</v>
      </c>
      <c r="F597" s="74" t="s">
        <v>26019</v>
      </c>
      <c r="G597" s="74">
        <v>65.0</v>
      </c>
      <c r="H597" s="74">
        <v>1.0</v>
      </c>
      <c r="I597" s="74">
        <v>12.0</v>
      </c>
      <c r="J597" s="119"/>
      <c r="K597" s="119"/>
      <c r="L597" s="74" t="s">
        <v>583</v>
      </c>
      <c r="M597" s="74" t="s">
        <v>583</v>
      </c>
      <c r="N597" s="133">
        <v>43832.0</v>
      </c>
      <c r="O597" s="74">
        <v>1.0</v>
      </c>
      <c r="P597" s="74">
        <v>1.0</v>
      </c>
      <c r="Q597" s="119"/>
      <c r="R597" s="74" t="s">
        <v>25858</v>
      </c>
      <c r="S597" s="119"/>
      <c r="T597" s="146">
        <v>43662.0</v>
      </c>
      <c r="U597" s="74">
        <v>9999.0</v>
      </c>
      <c r="V597" s="74">
        <v>9999.0</v>
      </c>
      <c r="W597" s="119"/>
      <c r="X597" s="119"/>
      <c r="Y597" s="146">
        <v>43662.0</v>
      </c>
      <c r="Z597" s="74">
        <v>33.65</v>
      </c>
      <c r="AA597" s="74">
        <v>9999.0</v>
      </c>
      <c r="AB597" s="119"/>
      <c r="AC597" s="119"/>
      <c r="AD597" s="119"/>
      <c r="AE597" s="74">
        <v>1.0</v>
      </c>
      <c r="AF597" s="74" t="s">
        <v>18902</v>
      </c>
      <c r="AG597" s="120">
        <v>7018.0</v>
      </c>
      <c r="AH597" s="74" t="s">
        <v>26024</v>
      </c>
      <c r="AI597" s="74" t="s">
        <v>26025</v>
      </c>
      <c r="AJ597" s="120">
        <v>598.0</v>
      </c>
    </row>
    <row r="598">
      <c r="A598" s="74" t="s">
        <v>26019</v>
      </c>
      <c r="B598" s="74" t="s">
        <v>6876</v>
      </c>
      <c r="C598" s="74" t="s">
        <v>6877</v>
      </c>
      <c r="D598" s="74" t="s">
        <v>8493</v>
      </c>
      <c r="E598" s="146">
        <v>43837.0</v>
      </c>
      <c r="F598" s="74" t="s">
        <v>26029</v>
      </c>
      <c r="G598" s="74">
        <v>59.0</v>
      </c>
      <c r="H598" s="74">
        <v>1.0</v>
      </c>
      <c r="I598" s="74">
        <v>11.0</v>
      </c>
      <c r="J598" s="119"/>
      <c r="K598" s="119"/>
      <c r="L598" s="74" t="s">
        <v>586</v>
      </c>
      <c r="M598" s="74" t="s">
        <v>586</v>
      </c>
      <c r="N598" s="133">
        <v>43832.0</v>
      </c>
      <c r="O598" s="74">
        <v>1.0</v>
      </c>
      <c r="P598" s="74">
        <v>1.0</v>
      </c>
      <c r="Q598" s="119"/>
      <c r="R598" s="74" t="s">
        <v>25858</v>
      </c>
      <c r="S598" s="119"/>
      <c r="T598" s="146">
        <v>43662.0</v>
      </c>
      <c r="U598" s="74">
        <v>9999.0</v>
      </c>
      <c r="V598" s="74">
        <v>9999.0</v>
      </c>
      <c r="W598" s="119"/>
      <c r="X598" s="119"/>
      <c r="Y598" s="146">
        <v>43662.0</v>
      </c>
      <c r="Z598" s="74">
        <v>33.04</v>
      </c>
      <c r="AA598" s="74">
        <v>9999.0</v>
      </c>
      <c r="AB598" s="119"/>
      <c r="AC598" s="119"/>
      <c r="AD598" s="119"/>
      <c r="AE598" s="74">
        <v>1.0</v>
      </c>
      <c r="AF598" s="74" t="s">
        <v>18902</v>
      </c>
      <c r="AG598" s="120">
        <v>7019.0</v>
      </c>
      <c r="AH598" s="74" t="s">
        <v>26034</v>
      </c>
      <c r="AI598" s="74" t="s">
        <v>26035</v>
      </c>
      <c r="AJ598" s="120">
        <v>599.0</v>
      </c>
    </row>
    <row r="599">
      <c r="A599" s="74" t="s">
        <v>26036</v>
      </c>
      <c r="B599" s="74" t="s">
        <v>6876</v>
      </c>
      <c r="C599" s="74" t="s">
        <v>6877</v>
      </c>
      <c r="D599" s="74" t="s">
        <v>8493</v>
      </c>
      <c r="E599" s="146">
        <v>43837.0</v>
      </c>
      <c r="F599" s="74" t="s">
        <v>26038</v>
      </c>
      <c r="G599" s="74">
        <v>59.0</v>
      </c>
      <c r="H599" s="74">
        <v>1.0</v>
      </c>
      <c r="I599" s="74">
        <v>11.0</v>
      </c>
      <c r="J599" s="119"/>
      <c r="K599" s="119"/>
      <c r="L599" s="74" t="s">
        <v>604</v>
      </c>
      <c r="M599" s="74" t="s">
        <v>604</v>
      </c>
      <c r="N599" s="133">
        <v>43832.0</v>
      </c>
      <c r="O599" s="74">
        <v>1.0</v>
      </c>
      <c r="P599" s="74">
        <v>1.0</v>
      </c>
      <c r="Q599" s="119"/>
      <c r="R599" s="74" t="s">
        <v>25858</v>
      </c>
      <c r="S599" s="119"/>
      <c r="T599" s="146">
        <v>43662.0</v>
      </c>
      <c r="U599" s="74">
        <v>24.21</v>
      </c>
      <c r="V599" s="74">
        <v>9999.0</v>
      </c>
      <c r="W599" s="119"/>
      <c r="X599" s="119"/>
      <c r="Y599" s="146">
        <v>43662.0</v>
      </c>
      <c r="Z599" s="74">
        <v>36.72</v>
      </c>
      <c r="AA599" s="74">
        <v>9999.0</v>
      </c>
      <c r="AB599" s="119"/>
      <c r="AC599" s="119"/>
      <c r="AD599" s="119"/>
      <c r="AE599" s="74">
        <v>1.0</v>
      </c>
      <c r="AF599" s="74" t="s">
        <v>18902</v>
      </c>
      <c r="AG599" s="120">
        <v>7020.0</v>
      </c>
      <c r="AH599" s="74" t="s">
        <v>26045</v>
      </c>
      <c r="AI599" s="74" t="s">
        <v>26046</v>
      </c>
      <c r="AJ599" s="120">
        <v>600.0</v>
      </c>
    </row>
    <row r="600">
      <c r="A600" s="74" t="s">
        <v>26038</v>
      </c>
      <c r="B600" s="74" t="s">
        <v>6876</v>
      </c>
      <c r="C600" s="74" t="s">
        <v>6877</v>
      </c>
      <c r="D600" s="74" t="s">
        <v>8493</v>
      </c>
      <c r="E600" s="146">
        <v>43837.0</v>
      </c>
      <c r="F600" s="74" t="s">
        <v>26047</v>
      </c>
      <c r="G600" s="74">
        <v>59.0</v>
      </c>
      <c r="H600" s="74">
        <v>1.0</v>
      </c>
      <c r="I600" s="74">
        <v>11.0</v>
      </c>
      <c r="J600" s="119"/>
      <c r="K600" s="119"/>
      <c r="L600" s="74" t="s">
        <v>607</v>
      </c>
      <c r="M600" s="74" t="s">
        <v>607</v>
      </c>
      <c r="N600" s="133">
        <v>43832.0</v>
      </c>
      <c r="O600" s="74">
        <v>1.0</v>
      </c>
      <c r="P600" s="74">
        <v>1.0</v>
      </c>
      <c r="Q600" s="119"/>
      <c r="R600" s="74" t="s">
        <v>25858</v>
      </c>
      <c r="S600" s="119"/>
      <c r="T600" s="146">
        <v>43662.0</v>
      </c>
      <c r="U600" s="74">
        <v>9999.0</v>
      </c>
      <c r="V600" s="74">
        <v>9999.0</v>
      </c>
      <c r="W600" s="119"/>
      <c r="X600" s="119"/>
      <c r="Y600" s="146">
        <v>43662.0</v>
      </c>
      <c r="Z600" s="74">
        <v>35.75</v>
      </c>
      <c r="AA600" s="74">
        <v>9999.0</v>
      </c>
      <c r="AB600" s="119"/>
      <c r="AC600" s="119"/>
      <c r="AD600" s="119"/>
      <c r="AE600" s="74">
        <v>1.0</v>
      </c>
      <c r="AF600" s="74" t="s">
        <v>18902</v>
      </c>
      <c r="AG600" s="120">
        <v>7021.0</v>
      </c>
      <c r="AH600" s="74" t="s">
        <v>26053</v>
      </c>
      <c r="AI600" s="74" t="s">
        <v>26054</v>
      </c>
      <c r="AJ600" s="120">
        <v>601.0</v>
      </c>
    </row>
    <row r="601">
      <c r="A601" s="74" t="s">
        <v>26047</v>
      </c>
      <c r="B601" s="74" t="s">
        <v>6876</v>
      </c>
      <c r="C601" s="74" t="s">
        <v>6877</v>
      </c>
      <c r="D601" s="74" t="s">
        <v>8493</v>
      </c>
      <c r="E601" s="146">
        <v>43837.0</v>
      </c>
      <c r="F601" s="74" t="s">
        <v>26057</v>
      </c>
      <c r="G601" s="74">
        <v>59.0</v>
      </c>
      <c r="H601" s="74">
        <v>1.0</v>
      </c>
      <c r="I601" s="74">
        <v>11.0</v>
      </c>
      <c r="J601" s="119"/>
      <c r="K601" s="119"/>
      <c r="L601" s="74" t="s">
        <v>619</v>
      </c>
      <c r="M601" s="74" t="s">
        <v>619</v>
      </c>
      <c r="N601" s="133">
        <v>43832.0</v>
      </c>
      <c r="O601" s="74">
        <v>1.0</v>
      </c>
      <c r="P601" s="74">
        <v>1.0</v>
      </c>
      <c r="Q601" s="119"/>
      <c r="R601" s="74" t="s">
        <v>25858</v>
      </c>
      <c r="S601" s="119"/>
      <c r="T601" s="146">
        <v>43662.0</v>
      </c>
      <c r="U601" s="74">
        <v>26.46</v>
      </c>
      <c r="V601" s="74">
        <v>9999.0</v>
      </c>
      <c r="W601" s="119"/>
      <c r="X601" s="119"/>
      <c r="Y601" s="146">
        <v>43662.0</v>
      </c>
      <c r="Z601" s="74">
        <v>37.91</v>
      </c>
      <c r="AA601" s="74">
        <v>9999.0</v>
      </c>
      <c r="AB601" s="119"/>
      <c r="AC601" s="119"/>
      <c r="AD601" s="119"/>
      <c r="AE601" s="74">
        <v>1.0</v>
      </c>
      <c r="AF601" s="74" t="s">
        <v>18902</v>
      </c>
      <c r="AG601" s="120">
        <v>7022.0</v>
      </c>
      <c r="AH601" s="74" t="s">
        <v>26062</v>
      </c>
      <c r="AI601" s="74" t="s">
        <v>26063</v>
      </c>
      <c r="AJ601" s="120">
        <v>602.0</v>
      </c>
    </row>
    <row r="602">
      <c r="A602" s="74" t="s">
        <v>26057</v>
      </c>
      <c r="B602" s="74" t="s">
        <v>6876</v>
      </c>
      <c r="C602" s="74" t="s">
        <v>6877</v>
      </c>
      <c r="D602" s="74" t="s">
        <v>8493</v>
      </c>
      <c r="E602" s="146">
        <v>43837.0</v>
      </c>
      <c r="F602" s="74" t="s">
        <v>26065</v>
      </c>
      <c r="G602" s="74">
        <v>58.0</v>
      </c>
      <c r="H602" s="74">
        <v>1.0</v>
      </c>
      <c r="I602" s="74">
        <v>11.0</v>
      </c>
      <c r="J602" s="119"/>
      <c r="K602" s="119"/>
      <c r="L602" s="74" t="s">
        <v>622</v>
      </c>
      <c r="M602" s="74" t="s">
        <v>622</v>
      </c>
      <c r="N602" s="133">
        <v>43832.0</v>
      </c>
      <c r="O602" s="74">
        <v>1.0</v>
      </c>
      <c r="P602" s="74">
        <v>1.0</v>
      </c>
      <c r="Q602" s="119"/>
      <c r="R602" s="74" t="s">
        <v>25858</v>
      </c>
      <c r="S602" s="119"/>
      <c r="T602" s="146">
        <v>43662.0</v>
      </c>
      <c r="U602" s="74">
        <v>9999.0</v>
      </c>
      <c r="V602" s="74">
        <v>9999.0</v>
      </c>
      <c r="W602" s="119"/>
      <c r="X602" s="119"/>
      <c r="Y602" s="146">
        <v>43662.0</v>
      </c>
      <c r="Z602" s="74">
        <v>9999.0</v>
      </c>
      <c r="AA602" s="74">
        <v>9999.0</v>
      </c>
      <c r="AB602" s="119"/>
      <c r="AC602" s="119"/>
      <c r="AD602" s="119"/>
      <c r="AE602" s="74">
        <v>1.0</v>
      </c>
      <c r="AF602" s="74" t="s">
        <v>18902</v>
      </c>
      <c r="AG602" s="120">
        <v>7023.0</v>
      </c>
      <c r="AH602" s="74" t="s">
        <v>26071</v>
      </c>
      <c r="AI602" s="74" t="s">
        <v>26072</v>
      </c>
      <c r="AJ602" s="120">
        <v>603.0</v>
      </c>
    </row>
    <row r="603">
      <c r="A603" s="74" t="s">
        <v>26065</v>
      </c>
      <c r="B603" s="74" t="s">
        <v>6876</v>
      </c>
      <c r="C603" s="74" t="s">
        <v>6877</v>
      </c>
      <c r="D603" s="74" t="s">
        <v>8493</v>
      </c>
      <c r="E603" s="146">
        <v>43837.0</v>
      </c>
      <c r="F603" s="74" t="s">
        <v>26073</v>
      </c>
      <c r="G603" s="74">
        <v>58.0</v>
      </c>
      <c r="H603" s="74">
        <v>1.0</v>
      </c>
      <c r="I603" s="74">
        <v>11.0</v>
      </c>
      <c r="J603" s="119"/>
      <c r="K603" s="119"/>
      <c r="L603" s="74" t="s">
        <v>629</v>
      </c>
      <c r="M603" s="74" t="s">
        <v>629</v>
      </c>
      <c r="N603" s="133">
        <v>43832.0</v>
      </c>
      <c r="O603" s="74">
        <v>1.0</v>
      </c>
      <c r="P603" s="74">
        <v>1.0</v>
      </c>
      <c r="Q603" s="119"/>
      <c r="R603" s="74" t="s">
        <v>25858</v>
      </c>
      <c r="S603" s="119"/>
      <c r="T603" s="146">
        <v>43662.0</v>
      </c>
      <c r="U603" s="74">
        <v>24.99</v>
      </c>
      <c r="V603" s="74">
        <v>9999.0</v>
      </c>
      <c r="W603" s="119"/>
      <c r="X603" s="119"/>
      <c r="Y603" s="146">
        <v>43662.0</v>
      </c>
      <c r="Z603" s="74">
        <v>36.93</v>
      </c>
      <c r="AA603" s="74">
        <v>9999.0</v>
      </c>
      <c r="AB603" s="119"/>
      <c r="AC603" s="119"/>
      <c r="AD603" s="119"/>
      <c r="AE603" s="74">
        <v>1.0</v>
      </c>
      <c r="AF603" s="74" t="s">
        <v>18902</v>
      </c>
      <c r="AG603" s="120">
        <v>7024.0</v>
      </c>
      <c r="AH603" s="74" t="s">
        <v>26079</v>
      </c>
      <c r="AI603" s="74" t="s">
        <v>26080</v>
      </c>
      <c r="AJ603" s="120">
        <v>604.0</v>
      </c>
    </row>
    <row r="604">
      <c r="A604" s="74" t="s">
        <v>26073</v>
      </c>
      <c r="B604" s="74" t="s">
        <v>6876</v>
      </c>
      <c r="C604" s="74" t="s">
        <v>6877</v>
      </c>
      <c r="D604" s="74" t="s">
        <v>8493</v>
      </c>
      <c r="E604" s="146">
        <v>43837.0</v>
      </c>
      <c r="F604" s="74" t="s">
        <v>26083</v>
      </c>
      <c r="G604" s="74">
        <v>59.0</v>
      </c>
      <c r="H604" s="74">
        <v>1.0</v>
      </c>
      <c r="I604" s="74">
        <v>11.0</v>
      </c>
      <c r="J604" s="119"/>
      <c r="K604" s="119"/>
      <c r="L604" s="74" t="s">
        <v>632</v>
      </c>
      <c r="M604" s="74" t="s">
        <v>632</v>
      </c>
      <c r="N604" s="133">
        <v>43832.0</v>
      </c>
      <c r="O604" s="74">
        <v>1.0</v>
      </c>
      <c r="P604" s="74">
        <v>1.0</v>
      </c>
      <c r="Q604" s="119"/>
      <c r="R604" s="74" t="s">
        <v>25858</v>
      </c>
      <c r="S604" s="119"/>
      <c r="T604" s="146">
        <v>43662.0</v>
      </c>
      <c r="U604" s="74">
        <v>9999.0</v>
      </c>
      <c r="V604" s="74">
        <v>9999.0</v>
      </c>
      <c r="W604" s="119"/>
      <c r="X604" s="119"/>
      <c r="Y604" s="146">
        <v>43662.0</v>
      </c>
      <c r="Z604" s="74">
        <v>14.59</v>
      </c>
      <c r="AA604" s="74">
        <v>9999.0</v>
      </c>
      <c r="AB604" s="119"/>
      <c r="AC604" s="119"/>
      <c r="AD604" s="119"/>
      <c r="AE604" s="74">
        <v>1.0</v>
      </c>
      <c r="AF604" s="74" t="s">
        <v>18902</v>
      </c>
      <c r="AG604" s="120">
        <v>7025.0</v>
      </c>
      <c r="AH604" s="74" t="s">
        <v>26089</v>
      </c>
      <c r="AI604" s="74" t="s">
        <v>26090</v>
      </c>
      <c r="AJ604" s="120">
        <v>605.0</v>
      </c>
    </row>
    <row r="605">
      <c r="A605" s="74" t="s">
        <v>26083</v>
      </c>
      <c r="B605" s="74" t="s">
        <v>6876</v>
      </c>
      <c r="C605" s="74" t="s">
        <v>6877</v>
      </c>
      <c r="D605" s="74" t="s">
        <v>8493</v>
      </c>
      <c r="E605" s="146">
        <v>43837.0</v>
      </c>
      <c r="F605" s="74" t="s">
        <v>26092</v>
      </c>
      <c r="G605" s="74">
        <v>59.0</v>
      </c>
      <c r="H605" s="74">
        <v>1.0</v>
      </c>
      <c r="I605" s="74">
        <v>11.0</v>
      </c>
      <c r="J605" s="119"/>
      <c r="K605" s="119"/>
      <c r="L605" s="74" t="s">
        <v>637</v>
      </c>
      <c r="M605" s="74" t="s">
        <v>637</v>
      </c>
      <c r="N605" s="133">
        <v>43832.0</v>
      </c>
      <c r="O605" s="74">
        <v>1.0</v>
      </c>
      <c r="P605" s="74">
        <v>1.0</v>
      </c>
      <c r="Q605" s="119"/>
      <c r="R605" s="74" t="s">
        <v>25858</v>
      </c>
      <c r="S605" s="119"/>
      <c r="T605" s="146">
        <v>43662.0</v>
      </c>
      <c r="U605" s="74">
        <v>9999.0</v>
      </c>
      <c r="V605" s="74">
        <v>9999.0</v>
      </c>
      <c r="W605" s="119"/>
      <c r="X605" s="119"/>
      <c r="Y605" s="146">
        <v>43662.0</v>
      </c>
      <c r="Z605" s="74">
        <v>9999.0</v>
      </c>
      <c r="AA605" s="74">
        <v>9999.0</v>
      </c>
      <c r="AB605" s="119"/>
      <c r="AC605" s="119"/>
      <c r="AD605" s="119"/>
      <c r="AE605" s="74">
        <v>1.0</v>
      </c>
      <c r="AF605" s="74" t="s">
        <v>18902</v>
      </c>
      <c r="AG605" s="120">
        <v>7026.0</v>
      </c>
      <c r="AH605" s="74" t="s">
        <v>26096</v>
      </c>
      <c r="AI605" s="74" t="s">
        <v>26097</v>
      </c>
      <c r="AJ605" s="120">
        <v>606.0</v>
      </c>
    </row>
    <row r="606">
      <c r="A606" s="74" t="s">
        <v>26092</v>
      </c>
      <c r="B606" s="74" t="s">
        <v>6876</v>
      </c>
      <c r="C606" s="74" t="s">
        <v>6877</v>
      </c>
      <c r="D606" s="74" t="s">
        <v>8493</v>
      </c>
      <c r="E606" s="146">
        <v>43837.0</v>
      </c>
      <c r="F606" s="74" t="s">
        <v>26100</v>
      </c>
      <c r="G606" s="74">
        <v>58.0</v>
      </c>
      <c r="H606" s="74">
        <v>1.0</v>
      </c>
      <c r="I606" s="74">
        <v>11.0</v>
      </c>
      <c r="J606" s="119"/>
      <c r="K606" s="119"/>
      <c r="L606" s="74" t="s">
        <v>642</v>
      </c>
      <c r="M606" s="74" t="s">
        <v>642</v>
      </c>
      <c r="N606" s="133">
        <v>43832.0</v>
      </c>
      <c r="O606" s="74">
        <v>1.0</v>
      </c>
      <c r="P606" s="74">
        <v>1.0</v>
      </c>
      <c r="Q606" s="119"/>
      <c r="R606" s="74" t="s">
        <v>25858</v>
      </c>
      <c r="S606" s="119"/>
      <c r="T606" s="146">
        <v>43662.0</v>
      </c>
      <c r="U606" s="74">
        <v>9999.0</v>
      </c>
      <c r="V606" s="74">
        <v>9999.0</v>
      </c>
      <c r="W606" s="119"/>
      <c r="X606" s="119"/>
      <c r="Y606" s="146">
        <v>43662.0</v>
      </c>
      <c r="Z606" s="74">
        <v>9999.0</v>
      </c>
      <c r="AA606" s="74">
        <v>9999.0</v>
      </c>
      <c r="AB606" s="119"/>
      <c r="AC606" s="119"/>
      <c r="AD606" s="119"/>
      <c r="AE606" s="74">
        <v>1.0</v>
      </c>
      <c r="AF606" s="74" t="s">
        <v>18902</v>
      </c>
      <c r="AG606" s="120">
        <v>7027.0</v>
      </c>
      <c r="AH606" s="74" t="s">
        <v>26106</v>
      </c>
      <c r="AI606" s="74" t="s">
        <v>26109</v>
      </c>
      <c r="AJ606" s="120">
        <v>607.0</v>
      </c>
    </row>
    <row r="607">
      <c r="A607" s="74" t="s">
        <v>26100</v>
      </c>
      <c r="B607" s="74" t="s">
        <v>6876</v>
      </c>
      <c r="C607" s="74" t="s">
        <v>6877</v>
      </c>
      <c r="D607" s="74" t="s">
        <v>8493</v>
      </c>
      <c r="E607" s="146">
        <v>43837.0</v>
      </c>
      <c r="F607" s="74" t="s">
        <v>26111</v>
      </c>
      <c r="G607" s="74">
        <v>57.0</v>
      </c>
      <c r="H607" s="74">
        <v>1.0</v>
      </c>
      <c r="I607" s="74">
        <v>12.0</v>
      </c>
      <c r="J607" s="119"/>
      <c r="K607" s="119"/>
      <c r="L607" s="74" t="s">
        <v>647</v>
      </c>
      <c r="M607" s="74" t="s">
        <v>647</v>
      </c>
      <c r="N607" s="133">
        <v>43832.0</v>
      </c>
      <c r="O607" s="74">
        <v>1.0</v>
      </c>
      <c r="P607" s="74">
        <v>1.0</v>
      </c>
      <c r="Q607" s="119"/>
      <c r="R607" s="74" t="s">
        <v>25858</v>
      </c>
      <c r="S607" s="119"/>
      <c r="T607" s="146">
        <v>43662.0</v>
      </c>
      <c r="U607" s="74">
        <v>9999.0</v>
      </c>
      <c r="V607" s="74">
        <v>9999.0</v>
      </c>
      <c r="W607" s="119"/>
      <c r="X607" s="119"/>
      <c r="Y607" s="146">
        <v>43662.0</v>
      </c>
      <c r="Z607" s="74">
        <v>32.13</v>
      </c>
      <c r="AA607" s="74">
        <v>9999.0</v>
      </c>
      <c r="AB607" s="119"/>
      <c r="AC607" s="119"/>
      <c r="AD607" s="119"/>
      <c r="AE607" s="74">
        <v>1.0</v>
      </c>
      <c r="AF607" s="74" t="s">
        <v>18902</v>
      </c>
      <c r="AG607" s="120">
        <v>7028.0</v>
      </c>
      <c r="AH607" s="74" t="s">
        <v>26118</v>
      </c>
      <c r="AI607" s="74" t="s">
        <v>26119</v>
      </c>
      <c r="AJ607" s="120">
        <v>608.0</v>
      </c>
    </row>
    <row r="608">
      <c r="A608" s="74" t="s">
        <v>26111</v>
      </c>
      <c r="B608" s="74" t="s">
        <v>6876</v>
      </c>
      <c r="C608" s="74" t="s">
        <v>6877</v>
      </c>
      <c r="D608" s="74" t="s">
        <v>8493</v>
      </c>
      <c r="E608" s="146">
        <v>43837.0</v>
      </c>
      <c r="F608" s="74" t="s">
        <v>26122</v>
      </c>
      <c r="G608" s="74">
        <v>57.0</v>
      </c>
      <c r="H608" s="74">
        <v>1.0</v>
      </c>
      <c r="I608" s="74">
        <v>12.0</v>
      </c>
      <c r="J608" s="119"/>
      <c r="K608" s="119"/>
      <c r="L608" s="74" t="s">
        <v>652</v>
      </c>
      <c r="M608" s="74" t="s">
        <v>652</v>
      </c>
      <c r="N608" s="133">
        <v>43832.0</v>
      </c>
      <c r="O608" s="74">
        <v>1.0</v>
      </c>
      <c r="P608" s="74">
        <v>1.0</v>
      </c>
      <c r="Q608" s="119"/>
      <c r="R608" s="74" t="s">
        <v>25858</v>
      </c>
      <c r="S608" s="119"/>
      <c r="T608" s="146">
        <v>43662.0</v>
      </c>
      <c r="U608" s="74">
        <v>22.87</v>
      </c>
      <c r="V608" s="74">
        <v>19.0</v>
      </c>
      <c r="W608" s="119"/>
      <c r="X608" s="119"/>
      <c r="Y608" s="146">
        <v>43662.0</v>
      </c>
      <c r="Z608" s="74">
        <v>34.44</v>
      </c>
      <c r="AA608" s="74">
        <v>9999.0</v>
      </c>
      <c r="AB608" s="119"/>
      <c r="AC608" s="119"/>
      <c r="AD608" s="119"/>
      <c r="AE608" s="74">
        <v>1.0</v>
      </c>
      <c r="AF608" s="74" t="s">
        <v>18902</v>
      </c>
      <c r="AG608" s="120">
        <v>7029.0</v>
      </c>
      <c r="AH608" s="74" t="s">
        <v>26127</v>
      </c>
      <c r="AI608" s="74" t="s">
        <v>26129</v>
      </c>
      <c r="AJ608" s="120">
        <v>609.0</v>
      </c>
    </row>
    <row r="609">
      <c r="A609" s="74" t="s">
        <v>26122</v>
      </c>
      <c r="B609" s="74" t="s">
        <v>6876</v>
      </c>
      <c r="C609" s="74" t="s">
        <v>6877</v>
      </c>
      <c r="D609" s="74" t="s">
        <v>8493</v>
      </c>
      <c r="E609" s="146">
        <v>43837.0</v>
      </c>
      <c r="F609" s="74" t="s">
        <v>26132</v>
      </c>
      <c r="G609" s="74">
        <v>66.0</v>
      </c>
      <c r="H609" s="74">
        <v>1.0</v>
      </c>
      <c r="I609" s="74">
        <v>12.0</v>
      </c>
      <c r="J609" s="119"/>
      <c r="K609" s="119"/>
      <c r="L609" s="74" t="s">
        <v>655</v>
      </c>
      <c r="M609" s="74" t="s">
        <v>655</v>
      </c>
      <c r="N609" s="133">
        <v>43832.0</v>
      </c>
      <c r="O609" s="74">
        <v>1.0</v>
      </c>
      <c r="P609" s="74">
        <v>1.0</v>
      </c>
      <c r="Q609" s="119"/>
      <c r="R609" s="74" t="s">
        <v>25672</v>
      </c>
      <c r="S609" s="119"/>
      <c r="T609" s="146">
        <v>43789.0</v>
      </c>
      <c r="U609" s="74">
        <v>27.13</v>
      </c>
      <c r="V609" s="74">
        <v>27.9</v>
      </c>
      <c r="W609" s="119"/>
      <c r="X609" s="119"/>
      <c r="Y609" s="146">
        <v>43789.0</v>
      </c>
      <c r="Z609" s="74">
        <v>9999.0</v>
      </c>
      <c r="AA609" s="74">
        <v>33.03</v>
      </c>
      <c r="AB609" s="119"/>
      <c r="AC609" s="119"/>
      <c r="AD609" s="119"/>
      <c r="AE609" s="74">
        <v>1.0</v>
      </c>
      <c r="AF609" s="74" t="s">
        <v>18902</v>
      </c>
      <c r="AG609" s="120">
        <v>7030.0</v>
      </c>
      <c r="AH609" s="74" t="s">
        <v>26138</v>
      </c>
      <c r="AI609" s="74" t="s">
        <v>26139</v>
      </c>
      <c r="AJ609" s="120">
        <v>610.0</v>
      </c>
    </row>
    <row r="610">
      <c r="A610" s="74" t="s">
        <v>26132</v>
      </c>
      <c r="B610" s="74" t="s">
        <v>6876</v>
      </c>
      <c r="C610" s="74" t="s">
        <v>6877</v>
      </c>
      <c r="D610" s="74" t="s">
        <v>8493</v>
      </c>
      <c r="E610" s="146">
        <v>43837.0</v>
      </c>
      <c r="F610" s="74" t="s">
        <v>26142</v>
      </c>
      <c r="G610" s="74">
        <v>59.0</v>
      </c>
      <c r="H610" s="74">
        <v>1.0</v>
      </c>
      <c r="I610" s="74">
        <v>12.0</v>
      </c>
      <c r="J610" s="119"/>
      <c r="K610" s="119"/>
      <c r="L610" s="74" t="s">
        <v>658</v>
      </c>
      <c r="M610" s="74" t="s">
        <v>658</v>
      </c>
      <c r="N610" s="133">
        <v>43832.0</v>
      </c>
      <c r="O610" s="74">
        <v>1.0</v>
      </c>
      <c r="P610" s="74">
        <v>1.0</v>
      </c>
      <c r="Q610" s="119"/>
      <c r="R610" s="74" t="s">
        <v>25672</v>
      </c>
      <c r="S610" s="119"/>
      <c r="T610" s="146">
        <v>43789.0</v>
      </c>
      <c r="U610" s="74">
        <v>9999.0</v>
      </c>
      <c r="V610" s="74">
        <v>9999.0</v>
      </c>
      <c r="W610" s="119"/>
      <c r="X610" s="119"/>
      <c r="Y610" s="146">
        <v>43789.0</v>
      </c>
      <c r="Z610" s="74">
        <v>28.42</v>
      </c>
      <c r="AA610" s="74">
        <v>28.61</v>
      </c>
      <c r="AB610" s="119"/>
      <c r="AC610" s="119"/>
      <c r="AD610" s="119"/>
      <c r="AE610" s="74">
        <v>1.0</v>
      </c>
      <c r="AF610" s="74" t="s">
        <v>18902</v>
      </c>
      <c r="AG610" s="120">
        <v>7031.0</v>
      </c>
      <c r="AH610" s="74" t="s">
        <v>26148</v>
      </c>
      <c r="AI610" s="74" t="s">
        <v>26149</v>
      </c>
      <c r="AJ610" s="120">
        <v>611.0</v>
      </c>
    </row>
    <row r="611">
      <c r="A611" s="74" t="s">
        <v>26142</v>
      </c>
      <c r="B611" s="74" t="s">
        <v>6876</v>
      </c>
      <c r="C611" s="74" t="s">
        <v>6877</v>
      </c>
      <c r="D611" s="74" t="s">
        <v>8493</v>
      </c>
      <c r="E611" s="146">
        <v>43837.0</v>
      </c>
      <c r="F611" s="74" t="s">
        <v>26151</v>
      </c>
      <c r="G611" s="74">
        <v>57.0</v>
      </c>
      <c r="H611" s="74">
        <v>1.0</v>
      </c>
      <c r="I611" s="74">
        <v>12.0</v>
      </c>
      <c r="J611" s="119"/>
      <c r="K611" s="119"/>
      <c r="L611" s="74" t="s">
        <v>662</v>
      </c>
      <c r="M611" s="74" t="s">
        <v>662</v>
      </c>
      <c r="N611" s="133">
        <v>43832.0</v>
      </c>
      <c r="O611" s="74">
        <v>1.0</v>
      </c>
      <c r="P611" s="74">
        <v>1.0</v>
      </c>
      <c r="Q611" s="119"/>
      <c r="R611" s="74" t="s">
        <v>25672</v>
      </c>
      <c r="S611" s="119"/>
      <c r="T611" s="146">
        <v>43789.0</v>
      </c>
      <c r="U611" s="74">
        <v>9999.0</v>
      </c>
      <c r="V611" s="74">
        <v>21.52</v>
      </c>
      <c r="W611" s="119"/>
      <c r="X611" s="119"/>
      <c r="Y611" s="146">
        <v>43789.0</v>
      </c>
      <c r="Z611" s="74">
        <v>9999.0</v>
      </c>
      <c r="AA611" s="74">
        <v>9999.0</v>
      </c>
      <c r="AB611" s="119"/>
      <c r="AC611" s="119"/>
      <c r="AD611" s="119"/>
      <c r="AE611" s="74">
        <v>1.0</v>
      </c>
      <c r="AF611" s="74" t="s">
        <v>18902</v>
      </c>
      <c r="AG611" s="120">
        <v>7032.0</v>
      </c>
      <c r="AH611" s="74" t="s">
        <v>26157</v>
      </c>
      <c r="AI611" s="74" t="s">
        <v>26158</v>
      </c>
      <c r="AJ611" s="120">
        <v>612.0</v>
      </c>
    </row>
    <row r="612">
      <c r="A612" s="74" t="s">
        <v>26151</v>
      </c>
      <c r="B612" s="74" t="s">
        <v>6876</v>
      </c>
      <c r="C612" s="74" t="s">
        <v>6877</v>
      </c>
      <c r="D612" s="74" t="s">
        <v>8493</v>
      </c>
      <c r="E612" s="146">
        <v>43837.0</v>
      </c>
      <c r="F612" s="74" t="s">
        <v>26162</v>
      </c>
      <c r="G612" s="74">
        <v>57.0</v>
      </c>
      <c r="H612" s="74">
        <v>1.0</v>
      </c>
      <c r="I612" s="74">
        <v>12.0</v>
      </c>
      <c r="J612" s="119"/>
      <c r="K612" s="119"/>
      <c r="L612" s="74" t="s">
        <v>665</v>
      </c>
      <c r="M612" s="74" t="s">
        <v>665</v>
      </c>
      <c r="N612" s="133">
        <v>43832.0</v>
      </c>
      <c r="O612" s="74">
        <v>1.0</v>
      </c>
      <c r="P612" s="74">
        <v>1.0</v>
      </c>
      <c r="Q612" s="119"/>
      <c r="R612" s="74" t="s">
        <v>25672</v>
      </c>
      <c r="S612" s="119"/>
      <c r="T612" s="146">
        <v>43789.0</v>
      </c>
      <c r="U612" s="74">
        <v>9999.0</v>
      </c>
      <c r="V612" s="74">
        <v>21.6</v>
      </c>
      <c r="W612" s="119"/>
      <c r="X612" s="119"/>
      <c r="Y612" s="146">
        <v>43789.0</v>
      </c>
      <c r="Z612" s="74">
        <v>28.56</v>
      </c>
      <c r="AA612" s="74">
        <v>28.58</v>
      </c>
      <c r="AB612" s="119"/>
      <c r="AC612" s="119"/>
      <c r="AD612" s="119"/>
      <c r="AE612" s="74">
        <v>1.0</v>
      </c>
      <c r="AF612" s="74" t="s">
        <v>18902</v>
      </c>
      <c r="AG612" s="120">
        <v>7033.0</v>
      </c>
      <c r="AH612" s="74" t="s">
        <v>26168</v>
      </c>
      <c r="AI612" s="74" t="s">
        <v>26169</v>
      </c>
      <c r="AJ612" s="120">
        <v>613.0</v>
      </c>
    </row>
    <row r="613">
      <c r="A613" s="74" t="s">
        <v>26162</v>
      </c>
      <c r="B613" s="74" t="s">
        <v>6876</v>
      </c>
      <c r="C613" s="74" t="s">
        <v>6877</v>
      </c>
      <c r="D613" s="74" t="s">
        <v>8493</v>
      </c>
      <c r="E613" s="146">
        <v>43837.0</v>
      </c>
      <c r="F613" s="74" t="s">
        <v>26173</v>
      </c>
      <c r="G613" s="74">
        <v>55.0</v>
      </c>
      <c r="H613" s="74">
        <v>1.0</v>
      </c>
      <c r="I613" s="74">
        <v>12.0</v>
      </c>
      <c r="J613" s="119"/>
      <c r="K613" s="119"/>
      <c r="L613" s="74" t="s">
        <v>668</v>
      </c>
      <c r="M613" s="74" t="s">
        <v>668</v>
      </c>
      <c r="N613" s="133">
        <v>43832.0</v>
      </c>
      <c r="O613" s="74">
        <v>1.0</v>
      </c>
      <c r="P613" s="74">
        <v>1.0</v>
      </c>
      <c r="Q613" s="119"/>
      <c r="R613" s="74" t="s">
        <v>25672</v>
      </c>
      <c r="S613" s="119"/>
      <c r="T613" s="146">
        <v>43789.0</v>
      </c>
      <c r="U613" s="74">
        <v>9999.0</v>
      </c>
      <c r="V613" s="74">
        <v>25.06</v>
      </c>
      <c r="W613" s="119"/>
      <c r="X613" s="119"/>
      <c r="Y613" s="146">
        <v>43789.0</v>
      </c>
      <c r="Z613" s="74">
        <v>30.55</v>
      </c>
      <c r="AA613" s="74">
        <v>30.01</v>
      </c>
      <c r="AB613" s="119"/>
      <c r="AC613" s="119"/>
      <c r="AD613" s="119"/>
      <c r="AE613" s="74">
        <v>1.0</v>
      </c>
      <c r="AF613" s="74" t="s">
        <v>18902</v>
      </c>
      <c r="AG613" s="120">
        <v>7034.0</v>
      </c>
      <c r="AH613" s="74" t="s">
        <v>26178</v>
      </c>
      <c r="AI613" s="74" t="s">
        <v>26179</v>
      </c>
      <c r="AJ613" s="120">
        <v>614.0</v>
      </c>
    </row>
    <row r="614">
      <c r="A614" s="74" t="s">
        <v>26181</v>
      </c>
      <c r="B614" s="74" t="s">
        <v>6876</v>
      </c>
      <c r="C614" s="74" t="s">
        <v>6877</v>
      </c>
      <c r="D614" s="74" t="s">
        <v>8493</v>
      </c>
      <c r="E614" s="146">
        <v>43838.0</v>
      </c>
      <c r="F614" s="74" t="s">
        <v>26182</v>
      </c>
      <c r="G614" s="74">
        <v>59.0</v>
      </c>
      <c r="H614" s="74">
        <v>1.0</v>
      </c>
      <c r="I614" s="74">
        <v>11.0</v>
      </c>
      <c r="J614" s="119"/>
      <c r="K614" s="119"/>
      <c r="L614" s="74" t="s">
        <v>1934</v>
      </c>
      <c r="M614" s="74" t="s">
        <v>1934</v>
      </c>
      <c r="N614" s="133">
        <v>43832.0</v>
      </c>
      <c r="O614" s="74">
        <v>1.0</v>
      </c>
      <c r="P614" s="74">
        <v>1.0</v>
      </c>
      <c r="Q614" s="119"/>
      <c r="R614" s="74" t="s">
        <v>26187</v>
      </c>
      <c r="S614" s="119"/>
      <c r="T614" s="146">
        <v>43831.0</v>
      </c>
      <c r="U614" s="74">
        <v>28.79</v>
      </c>
      <c r="V614" s="74">
        <v>27.47</v>
      </c>
      <c r="W614" s="119"/>
      <c r="X614" s="119"/>
      <c r="Y614" s="146">
        <v>43831.0</v>
      </c>
      <c r="Z614" s="74">
        <v>40.0</v>
      </c>
      <c r="AA614" s="74">
        <v>40.0</v>
      </c>
      <c r="AB614" s="119"/>
      <c r="AC614" s="119"/>
      <c r="AD614" s="119"/>
      <c r="AE614" s="74">
        <v>1.0</v>
      </c>
      <c r="AF614" s="74" t="s">
        <v>18902</v>
      </c>
      <c r="AG614" s="120">
        <v>7042.0</v>
      </c>
      <c r="AH614" s="74" t="s">
        <v>26190</v>
      </c>
      <c r="AI614" s="74" t="s">
        <v>26192</v>
      </c>
      <c r="AJ614" s="120">
        <v>615.0</v>
      </c>
    </row>
    <row r="615">
      <c r="A615" s="74" t="s">
        <v>26182</v>
      </c>
      <c r="B615" s="74" t="s">
        <v>6876</v>
      </c>
      <c r="C615" s="74" t="s">
        <v>6877</v>
      </c>
      <c r="D615" s="74" t="s">
        <v>8493</v>
      </c>
      <c r="E615" s="146">
        <v>43838.0</v>
      </c>
      <c r="F615" s="74" t="s">
        <v>26194</v>
      </c>
      <c r="G615" s="74">
        <v>59.0</v>
      </c>
      <c r="H615" s="74">
        <v>1.0</v>
      </c>
      <c r="I615" s="74">
        <v>11.0</v>
      </c>
      <c r="J615" s="119"/>
      <c r="K615" s="119"/>
      <c r="L615" s="74" t="s">
        <v>1937</v>
      </c>
      <c r="M615" s="74" t="s">
        <v>1937</v>
      </c>
      <c r="N615" s="133">
        <v>43832.0</v>
      </c>
      <c r="O615" s="74">
        <v>1.0</v>
      </c>
      <c r="P615" s="74">
        <v>1.0</v>
      </c>
      <c r="Q615" s="119"/>
      <c r="R615" s="74" t="s">
        <v>26187</v>
      </c>
      <c r="S615" s="119"/>
      <c r="T615" s="146">
        <v>43831.0</v>
      </c>
      <c r="U615" s="74">
        <v>23.55</v>
      </c>
      <c r="V615" s="74">
        <v>23.35</v>
      </c>
      <c r="W615" s="119"/>
      <c r="X615" s="119"/>
      <c r="Y615" s="146">
        <v>43831.0</v>
      </c>
      <c r="Z615" s="74">
        <v>40.0</v>
      </c>
      <c r="AA615" s="74">
        <v>9999.0</v>
      </c>
      <c r="AB615" s="119"/>
      <c r="AC615" s="119"/>
      <c r="AD615" s="119"/>
      <c r="AE615" s="74">
        <v>1.0</v>
      </c>
      <c r="AF615" s="74" t="s">
        <v>18902</v>
      </c>
      <c r="AG615" s="120">
        <v>7043.0</v>
      </c>
      <c r="AH615" s="74" t="s">
        <v>26202</v>
      </c>
      <c r="AI615" s="74" t="s">
        <v>26203</v>
      </c>
      <c r="AJ615" s="120">
        <v>616.0</v>
      </c>
    </row>
    <row r="616">
      <c r="A616" s="74" t="s">
        <v>26194</v>
      </c>
      <c r="B616" s="74" t="s">
        <v>6876</v>
      </c>
      <c r="C616" s="74" t="s">
        <v>6877</v>
      </c>
      <c r="D616" s="74" t="s">
        <v>8493</v>
      </c>
      <c r="E616" s="146">
        <v>43838.0</v>
      </c>
      <c r="F616" s="74" t="s">
        <v>26207</v>
      </c>
      <c r="G616" s="74">
        <v>59.0</v>
      </c>
      <c r="H616" s="74">
        <v>1.0</v>
      </c>
      <c r="I616" s="74">
        <v>11.0</v>
      </c>
      <c r="J616" s="119"/>
      <c r="K616" s="119"/>
      <c r="L616" s="74" t="s">
        <v>1940</v>
      </c>
      <c r="M616" s="74" t="s">
        <v>1940</v>
      </c>
      <c r="N616" s="133">
        <v>43832.0</v>
      </c>
      <c r="O616" s="74">
        <v>1.0</v>
      </c>
      <c r="P616" s="74">
        <v>1.0</v>
      </c>
      <c r="Q616" s="119"/>
      <c r="R616" s="74" t="s">
        <v>26187</v>
      </c>
      <c r="S616" s="119"/>
      <c r="T616" s="146">
        <v>43831.0</v>
      </c>
      <c r="U616" s="74">
        <v>23.9</v>
      </c>
      <c r="V616" s="74">
        <v>24.12</v>
      </c>
      <c r="W616" s="119"/>
      <c r="X616" s="119"/>
      <c r="Y616" s="146">
        <v>43831.0</v>
      </c>
      <c r="Z616" s="74">
        <v>40.0</v>
      </c>
      <c r="AA616" s="74">
        <v>9999.0</v>
      </c>
      <c r="AB616" s="119"/>
      <c r="AC616" s="119"/>
      <c r="AD616" s="119"/>
      <c r="AE616" s="74">
        <v>1.0</v>
      </c>
      <c r="AF616" s="74" t="s">
        <v>18902</v>
      </c>
      <c r="AG616" s="120">
        <v>7044.0</v>
      </c>
      <c r="AH616" s="74" t="s">
        <v>26214</v>
      </c>
      <c r="AI616" s="74" t="s">
        <v>26215</v>
      </c>
      <c r="AJ616" s="120">
        <v>617.0</v>
      </c>
    </row>
    <row r="617">
      <c r="A617" s="74" t="s">
        <v>26207</v>
      </c>
      <c r="B617" s="74" t="s">
        <v>6876</v>
      </c>
      <c r="C617" s="74" t="s">
        <v>6877</v>
      </c>
      <c r="D617" s="74" t="s">
        <v>8493</v>
      </c>
      <c r="E617" s="146">
        <v>43838.0</v>
      </c>
      <c r="F617" s="74" t="s">
        <v>26217</v>
      </c>
      <c r="G617" s="74">
        <v>59.0</v>
      </c>
      <c r="H617" s="74">
        <v>1.0</v>
      </c>
      <c r="I617" s="74">
        <v>11.0</v>
      </c>
      <c r="J617" s="119"/>
      <c r="K617" s="119"/>
      <c r="L617" s="74" t="s">
        <v>1943</v>
      </c>
      <c r="M617" s="74" t="s">
        <v>1943</v>
      </c>
      <c r="N617" s="133">
        <v>43832.0</v>
      </c>
      <c r="O617" s="74">
        <v>1.0</v>
      </c>
      <c r="P617" s="74">
        <v>1.0</v>
      </c>
      <c r="Q617" s="119"/>
      <c r="R617" s="74" t="s">
        <v>26187</v>
      </c>
      <c r="S617" s="119"/>
      <c r="T617" s="146">
        <v>43831.0</v>
      </c>
      <c r="U617" s="74">
        <v>24.83</v>
      </c>
      <c r="V617" s="74">
        <v>25.48</v>
      </c>
      <c r="W617" s="119"/>
      <c r="X617" s="119"/>
      <c r="Y617" s="146">
        <v>43831.0</v>
      </c>
      <c r="Z617" s="74">
        <v>9999.0</v>
      </c>
      <c r="AA617" s="74">
        <v>40.0</v>
      </c>
      <c r="AB617" s="119"/>
      <c r="AC617" s="119"/>
      <c r="AD617" s="119"/>
      <c r="AE617" s="74">
        <v>1.0</v>
      </c>
      <c r="AF617" s="74" t="s">
        <v>18902</v>
      </c>
      <c r="AG617" s="120">
        <v>7045.0</v>
      </c>
      <c r="AH617" s="74" t="s">
        <v>26223</v>
      </c>
      <c r="AI617" s="74" t="s">
        <v>26224</v>
      </c>
      <c r="AJ617" s="120">
        <v>618.0</v>
      </c>
    </row>
    <row r="618">
      <c r="A618" s="74" t="s">
        <v>26217</v>
      </c>
      <c r="B618" s="74" t="s">
        <v>6876</v>
      </c>
      <c r="C618" s="74" t="s">
        <v>6877</v>
      </c>
      <c r="D618" s="74" t="s">
        <v>8493</v>
      </c>
      <c r="E618" s="146">
        <v>43838.0</v>
      </c>
      <c r="F618" s="74" t="s">
        <v>26227</v>
      </c>
      <c r="G618" s="74">
        <v>59.0</v>
      </c>
      <c r="H618" s="74">
        <v>1.0</v>
      </c>
      <c r="I618" s="74">
        <v>11.0</v>
      </c>
      <c r="J618" s="119"/>
      <c r="K618" s="119"/>
      <c r="L618" s="74" t="s">
        <v>334</v>
      </c>
      <c r="M618" s="74" t="s">
        <v>334</v>
      </c>
      <c r="N618" s="133">
        <v>43832.0</v>
      </c>
      <c r="O618" s="74">
        <v>1.0</v>
      </c>
      <c r="P618" s="74">
        <v>1.0</v>
      </c>
      <c r="Q618" s="119"/>
      <c r="R618" s="74" t="s">
        <v>26187</v>
      </c>
      <c r="S618" s="119"/>
      <c r="T618" s="146">
        <v>43831.0</v>
      </c>
      <c r="U618" s="74">
        <v>23.78</v>
      </c>
      <c r="V618" s="74">
        <v>23.78</v>
      </c>
      <c r="W618" s="119"/>
      <c r="X618" s="119"/>
      <c r="Y618" s="146">
        <v>43831.0</v>
      </c>
      <c r="Z618" s="74">
        <v>38.45</v>
      </c>
      <c r="AA618" s="74">
        <v>9999.0</v>
      </c>
      <c r="AB618" s="119"/>
      <c r="AC618" s="119"/>
      <c r="AD618" s="119"/>
      <c r="AE618" s="74">
        <v>1.0</v>
      </c>
      <c r="AF618" s="74" t="s">
        <v>18902</v>
      </c>
      <c r="AG618" s="120">
        <v>7046.0</v>
      </c>
      <c r="AH618" s="74" t="s">
        <v>26233</v>
      </c>
      <c r="AI618" s="74" t="s">
        <v>26234</v>
      </c>
      <c r="AJ618" s="120">
        <v>619.0</v>
      </c>
    </row>
    <row r="619">
      <c r="A619" s="74" t="s">
        <v>26227</v>
      </c>
      <c r="B619" s="74" t="s">
        <v>6876</v>
      </c>
      <c r="C619" s="74" t="s">
        <v>6877</v>
      </c>
      <c r="D619" s="74" t="s">
        <v>8493</v>
      </c>
      <c r="E619" s="146">
        <v>43838.0</v>
      </c>
      <c r="F619" s="74" t="s">
        <v>26236</v>
      </c>
      <c r="G619" s="74">
        <v>59.0</v>
      </c>
      <c r="H619" s="74">
        <v>1.0</v>
      </c>
      <c r="I619" s="74">
        <v>11.0</v>
      </c>
      <c r="J619" s="119"/>
      <c r="K619" s="119"/>
      <c r="L619" s="74" t="s">
        <v>1950</v>
      </c>
      <c r="M619" s="74" t="s">
        <v>1950</v>
      </c>
      <c r="N619" s="133">
        <v>43832.0</v>
      </c>
      <c r="O619" s="74">
        <v>1.0</v>
      </c>
      <c r="P619" s="74">
        <v>1.0</v>
      </c>
      <c r="Q619" s="119"/>
      <c r="R619" s="74" t="s">
        <v>26187</v>
      </c>
      <c r="S619" s="119"/>
      <c r="T619" s="146">
        <v>43831.0</v>
      </c>
      <c r="U619" s="74">
        <v>9999.0</v>
      </c>
      <c r="V619" s="74">
        <v>9999.0</v>
      </c>
      <c r="W619" s="119"/>
      <c r="X619" s="119"/>
      <c r="Y619" s="146">
        <v>43831.0</v>
      </c>
      <c r="Z619" s="74">
        <v>9999.0</v>
      </c>
      <c r="AA619" s="74">
        <v>9999.0</v>
      </c>
      <c r="AB619" s="119"/>
      <c r="AC619" s="119"/>
      <c r="AD619" s="119"/>
      <c r="AE619" s="74">
        <v>1.0</v>
      </c>
      <c r="AF619" s="74" t="s">
        <v>18902</v>
      </c>
      <c r="AG619" s="120">
        <v>7047.0</v>
      </c>
      <c r="AH619" s="74" t="s">
        <v>26245</v>
      </c>
      <c r="AI619" s="74" t="s">
        <v>26246</v>
      </c>
      <c r="AJ619" s="120">
        <v>620.0</v>
      </c>
    </row>
    <row r="620">
      <c r="A620" s="74" t="s">
        <v>26236</v>
      </c>
      <c r="B620" s="74" t="s">
        <v>6876</v>
      </c>
      <c r="C620" s="74" t="s">
        <v>6877</v>
      </c>
      <c r="D620" s="74" t="s">
        <v>8493</v>
      </c>
      <c r="E620" s="146">
        <v>43838.0</v>
      </c>
      <c r="F620" s="74" t="s">
        <v>26249</v>
      </c>
      <c r="G620" s="74">
        <v>59.0</v>
      </c>
      <c r="H620" s="74">
        <v>1.0</v>
      </c>
      <c r="I620" s="74">
        <v>11.0</v>
      </c>
      <c r="J620" s="119"/>
      <c r="K620" s="119"/>
      <c r="L620" s="74" t="s">
        <v>1960</v>
      </c>
      <c r="M620" s="74" t="s">
        <v>1960</v>
      </c>
      <c r="N620" s="133">
        <v>43832.0</v>
      </c>
      <c r="O620" s="74">
        <v>1.0</v>
      </c>
      <c r="P620" s="74">
        <v>1.0</v>
      </c>
      <c r="Q620" s="119"/>
      <c r="R620" s="74" t="s">
        <v>26187</v>
      </c>
      <c r="S620" s="119"/>
      <c r="T620" s="146">
        <v>43831.0</v>
      </c>
      <c r="U620" s="74">
        <v>29.02</v>
      </c>
      <c r="V620" s="74">
        <v>28.19</v>
      </c>
      <c r="W620" s="119"/>
      <c r="X620" s="119"/>
      <c r="Y620" s="146">
        <v>43831.0</v>
      </c>
      <c r="Z620" s="74">
        <v>38.16</v>
      </c>
      <c r="AA620" s="74">
        <v>36.7</v>
      </c>
      <c r="AB620" s="119"/>
      <c r="AC620" s="119"/>
      <c r="AD620" s="119"/>
      <c r="AE620" s="74">
        <v>1.0</v>
      </c>
      <c r="AF620" s="74" t="s">
        <v>18902</v>
      </c>
      <c r="AG620" s="120">
        <v>7048.0</v>
      </c>
      <c r="AH620" s="74" t="s">
        <v>26257</v>
      </c>
      <c r="AI620" s="74" t="s">
        <v>26258</v>
      </c>
      <c r="AJ620" s="120">
        <v>621.0</v>
      </c>
    </row>
    <row r="621">
      <c r="A621" s="74" t="s">
        <v>26249</v>
      </c>
      <c r="B621" s="74" t="s">
        <v>6876</v>
      </c>
      <c r="C621" s="74" t="s">
        <v>6877</v>
      </c>
      <c r="D621" s="74" t="s">
        <v>8493</v>
      </c>
      <c r="E621" s="146">
        <v>43838.0</v>
      </c>
      <c r="F621" s="74" t="s">
        <v>26262</v>
      </c>
      <c r="G621" s="74">
        <v>59.0</v>
      </c>
      <c r="H621" s="74">
        <v>1.0</v>
      </c>
      <c r="I621" s="74">
        <v>11.0</v>
      </c>
      <c r="J621" s="119"/>
      <c r="K621" s="119"/>
      <c r="L621" s="74" t="s">
        <v>1963</v>
      </c>
      <c r="M621" s="74" t="s">
        <v>1963</v>
      </c>
      <c r="N621" s="133">
        <v>43832.0</v>
      </c>
      <c r="O621" s="74">
        <v>1.0</v>
      </c>
      <c r="P621" s="74">
        <v>1.0</v>
      </c>
      <c r="Q621" s="119"/>
      <c r="R621" s="74" t="s">
        <v>26187</v>
      </c>
      <c r="S621" s="119"/>
      <c r="T621" s="146">
        <v>43831.0</v>
      </c>
      <c r="U621" s="74">
        <v>24.1</v>
      </c>
      <c r="V621" s="74">
        <v>24.35</v>
      </c>
      <c r="W621" s="119"/>
      <c r="X621" s="119"/>
      <c r="Y621" s="146">
        <v>43831.0</v>
      </c>
      <c r="Z621" s="74">
        <v>34.13</v>
      </c>
      <c r="AA621" s="74">
        <v>34.15</v>
      </c>
      <c r="AB621" s="119"/>
      <c r="AC621" s="119"/>
      <c r="AD621" s="119"/>
      <c r="AE621" s="74">
        <v>1.0</v>
      </c>
      <c r="AF621" s="74" t="s">
        <v>18902</v>
      </c>
      <c r="AG621" s="120">
        <v>7049.0</v>
      </c>
      <c r="AH621" s="74" t="s">
        <v>26267</v>
      </c>
      <c r="AI621" s="74" t="s">
        <v>26268</v>
      </c>
      <c r="AJ621" s="120">
        <v>622.0</v>
      </c>
    </row>
    <row r="622">
      <c r="A622" s="74" t="s">
        <v>26270</v>
      </c>
      <c r="B622" s="74" t="s">
        <v>6876</v>
      </c>
      <c r="C622" s="74" t="s">
        <v>6877</v>
      </c>
      <c r="D622" s="74" t="s">
        <v>8493</v>
      </c>
      <c r="E622" s="146">
        <v>43838.0</v>
      </c>
      <c r="F622" s="74" t="s">
        <v>26271</v>
      </c>
      <c r="G622" s="74">
        <v>59.0</v>
      </c>
      <c r="H622" s="74">
        <v>1.0</v>
      </c>
      <c r="I622" s="74">
        <v>11.0</v>
      </c>
      <c r="J622" s="119"/>
      <c r="K622" s="119"/>
      <c r="L622" s="74" t="s">
        <v>1966</v>
      </c>
      <c r="M622" s="74" t="s">
        <v>1966</v>
      </c>
      <c r="N622" s="133">
        <v>43832.0</v>
      </c>
      <c r="O622" s="74">
        <v>1.0</v>
      </c>
      <c r="P622" s="74">
        <v>1.0</v>
      </c>
      <c r="Q622" s="119"/>
      <c r="R622" s="74" t="s">
        <v>26187</v>
      </c>
      <c r="S622" s="119"/>
      <c r="T622" s="146">
        <v>43831.0</v>
      </c>
      <c r="U622" s="74">
        <v>25.65</v>
      </c>
      <c r="V622" s="74">
        <v>25.64</v>
      </c>
      <c r="W622" s="119"/>
      <c r="X622" s="119"/>
      <c r="Y622" s="146">
        <v>43831.0</v>
      </c>
      <c r="Z622" s="74">
        <v>37.16</v>
      </c>
      <c r="AA622" s="74">
        <v>38.82</v>
      </c>
      <c r="AB622" s="119"/>
      <c r="AC622" s="119"/>
      <c r="AD622" s="119"/>
      <c r="AE622" s="74">
        <v>1.0</v>
      </c>
      <c r="AF622" s="74" t="s">
        <v>18902</v>
      </c>
      <c r="AG622" s="120">
        <v>7050.0</v>
      </c>
      <c r="AH622" s="74" t="s">
        <v>26277</v>
      </c>
      <c r="AI622" s="74" t="s">
        <v>26279</v>
      </c>
      <c r="AJ622" s="120">
        <v>623.0</v>
      </c>
    </row>
    <row r="623">
      <c r="A623" s="74" t="s">
        <v>26271</v>
      </c>
      <c r="B623" s="74" t="s">
        <v>6876</v>
      </c>
      <c r="C623" s="74" t="s">
        <v>6877</v>
      </c>
      <c r="D623" s="74" t="s">
        <v>8493</v>
      </c>
      <c r="E623" s="146">
        <v>43838.0</v>
      </c>
      <c r="F623" s="74" t="s">
        <v>26282</v>
      </c>
      <c r="G623" s="74">
        <v>59.0</v>
      </c>
      <c r="H623" s="74">
        <v>1.0</v>
      </c>
      <c r="I623" s="74">
        <v>11.0</v>
      </c>
      <c r="J623" s="119"/>
      <c r="K623" s="119"/>
      <c r="L623" s="74" t="s">
        <v>1969</v>
      </c>
      <c r="M623" s="74" t="s">
        <v>1969</v>
      </c>
      <c r="N623" s="133">
        <v>43832.0</v>
      </c>
      <c r="O623" s="74">
        <v>1.0</v>
      </c>
      <c r="P623" s="74">
        <v>1.0</v>
      </c>
      <c r="Q623" s="119"/>
      <c r="R623" s="74" t="s">
        <v>26187</v>
      </c>
      <c r="S623" s="119"/>
      <c r="T623" s="146">
        <v>43831.0</v>
      </c>
      <c r="U623" s="74">
        <v>29.26</v>
      </c>
      <c r="V623" s="74">
        <v>27.35</v>
      </c>
      <c r="W623" s="119"/>
      <c r="X623" s="119"/>
      <c r="Y623" s="146">
        <v>43831.0</v>
      </c>
      <c r="Z623" s="74">
        <v>40.0</v>
      </c>
      <c r="AA623" s="74">
        <v>40.0</v>
      </c>
      <c r="AB623" s="119"/>
      <c r="AC623" s="119"/>
      <c r="AD623" s="119"/>
      <c r="AE623" s="74">
        <v>1.0</v>
      </c>
      <c r="AF623" s="74" t="s">
        <v>18902</v>
      </c>
      <c r="AG623" s="120">
        <v>7051.0</v>
      </c>
      <c r="AH623" s="74" t="s">
        <v>26288</v>
      </c>
      <c r="AI623" s="74" t="s">
        <v>26290</v>
      </c>
      <c r="AJ623" s="120">
        <v>624.0</v>
      </c>
    </row>
    <row r="624">
      <c r="A624" s="74" t="s">
        <v>26282</v>
      </c>
      <c r="B624" s="74" t="s">
        <v>6876</v>
      </c>
      <c r="C624" s="74" t="s">
        <v>6877</v>
      </c>
      <c r="D624" s="74" t="s">
        <v>8493</v>
      </c>
      <c r="E624" s="146">
        <v>43838.0</v>
      </c>
      <c r="F624" s="74" t="s">
        <v>26292</v>
      </c>
      <c r="G624" s="74">
        <v>66.0</v>
      </c>
      <c r="H624" s="74">
        <v>1.0</v>
      </c>
      <c r="I624" s="74">
        <v>12.0</v>
      </c>
      <c r="J624" s="119"/>
      <c r="K624" s="119"/>
      <c r="L624" s="74" t="s">
        <v>1953</v>
      </c>
      <c r="M624" s="74" t="s">
        <v>1953</v>
      </c>
      <c r="N624" s="133">
        <v>43832.0</v>
      </c>
      <c r="O624" s="74">
        <v>1.0</v>
      </c>
      <c r="P624" s="74">
        <v>1.0</v>
      </c>
      <c r="Q624" s="119"/>
      <c r="R624" s="74" t="s">
        <v>26187</v>
      </c>
      <c r="S624" s="119"/>
      <c r="T624" s="146">
        <v>43831.0</v>
      </c>
      <c r="U624" s="74">
        <v>21.79</v>
      </c>
      <c r="V624" s="74">
        <v>22.11</v>
      </c>
      <c r="W624" s="119"/>
      <c r="X624" s="119"/>
      <c r="Y624" s="146">
        <v>43831.0</v>
      </c>
      <c r="Z624" s="74">
        <v>31.65</v>
      </c>
      <c r="AA624" s="74">
        <v>32.17</v>
      </c>
      <c r="AB624" s="119"/>
      <c r="AC624" s="119"/>
      <c r="AD624" s="119"/>
      <c r="AE624" s="74">
        <v>1.0</v>
      </c>
      <c r="AF624" s="74" t="s">
        <v>18902</v>
      </c>
      <c r="AG624" s="120">
        <v>7052.0</v>
      </c>
      <c r="AH624" s="74" t="s">
        <v>26297</v>
      </c>
      <c r="AI624" s="74" t="s">
        <v>26298</v>
      </c>
      <c r="AJ624" s="120">
        <v>625.0</v>
      </c>
    </row>
    <row r="625">
      <c r="A625" s="74" t="s">
        <v>26292</v>
      </c>
      <c r="B625" s="74" t="s">
        <v>6876</v>
      </c>
      <c r="C625" s="74" t="s">
        <v>6877</v>
      </c>
      <c r="D625" s="74" t="s">
        <v>8493</v>
      </c>
      <c r="E625" s="146">
        <v>43838.0</v>
      </c>
      <c r="F625" s="74" t="s">
        <v>26300</v>
      </c>
      <c r="G625" s="74">
        <v>59.0</v>
      </c>
      <c r="H625" s="74">
        <v>1.0</v>
      </c>
      <c r="I625" s="74">
        <v>12.0</v>
      </c>
      <c r="J625" s="119"/>
      <c r="K625" s="119"/>
      <c r="L625" s="74" t="s">
        <v>1956</v>
      </c>
      <c r="M625" s="74" t="s">
        <v>1956</v>
      </c>
      <c r="N625" s="133">
        <v>43832.0</v>
      </c>
      <c r="O625" s="74">
        <v>1.0</v>
      </c>
      <c r="P625" s="74">
        <v>1.0</v>
      </c>
      <c r="Q625" s="119"/>
      <c r="R625" s="74" t="s">
        <v>26187</v>
      </c>
      <c r="S625" s="119"/>
      <c r="T625" s="146">
        <v>43831.0</v>
      </c>
      <c r="U625" s="74">
        <v>25.65</v>
      </c>
      <c r="V625" s="74">
        <v>25.57</v>
      </c>
      <c r="W625" s="119"/>
      <c r="X625" s="119"/>
      <c r="Y625" s="146">
        <v>43831.0</v>
      </c>
      <c r="Z625" s="74">
        <v>9999.0</v>
      </c>
      <c r="AA625" s="74">
        <v>36.94</v>
      </c>
      <c r="AB625" s="119"/>
      <c r="AC625" s="119"/>
      <c r="AD625" s="119"/>
      <c r="AE625" s="74">
        <v>1.0</v>
      </c>
      <c r="AF625" s="74" t="s">
        <v>18902</v>
      </c>
      <c r="AG625" s="120">
        <v>7053.0</v>
      </c>
      <c r="AH625" s="74" t="s">
        <v>26307</v>
      </c>
      <c r="AI625" s="74" t="s">
        <v>26308</v>
      </c>
      <c r="AJ625" s="120">
        <v>626.0</v>
      </c>
    </row>
    <row r="626">
      <c r="A626" s="74" t="s">
        <v>26300</v>
      </c>
      <c r="B626" s="74" t="s">
        <v>6876</v>
      </c>
      <c r="C626" s="74" t="s">
        <v>6877</v>
      </c>
      <c r="D626" s="74" t="s">
        <v>8493</v>
      </c>
      <c r="E626" s="146">
        <v>43838.0</v>
      </c>
      <c r="F626" s="74" t="s">
        <v>26311</v>
      </c>
      <c r="G626" s="74">
        <v>59.0</v>
      </c>
      <c r="H626" s="74">
        <v>1.0</v>
      </c>
      <c r="I626" s="74">
        <v>16.0</v>
      </c>
      <c r="J626" s="119"/>
      <c r="K626" s="119"/>
      <c r="L626" s="74" t="s">
        <v>1982</v>
      </c>
      <c r="M626" s="74" t="s">
        <v>1982</v>
      </c>
      <c r="N626" s="133">
        <v>43832.0</v>
      </c>
      <c r="O626" s="74">
        <v>1.0</v>
      </c>
      <c r="P626" s="74">
        <v>1.0</v>
      </c>
      <c r="Q626" s="119"/>
      <c r="R626" s="74" t="s">
        <v>26187</v>
      </c>
      <c r="S626" s="119"/>
      <c r="T626" s="146">
        <v>43831.0</v>
      </c>
      <c r="U626" s="74">
        <v>31.57</v>
      </c>
      <c r="V626" s="74">
        <v>31.16</v>
      </c>
      <c r="W626" s="119"/>
      <c r="X626" s="119"/>
      <c r="Y626" s="146">
        <v>43831.0</v>
      </c>
      <c r="Z626" s="74">
        <v>9999.0</v>
      </c>
      <c r="AA626" s="74">
        <v>9999.0</v>
      </c>
      <c r="AB626" s="119"/>
      <c r="AC626" s="119"/>
      <c r="AD626" s="119"/>
      <c r="AE626" s="74">
        <v>1.0</v>
      </c>
      <c r="AF626" s="74" t="s">
        <v>18902</v>
      </c>
      <c r="AG626" s="120">
        <v>7054.0</v>
      </c>
      <c r="AH626" s="74" t="s">
        <v>26317</v>
      </c>
      <c r="AI626" s="74" t="s">
        <v>26318</v>
      </c>
      <c r="AJ626" s="120">
        <v>627.0</v>
      </c>
    </row>
    <row r="627">
      <c r="A627" s="74" t="s">
        <v>26319</v>
      </c>
      <c r="B627" s="74" t="s">
        <v>6876</v>
      </c>
      <c r="C627" s="74" t="s">
        <v>6877</v>
      </c>
      <c r="D627" s="74" t="s">
        <v>8493</v>
      </c>
      <c r="E627" s="146">
        <v>43838.0</v>
      </c>
      <c r="F627" s="74" t="s">
        <v>26321</v>
      </c>
      <c r="G627" s="74">
        <v>59.0</v>
      </c>
      <c r="H627" s="74">
        <v>1.0</v>
      </c>
      <c r="I627" s="74">
        <v>99.0</v>
      </c>
      <c r="J627" s="119"/>
      <c r="K627" s="119"/>
      <c r="L627" s="74" t="s">
        <v>1944</v>
      </c>
      <c r="M627" s="74" t="s">
        <v>1944</v>
      </c>
      <c r="N627" s="133">
        <v>43832.0</v>
      </c>
      <c r="O627" s="74">
        <v>1.0</v>
      </c>
      <c r="P627" s="74">
        <v>1.0</v>
      </c>
      <c r="Q627" s="119"/>
      <c r="R627" s="74" t="s">
        <v>26187</v>
      </c>
      <c r="S627" s="119"/>
      <c r="T627" s="146">
        <v>43831.0</v>
      </c>
      <c r="U627" s="74">
        <v>9999.0</v>
      </c>
      <c r="V627" s="74">
        <v>9999.0</v>
      </c>
      <c r="W627" s="119"/>
      <c r="X627" s="119"/>
      <c r="Y627" s="146">
        <v>43831.0</v>
      </c>
      <c r="Z627" s="74">
        <v>9999.0</v>
      </c>
      <c r="AA627" s="74">
        <v>9999.0</v>
      </c>
      <c r="AB627" s="119"/>
      <c r="AC627" s="119"/>
      <c r="AD627" s="74" t="s">
        <v>20476</v>
      </c>
      <c r="AE627" s="74">
        <v>1.0</v>
      </c>
      <c r="AF627" s="74" t="s">
        <v>18902</v>
      </c>
      <c r="AG627" s="120">
        <v>7055.0</v>
      </c>
      <c r="AH627" s="74" t="s">
        <v>26325</v>
      </c>
      <c r="AI627" s="74" t="s">
        <v>26326</v>
      </c>
      <c r="AJ627" s="120">
        <v>628.0</v>
      </c>
    </row>
    <row r="628">
      <c r="A628" s="74" t="s">
        <v>26321</v>
      </c>
      <c r="B628" s="74" t="s">
        <v>6876</v>
      </c>
      <c r="C628" s="74" t="s">
        <v>6877</v>
      </c>
      <c r="D628" s="74" t="s">
        <v>8493</v>
      </c>
      <c r="E628" s="146">
        <v>43838.0</v>
      </c>
      <c r="F628" s="74" t="s">
        <v>26330</v>
      </c>
      <c r="G628" s="74">
        <v>59.0</v>
      </c>
      <c r="H628" s="74">
        <v>1.0</v>
      </c>
      <c r="I628" s="74">
        <v>99.0</v>
      </c>
      <c r="J628" s="119"/>
      <c r="K628" s="119"/>
      <c r="L628" s="74" t="s">
        <v>1948</v>
      </c>
      <c r="M628" s="74" t="s">
        <v>1948</v>
      </c>
      <c r="N628" s="133">
        <v>43832.0</v>
      </c>
      <c r="O628" s="74">
        <v>1.0</v>
      </c>
      <c r="P628" s="74">
        <v>1.0</v>
      </c>
      <c r="Q628" s="119"/>
      <c r="R628" s="74" t="s">
        <v>26187</v>
      </c>
      <c r="S628" s="119"/>
      <c r="T628" s="146">
        <v>43831.0</v>
      </c>
      <c r="U628" s="74">
        <v>9999.0</v>
      </c>
      <c r="V628" s="74">
        <v>9999.0</v>
      </c>
      <c r="W628" s="119"/>
      <c r="X628" s="119"/>
      <c r="Y628" s="146">
        <v>43831.0</v>
      </c>
      <c r="Z628" s="74">
        <v>9999.0</v>
      </c>
      <c r="AA628" s="74">
        <v>9999.0</v>
      </c>
      <c r="AB628" s="119"/>
      <c r="AC628" s="119"/>
      <c r="AD628" s="74" t="s">
        <v>26335</v>
      </c>
      <c r="AE628" s="74">
        <v>1.0</v>
      </c>
      <c r="AF628" s="74" t="s">
        <v>18902</v>
      </c>
      <c r="AG628" s="120">
        <v>7056.0</v>
      </c>
      <c r="AH628" s="74" t="s">
        <v>26338</v>
      </c>
      <c r="AI628" s="74" t="s">
        <v>26339</v>
      </c>
      <c r="AJ628" s="120">
        <v>629.0</v>
      </c>
    </row>
    <row r="629">
      <c r="A629" s="74" t="s">
        <v>26330</v>
      </c>
      <c r="B629" s="74" t="s">
        <v>6876</v>
      </c>
      <c r="C629" s="74" t="s">
        <v>6877</v>
      </c>
      <c r="D629" s="74" t="s">
        <v>8493</v>
      </c>
      <c r="E629" s="146">
        <v>43838.0</v>
      </c>
      <c r="F629" s="74" t="s">
        <v>26341</v>
      </c>
      <c r="G629" s="74">
        <v>59.0</v>
      </c>
      <c r="H629" s="74">
        <v>1.0</v>
      </c>
      <c r="I629" s="74">
        <v>99.0</v>
      </c>
      <c r="J629" s="119"/>
      <c r="K629" s="119"/>
      <c r="L629" s="74" t="s">
        <v>1964</v>
      </c>
      <c r="M629" s="74" t="s">
        <v>1964</v>
      </c>
      <c r="N629" s="133">
        <v>43832.0</v>
      </c>
      <c r="O629" s="74">
        <v>1.0</v>
      </c>
      <c r="P629" s="74">
        <v>1.0</v>
      </c>
      <c r="Q629" s="119"/>
      <c r="R629" s="74" t="s">
        <v>26187</v>
      </c>
      <c r="S629" s="119"/>
      <c r="T629" s="146">
        <v>43831.0</v>
      </c>
      <c r="U629" s="74">
        <v>9999.0</v>
      </c>
      <c r="V629" s="74">
        <v>9999.0</v>
      </c>
      <c r="W629" s="119"/>
      <c r="X629" s="119"/>
      <c r="Y629" s="146">
        <v>43831.0</v>
      </c>
      <c r="Z629" s="74">
        <v>9999.0</v>
      </c>
      <c r="AA629" s="74">
        <v>9999.0</v>
      </c>
      <c r="AB629" s="119"/>
      <c r="AC629" s="119"/>
      <c r="AD629" s="74" t="s">
        <v>20549</v>
      </c>
      <c r="AE629" s="74">
        <v>1.0</v>
      </c>
      <c r="AF629" s="74" t="s">
        <v>18902</v>
      </c>
      <c r="AG629" s="120">
        <v>7057.0</v>
      </c>
      <c r="AH629" s="74" t="s">
        <v>26346</v>
      </c>
      <c r="AI629" s="74" t="s">
        <v>26347</v>
      </c>
      <c r="AJ629" s="120">
        <v>630.0</v>
      </c>
    </row>
    <row r="630">
      <c r="A630" s="74" t="s">
        <v>26341</v>
      </c>
      <c r="B630" s="74" t="s">
        <v>6876</v>
      </c>
      <c r="C630" s="74" t="s">
        <v>6877</v>
      </c>
      <c r="D630" s="74" t="s">
        <v>8493</v>
      </c>
      <c r="E630" s="146">
        <v>43838.0</v>
      </c>
      <c r="F630" s="74" t="s">
        <v>26349</v>
      </c>
      <c r="G630" s="74">
        <v>59.0</v>
      </c>
      <c r="H630" s="74">
        <v>1.0</v>
      </c>
      <c r="I630" s="74">
        <v>98.0</v>
      </c>
      <c r="J630" s="119"/>
      <c r="K630" s="119"/>
      <c r="L630" s="74" t="s">
        <v>1946</v>
      </c>
      <c r="M630" s="74" t="s">
        <v>1946</v>
      </c>
      <c r="N630" s="133">
        <v>43832.0</v>
      </c>
      <c r="O630" s="74">
        <v>1.0</v>
      </c>
      <c r="P630" s="74">
        <v>1.0</v>
      </c>
      <c r="Q630" s="119"/>
      <c r="R630" s="74" t="s">
        <v>26187</v>
      </c>
      <c r="S630" s="119"/>
      <c r="T630" s="146">
        <v>43831.0</v>
      </c>
      <c r="U630" s="74">
        <v>9999.0</v>
      </c>
      <c r="V630" s="74">
        <v>9999.0</v>
      </c>
      <c r="W630" s="119"/>
      <c r="X630" s="119"/>
      <c r="Y630" s="146">
        <v>43831.0</v>
      </c>
      <c r="Z630" s="74">
        <v>9999.0</v>
      </c>
      <c r="AA630" s="74">
        <v>9999.0</v>
      </c>
      <c r="AB630" s="119"/>
      <c r="AC630" s="119"/>
      <c r="AD630" s="119"/>
      <c r="AE630" s="74">
        <v>1.0</v>
      </c>
      <c r="AF630" s="74" t="s">
        <v>18902</v>
      </c>
      <c r="AG630" s="120">
        <v>7058.0</v>
      </c>
      <c r="AH630" s="74" t="s">
        <v>26354</v>
      </c>
      <c r="AI630" s="74" t="s">
        <v>26355</v>
      </c>
      <c r="AJ630" s="120">
        <v>631.0</v>
      </c>
    </row>
    <row r="631">
      <c r="A631" s="74" t="s">
        <v>26349</v>
      </c>
      <c r="B631" s="74" t="s">
        <v>6876</v>
      </c>
      <c r="C631" s="74" t="s">
        <v>6877</v>
      </c>
      <c r="D631" s="74" t="s">
        <v>8493</v>
      </c>
      <c r="E631" s="146">
        <v>43838.0</v>
      </c>
      <c r="F631" s="74" t="s">
        <v>26359</v>
      </c>
      <c r="G631" s="74">
        <v>55.0</v>
      </c>
      <c r="H631" s="74">
        <v>1.0</v>
      </c>
      <c r="I631" s="74">
        <v>12.0</v>
      </c>
      <c r="J631" s="119"/>
      <c r="K631" s="119"/>
      <c r="L631" s="74" t="s">
        <v>1973</v>
      </c>
      <c r="M631" s="74" t="s">
        <v>1973</v>
      </c>
      <c r="N631" s="133">
        <v>43832.0</v>
      </c>
      <c r="O631" s="74">
        <v>1.0</v>
      </c>
      <c r="P631" s="74">
        <v>1.0</v>
      </c>
      <c r="Q631" s="119"/>
      <c r="R631" s="74" t="s">
        <v>26187</v>
      </c>
      <c r="S631" s="119"/>
      <c r="T631" s="146">
        <v>43831.0</v>
      </c>
      <c r="U631" s="74">
        <v>9999.0</v>
      </c>
      <c r="V631" s="74">
        <v>22.38</v>
      </c>
      <c r="W631" s="119"/>
      <c r="X631" s="119"/>
      <c r="Y631" s="146">
        <v>43831.0</v>
      </c>
      <c r="Z631" s="74">
        <v>33.69</v>
      </c>
      <c r="AA631" s="74">
        <v>33.53</v>
      </c>
      <c r="AB631" s="119"/>
      <c r="AC631" s="119"/>
      <c r="AD631" s="119"/>
      <c r="AE631" s="74">
        <v>1.0</v>
      </c>
      <c r="AF631" s="74" t="s">
        <v>18902</v>
      </c>
      <c r="AG631" s="120">
        <v>7059.0</v>
      </c>
      <c r="AH631" s="74" t="s">
        <v>26365</v>
      </c>
      <c r="AI631" s="74" t="s">
        <v>26367</v>
      </c>
      <c r="AJ631" s="120">
        <v>632.0</v>
      </c>
    </row>
    <row r="632">
      <c r="A632" s="74" t="s">
        <v>26368</v>
      </c>
      <c r="B632" s="74" t="s">
        <v>6876</v>
      </c>
      <c r="C632" s="74" t="s">
        <v>6877</v>
      </c>
      <c r="D632" s="74" t="s">
        <v>8493</v>
      </c>
      <c r="E632" s="146">
        <v>43838.0</v>
      </c>
      <c r="F632" s="74" t="s">
        <v>26370</v>
      </c>
      <c r="G632" s="74">
        <v>57.0</v>
      </c>
      <c r="H632" s="74">
        <v>1.0</v>
      </c>
      <c r="I632" s="74">
        <v>12.0</v>
      </c>
      <c r="J632" s="119"/>
      <c r="K632" s="119"/>
      <c r="L632" s="74" t="s">
        <v>1976</v>
      </c>
      <c r="M632" s="74" t="s">
        <v>1976</v>
      </c>
      <c r="N632" s="133">
        <v>43832.0</v>
      </c>
      <c r="O632" s="74">
        <v>1.0</v>
      </c>
      <c r="P632" s="74">
        <v>1.0</v>
      </c>
      <c r="Q632" s="119"/>
      <c r="R632" s="74" t="s">
        <v>26187</v>
      </c>
      <c r="S632" s="119"/>
      <c r="T632" s="146">
        <v>43831.0</v>
      </c>
      <c r="U632" s="74">
        <v>9999.0</v>
      </c>
      <c r="V632" s="74">
        <v>24.22</v>
      </c>
      <c r="W632" s="119"/>
      <c r="X632" s="119"/>
      <c r="Y632" s="146">
        <v>43831.0</v>
      </c>
      <c r="Z632" s="74">
        <v>9999.0</v>
      </c>
      <c r="AA632" s="74">
        <v>9999.0</v>
      </c>
      <c r="AB632" s="119"/>
      <c r="AC632" s="119"/>
      <c r="AD632" s="119"/>
      <c r="AE632" s="74">
        <v>1.0</v>
      </c>
      <c r="AF632" s="74" t="s">
        <v>18902</v>
      </c>
      <c r="AG632" s="120">
        <v>7060.0</v>
      </c>
      <c r="AH632" s="74" t="s">
        <v>26378</v>
      </c>
      <c r="AI632" s="74" t="s">
        <v>26379</v>
      </c>
      <c r="AJ632" s="120">
        <v>633.0</v>
      </c>
    </row>
    <row r="633">
      <c r="A633" s="74" t="s">
        <v>26370</v>
      </c>
      <c r="B633" s="74" t="s">
        <v>6876</v>
      </c>
      <c r="C633" s="74" t="s">
        <v>6877</v>
      </c>
      <c r="D633" s="74" t="s">
        <v>8493</v>
      </c>
      <c r="E633" s="146">
        <v>43838.0</v>
      </c>
      <c r="F633" s="74" t="s">
        <v>26382</v>
      </c>
      <c r="G633" s="74">
        <v>57.0</v>
      </c>
      <c r="H633" s="74">
        <v>1.0</v>
      </c>
      <c r="I633" s="74">
        <v>12.0</v>
      </c>
      <c r="J633" s="119"/>
      <c r="K633" s="119"/>
      <c r="L633" s="74" t="s">
        <v>1979</v>
      </c>
      <c r="M633" s="74" t="s">
        <v>1979</v>
      </c>
      <c r="N633" s="133">
        <v>43832.0</v>
      </c>
      <c r="O633" s="74">
        <v>1.0</v>
      </c>
      <c r="P633" s="74">
        <v>1.0</v>
      </c>
      <c r="Q633" s="119"/>
      <c r="R633" s="74" t="s">
        <v>26187</v>
      </c>
      <c r="S633" s="119"/>
      <c r="T633" s="146">
        <v>43831.0</v>
      </c>
      <c r="U633" s="74">
        <v>9999.0</v>
      </c>
      <c r="V633" s="74">
        <v>22.29</v>
      </c>
      <c r="W633" s="119"/>
      <c r="X633" s="119"/>
      <c r="Y633" s="146">
        <v>43831.0</v>
      </c>
      <c r="Z633" s="74">
        <v>9999.0</v>
      </c>
      <c r="AA633" s="74">
        <v>9999.0</v>
      </c>
      <c r="AB633" s="119"/>
      <c r="AC633" s="119"/>
      <c r="AD633" s="119"/>
      <c r="AE633" s="74">
        <v>1.0</v>
      </c>
      <c r="AF633" s="74" t="s">
        <v>18902</v>
      </c>
      <c r="AG633" s="120">
        <v>7061.0</v>
      </c>
      <c r="AH633" s="74" t="s">
        <v>26387</v>
      </c>
      <c r="AI633" s="74" t="s">
        <v>26388</v>
      </c>
      <c r="AJ633" s="120">
        <v>634.0</v>
      </c>
    </row>
    <row r="634">
      <c r="A634" s="74" t="s">
        <v>26382</v>
      </c>
      <c r="B634" s="74" t="s">
        <v>6876</v>
      </c>
      <c r="C634" s="74" t="s">
        <v>6877</v>
      </c>
      <c r="D634" s="74" t="s">
        <v>8493</v>
      </c>
      <c r="E634" s="146">
        <v>43838.0</v>
      </c>
      <c r="F634" s="74" t="s">
        <v>26390</v>
      </c>
      <c r="G634" s="74">
        <v>59.0</v>
      </c>
      <c r="H634" s="74">
        <v>1.0</v>
      </c>
      <c r="I634" s="74">
        <v>16.0</v>
      </c>
      <c r="J634" s="119"/>
      <c r="K634" s="119"/>
      <c r="L634" s="74" t="s">
        <v>1983</v>
      </c>
      <c r="M634" s="74" t="s">
        <v>1983</v>
      </c>
      <c r="N634" s="133">
        <v>43832.0</v>
      </c>
      <c r="O634" s="74">
        <v>1.0</v>
      </c>
      <c r="P634" s="74">
        <v>1.0</v>
      </c>
      <c r="Q634" s="119"/>
      <c r="R634" s="74" t="s">
        <v>26187</v>
      </c>
      <c r="S634" s="119"/>
      <c r="T634" s="146">
        <v>43831.0</v>
      </c>
      <c r="U634" s="74">
        <v>23.95</v>
      </c>
      <c r="V634" s="74">
        <v>23.24</v>
      </c>
      <c r="W634" s="119"/>
      <c r="X634" s="119"/>
      <c r="Y634" s="146">
        <v>43831.0</v>
      </c>
      <c r="Z634" s="74">
        <v>9999.0</v>
      </c>
      <c r="AA634" s="74">
        <v>9999.0</v>
      </c>
      <c r="AB634" s="119"/>
      <c r="AC634" s="119"/>
      <c r="AD634" s="119"/>
      <c r="AE634" s="74">
        <v>1.0</v>
      </c>
      <c r="AF634" s="74" t="s">
        <v>18902</v>
      </c>
      <c r="AG634" s="120">
        <v>7062.0</v>
      </c>
      <c r="AH634" s="74" t="s">
        <v>26396</v>
      </c>
      <c r="AI634" s="74" t="s">
        <v>26398</v>
      </c>
      <c r="AJ634" s="120">
        <v>635.0</v>
      </c>
    </row>
    <row r="635">
      <c r="A635" s="74" t="s">
        <v>26390</v>
      </c>
      <c r="B635" s="74" t="s">
        <v>6876</v>
      </c>
      <c r="C635" s="74" t="s">
        <v>6877</v>
      </c>
      <c r="D635" s="74" t="s">
        <v>8493</v>
      </c>
      <c r="E635" s="146">
        <v>43838.0</v>
      </c>
      <c r="F635" s="74" t="s">
        <v>26400</v>
      </c>
      <c r="G635" s="74">
        <v>59.0</v>
      </c>
      <c r="H635" s="74">
        <v>1.0</v>
      </c>
      <c r="I635" s="74">
        <v>3.0</v>
      </c>
      <c r="J635" s="119"/>
      <c r="K635" s="119"/>
      <c r="L635" s="74" t="s">
        <v>1985</v>
      </c>
      <c r="M635" s="74" t="s">
        <v>1985</v>
      </c>
      <c r="N635" s="133">
        <v>43832.0</v>
      </c>
      <c r="O635" s="74">
        <v>1.0</v>
      </c>
      <c r="P635" s="74">
        <v>1.0</v>
      </c>
      <c r="Q635" s="119"/>
      <c r="R635" s="74" t="s">
        <v>26187</v>
      </c>
      <c r="S635" s="119"/>
      <c r="T635" s="146">
        <v>43831.0</v>
      </c>
      <c r="U635" s="74">
        <v>35.83</v>
      </c>
      <c r="V635" s="74">
        <v>9999.0</v>
      </c>
      <c r="W635" s="119"/>
      <c r="X635" s="119"/>
      <c r="Y635" s="146">
        <v>43831.0</v>
      </c>
      <c r="Z635" s="74">
        <v>9999.0</v>
      </c>
      <c r="AA635" s="74">
        <v>9999.0</v>
      </c>
      <c r="AB635" s="119"/>
      <c r="AC635" s="119"/>
      <c r="AD635" s="119"/>
      <c r="AE635" s="74">
        <v>1.0</v>
      </c>
      <c r="AF635" s="74" t="s">
        <v>18902</v>
      </c>
      <c r="AG635" s="120">
        <v>7063.0</v>
      </c>
      <c r="AH635" s="74" t="s">
        <v>26407</v>
      </c>
      <c r="AI635" s="74" t="s">
        <v>26408</v>
      </c>
      <c r="AJ635" s="120">
        <v>636.0</v>
      </c>
    </row>
    <row r="636">
      <c r="A636" s="74" t="s">
        <v>26400</v>
      </c>
      <c r="B636" s="74" t="s">
        <v>6876</v>
      </c>
      <c r="C636" s="74" t="s">
        <v>6877</v>
      </c>
      <c r="D636" s="74" t="s">
        <v>8493</v>
      </c>
      <c r="E636" s="146">
        <v>43838.0</v>
      </c>
      <c r="F636" s="74" t="s">
        <v>26411</v>
      </c>
      <c r="G636" s="74">
        <v>55.0</v>
      </c>
      <c r="H636" s="74">
        <v>1.0</v>
      </c>
      <c r="I636" s="74">
        <v>99.0</v>
      </c>
      <c r="J636" s="119"/>
      <c r="K636" s="119"/>
      <c r="L636" s="74" t="s">
        <v>1974</v>
      </c>
      <c r="M636" s="74" t="s">
        <v>1974</v>
      </c>
      <c r="N636" s="133">
        <v>43832.0</v>
      </c>
      <c r="O636" s="74">
        <v>1.0</v>
      </c>
      <c r="P636" s="74">
        <v>1.0</v>
      </c>
      <c r="Q636" s="119"/>
      <c r="R636" s="74" t="s">
        <v>26187</v>
      </c>
      <c r="S636" s="119"/>
      <c r="T636" s="146">
        <v>43831.0</v>
      </c>
      <c r="U636" s="74">
        <v>9999.0</v>
      </c>
      <c r="V636" s="74">
        <v>9999.0</v>
      </c>
      <c r="W636" s="119"/>
      <c r="X636" s="119"/>
      <c r="Y636" s="146">
        <v>43831.0</v>
      </c>
      <c r="Z636" s="74">
        <v>9999.0</v>
      </c>
      <c r="AA636" s="74">
        <v>9999.0</v>
      </c>
      <c r="AB636" s="119"/>
      <c r="AC636" s="119"/>
      <c r="AD636" s="74" t="s">
        <v>20595</v>
      </c>
      <c r="AE636" s="74">
        <v>1.0</v>
      </c>
      <c r="AF636" s="74" t="s">
        <v>18902</v>
      </c>
      <c r="AG636" s="120">
        <v>7064.0</v>
      </c>
      <c r="AH636" s="74" t="s">
        <v>26417</v>
      </c>
      <c r="AI636" s="74" t="s">
        <v>26418</v>
      </c>
      <c r="AJ636" s="120">
        <v>637.0</v>
      </c>
    </row>
    <row r="637">
      <c r="A637" s="74" t="s">
        <v>26419</v>
      </c>
      <c r="B637" s="74" t="s">
        <v>6876</v>
      </c>
      <c r="C637" s="74" t="s">
        <v>6877</v>
      </c>
      <c r="D637" s="74" t="s">
        <v>8493</v>
      </c>
      <c r="E637" s="146">
        <v>43838.0</v>
      </c>
      <c r="F637" s="74" t="s">
        <v>26421</v>
      </c>
      <c r="G637" s="74">
        <v>59.0</v>
      </c>
      <c r="H637" s="74">
        <v>1.0</v>
      </c>
      <c r="I637" s="74">
        <v>99.0</v>
      </c>
      <c r="J637" s="119"/>
      <c r="K637" s="119"/>
      <c r="L637" s="74" t="s">
        <v>1986</v>
      </c>
      <c r="M637" s="74" t="s">
        <v>1986</v>
      </c>
      <c r="N637" s="133">
        <v>43832.0</v>
      </c>
      <c r="O637" s="74">
        <v>1.0</v>
      </c>
      <c r="P637" s="74">
        <v>1.0</v>
      </c>
      <c r="Q637" s="119"/>
      <c r="R637" s="74" t="s">
        <v>26187</v>
      </c>
      <c r="S637" s="119"/>
      <c r="T637" s="146">
        <v>43831.0</v>
      </c>
      <c r="U637" s="74">
        <v>9999.0</v>
      </c>
      <c r="V637" s="74">
        <v>9999.0</v>
      </c>
      <c r="W637" s="119"/>
      <c r="X637" s="119"/>
      <c r="Y637" s="146">
        <v>43831.0</v>
      </c>
      <c r="Z637" s="74">
        <v>9999.0</v>
      </c>
      <c r="AA637" s="74">
        <v>9999.0</v>
      </c>
      <c r="AB637" s="119"/>
      <c r="AC637" s="119"/>
      <c r="AD637" s="74" t="s">
        <v>26426</v>
      </c>
      <c r="AE637" s="74">
        <v>1.0</v>
      </c>
      <c r="AF637" s="74" t="s">
        <v>18902</v>
      </c>
      <c r="AG637" s="120">
        <v>7065.0</v>
      </c>
      <c r="AH637" s="74" t="s">
        <v>26428</v>
      </c>
      <c r="AI637" s="74" t="s">
        <v>26429</v>
      </c>
      <c r="AJ637" s="120">
        <v>638.0</v>
      </c>
    </row>
    <row r="638">
      <c r="A638" s="74" t="s">
        <v>26421</v>
      </c>
      <c r="B638" s="74" t="s">
        <v>6876</v>
      </c>
      <c r="C638" s="74" t="s">
        <v>6877</v>
      </c>
      <c r="D638" s="74" t="s">
        <v>8493</v>
      </c>
      <c r="E638" s="146">
        <v>43838.0</v>
      </c>
      <c r="F638" s="74" t="s">
        <v>26433</v>
      </c>
      <c r="G638" s="74">
        <v>66.0</v>
      </c>
      <c r="H638" s="74">
        <v>1.0</v>
      </c>
      <c r="I638" s="74">
        <v>12.0</v>
      </c>
      <c r="J638" s="119"/>
      <c r="K638" s="119"/>
      <c r="L638" s="74" t="s">
        <v>2003</v>
      </c>
      <c r="M638" s="74" t="s">
        <v>2003</v>
      </c>
      <c r="N638" s="133">
        <v>43832.0</v>
      </c>
      <c r="O638" s="74">
        <v>1.0</v>
      </c>
      <c r="P638" s="74">
        <v>1.0</v>
      </c>
      <c r="Q638" s="119"/>
      <c r="R638" s="74" t="s">
        <v>26187</v>
      </c>
      <c r="S638" s="119"/>
      <c r="T638" s="146">
        <v>43831.0</v>
      </c>
      <c r="U638" s="74">
        <v>9999.0</v>
      </c>
      <c r="V638" s="74">
        <v>9999.0</v>
      </c>
      <c r="W638" s="119"/>
      <c r="X638" s="119"/>
      <c r="Y638" s="146">
        <v>43831.0</v>
      </c>
      <c r="Z638" s="74">
        <v>9999.0</v>
      </c>
      <c r="AA638" s="74">
        <v>9999.0</v>
      </c>
      <c r="AB638" s="119"/>
      <c r="AC638" s="119"/>
      <c r="AD638" s="119"/>
      <c r="AE638" s="74">
        <v>1.0</v>
      </c>
      <c r="AF638" s="74" t="s">
        <v>18902</v>
      </c>
      <c r="AG638" s="120">
        <v>7066.0</v>
      </c>
      <c r="AH638" s="74" t="s">
        <v>26438</v>
      </c>
      <c r="AI638" s="74" t="s">
        <v>26439</v>
      </c>
      <c r="AJ638" s="120">
        <v>639.0</v>
      </c>
    </row>
    <row r="639">
      <c r="A639" s="74" t="s">
        <v>26441</v>
      </c>
      <c r="B639" s="74" t="s">
        <v>6876</v>
      </c>
      <c r="C639" s="74" t="s">
        <v>6877</v>
      </c>
      <c r="D639" s="74" t="s">
        <v>8493</v>
      </c>
      <c r="E639" s="146">
        <v>43844.0</v>
      </c>
      <c r="F639" s="74" t="s">
        <v>26443</v>
      </c>
      <c r="G639" s="74">
        <v>58.0</v>
      </c>
      <c r="H639" s="74">
        <v>1.0</v>
      </c>
      <c r="I639" s="74">
        <v>5.0</v>
      </c>
      <c r="J639" s="119"/>
      <c r="K639" s="119"/>
      <c r="L639" s="74" t="s">
        <v>418</v>
      </c>
      <c r="M639" s="74" t="s">
        <v>418</v>
      </c>
      <c r="N639" s="133">
        <v>43832.0</v>
      </c>
      <c r="O639" s="74">
        <v>1.0</v>
      </c>
      <c r="P639" s="74">
        <v>1.0</v>
      </c>
      <c r="Q639" s="119"/>
      <c r="R639" s="74" t="s">
        <v>26447</v>
      </c>
      <c r="S639" s="119"/>
      <c r="T639" s="146">
        <v>43654.0</v>
      </c>
      <c r="U639" s="74">
        <v>31.66</v>
      </c>
      <c r="V639" s="74">
        <v>9999.0</v>
      </c>
      <c r="W639" s="119"/>
      <c r="X639" s="119"/>
      <c r="Y639" s="146">
        <v>43654.0</v>
      </c>
      <c r="Z639" s="74">
        <v>34.08</v>
      </c>
      <c r="AA639" s="74">
        <v>9999.0</v>
      </c>
      <c r="AB639" s="119"/>
      <c r="AC639" s="119"/>
      <c r="AD639" s="119"/>
      <c r="AE639" s="74">
        <v>1.0</v>
      </c>
      <c r="AF639" s="74" t="s">
        <v>18902</v>
      </c>
      <c r="AG639" s="120">
        <v>7178.0</v>
      </c>
      <c r="AH639" s="74" t="s">
        <v>26450</v>
      </c>
      <c r="AI639" s="74" t="s">
        <v>26451</v>
      </c>
      <c r="AJ639" s="120">
        <v>640.0</v>
      </c>
    </row>
    <row r="640">
      <c r="A640" s="74" t="s">
        <v>26443</v>
      </c>
      <c r="B640" s="74" t="s">
        <v>6876</v>
      </c>
      <c r="C640" s="74" t="s">
        <v>6877</v>
      </c>
      <c r="D640" s="74" t="s">
        <v>8493</v>
      </c>
      <c r="E640" s="146">
        <v>43844.0</v>
      </c>
      <c r="F640" s="74" t="s">
        <v>26452</v>
      </c>
      <c r="G640" s="74">
        <v>58.0</v>
      </c>
      <c r="H640" s="74">
        <v>1.0</v>
      </c>
      <c r="I640" s="74">
        <v>10.0</v>
      </c>
      <c r="J640" s="119"/>
      <c r="K640" s="119"/>
      <c r="L640" s="74" t="s">
        <v>417</v>
      </c>
      <c r="M640" s="74" t="s">
        <v>417</v>
      </c>
      <c r="N640" s="133">
        <v>43832.0</v>
      </c>
      <c r="O640" s="74">
        <v>1.0</v>
      </c>
      <c r="P640" s="74">
        <v>1.0</v>
      </c>
      <c r="Q640" s="119"/>
      <c r="R640" s="74" t="s">
        <v>26456</v>
      </c>
      <c r="S640" s="119"/>
      <c r="T640" s="146">
        <v>43571.0</v>
      </c>
      <c r="U640" s="74">
        <v>9999.0</v>
      </c>
      <c r="V640" s="74">
        <v>9999.0</v>
      </c>
      <c r="W640" s="119"/>
      <c r="X640" s="119"/>
      <c r="Y640" s="146">
        <v>43584.0</v>
      </c>
      <c r="Z640" s="74">
        <v>40.0</v>
      </c>
      <c r="AA640" s="74">
        <v>38.47</v>
      </c>
      <c r="AB640" s="119"/>
      <c r="AC640" s="119"/>
      <c r="AD640" s="119"/>
      <c r="AE640" s="74">
        <v>1.0</v>
      </c>
      <c r="AF640" s="74" t="s">
        <v>18902</v>
      </c>
      <c r="AG640" s="120">
        <v>7179.0</v>
      </c>
      <c r="AH640" s="74" t="s">
        <v>26459</v>
      </c>
      <c r="AI640" s="74" t="s">
        <v>26461</v>
      </c>
      <c r="AJ640" s="120">
        <v>641.0</v>
      </c>
    </row>
    <row r="641">
      <c r="A641" s="74" t="s">
        <v>26452</v>
      </c>
      <c r="B641" s="74" t="s">
        <v>6876</v>
      </c>
      <c r="C641" s="74" t="s">
        <v>6877</v>
      </c>
      <c r="D641" s="74" t="s">
        <v>8493</v>
      </c>
      <c r="E641" s="146">
        <v>43844.0</v>
      </c>
      <c r="F641" s="74" t="s">
        <v>26464</v>
      </c>
      <c r="G641" s="74">
        <v>58.0</v>
      </c>
      <c r="H641" s="74">
        <v>1.0</v>
      </c>
      <c r="I641" s="74">
        <v>3.0</v>
      </c>
      <c r="J641" s="119"/>
      <c r="K641" s="119"/>
      <c r="L641" s="74" t="s">
        <v>421</v>
      </c>
      <c r="M641" s="74" t="s">
        <v>421</v>
      </c>
      <c r="N641" s="133">
        <v>43832.0</v>
      </c>
      <c r="O641" s="74">
        <v>1.0</v>
      </c>
      <c r="P641" s="74">
        <v>1.0</v>
      </c>
      <c r="Q641" s="119"/>
      <c r="R641" s="74" t="s">
        <v>26467</v>
      </c>
      <c r="S641" s="119"/>
      <c r="T641" s="146">
        <v>43790.0</v>
      </c>
      <c r="U641" s="74">
        <v>31.87</v>
      </c>
      <c r="V641" s="74">
        <v>32.01</v>
      </c>
      <c r="W641" s="119"/>
      <c r="X641" s="119"/>
      <c r="Y641" s="146">
        <v>43790.0</v>
      </c>
      <c r="Z641" s="74">
        <v>34.71</v>
      </c>
      <c r="AA641" s="74">
        <v>33.87</v>
      </c>
      <c r="AB641" s="119"/>
      <c r="AC641" s="119"/>
      <c r="AD641" s="119"/>
      <c r="AE641" s="74">
        <v>1.0</v>
      </c>
      <c r="AF641" s="74" t="s">
        <v>18902</v>
      </c>
      <c r="AG641" s="120">
        <v>7180.0</v>
      </c>
      <c r="AH641" s="74" t="s">
        <v>26470</v>
      </c>
      <c r="AI641" s="74" t="s">
        <v>26471</v>
      </c>
      <c r="AJ641" s="120">
        <v>642.0</v>
      </c>
    </row>
    <row r="642">
      <c r="A642" s="74" t="s">
        <v>26464</v>
      </c>
      <c r="B642" s="74" t="s">
        <v>6876</v>
      </c>
      <c r="C642" s="74" t="s">
        <v>6877</v>
      </c>
      <c r="D642" s="74" t="s">
        <v>8493</v>
      </c>
      <c r="E642" s="146">
        <v>43844.0</v>
      </c>
      <c r="F642" s="74" t="s">
        <v>26474</v>
      </c>
      <c r="G642" s="74">
        <v>58.0</v>
      </c>
      <c r="H642" s="74">
        <v>1.0</v>
      </c>
      <c r="I642" s="74">
        <v>7.0</v>
      </c>
      <c r="J642" s="119"/>
      <c r="K642" s="119"/>
      <c r="L642" s="74" t="s">
        <v>425</v>
      </c>
      <c r="M642" s="74" t="s">
        <v>425</v>
      </c>
      <c r="N642" s="133">
        <v>43832.0</v>
      </c>
      <c r="O642" s="74">
        <v>1.0</v>
      </c>
      <c r="P642" s="74">
        <v>1.0</v>
      </c>
      <c r="Q642" s="119"/>
      <c r="R642" s="74" t="s">
        <v>26447</v>
      </c>
      <c r="S642" s="119"/>
      <c r="T642" s="146">
        <v>43654.0</v>
      </c>
      <c r="U642" s="74">
        <v>9999.0</v>
      </c>
      <c r="V642" s="74">
        <v>9999.0</v>
      </c>
      <c r="W642" s="119"/>
      <c r="X642" s="119"/>
      <c r="Y642" s="146">
        <v>43654.0</v>
      </c>
      <c r="Z642" s="74">
        <v>31.75</v>
      </c>
      <c r="AA642" s="74">
        <v>9999.0</v>
      </c>
      <c r="AB642" s="119"/>
      <c r="AC642" s="119"/>
      <c r="AD642" s="119"/>
      <c r="AE642" s="74">
        <v>1.0</v>
      </c>
      <c r="AF642" s="74" t="s">
        <v>18902</v>
      </c>
      <c r="AG642" s="120">
        <v>7181.0</v>
      </c>
      <c r="AH642" s="74" t="s">
        <v>26478</v>
      </c>
      <c r="AI642" s="74" t="s">
        <v>26480</v>
      </c>
      <c r="AJ642" s="120">
        <v>643.0</v>
      </c>
    </row>
    <row r="643">
      <c r="A643" s="74" t="s">
        <v>26474</v>
      </c>
      <c r="B643" s="74" t="s">
        <v>6876</v>
      </c>
      <c r="C643" s="74" t="s">
        <v>6877</v>
      </c>
      <c r="D643" s="74" t="s">
        <v>8493</v>
      </c>
      <c r="E643" s="146">
        <v>43844.0</v>
      </c>
      <c r="F643" s="74" t="s">
        <v>26483</v>
      </c>
      <c r="G643" s="74">
        <v>58.0</v>
      </c>
      <c r="H643" s="74">
        <v>1.0</v>
      </c>
      <c r="I643" s="74">
        <v>7.0</v>
      </c>
      <c r="J643" s="119"/>
      <c r="K643" s="119"/>
      <c r="L643" s="74" t="s">
        <v>427</v>
      </c>
      <c r="M643" s="74" t="s">
        <v>427</v>
      </c>
      <c r="N643" s="133">
        <v>43832.0</v>
      </c>
      <c r="O643" s="74">
        <v>1.0</v>
      </c>
      <c r="P643" s="74">
        <v>1.0</v>
      </c>
      <c r="Q643" s="119"/>
      <c r="R643" s="74" t="s">
        <v>26447</v>
      </c>
      <c r="S643" s="119"/>
      <c r="T643" s="146">
        <v>43654.0</v>
      </c>
      <c r="U643" s="74">
        <v>9999.0</v>
      </c>
      <c r="V643" s="74">
        <v>9999.0</v>
      </c>
      <c r="W643" s="119"/>
      <c r="X643" s="119"/>
      <c r="Y643" s="146">
        <v>43654.0</v>
      </c>
      <c r="Z643" s="74">
        <v>33.78</v>
      </c>
      <c r="AA643" s="74">
        <v>9999.0</v>
      </c>
      <c r="AB643" s="119"/>
      <c r="AC643" s="119"/>
      <c r="AD643" s="119"/>
      <c r="AE643" s="74">
        <v>1.0</v>
      </c>
      <c r="AF643" s="74" t="s">
        <v>18902</v>
      </c>
      <c r="AG643" s="120">
        <v>7182.0</v>
      </c>
      <c r="AH643" s="74" t="s">
        <v>26489</v>
      </c>
      <c r="AI643" s="74" t="s">
        <v>26490</v>
      </c>
      <c r="AJ643" s="120">
        <v>644.0</v>
      </c>
    </row>
    <row r="644">
      <c r="A644" s="74" t="s">
        <v>26483</v>
      </c>
      <c r="B644" s="74" t="s">
        <v>6876</v>
      </c>
      <c r="C644" s="74" t="s">
        <v>6877</v>
      </c>
      <c r="D644" s="74" t="s">
        <v>8493</v>
      </c>
      <c r="E644" s="146">
        <v>43844.0</v>
      </c>
      <c r="F644" s="74" t="s">
        <v>26492</v>
      </c>
      <c r="G644" s="74">
        <v>58.0</v>
      </c>
      <c r="H644" s="74">
        <v>1.0</v>
      </c>
      <c r="I644" s="74">
        <v>7.0</v>
      </c>
      <c r="J644" s="119"/>
      <c r="K644" s="119"/>
      <c r="L644" s="74" t="s">
        <v>428</v>
      </c>
      <c r="M644" s="74" t="s">
        <v>428</v>
      </c>
      <c r="N644" s="133">
        <v>43832.0</v>
      </c>
      <c r="O644" s="74">
        <v>1.0</v>
      </c>
      <c r="P644" s="74">
        <v>1.0</v>
      </c>
      <c r="Q644" s="119"/>
      <c r="R644" s="74" t="s">
        <v>26447</v>
      </c>
      <c r="S644" s="119"/>
      <c r="T644" s="146">
        <v>43654.0</v>
      </c>
      <c r="U644" s="74">
        <v>35.02</v>
      </c>
      <c r="V644" s="74">
        <v>9999.0</v>
      </c>
      <c r="W644" s="119"/>
      <c r="X644" s="119"/>
      <c r="Y644" s="146">
        <v>43654.0</v>
      </c>
      <c r="Z644" s="74">
        <v>40.0</v>
      </c>
      <c r="AA644" s="74">
        <v>9999.0</v>
      </c>
      <c r="AB644" s="119"/>
      <c r="AC644" s="119"/>
      <c r="AD644" s="119"/>
      <c r="AE644" s="74">
        <v>1.0</v>
      </c>
      <c r="AF644" s="74" t="s">
        <v>18902</v>
      </c>
      <c r="AG644" s="120">
        <v>7183.0</v>
      </c>
      <c r="AH644" s="74" t="s">
        <v>26498</v>
      </c>
      <c r="AI644" s="74" t="s">
        <v>26500</v>
      </c>
      <c r="AJ644" s="120">
        <v>645.0</v>
      </c>
    </row>
    <row r="645">
      <c r="A645" s="74" t="s">
        <v>26502</v>
      </c>
      <c r="B645" s="74" t="s">
        <v>6876</v>
      </c>
      <c r="C645" s="74" t="s">
        <v>6877</v>
      </c>
      <c r="D645" s="74" t="s">
        <v>8493</v>
      </c>
      <c r="E645" s="146">
        <v>43844.0</v>
      </c>
      <c r="F645" s="74" t="s">
        <v>26504</v>
      </c>
      <c r="G645" s="74">
        <v>58.0</v>
      </c>
      <c r="H645" s="74">
        <v>1.0</v>
      </c>
      <c r="I645" s="74">
        <v>7.0</v>
      </c>
      <c r="J645" s="119"/>
      <c r="K645" s="119"/>
      <c r="L645" s="74" t="s">
        <v>419</v>
      </c>
      <c r="M645" s="74" t="s">
        <v>419</v>
      </c>
      <c r="N645" s="133">
        <v>43832.0</v>
      </c>
      <c r="O645" s="74">
        <v>1.0</v>
      </c>
      <c r="P645" s="74">
        <v>1.0</v>
      </c>
      <c r="Q645" s="119"/>
      <c r="R645" s="74" t="s">
        <v>26447</v>
      </c>
      <c r="S645" s="119"/>
      <c r="T645" s="146">
        <v>43654.0</v>
      </c>
      <c r="U645" s="74">
        <v>9999.0</v>
      </c>
      <c r="V645" s="74">
        <v>9999.0</v>
      </c>
      <c r="W645" s="119"/>
      <c r="X645" s="119"/>
      <c r="Y645" s="146">
        <v>43654.0</v>
      </c>
      <c r="Z645" s="74">
        <v>35.98</v>
      </c>
      <c r="AA645" s="74">
        <v>9999.0</v>
      </c>
      <c r="AB645" s="119"/>
      <c r="AC645" s="119"/>
      <c r="AD645" s="119"/>
      <c r="AE645" s="74">
        <v>1.0</v>
      </c>
      <c r="AF645" s="74" t="s">
        <v>18902</v>
      </c>
      <c r="AG645" s="120">
        <v>7184.0</v>
      </c>
      <c r="AH645" s="74" t="s">
        <v>26509</v>
      </c>
      <c r="AI645" s="74" t="s">
        <v>26510</v>
      </c>
      <c r="AJ645" s="120">
        <v>646.0</v>
      </c>
    </row>
    <row r="646">
      <c r="A646" s="74" t="s">
        <v>26504</v>
      </c>
      <c r="B646" s="74" t="s">
        <v>6876</v>
      </c>
      <c r="C646" s="74" t="s">
        <v>6877</v>
      </c>
      <c r="D646" s="74" t="s">
        <v>8493</v>
      </c>
      <c r="E646" s="146">
        <v>43844.0</v>
      </c>
      <c r="F646" s="74" t="s">
        <v>26512</v>
      </c>
      <c r="G646" s="74">
        <v>59.0</v>
      </c>
      <c r="H646" s="74">
        <v>1.0</v>
      </c>
      <c r="I646" s="74">
        <v>11.0</v>
      </c>
      <c r="J646" s="119"/>
      <c r="K646" s="119"/>
      <c r="L646" s="74" t="s">
        <v>429</v>
      </c>
      <c r="M646" s="74" t="s">
        <v>429</v>
      </c>
      <c r="N646" s="133">
        <v>43832.0</v>
      </c>
      <c r="O646" s="74">
        <v>1.0</v>
      </c>
      <c r="P646" s="74">
        <v>1.0</v>
      </c>
      <c r="Q646" s="119"/>
      <c r="R646" s="74" t="s">
        <v>26447</v>
      </c>
      <c r="S646" s="119"/>
      <c r="T646" s="146">
        <v>43654.0</v>
      </c>
      <c r="U646" s="74">
        <v>9999.0</v>
      </c>
      <c r="V646" s="74">
        <v>9999.0</v>
      </c>
      <c r="W646" s="119"/>
      <c r="X646" s="119"/>
      <c r="Y646" s="146">
        <v>43654.0</v>
      </c>
      <c r="Z646" s="74">
        <v>33.14</v>
      </c>
      <c r="AA646" s="74">
        <v>9999.0</v>
      </c>
      <c r="AB646" s="119"/>
      <c r="AC646" s="119"/>
      <c r="AD646" s="119"/>
      <c r="AE646" s="74">
        <v>1.0</v>
      </c>
      <c r="AF646" s="74" t="s">
        <v>18902</v>
      </c>
      <c r="AG646" s="120">
        <v>7185.0</v>
      </c>
      <c r="AH646" s="74" t="s">
        <v>26517</v>
      </c>
      <c r="AI646" s="74" t="s">
        <v>26518</v>
      </c>
      <c r="AJ646" s="120">
        <v>647.0</v>
      </c>
    </row>
    <row r="647">
      <c r="A647" s="74" t="s">
        <v>26512</v>
      </c>
      <c r="B647" s="74" t="s">
        <v>6876</v>
      </c>
      <c r="C647" s="74" t="s">
        <v>6877</v>
      </c>
      <c r="D647" s="74" t="s">
        <v>8493</v>
      </c>
      <c r="E647" s="146">
        <v>43844.0</v>
      </c>
      <c r="F647" s="74" t="s">
        <v>26520</v>
      </c>
      <c r="G647" s="74">
        <v>59.0</v>
      </c>
      <c r="H647" s="74">
        <v>1.0</v>
      </c>
      <c r="I647" s="74">
        <v>11.0</v>
      </c>
      <c r="J647" s="119"/>
      <c r="K647" s="119"/>
      <c r="L647" s="74" t="s">
        <v>432</v>
      </c>
      <c r="M647" s="74" t="s">
        <v>432</v>
      </c>
      <c r="N647" s="133">
        <v>43832.0</v>
      </c>
      <c r="O647" s="74">
        <v>1.0</v>
      </c>
      <c r="P647" s="74">
        <v>1.0</v>
      </c>
      <c r="Q647" s="119"/>
      <c r="R647" s="74" t="s">
        <v>26467</v>
      </c>
      <c r="S647" s="119"/>
      <c r="T647" s="146">
        <v>43790.0</v>
      </c>
      <c r="U647" s="74">
        <v>9999.0</v>
      </c>
      <c r="V647" s="74">
        <v>28.13</v>
      </c>
      <c r="W647" s="119"/>
      <c r="X647" s="119"/>
      <c r="Y647" s="146">
        <v>43790.0</v>
      </c>
      <c r="Z647" s="74">
        <v>38.24</v>
      </c>
      <c r="AA647" s="74">
        <v>37.19</v>
      </c>
      <c r="AB647" s="119"/>
      <c r="AC647" s="119"/>
      <c r="AD647" s="119"/>
      <c r="AE647" s="74">
        <v>1.0</v>
      </c>
      <c r="AF647" s="74" t="s">
        <v>18902</v>
      </c>
      <c r="AG647" s="120">
        <v>7186.0</v>
      </c>
      <c r="AH647" s="74" t="s">
        <v>26525</v>
      </c>
      <c r="AI647" s="74" t="s">
        <v>26526</v>
      </c>
      <c r="AJ647" s="120">
        <v>648.0</v>
      </c>
    </row>
    <row r="648">
      <c r="A648" s="74" t="s">
        <v>26520</v>
      </c>
      <c r="B648" s="74" t="s">
        <v>6876</v>
      </c>
      <c r="C648" s="74" t="s">
        <v>6877</v>
      </c>
      <c r="D648" s="74" t="s">
        <v>8493</v>
      </c>
      <c r="E648" s="146">
        <v>43844.0</v>
      </c>
      <c r="F648" s="74" t="s">
        <v>26530</v>
      </c>
      <c r="G648" s="74">
        <v>58.0</v>
      </c>
      <c r="H648" s="74">
        <v>1.0</v>
      </c>
      <c r="I648" s="74">
        <v>2.0</v>
      </c>
      <c r="J648" s="119"/>
      <c r="K648" s="119"/>
      <c r="L648" s="74" t="s">
        <v>433</v>
      </c>
      <c r="M648" s="74" t="s">
        <v>433</v>
      </c>
      <c r="N648" s="133">
        <v>43832.0</v>
      </c>
      <c r="O648" s="74">
        <v>1.0</v>
      </c>
      <c r="P648" s="74">
        <v>1.0</v>
      </c>
      <c r="Q648" s="119"/>
      <c r="R648" s="74" t="s">
        <v>26533</v>
      </c>
      <c r="S648" s="119"/>
      <c r="T648" s="146">
        <v>43581.0</v>
      </c>
      <c r="U648" s="74">
        <v>9999.0</v>
      </c>
      <c r="V648" s="74">
        <v>9999.0</v>
      </c>
      <c r="W648" s="119"/>
      <c r="X648" s="119"/>
      <c r="Y648" s="146">
        <v>43581.0</v>
      </c>
      <c r="Z648" s="74">
        <v>9999.0</v>
      </c>
      <c r="AA648" s="74">
        <v>9999.0</v>
      </c>
      <c r="AB648" s="119"/>
      <c r="AC648" s="119"/>
      <c r="AD648" s="119"/>
      <c r="AE648" s="74">
        <v>1.0</v>
      </c>
      <c r="AF648" s="74" t="s">
        <v>18902</v>
      </c>
      <c r="AG648" s="120">
        <v>7187.0</v>
      </c>
      <c r="AH648" s="74" t="s">
        <v>26536</v>
      </c>
      <c r="AI648" s="74" t="s">
        <v>26538</v>
      </c>
      <c r="AJ648" s="120">
        <v>649.0</v>
      </c>
    </row>
    <row r="649">
      <c r="A649" s="74" t="s">
        <v>26530</v>
      </c>
      <c r="B649" s="74" t="s">
        <v>6876</v>
      </c>
      <c r="C649" s="74" t="s">
        <v>6877</v>
      </c>
      <c r="D649" s="74" t="s">
        <v>8493</v>
      </c>
      <c r="E649" s="146">
        <v>43844.0</v>
      </c>
      <c r="F649" s="74" t="s">
        <v>26540</v>
      </c>
      <c r="G649" s="74">
        <v>58.0</v>
      </c>
      <c r="H649" s="74">
        <v>1.0</v>
      </c>
      <c r="I649" s="74">
        <v>2.0</v>
      </c>
      <c r="J649" s="119"/>
      <c r="K649" s="119"/>
      <c r="L649" s="74" t="s">
        <v>435</v>
      </c>
      <c r="M649" s="74" t="s">
        <v>435</v>
      </c>
      <c r="N649" s="133">
        <v>43832.0</v>
      </c>
      <c r="O649" s="74">
        <v>1.0</v>
      </c>
      <c r="P649" s="74">
        <v>1.0</v>
      </c>
      <c r="Q649" s="119"/>
      <c r="R649" s="74" t="s">
        <v>26447</v>
      </c>
      <c r="S649" s="119"/>
      <c r="T649" s="146">
        <v>43654.0</v>
      </c>
      <c r="U649" s="74">
        <v>9999.0</v>
      </c>
      <c r="V649" s="74">
        <v>9999.0</v>
      </c>
      <c r="W649" s="119"/>
      <c r="X649" s="119"/>
      <c r="Y649" s="146">
        <v>43654.0</v>
      </c>
      <c r="Z649" s="74">
        <v>35.75</v>
      </c>
      <c r="AA649" s="74">
        <v>9999.0</v>
      </c>
      <c r="AB649" s="119"/>
      <c r="AC649" s="119"/>
      <c r="AD649" s="119"/>
      <c r="AE649" s="74">
        <v>1.0</v>
      </c>
      <c r="AF649" s="74" t="s">
        <v>18902</v>
      </c>
      <c r="AG649" s="120">
        <v>7188.0</v>
      </c>
      <c r="AH649" s="74" t="s">
        <v>26549</v>
      </c>
      <c r="AI649" s="74" t="s">
        <v>26550</v>
      </c>
      <c r="AJ649" s="120">
        <v>650.0</v>
      </c>
    </row>
    <row r="650">
      <c r="A650" s="74" t="s">
        <v>26540</v>
      </c>
      <c r="B650" s="74" t="s">
        <v>6876</v>
      </c>
      <c r="C650" s="74" t="s">
        <v>6877</v>
      </c>
      <c r="D650" s="74" t="s">
        <v>8493</v>
      </c>
      <c r="E650" s="146">
        <v>43844.0</v>
      </c>
      <c r="F650" s="74" t="s">
        <v>26557</v>
      </c>
      <c r="G650" s="74">
        <v>58.0</v>
      </c>
      <c r="H650" s="74">
        <v>1.0</v>
      </c>
      <c r="I650" s="74">
        <v>8.0</v>
      </c>
      <c r="J650" s="119"/>
      <c r="K650" s="119"/>
      <c r="L650" s="74" t="s">
        <v>436</v>
      </c>
      <c r="M650" s="74" t="s">
        <v>436</v>
      </c>
      <c r="N650" s="133">
        <v>43832.0</v>
      </c>
      <c r="O650" s="74">
        <v>1.0</v>
      </c>
      <c r="P650" s="74">
        <v>1.0</v>
      </c>
      <c r="Q650" s="119"/>
      <c r="R650" s="74" t="s">
        <v>26467</v>
      </c>
      <c r="S650" s="119"/>
      <c r="T650" s="146">
        <v>43790.0</v>
      </c>
      <c r="U650" s="74">
        <v>9999.0</v>
      </c>
      <c r="V650" s="74">
        <v>31.69</v>
      </c>
      <c r="W650" s="119"/>
      <c r="X650" s="119"/>
      <c r="Y650" s="146">
        <v>43790.0</v>
      </c>
      <c r="Z650" s="74">
        <v>35.07</v>
      </c>
      <c r="AA650" s="74">
        <v>35.35</v>
      </c>
      <c r="AB650" s="119"/>
      <c r="AC650" s="119"/>
      <c r="AD650" s="119"/>
      <c r="AE650" s="74">
        <v>1.0</v>
      </c>
      <c r="AF650" s="74" t="s">
        <v>18902</v>
      </c>
      <c r="AG650" s="120">
        <v>7189.0</v>
      </c>
      <c r="AH650" s="74" t="s">
        <v>26563</v>
      </c>
      <c r="AI650" s="74" t="s">
        <v>26564</v>
      </c>
      <c r="AJ650" s="120">
        <v>651.0</v>
      </c>
    </row>
    <row r="651">
      <c r="A651" s="74" t="s">
        <v>26557</v>
      </c>
      <c r="B651" s="74" t="s">
        <v>6876</v>
      </c>
      <c r="C651" s="74" t="s">
        <v>6877</v>
      </c>
      <c r="D651" s="74" t="s">
        <v>8493</v>
      </c>
      <c r="E651" s="146">
        <v>43844.0</v>
      </c>
      <c r="F651" s="74" t="s">
        <v>26566</v>
      </c>
      <c r="G651" s="74">
        <v>58.0</v>
      </c>
      <c r="H651" s="74">
        <v>1.0</v>
      </c>
      <c r="I651" s="74">
        <v>8.0</v>
      </c>
      <c r="J651" s="119"/>
      <c r="K651" s="119"/>
      <c r="L651" s="74" t="s">
        <v>441</v>
      </c>
      <c r="M651" s="74" t="s">
        <v>441</v>
      </c>
      <c r="N651" s="133">
        <v>43832.0</v>
      </c>
      <c r="O651" s="74">
        <v>1.0</v>
      </c>
      <c r="P651" s="74">
        <v>1.0</v>
      </c>
      <c r="Q651" s="119"/>
      <c r="R651" s="74" t="s">
        <v>26447</v>
      </c>
      <c r="S651" s="119"/>
      <c r="T651" s="146">
        <v>43654.0</v>
      </c>
      <c r="U651" s="74">
        <v>9999.0</v>
      </c>
      <c r="V651" s="74">
        <v>9999.0</v>
      </c>
      <c r="W651" s="119"/>
      <c r="X651" s="119"/>
      <c r="Y651" s="146">
        <v>43654.0</v>
      </c>
      <c r="Z651" s="74">
        <v>9999.0</v>
      </c>
      <c r="AA651" s="74">
        <v>40.0</v>
      </c>
      <c r="AB651" s="119"/>
      <c r="AC651" s="119"/>
      <c r="AD651" s="119"/>
      <c r="AE651" s="74">
        <v>1.0</v>
      </c>
      <c r="AF651" s="74" t="s">
        <v>18902</v>
      </c>
      <c r="AG651" s="120">
        <v>7190.0</v>
      </c>
      <c r="AH651" s="74" t="s">
        <v>26572</v>
      </c>
      <c r="AI651" s="74" t="s">
        <v>26573</v>
      </c>
      <c r="AJ651" s="120">
        <v>652.0</v>
      </c>
    </row>
    <row r="652">
      <c r="A652" s="74" t="s">
        <v>26575</v>
      </c>
      <c r="B652" s="74" t="s">
        <v>6876</v>
      </c>
      <c r="C652" s="74" t="s">
        <v>6877</v>
      </c>
      <c r="D652" s="74" t="s">
        <v>8493</v>
      </c>
      <c r="E652" s="146">
        <v>43844.0</v>
      </c>
      <c r="F652" s="74" t="s">
        <v>26578</v>
      </c>
      <c r="G652" s="74">
        <v>58.0</v>
      </c>
      <c r="H652" s="74">
        <v>1.0</v>
      </c>
      <c r="I652" s="74">
        <v>7.0</v>
      </c>
      <c r="J652" s="119"/>
      <c r="K652" s="119"/>
      <c r="L652" s="74" t="s">
        <v>431</v>
      </c>
      <c r="M652" s="74" t="s">
        <v>431</v>
      </c>
      <c r="N652" s="133">
        <v>43832.0</v>
      </c>
      <c r="O652" s="74">
        <v>1.0</v>
      </c>
      <c r="P652" s="74">
        <v>1.0</v>
      </c>
      <c r="Q652" s="119"/>
      <c r="R652" s="74" t="s">
        <v>26447</v>
      </c>
      <c r="S652" s="119"/>
      <c r="T652" s="146">
        <v>43654.0</v>
      </c>
      <c r="U652" s="74">
        <v>30.11</v>
      </c>
      <c r="V652" s="74">
        <v>9999.0</v>
      </c>
      <c r="W652" s="119"/>
      <c r="X652" s="119"/>
      <c r="Y652" s="146">
        <v>43654.0</v>
      </c>
      <c r="Z652" s="74">
        <v>32.93</v>
      </c>
      <c r="AA652" s="74">
        <v>9999.0</v>
      </c>
      <c r="AB652" s="119"/>
      <c r="AC652" s="119"/>
      <c r="AD652" s="119"/>
      <c r="AE652" s="74">
        <v>1.0</v>
      </c>
      <c r="AF652" s="74" t="s">
        <v>18902</v>
      </c>
      <c r="AG652" s="120">
        <v>7191.0</v>
      </c>
      <c r="AH652" s="74" t="s">
        <v>26585</v>
      </c>
      <c r="AI652" s="74" t="s">
        <v>26586</v>
      </c>
      <c r="AJ652" s="120">
        <v>653.0</v>
      </c>
    </row>
    <row r="653">
      <c r="A653" s="74" t="s">
        <v>26578</v>
      </c>
      <c r="B653" s="74" t="s">
        <v>6876</v>
      </c>
      <c r="C653" s="74" t="s">
        <v>6877</v>
      </c>
      <c r="D653" s="74" t="s">
        <v>8493</v>
      </c>
      <c r="E653" s="146">
        <v>43844.0</v>
      </c>
      <c r="F653" s="74" t="s">
        <v>26588</v>
      </c>
      <c r="G653" s="74">
        <v>58.0</v>
      </c>
      <c r="H653" s="74">
        <v>1.0</v>
      </c>
      <c r="I653" s="74">
        <v>5.0</v>
      </c>
      <c r="J653" s="119"/>
      <c r="K653" s="119"/>
      <c r="L653" s="74" t="s">
        <v>450</v>
      </c>
      <c r="M653" s="74" t="s">
        <v>450</v>
      </c>
      <c r="N653" s="133">
        <v>43832.0</v>
      </c>
      <c r="O653" s="74">
        <v>1.0</v>
      </c>
      <c r="P653" s="74">
        <v>1.0</v>
      </c>
      <c r="Q653" s="119"/>
      <c r="R653" s="74" t="s">
        <v>26447</v>
      </c>
      <c r="S653" s="119"/>
      <c r="T653" s="146">
        <v>43654.0</v>
      </c>
      <c r="U653" s="74">
        <v>24.66</v>
      </c>
      <c r="V653" s="74">
        <v>9999.0</v>
      </c>
      <c r="W653" s="119"/>
      <c r="X653" s="119"/>
      <c r="Y653" s="146">
        <v>43654.0</v>
      </c>
      <c r="Z653" s="74">
        <v>32.19</v>
      </c>
      <c r="AA653" s="74">
        <v>9999.0</v>
      </c>
      <c r="AB653" s="119"/>
      <c r="AC653" s="119"/>
      <c r="AD653" s="119"/>
      <c r="AE653" s="74">
        <v>1.0</v>
      </c>
      <c r="AF653" s="74" t="s">
        <v>18902</v>
      </c>
      <c r="AG653" s="120">
        <v>7192.0</v>
      </c>
      <c r="AH653" s="74" t="s">
        <v>26593</v>
      </c>
      <c r="AI653" s="74" t="s">
        <v>26594</v>
      </c>
      <c r="AJ653" s="120">
        <v>654.0</v>
      </c>
    </row>
    <row r="654">
      <c r="A654" s="74" t="s">
        <v>26588</v>
      </c>
      <c r="B654" s="74" t="s">
        <v>6876</v>
      </c>
      <c r="C654" s="74" t="s">
        <v>6877</v>
      </c>
      <c r="D654" s="74" t="s">
        <v>8493</v>
      </c>
      <c r="E654" s="146">
        <v>43844.0</v>
      </c>
      <c r="F654" s="74" t="s">
        <v>26598</v>
      </c>
      <c r="G654" s="74">
        <v>58.0</v>
      </c>
      <c r="H654" s="74">
        <v>1.0</v>
      </c>
      <c r="I654" s="74">
        <v>9.0</v>
      </c>
      <c r="J654" s="119"/>
      <c r="K654" s="119"/>
      <c r="L654" s="74" t="s">
        <v>445</v>
      </c>
      <c r="M654" s="74" t="s">
        <v>445</v>
      </c>
      <c r="N654" s="133">
        <v>43832.0</v>
      </c>
      <c r="O654" s="74">
        <v>1.0</v>
      </c>
      <c r="P654" s="74">
        <v>1.0</v>
      </c>
      <c r="Q654" s="119"/>
      <c r="R654" s="74" t="s">
        <v>26467</v>
      </c>
      <c r="S654" s="119"/>
      <c r="T654" s="146">
        <v>43790.0</v>
      </c>
      <c r="U654" s="74">
        <v>9999.0</v>
      </c>
      <c r="V654" s="74">
        <v>9999.0</v>
      </c>
      <c r="W654" s="119"/>
      <c r="X654" s="119"/>
      <c r="Y654" s="146">
        <v>43790.0</v>
      </c>
      <c r="Z654" s="74">
        <v>32.17</v>
      </c>
      <c r="AA654" s="74">
        <v>33.15</v>
      </c>
      <c r="AB654" s="119"/>
      <c r="AC654" s="119"/>
      <c r="AD654" s="119"/>
      <c r="AE654" s="74">
        <v>1.0</v>
      </c>
      <c r="AF654" s="74" t="s">
        <v>18902</v>
      </c>
      <c r="AG654" s="120">
        <v>7193.0</v>
      </c>
      <c r="AH654" s="74" t="s">
        <v>26605</v>
      </c>
      <c r="AI654" s="74" t="s">
        <v>26606</v>
      </c>
      <c r="AJ654" s="120">
        <v>655.0</v>
      </c>
    </row>
    <row r="655">
      <c r="A655" s="74" t="s">
        <v>26598</v>
      </c>
      <c r="B655" s="74" t="s">
        <v>6876</v>
      </c>
      <c r="C655" s="74" t="s">
        <v>6877</v>
      </c>
      <c r="D655" s="74" t="s">
        <v>8493</v>
      </c>
      <c r="E655" s="146">
        <v>43844.0</v>
      </c>
      <c r="F655" s="74" t="s">
        <v>26608</v>
      </c>
      <c r="G655" s="74">
        <v>57.0</v>
      </c>
      <c r="H655" s="74">
        <v>1.0</v>
      </c>
      <c r="I655" s="74">
        <v>12.0</v>
      </c>
      <c r="J655" s="119"/>
      <c r="K655" s="119"/>
      <c r="L655" s="74" t="s">
        <v>442</v>
      </c>
      <c r="M655" s="74" t="s">
        <v>442</v>
      </c>
      <c r="N655" s="133">
        <v>43832.0</v>
      </c>
      <c r="O655" s="74">
        <v>1.0</v>
      </c>
      <c r="P655" s="74">
        <v>1.0</v>
      </c>
      <c r="Q655" s="119"/>
      <c r="R655" s="74" t="s">
        <v>26447</v>
      </c>
      <c r="S655" s="119"/>
      <c r="T655" s="146">
        <v>43654.0</v>
      </c>
      <c r="U655" s="74">
        <v>22.71</v>
      </c>
      <c r="V655" s="74">
        <v>9999.0</v>
      </c>
      <c r="W655" s="119"/>
      <c r="X655" s="119"/>
      <c r="Y655" s="146">
        <v>43654.0</v>
      </c>
      <c r="Z655" s="74">
        <v>32.58</v>
      </c>
      <c r="AA655" s="74">
        <v>9999.0</v>
      </c>
      <c r="AB655" s="119"/>
      <c r="AC655" s="119"/>
      <c r="AD655" s="119"/>
      <c r="AE655" s="74">
        <v>1.0</v>
      </c>
      <c r="AF655" s="74" t="s">
        <v>18902</v>
      </c>
      <c r="AG655" s="120">
        <v>7194.0</v>
      </c>
      <c r="AH655" s="74" t="s">
        <v>26615</v>
      </c>
      <c r="AI655" s="74" t="s">
        <v>26616</v>
      </c>
      <c r="AJ655" s="120">
        <v>656.0</v>
      </c>
    </row>
    <row r="656">
      <c r="A656" s="74" t="s">
        <v>26608</v>
      </c>
      <c r="B656" s="74" t="s">
        <v>6876</v>
      </c>
      <c r="C656" s="74" t="s">
        <v>6877</v>
      </c>
      <c r="D656" s="74" t="s">
        <v>8493</v>
      </c>
      <c r="E656" s="146">
        <v>43844.0</v>
      </c>
      <c r="F656" s="74" t="s">
        <v>26620</v>
      </c>
      <c r="G656" s="74">
        <v>57.0</v>
      </c>
      <c r="H656" s="74">
        <v>1.0</v>
      </c>
      <c r="I656" s="74">
        <v>12.0</v>
      </c>
      <c r="J656" s="119"/>
      <c r="K656" s="119"/>
      <c r="L656" s="74" t="s">
        <v>444</v>
      </c>
      <c r="M656" s="74" t="s">
        <v>444</v>
      </c>
      <c r="N656" s="133">
        <v>43832.0</v>
      </c>
      <c r="O656" s="74">
        <v>1.0</v>
      </c>
      <c r="P656" s="74">
        <v>1.0</v>
      </c>
      <c r="Q656" s="119"/>
      <c r="R656" s="74" t="s">
        <v>26447</v>
      </c>
      <c r="S656" s="119"/>
      <c r="T656" s="146">
        <v>43654.0</v>
      </c>
      <c r="U656" s="74">
        <v>33.14</v>
      </c>
      <c r="V656" s="74">
        <v>9999.0</v>
      </c>
      <c r="W656" s="119"/>
      <c r="X656" s="119"/>
      <c r="Y656" s="146">
        <v>43654.0</v>
      </c>
      <c r="Z656" s="74">
        <v>34.5</v>
      </c>
      <c r="AA656" s="74">
        <v>9999.0</v>
      </c>
      <c r="AB656" s="119"/>
      <c r="AC656" s="119"/>
      <c r="AD656" s="119"/>
      <c r="AE656" s="74">
        <v>1.0</v>
      </c>
      <c r="AF656" s="74" t="s">
        <v>18902</v>
      </c>
      <c r="AG656" s="120">
        <v>7195.0</v>
      </c>
      <c r="AH656" s="74" t="s">
        <v>26627</v>
      </c>
      <c r="AI656" s="74" t="s">
        <v>26628</v>
      </c>
      <c r="AJ656" s="120">
        <v>657.0</v>
      </c>
    </row>
    <row r="657">
      <c r="A657" s="74" t="s">
        <v>26620</v>
      </c>
      <c r="B657" s="74" t="s">
        <v>6876</v>
      </c>
      <c r="C657" s="74" t="s">
        <v>6877</v>
      </c>
      <c r="D657" s="74" t="s">
        <v>8493</v>
      </c>
      <c r="E657" s="146">
        <v>43844.0</v>
      </c>
      <c r="F657" s="74" t="s">
        <v>26631</v>
      </c>
      <c r="G657" s="74">
        <v>58.0</v>
      </c>
      <c r="H657" s="74">
        <v>1.0</v>
      </c>
      <c r="I657" s="74">
        <v>10.0</v>
      </c>
      <c r="J657" s="119"/>
      <c r="K657" s="119"/>
      <c r="L657" s="74" t="s">
        <v>448</v>
      </c>
      <c r="M657" s="74" t="s">
        <v>448</v>
      </c>
      <c r="N657" s="133">
        <v>43832.0</v>
      </c>
      <c r="O657" s="74">
        <v>1.0</v>
      </c>
      <c r="P657" s="74">
        <v>1.0</v>
      </c>
      <c r="Q657" s="119"/>
      <c r="R657" s="74" t="s">
        <v>26447</v>
      </c>
      <c r="S657" s="119"/>
      <c r="T657" s="146">
        <v>43654.0</v>
      </c>
      <c r="U657" s="74">
        <v>28.07</v>
      </c>
      <c r="V657" s="74">
        <v>9999.0</v>
      </c>
      <c r="W657" s="119"/>
      <c r="X657" s="119"/>
      <c r="Y657" s="146">
        <v>43654.0</v>
      </c>
      <c r="Z657" s="74">
        <v>34.13</v>
      </c>
      <c r="AA657" s="74">
        <v>9999.0</v>
      </c>
      <c r="AB657" s="119"/>
      <c r="AC657" s="119"/>
      <c r="AD657" s="119"/>
      <c r="AE657" s="74">
        <v>1.0</v>
      </c>
      <c r="AF657" s="74" t="s">
        <v>18902</v>
      </c>
      <c r="AG657" s="120">
        <v>7196.0</v>
      </c>
      <c r="AH657" s="74" t="s">
        <v>26637</v>
      </c>
      <c r="AI657" s="74" t="s">
        <v>26638</v>
      </c>
      <c r="AJ657" s="120">
        <v>658.0</v>
      </c>
    </row>
    <row r="658">
      <c r="A658" s="74" t="s">
        <v>26631</v>
      </c>
      <c r="B658" s="74" t="s">
        <v>6876</v>
      </c>
      <c r="C658" s="74" t="s">
        <v>6877</v>
      </c>
      <c r="D658" s="74" t="s">
        <v>8493</v>
      </c>
      <c r="E658" s="146">
        <v>43844.0</v>
      </c>
      <c r="F658" s="74" t="s">
        <v>26640</v>
      </c>
      <c r="G658" s="74">
        <v>58.0</v>
      </c>
      <c r="H658" s="74">
        <v>1.0</v>
      </c>
      <c r="I658" s="74">
        <v>10.0</v>
      </c>
      <c r="J658" s="119"/>
      <c r="K658" s="119"/>
      <c r="L658" s="74" t="s">
        <v>449</v>
      </c>
      <c r="M658" s="74" t="s">
        <v>449</v>
      </c>
      <c r="N658" s="133">
        <v>43832.0</v>
      </c>
      <c r="O658" s="74">
        <v>1.0</v>
      </c>
      <c r="P658" s="74">
        <v>1.0</v>
      </c>
      <c r="Q658" s="119"/>
      <c r="R658" s="74" t="s">
        <v>26447</v>
      </c>
      <c r="S658" s="119"/>
      <c r="T658" s="146">
        <v>43654.0</v>
      </c>
      <c r="U658" s="74">
        <v>9999.0</v>
      </c>
      <c r="V658" s="74">
        <v>9999.0</v>
      </c>
      <c r="W658" s="119"/>
      <c r="X658" s="119"/>
      <c r="Y658" s="146">
        <v>43654.0</v>
      </c>
      <c r="Z658" s="74">
        <v>32.2</v>
      </c>
      <c r="AA658" s="74">
        <v>9999.0</v>
      </c>
      <c r="AB658" s="119"/>
      <c r="AC658" s="119"/>
      <c r="AD658" s="119"/>
      <c r="AE658" s="74">
        <v>1.0</v>
      </c>
      <c r="AF658" s="74" t="s">
        <v>18902</v>
      </c>
      <c r="AG658" s="120">
        <v>7197.0</v>
      </c>
      <c r="AH658" s="74" t="s">
        <v>26643</v>
      </c>
      <c r="AI658" s="74" t="s">
        <v>26645</v>
      </c>
      <c r="AJ658" s="120">
        <v>659.0</v>
      </c>
    </row>
    <row r="659">
      <c r="A659" s="74" t="s">
        <v>26640</v>
      </c>
      <c r="B659" s="74" t="s">
        <v>6876</v>
      </c>
      <c r="C659" s="74" t="s">
        <v>6877</v>
      </c>
      <c r="D659" s="74" t="s">
        <v>8493</v>
      </c>
      <c r="E659" s="146">
        <v>43844.0</v>
      </c>
      <c r="F659" s="74" t="s">
        <v>26647</v>
      </c>
      <c r="G659" s="74">
        <v>58.0</v>
      </c>
      <c r="H659" s="74">
        <v>1.0</v>
      </c>
      <c r="I659" s="74">
        <v>3.0</v>
      </c>
      <c r="J659" s="119"/>
      <c r="K659" s="119"/>
      <c r="L659" s="74" t="s">
        <v>453</v>
      </c>
      <c r="M659" s="74" t="s">
        <v>453</v>
      </c>
      <c r="N659" s="133">
        <v>43832.0</v>
      </c>
      <c r="O659" s="74">
        <v>1.0</v>
      </c>
      <c r="P659" s="74">
        <v>1.0</v>
      </c>
      <c r="Q659" s="119"/>
      <c r="R659" s="74" t="s">
        <v>26467</v>
      </c>
      <c r="S659" s="119"/>
      <c r="T659" s="146">
        <v>43790.0</v>
      </c>
      <c r="U659" s="74">
        <v>30.79</v>
      </c>
      <c r="V659" s="74">
        <v>30.81</v>
      </c>
      <c r="W659" s="119"/>
      <c r="X659" s="119"/>
      <c r="Y659" s="146">
        <v>43790.0</v>
      </c>
      <c r="Z659" s="74">
        <v>33.75</v>
      </c>
      <c r="AA659" s="74">
        <v>33.74</v>
      </c>
      <c r="AB659" s="119"/>
      <c r="AC659" s="119"/>
      <c r="AD659" s="119"/>
      <c r="AE659" s="74">
        <v>1.0</v>
      </c>
      <c r="AF659" s="74" t="s">
        <v>18902</v>
      </c>
      <c r="AG659" s="120">
        <v>7198.0</v>
      </c>
      <c r="AH659" s="74" t="s">
        <v>26653</v>
      </c>
      <c r="AI659" s="74" t="s">
        <v>26654</v>
      </c>
      <c r="AJ659" s="120">
        <v>660.0</v>
      </c>
    </row>
    <row r="660">
      <c r="A660" s="74" t="s">
        <v>26655</v>
      </c>
      <c r="B660" s="74" t="s">
        <v>6876</v>
      </c>
      <c r="C660" s="74" t="s">
        <v>6877</v>
      </c>
      <c r="D660" s="74" t="s">
        <v>8493</v>
      </c>
      <c r="E660" s="146">
        <v>43844.0</v>
      </c>
      <c r="F660" s="74" t="s">
        <v>26657</v>
      </c>
      <c r="G660" s="74">
        <v>58.0</v>
      </c>
      <c r="H660" s="74">
        <v>1.0</v>
      </c>
      <c r="I660" s="74">
        <v>7.0</v>
      </c>
      <c r="J660" s="119"/>
      <c r="K660" s="119"/>
      <c r="L660" s="74" t="s">
        <v>456</v>
      </c>
      <c r="M660" s="74" t="s">
        <v>456</v>
      </c>
      <c r="N660" s="133">
        <v>43832.0</v>
      </c>
      <c r="O660" s="74">
        <v>1.0</v>
      </c>
      <c r="P660" s="74">
        <v>1.0</v>
      </c>
      <c r="Q660" s="119"/>
      <c r="R660" s="74" t="s">
        <v>26447</v>
      </c>
      <c r="S660" s="119"/>
      <c r="T660" s="146">
        <v>43654.0</v>
      </c>
      <c r="U660" s="74">
        <v>21.81</v>
      </c>
      <c r="V660" s="74">
        <v>9999.0</v>
      </c>
      <c r="W660" s="119"/>
      <c r="X660" s="119"/>
      <c r="Y660" s="146">
        <v>43654.0</v>
      </c>
      <c r="Z660" s="74">
        <v>33.78</v>
      </c>
      <c r="AA660" s="74">
        <v>9999.0</v>
      </c>
      <c r="AB660" s="119"/>
      <c r="AC660" s="119"/>
      <c r="AD660" s="119"/>
      <c r="AE660" s="74">
        <v>1.0</v>
      </c>
      <c r="AF660" s="74" t="s">
        <v>18902</v>
      </c>
      <c r="AG660" s="120">
        <v>7199.0</v>
      </c>
      <c r="AH660" s="74" t="s">
        <v>26661</v>
      </c>
      <c r="AI660" s="74" t="s">
        <v>26663</v>
      </c>
      <c r="AJ660" s="120">
        <v>661.0</v>
      </c>
    </row>
    <row r="661">
      <c r="A661" s="74" t="s">
        <v>26657</v>
      </c>
      <c r="B661" s="74" t="s">
        <v>6876</v>
      </c>
      <c r="C661" s="74" t="s">
        <v>6877</v>
      </c>
      <c r="D661" s="74" t="s">
        <v>8493</v>
      </c>
      <c r="E661" s="146">
        <v>43844.0</v>
      </c>
      <c r="F661" s="74" t="s">
        <v>26667</v>
      </c>
      <c r="G661" s="74">
        <v>58.0</v>
      </c>
      <c r="H661" s="74">
        <v>1.0</v>
      </c>
      <c r="I661" s="74">
        <v>7.0</v>
      </c>
      <c r="J661" s="119"/>
      <c r="K661" s="119"/>
      <c r="L661" s="74" t="s">
        <v>452</v>
      </c>
      <c r="M661" s="74" t="s">
        <v>452</v>
      </c>
      <c r="N661" s="74">
        <v>1.0</v>
      </c>
      <c r="O661" s="74">
        <v>1.0</v>
      </c>
      <c r="P661" s="74">
        <v>0.0</v>
      </c>
      <c r="Q661" s="119"/>
      <c r="R661" s="74" t="s">
        <v>26669</v>
      </c>
      <c r="S661" s="119"/>
      <c r="T661" s="146">
        <v>43581.0</v>
      </c>
      <c r="U661" s="74">
        <v>28.25</v>
      </c>
      <c r="V661" s="74">
        <v>27.43</v>
      </c>
      <c r="W661" s="119"/>
      <c r="X661" s="119"/>
      <c r="Y661" s="119"/>
      <c r="Z661" s="119"/>
      <c r="AA661" s="119"/>
      <c r="AB661" s="119"/>
      <c r="AC661" s="119"/>
      <c r="AD661" s="119"/>
      <c r="AE661" s="74">
        <v>1.0</v>
      </c>
      <c r="AF661" s="74" t="s">
        <v>18902</v>
      </c>
      <c r="AG661" s="120">
        <v>7200.0</v>
      </c>
      <c r="AH661" s="74" t="s">
        <v>26674</v>
      </c>
      <c r="AI661" s="74" t="s">
        <v>26675</v>
      </c>
      <c r="AJ661" s="120">
        <v>662.0</v>
      </c>
    </row>
    <row r="662">
      <c r="A662" s="74" t="s">
        <v>26667</v>
      </c>
      <c r="B662" s="74" t="s">
        <v>6876</v>
      </c>
      <c r="C662" s="74" t="s">
        <v>6877</v>
      </c>
      <c r="D662" s="74" t="s">
        <v>8493</v>
      </c>
      <c r="E662" s="146">
        <v>43844.0</v>
      </c>
      <c r="F662" s="74" t="s">
        <v>26677</v>
      </c>
      <c r="G662" s="74">
        <v>59.0</v>
      </c>
      <c r="H662" s="74">
        <v>1.0</v>
      </c>
      <c r="I662" s="74">
        <v>11.0</v>
      </c>
      <c r="J662" s="119"/>
      <c r="K662" s="119"/>
      <c r="L662" s="74" t="s">
        <v>464</v>
      </c>
      <c r="M662" s="74" t="s">
        <v>464</v>
      </c>
      <c r="N662" s="133">
        <v>43832.0</v>
      </c>
      <c r="O662" s="74">
        <v>1.0</v>
      </c>
      <c r="P662" s="74">
        <v>1.0</v>
      </c>
      <c r="Q662" s="119"/>
      <c r="R662" s="74" t="s">
        <v>26467</v>
      </c>
      <c r="S662" s="119"/>
      <c r="T662" s="146">
        <v>43790.0</v>
      </c>
      <c r="U662" s="74">
        <v>25.86</v>
      </c>
      <c r="V662" s="74">
        <v>26.05</v>
      </c>
      <c r="W662" s="119"/>
      <c r="X662" s="119"/>
      <c r="Y662" s="146">
        <v>43790.0</v>
      </c>
      <c r="Z662" s="74">
        <v>34.56</v>
      </c>
      <c r="AA662" s="74">
        <v>35.45</v>
      </c>
      <c r="AB662" s="119"/>
      <c r="AC662" s="119"/>
      <c r="AD662" s="119"/>
      <c r="AE662" s="74">
        <v>1.0</v>
      </c>
      <c r="AF662" s="74" t="s">
        <v>18902</v>
      </c>
      <c r="AG662" s="120">
        <v>7201.0</v>
      </c>
      <c r="AH662" s="74" t="s">
        <v>26682</v>
      </c>
      <c r="AI662" s="74" t="s">
        <v>26683</v>
      </c>
      <c r="AJ662" s="120">
        <v>663.0</v>
      </c>
    </row>
    <row r="663">
      <c r="A663" s="74" t="s">
        <v>26677</v>
      </c>
      <c r="B663" s="74" t="s">
        <v>6876</v>
      </c>
      <c r="C663" s="74" t="s">
        <v>6877</v>
      </c>
      <c r="D663" s="74" t="s">
        <v>8493</v>
      </c>
      <c r="E663" s="146">
        <v>43844.0</v>
      </c>
      <c r="F663" s="74" t="s">
        <v>26686</v>
      </c>
      <c r="G663" s="74">
        <v>57.0</v>
      </c>
      <c r="H663" s="74">
        <v>1.0</v>
      </c>
      <c r="I663" s="74">
        <v>12.0</v>
      </c>
      <c r="J663" s="119"/>
      <c r="K663" s="119"/>
      <c r="L663" s="74" t="s">
        <v>461</v>
      </c>
      <c r="M663" s="74" t="s">
        <v>461</v>
      </c>
      <c r="N663" s="133">
        <v>43832.0</v>
      </c>
      <c r="O663" s="74">
        <v>1.0</v>
      </c>
      <c r="P663" s="74">
        <v>1.0</v>
      </c>
      <c r="Q663" s="119"/>
      <c r="R663" s="74" t="s">
        <v>26467</v>
      </c>
      <c r="S663" s="119"/>
      <c r="T663" s="146">
        <v>43790.0</v>
      </c>
      <c r="U663" s="74">
        <v>21.64</v>
      </c>
      <c r="V663" s="74">
        <v>21.95</v>
      </c>
      <c r="W663" s="119"/>
      <c r="X663" s="119"/>
      <c r="Y663" s="146">
        <v>43790.0</v>
      </c>
      <c r="Z663" s="74">
        <v>34.77</v>
      </c>
      <c r="AA663" s="74">
        <v>34.12</v>
      </c>
      <c r="AB663" s="119"/>
      <c r="AC663" s="119"/>
      <c r="AD663" s="119"/>
      <c r="AE663" s="74">
        <v>1.0</v>
      </c>
      <c r="AF663" s="74" t="s">
        <v>18902</v>
      </c>
      <c r="AG663" s="120">
        <v>7202.0</v>
      </c>
      <c r="AH663" s="74" t="s">
        <v>26692</v>
      </c>
      <c r="AI663" s="74" t="s">
        <v>26693</v>
      </c>
      <c r="AJ663" s="120">
        <v>664.0</v>
      </c>
    </row>
    <row r="664">
      <c r="A664" s="74" t="s">
        <v>26686</v>
      </c>
      <c r="B664" s="74" t="s">
        <v>6876</v>
      </c>
      <c r="C664" s="74" t="s">
        <v>6877</v>
      </c>
      <c r="D664" s="74" t="s">
        <v>8493</v>
      </c>
      <c r="E664" s="146">
        <v>43844.0</v>
      </c>
      <c r="F664" s="74" t="s">
        <v>26695</v>
      </c>
      <c r="G664" s="74">
        <v>57.0</v>
      </c>
      <c r="H664" s="74">
        <v>1.0</v>
      </c>
      <c r="I664" s="74">
        <v>12.0</v>
      </c>
      <c r="J664" s="119"/>
      <c r="K664" s="119"/>
      <c r="L664" s="74" t="s">
        <v>462</v>
      </c>
      <c r="M664" s="74" t="s">
        <v>462</v>
      </c>
      <c r="N664" s="133">
        <v>43832.0</v>
      </c>
      <c r="O664" s="74">
        <v>1.0</v>
      </c>
      <c r="P664" s="74">
        <v>1.0</v>
      </c>
      <c r="Q664" s="119"/>
      <c r="R664" s="74" t="s">
        <v>26447</v>
      </c>
      <c r="S664" s="119"/>
      <c r="T664" s="146">
        <v>43654.0</v>
      </c>
      <c r="U664" s="74">
        <v>28.05</v>
      </c>
      <c r="V664" s="74">
        <v>9999.0</v>
      </c>
      <c r="W664" s="119"/>
      <c r="X664" s="119"/>
      <c r="Y664" s="146">
        <v>43654.0</v>
      </c>
      <c r="Z664" s="74">
        <v>34.06</v>
      </c>
      <c r="AA664" s="74">
        <v>9999.0</v>
      </c>
      <c r="AB664" s="119"/>
      <c r="AC664" s="119"/>
      <c r="AD664" s="119"/>
      <c r="AE664" s="74">
        <v>1.0</v>
      </c>
      <c r="AF664" s="74" t="s">
        <v>18902</v>
      </c>
      <c r="AG664" s="120">
        <v>7203.0</v>
      </c>
      <c r="AH664" s="74" t="s">
        <v>26701</v>
      </c>
      <c r="AI664" s="74" t="s">
        <v>26702</v>
      </c>
      <c r="AJ664" s="120">
        <v>665.0</v>
      </c>
    </row>
    <row r="665">
      <c r="A665" s="74" t="s">
        <v>26695</v>
      </c>
      <c r="B665" s="74" t="s">
        <v>6876</v>
      </c>
      <c r="C665" s="74" t="s">
        <v>6877</v>
      </c>
      <c r="D665" s="74" t="s">
        <v>8493</v>
      </c>
      <c r="E665" s="146">
        <v>43844.0</v>
      </c>
      <c r="F665" s="74" t="s">
        <v>26707</v>
      </c>
      <c r="G665" s="74">
        <v>58.0</v>
      </c>
      <c r="H665" s="74">
        <v>1.0</v>
      </c>
      <c r="I665" s="74">
        <v>7.0</v>
      </c>
      <c r="J665" s="119"/>
      <c r="K665" s="119"/>
      <c r="L665" s="74" t="s">
        <v>468</v>
      </c>
      <c r="M665" s="74" t="s">
        <v>468</v>
      </c>
      <c r="N665" s="133">
        <v>43832.0</v>
      </c>
      <c r="O665" s="74">
        <v>1.0</v>
      </c>
      <c r="P665" s="74">
        <v>1.0</v>
      </c>
      <c r="Q665" s="119"/>
      <c r="R665" s="74" t="s">
        <v>26533</v>
      </c>
      <c r="S665" s="119"/>
      <c r="T665" s="146">
        <v>43581.0</v>
      </c>
      <c r="U665" s="74">
        <v>29.96</v>
      </c>
      <c r="V665" s="74">
        <v>29.38</v>
      </c>
      <c r="W665" s="119"/>
      <c r="X665" s="119"/>
      <c r="Y665" s="146">
        <v>43581.0</v>
      </c>
      <c r="Z665" s="74">
        <v>31.96</v>
      </c>
      <c r="AA665" s="74">
        <v>9999.0</v>
      </c>
      <c r="AB665" s="119"/>
      <c r="AC665" s="119"/>
      <c r="AD665" s="119"/>
      <c r="AE665" s="74">
        <v>1.0</v>
      </c>
      <c r="AF665" s="74" t="s">
        <v>18902</v>
      </c>
      <c r="AG665" s="120">
        <v>7204.0</v>
      </c>
      <c r="AH665" s="74" t="s">
        <v>26715</v>
      </c>
      <c r="AI665" s="74" t="s">
        <v>26716</v>
      </c>
      <c r="AJ665" s="120">
        <v>666.0</v>
      </c>
    </row>
    <row r="666">
      <c r="A666" s="74" t="s">
        <v>26707</v>
      </c>
      <c r="B666" s="74" t="s">
        <v>6876</v>
      </c>
      <c r="C666" s="74" t="s">
        <v>6877</v>
      </c>
      <c r="D666" s="74" t="s">
        <v>8493</v>
      </c>
      <c r="E666" s="146">
        <v>43844.0</v>
      </c>
      <c r="F666" s="74" t="s">
        <v>26719</v>
      </c>
      <c r="G666" s="74">
        <v>58.0</v>
      </c>
      <c r="H666" s="74">
        <v>1.0</v>
      </c>
      <c r="I666" s="74">
        <v>8.0</v>
      </c>
      <c r="J666" s="119"/>
      <c r="K666" s="119"/>
      <c r="L666" s="74" t="s">
        <v>473</v>
      </c>
      <c r="M666" s="74" t="s">
        <v>473</v>
      </c>
      <c r="N666" s="133">
        <v>43832.0</v>
      </c>
      <c r="O666" s="74">
        <v>1.0</v>
      </c>
      <c r="P666" s="74">
        <v>1.0</v>
      </c>
      <c r="Q666" s="119"/>
      <c r="R666" s="74" t="s">
        <v>26447</v>
      </c>
      <c r="S666" s="119"/>
      <c r="T666" s="146">
        <v>43654.0</v>
      </c>
      <c r="U666" s="74">
        <v>9999.0</v>
      </c>
      <c r="V666" s="74">
        <v>9999.0</v>
      </c>
      <c r="W666" s="119"/>
      <c r="X666" s="119"/>
      <c r="Y666" s="146">
        <v>43654.0</v>
      </c>
      <c r="Z666" s="74">
        <v>35.04</v>
      </c>
      <c r="AA666" s="74">
        <v>9999.0</v>
      </c>
      <c r="AB666" s="119"/>
      <c r="AC666" s="119"/>
      <c r="AD666" s="119"/>
      <c r="AE666" s="74">
        <v>1.0</v>
      </c>
      <c r="AF666" s="74" t="s">
        <v>18902</v>
      </c>
      <c r="AG666" s="120">
        <v>7205.0</v>
      </c>
      <c r="AH666" s="74" t="s">
        <v>26724</v>
      </c>
      <c r="AI666" s="74" t="s">
        <v>26725</v>
      </c>
      <c r="AJ666" s="120">
        <v>667.0</v>
      </c>
    </row>
    <row r="667">
      <c r="A667" s="74" t="s">
        <v>26719</v>
      </c>
      <c r="B667" s="74" t="s">
        <v>6876</v>
      </c>
      <c r="C667" s="74" t="s">
        <v>6877</v>
      </c>
      <c r="D667" s="74" t="s">
        <v>8493</v>
      </c>
      <c r="E667" s="146">
        <v>43844.0</v>
      </c>
      <c r="F667" s="74" t="s">
        <v>26727</v>
      </c>
      <c r="G667" s="74">
        <v>58.0</v>
      </c>
      <c r="H667" s="74">
        <v>1.0</v>
      </c>
      <c r="I667" s="74">
        <v>8.0</v>
      </c>
      <c r="J667" s="119"/>
      <c r="K667" s="119"/>
      <c r="L667" s="74" t="s">
        <v>475</v>
      </c>
      <c r="M667" s="74" t="s">
        <v>475</v>
      </c>
      <c r="N667" s="133">
        <v>43832.0</v>
      </c>
      <c r="O667" s="74">
        <v>1.0</v>
      </c>
      <c r="P667" s="74">
        <v>1.0</v>
      </c>
      <c r="Q667" s="119"/>
      <c r="R667" s="74" t="s">
        <v>26447</v>
      </c>
      <c r="S667" s="119"/>
      <c r="T667" s="146">
        <v>43654.0</v>
      </c>
      <c r="U667" s="74">
        <v>30.15</v>
      </c>
      <c r="V667" s="74">
        <v>9999.0</v>
      </c>
      <c r="W667" s="119"/>
      <c r="X667" s="119"/>
      <c r="Y667" s="146">
        <v>43654.0</v>
      </c>
      <c r="Z667" s="74">
        <v>30.92</v>
      </c>
      <c r="AA667" s="74">
        <v>9999.0</v>
      </c>
      <c r="AB667" s="119"/>
      <c r="AC667" s="119"/>
      <c r="AD667" s="119"/>
      <c r="AE667" s="74">
        <v>1.0</v>
      </c>
      <c r="AF667" s="74" t="s">
        <v>18902</v>
      </c>
      <c r="AG667" s="120">
        <v>7206.0</v>
      </c>
      <c r="AH667" s="74" t="s">
        <v>26734</v>
      </c>
      <c r="AI667" s="74" t="s">
        <v>26735</v>
      </c>
      <c r="AJ667" s="120">
        <v>668.0</v>
      </c>
    </row>
    <row r="668">
      <c r="A668" s="74" t="s">
        <v>26727</v>
      </c>
      <c r="B668" s="74" t="s">
        <v>6876</v>
      </c>
      <c r="C668" s="74" t="s">
        <v>6877</v>
      </c>
      <c r="D668" s="74" t="s">
        <v>8493</v>
      </c>
      <c r="E668" s="146">
        <v>43844.0</v>
      </c>
      <c r="F668" s="74" t="s">
        <v>26738</v>
      </c>
      <c r="G668" s="74">
        <v>58.0</v>
      </c>
      <c r="H668" s="74">
        <v>1.0</v>
      </c>
      <c r="I668" s="74">
        <v>2.0</v>
      </c>
      <c r="J668" s="119"/>
      <c r="K668" s="119"/>
      <c r="L668" s="74" t="s">
        <v>470</v>
      </c>
      <c r="M668" s="74" t="s">
        <v>470</v>
      </c>
      <c r="N668" s="133">
        <v>43832.0</v>
      </c>
      <c r="O668" s="74">
        <v>1.0</v>
      </c>
      <c r="P668" s="74">
        <v>1.0</v>
      </c>
      <c r="Q668" s="119"/>
      <c r="R668" s="74" t="s">
        <v>26447</v>
      </c>
      <c r="S668" s="119"/>
      <c r="T668" s="146">
        <v>43654.0</v>
      </c>
      <c r="U668" s="74">
        <v>31.66</v>
      </c>
      <c r="V668" s="74">
        <v>9999.0</v>
      </c>
      <c r="W668" s="119"/>
      <c r="X668" s="119"/>
      <c r="Y668" s="146">
        <v>43654.0</v>
      </c>
      <c r="Z668" s="74">
        <v>32.36</v>
      </c>
      <c r="AA668" s="74">
        <v>9999.0</v>
      </c>
      <c r="AB668" s="119"/>
      <c r="AC668" s="119"/>
      <c r="AD668" s="119"/>
      <c r="AE668" s="74">
        <v>1.0</v>
      </c>
      <c r="AF668" s="74" t="s">
        <v>18902</v>
      </c>
      <c r="AG668" s="120">
        <v>7207.0</v>
      </c>
      <c r="AH668" s="74" t="s">
        <v>26746</v>
      </c>
      <c r="AI668" s="74" t="s">
        <v>26747</v>
      </c>
      <c r="AJ668" s="120">
        <v>669.0</v>
      </c>
    </row>
    <row r="669">
      <c r="A669" s="74" t="s">
        <v>26738</v>
      </c>
      <c r="B669" s="74" t="s">
        <v>6876</v>
      </c>
      <c r="C669" s="74" t="s">
        <v>6877</v>
      </c>
      <c r="D669" s="74" t="s">
        <v>8493</v>
      </c>
      <c r="E669" s="146">
        <v>43844.0</v>
      </c>
      <c r="F669" s="74" t="s">
        <v>26749</v>
      </c>
      <c r="G669" s="74">
        <v>58.0</v>
      </c>
      <c r="H669" s="74">
        <v>1.0</v>
      </c>
      <c r="I669" s="74">
        <v>2.0</v>
      </c>
      <c r="J669" s="119"/>
      <c r="K669" s="119"/>
      <c r="L669" s="74" t="s">
        <v>471</v>
      </c>
      <c r="M669" s="74" t="s">
        <v>471</v>
      </c>
      <c r="N669" s="133">
        <v>43832.0</v>
      </c>
      <c r="O669" s="74">
        <v>1.0</v>
      </c>
      <c r="P669" s="74">
        <v>1.0</v>
      </c>
      <c r="Q669" s="119"/>
      <c r="R669" s="74" t="s">
        <v>26447</v>
      </c>
      <c r="S669" s="119"/>
      <c r="T669" s="146">
        <v>43654.0</v>
      </c>
      <c r="U669" s="74">
        <v>31.84</v>
      </c>
      <c r="V669" s="74">
        <v>9999.0</v>
      </c>
      <c r="W669" s="119"/>
      <c r="X669" s="119"/>
      <c r="Y669" s="146">
        <v>43654.0</v>
      </c>
      <c r="Z669" s="74">
        <v>34.39</v>
      </c>
      <c r="AA669" s="74">
        <v>9999.0</v>
      </c>
      <c r="AB669" s="119"/>
      <c r="AC669" s="119"/>
      <c r="AD669" s="119"/>
      <c r="AE669" s="74">
        <v>1.0</v>
      </c>
      <c r="AF669" s="74" t="s">
        <v>18902</v>
      </c>
      <c r="AG669" s="120">
        <v>7208.0</v>
      </c>
      <c r="AH669" s="74" t="s">
        <v>26754</v>
      </c>
      <c r="AI669" s="74" t="s">
        <v>26755</v>
      </c>
      <c r="AJ669" s="120">
        <v>670.0</v>
      </c>
    </row>
    <row r="670">
      <c r="A670" s="74" t="s">
        <v>26749</v>
      </c>
      <c r="B670" s="74" t="s">
        <v>6876</v>
      </c>
      <c r="C670" s="74" t="s">
        <v>6877</v>
      </c>
      <c r="D670" s="74" t="s">
        <v>8493</v>
      </c>
      <c r="E670" s="146">
        <v>43844.0</v>
      </c>
      <c r="F670" s="74" t="s">
        <v>26757</v>
      </c>
      <c r="G670" s="74">
        <v>57.0</v>
      </c>
      <c r="H670" s="74">
        <v>1.0</v>
      </c>
      <c r="I670" s="74">
        <v>12.0</v>
      </c>
      <c r="J670" s="119"/>
      <c r="K670" s="119"/>
      <c r="L670" s="74" t="s">
        <v>479</v>
      </c>
      <c r="M670" s="74" t="s">
        <v>479</v>
      </c>
      <c r="N670" s="133">
        <v>43832.0</v>
      </c>
      <c r="O670" s="74">
        <v>1.0</v>
      </c>
      <c r="P670" s="74">
        <v>1.0</v>
      </c>
      <c r="Q670" s="119"/>
      <c r="R670" s="74" t="s">
        <v>26761</v>
      </c>
      <c r="S670" s="119"/>
      <c r="T670" s="146">
        <v>43623.0</v>
      </c>
      <c r="U670" s="74">
        <v>9999.0</v>
      </c>
      <c r="V670" s="74">
        <v>9999.0</v>
      </c>
      <c r="W670" s="119"/>
      <c r="X670" s="119"/>
      <c r="Y670" s="146">
        <v>43623.0</v>
      </c>
      <c r="Z670" s="74">
        <v>10.77</v>
      </c>
      <c r="AA670" s="74">
        <v>9999.0</v>
      </c>
      <c r="AB670" s="119"/>
      <c r="AC670" s="119"/>
      <c r="AD670" s="119"/>
      <c r="AE670" s="74">
        <v>1.0</v>
      </c>
      <c r="AF670" s="74" t="s">
        <v>18902</v>
      </c>
      <c r="AG670" s="120">
        <v>7209.0</v>
      </c>
      <c r="AH670" s="74" t="s">
        <v>26766</v>
      </c>
      <c r="AI670" s="74" t="s">
        <v>26767</v>
      </c>
      <c r="AJ670" s="120">
        <v>671.0</v>
      </c>
    </row>
    <row r="671">
      <c r="A671" s="74" t="s">
        <v>26757</v>
      </c>
      <c r="B671" s="74" t="s">
        <v>6876</v>
      </c>
      <c r="C671" s="74" t="s">
        <v>6877</v>
      </c>
      <c r="D671" s="74" t="s">
        <v>8493</v>
      </c>
      <c r="E671" s="146">
        <v>43844.0</v>
      </c>
      <c r="F671" s="74" t="s">
        <v>26769</v>
      </c>
      <c r="G671" s="74">
        <v>57.0</v>
      </c>
      <c r="H671" s="74">
        <v>1.0</v>
      </c>
      <c r="I671" s="74">
        <v>12.0</v>
      </c>
      <c r="J671" s="119"/>
      <c r="K671" s="119"/>
      <c r="L671" s="74" t="s">
        <v>480</v>
      </c>
      <c r="M671" s="74" t="s">
        <v>480</v>
      </c>
      <c r="N671" s="133">
        <v>43832.0</v>
      </c>
      <c r="O671" s="74">
        <v>1.0</v>
      </c>
      <c r="P671" s="74">
        <v>1.0</v>
      </c>
      <c r="Q671" s="119"/>
      <c r="R671" s="74" t="s">
        <v>26761</v>
      </c>
      <c r="S671" s="119"/>
      <c r="T671" s="146">
        <v>43623.0</v>
      </c>
      <c r="U671" s="74">
        <v>9999.0</v>
      </c>
      <c r="V671" s="74">
        <v>9999.0</v>
      </c>
      <c r="W671" s="119"/>
      <c r="X671" s="119"/>
      <c r="Y671" s="146">
        <v>43623.0</v>
      </c>
      <c r="Z671" s="74">
        <v>35.25</v>
      </c>
      <c r="AA671" s="74">
        <v>35.39</v>
      </c>
      <c r="AB671" s="119"/>
      <c r="AC671" s="119"/>
      <c r="AD671" s="119"/>
      <c r="AE671" s="74">
        <v>1.0</v>
      </c>
      <c r="AF671" s="74" t="s">
        <v>18902</v>
      </c>
      <c r="AG671" s="120">
        <v>7210.0</v>
      </c>
      <c r="AH671" s="74" t="s">
        <v>26774</v>
      </c>
      <c r="AI671" s="74" t="s">
        <v>26775</v>
      </c>
      <c r="AJ671" s="120">
        <v>672.0</v>
      </c>
    </row>
    <row r="672">
      <c r="A672" s="74" t="s">
        <v>26769</v>
      </c>
      <c r="B672" s="74" t="s">
        <v>6876</v>
      </c>
      <c r="C672" s="74" t="s">
        <v>6877</v>
      </c>
      <c r="D672" s="74" t="s">
        <v>8493</v>
      </c>
      <c r="E672" s="146">
        <v>43844.0</v>
      </c>
      <c r="F672" s="74" t="s">
        <v>26777</v>
      </c>
      <c r="G672" s="74">
        <v>57.0</v>
      </c>
      <c r="H672" s="74">
        <v>1.0</v>
      </c>
      <c r="I672" s="74">
        <v>12.0</v>
      </c>
      <c r="J672" s="119"/>
      <c r="K672" s="119"/>
      <c r="L672" s="74" t="s">
        <v>482</v>
      </c>
      <c r="M672" s="74" t="s">
        <v>482</v>
      </c>
      <c r="N672" s="133">
        <v>43832.0</v>
      </c>
      <c r="O672" s="74">
        <v>1.0</v>
      </c>
      <c r="P672" s="74">
        <v>1.0</v>
      </c>
      <c r="Q672" s="119"/>
      <c r="R672" s="74" t="s">
        <v>26761</v>
      </c>
      <c r="S672" s="119"/>
      <c r="T672" s="146">
        <v>43623.0</v>
      </c>
      <c r="U672" s="74">
        <v>9999.0</v>
      </c>
      <c r="V672" s="74">
        <v>9999.0</v>
      </c>
      <c r="W672" s="119"/>
      <c r="X672" s="119"/>
      <c r="Y672" s="146">
        <v>43623.0</v>
      </c>
      <c r="Z672" s="74">
        <v>9999.0</v>
      </c>
      <c r="AA672" s="74">
        <v>9999.0</v>
      </c>
      <c r="AB672" s="119"/>
      <c r="AC672" s="119"/>
      <c r="AD672" s="119"/>
      <c r="AE672" s="74">
        <v>1.0</v>
      </c>
      <c r="AF672" s="74" t="s">
        <v>18902</v>
      </c>
      <c r="AG672" s="120">
        <v>7211.0</v>
      </c>
      <c r="AH672" s="74" t="s">
        <v>26785</v>
      </c>
      <c r="AI672" s="74" t="s">
        <v>26786</v>
      </c>
      <c r="AJ672" s="120">
        <v>673.0</v>
      </c>
    </row>
    <row r="673">
      <c r="A673" s="74" t="s">
        <v>26787</v>
      </c>
      <c r="B673" s="74" t="s">
        <v>6876</v>
      </c>
      <c r="C673" s="74" t="s">
        <v>6877</v>
      </c>
      <c r="D673" s="74" t="s">
        <v>8493</v>
      </c>
      <c r="E673" s="146">
        <v>43844.0</v>
      </c>
      <c r="F673" s="74" t="s">
        <v>26790</v>
      </c>
      <c r="G673" s="74">
        <v>57.0</v>
      </c>
      <c r="H673" s="74">
        <v>1.0</v>
      </c>
      <c r="I673" s="74">
        <v>12.0</v>
      </c>
      <c r="J673" s="119"/>
      <c r="K673" s="119"/>
      <c r="L673" s="74" t="s">
        <v>483</v>
      </c>
      <c r="M673" s="74" t="s">
        <v>483</v>
      </c>
      <c r="N673" s="133">
        <v>43832.0</v>
      </c>
      <c r="O673" s="74">
        <v>1.0</v>
      </c>
      <c r="P673" s="74">
        <v>1.0</v>
      </c>
      <c r="Q673" s="119"/>
      <c r="R673" s="74" t="s">
        <v>26761</v>
      </c>
      <c r="S673" s="119"/>
      <c r="T673" s="146">
        <v>43623.0</v>
      </c>
      <c r="U673" s="74">
        <v>9999.0</v>
      </c>
      <c r="V673" s="74">
        <v>9999.0</v>
      </c>
      <c r="W673" s="119"/>
      <c r="X673" s="119"/>
      <c r="Y673" s="146">
        <v>43623.0</v>
      </c>
      <c r="Z673" s="74">
        <v>32.58</v>
      </c>
      <c r="AA673" s="74">
        <v>32.67</v>
      </c>
      <c r="AB673" s="119"/>
      <c r="AC673" s="119"/>
      <c r="AD673" s="119"/>
      <c r="AE673" s="74">
        <v>1.0</v>
      </c>
      <c r="AF673" s="74" t="s">
        <v>18902</v>
      </c>
      <c r="AG673" s="120">
        <v>7212.0</v>
      </c>
      <c r="AH673" s="74" t="s">
        <v>26797</v>
      </c>
      <c r="AI673" s="74" t="s">
        <v>26798</v>
      </c>
      <c r="AJ673" s="120">
        <v>674.0</v>
      </c>
    </row>
    <row r="674">
      <c r="A674" s="74" t="s">
        <v>26790</v>
      </c>
      <c r="B674" s="74" t="s">
        <v>6876</v>
      </c>
      <c r="C674" s="74" t="s">
        <v>6877</v>
      </c>
      <c r="D674" s="74" t="s">
        <v>8493</v>
      </c>
      <c r="E674" s="146">
        <v>43844.0</v>
      </c>
      <c r="F674" s="74" t="s">
        <v>26800</v>
      </c>
      <c r="G674" s="74">
        <v>58.0</v>
      </c>
      <c r="H674" s="74">
        <v>1.0</v>
      </c>
      <c r="I674" s="74">
        <v>3.0</v>
      </c>
      <c r="J674" s="119"/>
      <c r="K674" s="119"/>
      <c r="L674" s="74" t="s">
        <v>485</v>
      </c>
      <c r="M674" s="74" t="s">
        <v>485</v>
      </c>
      <c r="N674" s="133">
        <v>43832.0</v>
      </c>
      <c r="O674" s="74">
        <v>1.0</v>
      </c>
      <c r="P674" s="74">
        <v>1.0</v>
      </c>
      <c r="Q674" s="119"/>
      <c r="R674" s="74" t="s">
        <v>26447</v>
      </c>
      <c r="S674" s="119"/>
      <c r="T674" s="146">
        <v>43654.0</v>
      </c>
      <c r="U674" s="74">
        <v>29.41</v>
      </c>
      <c r="V674" s="74">
        <v>9999.0</v>
      </c>
      <c r="W674" s="119"/>
      <c r="X674" s="119"/>
      <c r="Y674" s="146">
        <v>43654.0</v>
      </c>
      <c r="Z674" s="74">
        <v>31.7</v>
      </c>
      <c r="AA674" s="74">
        <v>9999.0</v>
      </c>
      <c r="AB674" s="119"/>
      <c r="AC674" s="119"/>
      <c r="AD674" s="119"/>
      <c r="AE674" s="74">
        <v>1.0</v>
      </c>
      <c r="AF674" s="74" t="s">
        <v>18902</v>
      </c>
      <c r="AG674" s="120">
        <v>7213.0</v>
      </c>
      <c r="AH674" s="74" t="s">
        <v>26806</v>
      </c>
      <c r="AI674" s="74" t="s">
        <v>26807</v>
      </c>
      <c r="AJ674" s="120">
        <v>675.0</v>
      </c>
    </row>
    <row r="675">
      <c r="A675" s="74" t="s">
        <v>26800</v>
      </c>
      <c r="B675" s="74" t="s">
        <v>6876</v>
      </c>
      <c r="C675" s="74" t="s">
        <v>6877</v>
      </c>
      <c r="D675" s="74" t="s">
        <v>8493</v>
      </c>
      <c r="E675" s="146">
        <v>43844.0</v>
      </c>
      <c r="F675" s="74" t="s">
        <v>26809</v>
      </c>
      <c r="G675" s="74">
        <v>58.0</v>
      </c>
      <c r="H675" s="74">
        <v>1.0</v>
      </c>
      <c r="I675" s="74">
        <v>1.0</v>
      </c>
      <c r="J675" s="119"/>
      <c r="K675" s="119"/>
      <c r="L675" s="74" t="s">
        <v>486</v>
      </c>
      <c r="M675" s="74" t="s">
        <v>486</v>
      </c>
      <c r="N675" s="133">
        <v>43832.0</v>
      </c>
      <c r="O675" s="74">
        <v>1.0</v>
      </c>
      <c r="P675" s="74">
        <v>1.0</v>
      </c>
      <c r="Q675" s="119"/>
      <c r="R675" s="74" t="s">
        <v>26447</v>
      </c>
      <c r="S675" s="119"/>
      <c r="T675" s="146">
        <v>43654.0</v>
      </c>
      <c r="U675" s="74">
        <v>30.72</v>
      </c>
      <c r="V675" s="74">
        <v>9999.0</v>
      </c>
      <c r="W675" s="119"/>
      <c r="X675" s="119"/>
      <c r="Y675" s="146">
        <v>43654.0</v>
      </c>
      <c r="Z675" s="74">
        <v>34.98</v>
      </c>
      <c r="AA675" s="74">
        <v>9999.0</v>
      </c>
      <c r="AB675" s="119"/>
      <c r="AC675" s="119"/>
      <c r="AD675" s="119"/>
      <c r="AE675" s="74">
        <v>1.0</v>
      </c>
      <c r="AF675" s="74" t="s">
        <v>18902</v>
      </c>
      <c r="AG675" s="120">
        <v>7214.0</v>
      </c>
      <c r="AH675" s="74" t="s">
        <v>26815</v>
      </c>
      <c r="AI675" s="74" t="s">
        <v>26816</v>
      </c>
      <c r="AJ675" s="120">
        <v>676.0</v>
      </c>
    </row>
    <row r="676">
      <c r="A676" s="74" t="s">
        <v>26809</v>
      </c>
      <c r="B676" s="74" t="s">
        <v>6876</v>
      </c>
      <c r="C676" s="74" t="s">
        <v>6877</v>
      </c>
      <c r="D676" s="74" t="s">
        <v>8493</v>
      </c>
      <c r="E676" s="146">
        <v>43844.0</v>
      </c>
      <c r="F676" s="74" t="s">
        <v>26819</v>
      </c>
      <c r="G676" s="74">
        <v>58.0</v>
      </c>
      <c r="H676" s="74">
        <v>1.0</v>
      </c>
      <c r="I676" s="74">
        <v>10.0</v>
      </c>
      <c r="J676" s="119"/>
      <c r="K676" s="119"/>
      <c r="L676" s="74" t="s">
        <v>488</v>
      </c>
      <c r="M676" s="74" t="s">
        <v>488</v>
      </c>
      <c r="N676" s="133">
        <v>43832.0</v>
      </c>
      <c r="O676" s="74">
        <v>1.0</v>
      </c>
      <c r="P676" s="74">
        <v>1.0</v>
      </c>
      <c r="Q676" s="119"/>
      <c r="R676" s="74" t="s">
        <v>26761</v>
      </c>
      <c r="S676" s="119"/>
      <c r="T676" s="146">
        <v>43623.0</v>
      </c>
      <c r="U676" s="74">
        <v>9999.0</v>
      </c>
      <c r="V676" s="74">
        <v>9999.0</v>
      </c>
      <c r="W676" s="119"/>
      <c r="X676" s="119"/>
      <c r="Y676" s="146">
        <v>43623.0</v>
      </c>
      <c r="Z676" s="74">
        <v>38.62</v>
      </c>
      <c r="AA676" s="74">
        <v>38.71</v>
      </c>
      <c r="AB676" s="119"/>
      <c r="AC676" s="119"/>
      <c r="AD676" s="119"/>
      <c r="AE676" s="74">
        <v>1.0</v>
      </c>
      <c r="AF676" s="74" t="s">
        <v>18902</v>
      </c>
      <c r="AG676" s="120">
        <v>7215.0</v>
      </c>
      <c r="AH676" s="74" t="s">
        <v>26828</v>
      </c>
      <c r="AI676" s="74" t="s">
        <v>26829</v>
      </c>
      <c r="AJ676" s="120">
        <v>677.0</v>
      </c>
    </row>
    <row r="677">
      <c r="A677" s="74" t="s">
        <v>26819</v>
      </c>
      <c r="B677" s="74" t="s">
        <v>6876</v>
      </c>
      <c r="C677" s="74" t="s">
        <v>6877</v>
      </c>
      <c r="D677" s="74" t="s">
        <v>8493</v>
      </c>
      <c r="E677" s="146">
        <v>43844.0</v>
      </c>
      <c r="F677" s="74" t="s">
        <v>26831</v>
      </c>
      <c r="G677" s="74">
        <v>57.0</v>
      </c>
      <c r="H677" s="74">
        <v>1.0</v>
      </c>
      <c r="I677" s="74">
        <v>12.0</v>
      </c>
      <c r="J677" s="119"/>
      <c r="K677" s="119"/>
      <c r="L677" s="74" t="s">
        <v>494</v>
      </c>
      <c r="M677" s="74" t="s">
        <v>494</v>
      </c>
      <c r="N677" s="74">
        <v>1.0</v>
      </c>
      <c r="O677" s="74">
        <v>1.0</v>
      </c>
      <c r="P677" s="74">
        <v>0.0</v>
      </c>
      <c r="Q677" s="119"/>
      <c r="R677" s="74" t="s">
        <v>26834</v>
      </c>
      <c r="S677" s="119"/>
      <c r="T677" s="146">
        <v>43640.0</v>
      </c>
      <c r="U677" s="74">
        <v>27.32</v>
      </c>
      <c r="V677" s="74">
        <v>9999.0</v>
      </c>
      <c r="W677" s="119"/>
      <c r="X677" s="119"/>
      <c r="Y677" s="119"/>
      <c r="Z677" s="119"/>
      <c r="AA677" s="119"/>
      <c r="AB677" s="119"/>
      <c r="AC677" s="119"/>
      <c r="AD677" s="119"/>
      <c r="AE677" s="74">
        <v>1.0</v>
      </c>
      <c r="AF677" s="74" t="s">
        <v>18902</v>
      </c>
      <c r="AG677" s="120">
        <v>7216.0</v>
      </c>
      <c r="AH677" s="74" t="s">
        <v>26837</v>
      </c>
      <c r="AI677" s="74" t="s">
        <v>26838</v>
      </c>
      <c r="AJ677" s="120">
        <v>678.0</v>
      </c>
    </row>
    <row r="678">
      <c r="A678" s="74" t="s">
        <v>26840</v>
      </c>
      <c r="B678" s="74" t="s">
        <v>6876</v>
      </c>
      <c r="C678" s="74" t="s">
        <v>6877</v>
      </c>
      <c r="D678" s="74" t="s">
        <v>8493</v>
      </c>
      <c r="E678" s="146">
        <v>43844.0</v>
      </c>
      <c r="F678" s="74" t="s">
        <v>26843</v>
      </c>
      <c r="G678" s="74">
        <v>57.0</v>
      </c>
      <c r="H678" s="74">
        <v>1.0</v>
      </c>
      <c r="I678" s="74">
        <v>12.0</v>
      </c>
      <c r="J678" s="119"/>
      <c r="K678" s="119"/>
      <c r="L678" s="74" t="s">
        <v>496</v>
      </c>
      <c r="M678" s="74" t="s">
        <v>496</v>
      </c>
      <c r="N678" s="133">
        <v>43832.0</v>
      </c>
      <c r="O678" s="74">
        <v>1.0</v>
      </c>
      <c r="P678" s="74">
        <v>1.0</v>
      </c>
      <c r="Q678" s="119"/>
      <c r="R678" s="74" t="s">
        <v>26467</v>
      </c>
      <c r="S678" s="119"/>
      <c r="T678" s="146">
        <v>43790.0</v>
      </c>
      <c r="U678" s="74">
        <v>33.49</v>
      </c>
      <c r="V678" s="74">
        <v>32.63</v>
      </c>
      <c r="W678" s="119"/>
      <c r="X678" s="119"/>
      <c r="Y678" s="146">
        <v>43790.0</v>
      </c>
      <c r="Z678" s="74">
        <v>35.36</v>
      </c>
      <c r="AA678" s="74">
        <v>35.56</v>
      </c>
      <c r="AB678" s="119"/>
      <c r="AC678" s="119"/>
      <c r="AD678" s="119"/>
      <c r="AE678" s="74">
        <v>1.0</v>
      </c>
      <c r="AF678" s="74" t="s">
        <v>18902</v>
      </c>
      <c r="AG678" s="120">
        <v>7217.0</v>
      </c>
      <c r="AH678" s="74" t="s">
        <v>26848</v>
      </c>
      <c r="AI678" s="74" t="s">
        <v>26849</v>
      </c>
      <c r="AJ678" s="120">
        <v>679.0</v>
      </c>
    </row>
    <row r="679">
      <c r="A679" s="74" t="s">
        <v>26850</v>
      </c>
      <c r="B679" s="74" t="s">
        <v>6876</v>
      </c>
      <c r="C679" s="74" t="s">
        <v>6877</v>
      </c>
      <c r="D679" s="74" t="s">
        <v>8493</v>
      </c>
      <c r="E679" s="146">
        <v>43851.0</v>
      </c>
      <c r="F679" s="74" t="s">
        <v>26852</v>
      </c>
      <c r="G679" s="74">
        <v>59.0</v>
      </c>
      <c r="H679" s="74">
        <v>1.0</v>
      </c>
      <c r="I679" s="74">
        <v>12.0</v>
      </c>
      <c r="J679" s="119"/>
      <c r="K679" s="119"/>
      <c r="L679" s="74" t="s">
        <v>2006</v>
      </c>
      <c r="M679" s="74" t="s">
        <v>2006</v>
      </c>
      <c r="N679" s="133">
        <v>43832.0</v>
      </c>
      <c r="O679" s="74">
        <v>1.0</v>
      </c>
      <c r="P679" s="74">
        <v>1.0</v>
      </c>
      <c r="Q679" s="119"/>
      <c r="R679" s="74" t="s">
        <v>26855</v>
      </c>
      <c r="S679" s="119"/>
      <c r="T679" s="146">
        <v>43844.0</v>
      </c>
      <c r="U679" s="74">
        <v>25.12</v>
      </c>
      <c r="V679" s="74">
        <v>25.51</v>
      </c>
      <c r="W679" s="119"/>
      <c r="X679" s="119"/>
      <c r="Y679" s="146">
        <v>43844.0</v>
      </c>
      <c r="Z679" s="74">
        <v>35.32</v>
      </c>
      <c r="AA679" s="74">
        <v>37.71</v>
      </c>
      <c r="AB679" s="119"/>
      <c r="AC679" s="119"/>
      <c r="AD679" s="119"/>
      <c r="AE679" s="74">
        <v>1.0</v>
      </c>
      <c r="AF679" s="74" t="s">
        <v>18902</v>
      </c>
      <c r="AG679" s="120">
        <v>7348.0</v>
      </c>
      <c r="AH679" s="74" t="s">
        <v>26859</v>
      </c>
      <c r="AI679" s="74" t="s">
        <v>26860</v>
      </c>
      <c r="AJ679" s="120">
        <v>680.0</v>
      </c>
    </row>
    <row r="680">
      <c r="A680" s="74" t="s">
        <v>26852</v>
      </c>
      <c r="B680" s="74" t="s">
        <v>6876</v>
      </c>
      <c r="C680" s="74" t="s">
        <v>6877</v>
      </c>
      <c r="D680" s="74" t="s">
        <v>8493</v>
      </c>
      <c r="E680" s="146">
        <v>43851.0</v>
      </c>
      <c r="F680" s="74" t="s">
        <v>26862</v>
      </c>
      <c r="G680" s="74">
        <v>65.0</v>
      </c>
      <c r="H680" s="74">
        <v>1.0</v>
      </c>
      <c r="I680" s="74">
        <v>12.0</v>
      </c>
      <c r="J680" s="119"/>
      <c r="K680" s="119"/>
      <c r="L680" s="74" t="s">
        <v>2009</v>
      </c>
      <c r="M680" s="74" t="s">
        <v>2009</v>
      </c>
      <c r="N680" s="133">
        <v>43832.0</v>
      </c>
      <c r="O680" s="74">
        <v>1.0</v>
      </c>
      <c r="P680" s="74">
        <v>1.0</v>
      </c>
      <c r="Q680" s="119"/>
      <c r="R680" s="74" t="s">
        <v>26855</v>
      </c>
      <c r="S680" s="119"/>
      <c r="T680" s="146">
        <v>43844.0</v>
      </c>
      <c r="U680" s="74">
        <v>23.99</v>
      </c>
      <c r="V680" s="74">
        <v>23.18</v>
      </c>
      <c r="W680" s="119"/>
      <c r="X680" s="119"/>
      <c r="Y680" s="146">
        <v>43844.0</v>
      </c>
      <c r="Z680" s="74">
        <v>32.58</v>
      </c>
      <c r="AA680" s="74">
        <v>37.72</v>
      </c>
      <c r="AB680" s="119"/>
      <c r="AC680" s="119"/>
      <c r="AD680" s="119"/>
      <c r="AE680" s="74">
        <v>1.0</v>
      </c>
      <c r="AF680" s="74" t="s">
        <v>18902</v>
      </c>
      <c r="AG680" s="120">
        <v>7349.0</v>
      </c>
      <c r="AH680" s="74" t="s">
        <v>26866</v>
      </c>
      <c r="AI680" s="74" t="s">
        <v>26868</v>
      </c>
      <c r="AJ680" s="120">
        <v>681.0</v>
      </c>
    </row>
    <row r="681">
      <c r="A681" s="74" t="s">
        <v>26862</v>
      </c>
      <c r="B681" s="74" t="s">
        <v>6876</v>
      </c>
      <c r="C681" s="74" t="s">
        <v>6877</v>
      </c>
      <c r="D681" s="74" t="s">
        <v>8493</v>
      </c>
      <c r="E681" s="146">
        <v>43851.0</v>
      </c>
      <c r="F681" s="74" t="s">
        <v>26871</v>
      </c>
      <c r="G681" s="74">
        <v>59.0</v>
      </c>
      <c r="H681" s="74">
        <v>1.0</v>
      </c>
      <c r="I681" s="74">
        <v>11.0</v>
      </c>
      <c r="J681" s="119"/>
      <c r="K681" s="119"/>
      <c r="L681" s="74" t="s">
        <v>1988</v>
      </c>
      <c r="M681" s="74" t="s">
        <v>1988</v>
      </c>
      <c r="N681" s="133">
        <v>43832.0</v>
      </c>
      <c r="O681" s="74">
        <v>1.0</v>
      </c>
      <c r="P681" s="74">
        <v>1.0</v>
      </c>
      <c r="Q681" s="119"/>
      <c r="R681" s="74" t="s">
        <v>26855</v>
      </c>
      <c r="S681" s="119"/>
      <c r="T681" s="146">
        <v>43844.0</v>
      </c>
      <c r="U681" s="74">
        <v>27.84</v>
      </c>
      <c r="V681" s="74">
        <v>28.0</v>
      </c>
      <c r="W681" s="119"/>
      <c r="X681" s="119"/>
      <c r="Y681" s="146">
        <v>43844.0</v>
      </c>
      <c r="Z681" s="74">
        <v>40.0</v>
      </c>
      <c r="AA681" s="74">
        <v>9999.0</v>
      </c>
      <c r="AB681" s="119"/>
      <c r="AC681" s="119"/>
      <c r="AD681" s="119"/>
      <c r="AE681" s="74">
        <v>1.0</v>
      </c>
      <c r="AF681" s="74" t="s">
        <v>18902</v>
      </c>
      <c r="AG681" s="120">
        <v>7350.0</v>
      </c>
      <c r="AH681" s="74" t="s">
        <v>26878</v>
      </c>
      <c r="AI681" s="74" t="s">
        <v>26880</v>
      </c>
      <c r="AJ681" s="120">
        <v>682.0</v>
      </c>
    </row>
    <row r="682">
      <c r="A682" s="74" t="s">
        <v>26871</v>
      </c>
      <c r="B682" s="74" t="s">
        <v>6876</v>
      </c>
      <c r="C682" s="74" t="s">
        <v>6877</v>
      </c>
      <c r="D682" s="74" t="s">
        <v>8493</v>
      </c>
      <c r="E682" s="146">
        <v>43851.0</v>
      </c>
      <c r="F682" s="74" t="s">
        <v>26882</v>
      </c>
      <c r="G682" s="74">
        <v>59.0</v>
      </c>
      <c r="H682" s="74">
        <v>1.0</v>
      </c>
      <c r="I682" s="74">
        <v>11.0</v>
      </c>
      <c r="J682" s="119"/>
      <c r="K682" s="119"/>
      <c r="L682" s="74" t="s">
        <v>1991</v>
      </c>
      <c r="M682" s="74" t="s">
        <v>1991</v>
      </c>
      <c r="N682" s="133">
        <v>43832.0</v>
      </c>
      <c r="O682" s="74">
        <v>1.0</v>
      </c>
      <c r="P682" s="74">
        <v>1.0</v>
      </c>
      <c r="Q682" s="119"/>
      <c r="R682" s="74" t="s">
        <v>26855</v>
      </c>
      <c r="S682" s="119"/>
      <c r="T682" s="146">
        <v>43844.0</v>
      </c>
      <c r="U682" s="74">
        <v>28.77</v>
      </c>
      <c r="V682" s="74">
        <v>9999.0</v>
      </c>
      <c r="W682" s="119"/>
      <c r="X682" s="119"/>
      <c r="Y682" s="146">
        <v>43844.0</v>
      </c>
      <c r="Z682" s="74">
        <v>9999.0</v>
      </c>
      <c r="AA682" s="74">
        <v>9999.0</v>
      </c>
      <c r="AB682" s="119"/>
      <c r="AC682" s="119"/>
      <c r="AD682" s="119"/>
      <c r="AE682" s="74">
        <v>1.0</v>
      </c>
      <c r="AF682" s="74" t="s">
        <v>18902</v>
      </c>
      <c r="AG682" s="120">
        <v>7351.0</v>
      </c>
      <c r="AH682" s="74" t="s">
        <v>26891</v>
      </c>
      <c r="AI682" s="74" t="s">
        <v>26893</v>
      </c>
      <c r="AJ682" s="120">
        <v>683.0</v>
      </c>
    </row>
    <row r="683">
      <c r="A683" s="74" t="s">
        <v>26882</v>
      </c>
      <c r="B683" s="74" t="s">
        <v>6876</v>
      </c>
      <c r="C683" s="74" t="s">
        <v>6877</v>
      </c>
      <c r="D683" s="74" t="s">
        <v>8493</v>
      </c>
      <c r="E683" s="146">
        <v>43851.0</v>
      </c>
      <c r="F683" s="74" t="s">
        <v>26896</v>
      </c>
      <c r="G683" s="74">
        <v>59.0</v>
      </c>
      <c r="H683" s="74">
        <v>1.0</v>
      </c>
      <c r="I683" s="74">
        <v>11.0</v>
      </c>
      <c r="J683" s="119"/>
      <c r="K683" s="119"/>
      <c r="L683" s="74" t="s">
        <v>1994</v>
      </c>
      <c r="M683" s="74" t="s">
        <v>1994</v>
      </c>
      <c r="N683" s="133">
        <v>43832.0</v>
      </c>
      <c r="O683" s="74">
        <v>1.0</v>
      </c>
      <c r="P683" s="74">
        <v>1.0</v>
      </c>
      <c r="Q683" s="119"/>
      <c r="R683" s="74" t="s">
        <v>26855</v>
      </c>
      <c r="S683" s="119"/>
      <c r="T683" s="146">
        <v>43844.0</v>
      </c>
      <c r="U683" s="74">
        <v>23.23</v>
      </c>
      <c r="V683" s="74">
        <v>20.83</v>
      </c>
      <c r="W683" s="119"/>
      <c r="X683" s="119"/>
      <c r="Y683" s="146">
        <v>43844.0</v>
      </c>
      <c r="Z683" s="74">
        <v>9999.0</v>
      </c>
      <c r="AA683" s="74">
        <v>9999.0</v>
      </c>
      <c r="AB683" s="119"/>
      <c r="AC683" s="119"/>
      <c r="AD683" s="119"/>
      <c r="AE683" s="74">
        <v>1.0</v>
      </c>
      <c r="AF683" s="74" t="s">
        <v>18902</v>
      </c>
      <c r="AG683" s="120">
        <v>7352.0</v>
      </c>
      <c r="AH683" s="74" t="s">
        <v>26899</v>
      </c>
      <c r="AI683" s="74" t="s">
        <v>26900</v>
      </c>
      <c r="AJ683" s="120">
        <v>684.0</v>
      </c>
    </row>
    <row r="684">
      <c r="A684" s="74" t="s">
        <v>26896</v>
      </c>
      <c r="B684" s="74" t="s">
        <v>6876</v>
      </c>
      <c r="C684" s="74" t="s">
        <v>6877</v>
      </c>
      <c r="D684" s="74" t="s">
        <v>8493</v>
      </c>
      <c r="E684" s="146">
        <v>43851.0</v>
      </c>
      <c r="F684" s="74" t="s">
        <v>26903</v>
      </c>
      <c r="G684" s="74">
        <v>59.0</v>
      </c>
      <c r="H684" s="74">
        <v>1.0</v>
      </c>
      <c r="I684" s="74">
        <v>11.0</v>
      </c>
      <c r="J684" s="119"/>
      <c r="K684" s="119"/>
      <c r="L684" s="74" t="s">
        <v>1997</v>
      </c>
      <c r="M684" s="74" t="s">
        <v>1997</v>
      </c>
      <c r="N684" s="133">
        <v>43832.0</v>
      </c>
      <c r="O684" s="74">
        <v>1.0</v>
      </c>
      <c r="P684" s="74">
        <v>1.0</v>
      </c>
      <c r="Q684" s="119"/>
      <c r="R684" s="74" t="s">
        <v>26855</v>
      </c>
      <c r="S684" s="119"/>
      <c r="T684" s="146">
        <v>43844.0</v>
      </c>
      <c r="U684" s="74">
        <v>9999.0</v>
      </c>
      <c r="V684" s="74">
        <v>9999.0</v>
      </c>
      <c r="W684" s="119"/>
      <c r="X684" s="119"/>
      <c r="Y684" s="146">
        <v>43844.0</v>
      </c>
      <c r="Z684" s="74">
        <v>9999.0</v>
      </c>
      <c r="AA684" s="74">
        <v>9999.0</v>
      </c>
      <c r="AB684" s="119"/>
      <c r="AC684" s="119"/>
      <c r="AD684" s="119"/>
      <c r="AE684" s="74">
        <v>1.0</v>
      </c>
      <c r="AF684" s="74" t="s">
        <v>18902</v>
      </c>
      <c r="AG684" s="120">
        <v>7353.0</v>
      </c>
      <c r="AH684" s="74" t="s">
        <v>26909</v>
      </c>
      <c r="AI684" s="74" t="s">
        <v>26910</v>
      </c>
      <c r="AJ684" s="120">
        <v>685.0</v>
      </c>
    </row>
    <row r="685">
      <c r="A685" s="74" t="s">
        <v>26903</v>
      </c>
      <c r="B685" s="74" t="s">
        <v>6876</v>
      </c>
      <c r="C685" s="74" t="s">
        <v>6877</v>
      </c>
      <c r="D685" s="74" t="s">
        <v>8493</v>
      </c>
      <c r="E685" s="146">
        <v>43851.0</v>
      </c>
      <c r="F685" s="74" t="s">
        <v>26912</v>
      </c>
      <c r="G685" s="74">
        <v>59.0</v>
      </c>
      <c r="H685" s="74">
        <v>1.0</v>
      </c>
      <c r="I685" s="74">
        <v>11.0</v>
      </c>
      <c r="J685" s="119"/>
      <c r="K685" s="119"/>
      <c r="L685" s="74" t="s">
        <v>2000</v>
      </c>
      <c r="M685" s="74" t="s">
        <v>2000</v>
      </c>
      <c r="N685" s="133">
        <v>43832.0</v>
      </c>
      <c r="O685" s="74">
        <v>1.0</v>
      </c>
      <c r="P685" s="74">
        <v>1.0</v>
      </c>
      <c r="Q685" s="119"/>
      <c r="R685" s="74" t="s">
        <v>26855</v>
      </c>
      <c r="S685" s="119"/>
      <c r="T685" s="146">
        <v>43844.0</v>
      </c>
      <c r="U685" s="74">
        <v>9999.0</v>
      </c>
      <c r="V685" s="74">
        <v>9999.0</v>
      </c>
      <c r="W685" s="119"/>
      <c r="X685" s="119"/>
      <c r="Y685" s="146">
        <v>43844.0</v>
      </c>
      <c r="Z685" s="74">
        <v>9999.0</v>
      </c>
      <c r="AA685" s="74">
        <v>9999.0</v>
      </c>
      <c r="AB685" s="119"/>
      <c r="AC685" s="119"/>
      <c r="AD685" s="119"/>
      <c r="AE685" s="74">
        <v>1.0</v>
      </c>
      <c r="AF685" s="74" t="s">
        <v>18902</v>
      </c>
      <c r="AG685" s="120">
        <v>7354.0</v>
      </c>
      <c r="AH685" s="74" t="s">
        <v>26917</v>
      </c>
      <c r="AI685" s="74" t="s">
        <v>26918</v>
      </c>
      <c r="AJ685" s="120">
        <v>686.0</v>
      </c>
    </row>
    <row r="686">
      <c r="A686" s="74" t="s">
        <v>26912</v>
      </c>
      <c r="B686" s="74" t="s">
        <v>6876</v>
      </c>
      <c r="C686" s="74" t="s">
        <v>6877</v>
      </c>
      <c r="D686" s="74" t="s">
        <v>8493</v>
      </c>
      <c r="E686" s="146">
        <v>43851.0</v>
      </c>
      <c r="F686" s="74" t="s">
        <v>26919</v>
      </c>
      <c r="G686" s="74">
        <v>59.0</v>
      </c>
      <c r="H686" s="74">
        <v>1.0</v>
      </c>
      <c r="I686" s="74">
        <v>11.0</v>
      </c>
      <c r="J686" s="119"/>
      <c r="K686" s="119"/>
      <c r="L686" s="74" t="s">
        <v>2014</v>
      </c>
      <c r="M686" s="74" t="s">
        <v>2014</v>
      </c>
      <c r="N686" s="133">
        <v>43832.0</v>
      </c>
      <c r="O686" s="74">
        <v>1.0</v>
      </c>
      <c r="P686" s="74">
        <v>1.0</v>
      </c>
      <c r="Q686" s="119"/>
      <c r="R686" s="74" t="s">
        <v>26855</v>
      </c>
      <c r="S686" s="119"/>
      <c r="T686" s="146">
        <v>43844.0</v>
      </c>
      <c r="U686" s="74">
        <v>28.42</v>
      </c>
      <c r="V686" s="74">
        <v>27.75</v>
      </c>
      <c r="W686" s="119"/>
      <c r="X686" s="119"/>
      <c r="Y686" s="146">
        <v>43844.0</v>
      </c>
      <c r="Z686" s="74">
        <v>9999.0</v>
      </c>
      <c r="AA686" s="74">
        <v>9999.0</v>
      </c>
      <c r="AB686" s="119"/>
      <c r="AC686" s="119"/>
      <c r="AD686" s="119"/>
      <c r="AE686" s="74">
        <v>1.0</v>
      </c>
      <c r="AF686" s="74" t="s">
        <v>18902</v>
      </c>
      <c r="AG686" s="120">
        <v>7355.0</v>
      </c>
      <c r="AH686" s="74" t="s">
        <v>26925</v>
      </c>
      <c r="AI686" s="74" t="s">
        <v>26926</v>
      </c>
      <c r="AJ686" s="120">
        <v>687.0</v>
      </c>
    </row>
    <row r="687">
      <c r="A687" s="74" t="s">
        <v>26919</v>
      </c>
      <c r="B687" s="74" t="s">
        <v>6876</v>
      </c>
      <c r="C687" s="74" t="s">
        <v>6877</v>
      </c>
      <c r="D687" s="74" t="s">
        <v>8493</v>
      </c>
      <c r="E687" s="146">
        <v>43851.0</v>
      </c>
      <c r="F687" s="74" t="s">
        <v>26929</v>
      </c>
      <c r="G687" s="74">
        <v>59.0</v>
      </c>
      <c r="H687" s="74">
        <v>1.0</v>
      </c>
      <c r="I687" s="74">
        <v>11.0</v>
      </c>
      <c r="J687" s="119"/>
      <c r="K687" s="119"/>
      <c r="L687" s="74" t="s">
        <v>2019</v>
      </c>
      <c r="M687" s="74" t="s">
        <v>2019</v>
      </c>
      <c r="N687" s="133">
        <v>43832.0</v>
      </c>
      <c r="O687" s="74">
        <v>1.0</v>
      </c>
      <c r="P687" s="74">
        <v>1.0</v>
      </c>
      <c r="Q687" s="119"/>
      <c r="R687" s="74" t="s">
        <v>26855</v>
      </c>
      <c r="S687" s="119"/>
      <c r="T687" s="146">
        <v>43844.0</v>
      </c>
      <c r="U687" s="74">
        <v>9999.0</v>
      </c>
      <c r="V687" s="74">
        <v>9999.0</v>
      </c>
      <c r="W687" s="119"/>
      <c r="X687" s="119"/>
      <c r="Y687" s="146">
        <v>43844.0</v>
      </c>
      <c r="Z687" s="74">
        <v>9999.0</v>
      </c>
      <c r="AA687" s="74">
        <v>9999.0</v>
      </c>
      <c r="AB687" s="119"/>
      <c r="AC687" s="119"/>
      <c r="AD687" s="119"/>
      <c r="AE687" s="74">
        <v>1.0</v>
      </c>
      <c r="AF687" s="74" t="s">
        <v>18902</v>
      </c>
      <c r="AG687" s="120">
        <v>7356.0</v>
      </c>
      <c r="AH687" s="74" t="s">
        <v>26935</v>
      </c>
      <c r="AI687" s="74" t="s">
        <v>26936</v>
      </c>
      <c r="AJ687" s="120">
        <v>688.0</v>
      </c>
    </row>
    <row r="688">
      <c r="A688" s="74" t="s">
        <v>26937</v>
      </c>
      <c r="B688" s="74" t="s">
        <v>6876</v>
      </c>
      <c r="C688" s="74" t="s">
        <v>6877</v>
      </c>
      <c r="D688" s="74" t="s">
        <v>8493</v>
      </c>
      <c r="E688" s="146">
        <v>43851.0</v>
      </c>
      <c r="F688" s="74" t="s">
        <v>26939</v>
      </c>
      <c r="G688" s="74">
        <v>59.0</v>
      </c>
      <c r="H688" s="74">
        <v>1.0</v>
      </c>
      <c r="I688" s="74">
        <v>99.0</v>
      </c>
      <c r="J688" s="119"/>
      <c r="K688" s="119"/>
      <c r="L688" s="74" t="s">
        <v>2022</v>
      </c>
      <c r="M688" s="74" t="s">
        <v>2022</v>
      </c>
      <c r="N688" s="133">
        <v>43832.0</v>
      </c>
      <c r="O688" s="74">
        <v>1.0</v>
      </c>
      <c r="P688" s="74">
        <v>1.0</v>
      </c>
      <c r="Q688" s="119"/>
      <c r="R688" s="74" t="s">
        <v>26855</v>
      </c>
      <c r="S688" s="119"/>
      <c r="T688" s="146">
        <v>43844.0</v>
      </c>
      <c r="U688" s="74">
        <v>9999.0</v>
      </c>
      <c r="V688" s="74">
        <v>9999.0</v>
      </c>
      <c r="W688" s="119"/>
      <c r="X688" s="119"/>
      <c r="Y688" s="146">
        <v>43844.0</v>
      </c>
      <c r="Z688" s="74">
        <v>9999.0</v>
      </c>
      <c r="AA688" s="74">
        <v>9999.0</v>
      </c>
      <c r="AB688" s="119"/>
      <c r="AC688" s="119"/>
      <c r="AD688" s="74" t="s">
        <v>26944</v>
      </c>
      <c r="AE688" s="74">
        <v>1.0</v>
      </c>
      <c r="AF688" s="74" t="s">
        <v>18902</v>
      </c>
      <c r="AG688" s="120">
        <v>7357.0</v>
      </c>
      <c r="AH688" s="74" t="s">
        <v>26945</v>
      </c>
      <c r="AI688" s="74" t="s">
        <v>26946</v>
      </c>
      <c r="AJ688" s="120">
        <v>689.0</v>
      </c>
    </row>
    <row r="689">
      <c r="A689" s="74" t="s">
        <v>26947</v>
      </c>
      <c r="B689" s="74" t="s">
        <v>6876</v>
      </c>
      <c r="C689" s="74" t="s">
        <v>6877</v>
      </c>
      <c r="D689" s="74" t="s">
        <v>8493</v>
      </c>
      <c r="E689" s="146">
        <v>43851.0</v>
      </c>
      <c r="F689" s="74" t="s">
        <v>26949</v>
      </c>
      <c r="G689" s="74">
        <v>59.0</v>
      </c>
      <c r="H689" s="74">
        <v>1.0</v>
      </c>
      <c r="I689" s="74">
        <v>11.0</v>
      </c>
      <c r="J689" s="119"/>
      <c r="K689" s="119"/>
      <c r="L689" s="74" t="s">
        <v>2023</v>
      </c>
      <c r="M689" s="74" t="s">
        <v>2023</v>
      </c>
      <c r="N689" s="133">
        <v>43832.0</v>
      </c>
      <c r="O689" s="74">
        <v>1.0</v>
      </c>
      <c r="P689" s="74">
        <v>1.0</v>
      </c>
      <c r="Q689" s="119"/>
      <c r="R689" s="74" t="s">
        <v>26855</v>
      </c>
      <c r="S689" s="119"/>
      <c r="T689" s="146">
        <v>43844.0</v>
      </c>
      <c r="U689" s="74">
        <v>25.75</v>
      </c>
      <c r="V689" s="74">
        <v>26.17</v>
      </c>
      <c r="W689" s="119"/>
      <c r="X689" s="119"/>
      <c r="Y689" s="146">
        <v>43844.0</v>
      </c>
      <c r="Z689" s="74">
        <v>9999.0</v>
      </c>
      <c r="AA689" s="74">
        <v>9999.0</v>
      </c>
      <c r="AB689" s="119"/>
      <c r="AC689" s="119"/>
      <c r="AD689" s="119"/>
      <c r="AE689" s="74">
        <v>1.0</v>
      </c>
      <c r="AF689" s="74" t="s">
        <v>18902</v>
      </c>
      <c r="AG689" s="120">
        <v>7358.0</v>
      </c>
      <c r="AH689" s="74" t="s">
        <v>26954</v>
      </c>
      <c r="AI689" s="74" t="s">
        <v>26955</v>
      </c>
      <c r="AJ689" s="120">
        <v>690.0</v>
      </c>
    </row>
    <row r="690">
      <c r="A690" s="74" t="s">
        <v>26958</v>
      </c>
      <c r="B690" s="74" t="s">
        <v>6876</v>
      </c>
      <c r="C690" s="74" t="s">
        <v>6877</v>
      </c>
      <c r="D690" s="74" t="s">
        <v>8493</v>
      </c>
      <c r="E690" s="146">
        <v>43851.0</v>
      </c>
      <c r="F690" s="74" t="s">
        <v>26959</v>
      </c>
      <c r="G690" s="74">
        <v>59.0</v>
      </c>
      <c r="H690" s="74">
        <v>1.0</v>
      </c>
      <c r="I690" s="74">
        <v>11.0</v>
      </c>
      <c r="J690" s="119"/>
      <c r="K690" s="119"/>
      <c r="L690" s="74" t="s">
        <v>2027</v>
      </c>
      <c r="M690" s="74" t="s">
        <v>2027</v>
      </c>
      <c r="N690" s="133">
        <v>43832.0</v>
      </c>
      <c r="O690" s="74">
        <v>1.0</v>
      </c>
      <c r="P690" s="74">
        <v>1.0</v>
      </c>
      <c r="Q690" s="119"/>
      <c r="R690" s="74" t="s">
        <v>26855</v>
      </c>
      <c r="S690" s="119"/>
      <c r="T690" s="146">
        <v>43844.0</v>
      </c>
      <c r="U690" s="74">
        <v>25.18</v>
      </c>
      <c r="V690" s="74">
        <v>25.81</v>
      </c>
      <c r="W690" s="119"/>
      <c r="X690" s="119"/>
      <c r="Y690" s="146">
        <v>43844.0</v>
      </c>
      <c r="Z690" s="74">
        <v>9999.0</v>
      </c>
      <c r="AA690" s="74">
        <v>9999.0</v>
      </c>
      <c r="AB690" s="119"/>
      <c r="AC690" s="119"/>
      <c r="AD690" s="119"/>
      <c r="AE690" s="74">
        <v>1.0</v>
      </c>
      <c r="AF690" s="74" t="s">
        <v>18902</v>
      </c>
      <c r="AG690" s="120">
        <v>7359.0</v>
      </c>
      <c r="AH690" s="74" t="s">
        <v>26965</v>
      </c>
      <c r="AI690" s="74" t="s">
        <v>26966</v>
      </c>
      <c r="AJ690" s="120">
        <v>691.0</v>
      </c>
    </row>
    <row r="691">
      <c r="A691" s="74" t="s">
        <v>26959</v>
      </c>
      <c r="B691" s="74" t="s">
        <v>6876</v>
      </c>
      <c r="C691" s="74" t="s">
        <v>6877</v>
      </c>
      <c r="D691" s="74" t="s">
        <v>8493</v>
      </c>
      <c r="E691" s="146">
        <v>43851.0</v>
      </c>
      <c r="F691" s="74" t="s">
        <v>26969</v>
      </c>
      <c r="G691" s="74">
        <v>57.0</v>
      </c>
      <c r="H691" s="74">
        <v>1.0</v>
      </c>
      <c r="I691" s="74">
        <v>12.0</v>
      </c>
      <c r="J691" s="119"/>
      <c r="K691" s="119"/>
      <c r="L691" s="74" t="s">
        <v>2032</v>
      </c>
      <c r="M691" s="74" t="s">
        <v>2032</v>
      </c>
      <c r="N691" s="133">
        <v>43832.0</v>
      </c>
      <c r="O691" s="74">
        <v>1.0</v>
      </c>
      <c r="P691" s="74">
        <v>1.0</v>
      </c>
      <c r="Q691" s="119"/>
      <c r="R691" s="74" t="s">
        <v>26855</v>
      </c>
      <c r="S691" s="119"/>
      <c r="T691" s="146">
        <v>43844.0</v>
      </c>
      <c r="U691" s="74">
        <v>9999.0</v>
      </c>
      <c r="V691" s="74">
        <v>9999.0</v>
      </c>
      <c r="W691" s="119"/>
      <c r="X691" s="119"/>
      <c r="Y691" s="146">
        <v>43844.0</v>
      </c>
      <c r="Z691" s="74">
        <v>35.89</v>
      </c>
      <c r="AA691" s="74">
        <v>35.55</v>
      </c>
      <c r="AB691" s="119"/>
      <c r="AC691" s="119"/>
      <c r="AD691" s="119"/>
      <c r="AE691" s="74">
        <v>1.0</v>
      </c>
      <c r="AF691" s="74" t="s">
        <v>18902</v>
      </c>
      <c r="AG691" s="120">
        <v>7360.0</v>
      </c>
      <c r="AH691" s="74" t="s">
        <v>26975</v>
      </c>
      <c r="AI691" s="74" t="s">
        <v>26976</v>
      </c>
      <c r="AJ691" s="120">
        <v>692.0</v>
      </c>
    </row>
    <row r="692">
      <c r="A692" s="74" t="s">
        <v>26969</v>
      </c>
      <c r="B692" s="74" t="s">
        <v>6876</v>
      </c>
      <c r="C692" s="74" t="s">
        <v>6877</v>
      </c>
      <c r="D692" s="74" t="s">
        <v>8493</v>
      </c>
      <c r="E692" s="146">
        <v>43851.0</v>
      </c>
      <c r="F692" s="74" t="s">
        <v>26978</v>
      </c>
      <c r="G692" s="74">
        <v>57.0</v>
      </c>
      <c r="H692" s="74">
        <v>1.0</v>
      </c>
      <c r="I692" s="74">
        <v>99.0</v>
      </c>
      <c r="J692" s="119"/>
      <c r="K692" s="119"/>
      <c r="L692" s="74" t="s">
        <v>2034</v>
      </c>
      <c r="M692" s="74" t="s">
        <v>2034</v>
      </c>
      <c r="N692" s="133">
        <v>43832.0</v>
      </c>
      <c r="O692" s="74">
        <v>1.0</v>
      </c>
      <c r="P692" s="74">
        <v>1.0</v>
      </c>
      <c r="Q692" s="119"/>
      <c r="R692" s="74" t="s">
        <v>26855</v>
      </c>
      <c r="S692" s="119"/>
      <c r="T692" s="146">
        <v>43844.0</v>
      </c>
      <c r="U692" s="74">
        <v>9999.0</v>
      </c>
      <c r="V692" s="74">
        <v>9999.0</v>
      </c>
      <c r="W692" s="119"/>
      <c r="X692" s="119"/>
      <c r="Y692" s="146">
        <v>43844.0</v>
      </c>
      <c r="Z692" s="74">
        <v>9999.0</v>
      </c>
      <c r="AA692" s="74">
        <v>9999.0</v>
      </c>
      <c r="AB692" s="119"/>
      <c r="AC692" s="119"/>
      <c r="AD692" s="74" t="s">
        <v>26983</v>
      </c>
      <c r="AE692" s="74">
        <v>1.0</v>
      </c>
      <c r="AF692" s="74" t="s">
        <v>18902</v>
      </c>
      <c r="AG692" s="120">
        <v>7361.0</v>
      </c>
      <c r="AH692" s="74" t="s">
        <v>26985</v>
      </c>
      <c r="AI692" s="74" t="s">
        <v>26986</v>
      </c>
      <c r="AJ692" s="120">
        <v>693.0</v>
      </c>
    </row>
    <row r="693">
      <c r="A693" s="74" t="s">
        <v>26978</v>
      </c>
      <c r="B693" s="74" t="s">
        <v>6876</v>
      </c>
      <c r="C693" s="74" t="s">
        <v>6877</v>
      </c>
      <c r="D693" s="74" t="s">
        <v>8493</v>
      </c>
      <c r="E693" s="146">
        <v>43851.0</v>
      </c>
      <c r="F693" s="74" t="s">
        <v>26989</v>
      </c>
      <c r="G693" s="74">
        <v>57.0</v>
      </c>
      <c r="H693" s="74">
        <v>1.0</v>
      </c>
      <c r="I693" s="74">
        <v>12.0</v>
      </c>
      <c r="J693" s="119"/>
      <c r="K693" s="119"/>
      <c r="L693" s="74" t="s">
        <v>2035</v>
      </c>
      <c r="M693" s="74" t="s">
        <v>2035</v>
      </c>
      <c r="N693" s="133">
        <v>43832.0</v>
      </c>
      <c r="O693" s="74">
        <v>1.0</v>
      </c>
      <c r="P693" s="74">
        <v>1.0</v>
      </c>
      <c r="Q693" s="119"/>
      <c r="R693" s="74" t="s">
        <v>26855</v>
      </c>
      <c r="S693" s="119"/>
      <c r="T693" s="146">
        <v>43844.0</v>
      </c>
      <c r="U693" s="74">
        <v>9999.0</v>
      </c>
      <c r="V693" s="74">
        <v>9999.0</v>
      </c>
      <c r="W693" s="119"/>
      <c r="X693" s="119"/>
      <c r="Y693" s="146">
        <v>43844.0</v>
      </c>
      <c r="Z693" s="74">
        <v>38.51</v>
      </c>
      <c r="AA693" s="74">
        <v>37.68</v>
      </c>
      <c r="AB693" s="119"/>
      <c r="AC693" s="119"/>
      <c r="AD693" s="119"/>
      <c r="AE693" s="74">
        <v>1.0</v>
      </c>
      <c r="AF693" s="74" t="s">
        <v>18902</v>
      </c>
      <c r="AG693" s="120">
        <v>7362.0</v>
      </c>
      <c r="AH693" s="74" t="s">
        <v>26992</v>
      </c>
      <c r="AI693" s="74" t="s">
        <v>26993</v>
      </c>
      <c r="AJ693" s="120">
        <v>694.0</v>
      </c>
    </row>
    <row r="694">
      <c r="A694" s="74" t="s">
        <v>26989</v>
      </c>
      <c r="B694" s="74" t="s">
        <v>6876</v>
      </c>
      <c r="C694" s="74" t="s">
        <v>6877</v>
      </c>
      <c r="D694" s="74" t="s">
        <v>8493</v>
      </c>
      <c r="E694" s="146">
        <v>43851.0</v>
      </c>
      <c r="F694" s="74" t="s">
        <v>26994</v>
      </c>
      <c r="G694" s="74">
        <v>55.0</v>
      </c>
      <c r="H694" s="74">
        <v>1.0</v>
      </c>
      <c r="I694" s="74">
        <v>12.0</v>
      </c>
      <c r="J694" s="119"/>
      <c r="K694" s="119"/>
      <c r="L694" s="74" t="s">
        <v>2038</v>
      </c>
      <c r="M694" s="74" t="s">
        <v>2038</v>
      </c>
      <c r="N694" s="133">
        <v>43832.0</v>
      </c>
      <c r="O694" s="74">
        <v>1.0</v>
      </c>
      <c r="P694" s="74">
        <v>1.0</v>
      </c>
      <c r="Q694" s="119"/>
      <c r="R694" s="74" t="s">
        <v>26855</v>
      </c>
      <c r="S694" s="119"/>
      <c r="T694" s="146">
        <v>43844.0</v>
      </c>
      <c r="U694" s="74">
        <v>23.14</v>
      </c>
      <c r="V694" s="74">
        <v>23.11</v>
      </c>
      <c r="W694" s="119"/>
      <c r="X694" s="119"/>
      <c r="Y694" s="146">
        <v>43844.0</v>
      </c>
      <c r="Z694" s="74">
        <v>33.67</v>
      </c>
      <c r="AA694" s="74">
        <v>36.18</v>
      </c>
      <c r="AB694" s="119"/>
      <c r="AC694" s="119"/>
      <c r="AD694" s="119"/>
      <c r="AE694" s="74">
        <v>1.0</v>
      </c>
      <c r="AF694" s="74" t="s">
        <v>18902</v>
      </c>
      <c r="AG694" s="120">
        <v>7363.0</v>
      </c>
      <c r="AH694" s="74" t="s">
        <v>26999</v>
      </c>
      <c r="AI694" s="74" t="s">
        <v>27001</v>
      </c>
      <c r="AJ694" s="120">
        <v>695.0</v>
      </c>
    </row>
    <row r="695">
      <c r="A695" s="74" t="s">
        <v>26994</v>
      </c>
      <c r="B695" s="74" t="s">
        <v>6876</v>
      </c>
      <c r="C695" s="74" t="s">
        <v>6877</v>
      </c>
      <c r="D695" s="74" t="s">
        <v>8493</v>
      </c>
      <c r="E695" s="146">
        <v>43851.0</v>
      </c>
      <c r="F695" s="74" t="s">
        <v>27004</v>
      </c>
      <c r="G695" s="74">
        <v>57.0</v>
      </c>
      <c r="H695" s="74">
        <v>1.0</v>
      </c>
      <c r="I695" s="74">
        <v>16.0</v>
      </c>
      <c r="J695" s="119"/>
      <c r="K695" s="119"/>
      <c r="L695" s="74" t="s">
        <v>2041</v>
      </c>
      <c r="M695" s="74" t="s">
        <v>2041</v>
      </c>
      <c r="N695" s="133">
        <v>43832.0</v>
      </c>
      <c r="O695" s="74">
        <v>1.0</v>
      </c>
      <c r="P695" s="74">
        <v>1.0</v>
      </c>
      <c r="Q695" s="119"/>
      <c r="R695" s="74" t="s">
        <v>26855</v>
      </c>
      <c r="S695" s="119"/>
      <c r="T695" s="146">
        <v>43844.0</v>
      </c>
      <c r="U695" s="74">
        <v>29.44</v>
      </c>
      <c r="V695" s="74">
        <v>29.09</v>
      </c>
      <c r="W695" s="119"/>
      <c r="X695" s="119"/>
      <c r="Y695" s="146">
        <v>43844.0</v>
      </c>
      <c r="Z695" s="74">
        <v>38.29</v>
      </c>
      <c r="AA695" s="74">
        <v>38.21</v>
      </c>
      <c r="AB695" s="119"/>
      <c r="AC695" s="119"/>
      <c r="AD695" s="119"/>
      <c r="AE695" s="74">
        <v>1.0</v>
      </c>
      <c r="AF695" s="74" t="s">
        <v>18902</v>
      </c>
      <c r="AG695" s="120">
        <v>7364.0</v>
      </c>
      <c r="AH695" s="74" t="s">
        <v>27008</v>
      </c>
      <c r="AI695" s="74" t="s">
        <v>27009</v>
      </c>
      <c r="AJ695" s="120">
        <v>696.0</v>
      </c>
    </row>
    <row r="696">
      <c r="A696" s="74" t="s">
        <v>27004</v>
      </c>
      <c r="B696" s="74" t="s">
        <v>6876</v>
      </c>
      <c r="C696" s="74" t="s">
        <v>6877</v>
      </c>
      <c r="D696" s="74" t="s">
        <v>8493</v>
      </c>
      <c r="E696" s="146">
        <v>43851.0</v>
      </c>
      <c r="F696" s="74" t="s">
        <v>27011</v>
      </c>
      <c r="G696" s="74">
        <v>59.0</v>
      </c>
      <c r="H696" s="74">
        <v>1.0</v>
      </c>
      <c r="I696" s="74">
        <v>3.0</v>
      </c>
      <c r="J696" s="119"/>
      <c r="K696" s="119"/>
      <c r="L696" s="74" t="s">
        <v>2045</v>
      </c>
      <c r="M696" s="74" t="s">
        <v>2045</v>
      </c>
      <c r="N696" s="133">
        <v>43832.0</v>
      </c>
      <c r="O696" s="74">
        <v>1.0</v>
      </c>
      <c r="P696" s="74">
        <v>1.0</v>
      </c>
      <c r="Q696" s="119"/>
      <c r="R696" s="74" t="s">
        <v>26855</v>
      </c>
      <c r="S696" s="119"/>
      <c r="T696" s="146">
        <v>43844.0</v>
      </c>
      <c r="U696" s="74">
        <v>34.69</v>
      </c>
      <c r="V696" s="74">
        <v>35.08</v>
      </c>
      <c r="W696" s="119"/>
      <c r="X696" s="119"/>
      <c r="Y696" s="146">
        <v>43844.0</v>
      </c>
      <c r="Z696" s="74">
        <v>39.21</v>
      </c>
      <c r="AA696" s="74">
        <v>9999.0</v>
      </c>
      <c r="AB696" s="119"/>
      <c r="AC696" s="119"/>
      <c r="AD696" s="119"/>
      <c r="AE696" s="74">
        <v>1.0</v>
      </c>
      <c r="AF696" s="74" t="s">
        <v>18902</v>
      </c>
      <c r="AG696" s="120">
        <v>7365.0</v>
      </c>
      <c r="AH696" s="74" t="s">
        <v>27015</v>
      </c>
      <c r="AI696" s="74" t="s">
        <v>27016</v>
      </c>
      <c r="AJ696" s="120">
        <v>697.0</v>
      </c>
    </row>
    <row r="697">
      <c r="A697" s="74" t="s">
        <v>27011</v>
      </c>
      <c r="B697" s="74" t="s">
        <v>6876</v>
      </c>
      <c r="C697" s="74" t="s">
        <v>6877</v>
      </c>
      <c r="D697" s="74" t="s">
        <v>8493</v>
      </c>
      <c r="E697" s="146">
        <v>43851.0</v>
      </c>
      <c r="F697" s="74" t="s">
        <v>27017</v>
      </c>
      <c r="G697" s="74">
        <v>59.0</v>
      </c>
      <c r="H697" s="74">
        <v>1.0</v>
      </c>
      <c r="I697" s="74">
        <v>99.0</v>
      </c>
      <c r="J697" s="119"/>
      <c r="K697" s="119"/>
      <c r="L697" s="74" t="s">
        <v>2047</v>
      </c>
      <c r="M697" s="74" t="s">
        <v>2047</v>
      </c>
      <c r="N697" s="133">
        <v>43832.0</v>
      </c>
      <c r="O697" s="74">
        <v>1.0</v>
      </c>
      <c r="P697" s="74">
        <v>1.0</v>
      </c>
      <c r="Q697" s="119"/>
      <c r="R697" s="74" t="s">
        <v>26855</v>
      </c>
      <c r="S697" s="119"/>
      <c r="T697" s="146">
        <v>43844.0</v>
      </c>
      <c r="U697" s="74">
        <v>9999.0</v>
      </c>
      <c r="V697" s="74">
        <v>9999.0</v>
      </c>
      <c r="W697" s="119"/>
      <c r="X697" s="119"/>
      <c r="Y697" s="146">
        <v>43844.0</v>
      </c>
      <c r="Z697" s="74">
        <v>9999.0</v>
      </c>
      <c r="AA697" s="74">
        <v>9999.0</v>
      </c>
      <c r="AB697" s="119"/>
      <c r="AC697" s="119"/>
      <c r="AD697" s="74" t="s">
        <v>27021</v>
      </c>
      <c r="AE697" s="74">
        <v>1.0</v>
      </c>
      <c r="AF697" s="74" t="s">
        <v>18902</v>
      </c>
      <c r="AG697" s="120">
        <v>7366.0</v>
      </c>
      <c r="AH697" s="74" t="s">
        <v>27022</v>
      </c>
      <c r="AI697" s="74" t="s">
        <v>27023</v>
      </c>
      <c r="AJ697" s="120">
        <v>698.0</v>
      </c>
    </row>
    <row r="698">
      <c r="A698" s="74" t="s">
        <v>27025</v>
      </c>
      <c r="B698" s="74" t="s">
        <v>6876</v>
      </c>
      <c r="C698" s="74" t="s">
        <v>6877</v>
      </c>
      <c r="D698" s="74" t="s">
        <v>8493</v>
      </c>
      <c r="E698" s="146">
        <v>43851.0</v>
      </c>
      <c r="F698" s="74" t="s">
        <v>27026</v>
      </c>
      <c r="G698" s="74">
        <v>65.0</v>
      </c>
      <c r="H698" s="74">
        <v>1.0</v>
      </c>
      <c r="I698" s="74">
        <v>12.0</v>
      </c>
      <c r="J698" s="119"/>
      <c r="K698" s="119"/>
      <c r="L698" s="74" t="s">
        <v>2051</v>
      </c>
      <c r="M698" s="74" t="s">
        <v>2051</v>
      </c>
      <c r="N698" s="133">
        <v>43832.0</v>
      </c>
      <c r="O698" s="74">
        <v>1.0</v>
      </c>
      <c r="P698" s="74">
        <v>1.0</v>
      </c>
      <c r="Q698" s="119"/>
      <c r="R698" s="74" t="s">
        <v>27029</v>
      </c>
      <c r="S698" s="119"/>
      <c r="T698" s="146">
        <v>43846.0</v>
      </c>
      <c r="U698" s="74">
        <v>23.52</v>
      </c>
      <c r="V698" s="74">
        <v>23.54</v>
      </c>
      <c r="W698" s="119"/>
      <c r="X698" s="119"/>
      <c r="Y698" s="146">
        <v>43844.0</v>
      </c>
      <c r="Z698" s="74">
        <v>31.2</v>
      </c>
      <c r="AA698" s="74">
        <v>31.51</v>
      </c>
      <c r="AB698" s="119"/>
      <c r="AC698" s="119"/>
      <c r="AD698" s="119"/>
      <c r="AE698" s="74">
        <v>1.0</v>
      </c>
      <c r="AF698" s="74" t="s">
        <v>18902</v>
      </c>
      <c r="AG698" s="120">
        <v>7367.0</v>
      </c>
      <c r="AH698" s="74" t="s">
        <v>27032</v>
      </c>
      <c r="AI698" s="74" t="s">
        <v>27034</v>
      </c>
      <c r="AJ698" s="120">
        <v>699.0</v>
      </c>
    </row>
    <row r="699">
      <c r="A699" s="74" t="s">
        <v>27026</v>
      </c>
      <c r="B699" s="74" t="s">
        <v>6876</v>
      </c>
      <c r="C699" s="74" t="s">
        <v>6877</v>
      </c>
      <c r="D699" s="74" t="s">
        <v>8493</v>
      </c>
      <c r="E699" s="146">
        <v>43851.0</v>
      </c>
      <c r="F699" s="74" t="s">
        <v>27036</v>
      </c>
      <c r="G699" s="74">
        <v>59.0</v>
      </c>
      <c r="H699" s="74">
        <v>1.0</v>
      </c>
      <c r="I699" s="74">
        <v>12.0</v>
      </c>
      <c r="J699" s="119"/>
      <c r="K699" s="119"/>
      <c r="L699" s="74" t="s">
        <v>2054</v>
      </c>
      <c r="M699" s="74" t="s">
        <v>2054</v>
      </c>
      <c r="N699" s="133">
        <v>43832.0</v>
      </c>
      <c r="O699" s="74">
        <v>1.0</v>
      </c>
      <c r="P699" s="74">
        <v>1.0</v>
      </c>
      <c r="Q699" s="119"/>
      <c r="R699" s="74" t="s">
        <v>27029</v>
      </c>
      <c r="S699" s="119"/>
      <c r="T699" s="146">
        <v>43844.0</v>
      </c>
      <c r="U699" s="74">
        <v>23.31</v>
      </c>
      <c r="V699" s="74">
        <v>23.35</v>
      </c>
      <c r="W699" s="119"/>
      <c r="X699" s="119"/>
      <c r="Y699" s="146">
        <v>43844.0</v>
      </c>
      <c r="Z699" s="74">
        <v>35.04</v>
      </c>
      <c r="AA699" s="74">
        <v>34.67</v>
      </c>
      <c r="AB699" s="119"/>
      <c r="AC699" s="119"/>
      <c r="AD699" s="119"/>
      <c r="AE699" s="74">
        <v>1.0</v>
      </c>
      <c r="AF699" s="74" t="s">
        <v>18902</v>
      </c>
      <c r="AG699" s="120">
        <v>7368.0</v>
      </c>
      <c r="AH699" s="74" t="s">
        <v>27041</v>
      </c>
      <c r="AI699" s="74" t="s">
        <v>27042</v>
      </c>
      <c r="AJ699" s="120">
        <v>700.0</v>
      </c>
    </row>
    <row r="700">
      <c r="A700" s="74" t="s">
        <v>27036</v>
      </c>
      <c r="B700" s="74" t="s">
        <v>6876</v>
      </c>
      <c r="C700" s="74" t="s">
        <v>6877</v>
      </c>
      <c r="D700" s="74" t="s">
        <v>8493</v>
      </c>
      <c r="E700" s="146">
        <v>43851.0</v>
      </c>
      <c r="F700" s="74" t="s">
        <v>27044</v>
      </c>
      <c r="G700" s="74">
        <v>59.0</v>
      </c>
      <c r="H700" s="74">
        <v>1.0</v>
      </c>
      <c r="I700" s="74">
        <v>11.0</v>
      </c>
      <c r="J700" s="119"/>
      <c r="K700" s="119"/>
      <c r="L700" s="74" t="s">
        <v>2057</v>
      </c>
      <c r="M700" s="74" t="s">
        <v>2057</v>
      </c>
      <c r="N700" s="133">
        <v>43832.0</v>
      </c>
      <c r="O700" s="74">
        <v>1.0</v>
      </c>
      <c r="P700" s="74">
        <v>1.0</v>
      </c>
      <c r="Q700" s="119"/>
      <c r="R700" s="74" t="s">
        <v>27029</v>
      </c>
      <c r="S700" s="119"/>
      <c r="T700" s="146">
        <v>43846.0</v>
      </c>
      <c r="U700" s="74">
        <v>27.26</v>
      </c>
      <c r="V700" s="74">
        <v>27.06</v>
      </c>
      <c r="W700" s="119"/>
      <c r="X700" s="119"/>
      <c r="Y700" s="146">
        <v>43846.0</v>
      </c>
      <c r="Z700" s="74">
        <v>9999.0</v>
      </c>
      <c r="AA700" s="74">
        <v>40.0</v>
      </c>
      <c r="AB700" s="119"/>
      <c r="AC700" s="119"/>
      <c r="AD700" s="119"/>
      <c r="AE700" s="74">
        <v>1.0</v>
      </c>
      <c r="AF700" s="74" t="s">
        <v>18902</v>
      </c>
      <c r="AG700" s="120">
        <v>7369.0</v>
      </c>
      <c r="AH700" s="74" t="s">
        <v>27049</v>
      </c>
      <c r="AI700" s="74" t="s">
        <v>27051</v>
      </c>
      <c r="AJ700" s="120">
        <v>701.0</v>
      </c>
    </row>
    <row r="701">
      <c r="A701" s="74" t="s">
        <v>27044</v>
      </c>
      <c r="B701" s="74" t="s">
        <v>6876</v>
      </c>
      <c r="C701" s="74" t="s">
        <v>6877</v>
      </c>
      <c r="D701" s="74" t="s">
        <v>8493</v>
      </c>
      <c r="E701" s="146">
        <v>43851.0</v>
      </c>
      <c r="F701" s="74" t="s">
        <v>27055</v>
      </c>
      <c r="G701" s="74">
        <v>59.0</v>
      </c>
      <c r="H701" s="74">
        <v>1.0</v>
      </c>
      <c r="I701" s="74">
        <v>11.0</v>
      </c>
      <c r="J701" s="119"/>
      <c r="K701" s="119"/>
      <c r="L701" s="74" t="s">
        <v>2063</v>
      </c>
      <c r="M701" s="74" t="s">
        <v>2063</v>
      </c>
      <c r="N701" s="133">
        <v>43832.0</v>
      </c>
      <c r="O701" s="74">
        <v>1.0</v>
      </c>
      <c r="P701" s="74">
        <v>1.0</v>
      </c>
      <c r="Q701" s="119"/>
      <c r="R701" s="74" t="s">
        <v>27029</v>
      </c>
      <c r="S701" s="119"/>
      <c r="T701" s="146">
        <v>43846.0</v>
      </c>
      <c r="U701" s="74">
        <v>9999.0</v>
      </c>
      <c r="V701" s="74">
        <v>23.11</v>
      </c>
      <c r="W701" s="119"/>
      <c r="X701" s="119"/>
      <c r="Y701" s="146">
        <v>43846.0</v>
      </c>
      <c r="Z701" s="74">
        <v>9999.0</v>
      </c>
      <c r="AA701" s="74">
        <v>9999.0</v>
      </c>
      <c r="AB701" s="119"/>
      <c r="AC701" s="119"/>
      <c r="AD701" s="119"/>
      <c r="AE701" s="74">
        <v>1.0</v>
      </c>
      <c r="AF701" s="74" t="s">
        <v>18902</v>
      </c>
      <c r="AG701" s="120">
        <v>7370.0</v>
      </c>
      <c r="AH701" s="74" t="s">
        <v>27060</v>
      </c>
      <c r="AI701" s="74" t="s">
        <v>27061</v>
      </c>
      <c r="AJ701" s="120">
        <v>702.0</v>
      </c>
    </row>
    <row r="702">
      <c r="A702" s="74" t="s">
        <v>27062</v>
      </c>
      <c r="B702" s="74" t="s">
        <v>6876</v>
      </c>
      <c r="C702" s="74" t="s">
        <v>6877</v>
      </c>
      <c r="D702" s="74" t="s">
        <v>8493</v>
      </c>
      <c r="E702" s="146">
        <v>43851.0</v>
      </c>
      <c r="F702" s="74" t="s">
        <v>27063</v>
      </c>
      <c r="G702" s="74">
        <v>59.0</v>
      </c>
      <c r="H702" s="74">
        <v>1.0</v>
      </c>
      <c r="I702" s="74">
        <v>11.0</v>
      </c>
      <c r="J702" s="119"/>
      <c r="K702" s="119"/>
      <c r="L702" s="74" t="s">
        <v>2066</v>
      </c>
      <c r="M702" s="74" t="s">
        <v>2066</v>
      </c>
      <c r="N702" s="133">
        <v>43832.0</v>
      </c>
      <c r="O702" s="74">
        <v>1.0</v>
      </c>
      <c r="P702" s="74">
        <v>1.0</v>
      </c>
      <c r="Q702" s="119"/>
      <c r="R702" s="74" t="s">
        <v>27029</v>
      </c>
      <c r="S702" s="119"/>
      <c r="T702" s="146">
        <v>43846.0</v>
      </c>
      <c r="U702" s="74">
        <v>9999.0</v>
      </c>
      <c r="V702" s="74">
        <v>29.34</v>
      </c>
      <c r="W702" s="119"/>
      <c r="X702" s="119"/>
      <c r="Y702" s="146">
        <v>43846.0</v>
      </c>
      <c r="Z702" s="74">
        <v>9999.0</v>
      </c>
      <c r="AA702" s="74">
        <v>9999.0</v>
      </c>
      <c r="AB702" s="119"/>
      <c r="AC702" s="119"/>
      <c r="AD702" s="119"/>
      <c r="AE702" s="74">
        <v>1.0</v>
      </c>
      <c r="AF702" s="74" t="s">
        <v>18902</v>
      </c>
      <c r="AG702" s="120">
        <v>7371.0</v>
      </c>
      <c r="AH702" s="74" t="s">
        <v>27067</v>
      </c>
      <c r="AI702" s="74" t="s">
        <v>27068</v>
      </c>
      <c r="AJ702" s="120">
        <v>703.0</v>
      </c>
    </row>
    <row r="703">
      <c r="A703" s="74" t="s">
        <v>27063</v>
      </c>
      <c r="B703" s="74" t="s">
        <v>6876</v>
      </c>
      <c r="C703" s="74" t="s">
        <v>6877</v>
      </c>
      <c r="D703" s="74" t="s">
        <v>8493</v>
      </c>
      <c r="E703" s="146">
        <v>43851.0</v>
      </c>
      <c r="F703" s="74" t="s">
        <v>27070</v>
      </c>
      <c r="G703" s="74">
        <v>59.0</v>
      </c>
      <c r="H703" s="74">
        <v>1.0</v>
      </c>
      <c r="I703" s="74">
        <v>11.0</v>
      </c>
      <c r="J703" s="119"/>
      <c r="K703" s="119"/>
      <c r="L703" s="74" t="s">
        <v>2069</v>
      </c>
      <c r="M703" s="74" t="s">
        <v>2069</v>
      </c>
      <c r="N703" s="133">
        <v>43832.0</v>
      </c>
      <c r="O703" s="74">
        <v>1.0</v>
      </c>
      <c r="P703" s="74">
        <v>1.0</v>
      </c>
      <c r="Q703" s="119"/>
      <c r="R703" s="74" t="s">
        <v>27029</v>
      </c>
      <c r="S703" s="119"/>
      <c r="T703" s="146">
        <v>43846.0</v>
      </c>
      <c r="U703" s="74">
        <v>9999.0</v>
      </c>
      <c r="V703" s="74">
        <v>9999.0</v>
      </c>
      <c r="W703" s="119"/>
      <c r="X703" s="119"/>
      <c r="Y703" s="146">
        <v>43846.0</v>
      </c>
      <c r="Z703" s="74">
        <v>9999.0</v>
      </c>
      <c r="AA703" s="74">
        <v>9999.0</v>
      </c>
      <c r="AB703" s="119"/>
      <c r="AC703" s="119"/>
      <c r="AD703" s="119"/>
      <c r="AE703" s="74">
        <v>1.0</v>
      </c>
      <c r="AF703" s="74" t="s">
        <v>18902</v>
      </c>
      <c r="AG703" s="120">
        <v>7372.0</v>
      </c>
      <c r="AH703" s="74" t="s">
        <v>27074</v>
      </c>
      <c r="AI703" s="74" t="s">
        <v>27075</v>
      </c>
      <c r="AJ703" s="120">
        <v>704.0</v>
      </c>
    </row>
    <row r="704">
      <c r="A704" s="74" t="s">
        <v>27070</v>
      </c>
      <c r="B704" s="74" t="s">
        <v>6876</v>
      </c>
      <c r="C704" s="74" t="s">
        <v>6877</v>
      </c>
      <c r="D704" s="74" t="s">
        <v>8493</v>
      </c>
      <c r="E704" s="146">
        <v>43851.0</v>
      </c>
      <c r="F704" s="74" t="s">
        <v>27077</v>
      </c>
      <c r="G704" s="74">
        <v>59.0</v>
      </c>
      <c r="H704" s="74">
        <v>1.0</v>
      </c>
      <c r="I704" s="74">
        <v>11.0</v>
      </c>
      <c r="J704" s="119"/>
      <c r="K704" s="119"/>
      <c r="L704" s="74" t="s">
        <v>2072</v>
      </c>
      <c r="M704" s="74" t="s">
        <v>2072</v>
      </c>
      <c r="N704" s="133">
        <v>43832.0</v>
      </c>
      <c r="O704" s="74">
        <v>1.0</v>
      </c>
      <c r="P704" s="74">
        <v>1.0</v>
      </c>
      <c r="Q704" s="119"/>
      <c r="R704" s="74" t="s">
        <v>27029</v>
      </c>
      <c r="S704" s="119"/>
      <c r="T704" s="146">
        <v>43846.0</v>
      </c>
      <c r="U704" s="74">
        <v>30.76</v>
      </c>
      <c r="V704" s="74">
        <v>28.15</v>
      </c>
      <c r="W704" s="119"/>
      <c r="X704" s="119"/>
      <c r="Y704" s="146">
        <v>43846.0</v>
      </c>
      <c r="Z704" s="74">
        <v>9999.0</v>
      </c>
      <c r="AA704" s="74">
        <v>40.0</v>
      </c>
      <c r="AB704" s="119"/>
      <c r="AC704" s="119"/>
      <c r="AD704" s="119"/>
      <c r="AE704" s="74">
        <v>1.0</v>
      </c>
      <c r="AF704" s="74" t="s">
        <v>18902</v>
      </c>
      <c r="AG704" s="120">
        <v>7373.0</v>
      </c>
      <c r="AH704" s="74" t="s">
        <v>27080</v>
      </c>
      <c r="AI704" s="74" t="s">
        <v>27082</v>
      </c>
      <c r="AJ704" s="120">
        <v>705.0</v>
      </c>
    </row>
    <row r="705">
      <c r="A705" s="74" t="s">
        <v>27077</v>
      </c>
      <c r="B705" s="74" t="s">
        <v>6876</v>
      </c>
      <c r="C705" s="74" t="s">
        <v>6877</v>
      </c>
      <c r="D705" s="74" t="s">
        <v>8493</v>
      </c>
      <c r="E705" s="146">
        <v>43851.0</v>
      </c>
      <c r="F705" s="74" t="s">
        <v>27084</v>
      </c>
      <c r="G705" s="74">
        <v>59.0</v>
      </c>
      <c r="H705" s="74">
        <v>1.0</v>
      </c>
      <c r="I705" s="74">
        <v>99.0</v>
      </c>
      <c r="J705" s="119"/>
      <c r="K705" s="119"/>
      <c r="L705" s="74" t="s">
        <v>2059</v>
      </c>
      <c r="M705" s="74" t="s">
        <v>2059</v>
      </c>
      <c r="N705" s="133">
        <v>43832.0</v>
      </c>
      <c r="O705" s="74">
        <v>1.0</v>
      </c>
      <c r="P705" s="74">
        <v>1.0</v>
      </c>
      <c r="Q705" s="119"/>
      <c r="R705" s="74" t="s">
        <v>27029</v>
      </c>
      <c r="S705" s="119"/>
      <c r="T705" s="146">
        <v>43846.0</v>
      </c>
      <c r="U705" s="74">
        <v>9999.0</v>
      </c>
      <c r="V705" s="74">
        <v>9999.0</v>
      </c>
      <c r="W705" s="119"/>
      <c r="X705" s="119"/>
      <c r="Y705" s="146">
        <v>43846.0</v>
      </c>
      <c r="Z705" s="74">
        <v>9999.0</v>
      </c>
      <c r="AA705" s="74">
        <v>9999.0</v>
      </c>
      <c r="AB705" s="119"/>
      <c r="AC705" s="119"/>
      <c r="AD705" s="74" t="s">
        <v>27089</v>
      </c>
      <c r="AE705" s="74">
        <v>1.0</v>
      </c>
      <c r="AF705" s="74" t="s">
        <v>18902</v>
      </c>
      <c r="AG705" s="120">
        <v>7374.0</v>
      </c>
      <c r="AH705" s="74" t="s">
        <v>27093</v>
      </c>
      <c r="AI705" s="74" t="s">
        <v>27094</v>
      </c>
      <c r="AJ705" s="120">
        <v>706.0</v>
      </c>
    </row>
    <row r="706">
      <c r="A706" s="74" t="s">
        <v>27084</v>
      </c>
      <c r="B706" s="74" t="s">
        <v>6876</v>
      </c>
      <c r="C706" s="74" t="s">
        <v>6877</v>
      </c>
      <c r="D706" s="74" t="s">
        <v>8493</v>
      </c>
      <c r="E706" s="146">
        <v>43851.0</v>
      </c>
      <c r="F706" s="74" t="s">
        <v>27098</v>
      </c>
      <c r="G706" s="74">
        <v>59.0</v>
      </c>
      <c r="H706" s="74">
        <v>1.0</v>
      </c>
      <c r="I706" s="74">
        <v>99.0</v>
      </c>
      <c r="J706" s="119"/>
      <c r="K706" s="119"/>
      <c r="L706" s="74" t="s">
        <v>2065</v>
      </c>
      <c r="M706" s="74" t="s">
        <v>2065</v>
      </c>
      <c r="N706" s="133">
        <v>43832.0</v>
      </c>
      <c r="O706" s="74">
        <v>1.0</v>
      </c>
      <c r="P706" s="74">
        <v>1.0</v>
      </c>
      <c r="Q706" s="119"/>
      <c r="R706" s="74" t="s">
        <v>27029</v>
      </c>
      <c r="S706" s="119"/>
      <c r="T706" s="146">
        <v>43846.0</v>
      </c>
      <c r="U706" s="74">
        <v>9999.0</v>
      </c>
      <c r="V706" s="74">
        <v>9999.0</v>
      </c>
      <c r="W706" s="119"/>
      <c r="X706" s="119"/>
      <c r="Y706" s="146">
        <v>43846.0</v>
      </c>
      <c r="Z706" s="74">
        <v>9999.0</v>
      </c>
      <c r="AA706" s="74">
        <v>9999.0</v>
      </c>
      <c r="AB706" s="119"/>
      <c r="AC706" s="119"/>
      <c r="AD706" s="74" t="s">
        <v>27101</v>
      </c>
      <c r="AE706" s="74">
        <v>1.0</v>
      </c>
      <c r="AF706" s="74" t="s">
        <v>18902</v>
      </c>
      <c r="AG706" s="120">
        <v>7375.0</v>
      </c>
      <c r="AH706" s="74" t="s">
        <v>27104</v>
      </c>
      <c r="AI706" s="74" t="s">
        <v>27105</v>
      </c>
      <c r="AJ706" s="120">
        <v>707.0</v>
      </c>
    </row>
    <row r="707">
      <c r="A707" s="74" t="s">
        <v>27098</v>
      </c>
      <c r="B707" s="74" t="s">
        <v>6876</v>
      </c>
      <c r="C707" s="74" t="s">
        <v>6877</v>
      </c>
      <c r="D707" s="74" t="s">
        <v>8493</v>
      </c>
      <c r="E707" s="146">
        <v>43851.0</v>
      </c>
      <c r="F707" s="74" t="s">
        <v>27107</v>
      </c>
      <c r="G707" s="74">
        <v>57.0</v>
      </c>
      <c r="H707" s="74">
        <v>1.0</v>
      </c>
      <c r="I707" s="74">
        <v>12.0</v>
      </c>
      <c r="J707" s="119"/>
      <c r="K707" s="119"/>
      <c r="L707" s="74" t="s">
        <v>2077</v>
      </c>
      <c r="M707" s="74" t="s">
        <v>2077</v>
      </c>
      <c r="N707" s="133">
        <v>43832.0</v>
      </c>
      <c r="O707" s="74">
        <v>1.0</v>
      </c>
      <c r="P707" s="74">
        <v>1.0</v>
      </c>
      <c r="Q707" s="119"/>
      <c r="R707" s="74" t="s">
        <v>27029</v>
      </c>
      <c r="S707" s="119"/>
      <c r="T707" s="146">
        <v>43846.0</v>
      </c>
      <c r="U707" s="74">
        <v>9999.0</v>
      </c>
      <c r="V707" s="74">
        <v>9999.0</v>
      </c>
      <c r="W707" s="119"/>
      <c r="X707" s="119"/>
      <c r="Y707" s="146">
        <v>43846.0</v>
      </c>
      <c r="Z707" s="74">
        <v>9999.0</v>
      </c>
      <c r="AA707" s="74">
        <v>37.46</v>
      </c>
      <c r="AB707" s="119"/>
      <c r="AC707" s="119"/>
      <c r="AD707" s="119"/>
      <c r="AE707" s="74">
        <v>1.0</v>
      </c>
      <c r="AF707" s="74" t="s">
        <v>18902</v>
      </c>
      <c r="AG707" s="120">
        <v>7376.0</v>
      </c>
      <c r="AH707" s="74" t="s">
        <v>27112</v>
      </c>
      <c r="AI707" s="74" t="s">
        <v>27113</v>
      </c>
      <c r="AJ707" s="120">
        <v>708.0</v>
      </c>
    </row>
    <row r="708">
      <c r="A708" s="74" t="s">
        <v>27107</v>
      </c>
      <c r="B708" s="74" t="s">
        <v>6876</v>
      </c>
      <c r="C708" s="74" t="s">
        <v>6877</v>
      </c>
      <c r="D708" s="74" t="s">
        <v>8493</v>
      </c>
      <c r="E708" s="146">
        <v>43851.0</v>
      </c>
      <c r="F708" s="74" t="s">
        <v>27115</v>
      </c>
      <c r="G708" s="74">
        <v>57.0</v>
      </c>
      <c r="H708" s="74">
        <v>1.0</v>
      </c>
      <c r="I708" s="74">
        <v>12.0</v>
      </c>
      <c r="J708" s="119"/>
      <c r="K708" s="119"/>
      <c r="L708" s="74" t="s">
        <v>2080</v>
      </c>
      <c r="M708" s="74" t="s">
        <v>2080</v>
      </c>
      <c r="N708" s="133">
        <v>43832.0</v>
      </c>
      <c r="O708" s="74">
        <v>1.0</v>
      </c>
      <c r="P708" s="74">
        <v>1.0</v>
      </c>
      <c r="Q708" s="119"/>
      <c r="R708" s="74" t="s">
        <v>27029</v>
      </c>
      <c r="S708" s="119"/>
      <c r="T708" s="146">
        <v>43846.0</v>
      </c>
      <c r="U708" s="74">
        <v>23.59</v>
      </c>
      <c r="V708" s="74">
        <v>25.31</v>
      </c>
      <c r="W708" s="119"/>
      <c r="X708" s="119"/>
      <c r="Y708" s="146">
        <v>43846.0</v>
      </c>
      <c r="Z708" s="74">
        <v>34.79</v>
      </c>
      <c r="AA708" s="74">
        <v>35.11</v>
      </c>
      <c r="AB708" s="119"/>
      <c r="AC708" s="119"/>
      <c r="AD708" s="119"/>
      <c r="AE708" s="74">
        <v>1.0</v>
      </c>
      <c r="AF708" s="74" t="s">
        <v>18902</v>
      </c>
      <c r="AG708" s="120">
        <v>7377.0</v>
      </c>
      <c r="AH708" s="74" t="s">
        <v>27123</v>
      </c>
      <c r="AI708" s="74" t="s">
        <v>27124</v>
      </c>
      <c r="AJ708" s="120">
        <v>709.0</v>
      </c>
    </row>
    <row r="709">
      <c r="A709" s="74" t="s">
        <v>27115</v>
      </c>
      <c r="B709" s="74" t="s">
        <v>6876</v>
      </c>
      <c r="C709" s="74" t="s">
        <v>6877</v>
      </c>
      <c r="D709" s="74" t="s">
        <v>8493</v>
      </c>
      <c r="E709" s="146">
        <v>43851.0</v>
      </c>
      <c r="F709" s="74" t="s">
        <v>27126</v>
      </c>
      <c r="G709" s="74">
        <v>55.0</v>
      </c>
      <c r="H709" s="74">
        <v>1.0</v>
      </c>
      <c r="I709" s="74">
        <v>12.0</v>
      </c>
      <c r="J709" s="119"/>
      <c r="K709" s="119"/>
      <c r="L709" s="74" t="s">
        <v>2083</v>
      </c>
      <c r="M709" s="74" t="s">
        <v>2083</v>
      </c>
      <c r="N709" s="133">
        <v>43832.0</v>
      </c>
      <c r="O709" s="74">
        <v>1.0</v>
      </c>
      <c r="P709" s="74">
        <v>1.0</v>
      </c>
      <c r="Q709" s="119"/>
      <c r="R709" s="74" t="s">
        <v>27029</v>
      </c>
      <c r="S709" s="119"/>
      <c r="T709" s="146">
        <v>43846.0</v>
      </c>
      <c r="U709" s="74">
        <v>23.76</v>
      </c>
      <c r="V709" s="74">
        <v>23.87</v>
      </c>
      <c r="W709" s="119"/>
      <c r="X709" s="119"/>
      <c r="Y709" s="146">
        <v>43846.0</v>
      </c>
      <c r="Z709" s="74">
        <v>9999.0</v>
      </c>
      <c r="AA709" s="74">
        <v>9999.0</v>
      </c>
      <c r="AB709" s="119"/>
      <c r="AC709" s="119"/>
      <c r="AD709" s="119"/>
      <c r="AE709" s="74">
        <v>1.0</v>
      </c>
      <c r="AF709" s="74" t="s">
        <v>18902</v>
      </c>
      <c r="AG709" s="120">
        <v>7378.0</v>
      </c>
      <c r="AH709" s="74" t="s">
        <v>27129</v>
      </c>
      <c r="AI709" s="74" t="s">
        <v>27131</v>
      </c>
      <c r="AJ709" s="120">
        <v>710.0</v>
      </c>
    </row>
    <row r="710">
      <c r="A710" s="74" t="s">
        <v>27126</v>
      </c>
      <c r="B710" s="74" t="s">
        <v>6876</v>
      </c>
      <c r="C710" s="74" t="s">
        <v>6877</v>
      </c>
      <c r="D710" s="74" t="s">
        <v>8493</v>
      </c>
      <c r="E710" s="146">
        <v>43851.0</v>
      </c>
      <c r="F710" s="74" t="s">
        <v>27132</v>
      </c>
      <c r="G710" s="74">
        <v>57.0</v>
      </c>
      <c r="H710" s="74">
        <v>1.0</v>
      </c>
      <c r="I710" s="74">
        <v>16.0</v>
      </c>
      <c r="J710" s="119"/>
      <c r="K710" s="119"/>
      <c r="L710" s="74" t="s">
        <v>2086</v>
      </c>
      <c r="M710" s="74" t="s">
        <v>2086</v>
      </c>
      <c r="N710" s="133">
        <v>43832.0</v>
      </c>
      <c r="O710" s="74">
        <v>1.0</v>
      </c>
      <c r="P710" s="74">
        <v>1.0</v>
      </c>
      <c r="Q710" s="119"/>
      <c r="R710" s="74" t="s">
        <v>27029</v>
      </c>
      <c r="S710" s="119"/>
      <c r="T710" s="146">
        <v>43846.0</v>
      </c>
      <c r="U710" s="74">
        <v>9999.0</v>
      </c>
      <c r="V710" s="74">
        <v>34.0</v>
      </c>
      <c r="W710" s="119"/>
      <c r="X710" s="119"/>
      <c r="Y710" s="146">
        <v>43846.0</v>
      </c>
      <c r="Z710" s="74">
        <v>40.0</v>
      </c>
      <c r="AA710" s="74">
        <v>35.92</v>
      </c>
      <c r="AB710" s="119"/>
      <c r="AC710" s="119"/>
      <c r="AD710" s="119"/>
      <c r="AE710" s="74">
        <v>1.0</v>
      </c>
      <c r="AF710" s="74" t="s">
        <v>18902</v>
      </c>
      <c r="AG710" s="120">
        <v>7379.0</v>
      </c>
      <c r="AH710" s="74" t="s">
        <v>27136</v>
      </c>
      <c r="AI710" s="74" t="s">
        <v>27137</v>
      </c>
      <c r="AJ710" s="120">
        <v>711.0</v>
      </c>
    </row>
    <row r="711">
      <c r="A711" s="74" t="s">
        <v>27132</v>
      </c>
      <c r="B711" s="74" t="s">
        <v>6876</v>
      </c>
      <c r="C711" s="74" t="s">
        <v>6877</v>
      </c>
      <c r="D711" s="74" t="s">
        <v>8493</v>
      </c>
      <c r="E711" s="146">
        <v>43851.0</v>
      </c>
      <c r="F711" s="74" t="s">
        <v>27140</v>
      </c>
      <c r="G711" s="74">
        <v>58.0</v>
      </c>
      <c r="H711" s="74">
        <v>2.0</v>
      </c>
      <c r="I711" s="74">
        <v>15.0</v>
      </c>
      <c r="J711" s="119"/>
      <c r="K711" s="74">
        <v>151.0</v>
      </c>
      <c r="L711" s="74" t="s">
        <v>676</v>
      </c>
      <c r="M711" s="74" t="s">
        <v>676</v>
      </c>
      <c r="N711" s="133">
        <v>43832.0</v>
      </c>
      <c r="O711" s="74">
        <v>1.0</v>
      </c>
      <c r="P711" s="74">
        <v>1.0</v>
      </c>
      <c r="Q711" s="119"/>
      <c r="R711" s="74" t="s">
        <v>27142</v>
      </c>
      <c r="S711" s="119"/>
      <c r="T711" s="146">
        <v>43850.0</v>
      </c>
      <c r="U711" s="74">
        <v>9999.0</v>
      </c>
      <c r="V711" s="74">
        <v>9999.0</v>
      </c>
      <c r="W711" s="119"/>
      <c r="X711" s="119"/>
      <c r="Y711" s="146">
        <v>43850.0</v>
      </c>
      <c r="Z711" s="74">
        <v>40.0</v>
      </c>
      <c r="AA711" s="74">
        <v>40.0</v>
      </c>
      <c r="AB711" s="119"/>
      <c r="AC711" s="119"/>
      <c r="AD711" s="119"/>
      <c r="AE711" s="74">
        <v>1.0</v>
      </c>
      <c r="AF711" s="74" t="s">
        <v>18902</v>
      </c>
      <c r="AG711" s="120">
        <v>7380.0</v>
      </c>
      <c r="AH711" s="74" t="s">
        <v>27145</v>
      </c>
      <c r="AI711" s="74" t="s">
        <v>27146</v>
      </c>
      <c r="AJ711" s="120">
        <v>712.0</v>
      </c>
    </row>
    <row r="712">
      <c r="A712" s="74" t="s">
        <v>27140</v>
      </c>
      <c r="B712" s="74" t="s">
        <v>6876</v>
      </c>
      <c r="C712" s="74" t="s">
        <v>6877</v>
      </c>
      <c r="D712" s="74" t="s">
        <v>8493</v>
      </c>
      <c r="E712" s="146">
        <v>43851.0</v>
      </c>
      <c r="F712" s="74" t="s">
        <v>27148</v>
      </c>
      <c r="G712" s="74">
        <v>58.0</v>
      </c>
      <c r="H712" s="74">
        <v>2.0</v>
      </c>
      <c r="I712" s="74">
        <v>15.0</v>
      </c>
      <c r="J712" s="119"/>
      <c r="K712" s="74">
        <v>152.0</v>
      </c>
      <c r="L712" s="74" t="s">
        <v>678</v>
      </c>
      <c r="M712" s="74" t="s">
        <v>678</v>
      </c>
      <c r="N712" s="133">
        <v>43832.0</v>
      </c>
      <c r="O712" s="74">
        <v>1.0</v>
      </c>
      <c r="P712" s="74">
        <v>1.0</v>
      </c>
      <c r="Q712" s="119"/>
      <c r="R712" s="74" t="s">
        <v>27142</v>
      </c>
      <c r="S712" s="119"/>
      <c r="T712" s="146">
        <v>43850.0</v>
      </c>
      <c r="U712" s="74">
        <v>9999.0</v>
      </c>
      <c r="V712" s="74">
        <v>9999.0</v>
      </c>
      <c r="W712" s="119"/>
      <c r="X712" s="119"/>
      <c r="Y712" s="146">
        <v>43850.0</v>
      </c>
      <c r="Z712" s="74">
        <v>40.0</v>
      </c>
      <c r="AA712" s="74">
        <v>40.0</v>
      </c>
      <c r="AB712" s="119"/>
      <c r="AC712" s="119"/>
      <c r="AD712" s="119"/>
      <c r="AE712" s="74">
        <v>1.0</v>
      </c>
      <c r="AF712" s="74" t="s">
        <v>18902</v>
      </c>
      <c r="AG712" s="120">
        <v>7381.0</v>
      </c>
      <c r="AH712" s="74" t="s">
        <v>27151</v>
      </c>
      <c r="AI712" s="74" t="s">
        <v>27152</v>
      </c>
      <c r="AJ712" s="120">
        <v>713.0</v>
      </c>
    </row>
    <row r="713">
      <c r="A713" s="74" t="s">
        <v>27148</v>
      </c>
      <c r="B713" s="74" t="s">
        <v>6876</v>
      </c>
      <c r="C713" s="74" t="s">
        <v>6877</v>
      </c>
      <c r="D713" s="74" t="s">
        <v>8493</v>
      </c>
      <c r="E713" s="146">
        <v>43851.0</v>
      </c>
      <c r="F713" s="74" t="s">
        <v>27154</v>
      </c>
      <c r="G713" s="74">
        <v>58.0</v>
      </c>
      <c r="H713" s="74">
        <v>2.0</v>
      </c>
      <c r="I713" s="74">
        <v>15.0</v>
      </c>
      <c r="J713" s="119"/>
      <c r="K713" s="74">
        <v>152.0</v>
      </c>
      <c r="L713" s="74" t="s">
        <v>679</v>
      </c>
      <c r="M713" s="74" t="s">
        <v>679</v>
      </c>
      <c r="N713" s="133">
        <v>43832.0</v>
      </c>
      <c r="O713" s="74">
        <v>1.0</v>
      </c>
      <c r="P713" s="74">
        <v>1.0</v>
      </c>
      <c r="Q713" s="119"/>
      <c r="R713" s="74" t="s">
        <v>27142</v>
      </c>
      <c r="S713" s="119"/>
      <c r="T713" s="146">
        <v>43850.0</v>
      </c>
      <c r="U713" s="74">
        <v>9999.0</v>
      </c>
      <c r="V713" s="74">
        <v>9999.0</v>
      </c>
      <c r="W713" s="119"/>
      <c r="X713" s="119"/>
      <c r="Y713" s="146">
        <v>43850.0</v>
      </c>
      <c r="Z713" s="74">
        <v>9999.0</v>
      </c>
      <c r="AA713" s="74">
        <v>9999.0</v>
      </c>
      <c r="AB713" s="119"/>
      <c r="AC713" s="119"/>
      <c r="AD713" s="119"/>
      <c r="AE713" s="74">
        <v>1.0</v>
      </c>
      <c r="AF713" s="74" t="s">
        <v>18902</v>
      </c>
      <c r="AG713" s="120">
        <v>7382.0</v>
      </c>
      <c r="AH713" s="74" t="s">
        <v>27158</v>
      </c>
      <c r="AI713" s="74" t="s">
        <v>27159</v>
      </c>
      <c r="AJ713" s="120">
        <v>714.0</v>
      </c>
    </row>
    <row r="714">
      <c r="A714" s="74" t="s">
        <v>27154</v>
      </c>
      <c r="B714" s="74" t="s">
        <v>6876</v>
      </c>
      <c r="C714" s="74" t="s">
        <v>6877</v>
      </c>
      <c r="D714" s="74" t="s">
        <v>8493</v>
      </c>
      <c r="E714" s="146">
        <v>43851.0</v>
      </c>
      <c r="F714" s="74" t="s">
        <v>27161</v>
      </c>
      <c r="G714" s="74">
        <v>58.0</v>
      </c>
      <c r="H714" s="74">
        <v>2.0</v>
      </c>
      <c r="I714" s="74">
        <v>15.0</v>
      </c>
      <c r="J714" s="119"/>
      <c r="K714" s="74">
        <v>152.0</v>
      </c>
      <c r="L714" s="74" t="s">
        <v>681</v>
      </c>
      <c r="M714" s="74" t="s">
        <v>681</v>
      </c>
      <c r="N714" s="133">
        <v>43832.0</v>
      </c>
      <c r="O714" s="74">
        <v>1.0</v>
      </c>
      <c r="P714" s="74">
        <v>1.0</v>
      </c>
      <c r="Q714" s="119"/>
      <c r="R714" s="74" t="s">
        <v>27142</v>
      </c>
      <c r="S714" s="119"/>
      <c r="T714" s="146">
        <v>43850.0</v>
      </c>
      <c r="U714" s="74">
        <v>9999.0</v>
      </c>
      <c r="V714" s="74">
        <v>9999.0</v>
      </c>
      <c r="W714" s="119"/>
      <c r="X714" s="119"/>
      <c r="Y714" s="146">
        <v>43850.0</v>
      </c>
      <c r="Z714" s="74">
        <v>9999.0</v>
      </c>
      <c r="AA714" s="74">
        <v>9999.0</v>
      </c>
      <c r="AB714" s="119"/>
      <c r="AC714" s="119"/>
      <c r="AD714" s="119"/>
      <c r="AE714" s="74">
        <v>1.0</v>
      </c>
      <c r="AF714" s="74" t="s">
        <v>18902</v>
      </c>
      <c r="AG714" s="120">
        <v>7383.0</v>
      </c>
      <c r="AH714" s="74" t="s">
        <v>27165</v>
      </c>
      <c r="AI714" s="74" t="s">
        <v>27166</v>
      </c>
      <c r="AJ714" s="120">
        <v>715.0</v>
      </c>
    </row>
    <row r="715">
      <c r="A715" s="74" t="s">
        <v>27161</v>
      </c>
      <c r="B715" s="74" t="s">
        <v>6876</v>
      </c>
      <c r="C715" s="74" t="s">
        <v>6877</v>
      </c>
      <c r="D715" s="74" t="s">
        <v>8493</v>
      </c>
      <c r="E715" s="146">
        <v>43851.0</v>
      </c>
      <c r="F715" s="74" t="s">
        <v>27167</v>
      </c>
      <c r="G715" s="74">
        <v>58.0</v>
      </c>
      <c r="H715" s="74">
        <v>2.0</v>
      </c>
      <c r="I715" s="74">
        <v>15.0</v>
      </c>
      <c r="J715" s="119"/>
      <c r="K715" s="74">
        <v>151.0</v>
      </c>
      <c r="L715" s="74" t="s">
        <v>686</v>
      </c>
      <c r="M715" s="74" t="s">
        <v>686</v>
      </c>
      <c r="N715" s="133">
        <v>43832.0</v>
      </c>
      <c r="O715" s="74">
        <v>1.0</v>
      </c>
      <c r="P715" s="74">
        <v>1.0</v>
      </c>
      <c r="Q715" s="119"/>
      <c r="R715" s="74" t="s">
        <v>27142</v>
      </c>
      <c r="S715" s="119"/>
      <c r="T715" s="146">
        <v>43850.0</v>
      </c>
      <c r="U715" s="74">
        <v>9999.0</v>
      </c>
      <c r="V715" s="74">
        <v>9999.0</v>
      </c>
      <c r="W715" s="119"/>
      <c r="X715" s="119"/>
      <c r="Y715" s="146">
        <v>43850.0</v>
      </c>
      <c r="Z715" s="74">
        <v>36.97</v>
      </c>
      <c r="AA715" s="74">
        <v>38.44</v>
      </c>
      <c r="AB715" s="119"/>
      <c r="AC715" s="119"/>
      <c r="AD715" s="119"/>
      <c r="AE715" s="74">
        <v>1.0</v>
      </c>
      <c r="AF715" s="74" t="s">
        <v>18902</v>
      </c>
      <c r="AG715" s="120">
        <v>7384.0</v>
      </c>
      <c r="AH715" s="74" t="s">
        <v>27172</v>
      </c>
      <c r="AI715" s="74" t="s">
        <v>27173</v>
      </c>
      <c r="AJ715" s="120">
        <v>716.0</v>
      </c>
    </row>
    <row r="716">
      <c r="A716" s="74" t="s">
        <v>27167</v>
      </c>
      <c r="B716" s="74" t="s">
        <v>6876</v>
      </c>
      <c r="C716" s="74" t="s">
        <v>6877</v>
      </c>
      <c r="D716" s="74" t="s">
        <v>8493</v>
      </c>
      <c r="E716" s="146">
        <v>43851.0</v>
      </c>
      <c r="F716" s="74" t="s">
        <v>27175</v>
      </c>
      <c r="G716" s="74">
        <v>58.0</v>
      </c>
      <c r="H716" s="74">
        <v>2.0</v>
      </c>
      <c r="I716" s="74">
        <v>15.0</v>
      </c>
      <c r="J716" s="119"/>
      <c r="K716" s="74">
        <v>152.0</v>
      </c>
      <c r="L716" s="74" t="s">
        <v>688</v>
      </c>
      <c r="M716" s="74" t="s">
        <v>688</v>
      </c>
      <c r="N716" s="133">
        <v>43832.0</v>
      </c>
      <c r="O716" s="74">
        <v>1.0</v>
      </c>
      <c r="P716" s="74">
        <v>1.0</v>
      </c>
      <c r="Q716" s="119"/>
      <c r="R716" s="74" t="s">
        <v>27142</v>
      </c>
      <c r="S716" s="119"/>
      <c r="T716" s="146">
        <v>43850.0</v>
      </c>
      <c r="U716" s="74">
        <v>9999.0</v>
      </c>
      <c r="V716" s="74">
        <v>9999.0</v>
      </c>
      <c r="W716" s="119"/>
      <c r="X716" s="119"/>
      <c r="Y716" s="146">
        <v>43850.0</v>
      </c>
      <c r="Z716" s="74">
        <v>33.75</v>
      </c>
      <c r="AA716" s="74">
        <v>38.93</v>
      </c>
      <c r="AB716" s="119"/>
      <c r="AC716" s="119"/>
      <c r="AD716" s="119"/>
      <c r="AE716" s="74">
        <v>1.0</v>
      </c>
      <c r="AF716" s="74" t="s">
        <v>18902</v>
      </c>
      <c r="AG716" s="120">
        <v>7385.0</v>
      </c>
      <c r="AH716" s="74" t="s">
        <v>27182</v>
      </c>
      <c r="AI716" s="74" t="s">
        <v>27183</v>
      </c>
      <c r="AJ716" s="120">
        <v>717.0</v>
      </c>
    </row>
    <row r="717">
      <c r="A717" s="74" t="s">
        <v>27175</v>
      </c>
      <c r="B717" s="74" t="s">
        <v>6876</v>
      </c>
      <c r="C717" s="74" t="s">
        <v>6877</v>
      </c>
      <c r="D717" s="74" t="s">
        <v>8493</v>
      </c>
      <c r="E717" s="146">
        <v>43851.0</v>
      </c>
      <c r="F717" s="74" t="s">
        <v>27185</v>
      </c>
      <c r="G717" s="74">
        <v>58.0</v>
      </c>
      <c r="H717" s="74">
        <v>2.0</v>
      </c>
      <c r="I717" s="74">
        <v>15.0</v>
      </c>
      <c r="J717" s="119"/>
      <c r="K717" s="74">
        <v>152.0</v>
      </c>
      <c r="L717" s="74" t="s">
        <v>690</v>
      </c>
      <c r="M717" s="74" t="s">
        <v>690</v>
      </c>
      <c r="N717" s="133">
        <v>43832.0</v>
      </c>
      <c r="O717" s="74">
        <v>1.0</v>
      </c>
      <c r="P717" s="74">
        <v>1.0</v>
      </c>
      <c r="Q717" s="119"/>
      <c r="R717" s="74" t="s">
        <v>27142</v>
      </c>
      <c r="S717" s="119"/>
      <c r="T717" s="146">
        <v>43850.0</v>
      </c>
      <c r="U717" s="74">
        <v>9999.0</v>
      </c>
      <c r="V717" s="74">
        <v>9999.0</v>
      </c>
      <c r="W717" s="119"/>
      <c r="X717" s="119"/>
      <c r="Y717" s="146">
        <v>43850.0</v>
      </c>
      <c r="Z717" s="74">
        <v>9999.0</v>
      </c>
      <c r="AA717" s="74">
        <v>9999.0</v>
      </c>
      <c r="AB717" s="119"/>
      <c r="AC717" s="119"/>
      <c r="AD717" s="119"/>
      <c r="AE717" s="74">
        <v>1.0</v>
      </c>
      <c r="AF717" s="74" t="s">
        <v>18902</v>
      </c>
      <c r="AG717" s="120">
        <v>7386.0</v>
      </c>
      <c r="AH717" s="74" t="s">
        <v>27191</v>
      </c>
      <c r="AI717" s="74" t="s">
        <v>27193</v>
      </c>
      <c r="AJ717" s="120">
        <v>718.0</v>
      </c>
    </row>
    <row r="718">
      <c r="A718" s="74" t="s">
        <v>27185</v>
      </c>
      <c r="B718" s="74" t="s">
        <v>6876</v>
      </c>
      <c r="C718" s="74" t="s">
        <v>6877</v>
      </c>
      <c r="D718" s="74" t="s">
        <v>8493</v>
      </c>
      <c r="E718" s="146">
        <v>43851.0</v>
      </c>
      <c r="F718" s="74" t="s">
        <v>27194</v>
      </c>
      <c r="G718" s="74">
        <v>58.0</v>
      </c>
      <c r="H718" s="74">
        <v>2.0</v>
      </c>
      <c r="I718" s="74">
        <v>15.0</v>
      </c>
      <c r="J718" s="119"/>
      <c r="K718" s="74">
        <v>152.0</v>
      </c>
      <c r="L718" s="74" t="s">
        <v>691</v>
      </c>
      <c r="M718" s="74" t="s">
        <v>691</v>
      </c>
      <c r="N718" s="133">
        <v>43832.0</v>
      </c>
      <c r="O718" s="74">
        <v>1.0</v>
      </c>
      <c r="P718" s="74">
        <v>1.0</v>
      </c>
      <c r="Q718" s="119"/>
      <c r="R718" s="74" t="s">
        <v>27142</v>
      </c>
      <c r="S718" s="119"/>
      <c r="T718" s="146">
        <v>43850.0</v>
      </c>
      <c r="U718" s="74">
        <v>9999.0</v>
      </c>
      <c r="V718" s="74">
        <v>9999.0</v>
      </c>
      <c r="W718" s="119"/>
      <c r="X718" s="119"/>
      <c r="Y718" s="146">
        <v>43850.0</v>
      </c>
      <c r="Z718" s="74">
        <v>9999.0</v>
      </c>
      <c r="AA718" s="74">
        <v>9999.0</v>
      </c>
      <c r="AB718" s="119"/>
      <c r="AC718" s="119"/>
      <c r="AD718" s="119"/>
      <c r="AE718" s="74">
        <v>1.0</v>
      </c>
      <c r="AF718" s="74" t="s">
        <v>18902</v>
      </c>
      <c r="AG718" s="120">
        <v>7387.0</v>
      </c>
      <c r="AH718" s="74" t="s">
        <v>27200</v>
      </c>
      <c r="AI718" s="74" t="s">
        <v>27201</v>
      </c>
      <c r="AJ718" s="120">
        <v>719.0</v>
      </c>
    </row>
    <row r="719">
      <c r="A719" s="74" t="s">
        <v>27202</v>
      </c>
      <c r="B719" s="74" t="s">
        <v>6876</v>
      </c>
      <c r="C719" s="74" t="s">
        <v>6877</v>
      </c>
      <c r="D719" s="74" t="s">
        <v>8493</v>
      </c>
      <c r="E719" s="146">
        <v>43851.0</v>
      </c>
      <c r="F719" s="74" t="s">
        <v>27205</v>
      </c>
      <c r="G719" s="74">
        <v>58.0</v>
      </c>
      <c r="H719" s="74">
        <v>2.0</v>
      </c>
      <c r="I719" s="74">
        <v>2.0</v>
      </c>
      <c r="J719" s="119"/>
      <c r="K719" s="119"/>
      <c r="L719" s="74" t="s">
        <v>333</v>
      </c>
      <c r="M719" s="74" t="s">
        <v>333</v>
      </c>
      <c r="N719" s="133">
        <v>43832.0</v>
      </c>
      <c r="O719" s="74">
        <v>1.0</v>
      </c>
      <c r="P719" s="74">
        <v>1.0</v>
      </c>
      <c r="Q719" s="119"/>
      <c r="R719" s="74" t="s">
        <v>27142</v>
      </c>
      <c r="S719" s="119"/>
      <c r="T719" s="146">
        <v>43850.0</v>
      </c>
      <c r="U719" s="74">
        <v>9999.0</v>
      </c>
      <c r="V719" s="74">
        <v>9999.0</v>
      </c>
      <c r="W719" s="119"/>
      <c r="X719" s="119"/>
      <c r="Y719" s="146">
        <v>43850.0</v>
      </c>
      <c r="Z719" s="74">
        <v>9999.0</v>
      </c>
      <c r="AA719" s="74">
        <v>9999.0</v>
      </c>
      <c r="AB719" s="119"/>
      <c r="AC719" s="119"/>
      <c r="AD719" s="119"/>
      <c r="AE719" s="74">
        <v>1.0</v>
      </c>
      <c r="AF719" s="74" t="s">
        <v>18902</v>
      </c>
      <c r="AG719" s="120">
        <v>7388.0</v>
      </c>
      <c r="AH719" s="74" t="s">
        <v>27208</v>
      </c>
      <c r="AI719" s="74" t="s">
        <v>27209</v>
      </c>
      <c r="AJ719" s="120">
        <v>720.0</v>
      </c>
    </row>
    <row r="720">
      <c r="A720" s="74" t="s">
        <v>27205</v>
      </c>
      <c r="B720" s="74" t="s">
        <v>6876</v>
      </c>
      <c r="C720" s="74" t="s">
        <v>6877</v>
      </c>
      <c r="D720" s="74" t="s">
        <v>8493</v>
      </c>
      <c r="E720" s="146">
        <v>43851.0</v>
      </c>
      <c r="F720" s="74" t="s">
        <v>27210</v>
      </c>
      <c r="G720" s="74">
        <v>58.0</v>
      </c>
      <c r="H720" s="74">
        <v>2.0</v>
      </c>
      <c r="I720" s="74">
        <v>99.0</v>
      </c>
      <c r="J720" s="119"/>
      <c r="K720" s="119"/>
      <c r="L720" s="74" t="s">
        <v>2091</v>
      </c>
      <c r="M720" s="74" t="s">
        <v>2091</v>
      </c>
      <c r="N720" s="133">
        <v>43832.0</v>
      </c>
      <c r="O720" s="74">
        <v>1.0</v>
      </c>
      <c r="P720" s="74">
        <v>1.0</v>
      </c>
      <c r="Q720" s="119"/>
      <c r="R720" s="74" t="s">
        <v>27142</v>
      </c>
      <c r="S720" s="119"/>
      <c r="T720" s="146">
        <v>43850.0</v>
      </c>
      <c r="U720" s="74">
        <v>9999.0</v>
      </c>
      <c r="V720" s="74">
        <v>9999.0</v>
      </c>
      <c r="W720" s="119"/>
      <c r="X720" s="119"/>
      <c r="Y720" s="146">
        <v>43850.0</v>
      </c>
      <c r="Z720" s="74">
        <v>9999.0</v>
      </c>
      <c r="AA720" s="74">
        <v>9999.0</v>
      </c>
      <c r="AB720" s="119"/>
      <c r="AC720" s="119"/>
      <c r="AD720" s="74" t="s">
        <v>27215</v>
      </c>
      <c r="AE720" s="74">
        <v>1.0</v>
      </c>
      <c r="AF720" s="74" t="s">
        <v>18902</v>
      </c>
      <c r="AG720" s="120">
        <v>7389.0</v>
      </c>
      <c r="AH720" s="74" t="s">
        <v>27217</v>
      </c>
      <c r="AI720" s="74" t="s">
        <v>27218</v>
      </c>
      <c r="AJ720" s="120">
        <v>721.0</v>
      </c>
    </row>
    <row r="721">
      <c r="A721" s="74" t="s">
        <v>27210</v>
      </c>
      <c r="B721" s="74" t="s">
        <v>6876</v>
      </c>
      <c r="C721" s="74" t="s">
        <v>6877</v>
      </c>
      <c r="D721" s="74" t="s">
        <v>8493</v>
      </c>
      <c r="E721" s="146">
        <v>43851.0</v>
      </c>
      <c r="F721" s="74" t="s">
        <v>27221</v>
      </c>
      <c r="G721" s="74">
        <v>58.0</v>
      </c>
      <c r="H721" s="74">
        <v>2.0</v>
      </c>
      <c r="I721" s="74">
        <v>8.0</v>
      </c>
      <c r="J721" s="119"/>
      <c r="K721" s="119"/>
      <c r="L721" s="74" t="s">
        <v>330</v>
      </c>
      <c r="M721" s="74" t="s">
        <v>330</v>
      </c>
      <c r="N721" s="133">
        <v>43832.0</v>
      </c>
      <c r="O721" s="74">
        <v>1.0</v>
      </c>
      <c r="P721" s="74">
        <v>1.0</v>
      </c>
      <c r="Q721" s="119"/>
      <c r="R721" s="74" t="s">
        <v>27142</v>
      </c>
      <c r="S721" s="119"/>
      <c r="T721" s="146">
        <v>43850.0</v>
      </c>
      <c r="U721" s="74">
        <v>40.0</v>
      </c>
      <c r="V721" s="74">
        <v>9999.0</v>
      </c>
      <c r="W721" s="119"/>
      <c r="X721" s="119"/>
      <c r="Y721" s="146">
        <v>43850.0</v>
      </c>
      <c r="Z721" s="74">
        <v>40.0</v>
      </c>
      <c r="AA721" s="74">
        <v>9999.0</v>
      </c>
      <c r="AB721" s="119"/>
      <c r="AC721" s="119"/>
      <c r="AD721" s="119"/>
      <c r="AE721" s="74">
        <v>1.0</v>
      </c>
      <c r="AF721" s="74" t="s">
        <v>18902</v>
      </c>
      <c r="AG721" s="120">
        <v>7390.0</v>
      </c>
      <c r="AH721" s="74" t="s">
        <v>27224</v>
      </c>
      <c r="AI721" s="74" t="s">
        <v>27225</v>
      </c>
      <c r="AJ721" s="120">
        <v>722.0</v>
      </c>
    </row>
    <row r="722">
      <c r="A722" s="74" t="s">
        <v>27221</v>
      </c>
      <c r="B722" s="74" t="s">
        <v>6876</v>
      </c>
      <c r="C722" s="74" t="s">
        <v>6877</v>
      </c>
      <c r="D722" s="74" t="s">
        <v>8493</v>
      </c>
      <c r="E722" s="146">
        <v>43851.0</v>
      </c>
      <c r="F722" s="74" t="s">
        <v>27228</v>
      </c>
      <c r="G722" s="74">
        <v>59.0</v>
      </c>
      <c r="H722" s="74">
        <v>1.0</v>
      </c>
      <c r="I722" s="74">
        <v>11.0</v>
      </c>
      <c r="J722" s="119"/>
      <c r="K722" s="119"/>
      <c r="L722" s="74" t="s">
        <v>2108</v>
      </c>
      <c r="M722" s="74" t="s">
        <v>2108</v>
      </c>
      <c r="N722" s="133">
        <v>43832.0</v>
      </c>
      <c r="O722" s="74">
        <v>1.0</v>
      </c>
      <c r="P722" s="74">
        <v>1.0</v>
      </c>
      <c r="Q722" s="119"/>
      <c r="R722" s="74" t="s">
        <v>27142</v>
      </c>
      <c r="S722" s="119"/>
      <c r="T722" s="146">
        <v>43850.0</v>
      </c>
      <c r="U722" s="74">
        <v>9999.0</v>
      </c>
      <c r="V722" s="74">
        <v>9999.0</v>
      </c>
      <c r="W722" s="119"/>
      <c r="X722" s="119"/>
      <c r="Y722" s="146">
        <v>43850.0</v>
      </c>
      <c r="Z722" s="74">
        <v>9999.0</v>
      </c>
      <c r="AA722" s="74">
        <v>40.0</v>
      </c>
      <c r="AB722" s="119"/>
      <c r="AC722" s="119"/>
      <c r="AD722" s="119"/>
      <c r="AE722" s="74">
        <v>1.0</v>
      </c>
      <c r="AF722" s="74" t="s">
        <v>18902</v>
      </c>
      <c r="AG722" s="120">
        <v>7391.0</v>
      </c>
      <c r="AH722" s="74" t="s">
        <v>27231</v>
      </c>
      <c r="AI722" s="74" t="s">
        <v>27232</v>
      </c>
      <c r="AJ722" s="120">
        <v>723.0</v>
      </c>
    </row>
    <row r="723">
      <c r="A723" s="74" t="s">
        <v>27228</v>
      </c>
      <c r="B723" s="74" t="s">
        <v>6876</v>
      </c>
      <c r="C723" s="74" t="s">
        <v>6877</v>
      </c>
      <c r="D723" s="74" t="s">
        <v>8493</v>
      </c>
      <c r="E723" s="146">
        <v>43851.0</v>
      </c>
      <c r="F723" s="74" t="s">
        <v>27234</v>
      </c>
      <c r="G723" s="74">
        <v>59.0</v>
      </c>
      <c r="H723" s="74">
        <v>1.0</v>
      </c>
      <c r="I723" s="74">
        <v>99.0</v>
      </c>
      <c r="J723" s="119"/>
      <c r="K723" s="119"/>
      <c r="L723" s="74" t="s">
        <v>2110</v>
      </c>
      <c r="M723" s="74" t="s">
        <v>2110</v>
      </c>
      <c r="N723" s="133">
        <v>43832.0</v>
      </c>
      <c r="O723" s="74">
        <v>1.0</v>
      </c>
      <c r="P723" s="74">
        <v>1.0</v>
      </c>
      <c r="Q723" s="119"/>
      <c r="R723" s="74" t="s">
        <v>27142</v>
      </c>
      <c r="S723" s="119"/>
      <c r="T723" s="146">
        <v>43850.0</v>
      </c>
      <c r="U723" s="74">
        <v>9999.0</v>
      </c>
      <c r="V723" s="74">
        <v>9999.0</v>
      </c>
      <c r="W723" s="119"/>
      <c r="X723" s="119"/>
      <c r="Y723" s="146">
        <v>43850.0</v>
      </c>
      <c r="Z723" s="74">
        <v>9999.0</v>
      </c>
      <c r="AA723" s="74">
        <v>9999.0</v>
      </c>
      <c r="AB723" s="119"/>
      <c r="AC723" s="119"/>
      <c r="AD723" s="74" t="s">
        <v>27237</v>
      </c>
      <c r="AE723" s="74">
        <v>1.0</v>
      </c>
      <c r="AF723" s="74" t="s">
        <v>18902</v>
      </c>
      <c r="AG723" s="120">
        <v>7392.0</v>
      </c>
      <c r="AH723" s="74" t="s">
        <v>27239</v>
      </c>
      <c r="AI723" s="74" t="s">
        <v>27240</v>
      </c>
      <c r="AJ723" s="120">
        <v>724.0</v>
      </c>
    </row>
    <row r="724">
      <c r="A724" s="74" t="s">
        <v>27234</v>
      </c>
      <c r="B724" s="74" t="s">
        <v>6876</v>
      </c>
      <c r="C724" s="74" t="s">
        <v>6877</v>
      </c>
      <c r="D724" s="74" t="s">
        <v>8493</v>
      </c>
      <c r="E724" s="146">
        <v>43851.0</v>
      </c>
      <c r="F724" s="74" t="s">
        <v>27241</v>
      </c>
      <c r="G724" s="74">
        <v>59.0</v>
      </c>
      <c r="H724" s="74">
        <v>1.0</v>
      </c>
      <c r="I724" s="74">
        <v>11.0</v>
      </c>
      <c r="J724" s="119"/>
      <c r="K724" s="119"/>
      <c r="L724" s="74" t="s">
        <v>2111</v>
      </c>
      <c r="M724" s="74" t="s">
        <v>2111</v>
      </c>
      <c r="N724" s="133">
        <v>43832.0</v>
      </c>
      <c r="O724" s="74">
        <v>1.0</v>
      </c>
      <c r="P724" s="74">
        <v>1.0</v>
      </c>
      <c r="Q724" s="119"/>
      <c r="R724" s="74" t="s">
        <v>27142</v>
      </c>
      <c r="S724" s="119"/>
      <c r="T724" s="146">
        <v>43850.0</v>
      </c>
      <c r="U724" s="74">
        <v>26.45</v>
      </c>
      <c r="V724" s="74">
        <v>26.8</v>
      </c>
      <c r="W724" s="119"/>
      <c r="X724" s="119"/>
      <c r="Y724" s="146">
        <v>43850.0</v>
      </c>
      <c r="Z724" s="74">
        <v>9999.0</v>
      </c>
      <c r="AA724" s="74">
        <v>9999.0</v>
      </c>
      <c r="AB724" s="119"/>
      <c r="AC724" s="119"/>
      <c r="AD724" s="119"/>
      <c r="AE724" s="74">
        <v>1.0</v>
      </c>
      <c r="AF724" s="74" t="s">
        <v>18902</v>
      </c>
      <c r="AG724" s="120">
        <v>7393.0</v>
      </c>
      <c r="AH724" s="74" t="s">
        <v>27245</v>
      </c>
      <c r="AI724" s="74" t="s">
        <v>27246</v>
      </c>
      <c r="AJ724" s="120">
        <v>725.0</v>
      </c>
    </row>
    <row r="725">
      <c r="A725" s="74" t="s">
        <v>27241</v>
      </c>
      <c r="B725" s="74" t="s">
        <v>6876</v>
      </c>
      <c r="C725" s="74" t="s">
        <v>6877</v>
      </c>
      <c r="D725" s="74" t="s">
        <v>8493</v>
      </c>
      <c r="E725" s="146">
        <v>43851.0</v>
      </c>
      <c r="F725" s="74" t="s">
        <v>27248</v>
      </c>
      <c r="G725" s="74">
        <v>59.0</v>
      </c>
      <c r="H725" s="74">
        <v>1.0</v>
      </c>
      <c r="I725" s="74">
        <v>3.0</v>
      </c>
      <c r="J725" s="119"/>
      <c r="K725" s="119"/>
      <c r="L725" s="74" t="s">
        <v>2116</v>
      </c>
      <c r="M725" s="74" t="s">
        <v>2116</v>
      </c>
      <c r="N725" s="133">
        <v>43832.0</v>
      </c>
      <c r="O725" s="74">
        <v>1.0</v>
      </c>
      <c r="P725" s="74">
        <v>1.0</v>
      </c>
      <c r="Q725" s="119"/>
      <c r="R725" s="74" t="s">
        <v>27142</v>
      </c>
      <c r="S725" s="119"/>
      <c r="T725" s="146">
        <v>43850.0</v>
      </c>
      <c r="U725" s="74">
        <v>9999.0</v>
      </c>
      <c r="V725" s="74">
        <v>34.25</v>
      </c>
      <c r="W725" s="119"/>
      <c r="X725" s="119"/>
      <c r="Y725" s="146">
        <v>43850.0</v>
      </c>
      <c r="Z725" s="74">
        <v>9999.0</v>
      </c>
      <c r="AA725" s="74">
        <v>9999.0</v>
      </c>
      <c r="AB725" s="119"/>
      <c r="AC725" s="119"/>
      <c r="AD725" s="119"/>
      <c r="AE725" s="74">
        <v>1.0</v>
      </c>
      <c r="AF725" s="74" t="s">
        <v>18902</v>
      </c>
      <c r="AG725" s="120">
        <v>7394.0</v>
      </c>
      <c r="AH725" s="74" t="s">
        <v>27253</v>
      </c>
      <c r="AI725" s="74" t="s">
        <v>27254</v>
      </c>
      <c r="AJ725" s="120">
        <v>726.0</v>
      </c>
    </row>
    <row r="726">
      <c r="A726" s="74" t="s">
        <v>27255</v>
      </c>
      <c r="B726" s="74" t="s">
        <v>6876</v>
      </c>
      <c r="C726" s="74" t="s">
        <v>6877</v>
      </c>
      <c r="D726" s="74" t="s">
        <v>8493</v>
      </c>
      <c r="E726" s="146">
        <v>43851.0</v>
      </c>
      <c r="F726" s="74" t="s">
        <v>27256</v>
      </c>
      <c r="G726" s="74">
        <v>59.0</v>
      </c>
      <c r="H726" s="74">
        <v>1.0</v>
      </c>
      <c r="I726" s="74">
        <v>3.0</v>
      </c>
      <c r="J726" s="119"/>
      <c r="K726" s="119"/>
      <c r="L726" s="74" t="s">
        <v>2114</v>
      </c>
      <c r="M726" s="74" t="s">
        <v>2114</v>
      </c>
      <c r="N726" s="133">
        <v>43832.0</v>
      </c>
      <c r="O726" s="74">
        <v>1.0</v>
      </c>
      <c r="P726" s="74">
        <v>1.0</v>
      </c>
      <c r="Q726" s="119"/>
      <c r="R726" s="74" t="s">
        <v>27142</v>
      </c>
      <c r="S726" s="119"/>
      <c r="T726" s="146">
        <v>43850.0</v>
      </c>
      <c r="U726" s="74">
        <v>9999.0</v>
      </c>
      <c r="V726" s="74">
        <v>9999.0</v>
      </c>
      <c r="W726" s="119"/>
      <c r="X726" s="119"/>
      <c r="Y726" s="146">
        <v>43850.0</v>
      </c>
      <c r="Z726" s="74">
        <v>9999.0</v>
      </c>
      <c r="AA726" s="74">
        <v>9999.0</v>
      </c>
      <c r="AB726" s="119"/>
      <c r="AC726" s="119"/>
      <c r="AD726" s="119"/>
      <c r="AE726" s="74">
        <v>1.0</v>
      </c>
      <c r="AF726" s="74" t="s">
        <v>18902</v>
      </c>
      <c r="AG726" s="120">
        <v>7395.0</v>
      </c>
      <c r="AH726" s="74" t="s">
        <v>27259</v>
      </c>
      <c r="AI726" s="74" t="s">
        <v>27260</v>
      </c>
      <c r="AJ726" s="120">
        <v>727.0</v>
      </c>
    </row>
    <row r="727">
      <c r="A727" s="74" t="s">
        <v>27256</v>
      </c>
      <c r="B727" s="74" t="s">
        <v>6876</v>
      </c>
      <c r="C727" s="74" t="s">
        <v>6877</v>
      </c>
      <c r="D727" s="74" t="s">
        <v>8493</v>
      </c>
      <c r="E727" s="146">
        <v>43851.0</v>
      </c>
      <c r="F727" s="74" t="s">
        <v>27263</v>
      </c>
      <c r="G727" s="74">
        <v>66.0</v>
      </c>
      <c r="H727" s="74">
        <v>1.0</v>
      </c>
      <c r="I727" s="74">
        <v>12.0</v>
      </c>
      <c r="J727" s="119"/>
      <c r="K727" s="119"/>
      <c r="L727" s="74" t="s">
        <v>2102</v>
      </c>
      <c r="M727" s="74" t="s">
        <v>2102</v>
      </c>
      <c r="N727" s="133">
        <v>43832.0</v>
      </c>
      <c r="O727" s="74">
        <v>1.0</v>
      </c>
      <c r="P727" s="74">
        <v>1.0</v>
      </c>
      <c r="Q727" s="119"/>
      <c r="R727" s="74" t="s">
        <v>27142</v>
      </c>
      <c r="S727" s="119"/>
      <c r="T727" s="146">
        <v>43850.0</v>
      </c>
      <c r="U727" s="74">
        <v>9999.0</v>
      </c>
      <c r="V727" s="74">
        <v>36.59</v>
      </c>
      <c r="W727" s="119"/>
      <c r="X727" s="119"/>
      <c r="Y727" s="146">
        <v>43850.0</v>
      </c>
      <c r="Z727" s="74">
        <v>9999.0</v>
      </c>
      <c r="AA727" s="74">
        <v>40.0</v>
      </c>
      <c r="AB727" s="119"/>
      <c r="AC727" s="119"/>
      <c r="AD727" s="119"/>
      <c r="AE727" s="74">
        <v>1.0</v>
      </c>
      <c r="AF727" s="74" t="s">
        <v>18902</v>
      </c>
      <c r="AG727" s="120">
        <v>7396.0</v>
      </c>
      <c r="AH727" s="74" t="s">
        <v>27269</v>
      </c>
      <c r="AI727" s="74" t="s">
        <v>27270</v>
      </c>
      <c r="AJ727" s="120">
        <v>728.0</v>
      </c>
    </row>
    <row r="728">
      <c r="A728" s="74" t="s">
        <v>27263</v>
      </c>
      <c r="B728" s="74" t="s">
        <v>6876</v>
      </c>
      <c r="C728" s="74" t="s">
        <v>6877</v>
      </c>
      <c r="D728" s="74" t="s">
        <v>8493</v>
      </c>
      <c r="E728" s="146">
        <v>43851.0</v>
      </c>
      <c r="F728" s="74" t="s">
        <v>27273</v>
      </c>
      <c r="G728" s="74">
        <v>66.0</v>
      </c>
      <c r="H728" s="74">
        <v>1.0</v>
      </c>
      <c r="I728" s="74">
        <v>99.0</v>
      </c>
      <c r="J728" s="119"/>
      <c r="K728" s="119"/>
      <c r="L728" s="74" t="s">
        <v>2104</v>
      </c>
      <c r="M728" s="74" t="s">
        <v>2104</v>
      </c>
      <c r="N728" s="133">
        <v>43832.0</v>
      </c>
      <c r="O728" s="74">
        <v>1.0</v>
      </c>
      <c r="P728" s="74">
        <v>1.0</v>
      </c>
      <c r="Q728" s="119"/>
      <c r="R728" s="74" t="s">
        <v>27142</v>
      </c>
      <c r="S728" s="119"/>
      <c r="T728" s="146">
        <v>43850.0</v>
      </c>
      <c r="U728" s="74">
        <v>9999.0</v>
      </c>
      <c r="V728" s="74">
        <v>9999.0</v>
      </c>
      <c r="W728" s="119"/>
      <c r="X728" s="119"/>
      <c r="Y728" s="146">
        <v>43850.0</v>
      </c>
      <c r="Z728" s="74">
        <v>9999.0</v>
      </c>
      <c r="AA728" s="74">
        <v>9999.0</v>
      </c>
      <c r="AB728" s="119"/>
      <c r="AC728" s="119"/>
      <c r="AD728" s="74" t="s">
        <v>27278</v>
      </c>
      <c r="AE728" s="74">
        <v>1.0</v>
      </c>
      <c r="AF728" s="74" t="s">
        <v>18902</v>
      </c>
      <c r="AG728" s="120">
        <v>7397.0</v>
      </c>
      <c r="AH728" s="74" t="s">
        <v>27281</v>
      </c>
      <c r="AI728" s="74" t="s">
        <v>27282</v>
      </c>
      <c r="AJ728" s="120">
        <v>729.0</v>
      </c>
    </row>
    <row r="729">
      <c r="A729" s="74" t="s">
        <v>27273</v>
      </c>
      <c r="B729" s="74" t="s">
        <v>6876</v>
      </c>
      <c r="C729" s="74" t="s">
        <v>6877</v>
      </c>
      <c r="D729" s="74" t="s">
        <v>8493</v>
      </c>
      <c r="E729" s="146">
        <v>43851.0</v>
      </c>
      <c r="F729" s="74" t="s">
        <v>27284</v>
      </c>
      <c r="G729" s="74">
        <v>65.0</v>
      </c>
      <c r="H729" s="74">
        <v>1.0</v>
      </c>
      <c r="I729" s="74">
        <v>12.0</v>
      </c>
      <c r="J729" s="119"/>
      <c r="K729" s="119"/>
      <c r="L729" s="74" t="s">
        <v>2105</v>
      </c>
      <c r="M729" s="74" t="s">
        <v>2105</v>
      </c>
      <c r="N729" s="133">
        <v>43832.0</v>
      </c>
      <c r="O729" s="74">
        <v>1.0</v>
      </c>
      <c r="P729" s="74">
        <v>1.0</v>
      </c>
      <c r="Q729" s="119"/>
      <c r="R729" s="74" t="s">
        <v>27142</v>
      </c>
      <c r="S729" s="119"/>
      <c r="T729" s="146">
        <v>43850.0</v>
      </c>
      <c r="U729" s="74">
        <v>26.65</v>
      </c>
      <c r="V729" s="74">
        <v>26.93</v>
      </c>
      <c r="W729" s="119"/>
      <c r="X729" s="119"/>
      <c r="Y729" s="146">
        <v>43850.0</v>
      </c>
      <c r="Z729" s="74">
        <v>31.31</v>
      </c>
      <c r="AA729" s="74">
        <v>33.01</v>
      </c>
      <c r="AB729" s="119"/>
      <c r="AC729" s="119"/>
      <c r="AD729" s="119"/>
      <c r="AE729" s="74">
        <v>1.0</v>
      </c>
      <c r="AF729" s="74" t="s">
        <v>18902</v>
      </c>
      <c r="AG729" s="120">
        <v>7398.0</v>
      </c>
      <c r="AH729" s="74" t="s">
        <v>27288</v>
      </c>
      <c r="AI729" s="74" t="s">
        <v>27289</v>
      </c>
      <c r="AJ729" s="120">
        <v>730.0</v>
      </c>
    </row>
    <row r="730">
      <c r="A730" s="74" t="s">
        <v>27290</v>
      </c>
      <c r="B730" s="74" t="s">
        <v>6876</v>
      </c>
      <c r="C730" s="74" t="s">
        <v>6877</v>
      </c>
      <c r="D730" s="74" t="s">
        <v>8493</v>
      </c>
      <c r="E730" s="146">
        <v>43851.0</v>
      </c>
      <c r="F730" s="74" t="s">
        <v>27292</v>
      </c>
      <c r="G730" s="74">
        <v>59.0</v>
      </c>
      <c r="H730" s="74">
        <v>1.0</v>
      </c>
      <c r="I730" s="74">
        <v>98.0</v>
      </c>
      <c r="J730" s="119"/>
      <c r="K730" s="119"/>
      <c r="L730" s="74" t="s">
        <v>2121</v>
      </c>
      <c r="M730" s="74" t="s">
        <v>2121</v>
      </c>
      <c r="N730" s="133">
        <v>43832.0</v>
      </c>
      <c r="O730" s="74">
        <v>1.0</v>
      </c>
      <c r="P730" s="74">
        <v>1.0</v>
      </c>
      <c r="Q730" s="119"/>
      <c r="R730" s="74" t="s">
        <v>27142</v>
      </c>
      <c r="S730" s="119"/>
      <c r="T730" s="146">
        <v>43850.0</v>
      </c>
      <c r="U730" s="74">
        <v>9999.0</v>
      </c>
      <c r="V730" s="74">
        <v>9999.0</v>
      </c>
      <c r="W730" s="119"/>
      <c r="X730" s="119"/>
      <c r="Y730" s="146">
        <v>43850.0</v>
      </c>
      <c r="Z730" s="74">
        <v>9999.0</v>
      </c>
      <c r="AA730" s="74">
        <v>9999.0</v>
      </c>
      <c r="AB730" s="119"/>
      <c r="AC730" s="119"/>
      <c r="AD730" s="119"/>
      <c r="AE730" s="74">
        <v>1.0</v>
      </c>
      <c r="AF730" s="74" t="s">
        <v>18902</v>
      </c>
      <c r="AG730" s="120">
        <v>7399.0</v>
      </c>
      <c r="AH730" s="74" t="s">
        <v>27296</v>
      </c>
      <c r="AI730" s="74" t="s">
        <v>27297</v>
      </c>
      <c r="AJ730" s="120">
        <v>731.0</v>
      </c>
    </row>
    <row r="731">
      <c r="A731" s="74" t="s">
        <v>27298</v>
      </c>
      <c r="B731" s="74" t="s">
        <v>6876</v>
      </c>
      <c r="C731" s="74" t="s">
        <v>6877</v>
      </c>
      <c r="D731" s="74" t="s">
        <v>8493</v>
      </c>
      <c r="E731" s="146">
        <v>43858.0</v>
      </c>
      <c r="F731" s="74" t="s">
        <v>27299</v>
      </c>
      <c r="G731" s="74">
        <v>58.0</v>
      </c>
      <c r="H731" s="74">
        <v>1.0</v>
      </c>
      <c r="I731" s="74">
        <v>7.0</v>
      </c>
      <c r="J731" s="119"/>
      <c r="K731" s="119"/>
      <c r="L731" s="74" t="s">
        <v>4533</v>
      </c>
      <c r="M731" s="74" t="s">
        <v>4533</v>
      </c>
      <c r="N731" s="133">
        <v>43832.0</v>
      </c>
      <c r="O731" s="74">
        <v>1.0</v>
      </c>
      <c r="P731" s="74">
        <v>1.0</v>
      </c>
      <c r="Q731" s="119"/>
      <c r="R731" s="74" t="s">
        <v>26467</v>
      </c>
      <c r="S731" s="119"/>
      <c r="T731" s="146">
        <v>43790.0</v>
      </c>
      <c r="U731" s="74">
        <v>9999.0</v>
      </c>
      <c r="V731" s="74">
        <v>32.09</v>
      </c>
      <c r="W731" s="119"/>
      <c r="X731" s="119"/>
      <c r="Y731" s="146">
        <v>43790.0</v>
      </c>
      <c r="Z731" s="74">
        <v>9999.0</v>
      </c>
      <c r="AA731" s="74">
        <v>9999.0</v>
      </c>
      <c r="AB731" s="119"/>
      <c r="AC731" s="119"/>
      <c r="AD731" s="119"/>
      <c r="AE731" s="74">
        <v>1.0</v>
      </c>
      <c r="AF731" s="74" t="s">
        <v>18902</v>
      </c>
      <c r="AG731" s="120">
        <v>7563.0</v>
      </c>
      <c r="AH731" s="74" t="s">
        <v>27304</v>
      </c>
      <c r="AI731" s="74" t="s">
        <v>27306</v>
      </c>
      <c r="AJ731" s="120">
        <v>732.0</v>
      </c>
    </row>
    <row r="732">
      <c r="A732" s="74" t="s">
        <v>27299</v>
      </c>
      <c r="B732" s="74" t="s">
        <v>6876</v>
      </c>
      <c r="C732" s="74" t="s">
        <v>6877</v>
      </c>
      <c r="D732" s="74" t="s">
        <v>8493</v>
      </c>
      <c r="E732" s="146">
        <v>43858.0</v>
      </c>
      <c r="F732" s="74" t="s">
        <v>27307</v>
      </c>
      <c r="G732" s="74">
        <v>58.0</v>
      </c>
      <c r="H732" s="74">
        <v>1.0</v>
      </c>
      <c r="I732" s="74">
        <v>7.0</v>
      </c>
      <c r="J732" s="119"/>
      <c r="K732" s="119"/>
      <c r="L732" s="74" t="s">
        <v>2274</v>
      </c>
      <c r="M732" s="74" t="s">
        <v>2274</v>
      </c>
      <c r="N732" s="133">
        <v>43832.0</v>
      </c>
      <c r="O732" s="74">
        <v>1.0</v>
      </c>
      <c r="P732" s="74">
        <v>1.0</v>
      </c>
      <c r="Q732" s="119"/>
      <c r="R732" s="74" t="s">
        <v>27309</v>
      </c>
      <c r="S732" s="119"/>
      <c r="T732" s="146">
        <v>43595.0</v>
      </c>
      <c r="U732" s="74">
        <v>9999.0</v>
      </c>
      <c r="V732" s="74">
        <v>9999.0</v>
      </c>
      <c r="W732" s="119"/>
      <c r="X732" s="119"/>
      <c r="Y732" s="146">
        <v>43595.0</v>
      </c>
      <c r="Z732" s="74">
        <v>9999.0</v>
      </c>
      <c r="AA732" s="74">
        <v>9999.0</v>
      </c>
      <c r="AB732" s="119"/>
      <c r="AC732" s="119"/>
      <c r="AD732" s="119"/>
      <c r="AE732" s="74">
        <v>1.0</v>
      </c>
      <c r="AF732" s="74" t="s">
        <v>18902</v>
      </c>
      <c r="AG732" s="120">
        <v>7564.0</v>
      </c>
      <c r="AH732" s="74" t="s">
        <v>27311</v>
      </c>
      <c r="AI732" s="74" t="s">
        <v>27313</v>
      </c>
      <c r="AJ732" s="120">
        <v>733.0</v>
      </c>
    </row>
    <row r="733">
      <c r="A733" s="74" t="s">
        <v>27307</v>
      </c>
      <c r="B733" s="74" t="s">
        <v>6876</v>
      </c>
      <c r="C733" s="74" t="s">
        <v>6877</v>
      </c>
      <c r="D733" s="74" t="s">
        <v>8493</v>
      </c>
      <c r="E733" s="146">
        <v>43858.0</v>
      </c>
      <c r="F733" s="74" t="s">
        <v>27314</v>
      </c>
      <c r="G733" s="74">
        <v>58.0</v>
      </c>
      <c r="H733" s="74">
        <v>1.0</v>
      </c>
      <c r="I733" s="74">
        <v>7.0</v>
      </c>
      <c r="J733" s="119"/>
      <c r="K733" s="119"/>
      <c r="L733" s="74" t="s">
        <v>27315</v>
      </c>
      <c r="M733" s="74" t="s">
        <v>27315</v>
      </c>
      <c r="N733" s="133">
        <v>43832.0</v>
      </c>
      <c r="O733" s="74">
        <v>1.0</v>
      </c>
      <c r="P733" s="74">
        <v>1.0</v>
      </c>
      <c r="Q733" s="119"/>
      <c r="R733" s="74" t="s">
        <v>26533</v>
      </c>
      <c r="S733" s="119"/>
      <c r="T733" s="146">
        <v>43581.0</v>
      </c>
      <c r="U733" s="74">
        <v>9999.0</v>
      </c>
      <c r="V733" s="74">
        <v>9999.0</v>
      </c>
      <c r="W733" s="119"/>
      <c r="X733" s="119"/>
      <c r="Y733" s="146">
        <v>43581.0</v>
      </c>
      <c r="Z733" s="74">
        <v>9999.0</v>
      </c>
      <c r="AA733" s="74">
        <v>9999.0</v>
      </c>
      <c r="AB733" s="119"/>
      <c r="AC733" s="119"/>
      <c r="AD733" s="119"/>
      <c r="AE733" s="74">
        <v>1.0</v>
      </c>
      <c r="AF733" s="74" t="s">
        <v>18902</v>
      </c>
      <c r="AG733" s="120">
        <v>7565.0</v>
      </c>
      <c r="AH733" s="74" t="s">
        <v>27317</v>
      </c>
      <c r="AI733" s="74" t="s">
        <v>27318</v>
      </c>
      <c r="AJ733" s="120">
        <v>734.0</v>
      </c>
    </row>
    <row r="734">
      <c r="A734" s="74" t="s">
        <v>27319</v>
      </c>
      <c r="B734" s="74" t="s">
        <v>6876</v>
      </c>
      <c r="C734" s="74" t="s">
        <v>6877</v>
      </c>
      <c r="D734" s="74" t="s">
        <v>8493</v>
      </c>
      <c r="E734" s="146">
        <v>43858.0</v>
      </c>
      <c r="F734" s="74" t="s">
        <v>27321</v>
      </c>
      <c r="G734" s="74">
        <v>57.0</v>
      </c>
      <c r="H734" s="74">
        <v>1.0</v>
      </c>
      <c r="I734" s="74">
        <v>12.0</v>
      </c>
      <c r="J734" s="119"/>
      <c r="K734" s="119"/>
      <c r="L734" s="74" t="s">
        <v>4542</v>
      </c>
      <c r="M734" s="74" t="s">
        <v>4542</v>
      </c>
      <c r="N734" s="133">
        <v>43832.0</v>
      </c>
      <c r="O734" s="74">
        <v>1.0</v>
      </c>
      <c r="P734" s="74">
        <v>1.0</v>
      </c>
      <c r="Q734" s="119"/>
      <c r="R734" s="74" t="s">
        <v>27309</v>
      </c>
      <c r="S734" s="119"/>
      <c r="T734" s="146">
        <v>43595.0</v>
      </c>
      <c r="U734" s="74">
        <v>9999.0</v>
      </c>
      <c r="V734" s="74">
        <v>9999.0</v>
      </c>
      <c r="W734" s="119"/>
      <c r="X734" s="119"/>
      <c r="Y734" s="146">
        <v>43595.0</v>
      </c>
      <c r="Z734" s="74">
        <v>32.73</v>
      </c>
      <c r="AA734" s="74">
        <v>32.78</v>
      </c>
      <c r="AB734" s="119"/>
      <c r="AC734" s="119"/>
      <c r="AD734" s="119"/>
      <c r="AE734" s="74">
        <v>1.0</v>
      </c>
      <c r="AF734" s="74" t="s">
        <v>18902</v>
      </c>
      <c r="AG734" s="120">
        <v>7566.0</v>
      </c>
      <c r="AH734" s="74" t="s">
        <v>27325</v>
      </c>
      <c r="AI734" s="74" t="s">
        <v>27326</v>
      </c>
      <c r="AJ734" s="120">
        <v>735.0</v>
      </c>
    </row>
    <row r="735">
      <c r="A735" s="74" t="s">
        <v>27321</v>
      </c>
      <c r="B735" s="74" t="s">
        <v>6876</v>
      </c>
      <c r="C735" s="74" t="s">
        <v>6877</v>
      </c>
      <c r="D735" s="74" t="s">
        <v>8493</v>
      </c>
      <c r="E735" s="146">
        <v>43858.0</v>
      </c>
      <c r="F735" s="74" t="s">
        <v>27328</v>
      </c>
      <c r="G735" s="74">
        <v>57.0</v>
      </c>
      <c r="H735" s="74">
        <v>1.0</v>
      </c>
      <c r="I735" s="74">
        <v>12.0</v>
      </c>
      <c r="J735" s="119"/>
      <c r="K735" s="119"/>
      <c r="L735" s="74" t="s">
        <v>4550</v>
      </c>
      <c r="M735" s="74" t="s">
        <v>4550</v>
      </c>
      <c r="N735" s="133">
        <v>43832.0</v>
      </c>
      <c r="O735" s="74">
        <v>1.0</v>
      </c>
      <c r="P735" s="74">
        <v>1.0</v>
      </c>
      <c r="Q735" s="119"/>
      <c r="R735" s="74" t="s">
        <v>27309</v>
      </c>
      <c r="S735" s="119"/>
      <c r="T735" s="146">
        <v>43595.0</v>
      </c>
      <c r="U735" s="74">
        <v>9999.0</v>
      </c>
      <c r="V735" s="74">
        <v>9999.0</v>
      </c>
      <c r="W735" s="119"/>
      <c r="X735" s="119"/>
      <c r="Y735" s="146">
        <v>43595.0</v>
      </c>
      <c r="Z735" s="74">
        <v>31.63</v>
      </c>
      <c r="AA735" s="74">
        <v>31.69</v>
      </c>
      <c r="AB735" s="119"/>
      <c r="AC735" s="119"/>
      <c r="AD735" s="119"/>
      <c r="AE735" s="74">
        <v>1.0</v>
      </c>
      <c r="AF735" s="74" t="s">
        <v>18902</v>
      </c>
      <c r="AG735" s="120">
        <v>7567.0</v>
      </c>
      <c r="AH735" s="74" t="s">
        <v>27332</v>
      </c>
      <c r="AI735" s="74" t="s">
        <v>27333</v>
      </c>
      <c r="AJ735" s="120">
        <v>736.0</v>
      </c>
    </row>
    <row r="736">
      <c r="A736" s="74" t="s">
        <v>27328</v>
      </c>
      <c r="B736" s="74" t="s">
        <v>6876</v>
      </c>
      <c r="C736" s="74" t="s">
        <v>6877</v>
      </c>
      <c r="D736" s="74" t="s">
        <v>8493</v>
      </c>
      <c r="E736" s="146">
        <v>43858.0</v>
      </c>
      <c r="F736" s="74" t="s">
        <v>27334</v>
      </c>
      <c r="G736" s="74">
        <v>58.0</v>
      </c>
      <c r="H736" s="74">
        <v>1.0</v>
      </c>
      <c r="I736" s="74">
        <v>2.0</v>
      </c>
      <c r="J736" s="119"/>
      <c r="K736" s="119"/>
      <c r="L736" s="74" t="s">
        <v>333</v>
      </c>
      <c r="M736" s="74" t="s">
        <v>333</v>
      </c>
      <c r="N736" s="133">
        <v>43832.0</v>
      </c>
      <c r="O736" s="74">
        <v>1.0</v>
      </c>
      <c r="P736" s="74">
        <v>1.0</v>
      </c>
      <c r="Q736" s="119"/>
      <c r="R736" s="74" t="s">
        <v>27309</v>
      </c>
      <c r="S736" s="119"/>
      <c r="T736" s="146">
        <v>43595.0</v>
      </c>
      <c r="U736" s="74">
        <v>9999.0</v>
      </c>
      <c r="V736" s="74">
        <v>9999.0</v>
      </c>
      <c r="W736" s="119"/>
      <c r="X736" s="119"/>
      <c r="Y736" s="146">
        <v>43595.0</v>
      </c>
      <c r="Z736" s="74">
        <v>9999.0</v>
      </c>
      <c r="AA736" s="74">
        <v>9999.0</v>
      </c>
      <c r="AB736" s="119"/>
      <c r="AC736" s="119"/>
      <c r="AD736" s="119"/>
      <c r="AE736" s="74">
        <v>1.0</v>
      </c>
      <c r="AF736" s="74" t="s">
        <v>18902</v>
      </c>
      <c r="AG736" s="120">
        <v>7568.0</v>
      </c>
      <c r="AH736" s="74" t="s">
        <v>27339</v>
      </c>
      <c r="AI736" s="74" t="s">
        <v>27340</v>
      </c>
      <c r="AJ736" s="120">
        <v>737.0</v>
      </c>
    </row>
    <row r="737">
      <c r="A737" s="74" t="s">
        <v>27334</v>
      </c>
      <c r="B737" s="74" t="s">
        <v>6876</v>
      </c>
      <c r="C737" s="74" t="s">
        <v>6877</v>
      </c>
      <c r="D737" s="74" t="s">
        <v>8493</v>
      </c>
      <c r="E737" s="146">
        <v>43858.0</v>
      </c>
      <c r="F737" s="74" t="s">
        <v>27342</v>
      </c>
      <c r="G737" s="74">
        <v>58.0</v>
      </c>
      <c r="H737" s="74">
        <v>1.0</v>
      </c>
      <c r="I737" s="74">
        <v>2.0</v>
      </c>
      <c r="J737" s="119"/>
      <c r="K737" s="119"/>
      <c r="L737" s="74" t="s">
        <v>349</v>
      </c>
      <c r="M737" s="74" t="s">
        <v>349</v>
      </c>
      <c r="N737" s="133">
        <v>43832.0</v>
      </c>
      <c r="O737" s="74">
        <v>1.0</v>
      </c>
      <c r="P737" s="74">
        <v>1.0</v>
      </c>
      <c r="Q737" s="119"/>
      <c r="R737" s="74" t="s">
        <v>27309</v>
      </c>
      <c r="S737" s="119"/>
      <c r="T737" s="146">
        <v>43595.0</v>
      </c>
      <c r="U737" s="74">
        <v>9999.0</v>
      </c>
      <c r="V737" s="74">
        <v>9999.0</v>
      </c>
      <c r="W737" s="119"/>
      <c r="X737" s="119"/>
      <c r="Y737" s="146">
        <v>43595.0</v>
      </c>
      <c r="Z737" s="74">
        <v>9999.0</v>
      </c>
      <c r="AA737" s="74">
        <v>9999.0</v>
      </c>
      <c r="AB737" s="119"/>
      <c r="AC737" s="119"/>
      <c r="AD737" s="119"/>
      <c r="AE737" s="74">
        <v>1.0</v>
      </c>
      <c r="AF737" s="74" t="s">
        <v>18902</v>
      </c>
      <c r="AG737" s="120">
        <v>7569.0</v>
      </c>
      <c r="AH737" s="74" t="s">
        <v>27348</v>
      </c>
      <c r="AI737" s="74" t="s">
        <v>27350</v>
      </c>
      <c r="AJ737" s="120">
        <v>738.0</v>
      </c>
    </row>
    <row r="738">
      <c r="A738" s="74" t="s">
        <v>27351</v>
      </c>
      <c r="B738" s="74" t="s">
        <v>6876</v>
      </c>
      <c r="C738" s="74" t="s">
        <v>6877</v>
      </c>
      <c r="D738" s="74" t="s">
        <v>8493</v>
      </c>
      <c r="E738" s="146">
        <v>43858.0</v>
      </c>
      <c r="F738" s="74" t="s">
        <v>27352</v>
      </c>
      <c r="G738" s="74">
        <v>58.0</v>
      </c>
      <c r="H738" s="74">
        <v>1.0</v>
      </c>
      <c r="I738" s="74">
        <v>8.0</v>
      </c>
      <c r="J738" s="119"/>
      <c r="K738" s="119"/>
      <c r="L738" s="74" t="s">
        <v>330</v>
      </c>
      <c r="M738" s="74" t="s">
        <v>330</v>
      </c>
      <c r="N738" s="133">
        <v>43832.0</v>
      </c>
      <c r="O738" s="74">
        <v>1.0</v>
      </c>
      <c r="P738" s="74">
        <v>1.0</v>
      </c>
      <c r="Q738" s="119"/>
      <c r="R738" s="74" t="s">
        <v>25858</v>
      </c>
      <c r="S738" s="119"/>
      <c r="T738" s="146">
        <v>43662.0</v>
      </c>
      <c r="U738" s="74">
        <v>34.45</v>
      </c>
      <c r="V738" s="74">
        <v>9999.0</v>
      </c>
      <c r="W738" s="119"/>
      <c r="X738" s="119"/>
      <c r="Y738" s="146">
        <v>43662.0</v>
      </c>
      <c r="Z738" s="74">
        <v>9999.0</v>
      </c>
      <c r="AA738" s="74">
        <v>9999.0</v>
      </c>
      <c r="AB738" s="119"/>
      <c r="AC738" s="119"/>
      <c r="AD738" s="119"/>
      <c r="AE738" s="74">
        <v>1.0</v>
      </c>
      <c r="AF738" s="74" t="s">
        <v>18902</v>
      </c>
      <c r="AG738" s="120">
        <v>7570.0</v>
      </c>
      <c r="AH738" s="74" t="s">
        <v>27357</v>
      </c>
      <c r="AI738" s="74" t="s">
        <v>27358</v>
      </c>
      <c r="AJ738" s="120">
        <v>739.0</v>
      </c>
    </row>
    <row r="739">
      <c r="A739" s="74" t="s">
        <v>27352</v>
      </c>
      <c r="B739" s="74" t="s">
        <v>6876</v>
      </c>
      <c r="C739" s="74" t="s">
        <v>6877</v>
      </c>
      <c r="D739" s="74" t="s">
        <v>8493</v>
      </c>
      <c r="E739" s="146">
        <v>43858.0</v>
      </c>
      <c r="F739" s="74" t="s">
        <v>27360</v>
      </c>
      <c r="G739" s="74">
        <v>58.0</v>
      </c>
      <c r="H739" s="74">
        <v>1.0</v>
      </c>
      <c r="I739" s="74">
        <v>8.0</v>
      </c>
      <c r="J739" s="119"/>
      <c r="K739" s="119"/>
      <c r="L739" s="74" t="s">
        <v>2183</v>
      </c>
      <c r="M739" s="74" t="s">
        <v>2183</v>
      </c>
      <c r="N739" s="133">
        <v>43832.0</v>
      </c>
      <c r="O739" s="74">
        <v>1.0</v>
      </c>
      <c r="P739" s="74">
        <v>1.0</v>
      </c>
      <c r="Q739" s="119"/>
      <c r="R739" s="74" t="s">
        <v>27309</v>
      </c>
      <c r="S739" s="119"/>
      <c r="T739" s="146">
        <v>43595.0</v>
      </c>
      <c r="U739" s="74">
        <v>9999.0</v>
      </c>
      <c r="V739" s="74">
        <v>9999.0</v>
      </c>
      <c r="W739" s="119"/>
      <c r="X739" s="119"/>
      <c r="Y739" s="146">
        <v>43595.0</v>
      </c>
      <c r="Z739" s="74">
        <v>9999.0</v>
      </c>
      <c r="AA739" s="74">
        <v>9999.0</v>
      </c>
      <c r="AB739" s="119"/>
      <c r="AC739" s="119"/>
      <c r="AD739" s="119"/>
      <c r="AE739" s="74">
        <v>1.0</v>
      </c>
      <c r="AF739" s="74" t="s">
        <v>18902</v>
      </c>
      <c r="AG739" s="120">
        <v>7571.0</v>
      </c>
      <c r="AH739" s="74" t="s">
        <v>27363</v>
      </c>
      <c r="AI739" s="74" t="s">
        <v>27364</v>
      </c>
      <c r="AJ739" s="120">
        <v>740.0</v>
      </c>
    </row>
    <row r="740">
      <c r="A740" s="74" t="s">
        <v>27360</v>
      </c>
      <c r="B740" s="74" t="s">
        <v>6876</v>
      </c>
      <c r="C740" s="74" t="s">
        <v>6877</v>
      </c>
      <c r="D740" s="74" t="s">
        <v>8493</v>
      </c>
      <c r="E740" s="146">
        <v>43858.0</v>
      </c>
      <c r="F740" s="74" t="s">
        <v>27366</v>
      </c>
      <c r="G740" s="74">
        <v>58.0</v>
      </c>
      <c r="H740" s="74">
        <v>1.0</v>
      </c>
      <c r="I740" s="74">
        <v>7.0</v>
      </c>
      <c r="J740" s="119"/>
      <c r="K740" s="119"/>
      <c r="L740" s="74" t="s">
        <v>4587</v>
      </c>
      <c r="M740" s="74" t="s">
        <v>4587</v>
      </c>
      <c r="N740" s="133">
        <v>43832.0</v>
      </c>
      <c r="O740" s="74">
        <v>1.0</v>
      </c>
      <c r="P740" s="74">
        <v>1.0</v>
      </c>
      <c r="Q740" s="119"/>
      <c r="R740" s="74" t="s">
        <v>27309</v>
      </c>
      <c r="S740" s="119"/>
      <c r="T740" s="146">
        <v>43595.0</v>
      </c>
      <c r="U740" s="74">
        <v>9999.0</v>
      </c>
      <c r="V740" s="74">
        <v>9999.0</v>
      </c>
      <c r="W740" s="119"/>
      <c r="X740" s="119"/>
      <c r="Y740" s="146">
        <v>43595.0</v>
      </c>
      <c r="Z740" s="74">
        <v>9999.0</v>
      </c>
      <c r="AA740" s="74">
        <v>9999.0</v>
      </c>
      <c r="AB740" s="119"/>
      <c r="AC740" s="119"/>
      <c r="AD740" s="119"/>
      <c r="AE740" s="74">
        <v>1.0</v>
      </c>
      <c r="AF740" s="74" t="s">
        <v>18902</v>
      </c>
      <c r="AG740" s="120">
        <v>7572.0</v>
      </c>
      <c r="AH740" s="74" t="s">
        <v>27373</v>
      </c>
      <c r="AI740" s="74" t="s">
        <v>27374</v>
      </c>
      <c r="AJ740" s="120">
        <v>741.0</v>
      </c>
    </row>
    <row r="741">
      <c r="A741" s="74" t="s">
        <v>27366</v>
      </c>
      <c r="B741" s="74" t="s">
        <v>6876</v>
      </c>
      <c r="C741" s="74" t="s">
        <v>6877</v>
      </c>
      <c r="D741" s="74" t="s">
        <v>8493</v>
      </c>
      <c r="E741" s="146">
        <v>43858.0</v>
      </c>
      <c r="F741" s="74" t="s">
        <v>27376</v>
      </c>
      <c r="G741" s="74">
        <v>57.0</v>
      </c>
      <c r="H741" s="74">
        <v>1.0</v>
      </c>
      <c r="I741" s="74">
        <v>12.0</v>
      </c>
      <c r="J741" s="119"/>
      <c r="K741" s="119"/>
      <c r="L741" s="74" t="s">
        <v>280</v>
      </c>
      <c r="M741" s="74" t="s">
        <v>280</v>
      </c>
      <c r="N741" s="133">
        <v>43832.0</v>
      </c>
      <c r="O741" s="74">
        <v>1.0</v>
      </c>
      <c r="P741" s="74">
        <v>1.0</v>
      </c>
      <c r="Q741" s="119"/>
      <c r="R741" s="74" t="s">
        <v>26467</v>
      </c>
      <c r="S741" s="119"/>
      <c r="T741" s="146">
        <v>43790.0</v>
      </c>
      <c r="U741" s="74">
        <v>9999.0</v>
      </c>
      <c r="V741" s="74">
        <v>9999.0</v>
      </c>
      <c r="W741" s="119"/>
      <c r="X741" s="119"/>
      <c r="Y741" s="146">
        <v>43790.0</v>
      </c>
      <c r="Z741" s="74">
        <v>9999.0</v>
      </c>
      <c r="AA741" s="74">
        <v>9999.0</v>
      </c>
      <c r="AB741" s="119"/>
      <c r="AC741" s="119"/>
      <c r="AD741" s="119"/>
      <c r="AE741" s="74">
        <v>1.0</v>
      </c>
      <c r="AF741" s="74" t="s">
        <v>18902</v>
      </c>
      <c r="AG741" s="120">
        <v>7573.0</v>
      </c>
      <c r="AH741" s="74" t="s">
        <v>27382</v>
      </c>
      <c r="AI741" s="74" t="s">
        <v>27383</v>
      </c>
      <c r="AJ741" s="120">
        <v>742.0</v>
      </c>
    </row>
    <row r="742">
      <c r="A742" s="74" t="s">
        <v>27376</v>
      </c>
      <c r="B742" s="74" t="s">
        <v>6876</v>
      </c>
      <c r="C742" s="74" t="s">
        <v>6877</v>
      </c>
      <c r="D742" s="74" t="s">
        <v>8493</v>
      </c>
      <c r="E742" s="146">
        <v>43858.0</v>
      </c>
      <c r="F742" s="74" t="s">
        <v>27389</v>
      </c>
      <c r="G742" s="74">
        <v>57.0</v>
      </c>
      <c r="H742" s="74">
        <v>1.0</v>
      </c>
      <c r="I742" s="74">
        <v>12.0</v>
      </c>
      <c r="J742" s="119"/>
      <c r="K742" s="119"/>
      <c r="L742" s="74" t="s">
        <v>324</v>
      </c>
      <c r="M742" s="74" t="s">
        <v>324</v>
      </c>
      <c r="N742" s="133">
        <v>43832.0</v>
      </c>
      <c r="O742" s="74">
        <v>1.0</v>
      </c>
      <c r="P742" s="74">
        <v>1.0</v>
      </c>
      <c r="Q742" s="119"/>
      <c r="R742" s="74" t="s">
        <v>26467</v>
      </c>
      <c r="S742" s="119"/>
      <c r="T742" s="146">
        <v>43790.0</v>
      </c>
      <c r="U742" s="74">
        <v>9999.0</v>
      </c>
      <c r="V742" s="74">
        <v>9999.0</v>
      </c>
      <c r="W742" s="119"/>
      <c r="X742" s="119"/>
      <c r="Y742" s="146">
        <v>43790.0</v>
      </c>
      <c r="Z742" s="74">
        <v>9999.0</v>
      </c>
      <c r="AA742" s="74">
        <v>9999.0</v>
      </c>
      <c r="AB742" s="119"/>
      <c r="AC742" s="119"/>
      <c r="AD742" s="119"/>
      <c r="AE742" s="74">
        <v>1.0</v>
      </c>
      <c r="AF742" s="74" t="s">
        <v>18902</v>
      </c>
      <c r="AG742" s="120">
        <v>7574.0</v>
      </c>
      <c r="AH742" s="74" t="s">
        <v>27395</v>
      </c>
      <c r="AI742" s="74" t="s">
        <v>27396</v>
      </c>
      <c r="AJ742" s="120">
        <v>743.0</v>
      </c>
    </row>
    <row r="743">
      <c r="A743" s="74" t="s">
        <v>27389</v>
      </c>
      <c r="B743" s="74" t="s">
        <v>6876</v>
      </c>
      <c r="C743" s="74" t="s">
        <v>6877</v>
      </c>
      <c r="D743" s="74" t="s">
        <v>8493</v>
      </c>
      <c r="E743" s="146">
        <v>43858.0</v>
      </c>
      <c r="F743" s="74" t="s">
        <v>27398</v>
      </c>
      <c r="G743" s="74">
        <v>57.0</v>
      </c>
      <c r="H743" s="74">
        <v>1.0</v>
      </c>
      <c r="I743" s="74">
        <v>12.0</v>
      </c>
      <c r="J743" s="119"/>
      <c r="K743" s="119"/>
      <c r="L743" s="74" t="s">
        <v>377</v>
      </c>
      <c r="M743" s="74" t="s">
        <v>377</v>
      </c>
      <c r="N743" s="133">
        <v>43832.0</v>
      </c>
      <c r="O743" s="74">
        <v>1.0</v>
      </c>
      <c r="P743" s="74">
        <v>1.0</v>
      </c>
      <c r="Q743" s="119"/>
      <c r="R743" s="74" t="s">
        <v>26467</v>
      </c>
      <c r="S743" s="119"/>
      <c r="T743" s="146">
        <v>43790.0</v>
      </c>
      <c r="U743" s="74">
        <v>9999.0</v>
      </c>
      <c r="V743" s="74">
        <v>9999.0</v>
      </c>
      <c r="W743" s="119"/>
      <c r="X743" s="119"/>
      <c r="Y743" s="146">
        <v>43790.0</v>
      </c>
      <c r="Z743" s="74">
        <v>9999.0</v>
      </c>
      <c r="AA743" s="74">
        <v>9999.0</v>
      </c>
      <c r="AB743" s="119"/>
      <c r="AC743" s="119"/>
      <c r="AD743" s="119"/>
      <c r="AE743" s="74">
        <v>1.0</v>
      </c>
      <c r="AF743" s="74" t="s">
        <v>18902</v>
      </c>
      <c r="AG743" s="120">
        <v>7575.0</v>
      </c>
      <c r="AH743" s="74" t="s">
        <v>27401</v>
      </c>
      <c r="AI743" s="74" t="s">
        <v>27403</v>
      </c>
      <c r="AJ743" s="120">
        <v>744.0</v>
      </c>
    </row>
    <row r="744">
      <c r="A744" s="74" t="s">
        <v>27405</v>
      </c>
      <c r="B744" s="74" t="s">
        <v>6876</v>
      </c>
      <c r="C744" s="74" t="s">
        <v>6877</v>
      </c>
      <c r="D744" s="74" t="s">
        <v>8493</v>
      </c>
      <c r="E744" s="146">
        <v>43858.0</v>
      </c>
      <c r="F744" s="74" t="s">
        <v>27406</v>
      </c>
      <c r="G744" s="74">
        <v>57.0</v>
      </c>
      <c r="H744" s="74">
        <v>1.0</v>
      </c>
      <c r="I744" s="74">
        <v>12.0</v>
      </c>
      <c r="J744" s="119"/>
      <c r="K744" s="119"/>
      <c r="L744" s="74" t="s">
        <v>378</v>
      </c>
      <c r="M744" s="74" t="s">
        <v>378</v>
      </c>
      <c r="N744" s="133">
        <v>43832.0</v>
      </c>
      <c r="O744" s="74">
        <v>1.0</v>
      </c>
      <c r="P744" s="74">
        <v>1.0</v>
      </c>
      <c r="Q744" s="119"/>
      <c r="R744" s="74" t="s">
        <v>26467</v>
      </c>
      <c r="S744" s="119"/>
      <c r="T744" s="146">
        <v>43790.0</v>
      </c>
      <c r="U744" s="74">
        <v>9999.0</v>
      </c>
      <c r="V744" s="74">
        <v>9999.0</v>
      </c>
      <c r="W744" s="119"/>
      <c r="X744" s="119"/>
      <c r="Y744" s="146">
        <v>43790.0</v>
      </c>
      <c r="Z744" s="74">
        <v>9999.0</v>
      </c>
      <c r="AA744" s="74">
        <v>9999.0</v>
      </c>
      <c r="AB744" s="119"/>
      <c r="AC744" s="119"/>
      <c r="AD744" s="119"/>
      <c r="AE744" s="74">
        <v>1.0</v>
      </c>
      <c r="AF744" s="74" t="s">
        <v>18902</v>
      </c>
      <c r="AG744" s="120">
        <v>7576.0</v>
      </c>
      <c r="AH744" s="74" t="s">
        <v>27409</v>
      </c>
      <c r="AI744" s="74" t="s">
        <v>27410</v>
      </c>
      <c r="AJ744" s="120">
        <v>745.0</v>
      </c>
    </row>
    <row r="745">
      <c r="A745" s="74" t="s">
        <v>27406</v>
      </c>
      <c r="B745" s="74" t="s">
        <v>6876</v>
      </c>
      <c r="C745" s="74" t="s">
        <v>6877</v>
      </c>
      <c r="D745" s="74" t="s">
        <v>8493</v>
      </c>
      <c r="E745" s="146">
        <v>43858.0</v>
      </c>
      <c r="F745" s="74" t="s">
        <v>27413</v>
      </c>
      <c r="G745" s="74">
        <v>59.0</v>
      </c>
      <c r="H745" s="74">
        <v>1.0</v>
      </c>
      <c r="I745" s="74">
        <v>11.0</v>
      </c>
      <c r="J745" s="119"/>
      <c r="K745" s="119"/>
      <c r="L745" s="74" t="s">
        <v>381</v>
      </c>
      <c r="M745" s="74" t="s">
        <v>381</v>
      </c>
      <c r="N745" s="133">
        <v>43832.0</v>
      </c>
      <c r="O745" s="74">
        <v>1.0</v>
      </c>
      <c r="P745" s="74">
        <v>1.0</v>
      </c>
      <c r="Q745" s="119"/>
      <c r="R745" s="74" t="s">
        <v>27415</v>
      </c>
      <c r="S745" s="119"/>
      <c r="T745" s="146">
        <v>43602.0</v>
      </c>
      <c r="U745" s="74">
        <v>9999.0</v>
      </c>
      <c r="V745" s="74">
        <v>9999.0</v>
      </c>
      <c r="W745" s="119"/>
      <c r="X745" s="119"/>
      <c r="Y745" s="146">
        <v>43602.0</v>
      </c>
      <c r="Z745" s="74">
        <v>9999.0</v>
      </c>
      <c r="AA745" s="74">
        <v>9999.0</v>
      </c>
      <c r="AB745" s="119"/>
      <c r="AC745" s="119"/>
      <c r="AD745" s="119"/>
      <c r="AE745" s="74">
        <v>1.0</v>
      </c>
      <c r="AF745" s="74" t="s">
        <v>18902</v>
      </c>
      <c r="AG745" s="120">
        <v>7577.0</v>
      </c>
      <c r="AH745" s="74" t="s">
        <v>27416</v>
      </c>
      <c r="AI745" s="74" t="s">
        <v>27417</v>
      </c>
      <c r="AJ745" s="120">
        <v>746.0</v>
      </c>
    </row>
    <row r="746">
      <c r="A746" s="74" t="s">
        <v>27413</v>
      </c>
      <c r="B746" s="74" t="s">
        <v>6876</v>
      </c>
      <c r="C746" s="74" t="s">
        <v>6877</v>
      </c>
      <c r="D746" s="74" t="s">
        <v>8493</v>
      </c>
      <c r="E746" s="146">
        <v>43858.0</v>
      </c>
      <c r="F746" s="74" t="s">
        <v>27419</v>
      </c>
      <c r="G746" s="74">
        <v>58.0</v>
      </c>
      <c r="H746" s="74">
        <v>1.0</v>
      </c>
      <c r="I746" s="74">
        <v>3.0</v>
      </c>
      <c r="J746" s="119"/>
      <c r="K746" s="119"/>
      <c r="L746" s="74" t="s">
        <v>385</v>
      </c>
      <c r="M746" s="74" t="s">
        <v>385</v>
      </c>
      <c r="N746" s="133">
        <v>43832.0</v>
      </c>
      <c r="O746" s="74">
        <v>1.0</v>
      </c>
      <c r="P746" s="74">
        <v>1.0</v>
      </c>
      <c r="Q746" s="119"/>
      <c r="R746" s="74" t="s">
        <v>27415</v>
      </c>
      <c r="S746" s="119"/>
      <c r="T746" s="146">
        <v>43602.0</v>
      </c>
      <c r="U746" s="74">
        <v>9999.0</v>
      </c>
      <c r="V746" s="74">
        <v>9999.0</v>
      </c>
      <c r="W746" s="119"/>
      <c r="X746" s="119"/>
      <c r="Y746" s="146">
        <v>43602.0</v>
      </c>
      <c r="Z746" s="74">
        <v>9999.0</v>
      </c>
      <c r="AA746" s="74">
        <v>9999.0</v>
      </c>
      <c r="AB746" s="119"/>
      <c r="AC746" s="119"/>
      <c r="AD746" s="119"/>
      <c r="AE746" s="74">
        <v>1.0</v>
      </c>
      <c r="AF746" s="74" t="s">
        <v>18902</v>
      </c>
      <c r="AG746" s="120">
        <v>7578.0</v>
      </c>
      <c r="AH746" s="74" t="s">
        <v>27424</v>
      </c>
      <c r="AI746" s="74" t="s">
        <v>27425</v>
      </c>
      <c r="AJ746" s="120">
        <v>747.0</v>
      </c>
    </row>
    <row r="747">
      <c r="A747" s="74" t="s">
        <v>27419</v>
      </c>
      <c r="B747" s="74" t="s">
        <v>6876</v>
      </c>
      <c r="C747" s="74" t="s">
        <v>6877</v>
      </c>
      <c r="D747" s="74" t="s">
        <v>8493</v>
      </c>
      <c r="E747" s="146">
        <v>43858.0</v>
      </c>
      <c r="F747" s="74" t="s">
        <v>27426</v>
      </c>
      <c r="G747" s="74">
        <v>58.0</v>
      </c>
      <c r="H747" s="74">
        <v>1.0</v>
      </c>
      <c r="I747" s="74">
        <v>1.0</v>
      </c>
      <c r="J747" s="119"/>
      <c r="K747" s="119"/>
      <c r="L747" s="74" t="s">
        <v>389</v>
      </c>
      <c r="M747" s="74" t="s">
        <v>389</v>
      </c>
      <c r="N747" s="133">
        <v>43832.0</v>
      </c>
      <c r="O747" s="74">
        <v>1.0</v>
      </c>
      <c r="P747" s="74">
        <v>1.0</v>
      </c>
      <c r="Q747" s="119"/>
      <c r="R747" s="74" t="s">
        <v>27428</v>
      </c>
      <c r="S747" s="119"/>
      <c r="T747" s="146">
        <v>43571.0</v>
      </c>
      <c r="U747" s="74">
        <v>30.71</v>
      </c>
      <c r="V747" s="74">
        <v>30.72</v>
      </c>
      <c r="W747" s="119"/>
      <c r="X747" s="119"/>
      <c r="Y747" s="146">
        <v>43571.0</v>
      </c>
      <c r="Z747" s="74">
        <v>9999.0</v>
      </c>
      <c r="AA747" s="74">
        <v>9999.0</v>
      </c>
      <c r="AB747" s="119"/>
      <c r="AC747" s="119"/>
      <c r="AD747" s="119"/>
      <c r="AE747" s="74">
        <v>1.0</v>
      </c>
      <c r="AF747" s="74" t="s">
        <v>18902</v>
      </c>
      <c r="AG747" s="120">
        <v>7579.0</v>
      </c>
      <c r="AH747" s="74" t="s">
        <v>27433</v>
      </c>
      <c r="AI747" s="74" t="s">
        <v>27434</v>
      </c>
      <c r="AJ747" s="120">
        <v>748.0</v>
      </c>
    </row>
    <row r="748">
      <c r="A748" s="74" t="s">
        <v>27435</v>
      </c>
      <c r="B748" s="74" t="s">
        <v>6876</v>
      </c>
      <c r="C748" s="74" t="s">
        <v>6877</v>
      </c>
      <c r="D748" s="74" t="s">
        <v>8493</v>
      </c>
      <c r="E748" s="146">
        <v>43858.0</v>
      </c>
      <c r="F748" s="74" t="s">
        <v>27439</v>
      </c>
      <c r="G748" s="74">
        <v>58.0</v>
      </c>
      <c r="H748" s="74">
        <v>1.0</v>
      </c>
      <c r="I748" s="74">
        <v>1.0</v>
      </c>
      <c r="J748" s="119"/>
      <c r="K748" s="119"/>
      <c r="L748" s="74" t="s">
        <v>27440</v>
      </c>
      <c r="M748" s="74" t="s">
        <v>27440</v>
      </c>
      <c r="N748" s="133">
        <v>43832.0</v>
      </c>
      <c r="O748" s="74">
        <v>1.0</v>
      </c>
      <c r="P748" s="74">
        <v>1.0</v>
      </c>
      <c r="Q748" s="119"/>
      <c r="R748" s="74" t="s">
        <v>26456</v>
      </c>
      <c r="S748" s="119"/>
      <c r="T748" s="146">
        <v>43571.0</v>
      </c>
      <c r="U748" s="74">
        <v>9999.0</v>
      </c>
      <c r="V748" s="74">
        <v>9999.0</v>
      </c>
      <c r="W748" s="119"/>
      <c r="X748" s="119"/>
      <c r="Y748" s="146">
        <v>43584.0</v>
      </c>
      <c r="Z748" s="74">
        <v>40.0</v>
      </c>
      <c r="AA748" s="74">
        <v>10.64</v>
      </c>
      <c r="AB748" s="119"/>
      <c r="AC748" s="119"/>
      <c r="AD748" s="119"/>
      <c r="AE748" s="74">
        <v>1.0</v>
      </c>
      <c r="AF748" s="74" t="s">
        <v>18902</v>
      </c>
      <c r="AG748" s="120">
        <v>7580.0</v>
      </c>
      <c r="AH748" s="74" t="s">
        <v>27448</v>
      </c>
      <c r="AI748" s="74" t="s">
        <v>27449</v>
      </c>
      <c r="AJ748" s="120">
        <v>749.0</v>
      </c>
    </row>
    <row r="749">
      <c r="A749" s="74" t="s">
        <v>27439</v>
      </c>
      <c r="B749" s="74" t="s">
        <v>6876</v>
      </c>
      <c r="C749" s="74" t="s">
        <v>6877</v>
      </c>
      <c r="D749" s="74" t="s">
        <v>8493</v>
      </c>
      <c r="E749" s="146">
        <v>43858.0</v>
      </c>
      <c r="F749" s="74" t="s">
        <v>27452</v>
      </c>
      <c r="G749" s="74">
        <v>58.0</v>
      </c>
      <c r="H749" s="74">
        <v>1.0</v>
      </c>
      <c r="I749" s="74">
        <v>10.0</v>
      </c>
      <c r="J749" s="119"/>
      <c r="K749" s="119"/>
      <c r="L749" s="74" t="s">
        <v>325</v>
      </c>
      <c r="M749" s="74" t="s">
        <v>325</v>
      </c>
      <c r="N749" s="133">
        <v>43832.0</v>
      </c>
      <c r="O749" s="74">
        <v>1.0</v>
      </c>
      <c r="P749" s="74">
        <v>1.0</v>
      </c>
      <c r="Q749" s="119"/>
      <c r="R749" s="74" t="s">
        <v>26761</v>
      </c>
      <c r="S749" s="119"/>
      <c r="T749" s="146">
        <v>43623.0</v>
      </c>
      <c r="U749" s="74">
        <v>9999.0</v>
      </c>
      <c r="V749" s="74">
        <v>9999.0</v>
      </c>
      <c r="W749" s="119"/>
      <c r="X749" s="119"/>
      <c r="Y749" s="146">
        <v>43623.0</v>
      </c>
      <c r="Z749" s="74">
        <v>9999.0</v>
      </c>
      <c r="AA749" s="74">
        <v>9999.0</v>
      </c>
      <c r="AB749" s="119"/>
      <c r="AC749" s="119"/>
      <c r="AD749" s="119"/>
      <c r="AE749" s="74">
        <v>1.0</v>
      </c>
      <c r="AF749" s="74" t="s">
        <v>18902</v>
      </c>
      <c r="AG749" s="120">
        <v>7581.0</v>
      </c>
      <c r="AH749" s="74" t="s">
        <v>27456</v>
      </c>
      <c r="AI749" s="74" t="s">
        <v>27457</v>
      </c>
      <c r="AJ749" s="120">
        <v>750.0</v>
      </c>
    </row>
    <row r="750">
      <c r="A750" s="74" t="s">
        <v>27452</v>
      </c>
      <c r="B750" s="74" t="s">
        <v>6876</v>
      </c>
      <c r="C750" s="74" t="s">
        <v>6877</v>
      </c>
      <c r="D750" s="74" t="s">
        <v>8493</v>
      </c>
      <c r="E750" s="146">
        <v>43858.0</v>
      </c>
      <c r="F750" s="74" t="s">
        <v>27458</v>
      </c>
      <c r="G750" s="74">
        <v>58.0</v>
      </c>
      <c r="H750" s="74">
        <v>1.0</v>
      </c>
      <c r="I750" s="74">
        <v>10.0</v>
      </c>
      <c r="J750" s="119"/>
      <c r="K750" s="119"/>
      <c r="L750" s="74" t="s">
        <v>27461</v>
      </c>
      <c r="M750" s="74" t="s">
        <v>27461</v>
      </c>
      <c r="N750" s="133">
        <v>43832.0</v>
      </c>
      <c r="O750" s="74">
        <v>1.0</v>
      </c>
      <c r="P750" s="74">
        <v>1.0</v>
      </c>
      <c r="Q750" s="119"/>
      <c r="R750" s="74" t="s">
        <v>27463</v>
      </c>
      <c r="S750" s="119"/>
      <c r="T750" s="146">
        <v>43581.0</v>
      </c>
      <c r="U750" s="74">
        <v>9999.0</v>
      </c>
      <c r="V750" s="74">
        <v>9999.0</v>
      </c>
      <c r="W750" s="119"/>
      <c r="X750" s="119"/>
      <c r="Y750" s="146">
        <v>43584.0</v>
      </c>
      <c r="Z750" s="74">
        <v>9999.0</v>
      </c>
      <c r="AA750" s="74">
        <v>9999.0</v>
      </c>
      <c r="AB750" s="119"/>
      <c r="AC750" s="119"/>
      <c r="AD750" s="119"/>
      <c r="AE750" s="74">
        <v>1.0</v>
      </c>
      <c r="AF750" s="74" t="s">
        <v>18902</v>
      </c>
      <c r="AG750" s="120">
        <v>7582.0</v>
      </c>
      <c r="AH750" s="74" t="s">
        <v>27466</v>
      </c>
      <c r="AI750" s="74" t="s">
        <v>27467</v>
      </c>
      <c r="AJ750" s="120">
        <v>751.0</v>
      </c>
    </row>
    <row r="751">
      <c r="A751" s="74" t="s">
        <v>27458</v>
      </c>
      <c r="B751" s="74" t="s">
        <v>6876</v>
      </c>
      <c r="C751" s="74" t="s">
        <v>6877</v>
      </c>
      <c r="D751" s="74" t="s">
        <v>8493</v>
      </c>
      <c r="E751" s="146">
        <v>43858.0</v>
      </c>
      <c r="F751" s="74" t="s">
        <v>27470</v>
      </c>
      <c r="G751" s="74">
        <v>58.0</v>
      </c>
      <c r="H751" s="74">
        <v>1.0</v>
      </c>
      <c r="I751" s="74">
        <v>10.0</v>
      </c>
      <c r="J751" s="119"/>
      <c r="K751" s="119"/>
      <c r="L751" s="74" t="s">
        <v>392</v>
      </c>
      <c r="M751" s="74" t="s">
        <v>392</v>
      </c>
      <c r="N751" s="133">
        <v>43832.0</v>
      </c>
      <c r="O751" s="74">
        <v>1.0</v>
      </c>
      <c r="P751" s="74">
        <v>1.0</v>
      </c>
      <c r="Q751" s="119"/>
      <c r="R751" s="74" t="s">
        <v>27463</v>
      </c>
      <c r="S751" s="119"/>
      <c r="T751" s="146">
        <v>43581.0</v>
      </c>
      <c r="U751" s="74">
        <v>9999.0</v>
      </c>
      <c r="V751" s="74">
        <v>9999.0</v>
      </c>
      <c r="W751" s="119"/>
      <c r="X751" s="119"/>
      <c r="Y751" s="146">
        <v>43584.0</v>
      </c>
      <c r="Z751" s="74">
        <v>9999.0</v>
      </c>
      <c r="AA751" s="74">
        <v>32.39</v>
      </c>
      <c r="AB751" s="119"/>
      <c r="AC751" s="119"/>
      <c r="AD751" s="119"/>
      <c r="AE751" s="74">
        <v>1.0</v>
      </c>
      <c r="AF751" s="74" t="s">
        <v>18902</v>
      </c>
      <c r="AG751" s="120">
        <v>7583.0</v>
      </c>
      <c r="AH751" s="74" t="s">
        <v>27473</v>
      </c>
      <c r="AI751" s="74" t="s">
        <v>27474</v>
      </c>
      <c r="AJ751" s="120">
        <v>752.0</v>
      </c>
    </row>
    <row r="752">
      <c r="A752" s="74" t="s">
        <v>27470</v>
      </c>
      <c r="B752" s="74" t="s">
        <v>6876</v>
      </c>
      <c r="C752" s="74" t="s">
        <v>6877</v>
      </c>
      <c r="D752" s="74" t="s">
        <v>8493</v>
      </c>
      <c r="E752" s="146">
        <v>43858.0</v>
      </c>
      <c r="F752" s="74" t="s">
        <v>27477</v>
      </c>
      <c r="G752" s="74">
        <v>57.0</v>
      </c>
      <c r="H752" s="74">
        <v>1.0</v>
      </c>
      <c r="I752" s="74">
        <v>12.0</v>
      </c>
      <c r="J752" s="119"/>
      <c r="K752" s="119"/>
      <c r="L752" s="74" t="s">
        <v>387</v>
      </c>
      <c r="M752" s="74" t="s">
        <v>387</v>
      </c>
      <c r="N752" s="133">
        <v>43832.0</v>
      </c>
      <c r="O752" s="74">
        <v>1.0</v>
      </c>
      <c r="P752" s="74">
        <v>1.0</v>
      </c>
      <c r="Q752" s="119"/>
      <c r="R752" s="74" t="s">
        <v>26467</v>
      </c>
      <c r="S752" s="119"/>
      <c r="T752" s="146">
        <v>43790.0</v>
      </c>
      <c r="U752" s="74">
        <v>25.19</v>
      </c>
      <c r="V752" s="74">
        <v>26.94</v>
      </c>
      <c r="W752" s="119"/>
      <c r="X752" s="119"/>
      <c r="Y752" s="146">
        <v>43790.0</v>
      </c>
      <c r="Z752" s="74">
        <v>36.87</v>
      </c>
      <c r="AA752" s="74">
        <v>36.82</v>
      </c>
      <c r="AB752" s="119"/>
      <c r="AC752" s="119"/>
      <c r="AD752" s="119"/>
      <c r="AE752" s="74">
        <v>1.0</v>
      </c>
      <c r="AF752" s="74" t="s">
        <v>18902</v>
      </c>
      <c r="AG752" s="120">
        <v>7584.0</v>
      </c>
      <c r="AH752" s="74" t="s">
        <v>27481</v>
      </c>
      <c r="AI752" s="74" t="s">
        <v>27482</v>
      </c>
      <c r="AJ752" s="120">
        <v>753.0</v>
      </c>
    </row>
    <row r="753">
      <c r="A753" s="74" t="s">
        <v>27477</v>
      </c>
      <c r="B753" s="74" t="s">
        <v>6876</v>
      </c>
      <c r="C753" s="74" t="s">
        <v>6877</v>
      </c>
      <c r="D753" s="74" t="s">
        <v>8493</v>
      </c>
      <c r="E753" s="146">
        <v>43858.0</v>
      </c>
      <c r="F753" s="74" t="s">
        <v>27485</v>
      </c>
      <c r="G753" s="74">
        <v>57.0</v>
      </c>
      <c r="H753" s="74">
        <v>1.0</v>
      </c>
      <c r="I753" s="74">
        <v>12.0</v>
      </c>
      <c r="J753" s="119"/>
      <c r="K753" s="119"/>
      <c r="L753" s="74" t="s">
        <v>384</v>
      </c>
      <c r="M753" s="74" t="s">
        <v>384</v>
      </c>
      <c r="N753" s="133">
        <v>43832.0</v>
      </c>
      <c r="O753" s="74">
        <v>1.0</v>
      </c>
      <c r="P753" s="74">
        <v>1.0</v>
      </c>
      <c r="Q753" s="119"/>
      <c r="R753" s="74" t="s">
        <v>26467</v>
      </c>
      <c r="S753" s="119"/>
      <c r="T753" s="146">
        <v>43790.0</v>
      </c>
      <c r="U753" s="74">
        <v>9999.0</v>
      </c>
      <c r="V753" s="74">
        <v>9999.0</v>
      </c>
      <c r="W753" s="119"/>
      <c r="X753" s="119"/>
      <c r="Y753" s="146">
        <v>43790.0</v>
      </c>
      <c r="Z753" s="74">
        <v>9999.0</v>
      </c>
      <c r="AA753" s="74">
        <v>9999.0</v>
      </c>
      <c r="AB753" s="119"/>
      <c r="AC753" s="119"/>
      <c r="AD753" s="119"/>
      <c r="AE753" s="74">
        <v>1.0</v>
      </c>
      <c r="AF753" s="74" t="s">
        <v>18902</v>
      </c>
      <c r="AG753" s="120">
        <v>7585.0</v>
      </c>
      <c r="AH753" s="74" t="s">
        <v>27488</v>
      </c>
      <c r="AI753" s="74" t="s">
        <v>27489</v>
      </c>
      <c r="AJ753" s="120">
        <v>754.0</v>
      </c>
    </row>
    <row r="754">
      <c r="A754" s="74" t="s">
        <v>27485</v>
      </c>
      <c r="B754" s="74" t="s">
        <v>6876</v>
      </c>
      <c r="C754" s="74" t="s">
        <v>6877</v>
      </c>
      <c r="D754" s="74" t="s">
        <v>8493</v>
      </c>
      <c r="E754" s="146">
        <v>43858.0</v>
      </c>
      <c r="F754" s="74" t="s">
        <v>27490</v>
      </c>
      <c r="G754" s="74">
        <v>58.0</v>
      </c>
      <c r="H754" s="74">
        <v>1.0</v>
      </c>
      <c r="I754" s="74">
        <v>5.0</v>
      </c>
      <c r="J754" s="119"/>
      <c r="K754" s="119"/>
      <c r="L754" s="74" t="s">
        <v>394</v>
      </c>
      <c r="M754" s="74" t="s">
        <v>394</v>
      </c>
      <c r="N754" s="133">
        <v>43832.0</v>
      </c>
      <c r="O754" s="74">
        <v>1.0</v>
      </c>
      <c r="P754" s="74">
        <v>1.0</v>
      </c>
      <c r="Q754" s="119"/>
      <c r="R754" s="74" t="s">
        <v>26467</v>
      </c>
      <c r="S754" s="119"/>
      <c r="T754" s="146">
        <v>43790.0</v>
      </c>
      <c r="U754" s="74">
        <v>33.91</v>
      </c>
      <c r="V754" s="74">
        <v>33.91</v>
      </c>
      <c r="W754" s="119"/>
      <c r="X754" s="119"/>
      <c r="Y754" s="146">
        <v>43790.0</v>
      </c>
      <c r="Z754" s="74">
        <v>9999.0</v>
      </c>
      <c r="AA754" s="74">
        <v>9999.0</v>
      </c>
      <c r="AB754" s="119"/>
      <c r="AC754" s="119"/>
      <c r="AD754" s="119"/>
      <c r="AE754" s="74">
        <v>1.0</v>
      </c>
      <c r="AF754" s="74" t="s">
        <v>18902</v>
      </c>
      <c r="AG754" s="120">
        <v>7586.0</v>
      </c>
      <c r="AH754" s="74" t="s">
        <v>27497</v>
      </c>
      <c r="AI754" s="74" t="s">
        <v>27498</v>
      </c>
      <c r="AJ754" s="120">
        <v>755.0</v>
      </c>
    </row>
    <row r="755">
      <c r="A755" s="74" t="s">
        <v>27490</v>
      </c>
      <c r="B755" s="74" t="s">
        <v>6876</v>
      </c>
      <c r="C755" s="74" t="s">
        <v>6877</v>
      </c>
      <c r="D755" s="74" t="s">
        <v>8493</v>
      </c>
      <c r="E755" s="146">
        <v>43858.0</v>
      </c>
      <c r="F755" s="74" t="s">
        <v>27501</v>
      </c>
      <c r="G755" s="74">
        <v>58.0</v>
      </c>
      <c r="H755" s="74">
        <v>1.0</v>
      </c>
      <c r="I755" s="74">
        <v>3.0</v>
      </c>
      <c r="J755" s="119"/>
      <c r="K755" s="119"/>
      <c r="L755" s="74" t="s">
        <v>399</v>
      </c>
      <c r="M755" s="74" t="s">
        <v>399</v>
      </c>
      <c r="N755" s="133">
        <v>43832.0</v>
      </c>
      <c r="O755" s="74">
        <v>1.0</v>
      </c>
      <c r="P755" s="74">
        <v>1.0</v>
      </c>
      <c r="Q755" s="119"/>
      <c r="R755" s="74" t="s">
        <v>26447</v>
      </c>
      <c r="S755" s="119"/>
      <c r="T755" s="146">
        <v>43684.0</v>
      </c>
      <c r="U755" s="74">
        <v>29.16</v>
      </c>
      <c r="V755" s="74">
        <v>9999.0</v>
      </c>
      <c r="W755" s="119"/>
      <c r="X755" s="119"/>
      <c r="Y755" s="146">
        <v>43684.0</v>
      </c>
      <c r="Z755" s="74">
        <v>34.07</v>
      </c>
      <c r="AA755" s="74">
        <v>9999.0</v>
      </c>
      <c r="AB755" s="119"/>
      <c r="AC755" s="119"/>
      <c r="AD755" s="119"/>
      <c r="AE755" s="74">
        <v>1.0</v>
      </c>
      <c r="AF755" s="74" t="s">
        <v>18902</v>
      </c>
      <c r="AG755" s="120">
        <v>7587.0</v>
      </c>
      <c r="AH755" s="74" t="s">
        <v>27505</v>
      </c>
      <c r="AI755" s="74" t="s">
        <v>27506</v>
      </c>
      <c r="AJ755" s="120">
        <v>756.0</v>
      </c>
    </row>
    <row r="756">
      <c r="A756" s="74" t="s">
        <v>27508</v>
      </c>
      <c r="B756" s="74" t="s">
        <v>6876</v>
      </c>
      <c r="C756" s="74" t="s">
        <v>6877</v>
      </c>
      <c r="D756" s="74" t="s">
        <v>8493</v>
      </c>
      <c r="E756" s="146">
        <v>43858.0</v>
      </c>
      <c r="F756" s="74" t="s">
        <v>27509</v>
      </c>
      <c r="G756" s="74">
        <v>58.0</v>
      </c>
      <c r="H756" s="74">
        <v>1.0</v>
      </c>
      <c r="I756" s="74">
        <v>7.0</v>
      </c>
      <c r="J756" s="119"/>
      <c r="K756" s="119"/>
      <c r="L756" s="74" t="s">
        <v>396</v>
      </c>
      <c r="M756" s="74" t="s">
        <v>396</v>
      </c>
      <c r="N756" s="133">
        <v>43832.0</v>
      </c>
      <c r="O756" s="74">
        <v>1.0</v>
      </c>
      <c r="P756" s="74">
        <v>1.0</v>
      </c>
      <c r="Q756" s="119"/>
      <c r="R756" s="74" t="s">
        <v>26761</v>
      </c>
      <c r="S756" s="119"/>
      <c r="T756" s="146">
        <v>43623.0</v>
      </c>
      <c r="U756" s="74">
        <v>9999.0</v>
      </c>
      <c r="V756" s="74">
        <v>9999.0</v>
      </c>
      <c r="W756" s="119"/>
      <c r="X756" s="119"/>
      <c r="Y756" s="146">
        <v>43623.0</v>
      </c>
      <c r="Z756" s="74">
        <v>38.28</v>
      </c>
      <c r="AA756" s="74">
        <v>37.25</v>
      </c>
      <c r="AB756" s="119"/>
      <c r="AC756" s="119"/>
      <c r="AD756" s="119"/>
      <c r="AE756" s="74">
        <v>1.0</v>
      </c>
      <c r="AF756" s="74" t="s">
        <v>18902</v>
      </c>
      <c r="AG756" s="120">
        <v>7588.0</v>
      </c>
      <c r="AH756" s="74" t="s">
        <v>27515</v>
      </c>
      <c r="AI756" s="74" t="s">
        <v>27517</v>
      </c>
      <c r="AJ756" s="120">
        <v>757.0</v>
      </c>
    </row>
    <row r="757">
      <c r="A757" s="74" t="s">
        <v>27509</v>
      </c>
      <c r="B757" s="74" t="s">
        <v>6876</v>
      </c>
      <c r="C757" s="74" t="s">
        <v>6877</v>
      </c>
      <c r="D757" s="74" t="s">
        <v>8493</v>
      </c>
      <c r="E757" s="146">
        <v>43858.0</v>
      </c>
      <c r="F757" s="74" t="s">
        <v>27521</v>
      </c>
      <c r="G757" s="74">
        <v>58.0</v>
      </c>
      <c r="H757" s="74">
        <v>1.0</v>
      </c>
      <c r="I757" s="74">
        <v>7.0</v>
      </c>
      <c r="J757" s="119"/>
      <c r="K757" s="119"/>
      <c r="L757" s="74" t="s">
        <v>400</v>
      </c>
      <c r="M757" s="74" t="s">
        <v>400</v>
      </c>
      <c r="N757" s="133">
        <v>43832.0</v>
      </c>
      <c r="O757" s="74">
        <v>1.0</v>
      </c>
      <c r="P757" s="74">
        <v>1.0</v>
      </c>
      <c r="Q757" s="119"/>
      <c r="R757" s="74" t="s">
        <v>26761</v>
      </c>
      <c r="S757" s="119"/>
      <c r="T757" s="146">
        <v>43623.0</v>
      </c>
      <c r="U757" s="74">
        <v>9999.0</v>
      </c>
      <c r="V757" s="74">
        <v>9999.0</v>
      </c>
      <c r="W757" s="119"/>
      <c r="X757" s="119"/>
      <c r="Y757" s="146">
        <v>43623.0</v>
      </c>
      <c r="Z757" s="74">
        <v>35.36</v>
      </c>
      <c r="AA757" s="74">
        <v>35.63</v>
      </c>
      <c r="AB757" s="119"/>
      <c r="AC757" s="119"/>
      <c r="AD757" s="119"/>
      <c r="AE757" s="74">
        <v>1.0</v>
      </c>
      <c r="AF757" s="74" t="s">
        <v>18902</v>
      </c>
      <c r="AG757" s="120">
        <v>7589.0</v>
      </c>
      <c r="AH757" s="74" t="s">
        <v>27527</v>
      </c>
      <c r="AI757" s="74" t="s">
        <v>27528</v>
      </c>
      <c r="AJ757" s="120">
        <v>758.0</v>
      </c>
    </row>
    <row r="758">
      <c r="A758" s="74" t="s">
        <v>27521</v>
      </c>
      <c r="B758" s="74" t="s">
        <v>6876</v>
      </c>
      <c r="C758" s="74" t="s">
        <v>6877</v>
      </c>
      <c r="D758" s="74" t="s">
        <v>8493</v>
      </c>
      <c r="E758" s="146">
        <v>43858.0</v>
      </c>
      <c r="F758" s="74" t="s">
        <v>27531</v>
      </c>
      <c r="G758" s="74">
        <v>58.0</v>
      </c>
      <c r="H758" s="74">
        <v>1.0</v>
      </c>
      <c r="I758" s="74">
        <v>7.0</v>
      </c>
      <c r="J758" s="119"/>
      <c r="K758" s="119"/>
      <c r="L758" s="74" t="s">
        <v>401</v>
      </c>
      <c r="M758" s="74" t="s">
        <v>401</v>
      </c>
      <c r="N758" s="133">
        <v>43832.0</v>
      </c>
      <c r="O758" s="74">
        <v>1.0</v>
      </c>
      <c r="P758" s="74">
        <v>1.0</v>
      </c>
      <c r="Q758" s="119"/>
      <c r="R758" s="74" t="s">
        <v>26761</v>
      </c>
      <c r="S758" s="119"/>
      <c r="T758" s="146">
        <v>43623.0</v>
      </c>
      <c r="U758" s="74">
        <v>9999.0</v>
      </c>
      <c r="V758" s="74">
        <v>9999.0</v>
      </c>
      <c r="W758" s="119"/>
      <c r="X758" s="119"/>
      <c r="Y758" s="146">
        <v>43623.0</v>
      </c>
      <c r="Z758" s="74">
        <v>34.9</v>
      </c>
      <c r="AA758" s="74">
        <v>35.13</v>
      </c>
      <c r="AB758" s="119"/>
      <c r="AC758" s="119"/>
      <c r="AD758" s="119"/>
      <c r="AE758" s="74">
        <v>1.0</v>
      </c>
      <c r="AF758" s="74" t="s">
        <v>18902</v>
      </c>
      <c r="AG758" s="120">
        <v>7590.0</v>
      </c>
      <c r="AH758" s="74" t="s">
        <v>27535</v>
      </c>
      <c r="AI758" s="74" t="s">
        <v>27536</v>
      </c>
      <c r="AJ758" s="120">
        <v>759.0</v>
      </c>
    </row>
    <row r="759">
      <c r="A759" s="74" t="s">
        <v>27538</v>
      </c>
      <c r="B759" s="74" t="s">
        <v>6876</v>
      </c>
      <c r="C759" s="74" t="s">
        <v>6877</v>
      </c>
      <c r="D759" s="74" t="s">
        <v>8493</v>
      </c>
      <c r="E759" s="146">
        <v>43858.0</v>
      </c>
      <c r="F759" s="74" t="s">
        <v>27540</v>
      </c>
      <c r="G759" s="74">
        <v>58.0</v>
      </c>
      <c r="H759" s="74">
        <v>1.0</v>
      </c>
      <c r="I759" s="74">
        <v>7.0</v>
      </c>
      <c r="J759" s="119"/>
      <c r="K759" s="119"/>
      <c r="L759" s="74" t="s">
        <v>403</v>
      </c>
      <c r="M759" s="74" t="s">
        <v>403</v>
      </c>
      <c r="N759" s="133">
        <v>43832.0</v>
      </c>
      <c r="O759" s="74">
        <v>1.0</v>
      </c>
      <c r="P759" s="74">
        <v>1.0</v>
      </c>
      <c r="Q759" s="119"/>
      <c r="R759" s="74" t="s">
        <v>26761</v>
      </c>
      <c r="S759" s="119"/>
      <c r="T759" s="146">
        <v>43623.0</v>
      </c>
      <c r="U759" s="74">
        <v>9999.0</v>
      </c>
      <c r="V759" s="74">
        <v>9999.0</v>
      </c>
      <c r="W759" s="119"/>
      <c r="X759" s="119"/>
      <c r="Y759" s="146">
        <v>43623.0</v>
      </c>
      <c r="Z759" s="74">
        <v>35.24</v>
      </c>
      <c r="AA759" s="74">
        <v>35.87</v>
      </c>
      <c r="AB759" s="119"/>
      <c r="AC759" s="119"/>
      <c r="AD759" s="119"/>
      <c r="AE759" s="74">
        <v>1.0</v>
      </c>
      <c r="AF759" s="74" t="s">
        <v>18902</v>
      </c>
      <c r="AG759" s="120">
        <v>7591.0</v>
      </c>
      <c r="AH759" s="74" t="s">
        <v>27543</v>
      </c>
      <c r="AI759" s="74" t="s">
        <v>27544</v>
      </c>
      <c r="AJ759" s="120">
        <v>760.0</v>
      </c>
    </row>
    <row r="760">
      <c r="A760" s="74" t="s">
        <v>27540</v>
      </c>
      <c r="B760" s="74" t="s">
        <v>6876</v>
      </c>
      <c r="C760" s="74" t="s">
        <v>6877</v>
      </c>
      <c r="D760" s="74" t="s">
        <v>8493</v>
      </c>
      <c r="E760" s="146">
        <v>43858.0</v>
      </c>
      <c r="F760" s="74" t="s">
        <v>27545</v>
      </c>
      <c r="G760" s="74">
        <v>57.0</v>
      </c>
      <c r="H760" s="74">
        <v>1.0</v>
      </c>
      <c r="I760" s="74">
        <v>12.0</v>
      </c>
      <c r="J760" s="119"/>
      <c r="K760" s="119"/>
      <c r="L760" s="74" t="s">
        <v>404</v>
      </c>
      <c r="M760" s="74" t="s">
        <v>404</v>
      </c>
      <c r="N760" s="133">
        <v>43832.0</v>
      </c>
      <c r="O760" s="74">
        <v>1.0</v>
      </c>
      <c r="P760" s="74">
        <v>1.0</v>
      </c>
      <c r="Q760" s="119"/>
      <c r="R760" s="74" t="s">
        <v>26761</v>
      </c>
      <c r="S760" s="119"/>
      <c r="T760" s="146">
        <v>43623.0</v>
      </c>
      <c r="U760" s="74">
        <v>9999.0</v>
      </c>
      <c r="V760" s="74">
        <v>9999.0</v>
      </c>
      <c r="W760" s="119"/>
      <c r="X760" s="119"/>
      <c r="Y760" s="146">
        <v>43623.0</v>
      </c>
      <c r="Z760" s="74">
        <v>32.92</v>
      </c>
      <c r="AA760" s="74">
        <v>33.19</v>
      </c>
      <c r="AB760" s="119"/>
      <c r="AC760" s="119"/>
      <c r="AD760" s="119"/>
      <c r="AE760" s="74">
        <v>1.0</v>
      </c>
      <c r="AF760" s="74" t="s">
        <v>18902</v>
      </c>
      <c r="AG760" s="120">
        <v>7592.0</v>
      </c>
      <c r="AH760" s="74" t="s">
        <v>27549</v>
      </c>
      <c r="AI760" s="74" t="s">
        <v>27550</v>
      </c>
      <c r="AJ760" s="120">
        <v>761.0</v>
      </c>
    </row>
    <row r="761">
      <c r="A761" s="74" t="s">
        <v>27545</v>
      </c>
      <c r="B761" s="74" t="s">
        <v>6876</v>
      </c>
      <c r="C761" s="74" t="s">
        <v>6877</v>
      </c>
      <c r="D761" s="74" t="s">
        <v>8493</v>
      </c>
      <c r="E761" s="146">
        <v>43858.0</v>
      </c>
      <c r="F761" s="74" t="s">
        <v>27552</v>
      </c>
      <c r="G761" s="74">
        <v>57.0</v>
      </c>
      <c r="H761" s="74">
        <v>1.0</v>
      </c>
      <c r="I761" s="74">
        <v>12.0</v>
      </c>
      <c r="J761" s="119"/>
      <c r="K761" s="119"/>
      <c r="L761" s="74" t="s">
        <v>406</v>
      </c>
      <c r="M761" s="74" t="s">
        <v>406</v>
      </c>
      <c r="N761" s="133">
        <v>43832.0</v>
      </c>
      <c r="O761" s="74">
        <v>1.0</v>
      </c>
      <c r="P761" s="74">
        <v>1.0</v>
      </c>
      <c r="Q761" s="119"/>
      <c r="R761" s="74" t="s">
        <v>26761</v>
      </c>
      <c r="S761" s="119"/>
      <c r="T761" s="146">
        <v>43623.0</v>
      </c>
      <c r="U761" s="74">
        <v>9999.0</v>
      </c>
      <c r="V761" s="74">
        <v>9999.0</v>
      </c>
      <c r="W761" s="119"/>
      <c r="X761" s="119"/>
      <c r="Y761" s="146">
        <v>43623.0</v>
      </c>
      <c r="Z761" s="74">
        <v>33.69</v>
      </c>
      <c r="AA761" s="74">
        <v>33.67</v>
      </c>
      <c r="AB761" s="119"/>
      <c r="AC761" s="119"/>
      <c r="AD761" s="119"/>
      <c r="AE761" s="74">
        <v>1.0</v>
      </c>
      <c r="AF761" s="74" t="s">
        <v>18902</v>
      </c>
      <c r="AG761" s="120">
        <v>7593.0</v>
      </c>
      <c r="AH761" s="74" t="s">
        <v>27556</v>
      </c>
      <c r="AI761" s="74" t="s">
        <v>27557</v>
      </c>
      <c r="AJ761" s="120">
        <v>762.0</v>
      </c>
    </row>
    <row r="762">
      <c r="A762" s="74" t="s">
        <v>27552</v>
      </c>
      <c r="B762" s="74" t="s">
        <v>6876</v>
      </c>
      <c r="C762" s="74" t="s">
        <v>6877</v>
      </c>
      <c r="D762" s="74" t="s">
        <v>8493</v>
      </c>
      <c r="E762" s="146">
        <v>43858.0</v>
      </c>
      <c r="F762" s="74" t="s">
        <v>27559</v>
      </c>
      <c r="G762" s="74">
        <v>59.0</v>
      </c>
      <c r="H762" s="74">
        <v>1.0</v>
      </c>
      <c r="I762" s="74">
        <v>11.0</v>
      </c>
      <c r="J762" s="119"/>
      <c r="K762" s="119"/>
      <c r="L762" s="74" t="s">
        <v>408</v>
      </c>
      <c r="M762" s="74" t="s">
        <v>408</v>
      </c>
      <c r="N762" s="133">
        <v>43832.0</v>
      </c>
      <c r="O762" s="74">
        <v>1.0</v>
      </c>
      <c r="P762" s="74">
        <v>1.0</v>
      </c>
      <c r="Q762" s="119"/>
      <c r="R762" s="74" t="s">
        <v>26761</v>
      </c>
      <c r="S762" s="119"/>
      <c r="T762" s="146">
        <v>43623.0</v>
      </c>
      <c r="U762" s="74">
        <v>9999.0</v>
      </c>
      <c r="V762" s="74">
        <v>9999.0</v>
      </c>
      <c r="W762" s="119"/>
      <c r="X762" s="119"/>
      <c r="Y762" s="146">
        <v>43623.0</v>
      </c>
      <c r="Z762" s="74">
        <v>40.0</v>
      </c>
      <c r="AA762" s="74">
        <v>40.0</v>
      </c>
      <c r="AB762" s="119"/>
      <c r="AC762" s="119"/>
      <c r="AD762" s="119"/>
      <c r="AE762" s="74">
        <v>1.0</v>
      </c>
      <c r="AF762" s="74" t="s">
        <v>18902</v>
      </c>
      <c r="AG762" s="120">
        <v>7594.0</v>
      </c>
      <c r="AH762" s="74" t="s">
        <v>27563</v>
      </c>
      <c r="AI762" s="74" t="s">
        <v>27565</v>
      </c>
      <c r="AJ762" s="120">
        <v>763.0</v>
      </c>
    </row>
    <row r="763">
      <c r="A763" s="74" t="s">
        <v>27559</v>
      </c>
      <c r="B763" s="74" t="s">
        <v>6876</v>
      </c>
      <c r="C763" s="74" t="s">
        <v>6877</v>
      </c>
      <c r="D763" s="74" t="s">
        <v>8493</v>
      </c>
      <c r="E763" s="146">
        <v>43858.0</v>
      </c>
      <c r="F763" s="74" t="s">
        <v>27566</v>
      </c>
      <c r="G763" s="74">
        <v>59.0</v>
      </c>
      <c r="H763" s="74">
        <v>1.0</v>
      </c>
      <c r="I763" s="74">
        <v>11.0</v>
      </c>
      <c r="J763" s="119"/>
      <c r="K763" s="119"/>
      <c r="L763" s="74" t="s">
        <v>409</v>
      </c>
      <c r="M763" s="74" t="s">
        <v>409</v>
      </c>
      <c r="N763" s="133">
        <v>43832.0</v>
      </c>
      <c r="O763" s="74">
        <v>1.0</v>
      </c>
      <c r="P763" s="74">
        <v>1.0</v>
      </c>
      <c r="Q763" s="119"/>
      <c r="R763" s="74" t="s">
        <v>26447</v>
      </c>
      <c r="S763" s="119"/>
      <c r="T763" s="146">
        <v>43654.0</v>
      </c>
      <c r="U763" s="74">
        <v>29.36</v>
      </c>
      <c r="V763" s="74">
        <v>9999.0</v>
      </c>
      <c r="W763" s="119"/>
      <c r="X763" s="119"/>
      <c r="Y763" s="146">
        <v>43654.0</v>
      </c>
      <c r="Z763" s="74">
        <v>31.06</v>
      </c>
      <c r="AA763" s="74">
        <v>9999.0</v>
      </c>
      <c r="AB763" s="119"/>
      <c r="AC763" s="119"/>
      <c r="AD763" s="119"/>
      <c r="AE763" s="74">
        <v>1.0</v>
      </c>
      <c r="AF763" s="74" t="s">
        <v>18902</v>
      </c>
      <c r="AG763" s="120">
        <v>7595.0</v>
      </c>
      <c r="AH763" s="74" t="s">
        <v>27572</v>
      </c>
      <c r="AI763" s="74" t="s">
        <v>27573</v>
      </c>
      <c r="AJ763" s="120">
        <v>764.0</v>
      </c>
    </row>
    <row r="764">
      <c r="A764" s="74" t="s">
        <v>27566</v>
      </c>
      <c r="B764" s="74" t="s">
        <v>6876</v>
      </c>
      <c r="C764" s="74" t="s">
        <v>6877</v>
      </c>
      <c r="D764" s="74" t="s">
        <v>8493</v>
      </c>
      <c r="E764" s="146">
        <v>43858.0</v>
      </c>
      <c r="F764" s="74" t="s">
        <v>27575</v>
      </c>
      <c r="G764" s="74">
        <v>58.0</v>
      </c>
      <c r="H764" s="74">
        <v>1.0</v>
      </c>
      <c r="I764" s="74">
        <v>3.0</v>
      </c>
      <c r="J764" s="119"/>
      <c r="K764" s="119"/>
      <c r="L764" s="74" t="s">
        <v>410</v>
      </c>
      <c r="M764" s="74" t="s">
        <v>410</v>
      </c>
      <c r="N764" s="133">
        <v>43832.0</v>
      </c>
      <c r="O764" s="74">
        <v>1.0</v>
      </c>
      <c r="P764" s="74">
        <v>1.0</v>
      </c>
      <c r="Q764" s="119"/>
      <c r="R764" s="74" t="s">
        <v>26447</v>
      </c>
      <c r="S764" s="119"/>
      <c r="T764" s="146">
        <v>43654.0</v>
      </c>
      <c r="U764" s="74">
        <v>30.67</v>
      </c>
      <c r="V764" s="74">
        <v>9999.0</v>
      </c>
      <c r="W764" s="119"/>
      <c r="X764" s="119"/>
      <c r="Y764" s="146">
        <v>43654.0</v>
      </c>
      <c r="Z764" s="74">
        <v>34.13</v>
      </c>
      <c r="AA764" s="74">
        <v>9999.0</v>
      </c>
      <c r="AB764" s="119"/>
      <c r="AC764" s="119"/>
      <c r="AD764" s="119"/>
      <c r="AE764" s="74">
        <v>1.0</v>
      </c>
      <c r="AF764" s="74" t="s">
        <v>18902</v>
      </c>
      <c r="AG764" s="120">
        <v>7596.0</v>
      </c>
      <c r="AH764" s="74" t="s">
        <v>27579</v>
      </c>
      <c r="AI764" s="74" t="s">
        <v>27581</v>
      </c>
      <c r="AJ764" s="120">
        <v>765.0</v>
      </c>
    </row>
    <row r="765">
      <c r="A765" s="74" t="s">
        <v>27575</v>
      </c>
      <c r="B765" s="74" t="s">
        <v>6876</v>
      </c>
      <c r="C765" s="74" t="s">
        <v>6877</v>
      </c>
      <c r="D765" s="74" t="s">
        <v>8493</v>
      </c>
      <c r="E765" s="146">
        <v>43858.0</v>
      </c>
      <c r="F765" s="74" t="s">
        <v>27584</v>
      </c>
      <c r="G765" s="74">
        <v>58.0</v>
      </c>
      <c r="H765" s="74">
        <v>1.0</v>
      </c>
      <c r="I765" s="74">
        <v>2.0</v>
      </c>
      <c r="J765" s="119"/>
      <c r="K765" s="119"/>
      <c r="L765" s="74" t="s">
        <v>413</v>
      </c>
      <c r="M765" s="74" t="s">
        <v>413</v>
      </c>
      <c r="N765" s="133">
        <v>43832.0</v>
      </c>
      <c r="O765" s="74">
        <v>1.0</v>
      </c>
      <c r="P765" s="74">
        <v>1.0</v>
      </c>
      <c r="Q765" s="119"/>
      <c r="R765" s="74" t="s">
        <v>26467</v>
      </c>
      <c r="S765" s="119"/>
      <c r="T765" s="146">
        <v>43790.0</v>
      </c>
      <c r="U765" s="74">
        <v>32.13</v>
      </c>
      <c r="V765" s="74">
        <v>31.6</v>
      </c>
      <c r="W765" s="119"/>
      <c r="X765" s="119"/>
      <c r="Y765" s="146">
        <v>43790.0</v>
      </c>
      <c r="Z765" s="74">
        <v>33.31</v>
      </c>
      <c r="AA765" s="74">
        <v>32.87</v>
      </c>
      <c r="AB765" s="119"/>
      <c r="AC765" s="119"/>
      <c r="AD765" s="119"/>
      <c r="AE765" s="74">
        <v>1.0</v>
      </c>
      <c r="AF765" s="74" t="s">
        <v>18902</v>
      </c>
      <c r="AG765" s="120">
        <v>7597.0</v>
      </c>
      <c r="AH765" s="74" t="s">
        <v>27591</v>
      </c>
      <c r="AI765" s="74" t="s">
        <v>27592</v>
      </c>
      <c r="AJ765" s="120">
        <v>766.0</v>
      </c>
    </row>
    <row r="766">
      <c r="A766" s="74" t="s">
        <v>27584</v>
      </c>
      <c r="B766" s="74" t="s">
        <v>6876</v>
      </c>
      <c r="C766" s="74" t="s">
        <v>6877</v>
      </c>
      <c r="D766" s="74" t="s">
        <v>8493</v>
      </c>
      <c r="E766" s="146">
        <v>43858.0</v>
      </c>
      <c r="F766" s="74" t="s">
        <v>27594</v>
      </c>
      <c r="G766" s="74">
        <v>58.0</v>
      </c>
      <c r="H766" s="74">
        <v>1.0</v>
      </c>
      <c r="I766" s="74">
        <v>2.0</v>
      </c>
      <c r="J766" s="119"/>
      <c r="K766" s="119"/>
      <c r="L766" s="74" t="s">
        <v>414</v>
      </c>
      <c r="M766" s="74" t="s">
        <v>414</v>
      </c>
      <c r="N766" s="133">
        <v>43832.0</v>
      </c>
      <c r="O766" s="74">
        <v>1.0</v>
      </c>
      <c r="P766" s="74">
        <v>1.0</v>
      </c>
      <c r="Q766" s="119"/>
      <c r="R766" s="74" t="s">
        <v>26467</v>
      </c>
      <c r="S766" s="119"/>
      <c r="T766" s="146">
        <v>43790.0</v>
      </c>
      <c r="U766" s="74">
        <v>31.83</v>
      </c>
      <c r="V766" s="74">
        <v>31.8</v>
      </c>
      <c r="W766" s="119"/>
      <c r="X766" s="119"/>
      <c r="Y766" s="146">
        <v>43790.0</v>
      </c>
      <c r="Z766" s="74">
        <v>33.7</v>
      </c>
      <c r="AA766" s="74">
        <v>33.64</v>
      </c>
      <c r="AB766" s="119"/>
      <c r="AC766" s="119"/>
      <c r="AD766" s="119"/>
      <c r="AE766" s="74">
        <v>1.0</v>
      </c>
      <c r="AF766" s="74" t="s">
        <v>18902</v>
      </c>
      <c r="AG766" s="120">
        <v>7598.0</v>
      </c>
      <c r="AH766" s="74" t="s">
        <v>27600</v>
      </c>
      <c r="AI766" s="74" t="s">
        <v>27601</v>
      </c>
      <c r="AJ766" s="120">
        <v>767.0</v>
      </c>
    </row>
    <row r="767">
      <c r="A767" s="74" t="s">
        <v>27594</v>
      </c>
      <c r="B767" s="74" t="s">
        <v>6876</v>
      </c>
      <c r="C767" s="74" t="s">
        <v>6877</v>
      </c>
      <c r="D767" s="74" t="s">
        <v>8493</v>
      </c>
      <c r="E767" s="146">
        <v>43858.0</v>
      </c>
      <c r="F767" s="74" t="s">
        <v>27604</v>
      </c>
      <c r="G767" s="74">
        <v>58.0</v>
      </c>
      <c r="H767" s="74">
        <v>1.0</v>
      </c>
      <c r="I767" s="74">
        <v>2.0</v>
      </c>
      <c r="J767" s="119"/>
      <c r="K767" s="119"/>
      <c r="L767" s="74" t="s">
        <v>27607</v>
      </c>
      <c r="M767" s="74" t="s">
        <v>27607</v>
      </c>
      <c r="N767" s="133">
        <v>43832.0</v>
      </c>
      <c r="O767" s="74">
        <v>1.0</v>
      </c>
      <c r="P767" s="74">
        <v>1.0</v>
      </c>
      <c r="Q767" s="119"/>
      <c r="R767" s="74" t="s">
        <v>26533</v>
      </c>
      <c r="S767" s="119"/>
      <c r="T767" s="146">
        <v>43581.0</v>
      </c>
      <c r="U767" s="74">
        <v>9999.0</v>
      </c>
      <c r="V767" s="74">
        <v>9999.0</v>
      </c>
      <c r="W767" s="119"/>
      <c r="X767" s="119"/>
      <c r="Y767" s="146">
        <v>43581.0</v>
      </c>
      <c r="Z767" s="74">
        <v>9999.0</v>
      </c>
      <c r="AA767" s="74">
        <v>5.0</v>
      </c>
      <c r="AB767" s="119"/>
      <c r="AC767" s="119"/>
      <c r="AD767" s="119"/>
      <c r="AE767" s="74">
        <v>1.0</v>
      </c>
      <c r="AF767" s="74" t="s">
        <v>18902</v>
      </c>
      <c r="AG767" s="120">
        <v>7599.0</v>
      </c>
      <c r="AH767" s="74" t="s">
        <v>27610</v>
      </c>
      <c r="AI767" s="74" t="s">
        <v>27611</v>
      </c>
      <c r="AJ767" s="120">
        <v>768.0</v>
      </c>
    </row>
    <row r="768">
      <c r="A768" s="74" t="s">
        <v>27604</v>
      </c>
      <c r="B768" s="74" t="s">
        <v>6876</v>
      </c>
      <c r="C768" s="74" t="s">
        <v>6877</v>
      </c>
      <c r="D768" s="74" t="s">
        <v>8493</v>
      </c>
      <c r="E768" s="146">
        <v>43858.0</v>
      </c>
      <c r="F768" s="74" t="s">
        <v>27614</v>
      </c>
      <c r="G768" s="74">
        <v>58.0</v>
      </c>
      <c r="H768" s="74">
        <v>1.0</v>
      </c>
      <c r="I768" s="74">
        <v>1.0</v>
      </c>
      <c r="J768" s="119"/>
      <c r="K768" s="119"/>
      <c r="L768" s="74" t="s">
        <v>411</v>
      </c>
      <c r="M768" s="74" t="s">
        <v>411</v>
      </c>
      <c r="N768" s="133">
        <v>43832.0</v>
      </c>
      <c r="O768" s="74">
        <v>1.0</v>
      </c>
      <c r="P768" s="74">
        <v>1.0</v>
      </c>
      <c r="Q768" s="119"/>
      <c r="R768" s="74" t="s">
        <v>26447</v>
      </c>
      <c r="S768" s="119"/>
      <c r="T768" s="146">
        <v>43654.0</v>
      </c>
      <c r="U768" s="74">
        <v>30.72</v>
      </c>
      <c r="V768" s="74">
        <v>9999.0</v>
      </c>
      <c r="W768" s="119"/>
      <c r="X768" s="119"/>
      <c r="Y768" s="146">
        <v>43654.0</v>
      </c>
      <c r="Z768" s="74">
        <v>35.86</v>
      </c>
      <c r="AA768" s="74">
        <v>9999.0</v>
      </c>
      <c r="AB768" s="119"/>
      <c r="AC768" s="119"/>
      <c r="AD768" s="119"/>
      <c r="AE768" s="74">
        <v>1.0</v>
      </c>
      <c r="AF768" s="74" t="s">
        <v>18902</v>
      </c>
      <c r="AG768" s="120">
        <v>7600.0</v>
      </c>
      <c r="AH768" s="74" t="s">
        <v>27620</v>
      </c>
      <c r="AI768" s="74" t="s">
        <v>27621</v>
      </c>
      <c r="AJ768" s="120">
        <v>769.0</v>
      </c>
    </row>
    <row r="769">
      <c r="A769" s="74" t="s">
        <v>27622</v>
      </c>
      <c r="B769" s="74" t="s">
        <v>6876</v>
      </c>
      <c r="C769" s="74" t="s">
        <v>6877</v>
      </c>
      <c r="D769" s="74" t="s">
        <v>8493</v>
      </c>
      <c r="E769" s="146">
        <v>43858.0</v>
      </c>
      <c r="F769" s="74" t="s">
        <v>27624</v>
      </c>
      <c r="G769" s="74">
        <v>58.0</v>
      </c>
      <c r="H769" s="74">
        <v>1.0</v>
      </c>
      <c r="I769" s="74">
        <v>10.0</v>
      </c>
      <c r="J769" s="119"/>
      <c r="K769" s="119"/>
      <c r="L769" s="74" t="s">
        <v>415</v>
      </c>
      <c r="M769" s="74" t="s">
        <v>415</v>
      </c>
      <c r="N769" s="133">
        <v>43832.0</v>
      </c>
      <c r="O769" s="74">
        <v>1.0</v>
      </c>
      <c r="P769" s="74">
        <v>1.0</v>
      </c>
      <c r="Q769" s="119"/>
      <c r="R769" s="74" t="s">
        <v>26467</v>
      </c>
      <c r="S769" s="119"/>
      <c r="T769" s="146">
        <v>43790.0</v>
      </c>
      <c r="U769" s="74">
        <v>32.04</v>
      </c>
      <c r="V769" s="74">
        <v>27.59</v>
      </c>
      <c r="W769" s="119"/>
      <c r="X769" s="119"/>
      <c r="Y769" s="146">
        <v>43790.0</v>
      </c>
      <c r="Z769" s="74">
        <v>38.11</v>
      </c>
      <c r="AA769" s="74">
        <v>9999.0</v>
      </c>
      <c r="AB769" s="119"/>
      <c r="AC769" s="119"/>
      <c r="AD769" s="119"/>
      <c r="AE769" s="74">
        <v>1.0</v>
      </c>
      <c r="AF769" s="74" t="s">
        <v>18902</v>
      </c>
      <c r="AG769" s="120">
        <v>7601.0</v>
      </c>
      <c r="AH769" s="74" t="s">
        <v>27632</v>
      </c>
      <c r="AI769" s="74" t="s">
        <v>27633</v>
      </c>
      <c r="AJ769" s="120">
        <v>770.0</v>
      </c>
    </row>
    <row r="770">
      <c r="A770" s="74" t="s">
        <v>27624</v>
      </c>
      <c r="B770" s="74" t="s">
        <v>6876</v>
      </c>
      <c r="C770" s="74" t="s">
        <v>6877</v>
      </c>
      <c r="D770" s="74" t="s">
        <v>8493</v>
      </c>
      <c r="E770" s="146">
        <v>43858.0</v>
      </c>
      <c r="F770" s="74" t="s">
        <v>27637</v>
      </c>
      <c r="G770" s="74">
        <v>59.0</v>
      </c>
      <c r="H770" s="74">
        <v>1.0</v>
      </c>
      <c r="I770" s="74">
        <v>11.0</v>
      </c>
      <c r="J770" s="119"/>
      <c r="K770" s="119"/>
      <c r="L770" s="74" t="s">
        <v>2122</v>
      </c>
      <c r="M770" s="74" t="s">
        <v>2122</v>
      </c>
      <c r="N770" s="133">
        <v>43832.0</v>
      </c>
      <c r="O770" s="74">
        <v>1.0</v>
      </c>
      <c r="P770" s="74">
        <v>1.0</v>
      </c>
      <c r="Q770" s="119"/>
      <c r="R770" s="74" t="s">
        <v>27642</v>
      </c>
      <c r="S770" s="119"/>
      <c r="T770" s="146">
        <v>43854.0</v>
      </c>
      <c r="U770" s="74">
        <v>26.5</v>
      </c>
      <c r="V770" s="74">
        <v>26.11</v>
      </c>
      <c r="W770" s="119"/>
      <c r="X770" s="119"/>
      <c r="Y770" s="146">
        <v>43854.0</v>
      </c>
      <c r="Z770" s="74">
        <v>40.0</v>
      </c>
      <c r="AA770" s="74">
        <v>38.43</v>
      </c>
      <c r="AB770" s="119"/>
      <c r="AC770" s="119"/>
      <c r="AD770" s="119"/>
      <c r="AE770" s="74">
        <v>1.0</v>
      </c>
      <c r="AF770" s="74" t="s">
        <v>18902</v>
      </c>
      <c r="AG770" s="120">
        <v>7602.0</v>
      </c>
      <c r="AH770" s="74" t="s">
        <v>27645</v>
      </c>
      <c r="AI770" s="74" t="s">
        <v>27647</v>
      </c>
      <c r="AJ770" s="120">
        <v>771.0</v>
      </c>
    </row>
    <row r="771">
      <c r="A771" s="74" t="s">
        <v>27637</v>
      </c>
      <c r="B771" s="74" t="s">
        <v>6876</v>
      </c>
      <c r="C771" s="74" t="s">
        <v>6877</v>
      </c>
      <c r="D771" s="74" t="s">
        <v>8493</v>
      </c>
      <c r="E771" s="146">
        <v>43858.0</v>
      </c>
      <c r="F771" s="74" t="s">
        <v>27649</v>
      </c>
      <c r="G771" s="74">
        <v>59.0</v>
      </c>
      <c r="H771" s="74">
        <v>1.0</v>
      </c>
      <c r="I771" s="74">
        <v>11.0</v>
      </c>
      <c r="J771" s="119"/>
      <c r="K771" s="119"/>
      <c r="L771" s="74" t="s">
        <v>2125</v>
      </c>
      <c r="M771" s="74" t="s">
        <v>2125</v>
      </c>
      <c r="N771" s="133">
        <v>43832.0</v>
      </c>
      <c r="O771" s="74">
        <v>1.0</v>
      </c>
      <c r="P771" s="74">
        <v>1.0</v>
      </c>
      <c r="Q771" s="119"/>
      <c r="R771" s="74" t="s">
        <v>27642</v>
      </c>
      <c r="S771" s="119"/>
      <c r="T771" s="146">
        <v>43854.0</v>
      </c>
      <c r="U771" s="74">
        <v>28.72</v>
      </c>
      <c r="V771" s="74">
        <v>27.5</v>
      </c>
      <c r="W771" s="119"/>
      <c r="X771" s="119"/>
      <c r="Y771" s="146">
        <v>43854.0</v>
      </c>
      <c r="Z771" s="74">
        <v>40.0</v>
      </c>
      <c r="AA771" s="74">
        <v>37.96</v>
      </c>
      <c r="AB771" s="119"/>
      <c r="AC771" s="119"/>
      <c r="AD771" s="119"/>
      <c r="AE771" s="74">
        <v>1.0</v>
      </c>
      <c r="AF771" s="74" t="s">
        <v>18902</v>
      </c>
      <c r="AG771" s="120">
        <v>7603.0</v>
      </c>
      <c r="AH771" s="74" t="s">
        <v>27652</v>
      </c>
      <c r="AI771" s="74" t="s">
        <v>27654</v>
      </c>
      <c r="AJ771" s="120">
        <v>772.0</v>
      </c>
    </row>
    <row r="772">
      <c r="A772" s="74" t="s">
        <v>27649</v>
      </c>
      <c r="B772" s="74" t="s">
        <v>6876</v>
      </c>
      <c r="C772" s="74" t="s">
        <v>6877</v>
      </c>
      <c r="D772" s="74" t="s">
        <v>8493</v>
      </c>
      <c r="E772" s="146">
        <v>43858.0</v>
      </c>
      <c r="F772" s="74" t="s">
        <v>27656</v>
      </c>
      <c r="G772" s="74">
        <v>59.0</v>
      </c>
      <c r="H772" s="74">
        <v>1.0</v>
      </c>
      <c r="I772" s="74">
        <v>11.0</v>
      </c>
      <c r="J772" s="119"/>
      <c r="K772" s="119"/>
      <c r="L772" s="74" t="s">
        <v>2128</v>
      </c>
      <c r="M772" s="74" t="s">
        <v>2128</v>
      </c>
      <c r="N772" s="133">
        <v>43832.0</v>
      </c>
      <c r="O772" s="74">
        <v>1.0</v>
      </c>
      <c r="P772" s="74">
        <v>1.0</v>
      </c>
      <c r="Q772" s="119"/>
      <c r="R772" s="74" t="s">
        <v>27642</v>
      </c>
      <c r="S772" s="119"/>
      <c r="T772" s="146">
        <v>43854.0</v>
      </c>
      <c r="U772" s="74">
        <v>26.24</v>
      </c>
      <c r="V772" s="74">
        <v>25.95</v>
      </c>
      <c r="W772" s="119"/>
      <c r="X772" s="119"/>
      <c r="Y772" s="146">
        <v>43854.0</v>
      </c>
      <c r="Z772" s="74">
        <v>38.77</v>
      </c>
      <c r="AA772" s="74">
        <v>39.49</v>
      </c>
      <c r="AB772" s="119"/>
      <c r="AC772" s="119"/>
      <c r="AD772" s="119"/>
      <c r="AE772" s="74">
        <v>1.0</v>
      </c>
      <c r="AF772" s="74" t="s">
        <v>18902</v>
      </c>
      <c r="AG772" s="120">
        <v>7604.0</v>
      </c>
      <c r="AH772" s="74" t="s">
        <v>27661</v>
      </c>
      <c r="AI772" s="74" t="s">
        <v>27662</v>
      </c>
      <c r="AJ772" s="120">
        <v>773.0</v>
      </c>
    </row>
    <row r="773">
      <c r="A773" s="74" t="s">
        <v>27656</v>
      </c>
      <c r="B773" s="74" t="s">
        <v>6876</v>
      </c>
      <c r="C773" s="74" t="s">
        <v>6877</v>
      </c>
      <c r="D773" s="74" t="s">
        <v>8493</v>
      </c>
      <c r="E773" s="146">
        <v>43858.0</v>
      </c>
      <c r="F773" s="74" t="s">
        <v>27665</v>
      </c>
      <c r="G773" s="74">
        <v>57.0</v>
      </c>
      <c r="H773" s="74">
        <v>1.0</v>
      </c>
      <c r="I773" s="74">
        <v>12.0</v>
      </c>
      <c r="J773" s="119"/>
      <c r="K773" s="119"/>
      <c r="L773" s="74" t="s">
        <v>2134</v>
      </c>
      <c r="M773" s="74" t="s">
        <v>2134</v>
      </c>
      <c r="N773" s="133">
        <v>43832.0</v>
      </c>
      <c r="O773" s="74">
        <v>1.0</v>
      </c>
      <c r="P773" s="74">
        <v>1.0</v>
      </c>
      <c r="Q773" s="119"/>
      <c r="R773" s="74" t="s">
        <v>27642</v>
      </c>
      <c r="S773" s="119"/>
      <c r="T773" s="146">
        <v>43854.0</v>
      </c>
      <c r="U773" s="74">
        <v>38.39</v>
      </c>
      <c r="V773" s="74">
        <v>9999.0</v>
      </c>
      <c r="W773" s="119"/>
      <c r="X773" s="119"/>
      <c r="Y773" s="146">
        <v>43854.0</v>
      </c>
      <c r="Z773" s="74">
        <v>33.01</v>
      </c>
      <c r="AA773" s="74">
        <v>33.3</v>
      </c>
      <c r="AB773" s="119"/>
      <c r="AC773" s="119"/>
      <c r="AD773" s="119"/>
      <c r="AE773" s="74">
        <v>1.0</v>
      </c>
      <c r="AF773" s="74" t="s">
        <v>18902</v>
      </c>
      <c r="AG773" s="120">
        <v>7605.0</v>
      </c>
      <c r="AH773" s="74" t="s">
        <v>27670</v>
      </c>
      <c r="AI773" s="74" t="s">
        <v>27671</v>
      </c>
      <c r="AJ773" s="120">
        <v>774.0</v>
      </c>
    </row>
    <row r="774">
      <c r="A774" s="74" t="s">
        <v>27665</v>
      </c>
      <c r="B774" s="74" t="s">
        <v>6876</v>
      </c>
      <c r="C774" s="74" t="s">
        <v>6877</v>
      </c>
      <c r="D774" s="74" t="s">
        <v>8493</v>
      </c>
      <c r="E774" s="146">
        <v>43858.0</v>
      </c>
      <c r="F774" s="74" t="s">
        <v>27673</v>
      </c>
      <c r="G774" s="74">
        <v>57.0</v>
      </c>
      <c r="H774" s="74">
        <v>1.0</v>
      </c>
      <c r="I774" s="74">
        <v>12.0</v>
      </c>
      <c r="J774" s="119"/>
      <c r="K774" s="119"/>
      <c r="L774" s="74" t="s">
        <v>2137</v>
      </c>
      <c r="M774" s="74" t="s">
        <v>2137</v>
      </c>
      <c r="N774" s="133">
        <v>43832.0</v>
      </c>
      <c r="O774" s="74">
        <v>1.0</v>
      </c>
      <c r="P774" s="74">
        <v>1.0</v>
      </c>
      <c r="Q774" s="119"/>
      <c r="R774" s="74" t="s">
        <v>27642</v>
      </c>
      <c r="S774" s="119"/>
      <c r="T774" s="146">
        <v>43854.0</v>
      </c>
      <c r="U774" s="74">
        <v>22.43</v>
      </c>
      <c r="V774" s="74">
        <v>22.09</v>
      </c>
      <c r="W774" s="119"/>
      <c r="X774" s="119"/>
      <c r="Y774" s="146">
        <v>43854.0</v>
      </c>
      <c r="Z774" s="74">
        <v>32.34</v>
      </c>
      <c r="AA774" s="74">
        <v>32.46</v>
      </c>
      <c r="AB774" s="119"/>
      <c r="AC774" s="119"/>
      <c r="AD774" s="119"/>
      <c r="AE774" s="74">
        <v>1.0</v>
      </c>
      <c r="AF774" s="74" t="s">
        <v>18902</v>
      </c>
      <c r="AG774" s="120">
        <v>7606.0</v>
      </c>
      <c r="AH774" s="74" t="s">
        <v>27679</v>
      </c>
      <c r="AI774" s="74" t="s">
        <v>27681</v>
      </c>
      <c r="AJ774" s="120">
        <v>775.0</v>
      </c>
    </row>
    <row r="775">
      <c r="A775" s="74" t="s">
        <v>27673</v>
      </c>
      <c r="B775" s="74" t="s">
        <v>6876</v>
      </c>
      <c r="C775" s="74" t="s">
        <v>6877</v>
      </c>
      <c r="D775" s="74" t="s">
        <v>8493</v>
      </c>
      <c r="E775" s="146">
        <v>43858.0</v>
      </c>
      <c r="F775" s="74" t="s">
        <v>27684</v>
      </c>
      <c r="G775" s="74">
        <v>55.0</v>
      </c>
      <c r="H775" s="74">
        <v>1.0</v>
      </c>
      <c r="I775" s="74">
        <v>12.0</v>
      </c>
      <c r="J775" s="119"/>
      <c r="K775" s="119"/>
      <c r="L775" s="74" t="s">
        <v>2144</v>
      </c>
      <c r="M775" s="74" t="s">
        <v>2144</v>
      </c>
      <c r="N775" s="133">
        <v>43832.0</v>
      </c>
      <c r="O775" s="74">
        <v>1.0</v>
      </c>
      <c r="P775" s="74">
        <v>1.0</v>
      </c>
      <c r="Q775" s="119"/>
      <c r="R775" s="74" t="s">
        <v>27642</v>
      </c>
      <c r="S775" s="119"/>
      <c r="T775" s="146">
        <v>43854.0</v>
      </c>
      <c r="U775" s="74">
        <v>23.87</v>
      </c>
      <c r="V775" s="74">
        <v>24.9</v>
      </c>
      <c r="W775" s="119"/>
      <c r="X775" s="119"/>
      <c r="Y775" s="146">
        <v>43854.0</v>
      </c>
      <c r="Z775" s="74">
        <v>32.2</v>
      </c>
      <c r="AA775" s="74">
        <v>32.03</v>
      </c>
      <c r="AB775" s="119"/>
      <c r="AC775" s="119"/>
      <c r="AD775" s="119"/>
      <c r="AE775" s="74">
        <v>1.0</v>
      </c>
      <c r="AF775" s="74" t="s">
        <v>18902</v>
      </c>
      <c r="AG775" s="120">
        <v>7607.0</v>
      </c>
      <c r="AH775" s="74" t="s">
        <v>27689</v>
      </c>
      <c r="AI775" s="74" t="s">
        <v>27690</v>
      </c>
      <c r="AJ775" s="120">
        <v>776.0</v>
      </c>
    </row>
    <row r="776">
      <c r="A776" s="74" t="s">
        <v>27684</v>
      </c>
      <c r="B776" s="74" t="s">
        <v>6876</v>
      </c>
      <c r="C776" s="74" t="s">
        <v>6877</v>
      </c>
      <c r="D776" s="74" t="s">
        <v>8493</v>
      </c>
      <c r="E776" s="146">
        <v>43858.0</v>
      </c>
      <c r="F776" s="74" t="s">
        <v>27692</v>
      </c>
      <c r="G776" s="74">
        <v>57.0</v>
      </c>
      <c r="H776" s="74">
        <v>1.0</v>
      </c>
      <c r="I776" s="74">
        <v>16.0</v>
      </c>
      <c r="J776" s="119"/>
      <c r="K776" s="119"/>
      <c r="L776" s="74" t="s">
        <v>2148</v>
      </c>
      <c r="M776" s="74" t="s">
        <v>2148</v>
      </c>
      <c r="N776" s="133">
        <v>43832.0</v>
      </c>
      <c r="O776" s="74">
        <v>1.0</v>
      </c>
      <c r="P776" s="74">
        <v>1.0</v>
      </c>
      <c r="Q776" s="119"/>
      <c r="R776" s="74" t="s">
        <v>27642</v>
      </c>
      <c r="S776" s="119"/>
      <c r="T776" s="146">
        <v>43854.0</v>
      </c>
      <c r="U776" s="74">
        <v>31.1</v>
      </c>
      <c r="V776" s="74">
        <v>31.58</v>
      </c>
      <c r="W776" s="119"/>
      <c r="X776" s="119"/>
      <c r="Y776" s="146">
        <v>43854.0</v>
      </c>
      <c r="Z776" s="74">
        <v>33.42</v>
      </c>
      <c r="AA776" s="74">
        <v>34.85</v>
      </c>
      <c r="AB776" s="119"/>
      <c r="AC776" s="119"/>
      <c r="AD776" s="119"/>
      <c r="AE776" s="74">
        <v>1.0</v>
      </c>
      <c r="AF776" s="74" t="s">
        <v>18902</v>
      </c>
      <c r="AG776" s="120">
        <v>7608.0</v>
      </c>
      <c r="AH776" s="74" t="s">
        <v>27698</v>
      </c>
      <c r="AI776" s="74" t="s">
        <v>27699</v>
      </c>
      <c r="AJ776" s="120">
        <v>777.0</v>
      </c>
    </row>
    <row r="777">
      <c r="A777" s="74" t="s">
        <v>27692</v>
      </c>
      <c r="B777" s="74" t="s">
        <v>6876</v>
      </c>
      <c r="C777" s="74" t="s">
        <v>6877</v>
      </c>
      <c r="D777" s="74" t="s">
        <v>8493</v>
      </c>
      <c r="E777" s="146">
        <v>43858.0</v>
      </c>
      <c r="F777" s="74" t="s">
        <v>27704</v>
      </c>
      <c r="G777" s="74">
        <v>66.0</v>
      </c>
      <c r="H777" s="74">
        <v>1.0</v>
      </c>
      <c r="I777" s="74">
        <v>12.0</v>
      </c>
      <c r="J777" s="119"/>
      <c r="K777" s="119"/>
      <c r="L777" s="74" t="s">
        <v>2152</v>
      </c>
      <c r="M777" s="74" t="s">
        <v>2152</v>
      </c>
      <c r="N777" s="133">
        <v>43832.0</v>
      </c>
      <c r="O777" s="74">
        <v>1.0</v>
      </c>
      <c r="P777" s="74">
        <v>1.0</v>
      </c>
      <c r="Q777" s="119"/>
      <c r="R777" s="74" t="s">
        <v>27642</v>
      </c>
      <c r="S777" s="119"/>
      <c r="T777" s="146">
        <v>43854.0</v>
      </c>
      <c r="U777" s="74">
        <v>25.87</v>
      </c>
      <c r="V777" s="74">
        <v>24.8</v>
      </c>
      <c r="W777" s="119"/>
      <c r="X777" s="119"/>
      <c r="Y777" s="146">
        <v>43854.0</v>
      </c>
      <c r="Z777" s="74">
        <v>9999.0</v>
      </c>
      <c r="AA777" s="74">
        <v>33.72</v>
      </c>
      <c r="AB777" s="119"/>
      <c r="AC777" s="119"/>
      <c r="AD777" s="119"/>
      <c r="AE777" s="74">
        <v>1.0</v>
      </c>
      <c r="AF777" s="74" t="s">
        <v>18902</v>
      </c>
      <c r="AG777" s="120">
        <v>7609.0</v>
      </c>
      <c r="AH777" s="74" t="s">
        <v>27711</v>
      </c>
      <c r="AI777" s="74" t="s">
        <v>27712</v>
      </c>
      <c r="AJ777" s="120">
        <v>778.0</v>
      </c>
    </row>
    <row r="778">
      <c r="A778" s="74" t="s">
        <v>27704</v>
      </c>
      <c r="B778" s="74" t="s">
        <v>6876</v>
      </c>
      <c r="C778" s="74" t="s">
        <v>6877</v>
      </c>
      <c r="D778" s="74" t="s">
        <v>8493</v>
      </c>
      <c r="E778" s="146">
        <v>43858.0</v>
      </c>
      <c r="F778" s="74" t="s">
        <v>27714</v>
      </c>
      <c r="G778" s="74">
        <v>59.0</v>
      </c>
      <c r="H778" s="74">
        <v>1.0</v>
      </c>
      <c r="I778" s="74">
        <v>12.0</v>
      </c>
      <c r="J778" s="119"/>
      <c r="K778" s="119"/>
      <c r="L778" s="74" t="s">
        <v>2155</v>
      </c>
      <c r="M778" s="74" t="s">
        <v>2155</v>
      </c>
      <c r="N778" s="133">
        <v>43832.0</v>
      </c>
      <c r="O778" s="74">
        <v>1.0</v>
      </c>
      <c r="P778" s="74">
        <v>1.0</v>
      </c>
      <c r="Q778" s="119"/>
      <c r="R778" s="74" t="s">
        <v>27642</v>
      </c>
      <c r="S778" s="119"/>
      <c r="T778" s="146">
        <v>43854.0</v>
      </c>
      <c r="U778" s="74">
        <v>25.61</v>
      </c>
      <c r="V778" s="74">
        <v>25.32</v>
      </c>
      <c r="W778" s="119"/>
      <c r="X778" s="119"/>
      <c r="Y778" s="146">
        <v>43854.0</v>
      </c>
      <c r="Z778" s="74">
        <v>36.05</v>
      </c>
      <c r="AA778" s="74">
        <v>35.18</v>
      </c>
      <c r="AB778" s="119"/>
      <c r="AC778" s="119"/>
      <c r="AD778" s="119"/>
      <c r="AE778" s="74">
        <v>1.0</v>
      </c>
      <c r="AF778" s="74" t="s">
        <v>18902</v>
      </c>
      <c r="AG778" s="120">
        <v>7610.0</v>
      </c>
      <c r="AH778" s="74" t="s">
        <v>27723</v>
      </c>
      <c r="AI778" s="74" t="s">
        <v>27724</v>
      </c>
      <c r="AJ778" s="120">
        <v>779.0</v>
      </c>
    </row>
    <row r="779">
      <c r="A779" s="74" t="s">
        <v>27714</v>
      </c>
      <c r="B779" s="74" t="s">
        <v>6876</v>
      </c>
      <c r="C779" s="74" t="s">
        <v>6877</v>
      </c>
      <c r="D779" s="74" t="s">
        <v>8493</v>
      </c>
      <c r="E779" s="146">
        <v>43858.0</v>
      </c>
      <c r="F779" s="74" t="s">
        <v>27726</v>
      </c>
      <c r="G779" s="74">
        <v>65.0</v>
      </c>
      <c r="H779" s="74">
        <v>1.0</v>
      </c>
      <c r="I779" s="74">
        <v>12.0</v>
      </c>
      <c r="J779" s="119"/>
      <c r="K779" s="119"/>
      <c r="L779" s="74" t="s">
        <v>2158</v>
      </c>
      <c r="M779" s="74" t="s">
        <v>2158</v>
      </c>
      <c r="N779" s="133">
        <v>43832.0</v>
      </c>
      <c r="O779" s="74">
        <v>1.0</v>
      </c>
      <c r="P779" s="74">
        <v>1.0</v>
      </c>
      <c r="Q779" s="119"/>
      <c r="R779" s="74" t="s">
        <v>27642</v>
      </c>
      <c r="S779" s="119"/>
      <c r="T779" s="146">
        <v>43854.0</v>
      </c>
      <c r="U779" s="74">
        <v>23.49</v>
      </c>
      <c r="V779" s="74">
        <v>23.18</v>
      </c>
      <c r="W779" s="119"/>
      <c r="X779" s="119"/>
      <c r="Y779" s="146">
        <v>43854.0</v>
      </c>
      <c r="Z779" s="74">
        <v>34.63</v>
      </c>
      <c r="AA779" s="74">
        <v>33.27</v>
      </c>
      <c r="AB779" s="119"/>
      <c r="AC779" s="119"/>
      <c r="AD779" s="119"/>
      <c r="AE779" s="74">
        <v>1.0</v>
      </c>
      <c r="AF779" s="74" t="s">
        <v>18902</v>
      </c>
      <c r="AG779" s="120">
        <v>7611.0</v>
      </c>
      <c r="AH779" s="74" t="s">
        <v>27733</v>
      </c>
      <c r="AI779" s="74" t="s">
        <v>27735</v>
      </c>
      <c r="AJ779" s="120">
        <v>780.0</v>
      </c>
    </row>
    <row r="780">
      <c r="A780" s="74" t="s">
        <v>27726</v>
      </c>
      <c r="B780" s="74" t="s">
        <v>6876</v>
      </c>
      <c r="C780" s="74" t="s">
        <v>6877</v>
      </c>
      <c r="D780" s="74" t="s">
        <v>8493</v>
      </c>
      <c r="E780" s="146">
        <v>43858.0</v>
      </c>
      <c r="F780" s="74" t="s">
        <v>27736</v>
      </c>
      <c r="G780" s="74">
        <v>65.0</v>
      </c>
      <c r="H780" s="74">
        <v>1.0</v>
      </c>
      <c r="I780" s="74">
        <v>16.0</v>
      </c>
      <c r="J780" s="119"/>
      <c r="K780" s="119"/>
      <c r="L780" s="74" t="s">
        <v>2174</v>
      </c>
      <c r="M780" s="74" t="s">
        <v>2174</v>
      </c>
      <c r="N780" s="133">
        <v>43832.0</v>
      </c>
      <c r="O780" s="74">
        <v>1.0</v>
      </c>
      <c r="P780" s="74">
        <v>1.0</v>
      </c>
      <c r="Q780" s="119"/>
      <c r="R780" s="74" t="s">
        <v>27642</v>
      </c>
      <c r="S780" s="119"/>
      <c r="T780" s="146">
        <v>43854.0</v>
      </c>
      <c r="U780" s="74">
        <v>30.36</v>
      </c>
      <c r="V780" s="74">
        <v>30.51</v>
      </c>
      <c r="W780" s="119"/>
      <c r="X780" s="119"/>
      <c r="Y780" s="146">
        <v>43854.0</v>
      </c>
      <c r="Z780" s="74">
        <v>33.47</v>
      </c>
      <c r="AA780" s="74">
        <v>34.08</v>
      </c>
      <c r="AB780" s="119"/>
      <c r="AC780" s="119"/>
      <c r="AD780" s="119"/>
      <c r="AE780" s="74">
        <v>1.0</v>
      </c>
      <c r="AF780" s="74" t="s">
        <v>18902</v>
      </c>
      <c r="AG780" s="120">
        <v>7612.0</v>
      </c>
      <c r="AH780" s="74" t="s">
        <v>27742</v>
      </c>
      <c r="AI780" s="74" t="s">
        <v>27743</v>
      </c>
      <c r="AJ780" s="120">
        <v>781.0</v>
      </c>
    </row>
    <row r="781">
      <c r="A781" s="74" t="s">
        <v>27736</v>
      </c>
      <c r="B781" s="74" t="s">
        <v>6876</v>
      </c>
      <c r="C781" s="74" t="s">
        <v>6877</v>
      </c>
      <c r="D781" s="74" t="s">
        <v>8493</v>
      </c>
      <c r="E781" s="146">
        <v>43858.0</v>
      </c>
      <c r="F781" s="74" t="s">
        <v>27746</v>
      </c>
      <c r="G781" s="74">
        <v>58.0</v>
      </c>
      <c r="H781" s="74">
        <v>2.0</v>
      </c>
      <c r="I781" s="74">
        <v>14.0</v>
      </c>
      <c r="J781" s="74">
        <v>144.0</v>
      </c>
      <c r="K781" s="119"/>
      <c r="L781" s="74" t="s">
        <v>696</v>
      </c>
      <c r="M781" s="74" t="s">
        <v>696</v>
      </c>
      <c r="N781" s="133">
        <v>43832.0</v>
      </c>
      <c r="O781" s="74">
        <v>1.0</v>
      </c>
      <c r="P781" s="74">
        <v>1.0</v>
      </c>
      <c r="Q781" s="119"/>
      <c r="R781" s="74" t="s">
        <v>27642</v>
      </c>
      <c r="S781" s="119"/>
      <c r="T781" s="146">
        <v>43854.0</v>
      </c>
      <c r="U781" s="74">
        <v>35.73</v>
      </c>
      <c r="V781" s="74">
        <v>9999.0</v>
      </c>
      <c r="W781" s="119"/>
      <c r="X781" s="119"/>
      <c r="Y781" s="146">
        <v>43854.0</v>
      </c>
      <c r="Z781" s="74">
        <v>33.27</v>
      </c>
      <c r="AA781" s="74">
        <v>33.65</v>
      </c>
      <c r="AB781" s="119"/>
      <c r="AC781" s="119"/>
      <c r="AD781" s="119"/>
      <c r="AE781" s="74">
        <v>1.0</v>
      </c>
      <c r="AF781" s="74" t="s">
        <v>18902</v>
      </c>
      <c r="AG781" s="120">
        <v>7613.0</v>
      </c>
      <c r="AH781" s="74" t="s">
        <v>27752</v>
      </c>
      <c r="AI781" s="74" t="s">
        <v>27753</v>
      </c>
      <c r="AJ781" s="120">
        <v>782.0</v>
      </c>
    </row>
    <row r="782">
      <c r="A782" s="74" t="s">
        <v>27746</v>
      </c>
      <c r="B782" s="74" t="s">
        <v>6876</v>
      </c>
      <c r="C782" s="74" t="s">
        <v>6877</v>
      </c>
      <c r="D782" s="74" t="s">
        <v>8493</v>
      </c>
      <c r="E782" s="146">
        <v>43858.0</v>
      </c>
      <c r="F782" s="74" t="s">
        <v>27754</v>
      </c>
      <c r="G782" s="74">
        <v>58.0</v>
      </c>
      <c r="H782" s="74">
        <v>2.0</v>
      </c>
      <c r="I782" s="74">
        <v>14.0</v>
      </c>
      <c r="J782" s="74">
        <v>142.0</v>
      </c>
      <c r="K782" s="119"/>
      <c r="L782" s="74" t="s">
        <v>699</v>
      </c>
      <c r="M782" s="74" t="s">
        <v>699</v>
      </c>
      <c r="N782" s="133">
        <v>43832.0</v>
      </c>
      <c r="O782" s="74">
        <v>1.0</v>
      </c>
      <c r="P782" s="74">
        <v>1.0</v>
      </c>
      <c r="Q782" s="119"/>
      <c r="R782" s="74" t="s">
        <v>27642</v>
      </c>
      <c r="S782" s="119"/>
      <c r="T782" s="146">
        <v>43854.0</v>
      </c>
      <c r="U782" s="74">
        <v>23.99</v>
      </c>
      <c r="V782" s="74">
        <v>23.68</v>
      </c>
      <c r="W782" s="119"/>
      <c r="X782" s="119"/>
      <c r="Y782" s="146">
        <v>43854.0</v>
      </c>
      <c r="Z782" s="74">
        <v>33.55</v>
      </c>
      <c r="AA782" s="74">
        <v>33.28</v>
      </c>
      <c r="AB782" s="119"/>
      <c r="AC782" s="119"/>
      <c r="AD782" s="119"/>
      <c r="AE782" s="74">
        <v>1.0</v>
      </c>
      <c r="AF782" s="74" t="s">
        <v>18902</v>
      </c>
      <c r="AG782" s="120">
        <v>7614.0</v>
      </c>
      <c r="AH782" s="74" t="s">
        <v>27763</v>
      </c>
      <c r="AI782" s="74" t="s">
        <v>27764</v>
      </c>
      <c r="AJ782" s="120">
        <v>783.0</v>
      </c>
    </row>
    <row r="783">
      <c r="A783" s="74" t="s">
        <v>27754</v>
      </c>
      <c r="B783" s="74" t="s">
        <v>6876</v>
      </c>
      <c r="C783" s="74" t="s">
        <v>6877</v>
      </c>
      <c r="D783" s="74" t="s">
        <v>8493</v>
      </c>
      <c r="E783" s="146">
        <v>43858.0</v>
      </c>
      <c r="F783" s="74" t="s">
        <v>27766</v>
      </c>
      <c r="G783" s="74">
        <v>58.0</v>
      </c>
      <c r="H783" s="74">
        <v>2.0</v>
      </c>
      <c r="I783" s="74">
        <v>14.0</v>
      </c>
      <c r="J783" s="74">
        <v>145.0</v>
      </c>
      <c r="K783" s="119"/>
      <c r="L783" s="74" t="s">
        <v>701</v>
      </c>
      <c r="M783" s="74" t="s">
        <v>701</v>
      </c>
      <c r="N783" s="133">
        <v>43832.0</v>
      </c>
      <c r="O783" s="74">
        <v>1.0</v>
      </c>
      <c r="P783" s="74">
        <v>1.0</v>
      </c>
      <c r="Q783" s="119"/>
      <c r="R783" s="74" t="s">
        <v>27642</v>
      </c>
      <c r="S783" s="119"/>
      <c r="T783" s="146">
        <v>43854.0</v>
      </c>
      <c r="U783" s="74">
        <v>9999.0</v>
      </c>
      <c r="V783" s="74">
        <v>9999.0</v>
      </c>
      <c r="W783" s="119"/>
      <c r="X783" s="119"/>
      <c r="Y783" s="146">
        <v>43854.0</v>
      </c>
      <c r="Z783" s="74">
        <v>32.61</v>
      </c>
      <c r="AA783" s="74">
        <v>32.93</v>
      </c>
      <c r="AB783" s="119"/>
      <c r="AC783" s="119"/>
      <c r="AD783" s="119"/>
      <c r="AE783" s="74">
        <v>1.0</v>
      </c>
      <c r="AF783" s="74" t="s">
        <v>18902</v>
      </c>
      <c r="AG783" s="120">
        <v>7615.0</v>
      </c>
      <c r="AH783" s="74" t="s">
        <v>27774</v>
      </c>
      <c r="AI783" s="74" t="s">
        <v>27775</v>
      </c>
      <c r="AJ783" s="120">
        <v>784.0</v>
      </c>
    </row>
    <row r="784">
      <c r="A784" s="74" t="s">
        <v>27766</v>
      </c>
      <c r="B784" s="74" t="s">
        <v>6876</v>
      </c>
      <c r="C784" s="74" t="s">
        <v>6877</v>
      </c>
      <c r="D784" s="74" t="s">
        <v>8493</v>
      </c>
      <c r="E784" s="146">
        <v>43858.0</v>
      </c>
      <c r="F784" s="74" t="s">
        <v>27778</v>
      </c>
      <c r="G784" s="74">
        <v>58.0</v>
      </c>
      <c r="H784" s="74">
        <v>2.0</v>
      </c>
      <c r="I784" s="74">
        <v>14.0</v>
      </c>
      <c r="J784" s="74">
        <v>141.0</v>
      </c>
      <c r="K784" s="119"/>
      <c r="L784" s="74" t="s">
        <v>704</v>
      </c>
      <c r="M784" s="74" t="s">
        <v>704</v>
      </c>
      <c r="N784" s="133">
        <v>43832.0</v>
      </c>
      <c r="O784" s="74">
        <v>1.0</v>
      </c>
      <c r="P784" s="74">
        <v>1.0</v>
      </c>
      <c r="Q784" s="119"/>
      <c r="R784" s="74" t="s">
        <v>27642</v>
      </c>
      <c r="S784" s="119"/>
      <c r="T784" s="146">
        <v>43854.0</v>
      </c>
      <c r="U784" s="74">
        <v>36.05</v>
      </c>
      <c r="V784" s="74">
        <v>34.21</v>
      </c>
      <c r="W784" s="119"/>
      <c r="X784" s="119"/>
      <c r="Y784" s="146">
        <v>43854.0</v>
      </c>
      <c r="Z784" s="74">
        <v>35.08</v>
      </c>
      <c r="AA784" s="74">
        <v>35.1</v>
      </c>
      <c r="AB784" s="119"/>
      <c r="AC784" s="119"/>
      <c r="AD784" s="119"/>
      <c r="AE784" s="74">
        <v>1.0</v>
      </c>
      <c r="AF784" s="74" t="s">
        <v>18902</v>
      </c>
      <c r="AG784" s="120">
        <v>7616.0</v>
      </c>
      <c r="AH784" s="74" t="s">
        <v>27787</v>
      </c>
      <c r="AI784" s="74" t="s">
        <v>27788</v>
      </c>
      <c r="AJ784" s="120">
        <v>785.0</v>
      </c>
    </row>
    <row r="785">
      <c r="A785" s="74" t="s">
        <v>27778</v>
      </c>
      <c r="B785" s="74" t="s">
        <v>6876</v>
      </c>
      <c r="C785" s="74" t="s">
        <v>6877</v>
      </c>
      <c r="D785" s="74" t="s">
        <v>8493</v>
      </c>
      <c r="E785" s="146">
        <v>43858.0</v>
      </c>
      <c r="F785" s="74" t="s">
        <v>27790</v>
      </c>
      <c r="G785" s="74">
        <v>58.0</v>
      </c>
      <c r="H785" s="74">
        <v>2.0</v>
      </c>
      <c r="I785" s="74">
        <v>14.0</v>
      </c>
      <c r="J785" s="74">
        <v>143.0</v>
      </c>
      <c r="K785" s="119"/>
      <c r="L785" s="74" t="s">
        <v>706</v>
      </c>
      <c r="M785" s="74" t="s">
        <v>706</v>
      </c>
      <c r="N785" s="133">
        <v>43832.0</v>
      </c>
      <c r="O785" s="74">
        <v>1.0</v>
      </c>
      <c r="P785" s="74">
        <v>1.0</v>
      </c>
      <c r="Q785" s="119"/>
      <c r="R785" s="74" t="s">
        <v>27642</v>
      </c>
      <c r="S785" s="119"/>
      <c r="T785" s="146">
        <v>43854.0</v>
      </c>
      <c r="U785" s="74">
        <v>9999.0</v>
      </c>
      <c r="V785" s="74">
        <v>33.9</v>
      </c>
      <c r="W785" s="119"/>
      <c r="X785" s="119"/>
      <c r="Y785" s="146">
        <v>43854.0</v>
      </c>
      <c r="Z785" s="74">
        <v>33.84</v>
      </c>
      <c r="AA785" s="74">
        <v>34.46</v>
      </c>
      <c r="AB785" s="119"/>
      <c r="AC785" s="119"/>
      <c r="AD785" s="119"/>
      <c r="AE785" s="74">
        <v>1.0</v>
      </c>
      <c r="AF785" s="74" t="s">
        <v>18902</v>
      </c>
      <c r="AG785" s="120">
        <v>7617.0</v>
      </c>
      <c r="AH785" s="74" t="s">
        <v>27795</v>
      </c>
      <c r="AI785" s="74" t="s">
        <v>27796</v>
      </c>
      <c r="AJ785" s="120">
        <v>786.0</v>
      </c>
    </row>
    <row r="786">
      <c r="A786" s="74" t="s">
        <v>27797</v>
      </c>
      <c r="B786" s="74" t="s">
        <v>6876</v>
      </c>
      <c r="C786" s="74" t="s">
        <v>6877</v>
      </c>
      <c r="D786" s="74" t="s">
        <v>8493</v>
      </c>
      <c r="E786" s="146">
        <v>43858.0</v>
      </c>
      <c r="F786" s="74" t="s">
        <v>27799</v>
      </c>
      <c r="G786" s="74">
        <v>58.0</v>
      </c>
      <c r="H786" s="74">
        <v>2.0</v>
      </c>
      <c r="I786" s="74">
        <v>5.0</v>
      </c>
      <c r="J786" s="119"/>
      <c r="K786" s="119"/>
      <c r="L786" s="74" t="s">
        <v>2171</v>
      </c>
      <c r="M786" s="74" t="s">
        <v>2171</v>
      </c>
      <c r="N786" s="133">
        <v>43832.0</v>
      </c>
      <c r="O786" s="74">
        <v>1.0</v>
      </c>
      <c r="P786" s="74">
        <v>1.0</v>
      </c>
      <c r="Q786" s="119"/>
      <c r="R786" s="74" t="s">
        <v>27642</v>
      </c>
      <c r="S786" s="119"/>
      <c r="T786" s="146">
        <v>43854.0</v>
      </c>
      <c r="U786" s="74">
        <v>33.91</v>
      </c>
      <c r="V786" s="74">
        <v>34.36</v>
      </c>
      <c r="W786" s="119"/>
      <c r="X786" s="119"/>
      <c r="Y786" s="146">
        <v>43854.0</v>
      </c>
      <c r="Z786" s="74">
        <v>35.75</v>
      </c>
      <c r="AA786" s="74">
        <v>36.13</v>
      </c>
      <c r="AB786" s="119"/>
      <c r="AC786" s="119"/>
      <c r="AD786" s="119"/>
      <c r="AE786" s="74">
        <v>1.0</v>
      </c>
      <c r="AF786" s="74" t="s">
        <v>18902</v>
      </c>
      <c r="AG786" s="120">
        <v>7618.0</v>
      </c>
      <c r="AH786" s="74" t="s">
        <v>27805</v>
      </c>
      <c r="AI786" s="74" t="s">
        <v>27806</v>
      </c>
      <c r="AJ786" s="120">
        <v>787.0</v>
      </c>
    </row>
    <row r="787">
      <c r="A787" s="74" t="s">
        <v>27807</v>
      </c>
      <c r="B787" s="74" t="s">
        <v>6876</v>
      </c>
      <c r="C787" s="74" t="s">
        <v>6877</v>
      </c>
      <c r="D787" s="74" t="s">
        <v>8493</v>
      </c>
      <c r="E787" s="146">
        <v>43858.0</v>
      </c>
      <c r="F787" s="74" t="s">
        <v>27810</v>
      </c>
      <c r="G787" s="74">
        <v>58.0</v>
      </c>
      <c r="H787" s="74">
        <v>2.0</v>
      </c>
      <c r="I787" s="74">
        <v>10.0</v>
      </c>
      <c r="J787" s="119"/>
      <c r="K787" s="119"/>
      <c r="L787" s="74" t="s">
        <v>2163</v>
      </c>
      <c r="M787" s="74" t="s">
        <v>2163</v>
      </c>
      <c r="N787" s="133">
        <v>43832.0</v>
      </c>
      <c r="O787" s="74">
        <v>1.0</v>
      </c>
      <c r="P787" s="74">
        <v>1.0</v>
      </c>
      <c r="Q787" s="119"/>
      <c r="R787" s="74" t="s">
        <v>27642</v>
      </c>
      <c r="S787" s="119"/>
      <c r="T787" s="146">
        <v>43854.0</v>
      </c>
      <c r="U787" s="74">
        <v>32.93</v>
      </c>
      <c r="V787" s="74">
        <v>32.7</v>
      </c>
      <c r="W787" s="119"/>
      <c r="X787" s="119"/>
      <c r="Y787" s="146">
        <v>43854.0</v>
      </c>
      <c r="Z787" s="74">
        <v>38.37</v>
      </c>
      <c r="AA787" s="74">
        <v>40.0</v>
      </c>
      <c r="AB787" s="119"/>
      <c r="AC787" s="119"/>
      <c r="AD787" s="119"/>
      <c r="AE787" s="74">
        <v>1.0</v>
      </c>
      <c r="AF787" s="74" t="s">
        <v>18902</v>
      </c>
      <c r="AG787" s="120">
        <v>7619.0</v>
      </c>
      <c r="AH787" s="74" t="s">
        <v>27816</v>
      </c>
      <c r="AI787" s="74" t="s">
        <v>27817</v>
      </c>
      <c r="AJ787" s="120">
        <v>788.0</v>
      </c>
    </row>
    <row r="788">
      <c r="A788" s="74" t="s">
        <v>27810</v>
      </c>
      <c r="B788" s="74" t="s">
        <v>6876</v>
      </c>
      <c r="C788" s="74" t="s">
        <v>6877</v>
      </c>
      <c r="D788" s="74" t="s">
        <v>8493</v>
      </c>
      <c r="E788" s="146">
        <v>43858.0</v>
      </c>
      <c r="F788" s="74" t="s">
        <v>27820</v>
      </c>
      <c r="G788" s="74">
        <v>58.0</v>
      </c>
      <c r="H788" s="74">
        <v>2.0</v>
      </c>
      <c r="I788" s="74">
        <v>99.0</v>
      </c>
      <c r="J788" s="119"/>
      <c r="K788" s="119"/>
      <c r="L788" s="74" t="s">
        <v>2167</v>
      </c>
      <c r="M788" s="74" t="s">
        <v>2167</v>
      </c>
      <c r="N788" s="133">
        <v>43832.0</v>
      </c>
      <c r="O788" s="74">
        <v>1.0</v>
      </c>
      <c r="P788" s="74">
        <v>1.0</v>
      </c>
      <c r="Q788" s="119"/>
      <c r="R788" s="74" t="s">
        <v>27642</v>
      </c>
      <c r="S788" s="119"/>
      <c r="T788" s="146">
        <v>43854.0</v>
      </c>
      <c r="U788" s="74">
        <v>9999.0</v>
      </c>
      <c r="V788" s="74">
        <v>9999.0</v>
      </c>
      <c r="W788" s="119"/>
      <c r="X788" s="119"/>
      <c r="Y788" s="146">
        <v>43854.0</v>
      </c>
      <c r="Z788" s="74">
        <v>9999.0</v>
      </c>
      <c r="AA788" s="74">
        <v>9999.0</v>
      </c>
      <c r="AB788" s="119"/>
      <c r="AC788" s="119"/>
      <c r="AD788" s="74" t="s">
        <v>27826</v>
      </c>
      <c r="AE788" s="74">
        <v>1.0</v>
      </c>
      <c r="AF788" s="74" t="s">
        <v>18902</v>
      </c>
      <c r="AG788" s="120">
        <v>7620.0</v>
      </c>
      <c r="AH788" s="74" t="s">
        <v>27828</v>
      </c>
      <c r="AI788" s="74" t="s">
        <v>27829</v>
      </c>
      <c r="AJ788" s="120">
        <v>789.0</v>
      </c>
    </row>
    <row r="789">
      <c r="A789" s="74" t="s">
        <v>27820</v>
      </c>
      <c r="B789" s="74" t="s">
        <v>6876</v>
      </c>
      <c r="C789" s="74" t="s">
        <v>6877</v>
      </c>
      <c r="D789" s="74" t="s">
        <v>8493</v>
      </c>
      <c r="E789" s="146">
        <v>43858.0</v>
      </c>
      <c r="F789" s="74" t="s">
        <v>27833</v>
      </c>
      <c r="G789" s="74">
        <v>33.0</v>
      </c>
      <c r="H789" s="74">
        <v>1.0</v>
      </c>
      <c r="I789" s="74">
        <v>98.0</v>
      </c>
      <c r="J789" s="119"/>
      <c r="K789" s="119"/>
      <c r="L789" s="74" t="s">
        <v>2179</v>
      </c>
      <c r="M789" s="74" t="s">
        <v>2179</v>
      </c>
      <c r="N789" s="133">
        <v>43832.0</v>
      </c>
      <c r="O789" s="74">
        <v>1.0</v>
      </c>
      <c r="P789" s="74">
        <v>1.0</v>
      </c>
      <c r="Q789" s="119"/>
      <c r="R789" s="74" t="s">
        <v>27642</v>
      </c>
      <c r="S789" s="119"/>
      <c r="T789" s="146">
        <v>43854.0</v>
      </c>
      <c r="U789" s="74">
        <v>9999.0</v>
      </c>
      <c r="V789" s="74">
        <v>9999.0</v>
      </c>
      <c r="W789" s="119"/>
      <c r="X789" s="119"/>
      <c r="Y789" s="146">
        <v>43854.0</v>
      </c>
      <c r="Z789" s="74">
        <v>9999.0</v>
      </c>
      <c r="AA789" s="74">
        <v>9999.0</v>
      </c>
      <c r="AB789" s="119"/>
      <c r="AC789" s="119"/>
      <c r="AD789" s="119"/>
      <c r="AE789" s="74">
        <v>1.0</v>
      </c>
      <c r="AF789" s="74" t="s">
        <v>18902</v>
      </c>
      <c r="AG789" s="120">
        <v>7621.0</v>
      </c>
      <c r="AH789" s="74" t="s">
        <v>27840</v>
      </c>
      <c r="AI789" s="74" t="s">
        <v>27842</v>
      </c>
      <c r="AJ789" s="120">
        <v>790.0</v>
      </c>
    </row>
    <row r="790">
      <c r="A790" s="74" t="s">
        <v>27833</v>
      </c>
      <c r="B790" s="74" t="s">
        <v>6876</v>
      </c>
      <c r="C790" s="74" t="s">
        <v>6877</v>
      </c>
      <c r="D790" s="74" t="s">
        <v>8493</v>
      </c>
      <c r="E790" s="146">
        <v>43858.0</v>
      </c>
      <c r="F790" s="74" t="s">
        <v>27844</v>
      </c>
      <c r="G790" s="74">
        <v>55.0</v>
      </c>
      <c r="H790" s="74">
        <v>1.0</v>
      </c>
      <c r="I790" s="74">
        <v>99.0</v>
      </c>
      <c r="J790" s="119"/>
      <c r="K790" s="119"/>
      <c r="L790" s="74" t="s">
        <v>2146</v>
      </c>
      <c r="M790" s="74" t="s">
        <v>2146</v>
      </c>
      <c r="N790" s="133">
        <v>43832.0</v>
      </c>
      <c r="O790" s="74">
        <v>1.0</v>
      </c>
      <c r="P790" s="74">
        <v>1.0</v>
      </c>
      <c r="Q790" s="119"/>
      <c r="R790" s="74" t="s">
        <v>27642</v>
      </c>
      <c r="S790" s="119"/>
      <c r="T790" s="146">
        <v>43854.0</v>
      </c>
      <c r="U790" s="74">
        <v>9999.0</v>
      </c>
      <c r="V790" s="74">
        <v>9999.0</v>
      </c>
      <c r="W790" s="119"/>
      <c r="X790" s="119"/>
      <c r="Y790" s="146">
        <v>43854.0</v>
      </c>
      <c r="Z790" s="74">
        <v>9999.0</v>
      </c>
      <c r="AA790" s="74">
        <v>9999.0</v>
      </c>
      <c r="AB790" s="119"/>
      <c r="AC790" s="119"/>
      <c r="AD790" s="74" t="s">
        <v>27850</v>
      </c>
      <c r="AE790" s="74">
        <v>1.0</v>
      </c>
      <c r="AF790" s="74" t="s">
        <v>18902</v>
      </c>
      <c r="AG790" s="120">
        <v>7622.0</v>
      </c>
      <c r="AH790" s="74" t="s">
        <v>27853</v>
      </c>
      <c r="AI790" s="74" t="s">
        <v>27855</v>
      </c>
      <c r="AJ790" s="120">
        <v>791.0</v>
      </c>
    </row>
    <row r="791">
      <c r="A791" s="74" t="s">
        <v>27856</v>
      </c>
      <c r="B791" s="74" t="s">
        <v>6876</v>
      </c>
      <c r="C791" s="74" t="s">
        <v>6877</v>
      </c>
      <c r="D791" s="74" t="s">
        <v>8493</v>
      </c>
      <c r="E791" s="146">
        <v>43865.0</v>
      </c>
      <c r="F791" s="74" t="s">
        <v>27858</v>
      </c>
      <c r="G791" s="74">
        <v>59.0</v>
      </c>
      <c r="H791" s="74">
        <v>1.0</v>
      </c>
      <c r="I791" s="74">
        <v>11.0</v>
      </c>
      <c r="J791" s="119"/>
      <c r="K791" s="119"/>
      <c r="L791" s="74" t="s">
        <v>2291</v>
      </c>
      <c r="M791" s="74" t="s">
        <v>2291</v>
      </c>
      <c r="N791" s="133">
        <v>43832.0</v>
      </c>
      <c r="O791" s="74">
        <v>1.0</v>
      </c>
      <c r="P791" s="74">
        <v>1.0</v>
      </c>
      <c r="Q791" s="119"/>
      <c r="R791" s="74" t="s">
        <v>27864</v>
      </c>
      <c r="S791" s="119"/>
      <c r="T791" s="146">
        <v>43864.0</v>
      </c>
      <c r="U791" s="74">
        <v>29.09</v>
      </c>
      <c r="V791" s="74">
        <v>9999.0</v>
      </c>
      <c r="W791" s="119"/>
      <c r="X791" s="119"/>
      <c r="Y791" s="146">
        <v>43864.0</v>
      </c>
      <c r="Z791" s="74">
        <v>40.0</v>
      </c>
      <c r="AA791" s="74">
        <v>0.0</v>
      </c>
      <c r="AB791" s="119"/>
      <c r="AC791" s="119"/>
      <c r="AD791" s="119"/>
      <c r="AE791" s="74">
        <v>1.0</v>
      </c>
      <c r="AF791" s="74" t="s">
        <v>18902</v>
      </c>
      <c r="AG791" s="120">
        <v>7670.0</v>
      </c>
      <c r="AH791" s="74" t="s">
        <v>27868</v>
      </c>
      <c r="AI791" s="74" t="s">
        <v>27869</v>
      </c>
      <c r="AJ791" s="120">
        <v>792.0</v>
      </c>
    </row>
    <row r="792">
      <c r="A792" s="74" t="s">
        <v>27858</v>
      </c>
      <c r="B792" s="74" t="s">
        <v>6876</v>
      </c>
      <c r="C792" s="74" t="s">
        <v>6877</v>
      </c>
      <c r="D792" s="74" t="s">
        <v>8493</v>
      </c>
      <c r="E792" s="146">
        <v>43865.0</v>
      </c>
      <c r="F792" s="74" t="s">
        <v>27871</v>
      </c>
      <c r="G792" s="74">
        <v>59.0</v>
      </c>
      <c r="H792" s="74">
        <v>1.0</v>
      </c>
      <c r="I792" s="74">
        <v>99.0</v>
      </c>
      <c r="J792" s="119"/>
      <c r="K792" s="119"/>
      <c r="L792" s="74" t="s">
        <v>2301</v>
      </c>
      <c r="M792" s="74" t="s">
        <v>2301</v>
      </c>
      <c r="N792" s="133">
        <v>43832.0</v>
      </c>
      <c r="O792" s="74">
        <v>1.0</v>
      </c>
      <c r="P792" s="74">
        <v>1.0</v>
      </c>
      <c r="Q792" s="119"/>
      <c r="R792" s="74" t="s">
        <v>27864</v>
      </c>
      <c r="S792" s="119"/>
      <c r="T792" s="146">
        <v>43864.0</v>
      </c>
      <c r="U792" s="74">
        <v>9999.0</v>
      </c>
      <c r="V792" s="74">
        <v>9999.0</v>
      </c>
      <c r="W792" s="119"/>
      <c r="X792" s="119"/>
      <c r="Y792" s="146">
        <v>43864.0</v>
      </c>
      <c r="Z792" s="74">
        <v>9999.0</v>
      </c>
      <c r="AA792" s="74">
        <v>9999.0</v>
      </c>
      <c r="AB792" s="119"/>
      <c r="AC792" s="119"/>
      <c r="AD792" s="74" t="s">
        <v>21205</v>
      </c>
      <c r="AE792" s="74">
        <v>1.0</v>
      </c>
      <c r="AF792" s="74" t="s">
        <v>18902</v>
      </c>
      <c r="AG792" s="120">
        <v>7671.0</v>
      </c>
      <c r="AH792" s="74" t="s">
        <v>27877</v>
      </c>
      <c r="AI792" s="74" t="s">
        <v>27878</v>
      </c>
      <c r="AJ792" s="120">
        <v>793.0</v>
      </c>
    </row>
    <row r="793">
      <c r="A793" s="74" t="s">
        <v>27871</v>
      </c>
      <c r="B793" s="74" t="s">
        <v>6876</v>
      </c>
      <c r="C793" s="74" t="s">
        <v>6877</v>
      </c>
      <c r="D793" s="74" t="s">
        <v>8493</v>
      </c>
      <c r="E793" s="146">
        <v>43865.0</v>
      </c>
      <c r="F793" s="74" t="s">
        <v>27881</v>
      </c>
      <c r="G793" s="74">
        <v>58.0</v>
      </c>
      <c r="H793" s="74">
        <v>2.0</v>
      </c>
      <c r="I793" s="74">
        <v>9.0</v>
      </c>
      <c r="J793" s="119"/>
      <c r="K793" s="119"/>
      <c r="L793" s="74" t="s">
        <v>2180</v>
      </c>
      <c r="M793" s="74" t="s">
        <v>2180</v>
      </c>
      <c r="N793" s="133">
        <v>43832.0</v>
      </c>
      <c r="O793" s="74">
        <v>1.0</v>
      </c>
      <c r="P793" s="74">
        <v>1.0</v>
      </c>
      <c r="Q793" s="119"/>
      <c r="R793" s="74" t="s">
        <v>27864</v>
      </c>
      <c r="S793" s="119"/>
      <c r="T793" s="146">
        <v>43864.0</v>
      </c>
      <c r="U793" s="74">
        <v>36.81</v>
      </c>
      <c r="V793" s="74">
        <v>9999.0</v>
      </c>
      <c r="W793" s="119"/>
      <c r="X793" s="119"/>
      <c r="Y793" s="146">
        <v>43864.0</v>
      </c>
      <c r="Z793" s="74">
        <v>36.79</v>
      </c>
      <c r="AA793" s="74">
        <v>9999.0</v>
      </c>
      <c r="AB793" s="119"/>
      <c r="AC793" s="119"/>
      <c r="AD793" s="119"/>
      <c r="AE793" s="74">
        <v>1.0</v>
      </c>
      <c r="AF793" s="74" t="s">
        <v>18902</v>
      </c>
      <c r="AG793" s="120">
        <v>7672.0</v>
      </c>
      <c r="AH793" s="74" t="s">
        <v>27887</v>
      </c>
      <c r="AI793" s="74" t="s">
        <v>27888</v>
      </c>
      <c r="AJ793" s="120">
        <v>794.0</v>
      </c>
    </row>
    <row r="794">
      <c r="A794" s="74" t="s">
        <v>27881</v>
      </c>
      <c r="B794" s="74" t="s">
        <v>6876</v>
      </c>
      <c r="C794" s="74" t="s">
        <v>6877</v>
      </c>
      <c r="D794" s="74" t="s">
        <v>8493</v>
      </c>
      <c r="E794" s="146">
        <v>43865.0</v>
      </c>
      <c r="F794" s="74" t="s">
        <v>27891</v>
      </c>
      <c r="G794" s="74">
        <v>58.0</v>
      </c>
      <c r="H794" s="74">
        <v>2.0</v>
      </c>
      <c r="I794" s="74">
        <v>8.0</v>
      </c>
      <c r="J794" s="119"/>
      <c r="K794" s="119"/>
      <c r="L794" s="74" t="s">
        <v>2183</v>
      </c>
      <c r="M794" s="74" t="s">
        <v>2183</v>
      </c>
      <c r="N794" s="133">
        <v>43832.0</v>
      </c>
      <c r="O794" s="74">
        <v>1.0</v>
      </c>
      <c r="P794" s="74">
        <v>1.0</v>
      </c>
      <c r="Q794" s="119"/>
      <c r="R794" s="74" t="s">
        <v>27864</v>
      </c>
      <c r="S794" s="119"/>
      <c r="T794" s="146">
        <v>43864.0</v>
      </c>
      <c r="U794" s="74">
        <v>9999.0</v>
      </c>
      <c r="V794" s="74">
        <v>9999.0</v>
      </c>
      <c r="W794" s="119"/>
      <c r="X794" s="119"/>
      <c r="Y794" s="146">
        <v>43864.0</v>
      </c>
      <c r="Z794" s="74">
        <v>36.44</v>
      </c>
      <c r="AA794" s="74">
        <v>9999.0</v>
      </c>
      <c r="AB794" s="119"/>
      <c r="AC794" s="119"/>
      <c r="AD794" s="119"/>
      <c r="AE794" s="74">
        <v>1.0</v>
      </c>
      <c r="AF794" s="74" t="s">
        <v>18902</v>
      </c>
      <c r="AG794" s="120">
        <v>7673.0</v>
      </c>
      <c r="AH794" s="74" t="s">
        <v>27898</v>
      </c>
      <c r="AI794" s="74" t="s">
        <v>27899</v>
      </c>
      <c r="AJ794" s="120">
        <v>795.0</v>
      </c>
    </row>
    <row r="795">
      <c r="A795" s="74" t="s">
        <v>27902</v>
      </c>
      <c r="B795" s="74" t="s">
        <v>6876</v>
      </c>
      <c r="C795" s="74" t="s">
        <v>6877</v>
      </c>
      <c r="D795" s="74" t="s">
        <v>8493</v>
      </c>
      <c r="E795" s="146">
        <v>43865.0</v>
      </c>
      <c r="F795" s="74" t="s">
        <v>27904</v>
      </c>
      <c r="G795" s="74">
        <v>55.0</v>
      </c>
      <c r="H795" s="74">
        <v>1.0</v>
      </c>
      <c r="I795" s="74">
        <v>12.0</v>
      </c>
      <c r="J795" s="119"/>
      <c r="K795" s="119"/>
      <c r="L795" s="74" t="s">
        <v>2347</v>
      </c>
      <c r="M795" s="74" t="s">
        <v>2347</v>
      </c>
      <c r="N795" s="133">
        <v>43832.0</v>
      </c>
      <c r="O795" s="74">
        <v>1.0</v>
      </c>
      <c r="P795" s="74">
        <v>1.0</v>
      </c>
      <c r="Q795" s="119"/>
      <c r="R795" s="74" t="s">
        <v>27864</v>
      </c>
      <c r="S795" s="119"/>
      <c r="T795" s="146">
        <v>43864.0</v>
      </c>
      <c r="U795" s="74">
        <v>24.57</v>
      </c>
      <c r="V795" s="74">
        <v>24.11</v>
      </c>
      <c r="W795" s="119"/>
      <c r="X795" s="119"/>
      <c r="Y795" s="146">
        <v>43864.0</v>
      </c>
      <c r="Z795" s="74">
        <v>32.79</v>
      </c>
      <c r="AA795" s="74">
        <v>32.66</v>
      </c>
      <c r="AB795" s="119"/>
      <c r="AC795" s="119"/>
      <c r="AD795" s="119"/>
      <c r="AE795" s="74">
        <v>1.0</v>
      </c>
      <c r="AF795" s="74" t="s">
        <v>18902</v>
      </c>
      <c r="AG795" s="120">
        <v>7674.0</v>
      </c>
      <c r="AH795" s="74" t="s">
        <v>27910</v>
      </c>
      <c r="AI795" s="74" t="s">
        <v>27912</v>
      </c>
      <c r="AJ795" s="120">
        <v>796.0</v>
      </c>
    </row>
    <row r="796">
      <c r="A796" s="74" t="s">
        <v>27904</v>
      </c>
      <c r="B796" s="74" t="s">
        <v>6876</v>
      </c>
      <c r="C796" s="74" t="s">
        <v>6877</v>
      </c>
      <c r="D796" s="74" t="s">
        <v>8493</v>
      </c>
      <c r="E796" s="146">
        <v>43865.0</v>
      </c>
      <c r="F796" s="74" t="s">
        <v>27914</v>
      </c>
      <c r="G796" s="74">
        <v>57.0</v>
      </c>
      <c r="H796" s="74">
        <v>1.0</v>
      </c>
      <c r="I796" s="74">
        <v>12.0</v>
      </c>
      <c r="J796" s="119"/>
      <c r="K796" s="119"/>
      <c r="L796" s="74" t="s">
        <v>2379</v>
      </c>
      <c r="M796" s="74" t="s">
        <v>2379</v>
      </c>
      <c r="N796" s="133">
        <v>43832.0</v>
      </c>
      <c r="O796" s="74">
        <v>1.0</v>
      </c>
      <c r="P796" s="74">
        <v>1.0</v>
      </c>
      <c r="Q796" s="119"/>
      <c r="R796" s="74" t="s">
        <v>27864</v>
      </c>
      <c r="S796" s="119"/>
      <c r="T796" s="146">
        <v>43864.0</v>
      </c>
      <c r="U796" s="74">
        <v>26.42</v>
      </c>
      <c r="V796" s="74">
        <v>26.48</v>
      </c>
      <c r="W796" s="119"/>
      <c r="X796" s="119"/>
      <c r="Y796" s="146">
        <v>43864.0</v>
      </c>
      <c r="Z796" s="74">
        <v>36.83</v>
      </c>
      <c r="AA796" s="74">
        <v>9999.0</v>
      </c>
      <c r="AB796" s="119"/>
      <c r="AC796" s="119"/>
      <c r="AD796" s="119"/>
      <c r="AE796" s="74">
        <v>1.0</v>
      </c>
      <c r="AF796" s="74" t="s">
        <v>18902</v>
      </c>
      <c r="AG796" s="120">
        <v>7675.0</v>
      </c>
      <c r="AH796" s="74" t="s">
        <v>27921</v>
      </c>
      <c r="AI796" s="74" t="s">
        <v>27922</v>
      </c>
      <c r="AJ796" s="120">
        <v>797.0</v>
      </c>
    </row>
    <row r="797">
      <c r="A797" s="74" t="s">
        <v>27914</v>
      </c>
      <c r="B797" s="74" t="s">
        <v>6876</v>
      </c>
      <c r="C797" s="74" t="s">
        <v>6877</v>
      </c>
      <c r="D797" s="74" t="s">
        <v>8493</v>
      </c>
      <c r="E797" s="146">
        <v>43865.0</v>
      </c>
      <c r="F797" s="74" t="s">
        <v>27925</v>
      </c>
      <c r="G797" s="74">
        <v>57.0</v>
      </c>
      <c r="H797" s="74">
        <v>1.0</v>
      </c>
      <c r="I797" s="74">
        <v>12.0</v>
      </c>
      <c r="J797" s="119"/>
      <c r="K797" s="119"/>
      <c r="L797" s="74" t="s">
        <v>2408</v>
      </c>
      <c r="M797" s="74" t="s">
        <v>2408</v>
      </c>
      <c r="N797" s="133">
        <v>43832.0</v>
      </c>
      <c r="O797" s="74">
        <v>1.0</v>
      </c>
      <c r="P797" s="74">
        <v>1.0</v>
      </c>
      <c r="Q797" s="119"/>
      <c r="R797" s="74" t="s">
        <v>27864</v>
      </c>
      <c r="S797" s="119"/>
      <c r="T797" s="146">
        <v>43864.0</v>
      </c>
      <c r="U797" s="74">
        <v>24.0</v>
      </c>
      <c r="V797" s="74">
        <v>24.87</v>
      </c>
      <c r="W797" s="119"/>
      <c r="X797" s="119"/>
      <c r="Y797" s="146">
        <v>43864.0</v>
      </c>
      <c r="Z797" s="74">
        <v>33.42</v>
      </c>
      <c r="AA797" s="74">
        <v>33.29</v>
      </c>
      <c r="AB797" s="119"/>
      <c r="AC797" s="119"/>
      <c r="AD797" s="119"/>
      <c r="AE797" s="74">
        <v>1.0</v>
      </c>
      <c r="AF797" s="74" t="s">
        <v>18902</v>
      </c>
      <c r="AG797" s="120">
        <v>7676.0</v>
      </c>
      <c r="AH797" s="74" t="s">
        <v>27931</v>
      </c>
      <c r="AI797" s="74" t="s">
        <v>27932</v>
      </c>
      <c r="AJ797" s="120">
        <v>798.0</v>
      </c>
    </row>
    <row r="798">
      <c r="A798" s="74" t="s">
        <v>27925</v>
      </c>
      <c r="B798" s="74" t="s">
        <v>6876</v>
      </c>
      <c r="C798" s="74" t="s">
        <v>6877</v>
      </c>
      <c r="D798" s="74" t="s">
        <v>8493</v>
      </c>
      <c r="E798" s="146">
        <v>43865.0</v>
      </c>
      <c r="F798" s="74" t="s">
        <v>27934</v>
      </c>
      <c r="G798" s="74">
        <v>57.0</v>
      </c>
      <c r="H798" s="74">
        <v>1.0</v>
      </c>
      <c r="I798" s="74">
        <v>99.0</v>
      </c>
      <c r="J798" s="119"/>
      <c r="K798" s="119"/>
      <c r="L798" s="74" t="s">
        <v>2415</v>
      </c>
      <c r="M798" s="74" t="s">
        <v>2415</v>
      </c>
      <c r="N798" s="74">
        <v>1.0</v>
      </c>
      <c r="O798" s="74">
        <v>1.0</v>
      </c>
      <c r="P798" s="74">
        <v>0.0</v>
      </c>
      <c r="Q798" s="119"/>
      <c r="R798" s="74" t="s">
        <v>27936</v>
      </c>
      <c r="S798" s="119"/>
      <c r="T798" s="146">
        <v>43864.0</v>
      </c>
      <c r="U798" s="74">
        <v>9999.0</v>
      </c>
      <c r="V798" s="74">
        <v>9999.0</v>
      </c>
      <c r="W798" s="119"/>
      <c r="X798" s="119"/>
      <c r="Y798" s="119"/>
      <c r="Z798" s="119"/>
      <c r="AA798" s="119"/>
      <c r="AB798" s="119"/>
      <c r="AC798" s="119"/>
      <c r="AD798" s="74" t="s">
        <v>21237</v>
      </c>
      <c r="AE798" s="74">
        <v>1.0</v>
      </c>
      <c r="AF798" s="74" t="s">
        <v>18902</v>
      </c>
      <c r="AG798" s="120">
        <v>7677.0</v>
      </c>
      <c r="AH798" s="74" t="s">
        <v>27940</v>
      </c>
      <c r="AI798" s="74" t="s">
        <v>27941</v>
      </c>
      <c r="AJ798" s="120">
        <v>799.0</v>
      </c>
    </row>
    <row r="799">
      <c r="A799" s="74" t="s">
        <v>27934</v>
      </c>
      <c r="B799" s="74" t="s">
        <v>6876</v>
      </c>
      <c r="C799" s="74" t="s">
        <v>6877</v>
      </c>
      <c r="D799" s="74" t="s">
        <v>8493</v>
      </c>
      <c r="E799" s="146">
        <v>43865.0</v>
      </c>
      <c r="F799" s="74" t="s">
        <v>27944</v>
      </c>
      <c r="G799" s="74">
        <v>57.0</v>
      </c>
      <c r="H799" s="74">
        <v>1.0</v>
      </c>
      <c r="I799" s="74">
        <v>16.0</v>
      </c>
      <c r="J799" s="119"/>
      <c r="K799" s="119"/>
      <c r="L799" s="74" t="s">
        <v>2435</v>
      </c>
      <c r="M799" s="74" t="s">
        <v>2435</v>
      </c>
      <c r="N799" s="133">
        <v>43832.0</v>
      </c>
      <c r="O799" s="74">
        <v>1.0</v>
      </c>
      <c r="P799" s="74">
        <v>1.0</v>
      </c>
      <c r="Q799" s="119"/>
      <c r="R799" s="74" t="s">
        <v>27864</v>
      </c>
      <c r="S799" s="119"/>
      <c r="T799" s="146">
        <v>43864.0</v>
      </c>
      <c r="U799" s="74">
        <v>30.85</v>
      </c>
      <c r="V799" s="74">
        <v>9999.0</v>
      </c>
      <c r="W799" s="119"/>
      <c r="X799" s="119"/>
      <c r="Y799" s="146">
        <v>43864.0</v>
      </c>
      <c r="Z799" s="74">
        <v>36.02</v>
      </c>
      <c r="AA799" s="74">
        <v>36.81</v>
      </c>
      <c r="AB799" s="119"/>
      <c r="AC799" s="119"/>
      <c r="AD799" s="119"/>
      <c r="AE799" s="74">
        <v>1.0</v>
      </c>
      <c r="AF799" s="74" t="s">
        <v>18902</v>
      </c>
      <c r="AG799" s="120">
        <v>7678.0</v>
      </c>
      <c r="AH799" s="74" t="s">
        <v>27950</v>
      </c>
      <c r="AI799" s="74" t="s">
        <v>27951</v>
      </c>
      <c r="AJ799" s="120">
        <v>800.0</v>
      </c>
    </row>
    <row r="800">
      <c r="A800" s="74" t="s">
        <v>27944</v>
      </c>
      <c r="B800" s="74" t="s">
        <v>6876</v>
      </c>
      <c r="C800" s="74" t="s">
        <v>6877</v>
      </c>
      <c r="D800" s="74" t="s">
        <v>8493</v>
      </c>
      <c r="E800" s="146">
        <v>43865.0</v>
      </c>
      <c r="F800" s="74" t="s">
        <v>27954</v>
      </c>
      <c r="G800" s="74">
        <v>33.0</v>
      </c>
      <c r="H800" s="74">
        <v>1.0</v>
      </c>
      <c r="I800" s="74">
        <v>98.0</v>
      </c>
      <c r="J800" s="119"/>
      <c r="K800" s="119"/>
      <c r="L800" s="74" t="s">
        <v>2464</v>
      </c>
      <c r="M800" s="74" t="s">
        <v>2464</v>
      </c>
      <c r="N800" s="133">
        <v>43832.0</v>
      </c>
      <c r="O800" s="74">
        <v>1.0</v>
      </c>
      <c r="P800" s="74">
        <v>1.0</v>
      </c>
      <c r="Q800" s="119"/>
      <c r="R800" s="74" t="s">
        <v>27864</v>
      </c>
      <c r="S800" s="119"/>
      <c r="T800" s="146">
        <v>43864.0</v>
      </c>
      <c r="U800" s="74">
        <v>9999.0</v>
      </c>
      <c r="V800" s="74">
        <v>9999.0</v>
      </c>
      <c r="W800" s="119"/>
      <c r="X800" s="119"/>
      <c r="Y800" s="146">
        <v>43864.0</v>
      </c>
      <c r="Z800" s="74">
        <v>9999.0</v>
      </c>
      <c r="AA800" s="74">
        <v>9999.0</v>
      </c>
      <c r="AB800" s="119"/>
      <c r="AC800" s="119"/>
      <c r="AD800" s="119"/>
      <c r="AE800" s="74">
        <v>1.0</v>
      </c>
      <c r="AF800" s="74" t="s">
        <v>18902</v>
      </c>
      <c r="AG800" s="120">
        <v>7679.0</v>
      </c>
      <c r="AH800" s="74" t="s">
        <v>27960</v>
      </c>
      <c r="AI800" s="74" t="s">
        <v>27961</v>
      </c>
      <c r="AJ800" s="120">
        <v>801.0</v>
      </c>
    </row>
    <row r="801">
      <c r="A801" s="50" t="s">
        <v>27965</v>
      </c>
      <c r="B801" s="50" t="s">
        <v>6876</v>
      </c>
      <c r="C801" s="50" t="s">
        <v>6877</v>
      </c>
      <c r="D801" s="50" t="s">
        <v>8493</v>
      </c>
      <c r="E801" s="144">
        <v>43888.0</v>
      </c>
      <c r="F801" s="50" t="s">
        <v>27967</v>
      </c>
      <c r="G801" s="50">
        <v>59.0</v>
      </c>
      <c r="H801" s="50">
        <v>1.0</v>
      </c>
      <c r="I801" s="50">
        <v>11.0</v>
      </c>
      <c r="J801" s="116"/>
      <c r="K801" s="116"/>
      <c r="L801" s="50" t="s">
        <v>2471</v>
      </c>
      <c r="M801" s="50" t="s">
        <v>2471</v>
      </c>
      <c r="N801" s="122">
        <v>43832.0</v>
      </c>
      <c r="O801" s="50">
        <v>1.0</v>
      </c>
      <c r="P801" s="50">
        <v>1.0</v>
      </c>
      <c r="Q801" s="116"/>
      <c r="R801" s="50" t="s">
        <v>27971</v>
      </c>
      <c r="S801" s="116"/>
      <c r="T801" s="144">
        <v>43868.0</v>
      </c>
      <c r="U801" s="50">
        <v>28.89</v>
      </c>
      <c r="V801" s="50">
        <v>28.89</v>
      </c>
      <c r="W801" s="116"/>
      <c r="X801" s="116"/>
      <c r="Y801" s="144">
        <v>43868.0</v>
      </c>
      <c r="Z801" s="50">
        <v>36.36</v>
      </c>
      <c r="AA801" s="50">
        <v>34.8</v>
      </c>
      <c r="AB801" s="116"/>
      <c r="AC801" s="116"/>
      <c r="AD801" s="116"/>
      <c r="AE801" s="50">
        <v>1.0</v>
      </c>
      <c r="AF801" s="50" t="s">
        <v>18902</v>
      </c>
      <c r="AG801" s="117">
        <v>8348.0</v>
      </c>
      <c r="AH801" s="50" t="s">
        <v>27976</v>
      </c>
      <c r="AI801" s="50" t="s">
        <v>27978</v>
      </c>
      <c r="AJ801" s="117">
        <v>802.0</v>
      </c>
    </row>
    <row r="802">
      <c r="A802" s="50" t="s">
        <v>27979</v>
      </c>
      <c r="B802" s="50" t="s">
        <v>6876</v>
      </c>
      <c r="C802" s="50" t="s">
        <v>6877</v>
      </c>
      <c r="D802" s="50" t="s">
        <v>8493</v>
      </c>
      <c r="E802" s="144">
        <v>43888.0</v>
      </c>
      <c r="F802" s="50" t="s">
        <v>27981</v>
      </c>
      <c r="G802" s="50">
        <v>59.0</v>
      </c>
      <c r="H802" s="50">
        <v>1.0</v>
      </c>
      <c r="I802" s="50">
        <v>99.0</v>
      </c>
      <c r="J802" s="116"/>
      <c r="K802" s="116"/>
      <c r="L802" s="50" t="s">
        <v>2490</v>
      </c>
      <c r="M802" s="50" t="s">
        <v>2490</v>
      </c>
      <c r="N802" s="122">
        <v>43832.0</v>
      </c>
      <c r="O802" s="50">
        <v>1.0</v>
      </c>
      <c r="P802" s="50">
        <v>1.0</v>
      </c>
      <c r="Q802" s="116"/>
      <c r="R802" s="50" t="s">
        <v>27971</v>
      </c>
      <c r="S802" s="116"/>
      <c r="T802" s="144">
        <v>43868.0</v>
      </c>
      <c r="U802" s="50">
        <v>9999.0</v>
      </c>
      <c r="V802" s="50">
        <v>9999.0</v>
      </c>
      <c r="W802" s="116"/>
      <c r="X802" s="116"/>
      <c r="Y802" s="144">
        <v>43868.0</v>
      </c>
      <c r="Z802" s="50">
        <v>9999.0</v>
      </c>
      <c r="AA802" s="50">
        <v>9999.0</v>
      </c>
      <c r="AB802" s="116"/>
      <c r="AC802" s="116"/>
      <c r="AD802" s="50" t="s">
        <v>27989</v>
      </c>
      <c r="AE802" s="50">
        <v>1.0</v>
      </c>
      <c r="AF802" s="50" t="s">
        <v>18902</v>
      </c>
      <c r="AG802" s="117">
        <v>8349.0</v>
      </c>
      <c r="AH802" s="50" t="s">
        <v>27991</v>
      </c>
      <c r="AI802" s="50" t="s">
        <v>27992</v>
      </c>
      <c r="AJ802" s="117">
        <v>803.0</v>
      </c>
    </row>
    <row r="803">
      <c r="A803" s="50" t="s">
        <v>27993</v>
      </c>
      <c r="B803" s="50" t="s">
        <v>6876</v>
      </c>
      <c r="C803" s="50" t="s">
        <v>6877</v>
      </c>
      <c r="D803" s="50" t="s">
        <v>8493</v>
      </c>
      <c r="E803" s="144">
        <v>43888.0</v>
      </c>
      <c r="F803" s="50" t="s">
        <v>27995</v>
      </c>
      <c r="G803" s="50">
        <v>59.0</v>
      </c>
      <c r="H803" s="50">
        <v>1.0</v>
      </c>
      <c r="I803" s="50">
        <v>11.0</v>
      </c>
      <c r="J803" s="116"/>
      <c r="K803" s="116"/>
      <c r="L803" s="50" t="s">
        <v>2515</v>
      </c>
      <c r="M803" s="50" t="s">
        <v>2515</v>
      </c>
      <c r="N803" s="122">
        <v>43832.0</v>
      </c>
      <c r="O803" s="50">
        <v>1.0</v>
      </c>
      <c r="P803" s="50">
        <v>1.0</v>
      </c>
      <c r="Q803" s="116"/>
      <c r="R803" s="50" t="s">
        <v>27971</v>
      </c>
      <c r="S803" s="116"/>
      <c r="T803" s="144">
        <v>43868.0</v>
      </c>
      <c r="U803" s="50">
        <v>28.29</v>
      </c>
      <c r="V803" s="50">
        <v>28.7</v>
      </c>
      <c r="W803" s="116"/>
      <c r="X803" s="116"/>
      <c r="Y803" s="144">
        <v>43868.0</v>
      </c>
      <c r="Z803" s="50">
        <v>38.43</v>
      </c>
      <c r="AA803" s="50">
        <v>9999.0</v>
      </c>
      <c r="AB803" s="116"/>
      <c r="AC803" s="116"/>
      <c r="AD803" s="116"/>
      <c r="AE803" s="50">
        <v>1.0</v>
      </c>
      <c r="AF803" s="50" t="s">
        <v>18902</v>
      </c>
      <c r="AG803" s="117">
        <v>8350.0</v>
      </c>
      <c r="AH803" s="50" t="s">
        <v>27999</v>
      </c>
      <c r="AI803" s="50" t="s">
        <v>28001</v>
      </c>
      <c r="AJ803" s="117">
        <v>804.0</v>
      </c>
    </row>
    <row r="804">
      <c r="A804" s="50" t="s">
        <v>28002</v>
      </c>
      <c r="B804" s="50" t="s">
        <v>6876</v>
      </c>
      <c r="C804" s="50" t="s">
        <v>6877</v>
      </c>
      <c r="D804" s="50" t="s">
        <v>8493</v>
      </c>
      <c r="E804" s="144">
        <v>43888.0</v>
      </c>
      <c r="F804" s="50" t="s">
        <v>28005</v>
      </c>
      <c r="G804" s="50">
        <v>59.0</v>
      </c>
      <c r="H804" s="50">
        <v>1.0</v>
      </c>
      <c r="I804" s="50">
        <v>11.0</v>
      </c>
      <c r="J804" s="116"/>
      <c r="K804" s="116"/>
      <c r="L804" s="50" t="s">
        <v>2549</v>
      </c>
      <c r="M804" s="50" t="s">
        <v>2549</v>
      </c>
      <c r="N804" s="122">
        <v>43832.0</v>
      </c>
      <c r="O804" s="50">
        <v>1.0</v>
      </c>
      <c r="P804" s="50">
        <v>1.0</v>
      </c>
      <c r="Q804" s="116"/>
      <c r="R804" s="50" t="s">
        <v>27971</v>
      </c>
      <c r="S804" s="116"/>
      <c r="T804" s="144">
        <v>43868.0</v>
      </c>
      <c r="U804" s="50">
        <v>27.82</v>
      </c>
      <c r="V804" s="50">
        <v>28.04</v>
      </c>
      <c r="W804" s="116"/>
      <c r="X804" s="116"/>
      <c r="Y804" s="144">
        <v>43868.0</v>
      </c>
      <c r="Z804" s="50">
        <v>37.58</v>
      </c>
      <c r="AA804" s="50">
        <v>9999.0</v>
      </c>
      <c r="AB804" s="116"/>
      <c r="AC804" s="116"/>
      <c r="AD804" s="116"/>
      <c r="AE804" s="50">
        <v>1.0</v>
      </c>
      <c r="AF804" s="50" t="s">
        <v>18902</v>
      </c>
      <c r="AG804" s="117">
        <v>8351.0</v>
      </c>
      <c r="AH804" s="50" t="s">
        <v>28010</v>
      </c>
      <c r="AI804" s="50" t="s">
        <v>28012</v>
      </c>
      <c r="AJ804" s="117">
        <v>805.0</v>
      </c>
    </row>
    <row r="805">
      <c r="A805" s="50" t="s">
        <v>28014</v>
      </c>
      <c r="B805" s="50" t="s">
        <v>6876</v>
      </c>
      <c r="C805" s="50" t="s">
        <v>6877</v>
      </c>
      <c r="D805" s="50" t="s">
        <v>8493</v>
      </c>
      <c r="E805" s="144">
        <v>43888.0</v>
      </c>
      <c r="F805" s="50" t="s">
        <v>28016</v>
      </c>
      <c r="G805" s="50">
        <v>57.0</v>
      </c>
      <c r="H805" s="50">
        <v>1.0</v>
      </c>
      <c r="I805" s="50">
        <v>12.0</v>
      </c>
      <c r="J805" s="116"/>
      <c r="K805" s="116"/>
      <c r="L805" s="50" t="s">
        <v>2653</v>
      </c>
      <c r="M805" s="50" t="s">
        <v>2653</v>
      </c>
      <c r="N805" s="122">
        <v>43832.0</v>
      </c>
      <c r="O805" s="50">
        <v>1.0</v>
      </c>
      <c r="P805" s="50">
        <v>1.0</v>
      </c>
      <c r="Q805" s="116"/>
      <c r="R805" s="50" t="s">
        <v>27971</v>
      </c>
      <c r="S805" s="116"/>
      <c r="T805" s="144">
        <v>43868.0</v>
      </c>
      <c r="U805" s="50">
        <v>27.37</v>
      </c>
      <c r="V805" s="50">
        <v>9999.0</v>
      </c>
      <c r="W805" s="116"/>
      <c r="X805" s="116"/>
      <c r="Y805" s="144">
        <v>43868.0</v>
      </c>
      <c r="Z805" s="50">
        <v>40.0</v>
      </c>
      <c r="AA805" s="50">
        <v>9999.0</v>
      </c>
      <c r="AB805" s="116"/>
      <c r="AC805" s="116"/>
      <c r="AD805" s="116"/>
      <c r="AE805" s="50">
        <v>1.0</v>
      </c>
      <c r="AF805" s="50" t="s">
        <v>18902</v>
      </c>
      <c r="AG805" s="117">
        <v>8352.0</v>
      </c>
      <c r="AH805" s="50" t="s">
        <v>28019</v>
      </c>
      <c r="AI805" s="50" t="s">
        <v>28020</v>
      </c>
      <c r="AJ805" s="117">
        <v>806.0</v>
      </c>
    </row>
    <row r="806">
      <c r="A806" s="50" t="s">
        <v>28021</v>
      </c>
      <c r="B806" s="50" t="s">
        <v>6876</v>
      </c>
      <c r="C806" s="50" t="s">
        <v>6877</v>
      </c>
      <c r="D806" s="50" t="s">
        <v>8493</v>
      </c>
      <c r="E806" s="144">
        <v>43888.0</v>
      </c>
      <c r="F806" s="50" t="s">
        <v>28024</v>
      </c>
      <c r="G806" s="50">
        <v>57.0</v>
      </c>
      <c r="H806" s="50">
        <v>1.0</v>
      </c>
      <c r="I806" s="50">
        <v>12.0</v>
      </c>
      <c r="J806" s="116"/>
      <c r="K806" s="116"/>
      <c r="L806" s="50" t="s">
        <v>2681</v>
      </c>
      <c r="M806" s="50" t="s">
        <v>2681</v>
      </c>
      <c r="N806" s="122">
        <v>43832.0</v>
      </c>
      <c r="O806" s="50">
        <v>1.0</v>
      </c>
      <c r="P806" s="50">
        <v>1.0</v>
      </c>
      <c r="Q806" s="116"/>
      <c r="R806" s="50" t="s">
        <v>27971</v>
      </c>
      <c r="S806" s="116"/>
      <c r="T806" s="144">
        <v>43868.0</v>
      </c>
      <c r="U806" s="50">
        <v>24.03</v>
      </c>
      <c r="V806" s="50">
        <v>27.13</v>
      </c>
      <c r="W806" s="116"/>
      <c r="X806" s="116"/>
      <c r="Y806" s="144">
        <v>43868.0</v>
      </c>
      <c r="Z806" s="50">
        <v>32.26</v>
      </c>
      <c r="AA806" s="50">
        <v>9999.0</v>
      </c>
      <c r="AB806" s="116"/>
      <c r="AC806" s="116"/>
      <c r="AD806" s="116"/>
      <c r="AE806" s="50">
        <v>1.0</v>
      </c>
      <c r="AF806" s="50" t="s">
        <v>18902</v>
      </c>
      <c r="AG806" s="117">
        <v>8353.0</v>
      </c>
      <c r="AH806" s="50" t="s">
        <v>28032</v>
      </c>
      <c r="AI806" s="50" t="s">
        <v>28033</v>
      </c>
      <c r="AJ806" s="117">
        <v>807.0</v>
      </c>
    </row>
    <row r="807">
      <c r="A807" s="50" t="s">
        <v>28024</v>
      </c>
      <c r="B807" s="50" t="s">
        <v>6876</v>
      </c>
      <c r="C807" s="50" t="s">
        <v>6877</v>
      </c>
      <c r="D807" s="50" t="s">
        <v>8493</v>
      </c>
      <c r="E807" s="144">
        <v>43888.0</v>
      </c>
      <c r="F807" s="50" t="s">
        <v>28035</v>
      </c>
      <c r="G807" s="50">
        <v>55.0</v>
      </c>
      <c r="H807" s="50">
        <v>1.0</v>
      </c>
      <c r="I807" s="50">
        <v>12.0</v>
      </c>
      <c r="J807" s="116"/>
      <c r="K807" s="116"/>
      <c r="L807" s="50" t="s">
        <v>2708</v>
      </c>
      <c r="M807" s="50" t="s">
        <v>2708</v>
      </c>
      <c r="N807" s="122">
        <v>43832.0</v>
      </c>
      <c r="O807" s="50">
        <v>1.0</v>
      </c>
      <c r="P807" s="50">
        <v>1.0</v>
      </c>
      <c r="Q807" s="116"/>
      <c r="R807" s="50" t="s">
        <v>27971</v>
      </c>
      <c r="S807" s="116"/>
      <c r="T807" s="144">
        <v>43868.0</v>
      </c>
      <c r="U807" s="50">
        <v>9999.0</v>
      </c>
      <c r="V807" s="50">
        <v>9999.0</v>
      </c>
      <c r="W807" s="116"/>
      <c r="X807" s="116"/>
      <c r="Y807" s="144">
        <v>43868.0</v>
      </c>
      <c r="Z807" s="50">
        <v>33.2</v>
      </c>
      <c r="AA807" s="50">
        <v>9999.0</v>
      </c>
      <c r="AB807" s="116"/>
      <c r="AC807" s="116"/>
      <c r="AD807" s="116"/>
      <c r="AE807" s="50">
        <v>1.0</v>
      </c>
      <c r="AF807" s="50" t="s">
        <v>18902</v>
      </c>
      <c r="AG807" s="117">
        <v>8354.0</v>
      </c>
      <c r="AH807" s="50" t="s">
        <v>28042</v>
      </c>
      <c r="AI807" s="50" t="s">
        <v>28043</v>
      </c>
      <c r="AJ807" s="117">
        <v>808.0</v>
      </c>
    </row>
    <row r="808">
      <c r="A808" s="50" t="s">
        <v>28035</v>
      </c>
      <c r="B808" s="50" t="s">
        <v>6876</v>
      </c>
      <c r="C808" s="50" t="s">
        <v>6877</v>
      </c>
      <c r="D808" s="50" t="s">
        <v>8493</v>
      </c>
      <c r="E808" s="144">
        <v>43888.0</v>
      </c>
      <c r="F808" s="50" t="s">
        <v>28046</v>
      </c>
      <c r="G808" s="50">
        <v>55.0</v>
      </c>
      <c r="H808" s="50">
        <v>1.0</v>
      </c>
      <c r="I808" s="50">
        <v>99.0</v>
      </c>
      <c r="J808" s="116"/>
      <c r="K808" s="116"/>
      <c r="L808" s="50" t="s">
        <v>2715</v>
      </c>
      <c r="M808" s="50" t="s">
        <v>2715</v>
      </c>
      <c r="N808" s="122">
        <v>43832.0</v>
      </c>
      <c r="O808" s="50">
        <v>1.0</v>
      </c>
      <c r="P808" s="50">
        <v>1.0</v>
      </c>
      <c r="Q808" s="116"/>
      <c r="R808" s="50" t="s">
        <v>27971</v>
      </c>
      <c r="S808" s="116"/>
      <c r="T808" s="144">
        <v>43868.0</v>
      </c>
      <c r="U808" s="50">
        <v>9999.0</v>
      </c>
      <c r="V808" s="50">
        <v>9999.0</v>
      </c>
      <c r="W808" s="116"/>
      <c r="X808" s="116"/>
      <c r="Y808" s="144">
        <v>43868.0</v>
      </c>
      <c r="Z808" s="50">
        <v>9999.0</v>
      </c>
      <c r="AA808" s="50">
        <v>9999.0</v>
      </c>
      <c r="AB808" s="116"/>
      <c r="AC808" s="116"/>
      <c r="AD808" s="50" t="s">
        <v>21296</v>
      </c>
      <c r="AE808" s="50">
        <v>1.0</v>
      </c>
      <c r="AF808" s="50" t="s">
        <v>18902</v>
      </c>
      <c r="AG808" s="117">
        <v>8355.0</v>
      </c>
      <c r="AH808" s="50" t="s">
        <v>28052</v>
      </c>
      <c r="AI808" s="50" t="s">
        <v>28053</v>
      </c>
      <c r="AJ808" s="117">
        <v>809.0</v>
      </c>
    </row>
    <row r="809">
      <c r="A809" s="50" t="s">
        <v>28046</v>
      </c>
      <c r="B809" s="50" t="s">
        <v>6876</v>
      </c>
      <c r="C809" s="50" t="s">
        <v>6877</v>
      </c>
      <c r="D809" s="50" t="s">
        <v>8493</v>
      </c>
      <c r="E809" s="144">
        <v>43888.0</v>
      </c>
      <c r="F809" s="50" t="s">
        <v>28055</v>
      </c>
      <c r="G809" s="50">
        <v>57.0</v>
      </c>
      <c r="H809" s="50">
        <v>1.0</v>
      </c>
      <c r="I809" s="50">
        <v>16.0</v>
      </c>
      <c r="J809" s="116"/>
      <c r="K809" s="116"/>
      <c r="L809" s="50" t="s">
        <v>2730</v>
      </c>
      <c r="M809" s="50" t="s">
        <v>2730</v>
      </c>
      <c r="N809" s="122">
        <v>43832.0</v>
      </c>
      <c r="O809" s="50">
        <v>1.0</v>
      </c>
      <c r="P809" s="50">
        <v>1.0</v>
      </c>
      <c r="Q809" s="116"/>
      <c r="R809" s="50" t="s">
        <v>27971</v>
      </c>
      <c r="S809" s="116"/>
      <c r="T809" s="144">
        <v>43868.0</v>
      </c>
      <c r="U809" s="50">
        <v>28.83</v>
      </c>
      <c r="V809" s="50">
        <v>9999.0</v>
      </c>
      <c r="W809" s="116"/>
      <c r="X809" s="116"/>
      <c r="Y809" s="144">
        <v>43868.0</v>
      </c>
      <c r="Z809" s="50">
        <v>36.92</v>
      </c>
      <c r="AA809" s="50">
        <v>35.76</v>
      </c>
      <c r="AB809" s="116"/>
      <c r="AC809" s="116"/>
      <c r="AD809" s="116"/>
      <c r="AE809" s="50">
        <v>1.0</v>
      </c>
      <c r="AF809" s="50" t="s">
        <v>18902</v>
      </c>
      <c r="AG809" s="117">
        <v>8356.0</v>
      </c>
      <c r="AH809" s="50" t="s">
        <v>28062</v>
      </c>
      <c r="AI809" s="50" t="s">
        <v>28063</v>
      </c>
      <c r="AJ809" s="117">
        <v>810.0</v>
      </c>
    </row>
    <row r="810">
      <c r="A810" s="50" t="s">
        <v>28055</v>
      </c>
      <c r="B810" s="50" t="s">
        <v>6876</v>
      </c>
      <c r="C810" s="50" t="s">
        <v>6877</v>
      </c>
      <c r="D810" s="50" t="s">
        <v>8493</v>
      </c>
      <c r="E810" s="144">
        <v>43888.0</v>
      </c>
      <c r="F810" s="50" t="s">
        <v>28065</v>
      </c>
      <c r="G810" s="50">
        <v>58.0</v>
      </c>
      <c r="H810" s="50">
        <v>2.0</v>
      </c>
      <c r="I810" s="50">
        <v>7.0</v>
      </c>
      <c r="J810" s="116"/>
      <c r="K810" s="116"/>
      <c r="L810" s="50" t="s">
        <v>2625</v>
      </c>
      <c r="M810" s="50" t="s">
        <v>2625</v>
      </c>
      <c r="N810" s="122">
        <v>43832.0</v>
      </c>
      <c r="O810" s="50">
        <v>1.0</v>
      </c>
      <c r="P810" s="50">
        <v>1.0</v>
      </c>
      <c r="Q810" s="116"/>
      <c r="R810" s="50" t="s">
        <v>27971</v>
      </c>
      <c r="S810" s="116"/>
      <c r="T810" s="144">
        <v>43868.0</v>
      </c>
      <c r="U810" s="50">
        <v>37.95</v>
      </c>
      <c r="V810" s="50">
        <v>37.48</v>
      </c>
      <c r="W810" s="116"/>
      <c r="X810" s="116"/>
      <c r="Y810" s="144">
        <v>43868.0</v>
      </c>
      <c r="Z810" s="50">
        <v>40.0</v>
      </c>
      <c r="AA810" s="50">
        <v>9999.0</v>
      </c>
      <c r="AB810" s="116"/>
      <c r="AC810" s="116"/>
      <c r="AD810" s="116"/>
      <c r="AE810" s="50">
        <v>1.0</v>
      </c>
      <c r="AF810" s="50" t="s">
        <v>18902</v>
      </c>
      <c r="AG810" s="117">
        <v>8357.0</v>
      </c>
      <c r="AH810" s="50" t="s">
        <v>28072</v>
      </c>
      <c r="AI810" s="50" t="s">
        <v>28073</v>
      </c>
      <c r="AJ810" s="117">
        <v>811.0</v>
      </c>
    </row>
    <row r="811">
      <c r="A811" s="50" t="s">
        <v>28065</v>
      </c>
      <c r="B811" s="50" t="s">
        <v>6876</v>
      </c>
      <c r="C811" s="50" t="s">
        <v>6877</v>
      </c>
      <c r="D811" s="50" t="s">
        <v>8493</v>
      </c>
      <c r="E811" s="144">
        <v>43888.0</v>
      </c>
      <c r="F811" s="50" t="s">
        <v>28076</v>
      </c>
      <c r="G811" s="50">
        <v>59.0</v>
      </c>
      <c r="H811" s="50">
        <v>1.0</v>
      </c>
      <c r="I811" s="50">
        <v>11.0</v>
      </c>
      <c r="J811" s="116"/>
      <c r="K811" s="116"/>
      <c r="L811" s="50" t="s">
        <v>2590</v>
      </c>
      <c r="M811" s="50" t="s">
        <v>2590</v>
      </c>
      <c r="N811" s="122">
        <v>43832.0</v>
      </c>
      <c r="O811" s="50">
        <v>1.0</v>
      </c>
      <c r="P811" s="50">
        <v>1.0</v>
      </c>
      <c r="Q811" s="116"/>
      <c r="R811" s="50" t="s">
        <v>27971</v>
      </c>
      <c r="S811" s="116"/>
      <c r="T811" s="144">
        <v>43868.0</v>
      </c>
      <c r="U811" s="50">
        <v>29.65</v>
      </c>
      <c r="V811" s="50">
        <v>30.23</v>
      </c>
      <c r="W811" s="116"/>
      <c r="X811" s="116"/>
      <c r="Y811" s="144">
        <v>43868.0</v>
      </c>
      <c r="Z811" s="50">
        <v>40.0</v>
      </c>
      <c r="AA811" s="50">
        <v>40.0</v>
      </c>
      <c r="AB811" s="116"/>
      <c r="AC811" s="116"/>
      <c r="AD811" s="116"/>
      <c r="AE811" s="50">
        <v>1.0</v>
      </c>
      <c r="AF811" s="50" t="s">
        <v>18902</v>
      </c>
      <c r="AG811" s="117">
        <v>8358.0</v>
      </c>
      <c r="AH811" s="50" t="s">
        <v>28081</v>
      </c>
      <c r="AI811" s="50" t="s">
        <v>28082</v>
      </c>
      <c r="AJ811" s="117">
        <v>812.0</v>
      </c>
    </row>
    <row r="812">
      <c r="A812" s="50" t="s">
        <v>28083</v>
      </c>
      <c r="B812" s="50" t="s">
        <v>6876</v>
      </c>
      <c r="C812" s="50" t="s">
        <v>6877</v>
      </c>
      <c r="D812" s="50" t="s">
        <v>8493</v>
      </c>
      <c r="E812" s="144">
        <v>43888.0</v>
      </c>
      <c r="F812" s="50" t="s">
        <v>28086</v>
      </c>
      <c r="G812" s="50">
        <v>65.0</v>
      </c>
      <c r="H812" s="50">
        <v>1.0</v>
      </c>
      <c r="I812" s="50">
        <v>16.0</v>
      </c>
      <c r="J812" s="116"/>
      <c r="K812" s="116"/>
      <c r="L812" s="50" t="s">
        <v>2895</v>
      </c>
      <c r="M812" s="50" t="s">
        <v>2895</v>
      </c>
      <c r="N812" s="122">
        <v>43832.0</v>
      </c>
      <c r="O812" s="50">
        <v>1.0</v>
      </c>
      <c r="P812" s="50">
        <v>1.0</v>
      </c>
      <c r="Q812" s="116"/>
      <c r="R812" s="50" t="s">
        <v>27971</v>
      </c>
      <c r="S812" s="116"/>
      <c r="T812" s="144">
        <v>43868.0</v>
      </c>
      <c r="U812" s="50">
        <v>31.42</v>
      </c>
      <c r="V812" s="50">
        <v>31.18</v>
      </c>
      <c r="W812" s="116"/>
      <c r="X812" s="116"/>
      <c r="Y812" s="144">
        <v>43868.0</v>
      </c>
      <c r="Z812" s="50">
        <v>34.17</v>
      </c>
      <c r="AA812" s="50">
        <v>34.58</v>
      </c>
      <c r="AB812" s="116"/>
      <c r="AC812" s="116"/>
      <c r="AD812" s="50" t="s">
        <v>27971</v>
      </c>
      <c r="AE812" s="50">
        <v>1.0</v>
      </c>
      <c r="AF812" s="50" t="s">
        <v>18902</v>
      </c>
      <c r="AG812" s="117">
        <v>8359.0</v>
      </c>
      <c r="AH812" s="50" t="s">
        <v>28091</v>
      </c>
      <c r="AI812" s="50" t="s">
        <v>28092</v>
      </c>
      <c r="AJ812" s="117">
        <v>813.0</v>
      </c>
    </row>
    <row r="813">
      <c r="A813" s="50" t="s">
        <v>28094</v>
      </c>
      <c r="B813" s="50" t="s">
        <v>6876</v>
      </c>
      <c r="C813" s="50" t="s">
        <v>6877</v>
      </c>
      <c r="D813" s="50" t="s">
        <v>8493</v>
      </c>
      <c r="E813" s="144">
        <v>43888.0</v>
      </c>
      <c r="F813" s="50" t="s">
        <v>28095</v>
      </c>
      <c r="G813" s="50">
        <v>66.0</v>
      </c>
      <c r="H813" s="50">
        <v>1.0</v>
      </c>
      <c r="I813" s="50">
        <v>12.0</v>
      </c>
      <c r="J813" s="116"/>
      <c r="K813" s="116"/>
      <c r="L813" s="50" t="s">
        <v>2939</v>
      </c>
      <c r="M813" s="50" t="s">
        <v>2939</v>
      </c>
      <c r="N813" s="122">
        <v>43832.0</v>
      </c>
      <c r="O813" s="50">
        <v>1.0</v>
      </c>
      <c r="P813" s="50">
        <v>1.0</v>
      </c>
      <c r="Q813" s="116"/>
      <c r="R813" s="50" t="s">
        <v>28099</v>
      </c>
      <c r="S813" s="116"/>
      <c r="T813" s="144">
        <v>43879.0</v>
      </c>
      <c r="U813" s="50">
        <v>29.06</v>
      </c>
      <c r="V813" s="50">
        <v>29.04</v>
      </c>
      <c r="W813" s="116"/>
      <c r="X813" s="116"/>
      <c r="Y813" s="144">
        <v>43879.0</v>
      </c>
      <c r="Z813" s="50">
        <v>32.84</v>
      </c>
      <c r="AA813" s="50">
        <v>32.47</v>
      </c>
      <c r="AB813" s="116"/>
      <c r="AC813" s="116"/>
      <c r="AD813" s="116"/>
      <c r="AE813" s="50">
        <v>1.0</v>
      </c>
      <c r="AF813" s="50" t="s">
        <v>18902</v>
      </c>
      <c r="AG813" s="117">
        <v>8360.0</v>
      </c>
      <c r="AH813" s="50" t="s">
        <v>28102</v>
      </c>
      <c r="AI813" s="50" t="s">
        <v>28103</v>
      </c>
      <c r="AJ813" s="117">
        <v>814.0</v>
      </c>
    </row>
    <row r="814">
      <c r="A814" s="50" t="s">
        <v>28095</v>
      </c>
      <c r="B814" s="50" t="s">
        <v>6876</v>
      </c>
      <c r="C814" s="50" t="s">
        <v>6877</v>
      </c>
      <c r="D814" s="50" t="s">
        <v>8493</v>
      </c>
      <c r="E814" s="144">
        <v>43888.0</v>
      </c>
      <c r="F814" s="50" t="s">
        <v>28106</v>
      </c>
      <c r="G814" s="50">
        <v>59.0</v>
      </c>
      <c r="H814" s="50">
        <v>1.0</v>
      </c>
      <c r="I814" s="50">
        <v>12.0</v>
      </c>
      <c r="J814" s="116"/>
      <c r="K814" s="116"/>
      <c r="L814" s="50" t="s">
        <v>2964</v>
      </c>
      <c r="M814" s="50" t="s">
        <v>2964</v>
      </c>
      <c r="N814" s="122">
        <v>43832.0</v>
      </c>
      <c r="O814" s="50">
        <v>1.0</v>
      </c>
      <c r="P814" s="50">
        <v>1.0</v>
      </c>
      <c r="Q814" s="116"/>
      <c r="R814" s="50" t="s">
        <v>28099</v>
      </c>
      <c r="S814" s="116"/>
      <c r="T814" s="144">
        <v>43879.0</v>
      </c>
      <c r="U814" s="50">
        <v>27.69</v>
      </c>
      <c r="V814" s="50">
        <v>28.58</v>
      </c>
      <c r="W814" s="116"/>
      <c r="X814" s="116"/>
      <c r="Y814" s="144">
        <v>43879.0</v>
      </c>
      <c r="Z814" s="50">
        <v>35.29</v>
      </c>
      <c r="AA814" s="50">
        <v>36.02</v>
      </c>
      <c r="AB814" s="116"/>
      <c r="AC814" s="116"/>
      <c r="AD814" s="116"/>
      <c r="AE814" s="50">
        <v>1.0</v>
      </c>
      <c r="AF814" s="50" t="s">
        <v>18902</v>
      </c>
      <c r="AG814" s="117">
        <v>8361.0</v>
      </c>
      <c r="AH814" s="50" t="s">
        <v>28111</v>
      </c>
      <c r="AI814" s="50" t="s">
        <v>28112</v>
      </c>
      <c r="AJ814" s="117">
        <v>815.0</v>
      </c>
    </row>
    <row r="815">
      <c r="A815" s="50" t="s">
        <v>28106</v>
      </c>
      <c r="B815" s="50" t="s">
        <v>6876</v>
      </c>
      <c r="C815" s="50" t="s">
        <v>6877</v>
      </c>
      <c r="D815" s="50" t="s">
        <v>8493</v>
      </c>
      <c r="E815" s="144">
        <v>43888.0</v>
      </c>
      <c r="F815" s="50" t="s">
        <v>28114</v>
      </c>
      <c r="G815" s="50">
        <v>65.0</v>
      </c>
      <c r="H815" s="50">
        <v>1.0</v>
      </c>
      <c r="I815" s="50">
        <v>12.0</v>
      </c>
      <c r="J815" s="116"/>
      <c r="K815" s="116"/>
      <c r="L815" s="50" t="s">
        <v>3001</v>
      </c>
      <c r="M815" s="50" t="s">
        <v>3001</v>
      </c>
      <c r="N815" s="122">
        <v>43832.0</v>
      </c>
      <c r="O815" s="50">
        <v>1.0</v>
      </c>
      <c r="P815" s="50">
        <v>1.0</v>
      </c>
      <c r="Q815" s="116"/>
      <c r="R815" s="50" t="s">
        <v>28099</v>
      </c>
      <c r="S815" s="116"/>
      <c r="T815" s="144">
        <v>43879.0</v>
      </c>
      <c r="U815" s="50">
        <v>30.76</v>
      </c>
      <c r="V815" s="50">
        <v>30.59</v>
      </c>
      <c r="W815" s="116"/>
      <c r="X815" s="116"/>
      <c r="Y815" s="144">
        <v>43879.0</v>
      </c>
      <c r="Z815" s="50">
        <v>36.4</v>
      </c>
      <c r="AA815" s="50">
        <v>36.28</v>
      </c>
      <c r="AB815" s="116"/>
      <c r="AC815" s="116"/>
      <c r="AD815" s="116"/>
      <c r="AE815" s="50">
        <v>1.0</v>
      </c>
      <c r="AF815" s="50" t="s">
        <v>18902</v>
      </c>
      <c r="AG815" s="117">
        <v>8362.0</v>
      </c>
      <c r="AH815" s="50" t="s">
        <v>28118</v>
      </c>
      <c r="AI815" s="50" t="s">
        <v>28120</v>
      </c>
      <c r="AJ815" s="117">
        <v>816.0</v>
      </c>
    </row>
    <row r="816">
      <c r="A816" s="50" t="s">
        <v>28121</v>
      </c>
      <c r="B816" s="50" t="s">
        <v>6876</v>
      </c>
      <c r="C816" s="50" t="s">
        <v>6877</v>
      </c>
      <c r="D816" s="50" t="s">
        <v>8493</v>
      </c>
      <c r="E816" s="144">
        <v>43888.0</v>
      </c>
      <c r="F816" s="50" t="s">
        <v>28122</v>
      </c>
      <c r="G816" s="50">
        <v>65.0</v>
      </c>
      <c r="H816" s="50">
        <v>1.0</v>
      </c>
      <c r="I816" s="50">
        <v>99.0</v>
      </c>
      <c r="J816" s="116"/>
      <c r="K816" s="116"/>
      <c r="L816" s="50" t="s">
        <v>2947</v>
      </c>
      <c r="M816" s="50" t="s">
        <v>2947</v>
      </c>
      <c r="N816" s="122">
        <v>43832.0</v>
      </c>
      <c r="O816" s="50">
        <v>1.0</v>
      </c>
      <c r="P816" s="50">
        <v>1.0</v>
      </c>
      <c r="Q816" s="116"/>
      <c r="R816" s="50" t="s">
        <v>28099</v>
      </c>
      <c r="S816" s="116"/>
      <c r="T816" s="144">
        <v>43879.0</v>
      </c>
      <c r="U816" s="50">
        <v>9999.0</v>
      </c>
      <c r="V816" s="50">
        <v>9999.0</v>
      </c>
      <c r="W816" s="116"/>
      <c r="X816" s="116"/>
      <c r="Y816" s="144">
        <v>43879.0</v>
      </c>
      <c r="Z816" s="50">
        <v>9999.0</v>
      </c>
      <c r="AA816" s="50">
        <v>9999.0</v>
      </c>
      <c r="AB816" s="116"/>
      <c r="AC816" s="116"/>
      <c r="AD816" s="50" t="s">
        <v>21417</v>
      </c>
      <c r="AE816" s="50">
        <v>1.0</v>
      </c>
      <c r="AF816" s="50" t="s">
        <v>18902</v>
      </c>
      <c r="AG816" s="117">
        <v>8363.0</v>
      </c>
      <c r="AH816" s="50" t="s">
        <v>28126</v>
      </c>
      <c r="AI816" s="50" t="s">
        <v>28127</v>
      </c>
      <c r="AJ816" s="117">
        <v>817.0</v>
      </c>
    </row>
    <row r="817">
      <c r="A817" s="50" t="s">
        <v>28122</v>
      </c>
      <c r="B817" s="50" t="s">
        <v>6876</v>
      </c>
      <c r="C817" s="50" t="s">
        <v>6877</v>
      </c>
      <c r="D817" s="50" t="s">
        <v>8493</v>
      </c>
      <c r="E817" s="144">
        <v>43888.0</v>
      </c>
      <c r="F817" s="50" t="s">
        <v>28129</v>
      </c>
      <c r="G817" s="50">
        <v>59.0</v>
      </c>
      <c r="H817" s="50">
        <v>1.0</v>
      </c>
      <c r="I817" s="50">
        <v>11.0</v>
      </c>
      <c r="J817" s="116"/>
      <c r="K817" s="116"/>
      <c r="L817" s="50" t="s">
        <v>3037</v>
      </c>
      <c r="M817" s="50" t="s">
        <v>3037</v>
      </c>
      <c r="N817" s="122">
        <v>43832.0</v>
      </c>
      <c r="O817" s="50">
        <v>1.0</v>
      </c>
      <c r="P817" s="50">
        <v>1.0</v>
      </c>
      <c r="Q817" s="116"/>
      <c r="R817" s="50" t="s">
        <v>28133</v>
      </c>
      <c r="S817" s="116"/>
      <c r="T817" s="144">
        <v>43878.0</v>
      </c>
      <c r="U817" s="50">
        <v>30.91</v>
      </c>
      <c r="V817" s="50">
        <v>30.82</v>
      </c>
      <c r="W817" s="116"/>
      <c r="X817" s="116"/>
      <c r="Y817" s="144">
        <v>43878.0</v>
      </c>
      <c r="Z817" s="50">
        <v>35.32</v>
      </c>
      <c r="AA817" s="50">
        <v>35.16</v>
      </c>
      <c r="AB817" s="116"/>
      <c r="AC817" s="116"/>
      <c r="AD817" s="116"/>
      <c r="AE817" s="50">
        <v>1.0</v>
      </c>
      <c r="AF817" s="50" t="s">
        <v>18902</v>
      </c>
      <c r="AG817" s="117">
        <v>8364.0</v>
      </c>
      <c r="AH817" s="50" t="s">
        <v>28134</v>
      </c>
      <c r="AI817" s="50" t="s">
        <v>28136</v>
      </c>
      <c r="AJ817" s="117">
        <v>818.0</v>
      </c>
    </row>
    <row r="818">
      <c r="A818" s="50" t="s">
        <v>28129</v>
      </c>
      <c r="B818" s="50" t="s">
        <v>6876</v>
      </c>
      <c r="C818" s="50" t="s">
        <v>6877</v>
      </c>
      <c r="D818" s="50" t="s">
        <v>8493</v>
      </c>
      <c r="E818" s="144">
        <v>43888.0</v>
      </c>
      <c r="F818" s="50" t="s">
        <v>28140</v>
      </c>
      <c r="G818" s="50">
        <v>58.0</v>
      </c>
      <c r="H818" s="50">
        <v>2.0</v>
      </c>
      <c r="I818" s="50">
        <v>15.0</v>
      </c>
      <c r="J818" s="116"/>
      <c r="K818" s="50">
        <v>151.0</v>
      </c>
      <c r="L818" s="50" t="s">
        <v>731</v>
      </c>
      <c r="M818" s="50" t="s">
        <v>731</v>
      </c>
      <c r="N818" s="122">
        <v>43832.0</v>
      </c>
      <c r="O818" s="50">
        <v>1.0</v>
      </c>
      <c r="P818" s="50">
        <v>1.0</v>
      </c>
      <c r="Q818" s="116"/>
      <c r="R818" s="50" t="s">
        <v>28133</v>
      </c>
      <c r="S818" s="116"/>
      <c r="T818" s="144">
        <v>43878.0</v>
      </c>
      <c r="U818" s="50">
        <v>34.48</v>
      </c>
      <c r="V818" s="50">
        <v>9999.0</v>
      </c>
      <c r="W818" s="116"/>
      <c r="X818" s="116"/>
      <c r="Y818" s="144">
        <v>43878.0</v>
      </c>
      <c r="Z818" s="50">
        <v>36.78</v>
      </c>
      <c r="AA818" s="50">
        <v>36.77</v>
      </c>
      <c r="AB818" s="116"/>
      <c r="AC818" s="116"/>
      <c r="AD818" s="116"/>
      <c r="AE818" s="50">
        <v>1.0</v>
      </c>
      <c r="AF818" s="50" t="s">
        <v>18902</v>
      </c>
      <c r="AG818" s="117">
        <v>8365.0</v>
      </c>
      <c r="AH818" s="50" t="s">
        <v>28145</v>
      </c>
      <c r="AI818" s="50" t="s">
        <v>28147</v>
      </c>
      <c r="AJ818" s="117">
        <v>819.0</v>
      </c>
    </row>
    <row r="819">
      <c r="A819" s="50" t="s">
        <v>28140</v>
      </c>
      <c r="B819" s="50" t="s">
        <v>6876</v>
      </c>
      <c r="C819" s="50" t="s">
        <v>6877</v>
      </c>
      <c r="D819" s="50" t="s">
        <v>8493</v>
      </c>
      <c r="E819" s="144">
        <v>43888.0</v>
      </c>
      <c r="F819" s="50" t="s">
        <v>28152</v>
      </c>
      <c r="G819" s="50">
        <v>58.0</v>
      </c>
      <c r="H819" s="50">
        <v>2.0</v>
      </c>
      <c r="I819" s="50">
        <v>15.0</v>
      </c>
      <c r="J819" s="116"/>
      <c r="K819" s="50">
        <v>152.0</v>
      </c>
      <c r="L819" s="50" t="s">
        <v>733</v>
      </c>
      <c r="M819" s="50" t="s">
        <v>733</v>
      </c>
      <c r="N819" s="122">
        <v>43832.0</v>
      </c>
      <c r="O819" s="50">
        <v>1.0</v>
      </c>
      <c r="P819" s="50">
        <v>1.0</v>
      </c>
      <c r="Q819" s="116"/>
      <c r="R819" s="50" t="s">
        <v>28133</v>
      </c>
      <c r="S819" s="116"/>
      <c r="T819" s="144">
        <v>43878.0</v>
      </c>
      <c r="U819" s="50">
        <v>33.1</v>
      </c>
      <c r="V819" s="50">
        <v>33.77</v>
      </c>
      <c r="W819" s="116"/>
      <c r="X819" s="116"/>
      <c r="Y819" s="144">
        <v>43878.0</v>
      </c>
      <c r="Z819" s="50">
        <v>36.78</v>
      </c>
      <c r="AA819" s="50">
        <v>36.05</v>
      </c>
      <c r="AB819" s="116"/>
      <c r="AC819" s="116"/>
      <c r="AD819" s="116"/>
      <c r="AE819" s="50">
        <v>1.0</v>
      </c>
      <c r="AF819" s="50" t="s">
        <v>18902</v>
      </c>
      <c r="AG819" s="117">
        <v>8366.0</v>
      </c>
      <c r="AH819" s="50" t="s">
        <v>28158</v>
      </c>
      <c r="AI819" s="50" t="s">
        <v>28160</v>
      </c>
      <c r="AJ819" s="117">
        <v>820.0</v>
      </c>
    </row>
    <row r="820">
      <c r="A820" s="50" t="s">
        <v>28162</v>
      </c>
      <c r="B820" s="50" t="s">
        <v>6876</v>
      </c>
      <c r="C820" s="50" t="s">
        <v>6877</v>
      </c>
      <c r="D820" s="50" t="s">
        <v>8493</v>
      </c>
      <c r="E820" s="144">
        <v>43888.0</v>
      </c>
      <c r="F820" s="50" t="s">
        <v>28164</v>
      </c>
      <c r="G820" s="50">
        <v>58.0</v>
      </c>
      <c r="H820" s="50">
        <v>2.0</v>
      </c>
      <c r="I820" s="50">
        <v>15.0</v>
      </c>
      <c r="J820" s="116"/>
      <c r="K820" s="50">
        <v>152.0</v>
      </c>
      <c r="L820" s="50" t="s">
        <v>734</v>
      </c>
      <c r="M820" s="50" t="s">
        <v>734</v>
      </c>
      <c r="N820" s="122">
        <v>43832.0</v>
      </c>
      <c r="O820" s="50">
        <v>1.0</v>
      </c>
      <c r="P820" s="50">
        <v>1.0</v>
      </c>
      <c r="Q820" s="116"/>
      <c r="R820" s="50" t="s">
        <v>28133</v>
      </c>
      <c r="S820" s="116"/>
      <c r="T820" s="144">
        <v>43878.0</v>
      </c>
      <c r="U820" s="50">
        <v>36.07</v>
      </c>
      <c r="V820" s="50">
        <v>9999.0</v>
      </c>
      <c r="W820" s="116"/>
      <c r="X820" s="116"/>
      <c r="Y820" s="144">
        <v>43878.0</v>
      </c>
      <c r="Z820" s="50">
        <v>35.32</v>
      </c>
      <c r="AA820" s="50">
        <v>36.44</v>
      </c>
      <c r="AB820" s="116"/>
      <c r="AC820" s="116"/>
      <c r="AD820" s="116"/>
      <c r="AE820" s="50">
        <v>1.0</v>
      </c>
      <c r="AF820" s="50" t="s">
        <v>18902</v>
      </c>
      <c r="AG820" s="117">
        <v>8367.0</v>
      </c>
      <c r="AH820" s="50" t="s">
        <v>28170</v>
      </c>
      <c r="AI820" s="50" t="s">
        <v>28171</v>
      </c>
      <c r="AJ820" s="117">
        <v>821.0</v>
      </c>
    </row>
    <row r="821">
      <c r="A821" s="50" t="s">
        <v>28164</v>
      </c>
      <c r="B821" s="50" t="s">
        <v>6876</v>
      </c>
      <c r="C821" s="50" t="s">
        <v>6877</v>
      </c>
      <c r="D821" s="50" t="s">
        <v>8493</v>
      </c>
      <c r="E821" s="144">
        <v>43888.0</v>
      </c>
      <c r="F821" s="50" t="s">
        <v>28173</v>
      </c>
      <c r="G821" s="50">
        <v>58.0</v>
      </c>
      <c r="H821" s="50">
        <v>2.0</v>
      </c>
      <c r="I821" s="50">
        <v>15.0</v>
      </c>
      <c r="J821" s="116"/>
      <c r="K821" s="50">
        <v>152.0</v>
      </c>
      <c r="L821" s="50" t="s">
        <v>735</v>
      </c>
      <c r="M821" s="50" t="s">
        <v>735</v>
      </c>
      <c r="N821" s="122">
        <v>43832.0</v>
      </c>
      <c r="O821" s="50">
        <v>1.0</v>
      </c>
      <c r="P821" s="50">
        <v>1.0</v>
      </c>
      <c r="Q821" s="116"/>
      <c r="R821" s="50" t="s">
        <v>28133</v>
      </c>
      <c r="S821" s="116"/>
      <c r="T821" s="144">
        <v>43878.0</v>
      </c>
      <c r="U821" s="50">
        <v>40.0</v>
      </c>
      <c r="V821" s="50">
        <v>9999.0</v>
      </c>
      <c r="W821" s="116"/>
      <c r="X821" s="116"/>
      <c r="Y821" s="144">
        <v>43878.0</v>
      </c>
      <c r="Z821" s="50">
        <v>37.36</v>
      </c>
      <c r="AA821" s="50">
        <v>35.89</v>
      </c>
      <c r="AB821" s="116"/>
      <c r="AC821" s="116"/>
      <c r="AD821" s="116"/>
      <c r="AE821" s="50">
        <v>1.0</v>
      </c>
      <c r="AF821" s="50" t="s">
        <v>18902</v>
      </c>
      <c r="AG821" s="117">
        <v>8368.0</v>
      </c>
      <c r="AH821" s="50" t="s">
        <v>28179</v>
      </c>
      <c r="AI821" s="50" t="s">
        <v>28180</v>
      </c>
      <c r="AJ821" s="117">
        <v>822.0</v>
      </c>
    </row>
    <row r="822">
      <c r="A822" s="50" t="s">
        <v>28173</v>
      </c>
      <c r="B822" s="50" t="s">
        <v>6876</v>
      </c>
      <c r="C822" s="50" t="s">
        <v>6877</v>
      </c>
      <c r="D822" s="50" t="s">
        <v>8493</v>
      </c>
      <c r="E822" s="144">
        <v>43888.0</v>
      </c>
      <c r="F822" s="50" t="s">
        <v>28183</v>
      </c>
      <c r="G822" s="50">
        <v>58.0</v>
      </c>
      <c r="H822" s="50">
        <v>2.0</v>
      </c>
      <c r="I822" s="50">
        <v>15.0</v>
      </c>
      <c r="J822" s="116"/>
      <c r="K822" s="50">
        <v>151.0</v>
      </c>
      <c r="L822" s="50" t="s">
        <v>740</v>
      </c>
      <c r="M822" s="50" t="s">
        <v>740</v>
      </c>
      <c r="N822" s="122">
        <v>43832.0</v>
      </c>
      <c r="O822" s="50">
        <v>1.0</v>
      </c>
      <c r="P822" s="50">
        <v>1.0</v>
      </c>
      <c r="Q822" s="116"/>
      <c r="R822" s="50" t="s">
        <v>28133</v>
      </c>
      <c r="S822" s="116"/>
      <c r="T822" s="144">
        <v>43878.0</v>
      </c>
      <c r="U822" s="50">
        <v>36.97</v>
      </c>
      <c r="V822" s="50">
        <v>36.9</v>
      </c>
      <c r="W822" s="116"/>
      <c r="X822" s="116"/>
      <c r="Y822" s="144">
        <v>43878.0</v>
      </c>
      <c r="Z822" s="50">
        <v>38.38</v>
      </c>
      <c r="AA822" s="50">
        <v>36.1</v>
      </c>
      <c r="AB822" s="116"/>
      <c r="AC822" s="116"/>
      <c r="AD822" s="116"/>
      <c r="AE822" s="50">
        <v>1.0</v>
      </c>
      <c r="AF822" s="50" t="s">
        <v>18902</v>
      </c>
      <c r="AG822" s="117">
        <v>8369.0</v>
      </c>
      <c r="AH822" s="50" t="s">
        <v>28187</v>
      </c>
      <c r="AI822" s="50" t="s">
        <v>28189</v>
      </c>
      <c r="AJ822" s="117">
        <v>823.0</v>
      </c>
    </row>
    <row r="823">
      <c r="A823" s="50" t="s">
        <v>28191</v>
      </c>
      <c r="B823" s="50" t="s">
        <v>6876</v>
      </c>
      <c r="C823" s="50" t="s">
        <v>6877</v>
      </c>
      <c r="D823" s="50" t="s">
        <v>8493</v>
      </c>
      <c r="E823" s="144">
        <v>43888.0</v>
      </c>
      <c r="F823" s="50" t="s">
        <v>28193</v>
      </c>
      <c r="G823" s="50">
        <v>58.0</v>
      </c>
      <c r="H823" s="50">
        <v>2.0</v>
      </c>
      <c r="I823" s="50">
        <v>15.0</v>
      </c>
      <c r="J823" s="116"/>
      <c r="K823" s="50">
        <v>152.0</v>
      </c>
      <c r="L823" s="50" t="s">
        <v>743</v>
      </c>
      <c r="M823" s="50" t="s">
        <v>743</v>
      </c>
      <c r="N823" s="122">
        <v>43832.0</v>
      </c>
      <c r="O823" s="50">
        <v>1.0</v>
      </c>
      <c r="P823" s="50">
        <v>1.0</v>
      </c>
      <c r="Q823" s="116"/>
      <c r="R823" s="50" t="s">
        <v>28133</v>
      </c>
      <c r="S823" s="116"/>
      <c r="T823" s="144">
        <v>43878.0</v>
      </c>
      <c r="U823" s="50">
        <v>37.87</v>
      </c>
      <c r="V823" s="50">
        <v>36.04</v>
      </c>
      <c r="W823" s="116"/>
      <c r="X823" s="116"/>
      <c r="Y823" s="144">
        <v>43878.0</v>
      </c>
      <c r="Z823" s="50">
        <v>36.24</v>
      </c>
      <c r="AA823" s="50">
        <v>35.85</v>
      </c>
      <c r="AB823" s="116"/>
      <c r="AC823" s="116"/>
      <c r="AD823" s="116"/>
      <c r="AE823" s="50">
        <v>1.0</v>
      </c>
      <c r="AF823" s="50" t="s">
        <v>18902</v>
      </c>
      <c r="AG823" s="117">
        <v>8370.0</v>
      </c>
      <c r="AH823" s="50" t="s">
        <v>28200</v>
      </c>
      <c r="AI823" s="50" t="s">
        <v>28201</v>
      </c>
      <c r="AJ823" s="117">
        <v>824.0</v>
      </c>
    </row>
    <row r="824">
      <c r="A824" s="50" t="s">
        <v>28193</v>
      </c>
      <c r="B824" s="50" t="s">
        <v>6876</v>
      </c>
      <c r="C824" s="50" t="s">
        <v>6877</v>
      </c>
      <c r="D824" s="50" t="s">
        <v>8493</v>
      </c>
      <c r="E824" s="144">
        <v>43888.0</v>
      </c>
      <c r="F824" s="50" t="s">
        <v>28203</v>
      </c>
      <c r="G824" s="50">
        <v>58.0</v>
      </c>
      <c r="H824" s="50">
        <v>2.0</v>
      </c>
      <c r="I824" s="50">
        <v>15.0</v>
      </c>
      <c r="J824" s="116"/>
      <c r="K824" s="50">
        <v>152.0</v>
      </c>
      <c r="L824" s="50" t="s">
        <v>745</v>
      </c>
      <c r="M824" s="50" t="s">
        <v>745</v>
      </c>
      <c r="N824" s="122">
        <v>43832.0</v>
      </c>
      <c r="O824" s="50">
        <v>1.0</v>
      </c>
      <c r="P824" s="50">
        <v>1.0</v>
      </c>
      <c r="Q824" s="116"/>
      <c r="R824" s="50" t="s">
        <v>28133</v>
      </c>
      <c r="S824" s="116"/>
      <c r="T824" s="144">
        <v>43878.0</v>
      </c>
      <c r="U824" s="50">
        <v>35.99</v>
      </c>
      <c r="V824" s="50">
        <v>9999.0</v>
      </c>
      <c r="W824" s="116"/>
      <c r="X824" s="116"/>
      <c r="Y824" s="144">
        <v>43878.0</v>
      </c>
      <c r="Z824" s="50">
        <v>35.7</v>
      </c>
      <c r="AA824" s="50">
        <v>36.04</v>
      </c>
      <c r="AB824" s="116"/>
      <c r="AC824" s="116"/>
      <c r="AD824" s="116"/>
      <c r="AE824" s="50">
        <v>1.0</v>
      </c>
      <c r="AF824" s="50" t="s">
        <v>18902</v>
      </c>
      <c r="AG824" s="117">
        <v>8371.0</v>
      </c>
      <c r="AH824" s="50" t="s">
        <v>28210</v>
      </c>
      <c r="AI824" s="50" t="s">
        <v>28211</v>
      </c>
      <c r="AJ824" s="117">
        <v>825.0</v>
      </c>
    </row>
    <row r="825">
      <c r="A825" s="50" t="s">
        <v>28203</v>
      </c>
      <c r="B825" s="50" t="s">
        <v>6876</v>
      </c>
      <c r="C825" s="50" t="s">
        <v>6877</v>
      </c>
      <c r="D825" s="50" t="s">
        <v>8493</v>
      </c>
      <c r="E825" s="144">
        <v>43888.0</v>
      </c>
      <c r="F825" s="50" t="s">
        <v>28214</v>
      </c>
      <c r="G825" s="50">
        <v>58.0</v>
      </c>
      <c r="H825" s="50">
        <v>2.0</v>
      </c>
      <c r="I825" s="50">
        <v>15.0</v>
      </c>
      <c r="J825" s="116"/>
      <c r="K825" s="50">
        <v>152.0</v>
      </c>
      <c r="L825" s="50" t="s">
        <v>746</v>
      </c>
      <c r="M825" s="50" t="s">
        <v>746</v>
      </c>
      <c r="N825" s="122">
        <v>43832.0</v>
      </c>
      <c r="O825" s="50">
        <v>1.0</v>
      </c>
      <c r="P825" s="50">
        <v>1.0</v>
      </c>
      <c r="Q825" s="116"/>
      <c r="R825" s="50" t="s">
        <v>28133</v>
      </c>
      <c r="S825" s="116"/>
      <c r="T825" s="144">
        <v>43878.0</v>
      </c>
      <c r="U825" s="50">
        <v>36.16</v>
      </c>
      <c r="V825" s="50">
        <v>36.5</v>
      </c>
      <c r="W825" s="116"/>
      <c r="X825" s="116"/>
      <c r="Y825" s="144">
        <v>43878.0</v>
      </c>
      <c r="Z825" s="50">
        <v>35.86</v>
      </c>
      <c r="AA825" s="50">
        <v>34.78</v>
      </c>
      <c r="AB825" s="116"/>
      <c r="AC825" s="116"/>
      <c r="AD825" s="116"/>
      <c r="AE825" s="50">
        <v>1.0</v>
      </c>
      <c r="AF825" s="50" t="s">
        <v>18902</v>
      </c>
      <c r="AG825" s="117">
        <v>8372.0</v>
      </c>
      <c r="AH825" s="50" t="s">
        <v>28221</v>
      </c>
      <c r="AI825" s="50" t="s">
        <v>28222</v>
      </c>
      <c r="AJ825" s="117">
        <v>826.0</v>
      </c>
    </row>
    <row r="826">
      <c r="A826" s="50" t="s">
        <v>28223</v>
      </c>
      <c r="B826" s="50" t="s">
        <v>6876</v>
      </c>
      <c r="C826" s="50" t="s">
        <v>6877</v>
      </c>
      <c r="D826" s="50" t="s">
        <v>8493</v>
      </c>
      <c r="E826" s="144">
        <v>43888.0</v>
      </c>
      <c r="F826" s="50" t="s">
        <v>28225</v>
      </c>
      <c r="G826" s="50">
        <v>59.0</v>
      </c>
      <c r="H826" s="50">
        <v>1.0</v>
      </c>
      <c r="I826" s="50">
        <v>11.0</v>
      </c>
      <c r="J826" s="116"/>
      <c r="K826" s="116"/>
      <c r="L826" s="50" t="s">
        <v>3226</v>
      </c>
      <c r="M826" s="50" t="s">
        <v>3226</v>
      </c>
      <c r="N826" s="122">
        <v>43832.0</v>
      </c>
      <c r="O826" s="50">
        <v>1.0</v>
      </c>
      <c r="P826" s="50">
        <v>1.0</v>
      </c>
      <c r="Q826" s="116"/>
      <c r="R826" s="50" t="s">
        <v>28133</v>
      </c>
      <c r="S826" s="116"/>
      <c r="T826" s="144">
        <v>43878.0</v>
      </c>
      <c r="U826" s="50">
        <v>33.96</v>
      </c>
      <c r="V826" s="50">
        <v>32.89</v>
      </c>
      <c r="W826" s="116"/>
      <c r="X826" s="116"/>
      <c r="Y826" s="144">
        <v>43878.0</v>
      </c>
      <c r="Z826" s="50">
        <v>37.89</v>
      </c>
      <c r="AA826" s="50">
        <v>38.28</v>
      </c>
      <c r="AB826" s="116"/>
      <c r="AC826" s="116"/>
      <c r="AD826" s="116"/>
      <c r="AE826" s="50">
        <v>1.0</v>
      </c>
      <c r="AF826" s="50" t="s">
        <v>18902</v>
      </c>
      <c r="AG826" s="117">
        <v>8373.0</v>
      </c>
      <c r="AH826" s="50" t="s">
        <v>28230</v>
      </c>
      <c r="AI826" s="50" t="s">
        <v>28231</v>
      </c>
      <c r="AJ826" s="117">
        <v>827.0</v>
      </c>
    </row>
    <row r="827">
      <c r="A827" s="50" t="s">
        <v>28225</v>
      </c>
      <c r="B827" s="50" t="s">
        <v>6876</v>
      </c>
      <c r="C827" s="50" t="s">
        <v>6877</v>
      </c>
      <c r="D827" s="50" t="s">
        <v>8493</v>
      </c>
      <c r="E827" s="144">
        <v>43888.0</v>
      </c>
      <c r="F827" s="50" t="s">
        <v>28235</v>
      </c>
      <c r="G827" s="50">
        <v>59.0</v>
      </c>
      <c r="H827" s="50">
        <v>1.0</v>
      </c>
      <c r="I827" s="50">
        <v>99.0</v>
      </c>
      <c r="J827" s="116"/>
      <c r="K827" s="116"/>
      <c r="L827" s="50" t="s">
        <v>3235</v>
      </c>
      <c r="M827" s="50" t="s">
        <v>3235</v>
      </c>
      <c r="N827" s="122">
        <v>43832.0</v>
      </c>
      <c r="O827" s="50">
        <v>1.0</v>
      </c>
      <c r="P827" s="50">
        <v>1.0</v>
      </c>
      <c r="Q827" s="116"/>
      <c r="R827" s="50" t="s">
        <v>28133</v>
      </c>
      <c r="S827" s="116"/>
      <c r="T827" s="144">
        <v>43878.0</v>
      </c>
      <c r="U827" s="50">
        <v>37.66</v>
      </c>
      <c r="V827" s="50">
        <v>9999.0</v>
      </c>
      <c r="W827" s="116"/>
      <c r="X827" s="116"/>
      <c r="Y827" s="144">
        <v>43878.0</v>
      </c>
      <c r="Z827" s="50">
        <v>36.98</v>
      </c>
      <c r="AA827" s="50">
        <v>36.81</v>
      </c>
      <c r="AB827" s="116"/>
      <c r="AC827" s="116"/>
      <c r="AD827" s="50" t="s">
        <v>21492</v>
      </c>
      <c r="AE827" s="50">
        <v>1.0</v>
      </c>
      <c r="AF827" s="50" t="s">
        <v>18902</v>
      </c>
      <c r="AG827" s="117">
        <v>8374.0</v>
      </c>
      <c r="AH827" s="50" t="s">
        <v>28240</v>
      </c>
      <c r="AI827" s="50" t="s">
        <v>28241</v>
      </c>
      <c r="AJ827" s="117">
        <v>828.0</v>
      </c>
    </row>
    <row r="828">
      <c r="A828" s="50" t="s">
        <v>28235</v>
      </c>
      <c r="B828" s="50" t="s">
        <v>6876</v>
      </c>
      <c r="C828" s="50" t="s">
        <v>6877</v>
      </c>
      <c r="D828" s="50" t="s">
        <v>8493</v>
      </c>
      <c r="E828" s="144">
        <v>43888.0</v>
      </c>
      <c r="F828" s="50" t="s">
        <v>28244</v>
      </c>
      <c r="G828" s="50">
        <v>59.0</v>
      </c>
      <c r="H828" s="50">
        <v>1.0</v>
      </c>
      <c r="I828" s="50">
        <v>11.0</v>
      </c>
      <c r="J828" s="116"/>
      <c r="K828" s="116"/>
      <c r="L828" s="50" t="s">
        <v>3263</v>
      </c>
      <c r="M828" s="50" t="s">
        <v>3263</v>
      </c>
      <c r="N828" s="122">
        <v>43832.0</v>
      </c>
      <c r="O828" s="50">
        <v>1.0</v>
      </c>
      <c r="P828" s="50">
        <v>1.0</v>
      </c>
      <c r="Q828" s="116"/>
      <c r="R828" s="50" t="s">
        <v>28133</v>
      </c>
      <c r="S828" s="116"/>
      <c r="T828" s="144">
        <v>43878.0</v>
      </c>
      <c r="U828" s="50">
        <v>29.04</v>
      </c>
      <c r="V828" s="50">
        <v>29.53</v>
      </c>
      <c r="W828" s="116"/>
      <c r="X828" s="116"/>
      <c r="Y828" s="144">
        <v>43878.0</v>
      </c>
      <c r="Z828" s="50">
        <v>34.53</v>
      </c>
      <c r="AA828" s="50">
        <v>33.86</v>
      </c>
      <c r="AB828" s="116"/>
      <c r="AC828" s="116"/>
      <c r="AD828" s="116"/>
      <c r="AE828" s="50">
        <v>1.0</v>
      </c>
      <c r="AF828" s="50" t="s">
        <v>18902</v>
      </c>
      <c r="AG828" s="117">
        <v>8375.0</v>
      </c>
      <c r="AH828" s="50" t="s">
        <v>28248</v>
      </c>
      <c r="AI828" s="50" t="s">
        <v>28249</v>
      </c>
      <c r="AJ828" s="117">
        <v>829.0</v>
      </c>
    </row>
    <row r="829">
      <c r="A829" s="50" t="s">
        <v>28244</v>
      </c>
      <c r="B829" s="50" t="s">
        <v>6876</v>
      </c>
      <c r="C829" s="50" t="s">
        <v>6877</v>
      </c>
      <c r="D829" s="50" t="s">
        <v>8493</v>
      </c>
      <c r="E829" s="144">
        <v>43888.0</v>
      </c>
      <c r="F829" s="50" t="s">
        <v>28251</v>
      </c>
      <c r="G829" s="50">
        <v>33.0</v>
      </c>
      <c r="H829" s="50">
        <v>1.0</v>
      </c>
      <c r="I829" s="50">
        <v>98.0</v>
      </c>
      <c r="J829" s="116"/>
      <c r="K829" s="116"/>
      <c r="L829" s="50" t="s">
        <v>21505</v>
      </c>
      <c r="M829" s="50" t="s">
        <v>21505</v>
      </c>
      <c r="N829" s="122">
        <v>43832.0</v>
      </c>
      <c r="O829" s="50">
        <v>1.0</v>
      </c>
      <c r="P829" s="50">
        <v>1.0</v>
      </c>
      <c r="Q829" s="116"/>
      <c r="R829" s="50" t="s">
        <v>28133</v>
      </c>
      <c r="S829" s="116"/>
      <c r="T829" s="144">
        <v>43878.0</v>
      </c>
      <c r="U829" s="50">
        <v>9999.0</v>
      </c>
      <c r="V829" s="50">
        <v>9999.0</v>
      </c>
      <c r="W829" s="116"/>
      <c r="X829" s="116"/>
      <c r="Y829" s="144">
        <v>43878.0</v>
      </c>
      <c r="Z829" s="50">
        <v>9999.0</v>
      </c>
      <c r="AA829" s="50">
        <v>9999.0</v>
      </c>
      <c r="AB829" s="116"/>
      <c r="AC829" s="116"/>
      <c r="AD829" s="116"/>
      <c r="AE829" s="50">
        <v>1.0</v>
      </c>
      <c r="AF829" s="50" t="s">
        <v>18902</v>
      </c>
      <c r="AG829" s="117">
        <v>8376.0</v>
      </c>
      <c r="AH829" s="50" t="s">
        <v>28259</v>
      </c>
      <c r="AI829" s="50" t="s">
        <v>28260</v>
      </c>
      <c r="AJ829" s="117">
        <v>830.0</v>
      </c>
    </row>
    <row r="830">
      <c r="A830" s="50" t="s">
        <v>28251</v>
      </c>
      <c r="B830" s="50" t="s">
        <v>6876</v>
      </c>
      <c r="C830" s="50" t="s">
        <v>6877</v>
      </c>
      <c r="D830" s="50" t="s">
        <v>8493</v>
      </c>
      <c r="E830" s="144">
        <v>43888.0</v>
      </c>
      <c r="F830" s="50" t="s">
        <v>28263</v>
      </c>
      <c r="G830" s="50">
        <v>59.0</v>
      </c>
      <c r="H830" s="50">
        <v>1.0</v>
      </c>
      <c r="I830" s="50">
        <v>11.0</v>
      </c>
      <c r="J830" s="116"/>
      <c r="K830" s="116"/>
      <c r="L830" s="50" t="s">
        <v>3294</v>
      </c>
      <c r="M830" s="50" t="s">
        <v>3294</v>
      </c>
      <c r="N830" s="122">
        <v>43832.0</v>
      </c>
      <c r="O830" s="50">
        <v>1.0</v>
      </c>
      <c r="P830" s="50">
        <v>1.0</v>
      </c>
      <c r="Q830" s="116"/>
      <c r="R830" s="50" t="s">
        <v>28133</v>
      </c>
      <c r="S830" s="116"/>
      <c r="T830" s="144">
        <v>43878.0</v>
      </c>
      <c r="U830" s="50">
        <v>33.64</v>
      </c>
      <c r="V830" s="50">
        <v>31.6</v>
      </c>
      <c r="W830" s="116"/>
      <c r="X830" s="116"/>
      <c r="Y830" s="144">
        <v>43878.0</v>
      </c>
      <c r="Z830" s="50">
        <v>36.27</v>
      </c>
      <c r="AA830" s="50">
        <v>40.0</v>
      </c>
      <c r="AB830" s="116"/>
      <c r="AC830" s="116"/>
      <c r="AD830" s="116"/>
      <c r="AE830" s="50">
        <v>1.0</v>
      </c>
      <c r="AF830" s="50" t="s">
        <v>18902</v>
      </c>
      <c r="AG830" s="117">
        <v>8377.0</v>
      </c>
      <c r="AH830" s="50" t="s">
        <v>28268</v>
      </c>
      <c r="AI830" s="50" t="s">
        <v>28269</v>
      </c>
      <c r="AJ830" s="117">
        <v>831.0</v>
      </c>
    </row>
    <row r="831">
      <c r="A831" s="50" t="s">
        <v>28263</v>
      </c>
      <c r="B831" s="50" t="s">
        <v>6876</v>
      </c>
      <c r="C831" s="50" t="s">
        <v>6877</v>
      </c>
      <c r="D831" s="50" t="s">
        <v>8493</v>
      </c>
      <c r="E831" s="144">
        <v>43888.0</v>
      </c>
      <c r="F831" s="50" t="s">
        <v>28271</v>
      </c>
      <c r="G831" s="50">
        <v>59.0</v>
      </c>
      <c r="H831" s="50">
        <v>1.0</v>
      </c>
      <c r="I831" s="50">
        <v>11.0</v>
      </c>
      <c r="J831" s="116"/>
      <c r="K831" s="116"/>
      <c r="L831" s="50" t="s">
        <v>3323</v>
      </c>
      <c r="M831" s="50" t="s">
        <v>3323</v>
      </c>
      <c r="N831" s="122">
        <v>43832.0</v>
      </c>
      <c r="O831" s="50">
        <v>1.0</v>
      </c>
      <c r="P831" s="50">
        <v>1.0</v>
      </c>
      <c r="Q831" s="116"/>
      <c r="R831" s="50" t="s">
        <v>28133</v>
      </c>
      <c r="S831" s="116"/>
      <c r="T831" s="144">
        <v>43878.0</v>
      </c>
      <c r="U831" s="50">
        <v>27.28</v>
      </c>
      <c r="V831" s="50">
        <v>26.73</v>
      </c>
      <c r="W831" s="116"/>
      <c r="X831" s="116"/>
      <c r="Y831" s="144">
        <v>43878.0</v>
      </c>
      <c r="Z831" s="50">
        <v>40.0</v>
      </c>
      <c r="AA831" s="50">
        <v>40.0</v>
      </c>
      <c r="AB831" s="116"/>
      <c r="AC831" s="116"/>
      <c r="AD831" s="116"/>
      <c r="AE831" s="50">
        <v>1.0</v>
      </c>
      <c r="AF831" s="50" t="s">
        <v>18902</v>
      </c>
      <c r="AG831" s="117">
        <v>8378.0</v>
      </c>
      <c r="AH831" s="50" t="s">
        <v>28275</v>
      </c>
      <c r="AI831" s="50" t="s">
        <v>28276</v>
      </c>
      <c r="AJ831" s="117">
        <v>832.0</v>
      </c>
    </row>
    <row r="832">
      <c r="A832" s="50" t="s">
        <v>28271</v>
      </c>
      <c r="B832" s="50" t="s">
        <v>6876</v>
      </c>
      <c r="C832" s="50" t="s">
        <v>6877</v>
      </c>
      <c r="D832" s="50" t="s">
        <v>8493</v>
      </c>
      <c r="E832" s="144">
        <v>43888.0</v>
      </c>
      <c r="F832" s="50" t="s">
        <v>28278</v>
      </c>
      <c r="G832" s="50">
        <v>59.0</v>
      </c>
      <c r="H832" s="50">
        <v>1.0</v>
      </c>
      <c r="I832" s="50">
        <v>11.0</v>
      </c>
      <c r="J832" s="116"/>
      <c r="K832" s="116"/>
      <c r="L832" s="50" t="s">
        <v>3356</v>
      </c>
      <c r="M832" s="50" t="s">
        <v>3356</v>
      </c>
      <c r="N832" s="122">
        <v>43832.0</v>
      </c>
      <c r="O832" s="50">
        <v>1.0</v>
      </c>
      <c r="P832" s="50">
        <v>1.0</v>
      </c>
      <c r="Q832" s="116"/>
      <c r="R832" s="50" t="s">
        <v>28133</v>
      </c>
      <c r="S832" s="116"/>
      <c r="T832" s="144">
        <v>43878.0</v>
      </c>
      <c r="U832" s="50">
        <v>30.77</v>
      </c>
      <c r="V832" s="50">
        <v>30.28</v>
      </c>
      <c r="W832" s="116"/>
      <c r="X832" s="116"/>
      <c r="Y832" s="144">
        <v>43878.0</v>
      </c>
      <c r="Z832" s="50">
        <v>39.83</v>
      </c>
      <c r="AA832" s="50">
        <v>40.0</v>
      </c>
      <c r="AB832" s="116"/>
      <c r="AC832" s="116"/>
      <c r="AD832" s="116"/>
      <c r="AE832" s="50">
        <v>1.0</v>
      </c>
      <c r="AF832" s="50" t="s">
        <v>18902</v>
      </c>
      <c r="AG832" s="117">
        <v>8379.0</v>
      </c>
      <c r="AH832" s="50" t="s">
        <v>28283</v>
      </c>
      <c r="AI832" s="50" t="s">
        <v>28284</v>
      </c>
      <c r="AJ832" s="117">
        <v>833.0</v>
      </c>
    </row>
    <row r="833">
      <c r="A833" s="50" t="s">
        <v>28278</v>
      </c>
      <c r="B833" s="50" t="s">
        <v>6876</v>
      </c>
      <c r="C833" s="50" t="s">
        <v>6877</v>
      </c>
      <c r="D833" s="50" t="s">
        <v>8493</v>
      </c>
      <c r="E833" s="144">
        <v>43888.0</v>
      </c>
      <c r="F833" s="50" t="s">
        <v>28287</v>
      </c>
      <c r="G833" s="50">
        <v>59.0</v>
      </c>
      <c r="H833" s="50">
        <v>1.0</v>
      </c>
      <c r="I833" s="50">
        <v>99.0</v>
      </c>
      <c r="J833" s="116"/>
      <c r="K833" s="116"/>
      <c r="L833" s="50" t="s">
        <v>3365</v>
      </c>
      <c r="M833" s="50" t="s">
        <v>3365</v>
      </c>
      <c r="N833" s="122">
        <v>43832.0</v>
      </c>
      <c r="O833" s="50">
        <v>1.0</v>
      </c>
      <c r="P833" s="50">
        <v>1.0</v>
      </c>
      <c r="Q833" s="116"/>
      <c r="R833" s="50" t="s">
        <v>28133</v>
      </c>
      <c r="S833" s="116"/>
      <c r="T833" s="144">
        <v>43878.0</v>
      </c>
      <c r="U833" s="50">
        <v>9999.0</v>
      </c>
      <c r="V833" s="50">
        <v>9999.0</v>
      </c>
      <c r="W833" s="116"/>
      <c r="X833" s="116"/>
      <c r="Y833" s="144">
        <v>43878.0</v>
      </c>
      <c r="Z833" s="50">
        <v>35.77</v>
      </c>
      <c r="AA833" s="50">
        <v>35.68</v>
      </c>
      <c r="AB833" s="116"/>
      <c r="AC833" s="116"/>
      <c r="AD833" s="50" t="s">
        <v>28292</v>
      </c>
      <c r="AE833" s="50">
        <v>1.0</v>
      </c>
      <c r="AF833" s="50" t="s">
        <v>18902</v>
      </c>
      <c r="AG833" s="117">
        <v>8380.0</v>
      </c>
      <c r="AH833" s="50" t="s">
        <v>28293</v>
      </c>
      <c r="AI833" s="50" t="s">
        <v>28295</v>
      </c>
      <c r="AJ833" s="117">
        <v>834.0</v>
      </c>
    </row>
    <row r="834">
      <c r="A834" s="50" t="s">
        <v>28287</v>
      </c>
      <c r="B834" s="50" t="s">
        <v>6876</v>
      </c>
      <c r="C834" s="50" t="s">
        <v>6877</v>
      </c>
      <c r="D834" s="50" t="s">
        <v>8493</v>
      </c>
      <c r="E834" s="144">
        <v>43888.0</v>
      </c>
      <c r="F834" s="50" t="s">
        <v>28297</v>
      </c>
      <c r="G834" s="50">
        <v>59.0</v>
      </c>
      <c r="H834" s="50">
        <v>1.0</v>
      </c>
      <c r="I834" s="50">
        <v>11.0</v>
      </c>
      <c r="J834" s="116"/>
      <c r="K834" s="116"/>
      <c r="L834" s="50" t="s">
        <v>3380</v>
      </c>
      <c r="M834" s="50" t="s">
        <v>3380</v>
      </c>
      <c r="N834" s="122">
        <v>43832.0</v>
      </c>
      <c r="O834" s="50">
        <v>1.0</v>
      </c>
      <c r="P834" s="50">
        <v>1.0</v>
      </c>
      <c r="Q834" s="116"/>
      <c r="R834" s="50" t="s">
        <v>28133</v>
      </c>
      <c r="S834" s="116"/>
      <c r="T834" s="144">
        <v>43878.0</v>
      </c>
      <c r="U834" s="50">
        <v>29.43</v>
      </c>
      <c r="V834" s="50">
        <v>28.92</v>
      </c>
      <c r="W834" s="116"/>
      <c r="X834" s="116"/>
      <c r="Y834" s="144">
        <v>43878.0</v>
      </c>
      <c r="Z834" s="50">
        <v>39.24</v>
      </c>
      <c r="AA834" s="50">
        <v>39.07</v>
      </c>
      <c r="AB834" s="116"/>
      <c r="AC834" s="116"/>
      <c r="AD834" s="116"/>
      <c r="AE834" s="50">
        <v>1.0</v>
      </c>
      <c r="AF834" s="50" t="s">
        <v>18902</v>
      </c>
      <c r="AG834" s="117">
        <v>8381.0</v>
      </c>
      <c r="AH834" s="50" t="s">
        <v>28302</v>
      </c>
      <c r="AI834" s="50" t="s">
        <v>28303</v>
      </c>
      <c r="AJ834" s="117">
        <v>835.0</v>
      </c>
    </row>
    <row r="835">
      <c r="A835" s="50" t="s">
        <v>28297</v>
      </c>
      <c r="B835" s="50" t="s">
        <v>6876</v>
      </c>
      <c r="C835" s="50" t="s">
        <v>6877</v>
      </c>
      <c r="D835" s="50" t="s">
        <v>8493</v>
      </c>
      <c r="E835" s="144">
        <v>43888.0</v>
      </c>
      <c r="F835" s="50" t="s">
        <v>28306</v>
      </c>
      <c r="G835" s="50">
        <v>59.0</v>
      </c>
      <c r="H835" s="50">
        <v>1.0</v>
      </c>
      <c r="I835" s="50">
        <v>11.0</v>
      </c>
      <c r="J835" s="116"/>
      <c r="K835" s="116"/>
      <c r="L835" s="50" t="s">
        <v>3412</v>
      </c>
      <c r="M835" s="50" t="s">
        <v>3412</v>
      </c>
      <c r="N835" s="122">
        <v>43832.0</v>
      </c>
      <c r="O835" s="50">
        <v>1.0</v>
      </c>
      <c r="P835" s="50">
        <v>1.0</v>
      </c>
      <c r="Q835" s="116"/>
      <c r="R835" s="50" t="s">
        <v>28133</v>
      </c>
      <c r="S835" s="116"/>
      <c r="T835" s="144">
        <v>43878.0</v>
      </c>
      <c r="U835" s="50">
        <v>28.22</v>
      </c>
      <c r="V835" s="50">
        <v>27.45</v>
      </c>
      <c r="W835" s="116"/>
      <c r="X835" s="116"/>
      <c r="Y835" s="144">
        <v>43878.0</v>
      </c>
      <c r="Z835" s="50">
        <v>36.85</v>
      </c>
      <c r="AA835" s="50">
        <v>37.29</v>
      </c>
      <c r="AB835" s="116"/>
      <c r="AC835" s="116"/>
      <c r="AD835" s="116"/>
      <c r="AE835" s="50">
        <v>1.0</v>
      </c>
      <c r="AF835" s="50" t="s">
        <v>18902</v>
      </c>
      <c r="AG835" s="117">
        <v>8382.0</v>
      </c>
      <c r="AH835" s="50" t="s">
        <v>28311</v>
      </c>
      <c r="AI835" s="50" t="s">
        <v>28313</v>
      </c>
      <c r="AJ835" s="117">
        <v>836.0</v>
      </c>
    </row>
    <row r="836">
      <c r="A836" s="1" t="s">
        <v>28315</v>
      </c>
      <c r="B836" s="1" t="s">
        <v>6876</v>
      </c>
      <c r="C836" s="1" t="s">
        <v>6877</v>
      </c>
      <c r="D836" s="1" t="s">
        <v>8493</v>
      </c>
      <c r="E836" s="147">
        <v>43903.0</v>
      </c>
      <c r="F836" s="1" t="s">
        <v>28317</v>
      </c>
      <c r="G836" s="1">
        <v>57.0</v>
      </c>
      <c r="H836" s="1">
        <v>1.0</v>
      </c>
      <c r="I836" s="1">
        <v>99.0</v>
      </c>
      <c r="L836" s="1" t="s">
        <v>3709</v>
      </c>
      <c r="M836" s="1" t="s">
        <v>3709</v>
      </c>
      <c r="N836" s="154">
        <v>43832.0</v>
      </c>
      <c r="O836" s="1">
        <v>1.0</v>
      </c>
      <c r="P836" s="1">
        <v>1.0</v>
      </c>
      <c r="R836" s="1" t="s">
        <v>28099</v>
      </c>
      <c r="T836" s="147">
        <v>43879.0</v>
      </c>
      <c r="U836" s="1">
        <v>27.97</v>
      </c>
      <c r="V836" s="1">
        <v>27.23</v>
      </c>
      <c r="Y836" s="147">
        <v>43879.0</v>
      </c>
      <c r="Z836" s="1">
        <v>33.23</v>
      </c>
      <c r="AA836" s="1">
        <v>33.9</v>
      </c>
      <c r="AE836" s="1">
        <v>1.0</v>
      </c>
      <c r="AF836" s="1" t="s">
        <v>18902</v>
      </c>
      <c r="AG836" s="121">
        <v>8558.0</v>
      </c>
      <c r="AH836" s="1" t="s">
        <v>28331</v>
      </c>
      <c r="AI836" s="1" t="s">
        <v>28332</v>
      </c>
      <c r="AJ836" s="121">
        <v>837.0</v>
      </c>
    </row>
    <row r="837">
      <c r="A837" s="1" t="s">
        <v>28317</v>
      </c>
      <c r="B837" s="1" t="s">
        <v>6876</v>
      </c>
      <c r="C837" s="1" t="s">
        <v>6877</v>
      </c>
      <c r="D837" s="1" t="s">
        <v>8493</v>
      </c>
      <c r="E837" s="147">
        <v>43903.0</v>
      </c>
      <c r="F837" s="1" t="s">
        <v>28334</v>
      </c>
      <c r="G837" s="1">
        <v>57.0</v>
      </c>
      <c r="H837" s="1">
        <v>1.0</v>
      </c>
      <c r="I837" s="1">
        <v>12.0</v>
      </c>
      <c r="L837" s="1" t="s">
        <v>3588</v>
      </c>
      <c r="M837" s="1" t="s">
        <v>3588</v>
      </c>
      <c r="N837" s="154">
        <v>43832.0</v>
      </c>
      <c r="O837" s="1">
        <v>1.0</v>
      </c>
      <c r="P837" s="1">
        <v>1.0</v>
      </c>
      <c r="R837" s="1" t="s">
        <v>28099</v>
      </c>
      <c r="T837" s="147">
        <v>43879.0</v>
      </c>
      <c r="U837" s="1">
        <v>22.81</v>
      </c>
      <c r="V837" s="1">
        <v>22.8</v>
      </c>
      <c r="Y837" s="147">
        <v>43879.0</v>
      </c>
      <c r="Z837" s="1">
        <v>35.36</v>
      </c>
      <c r="AA837" s="1">
        <v>35.48</v>
      </c>
      <c r="AE837" s="1">
        <v>1.0</v>
      </c>
      <c r="AF837" s="1" t="s">
        <v>18902</v>
      </c>
      <c r="AG837" s="121">
        <v>8559.0</v>
      </c>
      <c r="AH837" s="1" t="s">
        <v>28339</v>
      </c>
      <c r="AI837" s="1" t="s">
        <v>28340</v>
      </c>
      <c r="AJ837" s="121">
        <v>838.0</v>
      </c>
    </row>
    <row r="838">
      <c r="A838" s="1" t="s">
        <v>28334</v>
      </c>
      <c r="B838" s="1" t="s">
        <v>6876</v>
      </c>
      <c r="C838" s="1" t="s">
        <v>6877</v>
      </c>
      <c r="D838" s="1" t="s">
        <v>8493</v>
      </c>
      <c r="E838" s="147">
        <v>43903.0</v>
      </c>
      <c r="F838" s="1" t="s">
        <v>28343</v>
      </c>
      <c r="G838" s="1">
        <v>57.0</v>
      </c>
      <c r="H838" s="1">
        <v>1.0</v>
      </c>
      <c r="I838" s="1">
        <v>12.0</v>
      </c>
      <c r="L838" s="1" t="s">
        <v>3541</v>
      </c>
      <c r="M838" s="1" t="s">
        <v>3541</v>
      </c>
      <c r="N838" s="154">
        <v>43832.0</v>
      </c>
      <c r="O838" s="1">
        <v>1.0</v>
      </c>
      <c r="P838" s="1">
        <v>1.0</v>
      </c>
      <c r="R838" s="1" t="s">
        <v>28099</v>
      </c>
      <c r="T838" s="147">
        <v>43879.0</v>
      </c>
      <c r="U838" s="1">
        <v>26.24</v>
      </c>
      <c r="V838" s="1">
        <v>26.19</v>
      </c>
      <c r="Y838" s="147">
        <v>43879.0</v>
      </c>
      <c r="Z838" s="1">
        <v>32.57</v>
      </c>
      <c r="AA838" s="1">
        <v>32.13</v>
      </c>
      <c r="AE838" s="1">
        <v>1.0</v>
      </c>
      <c r="AF838" s="1" t="s">
        <v>18902</v>
      </c>
      <c r="AG838" s="121">
        <v>8560.0</v>
      </c>
      <c r="AH838" s="1" t="s">
        <v>28348</v>
      </c>
      <c r="AI838" s="1" t="s">
        <v>28349</v>
      </c>
      <c r="AJ838" s="121">
        <v>839.0</v>
      </c>
    </row>
    <row r="839">
      <c r="A839" s="1" t="s">
        <v>28343</v>
      </c>
      <c r="B839" s="1" t="s">
        <v>6876</v>
      </c>
      <c r="C839" s="1" t="s">
        <v>6877</v>
      </c>
      <c r="D839" s="1" t="s">
        <v>8493</v>
      </c>
      <c r="E839" s="147">
        <v>43903.0</v>
      </c>
      <c r="F839" s="1" t="s">
        <v>28351</v>
      </c>
      <c r="G839" s="1">
        <v>57.0</v>
      </c>
      <c r="H839" s="1">
        <v>1.0</v>
      </c>
      <c r="I839" s="1">
        <v>99.0</v>
      </c>
      <c r="L839" s="1" t="s">
        <v>3556</v>
      </c>
      <c r="M839" s="1" t="s">
        <v>3556</v>
      </c>
      <c r="N839" s="154">
        <v>43832.0</v>
      </c>
      <c r="O839" s="1">
        <v>1.0</v>
      </c>
      <c r="P839" s="1">
        <v>1.0</v>
      </c>
      <c r="R839" s="1" t="s">
        <v>28099</v>
      </c>
      <c r="T839" s="147">
        <v>43879.0</v>
      </c>
      <c r="U839" s="1">
        <v>9999.0</v>
      </c>
      <c r="V839" s="1">
        <v>9999.0</v>
      </c>
      <c r="Y839" s="147">
        <v>43879.0</v>
      </c>
      <c r="Z839" s="1">
        <v>9999.0</v>
      </c>
      <c r="AA839" s="1">
        <v>9999.0</v>
      </c>
      <c r="AD839" s="1" t="s">
        <v>21569</v>
      </c>
      <c r="AE839" s="1">
        <v>1.0</v>
      </c>
      <c r="AF839" s="1" t="s">
        <v>18902</v>
      </c>
      <c r="AG839" s="121">
        <v>8561.0</v>
      </c>
      <c r="AH839" s="1" t="s">
        <v>28355</v>
      </c>
      <c r="AI839" s="1" t="s">
        <v>28356</v>
      </c>
      <c r="AJ839" s="121">
        <v>840.0</v>
      </c>
    </row>
    <row r="840">
      <c r="A840" s="1" t="s">
        <v>28351</v>
      </c>
      <c r="B840" s="1" t="s">
        <v>6876</v>
      </c>
      <c r="C840" s="1" t="s">
        <v>6877</v>
      </c>
      <c r="D840" s="1" t="s">
        <v>8493</v>
      </c>
      <c r="E840" s="147">
        <v>43903.0</v>
      </c>
      <c r="F840" s="1" t="s">
        <v>28360</v>
      </c>
      <c r="G840" s="1">
        <v>55.0</v>
      </c>
      <c r="H840" s="1">
        <v>1.0</v>
      </c>
      <c r="I840" s="1">
        <v>12.0</v>
      </c>
      <c r="L840" s="1" t="s">
        <v>3463</v>
      </c>
      <c r="M840" s="1" t="s">
        <v>3463</v>
      </c>
      <c r="N840" s="154">
        <v>43832.0</v>
      </c>
      <c r="O840" s="1">
        <v>1.0</v>
      </c>
      <c r="P840" s="1">
        <v>1.0</v>
      </c>
      <c r="R840" s="1" t="s">
        <v>28099</v>
      </c>
      <c r="T840" s="147">
        <v>43879.0</v>
      </c>
      <c r="U840" s="1">
        <v>24.86</v>
      </c>
      <c r="V840" s="1">
        <v>25.07</v>
      </c>
      <c r="Y840" s="147">
        <v>43879.0</v>
      </c>
      <c r="Z840" s="1">
        <v>34.08</v>
      </c>
      <c r="AA840" s="1">
        <v>33.69</v>
      </c>
      <c r="AE840" s="1">
        <v>1.0</v>
      </c>
      <c r="AF840" s="1" t="s">
        <v>18902</v>
      </c>
      <c r="AG840" s="121">
        <v>8562.0</v>
      </c>
      <c r="AH840" s="1" t="s">
        <v>28365</v>
      </c>
      <c r="AI840" s="1" t="s">
        <v>28366</v>
      </c>
      <c r="AJ840" s="121">
        <v>841.0</v>
      </c>
    </row>
    <row r="841">
      <c r="A841" s="1" t="s">
        <v>28360</v>
      </c>
      <c r="B841" s="1" t="s">
        <v>6876</v>
      </c>
      <c r="C841" s="1" t="s">
        <v>6877</v>
      </c>
      <c r="D841" s="1" t="s">
        <v>8493</v>
      </c>
      <c r="E841" s="147">
        <v>43903.0</v>
      </c>
      <c r="F841" s="1" t="s">
        <v>28371</v>
      </c>
      <c r="G841" s="1">
        <v>57.0</v>
      </c>
      <c r="H841" s="1">
        <v>1.0</v>
      </c>
      <c r="I841" s="1">
        <v>16.0</v>
      </c>
      <c r="L841" s="1" t="s">
        <v>3755</v>
      </c>
      <c r="M841" s="1" t="s">
        <v>3755</v>
      </c>
      <c r="N841" s="154">
        <v>43832.0</v>
      </c>
      <c r="O841" s="1">
        <v>1.0</v>
      </c>
      <c r="P841" s="1">
        <v>1.0</v>
      </c>
      <c r="R841" s="1" t="s">
        <v>28099</v>
      </c>
      <c r="T841" s="147">
        <v>43879.0</v>
      </c>
      <c r="U841" s="1">
        <v>9999.0</v>
      </c>
      <c r="V841" s="1">
        <v>9999.0</v>
      </c>
      <c r="Y841" s="147">
        <v>43879.0</v>
      </c>
      <c r="Z841" s="1">
        <v>9999.0</v>
      </c>
      <c r="AA841" s="1">
        <v>9999.0</v>
      </c>
      <c r="AE841" s="1">
        <v>1.0</v>
      </c>
      <c r="AF841" s="1" t="s">
        <v>18902</v>
      </c>
      <c r="AG841" s="121">
        <v>8563.0</v>
      </c>
      <c r="AH841" s="1" t="s">
        <v>28376</v>
      </c>
      <c r="AI841" s="1" t="s">
        <v>28377</v>
      </c>
      <c r="AJ841" s="121">
        <v>842.0</v>
      </c>
    </row>
    <row r="842">
      <c r="A842" s="1" t="s">
        <v>28371</v>
      </c>
      <c r="B842" s="1" t="s">
        <v>6876</v>
      </c>
      <c r="C842" s="1" t="s">
        <v>6877</v>
      </c>
      <c r="D842" s="1" t="s">
        <v>8493</v>
      </c>
      <c r="E842" s="147">
        <v>43903.0</v>
      </c>
      <c r="F842" s="1" t="s">
        <v>28379</v>
      </c>
      <c r="G842" s="1">
        <v>58.0</v>
      </c>
      <c r="H842" s="1">
        <v>2.0</v>
      </c>
      <c r="I842" s="1">
        <v>2.0</v>
      </c>
      <c r="L842" s="1" t="s">
        <v>349</v>
      </c>
      <c r="M842" s="1" t="s">
        <v>349</v>
      </c>
      <c r="N842" s="154">
        <v>43832.0</v>
      </c>
      <c r="O842" s="1">
        <v>1.0</v>
      </c>
      <c r="P842" s="1">
        <v>1.0</v>
      </c>
      <c r="R842" s="1" t="s">
        <v>28099</v>
      </c>
      <c r="T842" s="147">
        <v>43879.0</v>
      </c>
      <c r="U842" s="1">
        <v>35.73</v>
      </c>
      <c r="V842" s="1">
        <v>9999.0</v>
      </c>
      <c r="Y842" s="147">
        <v>43879.0</v>
      </c>
      <c r="Z842" s="1">
        <v>9999.0</v>
      </c>
      <c r="AA842" s="1">
        <v>9999.0</v>
      </c>
      <c r="AE842" s="1">
        <v>1.0</v>
      </c>
      <c r="AF842" s="1" t="s">
        <v>18902</v>
      </c>
      <c r="AG842" s="121">
        <v>8564.0</v>
      </c>
      <c r="AH842" s="1" t="s">
        <v>28384</v>
      </c>
      <c r="AI842" s="1" t="s">
        <v>28385</v>
      </c>
      <c r="AJ842" s="121">
        <v>843.0</v>
      </c>
    </row>
    <row r="843">
      <c r="A843" s="1" t="s">
        <v>28379</v>
      </c>
      <c r="B843" s="1" t="s">
        <v>6876</v>
      </c>
      <c r="C843" s="1" t="s">
        <v>6877</v>
      </c>
      <c r="D843" s="1" t="s">
        <v>8493</v>
      </c>
      <c r="E843" s="147">
        <v>43903.0</v>
      </c>
      <c r="F843" s="1" t="s">
        <v>28389</v>
      </c>
      <c r="G843" s="1">
        <v>58.0</v>
      </c>
      <c r="H843" s="1">
        <v>2.0</v>
      </c>
      <c r="I843" s="1">
        <v>2.0</v>
      </c>
      <c r="L843" s="1" t="s">
        <v>16838</v>
      </c>
      <c r="M843" s="1" t="s">
        <v>16838</v>
      </c>
      <c r="N843" s="1">
        <v>1.0</v>
      </c>
      <c r="O843" s="1">
        <v>1.0</v>
      </c>
      <c r="P843" s="1">
        <v>0.0</v>
      </c>
      <c r="R843" s="1" t="s">
        <v>28391</v>
      </c>
      <c r="T843" s="147">
        <v>43879.0</v>
      </c>
      <c r="U843" s="1">
        <v>37.23</v>
      </c>
      <c r="V843" s="1">
        <v>36.57</v>
      </c>
      <c r="AE843" s="1">
        <v>1.0</v>
      </c>
      <c r="AF843" s="1" t="s">
        <v>18902</v>
      </c>
      <c r="AG843" s="121">
        <v>8565.0</v>
      </c>
      <c r="AH843" s="1" t="s">
        <v>28394</v>
      </c>
      <c r="AI843" s="1" t="s">
        <v>28396</v>
      </c>
      <c r="AJ843" s="121">
        <v>844.0</v>
      </c>
    </row>
    <row r="844">
      <c r="A844" s="1" t="s">
        <v>28389</v>
      </c>
      <c r="B844" s="1" t="s">
        <v>6876</v>
      </c>
      <c r="C844" s="1" t="s">
        <v>6877</v>
      </c>
      <c r="D844" s="1" t="s">
        <v>8493</v>
      </c>
      <c r="E844" s="147">
        <v>43903.0</v>
      </c>
      <c r="F844" s="1" t="s">
        <v>28398</v>
      </c>
      <c r="G844" s="1">
        <v>58.0</v>
      </c>
      <c r="H844" s="1">
        <v>2.0</v>
      </c>
      <c r="I844" s="1">
        <v>10.0</v>
      </c>
      <c r="L844" s="1" t="s">
        <v>3345</v>
      </c>
      <c r="M844" s="1" t="s">
        <v>3345</v>
      </c>
      <c r="N844" s="154">
        <v>43832.0</v>
      </c>
      <c r="O844" s="1">
        <v>1.0</v>
      </c>
      <c r="P844" s="1">
        <v>1.0</v>
      </c>
      <c r="R844" s="1" t="s">
        <v>28099</v>
      </c>
      <c r="T844" s="147">
        <v>43879.0</v>
      </c>
      <c r="U844" s="1">
        <v>37.35</v>
      </c>
      <c r="V844" s="1">
        <v>36.88</v>
      </c>
      <c r="Y844" s="147">
        <v>43879.0</v>
      </c>
      <c r="Z844" s="1">
        <v>36.87</v>
      </c>
      <c r="AA844" s="1">
        <v>40.0</v>
      </c>
      <c r="AE844" s="1">
        <v>1.0</v>
      </c>
      <c r="AF844" s="1" t="s">
        <v>18902</v>
      </c>
      <c r="AG844" s="121">
        <v>8566.0</v>
      </c>
      <c r="AH844" s="1" t="s">
        <v>28404</v>
      </c>
      <c r="AI844" s="1" t="s">
        <v>28405</v>
      </c>
      <c r="AJ844" s="121">
        <v>845.0</v>
      </c>
    </row>
    <row r="845">
      <c r="A845" s="1" t="s">
        <v>28398</v>
      </c>
      <c r="B845" s="1" t="s">
        <v>6876</v>
      </c>
      <c r="C845" s="1" t="s">
        <v>6877</v>
      </c>
      <c r="D845" s="1" t="s">
        <v>8493</v>
      </c>
      <c r="E845" s="147">
        <v>43903.0</v>
      </c>
      <c r="F845" s="1" t="s">
        <v>28409</v>
      </c>
      <c r="G845" s="1">
        <v>33.0</v>
      </c>
      <c r="H845" s="1">
        <v>1.0</v>
      </c>
      <c r="I845" s="1">
        <v>98.0</v>
      </c>
      <c r="L845" s="1" t="s">
        <v>4077</v>
      </c>
      <c r="M845" s="1" t="s">
        <v>4077</v>
      </c>
      <c r="N845" s="154">
        <v>43832.0</v>
      </c>
      <c r="O845" s="1">
        <v>1.0</v>
      </c>
      <c r="P845" s="1">
        <v>1.0</v>
      </c>
      <c r="R845" s="1" t="s">
        <v>28099</v>
      </c>
      <c r="T845" s="147">
        <v>43879.0</v>
      </c>
      <c r="U845" s="1">
        <v>9999.0</v>
      </c>
      <c r="V845" s="1">
        <v>9999.0</v>
      </c>
      <c r="Y845" s="147">
        <v>43879.0</v>
      </c>
      <c r="Z845" s="1">
        <v>9999.0</v>
      </c>
      <c r="AA845" s="1">
        <v>9999.0</v>
      </c>
      <c r="AE845" s="1">
        <v>1.0</v>
      </c>
      <c r="AF845" s="1" t="s">
        <v>18902</v>
      </c>
      <c r="AG845" s="121">
        <v>8567.0</v>
      </c>
      <c r="AH845" s="1" t="s">
        <v>28417</v>
      </c>
      <c r="AI845" s="1" t="s">
        <v>28418</v>
      </c>
      <c r="AJ845" s="121">
        <v>846.0</v>
      </c>
    </row>
    <row r="846">
      <c r="A846" s="1" t="s">
        <v>28409</v>
      </c>
      <c r="B846" s="1" t="s">
        <v>6876</v>
      </c>
      <c r="C846" s="1" t="s">
        <v>6877</v>
      </c>
      <c r="D846" s="1" t="s">
        <v>8493</v>
      </c>
      <c r="E846" s="147">
        <v>43903.0</v>
      </c>
      <c r="F846" s="1" t="s">
        <v>28423</v>
      </c>
      <c r="G846" s="1">
        <v>29.0</v>
      </c>
      <c r="H846" s="1">
        <v>1.0</v>
      </c>
      <c r="I846" s="1">
        <v>12.0</v>
      </c>
      <c r="L846" s="1" t="s">
        <v>3768</v>
      </c>
      <c r="M846" s="1" t="s">
        <v>3768</v>
      </c>
      <c r="N846" s="154">
        <v>43832.0</v>
      </c>
      <c r="O846" s="1">
        <v>1.0</v>
      </c>
      <c r="P846" s="1">
        <v>1.0</v>
      </c>
      <c r="R846" s="1" t="s">
        <v>28099</v>
      </c>
      <c r="T846" s="147">
        <v>43879.0</v>
      </c>
      <c r="U846" s="1">
        <v>26.56</v>
      </c>
      <c r="V846" s="1">
        <v>26.85</v>
      </c>
      <c r="Y846" s="147">
        <v>43879.0</v>
      </c>
      <c r="Z846" s="1">
        <v>38.02</v>
      </c>
      <c r="AA846" s="1">
        <v>36.86</v>
      </c>
      <c r="AE846" s="1">
        <v>1.0</v>
      </c>
      <c r="AF846" s="1" t="s">
        <v>18902</v>
      </c>
      <c r="AG846" s="121">
        <v>8568.0</v>
      </c>
      <c r="AH846" s="1" t="s">
        <v>28429</v>
      </c>
      <c r="AI846" s="1" t="s">
        <v>28430</v>
      </c>
      <c r="AJ846" s="121">
        <v>847.0</v>
      </c>
    </row>
    <row r="847">
      <c r="A847" s="1" t="s">
        <v>28423</v>
      </c>
      <c r="B847" s="1" t="s">
        <v>6876</v>
      </c>
      <c r="C847" s="1" t="s">
        <v>6877</v>
      </c>
      <c r="D847" s="1" t="s">
        <v>8493</v>
      </c>
      <c r="E847" s="147">
        <v>43903.0</v>
      </c>
      <c r="F847" s="1" t="s">
        <v>28433</v>
      </c>
      <c r="G847" s="1">
        <v>3.0</v>
      </c>
      <c r="H847" s="1">
        <v>1.0</v>
      </c>
      <c r="I847" s="1">
        <v>12.0</v>
      </c>
      <c r="L847" s="1" t="s">
        <v>3785</v>
      </c>
      <c r="M847" s="1" t="s">
        <v>3785</v>
      </c>
      <c r="N847" s="154">
        <v>43832.0</v>
      </c>
      <c r="O847" s="1">
        <v>1.0</v>
      </c>
      <c r="P847" s="1">
        <v>1.0</v>
      </c>
      <c r="R847" s="1" t="s">
        <v>28099</v>
      </c>
      <c r="T847" s="147">
        <v>43879.0</v>
      </c>
      <c r="U847" s="1">
        <v>25.46</v>
      </c>
      <c r="V847" s="1">
        <v>25.12</v>
      </c>
      <c r="Y847" s="147">
        <v>43879.0</v>
      </c>
      <c r="Z847" s="1">
        <v>35.91</v>
      </c>
      <c r="AA847" s="1">
        <v>35.03</v>
      </c>
      <c r="AE847" s="1">
        <v>1.0</v>
      </c>
      <c r="AF847" s="1" t="s">
        <v>18902</v>
      </c>
      <c r="AG847" s="121">
        <v>8569.0</v>
      </c>
      <c r="AH847" s="1" t="s">
        <v>28440</v>
      </c>
      <c r="AI847" s="1" t="s">
        <v>28442</v>
      </c>
      <c r="AJ847" s="121">
        <v>848.0</v>
      </c>
    </row>
    <row r="848">
      <c r="A848" s="1" t="s">
        <v>28443</v>
      </c>
      <c r="B848" s="1" t="s">
        <v>6876</v>
      </c>
      <c r="C848" s="1" t="s">
        <v>6877</v>
      </c>
      <c r="D848" s="1" t="s">
        <v>8493</v>
      </c>
      <c r="E848" s="147">
        <v>43903.0</v>
      </c>
      <c r="F848" s="1" t="s">
        <v>28446</v>
      </c>
      <c r="G848" s="1">
        <v>3.0</v>
      </c>
      <c r="H848" s="1">
        <v>1.0</v>
      </c>
      <c r="I848" s="1">
        <v>99.0</v>
      </c>
      <c r="L848" s="1" t="s">
        <v>3792</v>
      </c>
      <c r="M848" s="1" t="s">
        <v>3792</v>
      </c>
      <c r="N848" s="154">
        <v>43832.0</v>
      </c>
      <c r="O848" s="1">
        <v>1.0</v>
      </c>
      <c r="P848" s="1">
        <v>1.0</v>
      </c>
      <c r="R848" s="1" t="s">
        <v>28099</v>
      </c>
      <c r="T848" s="147">
        <v>43879.0</v>
      </c>
      <c r="U848" s="1">
        <v>9999.0</v>
      </c>
      <c r="V848" s="1">
        <v>9999.0</v>
      </c>
      <c r="Y848" s="147">
        <v>43879.0</v>
      </c>
      <c r="Z848" s="1">
        <v>9999.0</v>
      </c>
      <c r="AA848" s="1">
        <v>9999.0</v>
      </c>
      <c r="AD848" s="1" t="s">
        <v>21622</v>
      </c>
      <c r="AE848" s="1">
        <v>1.0</v>
      </c>
      <c r="AF848" s="1" t="s">
        <v>18902</v>
      </c>
      <c r="AG848" s="121">
        <v>8570.0</v>
      </c>
      <c r="AH848" s="1" t="s">
        <v>28453</v>
      </c>
      <c r="AI848" s="1" t="s">
        <v>28454</v>
      </c>
      <c r="AJ848" s="121">
        <v>849.0</v>
      </c>
    </row>
    <row r="849">
      <c r="A849" s="1" t="s">
        <v>28446</v>
      </c>
      <c r="B849" s="1" t="s">
        <v>6876</v>
      </c>
      <c r="C849" s="1" t="s">
        <v>6877</v>
      </c>
      <c r="D849" s="1" t="s">
        <v>8493</v>
      </c>
      <c r="E849" s="147">
        <v>43903.0</v>
      </c>
      <c r="F849" s="1" t="s">
        <v>28456</v>
      </c>
      <c r="G849" s="1">
        <v>65.0</v>
      </c>
      <c r="H849" s="1">
        <v>1.0</v>
      </c>
      <c r="I849" s="1">
        <v>16.0</v>
      </c>
      <c r="L849" s="1" t="s">
        <v>3838</v>
      </c>
      <c r="M849" s="1" t="s">
        <v>3838</v>
      </c>
      <c r="N849" s="154">
        <v>43832.0</v>
      </c>
      <c r="O849" s="1">
        <v>1.0</v>
      </c>
      <c r="P849" s="1">
        <v>1.0</v>
      </c>
      <c r="R849" s="1" t="s">
        <v>28099</v>
      </c>
      <c r="T849" s="147">
        <v>43879.0</v>
      </c>
      <c r="U849" s="1">
        <v>35.3</v>
      </c>
      <c r="V849" s="1">
        <v>34.44</v>
      </c>
      <c r="Y849" s="147">
        <v>43879.0</v>
      </c>
      <c r="Z849" s="1">
        <v>37.71</v>
      </c>
      <c r="AA849" s="1">
        <v>9999.0</v>
      </c>
      <c r="AE849" s="1">
        <v>1.0</v>
      </c>
      <c r="AF849" s="1" t="s">
        <v>18902</v>
      </c>
      <c r="AG849" s="121">
        <v>8571.0</v>
      </c>
      <c r="AH849" s="1" t="s">
        <v>28464</v>
      </c>
      <c r="AI849" s="1" t="s">
        <v>28465</v>
      </c>
      <c r="AJ849" s="121">
        <v>850.0</v>
      </c>
    </row>
    <row r="850">
      <c r="A850" s="1" t="s">
        <v>28456</v>
      </c>
      <c r="B850" s="1" t="s">
        <v>6876</v>
      </c>
      <c r="C850" s="1" t="s">
        <v>6877</v>
      </c>
      <c r="D850" s="1" t="s">
        <v>8493</v>
      </c>
      <c r="E850" s="147">
        <v>43903.0</v>
      </c>
      <c r="F850" s="1" t="s">
        <v>28469</v>
      </c>
      <c r="G850" s="1">
        <v>58.0</v>
      </c>
      <c r="H850" s="1">
        <v>1.0</v>
      </c>
      <c r="I850" s="1">
        <v>7.0</v>
      </c>
      <c r="L850" s="1" t="s">
        <v>3805</v>
      </c>
      <c r="M850" s="1" t="s">
        <v>3805</v>
      </c>
      <c r="N850" s="154">
        <v>43832.0</v>
      </c>
      <c r="O850" s="1">
        <v>1.0</v>
      </c>
      <c r="P850" s="1">
        <v>1.0</v>
      </c>
      <c r="R850" s="1" t="s">
        <v>28099</v>
      </c>
      <c r="T850" s="147">
        <v>43879.0</v>
      </c>
      <c r="U850" s="1">
        <v>34.08</v>
      </c>
      <c r="V850" s="1">
        <v>9999.0</v>
      </c>
      <c r="Y850" s="147">
        <v>43879.0</v>
      </c>
      <c r="Z850" s="1">
        <v>9999.0</v>
      </c>
      <c r="AA850" s="1">
        <v>9999.0</v>
      </c>
      <c r="AE850" s="1">
        <v>1.0</v>
      </c>
      <c r="AF850" s="1" t="s">
        <v>18902</v>
      </c>
      <c r="AG850" s="121">
        <v>8572.0</v>
      </c>
      <c r="AH850" s="1" t="s">
        <v>28474</v>
      </c>
      <c r="AI850" s="1" t="s">
        <v>28475</v>
      </c>
      <c r="AJ850" s="121">
        <v>851.0</v>
      </c>
    </row>
    <row r="851">
      <c r="A851" s="1" t="s">
        <v>28469</v>
      </c>
      <c r="B851" s="1" t="s">
        <v>6876</v>
      </c>
      <c r="C851" s="1" t="s">
        <v>6877</v>
      </c>
      <c r="D851" s="1" t="s">
        <v>8493</v>
      </c>
      <c r="E851" s="147">
        <v>43903.0</v>
      </c>
      <c r="F851" s="1" t="s">
        <v>28479</v>
      </c>
      <c r="G851" s="1">
        <v>58.0</v>
      </c>
      <c r="H851" s="1">
        <v>1.0</v>
      </c>
      <c r="I851" s="1">
        <v>7.0</v>
      </c>
      <c r="L851" s="1" t="s">
        <v>3821</v>
      </c>
      <c r="M851" s="1" t="s">
        <v>3821</v>
      </c>
      <c r="N851" s="154">
        <v>43832.0</v>
      </c>
      <c r="O851" s="1">
        <v>1.0</v>
      </c>
      <c r="P851" s="1">
        <v>1.0</v>
      </c>
      <c r="R851" s="1" t="s">
        <v>28099</v>
      </c>
      <c r="T851" s="147">
        <v>43879.0</v>
      </c>
      <c r="U851" s="1">
        <v>30.86</v>
      </c>
      <c r="V851" s="1">
        <v>33.28</v>
      </c>
      <c r="Y851" s="147">
        <v>43879.0</v>
      </c>
      <c r="Z851" s="1">
        <v>9999.0</v>
      </c>
      <c r="AA851" s="1">
        <v>9999.0</v>
      </c>
      <c r="AE851" s="1">
        <v>1.0</v>
      </c>
      <c r="AF851" s="1" t="s">
        <v>18902</v>
      </c>
      <c r="AG851" s="121">
        <v>8573.0</v>
      </c>
      <c r="AH851" s="1" t="s">
        <v>28482</v>
      </c>
      <c r="AI851" s="1" t="s">
        <v>28484</v>
      </c>
      <c r="AJ851" s="121">
        <v>852.0</v>
      </c>
    </row>
    <row r="852">
      <c r="A852" s="1" t="s">
        <v>28479</v>
      </c>
      <c r="B852" s="1" t="s">
        <v>6876</v>
      </c>
      <c r="C852" s="1" t="s">
        <v>6877</v>
      </c>
      <c r="D852" s="1" t="s">
        <v>8493</v>
      </c>
      <c r="E852" s="147">
        <v>43903.0</v>
      </c>
      <c r="F852" s="1" t="s">
        <v>28486</v>
      </c>
      <c r="G852" s="1">
        <v>59.0</v>
      </c>
      <c r="H852" s="1">
        <v>1.0</v>
      </c>
      <c r="I852" s="1">
        <v>11.0</v>
      </c>
      <c r="L852" s="1" t="s">
        <v>3896</v>
      </c>
      <c r="M852" s="1" t="s">
        <v>3896</v>
      </c>
      <c r="N852" s="154">
        <v>43832.0</v>
      </c>
      <c r="O852" s="1">
        <v>1.0</v>
      </c>
      <c r="P852" s="1">
        <v>1.0</v>
      </c>
      <c r="R852" s="1" t="s">
        <v>28099</v>
      </c>
      <c r="T852" s="147">
        <v>43879.0</v>
      </c>
      <c r="U852" s="1">
        <v>30.01</v>
      </c>
      <c r="V852" s="1">
        <v>9999.0</v>
      </c>
      <c r="Y852" s="147">
        <v>43879.0</v>
      </c>
      <c r="Z852" s="1">
        <v>9999.0</v>
      </c>
      <c r="AA852" s="1">
        <v>9999.0</v>
      </c>
      <c r="AE852" s="1">
        <v>1.0</v>
      </c>
      <c r="AF852" s="1" t="s">
        <v>18902</v>
      </c>
      <c r="AG852" s="121">
        <v>8574.0</v>
      </c>
      <c r="AH852" s="1" t="s">
        <v>28493</v>
      </c>
      <c r="AI852" s="1" t="s">
        <v>28494</v>
      </c>
      <c r="AJ852" s="121">
        <v>853.0</v>
      </c>
    </row>
    <row r="853">
      <c r="A853" s="1" t="s">
        <v>28486</v>
      </c>
      <c r="B853" s="1" t="s">
        <v>6876</v>
      </c>
      <c r="C853" s="1" t="s">
        <v>6877</v>
      </c>
      <c r="D853" s="1" t="s">
        <v>8493</v>
      </c>
      <c r="E853" s="147">
        <v>43903.0</v>
      </c>
      <c r="F853" s="1" t="s">
        <v>28498</v>
      </c>
      <c r="G853" s="1">
        <v>59.0</v>
      </c>
      <c r="H853" s="1">
        <v>1.0</v>
      </c>
      <c r="I853" s="1">
        <v>11.0</v>
      </c>
      <c r="L853" s="1" t="s">
        <v>3911</v>
      </c>
      <c r="M853" s="1" t="s">
        <v>3911</v>
      </c>
      <c r="N853" s="154">
        <v>43832.0</v>
      </c>
      <c r="O853" s="1">
        <v>1.0</v>
      </c>
      <c r="P853" s="1">
        <v>1.0</v>
      </c>
      <c r="R853" s="1" t="s">
        <v>28099</v>
      </c>
      <c r="T853" s="147">
        <v>43879.0</v>
      </c>
      <c r="U853" s="1">
        <v>27.51</v>
      </c>
      <c r="V853" s="1">
        <v>27.41</v>
      </c>
      <c r="Y853" s="147">
        <v>43879.0</v>
      </c>
      <c r="Z853" s="1">
        <v>9999.0</v>
      </c>
      <c r="AA853" s="1">
        <v>9999.0</v>
      </c>
      <c r="AE853" s="1">
        <v>1.0</v>
      </c>
      <c r="AF853" s="1" t="s">
        <v>18902</v>
      </c>
      <c r="AG853" s="121">
        <v>8575.0</v>
      </c>
      <c r="AH853" s="1" t="s">
        <v>28504</v>
      </c>
      <c r="AI853" s="1" t="s">
        <v>28505</v>
      </c>
      <c r="AJ853" s="121">
        <v>854.0</v>
      </c>
    </row>
    <row r="854">
      <c r="A854" s="1" t="s">
        <v>28498</v>
      </c>
      <c r="B854" s="1" t="s">
        <v>6876</v>
      </c>
      <c r="C854" s="1" t="s">
        <v>6877</v>
      </c>
      <c r="D854" s="1" t="s">
        <v>8493</v>
      </c>
      <c r="E854" s="147">
        <v>43903.0</v>
      </c>
      <c r="F854" s="1" t="s">
        <v>28507</v>
      </c>
      <c r="G854" s="1">
        <v>59.0</v>
      </c>
      <c r="H854" s="1">
        <v>1.0</v>
      </c>
      <c r="I854" s="1">
        <v>11.0</v>
      </c>
      <c r="L854" s="1" t="s">
        <v>3931</v>
      </c>
      <c r="M854" s="1" t="s">
        <v>3931</v>
      </c>
      <c r="N854" s="154">
        <v>43832.0</v>
      </c>
      <c r="O854" s="1">
        <v>1.0</v>
      </c>
      <c r="P854" s="1">
        <v>1.0</v>
      </c>
      <c r="R854" s="1" t="s">
        <v>28099</v>
      </c>
      <c r="T854" s="147">
        <v>43879.0</v>
      </c>
      <c r="U854" s="1">
        <v>9999.0</v>
      </c>
      <c r="V854" s="1">
        <v>9999.0</v>
      </c>
      <c r="Y854" s="147">
        <v>43879.0</v>
      </c>
      <c r="Z854" s="1">
        <v>27.44</v>
      </c>
      <c r="AA854" s="1">
        <v>9999.0</v>
      </c>
      <c r="AE854" s="1">
        <v>1.0</v>
      </c>
      <c r="AF854" s="1" t="s">
        <v>18902</v>
      </c>
      <c r="AG854" s="121">
        <v>8576.0</v>
      </c>
      <c r="AH854" s="1" t="s">
        <v>28513</v>
      </c>
      <c r="AI854" s="1" t="s">
        <v>28514</v>
      </c>
      <c r="AJ854" s="121">
        <v>855.0</v>
      </c>
    </row>
    <row r="855">
      <c r="A855" s="1" t="s">
        <v>28507</v>
      </c>
      <c r="B855" s="1" t="s">
        <v>6876</v>
      </c>
      <c r="C855" s="1" t="s">
        <v>6877</v>
      </c>
      <c r="D855" s="1" t="s">
        <v>8493</v>
      </c>
      <c r="E855" s="147">
        <v>43903.0</v>
      </c>
      <c r="F855" s="1" t="s">
        <v>28518</v>
      </c>
      <c r="G855" s="1">
        <v>66.0</v>
      </c>
      <c r="H855" s="1">
        <v>1.0</v>
      </c>
      <c r="I855" s="1">
        <v>12.0</v>
      </c>
      <c r="L855" s="1" t="s">
        <v>3854</v>
      </c>
      <c r="M855" s="1" t="s">
        <v>3854</v>
      </c>
      <c r="N855" s="154">
        <v>43832.0</v>
      </c>
      <c r="O855" s="1">
        <v>1.0</v>
      </c>
      <c r="P855" s="1">
        <v>1.0</v>
      </c>
      <c r="R855" s="1" t="s">
        <v>28099</v>
      </c>
      <c r="T855" s="147">
        <v>43879.0</v>
      </c>
      <c r="U855" s="1">
        <v>26.49</v>
      </c>
      <c r="V855" s="1">
        <v>25.34</v>
      </c>
      <c r="Y855" s="147">
        <v>43879.0</v>
      </c>
      <c r="Z855" s="1">
        <v>37.04</v>
      </c>
      <c r="AA855" s="1">
        <v>37.12</v>
      </c>
      <c r="AE855" s="1">
        <v>1.0</v>
      </c>
      <c r="AF855" s="1" t="s">
        <v>18902</v>
      </c>
      <c r="AG855" s="121">
        <v>8577.0</v>
      </c>
      <c r="AH855" s="1" t="s">
        <v>28524</v>
      </c>
      <c r="AI855" s="1" t="s">
        <v>28525</v>
      </c>
      <c r="AJ855" s="121">
        <v>856.0</v>
      </c>
    </row>
    <row r="856">
      <c r="A856" s="1" t="s">
        <v>28518</v>
      </c>
      <c r="B856" s="1" t="s">
        <v>6876</v>
      </c>
      <c r="C856" s="1" t="s">
        <v>6877</v>
      </c>
      <c r="D856" s="1" t="s">
        <v>8493</v>
      </c>
      <c r="E856" s="147">
        <v>43903.0</v>
      </c>
      <c r="F856" s="1" t="s">
        <v>28527</v>
      </c>
      <c r="G856" s="1">
        <v>59.0</v>
      </c>
      <c r="H856" s="1">
        <v>1.0</v>
      </c>
      <c r="I856" s="1">
        <v>12.0</v>
      </c>
      <c r="L856" s="1" t="s">
        <v>3868</v>
      </c>
      <c r="M856" s="1" t="s">
        <v>3868</v>
      </c>
      <c r="N856" s="154">
        <v>43832.0</v>
      </c>
      <c r="O856" s="1">
        <v>1.0</v>
      </c>
      <c r="P856" s="1">
        <v>1.0</v>
      </c>
      <c r="R856" s="1" t="s">
        <v>28099</v>
      </c>
      <c r="T856" s="147">
        <v>43879.0</v>
      </c>
      <c r="U856" s="1">
        <v>25.19</v>
      </c>
      <c r="V856" s="1">
        <v>24.53</v>
      </c>
      <c r="Y856" s="147">
        <v>43879.0</v>
      </c>
      <c r="Z856" s="1">
        <v>37.7</v>
      </c>
      <c r="AA856" s="1">
        <v>36.81</v>
      </c>
      <c r="AE856" s="1">
        <v>1.0</v>
      </c>
      <c r="AF856" s="1" t="s">
        <v>18902</v>
      </c>
      <c r="AG856" s="121">
        <v>8578.0</v>
      </c>
      <c r="AH856" s="1" t="s">
        <v>28533</v>
      </c>
      <c r="AI856" s="1" t="s">
        <v>28535</v>
      </c>
      <c r="AJ856" s="121">
        <v>857.0</v>
      </c>
    </row>
    <row r="857">
      <c r="A857" s="1" t="s">
        <v>28527</v>
      </c>
      <c r="B857" s="1" t="s">
        <v>6876</v>
      </c>
      <c r="C857" s="1" t="s">
        <v>6877</v>
      </c>
      <c r="D857" s="1" t="s">
        <v>8493</v>
      </c>
      <c r="E857" s="147">
        <v>43903.0</v>
      </c>
      <c r="F857" s="1" t="s">
        <v>28539</v>
      </c>
      <c r="G857" s="1">
        <v>65.0</v>
      </c>
      <c r="H857" s="1">
        <v>1.0</v>
      </c>
      <c r="I857" s="1">
        <v>12.0</v>
      </c>
      <c r="L857" s="1" t="s">
        <v>3884</v>
      </c>
      <c r="M857" s="1" t="s">
        <v>3884</v>
      </c>
      <c r="N857" s="154">
        <v>43832.0</v>
      </c>
      <c r="O857" s="1">
        <v>1.0</v>
      </c>
      <c r="P857" s="1">
        <v>1.0</v>
      </c>
      <c r="R857" s="1" t="s">
        <v>28099</v>
      </c>
      <c r="T857" s="147">
        <v>43879.0</v>
      </c>
      <c r="U857" s="1">
        <v>25.07</v>
      </c>
      <c r="V857" s="1">
        <v>25.0</v>
      </c>
      <c r="Y857" s="147">
        <v>43879.0</v>
      </c>
      <c r="Z857" s="1">
        <v>32.44</v>
      </c>
      <c r="AA857" s="1">
        <v>32.19</v>
      </c>
      <c r="AE857" s="1">
        <v>1.0</v>
      </c>
      <c r="AF857" s="1" t="s">
        <v>18902</v>
      </c>
      <c r="AG857" s="121">
        <v>8579.0</v>
      </c>
      <c r="AH857" s="1" t="s">
        <v>28545</v>
      </c>
      <c r="AI857" s="1" t="s">
        <v>28546</v>
      </c>
      <c r="AJ857" s="121">
        <v>858.0</v>
      </c>
    </row>
    <row r="858">
      <c r="A858" s="1" t="s">
        <v>28539</v>
      </c>
      <c r="B858" s="1" t="s">
        <v>6876</v>
      </c>
      <c r="C858" s="1" t="s">
        <v>6877</v>
      </c>
      <c r="D858" s="1" t="s">
        <v>8493</v>
      </c>
      <c r="E858" s="147">
        <v>43903.0</v>
      </c>
      <c r="F858" s="1" t="s">
        <v>28550</v>
      </c>
      <c r="G858" s="1">
        <v>65.0</v>
      </c>
      <c r="H858" s="1">
        <v>1.0</v>
      </c>
      <c r="I858" s="1">
        <v>99.0</v>
      </c>
      <c r="L858" s="1" t="s">
        <v>3886</v>
      </c>
      <c r="M858" s="1" t="s">
        <v>3886</v>
      </c>
      <c r="N858" s="154">
        <v>43832.0</v>
      </c>
      <c r="O858" s="1">
        <v>1.0</v>
      </c>
      <c r="P858" s="1">
        <v>1.0</v>
      </c>
      <c r="R858" s="1" t="s">
        <v>28099</v>
      </c>
      <c r="T858" s="147">
        <v>43879.0</v>
      </c>
      <c r="U858" s="1">
        <v>9999.0</v>
      </c>
      <c r="V858" s="1">
        <v>9999.0</v>
      </c>
      <c r="Y858" s="147">
        <v>43879.0</v>
      </c>
      <c r="Z858" s="1">
        <v>9999.0</v>
      </c>
      <c r="AA858" s="1">
        <v>9999.0</v>
      </c>
      <c r="AD858" s="1" t="s">
        <v>21684</v>
      </c>
      <c r="AE858" s="1">
        <v>1.0</v>
      </c>
      <c r="AF858" s="1" t="s">
        <v>18902</v>
      </c>
      <c r="AG858" s="121">
        <v>8580.0</v>
      </c>
      <c r="AH858" s="1" t="s">
        <v>28555</v>
      </c>
      <c r="AI858" s="1" t="s">
        <v>28557</v>
      </c>
      <c r="AJ858" s="121">
        <v>859.0</v>
      </c>
    </row>
    <row r="859">
      <c r="A859" s="1" t="s">
        <v>28550</v>
      </c>
      <c r="B859" s="1" t="s">
        <v>6876</v>
      </c>
      <c r="C859" s="1" t="s">
        <v>6877</v>
      </c>
      <c r="D859" s="1" t="s">
        <v>8493</v>
      </c>
      <c r="E859" s="147">
        <v>43903.0</v>
      </c>
      <c r="F859" s="1" t="s">
        <v>28559</v>
      </c>
      <c r="G859" s="1">
        <v>58.0</v>
      </c>
      <c r="H859" s="1">
        <v>2.0</v>
      </c>
      <c r="I859" s="1">
        <v>14.0</v>
      </c>
      <c r="J859" s="1">
        <v>144.0</v>
      </c>
      <c r="L859" s="1" t="s">
        <v>762</v>
      </c>
      <c r="M859" s="1" t="s">
        <v>762</v>
      </c>
      <c r="N859" s="154">
        <v>43832.0</v>
      </c>
      <c r="O859" s="1">
        <v>1.0</v>
      </c>
      <c r="P859" s="1">
        <v>1.0</v>
      </c>
      <c r="R859" s="1" t="s">
        <v>28099</v>
      </c>
      <c r="T859" s="147">
        <v>43879.0</v>
      </c>
      <c r="U859" s="1">
        <v>9999.0</v>
      </c>
      <c r="V859" s="1">
        <v>9999.0</v>
      </c>
      <c r="Y859" s="147">
        <v>43879.0</v>
      </c>
      <c r="Z859" s="1">
        <v>40.0</v>
      </c>
      <c r="AA859" s="1">
        <v>9999.0</v>
      </c>
      <c r="AE859" s="1">
        <v>1.0</v>
      </c>
      <c r="AF859" s="1" t="s">
        <v>18902</v>
      </c>
      <c r="AG859" s="121">
        <v>8581.0</v>
      </c>
      <c r="AH859" s="1" t="s">
        <v>28563</v>
      </c>
      <c r="AI859" s="1" t="s">
        <v>28564</v>
      </c>
      <c r="AJ859" s="121">
        <v>860.0</v>
      </c>
    </row>
    <row r="860">
      <c r="A860" s="1" t="s">
        <v>28567</v>
      </c>
      <c r="B860" s="1" t="s">
        <v>6876</v>
      </c>
      <c r="C860" s="1" t="s">
        <v>6877</v>
      </c>
      <c r="D860" s="1" t="s">
        <v>8493</v>
      </c>
      <c r="E860" s="147">
        <v>43903.0</v>
      </c>
      <c r="F860" s="1" t="s">
        <v>28569</v>
      </c>
      <c r="G860" s="1">
        <v>58.0</v>
      </c>
      <c r="H860" s="1">
        <v>2.0</v>
      </c>
      <c r="I860" s="1">
        <v>14.0</v>
      </c>
      <c r="J860" s="1">
        <v>145.0</v>
      </c>
      <c r="L860" s="1" t="s">
        <v>764</v>
      </c>
      <c r="M860" s="1" t="s">
        <v>764</v>
      </c>
      <c r="N860" s="154">
        <v>43832.0</v>
      </c>
      <c r="O860" s="1">
        <v>1.0</v>
      </c>
      <c r="P860" s="1">
        <v>1.0</v>
      </c>
      <c r="R860" s="1" t="s">
        <v>28099</v>
      </c>
      <c r="T860" s="147">
        <v>43879.0</v>
      </c>
      <c r="U860" s="1">
        <v>9999.0</v>
      </c>
      <c r="V860" s="1">
        <v>9999.0</v>
      </c>
      <c r="Y860" s="147">
        <v>43879.0</v>
      </c>
      <c r="Z860" s="1">
        <v>9999.0</v>
      </c>
      <c r="AA860" s="1">
        <v>9999.0</v>
      </c>
      <c r="AE860" s="1">
        <v>1.0</v>
      </c>
      <c r="AF860" s="1" t="s">
        <v>18902</v>
      </c>
      <c r="AG860" s="121">
        <v>8582.0</v>
      </c>
      <c r="AH860" s="1" t="s">
        <v>28573</v>
      </c>
      <c r="AI860" s="1" t="s">
        <v>28574</v>
      </c>
      <c r="AJ860" s="121">
        <v>861.0</v>
      </c>
    </row>
    <row r="861">
      <c r="A861" s="1" t="s">
        <v>28569</v>
      </c>
      <c r="B861" s="1" t="s">
        <v>6876</v>
      </c>
      <c r="C861" s="1" t="s">
        <v>6877</v>
      </c>
      <c r="D861" s="1" t="s">
        <v>8493</v>
      </c>
      <c r="E861" s="147">
        <v>43903.0</v>
      </c>
      <c r="F861" s="1" t="s">
        <v>28576</v>
      </c>
      <c r="G861" s="1">
        <v>58.0</v>
      </c>
      <c r="H861" s="1">
        <v>2.0</v>
      </c>
      <c r="I861" s="1">
        <v>14.0</v>
      </c>
      <c r="J861" s="1">
        <v>142.0</v>
      </c>
      <c r="L861" s="1" t="s">
        <v>759</v>
      </c>
      <c r="M861" s="1" t="s">
        <v>759</v>
      </c>
      <c r="N861" s="154">
        <v>43832.0</v>
      </c>
      <c r="O861" s="1">
        <v>1.0</v>
      </c>
      <c r="P861" s="1">
        <v>1.0</v>
      </c>
      <c r="R861" s="1" t="s">
        <v>28099</v>
      </c>
      <c r="T861" s="147">
        <v>43879.0</v>
      </c>
      <c r="U861" s="1">
        <v>37.54</v>
      </c>
      <c r="V861" s="1">
        <v>40.0</v>
      </c>
      <c r="Y861" s="147">
        <v>43879.0</v>
      </c>
      <c r="Z861" s="1">
        <v>36.99</v>
      </c>
      <c r="AA861" s="1">
        <v>37.51</v>
      </c>
      <c r="AE861" s="1">
        <v>1.0</v>
      </c>
      <c r="AF861" s="1" t="s">
        <v>18902</v>
      </c>
      <c r="AG861" s="121">
        <v>8583.0</v>
      </c>
      <c r="AH861" s="1" t="s">
        <v>28581</v>
      </c>
      <c r="AI861" s="1" t="s">
        <v>28582</v>
      </c>
      <c r="AJ861" s="121">
        <v>862.0</v>
      </c>
    </row>
    <row r="862">
      <c r="A862" s="1" t="s">
        <v>28576</v>
      </c>
      <c r="B862" s="1" t="s">
        <v>6876</v>
      </c>
      <c r="C862" s="1" t="s">
        <v>6877</v>
      </c>
      <c r="D862" s="1" t="s">
        <v>8493</v>
      </c>
      <c r="E862" s="147">
        <v>43903.0</v>
      </c>
      <c r="F862" s="1" t="s">
        <v>28585</v>
      </c>
      <c r="G862" s="1">
        <v>58.0</v>
      </c>
      <c r="H862" s="1">
        <v>2.0</v>
      </c>
      <c r="I862" s="1">
        <v>14.0</v>
      </c>
      <c r="J862" s="1">
        <v>141.0</v>
      </c>
      <c r="L862" s="1" t="s">
        <v>755</v>
      </c>
      <c r="M862" s="1" t="s">
        <v>755</v>
      </c>
      <c r="N862" s="154">
        <v>43832.0</v>
      </c>
      <c r="O862" s="1">
        <v>1.0</v>
      </c>
      <c r="P862" s="1">
        <v>1.0</v>
      </c>
      <c r="R862" s="1" t="s">
        <v>28099</v>
      </c>
      <c r="T862" s="147">
        <v>43879.0</v>
      </c>
      <c r="U862" s="1">
        <v>37.02</v>
      </c>
      <c r="V862" s="1">
        <v>9999.0</v>
      </c>
      <c r="Y862" s="147">
        <v>43879.0</v>
      </c>
      <c r="Z862" s="1">
        <v>9999.0</v>
      </c>
      <c r="AA862" s="1">
        <v>9999.0</v>
      </c>
      <c r="AE862" s="1">
        <v>1.0</v>
      </c>
      <c r="AF862" s="1" t="s">
        <v>18902</v>
      </c>
      <c r="AG862" s="121">
        <v>8584.0</v>
      </c>
      <c r="AH862" s="1" t="s">
        <v>28593</v>
      </c>
      <c r="AI862" s="1" t="s">
        <v>28594</v>
      </c>
      <c r="AJ862" s="121">
        <v>863.0</v>
      </c>
    </row>
    <row r="863">
      <c r="A863" s="1" t="s">
        <v>28585</v>
      </c>
      <c r="B863" s="1" t="s">
        <v>6876</v>
      </c>
      <c r="C863" s="1" t="s">
        <v>6877</v>
      </c>
      <c r="D863" s="1" t="s">
        <v>8493</v>
      </c>
      <c r="E863" s="147">
        <v>43903.0</v>
      </c>
      <c r="F863" s="1" t="s">
        <v>28596</v>
      </c>
      <c r="G863" s="1">
        <v>58.0</v>
      </c>
      <c r="H863" s="1">
        <v>2.0</v>
      </c>
      <c r="I863" s="1">
        <v>14.0</v>
      </c>
      <c r="J863" s="1">
        <v>143.0</v>
      </c>
      <c r="L863" s="1" t="s">
        <v>757</v>
      </c>
      <c r="M863" s="1" t="s">
        <v>757</v>
      </c>
      <c r="N863" s="154">
        <v>43832.0</v>
      </c>
      <c r="O863" s="1">
        <v>1.0</v>
      </c>
      <c r="P863" s="1">
        <v>1.0</v>
      </c>
      <c r="R863" s="1" t="s">
        <v>28099</v>
      </c>
      <c r="T863" s="147">
        <v>43879.0</v>
      </c>
      <c r="U863" s="1">
        <v>9999.0</v>
      </c>
      <c r="V863" s="1">
        <v>9999.0</v>
      </c>
      <c r="Y863" s="147">
        <v>43879.0</v>
      </c>
      <c r="Z863" s="1">
        <v>40.0</v>
      </c>
      <c r="AA863" s="1">
        <v>9999.0</v>
      </c>
      <c r="AE863" s="1">
        <v>1.0</v>
      </c>
      <c r="AF863" s="1" t="s">
        <v>18902</v>
      </c>
      <c r="AG863" s="121">
        <v>8585.0</v>
      </c>
      <c r="AH863" s="1" t="s">
        <v>28602</v>
      </c>
      <c r="AI863" s="1" t="s">
        <v>28603</v>
      </c>
      <c r="AJ863" s="121">
        <v>864.0</v>
      </c>
    </row>
    <row r="864">
      <c r="A864" s="1" t="s">
        <v>28596</v>
      </c>
      <c r="B864" s="1" t="s">
        <v>6876</v>
      </c>
      <c r="C864" s="1" t="s">
        <v>6877</v>
      </c>
      <c r="D864" s="1" t="s">
        <v>8493</v>
      </c>
      <c r="E864" s="147">
        <v>43903.0</v>
      </c>
      <c r="F864" s="1" t="s">
        <v>28607</v>
      </c>
      <c r="G864" s="1">
        <v>58.0</v>
      </c>
      <c r="H864" s="1">
        <v>2.0</v>
      </c>
      <c r="I864" s="1">
        <v>14.0</v>
      </c>
      <c r="J864" s="1">
        <v>144.0</v>
      </c>
      <c r="L864" s="1" t="s">
        <v>762</v>
      </c>
      <c r="M864" s="1" t="s">
        <v>762</v>
      </c>
      <c r="N864" s="154">
        <v>43832.0</v>
      </c>
      <c r="O864" s="1">
        <v>1.0</v>
      </c>
      <c r="P864" s="1">
        <v>1.0</v>
      </c>
      <c r="R864" s="1" t="s">
        <v>28099</v>
      </c>
      <c r="T864" s="147">
        <v>43879.0</v>
      </c>
      <c r="U864" s="1">
        <v>37.47</v>
      </c>
      <c r="V864" s="1">
        <v>9999.0</v>
      </c>
      <c r="Y864" s="147">
        <v>43879.0</v>
      </c>
      <c r="Z864" s="1">
        <v>9999.0</v>
      </c>
      <c r="AA864" s="1">
        <v>9999.0</v>
      </c>
      <c r="AE864" s="1">
        <v>1.0</v>
      </c>
      <c r="AF864" s="1" t="s">
        <v>18902</v>
      </c>
      <c r="AG864" s="121">
        <v>8586.0</v>
      </c>
      <c r="AH864" s="1" t="s">
        <v>28613</v>
      </c>
      <c r="AI864" s="1" t="s">
        <v>28614</v>
      </c>
      <c r="AJ864" s="121">
        <v>865.0</v>
      </c>
    </row>
    <row r="865">
      <c r="A865" s="1" t="s">
        <v>28607</v>
      </c>
      <c r="B865" s="1" t="s">
        <v>6876</v>
      </c>
      <c r="C865" s="1" t="s">
        <v>6877</v>
      </c>
      <c r="D865" s="1" t="s">
        <v>8493</v>
      </c>
      <c r="E865" s="147">
        <v>43903.0</v>
      </c>
      <c r="F865" s="1" t="s">
        <v>28617</v>
      </c>
      <c r="G865" s="1">
        <v>58.0</v>
      </c>
      <c r="H865" s="1">
        <v>2.0</v>
      </c>
      <c r="I865" s="1">
        <v>14.0</v>
      </c>
      <c r="J865" s="1">
        <v>142.0</v>
      </c>
      <c r="L865" s="1" t="s">
        <v>778</v>
      </c>
      <c r="M865" s="1" t="s">
        <v>778</v>
      </c>
      <c r="N865" s="154">
        <v>43832.0</v>
      </c>
      <c r="O865" s="1">
        <v>1.0</v>
      </c>
      <c r="P865" s="1">
        <v>1.0</v>
      </c>
      <c r="R865" s="1" t="s">
        <v>28099</v>
      </c>
      <c r="T865" s="147">
        <v>43879.0</v>
      </c>
      <c r="U865" s="1">
        <v>40.0</v>
      </c>
      <c r="V865" s="1">
        <v>9999.0</v>
      </c>
      <c r="Y865" s="147">
        <v>43879.0</v>
      </c>
      <c r="Z865" s="1">
        <v>37.42</v>
      </c>
      <c r="AA865" s="1">
        <v>9999.0</v>
      </c>
      <c r="AE865" s="1">
        <v>1.0</v>
      </c>
      <c r="AF865" s="1" t="s">
        <v>18902</v>
      </c>
      <c r="AG865" s="121">
        <v>8587.0</v>
      </c>
      <c r="AH865" s="1" t="s">
        <v>28623</v>
      </c>
      <c r="AI865" s="1" t="s">
        <v>28624</v>
      </c>
      <c r="AJ865" s="121">
        <v>866.0</v>
      </c>
    </row>
    <row r="866">
      <c r="A866" s="1" t="s">
        <v>28617</v>
      </c>
      <c r="B866" s="1" t="s">
        <v>6876</v>
      </c>
      <c r="C866" s="1" t="s">
        <v>6877</v>
      </c>
      <c r="D866" s="1" t="s">
        <v>8493</v>
      </c>
      <c r="E866" s="147">
        <v>43903.0</v>
      </c>
      <c r="F866" s="1" t="s">
        <v>28628</v>
      </c>
      <c r="G866" s="1">
        <v>58.0</v>
      </c>
      <c r="H866" s="1">
        <v>2.0</v>
      </c>
      <c r="I866" s="1">
        <v>14.0</v>
      </c>
      <c r="J866" s="1">
        <v>145.0</v>
      </c>
      <c r="L866" s="1" t="s">
        <v>780</v>
      </c>
      <c r="M866" s="1" t="s">
        <v>780</v>
      </c>
      <c r="N866" s="154">
        <v>43832.0</v>
      </c>
      <c r="O866" s="1">
        <v>1.0</v>
      </c>
      <c r="P866" s="1">
        <v>1.0</v>
      </c>
      <c r="R866" s="1" t="s">
        <v>28099</v>
      </c>
      <c r="T866" s="147">
        <v>43879.0</v>
      </c>
      <c r="U866" s="1">
        <v>37.76</v>
      </c>
      <c r="V866" s="1">
        <v>9999.0</v>
      </c>
      <c r="Y866" s="147">
        <v>43879.0</v>
      </c>
      <c r="Z866" s="1">
        <v>9999.0</v>
      </c>
      <c r="AA866" s="1">
        <v>9999.0</v>
      </c>
      <c r="AE866" s="1">
        <v>1.0</v>
      </c>
      <c r="AF866" s="1" t="s">
        <v>18902</v>
      </c>
      <c r="AG866" s="121">
        <v>8588.0</v>
      </c>
      <c r="AH866" s="1" t="s">
        <v>28633</v>
      </c>
      <c r="AI866" s="1" t="s">
        <v>28635</v>
      </c>
      <c r="AJ866" s="121">
        <v>867.0</v>
      </c>
    </row>
    <row r="867">
      <c r="A867" s="1" t="s">
        <v>28628</v>
      </c>
      <c r="B867" s="1" t="s">
        <v>6876</v>
      </c>
      <c r="C867" s="1" t="s">
        <v>6877</v>
      </c>
      <c r="D867" s="1" t="s">
        <v>8493</v>
      </c>
      <c r="E867" s="147">
        <v>43903.0</v>
      </c>
      <c r="F867" s="1" t="s">
        <v>28638</v>
      </c>
      <c r="G867" s="1">
        <v>58.0</v>
      </c>
      <c r="H867" s="1">
        <v>2.0</v>
      </c>
      <c r="I867" s="1">
        <v>14.0</v>
      </c>
      <c r="J867" s="1">
        <v>141.0</v>
      </c>
      <c r="L867" s="1" t="s">
        <v>769</v>
      </c>
      <c r="M867" s="1" t="s">
        <v>769</v>
      </c>
      <c r="N867" s="154">
        <v>43832.0</v>
      </c>
      <c r="O867" s="1">
        <v>1.0</v>
      </c>
      <c r="P867" s="1">
        <v>1.0</v>
      </c>
      <c r="R867" s="1" t="s">
        <v>28099</v>
      </c>
      <c r="T867" s="147">
        <v>43879.0</v>
      </c>
      <c r="U867" s="1">
        <v>40.0</v>
      </c>
      <c r="V867" s="1">
        <v>9999.0</v>
      </c>
      <c r="Y867" s="147">
        <v>43879.0</v>
      </c>
      <c r="Z867" s="1">
        <v>37.87</v>
      </c>
      <c r="AA867" s="1">
        <v>9999.0</v>
      </c>
      <c r="AE867" s="1">
        <v>1.0</v>
      </c>
      <c r="AF867" s="1" t="s">
        <v>18902</v>
      </c>
      <c r="AG867" s="121">
        <v>8589.0</v>
      </c>
      <c r="AH867" s="1" t="s">
        <v>28648</v>
      </c>
      <c r="AI867" s="1" t="s">
        <v>28650</v>
      </c>
      <c r="AJ867" s="121">
        <v>868.0</v>
      </c>
    </row>
    <row r="868">
      <c r="A868" s="1" t="s">
        <v>28651</v>
      </c>
      <c r="B868" s="1" t="s">
        <v>6876</v>
      </c>
      <c r="C868" s="1" t="s">
        <v>6877</v>
      </c>
      <c r="D868" s="1" t="s">
        <v>8493</v>
      </c>
      <c r="E868" s="147">
        <v>43903.0</v>
      </c>
      <c r="F868" s="1" t="s">
        <v>28653</v>
      </c>
      <c r="G868" s="1">
        <v>58.0</v>
      </c>
      <c r="H868" s="1">
        <v>2.0</v>
      </c>
      <c r="I868" s="1">
        <v>14.0</v>
      </c>
      <c r="J868" s="1">
        <v>143.0</v>
      </c>
      <c r="L868" s="1" t="s">
        <v>772</v>
      </c>
      <c r="M868" s="1" t="s">
        <v>772</v>
      </c>
      <c r="N868" s="154">
        <v>43832.0</v>
      </c>
      <c r="O868" s="1">
        <v>1.0</v>
      </c>
      <c r="P868" s="1">
        <v>1.0</v>
      </c>
      <c r="R868" s="1" t="s">
        <v>28099</v>
      </c>
      <c r="T868" s="147">
        <v>43879.0</v>
      </c>
      <c r="U868" s="1">
        <v>9999.0</v>
      </c>
      <c r="V868" s="1">
        <v>9999.0</v>
      </c>
      <c r="Y868" s="147">
        <v>43879.0</v>
      </c>
      <c r="Z868" s="1">
        <v>9999.0</v>
      </c>
      <c r="AA868" s="1">
        <v>9999.0</v>
      </c>
      <c r="AE868" s="1">
        <v>1.0</v>
      </c>
      <c r="AF868" s="1" t="s">
        <v>18902</v>
      </c>
      <c r="AG868" s="121">
        <v>8590.0</v>
      </c>
      <c r="AH868" s="1" t="s">
        <v>28659</v>
      </c>
      <c r="AI868" s="1" t="s">
        <v>28660</v>
      </c>
      <c r="AJ868" s="121">
        <v>869.0</v>
      </c>
    </row>
    <row r="869">
      <c r="A869" s="1" t="s">
        <v>28653</v>
      </c>
      <c r="B869" s="1" t="s">
        <v>6876</v>
      </c>
      <c r="C869" s="1" t="s">
        <v>6877</v>
      </c>
      <c r="D869" s="1" t="s">
        <v>8493</v>
      </c>
      <c r="E869" s="147">
        <v>43903.0</v>
      </c>
      <c r="F869" s="1" t="s">
        <v>28663</v>
      </c>
      <c r="G869" s="1">
        <v>58.0</v>
      </c>
      <c r="H869" s="1">
        <v>2.0</v>
      </c>
      <c r="I869" s="1">
        <v>15.0</v>
      </c>
      <c r="K869" s="1">
        <v>151.0</v>
      </c>
      <c r="L869" s="1" t="s">
        <v>785</v>
      </c>
      <c r="M869" s="1" t="s">
        <v>785</v>
      </c>
      <c r="N869" s="154">
        <v>43832.0</v>
      </c>
      <c r="O869" s="1">
        <v>1.0</v>
      </c>
      <c r="P869" s="1">
        <v>1.0</v>
      </c>
      <c r="R869" s="1" t="s">
        <v>28099</v>
      </c>
      <c r="T869" s="147">
        <v>43879.0</v>
      </c>
      <c r="U869" s="1">
        <v>37.19</v>
      </c>
      <c r="V869" s="1">
        <v>37.36</v>
      </c>
      <c r="Y869" s="147">
        <v>43879.0</v>
      </c>
      <c r="Z869" s="1">
        <v>40.0</v>
      </c>
      <c r="AA869" s="1">
        <v>9999.0</v>
      </c>
      <c r="AE869" s="1">
        <v>1.0</v>
      </c>
      <c r="AF869" s="1" t="s">
        <v>18902</v>
      </c>
      <c r="AG869" s="121">
        <v>8591.0</v>
      </c>
      <c r="AH869" s="1" t="s">
        <v>28670</v>
      </c>
      <c r="AI869" s="1" t="s">
        <v>28671</v>
      </c>
      <c r="AJ869" s="121">
        <v>870.0</v>
      </c>
    </row>
    <row r="870">
      <c r="A870" s="1" t="s">
        <v>28663</v>
      </c>
      <c r="B870" s="1" t="s">
        <v>6876</v>
      </c>
      <c r="C870" s="1" t="s">
        <v>6877</v>
      </c>
      <c r="D870" s="1" t="s">
        <v>8493</v>
      </c>
      <c r="E870" s="147">
        <v>43903.0</v>
      </c>
      <c r="F870" s="1" t="s">
        <v>28673</v>
      </c>
      <c r="G870" s="1">
        <v>58.0</v>
      </c>
      <c r="H870" s="1">
        <v>2.0</v>
      </c>
      <c r="I870" s="1">
        <v>15.0</v>
      </c>
      <c r="K870" s="1">
        <v>152.0</v>
      </c>
      <c r="L870" s="1" t="s">
        <v>750</v>
      </c>
      <c r="M870" s="1" t="s">
        <v>750</v>
      </c>
      <c r="N870" s="154">
        <v>43832.0</v>
      </c>
      <c r="O870" s="1">
        <v>1.0</v>
      </c>
      <c r="P870" s="1">
        <v>1.0</v>
      </c>
      <c r="R870" s="1" t="s">
        <v>28099</v>
      </c>
      <c r="T870" s="147">
        <v>43879.0</v>
      </c>
      <c r="U870" s="1">
        <v>40.0</v>
      </c>
      <c r="V870" s="1">
        <v>9999.0</v>
      </c>
      <c r="Y870" s="147">
        <v>43879.0</v>
      </c>
      <c r="Z870" s="1">
        <v>9999.0</v>
      </c>
      <c r="AA870" s="1">
        <v>9999.0</v>
      </c>
      <c r="AE870" s="1">
        <v>1.0</v>
      </c>
      <c r="AF870" s="1" t="s">
        <v>18902</v>
      </c>
      <c r="AG870" s="121">
        <v>8592.0</v>
      </c>
      <c r="AH870" s="1" t="s">
        <v>28681</v>
      </c>
      <c r="AI870" s="1" t="s">
        <v>28683</v>
      </c>
      <c r="AJ870" s="121">
        <v>871.0</v>
      </c>
    </row>
    <row r="871">
      <c r="A871" s="1" t="s">
        <v>28673</v>
      </c>
      <c r="B871" s="1" t="s">
        <v>6876</v>
      </c>
      <c r="C871" s="1" t="s">
        <v>6877</v>
      </c>
      <c r="D871" s="1" t="s">
        <v>8493</v>
      </c>
      <c r="E871" s="147">
        <v>43903.0</v>
      </c>
      <c r="F871" s="1" t="s">
        <v>28688</v>
      </c>
      <c r="G871" s="1">
        <v>33.0</v>
      </c>
      <c r="H871" s="1">
        <v>1.0</v>
      </c>
      <c r="I871" s="1">
        <v>98.0</v>
      </c>
      <c r="L871" s="1" t="s">
        <v>4079</v>
      </c>
      <c r="M871" s="1" t="s">
        <v>4079</v>
      </c>
      <c r="N871" s="154">
        <v>43832.0</v>
      </c>
      <c r="O871" s="1">
        <v>1.0</v>
      </c>
      <c r="P871" s="1">
        <v>1.0</v>
      </c>
      <c r="R871" s="1" t="s">
        <v>28099</v>
      </c>
      <c r="T871" s="147">
        <v>43879.0</v>
      </c>
      <c r="U871" s="1">
        <v>9999.0</v>
      </c>
      <c r="V871" s="1">
        <v>9999.0</v>
      </c>
      <c r="Y871" s="147">
        <v>43879.0</v>
      </c>
      <c r="Z871" s="1">
        <v>9999.0</v>
      </c>
      <c r="AA871" s="1">
        <v>9999.0</v>
      </c>
      <c r="AE871" s="1">
        <v>1.0</v>
      </c>
      <c r="AF871" s="1" t="s">
        <v>18902</v>
      </c>
      <c r="AG871" s="121">
        <v>8593.0</v>
      </c>
      <c r="AH871" s="1" t="s">
        <v>28693</v>
      </c>
      <c r="AI871" s="1" t="s">
        <v>28694</v>
      </c>
      <c r="AJ871" s="121">
        <v>872.0</v>
      </c>
    </row>
    <row r="872">
      <c r="A872" s="1" t="s">
        <v>28688</v>
      </c>
      <c r="B872" s="1" t="s">
        <v>6876</v>
      </c>
      <c r="C872" s="1" t="s">
        <v>6877</v>
      </c>
      <c r="D872" s="1" t="s">
        <v>8493</v>
      </c>
      <c r="E872" s="147">
        <v>43903.0</v>
      </c>
      <c r="F872" s="1" t="s">
        <v>28696</v>
      </c>
      <c r="G872" s="1">
        <v>59.0</v>
      </c>
      <c r="H872" s="1">
        <v>1.0</v>
      </c>
      <c r="I872" s="1">
        <v>11.0</v>
      </c>
      <c r="L872" s="1" t="s">
        <v>4000</v>
      </c>
      <c r="M872" s="1" t="s">
        <v>4000</v>
      </c>
      <c r="N872" s="154">
        <v>43832.0</v>
      </c>
      <c r="O872" s="1">
        <v>1.0</v>
      </c>
      <c r="P872" s="1">
        <v>1.0</v>
      </c>
      <c r="R872" s="1" t="s">
        <v>28700</v>
      </c>
      <c r="T872" s="147">
        <v>43883.0</v>
      </c>
      <c r="U872" s="1">
        <v>9999.0</v>
      </c>
      <c r="V872" s="1">
        <v>9999.0</v>
      </c>
      <c r="Y872" s="147">
        <v>43883.0</v>
      </c>
      <c r="Z872" s="1">
        <v>26.35</v>
      </c>
      <c r="AA872" s="1">
        <v>26.57</v>
      </c>
      <c r="AE872" s="1">
        <v>1.0</v>
      </c>
      <c r="AF872" s="1" t="s">
        <v>18902</v>
      </c>
      <c r="AG872" s="121">
        <v>8594.0</v>
      </c>
      <c r="AH872" s="1" t="s">
        <v>28703</v>
      </c>
      <c r="AI872" s="1" t="s">
        <v>28704</v>
      </c>
      <c r="AJ872" s="121">
        <v>873.0</v>
      </c>
    </row>
    <row r="873">
      <c r="A873" s="1" t="s">
        <v>28696</v>
      </c>
      <c r="B873" s="1" t="s">
        <v>6876</v>
      </c>
      <c r="C873" s="1" t="s">
        <v>6877</v>
      </c>
      <c r="D873" s="1" t="s">
        <v>8493</v>
      </c>
      <c r="E873" s="147">
        <v>43903.0</v>
      </c>
      <c r="F873" s="1" t="s">
        <v>28707</v>
      </c>
      <c r="G873" s="1">
        <v>59.0</v>
      </c>
      <c r="H873" s="1">
        <v>1.0</v>
      </c>
      <c r="I873" s="1">
        <v>11.0</v>
      </c>
      <c r="L873" s="1" t="s">
        <v>4009</v>
      </c>
      <c r="M873" s="1" t="s">
        <v>4009</v>
      </c>
      <c r="N873" s="154">
        <v>43832.0</v>
      </c>
      <c r="O873" s="1">
        <v>1.0</v>
      </c>
      <c r="P873" s="1">
        <v>1.0</v>
      </c>
      <c r="R873" s="1" t="s">
        <v>28700</v>
      </c>
      <c r="T873" s="147">
        <v>43883.0</v>
      </c>
      <c r="U873" s="1">
        <v>9999.0</v>
      </c>
      <c r="V873" s="1">
        <v>9999.0</v>
      </c>
      <c r="Y873" s="147">
        <v>43883.0</v>
      </c>
      <c r="Z873" s="1">
        <v>29.61</v>
      </c>
      <c r="AA873" s="1">
        <v>29.86</v>
      </c>
      <c r="AE873" s="1">
        <v>1.0</v>
      </c>
      <c r="AF873" s="1" t="s">
        <v>18902</v>
      </c>
      <c r="AG873" s="121">
        <v>8595.0</v>
      </c>
      <c r="AH873" s="1" t="s">
        <v>28713</v>
      </c>
      <c r="AI873" s="1" t="s">
        <v>28714</v>
      </c>
      <c r="AJ873" s="121">
        <v>874.0</v>
      </c>
    </row>
    <row r="874">
      <c r="A874" s="1" t="s">
        <v>28707</v>
      </c>
      <c r="B874" s="1" t="s">
        <v>6876</v>
      </c>
      <c r="C874" s="1" t="s">
        <v>6877</v>
      </c>
      <c r="D874" s="1" t="s">
        <v>8493</v>
      </c>
      <c r="E874" s="147">
        <v>43903.0</v>
      </c>
      <c r="F874" s="1" t="s">
        <v>28717</v>
      </c>
      <c r="G874" s="1">
        <v>59.0</v>
      </c>
      <c r="H874" s="1">
        <v>1.0</v>
      </c>
      <c r="I874" s="1">
        <v>11.0</v>
      </c>
      <c r="L874" s="1" t="s">
        <v>4022</v>
      </c>
      <c r="M874" s="1" t="s">
        <v>4022</v>
      </c>
      <c r="N874" s="154">
        <v>43832.0</v>
      </c>
      <c r="O874" s="1">
        <v>1.0</v>
      </c>
      <c r="P874" s="1">
        <v>1.0</v>
      </c>
      <c r="R874" s="1" t="s">
        <v>28700</v>
      </c>
      <c r="T874" s="147">
        <v>43883.0</v>
      </c>
      <c r="U874" s="1">
        <v>9999.0</v>
      </c>
      <c r="V874" s="1">
        <v>9999.0</v>
      </c>
      <c r="Y874" s="147">
        <v>43883.0</v>
      </c>
      <c r="Z874" s="1">
        <v>29.81</v>
      </c>
      <c r="AA874" s="1">
        <v>29.96</v>
      </c>
      <c r="AE874" s="1">
        <v>1.0</v>
      </c>
      <c r="AF874" s="1" t="s">
        <v>18902</v>
      </c>
      <c r="AG874" s="121">
        <v>8596.0</v>
      </c>
      <c r="AH874" s="1" t="s">
        <v>28722</v>
      </c>
      <c r="AI874" s="1" t="s">
        <v>28724</v>
      </c>
      <c r="AJ874" s="121">
        <v>875.0</v>
      </c>
    </row>
    <row r="875">
      <c r="A875" s="1" t="s">
        <v>28717</v>
      </c>
      <c r="B875" s="1" t="s">
        <v>6876</v>
      </c>
      <c r="C875" s="1" t="s">
        <v>6877</v>
      </c>
      <c r="D875" s="1" t="s">
        <v>8493</v>
      </c>
      <c r="E875" s="147">
        <v>43903.0</v>
      </c>
      <c r="F875" s="1" t="s">
        <v>28727</v>
      </c>
      <c r="G875" s="1">
        <v>59.0</v>
      </c>
      <c r="H875" s="1">
        <v>1.0</v>
      </c>
      <c r="I875" s="1">
        <v>11.0</v>
      </c>
      <c r="L875" s="1" t="s">
        <v>4035</v>
      </c>
      <c r="M875" s="1" t="s">
        <v>4035</v>
      </c>
      <c r="N875" s="154">
        <v>43832.0</v>
      </c>
      <c r="O875" s="1">
        <v>1.0</v>
      </c>
      <c r="P875" s="1">
        <v>1.0</v>
      </c>
      <c r="R875" s="1" t="s">
        <v>28700</v>
      </c>
      <c r="T875" s="147">
        <v>43883.0</v>
      </c>
      <c r="U875" s="1">
        <v>9999.0</v>
      </c>
      <c r="V875" s="1">
        <v>9999.0</v>
      </c>
      <c r="Y875" s="147">
        <v>43883.0</v>
      </c>
      <c r="Z875" s="1">
        <v>27.54</v>
      </c>
      <c r="AA875" s="1">
        <v>27.78</v>
      </c>
      <c r="AE875" s="1">
        <v>1.0</v>
      </c>
      <c r="AF875" s="1" t="s">
        <v>18902</v>
      </c>
      <c r="AG875" s="121">
        <v>8597.0</v>
      </c>
      <c r="AH875" s="1" t="s">
        <v>28733</v>
      </c>
      <c r="AI875" s="1" t="s">
        <v>28734</v>
      </c>
      <c r="AJ875" s="121">
        <v>876.0</v>
      </c>
    </row>
    <row r="876">
      <c r="A876" s="1" t="s">
        <v>28727</v>
      </c>
      <c r="B876" s="1" t="s">
        <v>6876</v>
      </c>
      <c r="C876" s="1" t="s">
        <v>6877</v>
      </c>
      <c r="D876" s="1" t="s">
        <v>8493</v>
      </c>
      <c r="E876" s="147">
        <v>43903.0</v>
      </c>
      <c r="F876" s="1" t="s">
        <v>28740</v>
      </c>
      <c r="G876" s="1">
        <v>59.0</v>
      </c>
      <c r="H876" s="1">
        <v>1.0</v>
      </c>
      <c r="I876" s="1">
        <v>11.0</v>
      </c>
      <c r="L876" s="1" t="s">
        <v>4050</v>
      </c>
      <c r="M876" s="1" t="s">
        <v>4050</v>
      </c>
      <c r="N876" s="154">
        <v>43832.0</v>
      </c>
      <c r="O876" s="1">
        <v>1.0</v>
      </c>
      <c r="P876" s="1">
        <v>1.0</v>
      </c>
      <c r="R876" s="1" t="s">
        <v>28700</v>
      </c>
      <c r="T876" s="147">
        <v>43883.0</v>
      </c>
      <c r="U876" s="1">
        <v>9999.0</v>
      </c>
      <c r="V876" s="1">
        <v>9999.0</v>
      </c>
      <c r="Y876" s="147">
        <v>43883.0</v>
      </c>
      <c r="Z876" s="1">
        <v>30.05</v>
      </c>
      <c r="AA876" s="1">
        <v>29.95</v>
      </c>
      <c r="AE876" s="1">
        <v>1.0</v>
      </c>
      <c r="AF876" s="1" t="s">
        <v>18902</v>
      </c>
      <c r="AG876" s="121">
        <v>8598.0</v>
      </c>
      <c r="AH876" s="1" t="s">
        <v>28746</v>
      </c>
      <c r="AI876" s="1" t="s">
        <v>28747</v>
      </c>
      <c r="AJ876" s="121">
        <v>877.0</v>
      </c>
    </row>
    <row r="877">
      <c r="A877" s="1" t="s">
        <v>28740</v>
      </c>
      <c r="B877" s="1" t="s">
        <v>6876</v>
      </c>
      <c r="C877" s="1" t="s">
        <v>6877</v>
      </c>
      <c r="D877" s="1" t="s">
        <v>8493</v>
      </c>
      <c r="E877" s="147">
        <v>43903.0</v>
      </c>
      <c r="F877" s="1" t="s">
        <v>28753</v>
      </c>
      <c r="G877" s="1">
        <v>59.0</v>
      </c>
      <c r="H877" s="1">
        <v>1.0</v>
      </c>
      <c r="I877" s="1">
        <v>99.0</v>
      </c>
      <c r="L877" s="1" t="s">
        <v>4056</v>
      </c>
      <c r="M877" s="1" t="s">
        <v>4056</v>
      </c>
      <c r="N877" s="154">
        <v>43832.0</v>
      </c>
      <c r="O877" s="1">
        <v>1.0</v>
      </c>
      <c r="P877" s="1">
        <v>1.0</v>
      </c>
      <c r="R877" s="1" t="s">
        <v>28700</v>
      </c>
      <c r="T877" s="147">
        <v>43883.0</v>
      </c>
      <c r="U877" s="1">
        <v>9999.0</v>
      </c>
      <c r="V877" s="1">
        <v>9999.0</v>
      </c>
      <c r="Y877" s="147">
        <v>43883.0</v>
      </c>
      <c r="Z877" s="1">
        <v>9999.0</v>
      </c>
      <c r="AA877" s="1">
        <v>9999.0</v>
      </c>
      <c r="AD877" s="1" t="s">
        <v>28760</v>
      </c>
      <c r="AE877" s="1">
        <v>1.0</v>
      </c>
      <c r="AF877" s="1" t="s">
        <v>18902</v>
      </c>
      <c r="AG877" s="121">
        <v>8599.0</v>
      </c>
      <c r="AH877" s="1" t="s">
        <v>28763</v>
      </c>
      <c r="AI877" s="1" t="s">
        <v>28764</v>
      </c>
      <c r="AJ877" s="121">
        <v>878.0</v>
      </c>
    </row>
    <row r="878">
      <c r="A878" s="1" t="s">
        <v>28753</v>
      </c>
      <c r="B878" s="1" t="s">
        <v>6876</v>
      </c>
      <c r="C878" s="1" t="s">
        <v>6877</v>
      </c>
      <c r="D878" s="1" t="s">
        <v>8493</v>
      </c>
      <c r="E878" s="147">
        <v>43903.0</v>
      </c>
      <c r="F878" s="1" t="s">
        <v>28767</v>
      </c>
      <c r="G878" s="1">
        <v>58.0</v>
      </c>
      <c r="H878" s="1">
        <v>2.0</v>
      </c>
      <c r="I878" s="1">
        <v>5.0</v>
      </c>
      <c r="L878" s="1" t="s">
        <v>3362</v>
      </c>
      <c r="M878" s="1" t="s">
        <v>3362</v>
      </c>
      <c r="N878" s="154">
        <v>43832.0</v>
      </c>
      <c r="O878" s="1">
        <v>1.0</v>
      </c>
      <c r="P878" s="1">
        <v>1.0</v>
      </c>
      <c r="R878" s="1" t="s">
        <v>28700</v>
      </c>
      <c r="T878" s="147">
        <v>43883.0</v>
      </c>
      <c r="U878" s="1">
        <v>9999.0</v>
      </c>
      <c r="V878" s="1">
        <v>9999.0</v>
      </c>
      <c r="Y878" s="147">
        <v>43883.0</v>
      </c>
      <c r="Z878" s="1">
        <v>37.14</v>
      </c>
      <c r="AA878" s="1">
        <v>9999.0</v>
      </c>
      <c r="AE878" s="1">
        <v>1.0</v>
      </c>
      <c r="AF878" s="1" t="s">
        <v>18902</v>
      </c>
      <c r="AG878" s="121">
        <v>8600.0</v>
      </c>
      <c r="AH878" s="1" t="s">
        <v>28771</v>
      </c>
      <c r="AI878" s="1" t="s">
        <v>28772</v>
      </c>
      <c r="AJ878" s="121">
        <v>879.0</v>
      </c>
    </row>
    <row r="879">
      <c r="A879" s="1" t="s">
        <v>28767</v>
      </c>
      <c r="B879" s="1" t="s">
        <v>6876</v>
      </c>
      <c r="C879" s="1" t="s">
        <v>6877</v>
      </c>
      <c r="D879" s="1" t="s">
        <v>8493</v>
      </c>
      <c r="E879" s="147">
        <v>43903.0</v>
      </c>
      <c r="F879" s="1" t="s">
        <v>28774</v>
      </c>
      <c r="G879" s="1">
        <v>58.0</v>
      </c>
      <c r="H879" s="1">
        <v>2.0</v>
      </c>
      <c r="I879" s="1">
        <v>8.0</v>
      </c>
      <c r="L879" s="1" t="s">
        <v>2384</v>
      </c>
      <c r="M879" s="1" t="s">
        <v>2384</v>
      </c>
      <c r="N879" s="154">
        <v>43832.0</v>
      </c>
      <c r="O879" s="1">
        <v>1.0</v>
      </c>
      <c r="P879" s="1">
        <v>1.0</v>
      </c>
      <c r="R879" s="1" t="s">
        <v>28700</v>
      </c>
      <c r="T879" s="147">
        <v>43883.0</v>
      </c>
      <c r="U879" s="1">
        <v>36.36</v>
      </c>
      <c r="V879" s="1">
        <v>38.16</v>
      </c>
      <c r="Y879" s="147">
        <v>43883.0</v>
      </c>
      <c r="Z879" s="1">
        <v>26.4</v>
      </c>
      <c r="AA879" s="1">
        <v>26.44</v>
      </c>
      <c r="AE879" s="1">
        <v>1.0</v>
      </c>
      <c r="AF879" s="1" t="s">
        <v>18902</v>
      </c>
      <c r="AG879" s="121">
        <v>8601.0</v>
      </c>
      <c r="AH879" s="1" t="s">
        <v>28779</v>
      </c>
      <c r="AI879" s="1" t="s">
        <v>28780</v>
      </c>
      <c r="AJ879" s="121">
        <v>880.0</v>
      </c>
    </row>
    <row r="880">
      <c r="A880" s="1" t="s">
        <v>28774</v>
      </c>
      <c r="B880" s="1" t="s">
        <v>6876</v>
      </c>
      <c r="C880" s="1" t="s">
        <v>6877</v>
      </c>
      <c r="D880" s="1" t="s">
        <v>8493</v>
      </c>
      <c r="E880" s="147">
        <v>43903.0</v>
      </c>
      <c r="F880" s="1" t="s">
        <v>28782</v>
      </c>
      <c r="G880" s="1">
        <v>58.0</v>
      </c>
      <c r="H880" s="1">
        <v>1.0</v>
      </c>
      <c r="I880" s="1">
        <v>12.0</v>
      </c>
      <c r="L880" s="1" t="s">
        <v>4085</v>
      </c>
      <c r="M880" s="1" t="s">
        <v>4085</v>
      </c>
      <c r="N880" s="154">
        <v>43832.0</v>
      </c>
      <c r="O880" s="1">
        <v>1.0</v>
      </c>
      <c r="P880" s="1">
        <v>1.0</v>
      </c>
      <c r="R880" s="1" t="s">
        <v>28785</v>
      </c>
      <c r="T880" s="147">
        <v>43888.0</v>
      </c>
      <c r="U880" s="1">
        <v>29.87</v>
      </c>
      <c r="V880" s="1">
        <v>29.95</v>
      </c>
      <c r="Y880" s="147">
        <v>43883.0</v>
      </c>
      <c r="Z880" s="1">
        <v>34.71</v>
      </c>
      <c r="AA880" s="1">
        <v>33.89</v>
      </c>
      <c r="AE880" s="1">
        <v>1.0</v>
      </c>
      <c r="AF880" s="1" t="s">
        <v>18902</v>
      </c>
      <c r="AG880" s="121">
        <v>8602.0</v>
      </c>
      <c r="AH880" s="1" t="s">
        <v>28787</v>
      </c>
      <c r="AI880" s="1" t="s">
        <v>28789</v>
      </c>
      <c r="AJ880" s="121">
        <v>881.0</v>
      </c>
    </row>
    <row r="881">
      <c r="A881" s="1" t="s">
        <v>28782</v>
      </c>
      <c r="B881" s="1" t="s">
        <v>6876</v>
      </c>
      <c r="C881" s="1" t="s">
        <v>6877</v>
      </c>
      <c r="D881" s="1" t="s">
        <v>8493</v>
      </c>
      <c r="E881" s="147">
        <v>43903.0</v>
      </c>
      <c r="F881" s="1" t="s">
        <v>28792</v>
      </c>
      <c r="G881" s="1">
        <v>57.0</v>
      </c>
      <c r="H881" s="1">
        <v>1.0</v>
      </c>
      <c r="I881" s="1">
        <v>12.0</v>
      </c>
      <c r="L881" s="1" t="s">
        <v>4101</v>
      </c>
      <c r="M881" s="1" t="s">
        <v>4101</v>
      </c>
      <c r="N881" s="154">
        <v>43832.0</v>
      </c>
      <c r="O881" s="1">
        <v>1.0</v>
      </c>
      <c r="P881" s="1">
        <v>1.0</v>
      </c>
      <c r="R881" s="1" t="s">
        <v>28785</v>
      </c>
      <c r="T881" s="147">
        <v>43888.0</v>
      </c>
      <c r="U881" s="1">
        <v>26.1</v>
      </c>
      <c r="V881" s="1">
        <v>25.97</v>
      </c>
      <c r="Y881" s="147">
        <v>43883.0</v>
      </c>
      <c r="Z881" s="1">
        <v>9999.0</v>
      </c>
      <c r="AA881" s="1">
        <v>9999.0</v>
      </c>
      <c r="AE881" s="1">
        <v>1.0</v>
      </c>
      <c r="AF881" s="1" t="s">
        <v>18902</v>
      </c>
      <c r="AG881" s="121">
        <v>8603.0</v>
      </c>
      <c r="AH881" s="1" t="s">
        <v>28795</v>
      </c>
      <c r="AI881" s="1" t="s">
        <v>28796</v>
      </c>
      <c r="AJ881" s="121">
        <v>882.0</v>
      </c>
    </row>
    <row r="882">
      <c r="A882" s="1" t="s">
        <v>28792</v>
      </c>
      <c r="B882" s="1" t="s">
        <v>6876</v>
      </c>
      <c r="C882" s="1" t="s">
        <v>6877</v>
      </c>
      <c r="D882" s="1" t="s">
        <v>8493</v>
      </c>
      <c r="E882" s="147">
        <v>43903.0</v>
      </c>
      <c r="F882" s="1" t="s">
        <v>28797</v>
      </c>
      <c r="G882" s="1">
        <v>57.0</v>
      </c>
      <c r="H882" s="1">
        <v>1.0</v>
      </c>
      <c r="I882" s="1">
        <v>12.0</v>
      </c>
      <c r="L882" s="1" t="s">
        <v>4114</v>
      </c>
      <c r="M882" s="1" t="s">
        <v>4114</v>
      </c>
      <c r="N882" s="154">
        <v>43832.0</v>
      </c>
      <c r="O882" s="1">
        <v>1.0</v>
      </c>
      <c r="P882" s="1">
        <v>1.0</v>
      </c>
      <c r="R882" s="1" t="s">
        <v>28785</v>
      </c>
      <c r="T882" s="147">
        <v>43888.0</v>
      </c>
      <c r="U882" s="1">
        <v>24.22</v>
      </c>
      <c r="V882" s="1">
        <v>23.98</v>
      </c>
      <c r="Y882" s="147">
        <v>43883.0</v>
      </c>
      <c r="Z882" s="1">
        <v>33.23</v>
      </c>
      <c r="AA882" s="1">
        <v>33.78</v>
      </c>
      <c r="AE882" s="1">
        <v>1.0</v>
      </c>
      <c r="AF882" s="1" t="s">
        <v>18902</v>
      </c>
      <c r="AG882" s="121">
        <v>8604.0</v>
      </c>
      <c r="AH882" s="1" t="s">
        <v>28802</v>
      </c>
      <c r="AI882" s="1" t="s">
        <v>28803</v>
      </c>
      <c r="AJ882" s="121">
        <v>883.0</v>
      </c>
    </row>
    <row r="883">
      <c r="A883" s="1" t="s">
        <v>28797</v>
      </c>
      <c r="B883" s="1" t="s">
        <v>6876</v>
      </c>
      <c r="C883" s="1" t="s">
        <v>6877</v>
      </c>
      <c r="D883" s="1" t="s">
        <v>8493</v>
      </c>
      <c r="E883" s="147">
        <v>43903.0</v>
      </c>
      <c r="F883" s="1" t="s">
        <v>28804</v>
      </c>
      <c r="G883" s="1">
        <v>57.0</v>
      </c>
      <c r="H883" s="1">
        <v>1.0</v>
      </c>
      <c r="I883" s="1">
        <v>12.0</v>
      </c>
      <c r="L883" s="1" t="s">
        <v>4130</v>
      </c>
      <c r="M883" s="1" t="s">
        <v>4130</v>
      </c>
      <c r="N883" s="154">
        <v>43832.0</v>
      </c>
      <c r="O883" s="1">
        <v>1.0</v>
      </c>
      <c r="P883" s="1">
        <v>1.0</v>
      </c>
      <c r="R883" s="1" t="s">
        <v>28785</v>
      </c>
      <c r="T883" s="147">
        <v>43888.0</v>
      </c>
      <c r="U883" s="1">
        <v>27.26</v>
      </c>
      <c r="V883" s="1">
        <v>27.15</v>
      </c>
      <c r="Y883" s="147">
        <v>43883.0</v>
      </c>
      <c r="Z883" s="1">
        <v>33.54</v>
      </c>
      <c r="AA883" s="1">
        <v>34.57</v>
      </c>
      <c r="AE883" s="1">
        <v>1.0</v>
      </c>
      <c r="AF883" s="1" t="s">
        <v>18902</v>
      </c>
      <c r="AG883" s="121">
        <v>8605.0</v>
      </c>
      <c r="AH883" s="1" t="s">
        <v>28809</v>
      </c>
      <c r="AI883" s="1" t="s">
        <v>28811</v>
      </c>
      <c r="AJ883" s="121">
        <v>884.0</v>
      </c>
    </row>
    <row r="884">
      <c r="A884" s="1" t="s">
        <v>28804</v>
      </c>
      <c r="B884" s="1" t="s">
        <v>6876</v>
      </c>
      <c r="C884" s="1" t="s">
        <v>6877</v>
      </c>
      <c r="D884" s="1" t="s">
        <v>8493</v>
      </c>
      <c r="E884" s="147">
        <v>43903.0</v>
      </c>
      <c r="F884" s="1" t="s">
        <v>28812</v>
      </c>
      <c r="G884" s="1">
        <v>57.0</v>
      </c>
      <c r="H884" s="1">
        <v>1.0</v>
      </c>
      <c r="I884" s="1">
        <v>99.0</v>
      </c>
      <c r="L884" s="1" t="s">
        <v>4137</v>
      </c>
      <c r="M884" s="1" t="s">
        <v>4137</v>
      </c>
      <c r="N884" s="154">
        <v>43832.0</v>
      </c>
      <c r="O884" s="1">
        <v>1.0</v>
      </c>
      <c r="P884" s="1">
        <v>1.0</v>
      </c>
      <c r="R884" s="1" t="s">
        <v>28785</v>
      </c>
      <c r="T884" s="147">
        <v>43888.0</v>
      </c>
      <c r="U884" s="1">
        <v>9999.0</v>
      </c>
      <c r="V884" s="1">
        <v>9999.0</v>
      </c>
      <c r="Y884" s="147">
        <v>43883.0</v>
      </c>
      <c r="Z884" s="1">
        <v>39.16</v>
      </c>
      <c r="AA884" s="1">
        <v>9999.0</v>
      </c>
      <c r="AD884" s="1" t="s">
        <v>28816</v>
      </c>
      <c r="AE884" s="1">
        <v>1.0</v>
      </c>
      <c r="AF884" s="1" t="s">
        <v>18902</v>
      </c>
      <c r="AG884" s="121">
        <v>8606.0</v>
      </c>
      <c r="AH884" s="1" t="s">
        <v>28818</v>
      </c>
      <c r="AI884" s="1" t="s">
        <v>28819</v>
      </c>
      <c r="AJ884" s="121">
        <v>885.0</v>
      </c>
    </row>
    <row r="885">
      <c r="A885" s="1" t="s">
        <v>28812</v>
      </c>
      <c r="B885" s="1" t="s">
        <v>6876</v>
      </c>
      <c r="C885" s="1" t="s">
        <v>6877</v>
      </c>
      <c r="D885" s="1" t="s">
        <v>8493</v>
      </c>
      <c r="E885" s="147">
        <v>43903.0</v>
      </c>
      <c r="F885" s="1" t="s">
        <v>28821</v>
      </c>
      <c r="G885" s="1">
        <v>57.0</v>
      </c>
      <c r="H885" s="1">
        <v>1.0</v>
      </c>
      <c r="I885" s="1">
        <v>16.0</v>
      </c>
      <c r="L885" s="1" t="s">
        <v>4168</v>
      </c>
      <c r="M885" s="1" t="s">
        <v>4168</v>
      </c>
      <c r="N885" s="154">
        <v>43832.0</v>
      </c>
      <c r="O885" s="1">
        <v>1.0</v>
      </c>
      <c r="P885" s="1">
        <v>1.0</v>
      </c>
      <c r="R885" s="1" t="s">
        <v>28785</v>
      </c>
      <c r="T885" s="147">
        <v>43888.0</v>
      </c>
      <c r="U885" s="1">
        <v>33.57</v>
      </c>
      <c r="V885" s="1">
        <v>34.08</v>
      </c>
      <c r="Y885" s="147">
        <v>43883.0</v>
      </c>
      <c r="Z885" s="1">
        <v>37.06</v>
      </c>
      <c r="AA885" s="1">
        <v>36.72</v>
      </c>
      <c r="AE885" s="1">
        <v>1.0</v>
      </c>
      <c r="AF885" s="1" t="s">
        <v>18902</v>
      </c>
      <c r="AG885" s="121">
        <v>8607.0</v>
      </c>
      <c r="AH885" s="1" t="s">
        <v>28825</v>
      </c>
      <c r="AI885" s="1" t="s">
        <v>28826</v>
      </c>
      <c r="AJ885" s="121">
        <v>886.0</v>
      </c>
    </row>
    <row r="886">
      <c r="A886" s="1" t="s">
        <v>28821</v>
      </c>
      <c r="B886" s="1" t="s">
        <v>6876</v>
      </c>
      <c r="C886" s="1" t="s">
        <v>6877</v>
      </c>
      <c r="D886" s="1" t="s">
        <v>8493</v>
      </c>
      <c r="E886" s="147">
        <v>43903.0</v>
      </c>
      <c r="F886" s="1" t="s">
        <v>28827</v>
      </c>
      <c r="G886" s="1">
        <v>6.0</v>
      </c>
      <c r="H886" s="1">
        <v>1.0</v>
      </c>
      <c r="I886" s="1">
        <v>12.0</v>
      </c>
      <c r="L886" s="1" t="s">
        <v>4185</v>
      </c>
      <c r="M886" s="1" t="s">
        <v>4185</v>
      </c>
      <c r="N886" s="154">
        <v>43832.0</v>
      </c>
      <c r="O886" s="1">
        <v>1.0</v>
      </c>
      <c r="P886" s="1">
        <v>1.0</v>
      </c>
      <c r="R886" s="1" t="s">
        <v>28785</v>
      </c>
      <c r="T886" s="147">
        <v>43888.0</v>
      </c>
      <c r="U886" s="1">
        <v>26.94</v>
      </c>
      <c r="V886" s="1">
        <v>26.42</v>
      </c>
      <c r="Y886" s="147">
        <v>43883.0</v>
      </c>
      <c r="Z886" s="1">
        <v>9999.0</v>
      </c>
      <c r="AA886" s="1">
        <v>9999.0</v>
      </c>
      <c r="AE886" s="1">
        <v>1.0</v>
      </c>
      <c r="AF886" s="1" t="s">
        <v>18902</v>
      </c>
      <c r="AG886" s="121">
        <v>8608.0</v>
      </c>
      <c r="AH886" s="1" t="s">
        <v>28833</v>
      </c>
      <c r="AI886" s="1" t="s">
        <v>28834</v>
      </c>
      <c r="AJ886" s="121">
        <v>887.0</v>
      </c>
    </row>
    <row r="887">
      <c r="A887" s="1" t="s">
        <v>28827</v>
      </c>
      <c r="B887" s="1" t="s">
        <v>6876</v>
      </c>
      <c r="C887" s="1" t="s">
        <v>6877</v>
      </c>
      <c r="D887" s="1" t="s">
        <v>8493</v>
      </c>
      <c r="E887" s="147">
        <v>43903.0</v>
      </c>
      <c r="F887" s="1" t="s">
        <v>28836</v>
      </c>
      <c r="G887" s="1">
        <v>3.0</v>
      </c>
      <c r="H887" s="1">
        <v>1.0</v>
      </c>
      <c r="I887" s="1">
        <v>12.0</v>
      </c>
      <c r="L887" s="1" t="s">
        <v>4206</v>
      </c>
      <c r="M887" s="1" t="s">
        <v>4206</v>
      </c>
      <c r="N887" s="154">
        <v>43832.0</v>
      </c>
      <c r="O887" s="1">
        <v>1.0</v>
      </c>
      <c r="P887" s="1">
        <v>1.0</v>
      </c>
      <c r="R887" s="1" t="s">
        <v>28785</v>
      </c>
      <c r="T887" s="147">
        <v>43888.0</v>
      </c>
      <c r="U887" s="1">
        <v>27.26</v>
      </c>
      <c r="V887" s="1">
        <v>27.15</v>
      </c>
      <c r="Y887" s="147">
        <v>43883.0</v>
      </c>
      <c r="Z887" s="1">
        <v>37.03</v>
      </c>
      <c r="AA887" s="1">
        <v>38.14</v>
      </c>
      <c r="AE887" s="1">
        <v>1.0</v>
      </c>
      <c r="AF887" s="1" t="s">
        <v>18902</v>
      </c>
      <c r="AG887" s="121">
        <v>8609.0</v>
      </c>
      <c r="AH887" s="1" t="s">
        <v>28841</v>
      </c>
      <c r="AI887" s="1" t="s">
        <v>28842</v>
      </c>
      <c r="AJ887" s="121">
        <v>888.0</v>
      </c>
    </row>
    <row r="888">
      <c r="A888" s="1" t="s">
        <v>28836</v>
      </c>
      <c r="B888" s="1" t="s">
        <v>6876</v>
      </c>
      <c r="C888" s="1" t="s">
        <v>6877</v>
      </c>
      <c r="D888" s="1" t="s">
        <v>8493</v>
      </c>
      <c r="E888" s="147">
        <v>43903.0</v>
      </c>
      <c r="F888" s="1" t="s">
        <v>28843</v>
      </c>
      <c r="G888" s="1">
        <v>29.0</v>
      </c>
      <c r="H888" s="1">
        <v>1.0</v>
      </c>
      <c r="I888" s="1">
        <v>12.0</v>
      </c>
      <c r="L888" s="1" t="s">
        <v>4221</v>
      </c>
      <c r="M888" s="1" t="s">
        <v>4221</v>
      </c>
      <c r="N888" s="154">
        <v>43832.0</v>
      </c>
      <c r="O888" s="1">
        <v>1.0</v>
      </c>
      <c r="P888" s="1">
        <v>1.0</v>
      </c>
      <c r="R888" s="1" t="s">
        <v>28785</v>
      </c>
      <c r="T888" s="147">
        <v>43888.0</v>
      </c>
      <c r="U888" s="1">
        <v>24.91</v>
      </c>
      <c r="V888" s="1">
        <v>25.26</v>
      </c>
      <c r="Y888" s="147">
        <v>43883.0</v>
      </c>
      <c r="Z888" s="1">
        <v>39.18</v>
      </c>
      <c r="AA888" s="1">
        <v>9999.0</v>
      </c>
      <c r="AE888" s="1">
        <v>1.0</v>
      </c>
      <c r="AF888" s="1" t="s">
        <v>18902</v>
      </c>
      <c r="AG888" s="121">
        <v>8610.0</v>
      </c>
      <c r="AH888" s="1" t="s">
        <v>28848</v>
      </c>
      <c r="AI888" s="1" t="s">
        <v>28850</v>
      </c>
      <c r="AJ888" s="121">
        <v>889.0</v>
      </c>
    </row>
    <row r="889">
      <c r="A889" s="1" t="s">
        <v>28843</v>
      </c>
      <c r="B889" s="1" t="s">
        <v>6876</v>
      </c>
      <c r="C889" s="1" t="s">
        <v>6877</v>
      </c>
      <c r="D889" s="1" t="s">
        <v>8493</v>
      </c>
      <c r="E889" s="147">
        <v>43903.0</v>
      </c>
      <c r="F889" s="1" t="s">
        <v>28851</v>
      </c>
      <c r="G889" s="1">
        <v>65.0</v>
      </c>
      <c r="H889" s="1">
        <v>1.0</v>
      </c>
      <c r="I889" s="1">
        <v>16.0</v>
      </c>
      <c r="L889" s="1" t="s">
        <v>4260</v>
      </c>
      <c r="M889" s="1" t="s">
        <v>4260</v>
      </c>
      <c r="N889" s="154">
        <v>43832.0</v>
      </c>
      <c r="O889" s="1">
        <v>1.0</v>
      </c>
      <c r="P889" s="1">
        <v>1.0</v>
      </c>
      <c r="R889" s="1" t="s">
        <v>28785</v>
      </c>
      <c r="T889" s="147">
        <v>43888.0</v>
      </c>
      <c r="U889" s="1">
        <v>9999.0</v>
      </c>
      <c r="V889" s="1">
        <v>9999.0</v>
      </c>
      <c r="Y889" s="147">
        <v>43883.0</v>
      </c>
      <c r="Z889" s="1">
        <v>9999.0</v>
      </c>
      <c r="AA889" s="1">
        <v>9999.0</v>
      </c>
      <c r="AE889" s="1">
        <v>1.0</v>
      </c>
      <c r="AF889" s="1" t="s">
        <v>18902</v>
      </c>
      <c r="AG889" s="121">
        <v>8611.0</v>
      </c>
      <c r="AH889" s="1" t="s">
        <v>28857</v>
      </c>
      <c r="AI889" s="1" t="s">
        <v>28858</v>
      </c>
      <c r="AJ889" s="121">
        <v>890.0</v>
      </c>
    </row>
    <row r="890">
      <c r="A890" s="1" t="s">
        <v>28851</v>
      </c>
      <c r="B890" s="1" t="s">
        <v>6876</v>
      </c>
      <c r="C890" s="1" t="s">
        <v>6877</v>
      </c>
      <c r="D890" s="1" t="s">
        <v>8493</v>
      </c>
      <c r="E890" s="147">
        <v>43903.0</v>
      </c>
      <c r="F890" s="1" t="s">
        <v>28860</v>
      </c>
      <c r="G890" s="1">
        <v>58.0</v>
      </c>
      <c r="H890" s="1">
        <v>1.0</v>
      </c>
      <c r="I890" s="1">
        <v>7.0</v>
      </c>
      <c r="L890" s="1" t="s">
        <v>4236</v>
      </c>
      <c r="M890" s="1" t="s">
        <v>4236</v>
      </c>
      <c r="N890" s="154">
        <v>43832.0</v>
      </c>
      <c r="O890" s="1">
        <v>1.0</v>
      </c>
      <c r="P890" s="1">
        <v>1.0</v>
      </c>
      <c r="R890" s="1" t="s">
        <v>28785</v>
      </c>
      <c r="T890" s="147">
        <v>43888.0</v>
      </c>
      <c r="U890" s="1">
        <v>35.89</v>
      </c>
      <c r="V890" s="1">
        <v>36.79</v>
      </c>
      <c r="Y890" s="147">
        <v>43883.0</v>
      </c>
      <c r="Z890" s="1">
        <v>9999.0</v>
      </c>
      <c r="AA890" s="1">
        <v>9999.0</v>
      </c>
      <c r="AE890" s="1">
        <v>1.0</v>
      </c>
      <c r="AF890" s="1" t="s">
        <v>18902</v>
      </c>
      <c r="AG890" s="121">
        <v>8612.0</v>
      </c>
      <c r="AH890" s="1" t="s">
        <v>28862</v>
      </c>
      <c r="AI890" s="1" t="s">
        <v>28864</v>
      </c>
      <c r="AJ890" s="121">
        <v>891.0</v>
      </c>
    </row>
    <row r="891">
      <c r="A891" s="1" t="s">
        <v>28860</v>
      </c>
      <c r="B891" s="1" t="s">
        <v>6876</v>
      </c>
      <c r="C891" s="1" t="s">
        <v>6877</v>
      </c>
      <c r="D891" s="1" t="s">
        <v>8493</v>
      </c>
      <c r="E891" s="147">
        <v>43903.0</v>
      </c>
      <c r="F891" s="1" t="s">
        <v>28867</v>
      </c>
      <c r="G891" s="1">
        <v>58.0</v>
      </c>
      <c r="H891" s="1">
        <v>1.0</v>
      </c>
      <c r="I891" s="1">
        <v>7.0</v>
      </c>
      <c r="L891" s="1" t="s">
        <v>4244</v>
      </c>
      <c r="M891" s="1" t="s">
        <v>4244</v>
      </c>
      <c r="N891" s="154">
        <v>43832.0</v>
      </c>
      <c r="O891" s="1">
        <v>1.0</v>
      </c>
      <c r="P891" s="1">
        <v>1.0</v>
      </c>
      <c r="R891" s="1" t="s">
        <v>28785</v>
      </c>
      <c r="T891" s="147">
        <v>43888.0</v>
      </c>
      <c r="U891" s="1">
        <v>26.06</v>
      </c>
      <c r="V891" s="1">
        <v>9999.0</v>
      </c>
      <c r="Y891" s="147">
        <v>43883.0</v>
      </c>
      <c r="Z891" s="1">
        <v>36.67</v>
      </c>
      <c r="AA891" s="1">
        <v>9999.0</v>
      </c>
      <c r="AE891" s="1">
        <v>1.0</v>
      </c>
      <c r="AF891" s="1" t="s">
        <v>18902</v>
      </c>
      <c r="AG891" s="121">
        <v>8613.0</v>
      </c>
      <c r="AH891" s="1" t="s">
        <v>28872</v>
      </c>
      <c r="AI891" s="1" t="s">
        <v>28874</v>
      </c>
      <c r="AJ891" s="121">
        <v>892.0</v>
      </c>
    </row>
    <row r="892">
      <c r="A892" s="1" t="s">
        <v>28875</v>
      </c>
      <c r="B892" s="1" t="s">
        <v>6876</v>
      </c>
      <c r="C892" s="1" t="s">
        <v>6877</v>
      </c>
      <c r="D892" s="1" t="s">
        <v>8493</v>
      </c>
      <c r="E892" s="147">
        <v>43903.0</v>
      </c>
      <c r="F892" s="1" t="s">
        <v>28877</v>
      </c>
      <c r="G892" s="1">
        <v>58.0</v>
      </c>
      <c r="H892" s="1">
        <v>1.0</v>
      </c>
      <c r="I892" s="1">
        <v>99.0</v>
      </c>
      <c r="L892" s="1" t="s">
        <v>4250</v>
      </c>
      <c r="M892" s="1" t="s">
        <v>4250</v>
      </c>
      <c r="N892" s="154">
        <v>43832.0</v>
      </c>
      <c r="O892" s="1">
        <v>1.0</v>
      </c>
      <c r="P892" s="1">
        <v>1.0</v>
      </c>
      <c r="R892" s="1" t="s">
        <v>28785</v>
      </c>
      <c r="T892" s="147">
        <v>43888.0</v>
      </c>
      <c r="U892" s="1">
        <v>9999.0</v>
      </c>
      <c r="V892" s="1">
        <v>9999.0</v>
      </c>
      <c r="Y892" s="147">
        <v>43883.0</v>
      </c>
      <c r="Z892" s="1">
        <v>9999.0</v>
      </c>
      <c r="AA892" s="1">
        <v>9999.0</v>
      </c>
      <c r="AD892" s="1" t="s">
        <v>21893</v>
      </c>
      <c r="AE892" s="1">
        <v>1.0</v>
      </c>
      <c r="AF892" s="1" t="s">
        <v>18902</v>
      </c>
      <c r="AG892" s="121">
        <v>8614.0</v>
      </c>
      <c r="AH892" s="1" t="s">
        <v>28881</v>
      </c>
      <c r="AI892" s="1" t="s">
        <v>28882</v>
      </c>
      <c r="AJ892" s="121">
        <v>893.0</v>
      </c>
    </row>
    <row r="893">
      <c r="A893" s="1" t="s">
        <v>28877</v>
      </c>
      <c r="B893" s="1" t="s">
        <v>6876</v>
      </c>
      <c r="C893" s="1" t="s">
        <v>6877</v>
      </c>
      <c r="D893" s="1" t="s">
        <v>8493</v>
      </c>
      <c r="E893" s="147">
        <v>43903.0</v>
      </c>
      <c r="F893" s="1" t="s">
        <v>28886</v>
      </c>
      <c r="G893" s="1">
        <v>33.0</v>
      </c>
      <c r="H893" s="1">
        <v>1.0</v>
      </c>
      <c r="I893" s="1">
        <v>98.0</v>
      </c>
      <c r="L893" s="1" t="s">
        <v>6715</v>
      </c>
      <c r="M893" s="1" t="s">
        <v>6715</v>
      </c>
      <c r="N893" s="154">
        <v>43832.0</v>
      </c>
      <c r="O893" s="1">
        <v>1.0</v>
      </c>
      <c r="P893" s="1">
        <v>1.0</v>
      </c>
      <c r="R893" s="1" t="s">
        <v>28785</v>
      </c>
      <c r="T893" s="147">
        <v>43888.0</v>
      </c>
      <c r="U893" s="1">
        <v>9999.0</v>
      </c>
      <c r="V893" s="1">
        <v>9999.0</v>
      </c>
      <c r="Y893" s="147">
        <v>43883.0</v>
      </c>
      <c r="Z893" s="1">
        <v>9999.0</v>
      </c>
      <c r="AA893" s="1">
        <v>9999.0</v>
      </c>
      <c r="AE893" s="1">
        <v>1.0</v>
      </c>
      <c r="AF893" s="1" t="s">
        <v>18902</v>
      </c>
      <c r="AG893" s="121">
        <v>8615.0</v>
      </c>
      <c r="AH893" s="1" t="s">
        <v>28890</v>
      </c>
      <c r="AI893" s="1" t="s">
        <v>28893</v>
      </c>
      <c r="AJ893" s="121">
        <v>894.0</v>
      </c>
    </row>
    <row r="894">
      <c r="A894" s="1" t="s">
        <v>28886</v>
      </c>
      <c r="B894" s="1" t="s">
        <v>6876</v>
      </c>
      <c r="C894" s="1" t="s">
        <v>6877</v>
      </c>
      <c r="D894" s="1" t="s">
        <v>8493</v>
      </c>
      <c r="E894" s="147">
        <v>43903.0</v>
      </c>
      <c r="F894" s="1" t="s">
        <v>28895</v>
      </c>
      <c r="G894" s="1">
        <v>58.0</v>
      </c>
      <c r="H894" s="1">
        <v>2.0</v>
      </c>
      <c r="I894" s="1">
        <v>14.0</v>
      </c>
      <c r="J894" s="1">
        <v>142.0</v>
      </c>
      <c r="L894" s="1" t="s">
        <v>792</v>
      </c>
      <c r="M894" s="1" t="s">
        <v>792</v>
      </c>
      <c r="N894" s="1">
        <v>1.0</v>
      </c>
      <c r="O894" s="1">
        <v>1.0</v>
      </c>
      <c r="P894" s="1">
        <v>0.0</v>
      </c>
      <c r="R894" s="1" t="s">
        <v>28898</v>
      </c>
      <c r="T894" s="147">
        <v>43889.0</v>
      </c>
      <c r="U894" s="1">
        <v>9999.0</v>
      </c>
      <c r="V894" s="1">
        <v>9999.0</v>
      </c>
      <c r="AE894" s="1">
        <v>1.0</v>
      </c>
      <c r="AF894" s="1" t="s">
        <v>18902</v>
      </c>
      <c r="AG894" s="121">
        <v>8616.0</v>
      </c>
      <c r="AH894" s="1" t="s">
        <v>28902</v>
      </c>
      <c r="AI894" s="1" t="s">
        <v>28903</v>
      </c>
      <c r="AJ894" s="121">
        <v>895.0</v>
      </c>
    </row>
    <row r="895">
      <c r="A895" s="1" t="s">
        <v>28895</v>
      </c>
      <c r="B895" s="1" t="s">
        <v>6876</v>
      </c>
      <c r="C895" s="1" t="s">
        <v>6877</v>
      </c>
      <c r="D895" s="1" t="s">
        <v>8493</v>
      </c>
      <c r="E895" s="147">
        <v>43903.0</v>
      </c>
      <c r="F895" s="1" t="s">
        <v>28905</v>
      </c>
      <c r="G895" s="1">
        <v>58.0</v>
      </c>
      <c r="H895" s="1">
        <v>2.0</v>
      </c>
      <c r="I895" s="1">
        <v>14.0</v>
      </c>
      <c r="J895" s="1">
        <v>144.0</v>
      </c>
      <c r="L895" s="1" t="s">
        <v>790</v>
      </c>
      <c r="M895" s="1" t="s">
        <v>790</v>
      </c>
      <c r="N895" s="1">
        <v>1.0</v>
      </c>
      <c r="O895" s="1">
        <v>1.0</v>
      </c>
      <c r="P895" s="1">
        <v>0.0</v>
      </c>
      <c r="R895" s="1" t="s">
        <v>28898</v>
      </c>
      <c r="T895" s="147">
        <v>43889.0</v>
      </c>
      <c r="U895" s="1">
        <v>9999.0</v>
      </c>
      <c r="V895" s="1">
        <v>9999.0</v>
      </c>
      <c r="AE895" s="1">
        <v>1.0</v>
      </c>
      <c r="AF895" s="1" t="s">
        <v>18902</v>
      </c>
      <c r="AG895" s="121">
        <v>8617.0</v>
      </c>
      <c r="AH895" s="1" t="s">
        <v>28912</v>
      </c>
      <c r="AI895" s="1" t="s">
        <v>28913</v>
      </c>
      <c r="AJ895" s="121">
        <v>896.0</v>
      </c>
    </row>
    <row r="896">
      <c r="A896" s="1" t="s">
        <v>28905</v>
      </c>
      <c r="B896" s="1" t="s">
        <v>6876</v>
      </c>
      <c r="C896" s="1" t="s">
        <v>6877</v>
      </c>
      <c r="D896" s="1" t="s">
        <v>8493</v>
      </c>
      <c r="E896" s="147">
        <v>43903.0</v>
      </c>
      <c r="F896" s="1" t="s">
        <v>28916</v>
      </c>
      <c r="G896" s="1">
        <v>58.0</v>
      </c>
      <c r="H896" s="1">
        <v>1.0</v>
      </c>
      <c r="I896" s="1">
        <v>14.0</v>
      </c>
      <c r="J896" s="1">
        <v>145.0</v>
      </c>
      <c r="L896" s="1" t="s">
        <v>793</v>
      </c>
      <c r="M896" s="1" t="s">
        <v>793</v>
      </c>
      <c r="N896" s="1">
        <v>1.0</v>
      </c>
      <c r="O896" s="1">
        <v>1.0</v>
      </c>
      <c r="P896" s="1">
        <v>0.0</v>
      </c>
      <c r="R896" s="1" t="s">
        <v>28898</v>
      </c>
      <c r="T896" s="147">
        <v>43889.0</v>
      </c>
      <c r="U896" s="1">
        <v>9999.0</v>
      </c>
      <c r="V896" s="1">
        <v>9999.0</v>
      </c>
      <c r="AE896" s="1">
        <v>1.0</v>
      </c>
      <c r="AF896" s="1" t="s">
        <v>18902</v>
      </c>
      <c r="AG896" s="121">
        <v>8618.0</v>
      </c>
      <c r="AH896" s="1" t="s">
        <v>28920</v>
      </c>
      <c r="AI896" s="1" t="s">
        <v>28922</v>
      </c>
      <c r="AJ896" s="121">
        <v>897.0</v>
      </c>
    </row>
    <row r="897">
      <c r="A897" s="1" t="s">
        <v>28923</v>
      </c>
      <c r="B897" s="1" t="s">
        <v>6876</v>
      </c>
      <c r="C897" s="1" t="s">
        <v>6877</v>
      </c>
      <c r="D897" s="1" t="s">
        <v>8493</v>
      </c>
      <c r="E897" s="147">
        <v>43903.0</v>
      </c>
      <c r="F897" s="1" t="s">
        <v>28927</v>
      </c>
      <c r="G897" s="1">
        <v>58.0</v>
      </c>
      <c r="H897" s="1">
        <v>2.0</v>
      </c>
      <c r="I897" s="1">
        <v>14.0</v>
      </c>
      <c r="J897" s="1">
        <v>141.0</v>
      </c>
      <c r="L897" s="1" t="s">
        <v>788</v>
      </c>
      <c r="M897" s="1" t="s">
        <v>788</v>
      </c>
      <c r="N897" s="1">
        <v>1.0</v>
      </c>
      <c r="O897" s="1">
        <v>1.0</v>
      </c>
      <c r="P897" s="1">
        <v>0.0</v>
      </c>
      <c r="R897" s="1" t="s">
        <v>28898</v>
      </c>
      <c r="T897" s="147">
        <v>43889.0</v>
      </c>
      <c r="U897" s="1">
        <v>9999.0</v>
      </c>
      <c r="V897" s="1">
        <v>9999.0</v>
      </c>
      <c r="AE897" s="1">
        <v>1.0</v>
      </c>
      <c r="AF897" s="1" t="s">
        <v>18902</v>
      </c>
      <c r="AG897" s="121">
        <v>8619.0</v>
      </c>
      <c r="AH897" s="1" t="s">
        <v>28931</v>
      </c>
      <c r="AI897" s="1" t="s">
        <v>28932</v>
      </c>
      <c r="AJ897" s="121">
        <v>898.0</v>
      </c>
    </row>
    <row r="898">
      <c r="A898" s="1" t="s">
        <v>28927</v>
      </c>
      <c r="B898" s="1" t="s">
        <v>6876</v>
      </c>
      <c r="C898" s="1" t="s">
        <v>6877</v>
      </c>
      <c r="D898" s="1" t="s">
        <v>8493</v>
      </c>
      <c r="E898" s="147">
        <v>43903.0</v>
      </c>
      <c r="F898" s="1" t="s">
        <v>28935</v>
      </c>
      <c r="G898" s="1">
        <v>58.0</v>
      </c>
      <c r="H898" s="1">
        <v>2.0</v>
      </c>
      <c r="I898" s="1">
        <v>14.0</v>
      </c>
      <c r="J898" s="1">
        <v>143.0</v>
      </c>
      <c r="L898" s="1" t="s">
        <v>789</v>
      </c>
      <c r="M898" s="1" t="s">
        <v>789</v>
      </c>
      <c r="N898" s="1">
        <v>1.0</v>
      </c>
      <c r="O898" s="1">
        <v>1.0</v>
      </c>
      <c r="P898" s="1">
        <v>0.0</v>
      </c>
      <c r="R898" s="1" t="s">
        <v>28898</v>
      </c>
      <c r="T898" s="147">
        <v>43889.0</v>
      </c>
      <c r="U898" s="1">
        <v>9999.0</v>
      </c>
      <c r="V898" s="1">
        <v>9999.0</v>
      </c>
      <c r="AE898" s="1">
        <v>1.0</v>
      </c>
      <c r="AF898" s="1" t="s">
        <v>18902</v>
      </c>
      <c r="AG898" s="121">
        <v>8620.0</v>
      </c>
      <c r="AH898" s="1" t="s">
        <v>28940</v>
      </c>
      <c r="AI898" s="1" t="s">
        <v>28942</v>
      </c>
      <c r="AJ898" s="121">
        <v>899.0</v>
      </c>
    </row>
    <row r="899">
      <c r="A899" s="1" t="s">
        <v>28935</v>
      </c>
      <c r="B899" s="1" t="s">
        <v>6876</v>
      </c>
      <c r="C899" s="1" t="s">
        <v>6877</v>
      </c>
      <c r="D899" s="1" t="s">
        <v>8493</v>
      </c>
      <c r="E899" s="147">
        <v>43903.0</v>
      </c>
      <c r="F899" s="1" t="s">
        <v>28946</v>
      </c>
      <c r="G899" s="1">
        <v>59.0</v>
      </c>
      <c r="H899" s="1">
        <v>1.0</v>
      </c>
      <c r="I899" s="1">
        <v>11.0</v>
      </c>
      <c r="L899" s="1" t="s">
        <v>811</v>
      </c>
      <c r="M899" s="1" t="s">
        <v>811</v>
      </c>
      <c r="N899" s="1">
        <v>1.0</v>
      </c>
      <c r="O899" s="1">
        <v>1.0</v>
      </c>
      <c r="P899" s="1">
        <v>0.0</v>
      </c>
      <c r="R899" s="1" t="s">
        <v>28898</v>
      </c>
      <c r="T899" s="147">
        <v>43889.0</v>
      </c>
      <c r="U899" s="1">
        <v>9999.0</v>
      </c>
      <c r="V899" s="1">
        <v>9999.0</v>
      </c>
      <c r="AE899" s="1">
        <v>1.0</v>
      </c>
      <c r="AF899" s="1" t="s">
        <v>18902</v>
      </c>
      <c r="AG899" s="121">
        <v>8621.0</v>
      </c>
      <c r="AH899" s="1" t="s">
        <v>28952</v>
      </c>
      <c r="AI899" s="1" t="s">
        <v>28953</v>
      </c>
      <c r="AJ899" s="121">
        <v>900.0</v>
      </c>
    </row>
    <row r="900">
      <c r="A900" s="1" t="s">
        <v>28955</v>
      </c>
      <c r="B900" s="1" t="s">
        <v>6876</v>
      </c>
      <c r="C900" s="1" t="s">
        <v>6877</v>
      </c>
      <c r="D900" s="1" t="s">
        <v>8493</v>
      </c>
      <c r="E900" s="147">
        <v>43903.0</v>
      </c>
      <c r="F900" s="1" t="s">
        <v>28956</v>
      </c>
      <c r="G900" s="1">
        <v>59.0</v>
      </c>
      <c r="H900" s="1">
        <v>1.0</v>
      </c>
      <c r="I900" s="1">
        <v>11.0</v>
      </c>
      <c r="L900" s="1" t="s">
        <v>4372</v>
      </c>
      <c r="M900" s="1" t="s">
        <v>4372</v>
      </c>
      <c r="N900" s="1">
        <v>1.0</v>
      </c>
      <c r="O900" s="1">
        <v>1.0</v>
      </c>
      <c r="P900" s="1">
        <v>0.0</v>
      </c>
      <c r="R900" s="1" t="s">
        <v>28898</v>
      </c>
      <c r="T900" s="147">
        <v>43889.0</v>
      </c>
      <c r="U900" s="1">
        <v>32.85</v>
      </c>
      <c r="V900" s="1">
        <v>32.5</v>
      </c>
      <c r="AE900" s="1">
        <v>1.0</v>
      </c>
      <c r="AF900" s="1" t="s">
        <v>18902</v>
      </c>
      <c r="AG900" s="121">
        <v>8622.0</v>
      </c>
      <c r="AH900" s="1" t="s">
        <v>28961</v>
      </c>
      <c r="AI900" s="1" t="s">
        <v>28962</v>
      </c>
      <c r="AJ900" s="121">
        <v>901.0</v>
      </c>
    </row>
    <row r="901">
      <c r="A901" s="1" t="s">
        <v>28956</v>
      </c>
      <c r="B901" s="1" t="s">
        <v>6876</v>
      </c>
      <c r="C901" s="1" t="s">
        <v>6877</v>
      </c>
      <c r="D901" s="1" t="s">
        <v>8493</v>
      </c>
      <c r="E901" s="147">
        <v>43903.0</v>
      </c>
      <c r="F901" s="1" t="s">
        <v>28967</v>
      </c>
      <c r="G901" s="1">
        <v>59.0</v>
      </c>
      <c r="H901" s="1">
        <v>1.0</v>
      </c>
      <c r="I901" s="1">
        <v>11.0</v>
      </c>
      <c r="L901" s="1" t="s">
        <v>4391</v>
      </c>
      <c r="M901" s="1" t="s">
        <v>4391</v>
      </c>
      <c r="N901" s="1">
        <v>1.0</v>
      </c>
      <c r="O901" s="1">
        <v>1.0</v>
      </c>
      <c r="P901" s="1">
        <v>0.0</v>
      </c>
      <c r="R901" s="1" t="s">
        <v>28898</v>
      </c>
      <c r="T901" s="147">
        <v>43889.0</v>
      </c>
      <c r="U901" s="1">
        <v>9999.0</v>
      </c>
      <c r="V901" s="1">
        <v>9999.0</v>
      </c>
      <c r="AE901" s="1">
        <v>1.0</v>
      </c>
      <c r="AF901" s="1" t="s">
        <v>18902</v>
      </c>
      <c r="AG901" s="121">
        <v>8623.0</v>
      </c>
      <c r="AH901" s="1" t="s">
        <v>28972</v>
      </c>
      <c r="AI901" s="1" t="s">
        <v>28973</v>
      </c>
      <c r="AJ901" s="121">
        <v>902.0</v>
      </c>
    </row>
    <row r="902">
      <c r="A902" s="1" t="s">
        <v>28967</v>
      </c>
      <c r="B902" s="1" t="s">
        <v>6876</v>
      </c>
      <c r="C902" s="1" t="s">
        <v>6877</v>
      </c>
      <c r="D902" s="1" t="s">
        <v>8493</v>
      </c>
      <c r="E902" s="147">
        <v>43903.0</v>
      </c>
      <c r="F902" s="1" t="s">
        <v>28975</v>
      </c>
      <c r="G902" s="1">
        <v>104.0</v>
      </c>
      <c r="H902" s="1">
        <v>1.0</v>
      </c>
      <c r="I902" s="1">
        <v>12.0</v>
      </c>
      <c r="L902" s="1" t="s">
        <v>4291</v>
      </c>
      <c r="M902" s="1" t="s">
        <v>4291</v>
      </c>
      <c r="N902" s="1">
        <v>1.0</v>
      </c>
      <c r="O902" s="1">
        <v>1.0</v>
      </c>
      <c r="P902" s="1">
        <v>0.0</v>
      </c>
      <c r="R902" s="1" t="s">
        <v>28898</v>
      </c>
      <c r="T902" s="147">
        <v>43889.0</v>
      </c>
      <c r="U902" s="1">
        <v>9999.0</v>
      </c>
      <c r="V902" s="1">
        <v>9999.0</v>
      </c>
      <c r="AE902" s="1">
        <v>1.0</v>
      </c>
      <c r="AF902" s="1" t="s">
        <v>18902</v>
      </c>
      <c r="AG902" s="121">
        <v>8624.0</v>
      </c>
      <c r="AH902" s="1" t="s">
        <v>28980</v>
      </c>
      <c r="AI902" s="1" t="s">
        <v>28981</v>
      </c>
      <c r="AJ902" s="121">
        <v>903.0</v>
      </c>
    </row>
    <row r="903">
      <c r="A903" s="1" t="s">
        <v>28975</v>
      </c>
      <c r="B903" s="1" t="s">
        <v>6876</v>
      </c>
      <c r="C903" s="1" t="s">
        <v>6877</v>
      </c>
      <c r="D903" s="1" t="s">
        <v>8493</v>
      </c>
      <c r="E903" s="147">
        <v>43903.0</v>
      </c>
      <c r="F903" s="1" t="s">
        <v>28984</v>
      </c>
      <c r="G903" s="1">
        <v>110.0</v>
      </c>
      <c r="H903" s="1">
        <v>1.0</v>
      </c>
      <c r="I903" s="1">
        <v>12.0</v>
      </c>
      <c r="L903" s="1" t="s">
        <v>4277</v>
      </c>
      <c r="M903" s="1" t="s">
        <v>4277</v>
      </c>
      <c r="N903" s="1">
        <v>1.0</v>
      </c>
      <c r="O903" s="1">
        <v>1.0</v>
      </c>
      <c r="P903" s="1">
        <v>0.0</v>
      </c>
      <c r="R903" s="1" t="s">
        <v>28898</v>
      </c>
      <c r="T903" s="147">
        <v>43889.0</v>
      </c>
      <c r="U903" s="1">
        <v>9999.0</v>
      </c>
      <c r="V903" s="1">
        <v>9999.0</v>
      </c>
      <c r="AE903" s="1">
        <v>1.0</v>
      </c>
      <c r="AF903" s="1" t="s">
        <v>18902</v>
      </c>
      <c r="AG903" s="121">
        <v>8625.0</v>
      </c>
      <c r="AH903" s="1" t="s">
        <v>28989</v>
      </c>
      <c r="AI903" s="1" t="s">
        <v>28991</v>
      </c>
      <c r="AJ903" s="121">
        <v>904.0</v>
      </c>
    </row>
    <row r="904">
      <c r="A904" s="1" t="s">
        <v>28984</v>
      </c>
      <c r="B904" s="1" t="s">
        <v>6876</v>
      </c>
      <c r="C904" s="1" t="s">
        <v>6877</v>
      </c>
      <c r="D904" s="1" t="s">
        <v>8493</v>
      </c>
      <c r="E904" s="147">
        <v>43903.0</v>
      </c>
      <c r="F904" s="1" t="s">
        <v>28994</v>
      </c>
      <c r="G904" s="1">
        <v>66.0</v>
      </c>
      <c r="H904" s="1">
        <v>1.0</v>
      </c>
      <c r="I904" s="1">
        <v>12.0</v>
      </c>
      <c r="L904" s="1" t="s">
        <v>4311</v>
      </c>
      <c r="M904" s="1" t="s">
        <v>4311</v>
      </c>
      <c r="N904" s="1">
        <v>1.0</v>
      </c>
      <c r="O904" s="1">
        <v>1.0</v>
      </c>
      <c r="P904" s="1">
        <v>0.0</v>
      </c>
      <c r="R904" s="1" t="s">
        <v>28898</v>
      </c>
      <c r="T904" s="147">
        <v>43889.0</v>
      </c>
      <c r="U904" s="1">
        <v>25.72</v>
      </c>
      <c r="V904" s="1">
        <v>26.29</v>
      </c>
      <c r="AE904" s="1">
        <v>1.0</v>
      </c>
      <c r="AF904" s="1" t="s">
        <v>18902</v>
      </c>
      <c r="AG904" s="121">
        <v>8626.0</v>
      </c>
      <c r="AH904" s="1" t="s">
        <v>28999</v>
      </c>
      <c r="AI904" s="1" t="s">
        <v>29000</v>
      </c>
      <c r="AJ904" s="121">
        <v>905.0</v>
      </c>
    </row>
    <row r="905">
      <c r="A905" s="1" t="s">
        <v>28994</v>
      </c>
      <c r="B905" s="1" t="s">
        <v>6876</v>
      </c>
      <c r="C905" s="1" t="s">
        <v>6877</v>
      </c>
      <c r="D905" s="1" t="s">
        <v>8493</v>
      </c>
      <c r="E905" s="147">
        <v>43903.0</v>
      </c>
      <c r="F905" s="1" t="s">
        <v>29003</v>
      </c>
      <c r="G905" s="1">
        <v>59.0</v>
      </c>
      <c r="H905" s="1">
        <v>1.0</v>
      </c>
      <c r="I905" s="1">
        <v>12.0</v>
      </c>
      <c r="L905" s="1" t="s">
        <v>4327</v>
      </c>
      <c r="M905" s="1" t="s">
        <v>4327</v>
      </c>
      <c r="N905" s="1">
        <v>1.0</v>
      </c>
      <c r="O905" s="1">
        <v>1.0</v>
      </c>
      <c r="P905" s="1">
        <v>0.0</v>
      </c>
      <c r="R905" s="1" t="s">
        <v>28898</v>
      </c>
      <c r="T905" s="147">
        <v>43889.0</v>
      </c>
      <c r="U905" s="1">
        <v>28.12</v>
      </c>
      <c r="V905" s="1">
        <v>28.31</v>
      </c>
      <c r="AE905" s="1">
        <v>1.0</v>
      </c>
      <c r="AF905" s="1" t="s">
        <v>18902</v>
      </c>
      <c r="AG905" s="121">
        <v>8627.0</v>
      </c>
      <c r="AH905" s="1" t="s">
        <v>29008</v>
      </c>
      <c r="AI905" s="1" t="s">
        <v>29009</v>
      </c>
      <c r="AJ905" s="121">
        <v>906.0</v>
      </c>
    </row>
    <row r="906">
      <c r="A906" s="1" t="s">
        <v>29003</v>
      </c>
      <c r="B906" s="1" t="s">
        <v>6876</v>
      </c>
      <c r="C906" s="1" t="s">
        <v>6877</v>
      </c>
      <c r="D906" s="1" t="s">
        <v>8493</v>
      </c>
      <c r="E906" s="147">
        <v>43903.0</v>
      </c>
      <c r="F906" s="1" t="s">
        <v>29011</v>
      </c>
      <c r="G906" s="1">
        <v>65.0</v>
      </c>
      <c r="H906" s="1">
        <v>1.0</v>
      </c>
      <c r="I906" s="1">
        <v>12.0</v>
      </c>
      <c r="L906" s="1" t="s">
        <v>4343</v>
      </c>
      <c r="M906" s="1" t="s">
        <v>4343</v>
      </c>
      <c r="N906" s="1">
        <v>1.0</v>
      </c>
      <c r="O906" s="1">
        <v>1.0</v>
      </c>
      <c r="P906" s="1">
        <v>0.0</v>
      </c>
      <c r="R906" s="1" t="s">
        <v>28898</v>
      </c>
      <c r="T906" s="147">
        <v>43889.0</v>
      </c>
      <c r="U906" s="1">
        <v>27.86</v>
      </c>
      <c r="V906" s="1">
        <v>26.69</v>
      </c>
      <c r="AE906" s="1">
        <v>1.0</v>
      </c>
      <c r="AF906" s="1" t="s">
        <v>18902</v>
      </c>
      <c r="AG906" s="121">
        <v>8628.0</v>
      </c>
      <c r="AH906" s="1" t="s">
        <v>29017</v>
      </c>
      <c r="AI906" s="1" t="s">
        <v>29018</v>
      </c>
      <c r="AJ906" s="121">
        <v>907.0</v>
      </c>
    </row>
    <row r="907">
      <c r="A907" s="1" t="s">
        <v>29019</v>
      </c>
      <c r="B907" s="1" t="s">
        <v>6876</v>
      </c>
      <c r="C907" s="1" t="s">
        <v>6877</v>
      </c>
      <c r="D907" s="1" t="s">
        <v>8493</v>
      </c>
      <c r="E907" s="147">
        <v>43903.0</v>
      </c>
      <c r="F907" s="1" t="s">
        <v>29021</v>
      </c>
      <c r="G907" s="1">
        <v>110.0</v>
      </c>
      <c r="H907" s="1">
        <v>1.0</v>
      </c>
      <c r="I907" s="1">
        <v>99.0</v>
      </c>
      <c r="L907" s="1" t="s">
        <v>4297</v>
      </c>
      <c r="M907" s="1" t="s">
        <v>4297</v>
      </c>
      <c r="N907" s="1">
        <v>1.0</v>
      </c>
      <c r="O907" s="1">
        <v>1.0</v>
      </c>
      <c r="P907" s="1">
        <v>0.0</v>
      </c>
      <c r="R907" s="1" t="s">
        <v>28898</v>
      </c>
      <c r="T907" s="147">
        <v>43889.0</v>
      </c>
      <c r="U907" s="1">
        <v>9999.0</v>
      </c>
      <c r="V907" s="1">
        <v>9999.0</v>
      </c>
      <c r="AD907" s="1" t="s">
        <v>29026</v>
      </c>
      <c r="AE907" s="1">
        <v>1.0</v>
      </c>
      <c r="AF907" s="1" t="s">
        <v>18902</v>
      </c>
      <c r="AG907" s="121">
        <v>8629.0</v>
      </c>
      <c r="AH907" s="1" t="s">
        <v>29028</v>
      </c>
      <c r="AI907" s="1" t="s">
        <v>29029</v>
      </c>
      <c r="AJ907" s="121">
        <v>908.0</v>
      </c>
    </row>
    <row r="908">
      <c r="A908" s="1" t="s">
        <v>29031</v>
      </c>
      <c r="B908" s="1" t="s">
        <v>6876</v>
      </c>
      <c r="C908" s="1" t="s">
        <v>6877</v>
      </c>
      <c r="D908" s="1" t="s">
        <v>8493</v>
      </c>
      <c r="E908" s="147">
        <v>43903.0</v>
      </c>
      <c r="F908" s="1" t="s">
        <v>29034</v>
      </c>
      <c r="G908" s="1">
        <v>33.0</v>
      </c>
      <c r="H908" s="1">
        <v>1.0</v>
      </c>
      <c r="I908" s="1">
        <v>98.0</v>
      </c>
      <c r="L908" s="1" t="s">
        <v>6706</v>
      </c>
      <c r="M908" s="1" t="s">
        <v>6706</v>
      </c>
      <c r="N908" s="1">
        <v>1.0</v>
      </c>
      <c r="O908" s="1">
        <v>1.0</v>
      </c>
      <c r="P908" s="1">
        <v>0.0</v>
      </c>
      <c r="R908" s="1" t="s">
        <v>28898</v>
      </c>
      <c r="T908" s="147">
        <v>43889.0</v>
      </c>
      <c r="U908" s="1">
        <v>9999.0</v>
      </c>
      <c r="V908" s="1">
        <v>9999.0</v>
      </c>
      <c r="AE908" s="1">
        <v>1.0</v>
      </c>
      <c r="AF908" s="1" t="s">
        <v>18902</v>
      </c>
      <c r="AG908" s="121">
        <v>8630.0</v>
      </c>
      <c r="AH908" s="1" t="s">
        <v>29037</v>
      </c>
      <c r="AI908" s="1" t="s">
        <v>29038</v>
      </c>
      <c r="AJ908" s="121">
        <v>909.0</v>
      </c>
    </row>
    <row r="909">
      <c r="A909" s="1" t="s">
        <v>29034</v>
      </c>
      <c r="B909" s="1" t="s">
        <v>6876</v>
      </c>
      <c r="C909" s="1" t="s">
        <v>6877</v>
      </c>
      <c r="D909" s="1" t="s">
        <v>8493</v>
      </c>
      <c r="E909" s="147">
        <v>43903.0</v>
      </c>
      <c r="F909" s="1" t="s">
        <v>29041</v>
      </c>
      <c r="G909" s="1">
        <v>59.0</v>
      </c>
      <c r="H909" s="1">
        <v>1.0</v>
      </c>
      <c r="I909" s="1">
        <v>11.0</v>
      </c>
      <c r="L909" s="1" t="s">
        <v>4451</v>
      </c>
      <c r="M909" s="1" t="s">
        <v>4451</v>
      </c>
      <c r="N909" s="1">
        <v>1.0</v>
      </c>
      <c r="O909" s="1">
        <v>1.0</v>
      </c>
      <c r="P909" s="1">
        <v>0.0</v>
      </c>
      <c r="R909" s="1" t="s">
        <v>28898</v>
      </c>
      <c r="T909" s="147">
        <v>43889.0</v>
      </c>
      <c r="U909" s="1">
        <v>28.31</v>
      </c>
      <c r="V909" s="1">
        <v>9999.0</v>
      </c>
      <c r="AE909" s="1">
        <v>1.0</v>
      </c>
      <c r="AF909" s="1" t="s">
        <v>18902</v>
      </c>
      <c r="AG909" s="121">
        <v>8631.0</v>
      </c>
      <c r="AH909" s="1" t="s">
        <v>29044</v>
      </c>
      <c r="AI909" s="1" t="s">
        <v>29046</v>
      </c>
      <c r="AJ909" s="121">
        <v>910.0</v>
      </c>
    </row>
    <row r="910">
      <c r="A910" s="1" t="s">
        <v>29047</v>
      </c>
      <c r="B910" s="1" t="s">
        <v>6876</v>
      </c>
      <c r="C910" s="1" t="s">
        <v>6877</v>
      </c>
      <c r="D910" s="1" t="s">
        <v>8493</v>
      </c>
      <c r="E910" s="147">
        <v>43903.0</v>
      </c>
      <c r="F910" s="1" t="s">
        <v>29050</v>
      </c>
      <c r="G910" s="1">
        <v>59.0</v>
      </c>
      <c r="H910" s="1">
        <v>1.0</v>
      </c>
      <c r="I910" s="1">
        <v>11.0</v>
      </c>
      <c r="L910" s="1" t="s">
        <v>4466</v>
      </c>
      <c r="M910" s="1" t="s">
        <v>4466</v>
      </c>
      <c r="N910" s="1">
        <v>1.0</v>
      </c>
      <c r="O910" s="1">
        <v>1.0</v>
      </c>
      <c r="P910" s="1">
        <v>0.0</v>
      </c>
      <c r="R910" s="1" t="s">
        <v>28898</v>
      </c>
      <c r="T910" s="147">
        <v>43889.0</v>
      </c>
      <c r="U910" s="1">
        <v>30.94</v>
      </c>
      <c r="V910" s="1">
        <v>9999.0</v>
      </c>
      <c r="AE910" s="1">
        <v>1.0</v>
      </c>
      <c r="AF910" s="1" t="s">
        <v>18902</v>
      </c>
      <c r="AG910" s="121">
        <v>8632.0</v>
      </c>
      <c r="AH910" s="1" t="s">
        <v>29052</v>
      </c>
      <c r="AI910" s="1" t="s">
        <v>29054</v>
      </c>
      <c r="AJ910" s="121">
        <v>911.0</v>
      </c>
    </row>
    <row r="911">
      <c r="A911" s="1" t="s">
        <v>29055</v>
      </c>
      <c r="B911" s="1" t="s">
        <v>6876</v>
      </c>
      <c r="C911" s="1" t="s">
        <v>6877</v>
      </c>
      <c r="D911" s="1" t="s">
        <v>8493</v>
      </c>
      <c r="E911" s="147">
        <v>43903.0</v>
      </c>
      <c r="F911" s="1" t="s">
        <v>29056</v>
      </c>
      <c r="G911" s="1">
        <v>59.0</v>
      </c>
      <c r="H911" s="1">
        <v>1.0</v>
      </c>
      <c r="I911" s="1">
        <v>11.0</v>
      </c>
      <c r="L911" s="1" t="s">
        <v>4479</v>
      </c>
      <c r="M911" s="1" t="s">
        <v>4479</v>
      </c>
      <c r="N911" s="1">
        <v>1.0</v>
      </c>
      <c r="O911" s="1">
        <v>1.0</v>
      </c>
      <c r="P911" s="1">
        <v>0.0</v>
      </c>
      <c r="R911" s="1" t="s">
        <v>28898</v>
      </c>
      <c r="T911" s="147">
        <v>43889.0</v>
      </c>
      <c r="U911" s="1">
        <v>26.88</v>
      </c>
      <c r="V911" s="1">
        <v>27.05</v>
      </c>
      <c r="AE911" s="1">
        <v>1.0</v>
      </c>
      <c r="AF911" s="1" t="s">
        <v>18902</v>
      </c>
      <c r="AG911" s="121">
        <v>8633.0</v>
      </c>
      <c r="AH911" s="1" t="s">
        <v>29060</v>
      </c>
      <c r="AI911" s="1" t="s">
        <v>29061</v>
      </c>
      <c r="AJ911" s="121">
        <v>912.0</v>
      </c>
    </row>
    <row r="912">
      <c r="A912" s="1" t="s">
        <v>29056</v>
      </c>
      <c r="B912" s="1" t="s">
        <v>6876</v>
      </c>
      <c r="C912" s="1" t="s">
        <v>6877</v>
      </c>
      <c r="D912" s="1" t="s">
        <v>8493</v>
      </c>
      <c r="E912" s="147">
        <v>43903.0</v>
      </c>
      <c r="F912" s="1" t="s">
        <v>29064</v>
      </c>
      <c r="G912" s="1">
        <v>59.0</v>
      </c>
      <c r="H912" s="1">
        <v>1.0</v>
      </c>
      <c r="I912" s="1">
        <v>11.0</v>
      </c>
      <c r="L912" s="1" t="s">
        <v>4492</v>
      </c>
      <c r="M912" s="1" t="s">
        <v>4492</v>
      </c>
      <c r="N912" s="1">
        <v>1.0</v>
      </c>
      <c r="O912" s="1">
        <v>1.0</v>
      </c>
      <c r="P912" s="1">
        <v>0.0</v>
      </c>
      <c r="R912" s="1" t="s">
        <v>28898</v>
      </c>
      <c r="T912" s="147">
        <v>43889.0</v>
      </c>
      <c r="U912" s="1">
        <v>30.01</v>
      </c>
      <c r="V912" s="1">
        <v>9999.0</v>
      </c>
      <c r="AE912" s="1">
        <v>1.0</v>
      </c>
      <c r="AF912" s="1" t="s">
        <v>18902</v>
      </c>
      <c r="AG912" s="121">
        <v>8634.0</v>
      </c>
      <c r="AH912" s="1" t="s">
        <v>29068</v>
      </c>
      <c r="AI912" s="1" t="s">
        <v>29069</v>
      </c>
      <c r="AJ912" s="121">
        <v>913.0</v>
      </c>
    </row>
    <row r="913">
      <c r="A913" s="1" t="s">
        <v>29064</v>
      </c>
      <c r="B913" s="1" t="s">
        <v>6876</v>
      </c>
      <c r="C913" s="1" t="s">
        <v>6877</v>
      </c>
      <c r="D913" s="1" t="s">
        <v>8493</v>
      </c>
      <c r="E913" s="147">
        <v>43903.0</v>
      </c>
      <c r="F913" s="1" t="s">
        <v>29071</v>
      </c>
      <c r="G913" s="1">
        <v>59.0</v>
      </c>
      <c r="H913" s="1">
        <v>1.0</v>
      </c>
      <c r="I913" s="1">
        <v>11.0</v>
      </c>
      <c r="L913" s="1" t="s">
        <v>4505</v>
      </c>
      <c r="M913" s="1" t="s">
        <v>4505</v>
      </c>
      <c r="N913" s="1">
        <v>1.0</v>
      </c>
      <c r="O913" s="1">
        <v>1.0</v>
      </c>
      <c r="P913" s="1">
        <v>0.0</v>
      </c>
      <c r="R913" s="1" t="s">
        <v>28898</v>
      </c>
      <c r="T913" s="147">
        <v>43889.0</v>
      </c>
      <c r="U913" s="1">
        <v>9999.0</v>
      </c>
      <c r="V913" s="1">
        <v>9999.0</v>
      </c>
      <c r="AE913" s="1">
        <v>1.0</v>
      </c>
      <c r="AF913" s="1" t="s">
        <v>18902</v>
      </c>
      <c r="AG913" s="121">
        <v>8635.0</v>
      </c>
      <c r="AH913" s="1" t="s">
        <v>29075</v>
      </c>
      <c r="AI913" s="1" t="s">
        <v>29076</v>
      </c>
      <c r="AJ913" s="121">
        <v>914.0</v>
      </c>
    </row>
    <row r="914">
      <c r="A914" s="1" t="s">
        <v>29071</v>
      </c>
      <c r="B914" s="1" t="s">
        <v>6876</v>
      </c>
      <c r="C914" s="1" t="s">
        <v>6877</v>
      </c>
      <c r="D914" s="1" t="s">
        <v>8493</v>
      </c>
      <c r="E914" s="147">
        <v>43903.0</v>
      </c>
      <c r="F914" s="1" t="s">
        <v>29079</v>
      </c>
      <c r="G914" s="1">
        <v>59.0</v>
      </c>
      <c r="H914" s="1">
        <v>1.0</v>
      </c>
      <c r="I914" s="1">
        <v>99.0</v>
      </c>
      <c r="L914" s="1" t="s">
        <v>4508</v>
      </c>
      <c r="M914" s="1" t="s">
        <v>4508</v>
      </c>
      <c r="N914" s="1">
        <v>1.0</v>
      </c>
      <c r="O914" s="1">
        <v>1.0</v>
      </c>
      <c r="P914" s="1">
        <v>0.0</v>
      </c>
      <c r="R914" s="1" t="s">
        <v>28898</v>
      </c>
      <c r="T914" s="147">
        <v>43889.0</v>
      </c>
      <c r="U914" s="1">
        <v>9999.0</v>
      </c>
      <c r="V914" s="1">
        <v>9999.0</v>
      </c>
      <c r="AE914" s="1">
        <v>1.0</v>
      </c>
      <c r="AF914" s="1" t="s">
        <v>18902</v>
      </c>
      <c r="AG914" s="121">
        <v>8636.0</v>
      </c>
      <c r="AH914" s="1" t="s">
        <v>29083</v>
      </c>
      <c r="AI914" s="1" t="s">
        <v>29084</v>
      </c>
      <c r="AJ914" s="121">
        <v>915.0</v>
      </c>
    </row>
    <row r="915">
      <c r="A915" s="1" t="s">
        <v>29079</v>
      </c>
      <c r="B915" s="1" t="s">
        <v>6876</v>
      </c>
      <c r="C915" s="1" t="s">
        <v>6877</v>
      </c>
      <c r="D915" s="1" t="s">
        <v>8493</v>
      </c>
      <c r="E915" s="147">
        <v>43903.0</v>
      </c>
      <c r="F915" s="1" t="s">
        <v>29086</v>
      </c>
      <c r="G915" s="1">
        <v>57.0</v>
      </c>
      <c r="H915" s="1">
        <v>2.0</v>
      </c>
      <c r="I915" s="1">
        <v>3.0</v>
      </c>
      <c r="L915" s="1" t="s">
        <v>2339</v>
      </c>
      <c r="M915" s="1" t="s">
        <v>2339</v>
      </c>
      <c r="N915" s="154">
        <v>43832.0</v>
      </c>
      <c r="O915" s="1">
        <v>1.0</v>
      </c>
      <c r="P915" s="1">
        <v>1.0</v>
      </c>
      <c r="R915" s="1" t="s">
        <v>29090</v>
      </c>
      <c r="T915" s="147">
        <v>43889.0</v>
      </c>
      <c r="U915" s="1">
        <v>9999.0</v>
      </c>
      <c r="V915" s="1">
        <v>9999.0</v>
      </c>
      <c r="Y915" s="147">
        <v>43894.0</v>
      </c>
      <c r="Z915" s="1">
        <v>9999.0</v>
      </c>
      <c r="AA915" s="1">
        <v>9999.0</v>
      </c>
      <c r="AE915" s="1">
        <v>1.0</v>
      </c>
      <c r="AF915" s="1" t="s">
        <v>18902</v>
      </c>
      <c r="AG915" s="121">
        <v>8637.0</v>
      </c>
      <c r="AH915" s="1" t="s">
        <v>29093</v>
      </c>
      <c r="AI915" s="1" t="s">
        <v>29094</v>
      </c>
      <c r="AJ915" s="121">
        <v>916.0</v>
      </c>
    </row>
    <row r="916">
      <c r="A916" s="1" t="s">
        <v>29086</v>
      </c>
      <c r="B916" s="1" t="s">
        <v>6876</v>
      </c>
      <c r="C916" s="1" t="s">
        <v>6877</v>
      </c>
      <c r="D916" s="1" t="s">
        <v>8493</v>
      </c>
      <c r="E916" s="147">
        <v>43903.0</v>
      </c>
      <c r="F916" s="1" t="s">
        <v>29096</v>
      </c>
      <c r="G916" s="1">
        <v>57.0</v>
      </c>
      <c r="H916" s="1">
        <v>1.0</v>
      </c>
      <c r="I916" s="1">
        <v>12.0</v>
      </c>
      <c r="L916" s="1" t="s">
        <v>4549</v>
      </c>
      <c r="M916" s="1" t="s">
        <v>4549</v>
      </c>
      <c r="N916" s="1">
        <v>1.0</v>
      </c>
      <c r="O916" s="1">
        <v>1.0</v>
      </c>
      <c r="P916" s="1">
        <v>0.0</v>
      </c>
      <c r="R916" s="1" t="s">
        <v>28898</v>
      </c>
      <c r="T916" s="147">
        <v>43889.0</v>
      </c>
      <c r="U916" s="1">
        <v>27.8</v>
      </c>
      <c r="V916" s="1">
        <v>25.64</v>
      </c>
      <c r="AE916" s="1">
        <v>1.0</v>
      </c>
      <c r="AF916" s="1" t="s">
        <v>18902</v>
      </c>
      <c r="AG916" s="121">
        <v>8638.0</v>
      </c>
      <c r="AH916" s="1" t="s">
        <v>29099</v>
      </c>
      <c r="AI916" s="1" t="s">
        <v>29100</v>
      </c>
      <c r="AJ916" s="121">
        <v>917.0</v>
      </c>
    </row>
    <row r="917">
      <c r="A917" s="1" t="s">
        <v>29096</v>
      </c>
      <c r="B917" s="1" t="s">
        <v>6876</v>
      </c>
      <c r="C917" s="1" t="s">
        <v>6877</v>
      </c>
      <c r="D917" s="1" t="s">
        <v>8493</v>
      </c>
      <c r="E917" s="147">
        <v>43903.0</v>
      </c>
      <c r="F917" s="1" t="s">
        <v>29105</v>
      </c>
      <c r="G917" s="1">
        <v>57.0</v>
      </c>
      <c r="H917" s="1">
        <v>1.0</v>
      </c>
      <c r="I917" s="1">
        <v>12.0</v>
      </c>
      <c r="L917" s="1" t="s">
        <v>4590</v>
      </c>
      <c r="M917" s="1" t="s">
        <v>4590</v>
      </c>
      <c r="N917" s="1">
        <v>1.0</v>
      </c>
      <c r="O917" s="1">
        <v>1.0</v>
      </c>
      <c r="P917" s="1">
        <v>0.0</v>
      </c>
      <c r="R917" s="1" t="s">
        <v>28898</v>
      </c>
      <c r="T917" s="147">
        <v>43889.0</v>
      </c>
      <c r="U917" s="1">
        <v>23.7</v>
      </c>
      <c r="V917" s="1">
        <v>23.22</v>
      </c>
      <c r="AE917" s="1">
        <v>1.0</v>
      </c>
      <c r="AF917" s="1" t="s">
        <v>18902</v>
      </c>
      <c r="AG917" s="121">
        <v>8639.0</v>
      </c>
      <c r="AH917" s="1" t="s">
        <v>29107</v>
      </c>
      <c r="AI917" s="1" t="s">
        <v>29108</v>
      </c>
      <c r="AJ917" s="121">
        <v>918.0</v>
      </c>
    </row>
    <row r="918">
      <c r="A918" s="1" t="s">
        <v>29105</v>
      </c>
      <c r="B918" s="1" t="s">
        <v>6876</v>
      </c>
      <c r="C918" s="1" t="s">
        <v>6877</v>
      </c>
      <c r="D918" s="1" t="s">
        <v>8493</v>
      </c>
      <c r="E918" s="147">
        <v>43903.0</v>
      </c>
      <c r="F918" s="1" t="s">
        <v>29110</v>
      </c>
      <c r="G918" s="1">
        <v>57.0</v>
      </c>
      <c r="H918" s="1">
        <v>1.0</v>
      </c>
      <c r="I918" s="1">
        <v>12.0</v>
      </c>
      <c r="L918" s="1" t="s">
        <v>4626</v>
      </c>
      <c r="M918" s="1" t="s">
        <v>4626</v>
      </c>
      <c r="N918" s="1">
        <v>1.0</v>
      </c>
      <c r="O918" s="1">
        <v>1.0</v>
      </c>
      <c r="P918" s="1">
        <v>0.0</v>
      </c>
      <c r="R918" s="1" t="s">
        <v>28898</v>
      </c>
      <c r="T918" s="147">
        <v>43889.0</v>
      </c>
      <c r="U918" s="1">
        <v>27.84</v>
      </c>
      <c r="V918" s="1">
        <v>27.6</v>
      </c>
      <c r="AE918" s="1">
        <v>1.0</v>
      </c>
      <c r="AF918" s="1" t="s">
        <v>18902</v>
      </c>
      <c r="AG918" s="121">
        <v>8640.0</v>
      </c>
      <c r="AH918" s="1" t="s">
        <v>29115</v>
      </c>
      <c r="AI918" s="1" t="s">
        <v>29116</v>
      </c>
      <c r="AJ918" s="121">
        <v>919.0</v>
      </c>
    </row>
    <row r="919">
      <c r="A919" s="1" t="s">
        <v>29117</v>
      </c>
      <c r="B919" s="1" t="s">
        <v>6876</v>
      </c>
      <c r="C919" s="1" t="s">
        <v>6877</v>
      </c>
      <c r="D919" s="1" t="s">
        <v>8493</v>
      </c>
      <c r="E919" s="147">
        <v>43903.0</v>
      </c>
      <c r="F919" s="1" t="s">
        <v>29119</v>
      </c>
      <c r="G919" s="1">
        <v>55.0</v>
      </c>
      <c r="H919" s="1">
        <v>1.0</v>
      </c>
      <c r="I919" s="1">
        <v>12.0</v>
      </c>
      <c r="L919" s="1" t="s">
        <v>4662</v>
      </c>
      <c r="M919" s="1" t="s">
        <v>4662</v>
      </c>
      <c r="N919" s="1">
        <v>1.0</v>
      </c>
      <c r="O919" s="1">
        <v>1.0</v>
      </c>
      <c r="P919" s="1">
        <v>0.0</v>
      </c>
      <c r="R919" s="1" t="s">
        <v>28898</v>
      </c>
      <c r="T919" s="147">
        <v>43889.0</v>
      </c>
      <c r="U919" s="1">
        <v>25.57</v>
      </c>
      <c r="V919" s="1">
        <v>25.34</v>
      </c>
      <c r="AE919" s="1">
        <v>1.0</v>
      </c>
      <c r="AF919" s="1" t="s">
        <v>18902</v>
      </c>
      <c r="AG919" s="121">
        <v>8641.0</v>
      </c>
      <c r="AH919" s="1" t="s">
        <v>29124</v>
      </c>
      <c r="AI919" s="1" t="s">
        <v>29125</v>
      </c>
      <c r="AJ919" s="121">
        <v>920.0</v>
      </c>
    </row>
    <row r="920">
      <c r="A920" s="1" t="s">
        <v>29119</v>
      </c>
      <c r="B920" s="1" t="s">
        <v>6876</v>
      </c>
      <c r="C920" s="1" t="s">
        <v>6877</v>
      </c>
      <c r="D920" s="1" t="s">
        <v>8493</v>
      </c>
      <c r="E920" s="147">
        <v>43903.0</v>
      </c>
      <c r="F920" s="1" t="s">
        <v>29126</v>
      </c>
      <c r="G920" s="1">
        <v>57.0</v>
      </c>
      <c r="H920" s="1">
        <v>1.0</v>
      </c>
      <c r="I920" s="1">
        <v>16.0</v>
      </c>
      <c r="L920" s="1" t="s">
        <v>4696</v>
      </c>
      <c r="M920" s="1" t="s">
        <v>4696</v>
      </c>
      <c r="N920" s="1">
        <v>1.0</v>
      </c>
      <c r="O920" s="1">
        <v>1.0</v>
      </c>
      <c r="P920" s="1">
        <v>0.0</v>
      </c>
      <c r="R920" s="1" t="s">
        <v>28898</v>
      </c>
      <c r="T920" s="147">
        <v>43889.0</v>
      </c>
      <c r="U920" s="1">
        <v>33.17</v>
      </c>
      <c r="V920" s="1">
        <v>33.05</v>
      </c>
      <c r="AE920" s="1">
        <v>1.0</v>
      </c>
      <c r="AF920" s="1" t="s">
        <v>18902</v>
      </c>
      <c r="AG920" s="121">
        <v>8642.0</v>
      </c>
      <c r="AH920" s="1" t="s">
        <v>29130</v>
      </c>
      <c r="AI920" s="1" t="s">
        <v>29131</v>
      </c>
      <c r="AJ920" s="121">
        <v>921.0</v>
      </c>
    </row>
    <row r="921">
      <c r="A921" s="1" t="s">
        <v>29126</v>
      </c>
      <c r="B921" s="1" t="s">
        <v>6876</v>
      </c>
      <c r="C921" s="1" t="s">
        <v>6877</v>
      </c>
      <c r="D921" s="1" t="s">
        <v>8493</v>
      </c>
      <c r="E921" s="147">
        <v>43903.0</v>
      </c>
      <c r="F921" s="1" t="s">
        <v>29133</v>
      </c>
      <c r="G921" s="1">
        <v>58.0</v>
      </c>
      <c r="H921" s="1">
        <v>2.0</v>
      </c>
      <c r="I921" s="1">
        <v>10.0</v>
      </c>
      <c r="L921" s="1" t="s">
        <v>3409</v>
      </c>
      <c r="M921" s="1" t="s">
        <v>3409</v>
      </c>
      <c r="N921" s="1">
        <v>1.0</v>
      </c>
      <c r="O921" s="1">
        <v>1.0</v>
      </c>
      <c r="P921" s="1">
        <v>0.0</v>
      </c>
      <c r="R921" s="1" t="s">
        <v>28898</v>
      </c>
      <c r="T921" s="147">
        <v>43889.0</v>
      </c>
      <c r="U921" s="1">
        <v>35.14</v>
      </c>
      <c r="V921" s="1">
        <v>35.64</v>
      </c>
      <c r="AE921" s="1">
        <v>1.0</v>
      </c>
      <c r="AF921" s="1" t="s">
        <v>18902</v>
      </c>
      <c r="AG921" s="121">
        <v>8643.0</v>
      </c>
      <c r="AH921" s="1" t="s">
        <v>29137</v>
      </c>
      <c r="AI921" s="1" t="s">
        <v>29139</v>
      </c>
      <c r="AJ921" s="121">
        <v>922.0</v>
      </c>
    </row>
    <row r="922">
      <c r="A922" s="1" t="s">
        <v>29133</v>
      </c>
      <c r="B922" s="1" t="s">
        <v>6876</v>
      </c>
      <c r="C922" s="1" t="s">
        <v>6877</v>
      </c>
      <c r="D922" s="1" t="s">
        <v>8493</v>
      </c>
      <c r="E922" s="147">
        <v>43903.0</v>
      </c>
      <c r="F922" s="1" t="s">
        <v>29141</v>
      </c>
      <c r="G922" s="1">
        <v>33.0</v>
      </c>
      <c r="H922" s="1">
        <v>1.0</v>
      </c>
      <c r="I922" s="1">
        <v>98.0</v>
      </c>
      <c r="L922" s="1" t="s">
        <v>29142</v>
      </c>
      <c r="M922" s="1" t="s">
        <v>29142</v>
      </c>
      <c r="N922" s="1">
        <v>1.0</v>
      </c>
      <c r="O922" s="1">
        <v>1.0</v>
      </c>
      <c r="P922" s="1">
        <v>0.0</v>
      </c>
      <c r="R922" s="1" t="s">
        <v>28898</v>
      </c>
      <c r="T922" s="147">
        <v>43889.0</v>
      </c>
      <c r="U922" s="1">
        <v>9999.0</v>
      </c>
      <c r="V922" s="1">
        <v>9999.0</v>
      </c>
      <c r="AE922" s="1">
        <v>1.0</v>
      </c>
      <c r="AF922" s="1" t="s">
        <v>18902</v>
      </c>
      <c r="AG922" s="121">
        <v>8644.0</v>
      </c>
      <c r="AH922" s="1" t="s">
        <v>29145</v>
      </c>
      <c r="AI922" s="1" t="s">
        <v>29146</v>
      </c>
      <c r="AJ922" s="121">
        <v>923.0</v>
      </c>
    </row>
    <row r="923">
      <c r="A923" s="1" t="s">
        <v>29141</v>
      </c>
      <c r="B923" s="1" t="s">
        <v>6876</v>
      </c>
      <c r="C923" s="1" t="s">
        <v>6877</v>
      </c>
      <c r="D923" s="1" t="s">
        <v>8493</v>
      </c>
      <c r="E923" s="147">
        <v>43903.0</v>
      </c>
      <c r="F923" s="1" t="s">
        <v>29150</v>
      </c>
      <c r="G923" s="1">
        <v>6.0</v>
      </c>
      <c r="H923" s="1">
        <v>1.0</v>
      </c>
      <c r="I923" s="1">
        <v>12.0</v>
      </c>
      <c r="L923" s="1" t="s">
        <v>4776</v>
      </c>
      <c r="M923" s="1" t="s">
        <v>4776</v>
      </c>
      <c r="N923" s="154">
        <v>43832.0</v>
      </c>
      <c r="O923" s="1">
        <v>1.0</v>
      </c>
      <c r="P923" s="1">
        <v>1.0</v>
      </c>
      <c r="R923" s="1" t="s">
        <v>29152</v>
      </c>
      <c r="T923" s="147">
        <v>43894.0</v>
      </c>
      <c r="U923" s="1">
        <v>27.86</v>
      </c>
      <c r="V923" s="1">
        <v>27.53</v>
      </c>
      <c r="Y923" s="147">
        <v>43894.0</v>
      </c>
      <c r="Z923" s="1">
        <v>9999.0</v>
      </c>
      <c r="AA923" s="1">
        <v>9999.0</v>
      </c>
      <c r="AE923" s="1">
        <v>1.0</v>
      </c>
      <c r="AF923" s="1" t="s">
        <v>18902</v>
      </c>
      <c r="AG923" s="121">
        <v>8645.0</v>
      </c>
      <c r="AH923" s="1" t="s">
        <v>29155</v>
      </c>
      <c r="AI923" s="1" t="s">
        <v>29156</v>
      </c>
      <c r="AJ923" s="121">
        <v>924.0</v>
      </c>
    </row>
    <row r="924">
      <c r="A924" s="1" t="s">
        <v>29158</v>
      </c>
      <c r="B924" s="1" t="s">
        <v>6876</v>
      </c>
      <c r="C924" s="1" t="s">
        <v>6877</v>
      </c>
      <c r="D924" s="1" t="s">
        <v>8493</v>
      </c>
      <c r="E924" s="147">
        <v>43903.0</v>
      </c>
      <c r="F924" s="1" t="s">
        <v>29159</v>
      </c>
      <c r="G924" s="1">
        <v>3.0</v>
      </c>
      <c r="H924" s="1">
        <v>1.0</v>
      </c>
      <c r="I924" s="1">
        <v>12.0</v>
      </c>
      <c r="L924" s="1" t="s">
        <v>4807</v>
      </c>
      <c r="M924" s="1" t="s">
        <v>4807</v>
      </c>
      <c r="N924" s="154">
        <v>43832.0</v>
      </c>
      <c r="O924" s="1">
        <v>1.0</v>
      </c>
      <c r="P924" s="1">
        <v>1.0</v>
      </c>
      <c r="R924" s="1" t="s">
        <v>29152</v>
      </c>
      <c r="T924" s="147">
        <v>43894.0</v>
      </c>
      <c r="U924" s="1">
        <v>28.24</v>
      </c>
      <c r="V924" s="1">
        <v>26.16</v>
      </c>
      <c r="Y924" s="147">
        <v>43894.0</v>
      </c>
      <c r="Z924" s="1">
        <v>34.54</v>
      </c>
      <c r="AA924" s="1">
        <v>37.1</v>
      </c>
      <c r="AE924" s="1">
        <v>1.0</v>
      </c>
      <c r="AF924" s="1" t="s">
        <v>18902</v>
      </c>
      <c r="AG924" s="121">
        <v>8646.0</v>
      </c>
      <c r="AH924" s="1" t="s">
        <v>29163</v>
      </c>
      <c r="AI924" s="1" t="s">
        <v>29164</v>
      </c>
      <c r="AJ924" s="121">
        <v>925.0</v>
      </c>
    </row>
    <row r="925">
      <c r="A925" s="1" t="s">
        <v>29159</v>
      </c>
      <c r="B925" s="1" t="s">
        <v>6876</v>
      </c>
      <c r="C925" s="1" t="s">
        <v>6877</v>
      </c>
      <c r="D925" s="1" t="s">
        <v>8493</v>
      </c>
      <c r="E925" s="147">
        <v>43903.0</v>
      </c>
      <c r="F925" s="1" t="s">
        <v>29169</v>
      </c>
      <c r="G925" s="1">
        <v>29.0</v>
      </c>
      <c r="H925" s="1">
        <v>1.0</v>
      </c>
      <c r="I925" s="1">
        <v>12.0</v>
      </c>
      <c r="L925" s="1" t="s">
        <v>4842</v>
      </c>
      <c r="M925" s="1" t="s">
        <v>4842</v>
      </c>
      <c r="N925" s="154">
        <v>43832.0</v>
      </c>
      <c r="O925" s="1">
        <v>1.0</v>
      </c>
      <c r="P925" s="1">
        <v>1.0</v>
      </c>
      <c r="R925" s="1" t="s">
        <v>29152</v>
      </c>
      <c r="T925" s="147">
        <v>43894.0</v>
      </c>
      <c r="U925" s="1">
        <v>24.79</v>
      </c>
      <c r="V925" s="1">
        <v>24.7</v>
      </c>
      <c r="Y925" s="147">
        <v>43894.0</v>
      </c>
      <c r="Z925" s="1">
        <v>34.22</v>
      </c>
      <c r="AA925" s="1">
        <v>33.88</v>
      </c>
      <c r="AE925" s="1">
        <v>1.0</v>
      </c>
      <c r="AF925" s="1" t="s">
        <v>18902</v>
      </c>
      <c r="AG925" s="121">
        <v>8647.0</v>
      </c>
      <c r="AH925" s="1" t="s">
        <v>29174</v>
      </c>
      <c r="AI925" s="1" t="s">
        <v>29175</v>
      </c>
      <c r="AJ925" s="121">
        <v>926.0</v>
      </c>
    </row>
    <row r="926">
      <c r="A926" s="1" t="s">
        <v>29177</v>
      </c>
      <c r="B926" s="1" t="s">
        <v>6876</v>
      </c>
      <c r="C926" s="1" t="s">
        <v>6877</v>
      </c>
      <c r="D926" s="1" t="s">
        <v>8493</v>
      </c>
      <c r="E926" s="147">
        <v>43903.0</v>
      </c>
      <c r="F926" s="1" t="s">
        <v>29180</v>
      </c>
      <c r="G926" s="1">
        <v>29.0</v>
      </c>
      <c r="H926" s="1">
        <v>1.0</v>
      </c>
      <c r="I926" s="1">
        <v>99.0</v>
      </c>
      <c r="L926" s="1" t="s">
        <v>4930</v>
      </c>
      <c r="M926" s="1" t="s">
        <v>4930</v>
      </c>
      <c r="N926" s="154">
        <v>43832.0</v>
      </c>
      <c r="O926" s="1">
        <v>1.0</v>
      </c>
      <c r="P926" s="1">
        <v>1.0</v>
      </c>
      <c r="R926" s="1" t="s">
        <v>29152</v>
      </c>
      <c r="T926" s="147">
        <v>43894.0</v>
      </c>
      <c r="U926" s="1">
        <v>9999.0</v>
      </c>
      <c r="V926" s="1">
        <v>9999.0</v>
      </c>
      <c r="Y926" s="147">
        <v>43894.0</v>
      </c>
      <c r="Z926" s="1">
        <v>9999.0</v>
      </c>
      <c r="AA926" s="1">
        <v>9999.0</v>
      </c>
      <c r="AE926" s="1">
        <v>1.0</v>
      </c>
      <c r="AF926" s="1" t="s">
        <v>18902</v>
      </c>
      <c r="AG926" s="121">
        <v>8648.0</v>
      </c>
      <c r="AH926" s="1" t="s">
        <v>29184</v>
      </c>
      <c r="AI926" s="1" t="s">
        <v>29185</v>
      </c>
      <c r="AJ926" s="121">
        <v>927.0</v>
      </c>
    </row>
    <row r="927">
      <c r="A927" s="1" t="s">
        <v>29187</v>
      </c>
      <c r="B927" s="1" t="s">
        <v>6876</v>
      </c>
      <c r="C927" s="1" t="s">
        <v>6877</v>
      </c>
      <c r="D927" s="1" t="s">
        <v>8493</v>
      </c>
      <c r="E927" s="147">
        <v>43903.0</v>
      </c>
      <c r="F927" s="1" t="s">
        <v>29188</v>
      </c>
      <c r="G927" s="1">
        <v>65.0</v>
      </c>
      <c r="H927" s="1">
        <v>1.0</v>
      </c>
      <c r="I927" s="1">
        <v>16.0</v>
      </c>
      <c r="L927" s="1" t="s">
        <v>4957</v>
      </c>
      <c r="M927" s="1" t="s">
        <v>4957</v>
      </c>
      <c r="N927" s="154">
        <v>43832.0</v>
      </c>
      <c r="O927" s="1">
        <v>1.0</v>
      </c>
      <c r="P927" s="1">
        <v>1.0</v>
      </c>
      <c r="R927" s="1" t="s">
        <v>29152</v>
      </c>
      <c r="T927" s="147">
        <v>43894.0</v>
      </c>
      <c r="U927" s="1">
        <v>31.77</v>
      </c>
      <c r="V927" s="1">
        <v>32.08</v>
      </c>
      <c r="Y927" s="147">
        <v>43894.0</v>
      </c>
      <c r="Z927" s="1">
        <v>33.59</v>
      </c>
      <c r="AA927" s="1">
        <v>33.73</v>
      </c>
      <c r="AE927" s="1">
        <v>1.0</v>
      </c>
      <c r="AF927" s="1" t="s">
        <v>18902</v>
      </c>
      <c r="AG927" s="121">
        <v>8649.0</v>
      </c>
      <c r="AH927" s="1" t="s">
        <v>29192</v>
      </c>
      <c r="AI927" s="1" t="s">
        <v>29193</v>
      </c>
      <c r="AJ927" s="121">
        <v>928.0</v>
      </c>
    </row>
    <row r="928">
      <c r="A928" s="1" t="s">
        <v>29188</v>
      </c>
      <c r="B928" s="1" t="s">
        <v>6876</v>
      </c>
      <c r="C928" s="1" t="s">
        <v>6877</v>
      </c>
      <c r="D928" s="1" t="s">
        <v>8493</v>
      </c>
      <c r="E928" s="147">
        <v>43903.0</v>
      </c>
      <c r="F928" s="1" t="s">
        <v>29195</v>
      </c>
      <c r="G928" s="1">
        <v>58.0</v>
      </c>
      <c r="H928" s="1">
        <v>1.0</v>
      </c>
      <c r="I928" s="1">
        <v>7.0</v>
      </c>
      <c r="L928" s="1" t="s">
        <v>4876</v>
      </c>
      <c r="M928" s="1" t="s">
        <v>4876</v>
      </c>
      <c r="N928" s="154">
        <v>43832.0</v>
      </c>
      <c r="O928" s="1">
        <v>1.0</v>
      </c>
      <c r="P928" s="1">
        <v>1.0</v>
      </c>
      <c r="R928" s="1" t="s">
        <v>29152</v>
      </c>
      <c r="T928" s="147">
        <v>43894.0</v>
      </c>
      <c r="U928" s="1">
        <v>13.71</v>
      </c>
      <c r="V928" s="1">
        <v>21.52</v>
      </c>
      <c r="Y928" s="147">
        <v>43894.0</v>
      </c>
      <c r="Z928" s="1">
        <v>9999.0</v>
      </c>
      <c r="AA928" s="1">
        <v>9999.0</v>
      </c>
      <c r="AE928" s="1">
        <v>1.0</v>
      </c>
      <c r="AF928" s="1" t="s">
        <v>18902</v>
      </c>
      <c r="AG928" s="121">
        <v>8650.0</v>
      </c>
      <c r="AH928" s="1" t="s">
        <v>29200</v>
      </c>
      <c r="AI928" s="1" t="s">
        <v>29201</v>
      </c>
      <c r="AJ928" s="121">
        <v>929.0</v>
      </c>
    </row>
    <row r="929">
      <c r="A929" s="1" t="s">
        <v>29195</v>
      </c>
      <c r="B929" s="1" t="s">
        <v>6876</v>
      </c>
      <c r="C929" s="1" t="s">
        <v>6877</v>
      </c>
      <c r="D929" s="1" t="s">
        <v>8493</v>
      </c>
      <c r="E929" s="147">
        <v>43903.0</v>
      </c>
      <c r="F929" s="1" t="s">
        <v>29204</v>
      </c>
      <c r="G929" s="1">
        <v>58.0</v>
      </c>
      <c r="H929" s="1">
        <v>1.0</v>
      </c>
      <c r="I929" s="1">
        <v>7.0</v>
      </c>
      <c r="L929" s="1" t="s">
        <v>4915</v>
      </c>
      <c r="M929" s="1" t="s">
        <v>4915</v>
      </c>
      <c r="N929" s="154">
        <v>43832.0</v>
      </c>
      <c r="O929" s="1">
        <v>1.0</v>
      </c>
      <c r="P929" s="1">
        <v>1.0</v>
      </c>
      <c r="R929" s="1" t="s">
        <v>29152</v>
      </c>
      <c r="T929" s="147">
        <v>43894.0</v>
      </c>
      <c r="U929" s="1">
        <v>26.86</v>
      </c>
      <c r="V929" s="1">
        <v>26.21</v>
      </c>
      <c r="Y929" s="147">
        <v>43894.0</v>
      </c>
      <c r="Z929" s="1">
        <v>37.65</v>
      </c>
      <c r="AA929" s="1">
        <v>9999.0</v>
      </c>
      <c r="AE929" s="1">
        <v>1.0</v>
      </c>
      <c r="AF929" s="1" t="s">
        <v>18902</v>
      </c>
      <c r="AG929" s="121">
        <v>8651.0</v>
      </c>
      <c r="AH929" s="1" t="s">
        <v>29208</v>
      </c>
      <c r="AI929" s="1" t="s">
        <v>29209</v>
      </c>
      <c r="AJ929" s="121">
        <v>930.0</v>
      </c>
    </row>
    <row r="930">
      <c r="A930" s="1" t="s">
        <v>29211</v>
      </c>
      <c r="B930" s="1" t="s">
        <v>6876</v>
      </c>
      <c r="C930" s="1" t="s">
        <v>6877</v>
      </c>
      <c r="D930" s="1" t="s">
        <v>8493</v>
      </c>
      <c r="E930" s="147">
        <v>43903.0</v>
      </c>
      <c r="F930" s="1" t="s">
        <v>29212</v>
      </c>
      <c r="G930" s="1">
        <v>58.0</v>
      </c>
      <c r="H930" s="1">
        <v>1.0</v>
      </c>
      <c r="I930" s="1">
        <v>14.0</v>
      </c>
      <c r="J930" s="1">
        <v>141.0</v>
      </c>
      <c r="L930" s="1" t="s">
        <v>797</v>
      </c>
      <c r="M930" s="1" t="s">
        <v>797</v>
      </c>
      <c r="N930" s="154">
        <v>43832.0</v>
      </c>
      <c r="O930" s="1">
        <v>1.0</v>
      </c>
      <c r="P930" s="1">
        <v>1.0</v>
      </c>
      <c r="R930" s="1" t="s">
        <v>29152</v>
      </c>
      <c r="T930" s="147">
        <v>43894.0</v>
      </c>
      <c r="U930" s="1">
        <v>37.53</v>
      </c>
      <c r="V930" s="1">
        <v>9999.0</v>
      </c>
      <c r="Y930" s="147">
        <v>43894.0</v>
      </c>
      <c r="Z930" s="1">
        <v>37.98</v>
      </c>
      <c r="AA930" s="1">
        <v>9999.0</v>
      </c>
      <c r="AE930" s="1">
        <v>1.0</v>
      </c>
      <c r="AF930" s="1" t="s">
        <v>18902</v>
      </c>
      <c r="AG930" s="121">
        <v>8652.0</v>
      </c>
      <c r="AH930" s="1" t="s">
        <v>29218</v>
      </c>
      <c r="AI930" s="1" t="s">
        <v>29219</v>
      </c>
      <c r="AJ930" s="121">
        <v>931.0</v>
      </c>
    </row>
    <row r="931">
      <c r="A931" s="1" t="s">
        <v>29212</v>
      </c>
      <c r="B931" s="1" t="s">
        <v>6876</v>
      </c>
      <c r="C931" s="1" t="s">
        <v>6877</v>
      </c>
      <c r="D931" s="1" t="s">
        <v>8493</v>
      </c>
      <c r="E931" s="147">
        <v>43903.0</v>
      </c>
      <c r="F931" s="1" t="s">
        <v>29223</v>
      </c>
      <c r="G931" s="1">
        <v>58.0</v>
      </c>
      <c r="H931" s="1">
        <v>2.0</v>
      </c>
      <c r="I931" s="1">
        <v>14.0</v>
      </c>
      <c r="J931" s="1">
        <v>142.0</v>
      </c>
      <c r="L931" s="1" t="s">
        <v>803</v>
      </c>
      <c r="M931" s="1" t="s">
        <v>803</v>
      </c>
      <c r="N931" s="154">
        <v>43832.0</v>
      </c>
      <c r="O931" s="1">
        <v>1.0</v>
      </c>
      <c r="P931" s="1">
        <v>1.0</v>
      </c>
      <c r="R931" s="1" t="s">
        <v>29152</v>
      </c>
      <c r="T931" s="147">
        <v>43894.0</v>
      </c>
      <c r="U931" s="1">
        <v>9999.0</v>
      </c>
      <c r="V931" s="1">
        <v>9999.0</v>
      </c>
      <c r="Y931" s="147">
        <v>43894.0</v>
      </c>
      <c r="Z931" s="1">
        <v>9999.0</v>
      </c>
      <c r="AA931" s="1">
        <v>9999.0</v>
      </c>
      <c r="AE931" s="1">
        <v>1.0</v>
      </c>
      <c r="AF931" s="1" t="s">
        <v>18902</v>
      </c>
      <c r="AG931" s="121">
        <v>8653.0</v>
      </c>
      <c r="AH931" s="1" t="s">
        <v>29227</v>
      </c>
      <c r="AI931" s="1" t="s">
        <v>29228</v>
      </c>
      <c r="AJ931" s="121">
        <v>932.0</v>
      </c>
    </row>
    <row r="932">
      <c r="A932" s="1" t="s">
        <v>29223</v>
      </c>
      <c r="B932" s="1" t="s">
        <v>6876</v>
      </c>
      <c r="C932" s="1" t="s">
        <v>6877</v>
      </c>
      <c r="D932" s="1" t="s">
        <v>8493</v>
      </c>
      <c r="E932" s="147">
        <v>43903.0</v>
      </c>
      <c r="F932" s="1" t="s">
        <v>29230</v>
      </c>
      <c r="G932" s="1">
        <v>58.0</v>
      </c>
      <c r="H932" s="1">
        <v>2.0</v>
      </c>
      <c r="I932" s="1">
        <v>14.0</v>
      </c>
      <c r="J932" s="1">
        <v>143.0</v>
      </c>
      <c r="L932" s="1" t="s">
        <v>800</v>
      </c>
      <c r="M932" s="1" t="s">
        <v>800</v>
      </c>
      <c r="N932" s="154">
        <v>43832.0</v>
      </c>
      <c r="O932" s="1">
        <v>1.0</v>
      </c>
      <c r="P932" s="1">
        <v>1.0</v>
      </c>
      <c r="R932" s="1" t="s">
        <v>29152</v>
      </c>
      <c r="T932" s="147">
        <v>43894.0</v>
      </c>
      <c r="U932" s="1">
        <v>9999.0</v>
      </c>
      <c r="V932" s="1">
        <v>9999.0</v>
      </c>
      <c r="Y932" s="147">
        <v>43894.0</v>
      </c>
      <c r="Z932" s="1">
        <v>9999.0</v>
      </c>
      <c r="AA932" s="1">
        <v>9999.0</v>
      </c>
      <c r="AE932" s="1">
        <v>1.0</v>
      </c>
      <c r="AF932" s="1" t="s">
        <v>18902</v>
      </c>
      <c r="AG932" s="121">
        <v>8654.0</v>
      </c>
      <c r="AH932" s="1" t="s">
        <v>29234</v>
      </c>
      <c r="AI932" s="1" t="s">
        <v>29235</v>
      </c>
      <c r="AJ932" s="121">
        <v>933.0</v>
      </c>
    </row>
    <row r="933">
      <c r="A933" s="1" t="s">
        <v>29230</v>
      </c>
      <c r="B933" s="1" t="s">
        <v>6876</v>
      </c>
      <c r="C933" s="1" t="s">
        <v>6877</v>
      </c>
      <c r="D933" s="1" t="s">
        <v>8493</v>
      </c>
      <c r="E933" s="147">
        <v>43903.0</v>
      </c>
      <c r="F933" s="1" t="s">
        <v>29237</v>
      </c>
      <c r="G933" s="1">
        <v>58.0</v>
      </c>
      <c r="H933" s="1">
        <v>2.0</v>
      </c>
      <c r="I933" s="1">
        <v>14.0</v>
      </c>
      <c r="J933" s="1">
        <v>144.0</v>
      </c>
      <c r="L933" s="1" t="s">
        <v>805</v>
      </c>
      <c r="M933" s="1" t="s">
        <v>805</v>
      </c>
      <c r="N933" s="154">
        <v>43832.0</v>
      </c>
      <c r="O933" s="1">
        <v>1.0</v>
      </c>
      <c r="P933" s="1">
        <v>1.0</v>
      </c>
      <c r="R933" s="1" t="s">
        <v>29152</v>
      </c>
      <c r="T933" s="147">
        <v>43894.0</v>
      </c>
      <c r="U933" s="1">
        <v>39.33</v>
      </c>
      <c r="V933" s="1">
        <v>9999.0</v>
      </c>
      <c r="Y933" s="147">
        <v>43894.0</v>
      </c>
      <c r="Z933" s="1">
        <v>9999.0</v>
      </c>
      <c r="AA933" s="1">
        <v>9999.0</v>
      </c>
      <c r="AE933" s="1">
        <v>1.0</v>
      </c>
      <c r="AF933" s="1" t="s">
        <v>18902</v>
      </c>
      <c r="AG933" s="121">
        <v>8655.0</v>
      </c>
      <c r="AH933" s="1" t="s">
        <v>29242</v>
      </c>
      <c r="AI933" s="1" t="s">
        <v>29243</v>
      </c>
      <c r="AJ933" s="121">
        <v>934.0</v>
      </c>
    </row>
    <row r="934">
      <c r="A934" s="1" t="s">
        <v>29237</v>
      </c>
      <c r="B934" s="1" t="s">
        <v>6876</v>
      </c>
      <c r="C934" s="1" t="s">
        <v>6877</v>
      </c>
      <c r="D934" s="1" t="s">
        <v>8493</v>
      </c>
      <c r="E934" s="147">
        <v>43903.0</v>
      </c>
      <c r="F934" s="1" t="s">
        <v>29245</v>
      </c>
      <c r="G934" s="1">
        <v>58.0</v>
      </c>
      <c r="H934" s="1">
        <v>2.0</v>
      </c>
      <c r="I934" s="1">
        <v>14.0</v>
      </c>
      <c r="J934" s="1">
        <v>145.0</v>
      </c>
      <c r="L934" s="1" t="s">
        <v>807</v>
      </c>
      <c r="M934" s="1" t="s">
        <v>807</v>
      </c>
      <c r="N934" s="154">
        <v>43832.0</v>
      </c>
      <c r="O934" s="1">
        <v>1.0</v>
      </c>
      <c r="P934" s="1">
        <v>1.0</v>
      </c>
      <c r="R934" s="1" t="s">
        <v>29152</v>
      </c>
      <c r="T934" s="147">
        <v>43894.0</v>
      </c>
      <c r="U934" s="1">
        <v>37.69</v>
      </c>
      <c r="V934" s="1">
        <v>9999.0</v>
      </c>
      <c r="Y934" s="147">
        <v>43894.0</v>
      </c>
      <c r="Z934" s="1">
        <v>9999.0</v>
      </c>
      <c r="AA934" s="1">
        <v>9999.0</v>
      </c>
      <c r="AE934" s="1">
        <v>1.0</v>
      </c>
      <c r="AF934" s="1" t="s">
        <v>18902</v>
      </c>
      <c r="AG934" s="121">
        <v>8656.0</v>
      </c>
      <c r="AH934" s="1" t="s">
        <v>29249</v>
      </c>
      <c r="AI934" s="1" t="s">
        <v>29250</v>
      </c>
      <c r="AJ934" s="121">
        <v>935.0</v>
      </c>
    </row>
    <row r="935">
      <c r="A935" s="1" t="s">
        <v>29245</v>
      </c>
      <c r="B935" s="1" t="s">
        <v>6876</v>
      </c>
      <c r="C935" s="1" t="s">
        <v>6877</v>
      </c>
      <c r="D935" s="1" t="s">
        <v>8493</v>
      </c>
      <c r="E935" s="147">
        <v>43903.0</v>
      </c>
      <c r="F935" s="1" t="s">
        <v>29252</v>
      </c>
      <c r="G935" s="1">
        <v>33.0</v>
      </c>
      <c r="H935" s="1">
        <v>1.0</v>
      </c>
      <c r="I935" s="1">
        <v>98.0</v>
      </c>
      <c r="L935" s="1" t="s">
        <v>29253</v>
      </c>
      <c r="M935" s="1" t="s">
        <v>29253</v>
      </c>
      <c r="N935" s="154">
        <v>43832.0</v>
      </c>
      <c r="O935" s="1">
        <v>1.0</v>
      </c>
      <c r="P935" s="1">
        <v>1.0</v>
      </c>
      <c r="R935" s="1" t="s">
        <v>29152</v>
      </c>
      <c r="T935" s="147">
        <v>43894.0</v>
      </c>
      <c r="U935" s="1">
        <v>9999.0</v>
      </c>
      <c r="V935" s="1">
        <v>9999.0</v>
      </c>
      <c r="Y935" s="147">
        <v>43894.0</v>
      </c>
      <c r="Z935" s="1">
        <v>9999.0</v>
      </c>
      <c r="AA935" s="1">
        <v>9999.0</v>
      </c>
      <c r="AE935" s="1">
        <v>1.0</v>
      </c>
      <c r="AF935" s="1" t="s">
        <v>18902</v>
      </c>
      <c r="AG935" s="121">
        <v>8657.0</v>
      </c>
      <c r="AH935" s="1" t="s">
        <v>29258</v>
      </c>
      <c r="AI935" s="1" t="s">
        <v>29259</v>
      </c>
      <c r="AJ935" s="121">
        <v>936.0</v>
      </c>
    </row>
    <row r="936">
      <c r="A936" s="1" t="s">
        <v>29252</v>
      </c>
      <c r="B936" s="1" t="s">
        <v>6876</v>
      </c>
      <c r="C936" s="1" t="s">
        <v>6877</v>
      </c>
      <c r="D936" s="1" t="s">
        <v>8493</v>
      </c>
      <c r="E936" s="147">
        <v>43903.0</v>
      </c>
      <c r="F936" s="1" t="s">
        <v>29260</v>
      </c>
      <c r="G936" s="1">
        <v>110.0</v>
      </c>
      <c r="H936" s="1">
        <v>1.0</v>
      </c>
      <c r="I936" s="1">
        <v>12.0</v>
      </c>
      <c r="L936" s="1" t="s">
        <v>5125</v>
      </c>
      <c r="M936" s="1" t="s">
        <v>5125</v>
      </c>
      <c r="N936" s="154">
        <v>43832.0</v>
      </c>
      <c r="O936" s="1">
        <v>1.0</v>
      </c>
      <c r="P936" s="1">
        <v>1.0</v>
      </c>
      <c r="R936" s="1" t="s">
        <v>29152</v>
      </c>
      <c r="T936" s="147">
        <v>43894.0</v>
      </c>
      <c r="U936" s="1">
        <v>25.34</v>
      </c>
      <c r="V936" s="1">
        <v>25.31</v>
      </c>
      <c r="Y936" s="147">
        <v>43894.0</v>
      </c>
      <c r="Z936" s="1">
        <v>33.79</v>
      </c>
      <c r="AA936" s="1">
        <v>33.61</v>
      </c>
      <c r="AE936" s="1">
        <v>1.0</v>
      </c>
      <c r="AF936" s="1" t="s">
        <v>18902</v>
      </c>
      <c r="AG936" s="121">
        <v>8658.0</v>
      </c>
      <c r="AH936" s="1" t="s">
        <v>29263</v>
      </c>
      <c r="AI936" s="1" t="s">
        <v>29264</v>
      </c>
      <c r="AJ936" s="121">
        <v>937.0</v>
      </c>
    </row>
    <row r="937">
      <c r="A937" s="1" t="s">
        <v>29265</v>
      </c>
      <c r="B937" s="1" t="s">
        <v>6876</v>
      </c>
      <c r="C937" s="1" t="s">
        <v>6877</v>
      </c>
      <c r="D937" s="1" t="s">
        <v>8493</v>
      </c>
      <c r="E937" s="147">
        <v>43903.0</v>
      </c>
      <c r="F937" s="1" t="s">
        <v>29267</v>
      </c>
      <c r="G937" s="1">
        <v>104.0</v>
      </c>
      <c r="H937" s="1">
        <v>1.0</v>
      </c>
      <c r="I937" s="1">
        <v>12.0</v>
      </c>
      <c r="L937" s="1" t="s">
        <v>5165</v>
      </c>
      <c r="M937" s="1" t="s">
        <v>5165</v>
      </c>
      <c r="N937" s="154">
        <v>43832.0</v>
      </c>
      <c r="O937" s="1">
        <v>1.0</v>
      </c>
      <c r="P937" s="1">
        <v>1.0</v>
      </c>
      <c r="R937" s="1" t="s">
        <v>29152</v>
      </c>
      <c r="T937" s="147">
        <v>43894.0</v>
      </c>
      <c r="U937" s="1">
        <v>24.74</v>
      </c>
      <c r="V937" s="1">
        <v>24.72</v>
      </c>
      <c r="Y937" s="147">
        <v>43894.0</v>
      </c>
      <c r="Z937" s="1">
        <v>36.48</v>
      </c>
      <c r="AA937" s="1">
        <v>9999.0</v>
      </c>
      <c r="AE937" s="1">
        <v>1.0</v>
      </c>
      <c r="AF937" s="1" t="s">
        <v>18902</v>
      </c>
      <c r="AG937" s="121">
        <v>8659.0</v>
      </c>
      <c r="AH937" s="1" t="s">
        <v>29272</v>
      </c>
      <c r="AI937" s="1" t="s">
        <v>29273</v>
      </c>
      <c r="AJ937" s="121">
        <v>938.0</v>
      </c>
    </row>
    <row r="938">
      <c r="A938" s="1" t="s">
        <v>29274</v>
      </c>
      <c r="B938" s="1" t="s">
        <v>6876</v>
      </c>
      <c r="C938" s="1" t="s">
        <v>6877</v>
      </c>
      <c r="D938" s="1" t="s">
        <v>8493</v>
      </c>
      <c r="E938" s="147">
        <v>43903.0</v>
      </c>
      <c r="F938" s="1" t="s">
        <v>29275</v>
      </c>
      <c r="G938" s="1">
        <v>66.0</v>
      </c>
      <c r="H938" s="1">
        <v>1.0</v>
      </c>
      <c r="I938" s="1">
        <v>12.0</v>
      </c>
      <c r="L938" s="1" t="s">
        <v>5198</v>
      </c>
      <c r="M938" s="1" t="s">
        <v>5198</v>
      </c>
      <c r="N938" s="154">
        <v>43832.0</v>
      </c>
      <c r="O938" s="1">
        <v>1.0</v>
      </c>
      <c r="P938" s="1">
        <v>1.0</v>
      </c>
      <c r="R938" s="1" t="s">
        <v>29152</v>
      </c>
      <c r="T938" s="147">
        <v>43894.0</v>
      </c>
      <c r="U938" s="1">
        <v>26.51</v>
      </c>
      <c r="V938" s="1">
        <v>26.7</v>
      </c>
      <c r="Y938" s="147">
        <v>43894.0</v>
      </c>
      <c r="Z938" s="1">
        <v>33.53</v>
      </c>
      <c r="AA938" s="1">
        <v>33.88</v>
      </c>
      <c r="AE938" s="1">
        <v>1.0</v>
      </c>
      <c r="AF938" s="1" t="s">
        <v>18902</v>
      </c>
      <c r="AG938" s="121">
        <v>8660.0</v>
      </c>
      <c r="AH938" s="1" t="s">
        <v>29280</v>
      </c>
      <c r="AI938" s="1" t="s">
        <v>29281</v>
      </c>
      <c r="AJ938" s="121">
        <v>939.0</v>
      </c>
    </row>
    <row r="939">
      <c r="A939" s="1" t="s">
        <v>29275</v>
      </c>
      <c r="B939" s="1" t="s">
        <v>6876</v>
      </c>
      <c r="C939" s="1" t="s">
        <v>6877</v>
      </c>
      <c r="D939" s="1" t="s">
        <v>8493</v>
      </c>
      <c r="E939" s="147">
        <v>43903.0</v>
      </c>
      <c r="F939" s="1" t="s">
        <v>29284</v>
      </c>
      <c r="G939" s="1">
        <v>59.0</v>
      </c>
      <c r="H939" s="1">
        <v>1.0</v>
      </c>
      <c r="I939" s="1">
        <v>12.0</v>
      </c>
      <c r="L939" s="1" t="s">
        <v>5228</v>
      </c>
      <c r="M939" s="1" t="s">
        <v>5228</v>
      </c>
      <c r="N939" s="154">
        <v>43832.0</v>
      </c>
      <c r="O939" s="1">
        <v>1.0</v>
      </c>
      <c r="P939" s="1">
        <v>1.0</v>
      </c>
      <c r="R939" s="1" t="s">
        <v>29152</v>
      </c>
      <c r="T939" s="147">
        <v>43894.0</v>
      </c>
      <c r="U939" s="1">
        <v>25.95</v>
      </c>
      <c r="V939" s="1">
        <v>25.67</v>
      </c>
      <c r="Y939" s="147">
        <v>43894.0</v>
      </c>
      <c r="Z939" s="1">
        <v>33.8</v>
      </c>
      <c r="AA939" s="1">
        <v>33.3</v>
      </c>
      <c r="AE939" s="1">
        <v>1.0</v>
      </c>
      <c r="AF939" s="1" t="s">
        <v>18902</v>
      </c>
      <c r="AG939" s="121">
        <v>8661.0</v>
      </c>
      <c r="AH939" s="1" t="s">
        <v>29289</v>
      </c>
      <c r="AI939" s="1" t="s">
        <v>29290</v>
      </c>
      <c r="AJ939" s="121">
        <v>940.0</v>
      </c>
    </row>
    <row r="940">
      <c r="A940" s="1" t="s">
        <v>29284</v>
      </c>
      <c r="B940" s="1" t="s">
        <v>6876</v>
      </c>
      <c r="C940" s="1" t="s">
        <v>6877</v>
      </c>
      <c r="D940" s="1" t="s">
        <v>8493</v>
      </c>
      <c r="E940" s="147">
        <v>43903.0</v>
      </c>
      <c r="F940" s="1" t="s">
        <v>29293</v>
      </c>
      <c r="G940" s="1">
        <v>65.0</v>
      </c>
      <c r="H940" s="1">
        <v>1.0</v>
      </c>
      <c r="I940" s="1">
        <v>12.0</v>
      </c>
      <c r="L940" s="1" t="s">
        <v>5254</v>
      </c>
      <c r="M940" s="1" t="s">
        <v>5254</v>
      </c>
      <c r="N940" s="154">
        <v>43832.0</v>
      </c>
      <c r="O940" s="1">
        <v>1.0</v>
      </c>
      <c r="P940" s="1">
        <v>1.0</v>
      </c>
      <c r="R940" s="1" t="s">
        <v>29152</v>
      </c>
      <c r="T940" s="147">
        <v>43894.0</v>
      </c>
      <c r="U940" s="1">
        <v>26.14</v>
      </c>
      <c r="V940" s="1">
        <v>26.05</v>
      </c>
      <c r="Y940" s="147">
        <v>43894.0</v>
      </c>
      <c r="Z940" s="1">
        <v>33.54</v>
      </c>
      <c r="AA940" s="1">
        <v>34.06</v>
      </c>
      <c r="AE940" s="1">
        <v>1.0</v>
      </c>
      <c r="AF940" s="1" t="s">
        <v>18902</v>
      </c>
      <c r="AG940" s="121">
        <v>8662.0</v>
      </c>
      <c r="AH940" s="1" t="s">
        <v>29297</v>
      </c>
      <c r="AI940" s="1" t="s">
        <v>29299</v>
      </c>
      <c r="AJ940" s="121">
        <v>941.0</v>
      </c>
    </row>
    <row r="941">
      <c r="A941" s="1" t="s">
        <v>29300</v>
      </c>
      <c r="B941" s="1" t="s">
        <v>6876</v>
      </c>
      <c r="C941" s="1" t="s">
        <v>6877</v>
      </c>
      <c r="D941" s="1" t="s">
        <v>8493</v>
      </c>
      <c r="E941" s="147">
        <v>43903.0</v>
      </c>
      <c r="F941" s="1" t="s">
        <v>29301</v>
      </c>
      <c r="G941" s="1">
        <v>59.0</v>
      </c>
      <c r="H941" s="1">
        <v>1.0</v>
      </c>
      <c r="I941" s="1">
        <v>99.0</v>
      </c>
      <c r="L941" s="1" t="s">
        <v>5235</v>
      </c>
      <c r="M941" s="1" t="s">
        <v>5235</v>
      </c>
      <c r="N941" s="154">
        <v>43832.0</v>
      </c>
      <c r="O941" s="1">
        <v>1.0</v>
      </c>
      <c r="P941" s="1">
        <v>1.0</v>
      </c>
      <c r="R941" s="1" t="s">
        <v>29152</v>
      </c>
      <c r="T941" s="147">
        <v>43894.0</v>
      </c>
      <c r="U941" s="1">
        <v>9999.0</v>
      </c>
      <c r="V941" s="1">
        <v>9999.0</v>
      </c>
      <c r="Y941" s="147">
        <v>43894.0</v>
      </c>
      <c r="Z941" s="1">
        <v>39.14</v>
      </c>
      <c r="AA941" s="1">
        <v>37.22</v>
      </c>
      <c r="AD941" s="1" t="s">
        <v>29306</v>
      </c>
      <c r="AE941" s="1">
        <v>1.0</v>
      </c>
      <c r="AF941" s="1" t="s">
        <v>18902</v>
      </c>
      <c r="AG941" s="121">
        <v>8663.0</v>
      </c>
      <c r="AH941" s="1" t="s">
        <v>29307</v>
      </c>
      <c r="AI941" s="1" t="s">
        <v>29308</v>
      </c>
      <c r="AJ941" s="121">
        <v>942.0</v>
      </c>
    </row>
    <row r="942">
      <c r="A942" s="1" t="s">
        <v>29301</v>
      </c>
      <c r="B942" s="1" t="s">
        <v>6876</v>
      </c>
      <c r="C942" s="1" t="s">
        <v>6877</v>
      </c>
      <c r="D942" s="1" t="s">
        <v>8493</v>
      </c>
      <c r="E942" s="147">
        <v>43903.0</v>
      </c>
      <c r="F942" s="1" t="s">
        <v>29309</v>
      </c>
      <c r="G942" s="1">
        <v>59.0</v>
      </c>
      <c r="H942" s="1">
        <v>1.0</v>
      </c>
      <c r="I942" s="1">
        <v>11.0</v>
      </c>
      <c r="L942" s="1" t="s">
        <v>4996</v>
      </c>
      <c r="M942" s="1" t="s">
        <v>4996</v>
      </c>
      <c r="N942" s="1">
        <v>1.0</v>
      </c>
      <c r="O942" s="1">
        <v>1.0</v>
      </c>
      <c r="P942" s="1">
        <v>0.0</v>
      </c>
      <c r="R942" s="1" t="s">
        <v>29313</v>
      </c>
      <c r="T942" s="147">
        <v>43895.0</v>
      </c>
      <c r="U942" s="1">
        <v>24.04</v>
      </c>
      <c r="V942" s="1">
        <v>24.44</v>
      </c>
      <c r="AE942" s="1">
        <v>1.0</v>
      </c>
      <c r="AF942" s="1" t="s">
        <v>18902</v>
      </c>
      <c r="AG942" s="121">
        <v>8664.0</v>
      </c>
      <c r="AH942" s="1" t="s">
        <v>29316</v>
      </c>
      <c r="AI942" s="1" t="s">
        <v>29317</v>
      </c>
      <c r="AJ942" s="121">
        <v>943.0</v>
      </c>
    </row>
    <row r="943">
      <c r="A943" s="1" t="s">
        <v>29309</v>
      </c>
      <c r="B943" s="1" t="s">
        <v>6876</v>
      </c>
      <c r="C943" s="1" t="s">
        <v>6877</v>
      </c>
      <c r="D943" s="1" t="s">
        <v>8493</v>
      </c>
      <c r="E943" s="147">
        <v>43903.0</v>
      </c>
      <c r="F943" s="1" t="s">
        <v>29320</v>
      </c>
      <c r="G943" s="1">
        <v>59.0</v>
      </c>
      <c r="H943" s="1">
        <v>1.0</v>
      </c>
      <c r="I943" s="1">
        <v>11.0</v>
      </c>
      <c r="L943" s="1" t="s">
        <v>5038</v>
      </c>
      <c r="M943" s="1" t="s">
        <v>5038</v>
      </c>
      <c r="N943" s="1">
        <v>1.0</v>
      </c>
      <c r="O943" s="1">
        <v>1.0</v>
      </c>
      <c r="P943" s="1">
        <v>0.0</v>
      </c>
      <c r="R943" s="1" t="s">
        <v>29313</v>
      </c>
      <c r="T943" s="147">
        <v>43895.0</v>
      </c>
      <c r="U943" s="1">
        <v>28.84</v>
      </c>
      <c r="V943" s="1">
        <v>28.87</v>
      </c>
      <c r="AE943" s="1">
        <v>1.0</v>
      </c>
      <c r="AF943" s="1" t="s">
        <v>18902</v>
      </c>
      <c r="AG943" s="121">
        <v>8665.0</v>
      </c>
      <c r="AH943" s="1" t="s">
        <v>29326</v>
      </c>
      <c r="AI943" s="1" t="s">
        <v>29327</v>
      </c>
      <c r="AJ943" s="121">
        <v>944.0</v>
      </c>
    </row>
    <row r="944">
      <c r="A944" s="1" t="s">
        <v>29328</v>
      </c>
      <c r="B944" s="1" t="s">
        <v>6876</v>
      </c>
      <c r="C944" s="1" t="s">
        <v>6877</v>
      </c>
      <c r="D944" s="1" t="s">
        <v>8493</v>
      </c>
      <c r="E944" s="147">
        <v>43903.0</v>
      </c>
      <c r="F944" s="1" t="s">
        <v>29330</v>
      </c>
      <c r="G944" s="1">
        <v>59.0</v>
      </c>
      <c r="H944" s="1">
        <v>1.0</v>
      </c>
      <c r="I944" s="1">
        <v>11.0</v>
      </c>
      <c r="L944" s="1" t="s">
        <v>5079</v>
      </c>
      <c r="M944" s="1" t="s">
        <v>5079</v>
      </c>
      <c r="N944" s="1">
        <v>1.0</v>
      </c>
      <c r="O944" s="1">
        <v>1.0</v>
      </c>
      <c r="P944" s="1">
        <v>0.0</v>
      </c>
      <c r="R944" s="1" t="s">
        <v>29313</v>
      </c>
      <c r="T944" s="147">
        <v>43895.0</v>
      </c>
      <c r="U944" s="1">
        <v>26.17</v>
      </c>
      <c r="V944" s="1">
        <v>26.47</v>
      </c>
      <c r="AE944" s="1">
        <v>1.0</v>
      </c>
      <c r="AF944" s="1" t="s">
        <v>18902</v>
      </c>
      <c r="AG944" s="121">
        <v>8666.0</v>
      </c>
      <c r="AH944" s="1" t="s">
        <v>29336</v>
      </c>
      <c r="AI944" s="1" t="s">
        <v>29337</v>
      </c>
      <c r="AJ944" s="121">
        <v>945.0</v>
      </c>
    </row>
    <row r="945">
      <c r="A945" s="1" t="s">
        <v>29330</v>
      </c>
      <c r="B945" s="1" t="s">
        <v>6876</v>
      </c>
      <c r="C945" s="1" t="s">
        <v>6877</v>
      </c>
      <c r="D945" s="1" t="s">
        <v>8493</v>
      </c>
      <c r="E945" s="147">
        <v>43903.0</v>
      </c>
      <c r="F945" s="1" t="s">
        <v>29341</v>
      </c>
      <c r="G945" s="1">
        <v>33.0</v>
      </c>
      <c r="H945" s="1">
        <v>1.0</v>
      </c>
      <c r="I945" s="1">
        <v>98.0</v>
      </c>
      <c r="L945" s="1" t="s">
        <v>29342</v>
      </c>
      <c r="M945" s="1" t="s">
        <v>29342</v>
      </c>
      <c r="N945" s="1">
        <v>1.0</v>
      </c>
      <c r="O945" s="1">
        <v>1.0</v>
      </c>
      <c r="P945" s="1">
        <v>0.0</v>
      </c>
      <c r="R945" s="1" t="s">
        <v>29313</v>
      </c>
      <c r="T945" s="147">
        <v>43895.0</v>
      </c>
      <c r="U945" s="1">
        <v>9999.0</v>
      </c>
      <c r="V945" s="1">
        <v>9999.0</v>
      </c>
      <c r="AE945" s="1">
        <v>1.0</v>
      </c>
      <c r="AF945" s="1" t="s">
        <v>18902</v>
      </c>
      <c r="AG945" s="121">
        <v>8667.0</v>
      </c>
      <c r="AH945" s="1" t="s">
        <v>29348</v>
      </c>
      <c r="AI945" s="1" t="s">
        <v>29349</v>
      </c>
      <c r="AJ945" s="121">
        <v>946.0</v>
      </c>
    </row>
    <row r="946">
      <c r="A946" s="1" t="s">
        <v>29341</v>
      </c>
      <c r="B946" s="1" t="s">
        <v>6876</v>
      </c>
      <c r="C946" s="1" t="s">
        <v>6877</v>
      </c>
      <c r="D946" s="1" t="s">
        <v>8493</v>
      </c>
      <c r="E946" s="147">
        <v>43903.0</v>
      </c>
      <c r="F946" s="1" t="s">
        <v>29353</v>
      </c>
      <c r="G946" s="1">
        <v>59.0</v>
      </c>
      <c r="H946" s="1">
        <v>1.0</v>
      </c>
      <c r="I946" s="1">
        <v>11.0</v>
      </c>
      <c r="L946" s="1" t="s">
        <v>5350</v>
      </c>
      <c r="M946" s="1" t="s">
        <v>5350</v>
      </c>
      <c r="N946" s="1">
        <v>1.0</v>
      </c>
      <c r="O946" s="1">
        <v>1.0</v>
      </c>
      <c r="P946" s="1">
        <v>0.0</v>
      </c>
      <c r="R946" s="1" t="s">
        <v>29313</v>
      </c>
      <c r="T946" s="147">
        <v>43895.0</v>
      </c>
      <c r="U946" s="1">
        <v>34.95</v>
      </c>
      <c r="V946" s="1">
        <v>30.26</v>
      </c>
      <c r="AE946" s="1">
        <v>1.0</v>
      </c>
      <c r="AF946" s="1" t="s">
        <v>18902</v>
      </c>
      <c r="AG946" s="121">
        <v>8668.0</v>
      </c>
      <c r="AH946" s="1" t="s">
        <v>29357</v>
      </c>
      <c r="AI946" s="1" t="s">
        <v>29358</v>
      </c>
      <c r="AJ946" s="121">
        <v>947.0</v>
      </c>
    </row>
    <row r="947">
      <c r="A947" s="1" t="s">
        <v>29360</v>
      </c>
      <c r="B947" s="1" t="s">
        <v>6876</v>
      </c>
      <c r="C947" s="1" t="s">
        <v>6877</v>
      </c>
      <c r="D947" s="1" t="s">
        <v>8493</v>
      </c>
      <c r="E947" s="147">
        <v>43903.0</v>
      </c>
      <c r="F947" s="1" t="s">
        <v>29362</v>
      </c>
      <c r="G947" s="1">
        <v>59.0</v>
      </c>
      <c r="H947" s="1">
        <v>1.0</v>
      </c>
      <c r="I947" s="1">
        <v>11.0</v>
      </c>
      <c r="L947" s="1" t="s">
        <v>5378</v>
      </c>
      <c r="M947" s="1" t="s">
        <v>5378</v>
      </c>
      <c r="N947" s="154">
        <v>43832.0</v>
      </c>
      <c r="O947" s="1">
        <v>1.0</v>
      </c>
      <c r="P947" s="1">
        <v>1.0</v>
      </c>
      <c r="R947" s="1" t="s">
        <v>29367</v>
      </c>
      <c r="T947" s="147">
        <v>43895.0</v>
      </c>
      <c r="U947" s="1">
        <v>27.53</v>
      </c>
      <c r="V947" s="1">
        <v>9999.0</v>
      </c>
      <c r="Y947" s="147">
        <v>43895.0</v>
      </c>
      <c r="Z947" s="1">
        <v>9999.0</v>
      </c>
      <c r="AA947" s="1">
        <v>9999.0</v>
      </c>
      <c r="AE947" s="1">
        <v>1.0</v>
      </c>
      <c r="AF947" s="1" t="s">
        <v>18902</v>
      </c>
      <c r="AG947" s="121">
        <v>8669.0</v>
      </c>
      <c r="AH947" s="1" t="s">
        <v>29370</v>
      </c>
      <c r="AI947" s="1" t="s">
        <v>29372</v>
      </c>
      <c r="AJ947" s="121">
        <v>948.0</v>
      </c>
    </row>
    <row r="948">
      <c r="A948" s="1" t="s">
        <v>29374</v>
      </c>
      <c r="B948" s="1" t="s">
        <v>6876</v>
      </c>
      <c r="C948" s="1" t="s">
        <v>6877</v>
      </c>
      <c r="D948" s="1" t="s">
        <v>8493</v>
      </c>
      <c r="E948" s="147">
        <v>43903.0</v>
      </c>
      <c r="F948" s="1" t="s">
        <v>29377</v>
      </c>
      <c r="G948" s="1">
        <v>59.0</v>
      </c>
      <c r="H948" s="1">
        <v>1.0</v>
      </c>
      <c r="I948" s="1">
        <v>99.0</v>
      </c>
      <c r="L948" s="1" t="s">
        <v>5363</v>
      </c>
      <c r="M948" s="1" t="s">
        <v>5363</v>
      </c>
      <c r="N948" s="154">
        <v>43832.0</v>
      </c>
      <c r="O948" s="1">
        <v>1.0</v>
      </c>
      <c r="P948" s="1">
        <v>1.0</v>
      </c>
      <c r="R948" s="1" t="s">
        <v>29367</v>
      </c>
      <c r="T948" s="147">
        <v>43895.0</v>
      </c>
      <c r="U948" s="1">
        <v>9999.0</v>
      </c>
      <c r="V948" s="1">
        <v>9999.0</v>
      </c>
      <c r="Y948" s="147">
        <v>43895.0</v>
      </c>
      <c r="Z948" s="1">
        <v>9999.0</v>
      </c>
      <c r="AA948" s="1">
        <v>9999.0</v>
      </c>
      <c r="AE948" s="1">
        <v>1.0</v>
      </c>
      <c r="AF948" s="1" t="s">
        <v>18902</v>
      </c>
      <c r="AG948" s="121">
        <v>8670.0</v>
      </c>
      <c r="AH948" s="1" t="s">
        <v>29392</v>
      </c>
      <c r="AI948" s="1" t="s">
        <v>29394</v>
      </c>
      <c r="AJ948" s="121">
        <v>949.0</v>
      </c>
    </row>
    <row r="949">
      <c r="A949" s="1" t="s">
        <v>29397</v>
      </c>
      <c r="B949" s="1" t="s">
        <v>6876</v>
      </c>
      <c r="C949" s="1" t="s">
        <v>6877</v>
      </c>
      <c r="D949" s="1" t="s">
        <v>8493</v>
      </c>
      <c r="E949" s="147">
        <v>43903.0</v>
      </c>
      <c r="F949" s="1" t="s">
        <v>29401</v>
      </c>
      <c r="G949" s="1">
        <v>59.0</v>
      </c>
      <c r="H949" s="1">
        <v>1.0</v>
      </c>
      <c r="I949" s="1">
        <v>11.0</v>
      </c>
      <c r="L949" s="1" t="s">
        <v>5406</v>
      </c>
      <c r="M949" s="1" t="s">
        <v>5406</v>
      </c>
      <c r="N949" s="154">
        <v>43832.0</v>
      </c>
      <c r="O949" s="1">
        <v>1.0</v>
      </c>
      <c r="P949" s="1">
        <v>1.0</v>
      </c>
      <c r="R949" s="1" t="s">
        <v>29367</v>
      </c>
      <c r="T949" s="147">
        <v>43895.0</v>
      </c>
      <c r="U949" s="1">
        <v>30.63</v>
      </c>
      <c r="V949" s="1">
        <v>9999.0</v>
      </c>
      <c r="Y949" s="147">
        <v>43895.0</v>
      </c>
      <c r="Z949" s="1">
        <v>9999.0</v>
      </c>
      <c r="AA949" s="1">
        <v>9999.0</v>
      </c>
      <c r="AE949" s="1">
        <v>1.0</v>
      </c>
      <c r="AF949" s="1" t="s">
        <v>18902</v>
      </c>
      <c r="AG949" s="121">
        <v>8671.0</v>
      </c>
      <c r="AH949" s="1" t="s">
        <v>29412</v>
      </c>
      <c r="AI949" s="1" t="s">
        <v>29413</v>
      </c>
      <c r="AJ949" s="121">
        <v>950.0</v>
      </c>
    </row>
    <row r="950">
      <c r="A950" s="1" t="s">
        <v>29416</v>
      </c>
      <c r="B950" s="1" t="s">
        <v>6876</v>
      </c>
      <c r="C950" s="1" t="s">
        <v>6877</v>
      </c>
      <c r="D950" s="1" t="s">
        <v>8493</v>
      </c>
      <c r="E950" s="147">
        <v>43903.0</v>
      </c>
      <c r="F950" s="1" t="s">
        <v>29418</v>
      </c>
      <c r="G950" s="1">
        <v>57.0</v>
      </c>
      <c r="H950" s="1">
        <v>1.0</v>
      </c>
      <c r="I950" s="1">
        <v>12.0</v>
      </c>
      <c r="L950" s="1" t="s">
        <v>5438</v>
      </c>
      <c r="M950" s="1" t="s">
        <v>5438</v>
      </c>
      <c r="N950" s="154">
        <v>43832.0</v>
      </c>
      <c r="O950" s="1">
        <v>1.0</v>
      </c>
      <c r="P950" s="1">
        <v>1.0</v>
      </c>
      <c r="R950" s="1" t="s">
        <v>29367</v>
      </c>
      <c r="T950" s="147">
        <v>43895.0</v>
      </c>
      <c r="U950" s="1">
        <v>26.1</v>
      </c>
      <c r="V950" s="1">
        <v>27.23</v>
      </c>
      <c r="Y950" s="147">
        <v>43895.0</v>
      </c>
      <c r="Z950" s="1">
        <v>34.47</v>
      </c>
      <c r="AA950" s="1">
        <v>34.51</v>
      </c>
      <c r="AE950" s="1">
        <v>1.0</v>
      </c>
      <c r="AF950" s="1" t="s">
        <v>18902</v>
      </c>
      <c r="AG950" s="121">
        <v>8672.0</v>
      </c>
      <c r="AH950" s="1" t="s">
        <v>29423</v>
      </c>
      <c r="AI950" s="1" t="s">
        <v>29424</v>
      </c>
      <c r="AJ950" s="121">
        <v>951.0</v>
      </c>
    </row>
    <row r="951">
      <c r="A951" s="1" t="s">
        <v>29418</v>
      </c>
      <c r="B951" s="1" t="s">
        <v>6876</v>
      </c>
      <c r="C951" s="1" t="s">
        <v>6877</v>
      </c>
      <c r="D951" s="1" t="s">
        <v>8493</v>
      </c>
      <c r="E951" s="147">
        <v>43903.0</v>
      </c>
      <c r="F951" s="1" t="s">
        <v>29426</v>
      </c>
      <c r="G951" s="1">
        <v>57.0</v>
      </c>
      <c r="H951" s="1">
        <v>1.0</v>
      </c>
      <c r="I951" s="1">
        <v>12.0</v>
      </c>
      <c r="L951" s="1" t="s">
        <v>5464</v>
      </c>
      <c r="M951" s="1" t="s">
        <v>5464</v>
      </c>
      <c r="N951" s="154">
        <v>43832.0</v>
      </c>
      <c r="O951" s="1">
        <v>1.0</v>
      </c>
      <c r="P951" s="1">
        <v>1.0</v>
      </c>
      <c r="R951" s="1" t="s">
        <v>29367</v>
      </c>
      <c r="T951" s="147">
        <v>43895.0</v>
      </c>
      <c r="U951" s="1">
        <v>23.81</v>
      </c>
      <c r="V951" s="1">
        <v>23.71</v>
      </c>
      <c r="Y951" s="147">
        <v>43895.0</v>
      </c>
      <c r="Z951" s="1">
        <v>34.6</v>
      </c>
      <c r="AA951" s="1">
        <v>34.38</v>
      </c>
      <c r="AE951" s="1">
        <v>1.0</v>
      </c>
      <c r="AF951" s="1" t="s">
        <v>18902</v>
      </c>
      <c r="AG951" s="121">
        <v>8673.0</v>
      </c>
      <c r="AH951" s="1" t="s">
        <v>29430</v>
      </c>
      <c r="AI951" s="1" t="s">
        <v>29431</v>
      </c>
      <c r="AJ951" s="121">
        <v>952.0</v>
      </c>
    </row>
    <row r="952">
      <c r="A952" s="1" t="s">
        <v>29426</v>
      </c>
      <c r="B952" s="1" t="s">
        <v>6876</v>
      </c>
      <c r="C952" s="1" t="s">
        <v>6877</v>
      </c>
      <c r="D952" s="1" t="s">
        <v>8493</v>
      </c>
      <c r="E952" s="147">
        <v>43903.0</v>
      </c>
      <c r="F952" s="1" t="s">
        <v>29435</v>
      </c>
      <c r="G952" s="1">
        <v>57.0</v>
      </c>
      <c r="H952" s="1">
        <v>1.0</v>
      </c>
      <c r="I952" s="1">
        <v>12.0</v>
      </c>
      <c r="L952" s="1" t="s">
        <v>5493</v>
      </c>
      <c r="M952" s="1" t="s">
        <v>5493</v>
      </c>
      <c r="N952" s="154">
        <v>43832.0</v>
      </c>
      <c r="O952" s="1">
        <v>1.0</v>
      </c>
      <c r="P952" s="1">
        <v>1.0</v>
      </c>
      <c r="R952" s="1" t="s">
        <v>29367</v>
      </c>
      <c r="T952" s="147">
        <v>43895.0</v>
      </c>
      <c r="U952" s="1">
        <v>29.58</v>
      </c>
      <c r="V952" s="1">
        <v>29.67</v>
      </c>
      <c r="Y952" s="147">
        <v>43895.0</v>
      </c>
      <c r="Z952" s="1">
        <v>34.73</v>
      </c>
      <c r="AA952" s="1">
        <v>35.15</v>
      </c>
      <c r="AE952" s="1">
        <v>1.0</v>
      </c>
      <c r="AF952" s="1" t="s">
        <v>18902</v>
      </c>
      <c r="AG952" s="121">
        <v>8674.0</v>
      </c>
      <c r="AH952" s="1" t="s">
        <v>29440</v>
      </c>
      <c r="AI952" s="1" t="s">
        <v>29441</v>
      </c>
      <c r="AJ952" s="121">
        <v>953.0</v>
      </c>
    </row>
    <row r="953">
      <c r="A953" s="1" t="s">
        <v>29435</v>
      </c>
      <c r="B953" s="1" t="s">
        <v>6876</v>
      </c>
      <c r="C953" s="1" t="s">
        <v>6877</v>
      </c>
      <c r="D953" s="1" t="s">
        <v>8493</v>
      </c>
      <c r="E953" s="147">
        <v>43903.0</v>
      </c>
      <c r="F953" s="1" t="s">
        <v>29444</v>
      </c>
      <c r="G953" s="1">
        <v>57.0</v>
      </c>
      <c r="H953" s="1">
        <v>1.0</v>
      </c>
      <c r="I953" s="1">
        <v>99.0</v>
      </c>
      <c r="L953" s="1" t="s">
        <v>5547</v>
      </c>
      <c r="M953" s="1" t="s">
        <v>5547</v>
      </c>
      <c r="N953" s="154">
        <v>43832.0</v>
      </c>
      <c r="O953" s="1">
        <v>1.0</v>
      </c>
      <c r="P953" s="1">
        <v>1.0</v>
      </c>
      <c r="R953" s="1" t="s">
        <v>29367</v>
      </c>
      <c r="T953" s="147">
        <v>43895.0</v>
      </c>
      <c r="U953" s="1">
        <v>9999.0</v>
      </c>
      <c r="V953" s="1">
        <v>9999.0</v>
      </c>
      <c r="Y953" s="147">
        <v>43895.0</v>
      </c>
      <c r="Z953" s="1">
        <v>9999.0</v>
      </c>
      <c r="AA953" s="1">
        <v>9999.0</v>
      </c>
      <c r="AD953" s="1" t="s">
        <v>29447</v>
      </c>
      <c r="AE953" s="1">
        <v>1.0</v>
      </c>
      <c r="AF953" s="1" t="s">
        <v>18902</v>
      </c>
      <c r="AG953" s="121">
        <v>8675.0</v>
      </c>
      <c r="AH953" s="1" t="s">
        <v>29451</v>
      </c>
      <c r="AI953" s="1" t="s">
        <v>29452</v>
      </c>
      <c r="AJ953" s="121">
        <v>954.0</v>
      </c>
    </row>
    <row r="954">
      <c r="A954" s="1" t="s">
        <v>29444</v>
      </c>
      <c r="B954" s="1" t="s">
        <v>6876</v>
      </c>
      <c r="C954" s="1" t="s">
        <v>6877</v>
      </c>
      <c r="D954" s="1" t="s">
        <v>8493</v>
      </c>
      <c r="E954" s="147">
        <v>43903.0</v>
      </c>
      <c r="F954" s="1" t="s">
        <v>29455</v>
      </c>
      <c r="G954" s="1">
        <v>55.0</v>
      </c>
      <c r="H954" s="1">
        <v>1.0</v>
      </c>
      <c r="I954" s="1">
        <v>12.0</v>
      </c>
      <c r="L954" s="1" t="s">
        <v>5518</v>
      </c>
      <c r="M954" s="1" t="s">
        <v>5518</v>
      </c>
      <c r="N954" s="154">
        <v>43832.0</v>
      </c>
      <c r="O954" s="1">
        <v>1.0</v>
      </c>
      <c r="P954" s="1">
        <v>1.0</v>
      </c>
      <c r="R954" s="1" t="s">
        <v>29367</v>
      </c>
      <c r="T954" s="147">
        <v>43895.0</v>
      </c>
      <c r="U954" s="1">
        <v>28.62</v>
      </c>
      <c r="V954" s="1">
        <v>28.3</v>
      </c>
      <c r="Y954" s="147">
        <v>43895.0</v>
      </c>
      <c r="Z954" s="1">
        <v>33.77</v>
      </c>
      <c r="AA954" s="1">
        <v>33.53</v>
      </c>
      <c r="AE954" s="1">
        <v>1.0</v>
      </c>
      <c r="AF954" s="1" t="s">
        <v>18902</v>
      </c>
      <c r="AG954" s="121">
        <v>8676.0</v>
      </c>
      <c r="AH954" s="1" t="s">
        <v>29459</v>
      </c>
      <c r="AI954" s="1" t="s">
        <v>29460</v>
      </c>
      <c r="AJ954" s="121">
        <v>955.0</v>
      </c>
    </row>
    <row r="955">
      <c r="A955" s="1" t="s">
        <v>29463</v>
      </c>
      <c r="B955" s="1" t="s">
        <v>6876</v>
      </c>
      <c r="C955" s="1" t="s">
        <v>6877</v>
      </c>
      <c r="D955" s="1" t="s">
        <v>8493</v>
      </c>
      <c r="E955" s="147">
        <v>43903.0</v>
      </c>
      <c r="F955" s="1" t="s">
        <v>29466</v>
      </c>
      <c r="G955" s="1">
        <v>57.0</v>
      </c>
      <c r="H955" s="1">
        <v>1.0</v>
      </c>
      <c r="I955" s="1">
        <v>16.0</v>
      </c>
      <c r="L955" s="1" t="s">
        <v>5577</v>
      </c>
      <c r="M955" s="1" t="s">
        <v>5577</v>
      </c>
      <c r="N955" s="154">
        <v>43832.0</v>
      </c>
      <c r="O955" s="1">
        <v>1.0</v>
      </c>
      <c r="P955" s="1">
        <v>1.0</v>
      </c>
      <c r="R955" s="1" t="s">
        <v>29367</v>
      </c>
      <c r="T955" s="147">
        <v>43895.0</v>
      </c>
      <c r="U955" s="1">
        <v>32.46</v>
      </c>
      <c r="V955" s="1">
        <v>9999.0</v>
      </c>
      <c r="Y955" s="147">
        <v>43895.0</v>
      </c>
      <c r="Z955" s="1">
        <v>38.09</v>
      </c>
      <c r="AA955" s="1">
        <v>36.64</v>
      </c>
      <c r="AE955" s="1">
        <v>1.0</v>
      </c>
      <c r="AF955" s="1" t="s">
        <v>18902</v>
      </c>
      <c r="AG955" s="121">
        <v>8677.0</v>
      </c>
      <c r="AH955" s="1" t="s">
        <v>29473</v>
      </c>
      <c r="AI955" s="1" t="s">
        <v>29474</v>
      </c>
      <c r="AJ955" s="121">
        <v>956.0</v>
      </c>
    </row>
    <row r="956">
      <c r="A956" s="1" t="s">
        <v>29466</v>
      </c>
      <c r="B956" s="1" t="s">
        <v>6876</v>
      </c>
      <c r="C956" s="1" t="s">
        <v>6877</v>
      </c>
      <c r="D956" s="1" t="s">
        <v>8493</v>
      </c>
      <c r="E956" s="147">
        <v>43903.0</v>
      </c>
      <c r="F956" s="1" t="s">
        <v>29477</v>
      </c>
      <c r="G956" s="1">
        <v>58.0</v>
      </c>
      <c r="H956" s="1">
        <v>2.0</v>
      </c>
      <c r="I956" s="1">
        <v>9.0</v>
      </c>
      <c r="L956" s="1" t="s">
        <v>3427</v>
      </c>
      <c r="M956" s="1" t="s">
        <v>3427</v>
      </c>
      <c r="N956" s="154">
        <v>43832.0</v>
      </c>
      <c r="O956" s="1">
        <v>1.0</v>
      </c>
      <c r="P956" s="1">
        <v>1.0</v>
      </c>
      <c r="R956" s="1" t="s">
        <v>29367</v>
      </c>
      <c r="T956" s="147">
        <v>43895.0</v>
      </c>
      <c r="U956" s="1">
        <v>36.89</v>
      </c>
      <c r="V956" s="1">
        <v>37.9</v>
      </c>
      <c r="Y956" s="147">
        <v>43895.0</v>
      </c>
      <c r="Z956" s="1">
        <v>9999.0</v>
      </c>
      <c r="AA956" s="1">
        <v>9999.0</v>
      </c>
      <c r="AE956" s="1">
        <v>1.0</v>
      </c>
      <c r="AF956" s="1" t="s">
        <v>18902</v>
      </c>
      <c r="AG956" s="121">
        <v>8678.0</v>
      </c>
      <c r="AH956" s="1" t="s">
        <v>29481</v>
      </c>
      <c r="AI956" s="1" t="s">
        <v>29483</v>
      </c>
      <c r="AJ956" s="121">
        <v>957.0</v>
      </c>
    </row>
    <row r="957">
      <c r="A957" s="1" t="s">
        <v>29477</v>
      </c>
      <c r="B957" s="1" t="s">
        <v>6876</v>
      </c>
      <c r="C957" s="1" t="s">
        <v>6877</v>
      </c>
      <c r="D957" s="1" t="s">
        <v>8493</v>
      </c>
      <c r="E957" s="147">
        <v>43903.0</v>
      </c>
      <c r="F957" s="1" t="s">
        <v>29487</v>
      </c>
      <c r="G957" s="1">
        <v>58.0</v>
      </c>
      <c r="H957" s="1">
        <v>2.0</v>
      </c>
      <c r="I957" s="1">
        <v>99.0</v>
      </c>
      <c r="L957" s="1" t="s">
        <v>3435</v>
      </c>
      <c r="M957" s="1" t="s">
        <v>3435</v>
      </c>
      <c r="N957" s="154">
        <v>43832.0</v>
      </c>
      <c r="O957" s="1">
        <v>1.0</v>
      </c>
      <c r="P957" s="1">
        <v>1.0</v>
      </c>
      <c r="R957" s="1" t="s">
        <v>29367</v>
      </c>
      <c r="T957" s="147">
        <v>43895.0</v>
      </c>
      <c r="U957" s="1">
        <v>9999.0</v>
      </c>
      <c r="V957" s="1">
        <v>9999.0</v>
      </c>
      <c r="Y957" s="147">
        <v>43895.0</v>
      </c>
      <c r="Z957" s="1">
        <v>9999.0</v>
      </c>
      <c r="AA957" s="1">
        <v>9999.0</v>
      </c>
      <c r="AD957" s="1" t="s">
        <v>29492</v>
      </c>
      <c r="AE957" s="1">
        <v>1.0</v>
      </c>
      <c r="AF957" s="1" t="s">
        <v>18902</v>
      </c>
      <c r="AG957" s="121">
        <v>8679.0</v>
      </c>
      <c r="AH957" s="1" t="s">
        <v>29494</v>
      </c>
      <c r="AI957" s="1" t="s">
        <v>29495</v>
      </c>
      <c r="AJ957" s="121">
        <v>958.0</v>
      </c>
    </row>
    <row r="958">
      <c r="A958" s="1" t="s">
        <v>29487</v>
      </c>
      <c r="B958" s="1" t="s">
        <v>6876</v>
      </c>
      <c r="C958" s="1" t="s">
        <v>6877</v>
      </c>
      <c r="D958" s="1" t="s">
        <v>8493</v>
      </c>
      <c r="E958" s="147">
        <v>43903.0</v>
      </c>
      <c r="F958" s="1" t="s">
        <v>29499</v>
      </c>
      <c r="G958" s="1">
        <v>58.0</v>
      </c>
      <c r="H958" s="1">
        <v>2.0</v>
      </c>
      <c r="I958" s="1">
        <v>2.0</v>
      </c>
      <c r="L958" s="1" t="s">
        <v>347</v>
      </c>
      <c r="M958" s="1" t="s">
        <v>347</v>
      </c>
      <c r="N958" s="154">
        <v>43832.0</v>
      </c>
      <c r="O958" s="1">
        <v>1.0</v>
      </c>
      <c r="P958" s="1">
        <v>1.0</v>
      </c>
      <c r="R958" s="1" t="s">
        <v>29367</v>
      </c>
      <c r="T958" s="147">
        <v>43895.0</v>
      </c>
      <c r="U958" s="1">
        <v>9999.0</v>
      </c>
      <c r="V958" s="1">
        <v>9999.0</v>
      </c>
      <c r="Y958" s="147">
        <v>43895.0</v>
      </c>
      <c r="Z958" s="1">
        <v>9999.0</v>
      </c>
      <c r="AA958" s="1">
        <v>9999.0</v>
      </c>
      <c r="AE958" s="1">
        <v>1.0</v>
      </c>
      <c r="AF958" s="1" t="s">
        <v>18902</v>
      </c>
      <c r="AG958" s="121">
        <v>8680.0</v>
      </c>
      <c r="AH958" s="1" t="s">
        <v>29507</v>
      </c>
      <c r="AI958" s="1" t="s">
        <v>29509</v>
      </c>
      <c r="AJ958" s="121">
        <v>959.0</v>
      </c>
    </row>
    <row r="959">
      <c r="A959" s="1" t="s">
        <v>29511</v>
      </c>
      <c r="B959" s="1" t="s">
        <v>6876</v>
      </c>
      <c r="C959" s="1" t="s">
        <v>6877</v>
      </c>
      <c r="D959" s="1" t="s">
        <v>8493</v>
      </c>
      <c r="E959" s="147">
        <v>43903.0</v>
      </c>
      <c r="F959" s="1" t="s">
        <v>29514</v>
      </c>
      <c r="G959" s="1">
        <v>58.0</v>
      </c>
      <c r="H959" s="1">
        <v>2.0</v>
      </c>
      <c r="I959" s="1">
        <v>99.0</v>
      </c>
      <c r="L959" s="1" t="s">
        <v>3451</v>
      </c>
      <c r="M959" s="1" t="s">
        <v>3451</v>
      </c>
      <c r="N959" s="154">
        <v>43832.0</v>
      </c>
      <c r="O959" s="1">
        <v>1.0</v>
      </c>
      <c r="P959" s="1">
        <v>1.0</v>
      </c>
      <c r="R959" s="1" t="s">
        <v>29367</v>
      </c>
      <c r="T959" s="147">
        <v>43895.0</v>
      </c>
      <c r="U959" s="1">
        <v>9999.0</v>
      </c>
      <c r="V959" s="1">
        <v>9999.0</v>
      </c>
      <c r="Y959" s="147">
        <v>43895.0</v>
      </c>
      <c r="Z959" s="1">
        <v>9999.0</v>
      </c>
      <c r="AA959" s="1">
        <v>9999.0</v>
      </c>
      <c r="AD959" s="1" t="s">
        <v>29520</v>
      </c>
      <c r="AE959" s="1">
        <v>1.0</v>
      </c>
      <c r="AF959" s="1" t="s">
        <v>18902</v>
      </c>
      <c r="AG959" s="121">
        <v>8681.0</v>
      </c>
      <c r="AH959" s="1" t="s">
        <v>29521</v>
      </c>
      <c r="AI959" s="1" t="s">
        <v>29523</v>
      </c>
      <c r="AJ959" s="121">
        <v>960.0</v>
      </c>
    </row>
    <row r="960">
      <c r="A960" s="1" t="s">
        <v>29514</v>
      </c>
      <c r="B960" s="1" t="s">
        <v>6876</v>
      </c>
      <c r="C960" s="1" t="s">
        <v>6877</v>
      </c>
      <c r="D960" s="1" t="s">
        <v>8493</v>
      </c>
      <c r="E960" s="147">
        <v>43903.0</v>
      </c>
      <c r="F960" s="1" t="s">
        <v>29527</v>
      </c>
      <c r="G960" s="1">
        <v>33.0</v>
      </c>
      <c r="H960" s="1">
        <v>1.0</v>
      </c>
      <c r="I960" s="1">
        <v>98.0</v>
      </c>
      <c r="L960" s="1" t="s">
        <v>29529</v>
      </c>
      <c r="M960" s="1" t="s">
        <v>29529</v>
      </c>
      <c r="N960" s="154">
        <v>43832.0</v>
      </c>
      <c r="O960" s="1">
        <v>1.0</v>
      </c>
      <c r="P960" s="1">
        <v>1.0</v>
      </c>
      <c r="R960" s="1" t="s">
        <v>29367</v>
      </c>
      <c r="T960" s="147">
        <v>43895.0</v>
      </c>
      <c r="U960" s="1">
        <v>9999.0</v>
      </c>
      <c r="V960" s="1">
        <v>9999.0</v>
      </c>
      <c r="Y960" s="147">
        <v>43895.0</v>
      </c>
      <c r="Z960" s="1">
        <v>9999.0</v>
      </c>
      <c r="AA960" s="1">
        <v>9999.0</v>
      </c>
      <c r="AE960" s="1">
        <v>1.0</v>
      </c>
      <c r="AF960" s="1" t="s">
        <v>18902</v>
      </c>
      <c r="AG960" s="121">
        <v>8682.0</v>
      </c>
      <c r="AH960" s="1" t="s">
        <v>29536</v>
      </c>
      <c r="AI960" s="1" t="s">
        <v>29539</v>
      </c>
      <c r="AJ960" s="121">
        <v>961.0</v>
      </c>
    </row>
    <row r="961">
      <c r="A961" s="1" t="s">
        <v>29540</v>
      </c>
      <c r="B961" s="1" t="s">
        <v>6876</v>
      </c>
      <c r="C961" s="1" t="s">
        <v>6877</v>
      </c>
      <c r="D961" s="1" t="s">
        <v>8493</v>
      </c>
      <c r="E961" s="147">
        <v>43907.0</v>
      </c>
      <c r="F961" s="1" t="s">
        <v>29542</v>
      </c>
      <c r="G961" s="1">
        <v>6.0</v>
      </c>
      <c r="H961" s="1">
        <v>1.0</v>
      </c>
      <c r="I961" s="1">
        <v>12.0</v>
      </c>
      <c r="L961" s="1" t="s">
        <v>5661</v>
      </c>
      <c r="M961" s="1" t="s">
        <v>5661</v>
      </c>
      <c r="N961" s="154">
        <v>43832.0</v>
      </c>
      <c r="O961" s="1">
        <v>1.0</v>
      </c>
      <c r="P961" s="1">
        <v>1.0</v>
      </c>
      <c r="R961" s="1" t="s">
        <v>29546</v>
      </c>
      <c r="T961" s="147">
        <v>43903.0</v>
      </c>
      <c r="U961" s="1">
        <v>26.27</v>
      </c>
      <c r="V961" s="1">
        <v>26.13</v>
      </c>
      <c r="Y961" s="147">
        <v>43903.0</v>
      </c>
      <c r="Z961" s="1">
        <v>9999.0</v>
      </c>
      <c r="AA961" s="1">
        <v>9999.0</v>
      </c>
      <c r="AE961" s="1">
        <v>1.0</v>
      </c>
      <c r="AF961" s="1" t="s">
        <v>18902</v>
      </c>
      <c r="AG961" s="121">
        <v>8808.0</v>
      </c>
      <c r="AH961" s="1" t="s">
        <v>29549</v>
      </c>
      <c r="AI961" s="1" t="s">
        <v>29551</v>
      </c>
      <c r="AJ961" s="121">
        <v>962.0</v>
      </c>
    </row>
    <row r="962">
      <c r="A962" s="1" t="s">
        <v>29542</v>
      </c>
      <c r="B962" s="1" t="s">
        <v>6876</v>
      </c>
      <c r="C962" s="1" t="s">
        <v>6877</v>
      </c>
      <c r="D962" s="1" t="s">
        <v>8493</v>
      </c>
      <c r="E962" s="147">
        <v>43907.0</v>
      </c>
      <c r="F962" s="1" t="s">
        <v>29554</v>
      </c>
      <c r="G962" s="1">
        <v>3.0</v>
      </c>
      <c r="H962" s="1">
        <v>1.0</v>
      </c>
      <c r="I962" s="1">
        <v>12.0</v>
      </c>
      <c r="L962" s="1" t="s">
        <v>5687</v>
      </c>
      <c r="M962" s="1" t="s">
        <v>5687</v>
      </c>
      <c r="N962" s="154">
        <v>43832.0</v>
      </c>
      <c r="O962" s="1">
        <v>1.0</v>
      </c>
      <c r="P962" s="1">
        <v>1.0</v>
      </c>
      <c r="R962" s="1" t="s">
        <v>29546</v>
      </c>
      <c r="T962" s="147">
        <v>43903.0</v>
      </c>
      <c r="U962" s="1">
        <v>25.07</v>
      </c>
      <c r="V962" s="1">
        <v>24.97</v>
      </c>
      <c r="Y962" s="147">
        <v>43903.0</v>
      </c>
      <c r="Z962" s="1">
        <v>32.59</v>
      </c>
      <c r="AA962" s="1">
        <v>32.51</v>
      </c>
      <c r="AE962" s="1">
        <v>1.0</v>
      </c>
      <c r="AF962" s="1" t="s">
        <v>18902</v>
      </c>
      <c r="AG962" s="121">
        <v>8809.0</v>
      </c>
      <c r="AH962" s="1" t="s">
        <v>29562</v>
      </c>
      <c r="AI962" s="1" t="s">
        <v>29563</v>
      </c>
      <c r="AJ962" s="121">
        <v>963.0</v>
      </c>
    </row>
    <row r="963">
      <c r="A963" s="1" t="s">
        <v>29566</v>
      </c>
      <c r="B963" s="1" t="s">
        <v>6876</v>
      </c>
      <c r="C963" s="1" t="s">
        <v>6877</v>
      </c>
      <c r="D963" s="1" t="s">
        <v>8493</v>
      </c>
      <c r="E963" s="147">
        <v>43907.0</v>
      </c>
      <c r="F963" s="1" t="s">
        <v>29568</v>
      </c>
      <c r="G963" s="1">
        <v>3.0</v>
      </c>
      <c r="H963" s="1">
        <v>1.0</v>
      </c>
      <c r="I963" s="1">
        <v>99.0</v>
      </c>
      <c r="L963" s="1" t="s">
        <v>5704</v>
      </c>
      <c r="M963" s="1" t="s">
        <v>5704</v>
      </c>
      <c r="N963" s="154">
        <v>43832.0</v>
      </c>
      <c r="O963" s="1">
        <v>1.0</v>
      </c>
      <c r="P963" s="1">
        <v>1.0</v>
      </c>
      <c r="R963" s="1" t="s">
        <v>29546</v>
      </c>
      <c r="T963" s="147">
        <v>43903.0</v>
      </c>
      <c r="U963" s="1">
        <v>9999.0</v>
      </c>
      <c r="V963" s="1">
        <v>9999.0</v>
      </c>
      <c r="Y963" s="147">
        <v>43903.0</v>
      </c>
      <c r="Z963" s="1">
        <v>9999.0</v>
      </c>
      <c r="AA963" s="1">
        <v>9999.0</v>
      </c>
      <c r="AD963" s="1" t="s">
        <v>29573</v>
      </c>
      <c r="AE963" s="1">
        <v>1.0</v>
      </c>
      <c r="AF963" s="1" t="s">
        <v>18902</v>
      </c>
      <c r="AG963" s="121">
        <v>8810.0</v>
      </c>
      <c r="AH963" s="1" t="s">
        <v>29575</v>
      </c>
      <c r="AI963" s="1" t="s">
        <v>29576</v>
      </c>
      <c r="AJ963" s="121">
        <v>964.0</v>
      </c>
    </row>
    <row r="964">
      <c r="A964" s="1" t="s">
        <v>29568</v>
      </c>
      <c r="B964" s="1" t="s">
        <v>6876</v>
      </c>
      <c r="C964" s="1" t="s">
        <v>6877</v>
      </c>
      <c r="D964" s="1" t="s">
        <v>8493</v>
      </c>
      <c r="E964" s="147">
        <v>43907.0</v>
      </c>
      <c r="F964" s="1" t="s">
        <v>29580</v>
      </c>
      <c r="G964" s="1">
        <v>29.0</v>
      </c>
      <c r="H964" s="1">
        <v>1.0</v>
      </c>
      <c r="I964" s="1">
        <v>12.0</v>
      </c>
      <c r="L964" s="1" t="s">
        <v>5723</v>
      </c>
      <c r="M964" s="1" t="s">
        <v>5723</v>
      </c>
      <c r="N964" s="154">
        <v>43832.0</v>
      </c>
      <c r="O964" s="1">
        <v>1.0</v>
      </c>
      <c r="P964" s="1">
        <v>1.0</v>
      </c>
      <c r="R964" s="1" t="s">
        <v>29546</v>
      </c>
      <c r="T964" s="147">
        <v>43903.0</v>
      </c>
      <c r="U964" s="1">
        <v>25.54</v>
      </c>
      <c r="V964" s="1">
        <v>25.88</v>
      </c>
      <c r="Y964" s="147">
        <v>43903.0</v>
      </c>
      <c r="Z964" s="1">
        <v>9999.0</v>
      </c>
      <c r="AA964" s="1">
        <v>9999.0</v>
      </c>
      <c r="AE964" s="1">
        <v>1.0</v>
      </c>
      <c r="AF964" s="1" t="s">
        <v>18902</v>
      </c>
      <c r="AG964" s="121">
        <v>8811.0</v>
      </c>
      <c r="AH964" s="1" t="s">
        <v>29586</v>
      </c>
      <c r="AI964" s="1" t="s">
        <v>29587</v>
      </c>
      <c r="AJ964" s="121">
        <v>965.0</v>
      </c>
    </row>
    <row r="965">
      <c r="A965" s="1" t="s">
        <v>29588</v>
      </c>
      <c r="B965" s="1" t="s">
        <v>6876</v>
      </c>
      <c r="C965" s="1" t="s">
        <v>6877</v>
      </c>
      <c r="D965" s="1" t="s">
        <v>8493</v>
      </c>
      <c r="E965" s="147">
        <v>43907.0</v>
      </c>
      <c r="F965" s="1" t="s">
        <v>29590</v>
      </c>
      <c r="G965" s="1">
        <v>65.0</v>
      </c>
      <c r="H965" s="1">
        <v>1.0</v>
      </c>
      <c r="I965" s="1">
        <v>16.0</v>
      </c>
      <c r="L965" s="1" t="s">
        <v>5762</v>
      </c>
      <c r="M965" s="1" t="s">
        <v>5762</v>
      </c>
      <c r="N965" s="154">
        <v>43832.0</v>
      </c>
      <c r="O965" s="1">
        <v>1.0</v>
      </c>
      <c r="P965" s="1">
        <v>1.0</v>
      </c>
      <c r="R965" s="1" t="s">
        <v>29546</v>
      </c>
      <c r="T965" s="147">
        <v>43903.0</v>
      </c>
      <c r="U965" s="1">
        <v>32.41</v>
      </c>
      <c r="V965" s="1">
        <v>9999.0</v>
      </c>
      <c r="Y965" s="147">
        <v>43903.0</v>
      </c>
      <c r="Z965" s="1">
        <v>33.4</v>
      </c>
      <c r="AA965" s="1">
        <v>33.15</v>
      </c>
      <c r="AE965" s="1">
        <v>1.0</v>
      </c>
      <c r="AF965" s="1" t="s">
        <v>18902</v>
      </c>
      <c r="AG965" s="121">
        <v>8812.0</v>
      </c>
      <c r="AH965" s="1" t="s">
        <v>29594</v>
      </c>
      <c r="AI965" s="1" t="s">
        <v>29595</v>
      </c>
      <c r="AJ965" s="121">
        <v>966.0</v>
      </c>
    </row>
    <row r="966">
      <c r="A966" s="1" t="s">
        <v>29590</v>
      </c>
      <c r="B966" s="1" t="s">
        <v>6876</v>
      </c>
      <c r="C966" s="1" t="s">
        <v>6877</v>
      </c>
      <c r="D966" s="1" t="s">
        <v>8493</v>
      </c>
      <c r="E966" s="147">
        <v>43907.0</v>
      </c>
      <c r="F966" s="1" t="s">
        <v>29597</v>
      </c>
      <c r="G966" s="1">
        <v>58.0</v>
      </c>
      <c r="H966" s="1">
        <v>1.0</v>
      </c>
      <c r="I966" s="1">
        <v>7.0</v>
      </c>
      <c r="L966" s="1" t="s">
        <v>5593</v>
      </c>
      <c r="M966" s="1" t="s">
        <v>5593</v>
      </c>
      <c r="N966" s="154">
        <v>43832.0</v>
      </c>
      <c r="O966" s="1">
        <v>1.0</v>
      </c>
      <c r="P966" s="1">
        <v>1.0</v>
      </c>
      <c r="R966" s="1" t="s">
        <v>29546</v>
      </c>
      <c r="T966" s="147">
        <v>43903.0</v>
      </c>
      <c r="U966" s="1">
        <v>9999.0</v>
      </c>
      <c r="V966" s="1">
        <v>9999.0</v>
      </c>
      <c r="Y966" s="147">
        <v>43903.0</v>
      </c>
      <c r="Z966" s="1">
        <v>9999.0</v>
      </c>
      <c r="AA966" s="1">
        <v>9999.0</v>
      </c>
      <c r="AE966" s="1">
        <v>1.0</v>
      </c>
      <c r="AF966" s="1" t="s">
        <v>18902</v>
      </c>
      <c r="AG966" s="121">
        <v>8813.0</v>
      </c>
      <c r="AH966" s="1" t="s">
        <v>29602</v>
      </c>
      <c r="AI966" s="1" t="s">
        <v>29603</v>
      </c>
      <c r="AJ966" s="121">
        <v>967.0</v>
      </c>
    </row>
    <row r="967">
      <c r="A967" s="1" t="s">
        <v>29597</v>
      </c>
      <c r="B967" s="1" t="s">
        <v>6876</v>
      </c>
      <c r="C967" s="1" t="s">
        <v>6877</v>
      </c>
      <c r="D967" s="1" t="s">
        <v>8493</v>
      </c>
      <c r="E967" s="147">
        <v>43907.0</v>
      </c>
      <c r="F967" s="1" t="s">
        <v>29606</v>
      </c>
      <c r="G967" s="1">
        <v>58.0</v>
      </c>
      <c r="H967" s="1">
        <v>1.0</v>
      </c>
      <c r="I967" s="1">
        <v>99.0</v>
      </c>
      <c r="L967" s="1" t="s">
        <v>5609</v>
      </c>
      <c r="M967" s="1" t="s">
        <v>5609</v>
      </c>
      <c r="N967" s="154">
        <v>43832.0</v>
      </c>
      <c r="O967" s="1">
        <v>1.0</v>
      </c>
      <c r="P967" s="1">
        <v>1.0</v>
      </c>
      <c r="R967" s="1" t="s">
        <v>29546</v>
      </c>
      <c r="T967" s="147">
        <v>43903.0</v>
      </c>
      <c r="U967" s="1">
        <v>9999.0</v>
      </c>
      <c r="V967" s="1">
        <v>9999.0</v>
      </c>
      <c r="Y967" s="147">
        <v>43903.0</v>
      </c>
      <c r="Z967" s="1">
        <v>9999.0</v>
      </c>
      <c r="AA967" s="1">
        <v>9999.0</v>
      </c>
      <c r="AD967" s="1" t="s">
        <v>29609</v>
      </c>
      <c r="AE967" s="1">
        <v>1.0</v>
      </c>
      <c r="AF967" s="1" t="s">
        <v>18902</v>
      </c>
      <c r="AG967" s="121">
        <v>8814.0</v>
      </c>
      <c r="AH967" s="1" t="s">
        <v>29612</v>
      </c>
      <c r="AI967" s="1" t="s">
        <v>29613</v>
      </c>
      <c r="AJ967" s="121">
        <v>968.0</v>
      </c>
    </row>
    <row r="968">
      <c r="A968" s="1" t="s">
        <v>29606</v>
      </c>
      <c r="B968" s="1" t="s">
        <v>6876</v>
      </c>
      <c r="C968" s="1" t="s">
        <v>6877</v>
      </c>
      <c r="D968" s="1" t="s">
        <v>8493</v>
      </c>
      <c r="E968" s="147">
        <v>43907.0</v>
      </c>
      <c r="F968" s="1" t="s">
        <v>29615</v>
      </c>
      <c r="G968" s="1">
        <v>58.0</v>
      </c>
      <c r="H968" s="1">
        <v>1.0</v>
      </c>
      <c r="I968" s="1">
        <v>7.0</v>
      </c>
      <c r="L968" s="1" t="s">
        <v>5628</v>
      </c>
      <c r="M968" s="1" t="s">
        <v>5628</v>
      </c>
      <c r="N968" s="154">
        <v>43832.0</v>
      </c>
      <c r="O968" s="1">
        <v>1.0</v>
      </c>
      <c r="P968" s="1">
        <v>1.0</v>
      </c>
      <c r="R968" s="1" t="s">
        <v>29546</v>
      </c>
      <c r="T968" s="147">
        <v>43903.0</v>
      </c>
      <c r="U968" s="1">
        <v>31.46</v>
      </c>
      <c r="V968" s="1">
        <v>9999.0</v>
      </c>
      <c r="Y968" s="147">
        <v>43903.0</v>
      </c>
      <c r="Z968" s="1">
        <v>40.0</v>
      </c>
      <c r="AA968" s="1">
        <v>9999.0</v>
      </c>
      <c r="AE968" s="1">
        <v>1.0</v>
      </c>
      <c r="AF968" s="1" t="s">
        <v>18902</v>
      </c>
      <c r="AG968" s="121">
        <v>8815.0</v>
      </c>
      <c r="AH968" s="1" t="s">
        <v>29621</v>
      </c>
      <c r="AI968" s="1" t="s">
        <v>29622</v>
      </c>
      <c r="AJ968" s="121">
        <v>969.0</v>
      </c>
    </row>
    <row r="969">
      <c r="A969" s="1" t="s">
        <v>29624</v>
      </c>
      <c r="B969" s="1" t="s">
        <v>6876</v>
      </c>
      <c r="C969" s="1" t="s">
        <v>6877</v>
      </c>
      <c r="D969" s="1" t="s">
        <v>8493</v>
      </c>
      <c r="E969" s="147">
        <v>43907.0</v>
      </c>
      <c r="F969" s="1" t="s">
        <v>29628</v>
      </c>
      <c r="G969" s="1">
        <v>110.0</v>
      </c>
      <c r="H969" s="1">
        <v>1.0</v>
      </c>
      <c r="I969" s="1">
        <v>12.0</v>
      </c>
      <c r="L969" s="1" t="s">
        <v>5867</v>
      </c>
      <c r="M969" s="1" t="s">
        <v>5867</v>
      </c>
      <c r="N969" s="154">
        <v>43832.0</v>
      </c>
      <c r="O969" s="1">
        <v>1.0</v>
      </c>
      <c r="P969" s="1">
        <v>1.0</v>
      </c>
      <c r="R969" s="1" t="s">
        <v>29546</v>
      </c>
      <c r="T969" s="147">
        <v>43903.0</v>
      </c>
      <c r="U969" s="1">
        <v>24.65</v>
      </c>
      <c r="V969" s="1">
        <v>9999.0</v>
      </c>
      <c r="Y969" s="147">
        <v>43903.0</v>
      </c>
      <c r="Z969" s="1">
        <v>34.24</v>
      </c>
      <c r="AA969" s="1">
        <v>34.38</v>
      </c>
      <c r="AE969" s="1">
        <v>1.0</v>
      </c>
      <c r="AF969" s="1" t="s">
        <v>18902</v>
      </c>
      <c r="AG969" s="121">
        <v>8816.0</v>
      </c>
      <c r="AH969" s="1" t="s">
        <v>29635</v>
      </c>
      <c r="AI969" s="1" t="s">
        <v>29636</v>
      </c>
      <c r="AJ969" s="121">
        <v>970.0</v>
      </c>
    </row>
    <row r="970">
      <c r="A970" s="1" t="s">
        <v>29628</v>
      </c>
      <c r="B970" s="1" t="s">
        <v>6876</v>
      </c>
      <c r="C970" s="1" t="s">
        <v>6877</v>
      </c>
      <c r="D970" s="1" t="s">
        <v>8493</v>
      </c>
      <c r="E970" s="147">
        <v>43907.0</v>
      </c>
      <c r="F970" s="1" t="s">
        <v>29638</v>
      </c>
      <c r="G970" s="1">
        <v>104.0</v>
      </c>
      <c r="H970" s="1">
        <v>1.0</v>
      </c>
      <c r="I970" s="1">
        <v>12.0</v>
      </c>
      <c r="L970" s="1" t="s">
        <v>5909</v>
      </c>
      <c r="M970" s="1" t="s">
        <v>5909</v>
      </c>
      <c r="N970" s="154">
        <v>43832.0</v>
      </c>
      <c r="O970" s="1">
        <v>1.0</v>
      </c>
      <c r="P970" s="1">
        <v>1.0</v>
      </c>
      <c r="R970" s="1" t="s">
        <v>29546</v>
      </c>
      <c r="T970" s="147">
        <v>43903.0</v>
      </c>
      <c r="U970" s="1">
        <v>24.62</v>
      </c>
      <c r="V970" s="1">
        <v>24.13</v>
      </c>
      <c r="Y970" s="147">
        <v>43903.0</v>
      </c>
      <c r="Z970" s="1">
        <v>35.34</v>
      </c>
      <c r="AA970" s="1">
        <v>35.88</v>
      </c>
      <c r="AE970" s="1">
        <v>1.0</v>
      </c>
      <c r="AF970" s="1" t="s">
        <v>18902</v>
      </c>
      <c r="AG970" s="121">
        <v>8817.0</v>
      </c>
      <c r="AH970" s="1" t="s">
        <v>29643</v>
      </c>
      <c r="AI970" s="1" t="s">
        <v>29644</v>
      </c>
      <c r="AJ970" s="121">
        <v>971.0</v>
      </c>
    </row>
    <row r="971">
      <c r="A971" s="1" t="s">
        <v>29638</v>
      </c>
      <c r="B971" s="1" t="s">
        <v>6876</v>
      </c>
      <c r="C971" s="1" t="s">
        <v>6877</v>
      </c>
      <c r="D971" s="1" t="s">
        <v>8493</v>
      </c>
      <c r="E971" s="147">
        <v>43907.0</v>
      </c>
      <c r="F971" s="1" t="s">
        <v>29649</v>
      </c>
      <c r="G971" s="1">
        <v>104.0</v>
      </c>
      <c r="H971" s="1">
        <v>1.0</v>
      </c>
      <c r="I971" s="1">
        <v>99.0</v>
      </c>
      <c r="L971" s="1" t="s">
        <v>5920</v>
      </c>
      <c r="M971" s="1" t="s">
        <v>5920</v>
      </c>
      <c r="N971" s="154">
        <v>43832.0</v>
      </c>
      <c r="O971" s="1">
        <v>1.0</v>
      </c>
      <c r="P971" s="1">
        <v>1.0</v>
      </c>
      <c r="R971" s="1" t="s">
        <v>29546</v>
      </c>
      <c r="T971" s="147">
        <v>43903.0</v>
      </c>
      <c r="U971" s="1">
        <v>9999.0</v>
      </c>
      <c r="V971" s="1">
        <v>9999.0</v>
      </c>
      <c r="Y971" s="147">
        <v>43903.0</v>
      </c>
      <c r="Z971" s="1">
        <v>9999.0</v>
      </c>
      <c r="AA971" s="1">
        <v>9999.0</v>
      </c>
      <c r="AD971" s="1" t="s">
        <v>29653</v>
      </c>
      <c r="AE971" s="1">
        <v>1.0</v>
      </c>
      <c r="AF971" s="1" t="s">
        <v>18902</v>
      </c>
      <c r="AG971" s="121">
        <v>8818.0</v>
      </c>
      <c r="AH971" s="1" t="s">
        <v>29655</v>
      </c>
      <c r="AI971" s="1" t="s">
        <v>29656</v>
      </c>
      <c r="AJ971" s="121">
        <v>972.0</v>
      </c>
    </row>
    <row r="972">
      <c r="A972" s="1" t="s">
        <v>29649</v>
      </c>
      <c r="B972" s="1" t="s">
        <v>6876</v>
      </c>
      <c r="C972" s="1" t="s">
        <v>6877</v>
      </c>
      <c r="D972" s="1" t="s">
        <v>8493</v>
      </c>
      <c r="E972" s="147">
        <v>43907.0</v>
      </c>
      <c r="F972" s="1" t="s">
        <v>29658</v>
      </c>
      <c r="G972" s="1">
        <v>66.0</v>
      </c>
      <c r="H972" s="1">
        <v>1.0</v>
      </c>
      <c r="I972" s="1">
        <v>12.0</v>
      </c>
      <c r="L972" s="1" t="s">
        <v>5933</v>
      </c>
      <c r="M972" s="1" t="s">
        <v>5933</v>
      </c>
      <c r="N972" s="154">
        <v>43832.0</v>
      </c>
      <c r="O972" s="1">
        <v>1.0</v>
      </c>
      <c r="P972" s="1">
        <v>1.0</v>
      </c>
      <c r="R972" s="1" t="s">
        <v>29546</v>
      </c>
      <c r="T972" s="147">
        <v>43903.0</v>
      </c>
      <c r="U972" s="1">
        <v>25.37</v>
      </c>
      <c r="V972" s="1">
        <v>26.1</v>
      </c>
      <c r="Y972" s="147">
        <v>43903.0</v>
      </c>
      <c r="Z972" s="1">
        <v>33.34</v>
      </c>
      <c r="AA972" s="1">
        <v>33.6</v>
      </c>
      <c r="AE972" s="1">
        <v>1.0</v>
      </c>
      <c r="AF972" s="1" t="s">
        <v>18902</v>
      </c>
      <c r="AG972" s="121">
        <v>8819.0</v>
      </c>
      <c r="AH972" s="1" t="s">
        <v>29664</v>
      </c>
      <c r="AI972" s="1" t="s">
        <v>29665</v>
      </c>
      <c r="AJ972" s="121">
        <v>973.0</v>
      </c>
    </row>
    <row r="973">
      <c r="A973" s="1" t="s">
        <v>29658</v>
      </c>
      <c r="B973" s="1" t="s">
        <v>6876</v>
      </c>
      <c r="C973" s="1" t="s">
        <v>6877</v>
      </c>
      <c r="D973" s="1" t="s">
        <v>8493</v>
      </c>
      <c r="E973" s="147">
        <v>43907.0</v>
      </c>
      <c r="F973" s="1" t="s">
        <v>29669</v>
      </c>
      <c r="G973" s="1">
        <v>59.0</v>
      </c>
      <c r="H973" s="1">
        <v>1.0</v>
      </c>
      <c r="I973" s="1">
        <v>12.0</v>
      </c>
      <c r="L973" s="1" t="s">
        <v>5959</v>
      </c>
      <c r="M973" s="1" t="s">
        <v>5959</v>
      </c>
      <c r="N973" s="154">
        <v>43832.0</v>
      </c>
      <c r="O973" s="1">
        <v>1.0</v>
      </c>
      <c r="P973" s="1">
        <v>1.0</v>
      </c>
      <c r="R973" s="1" t="s">
        <v>29546</v>
      </c>
      <c r="T973" s="147">
        <v>43903.0</v>
      </c>
      <c r="U973" s="1">
        <v>23.66</v>
      </c>
      <c r="V973" s="1">
        <v>23.68</v>
      </c>
      <c r="Y973" s="147">
        <v>43903.0</v>
      </c>
      <c r="Z973" s="1">
        <v>34.47</v>
      </c>
      <c r="AA973" s="1">
        <v>34.68</v>
      </c>
      <c r="AE973" s="1">
        <v>1.0</v>
      </c>
      <c r="AF973" s="1" t="s">
        <v>18902</v>
      </c>
      <c r="AG973" s="121">
        <v>8820.0</v>
      </c>
      <c r="AH973" s="1" t="s">
        <v>29674</v>
      </c>
      <c r="AI973" s="1" t="s">
        <v>29675</v>
      </c>
      <c r="AJ973" s="121">
        <v>974.0</v>
      </c>
    </row>
    <row r="974">
      <c r="A974" s="1" t="s">
        <v>29669</v>
      </c>
      <c r="B974" s="1" t="s">
        <v>6876</v>
      </c>
      <c r="C974" s="1" t="s">
        <v>6877</v>
      </c>
      <c r="D974" s="1" t="s">
        <v>8493</v>
      </c>
      <c r="E974" s="147">
        <v>43907.0</v>
      </c>
      <c r="F974" s="1" t="s">
        <v>29677</v>
      </c>
      <c r="G974" s="1">
        <v>65.0</v>
      </c>
      <c r="H974" s="1">
        <v>1.0</v>
      </c>
      <c r="I974" s="1">
        <v>12.0</v>
      </c>
      <c r="L974" s="1" t="s">
        <v>5992</v>
      </c>
      <c r="M974" s="1" t="s">
        <v>5992</v>
      </c>
      <c r="N974" s="154">
        <v>43832.0</v>
      </c>
      <c r="O974" s="1">
        <v>1.0</v>
      </c>
      <c r="P974" s="1">
        <v>1.0</v>
      </c>
      <c r="R974" s="1" t="s">
        <v>29546</v>
      </c>
      <c r="T974" s="147">
        <v>43903.0</v>
      </c>
      <c r="U974" s="1">
        <v>23.99</v>
      </c>
      <c r="V974" s="1">
        <v>25.46</v>
      </c>
      <c r="Y974" s="147">
        <v>43903.0</v>
      </c>
      <c r="Z974" s="1">
        <v>40.0</v>
      </c>
      <c r="AA974" s="1">
        <v>9999.0</v>
      </c>
      <c r="AE974" s="1">
        <v>1.0</v>
      </c>
      <c r="AF974" s="1" t="s">
        <v>18902</v>
      </c>
      <c r="AG974" s="121">
        <v>8821.0</v>
      </c>
      <c r="AH974" s="1" t="s">
        <v>29681</v>
      </c>
      <c r="AI974" s="1" t="s">
        <v>29682</v>
      </c>
      <c r="AJ974" s="121">
        <v>975.0</v>
      </c>
    </row>
    <row r="975">
      <c r="A975" s="1" t="s">
        <v>29677</v>
      </c>
      <c r="B975" s="1" t="s">
        <v>6876</v>
      </c>
      <c r="C975" s="1" t="s">
        <v>6877</v>
      </c>
      <c r="D975" s="1" t="s">
        <v>8493</v>
      </c>
      <c r="E975" s="147">
        <v>43907.0</v>
      </c>
      <c r="F975" s="1" t="s">
        <v>29684</v>
      </c>
      <c r="G975" s="1">
        <v>59.0</v>
      </c>
      <c r="H975" s="1">
        <v>1.0</v>
      </c>
      <c r="I975" s="1">
        <v>11.0</v>
      </c>
      <c r="L975" s="1" t="s">
        <v>5795</v>
      </c>
      <c r="M975" s="1" t="s">
        <v>5795</v>
      </c>
      <c r="N975" s="154">
        <v>43832.0</v>
      </c>
      <c r="O975" s="1">
        <v>1.0</v>
      </c>
      <c r="P975" s="1">
        <v>1.0</v>
      </c>
      <c r="R975" s="1" t="s">
        <v>29546</v>
      </c>
      <c r="T975" s="147">
        <v>43903.0</v>
      </c>
      <c r="U975" s="1">
        <v>25.43</v>
      </c>
      <c r="V975" s="1">
        <v>25.36</v>
      </c>
      <c r="Y975" s="147">
        <v>43903.0</v>
      </c>
      <c r="Z975" s="1">
        <v>9999.0</v>
      </c>
      <c r="AA975" s="1">
        <v>9999.0</v>
      </c>
      <c r="AE975" s="1">
        <v>1.0</v>
      </c>
      <c r="AF975" s="1" t="s">
        <v>18902</v>
      </c>
      <c r="AG975" s="121">
        <v>8822.0</v>
      </c>
      <c r="AH975" s="1" t="s">
        <v>29690</v>
      </c>
      <c r="AI975" s="1" t="s">
        <v>29691</v>
      </c>
      <c r="AJ975" s="121">
        <v>976.0</v>
      </c>
    </row>
    <row r="976">
      <c r="A976" s="1" t="s">
        <v>29684</v>
      </c>
      <c r="B976" s="1" t="s">
        <v>6876</v>
      </c>
      <c r="C976" s="1" t="s">
        <v>6877</v>
      </c>
      <c r="D976" s="1" t="s">
        <v>8493</v>
      </c>
      <c r="E976" s="147">
        <v>43907.0</v>
      </c>
      <c r="F976" s="1" t="s">
        <v>29695</v>
      </c>
      <c r="G976" s="1">
        <v>59.0</v>
      </c>
      <c r="H976" s="1">
        <v>1.0</v>
      </c>
      <c r="I976" s="1">
        <v>99.0</v>
      </c>
      <c r="L976" s="1" t="s">
        <v>5817</v>
      </c>
      <c r="M976" s="1" t="s">
        <v>5817</v>
      </c>
      <c r="N976" s="154">
        <v>43832.0</v>
      </c>
      <c r="O976" s="1">
        <v>1.0</v>
      </c>
      <c r="P976" s="1">
        <v>1.0</v>
      </c>
      <c r="R976" s="1" t="s">
        <v>29546</v>
      </c>
      <c r="T976" s="147">
        <v>43903.0</v>
      </c>
      <c r="U976" s="1">
        <v>9999.0</v>
      </c>
      <c r="V976" s="1">
        <v>9999.0</v>
      </c>
      <c r="Y976" s="147">
        <v>43903.0</v>
      </c>
      <c r="Z976" s="1">
        <v>9999.0</v>
      </c>
      <c r="AA976" s="1">
        <v>9999.0</v>
      </c>
      <c r="AD976" s="1" t="s">
        <v>29696</v>
      </c>
      <c r="AE976" s="1">
        <v>1.0</v>
      </c>
      <c r="AF976" s="1" t="s">
        <v>18902</v>
      </c>
      <c r="AG976" s="121">
        <v>8823.0</v>
      </c>
      <c r="AH976" s="1" t="s">
        <v>29697</v>
      </c>
      <c r="AI976" s="1" t="s">
        <v>29698</v>
      </c>
      <c r="AJ976" s="121">
        <v>977.0</v>
      </c>
    </row>
    <row r="977">
      <c r="A977" s="1" t="s">
        <v>29695</v>
      </c>
      <c r="B977" s="1" t="s">
        <v>6876</v>
      </c>
      <c r="C977" s="1" t="s">
        <v>6877</v>
      </c>
      <c r="D977" s="1" t="s">
        <v>8493</v>
      </c>
      <c r="E977" s="147">
        <v>43907.0</v>
      </c>
      <c r="F977" s="1" t="s">
        <v>29699</v>
      </c>
      <c r="G977" s="1">
        <v>59.0</v>
      </c>
      <c r="H977" s="1">
        <v>1.0</v>
      </c>
      <c r="I977" s="1">
        <v>11.0</v>
      </c>
      <c r="L977" s="1" t="s">
        <v>5836</v>
      </c>
      <c r="M977" s="1" t="s">
        <v>5836</v>
      </c>
      <c r="N977" s="154">
        <v>43832.0</v>
      </c>
      <c r="O977" s="1">
        <v>1.0</v>
      </c>
      <c r="P977" s="1">
        <v>1.0</v>
      </c>
      <c r="R977" s="1" t="s">
        <v>29546</v>
      </c>
      <c r="T977" s="147">
        <v>43903.0</v>
      </c>
      <c r="U977" s="1">
        <v>27.62</v>
      </c>
      <c r="V977" s="1">
        <v>28.49</v>
      </c>
      <c r="Y977" s="147">
        <v>43903.0</v>
      </c>
      <c r="Z977" s="1">
        <v>9999.0</v>
      </c>
      <c r="AA977" s="1">
        <v>9999.0</v>
      </c>
      <c r="AE977" s="1">
        <v>1.0</v>
      </c>
      <c r="AF977" s="1" t="s">
        <v>18902</v>
      </c>
      <c r="AG977" s="121">
        <v>8824.0</v>
      </c>
      <c r="AH977" s="1" t="s">
        <v>29700</v>
      </c>
      <c r="AI977" s="1" t="s">
        <v>29701</v>
      </c>
      <c r="AJ977" s="121">
        <v>978.0</v>
      </c>
    </row>
    <row r="978">
      <c r="A978" s="1" t="s">
        <v>29702</v>
      </c>
      <c r="B978" s="1" t="s">
        <v>6876</v>
      </c>
      <c r="C978" s="1" t="s">
        <v>6877</v>
      </c>
      <c r="D978" s="1" t="s">
        <v>8493</v>
      </c>
      <c r="E978" s="147">
        <v>43907.0</v>
      </c>
      <c r="F978" s="1" t="s">
        <v>29703</v>
      </c>
      <c r="G978" s="1">
        <v>33.0</v>
      </c>
      <c r="H978" s="1">
        <v>1.0</v>
      </c>
      <c r="I978" s="1">
        <v>98.0</v>
      </c>
      <c r="L978" s="1" t="s">
        <v>29704</v>
      </c>
      <c r="M978" s="1" t="s">
        <v>29704</v>
      </c>
      <c r="N978" s="154">
        <v>43832.0</v>
      </c>
      <c r="O978" s="1">
        <v>1.0</v>
      </c>
      <c r="P978" s="1">
        <v>1.0</v>
      </c>
      <c r="R978" s="1" t="s">
        <v>29546</v>
      </c>
      <c r="T978" s="147">
        <v>43903.0</v>
      </c>
      <c r="U978" s="1">
        <v>9999.0</v>
      </c>
      <c r="V978" s="1">
        <v>9999.0</v>
      </c>
      <c r="Y978" s="147">
        <v>43903.0</v>
      </c>
      <c r="Z978" s="1">
        <v>9999.0</v>
      </c>
      <c r="AA978" s="1">
        <v>9999.0</v>
      </c>
      <c r="AE978" s="1">
        <v>1.0</v>
      </c>
      <c r="AF978" s="1" t="s">
        <v>18902</v>
      </c>
      <c r="AG978" s="121">
        <v>8825.0</v>
      </c>
      <c r="AH978" s="1" t="s">
        <v>29705</v>
      </c>
      <c r="AI978" s="1" t="s">
        <v>29706</v>
      </c>
      <c r="AJ978" s="121">
        <v>979.0</v>
      </c>
    </row>
    <row r="979">
      <c r="A979" s="1" t="s">
        <v>29703</v>
      </c>
      <c r="B979" s="1" t="s">
        <v>6876</v>
      </c>
      <c r="C979" s="1" t="s">
        <v>6877</v>
      </c>
      <c r="D979" s="1" t="s">
        <v>8493</v>
      </c>
      <c r="E979" s="147">
        <v>43907.0</v>
      </c>
      <c r="F979" s="1" t="s">
        <v>29707</v>
      </c>
      <c r="G979" s="1">
        <v>58.0</v>
      </c>
      <c r="H979" s="1">
        <v>2.0</v>
      </c>
      <c r="I979" s="1">
        <v>5.0</v>
      </c>
      <c r="L979" s="1" t="s">
        <v>3468</v>
      </c>
      <c r="M979" s="1" t="s">
        <v>3468</v>
      </c>
      <c r="N979" s="154">
        <v>43832.0</v>
      </c>
      <c r="O979" s="1">
        <v>1.0</v>
      </c>
      <c r="P979" s="1">
        <v>1.0</v>
      </c>
      <c r="R979" s="1" t="s">
        <v>29546</v>
      </c>
      <c r="T979" s="147">
        <v>43903.0</v>
      </c>
      <c r="U979" s="1">
        <v>9999.0</v>
      </c>
      <c r="V979" s="1">
        <v>9999.0</v>
      </c>
      <c r="Y979" s="147">
        <v>43903.0</v>
      </c>
      <c r="Z979" s="1">
        <v>9999.0</v>
      </c>
      <c r="AA979" s="1">
        <v>9999.0</v>
      </c>
      <c r="AE979" s="1">
        <v>1.0</v>
      </c>
      <c r="AF979" s="1" t="s">
        <v>18902</v>
      </c>
      <c r="AG979" s="121">
        <v>8826.0</v>
      </c>
      <c r="AH979" s="1" t="s">
        <v>29708</v>
      </c>
      <c r="AI979" s="1" t="s">
        <v>29709</v>
      </c>
      <c r="AJ979" s="121">
        <v>980.0</v>
      </c>
    </row>
    <row r="980">
      <c r="A980" s="1" t="s">
        <v>29707</v>
      </c>
      <c r="B980" s="1" t="s">
        <v>6876</v>
      </c>
      <c r="C980" s="1" t="s">
        <v>6877</v>
      </c>
      <c r="D980" s="1" t="s">
        <v>8493</v>
      </c>
      <c r="E980" s="147">
        <v>43907.0</v>
      </c>
      <c r="F980" s="1" t="s">
        <v>29710</v>
      </c>
      <c r="G980" s="1">
        <v>58.0</v>
      </c>
      <c r="H980" s="1">
        <v>2.0</v>
      </c>
      <c r="I980" s="1">
        <v>8.0</v>
      </c>
      <c r="L980" s="1" t="s">
        <v>354</v>
      </c>
      <c r="M980" s="1" t="s">
        <v>354</v>
      </c>
      <c r="N980" s="154">
        <v>43832.0</v>
      </c>
      <c r="O980" s="1">
        <v>1.0</v>
      </c>
      <c r="P980" s="1">
        <v>1.0</v>
      </c>
      <c r="R980" s="1" t="s">
        <v>29546</v>
      </c>
      <c r="T980" s="147">
        <v>43903.0</v>
      </c>
      <c r="U980" s="1">
        <v>9999.0</v>
      </c>
      <c r="V980" s="1">
        <v>9999.0</v>
      </c>
      <c r="Y980" s="147">
        <v>43903.0</v>
      </c>
      <c r="Z980" s="1">
        <v>9999.0</v>
      </c>
      <c r="AA980" s="1">
        <v>9999.0</v>
      </c>
      <c r="AE980" s="1">
        <v>1.0</v>
      </c>
      <c r="AF980" s="1" t="s">
        <v>18902</v>
      </c>
      <c r="AG980" s="121">
        <v>8827.0</v>
      </c>
      <c r="AH980" s="1" t="s">
        <v>29711</v>
      </c>
      <c r="AI980" s="1" t="s">
        <v>29712</v>
      </c>
      <c r="AJ980" s="121">
        <v>981.0</v>
      </c>
    </row>
    <row r="981">
      <c r="A981" s="1" t="s">
        <v>29710</v>
      </c>
      <c r="B981" s="1" t="s">
        <v>6876</v>
      </c>
      <c r="C981" s="1" t="s">
        <v>6877</v>
      </c>
      <c r="D981" s="1" t="s">
        <v>8493</v>
      </c>
      <c r="E981" s="147">
        <v>43907.0</v>
      </c>
      <c r="F981" s="1" t="s">
        <v>29713</v>
      </c>
      <c r="G981" s="1">
        <v>58.0</v>
      </c>
      <c r="H981" s="1">
        <v>2.0</v>
      </c>
      <c r="I981" s="1">
        <v>9.0</v>
      </c>
      <c r="L981" s="1" t="s">
        <v>3460</v>
      </c>
      <c r="M981" s="1" t="s">
        <v>3460</v>
      </c>
      <c r="N981" s="154">
        <v>43832.0</v>
      </c>
      <c r="O981" s="1">
        <v>1.0</v>
      </c>
      <c r="P981" s="1">
        <v>1.0</v>
      </c>
      <c r="R981" s="1" t="s">
        <v>29714</v>
      </c>
      <c r="T981" s="147">
        <v>43906.0</v>
      </c>
      <c r="U981" s="1">
        <v>9999.0</v>
      </c>
      <c r="V981" s="1">
        <v>9999.0</v>
      </c>
      <c r="Y981" s="147">
        <v>43906.0</v>
      </c>
      <c r="Z981" s="1">
        <v>9999.0</v>
      </c>
      <c r="AA981" s="1">
        <v>9999.0</v>
      </c>
      <c r="AE981" s="1">
        <v>1.0</v>
      </c>
      <c r="AF981" s="1" t="s">
        <v>18902</v>
      </c>
      <c r="AG981" s="121">
        <v>8828.0</v>
      </c>
      <c r="AH981" s="1" t="s">
        <v>29715</v>
      </c>
      <c r="AI981" s="1" t="s">
        <v>29716</v>
      </c>
      <c r="AJ981" s="121">
        <v>982.0</v>
      </c>
    </row>
    <row r="982">
      <c r="A982" s="1" t="s">
        <v>29713</v>
      </c>
      <c r="B982" s="1" t="s">
        <v>6876</v>
      </c>
      <c r="C982" s="1" t="s">
        <v>6877</v>
      </c>
      <c r="D982" s="1" t="s">
        <v>8493</v>
      </c>
      <c r="E982" s="147">
        <v>43907.0</v>
      </c>
      <c r="F982" s="1" t="s">
        <v>29717</v>
      </c>
      <c r="G982" s="1">
        <v>58.0</v>
      </c>
      <c r="H982" s="1">
        <v>2.0</v>
      </c>
      <c r="I982" s="1">
        <v>2.0</v>
      </c>
      <c r="L982" s="1" t="s">
        <v>358</v>
      </c>
      <c r="M982" s="1" t="s">
        <v>358</v>
      </c>
      <c r="N982" s="154">
        <v>43832.0</v>
      </c>
      <c r="O982" s="1">
        <v>1.0</v>
      </c>
      <c r="P982" s="1">
        <v>1.0</v>
      </c>
      <c r="R982" s="1" t="s">
        <v>29714</v>
      </c>
      <c r="T982" s="147">
        <v>43906.0</v>
      </c>
      <c r="U982" s="1">
        <v>9999.0</v>
      </c>
      <c r="V982" s="1">
        <v>9999.0</v>
      </c>
      <c r="Y982" s="147">
        <v>43906.0</v>
      </c>
      <c r="Z982" s="1">
        <v>9999.0</v>
      </c>
      <c r="AA982" s="1">
        <v>9999.0</v>
      </c>
      <c r="AE982" s="1">
        <v>1.0</v>
      </c>
      <c r="AF982" s="1" t="s">
        <v>18902</v>
      </c>
      <c r="AG982" s="121">
        <v>8829.0</v>
      </c>
      <c r="AH982" s="1" t="s">
        <v>29718</v>
      </c>
      <c r="AI982" s="1" t="s">
        <v>29719</v>
      </c>
      <c r="AJ982" s="121">
        <v>983.0</v>
      </c>
    </row>
    <row r="983">
      <c r="A983" s="1" t="s">
        <v>29717</v>
      </c>
      <c r="B983" s="1" t="s">
        <v>6876</v>
      </c>
      <c r="C983" s="1" t="s">
        <v>6877</v>
      </c>
      <c r="D983" s="1" t="s">
        <v>8493</v>
      </c>
      <c r="E983" s="147">
        <v>43907.0</v>
      </c>
      <c r="F983" s="1" t="s">
        <v>29720</v>
      </c>
      <c r="G983" s="1">
        <v>58.0</v>
      </c>
      <c r="H983" s="1">
        <v>2.0</v>
      </c>
      <c r="I983" s="1">
        <v>99.0</v>
      </c>
      <c r="L983" s="1" t="s">
        <v>3488</v>
      </c>
      <c r="M983" s="1" t="s">
        <v>3488</v>
      </c>
      <c r="N983" s="154">
        <v>43832.0</v>
      </c>
      <c r="O983" s="1">
        <v>1.0</v>
      </c>
      <c r="P983" s="1">
        <v>1.0</v>
      </c>
      <c r="R983" s="1" t="s">
        <v>29714</v>
      </c>
      <c r="T983" s="147">
        <v>43906.0</v>
      </c>
      <c r="U983" s="1">
        <v>9999.0</v>
      </c>
      <c r="V983" s="1">
        <v>9999.0</v>
      </c>
      <c r="Y983" s="147">
        <v>43906.0</v>
      </c>
      <c r="Z983" s="1">
        <v>9999.0</v>
      </c>
      <c r="AA983" s="1">
        <v>9999.0</v>
      </c>
      <c r="AE983" s="1">
        <v>1.0</v>
      </c>
      <c r="AF983" s="1" t="s">
        <v>18902</v>
      </c>
      <c r="AG983" s="121">
        <v>8830.0</v>
      </c>
      <c r="AH983" s="1" t="s">
        <v>29721</v>
      </c>
      <c r="AI983" s="1" t="s">
        <v>29722</v>
      </c>
      <c r="AJ983" s="121">
        <v>984.0</v>
      </c>
    </row>
    <row r="984">
      <c r="A984" s="1" t="s">
        <v>29720</v>
      </c>
      <c r="B984" s="1" t="s">
        <v>6876</v>
      </c>
      <c r="C984" s="1" t="s">
        <v>6877</v>
      </c>
      <c r="D984" s="1" t="s">
        <v>8493</v>
      </c>
      <c r="E984" s="147">
        <v>43907.0</v>
      </c>
      <c r="F984" s="1" t="s">
        <v>29723</v>
      </c>
      <c r="G984" s="1">
        <v>58.0</v>
      </c>
      <c r="H984" s="1">
        <v>1.0</v>
      </c>
      <c r="I984" s="1">
        <v>7.0</v>
      </c>
      <c r="L984" s="1" t="s">
        <v>6124</v>
      </c>
      <c r="M984" s="1" t="s">
        <v>6124</v>
      </c>
      <c r="N984" s="154">
        <v>43832.0</v>
      </c>
      <c r="O984" s="1">
        <v>1.0</v>
      </c>
      <c r="P984" s="1">
        <v>1.0</v>
      </c>
      <c r="R984" s="1" t="s">
        <v>29714</v>
      </c>
      <c r="T984" s="147">
        <v>43906.0</v>
      </c>
      <c r="U984" s="1">
        <v>9999.0</v>
      </c>
      <c r="V984" s="1">
        <v>9999.0</v>
      </c>
      <c r="Y984" s="147">
        <v>43906.0</v>
      </c>
      <c r="Z984" s="1">
        <v>9999.0</v>
      </c>
      <c r="AA984" s="1">
        <v>9999.0</v>
      </c>
      <c r="AE984" s="1">
        <v>1.0</v>
      </c>
      <c r="AF984" s="1" t="s">
        <v>18902</v>
      </c>
      <c r="AG984" s="121">
        <v>8831.0</v>
      </c>
      <c r="AH984" s="1" t="s">
        <v>29724</v>
      </c>
      <c r="AI984" s="1" t="s">
        <v>29725</v>
      </c>
      <c r="AJ984" s="121">
        <v>985.0</v>
      </c>
    </row>
    <row r="985">
      <c r="A985" s="1" t="s">
        <v>29723</v>
      </c>
      <c r="B985" s="1" t="s">
        <v>6876</v>
      </c>
      <c r="C985" s="1" t="s">
        <v>6877</v>
      </c>
      <c r="D985" s="1" t="s">
        <v>8493</v>
      </c>
      <c r="E985" s="147">
        <v>43907.0</v>
      </c>
      <c r="F985" s="1" t="s">
        <v>29726</v>
      </c>
      <c r="G985" s="1">
        <v>58.0</v>
      </c>
      <c r="H985" s="1">
        <v>1.0</v>
      </c>
      <c r="I985" s="1">
        <v>7.0</v>
      </c>
      <c r="L985" s="1" t="s">
        <v>6138</v>
      </c>
      <c r="M985" s="1" t="s">
        <v>6138</v>
      </c>
      <c r="N985" s="154">
        <v>43832.0</v>
      </c>
      <c r="O985" s="1">
        <v>1.0</v>
      </c>
      <c r="P985" s="1">
        <v>1.0</v>
      </c>
      <c r="R985" s="1" t="s">
        <v>29714</v>
      </c>
      <c r="T985" s="147">
        <v>43906.0</v>
      </c>
      <c r="U985" s="1">
        <v>9999.0</v>
      </c>
      <c r="V985" s="1">
        <v>9999.0</v>
      </c>
      <c r="Y985" s="147">
        <v>43906.0</v>
      </c>
      <c r="Z985" s="1">
        <v>9999.0</v>
      </c>
      <c r="AA985" s="1">
        <v>9999.0</v>
      </c>
      <c r="AE985" s="1">
        <v>1.0</v>
      </c>
      <c r="AF985" s="1" t="s">
        <v>18902</v>
      </c>
      <c r="AG985" s="121">
        <v>8832.0</v>
      </c>
      <c r="AH985" s="1" t="s">
        <v>29727</v>
      </c>
      <c r="AI985" s="1" t="s">
        <v>29728</v>
      </c>
      <c r="AJ985" s="121">
        <v>986.0</v>
      </c>
    </row>
    <row r="986">
      <c r="A986" s="1" t="s">
        <v>29729</v>
      </c>
      <c r="B986" s="1" t="s">
        <v>6876</v>
      </c>
      <c r="C986" s="1" t="s">
        <v>6877</v>
      </c>
      <c r="D986" s="1" t="s">
        <v>8493</v>
      </c>
      <c r="E986" s="147">
        <v>43907.0</v>
      </c>
      <c r="F986" s="1" t="s">
        <v>29730</v>
      </c>
      <c r="G986" s="1">
        <v>58.0</v>
      </c>
      <c r="H986" s="1">
        <v>1.0</v>
      </c>
      <c r="I986" s="1">
        <v>99.0</v>
      </c>
      <c r="L986" s="1" t="s">
        <v>6145</v>
      </c>
      <c r="M986" s="1" t="s">
        <v>6145</v>
      </c>
      <c r="N986" s="154">
        <v>43832.0</v>
      </c>
      <c r="O986" s="1">
        <v>1.0</v>
      </c>
      <c r="P986" s="1">
        <v>1.0</v>
      </c>
      <c r="R986" s="1" t="s">
        <v>29714</v>
      </c>
      <c r="T986" s="147">
        <v>43906.0</v>
      </c>
      <c r="U986" s="1">
        <v>9999.0</v>
      </c>
      <c r="V986" s="1">
        <v>9999.0</v>
      </c>
      <c r="Y986" s="147">
        <v>43906.0</v>
      </c>
      <c r="Z986" s="1">
        <v>9999.0</v>
      </c>
      <c r="AA986" s="1">
        <v>9999.0</v>
      </c>
      <c r="AD986" s="1" t="s">
        <v>29731</v>
      </c>
      <c r="AE986" s="1">
        <v>1.0</v>
      </c>
      <c r="AF986" s="1" t="s">
        <v>18902</v>
      </c>
      <c r="AG986" s="121">
        <v>8833.0</v>
      </c>
      <c r="AH986" s="1" t="s">
        <v>29732</v>
      </c>
      <c r="AI986" s="1" t="s">
        <v>29733</v>
      </c>
      <c r="AJ986" s="121">
        <v>987.0</v>
      </c>
    </row>
    <row r="987">
      <c r="A987" s="1" t="s">
        <v>29730</v>
      </c>
      <c r="B987" s="1" t="s">
        <v>6876</v>
      </c>
      <c r="C987" s="1" t="s">
        <v>6877</v>
      </c>
      <c r="D987" s="1" t="s">
        <v>8493</v>
      </c>
      <c r="E987" s="147">
        <v>43907.0</v>
      </c>
      <c r="F987" s="1" t="s">
        <v>29734</v>
      </c>
      <c r="G987" s="1">
        <v>59.0</v>
      </c>
      <c r="H987" s="1">
        <v>1.0</v>
      </c>
      <c r="I987" s="1">
        <v>11.0</v>
      </c>
      <c r="L987" s="1" t="s">
        <v>6229</v>
      </c>
      <c r="M987" s="1" t="s">
        <v>6229</v>
      </c>
      <c r="N987" s="154">
        <v>43832.0</v>
      </c>
      <c r="O987" s="1">
        <v>1.0</v>
      </c>
      <c r="P987" s="1">
        <v>1.0</v>
      </c>
      <c r="R987" s="1" t="s">
        <v>29714</v>
      </c>
      <c r="T987" s="147">
        <v>43906.0</v>
      </c>
      <c r="U987" s="1">
        <v>9999.0</v>
      </c>
      <c r="V987" s="1">
        <v>9999.0</v>
      </c>
      <c r="Y987" s="147">
        <v>43906.0</v>
      </c>
      <c r="Z987" s="1">
        <v>9999.0</v>
      </c>
      <c r="AA987" s="1">
        <v>9999.0</v>
      </c>
      <c r="AE987" s="1">
        <v>1.0</v>
      </c>
      <c r="AF987" s="1" t="s">
        <v>18902</v>
      </c>
      <c r="AG987" s="121">
        <v>8834.0</v>
      </c>
      <c r="AH987" s="1" t="s">
        <v>29735</v>
      </c>
      <c r="AI987" s="1" t="s">
        <v>29736</v>
      </c>
      <c r="AJ987" s="121">
        <v>988.0</v>
      </c>
    </row>
    <row r="988">
      <c r="A988" s="1" t="s">
        <v>29734</v>
      </c>
      <c r="B988" s="1" t="s">
        <v>6876</v>
      </c>
      <c r="C988" s="1" t="s">
        <v>6877</v>
      </c>
      <c r="D988" s="1" t="s">
        <v>8493</v>
      </c>
      <c r="E988" s="147">
        <v>43907.0</v>
      </c>
      <c r="F988" s="1" t="s">
        <v>29737</v>
      </c>
      <c r="G988" s="1">
        <v>59.0</v>
      </c>
      <c r="H988" s="1">
        <v>1.0</v>
      </c>
      <c r="I988" s="1">
        <v>11.0</v>
      </c>
      <c r="L988" s="1" t="s">
        <v>6243</v>
      </c>
      <c r="M988" s="1" t="s">
        <v>6243</v>
      </c>
      <c r="N988" s="154">
        <v>43832.0</v>
      </c>
      <c r="O988" s="1">
        <v>1.0</v>
      </c>
      <c r="P988" s="1">
        <v>1.0</v>
      </c>
      <c r="R988" s="1" t="s">
        <v>29714</v>
      </c>
      <c r="T988" s="147">
        <v>43906.0</v>
      </c>
      <c r="U988" s="1">
        <v>9999.0</v>
      </c>
      <c r="V988" s="1">
        <v>9999.0</v>
      </c>
      <c r="Y988" s="147">
        <v>43906.0</v>
      </c>
      <c r="Z988" s="1">
        <v>9999.0</v>
      </c>
      <c r="AA988" s="1">
        <v>9999.0</v>
      </c>
      <c r="AE988" s="1">
        <v>1.0</v>
      </c>
      <c r="AF988" s="1" t="s">
        <v>18902</v>
      </c>
      <c r="AG988" s="121">
        <v>8835.0</v>
      </c>
      <c r="AH988" s="1" t="s">
        <v>29738</v>
      </c>
      <c r="AI988" s="1" t="s">
        <v>29739</v>
      </c>
      <c r="AJ988" s="121">
        <v>989.0</v>
      </c>
    </row>
    <row r="989">
      <c r="A989" s="1" t="s">
        <v>29737</v>
      </c>
      <c r="B989" s="1" t="s">
        <v>6876</v>
      </c>
      <c r="C989" s="1" t="s">
        <v>6877</v>
      </c>
      <c r="D989" s="1" t="s">
        <v>8493</v>
      </c>
      <c r="E989" s="147">
        <v>43907.0</v>
      </c>
      <c r="F989" s="1" t="s">
        <v>29740</v>
      </c>
      <c r="G989" s="1">
        <v>59.0</v>
      </c>
      <c r="H989" s="1">
        <v>1.0</v>
      </c>
      <c r="I989" s="1">
        <v>99.0</v>
      </c>
      <c r="L989" s="1" t="s">
        <v>6250</v>
      </c>
      <c r="M989" s="1" t="s">
        <v>6250</v>
      </c>
      <c r="N989" s="154">
        <v>43832.0</v>
      </c>
      <c r="O989" s="1">
        <v>1.0</v>
      </c>
      <c r="P989" s="1">
        <v>1.0</v>
      </c>
      <c r="R989" s="1" t="s">
        <v>29714</v>
      </c>
      <c r="T989" s="147">
        <v>43906.0</v>
      </c>
      <c r="U989" s="1">
        <v>9999.0</v>
      </c>
      <c r="V989" s="1">
        <v>9999.0</v>
      </c>
      <c r="Y989" s="147">
        <v>43906.0</v>
      </c>
      <c r="Z989" s="1">
        <v>9999.0</v>
      </c>
      <c r="AA989" s="1">
        <v>9999.0</v>
      </c>
      <c r="AD989" s="1" t="s">
        <v>29741</v>
      </c>
      <c r="AE989" s="1">
        <v>1.0</v>
      </c>
      <c r="AF989" s="1" t="s">
        <v>18902</v>
      </c>
      <c r="AG989" s="121">
        <v>8836.0</v>
      </c>
      <c r="AH989" s="1" t="s">
        <v>29742</v>
      </c>
      <c r="AI989" s="1" t="s">
        <v>29743</v>
      </c>
      <c r="AJ989" s="121">
        <v>990.0</v>
      </c>
    </row>
    <row r="990">
      <c r="A990" s="1" t="s">
        <v>29740</v>
      </c>
      <c r="B990" s="1" t="s">
        <v>6876</v>
      </c>
      <c r="C990" s="1" t="s">
        <v>6877</v>
      </c>
      <c r="D990" s="1" t="s">
        <v>8493</v>
      </c>
      <c r="E990" s="147">
        <v>43907.0</v>
      </c>
      <c r="F990" s="1" t="s">
        <v>29744</v>
      </c>
      <c r="G990" s="1">
        <v>68.0</v>
      </c>
      <c r="H990" s="1">
        <v>1.0</v>
      </c>
      <c r="I990" s="1">
        <v>16.0</v>
      </c>
      <c r="L990" s="1" t="s">
        <v>6262</v>
      </c>
      <c r="M990" s="1" t="s">
        <v>6262</v>
      </c>
      <c r="N990" s="154">
        <v>43832.0</v>
      </c>
      <c r="O990" s="1">
        <v>1.0</v>
      </c>
      <c r="P990" s="1">
        <v>1.0</v>
      </c>
      <c r="R990" s="1" t="s">
        <v>29714</v>
      </c>
      <c r="T990" s="147">
        <v>43906.0</v>
      </c>
      <c r="U990" s="1">
        <v>32.55</v>
      </c>
      <c r="V990" s="1">
        <v>31.97</v>
      </c>
      <c r="Y990" s="147">
        <v>43906.0</v>
      </c>
      <c r="Z990" s="1">
        <v>35.04</v>
      </c>
      <c r="AA990" s="1">
        <v>35.96</v>
      </c>
      <c r="AE990" s="1">
        <v>1.0</v>
      </c>
      <c r="AF990" s="1" t="s">
        <v>18902</v>
      </c>
      <c r="AG990" s="121">
        <v>8837.0</v>
      </c>
      <c r="AH990" s="1" t="s">
        <v>29745</v>
      </c>
      <c r="AI990" s="1" t="s">
        <v>29746</v>
      </c>
      <c r="AJ990" s="121">
        <v>991.0</v>
      </c>
    </row>
    <row r="991">
      <c r="A991" s="1" t="s">
        <v>29744</v>
      </c>
      <c r="B991" s="1" t="s">
        <v>6876</v>
      </c>
      <c r="C991" s="1" t="s">
        <v>6877</v>
      </c>
      <c r="D991" s="1" t="s">
        <v>8493</v>
      </c>
      <c r="E991" s="147">
        <v>43907.0</v>
      </c>
      <c r="F991" s="1" t="s">
        <v>29747</v>
      </c>
      <c r="G991" s="1">
        <v>110.0</v>
      </c>
      <c r="H991" s="1">
        <v>1.0</v>
      </c>
      <c r="I991" s="1">
        <v>12.0</v>
      </c>
      <c r="L991" s="1" t="s">
        <v>6165</v>
      </c>
      <c r="M991" s="1" t="s">
        <v>6165</v>
      </c>
      <c r="N991" s="154">
        <v>43832.0</v>
      </c>
      <c r="O991" s="1">
        <v>1.0</v>
      </c>
      <c r="P991" s="1">
        <v>1.0</v>
      </c>
      <c r="R991" s="1" t="s">
        <v>29714</v>
      </c>
      <c r="T991" s="147">
        <v>43906.0</v>
      </c>
      <c r="U991" s="1">
        <v>9999.0</v>
      </c>
      <c r="V991" s="1">
        <v>9999.0</v>
      </c>
      <c r="Y991" s="147">
        <v>43906.0</v>
      </c>
      <c r="Z991" s="1">
        <v>9999.0</v>
      </c>
      <c r="AA991" s="1">
        <v>9999.0</v>
      </c>
      <c r="AE991" s="1">
        <v>1.0</v>
      </c>
      <c r="AF991" s="1" t="s">
        <v>18902</v>
      </c>
      <c r="AG991" s="121">
        <v>8838.0</v>
      </c>
      <c r="AH991" s="1" t="s">
        <v>29748</v>
      </c>
      <c r="AI991" s="1" t="s">
        <v>29749</v>
      </c>
      <c r="AJ991" s="121">
        <v>992.0</v>
      </c>
    </row>
    <row r="992">
      <c r="A992" s="1" t="s">
        <v>29750</v>
      </c>
      <c r="B992" s="1" t="s">
        <v>6876</v>
      </c>
      <c r="C992" s="1" t="s">
        <v>6877</v>
      </c>
      <c r="D992" s="1" t="s">
        <v>8493</v>
      </c>
      <c r="E992" s="147">
        <v>43907.0</v>
      </c>
      <c r="F992" s="1" t="s">
        <v>29751</v>
      </c>
      <c r="G992" s="1">
        <v>104.0</v>
      </c>
      <c r="H992" s="1">
        <v>1.0</v>
      </c>
      <c r="I992" s="1">
        <v>12.0</v>
      </c>
      <c r="L992" s="1" t="s">
        <v>6182</v>
      </c>
      <c r="M992" s="1" t="s">
        <v>6182</v>
      </c>
      <c r="N992" s="154">
        <v>43832.0</v>
      </c>
      <c r="O992" s="1">
        <v>1.0</v>
      </c>
      <c r="P992" s="1">
        <v>1.0</v>
      </c>
      <c r="R992" s="1" t="s">
        <v>29714</v>
      </c>
      <c r="T992" s="147">
        <v>43906.0</v>
      </c>
      <c r="U992" s="1">
        <v>9999.0</v>
      </c>
      <c r="V992" s="1">
        <v>9999.0</v>
      </c>
      <c r="Y992" s="147">
        <v>43906.0</v>
      </c>
      <c r="Z992" s="1">
        <v>9999.0</v>
      </c>
      <c r="AA992" s="1">
        <v>9999.0</v>
      </c>
      <c r="AE992" s="1">
        <v>1.0</v>
      </c>
      <c r="AF992" s="1" t="s">
        <v>18902</v>
      </c>
      <c r="AG992" s="121">
        <v>8839.0</v>
      </c>
      <c r="AH992" s="1" t="s">
        <v>29752</v>
      </c>
      <c r="AI992" s="1" t="s">
        <v>29753</v>
      </c>
      <c r="AJ992" s="121">
        <v>993.0</v>
      </c>
    </row>
    <row r="993">
      <c r="A993" s="1" t="s">
        <v>29751</v>
      </c>
      <c r="B993" s="1" t="s">
        <v>6876</v>
      </c>
      <c r="C993" s="1" t="s">
        <v>6877</v>
      </c>
      <c r="D993" s="1" t="s">
        <v>8493</v>
      </c>
      <c r="E993" s="147">
        <v>43907.0</v>
      </c>
      <c r="F993" s="1" t="s">
        <v>29754</v>
      </c>
      <c r="G993" s="1">
        <v>66.0</v>
      </c>
      <c r="H993" s="1">
        <v>1.0</v>
      </c>
      <c r="I993" s="1">
        <v>12.0</v>
      </c>
      <c r="L993" s="1" t="s">
        <v>6190</v>
      </c>
      <c r="M993" s="1" t="s">
        <v>6190</v>
      </c>
      <c r="N993" s="154">
        <v>43832.0</v>
      </c>
      <c r="O993" s="1">
        <v>1.0</v>
      </c>
      <c r="P993" s="1">
        <v>1.0</v>
      </c>
      <c r="R993" s="1" t="s">
        <v>29714</v>
      </c>
      <c r="T993" s="147">
        <v>43906.0</v>
      </c>
      <c r="U993" s="1">
        <v>9999.0</v>
      </c>
      <c r="V993" s="1">
        <v>9999.0</v>
      </c>
      <c r="Y993" s="147">
        <v>43906.0</v>
      </c>
      <c r="Z993" s="1">
        <v>34.29</v>
      </c>
      <c r="AA993" s="1">
        <v>34.23</v>
      </c>
      <c r="AE993" s="1">
        <v>1.0</v>
      </c>
      <c r="AF993" s="1" t="s">
        <v>18902</v>
      </c>
      <c r="AG993" s="121">
        <v>8840.0</v>
      </c>
      <c r="AH993" s="1" t="s">
        <v>29755</v>
      </c>
      <c r="AI993" s="1" t="s">
        <v>29756</v>
      </c>
      <c r="AJ993" s="121">
        <v>994.0</v>
      </c>
    </row>
    <row r="994">
      <c r="A994" s="1" t="s">
        <v>29754</v>
      </c>
      <c r="B994" s="1" t="s">
        <v>6876</v>
      </c>
      <c r="C994" s="1" t="s">
        <v>6877</v>
      </c>
      <c r="D994" s="1" t="s">
        <v>8493</v>
      </c>
      <c r="E994" s="147">
        <v>43907.0</v>
      </c>
      <c r="F994" s="1" t="s">
        <v>29757</v>
      </c>
      <c r="G994" s="1">
        <v>59.0</v>
      </c>
      <c r="H994" s="1">
        <v>1.0</v>
      </c>
      <c r="I994" s="1">
        <v>12.0</v>
      </c>
      <c r="L994" s="1" t="s">
        <v>6198</v>
      </c>
      <c r="M994" s="1" t="s">
        <v>6198</v>
      </c>
      <c r="N994" s="154">
        <v>43832.0</v>
      </c>
      <c r="O994" s="1">
        <v>1.0</v>
      </c>
      <c r="P994" s="1">
        <v>1.0</v>
      </c>
      <c r="R994" s="1" t="s">
        <v>29714</v>
      </c>
      <c r="T994" s="147">
        <v>43906.0</v>
      </c>
      <c r="U994" s="1">
        <v>25.19</v>
      </c>
      <c r="V994" s="1">
        <v>25.01</v>
      </c>
      <c r="Y994" s="147">
        <v>43906.0</v>
      </c>
      <c r="Z994" s="1">
        <v>37.15</v>
      </c>
      <c r="AA994" s="1">
        <v>35.23</v>
      </c>
      <c r="AE994" s="1">
        <v>1.0</v>
      </c>
      <c r="AF994" s="1" t="s">
        <v>18902</v>
      </c>
      <c r="AG994" s="121">
        <v>8841.0</v>
      </c>
      <c r="AH994" s="1" t="s">
        <v>29758</v>
      </c>
      <c r="AI994" s="1" t="s">
        <v>29759</v>
      </c>
      <c r="AJ994" s="121">
        <v>995.0</v>
      </c>
    </row>
    <row r="995">
      <c r="A995" s="1" t="s">
        <v>29757</v>
      </c>
      <c r="B995" s="1" t="s">
        <v>6876</v>
      </c>
      <c r="C995" s="1" t="s">
        <v>6877</v>
      </c>
      <c r="D995" s="1" t="s">
        <v>8493</v>
      </c>
      <c r="E995" s="147">
        <v>43907.0</v>
      </c>
      <c r="F995" s="1" t="s">
        <v>29760</v>
      </c>
      <c r="G995" s="1">
        <v>65.0</v>
      </c>
      <c r="H995" s="1">
        <v>1.0</v>
      </c>
      <c r="I995" s="1">
        <v>12.0</v>
      </c>
      <c r="L995" s="1" t="s">
        <v>6206</v>
      </c>
      <c r="M995" s="1" t="s">
        <v>6206</v>
      </c>
      <c r="N995" s="154">
        <v>43832.0</v>
      </c>
      <c r="O995" s="1">
        <v>1.0</v>
      </c>
      <c r="P995" s="1">
        <v>1.0</v>
      </c>
      <c r="R995" s="1" t="s">
        <v>29714</v>
      </c>
      <c r="T995" s="147">
        <v>43906.0</v>
      </c>
      <c r="U995" s="1">
        <v>25.14</v>
      </c>
      <c r="V995" s="1">
        <v>25.62</v>
      </c>
      <c r="Y995" s="147">
        <v>43906.0</v>
      </c>
      <c r="Z995" s="1">
        <v>32.1</v>
      </c>
      <c r="AA995" s="1">
        <v>32.3</v>
      </c>
      <c r="AE995" s="1">
        <v>1.0</v>
      </c>
      <c r="AF995" s="1" t="s">
        <v>18902</v>
      </c>
      <c r="AG995" s="121">
        <v>8842.0</v>
      </c>
      <c r="AH995" s="1" t="s">
        <v>29761</v>
      </c>
      <c r="AI995" s="1" t="s">
        <v>29762</v>
      </c>
      <c r="AJ995" s="121">
        <v>996.0</v>
      </c>
    </row>
    <row r="996">
      <c r="A996" s="1" t="s">
        <v>29760</v>
      </c>
      <c r="B996" s="1" t="s">
        <v>6876</v>
      </c>
      <c r="C996" s="1" t="s">
        <v>6877</v>
      </c>
      <c r="D996" s="1" t="s">
        <v>8493</v>
      </c>
      <c r="E996" s="147">
        <v>43907.0</v>
      </c>
      <c r="F996" s="1" t="s">
        <v>29763</v>
      </c>
      <c r="G996" s="1">
        <v>65.0</v>
      </c>
      <c r="H996" s="1">
        <v>1.0</v>
      </c>
      <c r="I996" s="1">
        <v>99.0</v>
      </c>
      <c r="L996" s="1" t="s">
        <v>6215</v>
      </c>
      <c r="M996" s="1" t="s">
        <v>6215</v>
      </c>
      <c r="N996" s="154">
        <v>43832.0</v>
      </c>
      <c r="O996" s="1">
        <v>1.0</v>
      </c>
      <c r="P996" s="1">
        <v>1.0</v>
      </c>
      <c r="R996" s="1" t="s">
        <v>29714</v>
      </c>
      <c r="T996" s="147">
        <v>43906.0</v>
      </c>
      <c r="U996" s="1">
        <v>9999.0</v>
      </c>
      <c r="V996" s="1">
        <v>9999.0</v>
      </c>
      <c r="Y996" s="147">
        <v>43906.0</v>
      </c>
      <c r="Z996" s="1">
        <v>9999.0</v>
      </c>
      <c r="AA996" s="1">
        <v>9999.0</v>
      </c>
      <c r="AD996" s="1" t="s">
        <v>29764</v>
      </c>
      <c r="AE996" s="1">
        <v>1.0</v>
      </c>
      <c r="AF996" s="1" t="s">
        <v>18902</v>
      </c>
      <c r="AG996" s="121">
        <v>8843.0</v>
      </c>
      <c r="AH996" s="1" t="s">
        <v>29765</v>
      </c>
      <c r="AI996" s="1" t="s">
        <v>29766</v>
      </c>
      <c r="AJ996" s="121">
        <v>997.0</v>
      </c>
    </row>
    <row r="997">
      <c r="A997" s="1" t="s">
        <v>29767</v>
      </c>
      <c r="B997" s="1" t="s">
        <v>6876</v>
      </c>
      <c r="C997" s="1" t="s">
        <v>6877</v>
      </c>
      <c r="D997" s="1" t="s">
        <v>8493</v>
      </c>
      <c r="E997" s="147">
        <v>43907.0</v>
      </c>
      <c r="F997" s="1" t="s">
        <v>29768</v>
      </c>
      <c r="G997" s="1">
        <v>33.0</v>
      </c>
      <c r="H997" s="1">
        <v>1.0</v>
      </c>
      <c r="I997" s="1">
        <v>98.0</v>
      </c>
      <c r="L997" s="1" t="s">
        <v>29769</v>
      </c>
      <c r="M997" s="1" t="s">
        <v>29769</v>
      </c>
      <c r="N997" s="154">
        <v>43832.0</v>
      </c>
      <c r="O997" s="1">
        <v>1.0</v>
      </c>
      <c r="P997" s="1">
        <v>1.0</v>
      </c>
      <c r="R997" s="1" t="s">
        <v>29714</v>
      </c>
      <c r="T997" s="147">
        <v>43906.0</v>
      </c>
      <c r="U997" s="1">
        <v>9999.0</v>
      </c>
      <c r="V997" s="1">
        <v>9999.0</v>
      </c>
      <c r="Y997" s="147">
        <v>43906.0</v>
      </c>
      <c r="Z997" s="1">
        <v>9999.0</v>
      </c>
      <c r="AA997" s="1">
        <v>9999.0</v>
      </c>
      <c r="AE997" s="1">
        <v>1.0</v>
      </c>
      <c r="AF997" s="1" t="s">
        <v>18902</v>
      </c>
      <c r="AG997" s="121">
        <v>8844.0</v>
      </c>
      <c r="AH997" s="1" t="s">
        <v>29770</v>
      </c>
      <c r="AI997" s="1" t="s">
        <v>29771</v>
      </c>
      <c r="AJ997" s="121">
        <v>998.0</v>
      </c>
    </row>
    <row r="998"/>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8.29"/>
    <col customWidth="1" min="2" max="2" width="19.86"/>
    <col customWidth="1" min="3" max="3" width="17.14"/>
    <col customWidth="1" min="4" max="4" width="37.0"/>
    <col customWidth="1" min="5" max="5" width="28.29"/>
    <col customWidth="1" min="6" max="6" width="8.71"/>
    <col customWidth="1" min="7" max="7" width="16.0"/>
    <col customWidth="1" min="8" max="8" width="15.14"/>
    <col customWidth="1" min="9" max="10" width="10.57"/>
    <col customWidth="1" min="11" max="14" width="28.29"/>
    <col customWidth="1" min="15" max="15" width="12.86"/>
    <col customWidth="1" min="16" max="16" width="12.43"/>
    <col customWidth="1" min="17" max="17" width="10.43"/>
    <col customWidth="1" min="18" max="18" width="84.43"/>
    <col customWidth="1" min="19" max="19" width="9.29"/>
    <col customWidth="1" min="20" max="20" width="25.71"/>
    <col customWidth="1" min="21" max="21" width="5.29"/>
    <col customWidth="1" min="22" max="22" width="37.0"/>
    <col customWidth="1" min="23" max="23" width="19.0"/>
    <col customWidth="1" min="24" max="24" width="6.57"/>
    <col customWidth="1" min="25" max="26" width="8.71"/>
  </cols>
  <sheetData>
    <row r="1">
      <c r="A1" s="23" t="s">
        <v>6827</v>
      </c>
      <c r="B1" s="23" t="s">
        <v>2187</v>
      </c>
      <c r="C1" s="23" t="s">
        <v>2188</v>
      </c>
      <c r="D1" s="23" t="s">
        <v>2189</v>
      </c>
      <c r="E1" s="23" t="s">
        <v>6831</v>
      </c>
      <c r="F1" s="23" t="s">
        <v>6832</v>
      </c>
      <c r="G1" s="23" t="s">
        <v>6834</v>
      </c>
      <c r="H1" s="23" t="s">
        <v>6835</v>
      </c>
      <c r="I1" s="23" t="s">
        <v>1274</v>
      </c>
      <c r="J1" s="23" t="s">
        <v>6842</v>
      </c>
      <c r="K1" s="23" t="s">
        <v>6844</v>
      </c>
      <c r="L1" s="23" t="s">
        <v>21931</v>
      </c>
      <c r="M1" s="23" t="s">
        <v>21933</v>
      </c>
      <c r="N1" s="23" t="s">
        <v>21934</v>
      </c>
      <c r="O1" s="23" t="s">
        <v>21935</v>
      </c>
      <c r="P1" s="23" t="s">
        <v>14443</v>
      </c>
      <c r="Q1" s="23" t="s">
        <v>6867</v>
      </c>
      <c r="R1" s="23" t="s">
        <v>6868</v>
      </c>
      <c r="S1" s="23" t="s">
        <v>6869</v>
      </c>
      <c r="T1" s="23" t="s">
        <v>2267</v>
      </c>
      <c r="U1" s="23" t="s">
        <v>2268</v>
      </c>
      <c r="V1" s="23" t="s">
        <v>2269</v>
      </c>
      <c r="W1" s="23" t="s">
        <v>2270</v>
      </c>
      <c r="X1" s="23" t="s">
        <v>2271</v>
      </c>
    </row>
    <row r="2">
      <c r="A2" s="23" t="s">
        <v>21938</v>
      </c>
      <c r="B2" s="23" t="s">
        <v>6876</v>
      </c>
      <c r="C2" s="23" t="s">
        <v>6877</v>
      </c>
      <c r="D2" s="23" t="s">
        <v>6878</v>
      </c>
      <c r="E2" s="23" t="s">
        <v>21939</v>
      </c>
      <c r="F2" s="23" t="s">
        <v>21940</v>
      </c>
      <c r="G2" s="23" t="s">
        <v>21941</v>
      </c>
      <c r="H2" s="23" t="s">
        <v>21942</v>
      </c>
      <c r="I2" s="23" t="s">
        <v>6890</v>
      </c>
      <c r="J2" s="23" t="s">
        <v>6890</v>
      </c>
      <c r="K2" s="23" t="s">
        <v>6891</v>
      </c>
      <c r="L2" s="23" t="s">
        <v>21944</v>
      </c>
      <c r="M2" s="23" t="s">
        <v>21945</v>
      </c>
      <c r="N2" s="23" t="s">
        <v>21946</v>
      </c>
      <c r="O2" s="23" t="s">
        <v>21941</v>
      </c>
      <c r="P2" s="23" t="s">
        <v>21947</v>
      </c>
      <c r="Q2" s="23" t="s">
        <v>21948</v>
      </c>
      <c r="R2" s="23" t="s">
        <v>21949</v>
      </c>
      <c r="S2" s="23" t="s">
        <v>21950</v>
      </c>
      <c r="T2" s="23" t="s">
        <v>21951</v>
      </c>
      <c r="U2" s="23">
        <v>2752.0</v>
      </c>
      <c r="V2" s="23" t="s">
        <v>21952</v>
      </c>
      <c r="W2" s="23" t="s">
        <v>21953</v>
      </c>
      <c r="X2" s="23">
        <v>1.0</v>
      </c>
    </row>
    <row r="3">
      <c r="A3" s="23" t="s">
        <v>21954</v>
      </c>
      <c r="B3" s="23" t="s">
        <v>6876</v>
      </c>
      <c r="C3" s="23" t="s">
        <v>6877</v>
      </c>
      <c r="D3" s="23" t="s">
        <v>6878</v>
      </c>
      <c r="E3" s="23" t="s">
        <v>21955</v>
      </c>
      <c r="F3" s="23" t="s">
        <v>21956</v>
      </c>
      <c r="G3" s="23" t="s">
        <v>21941</v>
      </c>
      <c r="H3" s="23" t="s">
        <v>21957</v>
      </c>
      <c r="I3" s="23" t="s">
        <v>21958</v>
      </c>
      <c r="J3" s="23" t="s">
        <v>21958</v>
      </c>
      <c r="K3" s="23" t="s">
        <v>10340</v>
      </c>
      <c r="L3" s="23" t="s">
        <v>21959</v>
      </c>
      <c r="M3" s="23" t="s">
        <v>21960</v>
      </c>
      <c r="N3" s="23" t="s">
        <v>21961</v>
      </c>
      <c r="O3" s="23" t="s">
        <v>21941</v>
      </c>
      <c r="P3" s="23" t="s">
        <v>21947</v>
      </c>
      <c r="Q3" s="23" t="s">
        <v>21948</v>
      </c>
      <c r="R3" s="23" t="s">
        <v>21948</v>
      </c>
      <c r="S3" s="23" t="s">
        <v>21950</v>
      </c>
      <c r="T3" s="23" t="s">
        <v>21951</v>
      </c>
      <c r="U3" s="23">
        <v>2753.0</v>
      </c>
      <c r="V3" s="23" t="s">
        <v>21964</v>
      </c>
      <c r="W3" s="23" t="s">
        <v>21965</v>
      </c>
      <c r="X3" s="23">
        <v>2.0</v>
      </c>
    </row>
    <row r="4">
      <c r="A4" s="23" t="s">
        <v>21955</v>
      </c>
      <c r="B4" s="23" t="s">
        <v>6876</v>
      </c>
      <c r="C4" s="23" t="s">
        <v>6877</v>
      </c>
      <c r="D4" s="23" t="s">
        <v>6878</v>
      </c>
      <c r="E4" s="23" t="s">
        <v>21966</v>
      </c>
      <c r="F4" s="23" t="s">
        <v>21956</v>
      </c>
      <c r="G4" s="23" t="s">
        <v>21941</v>
      </c>
      <c r="H4" s="23" t="s">
        <v>21957</v>
      </c>
      <c r="I4" s="23" t="s">
        <v>21967</v>
      </c>
      <c r="J4" s="23" t="s">
        <v>21967</v>
      </c>
      <c r="K4" s="23" t="s">
        <v>21969</v>
      </c>
      <c r="L4" s="23" t="s">
        <v>21959</v>
      </c>
      <c r="M4" s="23" t="s">
        <v>21960</v>
      </c>
      <c r="N4" s="23" t="s">
        <v>21961</v>
      </c>
      <c r="O4" s="23" t="s">
        <v>21941</v>
      </c>
      <c r="P4" s="23" t="s">
        <v>21947</v>
      </c>
      <c r="Q4" s="23" t="s">
        <v>21948</v>
      </c>
      <c r="R4" s="23" t="s">
        <v>21948</v>
      </c>
      <c r="S4" s="23" t="s">
        <v>21972</v>
      </c>
      <c r="T4" s="23" t="s">
        <v>21951</v>
      </c>
      <c r="U4" s="23">
        <v>2754.0</v>
      </c>
      <c r="V4" s="23" t="s">
        <v>21973</v>
      </c>
      <c r="W4" s="23" t="s">
        <v>21974</v>
      </c>
      <c r="X4" s="23">
        <v>3.0</v>
      </c>
    </row>
    <row r="5">
      <c r="A5" s="23" t="s">
        <v>21975</v>
      </c>
      <c r="B5" s="23" t="s">
        <v>6876</v>
      </c>
      <c r="C5" s="23" t="s">
        <v>6877</v>
      </c>
      <c r="D5" s="23" t="s">
        <v>6878</v>
      </c>
      <c r="E5" s="23" t="s">
        <v>21977</v>
      </c>
      <c r="F5" s="23" t="s">
        <v>21940</v>
      </c>
      <c r="G5" s="23" t="s">
        <v>21978</v>
      </c>
      <c r="H5" s="23" t="s">
        <v>21942</v>
      </c>
      <c r="I5" s="23" t="s">
        <v>4587</v>
      </c>
      <c r="J5" s="23" t="s">
        <v>4587</v>
      </c>
      <c r="K5" s="23" t="s">
        <v>21979</v>
      </c>
      <c r="L5" s="23" t="s">
        <v>21980</v>
      </c>
      <c r="M5" s="23" t="s">
        <v>21981</v>
      </c>
      <c r="N5" s="23" t="s">
        <v>21982</v>
      </c>
      <c r="O5" s="23" t="s">
        <v>21941</v>
      </c>
      <c r="P5" s="23" t="s">
        <v>21983</v>
      </c>
      <c r="Q5" s="23" t="s">
        <v>21948</v>
      </c>
      <c r="R5" s="23" t="s">
        <v>21948</v>
      </c>
      <c r="S5" s="23" t="s">
        <v>6991</v>
      </c>
      <c r="T5" s="23" t="s">
        <v>21951</v>
      </c>
      <c r="U5" s="23">
        <v>2782.0</v>
      </c>
      <c r="V5" s="23" t="s">
        <v>21985</v>
      </c>
      <c r="W5" s="23" t="s">
        <v>21987</v>
      </c>
      <c r="X5" s="23">
        <v>4.0</v>
      </c>
    </row>
    <row r="6">
      <c r="A6" s="23" t="s">
        <v>21977</v>
      </c>
      <c r="B6" s="23" t="s">
        <v>6876</v>
      </c>
      <c r="C6" s="23" t="s">
        <v>6877</v>
      </c>
      <c r="D6" s="23" t="s">
        <v>6878</v>
      </c>
      <c r="E6" s="23" t="s">
        <v>21989</v>
      </c>
      <c r="F6" s="23" t="s">
        <v>21956</v>
      </c>
      <c r="G6" s="23" t="s">
        <v>21941</v>
      </c>
      <c r="H6" s="23" t="s">
        <v>21957</v>
      </c>
      <c r="I6" s="23" t="s">
        <v>280</v>
      </c>
      <c r="J6" s="23" t="s">
        <v>280</v>
      </c>
      <c r="K6" s="23" t="s">
        <v>21991</v>
      </c>
      <c r="L6" s="23" t="s">
        <v>21992</v>
      </c>
      <c r="M6" s="23" t="s">
        <v>21993</v>
      </c>
      <c r="N6" s="23" t="s">
        <v>21994</v>
      </c>
      <c r="O6" s="23" t="s">
        <v>21995</v>
      </c>
      <c r="P6" s="23" t="s">
        <v>21948</v>
      </c>
      <c r="Q6" s="23" t="s">
        <v>21948</v>
      </c>
      <c r="R6" s="23" t="s">
        <v>21948</v>
      </c>
      <c r="S6" s="23" t="s">
        <v>6991</v>
      </c>
      <c r="T6" s="23" t="s">
        <v>21951</v>
      </c>
      <c r="U6" s="23">
        <v>2790.0</v>
      </c>
      <c r="V6" s="23" t="s">
        <v>21996</v>
      </c>
      <c r="W6" s="23" t="s">
        <v>21997</v>
      </c>
      <c r="X6" s="23">
        <v>5.0</v>
      </c>
    </row>
    <row r="7">
      <c r="A7" s="23" t="s">
        <v>21989</v>
      </c>
      <c r="B7" s="23" t="s">
        <v>6876</v>
      </c>
      <c r="C7" s="23" t="s">
        <v>6877</v>
      </c>
      <c r="D7" s="23" t="s">
        <v>6878</v>
      </c>
      <c r="E7" s="23" t="s">
        <v>21998</v>
      </c>
      <c r="F7" s="23" t="s">
        <v>21956</v>
      </c>
      <c r="G7" s="23" t="s">
        <v>21941</v>
      </c>
      <c r="H7" s="23" t="s">
        <v>21957</v>
      </c>
      <c r="I7" s="23" t="s">
        <v>324</v>
      </c>
      <c r="J7" s="23" t="s">
        <v>324</v>
      </c>
      <c r="K7" s="23" t="s">
        <v>21991</v>
      </c>
      <c r="L7" s="23" t="s">
        <v>21992</v>
      </c>
      <c r="M7" s="23" t="s">
        <v>21993</v>
      </c>
      <c r="N7" s="23" t="s">
        <v>21994</v>
      </c>
      <c r="O7" s="23" t="s">
        <v>21995</v>
      </c>
      <c r="P7" s="23" t="s">
        <v>21948</v>
      </c>
      <c r="Q7" s="23" t="s">
        <v>21948</v>
      </c>
      <c r="R7" s="23" t="s">
        <v>21948</v>
      </c>
      <c r="S7" s="23" t="s">
        <v>6991</v>
      </c>
      <c r="T7" s="23" t="s">
        <v>21951</v>
      </c>
      <c r="U7" s="23">
        <v>2795.0</v>
      </c>
      <c r="V7" s="23" t="s">
        <v>22002</v>
      </c>
      <c r="W7" s="23" t="s">
        <v>22003</v>
      </c>
      <c r="X7" s="23">
        <v>6.0</v>
      </c>
    </row>
    <row r="8">
      <c r="A8" s="23" t="s">
        <v>22004</v>
      </c>
      <c r="B8" s="23" t="s">
        <v>6876</v>
      </c>
      <c r="C8" s="23" t="s">
        <v>6877</v>
      </c>
      <c r="D8" s="23" t="s">
        <v>6878</v>
      </c>
      <c r="E8" s="23" t="s">
        <v>22005</v>
      </c>
      <c r="F8" s="23" t="s">
        <v>21940</v>
      </c>
      <c r="G8" s="23" t="s">
        <v>21978</v>
      </c>
      <c r="H8" s="23" t="s">
        <v>21942</v>
      </c>
      <c r="I8" s="23" t="s">
        <v>4595</v>
      </c>
      <c r="J8" s="23" t="s">
        <v>4595</v>
      </c>
      <c r="K8" s="23" t="s">
        <v>22007</v>
      </c>
      <c r="L8" s="23" t="s">
        <v>22008</v>
      </c>
      <c r="M8" s="23" t="s">
        <v>22009</v>
      </c>
      <c r="N8" s="23" t="s">
        <v>22010</v>
      </c>
      <c r="O8" s="23" t="s">
        <v>21941</v>
      </c>
      <c r="P8" s="23" t="s">
        <v>22011</v>
      </c>
      <c r="Q8" s="23" t="s">
        <v>21948</v>
      </c>
      <c r="R8" s="23" t="s">
        <v>21948</v>
      </c>
      <c r="S8" s="23" t="s">
        <v>22012</v>
      </c>
      <c r="T8" s="23" t="s">
        <v>21951</v>
      </c>
      <c r="U8" s="23">
        <v>2803.0</v>
      </c>
      <c r="V8" s="23" t="s">
        <v>22013</v>
      </c>
      <c r="W8" s="23" t="s">
        <v>22014</v>
      </c>
      <c r="X8" s="23">
        <v>7.0</v>
      </c>
    </row>
    <row r="9">
      <c r="A9" s="23" t="s">
        <v>22005</v>
      </c>
      <c r="B9" s="23" t="s">
        <v>6876</v>
      </c>
      <c r="C9" s="23" t="s">
        <v>6877</v>
      </c>
      <c r="D9" s="23" t="s">
        <v>6878</v>
      </c>
      <c r="E9" s="23" t="s">
        <v>22015</v>
      </c>
      <c r="F9" s="23" t="s">
        <v>21940</v>
      </c>
      <c r="G9" s="23" t="s">
        <v>21978</v>
      </c>
      <c r="H9" s="23" t="s">
        <v>22016</v>
      </c>
      <c r="I9" s="51" t="s">
        <v>366</v>
      </c>
      <c r="J9" s="51" t="s">
        <v>366</v>
      </c>
      <c r="K9" s="23" t="s">
        <v>7029</v>
      </c>
      <c r="L9" s="23" t="s">
        <v>21992</v>
      </c>
      <c r="M9" s="23" t="s">
        <v>22020</v>
      </c>
      <c r="N9" s="23" t="s">
        <v>21994</v>
      </c>
      <c r="O9" s="23" t="s">
        <v>21941</v>
      </c>
      <c r="P9" s="23" t="s">
        <v>22011</v>
      </c>
      <c r="Q9" s="23" t="s">
        <v>21948</v>
      </c>
      <c r="R9" s="23" t="s">
        <v>21948</v>
      </c>
      <c r="S9" s="23" t="s">
        <v>22023</v>
      </c>
      <c r="T9" s="23" t="s">
        <v>21951</v>
      </c>
      <c r="U9" s="23">
        <v>2804.0</v>
      </c>
      <c r="V9" s="23" t="s">
        <v>22024</v>
      </c>
      <c r="W9" s="23" t="s">
        <v>22025</v>
      </c>
      <c r="X9" s="23">
        <v>8.0</v>
      </c>
    </row>
    <row r="10">
      <c r="A10" s="23" t="s">
        <v>22015</v>
      </c>
      <c r="B10" s="23" t="s">
        <v>6876</v>
      </c>
      <c r="C10" s="23" t="s">
        <v>6877</v>
      </c>
      <c r="D10" s="23" t="s">
        <v>6878</v>
      </c>
      <c r="E10" s="23" t="s">
        <v>22027</v>
      </c>
      <c r="F10" s="23" t="s">
        <v>21956</v>
      </c>
      <c r="G10" s="23" t="s">
        <v>21941</v>
      </c>
      <c r="H10" s="23" t="s">
        <v>21957</v>
      </c>
      <c r="I10" s="23" t="s">
        <v>377</v>
      </c>
      <c r="J10" s="23" t="s">
        <v>377</v>
      </c>
      <c r="K10" s="23" t="s">
        <v>22028</v>
      </c>
      <c r="L10" s="23" t="s">
        <v>22029</v>
      </c>
      <c r="M10" s="23" t="s">
        <v>22030</v>
      </c>
      <c r="N10" s="23" t="s">
        <v>22031</v>
      </c>
      <c r="O10" s="23" t="s">
        <v>21995</v>
      </c>
      <c r="P10" s="23" t="s">
        <v>21948</v>
      </c>
      <c r="Q10" s="23" t="s">
        <v>21948</v>
      </c>
      <c r="R10" s="23" t="s">
        <v>21948</v>
      </c>
      <c r="S10" s="23" t="s">
        <v>21941</v>
      </c>
      <c r="T10" s="23" t="s">
        <v>21951</v>
      </c>
      <c r="U10" s="23">
        <v>2807.0</v>
      </c>
      <c r="V10" s="23" t="s">
        <v>22032</v>
      </c>
      <c r="W10" s="23" t="s">
        <v>22033</v>
      </c>
      <c r="X10" s="23">
        <v>9.0</v>
      </c>
    </row>
    <row r="11">
      <c r="A11" s="23" t="s">
        <v>22027</v>
      </c>
      <c r="B11" s="23" t="s">
        <v>6876</v>
      </c>
      <c r="C11" s="23" t="s">
        <v>6877</v>
      </c>
      <c r="D11" s="23" t="s">
        <v>6878</v>
      </c>
      <c r="E11" s="23" t="s">
        <v>22034</v>
      </c>
      <c r="F11" s="23" t="s">
        <v>21956</v>
      </c>
      <c r="G11" s="23" t="s">
        <v>21941</v>
      </c>
      <c r="H11" s="23" t="s">
        <v>21957</v>
      </c>
      <c r="I11" s="23" t="s">
        <v>378</v>
      </c>
      <c r="J11" s="23" t="s">
        <v>378</v>
      </c>
      <c r="K11" s="23" t="s">
        <v>22035</v>
      </c>
      <c r="L11" s="23" t="s">
        <v>22029</v>
      </c>
      <c r="M11" s="23" t="s">
        <v>22030</v>
      </c>
      <c r="N11" s="23" t="s">
        <v>22031</v>
      </c>
      <c r="O11" s="23" t="s">
        <v>21995</v>
      </c>
      <c r="P11" s="23" t="s">
        <v>21948</v>
      </c>
      <c r="Q11" s="23" t="s">
        <v>21948</v>
      </c>
      <c r="R11" s="23" t="s">
        <v>21948</v>
      </c>
      <c r="S11" s="23" t="s">
        <v>6922</v>
      </c>
      <c r="T11" s="23" t="s">
        <v>21951</v>
      </c>
      <c r="U11" s="23">
        <v>2808.0</v>
      </c>
      <c r="V11" s="23" t="s">
        <v>22038</v>
      </c>
      <c r="W11" s="23" t="s">
        <v>22039</v>
      </c>
      <c r="X11" s="23">
        <v>10.0</v>
      </c>
    </row>
    <row r="12">
      <c r="A12" s="23" t="s">
        <v>22040</v>
      </c>
      <c r="B12" s="23" t="s">
        <v>6876</v>
      </c>
      <c r="C12" s="23" t="s">
        <v>6877</v>
      </c>
      <c r="D12" s="23" t="s">
        <v>6907</v>
      </c>
      <c r="E12" s="23" t="s">
        <v>22044</v>
      </c>
      <c r="F12" s="23" t="s">
        <v>21940</v>
      </c>
      <c r="G12" s="23" t="s">
        <v>21978</v>
      </c>
      <c r="H12" s="23" t="s">
        <v>21942</v>
      </c>
      <c r="I12" s="23" t="s">
        <v>4609</v>
      </c>
      <c r="J12" s="23" t="s">
        <v>4609</v>
      </c>
      <c r="K12" s="23" t="s">
        <v>22045</v>
      </c>
      <c r="L12" s="23" t="s">
        <v>22046</v>
      </c>
      <c r="M12" s="23" t="s">
        <v>22047</v>
      </c>
      <c r="N12" s="23" t="s">
        <v>22049</v>
      </c>
      <c r="O12" s="23" t="s">
        <v>21941</v>
      </c>
      <c r="P12" s="23" t="s">
        <v>22050</v>
      </c>
      <c r="Q12" s="23" t="s">
        <v>21948</v>
      </c>
      <c r="R12" s="23" t="s">
        <v>21948</v>
      </c>
      <c r="S12" s="23" t="s">
        <v>21950</v>
      </c>
      <c r="T12" s="23" t="s">
        <v>21951</v>
      </c>
      <c r="U12" s="23">
        <v>3285.0</v>
      </c>
      <c r="V12" s="23" t="s">
        <v>22051</v>
      </c>
      <c r="W12" s="23" t="s">
        <v>22052</v>
      </c>
      <c r="X12" s="23">
        <v>11.0</v>
      </c>
    </row>
    <row r="13">
      <c r="A13" s="23" t="s">
        <v>22044</v>
      </c>
      <c r="B13" s="23" t="s">
        <v>6876</v>
      </c>
      <c r="C13" s="23" t="s">
        <v>6877</v>
      </c>
      <c r="D13" s="23" t="s">
        <v>6907</v>
      </c>
      <c r="E13" s="23" t="s">
        <v>22053</v>
      </c>
      <c r="F13" s="23" t="s">
        <v>21956</v>
      </c>
      <c r="G13" s="23" t="s">
        <v>21941</v>
      </c>
      <c r="H13" s="23" t="s">
        <v>21957</v>
      </c>
      <c r="I13" s="23" t="s">
        <v>384</v>
      </c>
      <c r="J13" s="23" t="s">
        <v>384</v>
      </c>
      <c r="K13" s="23" t="s">
        <v>22054</v>
      </c>
      <c r="L13" s="23" t="s">
        <v>22055</v>
      </c>
      <c r="M13" s="23" t="s">
        <v>11578</v>
      </c>
      <c r="N13" s="23" t="s">
        <v>22056</v>
      </c>
      <c r="O13" s="23" t="s">
        <v>21941</v>
      </c>
      <c r="P13" s="23" t="s">
        <v>22050</v>
      </c>
      <c r="Q13" s="23" t="s">
        <v>21948</v>
      </c>
      <c r="R13" s="23" t="s">
        <v>21948</v>
      </c>
      <c r="S13" s="23" t="s">
        <v>22023</v>
      </c>
      <c r="T13" s="23" t="s">
        <v>21951</v>
      </c>
      <c r="U13" s="23">
        <v>3286.0</v>
      </c>
      <c r="V13" s="23" t="s">
        <v>22059</v>
      </c>
      <c r="W13" s="23" t="s">
        <v>22060</v>
      </c>
      <c r="X13" s="23">
        <v>12.0</v>
      </c>
    </row>
    <row r="14">
      <c r="A14" s="23" t="s">
        <v>22061</v>
      </c>
      <c r="B14" s="23" t="s">
        <v>6876</v>
      </c>
      <c r="C14" s="23" t="s">
        <v>6877</v>
      </c>
      <c r="D14" s="23" t="s">
        <v>6878</v>
      </c>
      <c r="E14" s="23" t="s">
        <v>22062</v>
      </c>
      <c r="F14" s="23" t="s">
        <v>21940</v>
      </c>
      <c r="G14" s="23" t="s">
        <v>21941</v>
      </c>
      <c r="H14" s="23" t="s">
        <v>22016</v>
      </c>
      <c r="I14" s="23" t="s">
        <v>448</v>
      </c>
      <c r="J14" s="23" t="s">
        <v>448</v>
      </c>
      <c r="K14" s="23" t="s">
        <v>22064</v>
      </c>
      <c r="L14" s="23" t="s">
        <v>22065</v>
      </c>
      <c r="M14" s="23" t="s">
        <v>22066</v>
      </c>
      <c r="N14" s="23" t="s">
        <v>22067</v>
      </c>
      <c r="O14" s="23" t="s">
        <v>21941</v>
      </c>
      <c r="P14" s="23" t="s">
        <v>22068</v>
      </c>
      <c r="Q14" s="23" t="s">
        <v>21948</v>
      </c>
      <c r="R14" s="23" t="s">
        <v>21948</v>
      </c>
      <c r="S14" s="23" t="s">
        <v>21941</v>
      </c>
      <c r="T14" s="23" t="s">
        <v>21951</v>
      </c>
      <c r="U14" s="23">
        <v>3287.0</v>
      </c>
      <c r="V14" s="23" t="s">
        <v>22069</v>
      </c>
      <c r="W14" s="23" t="s">
        <v>22070</v>
      </c>
      <c r="X14" s="23">
        <v>13.0</v>
      </c>
    </row>
    <row r="15">
      <c r="A15" s="23" t="s">
        <v>22062</v>
      </c>
      <c r="B15" s="23" t="s">
        <v>6876</v>
      </c>
      <c r="C15" s="23" t="s">
        <v>6877</v>
      </c>
      <c r="D15" s="23" t="s">
        <v>6878</v>
      </c>
      <c r="E15" s="23" t="s">
        <v>22071</v>
      </c>
      <c r="F15" s="23" t="s">
        <v>21940</v>
      </c>
      <c r="G15" s="23" t="s">
        <v>21941</v>
      </c>
      <c r="H15" s="23" t="s">
        <v>21942</v>
      </c>
      <c r="I15" s="23" t="s">
        <v>499</v>
      </c>
      <c r="J15" s="23" t="s">
        <v>499</v>
      </c>
      <c r="K15" s="23" t="s">
        <v>22072</v>
      </c>
      <c r="L15" s="23" t="s">
        <v>22073</v>
      </c>
      <c r="M15" s="23" t="s">
        <v>22074</v>
      </c>
      <c r="N15" s="23" t="s">
        <v>22075</v>
      </c>
      <c r="O15" s="23" t="s">
        <v>21941</v>
      </c>
      <c r="P15" s="23" t="s">
        <v>22076</v>
      </c>
      <c r="Q15" s="23" t="s">
        <v>21948</v>
      </c>
      <c r="R15" s="23" t="s">
        <v>21948</v>
      </c>
      <c r="S15" s="23" t="s">
        <v>21950</v>
      </c>
      <c r="T15" s="23" t="s">
        <v>21951</v>
      </c>
      <c r="U15" s="23">
        <v>3288.0</v>
      </c>
      <c r="V15" s="23" t="s">
        <v>22079</v>
      </c>
      <c r="W15" s="23" t="s">
        <v>22080</v>
      </c>
      <c r="X15" s="23">
        <v>14.0</v>
      </c>
    </row>
    <row r="16">
      <c r="A16" s="23" t="s">
        <v>22071</v>
      </c>
      <c r="B16" s="23" t="s">
        <v>6876</v>
      </c>
      <c r="C16" s="23" t="s">
        <v>6877</v>
      </c>
      <c r="D16" s="23" t="s">
        <v>6878</v>
      </c>
      <c r="E16" s="23" t="s">
        <v>22081</v>
      </c>
      <c r="F16" s="23" t="s">
        <v>22083</v>
      </c>
      <c r="G16" s="23" t="s">
        <v>21941</v>
      </c>
      <c r="H16" s="23" t="s">
        <v>21942</v>
      </c>
      <c r="I16" s="23" t="s">
        <v>504</v>
      </c>
      <c r="J16" s="23" t="s">
        <v>504</v>
      </c>
      <c r="K16" s="23" t="s">
        <v>22084</v>
      </c>
      <c r="L16" s="23" t="s">
        <v>22073</v>
      </c>
      <c r="M16" s="23" t="s">
        <v>22074</v>
      </c>
      <c r="N16" s="23" t="s">
        <v>22075</v>
      </c>
      <c r="O16" s="23" t="s">
        <v>21941</v>
      </c>
      <c r="P16" s="23" t="s">
        <v>22076</v>
      </c>
      <c r="Q16" s="23" t="s">
        <v>21948</v>
      </c>
      <c r="R16" s="23" t="s">
        <v>21948</v>
      </c>
      <c r="S16" s="23" t="s">
        <v>21950</v>
      </c>
      <c r="T16" s="23" t="s">
        <v>21951</v>
      </c>
      <c r="U16" s="23">
        <v>3289.0</v>
      </c>
      <c r="V16" s="23" t="s">
        <v>22085</v>
      </c>
      <c r="W16" s="23" t="s">
        <v>22086</v>
      </c>
      <c r="X16" s="23">
        <v>15.0</v>
      </c>
    </row>
    <row r="17">
      <c r="A17" s="23" t="s">
        <v>22088</v>
      </c>
      <c r="B17" s="23" t="s">
        <v>6876</v>
      </c>
      <c r="C17" s="23" t="s">
        <v>6877</v>
      </c>
      <c r="D17" s="23" t="s">
        <v>6878</v>
      </c>
      <c r="E17" s="23" t="s">
        <v>22090</v>
      </c>
      <c r="F17" s="23" t="s">
        <v>21956</v>
      </c>
      <c r="G17" s="23" t="s">
        <v>21941</v>
      </c>
      <c r="H17" s="23" t="s">
        <v>21957</v>
      </c>
      <c r="I17" s="23" t="s">
        <v>711</v>
      </c>
      <c r="J17" s="23" t="s">
        <v>711</v>
      </c>
      <c r="K17" s="23" t="s">
        <v>22092</v>
      </c>
      <c r="L17" s="23" t="s">
        <v>22093</v>
      </c>
      <c r="M17" s="23" t="s">
        <v>22094</v>
      </c>
      <c r="N17" s="23" t="s">
        <v>22096</v>
      </c>
      <c r="O17" s="23" t="s">
        <v>21995</v>
      </c>
      <c r="P17" s="23" t="s">
        <v>21948</v>
      </c>
      <c r="Q17" s="23" t="s">
        <v>21948</v>
      </c>
      <c r="R17" s="23" t="s">
        <v>21948</v>
      </c>
      <c r="S17" s="23" t="s">
        <v>21950</v>
      </c>
      <c r="T17" s="23" t="s">
        <v>21951</v>
      </c>
      <c r="U17" s="23">
        <v>3292.0</v>
      </c>
      <c r="V17" s="23" t="s">
        <v>22097</v>
      </c>
      <c r="W17" s="23" t="s">
        <v>22098</v>
      </c>
      <c r="X17" s="23">
        <v>16.0</v>
      </c>
    </row>
    <row r="18">
      <c r="A18" s="23" t="s">
        <v>22090</v>
      </c>
      <c r="B18" s="23" t="s">
        <v>6876</v>
      </c>
      <c r="C18" s="23" t="s">
        <v>6877</v>
      </c>
      <c r="D18" s="23" t="s">
        <v>6878</v>
      </c>
      <c r="E18" s="23" t="s">
        <v>22101</v>
      </c>
      <c r="F18" s="23" t="s">
        <v>21956</v>
      </c>
      <c r="G18" s="23" t="s">
        <v>21941</v>
      </c>
      <c r="H18" s="23" t="s">
        <v>21957</v>
      </c>
      <c r="I18" s="23" t="s">
        <v>716</v>
      </c>
      <c r="J18" s="23" t="s">
        <v>716</v>
      </c>
      <c r="K18" s="23" t="s">
        <v>22092</v>
      </c>
      <c r="L18" s="23" t="s">
        <v>22093</v>
      </c>
      <c r="M18" s="23" t="s">
        <v>22094</v>
      </c>
      <c r="N18" s="23" t="s">
        <v>22103</v>
      </c>
      <c r="O18" s="23" t="s">
        <v>21995</v>
      </c>
      <c r="P18" s="23" t="s">
        <v>21948</v>
      </c>
      <c r="Q18" s="23" t="s">
        <v>21948</v>
      </c>
      <c r="R18" s="23" t="s">
        <v>21948</v>
      </c>
      <c r="S18" s="23" t="s">
        <v>21950</v>
      </c>
      <c r="T18" s="23" t="s">
        <v>21951</v>
      </c>
      <c r="U18" s="23">
        <v>3293.0</v>
      </c>
      <c r="V18" s="23" t="s">
        <v>22104</v>
      </c>
      <c r="W18" s="23" t="s">
        <v>22105</v>
      </c>
      <c r="X18" s="23">
        <v>17.0</v>
      </c>
    </row>
    <row r="19">
      <c r="A19" s="23" t="s">
        <v>22101</v>
      </c>
      <c r="B19" s="23" t="s">
        <v>6876</v>
      </c>
      <c r="C19" s="23" t="s">
        <v>6877</v>
      </c>
      <c r="D19" s="23" t="s">
        <v>6878</v>
      </c>
      <c r="E19" s="23" t="s">
        <v>22106</v>
      </c>
      <c r="F19" s="23" t="s">
        <v>22107</v>
      </c>
      <c r="G19" s="23" t="s">
        <v>21941</v>
      </c>
      <c r="H19" s="23" t="s">
        <v>21957</v>
      </c>
      <c r="I19" s="23" t="s">
        <v>722</v>
      </c>
      <c r="J19" s="23" t="s">
        <v>722</v>
      </c>
      <c r="K19" s="23" t="s">
        <v>22092</v>
      </c>
      <c r="L19" s="23" t="s">
        <v>22093</v>
      </c>
      <c r="M19" s="23" t="s">
        <v>22094</v>
      </c>
      <c r="N19" s="23" t="s">
        <v>22103</v>
      </c>
      <c r="O19" s="23" t="s">
        <v>21995</v>
      </c>
      <c r="P19" s="23" t="s">
        <v>21948</v>
      </c>
      <c r="Q19" s="23" t="s">
        <v>21948</v>
      </c>
      <c r="R19" s="23" t="s">
        <v>21948</v>
      </c>
      <c r="S19" s="23" t="s">
        <v>22023</v>
      </c>
      <c r="T19" s="23" t="s">
        <v>21951</v>
      </c>
      <c r="U19" s="23">
        <v>3294.0</v>
      </c>
      <c r="V19" s="23" t="s">
        <v>22108</v>
      </c>
      <c r="W19" s="23" t="s">
        <v>22109</v>
      </c>
      <c r="X19" s="23">
        <v>18.0</v>
      </c>
    </row>
    <row r="20">
      <c r="A20" s="23" t="s">
        <v>22106</v>
      </c>
      <c r="B20" s="23" t="s">
        <v>6876</v>
      </c>
      <c r="C20" s="23" t="s">
        <v>6877</v>
      </c>
      <c r="D20" s="23" t="s">
        <v>6878</v>
      </c>
      <c r="E20" s="23" t="s">
        <v>22112</v>
      </c>
      <c r="F20" s="23" t="s">
        <v>22083</v>
      </c>
      <c r="G20" s="23" t="s">
        <v>21941</v>
      </c>
      <c r="H20" s="23" t="s">
        <v>21957</v>
      </c>
      <c r="I20" s="23" t="s">
        <v>729</v>
      </c>
      <c r="J20" s="23" t="s">
        <v>729</v>
      </c>
      <c r="K20" s="23" t="s">
        <v>22092</v>
      </c>
      <c r="L20" s="23" t="s">
        <v>22093</v>
      </c>
      <c r="M20" s="23" t="s">
        <v>22094</v>
      </c>
      <c r="N20" s="23" t="s">
        <v>22103</v>
      </c>
      <c r="O20" s="23" t="s">
        <v>21995</v>
      </c>
      <c r="P20" s="23" t="s">
        <v>21948</v>
      </c>
      <c r="Q20" s="23" t="s">
        <v>21948</v>
      </c>
      <c r="R20" s="23" t="s">
        <v>21948</v>
      </c>
      <c r="S20" s="23" t="s">
        <v>22023</v>
      </c>
      <c r="T20" s="23" t="s">
        <v>21951</v>
      </c>
      <c r="U20" s="23">
        <v>3295.0</v>
      </c>
      <c r="V20" s="23" t="s">
        <v>22114</v>
      </c>
      <c r="W20" s="23" t="s">
        <v>22115</v>
      </c>
      <c r="X20" s="23">
        <v>19.0</v>
      </c>
    </row>
    <row r="21">
      <c r="A21" s="23" t="s">
        <v>22116</v>
      </c>
      <c r="B21" s="23" t="s">
        <v>6876</v>
      </c>
      <c r="C21" s="23" t="s">
        <v>6877</v>
      </c>
      <c r="D21" s="23" t="s">
        <v>6878</v>
      </c>
      <c r="E21" s="23" t="s">
        <v>22117</v>
      </c>
      <c r="F21" s="23" t="s">
        <v>22107</v>
      </c>
      <c r="G21" s="23" t="s">
        <v>21941</v>
      </c>
      <c r="H21" s="23" t="s">
        <v>21957</v>
      </c>
      <c r="I21" s="23" t="s">
        <v>511</v>
      </c>
      <c r="J21" s="23" t="s">
        <v>511</v>
      </c>
      <c r="K21" s="23" t="s">
        <v>22120</v>
      </c>
      <c r="L21" s="23" t="s">
        <v>22121</v>
      </c>
      <c r="M21" s="23" t="s">
        <v>22122</v>
      </c>
      <c r="N21" s="23" t="s">
        <v>22123</v>
      </c>
      <c r="O21" s="23" t="s">
        <v>21995</v>
      </c>
      <c r="P21" s="23" t="s">
        <v>21948</v>
      </c>
      <c r="Q21" s="23" t="s">
        <v>21948</v>
      </c>
      <c r="R21" s="23" t="s">
        <v>21948</v>
      </c>
      <c r="S21" s="23" t="s">
        <v>21950</v>
      </c>
      <c r="T21" s="23" t="s">
        <v>21951</v>
      </c>
      <c r="U21" s="23">
        <v>3304.0</v>
      </c>
      <c r="V21" s="23" t="s">
        <v>22127</v>
      </c>
      <c r="W21" s="23" t="s">
        <v>22128</v>
      </c>
      <c r="X21" s="23">
        <v>20.0</v>
      </c>
    </row>
    <row r="22">
      <c r="A22" s="23" t="s">
        <v>22129</v>
      </c>
      <c r="B22" s="23" t="s">
        <v>6876</v>
      </c>
      <c r="C22" s="23" t="s">
        <v>6877</v>
      </c>
      <c r="D22" s="23" t="s">
        <v>6878</v>
      </c>
      <c r="E22" s="23" t="s">
        <v>22131</v>
      </c>
      <c r="F22" s="23" t="s">
        <v>22083</v>
      </c>
      <c r="G22" s="23" t="s">
        <v>21941</v>
      </c>
      <c r="H22" s="23" t="s">
        <v>21957</v>
      </c>
      <c r="I22" s="23" t="s">
        <v>515</v>
      </c>
      <c r="J22" s="23" t="s">
        <v>515</v>
      </c>
      <c r="K22" s="23" t="s">
        <v>22120</v>
      </c>
      <c r="L22" s="23" t="s">
        <v>22121</v>
      </c>
      <c r="M22" s="23" t="s">
        <v>22122</v>
      </c>
      <c r="N22" s="23" t="s">
        <v>22123</v>
      </c>
      <c r="O22" s="23" t="s">
        <v>21995</v>
      </c>
      <c r="P22" s="23" t="s">
        <v>21948</v>
      </c>
      <c r="Q22" s="23" t="s">
        <v>21948</v>
      </c>
      <c r="R22" s="23" t="s">
        <v>21948</v>
      </c>
      <c r="S22" s="23" t="s">
        <v>21950</v>
      </c>
      <c r="T22" s="23" t="s">
        <v>21951</v>
      </c>
      <c r="U22" s="23">
        <v>3305.0</v>
      </c>
      <c r="V22" s="23" t="s">
        <v>22132</v>
      </c>
      <c r="W22" s="23" t="s">
        <v>22133</v>
      </c>
      <c r="X22" s="23">
        <v>21.0</v>
      </c>
    </row>
    <row r="23">
      <c r="A23" s="23" t="s">
        <v>22131</v>
      </c>
      <c r="B23" s="23" t="s">
        <v>6876</v>
      </c>
      <c r="C23" s="23" t="s">
        <v>6877</v>
      </c>
      <c r="D23" s="23" t="s">
        <v>6878</v>
      </c>
      <c r="E23" s="23" t="s">
        <v>22134</v>
      </c>
      <c r="F23" s="23" t="s">
        <v>21956</v>
      </c>
      <c r="G23" s="23" t="s">
        <v>21941</v>
      </c>
      <c r="H23" s="23" t="s">
        <v>21957</v>
      </c>
      <c r="I23" s="23" t="s">
        <v>518</v>
      </c>
      <c r="J23" s="23" t="s">
        <v>518</v>
      </c>
      <c r="K23" s="23" t="s">
        <v>22120</v>
      </c>
      <c r="L23" s="23" t="s">
        <v>22121</v>
      </c>
      <c r="M23" s="23" t="s">
        <v>22122</v>
      </c>
      <c r="N23" s="23" t="s">
        <v>22123</v>
      </c>
      <c r="O23" s="23" t="s">
        <v>21995</v>
      </c>
      <c r="P23" s="23" t="s">
        <v>21948</v>
      </c>
      <c r="Q23" s="23" t="s">
        <v>21948</v>
      </c>
      <c r="R23" s="23" t="s">
        <v>21948</v>
      </c>
      <c r="S23" s="23" t="s">
        <v>21950</v>
      </c>
      <c r="T23" s="23" t="s">
        <v>21951</v>
      </c>
      <c r="U23" s="23">
        <v>3306.0</v>
      </c>
      <c r="V23" s="23" t="s">
        <v>22138</v>
      </c>
      <c r="W23" s="23" t="s">
        <v>22139</v>
      </c>
      <c r="X23" s="23">
        <v>22.0</v>
      </c>
    </row>
    <row r="24">
      <c r="A24" s="23" t="s">
        <v>22134</v>
      </c>
      <c r="B24" s="23" t="s">
        <v>6876</v>
      </c>
      <c r="C24" s="23" t="s">
        <v>6877</v>
      </c>
      <c r="D24" s="23" t="s">
        <v>6878</v>
      </c>
      <c r="E24" s="23" t="s">
        <v>22141</v>
      </c>
      <c r="F24" s="23" t="s">
        <v>22083</v>
      </c>
      <c r="G24" s="23" t="s">
        <v>21941</v>
      </c>
      <c r="H24" s="23" t="s">
        <v>21957</v>
      </c>
      <c r="I24" s="23" t="s">
        <v>522</v>
      </c>
      <c r="J24" s="23" t="s">
        <v>522</v>
      </c>
      <c r="K24" s="23" t="s">
        <v>22144</v>
      </c>
      <c r="L24" s="23" t="s">
        <v>22145</v>
      </c>
      <c r="M24" s="23" t="s">
        <v>22146</v>
      </c>
      <c r="N24" s="23" t="s">
        <v>22147</v>
      </c>
      <c r="O24" s="23" t="s">
        <v>21995</v>
      </c>
      <c r="P24" s="23" t="s">
        <v>21948</v>
      </c>
      <c r="Q24" s="23" t="s">
        <v>21948</v>
      </c>
      <c r="R24" s="23" t="s">
        <v>21948</v>
      </c>
      <c r="S24" s="23" t="s">
        <v>21950</v>
      </c>
      <c r="T24" s="23" t="s">
        <v>21951</v>
      </c>
      <c r="U24" s="23">
        <v>3307.0</v>
      </c>
      <c r="V24" s="23" t="s">
        <v>22149</v>
      </c>
      <c r="W24" s="23" t="s">
        <v>22150</v>
      </c>
      <c r="X24" s="23">
        <v>23.0</v>
      </c>
    </row>
    <row r="25">
      <c r="A25" s="23" t="s">
        <v>22141</v>
      </c>
      <c r="B25" s="23" t="s">
        <v>6876</v>
      </c>
      <c r="C25" s="23" t="s">
        <v>6877</v>
      </c>
      <c r="D25" s="23" t="s">
        <v>6878</v>
      </c>
      <c r="E25" s="23" t="s">
        <v>22151</v>
      </c>
      <c r="F25" s="23" t="s">
        <v>21956</v>
      </c>
      <c r="G25" s="23" t="s">
        <v>21941</v>
      </c>
      <c r="H25" s="23" t="s">
        <v>21957</v>
      </c>
      <c r="I25" s="23" t="s">
        <v>534</v>
      </c>
      <c r="J25" s="23" t="s">
        <v>534</v>
      </c>
      <c r="K25" s="23" t="s">
        <v>22146</v>
      </c>
      <c r="L25" s="23" t="s">
        <v>22154</v>
      </c>
      <c r="M25" s="23" t="s">
        <v>22155</v>
      </c>
      <c r="N25" s="23" t="s">
        <v>22156</v>
      </c>
      <c r="O25" s="23" t="s">
        <v>21995</v>
      </c>
      <c r="P25" s="23" t="s">
        <v>21948</v>
      </c>
      <c r="Q25" s="23" t="s">
        <v>21948</v>
      </c>
      <c r="R25" s="23" t="s">
        <v>21948</v>
      </c>
      <c r="S25" s="23" t="s">
        <v>22023</v>
      </c>
      <c r="T25" s="23" t="s">
        <v>21951</v>
      </c>
      <c r="U25" s="23">
        <v>3308.0</v>
      </c>
      <c r="V25" s="23" t="s">
        <v>22157</v>
      </c>
      <c r="W25" s="23" t="s">
        <v>22159</v>
      </c>
      <c r="X25" s="23">
        <v>24.0</v>
      </c>
    </row>
    <row r="26">
      <c r="A26" s="23" t="s">
        <v>22151</v>
      </c>
      <c r="B26" s="23" t="s">
        <v>6876</v>
      </c>
      <c r="C26" s="23" t="s">
        <v>6877</v>
      </c>
      <c r="D26" s="23" t="s">
        <v>6878</v>
      </c>
      <c r="E26" s="23" t="s">
        <v>22160</v>
      </c>
      <c r="F26" s="23" t="s">
        <v>22161</v>
      </c>
      <c r="G26" s="23" t="s">
        <v>21941</v>
      </c>
      <c r="H26" s="23" t="s">
        <v>21957</v>
      </c>
      <c r="I26" s="23" t="s">
        <v>550</v>
      </c>
      <c r="J26" s="23" t="s">
        <v>550</v>
      </c>
      <c r="K26" s="23" t="s">
        <v>22146</v>
      </c>
      <c r="L26" s="23" t="s">
        <v>22154</v>
      </c>
      <c r="M26" s="23" t="s">
        <v>22155</v>
      </c>
      <c r="N26" s="23" t="s">
        <v>22156</v>
      </c>
      <c r="O26" s="23" t="s">
        <v>21995</v>
      </c>
      <c r="P26" s="23" t="s">
        <v>21948</v>
      </c>
      <c r="Q26" s="23" t="s">
        <v>21948</v>
      </c>
      <c r="R26" s="23" t="s">
        <v>21948</v>
      </c>
      <c r="S26" s="23" t="s">
        <v>22023</v>
      </c>
      <c r="T26" s="23" t="s">
        <v>21951</v>
      </c>
      <c r="U26" s="23">
        <v>3309.0</v>
      </c>
      <c r="V26" s="23" t="s">
        <v>22162</v>
      </c>
      <c r="W26" s="23" t="s">
        <v>22163</v>
      </c>
      <c r="X26" s="23">
        <v>25.0</v>
      </c>
    </row>
    <row r="27">
      <c r="A27" s="23" t="s">
        <v>22160</v>
      </c>
      <c r="B27" s="23" t="s">
        <v>6876</v>
      </c>
      <c r="C27" s="23" t="s">
        <v>6877</v>
      </c>
      <c r="D27" s="23" t="s">
        <v>6878</v>
      </c>
      <c r="E27" s="23" t="s">
        <v>22166</v>
      </c>
      <c r="F27" s="23" t="s">
        <v>21956</v>
      </c>
      <c r="G27" s="23" t="s">
        <v>21941</v>
      </c>
      <c r="H27" s="23" t="s">
        <v>21957</v>
      </c>
      <c r="I27" s="23" t="s">
        <v>564</v>
      </c>
      <c r="J27" s="23" t="s">
        <v>564</v>
      </c>
      <c r="K27" s="23" t="s">
        <v>22146</v>
      </c>
      <c r="L27" s="23" t="s">
        <v>22154</v>
      </c>
      <c r="M27" s="23" t="s">
        <v>22155</v>
      </c>
      <c r="N27" s="23" t="s">
        <v>22156</v>
      </c>
      <c r="O27" s="23" t="s">
        <v>21995</v>
      </c>
      <c r="P27" s="23" t="s">
        <v>21948</v>
      </c>
      <c r="Q27" s="23" t="s">
        <v>21948</v>
      </c>
      <c r="R27" s="23" t="s">
        <v>21948</v>
      </c>
      <c r="S27" s="23" t="s">
        <v>22023</v>
      </c>
      <c r="T27" s="23" t="s">
        <v>21951</v>
      </c>
      <c r="U27" s="23">
        <v>3310.0</v>
      </c>
      <c r="V27" s="23" t="s">
        <v>22170</v>
      </c>
      <c r="W27" s="23" t="s">
        <v>22171</v>
      </c>
      <c r="X27" s="23">
        <v>26.0</v>
      </c>
    </row>
    <row r="28">
      <c r="A28" s="23" t="s">
        <v>22166</v>
      </c>
      <c r="B28" s="23" t="s">
        <v>6876</v>
      </c>
      <c r="C28" s="23" t="s">
        <v>6877</v>
      </c>
      <c r="D28" s="23" t="s">
        <v>6878</v>
      </c>
      <c r="E28" s="23" t="s">
        <v>22173</v>
      </c>
      <c r="F28" s="23" t="s">
        <v>22174</v>
      </c>
      <c r="G28" s="23" t="s">
        <v>21941</v>
      </c>
      <c r="H28" s="23" t="s">
        <v>21957</v>
      </c>
      <c r="I28" s="23" t="s">
        <v>576</v>
      </c>
      <c r="J28" s="23" t="s">
        <v>576</v>
      </c>
      <c r="K28" s="23" t="s">
        <v>22146</v>
      </c>
      <c r="L28" s="23" t="s">
        <v>22154</v>
      </c>
      <c r="M28" s="23" t="s">
        <v>22155</v>
      </c>
      <c r="N28" s="23" t="s">
        <v>22156</v>
      </c>
      <c r="O28" s="23" t="s">
        <v>21995</v>
      </c>
      <c r="P28" s="23" t="s">
        <v>21948</v>
      </c>
      <c r="Q28" s="23" t="s">
        <v>21948</v>
      </c>
      <c r="R28" s="23" t="s">
        <v>21948</v>
      </c>
      <c r="S28" s="23" t="s">
        <v>22023</v>
      </c>
      <c r="T28" s="23" t="s">
        <v>21951</v>
      </c>
      <c r="U28" s="23">
        <v>3311.0</v>
      </c>
      <c r="V28" s="23" t="s">
        <v>22175</v>
      </c>
      <c r="W28" s="23" t="s">
        <v>22176</v>
      </c>
      <c r="X28" s="23">
        <v>27.0</v>
      </c>
    </row>
    <row r="29">
      <c r="A29" s="23" t="s">
        <v>22173</v>
      </c>
      <c r="B29" s="23" t="s">
        <v>6876</v>
      </c>
      <c r="C29" s="23" t="s">
        <v>6877</v>
      </c>
      <c r="D29" s="23" t="s">
        <v>6878</v>
      </c>
      <c r="E29" s="23" t="s">
        <v>22177</v>
      </c>
      <c r="F29" s="23" t="s">
        <v>22083</v>
      </c>
      <c r="G29" s="23" t="s">
        <v>21941</v>
      </c>
      <c r="H29" s="23" t="s">
        <v>21942</v>
      </c>
      <c r="I29" s="23" t="s">
        <v>22178</v>
      </c>
      <c r="J29" s="23" t="s">
        <v>22178</v>
      </c>
      <c r="K29" s="23" t="s">
        <v>22179</v>
      </c>
      <c r="L29" s="23" t="s">
        <v>22146</v>
      </c>
      <c r="M29" s="23" t="s">
        <v>22155</v>
      </c>
      <c r="N29" s="23" t="s">
        <v>22180</v>
      </c>
      <c r="O29" s="23" t="s">
        <v>21995</v>
      </c>
      <c r="P29" s="23" t="s">
        <v>21948</v>
      </c>
      <c r="Q29" s="23" t="s">
        <v>21948</v>
      </c>
      <c r="R29" s="23" t="s">
        <v>21948</v>
      </c>
      <c r="S29" s="23" t="s">
        <v>22023</v>
      </c>
      <c r="T29" s="23" t="s">
        <v>21951</v>
      </c>
      <c r="U29" s="23">
        <v>3312.0</v>
      </c>
      <c r="V29" s="23" t="s">
        <v>22183</v>
      </c>
      <c r="W29" s="23" t="s">
        <v>22184</v>
      </c>
      <c r="X29" s="23">
        <v>28.0</v>
      </c>
    </row>
    <row r="30">
      <c r="A30" s="23" t="s">
        <v>22187</v>
      </c>
      <c r="B30" s="23" t="s">
        <v>6876</v>
      </c>
      <c r="C30" s="23" t="s">
        <v>6877</v>
      </c>
      <c r="D30" s="23" t="s">
        <v>6878</v>
      </c>
      <c r="E30" s="23" t="s">
        <v>22192</v>
      </c>
      <c r="F30" s="23" t="s">
        <v>22083</v>
      </c>
      <c r="G30" s="23" t="s">
        <v>21941</v>
      </c>
      <c r="H30" s="23" t="s">
        <v>21942</v>
      </c>
      <c r="I30" s="23" t="s">
        <v>607</v>
      </c>
      <c r="J30" s="23" t="s">
        <v>607</v>
      </c>
      <c r="K30" s="23" t="s">
        <v>22179</v>
      </c>
      <c r="L30" s="23" t="s">
        <v>22146</v>
      </c>
      <c r="M30" s="23" t="s">
        <v>22155</v>
      </c>
      <c r="N30" s="23" t="s">
        <v>22180</v>
      </c>
      <c r="O30" s="23" t="s">
        <v>21995</v>
      </c>
      <c r="P30" s="23" t="s">
        <v>21948</v>
      </c>
      <c r="Q30" s="23" t="s">
        <v>21948</v>
      </c>
      <c r="R30" s="23" t="s">
        <v>21948</v>
      </c>
      <c r="S30" s="23" t="s">
        <v>22023</v>
      </c>
      <c r="T30" s="23" t="s">
        <v>21951</v>
      </c>
      <c r="U30" s="23">
        <v>3313.0</v>
      </c>
      <c r="V30" s="23" t="s">
        <v>22194</v>
      </c>
      <c r="W30" s="23" t="s">
        <v>22195</v>
      </c>
      <c r="X30" s="23">
        <v>29.0</v>
      </c>
    </row>
    <row r="31">
      <c r="A31" s="23" t="s">
        <v>22192</v>
      </c>
      <c r="B31" s="23" t="s">
        <v>6876</v>
      </c>
      <c r="C31" s="23" t="s">
        <v>6877</v>
      </c>
      <c r="D31" s="23" t="s">
        <v>6878</v>
      </c>
      <c r="E31" s="23" t="s">
        <v>22196</v>
      </c>
      <c r="F31" s="23" t="s">
        <v>21940</v>
      </c>
      <c r="G31" s="23" t="s">
        <v>21941</v>
      </c>
      <c r="H31" s="23" t="s">
        <v>21942</v>
      </c>
      <c r="I31" s="23" t="s">
        <v>622</v>
      </c>
      <c r="J31" s="23" t="s">
        <v>622</v>
      </c>
      <c r="K31" s="23" t="s">
        <v>22179</v>
      </c>
      <c r="L31" s="23" t="s">
        <v>22146</v>
      </c>
      <c r="M31" s="23" t="s">
        <v>22155</v>
      </c>
      <c r="N31" s="23" t="s">
        <v>22180</v>
      </c>
      <c r="O31" s="23" t="s">
        <v>21995</v>
      </c>
      <c r="P31" s="23" t="s">
        <v>21948</v>
      </c>
      <c r="Q31" s="23" t="s">
        <v>21948</v>
      </c>
      <c r="R31" s="23" t="s">
        <v>21948</v>
      </c>
      <c r="S31" s="23" t="s">
        <v>22023</v>
      </c>
      <c r="T31" s="23" t="s">
        <v>21951</v>
      </c>
      <c r="U31" s="23">
        <v>3314.0</v>
      </c>
      <c r="V31" s="23" t="s">
        <v>22199</v>
      </c>
      <c r="W31" s="23" t="s">
        <v>22201</v>
      </c>
      <c r="X31" s="23">
        <v>30.0</v>
      </c>
    </row>
    <row r="32">
      <c r="A32" s="23" t="s">
        <v>22196</v>
      </c>
      <c r="B32" s="23" t="s">
        <v>6876</v>
      </c>
      <c r="C32" s="23" t="s">
        <v>6877</v>
      </c>
      <c r="D32" s="23" t="s">
        <v>6878</v>
      </c>
      <c r="E32" s="23" t="s">
        <v>22202</v>
      </c>
      <c r="F32" s="23" t="s">
        <v>22083</v>
      </c>
      <c r="G32" s="23" t="s">
        <v>21941</v>
      </c>
      <c r="H32" s="23" t="s">
        <v>21942</v>
      </c>
      <c r="I32" s="23" t="s">
        <v>632</v>
      </c>
      <c r="J32" s="23" t="s">
        <v>632</v>
      </c>
      <c r="K32" s="23" t="s">
        <v>22203</v>
      </c>
      <c r="L32" s="23" t="s">
        <v>22204</v>
      </c>
      <c r="M32" s="23" t="s">
        <v>22205</v>
      </c>
      <c r="N32" s="23" t="s">
        <v>22206</v>
      </c>
      <c r="O32" s="23" t="s">
        <v>21995</v>
      </c>
      <c r="P32" s="23" t="s">
        <v>21948</v>
      </c>
      <c r="Q32" s="23" t="s">
        <v>21948</v>
      </c>
      <c r="R32" s="23" t="s">
        <v>21948</v>
      </c>
      <c r="S32" s="23" t="s">
        <v>21950</v>
      </c>
      <c r="T32" s="23" t="s">
        <v>21951</v>
      </c>
      <c r="U32" s="23">
        <v>3315.0</v>
      </c>
      <c r="V32" s="23" t="s">
        <v>22209</v>
      </c>
      <c r="W32" s="23" t="s">
        <v>22210</v>
      </c>
      <c r="X32" s="23">
        <v>31.0</v>
      </c>
    </row>
    <row r="33">
      <c r="A33" s="23" t="s">
        <v>22202</v>
      </c>
      <c r="B33" s="23" t="s">
        <v>6876</v>
      </c>
      <c r="C33" s="23" t="s">
        <v>6877</v>
      </c>
      <c r="D33" s="23" t="s">
        <v>6878</v>
      </c>
      <c r="E33" s="23" t="s">
        <v>22212</v>
      </c>
      <c r="F33" s="23" t="s">
        <v>22083</v>
      </c>
      <c r="G33" s="23" t="s">
        <v>21941</v>
      </c>
      <c r="H33" s="23" t="s">
        <v>21942</v>
      </c>
      <c r="I33" s="23" t="s">
        <v>637</v>
      </c>
      <c r="J33" s="23" t="s">
        <v>637</v>
      </c>
      <c r="K33" s="23" t="s">
        <v>22203</v>
      </c>
      <c r="L33" s="23" t="s">
        <v>22204</v>
      </c>
      <c r="M33" s="23" t="s">
        <v>22205</v>
      </c>
      <c r="N33" s="23" t="s">
        <v>22206</v>
      </c>
      <c r="O33" s="23" t="s">
        <v>21995</v>
      </c>
      <c r="P33" s="23" t="s">
        <v>21948</v>
      </c>
      <c r="Q33" s="23" t="s">
        <v>21948</v>
      </c>
      <c r="R33" s="23" t="s">
        <v>21948</v>
      </c>
      <c r="S33" s="23" t="s">
        <v>21950</v>
      </c>
      <c r="T33" s="23" t="s">
        <v>21951</v>
      </c>
      <c r="U33" s="23">
        <v>3316.0</v>
      </c>
      <c r="V33" s="23" t="s">
        <v>22216</v>
      </c>
      <c r="W33" s="23" t="s">
        <v>22217</v>
      </c>
      <c r="X33" s="23">
        <v>32.0</v>
      </c>
    </row>
    <row r="34">
      <c r="A34" s="23" t="s">
        <v>22212</v>
      </c>
      <c r="B34" s="23" t="s">
        <v>6876</v>
      </c>
      <c r="C34" s="23" t="s">
        <v>6877</v>
      </c>
      <c r="D34" s="23" t="s">
        <v>6878</v>
      </c>
      <c r="E34" s="23" t="s">
        <v>22219</v>
      </c>
      <c r="F34" s="23" t="s">
        <v>21940</v>
      </c>
      <c r="G34" s="23" t="s">
        <v>21941</v>
      </c>
      <c r="H34" s="23" t="s">
        <v>21942</v>
      </c>
      <c r="I34" s="23" t="s">
        <v>642</v>
      </c>
      <c r="J34" s="23" t="s">
        <v>642</v>
      </c>
      <c r="K34" s="23" t="s">
        <v>22203</v>
      </c>
      <c r="L34" s="23" t="s">
        <v>22204</v>
      </c>
      <c r="M34" s="23" t="s">
        <v>22205</v>
      </c>
      <c r="N34" s="23" t="s">
        <v>22206</v>
      </c>
      <c r="O34" s="23" t="s">
        <v>21995</v>
      </c>
      <c r="P34" s="23" t="s">
        <v>21948</v>
      </c>
      <c r="Q34" s="23" t="s">
        <v>21948</v>
      </c>
      <c r="R34" s="23" t="s">
        <v>21948</v>
      </c>
      <c r="S34" s="23" t="s">
        <v>22023</v>
      </c>
      <c r="T34" s="23" t="s">
        <v>21951</v>
      </c>
      <c r="U34" s="23">
        <v>3317.0</v>
      </c>
      <c r="V34" s="23" t="s">
        <v>22220</v>
      </c>
      <c r="W34" s="23" t="s">
        <v>22221</v>
      </c>
      <c r="X34" s="23">
        <v>33.0</v>
      </c>
    </row>
    <row r="35">
      <c r="A35" s="23" t="s">
        <v>22219</v>
      </c>
      <c r="B35" s="23" t="s">
        <v>6876</v>
      </c>
      <c r="C35" s="23" t="s">
        <v>6877</v>
      </c>
      <c r="D35" s="23" t="s">
        <v>6878</v>
      </c>
      <c r="E35" s="23" t="s">
        <v>22222</v>
      </c>
      <c r="F35" s="23" t="s">
        <v>21956</v>
      </c>
      <c r="G35" s="23" t="s">
        <v>21941</v>
      </c>
      <c r="H35" s="23" t="s">
        <v>21957</v>
      </c>
      <c r="I35" s="23" t="s">
        <v>647</v>
      </c>
      <c r="J35" s="23" t="s">
        <v>647</v>
      </c>
      <c r="K35" s="23" t="s">
        <v>22223</v>
      </c>
      <c r="L35" s="23" t="s">
        <v>22224</v>
      </c>
      <c r="M35" s="23" t="s">
        <v>22226</v>
      </c>
      <c r="N35" s="23" t="s">
        <v>22228</v>
      </c>
      <c r="O35" s="23" t="s">
        <v>21995</v>
      </c>
      <c r="P35" s="23" t="s">
        <v>21948</v>
      </c>
      <c r="Q35" s="23" t="s">
        <v>21948</v>
      </c>
      <c r="R35" s="23" t="s">
        <v>21948</v>
      </c>
      <c r="S35" s="23" t="s">
        <v>21950</v>
      </c>
      <c r="T35" s="23" t="s">
        <v>21951</v>
      </c>
      <c r="U35" s="23">
        <v>3318.0</v>
      </c>
      <c r="V35" s="23" t="s">
        <v>22229</v>
      </c>
      <c r="W35" s="23" t="s">
        <v>22231</v>
      </c>
      <c r="X35" s="23">
        <v>34.0</v>
      </c>
    </row>
    <row r="36">
      <c r="A36" s="23" t="s">
        <v>22222</v>
      </c>
      <c r="B36" s="23" t="s">
        <v>6876</v>
      </c>
      <c r="C36" s="23" t="s">
        <v>6877</v>
      </c>
      <c r="D36" s="23" t="s">
        <v>6878</v>
      </c>
      <c r="E36" s="23" t="s">
        <v>22235</v>
      </c>
      <c r="F36" s="23" t="s">
        <v>21956</v>
      </c>
      <c r="G36" s="23" t="s">
        <v>21941</v>
      </c>
      <c r="H36" s="23" t="s">
        <v>21957</v>
      </c>
      <c r="I36" s="23" t="s">
        <v>652</v>
      </c>
      <c r="J36" s="23" t="s">
        <v>652</v>
      </c>
      <c r="K36" s="23" t="s">
        <v>22223</v>
      </c>
      <c r="L36" s="23" t="s">
        <v>22224</v>
      </c>
      <c r="M36" s="23" t="s">
        <v>22226</v>
      </c>
      <c r="N36" s="23" t="s">
        <v>22228</v>
      </c>
      <c r="O36" s="23" t="s">
        <v>21995</v>
      </c>
      <c r="P36" s="23" t="s">
        <v>21948</v>
      </c>
      <c r="Q36" s="23" t="s">
        <v>21948</v>
      </c>
      <c r="R36" s="23" t="s">
        <v>21948</v>
      </c>
      <c r="S36" s="23" t="s">
        <v>21950</v>
      </c>
      <c r="T36" s="23" t="s">
        <v>21951</v>
      </c>
      <c r="U36" s="23">
        <v>3319.0</v>
      </c>
      <c r="V36" s="23" t="s">
        <v>22237</v>
      </c>
      <c r="W36" s="23" t="s">
        <v>22238</v>
      </c>
      <c r="X36" s="23">
        <v>35.0</v>
      </c>
    </row>
    <row r="37">
      <c r="A37" s="23" t="s">
        <v>22239</v>
      </c>
      <c r="B37" s="23" t="s">
        <v>6876</v>
      </c>
      <c r="C37" s="23" t="s">
        <v>6877</v>
      </c>
      <c r="D37" s="23" t="s">
        <v>6878</v>
      </c>
      <c r="E37" s="23" t="s">
        <v>22240</v>
      </c>
      <c r="F37" s="23" t="s">
        <v>22107</v>
      </c>
      <c r="G37" s="23" t="s">
        <v>21941</v>
      </c>
      <c r="H37" s="23" t="s">
        <v>21957</v>
      </c>
      <c r="I37" s="23" t="s">
        <v>655</v>
      </c>
      <c r="J37" s="23" t="s">
        <v>655</v>
      </c>
      <c r="K37" s="23" t="s">
        <v>22223</v>
      </c>
      <c r="L37" s="23" t="s">
        <v>22224</v>
      </c>
      <c r="M37" s="23" t="s">
        <v>22226</v>
      </c>
      <c r="N37" s="23" t="s">
        <v>22228</v>
      </c>
      <c r="O37" s="23" t="s">
        <v>21995</v>
      </c>
      <c r="P37" s="23" t="s">
        <v>21948</v>
      </c>
      <c r="Q37" s="23" t="s">
        <v>21948</v>
      </c>
      <c r="R37" s="23" t="s">
        <v>21948</v>
      </c>
      <c r="S37" s="23" t="s">
        <v>21950</v>
      </c>
      <c r="T37" s="23" t="s">
        <v>21951</v>
      </c>
      <c r="U37" s="23">
        <v>3320.0</v>
      </c>
      <c r="V37" s="23" t="s">
        <v>22243</v>
      </c>
      <c r="W37" s="23" t="s">
        <v>22244</v>
      </c>
      <c r="X37" s="23">
        <v>36.0</v>
      </c>
    </row>
    <row r="38">
      <c r="A38" s="23" t="s">
        <v>22240</v>
      </c>
      <c r="B38" s="23" t="s">
        <v>6876</v>
      </c>
      <c r="C38" s="23" t="s">
        <v>6877</v>
      </c>
      <c r="D38" s="23" t="s">
        <v>6878</v>
      </c>
      <c r="E38" s="23" t="s">
        <v>22246</v>
      </c>
      <c r="F38" s="23" t="s">
        <v>21956</v>
      </c>
      <c r="G38" s="23" t="s">
        <v>21941</v>
      </c>
      <c r="H38" s="23" t="s">
        <v>21957</v>
      </c>
      <c r="I38" s="23" t="s">
        <v>662</v>
      </c>
      <c r="J38" s="23" t="s">
        <v>662</v>
      </c>
      <c r="K38" s="23" t="s">
        <v>22247</v>
      </c>
      <c r="L38" s="23" t="s">
        <v>15067</v>
      </c>
      <c r="M38" s="23" t="s">
        <v>22248</v>
      </c>
      <c r="N38" s="23" t="s">
        <v>22249</v>
      </c>
      <c r="O38" s="23" t="s">
        <v>21995</v>
      </c>
      <c r="P38" s="23" t="s">
        <v>21948</v>
      </c>
      <c r="Q38" s="23" t="s">
        <v>21948</v>
      </c>
      <c r="R38" s="23" t="s">
        <v>21948</v>
      </c>
      <c r="S38" s="23" t="s">
        <v>21950</v>
      </c>
      <c r="T38" s="23" t="s">
        <v>21951</v>
      </c>
      <c r="U38" s="23">
        <v>3321.0</v>
      </c>
      <c r="V38" s="23" t="s">
        <v>22252</v>
      </c>
      <c r="W38" s="23" t="s">
        <v>22254</v>
      </c>
      <c r="X38" s="23">
        <v>37.0</v>
      </c>
    </row>
    <row r="39">
      <c r="A39" s="23" t="s">
        <v>22246</v>
      </c>
      <c r="B39" s="23" t="s">
        <v>6876</v>
      </c>
      <c r="C39" s="23" t="s">
        <v>6877</v>
      </c>
      <c r="D39" s="23" t="s">
        <v>6878</v>
      </c>
      <c r="E39" s="23" t="s">
        <v>22257</v>
      </c>
      <c r="F39" s="23" t="s">
        <v>21956</v>
      </c>
      <c r="G39" s="23" t="s">
        <v>21941</v>
      </c>
      <c r="H39" s="23" t="s">
        <v>21957</v>
      </c>
      <c r="I39" s="23" t="s">
        <v>665</v>
      </c>
      <c r="J39" s="23" t="s">
        <v>665</v>
      </c>
      <c r="K39" s="23" t="s">
        <v>22247</v>
      </c>
      <c r="L39" s="23" t="s">
        <v>15067</v>
      </c>
      <c r="M39" s="23" t="s">
        <v>22248</v>
      </c>
      <c r="N39" s="23" t="s">
        <v>22258</v>
      </c>
      <c r="O39" s="23" t="s">
        <v>21995</v>
      </c>
      <c r="P39" s="23" t="s">
        <v>21948</v>
      </c>
      <c r="Q39" s="23" t="s">
        <v>21948</v>
      </c>
      <c r="R39" s="23" t="s">
        <v>21948</v>
      </c>
      <c r="S39" s="23" t="s">
        <v>22023</v>
      </c>
      <c r="T39" s="23" t="s">
        <v>21951</v>
      </c>
      <c r="U39" s="23">
        <v>3322.0</v>
      </c>
      <c r="V39" s="23" t="s">
        <v>22261</v>
      </c>
      <c r="W39" s="23" t="s">
        <v>22262</v>
      </c>
      <c r="X39" s="23">
        <v>38.0</v>
      </c>
    </row>
    <row r="40">
      <c r="A40" s="23" t="s">
        <v>22257</v>
      </c>
      <c r="B40" s="23" t="s">
        <v>6876</v>
      </c>
      <c r="C40" s="23" t="s">
        <v>6877</v>
      </c>
      <c r="D40" s="23" t="s">
        <v>6878</v>
      </c>
      <c r="E40" s="23" t="s">
        <v>22264</v>
      </c>
      <c r="F40" s="23" t="s">
        <v>22161</v>
      </c>
      <c r="G40" s="23" t="s">
        <v>21941</v>
      </c>
      <c r="H40" s="23" t="s">
        <v>21957</v>
      </c>
      <c r="I40" s="23" t="s">
        <v>668</v>
      </c>
      <c r="J40" s="23" t="s">
        <v>668</v>
      </c>
      <c r="K40" s="23" t="s">
        <v>22247</v>
      </c>
      <c r="L40" s="23" t="s">
        <v>15067</v>
      </c>
      <c r="M40" s="23" t="s">
        <v>22248</v>
      </c>
      <c r="N40" s="23" t="s">
        <v>22258</v>
      </c>
      <c r="O40" s="23" t="s">
        <v>21995</v>
      </c>
      <c r="P40" s="23" t="s">
        <v>21948</v>
      </c>
      <c r="Q40" s="23" t="s">
        <v>21948</v>
      </c>
      <c r="R40" s="23" t="s">
        <v>21948</v>
      </c>
      <c r="S40" s="23" t="s">
        <v>22023</v>
      </c>
      <c r="T40" s="23" t="s">
        <v>21951</v>
      </c>
      <c r="U40" s="23">
        <v>3323.0</v>
      </c>
      <c r="V40" s="23" t="s">
        <v>22265</v>
      </c>
      <c r="W40" s="23" t="s">
        <v>22266</v>
      </c>
      <c r="X40" s="23">
        <v>39.0</v>
      </c>
    </row>
    <row r="41">
      <c r="A41" s="23" t="s">
        <v>22267</v>
      </c>
      <c r="B41" s="23" t="s">
        <v>6876</v>
      </c>
      <c r="C41" s="23" t="s">
        <v>6877</v>
      </c>
      <c r="D41" s="23" t="s">
        <v>6878</v>
      </c>
      <c r="E41" s="23" t="s">
        <v>22268</v>
      </c>
      <c r="F41" s="23" t="s">
        <v>21940</v>
      </c>
      <c r="G41" s="23" t="s">
        <v>21941</v>
      </c>
      <c r="H41" s="23" t="s">
        <v>21942</v>
      </c>
      <c r="I41" s="23" t="s">
        <v>672</v>
      </c>
      <c r="J41" s="23" t="s">
        <v>672</v>
      </c>
      <c r="K41" s="23" t="s">
        <v>22269</v>
      </c>
      <c r="L41" s="23" t="s">
        <v>22247</v>
      </c>
      <c r="M41" s="23" t="s">
        <v>22271</v>
      </c>
      <c r="N41" s="23" t="s">
        <v>22249</v>
      </c>
      <c r="O41" s="23" t="s">
        <v>21995</v>
      </c>
      <c r="P41" s="23" t="s">
        <v>21948</v>
      </c>
      <c r="Q41" s="23" t="s">
        <v>21948</v>
      </c>
      <c r="R41" s="23" t="s">
        <v>21948</v>
      </c>
      <c r="S41" s="23" t="s">
        <v>21950</v>
      </c>
      <c r="T41" s="23" t="s">
        <v>21951</v>
      </c>
      <c r="U41" s="23">
        <v>3324.0</v>
      </c>
      <c r="V41" s="23" t="s">
        <v>22272</v>
      </c>
      <c r="W41" s="23" t="s">
        <v>22273</v>
      </c>
      <c r="X41" s="23">
        <v>40.0</v>
      </c>
    </row>
    <row r="42">
      <c r="A42" s="23" t="s">
        <v>22275</v>
      </c>
      <c r="B42" s="23" t="s">
        <v>6876</v>
      </c>
      <c r="C42" s="23" t="s">
        <v>6877</v>
      </c>
      <c r="D42" s="23" t="s">
        <v>6878</v>
      </c>
      <c r="E42" s="23" t="s">
        <v>22277</v>
      </c>
      <c r="F42" s="23" t="s">
        <v>22083</v>
      </c>
      <c r="G42" s="23" t="s">
        <v>21941</v>
      </c>
      <c r="H42" s="23" t="s">
        <v>21942</v>
      </c>
      <c r="I42" s="23" t="s">
        <v>680</v>
      </c>
      <c r="J42" s="23" t="s">
        <v>680</v>
      </c>
      <c r="K42" s="23" t="s">
        <v>22269</v>
      </c>
      <c r="L42" s="23" t="s">
        <v>22247</v>
      </c>
      <c r="M42" s="23" t="s">
        <v>22271</v>
      </c>
      <c r="N42" s="23" t="s">
        <v>22249</v>
      </c>
      <c r="O42" s="23" t="s">
        <v>21995</v>
      </c>
      <c r="P42" s="23" t="s">
        <v>21948</v>
      </c>
      <c r="Q42" s="23" t="s">
        <v>21948</v>
      </c>
      <c r="R42" s="23" t="s">
        <v>21948</v>
      </c>
      <c r="S42" s="23" t="s">
        <v>21950</v>
      </c>
      <c r="T42" s="23" t="s">
        <v>21951</v>
      </c>
      <c r="U42" s="23">
        <v>3325.0</v>
      </c>
      <c r="V42" s="23" t="s">
        <v>22281</v>
      </c>
      <c r="W42" s="23" t="s">
        <v>22282</v>
      </c>
      <c r="X42" s="23">
        <v>41.0</v>
      </c>
    </row>
    <row r="43">
      <c r="A43" s="23" t="s">
        <v>22277</v>
      </c>
      <c r="B43" s="23" t="s">
        <v>6876</v>
      </c>
      <c r="C43" s="23" t="s">
        <v>6877</v>
      </c>
      <c r="D43" s="23" t="s">
        <v>6878</v>
      </c>
      <c r="E43" s="23" t="s">
        <v>22286</v>
      </c>
      <c r="F43" s="23" t="s">
        <v>22083</v>
      </c>
      <c r="G43" s="23" t="s">
        <v>21941</v>
      </c>
      <c r="H43" s="23" t="s">
        <v>21942</v>
      </c>
      <c r="I43" s="23" t="s">
        <v>689</v>
      </c>
      <c r="J43" s="23" t="s">
        <v>689</v>
      </c>
      <c r="K43" s="23" t="s">
        <v>22269</v>
      </c>
      <c r="L43" s="23" t="s">
        <v>22247</v>
      </c>
      <c r="M43" s="23" t="s">
        <v>22271</v>
      </c>
      <c r="N43" s="23" t="s">
        <v>22249</v>
      </c>
      <c r="O43" s="23" t="s">
        <v>21995</v>
      </c>
      <c r="P43" s="23" t="s">
        <v>21948</v>
      </c>
      <c r="Q43" s="23" t="s">
        <v>21948</v>
      </c>
      <c r="R43" s="23" t="s">
        <v>21948</v>
      </c>
      <c r="S43" s="23" t="s">
        <v>21950</v>
      </c>
      <c r="T43" s="23" t="s">
        <v>21951</v>
      </c>
      <c r="U43" s="23">
        <v>3326.0</v>
      </c>
      <c r="V43" s="23" t="s">
        <v>22288</v>
      </c>
      <c r="W43" s="23" t="s">
        <v>22289</v>
      </c>
      <c r="X43" s="23">
        <v>42.0</v>
      </c>
    </row>
    <row r="44">
      <c r="A44" s="23" t="s">
        <v>22286</v>
      </c>
      <c r="B44" s="23" t="s">
        <v>6876</v>
      </c>
      <c r="C44" s="23" t="s">
        <v>6877</v>
      </c>
      <c r="D44" s="23" t="s">
        <v>6878</v>
      </c>
      <c r="E44" s="23" t="s">
        <v>22291</v>
      </c>
      <c r="F44" s="23" t="s">
        <v>22083</v>
      </c>
      <c r="G44" s="23" t="s">
        <v>21941</v>
      </c>
      <c r="H44" s="23" t="s">
        <v>21942</v>
      </c>
      <c r="I44" s="23" t="s">
        <v>692</v>
      </c>
      <c r="J44" s="23" t="s">
        <v>692</v>
      </c>
      <c r="K44" s="23" t="s">
        <v>22293</v>
      </c>
      <c r="L44" s="23" t="s">
        <v>22294</v>
      </c>
      <c r="M44" s="23" t="s">
        <v>22092</v>
      </c>
      <c r="N44" s="23" t="s">
        <v>22295</v>
      </c>
      <c r="O44" s="23" t="s">
        <v>21995</v>
      </c>
      <c r="P44" s="23" t="s">
        <v>21948</v>
      </c>
      <c r="Q44" s="23" t="s">
        <v>21948</v>
      </c>
      <c r="R44" s="23" t="s">
        <v>21948</v>
      </c>
      <c r="S44" s="23" t="s">
        <v>22023</v>
      </c>
      <c r="T44" s="23" t="s">
        <v>21951</v>
      </c>
      <c r="U44" s="23">
        <v>3327.0</v>
      </c>
      <c r="V44" s="23" t="s">
        <v>22299</v>
      </c>
      <c r="W44" s="23" t="s">
        <v>22300</v>
      </c>
      <c r="X44" s="23">
        <v>43.0</v>
      </c>
    </row>
    <row r="45">
      <c r="A45" s="23" t="s">
        <v>22291</v>
      </c>
      <c r="B45" s="23" t="s">
        <v>6876</v>
      </c>
      <c r="C45" s="23" t="s">
        <v>6877</v>
      </c>
      <c r="D45" s="23" t="s">
        <v>6878</v>
      </c>
      <c r="E45" s="23" t="s">
        <v>22303</v>
      </c>
      <c r="F45" s="23" t="s">
        <v>22083</v>
      </c>
      <c r="G45" s="23" t="s">
        <v>21941</v>
      </c>
      <c r="H45" s="23" t="s">
        <v>21942</v>
      </c>
      <c r="I45" s="23" t="s">
        <v>697</v>
      </c>
      <c r="J45" s="23" t="s">
        <v>697</v>
      </c>
      <c r="K45" s="23" t="s">
        <v>22293</v>
      </c>
      <c r="L45" s="23" t="s">
        <v>22294</v>
      </c>
      <c r="M45" s="23" t="s">
        <v>22092</v>
      </c>
      <c r="N45" s="23" t="s">
        <v>22295</v>
      </c>
      <c r="O45" s="23" t="s">
        <v>21995</v>
      </c>
      <c r="P45" s="23" t="s">
        <v>21948</v>
      </c>
      <c r="Q45" s="23" t="s">
        <v>21948</v>
      </c>
      <c r="R45" s="23" t="s">
        <v>21948</v>
      </c>
      <c r="S45" s="23" t="s">
        <v>22023</v>
      </c>
      <c r="T45" s="23" t="s">
        <v>21951</v>
      </c>
      <c r="U45" s="23">
        <v>3328.0</v>
      </c>
      <c r="V45" s="23" t="s">
        <v>22304</v>
      </c>
      <c r="W45" s="23" t="s">
        <v>22305</v>
      </c>
      <c r="X45" s="23">
        <v>44.0</v>
      </c>
    </row>
    <row r="46">
      <c r="A46" s="23" t="s">
        <v>22303</v>
      </c>
      <c r="B46" s="23" t="s">
        <v>6876</v>
      </c>
      <c r="C46" s="23" t="s">
        <v>6877</v>
      </c>
      <c r="D46" s="23" t="s">
        <v>6878</v>
      </c>
      <c r="E46" s="23" t="s">
        <v>22307</v>
      </c>
      <c r="F46" s="23" t="s">
        <v>21940</v>
      </c>
      <c r="G46" s="23" t="s">
        <v>21941</v>
      </c>
      <c r="H46" s="23" t="s">
        <v>21942</v>
      </c>
      <c r="I46" s="23" t="s">
        <v>702</v>
      </c>
      <c r="J46" s="23" t="s">
        <v>702</v>
      </c>
      <c r="K46" s="23" t="s">
        <v>22293</v>
      </c>
      <c r="L46" s="23" t="s">
        <v>22294</v>
      </c>
      <c r="M46" s="23" t="s">
        <v>22092</v>
      </c>
      <c r="N46" s="23" t="s">
        <v>22295</v>
      </c>
      <c r="O46" s="23" t="s">
        <v>21995</v>
      </c>
      <c r="P46" s="23" t="s">
        <v>21948</v>
      </c>
      <c r="Q46" s="23" t="s">
        <v>21948</v>
      </c>
      <c r="R46" s="23" t="s">
        <v>21948</v>
      </c>
      <c r="S46" s="23" t="s">
        <v>22023</v>
      </c>
      <c r="T46" s="23" t="s">
        <v>21951</v>
      </c>
      <c r="U46" s="23">
        <v>3329.0</v>
      </c>
      <c r="V46" s="23" t="s">
        <v>22311</v>
      </c>
      <c r="W46" s="23" t="s">
        <v>22312</v>
      </c>
      <c r="X46" s="23">
        <v>45.0</v>
      </c>
    </row>
    <row r="47">
      <c r="A47" s="23" t="s">
        <v>22313</v>
      </c>
      <c r="B47" s="23" t="s">
        <v>6876</v>
      </c>
      <c r="C47" s="23" t="s">
        <v>6877</v>
      </c>
      <c r="D47" s="23" t="s">
        <v>7831</v>
      </c>
      <c r="E47" s="23" t="s">
        <v>22314</v>
      </c>
      <c r="F47" s="23" t="s">
        <v>22083</v>
      </c>
      <c r="G47" s="23" t="s">
        <v>21941</v>
      </c>
      <c r="H47" s="23" t="s">
        <v>21957</v>
      </c>
      <c r="I47" s="23" t="s">
        <v>658</v>
      </c>
      <c r="J47" s="23" t="s">
        <v>658</v>
      </c>
      <c r="K47" s="23" t="s">
        <v>22223</v>
      </c>
      <c r="L47" s="23" t="s">
        <v>22224</v>
      </c>
      <c r="M47" s="23" t="s">
        <v>22226</v>
      </c>
      <c r="N47" s="23" t="s">
        <v>22228</v>
      </c>
      <c r="O47" s="23" t="s">
        <v>21995</v>
      </c>
      <c r="P47" s="23" t="s">
        <v>21948</v>
      </c>
      <c r="Q47" s="23" t="s">
        <v>21948</v>
      </c>
      <c r="R47" s="23" t="s">
        <v>21948</v>
      </c>
      <c r="S47" s="23" t="s">
        <v>22023</v>
      </c>
      <c r="T47" s="23" t="s">
        <v>21951</v>
      </c>
      <c r="U47" s="23">
        <v>3330.0</v>
      </c>
      <c r="V47" s="23" t="s">
        <v>22318</v>
      </c>
      <c r="W47" s="23" t="s">
        <v>22320</v>
      </c>
      <c r="X47" s="23">
        <v>46.0</v>
      </c>
    </row>
    <row r="48">
      <c r="A48" s="23" t="s">
        <v>22321</v>
      </c>
      <c r="B48" s="23" t="s">
        <v>6876</v>
      </c>
      <c r="C48" s="23" t="s">
        <v>6877</v>
      </c>
      <c r="D48" s="23" t="s">
        <v>7831</v>
      </c>
      <c r="E48" s="23" t="s">
        <v>22322</v>
      </c>
      <c r="F48" s="23" t="s">
        <v>21956</v>
      </c>
      <c r="G48" s="23" t="s">
        <v>21941</v>
      </c>
      <c r="H48" s="23" t="s">
        <v>21957</v>
      </c>
      <c r="I48" s="23" t="s">
        <v>760</v>
      </c>
      <c r="J48" s="23" t="s">
        <v>760</v>
      </c>
      <c r="K48" s="23" t="s">
        <v>22325</v>
      </c>
      <c r="L48" s="23" t="s">
        <v>22327</v>
      </c>
      <c r="M48" s="23" t="s">
        <v>22328</v>
      </c>
      <c r="N48" s="23" t="s">
        <v>22329</v>
      </c>
      <c r="O48" s="23" t="s">
        <v>21995</v>
      </c>
      <c r="P48" s="23" t="s">
        <v>21948</v>
      </c>
      <c r="Q48" s="23" t="s">
        <v>21948</v>
      </c>
      <c r="R48" s="23" t="s">
        <v>21948</v>
      </c>
      <c r="S48" s="23" t="s">
        <v>22023</v>
      </c>
      <c r="T48" s="23" t="s">
        <v>21951</v>
      </c>
      <c r="U48" s="23">
        <v>3331.0</v>
      </c>
      <c r="V48" s="23" t="s">
        <v>22330</v>
      </c>
      <c r="W48" s="23" t="s">
        <v>22331</v>
      </c>
      <c r="X48" s="23">
        <v>47.0</v>
      </c>
    </row>
    <row r="49">
      <c r="A49" s="23" t="s">
        <v>22322</v>
      </c>
      <c r="B49" s="23" t="s">
        <v>6876</v>
      </c>
      <c r="C49" s="23" t="s">
        <v>6877</v>
      </c>
      <c r="D49" s="23" t="s">
        <v>7831</v>
      </c>
      <c r="E49" s="23" t="s">
        <v>22332</v>
      </c>
      <c r="F49" s="23" t="s">
        <v>21956</v>
      </c>
      <c r="G49" s="23" t="s">
        <v>21941</v>
      </c>
      <c r="H49" s="23" t="s">
        <v>21957</v>
      </c>
      <c r="I49" s="23" t="s">
        <v>766</v>
      </c>
      <c r="J49" s="23" t="s">
        <v>766</v>
      </c>
      <c r="K49" s="23" t="s">
        <v>22325</v>
      </c>
      <c r="L49" s="23" t="s">
        <v>22327</v>
      </c>
      <c r="M49" s="23" t="s">
        <v>22328</v>
      </c>
      <c r="N49" s="23" t="s">
        <v>22329</v>
      </c>
      <c r="O49" s="23" t="s">
        <v>21995</v>
      </c>
      <c r="P49" s="23" t="s">
        <v>21948</v>
      </c>
      <c r="Q49" s="23" t="s">
        <v>21948</v>
      </c>
      <c r="R49" s="23" t="s">
        <v>21948</v>
      </c>
      <c r="S49" s="23" t="s">
        <v>22023</v>
      </c>
      <c r="T49" s="23" t="s">
        <v>21951</v>
      </c>
      <c r="U49" s="23">
        <v>3332.0</v>
      </c>
      <c r="V49" s="23" t="s">
        <v>22335</v>
      </c>
      <c r="W49" s="23" t="s">
        <v>22337</v>
      </c>
      <c r="X49" s="23">
        <v>48.0</v>
      </c>
    </row>
    <row r="50">
      <c r="A50" s="23" t="s">
        <v>22339</v>
      </c>
      <c r="B50" s="23" t="s">
        <v>6876</v>
      </c>
      <c r="C50" s="23" t="s">
        <v>6877</v>
      </c>
      <c r="D50" s="23" t="s">
        <v>7831</v>
      </c>
      <c r="E50" s="23" t="s">
        <v>22342</v>
      </c>
      <c r="F50" s="23" t="s">
        <v>22161</v>
      </c>
      <c r="G50" s="23" t="s">
        <v>21941</v>
      </c>
      <c r="H50" s="23" t="s">
        <v>21957</v>
      </c>
      <c r="I50" s="23" t="s">
        <v>774</v>
      </c>
      <c r="J50" s="23" t="s">
        <v>774</v>
      </c>
      <c r="K50" s="23" t="s">
        <v>22325</v>
      </c>
      <c r="L50" s="23" t="s">
        <v>22327</v>
      </c>
      <c r="M50" s="23" t="s">
        <v>22328</v>
      </c>
      <c r="N50" s="23" t="s">
        <v>22329</v>
      </c>
      <c r="O50" s="23" t="s">
        <v>21995</v>
      </c>
      <c r="P50" s="23" t="s">
        <v>21948</v>
      </c>
      <c r="Q50" s="23" t="s">
        <v>21948</v>
      </c>
      <c r="R50" s="23" t="s">
        <v>21948</v>
      </c>
      <c r="S50" s="23" t="s">
        <v>22023</v>
      </c>
      <c r="T50" s="23" t="s">
        <v>21951</v>
      </c>
      <c r="U50" s="23">
        <v>3333.0</v>
      </c>
      <c r="V50" s="23" t="s">
        <v>22345</v>
      </c>
      <c r="W50" s="23" t="s">
        <v>22346</v>
      </c>
      <c r="X50" s="23">
        <v>49.0</v>
      </c>
    </row>
    <row r="51">
      <c r="A51" s="23" t="s">
        <v>22347</v>
      </c>
      <c r="B51" s="23" t="s">
        <v>6876</v>
      </c>
      <c r="C51" s="23" t="s">
        <v>6877</v>
      </c>
      <c r="D51" s="23" t="s">
        <v>7831</v>
      </c>
      <c r="E51" s="23" t="s">
        <v>22348</v>
      </c>
      <c r="F51" s="23" t="s">
        <v>22174</v>
      </c>
      <c r="G51" s="23" t="s">
        <v>21941</v>
      </c>
      <c r="H51" s="23" t="s">
        <v>21957</v>
      </c>
      <c r="I51" s="23" t="s">
        <v>781</v>
      </c>
      <c r="J51" s="23" t="s">
        <v>781</v>
      </c>
      <c r="K51" s="23" t="s">
        <v>22325</v>
      </c>
      <c r="L51" s="23" t="s">
        <v>22327</v>
      </c>
      <c r="M51" s="23" t="s">
        <v>22328</v>
      </c>
      <c r="N51" s="23" t="s">
        <v>22329</v>
      </c>
      <c r="O51" s="23" t="s">
        <v>21995</v>
      </c>
      <c r="P51" s="23" t="s">
        <v>21948</v>
      </c>
      <c r="Q51" s="23" t="s">
        <v>21948</v>
      </c>
      <c r="R51" s="23" t="s">
        <v>21948</v>
      </c>
      <c r="S51" s="23" t="s">
        <v>22023</v>
      </c>
      <c r="T51" s="23" t="s">
        <v>21951</v>
      </c>
      <c r="U51" s="23">
        <v>3334.0</v>
      </c>
      <c r="V51" s="23" t="s">
        <v>22350</v>
      </c>
      <c r="W51" s="23" t="s">
        <v>22351</v>
      </c>
      <c r="X51" s="23">
        <v>50.0</v>
      </c>
    </row>
    <row r="52">
      <c r="A52" s="23" t="s">
        <v>22348</v>
      </c>
      <c r="B52" s="23" t="s">
        <v>6876</v>
      </c>
      <c r="C52" s="23" t="s">
        <v>6877</v>
      </c>
      <c r="D52" s="23" t="s">
        <v>7831</v>
      </c>
      <c r="E52" s="23" t="s">
        <v>22354</v>
      </c>
      <c r="F52" s="23" t="s">
        <v>21940</v>
      </c>
      <c r="G52" s="23" t="s">
        <v>21941</v>
      </c>
      <c r="H52" s="23" t="s">
        <v>21942</v>
      </c>
      <c r="I52" s="23" t="s">
        <v>787</v>
      </c>
      <c r="J52" s="23" t="s">
        <v>787</v>
      </c>
      <c r="K52" s="23" t="s">
        <v>22325</v>
      </c>
      <c r="L52" s="23" t="s">
        <v>22327</v>
      </c>
      <c r="M52" s="23" t="s">
        <v>22328</v>
      </c>
      <c r="N52" s="23" t="s">
        <v>22356</v>
      </c>
      <c r="O52" s="23" t="s">
        <v>21995</v>
      </c>
      <c r="P52" s="23" t="s">
        <v>21948</v>
      </c>
      <c r="Q52" s="23" t="s">
        <v>21948</v>
      </c>
      <c r="R52" s="23" t="s">
        <v>21948</v>
      </c>
      <c r="S52" s="23" t="s">
        <v>21950</v>
      </c>
      <c r="T52" s="23" t="s">
        <v>21951</v>
      </c>
      <c r="U52" s="23">
        <v>3335.0</v>
      </c>
      <c r="V52" s="23" t="s">
        <v>22357</v>
      </c>
      <c r="W52" s="23" t="s">
        <v>22358</v>
      </c>
      <c r="X52" s="23">
        <v>51.0</v>
      </c>
    </row>
    <row r="53">
      <c r="A53" s="23" t="s">
        <v>22359</v>
      </c>
      <c r="B53" s="23" t="s">
        <v>6876</v>
      </c>
      <c r="C53" s="23" t="s">
        <v>6877</v>
      </c>
      <c r="D53" s="23" t="s">
        <v>7831</v>
      </c>
      <c r="E53" s="23" t="s">
        <v>22360</v>
      </c>
      <c r="F53" s="23" t="s">
        <v>22083</v>
      </c>
      <c r="G53" s="23" t="s">
        <v>21941</v>
      </c>
      <c r="H53" s="23" t="s">
        <v>21942</v>
      </c>
      <c r="I53" s="23" t="s">
        <v>791</v>
      </c>
      <c r="J53" s="23" t="s">
        <v>791</v>
      </c>
      <c r="K53" s="23" t="s">
        <v>22325</v>
      </c>
      <c r="L53" s="23" t="s">
        <v>22327</v>
      </c>
      <c r="M53" s="23" t="s">
        <v>22328</v>
      </c>
      <c r="N53" s="23" t="s">
        <v>22356</v>
      </c>
      <c r="O53" s="23" t="s">
        <v>21995</v>
      </c>
      <c r="P53" s="23" t="s">
        <v>21948</v>
      </c>
      <c r="Q53" s="23" t="s">
        <v>21948</v>
      </c>
      <c r="R53" s="23" t="s">
        <v>21948</v>
      </c>
      <c r="S53" s="23" t="s">
        <v>21950</v>
      </c>
      <c r="T53" s="23" t="s">
        <v>21951</v>
      </c>
      <c r="U53" s="23">
        <v>3336.0</v>
      </c>
      <c r="V53" s="23" t="s">
        <v>22361</v>
      </c>
      <c r="W53" s="23" t="s">
        <v>22362</v>
      </c>
      <c r="X53" s="23">
        <v>52.0</v>
      </c>
    </row>
    <row r="54">
      <c r="A54" s="23" t="s">
        <v>22360</v>
      </c>
      <c r="B54" s="23" t="s">
        <v>6876</v>
      </c>
      <c r="C54" s="23" t="s">
        <v>6877</v>
      </c>
      <c r="D54" s="23" t="s">
        <v>7831</v>
      </c>
      <c r="E54" s="23" t="s">
        <v>22365</v>
      </c>
      <c r="F54" s="23" t="s">
        <v>22083</v>
      </c>
      <c r="G54" s="23" t="s">
        <v>21941</v>
      </c>
      <c r="H54" s="23" t="s">
        <v>21942</v>
      </c>
      <c r="I54" s="23" t="s">
        <v>795</v>
      </c>
      <c r="J54" s="23" t="s">
        <v>795</v>
      </c>
      <c r="K54" s="23" t="s">
        <v>22325</v>
      </c>
      <c r="L54" s="23" t="s">
        <v>22327</v>
      </c>
      <c r="M54" s="23" t="s">
        <v>22328</v>
      </c>
      <c r="N54" s="23" t="s">
        <v>22356</v>
      </c>
      <c r="O54" s="23" t="s">
        <v>21995</v>
      </c>
      <c r="P54" s="23" t="s">
        <v>21948</v>
      </c>
      <c r="Q54" s="23" t="s">
        <v>21948</v>
      </c>
      <c r="R54" s="23" t="s">
        <v>21948</v>
      </c>
      <c r="S54" s="23" t="s">
        <v>21950</v>
      </c>
      <c r="T54" s="23" t="s">
        <v>21951</v>
      </c>
      <c r="U54" s="23">
        <v>3337.0</v>
      </c>
      <c r="V54" s="23" t="s">
        <v>22370</v>
      </c>
      <c r="W54" s="23" t="s">
        <v>22371</v>
      </c>
      <c r="X54" s="23">
        <v>53.0</v>
      </c>
    </row>
    <row r="55">
      <c r="A55" s="23" t="s">
        <v>22372</v>
      </c>
      <c r="B55" s="23" t="s">
        <v>6876</v>
      </c>
      <c r="C55" s="23" t="s">
        <v>6877</v>
      </c>
      <c r="D55" s="23" t="s">
        <v>6907</v>
      </c>
      <c r="E55" s="23" t="s">
        <v>22374</v>
      </c>
      <c r="F55" s="23" t="s">
        <v>22083</v>
      </c>
      <c r="G55" s="23" t="s">
        <v>21941</v>
      </c>
      <c r="H55" s="23" t="s">
        <v>21942</v>
      </c>
      <c r="I55" s="23" t="s">
        <v>809</v>
      </c>
      <c r="J55" s="23" t="s">
        <v>809</v>
      </c>
      <c r="K55" s="23" t="s">
        <v>22375</v>
      </c>
      <c r="L55" s="23" t="s">
        <v>22376</v>
      </c>
      <c r="M55" s="23" t="s">
        <v>22377</v>
      </c>
      <c r="N55" s="23" t="s">
        <v>22378</v>
      </c>
      <c r="O55" s="23" t="s">
        <v>21995</v>
      </c>
      <c r="P55" s="23" t="s">
        <v>21948</v>
      </c>
      <c r="Q55" s="23" t="s">
        <v>21948</v>
      </c>
      <c r="R55" s="23" t="s">
        <v>21948</v>
      </c>
      <c r="S55" s="23" t="s">
        <v>21978</v>
      </c>
      <c r="T55" s="23" t="s">
        <v>21951</v>
      </c>
      <c r="U55" s="23">
        <v>3349.0</v>
      </c>
      <c r="V55" s="23" t="s">
        <v>22381</v>
      </c>
      <c r="W55" s="23" t="s">
        <v>22382</v>
      </c>
      <c r="X55" s="23">
        <v>54.0</v>
      </c>
    </row>
    <row r="56">
      <c r="A56" s="23" t="s">
        <v>22374</v>
      </c>
      <c r="B56" s="23" t="s">
        <v>6876</v>
      </c>
      <c r="C56" s="23" t="s">
        <v>6877</v>
      </c>
      <c r="D56" s="23" t="s">
        <v>6907</v>
      </c>
      <c r="E56" s="23" t="s">
        <v>22383</v>
      </c>
      <c r="F56" s="23" t="s">
        <v>21940</v>
      </c>
      <c r="G56" s="23" t="s">
        <v>21941</v>
      </c>
      <c r="H56" s="23" t="s">
        <v>21942</v>
      </c>
      <c r="I56" s="23" t="s">
        <v>811</v>
      </c>
      <c r="J56" s="23" t="s">
        <v>811</v>
      </c>
      <c r="K56" s="23" t="s">
        <v>22375</v>
      </c>
      <c r="L56" s="23" t="s">
        <v>22376</v>
      </c>
      <c r="M56" s="23" t="s">
        <v>22377</v>
      </c>
      <c r="N56" s="23" t="s">
        <v>22378</v>
      </c>
      <c r="O56" s="23" t="s">
        <v>21995</v>
      </c>
      <c r="P56" s="23" t="s">
        <v>21948</v>
      </c>
      <c r="Q56" s="23" t="s">
        <v>21948</v>
      </c>
      <c r="R56" s="23" t="s">
        <v>21948</v>
      </c>
      <c r="S56" s="23" t="s">
        <v>21978</v>
      </c>
      <c r="T56" s="23" t="s">
        <v>21951</v>
      </c>
      <c r="U56" s="23">
        <v>3350.0</v>
      </c>
      <c r="V56" s="23" t="s">
        <v>22385</v>
      </c>
      <c r="W56" s="23" t="s">
        <v>22386</v>
      </c>
      <c r="X56" s="23">
        <v>55.0</v>
      </c>
    </row>
    <row r="57">
      <c r="A57" s="23" t="s">
        <v>22383</v>
      </c>
      <c r="B57" s="23" t="s">
        <v>6876</v>
      </c>
      <c r="C57" s="23" t="s">
        <v>6877</v>
      </c>
      <c r="D57" s="23" t="s">
        <v>6907</v>
      </c>
      <c r="E57" s="23" t="s">
        <v>22387</v>
      </c>
      <c r="F57" s="23" t="s">
        <v>21940</v>
      </c>
      <c r="G57" s="23" t="s">
        <v>21941</v>
      </c>
      <c r="H57" s="23" t="s">
        <v>21942</v>
      </c>
      <c r="I57" s="23" t="s">
        <v>396</v>
      </c>
      <c r="J57" s="23" t="s">
        <v>396</v>
      </c>
      <c r="K57" s="23" t="s">
        <v>22388</v>
      </c>
      <c r="L57" s="23" t="s">
        <v>22389</v>
      </c>
      <c r="M57" s="23" t="s">
        <v>22390</v>
      </c>
      <c r="N57" s="23" t="s">
        <v>22391</v>
      </c>
      <c r="O57" s="23" t="s">
        <v>21941</v>
      </c>
      <c r="P57" s="23" t="s">
        <v>22392</v>
      </c>
      <c r="Q57" s="23" t="s">
        <v>21948</v>
      </c>
      <c r="R57" s="23" t="s">
        <v>21948</v>
      </c>
      <c r="S57" s="23" t="s">
        <v>21950</v>
      </c>
      <c r="T57" s="23" t="s">
        <v>21951</v>
      </c>
      <c r="U57" s="23">
        <v>3351.0</v>
      </c>
      <c r="V57" s="23" t="s">
        <v>22395</v>
      </c>
      <c r="W57" s="23" t="s">
        <v>22396</v>
      </c>
      <c r="X57" s="23">
        <v>56.0</v>
      </c>
    </row>
    <row r="58">
      <c r="A58" s="23" t="s">
        <v>22387</v>
      </c>
      <c r="B58" s="23" t="s">
        <v>6876</v>
      </c>
      <c r="C58" s="23" t="s">
        <v>6877</v>
      </c>
      <c r="D58" s="23" t="s">
        <v>6907</v>
      </c>
      <c r="E58" s="23" t="s">
        <v>22397</v>
      </c>
      <c r="F58" s="23" t="s">
        <v>21940</v>
      </c>
      <c r="G58" s="23" t="s">
        <v>21941</v>
      </c>
      <c r="H58" s="23" t="s">
        <v>21942</v>
      </c>
      <c r="I58" s="23" t="s">
        <v>419</v>
      </c>
      <c r="J58" s="23" t="s">
        <v>419</v>
      </c>
      <c r="K58" s="23" t="s">
        <v>22399</v>
      </c>
      <c r="L58" s="23" t="s">
        <v>11049</v>
      </c>
      <c r="M58" s="23" t="s">
        <v>22400</v>
      </c>
      <c r="N58" s="23" t="s">
        <v>22401</v>
      </c>
      <c r="O58" s="23" t="s">
        <v>21941</v>
      </c>
      <c r="P58" s="23" t="s">
        <v>22402</v>
      </c>
      <c r="Q58" s="23" t="s">
        <v>21948</v>
      </c>
      <c r="R58" s="23" t="s">
        <v>21948</v>
      </c>
      <c r="S58" s="23" t="s">
        <v>21978</v>
      </c>
      <c r="T58" s="23" t="s">
        <v>21951</v>
      </c>
      <c r="U58" s="23">
        <v>3352.0</v>
      </c>
      <c r="V58" s="23" t="s">
        <v>22404</v>
      </c>
      <c r="W58" s="23" t="s">
        <v>22406</v>
      </c>
      <c r="X58" s="23">
        <v>57.0</v>
      </c>
    </row>
    <row r="59">
      <c r="A59" s="23" t="s">
        <v>22407</v>
      </c>
      <c r="B59" s="23" t="s">
        <v>6876</v>
      </c>
      <c r="C59" s="23" t="s">
        <v>6877</v>
      </c>
      <c r="D59" s="23" t="s">
        <v>6907</v>
      </c>
      <c r="E59" s="23" t="s">
        <v>22409</v>
      </c>
      <c r="F59" s="23" t="s">
        <v>21940</v>
      </c>
      <c r="G59" s="23" t="s">
        <v>21941</v>
      </c>
      <c r="H59" s="23" t="s">
        <v>21942</v>
      </c>
      <c r="I59" s="23" t="s">
        <v>431</v>
      </c>
      <c r="J59" s="23" t="s">
        <v>431</v>
      </c>
      <c r="K59" s="23" t="s">
        <v>22411</v>
      </c>
      <c r="L59" s="23" t="s">
        <v>22412</v>
      </c>
      <c r="M59" s="23" t="s">
        <v>22413</v>
      </c>
      <c r="N59" s="23" t="s">
        <v>22414</v>
      </c>
      <c r="O59" s="23" t="s">
        <v>21941</v>
      </c>
      <c r="P59" s="23" t="s">
        <v>22417</v>
      </c>
      <c r="Q59" s="23" t="s">
        <v>21948</v>
      </c>
      <c r="R59" s="23" t="s">
        <v>21948</v>
      </c>
      <c r="S59" s="23" t="s">
        <v>22023</v>
      </c>
      <c r="T59" s="23" t="s">
        <v>21951</v>
      </c>
      <c r="U59" s="23">
        <v>3353.0</v>
      </c>
      <c r="V59" s="23" t="s">
        <v>22418</v>
      </c>
      <c r="W59" s="23" t="s">
        <v>22419</v>
      </c>
      <c r="X59" s="23">
        <v>58.0</v>
      </c>
    </row>
    <row r="60">
      <c r="A60" s="23" t="s">
        <v>22409</v>
      </c>
      <c r="B60" s="23" t="s">
        <v>6876</v>
      </c>
      <c r="C60" s="23" t="s">
        <v>6877</v>
      </c>
      <c r="D60" s="23" t="s">
        <v>6907</v>
      </c>
      <c r="E60" s="23" t="s">
        <v>22421</v>
      </c>
      <c r="F60" s="23" t="s">
        <v>21940</v>
      </c>
      <c r="G60" s="23" t="s">
        <v>21941</v>
      </c>
      <c r="H60" s="23" t="s">
        <v>21942</v>
      </c>
      <c r="I60" s="23" t="s">
        <v>452</v>
      </c>
      <c r="J60" s="23" t="s">
        <v>452</v>
      </c>
      <c r="K60" s="23" t="s">
        <v>22422</v>
      </c>
      <c r="L60" s="23" t="s">
        <v>22423</v>
      </c>
      <c r="M60" s="23" t="s">
        <v>22424</v>
      </c>
      <c r="N60" s="23" t="s">
        <v>22425</v>
      </c>
      <c r="O60" s="23" t="s">
        <v>21941</v>
      </c>
      <c r="P60" s="23" t="s">
        <v>22068</v>
      </c>
      <c r="Q60" s="23" t="s">
        <v>21948</v>
      </c>
      <c r="R60" s="23" t="s">
        <v>21948</v>
      </c>
      <c r="S60" s="23" t="s">
        <v>21941</v>
      </c>
      <c r="T60" s="23" t="s">
        <v>21951</v>
      </c>
      <c r="U60" s="23">
        <v>3354.0</v>
      </c>
      <c r="V60" s="23" t="s">
        <v>22426</v>
      </c>
      <c r="W60" s="23" t="s">
        <v>22427</v>
      </c>
      <c r="X60" s="23">
        <v>59.0</v>
      </c>
    </row>
    <row r="61">
      <c r="A61" s="23" t="s">
        <v>22421</v>
      </c>
      <c r="B61" s="23" t="s">
        <v>6876</v>
      </c>
      <c r="C61" s="23" t="s">
        <v>6877</v>
      </c>
      <c r="D61" s="23" t="s">
        <v>6907</v>
      </c>
      <c r="E61" s="23" t="s">
        <v>22428</v>
      </c>
      <c r="F61" s="23" t="s">
        <v>21940</v>
      </c>
      <c r="G61" s="23" t="s">
        <v>21941</v>
      </c>
      <c r="H61" s="23" t="s">
        <v>21942</v>
      </c>
      <c r="I61" s="23" t="s">
        <v>468</v>
      </c>
      <c r="J61" s="23" t="s">
        <v>468</v>
      </c>
      <c r="K61" s="23" t="s">
        <v>22429</v>
      </c>
      <c r="L61" s="23" t="s">
        <v>22430</v>
      </c>
      <c r="M61" s="23" t="s">
        <v>22432</v>
      </c>
      <c r="N61" s="23" t="s">
        <v>22434</v>
      </c>
      <c r="O61" s="23" t="s">
        <v>21941</v>
      </c>
      <c r="P61" s="23" t="s">
        <v>22068</v>
      </c>
      <c r="Q61" s="23" t="s">
        <v>21948</v>
      </c>
      <c r="R61" s="23" t="s">
        <v>21948</v>
      </c>
      <c r="S61" s="23" t="s">
        <v>21941</v>
      </c>
      <c r="T61" s="23" t="s">
        <v>21951</v>
      </c>
      <c r="U61" s="23">
        <v>3355.0</v>
      </c>
      <c r="V61" s="23" t="s">
        <v>22436</v>
      </c>
      <c r="W61" s="23" t="s">
        <v>22437</v>
      </c>
      <c r="X61" s="23">
        <v>60.0</v>
      </c>
    </row>
    <row r="62">
      <c r="A62" s="23" t="s">
        <v>22428</v>
      </c>
      <c r="B62" s="23" t="s">
        <v>6876</v>
      </c>
      <c r="C62" s="23" t="s">
        <v>6877</v>
      </c>
      <c r="D62" s="23" t="s">
        <v>6907</v>
      </c>
      <c r="E62" s="23" t="s">
        <v>22439</v>
      </c>
      <c r="F62" s="23" t="s">
        <v>22083</v>
      </c>
      <c r="G62" s="23" t="s">
        <v>21941</v>
      </c>
      <c r="H62" s="23" t="s">
        <v>21942</v>
      </c>
      <c r="I62" s="23" t="s">
        <v>381</v>
      </c>
      <c r="J62" s="23" t="s">
        <v>381</v>
      </c>
      <c r="K62" s="23" t="s">
        <v>22045</v>
      </c>
      <c r="L62" s="23" t="s">
        <v>22046</v>
      </c>
      <c r="M62" s="23" t="s">
        <v>22440</v>
      </c>
      <c r="N62" s="23" t="s">
        <v>22441</v>
      </c>
      <c r="O62" s="23" t="s">
        <v>21941</v>
      </c>
      <c r="P62" s="23" t="s">
        <v>22050</v>
      </c>
      <c r="Q62" s="23" t="s">
        <v>21948</v>
      </c>
      <c r="R62" s="23" t="s">
        <v>21948</v>
      </c>
      <c r="S62" s="23" t="s">
        <v>21950</v>
      </c>
      <c r="T62" s="23" t="s">
        <v>21951</v>
      </c>
      <c r="U62" s="23">
        <v>3356.0</v>
      </c>
      <c r="V62" s="23" t="s">
        <v>22445</v>
      </c>
      <c r="W62" s="23" t="s">
        <v>22446</v>
      </c>
      <c r="X62" s="23">
        <v>61.0</v>
      </c>
    </row>
    <row r="63">
      <c r="A63" s="23" t="s">
        <v>22439</v>
      </c>
      <c r="B63" s="23" t="s">
        <v>6876</v>
      </c>
      <c r="C63" s="23" t="s">
        <v>6877</v>
      </c>
      <c r="D63" s="23" t="s">
        <v>6907</v>
      </c>
      <c r="E63" s="23" t="s">
        <v>22448</v>
      </c>
      <c r="F63" s="23" t="s">
        <v>22083</v>
      </c>
      <c r="G63" s="23" t="s">
        <v>21941</v>
      </c>
      <c r="H63" s="23" t="s">
        <v>21942</v>
      </c>
      <c r="I63" s="23" t="s">
        <v>408</v>
      </c>
      <c r="J63" s="23" t="s">
        <v>408</v>
      </c>
      <c r="K63" s="23" t="s">
        <v>11567</v>
      </c>
      <c r="L63" s="23" t="s">
        <v>22451</v>
      </c>
      <c r="M63" s="23" t="s">
        <v>22453</v>
      </c>
      <c r="N63" s="23" t="s">
        <v>22454</v>
      </c>
      <c r="O63" s="23" t="s">
        <v>21941</v>
      </c>
      <c r="P63" s="23" t="s">
        <v>22392</v>
      </c>
      <c r="Q63" s="23" t="s">
        <v>21948</v>
      </c>
      <c r="R63" s="23" t="s">
        <v>21948</v>
      </c>
      <c r="S63" s="23" t="s">
        <v>21950</v>
      </c>
      <c r="T63" s="23" t="s">
        <v>21951</v>
      </c>
      <c r="U63" s="23">
        <v>3357.0</v>
      </c>
      <c r="V63" s="23" t="s">
        <v>22456</v>
      </c>
      <c r="W63" s="23" t="s">
        <v>22457</v>
      </c>
      <c r="X63" s="23">
        <v>62.0</v>
      </c>
    </row>
    <row r="64">
      <c r="A64" s="23" t="s">
        <v>22448</v>
      </c>
      <c r="B64" s="23" t="s">
        <v>6876</v>
      </c>
      <c r="C64" s="23" t="s">
        <v>6877</v>
      </c>
      <c r="D64" s="23" t="s">
        <v>6907</v>
      </c>
      <c r="E64" s="23" t="s">
        <v>22459</v>
      </c>
      <c r="F64" s="23" t="s">
        <v>22083</v>
      </c>
      <c r="G64" s="23" t="s">
        <v>21941</v>
      </c>
      <c r="H64" s="23" t="s">
        <v>21942</v>
      </c>
      <c r="I64" s="23" t="s">
        <v>409</v>
      </c>
      <c r="J64" s="23" t="s">
        <v>409</v>
      </c>
      <c r="K64" s="23" t="s">
        <v>22460</v>
      </c>
      <c r="L64" s="23" t="s">
        <v>22461</v>
      </c>
      <c r="M64" s="23" t="s">
        <v>22462</v>
      </c>
      <c r="N64" s="23" t="s">
        <v>22463</v>
      </c>
      <c r="O64" s="23" t="s">
        <v>21941</v>
      </c>
      <c r="P64" s="23" t="s">
        <v>22068</v>
      </c>
      <c r="Q64" s="23" t="s">
        <v>21948</v>
      </c>
      <c r="R64" s="23" t="s">
        <v>21948</v>
      </c>
      <c r="S64" s="23" t="s">
        <v>21941</v>
      </c>
      <c r="T64" s="23" t="s">
        <v>21951</v>
      </c>
      <c r="U64" s="23">
        <v>3358.0</v>
      </c>
      <c r="V64" s="23" t="s">
        <v>22464</v>
      </c>
      <c r="W64" s="23" t="s">
        <v>22465</v>
      </c>
      <c r="X64" s="23">
        <v>63.0</v>
      </c>
    </row>
    <row r="65">
      <c r="A65" s="23" t="s">
        <v>22459</v>
      </c>
      <c r="B65" s="23" t="s">
        <v>6876</v>
      </c>
      <c r="C65" s="23" t="s">
        <v>6877</v>
      </c>
      <c r="D65" s="23" t="s">
        <v>6907</v>
      </c>
      <c r="E65" s="23" t="s">
        <v>22466</v>
      </c>
      <c r="F65" s="23" t="s">
        <v>22083</v>
      </c>
      <c r="G65" s="23" t="s">
        <v>21941</v>
      </c>
      <c r="H65" s="23" t="s">
        <v>21942</v>
      </c>
      <c r="I65" s="23" t="s">
        <v>429</v>
      </c>
      <c r="J65" s="23" t="s">
        <v>429</v>
      </c>
      <c r="K65" s="23" t="s">
        <v>22467</v>
      </c>
      <c r="L65" s="23" t="s">
        <v>22400</v>
      </c>
      <c r="M65" s="23" t="s">
        <v>22469</v>
      </c>
      <c r="N65" s="23" t="s">
        <v>22470</v>
      </c>
      <c r="O65" s="23" t="s">
        <v>21941</v>
      </c>
      <c r="P65" s="23" t="s">
        <v>22417</v>
      </c>
      <c r="Q65" s="23" t="s">
        <v>21948</v>
      </c>
      <c r="R65" s="23" t="s">
        <v>21948</v>
      </c>
      <c r="S65" s="23" t="s">
        <v>21978</v>
      </c>
      <c r="T65" s="23" t="s">
        <v>21951</v>
      </c>
      <c r="U65" s="23">
        <v>3359.0</v>
      </c>
      <c r="V65" s="23" t="s">
        <v>22472</v>
      </c>
      <c r="W65" s="23" t="s">
        <v>22473</v>
      </c>
      <c r="X65" s="23">
        <v>64.0</v>
      </c>
    </row>
    <row r="66">
      <c r="A66" s="23" t="s">
        <v>22466</v>
      </c>
      <c r="B66" s="23" t="s">
        <v>6876</v>
      </c>
      <c r="C66" s="23" t="s">
        <v>6877</v>
      </c>
      <c r="D66" s="23" t="s">
        <v>6907</v>
      </c>
      <c r="E66" s="23" t="s">
        <v>22474</v>
      </c>
      <c r="F66" s="23" t="s">
        <v>22083</v>
      </c>
      <c r="G66" s="23" t="s">
        <v>21941</v>
      </c>
      <c r="H66" s="23" t="s">
        <v>21942</v>
      </c>
      <c r="I66" s="23" t="s">
        <v>432</v>
      </c>
      <c r="J66" s="23" t="s">
        <v>432</v>
      </c>
      <c r="K66" s="23" t="s">
        <v>22411</v>
      </c>
      <c r="L66" s="23" t="s">
        <v>22412</v>
      </c>
      <c r="M66" s="23" t="s">
        <v>22413</v>
      </c>
      <c r="N66" s="23" t="s">
        <v>22475</v>
      </c>
      <c r="O66" s="23" t="s">
        <v>21941</v>
      </c>
      <c r="P66" s="23" t="s">
        <v>22417</v>
      </c>
      <c r="Q66" s="23" t="s">
        <v>21948</v>
      </c>
      <c r="R66" s="23" t="s">
        <v>21948</v>
      </c>
      <c r="S66" s="23" t="s">
        <v>21978</v>
      </c>
      <c r="T66" s="23" t="s">
        <v>21951</v>
      </c>
      <c r="U66" s="23">
        <v>3360.0</v>
      </c>
      <c r="V66" s="23" t="s">
        <v>22477</v>
      </c>
      <c r="W66" s="23" t="s">
        <v>22478</v>
      </c>
      <c r="X66" s="23">
        <v>65.0</v>
      </c>
    </row>
    <row r="67">
      <c r="A67" s="23" t="s">
        <v>22474</v>
      </c>
      <c r="B67" s="23" t="s">
        <v>6876</v>
      </c>
      <c r="C67" s="23" t="s">
        <v>6877</v>
      </c>
      <c r="D67" s="23" t="s">
        <v>6907</v>
      </c>
      <c r="E67" s="23" t="s">
        <v>22479</v>
      </c>
      <c r="F67" s="23" t="s">
        <v>22083</v>
      </c>
      <c r="G67" s="23" t="s">
        <v>21941</v>
      </c>
      <c r="H67" s="23" t="s">
        <v>21942</v>
      </c>
      <c r="I67" s="23" t="s">
        <v>464</v>
      </c>
      <c r="J67" s="23" t="s">
        <v>464</v>
      </c>
      <c r="K67" s="23" t="s">
        <v>22481</v>
      </c>
      <c r="L67" s="23" t="s">
        <v>7652</v>
      </c>
      <c r="M67" s="23" t="s">
        <v>7681</v>
      </c>
      <c r="N67" s="23" t="s">
        <v>22483</v>
      </c>
      <c r="O67" s="23" t="s">
        <v>21941</v>
      </c>
      <c r="P67" s="23" t="s">
        <v>22068</v>
      </c>
      <c r="Q67" s="23" t="s">
        <v>21948</v>
      </c>
      <c r="R67" s="23" t="s">
        <v>21948</v>
      </c>
      <c r="S67" s="23" t="s">
        <v>21941</v>
      </c>
      <c r="T67" s="23" t="s">
        <v>21951</v>
      </c>
      <c r="U67" s="23">
        <v>3361.0</v>
      </c>
      <c r="V67" s="23" t="s">
        <v>22485</v>
      </c>
      <c r="W67" s="23" t="s">
        <v>22487</v>
      </c>
      <c r="X67" s="23">
        <v>66.0</v>
      </c>
    </row>
    <row r="68">
      <c r="A68" s="23" t="s">
        <v>22490</v>
      </c>
      <c r="B68" s="23" t="s">
        <v>6876</v>
      </c>
      <c r="C68" s="23" t="s">
        <v>6877</v>
      </c>
      <c r="D68" s="23" t="s">
        <v>7831</v>
      </c>
      <c r="E68" s="23" t="s">
        <v>22492</v>
      </c>
      <c r="F68" s="23" t="s">
        <v>21956</v>
      </c>
      <c r="G68" s="23" t="s">
        <v>21941</v>
      </c>
      <c r="H68" s="23" t="s">
        <v>21957</v>
      </c>
      <c r="I68" s="23" t="s">
        <v>404</v>
      </c>
      <c r="J68" s="23" t="s">
        <v>404</v>
      </c>
      <c r="K68" s="23" t="s">
        <v>22493</v>
      </c>
      <c r="L68" s="23" t="s">
        <v>10379</v>
      </c>
      <c r="M68" s="23" t="s">
        <v>22495</v>
      </c>
      <c r="N68" s="23" t="s">
        <v>10710</v>
      </c>
      <c r="O68" s="23" t="s">
        <v>21941</v>
      </c>
      <c r="P68" s="23" t="s">
        <v>22392</v>
      </c>
      <c r="Q68" s="23" t="s">
        <v>21948</v>
      </c>
      <c r="R68" s="23" t="s">
        <v>21948</v>
      </c>
      <c r="S68" s="23" t="s">
        <v>21950</v>
      </c>
      <c r="T68" s="23" t="s">
        <v>21951</v>
      </c>
      <c r="U68" s="23">
        <v>3362.0</v>
      </c>
      <c r="V68" s="23" t="s">
        <v>22496</v>
      </c>
      <c r="W68" s="23" t="s">
        <v>22497</v>
      </c>
      <c r="X68" s="23">
        <v>67.0</v>
      </c>
    </row>
    <row r="69">
      <c r="A69" s="23" t="s">
        <v>22492</v>
      </c>
      <c r="B69" s="23" t="s">
        <v>6876</v>
      </c>
      <c r="C69" s="23" t="s">
        <v>6877</v>
      </c>
      <c r="D69" s="23" t="s">
        <v>7831</v>
      </c>
      <c r="E69" s="23" t="s">
        <v>22499</v>
      </c>
      <c r="F69" s="23" t="s">
        <v>21956</v>
      </c>
      <c r="G69" s="23" t="s">
        <v>21941</v>
      </c>
      <c r="H69" s="23" t="s">
        <v>21957</v>
      </c>
      <c r="I69" s="23" t="s">
        <v>406</v>
      </c>
      <c r="J69" s="23" t="s">
        <v>406</v>
      </c>
      <c r="K69" s="23" t="s">
        <v>7304</v>
      </c>
      <c r="L69" s="23" t="s">
        <v>10379</v>
      </c>
      <c r="M69" s="23" t="s">
        <v>22495</v>
      </c>
      <c r="N69" s="23" t="s">
        <v>10710</v>
      </c>
      <c r="O69" s="23" t="s">
        <v>21941</v>
      </c>
      <c r="P69" s="23" t="s">
        <v>22392</v>
      </c>
      <c r="Q69" s="23" t="s">
        <v>21948</v>
      </c>
      <c r="R69" s="23" t="s">
        <v>21948</v>
      </c>
      <c r="S69" s="23" t="s">
        <v>21950</v>
      </c>
      <c r="T69" s="23" t="s">
        <v>21951</v>
      </c>
      <c r="U69" s="23">
        <v>3363.0</v>
      </c>
      <c r="V69" s="23" t="s">
        <v>22500</v>
      </c>
      <c r="W69" s="23" t="s">
        <v>22501</v>
      </c>
      <c r="X69" s="23">
        <v>68.0</v>
      </c>
    </row>
    <row r="70">
      <c r="A70" s="23" t="s">
        <v>22499</v>
      </c>
      <c r="B70" s="23" t="s">
        <v>6876</v>
      </c>
      <c r="C70" s="23" t="s">
        <v>6877</v>
      </c>
      <c r="D70" s="23" t="s">
        <v>7831</v>
      </c>
      <c r="E70" s="23" t="s">
        <v>22504</v>
      </c>
      <c r="F70" s="23" t="s">
        <v>21956</v>
      </c>
      <c r="G70" s="23" t="s">
        <v>21941</v>
      </c>
      <c r="H70" s="23" t="s">
        <v>21957</v>
      </c>
      <c r="I70" s="23" t="s">
        <v>442</v>
      </c>
      <c r="J70" s="23" t="s">
        <v>442</v>
      </c>
      <c r="K70" s="23" t="s">
        <v>22506</v>
      </c>
      <c r="L70" s="23" t="s">
        <v>22065</v>
      </c>
      <c r="M70" s="23" t="s">
        <v>22066</v>
      </c>
      <c r="N70" s="23" t="s">
        <v>22508</v>
      </c>
      <c r="O70" s="23" t="s">
        <v>21941</v>
      </c>
      <c r="P70" s="23" t="s">
        <v>22417</v>
      </c>
      <c r="Q70" s="23" t="s">
        <v>21948</v>
      </c>
      <c r="R70" s="23" t="s">
        <v>21948</v>
      </c>
      <c r="S70" s="23" t="s">
        <v>21950</v>
      </c>
      <c r="T70" s="23" t="s">
        <v>21951</v>
      </c>
      <c r="U70" s="23">
        <v>3364.0</v>
      </c>
      <c r="V70" s="23" t="s">
        <v>22510</v>
      </c>
      <c r="W70" s="23" t="s">
        <v>22511</v>
      </c>
      <c r="X70" s="23">
        <v>69.0</v>
      </c>
    </row>
    <row r="71">
      <c r="A71" s="23" t="s">
        <v>22504</v>
      </c>
      <c r="B71" s="23" t="s">
        <v>6876</v>
      </c>
      <c r="C71" s="23" t="s">
        <v>6877</v>
      </c>
      <c r="D71" s="23" t="s">
        <v>7831</v>
      </c>
      <c r="E71" s="23" t="s">
        <v>22512</v>
      </c>
      <c r="F71" s="23" t="s">
        <v>21956</v>
      </c>
      <c r="G71" s="23" t="s">
        <v>21941</v>
      </c>
      <c r="H71" s="23" t="s">
        <v>21957</v>
      </c>
      <c r="I71" s="23" t="s">
        <v>444</v>
      </c>
      <c r="J71" s="23" t="s">
        <v>444</v>
      </c>
      <c r="K71" s="23" t="s">
        <v>22506</v>
      </c>
      <c r="L71" s="23" t="s">
        <v>22065</v>
      </c>
      <c r="M71" s="23" t="s">
        <v>22066</v>
      </c>
      <c r="N71" s="23" t="s">
        <v>22508</v>
      </c>
      <c r="O71" s="23" t="s">
        <v>21941</v>
      </c>
      <c r="P71" s="23" t="s">
        <v>22417</v>
      </c>
      <c r="Q71" s="23" t="s">
        <v>21948</v>
      </c>
      <c r="R71" s="23" t="s">
        <v>21948</v>
      </c>
      <c r="S71" s="23" t="s">
        <v>21950</v>
      </c>
      <c r="T71" s="23" t="s">
        <v>21951</v>
      </c>
      <c r="U71" s="23">
        <v>3365.0</v>
      </c>
      <c r="V71" s="23" t="s">
        <v>22517</v>
      </c>
      <c r="W71" s="23" t="s">
        <v>22518</v>
      </c>
      <c r="X71" s="23">
        <v>70.0</v>
      </c>
    </row>
    <row r="72">
      <c r="A72" s="23" t="s">
        <v>22512</v>
      </c>
      <c r="B72" s="23" t="s">
        <v>6876</v>
      </c>
      <c r="C72" s="23" t="s">
        <v>6877</v>
      </c>
      <c r="D72" s="23" t="s">
        <v>7831</v>
      </c>
      <c r="E72" s="23" t="s">
        <v>22522</v>
      </c>
      <c r="F72" s="23" t="s">
        <v>21956</v>
      </c>
      <c r="G72" s="23" t="s">
        <v>21941</v>
      </c>
      <c r="H72" s="23" t="s">
        <v>21957</v>
      </c>
      <c r="I72" s="23" t="s">
        <v>461</v>
      </c>
      <c r="J72" s="23" t="s">
        <v>461</v>
      </c>
      <c r="K72" s="23" t="s">
        <v>22524</v>
      </c>
      <c r="L72" s="23" t="s">
        <v>22525</v>
      </c>
      <c r="M72" s="23" t="s">
        <v>22526</v>
      </c>
      <c r="N72" s="23" t="s">
        <v>22528</v>
      </c>
      <c r="O72" s="23" t="s">
        <v>21941</v>
      </c>
      <c r="P72" s="23" t="s">
        <v>22068</v>
      </c>
      <c r="Q72" s="23" t="s">
        <v>21948</v>
      </c>
      <c r="R72" s="23" t="s">
        <v>21948</v>
      </c>
      <c r="S72" s="23" t="s">
        <v>21941</v>
      </c>
      <c r="T72" s="23" t="s">
        <v>21951</v>
      </c>
      <c r="U72" s="23">
        <v>3366.0</v>
      </c>
      <c r="V72" s="23" t="s">
        <v>22529</v>
      </c>
      <c r="W72" s="23" t="s">
        <v>22530</v>
      </c>
      <c r="X72" s="23">
        <v>71.0</v>
      </c>
    </row>
    <row r="73">
      <c r="A73" s="23" t="s">
        <v>22522</v>
      </c>
      <c r="B73" s="23" t="s">
        <v>6876</v>
      </c>
      <c r="C73" s="23" t="s">
        <v>6877</v>
      </c>
      <c r="D73" s="23" t="s">
        <v>7831</v>
      </c>
      <c r="E73" s="23" t="s">
        <v>22531</v>
      </c>
      <c r="F73" s="23" t="s">
        <v>21956</v>
      </c>
      <c r="G73" s="23" t="s">
        <v>21941</v>
      </c>
      <c r="H73" s="23" t="s">
        <v>21957</v>
      </c>
      <c r="I73" s="23" t="s">
        <v>462</v>
      </c>
      <c r="J73" s="23" t="s">
        <v>462</v>
      </c>
      <c r="K73" s="23" t="s">
        <v>22524</v>
      </c>
      <c r="L73" s="23" t="s">
        <v>22532</v>
      </c>
      <c r="M73" s="23" t="s">
        <v>22533</v>
      </c>
      <c r="N73" s="23" t="s">
        <v>22534</v>
      </c>
      <c r="O73" s="23" t="s">
        <v>21941</v>
      </c>
      <c r="P73" s="23" t="s">
        <v>22068</v>
      </c>
      <c r="Q73" s="23" t="s">
        <v>21948</v>
      </c>
      <c r="R73" s="23" t="s">
        <v>21948</v>
      </c>
      <c r="S73" s="23" t="s">
        <v>21950</v>
      </c>
      <c r="T73" s="23" t="s">
        <v>21951</v>
      </c>
      <c r="U73" s="23">
        <v>3367.0</v>
      </c>
      <c r="V73" s="23" t="s">
        <v>22535</v>
      </c>
      <c r="W73" s="23" t="s">
        <v>22536</v>
      </c>
      <c r="X73" s="23">
        <v>72.0</v>
      </c>
    </row>
    <row r="74">
      <c r="A74" s="23" t="s">
        <v>22531</v>
      </c>
      <c r="B74" s="23" t="s">
        <v>6876</v>
      </c>
      <c r="C74" s="23" t="s">
        <v>6877</v>
      </c>
      <c r="D74" s="23" t="s">
        <v>7831</v>
      </c>
      <c r="E74" s="23" t="s">
        <v>22538</v>
      </c>
      <c r="F74" s="23" t="s">
        <v>21956</v>
      </c>
      <c r="G74" s="23" t="s">
        <v>21941</v>
      </c>
      <c r="H74" s="23" t="s">
        <v>21957</v>
      </c>
      <c r="I74" s="23" t="s">
        <v>477</v>
      </c>
      <c r="J74" s="23" t="s">
        <v>477</v>
      </c>
      <c r="K74" s="23" t="s">
        <v>22540</v>
      </c>
      <c r="L74" s="23" t="s">
        <v>22541</v>
      </c>
      <c r="M74" s="23" t="s">
        <v>12159</v>
      </c>
      <c r="N74" s="23" t="s">
        <v>22542</v>
      </c>
      <c r="O74" s="23" t="s">
        <v>21941</v>
      </c>
      <c r="P74" s="23" t="s">
        <v>22392</v>
      </c>
      <c r="Q74" s="23" t="s">
        <v>21948</v>
      </c>
      <c r="R74" s="23" t="s">
        <v>21948</v>
      </c>
      <c r="S74" s="23" t="s">
        <v>21950</v>
      </c>
      <c r="T74" s="23" t="s">
        <v>21951</v>
      </c>
      <c r="U74" s="23">
        <v>3368.0</v>
      </c>
      <c r="V74" s="23" t="s">
        <v>22544</v>
      </c>
      <c r="W74" s="23" t="s">
        <v>22545</v>
      </c>
      <c r="X74" s="23">
        <v>73.0</v>
      </c>
    </row>
    <row r="75">
      <c r="A75" s="23" t="s">
        <v>22538</v>
      </c>
      <c r="B75" s="23" t="s">
        <v>6876</v>
      </c>
      <c r="C75" s="23" t="s">
        <v>6877</v>
      </c>
      <c r="D75" s="23" t="s">
        <v>7831</v>
      </c>
      <c r="E75" s="23" t="s">
        <v>22546</v>
      </c>
      <c r="F75" s="23" t="s">
        <v>21956</v>
      </c>
      <c r="G75" s="23" t="s">
        <v>21941</v>
      </c>
      <c r="H75" s="23" t="s">
        <v>21957</v>
      </c>
      <c r="I75" s="23" t="s">
        <v>481</v>
      </c>
      <c r="J75" s="23" t="s">
        <v>481</v>
      </c>
      <c r="K75" s="23" t="s">
        <v>22540</v>
      </c>
      <c r="L75" s="23" t="s">
        <v>22541</v>
      </c>
      <c r="M75" s="23" t="s">
        <v>12159</v>
      </c>
      <c r="N75" s="23" t="s">
        <v>22542</v>
      </c>
      <c r="O75" s="23" t="s">
        <v>21941</v>
      </c>
      <c r="P75" s="23" t="s">
        <v>22392</v>
      </c>
      <c r="Q75" s="23" t="s">
        <v>21948</v>
      </c>
      <c r="R75" s="23" t="s">
        <v>21948</v>
      </c>
      <c r="S75" s="23" t="s">
        <v>21950</v>
      </c>
      <c r="T75" s="23" t="s">
        <v>21951</v>
      </c>
      <c r="U75" s="23">
        <v>3369.0</v>
      </c>
      <c r="V75" s="23" t="s">
        <v>22547</v>
      </c>
      <c r="W75" s="23" t="s">
        <v>22548</v>
      </c>
      <c r="X75" s="23">
        <v>74.0</v>
      </c>
    </row>
    <row r="76">
      <c r="A76" s="23" t="s">
        <v>22546</v>
      </c>
      <c r="B76" s="23" t="s">
        <v>6876</v>
      </c>
      <c r="C76" s="23" t="s">
        <v>6877</v>
      </c>
      <c r="D76" s="23" t="s">
        <v>7831</v>
      </c>
      <c r="E76" s="23" t="s">
        <v>22549</v>
      </c>
      <c r="F76" s="23" t="s">
        <v>21956</v>
      </c>
      <c r="G76" s="23" t="s">
        <v>21941</v>
      </c>
      <c r="H76" s="23" t="s">
        <v>21957</v>
      </c>
      <c r="I76" s="23" t="s">
        <v>494</v>
      </c>
      <c r="J76" s="23" t="s">
        <v>494</v>
      </c>
      <c r="K76" s="23" t="s">
        <v>22552</v>
      </c>
      <c r="L76" s="23" t="s">
        <v>22553</v>
      </c>
      <c r="M76" s="23" t="s">
        <v>22554</v>
      </c>
      <c r="N76" s="23" t="s">
        <v>22555</v>
      </c>
      <c r="O76" s="23" t="s">
        <v>21941</v>
      </c>
      <c r="P76" s="23" t="s">
        <v>22068</v>
      </c>
      <c r="Q76" s="23" t="s">
        <v>21948</v>
      </c>
      <c r="R76" s="23" t="s">
        <v>21948</v>
      </c>
      <c r="S76" s="23" t="s">
        <v>21978</v>
      </c>
      <c r="T76" s="23" t="s">
        <v>21951</v>
      </c>
      <c r="U76" s="23">
        <v>3370.0</v>
      </c>
      <c r="V76" s="23" t="s">
        <v>22559</v>
      </c>
      <c r="W76" s="23" t="s">
        <v>22561</v>
      </c>
      <c r="X76" s="23">
        <v>75.0</v>
      </c>
    </row>
    <row r="77">
      <c r="A77" s="23" t="s">
        <v>22562</v>
      </c>
      <c r="B77" s="23" t="s">
        <v>6876</v>
      </c>
      <c r="C77" s="23" t="s">
        <v>6877</v>
      </c>
      <c r="D77" s="23" t="s">
        <v>7831</v>
      </c>
      <c r="E77" s="23" t="s">
        <v>22564</v>
      </c>
      <c r="F77" s="23" t="s">
        <v>21956</v>
      </c>
      <c r="G77" s="23" t="s">
        <v>21941</v>
      </c>
      <c r="H77" s="23" t="s">
        <v>21957</v>
      </c>
      <c r="I77" s="23" t="s">
        <v>496</v>
      </c>
      <c r="J77" s="23" t="s">
        <v>496</v>
      </c>
      <c r="K77" s="23" t="s">
        <v>22552</v>
      </c>
      <c r="L77" s="23" t="s">
        <v>22553</v>
      </c>
      <c r="M77" s="23" t="s">
        <v>22554</v>
      </c>
      <c r="N77" s="23" t="s">
        <v>22555</v>
      </c>
      <c r="O77" s="23" t="s">
        <v>21941</v>
      </c>
      <c r="P77" s="23" t="s">
        <v>22068</v>
      </c>
      <c r="Q77" s="23" t="s">
        <v>21948</v>
      </c>
      <c r="R77" s="23" t="s">
        <v>21948</v>
      </c>
      <c r="S77" s="23" t="s">
        <v>21978</v>
      </c>
      <c r="T77" s="23" t="s">
        <v>21951</v>
      </c>
      <c r="U77" s="23">
        <v>3371.0</v>
      </c>
      <c r="V77" s="23" t="s">
        <v>22565</v>
      </c>
      <c r="W77" s="23" t="s">
        <v>22566</v>
      </c>
      <c r="X77" s="23">
        <v>76.0</v>
      </c>
    </row>
    <row r="78">
      <c r="A78" s="23" t="s">
        <v>22567</v>
      </c>
      <c r="B78" s="23" t="s">
        <v>6876</v>
      </c>
      <c r="C78" s="23" t="s">
        <v>6877</v>
      </c>
      <c r="D78" s="23" t="s">
        <v>7831</v>
      </c>
      <c r="E78" s="23" t="s">
        <v>22568</v>
      </c>
      <c r="F78" s="23" t="s">
        <v>21956</v>
      </c>
      <c r="G78" s="23" t="s">
        <v>21941</v>
      </c>
      <c r="H78" s="23" t="s">
        <v>21957</v>
      </c>
      <c r="I78" s="23" t="s">
        <v>816</v>
      </c>
      <c r="J78" s="23" t="s">
        <v>816</v>
      </c>
      <c r="K78" s="23" t="s">
        <v>7836</v>
      </c>
      <c r="L78" s="23" t="s">
        <v>22571</v>
      </c>
      <c r="M78" s="23" t="s">
        <v>22572</v>
      </c>
      <c r="N78" s="23" t="s">
        <v>22573</v>
      </c>
      <c r="O78" s="23" t="s">
        <v>21995</v>
      </c>
      <c r="P78" s="23" t="s">
        <v>21948</v>
      </c>
      <c r="Q78" s="23" t="s">
        <v>21948</v>
      </c>
      <c r="R78" s="23" t="s">
        <v>21948</v>
      </c>
      <c r="S78" s="23" t="s">
        <v>21978</v>
      </c>
      <c r="T78" s="23" t="s">
        <v>21951</v>
      </c>
      <c r="U78" s="23">
        <v>3380.0</v>
      </c>
      <c r="V78" s="23" t="s">
        <v>22574</v>
      </c>
      <c r="W78" s="23" t="s">
        <v>22575</v>
      </c>
      <c r="X78" s="23">
        <v>77.0</v>
      </c>
    </row>
    <row r="79">
      <c r="A79" s="23" t="s">
        <v>22568</v>
      </c>
      <c r="B79" s="23" t="s">
        <v>6876</v>
      </c>
      <c r="C79" s="23" t="s">
        <v>6877</v>
      </c>
      <c r="D79" s="23" t="s">
        <v>7831</v>
      </c>
      <c r="E79" s="23" t="s">
        <v>22576</v>
      </c>
      <c r="F79" s="23" t="s">
        <v>21956</v>
      </c>
      <c r="G79" s="23" t="s">
        <v>21941</v>
      </c>
      <c r="H79" s="23" t="s">
        <v>21957</v>
      </c>
      <c r="I79" s="23" t="s">
        <v>819</v>
      </c>
      <c r="J79" s="23" t="s">
        <v>819</v>
      </c>
      <c r="K79" s="23" t="s">
        <v>7836</v>
      </c>
      <c r="L79" s="23" t="s">
        <v>22571</v>
      </c>
      <c r="M79" s="23" t="s">
        <v>22572</v>
      </c>
      <c r="N79" s="23" t="s">
        <v>22573</v>
      </c>
      <c r="O79" s="23" t="s">
        <v>21995</v>
      </c>
      <c r="P79" s="23" t="s">
        <v>21948</v>
      </c>
      <c r="Q79" s="23" t="s">
        <v>21948</v>
      </c>
      <c r="R79" s="23" t="s">
        <v>21948</v>
      </c>
      <c r="S79" s="23" t="s">
        <v>21978</v>
      </c>
      <c r="T79" s="23" t="s">
        <v>21951</v>
      </c>
      <c r="U79" s="23">
        <v>3381.0</v>
      </c>
      <c r="V79" s="23" t="s">
        <v>22578</v>
      </c>
      <c r="W79" s="23" t="s">
        <v>22579</v>
      </c>
      <c r="X79" s="23">
        <v>78.0</v>
      </c>
    </row>
    <row r="80">
      <c r="A80" s="23" t="s">
        <v>22576</v>
      </c>
      <c r="B80" s="23" t="s">
        <v>6876</v>
      </c>
      <c r="C80" s="23" t="s">
        <v>6877</v>
      </c>
      <c r="D80" s="23" t="s">
        <v>7831</v>
      </c>
      <c r="E80" s="23" t="s">
        <v>22580</v>
      </c>
      <c r="F80" s="23" t="s">
        <v>22107</v>
      </c>
      <c r="G80" s="23" t="s">
        <v>21941</v>
      </c>
      <c r="H80" s="23" t="s">
        <v>21957</v>
      </c>
      <c r="I80" s="23" t="s">
        <v>822</v>
      </c>
      <c r="J80" s="23" t="s">
        <v>822</v>
      </c>
      <c r="K80" s="23" t="s">
        <v>7836</v>
      </c>
      <c r="L80" s="23" t="s">
        <v>22571</v>
      </c>
      <c r="M80" s="23" t="s">
        <v>22572</v>
      </c>
      <c r="N80" s="23" t="s">
        <v>22581</v>
      </c>
      <c r="O80" s="23" t="s">
        <v>21995</v>
      </c>
      <c r="P80" s="23" t="s">
        <v>21948</v>
      </c>
      <c r="Q80" s="23" t="s">
        <v>21948</v>
      </c>
      <c r="R80" s="23" t="s">
        <v>21948</v>
      </c>
      <c r="S80" s="23" t="s">
        <v>21978</v>
      </c>
      <c r="T80" s="23" t="s">
        <v>21951</v>
      </c>
      <c r="U80" s="23">
        <v>3382.0</v>
      </c>
      <c r="V80" s="23" t="s">
        <v>22585</v>
      </c>
      <c r="W80" s="23" t="s">
        <v>22586</v>
      </c>
      <c r="X80" s="23">
        <v>79.0</v>
      </c>
    </row>
    <row r="81">
      <c r="A81" s="23" t="s">
        <v>22580</v>
      </c>
      <c r="B81" s="23" t="s">
        <v>6876</v>
      </c>
      <c r="C81" s="23" t="s">
        <v>6877</v>
      </c>
      <c r="D81" s="23" t="s">
        <v>7831</v>
      </c>
      <c r="E81" s="23" t="s">
        <v>22587</v>
      </c>
      <c r="F81" s="23" t="s">
        <v>22083</v>
      </c>
      <c r="G81" s="23" t="s">
        <v>21941</v>
      </c>
      <c r="H81" s="23" t="s">
        <v>21957</v>
      </c>
      <c r="I81" s="23" t="s">
        <v>824</v>
      </c>
      <c r="J81" s="23" t="s">
        <v>824</v>
      </c>
      <c r="K81" s="23" t="s">
        <v>7836</v>
      </c>
      <c r="L81" s="23" t="s">
        <v>22571</v>
      </c>
      <c r="M81" s="23" t="s">
        <v>22572</v>
      </c>
      <c r="N81" s="23" t="s">
        <v>22581</v>
      </c>
      <c r="O81" s="23" t="s">
        <v>21995</v>
      </c>
      <c r="P81" s="23" t="s">
        <v>21948</v>
      </c>
      <c r="Q81" s="23" t="s">
        <v>21948</v>
      </c>
      <c r="R81" s="23" t="s">
        <v>21948</v>
      </c>
      <c r="S81" s="23" t="s">
        <v>21978</v>
      </c>
      <c r="T81" s="23" t="s">
        <v>21951</v>
      </c>
      <c r="U81" s="23">
        <v>3383.0</v>
      </c>
      <c r="V81" s="23" t="s">
        <v>22592</v>
      </c>
      <c r="W81" s="23" t="s">
        <v>22593</v>
      </c>
      <c r="X81" s="23">
        <v>80.0</v>
      </c>
    </row>
    <row r="82">
      <c r="A82" s="23" t="s">
        <v>22594</v>
      </c>
      <c r="B82" s="23" t="s">
        <v>6876</v>
      </c>
      <c r="C82" s="23" t="s">
        <v>6877</v>
      </c>
      <c r="D82" s="23" t="s">
        <v>7831</v>
      </c>
      <c r="E82" s="23" t="s">
        <v>22595</v>
      </c>
      <c r="F82" s="23" t="s">
        <v>21956</v>
      </c>
      <c r="G82" s="23" t="s">
        <v>21941</v>
      </c>
      <c r="H82" s="23" t="s">
        <v>21957</v>
      </c>
      <c r="I82" s="23" t="s">
        <v>833</v>
      </c>
      <c r="J82" s="23" t="s">
        <v>833</v>
      </c>
      <c r="K82" s="23" t="s">
        <v>22596</v>
      </c>
      <c r="L82" s="23" t="s">
        <v>22597</v>
      </c>
      <c r="M82" s="23" t="s">
        <v>22598</v>
      </c>
      <c r="N82" s="23" t="s">
        <v>22599</v>
      </c>
      <c r="O82" s="23" t="s">
        <v>21995</v>
      </c>
      <c r="P82" s="23" t="s">
        <v>21948</v>
      </c>
      <c r="Q82" s="23" t="s">
        <v>21948</v>
      </c>
      <c r="R82" s="23" t="s">
        <v>22600</v>
      </c>
      <c r="S82" s="23" t="s">
        <v>21950</v>
      </c>
      <c r="T82" s="23" t="s">
        <v>21951</v>
      </c>
      <c r="U82" s="23">
        <v>3389.0</v>
      </c>
      <c r="V82" s="23" t="s">
        <v>22603</v>
      </c>
      <c r="W82" s="23" t="s">
        <v>22604</v>
      </c>
      <c r="X82" s="23">
        <v>81.0</v>
      </c>
    </row>
    <row r="83">
      <c r="A83" s="23" t="s">
        <v>22605</v>
      </c>
      <c r="B83" s="23" t="s">
        <v>6876</v>
      </c>
      <c r="C83" s="23" t="s">
        <v>6877</v>
      </c>
      <c r="D83" s="23" t="s">
        <v>7831</v>
      </c>
      <c r="E83" s="23" t="s">
        <v>22606</v>
      </c>
      <c r="F83" s="23" t="s">
        <v>21956</v>
      </c>
      <c r="G83" s="23" t="s">
        <v>21941</v>
      </c>
      <c r="H83" s="23" t="s">
        <v>21957</v>
      </c>
      <c r="I83" s="23" t="s">
        <v>22607</v>
      </c>
      <c r="J83" s="23" t="s">
        <v>22607</v>
      </c>
      <c r="K83" s="23" t="s">
        <v>22596</v>
      </c>
      <c r="L83" s="23" t="s">
        <v>22597</v>
      </c>
      <c r="M83" s="23" t="s">
        <v>22598</v>
      </c>
      <c r="N83" s="23" t="s">
        <v>22609</v>
      </c>
      <c r="O83" s="23" t="s">
        <v>21995</v>
      </c>
      <c r="P83" s="23" t="s">
        <v>21948</v>
      </c>
      <c r="Q83" s="23" t="s">
        <v>21948</v>
      </c>
      <c r="R83" s="23" t="s">
        <v>22610</v>
      </c>
      <c r="S83" s="23" t="s">
        <v>21950</v>
      </c>
      <c r="T83" s="23" t="s">
        <v>21951</v>
      </c>
      <c r="U83" s="23">
        <v>3390.0</v>
      </c>
      <c r="V83" s="23" t="s">
        <v>22611</v>
      </c>
      <c r="W83" s="23" t="s">
        <v>22612</v>
      </c>
      <c r="X83" s="23">
        <v>82.0</v>
      </c>
    </row>
    <row r="84">
      <c r="A84" s="23" t="s">
        <v>22606</v>
      </c>
      <c r="B84" s="23" t="s">
        <v>6876</v>
      </c>
      <c r="C84" s="23" t="s">
        <v>6877</v>
      </c>
      <c r="D84" s="23" t="s">
        <v>7831</v>
      </c>
      <c r="E84" s="23" t="s">
        <v>22614</v>
      </c>
      <c r="F84" s="23" t="s">
        <v>22161</v>
      </c>
      <c r="G84" s="23" t="s">
        <v>21941</v>
      </c>
      <c r="H84" s="23" t="s">
        <v>21957</v>
      </c>
      <c r="I84" s="23" t="s">
        <v>836</v>
      </c>
      <c r="J84" s="23" t="s">
        <v>836</v>
      </c>
      <c r="K84" s="23" t="s">
        <v>22596</v>
      </c>
      <c r="L84" s="23" t="s">
        <v>22597</v>
      </c>
      <c r="M84" s="23" t="s">
        <v>22598</v>
      </c>
      <c r="N84" s="23" t="s">
        <v>22615</v>
      </c>
      <c r="O84" s="23" t="s">
        <v>21995</v>
      </c>
      <c r="P84" s="23" t="s">
        <v>21948</v>
      </c>
      <c r="Q84" s="23" t="s">
        <v>21948</v>
      </c>
      <c r="R84" s="23" t="s">
        <v>22617</v>
      </c>
      <c r="S84" s="23" t="s">
        <v>21950</v>
      </c>
      <c r="T84" s="23" t="s">
        <v>21951</v>
      </c>
      <c r="U84" s="23">
        <v>3391.0</v>
      </c>
      <c r="V84" s="23" t="s">
        <v>22618</v>
      </c>
      <c r="W84" s="23" t="s">
        <v>22620</v>
      </c>
      <c r="X84" s="23">
        <v>83.0</v>
      </c>
    </row>
    <row r="85">
      <c r="A85" s="23" t="s">
        <v>22614</v>
      </c>
      <c r="B85" s="23" t="s">
        <v>6876</v>
      </c>
      <c r="C85" s="23" t="s">
        <v>6877</v>
      </c>
      <c r="D85" s="23" t="s">
        <v>7831</v>
      </c>
      <c r="E85" s="23" t="s">
        <v>22622</v>
      </c>
      <c r="F85" s="23" t="s">
        <v>22174</v>
      </c>
      <c r="G85" s="23" t="s">
        <v>21941</v>
      </c>
      <c r="H85" s="23" t="s">
        <v>21957</v>
      </c>
      <c r="I85" s="23" t="s">
        <v>838</v>
      </c>
      <c r="J85" s="23" t="s">
        <v>838</v>
      </c>
      <c r="K85" s="23" t="s">
        <v>22596</v>
      </c>
      <c r="L85" s="23" t="s">
        <v>22597</v>
      </c>
      <c r="M85" s="23" t="s">
        <v>22598</v>
      </c>
      <c r="N85" s="23" t="s">
        <v>22624</v>
      </c>
      <c r="O85" s="23" t="s">
        <v>21995</v>
      </c>
      <c r="P85" s="23" t="s">
        <v>21948</v>
      </c>
      <c r="Q85" s="23" t="s">
        <v>21948</v>
      </c>
      <c r="R85" s="23" t="s">
        <v>22625</v>
      </c>
      <c r="S85" s="23" t="s">
        <v>21950</v>
      </c>
      <c r="T85" s="23" t="s">
        <v>21951</v>
      </c>
      <c r="U85" s="23">
        <v>3392.0</v>
      </c>
      <c r="V85" s="23" t="s">
        <v>22626</v>
      </c>
      <c r="W85" s="23" t="s">
        <v>22627</v>
      </c>
      <c r="X85" s="23">
        <v>84.0</v>
      </c>
    </row>
    <row r="86">
      <c r="A86" s="23" t="s">
        <v>22629</v>
      </c>
      <c r="B86" s="23" t="s">
        <v>6876</v>
      </c>
      <c r="C86" s="23" t="s">
        <v>6877</v>
      </c>
      <c r="D86" s="23" t="s">
        <v>7831</v>
      </c>
      <c r="E86" s="23" t="s">
        <v>22632</v>
      </c>
      <c r="F86" s="23" t="s">
        <v>21956</v>
      </c>
      <c r="G86" s="23" t="s">
        <v>21941</v>
      </c>
      <c r="H86" s="23" t="s">
        <v>21957</v>
      </c>
      <c r="I86" s="23" t="s">
        <v>834</v>
      </c>
      <c r="J86" s="23" t="s">
        <v>834</v>
      </c>
      <c r="K86" s="23" t="s">
        <v>22596</v>
      </c>
      <c r="L86" s="23" t="s">
        <v>22597</v>
      </c>
      <c r="M86" s="23" t="s">
        <v>22598</v>
      </c>
      <c r="N86" s="23" t="s">
        <v>22609</v>
      </c>
      <c r="O86" s="23" t="s">
        <v>21995</v>
      </c>
      <c r="P86" s="23" t="s">
        <v>21948</v>
      </c>
      <c r="Q86" s="23" t="s">
        <v>21948</v>
      </c>
      <c r="R86" s="23" t="s">
        <v>21948</v>
      </c>
      <c r="S86" s="23" t="s">
        <v>21950</v>
      </c>
      <c r="T86" s="23" t="s">
        <v>22634</v>
      </c>
      <c r="U86" s="23">
        <v>3402.0</v>
      </c>
      <c r="V86" s="23" t="s">
        <v>22635</v>
      </c>
      <c r="W86" s="23" t="s">
        <v>22636</v>
      </c>
      <c r="X86" s="23">
        <v>85.0</v>
      </c>
    </row>
    <row r="87">
      <c r="A87" s="23" t="s">
        <v>22639</v>
      </c>
      <c r="B87" s="23" t="s">
        <v>6876</v>
      </c>
      <c r="C87" s="23" t="s">
        <v>6877</v>
      </c>
      <c r="D87" s="23" t="s">
        <v>7831</v>
      </c>
      <c r="E87" s="23" t="s">
        <v>22640</v>
      </c>
      <c r="F87" s="23" t="s">
        <v>21940</v>
      </c>
      <c r="G87" s="23" t="s">
        <v>21941</v>
      </c>
      <c r="H87" s="23" t="s">
        <v>22016</v>
      </c>
      <c r="I87" s="23" t="s">
        <v>489</v>
      </c>
      <c r="J87" s="23" t="s">
        <v>489</v>
      </c>
      <c r="K87" s="23" t="s">
        <v>22641</v>
      </c>
      <c r="L87" s="23" t="s">
        <v>7706</v>
      </c>
      <c r="M87" s="23" t="s">
        <v>22643</v>
      </c>
      <c r="N87" s="23" t="s">
        <v>22644</v>
      </c>
      <c r="O87" s="23" t="s">
        <v>21941</v>
      </c>
      <c r="P87" s="23" t="s">
        <v>22392</v>
      </c>
      <c r="Q87" s="23" t="s">
        <v>21948</v>
      </c>
      <c r="R87" s="23" t="s">
        <v>21948</v>
      </c>
      <c r="S87" s="23" t="s">
        <v>21941</v>
      </c>
      <c r="T87" s="23" t="s">
        <v>22634</v>
      </c>
      <c r="U87" s="23">
        <v>3403.0</v>
      </c>
      <c r="V87" s="23" t="s">
        <v>22645</v>
      </c>
      <c r="W87" s="23" t="s">
        <v>22646</v>
      </c>
      <c r="X87" s="23">
        <v>86.0</v>
      </c>
    </row>
    <row r="88">
      <c r="A88" s="23" t="s">
        <v>22647</v>
      </c>
      <c r="B88" s="23" t="s">
        <v>6876</v>
      </c>
      <c r="C88" s="23" t="s">
        <v>6877</v>
      </c>
      <c r="D88" s="23" t="s">
        <v>7831</v>
      </c>
      <c r="E88" s="23" t="s">
        <v>22648</v>
      </c>
      <c r="F88" s="23" t="s">
        <v>21940</v>
      </c>
      <c r="G88" s="23" t="s">
        <v>21941</v>
      </c>
      <c r="H88" s="23" t="s">
        <v>22016</v>
      </c>
      <c r="I88" s="23" t="s">
        <v>325</v>
      </c>
      <c r="J88" s="23" t="s">
        <v>325</v>
      </c>
      <c r="K88" s="23" t="s">
        <v>22649</v>
      </c>
      <c r="L88" s="23" t="s">
        <v>7237</v>
      </c>
      <c r="M88" s="23" t="s">
        <v>22650</v>
      </c>
      <c r="N88" s="23" t="s">
        <v>22651</v>
      </c>
      <c r="O88" s="23" t="s">
        <v>21941</v>
      </c>
      <c r="P88" s="23" t="s">
        <v>22392</v>
      </c>
      <c r="Q88" s="23" t="s">
        <v>21948</v>
      </c>
      <c r="R88" s="23" t="s">
        <v>22654</v>
      </c>
      <c r="S88" s="23" t="s">
        <v>21950</v>
      </c>
      <c r="T88" s="23" t="s">
        <v>22634</v>
      </c>
      <c r="U88" s="23">
        <v>3404.0</v>
      </c>
      <c r="V88" s="23" t="s">
        <v>22656</v>
      </c>
      <c r="W88" s="23" t="s">
        <v>22658</v>
      </c>
      <c r="X88" s="23">
        <v>87.0</v>
      </c>
    </row>
    <row r="89">
      <c r="A89" s="23" t="s">
        <v>22659</v>
      </c>
      <c r="B89" s="23" t="s">
        <v>6876</v>
      </c>
      <c r="C89" s="23" t="s">
        <v>6877</v>
      </c>
      <c r="D89" s="23" t="s">
        <v>7831</v>
      </c>
      <c r="E89" s="23" t="s">
        <v>22660</v>
      </c>
      <c r="F89" s="23" t="s">
        <v>21956</v>
      </c>
      <c r="G89" s="23" t="s">
        <v>21941</v>
      </c>
      <c r="H89" s="23" t="s">
        <v>22662</v>
      </c>
      <c r="I89" s="23" t="s">
        <v>737</v>
      </c>
      <c r="J89" s="23" t="s">
        <v>737</v>
      </c>
      <c r="K89" s="23" t="s">
        <v>22663</v>
      </c>
      <c r="L89" s="23" t="s">
        <v>22325</v>
      </c>
      <c r="M89" s="23" t="s">
        <v>22664</v>
      </c>
      <c r="N89" s="23" t="s">
        <v>22665</v>
      </c>
      <c r="O89" s="23" t="s">
        <v>21995</v>
      </c>
      <c r="P89" s="23" t="s">
        <v>21948</v>
      </c>
      <c r="Q89" s="23" t="s">
        <v>21948</v>
      </c>
      <c r="R89" s="23" t="s">
        <v>21948</v>
      </c>
      <c r="S89" s="23" t="s">
        <v>22023</v>
      </c>
      <c r="T89" s="23" t="s">
        <v>22634</v>
      </c>
      <c r="U89" s="23">
        <v>3410.0</v>
      </c>
      <c r="V89" s="23" t="s">
        <v>22666</v>
      </c>
      <c r="W89" s="23" t="s">
        <v>22667</v>
      </c>
      <c r="X89" s="23">
        <v>88.0</v>
      </c>
    </row>
    <row r="90">
      <c r="A90" s="23" t="s">
        <v>22660</v>
      </c>
      <c r="B90" s="23" t="s">
        <v>6876</v>
      </c>
      <c r="C90" s="23" t="s">
        <v>6877</v>
      </c>
      <c r="D90" s="23" t="s">
        <v>7831</v>
      </c>
      <c r="E90" s="23" t="s">
        <v>22668</v>
      </c>
      <c r="F90" s="23" t="s">
        <v>21940</v>
      </c>
      <c r="G90" s="23" t="s">
        <v>21941</v>
      </c>
      <c r="H90" s="23" t="s">
        <v>22662</v>
      </c>
      <c r="I90" s="23" t="s">
        <v>751</v>
      </c>
      <c r="J90" s="23" t="s">
        <v>751</v>
      </c>
      <c r="K90" s="23" t="s">
        <v>22669</v>
      </c>
      <c r="L90" s="23" t="s">
        <v>22325</v>
      </c>
      <c r="M90" s="23" t="s">
        <v>22664</v>
      </c>
      <c r="N90" s="23" t="s">
        <v>22665</v>
      </c>
      <c r="O90" s="23" t="s">
        <v>21995</v>
      </c>
      <c r="P90" s="23" t="s">
        <v>21948</v>
      </c>
      <c r="Q90" s="23" t="s">
        <v>21948</v>
      </c>
      <c r="R90" s="23" t="s">
        <v>21948</v>
      </c>
      <c r="S90" s="23" t="s">
        <v>22023</v>
      </c>
      <c r="T90" s="23" t="s">
        <v>22634</v>
      </c>
      <c r="U90" s="23">
        <v>3411.0</v>
      </c>
      <c r="V90" s="23" t="s">
        <v>22675</v>
      </c>
      <c r="W90" s="23" t="s">
        <v>22676</v>
      </c>
      <c r="X90" s="23">
        <v>89.0</v>
      </c>
    </row>
    <row r="91">
      <c r="A91" s="23" t="s">
        <v>22668</v>
      </c>
      <c r="B91" s="23" t="s">
        <v>6876</v>
      </c>
      <c r="C91" s="23" t="s">
        <v>6877</v>
      </c>
      <c r="D91" s="23" t="s">
        <v>7831</v>
      </c>
      <c r="E91" s="23" t="s">
        <v>22678</v>
      </c>
      <c r="F91" s="23" t="s">
        <v>21940</v>
      </c>
      <c r="G91" s="23" t="s">
        <v>21941</v>
      </c>
      <c r="H91" s="23" t="s">
        <v>22662</v>
      </c>
      <c r="I91" s="23" t="s">
        <v>815</v>
      </c>
      <c r="J91" s="23" t="s">
        <v>815</v>
      </c>
      <c r="K91" s="23" t="s">
        <v>7836</v>
      </c>
      <c r="L91" s="23" t="s">
        <v>22571</v>
      </c>
      <c r="M91" s="23" t="s">
        <v>22572</v>
      </c>
      <c r="N91" s="23" t="s">
        <v>22680</v>
      </c>
      <c r="O91" s="23" t="s">
        <v>21995</v>
      </c>
      <c r="P91" s="23" t="s">
        <v>21948</v>
      </c>
      <c r="Q91" s="23" t="s">
        <v>21948</v>
      </c>
      <c r="R91" s="23" t="s">
        <v>21948</v>
      </c>
      <c r="S91" s="23" t="s">
        <v>21950</v>
      </c>
      <c r="T91" s="23" t="s">
        <v>22634</v>
      </c>
      <c r="U91" s="23">
        <v>3412.0</v>
      </c>
      <c r="V91" s="23" t="s">
        <v>22681</v>
      </c>
      <c r="W91" s="23" t="s">
        <v>22682</v>
      </c>
      <c r="X91" s="23">
        <v>90.0</v>
      </c>
    </row>
    <row r="92">
      <c r="A92" s="23" t="s">
        <v>22678</v>
      </c>
      <c r="B92" s="23" t="s">
        <v>6876</v>
      </c>
      <c r="C92" s="23" t="s">
        <v>6877</v>
      </c>
      <c r="D92" s="23" t="s">
        <v>7831</v>
      </c>
      <c r="E92" s="23" t="s">
        <v>22683</v>
      </c>
      <c r="F92" s="23" t="s">
        <v>21940</v>
      </c>
      <c r="G92" s="23" t="s">
        <v>21941</v>
      </c>
      <c r="H92" s="23" t="s">
        <v>22662</v>
      </c>
      <c r="I92" s="23" t="s">
        <v>831</v>
      </c>
      <c r="J92" s="23" t="s">
        <v>831</v>
      </c>
      <c r="K92" s="23" t="s">
        <v>22684</v>
      </c>
      <c r="L92" s="23" t="s">
        <v>22685</v>
      </c>
      <c r="M92" s="23" t="s">
        <v>22686</v>
      </c>
      <c r="N92" s="23" t="s">
        <v>22687</v>
      </c>
      <c r="O92" s="23" t="s">
        <v>21995</v>
      </c>
      <c r="P92" s="23" t="s">
        <v>21948</v>
      </c>
      <c r="Q92" s="23" t="s">
        <v>21948</v>
      </c>
      <c r="R92" s="23" t="s">
        <v>22688</v>
      </c>
      <c r="S92" s="23" t="s">
        <v>21978</v>
      </c>
      <c r="T92" s="23" t="s">
        <v>22634</v>
      </c>
      <c r="U92" s="23">
        <v>3413.0</v>
      </c>
      <c r="V92" s="23" t="s">
        <v>22689</v>
      </c>
      <c r="W92" s="23" t="s">
        <v>22690</v>
      </c>
      <c r="X92" s="23">
        <v>91.0</v>
      </c>
    </row>
    <row r="93">
      <c r="A93" s="23" t="s">
        <v>22692</v>
      </c>
      <c r="B93" s="23" t="s">
        <v>6876</v>
      </c>
      <c r="C93" s="23" t="s">
        <v>6877</v>
      </c>
      <c r="D93" s="23" t="s">
        <v>7831</v>
      </c>
      <c r="E93" s="23" t="s">
        <v>22694</v>
      </c>
      <c r="F93" s="23" t="s">
        <v>21940</v>
      </c>
      <c r="G93" s="23" t="s">
        <v>21941</v>
      </c>
      <c r="H93" s="23" t="s">
        <v>21942</v>
      </c>
      <c r="I93" s="23" t="s">
        <v>840</v>
      </c>
      <c r="J93" s="23" t="s">
        <v>840</v>
      </c>
      <c r="K93" s="23" t="s">
        <v>7862</v>
      </c>
      <c r="L93" s="23" t="s">
        <v>7863</v>
      </c>
      <c r="M93" s="23" t="s">
        <v>7864</v>
      </c>
      <c r="N93" s="23" t="s">
        <v>22697</v>
      </c>
      <c r="O93" s="23" t="s">
        <v>21995</v>
      </c>
      <c r="P93" s="23" t="s">
        <v>21948</v>
      </c>
      <c r="Q93" s="23" t="s">
        <v>21948</v>
      </c>
      <c r="R93" s="23" t="s">
        <v>21948</v>
      </c>
      <c r="S93" s="23" t="s">
        <v>21950</v>
      </c>
      <c r="T93" s="23" t="s">
        <v>22634</v>
      </c>
      <c r="U93" s="23">
        <v>3414.0</v>
      </c>
      <c r="V93" s="23" t="s">
        <v>22698</v>
      </c>
      <c r="W93" s="23" t="s">
        <v>22699</v>
      </c>
      <c r="X93" s="23">
        <v>92.0</v>
      </c>
    </row>
    <row r="94">
      <c r="A94" s="23" t="s">
        <v>22700</v>
      </c>
      <c r="B94" s="23" t="s">
        <v>6876</v>
      </c>
      <c r="C94" s="23" t="s">
        <v>6877</v>
      </c>
      <c r="D94" s="23" t="s">
        <v>7831</v>
      </c>
      <c r="E94" s="23" t="s">
        <v>22701</v>
      </c>
      <c r="F94" s="23" t="s">
        <v>21956</v>
      </c>
      <c r="G94" s="23" t="s">
        <v>21941</v>
      </c>
      <c r="H94" s="23" t="s">
        <v>21957</v>
      </c>
      <c r="I94" s="23" t="s">
        <v>846</v>
      </c>
      <c r="J94" s="23" t="s">
        <v>846</v>
      </c>
      <c r="K94" s="23" t="s">
        <v>7990</v>
      </c>
      <c r="L94" s="23" t="s">
        <v>22702</v>
      </c>
      <c r="M94" s="23" t="s">
        <v>22703</v>
      </c>
      <c r="N94" s="23" t="s">
        <v>22704</v>
      </c>
      <c r="O94" s="23" t="s">
        <v>21995</v>
      </c>
      <c r="P94" s="23" t="s">
        <v>21948</v>
      </c>
      <c r="Q94" s="23" t="s">
        <v>21948</v>
      </c>
      <c r="R94" s="23" t="s">
        <v>21948</v>
      </c>
      <c r="S94" s="23" t="s">
        <v>22023</v>
      </c>
      <c r="T94" s="23" t="s">
        <v>22634</v>
      </c>
      <c r="U94" s="23">
        <v>3426.0</v>
      </c>
      <c r="V94" s="23" t="s">
        <v>22708</v>
      </c>
      <c r="W94" s="23" t="s">
        <v>22710</v>
      </c>
      <c r="X94" s="23">
        <v>93.0</v>
      </c>
    </row>
    <row r="95">
      <c r="A95" s="23" t="s">
        <v>22701</v>
      </c>
      <c r="B95" s="23" t="s">
        <v>6876</v>
      </c>
      <c r="C95" s="23" t="s">
        <v>6877</v>
      </c>
      <c r="D95" s="23" t="s">
        <v>7831</v>
      </c>
      <c r="E95" s="23" t="s">
        <v>22713</v>
      </c>
      <c r="F95" s="23" t="s">
        <v>21956</v>
      </c>
      <c r="G95" s="23" t="s">
        <v>21941</v>
      </c>
      <c r="H95" s="23" t="s">
        <v>21957</v>
      </c>
      <c r="I95" s="23" t="s">
        <v>847</v>
      </c>
      <c r="J95" s="23" t="s">
        <v>847</v>
      </c>
      <c r="K95" s="23" t="s">
        <v>7990</v>
      </c>
      <c r="L95" s="23" t="s">
        <v>22702</v>
      </c>
      <c r="M95" s="23" t="s">
        <v>22703</v>
      </c>
      <c r="N95" s="23" t="s">
        <v>22715</v>
      </c>
      <c r="O95" s="23" t="s">
        <v>21995</v>
      </c>
      <c r="P95" s="23" t="s">
        <v>21948</v>
      </c>
      <c r="Q95" s="23" t="s">
        <v>21948</v>
      </c>
      <c r="R95" s="23" t="s">
        <v>21948</v>
      </c>
      <c r="S95" s="23" t="s">
        <v>22023</v>
      </c>
      <c r="T95" s="23" t="s">
        <v>22634</v>
      </c>
      <c r="U95" s="23">
        <v>3427.0</v>
      </c>
      <c r="V95" s="23" t="s">
        <v>22716</v>
      </c>
      <c r="W95" s="23" t="s">
        <v>22717</v>
      </c>
      <c r="X95" s="23">
        <v>94.0</v>
      </c>
    </row>
    <row r="96">
      <c r="A96" s="23" t="s">
        <v>22718</v>
      </c>
      <c r="B96" s="23" t="s">
        <v>6876</v>
      </c>
      <c r="C96" s="23" t="s">
        <v>6877</v>
      </c>
      <c r="D96" s="23" t="s">
        <v>7831</v>
      </c>
      <c r="E96" s="23" t="s">
        <v>22721</v>
      </c>
      <c r="F96" s="23" t="s">
        <v>22107</v>
      </c>
      <c r="G96" s="23" t="s">
        <v>21941</v>
      </c>
      <c r="H96" s="23" t="s">
        <v>21957</v>
      </c>
      <c r="I96" s="23" t="s">
        <v>849</v>
      </c>
      <c r="J96" s="23" t="s">
        <v>849</v>
      </c>
      <c r="K96" s="23" t="s">
        <v>7990</v>
      </c>
      <c r="L96" s="23" t="s">
        <v>22702</v>
      </c>
      <c r="M96" s="23" t="s">
        <v>22703</v>
      </c>
      <c r="N96" s="23" t="s">
        <v>22723</v>
      </c>
      <c r="O96" s="23" t="s">
        <v>21995</v>
      </c>
      <c r="P96" s="23" t="s">
        <v>21948</v>
      </c>
      <c r="Q96" s="23" t="s">
        <v>21948</v>
      </c>
      <c r="R96" s="23" t="s">
        <v>21948</v>
      </c>
      <c r="S96" s="23" t="s">
        <v>21978</v>
      </c>
      <c r="T96" s="23" t="s">
        <v>22634</v>
      </c>
      <c r="U96" s="23">
        <v>3428.0</v>
      </c>
      <c r="V96" s="23" t="s">
        <v>22724</v>
      </c>
      <c r="W96" s="23" t="s">
        <v>22726</v>
      </c>
      <c r="X96" s="23">
        <v>95.0</v>
      </c>
    </row>
    <row r="97">
      <c r="A97" s="23" t="s">
        <v>22721</v>
      </c>
      <c r="B97" s="23" t="s">
        <v>6876</v>
      </c>
      <c r="C97" s="23" t="s">
        <v>6877</v>
      </c>
      <c r="D97" s="23" t="s">
        <v>7831</v>
      </c>
      <c r="E97" s="23" t="s">
        <v>22727</v>
      </c>
      <c r="F97" s="23" t="s">
        <v>22083</v>
      </c>
      <c r="G97" s="23" t="s">
        <v>21941</v>
      </c>
      <c r="H97" s="23" t="s">
        <v>21957</v>
      </c>
      <c r="I97" s="23" t="s">
        <v>850</v>
      </c>
      <c r="J97" s="23" t="s">
        <v>850</v>
      </c>
      <c r="K97" s="23" t="s">
        <v>7990</v>
      </c>
      <c r="L97" s="23" t="s">
        <v>22702</v>
      </c>
      <c r="M97" s="23" t="s">
        <v>22703</v>
      </c>
      <c r="N97" s="23" t="s">
        <v>22730</v>
      </c>
      <c r="O97" s="23" t="s">
        <v>21995</v>
      </c>
      <c r="P97" s="23" t="s">
        <v>21948</v>
      </c>
      <c r="Q97" s="23" t="s">
        <v>21948</v>
      </c>
      <c r="R97" s="23" t="s">
        <v>21948</v>
      </c>
      <c r="S97" s="23" t="s">
        <v>21978</v>
      </c>
      <c r="T97" s="23" t="s">
        <v>22634</v>
      </c>
      <c r="U97" s="23">
        <v>3429.0</v>
      </c>
      <c r="V97" s="23" t="s">
        <v>22732</v>
      </c>
      <c r="W97" s="23" t="s">
        <v>22733</v>
      </c>
      <c r="X97" s="23">
        <v>96.0</v>
      </c>
    </row>
    <row r="98">
      <c r="A98" s="23" t="s">
        <v>22734</v>
      </c>
      <c r="B98" s="23" t="s">
        <v>6876</v>
      </c>
      <c r="C98" s="23" t="s">
        <v>6877</v>
      </c>
      <c r="D98" s="23" t="s">
        <v>7831</v>
      </c>
      <c r="E98" s="23" t="s">
        <v>22735</v>
      </c>
      <c r="F98" s="23" t="s">
        <v>22083</v>
      </c>
      <c r="G98" s="23" t="s">
        <v>21941</v>
      </c>
      <c r="H98" s="23" t="s">
        <v>22662</v>
      </c>
      <c r="I98" s="23" t="s">
        <v>853</v>
      </c>
      <c r="J98" s="23" t="s">
        <v>853</v>
      </c>
      <c r="K98" s="23" t="s">
        <v>22736</v>
      </c>
      <c r="L98" s="23" t="s">
        <v>22737</v>
      </c>
      <c r="M98" s="23" t="s">
        <v>22738</v>
      </c>
      <c r="N98" s="23" t="s">
        <v>22739</v>
      </c>
      <c r="O98" s="23" t="s">
        <v>21995</v>
      </c>
      <c r="P98" s="23" t="s">
        <v>21948</v>
      </c>
      <c r="Q98" s="23" t="s">
        <v>21948</v>
      </c>
      <c r="R98" s="23" t="s">
        <v>21948</v>
      </c>
      <c r="S98" s="23" t="s">
        <v>22023</v>
      </c>
      <c r="T98" s="23" t="s">
        <v>22634</v>
      </c>
      <c r="U98" s="23">
        <v>3430.0</v>
      </c>
      <c r="V98" s="23" t="s">
        <v>22740</v>
      </c>
      <c r="W98" s="23" t="s">
        <v>22741</v>
      </c>
      <c r="X98" s="23">
        <v>97.0</v>
      </c>
    </row>
    <row r="99">
      <c r="A99" s="23" t="s">
        <v>22735</v>
      </c>
      <c r="B99" s="23" t="s">
        <v>6876</v>
      </c>
      <c r="C99" s="23" t="s">
        <v>6877</v>
      </c>
      <c r="D99" s="23" t="s">
        <v>7831</v>
      </c>
      <c r="E99" s="23" t="s">
        <v>22744</v>
      </c>
      <c r="F99" s="23" t="s">
        <v>22083</v>
      </c>
      <c r="G99" s="23" t="s">
        <v>21941</v>
      </c>
      <c r="H99" s="23" t="s">
        <v>21942</v>
      </c>
      <c r="I99" s="23" t="s">
        <v>855</v>
      </c>
      <c r="J99" s="23" t="s">
        <v>855</v>
      </c>
      <c r="K99" s="23" t="s">
        <v>22745</v>
      </c>
      <c r="L99" s="23" t="s">
        <v>8003</v>
      </c>
      <c r="M99" s="23" t="s">
        <v>8004</v>
      </c>
      <c r="N99" s="23" t="s">
        <v>22749</v>
      </c>
      <c r="O99" s="23" t="s">
        <v>21995</v>
      </c>
      <c r="P99" s="23" t="s">
        <v>21948</v>
      </c>
      <c r="Q99" s="23" t="s">
        <v>21948</v>
      </c>
      <c r="R99" s="23" t="s">
        <v>21948</v>
      </c>
      <c r="S99" s="23" t="s">
        <v>21950</v>
      </c>
      <c r="T99" s="23" t="s">
        <v>22634</v>
      </c>
      <c r="U99" s="23">
        <v>3431.0</v>
      </c>
      <c r="V99" s="23" t="s">
        <v>22751</v>
      </c>
      <c r="W99" s="23" t="s">
        <v>22753</v>
      </c>
      <c r="X99" s="23">
        <v>98.0</v>
      </c>
    </row>
    <row r="100">
      <c r="A100" s="23" t="s">
        <v>22754</v>
      </c>
      <c r="B100" s="23" t="s">
        <v>6876</v>
      </c>
      <c r="C100" s="23" t="s">
        <v>6877</v>
      </c>
      <c r="D100" s="23" t="s">
        <v>6907</v>
      </c>
      <c r="E100" s="23" t="s">
        <v>22755</v>
      </c>
      <c r="F100" s="23" t="s">
        <v>22083</v>
      </c>
      <c r="G100" s="23" t="s">
        <v>21941</v>
      </c>
      <c r="H100" s="23" t="s">
        <v>22662</v>
      </c>
      <c r="I100" s="23" t="s">
        <v>861</v>
      </c>
      <c r="J100" s="23" t="s">
        <v>861</v>
      </c>
      <c r="K100" s="23" t="s">
        <v>7878</v>
      </c>
      <c r="L100" s="23" t="s">
        <v>7879</v>
      </c>
      <c r="M100" s="23" t="s">
        <v>7880</v>
      </c>
      <c r="N100" s="23" t="s">
        <v>22759</v>
      </c>
      <c r="O100" s="23" t="s">
        <v>21995</v>
      </c>
      <c r="P100" s="23" t="s">
        <v>21948</v>
      </c>
      <c r="Q100" s="23" t="s">
        <v>21948</v>
      </c>
      <c r="R100" s="23" t="s">
        <v>22760</v>
      </c>
      <c r="S100" s="23" t="s">
        <v>21950</v>
      </c>
      <c r="T100" s="23" t="s">
        <v>22634</v>
      </c>
      <c r="U100" s="23">
        <v>3432.0</v>
      </c>
      <c r="V100" s="23" t="s">
        <v>22761</v>
      </c>
      <c r="W100" s="23" t="s">
        <v>22762</v>
      </c>
      <c r="X100" s="23">
        <v>99.0</v>
      </c>
    </row>
    <row r="101">
      <c r="A101" s="23" t="s">
        <v>22763</v>
      </c>
      <c r="B101" s="23" t="s">
        <v>6876</v>
      </c>
      <c r="C101" s="23" t="s">
        <v>6877</v>
      </c>
      <c r="D101" s="23" t="s">
        <v>7831</v>
      </c>
      <c r="E101" s="23" t="s">
        <v>22765</v>
      </c>
      <c r="F101" s="23" t="s">
        <v>21956</v>
      </c>
      <c r="G101" s="23" t="s">
        <v>21941</v>
      </c>
      <c r="H101" s="23" t="s">
        <v>21957</v>
      </c>
      <c r="I101" s="23" t="s">
        <v>867</v>
      </c>
      <c r="J101" s="23" t="s">
        <v>867</v>
      </c>
      <c r="K101" s="23" t="s">
        <v>22766</v>
      </c>
      <c r="L101" s="23" t="s">
        <v>22767</v>
      </c>
      <c r="M101" s="23" t="s">
        <v>22768</v>
      </c>
      <c r="N101" s="23" t="s">
        <v>22769</v>
      </c>
      <c r="O101" s="23" t="s">
        <v>21995</v>
      </c>
      <c r="P101" s="23" t="s">
        <v>21948</v>
      </c>
      <c r="Q101" s="23" t="s">
        <v>21948</v>
      </c>
      <c r="R101" s="23" t="s">
        <v>21948</v>
      </c>
      <c r="S101" s="23" t="s">
        <v>21978</v>
      </c>
      <c r="T101" s="23" t="s">
        <v>22634</v>
      </c>
      <c r="U101" s="23">
        <v>3443.0</v>
      </c>
      <c r="V101" s="23" t="s">
        <v>22770</v>
      </c>
      <c r="W101" s="23" t="s">
        <v>22771</v>
      </c>
      <c r="X101" s="23">
        <v>100.0</v>
      </c>
    </row>
    <row r="102">
      <c r="A102" s="23" t="s">
        <v>22765</v>
      </c>
      <c r="B102" s="23" t="s">
        <v>6876</v>
      </c>
      <c r="C102" s="23" t="s">
        <v>6877</v>
      </c>
      <c r="D102" s="23" t="s">
        <v>7831</v>
      </c>
      <c r="E102" s="23" t="s">
        <v>22772</v>
      </c>
      <c r="F102" s="23" t="s">
        <v>21956</v>
      </c>
      <c r="G102" s="23" t="s">
        <v>21941</v>
      </c>
      <c r="H102" s="23" t="s">
        <v>21957</v>
      </c>
      <c r="I102" s="23" t="s">
        <v>869</v>
      </c>
      <c r="J102" s="23" t="s">
        <v>869</v>
      </c>
      <c r="K102" s="23" t="s">
        <v>22775</v>
      </c>
      <c r="L102" s="23" t="s">
        <v>22767</v>
      </c>
      <c r="M102" s="23" t="s">
        <v>22768</v>
      </c>
      <c r="N102" s="23" t="s">
        <v>22776</v>
      </c>
      <c r="O102" s="23" t="s">
        <v>21995</v>
      </c>
      <c r="P102" s="23" t="s">
        <v>21948</v>
      </c>
      <c r="Q102" s="23" t="s">
        <v>21948</v>
      </c>
      <c r="R102" s="23" t="s">
        <v>21948</v>
      </c>
      <c r="S102" s="23" t="s">
        <v>21978</v>
      </c>
      <c r="T102" s="23" t="s">
        <v>22634</v>
      </c>
      <c r="U102" s="23">
        <v>3444.0</v>
      </c>
      <c r="V102" s="23" t="s">
        <v>22778</v>
      </c>
      <c r="W102" s="23" t="s">
        <v>22779</v>
      </c>
      <c r="X102" s="23">
        <v>101.0</v>
      </c>
    </row>
    <row r="103">
      <c r="A103" s="23" t="s">
        <v>22780</v>
      </c>
      <c r="B103" s="23" t="s">
        <v>6876</v>
      </c>
      <c r="C103" s="23" t="s">
        <v>6877</v>
      </c>
      <c r="D103" s="23" t="s">
        <v>7831</v>
      </c>
      <c r="E103" s="23" t="s">
        <v>22781</v>
      </c>
      <c r="F103" s="23" t="s">
        <v>22161</v>
      </c>
      <c r="G103" s="23" t="s">
        <v>21941</v>
      </c>
      <c r="H103" s="23" t="s">
        <v>21957</v>
      </c>
      <c r="I103" s="23" t="s">
        <v>872</v>
      </c>
      <c r="J103" s="23" t="s">
        <v>872</v>
      </c>
      <c r="K103" s="23" t="s">
        <v>22782</v>
      </c>
      <c r="L103" s="23" t="s">
        <v>22767</v>
      </c>
      <c r="M103" s="23" t="s">
        <v>22768</v>
      </c>
      <c r="N103" s="23" t="s">
        <v>22783</v>
      </c>
      <c r="O103" s="23" t="s">
        <v>21995</v>
      </c>
      <c r="P103" s="23" t="s">
        <v>21948</v>
      </c>
      <c r="Q103" s="23" t="s">
        <v>21948</v>
      </c>
      <c r="R103" s="23" t="s">
        <v>21948</v>
      </c>
      <c r="S103" s="23" t="s">
        <v>22023</v>
      </c>
      <c r="T103" s="23" t="s">
        <v>22634</v>
      </c>
      <c r="U103" s="23">
        <v>3445.0</v>
      </c>
      <c r="V103" s="23" t="s">
        <v>22786</v>
      </c>
      <c r="W103" s="23" t="s">
        <v>22787</v>
      </c>
      <c r="X103" s="23">
        <v>102.0</v>
      </c>
    </row>
    <row r="104">
      <c r="A104" s="23" t="s">
        <v>22781</v>
      </c>
      <c r="B104" s="23" t="s">
        <v>6876</v>
      </c>
      <c r="C104" s="23" t="s">
        <v>6877</v>
      </c>
      <c r="D104" s="23" t="s">
        <v>7831</v>
      </c>
      <c r="E104" s="23" t="s">
        <v>22789</v>
      </c>
      <c r="F104" s="23" t="s">
        <v>22174</v>
      </c>
      <c r="G104" s="23" t="s">
        <v>21941</v>
      </c>
      <c r="H104" s="23" t="s">
        <v>21957</v>
      </c>
      <c r="I104" s="23" t="s">
        <v>875</v>
      </c>
      <c r="J104" s="23" t="s">
        <v>875</v>
      </c>
      <c r="K104" s="23" t="s">
        <v>22791</v>
      </c>
      <c r="L104" s="23" t="s">
        <v>22767</v>
      </c>
      <c r="M104" s="23" t="s">
        <v>22768</v>
      </c>
      <c r="N104" s="23" t="s">
        <v>22793</v>
      </c>
      <c r="O104" s="23" t="s">
        <v>21995</v>
      </c>
      <c r="P104" s="23" t="s">
        <v>21948</v>
      </c>
      <c r="Q104" s="23" t="s">
        <v>21948</v>
      </c>
      <c r="R104" s="23" t="s">
        <v>21948</v>
      </c>
      <c r="S104" s="23" t="s">
        <v>22023</v>
      </c>
      <c r="T104" s="23" t="s">
        <v>22634</v>
      </c>
      <c r="U104" s="23">
        <v>3446.0</v>
      </c>
      <c r="V104" s="23" t="s">
        <v>22796</v>
      </c>
      <c r="W104" s="23" t="s">
        <v>22797</v>
      </c>
      <c r="X104" s="23">
        <v>103.0</v>
      </c>
    </row>
    <row r="105">
      <c r="A105" s="23" t="s">
        <v>22798</v>
      </c>
      <c r="B105" s="23" t="s">
        <v>6876</v>
      </c>
      <c r="C105" s="23" t="s">
        <v>6877</v>
      </c>
      <c r="D105" s="23" t="s">
        <v>7831</v>
      </c>
      <c r="E105" s="23" t="s">
        <v>22799</v>
      </c>
      <c r="F105" s="23" t="s">
        <v>21940</v>
      </c>
      <c r="G105" s="23" t="s">
        <v>21941</v>
      </c>
      <c r="H105" s="23" t="s">
        <v>21942</v>
      </c>
      <c r="I105" s="23" t="s">
        <v>884</v>
      </c>
      <c r="J105" s="23" t="s">
        <v>884</v>
      </c>
      <c r="K105" s="23" t="s">
        <v>8016</v>
      </c>
      <c r="L105" s="23" t="s">
        <v>8017</v>
      </c>
      <c r="M105" s="23" t="s">
        <v>8018</v>
      </c>
      <c r="N105" s="23" t="s">
        <v>22800</v>
      </c>
      <c r="O105" s="23" t="s">
        <v>21995</v>
      </c>
      <c r="P105" s="23" t="s">
        <v>21948</v>
      </c>
      <c r="Q105" s="23" t="s">
        <v>21948</v>
      </c>
      <c r="R105" s="23" t="s">
        <v>21948</v>
      </c>
      <c r="S105" s="23" t="s">
        <v>21978</v>
      </c>
      <c r="T105" s="23" t="s">
        <v>22634</v>
      </c>
      <c r="U105" s="23">
        <v>3483.0</v>
      </c>
      <c r="V105" s="23" t="s">
        <v>22803</v>
      </c>
      <c r="W105" s="23" t="s">
        <v>22804</v>
      </c>
      <c r="X105" s="23">
        <v>104.0</v>
      </c>
    </row>
    <row r="106">
      <c r="A106" s="23" t="s">
        <v>22799</v>
      </c>
      <c r="B106" s="23" t="s">
        <v>6876</v>
      </c>
      <c r="C106" s="23" t="s">
        <v>6877</v>
      </c>
      <c r="D106" s="23" t="s">
        <v>7831</v>
      </c>
      <c r="E106" s="23" t="s">
        <v>22806</v>
      </c>
      <c r="F106" s="23" t="s">
        <v>21956</v>
      </c>
      <c r="G106" s="23" t="s">
        <v>21941</v>
      </c>
      <c r="H106" s="23" t="s">
        <v>21957</v>
      </c>
      <c r="I106" s="23" t="s">
        <v>889</v>
      </c>
      <c r="J106" s="23" t="s">
        <v>889</v>
      </c>
      <c r="K106" s="23" t="s">
        <v>22808</v>
      </c>
      <c r="L106" s="23" t="s">
        <v>8018</v>
      </c>
      <c r="M106" s="23" t="s">
        <v>22809</v>
      </c>
      <c r="N106" s="23" t="s">
        <v>22810</v>
      </c>
      <c r="O106" s="23" t="s">
        <v>21995</v>
      </c>
      <c r="P106" s="23" t="s">
        <v>21948</v>
      </c>
      <c r="Q106" s="23" t="s">
        <v>21948</v>
      </c>
      <c r="R106" s="23" t="s">
        <v>21948</v>
      </c>
      <c r="S106" s="23" t="s">
        <v>22023</v>
      </c>
      <c r="T106" s="23" t="s">
        <v>22634</v>
      </c>
      <c r="U106" s="23">
        <v>3484.0</v>
      </c>
      <c r="V106" s="23" t="s">
        <v>22811</v>
      </c>
      <c r="W106" s="23" t="s">
        <v>22812</v>
      </c>
      <c r="X106" s="23">
        <v>105.0</v>
      </c>
    </row>
    <row r="107">
      <c r="A107" s="23" t="s">
        <v>22806</v>
      </c>
      <c r="B107" s="23" t="s">
        <v>6876</v>
      </c>
      <c r="C107" s="23" t="s">
        <v>6877</v>
      </c>
      <c r="D107" s="23" t="s">
        <v>7831</v>
      </c>
      <c r="E107" s="23" t="s">
        <v>22813</v>
      </c>
      <c r="F107" s="23" t="s">
        <v>21956</v>
      </c>
      <c r="G107" s="23" t="s">
        <v>21941</v>
      </c>
      <c r="H107" s="23" t="s">
        <v>21957</v>
      </c>
      <c r="I107" s="23" t="s">
        <v>892</v>
      </c>
      <c r="J107" s="23" t="s">
        <v>892</v>
      </c>
      <c r="K107" s="23" t="s">
        <v>22808</v>
      </c>
      <c r="L107" s="23" t="s">
        <v>8018</v>
      </c>
      <c r="M107" s="23" t="s">
        <v>22809</v>
      </c>
      <c r="N107" s="23" t="s">
        <v>22809</v>
      </c>
      <c r="O107" s="23" t="s">
        <v>21995</v>
      </c>
      <c r="P107" s="23" t="s">
        <v>21948</v>
      </c>
      <c r="Q107" s="23" t="s">
        <v>21948</v>
      </c>
      <c r="R107" s="23" t="s">
        <v>21948</v>
      </c>
      <c r="S107" s="23" t="s">
        <v>22023</v>
      </c>
      <c r="T107" s="23" t="s">
        <v>22634</v>
      </c>
      <c r="U107" s="23">
        <v>3485.0</v>
      </c>
      <c r="V107" s="23" t="s">
        <v>22821</v>
      </c>
      <c r="W107" s="23" t="s">
        <v>22823</v>
      </c>
      <c r="X107" s="23">
        <v>106.0</v>
      </c>
    </row>
    <row r="108">
      <c r="A108" s="23" t="s">
        <v>22813</v>
      </c>
      <c r="B108" s="23" t="s">
        <v>6876</v>
      </c>
      <c r="C108" s="23" t="s">
        <v>6877</v>
      </c>
      <c r="D108" s="23" t="s">
        <v>7831</v>
      </c>
      <c r="E108" s="23" t="s">
        <v>22824</v>
      </c>
      <c r="F108" s="23" t="s">
        <v>22107</v>
      </c>
      <c r="G108" s="23" t="s">
        <v>21941</v>
      </c>
      <c r="H108" s="23" t="s">
        <v>21957</v>
      </c>
      <c r="I108" s="23" t="s">
        <v>894</v>
      </c>
      <c r="J108" s="23" t="s">
        <v>894</v>
      </c>
      <c r="K108" s="23" t="s">
        <v>22808</v>
      </c>
      <c r="L108" s="23" t="s">
        <v>8018</v>
      </c>
      <c r="M108" s="23" t="s">
        <v>22809</v>
      </c>
      <c r="N108" s="23" t="s">
        <v>22810</v>
      </c>
      <c r="O108" s="23" t="s">
        <v>21995</v>
      </c>
      <c r="P108" s="23" t="s">
        <v>21948</v>
      </c>
      <c r="Q108" s="23" t="s">
        <v>21948</v>
      </c>
      <c r="R108" s="23" t="s">
        <v>21948</v>
      </c>
      <c r="S108" s="23" t="s">
        <v>22023</v>
      </c>
      <c r="T108" s="23" t="s">
        <v>22634</v>
      </c>
      <c r="U108" s="23">
        <v>3486.0</v>
      </c>
      <c r="V108" s="23" t="s">
        <v>22825</v>
      </c>
      <c r="W108" s="23" t="s">
        <v>22826</v>
      </c>
      <c r="X108" s="23">
        <v>107.0</v>
      </c>
    </row>
    <row r="109">
      <c r="A109" s="23" t="s">
        <v>22824</v>
      </c>
      <c r="B109" s="23" t="s">
        <v>6876</v>
      </c>
      <c r="C109" s="23" t="s">
        <v>6877</v>
      </c>
      <c r="D109" s="23" t="s">
        <v>7831</v>
      </c>
      <c r="E109" s="23" t="s">
        <v>22829</v>
      </c>
      <c r="F109" s="23" t="s">
        <v>22083</v>
      </c>
      <c r="G109" s="23" t="s">
        <v>21941</v>
      </c>
      <c r="H109" s="23" t="s">
        <v>21957</v>
      </c>
      <c r="I109" s="23" t="s">
        <v>897</v>
      </c>
      <c r="J109" s="23" t="s">
        <v>897</v>
      </c>
      <c r="K109" s="23" t="s">
        <v>22808</v>
      </c>
      <c r="L109" s="23" t="s">
        <v>8018</v>
      </c>
      <c r="M109" s="23" t="s">
        <v>22809</v>
      </c>
      <c r="N109" s="23" t="s">
        <v>22830</v>
      </c>
      <c r="O109" s="23" t="s">
        <v>21995</v>
      </c>
      <c r="P109" s="23" t="s">
        <v>21948</v>
      </c>
      <c r="Q109" s="23" t="s">
        <v>21948</v>
      </c>
      <c r="R109" s="23" t="s">
        <v>21948</v>
      </c>
      <c r="S109" s="23" t="s">
        <v>22023</v>
      </c>
      <c r="T109" s="23" t="s">
        <v>22634</v>
      </c>
      <c r="U109" s="23">
        <v>3487.0</v>
      </c>
      <c r="V109" s="23" t="s">
        <v>22832</v>
      </c>
      <c r="W109" s="23" t="s">
        <v>22833</v>
      </c>
      <c r="X109" s="23">
        <v>108.0</v>
      </c>
    </row>
    <row r="110">
      <c r="A110" s="23" t="s">
        <v>22829</v>
      </c>
      <c r="B110" s="23" t="s">
        <v>6876</v>
      </c>
      <c r="C110" s="23" t="s">
        <v>6877</v>
      </c>
      <c r="D110" s="23" t="s">
        <v>7831</v>
      </c>
      <c r="E110" s="23" t="s">
        <v>22834</v>
      </c>
      <c r="F110" s="23" t="s">
        <v>21956</v>
      </c>
      <c r="G110" s="23" t="s">
        <v>21941</v>
      </c>
      <c r="H110" s="23" t="s">
        <v>22662</v>
      </c>
      <c r="I110" s="23" t="s">
        <v>901</v>
      </c>
      <c r="J110" s="23" t="s">
        <v>901</v>
      </c>
      <c r="K110" s="23" t="s">
        <v>22808</v>
      </c>
      <c r="L110" s="23" t="s">
        <v>8018</v>
      </c>
      <c r="M110" s="23" t="s">
        <v>22809</v>
      </c>
      <c r="N110" s="23" t="s">
        <v>22835</v>
      </c>
      <c r="O110" s="23" t="s">
        <v>21995</v>
      </c>
      <c r="P110" s="23" t="s">
        <v>21948</v>
      </c>
      <c r="Q110" s="23" t="s">
        <v>21948</v>
      </c>
      <c r="R110" s="23" t="s">
        <v>21948</v>
      </c>
      <c r="S110" s="23" t="s">
        <v>22023</v>
      </c>
      <c r="T110" s="23" t="s">
        <v>22634</v>
      </c>
      <c r="U110" s="23">
        <v>3488.0</v>
      </c>
      <c r="V110" s="23" t="s">
        <v>22837</v>
      </c>
      <c r="W110" s="23" t="s">
        <v>22839</v>
      </c>
      <c r="X110" s="23">
        <v>109.0</v>
      </c>
    </row>
    <row r="111">
      <c r="A111" s="23" t="s">
        <v>22840</v>
      </c>
      <c r="B111" s="23" t="s">
        <v>6876</v>
      </c>
      <c r="C111" s="23" t="s">
        <v>6877</v>
      </c>
      <c r="D111" s="23" t="s">
        <v>7831</v>
      </c>
      <c r="E111" s="23" t="s">
        <v>22842</v>
      </c>
      <c r="F111" s="23" t="s">
        <v>22083</v>
      </c>
      <c r="G111" s="23" t="s">
        <v>21941</v>
      </c>
      <c r="H111" s="23" t="s">
        <v>21942</v>
      </c>
      <c r="I111" s="23" t="s">
        <v>907</v>
      </c>
      <c r="J111" s="23" t="s">
        <v>907</v>
      </c>
      <c r="K111" s="23" t="s">
        <v>7939</v>
      </c>
      <c r="L111" s="23" t="s">
        <v>22846</v>
      </c>
      <c r="M111" s="23" t="s">
        <v>22847</v>
      </c>
      <c r="N111" s="23" t="s">
        <v>22848</v>
      </c>
      <c r="O111" s="23" t="s">
        <v>21995</v>
      </c>
      <c r="P111" s="23" t="s">
        <v>21948</v>
      </c>
      <c r="Q111" s="23" t="s">
        <v>21948</v>
      </c>
      <c r="R111" s="23" t="s">
        <v>21948</v>
      </c>
      <c r="S111" s="23" t="s">
        <v>21950</v>
      </c>
      <c r="T111" s="23" t="s">
        <v>22634</v>
      </c>
      <c r="U111" s="23">
        <v>3547.0</v>
      </c>
      <c r="V111" s="23" t="s">
        <v>22850</v>
      </c>
      <c r="W111" s="23" t="s">
        <v>22851</v>
      </c>
      <c r="X111" s="23">
        <v>110.0</v>
      </c>
    </row>
    <row r="112">
      <c r="A112" s="23" t="s">
        <v>22852</v>
      </c>
      <c r="B112" s="23" t="s">
        <v>6876</v>
      </c>
      <c r="C112" s="23" t="s">
        <v>6877</v>
      </c>
      <c r="D112" s="23" t="s">
        <v>7831</v>
      </c>
      <c r="E112" s="23" t="s">
        <v>22853</v>
      </c>
      <c r="F112" s="23" t="s">
        <v>22083</v>
      </c>
      <c r="G112" s="23" t="s">
        <v>21941</v>
      </c>
      <c r="H112" s="23" t="s">
        <v>22662</v>
      </c>
      <c r="I112" s="23" t="s">
        <v>912</v>
      </c>
      <c r="J112" s="23" t="s">
        <v>912</v>
      </c>
      <c r="K112" s="23" t="s">
        <v>7939</v>
      </c>
      <c r="L112" s="23" t="s">
        <v>22846</v>
      </c>
      <c r="M112" s="23" t="s">
        <v>22847</v>
      </c>
      <c r="N112" s="23" t="s">
        <v>22854</v>
      </c>
      <c r="O112" s="23" t="s">
        <v>21995</v>
      </c>
      <c r="P112" s="23" t="s">
        <v>21948</v>
      </c>
      <c r="Q112" s="23" t="s">
        <v>21948</v>
      </c>
      <c r="R112" s="23" t="s">
        <v>22855</v>
      </c>
      <c r="S112" s="23" t="s">
        <v>21950</v>
      </c>
      <c r="T112" s="23" t="s">
        <v>22634</v>
      </c>
      <c r="U112" s="23">
        <v>3548.0</v>
      </c>
      <c r="V112" s="23" t="s">
        <v>22856</v>
      </c>
      <c r="W112" s="23" t="s">
        <v>22858</v>
      </c>
      <c r="X112" s="23">
        <v>111.0</v>
      </c>
    </row>
    <row r="113">
      <c r="A113" s="23" t="s">
        <v>22853</v>
      </c>
      <c r="B113" s="23" t="s">
        <v>6876</v>
      </c>
      <c r="C113" s="23" t="s">
        <v>6877</v>
      </c>
      <c r="D113" s="23" t="s">
        <v>7831</v>
      </c>
      <c r="E113" s="23" t="s">
        <v>22860</v>
      </c>
      <c r="F113" s="23" t="s">
        <v>22861</v>
      </c>
      <c r="G113" s="23" t="s">
        <v>21941</v>
      </c>
      <c r="H113" s="23" t="s">
        <v>22862</v>
      </c>
      <c r="I113" s="23" t="s">
        <v>22863</v>
      </c>
      <c r="J113" s="23" t="s">
        <v>22863</v>
      </c>
      <c r="K113" s="23" t="s">
        <v>7939</v>
      </c>
      <c r="L113" s="23" t="s">
        <v>22846</v>
      </c>
      <c r="M113" s="23" t="s">
        <v>22847</v>
      </c>
      <c r="N113" s="23" t="s">
        <v>22854</v>
      </c>
      <c r="O113" s="23" t="s">
        <v>21995</v>
      </c>
      <c r="P113" s="23" t="s">
        <v>21948</v>
      </c>
      <c r="Q113" s="23" t="s">
        <v>21948</v>
      </c>
      <c r="R113" s="23" t="s">
        <v>22865</v>
      </c>
      <c r="S113" s="23" t="s">
        <v>21950</v>
      </c>
      <c r="T113" s="23" t="s">
        <v>22634</v>
      </c>
      <c r="U113" s="23">
        <v>3549.0</v>
      </c>
      <c r="V113" s="23" t="s">
        <v>22866</v>
      </c>
      <c r="W113" s="23" t="s">
        <v>22867</v>
      </c>
      <c r="X113" s="23">
        <v>112.0</v>
      </c>
    </row>
    <row r="114">
      <c r="A114" s="23" t="s">
        <v>22868</v>
      </c>
      <c r="B114" s="23" t="s">
        <v>6876</v>
      </c>
      <c r="C114" s="23" t="s">
        <v>6877</v>
      </c>
      <c r="D114" s="23" t="s">
        <v>7831</v>
      </c>
      <c r="E114" s="23" t="s">
        <v>22869</v>
      </c>
      <c r="F114" s="23" t="s">
        <v>21956</v>
      </c>
      <c r="G114" s="23" t="s">
        <v>21941</v>
      </c>
      <c r="H114" s="23" t="s">
        <v>21957</v>
      </c>
      <c r="I114" s="23" t="s">
        <v>916</v>
      </c>
      <c r="J114" s="23" t="s">
        <v>916</v>
      </c>
      <c r="K114" s="23" t="s">
        <v>7952</v>
      </c>
      <c r="L114" s="23" t="s">
        <v>22847</v>
      </c>
      <c r="M114" s="23" t="s">
        <v>22870</v>
      </c>
      <c r="N114" s="23" t="s">
        <v>22871</v>
      </c>
      <c r="O114" s="23" t="s">
        <v>21995</v>
      </c>
      <c r="P114" s="23" t="s">
        <v>21948</v>
      </c>
      <c r="Q114" s="23" t="s">
        <v>21948</v>
      </c>
      <c r="R114" s="23" t="s">
        <v>21948</v>
      </c>
      <c r="S114" s="23" t="s">
        <v>21950</v>
      </c>
      <c r="T114" s="23" t="s">
        <v>22634</v>
      </c>
      <c r="U114" s="23">
        <v>3552.0</v>
      </c>
      <c r="V114" s="23" t="s">
        <v>22872</v>
      </c>
      <c r="W114" s="23" t="s">
        <v>22873</v>
      </c>
      <c r="X114" s="23">
        <v>113.0</v>
      </c>
    </row>
    <row r="115">
      <c r="A115" s="23" t="s">
        <v>22875</v>
      </c>
      <c r="B115" s="23" t="s">
        <v>6876</v>
      </c>
      <c r="C115" s="23" t="s">
        <v>6877</v>
      </c>
      <c r="D115" s="23" t="s">
        <v>7831</v>
      </c>
      <c r="E115" s="23" t="s">
        <v>22876</v>
      </c>
      <c r="F115" s="23" t="s">
        <v>21956</v>
      </c>
      <c r="G115" s="23" t="s">
        <v>21941</v>
      </c>
      <c r="H115" s="23" t="s">
        <v>21957</v>
      </c>
      <c r="I115" s="23" t="s">
        <v>918</v>
      </c>
      <c r="J115" s="23" t="s">
        <v>918</v>
      </c>
      <c r="K115" s="23" t="s">
        <v>7952</v>
      </c>
      <c r="L115" s="23" t="s">
        <v>22847</v>
      </c>
      <c r="M115" s="23" t="s">
        <v>22870</v>
      </c>
      <c r="N115" s="23" t="s">
        <v>22871</v>
      </c>
      <c r="O115" s="23" t="s">
        <v>21995</v>
      </c>
      <c r="P115" s="23" t="s">
        <v>21948</v>
      </c>
      <c r="Q115" s="23" t="s">
        <v>21948</v>
      </c>
      <c r="R115" s="23" t="s">
        <v>21948</v>
      </c>
      <c r="S115" s="23" t="s">
        <v>21950</v>
      </c>
      <c r="T115" s="23" t="s">
        <v>22634</v>
      </c>
      <c r="U115" s="23">
        <v>3553.0</v>
      </c>
      <c r="V115" s="23" t="s">
        <v>22881</v>
      </c>
      <c r="W115" s="23" t="s">
        <v>22883</v>
      </c>
      <c r="X115" s="23">
        <v>114.0</v>
      </c>
    </row>
    <row r="116">
      <c r="A116" s="23" t="s">
        <v>22876</v>
      </c>
      <c r="B116" s="23" t="s">
        <v>6876</v>
      </c>
      <c r="C116" s="23" t="s">
        <v>6877</v>
      </c>
      <c r="D116" s="23" t="s">
        <v>7831</v>
      </c>
      <c r="E116" s="23" t="s">
        <v>22885</v>
      </c>
      <c r="F116" s="23" t="s">
        <v>22161</v>
      </c>
      <c r="G116" s="23" t="s">
        <v>21941</v>
      </c>
      <c r="H116" s="23" t="s">
        <v>21957</v>
      </c>
      <c r="I116" s="23" t="s">
        <v>920</v>
      </c>
      <c r="J116" s="23" t="s">
        <v>920</v>
      </c>
      <c r="K116" s="23" t="s">
        <v>7952</v>
      </c>
      <c r="L116" s="23" t="s">
        <v>22847</v>
      </c>
      <c r="M116" s="23" t="s">
        <v>22870</v>
      </c>
      <c r="N116" s="23" t="s">
        <v>22871</v>
      </c>
      <c r="O116" s="23" t="s">
        <v>21995</v>
      </c>
      <c r="P116" s="23" t="s">
        <v>21948</v>
      </c>
      <c r="Q116" s="23" t="s">
        <v>21948</v>
      </c>
      <c r="R116" s="23" t="s">
        <v>21948</v>
      </c>
      <c r="S116" s="23" t="s">
        <v>21978</v>
      </c>
      <c r="T116" s="23" t="s">
        <v>22634</v>
      </c>
      <c r="U116" s="23">
        <v>3554.0</v>
      </c>
      <c r="V116" s="23" t="s">
        <v>22887</v>
      </c>
      <c r="W116" s="23" t="s">
        <v>22888</v>
      </c>
      <c r="X116" s="23">
        <v>115.0</v>
      </c>
    </row>
    <row r="117">
      <c r="A117" s="23" t="s">
        <v>22885</v>
      </c>
      <c r="B117" s="23" t="s">
        <v>6876</v>
      </c>
      <c r="C117" s="23" t="s">
        <v>6877</v>
      </c>
      <c r="D117" s="23" t="s">
        <v>7831</v>
      </c>
      <c r="E117" s="23" t="s">
        <v>22889</v>
      </c>
      <c r="F117" s="23" t="s">
        <v>22174</v>
      </c>
      <c r="G117" s="23" t="s">
        <v>21941</v>
      </c>
      <c r="H117" s="23" t="s">
        <v>21957</v>
      </c>
      <c r="I117" s="23" t="s">
        <v>921</v>
      </c>
      <c r="J117" s="23" t="s">
        <v>921</v>
      </c>
      <c r="K117" s="23" t="s">
        <v>7952</v>
      </c>
      <c r="L117" s="23" t="s">
        <v>22847</v>
      </c>
      <c r="M117" s="23" t="s">
        <v>22870</v>
      </c>
      <c r="N117" s="23" t="s">
        <v>22892</v>
      </c>
      <c r="O117" s="23" t="s">
        <v>21995</v>
      </c>
      <c r="P117" s="23" t="s">
        <v>21948</v>
      </c>
      <c r="Q117" s="23" t="s">
        <v>21948</v>
      </c>
      <c r="R117" s="23" t="s">
        <v>21948</v>
      </c>
      <c r="S117" s="23" t="s">
        <v>21978</v>
      </c>
      <c r="T117" s="23" t="s">
        <v>22634</v>
      </c>
      <c r="U117" s="23">
        <v>3555.0</v>
      </c>
      <c r="V117" s="23" t="s">
        <v>22893</v>
      </c>
      <c r="W117" s="23" t="s">
        <v>22894</v>
      </c>
      <c r="X117" s="23">
        <v>116.0</v>
      </c>
    </row>
    <row r="118">
      <c r="A118" s="23" t="s">
        <v>22889</v>
      </c>
      <c r="B118" s="23" t="s">
        <v>6876</v>
      </c>
      <c r="C118" s="23" t="s">
        <v>6877</v>
      </c>
      <c r="D118" s="23" t="s">
        <v>7831</v>
      </c>
      <c r="E118" s="23" t="s">
        <v>22895</v>
      </c>
      <c r="F118" s="23" t="s">
        <v>22861</v>
      </c>
      <c r="G118" s="23" t="s">
        <v>21941</v>
      </c>
      <c r="H118" s="23" t="s">
        <v>22862</v>
      </c>
      <c r="I118" s="23" t="s">
        <v>22897</v>
      </c>
      <c r="J118" s="23" t="s">
        <v>22897</v>
      </c>
      <c r="K118" s="23" t="s">
        <v>7952</v>
      </c>
      <c r="L118" s="23" t="s">
        <v>22847</v>
      </c>
      <c r="M118" s="23" t="s">
        <v>22870</v>
      </c>
      <c r="N118" s="23" t="s">
        <v>22892</v>
      </c>
      <c r="O118" s="23" t="s">
        <v>21995</v>
      </c>
      <c r="P118" s="23" t="s">
        <v>21948</v>
      </c>
      <c r="Q118" s="23" t="s">
        <v>21948</v>
      </c>
      <c r="R118" s="23" t="s">
        <v>21948</v>
      </c>
      <c r="S118" s="23" t="s">
        <v>21978</v>
      </c>
      <c r="T118" s="23" t="s">
        <v>22634</v>
      </c>
      <c r="U118" s="23">
        <v>3556.0</v>
      </c>
      <c r="V118" s="23" t="s">
        <v>22898</v>
      </c>
      <c r="W118" s="23" t="s">
        <v>22899</v>
      </c>
      <c r="X118" s="23">
        <v>117.0</v>
      </c>
    </row>
    <row r="119">
      <c r="A119" s="23" t="s">
        <v>22900</v>
      </c>
      <c r="B119" s="23" t="s">
        <v>6876</v>
      </c>
      <c r="C119" s="23" t="s">
        <v>6877</v>
      </c>
      <c r="D119" s="23" t="s">
        <v>7831</v>
      </c>
      <c r="E119" s="23" t="s">
        <v>22901</v>
      </c>
      <c r="F119" s="23" t="s">
        <v>21940</v>
      </c>
      <c r="G119" s="23" t="s">
        <v>21941</v>
      </c>
      <c r="H119" s="23" t="s">
        <v>21942</v>
      </c>
      <c r="I119" s="23" t="s">
        <v>924</v>
      </c>
      <c r="J119" s="23" t="s">
        <v>924</v>
      </c>
      <c r="K119" s="23" t="s">
        <v>8045</v>
      </c>
      <c r="L119" s="23" t="s">
        <v>22902</v>
      </c>
      <c r="M119" s="23" t="s">
        <v>8075</v>
      </c>
      <c r="N119" s="23" t="s">
        <v>22903</v>
      </c>
      <c r="O119" s="23" t="s">
        <v>21995</v>
      </c>
      <c r="P119" s="23" t="s">
        <v>21948</v>
      </c>
      <c r="Q119" s="23" t="s">
        <v>21948</v>
      </c>
      <c r="R119" s="23" t="s">
        <v>22904</v>
      </c>
      <c r="S119" s="23" t="s">
        <v>21950</v>
      </c>
      <c r="T119" s="23" t="s">
        <v>22634</v>
      </c>
      <c r="U119" s="23">
        <v>3604.0</v>
      </c>
      <c r="V119" s="23" t="s">
        <v>22906</v>
      </c>
      <c r="W119" s="23" t="s">
        <v>22908</v>
      </c>
      <c r="X119" s="23">
        <v>118.0</v>
      </c>
    </row>
    <row r="120">
      <c r="A120" s="23" t="s">
        <v>22901</v>
      </c>
      <c r="B120" s="23" t="s">
        <v>6876</v>
      </c>
      <c r="C120" s="23" t="s">
        <v>6877</v>
      </c>
      <c r="D120" s="23" t="s">
        <v>7831</v>
      </c>
      <c r="E120" s="23" t="s">
        <v>22910</v>
      </c>
      <c r="F120" s="23" t="s">
        <v>22861</v>
      </c>
      <c r="G120" s="23" t="s">
        <v>21941</v>
      </c>
      <c r="H120" s="23" t="s">
        <v>22862</v>
      </c>
      <c r="I120" s="23" t="s">
        <v>928</v>
      </c>
      <c r="J120" s="23" t="s">
        <v>928</v>
      </c>
      <c r="K120" s="23" t="s">
        <v>22912</v>
      </c>
      <c r="L120" s="23" t="s">
        <v>8045</v>
      </c>
      <c r="M120" s="23" t="s">
        <v>22913</v>
      </c>
      <c r="N120" s="23" t="s">
        <v>22914</v>
      </c>
      <c r="O120" s="23" t="s">
        <v>21995</v>
      </c>
      <c r="P120" s="23" t="s">
        <v>21948</v>
      </c>
      <c r="Q120" s="23" t="s">
        <v>21948</v>
      </c>
      <c r="R120" s="23" t="s">
        <v>21948</v>
      </c>
      <c r="S120" s="23" t="s">
        <v>21950</v>
      </c>
      <c r="T120" s="23" t="s">
        <v>22634</v>
      </c>
      <c r="U120" s="23">
        <v>3605.0</v>
      </c>
      <c r="V120" s="23" t="s">
        <v>22915</v>
      </c>
      <c r="W120" s="23" t="s">
        <v>22917</v>
      </c>
      <c r="X120" s="23">
        <v>119.0</v>
      </c>
    </row>
    <row r="121">
      <c r="A121" s="23" t="s">
        <v>22919</v>
      </c>
      <c r="B121" s="23" t="s">
        <v>6876</v>
      </c>
      <c r="C121" s="23" t="s">
        <v>6877</v>
      </c>
      <c r="D121" s="23" t="s">
        <v>8069</v>
      </c>
      <c r="E121" s="23" t="s">
        <v>22921</v>
      </c>
      <c r="F121" s="23" t="s">
        <v>21956</v>
      </c>
      <c r="G121" s="23" t="s">
        <v>21941</v>
      </c>
      <c r="H121" s="23" t="s">
        <v>21957</v>
      </c>
      <c r="I121" s="23" t="s">
        <v>929</v>
      </c>
      <c r="J121" s="23" t="s">
        <v>929</v>
      </c>
      <c r="K121" s="23" t="s">
        <v>22923</v>
      </c>
      <c r="L121" s="23" t="s">
        <v>8075</v>
      </c>
      <c r="M121" s="23" t="s">
        <v>8078</v>
      </c>
      <c r="N121" s="23" t="s">
        <v>8128</v>
      </c>
      <c r="O121" s="23" t="s">
        <v>21995</v>
      </c>
      <c r="P121" s="23" t="s">
        <v>21948</v>
      </c>
      <c r="Q121" s="23" t="s">
        <v>21948</v>
      </c>
      <c r="R121" s="23" t="s">
        <v>21948</v>
      </c>
      <c r="S121" s="23" t="s">
        <v>22023</v>
      </c>
      <c r="T121" s="23" t="s">
        <v>22634</v>
      </c>
      <c r="U121" s="23">
        <v>3620.0</v>
      </c>
      <c r="V121" s="23" t="s">
        <v>22926</v>
      </c>
      <c r="W121" s="23" t="s">
        <v>22928</v>
      </c>
      <c r="X121" s="23">
        <v>120.0</v>
      </c>
    </row>
    <row r="122">
      <c r="A122" s="23" t="s">
        <v>22929</v>
      </c>
      <c r="B122" s="23" t="s">
        <v>6876</v>
      </c>
      <c r="C122" s="23" t="s">
        <v>6877</v>
      </c>
      <c r="D122" s="23" t="s">
        <v>8069</v>
      </c>
      <c r="E122" s="23" t="s">
        <v>22930</v>
      </c>
      <c r="F122" s="23" t="s">
        <v>21956</v>
      </c>
      <c r="G122" s="23" t="s">
        <v>21941</v>
      </c>
      <c r="H122" s="23" t="s">
        <v>21957</v>
      </c>
      <c r="I122" s="23" t="s">
        <v>931</v>
      </c>
      <c r="J122" s="23" t="s">
        <v>931</v>
      </c>
      <c r="K122" s="23" t="s">
        <v>22923</v>
      </c>
      <c r="L122" s="23" t="s">
        <v>8075</v>
      </c>
      <c r="M122" s="23" t="s">
        <v>8078</v>
      </c>
      <c r="N122" s="23" t="s">
        <v>8128</v>
      </c>
      <c r="O122" s="23" t="s">
        <v>21995</v>
      </c>
      <c r="P122" s="23" t="s">
        <v>21948</v>
      </c>
      <c r="Q122" s="23" t="s">
        <v>21948</v>
      </c>
      <c r="R122" s="23" t="s">
        <v>21948</v>
      </c>
      <c r="S122" s="23" t="s">
        <v>22023</v>
      </c>
      <c r="T122" s="23" t="s">
        <v>22634</v>
      </c>
      <c r="U122" s="23">
        <v>3621.0</v>
      </c>
      <c r="V122" s="23" t="s">
        <v>22932</v>
      </c>
      <c r="W122" s="23" t="s">
        <v>22933</v>
      </c>
      <c r="X122" s="23">
        <v>121.0</v>
      </c>
    </row>
    <row r="123">
      <c r="A123" s="23" t="s">
        <v>22930</v>
      </c>
      <c r="B123" s="23" t="s">
        <v>6876</v>
      </c>
      <c r="C123" s="23" t="s">
        <v>6877</v>
      </c>
      <c r="D123" s="23" t="s">
        <v>8069</v>
      </c>
      <c r="E123" s="23" t="s">
        <v>22934</v>
      </c>
      <c r="F123" s="23" t="s">
        <v>22107</v>
      </c>
      <c r="G123" s="23" t="s">
        <v>21941</v>
      </c>
      <c r="H123" s="23" t="s">
        <v>21957</v>
      </c>
      <c r="I123" s="23" t="s">
        <v>934</v>
      </c>
      <c r="J123" s="23" t="s">
        <v>934</v>
      </c>
      <c r="K123" s="23" t="s">
        <v>22923</v>
      </c>
      <c r="L123" s="23" t="s">
        <v>8075</v>
      </c>
      <c r="M123" s="23" t="s">
        <v>8078</v>
      </c>
      <c r="N123" s="23" t="s">
        <v>8128</v>
      </c>
      <c r="O123" s="23" t="s">
        <v>21995</v>
      </c>
      <c r="P123" s="23" t="s">
        <v>21948</v>
      </c>
      <c r="Q123" s="23" t="s">
        <v>21948</v>
      </c>
      <c r="R123" s="23" t="s">
        <v>21948</v>
      </c>
      <c r="S123" s="23" t="s">
        <v>22023</v>
      </c>
      <c r="T123" s="23" t="s">
        <v>22634</v>
      </c>
      <c r="U123" s="23">
        <v>3622.0</v>
      </c>
      <c r="V123" s="23" t="s">
        <v>22935</v>
      </c>
      <c r="W123" s="23" t="s">
        <v>22936</v>
      </c>
      <c r="X123" s="23">
        <v>122.0</v>
      </c>
    </row>
    <row r="124">
      <c r="A124" s="23" t="s">
        <v>22934</v>
      </c>
      <c r="B124" s="23" t="s">
        <v>6876</v>
      </c>
      <c r="C124" s="23" t="s">
        <v>6877</v>
      </c>
      <c r="D124" s="23" t="s">
        <v>8069</v>
      </c>
      <c r="E124" s="23" t="s">
        <v>22939</v>
      </c>
      <c r="F124" s="23" t="s">
        <v>22083</v>
      </c>
      <c r="G124" s="23" t="s">
        <v>21941</v>
      </c>
      <c r="H124" s="23" t="s">
        <v>21957</v>
      </c>
      <c r="I124" s="23" t="s">
        <v>937</v>
      </c>
      <c r="J124" s="23" t="s">
        <v>937</v>
      </c>
      <c r="K124" s="23" t="s">
        <v>22923</v>
      </c>
      <c r="L124" s="23" t="s">
        <v>8075</v>
      </c>
      <c r="M124" s="23" t="s">
        <v>8078</v>
      </c>
      <c r="N124" s="23" t="s">
        <v>22941</v>
      </c>
      <c r="O124" s="23" t="s">
        <v>21995</v>
      </c>
      <c r="P124" s="23" t="s">
        <v>21948</v>
      </c>
      <c r="Q124" s="23" t="s">
        <v>21948</v>
      </c>
      <c r="R124" s="23" t="s">
        <v>21948</v>
      </c>
      <c r="S124" s="23" t="s">
        <v>22023</v>
      </c>
      <c r="T124" s="23" t="s">
        <v>22634</v>
      </c>
      <c r="U124" s="23">
        <v>3623.0</v>
      </c>
      <c r="V124" s="23" t="s">
        <v>22942</v>
      </c>
      <c r="W124" s="23" t="s">
        <v>22943</v>
      </c>
      <c r="X124" s="23">
        <v>123.0</v>
      </c>
    </row>
    <row r="125">
      <c r="A125" s="23" t="s">
        <v>22939</v>
      </c>
      <c r="B125" s="23" t="s">
        <v>6876</v>
      </c>
      <c r="C125" s="23" t="s">
        <v>6877</v>
      </c>
      <c r="D125" s="23" t="s">
        <v>8069</v>
      </c>
      <c r="E125" s="23" t="s">
        <v>22944</v>
      </c>
      <c r="F125" s="23" t="s">
        <v>22107</v>
      </c>
      <c r="G125" s="23" t="s">
        <v>21941</v>
      </c>
      <c r="H125" s="23" t="s">
        <v>22662</v>
      </c>
      <c r="I125" s="23" t="s">
        <v>941</v>
      </c>
      <c r="J125" s="23" t="s">
        <v>941</v>
      </c>
      <c r="K125" s="23" t="s">
        <v>22923</v>
      </c>
      <c r="L125" s="23" t="s">
        <v>8075</v>
      </c>
      <c r="M125" s="23" t="s">
        <v>8078</v>
      </c>
      <c r="N125" s="23" t="s">
        <v>22941</v>
      </c>
      <c r="O125" s="23" t="s">
        <v>21995</v>
      </c>
      <c r="P125" s="23" t="s">
        <v>21948</v>
      </c>
      <c r="Q125" s="23" t="s">
        <v>21948</v>
      </c>
      <c r="R125" s="23" t="s">
        <v>22949</v>
      </c>
      <c r="S125" s="23" t="s">
        <v>22023</v>
      </c>
      <c r="T125" s="23" t="s">
        <v>22634</v>
      </c>
      <c r="U125" s="23">
        <v>3624.0</v>
      </c>
      <c r="V125" s="23" t="s">
        <v>22951</v>
      </c>
      <c r="W125" s="23" t="s">
        <v>22952</v>
      </c>
      <c r="X125" s="23">
        <v>124.0</v>
      </c>
    </row>
    <row r="126">
      <c r="A126" s="23" t="s">
        <v>22944</v>
      </c>
      <c r="B126" s="23" t="s">
        <v>6876</v>
      </c>
      <c r="C126" s="23" t="s">
        <v>6877</v>
      </c>
      <c r="D126" s="23" t="s">
        <v>8069</v>
      </c>
      <c r="E126" s="23" t="s">
        <v>22954</v>
      </c>
      <c r="F126" s="23" t="s">
        <v>22861</v>
      </c>
      <c r="G126" s="23" t="s">
        <v>21941</v>
      </c>
      <c r="H126" s="23" t="s">
        <v>22862</v>
      </c>
      <c r="I126" s="23" t="s">
        <v>945</v>
      </c>
      <c r="J126" s="23" t="s">
        <v>945</v>
      </c>
      <c r="K126" s="23" t="s">
        <v>22923</v>
      </c>
      <c r="L126" s="23" t="s">
        <v>8075</v>
      </c>
      <c r="M126" s="23" t="s">
        <v>8078</v>
      </c>
      <c r="N126" s="23" t="s">
        <v>8128</v>
      </c>
      <c r="O126" s="23" t="s">
        <v>21995</v>
      </c>
      <c r="P126" s="23" t="s">
        <v>21948</v>
      </c>
      <c r="Q126" s="23" t="s">
        <v>21948</v>
      </c>
      <c r="R126" s="23" t="s">
        <v>22957</v>
      </c>
      <c r="S126" s="23" t="s">
        <v>22023</v>
      </c>
      <c r="T126" s="23" t="s">
        <v>22634</v>
      </c>
      <c r="U126" s="23">
        <v>3625.0</v>
      </c>
      <c r="V126" s="23" t="s">
        <v>22958</v>
      </c>
      <c r="W126" s="23" t="s">
        <v>22959</v>
      </c>
      <c r="X126" s="23">
        <v>125.0</v>
      </c>
    </row>
    <row r="127">
      <c r="A127" s="23" t="s">
        <v>22960</v>
      </c>
      <c r="B127" s="23" t="s">
        <v>6876</v>
      </c>
      <c r="C127" s="23" t="s">
        <v>6877</v>
      </c>
      <c r="D127" s="23" t="s">
        <v>8069</v>
      </c>
      <c r="E127" s="23" t="s">
        <v>22961</v>
      </c>
      <c r="F127" s="23" t="s">
        <v>21940</v>
      </c>
      <c r="G127" s="23" t="s">
        <v>21941</v>
      </c>
      <c r="H127" s="23" t="s">
        <v>22016</v>
      </c>
      <c r="I127" s="23" t="s">
        <v>958</v>
      </c>
      <c r="J127" s="23" t="s">
        <v>958</v>
      </c>
      <c r="K127" s="23" t="s">
        <v>22962</v>
      </c>
      <c r="L127" s="23" t="s">
        <v>12258</v>
      </c>
      <c r="M127" s="23" t="s">
        <v>12212</v>
      </c>
      <c r="N127" s="23" t="s">
        <v>8119</v>
      </c>
      <c r="O127" s="23" t="s">
        <v>21995</v>
      </c>
      <c r="P127" s="23" t="s">
        <v>21948</v>
      </c>
      <c r="Q127" s="23" t="s">
        <v>21948</v>
      </c>
      <c r="R127" s="23" t="s">
        <v>21948</v>
      </c>
      <c r="S127" s="23" t="s">
        <v>21950</v>
      </c>
      <c r="T127" s="23" t="s">
        <v>22634</v>
      </c>
      <c r="U127" s="23">
        <v>3647.0</v>
      </c>
      <c r="V127" s="23" t="s">
        <v>22963</v>
      </c>
      <c r="W127" s="23" t="s">
        <v>22964</v>
      </c>
      <c r="X127" s="23">
        <v>126.0</v>
      </c>
    </row>
    <row r="128">
      <c r="A128" s="23" t="s">
        <v>22961</v>
      </c>
      <c r="B128" s="23" t="s">
        <v>6876</v>
      </c>
      <c r="C128" s="23" t="s">
        <v>6877</v>
      </c>
      <c r="D128" s="23" t="s">
        <v>8069</v>
      </c>
      <c r="E128" s="23" t="s">
        <v>22965</v>
      </c>
      <c r="F128" s="23" t="s">
        <v>22083</v>
      </c>
      <c r="G128" s="23" t="s">
        <v>21941</v>
      </c>
      <c r="H128" s="23" t="s">
        <v>21942</v>
      </c>
      <c r="I128" s="23" t="s">
        <v>953</v>
      </c>
      <c r="J128" s="23" t="s">
        <v>953</v>
      </c>
      <c r="K128" s="23" t="s">
        <v>22962</v>
      </c>
      <c r="L128" s="23" t="s">
        <v>12258</v>
      </c>
      <c r="M128" s="23" t="s">
        <v>12212</v>
      </c>
      <c r="N128" s="23" t="s">
        <v>8119</v>
      </c>
      <c r="O128" s="23" t="s">
        <v>21995</v>
      </c>
      <c r="P128" s="23" t="s">
        <v>21948</v>
      </c>
      <c r="Q128" s="23" t="s">
        <v>21948</v>
      </c>
      <c r="R128" s="23" t="s">
        <v>22972</v>
      </c>
      <c r="S128" s="23" t="s">
        <v>21950</v>
      </c>
      <c r="T128" s="23" t="s">
        <v>22634</v>
      </c>
      <c r="U128" s="23">
        <v>3648.0</v>
      </c>
      <c r="V128" s="23" t="s">
        <v>22975</v>
      </c>
      <c r="W128" s="23" t="s">
        <v>22976</v>
      </c>
      <c r="X128" s="23">
        <v>127.0</v>
      </c>
    </row>
    <row r="129">
      <c r="A129" s="23" t="s">
        <v>22965</v>
      </c>
      <c r="B129" s="23" t="s">
        <v>6876</v>
      </c>
      <c r="C129" s="23" t="s">
        <v>6877</v>
      </c>
      <c r="D129" s="23" t="s">
        <v>8069</v>
      </c>
      <c r="E129" s="23" t="s">
        <v>22977</v>
      </c>
      <c r="F129" s="23" t="s">
        <v>22083</v>
      </c>
      <c r="G129" s="23" t="s">
        <v>21941</v>
      </c>
      <c r="H129" s="23" t="s">
        <v>22662</v>
      </c>
      <c r="I129" s="23" t="s">
        <v>957</v>
      </c>
      <c r="J129" s="23" t="s">
        <v>957</v>
      </c>
      <c r="K129" s="23" t="s">
        <v>22962</v>
      </c>
      <c r="L129" s="23" t="s">
        <v>12258</v>
      </c>
      <c r="M129" s="23" t="s">
        <v>12212</v>
      </c>
      <c r="N129" s="23" t="s">
        <v>8119</v>
      </c>
      <c r="O129" s="23" t="s">
        <v>21995</v>
      </c>
      <c r="P129" s="23" t="s">
        <v>21948</v>
      </c>
      <c r="Q129" s="23" t="s">
        <v>21948</v>
      </c>
      <c r="R129" s="23" t="s">
        <v>21948</v>
      </c>
      <c r="S129" s="23" t="s">
        <v>21950</v>
      </c>
      <c r="T129" s="23" t="s">
        <v>22634</v>
      </c>
      <c r="U129" s="23">
        <v>3649.0</v>
      </c>
      <c r="V129" s="23" t="s">
        <v>22978</v>
      </c>
      <c r="W129" s="23" t="s">
        <v>22979</v>
      </c>
      <c r="X129" s="23">
        <v>128.0</v>
      </c>
    </row>
    <row r="130">
      <c r="A130" s="23" t="s">
        <v>22980</v>
      </c>
      <c r="B130" s="23" t="s">
        <v>6876</v>
      </c>
      <c r="C130" s="23" t="s">
        <v>6877</v>
      </c>
      <c r="D130" s="23" t="s">
        <v>8069</v>
      </c>
      <c r="E130" s="23" t="s">
        <v>22981</v>
      </c>
      <c r="F130" s="23" t="s">
        <v>21940</v>
      </c>
      <c r="G130" s="23" t="s">
        <v>21941</v>
      </c>
      <c r="H130" s="23" t="s">
        <v>22016</v>
      </c>
      <c r="I130" s="23" t="s">
        <v>959</v>
      </c>
      <c r="J130" s="23" t="s">
        <v>959</v>
      </c>
      <c r="K130" s="23" t="s">
        <v>8078</v>
      </c>
      <c r="L130" s="23" t="s">
        <v>8128</v>
      </c>
      <c r="M130" s="23" t="s">
        <v>12213</v>
      </c>
      <c r="N130" s="23" t="s">
        <v>22984</v>
      </c>
      <c r="O130" s="23" t="s">
        <v>21995</v>
      </c>
      <c r="P130" s="23" t="s">
        <v>21948</v>
      </c>
      <c r="Q130" s="23" t="s">
        <v>21948</v>
      </c>
      <c r="R130" s="23" t="s">
        <v>21948</v>
      </c>
      <c r="S130" s="23" t="s">
        <v>21941</v>
      </c>
      <c r="T130" s="23" t="s">
        <v>22634</v>
      </c>
      <c r="U130" s="23">
        <v>3650.0</v>
      </c>
      <c r="V130" s="23" t="s">
        <v>22986</v>
      </c>
      <c r="W130" s="23" t="s">
        <v>22987</v>
      </c>
      <c r="X130" s="23">
        <v>129.0</v>
      </c>
    </row>
    <row r="131">
      <c r="A131" s="23" t="s">
        <v>22988</v>
      </c>
      <c r="B131" s="23" t="s">
        <v>6876</v>
      </c>
      <c r="C131" s="23" t="s">
        <v>6877</v>
      </c>
      <c r="D131" s="23" t="s">
        <v>12210</v>
      </c>
      <c r="E131" s="23" t="s">
        <v>22989</v>
      </c>
      <c r="F131" s="23" t="s">
        <v>21956</v>
      </c>
      <c r="G131" s="23" t="s">
        <v>21941</v>
      </c>
      <c r="H131" s="23" t="s">
        <v>21957</v>
      </c>
      <c r="I131" s="23" t="s">
        <v>966</v>
      </c>
      <c r="J131" s="23" t="s">
        <v>966</v>
      </c>
      <c r="K131" s="23" t="s">
        <v>22994</v>
      </c>
      <c r="L131" s="23" t="s">
        <v>22995</v>
      </c>
      <c r="M131" s="23" t="s">
        <v>22997</v>
      </c>
      <c r="N131" s="23" t="s">
        <v>22998</v>
      </c>
      <c r="O131" s="23" t="s">
        <v>21995</v>
      </c>
      <c r="P131" s="23" t="s">
        <v>21948</v>
      </c>
      <c r="Q131" s="23" t="s">
        <v>21948</v>
      </c>
      <c r="R131" s="23" t="s">
        <v>21948</v>
      </c>
      <c r="S131" s="23" t="s">
        <v>21978</v>
      </c>
      <c r="T131" s="23" t="s">
        <v>22634</v>
      </c>
      <c r="U131" s="23">
        <v>3651.0</v>
      </c>
      <c r="V131" s="23" t="s">
        <v>22999</v>
      </c>
      <c r="W131" s="23" t="s">
        <v>23000</v>
      </c>
      <c r="X131" s="23">
        <v>130.0</v>
      </c>
    </row>
    <row r="132">
      <c r="A132" s="23" t="s">
        <v>22989</v>
      </c>
      <c r="B132" s="23" t="s">
        <v>6876</v>
      </c>
      <c r="C132" s="23" t="s">
        <v>6877</v>
      </c>
      <c r="D132" s="23" t="s">
        <v>12210</v>
      </c>
      <c r="E132" s="23" t="s">
        <v>23002</v>
      </c>
      <c r="F132" s="23" t="s">
        <v>21956</v>
      </c>
      <c r="G132" s="23" t="s">
        <v>21941</v>
      </c>
      <c r="H132" s="23" t="s">
        <v>21957</v>
      </c>
      <c r="I132" s="23" t="s">
        <v>967</v>
      </c>
      <c r="J132" s="23" t="s">
        <v>967</v>
      </c>
      <c r="K132" s="23" t="s">
        <v>22994</v>
      </c>
      <c r="L132" s="23" t="s">
        <v>22995</v>
      </c>
      <c r="M132" s="23" t="s">
        <v>22997</v>
      </c>
      <c r="N132" s="23" t="s">
        <v>22998</v>
      </c>
      <c r="O132" s="23" t="s">
        <v>21995</v>
      </c>
      <c r="P132" s="23" t="s">
        <v>21948</v>
      </c>
      <c r="Q132" s="23" t="s">
        <v>21948</v>
      </c>
      <c r="R132" s="23" t="s">
        <v>21948</v>
      </c>
      <c r="S132" s="23" t="s">
        <v>21978</v>
      </c>
      <c r="T132" s="23" t="s">
        <v>22634</v>
      </c>
      <c r="U132" s="23">
        <v>3652.0</v>
      </c>
      <c r="V132" s="23" t="s">
        <v>23006</v>
      </c>
      <c r="W132" s="23" t="s">
        <v>23007</v>
      </c>
      <c r="X132" s="23">
        <v>131.0</v>
      </c>
    </row>
    <row r="133">
      <c r="A133" s="23" t="s">
        <v>23002</v>
      </c>
      <c r="B133" s="23" t="s">
        <v>6876</v>
      </c>
      <c r="C133" s="23" t="s">
        <v>6877</v>
      </c>
      <c r="D133" s="23" t="s">
        <v>12210</v>
      </c>
      <c r="E133" s="23" t="s">
        <v>23008</v>
      </c>
      <c r="F133" s="23" t="s">
        <v>22161</v>
      </c>
      <c r="G133" s="23" t="s">
        <v>21941</v>
      </c>
      <c r="H133" s="23" t="s">
        <v>21957</v>
      </c>
      <c r="I133" s="23" t="s">
        <v>969</v>
      </c>
      <c r="J133" s="23" t="s">
        <v>969</v>
      </c>
      <c r="K133" s="23" t="s">
        <v>22994</v>
      </c>
      <c r="L133" s="23" t="s">
        <v>22995</v>
      </c>
      <c r="M133" s="23" t="s">
        <v>22997</v>
      </c>
      <c r="N133" s="23" t="s">
        <v>23009</v>
      </c>
      <c r="O133" s="23" t="s">
        <v>21995</v>
      </c>
      <c r="P133" s="23" t="s">
        <v>21948</v>
      </c>
      <c r="Q133" s="23" t="s">
        <v>21948</v>
      </c>
      <c r="R133" s="23" t="s">
        <v>21948</v>
      </c>
      <c r="S133" s="23" t="s">
        <v>21978</v>
      </c>
      <c r="T133" s="23" t="s">
        <v>22634</v>
      </c>
      <c r="U133" s="23">
        <v>3653.0</v>
      </c>
      <c r="V133" s="23" t="s">
        <v>23011</v>
      </c>
      <c r="W133" s="23" t="s">
        <v>23012</v>
      </c>
      <c r="X133" s="23">
        <v>132.0</v>
      </c>
    </row>
    <row r="134">
      <c r="A134" s="23" t="s">
        <v>23008</v>
      </c>
      <c r="B134" s="23" t="s">
        <v>6876</v>
      </c>
      <c r="C134" s="23" t="s">
        <v>6877</v>
      </c>
      <c r="D134" s="23" t="s">
        <v>12210</v>
      </c>
      <c r="E134" s="23" t="s">
        <v>23016</v>
      </c>
      <c r="F134" s="23" t="s">
        <v>22174</v>
      </c>
      <c r="G134" s="23" t="s">
        <v>21941</v>
      </c>
      <c r="H134" s="23" t="s">
        <v>21957</v>
      </c>
      <c r="I134" s="23" t="s">
        <v>970</v>
      </c>
      <c r="J134" s="23" t="s">
        <v>970</v>
      </c>
      <c r="K134" s="23" t="s">
        <v>22994</v>
      </c>
      <c r="L134" s="23" t="s">
        <v>22995</v>
      </c>
      <c r="M134" s="23" t="s">
        <v>22997</v>
      </c>
      <c r="N134" s="23" t="s">
        <v>23009</v>
      </c>
      <c r="O134" s="23" t="s">
        <v>21995</v>
      </c>
      <c r="P134" s="23" t="s">
        <v>21948</v>
      </c>
      <c r="Q134" s="23" t="s">
        <v>21948</v>
      </c>
      <c r="R134" s="23" t="s">
        <v>21948</v>
      </c>
      <c r="S134" s="23" t="s">
        <v>21978</v>
      </c>
      <c r="T134" s="23" t="s">
        <v>22634</v>
      </c>
      <c r="U134" s="23">
        <v>3654.0</v>
      </c>
      <c r="V134" s="23" t="s">
        <v>23020</v>
      </c>
      <c r="W134" s="23" t="s">
        <v>23021</v>
      </c>
      <c r="X134" s="23">
        <v>133.0</v>
      </c>
    </row>
    <row r="135">
      <c r="A135" s="23" t="s">
        <v>23016</v>
      </c>
      <c r="B135" s="23" t="s">
        <v>6876</v>
      </c>
      <c r="C135" s="23" t="s">
        <v>6877</v>
      </c>
      <c r="D135" s="23" t="s">
        <v>12210</v>
      </c>
      <c r="E135" s="23" t="s">
        <v>23024</v>
      </c>
      <c r="F135" s="23" t="s">
        <v>22861</v>
      </c>
      <c r="G135" s="23" t="s">
        <v>21941</v>
      </c>
      <c r="H135" s="23" t="s">
        <v>22862</v>
      </c>
      <c r="I135" s="23" t="s">
        <v>972</v>
      </c>
      <c r="J135" s="23" t="s">
        <v>972</v>
      </c>
      <c r="K135" s="23" t="s">
        <v>22994</v>
      </c>
      <c r="L135" s="23" t="s">
        <v>22995</v>
      </c>
      <c r="M135" s="23" t="s">
        <v>22997</v>
      </c>
      <c r="N135" s="23" t="s">
        <v>22998</v>
      </c>
      <c r="O135" s="23" t="s">
        <v>21995</v>
      </c>
      <c r="P135" s="23" t="s">
        <v>21948</v>
      </c>
      <c r="Q135" s="23" t="s">
        <v>21948</v>
      </c>
      <c r="R135" s="23" t="s">
        <v>23025</v>
      </c>
      <c r="S135" s="23" t="s">
        <v>21978</v>
      </c>
      <c r="T135" s="23" t="s">
        <v>22634</v>
      </c>
      <c r="U135" s="23">
        <v>3655.0</v>
      </c>
      <c r="V135" s="23" t="s">
        <v>23026</v>
      </c>
      <c r="W135" s="23" t="s">
        <v>23027</v>
      </c>
      <c r="X135" s="23">
        <v>134.0</v>
      </c>
    </row>
    <row r="136">
      <c r="A136" s="23" t="s">
        <v>23028</v>
      </c>
      <c r="B136" s="23" t="s">
        <v>6876</v>
      </c>
      <c r="C136" s="23" t="s">
        <v>6877</v>
      </c>
      <c r="D136" s="23" t="s">
        <v>8161</v>
      </c>
      <c r="E136" s="23" t="s">
        <v>23031</v>
      </c>
      <c r="F136" s="23" t="s">
        <v>21940</v>
      </c>
      <c r="G136" s="23" t="s">
        <v>21941</v>
      </c>
      <c r="H136" s="23" t="s">
        <v>21942</v>
      </c>
      <c r="I136" s="23" t="s">
        <v>973</v>
      </c>
      <c r="J136" s="23" t="s">
        <v>973</v>
      </c>
      <c r="K136" s="23" t="s">
        <v>8166</v>
      </c>
      <c r="L136" s="23" t="s">
        <v>23032</v>
      </c>
      <c r="M136" s="23" t="s">
        <v>8168</v>
      </c>
      <c r="N136" s="23" t="s">
        <v>23034</v>
      </c>
      <c r="O136" s="23" t="s">
        <v>21995</v>
      </c>
      <c r="P136" s="23" t="s">
        <v>21948</v>
      </c>
      <c r="Q136" s="23" t="s">
        <v>21948</v>
      </c>
      <c r="R136" s="23" t="s">
        <v>16105</v>
      </c>
      <c r="S136" s="23" t="s">
        <v>22023</v>
      </c>
      <c r="T136" s="23" t="s">
        <v>22634</v>
      </c>
      <c r="U136" s="23">
        <v>3693.0</v>
      </c>
      <c r="V136" s="23" t="s">
        <v>23035</v>
      </c>
      <c r="W136" s="23" t="s">
        <v>23036</v>
      </c>
      <c r="X136" s="23">
        <v>135.0</v>
      </c>
    </row>
    <row r="137">
      <c r="A137" s="23" t="s">
        <v>23031</v>
      </c>
      <c r="B137" s="23" t="s">
        <v>6876</v>
      </c>
      <c r="C137" s="23" t="s">
        <v>6877</v>
      </c>
      <c r="D137" s="23" t="s">
        <v>8161</v>
      </c>
      <c r="E137" s="23" t="s">
        <v>23040</v>
      </c>
      <c r="F137" s="23" t="s">
        <v>21940</v>
      </c>
      <c r="G137" s="23" t="s">
        <v>21941</v>
      </c>
      <c r="H137" s="23" t="s">
        <v>22662</v>
      </c>
      <c r="I137" s="23" t="s">
        <v>976</v>
      </c>
      <c r="J137" s="23" t="s">
        <v>976</v>
      </c>
      <c r="K137" s="23" t="s">
        <v>8166</v>
      </c>
      <c r="L137" s="23" t="s">
        <v>23032</v>
      </c>
      <c r="M137" s="23" t="s">
        <v>23042</v>
      </c>
      <c r="N137" s="23" t="s">
        <v>23043</v>
      </c>
      <c r="O137" s="23" t="s">
        <v>21995</v>
      </c>
      <c r="P137" s="23" t="s">
        <v>21948</v>
      </c>
      <c r="Q137" s="23" t="s">
        <v>21948</v>
      </c>
      <c r="R137" s="23" t="s">
        <v>21948</v>
      </c>
      <c r="S137" s="23" t="s">
        <v>22023</v>
      </c>
      <c r="T137" s="23" t="s">
        <v>22634</v>
      </c>
      <c r="U137" s="23">
        <v>3694.0</v>
      </c>
      <c r="V137" s="23" t="s">
        <v>23044</v>
      </c>
      <c r="W137" s="23" t="s">
        <v>23045</v>
      </c>
      <c r="X137" s="23">
        <v>136.0</v>
      </c>
    </row>
    <row r="138">
      <c r="A138" s="23" t="s">
        <v>23040</v>
      </c>
      <c r="B138" s="23" t="s">
        <v>6876</v>
      </c>
      <c r="C138" s="23" t="s">
        <v>6877</v>
      </c>
      <c r="D138" s="23" t="s">
        <v>8161</v>
      </c>
      <c r="E138" s="23" t="s">
        <v>23048</v>
      </c>
      <c r="F138" s="23" t="s">
        <v>22861</v>
      </c>
      <c r="G138" s="23" t="s">
        <v>21941</v>
      </c>
      <c r="H138" s="23" t="s">
        <v>22862</v>
      </c>
      <c r="I138" s="23" t="s">
        <v>982</v>
      </c>
      <c r="J138" s="23" t="s">
        <v>982</v>
      </c>
      <c r="K138" s="23" t="s">
        <v>8166</v>
      </c>
      <c r="L138" s="23" t="s">
        <v>23032</v>
      </c>
      <c r="M138" s="23" t="s">
        <v>23042</v>
      </c>
      <c r="N138" s="23" t="s">
        <v>8250</v>
      </c>
      <c r="O138" s="23" t="s">
        <v>21995</v>
      </c>
      <c r="P138" s="23" t="s">
        <v>21948</v>
      </c>
      <c r="Q138" s="23" t="s">
        <v>21948</v>
      </c>
      <c r="R138" s="23" t="s">
        <v>23050</v>
      </c>
      <c r="S138" s="23" t="s">
        <v>22023</v>
      </c>
      <c r="T138" s="23" t="s">
        <v>22634</v>
      </c>
      <c r="U138" s="23">
        <v>3695.0</v>
      </c>
      <c r="V138" s="23" t="s">
        <v>23051</v>
      </c>
      <c r="W138" s="23" t="s">
        <v>23052</v>
      </c>
      <c r="X138" s="23">
        <v>137.0</v>
      </c>
    </row>
    <row r="139">
      <c r="A139" s="23" t="s">
        <v>23053</v>
      </c>
      <c r="B139" s="23" t="s">
        <v>6876</v>
      </c>
      <c r="C139" s="23" t="s">
        <v>6877</v>
      </c>
      <c r="D139" s="23" t="s">
        <v>8161</v>
      </c>
      <c r="E139" s="23" t="s">
        <v>23054</v>
      </c>
      <c r="F139" s="23" t="s">
        <v>23055</v>
      </c>
      <c r="G139" s="23" t="s">
        <v>21941</v>
      </c>
      <c r="H139" s="23" t="s">
        <v>21957</v>
      </c>
      <c r="I139" s="23" t="s">
        <v>990</v>
      </c>
      <c r="J139" s="23" t="s">
        <v>990</v>
      </c>
      <c r="K139" s="23" t="s">
        <v>23056</v>
      </c>
      <c r="L139" s="23" t="s">
        <v>23057</v>
      </c>
      <c r="M139" s="23" t="s">
        <v>12329</v>
      </c>
      <c r="N139" s="23" t="s">
        <v>23059</v>
      </c>
      <c r="O139" s="23" t="s">
        <v>21995</v>
      </c>
      <c r="P139" s="23" t="s">
        <v>21948</v>
      </c>
      <c r="Q139" s="23" t="s">
        <v>21948</v>
      </c>
      <c r="R139" s="23" t="s">
        <v>21948</v>
      </c>
      <c r="S139" s="23" t="s">
        <v>21950</v>
      </c>
      <c r="T139" s="23" t="s">
        <v>22634</v>
      </c>
      <c r="U139" s="23">
        <v>3715.0</v>
      </c>
      <c r="V139" s="23" t="s">
        <v>23064</v>
      </c>
      <c r="W139" s="23" t="s">
        <v>23066</v>
      </c>
      <c r="X139" s="23">
        <v>138.0</v>
      </c>
    </row>
    <row r="140">
      <c r="A140" s="23" t="s">
        <v>23054</v>
      </c>
      <c r="B140" s="23" t="s">
        <v>6876</v>
      </c>
      <c r="C140" s="23" t="s">
        <v>6877</v>
      </c>
      <c r="D140" s="23" t="s">
        <v>8161</v>
      </c>
      <c r="E140" s="23" t="s">
        <v>23068</v>
      </c>
      <c r="F140" s="23" t="s">
        <v>22083</v>
      </c>
      <c r="G140" s="23" t="s">
        <v>21941</v>
      </c>
      <c r="H140" s="23" t="s">
        <v>21957</v>
      </c>
      <c r="I140" s="23" t="s">
        <v>992</v>
      </c>
      <c r="J140" s="23" t="s">
        <v>992</v>
      </c>
      <c r="K140" s="23" t="s">
        <v>23056</v>
      </c>
      <c r="L140" s="23" t="s">
        <v>23057</v>
      </c>
      <c r="M140" s="23" t="s">
        <v>12329</v>
      </c>
      <c r="N140" s="23" t="s">
        <v>23070</v>
      </c>
      <c r="O140" s="23" t="s">
        <v>21995</v>
      </c>
      <c r="P140" s="23" t="s">
        <v>21948</v>
      </c>
      <c r="Q140" s="23" t="s">
        <v>21948</v>
      </c>
      <c r="R140" s="23" t="s">
        <v>21948</v>
      </c>
      <c r="S140" s="23" t="s">
        <v>21950</v>
      </c>
      <c r="T140" s="23" t="s">
        <v>22634</v>
      </c>
      <c r="U140" s="23">
        <v>3716.0</v>
      </c>
      <c r="V140" s="23" t="s">
        <v>23071</v>
      </c>
      <c r="W140" s="23" t="s">
        <v>23072</v>
      </c>
      <c r="X140" s="23">
        <v>139.0</v>
      </c>
    </row>
    <row r="141">
      <c r="A141" s="23" t="s">
        <v>23068</v>
      </c>
      <c r="B141" s="23" t="s">
        <v>6876</v>
      </c>
      <c r="C141" s="23" t="s">
        <v>6877</v>
      </c>
      <c r="D141" s="23" t="s">
        <v>8161</v>
      </c>
      <c r="E141" s="23" t="s">
        <v>23073</v>
      </c>
      <c r="F141" s="23" t="s">
        <v>21956</v>
      </c>
      <c r="G141" s="23" t="s">
        <v>21941</v>
      </c>
      <c r="H141" s="23" t="s">
        <v>21957</v>
      </c>
      <c r="I141" s="23" t="s">
        <v>993</v>
      </c>
      <c r="J141" s="23" t="s">
        <v>993</v>
      </c>
      <c r="K141" s="23" t="s">
        <v>23056</v>
      </c>
      <c r="L141" s="23" t="s">
        <v>23057</v>
      </c>
      <c r="M141" s="23" t="s">
        <v>12329</v>
      </c>
      <c r="N141" s="23" t="s">
        <v>23074</v>
      </c>
      <c r="O141" s="23" t="s">
        <v>21995</v>
      </c>
      <c r="P141" s="23" t="s">
        <v>21948</v>
      </c>
      <c r="Q141" s="23" t="s">
        <v>21948</v>
      </c>
      <c r="R141" s="23" t="s">
        <v>21948</v>
      </c>
      <c r="S141" s="23" t="s">
        <v>21950</v>
      </c>
      <c r="T141" s="23" t="s">
        <v>22634</v>
      </c>
      <c r="U141" s="23">
        <v>3717.0</v>
      </c>
      <c r="V141" s="23" t="s">
        <v>23077</v>
      </c>
      <c r="W141" s="23" t="s">
        <v>23078</v>
      </c>
      <c r="X141" s="23">
        <v>140.0</v>
      </c>
    </row>
    <row r="142">
      <c r="A142" s="23" t="s">
        <v>23073</v>
      </c>
      <c r="B142" s="23" t="s">
        <v>6876</v>
      </c>
      <c r="C142" s="23" t="s">
        <v>6877</v>
      </c>
      <c r="D142" s="23" t="s">
        <v>8161</v>
      </c>
      <c r="E142" s="23" t="s">
        <v>23079</v>
      </c>
      <c r="F142" s="23" t="s">
        <v>21956</v>
      </c>
      <c r="G142" s="23" t="s">
        <v>21941</v>
      </c>
      <c r="H142" s="23" t="s">
        <v>21957</v>
      </c>
      <c r="I142" s="23" t="s">
        <v>995</v>
      </c>
      <c r="J142" s="23" t="s">
        <v>995</v>
      </c>
      <c r="K142" s="23" t="s">
        <v>23056</v>
      </c>
      <c r="L142" s="23" t="s">
        <v>23057</v>
      </c>
      <c r="M142" s="23" t="s">
        <v>12329</v>
      </c>
      <c r="N142" s="23" t="s">
        <v>23081</v>
      </c>
      <c r="O142" s="23" t="s">
        <v>21995</v>
      </c>
      <c r="P142" s="23" t="s">
        <v>21948</v>
      </c>
      <c r="Q142" s="23" t="s">
        <v>21948</v>
      </c>
      <c r="R142" s="23" t="s">
        <v>21948</v>
      </c>
      <c r="S142" s="23" t="s">
        <v>21950</v>
      </c>
      <c r="T142" s="23" t="s">
        <v>22634</v>
      </c>
      <c r="U142" s="23">
        <v>3718.0</v>
      </c>
      <c r="V142" s="23" t="s">
        <v>23085</v>
      </c>
      <c r="W142" s="23" t="s">
        <v>23086</v>
      </c>
      <c r="X142" s="23">
        <v>141.0</v>
      </c>
    </row>
    <row r="143">
      <c r="A143" s="23" t="s">
        <v>23079</v>
      </c>
      <c r="B143" s="23" t="s">
        <v>6876</v>
      </c>
      <c r="C143" s="23" t="s">
        <v>6877</v>
      </c>
      <c r="D143" s="23" t="s">
        <v>8161</v>
      </c>
      <c r="E143" s="23" t="s">
        <v>23088</v>
      </c>
      <c r="F143" s="23" t="s">
        <v>22083</v>
      </c>
      <c r="G143" s="23" t="s">
        <v>21941</v>
      </c>
      <c r="H143" s="23" t="s">
        <v>22662</v>
      </c>
      <c r="I143" s="23" t="s">
        <v>986</v>
      </c>
      <c r="J143" s="23" t="s">
        <v>986</v>
      </c>
      <c r="K143" s="23" t="s">
        <v>23089</v>
      </c>
      <c r="L143" s="23" t="s">
        <v>8222</v>
      </c>
      <c r="M143" s="23" t="s">
        <v>8223</v>
      </c>
      <c r="N143" s="23" t="s">
        <v>23092</v>
      </c>
      <c r="O143" s="23" t="s">
        <v>21995</v>
      </c>
      <c r="P143" s="23" t="s">
        <v>21948</v>
      </c>
      <c r="Q143" s="23" t="s">
        <v>21948</v>
      </c>
      <c r="R143" s="23" t="s">
        <v>22949</v>
      </c>
      <c r="S143" s="23" t="s">
        <v>21950</v>
      </c>
      <c r="T143" s="23" t="s">
        <v>22634</v>
      </c>
      <c r="U143" s="23">
        <v>3719.0</v>
      </c>
      <c r="V143" s="23" t="s">
        <v>23093</v>
      </c>
      <c r="W143" s="23" t="s">
        <v>23094</v>
      </c>
      <c r="X143" s="23">
        <v>142.0</v>
      </c>
    </row>
    <row r="144">
      <c r="A144" s="23" t="s">
        <v>23088</v>
      </c>
      <c r="B144" s="23" t="s">
        <v>6876</v>
      </c>
      <c r="C144" s="23" t="s">
        <v>6877</v>
      </c>
      <c r="D144" s="23" t="s">
        <v>8161</v>
      </c>
      <c r="E144" s="23" t="s">
        <v>23096</v>
      </c>
      <c r="F144" s="23" t="s">
        <v>21940</v>
      </c>
      <c r="G144" s="23" t="s">
        <v>21941</v>
      </c>
      <c r="H144" s="23" t="s">
        <v>22662</v>
      </c>
      <c r="I144" s="23" t="s">
        <v>989</v>
      </c>
      <c r="J144" s="23" t="s">
        <v>989</v>
      </c>
      <c r="K144" s="23" t="s">
        <v>23097</v>
      </c>
      <c r="L144" s="23" t="s">
        <v>8248</v>
      </c>
      <c r="M144" s="23" t="s">
        <v>23098</v>
      </c>
      <c r="N144" s="23" t="s">
        <v>23099</v>
      </c>
      <c r="O144" s="23" t="s">
        <v>21995</v>
      </c>
      <c r="P144" s="23" t="s">
        <v>21948</v>
      </c>
      <c r="Q144" s="23" t="s">
        <v>21948</v>
      </c>
      <c r="R144" s="23" t="s">
        <v>22949</v>
      </c>
      <c r="S144" s="23" t="s">
        <v>21950</v>
      </c>
      <c r="T144" s="23" t="s">
        <v>22634</v>
      </c>
      <c r="U144" s="23">
        <v>3720.0</v>
      </c>
      <c r="V144" s="23" t="s">
        <v>23100</v>
      </c>
      <c r="W144" s="23" t="s">
        <v>23101</v>
      </c>
      <c r="X144" s="23">
        <v>143.0</v>
      </c>
    </row>
    <row r="145">
      <c r="A145" s="23" t="s">
        <v>23102</v>
      </c>
      <c r="B145" s="23" t="s">
        <v>6876</v>
      </c>
      <c r="C145" s="23" t="s">
        <v>6877</v>
      </c>
      <c r="D145" s="23" t="s">
        <v>8161</v>
      </c>
      <c r="E145" s="23" t="s">
        <v>23103</v>
      </c>
      <c r="F145" s="23" t="s">
        <v>22861</v>
      </c>
      <c r="G145" s="23" t="s">
        <v>21941</v>
      </c>
      <c r="H145" s="23" t="s">
        <v>22862</v>
      </c>
      <c r="I145" s="23" t="s">
        <v>1001</v>
      </c>
      <c r="J145" s="23" t="s">
        <v>1001</v>
      </c>
      <c r="K145" s="23" t="s">
        <v>8221</v>
      </c>
      <c r="L145" s="23" t="s">
        <v>23105</v>
      </c>
      <c r="M145" s="23" t="s">
        <v>23092</v>
      </c>
      <c r="N145" s="23" t="s">
        <v>8292</v>
      </c>
      <c r="O145" s="23" t="s">
        <v>21995</v>
      </c>
      <c r="P145" s="23" t="s">
        <v>21948</v>
      </c>
      <c r="Q145" s="23" t="s">
        <v>21948</v>
      </c>
      <c r="R145" s="23" t="s">
        <v>23050</v>
      </c>
      <c r="S145" s="23" t="s">
        <v>22023</v>
      </c>
      <c r="T145" s="23" t="s">
        <v>22634</v>
      </c>
      <c r="U145" s="23">
        <v>3731.0</v>
      </c>
      <c r="V145" s="23" t="s">
        <v>23107</v>
      </c>
      <c r="W145" s="23" t="s">
        <v>23108</v>
      </c>
      <c r="X145" s="23">
        <v>144.0</v>
      </c>
    </row>
    <row r="146">
      <c r="A146" s="23" t="s">
        <v>23103</v>
      </c>
      <c r="B146" s="23" t="s">
        <v>6876</v>
      </c>
      <c r="C146" s="23" t="s">
        <v>6877</v>
      </c>
      <c r="D146" s="23" t="s">
        <v>8161</v>
      </c>
      <c r="E146" s="23" t="s">
        <v>23112</v>
      </c>
      <c r="F146" s="23" t="s">
        <v>22083</v>
      </c>
      <c r="G146" s="23" t="s">
        <v>21941</v>
      </c>
      <c r="H146" s="23" t="s">
        <v>22662</v>
      </c>
      <c r="I146" s="23" t="s">
        <v>1005</v>
      </c>
      <c r="J146" s="23" t="s">
        <v>1005</v>
      </c>
      <c r="K146" s="23" t="s">
        <v>8286</v>
      </c>
      <c r="L146" s="23" t="s">
        <v>8266</v>
      </c>
      <c r="M146" s="23" t="s">
        <v>23115</v>
      </c>
      <c r="N146" s="23" t="s">
        <v>8304</v>
      </c>
      <c r="O146" s="23" t="s">
        <v>21995</v>
      </c>
      <c r="P146" s="23" t="s">
        <v>21948</v>
      </c>
      <c r="Q146" s="23" t="s">
        <v>21948</v>
      </c>
      <c r="R146" s="23" t="s">
        <v>22949</v>
      </c>
      <c r="S146" s="23" t="s">
        <v>22023</v>
      </c>
      <c r="T146" s="23" t="s">
        <v>22634</v>
      </c>
      <c r="U146" s="23">
        <v>3732.0</v>
      </c>
      <c r="V146" s="23" t="s">
        <v>23116</v>
      </c>
      <c r="W146" s="23" t="s">
        <v>23117</v>
      </c>
      <c r="X146" s="23">
        <v>145.0</v>
      </c>
    </row>
    <row r="147">
      <c r="A147" s="23" t="s">
        <v>23112</v>
      </c>
      <c r="B147" s="23" t="s">
        <v>6876</v>
      </c>
      <c r="C147" s="23" t="s">
        <v>6877</v>
      </c>
      <c r="D147" s="23" t="s">
        <v>8161</v>
      </c>
      <c r="E147" s="23" t="s">
        <v>23118</v>
      </c>
      <c r="F147" s="23" t="s">
        <v>22083</v>
      </c>
      <c r="G147" s="23" t="s">
        <v>21941</v>
      </c>
      <c r="H147" s="23" t="s">
        <v>21942</v>
      </c>
      <c r="I147" s="23" t="s">
        <v>1002</v>
      </c>
      <c r="J147" s="23" t="s">
        <v>1002</v>
      </c>
      <c r="K147" s="23" t="s">
        <v>8223</v>
      </c>
      <c r="L147" s="23" t="s">
        <v>23119</v>
      </c>
      <c r="M147" s="23" t="s">
        <v>23121</v>
      </c>
      <c r="N147" s="23" t="s">
        <v>23122</v>
      </c>
      <c r="O147" s="23" t="s">
        <v>21995</v>
      </c>
      <c r="P147" s="23" t="s">
        <v>21948</v>
      </c>
      <c r="Q147" s="23" t="s">
        <v>21948</v>
      </c>
      <c r="R147" s="23" t="s">
        <v>23124</v>
      </c>
      <c r="S147" s="23" t="s">
        <v>22023</v>
      </c>
      <c r="T147" s="23" t="s">
        <v>22634</v>
      </c>
      <c r="U147" s="23">
        <v>3733.0</v>
      </c>
      <c r="V147" s="23" t="s">
        <v>23125</v>
      </c>
      <c r="W147" s="23" t="s">
        <v>23126</v>
      </c>
      <c r="X147" s="23">
        <v>146.0</v>
      </c>
    </row>
    <row r="148">
      <c r="A148" s="23" t="s">
        <v>23118</v>
      </c>
      <c r="B148" s="23" t="s">
        <v>6876</v>
      </c>
      <c r="C148" s="23" t="s">
        <v>6877</v>
      </c>
      <c r="D148" s="23" t="s">
        <v>8161</v>
      </c>
      <c r="E148" s="23" t="s">
        <v>23128</v>
      </c>
      <c r="F148" s="23" t="s">
        <v>22861</v>
      </c>
      <c r="G148" s="23" t="s">
        <v>21941</v>
      </c>
      <c r="H148" s="23" t="s">
        <v>22862</v>
      </c>
      <c r="I148" s="23" t="s">
        <v>1010</v>
      </c>
      <c r="J148" s="23" t="s">
        <v>1010</v>
      </c>
      <c r="K148" s="23" t="s">
        <v>8286</v>
      </c>
      <c r="L148" s="23" t="s">
        <v>8223</v>
      </c>
      <c r="M148" s="23" t="s">
        <v>8287</v>
      </c>
      <c r="N148" s="23" t="s">
        <v>8304</v>
      </c>
      <c r="O148" s="23" t="s">
        <v>21995</v>
      </c>
      <c r="P148" s="23" t="s">
        <v>21948</v>
      </c>
      <c r="Q148" s="23" t="s">
        <v>21948</v>
      </c>
      <c r="R148" s="23" t="s">
        <v>23050</v>
      </c>
      <c r="S148" s="23" t="s">
        <v>22023</v>
      </c>
      <c r="T148" s="23" t="s">
        <v>22634</v>
      </c>
      <c r="U148" s="23">
        <v>3734.0</v>
      </c>
      <c r="V148" s="23" t="s">
        <v>23129</v>
      </c>
      <c r="W148" s="23" t="s">
        <v>23130</v>
      </c>
      <c r="X148" s="23">
        <v>147.0</v>
      </c>
    </row>
    <row r="149">
      <c r="A149" s="23" t="s">
        <v>23131</v>
      </c>
      <c r="B149" s="23" t="s">
        <v>6876</v>
      </c>
      <c r="C149" s="23" t="s">
        <v>6877</v>
      </c>
      <c r="D149" s="23" t="s">
        <v>8310</v>
      </c>
      <c r="E149" s="23" t="s">
        <v>23133</v>
      </c>
      <c r="F149" s="23" t="s">
        <v>21956</v>
      </c>
      <c r="G149" s="23" t="s">
        <v>21941</v>
      </c>
      <c r="H149" s="23" t="s">
        <v>21957</v>
      </c>
      <c r="I149" s="23" t="s">
        <v>1012</v>
      </c>
      <c r="J149" s="23" t="s">
        <v>1012</v>
      </c>
      <c r="K149" s="23" t="s">
        <v>23136</v>
      </c>
      <c r="L149" s="23" t="s">
        <v>8304</v>
      </c>
      <c r="M149" s="23" t="s">
        <v>23138</v>
      </c>
      <c r="N149" s="23" t="s">
        <v>23139</v>
      </c>
      <c r="O149" s="23" t="s">
        <v>21995</v>
      </c>
      <c r="P149" s="23" t="s">
        <v>21948</v>
      </c>
      <c r="Q149" s="23" t="s">
        <v>21948</v>
      </c>
      <c r="R149" s="23" t="s">
        <v>21948</v>
      </c>
      <c r="S149" s="23" t="s">
        <v>21978</v>
      </c>
      <c r="T149" s="23" t="s">
        <v>22634</v>
      </c>
      <c r="U149" s="23">
        <v>3737.0</v>
      </c>
      <c r="V149" s="23" t="s">
        <v>23142</v>
      </c>
      <c r="W149" s="23" t="s">
        <v>23143</v>
      </c>
      <c r="X149" s="23">
        <v>148.0</v>
      </c>
    </row>
    <row r="150">
      <c r="A150" s="23" t="s">
        <v>23133</v>
      </c>
      <c r="B150" s="23" t="s">
        <v>6876</v>
      </c>
      <c r="C150" s="23" t="s">
        <v>6877</v>
      </c>
      <c r="D150" s="23" t="s">
        <v>8310</v>
      </c>
      <c r="E150" s="23" t="s">
        <v>23145</v>
      </c>
      <c r="F150" s="23" t="s">
        <v>21956</v>
      </c>
      <c r="G150" s="23" t="s">
        <v>21941</v>
      </c>
      <c r="H150" s="23" t="s">
        <v>21957</v>
      </c>
      <c r="I150" s="23" t="s">
        <v>1013</v>
      </c>
      <c r="J150" s="23" t="s">
        <v>1013</v>
      </c>
      <c r="K150" s="23" t="s">
        <v>23136</v>
      </c>
      <c r="L150" s="23" t="s">
        <v>8304</v>
      </c>
      <c r="M150" s="23" t="s">
        <v>23138</v>
      </c>
      <c r="N150" s="23" t="s">
        <v>23146</v>
      </c>
      <c r="O150" s="23" t="s">
        <v>21995</v>
      </c>
      <c r="P150" s="23" t="s">
        <v>21948</v>
      </c>
      <c r="Q150" s="23" t="s">
        <v>21948</v>
      </c>
      <c r="R150" s="23" t="s">
        <v>21948</v>
      </c>
      <c r="S150" s="23" t="s">
        <v>21978</v>
      </c>
      <c r="T150" s="23" t="s">
        <v>22634</v>
      </c>
      <c r="U150" s="23">
        <v>3738.0</v>
      </c>
      <c r="V150" s="23" t="s">
        <v>23147</v>
      </c>
      <c r="W150" s="23" t="s">
        <v>23148</v>
      </c>
      <c r="X150" s="23">
        <v>149.0</v>
      </c>
    </row>
    <row r="151">
      <c r="A151" s="23" t="s">
        <v>23145</v>
      </c>
      <c r="B151" s="23" t="s">
        <v>6876</v>
      </c>
      <c r="C151" s="23" t="s">
        <v>6877</v>
      </c>
      <c r="D151" s="23" t="s">
        <v>8310</v>
      </c>
      <c r="E151" s="23" t="s">
        <v>23149</v>
      </c>
      <c r="F151" s="23" t="s">
        <v>22161</v>
      </c>
      <c r="G151" s="23" t="s">
        <v>21941</v>
      </c>
      <c r="H151" s="23" t="s">
        <v>21957</v>
      </c>
      <c r="I151" s="23" t="s">
        <v>1014</v>
      </c>
      <c r="J151" s="23" t="s">
        <v>1014</v>
      </c>
      <c r="K151" s="23" t="s">
        <v>23136</v>
      </c>
      <c r="L151" s="23" t="s">
        <v>8304</v>
      </c>
      <c r="M151" s="23" t="s">
        <v>23138</v>
      </c>
      <c r="N151" s="23" t="s">
        <v>23150</v>
      </c>
      <c r="O151" s="23" t="s">
        <v>21995</v>
      </c>
      <c r="P151" s="23" t="s">
        <v>21948</v>
      </c>
      <c r="Q151" s="23" t="s">
        <v>21948</v>
      </c>
      <c r="R151" s="23" t="s">
        <v>21948</v>
      </c>
      <c r="S151" s="23" t="s">
        <v>21978</v>
      </c>
      <c r="T151" s="23" t="s">
        <v>22634</v>
      </c>
      <c r="U151" s="23">
        <v>3739.0</v>
      </c>
      <c r="V151" s="23" t="s">
        <v>23153</v>
      </c>
      <c r="W151" s="23" t="s">
        <v>23154</v>
      </c>
      <c r="X151" s="23">
        <v>150.0</v>
      </c>
    </row>
    <row r="152">
      <c r="A152" s="23" t="s">
        <v>23149</v>
      </c>
      <c r="B152" s="23" t="s">
        <v>6876</v>
      </c>
      <c r="C152" s="23" t="s">
        <v>6877</v>
      </c>
      <c r="D152" s="23" t="s">
        <v>8310</v>
      </c>
      <c r="E152" s="23" t="s">
        <v>23158</v>
      </c>
      <c r="F152" s="23" t="s">
        <v>22174</v>
      </c>
      <c r="G152" s="23" t="s">
        <v>21941</v>
      </c>
      <c r="H152" s="23" t="s">
        <v>21957</v>
      </c>
      <c r="I152" s="23" t="s">
        <v>1016</v>
      </c>
      <c r="J152" s="23" t="s">
        <v>1016</v>
      </c>
      <c r="K152" s="23" t="s">
        <v>23136</v>
      </c>
      <c r="L152" s="23" t="s">
        <v>8304</v>
      </c>
      <c r="M152" s="23" t="s">
        <v>23138</v>
      </c>
      <c r="N152" s="23" t="s">
        <v>23150</v>
      </c>
      <c r="O152" s="23" t="s">
        <v>21995</v>
      </c>
      <c r="P152" s="23" t="s">
        <v>21948</v>
      </c>
      <c r="Q152" s="23" t="s">
        <v>21948</v>
      </c>
      <c r="R152" s="23" t="s">
        <v>21948</v>
      </c>
      <c r="S152" s="23" t="s">
        <v>21978</v>
      </c>
      <c r="T152" s="23" t="s">
        <v>22634</v>
      </c>
      <c r="U152" s="23">
        <v>3740.0</v>
      </c>
      <c r="V152" s="23" t="s">
        <v>23161</v>
      </c>
      <c r="W152" s="23" t="s">
        <v>23163</v>
      </c>
      <c r="X152" s="23">
        <v>151.0</v>
      </c>
    </row>
    <row r="153">
      <c r="A153" s="23" t="s">
        <v>23158</v>
      </c>
      <c r="B153" s="23" t="s">
        <v>6876</v>
      </c>
      <c r="C153" s="23" t="s">
        <v>6877</v>
      </c>
      <c r="D153" s="23" t="s">
        <v>8310</v>
      </c>
      <c r="E153" s="23" t="s">
        <v>23164</v>
      </c>
      <c r="F153" s="23" t="s">
        <v>22861</v>
      </c>
      <c r="G153" s="23" t="s">
        <v>21941</v>
      </c>
      <c r="H153" s="23" t="s">
        <v>22862</v>
      </c>
      <c r="I153" s="23" t="s">
        <v>1021</v>
      </c>
      <c r="J153" s="23" t="s">
        <v>1021</v>
      </c>
      <c r="K153" s="23" t="s">
        <v>23165</v>
      </c>
      <c r="L153" s="23" t="s">
        <v>23166</v>
      </c>
      <c r="M153" s="23" t="s">
        <v>23167</v>
      </c>
      <c r="N153" s="23" t="s">
        <v>23168</v>
      </c>
      <c r="O153" s="23" t="s">
        <v>21995</v>
      </c>
      <c r="P153" s="23" t="s">
        <v>21948</v>
      </c>
      <c r="Q153" s="23" t="s">
        <v>21948</v>
      </c>
      <c r="R153" s="23" t="s">
        <v>21948</v>
      </c>
      <c r="S153" s="23" t="s">
        <v>21978</v>
      </c>
      <c r="T153" s="23" t="s">
        <v>22634</v>
      </c>
      <c r="U153" s="23">
        <v>3741.0</v>
      </c>
      <c r="V153" s="23" t="s">
        <v>23170</v>
      </c>
      <c r="W153" s="23" t="s">
        <v>23172</v>
      </c>
      <c r="X153" s="23">
        <v>152.0</v>
      </c>
    </row>
    <row r="154">
      <c r="A154" s="23" t="s">
        <v>23164</v>
      </c>
      <c r="B154" s="23" t="s">
        <v>6876</v>
      </c>
      <c r="C154" s="23" t="s">
        <v>6877</v>
      </c>
      <c r="D154" s="23" t="s">
        <v>8310</v>
      </c>
      <c r="E154" s="23" t="s">
        <v>23173</v>
      </c>
      <c r="F154" s="23" t="s">
        <v>21956</v>
      </c>
      <c r="G154" s="23" t="s">
        <v>21941</v>
      </c>
      <c r="H154" s="23" t="s">
        <v>22662</v>
      </c>
      <c r="I154" s="23" t="s">
        <v>1018</v>
      </c>
      <c r="J154" s="23" t="s">
        <v>1018</v>
      </c>
      <c r="K154" s="23" t="s">
        <v>23175</v>
      </c>
      <c r="L154" s="23" t="s">
        <v>23176</v>
      </c>
      <c r="M154" s="23" t="s">
        <v>23177</v>
      </c>
      <c r="N154" s="23" t="s">
        <v>23178</v>
      </c>
      <c r="O154" s="23" t="s">
        <v>21995</v>
      </c>
      <c r="P154" s="23" t="s">
        <v>21948</v>
      </c>
      <c r="Q154" s="23" t="s">
        <v>21948</v>
      </c>
      <c r="R154" s="23" t="s">
        <v>23179</v>
      </c>
      <c r="S154" s="23" t="s">
        <v>21978</v>
      </c>
      <c r="T154" s="23" t="s">
        <v>22634</v>
      </c>
      <c r="U154" s="23">
        <v>3742.0</v>
      </c>
      <c r="V154" s="23" t="s">
        <v>23180</v>
      </c>
      <c r="W154" s="23" t="s">
        <v>23182</v>
      </c>
      <c r="X154" s="23">
        <v>153.0</v>
      </c>
    </row>
    <row r="155">
      <c r="A155" s="23" t="s">
        <v>23184</v>
      </c>
      <c r="B155" s="23" t="s">
        <v>6876</v>
      </c>
      <c r="C155" s="23" t="s">
        <v>6877</v>
      </c>
      <c r="D155" s="23" t="s">
        <v>8310</v>
      </c>
      <c r="E155" s="23" t="s">
        <v>23186</v>
      </c>
      <c r="F155" s="23" t="s">
        <v>21940</v>
      </c>
      <c r="G155" s="23" t="s">
        <v>21941</v>
      </c>
      <c r="H155" s="23" t="s">
        <v>21942</v>
      </c>
      <c r="I155" s="23" t="s">
        <v>1028</v>
      </c>
      <c r="J155" s="23" t="s">
        <v>1028</v>
      </c>
      <c r="K155" s="23" t="s">
        <v>8353</v>
      </c>
      <c r="L155" s="23" t="s">
        <v>23187</v>
      </c>
      <c r="M155" s="23" t="s">
        <v>23188</v>
      </c>
      <c r="N155" s="23" t="s">
        <v>23189</v>
      </c>
      <c r="O155" s="23" t="s">
        <v>21995</v>
      </c>
      <c r="P155" s="23" t="s">
        <v>21948</v>
      </c>
      <c r="Q155" s="23" t="s">
        <v>21948</v>
      </c>
      <c r="R155" s="23" t="s">
        <v>16176</v>
      </c>
      <c r="S155" s="23" t="s">
        <v>22023</v>
      </c>
      <c r="T155" s="23" t="s">
        <v>22634</v>
      </c>
      <c r="U155" s="23">
        <v>3782.0</v>
      </c>
      <c r="V155" s="23" t="s">
        <v>23192</v>
      </c>
      <c r="W155" s="23" t="s">
        <v>23193</v>
      </c>
      <c r="X155" s="23">
        <v>154.0</v>
      </c>
    </row>
    <row r="156">
      <c r="A156" s="23" t="s">
        <v>23186</v>
      </c>
      <c r="B156" s="23" t="s">
        <v>6876</v>
      </c>
      <c r="C156" s="23" t="s">
        <v>6877</v>
      </c>
      <c r="D156" s="23" t="s">
        <v>8310</v>
      </c>
      <c r="E156" s="23" t="s">
        <v>23194</v>
      </c>
      <c r="F156" s="23" t="s">
        <v>21940</v>
      </c>
      <c r="G156" s="23" t="s">
        <v>21941</v>
      </c>
      <c r="H156" s="23" t="s">
        <v>22662</v>
      </c>
      <c r="I156" s="23" t="s">
        <v>1032</v>
      </c>
      <c r="J156" s="23" t="s">
        <v>1032</v>
      </c>
      <c r="K156" s="23" t="s">
        <v>8367</v>
      </c>
      <c r="L156" s="23" t="s">
        <v>23195</v>
      </c>
      <c r="M156" s="23" t="s">
        <v>23196</v>
      </c>
      <c r="N156" s="23" t="s">
        <v>23197</v>
      </c>
      <c r="O156" s="23" t="s">
        <v>21995</v>
      </c>
      <c r="P156" s="23" t="s">
        <v>21948</v>
      </c>
      <c r="Q156" s="23" t="s">
        <v>21948</v>
      </c>
      <c r="R156" s="23" t="s">
        <v>23199</v>
      </c>
      <c r="S156" s="23" t="s">
        <v>22023</v>
      </c>
      <c r="T156" s="23" t="s">
        <v>22634</v>
      </c>
      <c r="U156" s="23">
        <v>3783.0</v>
      </c>
      <c r="V156" s="23" t="s">
        <v>23200</v>
      </c>
      <c r="W156" s="23" t="s">
        <v>23201</v>
      </c>
      <c r="X156" s="23">
        <v>155.0</v>
      </c>
    </row>
    <row r="157">
      <c r="A157" s="23" t="s">
        <v>23194</v>
      </c>
      <c r="B157" s="23" t="s">
        <v>6876</v>
      </c>
      <c r="C157" s="23" t="s">
        <v>6877</v>
      </c>
      <c r="D157" s="23" t="s">
        <v>8310</v>
      </c>
      <c r="E157" s="23" t="s">
        <v>23202</v>
      </c>
      <c r="F157" s="23" t="s">
        <v>21940</v>
      </c>
      <c r="G157" s="23" t="s">
        <v>21941</v>
      </c>
      <c r="H157" s="23" t="s">
        <v>22662</v>
      </c>
      <c r="I157" s="23" t="s">
        <v>1026</v>
      </c>
      <c r="J157" s="23" t="s">
        <v>1026</v>
      </c>
      <c r="K157" s="23" t="s">
        <v>8393</v>
      </c>
      <c r="L157" s="23" t="s">
        <v>23195</v>
      </c>
      <c r="M157" s="23" t="s">
        <v>23196</v>
      </c>
      <c r="N157" s="23" t="s">
        <v>23205</v>
      </c>
      <c r="O157" s="23" t="s">
        <v>21995</v>
      </c>
      <c r="P157" s="23" t="s">
        <v>21948</v>
      </c>
      <c r="Q157" s="23" t="s">
        <v>21948</v>
      </c>
      <c r="R157" s="23" t="s">
        <v>23206</v>
      </c>
      <c r="S157" s="23" t="s">
        <v>22023</v>
      </c>
      <c r="T157" s="23" t="s">
        <v>22634</v>
      </c>
      <c r="U157" s="23">
        <v>3784.0</v>
      </c>
      <c r="V157" s="23" t="s">
        <v>23208</v>
      </c>
      <c r="W157" s="23" t="s">
        <v>23209</v>
      </c>
      <c r="X157" s="23">
        <v>156.0</v>
      </c>
    </row>
    <row r="158">
      <c r="A158" s="23" t="s">
        <v>23202</v>
      </c>
      <c r="B158" s="23" t="s">
        <v>6876</v>
      </c>
      <c r="C158" s="23" t="s">
        <v>6877</v>
      </c>
      <c r="D158" s="23" t="s">
        <v>8310</v>
      </c>
      <c r="E158" s="23" t="s">
        <v>23213</v>
      </c>
      <c r="F158" s="23" t="s">
        <v>22861</v>
      </c>
      <c r="G158" s="23" t="s">
        <v>21941</v>
      </c>
      <c r="H158" s="23" t="s">
        <v>22862</v>
      </c>
      <c r="I158" s="23" t="s">
        <v>1035</v>
      </c>
      <c r="J158" s="23" t="s">
        <v>1035</v>
      </c>
      <c r="K158" s="23" t="s">
        <v>8367</v>
      </c>
      <c r="L158" s="23" t="s">
        <v>23214</v>
      </c>
      <c r="M158" s="23" t="s">
        <v>8414</v>
      </c>
      <c r="N158" s="23" t="s">
        <v>23196</v>
      </c>
      <c r="O158" s="23" t="s">
        <v>21995</v>
      </c>
      <c r="P158" s="23" t="s">
        <v>21948</v>
      </c>
      <c r="Q158" s="23" t="s">
        <v>21948</v>
      </c>
      <c r="R158" s="23" t="s">
        <v>23199</v>
      </c>
      <c r="S158" s="23" t="s">
        <v>22023</v>
      </c>
      <c r="T158" s="23" t="s">
        <v>22634</v>
      </c>
      <c r="U158" s="23">
        <v>3785.0</v>
      </c>
      <c r="V158" s="23" t="s">
        <v>23216</v>
      </c>
      <c r="W158" s="23" t="s">
        <v>23217</v>
      </c>
      <c r="X158" s="23">
        <v>157.0</v>
      </c>
    </row>
    <row r="159">
      <c r="A159" s="23" t="s">
        <v>23213</v>
      </c>
      <c r="B159" s="23" t="s">
        <v>6876</v>
      </c>
      <c r="C159" s="23" t="s">
        <v>6877</v>
      </c>
      <c r="D159" s="23" t="s">
        <v>8310</v>
      </c>
      <c r="E159" s="23" t="s">
        <v>23218</v>
      </c>
      <c r="F159" s="23" t="s">
        <v>21956</v>
      </c>
      <c r="G159" s="23" t="s">
        <v>21941</v>
      </c>
      <c r="H159" s="23" t="s">
        <v>21957</v>
      </c>
      <c r="I159" s="23" t="s">
        <v>1037</v>
      </c>
      <c r="J159" s="23" t="s">
        <v>1037</v>
      </c>
      <c r="K159" s="23" t="s">
        <v>8381</v>
      </c>
      <c r="L159" s="23" t="s">
        <v>23188</v>
      </c>
      <c r="M159" s="23" t="s">
        <v>23219</v>
      </c>
      <c r="N159" s="23" t="s">
        <v>23220</v>
      </c>
      <c r="O159" s="23" t="s">
        <v>21995</v>
      </c>
      <c r="P159" s="23" t="s">
        <v>21948</v>
      </c>
      <c r="Q159" s="23" t="s">
        <v>21948</v>
      </c>
      <c r="R159" s="23" t="s">
        <v>21948</v>
      </c>
      <c r="S159" s="23" t="s">
        <v>21950</v>
      </c>
      <c r="T159" s="23" t="s">
        <v>22634</v>
      </c>
      <c r="U159" s="23">
        <v>3786.0</v>
      </c>
      <c r="V159" s="23" t="s">
        <v>23221</v>
      </c>
      <c r="W159" s="23" t="s">
        <v>23222</v>
      </c>
      <c r="X159" s="23">
        <v>158.0</v>
      </c>
    </row>
    <row r="160">
      <c r="A160" s="23" t="s">
        <v>23218</v>
      </c>
      <c r="B160" s="23" t="s">
        <v>6876</v>
      </c>
      <c r="C160" s="23" t="s">
        <v>6877</v>
      </c>
      <c r="D160" s="23" t="s">
        <v>8310</v>
      </c>
      <c r="E160" s="23" t="s">
        <v>23224</v>
      </c>
      <c r="F160" s="23" t="s">
        <v>22107</v>
      </c>
      <c r="G160" s="23" t="s">
        <v>21941</v>
      </c>
      <c r="H160" s="23" t="s">
        <v>21957</v>
      </c>
      <c r="I160" s="23" t="s">
        <v>1042</v>
      </c>
      <c r="J160" s="23" t="s">
        <v>1042</v>
      </c>
      <c r="K160" s="23" t="s">
        <v>8381</v>
      </c>
      <c r="L160" s="23" t="s">
        <v>23188</v>
      </c>
      <c r="M160" s="23" t="s">
        <v>23219</v>
      </c>
      <c r="N160" s="23" t="s">
        <v>23229</v>
      </c>
      <c r="O160" s="23" t="s">
        <v>21995</v>
      </c>
      <c r="P160" s="23" t="s">
        <v>21948</v>
      </c>
      <c r="Q160" s="23" t="s">
        <v>21948</v>
      </c>
      <c r="R160" s="23" t="s">
        <v>21948</v>
      </c>
      <c r="S160" s="23" t="s">
        <v>21950</v>
      </c>
      <c r="T160" s="23" t="s">
        <v>22634</v>
      </c>
      <c r="U160" s="23">
        <v>3787.0</v>
      </c>
      <c r="V160" s="23" t="s">
        <v>23233</v>
      </c>
      <c r="W160" s="23" t="s">
        <v>23234</v>
      </c>
      <c r="X160" s="23">
        <v>159.0</v>
      </c>
    </row>
    <row r="161">
      <c r="A161" s="23" t="s">
        <v>23224</v>
      </c>
      <c r="B161" s="23" t="s">
        <v>6876</v>
      </c>
      <c r="C161" s="23" t="s">
        <v>6877</v>
      </c>
      <c r="D161" s="23" t="s">
        <v>8310</v>
      </c>
      <c r="E161" s="23" t="s">
        <v>23235</v>
      </c>
      <c r="F161" s="23" t="s">
        <v>22083</v>
      </c>
      <c r="G161" s="23" t="s">
        <v>21941</v>
      </c>
      <c r="H161" s="23" t="s">
        <v>21957</v>
      </c>
      <c r="I161" s="23" t="s">
        <v>1046</v>
      </c>
      <c r="J161" s="23" t="s">
        <v>1046</v>
      </c>
      <c r="K161" s="23" t="s">
        <v>8381</v>
      </c>
      <c r="L161" s="23" t="s">
        <v>23188</v>
      </c>
      <c r="M161" s="23" t="s">
        <v>23219</v>
      </c>
      <c r="N161" s="23" t="s">
        <v>23236</v>
      </c>
      <c r="O161" s="23" t="s">
        <v>21995</v>
      </c>
      <c r="P161" s="23" t="s">
        <v>21948</v>
      </c>
      <c r="Q161" s="23" t="s">
        <v>21948</v>
      </c>
      <c r="R161" s="23" t="s">
        <v>21948</v>
      </c>
      <c r="S161" s="23" t="s">
        <v>21950</v>
      </c>
      <c r="T161" s="23" t="s">
        <v>22634</v>
      </c>
      <c r="U161" s="23">
        <v>3788.0</v>
      </c>
      <c r="V161" s="23" t="s">
        <v>23237</v>
      </c>
      <c r="W161" s="23" t="s">
        <v>23238</v>
      </c>
      <c r="X161" s="23">
        <v>160.0</v>
      </c>
    </row>
    <row r="162">
      <c r="A162" s="23" t="s">
        <v>23235</v>
      </c>
      <c r="B162" s="23" t="s">
        <v>6876</v>
      </c>
      <c r="C162" s="23" t="s">
        <v>6877</v>
      </c>
      <c r="D162" s="23" t="s">
        <v>8310</v>
      </c>
      <c r="E162" s="23" t="s">
        <v>23239</v>
      </c>
      <c r="F162" s="23" t="s">
        <v>21956</v>
      </c>
      <c r="G162" s="23" t="s">
        <v>21941</v>
      </c>
      <c r="H162" s="23" t="s">
        <v>21957</v>
      </c>
      <c r="I162" s="23" t="s">
        <v>1047</v>
      </c>
      <c r="J162" s="23" t="s">
        <v>1047</v>
      </c>
      <c r="K162" s="23" t="s">
        <v>8381</v>
      </c>
      <c r="L162" s="23" t="s">
        <v>23188</v>
      </c>
      <c r="M162" s="23" t="s">
        <v>23219</v>
      </c>
      <c r="N162" s="23" t="s">
        <v>23243</v>
      </c>
      <c r="O162" s="23" t="s">
        <v>21995</v>
      </c>
      <c r="P162" s="23" t="s">
        <v>21948</v>
      </c>
      <c r="Q162" s="23" t="s">
        <v>21948</v>
      </c>
      <c r="R162" s="23" t="s">
        <v>21948</v>
      </c>
      <c r="S162" s="23" t="s">
        <v>21950</v>
      </c>
      <c r="T162" s="23" t="s">
        <v>22634</v>
      </c>
      <c r="U162" s="23">
        <v>3789.0</v>
      </c>
      <c r="V162" s="23" t="s">
        <v>23245</v>
      </c>
      <c r="W162" s="23" t="s">
        <v>23246</v>
      </c>
      <c r="X162" s="23">
        <v>161.0</v>
      </c>
    </row>
    <row r="163">
      <c r="A163" s="23" t="s">
        <v>23247</v>
      </c>
      <c r="B163" s="23" t="s">
        <v>6876</v>
      </c>
      <c r="C163" s="23" t="s">
        <v>6877</v>
      </c>
      <c r="D163" s="23" t="s">
        <v>8310</v>
      </c>
      <c r="E163" s="23" t="s">
        <v>23248</v>
      </c>
      <c r="F163" s="23" t="s">
        <v>22107</v>
      </c>
      <c r="G163" s="23" t="s">
        <v>21941</v>
      </c>
      <c r="H163" s="23" t="s">
        <v>22662</v>
      </c>
      <c r="I163" s="23" t="s">
        <v>1040</v>
      </c>
      <c r="J163" s="23" t="s">
        <v>1040</v>
      </c>
      <c r="K163" s="23" t="s">
        <v>23196</v>
      </c>
      <c r="L163" s="23" t="s">
        <v>23252</v>
      </c>
      <c r="M163" s="23" t="s">
        <v>23253</v>
      </c>
      <c r="N163" s="23" t="s">
        <v>23255</v>
      </c>
      <c r="O163" s="23" t="s">
        <v>21995</v>
      </c>
      <c r="P163" s="23" t="s">
        <v>21948</v>
      </c>
      <c r="Q163" s="23" t="s">
        <v>21948</v>
      </c>
      <c r="R163" s="23" t="s">
        <v>23256</v>
      </c>
      <c r="S163" s="23" t="s">
        <v>21950</v>
      </c>
      <c r="T163" s="23" t="s">
        <v>22634</v>
      </c>
      <c r="U163" s="23">
        <v>3790.0</v>
      </c>
      <c r="V163" s="23" t="s">
        <v>23257</v>
      </c>
      <c r="W163" s="23" t="s">
        <v>23258</v>
      </c>
      <c r="X163" s="23">
        <v>162.0</v>
      </c>
    </row>
    <row r="164">
      <c r="A164" s="23" t="s">
        <v>23248</v>
      </c>
      <c r="B164" s="23" t="s">
        <v>6876</v>
      </c>
      <c r="C164" s="23" t="s">
        <v>6877</v>
      </c>
      <c r="D164" s="23" t="s">
        <v>8310</v>
      </c>
      <c r="E164" s="23" t="s">
        <v>23260</v>
      </c>
      <c r="F164" s="23" t="s">
        <v>21940</v>
      </c>
      <c r="G164" s="23" t="s">
        <v>21941</v>
      </c>
      <c r="H164" s="23" t="s">
        <v>22662</v>
      </c>
      <c r="I164" s="23" t="s">
        <v>1044</v>
      </c>
      <c r="J164" s="23" t="s">
        <v>1044</v>
      </c>
      <c r="K164" s="23" t="s">
        <v>23263</v>
      </c>
      <c r="L164" s="23" t="s">
        <v>23252</v>
      </c>
      <c r="M164" s="23" t="s">
        <v>23253</v>
      </c>
      <c r="N164" s="23" t="s">
        <v>23264</v>
      </c>
      <c r="O164" s="23" t="s">
        <v>21995</v>
      </c>
      <c r="P164" s="23" t="s">
        <v>21948</v>
      </c>
      <c r="Q164" s="23" t="s">
        <v>21948</v>
      </c>
      <c r="R164" s="23" t="s">
        <v>23265</v>
      </c>
      <c r="S164" s="23" t="s">
        <v>21950</v>
      </c>
      <c r="T164" s="23" t="s">
        <v>22634</v>
      </c>
      <c r="U164" s="23">
        <v>3791.0</v>
      </c>
      <c r="V164" s="23" t="s">
        <v>23267</v>
      </c>
      <c r="W164" s="23" t="s">
        <v>23268</v>
      </c>
      <c r="X164" s="23">
        <v>163.0</v>
      </c>
    </row>
    <row r="165">
      <c r="A165" s="23" t="s">
        <v>23260</v>
      </c>
      <c r="B165" s="23" t="s">
        <v>6876</v>
      </c>
      <c r="C165" s="23" t="s">
        <v>6877</v>
      </c>
      <c r="D165" s="23" t="s">
        <v>8310</v>
      </c>
      <c r="E165" s="23" t="s">
        <v>23269</v>
      </c>
      <c r="F165" s="23" t="s">
        <v>22861</v>
      </c>
      <c r="G165" s="23" t="s">
        <v>21941</v>
      </c>
      <c r="H165" s="23" t="s">
        <v>22862</v>
      </c>
      <c r="I165" s="23" t="s">
        <v>1054</v>
      </c>
      <c r="J165" s="23" t="s">
        <v>1054</v>
      </c>
      <c r="K165" s="23" t="s">
        <v>8483</v>
      </c>
      <c r="L165" s="23" t="s">
        <v>8339</v>
      </c>
      <c r="M165" s="23" t="s">
        <v>8484</v>
      </c>
      <c r="N165" s="23" t="s">
        <v>23270</v>
      </c>
      <c r="O165" s="23" t="s">
        <v>21995</v>
      </c>
      <c r="P165" s="23" t="s">
        <v>21948</v>
      </c>
      <c r="Q165" s="23" t="s">
        <v>21948</v>
      </c>
      <c r="R165" s="23" t="s">
        <v>23256</v>
      </c>
      <c r="S165" s="23" t="s">
        <v>21950</v>
      </c>
      <c r="T165" s="23" t="s">
        <v>22634</v>
      </c>
      <c r="U165" s="23">
        <v>3792.0</v>
      </c>
      <c r="V165" s="23" t="s">
        <v>23271</v>
      </c>
      <c r="W165" s="23" t="s">
        <v>23272</v>
      </c>
      <c r="X165" s="23">
        <v>164.0</v>
      </c>
    </row>
    <row r="166">
      <c r="A166" s="23" t="s">
        <v>23273</v>
      </c>
      <c r="B166" s="23" t="s">
        <v>6876</v>
      </c>
      <c r="C166" s="23" t="s">
        <v>6877</v>
      </c>
      <c r="D166" s="23" t="s">
        <v>8493</v>
      </c>
      <c r="E166" s="23" t="s">
        <v>23274</v>
      </c>
      <c r="F166" s="23" t="s">
        <v>22083</v>
      </c>
      <c r="G166" s="23" t="s">
        <v>21941</v>
      </c>
      <c r="H166" s="23" t="s">
        <v>21942</v>
      </c>
      <c r="I166" s="23" t="s">
        <v>1055</v>
      </c>
      <c r="J166" s="23" t="s">
        <v>1055</v>
      </c>
      <c r="K166" s="23" t="s">
        <v>8496</v>
      </c>
      <c r="L166" s="23" t="s">
        <v>23277</v>
      </c>
      <c r="M166" s="23" t="s">
        <v>23280</v>
      </c>
      <c r="N166" s="23" t="s">
        <v>23281</v>
      </c>
      <c r="O166" s="23" t="s">
        <v>21995</v>
      </c>
      <c r="P166" s="23" t="s">
        <v>21948</v>
      </c>
      <c r="Q166" s="23" t="s">
        <v>21948</v>
      </c>
      <c r="R166" s="23" t="s">
        <v>23283</v>
      </c>
      <c r="S166" s="23" t="s">
        <v>21978</v>
      </c>
      <c r="T166" s="23" t="s">
        <v>22634</v>
      </c>
      <c r="U166" s="23">
        <v>3853.0</v>
      </c>
      <c r="V166" s="23" t="s">
        <v>23284</v>
      </c>
      <c r="W166" s="23" t="s">
        <v>23285</v>
      </c>
      <c r="X166" s="23">
        <v>165.0</v>
      </c>
    </row>
    <row r="167">
      <c r="A167" s="23" t="s">
        <v>23274</v>
      </c>
      <c r="B167" s="23" t="s">
        <v>6876</v>
      </c>
      <c r="C167" s="23" t="s">
        <v>6877</v>
      </c>
      <c r="D167" s="23" t="s">
        <v>8493</v>
      </c>
      <c r="E167" s="23" t="s">
        <v>23288</v>
      </c>
      <c r="F167" s="23" t="s">
        <v>22861</v>
      </c>
      <c r="G167" s="23" t="s">
        <v>21941</v>
      </c>
      <c r="H167" s="23" t="s">
        <v>22862</v>
      </c>
      <c r="I167" s="23" t="s">
        <v>1065</v>
      </c>
      <c r="J167" s="23" t="s">
        <v>1065</v>
      </c>
      <c r="K167" s="23" t="s">
        <v>8586</v>
      </c>
      <c r="L167" s="23" t="s">
        <v>8532</v>
      </c>
      <c r="M167" s="23" t="s">
        <v>8533</v>
      </c>
      <c r="N167" s="23" t="s">
        <v>23289</v>
      </c>
      <c r="O167" s="23" t="s">
        <v>21995</v>
      </c>
      <c r="P167" s="23" t="s">
        <v>21948</v>
      </c>
      <c r="Q167" s="23" t="s">
        <v>21948</v>
      </c>
      <c r="R167" s="23" t="s">
        <v>23265</v>
      </c>
      <c r="S167" s="23" t="s">
        <v>21978</v>
      </c>
      <c r="T167" s="23" t="s">
        <v>22634</v>
      </c>
      <c r="U167" s="23">
        <v>3854.0</v>
      </c>
      <c r="V167" s="23" t="s">
        <v>23290</v>
      </c>
      <c r="W167" s="23" t="s">
        <v>23291</v>
      </c>
      <c r="X167" s="23">
        <v>166.0</v>
      </c>
    </row>
    <row r="168">
      <c r="A168" s="23" t="s">
        <v>23288</v>
      </c>
      <c r="B168" s="23" t="s">
        <v>6876</v>
      </c>
      <c r="C168" s="23" t="s">
        <v>6877</v>
      </c>
      <c r="D168" s="23" t="s">
        <v>8493</v>
      </c>
      <c r="E168" s="23" t="s">
        <v>23292</v>
      </c>
      <c r="F168" s="23" t="s">
        <v>22083</v>
      </c>
      <c r="G168" s="23" t="s">
        <v>21941</v>
      </c>
      <c r="H168" s="23" t="s">
        <v>22662</v>
      </c>
      <c r="I168" s="23" t="s">
        <v>1058</v>
      </c>
      <c r="J168" s="23" t="s">
        <v>1058</v>
      </c>
      <c r="K168" s="23" t="s">
        <v>8507</v>
      </c>
      <c r="L168" s="23" t="s">
        <v>8496</v>
      </c>
      <c r="M168" s="23" t="s">
        <v>23295</v>
      </c>
      <c r="N168" s="23" t="s">
        <v>23296</v>
      </c>
      <c r="O168" s="23" t="s">
        <v>21995</v>
      </c>
      <c r="P168" s="23" t="s">
        <v>21948</v>
      </c>
      <c r="Q168" s="23" t="s">
        <v>21948</v>
      </c>
      <c r="R168" s="23" t="s">
        <v>23297</v>
      </c>
      <c r="S168" s="23" t="s">
        <v>21978</v>
      </c>
      <c r="T168" s="23" t="s">
        <v>22634</v>
      </c>
      <c r="U168" s="23">
        <v>3855.0</v>
      </c>
      <c r="V168" s="23" t="s">
        <v>23299</v>
      </c>
      <c r="W168" s="23" t="s">
        <v>23300</v>
      </c>
      <c r="X168" s="23">
        <v>167.0</v>
      </c>
    </row>
    <row r="169">
      <c r="A169" s="23" t="s">
        <v>23292</v>
      </c>
      <c r="B169" s="23" t="s">
        <v>6876</v>
      </c>
      <c r="C169" s="23" t="s">
        <v>6877</v>
      </c>
      <c r="D169" s="23" t="s">
        <v>8493</v>
      </c>
      <c r="E169" s="23" t="s">
        <v>23301</v>
      </c>
      <c r="F169" s="23" t="s">
        <v>21940</v>
      </c>
      <c r="G169" s="23" t="s">
        <v>21941</v>
      </c>
      <c r="H169" s="23" t="s">
        <v>22662</v>
      </c>
      <c r="I169" s="23" t="s">
        <v>1062</v>
      </c>
      <c r="J169" s="23" t="s">
        <v>1062</v>
      </c>
      <c r="K169" s="23" t="s">
        <v>8531</v>
      </c>
      <c r="L169" s="23" t="s">
        <v>8519</v>
      </c>
      <c r="M169" s="23" t="s">
        <v>23302</v>
      </c>
      <c r="N169" s="23" t="s">
        <v>23303</v>
      </c>
      <c r="O169" s="23" t="s">
        <v>21995</v>
      </c>
      <c r="P169" s="23" t="s">
        <v>21948</v>
      </c>
      <c r="Q169" s="23" t="s">
        <v>21948</v>
      </c>
      <c r="R169" s="23" t="s">
        <v>23306</v>
      </c>
      <c r="S169" s="23" t="s">
        <v>21978</v>
      </c>
      <c r="T169" s="23" t="s">
        <v>22634</v>
      </c>
      <c r="U169" s="23">
        <v>3856.0</v>
      </c>
      <c r="V169" s="23" t="s">
        <v>23308</v>
      </c>
      <c r="W169" s="23" t="s">
        <v>23309</v>
      </c>
      <c r="X169" s="23">
        <v>168.0</v>
      </c>
    </row>
    <row r="170">
      <c r="A170" s="23" t="s">
        <v>23301</v>
      </c>
      <c r="B170" s="23" t="s">
        <v>6876</v>
      </c>
      <c r="C170" s="23" t="s">
        <v>6877</v>
      </c>
      <c r="D170" s="23" t="s">
        <v>8493</v>
      </c>
      <c r="E170" s="23" t="s">
        <v>23311</v>
      </c>
      <c r="F170" s="23" t="s">
        <v>22161</v>
      </c>
      <c r="G170" s="23" t="s">
        <v>21941</v>
      </c>
      <c r="H170" s="23" t="s">
        <v>21957</v>
      </c>
      <c r="I170" s="23" t="s">
        <v>1066</v>
      </c>
      <c r="J170" s="23" t="s">
        <v>1066</v>
      </c>
      <c r="K170" s="23" t="s">
        <v>23314</v>
      </c>
      <c r="L170" s="23" t="s">
        <v>23315</v>
      </c>
      <c r="M170" s="23" t="s">
        <v>23316</v>
      </c>
      <c r="N170" s="23" t="s">
        <v>23317</v>
      </c>
      <c r="O170" s="23" t="s">
        <v>21995</v>
      </c>
      <c r="P170" s="23" t="s">
        <v>21948</v>
      </c>
      <c r="Q170" s="23" t="s">
        <v>21948</v>
      </c>
      <c r="R170" s="23" t="s">
        <v>21948</v>
      </c>
      <c r="S170" s="23" t="s">
        <v>21950</v>
      </c>
      <c r="T170" s="23" t="s">
        <v>22634</v>
      </c>
      <c r="U170" s="23">
        <v>3857.0</v>
      </c>
      <c r="V170" s="23" t="s">
        <v>23319</v>
      </c>
      <c r="W170" s="23" t="s">
        <v>23320</v>
      </c>
      <c r="X170" s="23">
        <v>169.0</v>
      </c>
    </row>
    <row r="171">
      <c r="A171" s="23" t="s">
        <v>23321</v>
      </c>
      <c r="B171" s="23" t="s">
        <v>6876</v>
      </c>
      <c r="C171" s="23" t="s">
        <v>6877</v>
      </c>
      <c r="D171" s="23" t="s">
        <v>8493</v>
      </c>
      <c r="E171" s="23" t="s">
        <v>23322</v>
      </c>
      <c r="F171" s="23" t="s">
        <v>22174</v>
      </c>
      <c r="G171" s="23" t="s">
        <v>21941</v>
      </c>
      <c r="H171" s="23" t="s">
        <v>21957</v>
      </c>
      <c r="I171" s="23" t="s">
        <v>1068</v>
      </c>
      <c r="J171" s="23" t="s">
        <v>1068</v>
      </c>
      <c r="K171" s="23" t="s">
        <v>23314</v>
      </c>
      <c r="L171" s="23" t="s">
        <v>23315</v>
      </c>
      <c r="M171" s="23" t="s">
        <v>23316</v>
      </c>
      <c r="N171" s="23" t="s">
        <v>23323</v>
      </c>
      <c r="O171" s="23" t="s">
        <v>21995</v>
      </c>
      <c r="P171" s="23" t="s">
        <v>21948</v>
      </c>
      <c r="Q171" s="23" t="s">
        <v>21948</v>
      </c>
      <c r="R171" s="23" t="s">
        <v>21948</v>
      </c>
      <c r="S171" s="23" t="s">
        <v>21950</v>
      </c>
      <c r="T171" s="23" t="s">
        <v>22634</v>
      </c>
      <c r="U171" s="23">
        <v>3858.0</v>
      </c>
      <c r="V171" s="23" t="s">
        <v>23324</v>
      </c>
      <c r="W171" s="23" t="s">
        <v>23325</v>
      </c>
      <c r="X171" s="23">
        <v>170.0</v>
      </c>
    </row>
    <row r="172">
      <c r="A172" s="23" t="s">
        <v>23322</v>
      </c>
      <c r="B172" s="23" t="s">
        <v>6876</v>
      </c>
      <c r="C172" s="23" t="s">
        <v>6877</v>
      </c>
      <c r="D172" s="23" t="s">
        <v>8493</v>
      </c>
      <c r="E172" s="23" t="s">
        <v>23326</v>
      </c>
      <c r="F172" s="23" t="s">
        <v>22083</v>
      </c>
      <c r="G172" s="23" t="s">
        <v>21941</v>
      </c>
      <c r="H172" s="23" t="s">
        <v>21957</v>
      </c>
      <c r="I172" s="23" t="s">
        <v>1069</v>
      </c>
      <c r="J172" s="23" t="s">
        <v>1069</v>
      </c>
      <c r="K172" s="23" t="s">
        <v>23327</v>
      </c>
      <c r="L172" s="23" t="s">
        <v>23303</v>
      </c>
      <c r="M172" s="23" t="s">
        <v>23328</v>
      </c>
      <c r="N172" s="23" t="s">
        <v>23329</v>
      </c>
      <c r="O172" s="23" t="s">
        <v>21995</v>
      </c>
      <c r="P172" s="23" t="s">
        <v>21948</v>
      </c>
      <c r="Q172" s="23" t="s">
        <v>21948</v>
      </c>
      <c r="R172" s="23" t="s">
        <v>21948</v>
      </c>
      <c r="S172" s="23" t="s">
        <v>21950</v>
      </c>
      <c r="T172" s="23" t="s">
        <v>22634</v>
      </c>
      <c r="U172" s="23">
        <v>3859.0</v>
      </c>
      <c r="V172" s="23" t="s">
        <v>23331</v>
      </c>
      <c r="W172" s="23" t="s">
        <v>23332</v>
      </c>
      <c r="X172" s="23">
        <v>171.0</v>
      </c>
    </row>
    <row r="173">
      <c r="A173" s="23" t="s">
        <v>23326</v>
      </c>
      <c r="B173" s="23" t="s">
        <v>6876</v>
      </c>
      <c r="C173" s="23" t="s">
        <v>6877</v>
      </c>
      <c r="D173" s="23" t="s">
        <v>8493</v>
      </c>
      <c r="E173" s="23" t="s">
        <v>23337</v>
      </c>
      <c r="F173" s="23" t="s">
        <v>21956</v>
      </c>
      <c r="G173" s="23" t="s">
        <v>21941</v>
      </c>
      <c r="H173" s="23" t="s">
        <v>21957</v>
      </c>
      <c r="I173" s="23" t="s">
        <v>1070</v>
      </c>
      <c r="J173" s="23" t="s">
        <v>1070</v>
      </c>
      <c r="K173" s="23" t="s">
        <v>23327</v>
      </c>
      <c r="L173" s="23" t="s">
        <v>23303</v>
      </c>
      <c r="M173" s="23" t="s">
        <v>23328</v>
      </c>
      <c r="N173" s="23" t="s">
        <v>23340</v>
      </c>
      <c r="O173" s="23" t="s">
        <v>21995</v>
      </c>
      <c r="P173" s="23" t="s">
        <v>21948</v>
      </c>
      <c r="Q173" s="23" t="s">
        <v>21948</v>
      </c>
      <c r="R173" s="23" t="s">
        <v>21948</v>
      </c>
      <c r="S173" s="23" t="s">
        <v>21950</v>
      </c>
      <c r="T173" s="23" t="s">
        <v>22634</v>
      </c>
      <c r="U173" s="23">
        <v>3860.0</v>
      </c>
      <c r="V173" s="23" t="s">
        <v>23341</v>
      </c>
      <c r="W173" s="23" t="s">
        <v>23342</v>
      </c>
      <c r="X173" s="23">
        <v>172.0</v>
      </c>
    </row>
    <row r="174">
      <c r="A174" s="23" t="s">
        <v>23337</v>
      </c>
      <c r="B174" s="23" t="s">
        <v>6876</v>
      </c>
      <c r="C174" s="23" t="s">
        <v>6877</v>
      </c>
      <c r="D174" s="23" t="s">
        <v>8493</v>
      </c>
      <c r="E174" s="23" t="s">
        <v>23343</v>
      </c>
      <c r="F174" s="23" t="s">
        <v>21956</v>
      </c>
      <c r="G174" s="23" t="s">
        <v>21941</v>
      </c>
      <c r="H174" s="23" t="s">
        <v>22662</v>
      </c>
      <c r="I174" s="23" t="s">
        <v>1073</v>
      </c>
      <c r="J174" s="23" t="s">
        <v>1073</v>
      </c>
      <c r="K174" s="23" t="s">
        <v>23344</v>
      </c>
      <c r="L174" s="23" t="s">
        <v>23345</v>
      </c>
      <c r="M174" s="23" t="s">
        <v>23346</v>
      </c>
      <c r="N174" s="23" t="s">
        <v>23347</v>
      </c>
      <c r="O174" s="23" t="s">
        <v>21995</v>
      </c>
      <c r="P174" s="23" t="s">
        <v>21948</v>
      </c>
      <c r="Q174" s="23" t="s">
        <v>21948</v>
      </c>
      <c r="R174" s="23" t="s">
        <v>23256</v>
      </c>
      <c r="S174" s="23" t="s">
        <v>21950</v>
      </c>
      <c r="T174" s="23" t="s">
        <v>22634</v>
      </c>
      <c r="U174" s="23">
        <v>3861.0</v>
      </c>
      <c r="V174" s="23" t="s">
        <v>23348</v>
      </c>
      <c r="W174" s="23" t="s">
        <v>23349</v>
      </c>
      <c r="X174" s="23">
        <v>173.0</v>
      </c>
    </row>
    <row r="175">
      <c r="A175" s="23" t="s">
        <v>23343</v>
      </c>
      <c r="B175" s="23" t="s">
        <v>6876</v>
      </c>
      <c r="C175" s="23" t="s">
        <v>6877</v>
      </c>
      <c r="D175" s="23" t="s">
        <v>8493</v>
      </c>
      <c r="E175" s="23" t="s">
        <v>23352</v>
      </c>
      <c r="F175" s="23" t="s">
        <v>22861</v>
      </c>
      <c r="G175" s="23" t="s">
        <v>21941</v>
      </c>
      <c r="H175" s="23" t="s">
        <v>22862</v>
      </c>
      <c r="I175" s="23" t="s">
        <v>1077</v>
      </c>
      <c r="J175" s="23" t="s">
        <v>1077</v>
      </c>
      <c r="K175" s="23" t="s">
        <v>23353</v>
      </c>
      <c r="L175" s="23" t="s">
        <v>23354</v>
      </c>
      <c r="M175" s="23" t="s">
        <v>23356</v>
      </c>
      <c r="N175" s="23" t="s">
        <v>23357</v>
      </c>
      <c r="O175" s="23" t="s">
        <v>21995</v>
      </c>
      <c r="P175" s="23" t="s">
        <v>21948</v>
      </c>
      <c r="Q175" s="23" t="s">
        <v>21948</v>
      </c>
      <c r="R175" s="23" t="s">
        <v>23256</v>
      </c>
      <c r="S175" s="23" t="s">
        <v>21950</v>
      </c>
      <c r="T175" s="23" t="s">
        <v>22634</v>
      </c>
      <c r="U175" s="23">
        <v>3862.0</v>
      </c>
      <c r="V175" s="23" t="s">
        <v>23358</v>
      </c>
      <c r="W175" s="23" t="s">
        <v>23359</v>
      </c>
      <c r="X175" s="23">
        <v>174.0</v>
      </c>
    </row>
    <row r="176">
      <c r="A176" s="23" t="s">
        <v>23352</v>
      </c>
      <c r="B176" s="23" t="s">
        <v>6876</v>
      </c>
      <c r="C176" s="23" t="s">
        <v>6877</v>
      </c>
      <c r="D176" s="23" t="s">
        <v>8493</v>
      </c>
      <c r="E176" s="23" t="s">
        <v>23360</v>
      </c>
      <c r="F176" s="23" t="s">
        <v>21940</v>
      </c>
      <c r="G176" s="23" t="s">
        <v>21941</v>
      </c>
      <c r="H176" s="23" t="s">
        <v>22662</v>
      </c>
      <c r="I176" s="23" t="s">
        <v>1081</v>
      </c>
      <c r="J176" s="23" t="s">
        <v>1081</v>
      </c>
      <c r="K176" s="23" t="s">
        <v>23316</v>
      </c>
      <c r="L176" s="23" t="s">
        <v>23361</v>
      </c>
      <c r="M176" s="23" t="s">
        <v>23362</v>
      </c>
      <c r="N176" s="23" t="s">
        <v>23363</v>
      </c>
      <c r="O176" s="23" t="s">
        <v>21995</v>
      </c>
      <c r="P176" s="23" t="s">
        <v>21948</v>
      </c>
      <c r="Q176" s="23" t="s">
        <v>21948</v>
      </c>
      <c r="R176" s="23" t="s">
        <v>23256</v>
      </c>
      <c r="S176" s="23" t="s">
        <v>21950</v>
      </c>
      <c r="T176" s="23" t="s">
        <v>22634</v>
      </c>
      <c r="U176" s="23">
        <v>3863.0</v>
      </c>
      <c r="V176" s="23" t="s">
        <v>23364</v>
      </c>
      <c r="W176" s="23" t="s">
        <v>23365</v>
      </c>
      <c r="X176" s="23">
        <v>175.0</v>
      </c>
    </row>
    <row r="177">
      <c r="A177" s="23" t="s">
        <v>23367</v>
      </c>
      <c r="B177" s="23" t="s">
        <v>6876</v>
      </c>
      <c r="C177" s="23" t="s">
        <v>6877</v>
      </c>
      <c r="D177" s="23" t="s">
        <v>8493</v>
      </c>
      <c r="E177" s="23" t="s">
        <v>23371</v>
      </c>
      <c r="F177" s="23" t="s">
        <v>21940</v>
      </c>
      <c r="G177" s="23" t="s">
        <v>21941</v>
      </c>
      <c r="H177" s="23" t="s">
        <v>22016</v>
      </c>
      <c r="I177" s="23" t="s">
        <v>392</v>
      </c>
      <c r="J177" s="23" t="s">
        <v>392</v>
      </c>
      <c r="K177" s="23" t="s">
        <v>23374</v>
      </c>
      <c r="L177" s="23" t="s">
        <v>22440</v>
      </c>
      <c r="M177" s="23" t="s">
        <v>22056</v>
      </c>
      <c r="N177" s="23" t="s">
        <v>23377</v>
      </c>
      <c r="O177" s="23" t="s">
        <v>21941</v>
      </c>
      <c r="P177" s="23" t="s">
        <v>22392</v>
      </c>
      <c r="Q177" s="23" t="s">
        <v>21948</v>
      </c>
      <c r="R177" s="23" t="s">
        <v>21948</v>
      </c>
      <c r="S177" s="23" t="s">
        <v>21950</v>
      </c>
      <c r="T177" s="23" t="s">
        <v>22634</v>
      </c>
      <c r="U177" s="23">
        <v>3911.0</v>
      </c>
      <c r="V177" s="23" t="s">
        <v>23378</v>
      </c>
      <c r="W177" s="23" t="s">
        <v>23379</v>
      </c>
      <c r="X177" s="23">
        <v>176.0</v>
      </c>
    </row>
    <row r="178">
      <c r="A178" s="23" t="s">
        <v>23371</v>
      </c>
      <c r="B178" s="23" t="s">
        <v>6876</v>
      </c>
      <c r="C178" s="23" t="s">
        <v>6877</v>
      </c>
      <c r="D178" s="23" t="s">
        <v>8493</v>
      </c>
      <c r="E178" s="23" t="s">
        <v>23380</v>
      </c>
      <c r="F178" s="23" t="s">
        <v>21940</v>
      </c>
      <c r="G178" s="23" t="s">
        <v>21941</v>
      </c>
      <c r="H178" s="23" t="s">
        <v>22016</v>
      </c>
      <c r="I178" s="23" t="s">
        <v>415</v>
      </c>
      <c r="J178" s="23" t="s">
        <v>415</v>
      </c>
      <c r="K178" s="23" t="s">
        <v>23381</v>
      </c>
      <c r="L178" s="23" t="s">
        <v>23382</v>
      </c>
      <c r="M178" s="23" t="s">
        <v>7349</v>
      </c>
      <c r="N178" s="23" t="s">
        <v>23383</v>
      </c>
      <c r="O178" s="23" t="s">
        <v>21941</v>
      </c>
      <c r="P178" s="23" t="s">
        <v>22402</v>
      </c>
      <c r="Q178" s="23" t="s">
        <v>21948</v>
      </c>
      <c r="R178" s="23" t="s">
        <v>21948</v>
      </c>
      <c r="S178" s="23" t="s">
        <v>21978</v>
      </c>
      <c r="T178" s="23" t="s">
        <v>22634</v>
      </c>
      <c r="U178" s="23">
        <v>3912.0</v>
      </c>
      <c r="V178" s="23" t="s">
        <v>23387</v>
      </c>
      <c r="W178" s="23" t="s">
        <v>23388</v>
      </c>
      <c r="X178" s="23">
        <v>177.0</v>
      </c>
    </row>
    <row r="179">
      <c r="A179" s="23" t="s">
        <v>23380</v>
      </c>
      <c r="B179" s="23" t="s">
        <v>6876</v>
      </c>
      <c r="C179" s="23" t="s">
        <v>6877</v>
      </c>
      <c r="D179" s="23" t="s">
        <v>8493</v>
      </c>
      <c r="E179" s="23" t="s">
        <v>23389</v>
      </c>
      <c r="F179" s="23" t="s">
        <v>21940</v>
      </c>
      <c r="G179" s="23" t="s">
        <v>21941</v>
      </c>
      <c r="H179" s="23" t="s">
        <v>22016</v>
      </c>
      <c r="I179" s="23" t="s">
        <v>417</v>
      </c>
      <c r="J179" s="23" t="s">
        <v>417</v>
      </c>
      <c r="K179" s="23" t="s">
        <v>23381</v>
      </c>
      <c r="L179" s="23" t="s">
        <v>23382</v>
      </c>
      <c r="M179" s="23" t="s">
        <v>7349</v>
      </c>
      <c r="N179" s="23" t="s">
        <v>23391</v>
      </c>
      <c r="O179" s="23" t="s">
        <v>21941</v>
      </c>
      <c r="P179" s="23" t="s">
        <v>22402</v>
      </c>
      <c r="Q179" s="23" t="s">
        <v>21948</v>
      </c>
      <c r="R179" s="23" t="s">
        <v>21948</v>
      </c>
      <c r="S179" s="23" t="s">
        <v>21978</v>
      </c>
      <c r="T179" s="23" t="s">
        <v>22634</v>
      </c>
      <c r="U179" s="23">
        <v>3913.0</v>
      </c>
      <c r="V179" s="23" t="s">
        <v>23392</v>
      </c>
      <c r="W179" s="23" t="s">
        <v>23393</v>
      </c>
      <c r="X179" s="23">
        <v>178.0</v>
      </c>
    </row>
    <row r="180">
      <c r="A180" s="23" t="s">
        <v>23394</v>
      </c>
      <c r="B180" s="23" t="s">
        <v>6876</v>
      </c>
      <c r="C180" s="23" t="s">
        <v>6877</v>
      </c>
      <c r="D180" s="23" t="s">
        <v>8493</v>
      </c>
      <c r="E180" s="23" t="s">
        <v>23395</v>
      </c>
      <c r="F180" s="23" t="s">
        <v>21940</v>
      </c>
      <c r="G180" s="23" t="s">
        <v>21941</v>
      </c>
      <c r="H180" s="23" t="s">
        <v>22016</v>
      </c>
      <c r="I180" s="23" t="s">
        <v>449</v>
      </c>
      <c r="J180" s="23" t="s">
        <v>449</v>
      </c>
      <c r="K180" s="23" t="s">
        <v>23396</v>
      </c>
      <c r="L180" s="23" t="s">
        <v>23397</v>
      </c>
      <c r="M180" s="23" t="s">
        <v>23398</v>
      </c>
      <c r="N180" s="23" t="s">
        <v>23399</v>
      </c>
      <c r="O180" s="23" t="s">
        <v>21941</v>
      </c>
      <c r="P180" s="23" t="s">
        <v>22068</v>
      </c>
      <c r="Q180" s="23" t="s">
        <v>21948</v>
      </c>
      <c r="R180" s="23" t="s">
        <v>21948</v>
      </c>
      <c r="S180" s="23" t="s">
        <v>21941</v>
      </c>
      <c r="T180" s="23" t="s">
        <v>22634</v>
      </c>
      <c r="U180" s="23">
        <v>3914.0</v>
      </c>
      <c r="V180" s="23" t="s">
        <v>23402</v>
      </c>
      <c r="W180" s="23" t="s">
        <v>23403</v>
      </c>
      <c r="X180" s="23">
        <v>179.0</v>
      </c>
    </row>
    <row r="181">
      <c r="A181" s="23" t="s">
        <v>23395</v>
      </c>
      <c r="B181" s="23" t="s">
        <v>6876</v>
      </c>
      <c r="C181" s="23" t="s">
        <v>6877</v>
      </c>
      <c r="D181" s="23" t="s">
        <v>8493</v>
      </c>
      <c r="E181" s="23" t="s">
        <v>23406</v>
      </c>
      <c r="F181" s="23" t="s">
        <v>21940</v>
      </c>
      <c r="G181" s="23" t="s">
        <v>21941</v>
      </c>
      <c r="H181" s="23" t="s">
        <v>22016</v>
      </c>
      <c r="I181" s="23" t="s">
        <v>488</v>
      </c>
      <c r="J181" s="23" t="s">
        <v>488</v>
      </c>
      <c r="K181" s="23" t="s">
        <v>23409</v>
      </c>
      <c r="L181" s="23" t="s">
        <v>23410</v>
      </c>
      <c r="M181" s="23" t="s">
        <v>23411</v>
      </c>
      <c r="N181" s="23" t="s">
        <v>23412</v>
      </c>
      <c r="O181" s="23" t="s">
        <v>21941</v>
      </c>
      <c r="P181" s="23" t="s">
        <v>22392</v>
      </c>
      <c r="Q181" s="23" t="s">
        <v>21948</v>
      </c>
      <c r="R181" s="23" t="s">
        <v>21948</v>
      </c>
      <c r="S181" s="23" t="s">
        <v>22023</v>
      </c>
      <c r="T181" s="23" t="s">
        <v>22634</v>
      </c>
      <c r="U181" s="23">
        <v>3915.0</v>
      </c>
      <c r="V181" s="23" t="s">
        <v>23413</v>
      </c>
      <c r="W181" s="23" t="s">
        <v>23414</v>
      </c>
      <c r="X181" s="23">
        <v>180.0</v>
      </c>
    </row>
    <row r="182">
      <c r="A182" s="23" t="s">
        <v>23415</v>
      </c>
      <c r="B182" s="23" t="s">
        <v>6876</v>
      </c>
      <c r="C182" s="23" t="s">
        <v>6877</v>
      </c>
      <c r="D182" s="23" t="s">
        <v>8493</v>
      </c>
      <c r="E182" s="23" t="s">
        <v>23416</v>
      </c>
      <c r="F182" s="23" t="s">
        <v>21940</v>
      </c>
      <c r="G182" s="23" t="s">
        <v>21941</v>
      </c>
      <c r="H182" s="23" t="s">
        <v>21942</v>
      </c>
      <c r="I182" s="23" t="s">
        <v>1087</v>
      </c>
      <c r="J182" s="23" t="s">
        <v>1087</v>
      </c>
      <c r="K182" s="23" t="s">
        <v>8753</v>
      </c>
      <c r="L182" s="23" t="s">
        <v>23417</v>
      </c>
      <c r="M182" s="23" t="s">
        <v>23418</v>
      </c>
      <c r="N182" s="23" t="s">
        <v>23419</v>
      </c>
      <c r="O182" s="23" t="s">
        <v>21995</v>
      </c>
      <c r="P182" s="23" t="s">
        <v>21948</v>
      </c>
      <c r="Q182" s="23" t="s">
        <v>21948</v>
      </c>
      <c r="R182" s="23" t="s">
        <v>23421</v>
      </c>
      <c r="S182" s="23" t="s">
        <v>22023</v>
      </c>
      <c r="T182" s="23" t="s">
        <v>22634</v>
      </c>
      <c r="U182" s="23">
        <v>3941.0</v>
      </c>
      <c r="V182" s="23" t="s">
        <v>23423</v>
      </c>
      <c r="W182" s="23" t="s">
        <v>23424</v>
      </c>
      <c r="X182" s="23">
        <v>181.0</v>
      </c>
    </row>
    <row r="183">
      <c r="A183" s="23" t="s">
        <v>23425</v>
      </c>
      <c r="B183" s="23" t="s">
        <v>6876</v>
      </c>
      <c r="C183" s="23" t="s">
        <v>6877</v>
      </c>
      <c r="D183" s="23" t="s">
        <v>8493</v>
      </c>
      <c r="E183" s="23" t="s">
        <v>23426</v>
      </c>
      <c r="F183" s="23" t="s">
        <v>22861</v>
      </c>
      <c r="G183" s="23" t="s">
        <v>21941</v>
      </c>
      <c r="H183" s="23" t="s">
        <v>22862</v>
      </c>
      <c r="I183" s="23" t="s">
        <v>1099</v>
      </c>
      <c r="J183" s="23" t="s">
        <v>1099</v>
      </c>
      <c r="K183" s="23" t="s">
        <v>23428</v>
      </c>
      <c r="L183" s="23" t="s">
        <v>8744</v>
      </c>
      <c r="M183" s="23" t="s">
        <v>8745</v>
      </c>
      <c r="N183" s="23" t="s">
        <v>23429</v>
      </c>
      <c r="O183" s="23" t="s">
        <v>21995</v>
      </c>
      <c r="P183" s="23" t="s">
        <v>21948</v>
      </c>
      <c r="Q183" s="23" t="s">
        <v>21948</v>
      </c>
      <c r="R183" s="23" t="s">
        <v>21948</v>
      </c>
      <c r="S183" s="23" t="s">
        <v>22023</v>
      </c>
      <c r="T183" s="23" t="s">
        <v>22634</v>
      </c>
      <c r="U183" s="23">
        <v>3942.0</v>
      </c>
      <c r="V183" s="23" t="s">
        <v>23430</v>
      </c>
      <c r="W183" s="23" t="s">
        <v>23431</v>
      </c>
      <c r="X183" s="23">
        <v>182.0</v>
      </c>
    </row>
    <row r="184">
      <c r="A184" s="23" t="s">
        <v>23426</v>
      </c>
      <c r="B184" s="23" t="s">
        <v>6876</v>
      </c>
      <c r="C184" s="23" t="s">
        <v>6877</v>
      </c>
      <c r="D184" s="23" t="s">
        <v>8493</v>
      </c>
      <c r="E184" s="23" t="s">
        <v>23432</v>
      </c>
      <c r="F184" s="23" t="s">
        <v>21940</v>
      </c>
      <c r="G184" s="23" t="s">
        <v>21941</v>
      </c>
      <c r="H184" s="23" t="s">
        <v>22662</v>
      </c>
      <c r="I184" s="23" t="s">
        <v>1096</v>
      </c>
      <c r="J184" s="23" t="s">
        <v>1096</v>
      </c>
      <c r="K184" s="23" t="s">
        <v>8743</v>
      </c>
      <c r="L184" s="23" t="s">
        <v>8766</v>
      </c>
      <c r="M184" s="23" t="s">
        <v>8767</v>
      </c>
      <c r="N184" s="23" t="s">
        <v>23429</v>
      </c>
      <c r="O184" s="23" t="s">
        <v>21995</v>
      </c>
      <c r="P184" s="23" t="s">
        <v>21948</v>
      </c>
      <c r="Q184" s="23" t="s">
        <v>21948</v>
      </c>
      <c r="R184" s="23" t="s">
        <v>23256</v>
      </c>
      <c r="S184" s="23" t="s">
        <v>22023</v>
      </c>
      <c r="T184" s="23" t="s">
        <v>22634</v>
      </c>
      <c r="U184" s="23">
        <v>3943.0</v>
      </c>
      <c r="V184" s="23" t="s">
        <v>23438</v>
      </c>
      <c r="W184" s="23" t="s">
        <v>23439</v>
      </c>
      <c r="X184" s="23">
        <v>183.0</v>
      </c>
    </row>
    <row r="185">
      <c r="A185" s="23" t="s">
        <v>23432</v>
      </c>
      <c r="B185" s="23" t="s">
        <v>6876</v>
      </c>
      <c r="C185" s="23" t="s">
        <v>6877</v>
      </c>
      <c r="D185" s="23" t="s">
        <v>8493</v>
      </c>
      <c r="E185" s="23" t="s">
        <v>23441</v>
      </c>
      <c r="F185" s="23" t="s">
        <v>21940</v>
      </c>
      <c r="G185" s="23" t="s">
        <v>21941</v>
      </c>
      <c r="H185" s="23" t="s">
        <v>22662</v>
      </c>
      <c r="I185" s="23" t="s">
        <v>1090</v>
      </c>
      <c r="J185" s="23" t="s">
        <v>1090</v>
      </c>
      <c r="K185" s="23" t="s">
        <v>8743</v>
      </c>
      <c r="L185" s="23" t="s">
        <v>23443</v>
      </c>
      <c r="M185" s="23" t="s">
        <v>23444</v>
      </c>
      <c r="N185" s="23" t="s">
        <v>23445</v>
      </c>
      <c r="O185" s="23" t="s">
        <v>21995</v>
      </c>
      <c r="P185" s="23" t="s">
        <v>21948</v>
      </c>
      <c r="Q185" s="23" t="s">
        <v>21948</v>
      </c>
      <c r="R185" s="23" t="s">
        <v>23265</v>
      </c>
      <c r="S185" s="23" t="s">
        <v>22023</v>
      </c>
      <c r="T185" s="23" t="s">
        <v>22634</v>
      </c>
      <c r="U185" s="23">
        <v>3944.0</v>
      </c>
      <c r="V185" s="23" t="s">
        <v>23446</v>
      </c>
      <c r="W185" s="23" t="s">
        <v>23447</v>
      </c>
      <c r="X185" s="23">
        <v>184.0</v>
      </c>
    </row>
    <row r="186">
      <c r="A186" s="23" t="s">
        <v>23448</v>
      </c>
      <c r="B186" s="23" t="s">
        <v>6876</v>
      </c>
      <c r="C186" s="23" t="s">
        <v>6877</v>
      </c>
      <c r="D186" s="23" t="s">
        <v>8493</v>
      </c>
      <c r="E186" s="23" t="s">
        <v>23449</v>
      </c>
      <c r="F186" s="23" t="s">
        <v>21940</v>
      </c>
      <c r="G186" s="23" t="s">
        <v>21941</v>
      </c>
      <c r="H186" s="23" t="s">
        <v>22662</v>
      </c>
      <c r="I186" s="23" t="s">
        <v>1103</v>
      </c>
      <c r="J186" s="23" t="s">
        <v>1103</v>
      </c>
      <c r="K186" s="23" t="s">
        <v>23450</v>
      </c>
      <c r="L186" s="23" t="s">
        <v>23429</v>
      </c>
      <c r="M186" s="23" t="s">
        <v>23451</v>
      </c>
      <c r="N186" s="23" t="s">
        <v>23452</v>
      </c>
      <c r="O186" s="23" t="s">
        <v>21995</v>
      </c>
      <c r="P186" s="23" t="s">
        <v>21948</v>
      </c>
      <c r="Q186" s="23" t="s">
        <v>21948</v>
      </c>
      <c r="R186" s="23" t="s">
        <v>23453</v>
      </c>
      <c r="S186" s="23" t="s">
        <v>22023</v>
      </c>
      <c r="T186" s="23" t="s">
        <v>22634</v>
      </c>
      <c r="U186" s="23">
        <v>3977.0</v>
      </c>
      <c r="V186" s="23" t="s">
        <v>23455</v>
      </c>
      <c r="W186" s="23" t="s">
        <v>23457</v>
      </c>
      <c r="X186" s="23">
        <v>185.0</v>
      </c>
    </row>
    <row r="187">
      <c r="A187" s="23" t="s">
        <v>23449</v>
      </c>
      <c r="B187" s="23" t="s">
        <v>6876</v>
      </c>
      <c r="C187" s="23" t="s">
        <v>6877</v>
      </c>
      <c r="D187" s="23" t="s">
        <v>8493</v>
      </c>
      <c r="E187" s="23" t="s">
        <v>23458</v>
      </c>
      <c r="F187" s="23" t="s">
        <v>21940</v>
      </c>
      <c r="G187" s="23" t="s">
        <v>21941</v>
      </c>
      <c r="H187" s="23" t="s">
        <v>22662</v>
      </c>
      <c r="I187" s="23" t="s">
        <v>1105</v>
      </c>
      <c r="J187" s="23" t="s">
        <v>1105</v>
      </c>
      <c r="K187" s="23" t="s">
        <v>23450</v>
      </c>
      <c r="L187" s="23" t="s">
        <v>23429</v>
      </c>
      <c r="M187" s="23" t="s">
        <v>23451</v>
      </c>
      <c r="N187" s="23" t="s">
        <v>23452</v>
      </c>
      <c r="O187" s="23" t="s">
        <v>21995</v>
      </c>
      <c r="P187" s="23" t="s">
        <v>21948</v>
      </c>
      <c r="Q187" s="23" t="s">
        <v>21948</v>
      </c>
      <c r="R187" s="23" t="s">
        <v>23460</v>
      </c>
      <c r="S187" s="23" t="s">
        <v>22023</v>
      </c>
      <c r="T187" s="23" t="s">
        <v>22634</v>
      </c>
      <c r="U187" s="23">
        <v>3978.0</v>
      </c>
      <c r="V187" s="23" t="s">
        <v>23461</v>
      </c>
      <c r="W187" s="23" t="s">
        <v>23462</v>
      </c>
      <c r="X187" s="23">
        <v>186.0</v>
      </c>
    </row>
    <row r="188">
      <c r="A188" s="23" t="s">
        <v>23458</v>
      </c>
      <c r="B188" s="23" t="s">
        <v>6876</v>
      </c>
      <c r="C188" s="23" t="s">
        <v>6877</v>
      </c>
      <c r="D188" s="23" t="s">
        <v>8493</v>
      </c>
      <c r="E188" s="23" t="s">
        <v>23463</v>
      </c>
      <c r="F188" s="23" t="s">
        <v>21940</v>
      </c>
      <c r="G188" s="23" t="s">
        <v>21941</v>
      </c>
      <c r="H188" s="23" t="s">
        <v>22662</v>
      </c>
      <c r="I188" s="23" t="s">
        <v>1116</v>
      </c>
      <c r="J188" s="23" t="s">
        <v>1116</v>
      </c>
      <c r="K188" s="23" t="s">
        <v>23464</v>
      </c>
      <c r="L188" s="23" t="s">
        <v>8828</v>
      </c>
      <c r="M188" s="23" t="s">
        <v>23465</v>
      </c>
      <c r="N188" s="23" t="s">
        <v>23466</v>
      </c>
      <c r="O188" s="23" t="s">
        <v>21995</v>
      </c>
      <c r="P188" s="23" t="s">
        <v>21948</v>
      </c>
      <c r="Q188" s="23" t="s">
        <v>21948</v>
      </c>
      <c r="R188" s="23" t="s">
        <v>23467</v>
      </c>
      <c r="S188" s="23" t="s">
        <v>22023</v>
      </c>
      <c r="T188" s="23" t="s">
        <v>22634</v>
      </c>
      <c r="U188" s="23">
        <v>3979.0</v>
      </c>
      <c r="V188" s="23" t="s">
        <v>23471</v>
      </c>
      <c r="W188" s="23" t="s">
        <v>23472</v>
      </c>
      <c r="X188" s="23">
        <v>187.0</v>
      </c>
    </row>
    <row r="189">
      <c r="A189" s="23" t="s">
        <v>23463</v>
      </c>
      <c r="B189" s="23" t="s">
        <v>6876</v>
      </c>
      <c r="C189" s="23" t="s">
        <v>6877</v>
      </c>
      <c r="D189" s="23" t="s">
        <v>8493</v>
      </c>
      <c r="E189" s="23" t="s">
        <v>23475</v>
      </c>
      <c r="F189" s="23" t="s">
        <v>21940</v>
      </c>
      <c r="G189" s="23" t="s">
        <v>21941</v>
      </c>
      <c r="H189" s="23" t="s">
        <v>22662</v>
      </c>
      <c r="I189" s="23" t="s">
        <v>1120</v>
      </c>
      <c r="J189" s="23" t="s">
        <v>1120</v>
      </c>
      <c r="K189" s="23" t="s">
        <v>23464</v>
      </c>
      <c r="L189" s="23" t="s">
        <v>8828</v>
      </c>
      <c r="M189" s="23" t="s">
        <v>23465</v>
      </c>
      <c r="N189" s="23" t="s">
        <v>23466</v>
      </c>
      <c r="O189" s="23" t="s">
        <v>21995</v>
      </c>
      <c r="P189" s="23" t="s">
        <v>21948</v>
      </c>
      <c r="Q189" s="23" t="s">
        <v>21948</v>
      </c>
      <c r="R189" s="23" t="s">
        <v>23478</v>
      </c>
      <c r="S189" s="23" t="s">
        <v>22023</v>
      </c>
      <c r="T189" s="23" t="s">
        <v>22634</v>
      </c>
      <c r="U189" s="23">
        <v>3980.0</v>
      </c>
      <c r="V189" s="23" t="s">
        <v>23479</v>
      </c>
      <c r="W189" s="23" t="s">
        <v>23480</v>
      </c>
      <c r="X189" s="23">
        <v>188.0</v>
      </c>
    </row>
    <row r="190">
      <c r="A190" s="23" t="s">
        <v>23481</v>
      </c>
      <c r="B190" s="23" t="s">
        <v>6876</v>
      </c>
      <c r="C190" s="23" t="s">
        <v>6877</v>
      </c>
      <c r="D190" s="23" t="s">
        <v>8493</v>
      </c>
      <c r="E190" s="23" t="s">
        <v>23482</v>
      </c>
      <c r="F190" s="23" t="s">
        <v>21940</v>
      </c>
      <c r="G190" s="23" t="s">
        <v>21941</v>
      </c>
      <c r="H190" s="23" t="s">
        <v>22662</v>
      </c>
      <c r="I190" s="23" t="s">
        <v>1239</v>
      </c>
      <c r="J190" s="23" t="s">
        <v>1239</v>
      </c>
      <c r="K190" s="23" t="s">
        <v>9365</v>
      </c>
      <c r="L190" s="23" t="s">
        <v>9367</v>
      </c>
      <c r="M190" s="23" t="s">
        <v>9369</v>
      </c>
      <c r="N190" s="23" t="s">
        <v>13411</v>
      </c>
      <c r="O190" s="23" t="s">
        <v>21995</v>
      </c>
      <c r="P190" s="23" t="s">
        <v>21948</v>
      </c>
      <c r="Q190" s="23" t="s">
        <v>21948</v>
      </c>
      <c r="R190" s="23" t="s">
        <v>23265</v>
      </c>
      <c r="S190" s="23" t="s">
        <v>23483</v>
      </c>
      <c r="T190" s="23" t="s">
        <v>22634</v>
      </c>
      <c r="U190" s="23">
        <v>4112.0</v>
      </c>
      <c r="V190" s="23" t="s">
        <v>23484</v>
      </c>
      <c r="W190" s="23" t="s">
        <v>23486</v>
      </c>
      <c r="X190" s="23">
        <v>190.0</v>
      </c>
    </row>
    <row r="191">
      <c r="A191" s="23" t="s">
        <v>23488</v>
      </c>
      <c r="B191" s="23" t="s">
        <v>6876</v>
      </c>
      <c r="C191" s="23" t="s">
        <v>6877</v>
      </c>
      <c r="D191" s="23" t="s">
        <v>8310</v>
      </c>
      <c r="E191" s="23" t="s">
        <v>23489</v>
      </c>
      <c r="F191" s="23" t="s">
        <v>22083</v>
      </c>
      <c r="G191" s="23" t="s">
        <v>21941</v>
      </c>
      <c r="H191" s="23" t="s">
        <v>21942</v>
      </c>
      <c r="I191" s="23" t="s">
        <v>1144</v>
      </c>
      <c r="J191" s="23" t="s">
        <v>1144</v>
      </c>
      <c r="K191" s="23" t="s">
        <v>23491</v>
      </c>
      <c r="L191" s="23" t="s">
        <v>23492</v>
      </c>
      <c r="M191" s="23" t="s">
        <v>23493</v>
      </c>
      <c r="N191" s="23" t="s">
        <v>23494</v>
      </c>
      <c r="O191" s="23" t="s">
        <v>21995</v>
      </c>
      <c r="P191" s="23" t="s">
        <v>21948</v>
      </c>
      <c r="Q191" s="23" t="s">
        <v>21948</v>
      </c>
      <c r="R191" s="23" t="s">
        <v>21948</v>
      </c>
      <c r="S191" s="23" t="s">
        <v>21950</v>
      </c>
      <c r="T191" s="23" t="s">
        <v>22634</v>
      </c>
      <c r="U191" s="23">
        <v>4133.0</v>
      </c>
      <c r="V191" s="23" t="s">
        <v>23495</v>
      </c>
      <c r="W191" s="23" t="s">
        <v>23496</v>
      </c>
      <c r="X191" s="23">
        <v>194.0</v>
      </c>
    </row>
    <row r="192">
      <c r="A192" s="23" t="s">
        <v>23497</v>
      </c>
      <c r="B192" s="23" t="s">
        <v>6876</v>
      </c>
      <c r="C192" s="23" t="s">
        <v>6877</v>
      </c>
      <c r="D192" s="23" t="s">
        <v>8310</v>
      </c>
      <c r="E192" s="23" t="s">
        <v>23498</v>
      </c>
      <c r="F192" s="23" t="s">
        <v>21956</v>
      </c>
      <c r="G192" s="23" t="s">
        <v>21941</v>
      </c>
      <c r="H192" s="23" t="s">
        <v>21957</v>
      </c>
      <c r="I192" s="23" t="s">
        <v>1140</v>
      </c>
      <c r="J192" s="23" t="s">
        <v>1140</v>
      </c>
      <c r="K192" s="23" t="s">
        <v>23499</v>
      </c>
      <c r="L192" s="23" t="s">
        <v>23500</v>
      </c>
      <c r="M192" s="23" t="s">
        <v>23501</v>
      </c>
      <c r="N192" s="23" t="s">
        <v>23502</v>
      </c>
      <c r="O192" s="23" t="s">
        <v>21995</v>
      </c>
      <c r="P192" s="23" t="s">
        <v>21948</v>
      </c>
      <c r="Q192" s="23" t="s">
        <v>21948</v>
      </c>
      <c r="R192" s="23" t="s">
        <v>21948</v>
      </c>
      <c r="S192" s="23" t="s">
        <v>22023</v>
      </c>
      <c r="T192" s="23" t="s">
        <v>22634</v>
      </c>
      <c r="U192" s="23">
        <v>4136.0</v>
      </c>
      <c r="V192" s="23" t="s">
        <v>23507</v>
      </c>
      <c r="W192" s="23" t="s">
        <v>23508</v>
      </c>
      <c r="X192" s="23">
        <v>197.0</v>
      </c>
    </row>
    <row r="193">
      <c r="A193" s="23" t="s">
        <v>23498</v>
      </c>
      <c r="B193" s="23" t="s">
        <v>6876</v>
      </c>
      <c r="C193" s="23" t="s">
        <v>6877</v>
      </c>
      <c r="D193" s="23" t="s">
        <v>8310</v>
      </c>
      <c r="E193" s="23" t="s">
        <v>23511</v>
      </c>
      <c r="F193" s="23" t="s">
        <v>21940</v>
      </c>
      <c r="G193" s="23" t="s">
        <v>21941</v>
      </c>
      <c r="H193" s="23" t="s">
        <v>22016</v>
      </c>
      <c r="I193" s="23" t="s">
        <v>23513</v>
      </c>
      <c r="J193" s="23" t="s">
        <v>23513</v>
      </c>
      <c r="K193" s="23" t="s">
        <v>23514</v>
      </c>
      <c r="L193" s="23" t="s">
        <v>23515</v>
      </c>
      <c r="M193" s="23" t="s">
        <v>23516</v>
      </c>
      <c r="N193" s="23" t="s">
        <v>23517</v>
      </c>
      <c r="O193" s="23" t="s">
        <v>21995</v>
      </c>
      <c r="P193" s="23" t="s">
        <v>21948</v>
      </c>
      <c r="Q193" s="23" t="s">
        <v>21948</v>
      </c>
      <c r="R193" s="23" t="s">
        <v>21948</v>
      </c>
      <c r="S193" s="23" t="s">
        <v>22023</v>
      </c>
      <c r="T193" s="23" t="s">
        <v>22634</v>
      </c>
      <c r="U193" s="23">
        <v>4137.0</v>
      </c>
      <c r="V193" s="23" t="s">
        <v>23518</v>
      </c>
      <c r="W193" s="23" t="s">
        <v>23519</v>
      </c>
      <c r="X193" s="23">
        <v>198.0</v>
      </c>
    </row>
    <row r="194">
      <c r="A194" s="23" t="s">
        <v>23511</v>
      </c>
      <c r="B194" s="23" t="s">
        <v>6876</v>
      </c>
      <c r="C194" s="23" t="s">
        <v>6877</v>
      </c>
      <c r="D194" s="23" t="s">
        <v>8310</v>
      </c>
      <c r="E194" s="23" t="s">
        <v>23523</v>
      </c>
      <c r="F194" s="23" t="s">
        <v>21940</v>
      </c>
      <c r="G194" s="23" t="s">
        <v>21941</v>
      </c>
      <c r="H194" s="23" t="s">
        <v>22662</v>
      </c>
      <c r="I194" s="23" t="s">
        <v>1164</v>
      </c>
      <c r="J194" s="23" t="s">
        <v>1164</v>
      </c>
      <c r="K194" s="23" t="s">
        <v>23524</v>
      </c>
      <c r="L194" s="23" t="s">
        <v>23514</v>
      </c>
      <c r="M194" s="23" t="s">
        <v>23525</v>
      </c>
      <c r="N194" s="23" t="s">
        <v>23526</v>
      </c>
      <c r="O194" s="23" t="s">
        <v>21995</v>
      </c>
      <c r="P194" s="23" t="s">
        <v>21948</v>
      </c>
      <c r="Q194" s="23" t="s">
        <v>21948</v>
      </c>
      <c r="R194" s="23" t="s">
        <v>23528</v>
      </c>
      <c r="S194" s="23" t="s">
        <v>22023</v>
      </c>
      <c r="T194" s="23" t="s">
        <v>22634</v>
      </c>
      <c r="U194" s="23">
        <v>4138.0</v>
      </c>
      <c r="V194" s="23" t="s">
        <v>23530</v>
      </c>
      <c r="W194" s="23" t="s">
        <v>23531</v>
      </c>
      <c r="X194" s="23">
        <v>199.0</v>
      </c>
    </row>
    <row r="195">
      <c r="A195" s="23" t="s">
        <v>23523</v>
      </c>
      <c r="B195" s="23" t="s">
        <v>6876</v>
      </c>
      <c r="C195" s="23" t="s">
        <v>6877</v>
      </c>
      <c r="D195" s="23" t="s">
        <v>8310</v>
      </c>
      <c r="E195" s="23" t="s">
        <v>23532</v>
      </c>
      <c r="F195" s="23" t="s">
        <v>21940</v>
      </c>
      <c r="G195" s="23" t="s">
        <v>21941</v>
      </c>
      <c r="H195" s="23" t="s">
        <v>22016</v>
      </c>
      <c r="I195" s="23" t="s">
        <v>1159</v>
      </c>
      <c r="J195" s="23" t="s">
        <v>1159</v>
      </c>
      <c r="K195" s="23" t="s">
        <v>23534</v>
      </c>
      <c r="L195" s="23" t="s">
        <v>23515</v>
      </c>
      <c r="M195" s="23" t="s">
        <v>23516</v>
      </c>
      <c r="N195" s="23" t="s">
        <v>23535</v>
      </c>
      <c r="O195" s="23" t="s">
        <v>21995</v>
      </c>
      <c r="P195" s="23" t="s">
        <v>21948</v>
      </c>
      <c r="Q195" s="23" t="s">
        <v>21948</v>
      </c>
      <c r="R195" s="23" t="s">
        <v>23536</v>
      </c>
      <c r="S195" s="23" t="s">
        <v>22023</v>
      </c>
      <c r="T195" s="23" t="s">
        <v>22634</v>
      </c>
      <c r="U195" s="23">
        <v>4139.0</v>
      </c>
      <c r="V195" s="23" t="s">
        <v>23537</v>
      </c>
      <c r="W195" s="23" t="s">
        <v>23538</v>
      </c>
      <c r="X195" s="23">
        <v>200.0</v>
      </c>
    </row>
    <row r="196">
      <c r="A196" s="23" t="s">
        <v>23539</v>
      </c>
      <c r="B196" s="23" t="s">
        <v>6876</v>
      </c>
      <c r="C196" s="23" t="s">
        <v>6877</v>
      </c>
      <c r="D196" s="23" t="s">
        <v>8310</v>
      </c>
      <c r="E196" s="23" t="s">
        <v>23540</v>
      </c>
      <c r="F196" s="23" t="s">
        <v>21940</v>
      </c>
      <c r="G196" s="23" t="s">
        <v>21941</v>
      </c>
      <c r="H196" s="23" t="s">
        <v>22016</v>
      </c>
      <c r="I196" s="23" t="s">
        <v>1161</v>
      </c>
      <c r="J196" s="23" t="s">
        <v>1161</v>
      </c>
      <c r="K196" s="23" t="s">
        <v>23541</v>
      </c>
      <c r="L196" s="23" t="s">
        <v>23515</v>
      </c>
      <c r="M196" s="23" t="s">
        <v>23516</v>
      </c>
      <c r="N196" s="23" t="s">
        <v>23535</v>
      </c>
      <c r="O196" s="23" t="s">
        <v>21995</v>
      </c>
      <c r="P196" s="23" t="s">
        <v>21948</v>
      </c>
      <c r="Q196" s="23" t="s">
        <v>21948</v>
      </c>
      <c r="R196" s="23" t="s">
        <v>23542</v>
      </c>
      <c r="S196" s="23" t="s">
        <v>22023</v>
      </c>
      <c r="T196" s="23" t="s">
        <v>22634</v>
      </c>
      <c r="U196" s="23">
        <v>4140.0</v>
      </c>
      <c r="V196" s="23" t="s">
        <v>23544</v>
      </c>
      <c r="W196" s="23" t="s">
        <v>23545</v>
      </c>
      <c r="X196" s="23">
        <v>201.0</v>
      </c>
    </row>
    <row r="197">
      <c r="A197" s="23" t="s">
        <v>23540</v>
      </c>
      <c r="B197" s="23" t="s">
        <v>6876</v>
      </c>
      <c r="C197" s="23" t="s">
        <v>6877</v>
      </c>
      <c r="D197" s="23" t="s">
        <v>8310</v>
      </c>
      <c r="E197" s="23" t="s">
        <v>23548</v>
      </c>
      <c r="F197" s="23" t="s">
        <v>21940</v>
      </c>
      <c r="G197" s="23" t="s">
        <v>21941</v>
      </c>
      <c r="H197" s="23" t="s">
        <v>22662</v>
      </c>
      <c r="I197" s="23" t="s">
        <v>1156</v>
      </c>
      <c r="J197" s="23" t="s">
        <v>1156</v>
      </c>
      <c r="K197" s="23" t="s">
        <v>23524</v>
      </c>
      <c r="L197" s="23" t="s">
        <v>23514</v>
      </c>
      <c r="M197" s="23" t="s">
        <v>23525</v>
      </c>
      <c r="N197" s="23" t="s">
        <v>23535</v>
      </c>
      <c r="O197" s="23" t="s">
        <v>21995</v>
      </c>
      <c r="P197" s="23" t="s">
        <v>21948</v>
      </c>
      <c r="Q197" s="23" t="s">
        <v>21948</v>
      </c>
      <c r="R197" s="23" t="s">
        <v>23528</v>
      </c>
      <c r="S197" s="23" t="s">
        <v>22023</v>
      </c>
      <c r="T197" s="23" t="s">
        <v>22634</v>
      </c>
      <c r="U197" s="23">
        <v>4141.0</v>
      </c>
      <c r="V197" s="23" t="s">
        <v>23554</v>
      </c>
      <c r="W197" s="23" t="s">
        <v>23555</v>
      </c>
      <c r="X197" s="23">
        <v>202.0</v>
      </c>
    </row>
    <row r="198">
      <c r="A198" s="23" t="s">
        <v>23548</v>
      </c>
      <c r="B198" s="23" t="s">
        <v>6876</v>
      </c>
      <c r="C198" s="23" t="s">
        <v>6877</v>
      </c>
      <c r="D198" s="23" t="s">
        <v>8310</v>
      </c>
      <c r="E198" s="23" t="s">
        <v>23556</v>
      </c>
      <c r="F198" s="23" t="s">
        <v>21940</v>
      </c>
      <c r="G198" s="23" t="s">
        <v>21941</v>
      </c>
      <c r="H198" s="23" t="s">
        <v>22662</v>
      </c>
      <c r="I198" s="23" t="s">
        <v>1171</v>
      </c>
      <c r="J198" s="23" t="s">
        <v>1171</v>
      </c>
      <c r="K198" s="23" t="s">
        <v>23557</v>
      </c>
      <c r="L198" s="23" t="s">
        <v>23558</v>
      </c>
      <c r="M198" s="23" t="s">
        <v>23559</v>
      </c>
      <c r="N198" s="23" t="s">
        <v>23560</v>
      </c>
      <c r="O198" s="23" t="s">
        <v>21995</v>
      </c>
      <c r="P198" s="23" t="s">
        <v>21948</v>
      </c>
      <c r="Q198" s="23" t="s">
        <v>21948</v>
      </c>
      <c r="R198" s="23" t="s">
        <v>23561</v>
      </c>
      <c r="S198" s="23" t="s">
        <v>23483</v>
      </c>
      <c r="T198" s="23" t="s">
        <v>22634</v>
      </c>
      <c r="U198" s="23">
        <v>4142.0</v>
      </c>
      <c r="V198" s="23" t="s">
        <v>23562</v>
      </c>
      <c r="W198" s="23" t="s">
        <v>23563</v>
      </c>
      <c r="X198" s="23">
        <v>203.0</v>
      </c>
    </row>
    <row r="199">
      <c r="A199" s="23" t="s">
        <v>23556</v>
      </c>
      <c r="B199" s="23" t="s">
        <v>6876</v>
      </c>
      <c r="C199" s="23" t="s">
        <v>6877</v>
      </c>
      <c r="D199" s="23" t="s">
        <v>8310</v>
      </c>
      <c r="E199" s="23" t="s">
        <v>23566</v>
      </c>
      <c r="F199" s="23" t="s">
        <v>21940</v>
      </c>
      <c r="G199" s="23" t="s">
        <v>21941</v>
      </c>
      <c r="H199" s="23" t="s">
        <v>22662</v>
      </c>
      <c r="I199" s="23" t="s">
        <v>1175</v>
      </c>
      <c r="J199" s="23" t="s">
        <v>1175</v>
      </c>
      <c r="K199" s="23" t="s">
        <v>23557</v>
      </c>
      <c r="L199" s="23" t="s">
        <v>23558</v>
      </c>
      <c r="M199" s="23" t="s">
        <v>23559</v>
      </c>
      <c r="N199" s="23" t="s">
        <v>23560</v>
      </c>
      <c r="O199" s="23" t="s">
        <v>21995</v>
      </c>
      <c r="P199" s="23" t="s">
        <v>21948</v>
      </c>
      <c r="Q199" s="23" t="s">
        <v>21948</v>
      </c>
      <c r="R199" s="23" t="s">
        <v>23561</v>
      </c>
      <c r="S199" s="23" t="s">
        <v>23483</v>
      </c>
      <c r="T199" s="23" t="s">
        <v>22634</v>
      </c>
      <c r="U199" s="23">
        <v>4143.0</v>
      </c>
      <c r="V199" s="23" t="s">
        <v>23568</v>
      </c>
      <c r="W199" s="23" t="s">
        <v>23569</v>
      </c>
      <c r="X199" s="23">
        <v>204.0</v>
      </c>
    </row>
    <row r="200">
      <c r="A200" s="23" t="s">
        <v>23566</v>
      </c>
      <c r="B200" s="23" t="s">
        <v>6876</v>
      </c>
      <c r="C200" s="23" t="s">
        <v>6877</v>
      </c>
      <c r="D200" s="23" t="s">
        <v>8310</v>
      </c>
      <c r="E200" s="23" t="s">
        <v>23570</v>
      </c>
      <c r="F200" s="23" t="s">
        <v>21940</v>
      </c>
      <c r="G200" s="23" t="s">
        <v>21941</v>
      </c>
      <c r="H200" s="23" t="s">
        <v>22662</v>
      </c>
      <c r="I200" s="23" t="s">
        <v>1180</v>
      </c>
      <c r="J200" s="23" t="s">
        <v>1180</v>
      </c>
      <c r="K200" s="23" t="s">
        <v>23557</v>
      </c>
      <c r="L200" s="23" t="s">
        <v>23558</v>
      </c>
      <c r="M200" s="23" t="s">
        <v>23559</v>
      </c>
      <c r="N200" s="23" t="s">
        <v>23560</v>
      </c>
      <c r="O200" s="23" t="s">
        <v>21995</v>
      </c>
      <c r="P200" s="23" t="s">
        <v>21948</v>
      </c>
      <c r="Q200" s="23" t="s">
        <v>21948</v>
      </c>
      <c r="R200" s="23" t="s">
        <v>23528</v>
      </c>
      <c r="S200" s="23" t="s">
        <v>23575</v>
      </c>
      <c r="T200" s="23" t="s">
        <v>22634</v>
      </c>
      <c r="U200" s="23">
        <v>4144.0</v>
      </c>
      <c r="V200" s="23" t="s">
        <v>23578</v>
      </c>
      <c r="W200" s="23" t="s">
        <v>23579</v>
      </c>
      <c r="X200" s="23">
        <v>205.0</v>
      </c>
    </row>
    <row r="201">
      <c r="A201" s="23" t="s">
        <v>23570</v>
      </c>
      <c r="B201" s="23" t="s">
        <v>6876</v>
      </c>
      <c r="C201" s="23" t="s">
        <v>6877</v>
      </c>
      <c r="D201" s="23" t="s">
        <v>8310</v>
      </c>
      <c r="E201" s="23" t="s">
        <v>23580</v>
      </c>
      <c r="F201" s="23" t="s">
        <v>21940</v>
      </c>
      <c r="G201" s="23" t="s">
        <v>21941</v>
      </c>
      <c r="H201" s="23" t="s">
        <v>22662</v>
      </c>
      <c r="I201" s="23" t="s">
        <v>1187</v>
      </c>
      <c r="J201" s="23" t="s">
        <v>1187</v>
      </c>
      <c r="K201" s="23" t="s">
        <v>23557</v>
      </c>
      <c r="L201" s="23" t="s">
        <v>23558</v>
      </c>
      <c r="M201" s="23" t="s">
        <v>23559</v>
      </c>
      <c r="N201" s="23" t="s">
        <v>23560</v>
      </c>
      <c r="O201" s="23" t="s">
        <v>21995</v>
      </c>
      <c r="P201" s="23" t="s">
        <v>21948</v>
      </c>
      <c r="Q201" s="23" t="s">
        <v>21948</v>
      </c>
      <c r="R201" s="23" t="s">
        <v>23528</v>
      </c>
      <c r="S201" s="23" t="s">
        <v>23575</v>
      </c>
      <c r="T201" s="23" t="s">
        <v>22634</v>
      </c>
      <c r="U201" s="23">
        <v>4145.0</v>
      </c>
      <c r="V201" s="23" t="s">
        <v>23582</v>
      </c>
      <c r="W201" s="23" t="s">
        <v>23583</v>
      </c>
      <c r="X201" s="23">
        <v>206.0</v>
      </c>
    </row>
    <row r="202">
      <c r="A202" s="23" t="s">
        <v>23584</v>
      </c>
      <c r="B202" s="23" t="s">
        <v>6876</v>
      </c>
      <c r="C202" s="23" t="s">
        <v>6877</v>
      </c>
      <c r="D202" s="23" t="s">
        <v>8310</v>
      </c>
      <c r="E202" s="23" t="s">
        <v>23585</v>
      </c>
      <c r="F202" s="23" t="s">
        <v>21956</v>
      </c>
      <c r="G202" s="23" t="s">
        <v>21941</v>
      </c>
      <c r="H202" s="23" t="s">
        <v>21957</v>
      </c>
      <c r="I202" s="23" t="s">
        <v>1192</v>
      </c>
      <c r="J202" s="23" t="s">
        <v>1192</v>
      </c>
      <c r="K202" s="23" t="s">
        <v>23586</v>
      </c>
      <c r="L202" s="23" t="s">
        <v>23587</v>
      </c>
      <c r="M202" s="23" t="s">
        <v>23588</v>
      </c>
      <c r="N202" s="23" t="s">
        <v>23589</v>
      </c>
      <c r="O202" s="23" t="s">
        <v>21995</v>
      </c>
      <c r="P202" s="23" t="s">
        <v>21948</v>
      </c>
      <c r="Q202" s="23" t="s">
        <v>21948</v>
      </c>
      <c r="R202" s="23" t="s">
        <v>21948</v>
      </c>
      <c r="S202" s="23" t="s">
        <v>23575</v>
      </c>
      <c r="T202" s="23" t="s">
        <v>22634</v>
      </c>
      <c r="U202" s="23">
        <v>4146.0</v>
      </c>
      <c r="V202" s="23" t="s">
        <v>23590</v>
      </c>
      <c r="W202" s="23" t="s">
        <v>23591</v>
      </c>
      <c r="X202" s="23">
        <v>207.0</v>
      </c>
    </row>
    <row r="203">
      <c r="A203" s="23" t="s">
        <v>23585</v>
      </c>
      <c r="B203" s="23" t="s">
        <v>6876</v>
      </c>
      <c r="C203" s="23" t="s">
        <v>6877</v>
      </c>
      <c r="D203" s="23" t="s">
        <v>8310</v>
      </c>
      <c r="E203" s="23" t="s">
        <v>23592</v>
      </c>
      <c r="F203" s="23" t="s">
        <v>21956</v>
      </c>
      <c r="G203" s="23" t="s">
        <v>21941</v>
      </c>
      <c r="H203" s="23" t="s">
        <v>22662</v>
      </c>
      <c r="I203" s="23" t="s">
        <v>1196</v>
      </c>
      <c r="J203" s="23" t="s">
        <v>1196</v>
      </c>
      <c r="K203" s="23" t="s">
        <v>23597</v>
      </c>
      <c r="L203" s="23" t="s">
        <v>23559</v>
      </c>
      <c r="M203" s="23" t="s">
        <v>23600</v>
      </c>
      <c r="N203" s="23" t="s">
        <v>23588</v>
      </c>
      <c r="O203" s="23" t="s">
        <v>21995</v>
      </c>
      <c r="P203" s="23" t="s">
        <v>21948</v>
      </c>
      <c r="Q203" s="23" t="s">
        <v>21948</v>
      </c>
      <c r="R203" s="23" t="s">
        <v>23561</v>
      </c>
      <c r="S203" s="23" t="s">
        <v>23575</v>
      </c>
      <c r="T203" s="23" t="s">
        <v>22634</v>
      </c>
      <c r="U203" s="23">
        <v>4147.0</v>
      </c>
      <c r="V203" s="23" t="s">
        <v>23604</v>
      </c>
      <c r="W203" s="23" t="s">
        <v>23605</v>
      </c>
      <c r="X203" s="23">
        <v>208.0</v>
      </c>
    </row>
    <row r="204">
      <c r="A204" s="23" t="s">
        <v>23592</v>
      </c>
      <c r="B204" s="23" t="s">
        <v>6876</v>
      </c>
      <c r="C204" s="23" t="s">
        <v>6877</v>
      </c>
      <c r="D204" s="23" t="s">
        <v>8310</v>
      </c>
      <c r="E204" s="23" t="s">
        <v>23606</v>
      </c>
      <c r="F204" s="23" t="s">
        <v>22083</v>
      </c>
      <c r="G204" s="23" t="s">
        <v>21941</v>
      </c>
      <c r="H204" s="23" t="s">
        <v>22662</v>
      </c>
      <c r="I204" s="23" t="s">
        <v>1202</v>
      </c>
      <c r="J204" s="23" t="s">
        <v>1202</v>
      </c>
      <c r="K204" s="23" t="s">
        <v>23597</v>
      </c>
      <c r="L204" s="23" t="s">
        <v>23559</v>
      </c>
      <c r="M204" s="23" t="s">
        <v>23600</v>
      </c>
      <c r="N204" s="23" t="s">
        <v>23588</v>
      </c>
      <c r="O204" s="23" t="s">
        <v>21995</v>
      </c>
      <c r="P204" s="23" t="s">
        <v>21948</v>
      </c>
      <c r="Q204" s="23" t="s">
        <v>21948</v>
      </c>
      <c r="R204" s="23" t="s">
        <v>23561</v>
      </c>
      <c r="S204" s="23" t="s">
        <v>23575</v>
      </c>
      <c r="T204" s="23" t="s">
        <v>22634</v>
      </c>
      <c r="U204" s="23">
        <v>4148.0</v>
      </c>
      <c r="V204" s="23" t="s">
        <v>23608</v>
      </c>
      <c r="W204" s="23" t="s">
        <v>23609</v>
      </c>
      <c r="X204" s="23">
        <v>209.0</v>
      </c>
    </row>
    <row r="205">
      <c r="A205" s="23" t="s">
        <v>23606</v>
      </c>
      <c r="B205" s="23" t="s">
        <v>6876</v>
      </c>
      <c r="C205" s="23" t="s">
        <v>6877</v>
      </c>
      <c r="D205" s="23" t="s">
        <v>8310</v>
      </c>
      <c r="E205" s="23" t="s">
        <v>23610</v>
      </c>
      <c r="F205" s="23" t="s">
        <v>21940</v>
      </c>
      <c r="G205" s="23" t="s">
        <v>21941</v>
      </c>
      <c r="H205" s="23" t="s">
        <v>22662</v>
      </c>
      <c r="I205" s="23" t="s">
        <v>1224</v>
      </c>
      <c r="J205" s="23" t="s">
        <v>1224</v>
      </c>
      <c r="K205" s="23" t="s">
        <v>23613</v>
      </c>
      <c r="L205" s="23" t="s">
        <v>23614</v>
      </c>
      <c r="M205" s="23" t="s">
        <v>23615</v>
      </c>
      <c r="N205" s="23" t="s">
        <v>23616</v>
      </c>
      <c r="O205" s="23" t="s">
        <v>21995</v>
      </c>
      <c r="P205" s="23" t="s">
        <v>21948</v>
      </c>
      <c r="Q205" s="23" t="s">
        <v>21948</v>
      </c>
      <c r="R205" s="23" t="s">
        <v>23561</v>
      </c>
      <c r="S205" s="23" t="s">
        <v>23483</v>
      </c>
      <c r="T205" s="23" t="s">
        <v>22634</v>
      </c>
      <c r="U205" s="23">
        <v>4149.0</v>
      </c>
      <c r="V205" s="23" t="s">
        <v>23618</v>
      </c>
      <c r="W205" s="23" t="s">
        <v>23619</v>
      </c>
      <c r="X205" s="23">
        <v>210.0</v>
      </c>
    </row>
    <row r="206">
      <c r="A206" s="23" t="s">
        <v>23610</v>
      </c>
      <c r="B206" s="23" t="s">
        <v>6876</v>
      </c>
      <c r="C206" s="23" t="s">
        <v>6877</v>
      </c>
      <c r="D206" s="23" t="s">
        <v>8310</v>
      </c>
      <c r="E206" s="23" t="s">
        <v>23621</v>
      </c>
      <c r="F206" s="23" t="s">
        <v>21940</v>
      </c>
      <c r="G206" s="23" t="s">
        <v>21941</v>
      </c>
      <c r="H206" s="23" t="s">
        <v>22016</v>
      </c>
      <c r="I206" s="23" t="s">
        <v>1225</v>
      </c>
      <c r="J206" s="23" t="s">
        <v>1225</v>
      </c>
      <c r="K206" s="23" t="s">
        <v>23624</v>
      </c>
      <c r="L206" s="23" t="s">
        <v>23589</v>
      </c>
      <c r="M206" s="23" t="s">
        <v>23626</v>
      </c>
      <c r="N206" s="23" t="s">
        <v>23627</v>
      </c>
      <c r="O206" s="23" t="s">
        <v>21995</v>
      </c>
      <c r="P206" s="23" t="s">
        <v>21948</v>
      </c>
      <c r="Q206" s="23" t="s">
        <v>21948</v>
      </c>
      <c r="R206" s="23" t="s">
        <v>21948</v>
      </c>
      <c r="S206" s="23" t="s">
        <v>23483</v>
      </c>
      <c r="T206" s="23" t="s">
        <v>22634</v>
      </c>
      <c r="U206" s="23">
        <v>4150.0</v>
      </c>
      <c r="V206" s="23" t="s">
        <v>23629</v>
      </c>
      <c r="W206" s="23" t="s">
        <v>23630</v>
      </c>
      <c r="X206" s="23">
        <v>211.0</v>
      </c>
    </row>
    <row r="207">
      <c r="A207" s="23" t="s">
        <v>23631</v>
      </c>
      <c r="B207" s="23" t="s">
        <v>6876</v>
      </c>
      <c r="C207" s="23" t="s">
        <v>6877</v>
      </c>
      <c r="D207" s="23" t="s">
        <v>8310</v>
      </c>
      <c r="E207" s="23" t="s">
        <v>23633</v>
      </c>
      <c r="F207" s="23" t="s">
        <v>21940</v>
      </c>
      <c r="G207" s="23" t="s">
        <v>21941</v>
      </c>
      <c r="H207" s="23" t="s">
        <v>22662</v>
      </c>
      <c r="I207" s="23" t="s">
        <v>1218</v>
      </c>
      <c r="J207" s="23" t="s">
        <v>1218</v>
      </c>
      <c r="K207" s="23" t="s">
        <v>23635</v>
      </c>
      <c r="L207" s="23" t="s">
        <v>23614</v>
      </c>
      <c r="M207" s="23" t="s">
        <v>23615</v>
      </c>
      <c r="N207" s="23" t="s">
        <v>23636</v>
      </c>
      <c r="O207" s="23" t="s">
        <v>21995</v>
      </c>
      <c r="P207" s="23" t="s">
        <v>21948</v>
      </c>
      <c r="Q207" s="23" t="s">
        <v>21948</v>
      </c>
      <c r="R207" s="23" t="s">
        <v>23561</v>
      </c>
      <c r="S207" s="23" t="s">
        <v>23483</v>
      </c>
      <c r="T207" s="23" t="s">
        <v>22634</v>
      </c>
      <c r="U207" s="23">
        <v>4151.0</v>
      </c>
      <c r="V207" s="23" t="s">
        <v>23638</v>
      </c>
      <c r="W207" s="23" t="s">
        <v>23639</v>
      </c>
      <c r="X207" s="23">
        <v>212.0</v>
      </c>
    </row>
    <row r="208">
      <c r="A208" s="23" t="s">
        <v>23633</v>
      </c>
      <c r="B208" s="23" t="s">
        <v>6876</v>
      </c>
      <c r="C208" s="23" t="s">
        <v>6877</v>
      </c>
      <c r="D208" s="23" t="s">
        <v>8310</v>
      </c>
      <c r="E208" s="23" t="s">
        <v>23640</v>
      </c>
      <c r="F208" s="23" t="s">
        <v>21940</v>
      </c>
      <c r="G208" s="23" t="s">
        <v>21941</v>
      </c>
      <c r="H208" s="23" t="s">
        <v>21942</v>
      </c>
      <c r="I208" s="23" t="s">
        <v>1211</v>
      </c>
      <c r="J208" s="23" t="s">
        <v>1211</v>
      </c>
      <c r="K208" s="23" t="s">
        <v>23641</v>
      </c>
      <c r="L208" s="23" t="s">
        <v>23642</v>
      </c>
      <c r="M208" s="23" t="s">
        <v>23643</v>
      </c>
      <c r="N208" s="23" t="s">
        <v>23627</v>
      </c>
      <c r="O208" s="23" t="s">
        <v>21995</v>
      </c>
      <c r="P208" s="23" t="s">
        <v>21948</v>
      </c>
      <c r="Q208" s="23" t="s">
        <v>21948</v>
      </c>
      <c r="R208" s="23" t="s">
        <v>21948</v>
      </c>
      <c r="S208" s="23" t="s">
        <v>23575</v>
      </c>
      <c r="T208" s="23" t="s">
        <v>22634</v>
      </c>
      <c r="U208" s="23">
        <v>4152.0</v>
      </c>
      <c r="V208" s="23" t="s">
        <v>23645</v>
      </c>
      <c r="W208" s="23" t="s">
        <v>23646</v>
      </c>
      <c r="X208" s="23">
        <v>213.0</v>
      </c>
    </row>
    <row r="209">
      <c r="A209" s="23" t="s">
        <v>23640</v>
      </c>
      <c r="B209" s="23" t="s">
        <v>6876</v>
      </c>
      <c r="C209" s="23" t="s">
        <v>6877</v>
      </c>
      <c r="D209" s="23" t="s">
        <v>8310</v>
      </c>
      <c r="E209" s="23" t="s">
        <v>23649</v>
      </c>
      <c r="F209" s="23" t="s">
        <v>21940</v>
      </c>
      <c r="G209" s="23" t="s">
        <v>21941</v>
      </c>
      <c r="H209" s="23" t="s">
        <v>22662</v>
      </c>
      <c r="I209" s="23" t="s">
        <v>1214</v>
      </c>
      <c r="J209" s="23" t="s">
        <v>1214</v>
      </c>
      <c r="K209" s="23" t="s">
        <v>23635</v>
      </c>
      <c r="L209" s="23" t="s">
        <v>23655</v>
      </c>
      <c r="M209" s="23" t="s">
        <v>23658</v>
      </c>
      <c r="N209" s="23" t="s">
        <v>23636</v>
      </c>
      <c r="O209" s="23" t="s">
        <v>21995</v>
      </c>
      <c r="P209" s="23" t="s">
        <v>21948</v>
      </c>
      <c r="Q209" s="23" t="s">
        <v>21948</v>
      </c>
      <c r="R209" s="23" t="s">
        <v>23561</v>
      </c>
      <c r="S209" s="23" t="s">
        <v>23575</v>
      </c>
      <c r="T209" s="23" t="s">
        <v>22634</v>
      </c>
      <c r="U209" s="23">
        <v>4153.0</v>
      </c>
      <c r="V209" s="23" t="s">
        <v>23660</v>
      </c>
      <c r="W209" s="23" t="s">
        <v>23661</v>
      </c>
      <c r="X209" s="23">
        <v>214.0</v>
      </c>
    </row>
    <row r="210">
      <c r="A210" s="23" t="s">
        <v>23662</v>
      </c>
      <c r="B210" s="23" t="s">
        <v>6876</v>
      </c>
      <c r="C210" s="23" t="s">
        <v>6877</v>
      </c>
      <c r="D210" s="23" t="s">
        <v>8310</v>
      </c>
      <c r="E210" s="23" t="s">
        <v>23663</v>
      </c>
      <c r="F210" s="23" t="s">
        <v>21956</v>
      </c>
      <c r="G210" s="23" t="s">
        <v>21941</v>
      </c>
      <c r="H210" s="23" t="s">
        <v>21957</v>
      </c>
      <c r="I210" s="23" t="s">
        <v>1207</v>
      </c>
      <c r="J210" s="23" t="s">
        <v>1207</v>
      </c>
      <c r="K210" s="23" t="s">
        <v>23589</v>
      </c>
      <c r="L210" s="23" t="s">
        <v>23642</v>
      </c>
      <c r="M210" s="23" t="s">
        <v>23643</v>
      </c>
      <c r="N210" s="23" t="s">
        <v>23627</v>
      </c>
      <c r="O210" s="23" t="s">
        <v>21995</v>
      </c>
      <c r="P210" s="23" t="s">
        <v>21948</v>
      </c>
      <c r="Q210" s="23" t="s">
        <v>21948</v>
      </c>
      <c r="R210" s="23" t="s">
        <v>21948</v>
      </c>
      <c r="S210" s="23" t="s">
        <v>23575</v>
      </c>
      <c r="T210" s="23" t="s">
        <v>22634</v>
      </c>
      <c r="U210" s="23">
        <v>4154.0</v>
      </c>
      <c r="V210" s="23" t="s">
        <v>23664</v>
      </c>
      <c r="W210" s="23" t="s">
        <v>23665</v>
      </c>
      <c r="X210" s="23">
        <v>215.0</v>
      </c>
    </row>
    <row r="211">
      <c r="A211" s="23" t="s">
        <v>23663</v>
      </c>
      <c r="B211" s="23" t="s">
        <v>6876</v>
      </c>
      <c r="C211" s="23" t="s">
        <v>6877</v>
      </c>
      <c r="D211" s="23" t="s">
        <v>8310</v>
      </c>
      <c r="E211" s="23" t="s">
        <v>23668</v>
      </c>
      <c r="F211" s="23" t="s">
        <v>21940</v>
      </c>
      <c r="G211" s="23" t="s">
        <v>21941</v>
      </c>
      <c r="H211" s="23" t="s">
        <v>22016</v>
      </c>
      <c r="I211" s="23" t="s">
        <v>1227</v>
      </c>
      <c r="J211" s="23" t="s">
        <v>1227</v>
      </c>
      <c r="K211" s="23" t="s">
        <v>23669</v>
      </c>
      <c r="L211" s="23" t="s">
        <v>23616</v>
      </c>
      <c r="M211" s="23" t="s">
        <v>23670</v>
      </c>
      <c r="N211" s="23" t="s">
        <v>23672</v>
      </c>
      <c r="O211" s="23" t="s">
        <v>21995</v>
      </c>
      <c r="P211" s="23" t="s">
        <v>21948</v>
      </c>
      <c r="Q211" s="23" t="s">
        <v>21948</v>
      </c>
      <c r="R211" s="23" t="s">
        <v>21948</v>
      </c>
      <c r="S211" s="23" t="s">
        <v>23483</v>
      </c>
      <c r="T211" s="23" t="s">
        <v>22634</v>
      </c>
      <c r="U211" s="23">
        <v>4155.0</v>
      </c>
      <c r="V211" s="23" t="s">
        <v>23673</v>
      </c>
      <c r="W211" s="23" t="s">
        <v>23676</v>
      </c>
      <c r="X211" s="23">
        <v>216.0</v>
      </c>
    </row>
    <row r="212">
      <c r="A212" s="23" t="s">
        <v>23668</v>
      </c>
      <c r="B212" s="23" t="s">
        <v>6876</v>
      </c>
      <c r="C212" s="23" t="s">
        <v>6877</v>
      </c>
      <c r="D212" s="23" t="s">
        <v>8310</v>
      </c>
      <c r="E212" s="23" t="s">
        <v>23679</v>
      </c>
      <c r="F212" s="23" t="s">
        <v>21940</v>
      </c>
      <c r="G212" s="23" t="s">
        <v>21941</v>
      </c>
      <c r="H212" s="23" t="s">
        <v>22016</v>
      </c>
      <c r="I212" s="23" t="s">
        <v>1228</v>
      </c>
      <c r="J212" s="23" t="s">
        <v>1228</v>
      </c>
      <c r="K212" s="23" t="s">
        <v>23669</v>
      </c>
      <c r="L212" s="23" t="s">
        <v>23616</v>
      </c>
      <c r="M212" s="23" t="s">
        <v>23670</v>
      </c>
      <c r="N212" s="23" t="s">
        <v>23672</v>
      </c>
      <c r="O212" s="23" t="s">
        <v>21995</v>
      </c>
      <c r="P212" s="23" t="s">
        <v>21948</v>
      </c>
      <c r="Q212" s="23" t="s">
        <v>21948</v>
      </c>
      <c r="R212" s="23" t="s">
        <v>21948</v>
      </c>
      <c r="S212" s="23" t="s">
        <v>23483</v>
      </c>
      <c r="T212" s="23" t="s">
        <v>22634</v>
      </c>
      <c r="U212" s="23">
        <v>4156.0</v>
      </c>
      <c r="V212" s="23" t="s">
        <v>23680</v>
      </c>
      <c r="W212" s="23" t="s">
        <v>23681</v>
      </c>
      <c r="X212" s="23">
        <v>217.0</v>
      </c>
    </row>
    <row r="213">
      <c r="A213" s="23" t="s">
        <v>23679</v>
      </c>
      <c r="B213" s="23" t="s">
        <v>6876</v>
      </c>
      <c r="C213" s="23" t="s">
        <v>6877</v>
      </c>
      <c r="D213" s="23" t="s">
        <v>8310</v>
      </c>
      <c r="E213" s="23" t="s">
        <v>23684</v>
      </c>
      <c r="F213" s="23" t="s">
        <v>21956</v>
      </c>
      <c r="G213" s="23" t="s">
        <v>21941</v>
      </c>
      <c r="H213" s="23" t="s">
        <v>22662</v>
      </c>
      <c r="I213" s="23" t="s">
        <v>1209</v>
      </c>
      <c r="J213" s="23" t="s">
        <v>1209</v>
      </c>
      <c r="K213" s="23" t="s">
        <v>23686</v>
      </c>
      <c r="L213" s="23" t="s">
        <v>23687</v>
      </c>
      <c r="M213" s="23" t="s">
        <v>23688</v>
      </c>
      <c r="N213" s="23" t="s">
        <v>23689</v>
      </c>
      <c r="O213" s="23" t="s">
        <v>21995</v>
      </c>
      <c r="P213" s="23" t="s">
        <v>21948</v>
      </c>
      <c r="Q213" s="23" t="s">
        <v>21948</v>
      </c>
      <c r="R213" s="23" t="s">
        <v>23561</v>
      </c>
      <c r="S213" s="23" t="s">
        <v>23483</v>
      </c>
      <c r="T213" s="23" t="s">
        <v>22634</v>
      </c>
      <c r="U213" s="23">
        <v>4157.0</v>
      </c>
      <c r="V213" s="23" t="s">
        <v>23691</v>
      </c>
      <c r="W213" s="23" t="s">
        <v>23692</v>
      </c>
      <c r="X213" s="23">
        <v>218.0</v>
      </c>
    </row>
    <row r="214">
      <c r="A214" s="23" t="s">
        <v>23684</v>
      </c>
      <c r="B214" s="23" t="s">
        <v>6876</v>
      </c>
      <c r="C214" s="23" t="s">
        <v>6877</v>
      </c>
      <c r="D214" s="23" t="s">
        <v>8310</v>
      </c>
      <c r="E214" s="23" t="s">
        <v>23693</v>
      </c>
      <c r="F214" s="23" t="s">
        <v>21940</v>
      </c>
      <c r="G214" s="23" t="s">
        <v>21941</v>
      </c>
      <c r="H214" s="23" t="s">
        <v>21942</v>
      </c>
      <c r="I214" s="23" t="s">
        <v>1198</v>
      </c>
      <c r="J214" s="23" t="s">
        <v>1198</v>
      </c>
      <c r="K214" s="23" t="s">
        <v>23694</v>
      </c>
      <c r="L214" s="23" t="s">
        <v>23559</v>
      </c>
      <c r="M214" s="23" t="s">
        <v>23600</v>
      </c>
      <c r="N214" s="23" t="s">
        <v>23589</v>
      </c>
      <c r="O214" s="23" t="s">
        <v>21995</v>
      </c>
      <c r="P214" s="23" t="s">
        <v>21948</v>
      </c>
      <c r="Q214" s="23" t="s">
        <v>21948</v>
      </c>
      <c r="R214" s="23" t="s">
        <v>21948</v>
      </c>
      <c r="S214" s="23" t="s">
        <v>23483</v>
      </c>
      <c r="T214" s="23" t="s">
        <v>22634</v>
      </c>
      <c r="U214" s="23">
        <v>4158.0</v>
      </c>
      <c r="V214" s="23" t="s">
        <v>23698</v>
      </c>
      <c r="W214" s="23" t="s">
        <v>23700</v>
      </c>
      <c r="X214" s="23">
        <v>219.0</v>
      </c>
    </row>
    <row r="215">
      <c r="A215" s="23" t="s">
        <v>23693</v>
      </c>
      <c r="B215" s="23" t="s">
        <v>6876</v>
      </c>
      <c r="C215" s="23" t="s">
        <v>6877</v>
      </c>
      <c r="D215" s="23" t="s">
        <v>8310</v>
      </c>
      <c r="E215" s="23" t="s">
        <v>23703</v>
      </c>
      <c r="F215" s="23" t="s">
        <v>22083</v>
      </c>
      <c r="G215" s="23" t="s">
        <v>21941</v>
      </c>
      <c r="H215" s="23" t="s">
        <v>21942</v>
      </c>
      <c r="I215" s="23" t="s">
        <v>1199</v>
      </c>
      <c r="J215" s="23" t="s">
        <v>1199</v>
      </c>
      <c r="K215" s="23" t="s">
        <v>23694</v>
      </c>
      <c r="L215" s="23" t="s">
        <v>23586</v>
      </c>
      <c r="M215" s="23" t="s">
        <v>23705</v>
      </c>
      <c r="N215" s="23" t="s">
        <v>23706</v>
      </c>
      <c r="O215" s="23" t="s">
        <v>21995</v>
      </c>
      <c r="P215" s="23" t="s">
        <v>21948</v>
      </c>
      <c r="Q215" s="23" t="s">
        <v>21948</v>
      </c>
      <c r="R215" s="23" t="s">
        <v>21948</v>
      </c>
      <c r="S215" s="23" t="s">
        <v>23575</v>
      </c>
      <c r="T215" s="23" t="s">
        <v>22634</v>
      </c>
      <c r="U215" s="23">
        <v>4159.0</v>
      </c>
      <c r="V215" s="23" t="s">
        <v>23707</v>
      </c>
      <c r="W215" s="23" t="s">
        <v>23708</v>
      </c>
      <c r="X215" s="23">
        <v>220.0</v>
      </c>
    </row>
    <row r="216">
      <c r="A216" s="23" t="s">
        <v>23703</v>
      </c>
      <c r="B216" s="23" t="s">
        <v>6876</v>
      </c>
      <c r="C216" s="23" t="s">
        <v>6877</v>
      </c>
      <c r="D216" s="23" t="s">
        <v>8310</v>
      </c>
      <c r="E216" s="23" t="s">
        <v>23709</v>
      </c>
      <c r="F216" s="23" t="s">
        <v>21940</v>
      </c>
      <c r="G216" s="23" t="s">
        <v>21941</v>
      </c>
      <c r="H216" s="23" t="s">
        <v>22662</v>
      </c>
      <c r="I216" s="23" t="s">
        <v>1236</v>
      </c>
      <c r="J216" s="23" t="s">
        <v>1236</v>
      </c>
      <c r="K216" s="23" t="s">
        <v>23712</v>
      </c>
      <c r="L216" s="23" t="s">
        <v>23713</v>
      </c>
      <c r="M216" s="23" t="s">
        <v>23714</v>
      </c>
      <c r="N216" s="23" t="s">
        <v>23715</v>
      </c>
      <c r="O216" s="23" t="s">
        <v>21995</v>
      </c>
      <c r="P216" s="23" t="s">
        <v>21948</v>
      </c>
      <c r="Q216" s="23" t="s">
        <v>21948</v>
      </c>
      <c r="R216" s="23" t="s">
        <v>23528</v>
      </c>
      <c r="S216" s="23" t="s">
        <v>23575</v>
      </c>
      <c r="T216" s="23" t="s">
        <v>22634</v>
      </c>
      <c r="U216" s="23">
        <v>4160.0</v>
      </c>
      <c r="V216" s="23" t="s">
        <v>23717</v>
      </c>
      <c r="W216" s="23" t="s">
        <v>23718</v>
      </c>
      <c r="X216" s="23">
        <v>221.0</v>
      </c>
    </row>
    <row r="217">
      <c r="A217" s="23" t="s">
        <v>23709</v>
      </c>
      <c r="B217" s="23" t="s">
        <v>6876</v>
      </c>
      <c r="C217" s="23" t="s">
        <v>6877</v>
      </c>
      <c r="D217" s="23" t="s">
        <v>8310</v>
      </c>
      <c r="E217" s="23" t="s">
        <v>23720</v>
      </c>
      <c r="F217" s="23" t="s">
        <v>21956</v>
      </c>
      <c r="G217" s="23" t="s">
        <v>21941</v>
      </c>
      <c r="H217" s="23" t="s">
        <v>22662</v>
      </c>
      <c r="I217" s="23" t="s">
        <v>1240</v>
      </c>
      <c r="J217" s="23" t="s">
        <v>1240</v>
      </c>
      <c r="K217" s="23" t="s">
        <v>23712</v>
      </c>
      <c r="L217" s="23" t="s">
        <v>23713</v>
      </c>
      <c r="M217" s="23" t="s">
        <v>23714</v>
      </c>
      <c r="N217" s="23" t="s">
        <v>23715</v>
      </c>
      <c r="O217" s="23" t="s">
        <v>21995</v>
      </c>
      <c r="P217" s="23" t="s">
        <v>21948</v>
      </c>
      <c r="Q217" s="23" t="s">
        <v>21948</v>
      </c>
      <c r="R217" s="23" t="s">
        <v>23528</v>
      </c>
      <c r="S217" s="23" t="s">
        <v>23575</v>
      </c>
      <c r="T217" s="23" t="s">
        <v>22634</v>
      </c>
      <c r="U217" s="23">
        <v>4161.0</v>
      </c>
      <c r="V217" s="23" t="s">
        <v>23721</v>
      </c>
      <c r="W217" s="23" t="s">
        <v>23722</v>
      </c>
      <c r="X217" s="23">
        <v>222.0</v>
      </c>
    </row>
    <row r="218">
      <c r="A218" s="23" t="s">
        <v>23720</v>
      </c>
      <c r="B218" s="23" t="s">
        <v>6876</v>
      </c>
      <c r="C218" s="23" t="s">
        <v>6877</v>
      </c>
      <c r="D218" s="23" t="s">
        <v>8310</v>
      </c>
      <c r="E218" s="23" t="s">
        <v>23723</v>
      </c>
      <c r="F218" s="23" t="s">
        <v>21940</v>
      </c>
      <c r="G218" s="23" t="s">
        <v>21941</v>
      </c>
      <c r="H218" s="23" t="s">
        <v>22662</v>
      </c>
      <c r="I218" s="23" t="s">
        <v>1248</v>
      </c>
      <c r="J218" s="23" t="s">
        <v>1248</v>
      </c>
      <c r="K218" s="23" t="s">
        <v>23724</v>
      </c>
      <c r="L218" s="23" t="s">
        <v>23725</v>
      </c>
      <c r="M218" s="23" t="s">
        <v>23726</v>
      </c>
      <c r="N218" s="23" t="s">
        <v>23727</v>
      </c>
      <c r="O218" s="23" t="s">
        <v>21995</v>
      </c>
      <c r="P218" s="23" t="s">
        <v>21948</v>
      </c>
      <c r="Q218" s="23" t="s">
        <v>21948</v>
      </c>
      <c r="R218" s="23" t="s">
        <v>23528</v>
      </c>
      <c r="S218" s="23" t="s">
        <v>23575</v>
      </c>
      <c r="T218" s="23" t="s">
        <v>22634</v>
      </c>
      <c r="U218" s="23">
        <v>4162.0</v>
      </c>
      <c r="V218" s="23" t="s">
        <v>23730</v>
      </c>
      <c r="W218" s="23" t="s">
        <v>23731</v>
      </c>
      <c r="X218" s="23">
        <v>223.0</v>
      </c>
    </row>
    <row r="219">
      <c r="A219" s="50" t="s">
        <v>23732</v>
      </c>
      <c r="B219" s="50" t="s">
        <v>6876</v>
      </c>
      <c r="C219" s="50" t="s">
        <v>6877</v>
      </c>
      <c r="D219" s="50" t="s">
        <v>8493</v>
      </c>
      <c r="E219" s="50" t="s">
        <v>23734</v>
      </c>
      <c r="F219" s="50">
        <v>59.0</v>
      </c>
      <c r="G219" s="50">
        <v>1.0</v>
      </c>
      <c r="H219" s="50">
        <v>11.0</v>
      </c>
      <c r="I219" s="50" t="s">
        <v>1250</v>
      </c>
      <c r="J219" s="50" t="s">
        <v>1250</v>
      </c>
      <c r="K219" s="50" t="s">
        <v>23737</v>
      </c>
      <c r="L219" s="50" t="s">
        <v>23739</v>
      </c>
      <c r="M219" s="50" t="s">
        <v>9762</v>
      </c>
      <c r="N219" s="50" t="s">
        <v>23741</v>
      </c>
      <c r="O219" s="50">
        <v>0.0</v>
      </c>
      <c r="P219" s="116"/>
      <c r="Q219" s="116"/>
      <c r="R219" s="116"/>
      <c r="S219" s="50">
        <v>4.0</v>
      </c>
      <c r="T219" s="50" t="s">
        <v>22634</v>
      </c>
      <c r="U219" s="117">
        <v>4309.0</v>
      </c>
      <c r="V219" s="50" t="s">
        <v>23743</v>
      </c>
      <c r="W219" s="50" t="s">
        <v>23745</v>
      </c>
      <c r="X219" s="117">
        <v>224.0</v>
      </c>
    </row>
    <row r="220">
      <c r="A220" s="50" t="s">
        <v>23746</v>
      </c>
      <c r="B220" s="50" t="s">
        <v>6876</v>
      </c>
      <c r="C220" s="50" t="s">
        <v>6877</v>
      </c>
      <c r="D220" s="50" t="s">
        <v>8493</v>
      </c>
      <c r="E220" s="50" t="s">
        <v>23749</v>
      </c>
      <c r="F220" s="50">
        <v>59.0</v>
      </c>
      <c r="G220" s="50">
        <v>1.0</v>
      </c>
      <c r="H220" s="50">
        <v>99.0</v>
      </c>
      <c r="I220" s="50" t="s">
        <v>1255</v>
      </c>
      <c r="J220" s="50" t="s">
        <v>1255</v>
      </c>
      <c r="K220" s="50" t="s">
        <v>23751</v>
      </c>
      <c r="L220" s="50" t="s">
        <v>23752</v>
      </c>
      <c r="M220" s="50" t="s">
        <v>23753</v>
      </c>
      <c r="N220" s="50" t="s">
        <v>23754</v>
      </c>
      <c r="O220" s="50">
        <v>0.0</v>
      </c>
      <c r="P220" s="116"/>
      <c r="Q220" s="116"/>
      <c r="R220" s="50" t="s">
        <v>23755</v>
      </c>
      <c r="S220" s="50">
        <v>4.0</v>
      </c>
      <c r="T220" s="50" t="s">
        <v>22634</v>
      </c>
      <c r="U220" s="117">
        <v>4310.0</v>
      </c>
      <c r="V220" s="50" t="s">
        <v>23756</v>
      </c>
      <c r="W220" s="50" t="s">
        <v>23757</v>
      </c>
      <c r="X220" s="117">
        <v>225.0</v>
      </c>
    </row>
    <row r="221">
      <c r="A221" s="50" t="s">
        <v>23758</v>
      </c>
      <c r="B221" s="50" t="s">
        <v>6876</v>
      </c>
      <c r="C221" s="50" t="s">
        <v>6877</v>
      </c>
      <c r="D221" s="50" t="s">
        <v>8493</v>
      </c>
      <c r="E221" s="50" t="s">
        <v>23759</v>
      </c>
      <c r="F221" s="50">
        <v>59.0</v>
      </c>
      <c r="G221" s="50">
        <v>1.0</v>
      </c>
      <c r="H221" s="50">
        <v>11.0</v>
      </c>
      <c r="I221" s="50" t="s">
        <v>1252</v>
      </c>
      <c r="J221" s="50" t="s">
        <v>1252</v>
      </c>
      <c r="K221" s="50" t="s">
        <v>23737</v>
      </c>
      <c r="L221" s="50" t="s">
        <v>23739</v>
      </c>
      <c r="M221" s="50" t="s">
        <v>9762</v>
      </c>
      <c r="N221" s="50" t="s">
        <v>23741</v>
      </c>
      <c r="O221" s="50">
        <v>0.0</v>
      </c>
      <c r="P221" s="116"/>
      <c r="Q221" s="116"/>
      <c r="R221" s="50" t="s">
        <v>23764</v>
      </c>
      <c r="S221" s="50">
        <v>4.0</v>
      </c>
      <c r="T221" s="50" t="s">
        <v>22634</v>
      </c>
      <c r="U221" s="117">
        <v>4311.0</v>
      </c>
      <c r="V221" s="50" t="s">
        <v>23768</v>
      </c>
      <c r="W221" s="50" t="s">
        <v>23769</v>
      </c>
      <c r="X221" s="117">
        <v>226.0</v>
      </c>
    </row>
    <row r="222">
      <c r="A222" s="50" t="s">
        <v>23770</v>
      </c>
      <c r="B222" s="50" t="s">
        <v>6876</v>
      </c>
      <c r="C222" s="50" t="s">
        <v>6877</v>
      </c>
      <c r="D222" s="50" t="s">
        <v>8493</v>
      </c>
      <c r="E222" s="50" t="s">
        <v>23771</v>
      </c>
      <c r="F222" s="50">
        <v>58.0</v>
      </c>
      <c r="G222" s="50">
        <v>1.0</v>
      </c>
      <c r="H222" s="50">
        <v>99.0</v>
      </c>
      <c r="I222" s="50" t="s">
        <v>1265</v>
      </c>
      <c r="J222" s="50" t="s">
        <v>1265</v>
      </c>
      <c r="K222" s="50" t="s">
        <v>23772</v>
      </c>
      <c r="L222" s="50" t="s">
        <v>23753</v>
      </c>
      <c r="M222" s="50" t="s">
        <v>23773</v>
      </c>
      <c r="N222" s="50" t="s">
        <v>23774</v>
      </c>
      <c r="O222" s="50">
        <v>0.0</v>
      </c>
      <c r="P222" s="116"/>
      <c r="Q222" s="116"/>
      <c r="R222" s="50" t="s">
        <v>23265</v>
      </c>
      <c r="S222" s="50">
        <v>3.0</v>
      </c>
      <c r="T222" s="50" t="s">
        <v>22634</v>
      </c>
      <c r="U222" s="117">
        <v>4325.0</v>
      </c>
      <c r="V222" s="50" t="s">
        <v>23777</v>
      </c>
      <c r="W222" s="50" t="s">
        <v>23778</v>
      </c>
      <c r="X222" s="117">
        <v>227.0</v>
      </c>
    </row>
    <row r="223">
      <c r="A223" s="50" t="s">
        <v>23771</v>
      </c>
      <c r="B223" s="50" t="s">
        <v>6876</v>
      </c>
      <c r="C223" s="50" t="s">
        <v>6877</v>
      </c>
      <c r="D223" s="50" t="s">
        <v>8493</v>
      </c>
      <c r="E223" s="50" t="s">
        <v>23780</v>
      </c>
      <c r="F223" s="50">
        <v>58.0</v>
      </c>
      <c r="G223" s="50">
        <v>1.0</v>
      </c>
      <c r="H223" s="50">
        <v>99.0</v>
      </c>
      <c r="I223" s="50" t="s">
        <v>1271</v>
      </c>
      <c r="J223" s="50" t="s">
        <v>1271</v>
      </c>
      <c r="K223" s="50" t="s">
        <v>23772</v>
      </c>
      <c r="L223" s="50" t="s">
        <v>23753</v>
      </c>
      <c r="M223" s="50" t="s">
        <v>23773</v>
      </c>
      <c r="N223" s="50" t="s">
        <v>23774</v>
      </c>
      <c r="O223" s="50">
        <v>0.0</v>
      </c>
      <c r="P223" s="116"/>
      <c r="Q223" s="116"/>
      <c r="R223" s="50" t="s">
        <v>23781</v>
      </c>
      <c r="S223" s="50">
        <v>3.0</v>
      </c>
      <c r="T223" s="50" t="s">
        <v>22634</v>
      </c>
      <c r="U223" s="117">
        <v>4326.0</v>
      </c>
      <c r="V223" s="50" t="s">
        <v>23782</v>
      </c>
      <c r="W223" s="50" t="s">
        <v>23783</v>
      </c>
      <c r="X223" s="117">
        <v>228.0</v>
      </c>
    </row>
    <row r="224">
      <c r="A224" s="50" t="s">
        <v>23785</v>
      </c>
      <c r="B224" s="50" t="s">
        <v>6876</v>
      </c>
      <c r="C224" s="50" t="s">
        <v>6877</v>
      </c>
      <c r="D224" s="50" t="s">
        <v>8493</v>
      </c>
      <c r="E224" s="50" t="s">
        <v>23788</v>
      </c>
      <c r="F224" s="50">
        <v>57.0</v>
      </c>
      <c r="G224" s="50">
        <v>1.0</v>
      </c>
      <c r="H224" s="50">
        <v>12.0</v>
      </c>
      <c r="I224" s="50" t="s">
        <v>1258</v>
      </c>
      <c r="J224" s="50" t="s">
        <v>1258</v>
      </c>
      <c r="K224" s="50" t="s">
        <v>23772</v>
      </c>
      <c r="L224" s="50" t="s">
        <v>23753</v>
      </c>
      <c r="M224" s="50" t="s">
        <v>23773</v>
      </c>
      <c r="N224" s="50" t="s">
        <v>23792</v>
      </c>
      <c r="O224" s="50">
        <v>0.0</v>
      </c>
      <c r="P224" s="116"/>
      <c r="Q224" s="116"/>
      <c r="R224" s="116"/>
      <c r="S224" s="50">
        <v>3.0</v>
      </c>
      <c r="T224" s="50" t="s">
        <v>22634</v>
      </c>
      <c r="U224" s="117">
        <v>4327.0</v>
      </c>
      <c r="V224" s="50" t="s">
        <v>23794</v>
      </c>
      <c r="W224" s="50" t="s">
        <v>23795</v>
      </c>
      <c r="X224" s="117">
        <v>229.0</v>
      </c>
    </row>
    <row r="225">
      <c r="A225" s="50" t="s">
        <v>23788</v>
      </c>
      <c r="B225" s="50" t="s">
        <v>6876</v>
      </c>
      <c r="C225" s="50" t="s">
        <v>6877</v>
      </c>
      <c r="D225" s="50" t="s">
        <v>8493</v>
      </c>
      <c r="E225" s="50" t="s">
        <v>23796</v>
      </c>
      <c r="F225" s="50">
        <v>57.0</v>
      </c>
      <c r="G225" s="50">
        <v>1.0</v>
      </c>
      <c r="H225" s="50">
        <v>99.0</v>
      </c>
      <c r="I225" s="50" t="s">
        <v>1261</v>
      </c>
      <c r="J225" s="50" t="s">
        <v>1261</v>
      </c>
      <c r="K225" s="50" t="s">
        <v>23772</v>
      </c>
      <c r="L225" s="50" t="s">
        <v>23753</v>
      </c>
      <c r="M225" s="50" t="s">
        <v>23773</v>
      </c>
      <c r="N225" s="50" t="s">
        <v>23774</v>
      </c>
      <c r="O225" s="50">
        <v>0.0</v>
      </c>
      <c r="P225" s="116"/>
      <c r="Q225" s="116"/>
      <c r="R225" s="50" t="s">
        <v>23799</v>
      </c>
      <c r="S225" s="50">
        <v>3.0</v>
      </c>
      <c r="T225" s="50" t="s">
        <v>22634</v>
      </c>
      <c r="U225" s="117">
        <v>4328.0</v>
      </c>
      <c r="V225" s="50" t="s">
        <v>23801</v>
      </c>
      <c r="W225" s="50" t="s">
        <v>23802</v>
      </c>
      <c r="X225" s="117">
        <v>230.0</v>
      </c>
    </row>
    <row r="226">
      <c r="A226" s="50" t="s">
        <v>23796</v>
      </c>
      <c r="B226" s="50" t="s">
        <v>6876</v>
      </c>
      <c r="C226" s="50" t="s">
        <v>6877</v>
      </c>
      <c r="D226" s="50" t="s">
        <v>8493</v>
      </c>
      <c r="E226" s="50" t="s">
        <v>23808</v>
      </c>
      <c r="F226" s="50">
        <v>33.0</v>
      </c>
      <c r="G226" s="50">
        <v>1.0</v>
      </c>
      <c r="H226" s="50">
        <v>98.0</v>
      </c>
      <c r="I226" s="50" t="s">
        <v>1272</v>
      </c>
      <c r="J226" s="50" t="s">
        <v>1272</v>
      </c>
      <c r="K226" s="50" t="s">
        <v>23772</v>
      </c>
      <c r="L226" s="50" t="s">
        <v>23753</v>
      </c>
      <c r="M226" s="50" t="s">
        <v>23773</v>
      </c>
      <c r="N226" s="50" t="s">
        <v>9763</v>
      </c>
      <c r="O226" s="50">
        <v>0.0</v>
      </c>
      <c r="P226" s="116"/>
      <c r="Q226" s="116"/>
      <c r="R226" s="50" t="s">
        <v>23265</v>
      </c>
      <c r="S226" s="50">
        <v>3.0</v>
      </c>
      <c r="T226" s="50" t="s">
        <v>22634</v>
      </c>
      <c r="U226" s="117">
        <v>4329.0</v>
      </c>
      <c r="V226" s="50" t="s">
        <v>23810</v>
      </c>
      <c r="W226" s="50" t="s">
        <v>23811</v>
      </c>
      <c r="X226" s="117">
        <v>231.0</v>
      </c>
    </row>
    <row r="227">
      <c r="A227" s="50" t="s">
        <v>23812</v>
      </c>
      <c r="B227" s="50" t="s">
        <v>6876</v>
      </c>
      <c r="C227" s="50" t="s">
        <v>6877</v>
      </c>
      <c r="D227" s="50" t="s">
        <v>8493</v>
      </c>
      <c r="E227" s="50" t="s">
        <v>23813</v>
      </c>
      <c r="F227" s="50">
        <v>59.0</v>
      </c>
      <c r="G227" s="50">
        <v>1.0</v>
      </c>
      <c r="H227" s="50">
        <v>11.0</v>
      </c>
      <c r="I227" s="50" t="s">
        <v>1284</v>
      </c>
      <c r="J227" s="50" t="s">
        <v>1284</v>
      </c>
      <c r="K227" s="50" t="s">
        <v>9857</v>
      </c>
      <c r="L227" s="50" t="s">
        <v>23816</v>
      </c>
      <c r="M227" s="50" t="s">
        <v>23817</v>
      </c>
      <c r="N227" s="50" t="s">
        <v>23818</v>
      </c>
      <c r="O227" s="50">
        <v>0.0</v>
      </c>
      <c r="P227" s="116"/>
      <c r="Q227" s="116"/>
      <c r="R227" s="50" t="s">
        <v>23820</v>
      </c>
      <c r="S227" s="50">
        <v>3.0</v>
      </c>
      <c r="T227" s="50" t="s">
        <v>22634</v>
      </c>
      <c r="U227" s="117">
        <v>4353.0</v>
      </c>
      <c r="V227" s="50" t="s">
        <v>23822</v>
      </c>
      <c r="W227" s="50" t="s">
        <v>23823</v>
      </c>
      <c r="X227" s="117">
        <v>232.0</v>
      </c>
    </row>
    <row r="228">
      <c r="A228" s="50" t="s">
        <v>23813</v>
      </c>
      <c r="B228" s="50" t="s">
        <v>6876</v>
      </c>
      <c r="C228" s="50" t="s">
        <v>6877</v>
      </c>
      <c r="D228" s="50" t="s">
        <v>8493</v>
      </c>
      <c r="E228" s="50" t="s">
        <v>23825</v>
      </c>
      <c r="F228" s="50">
        <v>59.0</v>
      </c>
      <c r="G228" s="50">
        <v>1.0</v>
      </c>
      <c r="H228" s="50">
        <v>99.0</v>
      </c>
      <c r="I228" s="50" t="s">
        <v>1288</v>
      </c>
      <c r="J228" s="50" t="s">
        <v>1288</v>
      </c>
      <c r="K228" s="50" t="s">
        <v>9857</v>
      </c>
      <c r="L228" s="50" t="s">
        <v>23816</v>
      </c>
      <c r="M228" s="50" t="s">
        <v>23817</v>
      </c>
      <c r="N228" s="50" t="s">
        <v>23818</v>
      </c>
      <c r="O228" s="50">
        <v>0.0</v>
      </c>
      <c r="P228" s="116"/>
      <c r="Q228" s="116"/>
      <c r="R228" s="50" t="s">
        <v>23799</v>
      </c>
      <c r="S228" s="50">
        <v>3.0</v>
      </c>
      <c r="T228" s="50" t="s">
        <v>22634</v>
      </c>
      <c r="U228" s="117">
        <v>4354.0</v>
      </c>
      <c r="V228" s="50" t="s">
        <v>23830</v>
      </c>
      <c r="W228" s="50" t="s">
        <v>23832</v>
      </c>
      <c r="X228" s="117">
        <v>233.0</v>
      </c>
    </row>
    <row r="229">
      <c r="A229" s="50" t="s">
        <v>23825</v>
      </c>
      <c r="B229" s="50" t="s">
        <v>6876</v>
      </c>
      <c r="C229" s="50" t="s">
        <v>6877</v>
      </c>
      <c r="D229" s="50" t="s">
        <v>8493</v>
      </c>
      <c r="E229" s="50" t="s">
        <v>23835</v>
      </c>
      <c r="F229" s="50">
        <v>57.0</v>
      </c>
      <c r="G229" s="50">
        <v>1.0</v>
      </c>
      <c r="H229" s="50">
        <v>12.0</v>
      </c>
      <c r="I229" s="50" t="s">
        <v>1281</v>
      </c>
      <c r="J229" s="50" t="s">
        <v>1281</v>
      </c>
      <c r="K229" s="50" t="s">
        <v>9857</v>
      </c>
      <c r="L229" s="50" t="s">
        <v>23816</v>
      </c>
      <c r="M229" s="50" t="s">
        <v>23817</v>
      </c>
      <c r="N229" s="50" t="s">
        <v>23836</v>
      </c>
      <c r="O229" s="50">
        <v>0.0</v>
      </c>
      <c r="P229" s="116"/>
      <c r="Q229" s="116"/>
      <c r="R229" s="116"/>
      <c r="S229" s="50">
        <v>3.0</v>
      </c>
      <c r="T229" s="50" t="s">
        <v>22634</v>
      </c>
      <c r="U229" s="117">
        <v>4355.0</v>
      </c>
      <c r="V229" s="50" t="s">
        <v>23837</v>
      </c>
      <c r="W229" s="50" t="s">
        <v>23838</v>
      </c>
      <c r="X229" s="117">
        <v>234.0</v>
      </c>
    </row>
    <row r="230">
      <c r="A230" s="50" t="s">
        <v>23835</v>
      </c>
      <c r="B230" s="50" t="s">
        <v>6876</v>
      </c>
      <c r="C230" s="50" t="s">
        <v>6877</v>
      </c>
      <c r="D230" s="50" t="s">
        <v>8493</v>
      </c>
      <c r="E230" s="50" t="s">
        <v>23842</v>
      </c>
      <c r="F230" s="50">
        <v>57.0</v>
      </c>
      <c r="G230" s="50">
        <v>1.0</v>
      </c>
      <c r="H230" s="50">
        <v>99.0</v>
      </c>
      <c r="I230" s="50" t="s">
        <v>271</v>
      </c>
      <c r="J230" s="50" t="s">
        <v>271</v>
      </c>
      <c r="K230" s="50" t="s">
        <v>9857</v>
      </c>
      <c r="L230" s="50" t="s">
        <v>23816</v>
      </c>
      <c r="M230" s="50" t="s">
        <v>23817</v>
      </c>
      <c r="N230" s="50" t="s">
        <v>23836</v>
      </c>
      <c r="O230" s="50">
        <v>0.0</v>
      </c>
      <c r="P230" s="116"/>
      <c r="Q230" s="116"/>
      <c r="R230" s="50" t="s">
        <v>23306</v>
      </c>
      <c r="S230" s="50">
        <v>3.0</v>
      </c>
      <c r="T230" s="50" t="s">
        <v>22634</v>
      </c>
      <c r="U230" s="117">
        <v>4356.0</v>
      </c>
      <c r="V230" s="50" t="s">
        <v>23844</v>
      </c>
      <c r="W230" s="50" t="s">
        <v>23845</v>
      </c>
      <c r="X230" s="117">
        <v>235.0</v>
      </c>
    </row>
    <row r="231">
      <c r="A231" s="50" t="s">
        <v>23842</v>
      </c>
      <c r="B231" s="50" t="s">
        <v>6876</v>
      </c>
      <c r="C231" s="50" t="s">
        <v>6877</v>
      </c>
      <c r="D231" s="50" t="s">
        <v>8493</v>
      </c>
      <c r="E231" s="50" t="s">
        <v>23846</v>
      </c>
      <c r="F231" s="50">
        <v>33.0</v>
      </c>
      <c r="G231" s="50">
        <v>1.0</v>
      </c>
      <c r="H231" s="50">
        <v>98.0</v>
      </c>
      <c r="I231" s="50" t="s">
        <v>1289</v>
      </c>
      <c r="J231" s="50" t="s">
        <v>1289</v>
      </c>
      <c r="K231" s="50" t="s">
        <v>9857</v>
      </c>
      <c r="L231" s="50" t="s">
        <v>23816</v>
      </c>
      <c r="M231" s="50" t="s">
        <v>23817</v>
      </c>
      <c r="N231" s="50" t="s">
        <v>23818</v>
      </c>
      <c r="O231" s="50">
        <v>0.0</v>
      </c>
      <c r="P231" s="116"/>
      <c r="Q231" s="116"/>
      <c r="R231" s="50" t="s">
        <v>23256</v>
      </c>
      <c r="S231" s="50">
        <v>3.0</v>
      </c>
      <c r="T231" s="50" t="s">
        <v>22634</v>
      </c>
      <c r="U231" s="117">
        <v>4357.0</v>
      </c>
      <c r="V231" s="50" t="s">
        <v>23850</v>
      </c>
      <c r="W231" s="50" t="s">
        <v>23851</v>
      </c>
      <c r="X231" s="117">
        <v>236.0</v>
      </c>
    </row>
    <row r="232">
      <c r="A232" s="50" t="s">
        <v>23852</v>
      </c>
      <c r="B232" s="50" t="s">
        <v>6876</v>
      </c>
      <c r="C232" s="50" t="s">
        <v>6877</v>
      </c>
      <c r="D232" s="50" t="s">
        <v>8493</v>
      </c>
      <c r="E232" s="50" t="s">
        <v>23853</v>
      </c>
      <c r="F232" s="50">
        <v>59.0</v>
      </c>
      <c r="G232" s="50">
        <v>1.0</v>
      </c>
      <c r="H232" s="50">
        <v>99.0</v>
      </c>
      <c r="I232" s="50" t="s">
        <v>1297</v>
      </c>
      <c r="J232" s="50" t="s">
        <v>1297</v>
      </c>
      <c r="K232" s="50" t="s">
        <v>23857</v>
      </c>
      <c r="L232" s="50" t="s">
        <v>23858</v>
      </c>
      <c r="M232" s="50" t="s">
        <v>23859</v>
      </c>
      <c r="N232" s="50" t="s">
        <v>23861</v>
      </c>
      <c r="O232" s="50">
        <v>0.0</v>
      </c>
      <c r="P232" s="116"/>
      <c r="Q232" s="116"/>
      <c r="R232" s="50" t="s">
        <v>23265</v>
      </c>
      <c r="S232" s="50">
        <v>3.0</v>
      </c>
      <c r="T232" s="50" t="s">
        <v>22634</v>
      </c>
      <c r="U232" s="117">
        <v>4373.0</v>
      </c>
      <c r="V232" s="50" t="s">
        <v>23864</v>
      </c>
      <c r="W232" s="50" t="s">
        <v>23865</v>
      </c>
      <c r="X232" s="117">
        <v>237.0</v>
      </c>
    </row>
    <row r="233">
      <c r="A233" s="50" t="s">
        <v>23853</v>
      </c>
      <c r="B233" s="50" t="s">
        <v>6876</v>
      </c>
      <c r="C233" s="50" t="s">
        <v>6877</v>
      </c>
      <c r="D233" s="50" t="s">
        <v>8493</v>
      </c>
      <c r="E233" s="50" t="s">
        <v>23867</v>
      </c>
      <c r="F233" s="50">
        <v>59.0</v>
      </c>
      <c r="G233" s="50">
        <v>1.0</v>
      </c>
      <c r="H233" s="50">
        <v>11.0</v>
      </c>
      <c r="I233" s="50" t="s">
        <v>1292</v>
      </c>
      <c r="J233" s="50" t="s">
        <v>1292</v>
      </c>
      <c r="K233" s="50" t="s">
        <v>23857</v>
      </c>
      <c r="L233" s="50" t="s">
        <v>23858</v>
      </c>
      <c r="M233" s="50" t="s">
        <v>23859</v>
      </c>
      <c r="N233" s="50" t="s">
        <v>23861</v>
      </c>
      <c r="O233" s="50">
        <v>0.0</v>
      </c>
      <c r="P233" s="116"/>
      <c r="Q233" s="116"/>
      <c r="R233" s="50" t="s">
        <v>23868</v>
      </c>
      <c r="S233" s="50">
        <v>3.0</v>
      </c>
      <c r="T233" s="50" t="s">
        <v>22634</v>
      </c>
      <c r="U233" s="117">
        <v>4374.0</v>
      </c>
      <c r="V233" s="50" t="s">
        <v>23869</v>
      </c>
      <c r="W233" s="50" t="s">
        <v>23870</v>
      </c>
      <c r="X233" s="117">
        <v>238.0</v>
      </c>
    </row>
    <row r="234">
      <c r="A234" s="50" t="s">
        <v>23867</v>
      </c>
      <c r="B234" s="50" t="s">
        <v>6876</v>
      </c>
      <c r="C234" s="50" t="s">
        <v>6877</v>
      </c>
      <c r="D234" s="50" t="s">
        <v>8493</v>
      </c>
      <c r="E234" s="50" t="s">
        <v>23873</v>
      </c>
      <c r="F234" s="50">
        <v>33.0</v>
      </c>
      <c r="G234" s="50">
        <v>1.0</v>
      </c>
      <c r="H234" s="50">
        <v>98.0</v>
      </c>
      <c r="I234" s="50" t="s">
        <v>1298</v>
      </c>
      <c r="J234" s="50" t="s">
        <v>1298</v>
      </c>
      <c r="K234" s="50" t="s">
        <v>23857</v>
      </c>
      <c r="L234" s="50" t="s">
        <v>23858</v>
      </c>
      <c r="M234" s="50" t="s">
        <v>23859</v>
      </c>
      <c r="N234" s="50" t="s">
        <v>23861</v>
      </c>
      <c r="O234" s="50">
        <v>0.0</v>
      </c>
      <c r="P234" s="116"/>
      <c r="Q234" s="116"/>
      <c r="R234" s="50" t="s">
        <v>23256</v>
      </c>
      <c r="S234" s="50">
        <v>3.0</v>
      </c>
      <c r="T234" s="50" t="s">
        <v>22634</v>
      </c>
      <c r="U234" s="117">
        <v>4375.0</v>
      </c>
      <c r="V234" s="50" t="s">
        <v>23875</v>
      </c>
      <c r="W234" s="50" t="s">
        <v>23876</v>
      </c>
      <c r="X234" s="117">
        <v>239.0</v>
      </c>
    </row>
    <row r="235">
      <c r="A235" s="50" t="s">
        <v>23877</v>
      </c>
      <c r="B235" s="50" t="s">
        <v>6876</v>
      </c>
      <c r="C235" s="50" t="s">
        <v>6877</v>
      </c>
      <c r="D235" s="50" t="s">
        <v>8493</v>
      </c>
      <c r="E235" s="50" t="s">
        <v>23878</v>
      </c>
      <c r="F235" s="50">
        <v>57.0</v>
      </c>
      <c r="G235" s="50">
        <v>1.0</v>
      </c>
      <c r="H235" s="50">
        <v>12.0</v>
      </c>
      <c r="I235" s="50" t="s">
        <v>1301</v>
      </c>
      <c r="J235" s="50" t="s">
        <v>1301</v>
      </c>
      <c r="K235" s="50" t="s">
        <v>9987</v>
      </c>
      <c r="L235" s="50" t="s">
        <v>23884</v>
      </c>
      <c r="M235" s="50" t="s">
        <v>23885</v>
      </c>
      <c r="N235" s="50" t="s">
        <v>23886</v>
      </c>
      <c r="O235" s="50">
        <v>0.0</v>
      </c>
      <c r="P235" s="116"/>
      <c r="Q235" s="116"/>
      <c r="R235" s="116"/>
      <c r="S235" s="50">
        <v>7.0</v>
      </c>
      <c r="T235" s="50" t="s">
        <v>22634</v>
      </c>
      <c r="U235" s="117">
        <v>4398.0</v>
      </c>
      <c r="V235" s="50" t="s">
        <v>23889</v>
      </c>
      <c r="W235" s="50" t="s">
        <v>23890</v>
      </c>
      <c r="X235" s="117">
        <v>240.0</v>
      </c>
    </row>
    <row r="236">
      <c r="A236" s="50" t="s">
        <v>23878</v>
      </c>
      <c r="B236" s="50" t="s">
        <v>6876</v>
      </c>
      <c r="C236" s="50" t="s">
        <v>6877</v>
      </c>
      <c r="D236" s="50" t="s">
        <v>8493</v>
      </c>
      <c r="E236" s="50" t="s">
        <v>23891</v>
      </c>
      <c r="F236" s="50">
        <v>55.0</v>
      </c>
      <c r="G236" s="50">
        <v>1.0</v>
      </c>
      <c r="H236" s="50">
        <v>12.0</v>
      </c>
      <c r="I236" s="50" t="s">
        <v>1306</v>
      </c>
      <c r="J236" s="50" t="s">
        <v>1306</v>
      </c>
      <c r="K236" s="50" t="s">
        <v>9987</v>
      </c>
      <c r="L236" s="50" t="s">
        <v>23884</v>
      </c>
      <c r="M236" s="50" t="s">
        <v>23885</v>
      </c>
      <c r="N236" s="50" t="s">
        <v>23886</v>
      </c>
      <c r="O236" s="50">
        <v>0.0</v>
      </c>
      <c r="P236" s="116"/>
      <c r="Q236" s="116"/>
      <c r="R236" s="116"/>
      <c r="S236" s="50">
        <v>7.0</v>
      </c>
      <c r="T236" s="50" t="s">
        <v>22634</v>
      </c>
      <c r="U236" s="117">
        <v>4399.0</v>
      </c>
      <c r="V236" s="50" t="s">
        <v>23894</v>
      </c>
      <c r="W236" s="50" t="s">
        <v>23895</v>
      </c>
      <c r="X236" s="117">
        <v>241.0</v>
      </c>
    </row>
    <row r="237">
      <c r="A237" s="50" t="s">
        <v>23891</v>
      </c>
      <c r="B237" s="50" t="s">
        <v>6876</v>
      </c>
      <c r="C237" s="50" t="s">
        <v>6877</v>
      </c>
      <c r="D237" s="50" t="s">
        <v>8493</v>
      </c>
      <c r="E237" s="50" t="s">
        <v>23897</v>
      </c>
      <c r="F237" s="50">
        <v>57.0</v>
      </c>
      <c r="G237" s="50">
        <v>1.0</v>
      </c>
      <c r="H237" s="50">
        <v>99.0</v>
      </c>
      <c r="I237" s="50" t="s">
        <v>1304</v>
      </c>
      <c r="J237" s="50" t="s">
        <v>1304</v>
      </c>
      <c r="K237" s="50" t="s">
        <v>9987</v>
      </c>
      <c r="L237" s="50" t="s">
        <v>23884</v>
      </c>
      <c r="M237" s="50" t="s">
        <v>23885</v>
      </c>
      <c r="N237" s="50" t="s">
        <v>23898</v>
      </c>
      <c r="O237" s="50">
        <v>0.0</v>
      </c>
      <c r="P237" s="116"/>
      <c r="Q237" s="116"/>
      <c r="R237" s="50" t="s">
        <v>23755</v>
      </c>
      <c r="S237" s="50">
        <v>7.0</v>
      </c>
      <c r="T237" s="50" t="s">
        <v>22634</v>
      </c>
      <c r="U237" s="117">
        <v>4400.0</v>
      </c>
      <c r="V237" s="50" t="s">
        <v>23899</v>
      </c>
      <c r="W237" s="50" t="s">
        <v>23900</v>
      </c>
      <c r="X237" s="117">
        <v>242.0</v>
      </c>
    </row>
    <row r="238">
      <c r="A238" s="50" t="s">
        <v>23897</v>
      </c>
      <c r="B238" s="50" t="s">
        <v>6876</v>
      </c>
      <c r="C238" s="50" t="s">
        <v>6877</v>
      </c>
      <c r="D238" s="50" t="s">
        <v>8493</v>
      </c>
      <c r="E238" s="50" t="s">
        <v>23904</v>
      </c>
      <c r="F238" s="50">
        <v>55.0</v>
      </c>
      <c r="G238" s="50">
        <v>1.0</v>
      </c>
      <c r="H238" s="50">
        <v>99.0</v>
      </c>
      <c r="I238" s="50" t="s">
        <v>1309</v>
      </c>
      <c r="J238" s="50" t="s">
        <v>1309</v>
      </c>
      <c r="K238" s="50" t="s">
        <v>9987</v>
      </c>
      <c r="L238" s="50" t="s">
        <v>23884</v>
      </c>
      <c r="M238" s="50" t="s">
        <v>23885</v>
      </c>
      <c r="N238" s="50" t="s">
        <v>23909</v>
      </c>
      <c r="O238" s="50">
        <v>0.0</v>
      </c>
      <c r="P238" s="116"/>
      <c r="Q238" s="116"/>
      <c r="R238" s="50" t="s">
        <v>23755</v>
      </c>
      <c r="S238" s="50">
        <v>7.0</v>
      </c>
      <c r="T238" s="50" t="s">
        <v>22634</v>
      </c>
      <c r="U238" s="117">
        <v>4401.0</v>
      </c>
      <c r="V238" s="50" t="s">
        <v>23911</v>
      </c>
      <c r="W238" s="50" t="s">
        <v>23912</v>
      </c>
      <c r="X238" s="117">
        <v>243.0</v>
      </c>
    </row>
    <row r="239">
      <c r="A239" s="50" t="s">
        <v>23904</v>
      </c>
      <c r="B239" s="50" t="s">
        <v>6876</v>
      </c>
      <c r="C239" s="50" t="s">
        <v>6877</v>
      </c>
      <c r="D239" s="50" t="s">
        <v>8493</v>
      </c>
      <c r="E239" s="50" t="s">
        <v>23916</v>
      </c>
      <c r="F239" s="50">
        <v>33.0</v>
      </c>
      <c r="G239" s="50">
        <v>1.0</v>
      </c>
      <c r="H239" s="50">
        <v>98.0</v>
      </c>
      <c r="I239" s="50" t="s">
        <v>1310</v>
      </c>
      <c r="J239" s="50" t="s">
        <v>1310</v>
      </c>
      <c r="K239" s="50" t="s">
        <v>23919</v>
      </c>
      <c r="L239" s="50" t="s">
        <v>23920</v>
      </c>
      <c r="M239" s="50" t="s">
        <v>23921</v>
      </c>
      <c r="N239" s="50" t="s">
        <v>23885</v>
      </c>
      <c r="O239" s="50">
        <v>0.0</v>
      </c>
      <c r="P239" s="116"/>
      <c r="Q239" s="116"/>
      <c r="R239" s="50" t="s">
        <v>23306</v>
      </c>
      <c r="S239" s="50">
        <v>7.0</v>
      </c>
      <c r="T239" s="50" t="s">
        <v>22634</v>
      </c>
      <c r="U239" s="117">
        <v>4416.0</v>
      </c>
      <c r="V239" s="50" t="s">
        <v>23923</v>
      </c>
      <c r="W239" s="50" t="s">
        <v>23924</v>
      </c>
      <c r="X239" s="117">
        <v>244.0</v>
      </c>
    </row>
    <row r="240">
      <c r="A240" s="50" t="s">
        <v>23925</v>
      </c>
      <c r="B240" s="50" t="s">
        <v>6876</v>
      </c>
      <c r="C240" s="50" t="s">
        <v>6877</v>
      </c>
      <c r="D240" s="50" t="s">
        <v>8493</v>
      </c>
      <c r="E240" s="50" t="s">
        <v>23926</v>
      </c>
      <c r="F240" s="50">
        <v>59.0</v>
      </c>
      <c r="G240" s="50">
        <v>1.0</v>
      </c>
      <c r="H240" s="50">
        <v>11.0</v>
      </c>
      <c r="I240" s="50" t="s">
        <v>1325</v>
      </c>
      <c r="J240" s="50" t="s">
        <v>1325</v>
      </c>
      <c r="K240" s="50" t="s">
        <v>13780</v>
      </c>
      <c r="L240" s="50" t="s">
        <v>23927</v>
      </c>
      <c r="M240" s="50" t="s">
        <v>23928</v>
      </c>
      <c r="N240" s="50" t="s">
        <v>23929</v>
      </c>
      <c r="O240" s="50">
        <v>0.0</v>
      </c>
      <c r="P240" s="116"/>
      <c r="Q240" s="116"/>
      <c r="R240" s="50" t="s">
        <v>23932</v>
      </c>
      <c r="S240" s="50">
        <v>3.0</v>
      </c>
      <c r="T240" s="50" t="s">
        <v>22634</v>
      </c>
      <c r="U240" s="117">
        <v>4417.0</v>
      </c>
      <c r="V240" s="50" t="s">
        <v>23933</v>
      </c>
      <c r="W240" s="50" t="s">
        <v>23934</v>
      </c>
      <c r="X240" s="117">
        <v>245.0</v>
      </c>
    </row>
    <row r="241">
      <c r="A241" s="50" t="s">
        <v>23926</v>
      </c>
      <c r="B241" s="50" t="s">
        <v>6876</v>
      </c>
      <c r="C241" s="50" t="s">
        <v>6877</v>
      </c>
      <c r="D241" s="50" t="s">
        <v>8493</v>
      </c>
      <c r="E241" s="50" t="s">
        <v>23936</v>
      </c>
      <c r="F241" s="50">
        <v>59.0</v>
      </c>
      <c r="G241" s="50">
        <v>1.0</v>
      </c>
      <c r="H241" s="50">
        <v>99.0</v>
      </c>
      <c r="I241" s="50" t="s">
        <v>1327</v>
      </c>
      <c r="J241" s="50" t="s">
        <v>1327</v>
      </c>
      <c r="K241" s="50" t="s">
        <v>13780</v>
      </c>
      <c r="L241" s="50" t="s">
        <v>23937</v>
      </c>
      <c r="M241" s="50" t="s">
        <v>23929</v>
      </c>
      <c r="N241" s="50" t="s">
        <v>17564</v>
      </c>
      <c r="O241" s="50">
        <v>0.0</v>
      </c>
      <c r="P241" s="116"/>
      <c r="Q241" s="116"/>
      <c r="R241" s="50" t="s">
        <v>23256</v>
      </c>
      <c r="S241" s="50">
        <v>3.0</v>
      </c>
      <c r="T241" s="50" t="s">
        <v>22634</v>
      </c>
      <c r="U241" s="117">
        <v>4418.0</v>
      </c>
      <c r="V241" s="50" t="s">
        <v>23940</v>
      </c>
      <c r="W241" s="50" t="s">
        <v>23942</v>
      </c>
      <c r="X241" s="117">
        <v>246.0</v>
      </c>
    </row>
    <row r="242">
      <c r="A242" s="50" t="s">
        <v>23936</v>
      </c>
      <c r="B242" s="50" t="s">
        <v>6876</v>
      </c>
      <c r="C242" s="50" t="s">
        <v>6877</v>
      </c>
      <c r="D242" s="50" t="s">
        <v>8493</v>
      </c>
      <c r="E242" s="50" t="s">
        <v>23947</v>
      </c>
      <c r="F242" s="50">
        <v>66.0</v>
      </c>
      <c r="G242" s="50">
        <v>1.0</v>
      </c>
      <c r="H242" s="50">
        <v>11.0</v>
      </c>
      <c r="I242" s="50" t="s">
        <v>1313</v>
      </c>
      <c r="J242" s="50" t="s">
        <v>1313</v>
      </c>
      <c r="K242" s="50" t="s">
        <v>13780</v>
      </c>
      <c r="L242" s="50" t="s">
        <v>23937</v>
      </c>
      <c r="M242" s="50" t="s">
        <v>23929</v>
      </c>
      <c r="N242" s="50" t="s">
        <v>23950</v>
      </c>
      <c r="O242" s="50">
        <v>0.0</v>
      </c>
      <c r="P242" s="116"/>
      <c r="Q242" s="116"/>
      <c r="R242" s="116"/>
      <c r="S242" s="50">
        <v>3.0</v>
      </c>
      <c r="T242" s="50" t="s">
        <v>22634</v>
      </c>
      <c r="U242" s="117">
        <v>4419.0</v>
      </c>
      <c r="V242" s="50" t="s">
        <v>23951</v>
      </c>
      <c r="W242" s="50" t="s">
        <v>23952</v>
      </c>
      <c r="X242" s="117">
        <v>247.0</v>
      </c>
    </row>
    <row r="243">
      <c r="A243" s="50" t="s">
        <v>23947</v>
      </c>
      <c r="B243" s="50" t="s">
        <v>6876</v>
      </c>
      <c r="C243" s="50" t="s">
        <v>6877</v>
      </c>
      <c r="D243" s="50" t="s">
        <v>8493</v>
      </c>
      <c r="E243" s="50" t="s">
        <v>23953</v>
      </c>
      <c r="F243" s="50">
        <v>66.0</v>
      </c>
      <c r="G243" s="50">
        <v>1.0</v>
      </c>
      <c r="H243" s="50">
        <v>99.0</v>
      </c>
      <c r="I243" s="50" t="s">
        <v>1316</v>
      </c>
      <c r="J243" s="50" t="s">
        <v>1316</v>
      </c>
      <c r="K243" s="50" t="s">
        <v>13780</v>
      </c>
      <c r="L243" s="50" t="s">
        <v>23937</v>
      </c>
      <c r="M243" s="50" t="s">
        <v>23929</v>
      </c>
      <c r="N243" s="50" t="s">
        <v>17564</v>
      </c>
      <c r="O243" s="50">
        <v>0.0</v>
      </c>
      <c r="P243" s="116"/>
      <c r="Q243" s="116"/>
      <c r="R243" s="50" t="s">
        <v>23199</v>
      </c>
      <c r="S243" s="50">
        <v>3.0</v>
      </c>
      <c r="T243" s="50" t="s">
        <v>22634</v>
      </c>
      <c r="U243" s="117">
        <v>4420.0</v>
      </c>
      <c r="V243" s="50" t="s">
        <v>23957</v>
      </c>
      <c r="W243" s="50" t="s">
        <v>23958</v>
      </c>
      <c r="X243" s="117">
        <v>248.0</v>
      </c>
    </row>
    <row r="244">
      <c r="A244" s="50" t="s">
        <v>23959</v>
      </c>
      <c r="B244" s="50" t="s">
        <v>6876</v>
      </c>
      <c r="C244" s="50" t="s">
        <v>6877</v>
      </c>
      <c r="D244" s="50" t="s">
        <v>8493</v>
      </c>
      <c r="E244" s="50" t="s">
        <v>23961</v>
      </c>
      <c r="F244" s="50">
        <v>59.0</v>
      </c>
      <c r="G244" s="50">
        <v>1.0</v>
      </c>
      <c r="H244" s="50">
        <v>12.0</v>
      </c>
      <c r="I244" s="50" t="s">
        <v>1319</v>
      </c>
      <c r="J244" s="50" t="s">
        <v>1319</v>
      </c>
      <c r="K244" s="50" t="s">
        <v>13780</v>
      </c>
      <c r="L244" s="50" t="s">
        <v>23937</v>
      </c>
      <c r="M244" s="50" t="s">
        <v>23929</v>
      </c>
      <c r="N244" s="50" t="s">
        <v>23966</v>
      </c>
      <c r="O244" s="50">
        <v>0.0</v>
      </c>
      <c r="P244" s="116"/>
      <c r="Q244" s="116"/>
      <c r="R244" s="116"/>
      <c r="S244" s="50">
        <v>3.0</v>
      </c>
      <c r="T244" s="50" t="s">
        <v>22634</v>
      </c>
      <c r="U244" s="117">
        <v>4421.0</v>
      </c>
      <c r="V244" s="50" t="s">
        <v>23969</v>
      </c>
      <c r="W244" s="50" t="s">
        <v>23970</v>
      </c>
      <c r="X244" s="117">
        <v>249.0</v>
      </c>
    </row>
    <row r="245">
      <c r="A245" s="50" t="s">
        <v>23961</v>
      </c>
      <c r="B245" s="50" t="s">
        <v>6876</v>
      </c>
      <c r="C245" s="50" t="s">
        <v>6877</v>
      </c>
      <c r="D245" s="50" t="s">
        <v>8493</v>
      </c>
      <c r="E245" s="50" t="s">
        <v>23972</v>
      </c>
      <c r="F245" s="50">
        <v>59.0</v>
      </c>
      <c r="G245" s="50">
        <v>1.0</v>
      </c>
      <c r="H245" s="50">
        <v>99.0</v>
      </c>
      <c r="I245" s="50" t="s">
        <v>1323</v>
      </c>
      <c r="J245" s="50" t="s">
        <v>1323</v>
      </c>
      <c r="K245" s="50" t="s">
        <v>13780</v>
      </c>
      <c r="L245" s="50" t="s">
        <v>23937</v>
      </c>
      <c r="M245" s="50" t="s">
        <v>23929</v>
      </c>
      <c r="N245" s="50" t="s">
        <v>17564</v>
      </c>
      <c r="O245" s="50">
        <v>0.0</v>
      </c>
      <c r="P245" s="116"/>
      <c r="Q245" s="116"/>
      <c r="R245" s="50" t="s">
        <v>23256</v>
      </c>
      <c r="S245" s="50">
        <v>3.0</v>
      </c>
      <c r="T245" s="50" t="s">
        <v>22634</v>
      </c>
      <c r="U245" s="117">
        <v>4422.0</v>
      </c>
      <c r="V245" s="50" t="s">
        <v>23973</v>
      </c>
      <c r="W245" s="50" t="s">
        <v>23974</v>
      </c>
      <c r="X245" s="117">
        <v>250.0</v>
      </c>
    </row>
    <row r="246">
      <c r="A246" s="50" t="s">
        <v>23972</v>
      </c>
      <c r="B246" s="50" t="s">
        <v>6876</v>
      </c>
      <c r="C246" s="50" t="s">
        <v>6877</v>
      </c>
      <c r="D246" s="50" t="s">
        <v>8493</v>
      </c>
      <c r="E246" s="50" t="s">
        <v>23977</v>
      </c>
      <c r="F246" s="50">
        <v>33.0</v>
      </c>
      <c r="G246" s="50">
        <v>1.0</v>
      </c>
      <c r="H246" s="50">
        <v>98.0</v>
      </c>
      <c r="I246" s="50" t="s">
        <v>1331</v>
      </c>
      <c r="J246" s="50" t="s">
        <v>1331</v>
      </c>
      <c r="K246" s="50" t="s">
        <v>13780</v>
      </c>
      <c r="L246" s="50" t="s">
        <v>23927</v>
      </c>
      <c r="M246" s="50" t="s">
        <v>23928</v>
      </c>
      <c r="N246" s="50" t="s">
        <v>23979</v>
      </c>
      <c r="O246" s="50">
        <v>0.0</v>
      </c>
      <c r="P246" s="116"/>
      <c r="Q246" s="116"/>
      <c r="R246" s="50" t="s">
        <v>23799</v>
      </c>
      <c r="S246" s="50">
        <v>3.0</v>
      </c>
      <c r="T246" s="50" t="s">
        <v>22634</v>
      </c>
      <c r="U246" s="117">
        <v>4423.0</v>
      </c>
      <c r="V246" s="50" t="s">
        <v>23980</v>
      </c>
      <c r="W246" s="50" t="s">
        <v>23981</v>
      </c>
      <c r="X246" s="117">
        <v>251.0</v>
      </c>
    </row>
    <row r="247">
      <c r="A247" s="149" t="s">
        <v>23986</v>
      </c>
      <c r="B247" s="149" t="s">
        <v>6876</v>
      </c>
      <c r="C247" s="149" t="s">
        <v>6877</v>
      </c>
      <c r="D247" s="149" t="s">
        <v>8493</v>
      </c>
      <c r="E247" s="149" t="s">
        <v>23998</v>
      </c>
      <c r="F247" s="149">
        <v>58.0</v>
      </c>
      <c r="G247" s="149">
        <v>1.0</v>
      </c>
      <c r="H247" s="149">
        <v>99.0</v>
      </c>
      <c r="I247" s="149" t="s">
        <v>1126</v>
      </c>
      <c r="J247" s="149" t="s">
        <v>1126</v>
      </c>
      <c r="K247" s="149" t="s">
        <v>9586</v>
      </c>
      <c r="L247" s="149" t="s">
        <v>24001</v>
      </c>
      <c r="M247" s="149" t="s">
        <v>24002</v>
      </c>
      <c r="N247" s="149" t="s">
        <v>24003</v>
      </c>
      <c r="O247" s="149">
        <v>0.0</v>
      </c>
      <c r="P247" s="150"/>
      <c r="Q247" s="150"/>
      <c r="R247" s="149" t="s">
        <v>24004</v>
      </c>
      <c r="S247" s="149">
        <v>4.0</v>
      </c>
      <c r="T247" s="149" t="s">
        <v>22634</v>
      </c>
      <c r="U247" s="151">
        <v>4443.0</v>
      </c>
      <c r="V247" s="149" t="s">
        <v>24007</v>
      </c>
      <c r="W247" s="149" t="s">
        <v>24008</v>
      </c>
      <c r="X247" s="151">
        <v>252.0</v>
      </c>
      <c r="Y247" s="152"/>
      <c r="Z247" s="152"/>
    </row>
    <row r="248">
      <c r="A248" s="149" t="s">
        <v>23998</v>
      </c>
      <c r="B248" s="149" t="s">
        <v>6876</v>
      </c>
      <c r="C248" s="149" t="s">
        <v>6877</v>
      </c>
      <c r="D248" s="149" t="s">
        <v>8493</v>
      </c>
      <c r="E248" s="149" t="s">
        <v>24015</v>
      </c>
      <c r="F248" s="149">
        <v>58.0</v>
      </c>
      <c r="G248" s="149">
        <v>1.0</v>
      </c>
      <c r="H248" s="149">
        <v>99.0</v>
      </c>
      <c r="I248" s="149" t="s">
        <v>1131</v>
      </c>
      <c r="J248" s="149" t="s">
        <v>1131</v>
      </c>
      <c r="K248" s="149" t="s">
        <v>9586</v>
      </c>
      <c r="L248" s="149" t="s">
        <v>24016</v>
      </c>
      <c r="M248" s="149" t="s">
        <v>24003</v>
      </c>
      <c r="N248" s="149" t="s">
        <v>24017</v>
      </c>
      <c r="O248" s="149">
        <v>0.0</v>
      </c>
      <c r="P248" s="150"/>
      <c r="Q248" s="150"/>
      <c r="R248" s="149" t="s">
        <v>24020</v>
      </c>
      <c r="S248" s="149">
        <v>4.0</v>
      </c>
      <c r="T248" s="149" t="s">
        <v>22634</v>
      </c>
      <c r="U248" s="151">
        <v>4444.0</v>
      </c>
      <c r="V248" s="149" t="s">
        <v>24021</v>
      </c>
      <c r="W248" s="149" t="s">
        <v>24022</v>
      </c>
      <c r="X248" s="151">
        <v>253.0</v>
      </c>
      <c r="Y248" s="152"/>
      <c r="Z248" s="152"/>
    </row>
    <row r="249">
      <c r="A249" s="149" t="s">
        <v>24015</v>
      </c>
      <c r="B249" s="149" t="s">
        <v>6876</v>
      </c>
      <c r="C249" s="149" t="s">
        <v>6877</v>
      </c>
      <c r="D249" s="149" t="s">
        <v>8493</v>
      </c>
      <c r="E249" s="149" t="s">
        <v>24024</v>
      </c>
      <c r="F249" s="149">
        <v>65.0</v>
      </c>
      <c r="G249" s="149">
        <v>1.0</v>
      </c>
      <c r="H249" s="149">
        <v>99.0</v>
      </c>
      <c r="I249" s="149" t="s">
        <v>1136</v>
      </c>
      <c r="J249" s="149" t="s">
        <v>1136</v>
      </c>
      <c r="K249" s="149" t="s">
        <v>9586</v>
      </c>
      <c r="L249" s="149" t="s">
        <v>24016</v>
      </c>
      <c r="M249" s="149" t="s">
        <v>24003</v>
      </c>
      <c r="N249" s="149" t="s">
        <v>24017</v>
      </c>
      <c r="O249" s="149">
        <v>0.0</v>
      </c>
      <c r="P249" s="150"/>
      <c r="Q249" s="150"/>
      <c r="R249" s="149" t="s">
        <v>24029</v>
      </c>
      <c r="S249" s="149">
        <v>4.0</v>
      </c>
      <c r="T249" s="149" t="s">
        <v>22634</v>
      </c>
      <c r="U249" s="151">
        <v>4445.0</v>
      </c>
      <c r="V249" s="149" t="s">
        <v>24032</v>
      </c>
      <c r="W249" s="149" t="s">
        <v>24033</v>
      </c>
      <c r="X249" s="151">
        <v>254.0</v>
      </c>
      <c r="Y249" s="152"/>
      <c r="Z249" s="152"/>
    </row>
    <row r="250">
      <c r="A250" s="149" t="s">
        <v>24024</v>
      </c>
      <c r="B250" s="149" t="s">
        <v>6876</v>
      </c>
      <c r="C250" s="149" t="s">
        <v>6877</v>
      </c>
      <c r="D250" s="149" t="s">
        <v>8493</v>
      </c>
      <c r="E250" s="149" t="s">
        <v>24035</v>
      </c>
      <c r="F250" s="149">
        <v>59.0</v>
      </c>
      <c r="G250" s="149">
        <v>1.0</v>
      </c>
      <c r="H250" s="149">
        <v>99.0</v>
      </c>
      <c r="I250" s="149" t="s">
        <v>1149</v>
      </c>
      <c r="J250" s="149" t="s">
        <v>1149</v>
      </c>
      <c r="K250" s="149" t="s">
        <v>24036</v>
      </c>
      <c r="L250" s="149" t="s">
        <v>24037</v>
      </c>
      <c r="M250" s="149" t="s">
        <v>24038</v>
      </c>
      <c r="N250" s="149" t="s">
        <v>24039</v>
      </c>
      <c r="O250" s="149">
        <v>0.0</v>
      </c>
      <c r="P250" s="150"/>
      <c r="Q250" s="150"/>
      <c r="R250" s="149" t="s">
        <v>24040</v>
      </c>
      <c r="S250" s="149">
        <v>4.0</v>
      </c>
      <c r="T250" s="149" t="s">
        <v>22634</v>
      </c>
      <c r="U250" s="151">
        <v>4446.0</v>
      </c>
      <c r="V250" s="149" t="s">
        <v>24043</v>
      </c>
      <c r="W250" s="149" t="s">
        <v>24044</v>
      </c>
      <c r="X250" s="151">
        <v>255.0</v>
      </c>
      <c r="Y250" s="152"/>
      <c r="Z250" s="152"/>
    </row>
    <row r="251">
      <c r="A251" s="149" t="s">
        <v>24035</v>
      </c>
      <c r="B251" s="149" t="s">
        <v>6876</v>
      </c>
      <c r="C251" s="149" t="s">
        <v>6877</v>
      </c>
      <c r="D251" s="149" t="s">
        <v>8493</v>
      </c>
      <c r="E251" s="149" t="s">
        <v>24050</v>
      </c>
      <c r="F251" s="149">
        <v>57.0</v>
      </c>
      <c r="G251" s="149">
        <v>1.0</v>
      </c>
      <c r="H251" s="149">
        <v>99.0</v>
      </c>
      <c r="I251" s="149" t="s">
        <v>1143</v>
      </c>
      <c r="J251" s="149" t="s">
        <v>1143</v>
      </c>
      <c r="K251" s="149" t="s">
        <v>24036</v>
      </c>
      <c r="L251" s="149" t="s">
        <v>24037</v>
      </c>
      <c r="M251" s="149" t="s">
        <v>24038</v>
      </c>
      <c r="N251" s="149" t="s">
        <v>24039</v>
      </c>
      <c r="O251" s="149">
        <v>0.0</v>
      </c>
      <c r="P251" s="150"/>
      <c r="Q251" s="150"/>
      <c r="R251" s="149" t="s">
        <v>24051</v>
      </c>
      <c r="S251" s="149">
        <v>4.0</v>
      </c>
      <c r="T251" s="149" t="s">
        <v>22634</v>
      </c>
      <c r="U251" s="151">
        <v>4447.0</v>
      </c>
      <c r="V251" s="149" t="s">
        <v>24052</v>
      </c>
      <c r="W251" s="149" t="s">
        <v>24054</v>
      </c>
      <c r="X251" s="151">
        <v>256.0</v>
      </c>
      <c r="Y251" s="152"/>
      <c r="Z251" s="152"/>
    </row>
    <row r="252">
      <c r="A252" s="50" t="s">
        <v>24056</v>
      </c>
      <c r="B252" s="50" t="s">
        <v>6876</v>
      </c>
      <c r="C252" s="50" t="s">
        <v>6877</v>
      </c>
      <c r="D252" s="50" t="s">
        <v>8493</v>
      </c>
      <c r="E252" s="50" t="s">
        <v>24058</v>
      </c>
      <c r="F252" s="50">
        <v>59.0</v>
      </c>
      <c r="G252" s="50">
        <v>1.0</v>
      </c>
      <c r="H252" s="50">
        <v>11.0</v>
      </c>
      <c r="I252" s="50" t="s">
        <v>1335</v>
      </c>
      <c r="J252" s="50" t="s">
        <v>1335</v>
      </c>
      <c r="K252" s="50" t="s">
        <v>24060</v>
      </c>
      <c r="L252" s="50" t="s">
        <v>24061</v>
      </c>
      <c r="M252" s="50" t="s">
        <v>24062</v>
      </c>
      <c r="N252" s="50" t="s">
        <v>24063</v>
      </c>
      <c r="O252" s="50">
        <v>0.0</v>
      </c>
      <c r="P252" s="116"/>
      <c r="Q252" s="116"/>
      <c r="R252" s="50" t="s">
        <v>24064</v>
      </c>
      <c r="S252" s="50">
        <v>4.0</v>
      </c>
      <c r="T252" s="50" t="s">
        <v>22634</v>
      </c>
      <c r="U252" s="117">
        <v>4455.0</v>
      </c>
      <c r="V252" s="50" t="s">
        <v>24065</v>
      </c>
      <c r="W252" s="50" t="s">
        <v>24066</v>
      </c>
      <c r="X252" s="117">
        <v>257.0</v>
      </c>
    </row>
    <row r="253">
      <c r="A253" s="50" t="s">
        <v>24058</v>
      </c>
      <c r="B253" s="50" t="s">
        <v>6876</v>
      </c>
      <c r="C253" s="50" t="s">
        <v>6877</v>
      </c>
      <c r="D253" s="50" t="s">
        <v>8493</v>
      </c>
      <c r="E253" s="50" t="s">
        <v>24069</v>
      </c>
      <c r="F253" s="50">
        <v>53.0</v>
      </c>
      <c r="G253" s="50">
        <v>1.0</v>
      </c>
      <c r="H253" s="50">
        <v>99.0</v>
      </c>
      <c r="I253" s="50" t="s">
        <v>1339</v>
      </c>
      <c r="J253" s="50" t="s">
        <v>1339</v>
      </c>
      <c r="K253" s="50" t="s">
        <v>10125</v>
      </c>
      <c r="L253" s="50" t="s">
        <v>24073</v>
      </c>
      <c r="M253" s="50" t="s">
        <v>24074</v>
      </c>
      <c r="N253" s="50" t="s">
        <v>24062</v>
      </c>
      <c r="O253" s="50">
        <v>0.0</v>
      </c>
      <c r="P253" s="116"/>
      <c r="Q253" s="116"/>
      <c r="R253" s="50" t="s">
        <v>24078</v>
      </c>
      <c r="S253" s="50">
        <v>4.0</v>
      </c>
      <c r="T253" s="50" t="s">
        <v>22634</v>
      </c>
      <c r="U253" s="117">
        <v>4456.0</v>
      </c>
      <c r="V253" s="50" t="s">
        <v>24079</v>
      </c>
      <c r="W253" s="50" t="s">
        <v>24080</v>
      </c>
      <c r="X253" s="117">
        <v>258.0</v>
      </c>
    </row>
    <row r="254">
      <c r="A254" s="50" t="s">
        <v>24069</v>
      </c>
      <c r="B254" s="50" t="s">
        <v>6876</v>
      </c>
      <c r="C254" s="50" t="s">
        <v>6877</v>
      </c>
      <c r="D254" s="50" t="s">
        <v>8493</v>
      </c>
      <c r="E254" s="50" t="s">
        <v>24081</v>
      </c>
      <c r="F254" s="50">
        <v>59.0</v>
      </c>
      <c r="G254" s="50">
        <v>1.0</v>
      </c>
      <c r="H254" s="50">
        <v>11.0</v>
      </c>
      <c r="I254" s="50" t="s">
        <v>1341</v>
      </c>
      <c r="J254" s="50" t="s">
        <v>1341</v>
      </c>
      <c r="K254" s="50" t="s">
        <v>24060</v>
      </c>
      <c r="L254" s="50" t="s">
        <v>24061</v>
      </c>
      <c r="M254" s="50" t="s">
        <v>24062</v>
      </c>
      <c r="N254" s="50" t="s">
        <v>24063</v>
      </c>
      <c r="O254" s="50">
        <v>0.0</v>
      </c>
      <c r="P254" s="116"/>
      <c r="Q254" s="116"/>
      <c r="R254" s="50" t="s">
        <v>24082</v>
      </c>
      <c r="S254" s="50">
        <v>4.0</v>
      </c>
      <c r="T254" s="50" t="s">
        <v>22634</v>
      </c>
      <c r="U254" s="117">
        <v>4457.0</v>
      </c>
      <c r="V254" s="50" t="s">
        <v>24085</v>
      </c>
      <c r="W254" s="50" t="s">
        <v>24086</v>
      </c>
      <c r="X254" s="117">
        <v>259.0</v>
      </c>
    </row>
    <row r="255">
      <c r="A255" s="50" t="s">
        <v>24081</v>
      </c>
      <c r="B255" s="50" t="s">
        <v>6876</v>
      </c>
      <c r="C255" s="50" t="s">
        <v>6877</v>
      </c>
      <c r="D255" s="50" t="s">
        <v>8493</v>
      </c>
      <c r="E255" s="50" t="s">
        <v>24088</v>
      </c>
      <c r="F255" s="50">
        <v>59.0</v>
      </c>
      <c r="G255" s="50">
        <v>1.0</v>
      </c>
      <c r="H255" s="50">
        <v>99.0</v>
      </c>
      <c r="I255" s="50" t="s">
        <v>1345</v>
      </c>
      <c r="J255" s="50" t="s">
        <v>1345</v>
      </c>
      <c r="K255" s="50" t="s">
        <v>10125</v>
      </c>
      <c r="L255" s="50" t="s">
        <v>24073</v>
      </c>
      <c r="M255" s="50" t="s">
        <v>24074</v>
      </c>
      <c r="N255" s="50" t="s">
        <v>24062</v>
      </c>
      <c r="O255" s="50">
        <v>0.0</v>
      </c>
      <c r="P255" s="116"/>
      <c r="Q255" s="116"/>
      <c r="R255" s="50" t="s">
        <v>24089</v>
      </c>
      <c r="S255" s="50">
        <v>4.0</v>
      </c>
      <c r="T255" s="50" t="s">
        <v>22634</v>
      </c>
      <c r="U255" s="117">
        <v>4458.0</v>
      </c>
      <c r="V255" s="50" t="s">
        <v>24093</v>
      </c>
      <c r="W255" s="50" t="s">
        <v>24094</v>
      </c>
      <c r="X255" s="117">
        <v>260.0</v>
      </c>
    </row>
    <row r="256">
      <c r="A256" s="50" t="s">
        <v>24088</v>
      </c>
      <c r="B256" s="50" t="s">
        <v>6876</v>
      </c>
      <c r="C256" s="50" t="s">
        <v>6877</v>
      </c>
      <c r="D256" s="50" t="s">
        <v>8493</v>
      </c>
      <c r="E256" s="50" t="s">
        <v>24097</v>
      </c>
      <c r="F256" s="50">
        <v>59.0</v>
      </c>
      <c r="G256" s="50">
        <v>1.0</v>
      </c>
      <c r="H256" s="50">
        <v>11.0</v>
      </c>
      <c r="I256" s="50" t="s">
        <v>1346</v>
      </c>
      <c r="J256" s="50" t="s">
        <v>1346</v>
      </c>
      <c r="K256" s="50" t="s">
        <v>24060</v>
      </c>
      <c r="L256" s="50" t="s">
        <v>24061</v>
      </c>
      <c r="M256" s="50" t="s">
        <v>24062</v>
      </c>
      <c r="N256" s="50" t="s">
        <v>24099</v>
      </c>
      <c r="O256" s="50">
        <v>0.0</v>
      </c>
      <c r="P256" s="116"/>
      <c r="Q256" s="116"/>
      <c r="R256" s="50" t="s">
        <v>24101</v>
      </c>
      <c r="S256" s="50">
        <v>4.0</v>
      </c>
      <c r="T256" s="50" t="s">
        <v>22634</v>
      </c>
      <c r="U256" s="117">
        <v>4459.0</v>
      </c>
      <c r="V256" s="50" t="s">
        <v>24102</v>
      </c>
      <c r="W256" s="50" t="s">
        <v>24103</v>
      </c>
      <c r="X256" s="117">
        <v>261.0</v>
      </c>
    </row>
    <row r="257">
      <c r="A257" s="50" t="s">
        <v>24104</v>
      </c>
      <c r="B257" s="50" t="s">
        <v>6876</v>
      </c>
      <c r="C257" s="50" t="s">
        <v>6877</v>
      </c>
      <c r="D257" s="50" t="s">
        <v>8493</v>
      </c>
      <c r="E257" s="50" t="s">
        <v>24105</v>
      </c>
      <c r="F257" s="50">
        <v>33.0</v>
      </c>
      <c r="G257" s="50">
        <v>1.0</v>
      </c>
      <c r="H257" s="50">
        <v>98.0</v>
      </c>
      <c r="I257" s="50" t="s">
        <v>1352</v>
      </c>
      <c r="J257" s="50" t="s">
        <v>1352</v>
      </c>
      <c r="K257" s="50" t="s">
        <v>24106</v>
      </c>
      <c r="L257" s="50" t="s">
        <v>10125</v>
      </c>
      <c r="M257" s="50" t="s">
        <v>10126</v>
      </c>
      <c r="N257" s="50" t="s">
        <v>24074</v>
      </c>
      <c r="O257" s="50">
        <v>0.0</v>
      </c>
      <c r="P257" s="116"/>
      <c r="Q257" s="116"/>
      <c r="R257" s="50" t="s">
        <v>23265</v>
      </c>
      <c r="S257" s="50">
        <v>4.0</v>
      </c>
      <c r="T257" s="50" t="s">
        <v>22634</v>
      </c>
      <c r="U257" s="117">
        <v>4460.0</v>
      </c>
      <c r="V257" s="50" t="s">
        <v>24109</v>
      </c>
      <c r="W257" s="50" t="s">
        <v>24111</v>
      </c>
      <c r="X257" s="117">
        <v>262.0</v>
      </c>
    </row>
    <row r="258">
      <c r="A258" s="50" t="s">
        <v>24105</v>
      </c>
      <c r="B258" s="50" t="s">
        <v>6876</v>
      </c>
      <c r="C258" s="50" t="s">
        <v>6877</v>
      </c>
      <c r="D258" s="50" t="s">
        <v>8493</v>
      </c>
      <c r="E258" s="50" t="s">
        <v>24113</v>
      </c>
      <c r="F258" s="50">
        <v>59.0</v>
      </c>
      <c r="G258" s="50">
        <v>1.0</v>
      </c>
      <c r="H258" s="50">
        <v>99.0</v>
      </c>
      <c r="I258" s="50" t="s">
        <v>1351</v>
      </c>
      <c r="J258" s="50" t="s">
        <v>1351</v>
      </c>
      <c r="K258" s="50" t="s">
        <v>10125</v>
      </c>
      <c r="L258" s="50" t="s">
        <v>24073</v>
      </c>
      <c r="M258" s="50" t="s">
        <v>24074</v>
      </c>
      <c r="N258" s="50" t="s">
        <v>24062</v>
      </c>
      <c r="O258" s="50">
        <v>0.0</v>
      </c>
      <c r="P258" s="116"/>
      <c r="Q258" s="116"/>
      <c r="R258" s="50" t="s">
        <v>23256</v>
      </c>
      <c r="S258" s="50">
        <v>4.0</v>
      </c>
      <c r="T258" s="50" t="s">
        <v>22634</v>
      </c>
      <c r="U258" s="117">
        <v>4461.0</v>
      </c>
      <c r="V258" s="50" t="s">
        <v>24118</v>
      </c>
      <c r="W258" s="50" t="s">
        <v>24119</v>
      </c>
      <c r="X258" s="117">
        <v>263.0</v>
      </c>
    </row>
    <row r="259">
      <c r="A259" s="50" t="s">
        <v>24122</v>
      </c>
      <c r="B259" s="50" t="s">
        <v>6876</v>
      </c>
      <c r="C259" s="50" t="s">
        <v>6877</v>
      </c>
      <c r="D259" s="50" t="s">
        <v>8493</v>
      </c>
      <c r="E259" s="50" t="s">
        <v>24125</v>
      </c>
      <c r="F259" s="50">
        <v>59.0</v>
      </c>
      <c r="G259" s="50">
        <v>1.0</v>
      </c>
      <c r="H259" s="50">
        <v>11.0</v>
      </c>
      <c r="I259" s="50" t="s">
        <v>1356</v>
      </c>
      <c r="J259" s="50" t="s">
        <v>1356</v>
      </c>
      <c r="K259" s="50" t="s">
        <v>24127</v>
      </c>
      <c r="L259" s="50" t="s">
        <v>24129</v>
      </c>
      <c r="M259" s="50" t="s">
        <v>24131</v>
      </c>
      <c r="N259" s="50" t="s">
        <v>24132</v>
      </c>
      <c r="O259" s="50">
        <v>0.0</v>
      </c>
      <c r="P259" s="116"/>
      <c r="Q259" s="116"/>
      <c r="R259" s="50" t="s">
        <v>24133</v>
      </c>
      <c r="S259" s="50">
        <v>3.0</v>
      </c>
      <c r="T259" s="50" t="s">
        <v>22634</v>
      </c>
      <c r="U259" s="117">
        <v>4475.0</v>
      </c>
      <c r="V259" s="50" t="s">
        <v>24135</v>
      </c>
      <c r="W259" s="50" t="s">
        <v>24136</v>
      </c>
      <c r="X259" s="117">
        <v>264.0</v>
      </c>
    </row>
    <row r="260">
      <c r="A260" s="50" t="s">
        <v>24125</v>
      </c>
      <c r="B260" s="50" t="s">
        <v>6876</v>
      </c>
      <c r="C260" s="50" t="s">
        <v>6877</v>
      </c>
      <c r="D260" s="50" t="s">
        <v>8493</v>
      </c>
      <c r="E260" s="50" t="s">
        <v>24140</v>
      </c>
      <c r="F260" s="50">
        <v>59.0</v>
      </c>
      <c r="G260" s="50">
        <v>1.0</v>
      </c>
      <c r="H260" s="50">
        <v>99.0</v>
      </c>
      <c r="I260" s="50" t="s">
        <v>1360</v>
      </c>
      <c r="J260" s="50" t="s">
        <v>1360</v>
      </c>
      <c r="K260" s="50" t="s">
        <v>24127</v>
      </c>
      <c r="L260" s="50" t="s">
        <v>24129</v>
      </c>
      <c r="M260" s="50" t="s">
        <v>24131</v>
      </c>
      <c r="N260" s="50" t="s">
        <v>24132</v>
      </c>
      <c r="O260" s="50">
        <v>0.0</v>
      </c>
      <c r="P260" s="116"/>
      <c r="Q260" s="116"/>
      <c r="R260" s="50" t="s">
        <v>23256</v>
      </c>
      <c r="S260" s="50">
        <v>3.0</v>
      </c>
      <c r="T260" s="50" t="s">
        <v>22634</v>
      </c>
      <c r="U260" s="117">
        <v>4476.0</v>
      </c>
      <c r="V260" s="50" t="s">
        <v>24144</v>
      </c>
      <c r="W260" s="50" t="s">
        <v>24145</v>
      </c>
      <c r="X260" s="117">
        <v>265.0</v>
      </c>
    </row>
    <row r="261">
      <c r="A261" s="50" t="s">
        <v>24140</v>
      </c>
      <c r="B261" s="50" t="s">
        <v>6876</v>
      </c>
      <c r="C261" s="50" t="s">
        <v>6877</v>
      </c>
      <c r="D261" s="50" t="s">
        <v>8493</v>
      </c>
      <c r="E261" s="50" t="s">
        <v>24146</v>
      </c>
      <c r="F261" s="50">
        <v>59.0</v>
      </c>
      <c r="G261" s="50">
        <v>1.0</v>
      </c>
      <c r="H261" s="50">
        <v>11.0</v>
      </c>
      <c r="I261" s="50" t="s">
        <v>1361</v>
      </c>
      <c r="J261" s="50" t="s">
        <v>1361</v>
      </c>
      <c r="K261" s="50" t="s">
        <v>24127</v>
      </c>
      <c r="L261" s="50" t="s">
        <v>24129</v>
      </c>
      <c r="M261" s="50" t="s">
        <v>24131</v>
      </c>
      <c r="N261" s="50" t="s">
        <v>24132</v>
      </c>
      <c r="O261" s="50">
        <v>0.0</v>
      </c>
      <c r="P261" s="116"/>
      <c r="Q261" s="116"/>
      <c r="R261" s="50" t="s">
        <v>24152</v>
      </c>
      <c r="S261" s="50">
        <v>3.0</v>
      </c>
      <c r="T261" s="50" t="s">
        <v>22634</v>
      </c>
      <c r="U261" s="117">
        <v>4477.0</v>
      </c>
      <c r="V261" s="50" t="s">
        <v>24155</v>
      </c>
      <c r="W261" s="50" t="s">
        <v>24156</v>
      </c>
      <c r="X261" s="117">
        <v>266.0</v>
      </c>
    </row>
    <row r="262">
      <c r="A262" s="50" t="s">
        <v>24146</v>
      </c>
      <c r="B262" s="50" t="s">
        <v>6876</v>
      </c>
      <c r="C262" s="50" t="s">
        <v>6877</v>
      </c>
      <c r="D262" s="50" t="s">
        <v>8493</v>
      </c>
      <c r="E262" s="50" t="s">
        <v>24157</v>
      </c>
      <c r="F262" s="50">
        <v>59.0</v>
      </c>
      <c r="G262" s="50">
        <v>1.0</v>
      </c>
      <c r="H262" s="50">
        <v>99.0</v>
      </c>
      <c r="I262" s="50" t="s">
        <v>222</v>
      </c>
      <c r="J262" s="50" t="s">
        <v>222</v>
      </c>
      <c r="K262" s="50" t="s">
        <v>24127</v>
      </c>
      <c r="L262" s="50" t="s">
        <v>24129</v>
      </c>
      <c r="M262" s="50" t="s">
        <v>24131</v>
      </c>
      <c r="N262" s="50" t="s">
        <v>24132</v>
      </c>
      <c r="O262" s="50">
        <v>0.0</v>
      </c>
      <c r="P262" s="116"/>
      <c r="Q262" s="116"/>
      <c r="R262" s="50" t="s">
        <v>23256</v>
      </c>
      <c r="S262" s="50">
        <v>3.0</v>
      </c>
      <c r="T262" s="50" t="s">
        <v>22634</v>
      </c>
      <c r="U262" s="117">
        <v>4478.0</v>
      </c>
      <c r="V262" s="50" t="s">
        <v>24162</v>
      </c>
      <c r="W262" s="50" t="s">
        <v>24163</v>
      </c>
      <c r="X262" s="117">
        <v>267.0</v>
      </c>
    </row>
    <row r="263">
      <c r="A263" s="50" t="s">
        <v>24157</v>
      </c>
      <c r="B263" s="50" t="s">
        <v>6876</v>
      </c>
      <c r="C263" s="50" t="s">
        <v>6877</v>
      </c>
      <c r="D263" s="50" t="s">
        <v>8493</v>
      </c>
      <c r="E263" s="50" t="s">
        <v>24164</v>
      </c>
      <c r="F263" s="50">
        <v>59.0</v>
      </c>
      <c r="G263" s="50">
        <v>1.0</v>
      </c>
      <c r="H263" s="50">
        <v>11.0</v>
      </c>
      <c r="I263" s="50" t="s">
        <v>1364</v>
      </c>
      <c r="J263" s="50" t="s">
        <v>1364</v>
      </c>
      <c r="K263" s="50" t="s">
        <v>24127</v>
      </c>
      <c r="L263" s="50" t="s">
        <v>24129</v>
      </c>
      <c r="M263" s="50" t="s">
        <v>24131</v>
      </c>
      <c r="N263" s="50" t="s">
        <v>24132</v>
      </c>
      <c r="O263" s="50">
        <v>0.0</v>
      </c>
      <c r="P263" s="116"/>
      <c r="Q263" s="116"/>
      <c r="R263" s="50" t="s">
        <v>24166</v>
      </c>
      <c r="S263" s="50">
        <v>3.0</v>
      </c>
      <c r="T263" s="50" t="s">
        <v>22634</v>
      </c>
      <c r="U263" s="117">
        <v>4479.0</v>
      </c>
      <c r="V263" s="50" t="s">
        <v>24169</v>
      </c>
      <c r="W263" s="50" t="s">
        <v>24170</v>
      </c>
      <c r="X263" s="117">
        <v>268.0</v>
      </c>
    </row>
    <row r="264">
      <c r="A264" s="50" t="s">
        <v>24164</v>
      </c>
      <c r="B264" s="50" t="s">
        <v>6876</v>
      </c>
      <c r="C264" s="50" t="s">
        <v>6877</v>
      </c>
      <c r="D264" s="50" t="s">
        <v>8493</v>
      </c>
      <c r="E264" s="50" t="s">
        <v>24172</v>
      </c>
      <c r="F264" s="50">
        <v>59.0</v>
      </c>
      <c r="G264" s="50">
        <v>1.0</v>
      </c>
      <c r="H264" s="50">
        <v>99.0</v>
      </c>
      <c r="I264" s="50" t="s">
        <v>221</v>
      </c>
      <c r="J264" s="50" t="s">
        <v>221</v>
      </c>
      <c r="K264" s="50" t="s">
        <v>24127</v>
      </c>
      <c r="L264" s="50" t="s">
        <v>24129</v>
      </c>
      <c r="M264" s="50" t="s">
        <v>24131</v>
      </c>
      <c r="N264" s="50" t="s">
        <v>24132</v>
      </c>
      <c r="O264" s="50">
        <v>0.0</v>
      </c>
      <c r="P264" s="116"/>
      <c r="Q264" s="116"/>
      <c r="R264" s="50" t="s">
        <v>23256</v>
      </c>
      <c r="S264" s="50">
        <v>3.0</v>
      </c>
      <c r="T264" s="50" t="s">
        <v>22634</v>
      </c>
      <c r="U264" s="117">
        <v>4480.0</v>
      </c>
      <c r="V264" s="50" t="s">
        <v>24173</v>
      </c>
      <c r="W264" s="50" t="s">
        <v>24174</v>
      </c>
      <c r="X264" s="117">
        <v>269.0</v>
      </c>
    </row>
    <row r="265">
      <c r="A265" s="50" t="s">
        <v>24172</v>
      </c>
      <c r="B265" s="50" t="s">
        <v>6876</v>
      </c>
      <c r="C265" s="50" t="s">
        <v>6877</v>
      </c>
      <c r="D265" s="50" t="s">
        <v>8493</v>
      </c>
      <c r="E265" s="50" t="s">
        <v>24177</v>
      </c>
      <c r="F265" s="50">
        <v>33.0</v>
      </c>
      <c r="G265" s="50">
        <v>1.0</v>
      </c>
      <c r="H265" s="50">
        <v>98.0</v>
      </c>
      <c r="I265" s="50" t="s">
        <v>1367</v>
      </c>
      <c r="J265" s="50" t="s">
        <v>1367</v>
      </c>
      <c r="K265" s="50" t="s">
        <v>24127</v>
      </c>
      <c r="L265" s="50" t="s">
        <v>24129</v>
      </c>
      <c r="M265" s="50" t="s">
        <v>24131</v>
      </c>
      <c r="N265" s="50" t="s">
        <v>24132</v>
      </c>
      <c r="O265" s="50">
        <v>0.0</v>
      </c>
      <c r="P265" s="116"/>
      <c r="Q265" s="116"/>
      <c r="R265" s="50" t="s">
        <v>23256</v>
      </c>
      <c r="S265" s="50">
        <v>3.0</v>
      </c>
      <c r="T265" s="50" t="s">
        <v>22634</v>
      </c>
      <c r="U265" s="117">
        <v>4481.0</v>
      </c>
      <c r="V265" s="50" t="s">
        <v>24179</v>
      </c>
      <c r="W265" s="50" t="s">
        <v>24181</v>
      </c>
      <c r="X265" s="117">
        <v>270.0</v>
      </c>
    </row>
    <row r="266">
      <c r="A266" s="50" t="s">
        <v>24183</v>
      </c>
      <c r="B266" s="50" t="s">
        <v>6876</v>
      </c>
      <c r="C266" s="50" t="s">
        <v>6877</v>
      </c>
      <c r="D266" s="50" t="s">
        <v>8493</v>
      </c>
      <c r="E266" s="50" t="s">
        <v>24185</v>
      </c>
      <c r="F266" s="50">
        <v>59.0</v>
      </c>
      <c r="G266" s="50">
        <v>1.0</v>
      </c>
      <c r="H266" s="50">
        <v>11.0</v>
      </c>
      <c r="I266" s="50" t="s">
        <v>1371</v>
      </c>
      <c r="J266" s="50" t="s">
        <v>1371</v>
      </c>
      <c r="K266" s="50" t="s">
        <v>24186</v>
      </c>
      <c r="L266" s="50" t="s">
        <v>24187</v>
      </c>
      <c r="M266" s="50" t="s">
        <v>24188</v>
      </c>
      <c r="N266" s="50" t="s">
        <v>24189</v>
      </c>
      <c r="O266" s="50">
        <v>0.0</v>
      </c>
      <c r="P266" s="116"/>
      <c r="Q266" s="116"/>
      <c r="R266" s="50" t="s">
        <v>24190</v>
      </c>
      <c r="S266" s="50">
        <v>4.0</v>
      </c>
      <c r="T266" s="50" t="s">
        <v>22634</v>
      </c>
      <c r="U266" s="117">
        <v>4518.0</v>
      </c>
      <c r="V266" s="50" t="s">
        <v>24196</v>
      </c>
      <c r="W266" s="50" t="s">
        <v>24197</v>
      </c>
      <c r="X266" s="117">
        <v>271.0</v>
      </c>
    </row>
    <row r="267">
      <c r="A267" s="50" t="s">
        <v>24185</v>
      </c>
      <c r="B267" s="50" t="s">
        <v>6876</v>
      </c>
      <c r="C267" s="50" t="s">
        <v>6877</v>
      </c>
      <c r="D267" s="50" t="s">
        <v>8493</v>
      </c>
      <c r="E267" s="50" t="s">
        <v>24200</v>
      </c>
      <c r="F267" s="50">
        <v>59.0</v>
      </c>
      <c r="G267" s="50">
        <v>1.0</v>
      </c>
      <c r="H267" s="50">
        <v>99.0</v>
      </c>
      <c r="I267" s="50" t="s">
        <v>1375</v>
      </c>
      <c r="J267" s="50" t="s">
        <v>1375</v>
      </c>
      <c r="K267" s="50" t="s">
        <v>10300</v>
      </c>
      <c r="L267" s="50" t="s">
        <v>10322</v>
      </c>
      <c r="M267" s="50" t="s">
        <v>10323</v>
      </c>
      <c r="N267" s="50" t="s">
        <v>24204</v>
      </c>
      <c r="O267" s="50">
        <v>0.0</v>
      </c>
      <c r="P267" s="116"/>
      <c r="Q267" s="116"/>
      <c r="R267" s="50" t="s">
        <v>24206</v>
      </c>
      <c r="S267" s="50">
        <v>4.0</v>
      </c>
      <c r="T267" s="50" t="s">
        <v>22634</v>
      </c>
      <c r="U267" s="117">
        <v>4519.0</v>
      </c>
      <c r="V267" s="50" t="s">
        <v>24208</v>
      </c>
      <c r="W267" s="50" t="s">
        <v>24209</v>
      </c>
      <c r="X267" s="117">
        <v>272.0</v>
      </c>
    </row>
    <row r="268">
      <c r="A268" s="50" t="s">
        <v>24200</v>
      </c>
      <c r="B268" s="50" t="s">
        <v>6876</v>
      </c>
      <c r="C268" s="50" t="s">
        <v>6877</v>
      </c>
      <c r="D268" s="50" t="s">
        <v>8493</v>
      </c>
      <c r="E268" s="50" t="s">
        <v>24210</v>
      </c>
      <c r="F268" s="50">
        <v>59.0</v>
      </c>
      <c r="G268" s="50">
        <v>1.0</v>
      </c>
      <c r="H268" s="50">
        <v>11.0</v>
      </c>
      <c r="I268" s="50" t="s">
        <v>1377</v>
      </c>
      <c r="J268" s="50" t="s">
        <v>1377</v>
      </c>
      <c r="K268" s="50" t="s">
        <v>24186</v>
      </c>
      <c r="L268" s="50" t="s">
        <v>24187</v>
      </c>
      <c r="M268" s="50" t="s">
        <v>24188</v>
      </c>
      <c r="N268" s="50" t="s">
        <v>24211</v>
      </c>
      <c r="O268" s="50">
        <v>0.0</v>
      </c>
      <c r="P268" s="116"/>
      <c r="Q268" s="116"/>
      <c r="R268" s="50" t="s">
        <v>24212</v>
      </c>
      <c r="S268" s="50">
        <v>6.0</v>
      </c>
      <c r="T268" s="50" t="s">
        <v>22634</v>
      </c>
      <c r="U268" s="117">
        <v>4520.0</v>
      </c>
      <c r="V268" s="50" t="s">
        <v>24215</v>
      </c>
      <c r="W268" s="50" t="s">
        <v>24216</v>
      </c>
      <c r="X268" s="117">
        <v>273.0</v>
      </c>
    </row>
    <row r="269">
      <c r="A269" s="50" t="s">
        <v>24210</v>
      </c>
      <c r="B269" s="50" t="s">
        <v>6876</v>
      </c>
      <c r="C269" s="50" t="s">
        <v>6877</v>
      </c>
      <c r="D269" s="50" t="s">
        <v>8493</v>
      </c>
      <c r="E269" s="50" t="s">
        <v>24218</v>
      </c>
      <c r="F269" s="50">
        <v>59.0</v>
      </c>
      <c r="G269" s="50">
        <v>1.0</v>
      </c>
      <c r="H269" s="50">
        <v>99.0</v>
      </c>
      <c r="I269" s="50" t="s">
        <v>1381</v>
      </c>
      <c r="J269" s="50" t="s">
        <v>1381</v>
      </c>
      <c r="K269" s="50" t="s">
        <v>24219</v>
      </c>
      <c r="L269" s="50" t="s">
        <v>24220</v>
      </c>
      <c r="M269" s="50" t="s">
        <v>24221</v>
      </c>
      <c r="N269" s="50" t="s">
        <v>24223</v>
      </c>
      <c r="O269" s="50">
        <v>0.0</v>
      </c>
      <c r="P269" s="116"/>
      <c r="Q269" s="116"/>
      <c r="R269" s="50" t="s">
        <v>24206</v>
      </c>
      <c r="S269" s="50">
        <v>6.0</v>
      </c>
      <c r="T269" s="50" t="s">
        <v>22634</v>
      </c>
      <c r="U269" s="117">
        <v>4521.0</v>
      </c>
      <c r="V269" s="50" t="s">
        <v>24227</v>
      </c>
      <c r="W269" s="50" t="s">
        <v>24228</v>
      </c>
      <c r="X269" s="117">
        <v>274.0</v>
      </c>
    </row>
    <row r="270">
      <c r="A270" s="50" t="s">
        <v>24218</v>
      </c>
      <c r="B270" s="50" t="s">
        <v>6876</v>
      </c>
      <c r="C270" s="50" t="s">
        <v>6877</v>
      </c>
      <c r="D270" s="50" t="s">
        <v>8493</v>
      </c>
      <c r="E270" s="50" t="s">
        <v>24229</v>
      </c>
      <c r="F270" s="50">
        <v>33.0</v>
      </c>
      <c r="G270" s="50">
        <v>1.0</v>
      </c>
      <c r="H270" s="50">
        <v>98.0</v>
      </c>
      <c r="I270" s="50" t="s">
        <v>1382</v>
      </c>
      <c r="J270" s="50" t="s">
        <v>1382</v>
      </c>
      <c r="K270" s="50" t="s">
        <v>24232</v>
      </c>
      <c r="L270" s="50" t="s">
        <v>24234</v>
      </c>
      <c r="M270" s="50" t="s">
        <v>24235</v>
      </c>
      <c r="N270" s="50" t="s">
        <v>24236</v>
      </c>
      <c r="O270" s="50">
        <v>0.0</v>
      </c>
      <c r="P270" s="116"/>
      <c r="Q270" s="116"/>
      <c r="R270" s="50" t="s">
        <v>24206</v>
      </c>
      <c r="S270" s="50">
        <v>4.0</v>
      </c>
      <c r="T270" s="50" t="s">
        <v>22634</v>
      </c>
      <c r="U270" s="117">
        <v>4522.0</v>
      </c>
      <c r="V270" s="50" t="s">
        <v>24241</v>
      </c>
      <c r="W270" s="50" t="s">
        <v>24243</v>
      </c>
      <c r="X270" s="117">
        <v>275.0</v>
      </c>
    </row>
    <row r="271">
      <c r="A271" s="50" t="s">
        <v>24244</v>
      </c>
      <c r="B271" s="50" t="s">
        <v>6876</v>
      </c>
      <c r="C271" s="50" t="s">
        <v>6877</v>
      </c>
      <c r="D271" s="50" t="s">
        <v>8493</v>
      </c>
      <c r="E271" s="50" t="s">
        <v>24245</v>
      </c>
      <c r="F271" s="50">
        <v>57.0</v>
      </c>
      <c r="G271" s="50">
        <v>1.0</v>
      </c>
      <c r="H271" s="50">
        <v>12.0</v>
      </c>
      <c r="I271" s="50" t="s">
        <v>1386</v>
      </c>
      <c r="J271" s="50" t="s">
        <v>1386</v>
      </c>
      <c r="K271" s="50" t="s">
        <v>24248</v>
      </c>
      <c r="L271" s="50" t="s">
        <v>24249</v>
      </c>
      <c r="M271" s="50" t="s">
        <v>24251</v>
      </c>
      <c r="N271" s="50" t="s">
        <v>24252</v>
      </c>
      <c r="O271" s="50">
        <v>0.0</v>
      </c>
      <c r="P271" s="116"/>
      <c r="Q271" s="116"/>
      <c r="R271" s="50" t="s">
        <v>24253</v>
      </c>
      <c r="S271" s="50">
        <v>4.0</v>
      </c>
      <c r="T271" s="50" t="s">
        <v>22634</v>
      </c>
      <c r="U271" s="117">
        <v>4526.0</v>
      </c>
      <c r="V271" s="50" t="s">
        <v>24254</v>
      </c>
      <c r="W271" s="50" t="s">
        <v>24255</v>
      </c>
      <c r="X271" s="117">
        <v>276.0</v>
      </c>
    </row>
    <row r="272">
      <c r="A272" s="50" t="s">
        <v>24245</v>
      </c>
      <c r="B272" s="50" t="s">
        <v>6876</v>
      </c>
      <c r="C272" s="50" t="s">
        <v>6877</v>
      </c>
      <c r="D272" s="50" t="s">
        <v>8493</v>
      </c>
      <c r="E272" s="50" t="s">
        <v>24258</v>
      </c>
      <c r="F272" s="50">
        <v>57.0</v>
      </c>
      <c r="G272" s="50">
        <v>1.0</v>
      </c>
      <c r="H272" s="50">
        <v>99.0</v>
      </c>
      <c r="I272" s="50" t="s">
        <v>1389</v>
      </c>
      <c r="J272" s="50" t="s">
        <v>1389</v>
      </c>
      <c r="K272" s="50" t="s">
        <v>14032</v>
      </c>
      <c r="L272" s="50" t="s">
        <v>24260</v>
      </c>
      <c r="M272" s="50" t="s">
        <v>24261</v>
      </c>
      <c r="N272" s="50" t="s">
        <v>24262</v>
      </c>
      <c r="O272" s="50">
        <v>0.0</v>
      </c>
      <c r="P272" s="116"/>
      <c r="Q272" s="116"/>
      <c r="R272" s="50" t="s">
        <v>24206</v>
      </c>
      <c r="S272" s="50">
        <v>4.0</v>
      </c>
      <c r="T272" s="50" t="s">
        <v>22634</v>
      </c>
      <c r="U272" s="117">
        <v>4527.0</v>
      </c>
      <c r="V272" s="50" t="s">
        <v>24265</v>
      </c>
      <c r="W272" s="50" t="s">
        <v>24266</v>
      </c>
      <c r="X272" s="117">
        <v>277.0</v>
      </c>
    </row>
    <row r="273">
      <c r="A273" s="50" t="s">
        <v>24258</v>
      </c>
      <c r="B273" s="50" t="s">
        <v>6876</v>
      </c>
      <c r="C273" s="50" t="s">
        <v>6877</v>
      </c>
      <c r="D273" s="50" t="s">
        <v>8493</v>
      </c>
      <c r="E273" s="50" t="s">
        <v>24269</v>
      </c>
      <c r="F273" s="50">
        <v>55.0</v>
      </c>
      <c r="G273" s="50">
        <v>1.0</v>
      </c>
      <c r="H273" s="50">
        <v>12.0</v>
      </c>
      <c r="I273" s="50" t="s">
        <v>1390</v>
      </c>
      <c r="J273" s="50" t="s">
        <v>1390</v>
      </c>
      <c r="K273" s="50" t="s">
        <v>24248</v>
      </c>
      <c r="L273" s="50" t="s">
        <v>24249</v>
      </c>
      <c r="M273" s="50" t="s">
        <v>24251</v>
      </c>
      <c r="N273" s="50" t="s">
        <v>24252</v>
      </c>
      <c r="O273" s="50">
        <v>0.0</v>
      </c>
      <c r="P273" s="116"/>
      <c r="Q273" s="116"/>
      <c r="R273" s="116"/>
      <c r="S273" s="50">
        <v>6.0</v>
      </c>
      <c r="T273" s="50" t="s">
        <v>22634</v>
      </c>
      <c r="U273" s="117">
        <v>4528.0</v>
      </c>
      <c r="V273" s="50" t="s">
        <v>24276</v>
      </c>
      <c r="W273" s="50" t="s">
        <v>24277</v>
      </c>
      <c r="X273" s="117">
        <v>278.0</v>
      </c>
    </row>
    <row r="274">
      <c r="A274" s="50" t="s">
        <v>24269</v>
      </c>
      <c r="B274" s="50" t="s">
        <v>6876</v>
      </c>
      <c r="C274" s="50" t="s">
        <v>6877</v>
      </c>
      <c r="D274" s="50" t="s">
        <v>8493</v>
      </c>
      <c r="E274" s="50" t="s">
        <v>24279</v>
      </c>
      <c r="F274" s="50">
        <v>55.0</v>
      </c>
      <c r="G274" s="50">
        <v>1.0</v>
      </c>
      <c r="H274" s="50">
        <v>99.0</v>
      </c>
      <c r="I274" s="50" t="s">
        <v>1393</v>
      </c>
      <c r="J274" s="50" t="s">
        <v>1393</v>
      </c>
      <c r="K274" s="50" t="s">
        <v>24280</v>
      </c>
      <c r="L274" s="50" t="s">
        <v>24281</v>
      </c>
      <c r="M274" s="50" t="s">
        <v>24284</v>
      </c>
      <c r="N274" s="50" t="s">
        <v>24262</v>
      </c>
      <c r="O274" s="50">
        <v>0.0</v>
      </c>
      <c r="P274" s="116"/>
      <c r="Q274" s="116"/>
      <c r="R274" s="50" t="s">
        <v>24206</v>
      </c>
      <c r="S274" s="50">
        <v>6.0</v>
      </c>
      <c r="T274" s="50" t="s">
        <v>22634</v>
      </c>
      <c r="U274" s="117">
        <v>4529.0</v>
      </c>
      <c r="V274" s="50" t="s">
        <v>24286</v>
      </c>
      <c r="W274" s="50" t="s">
        <v>24287</v>
      </c>
      <c r="X274" s="117">
        <v>279.0</v>
      </c>
    </row>
    <row r="275">
      <c r="A275" s="50" t="s">
        <v>24279</v>
      </c>
      <c r="B275" s="50" t="s">
        <v>6876</v>
      </c>
      <c r="C275" s="50" t="s">
        <v>6877</v>
      </c>
      <c r="D275" s="50" t="s">
        <v>8493</v>
      </c>
      <c r="E275" s="50" t="s">
        <v>24289</v>
      </c>
      <c r="F275" s="50">
        <v>33.0</v>
      </c>
      <c r="G275" s="50">
        <v>1.0</v>
      </c>
      <c r="H275" s="50">
        <v>98.0</v>
      </c>
      <c r="I275" s="50" t="s">
        <v>1394</v>
      </c>
      <c r="J275" s="50" t="s">
        <v>1394</v>
      </c>
      <c r="K275" s="50" t="s">
        <v>24292</v>
      </c>
      <c r="L275" s="50" t="s">
        <v>24294</v>
      </c>
      <c r="M275" s="50" t="s">
        <v>24295</v>
      </c>
      <c r="N275" s="50" t="s">
        <v>24296</v>
      </c>
      <c r="O275" s="50">
        <v>0.0</v>
      </c>
      <c r="P275" s="116"/>
      <c r="Q275" s="116"/>
      <c r="R275" s="50" t="s">
        <v>24206</v>
      </c>
      <c r="S275" s="50">
        <v>4.0</v>
      </c>
      <c r="T275" s="50" t="s">
        <v>22634</v>
      </c>
      <c r="U275" s="117">
        <v>4530.0</v>
      </c>
      <c r="V275" s="50" t="s">
        <v>24297</v>
      </c>
      <c r="W275" s="50" t="s">
        <v>24298</v>
      </c>
      <c r="X275" s="117">
        <v>280.0</v>
      </c>
    </row>
    <row r="276">
      <c r="A276" s="50" t="s">
        <v>24299</v>
      </c>
      <c r="B276" s="50" t="s">
        <v>6876</v>
      </c>
      <c r="C276" s="50" t="s">
        <v>6877</v>
      </c>
      <c r="D276" s="50" t="s">
        <v>8493</v>
      </c>
      <c r="E276" s="50" t="s">
        <v>24305</v>
      </c>
      <c r="F276" s="50">
        <v>59.0</v>
      </c>
      <c r="G276" s="50">
        <v>1.0</v>
      </c>
      <c r="H276" s="50">
        <v>11.0</v>
      </c>
      <c r="I276" s="50" t="s">
        <v>1406</v>
      </c>
      <c r="J276" s="50" t="s">
        <v>1406</v>
      </c>
      <c r="K276" s="50" t="s">
        <v>24308</v>
      </c>
      <c r="L276" s="50" t="s">
        <v>24309</v>
      </c>
      <c r="M276" s="50" t="s">
        <v>24310</v>
      </c>
      <c r="N276" s="50" t="s">
        <v>24311</v>
      </c>
      <c r="O276" s="50">
        <v>0.0</v>
      </c>
      <c r="P276" s="116"/>
      <c r="Q276" s="116"/>
      <c r="R276" s="50" t="s">
        <v>24315</v>
      </c>
      <c r="S276" s="50">
        <v>4.0</v>
      </c>
      <c r="T276" s="50" t="s">
        <v>22634</v>
      </c>
      <c r="U276" s="117">
        <v>4561.0</v>
      </c>
      <c r="V276" s="50" t="s">
        <v>24318</v>
      </c>
      <c r="W276" s="50" t="s">
        <v>24320</v>
      </c>
      <c r="X276" s="117">
        <v>281.0</v>
      </c>
    </row>
    <row r="277">
      <c r="A277" s="50" t="s">
        <v>24305</v>
      </c>
      <c r="B277" s="50" t="s">
        <v>6876</v>
      </c>
      <c r="C277" s="50" t="s">
        <v>6877</v>
      </c>
      <c r="D277" s="50" t="s">
        <v>8493</v>
      </c>
      <c r="E277" s="50" t="s">
        <v>24322</v>
      </c>
      <c r="F277" s="50">
        <v>59.0</v>
      </c>
      <c r="G277" s="50">
        <v>1.0</v>
      </c>
      <c r="H277" s="50">
        <v>99.0</v>
      </c>
      <c r="I277" s="50" t="s">
        <v>1410</v>
      </c>
      <c r="J277" s="50" t="s">
        <v>1410</v>
      </c>
      <c r="K277" s="50" t="s">
        <v>10403</v>
      </c>
      <c r="L277" s="50" t="s">
        <v>24323</v>
      </c>
      <c r="M277" s="50" t="s">
        <v>24324</v>
      </c>
      <c r="N277" s="50" t="s">
        <v>24325</v>
      </c>
      <c r="O277" s="50">
        <v>0.0</v>
      </c>
      <c r="P277" s="116"/>
      <c r="Q277" s="116"/>
      <c r="R277" s="50" t="s">
        <v>24328</v>
      </c>
      <c r="S277" s="50">
        <v>4.0</v>
      </c>
      <c r="T277" s="50" t="s">
        <v>22634</v>
      </c>
      <c r="U277" s="117">
        <v>4562.0</v>
      </c>
      <c r="V277" s="50" t="s">
        <v>24330</v>
      </c>
      <c r="W277" s="50" t="s">
        <v>24331</v>
      </c>
      <c r="X277" s="117">
        <v>282.0</v>
      </c>
    </row>
    <row r="278">
      <c r="A278" s="50" t="s">
        <v>24322</v>
      </c>
      <c r="B278" s="50" t="s">
        <v>6876</v>
      </c>
      <c r="C278" s="50" t="s">
        <v>6877</v>
      </c>
      <c r="D278" s="50" t="s">
        <v>8493</v>
      </c>
      <c r="E278" s="50" t="s">
        <v>24332</v>
      </c>
      <c r="F278" s="50">
        <v>59.0</v>
      </c>
      <c r="G278" s="50">
        <v>1.0</v>
      </c>
      <c r="H278" s="50">
        <v>11.0</v>
      </c>
      <c r="I278" s="50" t="s">
        <v>1412</v>
      </c>
      <c r="J278" s="50" t="s">
        <v>1412</v>
      </c>
      <c r="K278" s="50" t="s">
        <v>24308</v>
      </c>
      <c r="L278" s="50" t="s">
        <v>24309</v>
      </c>
      <c r="M278" s="50" t="s">
        <v>24310</v>
      </c>
      <c r="N278" s="50" t="s">
        <v>24337</v>
      </c>
      <c r="O278" s="50">
        <v>0.0</v>
      </c>
      <c r="P278" s="116"/>
      <c r="Q278" s="116"/>
      <c r="R278" s="50" t="s">
        <v>24340</v>
      </c>
      <c r="S278" s="50">
        <v>6.0</v>
      </c>
      <c r="T278" s="50" t="s">
        <v>22634</v>
      </c>
      <c r="U278" s="117">
        <v>4563.0</v>
      </c>
      <c r="V278" s="50" t="s">
        <v>24341</v>
      </c>
      <c r="W278" s="50" t="s">
        <v>24342</v>
      </c>
      <c r="X278" s="117">
        <v>283.0</v>
      </c>
    </row>
    <row r="279">
      <c r="A279" s="50" t="s">
        <v>24332</v>
      </c>
      <c r="B279" s="50" t="s">
        <v>6876</v>
      </c>
      <c r="C279" s="50" t="s">
        <v>6877</v>
      </c>
      <c r="D279" s="50" t="s">
        <v>8493</v>
      </c>
      <c r="E279" s="50" t="s">
        <v>24346</v>
      </c>
      <c r="F279" s="50">
        <v>59.0</v>
      </c>
      <c r="G279" s="50">
        <v>1.0</v>
      </c>
      <c r="H279" s="50">
        <v>99.0</v>
      </c>
      <c r="I279" s="50" t="s">
        <v>1416</v>
      </c>
      <c r="J279" s="50" t="s">
        <v>1416</v>
      </c>
      <c r="K279" s="50" t="s">
        <v>10403</v>
      </c>
      <c r="L279" s="50" t="s">
        <v>24323</v>
      </c>
      <c r="M279" s="50" t="s">
        <v>24324</v>
      </c>
      <c r="N279" s="50" t="s">
        <v>24350</v>
      </c>
      <c r="O279" s="50">
        <v>0.0</v>
      </c>
      <c r="P279" s="116"/>
      <c r="Q279" s="116"/>
      <c r="R279" s="50" t="s">
        <v>24206</v>
      </c>
      <c r="S279" s="50">
        <v>6.0</v>
      </c>
      <c r="T279" s="50" t="s">
        <v>22634</v>
      </c>
      <c r="U279" s="117">
        <v>4564.0</v>
      </c>
      <c r="V279" s="50" t="s">
        <v>24353</v>
      </c>
      <c r="W279" s="50" t="s">
        <v>24354</v>
      </c>
      <c r="X279" s="117">
        <v>284.0</v>
      </c>
    </row>
    <row r="280">
      <c r="A280" s="50" t="s">
        <v>24346</v>
      </c>
      <c r="B280" s="50" t="s">
        <v>6876</v>
      </c>
      <c r="C280" s="50" t="s">
        <v>6877</v>
      </c>
      <c r="D280" s="50" t="s">
        <v>8493</v>
      </c>
      <c r="E280" s="50" t="s">
        <v>24355</v>
      </c>
      <c r="F280" s="50">
        <v>66.0</v>
      </c>
      <c r="G280" s="50">
        <v>1.0</v>
      </c>
      <c r="H280" s="50">
        <v>12.0</v>
      </c>
      <c r="I280" s="50" t="s">
        <v>1398</v>
      </c>
      <c r="J280" s="50" t="s">
        <v>1398</v>
      </c>
      <c r="K280" s="50" t="s">
        <v>24309</v>
      </c>
      <c r="L280" s="50" t="s">
        <v>24356</v>
      </c>
      <c r="M280" s="50" t="s">
        <v>24357</v>
      </c>
      <c r="N280" s="50" t="s">
        <v>24350</v>
      </c>
      <c r="O280" s="50">
        <v>0.0</v>
      </c>
      <c r="P280" s="116"/>
      <c r="Q280" s="116"/>
      <c r="R280" s="116"/>
      <c r="S280" s="50">
        <v>4.0</v>
      </c>
      <c r="T280" s="50" t="s">
        <v>22634</v>
      </c>
      <c r="U280" s="117">
        <v>4565.0</v>
      </c>
      <c r="V280" s="50" t="s">
        <v>24361</v>
      </c>
      <c r="W280" s="50" t="s">
        <v>24362</v>
      </c>
      <c r="X280" s="117">
        <v>285.0</v>
      </c>
    </row>
    <row r="281">
      <c r="A281" s="50" t="s">
        <v>24355</v>
      </c>
      <c r="B281" s="50" t="s">
        <v>6876</v>
      </c>
      <c r="C281" s="50" t="s">
        <v>6877</v>
      </c>
      <c r="D281" s="50" t="s">
        <v>8493</v>
      </c>
      <c r="E281" s="50" t="s">
        <v>24363</v>
      </c>
      <c r="F281" s="50">
        <v>59.0</v>
      </c>
      <c r="G281" s="50">
        <v>1.0</v>
      </c>
      <c r="H281" s="50">
        <v>99.0</v>
      </c>
      <c r="I281" s="50" t="s">
        <v>1405</v>
      </c>
      <c r="J281" s="50" t="s">
        <v>1405</v>
      </c>
      <c r="K281" s="50" t="s">
        <v>10403</v>
      </c>
      <c r="L281" s="50" t="s">
        <v>24323</v>
      </c>
      <c r="M281" s="50" t="s">
        <v>24324</v>
      </c>
      <c r="N281" s="50" t="s">
        <v>24365</v>
      </c>
      <c r="O281" s="50">
        <v>0.0</v>
      </c>
      <c r="P281" s="116"/>
      <c r="Q281" s="116"/>
      <c r="R281" s="50" t="s">
        <v>24206</v>
      </c>
      <c r="S281" s="50">
        <v>4.0</v>
      </c>
      <c r="T281" s="50" t="s">
        <v>22634</v>
      </c>
      <c r="U281" s="117">
        <v>4566.0</v>
      </c>
      <c r="V281" s="50" t="s">
        <v>24370</v>
      </c>
      <c r="W281" s="50" t="s">
        <v>24371</v>
      </c>
      <c r="X281" s="117">
        <v>286.0</v>
      </c>
    </row>
    <row r="282">
      <c r="A282" s="50" t="s">
        <v>24363</v>
      </c>
      <c r="B282" s="50" t="s">
        <v>6876</v>
      </c>
      <c r="C282" s="50" t="s">
        <v>6877</v>
      </c>
      <c r="D282" s="50" t="s">
        <v>8493</v>
      </c>
      <c r="E282" s="50" t="s">
        <v>24374</v>
      </c>
      <c r="F282" s="50">
        <v>59.0</v>
      </c>
      <c r="G282" s="50">
        <v>1.0</v>
      </c>
      <c r="H282" s="50">
        <v>12.0</v>
      </c>
      <c r="I282" s="50" t="s">
        <v>1402</v>
      </c>
      <c r="J282" s="50" t="s">
        <v>1402</v>
      </c>
      <c r="K282" s="50" t="s">
        <v>24356</v>
      </c>
      <c r="L282" s="50" t="s">
        <v>24375</v>
      </c>
      <c r="M282" s="50" t="s">
        <v>24376</v>
      </c>
      <c r="N282" s="50" t="s">
        <v>24378</v>
      </c>
      <c r="O282" s="50">
        <v>0.0</v>
      </c>
      <c r="P282" s="116"/>
      <c r="Q282" s="116"/>
      <c r="R282" s="116"/>
      <c r="S282" s="50">
        <v>6.0</v>
      </c>
      <c r="T282" s="50" t="s">
        <v>22634</v>
      </c>
      <c r="U282" s="117">
        <v>4567.0</v>
      </c>
      <c r="V282" s="50" t="s">
        <v>24380</v>
      </c>
      <c r="W282" s="50" t="s">
        <v>24382</v>
      </c>
      <c r="X282" s="117">
        <v>287.0</v>
      </c>
    </row>
    <row r="283">
      <c r="A283" s="50" t="s">
        <v>24383</v>
      </c>
      <c r="B283" s="50" t="s">
        <v>6876</v>
      </c>
      <c r="C283" s="50" t="s">
        <v>6877</v>
      </c>
      <c r="D283" s="50" t="s">
        <v>8493</v>
      </c>
      <c r="E283" s="50" t="s">
        <v>24384</v>
      </c>
      <c r="F283" s="50">
        <v>66.0</v>
      </c>
      <c r="G283" s="50">
        <v>1.0</v>
      </c>
      <c r="H283" s="50">
        <v>99.0</v>
      </c>
      <c r="I283" s="50" t="s">
        <v>1401</v>
      </c>
      <c r="J283" s="50" t="s">
        <v>1401</v>
      </c>
      <c r="K283" s="50" t="s">
        <v>10403</v>
      </c>
      <c r="L283" s="50" t="s">
        <v>24308</v>
      </c>
      <c r="M283" s="50" t="s">
        <v>24325</v>
      </c>
      <c r="N283" s="50" t="s">
        <v>24385</v>
      </c>
      <c r="O283" s="50">
        <v>0.0</v>
      </c>
      <c r="P283" s="116"/>
      <c r="Q283" s="116"/>
      <c r="R283" s="50" t="s">
        <v>24206</v>
      </c>
      <c r="S283" s="50">
        <v>6.0</v>
      </c>
      <c r="T283" s="50" t="s">
        <v>22634</v>
      </c>
      <c r="U283" s="117">
        <v>4568.0</v>
      </c>
      <c r="V283" s="50" t="s">
        <v>24386</v>
      </c>
      <c r="W283" s="50" t="s">
        <v>24388</v>
      </c>
      <c r="X283" s="117">
        <v>288.0</v>
      </c>
    </row>
    <row r="284">
      <c r="A284" s="50" t="s">
        <v>24384</v>
      </c>
      <c r="B284" s="50" t="s">
        <v>6876</v>
      </c>
      <c r="C284" s="50" t="s">
        <v>6877</v>
      </c>
      <c r="D284" s="50" t="s">
        <v>8493</v>
      </c>
      <c r="E284" s="50" t="s">
        <v>24391</v>
      </c>
      <c r="F284" s="50">
        <v>33.0</v>
      </c>
      <c r="G284" s="50">
        <v>1.0</v>
      </c>
      <c r="H284" s="50">
        <v>98.0</v>
      </c>
      <c r="I284" s="50" t="s">
        <v>1418</v>
      </c>
      <c r="J284" s="50" t="s">
        <v>1418</v>
      </c>
      <c r="K284" s="50" t="s">
        <v>24393</v>
      </c>
      <c r="L284" s="50" t="s">
        <v>24394</v>
      </c>
      <c r="M284" s="50" t="s">
        <v>24395</v>
      </c>
      <c r="N284" s="50" t="s">
        <v>24396</v>
      </c>
      <c r="O284" s="50">
        <v>0.0</v>
      </c>
      <c r="P284" s="116"/>
      <c r="Q284" s="116"/>
      <c r="R284" s="50" t="s">
        <v>24206</v>
      </c>
      <c r="S284" s="50">
        <v>6.0</v>
      </c>
      <c r="T284" s="50" t="s">
        <v>22634</v>
      </c>
      <c r="U284" s="117">
        <v>4569.0</v>
      </c>
      <c r="V284" s="50" t="s">
        <v>24399</v>
      </c>
      <c r="W284" s="50" t="s">
        <v>24400</v>
      </c>
      <c r="X284" s="117">
        <v>289.0</v>
      </c>
    </row>
    <row r="285">
      <c r="A285" s="50" t="s">
        <v>24402</v>
      </c>
      <c r="B285" s="50" t="s">
        <v>6876</v>
      </c>
      <c r="C285" s="50" t="s">
        <v>6877</v>
      </c>
      <c r="D285" s="50" t="s">
        <v>8493</v>
      </c>
      <c r="E285" s="50" t="s">
        <v>24406</v>
      </c>
      <c r="F285" s="50">
        <v>59.0</v>
      </c>
      <c r="G285" s="50">
        <v>1.0</v>
      </c>
      <c r="H285" s="50">
        <v>99.0</v>
      </c>
      <c r="I285" s="50" t="s">
        <v>1425</v>
      </c>
      <c r="J285" s="50" t="s">
        <v>1425</v>
      </c>
      <c r="K285" s="50" t="s">
        <v>24408</v>
      </c>
      <c r="L285" s="50" t="s">
        <v>24409</v>
      </c>
      <c r="M285" s="50" t="s">
        <v>24410</v>
      </c>
      <c r="N285" s="50" t="s">
        <v>24411</v>
      </c>
      <c r="O285" s="50">
        <v>0.0</v>
      </c>
      <c r="P285" s="116"/>
      <c r="Q285" s="116"/>
      <c r="R285" s="50" t="s">
        <v>24206</v>
      </c>
      <c r="S285" s="50">
        <v>4.0</v>
      </c>
      <c r="T285" s="50" t="s">
        <v>22634</v>
      </c>
      <c r="U285" s="117">
        <v>4613.0</v>
      </c>
      <c r="V285" s="50" t="s">
        <v>24412</v>
      </c>
      <c r="W285" s="50" t="s">
        <v>24413</v>
      </c>
      <c r="X285" s="117">
        <v>290.0</v>
      </c>
    </row>
    <row r="286">
      <c r="A286" s="50" t="s">
        <v>24414</v>
      </c>
      <c r="B286" s="50" t="s">
        <v>6876</v>
      </c>
      <c r="C286" s="50" t="s">
        <v>6877</v>
      </c>
      <c r="D286" s="50" t="s">
        <v>8493</v>
      </c>
      <c r="E286" s="50" t="s">
        <v>24417</v>
      </c>
      <c r="F286" s="50">
        <v>59.0</v>
      </c>
      <c r="G286" s="50">
        <v>1.0</v>
      </c>
      <c r="H286" s="50">
        <v>11.0</v>
      </c>
      <c r="I286" s="50" t="s">
        <v>1426</v>
      </c>
      <c r="J286" s="50" t="s">
        <v>1426</v>
      </c>
      <c r="K286" s="50" t="s">
        <v>24419</v>
      </c>
      <c r="L286" s="50" t="s">
        <v>24421</v>
      </c>
      <c r="M286" s="50" t="s">
        <v>24422</v>
      </c>
      <c r="N286" s="50" t="s">
        <v>24423</v>
      </c>
      <c r="O286" s="50">
        <v>0.0</v>
      </c>
      <c r="P286" s="116"/>
      <c r="Q286" s="116"/>
      <c r="R286" s="116"/>
      <c r="S286" s="50">
        <v>4.0</v>
      </c>
      <c r="T286" s="50" t="s">
        <v>22634</v>
      </c>
      <c r="U286" s="117">
        <v>4625.0</v>
      </c>
      <c r="V286" s="50" t="s">
        <v>24424</v>
      </c>
      <c r="W286" s="50" t="s">
        <v>24425</v>
      </c>
      <c r="X286" s="117">
        <v>291.0</v>
      </c>
    </row>
    <row r="287">
      <c r="A287" s="50" t="s">
        <v>24417</v>
      </c>
      <c r="B287" s="50" t="s">
        <v>6876</v>
      </c>
      <c r="C287" s="50" t="s">
        <v>6877</v>
      </c>
      <c r="D287" s="50" t="s">
        <v>8493</v>
      </c>
      <c r="E287" s="50" t="s">
        <v>24426</v>
      </c>
      <c r="F287" s="50">
        <v>59.0</v>
      </c>
      <c r="G287" s="50">
        <v>1.0</v>
      </c>
      <c r="H287" s="50">
        <v>11.0</v>
      </c>
      <c r="I287" s="50" t="s">
        <v>1422</v>
      </c>
      <c r="J287" s="50" t="s">
        <v>1422</v>
      </c>
      <c r="K287" s="50" t="s">
        <v>24419</v>
      </c>
      <c r="L287" s="50" t="s">
        <v>24421</v>
      </c>
      <c r="M287" s="50" t="s">
        <v>24422</v>
      </c>
      <c r="N287" s="50" t="s">
        <v>24427</v>
      </c>
      <c r="O287" s="50">
        <v>0.0</v>
      </c>
      <c r="P287" s="116"/>
      <c r="Q287" s="116"/>
      <c r="R287" s="50" t="s">
        <v>24428</v>
      </c>
      <c r="S287" s="50">
        <v>4.0</v>
      </c>
      <c r="T287" s="50" t="s">
        <v>22634</v>
      </c>
      <c r="U287" s="117">
        <v>4626.0</v>
      </c>
      <c r="V287" s="50" t="s">
        <v>24431</v>
      </c>
      <c r="W287" s="50" t="s">
        <v>24432</v>
      </c>
      <c r="X287" s="117">
        <v>292.0</v>
      </c>
    </row>
    <row r="288">
      <c r="A288" s="50" t="s">
        <v>24426</v>
      </c>
      <c r="B288" s="50" t="s">
        <v>6876</v>
      </c>
      <c r="C288" s="50" t="s">
        <v>6877</v>
      </c>
      <c r="D288" s="50" t="s">
        <v>8493</v>
      </c>
      <c r="E288" s="50" t="s">
        <v>24434</v>
      </c>
      <c r="F288" s="50">
        <v>59.0</v>
      </c>
      <c r="G288" s="50">
        <v>1.0</v>
      </c>
      <c r="H288" s="50">
        <v>99.0</v>
      </c>
      <c r="I288" s="50" t="s">
        <v>1429</v>
      </c>
      <c r="J288" s="50" t="s">
        <v>1429</v>
      </c>
      <c r="K288" s="50" t="s">
        <v>24408</v>
      </c>
      <c r="L288" s="50" t="s">
        <v>24409</v>
      </c>
      <c r="M288" s="50" t="s">
        <v>24410</v>
      </c>
      <c r="N288" s="50" t="s">
        <v>24439</v>
      </c>
      <c r="O288" s="50">
        <v>0.0</v>
      </c>
      <c r="P288" s="116"/>
      <c r="Q288" s="116"/>
      <c r="R288" s="50" t="s">
        <v>24206</v>
      </c>
      <c r="S288" s="50">
        <v>4.0</v>
      </c>
      <c r="T288" s="50" t="s">
        <v>22634</v>
      </c>
      <c r="U288" s="117">
        <v>4627.0</v>
      </c>
      <c r="V288" s="50" t="s">
        <v>24440</v>
      </c>
      <c r="W288" s="50" t="s">
        <v>24441</v>
      </c>
      <c r="X288" s="117">
        <v>293.0</v>
      </c>
    </row>
    <row r="289">
      <c r="A289" s="50" t="s">
        <v>24434</v>
      </c>
      <c r="B289" s="50" t="s">
        <v>6876</v>
      </c>
      <c r="C289" s="50" t="s">
        <v>6877</v>
      </c>
      <c r="D289" s="50" t="s">
        <v>8493</v>
      </c>
      <c r="E289" s="50" t="s">
        <v>24443</v>
      </c>
      <c r="F289" s="50">
        <v>59.0</v>
      </c>
      <c r="G289" s="50">
        <v>1.0</v>
      </c>
      <c r="H289" s="50">
        <v>11.0</v>
      </c>
      <c r="I289" s="50" t="s">
        <v>1430</v>
      </c>
      <c r="J289" s="50" t="s">
        <v>1430</v>
      </c>
      <c r="K289" s="50" t="s">
        <v>24419</v>
      </c>
      <c r="L289" s="50" t="s">
        <v>24421</v>
      </c>
      <c r="M289" s="50" t="s">
        <v>24422</v>
      </c>
      <c r="N289" s="50" t="s">
        <v>24427</v>
      </c>
      <c r="O289" s="50">
        <v>0.0</v>
      </c>
      <c r="P289" s="116"/>
      <c r="Q289" s="116"/>
      <c r="R289" s="116"/>
      <c r="S289" s="50">
        <v>6.0</v>
      </c>
      <c r="T289" s="50" t="s">
        <v>22634</v>
      </c>
      <c r="U289" s="117">
        <v>4628.0</v>
      </c>
      <c r="V289" s="50" t="s">
        <v>24446</v>
      </c>
      <c r="W289" s="50" t="s">
        <v>24447</v>
      </c>
      <c r="X289" s="117">
        <v>294.0</v>
      </c>
    </row>
    <row r="290">
      <c r="A290" s="50" t="s">
        <v>24443</v>
      </c>
      <c r="B290" s="50" t="s">
        <v>6876</v>
      </c>
      <c r="C290" s="50" t="s">
        <v>6877</v>
      </c>
      <c r="D290" s="50" t="s">
        <v>8493</v>
      </c>
      <c r="E290" s="50" t="s">
        <v>24448</v>
      </c>
      <c r="F290" s="50">
        <v>59.0</v>
      </c>
      <c r="G290" s="50">
        <v>1.0</v>
      </c>
      <c r="H290" s="50">
        <v>99.0</v>
      </c>
      <c r="I290" s="50" t="s">
        <v>1433</v>
      </c>
      <c r="J290" s="50" t="s">
        <v>1433</v>
      </c>
      <c r="K290" s="50" t="s">
        <v>24408</v>
      </c>
      <c r="L290" s="50" t="s">
        <v>24409</v>
      </c>
      <c r="M290" s="50" t="s">
        <v>24410</v>
      </c>
      <c r="N290" s="50" t="s">
        <v>24439</v>
      </c>
      <c r="O290" s="50">
        <v>0.0</v>
      </c>
      <c r="P290" s="116"/>
      <c r="Q290" s="116"/>
      <c r="R290" s="50" t="s">
        <v>24451</v>
      </c>
      <c r="S290" s="50">
        <v>6.0</v>
      </c>
      <c r="T290" s="50" t="s">
        <v>22634</v>
      </c>
      <c r="U290" s="117">
        <v>4629.0</v>
      </c>
      <c r="V290" s="50" t="s">
        <v>24453</v>
      </c>
      <c r="W290" s="50" t="s">
        <v>24454</v>
      </c>
      <c r="X290" s="117">
        <v>295.0</v>
      </c>
    </row>
    <row r="291">
      <c r="A291" s="50" t="s">
        <v>24448</v>
      </c>
      <c r="B291" s="50" t="s">
        <v>6876</v>
      </c>
      <c r="C291" s="50" t="s">
        <v>6877</v>
      </c>
      <c r="D291" s="50" t="s">
        <v>8493</v>
      </c>
      <c r="E291" s="50" t="s">
        <v>24456</v>
      </c>
      <c r="F291" s="50">
        <v>59.0</v>
      </c>
      <c r="G291" s="50">
        <v>1.0</v>
      </c>
      <c r="H291" s="50">
        <v>11.0</v>
      </c>
      <c r="I291" s="50" t="s">
        <v>1434</v>
      </c>
      <c r="J291" s="50" t="s">
        <v>1434</v>
      </c>
      <c r="K291" s="50" t="s">
        <v>24419</v>
      </c>
      <c r="L291" s="50" t="s">
        <v>24421</v>
      </c>
      <c r="M291" s="50" t="s">
        <v>24422</v>
      </c>
      <c r="N291" s="50" t="s">
        <v>24427</v>
      </c>
      <c r="O291" s="50">
        <v>0.0</v>
      </c>
      <c r="P291" s="116"/>
      <c r="Q291" s="116"/>
      <c r="R291" s="116"/>
      <c r="S291" s="50">
        <v>6.0</v>
      </c>
      <c r="T291" s="50" t="s">
        <v>22634</v>
      </c>
      <c r="U291" s="117">
        <v>4630.0</v>
      </c>
      <c r="V291" s="50" t="s">
        <v>24463</v>
      </c>
      <c r="W291" s="50" t="s">
        <v>24464</v>
      </c>
      <c r="X291" s="117">
        <v>296.0</v>
      </c>
    </row>
    <row r="292">
      <c r="A292" s="50" t="s">
        <v>24456</v>
      </c>
      <c r="B292" s="50" t="s">
        <v>6876</v>
      </c>
      <c r="C292" s="50" t="s">
        <v>6877</v>
      </c>
      <c r="D292" s="50" t="s">
        <v>8493</v>
      </c>
      <c r="E292" s="50" t="s">
        <v>24465</v>
      </c>
      <c r="F292" s="50">
        <v>59.0</v>
      </c>
      <c r="G292" s="50">
        <v>1.0</v>
      </c>
      <c r="H292" s="50">
        <v>99.0</v>
      </c>
      <c r="I292" s="50" t="s">
        <v>1437</v>
      </c>
      <c r="J292" s="50" t="s">
        <v>1437</v>
      </c>
      <c r="K292" s="50" t="s">
        <v>24408</v>
      </c>
      <c r="L292" s="50" t="s">
        <v>24409</v>
      </c>
      <c r="M292" s="50" t="s">
        <v>24410</v>
      </c>
      <c r="N292" s="50" t="s">
        <v>24422</v>
      </c>
      <c r="O292" s="50">
        <v>0.0</v>
      </c>
      <c r="P292" s="116"/>
      <c r="Q292" s="116"/>
      <c r="R292" s="50" t="s">
        <v>24206</v>
      </c>
      <c r="S292" s="50">
        <v>6.0</v>
      </c>
      <c r="T292" s="50" t="s">
        <v>22634</v>
      </c>
      <c r="U292" s="117">
        <v>4631.0</v>
      </c>
      <c r="V292" s="50" t="s">
        <v>24467</v>
      </c>
      <c r="W292" s="50" t="s">
        <v>24468</v>
      </c>
      <c r="X292" s="117">
        <v>297.0</v>
      </c>
    </row>
    <row r="293">
      <c r="A293" s="50" t="s">
        <v>24465</v>
      </c>
      <c r="B293" s="50" t="s">
        <v>6876</v>
      </c>
      <c r="C293" s="50" t="s">
        <v>6877</v>
      </c>
      <c r="D293" s="50" t="s">
        <v>8493</v>
      </c>
      <c r="E293" s="50" t="s">
        <v>24469</v>
      </c>
      <c r="F293" s="50">
        <v>59.0</v>
      </c>
      <c r="G293" s="50">
        <v>1.0</v>
      </c>
      <c r="H293" s="50">
        <v>11.0</v>
      </c>
      <c r="I293" s="50" t="s">
        <v>1438</v>
      </c>
      <c r="J293" s="50" t="s">
        <v>1438</v>
      </c>
      <c r="K293" s="50" t="s">
        <v>24472</v>
      </c>
      <c r="L293" s="50" t="s">
        <v>24473</v>
      </c>
      <c r="M293" s="50" t="s">
        <v>24474</v>
      </c>
      <c r="N293" s="50" t="s">
        <v>24475</v>
      </c>
      <c r="O293" s="50">
        <v>0.0</v>
      </c>
      <c r="P293" s="116"/>
      <c r="Q293" s="116"/>
      <c r="R293" s="116"/>
      <c r="S293" s="50">
        <v>4.0</v>
      </c>
      <c r="T293" s="50" t="s">
        <v>22634</v>
      </c>
      <c r="U293" s="117">
        <v>4632.0</v>
      </c>
      <c r="V293" s="50" t="s">
        <v>24477</v>
      </c>
      <c r="W293" s="50" t="s">
        <v>24478</v>
      </c>
      <c r="X293" s="117">
        <v>298.0</v>
      </c>
    </row>
    <row r="294">
      <c r="A294" s="50" t="s">
        <v>24469</v>
      </c>
      <c r="B294" s="50" t="s">
        <v>6876</v>
      </c>
      <c r="C294" s="50" t="s">
        <v>6877</v>
      </c>
      <c r="D294" s="50" t="s">
        <v>8493</v>
      </c>
      <c r="E294" s="50" t="s">
        <v>24479</v>
      </c>
      <c r="F294" s="50">
        <v>59.0</v>
      </c>
      <c r="G294" s="50">
        <v>1.0</v>
      </c>
      <c r="H294" s="50">
        <v>99.0</v>
      </c>
      <c r="I294" s="50" t="s">
        <v>1441</v>
      </c>
      <c r="J294" s="50" t="s">
        <v>1441</v>
      </c>
      <c r="K294" s="50" t="s">
        <v>24480</v>
      </c>
      <c r="L294" s="50" t="s">
        <v>24419</v>
      </c>
      <c r="M294" s="50" t="s">
        <v>24411</v>
      </c>
      <c r="N294" s="50" t="s">
        <v>24422</v>
      </c>
      <c r="O294" s="50">
        <v>0.0</v>
      </c>
      <c r="P294" s="116"/>
      <c r="Q294" s="116"/>
      <c r="R294" s="50" t="s">
        <v>24484</v>
      </c>
      <c r="S294" s="50">
        <v>6.0</v>
      </c>
      <c r="T294" s="50" t="s">
        <v>22634</v>
      </c>
      <c r="U294" s="117">
        <v>4633.0</v>
      </c>
      <c r="V294" s="50" t="s">
        <v>24486</v>
      </c>
      <c r="W294" s="50" t="s">
        <v>24488</v>
      </c>
      <c r="X294" s="117">
        <v>299.0</v>
      </c>
    </row>
    <row r="295">
      <c r="A295" s="50" t="s">
        <v>24479</v>
      </c>
      <c r="B295" s="50" t="s">
        <v>6876</v>
      </c>
      <c r="C295" s="50" t="s">
        <v>6877</v>
      </c>
      <c r="D295" s="50" t="s">
        <v>8493</v>
      </c>
      <c r="E295" s="50" t="s">
        <v>24490</v>
      </c>
      <c r="F295" s="50">
        <v>33.0</v>
      </c>
      <c r="G295" s="50">
        <v>1.0</v>
      </c>
      <c r="H295" s="50">
        <v>98.0</v>
      </c>
      <c r="I295" s="50" t="s">
        <v>1442</v>
      </c>
      <c r="J295" s="50" t="s">
        <v>1442</v>
      </c>
      <c r="K295" s="50" t="s">
        <v>24480</v>
      </c>
      <c r="L295" s="50" t="s">
        <v>24419</v>
      </c>
      <c r="M295" s="50" t="s">
        <v>24411</v>
      </c>
      <c r="N295" s="50" t="s">
        <v>24422</v>
      </c>
      <c r="O295" s="50">
        <v>0.0</v>
      </c>
      <c r="P295" s="116"/>
      <c r="Q295" s="116"/>
      <c r="R295" s="50" t="s">
        <v>24206</v>
      </c>
      <c r="S295" s="50">
        <v>4.0</v>
      </c>
      <c r="T295" s="50" t="s">
        <v>22634</v>
      </c>
      <c r="U295" s="117">
        <v>4634.0</v>
      </c>
      <c r="V295" s="50" t="s">
        <v>24492</v>
      </c>
      <c r="W295" s="50" t="s">
        <v>24493</v>
      </c>
      <c r="X295" s="117">
        <v>300.0</v>
      </c>
    </row>
    <row r="296">
      <c r="A296" s="50" t="s">
        <v>24494</v>
      </c>
      <c r="B296" s="50" t="s">
        <v>6876</v>
      </c>
      <c r="C296" s="50" t="s">
        <v>6877</v>
      </c>
      <c r="D296" s="50" t="s">
        <v>8493</v>
      </c>
      <c r="E296" s="50" t="s">
        <v>24497</v>
      </c>
      <c r="F296" s="50">
        <v>57.0</v>
      </c>
      <c r="G296" s="50">
        <v>1.0</v>
      </c>
      <c r="H296" s="50">
        <v>12.0</v>
      </c>
      <c r="I296" s="50" t="s">
        <v>1446</v>
      </c>
      <c r="J296" s="50" t="s">
        <v>1446</v>
      </c>
      <c r="K296" s="50" t="s">
        <v>24498</v>
      </c>
      <c r="L296" s="50" t="s">
        <v>24500</v>
      </c>
      <c r="M296" s="50" t="s">
        <v>24501</v>
      </c>
      <c r="N296" s="50" t="s">
        <v>24502</v>
      </c>
      <c r="O296" s="50">
        <v>0.0</v>
      </c>
      <c r="P296" s="116"/>
      <c r="Q296" s="116"/>
      <c r="R296" s="116"/>
      <c r="S296" s="50">
        <v>6.0</v>
      </c>
      <c r="T296" s="50" t="s">
        <v>22634</v>
      </c>
      <c r="U296" s="117">
        <v>4646.0</v>
      </c>
      <c r="V296" s="50" t="s">
        <v>24503</v>
      </c>
      <c r="W296" s="50" t="s">
        <v>24504</v>
      </c>
      <c r="X296" s="117">
        <v>301.0</v>
      </c>
    </row>
    <row r="297">
      <c r="A297" s="50" t="s">
        <v>24497</v>
      </c>
      <c r="B297" s="50" t="s">
        <v>6876</v>
      </c>
      <c r="C297" s="50" t="s">
        <v>6877</v>
      </c>
      <c r="D297" s="50" t="s">
        <v>8493</v>
      </c>
      <c r="E297" s="50" t="s">
        <v>24507</v>
      </c>
      <c r="F297" s="50">
        <v>33.0</v>
      </c>
      <c r="G297" s="50">
        <v>1.0</v>
      </c>
      <c r="H297" s="50">
        <v>98.0</v>
      </c>
      <c r="I297" s="50" t="s">
        <v>1442</v>
      </c>
      <c r="J297" s="50" t="s">
        <v>1442</v>
      </c>
      <c r="K297" s="50" t="s">
        <v>24498</v>
      </c>
      <c r="L297" s="50" t="s">
        <v>24500</v>
      </c>
      <c r="M297" s="50" t="s">
        <v>24501</v>
      </c>
      <c r="N297" s="50" t="s">
        <v>24502</v>
      </c>
      <c r="O297" s="50">
        <v>0.0</v>
      </c>
      <c r="P297" s="116"/>
      <c r="Q297" s="116"/>
      <c r="R297" s="50" t="s">
        <v>24206</v>
      </c>
      <c r="S297" s="50">
        <v>4.0</v>
      </c>
      <c r="T297" s="50" t="s">
        <v>22634</v>
      </c>
      <c r="U297" s="117">
        <v>4647.0</v>
      </c>
      <c r="V297" s="50" t="s">
        <v>24512</v>
      </c>
      <c r="W297" s="50" t="s">
        <v>24514</v>
      </c>
      <c r="X297" s="117">
        <v>302.0</v>
      </c>
    </row>
    <row r="298">
      <c r="A298" s="50" t="s">
        <v>24507</v>
      </c>
      <c r="B298" s="50" t="s">
        <v>6876</v>
      </c>
      <c r="C298" s="50" t="s">
        <v>6877</v>
      </c>
      <c r="D298" s="50" t="s">
        <v>8493</v>
      </c>
      <c r="E298" s="50" t="s">
        <v>24516</v>
      </c>
      <c r="F298" s="50">
        <v>57.0</v>
      </c>
      <c r="G298" s="50">
        <v>1.0</v>
      </c>
      <c r="H298" s="50">
        <v>99.0</v>
      </c>
      <c r="I298" s="50" t="s">
        <v>1450</v>
      </c>
      <c r="J298" s="50" t="s">
        <v>1450</v>
      </c>
      <c r="K298" s="50" t="s">
        <v>24518</v>
      </c>
      <c r="L298" s="50" t="s">
        <v>24474</v>
      </c>
      <c r="M298" s="50" t="s">
        <v>24519</v>
      </c>
      <c r="N298" s="50" t="s">
        <v>24520</v>
      </c>
      <c r="O298" s="50">
        <v>0.0</v>
      </c>
      <c r="P298" s="116"/>
      <c r="Q298" s="116"/>
      <c r="R298" s="50" t="s">
        <v>24206</v>
      </c>
      <c r="S298" s="50">
        <v>6.0</v>
      </c>
      <c r="T298" s="50" t="s">
        <v>22634</v>
      </c>
      <c r="U298" s="117">
        <v>4648.0</v>
      </c>
      <c r="V298" s="50" t="s">
        <v>24521</v>
      </c>
      <c r="W298" s="50" t="s">
        <v>24522</v>
      </c>
      <c r="X298" s="117">
        <v>303.0</v>
      </c>
    </row>
    <row r="299">
      <c r="A299" s="50" t="s">
        <v>24523</v>
      </c>
      <c r="B299" s="50" t="s">
        <v>6876</v>
      </c>
      <c r="C299" s="50" t="s">
        <v>6877</v>
      </c>
      <c r="D299" s="50" t="s">
        <v>8493</v>
      </c>
      <c r="E299" s="50" t="s">
        <v>24524</v>
      </c>
      <c r="F299" s="50">
        <v>55.0</v>
      </c>
      <c r="G299" s="50">
        <v>1.0</v>
      </c>
      <c r="H299" s="50">
        <v>12.0</v>
      </c>
      <c r="I299" s="50" t="s">
        <v>1451</v>
      </c>
      <c r="J299" s="50" t="s">
        <v>1451</v>
      </c>
      <c r="K299" s="50" t="s">
        <v>24498</v>
      </c>
      <c r="L299" s="50" t="s">
        <v>24500</v>
      </c>
      <c r="M299" s="50" t="s">
        <v>24501</v>
      </c>
      <c r="N299" s="50" t="s">
        <v>24527</v>
      </c>
      <c r="O299" s="50">
        <v>0.0</v>
      </c>
      <c r="P299" s="116"/>
      <c r="Q299" s="116"/>
      <c r="R299" s="116"/>
      <c r="S299" s="50">
        <v>4.0</v>
      </c>
      <c r="T299" s="50" t="s">
        <v>22634</v>
      </c>
      <c r="U299" s="117">
        <v>4649.0</v>
      </c>
      <c r="V299" s="50" t="s">
        <v>24529</v>
      </c>
      <c r="W299" s="50" t="s">
        <v>24530</v>
      </c>
      <c r="X299" s="117">
        <v>304.0</v>
      </c>
    </row>
    <row r="300">
      <c r="A300" s="50" t="s">
        <v>24524</v>
      </c>
      <c r="B300" s="50" t="s">
        <v>6876</v>
      </c>
      <c r="C300" s="50" t="s">
        <v>6877</v>
      </c>
      <c r="D300" s="50" t="s">
        <v>8493</v>
      </c>
      <c r="E300" s="50" t="s">
        <v>24531</v>
      </c>
      <c r="F300" s="50">
        <v>55.0</v>
      </c>
      <c r="G300" s="50">
        <v>1.0</v>
      </c>
      <c r="H300" s="50">
        <v>99.0</v>
      </c>
      <c r="I300" s="50" t="s">
        <v>1456</v>
      </c>
      <c r="J300" s="50" t="s">
        <v>1456</v>
      </c>
      <c r="K300" s="50" t="s">
        <v>24422</v>
      </c>
      <c r="L300" s="50" t="s">
        <v>24535</v>
      </c>
      <c r="M300" s="50" t="s">
        <v>24537</v>
      </c>
      <c r="N300" s="50" t="s">
        <v>24520</v>
      </c>
      <c r="O300" s="50">
        <v>0.0</v>
      </c>
      <c r="P300" s="116"/>
      <c r="Q300" s="116"/>
      <c r="R300" s="50" t="s">
        <v>24206</v>
      </c>
      <c r="S300" s="50">
        <v>4.0</v>
      </c>
      <c r="T300" s="50" t="s">
        <v>22634</v>
      </c>
      <c r="U300" s="117">
        <v>4650.0</v>
      </c>
      <c r="V300" s="50" t="s">
        <v>24539</v>
      </c>
      <c r="W300" s="50" t="s">
        <v>24541</v>
      </c>
      <c r="X300" s="117">
        <v>305.0</v>
      </c>
    </row>
    <row r="301">
      <c r="A301" s="50" t="s">
        <v>24544</v>
      </c>
      <c r="B301" s="50" t="s">
        <v>6876</v>
      </c>
      <c r="C301" s="50" t="s">
        <v>6877</v>
      </c>
      <c r="D301" s="50" t="s">
        <v>8493</v>
      </c>
      <c r="E301" s="50" t="s">
        <v>24547</v>
      </c>
      <c r="F301" s="50">
        <v>58.0</v>
      </c>
      <c r="G301" s="50">
        <v>1.0</v>
      </c>
      <c r="H301" s="50">
        <v>99.0</v>
      </c>
      <c r="I301" s="50" t="s">
        <v>1462</v>
      </c>
      <c r="J301" s="50" t="s">
        <v>1462</v>
      </c>
      <c r="K301" s="50" t="s">
        <v>24548</v>
      </c>
      <c r="L301" s="50" t="s">
        <v>24549</v>
      </c>
      <c r="M301" s="50" t="s">
        <v>24550</v>
      </c>
      <c r="N301" s="50" t="s">
        <v>24551</v>
      </c>
      <c r="O301" s="50">
        <v>0.0</v>
      </c>
      <c r="P301" s="116"/>
      <c r="Q301" s="116"/>
      <c r="R301" s="50" t="s">
        <v>24553</v>
      </c>
      <c r="S301" s="50">
        <v>4.0</v>
      </c>
      <c r="T301" s="50" t="s">
        <v>22634</v>
      </c>
      <c r="U301" s="117">
        <v>4689.0</v>
      </c>
      <c r="V301" s="50" t="s">
        <v>24554</v>
      </c>
      <c r="W301" s="50" t="s">
        <v>24555</v>
      </c>
      <c r="X301" s="117">
        <v>306.0</v>
      </c>
    </row>
    <row r="302">
      <c r="A302" s="50" t="s">
        <v>24557</v>
      </c>
      <c r="B302" s="50" t="s">
        <v>6876</v>
      </c>
      <c r="C302" s="50" t="s">
        <v>6877</v>
      </c>
      <c r="D302" s="50" t="s">
        <v>8493</v>
      </c>
      <c r="E302" s="50" t="s">
        <v>24560</v>
      </c>
      <c r="F302" s="50">
        <v>33.0</v>
      </c>
      <c r="G302" s="50">
        <v>1.0</v>
      </c>
      <c r="H302" s="50">
        <v>98.0</v>
      </c>
      <c r="I302" s="50" t="s">
        <v>1464</v>
      </c>
      <c r="J302" s="50" t="s">
        <v>1464</v>
      </c>
      <c r="K302" s="50" t="s">
        <v>24563</v>
      </c>
      <c r="L302" s="50" t="s">
        <v>24565</v>
      </c>
      <c r="M302" s="50" t="s">
        <v>24567</v>
      </c>
      <c r="N302" s="50" t="s">
        <v>24568</v>
      </c>
      <c r="O302" s="50">
        <v>0.0</v>
      </c>
      <c r="P302" s="116"/>
      <c r="Q302" s="116"/>
      <c r="R302" s="50" t="s">
        <v>24570</v>
      </c>
      <c r="S302" s="50">
        <v>4.0</v>
      </c>
      <c r="T302" s="50" t="s">
        <v>22634</v>
      </c>
      <c r="U302" s="117">
        <v>4690.0</v>
      </c>
      <c r="V302" s="50" t="s">
        <v>24571</v>
      </c>
      <c r="W302" s="50" t="s">
        <v>24572</v>
      </c>
      <c r="X302" s="117">
        <v>307.0</v>
      </c>
    </row>
    <row r="303">
      <c r="A303" s="50" t="s">
        <v>24573</v>
      </c>
      <c r="B303" s="50" t="s">
        <v>6876</v>
      </c>
      <c r="C303" s="50" t="s">
        <v>6877</v>
      </c>
      <c r="D303" s="50" t="s">
        <v>8493</v>
      </c>
      <c r="E303" s="50" t="s">
        <v>24575</v>
      </c>
      <c r="F303" s="50">
        <v>66.0</v>
      </c>
      <c r="G303" s="50">
        <v>1.0</v>
      </c>
      <c r="H303" s="50">
        <v>12.0</v>
      </c>
      <c r="I303" s="50" t="s">
        <v>1468</v>
      </c>
      <c r="J303" s="50" t="s">
        <v>1468</v>
      </c>
      <c r="K303" s="50" t="s">
        <v>24577</v>
      </c>
      <c r="L303" s="50" t="s">
        <v>24578</v>
      </c>
      <c r="M303" s="50" t="s">
        <v>24579</v>
      </c>
      <c r="N303" s="50" t="s">
        <v>24580</v>
      </c>
      <c r="O303" s="50">
        <v>1.0</v>
      </c>
      <c r="P303" s="144">
        <v>43766.0</v>
      </c>
      <c r="Q303" s="116"/>
      <c r="R303" s="116"/>
      <c r="S303" s="50">
        <v>4.0</v>
      </c>
      <c r="T303" s="50" t="s">
        <v>22634</v>
      </c>
      <c r="U303" s="117">
        <v>4755.0</v>
      </c>
      <c r="V303" s="50" t="s">
        <v>24582</v>
      </c>
      <c r="W303" s="50" t="s">
        <v>24583</v>
      </c>
      <c r="X303" s="117">
        <v>308.0</v>
      </c>
    </row>
    <row r="304">
      <c r="A304" s="50" t="s">
        <v>24575</v>
      </c>
      <c r="B304" s="50" t="s">
        <v>6876</v>
      </c>
      <c r="C304" s="50" t="s">
        <v>6877</v>
      </c>
      <c r="D304" s="50" t="s">
        <v>8493</v>
      </c>
      <c r="E304" s="50" t="s">
        <v>24584</v>
      </c>
      <c r="F304" s="50">
        <v>66.0</v>
      </c>
      <c r="G304" s="50">
        <v>1.0</v>
      </c>
      <c r="H304" s="50">
        <v>99.0</v>
      </c>
      <c r="I304" s="50" t="s">
        <v>24589</v>
      </c>
      <c r="J304" s="50" t="s">
        <v>24589</v>
      </c>
      <c r="K304" s="50" t="s">
        <v>24591</v>
      </c>
      <c r="L304" s="50" t="s">
        <v>24592</v>
      </c>
      <c r="M304" s="50" t="s">
        <v>24594</v>
      </c>
      <c r="N304" s="50" t="s">
        <v>24595</v>
      </c>
      <c r="O304" s="50">
        <v>1.0</v>
      </c>
      <c r="P304" s="144">
        <v>43766.0</v>
      </c>
      <c r="Q304" s="116"/>
      <c r="R304" s="116"/>
      <c r="S304" s="50">
        <v>4.0</v>
      </c>
      <c r="T304" s="50" t="s">
        <v>22634</v>
      </c>
      <c r="U304" s="117">
        <v>4756.0</v>
      </c>
      <c r="V304" s="50" t="s">
        <v>24597</v>
      </c>
      <c r="W304" s="50" t="s">
        <v>24598</v>
      </c>
      <c r="X304" s="117">
        <v>309.0</v>
      </c>
    </row>
    <row r="305">
      <c r="A305" s="50" t="s">
        <v>24584</v>
      </c>
      <c r="B305" s="50" t="s">
        <v>6876</v>
      </c>
      <c r="C305" s="50" t="s">
        <v>6877</v>
      </c>
      <c r="D305" s="50" t="s">
        <v>8493</v>
      </c>
      <c r="E305" s="50" t="s">
        <v>24599</v>
      </c>
      <c r="F305" s="50">
        <v>59.0</v>
      </c>
      <c r="G305" s="50">
        <v>1.0</v>
      </c>
      <c r="H305" s="50">
        <v>12.0</v>
      </c>
      <c r="I305" s="50" t="s">
        <v>1471</v>
      </c>
      <c r="J305" s="50" t="s">
        <v>1471</v>
      </c>
      <c r="K305" s="50" t="s">
        <v>24577</v>
      </c>
      <c r="L305" s="50" t="s">
        <v>24578</v>
      </c>
      <c r="M305" s="50" t="s">
        <v>24579</v>
      </c>
      <c r="N305" s="50" t="s">
        <v>24600</v>
      </c>
      <c r="O305" s="50">
        <v>1.0</v>
      </c>
      <c r="P305" s="144">
        <v>43766.0</v>
      </c>
      <c r="Q305" s="116"/>
      <c r="R305" s="116"/>
      <c r="S305" s="50">
        <v>6.0</v>
      </c>
      <c r="T305" s="50" t="s">
        <v>22634</v>
      </c>
      <c r="U305" s="117">
        <v>4757.0</v>
      </c>
      <c r="V305" s="50" t="s">
        <v>24603</v>
      </c>
      <c r="W305" s="50" t="s">
        <v>24604</v>
      </c>
      <c r="X305" s="117">
        <v>310.0</v>
      </c>
    </row>
    <row r="306">
      <c r="A306" s="50" t="s">
        <v>24599</v>
      </c>
      <c r="B306" s="50" t="s">
        <v>6876</v>
      </c>
      <c r="C306" s="50" t="s">
        <v>6877</v>
      </c>
      <c r="D306" s="50" t="s">
        <v>8493</v>
      </c>
      <c r="E306" s="50" t="s">
        <v>24606</v>
      </c>
      <c r="F306" s="50">
        <v>59.0</v>
      </c>
      <c r="G306" s="50">
        <v>1.0</v>
      </c>
      <c r="H306" s="50">
        <v>99.0</v>
      </c>
      <c r="I306" s="50" t="s">
        <v>24607</v>
      </c>
      <c r="J306" s="50" t="s">
        <v>24607</v>
      </c>
      <c r="K306" s="50" t="s">
        <v>24608</v>
      </c>
      <c r="L306" s="50" t="s">
        <v>24592</v>
      </c>
      <c r="M306" s="50" t="s">
        <v>24594</v>
      </c>
      <c r="N306" s="50" t="s">
        <v>24595</v>
      </c>
      <c r="O306" s="50">
        <v>1.0</v>
      </c>
      <c r="P306" s="144">
        <v>43766.0</v>
      </c>
      <c r="Q306" s="116"/>
      <c r="R306" s="50" t="s">
        <v>24609</v>
      </c>
      <c r="S306" s="50">
        <v>6.0</v>
      </c>
      <c r="T306" s="50" t="s">
        <v>22634</v>
      </c>
      <c r="U306" s="117">
        <v>4758.0</v>
      </c>
      <c r="V306" s="50" t="s">
        <v>24610</v>
      </c>
      <c r="W306" s="50" t="s">
        <v>24611</v>
      </c>
      <c r="X306" s="117">
        <v>311.0</v>
      </c>
    </row>
    <row r="307">
      <c r="A307" s="50" t="s">
        <v>24606</v>
      </c>
      <c r="B307" s="50" t="s">
        <v>6876</v>
      </c>
      <c r="C307" s="50" t="s">
        <v>6877</v>
      </c>
      <c r="D307" s="50" t="s">
        <v>8493</v>
      </c>
      <c r="E307" s="50" t="s">
        <v>24614</v>
      </c>
      <c r="F307" s="50">
        <v>59.0</v>
      </c>
      <c r="G307" s="50">
        <v>1.0</v>
      </c>
      <c r="H307" s="50">
        <v>11.0</v>
      </c>
      <c r="I307" s="50" t="s">
        <v>24618</v>
      </c>
      <c r="J307" s="50" t="s">
        <v>24618</v>
      </c>
      <c r="K307" s="50" t="s">
        <v>24620</v>
      </c>
      <c r="L307" s="50" t="s">
        <v>24621</v>
      </c>
      <c r="M307" s="50" t="s">
        <v>24622</v>
      </c>
      <c r="N307" s="50" t="s">
        <v>24623</v>
      </c>
      <c r="O307" s="50">
        <v>1.0</v>
      </c>
      <c r="P307" s="144">
        <v>43766.0</v>
      </c>
      <c r="Q307" s="116"/>
      <c r="R307" s="116"/>
      <c r="S307" s="50">
        <v>4.0</v>
      </c>
      <c r="T307" s="50" t="s">
        <v>22634</v>
      </c>
      <c r="U307" s="117">
        <v>4759.0</v>
      </c>
      <c r="V307" s="50" t="s">
        <v>24625</v>
      </c>
      <c r="W307" s="50" t="s">
        <v>24626</v>
      </c>
      <c r="X307" s="117">
        <v>312.0</v>
      </c>
    </row>
    <row r="308">
      <c r="A308" s="50" t="s">
        <v>24614</v>
      </c>
      <c r="B308" s="50" t="s">
        <v>6876</v>
      </c>
      <c r="C308" s="50" t="s">
        <v>6877</v>
      </c>
      <c r="D308" s="50" t="s">
        <v>8493</v>
      </c>
      <c r="E308" s="50" t="s">
        <v>24627</v>
      </c>
      <c r="F308" s="50">
        <v>59.0</v>
      </c>
      <c r="G308" s="50">
        <v>1.0</v>
      </c>
      <c r="H308" s="50">
        <v>99.0</v>
      </c>
      <c r="I308" s="50" t="s">
        <v>24628</v>
      </c>
      <c r="J308" s="50" t="s">
        <v>24628</v>
      </c>
      <c r="K308" s="50" t="s">
        <v>24591</v>
      </c>
      <c r="L308" s="50" t="s">
        <v>24608</v>
      </c>
      <c r="M308" s="50" t="s">
        <v>24629</v>
      </c>
      <c r="N308" s="50" t="s">
        <v>24630</v>
      </c>
      <c r="O308" s="50">
        <v>1.0</v>
      </c>
      <c r="P308" s="144">
        <v>43766.0</v>
      </c>
      <c r="Q308" s="116"/>
      <c r="R308" s="116"/>
      <c r="S308" s="50">
        <v>4.0</v>
      </c>
      <c r="T308" s="50" t="s">
        <v>22634</v>
      </c>
      <c r="U308" s="117">
        <v>4760.0</v>
      </c>
      <c r="V308" s="50" t="s">
        <v>24634</v>
      </c>
      <c r="W308" s="50" t="s">
        <v>24635</v>
      </c>
      <c r="X308" s="117">
        <v>313.0</v>
      </c>
    </row>
    <row r="309">
      <c r="A309" s="50" t="s">
        <v>24627</v>
      </c>
      <c r="B309" s="50" t="s">
        <v>6876</v>
      </c>
      <c r="C309" s="50" t="s">
        <v>6877</v>
      </c>
      <c r="D309" s="50" t="s">
        <v>8493</v>
      </c>
      <c r="E309" s="50" t="s">
        <v>24636</v>
      </c>
      <c r="F309" s="50">
        <v>59.0</v>
      </c>
      <c r="G309" s="50">
        <v>1.0</v>
      </c>
      <c r="H309" s="50">
        <v>11.0</v>
      </c>
      <c r="I309" s="50" t="s">
        <v>24637</v>
      </c>
      <c r="J309" s="50" t="s">
        <v>24637</v>
      </c>
      <c r="K309" s="50" t="s">
        <v>24620</v>
      </c>
      <c r="L309" s="50" t="s">
        <v>24621</v>
      </c>
      <c r="M309" s="50" t="s">
        <v>24622</v>
      </c>
      <c r="N309" s="50" t="s">
        <v>24623</v>
      </c>
      <c r="O309" s="50">
        <v>1.0</v>
      </c>
      <c r="P309" s="144">
        <v>43766.0</v>
      </c>
      <c r="Q309" s="116"/>
      <c r="R309" s="116"/>
      <c r="S309" s="50">
        <v>4.0</v>
      </c>
      <c r="T309" s="50" t="s">
        <v>22634</v>
      </c>
      <c r="U309" s="117">
        <v>4761.0</v>
      </c>
      <c r="V309" s="50" t="s">
        <v>24639</v>
      </c>
      <c r="W309" s="50" t="s">
        <v>24640</v>
      </c>
      <c r="X309" s="117">
        <v>314.0</v>
      </c>
    </row>
    <row r="310">
      <c r="A310" s="50" t="s">
        <v>24643</v>
      </c>
      <c r="B310" s="50" t="s">
        <v>6876</v>
      </c>
      <c r="C310" s="50" t="s">
        <v>6877</v>
      </c>
      <c r="D310" s="50" t="s">
        <v>8493</v>
      </c>
      <c r="E310" s="50" t="s">
        <v>24648</v>
      </c>
      <c r="F310" s="50">
        <v>59.0</v>
      </c>
      <c r="G310" s="50">
        <v>1.0</v>
      </c>
      <c r="H310" s="50">
        <v>99.0</v>
      </c>
      <c r="I310" s="50" t="s">
        <v>24650</v>
      </c>
      <c r="J310" s="50" t="s">
        <v>24650</v>
      </c>
      <c r="K310" s="50" t="s">
        <v>24620</v>
      </c>
      <c r="L310" s="50" t="s">
        <v>24621</v>
      </c>
      <c r="M310" s="50" t="s">
        <v>24622</v>
      </c>
      <c r="N310" s="50" t="s">
        <v>24623</v>
      </c>
      <c r="O310" s="50">
        <v>1.0</v>
      </c>
      <c r="P310" s="144">
        <v>43766.0</v>
      </c>
      <c r="Q310" s="116"/>
      <c r="R310" s="50" t="s">
        <v>24653</v>
      </c>
      <c r="S310" s="50">
        <v>4.0</v>
      </c>
      <c r="T310" s="50" t="s">
        <v>22634</v>
      </c>
      <c r="U310" s="117">
        <v>4762.0</v>
      </c>
      <c r="V310" s="50" t="s">
        <v>24654</v>
      </c>
      <c r="W310" s="50" t="s">
        <v>24655</v>
      </c>
      <c r="X310" s="117">
        <v>315.0</v>
      </c>
    </row>
    <row r="311">
      <c r="A311" s="50" t="s">
        <v>24648</v>
      </c>
      <c r="B311" s="50" t="s">
        <v>6876</v>
      </c>
      <c r="C311" s="50" t="s">
        <v>6877</v>
      </c>
      <c r="D311" s="50" t="s">
        <v>8493</v>
      </c>
      <c r="E311" s="50" t="s">
        <v>24656</v>
      </c>
      <c r="F311" s="50">
        <v>58.0</v>
      </c>
      <c r="G311" s="50">
        <v>1.0</v>
      </c>
      <c r="H311" s="50">
        <v>11.0</v>
      </c>
      <c r="I311" s="50" t="s">
        <v>24657</v>
      </c>
      <c r="J311" s="50" t="s">
        <v>24657</v>
      </c>
      <c r="K311" s="50" t="s">
        <v>24620</v>
      </c>
      <c r="L311" s="50" t="s">
        <v>24621</v>
      </c>
      <c r="M311" s="50" t="s">
        <v>24622</v>
      </c>
      <c r="N311" s="50" t="s">
        <v>24661</v>
      </c>
      <c r="O311" s="50">
        <v>1.0</v>
      </c>
      <c r="P311" s="144">
        <v>43766.0</v>
      </c>
      <c r="Q311" s="116"/>
      <c r="R311" s="116"/>
      <c r="S311" s="50">
        <v>6.0</v>
      </c>
      <c r="T311" s="50" t="s">
        <v>22634</v>
      </c>
      <c r="U311" s="117">
        <v>4763.0</v>
      </c>
      <c r="V311" s="50" t="s">
        <v>24663</v>
      </c>
      <c r="W311" s="50" t="s">
        <v>24664</v>
      </c>
      <c r="X311" s="117">
        <v>316.0</v>
      </c>
    </row>
    <row r="312">
      <c r="A312" s="50" t="s">
        <v>24656</v>
      </c>
      <c r="B312" s="50" t="s">
        <v>6876</v>
      </c>
      <c r="C312" s="50" t="s">
        <v>6877</v>
      </c>
      <c r="D312" s="50" t="s">
        <v>8493</v>
      </c>
      <c r="E312" s="50" t="s">
        <v>24665</v>
      </c>
      <c r="F312" s="50">
        <v>59.0</v>
      </c>
      <c r="G312" s="50">
        <v>1.0</v>
      </c>
      <c r="H312" s="50">
        <v>99.0</v>
      </c>
      <c r="I312" s="50" t="s">
        <v>24666</v>
      </c>
      <c r="J312" s="50" t="s">
        <v>24666</v>
      </c>
      <c r="K312" s="50" t="s">
        <v>24591</v>
      </c>
      <c r="L312" s="50" t="s">
        <v>24592</v>
      </c>
      <c r="M312" s="50" t="s">
        <v>24594</v>
      </c>
      <c r="N312" s="50" t="s">
        <v>24622</v>
      </c>
      <c r="O312" s="50">
        <v>1.0</v>
      </c>
      <c r="P312" s="144">
        <v>43766.0</v>
      </c>
      <c r="Q312" s="116"/>
      <c r="R312" s="50" t="s">
        <v>24667</v>
      </c>
      <c r="S312" s="50">
        <v>6.0</v>
      </c>
      <c r="T312" s="50" t="s">
        <v>22634</v>
      </c>
      <c r="U312" s="117">
        <v>4764.0</v>
      </c>
      <c r="V312" s="50" t="s">
        <v>24669</v>
      </c>
      <c r="W312" s="50" t="s">
        <v>24671</v>
      </c>
      <c r="X312" s="117">
        <v>317.0</v>
      </c>
    </row>
    <row r="313">
      <c r="A313" s="50" t="s">
        <v>24665</v>
      </c>
      <c r="B313" s="50" t="s">
        <v>6876</v>
      </c>
      <c r="C313" s="50" t="s">
        <v>6877</v>
      </c>
      <c r="D313" s="50" t="s">
        <v>8493</v>
      </c>
      <c r="E313" s="50" t="s">
        <v>24674</v>
      </c>
      <c r="F313" s="50">
        <v>59.0</v>
      </c>
      <c r="G313" s="50">
        <v>1.0</v>
      </c>
      <c r="H313" s="50">
        <v>11.0</v>
      </c>
      <c r="I313" s="50" t="s">
        <v>24676</v>
      </c>
      <c r="J313" s="50" t="s">
        <v>24676</v>
      </c>
      <c r="K313" s="50" t="s">
        <v>24620</v>
      </c>
      <c r="L313" s="50" t="s">
        <v>24621</v>
      </c>
      <c r="M313" s="50" t="s">
        <v>24622</v>
      </c>
      <c r="N313" s="50" t="s">
        <v>24678</v>
      </c>
      <c r="O313" s="50">
        <v>1.0</v>
      </c>
      <c r="P313" s="144">
        <v>43766.0</v>
      </c>
      <c r="Q313" s="116"/>
      <c r="R313" s="116"/>
      <c r="S313" s="50">
        <v>6.0</v>
      </c>
      <c r="T313" s="50" t="s">
        <v>22634</v>
      </c>
      <c r="U313" s="117">
        <v>4765.0</v>
      </c>
      <c r="V313" s="50" t="s">
        <v>24679</v>
      </c>
      <c r="W313" s="50" t="s">
        <v>24680</v>
      </c>
      <c r="X313" s="117">
        <v>318.0</v>
      </c>
    </row>
    <row r="314">
      <c r="A314" s="50" t="s">
        <v>24683</v>
      </c>
      <c r="B314" s="50" t="s">
        <v>6876</v>
      </c>
      <c r="C314" s="50" t="s">
        <v>6877</v>
      </c>
      <c r="D314" s="50" t="s">
        <v>8493</v>
      </c>
      <c r="E314" s="50" t="s">
        <v>24685</v>
      </c>
      <c r="F314" s="50">
        <v>59.0</v>
      </c>
      <c r="G314" s="50">
        <v>1.0</v>
      </c>
      <c r="H314" s="50">
        <v>99.0</v>
      </c>
      <c r="I314" s="50" t="s">
        <v>24686</v>
      </c>
      <c r="J314" s="50" t="s">
        <v>24686</v>
      </c>
      <c r="K314" s="50" t="s">
        <v>24608</v>
      </c>
      <c r="L314" s="50" t="s">
        <v>24592</v>
      </c>
      <c r="M314" s="50" t="s">
        <v>24594</v>
      </c>
      <c r="N314" s="50" t="s">
        <v>24622</v>
      </c>
      <c r="O314" s="50">
        <v>1.0</v>
      </c>
      <c r="P314" s="144">
        <v>43766.0</v>
      </c>
      <c r="Q314" s="116"/>
      <c r="R314" s="50" t="s">
        <v>24687</v>
      </c>
      <c r="S314" s="50">
        <v>6.0</v>
      </c>
      <c r="T314" s="50" t="s">
        <v>22634</v>
      </c>
      <c r="U314" s="117">
        <v>4766.0</v>
      </c>
      <c r="V314" s="50" t="s">
        <v>24688</v>
      </c>
      <c r="W314" s="50" t="s">
        <v>24689</v>
      </c>
      <c r="X314" s="117">
        <v>319.0</v>
      </c>
    </row>
    <row r="315">
      <c r="A315" s="50" t="s">
        <v>24685</v>
      </c>
      <c r="B315" s="50" t="s">
        <v>6876</v>
      </c>
      <c r="C315" s="50" t="s">
        <v>6877</v>
      </c>
      <c r="D315" s="50" t="s">
        <v>8493</v>
      </c>
      <c r="E315" s="50" t="s">
        <v>24691</v>
      </c>
      <c r="F315" s="50">
        <v>59.0</v>
      </c>
      <c r="G315" s="50">
        <v>1.0</v>
      </c>
      <c r="H315" s="50">
        <v>11.0</v>
      </c>
      <c r="I315" s="50" t="s">
        <v>24695</v>
      </c>
      <c r="J315" s="50" t="s">
        <v>24695</v>
      </c>
      <c r="K315" s="50" t="s">
        <v>24696</v>
      </c>
      <c r="L315" s="50" t="s">
        <v>10743</v>
      </c>
      <c r="M315" s="50" t="s">
        <v>10744</v>
      </c>
      <c r="N315" s="50" t="s">
        <v>24699</v>
      </c>
      <c r="O315" s="50">
        <v>1.0</v>
      </c>
      <c r="P315" s="144">
        <v>43766.0</v>
      </c>
      <c r="Q315" s="116"/>
      <c r="R315" s="116"/>
      <c r="S315" s="50">
        <v>6.0</v>
      </c>
      <c r="T315" s="50" t="s">
        <v>22634</v>
      </c>
      <c r="U315" s="117">
        <v>4767.0</v>
      </c>
      <c r="V315" s="50" t="s">
        <v>24700</v>
      </c>
      <c r="W315" s="50" t="s">
        <v>24701</v>
      </c>
      <c r="X315" s="117">
        <v>320.0</v>
      </c>
    </row>
    <row r="316">
      <c r="A316" s="50" t="s">
        <v>24691</v>
      </c>
      <c r="B316" s="50" t="s">
        <v>6876</v>
      </c>
      <c r="C316" s="50" t="s">
        <v>6877</v>
      </c>
      <c r="D316" s="50" t="s">
        <v>8493</v>
      </c>
      <c r="E316" s="50" t="s">
        <v>24702</v>
      </c>
      <c r="F316" s="50">
        <v>59.0</v>
      </c>
      <c r="G316" s="50">
        <v>1.0</v>
      </c>
      <c r="H316" s="50">
        <v>99.0</v>
      </c>
      <c r="I316" s="50" t="s">
        <v>24703</v>
      </c>
      <c r="J316" s="50" t="s">
        <v>24703</v>
      </c>
      <c r="K316" s="50" t="s">
        <v>24608</v>
      </c>
      <c r="L316" s="50" t="s">
        <v>24592</v>
      </c>
      <c r="M316" s="50" t="s">
        <v>24594</v>
      </c>
      <c r="N316" s="50" t="s">
        <v>24595</v>
      </c>
      <c r="O316" s="50">
        <v>1.0</v>
      </c>
      <c r="P316" s="144">
        <v>43766.0</v>
      </c>
      <c r="Q316" s="116"/>
      <c r="R316" s="50" t="s">
        <v>24706</v>
      </c>
      <c r="S316" s="50">
        <v>6.0</v>
      </c>
      <c r="T316" s="50" t="s">
        <v>22634</v>
      </c>
      <c r="U316" s="117">
        <v>4768.0</v>
      </c>
      <c r="V316" s="50" t="s">
        <v>24709</v>
      </c>
      <c r="W316" s="50" t="s">
        <v>24710</v>
      </c>
      <c r="X316" s="117">
        <v>321.0</v>
      </c>
    </row>
    <row r="317">
      <c r="A317" s="50" t="s">
        <v>24702</v>
      </c>
      <c r="B317" s="50" t="s">
        <v>6876</v>
      </c>
      <c r="C317" s="50" t="s">
        <v>6877</v>
      </c>
      <c r="D317" s="50" t="s">
        <v>8493</v>
      </c>
      <c r="E317" s="50" t="s">
        <v>24713</v>
      </c>
      <c r="F317" s="50">
        <v>31.0</v>
      </c>
      <c r="G317" s="50">
        <v>1.0</v>
      </c>
      <c r="H317" s="50">
        <v>98.0</v>
      </c>
      <c r="I317" s="50" t="s">
        <v>24715</v>
      </c>
      <c r="J317" s="50" t="s">
        <v>24715</v>
      </c>
      <c r="K317" s="50" t="s">
        <v>24716</v>
      </c>
      <c r="L317" s="50" t="s">
        <v>24591</v>
      </c>
      <c r="M317" s="50" t="s">
        <v>24718</v>
      </c>
      <c r="N317" s="50" t="s">
        <v>24594</v>
      </c>
      <c r="O317" s="50">
        <v>1.0</v>
      </c>
      <c r="P317" s="144">
        <v>43766.0</v>
      </c>
      <c r="Q317" s="116"/>
      <c r="R317" s="50" t="s">
        <v>24719</v>
      </c>
      <c r="S317" s="50">
        <v>6.0</v>
      </c>
      <c r="T317" s="50" t="s">
        <v>22634</v>
      </c>
      <c r="U317" s="117">
        <v>4769.0</v>
      </c>
      <c r="V317" s="50" t="s">
        <v>24721</v>
      </c>
      <c r="W317" s="50" t="s">
        <v>24723</v>
      </c>
      <c r="X317" s="117">
        <v>322.0</v>
      </c>
    </row>
    <row r="318">
      <c r="A318" s="50" t="s">
        <v>24713</v>
      </c>
      <c r="B318" s="50" t="s">
        <v>6876</v>
      </c>
      <c r="C318" s="50" t="s">
        <v>6877</v>
      </c>
      <c r="D318" s="50" t="s">
        <v>8493</v>
      </c>
      <c r="E318" s="50" t="s">
        <v>24724</v>
      </c>
      <c r="F318" s="50">
        <v>59.0</v>
      </c>
      <c r="G318" s="50">
        <v>1.0</v>
      </c>
      <c r="H318" s="50">
        <v>11.0</v>
      </c>
      <c r="I318" s="50" t="s">
        <v>24727</v>
      </c>
      <c r="J318" s="50" t="s">
        <v>24727</v>
      </c>
      <c r="K318" s="50" t="s">
        <v>24728</v>
      </c>
      <c r="L318" s="50" t="s">
        <v>24729</v>
      </c>
      <c r="M318" s="50" t="s">
        <v>24731</v>
      </c>
      <c r="N318" s="50" t="s">
        <v>24733</v>
      </c>
      <c r="O318" s="50">
        <v>1.0</v>
      </c>
      <c r="P318" s="144">
        <v>43768.0</v>
      </c>
      <c r="Q318" s="116"/>
      <c r="R318" s="50" t="s">
        <v>24734</v>
      </c>
      <c r="S318" s="50">
        <v>4.0</v>
      </c>
      <c r="T318" s="50" t="s">
        <v>22634</v>
      </c>
      <c r="U318" s="117">
        <v>4770.0</v>
      </c>
      <c r="V318" s="50" t="s">
        <v>24736</v>
      </c>
      <c r="W318" s="50" t="s">
        <v>24737</v>
      </c>
      <c r="X318" s="117">
        <v>323.0</v>
      </c>
    </row>
    <row r="319">
      <c r="A319" s="50" t="s">
        <v>24724</v>
      </c>
      <c r="B319" s="50" t="s">
        <v>6876</v>
      </c>
      <c r="C319" s="50" t="s">
        <v>6877</v>
      </c>
      <c r="D319" s="50" t="s">
        <v>8493</v>
      </c>
      <c r="E319" s="50" t="s">
        <v>24739</v>
      </c>
      <c r="F319" s="50">
        <v>59.0</v>
      </c>
      <c r="G319" s="50">
        <v>1.0</v>
      </c>
      <c r="H319" s="50">
        <v>99.0</v>
      </c>
      <c r="I319" s="50" t="s">
        <v>24741</v>
      </c>
      <c r="J319" s="50" t="s">
        <v>24741</v>
      </c>
      <c r="K319" s="50" t="s">
        <v>24742</v>
      </c>
      <c r="L319" s="50" t="s">
        <v>24743</v>
      </c>
      <c r="M319" s="50" t="s">
        <v>24744</v>
      </c>
      <c r="N319" s="50" t="s">
        <v>24746</v>
      </c>
      <c r="O319" s="50">
        <v>1.0</v>
      </c>
      <c r="P319" s="144">
        <v>43768.0</v>
      </c>
      <c r="Q319" s="116"/>
      <c r="R319" s="50" t="s">
        <v>24747</v>
      </c>
      <c r="S319" s="50">
        <v>4.0</v>
      </c>
      <c r="T319" s="50" t="s">
        <v>22634</v>
      </c>
      <c r="U319" s="117">
        <v>4771.0</v>
      </c>
      <c r="V319" s="50" t="s">
        <v>24748</v>
      </c>
      <c r="W319" s="50" t="s">
        <v>24749</v>
      </c>
      <c r="X319" s="117">
        <v>324.0</v>
      </c>
    </row>
    <row r="320">
      <c r="A320" s="50" t="s">
        <v>24739</v>
      </c>
      <c r="B320" s="50" t="s">
        <v>6876</v>
      </c>
      <c r="C320" s="50" t="s">
        <v>6877</v>
      </c>
      <c r="D320" s="50" t="s">
        <v>8493</v>
      </c>
      <c r="E320" s="50" t="s">
        <v>24752</v>
      </c>
      <c r="F320" s="50">
        <v>59.0</v>
      </c>
      <c r="G320" s="50">
        <v>1.0</v>
      </c>
      <c r="H320" s="50">
        <v>11.0</v>
      </c>
      <c r="I320" s="50" t="s">
        <v>24754</v>
      </c>
      <c r="J320" s="50" t="s">
        <v>24754</v>
      </c>
      <c r="K320" s="50" t="s">
        <v>24728</v>
      </c>
      <c r="L320" s="50" t="s">
        <v>24729</v>
      </c>
      <c r="M320" s="50" t="s">
        <v>24731</v>
      </c>
      <c r="N320" s="50" t="s">
        <v>24733</v>
      </c>
      <c r="O320" s="50">
        <v>1.0</v>
      </c>
      <c r="P320" s="144">
        <v>43768.0</v>
      </c>
      <c r="Q320" s="116"/>
      <c r="R320" s="50" t="s">
        <v>24757</v>
      </c>
      <c r="S320" s="50">
        <v>4.0</v>
      </c>
      <c r="T320" s="50" t="s">
        <v>22634</v>
      </c>
      <c r="U320" s="117">
        <v>4772.0</v>
      </c>
      <c r="V320" s="50" t="s">
        <v>24759</v>
      </c>
      <c r="W320" s="50" t="s">
        <v>24760</v>
      </c>
      <c r="X320" s="117">
        <v>325.0</v>
      </c>
    </row>
    <row r="321">
      <c r="A321" s="50" t="s">
        <v>24752</v>
      </c>
      <c r="B321" s="50" t="s">
        <v>6876</v>
      </c>
      <c r="C321" s="50" t="s">
        <v>6877</v>
      </c>
      <c r="D321" s="50" t="s">
        <v>8493</v>
      </c>
      <c r="E321" s="50" t="s">
        <v>24761</v>
      </c>
      <c r="F321" s="50">
        <v>59.0</v>
      </c>
      <c r="G321" s="50">
        <v>1.0</v>
      </c>
      <c r="H321" s="50">
        <v>99.0</v>
      </c>
      <c r="I321" s="50" t="s">
        <v>24762</v>
      </c>
      <c r="J321" s="50" t="s">
        <v>24762</v>
      </c>
      <c r="K321" s="50" t="s">
        <v>24742</v>
      </c>
      <c r="L321" s="50" t="s">
        <v>24743</v>
      </c>
      <c r="M321" s="50" t="s">
        <v>24744</v>
      </c>
      <c r="N321" s="50" t="s">
        <v>24764</v>
      </c>
      <c r="O321" s="50">
        <v>1.0</v>
      </c>
      <c r="P321" s="144">
        <v>43768.0</v>
      </c>
      <c r="Q321" s="116"/>
      <c r="R321" s="50" t="s">
        <v>24767</v>
      </c>
      <c r="S321" s="50">
        <v>4.0</v>
      </c>
      <c r="T321" s="50" t="s">
        <v>22634</v>
      </c>
      <c r="U321" s="117">
        <v>4773.0</v>
      </c>
      <c r="V321" s="50" t="s">
        <v>24769</v>
      </c>
      <c r="W321" s="50" t="s">
        <v>24771</v>
      </c>
      <c r="X321" s="117">
        <v>326.0</v>
      </c>
    </row>
    <row r="322">
      <c r="A322" s="50" t="s">
        <v>24761</v>
      </c>
      <c r="B322" s="50" t="s">
        <v>6876</v>
      </c>
      <c r="C322" s="50" t="s">
        <v>6877</v>
      </c>
      <c r="D322" s="50" t="s">
        <v>8493</v>
      </c>
      <c r="E322" s="50" t="s">
        <v>24775</v>
      </c>
      <c r="F322" s="50">
        <v>57.0</v>
      </c>
      <c r="G322" s="50">
        <v>1.0</v>
      </c>
      <c r="H322" s="50">
        <v>11.0</v>
      </c>
      <c r="I322" s="50" t="s">
        <v>24776</v>
      </c>
      <c r="J322" s="50" t="s">
        <v>24776</v>
      </c>
      <c r="K322" s="50" t="s">
        <v>24778</v>
      </c>
      <c r="L322" s="50" t="s">
        <v>24729</v>
      </c>
      <c r="M322" s="50" t="s">
        <v>24731</v>
      </c>
      <c r="N322" s="50" t="s">
        <v>24779</v>
      </c>
      <c r="O322" s="50">
        <v>1.0</v>
      </c>
      <c r="P322" s="144">
        <v>43768.0</v>
      </c>
      <c r="Q322" s="116"/>
      <c r="R322" s="50" t="s">
        <v>24757</v>
      </c>
      <c r="S322" s="50">
        <v>6.0</v>
      </c>
      <c r="T322" s="50" t="s">
        <v>22634</v>
      </c>
      <c r="U322" s="117">
        <v>4774.0</v>
      </c>
      <c r="V322" s="50" t="s">
        <v>24782</v>
      </c>
      <c r="W322" s="50" t="s">
        <v>24783</v>
      </c>
      <c r="X322" s="117">
        <v>327.0</v>
      </c>
    </row>
    <row r="323">
      <c r="A323" s="50" t="s">
        <v>24785</v>
      </c>
      <c r="B323" s="50" t="s">
        <v>6876</v>
      </c>
      <c r="C323" s="50" t="s">
        <v>6877</v>
      </c>
      <c r="D323" s="50" t="s">
        <v>8493</v>
      </c>
      <c r="E323" s="50" t="s">
        <v>24787</v>
      </c>
      <c r="F323" s="50">
        <v>59.0</v>
      </c>
      <c r="G323" s="50">
        <v>1.0</v>
      </c>
      <c r="H323" s="50">
        <v>99.0</v>
      </c>
      <c r="I323" s="50" t="s">
        <v>24789</v>
      </c>
      <c r="J323" s="50" t="s">
        <v>24789</v>
      </c>
      <c r="K323" s="50" t="s">
        <v>24742</v>
      </c>
      <c r="L323" s="50" t="s">
        <v>24743</v>
      </c>
      <c r="M323" s="50" t="s">
        <v>24744</v>
      </c>
      <c r="N323" s="50" t="s">
        <v>24764</v>
      </c>
      <c r="O323" s="50">
        <v>1.0</v>
      </c>
      <c r="P323" s="144">
        <v>43768.0</v>
      </c>
      <c r="Q323" s="116"/>
      <c r="R323" s="50" t="s">
        <v>24793</v>
      </c>
      <c r="S323" s="50">
        <v>6.0</v>
      </c>
      <c r="T323" s="50" t="s">
        <v>22634</v>
      </c>
      <c r="U323" s="117">
        <v>4775.0</v>
      </c>
      <c r="V323" s="50" t="s">
        <v>24796</v>
      </c>
      <c r="W323" s="50" t="s">
        <v>24797</v>
      </c>
      <c r="X323" s="117">
        <v>328.0</v>
      </c>
    </row>
    <row r="324">
      <c r="A324" s="50" t="s">
        <v>24787</v>
      </c>
      <c r="B324" s="50" t="s">
        <v>6876</v>
      </c>
      <c r="C324" s="50" t="s">
        <v>6877</v>
      </c>
      <c r="D324" s="50" t="s">
        <v>8493</v>
      </c>
      <c r="E324" s="50" t="s">
        <v>24800</v>
      </c>
      <c r="F324" s="50">
        <v>59.0</v>
      </c>
      <c r="G324" s="50">
        <v>1.0</v>
      </c>
      <c r="H324" s="50">
        <v>11.0</v>
      </c>
      <c r="I324" s="50" t="s">
        <v>24801</v>
      </c>
      <c r="J324" s="50" t="s">
        <v>24801</v>
      </c>
      <c r="K324" s="50" t="s">
        <v>24778</v>
      </c>
      <c r="L324" s="50" t="s">
        <v>24729</v>
      </c>
      <c r="M324" s="50" t="s">
        <v>24731</v>
      </c>
      <c r="N324" s="50" t="s">
        <v>24779</v>
      </c>
      <c r="O324" s="50">
        <v>1.0</v>
      </c>
      <c r="P324" s="144">
        <v>43768.0</v>
      </c>
      <c r="Q324" s="116"/>
      <c r="R324" s="50" t="s">
        <v>24757</v>
      </c>
      <c r="S324" s="50">
        <v>6.0</v>
      </c>
      <c r="T324" s="50" t="s">
        <v>22634</v>
      </c>
      <c r="U324" s="117">
        <v>4776.0</v>
      </c>
      <c r="V324" s="50" t="s">
        <v>24806</v>
      </c>
      <c r="W324" s="50" t="s">
        <v>24808</v>
      </c>
      <c r="X324" s="117">
        <v>329.0</v>
      </c>
    </row>
    <row r="325">
      <c r="A325" s="50" t="s">
        <v>24800</v>
      </c>
      <c r="B325" s="50" t="s">
        <v>6876</v>
      </c>
      <c r="C325" s="50" t="s">
        <v>6877</v>
      </c>
      <c r="D325" s="50" t="s">
        <v>8493</v>
      </c>
      <c r="E325" s="50" t="s">
        <v>24811</v>
      </c>
      <c r="F325" s="50">
        <v>59.0</v>
      </c>
      <c r="G325" s="50">
        <v>1.0</v>
      </c>
      <c r="H325" s="50">
        <v>99.0</v>
      </c>
      <c r="I325" s="50" t="s">
        <v>24813</v>
      </c>
      <c r="J325" s="50" t="s">
        <v>24813</v>
      </c>
      <c r="K325" s="50" t="s">
        <v>24814</v>
      </c>
      <c r="L325" s="50" t="s">
        <v>24743</v>
      </c>
      <c r="M325" s="50" t="s">
        <v>24744</v>
      </c>
      <c r="N325" s="50" t="s">
        <v>24764</v>
      </c>
      <c r="O325" s="50">
        <v>1.0</v>
      </c>
      <c r="P325" s="144">
        <v>43768.0</v>
      </c>
      <c r="Q325" s="116"/>
      <c r="R325" s="50" t="s">
        <v>24815</v>
      </c>
      <c r="S325" s="50">
        <v>6.0</v>
      </c>
      <c r="T325" s="50" t="s">
        <v>22634</v>
      </c>
      <c r="U325" s="117">
        <v>4777.0</v>
      </c>
      <c r="V325" s="50" t="s">
        <v>24818</v>
      </c>
      <c r="W325" s="50" t="s">
        <v>24819</v>
      </c>
      <c r="X325" s="117">
        <v>330.0</v>
      </c>
    </row>
    <row r="326">
      <c r="A326" s="50" t="s">
        <v>24811</v>
      </c>
      <c r="B326" s="50" t="s">
        <v>6876</v>
      </c>
      <c r="C326" s="50" t="s">
        <v>6877</v>
      </c>
      <c r="D326" s="50" t="s">
        <v>8493</v>
      </c>
      <c r="E326" s="50" t="s">
        <v>24825</v>
      </c>
      <c r="F326" s="50">
        <v>59.0</v>
      </c>
      <c r="G326" s="50">
        <v>1.0</v>
      </c>
      <c r="H326" s="50">
        <v>11.0</v>
      </c>
      <c r="I326" s="50" t="s">
        <v>24827</v>
      </c>
      <c r="J326" s="50" t="s">
        <v>24827</v>
      </c>
      <c r="K326" s="50" t="s">
        <v>24778</v>
      </c>
      <c r="L326" s="50" t="s">
        <v>24729</v>
      </c>
      <c r="M326" s="50" t="s">
        <v>24731</v>
      </c>
      <c r="N326" s="50" t="s">
        <v>24829</v>
      </c>
      <c r="O326" s="50">
        <v>1.0</v>
      </c>
      <c r="P326" s="144">
        <v>43768.0</v>
      </c>
      <c r="Q326" s="116"/>
      <c r="R326" s="50" t="s">
        <v>24830</v>
      </c>
      <c r="S326" s="50">
        <v>4.0</v>
      </c>
      <c r="T326" s="50" t="s">
        <v>22634</v>
      </c>
      <c r="U326" s="117">
        <v>4778.0</v>
      </c>
      <c r="V326" s="50" t="s">
        <v>24834</v>
      </c>
      <c r="W326" s="50" t="s">
        <v>24835</v>
      </c>
      <c r="X326" s="117">
        <v>331.0</v>
      </c>
    </row>
    <row r="327">
      <c r="A327" s="50" t="s">
        <v>24825</v>
      </c>
      <c r="B327" s="50" t="s">
        <v>6876</v>
      </c>
      <c r="C327" s="50" t="s">
        <v>6877</v>
      </c>
      <c r="D327" s="50" t="s">
        <v>8493</v>
      </c>
      <c r="E327" s="50" t="s">
        <v>24838</v>
      </c>
      <c r="F327" s="50">
        <v>58.0</v>
      </c>
      <c r="G327" s="50">
        <v>1.0</v>
      </c>
      <c r="H327" s="50">
        <v>11.0</v>
      </c>
      <c r="I327" s="50" t="s">
        <v>24839</v>
      </c>
      <c r="J327" s="50" t="s">
        <v>24839</v>
      </c>
      <c r="K327" s="50" t="s">
        <v>24778</v>
      </c>
      <c r="L327" s="50" t="s">
        <v>24729</v>
      </c>
      <c r="M327" s="50" t="s">
        <v>24731</v>
      </c>
      <c r="N327" s="50" t="s">
        <v>24829</v>
      </c>
      <c r="O327" s="50">
        <v>1.0</v>
      </c>
      <c r="P327" s="144">
        <v>43768.0</v>
      </c>
      <c r="Q327" s="116"/>
      <c r="R327" s="50" t="s">
        <v>24843</v>
      </c>
      <c r="S327" s="50">
        <v>6.0</v>
      </c>
      <c r="T327" s="50" t="s">
        <v>22634</v>
      </c>
      <c r="U327" s="117">
        <v>4779.0</v>
      </c>
      <c r="V327" s="50" t="s">
        <v>24847</v>
      </c>
      <c r="W327" s="50" t="s">
        <v>24848</v>
      </c>
      <c r="X327" s="117">
        <v>332.0</v>
      </c>
    </row>
    <row r="328">
      <c r="A328" s="50" t="s">
        <v>24838</v>
      </c>
      <c r="B328" s="50" t="s">
        <v>6876</v>
      </c>
      <c r="C328" s="50" t="s">
        <v>6877</v>
      </c>
      <c r="D328" s="50" t="s">
        <v>8493</v>
      </c>
      <c r="E328" s="50" t="s">
        <v>24850</v>
      </c>
      <c r="F328" s="50">
        <v>59.0</v>
      </c>
      <c r="G328" s="50">
        <v>1.0</v>
      </c>
      <c r="H328" s="50">
        <v>99.0</v>
      </c>
      <c r="I328" s="50" t="s">
        <v>24852</v>
      </c>
      <c r="J328" s="50" t="s">
        <v>24852</v>
      </c>
      <c r="K328" s="50" t="s">
        <v>24814</v>
      </c>
      <c r="L328" s="50" t="s">
        <v>24743</v>
      </c>
      <c r="M328" s="50" t="s">
        <v>24744</v>
      </c>
      <c r="N328" s="50" t="s">
        <v>24853</v>
      </c>
      <c r="O328" s="50">
        <v>1.0</v>
      </c>
      <c r="P328" s="144">
        <v>43768.0</v>
      </c>
      <c r="Q328" s="116"/>
      <c r="R328" s="50" t="s">
        <v>24854</v>
      </c>
      <c r="S328" s="50">
        <v>4.0</v>
      </c>
      <c r="T328" s="50" t="s">
        <v>22634</v>
      </c>
      <c r="U328" s="117">
        <v>4780.0</v>
      </c>
      <c r="V328" s="50" t="s">
        <v>24857</v>
      </c>
      <c r="W328" s="50" t="s">
        <v>24858</v>
      </c>
      <c r="X328" s="117">
        <v>333.0</v>
      </c>
    </row>
    <row r="329">
      <c r="A329" s="50" t="s">
        <v>24850</v>
      </c>
      <c r="B329" s="50" t="s">
        <v>6876</v>
      </c>
      <c r="C329" s="50" t="s">
        <v>6877</v>
      </c>
      <c r="D329" s="50" t="s">
        <v>8493</v>
      </c>
      <c r="E329" s="50" t="s">
        <v>24861</v>
      </c>
      <c r="F329" s="50">
        <v>33.0</v>
      </c>
      <c r="G329" s="50">
        <v>1.0</v>
      </c>
      <c r="H329" s="50">
        <v>98.0</v>
      </c>
      <c r="I329" s="50" t="s">
        <v>24864</v>
      </c>
      <c r="J329" s="50" t="s">
        <v>24864</v>
      </c>
      <c r="K329" s="50" t="s">
        <v>24866</v>
      </c>
      <c r="L329" s="50" t="s">
        <v>24742</v>
      </c>
      <c r="M329" s="50" t="s">
        <v>24867</v>
      </c>
      <c r="N329" s="50" t="s">
        <v>24868</v>
      </c>
      <c r="O329" s="50">
        <v>1.0</v>
      </c>
      <c r="P329" s="144">
        <v>43768.0</v>
      </c>
      <c r="Q329" s="116"/>
      <c r="R329" s="50" t="s">
        <v>23528</v>
      </c>
      <c r="S329" s="50">
        <v>4.0</v>
      </c>
      <c r="T329" s="50" t="s">
        <v>22634</v>
      </c>
      <c r="U329" s="117">
        <v>4781.0</v>
      </c>
      <c r="V329" s="50" t="s">
        <v>24869</v>
      </c>
      <c r="W329" s="50" t="s">
        <v>24870</v>
      </c>
      <c r="X329" s="117">
        <v>334.0</v>
      </c>
    </row>
    <row r="330">
      <c r="A330" s="50" t="s">
        <v>24861</v>
      </c>
      <c r="B330" s="50" t="s">
        <v>6876</v>
      </c>
      <c r="C330" s="50" t="s">
        <v>6877</v>
      </c>
      <c r="D330" s="50" t="s">
        <v>8493</v>
      </c>
      <c r="E330" s="50" t="s">
        <v>24874</v>
      </c>
      <c r="F330" s="50">
        <v>57.0</v>
      </c>
      <c r="G330" s="50">
        <v>1.0</v>
      </c>
      <c r="H330" s="50">
        <v>12.0</v>
      </c>
      <c r="I330" s="50" t="s">
        <v>1494</v>
      </c>
      <c r="J330" s="50" t="s">
        <v>1494</v>
      </c>
      <c r="K330" s="50" t="s">
        <v>11046</v>
      </c>
      <c r="L330" s="50" t="s">
        <v>24879</v>
      </c>
      <c r="M330" s="50" t="s">
        <v>24880</v>
      </c>
      <c r="N330" s="50" t="s">
        <v>24881</v>
      </c>
      <c r="O330" s="50">
        <v>0.0</v>
      </c>
      <c r="P330" s="116"/>
      <c r="Q330" s="116"/>
      <c r="R330" s="50" t="s">
        <v>24882</v>
      </c>
      <c r="S330" s="50">
        <v>4.0</v>
      </c>
      <c r="T330" s="50" t="s">
        <v>22634</v>
      </c>
      <c r="U330" s="117">
        <v>4782.0</v>
      </c>
      <c r="V330" s="50" t="s">
        <v>24884</v>
      </c>
      <c r="W330" s="50" t="s">
        <v>24886</v>
      </c>
      <c r="X330" s="117">
        <v>335.0</v>
      </c>
    </row>
    <row r="331">
      <c r="A331" s="50" t="s">
        <v>24887</v>
      </c>
      <c r="B331" s="50" t="s">
        <v>6876</v>
      </c>
      <c r="C331" s="50" t="s">
        <v>6877</v>
      </c>
      <c r="D331" s="50" t="s">
        <v>8493</v>
      </c>
      <c r="E331" s="50" t="s">
        <v>24890</v>
      </c>
      <c r="F331" s="50">
        <v>57.0</v>
      </c>
      <c r="G331" s="50">
        <v>1.0</v>
      </c>
      <c r="H331" s="50">
        <v>99.0</v>
      </c>
      <c r="I331" s="50" t="s">
        <v>24892</v>
      </c>
      <c r="J331" s="50" t="s">
        <v>24892</v>
      </c>
      <c r="K331" s="50" t="s">
        <v>24894</v>
      </c>
      <c r="L331" s="50" t="s">
        <v>11046</v>
      </c>
      <c r="M331" s="50" t="s">
        <v>11047</v>
      </c>
      <c r="N331" s="50" t="s">
        <v>24895</v>
      </c>
      <c r="O331" s="50">
        <v>0.0</v>
      </c>
      <c r="P331" s="116"/>
      <c r="Q331" s="116"/>
      <c r="R331" s="50" t="s">
        <v>24896</v>
      </c>
      <c r="S331" s="50">
        <v>4.0</v>
      </c>
      <c r="T331" s="50" t="s">
        <v>22634</v>
      </c>
      <c r="U331" s="117">
        <v>4783.0</v>
      </c>
      <c r="V331" s="50" t="s">
        <v>24899</v>
      </c>
      <c r="W331" s="50" t="s">
        <v>24900</v>
      </c>
      <c r="X331" s="117">
        <v>336.0</v>
      </c>
    </row>
    <row r="332">
      <c r="A332" s="50" t="s">
        <v>24890</v>
      </c>
      <c r="B332" s="50" t="s">
        <v>6876</v>
      </c>
      <c r="C332" s="50" t="s">
        <v>6877</v>
      </c>
      <c r="D332" s="50" t="s">
        <v>8493</v>
      </c>
      <c r="E332" s="50" t="s">
        <v>24903</v>
      </c>
      <c r="F332" s="50">
        <v>55.0</v>
      </c>
      <c r="G332" s="50">
        <v>1.0</v>
      </c>
      <c r="H332" s="50">
        <v>12.0</v>
      </c>
      <c r="I332" s="50" t="s">
        <v>24906</v>
      </c>
      <c r="J332" s="50" t="s">
        <v>24906</v>
      </c>
      <c r="K332" s="50" t="s">
        <v>11046</v>
      </c>
      <c r="L332" s="50" t="s">
        <v>24908</v>
      </c>
      <c r="M332" s="50" t="s">
        <v>24895</v>
      </c>
      <c r="N332" s="50" t="s">
        <v>24909</v>
      </c>
      <c r="O332" s="50">
        <v>0.0</v>
      </c>
      <c r="P332" s="116"/>
      <c r="Q332" s="116"/>
      <c r="R332" s="50" t="s">
        <v>24911</v>
      </c>
      <c r="S332" s="50">
        <v>6.0</v>
      </c>
      <c r="T332" s="50" t="s">
        <v>22634</v>
      </c>
      <c r="U332" s="117">
        <v>4784.0</v>
      </c>
      <c r="V332" s="50" t="s">
        <v>24913</v>
      </c>
      <c r="W332" s="50" t="s">
        <v>24915</v>
      </c>
      <c r="X332" s="117">
        <v>337.0</v>
      </c>
    </row>
    <row r="333">
      <c r="A333" s="50" t="s">
        <v>24903</v>
      </c>
      <c r="B333" s="50" t="s">
        <v>6876</v>
      </c>
      <c r="C333" s="50" t="s">
        <v>6877</v>
      </c>
      <c r="D333" s="50" t="s">
        <v>8493</v>
      </c>
      <c r="E333" s="50" t="s">
        <v>24916</v>
      </c>
      <c r="F333" s="50">
        <v>55.0</v>
      </c>
      <c r="G333" s="50">
        <v>1.0</v>
      </c>
      <c r="H333" s="50">
        <v>99.0</v>
      </c>
      <c r="I333" s="50" t="s">
        <v>24917</v>
      </c>
      <c r="J333" s="50" t="s">
        <v>24917</v>
      </c>
      <c r="K333" s="50" t="s">
        <v>24894</v>
      </c>
      <c r="L333" s="50" t="s">
        <v>11046</v>
      </c>
      <c r="M333" s="50" t="s">
        <v>11047</v>
      </c>
      <c r="N333" s="50" t="s">
        <v>24895</v>
      </c>
      <c r="O333" s="50">
        <v>0.0</v>
      </c>
      <c r="P333" s="116"/>
      <c r="Q333" s="116"/>
      <c r="R333" s="50" t="s">
        <v>24918</v>
      </c>
      <c r="S333" s="50">
        <v>6.0</v>
      </c>
      <c r="T333" s="50" t="s">
        <v>22634</v>
      </c>
      <c r="U333" s="117">
        <v>4785.0</v>
      </c>
      <c r="V333" s="50" t="s">
        <v>24922</v>
      </c>
      <c r="W333" s="50" t="s">
        <v>24923</v>
      </c>
      <c r="X333" s="117">
        <v>338.0</v>
      </c>
    </row>
    <row r="334">
      <c r="A334" s="50" t="s">
        <v>24916</v>
      </c>
      <c r="B334" s="50" t="s">
        <v>6876</v>
      </c>
      <c r="C334" s="50" t="s">
        <v>6877</v>
      </c>
      <c r="D334" s="50" t="s">
        <v>8493</v>
      </c>
      <c r="E334" s="50" t="s">
        <v>24926</v>
      </c>
      <c r="F334" s="50">
        <v>33.0</v>
      </c>
      <c r="G334" s="50">
        <v>1.0</v>
      </c>
      <c r="H334" s="50">
        <v>98.0</v>
      </c>
      <c r="I334" s="50" t="s">
        <v>24928</v>
      </c>
      <c r="J334" s="50" t="s">
        <v>24928</v>
      </c>
      <c r="K334" s="50" t="s">
        <v>11045</v>
      </c>
      <c r="L334" s="50" t="s">
        <v>24894</v>
      </c>
      <c r="M334" s="50" t="s">
        <v>24930</v>
      </c>
      <c r="N334" s="50" t="s">
        <v>24931</v>
      </c>
      <c r="O334" s="50">
        <v>0.0</v>
      </c>
      <c r="P334" s="116"/>
      <c r="Q334" s="116"/>
      <c r="R334" s="50" t="s">
        <v>23528</v>
      </c>
      <c r="S334" s="50">
        <v>6.0</v>
      </c>
      <c r="T334" s="50" t="s">
        <v>22634</v>
      </c>
      <c r="U334" s="117">
        <v>4786.0</v>
      </c>
      <c r="V334" s="50" t="s">
        <v>24932</v>
      </c>
      <c r="W334" s="50" t="s">
        <v>24933</v>
      </c>
      <c r="X334" s="117">
        <v>339.0</v>
      </c>
    </row>
    <row r="335">
      <c r="A335" s="50" t="s">
        <v>24934</v>
      </c>
      <c r="B335" s="50" t="s">
        <v>6876</v>
      </c>
      <c r="C335" s="50" t="s">
        <v>6877</v>
      </c>
      <c r="D335" s="50" t="s">
        <v>8493</v>
      </c>
      <c r="E335" s="50" t="s">
        <v>24935</v>
      </c>
      <c r="F335" s="50">
        <v>59.0</v>
      </c>
      <c r="G335" s="50">
        <v>1.0</v>
      </c>
      <c r="H335" s="50">
        <v>11.0</v>
      </c>
      <c r="I335" s="50" t="s">
        <v>1508</v>
      </c>
      <c r="J335" s="50" t="s">
        <v>1508</v>
      </c>
      <c r="K335" s="50" t="s">
        <v>14730</v>
      </c>
      <c r="L335" s="50" t="s">
        <v>24938</v>
      </c>
      <c r="M335" s="50" t="s">
        <v>24939</v>
      </c>
      <c r="N335" s="50" t="s">
        <v>24941</v>
      </c>
      <c r="O335" s="50">
        <v>0.0</v>
      </c>
      <c r="P335" s="116"/>
      <c r="Q335" s="116"/>
      <c r="R335" s="116"/>
      <c r="S335" s="50">
        <v>4.0</v>
      </c>
      <c r="T335" s="50" t="s">
        <v>22634</v>
      </c>
      <c r="U335" s="117">
        <v>4857.0</v>
      </c>
      <c r="V335" s="50" t="s">
        <v>24946</v>
      </c>
      <c r="W335" s="50" t="s">
        <v>24947</v>
      </c>
      <c r="X335" s="117">
        <v>340.0</v>
      </c>
    </row>
    <row r="336">
      <c r="A336" s="50" t="s">
        <v>24948</v>
      </c>
      <c r="B336" s="50" t="s">
        <v>6876</v>
      </c>
      <c r="C336" s="50" t="s">
        <v>6877</v>
      </c>
      <c r="D336" s="50" t="s">
        <v>8493</v>
      </c>
      <c r="E336" s="50" t="s">
        <v>24950</v>
      </c>
      <c r="F336" s="50">
        <v>59.0</v>
      </c>
      <c r="G336" s="50">
        <v>1.0</v>
      </c>
      <c r="H336" s="50">
        <v>99.0</v>
      </c>
      <c r="I336" s="50" t="s">
        <v>24951</v>
      </c>
      <c r="J336" s="50" t="s">
        <v>24951</v>
      </c>
      <c r="K336" s="50" t="s">
        <v>24952</v>
      </c>
      <c r="L336" s="50" t="s">
        <v>24953</v>
      </c>
      <c r="M336" s="50" t="s">
        <v>24954</v>
      </c>
      <c r="N336" s="50" t="s">
        <v>14836</v>
      </c>
      <c r="O336" s="50">
        <v>0.0</v>
      </c>
      <c r="P336" s="116"/>
      <c r="Q336" s="116"/>
      <c r="R336" s="50" t="s">
        <v>24955</v>
      </c>
      <c r="S336" s="50">
        <v>4.0</v>
      </c>
      <c r="T336" s="50" t="s">
        <v>22634</v>
      </c>
      <c r="U336" s="117">
        <v>4859.0</v>
      </c>
      <c r="V336" s="50" t="s">
        <v>24957</v>
      </c>
      <c r="W336" s="50" t="s">
        <v>24959</v>
      </c>
      <c r="X336" s="117">
        <v>341.0</v>
      </c>
    </row>
    <row r="337">
      <c r="A337" s="50" t="s">
        <v>24950</v>
      </c>
      <c r="B337" s="50" t="s">
        <v>6876</v>
      </c>
      <c r="C337" s="50" t="s">
        <v>6877</v>
      </c>
      <c r="D337" s="50" t="s">
        <v>8493</v>
      </c>
      <c r="E337" s="50" t="s">
        <v>24960</v>
      </c>
      <c r="F337" s="50">
        <v>59.0</v>
      </c>
      <c r="G337" s="50">
        <v>1.0</v>
      </c>
      <c r="H337" s="50">
        <v>11.0</v>
      </c>
      <c r="I337" s="50" t="s">
        <v>1511</v>
      </c>
      <c r="J337" s="50" t="s">
        <v>1511</v>
      </c>
      <c r="K337" s="50" t="s">
        <v>14730</v>
      </c>
      <c r="L337" s="50" t="s">
        <v>24938</v>
      </c>
      <c r="M337" s="50" t="s">
        <v>24939</v>
      </c>
      <c r="N337" s="50" t="s">
        <v>24941</v>
      </c>
      <c r="O337" s="50">
        <v>0.0</v>
      </c>
      <c r="P337" s="116"/>
      <c r="Q337" s="116"/>
      <c r="R337" s="116"/>
      <c r="S337" s="50">
        <v>4.0</v>
      </c>
      <c r="T337" s="50" t="s">
        <v>22634</v>
      </c>
      <c r="U337" s="117">
        <v>4860.0</v>
      </c>
      <c r="V337" s="50" t="s">
        <v>24965</v>
      </c>
      <c r="W337" s="50" t="s">
        <v>24966</v>
      </c>
      <c r="X337" s="117">
        <v>342.0</v>
      </c>
    </row>
    <row r="338">
      <c r="A338" s="50" t="s">
        <v>24968</v>
      </c>
      <c r="B338" s="50" t="s">
        <v>6876</v>
      </c>
      <c r="C338" s="50" t="s">
        <v>6877</v>
      </c>
      <c r="D338" s="50" t="s">
        <v>8493</v>
      </c>
      <c r="E338" s="50" t="s">
        <v>24969</v>
      </c>
      <c r="F338" s="50">
        <v>59.0</v>
      </c>
      <c r="G338" s="50">
        <v>1.0</v>
      </c>
      <c r="H338" s="50">
        <v>99.0</v>
      </c>
      <c r="I338" s="50" t="s">
        <v>24972</v>
      </c>
      <c r="J338" s="50" t="s">
        <v>24972</v>
      </c>
      <c r="K338" s="50" t="s">
        <v>24952</v>
      </c>
      <c r="L338" s="50" t="s">
        <v>24953</v>
      </c>
      <c r="M338" s="50" t="s">
        <v>24954</v>
      </c>
      <c r="N338" s="50" t="s">
        <v>14836</v>
      </c>
      <c r="O338" s="50">
        <v>0.0</v>
      </c>
      <c r="P338" s="116"/>
      <c r="Q338" s="116"/>
      <c r="R338" s="50" t="s">
        <v>24975</v>
      </c>
      <c r="S338" s="50">
        <v>4.0</v>
      </c>
      <c r="T338" s="50" t="s">
        <v>22634</v>
      </c>
      <c r="U338" s="117">
        <v>4862.0</v>
      </c>
      <c r="V338" s="50" t="s">
        <v>24977</v>
      </c>
      <c r="W338" s="50" t="s">
        <v>24978</v>
      </c>
      <c r="X338" s="117">
        <v>343.0</v>
      </c>
    </row>
    <row r="339">
      <c r="A339" s="50" t="s">
        <v>24969</v>
      </c>
      <c r="B339" s="50" t="s">
        <v>6876</v>
      </c>
      <c r="C339" s="50" t="s">
        <v>6877</v>
      </c>
      <c r="D339" s="50" t="s">
        <v>8493</v>
      </c>
      <c r="E339" s="50" t="s">
        <v>24979</v>
      </c>
      <c r="F339" s="50">
        <v>59.0</v>
      </c>
      <c r="G339" s="50">
        <v>1.0</v>
      </c>
      <c r="H339" s="50">
        <v>11.0</v>
      </c>
      <c r="I339" s="50" t="s">
        <v>1514</v>
      </c>
      <c r="J339" s="50" t="s">
        <v>1514</v>
      </c>
      <c r="K339" s="50" t="s">
        <v>14730</v>
      </c>
      <c r="L339" s="50" t="s">
        <v>24938</v>
      </c>
      <c r="M339" s="50" t="s">
        <v>24939</v>
      </c>
      <c r="N339" s="50" t="s">
        <v>24941</v>
      </c>
      <c r="O339" s="50">
        <v>0.0</v>
      </c>
      <c r="P339" s="116"/>
      <c r="Q339" s="116"/>
      <c r="R339" s="116"/>
      <c r="S339" s="50">
        <v>6.0</v>
      </c>
      <c r="T339" s="50" t="s">
        <v>22634</v>
      </c>
      <c r="U339" s="117">
        <v>4863.0</v>
      </c>
      <c r="V339" s="50" t="s">
        <v>24984</v>
      </c>
      <c r="W339" s="50" t="s">
        <v>24986</v>
      </c>
      <c r="X339" s="117">
        <v>344.0</v>
      </c>
    </row>
    <row r="340">
      <c r="A340" s="50" t="s">
        <v>24989</v>
      </c>
      <c r="B340" s="50" t="s">
        <v>6876</v>
      </c>
      <c r="C340" s="50" t="s">
        <v>6877</v>
      </c>
      <c r="D340" s="50" t="s">
        <v>8493</v>
      </c>
      <c r="E340" s="50" t="s">
        <v>24990</v>
      </c>
      <c r="F340" s="50">
        <v>59.0</v>
      </c>
      <c r="G340" s="50">
        <v>1.0</v>
      </c>
      <c r="H340" s="50">
        <v>99.0</v>
      </c>
      <c r="I340" s="50" t="s">
        <v>24992</v>
      </c>
      <c r="J340" s="50" t="s">
        <v>24992</v>
      </c>
      <c r="K340" s="50" t="s">
        <v>24952</v>
      </c>
      <c r="L340" s="50" t="s">
        <v>24953</v>
      </c>
      <c r="M340" s="50" t="s">
        <v>24954</v>
      </c>
      <c r="N340" s="50" t="s">
        <v>14836</v>
      </c>
      <c r="O340" s="50">
        <v>0.0</v>
      </c>
      <c r="P340" s="116"/>
      <c r="Q340" s="116"/>
      <c r="R340" s="50" t="s">
        <v>24993</v>
      </c>
      <c r="S340" s="50">
        <v>6.0</v>
      </c>
      <c r="T340" s="50" t="s">
        <v>22634</v>
      </c>
      <c r="U340" s="117">
        <v>4865.0</v>
      </c>
      <c r="V340" s="50" t="s">
        <v>24994</v>
      </c>
      <c r="W340" s="50" t="s">
        <v>24995</v>
      </c>
      <c r="X340" s="117">
        <v>345.0</v>
      </c>
    </row>
    <row r="341">
      <c r="A341" s="50" t="s">
        <v>24990</v>
      </c>
      <c r="B341" s="50" t="s">
        <v>6876</v>
      </c>
      <c r="C341" s="50" t="s">
        <v>6877</v>
      </c>
      <c r="D341" s="50" t="s">
        <v>8493</v>
      </c>
      <c r="E341" s="50" t="s">
        <v>24997</v>
      </c>
      <c r="F341" s="50">
        <v>59.0</v>
      </c>
      <c r="G341" s="50">
        <v>1.0</v>
      </c>
      <c r="H341" s="50">
        <v>11.0</v>
      </c>
      <c r="I341" s="50" t="s">
        <v>1517</v>
      </c>
      <c r="J341" s="50" t="s">
        <v>1517</v>
      </c>
      <c r="K341" s="50" t="s">
        <v>14730</v>
      </c>
      <c r="L341" s="50" t="s">
        <v>24938</v>
      </c>
      <c r="M341" s="50" t="s">
        <v>24939</v>
      </c>
      <c r="N341" s="50" t="s">
        <v>24941</v>
      </c>
      <c r="O341" s="50">
        <v>0.0</v>
      </c>
      <c r="P341" s="116"/>
      <c r="Q341" s="116"/>
      <c r="R341" s="116"/>
      <c r="S341" s="50">
        <v>4.0</v>
      </c>
      <c r="T341" s="50" t="s">
        <v>22634</v>
      </c>
      <c r="U341" s="117">
        <v>4866.0</v>
      </c>
      <c r="V341" s="50" t="s">
        <v>25005</v>
      </c>
      <c r="W341" s="50" t="s">
        <v>25007</v>
      </c>
      <c r="X341" s="117">
        <v>346.0</v>
      </c>
    </row>
    <row r="342">
      <c r="A342" s="50" t="s">
        <v>25009</v>
      </c>
      <c r="B342" s="50" t="s">
        <v>6876</v>
      </c>
      <c r="C342" s="50" t="s">
        <v>6877</v>
      </c>
      <c r="D342" s="50" t="s">
        <v>8493</v>
      </c>
      <c r="E342" s="50" t="s">
        <v>25011</v>
      </c>
      <c r="F342" s="50">
        <v>59.0</v>
      </c>
      <c r="G342" s="50">
        <v>1.0</v>
      </c>
      <c r="H342" s="50">
        <v>99.0</v>
      </c>
      <c r="I342" s="50" t="s">
        <v>25012</v>
      </c>
      <c r="J342" s="50" t="s">
        <v>25012</v>
      </c>
      <c r="K342" s="50" t="s">
        <v>24952</v>
      </c>
      <c r="L342" s="50" t="s">
        <v>24953</v>
      </c>
      <c r="M342" s="50" t="s">
        <v>24954</v>
      </c>
      <c r="N342" s="50" t="s">
        <v>14836</v>
      </c>
      <c r="O342" s="50">
        <v>0.0</v>
      </c>
      <c r="P342" s="116"/>
      <c r="Q342" s="116"/>
      <c r="R342" s="50" t="s">
        <v>25016</v>
      </c>
      <c r="S342" s="50">
        <v>4.0</v>
      </c>
      <c r="T342" s="50" t="s">
        <v>22634</v>
      </c>
      <c r="U342" s="117">
        <v>4868.0</v>
      </c>
      <c r="V342" s="50" t="s">
        <v>25020</v>
      </c>
      <c r="W342" s="50" t="s">
        <v>25022</v>
      </c>
      <c r="X342" s="117">
        <v>347.0</v>
      </c>
    </row>
    <row r="343">
      <c r="A343" s="50" t="s">
        <v>25011</v>
      </c>
      <c r="B343" s="50" t="s">
        <v>6876</v>
      </c>
      <c r="C343" s="50" t="s">
        <v>6877</v>
      </c>
      <c r="D343" s="50" t="s">
        <v>8493</v>
      </c>
      <c r="E343" s="50" t="s">
        <v>25025</v>
      </c>
      <c r="F343" s="50">
        <v>59.0</v>
      </c>
      <c r="G343" s="50">
        <v>1.0</v>
      </c>
      <c r="H343" s="50">
        <v>11.0</v>
      </c>
      <c r="I343" s="50" t="s">
        <v>1520</v>
      </c>
      <c r="J343" s="50" t="s">
        <v>1520</v>
      </c>
      <c r="K343" s="50" t="s">
        <v>14730</v>
      </c>
      <c r="L343" s="50" t="s">
        <v>24938</v>
      </c>
      <c r="M343" s="50" t="s">
        <v>24939</v>
      </c>
      <c r="N343" s="50" t="s">
        <v>24941</v>
      </c>
      <c r="O343" s="50">
        <v>0.0</v>
      </c>
      <c r="P343" s="116"/>
      <c r="Q343" s="116"/>
      <c r="R343" s="116"/>
      <c r="S343" s="50">
        <v>6.0</v>
      </c>
      <c r="T343" s="50" t="s">
        <v>22634</v>
      </c>
      <c r="U343" s="117">
        <v>4869.0</v>
      </c>
      <c r="V343" s="50" t="s">
        <v>25031</v>
      </c>
      <c r="W343" s="50" t="s">
        <v>25032</v>
      </c>
      <c r="X343" s="117">
        <v>348.0</v>
      </c>
    </row>
    <row r="344">
      <c r="A344" s="50" t="s">
        <v>25033</v>
      </c>
      <c r="B344" s="50" t="s">
        <v>6876</v>
      </c>
      <c r="C344" s="50" t="s">
        <v>6877</v>
      </c>
      <c r="D344" s="50" t="s">
        <v>8493</v>
      </c>
      <c r="E344" s="50" t="s">
        <v>25037</v>
      </c>
      <c r="F344" s="50">
        <v>59.0</v>
      </c>
      <c r="G344" s="50">
        <v>1.0</v>
      </c>
      <c r="H344" s="50">
        <v>99.0</v>
      </c>
      <c r="I344" s="50" t="s">
        <v>25041</v>
      </c>
      <c r="J344" s="50" t="s">
        <v>25041</v>
      </c>
      <c r="K344" s="50" t="s">
        <v>24952</v>
      </c>
      <c r="L344" s="50" t="s">
        <v>24953</v>
      </c>
      <c r="M344" s="50" t="s">
        <v>24954</v>
      </c>
      <c r="N344" s="50" t="s">
        <v>14836</v>
      </c>
      <c r="O344" s="50">
        <v>0.0</v>
      </c>
      <c r="P344" s="116"/>
      <c r="Q344" s="116"/>
      <c r="R344" s="50" t="s">
        <v>25042</v>
      </c>
      <c r="S344" s="50">
        <v>6.0</v>
      </c>
      <c r="T344" s="50" t="s">
        <v>22634</v>
      </c>
      <c r="U344" s="117">
        <v>4871.0</v>
      </c>
      <c r="V344" s="50" t="s">
        <v>25046</v>
      </c>
      <c r="W344" s="50" t="s">
        <v>25047</v>
      </c>
      <c r="X344" s="117">
        <v>349.0</v>
      </c>
    </row>
    <row r="345">
      <c r="A345" s="50" t="s">
        <v>25037</v>
      </c>
      <c r="B345" s="50" t="s">
        <v>6876</v>
      </c>
      <c r="C345" s="50" t="s">
        <v>6877</v>
      </c>
      <c r="D345" s="50" t="s">
        <v>8493</v>
      </c>
      <c r="E345" s="50" t="s">
        <v>25049</v>
      </c>
      <c r="F345" s="50">
        <v>66.0</v>
      </c>
      <c r="G345" s="50">
        <v>1.0</v>
      </c>
      <c r="H345" s="50">
        <v>12.0</v>
      </c>
      <c r="I345" s="50" t="s">
        <v>1502</v>
      </c>
      <c r="J345" s="50" t="s">
        <v>1502</v>
      </c>
      <c r="K345" s="50" t="s">
        <v>25050</v>
      </c>
      <c r="L345" s="50" t="s">
        <v>25051</v>
      </c>
      <c r="M345" s="50" t="s">
        <v>25052</v>
      </c>
      <c r="N345" s="50" t="s">
        <v>25053</v>
      </c>
      <c r="O345" s="50">
        <v>0.0</v>
      </c>
      <c r="P345" s="116"/>
      <c r="Q345" s="116"/>
      <c r="R345" s="116"/>
      <c r="S345" s="50">
        <v>4.0</v>
      </c>
      <c r="T345" s="50" t="s">
        <v>22634</v>
      </c>
      <c r="U345" s="117">
        <v>4872.0</v>
      </c>
      <c r="V345" s="50" t="s">
        <v>25057</v>
      </c>
      <c r="W345" s="50" t="s">
        <v>25059</v>
      </c>
      <c r="X345" s="117">
        <v>350.0</v>
      </c>
    </row>
    <row r="346">
      <c r="A346" s="50" t="s">
        <v>25061</v>
      </c>
      <c r="B346" s="50" t="s">
        <v>6876</v>
      </c>
      <c r="C346" s="50" t="s">
        <v>6877</v>
      </c>
      <c r="D346" s="50" t="s">
        <v>8493</v>
      </c>
      <c r="E346" s="50" t="s">
        <v>25062</v>
      </c>
      <c r="F346" s="50">
        <v>66.0</v>
      </c>
      <c r="G346" s="50">
        <v>1.0</v>
      </c>
      <c r="H346" s="50">
        <v>99.0</v>
      </c>
      <c r="I346" s="50" t="s">
        <v>25065</v>
      </c>
      <c r="J346" s="50" t="s">
        <v>25065</v>
      </c>
      <c r="K346" s="50" t="s">
        <v>24952</v>
      </c>
      <c r="L346" s="50" t="s">
        <v>24953</v>
      </c>
      <c r="M346" s="50" t="s">
        <v>24954</v>
      </c>
      <c r="N346" s="50" t="s">
        <v>14836</v>
      </c>
      <c r="O346" s="50">
        <v>0.0</v>
      </c>
      <c r="P346" s="116"/>
      <c r="Q346" s="116"/>
      <c r="R346" s="50" t="s">
        <v>25067</v>
      </c>
      <c r="S346" s="50">
        <v>4.0</v>
      </c>
      <c r="T346" s="50" t="s">
        <v>22634</v>
      </c>
      <c r="U346" s="117">
        <v>4874.0</v>
      </c>
      <c r="V346" s="50" t="s">
        <v>25068</v>
      </c>
      <c r="W346" s="50" t="s">
        <v>25069</v>
      </c>
      <c r="X346" s="117">
        <v>351.0</v>
      </c>
    </row>
    <row r="347">
      <c r="A347" s="50" t="s">
        <v>25062</v>
      </c>
      <c r="B347" s="50" t="s">
        <v>6876</v>
      </c>
      <c r="C347" s="50" t="s">
        <v>6877</v>
      </c>
      <c r="D347" s="50" t="s">
        <v>8493</v>
      </c>
      <c r="E347" s="50" t="s">
        <v>25073</v>
      </c>
      <c r="F347" s="50">
        <v>59.0</v>
      </c>
      <c r="G347" s="50">
        <v>1.0</v>
      </c>
      <c r="H347" s="50">
        <v>12.0</v>
      </c>
      <c r="I347" s="50" t="s">
        <v>1505</v>
      </c>
      <c r="J347" s="50" t="s">
        <v>1505</v>
      </c>
      <c r="K347" s="50" t="s">
        <v>25050</v>
      </c>
      <c r="L347" s="50" t="s">
        <v>25051</v>
      </c>
      <c r="M347" s="50" t="s">
        <v>25052</v>
      </c>
      <c r="N347" s="50" t="s">
        <v>25078</v>
      </c>
      <c r="O347" s="50">
        <v>0.0</v>
      </c>
      <c r="P347" s="116"/>
      <c r="Q347" s="116"/>
      <c r="R347" s="116"/>
      <c r="S347" s="50">
        <v>6.0</v>
      </c>
      <c r="T347" s="50" t="s">
        <v>22634</v>
      </c>
      <c r="U347" s="117">
        <v>4875.0</v>
      </c>
      <c r="V347" s="50" t="s">
        <v>25080</v>
      </c>
      <c r="W347" s="50" t="s">
        <v>25081</v>
      </c>
      <c r="X347" s="117">
        <v>352.0</v>
      </c>
    </row>
    <row r="348">
      <c r="A348" s="50" t="s">
        <v>25082</v>
      </c>
      <c r="B348" s="50" t="s">
        <v>6876</v>
      </c>
      <c r="C348" s="50" t="s">
        <v>6877</v>
      </c>
      <c r="D348" s="50" t="s">
        <v>8493</v>
      </c>
      <c r="E348" s="50" t="s">
        <v>25086</v>
      </c>
      <c r="F348" s="50">
        <v>59.0</v>
      </c>
      <c r="G348" s="50">
        <v>1.0</v>
      </c>
      <c r="H348" s="50">
        <v>99.0</v>
      </c>
      <c r="I348" s="50" t="s">
        <v>25088</v>
      </c>
      <c r="J348" s="50" t="s">
        <v>25088</v>
      </c>
      <c r="K348" s="50" t="s">
        <v>24952</v>
      </c>
      <c r="L348" s="50" t="s">
        <v>24953</v>
      </c>
      <c r="M348" s="50" t="s">
        <v>24954</v>
      </c>
      <c r="N348" s="50" t="s">
        <v>14836</v>
      </c>
      <c r="O348" s="50">
        <v>0.0</v>
      </c>
      <c r="P348" s="116"/>
      <c r="Q348" s="116"/>
      <c r="R348" s="50" t="s">
        <v>25089</v>
      </c>
      <c r="S348" s="50">
        <v>6.0</v>
      </c>
      <c r="T348" s="50" t="s">
        <v>22634</v>
      </c>
      <c r="U348" s="117">
        <v>4876.0</v>
      </c>
      <c r="V348" s="50" t="s">
        <v>25091</v>
      </c>
      <c r="W348" s="50" t="s">
        <v>25093</v>
      </c>
      <c r="X348" s="117">
        <v>353.0</v>
      </c>
    </row>
    <row r="349">
      <c r="A349" s="50" t="s">
        <v>25086</v>
      </c>
      <c r="B349" s="50" t="s">
        <v>6876</v>
      </c>
      <c r="C349" s="50" t="s">
        <v>6877</v>
      </c>
      <c r="D349" s="50" t="s">
        <v>8493</v>
      </c>
      <c r="E349" s="50" t="s">
        <v>25095</v>
      </c>
      <c r="F349" s="50">
        <v>33.0</v>
      </c>
      <c r="G349" s="50">
        <v>1.0</v>
      </c>
      <c r="H349" s="50">
        <v>98.0</v>
      </c>
      <c r="I349" s="50" t="s">
        <v>1523</v>
      </c>
      <c r="J349" s="50" t="s">
        <v>1523</v>
      </c>
      <c r="K349" s="50" t="s">
        <v>25100</v>
      </c>
      <c r="L349" s="50" t="s">
        <v>25101</v>
      </c>
      <c r="M349" s="50" t="s">
        <v>25102</v>
      </c>
      <c r="N349" s="50" t="s">
        <v>11097</v>
      </c>
      <c r="O349" s="50">
        <v>0.0</v>
      </c>
      <c r="P349" s="116"/>
      <c r="Q349" s="116"/>
      <c r="R349" s="50" t="s">
        <v>23528</v>
      </c>
      <c r="S349" s="50">
        <v>6.0</v>
      </c>
      <c r="T349" s="50" t="s">
        <v>22634</v>
      </c>
      <c r="U349" s="117">
        <v>4877.0</v>
      </c>
      <c r="V349" s="50" t="s">
        <v>25103</v>
      </c>
      <c r="W349" s="50" t="s">
        <v>25104</v>
      </c>
      <c r="X349" s="117">
        <v>354.0</v>
      </c>
    </row>
    <row r="350">
      <c r="A350" s="50" t="s">
        <v>25095</v>
      </c>
      <c r="B350" s="50" t="s">
        <v>6876</v>
      </c>
      <c r="C350" s="50" t="s">
        <v>6877</v>
      </c>
      <c r="D350" s="50" t="s">
        <v>8493</v>
      </c>
      <c r="E350" s="50" t="s">
        <v>25109</v>
      </c>
      <c r="F350" s="50">
        <v>58.0</v>
      </c>
      <c r="G350" s="50">
        <v>1.0</v>
      </c>
      <c r="H350" s="50">
        <v>99.0</v>
      </c>
      <c r="I350" s="50" t="s">
        <v>25111</v>
      </c>
      <c r="J350" s="50" t="s">
        <v>25111</v>
      </c>
      <c r="K350" s="50" t="s">
        <v>11118</v>
      </c>
      <c r="L350" s="50" t="s">
        <v>24954</v>
      </c>
      <c r="M350" s="50" t="s">
        <v>25114</v>
      </c>
      <c r="N350" s="50" t="s">
        <v>25115</v>
      </c>
      <c r="O350" s="50">
        <v>0.0</v>
      </c>
      <c r="P350" s="116"/>
      <c r="Q350" s="116"/>
      <c r="R350" s="50" t="s">
        <v>25117</v>
      </c>
      <c r="S350" s="50">
        <v>4.0</v>
      </c>
      <c r="T350" s="50" t="s">
        <v>22634</v>
      </c>
      <c r="U350" s="117">
        <v>4878.0</v>
      </c>
      <c r="V350" s="50" t="s">
        <v>25119</v>
      </c>
      <c r="W350" s="50" t="s">
        <v>25121</v>
      </c>
      <c r="X350" s="117">
        <v>355.0</v>
      </c>
    </row>
    <row r="351">
      <c r="A351" s="50" t="s">
        <v>25109</v>
      </c>
      <c r="B351" s="50" t="s">
        <v>6876</v>
      </c>
      <c r="C351" s="50" t="s">
        <v>6877</v>
      </c>
      <c r="D351" s="50" t="s">
        <v>8493</v>
      </c>
      <c r="E351" s="50" t="s">
        <v>25125</v>
      </c>
      <c r="F351" s="50">
        <v>59.0</v>
      </c>
      <c r="G351" s="50">
        <v>1.0</v>
      </c>
      <c r="H351" s="50">
        <v>11.0</v>
      </c>
      <c r="I351" s="50" t="s">
        <v>1525</v>
      </c>
      <c r="J351" s="50" t="s">
        <v>1525</v>
      </c>
      <c r="K351" s="50" t="s">
        <v>25127</v>
      </c>
      <c r="L351" s="50" t="s">
        <v>25128</v>
      </c>
      <c r="M351" s="50" t="s">
        <v>25129</v>
      </c>
      <c r="N351" s="50" t="s">
        <v>25130</v>
      </c>
      <c r="O351" s="50">
        <v>0.0</v>
      </c>
      <c r="P351" s="116"/>
      <c r="Q351" s="116"/>
      <c r="R351" s="116"/>
      <c r="S351" s="50">
        <v>4.0</v>
      </c>
      <c r="T351" s="50" t="s">
        <v>22634</v>
      </c>
      <c r="U351" s="117">
        <v>4879.0</v>
      </c>
      <c r="V351" s="50" t="s">
        <v>25135</v>
      </c>
      <c r="W351" s="50" t="s">
        <v>25137</v>
      </c>
      <c r="X351" s="117">
        <v>356.0</v>
      </c>
    </row>
    <row r="352">
      <c r="A352" s="50" t="s">
        <v>25125</v>
      </c>
      <c r="B352" s="50" t="s">
        <v>6876</v>
      </c>
      <c r="C352" s="50" t="s">
        <v>6877</v>
      </c>
      <c r="D352" s="50" t="s">
        <v>8493</v>
      </c>
      <c r="E352" s="50" t="s">
        <v>25140</v>
      </c>
      <c r="F352" s="50">
        <v>59.0</v>
      </c>
      <c r="G352" s="50">
        <v>1.0</v>
      </c>
      <c r="H352" s="50">
        <v>99.0</v>
      </c>
      <c r="I352" s="50" t="s">
        <v>25145</v>
      </c>
      <c r="J352" s="50" t="s">
        <v>25145</v>
      </c>
      <c r="K352" s="50" t="s">
        <v>25147</v>
      </c>
      <c r="L352" s="50" t="s">
        <v>25148</v>
      </c>
      <c r="M352" s="50" t="s">
        <v>25149</v>
      </c>
      <c r="N352" s="50" t="s">
        <v>25115</v>
      </c>
      <c r="O352" s="50">
        <v>0.0</v>
      </c>
      <c r="P352" s="116"/>
      <c r="Q352" s="116"/>
      <c r="R352" s="50" t="s">
        <v>25150</v>
      </c>
      <c r="S352" s="50">
        <v>6.0</v>
      </c>
      <c r="T352" s="50" t="s">
        <v>22634</v>
      </c>
      <c r="U352" s="117">
        <v>4880.0</v>
      </c>
      <c r="V352" s="50" t="s">
        <v>25153</v>
      </c>
      <c r="W352" s="50" t="s">
        <v>25155</v>
      </c>
      <c r="X352" s="117">
        <v>357.0</v>
      </c>
    </row>
    <row r="353">
      <c r="A353" s="50" t="s">
        <v>25140</v>
      </c>
      <c r="B353" s="50" t="s">
        <v>6876</v>
      </c>
      <c r="C353" s="50" t="s">
        <v>6877</v>
      </c>
      <c r="D353" s="50" t="s">
        <v>8493</v>
      </c>
      <c r="E353" s="50" t="s">
        <v>25161</v>
      </c>
      <c r="F353" s="50">
        <v>59.0</v>
      </c>
      <c r="G353" s="50">
        <v>1.0</v>
      </c>
      <c r="H353" s="50">
        <v>11.0</v>
      </c>
      <c r="I353" s="50" t="s">
        <v>1528</v>
      </c>
      <c r="J353" s="50" t="s">
        <v>1528</v>
      </c>
      <c r="K353" s="50" t="s">
        <v>25168</v>
      </c>
      <c r="L353" s="50" t="s">
        <v>25169</v>
      </c>
      <c r="M353" s="50" t="s">
        <v>25171</v>
      </c>
      <c r="N353" s="50" t="s">
        <v>25172</v>
      </c>
      <c r="O353" s="50">
        <v>0.0</v>
      </c>
      <c r="P353" s="116"/>
      <c r="Q353" s="116"/>
      <c r="R353" s="116"/>
      <c r="S353" s="50">
        <v>6.0</v>
      </c>
      <c r="T353" s="50" t="s">
        <v>22634</v>
      </c>
      <c r="U353" s="117">
        <v>4881.0</v>
      </c>
      <c r="V353" s="50" t="s">
        <v>25174</v>
      </c>
      <c r="W353" s="50" t="s">
        <v>25175</v>
      </c>
      <c r="X353" s="117">
        <v>358.0</v>
      </c>
    </row>
    <row r="354">
      <c r="A354" s="50" t="s">
        <v>25161</v>
      </c>
      <c r="B354" s="50" t="s">
        <v>6876</v>
      </c>
      <c r="C354" s="50" t="s">
        <v>6877</v>
      </c>
      <c r="D354" s="50" t="s">
        <v>8493</v>
      </c>
      <c r="E354" s="50" t="s">
        <v>25179</v>
      </c>
      <c r="F354" s="50">
        <v>59.0</v>
      </c>
      <c r="G354" s="50">
        <v>1.0</v>
      </c>
      <c r="H354" s="50">
        <v>99.0</v>
      </c>
      <c r="I354" s="50" t="s">
        <v>25182</v>
      </c>
      <c r="J354" s="50" t="s">
        <v>25182</v>
      </c>
      <c r="K354" s="50" t="s">
        <v>25185</v>
      </c>
      <c r="L354" s="50" t="s">
        <v>14836</v>
      </c>
      <c r="M354" s="50" t="s">
        <v>25115</v>
      </c>
      <c r="N354" s="50" t="s">
        <v>25129</v>
      </c>
      <c r="O354" s="50">
        <v>0.0</v>
      </c>
      <c r="P354" s="116"/>
      <c r="Q354" s="116"/>
      <c r="R354" s="50" t="s">
        <v>25187</v>
      </c>
      <c r="S354" s="50">
        <v>6.0</v>
      </c>
      <c r="T354" s="50" t="s">
        <v>22634</v>
      </c>
      <c r="U354" s="117">
        <v>4882.0</v>
      </c>
      <c r="V354" s="50" t="s">
        <v>25188</v>
      </c>
      <c r="W354" s="50" t="s">
        <v>25189</v>
      </c>
      <c r="X354" s="117">
        <v>359.0</v>
      </c>
    </row>
    <row r="355">
      <c r="A355" s="50" t="s">
        <v>25179</v>
      </c>
      <c r="B355" s="50" t="s">
        <v>6876</v>
      </c>
      <c r="C355" s="50" t="s">
        <v>6877</v>
      </c>
      <c r="D355" s="50" t="s">
        <v>8493</v>
      </c>
      <c r="E355" s="50" t="s">
        <v>25190</v>
      </c>
      <c r="F355" s="50">
        <v>33.0</v>
      </c>
      <c r="G355" s="50">
        <v>1.0</v>
      </c>
      <c r="H355" s="50">
        <v>98.0</v>
      </c>
      <c r="I355" s="50" t="s">
        <v>1532</v>
      </c>
      <c r="J355" s="50" t="s">
        <v>1532</v>
      </c>
      <c r="K355" s="50" t="s">
        <v>25194</v>
      </c>
      <c r="L355" s="50" t="s">
        <v>11097</v>
      </c>
      <c r="M355" s="50" t="s">
        <v>25198</v>
      </c>
      <c r="N355" s="50" t="s">
        <v>25114</v>
      </c>
      <c r="O355" s="50">
        <v>0.0</v>
      </c>
      <c r="P355" s="116"/>
      <c r="Q355" s="116"/>
      <c r="R355" s="50" t="s">
        <v>23528</v>
      </c>
      <c r="S355" s="50">
        <v>4.0</v>
      </c>
      <c r="T355" s="50" t="s">
        <v>22634</v>
      </c>
      <c r="U355" s="117">
        <v>4883.0</v>
      </c>
      <c r="V355" s="50" t="s">
        <v>25201</v>
      </c>
      <c r="W355" s="50" t="s">
        <v>25202</v>
      </c>
      <c r="X355" s="117">
        <v>360.0</v>
      </c>
    </row>
    <row r="356">
      <c r="A356" s="50" t="s">
        <v>25203</v>
      </c>
      <c r="B356" s="50" t="s">
        <v>6876</v>
      </c>
      <c r="C356" s="50" t="s">
        <v>6877</v>
      </c>
      <c r="D356" s="50" t="s">
        <v>8310</v>
      </c>
      <c r="E356" s="50" t="s">
        <v>25204</v>
      </c>
      <c r="F356" s="50">
        <v>59.0</v>
      </c>
      <c r="G356" s="50">
        <v>1.0</v>
      </c>
      <c r="H356" s="50">
        <v>11.0</v>
      </c>
      <c r="I356" s="50" t="s">
        <v>1535</v>
      </c>
      <c r="J356" s="50" t="s">
        <v>1535</v>
      </c>
      <c r="K356" s="50" t="s">
        <v>25207</v>
      </c>
      <c r="L356" s="50" t="s">
        <v>25209</v>
      </c>
      <c r="M356" s="50" t="s">
        <v>25210</v>
      </c>
      <c r="N356" s="50" t="s">
        <v>25211</v>
      </c>
      <c r="O356" s="50">
        <v>1.0</v>
      </c>
      <c r="P356" s="144">
        <v>43775.0</v>
      </c>
      <c r="Q356" s="116"/>
      <c r="R356" s="116"/>
      <c r="S356" s="50">
        <v>4.0</v>
      </c>
      <c r="T356" s="50" t="s">
        <v>22634</v>
      </c>
      <c r="U356" s="117">
        <v>4951.0</v>
      </c>
      <c r="V356" s="50" t="s">
        <v>25215</v>
      </c>
      <c r="W356" s="50" t="s">
        <v>25217</v>
      </c>
      <c r="X356" s="117">
        <v>361.0</v>
      </c>
    </row>
    <row r="357">
      <c r="A357" s="50" t="s">
        <v>25204</v>
      </c>
      <c r="B357" s="50" t="s">
        <v>6876</v>
      </c>
      <c r="C357" s="50" t="s">
        <v>6877</v>
      </c>
      <c r="D357" s="50" t="s">
        <v>8310</v>
      </c>
      <c r="E357" s="50" t="s">
        <v>25219</v>
      </c>
      <c r="F357" s="50">
        <v>59.0</v>
      </c>
      <c r="G357" s="50">
        <v>1.0</v>
      </c>
      <c r="H357" s="50">
        <v>99.0</v>
      </c>
      <c r="I357" s="50" t="s">
        <v>1537</v>
      </c>
      <c r="J357" s="50" t="s">
        <v>1537</v>
      </c>
      <c r="K357" s="50" t="s">
        <v>25222</v>
      </c>
      <c r="L357" s="50" t="s">
        <v>25207</v>
      </c>
      <c r="M357" s="50" t="s">
        <v>11524</v>
      </c>
      <c r="N357" s="50" t="s">
        <v>25225</v>
      </c>
      <c r="O357" s="50">
        <v>1.0</v>
      </c>
      <c r="P357" s="144">
        <v>43775.0</v>
      </c>
      <c r="Q357" s="116"/>
      <c r="R357" s="50" t="s">
        <v>25229</v>
      </c>
      <c r="S357" s="50">
        <v>4.0</v>
      </c>
      <c r="T357" s="50" t="s">
        <v>22634</v>
      </c>
      <c r="U357" s="117">
        <v>4953.0</v>
      </c>
      <c r="V357" s="50" t="s">
        <v>25230</v>
      </c>
      <c r="W357" s="50" t="s">
        <v>25231</v>
      </c>
      <c r="X357" s="117">
        <v>362.0</v>
      </c>
    </row>
    <row r="358">
      <c r="A358" s="50" t="s">
        <v>25219</v>
      </c>
      <c r="B358" s="50" t="s">
        <v>6876</v>
      </c>
      <c r="C358" s="50" t="s">
        <v>6877</v>
      </c>
      <c r="D358" s="50" t="s">
        <v>8310</v>
      </c>
      <c r="E358" s="50" t="s">
        <v>25234</v>
      </c>
      <c r="F358" s="50">
        <v>59.0</v>
      </c>
      <c r="G358" s="50">
        <v>1.0</v>
      </c>
      <c r="H358" s="50">
        <v>11.0</v>
      </c>
      <c r="I358" s="50" t="s">
        <v>1538</v>
      </c>
      <c r="J358" s="50" t="s">
        <v>1538</v>
      </c>
      <c r="K358" s="50" t="s">
        <v>25207</v>
      </c>
      <c r="L358" s="50" t="s">
        <v>25209</v>
      </c>
      <c r="M358" s="50" t="s">
        <v>25210</v>
      </c>
      <c r="N358" s="50" t="s">
        <v>25211</v>
      </c>
      <c r="O358" s="50">
        <v>1.0</v>
      </c>
      <c r="P358" s="144">
        <v>43775.0</v>
      </c>
      <c r="Q358" s="116"/>
      <c r="R358" s="116"/>
      <c r="S358" s="50">
        <v>4.0</v>
      </c>
      <c r="T358" s="50" t="s">
        <v>22634</v>
      </c>
      <c r="U358" s="117">
        <v>4954.0</v>
      </c>
      <c r="V358" s="50" t="s">
        <v>25240</v>
      </c>
      <c r="W358" s="50" t="s">
        <v>25241</v>
      </c>
      <c r="X358" s="117">
        <v>363.0</v>
      </c>
    </row>
    <row r="359">
      <c r="A359" s="50" t="s">
        <v>25234</v>
      </c>
      <c r="B359" s="50" t="s">
        <v>6876</v>
      </c>
      <c r="C359" s="50" t="s">
        <v>6877</v>
      </c>
      <c r="D359" s="50" t="s">
        <v>8310</v>
      </c>
      <c r="E359" s="50" t="s">
        <v>25243</v>
      </c>
      <c r="F359" s="50">
        <v>59.0</v>
      </c>
      <c r="G359" s="50">
        <v>1.0</v>
      </c>
      <c r="H359" s="50">
        <v>99.0</v>
      </c>
      <c r="I359" s="50" t="s">
        <v>1540</v>
      </c>
      <c r="J359" s="50" t="s">
        <v>1540</v>
      </c>
      <c r="K359" s="50" t="s">
        <v>25222</v>
      </c>
      <c r="L359" s="50" t="s">
        <v>25207</v>
      </c>
      <c r="M359" s="50" t="s">
        <v>11524</v>
      </c>
      <c r="N359" s="50" t="s">
        <v>25225</v>
      </c>
      <c r="O359" s="50">
        <v>1.0</v>
      </c>
      <c r="P359" s="144">
        <v>43775.0</v>
      </c>
      <c r="Q359" s="116"/>
      <c r="R359" s="50" t="s">
        <v>25247</v>
      </c>
      <c r="S359" s="50">
        <v>4.0</v>
      </c>
      <c r="T359" s="50" t="s">
        <v>22634</v>
      </c>
      <c r="U359" s="117">
        <v>4955.0</v>
      </c>
      <c r="V359" s="50" t="s">
        <v>25250</v>
      </c>
      <c r="W359" s="50" t="s">
        <v>25251</v>
      </c>
      <c r="X359" s="117">
        <v>364.0</v>
      </c>
    </row>
    <row r="360">
      <c r="A360" s="50" t="s">
        <v>25253</v>
      </c>
      <c r="B360" s="50" t="s">
        <v>6876</v>
      </c>
      <c r="C360" s="50" t="s">
        <v>6877</v>
      </c>
      <c r="D360" s="50" t="s">
        <v>8310</v>
      </c>
      <c r="E360" s="50" t="s">
        <v>25255</v>
      </c>
      <c r="F360" s="50">
        <v>59.0</v>
      </c>
      <c r="G360" s="50">
        <v>1.0</v>
      </c>
      <c r="H360" s="50">
        <v>11.0</v>
      </c>
      <c r="I360" s="50" t="s">
        <v>1541</v>
      </c>
      <c r="J360" s="50" t="s">
        <v>1541</v>
      </c>
      <c r="K360" s="50" t="s">
        <v>25207</v>
      </c>
      <c r="L360" s="50" t="s">
        <v>25209</v>
      </c>
      <c r="M360" s="50" t="s">
        <v>25210</v>
      </c>
      <c r="N360" s="50" t="s">
        <v>25258</v>
      </c>
      <c r="O360" s="50">
        <v>1.0</v>
      </c>
      <c r="P360" s="144">
        <v>43775.0</v>
      </c>
      <c r="Q360" s="116"/>
      <c r="R360" s="116"/>
      <c r="S360" s="50">
        <v>4.0</v>
      </c>
      <c r="T360" s="50" t="s">
        <v>22634</v>
      </c>
      <c r="U360" s="117">
        <v>4956.0</v>
      </c>
      <c r="V360" s="50" t="s">
        <v>25261</v>
      </c>
      <c r="W360" s="50" t="s">
        <v>25262</v>
      </c>
      <c r="X360" s="117">
        <v>365.0</v>
      </c>
    </row>
    <row r="361">
      <c r="A361" s="50" t="s">
        <v>25255</v>
      </c>
      <c r="B361" s="50" t="s">
        <v>6876</v>
      </c>
      <c r="C361" s="50" t="s">
        <v>6877</v>
      </c>
      <c r="D361" s="50" t="s">
        <v>8310</v>
      </c>
      <c r="E361" s="50" t="s">
        <v>25267</v>
      </c>
      <c r="F361" s="50">
        <v>59.0</v>
      </c>
      <c r="G361" s="50">
        <v>1.0</v>
      </c>
      <c r="H361" s="50">
        <v>99.0</v>
      </c>
      <c r="I361" s="50" t="s">
        <v>273</v>
      </c>
      <c r="J361" s="50" t="s">
        <v>273</v>
      </c>
      <c r="K361" s="50" t="s">
        <v>25222</v>
      </c>
      <c r="L361" s="50" t="s">
        <v>25207</v>
      </c>
      <c r="M361" s="50" t="s">
        <v>11524</v>
      </c>
      <c r="N361" s="50" t="s">
        <v>25225</v>
      </c>
      <c r="O361" s="50">
        <v>1.0</v>
      </c>
      <c r="P361" s="144">
        <v>43775.0</v>
      </c>
      <c r="Q361" s="116"/>
      <c r="R361" s="50" t="s">
        <v>25270</v>
      </c>
      <c r="S361" s="50">
        <v>4.0</v>
      </c>
      <c r="T361" s="50" t="s">
        <v>22634</v>
      </c>
      <c r="U361" s="117">
        <v>4957.0</v>
      </c>
      <c r="V361" s="50" t="s">
        <v>25271</v>
      </c>
      <c r="W361" s="50" t="s">
        <v>25272</v>
      </c>
      <c r="X361" s="117">
        <v>366.0</v>
      </c>
    </row>
    <row r="362">
      <c r="A362" s="50" t="s">
        <v>25267</v>
      </c>
      <c r="B362" s="50" t="s">
        <v>6876</v>
      </c>
      <c r="C362" s="50" t="s">
        <v>6877</v>
      </c>
      <c r="D362" s="50" t="s">
        <v>8310</v>
      </c>
      <c r="E362" s="50" t="s">
        <v>25275</v>
      </c>
      <c r="F362" s="50">
        <v>59.0</v>
      </c>
      <c r="G362" s="50">
        <v>1.0</v>
      </c>
      <c r="H362" s="50">
        <v>11.0</v>
      </c>
      <c r="I362" s="50" t="s">
        <v>1547</v>
      </c>
      <c r="J362" s="50" t="s">
        <v>1547</v>
      </c>
      <c r="K362" s="50" t="s">
        <v>25207</v>
      </c>
      <c r="L362" s="50" t="s">
        <v>25209</v>
      </c>
      <c r="M362" s="50" t="s">
        <v>25210</v>
      </c>
      <c r="N362" s="50" t="s">
        <v>25258</v>
      </c>
      <c r="O362" s="50">
        <v>1.0</v>
      </c>
      <c r="P362" s="144">
        <v>43775.0</v>
      </c>
      <c r="Q362" s="116"/>
      <c r="R362" s="116"/>
      <c r="S362" s="50">
        <v>4.0</v>
      </c>
      <c r="T362" s="50" t="s">
        <v>22634</v>
      </c>
      <c r="U362" s="117">
        <v>4958.0</v>
      </c>
      <c r="V362" s="50" t="s">
        <v>25282</v>
      </c>
      <c r="W362" s="50" t="s">
        <v>25283</v>
      </c>
      <c r="X362" s="117">
        <v>367.0</v>
      </c>
    </row>
    <row r="363">
      <c r="A363" s="50" t="s">
        <v>25275</v>
      </c>
      <c r="B363" s="50" t="s">
        <v>6876</v>
      </c>
      <c r="C363" s="50" t="s">
        <v>6877</v>
      </c>
      <c r="D363" s="50" t="s">
        <v>8310</v>
      </c>
      <c r="E363" s="50" t="s">
        <v>25284</v>
      </c>
      <c r="F363" s="50">
        <v>59.0</v>
      </c>
      <c r="G363" s="50">
        <v>1.0</v>
      </c>
      <c r="H363" s="50">
        <v>99.0</v>
      </c>
      <c r="I363" s="50" t="s">
        <v>1549</v>
      </c>
      <c r="J363" s="50" t="s">
        <v>1549</v>
      </c>
      <c r="K363" s="50" t="s">
        <v>25222</v>
      </c>
      <c r="L363" s="50" t="s">
        <v>25207</v>
      </c>
      <c r="M363" s="50" t="s">
        <v>11524</v>
      </c>
      <c r="N363" s="50" t="s">
        <v>25225</v>
      </c>
      <c r="O363" s="50">
        <v>1.0</v>
      </c>
      <c r="P363" s="144">
        <v>43775.0</v>
      </c>
      <c r="Q363" s="116"/>
      <c r="R363" s="50" t="s">
        <v>25287</v>
      </c>
      <c r="S363" s="50">
        <v>4.0</v>
      </c>
      <c r="T363" s="50" t="s">
        <v>22634</v>
      </c>
      <c r="U363" s="117">
        <v>4959.0</v>
      </c>
      <c r="V363" s="50" t="s">
        <v>25290</v>
      </c>
      <c r="W363" s="50" t="s">
        <v>25291</v>
      </c>
      <c r="X363" s="117">
        <v>368.0</v>
      </c>
    </row>
    <row r="364">
      <c r="A364" s="50" t="s">
        <v>25284</v>
      </c>
      <c r="B364" s="50" t="s">
        <v>6876</v>
      </c>
      <c r="C364" s="50" t="s">
        <v>6877</v>
      </c>
      <c r="D364" s="50" t="s">
        <v>8310</v>
      </c>
      <c r="E364" s="50" t="s">
        <v>25295</v>
      </c>
      <c r="F364" s="50">
        <v>59.0</v>
      </c>
      <c r="G364" s="50">
        <v>1.0</v>
      </c>
      <c r="H364" s="50">
        <v>11.0</v>
      </c>
      <c r="I364" s="50" t="s">
        <v>1550</v>
      </c>
      <c r="J364" s="50" t="s">
        <v>1550</v>
      </c>
      <c r="K364" s="50" t="s">
        <v>25207</v>
      </c>
      <c r="L364" s="50" t="s">
        <v>25209</v>
      </c>
      <c r="M364" s="50" t="s">
        <v>25210</v>
      </c>
      <c r="N364" s="50" t="s">
        <v>25297</v>
      </c>
      <c r="O364" s="50">
        <v>1.0</v>
      </c>
      <c r="P364" s="144">
        <v>43775.0</v>
      </c>
      <c r="Q364" s="116"/>
      <c r="R364" s="116"/>
      <c r="S364" s="50">
        <v>4.0</v>
      </c>
      <c r="T364" s="50" t="s">
        <v>22634</v>
      </c>
      <c r="U364" s="117">
        <v>4960.0</v>
      </c>
      <c r="V364" s="50" t="s">
        <v>25300</v>
      </c>
      <c r="W364" s="50" t="s">
        <v>25301</v>
      </c>
      <c r="X364" s="117">
        <v>369.0</v>
      </c>
    </row>
    <row r="365">
      <c r="A365" s="50" t="s">
        <v>25295</v>
      </c>
      <c r="B365" s="50" t="s">
        <v>6876</v>
      </c>
      <c r="C365" s="50" t="s">
        <v>6877</v>
      </c>
      <c r="D365" s="50" t="s">
        <v>8310</v>
      </c>
      <c r="E365" s="50" t="s">
        <v>25303</v>
      </c>
      <c r="F365" s="50">
        <v>59.0</v>
      </c>
      <c r="G365" s="50">
        <v>1.0</v>
      </c>
      <c r="H365" s="50">
        <v>99.0</v>
      </c>
      <c r="I365" s="50" t="s">
        <v>1553</v>
      </c>
      <c r="J365" s="50" t="s">
        <v>1553</v>
      </c>
      <c r="K365" s="50" t="s">
        <v>25222</v>
      </c>
      <c r="L365" s="50" t="s">
        <v>25207</v>
      </c>
      <c r="M365" s="50" t="s">
        <v>11524</v>
      </c>
      <c r="N365" s="50" t="s">
        <v>25304</v>
      </c>
      <c r="O365" s="50">
        <v>1.0</v>
      </c>
      <c r="P365" s="144">
        <v>43775.0</v>
      </c>
      <c r="Q365" s="116"/>
      <c r="R365" s="50" t="s">
        <v>25307</v>
      </c>
      <c r="S365" s="50">
        <v>4.0</v>
      </c>
      <c r="T365" s="50" t="s">
        <v>22634</v>
      </c>
      <c r="U365" s="117">
        <v>4961.0</v>
      </c>
      <c r="V365" s="50" t="s">
        <v>25309</v>
      </c>
      <c r="W365" s="50" t="s">
        <v>25310</v>
      </c>
      <c r="X365" s="117">
        <v>370.0</v>
      </c>
    </row>
    <row r="366">
      <c r="A366" s="50" t="s">
        <v>25303</v>
      </c>
      <c r="B366" s="50" t="s">
        <v>6876</v>
      </c>
      <c r="C366" s="50" t="s">
        <v>6877</v>
      </c>
      <c r="D366" s="50" t="s">
        <v>8310</v>
      </c>
      <c r="E366" s="50" t="s">
        <v>25312</v>
      </c>
      <c r="F366" s="50">
        <v>33.0</v>
      </c>
      <c r="G366" s="50">
        <v>1.0</v>
      </c>
      <c r="H366" s="50">
        <v>98.0</v>
      </c>
      <c r="I366" s="50" t="s">
        <v>1554</v>
      </c>
      <c r="J366" s="50" t="s">
        <v>1554</v>
      </c>
      <c r="K366" s="50" t="s">
        <v>25315</v>
      </c>
      <c r="L366" s="50" t="s">
        <v>25316</v>
      </c>
      <c r="M366" s="50" t="s">
        <v>25317</v>
      </c>
      <c r="N366" s="50" t="s">
        <v>11524</v>
      </c>
      <c r="O366" s="50">
        <v>1.0</v>
      </c>
      <c r="P366" s="144">
        <v>43775.0</v>
      </c>
      <c r="Q366" s="116"/>
      <c r="R366" s="50" t="s">
        <v>23528</v>
      </c>
      <c r="S366" s="50">
        <v>4.0</v>
      </c>
      <c r="T366" s="50" t="s">
        <v>22634</v>
      </c>
      <c r="U366" s="117">
        <v>4962.0</v>
      </c>
      <c r="V366" s="50" t="s">
        <v>25319</v>
      </c>
      <c r="W366" s="50" t="s">
        <v>25320</v>
      </c>
      <c r="X366" s="117">
        <v>371.0</v>
      </c>
    </row>
    <row r="367">
      <c r="A367" s="50" t="s">
        <v>25312</v>
      </c>
      <c r="B367" s="50" t="s">
        <v>6876</v>
      </c>
      <c r="C367" s="50" t="s">
        <v>6877</v>
      </c>
      <c r="D367" s="50" t="s">
        <v>8310</v>
      </c>
      <c r="E367" s="50" t="s">
        <v>25321</v>
      </c>
      <c r="F367" s="50">
        <v>59.0</v>
      </c>
      <c r="G367" s="50">
        <v>1.0</v>
      </c>
      <c r="H367" s="50">
        <v>11.0</v>
      </c>
      <c r="I367" s="50" t="s">
        <v>1561</v>
      </c>
      <c r="J367" s="50" t="s">
        <v>1561</v>
      </c>
      <c r="K367" s="50" t="s">
        <v>25225</v>
      </c>
      <c r="L367" s="50" t="s">
        <v>11392</v>
      </c>
      <c r="M367" s="50" t="s">
        <v>25324</v>
      </c>
      <c r="N367" s="50" t="s">
        <v>25325</v>
      </c>
      <c r="O367" s="50">
        <v>1.0</v>
      </c>
      <c r="P367" s="144">
        <v>43775.0</v>
      </c>
      <c r="Q367" s="116"/>
      <c r="R367" s="116"/>
      <c r="S367" s="50">
        <v>4.0</v>
      </c>
      <c r="T367" s="50" t="s">
        <v>22634</v>
      </c>
      <c r="U367" s="117">
        <v>4963.0</v>
      </c>
      <c r="V367" s="50" t="s">
        <v>25330</v>
      </c>
      <c r="W367" s="50" t="s">
        <v>25331</v>
      </c>
      <c r="X367" s="117">
        <v>372.0</v>
      </c>
    </row>
    <row r="368">
      <c r="A368" s="50" t="s">
        <v>25321</v>
      </c>
      <c r="B368" s="50" t="s">
        <v>6876</v>
      </c>
      <c r="C368" s="50" t="s">
        <v>6877</v>
      </c>
      <c r="D368" s="50" t="s">
        <v>8310</v>
      </c>
      <c r="E368" s="50" t="s">
        <v>25333</v>
      </c>
      <c r="F368" s="50">
        <v>59.0</v>
      </c>
      <c r="G368" s="50">
        <v>1.0</v>
      </c>
      <c r="H368" s="50">
        <v>99.0</v>
      </c>
      <c r="I368" s="50" t="s">
        <v>1563</v>
      </c>
      <c r="J368" s="50" t="s">
        <v>1563</v>
      </c>
      <c r="K368" s="50" t="s">
        <v>25334</v>
      </c>
      <c r="L368" s="50" t="s">
        <v>11524</v>
      </c>
      <c r="M368" s="50" t="s">
        <v>11525</v>
      </c>
      <c r="N368" s="50" t="s">
        <v>25335</v>
      </c>
      <c r="O368" s="50">
        <v>1.0</v>
      </c>
      <c r="P368" s="144">
        <v>43775.0</v>
      </c>
      <c r="Q368" s="116"/>
      <c r="R368" s="50" t="s">
        <v>25336</v>
      </c>
      <c r="S368" s="50">
        <v>4.0</v>
      </c>
      <c r="T368" s="50" t="s">
        <v>22634</v>
      </c>
      <c r="U368" s="117">
        <v>4964.0</v>
      </c>
      <c r="V368" s="50" t="s">
        <v>25337</v>
      </c>
      <c r="W368" s="50" t="s">
        <v>25338</v>
      </c>
      <c r="X368" s="117">
        <v>373.0</v>
      </c>
    </row>
    <row r="369">
      <c r="A369" s="50" t="s">
        <v>25333</v>
      </c>
      <c r="B369" s="50" t="s">
        <v>6876</v>
      </c>
      <c r="C369" s="50" t="s">
        <v>6877</v>
      </c>
      <c r="D369" s="50" t="s">
        <v>8310</v>
      </c>
      <c r="E369" s="50" t="s">
        <v>25343</v>
      </c>
      <c r="F369" s="50">
        <v>59.0</v>
      </c>
      <c r="G369" s="50">
        <v>1.0</v>
      </c>
      <c r="H369" s="50">
        <v>11.0</v>
      </c>
      <c r="I369" s="50" t="s">
        <v>1564</v>
      </c>
      <c r="J369" s="50" t="s">
        <v>1564</v>
      </c>
      <c r="K369" s="50" t="s">
        <v>25225</v>
      </c>
      <c r="L369" s="50" t="s">
        <v>11392</v>
      </c>
      <c r="M369" s="50" t="s">
        <v>25324</v>
      </c>
      <c r="N369" s="50" t="s">
        <v>25325</v>
      </c>
      <c r="O369" s="50">
        <v>1.0</v>
      </c>
      <c r="P369" s="144">
        <v>43775.0</v>
      </c>
      <c r="Q369" s="116"/>
      <c r="R369" s="116"/>
      <c r="S369" s="50">
        <v>4.0</v>
      </c>
      <c r="T369" s="50" t="s">
        <v>22634</v>
      </c>
      <c r="U369" s="117">
        <v>4965.0</v>
      </c>
      <c r="V369" s="50" t="s">
        <v>25348</v>
      </c>
      <c r="W369" s="50" t="s">
        <v>25349</v>
      </c>
      <c r="X369" s="117">
        <v>374.0</v>
      </c>
    </row>
    <row r="370">
      <c r="A370" s="50" t="s">
        <v>25343</v>
      </c>
      <c r="B370" s="50" t="s">
        <v>6876</v>
      </c>
      <c r="C370" s="50" t="s">
        <v>6877</v>
      </c>
      <c r="D370" s="50" t="s">
        <v>8310</v>
      </c>
      <c r="E370" s="50" t="s">
        <v>25350</v>
      </c>
      <c r="F370" s="50">
        <v>59.0</v>
      </c>
      <c r="G370" s="50">
        <v>1.0</v>
      </c>
      <c r="H370" s="50">
        <v>99.0</v>
      </c>
      <c r="I370" s="50" t="s">
        <v>1566</v>
      </c>
      <c r="J370" s="50" t="s">
        <v>1566</v>
      </c>
      <c r="K370" s="50" t="s">
        <v>25334</v>
      </c>
      <c r="L370" s="50" t="s">
        <v>11524</v>
      </c>
      <c r="M370" s="50" t="s">
        <v>11525</v>
      </c>
      <c r="N370" s="50" t="s">
        <v>25335</v>
      </c>
      <c r="O370" s="50">
        <v>1.0</v>
      </c>
      <c r="P370" s="144">
        <v>43775.0</v>
      </c>
      <c r="Q370" s="116"/>
      <c r="R370" s="50" t="s">
        <v>25354</v>
      </c>
      <c r="S370" s="50">
        <v>4.0</v>
      </c>
      <c r="T370" s="50" t="s">
        <v>22634</v>
      </c>
      <c r="U370" s="117">
        <v>4966.0</v>
      </c>
      <c r="V370" s="50" t="s">
        <v>25357</v>
      </c>
      <c r="W370" s="50" t="s">
        <v>25358</v>
      </c>
      <c r="X370" s="117">
        <v>375.0</v>
      </c>
    </row>
    <row r="371">
      <c r="A371" s="50" t="s">
        <v>25350</v>
      </c>
      <c r="B371" s="50" t="s">
        <v>6876</v>
      </c>
      <c r="C371" s="50" t="s">
        <v>6877</v>
      </c>
      <c r="D371" s="50" t="s">
        <v>8310</v>
      </c>
      <c r="E371" s="50" t="s">
        <v>25361</v>
      </c>
      <c r="F371" s="50">
        <v>57.0</v>
      </c>
      <c r="G371" s="50">
        <v>1.0</v>
      </c>
      <c r="H371" s="50">
        <v>12.0</v>
      </c>
      <c r="I371" s="50" t="s">
        <v>1557</v>
      </c>
      <c r="J371" s="50" t="s">
        <v>1557</v>
      </c>
      <c r="K371" s="50" t="s">
        <v>25362</v>
      </c>
      <c r="L371" s="50" t="s">
        <v>25363</v>
      </c>
      <c r="M371" s="50" t="s">
        <v>25364</v>
      </c>
      <c r="N371" s="50" t="s">
        <v>25365</v>
      </c>
      <c r="O371" s="50">
        <v>1.0</v>
      </c>
      <c r="P371" s="144">
        <v>43775.0</v>
      </c>
      <c r="Q371" s="116"/>
      <c r="R371" s="116"/>
      <c r="S371" s="50">
        <v>4.0</v>
      </c>
      <c r="T371" s="50" t="s">
        <v>22634</v>
      </c>
      <c r="U371" s="117">
        <v>4967.0</v>
      </c>
      <c r="V371" s="50" t="s">
        <v>25366</v>
      </c>
      <c r="W371" s="50" t="s">
        <v>25367</v>
      </c>
      <c r="X371" s="117">
        <v>376.0</v>
      </c>
    </row>
    <row r="372">
      <c r="A372" s="50" t="s">
        <v>25361</v>
      </c>
      <c r="B372" s="50" t="s">
        <v>6876</v>
      </c>
      <c r="C372" s="50" t="s">
        <v>6877</v>
      </c>
      <c r="D372" s="50" t="s">
        <v>8310</v>
      </c>
      <c r="E372" s="50" t="s">
        <v>25374</v>
      </c>
      <c r="F372" s="50">
        <v>57.0</v>
      </c>
      <c r="G372" s="50">
        <v>1.0</v>
      </c>
      <c r="H372" s="50">
        <v>99.0</v>
      </c>
      <c r="I372" s="50" t="s">
        <v>1560</v>
      </c>
      <c r="J372" s="50" t="s">
        <v>1560</v>
      </c>
      <c r="K372" s="50" t="s">
        <v>25334</v>
      </c>
      <c r="L372" s="50" t="s">
        <v>11524</v>
      </c>
      <c r="M372" s="50" t="s">
        <v>11525</v>
      </c>
      <c r="N372" s="50" t="s">
        <v>25335</v>
      </c>
      <c r="O372" s="50">
        <v>1.0</v>
      </c>
      <c r="P372" s="144">
        <v>43775.0</v>
      </c>
      <c r="Q372" s="116"/>
      <c r="R372" s="50" t="s">
        <v>25376</v>
      </c>
      <c r="S372" s="50">
        <v>4.0</v>
      </c>
      <c r="T372" s="50" t="s">
        <v>22634</v>
      </c>
      <c r="U372" s="117">
        <v>4968.0</v>
      </c>
      <c r="V372" s="50" t="s">
        <v>25377</v>
      </c>
      <c r="W372" s="50" t="s">
        <v>25378</v>
      </c>
      <c r="X372" s="117">
        <v>377.0</v>
      </c>
    </row>
    <row r="373">
      <c r="A373" s="50" t="s">
        <v>25374</v>
      </c>
      <c r="B373" s="50" t="s">
        <v>6876</v>
      </c>
      <c r="C373" s="50" t="s">
        <v>6877</v>
      </c>
      <c r="D373" s="50" t="s">
        <v>8310</v>
      </c>
      <c r="E373" s="50" t="s">
        <v>25380</v>
      </c>
      <c r="F373" s="50">
        <v>55.0</v>
      </c>
      <c r="G373" s="50">
        <v>1.0</v>
      </c>
      <c r="H373" s="50">
        <v>12.0</v>
      </c>
      <c r="I373" s="50" t="s">
        <v>1558</v>
      </c>
      <c r="J373" s="50" t="s">
        <v>1558</v>
      </c>
      <c r="K373" s="50" t="s">
        <v>25362</v>
      </c>
      <c r="L373" s="50" t="s">
        <v>25363</v>
      </c>
      <c r="M373" s="50" t="s">
        <v>25364</v>
      </c>
      <c r="N373" s="50" t="s">
        <v>25382</v>
      </c>
      <c r="O373" s="50">
        <v>1.0</v>
      </c>
      <c r="P373" s="144">
        <v>43775.0</v>
      </c>
      <c r="Q373" s="116"/>
      <c r="R373" s="116"/>
      <c r="S373" s="50">
        <v>4.0</v>
      </c>
      <c r="T373" s="50" t="s">
        <v>22634</v>
      </c>
      <c r="U373" s="117">
        <v>4969.0</v>
      </c>
      <c r="V373" s="50" t="s">
        <v>25384</v>
      </c>
      <c r="W373" s="50" t="s">
        <v>25385</v>
      </c>
      <c r="X373" s="117">
        <v>378.0</v>
      </c>
    </row>
    <row r="374">
      <c r="A374" s="50" t="s">
        <v>25380</v>
      </c>
      <c r="B374" s="50" t="s">
        <v>6876</v>
      </c>
      <c r="C374" s="50" t="s">
        <v>6877</v>
      </c>
      <c r="D374" s="50" t="s">
        <v>8310</v>
      </c>
      <c r="E374" s="50" t="s">
        <v>25386</v>
      </c>
      <c r="F374" s="50">
        <v>55.0</v>
      </c>
      <c r="G374" s="50">
        <v>1.0</v>
      </c>
      <c r="H374" s="50">
        <v>99.0</v>
      </c>
      <c r="I374" s="50" t="s">
        <v>268</v>
      </c>
      <c r="J374" s="50" t="s">
        <v>268</v>
      </c>
      <c r="K374" s="50" t="s">
        <v>25334</v>
      </c>
      <c r="L374" s="50" t="s">
        <v>11524</v>
      </c>
      <c r="M374" s="50" t="s">
        <v>11525</v>
      </c>
      <c r="N374" s="50" t="s">
        <v>25387</v>
      </c>
      <c r="O374" s="50">
        <v>0.0</v>
      </c>
      <c r="P374" s="116"/>
      <c r="Q374" s="116"/>
      <c r="R374" s="50" t="s">
        <v>25390</v>
      </c>
      <c r="S374" s="50">
        <v>4.0</v>
      </c>
      <c r="T374" s="50" t="s">
        <v>22634</v>
      </c>
      <c r="U374" s="117">
        <v>4970.0</v>
      </c>
      <c r="V374" s="50" t="s">
        <v>25391</v>
      </c>
      <c r="W374" s="50" t="s">
        <v>25392</v>
      </c>
      <c r="X374" s="117">
        <v>379.0</v>
      </c>
    </row>
    <row r="375">
      <c r="A375" s="50" t="s">
        <v>25386</v>
      </c>
      <c r="B375" s="50" t="s">
        <v>6876</v>
      </c>
      <c r="C375" s="50" t="s">
        <v>6877</v>
      </c>
      <c r="D375" s="50" t="s">
        <v>8310</v>
      </c>
      <c r="E375" s="50" t="s">
        <v>25394</v>
      </c>
      <c r="F375" s="50">
        <v>33.0</v>
      </c>
      <c r="G375" s="50">
        <v>1.0</v>
      </c>
      <c r="H375" s="50">
        <v>98.0</v>
      </c>
      <c r="I375" s="50" t="s">
        <v>1567</v>
      </c>
      <c r="J375" s="50" t="s">
        <v>1567</v>
      </c>
      <c r="K375" s="50" t="s">
        <v>25395</v>
      </c>
      <c r="L375" s="50" t="s">
        <v>25396</v>
      </c>
      <c r="M375" s="50" t="s">
        <v>25397</v>
      </c>
      <c r="N375" s="50" t="s">
        <v>25398</v>
      </c>
      <c r="O375" s="50">
        <v>0.0</v>
      </c>
      <c r="P375" s="116"/>
      <c r="Q375" s="116"/>
      <c r="R375" s="50" t="s">
        <v>23528</v>
      </c>
      <c r="S375" s="50">
        <v>4.0</v>
      </c>
      <c r="T375" s="50" t="s">
        <v>22634</v>
      </c>
      <c r="U375" s="117">
        <v>4971.0</v>
      </c>
      <c r="V375" s="50" t="s">
        <v>25399</v>
      </c>
      <c r="W375" s="50" t="s">
        <v>25400</v>
      </c>
      <c r="X375" s="117">
        <v>380.0</v>
      </c>
    </row>
    <row r="376">
      <c r="A376" s="50" t="s">
        <v>25403</v>
      </c>
      <c r="B376" s="50" t="s">
        <v>6876</v>
      </c>
      <c r="C376" s="50" t="s">
        <v>6877</v>
      </c>
      <c r="D376" s="50" t="s">
        <v>11623</v>
      </c>
      <c r="E376" s="50" t="s">
        <v>25405</v>
      </c>
      <c r="F376" s="50">
        <v>58.0</v>
      </c>
      <c r="G376" s="50">
        <v>1.0</v>
      </c>
      <c r="H376" s="50">
        <v>99.0</v>
      </c>
      <c r="I376" s="50" t="s">
        <v>1569</v>
      </c>
      <c r="J376" s="50" t="s">
        <v>1569</v>
      </c>
      <c r="K376" s="50" t="s">
        <v>25407</v>
      </c>
      <c r="L376" s="50" t="s">
        <v>25408</v>
      </c>
      <c r="M376" s="50" t="s">
        <v>25409</v>
      </c>
      <c r="N376" s="50" t="s">
        <v>25410</v>
      </c>
      <c r="O376" s="50">
        <v>1.0</v>
      </c>
      <c r="P376" s="144">
        <v>43776.0</v>
      </c>
      <c r="Q376" s="116"/>
      <c r="R376" s="50" t="s">
        <v>25411</v>
      </c>
      <c r="S376" s="50">
        <v>4.0</v>
      </c>
      <c r="T376" s="50" t="s">
        <v>22634</v>
      </c>
      <c r="U376" s="117">
        <v>5417.0</v>
      </c>
      <c r="V376" s="50" t="s">
        <v>25412</v>
      </c>
      <c r="W376" s="50" t="s">
        <v>25413</v>
      </c>
      <c r="X376" s="117">
        <v>381.0</v>
      </c>
    </row>
    <row r="377">
      <c r="A377" s="50" t="s">
        <v>25414</v>
      </c>
      <c r="B377" s="50" t="s">
        <v>6876</v>
      </c>
      <c r="C377" s="50" t="s">
        <v>6877</v>
      </c>
      <c r="D377" s="50" t="s">
        <v>11623</v>
      </c>
      <c r="E377" s="50" t="s">
        <v>25415</v>
      </c>
      <c r="F377" s="50">
        <v>33.0</v>
      </c>
      <c r="G377" s="50">
        <v>1.0</v>
      </c>
      <c r="H377" s="50">
        <v>98.0</v>
      </c>
      <c r="I377" s="50" t="s">
        <v>1570</v>
      </c>
      <c r="J377" s="50" t="s">
        <v>1570</v>
      </c>
      <c r="K377" s="50" t="s">
        <v>25407</v>
      </c>
      <c r="L377" s="50" t="s">
        <v>25408</v>
      </c>
      <c r="M377" s="50" t="s">
        <v>25409</v>
      </c>
      <c r="N377" s="50" t="s">
        <v>25410</v>
      </c>
      <c r="O377" s="50">
        <v>1.0</v>
      </c>
      <c r="P377" s="144">
        <v>43776.0</v>
      </c>
      <c r="Q377" s="116"/>
      <c r="R377" s="50" t="s">
        <v>23528</v>
      </c>
      <c r="S377" s="50">
        <v>4.0</v>
      </c>
      <c r="T377" s="50" t="s">
        <v>22634</v>
      </c>
      <c r="U377" s="117">
        <v>5418.0</v>
      </c>
      <c r="V377" s="50" t="s">
        <v>25419</v>
      </c>
      <c r="W377" s="50" t="s">
        <v>25420</v>
      </c>
      <c r="X377" s="117">
        <v>382.0</v>
      </c>
    </row>
    <row r="378">
      <c r="A378" s="50" t="s">
        <v>25415</v>
      </c>
      <c r="B378" s="50" t="s">
        <v>6876</v>
      </c>
      <c r="C378" s="50" t="s">
        <v>6877</v>
      </c>
      <c r="D378" s="50" t="s">
        <v>11623</v>
      </c>
      <c r="E378" s="50" t="s">
        <v>25421</v>
      </c>
      <c r="F378" s="50">
        <v>66.0</v>
      </c>
      <c r="G378" s="50">
        <v>1.0</v>
      </c>
      <c r="H378" s="50">
        <v>12.0</v>
      </c>
      <c r="I378" s="50" t="s">
        <v>1573</v>
      </c>
      <c r="J378" s="50" t="s">
        <v>1573</v>
      </c>
      <c r="K378" s="50" t="s">
        <v>11759</v>
      </c>
      <c r="L378" s="50" t="s">
        <v>25422</v>
      </c>
      <c r="M378" s="50" t="s">
        <v>25423</v>
      </c>
      <c r="N378" s="50" t="s">
        <v>25424</v>
      </c>
      <c r="O378" s="50">
        <v>1.0</v>
      </c>
      <c r="P378" s="144">
        <v>43777.0</v>
      </c>
      <c r="Q378" s="116"/>
      <c r="R378" s="116"/>
      <c r="S378" s="50">
        <v>6.0</v>
      </c>
      <c r="T378" s="50" t="s">
        <v>22634</v>
      </c>
      <c r="U378" s="117">
        <v>5419.0</v>
      </c>
      <c r="V378" s="50" t="s">
        <v>25425</v>
      </c>
      <c r="W378" s="50" t="s">
        <v>25426</v>
      </c>
      <c r="X378" s="117">
        <v>383.0</v>
      </c>
    </row>
    <row r="379">
      <c r="A379" s="50" t="s">
        <v>25421</v>
      </c>
      <c r="B379" s="50" t="s">
        <v>6876</v>
      </c>
      <c r="C379" s="50" t="s">
        <v>6877</v>
      </c>
      <c r="D379" s="50" t="s">
        <v>11623</v>
      </c>
      <c r="E379" s="50" t="s">
        <v>25430</v>
      </c>
      <c r="F379" s="50">
        <v>66.0</v>
      </c>
      <c r="G379" s="50">
        <v>1.0</v>
      </c>
      <c r="H379" s="50">
        <v>99.0</v>
      </c>
      <c r="I379" s="50" t="s">
        <v>1575</v>
      </c>
      <c r="J379" s="50" t="s">
        <v>1575</v>
      </c>
      <c r="K379" s="50" t="s">
        <v>25432</v>
      </c>
      <c r="L379" s="50" t="s">
        <v>11759</v>
      </c>
      <c r="M379" s="50" t="s">
        <v>11761</v>
      </c>
      <c r="N379" s="50" t="s">
        <v>25433</v>
      </c>
      <c r="O379" s="50">
        <v>1.0</v>
      </c>
      <c r="P379" s="144">
        <v>43777.0</v>
      </c>
      <c r="Q379" s="116"/>
      <c r="R379" s="50" t="s">
        <v>25434</v>
      </c>
      <c r="S379" s="50">
        <v>6.0</v>
      </c>
      <c r="T379" s="50" t="s">
        <v>22634</v>
      </c>
      <c r="U379" s="117">
        <v>5420.0</v>
      </c>
      <c r="V379" s="50" t="s">
        <v>25435</v>
      </c>
      <c r="W379" s="50" t="s">
        <v>25436</v>
      </c>
      <c r="X379" s="117">
        <v>384.0</v>
      </c>
    </row>
    <row r="380">
      <c r="A380" s="50" t="s">
        <v>25430</v>
      </c>
      <c r="B380" s="50" t="s">
        <v>6876</v>
      </c>
      <c r="C380" s="50" t="s">
        <v>6877</v>
      </c>
      <c r="D380" s="50" t="s">
        <v>11623</v>
      </c>
      <c r="E380" s="50" t="s">
        <v>25438</v>
      </c>
      <c r="F380" s="50">
        <v>59.0</v>
      </c>
      <c r="G380" s="50">
        <v>1.0</v>
      </c>
      <c r="H380" s="50">
        <v>12.0</v>
      </c>
      <c r="I380" s="50" t="s">
        <v>1576</v>
      </c>
      <c r="J380" s="50" t="s">
        <v>1576</v>
      </c>
      <c r="K380" s="50" t="s">
        <v>11759</v>
      </c>
      <c r="L380" s="50" t="s">
        <v>25422</v>
      </c>
      <c r="M380" s="50" t="s">
        <v>25423</v>
      </c>
      <c r="N380" s="50" t="s">
        <v>25442</v>
      </c>
      <c r="O380" s="50">
        <v>1.0</v>
      </c>
      <c r="P380" s="144">
        <v>43777.0</v>
      </c>
      <c r="Q380" s="116"/>
      <c r="R380" s="116"/>
      <c r="S380" s="50">
        <v>4.0</v>
      </c>
      <c r="T380" s="50" t="s">
        <v>22634</v>
      </c>
      <c r="U380" s="117">
        <v>5421.0</v>
      </c>
      <c r="V380" s="50" t="s">
        <v>25443</v>
      </c>
      <c r="W380" s="50" t="s">
        <v>25445</v>
      </c>
      <c r="X380" s="117">
        <v>385.0</v>
      </c>
    </row>
    <row r="381">
      <c r="A381" s="50" t="s">
        <v>25438</v>
      </c>
      <c r="B381" s="50" t="s">
        <v>6876</v>
      </c>
      <c r="C381" s="50" t="s">
        <v>6877</v>
      </c>
      <c r="D381" s="50" t="s">
        <v>11623</v>
      </c>
      <c r="E381" s="50" t="s">
        <v>25446</v>
      </c>
      <c r="F381" s="50">
        <v>59.0</v>
      </c>
      <c r="G381" s="50">
        <v>1.0</v>
      </c>
      <c r="H381" s="50">
        <v>99.0</v>
      </c>
      <c r="I381" s="50" t="s">
        <v>1578</v>
      </c>
      <c r="J381" s="50" t="s">
        <v>1578</v>
      </c>
      <c r="K381" s="50" t="s">
        <v>25432</v>
      </c>
      <c r="L381" s="50" t="s">
        <v>11759</v>
      </c>
      <c r="M381" s="50" t="s">
        <v>11761</v>
      </c>
      <c r="N381" s="50" t="s">
        <v>25433</v>
      </c>
      <c r="O381" s="50">
        <v>1.0</v>
      </c>
      <c r="P381" s="144">
        <v>43777.0</v>
      </c>
      <c r="Q381" s="116"/>
      <c r="R381" s="50" t="s">
        <v>25450</v>
      </c>
      <c r="S381" s="50">
        <v>4.0</v>
      </c>
      <c r="T381" s="50" t="s">
        <v>22634</v>
      </c>
      <c r="U381" s="117">
        <v>5422.0</v>
      </c>
      <c r="V381" s="50" t="s">
        <v>25451</v>
      </c>
      <c r="W381" s="50" t="s">
        <v>25452</v>
      </c>
      <c r="X381" s="117">
        <v>386.0</v>
      </c>
    </row>
    <row r="382">
      <c r="A382" s="50" t="s">
        <v>25446</v>
      </c>
      <c r="B382" s="50" t="s">
        <v>6876</v>
      </c>
      <c r="C382" s="50" t="s">
        <v>6877</v>
      </c>
      <c r="D382" s="50" t="s">
        <v>11623</v>
      </c>
      <c r="E382" s="50" t="s">
        <v>25454</v>
      </c>
      <c r="F382" s="50">
        <v>59.0</v>
      </c>
      <c r="G382" s="50">
        <v>1.0</v>
      </c>
      <c r="H382" s="50">
        <v>11.0</v>
      </c>
      <c r="I382" s="50" t="s">
        <v>1579</v>
      </c>
      <c r="J382" s="50" t="s">
        <v>1579</v>
      </c>
      <c r="K382" s="50" t="s">
        <v>25455</v>
      </c>
      <c r="L382" s="50" t="s">
        <v>25456</v>
      </c>
      <c r="M382" s="50" t="s">
        <v>25457</v>
      </c>
      <c r="N382" s="50" t="s">
        <v>25458</v>
      </c>
      <c r="O382" s="50">
        <v>1.0</v>
      </c>
      <c r="P382" s="144">
        <v>43777.0</v>
      </c>
      <c r="Q382" s="116"/>
      <c r="R382" s="116"/>
      <c r="S382" s="50">
        <v>6.0</v>
      </c>
      <c r="T382" s="50" t="s">
        <v>22634</v>
      </c>
      <c r="U382" s="117">
        <v>5423.0</v>
      </c>
      <c r="V382" s="50" t="s">
        <v>25459</v>
      </c>
      <c r="W382" s="50" t="s">
        <v>25460</v>
      </c>
      <c r="X382" s="117">
        <v>387.0</v>
      </c>
    </row>
    <row r="383">
      <c r="A383" s="50" t="s">
        <v>25454</v>
      </c>
      <c r="B383" s="50" t="s">
        <v>6876</v>
      </c>
      <c r="C383" s="50" t="s">
        <v>6877</v>
      </c>
      <c r="D383" s="50" t="s">
        <v>11623</v>
      </c>
      <c r="E383" s="50" t="s">
        <v>25463</v>
      </c>
      <c r="F383" s="50">
        <v>59.0</v>
      </c>
      <c r="G383" s="50">
        <v>1.0</v>
      </c>
      <c r="H383" s="50">
        <v>99.0</v>
      </c>
      <c r="I383" s="50" t="s">
        <v>1581</v>
      </c>
      <c r="J383" s="50" t="s">
        <v>1581</v>
      </c>
      <c r="K383" s="50" t="s">
        <v>25432</v>
      </c>
      <c r="L383" s="50" t="s">
        <v>11759</v>
      </c>
      <c r="M383" s="50" t="s">
        <v>11761</v>
      </c>
      <c r="N383" s="50" t="s">
        <v>25423</v>
      </c>
      <c r="O383" s="50">
        <v>1.0</v>
      </c>
      <c r="P383" s="144">
        <v>43777.0</v>
      </c>
      <c r="Q383" s="116"/>
      <c r="R383" s="50" t="s">
        <v>25466</v>
      </c>
      <c r="S383" s="50">
        <v>6.0</v>
      </c>
      <c r="T383" s="50" t="s">
        <v>22634</v>
      </c>
      <c r="U383" s="117">
        <v>5424.0</v>
      </c>
      <c r="V383" s="50" t="s">
        <v>25467</v>
      </c>
      <c r="W383" s="50" t="s">
        <v>25468</v>
      </c>
      <c r="X383" s="117">
        <v>388.0</v>
      </c>
    </row>
    <row r="384">
      <c r="A384" s="50" t="s">
        <v>25463</v>
      </c>
      <c r="B384" s="50" t="s">
        <v>6876</v>
      </c>
      <c r="C384" s="50" t="s">
        <v>6877</v>
      </c>
      <c r="D384" s="50" t="s">
        <v>11623</v>
      </c>
      <c r="E384" s="50" t="s">
        <v>25469</v>
      </c>
      <c r="F384" s="50">
        <v>59.0</v>
      </c>
      <c r="G384" s="50">
        <v>1.0</v>
      </c>
      <c r="H384" s="50">
        <v>11.0</v>
      </c>
      <c r="I384" s="50" t="s">
        <v>1582</v>
      </c>
      <c r="J384" s="50" t="s">
        <v>1582</v>
      </c>
      <c r="K384" s="50" t="s">
        <v>25455</v>
      </c>
      <c r="L384" s="50" t="s">
        <v>25456</v>
      </c>
      <c r="M384" s="50" t="s">
        <v>25457</v>
      </c>
      <c r="N384" s="50" t="s">
        <v>25472</v>
      </c>
      <c r="O384" s="50">
        <v>1.0</v>
      </c>
      <c r="P384" s="144">
        <v>43777.0</v>
      </c>
      <c r="Q384" s="116"/>
      <c r="R384" s="116"/>
      <c r="S384" s="50">
        <v>6.0</v>
      </c>
      <c r="T384" s="50" t="s">
        <v>22634</v>
      </c>
      <c r="U384" s="117">
        <v>5425.0</v>
      </c>
      <c r="V384" s="50" t="s">
        <v>25474</v>
      </c>
      <c r="W384" s="50" t="s">
        <v>25475</v>
      </c>
      <c r="X384" s="117">
        <v>389.0</v>
      </c>
    </row>
    <row r="385">
      <c r="A385" s="50" t="s">
        <v>25469</v>
      </c>
      <c r="B385" s="50" t="s">
        <v>6876</v>
      </c>
      <c r="C385" s="50" t="s">
        <v>6877</v>
      </c>
      <c r="D385" s="50" t="s">
        <v>11623</v>
      </c>
      <c r="E385" s="50" t="s">
        <v>25476</v>
      </c>
      <c r="F385" s="50">
        <v>59.0</v>
      </c>
      <c r="G385" s="50">
        <v>1.0</v>
      </c>
      <c r="H385" s="50">
        <v>99.0</v>
      </c>
      <c r="I385" s="50" t="s">
        <v>275</v>
      </c>
      <c r="J385" s="50" t="s">
        <v>275</v>
      </c>
      <c r="K385" s="50" t="s">
        <v>25432</v>
      </c>
      <c r="L385" s="50" t="s">
        <v>11759</v>
      </c>
      <c r="M385" s="50" t="s">
        <v>11761</v>
      </c>
      <c r="N385" s="50" t="s">
        <v>25433</v>
      </c>
      <c r="O385" s="50">
        <v>1.0</v>
      </c>
      <c r="P385" s="144">
        <v>43777.0</v>
      </c>
      <c r="Q385" s="116"/>
      <c r="R385" s="50" t="s">
        <v>25477</v>
      </c>
      <c r="S385" s="50">
        <v>6.0</v>
      </c>
      <c r="T385" s="50" t="s">
        <v>22634</v>
      </c>
      <c r="U385" s="117">
        <v>5426.0</v>
      </c>
      <c r="V385" s="50" t="s">
        <v>25480</v>
      </c>
      <c r="W385" s="50" t="s">
        <v>25482</v>
      </c>
      <c r="X385" s="117">
        <v>390.0</v>
      </c>
    </row>
    <row r="386">
      <c r="A386" s="50" t="s">
        <v>25476</v>
      </c>
      <c r="B386" s="50" t="s">
        <v>6876</v>
      </c>
      <c r="C386" s="50" t="s">
        <v>6877</v>
      </c>
      <c r="D386" s="50" t="s">
        <v>11623</v>
      </c>
      <c r="E386" s="50" t="s">
        <v>25484</v>
      </c>
      <c r="F386" s="50">
        <v>59.0</v>
      </c>
      <c r="G386" s="50">
        <v>1.0</v>
      </c>
      <c r="H386" s="50">
        <v>11.0</v>
      </c>
      <c r="I386" s="50" t="s">
        <v>1583</v>
      </c>
      <c r="J386" s="50" t="s">
        <v>1583</v>
      </c>
      <c r="K386" s="50" t="s">
        <v>25455</v>
      </c>
      <c r="L386" s="50" t="s">
        <v>25456</v>
      </c>
      <c r="M386" s="50" t="s">
        <v>25457</v>
      </c>
      <c r="N386" s="50" t="s">
        <v>25485</v>
      </c>
      <c r="O386" s="50">
        <v>1.0</v>
      </c>
      <c r="P386" s="144">
        <v>43777.0</v>
      </c>
      <c r="Q386" s="116"/>
      <c r="R386" s="116"/>
      <c r="S386" s="50">
        <v>4.0</v>
      </c>
      <c r="T386" s="50" t="s">
        <v>22634</v>
      </c>
      <c r="U386" s="117">
        <v>5427.0</v>
      </c>
      <c r="V386" s="50" t="s">
        <v>25486</v>
      </c>
      <c r="W386" s="50" t="s">
        <v>25487</v>
      </c>
      <c r="X386" s="117">
        <v>391.0</v>
      </c>
    </row>
    <row r="387">
      <c r="A387" s="50" t="s">
        <v>25484</v>
      </c>
      <c r="B387" s="50" t="s">
        <v>6876</v>
      </c>
      <c r="C387" s="50" t="s">
        <v>6877</v>
      </c>
      <c r="D387" s="50" t="s">
        <v>11623</v>
      </c>
      <c r="E387" s="50" t="s">
        <v>25489</v>
      </c>
      <c r="F387" s="50">
        <v>59.0</v>
      </c>
      <c r="G387" s="50">
        <v>1.0</v>
      </c>
      <c r="H387" s="50">
        <v>99.0</v>
      </c>
      <c r="I387" s="50" t="s">
        <v>1585</v>
      </c>
      <c r="J387" s="50" t="s">
        <v>1585</v>
      </c>
      <c r="K387" s="50" t="s">
        <v>25432</v>
      </c>
      <c r="L387" s="50" t="s">
        <v>11759</v>
      </c>
      <c r="M387" s="50" t="s">
        <v>11761</v>
      </c>
      <c r="N387" s="50" t="s">
        <v>25423</v>
      </c>
      <c r="O387" s="50">
        <v>1.0</v>
      </c>
      <c r="P387" s="144">
        <v>43777.0</v>
      </c>
      <c r="Q387" s="116"/>
      <c r="R387" s="50" t="s">
        <v>25492</v>
      </c>
      <c r="S387" s="50">
        <v>4.0</v>
      </c>
      <c r="T387" s="50" t="s">
        <v>22634</v>
      </c>
      <c r="U387" s="117">
        <v>5428.0</v>
      </c>
      <c r="V387" s="50" t="s">
        <v>25493</v>
      </c>
      <c r="W387" s="50" t="s">
        <v>25494</v>
      </c>
      <c r="X387" s="117">
        <v>392.0</v>
      </c>
    </row>
    <row r="388">
      <c r="A388" s="50" t="s">
        <v>25489</v>
      </c>
      <c r="B388" s="50" t="s">
        <v>6876</v>
      </c>
      <c r="C388" s="50" t="s">
        <v>6877</v>
      </c>
      <c r="D388" s="50" t="s">
        <v>11623</v>
      </c>
      <c r="E388" s="50" t="s">
        <v>25495</v>
      </c>
      <c r="F388" s="50">
        <v>59.0</v>
      </c>
      <c r="G388" s="50">
        <v>1.0</v>
      </c>
      <c r="H388" s="50">
        <v>11.0</v>
      </c>
      <c r="I388" s="50" t="s">
        <v>1586</v>
      </c>
      <c r="J388" s="50" t="s">
        <v>1586</v>
      </c>
      <c r="K388" s="50" t="s">
        <v>25455</v>
      </c>
      <c r="L388" s="50" t="s">
        <v>25456</v>
      </c>
      <c r="M388" s="50" t="s">
        <v>25457</v>
      </c>
      <c r="N388" s="50" t="s">
        <v>25485</v>
      </c>
      <c r="O388" s="50">
        <v>1.0</v>
      </c>
      <c r="P388" s="144">
        <v>43777.0</v>
      </c>
      <c r="Q388" s="116"/>
      <c r="R388" s="116"/>
      <c r="S388" s="50">
        <v>4.0</v>
      </c>
      <c r="T388" s="50" t="s">
        <v>22634</v>
      </c>
      <c r="U388" s="117">
        <v>5429.0</v>
      </c>
      <c r="V388" s="50" t="s">
        <v>25500</v>
      </c>
      <c r="W388" s="50" t="s">
        <v>25501</v>
      </c>
      <c r="X388" s="117">
        <v>393.0</v>
      </c>
    </row>
    <row r="389">
      <c r="A389" s="50" t="s">
        <v>25495</v>
      </c>
      <c r="B389" s="50" t="s">
        <v>6876</v>
      </c>
      <c r="C389" s="50" t="s">
        <v>6877</v>
      </c>
      <c r="D389" s="50" t="s">
        <v>11623</v>
      </c>
      <c r="E389" s="50" t="s">
        <v>25502</v>
      </c>
      <c r="F389" s="50">
        <v>59.0</v>
      </c>
      <c r="G389" s="50">
        <v>1.0</v>
      </c>
      <c r="H389" s="50">
        <v>99.0</v>
      </c>
      <c r="I389" s="50" t="s">
        <v>1588</v>
      </c>
      <c r="J389" s="50" t="s">
        <v>1588</v>
      </c>
      <c r="K389" s="50" t="s">
        <v>25432</v>
      </c>
      <c r="L389" s="50" t="s">
        <v>11759</v>
      </c>
      <c r="M389" s="50" t="s">
        <v>11761</v>
      </c>
      <c r="N389" s="50" t="s">
        <v>25423</v>
      </c>
      <c r="O389" s="50">
        <v>1.0</v>
      </c>
      <c r="P389" s="144">
        <v>43777.0</v>
      </c>
      <c r="Q389" s="116"/>
      <c r="R389" s="50" t="s">
        <v>25503</v>
      </c>
      <c r="S389" s="50">
        <v>4.0</v>
      </c>
      <c r="T389" s="50" t="s">
        <v>22634</v>
      </c>
      <c r="U389" s="117">
        <v>5430.0</v>
      </c>
      <c r="V389" s="50" t="s">
        <v>25506</v>
      </c>
      <c r="W389" s="50" t="s">
        <v>25507</v>
      </c>
      <c r="X389" s="117">
        <v>394.0</v>
      </c>
    </row>
    <row r="390">
      <c r="A390" s="50" t="s">
        <v>25502</v>
      </c>
      <c r="B390" s="50" t="s">
        <v>6876</v>
      </c>
      <c r="C390" s="50" t="s">
        <v>6877</v>
      </c>
      <c r="D390" s="50" t="s">
        <v>11623</v>
      </c>
      <c r="E390" s="50" t="s">
        <v>25509</v>
      </c>
      <c r="F390" s="50">
        <v>59.0</v>
      </c>
      <c r="G390" s="50">
        <v>1.0</v>
      </c>
      <c r="H390" s="50">
        <v>11.0</v>
      </c>
      <c r="I390" s="50" t="s">
        <v>1589</v>
      </c>
      <c r="J390" s="50" t="s">
        <v>1589</v>
      </c>
      <c r="K390" s="50" t="s">
        <v>25455</v>
      </c>
      <c r="L390" s="50" t="s">
        <v>25456</v>
      </c>
      <c r="M390" s="50" t="s">
        <v>25457</v>
      </c>
      <c r="N390" s="50" t="s">
        <v>25510</v>
      </c>
      <c r="O390" s="50">
        <v>1.0</v>
      </c>
      <c r="P390" s="144">
        <v>43777.0</v>
      </c>
      <c r="Q390" s="116"/>
      <c r="R390" s="116"/>
      <c r="S390" s="50">
        <v>4.0</v>
      </c>
      <c r="T390" s="50" t="s">
        <v>22634</v>
      </c>
      <c r="U390" s="117">
        <v>5431.0</v>
      </c>
      <c r="V390" s="50" t="s">
        <v>25511</v>
      </c>
      <c r="W390" s="50" t="s">
        <v>25512</v>
      </c>
      <c r="X390" s="117">
        <v>395.0</v>
      </c>
    </row>
    <row r="391">
      <c r="A391" s="50" t="s">
        <v>25509</v>
      </c>
      <c r="B391" s="50" t="s">
        <v>6876</v>
      </c>
      <c r="C391" s="50" t="s">
        <v>6877</v>
      </c>
      <c r="D391" s="50" t="s">
        <v>11623</v>
      </c>
      <c r="E391" s="50" t="s">
        <v>25514</v>
      </c>
      <c r="F391" s="50">
        <v>59.0</v>
      </c>
      <c r="G391" s="50">
        <v>1.0</v>
      </c>
      <c r="H391" s="50">
        <v>99.0</v>
      </c>
      <c r="I391" s="50" t="s">
        <v>1591</v>
      </c>
      <c r="J391" s="50" t="s">
        <v>1591</v>
      </c>
      <c r="K391" s="50" t="s">
        <v>25432</v>
      </c>
      <c r="L391" s="50" t="s">
        <v>11759</v>
      </c>
      <c r="M391" s="50" t="s">
        <v>11761</v>
      </c>
      <c r="N391" s="50" t="s">
        <v>25423</v>
      </c>
      <c r="O391" s="50">
        <v>1.0</v>
      </c>
      <c r="P391" s="144">
        <v>43777.0</v>
      </c>
      <c r="Q391" s="116"/>
      <c r="R391" s="50" t="s">
        <v>25518</v>
      </c>
      <c r="S391" s="50">
        <v>4.0</v>
      </c>
      <c r="T391" s="50" t="s">
        <v>22634</v>
      </c>
      <c r="U391" s="117">
        <v>5432.0</v>
      </c>
      <c r="V391" s="50" t="s">
        <v>25519</v>
      </c>
      <c r="W391" s="50" t="s">
        <v>25520</v>
      </c>
      <c r="X391" s="117">
        <v>396.0</v>
      </c>
    </row>
    <row r="392">
      <c r="A392" s="50" t="s">
        <v>25514</v>
      </c>
      <c r="B392" s="50" t="s">
        <v>6876</v>
      </c>
      <c r="C392" s="50" t="s">
        <v>6877</v>
      </c>
      <c r="D392" s="50" t="s">
        <v>11623</v>
      </c>
      <c r="E392" s="50" t="s">
        <v>25521</v>
      </c>
      <c r="F392" s="50">
        <v>33.0</v>
      </c>
      <c r="G392" s="50">
        <v>1.0</v>
      </c>
      <c r="H392" s="50">
        <v>98.0</v>
      </c>
      <c r="I392" s="50" t="s">
        <v>1592</v>
      </c>
      <c r="J392" s="50" t="s">
        <v>1592</v>
      </c>
      <c r="K392" s="50" t="s">
        <v>11758</v>
      </c>
      <c r="L392" s="50" t="s">
        <v>25522</v>
      </c>
      <c r="M392" s="50" t="s">
        <v>25523</v>
      </c>
      <c r="N392" s="50" t="s">
        <v>11761</v>
      </c>
      <c r="O392" s="50">
        <v>1.0</v>
      </c>
      <c r="P392" s="144">
        <v>43777.0</v>
      </c>
      <c r="Q392" s="116"/>
      <c r="R392" s="50" t="s">
        <v>25526</v>
      </c>
      <c r="S392" s="50">
        <v>6.0</v>
      </c>
      <c r="T392" s="50" t="s">
        <v>22634</v>
      </c>
      <c r="U392" s="117">
        <v>5433.0</v>
      </c>
      <c r="V392" s="50" t="s">
        <v>25528</v>
      </c>
      <c r="W392" s="50" t="s">
        <v>25529</v>
      </c>
      <c r="X392" s="117">
        <v>397.0</v>
      </c>
    </row>
    <row r="393">
      <c r="A393" s="50" t="s">
        <v>25521</v>
      </c>
      <c r="B393" s="50" t="s">
        <v>6876</v>
      </c>
      <c r="C393" s="50" t="s">
        <v>6877</v>
      </c>
      <c r="D393" s="50" t="s">
        <v>11623</v>
      </c>
      <c r="E393" s="50" t="s">
        <v>25531</v>
      </c>
      <c r="F393" s="50">
        <v>58.0</v>
      </c>
      <c r="G393" s="50">
        <v>1.0</v>
      </c>
      <c r="H393" s="50">
        <v>99.0</v>
      </c>
      <c r="I393" s="50" t="s">
        <v>277</v>
      </c>
      <c r="J393" s="50" t="s">
        <v>277</v>
      </c>
      <c r="K393" s="50" t="s">
        <v>25532</v>
      </c>
      <c r="L393" s="50" t="s">
        <v>25533</v>
      </c>
      <c r="M393" s="50" t="s">
        <v>25534</v>
      </c>
      <c r="N393" s="50" t="s">
        <v>25535</v>
      </c>
      <c r="O393" s="50">
        <v>0.0</v>
      </c>
      <c r="P393" s="116"/>
      <c r="Q393" s="116"/>
      <c r="R393" s="50" t="s">
        <v>25536</v>
      </c>
      <c r="S393" s="50">
        <v>6.0</v>
      </c>
      <c r="T393" s="50" t="s">
        <v>22634</v>
      </c>
      <c r="U393" s="117">
        <v>5434.0</v>
      </c>
      <c r="V393" s="50" t="s">
        <v>25537</v>
      </c>
      <c r="W393" s="50" t="s">
        <v>25538</v>
      </c>
      <c r="X393" s="117">
        <v>398.0</v>
      </c>
    </row>
    <row r="394">
      <c r="A394" s="50" t="s">
        <v>25531</v>
      </c>
      <c r="B394" s="50" t="s">
        <v>6876</v>
      </c>
      <c r="C394" s="50" t="s">
        <v>6877</v>
      </c>
      <c r="D394" s="50" t="s">
        <v>11623</v>
      </c>
      <c r="E394" s="50" t="s">
        <v>25541</v>
      </c>
      <c r="F394" s="50">
        <v>59.0</v>
      </c>
      <c r="G394" s="50">
        <v>1.0</v>
      </c>
      <c r="H394" s="50">
        <v>11.0</v>
      </c>
      <c r="I394" s="50" t="s">
        <v>1595</v>
      </c>
      <c r="J394" s="50" t="s">
        <v>1595</v>
      </c>
      <c r="K394" s="50" t="s">
        <v>25543</v>
      </c>
      <c r="L394" s="50" t="s">
        <v>25544</v>
      </c>
      <c r="M394" s="50" t="s">
        <v>25545</v>
      </c>
      <c r="N394" s="50" t="s">
        <v>25546</v>
      </c>
      <c r="O394" s="50">
        <v>1.0</v>
      </c>
      <c r="P394" s="144">
        <v>43780.0</v>
      </c>
      <c r="Q394" s="116"/>
      <c r="R394" s="116"/>
      <c r="S394" s="50">
        <v>6.0</v>
      </c>
      <c r="T394" s="50" t="s">
        <v>22634</v>
      </c>
      <c r="U394" s="117">
        <v>5435.0</v>
      </c>
      <c r="V394" s="50" t="s">
        <v>25547</v>
      </c>
      <c r="W394" s="50" t="s">
        <v>25548</v>
      </c>
      <c r="X394" s="117">
        <v>399.0</v>
      </c>
    </row>
    <row r="395">
      <c r="A395" s="50" t="s">
        <v>25541</v>
      </c>
      <c r="B395" s="50" t="s">
        <v>6876</v>
      </c>
      <c r="C395" s="50" t="s">
        <v>6877</v>
      </c>
      <c r="D395" s="50" t="s">
        <v>11623</v>
      </c>
      <c r="E395" s="50" t="s">
        <v>25549</v>
      </c>
      <c r="F395" s="50">
        <v>59.0</v>
      </c>
      <c r="G395" s="50">
        <v>1.0</v>
      </c>
      <c r="H395" s="50">
        <v>99.0</v>
      </c>
      <c r="I395" s="50" t="s">
        <v>279</v>
      </c>
      <c r="J395" s="50" t="s">
        <v>279</v>
      </c>
      <c r="K395" s="50" t="s">
        <v>25532</v>
      </c>
      <c r="L395" s="50" t="s">
        <v>25533</v>
      </c>
      <c r="M395" s="50" t="s">
        <v>25534</v>
      </c>
      <c r="N395" s="50" t="s">
        <v>25535</v>
      </c>
      <c r="O395" s="50">
        <v>0.0</v>
      </c>
      <c r="P395" s="116"/>
      <c r="Q395" s="116"/>
      <c r="R395" s="50" t="s">
        <v>25554</v>
      </c>
      <c r="S395" s="50">
        <v>6.0</v>
      </c>
      <c r="T395" s="50" t="s">
        <v>22634</v>
      </c>
      <c r="U395" s="117">
        <v>5436.0</v>
      </c>
      <c r="V395" s="50" t="s">
        <v>25555</v>
      </c>
      <c r="W395" s="50" t="s">
        <v>25556</v>
      </c>
      <c r="X395" s="117">
        <v>400.0</v>
      </c>
    </row>
    <row r="396">
      <c r="A396" s="50" t="s">
        <v>25549</v>
      </c>
      <c r="B396" s="50" t="s">
        <v>6876</v>
      </c>
      <c r="C396" s="50" t="s">
        <v>6877</v>
      </c>
      <c r="D396" s="50" t="s">
        <v>11623</v>
      </c>
      <c r="E396" s="50" t="s">
        <v>25557</v>
      </c>
      <c r="F396" s="50">
        <v>59.0</v>
      </c>
      <c r="G396" s="50">
        <v>1.0</v>
      </c>
      <c r="H396" s="50">
        <v>11.0</v>
      </c>
      <c r="I396" s="50" t="s">
        <v>1596</v>
      </c>
      <c r="J396" s="50" t="s">
        <v>1596</v>
      </c>
      <c r="K396" s="50" t="s">
        <v>25543</v>
      </c>
      <c r="L396" s="50" t="s">
        <v>25544</v>
      </c>
      <c r="M396" s="50" t="s">
        <v>25545</v>
      </c>
      <c r="N396" s="50" t="s">
        <v>25546</v>
      </c>
      <c r="O396" s="50">
        <v>1.0</v>
      </c>
      <c r="P396" s="144">
        <v>43780.0</v>
      </c>
      <c r="Q396" s="116"/>
      <c r="R396" s="116"/>
      <c r="S396" s="50">
        <v>6.0</v>
      </c>
      <c r="T396" s="50" t="s">
        <v>22634</v>
      </c>
      <c r="U396" s="117">
        <v>5437.0</v>
      </c>
      <c r="V396" s="50" t="s">
        <v>25561</v>
      </c>
      <c r="W396" s="50" t="s">
        <v>25562</v>
      </c>
      <c r="X396" s="117">
        <v>401.0</v>
      </c>
    </row>
    <row r="397">
      <c r="A397" s="50" t="s">
        <v>25563</v>
      </c>
      <c r="B397" s="50" t="s">
        <v>6876</v>
      </c>
      <c r="C397" s="50" t="s">
        <v>6877</v>
      </c>
      <c r="D397" s="50" t="s">
        <v>11623</v>
      </c>
      <c r="E397" s="50" t="s">
        <v>25565</v>
      </c>
      <c r="F397" s="50">
        <v>59.0</v>
      </c>
      <c r="G397" s="50">
        <v>1.0</v>
      </c>
      <c r="H397" s="50">
        <v>99.0</v>
      </c>
      <c r="I397" s="50" t="s">
        <v>1598</v>
      </c>
      <c r="J397" s="50" t="s">
        <v>1598</v>
      </c>
      <c r="K397" s="50" t="s">
        <v>25532</v>
      </c>
      <c r="L397" s="50" t="s">
        <v>25533</v>
      </c>
      <c r="M397" s="50" t="s">
        <v>25534</v>
      </c>
      <c r="N397" s="50" t="s">
        <v>25535</v>
      </c>
      <c r="O397" s="50">
        <v>0.0</v>
      </c>
      <c r="P397" s="116"/>
      <c r="Q397" s="116"/>
      <c r="R397" s="50" t="s">
        <v>25566</v>
      </c>
      <c r="S397" s="50">
        <v>6.0</v>
      </c>
      <c r="T397" s="50" t="s">
        <v>22634</v>
      </c>
      <c r="U397" s="117">
        <v>5450.0</v>
      </c>
      <c r="V397" s="50" t="s">
        <v>25567</v>
      </c>
      <c r="W397" s="50" t="s">
        <v>25568</v>
      </c>
      <c r="X397" s="117">
        <v>402.0</v>
      </c>
    </row>
    <row r="398">
      <c r="A398" s="50" t="s">
        <v>25565</v>
      </c>
      <c r="B398" s="50" t="s">
        <v>6876</v>
      </c>
      <c r="C398" s="50" t="s">
        <v>6877</v>
      </c>
      <c r="D398" s="50" t="s">
        <v>11623</v>
      </c>
      <c r="E398" s="50" t="s">
        <v>25571</v>
      </c>
      <c r="F398" s="50">
        <v>58.0</v>
      </c>
      <c r="G398" s="50">
        <v>1.0</v>
      </c>
      <c r="H398" s="50">
        <v>11.0</v>
      </c>
      <c r="I398" s="50" t="s">
        <v>1599</v>
      </c>
      <c r="J398" s="50" t="s">
        <v>1599</v>
      </c>
      <c r="K398" s="50" t="s">
        <v>25543</v>
      </c>
      <c r="L398" s="50" t="s">
        <v>25544</v>
      </c>
      <c r="M398" s="50" t="s">
        <v>25545</v>
      </c>
      <c r="N398" s="50" t="s">
        <v>25546</v>
      </c>
      <c r="O398" s="50">
        <v>1.0</v>
      </c>
      <c r="P398" s="144">
        <v>43780.0</v>
      </c>
      <c r="Q398" s="116"/>
      <c r="R398" s="116"/>
      <c r="S398" s="50">
        <v>6.0</v>
      </c>
      <c r="T398" s="50" t="s">
        <v>22634</v>
      </c>
      <c r="U398" s="117">
        <v>5451.0</v>
      </c>
      <c r="V398" s="50" t="s">
        <v>25573</v>
      </c>
      <c r="W398" s="50" t="s">
        <v>25574</v>
      </c>
      <c r="X398" s="117">
        <v>403.0</v>
      </c>
    </row>
    <row r="399">
      <c r="A399" s="50" t="s">
        <v>25571</v>
      </c>
      <c r="B399" s="50" t="s">
        <v>6876</v>
      </c>
      <c r="C399" s="50" t="s">
        <v>6877</v>
      </c>
      <c r="D399" s="50" t="s">
        <v>11623</v>
      </c>
      <c r="E399" s="50" t="s">
        <v>25575</v>
      </c>
      <c r="F399" s="50">
        <v>58.0</v>
      </c>
      <c r="G399" s="50">
        <v>1.0</v>
      </c>
      <c r="H399" s="50">
        <v>99.0</v>
      </c>
      <c r="I399" s="50" t="s">
        <v>282</v>
      </c>
      <c r="J399" s="50" t="s">
        <v>282</v>
      </c>
      <c r="K399" s="50" t="s">
        <v>25532</v>
      </c>
      <c r="L399" s="50" t="s">
        <v>25533</v>
      </c>
      <c r="M399" s="50" t="s">
        <v>25534</v>
      </c>
      <c r="N399" s="50" t="s">
        <v>25535</v>
      </c>
      <c r="O399" s="50">
        <v>1.0</v>
      </c>
      <c r="P399" s="144">
        <v>43780.0</v>
      </c>
      <c r="Q399" s="116"/>
      <c r="R399" s="50" t="s">
        <v>25578</v>
      </c>
      <c r="S399" s="50">
        <v>6.0</v>
      </c>
      <c r="T399" s="50" t="s">
        <v>22634</v>
      </c>
      <c r="U399" s="117">
        <v>5452.0</v>
      </c>
      <c r="V399" s="50" t="s">
        <v>25580</v>
      </c>
      <c r="W399" s="50" t="s">
        <v>25581</v>
      </c>
      <c r="X399" s="117">
        <v>404.0</v>
      </c>
    </row>
    <row r="400">
      <c r="A400" s="50" t="s">
        <v>25575</v>
      </c>
      <c r="B400" s="50" t="s">
        <v>6876</v>
      </c>
      <c r="C400" s="50" t="s">
        <v>6877</v>
      </c>
      <c r="D400" s="50" t="s">
        <v>11623</v>
      </c>
      <c r="E400" s="50" t="s">
        <v>25582</v>
      </c>
      <c r="F400" s="50">
        <v>33.0</v>
      </c>
      <c r="G400" s="50">
        <v>1.0</v>
      </c>
      <c r="H400" s="50">
        <v>98.0</v>
      </c>
      <c r="I400" s="50" t="s">
        <v>1600</v>
      </c>
      <c r="J400" s="50" t="s">
        <v>1600</v>
      </c>
      <c r="K400" s="50" t="s">
        <v>25532</v>
      </c>
      <c r="L400" s="50" t="s">
        <v>25533</v>
      </c>
      <c r="M400" s="50" t="s">
        <v>25534</v>
      </c>
      <c r="N400" s="50" t="s">
        <v>25535</v>
      </c>
      <c r="O400" s="50">
        <v>1.0</v>
      </c>
      <c r="P400" s="144">
        <v>43780.0</v>
      </c>
      <c r="Q400" s="116"/>
      <c r="R400" s="50" t="s">
        <v>23528</v>
      </c>
      <c r="S400" s="50">
        <v>6.0</v>
      </c>
      <c r="T400" s="50" t="s">
        <v>22634</v>
      </c>
      <c r="U400" s="117">
        <v>5453.0</v>
      </c>
      <c r="V400" s="50" t="s">
        <v>25584</v>
      </c>
      <c r="W400" s="50" t="s">
        <v>25586</v>
      </c>
      <c r="X400" s="117">
        <v>405.0</v>
      </c>
    </row>
    <row r="401">
      <c r="A401" s="50" t="s">
        <v>25582</v>
      </c>
      <c r="B401" s="50" t="s">
        <v>6876</v>
      </c>
      <c r="C401" s="50" t="s">
        <v>6877</v>
      </c>
      <c r="D401" s="50" t="s">
        <v>11623</v>
      </c>
      <c r="E401" s="50" t="s">
        <v>25588</v>
      </c>
      <c r="F401" s="50">
        <v>33.0</v>
      </c>
      <c r="G401" s="50">
        <v>1.0</v>
      </c>
      <c r="H401" s="50">
        <v>98.0</v>
      </c>
      <c r="I401" s="50" t="s">
        <v>1608</v>
      </c>
      <c r="J401" s="50" t="s">
        <v>1608</v>
      </c>
      <c r="K401" s="50" t="s">
        <v>12084</v>
      </c>
      <c r="L401" s="50" t="s">
        <v>25590</v>
      </c>
      <c r="M401" s="50" t="s">
        <v>12136</v>
      </c>
      <c r="N401" s="50" t="s">
        <v>16727</v>
      </c>
      <c r="O401" s="50">
        <v>0.0</v>
      </c>
      <c r="P401" s="116"/>
      <c r="Q401" s="116"/>
      <c r="R401" s="50" t="s">
        <v>23528</v>
      </c>
      <c r="S401" s="50">
        <v>6.0</v>
      </c>
      <c r="T401" s="50" t="s">
        <v>22634</v>
      </c>
      <c r="U401" s="117">
        <v>5454.0</v>
      </c>
      <c r="V401" s="50" t="s">
        <v>25591</v>
      </c>
      <c r="W401" s="50" t="s">
        <v>25592</v>
      </c>
      <c r="X401" s="117">
        <v>406.0</v>
      </c>
    </row>
    <row r="402">
      <c r="A402" s="50" t="s">
        <v>25588</v>
      </c>
      <c r="B402" s="50" t="s">
        <v>6876</v>
      </c>
      <c r="C402" s="50" t="s">
        <v>6877</v>
      </c>
      <c r="D402" s="50" t="s">
        <v>11623</v>
      </c>
      <c r="E402" s="50" t="s">
        <v>25595</v>
      </c>
      <c r="F402" s="50">
        <v>66.0</v>
      </c>
      <c r="G402" s="50">
        <v>1.0</v>
      </c>
      <c r="H402" s="50">
        <v>12.0</v>
      </c>
      <c r="I402" s="50" t="s">
        <v>1603</v>
      </c>
      <c r="J402" s="50" t="s">
        <v>1603</v>
      </c>
      <c r="K402" s="50" t="s">
        <v>25597</v>
      </c>
      <c r="L402" s="50" t="s">
        <v>25599</v>
      </c>
      <c r="M402" s="50" t="s">
        <v>25600</v>
      </c>
      <c r="N402" s="50" t="s">
        <v>25601</v>
      </c>
      <c r="O402" s="50">
        <v>1.0</v>
      </c>
      <c r="P402" s="144">
        <v>43784.0</v>
      </c>
      <c r="Q402" s="116"/>
      <c r="R402" s="116"/>
      <c r="S402" s="50">
        <v>6.0</v>
      </c>
      <c r="T402" s="50" t="s">
        <v>22634</v>
      </c>
      <c r="U402" s="117">
        <v>5455.0</v>
      </c>
      <c r="V402" s="50" t="s">
        <v>25602</v>
      </c>
      <c r="W402" s="50" t="s">
        <v>25603</v>
      </c>
      <c r="X402" s="117">
        <v>407.0</v>
      </c>
    </row>
    <row r="403">
      <c r="A403" s="50" t="s">
        <v>25595</v>
      </c>
      <c r="B403" s="50" t="s">
        <v>6876</v>
      </c>
      <c r="C403" s="50" t="s">
        <v>6877</v>
      </c>
      <c r="D403" s="50" t="s">
        <v>11623</v>
      </c>
      <c r="E403" s="50" t="s">
        <v>25604</v>
      </c>
      <c r="F403" s="50">
        <v>59.0</v>
      </c>
      <c r="G403" s="50">
        <v>1.0</v>
      </c>
      <c r="H403" s="50">
        <v>12.0</v>
      </c>
      <c r="I403" s="50" t="s">
        <v>1606</v>
      </c>
      <c r="J403" s="50" t="s">
        <v>1606</v>
      </c>
      <c r="K403" s="50" t="s">
        <v>25597</v>
      </c>
      <c r="L403" s="50" t="s">
        <v>25599</v>
      </c>
      <c r="M403" s="50" t="s">
        <v>25600</v>
      </c>
      <c r="N403" s="50" t="s">
        <v>25607</v>
      </c>
      <c r="O403" s="50">
        <v>1.0</v>
      </c>
      <c r="P403" s="144">
        <v>43784.0</v>
      </c>
      <c r="Q403" s="116"/>
      <c r="R403" s="116"/>
      <c r="S403" s="50">
        <v>6.0</v>
      </c>
      <c r="T403" s="50" t="s">
        <v>22634</v>
      </c>
      <c r="U403" s="117">
        <v>5456.0</v>
      </c>
      <c r="V403" s="50" t="s">
        <v>25610</v>
      </c>
      <c r="W403" s="50" t="s">
        <v>25611</v>
      </c>
      <c r="X403" s="117">
        <v>408.0</v>
      </c>
    </row>
    <row r="404">
      <c r="A404" s="50" t="s">
        <v>25604</v>
      </c>
      <c r="B404" s="50" t="s">
        <v>6876</v>
      </c>
      <c r="C404" s="50" t="s">
        <v>6877</v>
      </c>
      <c r="D404" s="50" t="s">
        <v>11623</v>
      </c>
      <c r="E404" s="50" t="s">
        <v>25612</v>
      </c>
      <c r="F404" s="50">
        <v>66.0</v>
      </c>
      <c r="G404" s="50">
        <v>1.0</v>
      </c>
      <c r="H404" s="50">
        <v>99.0</v>
      </c>
      <c r="I404" s="50" t="s">
        <v>1605</v>
      </c>
      <c r="J404" s="50" t="s">
        <v>1605</v>
      </c>
      <c r="K404" s="50" t="s">
        <v>25613</v>
      </c>
      <c r="L404" s="50" t="s">
        <v>25614</v>
      </c>
      <c r="M404" s="50" t="s">
        <v>25615</v>
      </c>
      <c r="N404" s="50" t="s">
        <v>12226</v>
      </c>
      <c r="O404" s="50">
        <v>0.0</v>
      </c>
      <c r="P404" s="116"/>
      <c r="Q404" s="116"/>
      <c r="R404" s="50" t="s">
        <v>25616</v>
      </c>
      <c r="S404" s="50">
        <v>6.0</v>
      </c>
      <c r="T404" s="50" t="s">
        <v>22634</v>
      </c>
      <c r="U404" s="117">
        <v>5457.0</v>
      </c>
      <c r="V404" s="50" t="s">
        <v>25617</v>
      </c>
      <c r="W404" s="50" t="s">
        <v>25618</v>
      </c>
      <c r="X404" s="117">
        <v>409.0</v>
      </c>
    </row>
    <row r="405">
      <c r="A405" s="50" t="s">
        <v>25612</v>
      </c>
      <c r="B405" s="50" t="s">
        <v>6876</v>
      </c>
      <c r="C405" s="50" t="s">
        <v>6877</v>
      </c>
      <c r="D405" s="50" t="s">
        <v>11623</v>
      </c>
      <c r="E405" s="50" t="s">
        <v>25622</v>
      </c>
      <c r="F405" s="50">
        <v>59.0</v>
      </c>
      <c r="G405" s="50">
        <v>1.0</v>
      </c>
      <c r="H405" s="50">
        <v>99.0</v>
      </c>
      <c r="I405" s="50" t="s">
        <v>341</v>
      </c>
      <c r="J405" s="50" t="s">
        <v>341</v>
      </c>
      <c r="K405" s="50" t="s">
        <v>25613</v>
      </c>
      <c r="L405" s="50" t="s">
        <v>25614</v>
      </c>
      <c r="M405" s="50" t="s">
        <v>25615</v>
      </c>
      <c r="N405" s="50" t="s">
        <v>12226</v>
      </c>
      <c r="O405" s="50">
        <v>1.0</v>
      </c>
      <c r="P405" s="144">
        <v>43784.0</v>
      </c>
      <c r="Q405" s="116"/>
      <c r="R405" s="50" t="s">
        <v>25623</v>
      </c>
      <c r="S405" s="50">
        <v>6.0</v>
      </c>
      <c r="T405" s="50" t="s">
        <v>22634</v>
      </c>
      <c r="U405" s="117">
        <v>5458.0</v>
      </c>
      <c r="V405" s="50" t="s">
        <v>25624</v>
      </c>
      <c r="W405" s="50" t="s">
        <v>25625</v>
      </c>
      <c r="X405" s="117">
        <v>410.0</v>
      </c>
    </row>
    <row r="406">
      <c r="A406" s="50" t="s">
        <v>25622</v>
      </c>
      <c r="B406" s="50" t="s">
        <v>6876</v>
      </c>
      <c r="C406" s="50" t="s">
        <v>6877</v>
      </c>
      <c r="D406" s="50" t="s">
        <v>11623</v>
      </c>
      <c r="E406" s="50" t="s">
        <v>25628</v>
      </c>
      <c r="F406" s="50">
        <v>59.0</v>
      </c>
      <c r="G406" s="50">
        <v>1.0</v>
      </c>
      <c r="H406" s="50">
        <v>11.0</v>
      </c>
      <c r="I406" s="50" t="s">
        <v>1611</v>
      </c>
      <c r="J406" s="50" t="s">
        <v>1611</v>
      </c>
      <c r="K406" s="50" t="s">
        <v>25600</v>
      </c>
      <c r="L406" s="50" t="s">
        <v>25629</v>
      </c>
      <c r="M406" s="50" t="s">
        <v>25630</v>
      </c>
      <c r="N406" s="50" t="s">
        <v>25631</v>
      </c>
      <c r="O406" s="50">
        <v>1.0</v>
      </c>
      <c r="P406" s="144">
        <v>43785.0</v>
      </c>
      <c r="Q406" s="116"/>
      <c r="R406" s="116"/>
      <c r="S406" s="50">
        <v>4.0</v>
      </c>
      <c r="T406" s="50" t="s">
        <v>22634</v>
      </c>
      <c r="U406" s="117">
        <v>5459.0</v>
      </c>
      <c r="V406" s="50" t="s">
        <v>25633</v>
      </c>
      <c r="W406" s="50" t="s">
        <v>25634</v>
      </c>
      <c r="X406" s="117">
        <v>411.0</v>
      </c>
    </row>
    <row r="407">
      <c r="A407" s="50" t="s">
        <v>25635</v>
      </c>
      <c r="B407" s="50" t="s">
        <v>6876</v>
      </c>
      <c r="C407" s="50" t="s">
        <v>6877</v>
      </c>
      <c r="D407" s="50" t="s">
        <v>11623</v>
      </c>
      <c r="E407" s="50" t="s">
        <v>25636</v>
      </c>
      <c r="F407" s="50">
        <v>59.0</v>
      </c>
      <c r="G407" s="50">
        <v>1.0</v>
      </c>
      <c r="H407" s="50">
        <v>11.0</v>
      </c>
      <c r="I407" s="50" t="s">
        <v>1613</v>
      </c>
      <c r="J407" s="50" t="s">
        <v>1613</v>
      </c>
      <c r="K407" s="50" t="s">
        <v>25600</v>
      </c>
      <c r="L407" s="50" t="s">
        <v>25629</v>
      </c>
      <c r="M407" s="50" t="s">
        <v>25630</v>
      </c>
      <c r="N407" s="50" t="s">
        <v>25631</v>
      </c>
      <c r="O407" s="50">
        <v>1.0</v>
      </c>
      <c r="P407" s="144">
        <v>43785.0</v>
      </c>
      <c r="Q407" s="116"/>
      <c r="R407" s="116"/>
      <c r="S407" s="50">
        <v>4.0</v>
      </c>
      <c r="T407" s="50" t="s">
        <v>22634</v>
      </c>
      <c r="U407" s="117">
        <v>5460.0</v>
      </c>
      <c r="V407" s="50" t="s">
        <v>25639</v>
      </c>
      <c r="W407" s="50" t="s">
        <v>25640</v>
      </c>
      <c r="X407" s="117">
        <v>412.0</v>
      </c>
    </row>
    <row r="408">
      <c r="A408" s="50" t="s">
        <v>25636</v>
      </c>
      <c r="B408" s="50" t="s">
        <v>6876</v>
      </c>
      <c r="C408" s="50" t="s">
        <v>6877</v>
      </c>
      <c r="D408" s="50" t="s">
        <v>11623</v>
      </c>
      <c r="E408" s="50" t="s">
        <v>25642</v>
      </c>
      <c r="F408" s="50">
        <v>59.0</v>
      </c>
      <c r="G408" s="50">
        <v>1.0</v>
      </c>
      <c r="H408" s="50">
        <v>11.0</v>
      </c>
      <c r="I408" s="50" t="s">
        <v>1616</v>
      </c>
      <c r="J408" s="50" t="s">
        <v>1616</v>
      </c>
      <c r="K408" s="50" t="s">
        <v>25600</v>
      </c>
      <c r="L408" s="50" t="s">
        <v>25629</v>
      </c>
      <c r="M408" s="50" t="s">
        <v>25630</v>
      </c>
      <c r="N408" s="50" t="s">
        <v>25643</v>
      </c>
      <c r="O408" s="50">
        <v>1.0</v>
      </c>
      <c r="P408" s="144">
        <v>43785.0</v>
      </c>
      <c r="Q408" s="116"/>
      <c r="R408" s="116"/>
      <c r="S408" s="50">
        <v>4.0</v>
      </c>
      <c r="T408" s="50" t="s">
        <v>22634</v>
      </c>
      <c r="U408" s="117">
        <v>5461.0</v>
      </c>
      <c r="V408" s="50" t="s">
        <v>25644</v>
      </c>
      <c r="W408" s="50" t="s">
        <v>25646</v>
      </c>
      <c r="X408" s="117">
        <v>413.0</v>
      </c>
    </row>
    <row r="409">
      <c r="A409" s="50" t="s">
        <v>25642</v>
      </c>
      <c r="B409" s="50" t="s">
        <v>6876</v>
      </c>
      <c r="C409" s="50" t="s">
        <v>6877</v>
      </c>
      <c r="D409" s="50" t="s">
        <v>11623</v>
      </c>
      <c r="E409" s="50" t="s">
        <v>25648</v>
      </c>
      <c r="F409" s="50">
        <v>50.0</v>
      </c>
      <c r="G409" s="50">
        <v>1.0</v>
      </c>
      <c r="H409" s="50">
        <v>11.0</v>
      </c>
      <c r="I409" s="50" t="s">
        <v>1619</v>
      </c>
      <c r="J409" s="50" t="s">
        <v>1619</v>
      </c>
      <c r="K409" s="50" t="s">
        <v>25600</v>
      </c>
      <c r="L409" s="50" t="s">
        <v>25629</v>
      </c>
      <c r="M409" s="50" t="s">
        <v>25630</v>
      </c>
      <c r="N409" s="50" t="s">
        <v>25650</v>
      </c>
      <c r="O409" s="50">
        <v>1.0</v>
      </c>
      <c r="P409" s="144">
        <v>43785.0</v>
      </c>
      <c r="Q409" s="116"/>
      <c r="R409" s="116"/>
      <c r="S409" s="50">
        <v>4.0</v>
      </c>
      <c r="T409" s="50" t="s">
        <v>22634</v>
      </c>
      <c r="U409" s="117">
        <v>5462.0</v>
      </c>
      <c r="V409" s="50" t="s">
        <v>25651</v>
      </c>
      <c r="W409" s="50" t="s">
        <v>25652</v>
      </c>
      <c r="X409" s="117">
        <v>414.0</v>
      </c>
    </row>
    <row r="410">
      <c r="A410" s="50" t="s">
        <v>25648</v>
      </c>
      <c r="B410" s="50" t="s">
        <v>6876</v>
      </c>
      <c r="C410" s="50" t="s">
        <v>6877</v>
      </c>
      <c r="D410" s="50" t="s">
        <v>11623</v>
      </c>
      <c r="E410" s="50" t="s">
        <v>25655</v>
      </c>
      <c r="F410" s="50">
        <v>58.0</v>
      </c>
      <c r="G410" s="50">
        <v>1.0</v>
      </c>
      <c r="H410" s="50">
        <v>11.0</v>
      </c>
      <c r="I410" s="50" t="s">
        <v>1622</v>
      </c>
      <c r="J410" s="50" t="s">
        <v>1622</v>
      </c>
      <c r="K410" s="50" t="s">
        <v>25600</v>
      </c>
      <c r="L410" s="50" t="s">
        <v>25629</v>
      </c>
      <c r="M410" s="50" t="s">
        <v>25630</v>
      </c>
      <c r="N410" s="50" t="s">
        <v>25657</v>
      </c>
      <c r="O410" s="50">
        <v>1.0</v>
      </c>
      <c r="P410" s="144">
        <v>43785.0</v>
      </c>
      <c r="Q410" s="116"/>
      <c r="R410" s="116"/>
      <c r="S410" s="50">
        <v>4.0</v>
      </c>
      <c r="T410" s="50" t="s">
        <v>22634</v>
      </c>
      <c r="U410" s="117">
        <v>5463.0</v>
      </c>
      <c r="V410" s="50" t="s">
        <v>25658</v>
      </c>
      <c r="W410" s="50" t="s">
        <v>25659</v>
      </c>
      <c r="X410" s="117">
        <v>415.0</v>
      </c>
    </row>
    <row r="411">
      <c r="A411" s="50" t="s">
        <v>25655</v>
      </c>
      <c r="B411" s="50" t="s">
        <v>6876</v>
      </c>
      <c r="C411" s="50" t="s">
        <v>6877</v>
      </c>
      <c r="D411" s="50" t="s">
        <v>11623</v>
      </c>
      <c r="E411" s="50" t="s">
        <v>25661</v>
      </c>
      <c r="F411" s="50">
        <v>59.0</v>
      </c>
      <c r="G411" s="50">
        <v>1.0</v>
      </c>
      <c r="H411" s="50">
        <v>99.0</v>
      </c>
      <c r="I411" s="50" t="s">
        <v>1612</v>
      </c>
      <c r="J411" s="50" t="s">
        <v>1612</v>
      </c>
      <c r="K411" s="50" t="s">
        <v>16727</v>
      </c>
      <c r="L411" s="50" t="s">
        <v>25665</v>
      </c>
      <c r="M411" s="50" t="s">
        <v>25666</v>
      </c>
      <c r="N411" s="50" t="s">
        <v>25667</v>
      </c>
      <c r="O411" s="50">
        <v>0.0</v>
      </c>
      <c r="P411" s="116"/>
      <c r="Q411" s="116"/>
      <c r="R411" s="50" t="s">
        <v>25669</v>
      </c>
      <c r="S411" s="50">
        <v>4.0</v>
      </c>
      <c r="T411" s="50" t="s">
        <v>22634</v>
      </c>
      <c r="U411" s="117">
        <v>5464.0</v>
      </c>
      <c r="V411" s="50" t="s">
        <v>25670</v>
      </c>
      <c r="W411" s="50" t="s">
        <v>25671</v>
      </c>
      <c r="X411" s="117">
        <v>416.0</v>
      </c>
    </row>
    <row r="412">
      <c r="A412" s="50" t="s">
        <v>25661</v>
      </c>
      <c r="B412" s="50" t="s">
        <v>6876</v>
      </c>
      <c r="C412" s="50" t="s">
        <v>6877</v>
      </c>
      <c r="D412" s="50" t="s">
        <v>11623</v>
      </c>
      <c r="E412" s="50" t="s">
        <v>25673</v>
      </c>
      <c r="F412" s="50">
        <v>59.0</v>
      </c>
      <c r="G412" s="50">
        <v>1.0</v>
      </c>
      <c r="H412" s="50">
        <v>99.0</v>
      </c>
      <c r="I412" s="50" t="s">
        <v>1615</v>
      </c>
      <c r="J412" s="50" t="s">
        <v>1615</v>
      </c>
      <c r="K412" s="50" t="s">
        <v>16727</v>
      </c>
      <c r="L412" s="50" t="s">
        <v>25665</v>
      </c>
      <c r="M412" s="50" t="s">
        <v>25666</v>
      </c>
      <c r="N412" s="50" t="s">
        <v>25667</v>
      </c>
      <c r="O412" s="50">
        <v>0.0</v>
      </c>
      <c r="P412" s="116"/>
      <c r="Q412" s="116"/>
      <c r="R412" s="50" t="s">
        <v>25676</v>
      </c>
      <c r="S412" s="50">
        <v>4.0</v>
      </c>
      <c r="T412" s="50" t="s">
        <v>22634</v>
      </c>
      <c r="U412" s="117">
        <v>5465.0</v>
      </c>
      <c r="V412" s="50" t="s">
        <v>25678</v>
      </c>
      <c r="W412" s="50" t="s">
        <v>25679</v>
      </c>
      <c r="X412" s="117">
        <v>417.0</v>
      </c>
    </row>
    <row r="413">
      <c r="A413" s="50" t="s">
        <v>25673</v>
      </c>
      <c r="B413" s="50" t="s">
        <v>6876</v>
      </c>
      <c r="C413" s="50" t="s">
        <v>6877</v>
      </c>
      <c r="D413" s="50" t="s">
        <v>11623</v>
      </c>
      <c r="E413" s="50" t="s">
        <v>25680</v>
      </c>
      <c r="F413" s="50">
        <v>59.0</v>
      </c>
      <c r="G413" s="50">
        <v>1.0</v>
      </c>
      <c r="H413" s="50">
        <v>99.0</v>
      </c>
      <c r="I413" s="50" t="s">
        <v>1618</v>
      </c>
      <c r="J413" s="50" t="s">
        <v>1618</v>
      </c>
      <c r="K413" s="50" t="s">
        <v>16727</v>
      </c>
      <c r="L413" s="50" t="s">
        <v>25665</v>
      </c>
      <c r="M413" s="50" t="s">
        <v>25666</v>
      </c>
      <c r="N413" s="50" t="s">
        <v>25681</v>
      </c>
      <c r="O413" s="50">
        <v>0.0</v>
      </c>
      <c r="P413" s="116"/>
      <c r="Q413" s="116"/>
      <c r="R413" s="50" t="s">
        <v>25682</v>
      </c>
      <c r="S413" s="50">
        <v>4.0</v>
      </c>
      <c r="T413" s="50" t="s">
        <v>22634</v>
      </c>
      <c r="U413" s="117">
        <v>5466.0</v>
      </c>
      <c r="V413" s="50" t="s">
        <v>25685</v>
      </c>
      <c r="W413" s="50" t="s">
        <v>25686</v>
      </c>
      <c r="X413" s="117">
        <v>418.0</v>
      </c>
    </row>
    <row r="414">
      <c r="A414" s="50" t="s">
        <v>25680</v>
      </c>
      <c r="B414" s="50" t="s">
        <v>6876</v>
      </c>
      <c r="C414" s="50" t="s">
        <v>6877</v>
      </c>
      <c r="D414" s="50" t="s">
        <v>11623</v>
      </c>
      <c r="E414" s="50" t="s">
        <v>25688</v>
      </c>
      <c r="F414" s="50">
        <v>50.0</v>
      </c>
      <c r="G414" s="50">
        <v>1.0</v>
      </c>
      <c r="H414" s="50">
        <v>99.0</v>
      </c>
      <c r="I414" s="50" t="s">
        <v>1621</v>
      </c>
      <c r="J414" s="50" t="s">
        <v>1621</v>
      </c>
      <c r="K414" s="50" t="s">
        <v>16727</v>
      </c>
      <c r="L414" s="50" t="s">
        <v>25665</v>
      </c>
      <c r="M414" s="50" t="s">
        <v>25666</v>
      </c>
      <c r="N414" s="50" t="s">
        <v>25681</v>
      </c>
      <c r="O414" s="50">
        <v>0.0</v>
      </c>
      <c r="P414" s="116"/>
      <c r="Q414" s="116"/>
      <c r="R414" s="50" t="s">
        <v>25689</v>
      </c>
      <c r="S414" s="50">
        <v>4.0</v>
      </c>
      <c r="T414" s="50" t="s">
        <v>22634</v>
      </c>
      <c r="U414" s="117">
        <v>5467.0</v>
      </c>
      <c r="V414" s="50" t="s">
        <v>25690</v>
      </c>
      <c r="W414" s="50" t="s">
        <v>25691</v>
      </c>
      <c r="X414" s="117">
        <v>419.0</v>
      </c>
    </row>
    <row r="415">
      <c r="A415" s="50" t="s">
        <v>25692</v>
      </c>
      <c r="B415" s="50" t="s">
        <v>6876</v>
      </c>
      <c r="C415" s="50" t="s">
        <v>6877</v>
      </c>
      <c r="D415" s="50" t="s">
        <v>11623</v>
      </c>
      <c r="E415" s="50" t="s">
        <v>25695</v>
      </c>
      <c r="F415" s="50">
        <v>58.0</v>
      </c>
      <c r="G415" s="50">
        <v>1.0</v>
      </c>
      <c r="H415" s="50">
        <v>99.0</v>
      </c>
      <c r="I415" s="50" t="s">
        <v>1624</v>
      </c>
      <c r="J415" s="50" t="s">
        <v>1624</v>
      </c>
      <c r="K415" s="50" t="s">
        <v>16727</v>
      </c>
      <c r="L415" s="50" t="s">
        <v>25665</v>
      </c>
      <c r="M415" s="50" t="s">
        <v>25666</v>
      </c>
      <c r="N415" s="50" t="s">
        <v>25697</v>
      </c>
      <c r="O415" s="50">
        <v>1.0</v>
      </c>
      <c r="P415" s="144">
        <v>43785.0</v>
      </c>
      <c r="Q415" s="116"/>
      <c r="R415" s="50" t="s">
        <v>25698</v>
      </c>
      <c r="S415" s="50">
        <v>4.0</v>
      </c>
      <c r="T415" s="50" t="s">
        <v>22634</v>
      </c>
      <c r="U415" s="117">
        <v>5468.0</v>
      </c>
      <c r="V415" s="50" t="s">
        <v>25699</v>
      </c>
      <c r="W415" s="50" t="s">
        <v>25700</v>
      </c>
      <c r="X415" s="117">
        <v>420.0</v>
      </c>
    </row>
    <row r="416">
      <c r="A416" s="50" t="s">
        <v>25695</v>
      </c>
      <c r="B416" s="50" t="s">
        <v>6876</v>
      </c>
      <c r="C416" s="50" t="s">
        <v>6877</v>
      </c>
      <c r="D416" s="50" t="s">
        <v>11623</v>
      </c>
      <c r="E416" s="50" t="s">
        <v>25701</v>
      </c>
      <c r="F416" s="50">
        <v>33.0</v>
      </c>
      <c r="G416" s="50">
        <v>1.0</v>
      </c>
      <c r="H416" s="50">
        <v>98.0</v>
      </c>
      <c r="I416" s="50" t="s">
        <v>284</v>
      </c>
      <c r="J416" s="50" t="s">
        <v>284</v>
      </c>
      <c r="K416" s="50" t="s">
        <v>16727</v>
      </c>
      <c r="L416" s="50" t="s">
        <v>25665</v>
      </c>
      <c r="M416" s="50" t="s">
        <v>25666</v>
      </c>
      <c r="N416" s="50" t="s">
        <v>25704</v>
      </c>
      <c r="O416" s="50">
        <v>0.0</v>
      </c>
      <c r="P416" s="116"/>
      <c r="Q416" s="116"/>
      <c r="R416" s="50" t="s">
        <v>23528</v>
      </c>
      <c r="S416" s="50">
        <v>4.0</v>
      </c>
      <c r="T416" s="50" t="s">
        <v>22634</v>
      </c>
      <c r="U416" s="117">
        <v>5469.0</v>
      </c>
      <c r="V416" s="50" t="s">
        <v>25706</v>
      </c>
      <c r="W416" s="50" t="s">
        <v>25707</v>
      </c>
      <c r="X416" s="117">
        <v>421.0</v>
      </c>
    </row>
    <row r="417">
      <c r="A417" s="50" t="s">
        <v>25701</v>
      </c>
      <c r="B417" s="50" t="s">
        <v>6876</v>
      </c>
      <c r="C417" s="50" t="s">
        <v>6877</v>
      </c>
      <c r="D417" s="50" t="s">
        <v>11623</v>
      </c>
      <c r="E417" s="50" t="s">
        <v>25708</v>
      </c>
      <c r="F417" s="50">
        <v>58.0</v>
      </c>
      <c r="G417" s="50">
        <v>1.0</v>
      </c>
      <c r="H417" s="50">
        <v>99.0</v>
      </c>
      <c r="I417" s="50" t="s">
        <v>1625</v>
      </c>
      <c r="J417" s="50" t="s">
        <v>1625</v>
      </c>
      <c r="K417" s="50" t="s">
        <v>16727</v>
      </c>
      <c r="L417" s="50" t="s">
        <v>25665</v>
      </c>
      <c r="M417" s="50" t="s">
        <v>25666</v>
      </c>
      <c r="N417" s="50" t="s">
        <v>25667</v>
      </c>
      <c r="O417" s="50">
        <v>0.0</v>
      </c>
      <c r="P417" s="116"/>
      <c r="Q417" s="116"/>
      <c r="R417" s="50" t="s">
        <v>25709</v>
      </c>
      <c r="S417" s="50">
        <v>4.0</v>
      </c>
      <c r="T417" s="50" t="s">
        <v>22634</v>
      </c>
      <c r="U417" s="117">
        <v>5470.0</v>
      </c>
      <c r="V417" s="50" t="s">
        <v>25712</v>
      </c>
      <c r="W417" s="50" t="s">
        <v>25713</v>
      </c>
      <c r="X417" s="117">
        <v>422.0</v>
      </c>
    </row>
    <row r="418">
      <c r="A418" s="50" t="s">
        <v>25708</v>
      </c>
      <c r="B418" s="50" t="s">
        <v>6876</v>
      </c>
      <c r="C418" s="50" t="s">
        <v>6877</v>
      </c>
      <c r="D418" s="50" t="s">
        <v>11623</v>
      </c>
      <c r="E418" s="50" t="s">
        <v>25715</v>
      </c>
      <c r="F418" s="50">
        <v>59.0</v>
      </c>
      <c r="G418" s="50">
        <v>1.0</v>
      </c>
      <c r="H418" s="50">
        <v>11.0</v>
      </c>
      <c r="I418" s="50" t="s">
        <v>1628</v>
      </c>
      <c r="J418" s="50" t="s">
        <v>1628</v>
      </c>
      <c r="K418" s="50" t="s">
        <v>25716</v>
      </c>
      <c r="L418" s="50" t="s">
        <v>25717</v>
      </c>
      <c r="M418" s="50" t="s">
        <v>25718</v>
      </c>
      <c r="N418" s="50" t="s">
        <v>25719</v>
      </c>
      <c r="O418" s="50">
        <v>1.0</v>
      </c>
      <c r="P418" s="144">
        <v>43789.0</v>
      </c>
      <c r="Q418" s="116"/>
      <c r="R418" s="116"/>
      <c r="S418" s="50">
        <v>6.0</v>
      </c>
      <c r="T418" s="50" t="s">
        <v>22634</v>
      </c>
      <c r="U418" s="117">
        <v>5471.0</v>
      </c>
      <c r="V418" s="50" t="s">
        <v>25720</v>
      </c>
      <c r="W418" s="50" t="s">
        <v>25722</v>
      </c>
      <c r="X418" s="117">
        <v>423.0</v>
      </c>
    </row>
    <row r="419">
      <c r="A419" s="50" t="s">
        <v>25715</v>
      </c>
      <c r="B419" s="50" t="s">
        <v>6876</v>
      </c>
      <c r="C419" s="50" t="s">
        <v>6877</v>
      </c>
      <c r="D419" s="50" t="s">
        <v>11623</v>
      </c>
      <c r="E419" s="50" t="s">
        <v>25724</v>
      </c>
      <c r="F419" s="50">
        <v>59.0</v>
      </c>
      <c r="G419" s="50">
        <v>1.0</v>
      </c>
      <c r="H419" s="50">
        <v>99.0</v>
      </c>
      <c r="I419" s="50" t="s">
        <v>1630</v>
      </c>
      <c r="J419" s="50" t="s">
        <v>1630</v>
      </c>
      <c r="K419" s="50" t="s">
        <v>12384</v>
      </c>
      <c r="L419" s="50" t="s">
        <v>25726</v>
      </c>
      <c r="M419" s="50" t="s">
        <v>25727</v>
      </c>
      <c r="N419" s="50" t="s">
        <v>25728</v>
      </c>
      <c r="O419" s="50">
        <v>1.0</v>
      </c>
      <c r="P419" s="144">
        <v>43789.0</v>
      </c>
      <c r="Q419" s="116"/>
      <c r="R419" s="50" t="s">
        <v>25729</v>
      </c>
      <c r="S419" s="50">
        <v>6.0</v>
      </c>
      <c r="T419" s="50" t="s">
        <v>22634</v>
      </c>
      <c r="U419" s="117">
        <v>5472.0</v>
      </c>
      <c r="V419" s="50" t="s">
        <v>25730</v>
      </c>
      <c r="W419" s="50" t="s">
        <v>25731</v>
      </c>
      <c r="X419" s="117">
        <v>424.0</v>
      </c>
    </row>
    <row r="420">
      <c r="A420" s="50" t="s">
        <v>25724</v>
      </c>
      <c r="B420" s="50" t="s">
        <v>6876</v>
      </c>
      <c r="C420" s="50" t="s">
        <v>6877</v>
      </c>
      <c r="D420" s="50" t="s">
        <v>11623</v>
      </c>
      <c r="E420" s="50" t="s">
        <v>25732</v>
      </c>
      <c r="F420" s="50">
        <v>59.0</v>
      </c>
      <c r="G420" s="50">
        <v>1.0</v>
      </c>
      <c r="H420" s="50">
        <v>11.0</v>
      </c>
      <c r="I420" s="50" t="s">
        <v>1631</v>
      </c>
      <c r="J420" s="50" t="s">
        <v>1631</v>
      </c>
      <c r="K420" s="50" t="s">
        <v>25716</v>
      </c>
      <c r="L420" s="50" t="s">
        <v>25717</v>
      </c>
      <c r="M420" s="50" t="s">
        <v>25718</v>
      </c>
      <c r="N420" s="50" t="s">
        <v>25719</v>
      </c>
      <c r="O420" s="50">
        <v>1.0</v>
      </c>
      <c r="P420" s="144">
        <v>43789.0</v>
      </c>
      <c r="Q420" s="116"/>
      <c r="R420" s="116"/>
      <c r="S420" s="50">
        <v>6.0</v>
      </c>
      <c r="T420" s="50" t="s">
        <v>22634</v>
      </c>
      <c r="U420" s="117">
        <v>5473.0</v>
      </c>
      <c r="V420" s="50" t="s">
        <v>25736</v>
      </c>
      <c r="W420" s="50" t="s">
        <v>25737</v>
      </c>
      <c r="X420" s="117">
        <v>425.0</v>
      </c>
    </row>
    <row r="421">
      <c r="A421" s="50" t="s">
        <v>25738</v>
      </c>
      <c r="B421" s="50" t="s">
        <v>6876</v>
      </c>
      <c r="C421" s="50" t="s">
        <v>6877</v>
      </c>
      <c r="D421" s="50" t="s">
        <v>11623</v>
      </c>
      <c r="E421" s="50" t="s">
        <v>25739</v>
      </c>
      <c r="F421" s="50">
        <v>59.0</v>
      </c>
      <c r="G421" s="50">
        <v>1.0</v>
      </c>
      <c r="H421" s="50">
        <v>99.0</v>
      </c>
      <c r="I421" s="50" t="s">
        <v>1633</v>
      </c>
      <c r="J421" s="50" t="s">
        <v>1633</v>
      </c>
      <c r="K421" s="50" t="s">
        <v>12384</v>
      </c>
      <c r="L421" s="50" t="s">
        <v>25726</v>
      </c>
      <c r="M421" s="50" t="s">
        <v>25727</v>
      </c>
      <c r="N421" s="50" t="s">
        <v>25728</v>
      </c>
      <c r="O421" s="50">
        <v>0.0</v>
      </c>
      <c r="P421" s="116"/>
      <c r="Q421" s="116"/>
      <c r="R421" s="50" t="s">
        <v>25742</v>
      </c>
      <c r="S421" s="50">
        <v>6.0</v>
      </c>
      <c r="T421" s="50" t="s">
        <v>22634</v>
      </c>
      <c r="U421" s="117">
        <v>5474.0</v>
      </c>
      <c r="V421" s="50" t="s">
        <v>25744</v>
      </c>
      <c r="W421" s="50" t="s">
        <v>25745</v>
      </c>
      <c r="X421" s="117">
        <v>426.0</v>
      </c>
    </row>
    <row r="422">
      <c r="A422" s="50" t="s">
        <v>25739</v>
      </c>
      <c r="B422" s="50" t="s">
        <v>6876</v>
      </c>
      <c r="C422" s="50" t="s">
        <v>6877</v>
      </c>
      <c r="D422" s="50" t="s">
        <v>11623</v>
      </c>
      <c r="E422" s="50" t="s">
        <v>25746</v>
      </c>
      <c r="F422" s="50">
        <v>59.0</v>
      </c>
      <c r="G422" s="50">
        <v>1.0</v>
      </c>
      <c r="H422" s="50">
        <v>11.0</v>
      </c>
      <c r="I422" s="50" t="s">
        <v>1634</v>
      </c>
      <c r="J422" s="50" t="s">
        <v>1634</v>
      </c>
      <c r="K422" s="50" t="s">
        <v>25716</v>
      </c>
      <c r="L422" s="50" t="s">
        <v>25717</v>
      </c>
      <c r="M422" s="50" t="s">
        <v>25718</v>
      </c>
      <c r="N422" s="50" t="s">
        <v>25747</v>
      </c>
      <c r="O422" s="50">
        <v>1.0</v>
      </c>
      <c r="P422" s="144">
        <v>43789.0</v>
      </c>
      <c r="Q422" s="116"/>
      <c r="R422" s="116"/>
      <c r="S422" s="50">
        <v>4.0</v>
      </c>
      <c r="T422" s="50" t="s">
        <v>22634</v>
      </c>
      <c r="U422" s="117">
        <v>5475.0</v>
      </c>
      <c r="V422" s="50" t="s">
        <v>25750</v>
      </c>
      <c r="W422" s="50" t="s">
        <v>25751</v>
      </c>
      <c r="X422" s="117">
        <v>427.0</v>
      </c>
    </row>
    <row r="423">
      <c r="A423" s="50" t="s">
        <v>25746</v>
      </c>
      <c r="B423" s="50" t="s">
        <v>6876</v>
      </c>
      <c r="C423" s="50" t="s">
        <v>6877</v>
      </c>
      <c r="D423" s="50" t="s">
        <v>11623</v>
      </c>
      <c r="E423" s="50" t="s">
        <v>25753</v>
      </c>
      <c r="F423" s="50">
        <v>59.0</v>
      </c>
      <c r="G423" s="50">
        <v>1.0</v>
      </c>
      <c r="H423" s="50">
        <v>99.0</v>
      </c>
      <c r="I423" s="50" t="s">
        <v>1636</v>
      </c>
      <c r="J423" s="50" t="s">
        <v>1636</v>
      </c>
      <c r="K423" s="50" t="s">
        <v>12384</v>
      </c>
      <c r="L423" s="50" t="s">
        <v>25726</v>
      </c>
      <c r="M423" s="50" t="s">
        <v>25727</v>
      </c>
      <c r="N423" s="50" t="s">
        <v>25754</v>
      </c>
      <c r="O423" s="50">
        <v>0.0</v>
      </c>
      <c r="P423" s="116"/>
      <c r="Q423" s="116"/>
      <c r="R423" s="50" t="s">
        <v>25755</v>
      </c>
      <c r="S423" s="50">
        <v>4.0</v>
      </c>
      <c r="T423" s="50" t="s">
        <v>22634</v>
      </c>
      <c r="U423" s="117">
        <v>5476.0</v>
      </c>
      <c r="V423" s="50" t="s">
        <v>25758</v>
      </c>
      <c r="W423" s="50" t="s">
        <v>25759</v>
      </c>
      <c r="X423" s="117">
        <v>428.0</v>
      </c>
    </row>
    <row r="424">
      <c r="A424" s="50" t="s">
        <v>25753</v>
      </c>
      <c r="B424" s="50" t="s">
        <v>6876</v>
      </c>
      <c r="C424" s="50" t="s">
        <v>6877</v>
      </c>
      <c r="D424" s="50" t="s">
        <v>11623</v>
      </c>
      <c r="E424" s="50" t="s">
        <v>25762</v>
      </c>
      <c r="F424" s="50">
        <v>58.0</v>
      </c>
      <c r="G424" s="50">
        <v>1.0</v>
      </c>
      <c r="H424" s="50">
        <v>11.0</v>
      </c>
      <c r="I424" s="50" t="s">
        <v>1637</v>
      </c>
      <c r="J424" s="50" t="s">
        <v>1637</v>
      </c>
      <c r="K424" s="50" t="s">
        <v>25716</v>
      </c>
      <c r="L424" s="50" t="s">
        <v>25717</v>
      </c>
      <c r="M424" s="50" t="s">
        <v>25718</v>
      </c>
      <c r="N424" s="50" t="s">
        <v>25763</v>
      </c>
      <c r="O424" s="50">
        <v>1.0</v>
      </c>
      <c r="P424" s="144">
        <v>43789.0</v>
      </c>
      <c r="Q424" s="116"/>
      <c r="R424" s="116"/>
      <c r="S424" s="50">
        <v>4.0</v>
      </c>
      <c r="T424" s="50" t="s">
        <v>22634</v>
      </c>
      <c r="U424" s="117">
        <v>5477.0</v>
      </c>
      <c r="V424" s="50" t="s">
        <v>25764</v>
      </c>
      <c r="W424" s="50" t="s">
        <v>25765</v>
      </c>
      <c r="X424" s="117">
        <v>429.0</v>
      </c>
    </row>
    <row r="425">
      <c r="A425" s="50" t="s">
        <v>25762</v>
      </c>
      <c r="B425" s="50" t="s">
        <v>6876</v>
      </c>
      <c r="C425" s="50" t="s">
        <v>6877</v>
      </c>
      <c r="D425" s="50" t="s">
        <v>11623</v>
      </c>
      <c r="E425" s="50" t="s">
        <v>25766</v>
      </c>
      <c r="F425" s="50">
        <v>58.0</v>
      </c>
      <c r="G425" s="50">
        <v>1.0</v>
      </c>
      <c r="H425" s="50">
        <v>99.0</v>
      </c>
      <c r="I425" s="50" t="s">
        <v>1639</v>
      </c>
      <c r="J425" s="50" t="s">
        <v>1639</v>
      </c>
      <c r="K425" s="50" t="s">
        <v>12384</v>
      </c>
      <c r="L425" s="50" t="s">
        <v>25726</v>
      </c>
      <c r="M425" s="50" t="s">
        <v>25727</v>
      </c>
      <c r="N425" s="50" t="s">
        <v>25767</v>
      </c>
      <c r="O425" s="50">
        <v>0.0</v>
      </c>
      <c r="P425" s="116"/>
      <c r="Q425" s="116"/>
      <c r="R425" s="50" t="s">
        <v>25769</v>
      </c>
      <c r="S425" s="50">
        <v>4.0</v>
      </c>
      <c r="T425" s="50" t="s">
        <v>22634</v>
      </c>
      <c r="U425" s="117">
        <v>5478.0</v>
      </c>
      <c r="V425" s="50" t="s">
        <v>25772</v>
      </c>
      <c r="W425" s="50" t="s">
        <v>25773</v>
      </c>
      <c r="X425" s="117">
        <v>430.0</v>
      </c>
    </row>
    <row r="426">
      <c r="A426" s="50" t="s">
        <v>25766</v>
      </c>
      <c r="B426" s="50" t="s">
        <v>6876</v>
      </c>
      <c r="C426" s="50" t="s">
        <v>6877</v>
      </c>
      <c r="D426" s="50" t="s">
        <v>11623</v>
      </c>
      <c r="E426" s="50" t="s">
        <v>25775</v>
      </c>
      <c r="F426" s="50">
        <v>59.0</v>
      </c>
      <c r="G426" s="50">
        <v>1.0</v>
      </c>
      <c r="H426" s="50">
        <v>11.0</v>
      </c>
      <c r="I426" s="50" t="s">
        <v>1643</v>
      </c>
      <c r="J426" s="50" t="s">
        <v>1643</v>
      </c>
      <c r="K426" s="50" t="s">
        <v>25776</v>
      </c>
      <c r="L426" s="50" t="s">
        <v>25718</v>
      </c>
      <c r="M426" s="50" t="s">
        <v>25777</v>
      </c>
      <c r="N426" s="50" t="s">
        <v>25778</v>
      </c>
      <c r="O426" s="50">
        <v>1.0</v>
      </c>
      <c r="P426" s="144">
        <v>43789.0</v>
      </c>
      <c r="Q426" s="116"/>
      <c r="R426" s="116"/>
      <c r="S426" s="50">
        <v>4.0</v>
      </c>
      <c r="T426" s="50" t="s">
        <v>22634</v>
      </c>
      <c r="U426" s="117">
        <v>5479.0</v>
      </c>
      <c r="V426" s="50" t="s">
        <v>25779</v>
      </c>
      <c r="W426" s="50" t="s">
        <v>25780</v>
      </c>
      <c r="X426" s="117">
        <v>431.0</v>
      </c>
    </row>
    <row r="427">
      <c r="A427" s="50" t="s">
        <v>25775</v>
      </c>
      <c r="B427" s="50" t="s">
        <v>6876</v>
      </c>
      <c r="C427" s="50" t="s">
        <v>6877</v>
      </c>
      <c r="D427" s="50" t="s">
        <v>11623</v>
      </c>
      <c r="E427" s="50" t="s">
        <v>25783</v>
      </c>
      <c r="F427" s="50">
        <v>59.0</v>
      </c>
      <c r="G427" s="50">
        <v>1.0</v>
      </c>
      <c r="H427" s="50">
        <v>99.0</v>
      </c>
      <c r="I427" s="50" t="s">
        <v>287</v>
      </c>
      <c r="J427" s="50" t="s">
        <v>287</v>
      </c>
      <c r="K427" s="50" t="s">
        <v>12385</v>
      </c>
      <c r="L427" s="50" t="s">
        <v>25727</v>
      </c>
      <c r="M427" s="50" t="s">
        <v>12665</v>
      </c>
      <c r="N427" s="50" t="s">
        <v>25785</v>
      </c>
      <c r="O427" s="50">
        <v>0.0</v>
      </c>
      <c r="P427" s="116"/>
      <c r="Q427" s="116"/>
      <c r="R427" s="50" t="s">
        <v>25786</v>
      </c>
      <c r="S427" s="50">
        <v>6.0</v>
      </c>
      <c r="T427" s="50" t="s">
        <v>22634</v>
      </c>
      <c r="U427" s="117">
        <v>5480.0</v>
      </c>
      <c r="V427" s="50" t="s">
        <v>25787</v>
      </c>
      <c r="W427" s="50" t="s">
        <v>25788</v>
      </c>
      <c r="X427" s="117">
        <v>432.0</v>
      </c>
    </row>
    <row r="428">
      <c r="A428" s="50" t="s">
        <v>25783</v>
      </c>
      <c r="B428" s="50" t="s">
        <v>6876</v>
      </c>
      <c r="C428" s="50" t="s">
        <v>6877</v>
      </c>
      <c r="D428" s="50" t="s">
        <v>11623</v>
      </c>
      <c r="E428" s="50" t="s">
        <v>25789</v>
      </c>
      <c r="F428" s="50">
        <v>59.0</v>
      </c>
      <c r="G428" s="50">
        <v>1.0</v>
      </c>
      <c r="H428" s="50">
        <v>11.0</v>
      </c>
      <c r="I428" s="50" t="s">
        <v>1644</v>
      </c>
      <c r="J428" s="50" t="s">
        <v>1644</v>
      </c>
      <c r="K428" s="50" t="s">
        <v>25776</v>
      </c>
      <c r="L428" s="50" t="s">
        <v>25727</v>
      </c>
      <c r="M428" s="50" t="s">
        <v>25777</v>
      </c>
      <c r="N428" s="50" t="s">
        <v>25792</v>
      </c>
      <c r="O428" s="50">
        <v>1.0</v>
      </c>
      <c r="P428" s="144">
        <v>43789.0</v>
      </c>
      <c r="Q428" s="116"/>
      <c r="R428" s="116"/>
      <c r="S428" s="50">
        <v>4.0</v>
      </c>
      <c r="T428" s="50" t="s">
        <v>22634</v>
      </c>
      <c r="U428" s="117">
        <v>5481.0</v>
      </c>
      <c r="V428" s="50" t="s">
        <v>25794</v>
      </c>
      <c r="W428" s="50" t="s">
        <v>25795</v>
      </c>
      <c r="X428" s="117">
        <v>433.0</v>
      </c>
    </row>
    <row r="429">
      <c r="A429" s="50" t="s">
        <v>25789</v>
      </c>
      <c r="B429" s="50" t="s">
        <v>6876</v>
      </c>
      <c r="C429" s="50" t="s">
        <v>6877</v>
      </c>
      <c r="D429" s="50" t="s">
        <v>11623</v>
      </c>
      <c r="E429" s="50" t="s">
        <v>25797</v>
      </c>
      <c r="F429" s="50">
        <v>59.0</v>
      </c>
      <c r="G429" s="50">
        <v>1.0</v>
      </c>
      <c r="H429" s="50">
        <v>99.0</v>
      </c>
      <c r="I429" s="50" t="s">
        <v>290</v>
      </c>
      <c r="J429" s="50" t="s">
        <v>290</v>
      </c>
      <c r="K429" s="50" t="s">
        <v>12385</v>
      </c>
      <c r="L429" s="50" t="s">
        <v>25727</v>
      </c>
      <c r="M429" s="50" t="s">
        <v>12665</v>
      </c>
      <c r="N429" s="50" t="s">
        <v>25800</v>
      </c>
      <c r="O429" s="50">
        <v>0.0</v>
      </c>
      <c r="P429" s="116"/>
      <c r="Q429" s="116"/>
      <c r="R429" s="50" t="s">
        <v>25801</v>
      </c>
      <c r="S429" s="50">
        <v>6.0</v>
      </c>
      <c r="T429" s="50" t="s">
        <v>22634</v>
      </c>
      <c r="U429" s="117">
        <v>5482.0</v>
      </c>
      <c r="V429" s="50" t="s">
        <v>25803</v>
      </c>
      <c r="W429" s="50" t="s">
        <v>25804</v>
      </c>
      <c r="X429" s="117">
        <v>434.0</v>
      </c>
    </row>
    <row r="430">
      <c r="A430" s="50" t="s">
        <v>25797</v>
      </c>
      <c r="B430" s="50" t="s">
        <v>6876</v>
      </c>
      <c r="C430" s="50" t="s">
        <v>6877</v>
      </c>
      <c r="D430" s="50" t="s">
        <v>11623</v>
      </c>
      <c r="E430" s="50" t="s">
        <v>25805</v>
      </c>
      <c r="F430" s="50">
        <v>59.0</v>
      </c>
      <c r="G430" s="50">
        <v>1.0</v>
      </c>
      <c r="H430" s="50">
        <v>11.0</v>
      </c>
      <c r="I430" s="50" t="s">
        <v>1645</v>
      </c>
      <c r="J430" s="50" t="s">
        <v>1645</v>
      </c>
      <c r="K430" s="50" t="s">
        <v>25776</v>
      </c>
      <c r="L430" s="50" t="s">
        <v>25727</v>
      </c>
      <c r="M430" s="50" t="s">
        <v>25785</v>
      </c>
      <c r="N430" s="50" t="s">
        <v>25806</v>
      </c>
      <c r="O430" s="50">
        <v>1.0</v>
      </c>
      <c r="P430" s="144">
        <v>43789.0</v>
      </c>
      <c r="Q430" s="116"/>
      <c r="R430" s="50" t="s">
        <v>23528</v>
      </c>
      <c r="S430" s="50">
        <v>4.0</v>
      </c>
      <c r="T430" s="50" t="s">
        <v>22634</v>
      </c>
      <c r="U430" s="117">
        <v>5483.0</v>
      </c>
      <c r="V430" s="50" t="s">
        <v>25809</v>
      </c>
      <c r="W430" s="50" t="s">
        <v>25810</v>
      </c>
      <c r="X430" s="117">
        <v>435.0</v>
      </c>
    </row>
    <row r="431">
      <c r="A431" s="50" t="s">
        <v>25805</v>
      </c>
      <c r="B431" s="50" t="s">
        <v>6876</v>
      </c>
      <c r="C431" s="50" t="s">
        <v>6877</v>
      </c>
      <c r="D431" s="50" t="s">
        <v>11623</v>
      </c>
      <c r="E431" s="50" t="s">
        <v>25812</v>
      </c>
      <c r="F431" s="50">
        <v>59.0</v>
      </c>
      <c r="G431" s="50">
        <v>1.0</v>
      </c>
      <c r="H431" s="50">
        <v>99.0</v>
      </c>
      <c r="I431" s="50" t="s">
        <v>292</v>
      </c>
      <c r="J431" s="50" t="s">
        <v>292</v>
      </c>
      <c r="K431" s="50" t="s">
        <v>12385</v>
      </c>
      <c r="L431" s="50" t="s">
        <v>25727</v>
      </c>
      <c r="M431" s="50" t="s">
        <v>12665</v>
      </c>
      <c r="N431" s="50" t="s">
        <v>25814</v>
      </c>
      <c r="O431" s="50">
        <v>0.0</v>
      </c>
      <c r="P431" s="116"/>
      <c r="Q431" s="116"/>
      <c r="R431" s="50" t="s">
        <v>25815</v>
      </c>
      <c r="S431" s="50">
        <v>6.0</v>
      </c>
      <c r="T431" s="50" t="s">
        <v>22634</v>
      </c>
      <c r="U431" s="117">
        <v>5484.0</v>
      </c>
      <c r="V431" s="50" t="s">
        <v>25816</v>
      </c>
      <c r="W431" s="50" t="s">
        <v>25817</v>
      </c>
      <c r="X431" s="117">
        <v>436.0</v>
      </c>
    </row>
    <row r="432">
      <c r="A432" s="50" t="s">
        <v>25812</v>
      </c>
      <c r="B432" s="50" t="s">
        <v>6876</v>
      </c>
      <c r="C432" s="50" t="s">
        <v>6877</v>
      </c>
      <c r="D432" s="50" t="s">
        <v>11623</v>
      </c>
      <c r="E432" s="50" t="s">
        <v>25818</v>
      </c>
      <c r="F432" s="50">
        <v>55.0</v>
      </c>
      <c r="G432" s="50">
        <v>1.0</v>
      </c>
      <c r="H432" s="50">
        <v>12.0</v>
      </c>
      <c r="I432" s="50" t="s">
        <v>1641</v>
      </c>
      <c r="J432" s="50" t="s">
        <v>1641</v>
      </c>
      <c r="K432" s="50" t="s">
        <v>25821</v>
      </c>
      <c r="L432" s="50" t="s">
        <v>25822</v>
      </c>
      <c r="M432" s="50" t="s">
        <v>12714</v>
      </c>
      <c r="N432" s="50" t="s">
        <v>25824</v>
      </c>
      <c r="O432" s="50">
        <v>1.0</v>
      </c>
      <c r="P432" s="144">
        <v>43789.0</v>
      </c>
      <c r="Q432" s="116"/>
      <c r="R432" s="116"/>
      <c r="S432" s="50">
        <v>6.0</v>
      </c>
      <c r="T432" s="50" t="s">
        <v>22634</v>
      </c>
      <c r="U432" s="117">
        <v>5485.0</v>
      </c>
      <c r="V432" s="50" t="s">
        <v>25825</v>
      </c>
      <c r="W432" s="50" t="s">
        <v>25826</v>
      </c>
      <c r="X432" s="117">
        <v>437.0</v>
      </c>
    </row>
    <row r="433">
      <c r="A433" s="50" t="s">
        <v>25818</v>
      </c>
      <c r="B433" s="50" t="s">
        <v>6876</v>
      </c>
      <c r="C433" s="50" t="s">
        <v>6877</v>
      </c>
      <c r="D433" s="50" t="s">
        <v>11623</v>
      </c>
      <c r="E433" s="50" t="s">
        <v>25827</v>
      </c>
      <c r="F433" s="50">
        <v>55.0</v>
      </c>
      <c r="G433" s="50">
        <v>1.0</v>
      </c>
      <c r="H433" s="50">
        <v>99.0</v>
      </c>
      <c r="I433" s="50" t="s">
        <v>294</v>
      </c>
      <c r="J433" s="50" t="s">
        <v>294</v>
      </c>
      <c r="K433" s="50" t="s">
        <v>12385</v>
      </c>
      <c r="L433" s="50" t="s">
        <v>25727</v>
      </c>
      <c r="M433" s="50" t="s">
        <v>12665</v>
      </c>
      <c r="N433" s="50" t="s">
        <v>25828</v>
      </c>
      <c r="O433" s="50">
        <v>1.0</v>
      </c>
      <c r="P433" s="144">
        <v>43789.0</v>
      </c>
      <c r="Q433" s="116"/>
      <c r="R433" s="50" t="s">
        <v>25831</v>
      </c>
      <c r="S433" s="50">
        <v>6.0</v>
      </c>
      <c r="T433" s="50" t="s">
        <v>22634</v>
      </c>
      <c r="U433" s="117">
        <v>5486.0</v>
      </c>
      <c r="V433" s="50" t="s">
        <v>25833</v>
      </c>
      <c r="W433" s="50" t="s">
        <v>25834</v>
      </c>
      <c r="X433" s="117">
        <v>438.0</v>
      </c>
    </row>
    <row r="434">
      <c r="A434" s="50" t="s">
        <v>25827</v>
      </c>
      <c r="B434" s="50" t="s">
        <v>6876</v>
      </c>
      <c r="C434" s="50" t="s">
        <v>6877</v>
      </c>
      <c r="D434" s="50" t="s">
        <v>11623</v>
      </c>
      <c r="E434" s="50" t="s">
        <v>25836</v>
      </c>
      <c r="F434" s="50">
        <v>57.0</v>
      </c>
      <c r="G434" s="50">
        <v>1.0</v>
      </c>
      <c r="H434" s="50">
        <v>12.0</v>
      </c>
      <c r="I434" s="50" t="s">
        <v>1642</v>
      </c>
      <c r="J434" s="50" t="s">
        <v>1642</v>
      </c>
      <c r="K434" s="50" t="s">
        <v>25821</v>
      </c>
      <c r="L434" s="50" t="s">
        <v>25822</v>
      </c>
      <c r="M434" s="50" t="s">
        <v>12714</v>
      </c>
      <c r="N434" s="50" t="s">
        <v>25837</v>
      </c>
      <c r="O434" s="50">
        <v>1.0</v>
      </c>
      <c r="P434" s="144">
        <v>43789.0</v>
      </c>
      <c r="Q434" s="116"/>
      <c r="R434" s="116"/>
      <c r="S434" s="50">
        <v>6.0</v>
      </c>
      <c r="T434" s="50" t="s">
        <v>22634</v>
      </c>
      <c r="U434" s="117">
        <v>5487.0</v>
      </c>
      <c r="V434" s="50" t="s">
        <v>25840</v>
      </c>
      <c r="W434" s="50" t="s">
        <v>25841</v>
      </c>
      <c r="X434" s="117">
        <v>439.0</v>
      </c>
    </row>
    <row r="435">
      <c r="A435" s="50" t="s">
        <v>25836</v>
      </c>
      <c r="B435" s="50" t="s">
        <v>6876</v>
      </c>
      <c r="C435" s="50" t="s">
        <v>6877</v>
      </c>
      <c r="D435" s="50" t="s">
        <v>11623</v>
      </c>
      <c r="E435" s="50" t="s">
        <v>25843</v>
      </c>
      <c r="F435" s="50">
        <v>57.0</v>
      </c>
      <c r="G435" s="50">
        <v>1.0</v>
      </c>
      <c r="H435" s="50">
        <v>99.0</v>
      </c>
      <c r="I435" s="50" t="s">
        <v>296</v>
      </c>
      <c r="J435" s="50" t="s">
        <v>296</v>
      </c>
      <c r="K435" s="50" t="s">
        <v>12385</v>
      </c>
      <c r="L435" s="50" t="s">
        <v>25727</v>
      </c>
      <c r="M435" s="50" t="s">
        <v>12665</v>
      </c>
      <c r="N435" s="50" t="s">
        <v>25828</v>
      </c>
      <c r="O435" s="50">
        <v>0.0</v>
      </c>
      <c r="P435" s="116"/>
      <c r="Q435" s="116"/>
      <c r="R435" s="50" t="s">
        <v>25844</v>
      </c>
      <c r="S435" s="50">
        <v>6.0</v>
      </c>
      <c r="T435" s="50" t="s">
        <v>22634</v>
      </c>
      <c r="U435" s="117">
        <v>5488.0</v>
      </c>
      <c r="V435" s="50" t="s">
        <v>25845</v>
      </c>
      <c r="W435" s="50" t="s">
        <v>25846</v>
      </c>
      <c r="X435" s="117">
        <v>440.0</v>
      </c>
    </row>
    <row r="436">
      <c r="A436" s="50" t="s">
        <v>25843</v>
      </c>
      <c r="B436" s="50" t="s">
        <v>6876</v>
      </c>
      <c r="C436" s="50" t="s">
        <v>6877</v>
      </c>
      <c r="D436" s="50" t="s">
        <v>11623</v>
      </c>
      <c r="E436" s="50" t="s">
        <v>25849</v>
      </c>
      <c r="F436" s="50">
        <v>58.0</v>
      </c>
      <c r="G436" s="50">
        <v>1.0</v>
      </c>
      <c r="H436" s="50">
        <v>99.0</v>
      </c>
      <c r="I436" s="50" t="s">
        <v>1649</v>
      </c>
      <c r="J436" s="50" t="s">
        <v>1649</v>
      </c>
      <c r="K436" s="50" t="s">
        <v>25851</v>
      </c>
      <c r="L436" s="50" t="s">
        <v>25852</v>
      </c>
      <c r="M436" s="50" t="s">
        <v>25854</v>
      </c>
      <c r="N436" s="50" t="s">
        <v>25855</v>
      </c>
      <c r="O436" s="50">
        <v>1.0</v>
      </c>
      <c r="P436" s="144">
        <v>43790.0</v>
      </c>
      <c r="Q436" s="116"/>
      <c r="R436" s="50" t="s">
        <v>25856</v>
      </c>
      <c r="S436" s="50">
        <v>6.0</v>
      </c>
      <c r="T436" s="50" t="s">
        <v>22634</v>
      </c>
      <c r="U436" s="117">
        <v>5489.0</v>
      </c>
      <c r="V436" s="50" t="s">
        <v>25857</v>
      </c>
      <c r="W436" s="50" t="s">
        <v>25859</v>
      </c>
      <c r="X436" s="117">
        <v>441.0</v>
      </c>
    </row>
    <row r="437">
      <c r="A437" s="50" t="s">
        <v>25860</v>
      </c>
      <c r="B437" s="50" t="s">
        <v>6876</v>
      </c>
      <c r="C437" s="50" t="s">
        <v>6877</v>
      </c>
      <c r="D437" s="50" t="s">
        <v>11623</v>
      </c>
      <c r="E437" s="50" t="s">
        <v>25861</v>
      </c>
      <c r="F437" s="50">
        <v>33.0</v>
      </c>
      <c r="G437" s="50">
        <v>1.0</v>
      </c>
      <c r="H437" s="50">
        <v>98.0</v>
      </c>
      <c r="I437" s="50" t="s">
        <v>284</v>
      </c>
      <c r="J437" s="50" t="s">
        <v>284</v>
      </c>
      <c r="K437" s="50" t="s">
        <v>12384</v>
      </c>
      <c r="L437" s="50" t="s">
        <v>25726</v>
      </c>
      <c r="M437" s="50" t="s">
        <v>25727</v>
      </c>
      <c r="N437" s="50" t="s">
        <v>25767</v>
      </c>
      <c r="O437" s="50">
        <v>0.0</v>
      </c>
      <c r="P437" s="116"/>
      <c r="Q437" s="116"/>
      <c r="R437" s="50" t="s">
        <v>23528</v>
      </c>
      <c r="S437" s="50">
        <v>4.0</v>
      </c>
      <c r="T437" s="50" t="s">
        <v>22634</v>
      </c>
      <c r="U437" s="117">
        <v>5538.0</v>
      </c>
      <c r="V437" s="50" t="s">
        <v>25865</v>
      </c>
      <c r="W437" s="50" t="s">
        <v>25866</v>
      </c>
      <c r="X437" s="117">
        <v>442.0</v>
      </c>
    </row>
    <row r="438">
      <c r="A438" s="50" t="s">
        <v>25861</v>
      </c>
      <c r="B438" s="50" t="s">
        <v>6876</v>
      </c>
      <c r="C438" s="50" t="s">
        <v>6877</v>
      </c>
      <c r="D438" s="50" t="s">
        <v>11623</v>
      </c>
      <c r="E438" s="50" t="s">
        <v>25867</v>
      </c>
      <c r="F438" s="50">
        <v>33.0</v>
      </c>
      <c r="G438" s="50">
        <v>1.0</v>
      </c>
      <c r="H438" s="50">
        <v>98.0</v>
      </c>
      <c r="I438" s="50" t="s">
        <v>1646</v>
      </c>
      <c r="J438" s="50" t="s">
        <v>1646</v>
      </c>
      <c r="K438" s="50" t="s">
        <v>12385</v>
      </c>
      <c r="L438" s="50" t="s">
        <v>25727</v>
      </c>
      <c r="M438" s="50" t="s">
        <v>12665</v>
      </c>
      <c r="N438" s="50" t="s">
        <v>25828</v>
      </c>
      <c r="O438" s="50">
        <v>0.0</v>
      </c>
      <c r="P438" s="116"/>
      <c r="Q438" s="116"/>
      <c r="R438" s="50" t="s">
        <v>23528</v>
      </c>
      <c r="S438" s="50">
        <v>6.0</v>
      </c>
      <c r="T438" s="50" t="s">
        <v>22634</v>
      </c>
      <c r="U438" s="117">
        <v>5539.0</v>
      </c>
      <c r="V438" s="50" t="s">
        <v>25870</v>
      </c>
      <c r="W438" s="50" t="s">
        <v>25871</v>
      </c>
      <c r="X438" s="117">
        <v>443.0</v>
      </c>
    </row>
    <row r="439">
      <c r="A439" s="50" t="s">
        <v>25867</v>
      </c>
      <c r="B439" s="50" t="s">
        <v>6876</v>
      </c>
      <c r="C439" s="50" t="s">
        <v>6877</v>
      </c>
      <c r="D439" s="50" t="s">
        <v>11623</v>
      </c>
      <c r="E439" s="50" t="s">
        <v>25873</v>
      </c>
      <c r="F439" s="50">
        <v>33.0</v>
      </c>
      <c r="G439" s="50">
        <v>1.0</v>
      </c>
      <c r="H439" s="50">
        <v>98.0</v>
      </c>
      <c r="I439" s="50" t="s">
        <v>1650</v>
      </c>
      <c r="J439" s="50" t="s">
        <v>1650</v>
      </c>
      <c r="K439" s="50" t="s">
        <v>25851</v>
      </c>
      <c r="L439" s="50" t="s">
        <v>25852</v>
      </c>
      <c r="M439" s="50" t="s">
        <v>25854</v>
      </c>
      <c r="N439" s="50" t="s">
        <v>25855</v>
      </c>
      <c r="O439" s="50">
        <v>0.0</v>
      </c>
      <c r="P439" s="116"/>
      <c r="Q439" s="116"/>
      <c r="R439" s="50" t="s">
        <v>23528</v>
      </c>
      <c r="S439" s="50">
        <v>6.0</v>
      </c>
      <c r="T439" s="50" t="s">
        <v>22634</v>
      </c>
      <c r="U439" s="117">
        <v>5540.0</v>
      </c>
      <c r="V439" s="50" t="s">
        <v>25874</v>
      </c>
      <c r="W439" s="50" t="s">
        <v>25875</v>
      </c>
      <c r="X439" s="117">
        <v>444.0</v>
      </c>
    </row>
    <row r="440">
      <c r="A440" s="50" t="s">
        <v>25873</v>
      </c>
      <c r="B440" s="50" t="s">
        <v>6876</v>
      </c>
      <c r="C440" s="50" t="s">
        <v>6877</v>
      </c>
      <c r="D440" s="50" t="s">
        <v>11623</v>
      </c>
      <c r="E440" s="50" t="s">
        <v>25876</v>
      </c>
      <c r="F440" s="50">
        <v>59.0</v>
      </c>
      <c r="G440" s="50">
        <v>1.0</v>
      </c>
      <c r="H440" s="50">
        <v>11.0</v>
      </c>
      <c r="I440" s="50" t="s">
        <v>1657</v>
      </c>
      <c r="J440" s="50" t="s">
        <v>1657</v>
      </c>
      <c r="K440" s="50" t="s">
        <v>25879</v>
      </c>
      <c r="L440" s="50" t="s">
        <v>25855</v>
      </c>
      <c r="M440" s="50" t="s">
        <v>17310</v>
      </c>
      <c r="N440" s="50" t="s">
        <v>17310</v>
      </c>
      <c r="O440" s="50">
        <v>1.0</v>
      </c>
      <c r="P440" s="144">
        <v>43791.0</v>
      </c>
      <c r="Q440" s="116"/>
      <c r="R440" s="116"/>
      <c r="S440" s="50">
        <v>4.0</v>
      </c>
      <c r="T440" s="50" t="s">
        <v>22634</v>
      </c>
      <c r="U440" s="117">
        <v>5541.0</v>
      </c>
      <c r="V440" s="50" t="s">
        <v>25881</v>
      </c>
      <c r="W440" s="50" t="s">
        <v>25882</v>
      </c>
      <c r="X440" s="117">
        <v>445.0</v>
      </c>
    </row>
    <row r="441">
      <c r="A441" s="50" t="s">
        <v>25876</v>
      </c>
      <c r="B441" s="50" t="s">
        <v>6876</v>
      </c>
      <c r="C441" s="50" t="s">
        <v>6877</v>
      </c>
      <c r="D441" s="50" t="s">
        <v>11623</v>
      </c>
      <c r="E441" s="50" t="s">
        <v>25883</v>
      </c>
      <c r="F441" s="50">
        <v>59.0</v>
      </c>
      <c r="G441" s="50">
        <v>1.0</v>
      </c>
      <c r="H441" s="50">
        <v>99.0</v>
      </c>
      <c r="I441" s="50" t="s">
        <v>298</v>
      </c>
      <c r="J441" s="50" t="s">
        <v>298</v>
      </c>
      <c r="K441" s="50" t="s">
        <v>25884</v>
      </c>
      <c r="L441" s="50" t="s">
        <v>25886</v>
      </c>
      <c r="M441" s="50" t="s">
        <v>25888</v>
      </c>
      <c r="N441" s="50" t="s">
        <v>17310</v>
      </c>
      <c r="O441" s="50">
        <v>1.0</v>
      </c>
      <c r="P441" s="144">
        <v>43791.0</v>
      </c>
      <c r="Q441" s="116"/>
      <c r="R441" s="50" t="s">
        <v>25889</v>
      </c>
      <c r="S441" s="50">
        <v>6.0</v>
      </c>
      <c r="T441" s="50" t="s">
        <v>22634</v>
      </c>
      <c r="U441" s="117">
        <v>5542.0</v>
      </c>
      <c r="V441" s="50" t="s">
        <v>25891</v>
      </c>
      <c r="W441" s="50" t="s">
        <v>25892</v>
      </c>
      <c r="X441" s="117">
        <v>446.0</v>
      </c>
    </row>
    <row r="442">
      <c r="A442" s="50" t="s">
        <v>25883</v>
      </c>
      <c r="B442" s="50" t="s">
        <v>6876</v>
      </c>
      <c r="C442" s="50" t="s">
        <v>6877</v>
      </c>
      <c r="D442" s="50" t="s">
        <v>11623</v>
      </c>
      <c r="E442" s="50" t="s">
        <v>25893</v>
      </c>
      <c r="F442" s="50">
        <v>59.0</v>
      </c>
      <c r="G442" s="50">
        <v>1.0</v>
      </c>
      <c r="H442" s="50">
        <v>11.0</v>
      </c>
      <c r="I442" s="50" t="s">
        <v>1658</v>
      </c>
      <c r="J442" s="50" t="s">
        <v>1658</v>
      </c>
      <c r="K442" s="50" t="s">
        <v>25879</v>
      </c>
      <c r="L442" s="50" t="s">
        <v>25855</v>
      </c>
      <c r="M442" s="50" t="s">
        <v>17310</v>
      </c>
      <c r="N442" s="50" t="s">
        <v>17310</v>
      </c>
      <c r="O442" s="50">
        <v>1.0</v>
      </c>
      <c r="P442" s="144">
        <v>43791.0</v>
      </c>
      <c r="Q442" s="116"/>
      <c r="R442" s="116"/>
      <c r="S442" s="50">
        <v>4.0</v>
      </c>
      <c r="T442" s="50" t="s">
        <v>22634</v>
      </c>
      <c r="U442" s="117">
        <v>5543.0</v>
      </c>
      <c r="V442" s="50" t="s">
        <v>25896</v>
      </c>
      <c r="W442" s="50" t="s">
        <v>25898</v>
      </c>
      <c r="X442" s="117">
        <v>447.0</v>
      </c>
    </row>
    <row r="443">
      <c r="A443" s="50" t="s">
        <v>25893</v>
      </c>
      <c r="B443" s="50" t="s">
        <v>6876</v>
      </c>
      <c r="C443" s="50" t="s">
        <v>6877</v>
      </c>
      <c r="D443" s="50" t="s">
        <v>11623</v>
      </c>
      <c r="E443" s="50" t="s">
        <v>25899</v>
      </c>
      <c r="F443" s="50">
        <v>59.0</v>
      </c>
      <c r="G443" s="50">
        <v>1.0</v>
      </c>
      <c r="H443" s="50">
        <v>99.0</v>
      </c>
      <c r="I443" s="50" t="s">
        <v>300</v>
      </c>
      <c r="J443" s="50" t="s">
        <v>300</v>
      </c>
      <c r="K443" s="50" t="s">
        <v>25884</v>
      </c>
      <c r="L443" s="50" t="s">
        <v>25886</v>
      </c>
      <c r="M443" s="50" t="s">
        <v>25888</v>
      </c>
      <c r="N443" s="50" t="s">
        <v>17310</v>
      </c>
      <c r="O443" s="50">
        <v>1.0</v>
      </c>
      <c r="P443" s="144">
        <v>43791.0</v>
      </c>
      <c r="Q443" s="116"/>
      <c r="R443" s="50" t="s">
        <v>25900</v>
      </c>
      <c r="S443" s="50">
        <v>6.0</v>
      </c>
      <c r="T443" s="50" t="s">
        <v>22634</v>
      </c>
      <c r="U443" s="117">
        <v>5544.0</v>
      </c>
      <c r="V443" s="50" t="s">
        <v>25901</v>
      </c>
      <c r="W443" s="50" t="s">
        <v>25903</v>
      </c>
      <c r="X443" s="117">
        <v>448.0</v>
      </c>
    </row>
    <row r="444">
      <c r="A444" s="50" t="s">
        <v>25899</v>
      </c>
      <c r="B444" s="50" t="s">
        <v>6876</v>
      </c>
      <c r="C444" s="50" t="s">
        <v>6877</v>
      </c>
      <c r="D444" s="50" t="s">
        <v>11623</v>
      </c>
      <c r="E444" s="50" t="s">
        <v>25905</v>
      </c>
      <c r="F444" s="50">
        <v>59.0</v>
      </c>
      <c r="G444" s="50">
        <v>1.0</v>
      </c>
      <c r="H444" s="50">
        <v>11.0</v>
      </c>
      <c r="I444" s="50" t="s">
        <v>1659</v>
      </c>
      <c r="J444" s="50" t="s">
        <v>1659</v>
      </c>
      <c r="K444" s="50" t="s">
        <v>25879</v>
      </c>
      <c r="L444" s="50" t="s">
        <v>25855</v>
      </c>
      <c r="M444" s="50" t="s">
        <v>17310</v>
      </c>
      <c r="N444" s="50" t="s">
        <v>17310</v>
      </c>
      <c r="O444" s="50">
        <v>1.0</v>
      </c>
      <c r="P444" s="144">
        <v>43791.0</v>
      </c>
      <c r="Q444" s="116"/>
      <c r="R444" s="116"/>
      <c r="S444" s="50">
        <v>6.0</v>
      </c>
      <c r="T444" s="50" t="s">
        <v>22634</v>
      </c>
      <c r="U444" s="117">
        <v>5545.0</v>
      </c>
      <c r="V444" s="50" t="s">
        <v>25907</v>
      </c>
      <c r="W444" s="50" t="s">
        <v>25908</v>
      </c>
      <c r="X444" s="117">
        <v>449.0</v>
      </c>
    </row>
    <row r="445">
      <c r="A445" s="50" t="s">
        <v>25905</v>
      </c>
      <c r="B445" s="50" t="s">
        <v>6876</v>
      </c>
      <c r="C445" s="50" t="s">
        <v>6877</v>
      </c>
      <c r="D445" s="50" t="s">
        <v>11623</v>
      </c>
      <c r="E445" s="50" t="s">
        <v>25909</v>
      </c>
      <c r="F445" s="50">
        <v>59.0</v>
      </c>
      <c r="G445" s="50">
        <v>1.0</v>
      </c>
      <c r="H445" s="50">
        <v>99.0</v>
      </c>
      <c r="I445" s="50" t="s">
        <v>302</v>
      </c>
      <c r="J445" s="50" t="s">
        <v>302</v>
      </c>
      <c r="K445" s="50" t="s">
        <v>25884</v>
      </c>
      <c r="L445" s="50" t="s">
        <v>25886</v>
      </c>
      <c r="M445" s="50" t="s">
        <v>25888</v>
      </c>
      <c r="N445" s="50" t="s">
        <v>17310</v>
      </c>
      <c r="O445" s="50">
        <v>1.0</v>
      </c>
      <c r="P445" s="144">
        <v>43791.0</v>
      </c>
      <c r="Q445" s="116"/>
      <c r="R445" s="50" t="s">
        <v>25913</v>
      </c>
      <c r="S445" s="50">
        <v>6.0</v>
      </c>
      <c r="T445" s="50" t="s">
        <v>22634</v>
      </c>
      <c r="U445" s="117">
        <v>5546.0</v>
      </c>
      <c r="V445" s="50" t="s">
        <v>25914</v>
      </c>
      <c r="W445" s="50" t="s">
        <v>25915</v>
      </c>
      <c r="X445" s="117">
        <v>450.0</v>
      </c>
    </row>
    <row r="446">
      <c r="A446" s="50" t="s">
        <v>25909</v>
      </c>
      <c r="B446" s="50" t="s">
        <v>6876</v>
      </c>
      <c r="C446" s="50" t="s">
        <v>6877</v>
      </c>
      <c r="D446" s="50" t="s">
        <v>11623</v>
      </c>
      <c r="E446" s="50" t="s">
        <v>25916</v>
      </c>
      <c r="F446" s="50">
        <v>58.0</v>
      </c>
      <c r="G446" s="50">
        <v>1.0</v>
      </c>
      <c r="H446" s="50">
        <v>11.0</v>
      </c>
      <c r="I446" s="50" t="s">
        <v>1660</v>
      </c>
      <c r="J446" s="50" t="s">
        <v>1660</v>
      </c>
      <c r="K446" s="50" t="s">
        <v>25879</v>
      </c>
      <c r="L446" s="50" t="s">
        <v>25855</v>
      </c>
      <c r="M446" s="50" t="s">
        <v>17310</v>
      </c>
      <c r="N446" s="50" t="s">
        <v>17310</v>
      </c>
      <c r="O446" s="50">
        <v>1.0</v>
      </c>
      <c r="P446" s="144">
        <v>43791.0</v>
      </c>
      <c r="Q446" s="116"/>
      <c r="R446" s="116"/>
      <c r="S446" s="50">
        <v>6.0</v>
      </c>
      <c r="T446" s="50" t="s">
        <v>22634</v>
      </c>
      <c r="U446" s="117">
        <v>5547.0</v>
      </c>
      <c r="V446" s="50" t="s">
        <v>25920</v>
      </c>
      <c r="W446" s="50" t="s">
        <v>25921</v>
      </c>
      <c r="X446" s="117">
        <v>451.0</v>
      </c>
    </row>
    <row r="447">
      <c r="A447" s="50" t="s">
        <v>25916</v>
      </c>
      <c r="B447" s="50" t="s">
        <v>6876</v>
      </c>
      <c r="C447" s="50" t="s">
        <v>6877</v>
      </c>
      <c r="D447" s="50" t="s">
        <v>11623</v>
      </c>
      <c r="E447" s="50" t="s">
        <v>25922</v>
      </c>
      <c r="F447" s="50">
        <v>58.0</v>
      </c>
      <c r="G447" s="50">
        <v>1.0</v>
      </c>
      <c r="H447" s="50">
        <v>99.0</v>
      </c>
      <c r="I447" s="50" t="s">
        <v>304</v>
      </c>
      <c r="J447" s="50" t="s">
        <v>304</v>
      </c>
      <c r="K447" s="50" t="s">
        <v>25884</v>
      </c>
      <c r="L447" s="50" t="s">
        <v>25886</v>
      </c>
      <c r="M447" s="50" t="s">
        <v>25888</v>
      </c>
      <c r="N447" s="50" t="s">
        <v>17310</v>
      </c>
      <c r="O447" s="50">
        <v>1.0</v>
      </c>
      <c r="P447" s="144">
        <v>43791.0</v>
      </c>
      <c r="Q447" s="116"/>
      <c r="R447" s="50" t="s">
        <v>25925</v>
      </c>
      <c r="S447" s="50">
        <v>6.0</v>
      </c>
      <c r="T447" s="50" t="s">
        <v>22634</v>
      </c>
      <c r="U447" s="117">
        <v>5548.0</v>
      </c>
      <c r="V447" s="50" t="s">
        <v>25926</v>
      </c>
      <c r="W447" s="50" t="s">
        <v>25928</v>
      </c>
      <c r="X447" s="117">
        <v>452.0</v>
      </c>
    </row>
    <row r="448">
      <c r="A448" s="50" t="s">
        <v>25922</v>
      </c>
      <c r="B448" s="50" t="s">
        <v>6876</v>
      </c>
      <c r="C448" s="50" t="s">
        <v>6877</v>
      </c>
      <c r="D448" s="50" t="s">
        <v>11623</v>
      </c>
      <c r="E448" s="50" t="s">
        <v>25929</v>
      </c>
      <c r="F448" s="50">
        <v>66.0</v>
      </c>
      <c r="G448" s="50">
        <v>1.0</v>
      </c>
      <c r="H448" s="50">
        <v>12.0</v>
      </c>
      <c r="I448" s="50" t="s">
        <v>1654</v>
      </c>
      <c r="J448" s="50" t="s">
        <v>1654</v>
      </c>
      <c r="K448" s="50" t="s">
        <v>12755</v>
      </c>
      <c r="L448" s="50" t="s">
        <v>25930</v>
      </c>
      <c r="M448" s="50" t="s">
        <v>25931</v>
      </c>
      <c r="N448" s="50" t="s">
        <v>17310</v>
      </c>
      <c r="O448" s="50">
        <v>1.0</v>
      </c>
      <c r="P448" s="144">
        <v>43791.0</v>
      </c>
      <c r="Q448" s="116"/>
      <c r="R448" s="116"/>
      <c r="S448" s="50">
        <v>4.0</v>
      </c>
      <c r="T448" s="50" t="s">
        <v>22634</v>
      </c>
      <c r="U448" s="117">
        <v>5549.0</v>
      </c>
      <c r="V448" s="50" t="s">
        <v>25934</v>
      </c>
      <c r="W448" s="50" t="s">
        <v>25935</v>
      </c>
      <c r="X448" s="117">
        <v>453.0</v>
      </c>
    </row>
    <row r="449">
      <c r="A449" s="50" t="s">
        <v>25929</v>
      </c>
      <c r="B449" s="50" t="s">
        <v>6876</v>
      </c>
      <c r="C449" s="50" t="s">
        <v>6877</v>
      </c>
      <c r="D449" s="50" t="s">
        <v>11623</v>
      </c>
      <c r="E449" s="50" t="s">
        <v>25937</v>
      </c>
      <c r="F449" s="50">
        <v>66.0</v>
      </c>
      <c r="G449" s="50">
        <v>1.0</v>
      </c>
      <c r="H449" s="50">
        <v>99.0</v>
      </c>
      <c r="I449" s="50" t="s">
        <v>306</v>
      </c>
      <c r="J449" s="50" t="s">
        <v>306</v>
      </c>
      <c r="K449" s="50" t="s">
        <v>25884</v>
      </c>
      <c r="L449" s="50" t="s">
        <v>25886</v>
      </c>
      <c r="M449" s="50" t="s">
        <v>25888</v>
      </c>
      <c r="N449" s="50" t="s">
        <v>17310</v>
      </c>
      <c r="O449" s="50">
        <v>1.0</v>
      </c>
      <c r="P449" s="144">
        <v>43791.0</v>
      </c>
      <c r="Q449" s="116"/>
      <c r="R449" s="50" t="s">
        <v>25938</v>
      </c>
      <c r="S449" s="50">
        <v>6.0</v>
      </c>
      <c r="T449" s="50" t="s">
        <v>22634</v>
      </c>
      <c r="U449" s="117">
        <v>5550.0</v>
      </c>
      <c r="V449" s="50" t="s">
        <v>25939</v>
      </c>
      <c r="W449" s="50" t="s">
        <v>25940</v>
      </c>
      <c r="X449" s="117">
        <v>454.0</v>
      </c>
    </row>
    <row r="450">
      <c r="A450" s="50" t="s">
        <v>25937</v>
      </c>
      <c r="B450" s="50" t="s">
        <v>6876</v>
      </c>
      <c r="C450" s="50" t="s">
        <v>6877</v>
      </c>
      <c r="D450" s="50" t="s">
        <v>11623</v>
      </c>
      <c r="E450" s="50" t="s">
        <v>25943</v>
      </c>
      <c r="F450" s="50">
        <v>33.0</v>
      </c>
      <c r="G450" s="50">
        <v>1.0</v>
      </c>
      <c r="H450" s="50">
        <v>98.0</v>
      </c>
      <c r="I450" s="50" t="s">
        <v>1661</v>
      </c>
      <c r="J450" s="50" t="s">
        <v>1661</v>
      </c>
      <c r="K450" s="50" t="s">
        <v>25884</v>
      </c>
      <c r="L450" s="50" t="s">
        <v>25886</v>
      </c>
      <c r="M450" s="50" t="s">
        <v>25888</v>
      </c>
      <c r="N450" s="50" t="s">
        <v>17310</v>
      </c>
      <c r="O450" s="50">
        <v>0.0</v>
      </c>
      <c r="P450" s="116"/>
      <c r="Q450" s="116"/>
      <c r="R450" s="50" t="s">
        <v>23528</v>
      </c>
      <c r="S450" s="50">
        <v>6.0</v>
      </c>
      <c r="T450" s="50" t="s">
        <v>22634</v>
      </c>
      <c r="U450" s="117">
        <v>5551.0</v>
      </c>
      <c r="V450" s="50" t="s">
        <v>25946</v>
      </c>
      <c r="W450" s="50" t="s">
        <v>25947</v>
      </c>
      <c r="X450" s="117">
        <v>455.0</v>
      </c>
    </row>
    <row r="451">
      <c r="A451" s="50" t="s">
        <v>25943</v>
      </c>
      <c r="B451" s="50" t="s">
        <v>6876</v>
      </c>
      <c r="C451" s="50" t="s">
        <v>6877</v>
      </c>
      <c r="D451" s="50" t="s">
        <v>11623</v>
      </c>
      <c r="E451" s="50" t="s">
        <v>25948</v>
      </c>
      <c r="F451" s="50">
        <v>59.0</v>
      </c>
      <c r="G451" s="50">
        <v>1.0</v>
      </c>
      <c r="H451" s="50">
        <v>11.0</v>
      </c>
      <c r="I451" s="50" t="s">
        <v>1664</v>
      </c>
      <c r="J451" s="50" t="s">
        <v>1664</v>
      </c>
      <c r="K451" s="50" t="s">
        <v>25950</v>
      </c>
      <c r="L451" s="50" t="s">
        <v>17310</v>
      </c>
      <c r="M451" s="50" t="s">
        <v>17311</v>
      </c>
      <c r="N451" s="50" t="s">
        <v>25952</v>
      </c>
      <c r="O451" s="50">
        <v>0.0</v>
      </c>
      <c r="P451" s="116"/>
      <c r="Q451" s="116"/>
      <c r="R451" s="116"/>
      <c r="S451" s="50">
        <v>6.0</v>
      </c>
      <c r="T451" s="50" t="s">
        <v>22634</v>
      </c>
      <c r="U451" s="117">
        <v>5552.0</v>
      </c>
      <c r="V451" s="50" t="s">
        <v>25954</v>
      </c>
      <c r="W451" s="50" t="s">
        <v>25955</v>
      </c>
      <c r="X451" s="117">
        <v>456.0</v>
      </c>
    </row>
    <row r="452">
      <c r="A452" s="50" t="s">
        <v>25948</v>
      </c>
      <c r="B452" s="50" t="s">
        <v>6876</v>
      </c>
      <c r="C452" s="50" t="s">
        <v>6877</v>
      </c>
      <c r="D452" s="50" t="s">
        <v>11623</v>
      </c>
      <c r="E452" s="50" t="s">
        <v>25956</v>
      </c>
      <c r="F452" s="50">
        <v>59.0</v>
      </c>
      <c r="G452" s="50">
        <v>1.0</v>
      </c>
      <c r="H452" s="50">
        <v>99.0</v>
      </c>
      <c r="I452" s="50" t="s">
        <v>308</v>
      </c>
      <c r="J452" s="50" t="s">
        <v>308</v>
      </c>
      <c r="K452" s="50" t="s">
        <v>25957</v>
      </c>
      <c r="L452" s="50" t="s">
        <v>25950</v>
      </c>
      <c r="M452" s="50" t="s">
        <v>25958</v>
      </c>
      <c r="N452" s="50" t="s">
        <v>25959</v>
      </c>
      <c r="O452" s="50">
        <v>0.0</v>
      </c>
      <c r="P452" s="116"/>
      <c r="Q452" s="116"/>
      <c r="R452" s="50" t="s">
        <v>25623</v>
      </c>
      <c r="S452" s="50">
        <v>6.0</v>
      </c>
      <c r="T452" s="50" t="s">
        <v>22634</v>
      </c>
      <c r="U452" s="117">
        <v>5553.0</v>
      </c>
      <c r="V452" s="50" t="s">
        <v>25962</v>
      </c>
      <c r="W452" s="50" t="s">
        <v>25963</v>
      </c>
      <c r="X452" s="117">
        <v>457.0</v>
      </c>
    </row>
    <row r="453">
      <c r="A453" s="50" t="s">
        <v>25956</v>
      </c>
      <c r="B453" s="50" t="s">
        <v>6876</v>
      </c>
      <c r="C453" s="50" t="s">
        <v>6877</v>
      </c>
      <c r="D453" s="50" t="s">
        <v>11623</v>
      </c>
      <c r="E453" s="50" t="s">
        <v>25965</v>
      </c>
      <c r="F453" s="50">
        <v>59.0</v>
      </c>
      <c r="G453" s="50">
        <v>1.0</v>
      </c>
      <c r="H453" s="50">
        <v>11.0</v>
      </c>
      <c r="I453" s="50" t="s">
        <v>1665</v>
      </c>
      <c r="J453" s="50" t="s">
        <v>1665</v>
      </c>
      <c r="K453" s="50" t="s">
        <v>25950</v>
      </c>
      <c r="L453" s="50" t="s">
        <v>17310</v>
      </c>
      <c r="M453" s="50" t="s">
        <v>17311</v>
      </c>
      <c r="N453" s="50" t="s">
        <v>25952</v>
      </c>
      <c r="O453" s="50">
        <v>0.0</v>
      </c>
      <c r="P453" s="116"/>
      <c r="Q453" s="116"/>
      <c r="R453" s="116"/>
      <c r="S453" s="50">
        <v>6.0</v>
      </c>
      <c r="T453" s="50" t="s">
        <v>22634</v>
      </c>
      <c r="U453" s="117">
        <v>5554.0</v>
      </c>
      <c r="V453" s="50" t="s">
        <v>25969</v>
      </c>
      <c r="W453" s="50" t="s">
        <v>25970</v>
      </c>
      <c r="X453" s="117">
        <v>458.0</v>
      </c>
    </row>
    <row r="454">
      <c r="A454" s="50" t="s">
        <v>25965</v>
      </c>
      <c r="B454" s="50" t="s">
        <v>6876</v>
      </c>
      <c r="C454" s="50" t="s">
        <v>6877</v>
      </c>
      <c r="D454" s="50" t="s">
        <v>11623</v>
      </c>
      <c r="E454" s="50" t="s">
        <v>25972</v>
      </c>
      <c r="F454" s="50">
        <v>59.0</v>
      </c>
      <c r="G454" s="50">
        <v>1.0</v>
      </c>
      <c r="H454" s="50">
        <v>99.0</v>
      </c>
      <c r="I454" s="50" t="s">
        <v>310</v>
      </c>
      <c r="J454" s="50" t="s">
        <v>310</v>
      </c>
      <c r="K454" s="50" t="s">
        <v>25957</v>
      </c>
      <c r="L454" s="50" t="s">
        <v>25950</v>
      </c>
      <c r="M454" s="50" t="s">
        <v>25958</v>
      </c>
      <c r="N454" s="50" t="s">
        <v>25959</v>
      </c>
      <c r="O454" s="50">
        <v>0.0</v>
      </c>
      <c r="P454" s="116"/>
      <c r="Q454" s="116"/>
      <c r="R454" s="50" t="s">
        <v>25973</v>
      </c>
      <c r="S454" s="50">
        <v>6.0</v>
      </c>
      <c r="T454" s="50" t="s">
        <v>22634</v>
      </c>
      <c r="U454" s="117">
        <v>5555.0</v>
      </c>
      <c r="V454" s="50" t="s">
        <v>25974</v>
      </c>
      <c r="W454" s="50" t="s">
        <v>25975</v>
      </c>
      <c r="X454" s="117">
        <v>459.0</v>
      </c>
    </row>
    <row r="455">
      <c r="A455" s="50" t="s">
        <v>25972</v>
      </c>
      <c r="B455" s="50" t="s">
        <v>6876</v>
      </c>
      <c r="C455" s="50" t="s">
        <v>6877</v>
      </c>
      <c r="D455" s="50" t="s">
        <v>11623</v>
      </c>
      <c r="E455" s="50" t="s">
        <v>25976</v>
      </c>
      <c r="F455" s="50">
        <v>59.0</v>
      </c>
      <c r="G455" s="50">
        <v>1.0</v>
      </c>
      <c r="H455" s="50">
        <v>11.0</v>
      </c>
      <c r="I455" s="50" t="s">
        <v>1666</v>
      </c>
      <c r="J455" s="50" t="s">
        <v>1666</v>
      </c>
      <c r="K455" s="50" t="s">
        <v>25950</v>
      </c>
      <c r="L455" s="50" t="s">
        <v>17310</v>
      </c>
      <c r="M455" s="50" t="s">
        <v>17311</v>
      </c>
      <c r="N455" s="50" t="s">
        <v>25952</v>
      </c>
      <c r="O455" s="50">
        <v>0.0</v>
      </c>
      <c r="P455" s="116"/>
      <c r="Q455" s="116"/>
      <c r="R455" s="116"/>
      <c r="S455" s="50">
        <v>6.0</v>
      </c>
      <c r="T455" s="50" t="s">
        <v>22634</v>
      </c>
      <c r="U455" s="117">
        <v>5556.0</v>
      </c>
      <c r="V455" s="50" t="s">
        <v>25980</v>
      </c>
      <c r="W455" s="50" t="s">
        <v>25981</v>
      </c>
      <c r="X455" s="117">
        <v>460.0</v>
      </c>
    </row>
    <row r="456">
      <c r="A456" s="50" t="s">
        <v>25976</v>
      </c>
      <c r="B456" s="50" t="s">
        <v>6876</v>
      </c>
      <c r="C456" s="50" t="s">
        <v>6877</v>
      </c>
      <c r="D456" s="50" t="s">
        <v>11623</v>
      </c>
      <c r="E456" s="50" t="s">
        <v>25982</v>
      </c>
      <c r="F456" s="50">
        <v>59.0</v>
      </c>
      <c r="G456" s="50">
        <v>1.0</v>
      </c>
      <c r="H456" s="50">
        <v>99.0</v>
      </c>
      <c r="I456" s="50" t="s">
        <v>312</v>
      </c>
      <c r="J456" s="50" t="s">
        <v>312</v>
      </c>
      <c r="K456" s="50" t="s">
        <v>25957</v>
      </c>
      <c r="L456" s="50" t="s">
        <v>25950</v>
      </c>
      <c r="M456" s="50" t="s">
        <v>25958</v>
      </c>
      <c r="N456" s="50" t="s">
        <v>25959</v>
      </c>
      <c r="O456" s="50">
        <v>0.0</v>
      </c>
      <c r="P456" s="116"/>
      <c r="Q456" s="116"/>
      <c r="R456" s="50" t="s">
        <v>25984</v>
      </c>
      <c r="S456" s="50">
        <v>6.0</v>
      </c>
      <c r="T456" s="50" t="s">
        <v>22634</v>
      </c>
      <c r="U456" s="117">
        <v>5557.0</v>
      </c>
      <c r="V456" s="50" t="s">
        <v>25986</v>
      </c>
      <c r="W456" s="50" t="s">
        <v>25987</v>
      </c>
      <c r="X456" s="117">
        <v>461.0</v>
      </c>
    </row>
    <row r="457">
      <c r="A457" s="50" t="s">
        <v>25982</v>
      </c>
      <c r="B457" s="50" t="s">
        <v>6876</v>
      </c>
      <c r="C457" s="50" t="s">
        <v>6877</v>
      </c>
      <c r="D457" s="50" t="s">
        <v>11623</v>
      </c>
      <c r="E457" s="50" t="s">
        <v>25989</v>
      </c>
      <c r="F457" s="50">
        <v>33.0</v>
      </c>
      <c r="G457" s="50">
        <v>1.0</v>
      </c>
      <c r="H457" s="50">
        <v>98.0</v>
      </c>
      <c r="I457" s="50" t="s">
        <v>1667</v>
      </c>
      <c r="J457" s="50" t="s">
        <v>1667</v>
      </c>
      <c r="K457" s="50" t="s">
        <v>25957</v>
      </c>
      <c r="L457" s="50" t="s">
        <v>25950</v>
      </c>
      <c r="M457" s="50" t="s">
        <v>25990</v>
      </c>
      <c r="N457" s="50" t="s">
        <v>25952</v>
      </c>
      <c r="O457" s="50">
        <v>0.0</v>
      </c>
      <c r="P457" s="116"/>
      <c r="Q457" s="116"/>
      <c r="R457" s="50" t="s">
        <v>23528</v>
      </c>
      <c r="S457" s="50">
        <v>6.0</v>
      </c>
      <c r="T457" s="50" t="s">
        <v>22634</v>
      </c>
      <c r="U457" s="117">
        <v>5558.0</v>
      </c>
      <c r="V457" s="50" t="s">
        <v>25991</v>
      </c>
      <c r="W457" s="50" t="s">
        <v>25992</v>
      </c>
      <c r="X457" s="117">
        <v>462.0</v>
      </c>
    </row>
    <row r="458">
      <c r="A458" s="50" t="s">
        <v>25993</v>
      </c>
      <c r="B458" s="50" t="s">
        <v>6876</v>
      </c>
      <c r="C458" s="50" t="s">
        <v>6877</v>
      </c>
      <c r="D458" s="50" t="s">
        <v>11623</v>
      </c>
      <c r="E458" s="50" t="s">
        <v>25996</v>
      </c>
      <c r="F458" s="50">
        <v>58.0</v>
      </c>
      <c r="G458" s="50">
        <v>1.0</v>
      </c>
      <c r="H458" s="50">
        <v>11.0</v>
      </c>
      <c r="I458" s="50" t="s">
        <v>1670</v>
      </c>
      <c r="J458" s="50" t="s">
        <v>1670</v>
      </c>
      <c r="K458" s="50" t="s">
        <v>25998</v>
      </c>
      <c r="L458" s="50" t="s">
        <v>25999</v>
      </c>
      <c r="M458" s="50" t="s">
        <v>26000</v>
      </c>
      <c r="N458" s="50" t="s">
        <v>26001</v>
      </c>
      <c r="O458" s="50">
        <v>1.0</v>
      </c>
      <c r="P458" s="144">
        <v>43796.0</v>
      </c>
      <c r="Q458" s="116"/>
      <c r="R458" s="116"/>
      <c r="S458" s="50">
        <v>4.0</v>
      </c>
      <c r="T458" s="50" t="s">
        <v>22634</v>
      </c>
      <c r="U458" s="117">
        <v>5734.0</v>
      </c>
      <c r="V458" s="50" t="s">
        <v>26002</v>
      </c>
      <c r="W458" s="50" t="s">
        <v>26003</v>
      </c>
      <c r="X458" s="117">
        <v>463.0</v>
      </c>
    </row>
    <row r="459">
      <c r="A459" s="50" t="s">
        <v>25996</v>
      </c>
      <c r="B459" s="50" t="s">
        <v>6876</v>
      </c>
      <c r="C459" s="50" t="s">
        <v>6877</v>
      </c>
      <c r="D459" s="50" t="s">
        <v>11623</v>
      </c>
      <c r="E459" s="50" t="s">
        <v>26004</v>
      </c>
      <c r="F459" s="50">
        <v>58.0</v>
      </c>
      <c r="G459" s="50">
        <v>1.0</v>
      </c>
      <c r="H459" s="50">
        <v>99.0</v>
      </c>
      <c r="I459" s="50" t="s">
        <v>1672</v>
      </c>
      <c r="J459" s="50" t="s">
        <v>1672</v>
      </c>
      <c r="K459" s="50" t="s">
        <v>26005</v>
      </c>
      <c r="L459" s="50" t="s">
        <v>19623</v>
      </c>
      <c r="M459" s="50" t="s">
        <v>26008</v>
      </c>
      <c r="N459" s="50" t="s">
        <v>26009</v>
      </c>
      <c r="O459" s="50">
        <v>0.0</v>
      </c>
      <c r="P459" s="116"/>
      <c r="Q459" s="116"/>
      <c r="R459" s="50" t="s">
        <v>26011</v>
      </c>
      <c r="S459" s="50">
        <v>4.0</v>
      </c>
      <c r="T459" s="50" t="s">
        <v>22634</v>
      </c>
      <c r="U459" s="117">
        <v>5735.0</v>
      </c>
      <c r="V459" s="50" t="s">
        <v>26013</v>
      </c>
      <c r="W459" s="50" t="s">
        <v>26014</v>
      </c>
      <c r="X459" s="117">
        <v>464.0</v>
      </c>
    </row>
    <row r="460">
      <c r="A460" s="50" t="s">
        <v>26004</v>
      </c>
      <c r="B460" s="50" t="s">
        <v>6876</v>
      </c>
      <c r="C460" s="50" t="s">
        <v>6877</v>
      </c>
      <c r="D460" s="50" t="s">
        <v>11623</v>
      </c>
      <c r="E460" s="50" t="s">
        <v>26015</v>
      </c>
      <c r="F460" s="50">
        <v>59.0</v>
      </c>
      <c r="G460" s="50">
        <v>1.0</v>
      </c>
      <c r="H460" s="50">
        <v>11.0</v>
      </c>
      <c r="I460" s="50" t="s">
        <v>1673</v>
      </c>
      <c r="J460" s="50" t="s">
        <v>1673</v>
      </c>
      <c r="K460" s="50" t="s">
        <v>25998</v>
      </c>
      <c r="L460" s="50" t="s">
        <v>25999</v>
      </c>
      <c r="M460" s="50" t="s">
        <v>26000</v>
      </c>
      <c r="N460" s="50" t="s">
        <v>26018</v>
      </c>
      <c r="O460" s="50">
        <v>1.0</v>
      </c>
      <c r="P460" s="144">
        <v>43796.0</v>
      </c>
      <c r="Q460" s="116"/>
      <c r="R460" s="116"/>
      <c r="S460" s="50">
        <v>4.0</v>
      </c>
      <c r="T460" s="50" t="s">
        <v>22634</v>
      </c>
      <c r="U460" s="117">
        <v>5736.0</v>
      </c>
      <c r="V460" s="50" t="s">
        <v>26020</v>
      </c>
      <c r="W460" s="50" t="s">
        <v>26021</v>
      </c>
      <c r="X460" s="117">
        <v>465.0</v>
      </c>
    </row>
    <row r="461">
      <c r="A461" s="50" t="s">
        <v>26015</v>
      </c>
      <c r="B461" s="50" t="s">
        <v>6876</v>
      </c>
      <c r="C461" s="50" t="s">
        <v>6877</v>
      </c>
      <c r="D461" s="50" t="s">
        <v>11623</v>
      </c>
      <c r="E461" s="50" t="s">
        <v>26022</v>
      </c>
      <c r="F461" s="50">
        <v>59.0</v>
      </c>
      <c r="G461" s="50">
        <v>1.0</v>
      </c>
      <c r="H461" s="50">
        <v>99.0</v>
      </c>
      <c r="I461" s="50" t="s">
        <v>1675</v>
      </c>
      <c r="J461" s="50" t="s">
        <v>1675</v>
      </c>
      <c r="K461" s="50" t="s">
        <v>26005</v>
      </c>
      <c r="L461" s="50" t="s">
        <v>19623</v>
      </c>
      <c r="M461" s="50" t="s">
        <v>26008</v>
      </c>
      <c r="N461" s="50" t="s">
        <v>26023</v>
      </c>
      <c r="O461" s="50">
        <v>1.0</v>
      </c>
      <c r="P461" s="144">
        <v>43796.0</v>
      </c>
      <c r="Q461" s="116"/>
      <c r="R461" s="50" t="s">
        <v>26026</v>
      </c>
      <c r="S461" s="50">
        <v>4.0</v>
      </c>
      <c r="T461" s="50" t="s">
        <v>22634</v>
      </c>
      <c r="U461" s="117">
        <v>5737.0</v>
      </c>
      <c r="V461" s="50" t="s">
        <v>26027</v>
      </c>
      <c r="W461" s="50" t="s">
        <v>26028</v>
      </c>
      <c r="X461" s="117">
        <v>466.0</v>
      </c>
    </row>
    <row r="462">
      <c r="A462" s="50" t="s">
        <v>26022</v>
      </c>
      <c r="B462" s="50" t="s">
        <v>6876</v>
      </c>
      <c r="C462" s="50" t="s">
        <v>6877</v>
      </c>
      <c r="D462" s="50" t="s">
        <v>11623</v>
      </c>
      <c r="E462" s="50" t="s">
        <v>26030</v>
      </c>
      <c r="F462" s="50">
        <v>33.0</v>
      </c>
      <c r="G462" s="50">
        <v>1.0</v>
      </c>
      <c r="H462" s="50">
        <v>98.0</v>
      </c>
      <c r="I462" s="50" t="s">
        <v>1676</v>
      </c>
      <c r="J462" s="50" t="s">
        <v>1676</v>
      </c>
      <c r="K462" s="50" t="s">
        <v>26005</v>
      </c>
      <c r="L462" s="50" t="s">
        <v>19623</v>
      </c>
      <c r="M462" s="50" t="s">
        <v>26008</v>
      </c>
      <c r="N462" s="50" t="s">
        <v>26031</v>
      </c>
      <c r="O462" s="50">
        <v>0.0</v>
      </c>
      <c r="P462" s="116"/>
      <c r="Q462" s="116"/>
      <c r="R462" s="50" t="s">
        <v>23528</v>
      </c>
      <c r="S462" s="50">
        <v>4.0</v>
      </c>
      <c r="T462" s="50" t="s">
        <v>22634</v>
      </c>
      <c r="U462" s="117">
        <v>5738.0</v>
      </c>
      <c r="V462" s="50" t="s">
        <v>26032</v>
      </c>
      <c r="W462" s="50" t="s">
        <v>26033</v>
      </c>
      <c r="X462" s="117">
        <v>467.0</v>
      </c>
    </row>
    <row r="463">
      <c r="A463" s="50" t="s">
        <v>26030</v>
      </c>
      <c r="B463" s="50" t="s">
        <v>6876</v>
      </c>
      <c r="C463" s="50" t="s">
        <v>6877</v>
      </c>
      <c r="D463" s="50" t="s">
        <v>11623</v>
      </c>
      <c r="E463" s="50" t="s">
        <v>26037</v>
      </c>
      <c r="F463" s="50">
        <v>55.0</v>
      </c>
      <c r="G463" s="50">
        <v>1.0</v>
      </c>
      <c r="H463" s="50">
        <v>12.0</v>
      </c>
      <c r="I463" s="50" t="s">
        <v>1678</v>
      </c>
      <c r="J463" s="50" t="s">
        <v>1678</v>
      </c>
      <c r="K463" s="50" t="s">
        <v>26009</v>
      </c>
      <c r="L463" s="50" t="s">
        <v>26039</v>
      </c>
      <c r="M463" s="50" t="s">
        <v>26040</v>
      </c>
      <c r="N463" s="50" t="s">
        <v>26041</v>
      </c>
      <c r="O463" s="50">
        <v>1.0</v>
      </c>
      <c r="P463" s="144">
        <v>43796.0</v>
      </c>
      <c r="Q463" s="116"/>
      <c r="R463" s="116"/>
      <c r="S463" s="50">
        <v>4.0</v>
      </c>
      <c r="T463" s="50" t="s">
        <v>22634</v>
      </c>
      <c r="U463" s="117">
        <v>5739.0</v>
      </c>
      <c r="V463" s="50" t="s">
        <v>26042</v>
      </c>
      <c r="W463" s="50" t="s">
        <v>26043</v>
      </c>
      <c r="X463" s="117">
        <v>468.0</v>
      </c>
    </row>
    <row r="464">
      <c r="A464" s="50" t="s">
        <v>26037</v>
      </c>
      <c r="B464" s="50" t="s">
        <v>6876</v>
      </c>
      <c r="C464" s="50" t="s">
        <v>6877</v>
      </c>
      <c r="D464" s="50" t="s">
        <v>11623</v>
      </c>
      <c r="E464" s="50" t="s">
        <v>26044</v>
      </c>
      <c r="F464" s="50">
        <v>55.0</v>
      </c>
      <c r="G464" s="50">
        <v>1.0</v>
      </c>
      <c r="H464" s="50">
        <v>99.0</v>
      </c>
      <c r="I464" s="50" t="s">
        <v>1683</v>
      </c>
      <c r="J464" s="50" t="s">
        <v>1683</v>
      </c>
      <c r="K464" s="50" t="s">
        <v>13024</v>
      </c>
      <c r="L464" s="50" t="s">
        <v>13055</v>
      </c>
      <c r="M464" s="50" t="s">
        <v>13180</v>
      </c>
      <c r="N464" s="50" t="s">
        <v>13057</v>
      </c>
      <c r="O464" s="50">
        <v>0.0</v>
      </c>
      <c r="P464" s="116"/>
      <c r="Q464" s="116"/>
      <c r="R464" s="50" t="s">
        <v>26048</v>
      </c>
      <c r="S464" s="50">
        <v>7.0</v>
      </c>
      <c r="T464" s="50" t="s">
        <v>22634</v>
      </c>
      <c r="U464" s="117">
        <v>5740.0</v>
      </c>
      <c r="V464" s="50" t="s">
        <v>26049</v>
      </c>
      <c r="W464" s="50" t="s">
        <v>26050</v>
      </c>
      <c r="X464" s="117">
        <v>469.0</v>
      </c>
    </row>
    <row r="465">
      <c r="A465" s="50" t="s">
        <v>26044</v>
      </c>
      <c r="B465" s="50" t="s">
        <v>6876</v>
      </c>
      <c r="C465" s="50" t="s">
        <v>6877</v>
      </c>
      <c r="D465" s="50" t="s">
        <v>11623</v>
      </c>
      <c r="E465" s="50" t="s">
        <v>26051</v>
      </c>
      <c r="F465" s="50">
        <v>57.0</v>
      </c>
      <c r="G465" s="50">
        <v>1.0</v>
      </c>
      <c r="H465" s="50">
        <v>12.0</v>
      </c>
      <c r="I465" s="50" t="s">
        <v>1681</v>
      </c>
      <c r="J465" s="50" t="s">
        <v>1681</v>
      </c>
      <c r="K465" s="50" t="s">
        <v>26009</v>
      </c>
      <c r="L465" s="50" t="s">
        <v>26039</v>
      </c>
      <c r="M465" s="50" t="s">
        <v>26040</v>
      </c>
      <c r="N465" s="50" t="s">
        <v>26052</v>
      </c>
      <c r="O465" s="50">
        <v>1.0</v>
      </c>
      <c r="P465" s="144">
        <v>43796.0</v>
      </c>
      <c r="Q465" s="116"/>
      <c r="R465" s="116"/>
      <c r="S465" s="50">
        <v>7.0</v>
      </c>
      <c r="T465" s="50" t="s">
        <v>22634</v>
      </c>
      <c r="U465" s="117">
        <v>5741.0</v>
      </c>
      <c r="V465" s="50" t="s">
        <v>26055</v>
      </c>
      <c r="W465" s="50" t="s">
        <v>26056</v>
      </c>
      <c r="X465" s="117">
        <v>470.0</v>
      </c>
    </row>
    <row r="466">
      <c r="A466" s="50" t="s">
        <v>26051</v>
      </c>
      <c r="B466" s="50" t="s">
        <v>6876</v>
      </c>
      <c r="C466" s="50" t="s">
        <v>6877</v>
      </c>
      <c r="D466" s="50" t="s">
        <v>11623</v>
      </c>
      <c r="E466" s="50" t="s">
        <v>26058</v>
      </c>
      <c r="F466" s="50">
        <v>57.0</v>
      </c>
      <c r="G466" s="50">
        <v>1.0</v>
      </c>
      <c r="H466" s="50">
        <v>99.0</v>
      </c>
      <c r="I466" s="50" t="s">
        <v>1680</v>
      </c>
      <c r="J466" s="50" t="s">
        <v>1680</v>
      </c>
      <c r="K466" s="50" t="s">
        <v>13024</v>
      </c>
      <c r="L466" s="50" t="s">
        <v>13055</v>
      </c>
      <c r="M466" s="50" t="s">
        <v>13180</v>
      </c>
      <c r="N466" s="50" t="s">
        <v>13057</v>
      </c>
      <c r="O466" s="50">
        <v>1.0</v>
      </c>
      <c r="P466" s="144">
        <v>43796.0</v>
      </c>
      <c r="Q466" s="116"/>
      <c r="R466" s="50" t="s">
        <v>26059</v>
      </c>
      <c r="S466" s="50">
        <v>7.0</v>
      </c>
      <c r="T466" s="50" t="s">
        <v>22634</v>
      </c>
      <c r="U466" s="117">
        <v>5742.0</v>
      </c>
      <c r="V466" s="50" t="s">
        <v>26060</v>
      </c>
      <c r="W466" s="50" t="s">
        <v>26061</v>
      </c>
      <c r="X466" s="117">
        <v>471.0</v>
      </c>
    </row>
    <row r="467">
      <c r="A467" s="50" t="s">
        <v>26058</v>
      </c>
      <c r="B467" s="50" t="s">
        <v>6876</v>
      </c>
      <c r="C467" s="50" t="s">
        <v>6877</v>
      </c>
      <c r="D467" s="50" t="s">
        <v>11623</v>
      </c>
      <c r="E467" s="50" t="s">
        <v>26064</v>
      </c>
      <c r="F467" s="50">
        <v>59.0</v>
      </c>
      <c r="G467" s="50">
        <v>1.0</v>
      </c>
      <c r="H467" s="50">
        <v>11.0</v>
      </c>
      <c r="I467" s="50" t="s">
        <v>1684</v>
      </c>
      <c r="J467" s="50" t="s">
        <v>1684</v>
      </c>
      <c r="K467" s="50" t="s">
        <v>26008</v>
      </c>
      <c r="L467" s="50" t="s">
        <v>12962</v>
      </c>
      <c r="M467" s="50" t="s">
        <v>26066</v>
      </c>
      <c r="N467" s="50" t="s">
        <v>26067</v>
      </c>
      <c r="O467" s="50">
        <v>1.0</v>
      </c>
      <c r="P467" s="144">
        <v>43796.0</v>
      </c>
      <c r="Q467" s="116"/>
      <c r="R467" s="116"/>
      <c r="S467" s="50">
        <v>7.0</v>
      </c>
      <c r="T467" s="50" t="s">
        <v>22634</v>
      </c>
      <c r="U467" s="117">
        <v>5743.0</v>
      </c>
      <c r="V467" s="50" t="s">
        <v>26068</v>
      </c>
      <c r="W467" s="50" t="s">
        <v>26069</v>
      </c>
      <c r="X467" s="117">
        <v>472.0</v>
      </c>
    </row>
    <row r="468">
      <c r="A468" s="50" t="s">
        <v>26064</v>
      </c>
      <c r="B468" s="50" t="s">
        <v>6876</v>
      </c>
      <c r="C468" s="50" t="s">
        <v>6877</v>
      </c>
      <c r="D468" s="50" t="s">
        <v>11623</v>
      </c>
      <c r="E468" s="50" t="s">
        <v>26070</v>
      </c>
      <c r="F468" s="50">
        <v>59.0</v>
      </c>
      <c r="G468" s="50">
        <v>1.0</v>
      </c>
      <c r="H468" s="50">
        <v>99.0</v>
      </c>
      <c r="I468" s="50" t="s">
        <v>1686</v>
      </c>
      <c r="J468" s="50" t="s">
        <v>1686</v>
      </c>
      <c r="K468" s="50" t="s">
        <v>13024</v>
      </c>
      <c r="L468" s="50" t="s">
        <v>13055</v>
      </c>
      <c r="M468" s="50" t="s">
        <v>13180</v>
      </c>
      <c r="N468" s="50" t="s">
        <v>13057</v>
      </c>
      <c r="O468" s="50">
        <v>0.0</v>
      </c>
      <c r="P468" s="116"/>
      <c r="Q468" s="116"/>
      <c r="R468" s="50" t="s">
        <v>26074</v>
      </c>
      <c r="S468" s="50">
        <v>7.0</v>
      </c>
      <c r="T468" s="50" t="s">
        <v>22634</v>
      </c>
      <c r="U468" s="117">
        <v>5744.0</v>
      </c>
      <c r="V468" s="50" t="s">
        <v>26075</v>
      </c>
      <c r="W468" s="50" t="s">
        <v>26076</v>
      </c>
      <c r="X468" s="117">
        <v>473.0</v>
      </c>
    </row>
    <row r="469">
      <c r="A469" s="50" t="s">
        <v>26070</v>
      </c>
      <c r="B469" s="50" t="s">
        <v>6876</v>
      </c>
      <c r="C469" s="50" t="s">
        <v>6877</v>
      </c>
      <c r="D469" s="50" t="s">
        <v>11623</v>
      </c>
      <c r="E469" s="50" t="s">
        <v>26077</v>
      </c>
      <c r="F469" s="50">
        <v>59.0</v>
      </c>
      <c r="G469" s="50">
        <v>1.0</v>
      </c>
      <c r="H469" s="50">
        <v>11.0</v>
      </c>
      <c r="I469" s="50" t="s">
        <v>1687</v>
      </c>
      <c r="J469" s="50" t="s">
        <v>1687</v>
      </c>
      <c r="K469" s="50" t="s">
        <v>26008</v>
      </c>
      <c r="L469" s="50" t="s">
        <v>12962</v>
      </c>
      <c r="M469" s="50" t="s">
        <v>26066</v>
      </c>
      <c r="N469" s="50" t="s">
        <v>26078</v>
      </c>
      <c r="O469" s="50">
        <v>1.0</v>
      </c>
      <c r="P469" s="144">
        <v>43796.0</v>
      </c>
      <c r="Q469" s="116"/>
      <c r="R469" s="116"/>
      <c r="S469" s="50">
        <v>4.0</v>
      </c>
      <c r="T469" s="50" t="s">
        <v>22634</v>
      </c>
      <c r="U469" s="117">
        <v>5745.0</v>
      </c>
      <c r="V469" s="50" t="s">
        <v>26081</v>
      </c>
      <c r="W469" s="50" t="s">
        <v>26082</v>
      </c>
      <c r="X469" s="117">
        <v>474.0</v>
      </c>
    </row>
    <row r="470">
      <c r="A470" s="50" t="s">
        <v>26077</v>
      </c>
      <c r="B470" s="50" t="s">
        <v>6876</v>
      </c>
      <c r="C470" s="50" t="s">
        <v>6877</v>
      </c>
      <c r="D470" s="50" t="s">
        <v>11623</v>
      </c>
      <c r="E470" s="50" t="s">
        <v>26084</v>
      </c>
      <c r="F470" s="50">
        <v>59.0</v>
      </c>
      <c r="G470" s="50">
        <v>1.0</v>
      </c>
      <c r="H470" s="50">
        <v>99.0</v>
      </c>
      <c r="I470" s="50" t="s">
        <v>1689</v>
      </c>
      <c r="J470" s="50" t="s">
        <v>1689</v>
      </c>
      <c r="K470" s="50" t="s">
        <v>13024</v>
      </c>
      <c r="L470" s="50" t="s">
        <v>13055</v>
      </c>
      <c r="M470" s="50" t="s">
        <v>13180</v>
      </c>
      <c r="N470" s="50" t="s">
        <v>26085</v>
      </c>
      <c r="O470" s="50">
        <v>0.0</v>
      </c>
      <c r="P470" s="116"/>
      <c r="Q470" s="116"/>
      <c r="R470" s="50" t="s">
        <v>26086</v>
      </c>
      <c r="S470" s="50">
        <v>4.0</v>
      </c>
      <c r="T470" s="50" t="s">
        <v>22634</v>
      </c>
      <c r="U470" s="117">
        <v>5746.0</v>
      </c>
      <c r="V470" s="50" t="s">
        <v>26087</v>
      </c>
      <c r="W470" s="50" t="s">
        <v>26088</v>
      </c>
      <c r="X470" s="117">
        <v>475.0</v>
      </c>
    </row>
    <row r="471">
      <c r="A471" s="50" t="s">
        <v>26084</v>
      </c>
      <c r="B471" s="50" t="s">
        <v>6876</v>
      </c>
      <c r="C471" s="50" t="s">
        <v>6877</v>
      </c>
      <c r="D471" s="50" t="s">
        <v>11623</v>
      </c>
      <c r="E471" s="50" t="s">
        <v>26091</v>
      </c>
      <c r="F471" s="50">
        <v>59.0</v>
      </c>
      <c r="G471" s="50">
        <v>1.0</v>
      </c>
      <c r="H471" s="50">
        <v>11.0</v>
      </c>
      <c r="I471" s="50" t="s">
        <v>1690</v>
      </c>
      <c r="J471" s="50" t="s">
        <v>1690</v>
      </c>
      <c r="K471" s="50" t="s">
        <v>26008</v>
      </c>
      <c r="L471" s="50" t="s">
        <v>12962</v>
      </c>
      <c r="M471" s="50" t="s">
        <v>26066</v>
      </c>
      <c r="N471" s="50" t="s">
        <v>13191</v>
      </c>
      <c r="O471" s="50">
        <v>1.0</v>
      </c>
      <c r="P471" s="144">
        <v>43796.0</v>
      </c>
      <c r="Q471" s="116"/>
      <c r="R471" s="116"/>
      <c r="S471" s="50">
        <v>4.0</v>
      </c>
      <c r="T471" s="50" t="s">
        <v>22634</v>
      </c>
      <c r="U471" s="117">
        <v>5747.0</v>
      </c>
      <c r="V471" s="50" t="s">
        <v>26093</v>
      </c>
      <c r="W471" s="50" t="s">
        <v>26094</v>
      </c>
      <c r="X471" s="117">
        <v>476.0</v>
      </c>
    </row>
    <row r="472">
      <c r="A472" s="50" t="s">
        <v>26091</v>
      </c>
      <c r="B472" s="50" t="s">
        <v>6876</v>
      </c>
      <c r="C472" s="50" t="s">
        <v>6877</v>
      </c>
      <c r="D472" s="50" t="s">
        <v>11623</v>
      </c>
      <c r="E472" s="50" t="s">
        <v>26095</v>
      </c>
      <c r="F472" s="50">
        <v>59.0</v>
      </c>
      <c r="G472" s="50">
        <v>1.0</v>
      </c>
      <c r="H472" s="50">
        <v>99.0</v>
      </c>
      <c r="I472" s="50" t="s">
        <v>1692</v>
      </c>
      <c r="J472" s="50" t="s">
        <v>1692</v>
      </c>
      <c r="K472" s="50" t="s">
        <v>13024</v>
      </c>
      <c r="L472" s="50" t="s">
        <v>13055</v>
      </c>
      <c r="M472" s="50" t="s">
        <v>13180</v>
      </c>
      <c r="N472" s="50" t="s">
        <v>26098</v>
      </c>
      <c r="O472" s="50">
        <v>0.0</v>
      </c>
      <c r="P472" s="116"/>
      <c r="Q472" s="116"/>
      <c r="R472" s="50" t="s">
        <v>26099</v>
      </c>
      <c r="S472" s="50">
        <v>4.0</v>
      </c>
      <c r="T472" s="50" t="s">
        <v>22634</v>
      </c>
      <c r="U472" s="117">
        <v>5748.0</v>
      </c>
      <c r="V472" s="50" t="s">
        <v>26101</v>
      </c>
      <c r="W472" s="50" t="s">
        <v>26102</v>
      </c>
      <c r="X472" s="117">
        <v>477.0</v>
      </c>
    </row>
    <row r="473">
      <c r="A473" s="50" t="s">
        <v>26095</v>
      </c>
      <c r="B473" s="50" t="s">
        <v>6876</v>
      </c>
      <c r="C473" s="50" t="s">
        <v>6877</v>
      </c>
      <c r="D473" s="50" t="s">
        <v>11623</v>
      </c>
      <c r="E473" s="50" t="s">
        <v>26103</v>
      </c>
      <c r="F473" s="50">
        <v>33.0</v>
      </c>
      <c r="G473" s="50">
        <v>1.0</v>
      </c>
      <c r="H473" s="50">
        <v>98.0</v>
      </c>
      <c r="I473" s="50" t="s">
        <v>1693</v>
      </c>
      <c r="J473" s="50" t="s">
        <v>1693</v>
      </c>
      <c r="K473" s="50" t="s">
        <v>12980</v>
      </c>
      <c r="L473" s="50" t="s">
        <v>13024</v>
      </c>
      <c r="M473" s="50" t="s">
        <v>26104</v>
      </c>
      <c r="N473" s="50" t="s">
        <v>26105</v>
      </c>
      <c r="O473" s="50">
        <v>0.0</v>
      </c>
      <c r="P473" s="116"/>
      <c r="Q473" s="116"/>
      <c r="R473" s="50" t="s">
        <v>23528</v>
      </c>
      <c r="S473" s="50">
        <v>7.0</v>
      </c>
      <c r="T473" s="50" t="s">
        <v>22634</v>
      </c>
      <c r="U473" s="117">
        <v>5749.0</v>
      </c>
      <c r="V473" s="50" t="s">
        <v>26107</v>
      </c>
      <c r="W473" s="50" t="s">
        <v>26108</v>
      </c>
      <c r="X473" s="117">
        <v>478.0</v>
      </c>
    </row>
    <row r="474">
      <c r="A474" s="50" t="s">
        <v>26103</v>
      </c>
      <c r="B474" s="50" t="s">
        <v>6876</v>
      </c>
      <c r="C474" s="50" t="s">
        <v>6877</v>
      </c>
      <c r="D474" s="50" t="s">
        <v>11623</v>
      </c>
      <c r="E474" s="50" t="s">
        <v>26110</v>
      </c>
      <c r="F474" s="50">
        <v>58.0</v>
      </c>
      <c r="G474" s="50">
        <v>1.0</v>
      </c>
      <c r="H474" s="50">
        <v>99.0</v>
      </c>
      <c r="I474" s="50" t="s">
        <v>1696</v>
      </c>
      <c r="J474" s="50" t="s">
        <v>1696</v>
      </c>
      <c r="K474" s="50" t="s">
        <v>26112</v>
      </c>
      <c r="L474" s="50" t="s">
        <v>26067</v>
      </c>
      <c r="M474" s="50" t="s">
        <v>26113</v>
      </c>
      <c r="N474" s="50" t="s">
        <v>13192</v>
      </c>
      <c r="O474" s="50">
        <v>1.0</v>
      </c>
      <c r="P474" s="144">
        <v>43797.0</v>
      </c>
      <c r="Q474" s="116"/>
      <c r="R474" s="50" t="s">
        <v>26114</v>
      </c>
      <c r="S474" s="50">
        <v>4.0</v>
      </c>
      <c r="T474" s="50" t="s">
        <v>22634</v>
      </c>
      <c r="U474" s="117">
        <v>5750.0</v>
      </c>
      <c r="V474" s="50" t="s">
        <v>26115</v>
      </c>
      <c r="W474" s="50" t="s">
        <v>26116</v>
      </c>
      <c r="X474" s="117">
        <v>479.0</v>
      </c>
    </row>
    <row r="475">
      <c r="A475" s="50" t="s">
        <v>26110</v>
      </c>
      <c r="B475" s="50" t="s">
        <v>6876</v>
      </c>
      <c r="C475" s="50" t="s">
        <v>6877</v>
      </c>
      <c r="D475" s="50" t="s">
        <v>11623</v>
      </c>
      <c r="E475" s="50" t="s">
        <v>26117</v>
      </c>
      <c r="F475" s="50">
        <v>33.0</v>
      </c>
      <c r="G475" s="50">
        <v>1.0</v>
      </c>
      <c r="H475" s="50">
        <v>98.0</v>
      </c>
      <c r="I475" s="50" t="s">
        <v>1697</v>
      </c>
      <c r="J475" s="50" t="s">
        <v>1697</v>
      </c>
      <c r="K475" s="50" t="s">
        <v>26040</v>
      </c>
      <c r="L475" s="50" t="s">
        <v>26112</v>
      </c>
      <c r="M475" s="50" t="s">
        <v>26120</v>
      </c>
      <c r="N475" s="50" t="s">
        <v>26121</v>
      </c>
      <c r="O475" s="50">
        <v>0.0</v>
      </c>
      <c r="P475" s="116"/>
      <c r="Q475" s="116"/>
      <c r="R475" s="50" t="s">
        <v>23528</v>
      </c>
      <c r="S475" s="50">
        <v>7.0</v>
      </c>
      <c r="T475" s="50" t="s">
        <v>22634</v>
      </c>
      <c r="U475" s="117">
        <v>5751.0</v>
      </c>
      <c r="V475" s="50" t="s">
        <v>26123</v>
      </c>
      <c r="W475" s="50" t="s">
        <v>26124</v>
      </c>
      <c r="X475" s="117">
        <v>480.0</v>
      </c>
    </row>
    <row r="476">
      <c r="A476" s="50" t="s">
        <v>26125</v>
      </c>
      <c r="B476" s="50" t="s">
        <v>6876</v>
      </c>
      <c r="C476" s="50" t="s">
        <v>6877</v>
      </c>
      <c r="D476" s="50" t="s">
        <v>11623</v>
      </c>
      <c r="E476" s="50" t="s">
        <v>26126</v>
      </c>
      <c r="F476" s="50">
        <v>58.0</v>
      </c>
      <c r="G476" s="50">
        <v>1.0</v>
      </c>
      <c r="H476" s="50">
        <v>11.0</v>
      </c>
      <c r="I476" s="50" t="s">
        <v>1704</v>
      </c>
      <c r="J476" s="50" t="s">
        <v>1704</v>
      </c>
      <c r="K476" s="50" t="s">
        <v>13182</v>
      </c>
      <c r="L476" s="50" t="s">
        <v>26128</v>
      </c>
      <c r="M476" s="50" t="s">
        <v>26130</v>
      </c>
      <c r="N476" s="50" t="s">
        <v>26131</v>
      </c>
      <c r="O476" s="50">
        <v>1.0</v>
      </c>
      <c r="P476" s="144">
        <v>43798.0</v>
      </c>
      <c r="Q476" s="116"/>
      <c r="R476" s="116"/>
      <c r="S476" s="50">
        <v>4.0</v>
      </c>
      <c r="T476" s="50" t="s">
        <v>22634</v>
      </c>
      <c r="U476" s="117">
        <v>5930.0</v>
      </c>
      <c r="V476" s="50" t="s">
        <v>26133</v>
      </c>
      <c r="W476" s="50" t="s">
        <v>26134</v>
      </c>
      <c r="X476" s="117">
        <v>481.0</v>
      </c>
    </row>
    <row r="477">
      <c r="A477" s="50" t="s">
        <v>26126</v>
      </c>
      <c r="B477" s="50" t="s">
        <v>6876</v>
      </c>
      <c r="C477" s="50" t="s">
        <v>6877</v>
      </c>
      <c r="D477" s="50" t="s">
        <v>11623</v>
      </c>
      <c r="E477" s="50" t="s">
        <v>26135</v>
      </c>
      <c r="F477" s="50">
        <v>58.0</v>
      </c>
      <c r="G477" s="50">
        <v>1.0</v>
      </c>
      <c r="H477" s="50">
        <v>99.0</v>
      </c>
      <c r="I477" s="50" t="s">
        <v>314</v>
      </c>
      <c r="J477" s="50" t="s">
        <v>314</v>
      </c>
      <c r="K477" s="50" t="s">
        <v>26136</v>
      </c>
      <c r="L477" s="50" t="s">
        <v>13182</v>
      </c>
      <c r="M477" s="50" t="s">
        <v>13221</v>
      </c>
      <c r="N477" s="50" t="s">
        <v>17894</v>
      </c>
      <c r="O477" s="50">
        <v>0.0</v>
      </c>
      <c r="P477" s="116"/>
      <c r="Q477" s="116"/>
      <c r="R477" s="50" t="s">
        <v>26137</v>
      </c>
      <c r="S477" s="50">
        <v>4.0</v>
      </c>
      <c r="T477" s="50" t="s">
        <v>22634</v>
      </c>
      <c r="U477" s="117">
        <v>5931.0</v>
      </c>
      <c r="V477" s="50" t="s">
        <v>26140</v>
      </c>
      <c r="W477" s="50" t="s">
        <v>26141</v>
      </c>
      <c r="X477" s="117">
        <v>482.0</v>
      </c>
    </row>
    <row r="478">
      <c r="A478" s="50" t="s">
        <v>26135</v>
      </c>
      <c r="B478" s="50" t="s">
        <v>6876</v>
      </c>
      <c r="C478" s="50" t="s">
        <v>6877</v>
      </c>
      <c r="D478" s="50" t="s">
        <v>11623</v>
      </c>
      <c r="E478" s="50" t="s">
        <v>26143</v>
      </c>
      <c r="F478" s="50">
        <v>59.0</v>
      </c>
      <c r="G478" s="50">
        <v>1.0</v>
      </c>
      <c r="H478" s="50">
        <v>11.0</v>
      </c>
      <c r="I478" s="50" t="s">
        <v>1705</v>
      </c>
      <c r="J478" s="50" t="s">
        <v>1705</v>
      </c>
      <c r="K478" s="50" t="s">
        <v>26144</v>
      </c>
      <c r="L478" s="50" t="s">
        <v>26128</v>
      </c>
      <c r="M478" s="50" t="s">
        <v>26130</v>
      </c>
      <c r="N478" s="50" t="s">
        <v>26145</v>
      </c>
      <c r="O478" s="50">
        <v>1.0</v>
      </c>
      <c r="P478" s="144">
        <v>43798.0</v>
      </c>
      <c r="Q478" s="116"/>
      <c r="R478" s="116"/>
      <c r="S478" s="50">
        <v>7.0</v>
      </c>
      <c r="T478" s="50" t="s">
        <v>22634</v>
      </c>
      <c r="U478" s="117">
        <v>5932.0</v>
      </c>
      <c r="V478" s="50" t="s">
        <v>26146</v>
      </c>
      <c r="W478" s="50" t="s">
        <v>26147</v>
      </c>
      <c r="X478" s="117">
        <v>483.0</v>
      </c>
    </row>
    <row r="479">
      <c r="A479" s="50" t="s">
        <v>26143</v>
      </c>
      <c r="B479" s="50" t="s">
        <v>6876</v>
      </c>
      <c r="C479" s="50" t="s">
        <v>6877</v>
      </c>
      <c r="D479" s="50" t="s">
        <v>11623</v>
      </c>
      <c r="E479" s="50" t="s">
        <v>26150</v>
      </c>
      <c r="F479" s="50">
        <v>59.0</v>
      </c>
      <c r="G479" s="50">
        <v>1.0</v>
      </c>
      <c r="H479" s="50">
        <v>99.0</v>
      </c>
      <c r="I479" s="50" t="s">
        <v>316</v>
      </c>
      <c r="J479" s="50" t="s">
        <v>316</v>
      </c>
      <c r="K479" s="50" t="s">
        <v>26136</v>
      </c>
      <c r="L479" s="50" t="s">
        <v>13182</v>
      </c>
      <c r="M479" s="50" t="s">
        <v>13221</v>
      </c>
      <c r="N479" s="50" t="s">
        <v>26152</v>
      </c>
      <c r="O479" s="50">
        <v>0.0</v>
      </c>
      <c r="P479" s="116"/>
      <c r="Q479" s="116"/>
      <c r="R479" s="50" t="s">
        <v>26153</v>
      </c>
      <c r="S479" s="50">
        <v>7.0</v>
      </c>
      <c r="T479" s="50" t="s">
        <v>22634</v>
      </c>
      <c r="U479" s="117">
        <v>5933.0</v>
      </c>
      <c r="V479" s="50" t="s">
        <v>26154</v>
      </c>
      <c r="W479" s="50" t="s">
        <v>26155</v>
      </c>
      <c r="X479" s="117">
        <v>484.0</v>
      </c>
    </row>
    <row r="480">
      <c r="A480" s="50" t="s">
        <v>26150</v>
      </c>
      <c r="B480" s="50" t="s">
        <v>6876</v>
      </c>
      <c r="C480" s="50" t="s">
        <v>6877</v>
      </c>
      <c r="D480" s="50" t="s">
        <v>11623</v>
      </c>
      <c r="E480" s="50" t="s">
        <v>26156</v>
      </c>
      <c r="F480" s="50">
        <v>66.0</v>
      </c>
      <c r="G480" s="50">
        <v>1.0</v>
      </c>
      <c r="H480" s="50">
        <v>12.0</v>
      </c>
      <c r="I480" s="50" t="s">
        <v>1700</v>
      </c>
      <c r="J480" s="50" t="s">
        <v>1700</v>
      </c>
      <c r="K480" s="50" t="s">
        <v>26159</v>
      </c>
      <c r="L480" s="50" t="s">
        <v>26160</v>
      </c>
      <c r="M480" s="50" t="s">
        <v>13212</v>
      </c>
      <c r="N480" s="50" t="s">
        <v>26161</v>
      </c>
      <c r="O480" s="50">
        <v>1.0</v>
      </c>
      <c r="P480" s="144">
        <v>43798.0</v>
      </c>
      <c r="Q480" s="116"/>
      <c r="R480" s="116"/>
      <c r="S480" s="50">
        <v>7.0</v>
      </c>
      <c r="T480" s="50" t="s">
        <v>22634</v>
      </c>
      <c r="U480" s="117">
        <v>5934.0</v>
      </c>
      <c r="V480" s="50" t="s">
        <v>26163</v>
      </c>
      <c r="W480" s="50" t="s">
        <v>26164</v>
      </c>
      <c r="X480" s="117">
        <v>485.0</v>
      </c>
    </row>
    <row r="481">
      <c r="A481" s="50" t="s">
        <v>26156</v>
      </c>
      <c r="B481" s="50" t="s">
        <v>6876</v>
      </c>
      <c r="C481" s="50" t="s">
        <v>6877</v>
      </c>
      <c r="D481" s="50" t="s">
        <v>11623</v>
      </c>
      <c r="E481" s="50" t="s">
        <v>26165</v>
      </c>
      <c r="F481" s="50">
        <v>66.0</v>
      </c>
      <c r="G481" s="50">
        <v>1.0</v>
      </c>
      <c r="H481" s="50">
        <v>99.0</v>
      </c>
      <c r="I481" s="50" t="s">
        <v>318</v>
      </c>
      <c r="J481" s="50" t="s">
        <v>318</v>
      </c>
      <c r="K481" s="50" t="s">
        <v>26136</v>
      </c>
      <c r="L481" s="50" t="s">
        <v>13182</v>
      </c>
      <c r="M481" s="50" t="s">
        <v>13221</v>
      </c>
      <c r="N481" s="50" t="s">
        <v>26166</v>
      </c>
      <c r="O481" s="50">
        <v>0.0</v>
      </c>
      <c r="P481" s="116"/>
      <c r="Q481" s="116"/>
      <c r="R481" s="50" t="s">
        <v>26167</v>
      </c>
      <c r="S481" s="50">
        <v>7.0</v>
      </c>
      <c r="T481" s="50" t="s">
        <v>22634</v>
      </c>
      <c r="U481" s="117">
        <v>5935.0</v>
      </c>
      <c r="V481" s="50" t="s">
        <v>26170</v>
      </c>
      <c r="W481" s="50" t="s">
        <v>26171</v>
      </c>
      <c r="X481" s="117">
        <v>486.0</v>
      </c>
    </row>
    <row r="482">
      <c r="A482" s="50" t="s">
        <v>26172</v>
      </c>
      <c r="B482" s="50" t="s">
        <v>6876</v>
      </c>
      <c r="C482" s="50" t="s">
        <v>6877</v>
      </c>
      <c r="D482" s="50" t="s">
        <v>11623</v>
      </c>
      <c r="E482" s="50" t="s">
        <v>26174</v>
      </c>
      <c r="F482" s="50">
        <v>59.0</v>
      </c>
      <c r="G482" s="50">
        <v>1.0</v>
      </c>
      <c r="H482" s="50">
        <v>12.0</v>
      </c>
      <c r="I482" s="50" t="s">
        <v>1701</v>
      </c>
      <c r="J482" s="50" t="s">
        <v>1701</v>
      </c>
      <c r="K482" s="50" t="s">
        <v>26159</v>
      </c>
      <c r="L482" s="50" t="s">
        <v>13211</v>
      </c>
      <c r="M482" s="50" t="s">
        <v>13212</v>
      </c>
      <c r="N482" s="50" t="s">
        <v>26175</v>
      </c>
      <c r="O482" s="50">
        <v>1.0</v>
      </c>
      <c r="P482" s="144">
        <v>43798.0</v>
      </c>
      <c r="Q482" s="116"/>
      <c r="R482" s="116"/>
      <c r="S482" s="50">
        <v>4.0</v>
      </c>
      <c r="T482" s="50" t="s">
        <v>22634</v>
      </c>
      <c r="U482" s="117">
        <v>5936.0</v>
      </c>
      <c r="V482" s="50" t="s">
        <v>26176</v>
      </c>
      <c r="W482" s="50" t="s">
        <v>26177</v>
      </c>
      <c r="X482" s="117">
        <v>487.0</v>
      </c>
    </row>
    <row r="483">
      <c r="A483" s="50" t="s">
        <v>26174</v>
      </c>
      <c r="B483" s="50" t="s">
        <v>6876</v>
      </c>
      <c r="C483" s="50" t="s">
        <v>6877</v>
      </c>
      <c r="D483" s="50" t="s">
        <v>11623</v>
      </c>
      <c r="E483" s="50" t="s">
        <v>26180</v>
      </c>
      <c r="F483" s="50">
        <v>59.0</v>
      </c>
      <c r="G483" s="50">
        <v>1.0</v>
      </c>
      <c r="H483" s="50">
        <v>99.0</v>
      </c>
      <c r="I483" s="50" t="s">
        <v>320</v>
      </c>
      <c r="J483" s="50" t="s">
        <v>320</v>
      </c>
      <c r="K483" s="50" t="s">
        <v>26136</v>
      </c>
      <c r="L483" s="50" t="s">
        <v>13182</v>
      </c>
      <c r="M483" s="50" t="s">
        <v>13221</v>
      </c>
      <c r="N483" s="50" t="s">
        <v>26183</v>
      </c>
      <c r="O483" s="50">
        <v>1.0</v>
      </c>
      <c r="P483" s="144">
        <v>43798.0</v>
      </c>
      <c r="Q483" s="116"/>
      <c r="R483" s="50" t="s">
        <v>26184</v>
      </c>
      <c r="S483" s="50">
        <v>4.0</v>
      </c>
      <c r="T483" s="50" t="s">
        <v>22634</v>
      </c>
      <c r="U483" s="117">
        <v>5937.0</v>
      </c>
      <c r="V483" s="50" t="s">
        <v>26185</v>
      </c>
      <c r="W483" s="50" t="s">
        <v>26186</v>
      </c>
      <c r="X483" s="117">
        <v>488.0</v>
      </c>
    </row>
    <row r="484">
      <c r="A484" s="50" t="s">
        <v>26180</v>
      </c>
      <c r="B484" s="50" t="s">
        <v>6876</v>
      </c>
      <c r="C484" s="50" t="s">
        <v>6877</v>
      </c>
      <c r="D484" s="50" t="s">
        <v>11623</v>
      </c>
      <c r="E484" s="50" t="s">
        <v>26188</v>
      </c>
      <c r="F484" s="50">
        <v>33.0</v>
      </c>
      <c r="G484" s="50">
        <v>1.0</v>
      </c>
      <c r="H484" s="50">
        <v>98.0</v>
      </c>
      <c r="I484" s="50" t="s">
        <v>1707</v>
      </c>
      <c r="J484" s="50" t="s">
        <v>1707</v>
      </c>
      <c r="K484" s="50" t="s">
        <v>13277</v>
      </c>
      <c r="L484" s="50" t="s">
        <v>26189</v>
      </c>
      <c r="M484" s="50" t="s">
        <v>26191</v>
      </c>
      <c r="N484" s="50" t="s">
        <v>26193</v>
      </c>
      <c r="O484" s="50">
        <v>0.0</v>
      </c>
      <c r="P484" s="116"/>
      <c r="Q484" s="116"/>
      <c r="R484" s="116"/>
      <c r="S484" s="50">
        <v>7.0</v>
      </c>
      <c r="T484" s="50" t="s">
        <v>22634</v>
      </c>
      <c r="U484" s="117">
        <v>5938.0</v>
      </c>
      <c r="V484" s="50" t="s">
        <v>26195</v>
      </c>
      <c r="W484" s="50" t="s">
        <v>26196</v>
      </c>
      <c r="X484" s="117">
        <v>489.0</v>
      </c>
    </row>
    <row r="485">
      <c r="A485" s="50" t="s">
        <v>26188</v>
      </c>
      <c r="B485" s="50" t="s">
        <v>6876</v>
      </c>
      <c r="C485" s="50" t="s">
        <v>6877</v>
      </c>
      <c r="D485" s="50" t="s">
        <v>11623</v>
      </c>
      <c r="E485" s="50" t="s">
        <v>26197</v>
      </c>
      <c r="F485" s="50">
        <v>59.0</v>
      </c>
      <c r="G485" s="50">
        <v>1.0</v>
      </c>
      <c r="H485" s="50">
        <v>11.0</v>
      </c>
      <c r="I485" s="50" t="s">
        <v>1709</v>
      </c>
      <c r="J485" s="50" t="s">
        <v>1709</v>
      </c>
      <c r="K485" s="50" t="s">
        <v>26198</v>
      </c>
      <c r="L485" s="50" t="s">
        <v>26199</v>
      </c>
      <c r="M485" s="50" t="s">
        <v>26200</v>
      </c>
      <c r="N485" s="50" t="s">
        <v>26201</v>
      </c>
      <c r="O485" s="50">
        <v>1.0</v>
      </c>
      <c r="P485" s="144">
        <v>43802.0</v>
      </c>
      <c r="Q485" s="116"/>
      <c r="R485" s="116"/>
      <c r="S485" s="50">
        <v>4.0</v>
      </c>
      <c r="T485" s="50" t="s">
        <v>22634</v>
      </c>
      <c r="U485" s="117">
        <v>5939.0</v>
      </c>
      <c r="V485" s="50" t="s">
        <v>26204</v>
      </c>
      <c r="W485" s="50" t="s">
        <v>26205</v>
      </c>
      <c r="X485" s="117">
        <v>490.0</v>
      </c>
    </row>
    <row r="486">
      <c r="A486" s="50" t="s">
        <v>26197</v>
      </c>
      <c r="B486" s="50" t="s">
        <v>6876</v>
      </c>
      <c r="C486" s="50" t="s">
        <v>6877</v>
      </c>
      <c r="D486" s="50" t="s">
        <v>11623</v>
      </c>
      <c r="E486" s="50" t="s">
        <v>26206</v>
      </c>
      <c r="F486" s="50">
        <v>59.0</v>
      </c>
      <c r="G486" s="50">
        <v>1.0</v>
      </c>
      <c r="H486" s="50">
        <v>99.0</v>
      </c>
      <c r="I486" s="50" t="s">
        <v>1711</v>
      </c>
      <c r="J486" s="50" t="s">
        <v>1711</v>
      </c>
      <c r="K486" s="50" t="s">
        <v>26191</v>
      </c>
      <c r="L486" s="50" t="s">
        <v>13221</v>
      </c>
      <c r="M486" s="50" t="s">
        <v>13290</v>
      </c>
      <c r="N486" s="50" t="s">
        <v>26208</v>
      </c>
      <c r="O486" s="50">
        <v>0.0</v>
      </c>
      <c r="P486" s="116"/>
      <c r="Q486" s="116"/>
      <c r="R486" s="50" t="s">
        <v>26209</v>
      </c>
      <c r="S486" s="50">
        <v>4.0</v>
      </c>
      <c r="T486" s="50" t="s">
        <v>22634</v>
      </c>
      <c r="U486" s="117">
        <v>5940.0</v>
      </c>
      <c r="V486" s="50" t="s">
        <v>26210</v>
      </c>
      <c r="W486" s="50" t="s">
        <v>26211</v>
      </c>
      <c r="X486" s="117">
        <v>491.0</v>
      </c>
    </row>
    <row r="487">
      <c r="A487" s="50" t="s">
        <v>26212</v>
      </c>
      <c r="B487" s="50" t="s">
        <v>6876</v>
      </c>
      <c r="C487" s="50" t="s">
        <v>6877</v>
      </c>
      <c r="D487" s="50" t="s">
        <v>11623</v>
      </c>
      <c r="E487" s="50" t="s">
        <v>26213</v>
      </c>
      <c r="F487" s="50">
        <v>59.0</v>
      </c>
      <c r="G487" s="50">
        <v>1.0</v>
      </c>
      <c r="H487" s="50">
        <v>11.0</v>
      </c>
      <c r="I487" s="50" t="s">
        <v>1712</v>
      </c>
      <c r="J487" s="50" t="s">
        <v>1712</v>
      </c>
      <c r="K487" s="50" t="s">
        <v>26198</v>
      </c>
      <c r="L487" s="50" t="s">
        <v>26199</v>
      </c>
      <c r="M487" s="50" t="s">
        <v>26200</v>
      </c>
      <c r="N487" s="50" t="s">
        <v>26216</v>
      </c>
      <c r="O487" s="50">
        <v>1.0</v>
      </c>
      <c r="P487" s="144">
        <v>43802.0</v>
      </c>
      <c r="Q487" s="116"/>
      <c r="R487" s="116"/>
      <c r="S487" s="50">
        <v>4.0</v>
      </c>
      <c r="T487" s="50" t="s">
        <v>22634</v>
      </c>
      <c r="U487" s="117">
        <v>5941.0</v>
      </c>
      <c r="V487" s="50" t="s">
        <v>26218</v>
      </c>
      <c r="W487" s="50" t="s">
        <v>26219</v>
      </c>
      <c r="X487" s="117">
        <v>492.0</v>
      </c>
    </row>
    <row r="488">
      <c r="A488" s="50" t="s">
        <v>26213</v>
      </c>
      <c r="B488" s="50" t="s">
        <v>6876</v>
      </c>
      <c r="C488" s="50" t="s">
        <v>6877</v>
      </c>
      <c r="D488" s="50" t="s">
        <v>11623</v>
      </c>
      <c r="E488" s="50" t="s">
        <v>26220</v>
      </c>
      <c r="F488" s="50">
        <v>59.0</v>
      </c>
      <c r="G488" s="50">
        <v>1.0</v>
      </c>
      <c r="H488" s="50">
        <v>99.0</v>
      </c>
      <c r="I488" s="50" t="s">
        <v>1714</v>
      </c>
      <c r="J488" s="50" t="s">
        <v>1714</v>
      </c>
      <c r="K488" s="50" t="s">
        <v>26191</v>
      </c>
      <c r="L488" s="50" t="s">
        <v>13221</v>
      </c>
      <c r="M488" s="50" t="s">
        <v>13290</v>
      </c>
      <c r="N488" s="50" t="s">
        <v>26221</v>
      </c>
      <c r="O488" s="50">
        <v>1.0</v>
      </c>
      <c r="P488" s="144">
        <v>43802.0</v>
      </c>
      <c r="Q488" s="116"/>
      <c r="R488" s="50" t="s">
        <v>26222</v>
      </c>
      <c r="S488" s="50">
        <v>4.0</v>
      </c>
      <c r="T488" s="50" t="s">
        <v>22634</v>
      </c>
      <c r="U488" s="117">
        <v>5942.0</v>
      </c>
      <c r="V488" s="50" t="s">
        <v>26225</v>
      </c>
      <c r="W488" s="50" t="s">
        <v>26226</v>
      </c>
      <c r="X488" s="117">
        <v>493.0</v>
      </c>
    </row>
    <row r="489">
      <c r="A489" s="50" t="s">
        <v>26220</v>
      </c>
      <c r="B489" s="50" t="s">
        <v>6876</v>
      </c>
      <c r="C489" s="50" t="s">
        <v>6877</v>
      </c>
      <c r="D489" s="50" t="s">
        <v>11623</v>
      </c>
      <c r="E489" s="50" t="s">
        <v>26228</v>
      </c>
      <c r="F489" s="50">
        <v>59.0</v>
      </c>
      <c r="G489" s="50">
        <v>1.0</v>
      </c>
      <c r="H489" s="50">
        <v>11.0</v>
      </c>
      <c r="I489" s="50" t="s">
        <v>1715</v>
      </c>
      <c r="J489" s="50" t="s">
        <v>1715</v>
      </c>
      <c r="K489" s="50" t="s">
        <v>26198</v>
      </c>
      <c r="L489" s="50" t="s">
        <v>26199</v>
      </c>
      <c r="M489" s="50" t="s">
        <v>26200</v>
      </c>
      <c r="N489" s="50" t="s">
        <v>26229</v>
      </c>
      <c r="O489" s="50">
        <v>1.0</v>
      </c>
      <c r="P489" s="144">
        <v>43802.0</v>
      </c>
      <c r="Q489" s="116"/>
      <c r="R489" s="116"/>
      <c r="S489" s="50">
        <v>4.0</v>
      </c>
      <c r="T489" s="50" t="s">
        <v>22634</v>
      </c>
      <c r="U489" s="117">
        <v>5943.0</v>
      </c>
      <c r="V489" s="50" t="s">
        <v>26230</v>
      </c>
      <c r="W489" s="50" t="s">
        <v>26231</v>
      </c>
      <c r="X489" s="117">
        <v>494.0</v>
      </c>
    </row>
    <row r="490">
      <c r="A490" s="50" t="s">
        <v>26228</v>
      </c>
      <c r="B490" s="50" t="s">
        <v>6876</v>
      </c>
      <c r="C490" s="50" t="s">
        <v>6877</v>
      </c>
      <c r="D490" s="50" t="s">
        <v>11623</v>
      </c>
      <c r="E490" s="50" t="s">
        <v>26232</v>
      </c>
      <c r="F490" s="50">
        <v>59.0</v>
      </c>
      <c r="G490" s="50">
        <v>1.0</v>
      </c>
      <c r="H490" s="50">
        <v>99.0</v>
      </c>
      <c r="I490" s="50" t="s">
        <v>1717</v>
      </c>
      <c r="J490" s="50" t="s">
        <v>1717</v>
      </c>
      <c r="K490" s="50" t="s">
        <v>26191</v>
      </c>
      <c r="L490" s="50" t="s">
        <v>13221</v>
      </c>
      <c r="M490" s="50" t="s">
        <v>13290</v>
      </c>
      <c r="N490" s="50" t="s">
        <v>26235</v>
      </c>
      <c r="O490" s="50">
        <v>0.0</v>
      </c>
      <c r="P490" s="116"/>
      <c r="Q490" s="116"/>
      <c r="R490" s="50" t="s">
        <v>26237</v>
      </c>
      <c r="S490" s="50">
        <v>4.0</v>
      </c>
      <c r="T490" s="50" t="s">
        <v>22634</v>
      </c>
      <c r="U490" s="117">
        <v>5944.0</v>
      </c>
      <c r="V490" s="50" t="s">
        <v>26238</v>
      </c>
      <c r="W490" s="50" t="s">
        <v>26239</v>
      </c>
      <c r="X490" s="117">
        <v>495.0</v>
      </c>
    </row>
    <row r="491">
      <c r="A491" s="50" t="s">
        <v>26232</v>
      </c>
      <c r="B491" s="50" t="s">
        <v>6876</v>
      </c>
      <c r="C491" s="50" t="s">
        <v>6877</v>
      </c>
      <c r="D491" s="50" t="s">
        <v>11623</v>
      </c>
      <c r="E491" s="50" t="s">
        <v>26240</v>
      </c>
      <c r="F491" s="50">
        <v>33.0</v>
      </c>
      <c r="G491" s="50">
        <v>1.0</v>
      </c>
      <c r="H491" s="50">
        <v>98.0</v>
      </c>
      <c r="I491" s="50" t="s">
        <v>1719</v>
      </c>
      <c r="J491" s="50" t="s">
        <v>1719</v>
      </c>
      <c r="K491" s="50" t="s">
        <v>26241</v>
      </c>
      <c r="L491" s="50" t="s">
        <v>26242</v>
      </c>
      <c r="M491" s="50" t="s">
        <v>26243</v>
      </c>
      <c r="N491" s="50" t="s">
        <v>26244</v>
      </c>
      <c r="O491" s="50">
        <v>0.0</v>
      </c>
      <c r="P491" s="116"/>
      <c r="Q491" s="116"/>
      <c r="R491" s="116"/>
      <c r="S491" s="50">
        <v>4.0</v>
      </c>
      <c r="T491" s="50" t="s">
        <v>22634</v>
      </c>
      <c r="U491" s="117">
        <v>5945.0</v>
      </c>
      <c r="V491" s="50" t="s">
        <v>26247</v>
      </c>
      <c r="W491" s="50" t="s">
        <v>26248</v>
      </c>
      <c r="X491" s="117">
        <v>496.0</v>
      </c>
    </row>
    <row r="492">
      <c r="A492" s="50" t="s">
        <v>26240</v>
      </c>
      <c r="B492" s="50" t="s">
        <v>6876</v>
      </c>
      <c r="C492" s="50" t="s">
        <v>6877</v>
      </c>
      <c r="D492" s="50" t="s">
        <v>11623</v>
      </c>
      <c r="E492" s="50" t="s">
        <v>26250</v>
      </c>
      <c r="F492" s="50">
        <v>59.0</v>
      </c>
      <c r="G492" s="50">
        <v>1.0</v>
      </c>
      <c r="H492" s="50">
        <v>11.0</v>
      </c>
      <c r="I492" s="50" t="s">
        <v>1720</v>
      </c>
      <c r="J492" s="50" t="s">
        <v>1720</v>
      </c>
      <c r="K492" s="50" t="s">
        <v>26251</v>
      </c>
      <c r="L492" s="50" t="s">
        <v>26252</v>
      </c>
      <c r="M492" s="50" t="s">
        <v>26253</v>
      </c>
      <c r="N492" s="50" t="s">
        <v>26254</v>
      </c>
      <c r="O492" s="50">
        <v>1.0</v>
      </c>
      <c r="P492" s="144">
        <v>43802.0</v>
      </c>
      <c r="Q492" s="116"/>
      <c r="R492" s="116"/>
      <c r="S492" s="50">
        <v>4.0</v>
      </c>
      <c r="T492" s="50" t="s">
        <v>22634</v>
      </c>
      <c r="U492" s="117">
        <v>5946.0</v>
      </c>
      <c r="V492" s="50" t="s">
        <v>26255</v>
      </c>
      <c r="W492" s="50" t="s">
        <v>26256</v>
      </c>
      <c r="X492" s="117">
        <v>497.0</v>
      </c>
    </row>
    <row r="493">
      <c r="A493" s="50" t="s">
        <v>26250</v>
      </c>
      <c r="B493" s="50" t="s">
        <v>6876</v>
      </c>
      <c r="C493" s="50" t="s">
        <v>6877</v>
      </c>
      <c r="D493" s="50" t="s">
        <v>11623</v>
      </c>
      <c r="E493" s="50" t="s">
        <v>26259</v>
      </c>
      <c r="F493" s="50">
        <v>59.0</v>
      </c>
      <c r="G493" s="50">
        <v>1.0</v>
      </c>
      <c r="H493" s="50">
        <v>99.0</v>
      </c>
      <c r="I493" s="50" t="s">
        <v>1722</v>
      </c>
      <c r="J493" s="50" t="s">
        <v>1722</v>
      </c>
      <c r="K493" s="50" t="s">
        <v>26260</v>
      </c>
      <c r="L493" s="50" t="s">
        <v>26261</v>
      </c>
      <c r="M493" s="50" t="s">
        <v>13458</v>
      </c>
      <c r="N493" s="50" t="s">
        <v>26253</v>
      </c>
      <c r="O493" s="50">
        <v>1.0</v>
      </c>
      <c r="P493" s="144">
        <v>43802.0</v>
      </c>
      <c r="Q493" s="116"/>
      <c r="R493" s="50" t="s">
        <v>26263</v>
      </c>
      <c r="S493" s="50">
        <v>4.0</v>
      </c>
      <c r="T493" s="50" t="s">
        <v>22634</v>
      </c>
      <c r="U493" s="117">
        <v>5947.0</v>
      </c>
      <c r="V493" s="50" t="s">
        <v>26264</v>
      </c>
      <c r="W493" s="50" t="s">
        <v>26265</v>
      </c>
      <c r="X493" s="117">
        <v>498.0</v>
      </c>
    </row>
    <row r="494">
      <c r="A494" s="50" t="s">
        <v>26259</v>
      </c>
      <c r="B494" s="50" t="s">
        <v>6876</v>
      </c>
      <c r="C494" s="50" t="s">
        <v>6877</v>
      </c>
      <c r="D494" s="50" t="s">
        <v>11623</v>
      </c>
      <c r="E494" s="50" t="s">
        <v>26266</v>
      </c>
      <c r="F494" s="50">
        <v>59.0</v>
      </c>
      <c r="G494" s="50">
        <v>1.0</v>
      </c>
      <c r="H494" s="50">
        <v>11.0</v>
      </c>
      <c r="I494" s="50" t="s">
        <v>1723</v>
      </c>
      <c r="J494" s="50" t="s">
        <v>1723</v>
      </c>
      <c r="K494" s="50" t="s">
        <v>26251</v>
      </c>
      <c r="L494" s="50" t="s">
        <v>26252</v>
      </c>
      <c r="M494" s="50" t="s">
        <v>26253</v>
      </c>
      <c r="N494" s="50" t="s">
        <v>26269</v>
      </c>
      <c r="O494" s="50">
        <v>1.0</v>
      </c>
      <c r="P494" s="144">
        <v>43802.0</v>
      </c>
      <c r="Q494" s="116"/>
      <c r="R494" s="116"/>
      <c r="S494" s="50">
        <v>4.0</v>
      </c>
      <c r="T494" s="50" t="s">
        <v>22634</v>
      </c>
      <c r="U494" s="117">
        <v>5948.0</v>
      </c>
      <c r="V494" s="50" t="s">
        <v>26272</v>
      </c>
      <c r="W494" s="50" t="s">
        <v>26273</v>
      </c>
      <c r="X494" s="117">
        <v>499.0</v>
      </c>
    </row>
    <row r="495">
      <c r="A495" s="50" t="s">
        <v>26266</v>
      </c>
      <c r="B495" s="50" t="s">
        <v>6876</v>
      </c>
      <c r="C495" s="50" t="s">
        <v>6877</v>
      </c>
      <c r="D495" s="50" t="s">
        <v>11623</v>
      </c>
      <c r="E495" s="50" t="s">
        <v>26274</v>
      </c>
      <c r="F495" s="50">
        <v>59.0</v>
      </c>
      <c r="G495" s="50">
        <v>1.0</v>
      </c>
      <c r="H495" s="50">
        <v>99.0</v>
      </c>
      <c r="I495" s="50" t="s">
        <v>1725</v>
      </c>
      <c r="J495" s="50" t="s">
        <v>1725</v>
      </c>
      <c r="K495" s="50" t="s">
        <v>26260</v>
      </c>
      <c r="L495" s="50" t="s">
        <v>26261</v>
      </c>
      <c r="M495" s="50" t="s">
        <v>13458</v>
      </c>
      <c r="N495" s="50" t="s">
        <v>26275</v>
      </c>
      <c r="O495" s="50">
        <v>0.0</v>
      </c>
      <c r="P495" s="116"/>
      <c r="Q495" s="116"/>
      <c r="R495" s="50" t="s">
        <v>26276</v>
      </c>
      <c r="S495" s="50">
        <v>4.0</v>
      </c>
      <c r="T495" s="50" t="s">
        <v>22634</v>
      </c>
      <c r="U495" s="117">
        <v>5949.0</v>
      </c>
      <c r="V495" s="50" t="s">
        <v>26278</v>
      </c>
      <c r="W495" s="50" t="s">
        <v>26280</v>
      </c>
      <c r="X495" s="117">
        <v>500.0</v>
      </c>
    </row>
    <row r="496">
      <c r="A496" s="50" t="s">
        <v>26274</v>
      </c>
      <c r="B496" s="50" t="s">
        <v>6876</v>
      </c>
      <c r="C496" s="50" t="s">
        <v>6877</v>
      </c>
      <c r="D496" s="50" t="s">
        <v>11623</v>
      </c>
      <c r="E496" s="50" t="s">
        <v>26281</v>
      </c>
      <c r="F496" s="50">
        <v>33.0</v>
      </c>
      <c r="G496" s="50">
        <v>1.0</v>
      </c>
      <c r="H496" s="50">
        <v>98.0</v>
      </c>
      <c r="I496" s="50" t="s">
        <v>1727</v>
      </c>
      <c r="J496" s="50" t="s">
        <v>1727</v>
      </c>
      <c r="K496" s="50" t="s">
        <v>13374</v>
      </c>
      <c r="L496" s="50" t="s">
        <v>26283</v>
      </c>
      <c r="M496" s="50" t="s">
        <v>26284</v>
      </c>
      <c r="N496" s="50" t="s">
        <v>26285</v>
      </c>
      <c r="O496" s="50">
        <v>0.0</v>
      </c>
      <c r="P496" s="116"/>
      <c r="Q496" s="116"/>
      <c r="R496" s="116"/>
      <c r="S496" s="50">
        <v>4.0</v>
      </c>
      <c r="T496" s="50" t="s">
        <v>22634</v>
      </c>
      <c r="U496" s="117">
        <v>5950.0</v>
      </c>
      <c r="V496" s="50" t="s">
        <v>26286</v>
      </c>
      <c r="W496" s="50" t="s">
        <v>26287</v>
      </c>
      <c r="X496" s="117">
        <v>501.0</v>
      </c>
    </row>
    <row r="497">
      <c r="A497" s="50" t="s">
        <v>26281</v>
      </c>
      <c r="B497" s="50" t="s">
        <v>6876</v>
      </c>
      <c r="C497" s="50" t="s">
        <v>6877</v>
      </c>
      <c r="D497" s="50" t="s">
        <v>11623</v>
      </c>
      <c r="E497" s="50" t="s">
        <v>26289</v>
      </c>
      <c r="F497" s="50">
        <v>57.0</v>
      </c>
      <c r="G497" s="50">
        <v>1.0</v>
      </c>
      <c r="H497" s="50">
        <v>12.0</v>
      </c>
      <c r="I497" s="50" t="s">
        <v>1729</v>
      </c>
      <c r="J497" s="50" t="s">
        <v>1729</v>
      </c>
      <c r="K497" s="50" t="s">
        <v>13375</v>
      </c>
      <c r="L497" s="50" t="s">
        <v>26285</v>
      </c>
      <c r="M497" s="50" t="s">
        <v>26291</v>
      </c>
      <c r="N497" s="50" t="s">
        <v>13546</v>
      </c>
      <c r="O497" s="50">
        <v>0.0</v>
      </c>
      <c r="P497" s="116"/>
      <c r="Q497" s="116"/>
      <c r="R497" s="116"/>
      <c r="S497" s="50">
        <v>6.0</v>
      </c>
      <c r="T497" s="50" t="s">
        <v>22634</v>
      </c>
      <c r="U497" s="117">
        <v>5951.0</v>
      </c>
      <c r="V497" s="50" t="s">
        <v>26293</v>
      </c>
      <c r="W497" s="50" t="s">
        <v>26294</v>
      </c>
      <c r="X497" s="117">
        <v>502.0</v>
      </c>
    </row>
    <row r="498">
      <c r="A498" s="50" t="s">
        <v>26295</v>
      </c>
      <c r="B498" s="50" t="s">
        <v>6876</v>
      </c>
      <c r="C498" s="50" t="s">
        <v>6877</v>
      </c>
      <c r="D498" s="50" t="s">
        <v>11623</v>
      </c>
      <c r="E498" s="50" t="s">
        <v>26296</v>
      </c>
      <c r="F498" s="50">
        <v>57.0</v>
      </c>
      <c r="G498" s="50">
        <v>1.0</v>
      </c>
      <c r="H498" s="50">
        <v>99.0</v>
      </c>
      <c r="I498" s="50" t="s">
        <v>1731</v>
      </c>
      <c r="J498" s="50" t="s">
        <v>1731</v>
      </c>
      <c r="K498" s="50" t="s">
        <v>13457</v>
      </c>
      <c r="L498" s="50" t="s">
        <v>13375</v>
      </c>
      <c r="M498" s="50" t="s">
        <v>13435</v>
      </c>
      <c r="N498" s="50" t="s">
        <v>13545</v>
      </c>
      <c r="O498" s="50">
        <v>0.0</v>
      </c>
      <c r="P498" s="116"/>
      <c r="Q498" s="116"/>
      <c r="R498" s="50" t="s">
        <v>26299</v>
      </c>
      <c r="S498" s="50">
        <v>6.0</v>
      </c>
      <c r="T498" s="50" t="s">
        <v>22634</v>
      </c>
      <c r="U498" s="117">
        <v>5952.0</v>
      </c>
      <c r="V498" s="50" t="s">
        <v>26301</v>
      </c>
      <c r="W498" s="50" t="s">
        <v>26302</v>
      </c>
      <c r="X498" s="117">
        <v>503.0</v>
      </c>
    </row>
    <row r="499">
      <c r="A499" s="50" t="s">
        <v>26296</v>
      </c>
      <c r="B499" s="50" t="s">
        <v>6876</v>
      </c>
      <c r="C499" s="50" t="s">
        <v>6877</v>
      </c>
      <c r="D499" s="50" t="s">
        <v>11623</v>
      </c>
      <c r="E499" s="50" t="s">
        <v>26303</v>
      </c>
      <c r="F499" s="50">
        <v>55.0</v>
      </c>
      <c r="G499" s="50">
        <v>1.0</v>
      </c>
      <c r="H499" s="50">
        <v>12.0</v>
      </c>
      <c r="I499" s="50" t="s">
        <v>1732</v>
      </c>
      <c r="J499" s="50" t="s">
        <v>1732</v>
      </c>
      <c r="K499" s="50" t="s">
        <v>13375</v>
      </c>
      <c r="L499" s="50" t="s">
        <v>26285</v>
      </c>
      <c r="M499" s="50" t="s">
        <v>26291</v>
      </c>
      <c r="N499" s="50" t="s">
        <v>26304</v>
      </c>
      <c r="O499" s="50">
        <v>0.0</v>
      </c>
      <c r="P499" s="116"/>
      <c r="Q499" s="116"/>
      <c r="R499" s="116"/>
      <c r="S499" s="50">
        <v>4.0</v>
      </c>
      <c r="T499" s="50" t="s">
        <v>22634</v>
      </c>
      <c r="U499" s="117">
        <v>5953.0</v>
      </c>
      <c r="V499" s="50" t="s">
        <v>26305</v>
      </c>
      <c r="W499" s="50" t="s">
        <v>26306</v>
      </c>
      <c r="X499" s="117">
        <v>504.0</v>
      </c>
    </row>
    <row r="500">
      <c r="A500" s="50" t="s">
        <v>26309</v>
      </c>
      <c r="B500" s="50" t="s">
        <v>6876</v>
      </c>
      <c r="C500" s="50" t="s">
        <v>6877</v>
      </c>
      <c r="D500" s="50" t="s">
        <v>11623</v>
      </c>
      <c r="E500" s="50" t="s">
        <v>26310</v>
      </c>
      <c r="F500" s="50">
        <v>55.0</v>
      </c>
      <c r="G500" s="50">
        <v>1.0</v>
      </c>
      <c r="H500" s="50">
        <v>99.0</v>
      </c>
      <c r="I500" s="50" t="s">
        <v>1734</v>
      </c>
      <c r="J500" s="50" t="s">
        <v>1734</v>
      </c>
      <c r="K500" s="50" t="s">
        <v>13457</v>
      </c>
      <c r="L500" s="50" t="s">
        <v>13375</v>
      </c>
      <c r="M500" s="50" t="s">
        <v>13435</v>
      </c>
      <c r="N500" s="50" t="s">
        <v>26312</v>
      </c>
      <c r="O500" s="50">
        <v>0.0</v>
      </c>
      <c r="P500" s="116"/>
      <c r="Q500" s="116"/>
      <c r="R500" s="50" t="s">
        <v>26313</v>
      </c>
      <c r="S500" s="50">
        <v>4.0</v>
      </c>
      <c r="T500" s="50" t="s">
        <v>22634</v>
      </c>
      <c r="U500" s="117">
        <v>5954.0</v>
      </c>
      <c r="V500" s="50" t="s">
        <v>26314</v>
      </c>
      <c r="W500" s="50" t="s">
        <v>26315</v>
      </c>
      <c r="X500" s="117">
        <v>505.0</v>
      </c>
    </row>
    <row r="501">
      <c r="A501" s="50" t="s">
        <v>26310</v>
      </c>
      <c r="B501" s="50" t="s">
        <v>6876</v>
      </c>
      <c r="C501" s="50" t="s">
        <v>6877</v>
      </c>
      <c r="D501" s="50" t="s">
        <v>11623</v>
      </c>
      <c r="E501" s="50" t="s">
        <v>26316</v>
      </c>
      <c r="F501" s="50">
        <v>59.0</v>
      </c>
      <c r="G501" s="50">
        <v>1.0</v>
      </c>
      <c r="H501" s="50">
        <v>11.0</v>
      </c>
      <c r="I501" s="50" t="s">
        <v>1735</v>
      </c>
      <c r="J501" s="50" t="s">
        <v>1735</v>
      </c>
      <c r="K501" s="50" t="s">
        <v>13375</v>
      </c>
      <c r="L501" s="50" t="s">
        <v>26285</v>
      </c>
      <c r="M501" s="50" t="s">
        <v>26291</v>
      </c>
      <c r="N501" s="50" t="s">
        <v>26320</v>
      </c>
      <c r="O501" s="50">
        <v>0.0</v>
      </c>
      <c r="P501" s="116"/>
      <c r="Q501" s="116"/>
      <c r="R501" s="116"/>
      <c r="S501" s="50">
        <v>6.0</v>
      </c>
      <c r="T501" s="50" t="s">
        <v>22634</v>
      </c>
      <c r="U501" s="117">
        <v>5955.0</v>
      </c>
      <c r="V501" s="50" t="s">
        <v>26322</v>
      </c>
      <c r="W501" s="50" t="s">
        <v>26323</v>
      </c>
      <c r="X501" s="117">
        <v>506.0</v>
      </c>
    </row>
    <row r="502">
      <c r="A502" s="50" t="s">
        <v>26316</v>
      </c>
      <c r="B502" s="50" t="s">
        <v>6876</v>
      </c>
      <c r="C502" s="50" t="s">
        <v>6877</v>
      </c>
      <c r="D502" s="50" t="s">
        <v>11623</v>
      </c>
      <c r="E502" s="50" t="s">
        <v>26324</v>
      </c>
      <c r="F502" s="50">
        <v>59.0</v>
      </c>
      <c r="G502" s="50">
        <v>1.0</v>
      </c>
      <c r="H502" s="50">
        <v>99.0</v>
      </c>
      <c r="I502" s="50" t="s">
        <v>1737</v>
      </c>
      <c r="J502" s="50" t="s">
        <v>1737</v>
      </c>
      <c r="K502" s="50" t="s">
        <v>13457</v>
      </c>
      <c r="L502" s="50" t="s">
        <v>13375</v>
      </c>
      <c r="M502" s="50" t="s">
        <v>13435</v>
      </c>
      <c r="N502" s="50" t="s">
        <v>26312</v>
      </c>
      <c r="O502" s="50">
        <v>0.0</v>
      </c>
      <c r="P502" s="116"/>
      <c r="Q502" s="116"/>
      <c r="R502" s="50" t="s">
        <v>26327</v>
      </c>
      <c r="S502" s="50">
        <v>6.0</v>
      </c>
      <c r="T502" s="50" t="s">
        <v>22634</v>
      </c>
      <c r="U502" s="117">
        <v>5956.0</v>
      </c>
      <c r="V502" s="50" t="s">
        <v>26328</v>
      </c>
      <c r="W502" s="50" t="s">
        <v>26329</v>
      </c>
      <c r="X502" s="117">
        <v>507.0</v>
      </c>
    </row>
    <row r="503">
      <c r="A503" s="50" t="s">
        <v>26324</v>
      </c>
      <c r="B503" s="50" t="s">
        <v>6876</v>
      </c>
      <c r="C503" s="50" t="s">
        <v>6877</v>
      </c>
      <c r="D503" s="50" t="s">
        <v>11623</v>
      </c>
      <c r="E503" s="50" t="s">
        <v>26331</v>
      </c>
      <c r="F503" s="50">
        <v>59.0</v>
      </c>
      <c r="G503" s="50">
        <v>1.0</v>
      </c>
      <c r="H503" s="50">
        <v>11.0</v>
      </c>
      <c r="I503" s="50" t="s">
        <v>1738</v>
      </c>
      <c r="J503" s="50" t="s">
        <v>1738</v>
      </c>
      <c r="K503" s="50" t="s">
        <v>13375</v>
      </c>
      <c r="L503" s="50" t="s">
        <v>26332</v>
      </c>
      <c r="M503" s="50" t="s">
        <v>26333</v>
      </c>
      <c r="N503" s="50" t="s">
        <v>26334</v>
      </c>
      <c r="O503" s="50">
        <v>0.0</v>
      </c>
      <c r="P503" s="116"/>
      <c r="Q503" s="116"/>
      <c r="R503" s="116"/>
      <c r="S503" s="50">
        <v>4.0</v>
      </c>
      <c r="T503" s="50" t="s">
        <v>22634</v>
      </c>
      <c r="U503" s="117">
        <v>5957.0</v>
      </c>
      <c r="V503" s="50" t="s">
        <v>26336</v>
      </c>
      <c r="W503" s="50" t="s">
        <v>26337</v>
      </c>
      <c r="X503" s="117">
        <v>508.0</v>
      </c>
    </row>
    <row r="504">
      <c r="A504" s="50" t="s">
        <v>26331</v>
      </c>
      <c r="B504" s="50" t="s">
        <v>6876</v>
      </c>
      <c r="C504" s="50" t="s">
        <v>6877</v>
      </c>
      <c r="D504" s="50" t="s">
        <v>11623</v>
      </c>
      <c r="E504" s="50" t="s">
        <v>26340</v>
      </c>
      <c r="F504" s="50">
        <v>59.0</v>
      </c>
      <c r="G504" s="50">
        <v>1.0</v>
      </c>
      <c r="H504" s="50">
        <v>99.0</v>
      </c>
      <c r="I504" s="50" t="s">
        <v>1740</v>
      </c>
      <c r="J504" s="50" t="s">
        <v>1740</v>
      </c>
      <c r="K504" s="50" t="s">
        <v>13457</v>
      </c>
      <c r="L504" s="50" t="s">
        <v>13375</v>
      </c>
      <c r="M504" s="50" t="s">
        <v>13435</v>
      </c>
      <c r="N504" s="50" t="s">
        <v>13459</v>
      </c>
      <c r="O504" s="50">
        <v>0.0</v>
      </c>
      <c r="P504" s="116"/>
      <c r="Q504" s="116"/>
      <c r="R504" s="50" t="s">
        <v>26342</v>
      </c>
      <c r="S504" s="50">
        <v>4.0</v>
      </c>
      <c r="T504" s="50" t="s">
        <v>22634</v>
      </c>
      <c r="U504" s="117">
        <v>5958.0</v>
      </c>
      <c r="V504" s="50" t="s">
        <v>26343</v>
      </c>
      <c r="W504" s="50" t="s">
        <v>26344</v>
      </c>
      <c r="X504" s="117">
        <v>509.0</v>
      </c>
    </row>
    <row r="505">
      <c r="A505" s="50" t="s">
        <v>26340</v>
      </c>
      <c r="B505" s="50" t="s">
        <v>6876</v>
      </c>
      <c r="C505" s="50" t="s">
        <v>6877</v>
      </c>
      <c r="D505" s="50" t="s">
        <v>11623</v>
      </c>
      <c r="E505" s="50" t="s">
        <v>26345</v>
      </c>
      <c r="F505" s="50">
        <v>59.0</v>
      </c>
      <c r="G505" s="50">
        <v>1.0</v>
      </c>
      <c r="H505" s="50">
        <v>11.0</v>
      </c>
      <c r="I505" s="50" t="s">
        <v>1741</v>
      </c>
      <c r="J505" s="50" t="s">
        <v>1741</v>
      </c>
      <c r="K505" s="50" t="s">
        <v>13375</v>
      </c>
      <c r="L505" s="50" t="s">
        <v>26332</v>
      </c>
      <c r="M505" s="50" t="s">
        <v>26333</v>
      </c>
      <c r="N505" s="50" t="s">
        <v>26348</v>
      </c>
      <c r="O505" s="50">
        <v>0.0</v>
      </c>
      <c r="P505" s="116"/>
      <c r="Q505" s="116"/>
      <c r="R505" s="116"/>
      <c r="S505" s="50">
        <v>4.0</v>
      </c>
      <c r="T505" s="50" t="s">
        <v>22634</v>
      </c>
      <c r="U505" s="117">
        <v>5959.0</v>
      </c>
      <c r="V505" s="50" t="s">
        <v>26350</v>
      </c>
      <c r="W505" s="50" t="s">
        <v>26351</v>
      </c>
      <c r="X505" s="117">
        <v>510.0</v>
      </c>
    </row>
    <row r="506">
      <c r="A506" s="50" t="s">
        <v>26345</v>
      </c>
      <c r="B506" s="50" t="s">
        <v>6876</v>
      </c>
      <c r="C506" s="50" t="s">
        <v>6877</v>
      </c>
      <c r="D506" s="50" t="s">
        <v>11623</v>
      </c>
      <c r="E506" s="50" t="s">
        <v>26352</v>
      </c>
      <c r="F506" s="50">
        <v>59.0</v>
      </c>
      <c r="G506" s="50">
        <v>1.0</v>
      </c>
      <c r="H506" s="50">
        <v>99.0</v>
      </c>
      <c r="I506" s="50" t="s">
        <v>1742</v>
      </c>
      <c r="J506" s="50" t="s">
        <v>1742</v>
      </c>
      <c r="K506" s="50" t="s">
        <v>13457</v>
      </c>
      <c r="L506" s="50" t="s">
        <v>13375</v>
      </c>
      <c r="M506" s="50" t="s">
        <v>13435</v>
      </c>
      <c r="N506" s="50" t="s">
        <v>26353</v>
      </c>
      <c r="O506" s="50">
        <v>0.0</v>
      </c>
      <c r="P506" s="116"/>
      <c r="Q506" s="116"/>
      <c r="R506" s="50" t="s">
        <v>26356</v>
      </c>
      <c r="S506" s="50">
        <v>6.0</v>
      </c>
      <c r="T506" s="50" t="s">
        <v>22634</v>
      </c>
      <c r="U506" s="117">
        <v>5960.0</v>
      </c>
      <c r="V506" s="50" t="s">
        <v>26357</v>
      </c>
      <c r="W506" s="50" t="s">
        <v>26358</v>
      </c>
      <c r="X506" s="117">
        <v>511.0</v>
      </c>
    </row>
    <row r="507">
      <c r="A507" s="50" t="s">
        <v>26352</v>
      </c>
      <c r="B507" s="50" t="s">
        <v>6876</v>
      </c>
      <c r="C507" s="50" t="s">
        <v>6877</v>
      </c>
      <c r="D507" s="50" t="s">
        <v>11623</v>
      </c>
      <c r="E507" s="50" t="s">
        <v>26360</v>
      </c>
      <c r="F507" s="50">
        <v>33.0</v>
      </c>
      <c r="G507" s="50">
        <v>1.0</v>
      </c>
      <c r="H507" s="50">
        <v>98.0</v>
      </c>
      <c r="I507" s="50" t="s">
        <v>1744</v>
      </c>
      <c r="J507" s="50" t="s">
        <v>1744</v>
      </c>
      <c r="K507" s="50" t="s">
        <v>26361</v>
      </c>
      <c r="L507" s="50" t="s">
        <v>13457</v>
      </c>
      <c r="M507" s="50" t="s">
        <v>26362</v>
      </c>
      <c r="N507" s="50" t="s">
        <v>13435</v>
      </c>
      <c r="O507" s="50">
        <v>0.0</v>
      </c>
      <c r="P507" s="116"/>
      <c r="Q507" s="116"/>
      <c r="R507" s="50" t="s">
        <v>23528</v>
      </c>
      <c r="S507" s="50">
        <v>4.0</v>
      </c>
      <c r="T507" s="50" t="s">
        <v>22634</v>
      </c>
      <c r="U507" s="117">
        <v>5961.0</v>
      </c>
      <c r="V507" s="50" t="s">
        <v>26363</v>
      </c>
      <c r="W507" s="50" t="s">
        <v>26364</v>
      </c>
      <c r="X507" s="117">
        <v>512.0</v>
      </c>
    </row>
    <row r="508">
      <c r="A508" s="50" t="s">
        <v>26366</v>
      </c>
      <c r="B508" s="50" t="s">
        <v>6876</v>
      </c>
      <c r="C508" s="50" t="s">
        <v>6877</v>
      </c>
      <c r="D508" s="50" t="s">
        <v>11623</v>
      </c>
      <c r="E508" s="50" t="s">
        <v>26369</v>
      </c>
      <c r="F508" s="50">
        <v>66.0</v>
      </c>
      <c r="G508" s="50">
        <v>1.0</v>
      </c>
      <c r="H508" s="50">
        <v>12.0</v>
      </c>
      <c r="I508" s="50" t="s">
        <v>1750</v>
      </c>
      <c r="J508" s="50" t="s">
        <v>1750</v>
      </c>
      <c r="K508" s="50" t="s">
        <v>26371</v>
      </c>
      <c r="L508" s="50" t="s">
        <v>26372</v>
      </c>
      <c r="M508" s="50" t="s">
        <v>26373</v>
      </c>
      <c r="N508" s="50" t="s">
        <v>26374</v>
      </c>
      <c r="O508" s="50">
        <v>1.0</v>
      </c>
      <c r="P508" s="144">
        <v>43808.0</v>
      </c>
      <c r="Q508" s="116"/>
      <c r="R508" s="116"/>
      <c r="S508" s="50">
        <v>4.0</v>
      </c>
      <c r="T508" s="50" t="s">
        <v>22634</v>
      </c>
      <c r="U508" s="117">
        <v>6091.0</v>
      </c>
      <c r="V508" s="50" t="s">
        <v>26375</v>
      </c>
      <c r="W508" s="50" t="s">
        <v>26376</v>
      </c>
      <c r="X508" s="117">
        <v>513.0</v>
      </c>
    </row>
    <row r="509">
      <c r="A509" s="50" t="s">
        <v>26369</v>
      </c>
      <c r="B509" s="50" t="s">
        <v>6876</v>
      </c>
      <c r="C509" s="50" t="s">
        <v>6877</v>
      </c>
      <c r="D509" s="50" t="s">
        <v>11623</v>
      </c>
      <c r="E509" s="50" t="s">
        <v>26377</v>
      </c>
      <c r="F509" s="50">
        <v>66.0</v>
      </c>
      <c r="G509" s="50">
        <v>1.0</v>
      </c>
      <c r="H509" s="50">
        <v>99.0</v>
      </c>
      <c r="I509" s="50" t="s">
        <v>1752</v>
      </c>
      <c r="J509" s="50" t="s">
        <v>1752</v>
      </c>
      <c r="K509" s="50" t="s">
        <v>26371</v>
      </c>
      <c r="L509" s="50" t="s">
        <v>26372</v>
      </c>
      <c r="M509" s="50" t="s">
        <v>26373</v>
      </c>
      <c r="N509" s="50" t="s">
        <v>26380</v>
      </c>
      <c r="O509" s="50">
        <v>0.0</v>
      </c>
      <c r="P509" s="116"/>
      <c r="Q509" s="116"/>
      <c r="R509" s="50" t="s">
        <v>26381</v>
      </c>
      <c r="S509" s="50">
        <v>4.0</v>
      </c>
      <c r="T509" s="50" t="s">
        <v>22634</v>
      </c>
      <c r="U509" s="117">
        <v>6092.0</v>
      </c>
      <c r="V509" s="50" t="s">
        <v>26383</v>
      </c>
      <c r="W509" s="50" t="s">
        <v>26384</v>
      </c>
      <c r="X509" s="117">
        <v>514.0</v>
      </c>
    </row>
    <row r="510">
      <c r="A510" s="50" t="s">
        <v>26377</v>
      </c>
      <c r="B510" s="50" t="s">
        <v>6876</v>
      </c>
      <c r="C510" s="50" t="s">
        <v>6877</v>
      </c>
      <c r="D510" s="50" t="s">
        <v>11623</v>
      </c>
      <c r="E510" s="50" t="s">
        <v>26385</v>
      </c>
      <c r="F510" s="50">
        <v>59.0</v>
      </c>
      <c r="G510" s="50">
        <v>1.0</v>
      </c>
      <c r="H510" s="50">
        <v>12.0</v>
      </c>
      <c r="I510" s="50" t="s">
        <v>1753</v>
      </c>
      <c r="J510" s="50" t="s">
        <v>1753</v>
      </c>
      <c r="K510" s="50" t="s">
        <v>26371</v>
      </c>
      <c r="L510" s="50" t="s">
        <v>26372</v>
      </c>
      <c r="M510" s="50" t="s">
        <v>26373</v>
      </c>
      <c r="N510" s="50" t="s">
        <v>26386</v>
      </c>
      <c r="O510" s="50">
        <v>1.0</v>
      </c>
      <c r="P510" s="144">
        <v>43808.0</v>
      </c>
      <c r="Q510" s="116"/>
      <c r="R510" s="116"/>
      <c r="S510" s="50">
        <v>4.0</v>
      </c>
      <c r="T510" s="50" t="s">
        <v>22634</v>
      </c>
      <c r="U510" s="117">
        <v>6093.0</v>
      </c>
      <c r="V510" s="50" t="s">
        <v>26389</v>
      </c>
      <c r="W510" s="50" t="s">
        <v>26391</v>
      </c>
      <c r="X510" s="117">
        <v>515.0</v>
      </c>
    </row>
    <row r="511">
      <c r="A511" s="50" t="s">
        <v>26385</v>
      </c>
      <c r="B511" s="50" t="s">
        <v>6876</v>
      </c>
      <c r="C511" s="50" t="s">
        <v>6877</v>
      </c>
      <c r="D511" s="50" t="s">
        <v>11623</v>
      </c>
      <c r="E511" s="50" t="s">
        <v>26392</v>
      </c>
      <c r="F511" s="50">
        <v>59.0</v>
      </c>
      <c r="G511" s="50">
        <v>1.0</v>
      </c>
      <c r="H511" s="50">
        <v>99.0</v>
      </c>
      <c r="I511" s="50" t="s">
        <v>1755</v>
      </c>
      <c r="J511" s="50" t="s">
        <v>1755</v>
      </c>
      <c r="K511" s="50" t="s">
        <v>26371</v>
      </c>
      <c r="L511" s="50" t="s">
        <v>26372</v>
      </c>
      <c r="M511" s="50" t="s">
        <v>26373</v>
      </c>
      <c r="N511" s="50" t="s">
        <v>26393</v>
      </c>
      <c r="O511" s="50">
        <v>1.0</v>
      </c>
      <c r="P511" s="144">
        <v>43808.0</v>
      </c>
      <c r="Q511" s="116"/>
      <c r="R511" s="50" t="s">
        <v>26394</v>
      </c>
      <c r="S511" s="50">
        <v>4.0</v>
      </c>
      <c r="T511" s="50" t="s">
        <v>22634</v>
      </c>
      <c r="U511" s="117">
        <v>6094.0</v>
      </c>
      <c r="V511" s="50" t="s">
        <v>26395</v>
      </c>
      <c r="W511" s="50" t="s">
        <v>26397</v>
      </c>
      <c r="X511" s="117">
        <v>516.0</v>
      </c>
    </row>
    <row r="512">
      <c r="A512" s="50" t="s">
        <v>26392</v>
      </c>
      <c r="B512" s="50" t="s">
        <v>6876</v>
      </c>
      <c r="C512" s="50" t="s">
        <v>6877</v>
      </c>
      <c r="D512" s="50" t="s">
        <v>11623</v>
      </c>
      <c r="E512" s="50" t="s">
        <v>26399</v>
      </c>
      <c r="F512" s="50">
        <v>58.0</v>
      </c>
      <c r="G512" s="50">
        <v>1.0</v>
      </c>
      <c r="H512" s="50">
        <v>11.0</v>
      </c>
      <c r="I512" s="50" t="s">
        <v>1756</v>
      </c>
      <c r="J512" s="50" t="s">
        <v>1756</v>
      </c>
      <c r="K512" s="50" t="s">
        <v>13604</v>
      </c>
      <c r="L512" s="50" t="s">
        <v>26401</v>
      </c>
      <c r="M512" s="50" t="s">
        <v>26402</v>
      </c>
      <c r="N512" s="50" t="s">
        <v>26403</v>
      </c>
      <c r="O512" s="50">
        <v>1.0</v>
      </c>
      <c r="P512" s="144">
        <v>43808.0</v>
      </c>
      <c r="Q512" s="116"/>
      <c r="R512" s="116"/>
      <c r="S512" s="50">
        <v>4.0</v>
      </c>
      <c r="T512" s="50" t="s">
        <v>22634</v>
      </c>
      <c r="U512" s="117">
        <v>6095.0</v>
      </c>
      <c r="V512" s="50" t="s">
        <v>26404</v>
      </c>
      <c r="W512" s="50" t="s">
        <v>26405</v>
      </c>
      <c r="X512" s="117">
        <v>517.0</v>
      </c>
    </row>
    <row r="513">
      <c r="A513" s="50" t="s">
        <v>26399</v>
      </c>
      <c r="B513" s="50" t="s">
        <v>6876</v>
      </c>
      <c r="C513" s="50" t="s">
        <v>6877</v>
      </c>
      <c r="D513" s="50" t="s">
        <v>11623</v>
      </c>
      <c r="E513" s="50" t="s">
        <v>26406</v>
      </c>
      <c r="F513" s="50">
        <v>58.0</v>
      </c>
      <c r="G513" s="50">
        <v>1.0</v>
      </c>
      <c r="H513" s="50">
        <v>99.0</v>
      </c>
      <c r="I513" s="50" t="s">
        <v>1758</v>
      </c>
      <c r="J513" s="50" t="s">
        <v>1758</v>
      </c>
      <c r="K513" s="50" t="s">
        <v>26409</v>
      </c>
      <c r="L513" s="50" t="s">
        <v>13558</v>
      </c>
      <c r="M513" s="50" t="s">
        <v>26410</v>
      </c>
      <c r="N513" s="50" t="s">
        <v>26412</v>
      </c>
      <c r="O513" s="50">
        <v>0.0</v>
      </c>
      <c r="P513" s="116"/>
      <c r="Q513" s="116"/>
      <c r="R513" s="50" t="s">
        <v>26413</v>
      </c>
      <c r="S513" s="50">
        <v>4.0</v>
      </c>
      <c r="T513" s="50" t="s">
        <v>22634</v>
      </c>
      <c r="U513" s="117">
        <v>6096.0</v>
      </c>
      <c r="V513" s="50" t="s">
        <v>26414</v>
      </c>
      <c r="W513" s="50" t="s">
        <v>26415</v>
      </c>
      <c r="X513" s="117">
        <v>518.0</v>
      </c>
    </row>
    <row r="514">
      <c r="A514" s="50" t="s">
        <v>26406</v>
      </c>
      <c r="B514" s="50" t="s">
        <v>6876</v>
      </c>
      <c r="C514" s="50" t="s">
        <v>6877</v>
      </c>
      <c r="D514" s="50" t="s">
        <v>11623</v>
      </c>
      <c r="E514" s="50" t="s">
        <v>26416</v>
      </c>
      <c r="F514" s="50">
        <v>59.0</v>
      </c>
      <c r="G514" s="50">
        <v>1.0</v>
      </c>
      <c r="H514" s="50">
        <v>11.0</v>
      </c>
      <c r="I514" s="50" t="s">
        <v>321</v>
      </c>
      <c r="J514" s="50" t="s">
        <v>321</v>
      </c>
      <c r="K514" s="50" t="s">
        <v>13604</v>
      </c>
      <c r="L514" s="50" t="s">
        <v>26401</v>
      </c>
      <c r="M514" s="50" t="s">
        <v>26402</v>
      </c>
      <c r="N514" s="50" t="s">
        <v>26420</v>
      </c>
      <c r="O514" s="50">
        <v>1.0</v>
      </c>
      <c r="P514" s="144">
        <v>43808.0</v>
      </c>
      <c r="Q514" s="116"/>
      <c r="R514" s="116"/>
      <c r="S514" s="50">
        <v>4.0</v>
      </c>
      <c r="T514" s="50" t="s">
        <v>22634</v>
      </c>
      <c r="U514" s="117">
        <v>6097.0</v>
      </c>
      <c r="V514" s="50" t="s">
        <v>26422</v>
      </c>
      <c r="W514" s="50" t="s">
        <v>26423</v>
      </c>
      <c r="X514" s="117">
        <v>519.0</v>
      </c>
    </row>
    <row r="515">
      <c r="A515" s="50" t="s">
        <v>26424</v>
      </c>
      <c r="B515" s="50" t="s">
        <v>6876</v>
      </c>
      <c r="C515" s="50" t="s">
        <v>6877</v>
      </c>
      <c r="D515" s="50" t="s">
        <v>11623</v>
      </c>
      <c r="E515" s="50" t="s">
        <v>26425</v>
      </c>
      <c r="F515" s="50">
        <v>59.0</v>
      </c>
      <c r="G515" s="50">
        <v>1.0</v>
      </c>
      <c r="H515" s="50">
        <v>99.0</v>
      </c>
      <c r="I515" s="50" t="s">
        <v>1760</v>
      </c>
      <c r="J515" s="50" t="s">
        <v>1760</v>
      </c>
      <c r="K515" s="50" t="s">
        <v>26409</v>
      </c>
      <c r="L515" s="50" t="s">
        <v>13558</v>
      </c>
      <c r="M515" s="50" t="s">
        <v>26410</v>
      </c>
      <c r="N515" s="50" t="s">
        <v>26427</v>
      </c>
      <c r="O515" s="50">
        <v>0.0</v>
      </c>
      <c r="P515" s="116"/>
      <c r="Q515" s="116"/>
      <c r="R515" s="50" t="s">
        <v>26430</v>
      </c>
      <c r="S515" s="50">
        <v>4.0</v>
      </c>
      <c r="T515" s="50" t="s">
        <v>22634</v>
      </c>
      <c r="U515" s="117">
        <v>6098.0</v>
      </c>
      <c r="V515" s="50" t="s">
        <v>26431</v>
      </c>
      <c r="W515" s="50" t="s">
        <v>26432</v>
      </c>
      <c r="X515" s="117">
        <v>520.0</v>
      </c>
    </row>
    <row r="516">
      <c r="A516" s="50" t="s">
        <v>26425</v>
      </c>
      <c r="B516" s="50" t="s">
        <v>6876</v>
      </c>
      <c r="C516" s="50" t="s">
        <v>6877</v>
      </c>
      <c r="D516" s="50" t="s">
        <v>11623</v>
      </c>
      <c r="E516" s="50" t="s">
        <v>26434</v>
      </c>
      <c r="F516" s="50">
        <v>59.0</v>
      </c>
      <c r="G516" s="50">
        <v>1.0</v>
      </c>
      <c r="H516" s="50">
        <v>11.0</v>
      </c>
      <c r="I516" s="50" t="s">
        <v>1761</v>
      </c>
      <c r="J516" s="50" t="s">
        <v>1761</v>
      </c>
      <c r="K516" s="50" t="s">
        <v>13604</v>
      </c>
      <c r="L516" s="50" t="s">
        <v>26401</v>
      </c>
      <c r="M516" s="50" t="s">
        <v>26402</v>
      </c>
      <c r="N516" s="50" t="s">
        <v>26435</v>
      </c>
      <c r="O516" s="50">
        <v>1.0</v>
      </c>
      <c r="P516" s="144">
        <v>43808.0</v>
      </c>
      <c r="Q516" s="116"/>
      <c r="R516" s="116"/>
      <c r="S516" s="50">
        <v>4.0</v>
      </c>
      <c r="T516" s="50" t="s">
        <v>22634</v>
      </c>
      <c r="U516" s="117">
        <v>6099.0</v>
      </c>
      <c r="V516" s="50" t="s">
        <v>26436</v>
      </c>
      <c r="W516" s="50" t="s">
        <v>26437</v>
      </c>
      <c r="X516" s="117">
        <v>521.0</v>
      </c>
    </row>
    <row r="517">
      <c r="A517" s="50" t="s">
        <v>26434</v>
      </c>
      <c r="B517" s="50" t="s">
        <v>6876</v>
      </c>
      <c r="C517" s="50" t="s">
        <v>6877</v>
      </c>
      <c r="D517" s="50" t="s">
        <v>11623</v>
      </c>
      <c r="E517" s="50" t="s">
        <v>26440</v>
      </c>
      <c r="F517" s="50">
        <v>59.0</v>
      </c>
      <c r="G517" s="50">
        <v>1.0</v>
      </c>
      <c r="H517" s="50">
        <v>99.0</v>
      </c>
      <c r="I517" s="50" t="s">
        <v>1763</v>
      </c>
      <c r="J517" s="50" t="s">
        <v>1763</v>
      </c>
      <c r="K517" s="50" t="s">
        <v>26409</v>
      </c>
      <c r="L517" s="50" t="s">
        <v>13558</v>
      </c>
      <c r="M517" s="50" t="s">
        <v>26410</v>
      </c>
      <c r="N517" s="50" t="s">
        <v>26442</v>
      </c>
      <c r="O517" s="50">
        <v>0.0</v>
      </c>
      <c r="P517" s="116"/>
      <c r="Q517" s="116"/>
      <c r="R517" s="50" t="s">
        <v>26444</v>
      </c>
      <c r="S517" s="50">
        <v>4.0</v>
      </c>
      <c r="T517" s="50" t="s">
        <v>22634</v>
      </c>
      <c r="U517" s="117">
        <v>6100.0</v>
      </c>
      <c r="V517" s="50" t="s">
        <v>26445</v>
      </c>
      <c r="W517" s="50" t="s">
        <v>26446</v>
      </c>
      <c r="X517" s="117">
        <v>522.0</v>
      </c>
    </row>
    <row r="518">
      <c r="A518" s="50" t="s">
        <v>26440</v>
      </c>
      <c r="B518" s="50" t="s">
        <v>6876</v>
      </c>
      <c r="C518" s="50" t="s">
        <v>6877</v>
      </c>
      <c r="D518" s="50" t="s">
        <v>11623</v>
      </c>
      <c r="E518" s="50" t="s">
        <v>26448</v>
      </c>
      <c r="F518" s="50">
        <v>59.0</v>
      </c>
      <c r="G518" s="50">
        <v>1.0</v>
      </c>
      <c r="H518" s="50">
        <v>11.0</v>
      </c>
      <c r="I518" s="50" t="s">
        <v>1764</v>
      </c>
      <c r="J518" s="50" t="s">
        <v>1764</v>
      </c>
      <c r="K518" s="50" t="s">
        <v>13604</v>
      </c>
      <c r="L518" s="50" t="s">
        <v>26401</v>
      </c>
      <c r="M518" s="50" t="s">
        <v>26402</v>
      </c>
      <c r="N518" s="50" t="s">
        <v>26449</v>
      </c>
      <c r="O518" s="50">
        <v>1.0</v>
      </c>
      <c r="P518" s="144">
        <v>43808.0</v>
      </c>
      <c r="Q518" s="116"/>
      <c r="R518" s="116"/>
      <c r="S518" s="50">
        <v>4.0</v>
      </c>
      <c r="T518" s="50" t="s">
        <v>22634</v>
      </c>
      <c r="U518" s="117">
        <v>6101.0</v>
      </c>
      <c r="V518" s="50" t="s">
        <v>26453</v>
      </c>
      <c r="W518" s="50" t="s">
        <v>26454</v>
      </c>
      <c r="X518" s="117">
        <v>523.0</v>
      </c>
    </row>
    <row r="519">
      <c r="A519" s="50" t="s">
        <v>26448</v>
      </c>
      <c r="B519" s="50" t="s">
        <v>6876</v>
      </c>
      <c r="C519" s="50" t="s">
        <v>6877</v>
      </c>
      <c r="D519" s="50" t="s">
        <v>11623</v>
      </c>
      <c r="E519" s="50" t="s">
        <v>26455</v>
      </c>
      <c r="F519" s="50">
        <v>59.0</v>
      </c>
      <c r="G519" s="50">
        <v>1.0</v>
      </c>
      <c r="H519" s="50">
        <v>99.0</v>
      </c>
      <c r="I519" s="50" t="s">
        <v>1766</v>
      </c>
      <c r="J519" s="50" t="s">
        <v>1766</v>
      </c>
      <c r="K519" s="50" t="s">
        <v>26409</v>
      </c>
      <c r="L519" s="50" t="s">
        <v>13558</v>
      </c>
      <c r="M519" s="50" t="s">
        <v>26410</v>
      </c>
      <c r="N519" s="50" t="s">
        <v>26457</v>
      </c>
      <c r="O519" s="50">
        <v>0.0</v>
      </c>
      <c r="P519" s="116"/>
      <c r="Q519" s="116"/>
      <c r="R519" s="50" t="s">
        <v>26458</v>
      </c>
      <c r="S519" s="50">
        <v>4.0</v>
      </c>
      <c r="T519" s="50" t="s">
        <v>22634</v>
      </c>
      <c r="U519" s="117">
        <v>6102.0</v>
      </c>
      <c r="V519" s="50" t="s">
        <v>26460</v>
      </c>
      <c r="W519" s="50" t="s">
        <v>26462</v>
      </c>
      <c r="X519" s="117">
        <v>524.0</v>
      </c>
    </row>
    <row r="520">
      <c r="A520" s="50" t="s">
        <v>26463</v>
      </c>
      <c r="B520" s="50" t="s">
        <v>6876</v>
      </c>
      <c r="C520" s="50" t="s">
        <v>6877</v>
      </c>
      <c r="D520" s="50" t="s">
        <v>11623</v>
      </c>
      <c r="E520" s="50" t="s">
        <v>26465</v>
      </c>
      <c r="F520" s="50">
        <v>33.0</v>
      </c>
      <c r="G520" s="50">
        <v>1.0</v>
      </c>
      <c r="H520" s="50">
        <v>98.0</v>
      </c>
      <c r="I520" s="50" t="s">
        <v>1767</v>
      </c>
      <c r="J520" s="50" t="s">
        <v>1767</v>
      </c>
      <c r="K520" s="50" t="s">
        <v>26409</v>
      </c>
      <c r="L520" s="50" t="s">
        <v>13558</v>
      </c>
      <c r="M520" s="50" t="s">
        <v>26410</v>
      </c>
      <c r="N520" s="50" t="s">
        <v>26466</v>
      </c>
      <c r="O520" s="50">
        <v>0.0</v>
      </c>
      <c r="P520" s="116"/>
      <c r="Q520" s="116"/>
      <c r="R520" s="50" t="s">
        <v>23528</v>
      </c>
      <c r="S520" s="50">
        <v>4.0</v>
      </c>
      <c r="T520" s="50" t="s">
        <v>22634</v>
      </c>
      <c r="U520" s="117">
        <v>6103.0</v>
      </c>
      <c r="V520" s="50" t="s">
        <v>26468</v>
      </c>
      <c r="W520" s="50" t="s">
        <v>26469</v>
      </c>
      <c r="X520" s="117">
        <v>525.0</v>
      </c>
    </row>
    <row r="521">
      <c r="A521" s="50" t="s">
        <v>26472</v>
      </c>
      <c r="B521" s="50" t="s">
        <v>6876</v>
      </c>
      <c r="C521" s="50" t="s">
        <v>6877</v>
      </c>
      <c r="D521" s="50" t="s">
        <v>11623</v>
      </c>
      <c r="E521" s="50" t="s">
        <v>26473</v>
      </c>
      <c r="F521" s="50">
        <v>59.0</v>
      </c>
      <c r="G521" s="50">
        <v>1.0</v>
      </c>
      <c r="H521" s="50">
        <v>11.0</v>
      </c>
      <c r="I521" s="50" t="s">
        <v>1769</v>
      </c>
      <c r="J521" s="50" t="s">
        <v>1769</v>
      </c>
      <c r="K521" s="50" t="s">
        <v>26410</v>
      </c>
      <c r="L521" s="50" t="s">
        <v>18244</v>
      </c>
      <c r="M521" s="50" t="s">
        <v>18245</v>
      </c>
      <c r="N521" s="50" t="s">
        <v>26475</v>
      </c>
      <c r="O521" s="50">
        <v>1.0</v>
      </c>
      <c r="P521" s="144">
        <v>43808.0</v>
      </c>
      <c r="Q521" s="116"/>
      <c r="R521" s="116"/>
      <c r="S521" s="50">
        <v>6.0</v>
      </c>
      <c r="T521" s="50" t="s">
        <v>22634</v>
      </c>
      <c r="U521" s="117">
        <v>6104.0</v>
      </c>
      <c r="V521" s="50" t="s">
        <v>26476</v>
      </c>
      <c r="W521" s="50" t="s">
        <v>26477</v>
      </c>
      <c r="X521" s="117">
        <v>526.0</v>
      </c>
    </row>
    <row r="522">
      <c r="A522" s="50" t="s">
        <v>26473</v>
      </c>
      <c r="B522" s="50" t="s">
        <v>6876</v>
      </c>
      <c r="C522" s="50" t="s">
        <v>6877</v>
      </c>
      <c r="D522" s="50" t="s">
        <v>11623</v>
      </c>
      <c r="E522" s="50" t="s">
        <v>26479</v>
      </c>
      <c r="F522" s="50">
        <v>59.0</v>
      </c>
      <c r="G522" s="50">
        <v>1.0</v>
      </c>
      <c r="H522" s="50">
        <v>99.0</v>
      </c>
      <c r="I522" s="50" t="s">
        <v>1771</v>
      </c>
      <c r="J522" s="50" t="s">
        <v>1771</v>
      </c>
      <c r="K522" s="50" t="s">
        <v>26481</v>
      </c>
      <c r="L522" s="50" t="s">
        <v>26482</v>
      </c>
      <c r="M522" s="50" t="s">
        <v>26484</v>
      </c>
      <c r="N522" s="50" t="s">
        <v>13708</v>
      </c>
      <c r="O522" s="50">
        <v>0.0</v>
      </c>
      <c r="P522" s="116"/>
      <c r="Q522" s="116"/>
      <c r="R522" s="50" t="s">
        <v>26485</v>
      </c>
      <c r="S522" s="50">
        <v>6.0</v>
      </c>
      <c r="T522" s="50" t="s">
        <v>22634</v>
      </c>
      <c r="U522" s="117">
        <v>6105.0</v>
      </c>
      <c r="V522" s="50" t="s">
        <v>26486</v>
      </c>
      <c r="W522" s="50" t="s">
        <v>26487</v>
      </c>
      <c r="X522" s="117">
        <v>527.0</v>
      </c>
    </row>
    <row r="523">
      <c r="A523" s="50" t="s">
        <v>26479</v>
      </c>
      <c r="B523" s="50" t="s">
        <v>6876</v>
      </c>
      <c r="C523" s="50" t="s">
        <v>6877</v>
      </c>
      <c r="D523" s="50" t="s">
        <v>11623</v>
      </c>
      <c r="E523" s="50" t="s">
        <v>26488</v>
      </c>
      <c r="F523" s="50">
        <v>59.0</v>
      </c>
      <c r="G523" s="50">
        <v>1.0</v>
      </c>
      <c r="H523" s="50">
        <v>11.0</v>
      </c>
      <c r="I523" s="50" t="s">
        <v>1772</v>
      </c>
      <c r="J523" s="50" t="s">
        <v>1772</v>
      </c>
      <c r="K523" s="50" t="s">
        <v>26410</v>
      </c>
      <c r="L523" s="50" t="s">
        <v>18244</v>
      </c>
      <c r="M523" s="50" t="s">
        <v>18245</v>
      </c>
      <c r="N523" s="50" t="s">
        <v>26491</v>
      </c>
      <c r="O523" s="50">
        <v>1.0</v>
      </c>
      <c r="P523" s="144">
        <v>43808.0</v>
      </c>
      <c r="Q523" s="116"/>
      <c r="R523" s="116"/>
      <c r="S523" s="50">
        <v>6.0</v>
      </c>
      <c r="T523" s="50" t="s">
        <v>22634</v>
      </c>
      <c r="U523" s="117">
        <v>6106.0</v>
      </c>
      <c r="V523" s="50" t="s">
        <v>26493</v>
      </c>
      <c r="W523" s="50" t="s">
        <v>26494</v>
      </c>
      <c r="X523" s="117">
        <v>528.0</v>
      </c>
    </row>
    <row r="524">
      <c r="A524" s="50" t="s">
        <v>26488</v>
      </c>
      <c r="B524" s="50" t="s">
        <v>6876</v>
      </c>
      <c r="C524" s="50" t="s">
        <v>6877</v>
      </c>
      <c r="D524" s="50" t="s">
        <v>11623</v>
      </c>
      <c r="E524" s="50" t="s">
        <v>26495</v>
      </c>
      <c r="F524" s="50">
        <v>59.0</v>
      </c>
      <c r="G524" s="50">
        <v>1.0</v>
      </c>
      <c r="H524" s="50">
        <v>99.0</v>
      </c>
      <c r="I524" s="50" t="s">
        <v>1774</v>
      </c>
      <c r="J524" s="50" t="s">
        <v>1774</v>
      </c>
      <c r="K524" s="50" t="s">
        <v>26481</v>
      </c>
      <c r="L524" s="50" t="s">
        <v>26482</v>
      </c>
      <c r="M524" s="50" t="s">
        <v>26484</v>
      </c>
      <c r="N524" s="50" t="s">
        <v>26496</v>
      </c>
      <c r="O524" s="50">
        <v>0.0</v>
      </c>
      <c r="P524" s="116"/>
      <c r="Q524" s="116"/>
      <c r="R524" s="50" t="s">
        <v>26497</v>
      </c>
      <c r="S524" s="50">
        <v>6.0</v>
      </c>
      <c r="T524" s="50" t="s">
        <v>22634</v>
      </c>
      <c r="U524" s="117">
        <v>6107.0</v>
      </c>
      <c r="V524" s="50" t="s">
        <v>26499</v>
      </c>
      <c r="W524" s="50" t="s">
        <v>26501</v>
      </c>
      <c r="X524" s="117">
        <v>529.0</v>
      </c>
    </row>
    <row r="525">
      <c r="A525" s="50" t="s">
        <v>26495</v>
      </c>
      <c r="B525" s="50" t="s">
        <v>6876</v>
      </c>
      <c r="C525" s="50" t="s">
        <v>6877</v>
      </c>
      <c r="D525" s="50" t="s">
        <v>11623</v>
      </c>
      <c r="E525" s="50" t="s">
        <v>26503</v>
      </c>
      <c r="F525" s="50">
        <v>59.0</v>
      </c>
      <c r="G525" s="50">
        <v>1.0</v>
      </c>
      <c r="H525" s="50">
        <v>11.0</v>
      </c>
      <c r="I525" s="50" t="s">
        <v>1775</v>
      </c>
      <c r="J525" s="50" t="s">
        <v>1775</v>
      </c>
      <c r="K525" s="50" t="s">
        <v>26410</v>
      </c>
      <c r="L525" s="50" t="s">
        <v>18244</v>
      </c>
      <c r="M525" s="50" t="s">
        <v>18245</v>
      </c>
      <c r="N525" s="50" t="s">
        <v>26505</v>
      </c>
      <c r="O525" s="50">
        <v>1.0</v>
      </c>
      <c r="P525" s="144">
        <v>43808.0</v>
      </c>
      <c r="Q525" s="116"/>
      <c r="R525" s="116"/>
      <c r="S525" s="50">
        <v>6.0</v>
      </c>
      <c r="T525" s="50" t="s">
        <v>22634</v>
      </c>
      <c r="U525" s="117">
        <v>6108.0</v>
      </c>
      <c r="V525" s="50" t="s">
        <v>26506</v>
      </c>
      <c r="W525" s="50" t="s">
        <v>26507</v>
      </c>
      <c r="X525" s="117">
        <v>530.0</v>
      </c>
    </row>
    <row r="526">
      <c r="A526" s="50" t="s">
        <v>26503</v>
      </c>
      <c r="B526" s="50" t="s">
        <v>6876</v>
      </c>
      <c r="C526" s="50" t="s">
        <v>6877</v>
      </c>
      <c r="D526" s="50" t="s">
        <v>11623</v>
      </c>
      <c r="E526" s="50" t="s">
        <v>26508</v>
      </c>
      <c r="F526" s="50">
        <v>59.0</v>
      </c>
      <c r="G526" s="50">
        <v>1.0</v>
      </c>
      <c r="H526" s="50">
        <v>99.0</v>
      </c>
      <c r="I526" s="50" t="s">
        <v>1777</v>
      </c>
      <c r="J526" s="50" t="s">
        <v>1777</v>
      </c>
      <c r="K526" s="50" t="s">
        <v>26481</v>
      </c>
      <c r="L526" s="50" t="s">
        <v>26482</v>
      </c>
      <c r="M526" s="50" t="s">
        <v>26484</v>
      </c>
      <c r="N526" s="50" t="s">
        <v>26511</v>
      </c>
      <c r="O526" s="50">
        <v>1.0</v>
      </c>
      <c r="P526" s="144">
        <v>43808.0</v>
      </c>
      <c r="Q526" s="116"/>
      <c r="R526" s="50" t="s">
        <v>26513</v>
      </c>
      <c r="S526" s="50">
        <v>6.0</v>
      </c>
      <c r="T526" s="50" t="s">
        <v>22634</v>
      </c>
      <c r="U526" s="117">
        <v>6109.0</v>
      </c>
      <c r="V526" s="50" t="s">
        <v>26514</v>
      </c>
      <c r="W526" s="50" t="s">
        <v>26515</v>
      </c>
      <c r="X526" s="117">
        <v>531.0</v>
      </c>
    </row>
    <row r="527">
      <c r="A527" s="50" t="s">
        <v>26508</v>
      </c>
      <c r="B527" s="50" t="s">
        <v>6876</v>
      </c>
      <c r="C527" s="50" t="s">
        <v>6877</v>
      </c>
      <c r="D527" s="50" t="s">
        <v>11623</v>
      </c>
      <c r="E527" s="50" t="s">
        <v>26516</v>
      </c>
      <c r="F527" s="50">
        <v>59.0</v>
      </c>
      <c r="G527" s="50">
        <v>1.0</v>
      </c>
      <c r="H527" s="50">
        <v>11.0</v>
      </c>
      <c r="I527" s="50" t="s">
        <v>1778</v>
      </c>
      <c r="J527" s="50" t="s">
        <v>1778</v>
      </c>
      <c r="K527" s="50" t="s">
        <v>26410</v>
      </c>
      <c r="L527" s="50" t="s">
        <v>18244</v>
      </c>
      <c r="M527" s="50" t="s">
        <v>18245</v>
      </c>
      <c r="N527" s="50" t="s">
        <v>26519</v>
      </c>
      <c r="O527" s="50">
        <v>1.0</v>
      </c>
      <c r="P527" s="144">
        <v>43808.0</v>
      </c>
      <c r="Q527" s="116"/>
      <c r="R527" s="116"/>
      <c r="S527" s="50">
        <v>6.0</v>
      </c>
      <c r="T527" s="50" t="s">
        <v>22634</v>
      </c>
      <c r="U527" s="117">
        <v>6110.0</v>
      </c>
      <c r="V527" s="50" t="s">
        <v>26521</v>
      </c>
      <c r="W527" s="50" t="s">
        <v>26522</v>
      </c>
      <c r="X527" s="117">
        <v>532.0</v>
      </c>
    </row>
    <row r="528">
      <c r="A528" s="50" t="s">
        <v>26516</v>
      </c>
      <c r="B528" s="50" t="s">
        <v>6876</v>
      </c>
      <c r="C528" s="50" t="s">
        <v>6877</v>
      </c>
      <c r="D528" s="50" t="s">
        <v>11623</v>
      </c>
      <c r="E528" s="50" t="s">
        <v>26523</v>
      </c>
      <c r="F528" s="50">
        <v>59.0</v>
      </c>
      <c r="G528" s="50">
        <v>1.0</v>
      </c>
      <c r="H528" s="50">
        <v>99.0</v>
      </c>
      <c r="I528" s="50" t="s">
        <v>1780</v>
      </c>
      <c r="J528" s="50" t="s">
        <v>1780</v>
      </c>
      <c r="K528" s="50" t="s">
        <v>26481</v>
      </c>
      <c r="L528" s="50" t="s">
        <v>26482</v>
      </c>
      <c r="M528" s="50" t="s">
        <v>26484</v>
      </c>
      <c r="N528" s="50" t="s">
        <v>26511</v>
      </c>
      <c r="O528" s="50">
        <v>0.0</v>
      </c>
      <c r="P528" s="116"/>
      <c r="Q528" s="116"/>
      <c r="R528" s="50" t="s">
        <v>26524</v>
      </c>
      <c r="S528" s="50">
        <v>6.0</v>
      </c>
      <c r="T528" s="50" t="s">
        <v>22634</v>
      </c>
      <c r="U528" s="117">
        <v>6111.0</v>
      </c>
      <c r="V528" s="50" t="s">
        <v>26527</v>
      </c>
      <c r="W528" s="50" t="s">
        <v>26528</v>
      </c>
      <c r="X528" s="117">
        <v>533.0</v>
      </c>
    </row>
    <row r="529">
      <c r="A529" s="50" t="s">
        <v>26529</v>
      </c>
      <c r="B529" s="50" t="s">
        <v>6876</v>
      </c>
      <c r="C529" s="50" t="s">
        <v>6877</v>
      </c>
      <c r="D529" s="50" t="s">
        <v>11623</v>
      </c>
      <c r="E529" s="50" t="s">
        <v>26531</v>
      </c>
      <c r="F529" s="50">
        <v>33.0</v>
      </c>
      <c r="G529" s="50">
        <v>1.0</v>
      </c>
      <c r="H529" s="50">
        <v>98.0</v>
      </c>
      <c r="I529" s="50" t="s">
        <v>1781</v>
      </c>
      <c r="J529" s="50" t="s">
        <v>1781</v>
      </c>
      <c r="K529" s="50" t="s">
        <v>13707</v>
      </c>
      <c r="L529" s="50" t="s">
        <v>26481</v>
      </c>
      <c r="M529" s="50" t="s">
        <v>26532</v>
      </c>
      <c r="N529" s="50" t="s">
        <v>13722</v>
      </c>
      <c r="O529" s="50">
        <v>0.0</v>
      </c>
      <c r="P529" s="116"/>
      <c r="Q529" s="116"/>
      <c r="R529" s="50" t="s">
        <v>23528</v>
      </c>
      <c r="S529" s="50">
        <v>6.0</v>
      </c>
      <c r="T529" s="50" t="s">
        <v>22634</v>
      </c>
      <c r="U529" s="117">
        <v>6112.0</v>
      </c>
      <c r="V529" s="50" t="s">
        <v>26534</v>
      </c>
      <c r="W529" s="50" t="s">
        <v>26535</v>
      </c>
      <c r="X529" s="117">
        <v>534.0</v>
      </c>
    </row>
    <row r="530">
      <c r="A530" s="50" t="s">
        <v>26537</v>
      </c>
      <c r="B530" s="50" t="s">
        <v>6876</v>
      </c>
      <c r="C530" s="50" t="s">
        <v>6877</v>
      </c>
      <c r="D530" s="50" t="s">
        <v>11623</v>
      </c>
      <c r="E530" s="50" t="s">
        <v>26539</v>
      </c>
      <c r="F530" s="50">
        <v>58.0</v>
      </c>
      <c r="G530" s="50">
        <v>1.0</v>
      </c>
      <c r="H530" s="50">
        <v>11.0</v>
      </c>
      <c r="I530" s="50" t="s">
        <v>1783</v>
      </c>
      <c r="J530" s="50" t="s">
        <v>1783</v>
      </c>
      <c r="K530" s="50" t="s">
        <v>26541</v>
      </c>
      <c r="L530" s="50" t="s">
        <v>26542</v>
      </c>
      <c r="M530" s="50" t="s">
        <v>26543</v>
      </c>
      <c r="N530" s="50" t="s">
        <v>26544</v>
      </c>
      <c r="O530" s="50">
        <v>1.0</v>
      </c>
      <c r="P530" s="144">
        <v>43810.0</v>
      </c>
      <c r="Q530" s="116"/>
      <c r="R530" s="116"/>
      <c r="S530" s="50">
        <v>4.0</v>
      </c>
      <c r="T530" s="50" t="s">
        <v>22634</v>
      </c>
      <c r="U530" s="117">
        <v>6234.0</v>
      </c>
      <c r="V530" s="50" t="s">
        <v>26545</v>
      </c>
      <c r="W530" s="50" t="s">
        <v>26546</v>
      </c>
      <c r="X530" s="117">
        <v>535.0</v>
      </c>
    </row>
    <row r="531">
      <c r="A531" s="50" t="s">
        <v>26547</v>
      </c>
      <c r="B531" s="50" t="s">
        <v>6876</v>
      </c>
      <c r="C531" s="50" t="s">
        <v>6877</v>
      </c>
      <c r="D531" s="50" t="s">
        <v>11623</v>
      </c>
      <c r="E531" s="50" t="s">
        <v>26548</v>
      </c>
      <c r="F531" s="50">
        <v>58.0</v>
      </c>
      <c r="G531" s="50">
        <v>1.0</v>
      </c>
      <c r="H531" s="50">
        <v>99.0</v>
      </c>
      <c r="I531" s="50" t="s">
        <v>1785</v>
      </c>
      <c r="J531" s="50" t="s">
        <v>1785</v>
      </c>
      <c r="K531" s="50" t="s">
        <v>26551</v>
      </c>
      <c r="L531" s="50" t="s">
        <v>26541</v>
      </c>
      <c r="M531" s="50" t="s">
        <v>26552</v>
      </c>
      <c r="N531" s="50" t="s">
        <v>26553</v>
      </c>
      <c r="O531" s="50">
        <v>1.0</v>
      </c>
      <c r="P531" s="144">
        <v>43810.0</v>
      </c>
      <c r="Q531" s="116"/>
      <c r="R531" s="50" t="s">
        <v>26554</v>
      </c>
      <c r="S531" s="50">
        <v>4.0</v>
      </c>
      <c r="T531" s="50" t="s">
        <v>22634</v>
      </c>
      <c r="U531" s="117">
        <v>6235.0</v>
      </c>
      <c r="V531" s="50" t="s">
        <v>26555</v>
      </c>
      <c r="W531" s="50" t="s">
        <v>26556</v>
      </c>
      <c r="X531" s="117">
        <v>536.0</v>
      </c>
    </row>
    <row r="532">
      <c r="A532" s="50" t="s">
        <v>26558</v>
      </c>
      <c r="B532" s="50" t="s">
        <v>6876</v>
      </c>
      <c r="C532" s="50" t="s">
        <v>6877</v>
      </c>
      <c r="D532" s="50" t="s">
        <v>11623</v>
      </c>
      <c r="E532" s="50" t="s">
        <v>26559</v>
      </c>
      <c r="F532" s="50">
        <v>59.0</v>
      </c>
      <c r="G532" s="50">
        <v>1.0</v>
      </c>
      <c r="H532" s="50">
        <v>11.0</v>
      </c>
      <c r="I532" s="50" t="s">
        <v>1786</v>
      </c>
      <c r="J532" s="50" t="s">
        <v>1786</v>
      </c>
      <c r="K532" s="50" t="s">
        <v>26541</v>
      </c>
      <c r="L532" s="50" t="s">
        <v>26542</v>
      </c>
      <c r="M532" s="50" t="s">
        <v>26543</v>
      </c>
      <c r="N532" s="50" t="s">
        <v>26560</v>
      </c>
      <c r="O532" s="50">
        <v>1.0</v>
      </c>
      <c r="P532" s="144">
        <v>43810.0</v>
      </c>
      <c r="Q532" s="116"/>
      <c r="R532" s="116"/>
      <c r="S532" s="50">
        <v>4.0</v>
      </c>
      <c r="T532" s="50" t="s">
        <v>22634</v>
      </c>
      <c r="U532" s="117">
        <v>6236.0</v>
      </c>
      <c r="V532" s="50" t="s">
        <v>26561</v>
      </c>
      <c r="W532" s="50" t="s">
        <v>26562</v>
      </c>
      <c r="X532" s="117">
        <v>537.0</v>
      </c>
    </row>
    <row r="533">
      <c r="A533" s="50" t="s">
        <v>26559</v>
      </c>
      <c r="B533" s="50" t="s">
        <v>6876</v>
      </c>
      <c r="C533" s="50" t="s">
        <v>6877</v>
      </c>
      <c r="D533" s="50" t="s">
        <v>11623</v>
      </c>
      <c r="E533" s="50" t="s">
        <v>26565</v>
      </c>
      <c r="F533" s="50">
        <v>59.0</v>
      </c>
      <c r="G533" s="50">
        <v>1.0</v>
      </c>
      <c r="H533" s="50">
        <v>99.0</v>
      </c>
      <c r="I533" s="50" t="s">
        <v>1788</v>
      </c>
      <c r="J533" s="50" t="s">
        <v>1788</v>
      </c>
      <c r="K533" s="50" t="s">
        <v>26551</v>
      </c>
      <c r="L533" s="50" t="s">
        <v>26541</v>
      </c>
      <c r="M533" s="50" t="s">
        <v>26552</v>
      </c>
      <c r="N533" s="50" t="s">
        <v>26567</v>
      </c>
      <c r="O533" s="50">
        <v>0.0</v>
      </c>
      <c r="P533" s="116"/>
      <c r="Q533" s="116"/>
      <c r="R533" s="50" t="s">
        <v>26568</v>
      </c>
      <c r="S533" s="50">
        <v>4.0</v>
      </c>
      <c r="T533" s="50" t="s">
        <v>22634</v>
      </c>
      <c r="U533" s="117">
        <v>6237.0</v>
      </c>
      <c r="V533" s="50" t="s">
        <v>26569</v>
      </c>
      <c r="W533" s="50" t="s">
        <v>26570</v>
      </c>
      <c r="X533" s="117">
        <v>538.0</v>
      </c>
    </row>
    <row r="534">
      <c r="A534" s="50" t="s">
        <v>26565</v>
      </c>
      <c r="B534" s="50" t="s">
        <v>6876</v>
      </c>
      <c r="C534" s="50" t="s">
        <v>6877</v>
      </c>
      <c r="D534" s="50" t="s">
        <v>11623</v>
      </c>
      <c r="E534" s="50" t="s">
        <v>26571</v>
      </c>
      <c r="F534" s="50">
        <v>59.0</v>
      </c>
      <c r="G534" s="50">
        <v>1.0</v>
      </c>
      <c r="H534" s="50">
        <v>11.0</v>
      </c>
      <c r="I534" s="50" t="s">
        <v>1789</v>
      </c>
      <c r="J534" s="50" t="s">
        <v>1789</v>
      </c>
      <c r="K534" s="50" t="s">
        <v>26541</v>
      </c>
      <c r="L534" s="50" t="s">
        <v>26542</v>
      </c>
      <c r="M534" s="50" t="s">
        <v>26543</v>
      </c>
      <c r="N534" s="50" t="s">
        <v>26574</v>
      </c>
      <c r="O534" s="50">
        <v>1.0</v>
      </c>
      <c r="P534" s="144">
        <v>43810.0</v>
      </c>
      <c r="Q534" s="116"/>
      <c r="R534" s="116"/>
      <c r="S534" s="50">
        <v>4.0</v>
      </c>
      <c r="T534" s="50" t="s">
        <v>22634</v>
      </c>
      <c r="U534" s="117">
        <v>6238.0</v>
      </c>
      <c r="V534" s="50" t="s">
        <v>26576</v>
      </c>
      <c r="W534" s="50" t="s">
        <v>26577</v>
      </c>
      <c r="X534" s="117">
        <v>539.0</v>
      </c>
    </row>
    <row r="535">
      <c r="A535" s="50" t="s">
        <v>26571</v>
      </c>
      <c r="B535" s="50" t="s">
        <v>6876</v>
      </c>
      <c r="C535" s="50" t="s">
        <v>6877</v>
      </c>
      <c r="D535" s="50" t="s">
        <v>11623</v>
      </c>
      <c r="E535" s="50" t="s">
        <v>26579</v>
      </c>
      <c r="F535" s="50">
        <v>59.0</v>
      </c>
      <c r="G535" s="50">
        <v>1.0</v>
      </c>
      <c r="H535" s="50">
        <v>99.0</v>
      </c>
      <c r="I535" s="50" t="s">
        <v>1791</v>
      </c>
      <c r="J535" s="50" t="s">
        <v>1791</v>
      </c>
      <c r="K535" s="50" t="s">
        <v>26551</v>
      </c>
      <c r="L535" s="50" t="s">
        <v>26542</v>
      </c>
      <c r="M535" s="50" t="s">
        <v>26552</v>
      </c>
      <c r="N535" s="50" t="s">
        <v>26567</v>
      </c>
      <c r="O535" s="50">
        <v>0.0</v>
      </c>
      <c r="P535" s="116"/>
      <c r="Q535" s="116"/>
      <c r="R535" s="50" t="s">
        <v>26580</v>
      </c>
      <c r="S535" s="50">
        <v>4.0</v>
      </c>
      <c r="T535" s="50" t="s">
        <v>22634</v>
      </c>
      <c r="U535" s="117">
        <v>6239.0</v>
      </c>
      <c r="V535" s="50" t="s">
        <v>26581</v>
      </c>
      <c r="W535" s="50" t="s">
        <v>26582</v>
      </c>
      <c r="X535" s="117">
        <v>540.0</v>
      </c>
    </row>
    <row r="536">
      <c r="A536" s="50" t="s">
        <v>26583</v>
      </c>
      <c r="B536" s="50" t="s">
        <v>6876</v>
      </c>
      <c r="C536" s="50" t="s">
        <v>6877</v>
      </c>
      <c r="D536" s="50" t="s">
        <v>11623</v>
      </c>
      <c r="E536" s="50" t="s">
        <v>26584</v>
      </c>
      <c r="F536" s="50">
        <v>59.0</v>
      </c>
      <c r="G536" s="50">
        <v>1.0</v>
      </c>
      <c r="H536" s="50">
        <v>11.0</v>
      </c>
      <c r="I536" s="50" t="s">
        <v>1792</v>
      </c>
      <c r="J536" s="50" t="s">
        <v>1792</v>
      </c>
      <c r="K536" s="50" t="s">
        <v>26541</v>
      </c>
      <c r="L536" s="50" t="s">
        <v>26542</v>
      </c>
      <c r="M536" s="50" t="s">
        <v>26543</v>
      </c>
      <c r="N536" s="50" t="s">
        <v>26587</v>
      </c>
      <c r="O536" s="50">
        <v>1.0</v>
      </c>
      <c r="P536" s="144">
        <v>43810.0</v>
      </c>
      <c r="Q536" s="116"/>
      <c r="R536" s="116"/>
      <c r="S536" s="50">
        <v>4.0</v>
      </c>
      <c r="T536" s="50" t="s">
        <v>22634</v>
      </c>
      <c r="U536" s="117">
        <v>6240.0</v>
      </c>
      <c r="V536" s="50" t="s">
        <v>26589</v>
      </c>
      <c r="W536" s="50" t="s">
        <v>26590</v>
      </c>
      <c r="X536" s="117">
        <v>541.0</v>
      </c>
    </row>
    <row r="537">
      <c r="A537" s="50" t="s">
        <v>26584</v>
      </c>
      <c r="B537" s="50" t="s">
        <v>6876</v>
      </c>
      <c r="C537" s="50" t="s">
        <v>6877</v>
      </c>
      <c r="D537" s="50" t="s">
        <v>11623</v>
      </c>
      <c r="E537" s="50" t="s">
        <v>26591</v>
      </c>
      <c r="F537" s="50">
        <v>59.0</v>
      </c>
      <c r="G537" s="50">
        <v>1.0</v>
      </c>
      <c r="H537" s="50">
        <v>99.0</v>
      </c>
      <c r="I537" s="50" t="s">
        <v>1794</v>
      </c>
      <c r="J537" s="50" t="s">
        <v>1794</v>
      </c>
      <c r="K537" s="50" t="s">
        <v>26551</v>
      </c>
      <c r="L537" s="50" t="s">
        <v>26541</v>
      </c>
      <c r="M537" s="50" t="s">
        <v>26552</v>
      </c>
      <c r="N537" s="50" t="s">
        <v>26592</v>
      </c>
      <c r="O537" s="50">
        <v>0.0</v>
      </c>
      <c r="P537" s="116"/>
      <c r="Q537" s="116"/>
      <c r="R537" s="50" t="s">
        <v>26595</v>
      </c>
      <c r="S537" s="50">
        <v>4.0</v>
      </c>
      <c r="T537" s="50" t="s">
        <v>22634</v>
      </c>
      <c r="U537" s="117">
        <v>6241.0</v>
      </c>
      <c r="V537" s="50" t="s">
        <v>26596</v>
      </c>
      <c r="W537" s="50" t="s">
        <v>26597</v>
      </c>
      <c r="X537" s="117">
        <v>542.0</v>
      </c>
    </row>
    <row r="538">
      <c r="A538" s="50" t="s">
        <v>26591</v>
      </c>
      <c r="B538" s="50" t="s">
        <v>6876</v>
      </c>
      <c r="C538" s="50" t="s">
        <v>6877</v>
      </c>
      <c r="D538" s="50" t="s">
        <v>11623</v>
      </c>
      <c r="E538" s="50" t="s">
        <v>26599</v>
      </c>
      <c r="F538" s="50">
        <v>59.0</v>
      </c>
      <c r="G538" s="50">
        <v>1.0</v>
      </c>
      <c r="H538" s="50">
        <v>98.0</v>
      </c>
      <c r="I538" s="50" t="s">
        <v>1795</v>
      </c>
      <c r="J538" s="50" t="s">
        <v>1795</v>
      </c>
      <c r="K538" s="50" t="s">
        <v>26600</v>
      </c>
      <c r="L538" s="50" t="s">
        <v>26551</v>
      </c>
      <c r="M538" s="50" t="s">
        <v>26601</v>
      </c>
      <c r="N538" s="50" t="s">
        <v>26602</v>
      </c>
      <c r="O538" s="50">
        <v>0.0</v>
      </c>
      <c r="P538" s="116"/>
      <c r="Q538" s="116"/>
      <c r="R538" s="50" t="s">
        <v>23528</v>
      </c>
      <c r="S538" s="50">
        <v>4.0</v>
      </c>
      <c r="T538" s="50" t="s">
        <v>22634</v>
      </c>
      <c r="U538" s="117">
        <v>6242.0</v>
      </c>
      <c r="V538" s="50" t="s">
        <v>26603</v>
      </c>
      <c r="W538" s="50" t="s">
        <v>26604</v>
      </c>
      <c r="X538" s="117">
        <v>543.0</v>
      </c>
    </row>
    <row r="539">
      <c r="A539" s="50" t="s">
        <v>26599</v>
      </c>
      <c r="B539" s="50" t="s">
        <v>6876</v>
      </c>
      <c r="C539" s="50" t="s">
        <v>6877</v>
      </c>
      <c r="D539" s="50" t="s">
        <v>11623</v>
      </c>
      <c r="E539" s="50" t="s">
        <v>26607</v>
      </c>
      <c r="F539" s="50">
        <v>56.0</v>
      </c>
      <c r="G539" s="50">
        <v>1.0</v>
      </c>
      <c r="H539" s="50">
        <v>12.0</v>
      </c>
      <c r="I539" s="50" t="s">
        <v>1797</v>
      </c>
      <c r="J539" s="50" t="s">
        <v>1797</v>
      </c>
      <c r="K539" s="50" t="s">
        <v>26609</v>
      </c>
      <c r="L539" s="50" t="s">
        <v>26552</v>
      </c>
      <c r="M539" s="50" t="s">
        <v>26610</v>
      </c>
      <c r="N539" s="50" t="s">
        <v>26611</v>
      </c>
      <c r="O539" s="50">
        <v>1.0</v>
      </c>
      <c r="P539" s="144">
        <v>43810.0</v>
      </c>
      <c r="Q539" s="116"/>
      <c r="R539" s="116"/>
      <c r="S539" s="50">
        <v>4.0</v>
      </c>
      <c r="T539" s="50" t="s">
        <v>22634</v>
      </c>
      <c r="U539" s="117">
        <v>6243.0</v>
      </c>
      <c r="V539" s="50" t="s">
        <v>26612</v>
      </c>
      <c r="W539" s="50" t="s">
        <v>26613</v>
      </c>
      <c r="X539" s="117">
        <v>544.0</v>
      </c>
    </row>
    <row r="540">
      <c r="A540" s="50" t="s">
        <v>26607</v>
      </c>
      <c r="B540" s="50" t="s">
        <v>6876</v>
      </c>
      <c r="C540" s="50" t="s">
        <v>6877</v>
      </c>
      <c r="D540" s="50" t="s">
        <v>11623</v>
      </c>
      <c r="E540" s="50" t="s">
        <v>26614</v>
      </c>
      <c r="F540" s="50">
        <v>56.0</v>
      </c>
      <c r="G540" s="50">
        <v>1.0</v>
      </c>
      <c r="H540" s="50">
        <v>99.0</v>
      </c>
      <c r="I540" s="50" t="s">
        <v>1799</v>
      </c>
      <c r="J540" s="50" t="s">
        <v>1799</v>
      </c>
      <c r="K540" s="50" t="s">
        <v>26617</v>
      </c>
      <c r="L540" s="50" t="s">
        <v>26618</v>
      </c>
      <c r="M540" s="50" t="s">
        <v>14004</v>
      </c>
      <c r="N540" s="50" t="s">
        <v>26619</v>
      </c>
      <c r="O540" s="50">
        <v>0.0</v>
      </c>
      <c r="P540" s="116"/>
      <c r="Q540" s="116"/>
      <c r="R540" s="50" t="s">
        <v>26621</v>
      </c>
      <c r="S540" s="50">
        <v>4.0</v>
      </c>
      <c r="T540" s="50" t="s">
        <v>22634</v>
      </c>
      <c r="U540" s="117">
        <v>6244.0</v>
      </c>
      <c r="V540" s="50" t="s">
        <v>26622</v>
      </c>
      <c r="W540" s="50" t="s">
        <v>26623</v>
      </c>
      <c r="X540" s="117">
        <v>545.0</v>
      </c>
    </row>
    <row r="541">
      <c r="A541" s="50" t="s">
        <v>26624</v>
      </c>
      <c r="B541" s="50" t="s">
        <v>6876</v>
      </c>
      <c r="C541" s="50" t="s">
        <v>6877</v>
      </c>
      <c r="D541" s="50" t="s">
        <v>11623</v>
      </c>
      <c r="E541" s="50" t="s">
        <v>26625</v>
      </c>
      <c r="F541" s="50">
        <v>55.0</v>
      </c>
      <c r="G541" s="50">
        <v>1.0</v>
      </c>
      <c r="H541" s="50">
        <v>12.0</v>
      </c>
      <c r="I541" s="50" t="s">
        <v>1800</v>
      </c>
      <c r="J541" s="50" t="s">
        <v>1800</v>
      </c>
      <c r="K541" s="50" t="s">
        <v>26609</v>
      </c>
      <c r="L541" s="50" t="s">
        <v>26552</v>
      </c>
      <c r="M541" s="50" t="s">
        <v>26610</v>
      </c>
      <c r="N541" s="50" t="s">
        <v>26626</v>
      </c>
      <c r="O541" s="50">
        <v>1.0</v>
      </c>
      <c r="P541" s="144">
        <v>43810.0</v>
      </c>
      <c r="Q541" s="116"/>
      <c r="R541" s="116"/>
      <c r="S541" s="50">
        <v>4.0</v>
      </c>
      <c r="T541" s="50" t="s">
        <v>22634</v>
      </c>
      <c r="U541" s="117">
        <v>6245.0</v>
      </c>
      <c r="V541" s="50" t="s">
        <v>26629</v>
      </c>
      <c r="W541" s="50" t="s">
        <v>26630</v>
      </c>
      <c r="X541" s="117">
        <v>546.0</v>
      </c>
    </row>
    <row r="542">
      <c r="A542" s="50" t="s">
        <v>26625</v>
      </c>
      <c r="B542" s="50" t="s">
        <v>6876</v>
      </c>
      <c r="C542" s="50" t="s">
        <v>6877</v>
      </c>
      <c r="D542" s="50" t="s">
        <v>11623</v>
      </c>
      <c r="E542" s="50" t="s">
        <v>26632</v>
      </c>
      <c r="F542" s="50">
        <v>55.0</v>
      </c>
      <c r="G542" s="50">
        <v>1.0</v>
      </c>
      <c r="H542" s="50">
        <v>99.0</v>
      </c>
      <c r="I542" s="50" t="s">
        <v>1802</v>
      </c>
      <c r="J542" s="50" t="s">
        <v>1802</v>
      </c>
      <c r="K542" s="50" t="s">
        <v>26617</v>
      </c>
      <c r="L542" s="50" t="s">
        <v>26618</v>
      </c>
      <c r="M542" s="50" t="s">
        <v>14004</v>
      </c>
      <c r="N542" s="50" t="s">
        <v>26633</v>
      </c>
      <c r="O542" s="50">
        <v>0.0</v>
      </c>
      <c r="P542" s="116"/>
      <c r="Q542" s="116"/>
      <c r="R542" s="50" t="s">
        <v>26634</v>
      </c>
      <c r="S542" s="50">
        <v>4.0</v>
      </c>
      <c r="T542" s="50" t="s">
        <v>22634</v>
      </c>
      <c r="U542" s="117">
        <v>6246.0</v>
      </c>
      <c r="V542" s="50" t="s">
        <v>26635</v>
      </c>
      <c r="W542" s="50" t="s">
        <v>26636</v>
      </c>
      <c r="X542" s="117">
        <v>547.0</v>
      </c>
    </row>
    <row r="543">
      <c r="A543" s="50" t="s">
        <v>26632</v>
      </c>
      <c r="B543" s="50" t="s">
        <v>6876</v>
      </c>
      <c r="C543" s="50" t="s">
        <v>6877</v>
      </c>
      <c r="D543" s="50" t="s">
        <v>11623</v>
      </c>
      <c r="E543" s="50" t="s">
        <v>26639</v>
      </c>
      <c r="F543" s="50">
        <v>59.0</v>
      </c>
      <c r="G543" s="50">
        <v>1.0</v>
      </c>
      <c r="H543" s="50">
        <v>11.0</v>
      </c>
      <c r="I543" s="51" t="s">
        <v>359</v>
      </c>
      <c r="J543" s="51" t="s">
        <v>359</v>
      </c>
      <c r="K543" s="50" t="s">
        <v>26609</v>
      </c>
      <c r="L543" s="50" t="s">
        <v>26552</v>
      </c>
      <c r="M543" s="50" t="s">
        <v>26610</v>
      </c>
      <c r="N543" s="50" t="s">
        <v>26641</v>
      </c>
      <c r="O543" s="50">
        <v>1.0</v>
      </c>
      <c r="P543" s="144">
        <v>43810.0</v>
      </c>
      <c r="Q543" s="116"/>
      <c r="R543" s="116"/>
      <c r="S543" s="50">
        <v>4.0</v>
      </c>
      <c r="T543" s="50" t="s">
        <v>22634</v>
      </c>
      <c r="U543" s="117">
        <v>6247.0</v>
      </c>
      <c r="V543" s="50" t="s">
        <v>26642</v>
      </c>
      <c r="W543" s="50" t="s">
        <v>26644</v>
      </c>
      <c r="X543" s="117">
        <v>548.0</v>
      </c>
    </row>
    <row r="544">
      <c r="A544" s="50" t="s">
        <v>26639</v>
      </c>
      <c r="B544" s="50" t="s">
        <v>6876</v>
      </c>
      <c r="C544" s="50" t="s">
        <v>6877</v>
      </c>
      <c r="D544" s="50" t="s">
        <v>11623</v>
      </c>
      <c r="E544" s="50" t="s">
        <v>26646</v>
      </c>
      <c r="F544" s="50">
        <v>59.0</v>
      </c>
      <c r="G544" s="50">
        <v>1.0</v>
      </c>
      <c r="H544" s="50">
        <v>99.0</v>
      </c>
      <c r="I544" s="50" t="s">
        <v>1804</v>
      </c>
      <c r="J544" s="50" t="s">
        <v>1804</v>
      </c>
      <c r="K544" s="50" t="s">
        <v>26617</v>
      </c>
      <c r="L544" s="50" t="s">
        <v>26618</v>
      </c>
      <c r="M544" s="50" t="s">
        <v>14004</v>
      </c>
      <c r="N544" s="50" t="s">
        <v>26648</v>
      </c>
      <c r="O544" s="50">
        <v>0.0</v>
      </c>
      <c r="P544" s="116"/>
      <c r="Q544" s="116"/>
      <c r="R544" s="50" t="s">
        <v>26649</v>
      </c>
      <c r="S544" s="50">
        <v>4.0</v>
      </c>
      <c r="T544" s="50" t="s">
        <v>22634</v>
      </c>
      <c r="U544" s="117">
        <v>6248.0</v>
      </c>
      <c r="V544" s="50" t="s">
        <v>26650</v>
      </c>
      <c r="W544" s="50" t="s">
        <v>26651</v>
      </c>
      <c r="X544" s="117">
        <v>549.0</v>
      </c>
    </row>
    <row r="545">
      <c r="A545" s="50" t="s">
        <v>26646</v>
      </c>
      <c r="B545" s="50" t="s">
        <v>6876</v>
      </c>
      <c r="C545" s="50" t="s">
        <v>6877</v>
      </c>
      <c r="D545" s="50" t="s">
        <v>11623</v>
      </c>
      <c r="E545" s="50" t="s">
        <v>26652</v>
      </c>
      <c r="F545" s="50">
        <v>59.0</v>
      </c>
      <c r="G545" s="50">
        <v>1.0</v>
      </c>
      <c r="H545" s="50">
        <v>11.0</v>
      </c>
      <c r="I545" s="51" t="s">
        <v>363</v>
      </c>
      <c r="J545" s="51" t="s">
        <v>363</v>
      </c>
      <c r="K545" s="50" t="s">
        <v>26609</v>
      </c>
      <c r="L545" s="50" t="s">
        <v>26552</v>
      </c>
      <c r="M545" s="50" t="s">
        <v>26610</v>
      </c>
      <c r="N545" s="50" t="s">
        <v>26656</v>
      </c>
      <c r="O545" s="50">
        <v>1.0</v>
      </c>
      <c r="P545" s="144">
        <v>43810.0</v>
      </c>
      <c r="Q545" s="116"/>
      <c r="R545" s="116"/>
      <c r="S545" s="50">
        <v>4.0</v>
      </c>
      <c r="T545" s="50" t="s">
        <v>22634</v>
      </c>
      <c r="U545" s="117">
        <v>6249.0</v>
      </c>
      <c r="V545" s="50" t="s">
        <v>26658</v>
      </c>
      <c r="W545" s="50" t="s">
        <v>26659</v>
      </c>
      <c r="X545" s="117">
        <v>550.0</v>
      </c>
    </row>
    <row r="546">
      <c r="A546" s="50" t="s">
        <v>26652</v>
      </c>
      <c r="B546" s="50" t="s">
        <v>6876</v>
      </c>
      <c r="C546" s="50" t="s">
        <v>6877</v>
      </c>
      <c r="D546" s="50" t="s">
        <v>11623</v>
      </c>
      <c r="E546" s="50" t="s">
        <v>26660</v>
      </c>
      <c r="F546" s="50">
        <v>59.0</v>
      </c>
      <c r="G546" s="50">
        <v>1.0</v>
      </c>
      <c r="H546" s="50">
        <v>99.0</v>
      </c>
      <c r="I546" s="50" t="s">
        <v>1806</v>
      </c>
      <c r="J546" s="50" t="s">
        <v>1806</v>
      </c>
      <c r="K546" s="50" t="s">
        <v>26617</v>
      </c>
      <c r="L546" s="50" t="s">
        <v>26618</v>
      </c>
      <c r="M546" s="50" t="s">
        <v>14004</v>
      </c>
      <c r="N546" s="50" t="s">
        <v>26662</v>
      </c>
      <c r="O546" s="50">
        <v>0.0</v>
      </c>
      <c r="P546" s="116"/>
      <c r="Q546" s="116"/>
      <c r="R546" s="50" t="s">
        <v>26664</v>
      </c>
      <c r="S546" s="50">
        <v>4.0</v>
      </c>
      <c r="T546" s="50" t="s">
        <v>22634</v>
      </c>
      <c r="U546" s="117">
        <v>6250.0</v>
      </c>
      <c r="V546" s="50" t="s">
        <v>26665</v>
      </c>
      <c r="W546" s="50" t="s">
        <v>26666</v>
      </c>
      <c r="X546" s="117">
        <v>551.0</v>
      </c>
    </row>
    <row r="547">
      <c r="A547" s="50" t="s">
        <v>26660</v>
      </c>
      <c r="B547" s="50" t="s">
        <v>6876</v>
      </c>
      <c r="C547" s="50" t="s">
        <v>6877</v>
      </c>
      <c r="D547" s="50" t="s">
        <v>11623</v>
      </c>
      <c r="E547" s="50" t="s">
        <v>26668</v>
      </c>
      <c r="F547" s="50">
        <v>59.0</v>
      </c>
      <c r="G547" s="50">
        <v>1.0</v>
      </c>
      <c r="H547" s="50">
        <v>11.0</v>
      </c>
      <c r="I547" s="50" t="s">
        <v>1807</v>
      </c>
      <c r="J547" s="50" t="s">
        <v>1807</v>
      </c>
      <c r="K547" s="50" t="s">
        <v>26609</v>
      </c>
      <c r="L547" s="50" t="s">
        <v>26552</v>
      </c>
      <c r="M547" s="50" t="s">
        <v>26610</v>
      </c>
      <c r="N547" s="50" t="s">
        <v>26670</v>
      </c>
      <c r="O547" s="50">
        <v>1.0</v>
      </c>
      <c r="P547" s="144">
        <v>43810.0</v>
      </c>
      <c r="Q547" s="116"/>
      <c r="R547" s="116"/>
      <c r="S547" s="50">
        <v>4.0</v>
      </c>
      <c r="T547" s="50" t="s">
        <v>22634</v>
      </c>
      <c r="U547" s="117">
        <v>6251.0</v>
      </c>
      <c r="V547" s="50" t="s">
        <v>26671</v>
      </c>
      <c r="W547" s="50" t="s">
        <v>26672</v>
      </c>
      <c r="X547" s="117">
        <v>552.0</v>
      </c>
    </row>
    <row r="548">
      <c r="A548" s="50" t="s">
        <v>26673</v>
      </c>
      <c r="B548" s="50" t="s">
        <v>6876</v>
      </c>
      <c r="C548" s="50" t="s">
        <v>6877</v>
      </c>
      <c r="D548" s="50" t="s">
        <v>11623</v>
      </c>
      <c r="E548" s="50" t="s">
        <v>26676</v>
      </c>
      <c r="F548" s="50">
        <v>59.0</v>
      </c>
      <c r="G548" s="50">
        <v>1.0</v>
      </c>
      <c r="H548" s="50">
        <v>99.0</v>
      </c>
      <c r="I548" s="50" t="s">
        <v>1809</v>
      </c>
      <c r="J548" s="50" t="s">
        <v>1809</v>
      </c>
      <c r="K548" s="50" t="s">
        <v>26617</v>
      </c>
      <c r="L548" s="50" t="s">
        <v>26618</v>
      </c>
      <c r="M548" s="50" t="s">
        <v>14004</v>
      </c>
      <c r="N548" s="50" t="s">
        <v>26662</v>
      </c>
      <c r="O548" s="50">
        <v>1.0</v>
      </c>
      <c r="P548" s="144">
        <v>43810.0</v>
      </c>
      <c r="Q548" s="116"/>
      <c r="R548" s="50" t="s">
        <v>26678</v>
      </c>
      <c r="S548" s="50">
        <v>4.0</v>
      </c>
      <c r="T548" s="50" t="s">
        <v>22634</v>
      </c>
      <c r="U548" s="117">
        <v>6252.0</v>
      </c>
      <c r="V548" s="50" t="s">
        <v>26679</v>
      </c>
      <c r="W548" s="50" t="s">
        <v>26680</v>
      </c>
      <c r="X548" s="117">
        <v>553.0</v>
      </c>
    </row>
    <row r="549">
      <c r="A549" s="50" t="s">
        <v>26676</v>
      </c>
      <c r="B549" s="50" t="s">
        <v>6876</v>
      </c>
      <c r="C549" s="50" t="s">
        <v>6877</v>
      </c>
      <c r="D549" s="50" t="s">
        <v>11623</v>
      </c>
      <c r="E549" s="50" t="s">
        <v>26681</v>
      </c>
      <c r="F549" s="50">
        <v>59.0</v>
      </c>
      <c r="G549" s="50">
        <v>1.0</v>
      </c>
      <c r="H549" s="50">
        <v>11.0</v>
      </c>
      <c r="I549" s="50" t="s">
        <v>1810</v>
      </c>
      <c r="J549" s="50" t="s">
        <v>1810</v>
      </c>
      <c r="K549" s="50" t="s">
        <v>26609</v>
      </c>
      <c r="L549" s="50" t="s">
        <v>26552</v>
      </c>
      <c r="M549" s="50" t="s">
        <v>26610</v>
      </c>
      <c r="N549" s="50" t="s">
        <v>26670</v>
      </c>
      <c r="O549" s="50">
        <v>1.0</v>
      </c>
      <c r="P549" s="144">
        <v>43810.0</v>
      </c>
      <c r="Q549" s="116"/>
      <c r="R549" s="116"/>
      <c r="S549" s="50">
        <v>4.0</v>
      </c>
      <c r="T549" s="50" t="s">
        <v>22634</v>
      </c>
      <c r="U549" s="117">
        <v>6253.0</v>
      </c>
      <c r="V549" s="50" t="s">
        <v>26684</v>
      </c>
      <c r="W549" s="50" t="s">
        <v>26685</v>
      </c>
      <c r="X549" s="117">
        <v>554.0</v>
      </c>
    </row>
    <row r="550">
      <c r="A550" s="50" t="s">
        <v>26681</v>
      </c>
      <c r="B550" s="50" t="s">
        <v>6876</v>
      </c>
      <c r="C550" s="50" t="s">
        <v>6877</v>
      </c>
      <c r="D550" s="50" t="s">
        <v>11623</v>
      </c>
      <c r="E550" s="50" t="s">
        <v>26687</v>
      </c>
      <c r="F550" s="50">
        <v>59.0</v>
      </c>
      <c r="G550" s="50">
        <v>1.0</v>
      </c>
      <c r="H550" s="50">
        <v>99.0</v>
      </c>
      <c r="I550" s="50" t="s">
        <v>1812</v>
      </c>
      <c r="J550" s="50" t="s">
        <v>1812</v>
      </c>
      <c r="K550" s="50" t="s">
        <v>26617</v>
      </c>
      <c r="L550" s="50" t="s">
        <v>26618</v>
      </c>
      <c r="M550" s="50" t="s">
        <v>14004</v>
      </c>
      <c r="N550" s="50" t="s">
        <v>26688</v>
      </c>
      <c r="O550" s="50">
        <v>0.0</v>
      </c>
      <c r="P550" s="116"/>
      <c r="Q550" s="116"/>
      <c r="R550" s="50" t="s">
        <v>26689</v>
      </c>
      <c r="S550" s="50">
        <v>4.0</v>
      </c>
      <c r="T550" s="50" t="s">
        <v>22634</v>
      </c>
      <c r="U550" s="117">
        <v>6254.0</v>
      </c>
      <c r="V550" s="50" t="s">
        <v>26690</v>
      </c>
      <c r="W550" s="50" t="s">
        <v>26691</v>
      </c>
      <c r="X550" s="117">
        <v>555.0</v>
      </c>
    </row>
    <row r="551">
      <c r="A551" s="50" t="s">
        <v>26687</v>
      </c>
      <c r="B551" s="50" t="s">
        <v>6876</v>
      </c>
      <c r="C551" s="50" t="s">
        <v>6877</v>
      </c>
      <c r="D551" s="50" t="s">
        <v>11623</v>
      </c>
      <c r="E551" s="50" t="s">
        <v>26694</v>
      </c>
      <c r="F551" s="50">
        <v>33.0</v>
      </c>
      <c r="G551" s="50">
        <v>1.0</v>
      </c>
      <c r="H551" s="50">
        <v>98.0</v>
      </c>
      <c r="I551" s="50" t="s">
        <v>1813</v>
      </c>
      <c r="J551" s="50" t="s">
        <v>1813</v>
      </c>
      <c r="K551" s="50" t="s">
        <v>26617</v>
      </c>
      <c r="L551" s="50" t="s">
        <v>26618</v>
      </c>
      <c r="M551" s="50" t="s">
        <v>14004</v>
      </c>
      <c r="N551" s="50" t="s">
        <v>26696</v>
      </c>
      <c r="O551" s="50">
        <v>0.0</v>
      </c>
      <c r="P551" s="116"/>
      <c r="Q551" s="116"/>
      <c r="R551" s="50" t="s">
        <v>23528</v>
      </c>
      <c r="S551" s="50">
        <v>4.0</v>
      </c>
      <c r="T551" s="50" t="s">
        <v>22634</v>
      </c>
      <c r="U551" s="117">
        <v>6255.0</v>
      </c>
      <c r="V551" s="50" t="s">
        <v>26697</v>
      </c>
      <c r="W551" s="50" t="s">
        <v>26698</v>
      </c>
      <c r="X551" s="117">
        <v>556.0</v>
      </c>
    </row>
    <row r="552">
      <c r="A552" s="50" t="s">
        <v>26699</v>
      </c>
      <c r="B552" s="50" t="s">
        <v>6876</v>
      </c>
      <c r="C552" s="50" t="s">
        <v>6877</v>
      </c>
      <c r="D552" s="50" t="s">
        <v>11623</v>
      </c>
      <c r="E552" s="50" t="s">
        <v>26700</v>
      </c>
      <c r="F552" s="50">
        <v>58.0</v>
      </c>
      <c r="G552" s="50">
        <v>1.0</v>
      </c>
      <c r="H552" s="50">
        <v>11.0</v>
      </c>
      <c r="I552" s="50" t="s">
        <v>1821</v>
      </c>
      <c r="J552" s="50" t="s">
        <v>1821</v>
      </c>
      <c r="K552" s="50" t="s">
        <v>26703</v>
      </c>
      <c r="L552" s="50" t="s">
        <v>26704</v>
      </c>
      <c r="M552" s="50" t="s">
        <v>26705</v>
      </c>
      <c r="N552" s="50" t="s">
        <v>26706</v>
      </c>
      <c r="O552" s="50">
        <v>0.0</v>
      </c>
      <c r="P552" s="116"/>
      <c r="Q552" s="116"/>
      <c r="R552" s="116"/>
      <c r="S552" s="50">
        <v>4.0</v>
      </c>
      <c r="T552" s="50" t="s">
        <v>22634</v>
      </c>
      <c r="U552" s="117">
        <v>6405.0</v>
      </c>
      <c r="V552" s="50" t="s">
        <v>26708</v>
      </c>
      <c r="W552" s="50" t="s">
        <v>26709</v>
      </c>
      <c r="X552" s="117">
        <v>557.0</v>
      </c>
    </row>
    <row r="553">
      <c r="A553" s="50" t="s">
        <v>26700</v>
      </c>
      <c r="B553" s="50" t="s">
        <v>6876</v>
      </c>
      <c r="C553" s="50" t="s">
        <v>6877</v>
      </c>
      <c r="D553" s="50" t="s">
        <v>11623</v>
      </c>
      <c r="E553" s="50" t="s">
        <v>26710</v>
      </c>
      <c r="F553" s="50">
        <v>58.0</v>
      </c>
      <c r="G553" s="50">
        <v>1.0</v>
      </c>
      <c r="H553" s="50">
        <v>99.0</v>
      </c>
      <c r="I553" s="50" t="s">
        <v>1823</v>
      </c>
      <c r="J553" s="50" t="s">
        <v>1823</v>
      </c>
      <c r="K553" s="50" t="s">
        <v>26711</v>
      </c>
      <c r="L553" s="50" t="s">
        <v>26712</v>
      </c>
      <c r="M553" s="50" t="s">
        <v>26713</v>
      </c>
      <c r="N553" s="50" t="s">
        <v>26714</v>
      </c>
      <c r="O553" s="50">
        <v>0.0</v>
      </c>
      <c r="P553" s="116"/>
      <c r="Q553" s="116"/>
      <c r="R553" s="116"/>
      <c r="S553" s="50">
        <v>4.0</v>
      </c>
      <c r="T553" s="50" t="s">
        <v>22634</v>
      </c>
      <c r="U553" s="117">
        <v>6406.0</v>
      </c>
      <c r="V553" s="50" t="s">
        <v>26717</v>
      </c>
      <c r="W553" s="50" t="s">
        <v>26718</v>
      </c>
      <c r="X553" s="117">
        <v>558.0</v>
      </c>
    </row>
    <row r="554">
      <c r="A554" s="50" t="s">
        <v>26710</v>
      </c>
      <c r="B554" s="50" t="s">
        <v>6876</v>
      </c>
      <c r="C554" s="50" t="s">
        <v>6877</v>
      </c>
      <c r="D554" s="50" t="s">
        <v>11623</v>
      </c>
      <c r="E554" s="50" t="s">
        <v>26720</v>
      </c>
      <c r="F554" s="50">
        <v>59.0</v>
      </c>
      <c r="G554" s="50">
        <v>1.0</v>
      </c>
      <c r="H554" s="50">
        <v>11.0</v>
      </c>
      <c r="I554" s="50" t="s">
        <v>1824</v>
      </c>
      <c r="J554" s="50" t="s">
        <v>1824</v>
      </c>
      <c r="K554" s="50" t="s">
        <v>26703</v>
      </c>
      <c r="L554" s="50" t="s">
        <v>26704</v>
      </c>
      <c r="M554" s="50" t="s">
        <v>26705</v>
      </c>
      <c r="N554" s="50" t="s">
        <v>26721</v>
      </c>
      <c r="O554" s="50">
        <v>0.0</v>
      </c>
      <c r="P554" s="116"/>
      <c r="Q554" s="116"/>
      <c r="R554" s="116"/>
      <c r="S554" s="50">
        <v>4.0</v>
      </c>
      <c r="T554" s="50" t="s">
        <v>22634</v>
      </c>
      <c r="U554" s="117">
        <v>6407.0</v>
      </c>
      <c r="V554" s="50" t="s">
        <v>26722</v>
      </c>
      <c r="W554" s="50" t="s">
        <v>26723</v>
      </c>
      <c r="X554" s="117">
        <v>559.0</v>
      </c>
    </row>
    <row r="555">
      <c r="A555" s="50" t="s">
        <v>26720</v>
      </c>
      <c r="B555" s="50" t="s">
        <v>6876</v>
      </c>
      <c r="C555" s="50" t="s">
        <v>6877</v>
      </c>
      <c r="D555" s="50" t="s">
        <v>11623</v>
      </c>
      <c r="E555" s="50" t="s">
        <v>26726</v>
      </c>
      <c r="F555" s="50">
        <v>59.0</v>
      </c>
      <c r="G555" s="50">
        <v>1.0</v>
      </c>
      <c r="H555" s="50">
        <v>99.0</v>
      </c>
      <c r="I555" s="50" t="s">
        <v>1826</v>
      </c>
      <c r="J555" s="50" t="s">
        <v>1826</v>
      </c>
      <c r="K555" s="50" t="s">
        <v>26711</v>
      </c>
      <c r="L555" s="50" t="s">
        <v>26712</v>
      </c>
      <c r="M555" s="50" t="s">
        <v>26713</v>
      </c>
      <c r="N555" s="50" t="s">
        <v>26728</v>
      </c>
      <c r="O555" s="50">
        <v>0.0</v>
      </c>
      <c r="P555" s="116"/>
      <c r="Q555" s="116"/>
      <c r="R555" s="50" t="s">
        <v>26729</v>
      </c>
      <c r="S555" s="50">
        <v>4.0</v>
      </c>
      <c r="T555" s="50" t="s">
        <v>22634</v>
      </c>
      <c r="U555" s="117">
        <v>6408.0</v>
      </c>
      <c r="V555" s="50" t="s">
        <v>26730</v>
      </c>
      <c r="W555" s="50" t="s">
        <v>26731</v>
      </c>
      <c r="X555" s="117">
        <v>560.0</v>
      </c>
    </row>
    <row r="556">
      <c r="A556" s="50" t="s">
        <v>26732</v>
      </c>
      <c r="B556" s="50" t="s">
        <v>6876</v>
      </c>
      <c r="C556" s="50" t="s">
        <v>6877</v>
      </c>
      <c r="D556" s="50" t="s">
        <v>11623</v>
      </c>
      <c r="E556" s="50" t="s">
        <v>26733</v>
      </c>
      <c r="F556" s="50">
        <v>59.0</v>
      </c>
      <c r="G556" s="50">
        <v>1.0</v>
      </c>
      <c r="H556" s="50">
        <v>11.0</v>
      </c>
      <c r="I556" s="50" t="s">
        <v>1827</v>
      </c>
      <c r="J556" s="50" t="s">
        <v>1827</v>
      </c>
      <c r="K556" s="50" t="s">
        <v>26703</v>
      </c>
      <c r="L556" s="50" t="s">
        <v>26704</v>
      </c>
      <c r="M556" s="50" t="s">
        <v>26736</v>
      </c>
      <c r="N556" s="50" t="s">
        <v>26737</v>
      </c>
      <c r="O556" s="50">
        <v>0.0</v>
      </c>
      <c r="P556" s="116"/>
      <c r="Q556" s="116"/>
      <c r="R556" s="116"/>
      <c r="S556" s="50">
        <v>4.0</v>
      </c>
      <c r="T556" s="50" t="s">
        <v>22634</v>
      </c>
      <c r="U556" s="117">
        <v>6409.0</v>
      </c>
      <c r="V556" s="50" t="s">
        <v>26739</v>
      </c>
      <c r="W556" s="50" t="s">
        <v>26740</v>
      </c>
      <c r="X556" s="117">
        <v>561.0</v>
      </c>
    </row>
    <row r="557">
      <c r="A557" s="50" t="s">
        <v>26733</v>
      </c>
      <c r="B557" s="50" t="s">
        <v>6876</v>
      </c>
      <c r="C557" s="50" t="s">
        <v>6877</v>
      </c>
      <c r="D557" s="50" t="s">
        <v>11623</v>
      </c>
      <c r="E557" s="50" t="s">
        <v>26741</v>
      </c>
      <c r="F557" s="50">
        <v>59.0</v>
      </c>
      <c r="G557" s="50">
        <v>1.0</v>
      </c>
      <c r="H557" s="50">
        <v>99.0</v>
      </c>
      <c r="I557" s="50" t="s">
        <v>1829</v>
      </c>
      <c r="J557" s="50" t="s">
        <v>1829</v>
      </c>
      <c r="K557" s="50" t="s">
        <v>26711</v>
      </c>
      <c r="L557" s="50" t="s">
        <v>26712</v>
      </c>
      <c r="M557" s="50" t="s">
        <v>26713</v>
      </c>
      <c r="N557" s="50" t="s">
        <v>26742</v>
      </c>
      <c r="O557" s="50">
        <v>0.0</v>
      </c>
      <c r="P557" s="116"/>
      <c r="Q557" s="116"/>
      <c r="R557" s="50" t="s">
        <v>26743</v>
      </c>
      <c r="S557" s="50">
        <v>4.0</v>
      </c>
      <c r="T557" s="50" t="s">
        <v>22634</v>
      </c>
      <c r="U557" s="117">
        <v>6410.0</v>
      </c>
      <c r="V557" s="50" t="s">
        <v>26744</v>
      </c>
      <c r="W557" s="50" t="s">
        <v>26745</v>
      </c>
      <c r="X557" s="117">
        <v>562.0</v>
      </c>
    </row>
    <row r="558">
      <c r="A558" s="50" t="s">
        <v>26741</v>
      </c>
      <c r="B558" s="50" t="s">
        <v>6876</v>
      </c>
      <c r="C558" s="50" t="s">
        <v>6877</v>
      </c>
      <c r="D558" s="50" t="s">
        <v>11623</v>
      </c>
      <c r="E558" s="50" t="s">
        <v>26748</v>
      </c>
      <c r="F558" s="50">
        <v>59.0</v>
      </c>
      <c r="G558" s="50">
        <v>1.0</v>
      </c>
      <c r="H558" s="50">
        <v>11.0</v>
      </c>
      <c r="I558" s="50" t="s">
        <v>1830</v>
      </c>
      <c r="J558" s="50" t="s">
        <v>1830</v>
      </c>
      <c r="K558" s="50" t="s">
        <v>26703</v>
      </c>
      <c r="L558" s="50" t="s">
        <v>26704</v>
      </c>
      <c r="M558" s="50" t="s">
        <v>26736</v>
      </c>
      <c r="N558" s="50" t="s">
        <v>26750</v>
      </c>
      <c r="O558" s="50">
        <v>0.0</v>
      </c>
      <c r="P558" s="116"/>
      <c r="Q558" s="116"/>
      <c r="R558" s="116"/>
      <c r="S558" s="50">
        <v>4.0</v>
      </c>
      <c r="T558" s="50" t="s">
        <v>22634</v>
      </c>
      <c r="U558" s="117">
        <v>6411.0</v>
      </c>
      <c r="V558" s="50" t="s">
        <v>26751</v>
      </c>
      <c r="W558" s="50" t="s">
        <v>26752</v>
      </c>
      <c r="X558" s="117">
        <v>563.0</v>
      </c>
    </row>
    <row r="559">
      <c r="A559" s="50" t="s">
        <v>26748</v>
      </c>
      <c r="B559" s="50" t="s">
        <v>6876</v>
      </c>
      <c r="C559" s="50" t="s">
        <v>6877</v>
      </c>
      <c r="D559" s="50" t="s">
        <v>11623</v>
      </c>
      <c r="E559" s="50" t="s">
        <v>26753</v>
      </c>
      <c r="F559" s="50">
        <v>59.0</v>
      </c>
      <c r="G559" s="50">
        <v>1.0</v>
      </c>
      <c r="H559" s="50">
        <v>99.0</v>
      </c>
      <c r="I559" s="50" t="s">
        <v>1833</v>
      </c>
      <c r="J559" s="50" t="s">
        <v>1833</v>
      </c>
      <c r="K559" s="50" t="s">
        <v>26711</v>
      </c>
      <c r="L559" s="50" t="s">
        <v>26712</v>
      </c>
      <c r="M559" s="50" t="s">
        <v>26713</v>
      </c>
      <c r="N559" s="50" t="s">
        <v>26742</v>
      </c>
      <c r="O559" s="50">
        <v>0.0</v>
      </c>
      <c r="P559" s="116"/>
      <c r="Q559" s="116"/>
      <c r="R559" s="50" t="s">
        <v>26756</v>
      </c>
      <c r="S559" s="50">
        <v>4.0</v>
      </c>
      <c r="T559" s="50" t="s">
        <v>22634</v>
      </c>
      <c r="U559" s="117">
        <v>6412.0</v>
      </c>
      <c r="V559" s="50" t="s">
        <v>26758</v>
      </c>
      <c r="W559" s="50" t="s">
        <v>26759</v>
      </c>
      <c r="X559" s="117">
        <v>564.0</v>
      </c>
    </row>
    <row r="560">
      <c r="A560" s="50" t="s">
        <v>26753</v>
      </c>
      <c r="B560" s="50" t="s">
        <v>6876</v>
      </c>
      <c r="C560" s="50" t="s">
        <v>6877</v>
      </c>
      <c r="D560" s="50" t="s">
        <v>11623</v>
      </c>
      <c r="E560" s="50" t="s">
        <v>26760</v>
      </c>
      <c r="F560" s="50">
        <v>59.0</v>
      </c>
      <c r="G560" s="50">
        <v>1.0</v>
      </c>
      <c r="H560" s="50">
        <v>11.0</v>
      </c>
      <c r="I560" s="50" t="s">
        <v>1834</v>
      </c>
      <c r="J560" s="50" t="s">
        <v>1834</v>
      </c>
      <c r="K560" s="50" t="s">
        <v>26703</v>
      </c>
      <c r="L560" s="50" t="s">
        <v>26704</v>
      </c>
      <c r="M560" s="50" t="s">
        <v>26762</v>
      </c>
      <c r="N560" s="50" t="s">
        <v>26763</v>
      </c>
      <c r="O560" s="50">
        <v>0.0</v>
      </c>
      <c r="P560" s="116"/>
      <c r="Q560" s="116"/>
      <c r="R560" s="116"/>
      <c r="S560" s="50">
        <v>4.0</v>
      </c>
      <c r="T560" s="50" t="s">
        <v>22634</v>
      </c>
      <c r="U560" s="117">
        <v>6413.0</v>
      </c>
      <c r="V560" s="50" t="s">
        <v>26764</v>
      </c>
      <c r="W560" s="50" t="s">
        <v>26765</v>
      </c>
      <c r="X560" s="117">
        <v>565.0</v>
      </c>
    </row>
    <row r="561">
      <c r="A561" s="50" t="s">
        <v>26760</v>
      </c>
      <c r="B561" s="50" t="s">
        <v>6876</v>
      </c>
      <c r="C561" s="50" t="s">
        <v>6877</v>
      </c>
      <c r="D561" s="50" t="s">
        <v>11623</v>
      </c>
      <c r="E561" s="50" t="s">
        <v>26768</v>
      </c>
      <c r="F561" s="50">
        <v>59.0</v>
      </c>
      <c r="G561" s="50">
        <v>1.0</v>
      </c>
      <c r="H561" s="50">
        <v>99.0</v>
      </c>
      <c r="I561" s="50" t="s">
        <v>1836</v>
      </c>
      <c r="J561" s="50" t="s">
        <v>1836</v>
      </c>
      <c r="K561" s="50" t="s">
        <v>26711</v>
      </c>
      <c r="L561" s="50" t="s">
        <v>26712</v>
      </c>
      <c r="M561" s="50" t="s">
        <v>26713</v>
      </c>
      <c r="N561" s="50" t="s">
        <v>26770</v>
      </c>
      <c r="O561" s="50">
        <v>1.0</v>
      </c>
      <c r="P561" s="144">
        <v>43812.0</v>
      </c>
      <c r="Q561" s="116"/>
      <c r="R561" s="50" t="s">
        <v>26771</v>
      </c>
      <c r="S561" s="50">
        <v>4.0</v>
      </c>
      <c r="T561" s="50" t="s">
        <v>22634</v>
      </c>
      <c r="U561" s="117">
        <v>6414.0</v>
      </c>
      <c r="V561" s="50" t="s">
        <v>26772</v>
      </c>
      <c r="W561" s="50" t="s">
        <v>26773</v>
      </c>
      <c r="X561" s="117">
        <v>566.0</v>
      </c>
    </row>
    <row r="562">
      <c r="A562" s="50" t="s">
        <v>26768</v>
      </c>
      <c r="B562" s="50" t="s">
        <v>6876</v>
      </c>
      <c r="C562" s="50" t="s">
        <v>6877</v>
      </c>
      <c r="D562" s="50" t="s">
        <v>11623</v>
      </c>
      <c r="E562" s="50" t="s">
        <v>26776</v>
      </c>
      <c r="F562" s="50">
        <v>66.0</v>
      </c>
      <c r="G562" s="50">
        <v>1.0</v>
      </c>
      <c r="H562" s="50">
        <v>12.0</v>
      </c>
      <c r="I562" s="50" t="s">
        <v>1837</v>
      </c>
      <c r="J562" s="50" t="s">
        <v>1837</v>
      </c>
      <c r="K562" s="50" t="s">
        <v>26778</v>
      </c>
      <c r="L562" s="50" t="s">
        <v>26779</v>
      </c>
      <c r="M562" s="50" t="s">
        <v>26780</v>
      </c>
      <c r="N562" s="50" t="s">
        <v>26781</v>
      </c>
      <c r="O562" s="50">
        <v>0.0</v>
      </c>
      <c r="P562" s="116"/>
      <c r="Q562" s="116"/>
      <c r="R562" s="116"/>
      <c r="S562" s="50">
        <v>4.0</v>
      </c>
      <c r="T562" s="50" t="s">
        <v>22634</v>
      </c>
      <c r="U562" s="117">
        <v>6415.0</v>
      </c>
      <c r="V562" s="50" t="s">
        <v>26782</v>
      </c>
      <c r="W562" s="50" t="s">
        <v>26783</v>
      </c>
      <c r="X562" s="117">
        <v>567.0</v>
      </c>
    </row>
    <row r="563">
      <c r="A563" s="50" t="s">
        <v>26776</v>
      </c>
      <c r="B563" s="50" t="s">
        <v>6876</v>
      </c>
      <c r="C563" s="50" t="s">
        <v>6877</v>
      </c>
      <c r="D563" s="50" t="s">
        <v>11623</v>
      </c>
      <c r="E563" s="50" t="s">
        <v>26784</v>
      </c>
      <c r="F563" s="50">
        <v>66.0</v>
      </c>
      <c r="G563" s="50">
        <v>1.0</v>
      </c>
      <c r="H563" s="50">
        <v>99.0</v>
      </c>
      <c r="I563" s="50" t="s">
        <v>1839</v>
      </c>
      <c r="J563" s="50" t="s">
        <v>1839</v>
      </c>
      <c r="K563" s="50" t="s">
        <v>26711</v>
      </c>
      <c r="L563" s="50" t="s">
        <v>26712</v>
      </c>
      <c r="M563" s="50" t="s">
        <v>26713</v>
      </c>
      <c r="N563" s="50" t="s">
        <v>26788</v>
      </c>
      <c r="O563" s="50">
        <v>0.0</v>
      </c>
      <c r="P563" s="116"/>
      <c r="Q563" s="116"/>
      <c r="R563" s="50" t="s">
        <v>26789</v>
      </c>
      <c r="S563" s="50">
        <v>4.0</v>
      </c>
      <c r="T563" s="50" t="s">
        <v>22634</v>
      </c>
      <c r="U563" s="117">
        <v>6416.0</v>
      </c>
      <c r="V563" s="50" t="s">
        <v>26791</v>
      </c>
      <c r="W563" s="50" t="s">
        <v>26792</v>
      </c>
      <c r="X563" s="117">
        <v>568.0</v>
      </c>
    </row>
    <row r="564">
      <c r="A564" s="50" t="s">
        <v>26784</v>
      </c>
      <c r="B564" s="50" t="s">
        <v>6876</v>
      </c>
      <c r="C564" s="50" t="s">
        <v>6877</v>
      </c>
      <c r="D564" s="50" t="s">
        <v>11623</v>
      </c>
      <c r="E564" s="50" t="s">
        <v>26793</v>
      </c>
      <c r="F564" s="50">
        <v>59.0</v>
      </c>
      <c r="G564" s="50">
        <v>1.0</v>
      </c>
      <c r="H564" s="50">
        <v>12.0</v>
      </c>
      <c r="I564" s="50" t="s">
        <v>1840</v>
      </c>
      <c r="J564" s="50" t="s">
        <v>1840</v>
      </c>
      <c r="K564" s="50" t="s">
        <v>26778</v>
      </c>
      <c r="L564" s="50" t="s">
        <v>26779</v>
      </c>
      <c r="M564" s="50" t="s">
        <v>26780</v>
      </c>
      <c r="N564" s="50" t="s">
        <v>26794</v>
      </c>
      <c r="O564" s="50">
        <v>0.0</v>
      </c>
      <c r="P564" s="116"/>
      <c r="Q564" s="116"/>
      <c r="R564" s="116"/>
      <c r="S564" s="50">
        <v>4.0</v>
      </c>
      <c r="T564" s="50" t="s">
        <v>22634</v>
      </c>
      <c r="U564" s="117">
        <v>6417.0</v>
      </c>
      <c r="V564" s="50" t="s">
        <v>26795</v>
      </c>
      <c r="W564" s="50" t="s">
        <v>26796</v>
      </c>
      <c r="X564" s="117">
        <v>569.0</v>
      </c>
    </row>
    <row r="565">
      <c r="A565" s="50" t="s">
        <v>26793</v>
      </c>
      <c r="B565" s="50" t="s">
        <v>6876</v>
      </c>
      <c r="C565" s="50" t="s">
        <v>6877</v>
      </c>
      <c r="D565" s="50" t="s">
        <v>11623</v>
      </c>
      <c r="E565" s="50" t="s">
        <v>26799</v>
      </c>
      <c r="F565" s="50">
        <v>33.0</v>
      </c>
      <c r="G565" s="50">
        <v>1.0</v>
      </c>
      <c r="H565" s="50">
        <v>98.0</v>
      </c>
      <c r="I565" s="50" t="s">
        <v>1844</v>
      </c>
      <c r="J565" s="50" t="s">
        <v>1844</v>
      </c>
      <c r="K565" s="50" t="s">
        <v>14186</v>
      </c>
      <c r="L565" s="50" t="s">
        <v>26711</v>
      </c>
      <c r="M565" s="50" t="s">
        <v>26801</v>
      </c>
      <c r="N565" s="50" t="s">
        <v>26802</v>
      </c>
      <c r="O565" s="50">
        <v>0.0</v>
      </c>
      <c r="P565" s="116"/>
      <c r="Q565" s="116"/>
      <c r="R565" s="50" t="s">
        <v>23528</v>
      </c>
      <c r="S565" s="50">
        <v>4.0</v>
      </c>
      <c r="T565" s="50" t="s">
        <v>22634</v>
      </c>
      <c r="U565" s="117">
        <v>6418.0</v>
      </c>
      <c r="V565" s="50" t="s">
        <v>26803</v>
      </c>
      <c r="W565" s="50" t="s">
        <v>26804</v>
      </c>
      <c r="X565" s="117">
        <v>570.0</v>
      </c>
    </row>
    <row r="566">
      <c r="A566" s="50" t="s">
        <v>26799</v>
      </c>
      <c r="B566" s="50" t="s">
        <v>6876</v>
      </c>
      <c r="C566" s="50" t="s">
        <v>6877</v>
      </c>
      <c r="D566" s="50" t="s">
        <v>11623</v>
      </c>
      <c r="E566" s="50" t="s">
        <v>26805</v>
      </c>
      <c r="F566" s="50">
        <v>59.0</v>
      </c>
      <c r="G566" s="50">
        <v>1.0</v>
      </c>
      <c r="H566" s="50">
        <v>99.0</v>
      </c>
      <c r="I566" s="50" t="s">
        <v>1842</v>
      </c>
      <c r="J566" s="50" t="s">
        <v>1842</v>
      </c>
      <c r="K566" s="50" t="s">
        <v>26711</v>
      </c>
      <c r="L566" s="50" t="s">
        <v>26712</v>
      </c>
      <c r="M566" s="50" t="s">
        <v>26713</v>
      </c>
      <c r="N566" s="50" t="s">
        <v>26802</v>
      </c>
      <c r="O566" s="50">
        <v>0.0</v>
      </c>
      <c r="P566" s="116"/>
      <c r="Q566" s="116"/>
      <c r="R566" s="50" t="s">
        <v>26808</v>
      </c>
      <c r="S566" s="50">
        <v>4.0</v>
      </c>
      <c r="T566" s="50" t="s">
        <v>22634</v>
      </c>
      <c r="U566" s="117">
        <v>6419.0</v>
      </c>
      <c r="V566" s="50" t="s">
        <v>26810</v>
      </c>
      <c r="W566" s="50" t="s">
        <v>26811</v>
      </c>
      <c r="X566" s="117">
        <v>571.0</v>
      </c>
    </row>
    <row r="567">
      <c r="A567" s="50" t="s">
        <v>26805</v>
      </c>
      <c r="B567" s="50" t="s">
        <v>6876</v>
      </c>
      <c r="C567" s="50" t="s">
        <v>6877</v>
      </c>
      <c r="D567" s="50" t="s">
        <v>11623</v>
      </c>
      <c r="E567" s="50" t="s">
        <v>26812</v>
      </c>
      <c r="F567" s="50">
        <v>59.0</v>
      </c>
      <c r="G567" s="50">
        <v>1.0</v>
      </c>
      <c r="H567" s="50">
        <v>11.0</v>
      </c>
      <c r="I567" s="50" t="s">
        <v>1845</v>
      </c>
      <c r="J567" s="50" t="s">
        <v>1845</v>
      </c>
      <c r="K567" s="50" t="s">
        <v>26713</v>
      </c>
      <c r="L567" s="50" t="s">
        <v>14221</v>
      </c>
      <c r="M567" s="50" t="s">
        <v>26813</v>
      </c>
      <c r="N567" s="50" t="s">
        <v>26814</v>
      </c>
      <c r="O567" s="50">
        <v>0.0</v>
      </c>
      <c r="P567" s="116"/>
      <c r="Q567" s="116"/>
      <c r="R567" s="116"/>
      <c r="S567" s="50">
        <v>4.0</v>
      </c>
      <c r="T567" s="50" t="s">
        <v>22634</v>
      </c>
      <c r="U567" s="117">
        <v>6420.0</v>
      </c>
      <c r="V567" s="50" t="s">
        <v>26817</v>
      </c>
      <c r="W567" s="50" t="s">
        <v>26818</v>
      </c>
      <c r="X567" s="117">
        <v>572.0</v>
      </c>
    </row>
    <row r="568">
      <c r="A568" s="50" t="s">
        <v>26812</v>
      </c>
      <c r="B568" s="50" t="s">
        <v>6876</v>
      </c>
      <c r="C568" s="50" t="s">
        <v>6877</v>
      </c>
      <c r="D568" s="50" t="s">
        <v>11623</v>
      </c>
      <c r="E568" s="50" t="s">
        <v>26820</v>
      </c>
      <c r="F568" s="50">
        <v>59.0</v>
      </c>
      <c r="G568" s="50">
        <v>1.0</v>
      </c>
      <c r="H568" s="50">
        <v>99.0</v>
      </c>
      <c r="I568" s="50" t="s">
        <v>1847</v>
      </c>
      <c r="J568" s="50" t="s">
        <v>1847</v>
      </c>
      <c r="K568" s="50" t="s">
        <v>26821</v>
      </c>
      <c r="L568" s="50" t="s">
        <v>14418</v>
      </c>
      <c r="M568" s="50" t="s">
        <v>26822</v>
      </c>
      <c r="N568" s="50" t="s">
        <v>26823</v>
      </c>
      <c r="O568" s="50">
        <v>1.0</v>
      </c>
      <c r="P568" s="144">
        <v>43813.0</v>
      </c>
      <c r="Q568" s="116"/>
      <c r="R568" s="50" t="s">
        <v>26824</v>
      </c>
      <c r="S568" s="50">
        <v>4.0</v>
      </c>
      <c r="T568" s="50" t="s">
        <v>22634</v>
      </c>
      <c r="U568" s="117">
        <v>6421.0</v>
      </c>
      <c r="V568" s="50" t="s">
        <v>26825</v>
      </c>
      <c r="W568" s="50" t="s">
        <v>26826</v>
      </c>
      <c r="X568" s="117">
        <v>573.0</v>
      </c>
    </row>
    <row r="569">
      <c r="A569" s="50" t="s">
        <v>26820</v>
      </c>
      <c r="B569" s="50" t="s">
        <v>6876</v>
      </c>
      <c r="C569" s="50" t="s">
        <v>6877</v>
      </c>
      <c r="D569" s="50" t="s">
        <v>11623</v>
      </c>
      <c r="E569" s="50" t="s">
        <v>26827</v>
      </c>
      <c r="F569" s="50">
        <v>59.0</v>
      </c>
      <c r="G569" s="50">
        <v>1.0</v>
      </c>
      <c r="H569" s="50">
        <v>11.0</v>
      </c>
      <c r="I569" s="50" t="s">
        <v>1848</v>
      </c>
      <c r="J569" s="50" t="s">
        <v>1848</v>
      </c>
      <c r="K569" s="50" t="s">
        <v>26713</v>
      </c>
      <c r="L569" s="50" t="s">
        <v>14221</v>
      </c>
      <c r="M569" s="50" t="s">
        <v>26813</v>
      </c>
      <c r="N569" s="50" t="s">
        <v>26830</v>
      </c>
      <c r="O569" s="50">
        <v>0.0</v>
      </c>
      <c r="P569" s="116"/>
      <c r="Q569" s="116"/>
      <c r="R569" s="116"/>
      <c r="S569" s="50">
        <v>4.0</v>
      </c>
      <c r="T569" s="50" t="s">
        <v>22634</v>
      </c>
      <c r="U569" s="117">
        <v>6422.0</v>
      </c>
      <c r="V569" s="50" t="s">
        <v>26832</v>
      </c>
      <c r="W569" s="50" t="s">
        <v>26833</v>
      </c>
      <c r="X569" s="117">
        <v>574.0</v>
      </c>
    </row>
    <row r="570">
      <c r="A570" s="50" t="s">
        <v>26827</v>
      </c>
      <c r="B570" s="50" t="s">
        <v>6876</v>
      </c>
      <c r="C570" s="50" t="s">
        <v>6877</v>
      </c>
      <c r="D570" s="50" t="s">
        <v>11623</v>
      </c>
      <c r="E570" s="50" t="s">
        <v>26835</v>
      </c>
      <c r="F570" s="50">
        <v>59.0</v>
      </c>
      <c r="G570" s="50">
        <v>1.0</v>
      </c>
      <c r="H570" s="50">
        <v>99.0</v>
      </c>
      <c r="I570" s="50" t="s">
        <v>1850</v>
      </c>
      <c r="J570" s="50" t="s">
        <v>1850</v>
      </c>
      <c r="K570" s="50" t="s">
        <v>26821</v>
      </c>
      <c r="L570" s="50" t="s">
        <v>14418</v>
      </c>
      <c r="M570" s="50" t="s">
        <v>26822</v>
      </c>
      <c r="N570" s="50" t="s">
        <v>26836</v>
      </c>
      <c r="O570" s="50">
        <v>0.0</v>
      </c>
      <c r="P570" s="116"/>
      <c r="Q570" s="116"/>
      <c r="R570" s="50" t="s">
        <v>26839</v>
      </c>
      <c r="S570" s="50">
        <v>4.0</v>
      </c>
      <c r="T570" s="50" t="s">
        <v>22634</v>
      </c>
      <c r="U570" s="117">
        <v>6423.0</v>
      </c>
      <c r="V570" s="50" t="s">
        <v>26841</v>
      </c>
      <c r="W570" s="50" t="s">
        <v>26842</v>
      </c>
      <c r="X570" s="117">
        <v>575.0</v>
      </c>
    </row>
    <row r="571">
      <c r="A571" s="50" t="s">
        <v>26835</v>
      </c>
      <c r="B571" s="50" t="s">
        <v>6876</v>
      </c>
      <c r="C571" s="50" t="s">
        <v>6877</v>
      </c>
      <c r="D571" s="50" t="s">
        <v>11623</v>
      </c>
      <c r="E571" s="50" t="s">
        <v>26844</v>
      </c>
      <c r="F571" s="50">
        <v>59.0</v>
      </c>
      <c r="G571" s="50">
        <v>1.0</v>
      </c>
      <c r="H571" s="50">
        <v>11.0</v>
      </c>
      <c r="I571" s="50" t="s">
        <v>1851</v>
      </c>
      <c r="J571" s="50" t="s">
        <v>1851</v>
      </c>
      <c r="K571" s="50" t="s">
        <v>26713</v>
      </c>
      <c r="L571" s="50" t="s">
        <v>14221</v>
      </c>
      <c r="M571" s="50" t="s">
        <v>26813</v>
      </c>
      <c r="N571" s="50" t="s">
        <v>26845</v>
      </c>
      <c r="O571" s="50">
        <v>0.0</v>
      </c>
      <c r="P571" s="116"/>
      <c r="Q571" s="116"/>
      <c r="R571" s="116"/>
      <c r="S571" s="50">
        <v>4.0</v>
      </c>
      <c r="T571" s="50" t="s">
        <v>22634</v>
      </c>
      <c r="U571" s="117">
        <v>6424.0</v>
      </c>
      <c r="V571" s="50" t="s">
        <v>26846</v>
      </c>
      <c r="W571" s="50" t="s">
        <v>26847</v>
      </c>
      <c r="X571" s="117">
        <v>576.0</v>
      </c>
    </row>
    <row r="572">
      <c r="A572" s="50" t="s">
        <v>26844</v>
      </c>
      <c r="B572" s="50" t="s">
        <v>6876</v>
      </c>
      <c r="C572" s="50" t="s">
        <v>6877</v>
      </c>
      <c r="D572" s="50" t="s">
        <v>11623</v>
      </c>
      <c r="E572" s="50" t="s">
        <v>26851</v>
      </c>
      <c r="F572" s="50">
        <v>59.0</v>
      </c>
      <c r="G572" s="50">
        <v>1.0</v>
      </c>
      <c r="H572" s="50">
        <v>99.0</v>
      </c>
      <c r="I572" s="50" t="s">
        <v>1853</v>
      </c>
      <c r="J572" s="50" t="s">
        <v>1853</v>
      </c>
      <c r="K572" s="50" t="s">
        <v>26821</v>
      </c>
      <c r="L572" s="50" t="s">
        <v>14418</v>
      </c>
      <c r="M572" s="50" t="s">
        <v>26822</v>
      </c>
      <c r="N572" s="50" t="s">
        <v>26853</v>
      </c>
      <c r="O572" s="50">
        <v>0.0</v>
      </c>
      <c r="P572" s="116"/>
      <c r="Q572" s="116"/>
      <c r="R572" s="50" t="s">
        <v>26854</v>
      </c>
      <c r="S572" s="50">
        <v>4.0</v>
      </c>
      <c r="T572" s="50" t="s">
        <v>22634</v>
      </c>
      <c r="U572" s="117">
        <v>6425.0</v>
      </c>
      <c r="V572" s="50" t="s">
        <v>26856</v>
      </c>
      <c r="W572" s="50" t="s">
        <v>26857</v>
      </c>
      <c r="X572" s="117">
        <v>577.0</v>
      </c>
    </row>
    <row r="573">
      <c r="A573" s="50" t="s">
        <v>26851</v>
      </c>
      <c r="B573" s="50" t="s">
        <v>6876</v>
      </c>
      <c r="C573" s="50" t="s">
        <v>6877</v>
      </c>
      <c r="D573" s="50" t="s">
        <v>11623</v>
      </c>
      <c r="E573" s="50" t="s">
        <v>26858</v>
      </c>
      <c r="F573" s="50">
        <v>59.0</v>
      </c>
      <c r="G573" s="50">
        <v>1.0</v>
      </c>
      <c r="H573" s="50">
        <v>11.0</v>
      </c>
      <c r="I573" s="50" t="s">
        <v>1854</v>
      </c>
      <c r="J573" s="50" t="s">
        <v>1854</v>
      </c>
      <c r="K573" s="50" t="s">
        <v>26713</v>
      </c>
      <c r="L573" s="50" t="s">
        <v>14221</v>
      </c>
      <c r="M573" s="50" t="s">
        <v>26813</v>
      </c>
      <c r="N573" s="50" t="s">
        <v>26861</v>
      </c>
      <c r="O573" s="50">
        <v>0.0</v>
      </c>
      <c r="P573" s="116"/>
      <c r="Q573" s="116"/>
      <c r="R573" s="116"/>
      <c r="S573" s="50">
        <v>4.0</v>
      </c>
      <c r="T573" s="50" t="s">
        <v>22634</v>
      </c>
      <c r="U573" s="117">
        <v>6426.0</v>
      </c>
      <c r="V573" s="50" t="s">
        <v>26863</v>
      </c>
      <c r="W573" s="50" t="s">
        <v>26864</v>
      </c>
      <c r="X573" s="117">
        <v>578.0</v>
      </c>
    </row>
    <row r="574">
      <c r="A574" s="50" t="s">
        <v>26858</v>
      </c>
      <c r="B574" s="50" t="s">
        <v>6876</v>
      </c>
      <c r="C574" s="50" t="s">
        <v>6877</v>
      </c>
      <c r="D574" s="50" t="s">
        <v>11623</v>
      </c>
      <c r="E574" s="50" t="s">
        <v>26865</v>
      </c>
      <c r="F574" s="50">
        <v>59.0</v>
      </c>
      <c r="G574" s="50">
        <v>1.0</v>
      </c>
      <c r="H574" s="50">
        <v>99.0</v>
      </c>
      <c r="I574" s="50" t="s">
        <v>1856</v>
      </c>
      <c r="J574" s="50" t="s">
        <v>1856</v>
      </c>
      <c r="K574" s="50" t="s">
        <v>26821</v>
      </c>
      <c r="L574" s="50" t="s">
        <v>14418</v>
      </c>
      <c r="M574" s="50" t="s">
        <v>26822</v>
      </c>
      <c r="N574" s="50" t="s">
        <v>26728</v>
      </c>
      <c r="O574" s="50">
        <v>0.0</v>
      </c>
      <c r="P574" s="116"/>
      <c r="Q574" s="116"/>
      <c r="R574" s="50" t="s">
        <v>26867</v>
      </c>
      <c r="S574" s="50">
        <v>4.0</v>
      </c>
      <c r="T574" s="50" t="s">
        <v>22634</v>
      </c>
      <c r="U574" s="117">
        <v>6427.0</v>
      </c>
      <c r="V574" s="50" t="s">
        <v>26869</v>
      </c>
      <c r="W574" s="50" t="s">
        <v>26870</v>
      </c>
      <c r="X574" s="117">
        <v>579.0</v>
      </c>
    </row>
    <row r="575">
      <c r="A575" s="50" t="s">
        <v>26865</v>
      </c>
      <c r="B575" s="50" t="s">
        <v>6876</v>
      </c>
      <c r="C575" s="50" t="s">
        <v>6877</v>
      </c>
      <c r="D575" s="50" t="s">
        <v>11623</v>
      </c>
      <c r="E575" s="50" t="s">
        <v>26872</v>
      </c>
      <c r="F575" s="50">
        <v>33.0</v>
      </c>
      <c r="G575" s="50">
        <v>1.0</v>
      </c>
      <c r="H575" s="50">
        <v>98.0</v>
      </c>
      <c r="I575" s="50" t="s">
        <v>1858</v>
      </c>
      <c r="J575" s="50" t="s">
        <v>1858</v>
      </c>
      <c r="K575" s="50" t="s">
        <v>14425</v>
      </c>
      <c r="L575" s="50" t="s">
        <v>26821</v>
      </c>
      <c r="M575" s="50" t="s">
        <v>26873</v>
      </c>
      <c r="N575" s="50" t="s">
        <v>26874</v>
      </c>
      <c r="O575" s="50">
        <v>0.0</v>
      </c>
      <c r="P575" s="116"/>
      <c r="Q575" s="116"/>
      <c r="R575" s="50" t="s">
        <v>23528</v>
      </c>
      <c r="S575" s="50">
        <v>4.0</v>
      </c>
      <c r="T575" s="50" t="s">
        <v>22634</v>
      </c>
      <c r="U575" s="117">
        <v>6428.0</v>
      </c>
      <c r="V575" s="50" t="s">
        <v>26875</v>
      </c>
      <c r="W575" s="50" t="s">
        <v>26876</v>
      </c>
      <c r="X575" s="117">
        <v>580.0</v>
      </c>
    </row>
    <row r="576">
      <c r="A576" s="50" t="s">
        <v>26877</v>
      </c>
      <c r="B576" s="50" t="s">
        <v>6876</v>
      </c>
      <c r="C576" s="50" t="s">
        <v>6877</v>
      </c>
      <c r="D576" s="50" t="s">
        <v>11623</v>
      </c>
      <c r="E576" s="50" t="s">
        <v>26879</v>
      </c>
      <c r="F576" s="50">
        <v>59.0</v>
      </c>
      <c r="G576" s="50">
        <v>1.0</v>
      </c>
      <c r="H576" s="50">
        <v>11.0</v>
      </c>
      <c r="I576" s="50" t="s">
        <v>1860</v>
      </c>
      <c r="J576" s="50" t="s">
        <v>1860</v>
      </c>
      <c r="K576" s="50" t="s">
        <v>14499</v>
      </c>
      <c r="L576" s="50" t="s">
        <v>26881</v>
      </c>
      <c r="M576" s="50" t="s">
        <v>26883</v>
      </c>
      <c r="N576" s="50" t="s">
        <v>26884</v>
      </c>
      <c r="O576" s="50">
        <v>0.0</v>
      </c>
      <c r="P576" s="116"/>
      <c r="Q576" s="116"/>
      <c r="R576" s="116"/>
      <c r="S576" s="50">
        <v>6.0</v>
      </c>
      <c r="T576" s="50" t="s">
        <v>22634</v>
      </c>
      <c r="U576" s="117">
        <v>6507.0</v>
      </c>
      <c r="V576" s="50" t="s">
        <v>26885</v>
      </c>
      <c r="W576" s="50" t="s">
        <v>26886</v>
      </c>
      <c r="X576" s="117">
        <v>581.0</v>
      </c>
    </row>
    <row r="577">
      <c r="A577" s="50" t="s">
        <v>26887</v>
      </c>
      <c r="B577" s="50" t="s">
        <v>6876</v>
      </c>
      <c r="C577" s="50" t="s">
        <v>6877</v>
      </c>
      <c r="D577" s="50" t="s">
        <v>11623</v>
      </c>
      <c r="E577" s="50" t="s">
        <v>26888</v>
      </c>
      <c r="F577" s="50">
        <v>59.0</v>
      </c>
      <c r="G577" s="50">
        <v>1.0</v>
      </c>
      <c r="H577" s="50">
        <v>99.0</v>
      </c>
      <c r="I577" s="50" t="s">
        <v>1862</v>
      </c>
      <c r="J577" s="50" t="s">
        <v>1862</v>
      </c>
      <c r="K577" s="50" t="s">
        <v>26889</v>
      </c>
      <c r="L577" s="50" t="s">
        <v>14499</v>
      </c>
      <c r="M577" s="50" t="s">
        <v>14500</v>
      </c>
      <c r="N577" s="50" t="s">
        <v>26890</v>
      </c>
      <c r="O577" s="50">
        <v>0.0</v>
      </c>
      <c r="P577" s="116"/>
      <c r="Q577" s="116"/>
      <c r="R577" s="50" t="s">
        <v>26892</v>
      </c>
      <c r="S577" s="50">
        <v>6.0</v>
      </c>
      <c r="T577" s="50" t="s">
        <v>22634</v>
      </c>
      <c r="U577" s="117">
        <v>6508.0</v>
      </c>
      <c r="V577" s="50" t="s">
        <v>26894</v>
      </c>
      <c r="W577" s="50" t="s">
        <v>26895</v>
      </c>
      <c r="X577" s="117">
        <v>582.0</v>
      </c>
    </row>
    <row r="578">
      <c r="A578" s="50" t="s">
        <v>26888</v>
      </c>
      <c r="B578" s="50" t="s">
        <v>6876</v>
      </c>
      <c r="C578" s="50" t="s">
        <v>6877</v>
      </c>
      <c r="D578" s="50" t="s">
        <v>11623</v>
      </c>
      <c r="E578" s="50" t="s">
        <v>26897</v>
      </c>
      <c r="F578" s="50">
        <v>59.0</v>
      </c>
      <c r="G578" s="50">
        <v>1.0</v>
      </c>
      <c r="H578" s="50">
        <v>11.0</v>
      </c>
      <c r="I578" s="50" t="s">
        <v>1863</v>
      </c>
      <c r="J578" s="50" t="s">
        <v>1863</v>
      </c>
      <c r="K578" s="50" t="s">
        <v>14499</v>
      </c>
      <c r="L578" s="50" t="s">
        <v>26881</v>
      </c>
      <c r="M578" s="50" t="s">
        <v>26883</v>
      </c>
      <c r="N578" s="50" t="s">
        <v>26898</v>
      </c>
      <c r="O578" s="50">
        <v>0.0</v>
      </c>
      <c r="P578" s="116"/>
      <c r="Q578" s="116"/>
      <c r="R578" s="116"/>
      <c r="S578" s="50">
        <v>6.0</v>
      </c>
      <c r="T578" s="50" t="s">
        <v>22634</v>
      </c>
      <c r="U578" s="117">
        <v>6509.0</v>
      </c>
      <c r="V578" s="50" t="s">
        <v>26901</v>
      </c>
      <c r="W578" s="50" t="s">
        <v>26902</v>
      </c>
      <c r="X578" s="117">
        <v>583.0</v>
      </c>
    </row>
    <row r="579">
      <c r="A579" s="50" t="s">
        <v>26897</v>
      </c>
      <c r="B579" s="50" t="s">
        <v>6876</v>
      </c>
      <c r="C579" s="50" t="s">
        <v>6877</v>
      </c>
      <c r="D579" s="50" t="s">
        <v>11623</v>
      </c>
      <c r="E579" s="50" t="s">
        <v>26904</v>
      </c>
      <c r="F579" s="50">
        <v>59.0</v>
      </c>
      <c r="G579" s="50">
        <v>1.0</v>
      </c>
      <c r="H579" s="50">
        <v>99.0</v>
      </c>
      <c r="I579" s="50" t="s">
        <v>1865</v>
      </c>
      <c r="J579" s="50" t="s">
        <v>1865</v>
      </c>
      <c r="K579" s="50" t="s">
        <v>26889</v>
      </c>
      <c r="L579" s="50" t="s">
        <v>14499</v>
      </c>
      <c r="M579" s="50" t="s">
        <v>14500</v>
      </c>
      <c r="N579" s="50" t="s">
        <v>26905</v>
      </c>
      <c r="O579" s="50">
        <v>1.0</v>
      </c>
      <c r="P579" s="144">
        <v>43815.0</v>
      </c>
      <c r="Q579" s="116"/>
      <c r="R579" s="50" t="s">
        <v>26906</v>
      </c>
      <c r="S579" s="50">
        <v>6.0</v>
      </c>
      <c r="T579" s="50" t="s">
        <v>22634</v>
      </c>
      <c r="U579" s="117">
        <v>6510.0</v>
      </c>
      <c r="V579" s="50" t="s">
        <v>26907</v>
      </c>
      <c r="W579" s="50" t="s">
        <v>26908</v>
      </c>
      <c r="X579" s="117">
        <v>584.0</v>
      </c>
    </row>
    <row r="580">
      <c r="A580" s="50" t="s">
        <v>26904</v>
      </c>
      <c r="B580" s="50" t="s">
        <v>6876</v>
      </c>
      <c r="C580" s="50" t="s">
        <v>6877</v>
      </c>
      <c r="D580" s="50" t="s">
        <v>11623</v>
      </c>
      <c r="E580" s="50" t="s">
        <v>26911</v>
      </c>
      <c r="F580" s="50">
        <v>59.0</v>
      </c>
      <c r="G580" s="50">
        <v>1.0</v>
      </c>
      <c r="H580" s="50">
        <v>11.0</v>
      </c>
      <c r="I580" s="50" t="s">
        <v>1866</v>
      </c>
      <c r="J580" s="50" t="s">
        <v>1866</v>
      </c>
      <c r="K580" s="50" t="s">
        <v>14499</v>
      </c>
      <c r="L580" s="50" t="s">
        <v>26881</v>
      </c>
      <c r="M580" s="50" t="s">
        <v>26883</v>
      </c>
      <c r="N580" s="50" t="s">
        <v>26913</v>
      </c>
      <c r="O580" s="50">
        <v>0.0</v>
      </c>
      <c r="P580" s="116"/>
      <c r="Q580" s="116"/>
      <c r="R580" s="116"/>
      <c r="S580" s="50">
        <v>4.0</v>
      </c>
      <c r="T580" s="50" t="s">
        <v>22634</v>
      </c>
      <c r="U580" s="117">
        <v>6511.0</v>
      </c>
      <c r="V580" s="50" t="s">
        <v>26914</v>
      </c>
      <c r="W580" s="50" t="s">
        <v>26915</v>
      </c>
      <c r="X580" s="117">
        <v>585.0</v>
      </c>
    </row>
    <row r="581">
      <c r="A581" s="50" t="s">
        <v>26911</v>
      </c>
      <c r="B581" s="50" t="s">
        <v>6876</v>
      </c>
      <c r="C581" s="50" t="s">
        <v>6877</v>
      </c>
      <c r="D581" s="50" t="s">
        <v>11623</v>
      </c>
      <c r="E581" s="50" t="s">
        <v>26916</v>
      </c>
      <c r="F581" s="50">
        <v>59.0</v>
      </c>
      <c r="G581" s="50">
        <v>1.0</v>
      </c>
      <c r="H581" s="50">
        <v>99.0</v>
      </c>
      <c r="I581" s="50" t="s">
        <v>1868</v>
      </c>
      <c r="J581" s="50" t="s">
        <v>1868</v>
      </c>
      <c r="K581" s="50" t="s">
        <v>26889</v>
      </c>
      <c r="L581" s="50" t="s">
        <v>14499</v>
      </c>
      <c r="M581" s="50" t="s">
        <v>14500</v>
      </c>
      <c r="N581" s="50" t="s">
        <v>26905</v>
      </c>
      <c r="O581" s="50">
        <v>0.0</v>
      </c>
      <c r="P581" s="116"/>
      <c r="Q581" s="116"/>
      <c r="R581" s="50" t="s">
        <v>26920</v>
      </c>
      <c r="S581" s="50">
        <v>4.0</v>
      </c>
      <c r="T581" s="50" t="s">
        <v>22634</v>
      </c>
      <c r="U581" s="117">
        <v>6512.0</v>
      </c>
      <c r="V581" s="50" t="s">
        <v>26921</v>
      </c>
      <c r="W581" s="50" t="s">
        <v>26922</v>
      </c>
      <c r="X581" s="117">
        <v>586.0</v>
      </c>
    </row>
    <row r="582">
      <c r="A582" s="50" t="s">
        <v>26916</v>
      </c>
      <c r="B582" s="50" t="s">
        <v>6876</v>
      </c>
      <c r="C582" s="50" t="s">
        <v>6877</v>
      </c>
      <c r="D582" s="50" t="s">
        <v>11623</v>
      </c>
      <c r="E582" s="50" t="s">
        <v>26923</v>
      </c>
      <c r="F582" s="50">
        <v>59.0</v>
      </c>
      <c r="G582" s="50">
        <v>1.0</v>
      </c>
      <c r="H582" s="50">
        <v>11.0</v>
      </c>
      <c r="I582" s="50" t="s">
        <v>1869</v>
      </c>
      <c r="J582" s="50" t="s">
        <v>1869</v>
      </c>
      <c r="K582" s="50" t="s">
        <v>14499</v>
      </c>
      <c r="L582" s="50" t="s">
        <v>26881</v>
      </c>
      <c r="M582" s="50" t="s">
        <v>26883</v>
      </c>
      <c r="N582" s="50" t="s">
        <v>26924</v>
      </c>
      <c r="O582" s="50">
        <v>0.0</v>
      </c>
      <c r="P582" s="116"/>
      <c r="Q582" s="116"/>
      <c r="R582" s="116"/>
      <c r="S582" s="50">
        <v>4.0</v>
      </c>
      <c r="T582" s="50" t="s">
        <v>22634</v>
      </c>
      <c r="U582" s="117">
        <v>6513.0</v>
      </c>
      <c r="V582" s="50" t="s">
        <v>26927</v>
      </c>
      <c r="W582" s="50" t="s">
        <v>26928</v>
      </c>
      <c r="X582" s="117">
        <v>587.0</v>
      </c>
    </row>
    <row r="583">
      <c r="A583" s="50" t="s">
        <v>26923</v>
      </c>
      <c r="B583" s="50" t="s">
        <v>6876</v>
      </c>
      <c r="C583" s="50" t="s">
        <v>6877</v>
      </c>
      <c r="D583" s="50" t="s">
        <v>11623</v>
      </c>
      <c r="E583" s="50" t="s">
        <v>26930</v>
      </c>
      <c r="F583" s="50">
        <v>59.0</v>
      </c>
      <c r="G583" s="50">
        <v>1.0</v>
      </c>
      <c r="H583" s="50">
        <v>99.0</v>
      </c>
      <c r="I583" s="50" t="s">
        <v>1871</v>
      </c>
      <c r="J583" s="50" t="s">
        <v>1871</v>
      </c>
      <c r="K583" s="50" t="s">
        <v>26889</v>
      </c>
      <c r="L583" s="50" t="s">
        <v>14499</v>
      </c>
      <c r="M583" s="50" t="s">
        <v>14500</v>
      </c>
      <c r="N583" s="50" t="s">
        <v>26931</v>
      </c>
      <c r="O583" s="50">
        <v>0.0</v>
      </c>
      <c r="P583" s="116"/>
      <c r="Q583" s="116"/>
      <c r="R583" s="50" t="s">
        <v>26932</v>
      </c>
      <c r="S583" s="50">
        <v>6.0</v>
      </c>
      <c r="T583" s="50" t="s">
        <v>22634</v>
      </c>
      <c r="U583" s="117">
        <v>6514.0</v>
      </c>
      <c r="V583" s="50" t="s">
        <v>26933</v>
      </c>
      <c r="W583" s="50" t="s">
        <v>26934</v>
      </c>
      <c r="X583" s="117">
        <v>588.0</v>
      </c>
    </row>
    <row r="584">
      <c r="A584" s="50" t="s">
        <v>26930</v>
      </c>
      <c r="B584" s="50" t="s">
        <v>6876</v>
      </c>
      <c r="C584" s="50" t="s">
        <v>6877</v>
      </c>
      <c r="D584" s="50" t="s">
        <v>11623</v>
      </c>
      <c r="E584" s="50" t="s">
        <v>26938</v>
      </c>
      <c r="F584" s="50">
        <v>58.0</v>
      </c>
      <c r="G584" s="50">
        <v>1.0</v>
      </c>
      <c r="H584" s="50">
        <v>11.0</v>
      </c>
      <c r="I584" s="50" t="s">
        <v>1872</v>
      </c>
      <c r="J584" s="50" t="s">
        <v>1872</v>
      </c>
      <c r="K584" s="50" t="s">
        <v>14499</v>
      </c>
      <c r="L584" s="50" t="s">
        <v>26881</v>
      </c>
      <c r="M584" s="50" t="s">
        <v>14500</v>
      </c>
      <c r="N584" s="50" t="s">
        <v>26940</v>
      </c>
      <c r="O584" s="50">
        <v>0.0</v>
      </c>
      <c r="P584" s="116"/>
      <c r="Q584" s="116"/>
      <c r="R584" s="116"/>
      <c r="S584" s="50">
        <v>4.0</v>
      </c>
      <c r="T584" s="50" t="s">
        <v>22634</v>
      </c>
      <c r="U584" s="117">
        <v>6515.0</v>
      </c>
      <c r="V584" s="50" t="s">
        <v>26941</v>
      </c>
      <c r="W584" s="50" t="s">
        <v>26942</v>
      </c>
      <c r="X584" s="117">
        <v>589.0</v>
      </c>
    </row>
    <row r="585">
      <c r="A585" s="50" t="s">
        <v>26938</v>
      </c>
      <c r="B585" s="50" t="s">
        <v>6876</v>
      </c>
      <c r="C585" s="50" t="s">
        <v>6877</v>
      </c>
      <c r="D585" s="50" t="s">
        <v>11623</v>
      </c>
      <c r="E585" s="50" t="s">
        <v>26943</v>
      </c>
      <c r="F585" s="50">
        <v>58.0</v>
      </c>
      <c r="G585" s="50">
        <v>1.0</v>
      </c>
      <c r="H585" s="50">
        <v>99.0</v>
      </c>
      <c r="I585" s="50" t="s">
        <v>1874</v>
      </c>
      <c r="J585" s="50" t="s">
        <v>1874</v>
      </c>
      <c r="K585" s="50" t="s">
        <v>26889</v>
      </c>
      <c r="L585" s="50" t="s">
        <v>14499</v>
      </c>
      <c r="M585" s="50" t="s">
        <v>14500</v>
      </c>
      <c r="N585" s="50" t="s">
        <v>26931</v>
      </c>
      <c r="O585" s="50">
        <v>0.0</v>
      </c>
      <c r="P585" s="116"/>
      <c r="Q585" s="116"/>
      <c r="R585" s="50" t="s">
        <v>26948</v>
      </c>
      <c r="S585" s="50">
        <v>4.0</v>
      </c>
      <c r="T585" s="50" t="s">
        <v>22634</v>
      </c>
      <c r="U585" s="117">
        <v>6516.0</v>
      </c>
      <c r="V585" s="50" t="s">
        <v>26950</v>
      </c>
      <c r="W585" s="50" t="s">
        <v>26951</v>
      </c>
      <c r="X585" s="117">
        <v>590.0</v>
      </c>
    </row>
    <row r="586">
      <c r="A586" s="50" t="s">
        <v>26943</v>
      </c>
      <c r="B586" s="50" t="s">
        <v>6876</v>
      </c>
      <c r="C586" s="50" t="s">
        <v>6877</v>
      </c>
      <c r="D586" s="50" t="s">
        <v>11623</v>
      </c>
      <c r="E586" s="50" t="s">
        <v>26952</v>
      </c>
      <c r="F586" s="50">
        <v>33.0</v>
      </c>
      <c r="G586" s="50">
        <v>1.0</v>
      </c>
      <c r="H586" s="50">
        <v>98.0</v>
      </c>
      <c r="I586" s="50" t="s">
        <v>1875</v>
      </c>
      <c r="J586" s="50" t="s">
        <v>1875</v>
      </c>
      <c r="K586" s="50" t="s">
        <v>26889</v>
      </c>
      <c r="L586" s="50" t="s">
        <v>14499</v>
      </c>
      <c r="M586" s="50" t="s">
        <v>14500</v>
      </c>
      <c r="N586" s="50" t="s">
        <v>26953</v>
      </c>
      <c r="O586" s="50">
        <v>0.0</v>
      </c>
      <c r="P586" s="116"/>
      <c r="Q586" s="116"/>
      <c r="R586" s="50" t="s">
        <v>23528</v>
      </c>
      <c r="S586" s="50">
        <v>4.0</v>
      </c>
      <c r="T586" s="50" t="s">
        <v>22634</v>
      </c>
      <c r="U586" s="117">
        <v>6517.0</v>
      </c>
      <c r="V586" s="50" t="s">
        <v>26956</v>
      </c>
      <c r="W586" s="50" t="s">
        <v>26957</v>
      </c>
      <c r="X586" s="117">
        <v>591.0</v>
      </c>
    </row>
    <row r="587">
      <c r="A587" s="50" t="s">
        <v>26952</v>
      </c>
      <c r="B587" s="50" t="s">
        <v>6876</v>
      </c>
      <c r="C587" s="50" t="s">
        <v>6877</v>
      </c>
      <c r="D587" s="50" t="s">
        <v>11623</v>
      </c>
      <c r="E587" s="50" t="s">
        <v>26960</v>
      </c>
      <c r="F587" s="50">
        <v>57.0</v>
      </c>
      <c r="G587" s="50">
        <v>1.0</v>
      </c>
      <c r="H587" s="50">
        <v>12.0</v>
      </c>
      <c r="I587" s="50" t="s">
        <v>1877</v>
      </c>
      <c r="J587" s="50" t="s">
        <v>1877</v>
      </c>
      <c r="K587" s="50" t="s">
        <v>26961</v>
      </c>
      <c r="L587" s="50" t="s">
        <v>14500</v>
      </c>
      <c r="M587" s="50" t="s">
        <v>14615</v>
      </c>
      <c r="N587" s="50" t="s">
        <v>26962</v>
      </c>
      <c r="O587" s="50">
        <v>0.0</v>
      </c>
      <c r="P587" s="116"/>
      <c r="Q587" s="116"/>
      <c r="R587" s="116"/>
      <c r="S587" s="50">
        <v>6.0</v>
      </c>
      <c r="T587" s="50" t="s">
        <v>22634</v>
      </c>
      <c r="U587" s="117">
        <v>6518.0</v>
      </c>
      <c r="V587" s="50" t="s">
        <v>26963</v>
      </c>
      <c r="W587" s="50" t="s">
        <v>26964</v>
      </c>
      <c r="X587" s="117">
        <v>592.0</v>
      </c>
    </row>
    <row r="588">
      <c r="A588" s="50" t="s">
        <v>26960</v>
      </c>
      <c r="B588" s="50" t="s">
        <v>6876</v>
      </c>
      <c r="C588" s="50" t="s">
        <v>6877</v>
      </c>
      <c r="D588" s="50" t="s">
        <v>11623</v>
      </c>
      <c r="E588" s="50" t="s">
        <v>26967</v>
      </c>
      <c r="F588" s="50">
        <v>57.0</v>
      </c>
      <c r="G588" s="50">
        <v>1.0</v>
      </c>
      <c r="H588" s="50">
        <v>99.0</v>
      </c>
      <c r="I588" s="50" t="s">
        <v>337</v>
      </c>
      <c r="J588" s="50" t="s">
        <v>337</v>
      </c>
      <c r="K588" s="50" t="s">
        <v>14614</v>
      </c>
      <c r="L588" s="50" t="s">
        <v>26968</v>
      </c>
      <c r="M588" s="50" t="s">
        <v>26970</v>
      </c>
      <c r="N588" s="50" t="s">
        <v>19017</v>
      </c>
      <c r="O588" s="50">
        <v>0.0</v>
      </c>
      <c r="P588" s="116"/>
      <c r="Q588" s="116"/>
      <c r="R588" s="50" t="s">
        <v>26971</v>
      </c>
      <c r="S588" s="50">
        <v>6.0</v>
      </c>
      <c r="T588" s="50" t="s">
        <v>22634</v>
      </c>
      <c r="U588" s="117">
        <v>6519.0</v>
      </c>
      <c r="V588" s="50" t="s">
        <v>26972</v>
      </c>
      <c r="W588" s="50" t="s">
        <v>26973</v>
      </c>
      <c r="X588" s="117">
        <v>593.0</v>
      </c>
    </row>
    <row r="589">
      <c r="A589" s="50" t="s">
        <v>26967</v>
      </c>
      <c r="B589" s="50" t="s">
        <v>6876</v>
      </c>
      <c r="C589" s="50" t="s">
        <v>6877</v>
      </c>
      <c r="D589" s="50" t="s">
        <v>11623</v>
      </c>
      <c r="E589" s="50" t="s">
        <v>26974</v>
      </c>
      <c r="F589" s="50">
        <v>57.0</v>
      </c>
      <c r="G589" s="50">
        <v>1.0</v>
      </c>
      <c r="H589" s="50">
        <v>12.0</v>
      </c>
      <c r="I589" s="50" t="s">
        <v>1879</v>
      </c>
      <c r="J589" s="50" t="s">
        <v>1879</v>
      </c>
      <c r="K589" s="50" t="s">
        <v>26961</v>
      </c>
      <c r="L589" s="50" t="s">
        <v>14500</v>
      </c>
      <c r="M589" s="50" t="s">
        <v>14615</v>
      </c>
      <c r="N589" s="50" t="s">
        <v>26977</v>
      </c>
      <c r="O589" s="50">
        <v>0.0</v>
      </c>
      <c r="P589" s="116"/>
      <c r="Q589" s="116"/>
      <c r="R589" s="116"/>
      <c r="S589" s="50">
        <v>4.0</v>
      </c>
      <c r="T589" s="50" t="s">
        <v>22634</v>
      </c>
      <c r="U589" s="117">
        <v>6520.0</v>
      </c>
      <c r="V589" s="50" t="s">
        <v>26979</v>
      </c>
      <c r="W589" s="50" t="s">
        <v>26980</v>
      </c>
      <c r="X589" s="117">
        <v>594.0</v>
      </c>
    </row>
    <row r="590">
      <c r="A590" s="50" t="s">
        <v>26974</v>
      </c>
      <c r="B590" s="50" t="s">
        <v>6876</v>
      </c>
      <c r="C590" s="50" t="s">
        <v>6877</v>
      </c>
      <c r="D590" s="50" t="s">
        <v>11623</v>
      </c>
      <c r="E590" s="50" t="s">
        <v>26981</v>
      </c>
      <c r="F590" s="50">
        <v>57.0</v>
      </c>
      <c r="G590" s="50">
        <v>1.0</v>
      </c>
      <c r="H590" s="50">
        <v>99.0</v>
      </c>
      <c r="I590" s="50" t="s">
        <v>1881</v>
      </c>
      <c r="J590" s="50" t="s">
        <v>1881</v>
      </c>
      <c r="K590" s="50" t="s">
        <v>14614</v>
      </c>
      <c r="L590" s="50" t="s">
        <v>26968</v>
      </c>
      <c r="M590" s="50" t="s">
        <v>26970</v>
      </c>
      <c r="N590" s="50" t="s">
        <v>26982</v>
      </c>
      <c r="O590" s="50">
        <v>0.0</v>
      </c>
      <c r="P590" s="116"/>
      <c r="Q590" s="116"/>
      <c r="R590" s="50" t="s">
        <v>26984</v>
      </c>
      <c r="S590" s="50">
        <v>4.0</v>
      </c>
      <c r="T590" s="50" t="s">
        <v>22634</v>
      </c>
      <c r="U590" s="117">
        <v>6521.0</v>
      </c>
      <c r="V590" s="50" t="s">
        <v>26987</v>
      </c>
      <c r="W590" s="50" t="s">
        <v>26988</v>
      </c>
      <c r="X590" s="117">
        <v>595.0</v>
      </c>
    </row>
    <row r="591">
      <c r="A591" s="50" t="s">
        <v>26981</v>
      </c>
      <c r="B591" s="50" t="s">
        <v>6876</v>
      </c>
      <c r="C591" s="50" t="s">
        <v>6877</v>
      </c>
      <c r="D591" s="50" t="s">
        <v>11623</v>
      </c>
      <c r="E591" s="50" t="s">
        <v>26990</v>
      </c>
      <c r="F591" s="50">
        <v>59.0</v>
      </c>
      <c r="G591" s="50">
        <v>1.0</v>
      </c>
      <c r="H591" s="50">
        <v>11.0</v>
      </c>
      <c r="I591" s="50" t="s">
        <v>1886</v>
      </c>
      <c r="J591" s="50" t="s">
        <v>1886</v>
      </c>
      <c r="K591" s="50" t="s">
        <v>14500</v>
      </c>
      <c r="L591" s="50" t="s">
        <v>26931</v>
      </c>
      <c r="M591" s="50" t="s">
        <v>26991</v>
      </c>
      <c r="N591" s="50" t="s">
        <v>19019</v>
      </c>
      <c r="O591" s="50">
        <v>0.0</v>
      </c>
      <c r="P591" s="116"/>
      <c r="Q591" s="116"/>
      <c r="R591" s="116"/>
      <c r="S591" s="50">
        <v>4.0</v>
      </c>
      <c r="T591" s="50" t="s">
        <v>22634</v>
      </c>
      <c r="U591" s="117">
        <v>6522.0</v>
      </c>
      <c r="V591" s="50" t="s">
        <v>26995</v>
      </c>
      <c r="W591" s="50" t="s">
        <v>26996</v>
      </c>
      <c r="X591" s="117">
        <v>596.0</v>
      </c>
    </row>
    <row r="592">
      <c r="A592" s="50" t="s">
        <v>26990</v>
      </c>
      <c r="B592" s="50" t="s">
        <v>6876</v>
      </c>
      <c r="C592" s="50" t="s">
        <v>6877</v>
      </c>
      <c r="D592" s="50" t="s">
        <v>11623</v>
      </c>
      <c r="E592" s="50" t="s">
        <v>26997</v>
      </c>
      <c r="F592" s="50">
        <v>59.0</v>
      </c>
      <c r="G592" s="50">
        <v>1.0</v>
      </c>
      <c r="H592" s="50">
        <v>99.0</v>
      </c>
      <c r="I592" s="50" t="s">
        <v>1888</v>
      </c>
      <c r="J592" s="50" t="s">
        <v>1888</v>
      </c>
      <c r="K592" s="50" t="s">
        <v>14639</v>
      </c>
      <c r="L592" s="50" t="s">
        <v>26998</v>
      </c>
      <c r="M592" s="50" t="s">
        <v>27000</v>
      </c>
      <c r="N592" s="50" t="s">
        <v>27002</v>
      </c>
      <c r="O592" s="50">
        <v>0.0</v>
      </c>
      <c r="P592" s="116"/>
      <c r="Q592" s="116"/>
      <c r="R592" s="50" t="s">
        <v>27003</v>
      </c>
      <c r="S592" s="50">
        <v>4.0</v>
      </c>
      <c r="T592" s="50" t="s">
        <v>22634</v>
      </c>
      <c r="U592" s="117">
        <v>6523.0</v>
      </c>
      <c r="V592" s="50" t="s">
        <v>27005</v>
      </c>
      <c r="W592" s="50" t="s">
        <v>27006</v>
      </c>
      <c r="X592" s="117">
        <v>597.0</v>
      </c>
    </row>
    <row r="593">
      <c r="A593" s="50" t="s">
        <v>26997</v>
      </c>
      <c r="B593" s="50" t="s">
        <v>6876</v>
      </c>
      <c r="C593" s="50" t="s">
        <v>6877</v>
      </c>
      <c r="D593" s="50" t="s">
        <v>11623</v>
      </c>
      <c r="E593" s="50" t="s">
        <v>27007</v>
      </c>
      <c r="F593" s="50">
        <v>59.0</v>
      </c>
      <c r="G593" s="50">
        <v>1.0</v>
      </c>
      <c r="H593" s="50">
        <v>11.0</v>
      </c>
      <c r="I593" s="50" t="s">
        <v>1889</v>
      </c>
      <c r="J593" s="50" t="s">
        <v>1889</v>
      </c>
      <c r="K593" s="50" t="s">
        <v>14500</v>
      </c>
      <c r="L593" s="50" t="s">
        <v>26931</v>
      </c>
      <c r="M593" s="50" t="s">
        <v>26991</v>
      </c>
      <c r="N593" s="50" t="s">
        <v>27010</v>
      </c>
      <c r="O593" s="50">
        <v>1.0</v>
      </c>
      <c r="P593" s="144">
        <v>43817.0</v>
      </c>
      <c r="Q593" s="116"/>
      <c r="R593" s="116"/>
      <c r="S593" s="50">
        <v>4.0</v>
      </c>
      <c r="T593" s="50" t="s">
        <v>22634</v>
      </c>
      <c r="U593" s="117">
        <v>6524.0</v>
      </c>
      <c r="V593" s="50" t="s">
        <v>27012</v>
      </c>
      <c r="W593" s="50" t="s">
        <v>27013</v>
      </c>
      <c r="X593" s="117">
        <v>598.0</v>
      </c>
    </row>
    <row r="594">
      <c r="A594" s="50" t="s">
        <v>27007</v>
      </c>
      <c r="B594" s="50" t="s">
        <v>6876</v>
      </c>
      <c r="C594" s="50" t="s">
        <v>6877</v>
      </c>
      <c r="D594" s="50" t="s">
        <v>11623</v>
      </c>
      <c r="E594" s="50" t="s">
        <v>27014</v>
      </c>
      <c r="F594" s="50">
        <v>59.0</v>
      </c>
      <c r="G594" s="50">
        <v>1.0</v>
      </c>
      <c r="H594" s="50">
        <v>99.0</v>
      </c>
      <c r="I594" s="50" t="s">
        <v>1891</v>
      </c>
      <c r="J594" s="50" t="s">
        <v>1891</v>
      </c>
      <c r="K594" s="50" t="s">
        <v>14639</v>
      </c>
      <c r="L594" s="50" t="s">
        <v>26998</v>
      </c>
      <c r="M594" s="50" t="s">
        <v>27000</v>
      </c>
      <c r="N594" s="50" t="s">
        <v>14615</v>
      </c>
      <c r="O594" s="50">
        <v>1.0</v>
      </c>
      <c r="P594" s="144">
        <v>43817.0</v>
      </c>
      <c r="Q594" s="116"/>
      <c r="R594" s="50" t="s">
        <v>27018</v>
      </c>
      <c r="S594" s="50">
        <v>4.0</v>
      </c>
      <c r="T594" s="50" t="s">
        <v>22634</v>
      </c>
      <c r="U594" s="117">
        <v>6525.0</v>
      </c>
      <c r="V594" s="50" t="s">
        <v>27019</v>
      </c>
      <c r="W594" s="50" t="s">
        <v>27020</v>
      </c>
      <c r="X594" s="117">
        <v>599.0</v>
      </c>
    </row>
    <row r="595">
      <c r="A595" s="50" t="s">
        <v>27014</v>
      </c>
      <c r="B595" s="50" t="s">
        <v>6876</v>
      </c>
      <c r="C595" s="50" t="s">
        <v>6877</v>
      </c>
      <c r="D595" s="50" t="s">
        <v>11623</v>
      </c>
      <c r="E595" s="50" t="s">
        <v>27024</v>
      </c>
      <c r="F595" s="50">
        <v>33.0</v>
      </c>
      <c r="G595" s="50">
        <v>1.0</v>
      </c>
      <c r="H595" s="50">
        <v>98.0</v>
      </c>
      <c r="I595" s="50" t="s">
        <v>1892</v>
      </c>
      <c r="J595" s="50" t="s">
        <v>1892</v>
      </c>
      <c r="K595" s="50" t="s">
        <v>14614</v>
      </c>
      <c r="L595" s="50" t="s">
        <v>27027</v>
      </c>
      <c r="M595" s="50" t="s">
        <v>27028</v>
      </c>
      <c r="N595" s="50" t="s">
        <v>27030</v>
      </c>
      <c r="O595" s="50">
        <v>0.0</v>
      </c>
      <c r="P595" s="116"/>
      <c r="Q595" s="116"/>
      <c r="R595" s="50" t="s">
        <v>23528</v>
      </c>
      <c r="S595" s="50">
        <v>4.0</v>
      </c>
      <c r="T595" s="50" t="s">
        <v>22634</v>
      </c>
      <c r="U595" s="117">
        <v>6526.0</v>
      </c>
      <c r="V595" s="50" t="s">
        <v>27031</v>
      </c>
      <c r="W595" s="50" t="s">
        <v>27033</v>
      </c>
      <c r="X595" s="117">
        <v>600.0</v>
      </c>
    </row>
    <row r="596">
      <c r="A596" s="74" t="s">
        <v>27035</v>
      </c>
      <c r="B596" s="74" t="s">
        <v>6876</v>
      </c>
      <c r="C596" s="74" t="s">
        <v>6877</v>
      </c>
      <c r="D596" s="74" t="s">
        <v>11623</v>
      </c>
      <c r="E596" s="74" t="s">
        <v>27037</v>
      </c>
      <c r="F596" s="74">
        <v>66.0</v>
      </c>
      <c r="G596" s="74">
        <v>1.0</v>
      </c>
      <c r="H596" s="74">
        <v>12.0</v>
      </c>
      <c r="I596" s="74" t="s">
        <v>1895</v>
      </c>
      <c r="J596" s="74" t="s">
        <v>1895</v>
      </c>
      <c r="K596" s="74" t="s">
        <v>27038</v>
      </c>
      <c r="L596" s="74" t="s">
        <v>27039</v>
      </c>
      <c r="M596" s="74" t="s">
        <v>27040</v>
      </c>
      <c r="N596" s="74" t="s">
        <v>27043</v>
      </c>
      <c r="O596" s="74">
        <v>0.0</v>
      </c>
      <c r="P596" s="119"/>
      <c r="Q596" s="119"/>
      <c r="R596" s="119"/>
      <c r="S596" s="74">
        <v>6.0</v>
      </c>
      <c r="T596" s="74" t="s">
        <v>22634</v>
      </c>
      <c r="U596" s="120">
        <v>6596.0</v>
      </c>
      <c r="V596" s="74" t="s">
        <v>27045</v>
      </c>
      <c r="W596" s="74" t="s">
        <v>27046</v>
      </c>
      <c r="X596" s="120">
        <v>601.0</v>
      </c>
    </row>
    <row r="597">
      <c r="A597" s="74" t="s">
        <v>27047</v>
      </c>
      <c r="B597" s="74" t="s">
        <v>6876</v>
      </c>
      <c r="C597" s="74" t="s">
        <v>6877</v>
      </c>
      <c r="D597" s="74" t="s">
        <v>11623</v>
      </c>
      <c r="E597" s="74" t="s">
        <v>27048</v>
      </c>
      <c r="F597" s="74">
        <v>66.0</v>
      </c>
      <c r="G597" s="74">
        <v>1.0</v>
      </c>
      <c r="H597" s="74">
        <v>99.0</v>
      </c>
      <c r="I597" s="74" t="s">
        <v>1897</v>
      </c>
      <c r="J597" s="74" t="s">
        <v>1897</v>
      </c>
      <c r="K597" s="74" t="s">
        <v>27050</v>
      </c>
      <c r="L597" s="74" t="s">
        <v>27052</v>
      </c>
      <c r="M597" s="74" t="s">
        <v>27053</v>
      </c>
      <c r="N597" s="74" t="s">
        <v>27054</v>
      </c>
      <c r="O597" s="74">
        <v>0.0</v>
      </c>
      <c r="P597" s="119"/>
      <c r="Q597" s="119"/>
      <c r="R597" s="74" t="s">
        <v>27056</v>
      </c>
      <c r="S597" s="74">
        <v>6.0</v>
      </c>
      <c r="T597" s="74" t="s">
        <v>22634</v>
      </c>
      <c r="U597" s="120">
        <v>6597.0</v>
      </c>
      <c r="V597" s="74" t="s">
        <v>27057</v>
      </c>
      <c r="W597" s="74" t="s">
        <v>27058</v>
      </c>
      <c r="X597" s="120">
        <v>602.0</v>
      </c>
    </row>
    <row r="598">
      <c r="A598" s="74" t="s">
        <v>27048</v>
      </c>
      <c r="B598" s="74" t="s">
        <v>6876</v>
      </c>
      <c r="C598" s="74" t="s">
        <v>6877</v>
      </c>
      <c r="D598" s="74" t="s">
        <v>11623</v>
      </c>
      <c r="E598" s="74" t="s">
        <v>27059</v>
      </c>
      <c r="F598" s="74">
        <v>59.0</v>
      </c>
      <c r="G598" s="74">
        <v>1.0</v>
      </c>
      <c r="H598" s="74">
        <v>12.0</v>
      </c>
      <c r="I598" s="74" t="s">
        <v>1898</v>
      </c>
      <c r="J598" s="74" t="s">
        <v>1898</v>
      </c>
      <c r="K598" s="74" t="s">
        <v>27038</v>
      </c>
      <c r="L598" s="74" t="s">
        <v>27039</v>
      </c>
      <c r="M598" s="74" t="s">
        <v>27040</v>
      </c>
      <c r="N598" s="74" t="s">
        <v>27064</v>
      </c>
      <c r="O598" s="74">
        <v>0.0</v>
      </c>
      <c r="P598" s="119"/>
      <c r="Q598" s="119"/>
      <c r="R598" s="119"/>
      <c r="S598" s="74">
        <v>4.0</v>
      </c>
      <c r="T598" s="74" t="s">
        <v>22634</v>
      </c>
      <c r="U598" s="120">
        <v>6598.0</v>
      </c>
      <c r="V598" s="74" t="s">
        <v>27065</v>
      </c>
      <c r="W598" s="74" t="s">
        <v>27066</v>
      </c>
      <c r="X598" s="120">
        <v>603.0</v>
      </c>
    </row>
    <row r="599">
      <c r="A599" s="74" t="s">
        <v>27059</v>
      </c>
      <c r="B599" s="74" t="s">
        <v>6876</v>
      </c>
      <c r="C599" s="74" t="s">
        <v>6877</v>
      </c>
      <c r="D599" s="74" t="s">
        <v>11623</v>
      </c>
      <c r="E599" s="74" t="s">
        <v>27069</v>
      </c>
      <c r="F599" s="74">
        <v>59.0</v>
      </c>
      <c r="G599" s="74">
        <v>1.0</v>
      </c>
      <c r="H599" s="74">
        <v>99.0</v>
      </c>
      <c r="I599" s="74" t="s">
        <v>1900</v>
      </c>
      <c r="J599" s="74" t="s">
        <v>1900</v>
      </c>
      <c r="K599" s="74" t="s">
        <v>27050</v>
      </c>
      <c r="L599" s="74" t="s">
        <v>27052</v>
      </c>
      <c r="M599" s="74" t="s">
        <v>27053</v>
      </c>
      <c r="N599" s="74" t="s">
        <v>27071</v>
      </c>
      <c r="O599" s="74">
        <v>0.0</v>
      </c>
      <c r="P599" s="119"/>
      <c r="Q599" s="119"/>
      <c r="R599" s="74" t="s">
        <v>27072</v>
      </c>
      <c r="S599" s="74">
        <v>4.0</v>
      </c>
      <c r="T599" s="74" t="s">
        <v>22634</v>
      </c>
      <c r="U599" s="120">
        <v>6599.0</v>
      </c>
      <c r="V599" s="74" t="s">
        <v>27073</v>
      </c>
      <c r="W599" s="74" t="s">
        <v>27076</v>
      </c>
      <c r="X599" s="120">
        <v>604.0</v>
      </c>
    </row>
    <row r="600">
      <c r="A600" s="74" t="s">
        <v>27069</v>
      </c>
      <c r="B600" s="74" t="s">
        <v>6876</v>
      </c>
      <c r="C600" s="74" t="s">
        <v>6877</v>
      </c>
      <c r="D600" s="74" t="s">
        <v>11623</v>
      </c>
      <c r="E600" s="74" t="s">
        <v>27078</v>
      </c>
      <c r="F600" s="74">
        <v>59.0</v>
      </c>
      <c r="G600" s="74">
        <v>1.0</v>
      </c>
      <c r="H600" s="74">
        <v>11.0</v>
      </c>
      <c r="I600" s="74" t="s">
        <v>1901</v>
      </c>
      <c r="J600" s="74" t="s">
        <v>1901</v>
      </c>
      <c r="K600" s="74" t="s">
        <v>27079</v>
      </c>
      <c r="L600" s="74" t="s">
        <v>19180</v>
      </c>
      <c r="M600" s="74" t="s">
        <v>27081</v>
      </c>
      <c r="N600" s="74" t="s">
        <v>27083</v>
      </c>
      <c r="O600" s="74">
        <v>0.0</v>
      </c>
      <c r="P600" s="119"/>
      <c r="Q600" s="119"/>
      <c r="R600" s="119"/>
      <c r="S600" s="74">
        <v>6.0</v>
      </c>
      <c r="T600" s="74" t="s">
        <v>22634</v>
      </c>
      <c r="U600" s="120">
        <v>6600.0</v>
      </c>
      <c r="V600" s="74" t="s">
        <v>27085</v>
      </c>
      <c r="W600" s="74" t="s">
        <v>27086</v>
      </c>
      <c r="X600" s="120">
        <v>605.0</v>
      </c>
    </row>
    <row r="601">
      <c r="A601" s="74" t="s">
        <v>27078</v>
      </c>
      <c r="B601" s="74" t="s">
        <v>6876</v>
      </c>
      <c r="C601" s="74" t="s">
        <v>6877</v>
      </c>
      <c r="D601" s="74" t="s">
        <v>11623</v>
      </c>
      <c r="E601" s="74" t="s">
        <v>27087</v>
      </c>
      <c r="F601" s="74">
        <v>59.0</v>
      </c>
      <c r="G601" s="74">
        <v>1.0</v>
      </c>
      <c r="H601" s="74">
        <v>99.0</v>
      </c>
      <c r="I601" s="74" t="s">
        <v>1903</v>
      </c>
      <c r="J601" s="74" t="s">
        <v>1903</v>
      </c>
      <c r="K601" s="74" t="s">
        <v>27088</v>
      </c>
      <c r="L601" s="74" t="s">
        <v>27090</v>
      </c>
      <c r="M601" s="74" t="s">
        <v>27091</v>
      </c>
      <c r="N601" s="74" t="s">
        <v>27092</v>
      </c>
      <c r="O601" s="74">
        <v>0.0</v>
      </c>
      <c r="P601" s="119"/>
      <c r="Q601" s="119"/>
      <c r="R601" s="74" t="s">
        <v>27095</v>
      </c>
      <c r="S601" s="74">
        <v>6.0</v>
      </c>
      <c r="T601" s="74" t="s">
        <v>22634</v>
      </c>
      <c r="U601" s="120">
        <v>6601.0</v>
      </c>
      <c r="V601" s="74" t="s">
        <v>27096</v>
      </c>
      <c r="W601" s="74" t="s">
        <v>27097</v>
      </c>
      <c r="X601" s="120">
        <v>606.0</v>
      </c>
    </row>
    <row r="602">
      <c r="A602" s="74" t="s">
        <v>27087</v>
      </c>
      <c r="B602" s="74" t="s">
        <v>6876</v>
      </c>
      <c r="C602" s="74" t="s">
        <v>6877</v>
      </c>
      <c r="D602" s="74" t="s">
        <v>11623</v>
      </c>
      <c r="E602" s="74" t="s">
        <v>27099</v>
      </c>
      <c r="F602" s="74">
        <v>59.0</v>
      </c>
      <c r="G602" s="74">
        <v>1.0</v>
      </c>
      <c r="H602" s="74">
        <v>11.0</v>
      </c>
      <c r="I602" s="74" t="s">
        <v>1904</v>
      </c>
      <c r="J602" s="74" t="s">
        <v>1904</v>
      </c>
      <c r="K602" s="74" t="s">
        <v>27079</v>
      </c>
      <c r="L602" s="74" t="s">
        <v>19180</v>
      </c>
      <c r="M602" s="74" t="s">
        <v>27081</v>
      </c>
      <c r="N602" s="74" t="s">
        <v>27100</v>
      </c>
      <c r="O602" s="74">
        <v>0.0</v>
      </c>
      <c r="P602" s="119"/>
      <c r="Q602" s="119"/>
      <c r="R602" s="119"/>
      <c r="S602" s="74">
        <v>6.0</v>
      </c>
      <c r="T602" s="74" t="s">
        <v>22634</v>
      </c>
      <c r="U602" s="120">
        <v>6602.0</v>
      </c>
      <c r="V602" s="74" t="s">
        <v>27102</v>
      </c>
      <c r="W602" s="74" t="s">
        <v>27103</v>
      </c>
      <c r="X602" s="120">
        <v>607.0</v>
      </c>
    </row>
    <row r="603">
      <c r="A603" s="74" t="s">
        <v>27099</v>
      </c>
      <c r="B603" s="74" t="s">
        <v>6876</v>
      </c>
      <c r="C603" s="74" t="s">
        <v>6877</v>
      </c>
      <c r="D603" s="74" t="s">
        <v>11623</v>
      </c>
      <c r="E603" s="74" t="s">
        <v>27106</v>
      </c>
      <c r="F603" s="74">
        <v>59.0</v>
      </c>
      <c r="G603" s="74">
        <v>1.0</v>
      </c>
      <c r="H603" s="74">
        <v>99.0</v>
      </c>
      <c r="I603" s="74" t="s">
        <v>1906</v>
      </c>
      <c r="J603" s="74" t="s">
        <v>1906</v>
      </c>
      <c r="K603" s="74" t="s">
        <v>27088</v>
      </c>
      <c r="L603" s="74" t="s">
        <v>27090</v>
      </c>
      <c r="M603" s="74" t="s">
        <v>27091</v>
      </c>
      <c r="N603" s="74" t="s">
        <v>27092</v>
      </c>
      <c r="O603" s="74">
        <v>0.0</v>
      </c>
      <c r="P603" s="119"/>
      <c r="Q603" s="119"/>
      <c r="R603" s="74" t="s">
        <v>27108</v>
      </c>
      <c r="S603" s="74">
        <v>6.0</v>
      </c>
      <c r="T603" s="74" t="s">
        <v>22634</v>
      </c>
      <c r="U603" s="120">
        <v>6603.0</v>
      </c>
      <c r="V603" s="74" t="s">
        <v>27109</v>
      </c>
      <c r="W603" s="74" t="s">
        <v>27110</v>
      </c>
      <c r="X603" s="120">
        <v>608.0</v>
      </c>
    </row>
    <row r="604">
      <c r="A604" s="74" t="s">
        <v>27106</v>
      </c>
      <c r="B604" s="74" t="s">
        <v>6876</v>
      </c>
      <c r="C604" s="74" t="s">
        <v>6877</v>
      </c>
      <c r="D604" s="74" t="s">
        <v>11623</v>
      </c>
      <c r="E604" s="74" t="s">
        <v>27111</v>
      </c>
      <c r="F604" s="74">
        <v>59.0</v>
      </c>
      <c r="G604" s="74">
        <v>1.0</v>
      </c>
      <c r="H604" s="74">
        <v>11.0</v>
      </c>
      <c r="I604" s="74" t="s">
        <v>1907</v>
      </c>
      <c r="J604" s="74" t="s">
        <v>1907</v>
      </c>
      <c r="K604" s="74" t="s">
        <v>27079</v>
      </c>
      <c r="L604" s="74" t="s">
        <v>19180</v>
      </c>
      <c r="M604" s="74" t="s">
        <v>27081</v>
      </c>
      <c r="N604" s="74" t="s">
        <v>27114</v>
      </c>
      <c r="O604" s="74">
        <v>0.0</v>
      </c>
      <c r="P604" s="119"/>
      <c r="Q604" s="119"/>
      <c r="R604" s="119"/>
      <c r="S604" s="74">
        <v>4.0</v>
      </c>
      <c r="T604" s="74" t="s">
        <v>22634</v>
      </c>
      <c r="U604" s="120">
        <v>6604.0</v>
      </c>
      <c r="V604" s="74" t="s">
        <v>27116</v>
      </c>
      <c r="W604" s="74" t="s">
        <v>27117</v>
      </c>
      <c r="X604" s="120">
        <v>609.0</v>
      </c>
    </row>
    <row r="605">
      <c r="A605" s="74" t="s">
        <v>27111</v>
      </c>
      <c r="B605" s="74" t="s">
        <v>6876</v>
      </c>
      <c r="C605" s="74" t="s">
        <v>6877</v>
      </c>
      <c r="D605" s="74" t="s">
        <v>11623</v>
      </c>
      <c r="E605" s="74" t="s">
        <v>27118</v>
      </c>
      <c r="F605" s="74">
        <v>59.0</v>
      </c>
      <c r="G605" s="74">
        <v>1.0</v>
      </c>
      <c r="H605" s="74">
        <v>99.0</v>
      </c>
      <c r="I605" s="74" t="s">
        <v>1909</v>
      </c>
      <c r="J605" s="74" t="s">
        <v>1909</v>
      </c>
      <c r="K605" s="74" t="s">
        <v>27088</v>
      </c>
      <c r="L605" s="74" t="s">
        <v>27090</v>
      </c>
      <c r="M605" s="74" t="s">
        <v>27091</v>
      </c>
      <c r="N605" s="74" t="s">
        <v>27119</v>
      </c>
      <c r="O605" s="74">
        <v>0.0</v>
      </c>
      <c r="P605" s="119"/>
      <c r="Q605" s="119"/>
      <c r="R605" s="74" t="s">
        <v>27120</v>
      </c>
      <c r="S605" s="74">
        <v>4.0</v>
      </c>
      <c r="T605" s="74" t="s">
        <v>22634</v>
      </c>
      <c r="U605" s="120">
        <v>6605.0</v>
      </c>
      <c r="V605" s="74" t="s">
        <v>27121</v>
      </c>
      <c r="W605" s="74" t="s">
        <v>27122</v>
      </c>
      <c r="X605" s="120">
        <v>610.0</v>
      </c>
    </row>
    <row r="606">
      <c r="A606" s="74" t="s">
        <v>27118</v>
      </c>
      <c r="B606" s="74" t="s">
        <v>6876</v>
      </c>
      <c r="C606" s="74" t="s">
        <v>6877</v>
      </c>
      <c r="D606" s="74" t="s">
        <v>11623</v>
      </c>
      <c r="E606" s="74" t="s">
        <v>27125</v>
      </c>
      <c r="F606" s="74">
        <v>59.0</v>
      </c>
      <c r="G606" s="74">
        <v>1.0</v>
      </c>
      <c r="H606" s="74">
        <v>11.0</v>
      </c>
      <c r="I606" s="74" t="s">
        <v>1910</v>
      </c>
      <c r="J606" s="74" t="s">
        <v>1910</v>
      </c>
      <c r="K606" s="74" t="s">
        <v>27079</v>
      </c>
      <c r="L606" s="74" t="s">
        <v>19180</v>
      </c>
      <c r="M606" s="74" t="s">
        <v>27081</v>
      </c>
      <c r="N606" s="74" t="s">
        <v>27127</v>
      </c>
      <c r="O606" s="74">
        <v>0.0</v>
      </c>
      <c r="P606" s="119"/>
      <c r="Q606" s="119"/>
      <c r="R606" s="119"/>
      <c r="S606" s="74">
        <v>6.0</v>
      </c>
      <c r="T606" s="74" t="s">
        <v>22634</v>
      </c>
      <c r="U606" s="120">
        <v>6606.0</v>
      </c>
      <c r="V606" s="74" t="s">
        <v>27128</v>
      </c>
      <c r="W606" s="74" t="s">
        <v>27130</v>
      </c>
      <c r="X606" s="120">
        <v>611.0</v>
      </c>
    </row>
    <row r="607">
      <c r="A607" s="74" t="s">
        <v>27125</v>
      </c>
      <c r="B607" s="74" t="s">
        <v>6876</v>
      </c>
      <c r="C607" s="74" t="s">
        <v>6877</v>
      </c>
      <c r="D607" s="74" t="s">
        <v>11623</v>
      </c>
      <c r="E607" s="74" t="s">
        <v>27133</v>
      </c>
      <c r="F607" s="74">
        <v>59.0</v>
      </c>
      <c r="G607" s="74">
        <v>1.0</v>
      </c>
      <c r="H607" s="74">
        <v>99.0</v>
      </c>
      <c r="I607" s="74" t="s">
        <v>1912</v>
      </c>
      <c r="J607" s="74" t="s">
        <v>1912</v>
      </c>
      <c r="K607" s="74" t="s">
        <v>27088</v>
      </c>
      <c r="L607" s="74" t="s">
        <v>27090</v>
      </c>
      <c r="M607" s="74" t="s">
        <v>27091</v>
      </c>
      <c r="N607" s="74" t="s">
        <v>27134</v>
      </c>
      <c r="O607" s="74">
        <v>1.0</v>
      </c>
      <c r="P607" s="146">
        <v>43819.0</v>
      </c>
      <c r="Q607" s="119"/>
      <c r="R607" s="74" t="s">
        <v>27135</v>
      </c>
      <c r="S607" s="74">
        <v>6.0</v>
      </c>
      <c r="T607" s="74" t="s">
        <v>22634</v>
      </c>
      <c r="U607" s="120">
        <v>6607.0</v>
      </c>
      <c r="V607" s="74" t="s">
        <v>27138</v>
      </c>
      <c r="W607" s="74" t="s">
        <v>27139</v>
      </c>
      <c r="X607" s="120">
        <v>612.0</v>
      </c>
    </row>
    <row r="608">
      <c r="A608" s="74" t="s">
        <v>27133</v>
      </c>
      <c r="B608" s="74" t="s">
        <v>6876</v>
      </c>
      <c r="C608" s="74" t="s">
        <v>6877</v>
      </c>
      <c r="D608" s="74" t="s">
        <v>11623</v>
      </c>
      <c r="E608" s="74" t="s">
        <v>27141</v>
      </c>
      <c r="F608" s="74">
        <v>59.0</v>
      </c>
      <c r="G608" s="74">
        <v>1.0</v>
      </c>
      <c r="H608" s="74">
        <v>11.0</v>
      </c>
      <c r="I608" s="74" t="s">
        <v>1913</v>
      </c>
      <c r="J608" s="74" t="s">
        <v>1913</v>
      </c>
      <c r="K608" s="74" t="s">
        <v>27079</v>
      </c>
      <c r="L608" s="74" t="s">
        <v>19180</v>
      </c>
      <c r="M608" s="74" t="s">
        <v>27143</v>
      </c>
      <c r="N608" s="74" t="s">
        <v>27144</v>
      </c>
      <c r="O608" s="74">
        <v>0.0</v>
      </c>
      <c r="P608" s="119"/>
      <c r="Q608" s="119"/>
      <c r="R608" s="119"/>
      <c r="S608" s="74">
        <v>4.0</v>
      </c>
      <c r="T608" s="74" t="s">
        <v>22634</v>
      </c>
      <c r="U608" s="120">
        <v>6608.0</v>
      </c>
      <c r="V608" s="74" t="s">
        <v>27147</v>
      </c>
      <c r="W608" s="74" t="s">
        <v>27149</v>
      </c>
      <c r="X608" s="120">
        <v>613.0</v>
      </c>
    </row>
    <row r="609">
      <c r="A609" s="74" t="s">
        <v>27141</v>
      </c>
      <c r="B609" s="74" t="s">
        <v>6876</v>
      </c>
      <c r="C609" s="74" t="s">
        <v>6877</v>
      </c>
      <c r="D609" s="74" t="s">
        <v>11623</v>
      </c>
      <c r="E609" s="74" t="s">
        <v>27150</v>
      </c>
      <c r="F609" s="74">
        <v>59.0</v>
      </c>
      <c r="G609" s="74">
        <v>1.0</v>
      </c>
      <c r="H609" s="74">
        <v>99.0</v>
      </c>
      <c r="I609" s="74" t="s">
        <v>1915</v>
      </c>
      <c r="J609" s="74" t="s">
        <v>1915</v>
      </c>
      <c r="K609" s="74" t="s">
        <v>27088</v>
      </c>
      <c r="L609" s="74" t="s">
        <v>19290</v>
      </c>
      <c r="M609" s="74" t="s">
        <v>27143</v>
      </c>
      <c r="N609" s="74" t="s">
        <v>27144</v>
      </c>
      <c r="O609" s="74">
        <v>0.0</v>
      </c>
      <c r="P609" s="119"/>
      <c r="Q609" s="119"/>
      <c r="R609" s="74" t="s">
        <v>27153</v>
      </c>
      <c r="S609" s="74">
        <v>4.0</v>
      </c>
      <c r="T609" s="74" t="s">
        <v>22634</v>
      </c>
      <c r="U609" s="120">
        <v>6609.0</v>
      </c>
      <c r="V609" s="74" t="s">
        <v>27155</v>
      </c>
      <c r="W609" s="74" t="s">
        <v>27156</v>
      </c>
      <c r="X609" s="120">
        <v>614.0</v>
      </c>
    </row>
    <row r="610">
      <c r="A610" s="74" t="s">
        <v>27150</v>
      </c>
      <c r="B610" s="74" t="s">
        <v>6876</v>
      </c>
      <c r="C610" s="74" t="s">
        <v>6877</v>
      </c>
      <c r="D610" s="74" t="s">
        <v>11623</v>
      </c>
      <c r="E610" s="74" t="s">
        <v>27157</v>
      </c>
      <c r="F610" s="74">
        <v>59.0</v>
      </c>
      <c r="G610" s="74">
        <v>1.0</v>
      </c>
      <c r="H610" s="74">
        <v>11.0</v>
      </c>
      <c r="I610" s="74" t="s">
        <v>1916</v>
      </c>
      <c r="J610" s="74" t="s">
        <v>1916</v>
      </c>
      <c r="K610" s="74" t="s">
        <v>27079</v>
      </c>
      <c r="L610" s="74" t="s">
        <v>19180</v>
      </c>
      <c r="M610" s="74" t="s">
        <v>27081</v>
      </c>
      <c r="N610" s="74" t="s">
        <v>27160</v>
      </c>
      <c r="O610" s="74">
        <v>0.0</v>
      </c>
      <c r="P610" s="119"/>
      <c r="Q610" s="119"/>
      <c r="R610" s="119"/>
      <c r="S610" s="74">
        <v>4.0</v>
      </c>
      <c r="T610" s="74" t="s">
        <v>22634</v>
      </c>
      <c r="U610" s="120">
        <v>6610.0</v>
      </c>
      <c r="V610" s="74" t="s">
        <v>27162</v>
      </c>
      <c r="W610" s="74" t="s">
        <v>27163</v>
      </c>
      <c r="X610" s="120">
        <v>615.0</v>
      </c>
    </row>
    <row r="611">
      <c r="A611" s="74" t="s">
        <v>27157</v>
      </c>
      <c r="B611" s="74" t="s">
        <v>6876</v>
      </c>
      <c r="C611" s="74" t="s">
        <v>6877</v>
      </c>
      <c r="D611" s="74" t="s">
        <v>11623</v>
      </c>
      <c r="E611" s="74" t="s">
        <v>27164</v>
      </c>
      <c r="F611" s="74">
        <v>59.0</v>
      </c>
      <c r="G611" s="74">
        <v>1.0</v>
      </c>
      <c r="H611" s="74">
        <v>99.0</v>
      </c>
      <c r="I611" s="74" t="s">
        <v>1918</v>
      </c>
      <c r="J611" s="74" t="s">
        <v>1918</v>
      </c>
      <c r="K611" s="74" t="s">
        <v>27088</v>
      </c>
      <c r="L611" s="74" t="s">
        <v>19290</v>
      </c>
      <c r="M611" s="74" t="s">
        <v>27143</v>
      </c>
      <c r="N611" s="74" t="s">
        <v>27168</v>
      </c>
      <c r="O611" s="74">
        <v>0.0</v>
      </c>
      <c r="P611" s="119"/>
      <c r="Q611" s="119"/>
      <c r="R611" s="74" t="s">
        <v>27169</v>
      </c>
      <c r="S611" s="74">
        <v>4.0</v>
      </c>
      <c r="T611" s="74" t="s">
        <v>22634</v>
      </c>
      <c r="U611" s="120">
        <v>6611.0</v>
      </c>
      <c r="V611" s="74" t="s">
        <v>27170</v>
      </c>
      <c r="W611" s="74" t="s">
        <v>27171</v>
      </c>
      <c r="X611" s="120">
        <v>616.0</v>
      </c>
    </row>
    <row r="612">
      <c r="A612" s="74" t="s">
        <v>27164</v>
      </c>
      <c r="B612" s="74" t="s">
        <v>6876</v>
      </c>
      <c r="C612" s="74" t="s">
        <v>6877</v>
      </c>
      <c r="D612" s="74" t="s">
        <v>11623</v>
      </c>
      <c r="E612" s="74" t="s">
        <v>27174</v>
      </c>
      <c r="F612" s="74">
        <v>33.0</v>
      </c>
      <c r="G612" s="74">
        <v>1.0</v>
      </c>
      <c r="H612" s="74">
        <v>98.0</v>
      </c>
      <c r="I612" s="74" t="s">
        <v>1919</v>
      </c>
      <c r="J612" s="74" t="s">
        <v>1919</v>
      </c>
      <c r="K612" s="74" t="s">
        <v>27176</v>
      </c>
      <c r="L612" s="74" t="s">
        <v>27088</v>
      </c>
      <c r="M612" s="74" t="s">
        <v>27177</v>
      </c>
      <c r="N612" s="74" t="s">
        <v>27178</v>
      </c>
      <c r="O612" s="74">
        <v>0.0</v>
      </c>
      <c r="P612" s="119"/>
      <c r="Q612" s="119"/>
      <c r="R612" s="74" t="s">
        <v>23528</v>
      </c>
      <c r="S612" s="74">
        <v>4.0</v>
      </c>
      <c r="T612" s="74" t="s">
        <v>22634</v>
      </c>
      <c r="U612" s="120">
        <v>6612.0</v>
      </c>
      <c r="V612" s="74" t="s">
        <v>27179</v>
      </c>
      <c r="W612" s="74" t="s">
        <v>27180</v>
      </c>
      <c r="X612" s="120">
        <v>617.0</v>
      </c>
    </row>
    <row r="613">
      <c r="A613" s="74" t="s">
        <v>27181</v>
      </c>
      <c r="B613" s="74" t="s">
        <v>6876</v>
      </c>
      <c r="C613" s="74" t="s">
        <v>6877</v>
      </c>
      <c r="D613" s="74" t="s">
        <v>8493</v>
      </c>
      <c r="E613" s="74" t="s">
        <v>27184</v>
      </c>
      <c r="F613" s="74">
        <v>59.0</v>
      </c>
      <c r="G613" s="74">
        <v>1.0</v>
      </c>
      <c r="H613" s="74">
        <v>11.0</v>
      </c>
      <c r="I613" s="74" t="s">
        <v>1920</v>
      </c>
      <c r="J613" s="74" t="s">
        <v>1920</v>
      </c>
      <c r="K613" s="74" t="s">
        <v>27186</v>
      </c>
      <c r="L613" s="74" t="s">
        <v>27187</v>
      </c>
      <c r="M613" s="74" t="s">
        <v>27188</v>
      </c>
      <c r="N613" s="74" t="s">
        <v>27189</v>
      </c>
      <c r="O613" s="74">
        <v>0.0</v>
      </c>
      <c r="P613" s="119"/>
      <c r="Q613" s="119"/>
      <c r="R613" s="119"/>
      <c r="S613" s="74">
        <v>6.0</v>
      </c>
      <c r="T613" s="74" t="s">
        <v>22634</v>
      </c>
      <c r="U613" s="120">
        <v>6704.0</v>
      </c>
      <c r="V613" s="74" t="s">
        <v>27190</v>
      </c>
      <c r="W613" s="74" t="s">
        <v>27192</v>
      </c>
      <c r="X613" s="120">
        <v>618.0</v>
      </c>
    </row>
    <row r="614">
      <c r="A614" s="74" t="s">
        <v>27184</v>
      </c>
      <c r="B614" s="74" t="s">
        <v>6876</v>
      </c>
      <c r="C614" s="74" t="s">
        <v>6877</v>
      </c>
      <c r="D614" s="74" t="s">
        <v>8493</v>
      </c>
      <c r="E614" s="74" t="s">
        <v>27195</v>
      </c>
      <c r="F614" s="74">
        <v>59.0</v>
      </c>
      <c r="G614" s="74">
        <v>1.0</v>
      </c>
      <c r="H614" s="74">
        <v>99.0</v>
      </c>
      <c r="I614" s="74" t="s">
        <v>1922</v>
      </c>
      <c r="J614" s="74" t="s">
        <v>1922</v>
      </c>
      <c r="K614" s="74" t="s">
        <v>27196</v>
      </c>
      <c r="L614" s="74" t="s">
        <v>27186</v>
      </c>
      <c r="M614" s="74" t="s">
        <v>27197</v>
      </c>
      <c r="N614" s="74" t="s">
        <v>27198</v>
      </c>
      <c r="O614" s="74">
        <v>0.0</v>
      </c>
      <c r="P614" s="119"/>
      <c r="Q614" s="119"/>
      <c r="R614" s="74" t="s">
        <v>27199</v>
      </c>
      <c r="S614" s="74">
        <v>6.0</v>
      </c>
      <c r="T614" s="74" t="s">
        <v>22634</v>
      </c>
      <c r="U614" s="120">
        <v>6705.0</v>
      </c>
      <c r="V614" s="74" t="s">
        <v>27203</v>
      </c>
      <c r="W614" s="74" t="s">
        <v>27204</v>
      </c>
      <c r="X614" s="120">
        <v>619.0</v>
      </c>
    </row>
    <row r="615">
      <c r="A615" s="74" t="s">
        <v>27195</v>
      </c>
      <c r="B615" s="74" t="s">
        <v>6876</v>
      </c>
      <c r="C615" s="74" t="s">
        <v>6877</v>
      </c>
      <c r="D615" s="74" t="s">
        <v>8493</v>
      </c>
      <c r="E615" s="74" t="s">
        <v>27206</v>
      </c>
      <c r="F615" s="74">
        <v>59.0</v>
      </c>
      <c r="G615" s="74">
        <v>1.0</v>
      </c>
      <c r="H615" s="74">
        <v>11.0</v>
      </c>
      <c r="I615" s="74" t="s">
        <v>1923</v>
      </c>
      <c r="J615" s="74" t="s">
        <v>1923</v>
      </c>
      <c r="K615" s="74" t="s">
        <v>27186</v>
      </c>
      <c r="L615" s="74" t="s">
        <v>27187</v>
      </c>
      <c r="M615" s="74" t="s">
        <v>27188</v>
      </c>
      <c r="N615" s="74" t="s">
        <v>27207</v>
      </c>
      <c r="O615" s="74">
        <v>0.0</v>
      </c>
      <c r="P615" s="119"/>
      <c r="Q615" s="119"/>
      <c r="R615" s="119"/>
      <c r="S615" s="74">
        <v>6.0</v>
      </c>
      <c r="T615" s="74" t="s">
        <v>22634</v>
      </c>
      <c r="U615" s="120">
        <v>6706.0</v>
      </c>
      <c r="V615" s="74" t="s">
        <v>27211</v>
      </c>
      <c r="W615" s="74" t="s">
        <v>27212</v>
      </c>
      <c r="X615" s="120">
        <v>620.0</v>
      </c>
    </row>
    <row r="616">
      <c r="A616" s="74" t="s">
        <v>27206</v>
      </c>
      <c r="B616" s="74" t="s">
        <v>6876</v>
      </c>
      <c r="C616" s="74" t="s">
        <v>6877</v>
      </c>
      <c r="D616" s="74" t="s">
        <v>8493</v>
      </c>
      <c r="E616" s="74" t="s">
        <v>27213</v>
      </c>
      <c r="F616" s="74">
        <v>59.0</v>
      </c>
      <c r="G616" s="74">
        <v>1.0</v>
      </c>
      <c r="H616" s="74">
        <v>11.0</v>
      </c>
      <c r="I616" s="74" t="s">
        <v>1925</v>
      </c>
      <c r="J616" s="74" t="s">
        <v>1925</v>
      </c>
      <c r="K616" s="74" t="s">
        <v>27196</v>
      </c>
      <c r="L616" s="74" t="s">
        <v>27186</v>
      </c>
      <c r="M616" s="74" t="s">
        <v>27197</v>
      </c>
      <c r="N616" s="74" t="s">
        <v>27214</v>
      </c>
      <c r="O616" s="74">
        <v>0.0</v>
      </c>
      <c r="P616" s="119"/>
      <c r="Q616" s="119"/>
      <c r="R616" s="74" t="s">
        <v>27216</v>
      </c>
      <c r="S616" s="74">
        <v>6.0</v>
      </c>
      <c r="T616" s="74" t="s">
        <v>22634</v>
      </c>
      <c r="U616" s="120">
        <v>6707.0</v>
      </c>
      <c r="V616" s="74" t="s">
        <v>27219</v>
      </c>
      <c r="W616" s="74" t="s">
        <v>27220</v>
      </c>
      <c r="X616" s="120">
        <v>621.0</v>
      </c>
    </row>
    <row r="617">
      <c r="A617" s="74" t="s">
        <v>27213</v>
      </c>
      <c r="B617" s="74" t="s">
        <v>6876</v>
      </c>
      <c r="C617" s="74" t="s">
        <v>6877</v>
      </c>
      <c r="D617" s="74" t="s">
        <v>8493</v>
      </c>
      <c r="E617" s="74" t="s">
        <v>27222</v>
      </c>
      <c r="F617" s="74">
        <v>59.0</v>
      </c>
      <c r="G617" s="74">
        <v>1.0</v>
      </c>
      <c r="H617" s="74">
        <v>11.0</v>
      </c>
      <c r="I617" s="74" t="s">
        <v>1926</v>
      </c>
      <c r="J617" s="74" t="s">
        <v>1926</v>
      </c>
      <c r="K617" s="74" t="s">
        <v>27186</v>
      </c>
      <c r="L617" s="74" t="s">
        <v>27187</v>
      </c>
      <c r="M617" s="74" t="s">
        <v>27188</v>
      </c>
      <c r="N617" s="74" t="s">
        <v>27223</v>
      </c>
      <c r="O617" s="74">
        <v>0.0</v>
      </c>
      <c r="P617" s="119"/>
      <c r="Q617" s="119"/>
      <c r="R617" s="119"/>
      <c r="S617" s="74">
        <v>6.0</v>
      </c>
      <c r="T617" s="74" t="s">
        <v>22634</v>
      </c>
      <c r="U617" s="120">
        <v>6708.0</v>
      </c>
      <c r="V617" s="74" t="s">
        <v>27226</v>
      </c>
      <c r="W617" s="74" t="s">
        <v>27227</v>
      </c>
      <c r="X617" s="120">
        <v>622.0</v>
      </c>
    </row>
    <row r="618">
      <c r="A618" s="74" t="s">
        <v>27222</v>
      </c>
      <c r="B618" s="74" t="s">
        <v>6876</v>
      </c>
      <c r="C618" s="74" t="s">
        <v>6877</v>
      </c>
      <c r="D618" s="74" t="s">
        <v>8493</v>
      </c>
      <c r="E618" s="74" t="s">
        <v>27229</v>
      </c>
      <c r="F618" s="74">
        <v>59.0</v>
      </c>
      <c r="G618" s="74">
        <v>1.0</v>
      </c>
      <c r="H618" s="74">
        <v>99.0</v>
      </c>
      <c r="I618" s="74" t="s">
        <v>1928</v>
      </c>
      <c r="J618" s="74" t="s">
        <v>1928</v>
      </c>
      <c r="K618" s="74" t="s">
        <v>27196</v>
      </c>
      <c r="L618" s="74" t="s">
        <v>27186</v>
      </c>
      <c r="M618" s="74" t="s">
        <v>27197</v>
      </c>
      <c r="N618" s="74" t="s">
        <v>27230</v>
      </c>
      <c r="O618" s="74">
        <v>0.0</v>
      </c>
      <c r="P618" s="119"/>
      <c r="Q618" s="119"/>
      <c r="R618" s="74" t="s">
        <v>27233</v>
      </c>
      <c r="S618" s="74">
        <v>6.0</v>
      </c>
      <c r="T618" s="74" t="s">
        <v>22634</v>
      </c>
      <c r="U618" s="120">
        <v>6709.0</v>
      </c>
      <c r="V618" s="74" t="s">
        <v>27235</v>
      </c>
      <c r="W618" s="74" t="s">
        <v>27236</v>
      </c>
      <c r="X618" s="120">
        <v>623.0</v>
      </c>
    </row>
    <row r="619">
      <c r="A619" s="74" t="s">
        <v>27229</v>
      </c>
      <c r="B619" s="74" t="s">
        <v>6876</v>
      </c>
      <c r="C619" s="74" t="s">
        <v>6877</v>
      </c>
      <c r="D619" s="74" t="s">
        <v>8493</v>
      </c>
      <c r="E619" s="74" t="s">
        <v>27238</v>
      </c>
      <c r="F619" s="74">
        <v>59.0</v>
      </c>
      <c r="G619" s="74">
        <v>1.0</v>
      </c>
      <c r="H619" s="74">
        <v>11.0</v>
      </c>
      <c r="I619" s="74" t="s">
        <v>1929</v>
      </c>
      <c r="J619" s="74" t="s">
        <v>1929</v>
      </c>
      <c r="K619" s="74" t="s">
        <v>27186</v>
      </c>
      <c r="L619" s="74" t="s">
        <v>27187</v>
      </c>
      <c r="M619" s="74" t="s">
        <v>27188</v>
      </c>
      <c r="N619" s="74" t="s">
        <v>27242</v>
      </c>
      <c r="O619" s="74">
        <v>0.0</v>
      </c>
      <c r="P619" s="119"/>
      <c r="Q619" s="119"/>
      <c r="R619" s="119"/>
      <c r="S619" s="74">
        <v>6.0</v>
      </c>
      <c r="T619" s="74" t="s">
        <v>22634</v>
      </c>
      <c r="U619" s="120">
        <v>6710.0</v>
      </c>
      <c r="V619" s="74" t="s">
        <v>27243</v>
      </c>
      <c r="W619" s="74" t="s">
        <v>27244</v>
      </c>
      <c r="X619" s="120">
        <v>624.0</v>
      </c>
    </row>
    <row r="620">
      <c r="A620" s="74" t="s">
        <v>27238</v>
      </c>
      <c r="B620" s="74" t="s">
        <v>6876</v>
      </c>
      <c r="C620" s="74" t="s">
        <v>6877</v>
      </c>
      <c r="D620" s="74" t="s">
        <v>8493</v>
      </c>
      <c r="E620" s="74" t="s">
        <v>27247</v>
      </c>
      <c r="F620" s="74">
        <v>59.0</v>
      </c>
      <c r="G620" s="74">
        <v>1.0</v>
      </c>
      <c r="H620" s="74">
        <v>99.0</v>
      </c>
      <c r="I620" s="74" t="s">
        <v>1931</v>
      </c>
      <c r="J620" s="74" t="s">
        <v>1931</v>
      </c>
      <c r="K620" s="74" t="s">
        <v>27196</v>
      </c>
      <c r="L620" s="74" t="s">
        <v>27186</v>
      </c>
      <c r="M620" s="74" t="s">
        <v>27197</v>
      </c>
      <c r="N620" s="74" t="s">
        <v>27249</v>
      </c>
      <c r="O620" s="74">
        <v>0.0</v>
      </c>
      <c r="P620" s="119"/>
      <c r="Q620" s="119"/>
      <c r="R620" s="74" t="s">
        <v>27250</v>
      </c>
      <c r="S620" s="74">
        <v>6.0</v>
      </c>
      <c r="T620" s="74" t="s">
        <v>22634</v>
      </c>
      <c r="U620" s="120">
        <v>6711.0</v>
      </c>
      <c r="V620" s="74" t="s">
        <v>27251</v>
      </c>
      <c r="W620" s="74" t="s">
        <v>27252</v>
      </c>
      <c r="X620" s="120">
        <v>625.0</v>
      </c>
    </row>
    <row r="621">
      <c r="A621" s="74" t="s">
        <v>27247</v>
      </c>
      <c r="B621" s="74" t="s">
        <v>6876</v>
      </c>
      <c r="C621" s="74" t="s">
        <v>6877</v>
      </c>
      <c r="D621" s="74" t="s">
        <v>8493</v>
      </c>
      <c r="E621" s="74" t="s">
        <v>27257</v>
      </c>
      <c r="F621" s="74">
        <v>33.0</v>
      </c>
      <c r="G621" s="74">
        <v>1.0</v>
      </c>
      <c r="H621" s="74">
        <v>98.0</v>
      </c>
      <c r="I621" s="74" t="s">
        <v>1892</v>
      </c>
      <c r="J621" s="74" t="s">
        <v>1892</v>
      </c>
      <c r="K621" s="74" t="s">
        <v>27196</v>
      </c>
      <c r="L621" s="74" t="s">
        <v>27186</v>
      </c>
      <c r="M621" s="74" t="s">
        <v>27197</v>
      </c>
      <c r="N621" s="74" t="s">
        <v>27258</v>
      </c>
      <c r="O621" s="74">
        <v>0.0</v>
      </c>
      <c r="P621" s="119"/>
      <c r="Q621" s="119"/>
      <c r="R621" s="74" t="s">
        <v>23528</v>
      </c>
      <c r="S621" s="74">
        <v>6.0</v>
      </c>
      <c r="T621" s="74" t="s">
        <v>22634</v>
      </c>
      <c r="U621" s="120">
        <v>6712.0</v>
      </c>
      <c r="V621" s="74" t="s">
        <v>27261</v>
      </c>
      <c r="W621" s="74" t="s">
        <v>27262</v>
      </c>
      <c r="X621" s="120">
        <v>626.0</v>
      </c>
    </row>
    <row r="622">
      <c r="A622" s="74" t="s">
        <v>27257</v>
      </c>
      <c r="B622" s="74" t="s">
        <v>6876</v>
      </c>
      <c r="C622" s="74" t="s">
        <v>6877</v>
      </c>
      <c r="D622" s="74" t="s">
        <v>8493</v>
      </c>
      <c r="E622" s="74" t="s">
        <v>27264</v>
      </c>
      <c r="F622" s="74">
        <v>59.0</v>
      </c>
      <c r="G622" s="74">
        <v>1.0</v>
      </c>
      <c r="H622" s="74">
        <v>11.0</v>
      </c>
      <c r="I622" s="74" t="s">
        <v>1934</v>
      </c>
      <c r="J622" s="74" t="s">
        <v>1934</v>
      </c>
      <c r="K622" s="74" t="s">
        <v>27265</v>
      </c>
      <c r="L622" s="74" t="s">
        <v>27266</v>
      </c>
      <c r="M622" s="74" t="s">
        <v>27267</v>
      </c>
      <c r="N622" s="74" t="s">
        <v>27268</v>
      </c>
      <c r="O622" s="74">
        <v>0.0</v>
      </c>
      <c r="P622" s="119"/>
      <c r="Q622" s="119"/>
      <c r="R622" s="119"/>
      <c r="S622" s="74">
        <v>4.0</v>
      </c>
      <c r="T622" s="74" t="s">
        <v>22634</v>
      </c>
      <c r="U622" s="120">
        <v>6713.0</v>
      </c>
      <c r="V622" s="74" t="s">
        <v>27271</v>
      </c>
      <c r="W622" s="74" t="s">
        <v>27272</v>
      </c>
      <c r="X622" s="120">
        <v>627.0</v>
      </c>
    </row>
    <row r="623">
      <c r="A623" s="74" t="s">
        <v>27274</v>
      </c>
      <c r="B623" s="74" t="s">
        <v>6876</v>
      </c>
      <c r="C623" s="74" t="s">
        <v>6877</v>
      </c>
      <c r="D623" s="74" t="s">
        <v>8493</v>
      </c>
      <c r="E623" s="74" t="s">
        <v>27275</v>
      </c>
      <c r="F623" s="74">
        <v>59.0</v>
      </c>
      <c r="G623" s="74">
        <v>1.0</v>
      </c>
      <c r="H623" s="74">
        <v>99.0</v>
      </c>
      <c r="I623" s="74" t="s">
        <v>1936</v>
      </c>
      <c r="J623" s="74" t="s">
        <v>1936</v>
      </c>
      <c r="K623" s="74" t="s">
        <v>27276</v>
      </c>
      <c r="L623" s="74" t="s">
        <v>27277</v>
      </c>
      <c r="M623" s="74" t="s">
        <v>27279</v>
      </c>
      <c r="N623" s="74" t="s">
        <v>27280</v>
      </c>
      <c r="O623" s="74">
        <v>0.0</v>
      </c>
      <c r="P623" s="119"/>
      <c r="Q623" s="119"/>
      <c r="R623" s="74" t="s">
        <v>27283</v>
      </c>
      <c r="S623" s="74">
        <v>4.0</v>
      </c>
      <c r="T623" s="74" t="s">
        <v>22634</v>
      </c>
      <c r="U623" s="120">
        <v>6714.0</v>
      </c>
      <c r="V623" s="74" t="s">
        <v>27285</v>
      </c>
      <c r="W623" s="74" t="s">
        <v>27286</v>
      </c>
      <c r="X623" s="120">
        <v>628.0</v>
      </c>
    </row>
    <row r="624">
      <c r="A624" s="74" t="s">
        <v>27275</v>
      </c>
      <c r="B624" s="74" t="s">
        <v>6876</v>
      </c>
      <c r="C624" s="74" t="s">
        <v>6877</v>
      </c>
      <c r="D624" s="74" t="s">
        <v>8493</v>
      </c>
      <c r="E624" s="74" t="s">
        <v>27287</v>
      </c>
      <c r="F624" s="74">
        <v>59.0</v>
      </c>
      <c r="G624" s="74">
        <v>1.0</v>
      </c>
      <c r="H624" s="74">
        <v>11.0</v>
      </c>
      <c r="I624" s="74" t="s">
        <v>1937</v>
      </c>
      <c r="J624" s="74" t="s">
        <v>1937</v>
      </c>
      <c r="K624" s="74" t="s">
        <v>27265</v>
      </c>
      <c r="L624" s="74" t="s">
        <v>27266</v>
      </c>
      <c r="M624" s="74" t="s">
        <v>27267</v>
      </c>
      <c r="N624" s="74" t="s">
        <v>27291</v>
      </c>
      <c r="O624" s="74">
        <v>0.0</v>
      </c>
      <c r="P624" s="119"/>
      <c r="Q624" s="119"/>
      <c r="R624" s="119"/>
      <c r="S624" s="74">
        <v>6.0</v>
      </c>
      <c r="T624" s="74" t="s">
        <v>22634</v>
      </c>
      <c r="U624" s="120">
        <v>6715.0</v>
      </c>
      <c r="V624" s="74" t="s">
        <v>27293</v>
      </c>
      <c r="W624" s="74" t="s">
        <v>27294</v>
      </c>
      <c r="X624" s="120">
        <v>629.0</v>
      </c>
    </row>
    <row r="625">
      <c r="A625" s="74" t="s">
        <v>27287</v>
      </c>
      <c r="B625" s="74" t="s">
        <v>6876</v>
      </c>
      <c r="C625" s="74" t="s">
        <v>6877</v>
      </c>
      <c r="D625" s="74" t="s">
        <v>8493</v>
      </c>
      <c r="E625" s="74" t="s">
        <v>27295</v>
      </c>
      <c r="F625" s="74">
        <v>59.0</v>
      </c>
      <c r="G625" s="74">
        <v>1.0</v>
      </c>
      <c r="H625" s="74">
        <v>99.0</v>
      </c>
      <c r="I625" s="74" t="s">
        <v>1939</v>
      </c>
      <c r="J625" s="74" t="s">
        <v>1939</v>
      </c>
      <c r="K625" s="74" t="s">
        <v>27276</v>
      </c>
      <c r="L625" s="74" t="s">
        <v>27277</v>
      </c>
      <c r="M625" s="74" t="s">
        <v>27279</v>
      </c>
      <c r="N625" s="74" t="s">
        <v>27300</v>
      </c>
      <c r="O625" s="74">
        <v>0.0</v>
      </c>
      <c r="P625" s="119"/>
      <c r="Q625" s="119"/>
      <c r="R625" s="74" t="s">
        <v>27301</v>
      </c>
      <c r="S625" s="74">
        <v>6.0</v>
      </c>
      <c r="T625" s="74" t="s">
        <v>22634</v>
      </c>
      <c r="U625" s="120">
        <v>6716.0</v>
      </c>
      <c r="V625" s="74" t="s">
        <v>27302</v>
      </c>
      <c r="W625" s="74" t="s">
        <v>27303</v>
      </c>
      <c r="X625" s="120">
        <v>630.0</v>
      </c>
    </row>
    <row r="626">
      <c r="A626" s="74" t="s">
        <v>27295</v>
      </c>
      <c r="B626" s="74" t="s">
        <v>6876</v>
      </c>
      <c r="C626" s="74" t="s">
        <v>6877</v>
      </c>
      <c r="D626" s="74" t="s">
        <v>8493</v>
      </c>
      <c r="E626" s="74" t="s">
        <v>27305</v>
      </c>
      <c r="F626" s="74">
        <v>59.0</v>
      </c>
      <c r="G626" s="74">
        <v>1.0</v>
      </c>
      <c r="H626" s="74">
        <v>11.0</v>
      </c>
      <c r="I626" s="74" t="s">
        <v>1940</v>
      </c>
      <c r="J626" s="74" t="s">
        <v>1940</v>
      </c>
      <c r="K626" s="74" t="s">
        <v>27265</v>
      </c>
      <c r="L626" s="74" t="s">
        <v>27266</v>
      </c>
      <c r="M626" s="74" t="s">
        <v>27267</v>
      </c>
      <c r="N626" s="74" t="s">
        <v>27308</v>
      </c>
      <c r="O626" s="74">
        <v>0.0</v>
      </c>
      <c r="P626" s="119"/>
      <c r="Q626" s="119"/>
      <c r="R626" s="119"/>
      <c r="S626" s="74">
        <v>4.0</v>
      </c>
      <c r="T626" s="74" t="s">
        <v>22634</v>
      </c>
      <c r="U626" s="120">
        <v>6717.0</v>
      </c>
      <c r="V626" s="74" t="s">
        <v>27310</v>
      </c>
      <c r="W626" s="74" t="s">
        <v>27312</v>
      </c>
      <c r="X626" s="120">
        <v>631.0</v>
      </c>
    </row>
    <row r="627">
      <c r="A627" s="74" t="s">
        <v>27305</v>
      </c>
      <c r="B627" s="74" t="s">
        <v>6876</v>
      </c>
      <c r="C627" s="74" t="s">
        <v>6877</v>
      </c>
      <c r="D627" s="74" t="s">
        <v>8493</v>
      </c>
      <c r="E627" s="74" t="s">
        <v>27316</v>
      </c>
      <c r="F627" s="74">
        <v>59.0</v>
      </c>
      <c r="G627" s="74">
        <v>1.0</v>
      </c>
      <c r="H627" s="74">
        <v>99.0</v>
      </c>
      <c r="I627" s="74" t="s">
        <v>1942</v>
      </c>
      <c r="J627" s="74" t="s">
        <v>1942</v>
      </c>
      <c r="K627" s="74" t="s">
        <v>27276</v>
      </c>
      <c r="L627" s="74" t="s">
        <v>27277</v>
      </c>
      <c r="M627" s="74" t="s">
        <v>27279</v>
      </c>
      <c r="N627" s="74" t="s">
        <v>27300</v>
      </c>
      <c r="O627" s="74">
        <v>0.0</v>
      </c>
      <c r="P627" s="119"/>
      <c r="Q627" s="119"/>
      <c r="R627" s="74" t="s">
        <v>27320</v>
      </c>
      <c r="S627" s="74">
        <v>4.0</v>
      </c>
      <c r="T627" s="74" t="s">
        <v>22634</v>
      </c>
      <c r="U627" s="120">
        <v>6718.0</v>
      </c>
      <c r="V627" s="74" t="s">
        <v>27322</v>
      </c>
      <c r="W627" s="74" t="s">
        <v>27323</v>
      </c>
      <c r="X627" s="120">
        <v>632.0</v>
      </c>
    </row>
    <row r="628">
      <c r="A628" s="74" t="s">
        <v>27316</v>
      </c>
      <c r="B628" s="74" t="s">
        <v>6876</v>
      </c>
      <c r="C628" s="74" t="s">
        <v>6877</v>
      </c>
      <c r="D628" s="74" t="s">
        <v>8493</v>
      </c>
      <c r="E628" s="74" t="s">
        <v>27324</v>
      </c>
      <c r="F628" s="74">
        <v>59.0</v>
      </c>
      <c r="G628" s="74">
        <v>1.0</v>
      </c>
      <c r="H628" s="74">
        <v>11.0</v>
      </c>
      <c r="I628" s="74" t="s">
        <v>1943</v>
      </c>
      <c r="J628" s="74" t="s">
        <v>1943</v>
      </c>
      <c r="K628" s="74" t="s">
        <v>27265</v>
      </c>
      <c r="L628" s="74" t="s">
        <v>27266</v>
      </c>
      <c r="M628" s="74" t="s">
        <v>27267</v>
      </c>
      <c r="N628" s="74" t="s">
        <v>27327</v>
      </c>
      <c r="O628" s="74">
        <v>0.0</v>
      </c>
      <c r="P628" s="119"/>
      <c r="Q628" s="119"/>
      <c r="R628" s="119"/>
      <c r="S628" s="74">
        <v>6.0</v>
      </c>
      <c r="T628" s="74" t="s">
        <v>22634</v>
      </c>
      <c r="U628" s="120">
        <v>6719.0</v>
      </c>
      <c r="V628" s="74" t="s">
        <v>27329</v>
      </c>
      <c r="W628" s="74" t="s">
        <v>27330</v>
      </c>
      <c r="X628" s="120">
        <v>633.0</v>
      </c>
    </row>
    <row r="629">
      <c r="A629" s="74" t="s">
        <v>27324</v>
      </c>
      <c r="B629" s="74" t="s">
        <v>6876</v>
      </c>
      <c r="C629" s="74" t="s">
        <v>6877</v>
      </c>
      <c r="D629" s="74" t="s">
        <v>8493</v>
      </c>
      <c r="E629" s="74" t="s">
        <v>27331</v>
      </c>
      <c r="F629" s="74">
        <v>59.0</v>
      </c>
      <c r="G629" s="74">
        <v>1.0</v>
      </c>
      <c r="H629" s="74">
        <v>99.0</v>
      </c>
      <c r="I629" s="74" t="s">
        <v>1945</v>
      </c>
      <c r="J629" s="74" t="s">
        <v>1945</v>
      </c>
      <c r="K629" s="74" t="s">
        <v>27276</v>
      </c>
      <c r="L629" s="74" t="s">
        <v>27277</v>
      </c>
      <c r="M629" s="74" t="s">
        <v>27279</v>
      </c>
      <c r="N629" s="74" t="s">
        <v>27335</v>
      </c>
      <c r="O629" s="74">
        <v>1.0</v>
      </c>
      <c r="P629" s="146">
        <v>43826.0</v>
      </c>
      <c r="Q629" s="119"/>
      <c r="R629" s="74" t="s">
        <v>27336</v>
      </c>
      <c r="S629" s="74">
        <v>6.0</v>
      </c>
      <c r="T629" s="74" t="s">
        <v>22634</v>
      </c>
      <c r="U629" s="120">
        <v>6720.0</v>
      </c>
      <c r="V629" s="74" t="s">
        <v>27337</v>
      </c>
      <c r="W629" s="74" t="s">
        <v>27338</v>
      </c>
      <c r="X629" s="120">
        <v>634.0</v>
      </c>
    </row>
    <row r="630">
      <c r="A630" s="74" t="s">
        <v>27331</v>
      </c>
      <c r="B630" s="74" t="s">
        <v>6876</v>
      </c>
      <c r="C630" s="74" t="s">
        <v>6877</v>
      </c>
      <c r="D630" s="74" t="s">
        <v>8493</v>
      </c>
      <c r="E630" s="74" t="s">
        <v>27341</v>
      </c>
      <c r="F630" s="74">
        <v>33.0</v>
      </c>
      <c r="G630" s="74">
        <v>1.0</v>
      </c>
      <c r="H630" s="74">
        <v>98.0</v>
      </c>
      <c r="I630" s="74" t="s">
        <v>1919</v>
      </c>
      <c r="J630" s="74" t="s">
        <v>1919</v>
      </c>
      <c r="K630" s="74" t="s">
        <v>27343</v>
      </c>
      <c r="L630" s="74" t="s">
        <v>27344</v>
      </c>
      <c r="M630" s="74" t="s">
        <v>27345</v>
      </c>
      <c r="N630" s="74" t="s">
        <v>27346</v>
      </c>
      <c r="O630" s="74">
        <v>0.0</v>
      </c>
      <c r="P630" s="119"/>
      <c r="Q630" s="119"/>
      <c r="R630" s="74" t="s">
        <v>23528</v>
      </c>
      <c r="S630" s="74">
        <v>6.0</v>
      </c>
      <c r="T630" s="74" t="s">
        <v>22634</v>
      </c>
      <c r="U630" s="120">
        <v>6721.0</v>
      </c>
      <c r="V630" s="74" t="s">
        <v>27347</v>
      </c>
      <c r="W630" s="74" t="s">
        <v>27349</v>
      </c>
      <c r="X630" s="120">
        <v>635.0</v>
      </c>
    </row>
    <row r="631">
      <c r="A631" s="74" t="s">
        <v>27341</v>
      </c>
      <c r="B631" s="74" t="s">
        <v>6876</v>
      </c>
      <c r="C631" s="74" t="s">
        <v>6877</v>
      </c>
      <c r="D631" s="74" t="s">
        <v>8493</v>
      </c>
      <c r="E631" s="74" t="s">
        <v>27353</v>
      </c>
      <c r="F631" s="74">
        <v>66.0</v>
      </c>
      <c r="G631" s="74">
        <v>1.0</v>
      </c>
      <c r="H631" s="74">
        <v>12.0</v>
      </c>
      <c r="I631" s="74" t="s">
        <v>1953</v>
      </c>
      <c r="J631" s="74" t="s">
        <v>1953</v>
      </c>
      <c r="K631" s="74" t="s">
        <v>27279</v>
      </c>
      <c r="L631" s="74" t="s">
        <v>27354</v>
      </c>
      <c r="M631" s="74" t="s">
        <v>27355</v>
      </c>
      <c r="N631" s="74" t="s">
        <v>27356</v>
      </c>
      <c r="O631" s="74">
        <v>0.0</v>
      </c>
      <c r="P631" s="119"/>
      <c r="Q631" s="119"/>
      <c r="R631" s="119"/>
      <c r="S631" s="74">
        <v>6.0</v>
      </c>
      <c r="T631" s="74" t="s">
        <v>22634</v>
      </c>
      <c r="U631" s="120">
        <v>6722.0</v>
      </c>
      <c r="V631" s="74" t="s">
        <v>27359</v>
      </c>
      <c r="W631" s="74" t="s">
        <v>27361</v>
      </c>
      <c r="X631" s="120">
        <v>636.0</v>
      </c>
    </row>
    <row r="632">
      <c r="A632" s="74" t="s">
        <v>27353</v>
      </c>
      <c r="B632" s="74" t="s">
        <v>6876</v>
      </c>
      <c r="C632" s="74" t="s">
        <v>6877</v>
      </c>
      <c r="D632" s="74" t="s">
        <v>8493</v>
      </c>
      <c r="E632" s="74" t="s">
        <v>27362</v>
      </c>
      <c r="F632" s="74">
        <v>66.0</v>
      </c>
      <c r="G632" s="74">
        <v>1.0</v>
      </c>
      <c r="H632" s="74">
        <v>99.0</v>
      </c>
      <c r="I632" s="74" t="s">
        <v>1955</v>
      </c>
      <c r="J632" s="74" t="s">
        <v>1955</v>
      </c>
      <c r="K632" s="74" t="s">
        <v>27365</v>
      </c>
      <c r="L632" s="74" t="s">
        <v>27367</v>
      </c>
      <c r="M632" s="74" t="s">
        <v>27368</v>
      </c>
      <c r="N632" s="74" t="s">
        <v>27369</v>
      </c>
      <c r="O632" s="74">
        <v>0.0</v>
      </c>
      <c r="P632" s="119"/>
      <c r="Q632" s="119"/>
      <c r="R632" s="74" t="s">
        <v>27370</v>
      </c>
      <c r="S632" s="74">
        <v>6.0</v>
      </c>
      <c r="T632" s="74" t="s">
        <v>22634</v>
      </c>
      <c r="U632" s="120">
        <v>6723.0</v>
      </c>
      <c r="V632" s="74" t="s">
        <v>27371</v>
      </c>
      <c r="W632" s="74" t="s">
        <v>27372</v>
      </c>
      <c r="X632" s="120">
        <v>637.0</v>
      </c>
    </row>
    <row r="633">
      <c r="A633" s="74" t="s">
        <v>27362</v>
      </c>
      <c r="B633" s="74" t="s">
        <v>6876</v>
      </c>
      <c r="C633" s="74" t="s">
        <v>6877</v>
      </c>
      <c r="D633" s="74" t="s">
        <v>8493</v>
      </c>
      <c r="E633" s="74" t="s">
        <v>27375</v>
      </c>
      <c r="F633" s="74">
        <v>59.0</v>
      </c>
      <c r="G633" s="74">
        <v>1.0</v>
      </c>
      <c r="H633" s="74">
        <v>12.0</v>
      </c>
      <c r="I633" s="74" t="s">
        <v>1956</v>
      </c>
      <c r="J633" s="74" t="s">
        <v>1956</v>
      </c>
      <c r="K633" s="74" t="s">
        <v>27279</v>
      </c>
      <c r="L633" s="74" t="s">
        <v>27354</v>
      </c>
      <c r="M633" s="74" t="s">
        <v>27377</v>
      </c>
      <c r="N633" s="74" t="s">
        <v>27378</v>
      </c>
      <c r="O633" s="74">
        <v>0.0</v>
      </c>
      <c r="P633" s="119"/>
      <c r="Q633" s="119"/>
      <c r="R633" s="119"/>
      <c r="S633" s="74">
        <v>6.0</v>
      </c>
      <c r="T633" s="74" t="s">
        <v>22634</v>
      </c>
      <c r="U633" s="120">
        <v>6724.0</v>
      </c>
      <c r="V633" s="74" t="s">
        <v>27379</v>
      </c>
      <c r="W633" s="74" t="s">
        <v>27380</v>
      </c>
      <c r="X633" s="120">
        <v>638.0</v>
      </c>
    </row>
    <row r="634">
      <c r="A634" s="74" t="s">
        <v>27375</v>
      </c>
      <c r="B634" s="74" t="s">
        <v>6876</v>
      </c>
      <c r="C634" s="74" t="s">
        <v>6877</v>
      </c>
      <c r="D634" s="74" t="s">
        <v>8493</v>
      </c>
      <c r="E634" s="74" t="s">
        <v>27381</v>
      </c>
      <c r="F634" s="74">
        <v>59.0</v>
      </c>
      <c r="G634" s="74">
        <v>1.0</v>
      </c>
      <c r="H634" s="74">
        <v>99.0</v>
      </c>
      <c r="I634" s="74" t="s">
        <v>1952</v>
      </c>
      <c r="J634" s="74" t="s">
        <v>1952</v>
      </c>
      <c r="K634" s="74" t="s">
        <v>27365</v>
      </c>
      <c r="L634" s="74" t="s">
        <v>27367</v>
      </c>
      <c r="M634" s="74" t="s">
        <v>27368</v>
      </c>
      <c r="N634" s="74" t="s">
        <v>27384</v>
      </c>
      <c r="O634" s="74">
        <v>0.0</v>
      </c>
      <c r="P634" s="119"/>
      <c r="Q634" s="119"/>
      <c r="R634" s="74" t="s">
        <v>27385</v>
      </c>
      <c r="S634" s="74">
        <v>6.0</v>
      </c>
      <c r="T634" s="74" t="s">
        <v>22634</v>
      </c>
      <c r="U634" s="120">
        <v>6725.0</v>
      </c>
      <c r="V634" s="74" t="s">
        <v>27386</v>
      </c>
      <c r="W634" s="74" t="s">
        <v>27387</v>
      </c>
      <c r="X634" s="120">
        <v>639.0</v>
      </c>
    </row>
    <row r="635">
      <c r="A635" s="74" t="s">
        <v>27381</v>
      </c>
      <c r="B635" s="74" t="s">
        <v>6876</v>
      </c>
      <c r="C635" s="74" t="s">
        <v>6877</v>
      </c>
      <c r="D635" s="74" t="s">
        <v>8493</v>
      </c>
      <c r="E635" s="74" t="s">
        <v>27388</v>
      </c>
      <c r="F635" s="74">
        <v>59.0</v>
      </c>
      <c r="G635" s="74">
        <v>1.0</v>
      </c>
      <c r="H635" s="74">
        <v>11.0</v>
      </c>
      <c r="I635" s="74" t="s">
        <v>335</v>
      </c>
      <c r="J635" s="74" t="s">
        <v>335</v>
      </c>
      <c r="K635" s="74" t="s">
        <v>27279</v>
      </c>
      <c r="L635" s="74" t="s">
        <v>27390</v>
      </c>
      <c r="M635" s="74" t="s">
        <v>27391</v>
      </c>
      <c r="N635" s="74" t="s">
        <v>27392</v>
      </c>
      <c r="O635" s="74">
        <v>0.0</v>
      </c>
      <c r="P635" s="119"/>
      <c r="Q635" s="119"/>
      <c r="R635" s="119"/>
      <c r="S635" s="74">
        <v>6.0</v>
      </c>
      <c r="T635" s="74" t="s">
        <v>22634</v>
      </c>
      <c r="U635" s="120">
        <v>6726.0</v>
      </c>
      <c r="V635" s="74" t="s">
        <v>27393</v>
      </c>
      <c r="W635" s="74" t="s">
        <v>27394</v>
      </c>
      <c r="X635" s="120">
        <v>640.0</v>
      </c>
    </row>
    <row r="636">
      <c r="A636" s="74" t="s">
        <v>27388</v>
      </c>
      <c r="B636" s="74" t="s">
        <v>6876</v>
      </c>
      <c r="C636" s="74" t="s">
        <v>6877</v>
      </c>
      <c r="D636" s="74" t="s">
        <v>8493</v>
      </c>
      <c r="E636" s="74" t="s">
        <v>27397</v>
      </c>
      <c r="F636" s="74">
        <v>59.0</v>
      </c>
      <c r="G636" s="74">
        <v>1.0</v>
      </c>
      <c r="H636" s="74">
        <v>99.0</v>
      </c>
      <c r="I636" s="74" t="s">
        <v>1949</v>
      </c>
      <c r="J636" s="74" t="s">
        <v>1949</v>
      </c>
      <c r="K636" s="74" t="s">
        <v>27345</v>
      </c>
      <c r="L636" s="74" t="s">
        <v>27367</v>
      </c>
      <c r="M636" s="74" t="s">
        <v>27368</v>
      </c>
      <c r="N636" s="74" t="s">
        <v>27399</v>
      </c>
      <c r="O636" s="74">
        <v>1.0</v>
      </c>
      <c r="P636" s="146">
        <v>43827.0</v>
      </c>
      <c r="Q636" s="119"/>
      <c r="R636" s="74" t="s">
        <v>27400</v>
      </c>
      <c r="S636" s="74">
        <v>6.0</v>
      </c>
      <c r="T636" s="74" t="s">
        <v>22634</v>
      </c>
      <c r="U636" s="120">
        <v>6727.0</v>
      </c>
      <c r="V636" s="74" t="s">
        <v>27402</v>
      </c>
      <c r="W636" s="74" t="s">
        <v>27404</v>
      </c>
      <c r="X636" s="120">
        <v>641.0</v>
      </c>
    </row>
    <row r="637">
      <c r="A637" s="74" t="s">
        <v>27397</v>
      </c>
      <c r="B637" s="74" t="s">
        <v>6876</v>
      </c>
      <c r="C637" s="74" t="s">
        <v>6877</v>
      </c>
      <c r="D637" s="74" t="s">
        <v>8493</v>
      </c>
      <c r="E637" s="74" t="s">
        <v>27407</v>
      </c>
      <c r="F637" s="74">
        <v>59.0</v>
      </c>
      <c r="G637" s="74">
        <v>1.0</v>
      </c>
      <c r="H637" s="74">
        <v>11.0</v>
      </c>
      <c r="I637" s="74" t="s">
        <v>1950</v>
      </c>
      <c r="J637" s="74" t="s">
        <v>1950</v>
      </c>
      <c r="K637" s="74" t="s">
        <v>27279</v>
      </c>
      <c r="L637" s="74" t="s">
        <v>27390</v>
      </c>
      <c r="M637" s="74" t="s">
        <v>27391</v>
      </c>
      <c r="N637" s="74" t="s">
        <v>27408</v>
      </c>
      <c r="O637" s="74">
        <v>0.0</v>
      </c>
      <c r="P637" s="119"/>
      <c r="Q637" s="119"/>
      <c r="R637" s="119"/>
      <c r="S637" s="74">
        <v>6.0</v>
      </c>
      <c r="T637" s="74" t="s">
        <v>22634</v>
      </c>
      <c r="U637" s="120">
        <v>6728.0</v>
      </c>
      <c r="V637" s="74" t="s">
        <v>27411</v>
      </c>
      <c r="W637" s="74" t="s">
        <v>27412</v>
      </c>
      <c r="X637" s="120">
        <v>642.0</v>
      </c>
    </row>
    <row r="638">
      <c r="A638" s="74" t="s">
        <v>27407</v>
      </c>
      <c r="B638" s="74" t="s">
        <v>6876</v>
      </c>
      <c r="C638" s="74" t="s">
        <v>6877</v>
      </c>
      <c r="D638" s="74" t="s">
        <v>8493</v>
      </c>
      <c r="E638" s="74" t="s">
        <v>27414</v>
      </c>
      <c r="F638" s="74">
        <v>59.0</v>
      </c>
      <c r="G638" s="74">
        <v>1.0</v>
      </c>
      <c r="H638" s="74">
        <v>99.0</v>
      </c>
      <c r="I638" s="74" t="s">
        <v>1958</v>
      </c>
      <c r="J638" s="74" t="s">
        <v>1958</v>
      </c>
      <c r="K638" s="74" t="s">
        <v>27345</v>
      </c>
      <c r="L638" s="74" t="s">
        <v>27367</v>
      </c>
      <c r="M638" s="74" t="s">
        <v>27368</v>
      </c>
      <c r="N638" s="74" t="s">
        <v>27399</v>
      </c>
      <c r="O638" s="74">
        <v>0.0</v>
      </c>
      <c r="P638" s="119"/>
      <c r="Q638" s="119"/>
      <c r="R638" s="74" t="s">
        <v>27418</v>
      </c>
      <c r="S638" s="74">
        <v>6.0</v>
      </c>
      <c r="T638" s="74" t="s">
        <v>22634</v>
      </c>
      <c r="U638" s="120">
        <v>6729.0</v>
      </c>
      <c r="V638" s="74" t="s">
        <v>27420</v>
      </c>
      <c r="W638" s="74" t="s">
        <v>27421</v>
      </c>
      <c r="X638" s="120">
        <v>643.0</v>
      </c>
    </row>
    <row r="639">
      <c r="A639" s="74" t="s">
        <v>27422</v>
      </c>
      <c r="B639" s="74" t="s">
        <v>6876</v>
      </c>
      <c r="C639" s="74" t="s">
        <v>6877</v>
      </c>
      <c r="D639" s="74" t="s">
        <v>8493</v>
      </c>
      <c r="E639" s="74" t="s">
        <v>27423</v>
      </c>
      <c r="F639" s="74">
        <v>33.0</v>
      </c>
      <c r="G639" s="74">
        <v>1.0</v>
      </c>
      <c r="H639" s="74">
        <v>98.0</v>
      </c>
      <c r="I639" s="74" t="s">
        <v>1959</v>
      </c>
      <c r="J639" s="74" t="s">
        <v>1959</v>
      </c>
      <c r="K639" s="74" t="s">
        <v>27345</v>
      </c>
      <c r="L639" s="74" t="s">
        <v>27367</v>
      </c>
      <c r="M639" s="74" t="s">
        <v>27368</v>
      </c>
      <c r="N639" s="74" t="s">
        <v>27427</v>
      </c>
      <c r="O639" s="74">
        <v>0.0</v>
      </c>
      <c r="P639" s="119"/>
      <c r="Q639" s="119"/>
      <c r="R639" s="74" t="s">
        <v>23528</v>
      </c>
      <c r="S639" s="74">
        <v>6.0</v>
      </c>
      <c r="T639" s="74" t="s">
        <v>22634</v>
      </c>
      <c r="U639" s="120">
        <v>6730.0</v>
      </c>
      <c r="V639" s="74" t="s">
        <v>27429</v>
      </c>
      <c r="W639" s="74" t="s">
        <v>27430</v>
      </c>
      <c r="X639" s="120">
        <v>644.0</v>
      </c>
    </row>
    <row r="640">
      <c r="A640" s="74" t="s">
        <v>27431</v>
      </c>
      <c r="B640" s="74" t="s">
        <v>6876</v>
      </c>
      <c r="C640" s="74" t="s">
        <v>6877</v>
      </c>
      <c r="D640" s="74" t="s">
        <v>8493</v>
      </c>
      <c r="E640" s="74" t="s">
        <v>27432</v>
      </c>
      <c r="F640" s="74">
        <v>59.0</v>
      </c>
      <c r="G640" s="74">
        <v>1.0</v>
      </c>
      <c r="H640" s="74">
        <v>11.0</v>
      </c>
      <c r="I640" s="74" t="s">
        <v>1960</v>
      </c>
      <c r="J640" s="74" t="s">
        <v>1960</v>
      </c>
      <c r="K640" s="74" t="s">
        <v>27436</v>
      </c>
      <c r="L640" s="74" t="s">
        <v>27437</v>
      </c>
      <c r="M640" s="74" t="s">
        <v>19459</v>
      </c>
      <c r="N640" s="74" t="s">
        <v>27438</v>
      </c>
      <c r="O640" s="74">
        <v>0.0</v>
      </c>
      <c r="P640" s="119"/>
      <c r="Q640" s="119"/>
      <c r="R640" s="119"/>
      <c r="S640" s="74">
        <v>6.0</v>
      </c>
      <c r="T640" s="74" t="s">
        <v>22634</v>
      </c>
      <c r="U640" s="120">
        <v>6935.0</v>
      </c>
      <c r="V640" s="74" t="s">
        <v>27441</v>
      </c>
      <c r="W640" s="74" t="s">
        <v>27442</v>
      </c>
      <c r="X640" s="120">
        <v>645.0</v>
      </c>
    </row>
    <row r="641">
      <c r="A641" s="74" t="s">
        <v>27432</v>
      </c>
      <c r="B641" s="74" t="s">
        <v>6876</v>
      </c>
      <c r="C641" s="74" t="s">
        <v>6877</v>
      </c>
      <c r="D641" s="74" t="s">
        <v>8493</v>
      </c>
      <c r="E641" s="74" t="s">
        <v>27443</v>
      </c>
      <c r="F641" s="74">
        <v>59.0</v>
      </c>
      <c r="G641" s="74">
        <v>1.0</v>
      </c>
      <c r="H641" s="74">
        <v>99.0</v>
      </c>
      <c r="I641" s="74" t="s">
        <v>1962</v>
      </c>
      <c r="J641" s="74" t="s">
        <v>1962</v>
      </c>
      <c r="K641" s="74" t="s">
        <v>27444</v>
      </c>
      <c r="L641" s="74" t="s">
        <v>27445</v>
      </c>
      <c r="M641" s="74" t="s">
        <v>27446</v>
      </c>
      <c r="N641" s="74" t="s">
        <v>27447</v>
      </c>
      <c r="O641" s="74">
        <v>0.0</v>
      </c>
      <c r="P641" s="119"/>
      <c r="Q641" s="119"/>
      <c r="R641" s="74" t="s">
        <v>27450</v>
      </c>
      <c r="S641" s="74">
        <v>6.0</v>
      </c>
      <c r="T641" s="74" t="s">
        <v>22634</v>
      </c>
      <c r="U641" s="120">
        <v>6936.0</v>
      </c>
      <c r="V641" s="74" t="s">
        <v>27451</v>
      </c>
      <c r="W641" s="74" t="s">
        <v>27453</v>
      </c>
      <c r="X641" s="120">
        <v>646.0</v>
      </c>
    </row>
    <row r="642">
      <c r="A642" s="74" t="s">
        <v>27443</v>
      </c>
      <c r="B642" s="74" t="s">
        <v>6876</v>
      </c>
      <c r="C642" s="74" t="s">
        <v>6877</v>
      </c>
      <c r="D642" s="74" t="s">
        <v>8493</v>
      </c>
      <c r="E642" s="74" t="s">
        <v>27454</v>
      </c>
      <c r="F642" s="74">
        <v>59.0</v>
      </c>
      <c r="G642" s="74">
        <v>1.0</v>
      </c>
      <c r="H642" s="74">
        <v>11.0</v>
      </c>
      <c r="I642" s="74" t="s">
        <v>1963</v>
      </c>
      <c r="J642" s="74" t="s">
        <v>1963</v>
      </c>
      <c r="K642" s="74" t="s">
        <v>27436</v>
      </c>
      <c r="L642" s="74" t="s">
        <v>27437</v>
      </c>
      <c r="M642" s="74" t="s">
        <v>19459</v>
      </c>
      <c r="N642" s="74" t="s">
        <v>27455</v>
      </c>
      <c r="O642" s="74">
        <v>0.0</v>
      </c>
      <c r="P642" s="119"/>
      <c r="Q642" s="119"/>
      <c r="R642" s="119"/>
      <c r="S642" s="74">
        <v>6.0</v>
      </c>
      <c r="T642" s="74" t="s">
        <v>22634</v>
      </c>
      <c r="U642" s="120">
        <v>6937.0</v>
      </c>
      <c r="V642" s="74" t="s">
        <v>27459</v>
      </c>
      <c r="W642" s="74" t="s">
        <v>27460</v>
      </c>
      <c r="X642" s="120">
        <v>647.0</v>
      </c>
    </row>
    <row r="643">
      <c r="A643" s="74" t="s">
        <v>27454</v>
      </c>
      <c r="B643" s="74" t="s">
        <v>6876</v>
      </c>
      <c r="C643" s="74" t="s">
        <v>6877</v>
      </c>
      <c r="D643" s="74" t="s">
        <v>8493</v>
      </c>
      <c r="E643" s="74" t="s">
        <v>27462</v>
      </c>
      <c r="F643" s="74">
        <v>59.0</v>
      </c>
      <c r="G643" s="74">
        <v>1.0</v>
      </c>
      <c r="H643" s="74">
        <v>99.0</v>
      </c>
      <c r="I643" s="74" t="s">
        <v>1965</v>
      </c>
      <c r="J643" s="74" t="s">
        <v>1965</v>
      </c>
      <c r="K643" s="74" t="s">
        <v>27444</v>
      </c>
      <c r="L643" s="74" t="s">
        <v>27445</v>
      </c>
      <c r="M643" s="74" t="s">
        <v>27446</v>
      </c>
      <c r="N643" s="74" t="s">
        <v>27464</v>
      </c>
      <c r="O643" s="74">
        <v>1.0</v>
      </c>
      <c r="P643" s="146">
        <v>43829.0</v>
      </c>
      <c r="Q643" s="119"/>
      <c r="R643" s="74" t="s">
        <v>27465</v>
      </c>
      <c r="S643" s="74">
        <v>6.0</v>
      </c>
      <c r="T643" s="74" t="s">
        <v>22634</v>
      </c>
      <c r="U643" s="120">
        <v>6938.0</v>
      </c>
      <c r="V643" s="74" t="s">
        <v>27468</v>
      </c>
      <c r="W643" s="74" t="s">
        <v>27469</v>
      </c>
      <c r="X643" s="120">
        <v>648.0</v>
      </c>
    </row>
    <row r="644">
      <c r="A644" s="74" t="s">
        <v>27462</v>
      </c>
      <c r="B644" s="74" t="s">
        <v>6876</v>
      </c>
      <c r="C644" s="74" t="s">
        <v>6877</v>
      </c>
      <c r="D644" s="74" t="s">
        <v>8493</v>
      </c>
      <c r="E644" s="74" t="s">
        <v>27471</v>
      </c>
      <c r="F644" s="74">
        <v>59.0</v>
      </c>
      <c r="G644" s="74">
        <v>1.0</v>
      </c>
      <c r="H644" s="74">
        <v>11.0</v>
      </c>
      <c r="I644" s="74" t="s">
        <v>1966</v>
      </c>
      <c r="J644" s="74" t="s">
        <v>1966</v>
      </c>
      <c r="K644" s="74" t="s">
        <v>27436</v>
      </c>
      <c r="L644" s="74" t="s">
        <v>27437</v>
      </c>
      <c r="M644" s="74" t="s">
        <v>19459</v>
      </c>
      <c r="N644" s="74" t="s">
        <v>27472</v>
      </c>
      <c r="O644" s="74">
        <v>0.0</v>
      </c>
      <c r="P644" s="119"/>
      <c r="Q644" s="119"/>
      <c r="R644" s="119"/>
      <c r="S644" s="74">
        <v>6.0</v>
      </c>
      <c r="T644" s="74" t="s">
        <v>22634</v>
      </c>
      <c r="U644" s="120">
        <v>6939.0</v>
      </c>
      <c r="V644" s="74" t="s">
        <v>27475</v>
      </c>
      <c r="W644" s="74" t="s">
        <v>27476</v>
      </c>
      <c r="X644" s="120">
        <v>649.0</v>
      </c>
    </row>
    <row r="645">
      <c r="A645" s="74" t="s">
        <v>27471</v>
      </c>
      <c r="B645" s="74" t="s">
        <v>6876</v>
      </c>
      <c r="C645" s="74" t="s">
        <v>6877</v>
      </c>
      <c r="D645" s="74" t="s">
        <v>8493</v>
      </c>
      <c r="E645" s="74" t="s">
        <v>27478</v>
      </c>
      <c r="F645" s="74">
        <v>59.0</v>
      </c>
      <c r="G645" s="74">
        <v>1.0</v>
      </c>
      <c r="H645" s="74">
        <v>99.0</v>
      </c>
      <c r="I645" s="74" t="s">
        <v>1968</v>
      </c>
      <c r="J645" s="74" t="s">
        <v>1968</v>
      </c>
      <c r="K645" s="74" t="s">
        <v>27444</v>
      </c>
      <c r="L645" s="74" t="s">
        <v>27445</v>
      </c>
      <c r="M645" s="74" t="s">
        <v>27446</v>
      </c>
      <c r="N645" s="74" t="s">
        <v>27479</v>
      </c>
      <c r="O645" s="74">
        <v>0.0</v>
      </c>
      <c r="P645" s="119"/>
      <c r="Q645" s="119"/>
      <c r="R645" s="74" t="s">
        <v>27480</v>
      </c>
      <c r="S645" s="74">
        <v>6.0</v>
      </c>
      <c r="T645" s="74" t="s">
        <v>22634</v>
      </c>
      <c r="U645" s="120">
        <v>6940.0</v>
      </c>
      <c r="V645" s="74" t="s">
        <v>27483</v>
      </c>
      <c r="W645" s="74" t="s">
        <v>27484</v>
      </c>
      <c r="X645" s="120">
        <v>650.0</v>
      </c>
    </row>
    <row r="646">
      <c r="A646" s="74" t="s">
        <v>27478</v>
      </c>
      <c r="B646" s="74" t="s">
        <v>6876</v>
      </c>
      <c r="C646" s="74" t="s">
        <v>6877</v>
      </c>
      <c r="D646" s="74" t="s">
        <v>8493</v>
      </c>
      <c r="E646" s="74" t="s">
        <v>27486</v>
      </c>
      <c r="F646" s="74">
        <v>59.0</v>
      </c>
      <c r="G646" s="74">
        <v>1.0</v>
      </c>
      <c r="H646" s="74">
        <v>11.0</v>
      </c>
      <c r="I646" s="74" t="s">
        <v>1969</v>
      </c>
      <c r="J646" s="74" t="s">
        <v>1969</v>
      </c>
      <c r="K646" s="74" t="s">
        <v>27436</v>
      </c>
      <c r="L646" s="74" t="s">
        <v>27437</v>
      </c>
      <c r="M646" s="74" t="s">
        <v>19459</v>
      </c>
      <c r="N646" s="74" t="s">
        <v>27487</v>
      </c>
      <c r="O646" s="74">
        <v>0.0</v>
      </c>
      <c r="P646" s="119"/>
      <c r="Q646" s="119"/>
      <c r="R646" s="119"/>
      <c r="S646" s="74">
        <v>6.0</v>
      </c>
      <c r="T646" s="74" t="s">
        <v>22634</v>
      </c>
      <c r="U646" s="120">
        <v>6941.0</v>
      </c>
      <c r="V646" s="74" t="s">
        <v>27491</v>
      </c>
      <c r="W646" s="74" t="s">
        <v>27492</v>
      </c>
      <c r="X646" s="120">
        <v>651.0</v>
      </c>
    </row>
    <row r="647">
      <c r="A647" s="74" t="s">
        <v>27493</v>
      </c>
      <c r="B647" s="74" t="s">
        <v>6876</v>
      </c>
      <c r="C647" s="74" t="s">
        <v>6877</v>
      </c>
      <c r="D647" s="74" t="s">
        <v>8493</v>
      </c>
      <c r="E647" s="74" t="s">
        <v>27494</v>
      </c>
      <c r="F647" s="74">
        <v>59.0</v>
      </c>
      <c r="G647" s="74">
        <v>1.0</v>
      </c>
      <c r="H647" s="74">
        <v>99.0</v>
      </c>
      <c r="I647" s="74" t="s">
        <v>1971</v>
      </c>
      <c r="J647" s="74" t="s">
        <v>1971</v>
      </c>
      <c r="K647" s="74" t="s">
        <v>27444</v>
      </c>
      <c r="L647" s="74" t="s">
        <v>27445</v>
      </c>
      <c r="M647" s="74" t="s">
        <v>27446</v>
      </c>
      <c r="N647" s="74" t="s">
        <v>27495</v>
      </c>
      <c r="O647" s="74">
        <v>0.0</v>
      </c>
      <c r="P647" s="119"/>
      <c r="Q647" s="119"/>
      <c r="R647" s="74" t="s">
        <v>27496</v>
      </c>
      <c r="S647" s="74">
        <v>6.0</v>
      </c>
      <c r="T647" s="74" t="s">
        <v>22634</v>
      </c>
      <c r="U647" s="120">
        <v>6942.0</v>
      </c>
      <c r="V647" s="74" t="s">
        <v>27499</v>
      </c>
      <c r="W647" s="74" t="s">
        <v>27500</v>
      </c>
      <c r="X647" s="120">
        <v>652.0</v>
      </c>
    </row>
    <row r="648">
      <c r="A648" s="74" t="s">
        <v>27494</v>
      </c>
      <c r="B648" s="74" t="s">
        <v>6876</v>
      </c>
      <c r="C648" s="74" t="s">
        <v>6877</v>
      </c>
      <c r="D648" s="74" t="s">
        <v>8493</v>
      </c>
      <c r="E648" s="74" t="s">
        <v>27502</v>
      </c>
      <c r="F648" s="74">
        <v>33.0</v>
      </c>
      <c r="G648" s="74">
        <v>1.0</v>
      </c>
      <c r="H648" s="74">
        <v>98.0</v>
      </c>
      <c r="I648" s="74" t="s">
        <v>1972</v>
      </c>
      <c r="J648" s="74" t="s">
        <v>1972</v>
      </c>
      <c r="K648" s="74" t="s">
        <v>27444</v>
      </c>
      <c r="L648" s="74" t="s">
        <v>27445</v>
      </c>
      <c r="M648" s="74" t="s">
        <v>27446</v>
      </c>
      <c r="N648" s="74" t="s">
        <v>27495</v>
      </c>
      <c r="O648" s="74">
        <v>0.0</v>
      </c>
      <c r="P648" s="119"/>
      <c r="Q648" s="119"/>
      <c r="R648" s="74" t="s">
        <v>23528</v>
      </c>
      <c r="S648" s="74">
        <v>6.0</v>
      </c>
      <c r="T648" s="74" t="s">
        <v>22634</v>
      </c>
      <c r="U648" s="120">
        <v>6943.0</v>
      </c>
      <c r="V648" s="74" t="s">
        <v>27503</v>
      </c>
      <c r="W648" s="74" t="s">
        <v>27504</v>
      </c>
      <c r="X648" s="120">
        <v>653.0</v>
      </c>
    </row>
    <row r="649">
      <c r="A649" s="74" t="s">
        <v>27502</v>
      </c>
      <c r="B649" s="74" t="s">
        <v>6876</v>
      </c>
      <c r="C649" s="74" t="s">
        <v>6877</v>
      </c>
      <c r="D649" s="74" t="s">
        <v>8493</v>
      </c>
      <c r="E649" s="74" t="s">
        <v>27507</v>
      </c>
      <c r="F649" s="74">
        <v>55.0</v>
      </c>
      <c r="G649" s="74">
        <v>1.0</v>
      </c>
      <c r="H649" s="74">
        <v>12.0</v>
      </c>
      <c r="I649" s="74" t="s">
        <v>1973</v>
      </c>
      <c r="J649" s="74" t="s">
        <v>1973</v>
      </c>
      <c r="K649" s="74" t="s">
        <v>19459</v>
      </c>
      <c r="L649" s="74" t="s">
        <v>27472</v>
      </c>
      <c r="M649" s="74" t="s">
        <v>27510</v>
      </c>
      <c r="N649" s="74" t="s">
        <v>27511</v>
      </c>
      <c r="O649" s="74">
        <v>0.0</v>
      </c>
      <c r="P649" s="119"/>
      <c r="Q649" s="119"/>
      <c r="R649" s="119"/>
      <c r="S649" s="74">
        <v>4.0</v>
      </c>
      <c r="T649" s="74" t="s">
        <v>22634</v>
      </c>
      <c r="U649" s="120">
        <v>6944.0</v>
      </c>
      <c r="V649" s="74" t="s">
        <v>27512</v>
      </c>
      <c r="W649" s="74" t="s">
        <v>27513</v>
      </c>
      <c r="X649" s="120">
        <v>654.0</v>
      </c>
    </row>
    <row r="650">
      <c r="A650" s="74" t="s">
        <v>27507</v>
      </c>
      <c r="B650" s="74" t="s">
        <v>6876</v>
      </c>
      <c r="C650" s="74" t="s">
        <v>6877</v>
      </c>
      <c r="D650" s="74" t="s">
        <v>8493</v>
      </c>
      <c r="E650" s="74" t="s">
        <v>27514</v>
      </c>
      <c r="F650" s="74">
        <v>55.0</v>
      </c>
      <c r="G650" s="74">
        <v>1.0</v>
      </c>
      <c r="H650" s="74">
        <v>99.0</v>
      </c>
      <c r="I650" s="74" t="s">
        <v>1975</v>
      </c>
      <c r="J650" s="74" t="s">
        <v>1975</v>
      </c>
      <c r="K650" s="74" t="s">
        <v>27516</v>
      </c>
      <c r="L650" s="74" t="s">
        <v>27518</v>
      </c>
      <c r="M650" s="74" t="s">
        <v>27519</v>
      </c>
      <c r="N650" s="74" t="s">
        <v>27519</v>
      </c>
      <c r="O650" s="74">
        <v>1.0</v>
      </c>
      <c r="P650" s="146">
        <v>43831.0</v>
      </c>
      <c r="Q650" s="119"/>
      <c r="R650" s="74" t="s">
        <v>27520</v>
      </c>
      <c r="S650" s="74">
        <v>4.0</v>
      </c>
      <c r="T650" s="74" t="s">
        <v>22634</v>
      </c>
      <c r="U650" s="120">
        <v>6945.0</v>
      </c>
      <c r="V650" s="74" t="s">
        <v>27522</v>
      </c>
      <c r="W650" s="74" t="s">
        <v>27523</v>
      </c>
      <c r="X650" s="120">
        <v>655.0</v>
      </c>
    </row>
    <row r="651">
      <c r="A651" s="74" t="s">
        <v>27514</v>
      </c>
      <c r="B651" s="74" t="s">
        <v>6876</v>
      </c>
      <c r="C651" s="74" t="s">
        <v>6877</v>
      </c>
      <c r="D651" s="74" t="s">
        <v>8493</v>
      </c>
      <c r="E651" s="74" t="s">
        <v>27524</v>
      </c>
      <c r="F651" s="74">
        <v>57.0</v>
      </c>
      <c r="G651" s="74">
        <v>1.0</v>
      </c>
      <c r="H651" s="74">
        <v>12.0</v>
      </c>
      <c r="I651" s="74" t="s">
        <v>1976</v>
      </c>
      <c r="J651" s="74" t="s">
        <v>1976</v>
      </c>
      <c r="K651" s="74" t="s">
        <v>19459</v>
      </c>
      <c r="L651" s="74" t="s">
        <v>27472</v>
      </c>
      <c r="M651" s="74" t="s">
        <v>27525</v>
      </c>
      <c r="N651" s="74" t="s">
        <v>27526</v>
      </c>
      <c r="O651" s="74">
        <v>0.0</v>
      </c>
      <c r="P651" s="119"/>
      <c r="Q651" s="119"/>
      <c r="R651" s="119"/>
      <c r="S651" s="74">
        <v>4.0</v>
      </c>
      <c r="T651" s="74" t="s">
        <v>22634</v>
      </c>
      <c r="U651" s="120">
        <v>6946.0</v>
      </c>
      <c r="V651" s="74" t="s">
        <v>27529</v>
      </c>
      <c r="W651" s="74" t="s">
        <v>27530</v>
      </c>
      <c r="X651" s="120">
        <v>656.0</v>
      </c>
    </row>
    <row r="652">
      <c r="A652" s="74" t="s">
        <v>27524</v>
      </c>
      <c r="B652" s="74" t="s">
        <v>6876</v>
      </c>
      <c r="C652" s="74" t="s">
        <v>6877</v>
      </c>
      <c r="D652" s="74" t="s">
        <v>8493</v>
      </c>
      <c r="E652" s="74" t="s">
        <v>27532</v>
      </c>
      <c r="F652" s="74">
        <v>57.0</v>
      </c>
      <c r="G652" s="74">
        <v>1.0</v>
      </c>
      <c r="H652" s="74">
        <v>99.0</v>
      </c>
      <c r="I652" s="74" t="s">
        <v>1978</v>
      </c>
      <c r="J652" s="74" t="s">
        <v>1978</v>
      </c>
      <c r="K652" s="74" t="s">
        <v>27516</v>
      </c>
      <c r="L652" s="74" t="s">
        <v>27518</v>
      </c>
      <c r="M652" s="74" t="s">
        <v>27519</v>
      </c>
      <c r="N652" s="74" t="s">
        <v>27533</v>
      </c>
      <c r="O652" s="74">
        <v>0.0</v>
      </c>
      <c r="P652" s="119"/>
      <c r="Q652" s="119"/>
      <c r="R652" s="74" t="s">
        <v>27534</v>
      </c>
      <c r="S652" s="74">
        <v>4.0</v>
      </c>
      <c r="T652" s="74" t="s">
        <v>22634</v>
      </c>
      <c r="U652" s="120">
        <v>6947.0</v>
      </c>
      <c r="V652" s="74" t="s">
        <v>27537</v>
      </c>
      <c r="W652" s="74" t="s">
        <v>27539</v>
      </c>
      <c r="X652" s="120">
        <v>657.0</v>
      </c>
    </row>
    <row r="653">
      <c r="A653" s="74" t="s">
        <v>27541</v>
      </c>
      <c r="B653" s="74" t="s">
        <v>6876</v>
      </c>
      <c r="C653" s="74" t="s">
        <v>6877</v>
      </c>
      <c r="D653" s="74" t="s">
        <v>8493</v>
      </c>
      <c r="E653" s="74" t="s">
        <v>27542</v>
      </c>
      <c r="F653" s="74">
        <v>57.0</v>
      </c>
      <c r="G653" s="74">
        <v>1.0</v>
      </c>
      <c r="H653" s="74">
        <v>12.0</v>
      </c>
      <c r="I653" s="74" t="s">
        <v>1979</v>
      </c>
      <c r="J653" s="74" t="s">
        <v>1979</v>
      </c>
      <c r="K653" s="74" t="s">
        <v>19459</v>
      </c>
      <c r="L653" s="74" t="s">
        <v>27472</v>
      </c>
      <c r="M653" s="74" t="s">
        <v>27510</v>
      </c>
      <c r="N653" s="74" t="s">
        <v>27526</v>
      </c>
      <c r="O653" s="74">
        <v>0.0</v>
      </c>
      <c r="P653" s="119"/>
      <c r="Q653" s="119"/>
      <c r="R653" s="119"/>
      <c r="S653" s="74">
        <v>4.0</v>
      </c>
      <c r="T653" s="74" t="s">
        <v>22634</v>
      </c>
      <c r="U653" s="120">
        <v>6948.0</v>
      </c>
      <c r="V653" s="74" t="s">
        <v>27546</v>
      </c>
      <c r="W653" s="74" t="s">
        <v>27547</v>
      </c>
      <c r="X653" s="120">
        <v>658.0</v>
      </c>
    </row>
    <row r="654">
      <c r="A654" s="74" t="s">
        <v>27542</v>
      </c>
      <c r="B654" s="74" t="s">
        <v>6876</v>
      </c>
      <c r="C654" s="74" t="s">
        <v>6877</v>
      </c>
      <c r="D654" s="74" t="s">
        <v>8493</v>
      </c>
      <c r="E654" s="74" t="s">
        <v>27548</v>
      </c>
      <c r="F654" s="74">
        <v>57.0</v>
      </c>
      <c r="G654" s="74">
        <v>1.0</v>
      </c>
      <c r="H654" s="74">
        <v>99.0</v>
      </c>
      <c r="I654" s="74" t="s">
        <v>1981</v>
      </c>
      <c r="J654" s="74" t="s">
        <v>1981</v>
      </c>
      <c r="K654" s="74" t="s">
        <v>27516</v>
      </c>
      <c r="L654" s="74" t="s">
        <v>27518</v>
      </c>
      <c r="M654" s="74" t="s">
        <v>27519</v>
      </c>
      <c r="N654" s="74" t="s">
        <v>19460</v>
      </c>
      <c r="O654" s="74">
        <v>0.0</v>
      </c>
      <c r="P654" s="119"/>
      <c r="Q654" s="119"/>
      <c r="R654" s="74" t="s">
        <v>27551</v>
      </c>
      <c r="S654" s="74">
        <v>4.0</v>
      </c>
      <c r="T654" s="74" t="s">
        <v>22634</v>
      </c>
      <c r="U654" s="120">
        <v>6949.0</v>
      </c>
      <c r="V654" s="74" t="s">
        <v>27553</v>
      </c>
      <c r="W654" s="74" t="s">
        <v>27554</v>
      </c>
      <c r="X654" s="120">
        <v>659.0</v>
      </c>
    </row>
    <row r="655">
      <c r="A655" s="74" t="s">
        <v>27548</v>
      </c>
      <c r="B655" s="74" t="s">
        <v>6876</v>
      </c>
      <c r="C655" s="74" t="s">
        <v>6877</v>
      </c>
      <c r="D655" s="74" t="s">
        <v>8493</v>
      </c>
      <c r="E655" s="74" t="s">
        <v>27555</v>
      </c>
      <c r="F655" s="74">
        <v>33.0</v>
      </c>
      <c r="G655" s="74">
        <v>1.0</v>
      </c>
      <c r="H655" s="74">
        <v>98.0</v>
      </c>
      <c r="I655" s="74" t="s">
        <v>1984</v>
      </c>
      <c r="J655" s="74" t="s">
        <v>1984</v>
      </c>
      <c r="K655" s="74" t="s">
        <v>27558</v>
      </c>
      <c r="L655" s="74" t="s">
        <v>19458</v>
      </c>
      <c r="M655" s="74" t="s">
        <v>19843</v>
      </c>
      <c r="N655" s="74" t="s">
        <v>27560</v>
      </c>
      <c r="O655" s="74">
        <v>0.0</v>
      </c>
      <c r="P655" s="119"/>
      <c r="Q655" s="119"/>
      <c r="R655" s="74" t="s">
        <v>23528</v>
      </c>
      <c r="S655" s="74">
        <v>4.0</v>
      </c>
      <c r="T655" s="74" t="s">
        <v>22634</v>
      </c>
      <c r="U655" s="120">
        <v>6950.0</v>
      </c>
      <c r="V655" s="74" t="s">
        <v>27561</v>
      </c>
      <c r="W655" s="74" t="s">
        <v>27562</v>
      </c>
      <c r="X655" s="120">
        <v>660.0</v>
      </c>
    </row>
    <row r="656">
      <c r="A656" s="74" t="s">
        <v>27555</v>
      </c>
      <c r="B656" s="74" t="s">
        <v>6876</v>
      </c>
      <c r="C656" s="74" t="s">
        <v>6877</v>
      </c>
      <c r="D656" s="74" t="s">
        <v>8493</v>
      </c>
      <c r="E656" s="74" t="s">
        <v>27564</v>
      </c>
      <c r="F656" s="74">
        <v>33.0</v>
      </c>
      <c r="G656" s="74">
        <v>1.0</v>
      </c>
      <c r="H656" s="74">
        <v>98.0</v>
      </c>
      <c r="I656" s="74" t="s">
        <v>1987</v>
      </c>
      <c r="J656" s="74" t="s">
        <v>1987</v>
      </c>
      <c r="K656" s="74" t="s">
        <v>27567</v>
      </c>
      <c r="L656" s="74" t="s">
        <v>19460</v>
      </c>
      <c r="M656" s="74" t="s">
        <v>27568</v>
      </c>
      <c r="N656" s="74" t="s">
        <v>27569</v>
      </c>
      <c r="O656" s="74">
        <v>0.0</v>
      </c>
      <c r="P656" s="119"/>
      <c r="Q656" s="119"/>
      <c r="R656" s="74" t="s">
        <v>23528</v>
      </c>
      <c r="S656" s="74">
        <v>6.0</v>
      </c>
      <c r="T656" s="74" t="s">
        <v>22634</v>
      </c>
      <c r="U656" s="120">
        <v>6951.0</v>
      </c>
      <c r="V656" s="74" t="s">
        <v>27570</v>
      </c>
      <c r="W656" s="74" t="s">
        <v>27571</v>
      </c>
      <c r="X656" s="120">
        <v>661.0</v>
      </c>
    </row>
    <row r="657">
      <c r="A657" s="74" t="s">
        <v>27564</v>
      </c>
      <c r="B657" s="74" t="s">
        <v>6876</v>
      </c>
      <c r="C657" s="74" t="s">
        <v>6877</v>
      </c>
      <c r="D657" s="74" t="s">
        <v>8493</v>
      </c>
      <c r="E657" s="74" t="s">
        <v>27574</v>
      </c>
      <c r="F657" s="74">
        <v>66.0</v>
      </c>
      <c r="G657" s="74">
        <v>1.0</v>
      </c>
      <c r="H657" s="74">
        <v>12.0</v>
      </c>
      <c r="I657" s="74" t="s">
        <v>2003</v>
      </c>
      <c r="J657" s="74" t="s">
        <v>2003</v>
      </c>
      <c r="K657" s="74" t="s">
        <v>27568</v>
      </c>
      <c r="L657" s="74" t="s">
        <v>27576</v>
      </c>
      <c r="M657" s="74" t="s">
        <v>27577</v>
      </c>
      <c r="N657" s="74" t="s">
        <v>27578</v>
      </c>
      <c r="O657" s="74">
        <v>0.0</v>
      </c>
      <c r="P657" s="119"/>
      <c r="Q657" s="119"/>
      <c r="R657" s="119"/>
      <c r="S657" s="74">
        <v>6.0</v>
      </c>
      <c r="T657" s="74" t="s">
        <v>22634</v>
      </c>
      <c r="U657" s="120">
        <v>6952.0</v>
      </c>
      <c r="V657" s="74" t="s">
        <v>27580</v>
      </c>
      <c r="W657" s="74" t="s">
        <v>27582</v>
      </c>
      <c r="X657" s="120">
        <v>662.0</v>
      </c>
    </row>
    <row r="658">
      <c r="A658" s="74" t="s">
        <v>27574</v>
      </c>
      <c r="B658" s="74" t="s">
        <v>6876</v>
      </c>
      <c r="C658" s="74" t="s">
        <v>6877</v>
      </c>
      <c r="D658" s="74" t="s">
        <v>8493</v>
      </c>
      <c r="E658" s="74" t="s">
        <v>27583</v>
      </c>
      <c r="F658" s="74">
        <v>66.0</v>
      </c>
      <c r="G658" s="74">
        <v>1.0</v>
      </c>
      <c r="H658" s="74">
        <v>99.0</v>
      </c>
      <c r="I658" s="74" t="s">
        <v>2005</v>
      </c>
      <c r="J658" s="74" t="s">
        <v>2005</v>
      </c>
      <c r="K658" s="74" t="s">
        <v>27585</v>
      </c>
      <c r="L658" s="74" t="s">
        <v>27568</v>
      </c>
      <c r="M658" s="74" t="s">
        <v>27586</v>
      </c>
      <c r="N658" s="74" t="s">
        <v>27587</v>
      </c>
      <c r="O658" s="74">
        <v>0.0</v>
      </c>
      <c r="P658" s="119"/>
      <c r="Q658" s="119"/>
      <c r="R658" s="74" t="s">
        <v>27588</v>
      </c>
      <c r="S658" s="74">
        <v>6.0</v>
      </c>
      <c r="T658" s="74" t="s">
        <v>22634</v>
      </c>
      <c r="U658" s="120">
        <v>6953.0</v>
      </c>
      <c r="V658" s="74" t="s">
        <v>27589</v>
      </c>
      <c r="W658" s="74" t="s">
        <v>27590</v>
      </c>
      <c r="X658" s="120">
        <v>663.0</v>
      </c>
    </row>
    <row r="659">
      <c r="A659" s="74" t="s">
        <v>27583</v>
      </c>
      <c r="B659" s="74" t="s">
        <v>6876</v>
      </c>
      <c r="C659" s="74" t="s">
        <v>6877</v>
      </c>
      <c r="D659" s="74" t="s">
        <v>8493</v>
      </c>
      <c r="E659" s="74" t="s">
        <v>27593</v>
      </c>
      <c r="F659" s="74">
        <v>59.0</v>
      </c>
      <c r="G659" s="74">
        <v>1.0</v>
      </c>
      <c r="H659" s="74">
        <v>12.0</v>
      </c>
      <c r="I659" s="74" t="s">
        <v>2006</v>
      </c>
      <c r="J659" s="74" t="s">
        <v>2006</v>
      </c>
      <c r="K659" s="74" t="s">
        <v>27568</v>
      </c>
      <c r="L659" s="74" t="s">
        <v>27595</v>
      </c>
      <c r="M659" s="74" t="s">
        <v>27577</v>
      </c>
      <c r="N659" s="74" t="s">
        <v>27596</v>
      </c>
      <c r="O659" s="74">
        <v>0.0</v>
      </c>
      <c r="P659" s="119"/>
      <c r="Q659" s="119"/>
      <c r="R659" s="119"/>
      <c r="S659" s="74">
        <v>4.0</v>
      </c>
      <c r="T659" s="74" t="s">
        <v>22634</v>
      </c>
      <c r="U659" s="120">
        <v>6954.0</v>
      </c>
      <c r="V659" s="74" t="s">
        <v>27597</v>
      </c>
      <c r="W659" s="74" t="s">
        <v>27598</v>
      </c>
      <c r="X659" s="120">
        <v>664.0</v>
      </c>
    </row>
    <row r="660">
      <c r="A660" s="74" t="s">
        <v>27593</v>
      </c>
      <c r="B660" s="74" t="s">
        <v>6876</v>
      </c>
      <c r="C660" s="74" t="s">
        <v>6877</v>
      </c>
      <c r="D660" s="74" t="s">
        <v>8493</v>
      </c>
      <c r="E660" s="74" t="s">
        <v>27599</v>
      </c>
      <c r="F660" s="74">
        <v>59.0</v>
      </c>
      <c r="G660" s="74">
        <v>1.0</v>
      </c>
      <c r="H660" s="74">
        <v>99.0</v>
      </c>
      <c r="I660" s="74" t="s">
        <v>2008</v>
      </c>
      <c r="J660" s="74" t="s">
        <v>2008</v>
      </c>
      <c r="K660" s="74" t="s">
        <v>27585</v>
      </c>
      <c r="L660" s="74" t="s">
        <v>27568</v>
      </c>
      <c r="M660" s="74" t="s">
        <v>27586</v>
      </c>
      <c r="N660" s="74" t="s">
        <v>27602</v>
      </c>
      <c r="O660" s="74">
        <v>0.0</v>
      </c>
      <c r="P660" s="119"/>
      <c r="Q660" s="119"/>
      <c r="R660" s="74" t="s">
        <v>27603</v>
      </c>
      <c r="S660" s="74">
        <v>4.0</v>
      </c>
      <c r="T660" s="74" t="s">
        <v>22634</v>
      </c>
      <c r="U660" s="120">
        <v>6955.0</v>
      </c>
      <c r="V660" s="74" t="s">
        <v>27605</v>
      </c>
      <c r="W660" s="74" t="s">
        <v>27606</v>
      </c>
      <c r="X660" s="120">
        <v>665.0</v>
      </c>
    </row>
    <row r="661">
      <c r="A661" s="74" t="s">
        <v>27599</v>
      </c>
      <c r="B661" s="74" t="s">
        <v>6876</v>
      </c>
      <c r="C661" s="74" t="s">
        <v>6877</v>
      </c>
      <c r="D661" s="74" t="s">
        <v>8493</v>
      </c>
      <c r="E661" s="74" t="s">
        <v>27608</v>
      </c>
      <c r="F661" s="74">
        <v>65.0</v>
      </c>
      <c r="G661" s="74">
        <v>1.0</v>
      </c>
      <c r="H661" s="74">
        <v>12.0</v>
      </c>
      <c r="I661" s="74" t="s">
        <v>2009</v>
      </c>
      <c r="J661" s="74" t="s">
        <v>2009</v>
      </c>
      <c r="K661" s="74" t="s">
        <v>27568</v>
      </c>
      <c r="L661" s="74" t="s">
        <v>27576</v>
      </c>
      <c r="M661" s="74" t="s">
        <v>27577</v>
      </c>
      <c r="N661" s="74" t="s">
        <v>27609</v>
      </c>
      <c r="O661" s="74">
        <v>0.0</v>
      </c>
      <c r="P661" s="119"/>
      <c r="Q661" s="119"/>
      <c r="R661" s="119"/>
      <c r="S661" s="74">
        <v>4.0</v>
      </c>
      <c r="T661" s="74" t="s">
        <v>22634</v>
      </c>
      <c r="U661" s="120">
        <v>6956.0</v>
      </c>
      <c r="V661" s="74" t="s">
        <v>27612</v>
      </c>
      <c r="W661" s="74" t="s">
        <v>27613</v>
      </c>
      <c r="X661" s="120">
        <v>666.0</v>
      </c>
    </row>
    <row r="662">
      <c r="A662" s="74" t="s">
        <v>27608</v>
      </c>
      <c r="B662" s="74" t="s">
        <v>6876</v>
      </c>
      <c r="C662" s="74" t="s">
        <v>6877</v>
      </c>
      <c r="D662" s="74" t="s">
        <v>8493</v>
      </c>
      <c r="E662" s="74" t="s">
        <v>27615</v>
      </c>
      <c r="F662" s="74">
        <v>65.0</v>
      </c>
      <c r="G662" s="74">
        <v>1.0</v>
      </c>
      <c r="H662" s="74">
        <v>99.0</v>
      </c>
      <c r="I662" s="74" t="s">
        <v>2011</v>
      </c>
      <c r="J662" s="74" t="s">
        <v>2011</v>
      </c>
      <c r="K662" s="74" t="s">
        <v>27585</v>
      </c>
      <c r="L662" s="74" t="s">
        <v>27568</v>
      </c>
      <c r="M662" s="74" t="s">
        <v>27586</v>
      </c>
      <c r="N662" s="74" t="s">
        <v>27616</v>
      </c>
      <c r="O662" s="74">
        <v>0.0</v>
      </c>
      <c r="P662" s="119"/>
      <c r="Q662" s="119"/>
      <c r="R662" s="74" t="s">
        <v>27617</v>
      </c>
      <c r="S662" s="74">
        <v>4.0</v>
      </c>
      <c r="T662" s="74" t="s">
        <v>22634</v>
      </c>
      <c r="U662" s="120">
        <v>6957.0</v>
      </c>
      <c r="V662" s="74" t="s">
        <v>27618</v>
      </c>
      <c r="W662" s="74" t="s">
        <v>27619</v>
      </c>
      <c r="X662" s="120">
        <v>667.0</v>
      </c>
    </row>
    <row r="663">
      <c r="A663" s="74" t="s">
        <v>27615</v>
      </c>
      <c r="B663" s="74" t="s">
        <v>6876</v>
      </c>
      <c r="C663" s="74" t="s">
        <v>6877</v>
      </c>
      <c r="D663" s="74" t="s">
        <v>8493</v>
      </c>
      <c r="E663" s="74" t="s">
        <v>27623</v>
      </c>
      <c r="F663" s="74">
        <v>59.0</v>
      </c>
      <c r="G663" s="74">
        <v>1.0</v>
      </c>
      <c r="H663" s="74">
        <v>11.0</v>
      </c>
      <c r="I663" s="74" t="s">
        <v>1988</v>
      </c>
      <c r="J663" s="74" t="s">
        <v>1988</v>
      </c>
      <c r="K663" s="74" t="s">
        <v>27625</v>
      </c>
      <c r="L663" s="74" t="s">
        <v>27626</v>
      </c>
      <c r="M663" s="74" t="s">
        <v>27627</v>
      </c>
      <c r="N663" s="74" t="s">
        <v>27628</v>
      </c>
      <c r="O663" s="74">
        <v>0.0</v>
      </c>
      <c r="P663" s="119"/>
      <c r="Q663" s="119"/>
      <c r="R663" s="119"/>
      <c r="S663" s="74">
        <v>6.0</v>
      </c>
      <c r="T663" s="74" t="s">
        <v>22634</v>
      </c>
      <c r="U663" s="120">
        <v>6958.0</v>
      </c>
      <c r="V663" s="74" t="s">
        <v>27629</v>
      </c>
      <c r="W663" s="74" t="s">
        <v>27630</v>
      </c>
      <c r="X663" s="120">
        <v>668.0</v>
      </c>
    </row>
    <row r="664">
      <c r="A664" s="74" t="s">
        <v>27623</v>
      </c>
      <c r="B664" s="74" t="s">
        <v>6876</v>
      </c>
      <c r="C664" s="74" t="s">
        <v>6877</v>
      </c>
      <c r="D664" s="74" t="s">
        <v>8493</v>
      </c>
      <c r="E664" s="74" t="s">
        <v>27631</v>
      </c>
      <c r="F664" s="74">
        <v>59.0</v>
      </c>
      <c r="G664" s="74">
        <v>1.0</v>
      </c>
      <c r="H664" s="74">
        <v>99.0</v>
      </c>
      <c r="I664" s="74" t="s">
        <v>1990</v>
      </c>
      <c r="J664" s="74" t="s">
        <v>1990</v>
      </c>
      <c r="K664" s="74" t="s">
        <v>27634</v>
      </c>
      <c r="L664" s="74" t="s">
        <v>27625</v>
      </c>
      <c r="M664" s="74" t="s">
        <v>27635</v>
      </c>
      <c r="N664" s="74" t="s">
        <v>27636</v>
      </c>
      <c r="O664" s="74">
        <v>0.0</v>
      </c>
      <c r="P664" s="119"/>
      <c r="Q664" s="119"/>
      <c r="R664" s="74" t="s">
        <v>27638</v>
      </c>
      <c r="S664" s="74">
        <v>6.0</v>
      </c>
      <c r="T664" s="74" t="s">
        <v>22634</v>
      </c>
      <c r="U664" s="120">
        <v>6959.0</v>
      </c>
      <c r="V664" s="74" t="s">
        <v>27639</v>
      </c>
      <c r="W664" s="74" t="s">
        <v>27640</v>
      </c>
      <c r="X664" s="120">
        <v>669.0</v>
      </c>
    </row>
    <row r="665">
      <c r="A665" s="74" t="s">
        <v>27631</v>
      </c>
      <c r="B665" s="74" t="s">
        <v>6876</v>
      </c>
      <c r="C665" s="74" t="s">
        <v>6877</v>
      </c>
      <c r="D665" s="74" t="s">
        <v>8493</v>
      </c>
      <c r="E665" s="74" t="s">
        <v>27641</v>
      </c>
      <c r="F665" s="74">
        <v>59.0</v>
      </c>
      <c r="G665" s="74">
        <v>1.0</v>
      </c>
      <c r="H665" s="74">
        <v>11.0</v>
      </c>
      <c r="I665" s="74" t="s">
        <v>1991</v>
      </c>
      <c r="J665" s="74" t="s">
        <v>1991</v>
      </c>
      <c r="K665" s="74" t="s">
        <v>27625</v>
      </c>
      <c r="L665" s="74" t="s">
        <v>27626</v>
      </c>
      <c r="M665" s="74" t="s">
        <v>27627</v>
      </c>
      <c r="N665" s="74" t="s">
        <v>27643</v>
      </c>
      <c r="O665" s="74">
        <v>0.0</v>
      </c>
      <c r="P665" s="119"/>
      <c r="Q665" s="119"/>
      <c r="R665" s="119"/>
      <c r="S665" s="74">
        <v>6.0</v>
      </c>
      <c r="T665" s="74" t="s">
        <v>22634</v>
      </c>
      <c r="U665" s="120">
        <v>6960.0</v>
      </c>
      <c r="V665" s="74" t="s">
        <v>27644</v>
      </c>
      <c r="W665" s="74" t="s">
        <v>27646</v>
      </c>
      <c r="X665" s="120">
        <v>670.0</v>
      </c>
    </row>
    <row r="666">
      <c r="A666" s="74" t="s">
        <v>27641</v>
      </c>
      <c r="B666" s="74" t="s">
        <v>6876</v>
      </c>
      <c r="C666" s="74" t="s">
        <v>6877</v>
      </c>
      <c r="D666" s="74" t="s">
        <v>8493</v>
      </c>
      <c r="E666" s="74" t="s">
        <v>27648</v>
      </c>
      <c r="F666" s="74">
        <v>59.0</v>
      </c>
      <c r="G666" s="74">
        <v>1.0</v>
      </c>
      <c r="H666" s="74">
        <v>99.0</v>
      </c>
      <c r="I666" s="74" t="s">
        <v>1993</v>
      </c>
      <c r="J666" s="74" t="s">
        <v>1993</v>
      </c>
      <c r="K666" s="74" t="s">
        <v>27634</v>
      </c>
      <c r="L666" s="74" t="s">
        <v>27625</v>
      </c>
      <c r="M666" s="74" t="s">
        <v>27635</v>
      </c>
      <c r="N666" s="74" t="s">
        <v>27609</v>
      </c>
      <c r="O666" s="74">
        <v>0.0</v>
      </c>
      <c r="P666" s="119"/>
      <c r="Q666" s="119"/>
      <c r="R666" s="74" t="s">
        <v>27650</v>
      </c>
      <c r="S666" s="74">
        <v>6.0</v>
      </c>
      <c r="T666" s="74" t="s">
        <v>22634</v>
      </c>
      <c r="U666" s="120">
        <v>6961.0</v>
      </c>
      <c r="V666" s="74" t="s">
        <v>27651</v>
      </c>
      <c r="W666" s="74" t="s">
        <v>27653</v>
      </c>
      <c r="X666" s="120">
        <v>671.0</v>
      </c>
    </row>
    <row r="667">
      <c r="A667" s="74" t="s">
        <v>27648</v>
      </c>
      <c r="B667" s="74" t="s">
        <v>6876</v>
      </c>
      <c r="C667" s="74" t="s">
        <v>6877</v>
      </c>
      <c r="D667" s="74" t="s">
        <v>8493</v>
      </c>
      <c r="E667" s="74" t="s">
        <v>27655</v>
      </c>
      <c r="F667" s="74">
        <v>59.0</v>
      </c>
      <c r="G667" s="74">
        <v>1.0</v>
      </c>
      <c r="H667" s="74">
        <v>11.0</v>
      </c>
      <c r="I667" s="74" t="s">
        <v>1994</v>
      </c>
      <c r="J667" s="74" t="s">
        <v>1994</v>
      </c>
      <c r="K667" s="74" t="s">
        <v>27625</v>
      </c>
      <c r="L667" s="74" t="s">
        <v>27626</v>
      </c>
      <c r="M667" s="74" t="s">
        <v>27627</v>
      </c>
      <c r="N667" s="74" t="s">
        <v>27657</v>
      </c>
      <c r="O667" s="74">
        <v>0.0</v>
      </c>
      <c r="P667" s="119"/>
      <c r="Q667" s="119"/>
      <c r="R667" s="119"/>
      <c r="S667" s="74">
        <v>4.0</v>
      </c>
      <c r="T667" s="74" t="s">
        <v>22634</v>
      </c>
      <c r="U667" s="120">
        <v>6962.0</v>
      </c>
      <c r="V667" s="74" t="s">
        <v>27658</v>
      </c>
      <c r="W667" s="74" t="s">
        <v>27659</v>
      </c>
      <c r="X667" s="120">
        <v>672.0</v>
      </c>
    </row>
    <row r="668">
      <c r="A668" s="74" t="s">
        <v>27655</v>
      </c>
      <c r="B668" s="74" t="s">
        <v>6876</v>
      </c>
      <c r="C668" s="74" t="s">
        <v>6877</v>
      </c>
      <c r="D668" s="74" t="s">
        <v>8493</v>
      </c>
      <c r="E668" s="74" t="s">
        <v>27660</v>
      </c>
      <c r="F668" s="74">
        <v>59.0</v>
      </c>
      <c r="G668" s="74">
        <v>1.0</v>
      </c>
      <c r="H668" s="74">
        <v>99.0</v>
      </c>
      <c r="I668" s="74" t="s">
        <v>1996</v>
      </c>
      <c r="J668" s="74" t="s">
        <v>1996</v>
      </c>
      <c r="K668" s="74" t="s">
        <v>27634</v>
      </c>
      <c r="L668" s="74" t="s">
        <v>27625</v>
      </c>
      <c r="M668" s="74" t="s">
        <v>27635</v>
      </c>
      <c r="N668" s="74" t="s">
        <v>27663</v>
      </c>
      <c r="O668" s="74">
        <v>0.0</v>
      </c>
      <c r="P668" s="119"/>
      <c r="Q668" s="119"/>
      <c r="R668" s="74" t="s">
        <v>27664</v>
      </c>
      <c r="S668" s="74">
        <v>4.0</v>
      </c>
      <c r="T668" s="74" t="s">
        <v>22634</v>
      </c>
      <c r="U668" s="120">
        <v>6963.0</v>
      </c>
      <c r="V668" s="74" t="s">
        <v>27666</v>
      </c>
      <c r="W668" s="74" t="s">
        <v>27667</v>
      </c>
      <c r="X668" s="120">
        <v>673.0</v>
      </c>
    </row>
    <row r="669">
      <c r="A669" s="74" t="s">
        <v>27660</v>
      </c>
      <c r="B669" s="74" t="s">
        <v>6876</v>
      </c>
      <c r="C669" s="74" t="s">
        <v>6877</v>
      </c>
      <c r="D669" s="74" t="s">
        <v>8493</v>
      </c>
      <c r="E669" s="74" t="s">
        <v>27668</v>
      </c>
      <c r="F669" s="74">
        <v>59.0</v>
      </c>
      <c r="G669" s="74">
        <v>1.0</v>
      </c>
      <c r="H669" s="74">
        <v>11.0</v>
      </c>
      <c r="I669" s="74" t="s">
        <v>1997</v>
      </c>
      <c r="J669" s="74" t="s">
        <v>1997</v>
      </c>
      <c r="K669" s="74" t="s">
        <v>27625</v>
      </c>
      <c r="L669" s="74" t="s">
        <v>27626</v>
      </c>
      <c r="M669" s="74" t="s">
        <v>27627</v>
      </c>
      <c r="N669" s="74" t="s">
        <v>27669</v>
      </c>
      <c r="O669" s="74">
        <v>0.0</v>
      </c>
      <c r="P669" s="119"/>
      <c r="Q669" s="119"/>
      <c r="R669" s="119"/>
      <c r="S669" s="74">
        <v>6.0</v>
      </c>
      <c r="T669" s="74" t="s">
        <v>22634</v>
      </c>
      <c r="U669" s="120">
        <v>6964.0</v>
      </c>
      <c r="V669" s="74" t="s">
        <v>27672</v>
      </c>
      <c r="W669" s="74" t="s">
        <v>27674</v>
      </c>
      <c r="X669" s="120">
        <v>674.0</v>
      </c>
    </row>
    <row r="670">
      <c r="A670" s="74" t="s">
        <v>27668</v>
      </c>
      <c r="B670" s="74" t="s">
        <v>6876</v>
      </c>
      <c r="C670" s="74" t="s">
        <v>6877</v>
      </c>
      <c r="D670" s="74" t="s">
        <v>8493</v>
      </c>
      <c r="E670" s="74" t="s">
        <v>27675</v>
      </c>
      <c r="F670" s="74">
        <v>59.0</v>
      </c>
      <c r="G670" s="74">
        <v>1.0</v>
      </c>
      <c r="H670" s="74">
        <v>99.0</v>
      </c>
      <c r="I670" s="74" t="s">
        <v>1999</v>
      </c>
      <c r="J670" s="74" t="s">
        <v>1999</v>
      </c>
      <c r="K670" s="74" t="s">
        <v>27676</v>
      </c>
      <c r="L670" s="74" t="s">
        <v>27625</v>
      </c>
      <c r="M670" s="74" t="s">
        <v>27635</v>
      </c>
      <c r="N670" s="74" t="s">
        <v>27677</v>
      </c>
      <c r="O670" s="74">
        <v>1.0</v>
      </c>
      <c r="P670" s="146">
        <v>43832.0</v>
      </c>
      <c r="Q670" s="119"/>
      <c r="R670" s="74" t="s">
        <v>27678</v>
      </c>
      <c r="S670" s="74">
        <v>6.0</v>
      </c>
      <c r="T670" s="74" t="s">
        <v>22634</v>
      </c>
      <c r="U670" s="120">
        <v>6965.0</v>
      </c>
      <c r="V670" s="74" t="s">
        <v>27680</v>
      </c>
      <c r="W670" s="74" t="s">
        <v>27682</v>
      </c>
      <c r="X670" s="120">
        <v>675.0</v>
      </c>
    </row>
    <row r="671">
      <c r="A671" s="74" t="s">
        <v>27675</v>
      </c>
      <c r="B671" s="74" t="s">
        <v>6876</v>
      </c>
      <c r="C671" s="74" t="s">
        <v>6877</v>
      </c>
      <c r="D671" s="74" t="s">
        <v>8493</v>
      </c>
      <c r="E671" s="74" t="s">
        <v>27683</v>
      </c>
      <c r="F671" s="74">
        <v>59.0</v>
      </c>
      <c r="G671" s="74">
        <v>1.0</v>
      </c>
      <c r="H671" s="74">
        <v>11.0</v>
      </c>
      <c r="I671" s="74" t="s">
        <v>2000</v>
      </c>
      <c r="J671" s="74" t="s">
        <v>2000</v>
      </c>
      <c r="K671" s="74" t="s">
        <v>27625</v>
      </c>
      <c r="L671" s="74" t="s">
        <v>27626</v>
      </c>
      <c r="M671" s="74" t="s">
        <v>27627</v>
      </c>
      <c r="N671" s="74" t="s">
        <v>27685</v>
      </c>
      <c r="O671" s="74">
        <v>0.0</v>
      </c>
      <c r="P671" s="119"/>
      <c r="Q671" s="119"/>
      <c r="R671" s="119"/>
      <c r="S671" s="74">
        <v>4.0</v>
      </c>
      <c r="T671" s="74" t="s">
        <v>22634</v>
      </c>
      <c r="U671" s="120">
        <v>6966.0</v>
      </c>
      <c r="V671" s="74" t="s">
        <v>27686</v>
      </c>
      <c r="W671" s="74" t="s">
        <v>27687</v>
      </c>
      <c r="X671" s="120">
        <v>676.0</v>
      </c>
    </row>
    <row r="672">
      <c r="A672" s="74" t="s">
        <v>27683</v>
      </c>
      <c r="B672" s="74" t="s">
        <v>6876</v>
      </c>
      <c r="C672" s="74" t="s">
        <v>6877</v>
      </c>
      <c r="D672" s="74" t="s">
        <v>8493</v>
      </c>
      <c r="E672" s="74" t="s">
        <v>27688</v>
      </c>
      <c r="F672" s="74">
        <v>59.0</v>
      </c>
      <c r="G672" s="74">
        <v>1.0</v>
      </c>
      <c r="H672" s="74">
        <v>99.0</v>
      </c>
      <c r="I672" s="74" t="s">
        <v>2002</v>
      </c>
      <c r="J672" s="74" t="s">
        <v>2002</v>
      </c>
      <c r="K672" s="74" t="s">
        <v>27676</v>
      </c>
      <c r="L672" s="74" t="s">
        <v>27625</v>
      </c>
      <c r="M672" s="74" t="s">
        <v>27635</v>
      </c>
      <c r="N672" s="74" t="s">
        <v>27691</v>
      </c>
      <c r="O672" s="74">
        <v>0.0</v>
      </c>
      <c r="P672" s="119"/>
      <c r="Q672" s="119"/>
      <c r="R672" s="74" t="s">
        <v>27693</v>
      </c>
      <c r="S672" s="74">
        <v>4.0</v>
      </c>
      <c r="T672" s="74" t="s">
        <v>22634</v>
      </c>
      <c r="U672" s="120">
        <v>6967.0</v>
      </c>
      <c r="V672" s="74" t="s">
        <v>27694</v>
      </c>
      <c r="W672" s="74" t="s">
        <v>27695</v>
      </c>
      <c r="X672" s="120">
        <v>677.0</v>
      </c>
    </row>
    <row r="673">
      <c r="A673" s="74" t="s">
        <v>27688</v>
      </c>
      <c r="B673" s="74" t="s">
        <v>6876</v>
      </c>
      <c r="C673" s="74" t="s">
        <v>6877</v>
      </c>
      <c r="D673" s="74" t="s">
        <v>8493</v>
      </c>
      <c r="E673" s="74" t="s">
        <v>27696</v>
      </c>
      <c r="F673" s="74">
        <v>33.0</v>
      </c>
      <c r="G673" s="74">
        <v>1.0</v>
      </c>
      <c r="H673" s="74">
        <v>98.0</v>
      </c>
      <c r="I673" s="74" t="s">
        <v>2012</v>
      </c>
      <c r="J673" s="74" t="s">
        <v>2012</v>
      </c>
      <c r="K673" s="74" t="s">
        <v>27676</v>
      </c>
      <c r="L673" s="74" t="s">
        <v>27625</v>
      </c>
      <c r="M673" s="74" t="s">
        <v>27635</v>
      </c>
      <c r="N673" s="74" t="s">
        <v>27697</v>
      </c>
      <c r="O673" s="74">
        <v>0.0</v>
      </c>
      <c r="P673" s="119"/>
      <c r="Q673" s="119"/>
      <c r="R673" s="74" t="s">
        <v>23528</v>
      </c>
      <c r="S673" s="74">
        <v>4.0</v>
      </c>
      <c r="T673" s="74" t="s">
        <v>22634</v>
      </c>
      <c r="U673" s="120">
        <v>6968.0</v>
      </c>
      <c r="V673" s="74" t="s">
        <v>27700</v>
      </c>
      <c r="W673" s="74" t="s">
        <v>27701</v>
      </c>
      <c r="X673" s="120">
        <v>678.0</v>
      </c>
    </row>
    <row r="674">
      <c r="A674" s="74" t="s">
        <v>27702</v>
      </c>
      <c r="B674" s="74" t="s">
        <v>6876</v>
      </c>
      <c r="C674" s="74" t="s">
        <v>6877</v>
      </c>
      <c r="D674" s="74" t="s">
        <v>8493</v>
      </c>
      <c r="E674" s="74" t="s">
        <v>27703</v>
      </c>
      <c r="F674" s="74">
        <v>59.0</v>
      </c>
      <c r="G674" s="74">
        <v>1.0</v>
      </c>
      <c r="H674" s="74">
        <v>11.0</v>
      </c>
      <c r="I674" s="74" t="s">
        <v>2014</v>
      </c>
      <c r="J674" s="74" t="s">
        <v>2014</v>
      </c>
      <c r="K674" s="74" t="s">
        <v>27705</v>
      </c>
      <c r="L674" s="74" t="s">
        <v>27706</v>
      </c>
      <c r="M674" s="74" t="s">
        <v>27707</v>
      </c>
      <c r="N674" s="74" t="s">
        <v>27708</v>
      </c>
      <c r="O674" s="74">
        <v>0.0</v>
      </c>
      <c r="P674" s="119"/>
      <c r="Q674" s="119"/>
      <c r="R674" s="119"/>
      <c r="S674" s="74">
        <v>6.0</v>
      </c>
      <c r="T674" s="74" t="s">
        <v>22634</v>
      </c>
      <c r="U674" s="120">
        <v>7109.0</v>
      </c>
      <c r="V674" s="74" t="s">
        <v>27709</v>
      </c>
      <c r="W674" s="74" t="s">
        <v>27710</v>
      </c>
      <c r="X674" s="120">
        <v>679.0</v>
      </c>
    </row>
    <row r="675">
      <c r="A675" s="74" t="s">
        <v>27703</v>
      </c>
      <c r="B675" s="74" t="s">
        <v>6876</v>
      </c>
      <c r="C675" s="74" t="s">
        <v>6877</v>
      </c>
      <c r="D675" s="74" t="s">
        <v>8493</v>
      </c>
      <c r="E675" s="74" t="s">
        <v>27713</v>
      </c>
      <c r="F675" s="74">
        <v>59.0</v>
      </c>
      <c r="G675" s="74">
        <v>1.0</v>
      </c>
      <c r="H675" s="74">
        <v>99.0</v>
      </c>
      <c r="I675" s="74" t="s">
        <v>2018</v>
      </c>
      <c r="J675" s="74" t="s">
        <v>2018</v>
      </c>
      <c r="K675" s="74" t="s">
        <v>27715</v>
      </c>
      <c r="L675" s="74" t="s">
        <v>27716</v>
      </c>
      <c r="M675" s="74" t="s">
        <v>27717</v>
      </c>
      <c r="N675" s="74" t="s">
        <v>27718</v>
      </c>
      <c r="O675" s="74">
        <v>0.0</v>
      </c>
      <c r="P675" s="119"/>
      <c r="Q675" s="119"/>
      <c r="R675" s="74" t="s">
        <v>27719</v>
      </c>
      <c r="S675" s="74">
        <v>6.0</v>
      </c>
      <c r="T675" s="74" t="s">
        <v>22634</v>
      </c>
      <c r="U675" s="120">
        <v>7110.0</v>
      </c>
      <c r="V675" s="74" t="s">
        <v>27720</v>
      </c>
      <c r="W675" s="74" t="s">
        <v>27721</v>
      </c>
      <c r="X675" s="120">
        <v>680.0</v>
      </c>
    </row>
    <row r="676">
      <c r="A676" s="74" t="s">
        <v>27713</v>
      </c>
      <c r="B676" s="74" t="s">
        <v>6876</v>
      </c>
      <c r="C676" s="74" t="s">
        <v>6877</v>
      </c>
      <c r="D676" s="74" t="s">
        <v>8493</v>
      </c>
      <c r="E676" s="74" t="s">
        <v>27722</v>
      </c>
      <c r="F676" s="74">
        <v>59.0</v>
      </c>
      <c r="G676" s="74">
        <v>1.0</v>
      </c>
      <c r="H676" s="74">
        <v>11.0</v>
      </c>
      <c r="I676" s="74" t="s">
        <v>2019</v>
      </c>
      <c r="J676" s="74" t="s">
        <v>2019</v>
      </c>
      <c r="K676" s="74" t="s">
        <v>27705</v>
      </c>
      <c r="L676" s="74" t="s">
        <v>27706</v>
      </c>
      <c r="M676" s="74" t="s">
        <v>27707</v>
      </c>
      <c r="N676" s="74" t="s">
        <v>27725</v>
      </c>
      <c r="O676" s="74">
        <v>0.0</v>
      </c>
      <c r="P676" s="119"/>
      <c r="Q676" s="119"/>
      <c r="R676" s="119"/>
      <c r="S676" s="74">
        <v>6.0</v>
      </c>
      <c r="T676" s="74" t="s">
        <v>22634</v>
      </c>
      <c r="U676" s="120">
        <v>7111.0</v>
      </c>
      <c r="V676" s="74" t="s">
        <v>27727</v>
      </c>
      <c r="W676" s="74" t="s">
        <v>27728</v>
      </c>
      <c r="X676" s="120">
        <v>681.0</v>
      </c>
    </row>
    <row r="677">
      <c r="A677" s="74" t="s">
        <v>27722</v>
      </c>
      <c r="B677" s="74" t="s">
        <v>6876</v>
      </c>
      <c r="C677" s="74" t="s">
        <v>6877</v>
      </c>
      <c r="D677" s="74" t="s">
        <v>8493</v>
      </c>
      <c r="E677" s="74" t="s">
        <v>27729</v>
      </c>
      <c r="F677" s="74">
        <v>59.0</v>
      </c>
      <c r="G677" s="74">
        <v>1.0</v>
      </c>
      <c r="H677" s="74">
        <v>99.0</v>
      </c>
      <c r="I677" s="74" t="s">
        <v>2022</v>
      </c>
      <c r="J677" s="74" t="s">
        <v>2022</v>
      </c>
      <c r="K677" s="74" t="s">
        <v>27715</v>
      </c>
      <c r="L677" s="74" t="s">
        <v>27716</v>
      </c>
      <c r="M677" s="74" t="s">
        <v>27717</v>
      </c>
      <c r="N677" s="74" t="s">
        <v>27730</v>
      </c>
      <c r="O677" s="74">
        <v>0.0</v>
      </c>
      <c r="P677" s="119"/>
      <c r="Q677" s="119"/>
      <c r="R677" s="74" t="s">
        <v>27731</v>
      </c>
      <c r="S677" s="74">
        <v>6.0</v>
      </c>
      <c r="T677" s="74" t="s">
        <v>22634</v>
      </c>
      <c r="U677" s="120">
        <v>7112.0</v>
      </c>
      <c r="V677" s="74" t="s">
        <v>27732</v>
      </c>
      <c r="W677" s="74" t="s">
        <v>27734</v>
      </c>
      <c r="X677" s="120">
        <v>682.0</v>
      </c>
    </row>
    <row r="678">
      <c r="A678" s="74" t="s">
        <v>27729</v>
      </c>
      <c r="B678" s="74" t="s">
        <v>6876</v>
      </c>
      <c r="C678" s="74" t="s">
        <v>6877</v>
      </c>
      <c r="D678" s="74" t="s">
        <v>8493</v>
      </c>
      <c r="E678" s="74" t="s">
        <v>27737</v>
      </c>
      <c r="F678" s="74">
        <v>59.0</v>
      </c>
      <c r="G678" s="74">
        <v>1.0</v>
      </c>
      <c r="H678" s="74">
        <v>11.0</v>
      </c>
      <c r="I678" s="74" t="s">
        <v>2023</v>
      </c>
      <c r="J678" s="74" t="s">
        <v>2023</v>
      </c>
      <c r="K678" s="74" t="s">
        <v>27705</v>
      </c>
      <c r="L678" s="74" t="s">
        <v>27706</v>
      </c>
      <c r="M678" s="74" t="s">
        <v>27707</v>
      </c>
      <c r="N678" s="74" t="s">
        <v>27738</v>
      </c>
      <c r="O678" s="74">
        <v>0.0</v>
      </c>
      <c r="P678" s="119"/>
      <c r="Q678" s="119"/>
      <c r="R678" s="119"/>
      <c r="S678" s="74">
        <v>4.0</v>
      </c>
      <c r="T678" s="74" t="s">
        <v>22634</v>
      </c>
      <c r="U678" s="120">
        <v>7113.0</v>
      </c>
      <c r="V678" s="74" t="s">
        <v>27739</v>
      </c>
      <c r="W678" s="74" t="s">
        <v>27740</v>
      </c>
      <c r="X678" s="120">
        <v>683.0</v>
      </c>
    </row>
    <row r="679">
      <c r="A679" s="74" t="s">
        <v>27737</v>
      </c>
      <c r="B679" s="74" t="s">
        <v>6876</v>
      </c>
      <c r="C679" s="74" t="s">
        <v>6877</v>
      </c>
      <c r="D679" s="74" t="s">
        <v>8493</v>
      </c>
      <c r="E679" s="74" t="s">
        <v>27741</v>
      </c>
      <c r="F679" s="74">
        <v>59.0</v>
      </c>
      <c r="G679" s="74">
        <v>1.0</v>
      </c>
      <c r="H679" s="74">
        <v>99.0</v>
      </c>
      <c r="I679" s="74" t="s">
        <v>2026</v>
      </c>
      <c r="J679" s="74" t="s">
        <v>2026</v>
      </c>
      <c r="K679" s="74" t="s">
        <v>27715</v>
      </c>
      <c r="L679" s="74" t="s">
        <v>27716</v>
      </c>
      <c r="M679" s="74" t="s">
        <v>27717</v>
      </c>
      <c r="N679" s="74" t="s">
        <v>27744</v>
      </c>
      <c r="O679" s="74">
        <v>0.0</v>
      </c>
      <c r="P679" s="119"/>
      <c r="Q679" s="119"/>
      <c r="R679" s="74" t="s">
        <v>27745</v>
      </c>
      <c r="S679" s="1">
        <v>4.0</v>
      </c>
      <c r="T679" s="74" t="s">
        <v>22634</v>
      </c>
      <c r="U679" s="120">
        <v>7114.0</v>
      </c>
      <c r="V679" s="74" t="s">
        <v>27747</v>
      </c>
      <c r="W679" s="74" t="s">
        <v>27748</v>
      </c>
      <c r="X679" s="120">
        <v>684.0</v>
      </c>
    </row>
    <row r="680">
      <c r="A680" s="74" t="s">
        <v>27749</v>
      </c>
      <c r="B680" s="74" t="s">
        <v>6876</v>
      </c>
      <c r="C680" s="74" t="s">
        <v>6877</v>
      </c>
      <c r="D680" s="74" t="s">
        <v>8493</v>
      </c>
      <c r="E680" s="74" t="s">
        <v>27750</v>
      </c>
      <c r="F680" s="74">
        <v>59.0</v>
      </c>
      <c r="G680" s="74">
        <v>1.0</v>
      </c>
      <c r="H680" s="74">
        <v>11.0</v>
      </c>
      <c r="I680" s="74" t="s">
        <v>2027</v>
      </c>
      <c r="J680" s="74" t="s">
        <v>2027</v>
      </c>
      <c r="K680" s="74" t="s">
        <v>27705</v>
      </c>
      <c r="L680" s="74" t="s">
        <v>27706</v>
      </c>
      <c r="M680" s="74" t="s">
        <v>27707</v>
      </c>
      <c r="N680" s="74" t="s">
        <v>27751</v>
      </c>
      <c r="O680" s="74">
        <v>0.0</v>
      </c>
      <c r="P680" s="119"/>
      <c r="Q680" s="119"/>
      <c r="R680" s="119"/>
      <c r="S680" s="74">
        <v>4.0</v>
      </c>
      <c r="T680" s="74" t="s">
        <v>22634</v>
      </c>
      <c r="U680" s="120">
        <v>7115.0</v>
      </c>
      <c r="V680" s="74" t="s">
        <v>27755</v>
      </c>
      <c r="W680" s="74" t="s">
        <v>27756</v>
      </c>
      <c r="X680" s="120">
        <v>685.0</v>
      </c>
    </row>
    <row r="681">
      <c r="A681" s="74" t="s">
        <v>27757</v>
      </c>
      <c r="B681" s="74" t="s">
        <v>6876</v>
      </c>
      <c r="C681" s="74" t="s">
        <v>6877</v>
      </c>
      <c r="D681" s="74" t="s">
        <v>8493</v>
      </c>
      <c r="E681" s="74" t="s">
        <v>27758</v>
      </c>
      <c r="F681" s="74">
        <v>59.0</v>
      </c>
      <c r="G681" s="74">
        <v>1.0</v>
      </c>
      <c r="H681" s="74">
        <v>99.0</v>
      </c>
      <c r="I681" s="74" t="s">
        <v>2030</v>
      </c>
      <c r="J681" s="74" t="s">
        <v>2030</v>
      </c>
      <c r="K681" s="74" t="s">
        <v>27715</v>
      </c>
      <c r="L681" s="74" t="s">
        <v>27716</v>
      </c>
      <c r="M681" s="74" t="s">
        <v>27717</v>
      </c>
      <c r="N681" s="74" t="s">
        <v>27759</v>
      </c>
      <c r="O681" s="74">
        <v>0.0</v>
      </c>
      <c r="P681" s="119"/>
      <c r="Q681" s="119"/>
      <c r="R681" s="74" t="s">
        <v>27760</v>
      </c>
      <c r="S681" s="74">
        <v>4.0</v>
      </c>
      <c r="T681" s="74" t="s">
        <v>22634</v>
      </c>
      <c r="U681" s="120">
        <v>7116.0</v>
      </c>
      <c r="V681" s="74" t="s">
        <v>27761</v>
      </c>
      <c r="W681" s="74" t="s">
        <v>27762</v>
      </c>
      <c r="X681" s="120">
        <v>686.0</v>
      </c>
    </row>
    <row r="682">
      <c r="A682" s="74" t="s">
        <v>27758</v>
      </c>
      <c r="B682" s="74" t="s">
        <v>6876</v>
      </c>
      <c r="C682" s="74" t="s">
        <v>6877</v>
      </c>
      <c r="D682" s="74" t="s">
        <v>8493</v>
      </c>
      <c r="E682" s="74" t="s">
        <v>27765</v>
      </c>
      <c r="F682" s="74">
        <v>33.0</v>
      </c>
      <c r="G682" s="74">
        <v>1.0</v>
      </c>
      <c r="H682" s="74">
        <v>98.0</v>
      </c>
      <c r="I682" s="74" t="s">
        <v>2031</v>
      </c>
      <c r="J682" s="74" t="s">
        <v>2031</v>
      </c>
      <c r="K682" s="74" t="s">
        <v>27715</v>
      </c>
      <c r="L682" s="74" t="s">
        <v>27716</v>
      </c>
      <c r="M682" s="74" t="s">
        <v>27717</v>
      </c>
      <c r="N682" s="74" t="s">
        <v>27767</v>
      </c>
      <c r="O682" s="74">
        <v>0.0</v>
      </c>
      <c r="P682" s="119"/>
      <c r="Q682" s="119"/>
      <c r="R682" s="74" t="s">
        <v>23528</v>
      </c>
      <c r="S682" s="74">
        <v>4.0</v>
      </c>
      <c r="T682" s="74" t="s">
        <v>22634</v>
      </c>
      <c r="U682" s="120">
        <v>7117.0</v>
      </c>
      <c r="V682" s="74" t="s">
        <v>27768</v>
      </c>
      <c r="W682" s="74" t="s">
        <v>27769</v>
      </c>
      <c r="X682" s="120">
        <v>687.0</v>
      </c>
    </row>
    <row r="683">
      <c r="A683" s="74" t="s">
        <v>27765</v>
      </c>
      <c r="B683" s="74" t="s">
        <v>6876</v>
      </c>
      <c r="C683" s="74" t="s">
        <v>6877</v>
      </c>
      <c r="D683" s="74" t="s">
        <v>8493</v>
      </c>
      <c r="E683" s="74" t="s">
        <v>27770</v>
      </c>
      <c r="F683" s="74">
        <v>57.0</v>
      </c>
      <c r="G683" s="74">
        <v>1.0</v>
      </c>
      <c r="H683" s="74">
        <v>12.0</v>
      </c>
      <c r="I683" s="74" t="s">
        <v>2032</v>
      </c>
      <c r="J683" s="74" t="s">
        <v>2032</v>
      </c>
      <c r="K683" s="74" t="s">
        <v>27771</v>
      </c>
      <c r="L683" s="74" t="s">
        <v>27708</v>
      </c>
      <c r="M683" s="74" t="s">
        <v>27772</v>
      </c>
      <c r="N683" s="74" t="s">
        <v>27773</v>
      </c>
      <c r="O683" s="74">
        <v>0.0</v>
      </c>
      <c r="P683" s="119"/>
      <c r="Q683" s="119"/>
      <c r="R683" s="119"/>
      <c r="S683" s="74">
        <v>4.0</v>
      </c>
      <c r="T683" s="74" t="s">
        <v>22634</v>
      </c>
      <c r="U683" s="120">
        <v>7118.0</v>
      </c>
      <c r="V683" s="74" t="s">
        <v>27776</v>
      </c>
      <c r="W683" s="74" t="s">
        <v>27777</v>
      </c>
      <c r="X683" s="120">
        <v>688.0</v>
      </c>
    </row>
    <row r="684">
      <c r="A684" s="74" t="s">
        <v>27770</v>
      </c>
      <c r="B684" s="74" t="s">
        <v>6876</v>
      </c>
      <c r="C684" s="74" t="s">
        <v>6877</v>
      </c>
      <c r="D684" s="74" t="s">
        <v>8493</v>
      </c>
      <c r="E684" s="74" t="s">
        <v>27779</v>
      </c>
      <c r="F684" s="74">
        <v>57.0</v>
      </c>
      <c r="G684" s="74">
        <v>1.0</v>
      </c>
      <c r="H684" s="74">
        <v>99.0</v>
      </c>
      <c r="I684" s="74" t="s">
        <v>2034</v>
      </c>
      <c r="J684" s="74" t="s">
        <v>2034</v>
      </c>
      <c r="K684" s="74" t="s">
        <v>27780</v>
      </c>
      <c r="L684" s="74" t="s">
        <v>27781</v>
      </c>
      <c r="M684" s="74" t="s">
        <v>27782</v>
      </c>
      <c r="N684" s="74" t="s">
        <v>27783</v>
      </c>
      <c r="O684" s="74">
        <v>1.0</v>
      </c>
      <c r="P684" s="146">
        <v>43837.0</v>
      </c>
      <c r="Q684" s="119"/>
      <c r="R684" s="74" t="s">
        <v>27784</v>
      </c>
      <c r="S684" s="74">
        <v>4.0</v>
      </c>
      <c r="T684" s="74" t="s">
        <v>22634</v>
      </c>
      <c r="U684" s="120">
        <v>7119.0</v>
      </c>
      <c r="V684" s="74" t="s">
        <v>27785</v>
      </c>
      <c r="W684" s="74" t="s">
        <v>27786</v>
      </c>
      <c r="X684" s="120">
        <v>689.0</v>
      </c>
    </row>
    <row r="685">
      <c r="A685" s="74" t="s">
        <v>27779</v>
      </c>
      <c r="B685" s="74" t="s">
        <v>6876</v>
      </c>
      <c r="C685" s="74" t="s">
        <v>6877</v>
      </c>
      <c r="D685" s="74" t="s">
        <v>8493</v>
      </c>
      <c r="E685" s="74" t="s">
        <v>27789</v>
      </c>
      <c r="F685" s="74">
        <v>57.0</v>
      </c>
      <c r="G685" s="74">
        <v>1.0</v>
      </c>
      <c r="H685" s="74">
        <v>12.0</v>
      </c>
      <c r="I685" s="74" t="s">
        <v>2035</v>
      </c>
      <c r="J685" s="74" t="s">
        <v>2035</v>
      </c>
      <c r="K685" s="74" t="s">
        <v>27771</v>
      </c>
      <c r="L685" s="74" t="s">
        <v>27708</v>
      </c>
      <c r="M685" s="74" t="s">
        <v>27772</v>
      </c>
      <c r="N685" s="74" t="s">
        <v>27791</v>
      </c>
      <c r="O685" s="74">
        <v>0.0</v>
      </c>
      <c r="P685" s="119"/>
      <c r="Q685" s="119"/>
      <c r="R685" s="119"/>
      <c r="S685" s="74">
        <v>4.0</v>
      </c>
      <c r="T685" s="74" t="s">
        <v>22634</v>
      </c>
      <c r="U685" s="120">
        <v>7120.0</v>
      </c>
      <c r="V685" s="74" t="s">
        <v>27792</v>
      </c>
      <c r="W685" s="74" t="s">
        <v>27793</v>
      </c>
      <c r="X685" s="120">
        <v>690.0</v>
      </c>
    </row>
    <row r="686">
      <c r="A686" s="74" t="s">
        <v>27789</v>
      </c>
      <c r="B686" s="74" t="s">
        <v>6876</v>
      </c>
      <c r="C686" s="74" t="s">
        <v>6877</v>
      </c>
      <c r="D686" s="74" t="s">
        <v>8493</v>
      </c>
      <c r="E686" s="74" t="s">
        <v>27794</v>
      </c>
      <c r="F686" s="74">
        <v>57.0</v>
      </c>
      <c r="G686" s="74">
        <v>1.0</v>
      </c>
      <c r="H686" s="74">
        <v>99.0</v>
      </c>
      <c r="I686" s="74" t="s">
        <v>2037</v>
      </c>
      <c r="J686" s="74" t="s">
        <v>2037</v>
      </c>
      <c r="K686" s="74" t="s">
        <v>27780</v>
      </c>
      <c r="L686" s="74" t="s">
        <v>27781</v>
      </c>
      <c r="M686" s="74" t="s">
        <v>27782</v>
      </c>
      <c r="N686" s="74" t="s">
        <v>27798</v>
      </c>
      <c r="O686" s="74">
        <v>0.0</v>
      </c>
      <c r="P686" s="119"/>
      <c r="Q686" s="119"/>
      <c r="R686" s="74" t="s">
        <v>27800</v>
      </c>
      <c r="S686" s="74">
        <v>4.0</v>
      </c>
      <c r="T686" s="74" t="s">
        <v>22634</v>
      </c>
      <c r="U686" s="120">
        <v>7121.0</v>
      </c>
      <c r="V686" s="74" t="s">
        <v>27801</v>
      </c>
      <c r="W686" s="74" t="s">
        <v>27802</v>
      </c>
      <c r="X686" s="120">
        <v>691.0</v>
      </c>
    </row>
    <row r="687">
      <c r="A687" s="74" t="s">
        <v>27794</v>
      </c>
      <c r="B687" s="74" t="s">
        <v>6876</v>
      </c>
      <c r="C687" s="74" t="s">
        <v>6877</v>
      </c>
      <c r="D687" s="74" t="s">
        <v>8493</v>
      </c>
      <c r="E687" s="74" t="s">
        <v>27803</v>
      </c>
      <c r="F687" s="74">
        <v>55.0</v>
      </c>
      <c r="G687" s="74">
        <v>1.0</v>
      </c>
      <c r="H687" s="74">
        <v>12.0</v>
      </c>
      <c r="I687" s="74" t="s">
        <v>2038</v>
      </c>
      <c r="J687" s="74" t="s">
        <v>2038</v>
      </c>
      <c r="K687" s="74" t="s">
        <v>27771</v>
      </c>
      <c r="L687" s="74" t="s">
        <v>27708</v>
      </c>
      <c r="M687" s="74" t="s">
        <v>27772</v>
      </c>
      <c r="N687" s="74" t="s">
        <v>27804</v>
      </c>
      <c r="O687" s="74">
        <v>0.0</v>
      </c>
      <c r="P687" s="119"/>
      <c r="Q687" s="119"/>
      <c r="R687" s="119"/>
      <c r="S687" s="74">
        <v>4.0</v>
      </c>
      <c r="T687" s="74" t="s">
        <v>22634</v>
      </c>
      <c r="U687" s="120">
        <v>7122.0</v>
      </c>
      <c r="V687" s="74" t="s">
        <v>27808</v>
      </c>
      <c r="W687" s="74" t="s">
        <v>27809</v>
      </c>
      <c r="X687" s="120">
        <v>692.0</v>
      </c>
    </row>
    <row r="688">
      <c r="A688" s="74" t="s">
        <v>27803</v>
      </c>
      <c r="B688" s="74" t="s">
        <v>6876</v>
      </c>
      <c r="C688" s="74" t="s">
        <v>6877</v>
      </c>
      <c r="D688" s="74" t="s">
        <v>8493</v>
      </c>
      <c r="E688" s="74" t="s">
        <v>27811</v>
      </c>
      <c r="F688" s="74">
        <v>55.0</v>
      </c>
      <c r="G688" s="74">
        <v>1.0</v>
      </c>
      <c r="H688" s="74">
        <v>99.0</v>
      </c>
      <c r="I688" s="74" t="s">
        <v>2040</v>
      </c>
      <c r="J688" s="74" t="s">
        <v>2040</v>
      </c>
      <c r="K688" s="74" t="s">
        <v>27780</v>
      </c>
      <c r="L688" s="74" t="s">
        <v>27781</v>
      </c>
      <c r="M688" s="74" t="s">
        <v>27782</v>
      </c>
      <c r="N688" s="74" t="s">
        <v>27812</v>
      </c>
      <c r="O688" s="74">
        <v>0.0</v>
      </c>
      <c r="P688" s="119"/>
      <c r="Q688" s="119"/>
      <c r="R688" s="74" t="s">
        <v>27813</v>
      </c>
      <c r="S688" s="74">
        <v>4.0</v>
      </c>
      <c r="T688" s="74" t="s">
        <v>22634</v>
      </c>
      <c r="U688" s="120">
        <v>7123.0</v>
      </c>
      <c r="V688" s="74" t="s">
        <v>27814</v>
      </c>
      <c r="W688" s="74" t="s">
        <v>27815</v>
      </c>
      <c r="X688" s="120">
        <v>693.0</v>
      </c>
    </row>
    <row r="689">
      <c r="A689" s="74" t="s">
        <v>27811</v>
      </c>
      <c r="B689" s="74" t="s">
        <v>6876</v>
      </c>
      <c r="C689" s="74" t="s">
        <v>6877</v>
      </c>
      <c r="D689" s="74" t="s">
        <v>8493</v>
      </c>
      <c r="E689" s="74" t="s">
        <v>27818</v>
      </c>
      <c r="F689" s="74">
        <v>33.0</v>
      </c>
      <c r="G689" s="74">
        <v>1.0</v>
      </c>
      <c r="H689" s="74">
        <v>98.0</v>
      </c>
      <c r="I689" s="74" t="s">
        <v>2043</v>
      </c>
      <c r="J689" s="74" t="s">
        <v>2043</v>
      </c>
      <c r="K689" s="74" t="s">
        <v>27819</v>
      </c>
      <c r="L689" s="74" t="s">
        <v>27780</v>
      </c>
      <c r="M689" s="74" t="s">
        <v>27821</v>
      </c>
      <c r="N689" s="74" t="s">
        <v>27822</v>
      </c>
      <c r="O689" s="74">
        <v>0.0</v>
      </c>
      <c r="P689" s="119"/>
      <c r="Q689" s="119"/>
      <c r="R689" s="74" t="s">
        <v>23528</v>
      </c>
      <c r="S689" s="74">
        <v>4.0</v>
      </c>
      <c r="T689" s="74" t="s">
        <v>22634</v>
      </c>
      <c r="U689" s="120">
        <v>7124.0</v>
      </c>
      <c r="V689" s="74" t="s">
        <v>27823</v>
      </c>
      <c r="W689" s="74" t="s">
        <v>27824</v>
      </c>
      <c r="X689" s="120">
        <v>694.0</v>
      </c>
    </row>
    <row r="690">
      <c r="A690" s="74" t="s">
        <v>27825</v>
      </c>
      <c r="B690" s="74" t="s">
        <v>6876</v>
      </c>
      <c r="C690" s="74" t="s">
        <v>6877</v>
      </c>
      <c r="D690" s="74" t="s">
        <v>8493</v>
      </c>
      <c r="E690" s="74" t="s">
        <v>27827</v>
      </c>
      <c r="F690" s="74">
        <v>59.0</v>
      </c>
      <c r="G690" s="74">
        <v>1.0</v>
      </c>
      <c r="H690" s="74">
        <v>99.0</v>
      </c>
      <c r="I690" s="74" t="s">
        <v>2048</v>
      </c>
      <c r="J690" s="74" t="s">
        <v>2048</v>
      </c>
      <c r="K690" s="74" t="s">
        <v>27830</v>
      </c>
      <c r="L690" s="74" t="s">
        <v>27831</v>
      </c>
      <c r="M690" s="74" t="s">
        <v>27832</v>
      </c>
      <c r="N690" s="74" t="s">
        <v>27834</v>
      </c>
      <c r="O690" s="74">
        <v>1.0</v>
      </c>
      <c r="P690" s="146">
        <v>43839.0</v>
      </c>
      <c r="Q690" s="119"/>
      <c r="R690" s="74" t="s">
        <v>27835</v>
      </c>
      <c r="S690" s="74">
        <v>6.0</v>
      </c>
      <c r="T690" s="74" t="s">
        <v>22634</v>
      </c>
      <c r="U690" s="120">
        <v>7302.0</v>
      </c>
      <c r="V690" s="74" t="s">
        <v>27836</v>
      </c>
      <c r="W690" s="74" t="s">
        <v>27837</v>
      </c>
      <c r="X690" s="120">
        <v>695.0</v>
      </c>
    </row>
    <row r="691">
      <c r="A691" s="74" t="s">
        <v>27827</v>
      </c>
      <c r="B691" s="74" t="s">
        <v>6876</v>
      </c>
      <c r="C691" s="74" t="s">
        <v>6877</v>
      </c>
      <c r="D691" s="74" t="s">
        <v>8493</v>
      </c>
      <c r="E691" s="74" t="s">
        <v>27838</v>
      </c>
      <c r="F691" s="74">
        <v>59.0</v>
      </c>
      <c r="G691" s="74">
        <v>1.0</v>
      </c>
      <c r="H691" s="74">
        <v>98.0</v>
      </c>
      <c r="I691" s="74" t="s">
        <v>2043</v>
      </c>
      <c r="J691" s="74" t="s">
        <v>2043</v>
      </c>
      <c r="K691" s="74" t="s">
        <v>27830</v>
      </c>
      <c r="L691" s="74" t="s">
        <v>27839</v>
      </c>
      <c r="M691" s="74" t="s">
        <v>27841</v>
      </c>
      <c r="N691" s="74" t="s">
        <v>27843</v>
      </c>
      <c r="O691" s="74">
        <v>0.0</v>
      </c>
      <c r="P691" s="119"/>
      <c r="Q691" s="119"/>
      <c r="R691" s="74" t="s">
        <v>23528</v>
      </c>
      <c r="S691" s="74">
        <v>6.0</v>
      </c>
      <c r="T691" s="74" t="s">
        <v>22634</v>
      </c>
      <c r="U691" s="120">
        <v>7303.0</v>
      </c>
      <c r="V691" s="74" t="s">
        <v>27845</v>
      </c>
      <c r="W691" s="74" t="s">
        <v>27846</v>
      </c>
      <c r="X691" s="120">
        <v>696.0</v>
      </c>
    </row>
    <row r="692">
      <c r="A692" s="74" t="s">
        <v>27838</v>
      </c>
      <c r="B692" s="74" t="s">
        <v>6876</v>
      </c>
      <c r="C692" s="74" t="s">
        <v>6877</v>
      </c>
      <c r="D692" s="74" t="s">
        <v>8493</v>
      </c>
      <c r="E692" s="74" t="s">
        <v>27847</v>
      </c>
      <c r="F692" s="74">
        <v>65.0</v>
      </c>
      <c r="G692" s="74">
        <v>1.0</v>
      </c>
      <c r="H692" s="74">
        <v>12.0</v>
      </c>
      <c r="I692" s="74" t="s">
        <v>2051</v>
      </c>
      <c r="J692" s="74" t="s">
        <v>2051</v>
      </c>
      <c r="K692" s="74" t="s">
        <v>27848</v>
      </c>
      <c r="L692" s="74" t="s">
        <v>19988</v>
      </c>
      <c r="M692" s="74" t="s">
        <v>19989</v>
      </c>
      <c r="N692" s="74" t="s">
        <v>27849</v>
      </c>
      <c r="O692" s="74">
        <v>0.0</v>
      </c>
      <c r="P692" s="119"/>
      <c r="Q692" s="119"/>
      <c r="R692" s="119"/>
      <c r="S692" s="74">
        <v>6.0</v>
      </c>
      <c r="T692" s="74" t="s">
        <v>22634</v>
      </c>
      <c r="U692" s="120">
        <v>7304.0</v>
      </c>
      <c r="V692" s="74" t="s">
        <v>27851</v>
      </c>
      <c r="W692" s="74" t="s">
        <v>27852</v>
      </c>
      <c r="X692" s="120">
        <v>697.0</v>
      </c>
    </row>
    <row r="693">
      <c r="A693" s="74" t="s">
        <v>27854</v>
      </c>
      <c r="B693" s="74" t="s">
        <v>6876</v>
      </c>
      <c r="C693" s="74" t="s">
        <v>6877</v>
      </c>
      <c r="D693" s="74" t="s">
        <v>8493</v>
      </c>
      <c r="E693" s="74" t="s">
        <v>27857</v>
      </c>
      <c r="F693" s="74">
        <v>65.0</v>
      </c>
      <c r="G693" s="74">
        <v>1.0</v>
      </c>
      <c r="H693" s="74">
        <v>99.0</v>
      </c>
      <c r="I693" s="74" t="s">
        <v>2053</v>
      </c>
      <c r="J693" s="74" t="s">
        <v>2053</v>
      </c>
      <c r="K693" s="74" t="s">
        <v>27859</v>
      </c>
      <c r="L693" s="74" t="s">
        <v>27860</v>
      </c>
      <c r="M693" s="74" t="s">
        <v>27861</v>
      </c>
      <c r="N693" s="74" t="s">
        <v>27862</v>
      </c>
      <c r="O693" s="74">
        <v>0.0</v>
      </c>
      <c r="P693" s="119"/>
      <c r="Q693" s="119"/>
      <c r="R693" s="74" t="s">
        <v>27863</v>
      </c>
      <c r="S693" s="74">
        <v>6.0</v>
      </c>
      <c r="T693" s="74" t="s">
        <v>22634</v>
      </c>
      <c r="U693" s="120">
        <v>7305.0</v>
      </c>
      <c r="V693" s="74" t="s">
        <v>27865</v>
      </c>
      <c r="W693" s="74" t="s">
        <v>27866</v>
      </c>
      <c r="X693" s="120">
        <v>698.0</v>
      </c>
    </row>
    <row r="694">
      <c r="A694" s="74" t="s">
        <v>27857</v>
      </c>
      <c r="B694" s="74" t="s">
        <v>6876</v>
      </c>
      <c r="C694" s="74" t="s">
        <v>6877</v>
      </c>
      <c r="D694" s="74" t="s">
        <v>8493</v>
      </c>
      <c r="E694" s="74" t="s">
        <v>27867</v>
      </c>
      <c r="F694" s="74">
        <v>59.0</v>
      </c>
      <c r="G694" s="74">
        <v>1.0</v>
      </c>
      <c r="H694" s="74">
        <v>12.0</v>
      </c>
      <c r="I694" s="74" t="s">
        <v>2054</v>
      </c>
      <c r="J694" s="74" t="s">
        <v>2054</v>
      </c>
      <c r="K694" s="74" t="s">
        <v>27848</v>
      </c>
      <c r="L694" s="74" t="s">
        <v>19988</v>
      </c>
      <c r="M694" s="74" t="s">
        <v>19989</v>
      </c>
      <c r="N694" s="74" t="s">
        <v>27870</v>
      </c>
      <c r="O694" s="74">
        <v>0.0</v>
      </c>
      <c r="P694" s="119"/>
      <c r="Q694" s="119"/>
      <c r="R694" s="119"/>
      <c r="S694" s="74">
        <v>6.0</v>
      </c>
      <c r="T694" s="74" t="s">
        <v>22634</v>
      </c>
      <c r="U694" s="120">
        <v>7306.0</v>
      </c>
      <c r="V694" s="74" t="s">
        <v>27872</v>
      </c>
      <c r="W694" s="74" t="s">
        <v>27873</v>
      </c>
      <c r="X694" s="120">
        <v>699.0</v>
      </c>
    </row>
    <row r="695">
      <c r="A695" s="74" t="s">
        <v>27867</v>
      </c>
      <c r="B695" s="74" t="s">
        <v>6876</v>
      </c>
      <c r="C695" s="74" t="s">
        <v>6877</v>
      </c>
      <c r="D695" s="74" t="s">
        <v>8493</v>
      </c>
      <c r="E695" s="74" t="s">
        <v>27874</v>
      </c>
      <c r="F695" s="74">
        <v>59.0</v>
      </c>
      <c r="G695" s="74">
        <v>1.0</v>
      </c>
      <c r="H695" s="74">
        <v>99.0</v>
      </c>
      <c r="I695" s="74" t="s">
        <v>2056</v>
      </c>
      <c r="J695" s="74" t="s">
        <v>2056</v>
      </c>
      <c r="K695" s="74" t="s">
        <v>27859</v>
      </c>
      <c r="L695" s="74" t="s">
        <v>27860</v>
      </c>
      <c r="M695" s="74" t="s">
        <v>27861</v>
      </c>
      <c r="N695" s="74" t="s">
        <v>27875</v>
      </c>
      <c r="O695" s="74">
        <v>0.0</v>
      </c>
      <c r="P695" s="119"/>
      <c r="Q695" s="119"/>
      <c r="R695" s="74" t="s">
        <v>27876</v>
      </c>
      <c r="S695" s="74">
        <v>6.0</v>
      </c>
      <c r="T695" s="74" t="s">
        <v>22634</v>
      </c>
      <c r="U695" s="120">
        <v>7307.0</v>
      </c>
      <c r="V695" s="74" t="s">
        <v>27879</v>
      </c>
      <c r="W695" s="74" t="s">
        <v>27880</v>
      </c>
      <c r="X695" s="120">
        <v>700.0</v>
      </c>
    </row>
    <row r="696">
      <c r="A696" s="74" t="s">
        <v>27874</v>
      </c>
      <c r="B696" s="74" t="s">
        <v>6876</v>
      </c>
      <c r="C696" s="74" t="s">
        <v>6877</v>
      </c>
      <c r="D696" s="74" t="s">
        <v>8493</v>
      </c>
      <c r="E696" s="74" t="s">
        <v>27882</v>
      </c>
      <c r="F696" s="74">
        <v>59.0</v>
      </c>
      <c r="G696" s="74">
        <v>1.0</v>
      </c>
      <c r="H696" s="74">
        <v>11.0</v>
      </c>
      <c r="I696" s="74" t="s">
        <v>2057</v>
      </c>
      <c r="J696" s="74" t="s">
        <v>2057</v>
      </c>
      <c r="K696" s="74" t="s">
        <v>27848</v>
      </c>
      <c r="L696" s="74" t="s">
        <v>19988</v>
      </c>
      <c r="M696" s="74" t="s">
        <v>19989</v>
      </c>
      <c r="N696" s="74" t="s">
        <v>27883</v>
      </c>
      <c r="O696" s="74">
        <v>0.0</v>
      </c>
      <c r="P696" s="119"/>
      <c r="Q696" s="119"/>
      <c r="R696" s="119"/>
      <c r="S696" s="74">
        <v>6.0</v>
      </c>
      <c r="T696" s="74" t="s">
        <v>22634</v>
      </c>
      <c r="U696" s="120">
        <v>7308.0</v>
      </c>
      <c r="V696" s="74" t="s">
        <v>27884</v>
      </c>
      <c r="W696" s="74" t="s">
        <v>27885</v>
      </c>
      <c r="X696" s="120">
        <v>701.0</v>
      </c>
    </row>
    <row r="697">
      <c r="A697" s="74" t="s">
        <v>27882</v>
      </c>
      <c r="B697" s="74" t="s">
        <v>6876</v>
      </c>
      <c r="C697" s="74" t="s">
        <v>6877</v>
      </c>
      <c r="D697" s="74" t="s">
        <v>8493</v>
      </c>
      <c r="E697" s="74" t="s">
        <v>27886</v>
      </c>
      <c r="F697" s="74">
        <v>59.0</v>
      </c>
      <c r="G697" s="74">
        <v>1.0</v>
      </c>
      <c r="H697" s="74">
        <v>99.0</v>
      </c>
      <c r="I697" s="74" t="s">
        <v>2059</v>
      </c>
      <c r="J697" s="74" t="s">
        <v>2059</v>
      </c>
      <c r="K697" s="74" t="s">
        <v>27859</v>
      </c>
      <c r="L697" s="74" t="s">
        <v>27860</v>
      </c>
      <c r="M697" s="74" t="s">
        <v>27861</v>
      </c>
      <c r="N697" s="74" t="s">
        <v>27889</v>
      </c>
      <c r="O697" s="74">
        <v>1.0</v>
      </c>
      <c r="P697" s="146">
        <v>43840.0</v>
      </c>
      <c r="Q697" s="119"/>
      <c r="R697" s="74" t="s">
        <v>27890</v>
      </c>
      <c r="S697" s="74">
        <v>6.0</v>
      </c>
      <c r="T697" s="74" t="s">
        <v>22634</v>
      </c>
      <c r="U697" s="120">
        <v>7309.0</v>
      </c>
      <c r="V697" s="74" t="s">
        <v>27892</v>
      </c>
      <c r="W697" s="74" t="s">
        <v>27893</v>
      </c>
      <c r="X697" s="120">
        <v>702.0</v>
      </c>
    </row>
    <row r="698">
      <c r="A698" s="74" t="s">
        <v>27886</v>
      </c>
      <c r="B698" s="74" t="s">
        <v>6876</v>
      </c>
      <c r="C698" s="74" t="s">
        <v>6877</v>
      </c>
      <c r="D698" s="74" t="s">
        <v>8493</v>
      </c>
      <c r="E698" s="74" t="s">
        <v>27894</v>
      </c>
      <c r="F698" s="74">
        <v>59.0</v>
      </c>
      <c r="G698" s="74">
        <v>1.0</v>
      </c>
      <c r="H698" s="74">
        <v>98.0</v>
      </c>
      <c r="I698" s="74" t="s">
        <v>2060</v>
      </c>
      <c r="J698" s="74" t="s">
        <v>2060</v>
      </c>
      <c r="K698" s="74" t="s">
        <v>27859</v>
      </c>
      <c r="L698" s="74" t="s">
        <v>27895</v>
      </c>
      <c r="M698" s="74" t="s">
        <v>27896</v>
      </c>
      <c r="N698" s="74" t="s">
        <v>27897</v>
      </c>
      <c r="O698" s="74">
        <v>0.0</v>
      </c>
      <c r="P698" s="119"/>
      <c r="Q698" s="119"/>
      <c r="R698" s="74" t="s">
        <v>23528</v>
      </c>
      <c r="S698" s="74">
        <v>6.0</v>
      </c>
      <c r="T698" s="74" t="s">
        <v>22634</v>
      </c>
      <c r="U698" s="120">
        <v>7310.0</v>
      </c>
      <c r="V698" s="74" t="s">
        <v>27900</v>
      </c>
      <c r="W698" s="74" t="s">
        <v>27901</v>
      </c>
      <c r="X698" s="120">
        <v>703.0</v>
      </c>
    </row>
    <row r="699">
      <c r="A699" s="74" t="s">
        <v>27894</v>
      </c>
      <c r="B699" s="74" t="s">
        <v>6876</v>
      </c>
      <c r="C699" s="74" t="s">
        <v>6877</v>
      </c>
      <c r="D699" s="74" t="s">
        <v>8493</v>
      </c>
      <c r="E699" s="74" t="s">
        <v>27903</v>
      </c>
      <c r="F699" s="74">
        <v>59.0</v>
      </c>
      <c r="G699" s="74">
        <v>1.0</v>
      </c>
      <c r="H699" s="74">
        <v>11.0</v>
      </c>
      <c r="I699" s="74" t="s">
        <v>2063</v>
      </c>
      <c r="J699" s="74" t="s">
        <v>2063</v>
      </c>
      <c r="K699" s="74" t="s">
        <v>14938</v>
      </c>
      <c r="L699" s="74" t="s">
        <v>27905</v>
      </c>
      <c r="M699" s="74" t="s">
        <v>27906</v>
      </c>
      <c r="N699" s="74" t="s">
        <v>27907</v>
      </c>
      <c r="O699" s="74">
        <v>1.0</v>
      </c>
      <c r="P699" s="146">
        <v>43844.0</v>
      </c>
      <c r="Q699" s="119"/>
      <c r="R699" s="119"/>
      <c r="S699" s="74">
        <v>6.0</v>
      </c>
      <c r="T699" s="74" t="s">
        <v>22634</v>
      </c>
      <c r="U699" s="120">
        <v>7311.0</v>
      </c>
      <c r="V699" s="74" t="s">
        <v>27908</v>
      </c>
      <c r="W699" s="74" t="s">
        <v>27909</v>
      </c>
      <c r="X699" s="120">
        <v>704.0</v>
      </c>
    </row>
    <row r="700">
      <c r="A700" s="74" t="s">
        <v>27903</v>
      </c>
      <c r="B700" s="74" t="s">
        <v>6876</v>
      </c>
      <c r="C700" s="74" t="s">
        <v>6877</v>
      </c>
      <c r="D700" s="74" t="s">
        <v>8493</v>
      </c>
      <c r="E700" s="74" t="s">
        <v>27911</v>
      </c>
      <c r="F700" s="74">
        <v>59.0</v>
      </c>
      <c r="G700" s="74">
        <v>1.0</v>
      </c>
      <c r="H700" s="74">
        <v>99.0</v>
      </c>
      <c r="I700" s="74" t="s">
        <v>2065</v>
      </c>
      <c r="J700" s="74" t="s">
        <v>2065</v>
      </c>
      <c r="K700" s="74" t="s">
        <v>27913</v>
      </c>
      <c r="L700" s="74" t="s">
        <v>14938</v>
      </c>
      <c r="M700" s="74" t="s">
        <v>14939</v>
      </c>
      <c r="N700" s="74" t="s">
        <v>27915</v>
      </c>
      <c r="O700" s="74">
        <v>1.0</v>
      </c>
      <c r="P700" s="146">
        <v>43844.0</v>
      </c>
      <c r="Q700" s="119"/>
      <c r="R700" s="74" t="s">
        <v>27916</v>
      </c>
      <c r="S700" s="74">
        <v>6.0</v>
      </c>
      <c r="T700" s="74" t="s">
        <v>22634</v>
      </c>
      <c r="U700" s="120">
        <v>7312.0</v>
      </c>
      <c r="V700" s="74" t="s">
        <v>27917</v>
      </c>
      <c r="W700" s="74" t="s">
        <v>27918</v>
      </c>
      <c r="X700" s="120">
        <v>705.0</v>
      </c>
    </row>
    <row r="701">
      <c r="A701" s="74" t="s">
        <v>27911</v>
      </c>
      <c r="B701" s="74" t="s">
        <v>6876</v>
      </c>
      <c r="C701" s="74" t="s">
        <v>6877</v>
      </c>
      <c r="D701" s="74" t="s">
        <v>8493</v>
      </c>
      <c r="E701" s="74" t="s">
        <v>27919</v>
      </c>
      <c r="F701" s="74">
        <v>59.0</v>
      </c>
      <c r="G701" s="74">
        <v>1.0</v>
      </c>
      <c r="H701" s="74">
        <v>11.0</v>
      </c>
      <c r="I701" s="74" t="s">
        <v>2066</v>
      </c>
      <c r="J701" s="74" t="s">
        <v>2066</v>
      </c>
      <c r="K701" s="74" t="s">
        <v>14938</v>
      </c>
      <c r="L701" s="74" t="s">
        <v>27905</v>
      </c>
      <c r="M701" s="74" t="s">
        <v>27906</v>
      </c>
      <c r="N701" s="74" t="s">
        <v>27920</v>
      </c>
      <c r="O701" s="74">
        <v>0.0</v>
      </c>
      <c r="P701" s="119"/>
      <c r="Q701" s="119"/>
      <c r="R701" s="119"/>
      <c r="S701" s="74">
        <v>6.0</v>
      </c>
      <c r="T701" s="74" t="s">
        <v>22634</v>
      </c>
      <c r="U701" s="120">
        <v>7313.0</v>
      </c>
      <c r="V701" s="74" t="s">
        <v>27923</v>
      </c>
      <c r="W701" s="74" t="s">
        <v>27924</v>
      </c>
      <c r="X701" s="120">
        <v>706.0</v>
      </c>
    </row>
    <row r="702">
      <c r="A702" s="74" t="s">
        <v>27919</v>
      </c>
      <c r="B702" s="74" t="s">
        <v>6876</v>
      </c>
      <c r="C702" s="74" t="s">
        <v>6877</v>
      </c>
      <c r="D702" s="74" t="s">
        <v>8493</v>
      </c>
      <c r="E702" s="74" t="s">
        <v>27926</v>
      </c>
      <c r="F702" s="74">
        <v>59.0</v>
      </c>
      <c r="G702" s="74">
        <v>1.0</v>
      </c>
      <c r="H702" s="74">
        <v>99.0</v>
      </c>
      <c r="I702" s="74" t="s">
        <v>2068</v>
      </c>
      <c r="J702" s="74" t="s">
        <v>2068</v>
      </c>
      <c r="K702" s="74" t="s">
        <v>27913</v>
      </c>
      <c r="L702" s="74" t="s">
        <v>14938</v>
      </c>
      <c r="M702" s="74" t="s">
        <v>14939</v>
      </c>
      <c r="N702" s="74" t="s">
        <v>27927</v>
      </c>
      <c r="O702" s="74">
        <v>0.0</v>
      </c>
      <c r="P702" s="119"/>
      <c r="Q702" s="119"/>
      <c r="R702" s="74" t="s">
        <v>27928</v>
      </c>
      <c r="S702" s="74">
        <v>6.0</v>
      </c>
      <c r="T702" s="74" t="s">
        <v>22634</v>
      </c>
      <c r="U702" s="120">
        <v>7314.0</v>
      </c>
      <c r="V702" s="74" t="s">
        <v>27929</v>
      </c>
      <c r="W702" s="74" t="s">
        <v>27930</v>
      </c>
      <c r="X702" s="120">
        <v>707.0</v>
      </c>
    </row>
    <row r="703">
      <c r="A703" s="74" t="s">
        <v>27926</v>
      </c>
      <c r="B703" s="74" t="s">
        <v>6876</v>
      </c>
      <c r="C703" s="74" t="s">
        <v>6877</v>
      </c>
      <c r="D703" s="74" t="s">
        <v>8493</v>
      </c>
      <c r="E703" s="74" t="s">
        <v>27933</v>
      </c>
      <c r="F703" s="74">
        <v>59.0</v>
      </c>
      <c r="G703" s="74">
        <v>1.0</v>
      </c>
      <c r="H703" s="74">
        <v>11.0</v>
      </c>
      <c r="I703" s="74" t="s">
        <v>2069</v>
      </c>
      <c r="J703" s="74" t="s">
        <v>2069</v>
      </c>
      <c r="K703" s="74" t="s">
        <v>14938</v>
      </c>
      <c r="L703" s="74" t="s">
        <v>27905</v>
      </c>
      <c r="M703" s="74" t="s">
        <v>27906</v>
      </c>
      <c r="N703" s="74" t="s">
        <v>27935</v>
      </c>
      <c r="O703" s="74">
        <v>0.0</v>
      </c>
      <c r="P703" s="119"/>
      <c r="Q703" s="119"/>
      <c r="R703" s="119"/>
      <c r="S703" s="74">
        <v>6.0</v>
      </c>
      <c r="T703" s="74" t="s">
        <v>22634</v>
      </c>
      <c r="U703" s="120">
        <v>7315.0</v>
      </c>
      <c r="V703" s="74" t="s">
        <v>27937</v>
      </c>
      <c r="W703" s="74" t="s">
        <v>27938</v>
      </c>
      <c r="X703" s="120">
        <v>708.0</v>
      </c>
    </row>
    <row r="704">
      <c r="A704" s="74" t="s">
        <v>27933</v>
      </c>
      <c r="B704" s="74" t="s">
        <v>6876</v>
      </c>
      <c r="C704" s="74" t="s">
        <v>6877</v>
      </c>
      <c r="D704" s="74" t="s">
        <v>8493</v>
      </c>
      <c r="E704" s="74" t="s">
        <v>27939</v>
      </c>
      <c r="F704" s="74">
        <v>59.0</v>
      </c>
      <c r="G704" s="74">
        <v>1.0</v>
      </c>
      <c r="H704" s="74">
        <v>99.0</v>
      </c>
      <c r="I704" s="74" t="s">
        <v>2071</v>
      </c>
      <c r="J704" s="74" t="s">
        <v>2071</v>
      </c>
      <c r="K704" s="74" t="s">
        <v>27913</v>
      </c>
      <c r="L704" s="74" t="s">
        <v>14938</v>
      </c>
      <c r="M704" s="74" t="s">
        <v>14939</v>
      </c>
      <c r="N704" s="74" t="s">
        <v>27942</v>
      </c>
      <c r="O704" s="74">
        <v>0.0</v>
      </c>
      <c r="P704" s="119"/>
      <c r="Q704" s="119"/>
      <c r="R704" s="74" t="s">
        <v>27943</v>
      </c>
      <c r="S704" s="74">
        <v>6.0</v>
      </c>
      <c r="T704" s="74" t="s">
        <v>22634</v>
      </c>
      <c r="U704" s="120">
        <v>7316.0</v>
      </c>
      <c r="V704" s="74" t="s">
        <v>27945</v>
      </c>
      <c r="W704" s="74" t="s">
        <v>27946</v>
      </c>
      <c r="X704" s="120">
        <v>709.0</v>
      </c>
    </row>
    <row r="705">
      <c r="A705" s="74" t="s">
        <v>27947</v>
      </c>
      <c r="B705" s="74" t="s">
        <v>6876</v>
      </c>
      <c r="C705" s="74" t="s">
        <v>6877</v>
      </c>
      <c r="D705" s="74" t="s">
        <v>8493</v>
      </c>
      <c r="E705" s="74" t="s">
        <v>27948</v>
      </c>
      <c r="F705" s="74">
        <v>59.0</v>
      </c>
      <c r="G705" s="74">
        <v>1.0</v>
      </c>
      <c r="H705" s="74">
        <v>11.0</v>
      </c>
      <c r="I705" s="74" t="s">
        <v>2072</v>
      </c>
      <c r="J705" s="74" t="s">
        <v>2072</v>
      </c>
      <c r="K705" s="74" t="s">
        <v>14938</v>
      </c>
      <c r="L705" s="74" t="s">
        <v>27905</v>
      </c>
      <c r="M705" s="74" t="s">
        <v>27906</v>
      </c>
      <c r="N705" s="74" t="s">
        <v>27949</v>
      </c>
      <c r="O705" s="74">
        <v>0.0</v>
      </c>
      <c r="P705" s="119"/>
      <c r="Q705" s="119"/>
      <c r="R705" s="119"/>
      <c r="S705" s="74">
        <v>6.0</v>
      </c>
      <c r="T705" s="74" t="s">
        <v>22634</v>
      </c>
      <c r="U705" s="120">
        <v>7317.0</v>
      </c>
      <c r="V705" s="74" t="s">
        <v>27952</v>
      </c>
      <c r="W705" s="74" t="s">
        <v>27953</v>
      </c>
      <c r="X705" s="120">
        <v>710.0</v>
      </c>
    </row>
    <row r="706">
      <c r="A706" s="74" t="s">
        <v>27948</v>
      </c>
      <c r="B706" s="74" t="s">
        <v>6876</v>
      </c>
      <c r="C706" s="74" t="s">
        <v>6877</v>
      </c>
      <c r="D706" s="74" t="s">
        <v>8493</v>
      </c>
      <c r="E706" s="74" t="s">
        <v>27955</v>
      </c>
      <c r="F706" s="74">
        <v>59.0</v>
      </c>
      <c r="G706" s="74">
        <v>1.0</v>
      </c>
      <c r="H706" s="74">
        <v>99.0</v>
      </c>
      <c r="I706" s="74" t="s">
        <v>2074</v>
      </c>
      <c r="J706" s="74" t="s">
        <v>2074</v>
      </c>
      <c r="K706" s="74" t="s">
        <v>27913</v>
      </c>
      <c r="L706" s="74" t="s">
        <v>14938</v>
      </c>
      <c r="M706" s="74" t="s">
        <v>14939</v>
      </c>
      <c r="N706" s="74" t="s">
        <v>27942</v>
      </c>
      <c r="O706" s="74">
        <v>0.0</v>
      </c>
      <c r="P706" s="119"/>
      <c r="Q706" s="119"/>
      <c r="R706" s="74" t="s">
        <v>27956</v>
      </c>
      <c r="S706" s="74">
        <v>6.0</v>
      </c>
      <c r="T706" s="74" t="s">
        <v>22634</v>
      </c>
      <c r="U706" s="120">
        <v>7318.0</v>
      </c>
      <c r="V706" s="74" t="s">
        <v>27957</v>
      </c>
      <c r="W706" s="74" t="s">
        <v>27958</v>
      </c>
      <c r="X706" s="120">
        <v>711.0</v>
      </c>
    </row>
    <row r="707">
      <c r="A707" s="74" t="s">
        <v>27955</v>
      </c>
      <c r="B707" s="74" t="s">
        <v>6876</v>
      </c>
      <c r="C707" s="74" t="s">
        <v>6877</v>
      </c>
      <c r="D707" s="74" t="s">
        <v>8493</v>
      </c>
      <c r="E707" s="74" t="s">
        <v>27959</v>
      </c>
      <c r="F707" s="74">
        <v>33.0</v>
      </c>
      <c r="G707" s="74">
        <v>1.0</v>
      </c>
      <c r="H707" s="74">
        <v>98.0</v>
      </c>
      <c r="I707" s="74" t="s">
        <v>2075</v>
      </c>
      <c r="J707" s="74" t="s">
        <v>2075</v>
      </c>
      <c r="K707" s="74" t="s">
        <v>27962</v>
      </c>
      <c r="L707" s="74" t="s">
        <v>27963</v>
      </c>
      <c r="M707" s="74" t="s">
        <v>27964</v>
      </c>
      <c r="N707" s="74" t="s">
        <v>27966</v>
      </c>
      <c r="O707" s="74">
        <v>0.0</v>
      </c>
      <c r="P707" s="119"/>
      <c r="Q707" s="119"/>
      <c r="R707" s="74" t="s">
        <v>23528</v>
      </c>
      <c r="S707" s="74">
        <v>6.0</v>
      </c>
      <c r="T707" s="74" t="s">
        <v>22634</v>
      </c>
      <c r="U707" s="120">
        <v>7319.0</v>
      </c>
      <c r="V707" s="74" t="s">
        <v>27968</v>
      </c>
      <c r="W707" s="74" t="s">
        <v>27969</v>
      </c>
      <c r="X707" s="120">
        <v>712.0</v>
      </c>
    </row>
    <row r="708">
      <c r="A708" s="74" t="s">
        <v>27959</v>
      </c>
      <c r="B708" s="74" t="s">
        <v>6876</v>
      </c>
      <c r="C708" s="74" t="s">
        <v>6877</v>
      </c>
      <c r="D708" s="74" t="s">
        <v>8493</v>
      </c>
      <c r="E708" s="74" t="s">
        <v>27970</v>
      </c>
      <c r="F708" s="74">
        <v>57.0</v>
      </c>
      <c r="G708" s="74">
        <v>1.0</v>
      </c>
      <c r="H708" s="74">
        <v>12.0</v>
      </c>
      <c r="I708" s="74" t="s">
        <v>2077</v>
      </c>
      <c r="J708" s="74" t="s">
        <v>2077</v>
      </c>
      <c r="K708" s="74" t="s">
        <v>27942</v>
      </c>
      <c r="L708" s="74" t="s">
        <v>27972</v>
      </c>
      <c r="M708" s="74" t="s">
        <v>27973</v>
      </c>
      <c r="N708" s="74" t="s">
        <v>27974</v>
      </c>
      <c r="O708" s="74">
        <v>0.0</v>
      </c>
      <c r="P708" s="119"/>
      <c r="Q708" s="119"/>
      <c r="R708" s="119"/>
      <c r="S708" s="74">
        <v>6.0</v>
      </c>
      <c r="T708" s="74" t="s">
        <v>22634</v>
      </c>
      <c r="U708" s="120">
        <v>7320.0</v>
      </c>
      <c r="V708" s="74" t="s">
        <v>27975</v>
      </c>
      <c r="W708" s="74" t="s">
        <v>27977</v>
      </c>
      <c r="X708" s="120">
        <v>713.0</v>
      </c>
    </row>
    <row r="709">
      <c r="A709" s="74" t="s">
        <v>27970</v>
      </c>
      <c r="B709" s="74" t="s">
        <v>6876</v>
      </c>
      <c r="C709" s="74" t="s">
        <v>6877</v>
      </c>
      <c r="D709" s="74" t="s">
        <v>8493</v>
      </c>
      <c r="E709" s="74" t="s">
        <v>27980</v>
      </c>
      <c r="F709" s="74">
        <v>57.0</v>
      </c>
      <c r="G709" s="74">
        <v>1.0</v>
      </c>
      <c r="H709" s="74">
        <v>99.0</v>
      </c>
      <c r="I709" s="74" t="s">
        <v>2079</v>
      </c>
      <c r="J709" s="74" t="s">
        <v>2079</v>
      </c>
      <c r="K709" s="74" t="s">
        <v>27982</v>
      </c>
      <c r="L709" s="74" t="s">
        <v>27983</v>
      </c>
      <c r="M709" s="74" t="s">
        <v>27984</v>
      </c>
      <c r="N709" s="74" t="s">
        <v>27985</v>
      </c>
      <c r="O709" s="74">
        <v>1.0</v>
      </c>
      <c r="P709" s="146">
        <v>43845.0</v>
      </c>
      <c r="Q709" s="119"/>
      <c r="R709" s="74" t="s">
        <v>27986</v>
      </c>
      <c r="S709" s="74">
        <v>6.0</v>
      </c>
      <c r="T709" s="74" t="s">
        <v>22634</v>
      </c>
      <c r="U709" s="120">
        <v>7321.0</v>
      </c>
      <c r="V709" s="74" t="s">
        <v>27987</v>
      </c>
      <c r="W709" s="74" t="s">
        <v>27988</v>
      </c>
      <c r="X709" s="120">
        <v>714.0</v>
      </c>
    </row>
    <row r="710">
      <c r="A710" s="74" t="s">
        <v>27980</v>
      </c>
      <c r="B710" s="74" t="s">
        <v>6876</v>
      </c>
      <c r="C710" s="74" t="s">
        <v>6877</v>
      </c>
      <c r="D710" s="74" t="s">
        <v>8493</v>
      </c>
      <c r="E710" s="74" t="s">
        <v>27990</v>
      </c>
      <c r="F710" s="74">
        <v>57.0</v>
      </c>
      <c r="G710" s="74">
        <v>1.0</v>
      </c>
      <c r="H710" s="74">
        <v>12.0</v>
      </c>
      <c r="I710" s="74" t="s">
        <v>2080</v>
      </c>
      <c r="J710" s="74" t="s">
        <v>2080</v>
      </c>
      <c r="K710" s="74" t="s">
        <v>27942</v>
      </c>
      <c r="L710" s="74" t="s">
        <v>27972</v>
      </c>
      <c r="M710" s="74" t="s">
        <v>27973</v>
      </c>
      <c r="N710" s="74" t="s">
        <v>27994</v>
      </c>
      <c r="O710" s="74">
        <v>0.0</v>
      </c>
      <c r="P710" s="119"/>
      <c r="Q710" s="119"/>
      <c r="R710" s="119"/>
      <c r="S710" s="74">
        <v>4.0</v>
      </c>
      <c r="T710" s="74" t="s">
        <v>22634</v>
      </c>
      <c r="U710" s="120">
        <v>7322.0</v>
      </c>
      <c r="V710" s="74" t="s">
        <v>27996</v>
      </c>
      <c r="W710" s="74" t="s">
        <v>27997</v>
      </c>
      <c r="X710" s="120">
        <v>715.0</v>
      </c>
    </row>
    <row r="711">
      <c r="A711" s="74" t="s">
        <v>27990</v>
      </c>
      <c r="B711" s="74" t="s">
        <v>6876</v>
      </c>
      <c r="C711" s="74" t="s">
        <v>6877</v>
      </c>
      <c r="D711" s="74" t="s">
        <v>8493</v>
      </c>
      <c r="E711" s="74" t="s">
        <v>27998</v>
      </c>
      <c r="F711" s="74">
        <v>57.0</v>
      </c>
      <c r="G711" s="74">
        <v>1.0</v>
      </c>
      <c r="H711" s="74">
        <v>99.0</v>
      </c>
      <c r="I711" s="74" t="s">
        <v>2081</v>
      </c>
      <c r="J711" s="74" t="s">
        <v>2081</v>
      </c>
      <c r="K711" s="74" t="s">
        <v>27982</v>
      </c>
      <c r="L711" s="74" t="s">
        <v>27983</v>
      </c>
      <c r="M711" s="74" t="s">
        <v>27984</v>
      </c>
      <c r="N711" s="74" t="s">
        <v>28000</v>
      </c>
      <c r="O711" s="74">
        <v>0.0</v>
      </c>
      <c r="P711" s="119"/>
      <c r="Q711" s="119"/>
      <c r="R711" s="74" t="s">
        <v>28003</v>
      </c>
      <c r="S711" s="74">
        <v>4.0</v>
      </c>
      <c r="T711" s="74" t="s">
        <v>22634</v>
      </c>
      <c r="U711" s="120">
        <v>7323.0</v>
      </c>
      <c r="V711" s="74" t="s">
        <v>28004</v>
      </c>
      <c r="W711" s="74" t="s">
        <v>28006</v>
      </c>
      <c r="X711" s="120">
        <v>716.0</v>
      </c>
    </row>
    <row r="712">
      <c r="A712" s="74" t="s">
        <v>27998</v>
      </c>
      <c r="B712" s="74" t="s">
        <v>6876</v>
      </c>
      <c r="C712" s="74" t="s">
        <v>6877</v>
      </c>
      <c r="D712" s="74" t="s">
        <v>8493</v>
      </c>
      <c r="E712" s="74" t="s">
        <v>28007</v>
      </c>
      <c r="F712" s="74">
        <v>55.0</v>
      </c>
      <c r="G712" s="74">
        <v>1.0</v>
      </c>
      <c r="H712" s="74">
        <v>12.0</v>
      </c>
      <c r="I712" s="74" t="s">
        <v>2083</v>
      </c>
      <c r="J712" s="74" t="s">
        <v>2083</v>
      </c>
      <c r="K712" s="74" t="s">
        <v>27942</v>
      </c>
      <c r="L712" s="74" t="s">
        <v>27972</v>
      </c>
      <c r="M712" s="74" t="s">
        <v>27973</v>
      </c>
      <c r="N712" s="74" t="s">
        <v>28008</v>
      </c>
      <c r="O712" s="74">
        <v>0.0</v>
      </c>
      <c r="P712" s="119"/>
      <c r="Q712" s="119"/>
      <c r="R712" s="119"/>
      <c r="S712" s="74">
        <v>4.0</v>
      </c>
      <c r="T712" s="74" t="s">
        <v>22634</v>
      </c>
      <c r="U712" s="120">
        <v>7324.0</v>
      </c>
      <c r="V712" s="74" t="s">
        <v>28009</v>
      </c>
      <c r="W712" s="74" t="s">
        <v>28011</v>
      </c>
      <c r="X712" s="120">
        <v>717.0</v>
      </c>
    </row>
    <row r="713">
      <c r="A713" s="74" t="s">
        <v>28013</v>
      </c>
      <c r="B713" s="74" t="s">
        <v>6876</v>
      </c>
      <c r="C713" s="74" t="s">
        <v>6877</v>
      </c>
      <c r="D713" s="74" t="s">
        <v>8493</v>
      </c>
      <c r="E713" s="74" t="s">
        <v>28015</v>
      </c>
      <c r="F713" s="74">
        <v>55.0</v>
      </c>
      <c r="G713" s="74">
        <v>1.0</v>
      </c>
      <c r="H713" s="74">
        <v>99.0</v>
      </c>
      <c r="I713" s="74" t="s">
        <v>2085</v>
      </c>
      <c r="J713" s="74" t="s">
        <v>2085</v>
      </c>
      <c r="K713" s="74" t="s">
        <v>27982</v>
      </c>
      <c r="L713" s="74" t="s">
        <v>27983</v>
      </c>
      <c r="M713" s="74" t="s">
        <v>27984</v>
      </c>
      <c r="N713" s="74" t="s">
        <v>28017</v>
      </c>
      <c r="O713" s="74">
        <v>0.0</v>
      </c>
      <c r="P713" s="119"/>
      <c r="Q713" s="119"/>
      <c r="R713" s="74" t="s">
        <v>28018</v>
      </c>
      <c r="S713" s="74">
        <v>4.0</v>
      </c>
      <c r="T713" s="74" t="s">
        <v>22634</v>
      </c>
      <c r="U713" s="120">
        <v>7325.0</v>
      </c>
      <c r="V713" s="74" t="s">
        <v>28022</v>
      </c>
      <c r="W713" s="74" t="s">
        <v>28023</v>
      </c>
      <c r="X713" s="120">
        <v>718.0</v>
      </c>
    </row>
    <row r="714">
      <c r="A714" s="74" t="s">
        <v>28015</v>
      </c>
      <c r="B714" s="74" t="s">
        <v>6876</v>
      </c>
      <c r="C714" s="74" t="s">
        <v>6877</v>
      </c>
      <c r="D714" s="74" t="s">
        <v>8493</v>
      </c>
      <c r="E714" s="74" t="s">
        <v>28025</v>
      </c>
      <c r="F714" s="74">
        <v>33.0</v>
      </c>
      <c r="G714" s="74">
        <v>1.0</v>
      </c>
      <c r="H714" s="74">
        <v>98.0</v>
      </c>
      <c r="I714" s="74" t="s">
        <v>2087</v>
      </c>
      <c r="J714" s="74" t="s">
        <v>2087</v>
      </c>
      <c r="K714" s="74" t="s">
        <v>28026</v>
      </c>
      <c r="L714" s="74" t="s">
        <v>27982</v>
      </c>
      <c r="M714" s="74" t="s">
        <v>28027</v>
      </c>
      <c r="N714" s="74" t="s">
        <v>28028</v>
      </c>
      <c r="O714" s="74">
        <v>0.0</v>
      </c>
      <c r="P714" s="119"/>
      <c r="Q714" s="119"/>
      <c r="R714" s="74" t="s">
        <v>23528</v>
      </c>
      <c r="S714" s="74">
        <v>6.0</v>
      </c>
      <c r="T714" s="74" t="s">
        <v>22634</v>
      </c>
      <c r="U714" s="120">
        <v>7326.0</v>
      </c>
      <c r="V714" s="74" t="s">
        <v>28029</v>
      </c>
      <c r="W714" s="74" t="s">
        <v>28030</v>
      </c>
      <c r="X714" s="120">
        <v>719.0</v>
      </c>
    </row>
    <row r="715">
      <c r="A715" s="74" t="s">
        <v>28031</v>
      </c>
      <c r="B715" s="74" t="s">
        <v>6876</v>
      </c>
      <c r="C715" s="74" t="s">
        <v>6877</v>
      </c>
      <c r="D715" s="74" t="s">
        <v>8493</v>
      </c>
      <c r="E715" s="74" t="s">
        <v>28034</v>
      </c>
      <c r="F715" s="74">
        <v>58.0</v>
      </c>
      <c r="G715" s="74">
        <v>2.0</v>
      </c>
      <c r="H715" s="74">
        <v>99.0</v>
      </c>
      <c r="I715" s="74" t="s">
        <v>2089</v>
      </c>
      <c r="J715" s="74" t="s">
        <v>2089</v>
      </c>
      <c r="K715" s="74" t="s">
        <v>28036</v>
      </c>
      <c r="L715" s="74" t="s">
        <v>15089</v>
      </c>
      <c r="M715" s="74" t="s">
        <v>15409</v>
      </c>
      <c r="N715" s="74" t="s">
        <v>28037</v>
      </c>
      <c r="O715" s="74">
        <v>0.0</v>
      </c>
      <c r="P715" s="119"/>
      <c r="Q715" s="119"/>
      <c r="R715" s="74" t="s">
        <v>28038</v>
      </c>
      <c r="S715" s="74">
        <v>6.0</v>
      </c>
      <c r="T715" s="74" t="s">
        <v>22634</v>
      </c>
      <c r="U715" s="120">
        <v>7327.0</v>
      </c>
      <c r="V715" s="74" t="s">
        <v>28039</v>
      </c>
      <c r="W715" s="74" t="s">
        <v>28040</v>
      </c>
      <c r="X715" s="120">
        <v>720.0</v>
      </c>
    </row>
    <row r="716">
      <c r="A716" s="74" t="s">
        <v>28034</v>
      </c>
      <c r="B716" s="74" t="s">
        <v>6876</v>
      </c>
      <c r="C716" s="74" t="s">
        <v>6877</v>
      </c>
      <c r="D716" s="74" t="s">
        <v>8493</v>
      </c>
      <c r="E716" s="74" t="s">
        <v>28041</v>
      </c>
      <c r="F716" s="74">
        <v>58.0</v>
      </c>
      <c r="G716" s="74">
        <v>2.0</v>
      </c>
      <c r="H716" s="74">
        <v>99.0</v>
      </c>
      <c r="I716" s="74" t="s">
        <v>2090</v>
      </c>
      <c r="J716" s="74" t="s">
        <v>2090</v>
      </c>
      <c r="K716" s="74" t="s">
        <v>28036</v>
      </c>
      <c r="L716" s="74" t="s">
        <v>15089</v>
      </c>
      <c r="M716" s="74" t="s">
        <v>15409</v>
      </c>
      <c r="N716" s="74" t="s">
        <v>28044</v>
      </c>
      <c r="O716" s="74">
        <v>0.0</v>
      </c>
      <c r="P716" s="119"/>
      <c r="Q716" s="119"/>
      <c r="R716" s="74" t="s">
        <v>28045</v>
      </c>
      <c r="S716" s="74">
        <v>4.0</v>
      </c>
      <c r="T716" s="74" t="s">
        <v>22634</v>
      </c>
      <c r="U716" s="120">
        <v>7328.0</v>
      </c>
      <c r="V716" s="74" t="s">
        <v>28047</v>
      </c>
      <c r="W716" s="74" t="s">
        <v>28048</v>
      </c>
      <c r="X716" s="120">
        <v>721.0</v>
      </c>
    </row>
    <row r="717">
      <c r="A717" s="74" t="s">
        <v>28041</v>
      </c>
      <c r="B717" s="74" t="s">
        <v>6876</v>
      </c>
      <c r="C717" s="74" t="s">
        <v>6877</v>
      </c>
      <c r="D717" s="74" t="s">
        <v>8493</v>
      </c>
      <c r="E717" s="74" t="s">
        <v>28049</v>
      </c>
      <c r="F717" s="74">
        <v>58.0</v>
      </c>
      <c r="G717" s="74">
        <v>2.0</v>
      </c>
      <c r="H717" s="74">
        <v>99.0</v>
      </c>
      <c r="I717" s="74" t="s">
        <v>2092</v>
      </c>
      <c r="J717" s="74" t="s">
        <v>2092</v>
      </c>
      <c r="K717" s="74" t="s">
        <v>28036</v>
      </c>
      <c r="L717" s="74" t="s">
        <v>15089</v>
      </c>
      <c r="M717" s="74" t="s">
        <v>15409</v>
      </c>
      <c r="N717" s="74" t="s">
        <v>28050</v>
      </c>
      <c r="O717" s="74">
        <v>1.0</v>
      </c>
      <c r="P717" s="146">
        <v>43846.0</v>
      </c>
      <c r="Q717" s="119"/>
      <c r="R717" s="74" t="s">
        <v>28051</v>
      </c>
      <c r="S717" s="74">
        <v>4.0</v>
      </c>
      <c r="T717" s="74" t="s">
        <v>22634</v>
      </c>
      <c r="U717" s="120">
        <v>7329.0</v>
      </c>
      <c r="V717" s="74" t="s">
        <v>28054</v>
      </c>
      <c r="W717" s="74" t="s">
        <v>28056</v>
      </c>
      <c r="X717" s="120">
        <v>722.0</v>
      </c>
    </row>
    <row r="718">
      <c r="A718" s="74" t="s">
        <v>28049</v>
      </c>
      <c r="B718" s="74" t="s">
        <v>6876</v>
      </c>
      <c r="C718" s="74" t="s">
        <v>6877</v>
      </c>
      <c r="D718" s="74" t="s">
        <v>8493</v>
      </c>
      <c r="E718" s="74" t="s">
        <v>28057</v>
      </c>
      <c r="F718" s="74">
        <v>58.0</v>
      </c>
      <c r="G718" s="74">
        <v>2.0</v>
      </c>
      <c r="H718" s="74">
        <v>99.0</v>
      </c>
      <c r="I718" s="74" t="s">
        <v>2094</v>
      </c>
      <c r="J718" s="74" t="s">
        <v>2094</v>
      </c>
      <c r="K718" s="74" t="s">
        <v>28036</v>
      </c>
      <c r="L718" s="74" t="s">
        <v>15089</v>
      </c>
      <c r="M718" s="74" t="s">
        <v>15409</v>
      </c>
      <c r="N718" s="74" t="s">
        <v>28058</v>
      </c>
      <c r="O718" s="74">
        <v>0.0</v>
      </c>
      <c r="P718" s="119"/>
      <c r="Q718" s="119"/>
      <c r="R718" s="74" t="s">
        <v>28059</v>
      </c>
      <c r="S718" s="74">
        <v>4.0</v>
      </c>
      <c r="T718" s="74" t="s">
        <v>22634</v>
      </c>
      <c r="U718" s="120">
        <v>7330.0</v>
      </c>
      <c r="V718" s="74" t="s">
        <v>28060</v>
      </c>
      <c r="W718" s="74" t="s">
        <v>28061</v>
      </c>
      <c r="X718" s="120">
        <v>723.0</v>
      </c>
    </row>
    <row r="719">
      <c r="A719" s="74" t="s">
        <v>28057</v>
      </c>
      <c r="B719" s="74" t="s">
        <v>6876</v>
      </c>
      <c r="C719" s="74" t="s">
        <v>6877</v>
      </c>
      <c r="D719" s="74" t="s">
        <v>8493</v>
      </c>
      <c r="E719" s="74" t="s">
        <v>28064</v>
      </c>
      <c r="F719" s="74">
        <v>33.0</v>
      </c>
      <c r="G719" s="74">
        <v>1.0</v>
      </c>
      <c r="H719" s="74">
        <v>98.0</v>
      </c>
      <c r="I719" s="74" t="s">
        <v>2099</v>
      </c>
      <c r="J719" s="74" t="s">
        <v>2099</v>
      </c>
      <c r="K719" s="74" t="s">
        <v>28066</v>
      </c>
      <c r="L719" s="74" t="s">
        <v>28036</v>
      </c>
      <c r="M719" s="74" t="s">
        <v>28067</v>
      </c>
      <c r="N719" s="74" t="s">
        <v>28068</v>
      </c>
      <c r="O719" s="74">
        <v>0.0</v>
      </c>
      <c r="P719" s="119"/>
      <c r="Q719" s="119"/>
      <c r="R719" s="74" t="s">
        <v>23528</v>
      </c>
      <c r="S719" s="74">
        <v>4.0</v>
      </c>
      <c r="T719" s="74" t="s">
        <v>22634</v>
      </c>
      <c r="U719" s="120">
        <v>7331.0</v>
      </c>
      <c r="V719" s="74" t="s">
        <v>28069</v>
      </c>
      <c r="W719" s="74" t="s">
        <v>28070</v>
      </c>
      <c r="X719" s="120">
        <v>724.0</v>
      </c>
    </row>
    <row r="720">
      <c r="A720" s="74" t="s">
        <v>28064</v>
      </c>
      <c r="B720" s="74" t="s">
        <v>6876</v>
      </c>
      <c r="C720" s="74" t="s">
        <v>6877</v>
      </c>
      <c r="D720" s="74" t="s">
        <v>8493</v>
      </c>
      <c r="E720" s="74" t="s">
        <v>28071</v>
      </c>
      <c r="F720" s="74">
        <v>59.0</v>
      </c>
      <c r="G720" s="74">
        <v>1.0</v>
      </c>
      <c r="H720" s="74">
        <v>11.0</v>
      </c>
      <c r="I720" s="74" t="s">
        <v>2108</v>
      </c>
      <c r="J720" s="74" t="s">
        <v>2108</v>
      </c>
      <c r="K720" s="74" t="s">
        <v>15153</v>
      </c>
      <c r="L720" s="74" t="s">
        <v>28074</v>
      </c>
      <c r="M720" s="74" t="s">
        <v>28075</v>
      </c>
      <c r="N720" s="74" t="s">
        <v>28075</v>
      </c>
      <c r="O720" s="74">
        <v>0.0</v>
      </c>
      <c r="P720" s="119"/>
      <c r="Q720" s="119"/>
      <c r="R720" s="119"/>
      <c r="S720" s="74">
        <v>6.0</v>
      </c>
      <c r="T720" s="74" t="s">
        <v>22634</v>
      </c>
      <c r="U720" s="120">
        <v>7332.0</v>
      </c>
      <c r="V720" s="74" t="s">
        <v>28077</v>
      </c>
      <c r="W720" s="74" t="s">
        <v>28078</v>
      </c>
      <c r="X720" s="120">
        <v>725.0</v>
      </c>
    </row>
    <row r="721">
      <c r="A721" s="74" t="s">
        <v>28071</v>
      </c>
      <c r="B721" s="74" t="s">
        <v>6876</v>
      </c>
      <c r="C721" s="74" t="s">
        <v>6877</v>
      </c>
      <c r="D721" s="74" t="s">
        <v>8493</v>
      </c>
      <c r="E721" s="74" t="s">
        <v>28079</v>
      </c>
      <c r="F721" s="74">
        <v>59.0</v>
      </c>
      <c r="G721" s="74">
        <v>1.0</v>
      </c>
      <c r="H721" s="74">
        <v>99.0</v>
      </c>
      <c r="I721" s="74" t="s">
        <v>2110</v>
      </c>
      <c r="J721" s="74" t="s">
        <v>2110</v>
      </c>
      <c r="K721" s="74" t="s">
        <v>28080</v>
      </c>
      <c r="L721" s="74" t="s">
        <v>28074</v>
      </c>
      <c r="M721" s="74" t="s">
        <v>28075</v>
      </c>
      <c r="N721" s="74" t="s">
        <v>28075</v>
      </c>
      <c r="O721" s="74">
        <v>0.0</v>
      </c>
      <c r="P721" s="119"/>
      <c r="Q721" s="119"/>
      <c r="R721" s="74" t="s">
        <v>28084</v>
      </c>
      <c r="S721" s="74">
        <v>6.0</v>
      </c>
      <c r="T721" s="74" t="s">
        <v>22634</v>
      </c>
      <c r="U721" s="120">
        <v>7333.0</v>
      </c>
      <c r="V721" s="74" t="s">
        <v>28085</v>
      </c>
      <c r="W721" s="74" t="s">
        <v>28087</v>
      </c>
      <c r="X721" s="120">
        <v>726.0</v>
      </c>
    </row>
    <row r="722">
      <c r="A722" s="74" t="s">
        <v>28079</v>
      </c>
      <c r="B722" s="74" t="s">
        <v>6876</v>
      </c>
      <c r="C722" s="74" t="s">
        <v>6877</v>
      </c>
      <c r="D722" s="74" t="s">
        <v>8493</v>
      </c>
      <c r="E722" s="74" t="s">
        <v>28088</v>
      </c>
      <c r="F722" s="74">
        <v>59.0</v>
      </c>
      <c r="G722" s="74">
        <v>1.0</v>
      </c>
      <c r="H722" s="74">
        <v>11.0</v>
      </c>
      <c r="I722" s="74" t="s">
        <v>2111</v>
      </c>
      <c r="J722" s="74" t="s">
        <v>2111</v>
      </c>
      <c r="K722" s="74" t="s">
        <v>15153</v>
      </c>
      <c r="L722" s="74" t="s">
        <v>28074</v>
      </c>
      <c r="M722" s="74" t="s">
        <v>28075</v>
      </c>
      <c r="N722" s="74" t="s">
        <v>28075</v>
      </c>
      <c r="O722" s="74">
        <v>0.0</v>
      </c>
      <c r="P722" s="119"/>
      <c r="Q722" s="119"/>
      <c r="R722" s="119"/>
      <c r="S722" s="74">
        <v>6.0</v>
      </c>
      <c r="T722" s="74" t="s">
        <v>22634</v>
      </c>
      <c r="U722" s="120">
        <v>7334.0</v>
      </c>
      <c r="V722" s="74" t="s">
        <v>28089</v>
      </c>
      <c r="W722" s="74" t="s">
        <v>28090</v>
      </c>
      <c r="X722" s="120">
        <v>727.0</v>
      </c>
    </row>
    <row r="723">
      <c r="A723" s="74" t="s">
        <v>28088</v>
      </c>
      <c r="B723" s="74" t="s">
        <v>6876</v>
      </c>
      <c r="C723" s="74" t="s">
        <v>6877</v>
      </c>
      <c r="D723" s="74" t="s">
        <v>8493</v>
      </c>
      <c r="E723" s="74" t="s">
        <v>28093</v>
      </c>
      <c r="F723" s="74">
        <v>59.0</v>
      </c>
      <c r="G723" s="74">
        <v>1.0</v>
      </c>
      <c r="H723" s="74">
        <v>99.0</v>
      </c>
      <c r="I723" s="74" t="s">
        <v>2113</v>
      </c>
      <c r="J723" s="74" t="s">
        <v>2113</v>
      </c>
      <c r="K723" s="74" t="s">
        <v>28080</v>
      </c>
      <c r="L723" s="74" t="s">
        <v>28074</v>
      </c>
      <c r="M723" s="74" t="s">
        <v>28075</v>
      </c>
      <c r="N723" s="74" t="s">
        <v>28075</v>
      </c>
      <c r="O723" s="74">
        <v>0.0</v>
      </c>
      <c r="P723" s="119"/>
      <c r="Q723" s="119"/>
      <c r="R723" s="74" t="s">
        <v>28096</v>
      </c>
      <c r="S723" s="74">
        <v>6.0</v>
      </c>
      <c r="T723" s="74" t="s">
        <v>22634</v>
      </c>
      <c r="U723" s="120">
        <v>7335.0</v>
      </c>
      <c r="V723" s="74" t="s">
        <v>28097</v>
      </c>
      <c r="W723" s="74" t="s">
        <v>28098</v>
      </c>
      <c r="X723" s="120">
        <v>728.0</v>
      </c>
    </row>
    <row r="724">
      <c r="A724" s="74" t="s">
        <v>28100</v>
      </c>
      <c r="B724" s="74" t="s">
        <v>6876</v>
      </c>
      <c r="C724" s="74" t="s">
        <v>6877</v>
      </c>
      <c r="D724" s="74" t="s">
        <v>8493</v>
      </c>
      <c r="E724" s="74" t="s">
        <v>28101</v>
      </c>
      <c r="F724" s="74">
        <v>59.0</v>
      </c>
      <c r="G724" s="74">
        <v>1.0</v>
      </c>
      <c r="H724" s="74">
        <v>99.0</v>
      </c>
      <c r="I724" s="74" t="s">
        <v>2118</v>
      </c>
      <c r="J724" s="74" t="s">
        <v>2118</v>
      </c>
      <c r="K724" s="74" t="s">
        <v>28080</v>
      </c>
      <c r="L724" s="74" t="s">
        <v>28074</v>
      </c>
      <c r="M724" s="74" t="s">
        <v>28075</v>
      </c>
      <c r="N724" s="74" t="s">
        <v>28075</v>
      </c>
      <c r="O724" s="74">
        <v>0.0</v>
      </c>
      <c r="P724" s="119"/>
      <c r="Q724" s="119"/>
      <c r="R724" s="74" t="s">
        <v>28104</v>
      </c>
      <c r="S724" s="74">
        <v>6.0</v>
      </c>
      <c r="T724" s="74" t="s">
        <v>22634</v>
      </c>
      <c r="U724" s="120">
        <v>7336.0</v>
      </c>
      <c r="V724" s="74" t="s">
        <v>28105</v>
      </c>
      <c r="W724" s="74" t="s">
        <v>28107</v>
      </c>
      <c r="X724" s="120">
        <v>729.0</v>
      </c>
    </row>
    <row r="725">
      <c r="A725" s="74" t="s">
        <v>28101</v>
      </c>
      <c r="B725" s="74" t="s">
        <v>6876</v>
      </c>
      <c r="C725" s="74" t="s">
        <v>6877</v>
      </c>
      <c r="D725" s="74" t="s">
        <v>8493</v>
      </c>
      <c r="E725" s="74" t="s">
        <v>28108</v>
      </c>
      <c r="F725" s="74">
        <v>66.0</v>
      </c>
      <c r="G725" s="74">
        <v>1.0</v>
      </c>
      <c r="H725" s="74">
        <v>12.0</v>
      </c>
      <c r="I725" s="74" t="s">
        <v>2102</v>
      </c>
      <c r="J725" s="74" t="s">
        <v>2102</v>
      </c>
      <c r="K725" s="74" t="s">
        <v>15153</v>
      </c>
      <c r="L725" s="74" t="s">
        <v>28074</v>
      </c>
      <c r="M725" s="74" t="s">
        <v>28075</v>
      </c>
      <c r="N725" s="74" t="s">
        <v>28075</v>
      </c>
      <c r="O725" s="74">
        <v>0.0</v>
      </c>
      <c r="P725" s="119"/>
      <c r="Q725" s="119"/>
      <c r="R725" s="119"/>
      <c r="S725" s="74">
        <v>6.0</v>
      </c>
      <c r="T725" s="74" t="s">
        <v>22634</v>
      </c>
      <c r="U725" s="120">
        <v>7337.0</v>
      </c>
      <c r="V725" s="74" t="s">
        <v>28109</v>
      </c>
      <c r="W725" s="74" t="s">
        <v>28110</v>
      </c>
      <c r="X725" s="120">
        <v>730.0</v>
      </c>
    </row>
    <row r="726">
      <c r="A726" s="74" t="s">
        <v>28108</v>
      </c>
      <c r="B726" s="74" t="s">
        <v>6876</v>
      </c>
      <c r="C726" s="74" t="s">
        <v>6877</v>
      </c>
      <c r="D726" s="74" t="s">
        <v>8493</v>
      </c>
      <c r="E726" s="74" t="s">
        <v>28113</v>
      </c>
      <c r="F726" s="74">
        <v>66.0</v>
      </c>
      <c r="G726" s="74">
        <v>1.0</v>
      </c>
      <c r="H726" s="74">
        <v>99.0</v>
      </c>
      <c r="I726" s="74" t="s">
        <v>2104</v>
      </c>
      <c r="J726" s="74" t="s">
        <v>2104</v>
      </c>
      <c r="K726" s="74" t="s">
        <v>28080</v>
      </c>
      <c r="L726" s="74" t="s">
        <v>28074</v>
      </c>
      <c r="M726" s="74" t="s">
        <v>28075</v>
      </c>
      <c r="N726" s="74" t="s">
        <v>28075</v>
      </c>
      <c r="O726" s="74">
        <v>1.0</v>
      </c>
      <c r="P726" s="146">
        <v>43847.0</v>
      </c>
      <c r="Q726" s="119"/>
      <c r="R726" s="74" t="s">
        <v>28115</v>
      </c>
      <c r="S726" s="74">
        <v>6.0</v>
      </c>
      <c r="T726" s="74" t="s">
        <v>22634</v>
      </c>
      <c r="U726" s="120">
        <v>7338.0</v>
      </c>
      <c r="V726" s="74" t="s">
        <v>28116</v>
      </c>
      <c r="W726" s="74" t="s">
        <v>28117</v>
      </c>
      <c r="X726" s="120">
        <v>731.0</v>
      </c>
    </row>
    <row r="727">
      <c r="A727" s="74" t="s">
        <v>28113</v>
      </c>
      <c r="B727" s="74" t="s">
        <v>6876</v>
      </c>
      <c r="C727" s="74" t="s">
        <v>6877</v>
      </c>
      <c r="D727" s="74" t="s">
        <v>8493</v>
      </c>
      <c r="E727" s="74" t="s">
        <v>28119</v>
      </c>
      <c r="F727" s="74">
        <v>65.0</v>
      </c>
      <c r="G727" s="74">
        <v>1.0</v>
      </c>
      <c r="H727" s="74">
        <v>12.0</v>
      </c>
      <c r="I727" s="74" t="s">
        <v>2105</v>
      </c>
      <c r="J727" s="74" t="s">
        <v>2105</v>
      </c>
      <c r="K727" s="74" t="s">
        <v>15153</v>
      </c>
      <c r="L727" s="74" t="s">
        <v>28074</v>
      </c>
      <c r="M727" s="74" t="s">
        <v>28075</v>
      </c>
      <c r="N727" s="74" t="s">
        <v>28075</v>
      </c>
      <c r="O727" s="74">
        <v>0.0</v>
      </c>
      <c r="P727" s="119"/>
      <c r="Q727" s="119"/>
      <c r="R727" s="119"/>
      <c r="S727" s="74">
        <v>6.0</v>
      </c>
      <c r="T727" s="74" t="s">
        <v>22634</v>
      </c>
      <c r="U727" s="120">
        <v>7339.0</v>
      </c>
      <c r="V727" s="74" t="s">
        <v>28123</v>
      </c>
      <c r="W727" s="74" t="s">
        <v>28124</v>
      </c>
      <c r="X727" s="120">
        <v>732.0</v>
      </c>
    </row>
    <row r="728">
      <c r="A728" s="74" t="s">
        <v>28119</v>
      </c>
      <c r="B728" s="74" t="s">
        <v>6876</v>
      </c>
      <c r="C728" s="74" t="s">
        <v>6877</v>
      </c>
      <c r="D728" s="74" t="s">
        <v>8493</v>
      </c>
      <c r="E728" s="74" t="s">
        <v>28125</v>
      </c>
      <c r="F728" s="74">
        <v>65.0</v>
      </c>
      <c r="G728" s="74">
        <v>1.0</v>
      </c>
      <c r="H728" s="74">
        <v>99.0</v>
      </c>
      <c r="I728" s="74" t="s">
        <v>2107</v>
      </c>
      <c r="J728" s="74" t="s">
        <v>2107</v>
      </c>
      <c r="K728" s="74" t="s">
        <v>28080</v>
      </c>
      <c r="L728" s="74" t="s">
        <v>28074</v>
      </c>
      <c r="M728" s="74" t="s">
        <v>28075</v>
      </c>
      <c r="N728" s="74" t="s">
        <v>28075</v>
      </c>
      <c r="O728" s="74">
        <v>0.0</v>
      </c>
      <c r="P728" s="119"/>
      <c r="Q728" s="119"/>
      <c r="R728" s="74" t="s">
        <v>28128</v>
      </c>
      <c r="S728" s="74">
        <v>6.0</v>
      </c>
      <c r="T728" s="74" t="s">
        <v>22634</v>
      </c>
      <c r="U728" s="120">
        <v>7340.0</v>
      </c>
      <c r="V728" s="74" t="s">
        <v>28130</v>
      </c>
      <c r="W728" s="74" t="s">
        <v>28131</v>
      </c>
      <c r="X728" s="120">
        <v>733.0</v>
      </c>
    </row>
    <row r="729">
      <c r="A729" s="74" t="s">
        <v>28125</v>
      </c>
      <c r="B729" s="74" t="s">
        <v>6876</v>
      </c>
      <c r="C729" s="74" t="s">
        <v>6877</v>
      </c>
      <c r="D729" s="74" t="s">
        <v>8493</v>
      </c>
      <c r="E729" s="74" t="s">
        <v>28132</v>
      </c>
      <c r="F729" s="74">
        <v>33.0</v>
      </c>
      <c r="G729" s="74">
        <v>1.0</v>
      </c>
      <c r="H729" s="74">
        <v>98.0</v>
      </c>
      <c r="I729" s="74" t="s">
        <v>2119</v>
      </c>
      <c r="J729" s="74" t="s">
        <v>2119</v>
      </c>
      <c r="K729" s="74" t="s">
        <v>28080</v>
      </c>
      <c r="L729" s="74" t="s">
        <v>28074</v>
      </c>
      <c r="M729" s="74" t="s">
        <v>28075</v>
      </c>
      <c r="N729" s="74" t="s">
        <v>28075</v>
      </c>
      <c r="O729" s="74">
        <v>0.0</v>
      </c>
      <c r="P729" s="119"/>
      <c r="Q729" s="119"/>
      <c r="R729" s="74" t="s">
        <v>23528</v>
      </c>
      <c r="S729" s="74">
        <v>6.0</v>
      </c>
      <c r="T729" s="74" t="s">
        <v>22634</v>
      </c>
      <c r="U729" s="120">
        <v>7341.0</v>
      </c>
      <c r="V729" s="74" t="s">
        <v>28135</v>
      </c>
      <c r="W729" s="74" t="s">
        <v>28137</v>
      </c>
      <c r="X729" s="120">
        <v>734.0</v>
      </c>
    </row>
    <row r="730">
      <c r="A730" s="74" t="s">
        <v>28138</v>
      </c>
      <c r="B730" s="74" t="s">
        <v>6876</v>
      </c>
      <c r="C730" s="74" t="s">
        <v>6877</v>
      </c>
      <c r="D730" s="74" t="s">
        <v>8493</v>
      </c>
      <c r="E730" s="74" t="s">
        <v>28139</v>
      </c>
      <c r="F730" s="74">
        <v>59.0</v>
      </c>
      <c r="G730" s="74">
        <v>1.0</v>
      </c>
      <c r="H730" s="74">
        <v>11.0</v>
      </c>
      <c r="I730" s="74" t="s">
        <v>2122</v>
      </c>
      <c r="J730" s="74" t="s">
        <v>2122</v>
      </c>
      <c r="K730" s="74" t="s">
        <v>28141</v>
      </c>
      <c r="L730" s="74" t="s">
        <v>15450</v>
      </c>
      <c r="M730" s="74" t="s">
        <v>15451</v>
      </c>
      <c r="N730" s="74" t="s">
        <v>15579</v>
      </c>
      <c r="O730" s="74">
        <v>0.0</v>
      </c>
      <c r="P730" s="119"/>
      <c r="Q730" s="119"/>
      <c r="R730" s="119"/>
      <c r="S730" s="74">
        <v>6.0</v>
      </c>
      <c r="T730" s="74" t="s">
        <v>22634</v>
      </c>
      <c r="U730" s="120">
        <v>7458.0</v>
      </c>
      <c r="V730" s="74" t="s">
        <v>28142</v>
      </c>
      <c r="W730" s="74" t="s">
        <v>28143</v>
      </c>
      <c r="X730" s="120">
        <v>735.0</v>
      </c>
    </row>
    <row r="731">
      <c r="A731" s="74" t="s">
        <v>28139</v>
      </c>
      <c r="B731" s="74" t="s">
        <v>6876</v>
      </c>
      <c r="C731" s="74" t="s">
        <v>6877</v>
      </c>
      <c r="D731" s="74" t="s">
        <v>8493</v>
      </c>
      <c r="E731" s="74" t="s">
        <v>28144</v>
      </c>
      <c r="F731" s="74">
        <v>59.0</v>
      </c>
      <c r="G731" s="74">
        <v>1.0</v>
      </c>
      <c r="H731" s="74">
        <v>99.0</v>
      </c>
      <c r="I731" s="74" t="s">
        <v>2124</v>
      </c>
      <c r="J731" s="74" t="s">
        <v>2124</v>
      </c>
      <c r="K731" s="74" t="s">
        <v>28146</v>
      </c>
      <c r="L731" s="74" t="s">
        <v>28148</v>
      </c>
      <c r="M731" s="74" t="s">
        <v>28149</v>
      </c>
      <c r="N731" s="74" t="s">
        <v>28150</v>
      </c>
      <c r="O731" s="74">
        <v>0.0</v>
      </c>
      <c r="P731" s="119"/>
      <c r="Q731" s="119"/>
      <c r="R731" s="74" t="s">
        <v>28151</v>
      </c>
      <c r="S731" s="74">
        <v>6.0</v>
      </c>
      <c r="T731" s="74" t="s">
        <v>22634</v>
      </c>
      <c r="U731" s="120">
        <v>7459.0</v>
      </c>
      <c r="V731" s="74" t="s">
        <v>28153</v>
      </c>
      <c r="W731" s="74" t="s">
        <v>28154</v>
      </c>
      <c r="X731" s="120">
        <v>736.0</v>
      </c>
    </row>
    <row r="732">
      <c r="A732" s="74" t="s">
        <v>28155</v>
      </c>
      <c r="B732" s="74" t="s">
        <v>6876</v>
      </c>
      <c r="C732" s="74" t="s">
        <v>6877</v>
      </c>
      <c r="D732" s="74" t="s">
        <v>8493</v>
      </c>
      <c r="E732" s="74" t="s">
        <v>28156</v>
      </c>
      <c r="F732" s="74">
        <v>59.0</v>
      </c>
      <c r="G732" s="74">
        <v>1.0</v>
      </c>
      <c r="H732" s="74">
        <v>11.0</v>
      </c>
      <c r="I732" s="74" t="s">
        <v>2125</v>
      </c>
      <c r="J732" s="74" t="s">
        <v>2125</v>
      </c>
      <c r="K732" s="74" t="s">
        <v>28141</v>
      </c>
      <c r="L732" s="74" t="s">
        <v>15450</v>
      </c>
      <c r="M732" s="74" t="s">
        <v>15451</v>
      </c>
      <c r="N732" s="74" t="s">
        <v>28157</v>
      </c>
      <c r="O732" s="74">
        <v>0.0</v>
      </c>
      <c r="P732" s="119"/>
      <c r="Q732" s="119"/>
      <c r="R732" s="119"/>
      <c r="S732" s="74">
        <v>6.0</v>
      </c>
      <c r="T732" s="74" t="s">
        <v>22634</v>
      </c>
      <c r="U732" s="120">
        <v>7460.0</v>
      </c>
      <c r="V732" s="74" t="s">
        <v>28159</v>
      </c>
      <c r="W732" s="74" t="s">
        <v>28161</v>
      </c>
      <c r="X732" s="120">
        <v>737.0</v>
      </c>
    </row>
    <row r="733">
      <c r="A733" s="74" t="s">
        <v>28156</v>
      </c>
      <c r="B733" s="74" t="s">
        <v>6876</v>
      </c>
      <c r="C733" s="74" t="s">
        <v>6877</v>
      </c>
      <c r="D733" s="74" t="s">
        <v>8493</v>
      </c>
      <c r="E733" s="74" t="s">
        <v>28163</v>
      </c>
      <c r="F733" s="74">
        <v>59.0</v>
      </c>
      <c r="G733" s="74">
        <v>1.0</v>
      </c>
      <c r="H733" s="74">
        <v>99.0</v>
      </c>
      <c r="I733" s="74" t="s">
        <v>2127</v>
      </c>
      <c r="J733" s="74" t="s">
        <v>2127</v>
      </c>
      <c r="K733" s="74" t="s">
        <v>28146</v>
      </c>
      <c r="L733" s="74" t="s">
        <v>28148</v>
      </c>
      <c r="M733" s="74" t="s">
        <v>28149</v>
      </c>
      <c r="N733" s="74" t="s">
        <v>28165</v>
      </c>
      <c r="O733" s="74">
        <v>1.0</v>
      </c>
      <c r="P733" s="146">
        <v>43851.0</v>
      </c>
      <c r="Q733" s="119"/>
      <c r="R733" s="74" t="s">
        <v>28166</v>
      </c>
      <c r="S733" s="74">
        <v>6.0</v>
      </c>
      <c r="T733" s="74" t="s">
        <v>22634</v>
      </c>
      <c r="U733" s="120">
        <v>7461.0</v>
      </c>
      <c r="V733" s="74" t="s">
        <v>28167</v>
      </c>
      <c r="W733" s="74" t="s">
        <v>28168</v>
      </c>
      <c r="X733" s="120">
        <v>738.0</v>
      </c>
    </row>
    <row r="734">
      <c r="A734" s="74" t="s">
        <v>28169</v>
      </c>
      <c r="B734" s="74" t="s">
        <v>6876</v>
      </c>
      <c r="C734" s="74" t="s">
        <v>6877</v>
      </c>
      <c r="D734" s="74" t="s">
        <v>8493</v>
      </c>
      <c r="E734" s="74" t="s">
        <v>28172</v>
      </c>
      <c r="F734" s="74">
        <v>59.0</v>
      </c>
      <c r="G734" s="74">
        <v>1.0</v>
      </c>
      <c r="H734" s="74">
        <v>11.0</v>
      </c>
      <c r="I734" s="74" t="s">
        <v>2128</v>
      </c>
      <c r="J734" s="74" t="s">
        <v>2128</v>
      </c>
      <c r="K734" s="74" t="s">
        <v>28141</v>
      </c>
      <c r="L734" s="74" t="s">
        <v>15450</v>
      </c>
      <c r="M734" s="74" t="s">
        <v>15451</v>
      </c>
      <c r="N734" s="74" t="s">
        <v>28174</v>
      </c>
      <c r="O734" s="74">
        <v>0.0</v>
      </c>
      <c r="P734" s="119"/>
      <c r="Q734" s="119"/>
      <c r="R734" s="119"/>
      <c r="S734" s="74">
        <v>6.0</v>
      </c>
      <c r="T734" s="74" t="s">
        <v>22634</v>
      </c>
      <c r="U734" s="120">
        <v>7462.0</v>
      </c>
      <c r="V734" s="74" t="s">
        <v>28175</v>
      </c>
      <c r="W734" s="74" t="s">
        <v>28176</v>
      </c>
      <c r="X734" s="120">
        <v>739.0</v>
      </c>
    </row>
    <row r="735">
      <c r="A735" s="74" t="s">
        <v>28172</v>
      </c>
      <c r="B735" s="74" t="s">
        <v>6876</v>
      </c>
      <c r="C735" s="74" t="s">
        <v>6877</v>
      </c>
      <c r="D735" s="74" t="s">
        <v>8493</v>
      </c>
      <c r="E735" s="74" t="s">
        <v>28177</v>
      </c>
      <c r="F735" s="74">
        <v>59.0</v>
      </c>
      <c r="G735" s="74">
        <v>1.0</v>
      </c>
      <c r="H735" s="74">
        <v>99.0</v>
      </c>
      <c r="I735" s="74" t="s">
        <v>2131</v>
      </c>
      <c r="J735" s="74" t="s">
        <v>2131</v>
      </c>
      <c r="K735" s="74" t="s">
        <v>28146</v>
      </c>
      <c r="L735" s="74" t="s">
        <v>28148</v>
      </c>
      <c r="M735" s="74" t="s">
        <v>28149</v>
      </c>
      <c r="N735" s="74" t="s">
        <v>28178</v>
      </c>
      <c r="O735" s="74">
        <v>0.0</v>
      </c>
      <c r="P735" s="119"/>
      <c r="Q735" s="119"/>
      <c r="R735" s="74" t="s">
        <v>28181</v>
      </c>
      <c r="S735" s="74">
        <v>6.0</v>
      </c>
      <c r="T735" s="74" t="s">
        <v>22634</v>
      </c>
      <c r="U735" s="120">
        <v>7463.0</v>
      </c>
      <c r="V735" s="74" t="s">
        <v>28182</v>
      </c>
      <c r="W735" s="74" t="s">
        <v>28184</v>
      </c>
      <c r="X735" s="120">
        <v>740.0</v>
      </c>
    </row>
    <row r="736">
      <c r="A736" s="74" t="s">
        <v>28177</v>
      </c>
      <c r="B736" s="74" t="s">
        <v>6876</v>
      </c>
      <c r="C736" s="74" t="s">
        <v>6877</v>
      </c>
      <c r="D736" s="74" t="s">
        <v>8493</v>
      </c>
      <c r="E736" s="74" t="s">
        <v>28185</v>
      </c>
      <c r="F736" s="74">
        <v>33.0</v>
      </c>
      <c r="G736" s="74">
        <v>1.0</v>
      </c>
      <c r="H736" s="74">
        <v>98.0</v>
      </c>
      <c r="I736" s="74" t="s">
        <v>2133</v>
      </c>
      <c r="J736" s="74" t="s">
        <v>2133</v>
      </c>
      <c r="K736" s="74" t="s">
        <v>15467</v>
      </c>
      <c r="L736" s="74" t="s">
        <v>28146</v>
      </c>
      <c r="M736" s="74" t="s">
        <v>28186</v>
      </c>
      <c r="N736" s="74" t="s">
        <v>15540</v>
      </c>
      <c r="O736" s="74">
        <v>0.0</v>
      </c>
      <c r="P736" s="119"/>
      <c r="Q736" s="119"/>
      <c r="R736" s="74" t="s">
        <v>23528</v>
      </c>
      <c r="S736" s="74">
        <v>6.0</v>
      </c>
      <c r="T736" s="74" t="s">
        <v>22634</v>
      </c>
      <c r="U736" s="120">
        <v>7464.0</v>
      </c>
      <c r="V736" s="74" t="s">
        <v>28188</v>
      </c>
      <c r="W736" s="74" t="s">
        <v>28190</v>
      </c>
      <c r="X736" s="120">
        <v>741.0</v>
      </c>
    </row>
    <row r="737">
      <c r="A737" s="74" t="s">
        <v>28185</v>
      </c>
      <c r="B737" s="74" t="s">
        <v>6876</v>
      </c>
      <c r="C737" s="74" t="s">
        <v>6877</v>
      </c>
      <c r="D737" s="74" t="s">
        <v>8493</v>
      </c>
      <c r="E737" s="74" t="s">
        <v>28192</v>
      </c>
      <c r="F737" s="74">
        <v>57.0</v>
      </c>
      <c r="G737" s="74">
        <v>1.0</v>
      </c>
      <c r="H737" s="74">
        <v>12.0</v>
      </c>
      <c r="I737" s="74" t="s">
        <v>2134</v>
      </c>
      <c r="J737" s="74" t="s">
        <v>2134</v>
      </c>
      <c r="K737" s="74" t="s">
        <v>15451</v>
      </c>
      <c r="L737" s="74" t="s">
        <v>28194</v>
      </c>
      <c r="M737" s="74" t="s">
        <v>28195</v>
      </c>
      <c r="N737" s="74" t="s">
        <v>28196</v>
      </c>
      <c r="O737" s="74">
        <v>0.0</v>
      </c>
      <c r="P737" s="119"/>
      <c r="Q737" s="119"/>
      <c r="R737" s="119"/>
      <c r="S737" s="74">
        <v>6.0</v>
      </c>
      <c r="T737" s="74" t="s">
        <v>22634</v>
      </c>
      <c r="U737" s="120">
        <v>7465.0</v>
      </c>
      <c r="V737" s="74" t="s">
        <v>28197</v>
      </c>
      <c r="W737" s="74" t="s">
        <v>28198</v>
      </c>
      <c r="X737" s="120">
        <v>742.0</v>
      </c>
    </row>
    <row r="738">
      <c r="A738" s="74" t="s">
        <v>28192</v>
      </c>
      <c r="B738" s="74" t="s">
        <v>6876</v>
      </c>
      <c r="C738" s="74" t="s">
        <v>6877</v>
      </c>
      <c r="D738" s="74" t="s">
        <v>8493</v>
      </c>
      <c r="E738" s="74" t="s">
        <v>28199</v>
      </c>
      <c r="F738" s="74">
        <v>57.0</v>
      </c>
      <c r="G738" s="74">
        <v>1.0</v>
      </c>
      <c r="H738" s="74">
        <v>99.0</v>
      </c>
      <c r="I738" s="74" t="s">
        <v>2136</v>
      </c>
      <c r="J738" s="74" t="s">
        <v>2136</v>
      </c>
      <c r="K738" s="74" t="s">
        <v>28202</v>
      </c>
      <c r="L738" s="74" t="s">
        <v>15451</v>
      </c>
      <c r="M738" s="74" t="s">
        <v>20656</v>
      </c>
      <c r="N738" s="74" t="s">
        <v>28204</v>
      </c>
      <c r="O738" s="74">
        <v>0.0</v>
      </c>
      <c r="P738" s="119"/>
      <c r="Q738" s="119"/>
      <c r="R738" s="74" t="s">
        <v>28205</v>
      </c>
      <c r="S738" s="74">
        <v>6.0</v>
      </c>
      <c r="T738" s="74" t="s">
        <v>22634</v>
      </c>
      <c r="U738" s="120">
        <v>7466.0</v>
      </c>
      <c r="V738" s="74" t="s">
        <v>28206</v>
      </c>
      <c r="W738" s="74" t="s">
        <v>28207</v>
      </c>
      <c r="X738" s="120">
        <v>743.0</v>
      </c>
    </row>
    <row r="739">
      <c r="A739" s="74" t="s">
        <v>28199</v>
      </c>
      <c r="B739" s="74" t="s">
        <v>6876</v>
      </c>
      <c r="C739" s="74" t="s">
        <v>6877</v>
      </c>
      <c r="D739" s="74" t="s">
        <v>8493</v>
      </c>
      <c r="E739" s="74" t="s">
        <v>28208</v>
      </c>
      <c r="F739" s="74">
        <v>57.0</v>
      </c>
      <c r="G739" s="74">
        <v>1.0</v>
      </c>
      <c r="H739" s="74">
        <v>12.0</v>
      </c>
      <c r="I739" s="74" t="s">
        <v>2137</v>
      </c>
      <c r="J739" s="74" t="s">
        <v>2137</v>
      </c>
      <c r="K739" s="74" t="s">
        <v>15451</v>
      </c>
      <c r="L739" s="74" t="s">
        <v>28194</v>
      </c>
      <c r="M739" s="74" t="s">
        <v>28195</v>
      </c>
      <c r="N739" s="74" t="s">
        <v>28209</v>
      </c>
      <c r="O739" s="74">
        <v>0.0</v>
      </c>
      <c r="P739" s="119"/>
      <c r="Q739" s="119"/>
      <c r="R739" s="119"/>
      <c r="S739" s="74">
        <v>6.0</v>
      </c>
      <c r="T739" s="74" t="s">
        <v>22634</v>
      </c>
      <c r="U739" s="120">
        <v>7467.0</v>
      </c>
      <c r="V739" s="74" t="s">
        <v>28212</v>
      </c>
      <c r="W739" s="74" t="s">
        <v>28213</v>
      </c>
      <c r="X739" s="120">
        <v>744.0</v>
      </c>
    </row>
    <row r="740">
      <c r="A740" s="74" t="s">
        <v>28208</v>
      </c>
      <c r="B740" s="74" t="s">
        <v>6876</v>
      </c>
      <c r="C740" s="74" t="s">
        <v>6877</v>
      </c>
      <c r="D740" s="74" t="s">
        <v>8493</v>
      </c>
      <c r="E740" s="74" t="s">
        <v>28215</v>
      </c>
      <c r="F740" s="74">
        <v>57.0</v>
      </c>
      <c r="G740" s="74">
        <v>1.0</v>
      </c>
      <c r="H740" s="74">
        <v>99.0</v>
      </c>
      <c r="I740" s="74" t="s">
        <v>2141</v>
      </c>
      <c r="J740" s="74" t="s">
        <v>2141</v>
      </c>
      <c r="K740" s="74" t="s">
        <v>28202</v>
      </c>
      <c r="L740" s="74" t="s">
        <v>15451</v>
      </c>
      <c r="M740" s="74" t="s">
        <v>20656</v>
      </c>
      <c r="N740" s="74" t="s">
        <v>28216</v>
      </c>
      <c r="O740" s="74">
        <v>0.0</v>
      </c>
      <c r="P740" s="119"/>
      <c r="Q740" s="119"/>
      <c r="R740" s="74" t="s">
        <v>28217</v>
      </c>
      <c r="S740" s="74">
        <v>6.0</v>
      </c>
      <c r="T740" s="74" t="s">
        <v>22634</v>
      </c>
      <c r="U740" s="120">
        <v>7468.0</v>
      </c>
      <c r="V740" s="74" t="s">
        <v>28218</v>
      </c>
      <c r="W740" s="74" t="s">
        <v>28219</v>
      </c>
      <c r="X740" s="120">
        <v>745.0</v>
      </c>
    </row>
    <row r="741">
      <c r="A741" s="74" t="s">
        <v>28215</v>
      </c>
      <c r="B741" s="74" t="s">
        <v>6876</v>
      </c>
      <c r="C741" s="74" t="s">
        <v>6877</v>
      </c>
      <c r="D741" s="74" t="s">
        <v>8493</v>
      </c>
      <c r="E741" s="74" t="s">
        <v>28220</v>
      </c>
      <c r="F741" s="74">
        <v>55.0</v>
      </c>
      <c r="G741" s="74">
        <v>1.0</v>
      </c>
      <c r="H741" s="74">
        <v>12.0</v>
      </c>
      <c r="I741" s="74" t="s">
        <v>2144</v>
      </c>
      <c r="J741" s="74" t="s">
        <v>2144</v>
      </c>
      <c r="K741" s="74" t="s">
        <v>15451</v>
      </c>
      <c r="L741" s="74" t="s">
        <v>28194</v>
      </c>
      <c r="M741" s="74" t="s">
        <v>28195</v>
      </c>
      <c r="N741" s="74" t="s">
        <v>28224</v>
      </c>
      <c r="O741" s="74">
        <v>0.0</v>
      </c>
      <c r="P741" s="119"/>
      <c r="Q741" s="119"/>
      <c r="R741" s="119"/>
      <c r="S741" s="74">
        <v>6.0</v>
      </c>
      <c r="T741" s="74" t="s">
        <v>22634</v>
      </c>
      <c r="U741" s="120">
        <v>7469.0</v>
      </c>
      <c r="V741" s="74" t="s">
        <v>28226</v>
      </c>
      <c r="W741" s="74" t="s">
        <v>28227</v>
      </c>
      <c r="X741" s="120">
        <v>746.0</v>
      </c>
    </row>
    <row r="742">
      <c r="A742" s="74" t="s">
        <v>28220</v>
      </c>
      <c r="B742" s="74" t="s">
        <v>6876</v>
      </c>
      <c r="C742" s="74" t="s">
        <v>6877</v>
      </c>
      <c r="D742" s="74" t="s">
        <v>8493</v>
      </c>
      <c r="E742" s="74" t="s">
        <v>28228</v>
      </c>
      <c r="F742" s="74">
        <v>55.0</v>
      </c>
      <c r="G742" s="74">
        <v>1.0</v>
      </c>
      <c r="H742" s="74">
        <v>99.0</v>
      </c>
      <c r="I742" s="74" t="s">
        <v>2147</v>
      </c>
      <c r="J742" s="74" t="s">
        <v>2147</v>
      </c>
      <c r="K742" s="74" t="s">
        <v>28202</v>
      </c>
      <c r="L742" s="74" t="s">
        <v>15451</v>
      </c>
      <c r="M742" s="74" t="s">
        <v>20656</v>
      </c>
      <c r="N742" s="74" t="s">
        <v>28229</v>
      </c>
      <c r="O742" s="74">
        <v>0.0</v>
      </c>
      <c r="P742" s="119"/>
      <c r="Q742" s="119"/>
      <c r="R742" s="74" t="s">
        <v>28232</v>
      </c>
      <c r="S742" s="74">
        <v>6.0</v>
      </c>
      <c r="T742" s="74" t="s">
        <v>22634</v>
      </c>
      <c r="U742" s="120">
        <v>7470.0</v>
      </c>
      <c r="V742" s="74" t="s">
        <v>28233</v>
      </c>
      <c r="W742" s="74" t="s">
        <v>28234</v>
      </c>
      <c r="X742" s="120">
        <v>747.0</v>
      </c>
    </row>
    <row r="743">
      <c r="A743" s="74" t="s">
        <v>28228</v>
      </c>
      <c r="B743" s="74" t="s">
        <v>6876</v>
      </c>
      <c r="C743" s="74" t="s">
        <v>6877</v>
      </c>
      <c r="D743" s="74" t="s">
        <v>8493</v>
      </c>
      <c r="E743" s="74" t="s">
        <v>28236</v>
      </c>
      <c r="F743" s="74">
        <v>33.0</v>
      </c>
      <c r="G743" s="74">
        <v>1.0</v>
      </c>
      <c r="H743" s="74">
        <v>98.0</v>
      </c>
      <c r="I743" s="74" t="s">
        <v>2151</v>
      </c>
      <c r="J743" s="74" t="s">
        <v>2151</v>
      </c>
      <c r="K743" s="74" t="s">
        <v>28237</v>
      </c>
      <c r="L743" s="74" t="s">
        <v>28202</v>
      </c>
      <c r="M743" s="74" t="s">
        <v>28238</v>
      </c>
      <c r="N743" s="74" t="s">
        <v>28239</v>
      </c>
      <c r="O743" s="74">
        <v>0.0</v>
      </c>
      <c r="P743" s="119"/>
      <c r="Q743" s="119"/>
      <c r="R743" s="74" t="s">
        <v>23528</v>
      </c>
      <c r="S743" s="74">
        <v>6.0</v>
      </c>
      <c r="T743" s="74" t="s">
        <v>22634</v>
      </c>
      <c r="U743" s="120">
        <v>7471.0</v>
      </c>
      <c r="V743" s="74" t="s">
        <v>28242</v>
      </c>
      <c r="W743" s="74" t="s">
        <v>28243</v>
      </c>
      <c r="X743" s="120">
        <v>748.0</v>
      </c>
    </row>
    <row r="744">
      <c r="A744" s="74" t="s">
        <v>28236</v>
      </c>
      <c r="B744" s="74" t="s">
        <v>6876</v>
      </c>
      <c r="C744" s="74" t="s">
        <v>6877</v>
      </c>
      <c r="D744" s="74" t="s">
        <v>8493</v>
      </c>
      <c r="E744" s="74" t="s">
        <v>28245</v>
      </c>
      <c r="F744" s="74">
        <v>66.0</v>
      </c>
      <c r="G744" s="74">
        <v>1.0</v>
      </c>
      <c r="H744" s="74">
        <v>12.0</v>
      </c>
      <c r="I744" s="74" t="s">
        <v>2152</v>
      </c>
      <c r="J744" s="74" t="s">
        <v>2152</v>
      </c>
      <c r="K744" s="74" t="s">
        <v>28238</v>
      </c>
      <c r="L744" s="74" t="s">
        <v>20656</v>
      </c>
      <c r="M744" s="74" t="s">
        <v>20657</v>
      </c>
      <c r="N744" s="74" t="s">
        <v>20657</v>
      </c>
      <c r="O744" s="74">
        <v>0.0</v>
      </c>
      <c r="P744" s="119"/>
      <c r="Q744" s="119"/>
      <c r="R744" s="119"/>
      <c r="S744" s="74">
        <v>6.0</v>
      </c>
      <c r="T744" s="74" t="s">
        <v>22634</v>
      </c>
      <c r="U744" s="120">
        <v>7472.0</v>
      </c>
      <c r="V744" s="74" t="s">
        <v>28246</v>
      </c>
      <c r="W744" s="74" t="s">
        <v>28247</v>
      </c>
      <c r="X744" s="120">
        <v>749.0</v>
      </c>
    </row>
    <row r="745">
      <c r="A745" s="74" t="s">
        <v>28245</v>
      </c>
      <c r="B745" s="74" t="s">
        <v>6876</v>
      </c>
      <c r="C745" s="74" t="s">
        <v>6877</v>
      </c>
      <c r="D745" s="74" t="s">
        <v>8493</v>
      </c>
      <c r="E745" s="74" t="s">
        <v>28250</v>
      </c>
      <c r="F745" s="74">
        <v>66.0</v>
      </c>
      <c r="G745" s="74">
        <v>1.0</v>
      </c>
      <c r="H745" s="74">
        <v>99.0</v>
      </c>
      <c r="I745" s="74" t="s">
        <v>2154</v>
      </c>
      <c r="J745" s="74" t="s">
        <v>2154</v>
      </c>
      <c r="K745" s="74" t="s">
        <v>15610</v>
      </c>
      <c r="L745" s="74" t="s">
        <v>28252</v>
      </c>
      <c r="M745" s="74" t="s">
        <v>28253</v>
      </c>
      <c r="N745" s="74" t="s">
        <v>28254</v>
      </c>
      <c r="O745" s="74">
        <v>0.0</v>
      </c>
      <c r="P745" s="119"/>
      <c r="Q745" s="119"/>
      <c r="R745" s="74" t="s">
        <v>28255</v>
      </c>
      <c r="S745" s="74">
        <v>6.0</v>
      </c>
      <c r="T745" s="74" t="s">
        <v>22634</v>
      </c>
      <c r="U745" s="120">
        <v>7473.0</v>
      </c>
      <c r="V745" s="74" t="s">
        <v>28256</v>
      </c>
      <c r="W745" s="74" t="s">
        <v>28257</v>
      </c>
      <c r="X745" s="120">
        <v>750.0</v>
      </c>
    </row>
    <row r="746">
      <c r="A746" s="74" t="s">
        <v>28250</v>
      </c>
      <c r="B746" s="74" t="s">
        <v>6876</v>
      </c>
      <c r="C746" s="74" t="s">
        <v>6877</v>
      </c>
      <c r="D746" s="74" t="s">
        <v>8493</v>
      </c>
      <c r="E746" s="74" t="s">
        <v>28258</v>
      </c>
      <c r="F746" s="74">
        <v>59.0</v>
      </c>
      <c r="G746" s="74">
        <v>1.0</v>
      </c>
      <c r="H746" s="74">
        <v>12.0</v>
      </c>
      <c r="I746" s="74" t="s">
        <v>2155</v>
      </c>
      <c r="J746" s="74" t="s">
        <v>2155</v>
      </c>
      <c r="K746" s="74" t="s">
        <v>28238</v>
      </c>
      <c r="L746" s="74" t="s">
        <v>20656</v>
      </c>
      <c r="M746" s="74" t="s">
        <v>20657</v>
      </c>
      <c r="N746" s="74" t="s">
        <v>20657</v>
      </c>
      <c r="O746" s="74">
        <v>0.0</v>
      </c>
      <c r="P746" s="119"/>
      <c r="Q746" s="119"/>
      <c r="R746" s="119"/>
      <c r="S746" s="74">
        <v>6.0</v>
      </c>
      <c r="T746" s="74" t="s">
        <v>22634</v>
      </c>
      <c r="U746" s="120">
        <v>7474.0</v>
      </c>
      <c r="V746" s="74" t="s">
        <v>28261</v>
      </c>
      <c r="W746" s="74" t="s">
        <v>28262</v>
      </c>
      <c r="X746" s="120">
        <v>751.0</v>
      </c>
    </row>
    <row r="747">
      <c r="A747" s="74" t="s">
        <v>28258</v>
      </c>
      <c r="B747" s="74" t="s">
        <v>6876</v>
      </c>
      <c r="C747" s="74" t="s">
        <v>6877</v>
      </c>
      <c r="D747" s="74" t="s">
        <v>8493</v>
      </c>
      <c r="E747" s="74" t="s">
        <v>28264</v>
      </c>
      <c r="F747" s="74">
        <v>59.0</v>
      </c>
      <c r="G747" s="74">
        <v>1.0</v>
      </c>
      <c r="H747" s="74">
        <v>99.0</v>
      </c>
      <c r="I747" s="74" t="s">
        <v>2157</v>
      </c>
      <c r="J747" s="74" t="s">
        <v>2157</v>
      </c>
      <c r="K747" s="74" t="s">
        <v>15610</v>
      </c>
      <c r="L747" s="74" t="s">
        <v>28252</v>
      </c>
      <c r="M747" s="74" t="s">
        <v>28253</v>
      </c>
      <c r="N747" s="74" t="s">
        <v>28253</v>
      </c>
      <c r="O747" s="74">
        <v>0.0</v>
      </c>
      <c r="P747" s="119"/>
      <c r="Q747" s="119"/>
      <c r="R747" s="74" t="s">
        <v>28265</v>
      </c>
      <c r="S747" s="74">
        <v>6.0</v>
      </c>
      <c r="T747" s="74" t="s">
        <v>22634</v>
      </c>
      <c r="U747" s="120">
        <v>7475.0</v>
      </c>
      <c r="V747" s="74" t="s">
        <v>28266</v>
      </c>
      <c r="W747" s="74" t="s">
        <v>28267</v>
      </c>
      <c r="X747" s="120">
        <v>752.0</v>
      </c>
    </row>
    <row r="748">
      <c r="A748" s="74" t="s">
        <v>28264</v>
      </c>
      <c r="B748" s="74" t="s">
        <v>6876</v>
      </c>
      <c r="C748" s="74" t="s">
        <v>6877</v>
      </c>
      <c r="D748" s="74" t="s">
        <v>8493</v>
      </c>
      <c r="E748" s="74" t="s">
        <v>28270</v>
      </c>
      <c r="F748" s="74">
        <v>65.0</v>
      </c>
      <c r="G748" s="74">
        <v>1.0</v>
      </c>
      <c r="H748" s="74">
        <v>12.0</v>
      </c>
      <c r="I748" s="74" t="s">
        <v>2158</v>
      </c>
      <c r="J748" s="74" t="s">
        <v>2158</v>
      </c>
      <c r="K748" s="74" t="s">
        <v>28238</v>
      </c>
      <c r="L748" s="74" t="s">
        <v>20656</v>
      </c>
      <c r="M748" s="74" t="s">
        <v>20657</v>
      </c>
      <c r="N748" s="74" t="s">
        <v>20657</v>
      </c>
      <c r="O748" s="74">
        <v>0.0</v>
      </c>
      <c r="P748" s="119"/>
      <c r="Q748" s="119"/>
      <c r="R748" s="119"/>
      <c r="S748" s="74">
        <v>6.0</v>
      </c>
      <c r="T748" s="74" t="s">
        <v>22634</v>
      </c>
      <c r="U748" s="120">
        <v>7476.0</v>
      </c>
      <c r="V748" s="74" t="s">
        <v>28272</v>
      </c>
      <c r="W748" s="74" t="s">
        <v>28273</v>
      </c>
      <c r="X748" s="120">
        <v>753.0</v>
      </c>
    </row>
    <row r="749">
      <c r="A749" s="74" t="s">
        <v>28270</v>
      </c>
      <c r="B749" s="74" t="s">
        <v>6876</v>
      </c>
      <c r="C749" s="74" t="s">
        <v>6877</v>
      </c>
      <c r="D749" s="74" t="s">
        <v>8493</v>
      </c>
      <c r="E749" s="74" t="s">
        <v>28274</v>
      </c>
      <c r="F749" s="74">
        <v>65.0</v>
      </c>
      <c r="G749" s="74">
        <v>1.0</v>
      </c>
      <c r="H749" s="74">
        <v>99.0</v>
      </c>
      <c r="I749" s="74" t="s">
        <v>2160</v>
      </c>
      <c r="J749" s="74" t="s">
        <v>2160</v>
      </c>
      <c r="K749" s="74" t="s">
        <v>15610</v>
      </c>
      <c r="L749" s="74" t="s">
        <v>28252</v>
      </c>
      <c r="M749" s="74" t="s">
        <v>28253</v>
      </c>
      <c r="N749" s="74" t="s">
        <v>28253</v>
      </c>
      <c r="O749" s="74">
        <v>0.0</v>
      </c>
      <c r="P749" s="119"/>
      <c r="Q749" s="119"/>
      <c r="R749" s="74" t="s">
        <v>28277</v>
      </c>
      <c r="S749" s="74">
        <v>6.0</v>
      </c>
      <c r="T749" s="74" t="s">
        <v>22634</v>
      </c>
      <c r="U749" s="120">
        <v>7477.0</v>
      </c>
      <c r="V749" s="74" t="s">
        <v>28279</v>
      </c>
      <c r="W749" s="74" t="s">
        <v>28280</v>
      </c>
      <c r="X749" s="120">
        <v>754.0</v>
      </c>
    </row>
    <row r="750">
      <c r="A750" s="74" t="s">
        <v>28274</v>
      </c>
      <c r="B750" s="74" t="s">
        <v>6876</v>
      </c>
      <c r="C750" s="74" t="s">
        <v>6877</v>
      </c>
      <c r="D750" s="74" t="s">
        <v>8493</v>
      </c>
      <c r="E750" s="74" t="s">
        <v>28281</v>
      </c>
      <c r="F750" s="74">
        <v>58.0</v>
      </c>
      <c r="G750" s="74">
        <v>2.0</v>
      </c>
      <c r="H750" s="74">
        <v>99.0</v>
      </c>
      <c r="I750" s="74" t="s">
        <v>2175</v>
      </c>
      <c r="J750" s="74" t="s">
        <v>2175</v>
      </c>
      <c r="K750" s="74" t="s">
        <v>15610</v>
      </c>
      <c r="L750" s="74" t="s">
        <v>28252</v>
      </c>
      <c r="M750" s="74" t="s">
        <v>28253</v>
      </c>
      <c r="N750" s="74" t="s">
        <v>28253</v>
      </c>
      <c r="O750" s="74">
        <v>0.0</v>
      </c>
      <c r="P750" s="119"/>
      <c r="Q750" s="119"/>
      <c r="R750" s="74" t="s">
        <v>28282</v>
      </c>
      <c r="S750" s="74">
        <v>6.0</v>
      </c>
      <c r="T750" s="74" t="s">
        <v>22634</v>
      </c>
      <c r="U750" s="120">
        <v>7478.0</v>
      </c>
      <c r="V750" s="74" t="s">
        <v>28285</v>
      </c>
      <c r="W750" s="74" t="s">
        <v>28286</v>
      </c>
      <c r="X750" s="120">
        <v>755.0</v>
      </c>
    </row>
    <row r="751">
      <c r="A751" s="74" t="s">
        <v>28281</v>
      </c>
      <c r="B751" s="74" t="s">
        <v>6876</v>
      </c>
      <c r="C751" s="74" t="s">
        <v>6877</v>
      </c>
      <c r="D751" s="74" t="s">
        <v>8493</v>
      </c>
      <c r="E751" s="74" t="s">
        <v>28288</v>
      </c>
      <c r="F751" s="74">
        <v>58.0</v>
      </c>
      <c r="G751" s="74">
        <v>2.0</v>
      </c>
      <c r="H751" s="74">
        <v>99.0</v>
      </c>
      <c r="I751" s="74" t="s">
        <v>2173</v>
      </c>
      <c r="J751" s="74" t="s">
        <v>2173</v>
      </c>
      <c r="K751" s="74" t="s">
        <v>15610</v>
      </c>
      <c r="L751" s="74" t="s">
        <v>28252</v>
      </c>
      <c r="M751" s="74" t="s">
        <v>28253</v>
      </c>
      <c r="N751" s="74" t="s">
        <v>28253</v>
      </c>
      <c r="O751" s="74">
        <v>0.0</v>
      </c>
      <c r="P751" s="119"/>
      <c r="Q751" s="119"/>
      <c r="R751" s="74" t="s">
        <v>28289</v>
      </c>
      <c r="S751" s="74">
        <v>6.0</v>
      </c>
      <c r="T751" s="74" t="s">
        <v>22634</v>
      </c>
      <c r="U751" s="120">
        <v>7479.0</v>
      </c>
      <c r="V751" s="74" t="s">
        <v>28290</v>
      </c>
      <c r="W751" s="74" t="s">
        <v>28291</v>
      </c>
      <c r="X751" s="120">
        <v>756.0</v>
      </c>
    </row>
    <row r="752">
      <c r="A752" s="74" t="s">
        <v>28288</v>
      </c>
      <c r="B752" s="74" t="s">
        <v>6876</v>
      </c>
      <c r="C752" s="74" t="s">
        <v>6877</v>
      </c>
      <c r="D752" s="74" t="s">
        <v>8493</v>
      </c>
      <c r="E752" s="74" t="s">
        <v>28294</v>
      </c>
      <c r="F752" s="74">
        <v>58.0</v>
      </c>
      <c r="G752" s="74">
        <v>2.0</v>
      </c>
      <c r="H752" s="74">
        <v>10.0</v>
      </c>
      <c r="I752" s="74" t="s">
        <v>2163</v>
      </c>
      <c r="J752" s="74" t="s">
        <v>2163</v>
      </c>
      <c r="K752" s="74" t="s">
        <v>28296</v>
      </c>
      <c r="L752" s="74" t="s">
        <v>15596</v>
      </c>
      <c r="M752" s="74" t="s">
        <v>15657</v>
      </c>
      <c r="N752" s="74" t="s">
        <v>15657</v>
      </c>
      <c r="O752" s="74">
        <v>0.0</v>
      </c>
      <c r="P752" s="119"/>
      <c r="Q752" s="119"/>
      <c r="R752" s="119"/>
      <c r="S752" s="74">
        <v>6.0</v>
      </c>
      <c r="T752" s="74" t="s">
        <v>22634</v>
      </c>
      <c r="U752" s="120">
        <v>7480.0</v>
      </c>
      <c r="V752" s="74" t="s">
        <v>28298</v>
      </c>
      <c r="W752" s="74" t="s">
        <v>28299</v>
      </c>
      <c r="X752" s="120">
        <v>757.0</v>
      </c>
    </row>
    <row r="753">
      <c r="A753" s="74" t="s">
        <v>28294</v>
      </c>
      <c r="B753" s="74" t="s">
        <v>6876</v>
      </c>
      <c r="C753" s="74" t="s">
        <v>6877</v>
      </c>
      <c r="D753" s="74" t="s">
        <v>8493</v>
      </c>
      <c r="E753" s="74" t="s">
        <v>28300</v>
      </c>
      <c r="F753" s="74">
        <v>58.0</v>
      </c>
      <c r="G753" s="74">
        <v>2.0</v>
      </c>
      <c r="H753" s="74">
        <v>99.0</v>
      </c>
      <c r="I753" s="74" t="s">
        <v>2170</v>
      </c>
      <c r="J753" s="74" t="s">
        <v>2170</v>
      </c>
      <c r="K753" s="74" t="s">
        <v>15610</v>
      </c>
      <c r="L753" s="74" t="s">
        <v>28252</v>
      </c>
      <c r="M753" s="74" t="s">
        <v>28253</v>
      </c>
      <c r="N753" s="74" t="s">
        <v>28253</v>
      </c>
      <c r="O753" s="74">
        <v>0.0</v>
      </c>
      <c r="P753" s="119"/>
      <c r="Q753" s="119"/>
      <c r="R753" s="74" t="s">
        <v>28301</v>
      </c>
      <c r="S753" s="74">
        <v>6.0</v>
      </c>
      <c r="T753" s="74" t="s">
        <v>22634</v>
      </c>
      <c r="U753" s="120">
        <v>7481.0</v>
      </c>
      <c r="V753" s="74" t="s">
        <v>28304</v>
      </c>
      <c r="W753" s="74" t="s">
        <v>28305</v>
      </c>
      <c r="X753" s="120">
        <v>758.0</v>
      </c>
    </row>
    <row r="754">
      <c r="A754" s="74" t="s">
        <v>28300</v>
      </c>
      <c r="B754" s="74" t="s">
        <v>6876</v>
      </c>
      <c r="C754" s="74" t="s">
        <v>6877</v>
      </c>
      <c r="D754" s="74" t="s">
        <v>8493</v>
      </c>
      <c r="E754" s="74" t="s">
        <v>28307</v>
      </c>
      <c r="F754" s="74">
        <v>33.0</v>
      </c>
      <c r="G754" s="74">
        <v>1.0</v>
      </c>
      <c r="H754" s="74">
        <v>98.0</v>
      </c>
      <c r="I754" s="74" t="s">
        <v>2177</v>
      </c>
      <c r="J754" s="74" t="s">
        <v>2177</v>
      </c>
      <c r="K754" s="74" t="s">
        <v>15807</v>
      </c>
      <c r="L754" s="74" t="s">
        <v>28308</v>
      </c>
      <c r="M754" s="74" t="s">
        <v>28309</v>
      </c>
      <c r="N754" s="74" t="s">
        <v>28309</v>
      </c>
      <c r="O754" s="74">
        <v>0.0</v>
      </c>
      <c r="P754" s="119"/>
      <c r="Q754" s="119"/>
      <c r="R754" s="74" t="s">
        <v>23528</v>
      </c>
      <c r="S754" s="74">
        <v>6.0</v>
      </c>
      <c r="T754" s="74" t="s">
        <v>22634</v>
      </c>
      <c r="U754" s="120">
        <v>7482.0</v>
      </c>
      <c r="V754" s="74" t="s">
        <v>28310</v>
      </c>
      <c r="W754" s="74" t="s">
        <v>28312</v>
      </c>
      <c r="X754" s="120">
        <v>759.0</v>
      </c>
    </row>
    <row r="755">
      <c r="A755" s="74" t="s">
        <v>28314</v>
      </c>
      <c r="B755" s="74" t="s">
        <v>6876</v>
      </c>
      <c r="C755" s="74" t="s">
        <v>6877</v>
      </c>
      <c r="D755" s="74" t="s">
        <v>8493</v>
      </c>
      <c r="E755" s="74" t="s">
        <v>28316</v>
      </c>
      <c r="F755" s="74">
        <v>59.0</v>
      </c>
      <c r="G755" s="74">
        <v>1.0</v>
      </c>
      <c r="H755" s="74">
        <v>11.0</v>
      </c>
      <c r="I755" s="74" t="s">
        <v>2291</v>
      </c>
      <c r="J755" s="74" t="s">
        <v>2291</v>
      </c>
      <c r="K755" s="74" t="s">
        <v>28318</v>
      </c>
      <c r="L755" s="74" t="s">
        <v>28319</v>
      </c>
      <c r="M755" s="74" t="s">
        <v>28320</v>
      </c>
      <c r="N755" s="74" t="s">
        <v>28321</v>
      </c>
      <c r="O755" s="74">
        <v>0.0</v>
      </c>
      <c r="P755" s="119"/>
      <c r="Q755" s="119"/>
      <c r="R755" s="119"/>
      <c r="S755" s="74">
        <v>4.0</v>
      </c>
      <c r="T755" s="74" t="s">
        <v>22634</v>
      </c>
      <c r="U755" s="120">
        <v>7642.0</v>
      </c>
      <c r="V755" s="74" t="s">
        <v>28322</v>
      </c>
      <c r="W755" s="74" t="s">
        <v>28323</v>
      </c>
      <c r="X755" s="120">
        <v>760.0</v>
      </c>
    </row>
    <row r="756">
      <c r="A756" s="74" t="s">
        <v>28324</v>
      </c>
      <c r="B756" s="74" t="s">
        <v>6876</v>
      </c>
      <c r="C756" s="74" t="s">
        <v>6877</v>
      </c>
      <c r="D756" s="74" t="s">
        <v>8493</v>
      </c>
      <c r="E756" s="74" t="s">
        <v>28325</v>
      </c>
      <c r="F756" s="74">
        <v>59.0</v>
      </c>
      <c r="G756" s="74">
        <v>1.0</v>
      </c>
      <c r="H756" s="74">
        <v>99.0</v>
      </c>
      <c r="I756" s="74" t="s">
        <v>2317</v>
      </c>
      <c r="J756" s="74" t="s">
        <v>2317</v>
      </c>
      <c r="K756" s="74" t="s">
        <v>28318</v>
      </c>
      <c r="L756" s="74" t="s">
        <v>28319</v>
      </c>
      <c r="M756" s="74" t="s">
        <v>28320</v>
      </c>
      <c r="N756" s="74" t="s">
        <v>28326</v>
      </c>
      <c r="O756" s="74">
        <v>1.0</v>
      </c>
      <c r="P756" s="146">
        <v>43858.0</v>
      </c>
      <c r="Q756" s="119"/>
      <c r="R756" s="74" t="s">
        <v>28327</v>
      </c>
      <c r="S756" s="74">
        <v>4.0</v>
      </c>
      <c r="T756" s="74" t="s">
        <v>22634</v>
      </c>
      <c r="U756" s="120">
        <v>7643.0</v>
      </c>
      <c r="V756" s="74" t="s">
        <v>28328</v>
      </c>
      <c r="W756" s="74" t="s">
        <v>28329</v>
      </c>
      <c r="X756" s="120">
        <v>761.0</v>
      </c>
    </row>
    <row r="757">
      <c r="A757" s="74" t="s">
        <v>28325</v>
      </c>
      <c r="B757" s="74" t="s">
        <v>6876</v>
      </c>
      <c r="C757" s="74" t="s">
        <v>6877</v>
      </c>
      <c r="D757" s="74" t="s">
        <v>8493</v>
      </c>
      <c r="E757" s="74" t="s">
        <v>28330</v>
      </c>
      <c r="F757" s="74">
        <v>58.0</v>
      </c>
      <c r="G757" s="74">
        <v>2.0</v>
      </c>
      <c r="H757" s="74">
        <v>99.0</v>
      </c>
      <c r="I757" s="74" t="s">
        <v>2182</v>
      </c>
      <c r="J757" s="74" t="s">
        <v>2182</v>
      </c>
      <c r="K757" s="74" t="s">
        <v>28318</v>
      </c>
      <c r="L757" s="74" t="s">
        <v>28319</v>
      </c>
      <c r="M757" s="74" t="s">
        <v>28320</v>
      </c>
      <c r="N757" s="74" t="s">
        <v>28333</v>
      </c>
      <c r="O757" s="74">
        <v>0.0</v>
      </c>
      <c r="P757" s="119"/>
      <c r="Q757" s="119"/>
      <c r="R757" s="74" t="s">
        <v>28335</v>
      </c>
      <c r="S757" s="74">
        <v>4.0</v>
      </c>
      <c r="T757" s="74" t="s">
        <v>22634</v>
      </c>
      <c r="U757" s="120">
        <v>7644.0</v>
      </c>
      <c r="V757" s="74" t="s">
        <v>28336</v>
      </c>
      <c r="W757" s="74" t="s">
        <v>28337</v>
      </c>
      <c r="X757" s="120">
        <v>762.0</v>
      </c>
    </row>
    <row r="758">
      <c r="A758" s="74" t="s">
        <v>28330</v>
      </c>
      <c r="B758" s="74" t="s">
        <v>6876</v>
      </c>
      <c r="C758" s="74" t="s">
        <v>6877</v>
      </c>
      <c r="D758" s="74" t="s">
        <v>8493</v>
      </c>
      <c r="E758" s="74" t="s">
        <v>28338</v>
      </c>
      <c r="F758" s="74">
        <v>58.0</v>
      </c>
      <c r="G758" s="74">
        <v>2.0</v>
      </c>
      <c r="H758" s="74">
        <v>99.0</v>
      </c>
      <c r="I758" s="74" t="s">
        <v>2277</v>
      </c>
      <c r="J758" s="74" t="s">
        <v>2277</v>
      </c>
      <c r="K758" s="74" t="s">
        <v>28318</v>
      </c>
      <c r="L758" s="74" t="s">
        <v>28319</v>
      </c>
      <c r="M758" s="74" t="s">
        <v>28320</v>
      </c>
      <c r="N758" s="74" t="s">
        <v>28341</v>
      </c>
      <c r="O758" s="74">
        <v>0.0</v>
      </c>
      <c r="P758" s="119"/>
      <c r="Q758" s="119"/>
      <c r="R758" s="74" t="s">
        <v>28342</v>
      </c>
      <c r="S758" s="74">
        <v>4.0</v>
      </c>
      <c r="T758" s="74" t="s">
        <v>22634</v>
      </c>
      <c r="U758" s="120">
        <v>7645.0</v>
      </c>
      <c r="V758" s="74" t="s">
        <v>28344</v>
      </c>
      <c r="W758" s="74" t="s">
        <v>28345</v>
      </c>
      <c r="X758" s="120">
        <v>763.0</v>
      </c>
    </row>
    <row r="759">
      <c r="A759" s="74" t="s">
        <v>28346</v>
      </c>
      <c r="B759" s="74" t="s">
        <v>6876</v>
      </c>
      <c r="C759" s="74" t="s">
        <v>6877</v>
      </c>
      <c r="D759" s="74" t="s">
        <v>8493</v>
      </c>
      <c r="E759" s="74" t="s">
        <v>28347</v>
      </c>
      <c r="F759" s="74">
        <v>33.0</v>
      </c>
      <c r="G759" s="74">
        <v>1.0</v>
      </c>
      <c r="H759" s="74">
        <v>98.0</v>
      </c>
      <c r="I759" s="74" t="s">
        <v>2334</v>
      </c>
      <c r="J759" s="74" t="s">
        <v>2334</v>
      </c>
      <c r="K759" s="74" t="s">
        <v>28318</v>
      </c>
      <c r="L759" s="74" t="s">
        <v>28319</v>
      </c>
      <c r="M759" s="74" t="s">
        <v>28320</v>
      </c>
      <c r="N759" s="74" t="s">
        <v>28350</v>
      </c>
      <c r="O759" s="74">
        <v>0.0</v>
      </c>
      <c r="P759" s="119"/>
      <c r="Q759" s="119"/>
      <c r="R759" s="74" t="s">
        <v>23528</v>
      </c>
      <c r="S759" s="74">
        <v>4.0</v>
      </c>
      <c r="T759" s="74" t="s">
        <v>22634</v>
      </c>
      <c r="U759" s="120">
        <v>7646.0</v>
      </c>
      <c r="V759" s="74" t="s">
        <v>28352</v>
      </c>
      <c r="W759" s="74" t="s">
        <v>28353</v>
      </c>
      <c r="X759" s="120">
        <v>764.0</v>
      </c>
    </row>
    <row r="760">
      <c r="A760" s="74" t="s">
        <v>28347</v>
      </c>
      <c r="B760" s="74" t="s">
        <v>6876</v>
      </c>
      <c r="C760" s="74" t="s">
        <v>6877</v>
      </c>
      <c r="D760" s="74" t="s">
        <v>8493</v>
      </c>
      <c r="E760" s="74" t="s">
        <v>28354</v>
      </c>
      <c r="F760" s="74">
        <v>55.0</v>
      </c>
      <c r="G760" s="74">
        <v>1.0</v>
      </c>
      <c r="H760" s="74">
        <v>12.0</v>
      </c>
      <c r="I760" s="74" t="s">
        <v>2347</v>
      </c>
      <c r="J760" s="74" t="s">
        <v>2347</v>
      </c>
      <c r="K760" s="74" t="s">
        <v>28357</v>
      </c>
      <c r="L760" s="74" t="s">
        <v>28358</v>
      </c>
      <c r="M760" s="74" t="s">
        <v>28359</v>
      </c>
      <c r="N760" s="74" t="s">
        <v>28361</v>
      </c>
      <c r="O760" s="74">
        <v>0.0</v>
      </c>
      <c r="P760" s="119"/>
      <c r="Q760" s="119"/>
      <c r="R760" s="119"/>
      <c r="S760" s="74">
        <v>6.0</v>
      </c>
      <c r="T760" s="74" t="s">
        <v>22634</v>
      </c>
      <c r="U760" s="120">
        <v>7647.0</v>
      </c>
      <c r="V760" s="74" t="s">
        <v>28362</v>
      </c>
      <c r="W760" s="74" t="s">
        <v>28363</v>
      </c>
      <c r="X760" s="120">
        <v>765.0</v>
      </c>
    </row>
    <row r="761">
      <c r="A761" s="74" t="s">
        <v>28354</v>
      </c>
      <c r="B761" s="74" t="s">
        <v>6876</v>
      </c>
      <c r="C761" s="74" t="s">
        <v>6877</v>
      </c>
      <c r="D761" s="74" t="s">
        <v>8493</v>
      </c>
      <c r="E761" s="74" t="s">
        <v>28364</v>
      </c>
      <c r="F761" s="74">
        <v>55.0</v>
      </c>
      <c r="G761" s="74">
        <v>1.0</v>
      </c>
      <c r="H761" s="74">
        <v>99.0</v>
      </c>
      <c r="I761" s="74" t="s">
        <v>2367</v>
      </c>
      <c r="J761" s="74" t="s">
        <v>2367</v>
      </c>
      <c r="K761" s="74" t="s">
        <v>28367</v>
      </c>
      <c r="L761" s="74" t="s">
        <v>28368</v>
      </c>
      <c r="M761" s="74" t="s">
        <v>28369</v>
      </c>
      <c r="N761" s="74" t="s">
        <v>28370</v>
      </c>
      <c r="O761" s="74">
        <v>0.0</v>
      </c>
      <c r="P761" s="119"/>
      <c r="Q761" s="119"/>
      <c r="R761" s="74" t="s">
        <v>28372</v>
      </c>
      <c r="S761" s="74">
        <v>6.0</v>
      </c>
      <c r="T761" s="74" t="s">
        <v>22634</v>
      </c>
      <c r="U761" s="120">
        <v>7648.0</v>
      </c>
      <c r="V761" s="74" t="s">
        <v>28373</v>
      </c>
      <c r="W761" s="74" t="s">
        <v>28374</v>
      </c>
      <c r="X761" s="120">
        <v>766.0</v>
      </c>
    </row>
    <row r="762">
      <c r="A762" s="74" t="s">
        <v>28364</v>
      </c>
      <c r="B762" s="74" t="s">
        <v>6876</v>
      </c>
      <c r="C762" s="74" t="s">
        <v>6877</v>
      </c>
      <c r="D762" s="74" t="s">
        <v>8493</v>
      </c>
      <c r="E762" s="74" t="s">
        <v>28375</v>
      </c>
      <c r="F762" s="74">
        <v>57.0</v>
      </c>
      <c r="G762" s="74">
        <v>1.0</v>
      </c>
      <c r="H762" s="74">
        <v>12.0</v>
      </c>
      <c r="I762" s="74" t="s">
        <v>2379</v>
      </c>
      <c r="J762" s="74" t="s">
        <v>2379</v>
      </c>
      <c r="K762" s="74" t="s">
        <v>28357</v>
      </c>
      <c r="L762" s="74" t="s">
        <v>28358</v>
      </c>
      <c r="M762" s="74" t="s">
        <v>28359</v>
      </c>
      <c r="N762" s="74" t="s">
        <v>28378</v>
      </c>
      <c r="O762" s="74">
        <v>0.0</v>
      </c>
      <c r="P762" s="119"/>
      <c r="Q762" s="119"/>
      <c r="R762" s="119"/>
      <c r="S762" s="74">
        <v>6.0</v>
      </c>
      <c r="T762" s="74" t="s">
        <v>22634</v>
      </c>
      <c r="U762" s="120">
        <v>7649.0</v>
      </c>
      <c r="V762" s="74" t="s">
        <v>28380</v>
      </c>
      <c r="W762" s="74" t="s">
        <v>28381</v>
      </c>
      <c r="X762" s="120">
        <v>767.0</v>
      </c>
    </row>
    <row r="763">
      <c r="A763" s="74" t="s">
        <v>28375</v>
      </c>
      <c r="B763" s="74" t="s">
        <v>6876</v>
      </c>
      <c r="C763" s="74" t="s">
        <v>6877</v>
      </c>
      <c r="D763" s="74" t="s">
        <v>8493</v>
      </c>
      <c r="E763" s="74" t="s">
        <v>28382</v>
      </c>
      <c r="F763" s="74">
        <v>57.0</v>
      </c>
      <c r="G763" s="74">
        <v>1.0</v>
      </c>
      <c r="H763" s="74">
        <v>99.0</v>
      </c>
      <c r="I763" s="74" t="s">
        <v>2399</v>
      </c>
      <c r="J763" s="74" t="s">
        <v>2399</v>
      </c>
      <c r="K763" s="74" t="s">
        <v>28367</v>
      </c>
      <c r="L763" s="74" t="s">
        <v>28368</v>
      </c>
      <c r="M763" s="74" t="s">
        <v>28369</v>
      </c>
      <c r="N763" s="74" t="s">
        <v>15979</v>
      </c>
      <c r="O763" s="74">
        <v>0.0</v>
      </c>
      <c r="P763" s="119"/>
      <c r="Q763" s="119"/>
      <c r="R763" s="74" t="s">
        <v>28383</v>
      </c>
      <c r="S763" s="74">
        <v>6.0</v>
      </c>
      <c r="T763" s="74" t="s">
        <v>22634</v>
      </c>
      <c r="U763" s="120">
        <v>7650.0</v>
      </c>
      <c r="V763" s="74" t="s">
        <v>28386</v>
      </c>
      <c r="W763" s="74" t="s">
        <v>28387</v>
      </c>
      <c r="X763" s="120">
        <v>768.0</v>
      </c>
    </row>
    <row r="764">
      <c r="A764" s="74" t="s">
        <v>28382</v>
      </c>
      <c r="B764" s="74" t="s">
        <v>6876</v>
      </c>
      <c r="C764" s="74" t="s">
        <v>6877</v>
      </c>
      <c r="D764" s="74" t="s">
        <v>8493</v>
      </c>
      <c r="E764" s="74" t="s">
        <v>28388</v>
      </c>
      <c r="F764" s="74">
        <v>57.0</v>
      </c>
      <c r="G764" s="74">
        <v>1.0</v>
      </c>
      <c r="H764" s="74">
        <v>12.0</v>
      </c>
      <c r="I764" s="74" t="s">
        <v>2408</v>
      </c>
      <c r="J764" s="74" t="s">
        <v>2408</v>
      </c>
      <c r="K764" s="74" t="s">
        <v>28357</v>
      </c>
      <c r="L764" s="74" t="s">
        <v>28358</v>
      </c>
      <c r="M764" s="74" t="s">
        <v>28359</v>
      </c>
      <c r="N764" s="74" t="s">
        <v>28390</v>
      </c>
      <c r="O764" s="74">
        <v>0.0</v>
      </c>
      <c r="P764" s="119"/>
      <c r="Q764" s="119"/>
      <c r="R764" s="119"/>
      <c r="S764" s="74">
        <v>6.0</v>
      </c>
      <c r="T764" s="74" t="s">
        <v>22634</v>
      </c>
      <c r="U764" s="120">
        <v>7651.0</v>
      </c>
      <c r="V764" s="74" t="s">
        <v>28392</v>
      </c>
      <c r="W764" s="74" t="s">
        <v>28393</v>
      </c>
      <c r="X764" s="120">
        <v>769.0</v>
      </c>
    </row>
    <row r="765">
      <c r="A765" s="74" t="s">
        <v>28388</v>
      </c>
      <c r="B765" s="74" t="s">
        <v>6876</v>
      </c>
      <c r="C765" s="74" t="s">
        <v>6877</v>
      </c>
      <c r="D765" s="74" t="s">
        <v>8493</v>
      </c>
      <c r="E765" s="74" t="s">
        <v>28395</v>
      </c>
      <c r="F765" s="74">
        <v>57.0</v>
      </c>
      <c r="G765" s="74">
        <v>1.0</v>
      </c>
      <c r="H765" s="74">
        <v>99.0</v>
      </c>
      <c r="I765" s="74" t="s">
        <v>343</v>
      </c>
      <c r="J765" s="74" t="s">
        <v>343</v>
      </c>
      <c r="K765" s="74" t="s">
        <v>28367</v>
      </c>
      <c r="L765" s="74" t="s">
        <v>28368</v>
      </c>
      <c r="M765" s="74" t="s">
        <v>28369</v>
      </c>
      <c r="N765" s="74" t="s">
        <v>28397</v>
      </c>
      <c r="O765" s="74">
        <v>1.0</v>
      </c>
      <c r="P765" s="146">
        <v>43889.0</v>
      </c>
      <c r="Q765" s="119"/>
      <c r="R765" s="74" t="s">
        <v>28399</v>
      </c>
      <c r="S765" s="74">
        <v>6.0</v>
      </c>
      <c r="T765" s="74" t="s">
        <v>22634</v>
      </c>
      <c r="U765" s="120">
        <v>7652.0</v>
      </c>
      <c r="V765" s="74" t="s">
        <v>28400</v>
      </c>
      <c r="W765" s="74" t="s">
        <v>28401</v>
      </c>
      <c r="X765" s="120">
        <v>770.0</v>
      </c>
    </row>
    <row r="766">
      <c r="A766" s="74" t="s">
        <v>28395</v>
      </c>
      <c r="B766" s="74" t="s">
        <v>6876</v>
      </c>
      <c r="C766" s="74" t="s">
        <v>6877</v>
      </c>
      <c r="D766" s="74" t="s">
        <v>8493</v>
      </c>
      <c r="E766" s="74" t="s">
        <v>28402</v>
      </c>
      <c r="F766" s="74">
        <v>33.0</v>
      </c>
      <c r="G766" s="74">
        <v>1.0</v>
      </c>
      <c r="H766" s="74">
        <v>98.0</v>
      </c>
      <c r="I766" s="74" t="s">
        <v>2448</v>
      </c>
      <c r="J766" s="74" t="s">
        <v>2448</v>
      </c>
      <c r="K766" s="74" t="s">
        <v>15937</v>
      </c>
      <c r="L766" s="74" t="s">
        <v>28367</v>
      </c>
      <c r="M766" s="74" t="s">
        <v>28403</v>
      </c>
      <c r="N766" s="74" t="s">
        <v>15979</v>
      </c>
      <c r="O766" s="74">
        <v>0.0</v>
      </c>
      <c r="P766" s="119"/>
      <c r="Q766" s="119"/>
      <c r="R766" s="74" t="s">
        <v>23528</v>
      </c>
      <c r="S766" s="74">
        <v>6.0</v>
      </c>
      <c r="T766" s="74" t="s">
        <v>22634</v>
      </c>
      <c r="U766" s="120">
        <v>7653.0</v>
      </c>
      <c r="V766" s="74" t="s">
        <v>28406</v>
      </c>
      <c r="W766" s="74" t="s">
        <v>28407</v>
      </c>
      <c r="X766" s="120">
        <v>771.0</v>
      </c>
    </row>
    <row r="767">
      <c r="A767" s="74" t="s">
        <v>28408</v>
      </c>
      <c r="B767" s="74" t="s">
        <v>6876</v>
      </c>
      <c r="C767" s="74" t="s">
        <v>6877</v>
      </c>
      <c r="D767" s="74" t="s">
        <v>8493</v>
      </c>
      <c r="E767" s="74" t="s">
        <v>28410</v>
      </c>
      <c r="F767" s="74">
        <v>59.0</v>
      </c>
      <c r="G767" s="74">
        <v>1.0</v>
      </c>
      <c r="H767" s="74">
        <v>11.0</v>
      </c>
      <c r="I767" s="74" t="s">
        <v>2471</v>
      </c>
      <c r="J767" s="74" t="s">
        <v>2471</v>
      </c>
      <c r="K767" s="74" t="s">
        <v>28411</v>
      </c>
      <c r="L767" s="74" t="s">
        <v>28412</v>
      </c>
      <c r="M767" s="74" t="s">
        <v>28413</v>
      </c>
      <c r="N767" s="74" t="s">
        <v>28414</v>
      </c>
      <c r="O767" s="74">
        <v>0.0</v>
      </c>
      <c r="P767" s="119"/>
      <c r="Q767" s="119"/>
      <c r="R767" s="119"/>
      <c r="S767" s="74">
        <v>6.0</v>
      </c>
      <c r="T767" s="74" t="s">
        <v>22634</v>
      </c>
      <c r="U767" s="120">
        <v>7663.0</v>
      </c>
      <c r="V767" s="74" t="s">
        <v>28415</v>
      </c>
      <c r="W767" s="74" t="s">
        <v>28416</v>
      </c>
      <c r="X767" s="120">
        <v>772.0</v>
      </c>
    </row>
    <row r="768">
      <c r="A768" s="74" t="s">
        <v>28410</v>
      </c>
      <c r="B768" s="74" t="s">
        <v>6876</v>
      </c>
      <c r="C768" s="74" t="s">
        <v>6877</v>
      </c>
      <c r="D768" s="74" t="s">
        <v>8493</v>
      </c>
      <c r="E768" s="74" t="s">
        <v>28419</v>
      </c>
      <c r="F768" s="74">
        <v>59.0</v>
      </c>
      <c r="G768" s="74">
        <v>1.0</v>
      </c>
      <c r="H768" s="74">
        <v>99.0</v>
      </c>
      <c r="I768" s="74" t="s">
        <v>2501</v>
      </c>
      <c r="J768" s="74" t="s">
        <v>2501</v>
      </c>
      <c r="K768" s="74" t="s">
        <v>28420</v>
      </c>
      <c r="L768" s="74" t="s">
        <v>28421</v>
      </c>
      <c r="M768" s="74" t="s">
        <v>28413</v>
      </c>
      <c r="N768" s="74" t="s">
        <v>28422</v>
      </c>
      <c r="O768" s="74">
        <v>1.0</v>
      </c>
      <c r="P768" s="146">
        <v>43864.0</v>
      </c>
      <c r="Q768" s="119"/>
      <c r="R768" s="74" t="s">
        <v>28424</v>
      </c>
      <c r="S768" s="74">
        <v>6.0</v>
      </c>
      <c r="T768" s="74" t="s">
        <v>22634</v>
      </c>
      <c r="U768" s="120">
        <v>7664.0</v>
      </c>
      <c r="V768" s="74" t="s">
        <v>28425</v>
      </c>
      <c r="W768" s="74" t="s">
        <v>28426</v>
      </c>
      <c r="X768" s="120">
        <v>773.0</v>
      </c>
    </row>
    <row r="769">
      <c r="A769" s="74" t="s">
        <v>28419</v>
      </c>
      <c r="B769" s="74" t="s">
        <v>6876</v>
      </c>
      <c r="C769" s="74" t="s">
        <v>6877</v>
      </c>
      <c r="D769" s="74" t="s">
        <v>8493</v>
      </c>
      <c r="E769" s="74" t="s">
        <v>28427</v>
      </c>
      <c r="F769" s="74">
        <v>59.0</v>
      </c>
      <c r="G769" s="74">
        <v>1.0</v>
      </c>
      <c r="H769" s="74">
        <v>11.0</v>
      </c>
      <c r="I769" s="74" t="s">
        <v>2515</v>
      </c>
      <c r="J769" s="74" t="s">
        <v>2515</v>
      </c>
      <c r="K769" s="74" t="s">
        <v>28411</v>
      </c>
      <c r="L769" s="74" t="s">
        <v>28412</v>
      </c>
      <c r="M769" s="74" t="s">
        <v>28413</v>
      </c>
      <c r="N769" s="74" t="s">
        <v>28428</v>
      </c>
      <c r="O769" s="74">
        <v>0.0</v>
      </c>
      <c r="P769" s="119"/>
      <c r="Q769" s="119"/>
      <c r="R769" s="119"/>
      <c r="S769" s="74">
        <v>6.0</v>
      </c>
      <c r="T769" s="74" t="s">
        <v>22634</v>
      </c>
      <c r="U769" s="120">
        <v>7665.0</v>
      </c>
      <c r="V769" s="74" t="s">
        <v>28431</v>
      </c>
      <c r="W769" s="74" t="s">
        <v>28432</v>
      </c>
      <c r="X769" s="120">
        <v>774.0</v>
      </c>
    </row>
    <row r="770">
      <c r="A770" s="74" t="s">
        <v>28427</v>
      </c>
      <c r="B770" s="74" t="s">
        <v>6876</v>
      </c>
      <c r="C770" s="74" t="s">
        <v>6877</v>
      </c>
      <c r="D770" s="74" t="s">
        <v>8493</v>
      </c>
      <c r="E770" s="74" t="s">
        <v>28434</v>
      </c>
      <c r="F770" s="74">
        <v>59.0</v>
      </c>
      <c r="G770" s="74">
        <v>1.0</v>
      </c>
      <c r="H770" s="74">
        <v>11.0</v>
      </c>
      <c r="I770" s="74" t="s">
        <v>2542</v>
      </c>
      <c r="J770" s="74" t="s">
        <v>2542</v>
      </c>
      <c r="K770" s="74" t="s">
        <v>28420</v>
      </c>
      <c r="L770" s="74" t="s">
        <v>28421</v>
      </c>
      <c r="M770" s="74" t="s">
        <v>28413</v>
      </c>
      <c r="N770" s="74" t="s">
        <v>28435</v>
      </c>
      <c r="O770" s="74">
        <v>0.0</v>
      </c>
      <c r="P770" s="119"/>
      <c r="Q770" s="119"/>
      <c r="R770" s="74" t="s">
        <v>28436</v>
      </c>
      <c r="S770" s="74">
        <v>6.0</v>
      </c>
      <c r="T770" s="74" t="s">
        <v>22634</v>
      </c>
      <c r="U770" s="120">
        <v>7666.0</v>
      </c>
      <c r="V770" s="74" t="s">
        <v>28437</v>
      </c>
      <c r="W770" s="74" t="s">
        <v>28438</v>
      </c>
      <c r="X770" s="120">
        <v>775.0</v>
      </c>
    </row>
    <row r="771">
      <c r="A771" s="74" t="s">
        <v>28434</v>
      </c>
      <c r="B771" s="74" t="s">
        <v>6876</v>
      </c>
      <c r="C771" s="74" t="s">
        <v>6877</v>
      </c>
      <c r="D771" s="74" t="s">
        <v>8493</v>
      </c>
      <c r="E771" s="74" t="s">
        <v>28439</v>
      </c>
      <c r="F771" s="74">
        <v>59.0</v>
      </c>
      <c r="G771" s="74">
        <v>1.0</v>
      </c>
      <c r="H771" s="74">
        <v>11.0</v>
      </c>
      <c r="I771" s="74" t="s">
        <v>2549</v>
      </c>
      <c r="J771" s="74" t="s">
        <v>2549</v>
      </c>
      <c r="K771" s="74" t="s">
        <v>28411</v>
      </c>
      <c r="L771" s="74" t="s">
        <v>28412</v>
      </c>
      <c r="M771" s="74" t="s">
        <v>28413</v>
      </c>
      <c r="N771" s="74" t="s">
        <v>28441</v>
      </c>
      <c r="O771" s="74">
        <v>0.0</v>
      </c>
      <c r="P771" s="119"/>
      <c r="Q771" s="119"/>
      <c r="R771" s="119"/>
      <c r="S771" s="74">
        <v>4.0</v>
      </c>
      <c r="T771" s="74" t="s">
        <v>22634</v>
      </c>
      <c r="U771" s="120">
        <v>7667.0</v>
      </c>
      <c r="V771" s="74" t="s">
        <v>28444</v>
      </c>
      <c r="W771" s="74" t="s">
        <v>28445</v>
      </c>
      <c r="X771" s="120">
        <v>776.0</v>
      </c>
    </row>
    <row r="772">
      <c r="A772" s="74" t="s">
        <v>28439</v>
      </c>
      <c r="B772" s="74" t="s">
        <v>6876</v>
      </c>
      <c r="C772" s="74" t="s">
        <v>6877</v>
      </c>
      <c r="D772" s="74" t="s">
        <v>8493</v>
      </c>
      <c r="E772" s="74" t="s">
        <v>28447</v>
      </c>
      <c r="F772" s="74">
        <v>59.0</v>
      </c>
      <c r="G772" s="74">
        <v>1.0</v>
      </c>
      <c r="H772" s="74">
        <v>99.0</v>
      </c>
      <c r="I772" s="74" t="s">
        <v>2567</v>
      </c>
      <c r="J772" s="74" t="s">
        <v>2567</v>
      </c>
      <c r="K772" s="74" t="s">
        <v>28420</v>
      </c>
      <c r="L772" s="74" t="s">
        <v>28421</v>
      </c>
      <c r="M772" s="74" t="s">
        <v>28413</v>
      </c>
      <c r="N772" s="74" t="s">
        <v>28448</v>
      </c>
      <c r="O772" s="74">
        <v>0.0</v>
      </c>
      <c r="P772" s="119"/>
      <c r="Q772" s="119"/>
      <c r="R772" s="74" t="s">
        <v>28449</v>
      </c>
      <c r="S772" s="74">
        <v>4.0</v>
      </c>
      <c r="T772" s="74" t="s">
        <v>22634</v>
      </c>
      <c r="U772" s="120">
        <v>7668.0</v>
      </c>
      <c r="V772" s="74" t="s">
        <v>28450</v>
      </c>
      <c r="W772" s="74" t="s">
        <v>28451</v>
      </c>
      <c r="X772" s="120">
        <v>777.0</v>
      </c>
    </row>
    <row r="773">
      <c r="A773" s="74" t="s">
        <v>28447</v>
      </c>
      <c r="B773" s="74" t="s">
        <v>6876</v>
      </c>
      <c r="C773" s="74" t="s">
        <v>6877</v>
      </c>
      <c r="D773" s="74" t="s">
        <v>8493</v>
      </c>
      <c r="E773" s="74" t="s">
        <v>28452</v>
      </c>
      <c r="F773" s="74">
        <v>33.0</v>
      </c>
      <c r="G773" s="74">
        <v>1.0</v>
      </c>
      <c r="H773" s="74">
        <v>98.0</v>
      </c>
      <c r="I773" s="74" t="s">
        <v>2582</v>
      </c>
      <c r="J773" s="74" t="s">
        <v>2582</v>
      </c>
      <c r="K773" s="74" t="s">
        <v>28420</v>
      </c>
      <c r="L773" s="74" t="s">
        <v>28421</v>
      </c>
      <c r="M773" s="74" t="s">
        <v>28413</v>
      </c>
      <c r="N773" s="74" t="s">
        <v>28455</v>
      </c>
      <c r="O773" s="74">
        <v>0.0</v>
      </c>
      <c r="P773" s="119"/>
      <c r="Q773" s="119"/>
      <c r="R773" s="74" t="s">
        <v>23528</v>
      </c>
      <c r="S773" s="74">
        <v>6.0</v>
      </c>
      <c r="T773" s="74" t="s">
        <v>22634</v>
      </c>
      <c r="U773" s="120">
        <v>7669.0</v>
      </c>
      <c r="V773" s="74" t="s">
        <v>28457</v>
      </c>
      <c r="W773" s="74" t="s">
        <v>28458</v>
      </c>
      <c r="X773" s="120">
        <v>778.0</v>
      </c>
    </row>
    <row r="774">
      <c r="A774" s="74" t="s">
        <v>28459</v>
      </c>
      <c r="B774" s="74" t="s">
        <v>6876</v>
      </c>
      <c r="C774" s="74" t="s">
        <v>6877</v>
      </c>
      <c r="D774" s="74" t="s">
        <v>8493</v>
      </c>
      <c r="E774" s="74" t="s">
        <v>28460</v>
      </c>
      <c r="F774" s="74">
        <v>57.0</v>
      </c>
      <c r="G774" s="74">
        <v>1.0</v>
      </c>
      <c r="H774" s="74">
        <v>12.0</v>
      </c>
      <c r="I774" s="74" t="s">
        <v>2653</v>
      </c>
      <c r="J774" s="74" t="s">
        <v>2653</v>
      </c>
      <c r="K774" s="74" t="s">
        <v>28461</v>
      </c>
      <c r="L774" s="74" t="s">
        <v>28462</v>
      </c>
      <c r="M774" s="74" t="s">
        <v>21301</v>
      </c>
      <c r="N774" s="74" t="s">
        <v>28463</v>
      </c>
      <c r="O774" s="74">
        <v>0.0</v>
      </c>
      <c r="P774" s="119"/>
      <c r="Q774" s="119"/>
      <c r="R774" s="74" t="s">
        <v>28466</v>
      </c>
      <c r="S774" s="74">
        <v>6.0</v>
      </c>
      <c r="T774" s="74" t="s">
        <v>22634</v>
      </c>
      <c r="U774" s="120">
        <v>7709.0</v>
      </c>
      <c r="V774" s="74" t="s">
        <v>28467</v>
      </c>
      <c r="W774" s="74" t="s">
        <v>28468</v>
      </c>
      <c r="X774" s="120">
        <v>779.0</v>
      </c>
    </row>
    <row r="775">
      <c r="A775" s="74" t="s">
        <v>28460</v>
      </c>
      <c r="B775" s="74" t="s">
        <v>6876</v>
      </c>
      <c r="C775" s="74" t="s">
        <v>6877</v>
      </c>
      <c r="D775" s="74" t="s">
        <v>8493</v>
      </c>
      <c r="E775" s="74" t="s">
        <v>28470</v>
      </c>
      <c r="F775" s="74">
        <v>57.0</v>
      </c>
      <c r="G775" s="74">
        <v>1.0</v>
      </c>
      <c r="H775" s="74">
        <v>99.0</v>
      </c>
      <c r="I775" s="74" t="s">
        <v>2542</v>
      </c>
      <c r="J775" s="74" t="s">
        <v>2542</v>
      </c>
      <c r="K775" s="74" t="s">
        <v>28471</v>
      </c>
      <c r="L775" s="74" t="s">
        <v>28472</v>
      </c>
      <c r="M775" s="74" t="s">
        <v>21301</v>
      </c>
      <c r="N775" s="74" t="s">
        <v>28473</v>
      </c>
      <c r="O775" s="74">
        <v>0.0</v>
      </c>
      <c r="P775" s="119"/>
      <c r="Q775" s="119"/>
      <c r="R775" s="74" t="s">
        <v>28466</v>
      </c>
      <c r="S775" s="74">
        <v>4.0</v>
      </c>
      <c r="T775" s="74" t="s">
        <v>22634</v>
      </c>
      <c r="U775" s="120">
        <v>7710.0</v>
      </c>
      <c r="V775" s="74" t="s">
        <v>28476</v>
      </c>
      <c r="W775" s="74" t="s">
        <v>28477</v>
      </c>
      <c r="X775" s="120">
        <v>780.0</v>
      </c>
    </row>
    <row r="776">
      <c r="A776" s="74" t="s">
        <v>28470</v>
      </c>
      <c r="B776" s="74" t="s">
        <v>6876</v>
      </c>
      <c r="C776" s="74" t="s">
        <v>6877</v>
      </c>
      <c r="D776" s="74" t="s">
        <v>8493</v>
      </c>
      <c r="E776" s="74" t="s">
        <v>28478</v>
      </c>
      <c r="F776" s="74">
        <v>57.0</v>
      </c>
      <c r="G776" s="74">
        <v>1.0</v>
      </c>
      <c r="H776" s="74">
        <v>12.0</v>
      </c>
      <c r="I776" s="74" t="s">
        <v>2681</v>
      </c>
      <c r="J776" s="74" t="s">
        <v>2681</v>
      </c>
      <c r="K776" s="74" t="s">
        <v>28461</v>
      </c>
      <c r="L776" s="74" t="s">
        <v>28462</v>
      </c>
      <c r="M776" s="74" t="s">
        <v>21301</v>
      </c>
      <c r="N776" s="74" t="s">
        <v>21301</v>
      </c>
      <c r="O776" s="74">
        <v>0.0</v>
      </c>
      <c r="P776" s="119"/>
      <c r="Q776" s="119"/>
      <c r="R776" s="74" t="s">
        <v>28480</v>
      </c>
      <c r="S776" s="74">
        <v>4.0</v>
      </c>
      <c r="T776" s="74" t="s">
        <v>22634</v>
      </c>
      <c r="U776" s="120">
        <v>7711.0</v>
      </c>
      <c r="V776" s="74" t="s">
        <v>28481</v>
      </c>
      <c r="W776" s="74" t="s">
        <v>28483</v>
      </c>
      <c r="X776" s="120">
        <v>781.0</v>
      </c>
    </row>
    <row r="777">
      <c r="A777" s="74" t="s">
        <v>28478</v>
      </c>
      <c r="B777" s="74" t="s">
        <v>6876</v>
      </c>
      <c r="C777" s="74" t="s">
        <v>6877</v>
      </c>
      <c r="D777" s="74" t="s">
        <v>8493</v>
      </c>
      <c r="E777" s="74" t="s">
        <v>28485</v>
      </c>
      <c r="F777" s="74">
        <v>57.0</v>
      </c>
      <c r="G777" s="74">
        <v>1.0</v>
      </c>
      <c r="H777" s="74">
        <v>99.0</v>
      </c>
      <c r="I777" s="74" t="s">
        <v>2701</v>
      </c>
      <c r="J777" s="74" t="s">
        <v>2701</v>
      </c>
      <c r="K777" s="74" t="s">
        <v>28471</v>
      </c>
      <c r="L777" s="74" t="s">
        <v>28472</v>
      </c>
      <c r="M777" s="74" t="s">
        <v>21301</v>
      </c>
      <c r="N777" s="74" t="s">
        <v>28487</v>
      </c>
      <c r="O777" s="74">
        <v>0.0</v>
      </c>
      <c r="P777" s="119"/>
      <c r="Q777" s="119"/>
      <c r="R777" s="74" t="s">
        <v>28488</v>
      </c>
      <c r="S777" s="74">
        <v>4.0</v>
      </c>
      <c r="T777" s="74" t="s">
        <v>22634</v>
      </c>
      <c r="U777" s="120">
        <v>7712.0</v>
      </c>
      <c r="V777" s="74" t="s">
        <v>28489</v>
      </c>
      <c r="W777" s="74" t="s">
        <v>28490</v>
      </c>
      <c r="X777" s="120">
        <v>782.0</v>
      </c>
    </row>
    <row r="778">
      <c r="A778" s="74" t="s">
        <v>28491</v>
      </c>
      <c r="B778" s="74" t="s">
        <v>6876</v>
      </c>
      <c r="C778" s="74" t="s">
        <v>6877</v>
      </c>
      <c r="D778" s="74" t="s">
        <v>8493</v>
      </c>
      <c r="E778" s="74" t="s">
        <v>28492</v>
      </c>
      <c r="F778" s="74">
        <v>55.0</v>
      </c>
      <c r="G778" s="74">
        <v>1.0</v>
      </c>
      <c r="H778" s="74">
        <v>12.0</v>
      </c>
      <c r="I778" s="74" t="s">
        <v>2708</v>
      </c>
      <c r="J778" s="74" t="s">
        <v>2708</v>
      </c>
      <c r="K778" s="74" t="s">
        <v>28461</v>
      </c>
      <c r="L778" s="74" t="s">
        <v>28462</v>
      </c>
      <c r="M778" s="74" t="s">
        <v>21301</v>
      </c>
      <c r="N778" s="74" t="s">
        <v>28495</v>
      </c>
      <c r="O778" s="74">
        <v>0.0</v>
      </c>
      <c r="P778" s="119"/>
      <c r="Q778" s="119"/>
      <c r="R778" s="74" t="s">
        <v>28466</v>
      </c>
      <c r="S778" s="74">
        <v>4.0</v>
      </c>
      <c r="T778" s="74" t="s">
        <v>22634</v>
      </c>
      <c r="U778" s="120">
        <v>7713.0</v>
      </c>
      <c r="V778" s="74" t="s">
        <v>28496</v>
      </c>
      <c r="W778" s="74" t="s">
        <v>28497</v>
      </c>
      <c r="X778" s="120">
        <v>783.0</v>
      </c>
    </row>
    <row r="779">
      <c r="A779" s="74" t="s">
        <v>28499</v>
      </c>
      <c r="B779" s="74" t="s">
        <v>6876</v>
      </c>
      <c r="C779" s="74" t="s">
        <v>6877</v>
      </c>
      <c r="D779" s="74" t="s">
        <v>8493</v>
      </c>
      <c r="E779" s="74" t="s">
        <v>28500</v>
      </c>
      <c r="F779" s="74">
        <v>57.0</v>
      </c>
      <c r="G779" s="74">
        <v>1.0</v>
      </c>
      <c r="H779" s="74">
        <v>99.0</v>
      </c>
      <c r="I779" s="74" t="s">
        <v>2674</v>
      </c>
      <c r="J779" s="74" t="s">
        <v>2674</v>
      </c>
      <c r="K779" s="74" t="s">
        <v>28471</v>
      </c>
      <c r="L779" s="74" t="s">
        <v>28472</v>
      </c>
      <c r="M779" s="74" t="s">
        <v>21301</v>
      </c>
      <c r="N779" s="74" t="s">
        <v>28473</v>
      </c>
      <c r="O779" s="74">
        <v>0.0</v>
      </c>
      <c r="P779" s="119"/>
      <c r="Q779" s="119"/>
      <c r="R779" s="74" t="s">
        <v>28501</v>
      </c>
      <c r="S779" s="74">
        <v>4.0</v>
      </c>
      <c r="T779" s="74" t="s">
        <v>22634</v>
      </c>
      <c r="U779" s="120">
        <v>7714.0</v>
      </c>
      <c r="V779" s="74" t="s">
        <v>28502</v>
      </c>
      <c r="W779" s="74" t="s">
        <v>28503</v>
      </c>
      <c r="X779" s="120">
        <v>784.0</v>
      </c>
    </row>
    <row r="780">
      <c r="A780" s="74" t="s">
        <v>28500</v>
      </c>
      <c r="B780" s="74" t="s">
        <v>6876</v>
      </c>
      <c r="C780" s="74" t="s">
        <v>6877</v>
      </c>
      <c r="D780" s="74" t="s">
        <v>8493</v>
      </c>
      <c r="E780" s="74" t="s">
        <v>28506</v>
      </c>
      <c r="F780" s="74">
        <v>55.0</v>
      </c>
      <c r="G780" s="74">
        <v>1.0</v>
      </c>
      <c r="H780" s="74">
        <v>99.0</v>
      </c>
      <c r="I780" s="74" t="s">
        <v>2724</v>
      </c>
      <c r="J780" s="74" t="s">
        <v>2724</v>
      </c>
      <c r="K780" s="74" t="s">
        <v>28471</v>
      </c>
      <c r="L780" s="74" t="s">
        <v>28472</v>
      </c>
      <c r="M780" s="74" t="s">
        <v>21301</v>
      </c>
      <c r="N780" s="74" t="s">
        <v>28508</v>
      </c>
      <c r="O780" s="74">
        <v>1.0</v>
      </c>
      <c r="P780" s="146">
        <v>43864.0</v>
      </c>
      <c r="Q780" s="119"/>
      <c r="R780" s="74" t="s">
        <v>28509</v>
      </c>
      <c r="S780" s="74">
        <v>4.0</v>
      </c>
      <c r="T780" s="74" t="s">
        <v>22634</v>
      </c>
      <c r="U780" s="120">
        <v>7715.0</v>
      </c>
      <c r="V780" s="74" t="s">
        <v>28510</v>
      </c>
      <c r="W780" s="74" t="s">
        <v>28511</v>
      </c>
      <c r="X780" s="120">
        <v>785.0</v>
      </c>
    </row>
    <row r="781">
      <c r="A781" s="74" t="s">
        <v>28506</v>
      </c>
      <c r="B781" s="74" t="s">
        <v>6876</v>
      </c>
      <c r="C781" s="74" t="s">
        <v>6877</v>
      </c>
      <c r="D781" s="74" t="s">
        <v>8493</v>
      </c>
      <c r="E781" s="74" t="s">
        <v>28512</v>
      </c>
      <c r="F781" s="74">
        <v>58.0</v>
      </c>
      <c r="G781" s="74">
        <v>2.0</v>
      </c>
      <c r="H781" s="74">
        <v>99.0</v>
      </c>
      <c r="I781" s="74" t="s">
        <v>2645</v>
      </c>
      <c r="J781" s="74" t="s">
        <v>2645</v>
      </c>
      <c r="K781" s="74" t="s">
        <v>28471</v>
      </c>
      <c r="L781" s="74" t="s">
        <v>28472</v>
      </c>
      <c r="M781" s="74" t="s">
        <v>21301</v>
      </c>
      <c r="N781" s="74" t="s">
        <v>28508</v>
      </c>
      <c r="O781" s="74">
        <v>0.0</v>
      </c>
      <c r="P781" s="119"/>
      <c r="Q781" s="119"/>
      <c r="R781" s="74" t="s">
        <v>28515</v>
      </c>
      <c r="S781" s="74">
        <v>4.0</v>
      </c>
      <c r="T781" s="74" t="s">
        <v>22634</v>
      </c>
      <c r="U781" s="120">
        <v>7716.0</v>
      </c>
      <c r="V781" s="74" t="s">
        <v>28516</v>
      </c>
      <c r="W781" s="74" t="s">
        <v>28517</v>
      </c>
      <c r="X781" s="120">
        <v>786.0</v>
      </c>
    </row>
    <row r="782">
      <c r="A782" s="74" t="s">
        <v>28512</v>
      </c>
      <c r="B782" s="74" t="s">
        <v>6876</v>
      </c>
      <c r="C782" s="74" t="s">
        <v>6877</v>
      </c>
      <c r="D782" s="74" t="s">
        <v>8493</v>
      </c>
      <c r="E782" s="74" t="s">
        <v>28519</v>
      </c>
      <c r="F782" s="74">
        <v>59.0</v>
      </c>
      <c r="G782" s="74">
        <v>1.0</v>
      </c>
      <c r="H782" s="74">
        <v>11.0</v>
      </c>
      <c r="I782" s="74" t="s">
        <v>2590</v>
      </c>
      <c r="J782" s="74" t="s">
        <v>2590</v>
      </c>
      <c r="K782" s="74" t="s">
        <v>28520</v>
      </c>
      <c r="L782" s="74" t="s">
        <v>16103</v>
      </c>
      <c r="M782" s="74" t="s">
        <v>21301</v>
      </c>
      <c r="N782" s="74" t="s">
        <v>28521</v>
      </c>
      <c r="O782" s="74">
        <v>0.0</v>
      </c>
      <c r="P782" s="119"/>
      <c r="Q782" s="119"/>
      <c r="R782" s="74" t="s">
        <v>28466</v>
      </c>
      <c r="S782" s="74">
        <v>4.0</v>
      </c>
      <c r="T782" s="74" t="s">
        <v>22634</v>
      </c>
      <c r="U782" s="120">
        <v>7717.0</v>
      </c>
      <c r="V782" s="74" t="s">
        <v>28522</v>
      </c>
      <c r="W782" s="74" t="s">
        <v>28523</v>
      </c>
      <c r="X782" s="120">
        <v>787.0</v>
      </c>
    </row>
    <row r="783">
      <c r="A783" s="74" t="s">
        <v>28519</v>
      </c>
      <c r="B783" s="74" t="s">
        <v>6876</v>
      </c>
      <c r="C783" s="74" t="s">
        <v>6877</v>
      </c>
      <c r="D783" s="74" t="s">
        <v>8493</v>
      </c>
      <c r="E783" s="74" t="s">
        <v>28526</v>
      </c>
      <c r="F783" s="74">
        <v>59.0</v>
      </c>
      <c r="G783" s="74">
        <v>1.0</v>
      </c>
      <c r="H783" s="74">
        <v>99.0</v>
      </c>
      <c r="I783" s="74" t="s">
        <v>343</v>
      </c>
      <c r="J783" s="74" t="s">
        <v>343</v>
      </c>
      <c r="K783" s="74" t="s">
        <v>28471</v>
      </c>
      <c r="L783" s="74" t="s">
        <v>28472</v>
      </c>
      <c r="M783" s="74" t="s">
        <v>21301</v>
      </c>
      <c r="N783" s="74" t="s">
        <v>28528</v>
      </c>
      <c r="O783" s="74">
        <v>0.0</v>
      </c>
      <c r="P783" s="119"/>
      <c r="Q783" s="119"/>
      <c r="R783" s="74" t="s">
        <v>28529</v>
      </c>
      <c r="S783" s="74">
        <v>4.0</v>
      </c>
      <c r="T783" s="74" t="s">
        <v>22634</v>
      </c>
      <c r="U783" s="120">
        <v>7718.0</v>
      </c>
      <c r="V783" s="74" t="s">
        <v>28530</v>
      </c>
      <c r="W783" s="74" t="s">
        <v>28531</v>
      </c>
      <c r="X783" s="120">
        <v>788.0</v>
      </c>
    </row>
    <row r="784">
      <c r="A784" s="74" t="s">
        <v>28526</v>
      </c>
      <c r="B784" s="74" t="s">
        <v>6876</v>
      </c>
      <c r="C784" s="74" t="s">
        <v>6877</v>
      </c>
      <c r="D784" s="74" t="s">
        <v>8493</v>
      </c>
      <c r="E784" s="74" t="s">
        <v>28532</v>
      </c>
      <c r="F784" s="74">
        <v>33.0</v>
      </c>
      <c r="G784" s="74">
        <v>1.0</v>
      </c>
      <c r="H784" s="74">
        <v>98.0</v>
      </c>
      <c r="I784" s="74" t="s">
        <v>2757</v>
      </c>
      <c r="J784" s="74" t="s">
        <v>2757</v>
      </c>
      <c r="K784" s="74" t="s">
        <v>28471</v>
      </c>
      <c r="L784" s="74" t="s">
        <v>28472</v>
      </c>
      <c r="M784" s="74" t="s">
        <v>21301</v>
      </c>
      <c r="N784" s="74" t="s">
        <v>28534</v>
      </c>
      <c r="O784" s="74">
        <v>0.0</v>
      </c>
      <c r="P784" s="119"/>
      <c r="Q784" s="119"/>
      <c r="R784" s="74" t="s">
        <v>28536</v>
      </c>
      <c r="S784" s="74">
        <v>4.0</v>
      </c>
      <c r="T784" s="74" t="s">
        <v>22634</v>
      </c>
      <c r="U784" s="120">
        <v>7719.0</v>
      </c>
      <c r="V784" s="74" t="s">
        <v>28537</v>
      </c>
      <c r="W784" s="74" t="s">
        <v>28538</v>
      </c>
      <c r="X784" s="120">
        <v>789.0</v>
      </c>
    </row>
    <row r="785">
      <c r="A785" s="74" t="s">
        <v>28540</v>
      </c>
      <c r="B785" s="74" t="s">
        <v>6876</v>
      </c>
      <c r="C785" s="74" t="s">
        <v>6877</v>
      </c>
      <c r="D785" s="74" t="s">
        <v>8493</v>
      </c>
      <c r="E785" s="74" t="s">
        <v>28541</v>
      </c>
      <c r="F785" s="74">
        <v>58.0</v>
      </c>
      <c r="G785" s="74">
        <v>2.0</v>
      </c>
      <c r="H785" s="74">
        <v>99.0</v>
      </c>
      <c r="I785" s="74" t="s">
        <v>2819</v>
      </c>
      <c r="J785" s="74" t="s">
        <v>2819</v>
      </c>
      <c r="K785" s="74" t="s">
        <v>16104</v>
      </c>
      <c r="L785" s="74" t="s">
        <v>28542</v>
      </c>
      <c r="M785" s="74" t="s">
        <v>21253</v>
      </c>
      <c r="N785" s="74" t="s">
        <v>28543</v>
      </c>
      <c r="O785" s="74">
        <v>1.0</v>
      </c>
      <c r="P785" s="146">
        <v>43867.0</v>
      </c>
      <c r="Q785" s="119"/>
      <c r="R785" s="74" t="s">
        <v>28544</v>
      </c>
      <c r="S785" s="74">
        <v>4.0</v>
      </c>
      <c r="T785" s="74" t="s">
        <v>22634</v>
      </c>
      <c r="U785" s="120">
        <v>7779.0</v>
      </c>
      <c r="V785" s="74" t="s">
        <v>28547</v>
      </c>
      <c r="W785" s="74" t="s">
        <v>28548</v>
      </c>
      <c r="X785" s="120">
        <v>790.0</v>
      </c>
    </row>
    <row r="786">
      <c r="A786" s="74" t="s">
        <v>28541</v>
      </c>
      <c r="B786" s="74" t="s">
        <v>6876</v>
      </c>
      <c r="C786" s="74" t="s">
        <v>6877</v>
      </c>
      <c r="D786" s="74" t="s">
        <v>8493</v>
      </c>
      <c r="E786" s="74" t="s">
        <v>28549</v>
      </c>
      <c r="F786" s="74">
        <v>58.0</v>
      </c>
      <c r="G786" s="74">
        <v>2.0</v>
      </c>
      <c r="H786" s="74">
        <v>99.0</v>
      </c>
      <c r="I786" s="74" t="s">
        <v>341</v>
      </c>
      <c r="J786" s="74" t="s">
        <v>341</v>
      </c>
      <c r="K786" s="74" t="s">
        <v>16104</v>
      </c>
      <c r="L786" s="74" t="s">
        <v>28542</v>
      </c>
      <c r="M786" s="74" t="s">
        <v>21253</v>
      </c>
      <c r="N786" s="74" t="s">
        <v>28551</v>
      </c>
      <c r="O786" s="74">
        <v>0.0</v>
      </c>
      <c r="P786" s="119"/>
      <c r="Q786" s="119"/>
      <c r="R786" s="74" t="s">
        <v>28552</v>
      </c>
      <c r="S786" s="74">
        <v>4.0</v>
      </c>
      <c r="T786" s="74" t="s">
        <v>22634</v>
      </c>
      <c r="U786" s="120">
        <v>7780.0</v>
      </c>
      <c r="V786" s="74" t="s">
        <v>28553</v>
      </c>
      <c r="W786" s="74" t="s">
        <v>28554</v>
      </c>
      <c r="X786" s="120">
        <v>791.0</v>
      </c>
    </row>
    <row r="787">
      <c r="A787" s="74" t="s">
        <v>28549</v>
      </c>
      <c r="B787" s="74" t="s">
        <v>6876</v>
      </c>
      <c r="C787" s="74" t="s">
        <v>6877</v>
      </c>
      <c r="D787" s="74" t="s">
        <v>8493</v>
      </c>
      <c r="E787" s="74" t="s">
        <v>28556</v>
      </c>
      <c r="F787" s="74">
        <v>33.0</v>
      </c>
      <c r="G787" s="74">
        <v>1.0</v>
      </c>
      <c r="H787" s="74">
        <v>98.0</v>
      </c>
      <c r="I787" s="74" t="s">
        <v>339</v>
      </c>
      <c r="J787" s="74" t="s">
        <v>339</v>
      </c>
      <c r="K787" s="74" t="s">
        <v>16104</v>
      </c>
      <c r="L787" s="74" t="s">
        <v>28542</v>
      </c>
      <c r="M787" s="74" t="s">
        <v>21253</v>
      </c>
      <c r="N787" s="74" t="s">
        <v>28558</v>
      </c>
      <c r="O787" s="74">
        <v>0.0</v>
      </c>
      <c r="P787" s="119"/>
      <c r="Q787" s="119"/>
      <c r="R787" s="74" t="s">
        <v>28536</v>
      </c>
      <c r="S787" s="74">
        <v>4.0</v>
      </c>
      <c r="T787" s="74" t="s">
        <v>22634</v>
      </c>
      <c r="U787" s="120">
        <v>7781.0</v>
      </c>
      <c r="V787" s="74" t="s">
        <v>28560</v>
      </c>
      <c r="W787" s="74" t="s">
        <v>28561</v>
      </c>
      <c r="X787" s="120">
        <v>792.0</v>
      </c>
    </row>
    <row r="788">
      <c r="A788" s="74" t="s">
        <v>28556</v>
      </c>
      <c r="B788" s="74" t="s">
        <v>6876</v>
      </c>
      <c r="C788" s="74" t="s">
        <v>6877</v>
      </c>
      <c r="D788" s="74" t="s">
        <v>8493</v>
      </c>
      <c r="E788" s="74" t="s">
        <v>28562</v>
      </c>
      <c r="F788" s="74">
        <v>66.0</v>
      </c>
      <c r="G788" s="74">
        <v>1.0</v>
      </c>
      <c r="H788" s="74">
        <v>12.0</v>
      </c>
      <c r="I788" s="74" t="s">
        <v>2939</v>
      </c>
      <c r="J788" s="74" t="s">
        <v>2939</v>
      </c>
      <c r="K788" s="74" t="s">
        <v>16220</v>
      </c>
      <c r="L788" s="74" t="s">
        <v>28565</v>
      </c>
      <c r="M788" s="74" t="s">
        <v>28566</v>
      </c>
      <c r="N788" s="74" t="s">
        <v>28568</v>
      </c>
      <c r="O788" s="74">
        <v>0.0</v>
      </c>
      <c r="P788" s="119"/>
      <c r="Q788" s="119"/>
      <c r="R788" s="74" t="s">
        <v>28466</v>
      </c>
      <c r="S788" s="74">
        <v>4.0</v>
      </c>
      <c r="T788" s="74" t="s">
        <v>22634</v>
      </c>
      <c r="U788" s="120">
        <v>7782.0</v>
      </c>
      <c r="V788" s="74" t="s">
        <v>28570</v>
      </c>
      <c r="W788" s="74" t="s">
        <v>28571</v>
      </c>
      <c r="X788" s="120">
        <v>793.0</v>
      </c>
    </row>
    <row r="789">
      <c r="A789" s="74" t="s">
        <v>28562</v>
      </c>
      <c r="B789" s="74" t="s">
        <v>6876</v>
      </c>
      <c r="C789" s="74" t="s">
        <v>6877</v>
      </c>
      <c r="D789" s="74" t="s">
        <v>8493</v>
      </c>
      <c r="E789" s="74" t="s">
        <v>28572</v>
      </c>
      <c r="F789" s="74">
        <v>59.0</v>
      </c>
      <c r="G789" s="74">
        <v>1.0</v>
      </c>
      <c r="H789" s="74">
        <v>12.0</v>
      </c>
      <c r="I789" s="74" t="s">
        <v>2964</v>
      </c>
      <c r="J789" s="74" t="s">
        <v>2964</v>
      </c>
      <c r="K789" s="74" t="s">
        <v>16220</v>
      </c>
      <c r="L789" s="74" t="s">
        <v>28565</v>
      </c>
      <c r="M789" s="74" t="s">
        <v>28566</v>
      </c>
      <c r="N789" s="74" t="s">
        <v>28575</v>
      </c>
      <c r="O789" s="74">
        <v>0.0</v>
      </c>
      <c r="P789" s="119"/>
      <c r="Q789" s="119"/>
      <c r="R789" s="74" t="s">
        <v>28466</v>
      </c>
      <c r="S789" s="74">
        <v>4.0</v>
      </c>
      <c r="T789" s="74" t="s">
        <v>22634</v>
      </c>
      <c r="U789" s="120">
        <v>7783.0</v>
      </c>
      <c r="V789" s="74" t="s">
        <v>28577</v>
      </c>
      <c r="W789" s="74" t="s">
        <v>28578</v>
      </c>
      <c r="X789" s="120">
        <v>794.0</v>
      </c>
    </row>
    <row r="790">
      <c r="A790" s="74" t="s">
        <v>28572</v>
      </c>
      <c r="B790" s="74" t="s">
        <v>6876</v>
      </c>
      <c r="C790" s="74" t="s">
        <v>6877</v>
      </c>
      <c r="D790" s="74" t="s">
        <v>8493</v>
      </c>
      <c r="E790" s="74" t="s">
        <v>28579</v>
      </c>
      <c r="F790" s="74">
        <v>65.0</v>
      </c>
      <c r="G790" s="74">
        <v>1.0</v>
      </c>
      <c r="H790" s="74">
        <v>12.0</v>
      </c>
      <c r="I790" s="74" t="s">
        <v>3001</v>
      </c>
      <c r="J790" s="74" t="s">
        <v>3001</v>
      </c>
      <c r="K790" s="74" t="s">
        <v>16220</v>
      </c>
      <c r="L790" s="74" t="s">
        <v>28565</v>
      </c>
      <c r="M790" s="74" t="s">
        <v>28566</v>
      </c>
      <c r="N790" s="74" t="s">
        <v>28580</v>
      </c>
      <c r="O790" s="74">
        <v>0.0</v>
      </c>
      <c r="P790" s="119"/>
      <c r="Q790" s="119"/>
      <c r="R790" s="74" t="s">
        <v>28466</v>
      </c>
      <c r="S790" s="74">
        <v>4.0</v>
      </c>
      <c r="T790" s="74" t="s">
        <v>22634</v>
      </c>
      <c r="U790" s="120">
        <v>7784.0</v>
      </c>
      <c r="V790" s="74" t="s">
        <v>28583</v>
      </c>
      <c r="W790" s="74" t="s">
        <v>28584</v>
      </c>
      <c r="X790" s="120">
        <v>795.0</v>
      </c>
    </row>
    <row r="791">
      <c r="A791" s="74" t="s">
        <v>28579</v>
      </c>
      <c r="B791" s="74" t="s">
        <v>6876</v>
      </c>
      <c r="C791" s="74" t="s">
        <v>6877</v>
      </c>
      <c r="D791" s="74" t="s">
        <v>8493</v>
      </c>
      <c r="E791" s="74" t="s">
        <v>28586</v>
      </c>
      <c r="F791" s="74">
        <v>65.0</v>
      </c>
      <c r="G791" s="74">
        <v>1.0</v>
      </c>
      <c r="H791" s="74">
        <v>99.0</v>
      </c>
      <c r="I791" s="74" t="s">
        <v>2956</v>
      </c>
      <c r="J791" s="74" t="s">
        <v>2956</v>
      </c>
      <c r="K791" s="74" t="s">
        <v>28587</v>
      </c>
      <c r="L791" s="74" t="s">
        <v>16220</v>
      </c>
      <c r="M791" s="74" t="s">
        <v>28566</v>
      </c>
      <c r="N791" s="74" t="s">
        <v>28588</v>
      </c>
      <c r="O791" s="74">
        <v>1.0</v>
      </c>
      <c r="P791" s="146">
        <v>43867.0</v>
      </c>
      <c r="Q791" s="119"/>
      <c r="R791" s="74" t="s">
        <v>28589</v>
      </c>
      <c r="S791" s="74">
        <v>4.0</v>
      </c>
      <c r="T791" s="74" t="s">
        <v>22634</v>
      </c>
      <c r="U791" s="120">
        <v>7785.0</v>
      </c>
      <c r="V791" s="74" t="s">
        <v>28590</v>
      </c>
      <c r="W791" s="74" t="s">
        <v>28591</v>
      </c>
      <c r="X791" s="120">
        <v>796.0</v>
      </c>
    </row>
    <row r="792">
      <c r="A792" s="74" t="s">
        <v>28592</v>
      </c>
      <c r="B792" s="74" t="s">
        <v>6876</v>
      </c>
      <c r="C792" s="74" t="s">
        <v>6877</v>
      </c>
      <c r="D792" s="74" t="s">
        <v>8493</v>
      </c>
      <c r="E792" s="74" t="s">
        <v>28595</v>
      </c>
      <c r="F792" s="74">
        <v>59.0</v>
      </c>
      <c r="G792" s="74">
        <v>1.0</v>
      </c>
      <c r="H792" s="74">
        <v>99.0</v>
      </c>
      <c r="I792" s="74" t="s">
        <v>2990</v>
      </c>
      <c r="J792" s="74" t="s">
        <v>2990</v>
      </c>
      <c r="K792" s="74" t="s">
        <v>28587</v>
      </c>
      <c r="L792" s="74" t="s">
        <v>16220</v>
      </c>
      <c r="M792" s="74" t="s">
        <v>28566</v>
      </c>
      <c r="N792" s="74" t="s">
        <v>28588</v>
      </c>
      <c r="O792" s="74">
        <v>0.0</v>
      </c>
      <c r="P792" s="119"/>
      <c r="Q792" s="119"/>
      <c r="R792" s="74" t="s">
        <v>28597</v>
      </c>
      <c r="S792" s="74">
        <v>4.0</v>
      </c>
      <c r="T792" s="74" t="s">
        <v>22634</v>
      </c>
      <c r="U792" s="120">
        <v>7786.0</v>
      </c>
      <c r="V792" s="74" t="s">
        <v>28598</v>
      </c>
      <c r="W792" s="74" t="s">
        <v>28599</v>
      </c>
      <c r="X792" s="120">
        <v>797.0</v>
      </c>
    </row>
    <row r="793">
      <c r="A793" s="74" t="s">
        <v>28595</v>
      </c>
      <c r="B793" s="74" t="s">
        <v>6876</v>
      </c>
      <c r="C793" s="74" t="s">
        <v>6877</v>
      </c>
      <c r="D793" s="74" t="s">
        <v>8493</v>
      </c>
      <c r="E793" s="74" t="s">
        <v>28600</v>
      </c>
      <c r="F793" s="74">
        <v>65.0</v>
      </c>
      <c r="G793" s="74">
        <v>1.0</v>
      </c>
      <c r="H793" s="74">
        <v>99.0</v>
      </c>
      <c r="I793" s="74" t="s">
        <v>3192</v>
      </c>
      <c r="J793" s="74" t="s">
        <v>3192</v>
      </c>
      <c r="K793" s="74" t="s">
        <v>28587</v>
      </c>
      <c r="L793" s="74" t="s">
        <v>16220</v>
      </c>
      <c r="M793" s="74" t="s">
        <v>28566</v>
      </c>
      <c r="N793" s="74" t="s">
        <v>28601</v>
      </c>
      <c r="O793" s="74">
        <v>0.0</v>
      </c>
      <c r="P793" s="119"/>
      <c r="Q793" s="119"/>
      <c r="R793" s="74" t="s">
        <v>28604</v>
      </c>
      <c r="S793" s="74">
        <v>4.0</v>
      </c>
      <c r="T793" s="74" t="s">
        <v>22634</v>
      </c>
      <c r="U793" s="120">
        <v>7787.0</v>
      </c>
      <c r="V793" s="74" t="s">
        <v>28605</v>
      </c>
      <c r="W793" s="74" t="s">
        <v>28606</v>
      </c>
      <c r="X793" s="120">
        <v>798.0</v>
      </c>
    </row>
    <row r="794">
      <c r="A794" s="74" t="s">
        <v>28600</v>
      </c>
      <c r="B794" s="74" t="s">
        <v>6876</v>
      </c>
      <c r="C794" s="74" t="s">
        <v>6877</v>
      </c>
      <c r="D794" s="74" t="s">
        <v>8493</v>
      </c>
      <c r="E794" s="74" t="s">
        <v>28608</v>
      </c>
      <c r="F794" s="74">
        <v>59.0</v>
      </c>
      <c r="G794" s="74">
        <v>1.0</v>
      </c>
      <c r="H794" s="74">
        <v>99.0</v>
      </c>
      <c r="I794" s="74" t="s">
        <v>3068</v>
      </c>
      <c r="J794" s="74" t="s">
        <v>3068</v>
      </c>
      <c r="K794" s="74" t="s">
        <v>28587</v>
      </c>
      <c r="L794" s="74" t="s">
        <v>16220</v>
      </c>
      <c r="M794" s="74" t="s">
        <v>28566</v>
      </c>
      <c r="N794" s="74" t="s">
        <v>28601</v>
      </c>
      <c r="O794" s="74">
        <v>0.0</v>
      </c>
      <c r="P794" s="119"/>
      <c r="Q794" s="119"/>
      <c r="R794" s="74" t="s">
        <v>28609</v>
      </c>
      <c r="S794" s="74">
        <v>4.0</v>
      </c>
      <c r="T794" s="74" t="s">
        <v>22634</v>
      </c>
      <c r="U794" s="120">
        <v>7788.0</v>
      </c>
      <c r="V794" s="74" t="s">
        <v>28610</v>
      </c>
      <c r="W794" s="74" t="s">
        <v>28611</v>
      </c>
      <c r="X794" s="120">
        <v>799.0</v>
      </c>
    </row>
    <row r="795">
      <c r="A795" s="74" t="s">
        <v>28612</v>
      </c>
      <c r="B795" s="74" t="s">
        <v>6876</v>
      </c>
      <c r="C795" s="74" t="s">
        <v>6877</v>
      </c>
      <c r="D795" s="74" t="s">
        <v>8493</v>
      </c>
      <c r="E795" s="74" t="s">
        <v>28615</v>
      </c>
      <c r="F795" s="74">
        <v>58.0</v>
      </c>
      <c r="G795" s="74">
        <v>2.0</v>
      </c>
      <c r="H795" s="74">
        <v>99.0</v>
      </c>
      <c r="I795" s="74" t="s">
        <v>3023</v>
      </c>
      <c r="J795" s="74" t="s">
        <v>3023</v>
      </c>
      <c r="K795" s="74" t="s">
        <v>28587</v>
      </c>
      <c r="L795" s="74" t="s">
        <v>16220</v>
      </c>
      <c r="M795" s="74" t="s">
        <v>28566</v>
      </c>
      <c r="N795" s="74" t="s">
        <v>28616</v>
      </c>
      <c r="O795" s="74">
        <v>0.0</v>
      </c>
      <c r="P795" s="119"/>
      <c r="Q795" s="119"/>
      <c r="R795" s="74" t="s">
        <v>28618</v>
      </c>
      <c r="S795" s="74">
        <v>4.0</v>
      </c>
      <c r="T795" s="74" t="s">
        <v>22634</v>
      </c>
      <c r="U795" s="120">
        <v>7789.0</v>
      </c>
      <c r="V795" s="74" t="s">
        <v>28619</v>
      </c>
      <c r="W795" s="74" t="s">
        <v>28620</v>
      </c>
      <c r="X795" s="120">
        <v>800.0</v>
      </c>
    </row>
    <row r="796">
      <c r="A796" s="74" t="s">
        <v>28615</v>
      </c>
      <c r="B796" s="74" t="s">
        <v>6876</v>
      </c>
      <c r="C796" s="74" t="s">
        <v>6877</v>
      </c>
      <c r="D796" s="74" t="s">
        <v>8493</v>
      </c>
      <c r="E796" s="74" t="s">
        <v>28621</v>
      </c>
      <c r="F796" s="74">
        <v>59.0</v>
      </c>
      <c r="G796" s="74">
        <v>2.0</v>
      </c>
      <c r="H796" s="74">
        <v>99.0</v>
      </c>
      <c r="I796" s="74" t="s">
        <v>337</v>
      </c>
      <c r="J796" s="74" t="s">
        <v>337</v>
      </c>
      <c r="K796" s="74" t="s">
        <v>28587</v>
      </c>
      <c r="L796" s="74" t="s">
        <v>16220</v>
      </c>
      <c r="M796" s="74" t="s">
        <v>28566</v>
      </c>
      <c r="N796" s="74" t="s">
        <v>28622</v>
      </c>
      <c r="O796" s="74">
        <v>0.0</v>
      </c>
      <c r="P796" s="119"/>
      <c r="Q796" s="119"/>
      <c r="R796" s="74" t="s">
        <v>28625</v>
      </c>
      <c r="S796" s="74">
        <v>4.0</v>
      </c>
      <c r="T796" s="74" t="s">
        <v>22634</v>
      </c>
      <c r="U796" s="120">
        <v>7790.0</v>
      </c>
      <c r="V796" s="74" t="s">
        <v>28626</v>
      </c>
      <c r="W796" s="74" t="s">
        <v>28627</v>
      </c>
      <c r="X796" s="120">
        <v>801.0</v>
      </c>
    </row>
    <row r="797">
      <c r="A797" s="74" t="s">
        <v>28621</v>
      </c>
      <c r="B797" s="74" t="s">
        <v>6876</v>
      </c>
      <c r="C797" s="74" t="s">
        <v>6877</v>
      </c>
      <c r="D797" s="74" t="s">
        <v>8493</v>
      </c>
      <c r="E797" s="74" t="s">
        <v>28629</v>
      </c>
      <c r="F797" s="74">
        <v>33.0</v>
      </c>
      <c r="G797" s="74">
        <v>1.0</v>
      </c>
      <c r="H797" s="74">
        <v>98.0</v>
      </c>
      <c r="I797" s="74" t="s">
        <v>339</v>
      </c>
      <c r="J797" s="74" t="s">
        <v>339</v>
      </c>
      <c r="K797" s="74" t="s">
        <v>28587</v>
      </c>
      <c r="L797" s="74" t="s">
        <v>16220</v>
      </c>
      <c r="M797" s="74" t="s">
        <v>28566</v>
      </c>
      <c r="N797" s="74" t="s">
        <v>28630</v>
      </c>
      <c r="O797" s="74">
        <v>0.0</v>
      </c>
      <c r="P797" s="119"/>
      <c r="Q797" s="119"/>
      <c r="R797" s="74" t="s">
        <v>28536</v>
      </c>
      <c r="S797" s="74">
        <v>4.0</v>
      </c>
      <c r="T797" s="74" t="s">
        <v>22634</v>
      </c>
      <c r="U797" s="120">
        <v>7791.0</v>
      </c>
      <c r="V797" s="74" t="s">
        <v>28631</v>
      </c>
      <c r="W797" s="74" t="s">
        <v>28632</v>
      </c>
      <c r="X797" s="120">
        <v>802.0</v>
      </c>
    </row>
    <row r="798">
      <c r="A798" s="74" t="s">
        <v>28629</v>
      </c>
      <c r="B798" s="74" t="s">
        <v>6876</v>
      </c>
      <c r="C798" s="74" t="s">
        <v>6877</v>
      </c>
      <c r="D798" s="74" t="s">
        <v>8493</v>
      </c>
      <c r="E798" s="74" t="s">
        <v>28634</v>
      </c>
      <c r="F798" s="74">
        <v>58.0</v>
      </c>
      <c r="G798" s="74">
        <v>1.0</v>
      </c>
      <c r="H798" s="74">
        <v>11.0</v>
      </c>
      <c r="I798" s="74" t="s">
        <v>3037</v>
      </c>
      <c r="J798" s="74" t="s">
        <v>3037</v>
      </c>
      <c r="K798" s="74" t="s">
        <v>16220</v>
      </c>
      <c r="L798" s="74" t="s">
        <v>28636</v>
      </c>
      <c r="M798" s="74" t="s">
        <v>28566</v>
      </c>
      <c r="N798" s="74" t="s">
        <v>28637</v>
      </c>
      <c r="O798" s="74">
        <v>0.0</v>
      </c>
      <c r="P798" s="119"/>
      <c r="Q798" s="119"/>
      <c r="R798" s="74" t="s">
        <v>28466</v>
      </c>
      <c r="S798" s="74">
        <v>4.0</v>
      </c>
      <c r="T798" s="74" t="s">
        <v>22634</v>
      </c>
      <c r="U798" s="120">
        <v>7792.0</v>
      </c>
      <c r="V798" s="74" t="s">
        <v>28639</v>
      </c>
      <c r="W798" s="74" t="s">
        <v>28640</v>
      </c>
      <c r="X798" s="120">
        <v>803.0</v>
      </c>
    </row>
    <row r="799">
      <c r="A799" s="74" t="s">
        <v>28641</v>
      </c>
      <c r="B799" s="74" t="s">
        <v>6876</v>
      </c>
      <c r="C799" s="74" t="s">
        <v>6877</v>
      </c>
      <c r="D799" s="74" t="s">
        <v>8493</v>
      </c>
      <c r="E799" s="74" t="s">
        <v>28642</v>
      </c>
      <c r="F799" s="74">
        <v>59.0</v>
      </c>
      <c r="G799" s="74">
        <v>1.0</v>
      </c>
      <c r="H799" s="74">
        <v>11.0</v>
      </c>
      <c r="I799" s="74" t="s">
        <v>3226</v>
      </c>
      <c r="J799" s="74" t="s">
        <v>3226</v>
      </c>
      <c r="K799" s="74" t="s">
        <v>28643</v>
      </c>
      <c r="L799" s="74" t="s">
        <v>28644</v>
      </c>
      <c r="M799" s="74" t="s">
        <v>28645</v>
      </c>
      <c r="N799" s="74" t="s">
        <v>28646</v>
      </c>
      <c r="O799" s="74">
        <v>0.0</v>
      </c>
      <c r="P799" s="119"/>
      <c r="Q799" s="119"/>
      <c r="R799" s="119"/>
      <c r="S799" s="74">
        <v>4.0</v>
      </c>
      <c r="T799" s="74" t="s">
        <v>22634</v>
      </c>
      <c r="U799" s="120">
        <v>7876.0</v>
      </c>
      <c r="V799" s="74" t="s">
        <v>28647</v>
      </c>
      <c r="W799" s="74" t="s">
        <v>28649</v>
      </c>
      <c r="X799" s="120">
        <v>804.0</v>
      </c>
    </row>
    <row r="800">
      <c r="A800" s="74" t="s">
        <v>28642</v>
      </c>
      <c r="B800" s="74" t="s">
        <v>6876</v>
      </c>
      <c r="C800" s="74" t="s">
        <v>6877</v>
      </c>
      <c r="D800" s="74" t="s">
        <v>8493</v>
      </c>
      <c r="E800" s="74" t="s">
        <v>28652</v>
      </c>
      <c r="F800" s="74">
        <v>59.0</v>
      </c>
      <c r="G800" s="74">
        <v>1.0</v>
      </c>
      <c r="H800" s="74">
        <v>99.0</v>
      </c>
      <c r="I800" s="74" t="s">
        <v>3250</v>
      </c>
      <c r="J800" s="74" t="s">
        <v>3250</v>
      </c>
      <c r="K800" s="74" t="s">
        <v>28643</v>
      </c>
      <c r="L800" s="74" t="s">
        <v>28644</v>
      </c>
      <c r="M800" s="74" t="s">
        <v>28645</v>
      </c>
      <c r="N800" s="74" t="s">
        <v>28654</v>
      </c>
      <c r="O800" s="74">
        <v>1.0</v>
      </c>
      <c r="P800" s="146">
        <v>43869.0</v>
      </c>
      <c r="Q800" s="119"/>
      <c r="R800" s="74" t="s">
        <v>28655</v>
      </c>
      <c r="S800" s="74">
        <v>4.0</v>
      </c>
      <c r="T800" s="74" t="s">
        <v>22634</v>
      </c>
      <c r="U800" s="120">
        <v>7877.0</v>
      </c>
      <c r="V800" s="74" t="s">
        <v>28656</v>
      </c>
      <c r="W800" s="74" t="s">
        <v>28657</v>
      </c>
      <c r="X800" s="120">
        <v>805.0</v>
      </c>
    </row>
    <row r="801">
      <c r="A801" s="74" t="s">
        <v>28652</v>
      </c>
      <c r="B801" s="74" t="s">
        <v>6876</v>
      </c>
      <c r="C801" s="74" t="s">
        <v>6877</v>
      </c>
      <c r="D801" s="74" t="s">
        <v>8493</v>
      </c>
      <c r="E801" s="74" t="s">
        <v>28658</v>
      </c>
      <c r="F801" s="74">
        <v>59.0</v>
      </c>
      <c r="G801" s="74">
        <v>1.0</v>
      </c>
      <c r="H801" s="74">
        <v>11.0</v>
      </c>
      <c r="I801" s="74" t="s">
        <v>3263</v>
      </c>
      <c r="J801" s="74" t="s">
        <v>3263</v>
      </c>
      <c r="K801" s="74" t="s">
        <v>28643</v>
      </c>
      <c r="L801" s="74" t="s">
        <v>28644</v>
      </c>
      <c r="M801" s="74" t="s">
        <v>28645</v>
      </c>
      <c r="N801" s="74" t="s">
        <v>28661</v>
      </c>
      <c r="O801" s="74">
        <v>0.0</v>
      </c>
      <c r="P801" s="119"/>
      <c r="Q801" s="119"/>
      <c r="R801" s="74" t="s">
        <v>28466</v>
      </c>
      <c r="S801" s="74">
        <v>4.0</v>
      </c>
      <c r="T801" s="74" t="s">
        <v>22634</v>
      </c>
      <c r="U801" s="120">
        <v>7878.0</v>
      </c>
      <c r="V801" s="74" t="s">
        <v>28662</v>
      </c>
      <c r="W801" s="74" t="s">
        <v>28664</v>
      </c>
      <c r="X801" s="120">
        <v>806.0</v>
      </c>
    </row>
    <row r="802">
      <c r="A802" s="74" t="s">
        <v>28658</v>
      </c>
      <c r="B802" s="74" t="s">
        <v>6876</v>
      </c>
      <c r="C802" s="74" t="s">
        <v>6877</v>
      </c>
      <c r="D802" s="74" t="s">
        <v>8493</v>
      </c>
      <c r="E802" s="74" t="s">
        <v>28665</v>
      </c>
      <c r="F802" s="74">
        <v>59.0</v>
      </c>
      <c r="G802" s="74">
        <v>1.0</v>
      </c>
      <c r="H802" s="74">
        <v>99.0</v>
      </c>
      <c r="I802" s="74" t="s">
        <v>3280</v>
      </c>
      <c r="J802" s="74" t="s">
        <v>3280</v>
      </c>
      <c r="K802" s="74" t="s">
        <v>28643</v>
      </c>
      <c r="L802" s="74" t="s">
        <v>28644</v>
      </c>
      <c r="M802" s="74" t="s">
        <v>28645</v>
      </c>
      <c r="N802" s="74" t="s">
        <v>28666</v>
      </c>
      <c r="O802" s="74">
        <v>0.0</v>
      </c>
      <c r="P802" s="119"/>
      <c r="Q802" s="119"/>
      <c r="R802" s="74" t="s">
        <v>28667</v>
      </c>
      <c r="S802" s="74">
        <v>4.0</v>
      </c>
      <c r="T802" s="74" t="s">
        <v>22634</v>
      </c>
      <c r="U802" s="120">
        <v>7879.0</v>
      </c>
      <c r="V802" s="74" t="s">
        <v>28668</v>
      </c>
      <c r="W802" s="74" t="s">
        <v>28669</v>
      </c>
      <c r="X802" s="120">
        <v>807.0</v>
      </c>
    </row>
    <row r="803">
      <c r="A803" s="74" t="s">
        <v>28665</v>
      </c>
      <c r="B803" s="74" t="s">
        <v>6876</v>
      </c>
      <c r="C803" s="74" t="s">
        <v>6877</v>
      </c>
      <c r="D803" s="74" t="s">
        <v>8493</v>
      </c>
      <c r="E803" s="74" t="s">
        <v>28672</v>
      </c>
      <c r="F803" s="74">
        <v>59.0</v>
      </c>
      <c r="G803" s="74">
        <v>1.0</v>
      </c>
      <c r="H803" s="74">
        <v>11.0</v>
      </c>
      <c r="I803" s="74" t="s">
        <v>3294</v>
      </c>
      <c r="J803" s="74" t="s">
        <v>3294</v>
      </c>
      <c r="K803" s="74" t="s">
        <v>28674</v>
      </c>
      <c r="L803" s="74" t="s">
        <v>28675</v>
      </c>
      <c r="M803" s="74" t="s">
        <v>28676</v>
      </c>
      <c r="N803" s="74" t="s">
        <v>28677</v>
      </c>
      <c r="O803" s="74">
        <v>0.0</v>
      </c>
      <c r="P803" s="119"/>
      <c r="Q803" s="119"/>
      <c r="R803" s="74" t="s">
        <v>28466</v>
      </c>
      <c r="S803" s="74">
        <v>6.0</v>
      </c>
      <c r="T803" s="74" t="s">
        <v>22634</v>
      </c>
      <c r="U803" s="120">
        <v>7880.0</v>
      </c>
      <c r="V803" s="74" t="s">
        <v>28678</v>
      </c>
      <c r="W803" s="74" t="s">
        <v>28679</v>
      </c>
      <c r="X803" s="120">
        <v>808.0</v>
      </c>
    </row>
    <row r="804">
      <c r="A804" s="74" t="s">
        <v>28672</v>
      </c>
      <c r="B804" s="74" t="s">
        <v>6876</v>
      </c>
      <c r="C804" s="74" t="s">
        <v>6877</v>
      </c>
      <c r="D804" s="74" t="s">
        <v>8493</v>
      </c>
      <c r="E804" s="74" t="s">
        <v>28680</v>
      </c>
      <c r="F804" s="74">
        <v>59.0</v>
      </c>
      <c r="G804" s="74">
        <v>1.0</v>
      </c>
      <c r="H804" s="74">
        <v>99.0</v>
      </c>
      <c r="I804" s="74" t="s">
        <v>3314</v>
      </c>
      <c r="J804" s="74" t="s">
        <v>3314</v>
      </c>
      <c r="K804" s="74" t="s">
        <v>16615</v>
      </c>
      <c r="L804" s="74" t="s">
        <v>28682</v>
      </c>
      <c r="M804" s="74" t="s">
        <v>28676</v>
      </c>
      <c r="N804" s="74" t="s">
        <v>28684</v>
      </c>
      <c r="O804" s="74">
        <v>0.0</v>
      </c>
      <c r="P804" s="119"/>
      <c r="Q804" s="119"/>
      <c r="R804" s="74" t="s">
        <v>28685</v>
      </c>
      <c r="S804" s="74">
        <v>6.0</v>
      </c>
      <c r="T804" s="74" t="s">
        <v>22634</v>
      </c>
      <c r="U804" s="120">
        <v>7881.0</v>
      </c>
      <c r="V804" s="74" t="s">
        <v>28686</v>
      </c>
      <c r="W804" s="74" t="s">
        <v>28687</v>
      </c>
      <c r="X804" s="120">
        <v>809.0</v>
      </c>
    </row>
    <row r="805">
      <c r="A805" s="74" t="s">
        <v>28680</v>
      </c>
      <c r="B805" s="74" t="s">
        <v>6876</v>
      </c>
      <c r="C805" s="74" t="s">
        <v>6877</v>
      </c>
      <c r="D805" s="74" t="s">
        <v>8493</v>
      </c>
      <c r="E805" s="74" t="s">
        <v>28689</v>
      </c>
      <c r="F805" s="74">
        <v>59.0</v>
      </c>
      <c r="G805" s="74">
        <v>1.0</v>
      </c>
      <c r="H805" s="74">
        <v>11.0</v>
      </c>
      <c r="I805" s="74" t="s">
        <v>3323</v>
      </c>
      <c r="J805" s="74" t="s">
        <v>3323</v>
      </c>
      <c r="K805" s="74" t="s">
        <v>28674</v>
      </c>
      <c r="L805" s="74" t="s">
        <v>28675</v>
      </c>
      <c r="M805" s="74" t="s">
        <v>28676</v>
      </c>
      <c r="N805" s="74" t="s">
        <v>28690</v>
      </c>
      <c r="O805" s="74">
        <v>0.0</v>
      </c>
      <c r="P805" s="119"/>
      <c r="Q805" s="119"/>
      <c r="R805" s="74" t="s">
        <v>28466</v>
      </c>
      <c r="S805" s="74">
        <v>6.0</v>
      </c>
      <c r="T805" s="74" t="s">
        <v>22634</v>
      </c>
      <c r="U805" s="120">
        <v>7882.0</v>
      </c>
      <c r="V805" s="74" t="s">
        <v>28691</v>
      </c>
      <c r="W805" s="74" t="s">
        <v>28692</v>
      </c>
      <c r="X805" s="120">
        <v>810.0</v>
      </c>
    </row>
    <row r="806">
      <c r="A806" s="74" t="s">
        <v>28689</v>
      </c>
      <c r="B806" s="74" t="s">
        <v>6876</v>
      </c>
      <c r="C806" s="74" t="s">
        <v>6877</v>
      </c>
      <c r="D806" s="74" t="s">
        <v>8493</v>
      </c>
      <c r="E806" s="74" t="s">
        <v>28695</v>
      </c>
      <c r="F806" s="74">
        <v>59.0</v>
      </c>
      <c r="G806" s="74">
        <v>1.0</v>
      </c>
      <c r="H806" s="74">
        <v>99.0</v>
      </c>
      <c r="I806" s="74" t="s">
        <v>3340</v>
      </c>
      <c r="J806" s="74" t="s">
        <v>3340</v>
      </c>
      <c r="K806" s="74" t="s">
        <v>16615</v>
      </c>
      <c r="L806" s="74" t="s">
        <v>28682</v>
      </c>
      <c r="M806" s="74" t="s">
        <v>28676</v>
      </c>
      <c r="N806" s="74" t="s">
        <v>28684</v>
      </c>
      <c r="O806" s="74">
        <v>0.0</v>
      </c>
      <c r="P806" s="119"/>
      <c r="Q806" s="119"/>
      <c r="R806" s="74" t="s">
        <v>28697</v>
      </c>
      <c r="S806" s="74">
        <v>6.0</v>
      </c>
      <c r="T806" s="74" t="s">
        <v>22634</v>
      </c>
      <c r="U806" s="120">
        <v>7883.0</v>
      </c>
      <c r="V806" s="74" t="s">
        <v>28698</v>
      </c>
      <c r="W806" s="74" t="s">
        <v>28699</v>
      </c>
      <c r="X806" s="120">
        <v>811.0</v>
      </c>
    </row>
    <row r="807">
      <c r="A807" s="74" t="s">
        <v>28695</v>
      </c>
      <c r="B807" s="74" t="s">
        <v>6876</v>
      </c>
      <c r="C807" s="74" t="s">
        <v>6877</v>
      </c>
      <c r="D807" s="74" t="s">
        <v>8493</v>
      </c>
      <c r="E807" s="74" t="s">
        <v>28701</v>
      </c>
      <c r="F807" s="74">
        <v>59.0</v>
      </c>
      <c r="G807" s="74">
        <v>1.0</v>
      </c>
      <c r="H807" s="74">
        <v>11.0</v>
      </c>
      <c r="I807" s="74" t="s">
        <v>3356</v>
      </c>
      <c r="J807" s="74" t="s">
        <v>3356</v>
      </c>
      <c r="K807" s="74" t="s">
        <v>28674</v>
      </c>
      <c r="L807" s="74" t="s">
        <v>28675</v>
      </c>
      <c r="M807" s="74" t="s">
        <v>28676</v>
      </c>
      <c r="N807" s="74" t="s">
        <v>28702</v>
      </c>
      <c r="O807" s="74">
        <v>0.0</v>
      </c>
      <c r="P807" s="119"/>
      <c r="Q807" s="119"/>
      <c r="R807" s="74" t="s">
        <v>28466</v>
      </c>
      <c r="S807" s="74">
        <v>6.0</v>
      </c>
      <c r="T807" s="74" t="s">
        <v>22634</v>
      </c>
      <c r="U807" s="120">
        <v>7884.0</v>
      </c>
      <c r="V807" s="74" t="s">
        <v>28705</v>
      </c>
      <c r="W807" s="74" t="s">
        <v>28706</v>
      </c>
      <c r="X807" s="120">
        <v>812.0</v>
      </c>
    </row>
    <row r="808">
      <c r="A808" s="74" t="s">
        <v>28701</v>
      </c>
      <c r="B808" s="74" t="s">
        <v>6876</v>
      </c>
      <c r="C808" s="74" t="s">
        <v>6877</v>
      </c>
      <c r="D808" s="74" t="s">
        <v>8493</v>
      </c>
      <c r="E808" s="74" t="s">
        <v>28708</v>
      </c>
      <c r="F808" s="74">
        <v>59.0</v>
      </c>
      <c r="G808" s="74">
        <v>1.0</v>
      </c>
      <c r="H808" s="74">
        <v>99.0</v>
      </c>
      <c r="I808" s="74" t="s">
        <v>3373</v>
      </c>
      <c r="J808" s="74" t="s">
        <v>3373</v>
      </c>
      <c r="K808" s="74" t="s">
        <v>16615</v>
      </c>
      <c r="L808" s="74" t="s">
        <v>28682</v>
      </c>
      <c r="M808" s="74" t="s">
        <v>28676</v>
      </c>
      <c r="N808" s="74" t="s">
        <v>28709</v>
      </c>
      <c r="O808" s="74">
        <v>1.0</v>
      </c>
      <c r="P808" s="146">
        <v>43872.0</v>
      </c>
      <c r="Q808" s="119"/>
      <c r="R808" s="74" t="s">
        <v>28710</v>
      </c>
      <c r="S808" s="74">
        <v>6.0</v>
      </c>
      <c r="T808" s="74" t="s">
        <v>22634</v>
      </c>
      <c r="U808" s="120">
        <v>7885.0</v>
      </c>
      <c r="V808" s="74" t="s">
        <v>28711</v>
      </c>
      <c r="W808" s="74" t="s">
        <v>28712</v>
      </c>
      <c r="X808" s="120">
        <v>813.0</v>
      </c>
    </row>
    <row r="809">
      <c r="A809" s="74" t="s">
        <v>28708</v>
      </c>
      <c r="B809" s="74" t="s">
        <v>6876</v>
      </c>
      <c r="C809" s="74" t="s">
        <v>6877</v>
      </c>
      <c r="D809" s="74" t="s">
        <v>8493</v>
      </c>
      <c r="E809" s="74" t="s">
        <v>28715</v>
      </c>
      <c r="F809" s="74">
        <v>59.0</v>
      </c>
      <c r="G809" s="74">
        <v>1.0</v>
      </c>
      <c r="H809" s="74">
        <v>11.0</v>
      </c>
      <c r="I809" s="74" t="s">
        <v>3380</v>
      </c>
      <c r="J809" s="74" t="s">
        <v>3380</v>
      </c>
      <c r="K809" s="74" t="s">
        <v>28674</v>
      </c>
      <c r="L809" s="74" t="s">
        <v>28675</v>
      </c>
      <c r="M809" s="74" t="s">
        <v>28676</v>
      </c>
      <c r="N809" s="74" t="s">
        <v>28716</v>
      </c>
      <c r="O809" s="74">
        <v>0.0</v>
      </c>
      <c r="P809" s="119"/>
      <c r="Q809" s="119"/>
      <c r="R809" s="74" t="s">
        <v>28466</v>
      </c>
      <c r="S809" s="74">
        <v>6.0</v>
      </c>
      <c r="T809" s="74" t="s">
        <v>22634</v>
      </c>
      <c r="U809" s="120">
        <v>7886.0</v>
      </c>
      <c r="V809" s="74" t="s">
        <v>28718</v>
      </c>
      <c r="W809" s="74" t="s">
        <v>28719</v>
      </c>
      <c r="X809" s="120">
        <v>814.0</v>
      </c>
    </row>
    <row r="810">
      <c r="A810" s="74" t="s">
        <v>28715</v>
      </c>
      <c r="B810" s="74" t="s">
        <v>6876</v>
      </c>
      <c r="C810" s="74" t="s">
        <v>6877</v>
      </c>
      <c r="D810" s="74" t="s">
        <v>8493</v>
      </c>
      <c r="E810" s="74" t="s">
        <v>28720</v>
      </c>
      <c r="F810" s="74">
        <v>59.0</v>
      </c>
      <c r="G810" s="74">
        <v>1.0</v>
      </c>
      <c r="H810" s="74">
        <v>99.0</v>
      </c>
      <c r="I810" s="74" t="s">
        <v>3403</v>
      </c>
      <c r="J810" s="74" t="s">
        <v>3403</v>
      </c>
      <c r="K810" s="74" t="s">
        <v>16615</v>
      </c>
      <c r="L810" s="74" t="s">
        <v>28682</v>
      </c>
      <c r="M810" s="74" t="s">
        <v>28676</v>
      </c>
      <c r="N810" s="74" t="s">
        <v>28721</v>
      </c>
      <c r="O810" s="74">
        <v>0.0</v>
      </c>
      <c r="P810" s="119"/>
      <c r="Q810" s="119"/>
      <c r="R810" s="74" t="s">
        <v>28723</v>
      </c>
      <c r="S810" s="74">
        <v>6.0</v>
      </c>
      <c r="T810" s="74" t="s">
        <v>22634</v>
      </c>
      <c r="U810" s="120">
        <v>7887.0</v>
      </c>
      <c r="V810" s="74" t="s">
        <v>28725</v>
      </c>
      <c r="W810" s="74" t="s">
        <v>28726</v>
      </c>
      <c r="X810" s="120">
        <v>815.0</v>
      </c>
    </row>
    <row r="811">
      <c r="A811" s="74" t="s">
        <v>28720</v>
      </c>
      <c r="B811" s="74" t="s">
        <v>6876</v>
      </c>
      <c r="C811" s="74" t="s">
        <v>6877</v>
      </c>
      <c r="D811" s="74" t="s">
        <v>8493</v>
      </c>
      <c r="E811" s="74" t="s">
        <v>28728</v>
      </c>
      <c r="F811" s="74">
        <v>59.0</v>
      </c>
      <c r="G811" s="74">
        <v>1.0</v>
      </c>
      <c r="H811" s="74">
        <v>11.0</v>
      </c>
      <c r="I811" s="74" t="s">
        <v>3412</v>
      </c>
      <c r="J811" s="74" t="s">
        <v>3412</v>
      </c>
      <c r="K811" s="74" t="s">
        <v>28674</v>
      </c>
      <c r="L811" s="74" t="s">
        <v>28675</v>
      </c>
      <c r="M811" s="74" t="s">
        <v>28676</v>
      </c>
      <c r="N811" s="74" t="s">
        <v>28729</v>
      </c>
      <c r="O811" s="74">
        <v>0.0</v>
      </c>
      <c r="P811" s="119"/>
      <c r="Q811" s="119"/>
      <c r="R811" s="74" t="s">
        <v>28466</v>
      </c>
      <c r="S811" s="74">
        <v>6.0</v>
      </c>
      <c r="T811" s="74" t="s">
        <v>22634</v>
      </c>
      <c r="U811" s="120">
        <v>7888.0</v>
      </c>
      <c r="V811" s="74" t="s">
        <v>28730</v>
      </c>
      <c r="W811" s="74" t="s">
        <v>28731</v>
      </c>
      <c r="X811" s="120">
        <v>816.0</v>
      </c>
    </row>
    <row r="812">
      <c r="A812" s="74" t="s">
        <v>28728</v>
      </c>
      <c r="B812" s="74" t="s">
        <v>6876</v>
      </c>
      <c r="C812" s="74" t="s">
        <v>6877</v>
      </c>
      <c r="D812" s="74" t="s">
        <v>8493</v>
      </c>
      <c r="E812" s="74" t="s">
        <v>28732</v>
      </c>
      <c r="F812" s="74">
        <v>59.0</v>
      </c>
      <c r="G812" s="74">
        <v>1.0</v>
      </c>
      <c r="H812" s="74">
        <v>99.0</v>
      </c>
      <c r="I812" s="74" t="s">
        <v>3438</v>
      </c>
      <c r="J812" s="74" t="s">
        <v>3438</v>
      </c>
      <c r="K812" s="74" t="s">
        <v>16615</v>
      </c>
      <c r="L812" s="74" t="s">
        <v>28682</v>
      </c>
      <c r="M812" s="74" t="s">
        <v>28676</v>
      </c>
      <c r="N812" s="74" t="s">
        <v>28735</v>
      </c>
      <c r="O812" s="74">
        <v>0.0</v>
      </c>
      <c r="P812" s="119"/>
      <c r="Q812" s="119"/>
      <c r="R812" s="74" t="s">
        <v>28736</v>
      </c>
      <c r="S812" s="74">
        <v>6.0</v>
      </c>
      <c r="T812" s="74" t="s">
        <v>22634</v>
      </c>
      <c r="U812" s="120">
        <v>7889.0</v>
      </c>
      <c r="V812" s="74" t="s">
        <v>28737</v>
      </c>
      <c r="W812" s="74" t="s">
        <v>28738</v>
      </c>
      <c r="X812" s="120">
        <v>817.0</v>
      </c>
    </row>
    <row r="813">
      <c r="A813" s="74" t="s">
        <v>28732</v>
      </c>
      <c r="B813" s="74" t="s">
        <v>6876</v>
      </c>
      <c r="C813" s="74" t="s">
        <v>6877</v>
      </c>
      <c r="D813" s="74" t="s">
        <v>8493</v>
      </c>
      <c r="E813" s="74" t="s">
        <v>28739</v>
      </c>
      <c r="F813" s="74">
        <v>33.0</v>
      </c>
      <c r="G813" s="74">
        <v>1.0</v>
      </c>
      <c r="H813" s="74">
        <v>98.0</v>
      </c>
      <c r="I813" s="74" t="s">
        <v>3454</v>
      </c>
      <c r="J813" s="74" t="s">
        <v>3454</v>
      </c>
      <c r="K813" s="74" t="s">
        <v>16615</v>
      </c>
      <c r="L813" s="74" t="s">
        <v>28682</v>
      </c>
      <c r="M813" s="74" t="s">
        <v>28676</v>
      </c>
      <c r="N813" s="74" t="s">
        <v>28741</v>
      </c>
      <c r="O813" s="74">
        <v>0.0</v>
      </c>
      <c r="P813" s="119"/>
      <c r="Q813" s="119"/>
      <c r="R813" s="74" t="s">
        <v>28742</v>
      </c>
      <c r="S813" s="74">
        <v>6.0</v>
      </c>
      <c r="T813" s="74" t="s">
        <v>22634</v>
      </c>
      <c r="U813" s="120">
        <v>7890.0</v>
      </c>
      <c r="V813" s="74" t="s">
        <v>28743</v>
      </c>
      <c r="W813" s="74" t="s">
        <v>28744</v>
      </c>
      <c r="X813" s="120">
        <v>818.0</v>
      </c>
    </row>
    <row r="814">
      <c r="A814" s="74" t="s">
        <v>28739</v>
      </c>
      <c r="B814" s="74" t="s">
        <v>6876</v>
      </c>
      <c r="C814" s="74" t="s">
        <v>6877</v>
      </c>
      <c r="D814" s="74" t="s">
        <v>8493</v>
      </c>
      <c r="E814" s="74" t="s">
        <v>28745</v>
      </c>
      <c r="F814" s="74">
        <v>57.0</v>
      </c>
      <c r="G814" s="74">
        <v>1.0</v>
      </c>
      <c r="H814" s="74">
        <v>12.0</v>
      </c>
      <c r="I814" s="74" t="s">
        <v>3709</v>
      </c>
      <c r="J814" s="74" t="s">
        <v>3709</v>
      </c>
      <c r="K814" s="74" t="s">
        <v>28748</v>
      </c>
      <c r="L814" s="74" t="s">
        <v>28749</v>
      </c>
      <c r="M814" s="74" t="s">
        <v>28750</v>
      </c>
      <c r="N814" s="74" t="s">
        <v>28751</v>
      </c>
      <c r="O814" s="74">
        <v>0.0</v>
      </c>
      <c r="P814" s="119"/>
      <c r="Q814" s="119"/>
      <c r="R814" s="74" t="s">
        <v>28466</v>
      </c>
      <c r="S814" s="74">
        <v>4.0</v>
      </c>
      <c r="T814" s="74" t="s">
        <v>22634</v>
      </c>
      <c r="U814" s="120">
        <v>7891.0</v>
      </c>
      <c r="V814" s="74" t="s">
        <v>28752</v>
      </c>
      <c r="W814" s="74" t="s">
        <v>28754</v>
      </c>
      <c r="X814" s="120">
        <v>819.0</v>
      </c>
    </row>
    <row r="815">
      <c r="A815" s="74" t="s">
        <v>28745</v>
      </c>
      <c r="B815" s="74" t="s">
        <v>6876</v>
      </c>
      <c r="C815" s="74" t="s">
        <v>6877</v>
      </c>
      <c r="D815" s="74" t="s">
        <v>8493</v>
      </c>
      <c r="E815" s="74" t="s">
        <v>28755</v>
      </c>
      <c r="F815" s="74">
        <v>57.0</v>
      </c>
      <c r="G815" s="74">
        <v>1.0</v>
      </c>
      <c r="H815" s="74">
        <v>99.0</v>
      </c>
      <c r="I815" s="74" t="s">
        <v>3718</v>
      </c>
      <c r="J815" s="74" t="s">
        <v>3718</v>
      </c>
      <c r="K815" s="74" t="s">
        <v>28756</v>
      </c>
      <c r="L815" s="74" t="s">
        <v>28757</v>
      </c>
      <c r="M815" s="74" t="s">
        <v>28750</v>
      </c>
      <c r="N815" s="74" t="s">
        <v>28758</v>
      </c>
      <c r="O815" s="74">
        <v>0.0</v>
      </c>
      <c r="P815" s="119"/>
      <c r="Q815" s="119"/>
      <c r="R815" s="74" t="s">
        <v>28759</v>
      </c>
      <c r="S815" s="74">
        <v>4.0</v>
      </c>
      <c r="T815" s="74" t="s">
        <v>22634</v>
      </c>
      <c r="U815" s="120">
        <v>7892.0</v>
      </c>
      <c r="V815" s="74" t="s">
        <v>28761</v>
      </c>
      <c r="W815" s="74" t="s">
        <v>28762</v>
      </c>
      <c r="X815" s="120">
        <v>820.0</v>
      </c>
    </row>
    <row r="816">
      <c r="A816" s="74" t="s">
        <v>28755</v>
      </c>
      <c r="B816" s="74" t="s">
        <v>6876</v>
      </c>
      <c r="C816" s="74" t="s">
        <v>6877</v>
      </c>
      <c r="D816" s="74" t="s">
        <v>8493</v>
      </c>
      <c r="E816" s="74" t="s">
        <v>28765</v>
      </c>
      <c r="F816" s="74">
        <v>57.0</v>
      </c>
      <c r="G816" s="74">
        <v>1.0</v>
      </c>
      <c r="H816" s="74">
        <v>12.0</v>
      </c>
      <c r="I816" s="74" t="s">
        <v>3588</v>
      </c>
      <c r="J816" s="74" t="s">
        <v>3588</v>
      </c>
      <c r="K816" s="74" t="s">
        <v>28748</v>
      </c>
      <c r="L816" s="74" t="s">
        <v>28749</v>
      </c>
      <c r="M816" s="74" t="s">
        <v>28750</v>
      </c>
      <c r="N816" s="74" t="s">
        <v>28766</v>
      </c>
      <c r="O816" s="74">
        <v>0.0</v>
      </c>
      <c r="P816" s="119"/>
      <c r="Q816" s="119"/>
      <c r="R816" s="74" t="s">
        <v>28466</v>
      </c>
      <c r="S816" s="74">
        <v>4.0</v>
      </c>
      <c r="T816" s="74" t="s">
        <v>22634</v>
      </c>
      <c r="U816" s="120">
        <v>7893.0</v>
      </c>
      <c r="V816" s="74" t="s">
        <v>28768</v>
      </c>
      <c r="W816" s="74" t="s">
        <v>28769</v>
      </c>
      <c r="X816" s="120">
        <v>821.0</v>
      </c>
    </row>
    <row r="817">
      <c r="A817" s="74" t="s">
        <v>28765</v>
      </c>
      <c r="B817" s="74" t="s">
        <v>6876</v>
      </c>
      <c r="C817" s="74" t="s">
        <v>6877</v>
      </c>
      <c r="D817" s="74" t="s">
        <v>8493</v>
      </c>
      <c r="E817" s="74" t="s">
        <v>28770</v>
      </c>
      <c r="F817" s="74">
        <v>57.0</v>
      </c>
      <c r="G817" s="74">
        <v>1.0</v>
      </c>
      <c r="H817" s="74">
        <v>99.0</v>
      </c>
      <c r="I817" s="74" t="s">
        <v>3644</v>
      </c>
      <c r="J817" s="74" t="s">
        <v>3644</v>
      </c>
      <c r="K817" s="74" t="s">
        <v>28756</v>
      </c>
      <c r="L817" s="74" t="s">
        <v>28757</v>
      </c>
      <c r="M817" s="74" t="s">
        <v>28750</v>
      </c>
      <c r="N817" s="74" t="s">
        <v>28773</v>
      </c>
      <c r="O817" s="74">
        <v>0.0</v>
      </c>
      <c r="P817" s="119"/>
      <c r="Q817" s="119"/>
      <c r="R817" s="74" t="s">
        <v>28775</v>
      </c>
      <c r="S817" s="74">
        <v>4.0</v>
      </c>
      <c r="T817" s="74" t="s">
        <v>22634</v>
      </c>
      <c r="U817" s="120">
        <v>7894.0</v>
      </c>
      <c r="V817" s="74" t="s">
        <v>28776</v>
      </c>
      <c r="W817" s="74" t="s">
        <v>28777</v>
      </c>
      <c r="X817" s="120">
        <v>822.0</v>
      </c>
    </row>
    <row r="818">
      <c r="A818" s="74" t="s">
        <v>28770</v>
      </c>
      <c r="B818" s="74" t="s">
        <v>6876</v>
      </c>
      <c r="C818" s="74" t="s">
        <v>6877</v>
      </c>
      <c r="D818" s="74" t="s">
        <v>8493</v>
      </c>
      <c r="E818" s="74" t="s">
        <v>28778</v>
      </c>
      <c r="F818" s="74">
        <v>57.0</v>
      </c>
      <c r="G818" s="74">
        <v>1.0</v>
      </c>
      <c r="H818" s="74">
        <v>12.0</v>
      </c>
      <c r="I818" s="74" t="s">
        <v>3541</v>
      </c>
      <c r="J818" s="74" t="s">
        <v>3541</v>
      </c>
      <c r="K818" s="74" t="s">
        <v>28748</v>
      </c>
      <c r="L818" s="74" t="s">
        <v>28749</v>
      </c>
      <c r="M818" s="74" t="s">
        <v>28750</v>
      </c>
      <c r="N818" s="74" t="s">
        <v>28781</v>
      </c>
      <c r="O818" s="74">
        <v>1.0</v>
      </c>
      <c r="P818" s="146">
        <v>43873.0</v>
      </c>
      <c r="Q818" s="119"/>
      <c r="R818" s="74" t="s">
        <v>28466</v>
      </c>
      <c r="S818" s="74">
        <v>6.0</v>
      </c>
      <c r="T818" s="74" t="s">
        <v>22634</v>
      </c>
      <c r="U818" s="120">
        <v>7895.0</v>
      </c>
      <c r="V818" s="74" t="s">
        <v>28783</v>
      </c>
      <c r="W818" s="74" t="s">
        <v>28784</v>
      </c>
      <c r="X818" s="120">
        <v>823.0</v>
      </c>
    </row>
    <row r="819">
      <c r="A819" s="74" t="s">
        <v>28778</v>
      </c>
      <c r="B819" s="74" t="s">
        <v>6876</v>
      </c>
      <c r="C819" s="74" t="s">
        <v>6877</v>
      </c>
      <c r="D819" s="74" t="s">
        <v>8493</v>
      </c>
      <c r="E819" s="74" t="s">
        <v>28786</v>
      </c>
      <c r="F819" s="74">
        <v>57.0</v>
      </c>
      <c r="G819" s="74">
        <v>1.0</v>
      </c>
      <c r="H819" s="74">
        <v>99.0</v>
      </c>
      <c r="I819" s="74" t="s">
        <v>3587</v>
      </c>
      <c r="J819" s="74" t="s">
        <v>3587</v>
      </c>
      <c r="K819" s="74" t="s">
        <v>28756</v>
      </c>
      <c r="L819" s="74" t="s">
        <v>28757</v>
      </c>
      <c r="M819" s="74" t="s">
        <v>28750</v>
      </c>
      <c r="N819" s="74" t="s">
        <v>28788</v>
      </c>
      <c r="O819" s="74">
        <v>1.0</v>
      </c>
      <c r="P819" s="146">
        <v>43873.0</v>
      </c>
      <c r="Q819" s="119"/>
      <c r="R819" s="74" t="s">
        <v>28790</v>
      </c>
      <c r="S819" s="74">
        <v>6.0</v>
      </c>
      <c r="T819" s="74" t="s">
        <v>22634</v>
      </c>
      <c r="U819" s="120">
        <v>7896.0</v>
      </c>
      <c r="V819" s="74" t="s">
        <v>28791</v>
      </c>
      <c r="W819" s="74" t="s">
        <v>28793</v>
      </c>
      <c r="X819" s="120">
        <v>824.0</v>
      </c>
    </row>
    <row r="820">
      <c r="A820" s="74" t="s">
        <v>28786</v>
      </c>
      <c r="B820" s="74" t="s">
        <v>6876</v>
      </c>
      <c r="C820" s="74" t="s">
        <v>6877</v>
      </c>
      <c r="D820" s="74" t="s">
        <v>8493</v>
      </c>
      <c r="E820" s="74" t="s">
        <v>28794</v>
      </c>
      <c r="F820" s="74">
        <v>55.0</v>
      </c>
      <c r="G820" s="74">
        <v>1.0</v>
      </c>
      <c r="H820" s="74">
        <v>12.0</v>
      </c>
      <c r="I820" s="74" t="s">
        <v>3463</v>
      </c>
      <c r="J820" s="74" t="s">
        <v>3463</v>
      </c>
      <c r="K820" s="74" t="s">
        <v>28748</v>
      </c>
      <c r="L820" s="74" t="s">
        <v>28749</v>
      </c>
      <c r="M820" s="74" t="s">
        <v>28750</v>
      </c>
      <c r="N820" s="74" t="s">
        <v>28798</v>
      </c>
      <c r="O820" s="74">
        <v>0.0</v>
      </c>
      <c r="P820" s="119"/>
      <c r="Q820" s="119"/>
      <c r="R820" s="74" t="s">
        <v>28466</v>
      </c>
      <c r="S820" s="74">
        <v>6.0</v>
      </c>
      <c r="T820" s="74" t="s">
        <v>22634</v>
      </c>
      <c r="U820" s="120">
        <v>7897.0</v>
      </c>
      <c r="V820" s="74" t="s">
        <v>28799</v>
      </c>
      <c r="W820" s="74" t="s">
        <v>28800</v>
      </c>
      <c r="X820" s="120">
        <v>825.0</v>
      </c>
    </row>
    <row r="821">
      <c r="A821" s="74" t="s">
        <v>28794</v>
      </c>
      <c r="B821" s="74" t="s">
        <v>6876</v>
      </c>
      <c r="C821" s="74" t="s">
        <v>6877</v>
      </c>
      <c r="D821" s="74" t="s">
        <v>8493</v>
      </c>
      <c r="E821" s="74" t="s">
        <v>28801</v>
      </c>
      <c r="F821" s="74">
        <v>55.0</v>
      </c>
      <c r="G821" s="74">
        <v>1.0</v>
      </c>
      <c r="H821" s="74">
        <v>99.0</v>
      </c>
      <c r="I821" s="74" t="s">
        <v>3518</v>
      </c>
      <c r="J821" s="74" t="s">
        <v>3518</v>
      </c>
      <c r="K821" s="74" t="s">
        <v>28756</v>
      </c>
      <c r="L821" s="74" t="s">
        <v>28757</v>
      </c>
      <c r="M821" s="74" t="s">
        <v>28750</v>
      </c>
      <c r="N821" s="74" t="s">
        <v>28805</v>
      </c>
      <c r="O821" s="74">
        <v>0.0</v>
      </c>
      <c r="P821" s="119"/>
      <c r="Q821" s="119"/>
      <c r="R821" s="74" t="s">
        <v>28806</v>
      </c>
      <c r="S821" s="74">
        <v>6.0</v>
      </c>
      <c r="T821" s="74" t="s">
        <v>22634</v>
      </c>
      <c r="U821" s="120">
        <v>7898.0</v>
      </c>
      <c r="V821" s="74" t="s">
        <v>28807</v>
      </c>
      <c r="W821" s="74" t="s">
        <v>28808</v>
      </c>
      <c r="X821" s="120">
        <v>826.0</v>
      </c>
    </row>
    <row r="822">
      <c r="A822" s="74" t="s">
        <v>28801</v>
      </c>
      <c r="B822" s="74" t="s">
        <v>6876</v>
      </c>
      <c r="C822" s="74" t="s">
        <v>6877</v>
      </c>
      <c r="D822" s="74" t="s">
        <v>8493</v>
      </c>
      <c r="E822" s="74" t="s">
        <v>28810</v>
      </c>
      <c r="F822" s="74">
        <v>58.0</v>
      </c>
      <c r="G822" s="74">
        <v>2.0</v>
      </c>
      <c r="H822" s="74">
        <v>99.0</v>
      </c>
      <c r="I822" s="74" t="s">
        <v>3735</v>
      </c>
      <c r="J822" s="74" t="s">
        <v>3735</v>
      </c>
      <c r="K822" s="74" t="s">
        <v>28756</v>
      </c>
      <c r="L822" s="74" t="s">
        <v>28757</v>
      </c>
      <c r="M822" s="74" t="s">
        <v>28750</v>
      </c>
      <c r="N822" s="74" t="s">
        <v>28805</v>
      </c>
      <c r="O822" s="74">
        <v>0.0</v>
      </c>
      <c r="P822" s="119"/>
      <c r="Q822" s="119"/>
      <c r="R822" s="74" t="s">
        <v>28813</v>
      </c>
      <c r="S822" s="74">
        <v>6.0</v>
      </c>
      <c r="T822" s="74" t="s">
        <v>22634</v>
      </c>
      <c r="U822" s="120">
        <v>7899.0</v>
      </c>
      <c r="V822" s="74" t="s">
        <v>28814</v>
      </c>
      <c r="W822" s="74" t="s">
        <v>28815</v>
      </c>
      <c r="X822" s="120">
        <v>827.0</v>
      </c>
    </row>
    <row r="823">
      <c r="A823" s="74" t="s">
        <v>28810</v>
      </c>
      <c r="B823" s="74" t="s">
        <v>6876</v>
      </c>
      <c r="C823" s="74" t="s">
        <v>6877</v>
      </c>
      <c r="D823" s="74" t="s">
        <v>8493</v>
      </c>
      <c r="E823" s="74" t="s">
        <v>28817</v>
      </c>
      <c r="F823" s="74">
        <v>58.0</v>
      </c>
      <c r="G823" s="74">
        <v>1.0</v>
      </c>
      <c r="H823" s="74">
        <v>10.0</v>
      </c>
      <c r="I823" s="74" t="s">
        <v>3345</v>
      </c>
      <c r="J823" s="74" t="s">
        <v>3345</v>
      </c>
      <c r="K823" s="74" t="s">
        <v>28748</v>
      </c>
      <c r="L823" s="74" t="s">
        <v>28749</v>
      </c>
      <c r="M823" s="74" t="s">
        <v>28750</v>
      </c>
      <c r="N823" s="74" t="s">
        <v>28820</v>
      </c>
      <c r="O823" s="74">
        <v>0.0</v>
      </c>
      <c r="P823" s="119"/>
      <c r="Q823" s="119"/>
      <c r="R823" s="74" t="s">
        <v>28466</v>
      </c>
      <c r="S823" s="74">
        <v>6.0</v>
      </c>
      <c r="T823" s="74" t="s">
        <v>22634</v>
      </c>
      <c r="U823" s="120">
        <v>7900.0</v>
      </c>
      <c r="V823" s="74" t="s">
        <v>28822</v>
      </c>
      <c r="W823" s="74" t="s">
        <v>28823</v>
      </c>
      <c r="X823" s="120">
        <v>828.0</v>
      </c>
    </row>
    <row r="824">
      <c r="A824" s="74" t="s">
        <v>28817</v>
      </c>
      <c r="B824" s="74" t="s">
        <v>6876</v>
      </c>
      <c r="C824" s="74" t="s">
        <v>6877</v>
      </c>
      <c r="D824" s="74" t="s">
        <v>8493</v>
      </c>
      <c r="E824" s="74" t="s">
        <v>28824</v>
      </c>
      <c r="F824" s="74">
        <v>58.0</v>
      </c>
      <c r="G824" s="74">
        <v>2.0</v>
      </c>
      <c r="H824" s="74">
        <v>99.0</v>
      </c>
      <c r="I824" s="74" t="s">
        <v>3748</v>
      </c>
      <c r="J824" s="74" t="s">
        <v>3748</v>
      </c>
      <c r="K824" s="74" t="s">
        <v>28756</v>
      </c>
      <c r="L824" s="74" t="s">
        <v>28757</v>
      </c>
      <c r="M824" s="74" t="s">
        <v>28750</v>
      </c>
      <c r="N824" s="74" t="s">
        <v>28828</v>
      </c>
      <c r="O824" s="74">
        <v>0.0</v>
      </c>
      <c r="P824" s="119"/>
      <c r="Q824" s="119"/>
      <c r="R824" s="74" t="s">
        <v>28829</v>
      </c>
      <c r="S824" s="74">
        <v>6.0</v>
      </c>
      <c r="T824" s="74" t="s">
        <v>22634</v>
      </c>
      <c r="U824" s="120">
        <v>7901.0</v>
      </c>
      <c r="V824" s="74" t="s">
        <v>28830</v>
      </c>
      <c r="W824" s="74" t="s">
        <v>28831</v>
      </c>
      <c r="X824" s="120">
        <v>829.0</v>
      </c>
    </row>
    <row r="825">
      <c r="A825" s="74" t="s">
        <v>28824</v>
      </c>
      <c r="B825" s="74" t="s">
        <v>6876</v>
      </c>
      <c r="C825" s="74" t="s">
        <v>6877</v>
      </c>
      <c r="D825" s="74" t="s">
        <v>8493</v>
      </c>
      <c r="E825" s="74" t="s">
        <v>28832</v>
      </c>
      <c r="F825" s="74">
        <v>33.0</v>
      </c>
      <c r="G825" s="74">
        <v>1.0</v>
      </c>
      <c r="H825" s="74">
        <v>98.0</v>
      </c>
      <c r="I825" s="74" t="s">
        <v>3761</v>
      </c>
      <c r="J825" s="74" t="s">
        <v>3761</v>
      </c>
      <c r="K825" s="74" t="s">
        <v>28756</v>
      </c>
      <c r="L825" s="74" t="s">
        <v>28757</v>
      </c>
      <c r="M825" s="74" t="s">
        <v>28750</v>
      </c>
      <c r="N825" s="74" t="s">
        <v>28835</v>
      </c>
      <c r="O825" s="74">
        <v>0.0</v>
      </c>
      <c r="P825" s="119"/>
      <c r="Q825" s="119"/>
      <c r="R825" s="74" t="s">
        <v>28742</v>
      </c>
      <c r="S825" s="74">
        <v>6.0</v>
      </c>
      <c r="T825" s="74" t="s">
        <v>22634</v>
      </c>
      <c r="U825" s="120">
        <v>7902.0</v>
      </c>
      <c r="V825" s="74" t="s">
        <v>28837</v>
      </c>
      <c r="W825" s="74" t="s">
        <v>28838</v>
      </c>
      <c r="X825" s="120">
        <v>830.0</v>
      </c>
    </row>
    <row r="826">
      <c r="A826" s="74" t="s">
        <v>28839</v>
      </c>
      <c r="B826" s="74" t="s">
        <v>6876</v>
      </c>
      <c r="C826" s="74" t="s">
        <v>6877</v>
      </c>
      <c r="D826" s="74" t="s">
        <v>8493</v>
      </c>
      <c r="E826" s="74" t="s">
        <v>28840</v>
      </c>
      <c r="F826" s="74">
        <v>29.0</v>
      </c>
      <c r="G826" s="74">
        <v>1.0</v>
      </c>
      <c r="H826" s="74">
        <v>12.0</v>
      </c>
      <c r="I826" s="74" t="s">
        <v>3768</v>
      </c>
      <c r="J826" s="74" t="s">
        <v>3768</v>
      </c>
      <c r="K826" s="74" t="s">
        <v>16897</v>
      </c>
      <c r="L826" s="74" t="s">
        <v>16898</v>
      </c>
      <c r="M826" s="74" t="s">
        <v>28844</v>
      </c>
      <c r="N826" s="74" t="s">
        <v>28845</v>
      </c>
      <c r="O826" s="74">
        <v>0.0</v>
      </c>
      <c r="P826" s="119"/>
      <c r="Q826" s="119"/>
      <c r="R826" s="74" t="s">
        <v>28466</v>
      </c>
      <c r="S826" s="74">
        <v>4.0</v>
      </c>
      <c r="T826" s="74" t="s">
        <v>22634</v>
      </c>
      <c r="U826" s="120">
        <v>8191.0</v>
      </c>
      <c r="V826" s="74" t="s">
        <v>28846</v>
      </c>
      <c r="W826" s="74" t="s">
        <v>28847</v>
      </c>
      <c r="X826" s="120">
        <v>831.0</v>
      </c>
    </row>
    <row r="827">
      <c r="A827" s="74" t="s">
        <v>28840</v>
      </c>
      <c r="B827" s="74" t="s">
        <v>6876</v>
      </c>
      <c r="C827" s="74" t="s">
        <v>6877</v>
      </c>
      <c r="D827" s="74" t="s">
        <v>8493</v>
      </c>
      <c r="E827" s="74" t="s">
        <v>28849</v>
      </c>
      <c r="F827" s="74">
        <v>29.0</v>
      </c>
      <c r="G827" s="74">
        <v>1.0</v>
      </c>
      <c r="H827" s="74">
        <v>99.0</v>
      </c>
      <c r="I827" s="74" t="s">
        <v>3778</v>
      </c>
      <c r="J827" s="74" t="s">
        <v>3778</v>
      </c>
      <c r="K827" s="74" t="s">
        <v>16897</v>
      </c>
      <c r="L827" s="74" t="s">
        <v>28852</v>
      </c>
      <c r="M827" s="74" t="s">
        <v>28844</v>
      </c>
      <c r="N827" s="74" t="s">
        <v>28853</v>
      </c>
      <c r="O827" s="74">
        <v>0.0</v>
      </c>
      <c r="P827" s="119"/>
      <c r="Q827" s="119"/>
      <c r="R827" s="74" t="s">
        <v>28854</v>
      </c>
      <c r="S827" s="74">
        <v>4.0</v>
      </c>
      <c r="T827" s="74" t="s">
        <v>22634</v>
      </c>
      <c r="U827" s="120">
        <v>8192.0</v>
      </c>
      <c r="V827" s="74" t="s">
        <v>28855</v>
      </c>
      <c r="W827" s="74" t="s">
        <v>28856</v>
      </c>
      <c r="X827" s="120">
        <v>832.0</v>
      </c>
    </row>
    <row r="828">
      <c r="A828" s="74" t="s">
        <v>28849</v>
      </c>
      <c r="B828" s="74" t="s">
        <v>6876</v>
      </c>
      <c r="C828" s="74" t="s">
        <v>6877</v>
      </c>
      <c r="D828" s="74" t="s">
        <v>8493</v>
      </c>
      <c r="E828" s="74" t="s">
        <v>28859</v>
      </c>
      <c r="F828" s="74">
        <v>3.0</v>
      </c>
      <c r="G828" s="74">
        <v>1.0</v>
      </c>
      <c r="H828" s="74">
        <v>12.0</v>
      </c>
      <c r="I828" s="74" t="s">
        <v>3785</v>
      </c>
      <c r="J828" s="74" t="s">
        <v>3785</v>
      </c>
      <c r="K828" s="74" t="s">
        <v>16897</v>
      </c>
      <c r="L828" s="74" t="s">
        <v>16898</v>
      </c>
      <c r="M828" s="74" t="s">
        <v>28844</v>
      </c>
      <c r="N828" s="74" t="s">
        <v>28861</v>
      </c>
      <c r="O828" s="74">
        <v>0.0</v>
      </c>
      <c r="P828" s="119"/>
      <c r="Q828" s="119"/>
      <c r="R828" s="74" t="s">
        <v>28466</v>
      </c>
      <c r="S828" s="74">
        <v>6.0</v>
      </c>
      <c r="T828" s="74" t="s">
        <v>22634</v>
      </c>
      <c r="U828" s="120">
        <v>8193.0</v>
      </c>
      <c r="V828" s="74" t="s">
        <v>28863</v>
      </c>
      <c r="W828" s="74" t="s">
        <v>28865</v>
      </c>
      <c r="X828" s="120">
        <v>833.0</v>
      </c>
    </row>
    <row r="829">
      <c r="A829" s="74" t="s">
        <v>28859</v>
      </c>
      <c r="B829" s="74" t="s">
        <v>6876</v>
      </c>
      <c r="C829" s="74" t="s">
        <v>6877</v>
      </c>
      <c r="D829" s="74" t="s">
        <v>8493</v>
      </c>
      <c r="E829" s="74" t="s">
        <v>28866</v>
      </c>
      <c r="F829" s="74">
        <v>3.0</v>
      </c>
      <c r="G829" s="74">
        <v>1.0</v>
      </c>
      <c r="H829" s="74">
        <v>99.0</v>
      </c>
      <c r="I829" s="74" t="s">
        <v>3800</v>
      </c>
      <c r="J829" s="74" t="s">
        <v>3800</v>
      </c>
      <c r="K829" s="74" t="s">
        <v>16897</v>
      </c>
      <c r="L829" s="74" t="s">
        <v>28852</v>
      </c>
      <c r="M829" s="74" t="s">
        <v>28844</v>
      </c>
      <c r="N829" s="74" t="s">
        <v>28868</v>
      </c>
      <c r="O829" s="74">
        <v>1.0</v>
      </c>
      <c r="P829" s="146">
        <v>43874.0</v>
      </c>
      <c r="Q829" s="119"/>
      <c r="R829" s="74" t="s">
        <v>28869</v>
      </c>
      <c r="S829" s="74">
        <v>6.0</v>
      </c>
      <c r="T829" s="74" t="s">
        <v>22634</v>
      </c>
      <c r="U829" s="120">
        <v>8194.0</v>
      </c>
      <c r="V829" s="74" t="s">
        <v>28870</v>
      </c>
      <c r="W829" s="74" t="s">
        <v>28871</v>
      </c>
      <c r="X829" s="120">
        <v>834.0</v>
      </c>
    </row>
    <row r="830">
      <c r="A830" s="74" t="s">
        <v>28866</v>
      </c>
      <c r="B830" s="74" t="s">
        <v>6876</v>
      </c>
      <c r="C830" s="74" t="s">
        <v>6877</v>
      </c>
      <c r="D830" s="74" t="s">
        <v>8493</v>
      </c>
      <c r="E830" s="74" t="s">
        <v>28873</v>
      </c>
      <c r="F830" s="74">
        <v>58.0</v>
      </c>
      <c r="G830" s="74">
        <v>1.0</v>
      </c>
      <c r="H830" s="74">
        <v>11.0</v>
      </c>
      <c r="I830" s="74" t="s">
        <v>3805</v>
      </c>
      <c r="J830" s="74" t="s">
        <v>3805</v>
      </c>
      <c r="K830" s="74" t="s">
        <v>16897</v>
      </c>
      <c r="L830" s="74" t="s">
        <v>16898</v>
      </c>
      <c r="M830" s="74" t="s">
        <v>28844</v>
      </c>
      <c r="N830" s="74" t="s">
        <v>28876</v>
      </c>
      <c r="O830" s="74">
        <v>0.0</v>
      </c>
      <c r="P830" s="119"/>
      <c r="Q830" s="119"/>
      <c r="R830" s="74" t="s">
        <v>28466</v>
      </c>
      <c r="S830" s="74">
        <v>4.0</v>
      </c>
      <c r="T830" s="74" t="s">
        <v>22634</v>
      </c>
      <c r="U830" s="120">
        <v>8195.0</v>
      </c>
      <c r="V830" s="74" t="s">
        <v>28878</v>
      </c>
      <c r="W830" s="74" t="s">
        <v>28879</v>
      </c>
      <c r="X830" s="120">
        <v>835.0</v>
      </c>
    </row>
    <row r="831">
      <c r="A831" s="74" t="s">
        <v>28873</v>
      </c>
      <c r="B831" s="74" t="s">
        <v>6876</v>
      </c>
      <c r="C831" s="74" t="s">
        <v>6877</v>
      </c>
      <c r="D831" s="74" t="s">
        <v>8493</v>
      </c>
      <c r="E831" s="74" t="s">
        <v>28880</v>
      </c>
      <c r="F831" s="74">
        <v>58.0</v>
      </c>
      <c r="G831" s="74">
        <v>1.0</v>
      </c>
      <c r="H831" s="74">
        <v>99.0</v>
      </c>
      <c r="I831" s="74" t="s">
        <v>3817</v>
      </c>
      <c r="J831" s="74" t="s">
        <v>3817</v>
      </c>
      <c r="K831" s="74" t="s">
        <v>16897</v>
      </c>
      <c r="L831" s="74" t="s">
        <v>16898</v>
      </c>
      <c r="M831" s="74" t="s">
        <v>28844</v>
      </c>
      <c r="N831" s="74" t="s">
        <v>28883</v>
      </c>
      <c r="O831" s="74">
        <v>0.0</v>
      </c>
      <c r="P831" s="119"/>
      <c r="Q831" s="119"/>
      <c r="R831" s="74" t="s">
        <v>28884</v>
      </c>
      <c r="S831" s="74">
        <v>4.0</v>
      </c>
      <c r="T831" s="74" t="s">
        <v>22634</v>
      </c>
      <c r="U831" s="120">
        <v>8196.0</v>
      </c>
      <c r="V831" s="74" t="s">
        <v>28885</v>
      </c>
      <c r="W831" s="74" t="s">
        <v>28887</v>
      </c>
      <c r="X831" s="120">
        <v>836.0</v>
      </c>
    </row>
    <row r="832">
      <c r="A832" s="74" t="s">
        <v>28880</v>
      </c>
      <c r="B832" s="74" t="s">
        <v>6876</v>
      </c>
      <c r="C832" s="74" t="s">
        <v>6877</v>
      </c>
      <c r="D832" s="74" t="s">
        <v>8493</v>
      </c>
      <c r="E832" s="74" t="s">
        <v>28888</v>
      </c>
      <c r="F832" s="74">
        <v>58.0</v>
      </c>
      <c r="G832" s="74">
        <v>1.0</v>
      </c>
      <c r="H832" s="74">
        <v>11.0</v>
      </c>
      <c r="I832" s="74" t="s">
        <v>3821</v>
      </c>
      <c r="J832" s="74" t="s">
        <v>3821</v>
      </c>
      <c r="K832" s="74" t="s">
        <v>16897</v>
      </c>
      <c r="L832" s="74" t="s">
        <v>16898</v>
      </c>
      <c r="M832" s="74" t="s">
        <v>28844</v>
      </c>
      <c r="N832" s="74" t="s">
        <v>28889</v>
      </c>
      <c r="O832" s="74">
        <v>0.0</v>
      </c>
      <c r="P832" s="119"/>
      <c r="Q832" s="119"/>
      <c r="R832" s="74" t="s">
        <v>28466</v>
      </c>
      <c r="S832" s="74">
        <v>6.0</v>
      </c>
      <c r="T832" s="74" t="s">
        <v>22634</v>
      </c>
      <c r="U832" s="120">
        <v>8197.0</v>
      </c>
      <c r="V832" s="74" t="s">
        <v>28891</v>
      </c>
      <c r="W832" s="74" t="s">
        <v>28892</v>
      </c>
      <c r="X832" s="120">
        <v>837.0</v>
      </c>
    </row>
    <row r="833">
      <c r="A833" s="74" t="s">
        <v>28888</v>
      </c>
      <c r="B833" s="74" t="s">
        <v>6876</v>
      </c>
      <c r="C833" s="74" t="s">
        <v>6877</v>
      </c>
      <c r="D833" s="74" t="s">
        <v>8493</v>
      </c>
      <c r="E833" s="74" t="s">
        <v>28894</v>
      </c>
      <c r="F833" s="74">
        <v>58.0</v>
      </c>
      <c r="G833" s="74">
        <v>1.0</v>
      </c>
      <c r="H833" s="74">
        <v>99.0</v>
      </c>
      <c r="I833" s="74" t="s">
        <v>3833</v>
      </c>
      <c r="J833" s="74" t="s">
        <v>3833</v>
      </c>
      <c r="K833" s="74" t="s">
        <v>16897</v>
      </c>
      <c r="L833" s="74" t="s">
        <v>16898</v>
      </c>
      <c r="M833" s="74" t="s">
        <v>28844</v>
      </c>
      <c r="N833" s="74" t="s">
        <v>28896</v>
      </c>
      <c r="O833" s="74">
        <v>0.0</v>
      </c>
      <c r="P833" s="119"/>
      <c r="Q833" s="119"/>
      <c r="R833" s="74" t="s">
        <v>28897</v>
      </c>
      <c r="S833" s="74">
        <v>6.0</v>
      </c>
      <c r="T833" s="74" t="s">
        <v>22634</v>
      </c>
      <c r="U833" s="120">
        <v>8198.0</v>
      </c>
      <c r="V833" s="74" t="s">
        <v>28899</v>
      </c>
      <c r="W833" s="74" t="s">
        <v>28900</v>
      </c>
      <c r="X833" s="120">
        <v>838.0</v>
      </c>
    </row>
    <row r="834">
      <c r="A834" s="74" t="s">
        <v>28894</v>
      </c>
      <c r="B834" s="74" t="s">
        <v>6876</v>
      </c>
      <c r="C834" s="74" t="s">
        <v>6877</v>
      </c>
      <c r="D834" s="74" t="s">
        <v>8493</v>
      </c>
      <c r="E834" s="74" t="s">
        <v>28901</v>
      </c>
      <c r="F834" s="74">
        <v>33.0</v>
      </c>
      <c r="G834" s="74">
        <v>1.0</v>
      </c>
      <c r="H834" s="74">
        <v>98.0</v>
      </c>
      <c r="I834" s="74" t="s">
        <v>3841</v>
      </c>
      <c r="J834" s="74" t="s">
        <v>3841</v>
      </c>
      <c r="K834" s="74" t="s">
        <v>16897</v>
      </c>
      <c r="L834" s="74" t="s">
        <v>16898</v>
      </c>
      <c r="M834" s="74" t="s">
        <v>28844</v>
      </c>
      <c r="N834" s="74" t="s">
        <v>28904</v>
      </c>
      <c r="O834" s="74">
        <v>0.0</v>
      </c>
      <c r="P834" s="119"/>
      <c r="Q834" s="119"/>
      <c r="R834" s="74" t="s">
        <v>28742</v>
      </c>
      <c r="S834" s="74">
        <v>6.0</v>
      </c>
      <c r="T834" s="74" t="s">
        <v>22634</v>
      </c>
      <c r="U834" s="120">
        <v>8199.0</v>
      </c>
      <c r="V834" s="74" t="s">
        <v>28906</v>
      </c>
      <c r="W834" s="74" t="s">
        <v>28907</v>
      </c>
      <c r="X834" s="120">
        <v>839.0</v>
      </c>
    </row>
    <row r="835">
      <c r="A835" s="74" t="s">
        <v>28901</v>
      </c>
      <c r="B835" s="74" t="s">
        <v>6876</v>
      </c>
      <c r="C835" s="74" t="s">
        <v>6877</v>
      </c>
      <c r="D835" s="74" t="s">
        <v>8493</v>
      </c>
      <c r="E835" s="74" t="s">
        <v>28908</v>
      </c>
      <c r="F835" s="74">
        <v>59.0</v>
      </c>
      <c r="G835" s="74">
        <v>1.0</v>
      </c>
      <c r="H835" s="74">
        <v>11.0</v>
      </c>
      <c r="I835" s="74" t="s">
        <v>3896</v>
      </c>
      <c r="J835" s="74" t="s">
        <v>3896</v>
      </c>
      <c r="K835" s="74" t="s">
        <v>28909</v>
      </c>
      <c r="L835" s="74" t="s">
        <v>28910</v>
      </c>
      <c r="M835" s="74" t="s">
        <v>21611</v>
      </c>
      <c r="N835" s="74" t="s">
        <v>28911</v>
      </c>
      <c r="O835" s="74">
        <v>0.0</v>
      </c>
      <c r="P835" s="119"/>
      <c r="Q835" s="119"/>
      <c r="R835" s="74" t="s">
        <v>28466</v>
      </c>
      <c r="S835" s="74">
        <v>6.0</v>
      </c>
      <c r="T835" s="74" t="s">
        <v>22634</v>
      </c>
      <c r="U835" s="120">
        <v>8200.0</v>
      </c>
      <c r="V835" s="74" t="s">
        <v>28914</v>
      </c>
      <c r="W835" s="74" t="s">
        <v>28915</v>
      </c>
      <c r="X835" s="120">
        <v>840.0</v>
      </c>
    </row>
    <row r="836">
      <c r="A836" s="74" t="s">
        <v>28917</v>
      </c>
      <c r="B836" s="74" t="s">
        <v>6876</v>
      </c>
      <c r="C836" s="74" t="s">
        <v>6877</v>
      </c>
      <c r="D836" s="74" t="s">
        <v>8493</v>
      </c>
      <c r="E836" s="74" t="s">
        <v>28918</v>
      </c>
      <c r="F836" s="74">
        <v>59.0</v>
      </c>
      <c r="G836" s="74">
        <v>1.0</v>
      </c>
      <c r="H836" s="74">
        <v>99.0</v>
      </c>
      <c r="I836" s="74" t="s">
        <v>3905</v>
      </c>
      <c r="J836" s="74" t="s">
        <v>3905</v>
      </c>
      <c r="K836" s="74" t="s">
        <v>28909</v>
      </c>
      <c r="L836" s="74" t="s">
        <v>28910</v>
      </c>
      <c r="M836" s="74" t="s">
        <v>21611</v>
      </c>
      <c r="N836" s="74" t="s">
        <v>28919</v>
      </c>
      <c r="O836" s="74">
        <v>0.0</v>
      </c>
      <c r="P836" s="119"/>
      <c r="Q836" s="119"/>
      <c r="R836" s="74" t="s">
        <v>28921</v>
      </c>
      <c r="S836" s="74">
        <v>6.0</v>
      </c>
      <c r="T836" s="74" t="s">
        <v>22634</v>
      </c>
      <c r="U836" s="120">
        <v>8201.0</v>
      </c>
      <c r="V836" s="74" t="s">
        <v>28924</v>
      </c>
      <c r="W836" s="74" t="s">
        <v>28925</v>
      </c>
      <c r="X836" s="120">
        <v>841.0</v>
      </c>
    </row>
    <row r="837">
      <c r="A837" s="74" t="s">
        <v>28926</v>
      </c>
      <c r="B837" s="74" t="s">
        <v>6876</v>
      </c>
      <c r="C837" s="74" t="s">
        <v>6877</v>
      </c>
      <c r="D837" s="74" t="s">
        <v>8493</v>
      </c>
      <c r="E837" s="74" t="s">
        <v>28928</v>
      </c>
      <c r="F837" s="74">
        <v>59.0</v>
      </c>
      <c r="G837" s="74">
        <v>1.0</v>
      </c>
      <c r="H837" s="74">
        <v>11.0</v>
      </c>
      <c r="I837" s="74" t="s">
        <v>3911</v>
      </c>
      <c r="J837" s="74" t="s">
        <v>3911</v>
      </c>
      <c r="K837" s="74" t="s">
        <v>28909</v>
      </c>
      <c r="L837" s="74" t="s">
        <v>28910</v>
      </c>
      <c r="M837" s="74" t="s">
        <v>21611</v>
      </c>
      <c r="N837" s="74" t="s">
        <v>28911</v>
      </c>
      <c r="O837" s="74">
        <v>0.0</v>
      </c>
      <c r="P837" s="119"/>
      <c r="Q837" s="119"/>
      <c r="R837" s="74" t="s">
        <v>28466</v>
      </c>
      <c r="S837" s="74">
        <v>6.0</v>
      </c>
      <c r="T837" s="74" t="s">
        <v>22634</v>
      </c>
      <c r="U837" s="120">
        <v>8202.0</v>
      </c>
      <c r="V837" s="74" t="s">
        <v>28929</v>
      </c>
      <c r="W837" s="74" t="s">
        <v>28930</v>
      </c>
      <c r="X837" s="120">
        <v>842.0</v>
      </c>
    </row>
    <row r="838">
      <c r="A838" s="74" t="s">
        <v>28928</v>
      </c>
      <c r="B838" s="74" t="s">
        <v>6876</v>
      </c>
      <c r="C838" s="74" t="s">
        <v>6877</v>
      </c>
      <c r="D838" s="74" t="s">
        <v>8493</v>
      </c>
      <c r="E838" s="74" t="s">
        <v>28933</v>
      </c>
      <c r="F838" s="74">
        <v>59.0</v>
      </c>
      <c r="G838" s="74">
        <v>1.0</v>
      </c>
      <c r="H838" s="74">
        <v>99.0</v>
      </c>
      <c r="I838" s="74" t="s">
        <v>3922</v>
      </c>
      <c r="J838" s="74" t="s">
        <v>3922</v>
      </c>
      <c r="K838" s="74" t="s">
        <v>28909</v>
      </c>
      <c r="L838" s="74" t="s">
        <v>28910</v>
      </c>
      <c r="M838" s="74" t="s">
        <v>21611</v>
      </c>
      <c r="N838" s="74" t="s">
        <v>28934</v>
      </c>
      <c r="O838" s="74">
        <v>0.0</v>
      </c>
      <c r="P838" s="119"/>
      <c r="Q838" s="119"/>
      <c r="R838" s="74" t="s">
        <v>28936</v>
      </c>
      <c r="S838" s="74">
        <v>6.0</v>
      </c>
      <c r="T838" s="74" t="s">
        <v>22634</v>
      </c>
      <c r="U838" s="120">
        <v>8203.0</v>
      </c>
      <c r="V838" s="74" t="s">
        <v>28937</v>
      </c>
      <c r="W838" s="74" t="s">
        <v>28938</v>
      </c>
      <c r="X838" s="120">
        <v>843.0</v>
      </c>
    </row>
    <row r="839">
      <c r="A839" s="74" t="s">
        <v>28933</v>
      </c>
      <c r="B839" s="74" t="s">
        <v>6876</v>
      </c>
      <c r="C839" s="74" t="s">
        <v>6877</v>
      </c>
      <c r="D839" s="74" t="s">
        <v>8493</v>
      </c>
      <c r="E839" s="74" t="s">
        <v>28939</v>
      </c>
      <c r="F839" s="74">
        <v>59.0</v>
      </c>
      <c r="G839" s="74">
        <v>1.0</v>
      </c>
      <c r="H839" s="74">
        <v>11.0</v>
      </c>
      <c r="I839" s="74" t="s">
        <v>3931</v>
      </c>
      <c r="J839" s="74" t="s">
        <v>3931</v>
      </c>
      <c r="K839" s="74" t="s">
        <v>28909</v>
      </c>
      <c r="L839" s="74" t="s">
        <v>28910</v>
      </c>
      <c r="M839" s="74" t="s">
        <v>21611</v>
      </c>
      <c r="N839" s="74" t="s">
        <v>28941</v>
      </c>
      <c r="O839" s="74">
        <v>0.0</v>
      </c>
      <c r="P839" s="119"/>
      <c r="Q839" s="119"/>
      <c r="R839" s="74" t="s">
        <v>28466</v>
      </c>
      <c r="S839" s="74">
        <v>6.0</v>
      </c>
      <c r="T839" s="74" t="s">
        <v>22634</v>
      </c>
      <c r="U839" s="120">
        <v>8204.0</v>
      </c>
      <c r="V839" s="74" t="s">
        <v>28943</v>
      </c>
      <c r="W839" s="74" t="s">
        <v>28944</v>
      </c>
      <c r="X839" s="120">
        <v>844.0</v>
      </c>
    </row>
    <row r="840">
      <c r="A840" s="74" t="s">
        <v>28945</v>
      </c>
      <c r="B840" s="74" t="s">
        <v>6876</v>
      </c>
      <c r="C840" s="74" t="s">
        <v>6877</v>
      </c>
      <c r="D840" s="74" t="s">
        <v>8493</v>
      </c>
      <c r="E840" s="74" t="s">
        <v>28947</v>
      </c>
      <c r="F840" s="74">
        <v>59.0</v>
      </c>
      <c r="G840" s="74">
        <v>1.0</v>
      </c>
      <c r="H840" s="74">
        <v>99.0</v>
      </c>
      <c r="I840" s="74" t="s">
        <v>3943</v>
      </c>
      <c r="J840" s="74" t="s">
        <v>3943</v>
      </c>
      <c r="K840" s="74" t="s">
        <v>28909</v>
      </c>
      <c r="L840" s="74" t="s">
        <v>28910</v>
      </c>
      <c r="M840" s="74" t="s">
        <v>21611</v>
      </c>
      <c r="N840" s="74" t="s">
        <v>28948</v>
      </c>
      <c r="O840" s="74">
        <v>0.0</v>
      </c>
      <c r="P840" s="119"/>
      <c r="Q840" s="119"/>
      <c r="R840" s="74" t="s">
        <v>28949</v>
      </c>
      <c r="S840" s="74">
        <v>6.0</v>
      </c>
      <c r="T840" s="74" t="s">
        <v>22634</v>
      </c>
      <c r="U840" s="120">
        <v>8205.0</v>
      </c>
      <c r="V840" s="74" t="s">
        <v>28950</v>
      </c>
      <c r="W840" s="74" t="s">
        <v>28951</v>
      </c>
      <c r="X840" s="120">
        <v>845.0</v>
      </c>
    </row>
    <row r="841">
      <c r="A841" s="74" t="s">
        <v>28947</v>
      </c>
      <c r="B841" s="74" t="s">
        <v>6876</v>
      </c>
      <c r="C841" s="74" t="s">
        <v>6877</v>
      </c>
      <c r="D841" s="74" t="s">
        <v>8493</v>
      </c>
      <c r="E841" s="74" t="s">
        <v>28954</v>
      </c>
      <c r="F841" s="74">
        <v>66.0</v>
      </c>
      <c r="G841" s="74">
        <v>1.0</v>
      </c>
      <c r="H841" s="74">
        <v>12.0</v>
      </c>
      <c r="I841" s="74" t="s">
        <v>3854</v>
      </c>
      <c r="J841" s="74" t="s">
        <v>3854</v>
      </c>
      <c r="K841" s="74" t="s">
        <v>28909</v>
      </c>
      <c r="L841" s="74" t="s">
        <v>28910</v>
      </c>
      <c r="M841" s="74" t="s">
        <v>21611</v>
      </c>
      <c r="N841" s="74" t="s">
        <v>28957</v>
      </c>
      <c r="O841" s="74">
        <v>0.0</v>
      </c>
      <c r="P841" s="119"/>
      <c r="Q841" s="119"/>
      <c r="R841" s="74" t="s">
        <v>28480</v>
      </c>
      <c r="S841" s="74">
        <v>6.0</v>
      </c>
      <c r="T841" s="74" t="s">
        <v>22634</v>
      </c>
      <c r="U841" s="120">
        <v>8206.0</v>
      </c>
      <c r="V841" s="74" t="s">
        <v>28958</v>
      </c>
      <c r="W841" s="74" t="s">
        <v>28959</v>
      </c>
      <c r="X841" s="120">
        <v>846.0</v>
      </c>
    </row>
    <row r="842">
      <c r="A842" s="74" t="s">
        <v>28954</v>
      </c>
      <c r="B842" s="74" t="s">
        <v>6876</v>
      </c>
      <c r="C842" s="74" t="s">
        <v>6877</v>
      </c>
      <c r="D842" s="74" t="s">
        <v>8493</v>
      </c>
      <c r="E842" s="74" t="s">
        <v>28960</v>
      </c>
      <c r="F842" s="74">
        <v>66.0</v>
      </c>
      <c r="G842" s="74">
        <v>1.0</v>
      </c>
      <c r="H842" s="74">
        <v>99.0</v>
      </c>
      <c r="I842" s="74" t="s">
        <v>3862</v>
      </c>
      <c r="J842" s="74" t="s">
        <v>3862</v>
      </c>
      <c r="K842" s="74" t="s">
        <v>28909</v>
      </c>
      <c r="L842" s="74" t="s">
        <v>28910</v>
      </c>
      <c r="M842" s="74" t="s">
        <v>21611</v>
      </c>
      <c r="N842" s="74" t="s">
        <v>28963</v>
      </c>
      <c r="O842" s="74">
        <v>0.0</v>
      </c>
      <c r="P842" s="119"/>
      <c r="Q842" s="119"/>
      <c r="R842" s="74" t="s">
        <v>28964</v>
      </c>
      <c r="S842" s="74">
        <v>6.0</v>
      </c>
      <c r="T842" s="74" t="s">
        <v>22634</v>
      </c>
      <c r="U842" s="120">
        <v>8207.0</v>
      </c>
      <c r="V842" s="74" t="s">
        <v>28965</v>
      </c>
      <c r="W842" s="74" t="s">
        <v>28966</v>
      </c>
      <c r="X842" s="120">
        <v>847.0</v>
      </c>
    </row>
    <row r="843">
      <c r="A843" s="74" t="s">
        <v>28960</v>
      </c>
      <c r="B843" s="74" t="s">
        <v>6876</v>
      </c>
      <c r="C843" s="74" t="s">
        <v>6877</v>
      </c>
      <c r="D843" s="74" t="s">
        <v>8493</v>
      </c>
      <c r="E843" s="74" t="s">
        <v>28968</v>
      </c>
      <c r="F843" s="74">
        <v>59.0</v>
      </c>
      <c r="G843" s="74">
        <v>1.0</v>
      </c>
      <c r="H843" s="74">
        <v>12.0</v>
      </c>
      <c r="I843" s="74" t="s">
        <v>3868</v>
      </c>
      <c r="J843" s="74" t="s">
        <v>3868</v>
      </c>
      <c r="K843" s="74" t="s">
        <v>28909</v>
      </c>
      <c r="L843" s="74" t="s">
        <v>28910</v>
      </c>
      <c r="M843" s="74" t="s">
        <v>21611</v>
      </c>
      <c r="N843" s="74" t="s">
        <v>28969</v>
      </c>
      <c r="O843" s="74">
        <v>0.0</v>
      </c>
      <c r="P843" s="119"/>
      <c r="Q843" s="119"/>
      <c r="R843" s="74" t="s">
        <v>28466</v>
      </c>
      <c r="S843" s="74">
        <v>6.0</v>
      </c>
      <c r="T843" s="74" t="s">
        <v>22634</v>
      </c>
      <c r="U843" s="120">
        <v>8208.0</v>
      </c>
      <c r="V843" s="74" t="s">
        <v>28970</v>
      </c>
      <c r="W843" s="74" t="s">
        <v>28971</v>
      </c>
      <c r="X843" s="120">
        <v>848.0</v>
      </c>
    </row>
    <row r="844">
      <c r="A844" s="74" t="s">
        <v>28968</v>
      </c>
      <c r="B844" s="74" t="s">
        <v>6876</v>
      </c>
      <c r="C844" s="74" t="s">
        <v>6877</v>
      </c>
      <c r="D844" s="74" t="s">
        <v>8493</v>
      </c>
      <c r="E844" s="74" t="s">
        <v>28974</v>
      </c>
      <c r="F844" s="74">
        <v>59.0</v>
      </c>
      <c r="G844" s="74">
        <v>1.0</v>
      </c>
      <c r="H844" s="74">
        <v>99.0</v>
      </c>
      <c r="I844" s="74" t="s">
        <v>3878</v>
      </c>
      <c r="J844" s="74" t="s">
        <v>3878</v>
      </c>
      <c r="K844" s="74" t="s">
        <v>28909</v>
      </c>
      <c r="L844" s="74" t="s">
        <v>28910</v>
      </c>
      <c r="M844" s="74" t="s">
        <v>21611</v>
      </c>
      <c r="N844" s="74" t="s">
        <v>28963</v>
      </c>
      <c r="O844" s="74">
        <v>0.0</v>
      </c>
      <c r="P844" s="119"/>
      <c r="Q844" s="119"/>
      <c r="R844" s="74" t="s">
        <v>28976</v>
      </c>
      <c r="S844" s="74">
        <v>6.0</v>
      </c>
      <c r="T844" s="74" t="s">
        <v>22634</v>
      </c>
      <c r="U844" s="120">
        <v>8209.0</v>
      </c>
      <c r="V844" s="74" t="s">
        <v>28977</v>
      </c>
      <c r="W844" s="74" t="s">
        <v>28978</v>
      </c>
      <c r="X844" s="120">
        <v>849.0</v>
      </c>
    </row>
    <row r="845">
      <c r="A845" s="74" t="s">
        <v>28974</v>
      </c>
      <c r="B845" s="74" t="s">
        <v>6876</v>
      </c>
      <c r="C845" s="74" t="s">
        <v>6877</v>
      </c>
      <c r="D845" s="74" t="s">
        <v>8493</v>
      </c>
      <c r="E845" s="74" t="s">
        <v>28979</v>
      </c>
      <c r="F845" s="74">
        <v>65.0</v>
      </c>
      <c r="G845" s="74">
        <v>1.0</v>
      </c>
      <c r="H845" s="74">
        <v>12.0</v>
      </c>
      <c r="I845" s="74" t="s">
        <v>3884</v>
      </c>
      <c r="J845" s="74" t="s">
        <v>3884</v>
      </c>
      <c r="K845" s="74" t="s">
        <v>28909</v>
      </c>
      <c r="L845" s="74" t="s">
        <v>28910</v>
      </c>
      <c r="M845" s="74" t="s">
        <v>21611</v>
      </c>
      <c r="N845" s="74" t="s">
        <v>28982</v>
      </c>
      <c r="O845" s="74">
        <v>0.0</v>
      </c>
      <c r="P845" s="119"/>
      <c r="Q845" s="119"/>
      <c r="R845" s="74" t="s">
        <v>28466</v>
      </c>
      <c r="S845" s="74">
        <v>6.0</v>
      </c>
      <c r="T845" s="74" t="s">
        <v>22634</v>
      </c>
      <c r="U845" s="120">
        <v>8210.0</v>
      </c>
      <c r="V845" s="74" t="s">
        <v>28983</v>
      </c>
      <c r="W845" s="74" t="s">
        <v>28985</v>
      </c>
      <c r="X845" s="120">
        <v>850.0</v>
      </c>
    </row>
    <row r="846">
      <c r="A846" s="74" t="s">
        <v>28986</v>
      </c>
      <c r="B846" s="74" t="s">
        <v>6876</v>
      </c>
      <c r="C846" s="74" t="s">
        <v>6877</v>
      </c>
      <c r="D846" s="74" t="s">
        <v>8493</v>
      </c>
      <c r="E846" s="74" t="s">
        <v>28987</v>
      </c>
      <c r="F846" s="74">
        <v>65.0</v>
      </c>
      <c r="G846" s="74">
        <v>1.0</v>
      </c>
      <c r="H846" s="74">
        <v>99.0</v>
      </c>
      <c r="I846" s="74" t="s">
        <v>3892</v>
      </c>
      <c r="J846" s="74" t="s">
        <v>3892</v>
      </c>
      <c r="K846" s="74" t="s">
        <v>28909</v>
      </c>
      <c r="L846" s="74" t="s">
        <v>28910</v>
      </c>
      <c r="M846" s="74" t="s">
        <v>21611</v>
      </c>
      <c r="N846" s="74" t="s">
        <v>28988</v>
      </c>
      <c r="O846" s="74">
        <v>0.0</v>
      </c>
      <c r="P846" s="119"/>
      <c r="Q846" s="119"/>
      <c r="R846" s="74" t="s">
        <v>28990</v>
      </c>
      <c r="S846" s="74">
        <v>6.0</v>
      </c>
      <c r="T846" s="74" t="s">
        <v>22634</v>
      </c>
      <c r="U846" s="120">
        <v>8211.0</v>
      </c>
      <c r="V846" s="74" t="s">
        <v>28992</v>
      </c>
      <c r="W846" s="74" t="s">
        <v>28993</v>
      </c>
      <c r="X846" s="120">
        <v>851.0</v>
      </c>
    </row>
    <row r="847">
      <c r="A847" s="74" t="s">
        <v>28987</v>
      </c>
      <c r="B847" s="74" t="s">
        <v>6876</v>
      </c>
      <c r="C847" s="74" t="s">
        <v>6877</v>
      </c>
      <c r="D847" s="74" t="s">
        <v>8493</v>
      </c>
      <c r="E847" s="74" t="s">
        <v>28995</v>
      </c>
      <c r="F847" s="74">
        <v>33.0</v>
      </c>
      <c r="G847" s="74">
        <v>1.0</v>
      </c>
      <c r="H847" s="74">
        <v>98.0</v>
      </c>
      <c r="I847" s="74" t="s">
        <v>3997</v>
      </c>
      <c r="J847" s="74" t="s">
        <v>3997</v>
      </c>
      <c r="K847" s="74" t="s">
        <v>28909</v>
      </c>
      <c r="L847" s="74" t="s">
        <v>28910</v>
      </c>
      <c r="M847" s="74" t="s">
        <v>21611</v>
      </c>
      <c r="N847" s="74" t="s">
        <v>28996</v>
      </c>
      <c r="O847" s="74">
        <v>0.0</v>
      </c>
      <c r="P847" s="119"/>
      <c r="Q847" s="119"/>
      <c r="R847" s="74" t="s">
        <v>28742</v>
      </c>
      <c r="S847" s="74">
        <v>6.0</v>
      </c>
      <c r="T847" s="74" t="s">
        <v>22634</v>
      </c>
      <c r="U847" s="120">
        <v>8212.0</v>
      </c>
      <c r="V847" s="74" t="s">
        <v>28997</v>
      </c>
      <c r="W847" s="74" t="s">
        <v>28998</v>
      </c>
      <c r="X847" s="120">
        <v>852.0</v>
      </c>
    </row>
    <row r="848">
      <c r="A848" s="74" t="s">
        <v>28995</v>
      </c>
      <c r="B848" s="74" t="s">
        <v>6876</v>
      </c>
      <c r="C848" s="74" t="s">
        <v>6877</v>
      </c>
      <c r="D848" s="74" t="s">
        <v>8493</v>
      </c>
      <c r="E848" s="74" t="s">
        <v>29001</v>
      </c>
      <c r="F848" s="74">
        <v>59.0</v>
      </c>
      <c r="G848" s="74">
        <v>1.0</v>
      </c>
      <c r="H848" s="74">
        <v>11.0</v>
      </c>
      <c r="I848" s="74" t="s">
        <v>4000</v>
      </c>
      <c r="J848" s="74" t="s">
        <v>4000</v>
      </c>
      <c r="K848" s="74" t="s">
        <v>29002</v>
      </c>
      <c r="L848" s="74" t="s">
        <v>29004</v>
      </c>
      <c r="M848" s="74" t="s">
        <v>21393</v>
      </c>
      <c r="N848" s="74" t="s">
        <v>29005</v>
      </c>
      <c r="O848" s="74">
        <v>0.0</v>
      </c>
      <c r="P848" s="119"/>
      <c r="Q848" s="119"/>
      <c r="R848" s="74" t="s">
        <v>28466</v>
      </c>
      <c r="S848" s="74">
        <v>6.0</v>
      </c>
      <c r="T848" s="74" t="s">
        <v>22634</v>
      </c>
      <c r="U848" s="120">
        <v>8213.0</v>
      </c>
      <c r="V848" s="74" t="s">
        <v>29006</v>
      </c>
      <c r="W848" s="74" t="s">
        <v>29007</v>
      </c>
      <c r="X848" s="120">
        <v>853.0</v>
      </c>
    </row>
    <row r="849">
      <c r="A849" s="74" t="s">
        <v>29001</v>
      </c>
      <c r="B849" s="74" t="s">
        <v>6876</v>
      </c>
      <c r="C849" s="74" t="s">
        <v>6877</v>
      </c>
      <c r="D849" s="74" t="s">
        <v>8493</v>
      </c>
      <c r="E849" s="74" t="s">
        <v>29010</v>
      </c>
      <c r="F849" s="74">
        <v>59.0</v>
      </c>
      <c r="G849" s="74">
        <v>1.0</v>
      </c>
      <c r="H849" s="74">
        <v>99.0</v>
      </c>
      <c r="I849" s="74" t="s">
        <v>4008</v>
      </c>
      <c r="J849" s="74" t="s">
        <v>4008</v>
      </c>
      <c r="K849" s="74" t="s">
        <v>29002</v>
      </c>
      <c r="L849" s="74" t="s">
        <v>29004</v>
      </c>
      <c r="M849" s="74" t="s">
        <v>21393</v>
      </c>
      <c r="N849" s="74" t="s">
        <v>29012</v>
      </c>
      <c r="O849" s="74">
        <v>0.0</v>
      </c>
      <c r="P849" s="119"/>
      <c r="Q849" s="119"/>
      <c r="R849" s="74" t="s">
        <v>29013</v>
      </c>
      <c r="S849" s="74">
        <v>6.0</v>
      </c>
      <c r="T849" s="74" t="s">
        <v>22634</v>
      </c>
      <c r="U849" s="120">
        <v>8214.0</v>
      </c>
      <c r="V849" s="74" t="s">
        <v>29014</v>
      </c>
      <c r="W849" s="74" t="s">
        <v>29015</v>
      </c>
      <c r="X849" s="120">
        <v>854.0</v>
      </c>
    </row>
    <row r="850">
      <c r="A850" s="74" t="s">
        <v>29010</v>
      </c>
      <c r="B850" s="74" t="s">
        <v>6876</v>
      </c>
      <c r="C850" s="74" t="s">
        <v>6877</v>
      </c>
      <c r="D850" s="74" t="s">
        <v>8493</v>
      </c>
      <c r="E850" s="74" t="s">
        <v>29016</v>
      </c>
      <c r="F850" s="74">
        <v>59.0</v>
      </c>
      <c r="G850" s="74">
        <v>1.0</v>
      </c>
      <c r="H850" s="74">
        <v>11.0</v>
      </c>
      <c r="I850" s="74" t="s">
        <v>4009</v>
      </c>
      <c r="J850" s="74" t="s">
        <v>4009</v>
      </c>
      <c r="K850" s="74" t="s">
        <v>29002</v>
      </c>
      <c r="L850" s="74" t="s">
        <v>29004</v>
      </c>
      <c r="M850" s="74" t="s">
        <v>21393</v>
      </c>
      <c r="N850" s="74" t="s">
        <v>29020</v>
      </c>
      <c r="O850" s="74">
        <v>0.0</v>
      </c>
      <c r="P850" s="119"/>
      <c r="Q850" s="119"/>
      <c r="R850" s="74" t="s">
        <v>28466</v>
      </c>
      <c r="S850" s="74">
        <v>6.0</v>
      </c>
      <c r="T850" s="74" t="s">
        <v>22634</v>
      </c>
      <c r="U850" s="120">
        <v>8215.0</v>
      </c>
      <c r="V850" s="74" t="s">
        <v>29022</v>
      </c>
      <c r="W850" s="74" t="s">
        <v>29023</v>
      </c>
      <c r="X850" s="120">
        <v>855.0</v>
      </c>
    </row>
    <row r="851">
      <c r="A851" s="74" t="s">
        <v>29024</v>
      </c>
      <c r="B851" s="74" t="s">
        <v>6876</v>
      </c>
      <c r="C851" s="74" t="s">
        <v>6877</v>
      </c>
      <c r="D851" s="74" t="s">
        <v>8493</v>
      </c>
      <c r="E851" s="74" t="s">
        <v>29025</v>
      </c>
      <c r="F851" s="74">
        <v>59.0</v>
      </c>
      <c r="G851" s="74">
        <v>1.0</v>
      </c>
      <c r="H851" s="74">
        <v>99.0</v>
      </c>
      <c r="I851" s="74" t="s">
        <v>4016</v>
      </c>
      <c r="J851" s="74" t="s">
        <v>4016</v>
      </c>
      <c r="K851" s="74" t="s">
        <v>29002</v>
      </c>
      <c r="L851" s="74" t="s">
        <v>29004</v>
      </c>
      <c r="M851" s="74" t="s">
        <v>21393</v>
      </c>
      <c r="N851" s="74" t="s">
        <v>29027</v>
      </c>
      <c r="O851" s="74">
        <v>0.0</v>
      </c>
      <c r="P851" s="119"/>
      <c r="Q851" s="119"/>
      <c r="R851" s="74" t="s">
        <v>29030</v>
      </c>
      <c r="S851" s="74">
        <v>6.0</v>
      </c>
      <c r="T851" s="74" t="s">
        <v>22634</v>
      </c>
      <c r="U851" s="120">
        <v>8216.0</v>
      </c>
      <c r="V851" s="74" t="s">
        <v>29032</v>
      </c>
      <c r="W851" s="74" t="s">
        <v>29033</v>
      </c>
      <c r="X851" s="120">
        <v>856.0</v>
      </c>
    </row>
    <row r="852">
      <c r="A852" s="74" t="s">
        <v>29025</v>
      </c>
      <c r="B852" s="74" t="s">
        <v>6876</v>
      </c>
      <c r="C852" s="74" t="s">
        <v>6877</v>
      </c>
      <c r="D852" s="74" t="s">
        <v>8493</v>
      </c>
      <c r="E852" s="74" t="s">
        <v>29035</v>
      </c>
      <c r="F852" s="74">
        <v>59.0</v>
      </c>
      <c r="G852" s="74">
        <v>1.0</v>
      </c>
      <c r="H852" s="74">
        <v>11.0</v>
      </c>
      <c r="I852" s="74" t="s">
        <v>4022</v>
      </c>
      <c r="J852" s="74" t="s">
        <v>4022</v>
      </c>
      <c r="K852" s="74" t="s">
        <v>29002</v>
      </c>
      <c r="L852" s="74" t="s">
        <v>29004</v>
      </c>
      <c r="M852" s="74" t="s">
        <v>21393</v>
      </c>
      <c r="N852" s="74" t="s">
        <v>29036</v>
      </c>
      <c r="O852" s="74">
        <v>0.0</v>
      </c>
      <c r="P852" s="119"/>
      <c r="Q852" s="119"/>
      <c r="R852" s="74" t="s">
        <v>28466</v>
      </c>
      <c r="S852" s="74">
        <v>6.0</v>
      </c>
      <c r="T852" s="74" t="s">
        <v>22634</v>
      </c>
      <c r="U852" s="120">
        <v>8217.0</v>
      </c>
      <c r="V852" s="74" t="s">
        <v>29039</v>
      </c>
      <c r="W852" s="74" t="s">
        <v>29040</v>
      </c>
      <c r="X852" s="120">
        <v>857.0</v>
      </c>
    </row>
    <row r="853">
      <c r="A853" s="74" t="s">
        <v>29035</v>
      </c>
      <c r="B853" s="74" t="s">
        <v>6876</v>
      </c>
      <c r="C853" s="74" t="s">
        <v>6877</v>
      </c>
      <c r="D853" s="74" t="s">
        <v>8493</v>
      </c>
      <c r="E853" s="74" t="s">
        <v>29042</v>
      </c>
      <c r="F853" s="74">
        <v>59.0</v>
      </c>
      <c r="G853" s="74">
        <v>1.0</v>
      </c>
      <c r="H853" s="74">
        <v>99.0</v>
      </c>
      <c r="I853" s="74" t="s">
        <v>4029</v>
      </c>
      <c r="J853" s="74" t="s">
        <v>4029</v>
      </c>
      <c r="K853" s="74" t="s">
        <v>29002</v>
      </c>
      <c r="L853" s="74" t="s">
        <v>29004</v>
      </c>
      <c r="M853" s="74" t="s">
        <v>21393</v>
      </c>
      <c r="N853" s="74" t="s">
        <v>29043</v>
      </c>
      <c r="O853" s="74">
        <v>0.0</v>
      </c>
      <c r="P853" s="119"/>
      <c r="Q853" s="119"/>
      <c r="R853" s="74" t="s">
        <v>29045</v>
      </c>
      <c r="S853" s="74">
        <v>6.0</v>
      </c>
      <c r="T853" s="74" t="s">
        <v>22634</v>
      </c>
      <c r="U853" s="120">
        <v>8218.0</v>
      </c>
      <c r="V853" s="74" t="s">
        <v>29048</v>
      </c>
      <c r="W853" s="74" t="s">
        <v>29049</v>
      </c>
      <c r="X853" s="120">
        <v>858.0</v>
      </c>
    </row>
    <row r="854">
      <c r="A854" s="74" t="s">
        <v>29042</v>
      </c>
      <c r="B854" s="74" t="s">
        <v>6876</v>
      </c>
      <c r="C854" s="74" t="s">
        <v>6877</v>
      </c>
      <c r="D854" s="74" t="s">
        <v>8493</v>
      </c>
      <c r="E854" s="74" t="s">
        <v>29051</v>
      </c>
      <c r="F854" s="74">
        <v>59.0</v>
      </c>
      <c r="G854" s="74">
        <v>1.0</v>
      </c>
      <c r="H854" s="74">
        <v>11.0</v>
      </c>
      <c r="I854" s="74" t="s">
        <v>4035</v>
      </c>
      <c r="J854" s="74" t="s">
        <v>4035</v>
      </c>
      <c r="K854" s="74" t="s">
        <v>29002</v>
      </c>
      <c r="L854" s="74" t="s">
        <v>29004</v>
      </c>
      <c r="M854" s="74" t="s">
        <v>21393</v>
      </c>
      <c r="N854" s="74" t="s">
        <v>29053</v>
      </c>
      <c r="O854" s="74">
        <v>0.0</v>
      </c>
      <c r="P854" s="119"/>
      <c r="Q854" s="119"/>
      <c r="R854" s="74" t="s">
        <v>28466</v>
      </c>
      <c r="S854" s="74">
        <v>6.0</v>
      </c>
      <c r="T854" s="74" t="s">
        <v>22634</v>
      </c>
      <c r="U854" s="120">
        <v>8219.0</v>
      </c>
      <c r="V854" s="74" t="s">
        <v>29057</v>
      </c>
      <c r="W854" s="74" t="s">
        <v>29058</v>
      </c>
      <c r="X854" s="120">
        <v>859.0</v>
      </c>
    </row>
    <row r="855">
      <c r="A855" s="74" t="s">
        <v>29051</v>
      </c>
      <c r="B855" s="74" t="s">
        <v>6876</v>
      </c>
      <c r="C855" s="74" t="s">
        <v>6877</v>
      </c>
      <c r="D855" s="74" t="s">
        <v>8493</v>
      </c>
      <c r="E855" s="74" t="s">
        <v>29059</v>
      </c>
      <c r="F855" s="74">
        <v>59.0</v>
      </c>
      <c r="G855" s="74">
        <v>1.0</v>
      </c>
      <c r="H855" s="74">
        <v>11.0</v>
      </c>
      <c r="I855" s="74" t="s">
        <v>4047</v>
      </c>
      <c r="J855" s="74" t="s">
        <v>4047</v>
      </c>
      <c r="K855" s="74" t="s">
        <v>29002</v>
      </c>
      <c r="L855" s="74" t="s">
        <v>29004</v>
      </c>
      <c r="M855" s="74" t="s">
        <v>21393</v>
      </c>
      <c r="N855" s="74" t="s">
        <v>29062</v>
      </c>
      <c r="O855" s="74">
        <v>0.0</v>
      </c>
      <c r="P855" s="119"/>
      <c r="Q855" s="119"/>
      <c r="R855" s="74" t="s">
        <v>29063</v>
      </c>
      <c r="S855" s="74">
        <v>6.0</v>
      </c>
      <c r="T855" s="74" t="s">
        <v>22634</v>
      </c>
      <c r="U855" s="120">
        <v>8220.0</v>
      </c>
      <c r="V855" s="74" t="s">
        <v>29065</v>
      </c>
      <c r="W855" s="74" t="s">
        <v>29066</v>
      </c>
      <c r="X855" s="120">
        <v>860.0</v>
      </c>
    </row>
    <row r="856">
      <c r="A856" s="74" t="s">
        <v>29059</v>
      </c>
      <c r="B856" s="74" t="s">
        <v>6876</v>
      </c>
      <c r="C856" s="74" t="s">
        <v>6877</v>
      </c>
      <c r="D856" s="74" t="s">
        <v>8493</v>
      </c>
      <c r="E856" s="74" t="s">
        <v>29067</v>
      </c>
      <c r="F856" s="74">
        <v>59.0</v>
      </c>
      <c r="G856" s="74">
        <v>1.0</v>
      </c>
      <c r="H856" s="74">
        <v>11.0</v>
      </c>
      <c r="I856" s="74" t="s">
        <v>4050</v>
      </c>
      <c r="J856" s="74" t="s">
        <v>4050</v>
      </c>
      <c r="K856" s="74" t="s">
        <v>29002</v>
      </c>
      <c r="L856" s="74" t="s">
        <v>29004</v>
      </c>
      <c r="M856" s="74" t="s">
        <v>21393</v>
      </c>
      <c r="N856" s="74" t="s">
        <v>29070</v>
      </c>
      <c r="O856" s="74">
        <v>0.0</v>
      </c>
      <c r="P856" s="119"/>
      <c r="Q856" s="119"/>
      <c r="R856" s="74" t="s">
        <v>28466</v>
      </c>
      <c r="S856" s="74">
        <v>6.0</v>
      </c>
      <c r="T856" s="74" t="s">
        <v>22634</v>
      </c>
      <c r="U856" s="120">
        <v>8221.0</v>
      </c>
      <c r="V856" s="74" t="s">
        <v>29072</v>
      </c>
      <c r="W856" s="74" t="s">
        <v>29073</v>
      </c>
      <c r="X856" s="120">
        <v>861.0</v>
      </c>
    </row>
    <row r="857">
      <c r="A857" s="74" t="s">
        <v>29067</v>
      </c>
      <c r="B857" s="74" t="s">
        <v>6876</v>
      </c>
      <c r="C857" s="74" t="s">
        <v>6877</v>
      </c>
      <c r="D857" s="74" t="s">
        <v>8493</v>
      </c>
      <c r="E857" s="74" t="s">
        <v>29074</v>
      </c>
      <c r="F857" s="74">
        <v>59.0</v>
      </c>
      <c r="G857" s="74">
        <v>1.0</v>
      </c>
      <c r="H857" s="74">
        <v>99.0</v>
      </c>
      <c r="I857" s="74" t="s">
        <v>4061</v>
      </c>
      <c r="J857" s="74" t="s">
        <v>4061</v>
      </c>
      <c r="K857" s="74" t="s">
        <v>29002</v>
      </c>
      <c r="L857" s="74" t="s">
        <v>29004</v>
      </c>
      <c r="M857" s="74" t="s">
        <v>21393</v>
      </c>
      <c r="N857" s="74" t="s">
        <v>29077</v>
      </c>
      <c r="O857" s="74">
        <v>0.0</v>
      </c>
      <c r="P857" s="119"/>
      <c r="Q857" s="119"/>
      <c r="R857" s="74" t="s">
        <v>29078</v>
      </c>
      <c r="S857" s="74">
        <v>6.0</v>
      </c>
      <c r="T857" s="74" t="s">
        <v>22634</v>
      </c>
      <c r="U857" s="120">
        <v>8222.0</v>
      </c>
      <c r="V857" s="74" t="s">
        <v>29080</v>
      </c>
      <c r="W857" s="74" t="s">
        <v>29081</v>
      </c>
      <c r="X857" s="120">
        <v>862.0</v>
      </c>
    </row>
    <row r="858">
      <c r="A858" s="74" t="s">
        <v>29074</v>
      </c>
      <c r="B858" s="74" t="s">
        <v>6876</v>
      </c>
      <c r="C858" s="74" t="s">
        <v>6877</v>
      </c>
      <c r="D858" s="74" t="s">
        <v>8493</v>
      </c>
      <c r="E858" s="74" t="s">
        <v>29082</v>
      </c>
      <c r="F858" s="74">
        <v>33.0</v>
      </c>
      <c r="G858" s="74">
        <v>1.0</v>
      </c>
      <c r="H858" s="74">
        <v>98.0</v>
      </c>
      <c r="I858" s="74" t="s">
        <v>4071</v>
      </c>
      <c r="J858" s="74" t="s">
        <v>4071</v>
      </c>
      <c r="K858" s="74" t="s">
        <v>29002</v>
      </c>
      <c r="L858" s="74" t="s">
        <v>29004</v>
      </c>
      <c r="M858" s="74" t="s">
        <v>21393</v>
      </c>
      <c r="N858" s="74" t="s">
        <v>29085</v>
      </c>
      <c r="O858" s="74">
        <v>0.0</v>
      </c>
      <c r="P858" s="119"/>
      <c r="Q858" s="119"/>
      <c r="R858" s="74" t="s">
        <v>28742</v>
      </c>
      <c r="S858" s="74">
        <v>6.0</v>
      </c>
      <c r="T858" s="74" t="s">
        <v>22634</v>
      </c>
      <c r="U858" s="120">
        <v>8223.0</v>
      </c>
      <c r="V858" s="74" t="s">
        <v>29087</v>
      </c>
      <c r="W858" s="74" t="s">
        <v>29088</v>
      </c>
      <c r="X858" s="120">
        <v>863.0</v>
      </c>
    </row>
    <row r="859">
      <c r="A859" s="74" t="s">
        <v>29082</v>
      </c>
      <c r="B859" s="74" t="s">
        <v>6876</v>
      </c>
      <c r="C859" s="74" t="s">
        <v>6877</v>
      </c>
      <c r="D859" s="74" t="s">
        <v>8493</v>
      </c>
      <c r="E859" s="74" t="s">
        <v>29089</v>
      </c>
      <c r="F859" s="74">
        <v>58.0</v>
      </c>
      <c r="G859" s="74">
        <v>1.0</v>
      </c>
      <c r="H859" s="74">
        <v>12.0</v>
      </c>
      <c r="I859" s="74" t="s">
        <v>4085</v>
      </c>
      <c r="J859" s="74" t="s">
        <v>4085</v>
      </c>
      <c r="K859" s="74" t="s">
        <v>29091</v>
      </c>
      <c r="L859" s="74" t="s">
        <v>17277</v>
      </c>
      <c r="M859" s="74" t="s">
        <v>21780</v>
      </c>
      <c r="N859" s="74" t="s">
        <v>29092</v>
      </c>
      <c r="O859" s="74">
        <v>0.0</v>
      </c>
      <c r="P859" s="119"/>
      <c r="Q859" s="119"/>
      <c r="R859" s="74" t="s">
        <v>28466</v>
      </c>
      <c r="S859" s="74">
        <v>6.0</v>
      </c>
      <c r="T859" s="74" t="s">
        <v>22634</v>
      </c>
      <c r="U859" s="120">
        <v>8224.0</v>
      </c>
      <c r="V859" s="74" t="s">
        <v>29095</v>
      </c>
      <c r="W859" s="74" t="s">
        <v>29097</v>
      </c>
      <c r="X859" s="120">
        <v>864.0</v>
      </c>
    </row>
    <row r="860">
      <c r="A860" s="74" t="s">
        <v>29089</v>
      </c>
      <c r="B860" s="74" t="s">
        <v>6876</v>
      </c>
      <c r="C860" s="74" t="s">
        <v>6877</v>
      </c>
      <c r="D860" s="74" t="s">
        <v>8493</v>
      </c>
      <c r="E860" s="74" t="s">
        <v>29098</v>
      </c>
      <c r="F860" s="74">
        <v>58.0</v>
      </c>
      <c r="G860" s="74">
        <v>1.0</v>
      </c>
      <c r="H860" s="74">
        <v>99.0</v>
      </c>
      <c r="I860" s="74" t="s">
        <v>4094</v>
      </c>
      <c r="J860" s="74" t="s">
        <v>4094</v>
      </c>
      <c r="K860" s="74" t="s">
        <v>29091</v>
      </c>
      <c r="L860" s="74" t="s">
        <v>17277</v>
      </c>
      <c r="M860" s="74" t="s">
        <v>21780</v>
      </c>
      <c r="N860" s="74" t="s">
        <v>29101</v>
      </c>
      <c r="O860" s="74">
        <v>0.0</v>
      </c>
      <c r="P860" s="119"/>
      <c r="Q860" s="119"/>
      <c r="R860" s="74" t="s">
        <v>29102</v>
      </c>
      <c r="S860" s="74">
        <v>6.0</v>
      </c>
      <c r="T860" s="74" t="s">
        <v>22634</v>
      </c>
      <c r="U860" s="120">
        <v>8225.0</v>
      </c>
      <c r="V860" s="74" t="s">
        <v>29103</v>
      </c>
      <c r="W860" s="74" t="s">
        <v>29104</v>
      </c>
      <c r="X860" s="120">
        <v>865.0</v>
      </c>
    </row>
    <row r="861">
      <c r="A861" s="74" t="s">
        <v>29098</v>
      </c>
      <c r="B861" s="74" t="s">
        <v>6876</v>
      </c>
      <c r="C861" s="74" t="s">
        <v>6877</v>
      </c>
      <c r="D861" s="74" t="s">
        <v>8493</v>
      </c>
      <c r="E861" s="74" t="s">
        <v>29106</v>
      </c>
      <c r="F861" s="74">
        <v>57.0</v>
      </c>
      <c r="G861" s="74">
        <v>1.0</v>
      </c>
      <c r="H861" s="74">
        <v>12.0</v>
      </c>
      <c r="I861" s="74" t="s">
        <v>4101</v>
      </c>
      <c r="J861" s="74" t="s">
        <v>4101</v>
      </c>
      <c r="K861" s="74" t="s">
        <v>29091</v>
      </c>
      <c r="L861" s="74" t="s">
        <v>17277</v>
      </c>
      <c r="M861" s="74" t="s">
        <v>21780</v>
      </c>
      <c r="N861" s="74" t="s">
        <v>29109</v>
      </c>
      <c r="O861" s="74">
        <v>0.0</v>
      </c>
      <c r="P861" s="119"/>
      <c r="Q861" s="119"/>
      <c r="R861" s="74" t="s">
        <v>28466</v>
      </c>
      <c r="S861" s="74">
        <v>6.0</v>
      </c>
      <c r="T861" s="74" t="s">
        <v>22634</v>
      </c>
      <c r="U861" s="120">
        <v>8226.0</v>
      </c>
      <c r="V861" s="74" t="s">
        <v>29111</v>
      </c>
      <c r="W861" s="74" t="s">
        <v>29112</v>
      </c>
      <c r="X861" s="120">
        <v>866.0</v>
      </c>
    </row>
    <row r="862">
      <c r="A862" s="74" t="s">
        <v>29113</v>
      </c>
      <c r="B862" s="74" t="s">
        <v>6876</v>
      </c>
      <c r="C862" s="74" t="s">
        <v>6877</v>
      </c>
      <c r="D862" s="74" t="s">
        <v>8493</v>
      </c>
      <c r="E862" s="74" t="s">
        <v>29114</v>
      </c>
      <c r="F862" s="74">
        <v>57.0</v>
      </c>
      <c r="G862" s="74">
        <v>1.0</v>
      </c>
      <c r="H862" s="74">
        <v>99.0</v>
      </c>
      <c r="I862" s="74" t="s">
        <v>4108</v>
      </c>
      <c r="J862" s="74" t="s">
        <v>4108</v>
      </c>
      <c r="K862" s="74" t="s">
        <v>29091</v>
      </c>
      <c r="L862" s="74" t="s">
        <v>17277</v>
      </c>
      <c r="M862" s="74" t="s">
        <v>21780</v>
      </c>
      <c r="N862" s="74" t="s">
        <v>29118</v>
      </c>
      <c r="O862" s="74">
        <v>0.0</v>
      </c>
      <c r="P862" s="119"/>
      <c r="Q862" s="119"/>
      <c r="R862" s="74" t="s">
        <v>29120</v>
      </c>
      <c r="S862" s="74">
        <v>6.0</v>
      </c>
      <c r="T862" s="74" t="s">
        <v>22634</v>
      </c>
      <c r="U862" s="120">
        <v>8227.0</v>
      </c>
      <c r="V862" s="74" t="s">
        <v>29121</v>
      </c>
      <c r="W862" s="74" t="s">
        <v>29122</v>
      </c>
      <c r="X862" s="120">
        <v>867.0</v>
      </c>
    </row>
    <row r="863">
      <c r="A863" s="74" t="s">
        <v>29114</v>
      </c>
      <c r="B863" s="74" t="s">
        <v>6876</v>
      </c>
      <c r="C863" s="74" t="s">
        <v>6877</v>
      </c>
      <c r="D863" s="74" t="s">
        <v>8493</v>
      </c>
      <c r="E863" s="74" t="s">
        <v>29123</v>
      </c>
      <c r="F863" s="74">
        <v>57.0</v>
      </c>
      <c r="G863" s="74">
        <v>1.0</v>
      </c>
      <c r="H863" s="74">
        <v>12.0</v>
      </c>
      <c r="I863" s="74" t="s">
        <v>4114</v>
      </c>
      <c r="J863" s="74" t="s">
        <v>4114</v>
      </c>
      <c r="K863" s="74" t="s">
        <v>29091</v>
      </c>
      <c r="L863" s="74" t="s">
        <v>17277</v>
      </c>
      <c r="M863" s="74" t="s">
        <v>21780</v>
      </c>
      <c r="N863" s="74" t="s">
        <v>29127</v>
      </c>
      <c r="O863" s="74">
        <v>0.0</v>
      </c>
      <c r="P863" s="119"/>
      <c r="Q863" s="119"/>
      <c r="R863" s="74" t="s">
        <v>28466</v>
      </c>
      <c r="S863" s="74">
        <v>6.0</v>
      </c>
      <c r="T863" s="74" t="s">
        <v>22634</v>
      </c>
      <c r="U863" s="120">
        <v>8228.0</v>
      </c>
      <c r="V863" s="74" t="s">
        <v>29128</v>
      </c>
      <c r="W863" s="74" t="s">
        <v>29129</v>
      </c>
      <c r="X863" s="120">
        <v>868.0</v>
      </c>
    </row>
    <row r="864">
      <c r="A864" s="74" t="s">
        <v>29123</v>
      </c>
      <c r="B864" s="74" t="s">
        <v>6876</v>
      </c>
      <c r="C864" s="74" t="s">
        <v>6877</v>
      </c>
      <c r="D864" s="74" t="s">
        <v>8493</v>
      </c>
      <c r="E864" s="74" t="s">
        <v>29132</v>
      </c>
      <c r="F864" s="74">
        <v>57.0</v>
      </c>
      <c r="G864" s="74">
        <v>1.0</v>
      </c>
      <c r="H864" s="74">
        <v>99.0</v>
      </c>
      <c r="I864" s="74" t="s">
        <v>4128</v>
      </c>
      <c r="J864" s="74" t="s">
        <v>4128</v>
      </c>
      <c r="K864" s="74" t="s">
        <v>29091</v>
      </c>
      <c r="L864" s="74" t="s">
        <v>17277</v>
      </c>
      <c r="M864" s="74" t="s">
        <v>21780</v>
      </c>
      <c r="N864" s="74" t="s">
        <v>29134</v>
      </c>
      <c r="O864" s="74">
        <v>0.0</v>
      </c>
      <c r="P864" s="119"/>
      <c r="Q864" s="119"/>
      <c r="R864" s="74" t="s">
        <v>29135</v>
      </c>
      <c r="S864" s="74">
        <v>6.0</v>
      </c>
      <c r="T864" s="74" t="s">
        <v>22634</v>
      </c>
      <c r="U864" s="120">
        <v>8229.0</v>
      </c>
      <c r="V864" s="74" t="s">
        <v>29136</v>
      </c>
      <c r="W864" s="74" t="s">
        <v>29138</v>
      </c>
      <c r="X864" s="120">
        <v>869.0</v>
      </c>
    </row>
    <row r="865">
      <c r="A865" s="74" t="s">
        <v>29132</v>
      </c>
      <c r="B865" s="74" t="s">
        <v>6876</v>
      </c>
      <c r="C865" s="74" t="s">
        <v>6877</v>
      </c>
      <c r="D865" s="74" t="s">
        <v>8493</v>
      </c>
      <c r="E865" s="74" t="s">
        <v>29140</v>
      </c>
      <c r="F865" s="74">
        <v>57.0</v>
      </c>
      <c r="G865" s="74">
        <v>1.0</v>
      </c>
      <c r="H865" s="74">
        <v>12.0</v>
      </c>
      <c r="I865" s="74" t="s">
        <v>4130</v>
      </c>
      <c r="J865" s="74" t="s">
        <v>4130</v>
      </c>
      <c r="K865" s="74" t="s">
        <v>29091</v>
      </c>
      <c r="L865" s="74" t="s">
        <v>29143</v>
      </c>
      <c r="M865" s="74" t="s">
        <v>21780</v>
      </c>
      <c r="N865" s="74" t="s">
        <v>29144</v>
      </c>
      <c r="O865" s="74">
        <v>0.0</v>
      </c>
      <c r="P865" s="119"/>
      <c r="Q865" s="119"/>
      <c r="R865" s="74" t="s">
        <v>28466</v>
      </c>
      <c r="S865" s="74">
        <v>6.0</v>
      </c>
      <c r="T865" s="74" t="s">
        <v>22634</v>
      </c>
      <c r="U865" s="120">
        <v>8230.0</v>
      </c>
      <c r="V865" s="74" t="s">
        <v>29147</v>
      </c>
      <c r="W865" s="74" t="s">
        <v>29148</v>
      </c>
      <c r="X865" s="120">
        <v>870.0</v>
      </c>
    </row>
    <row r="866">
      <c r="A866" s="74" t="s">
        <v>29140</v>
      </c>
      <c r="B866" s="74" t="s">
        <v>6876</v>
      </c>
      <c r="C866" s="74" t="s">
        <v>6877</v>
      </c>
      <c r="D866" s="74" t="s">
        <v>8493</v>
      </c>
      <c r="E866" s="74" t="s">
        <v>29149</v>
      </c>
      <c r="F866" s="74">
        <v>57.0</v>
      </c>
      <c r="G866" s="74">
        <v>1.0</v>
      </c>
      <c r="H866" s="74">
        <v>99.0</v>
      </c>
      <c r="I866" s="74" t="s">
        <v>4144</v>
      </c>
      <c r="J866" s="74" t="s">
        <v>4144</v>
      </c>
      <c r="K866" s="74" t="s">
        <v>29091</v>
      </c>
      <c r="L866" s="74" t="s">
        <v>29143</v>
      </c>
      <c r="M866" s="74" t="s">
        <v>21780</v>
      </c>
      <c r="N866" s="74" t="s">
        <v>29134</v>
      </c>
      <c r="O866" s="74">
        <v>0.0</v>
      </c>
      <c r="P866" s="119"/>
      <c r="Q866" s="119"/>
      <c r="R866" s="74" t="s">
        <v>29151</v>
      </c>
      <c r="S866" s="74">
        <v>6.0</v>
      </c>
      <c r="T866" s="74" t="s">
        <v>22634</v>
      </c>
      <c r="U866" s="120">
        <v>8231.0</v>
      </c>
      <c r="V866" s="74" t="s">
        <v>29153</v>
      </c>
      <c r="W866" s="74" t="s">
        <v>29154</v>
      </c>
      <c r="X866" s="120">
        <v>871.0</v>
      </c>
    </row>
    <row r="867">
      <c r="A867" s="74" t="s">
        <v>29149</v>
      </c>
      <c r="B867" s="74" t="s">
        <v>6876</v>
      </c>
      <c r="C867" s="74" t="s">
        <v>6877</v>
      </c>
      <c r="D867" s="74" t="s">
        <v>8493</v>
      </c>
      <c r="E867" s="74" t="s">
        <v>29157</v>
      </c>
      <c r="F867" s="74">
        <v>33.0</v>
      </c>
      <c r="G867" s="74">
        <v>1.0</v>
      </c>
      <c r="H867" s="74">
        <v>98.0</v>
      </c>
      <c r="I867" s="74" t="s">
        <v>4178</v>
      </c>
      <c r="J867" s="74" t="s">
        <v>4178</v>
      </c>
      <c r="K867" s="74" t="s">
        <v>29091</v>
      </c>
      <c r="L867" s="74" t="s">
        <v>17277</v>
      </c>
      <c r="M867" s="74" t="s">
        <v>21780</v>
      </c>
      <c r="N867" s="74" t="s">
        <v>29160</v>
      </c>
      <c r="O867" s="74">
        <v>0.0</v>
      </c>
      <c r="P867" s="119"/>
      <c r="Q867" s="119"/>
      <c r="R867" s="74" t="s">
        <v>28742</v>
      </c>
      <c r="S867" s="74">
        <v>6.0</v>
      </c>
      <c r="T867" s="74" t="s">
        <v>22634</v>
      </c>
      <c r="U867" s="120">
        <v>8232.0</v>
      </c>
      <c r="V867" s="74" t="s">
        <v>29161</v>
      </c>
      <c r="W867" s="74" t="s">
        <v>29162</v>
      </c>
      <c r="X867" s="120">
        <v>872.0</v>
      </c>
    </row>
    <row r="868">
      <c r="A868" s="74" t="s">
        <v>29157</v>
      </c>
      <c r="B868" s="74" t="s">
        <v>6876</v>
      </c>
      <c r="C868" s="74" t="s">
        <v>6877</v>
      </c>
      <c r="D868" s="74" t="s">
        <v>8493</v>
      </c>
      <c r="E868" s="74" t="s">
        <v>29165</v>
      </c>
      <c r="F868" s="74">
        <v>6.0</v>
      </c>
      <c r="G868" s="74">
        <v>1.0</v>
      </c>
      <c r="H868" s="74">
        <v>12.0</v>
      </c>
      <c r="I868" s="74" t="s">
        <v>4185</v>
      </c>
      <c r="J868" s="74" t="s">
        <v>4185</v>
      </c>
      <c r="K868" s="74" t="s">
        <v>23521</v>
      </c>
      <c r="L868" s="74" t="s">
        <v>29166</v>
      </c>
      <c r="M868" s="74" t="s">
        <v>29167</v>
      </c>
      <c r="N868" s="74" t="s">
        <v>29168</v>
      </c>
      <c r="O868" s="74">
        <v>0.0</v>
      </c>
      <c r="P868" s="119"/>
      <c r="Q868" s="119"/>
      <c r="R868" s="74" t="s">
        <v>28466</v>
      </c>
      <c r="S868" s="74">
        <v>4.0</v>
      </c>
      <c r="T868" s="74" t="s">
        <v>22634</v>
      </c>
      <c r="U868" s="120">
        <v>8233.0</v>
      </c>
      <c r="V868" s="74" t="s">
        <v>29170</v>
      </c>
      <c r="W868" s="74" t="s">
        <v>29171</v>
      </c>
      <c r="X868" s="120">
        <v>873.0</v>
      </c>
    </row>
    <row r="869">
      <c r="A869" s="74" t="s">
        <v>29165</v>
      </c>
      <c r="B869" s="74" t="s">
        <v>6876</v>
      </c>
      <c r="C869" s="74" t="s">
        <v>6877</v>
      </c>
      <c r="D869" s="74" t="s">
        <v>8493</v>
      </c>
      <c r="E869" s="74" t="s">
        <v>29172</v>
      </c>
      <c r="F869" s="74">
        <v>6.0</v>
      </c>
      <c r="G869" s="74">
        <v>1.0</v>
      </c>
      <c r="H869" s="74">
        <v>99.0</v>
      </c>
      <c r="I869" s="74" t="s">
        <v>4198</v>
      </c>
      <c r="J869" s="74" t="s">
        <v>4198</v>
      </c>
      <c r="K869" s="74" t="s">
        <v>23521</v>
      </c>
      <c r="L869" s="74" t="s">
        <v>29166</v>
      </c>
      <c r="M869" s="74" t="s">
        <v>29167</v>
      </c>
      <c r="N869" s="74" t="s">
        <v>29173</v>
      </c>
      <c r="O869" s="74">
        <v>0.0</v>
      </c>
      <c r="P869" s="119"/>
      <c r="Q869" s="119"/>
      <c r="R869" s="74" t="s">
        <v>29176</v>
      </c>
      <c r="S869" s="74">
        <v>4.0</v>
      </c>
      <c r="T869" s="74" t="s">
        <v>22634</v>
      </c>
      <c r="U869" s="120">
        <v>8234.0</v>
      </c>
      <c r="V869" s="74" t="s">
        <v>29178</v>
      </c>
      <c r="W869" s="74" t="s">
        <v>29179</v>
      </c>
      <c r="X869" s="120">
        <v>874.0</v>
      </c>
    </row>
    <row r="870">
      <c r="A870" s="74" t="s">
        <v>29172</v>
      </c>
      <c r="B870" s="74" t="s">
        <v>6876</v>
      </c>
      <c r="C870" s="74" t="s">
        <v>6877</v>
      </c>
      <c r="D870" s="74" t="s">
        <v>8493</v>
      </c>
      <c r="E870" s="74" t="s">
        <v>29181</v>
      </c>
      <c r="F870" s="74">
        <v>3.0</v>
      </c>
      <c r="G870" s="74">
        <v>1.0</v>
      </c>
      <c r="H870" s="74">
        <v>12.0</v>
      </c>
      <c r="I870" s="74" t="s">
        <v>4206</v>
      </c>
      <c r="J870" s="74" t="s">
        <v>4206</v>
      </c>
      <c r="K870" s="74" t="s">
        <v>23521</v>
      </c>
      <c r="L870" s="74" t="s">
        <v>29166</v>
      </c>
      <c r="M870" s="74" t="s">
        <v>29167</v>
      </c>
      <c r="N870" s="74" t="s">
        <v>21852</v>
      </c>
      <c r="O870" s="74">
        <v>0.0</v>
      </c>
      <c r="P870" s="119"/>
      <c r="Q870" s="119"/>
      <c r="R870" s="74" t="s">
        <v>28466</v>
      </c>
      <c r="S870" s="74">
        <v>6.0</v>
      </c>
      <c r="T870" s="74" t="s">
        <v>22634</v>
      </c>
      <c r="U870" s="120">
        <v>8235.0</v>
      </c>
      <c r="V870" s="74" t="s">
        <v>29182</v>
      </c>
      <c r="W870" s="74" t="s">
        <v>29183</v>
      </c>
      <c r="X870" s="120">
        <v>875.0</v>
      </c>
    </row>
    <row r="871">
      <c r="A871" s="74" t="s">
        <v>29181</v>
      </c>
      <c r="B871" s="74" t="s">
        <v>6876</v>
      </c>
      <c r="C871" s="74" t="s">
        <v>6877</v>
      </c>
      <c r="D871" s="74" t="s">
        <v>8493</v>
      </c>
      <c r="E871" s="74" t="s">
        <v>29186</v>
      </c>
      <c r="F871" s="74">
        <v>3.0</v>
      </c>
      <c r="G871" s="74">
        <v>1.0</v>
      </c>
      <c r="H871" s="74">
        <v>99.0</v>
      </c>
      <c r="I871" s="74" t="s">
        <v>4215</v>
      </c>
      <c r="J871" s="74" t="s">
        <v>4215</v>
      </c>
      <c r="K871" s="74" t="s">
        <v>23521</v>
      </c>
      <c r="L871" s="74" t="s">
        <v>29166</v>
      </c>
      <c r="M871" s="74" t="s">
        <v>29167</v>
      </c>
      <c r="N871" s="74" t="s">
        <v>29173</v>
      </c>
      <c r="O871" s="74">
        <v>0.0</v>
      </c>
      <c r="P871" s="119"/>
      <c r="Q871" s="119"/>
      <c r="R871" s="74" t="s">
        <v>29189</v>
      </c>
      <c r="S871" s="74">
        <v>6.0</v>
      </c>
      <c r="T871" s="74" t="s">
        <v>22634</v>
      </c>
      <c r="U871" s="120">
        <v>8236.0</v>
      </c>
      <c r="V871" s="74" t="s">
        <v>29190</v>
      </c>
      <c r="W871" s="74" t="s">
        <v>29191</v>
      </c>
      <c r="X871" s="120">
        <v>876.0</v>
      </c>
    </row>
    <row r="872">
      <c r="A872" s="74" t="s">
        <v>29186</v>
      </c>
      <c r="B872" s="74" t="s">
        <v>6876</v>
      </c>
      <c r="C872" s="74" t="s">
        <v>6877</v>
      </c>
      <c r="D872" s="74" t="s">
        <v>8493</v>
      </c>
      <c r="E872" s="74" t="s">
        <v>29194</v>
      </c>
      <c r="F872" s="74">
        <v>29.0</v>
      </c>
      <c r="G872" s="74">
        <v>1.0</v>
      </c>
      <c r="H872" s="74">
        <v>12.0</v>
      </c>
      <c r="I872" s="74" t="s">
        <v>4221</v>
      </c>
      <c r="J872" s="74" t="s">
        <v>4221</v>
      </c>
      <c r="K872" s="74" t="s">
        <v>23521</v>
      </c>
      <c r="L872" s="74" t="s">
        <v>29166</v>
      </c>
      <c r="M872" s="74" t="s">
        <v>29167</v>
      </c>
      <c r="N872" s="74" t="s">
        <v>29196</v>
      </c>
      <c r="O872" s="74">
        <v>0.0</v>
      </c>
      <c r="P872" s="119"/>
      <c r="Q872" s="119"/>
      <c r="R872" s="74" t="s">
        <v>28466</v>
      </c>
      <c r="S872" s="74">
        <v>4.0</v>
      </c>
      <c r="T872" s="74" t="s">
        <v>22634</v>
      </c>
      <c r="U872" s="120">
        <v>8237.0</v>
      </c>
      <c r="V872" s="74" t="s">
        <v>29197</v>
      </c>
      <c r="W872" s="74" t="s">
        <v>29198</v>
      </c>
      <c r="X872" s="120">
        <v>877.0</v>
      </c>
    </row>
    <row r="873">
      <c r="A873" s="74" t="s">
        <v>29194</v>
      </c>
      <c r="B873" s="74" t="s">
        <v>6876</v>
      </c>
      <c r="C873" s="74" t="s">
        <v>6877</v>
      </c>
      <c r="D873" s="74" t="s">
        <v>8493</v>
      </c>
      <c r="E873" s="74" t="s">
        <v>29199</v>
      </c>
      <c r="F873" s="74">
        <v>29.0</v>
      </c>
      <c r="G873" s="74">
        <v>1.0</v>
      </c>
      <c r="H873" s="74">
        <v>99.0</v>
      </c>
      <c r="I873" s="74" t="s">
        <v>4230</v>
      </c>
      <c r="J873" s="74" t="s">
        <v>4230</v>
      </c>
      <c r="K873" s="74" t="s">
        <v>23521</v>
      </c>
      <c r="L873" s="74" t="s">
        <v>29166</v>
      </c>
      <c r="M873" s="74" t="s">
        <v>29167</v>
      </c>
      <c r="N873" s="74" t="s">
        <v>29202</v>
      </c>
      <c r="O873" s="74">
        <v>0.0</v>
      </c>
      <c r="P873" s="119"/>
      <c r="Q873" s="119"/>
      <c r="R873" s="74" t="s">
        <v>29203</v>
      </c>
      <c r="S873" s="74">
        <v>4.0</v>
      </c>
      <c r="T873" s="74" t="s">
        <v>22634</v>
      </c>
      <c r="U873" s="120">
        <v>8238.0</v>
      </c>
      <c r="V873" s="74" t="s">
        <v>29205</v>
      </c>
      <c r="W873" s="74" t="s">
        <v>29206</v>
      </c>
      <c r="X873" s="120">
        <v>878.0</v>
      </c>
    </row>
    <row r="874">
      <c r="A874" s="74" t="s">
        <v>29199</v>
      </c>
      <c r="B874" s="74" t="s">
        <v>6876</v>
      </c>
      <c r="C874" s="74" t="s">
        <v>6877</v>
      </c>
      <c r="D874" s="74" t="s">
        <v>8493</v>
      </c>
      <c r="E874" s="74" t="s">
        <v>29207</v>
      </c>
      <c r="F874" s="74">
        <v>58.0</v>
      </c>
      <c r="G874" s="74">
        <v>1.0</v>
      </c>
      <c r="H874" s="74">
        <v>11.0</v>
      </c>
      <c r="I874" s="74" t="s">
        <v>4236</v>
      </c>
      <c r="J874" s="74" t="s">
        <v>4236</v>
      </c>
      <c r="K874" s="74" t="s">
        <v>23521</v>
      </c>
      <c r="L874" s="74" t="s">
        <v>29166</v>
      </c>
      <c r="M874" s="74" t="s">
        <v>29167</v>
      </c>
      <c r="N874" s="74" t="s">
        <v>29210</v>
      </c>
      <c r="O874" s="74">
        <v>0.0</v>
      </c>
      <c r="P874" s="119"/>
      <c r="Q874" s="119"/>
      <c r="R874" s="74" t="s">
        <v>28466</v>
      </c>
      <c r="S874" s="74">
        <v>4.0</v>
      </c>
      <c r="T874" s="74" t="s">
        <v>22634</v>
      </c>
      <c r="U874" s="120">
        <v>8239.0</v>
      </c>
      <c r="V874" s="74" t="s">
        <v>29213</v>
      </c>
      <c r="W874" s="74" t="s">
        <v>29214</v>
      </c>
      <c r="X874" s="120">
        <v>879.0</v>
      </c>
    </row>
    <row r="875">
      <c r="A875" s="74" t="s">
        <v>29207</v>
      </c>
      <c r="B875" s="74" t="s">
        <v>6876</v>
      </c>
      <c r="C875" s="74" t="s">
        <v>6877</v>
      </c>
      <c r="D875" s="74" t="s">
        <v>8493</v>
      </c>
      <c r="E875" s="74" t="s">
        <v>29215</v>
      </c>
      <c r="F875" s="74">
        <v>58.0</v>
      </c>
      <c r="G875" s="74">
        <v>1.0</v>
      </c>
      <c r="H875" s="74">
        <v>99.0</v>
      </c>
      <c r="I875" s="74" t="s">
        <v>4243</v>
      </c>
      <c r="J875" s="74" t="s">
        <v>4243</v>
      </c>
      <c r="K875" s="74" t="s">
        <v>23521</v>
      </c>
      <c r="L875" s="74" t="s">
        <v>29166</v>
      </c>
      <c r="M875" s="74" t="s">
        <v>29167</v>
      </c>
      <c r="N875" s="74" t="s">
        <v>29216</v>
      </c>
      <c r="O875" s="74">
        <v>0.0</v>
      </c>
      <c r="P875" s="119"/>
      <c r="Q875" s="119"/>
      <c r="R875" s="74" t="s">
        <v>29217</v>
      </c>
      <c r="S875" s="74">
        <v>4.0</v>
      </c>
      <c r="T875" s="74" t="s">
        <v>22634</v>
      </c>
      <c r="U875" s="120">
        <v>8240.0</v>
      </c>
      <c r="V875" s="74" t="s">
        <v>29220</v>
      </c>
      <c r="W875" s="74" t="s">
        <v>29221</v>
      </c>
      <c r="X875" s="120">
        <v>880.0</v>
      </c>
    </row>
    <row r="876">
      <c r="A876" s="74" t="s">
        <v>29215</v>
      </c>
      <c r="B876" s="74" t="s">
        <v>6876</v>
      </c>
      <c r="C876" s="74" t="s">
        <v>6877</v>
      </c>
      <c r="D876" s="74" t="s">
        <v>8493</v>
      </c>
      <c r="E876" s="74" t="s">
        <v>29222</v>
      </c>
      <c r="F876" s="74">
        <v>58.0</v>
      </c>
      <c r="G876" s="74">
        <v>1.0</v>
      </c>
      <c r="H876" s="74">
        <v>11.0</v>
      </c>
      <c r="I876" s="74" t="s">
        <v>4244</v>
      </c>
      <c r="J876" s="74" t="s">
        <v>4244</v>
      </c>
      <c r="K876" s="74" t="s">
        <v>23521</v>
      </c>
      <c r="L876" s="74" t="s">
        <v>29166</v>
      </c>
      <c r="M876" s="74" t="s">
        <v>29167</v>
      </c>
      <c r="N876" s="74" t="s">
        <v>29224</v>
      </c>
      <c r="O876" s="74">
        <v>0.0</v>
      </c>
      <c r="P876" s="119"/>
      <c r="Q876" s="119"/>
      <c r="R876" s="74" t="s">
        <v>28466</v>
      </c>
      <c r="S876" s="74">
        <v>6.0</v>
      </c>
      <c r="T876" s="74" t="s">
        <v>22634</v>
      </c>
      <c r="U876" s="120">
        <v>8241.0</v>
      </c>
      <c r="V876" s="74" t="s">
        <v>29225</v>
      </c>
      <c r="W876" s="74" t="s">
        <v>29226</v>
      </c>
      <c r="X876" s="120">
        <v>881.0</v>
      </c>
    </row>
    <row r="877">
      <c r="A877" s="74" t="s">
        <v>29222</v>
      </c>
      <c r="B877" s="74" t="s">
        <v>6876</v>
      </c>
      <c r="C877" s="74" t="s">
        <v>6877</v>
      </c>
      <c r="D877" s="74" t="s">
        <v>8493</v>
      </c>
      <c r="E877" s="74" t="s">
        <v>29229</v>
      </c>
      <c r="F877" s="74">
        <v>58.0</v>
      </c>
      <c r="G877" s="74">
        <v>1.0</v>
      </c>
      <c r="H877" s="74">
        <v>99.0</v>
      </c>
      <c r="I877" s="74" t="s">
        <v>4256</v>
      </c>
      <c r="J877" s="74" t="s">
        <v>4256</v>
      </c>
      <c r="K877" s="74" t="s">
        <v>23521</v>
      </c>
      <c r="L877" s="74" t="s">
        <v>29166</v>
      </c>
      <c r="M877" s="74" t="s">
        <v>29167</v>
      </c>
      <c r="N877" s="74" t="s">
        <v>29216</v>
      </c>
      <c r="O877" s="74">
        <v>0.0</v>
      </c>
      <c r="P877" s="119"/>
      <c r="Q877" s="119"/>
      <c r="R877" s="74" t="s">
        <v>29231</v>
      </c>
      <c r="S877" s="74">
        <v>6.0</v>
      </c>
      <c r="T877" s="74" t="s">
        <v>22634</v>
      </c>
      <c r="U877" s="120">
        <v>8242.0</v>
      </c>
      <c r="V877" s="74" t="s">
        <v>29232</v>
      </c>
      <c r="W877" s="74" t="s">
        <v>29233</v>
      </c>
      <c r="X877" s="120">
        <v>882.0</v>
      </c>
    </row>
    <row r="878">
      <c r="A878" s="74" t="s">
        <v>29229</v>
      </c>
      <c r="B878" s="74" t="s">
        <v>6876</v>
      </c>
      <c r="C878" s="74" t="s">
        <v>6877</v>
      </c>
      <c r="D878" s="74" t="s">
        <v>8493</v>
      </c>
      <c r="E878" s="74" t="s">
        <v>29236</v>
      </c>
      <c r="F878" s="74">
        <v>33.0</v>
      </c>
      <c r="G878" s="74">
        <v>1.0</v>
      </c>
      <c r="H878" s="74">
        <v>98.0</v>
      </c>
      <c r="I878" s="74" t="s">
        <v>4265</v>
      </c>
      <c r="J878" s="74" t="s">
        <v>4265</v>
      </c>
      <c r="K878" s="74" t="s">
        <v>23521</v>
      </c>
      <c r="L878" s="74" t="s">
        <v>29166</v>
      </c>
      <c r="M878" s="74" t="s">
        <v>29167</v>
      </c>
      <c r="N878" s="74" t="s">
        <v>29238</v>
      </c>
      <c r="O878" s="74">
        <v>0.0</v>
      </c>
      <c r="P878" s="119"/>
      <c r="Q878" s="119"/>
      <c r="R878" s="74" t="s">
        <v>28742</v>
      </c>
      <c r="S878" s="74">
        <v>6.0</v>
      </c>
      <c r="T878" s="74" t="s">
        <v>22634</v>
      </c>
      <c r="U878" s="120">
        <v>8243.0</v>
      </c>
      <c r="V878" s="74" t="s">
        <v>29239</v>
      </c>
      <c r="W878" s="74" t="s">
        <v>29240</v>
      </c>
      <c r="X878" s="120">
        <v>883.0</v>
      </c>
    </row>
    <row r="879">
      <c r="A879" s="1" t="s">
        <v>29241</v>
      </c>
      <c r="B879" s="1" t="s">
        <v>6876</v>
      </c>
      <c r="C879" s="1" t="s">
        <v>6877</v>
      </c>
      <c r="D879" s="1" t="s">
        <v>8493</v>
      </c>
      <c r="E879" s="1" t="s">
        <v>29244</v>
      </c>
      <c r="F879" s="1">
        <v>59.0</v>
      </c>
      <c r="G879" s="1">
        <v>1.0</v>
      </c>
      <c r="H879" s="1">
        <v>11.0</v>
      </c>
      <c r="I879" s="1" t="s">
        <v>4354</v>
      </c>
      <c r="J879" s="1" t="s">
        <v>4354</v>
      </c>
      <c r="K879" s="1" t="s">
        <v>17636</v>
      </c>
      <c r="L879" s="1" t="s">
        <v>29246</v>
      </c>
      <c r="M879" s="1" t="s">
        <v>23657</v>
      </c>
      <c r="N879" s="1" t="s">
        <v>23657</v>
      </c>
      <c r="O879" s="1">
        <v>0.0</v>
      </c>
      <c r="R879" s="1" t="s">
        <v>28466</v>
      </c>
      <c r="S879" s="1">
        <v>6.0</v>
      </c>
      <c r="T879" s="1" t="s">
        <v>22634</v>
      </c>
      <c r="U879" s="121">
        <v>8901.0</v>
      </c>
      <c r="V879" s="1" t="s">
        <v>29247</v>
      </c>
      <c r="W879" s="1" t="s">
        <v>29248</v>
      </c>
      <c r="X879" s="121">
        <v>884.0</v>
      </c>
    </row>
    <row r="880">
      <c r="A880" s="1" t="s">
        <v>29244</v>
      </c>
      <c r="B880" s="1" t="s">
        <v>6876</v>
      </c>
      <c r="C880" s="1" t="s">
        <v>6877</v>
      </c>
      <c r="D880" s="1" t="s">
        <v>8493</v>
      </c>
      <c r="E880" s="1" t="s">
        <v>29251</v>
      </c>
      <c r="F880" s="1">
        <v>59.0</v>
      </c>
      <c r="G880" s="1">
        <v>1.0</v>
      </c>
      <c r="H880" s="1">
        <v>99.0</v>
      </c>
      <c r="I880" s="1" t="s">
        <v>4366</v>
      </c>
      <c r="J880" s="1" t="s">
        <v>4366</v>
      </c>
      <c r="K880" s="1" t="s">
        <v>17636</v>
      </c>
      <c r="L880" s="1" t="s">
        <v>29246</v>
      </c>
      <c r="M880" s="1" t="s">
        <v>23657</v>
      </c>
      <c r="N880" s="1" t="s">
        <v>23657</v>
      </c>
      <c r="O880" s="1">
        <v>0.0</v>
      </c>
      <c r="R880" s="1" t="s">
        <v>29254</v>
      </c>
      <c r="S880" s="1">
        <v>6.0</v>
      </c>
      <c r="T880" s="1" t="s">
        <v>22634</v>
      </c>
      <c r="U880" s="121">
        <v>8902.0</v>
      </c>
      <c r="V880" s="1" t="s">
        <v>29255</v>
      </c>
      <c r="W880" s="1" t="s">
        <v>29256</v>
      </c>
      <c r="X880" s="121">
        <v>885.0</v>
      </c>
    </row>
    <row r="881">
      <c r="A881" s="1" t="s">
        <v>29251</v>
      </c>
      <c r="B881" s="1" t="s">
        <v>6876</v>
      </c>
      <c r="C881" s="1" t="s">
        <v>6877</v>
      </c>
      <c r="D881" s="1" t="s">
        <v>8493</v>
      </c>
      <c r="E881" s="1" t="s">
        <v>29257</v>
      </c>
      <c r="F881" s="1">
        <v>59.0</v>
      </c>
      <c r="G881" s="1">
        <v>1.0</v>
      </c>
      <c r="H881" s="1">
        <v>11.0</v>
      </c>
      <c r="I881" s="1" t="s">
        <v>4372</v>
      </c>
      <c r="J881" s="1" t="s">
        <v>4372</v>
      </c>
      <c r="K881" s="1" t="s">
        <v>17636</v>
      </c>
      <c r="L881" s="1" t="s">
        <v>29246</v>
      </c>
      <c r="M881" s="1" t="s">
        <v>23657</v>
      </c>
      <c r="N881" s="1" t="s">
        <v>23657</v>
      </c>
      <c r="O881" s="1">
        <v>0.0</v>
      </c>
      <c r="R881" s="1" t="s">
        <v>28466</v>
      </c>
      <c r="S881" s="1">
        <v>6.0</v>
      </c>
      <c r="T881" s="1" t="s">
        <v>22634</v>
      </c>
      <c r="U881" s="121">
        <v>8903.0</v>
      </c>
      <c r="V881" s="1" t="s">
        <v>29261</v>
      </c>
      <c r="W881" s="1" t="s">
        <v>29262</v>
      </c>
      <c r="X881" s="121">
        <v>886.0</v>
      </c>
    </row>
    <row r="882">
      <c r="A882" s="1" t="s">
        <v>29257</v>
      </c>
      <c r="B882" s="1" t="s">
        <v>6876</v>
      </c>
      <c r="C882" s="1" t="s">
        <v>6877</v>
      </c>
      <c r="D882" s="1" t="s">
        <v>8493</v>
      </c>
      <c r="E882" s="1" t="s">
        <v>29266</v>
      </c>
      <c r="F882" s="1">
        <v>59.0</v>
      </c>
      <c r="G882" s="1">
        <v>1.0</v>
      </c>
      <c r="H882" s="1">
        <v>99.0</v>
      </c>
      <c r="I882" s="1" t="s">
        <v>4384</v>
      </c>
      <c r="J882" s="1" t="s">
        <v>4384</v>
      </c>
      <c r="K882" s="1" t="s">
        <v>17636</v>
      </c>
      <c r="L882" s="1" t="s">
        <v>29246</v>
      </c>
      <c r="M882" s="1" t="s">
        <v>23657</v>
      </c>
      <c r="N882" s="1" t="s">
        <v>23657</v>
      </c>
      <c r="O882" s="1">
        <v>0.0</v>
      </c>
      <c r="R882" s="1" t="s">
        <v>29268</v>
      </c>
      <c r="S882" s="1">
        <v>6.0</v>
      </c>
      <c r="T882" s="1" t="s">
        <v>22634</v>
      </c>
      <c r="U882" s="121">
        <v>8904.0</v>
      </c>
      <c r="V882" s="1" t="s">
        <v>29269</v>
      </c>
      <c r="W882" s="1" t="s">
        <v>29270</v>
      </c>
      <c r="X882" s="121">
        <v>887.0</v>
      </c>
    </row>
    <row r="883">
      <c r="A883" s="1" t="s">
        <v>29266</v>
      </c>
      <c r="B883" s="1" t="s">
        <v>6876</v>
      </c>
      <c r="C883" s="1" t="s">
        <v>6877</v>
      </c>
      <c r="D883" s="1" t="s">
        <v>8493</v>
      </c>
      <c r="E883" s="1" t="s">
        <v>29271</v>
      </c>
      <c r="F883" s="1">
        <v>59.0</v>
      </c>
      <c r="G883" s="1">
        <v>1.0</v>
      </c>
      <c r="H883" s="1">
        <v>11.0</v>
      </c>
      <c r="I883" s="1" t="s">
        <v>4391</v>
      </c>
      <c r="J883" s="1" t="s">
        <v>4391</v>
      </c>
      <c r="K883" s="1" t="s">
        <v>17636</v>
      </c>
      <c r="L883" s="1" t="s">
        <v>29246</v>
      </c>
      <c r="M883" s="1" t="s">
        <v>23657</v>
      </c>
      <c r="N883" s="1" t="s">
        <v>23657</v>
      </c>
      <c r="O883" s="1">
        <v>0.0</v>
      </c>
      <c r="R883" s="1" t="s">
        <v>28466</v>
      </c>
      <c r="S883" s="1">
        <v>6.0</v>
      </c>
      <c r="T883" s="1" t="s">
        <v>22634</v>
      </c>
      <c r="U883" s="121">
        <v>8905.0</v>
      </c>
      <c r="V883" s="1" t="s">
        <v>29276</v>
      </c>
      <c r="W883" s="1" t="s">
        <v>29277</v>
      </c>
      <c r="X883" s="121">
        <v>888.0</v>
      </c>
    </row>
    <row r="884">
      <c r="A884" s="1" t="s">
        <v>29271</v>
      </c>
      <c r="B884" s="1" t="s">
        <v>6876</v>
      </c>
      <c r="C884" s="1" t="s">
        <v>6877</v>
      </c>
      <c r="D884" s="1" t="s">
        <v>8493</v>
      </c>
      <c r="E884" s="1" t="s">
        <v>29278</v>
      </c>
      <c r="F884" s="1">
        <v>59.0</v>
      </c>
      <c r="G884" s="1">
        <v>1.0</v>
      </c>
      <c r="H884" s="1">
        <v>99.0</v>
      </c>
      <c r="I884" s="1" t="s">
        <v>4403</v>
      </c>
      <c r="J884" s="1" t="s">
        <v>4403</v>
      </c>
      <c r="K884" s="1" t="s">
        <v>17636</v>
      </c>
      <c r="L884" s="1" t="s">
        <v>29246</v>
      </c>
      <c r="M884" s="1" t="s">
        <v>23657</v>
      </c>
      <c r="N884" s="1" t="s">
        <v>23657</v>
      </c>
      <c r="O884" s="1">
        <v>0.0</v>
      </c>
      <c r="R884" s="1" t="s">
        <v>29279</v>
      </c>
      <c r="S884" s="1">
        <v>6.0</v>
      </c>
      <c r="T884" s="1" t="s">
        <v>22634</v>
      </c>
      <c r="U884" s="121">
        <v>8906.0</v>
      </c>
      <c r="V884" s="1" t="s">
        <v>29282</v>
      </c>
      <c r="W884" s="1" t="s">
        <v>29283</v>
      </c>
      <c r="X884" s="121">
        <v>889.0</v>
      </c>
    </row>
    <row r="885">
      <c r="A885" s="1" t="s">
        <v>29278</v>
      </c>
      <c r="B885" s="1" t="s">
        <v>6876</v>
      </c>
      <c r="C885" s="1" t="s">
        <v>6877</v>
      </c>
      <c r="D885" s="1" t="s">
        <v>8493</v>
      </c>
      <c r="E885" s="1" t="s">
        <v>29285</v>
      </c>
      <c r="F885" s="1">
        <v>104.0</v>
      </c>
      <c r="G885" s="1">
        <v>1.0</v>
      </c>
      <c r="H885" s="1">
        <v>12.0</v>
      </c>
      <c r="I885" s="1" t="s">
        <v>4291</v>
      </c>
      <c r="J885" s="1" t="s">
        <v>4291</v>
      </c>
      <c r="K885" s="1" t="s">
        <v>17636</v>
      </c>
      <c r="L885" s="1" t="s">
        <v>29246</v>
      </c>
      <c r="M885" s="1" t="s">
        <v>23657</v>
      </c>
      <c r="N885" s="1" t="s">
        <v>29286</v>
      </c>
      <c r="O885" s="1">
        <v>0.0</v>
      </c>
      <c r="R885" s="1" t="s">
        <v>28466</v>
      </c>
      <c r="S885" s="1">
        <v>6.0</v>
      </c>
      <c r="T885" s="1" t="s">
        <v>22634</v>
      </c>
      <c r="U885" s="121">
        <v>8907.0</v>
      </c>
      <c r="V885" s="1" t="s">
        <v>29287</v>
      </c>
      <c r="W885" s="1" t="s">
        <v>29288</v>
      </c>
      <c r="X885" s="121">
        <v>890.0</v>
      </c>
    </row>
    <row r="886">
      <c r="A886" s="1" t="s">
        <v>29291</v>
      </c>
      <c r="B886" s="1" t="s">
        <v>6876</v>
      </c>
      <c r="C886" s="1" t="s">
        <v>6877</v>
      </c>
      <c r="D886" s="1" t="s">
        <v>8493</v>
      </c>
      <c r="E886" s="1" t="s">
        <v>29292</v>
      </c>
      <c r="F886" s="1">
        <v>110.0</v>
      </c>
      <c r="G886" s="1">
        <v>1.0</v>
      </c>
      <c r="H886" s="1">
        <v>12.0</v>
      </c>
      <c r="I886" s="1" t="s">
        <v>4277</v>
      </c>
      <c r="J886" s="1" t="s">
        <v>4277</v>
      </c>
      <c r="K886" s="1" t="s">
        <v>17636</v>
      </c>
      <c r="L886" s="1" t="s">
        <v>29246</v>
      </c>
      <c r="M886" s="1" t="s">
        <v>23657</v>
      </c>
      <c r="N886" s="1" t="s">
        <v>29294</v>
      </c>
      <c r="O886" s="1">
        <v>0.0</v>
      </c>
      <c r="R886" s="1" t="s">
        <v>28466</v>
      </c>
      <c r="S886" s="1">
        <v>6.0</v>
      </c>
      <c r="T886" s="1" t="s">
        <v>22634</v>
      </c>
      <c r="U886" s="121">
        <v>8908.0</v>
      </c>
      <c r="V886" s="1" t="s">
        <v>29295</v>
      </c>
      <c r="W886" s="1" t="s">
        <v>29296</v>
      </c>
      <c r="X886" s="121">
        <v>891.0</v>
      </c>
    </row>
    <row r="887">
      <c r="A887" s="1" t="s">
        <v>29292</v>
      </c>
      <c r="B887" s="1" t="s">
        <v>6876</v>
      </c>
      <c r="C887" s="1" t="s">
        <v>6877</v>
      </c>
      <c r="D887" s="1" t="s">
        <v>8493</v>
      </c>
      <c r="E887" s="1" t="s">
        <v>29298</v>
      </c>
      <c r="F887" s="1">
        <v>66.0</v>
      </c>
      <c r="G887" s="1">
        <v>1.0</v>
      </c>
      <c r="H887" s="1">
        <v>12.0</v>
      </c>
      <c r="I887" s="1" t="s">
        <v>4311</v>
      </c>
      <c r="J887" s="1" t="s">
        <v>4311</v>
      </c>
      <c r="K887" s="1" t="s">
        <v>17636</v>
      </c>
      <c r="L887" s="1" t="s">
        <v>29246</v>
      </c>
      <c r="M887" s="1" t="s">
        <v>23657</v>
      </c>
      <c r="N887" s="1" t="s">
        <v>29302</v>
      </c>
      <c r="O887" s="1">
        <v>0.0</v>
      </c>
      <c r="R887" s="1" t="s">
        <v>28466</v>
      </c>
      <c r="S887" s="1">
        <v>6.0</v>
      </c>
      <c r="T887" s="1" t="s">
        <v>22634</v>
      </c>
      <c r="U887" s="121">
        <v>8909.0</v>
      </c>
      <c r="V887" s="1" t="s">
        <v>29303</v>
      </c>
      <c r="W887" s="1" t="s">
        <v>29304</v>
      </c>
      <c r="X887" s="121">
        <v>892.0</v>
      </c>
    </row>
    <row r="888">
      <c r="A888" s="1" t="s">
        <v>29298</v>
      </c>
      <c r="B888" s="1" t="s">
        <v>6876</v>
      </c>
      <c r="C888" s="1" t="s">
        <v>6877</v>
      </c>
      <c r="D888" s="1" t="s">
        <v>8493</v>
      </c>
      <c r="E888" s="1" t="s">
        <v>29305</v>
      </c>
      <c r="F888" s="1">
        <v>59.0</v>
      </c>
      <c r="G888" s="1">
        <v>1.0</v>
      </c>
      <c r="H888" s="1">
        <v>12.0</v>
      </c>
      <c r="I888" s="1" t="s">
        <v>4327</v>
      </c>
      <c r="J888" s="1" t="s">
        <v>4327</v>
      </c>
      <c r="K888" s="1" t="s">
        <v>17636</v>
      </c>
      <c r="L888" s="1" t="s">
        <v>29246</v>
      </c>
      <c r="M888" s="1" t="s">
        <v>23657</v>
      </c>
      <c r="N888" s="1" t="s">
        <v>29310</v>
      </c>
      <c r="O888" s="1">
        <v>0.0</v>
      </c>
      <c r="R888" s="1" t="s">
        <v>28466</v>
      </c>
      <c r="S888" s="1">
        <v>6.0</v>
      </c>
      <c r="T888" s="1" t="s">
        <v>22634</v>
      </c>
      <c r="U888" s="121">
        <v>8910.0</v>
      </c>
      <c r="V888" s="1" t="s">
        <v>29311</v>
      </c>
      <c r="W888" s="1" t="s">
        <v>29312</v>
      </c>
      <c r="X888" s="121">
        <v>893.0</v>
      </c>
    </row>
    <row r="889">
      <c r="A889" s="1" t="s">
        <v>29314</v>
      </c>
      <c r="B889" s="1" t="s">
        <v>6876</v>
      </c>
      <c r="C889" s="1" t="s">
        <v>6877</v>
      </c>
      <c r="D889" s="1" t="s">
        <v>8493</v>
      </c>
      <c r="E889" s="1" t="s">
        <v>29315</v>
      </c>
      <c r="F889" s="1">
        <v>65.0</v>
      </c>
      <c r="G889" s="1">
        <v>1.0</v>
      </c>
      <c r="H889" s="1">
        <v>12.0</v>
      </c>
      <c r="I889" s="1" t="s">
        <v>4343</v>
      </c>
      <c r="J889" s="1" t="s">
        <v>4343</v>
      </c>
      <c r="K889" s="1" t="s">
        <v>17636</v>
      </c>
      <c r="L889" s="1" t="s">
        <v>29246</v>
      </c>
      <c r="M889" s="1" t="s">
        <v>23657</v>
      </c>
      <c r="N889" s="1" t="s">
        <v>29318</v>
      </c>
      <c r="O889" s="1">
        <v>0.0</v>
      </c>
      <c r="R889" s="1" t="s">
        <v>28466</v>
      </c>
      <c r="S889" s="1">
        <v>6.0</v>
      </c>
      <c r="T889" s="1" t="s">
        <v>22634</v>
      </c>
      <c r="U889" s="121">
        <v>8911.0</v>
      </c>
      <c r="V889" s="1" t="s">
        <v>29319</v>
      </c>
      <c r="W889" s="1" t="s">
        <v>29321</v>
      </c>
      <c r="X889" s="121">
        <v>894.0</v>
      </c>
    </row>
    <row r="890">
      <c r="A890" s="1" t="s">
        <v>29315</v>
      </c>
      <c r="B890" s="1" t="s">
        <v>6876</v>
      </c>
      <c r="C890" s="1" t="s">
        <v>6877</v>
      </c>
      <c r="D890" s="1" t="s">
        <v>8493</v>
      </c>
      <c r="E890" s="1" t="s">
        <v>29322</v>
      </c>
      <c r="F890" s="1">
        <v>110.0</v>
      </c>
      <c r="G890" s="1">
        <v>1.0</v>
      </c>
      <c r="H890" s="1">
        <v>99.0</v>
      </c>
      <c r="I890" s="1" t="s">
        <v>4305</v>
      </c>
      <c r="J890" s="1" t="s">
        <v>4305</v>
      </c>
      <c r="K890" s="1" t="s">
        <v>17636</v>
      </c>
      <c r="L890" s="1" t="s">
        <v>29246</v>
      </c>
      <c r="M890" s="1" t="s">
        <v>23657</v>
      </c>
      <c r="N890" s="1" t="s">
        <v>23657</v>
      </c>
      <c r="O890" s="1">
        <v>0.0</v>
      </c>
      <c r="R890" s="1" t="s">
        <v>29323</v>
      </c>
      <c r="S890" s="1">
        <v>6.0</v>
      </c>
      <c r="T890" s="1" t="s">
        <v>22634</v>
      </c>
      <c r="U890" s="121">
        <v>8912.0</v>
      </c>
      <c r="V890" s="1" t="s">
        <v>29324</v>
      </c>
      <c r="W890" s="1" t="s">
        <v>29325</v>
      </c>
      <c r="X890" s="121">
        <v>895.0</v>
      </c>
    </row>
    <row r="891">
      <c r="A891" s="1" t="s">
        <v>29322</v>
      </c>
      <c r="B891" s="1" t="s">
        <v>6876</v>
      </c>
      <c r="C891" s="1" t="s">
        <v>6877</v>
      </c>
      <c r="D891" s="1" t="s">
        <v>8493</v>
      </c>
      <c r="E891" s="1" t="s">
        <v>29329</v>
      </c>
      <c r="F891" s="1">
        <v>104.0</v>
      </c>
      <c r="G891" s="1">
        <v>1.0</v>
      </c>
      <c r="H891" s="1">
        <v>99.0</v>
      </c>
      <c r="I891" s="1" t="s">
        <v>4289</v>
      </c>
      <c r="J891" s="1" t="s">
        <v>4289</v>
      </c>
      <c r="K891" s="1" t="s">
        <v>17636</v>
      </c>
      <c r="L891" s="1" t="s">
        <v>29246</v>
      </c>
      <c r="M891" s="1" t="s">
        <v>23657</v>
      </c>
      <c r="N891" s="1" t="s">
        <v>23657</v>
      </c>
      <c r="O891" s="1">
        <v>0.0</v>
      </c>
      <c r="R891" s="1" t="s">
        <v>29331</v>
      </c>
      <c r="S891" s="1">
        <v>6.0</v>
      </c>
      <c r="T891" s="1" t="s">
        <v>22634</v>
      </c>
      <c r="U891" s="121">
        <v>8913.0</v>
      </c>
      <c r="V891" s="1" t="s">
        <v>29332</v>
      </c>
      <c r="W891" s="1" t="s">
        <v>29333</v>
      </c>
      <c r="X891" s="121">
        <v>896.0</v>
      </c>
    </row>
    <row r="892">
      <c r="A892" s="1" t="s">
        <v>29329</v>
      </c>
      <c r="B892" s="1" t="s">
        <v>6876</v>
      </c>
      <c r="C892" s="1" t="s">
        <v>6877</v>
      </c>
      <c r="D892" s="1" t="s">
        <v>8493</v>
      </c>
      <c r="E892" s="1" t="s">
        <v>29334</v>
      </c>
      <c r="F892" s="1">
        <v>66.0</v>
      </c>
      <c r="G892" s="1">
        <v>1.0</v>
      </c>
      <c r="H892" s="1">
        <v>99.0</v>
      </c>
      <c r="I892" s="1" t="s">
        <v>4323</v>
      </c>
      <c r="J892" s="1" t="s">
        <v>4323</v>
      </c>
      <c r="K892" s="1" t="s">
        <v>17636</v>
      </c>
      <c r="L892" s="1" t="s">
        <v>29246</v>
      </c>
      <c r="M892" s="1" t="s">
        <v>23657</v>
      </c>
      <c r="N892" s="1" t="s">
        <v>23657</v>
      </c>
      <c r="O892" s="1">
        <v>0.0</v>
      </c>
      <c r="R892" s="1" t="s">
        <v>29335</v>
      </c>
      <c r="S892" s="1">
        <v>6.0</v>
      </c>
      <c r="T892" s="1" t="s">
        <v>22634</v>
      </c>
      <c r="U892" s="121">
        <v>8914.0</v>
      </c>
      <c r="V892" s="1" t="s">
        <v>29338</v>
      </c>
      <c r="W892" s="1" t="s">
        <v>29339</v>
      </c>
      <c r="X892" s="121">
        <v>897.0</v>
      </c>
    </row>
    <row r="893">
      <c r="A893" s="1" t="s">
        <v>29334</v>
      </c>
      <c r="B893" s="1" t="s">
        <v>6876</v>
      </c>
      <c r="C893" s="1" t="s">
        <v>6877</v>
      </c>
      <c r="D893" s="1" t="s">
        <v>8493</v>
      </c>
      <c r="E893" s="1" t="s">
        <v>29340</v>
      </c>
      <c r="F893" s="1">
        <v>59.0</v>
      </c>
      <c r="G893" s="1">
        <v>1.0</v>
      </c>
      <c r="H893" s="1">
        <v>99.0</v>
      </c>
      <c r="I893" s="1" t="s">
        <v>4339</v>
      </c>
      <c r="J893" s="1" t="s">
        <v>4339</v>
      </c>
      <c r="K893" s="1" t="s">
        <v>17636</v>
      </c>
      <c r="L893" s="1" t="s">
        <v>29246</v>
      </c>
      <c r="M893" s="1" t="s">
        <v>23657</v>
      </c>
      <c r="N893" s="1" t="s">
        <v>23657</v>
      </c>
      <c r="O893" s="1">
        <v>0.0</v>
      </c>
      <c r="R893" s="1" t="s">
        <v>29343</v>
      </c>
      <c r="S893" s="1">
        <v>6.0</v>
      </c>
      <c r="T893" s="1" t="s">
        <v>22634</v>
      </c>
      <c r="U893" s="121">
        <v>8915.0</v>
      </c>
      <c r="V893" s="1" t="s">
        <v>29344</v>
      </c>
      <c r="W893" s="1" t="s">
        <v>29345</v>
      </c>
      <c r="X893" s="121">
        <v>898.0</v>
      </c>
    </row>
    <row r="894">
      <c r="A894" s="1" t="s">
        <v>29346</v>
      </c>
      <c r="B894" s="1" t="s">
        <v>6876</v>
      </c>
      <c r="C894" s="1" t="s">
        <v>6877</v>
      </c>
      <c r="D894" s="1" t="s">
        <v>8493</v>
      </c>
      <c r="E894" s="1" t="s">
        <v>29347</v>
      </c>
      <c r="F894" s="1">
        <v>65.0</v>
      </c>
      <c r="G894" s="1">
        <v>1.0</v>
      </c>
      <c r="H894" s="1">
        <v>99.0</v>
      </c>
      <c r="I894" s="1" t="s">
        <v>4353</v>
      </c>
      <c r="J894" s="1" t="s">
        <v>4353</v>
      </c>
      <c r="K894" s="1" t="s">
        <v>17636</v>
      </c>
      <c r="L894" s="1" t="s">
        <v>29246</v>
      </c>
      <c r="M894" s="1" t="s">
        <v>23657</v>
      </c>
      <c r="N894" s="1" t="s">
        <v>23657</v>
      </c>
      <c r="O894" s="1">
        <v>0.0</v>
      </c>
      <c r="R894" s="1" t="s">
        <v>29350</v>
      </c>
      <c r="S894" s="1">
        <v>6.0</v>
      </c>
      <c r="T894" s="1" t="s">
        <v>22634</v>
      </c>
      <c r="U894" s="121">
        <v>8916.0</v>
      </c>
      <c r="V894" s="1" t="s">
        <v>29351</v>
      </c>
      <c r="W894" s="1" t="s">
        <v>29352</v>
      </c>
      <c r="X894" s="121">
        <v>899.0</v>
      </c>
    </row>
    <row r="895">
      <c r="A895" s="1" t="s">
        <v>29347</v>
      </c>
      <c r="B895" s="1" t="s">
        <v>6876</v>
      </c>
      <c r="C895" s="1" t="s">
        <v>6877</v>
      </c>
      <c r="D895" s="1" t="s">
        <v>8493</v>
      </c>
      <c r="E895" s="1" t="s">
        <v>29354</v>
      </c>
      <c r="F895" s="1">
        <v>33.0</v>
      </c>
      <c r="G895" s="1">
        <v>1.0</v>
      </c>
      <c r="H895" s="1">
        <v>98.0</v>
      </c>
      <c r="I895" s="1" t="s">
        <v>4444</v>
      </c>
      <c r="J895" s="1" t="s">
        <v>4444</v>
      </c>
      <c r="K895" s="1" t="s">
        <v>17636</v>
      </c>
      <c r="L895" s="1" t="s">
        <v>29246</v>
      </c>
      <c r="M895" s="1" t="s">
        <v>23657</v>
      </c>
      <c r="N895" s="1" t="s">
        <v>23657</v>
      </c>
      <c r="O895" s="1">
        <v>0.0</v>
      </c>
      <c r="R895" s="1" t="s">
        <v>28536</v>
      </c>
      <c r="S895" s="1">
        <v>6.0</v>
      </c>
      <c r="T895" s="1" t="s">
        <v>22634</v>
      </c>
      <c r="U895" s="121">
        <v>8917.0</v>
      </c>
      <c r="V895" s="1" t="s">
        <v>29355</v>
      </c>
      <c r="W895" s="1" t="s">
        <v>29356</v>
      </c>
      <c r="X895" s="121">
        <v>900.0</v>
      </c>
    </row>
    <row r="896">
      <c r="A896" s="1" t="s">
        <v>29354</v>
      </c>
      <c r="B896" s="1" t="s">
        <v>6876</v>
      </c>
      <c r="C896" s="1" t="s">
        <v>6877</v>
      </c>
      <c r="D896" s="1" t="s">
        <v>8493</v>
      </c>
      <c r="E896" s="1" t="s">
        <v>29359</v>
      </c>
      <c r="F896" s="1">
        <v>59.0</v>
      </c>
      <c r="G896" s="1">
        <v>1.0</v>
      </c>
      <c r="H896" s="1">
        <v>11.0</v>
      </c>
      <c r="I896" s="1" t="s">
        <v>4451</v>
      </c>
      <c r="J896" s="1" t="s">
        <v>4451</v>
      </c>
      <c r="K896" s="1" t="s">
        <v>17883</v>
      </c>
      <c r="L896" s="1" t="s">
        <v>29361</v>
      </c>
      <c r="M896" s="1" t="s">
        <v>29363</v>
      </c>
      <c r="N896" s="1" t="s">
        <v>29364</v>
      </c>
      <c r="O896" s="1">
        <v>0.0</v>
      </c>
      <c r="R896" s="1" t="s">
        <v>28466</v>
      </c>
      <c r="S896" s="1">
        <v>4.0</v>
      </c>
      <c r="T896" s="1" t="s">
        <v>22634</v>
      </c>
      <c r="U896" s="121">
        <v>8918.0</v>
      </c>
      <c r="V896" s="1" t="s">
        <v>29365</v>
      </c>
      <c r="W896" s="1" t="s">
        <v>29366</v>
      </c>
      <c r="X896" s="121">
        <v>901.0</v>
      </c>
    </row>
    <row r="897">
      <c r="A897" s="1" t="s">
        <v>29359</v>
      </c>
      <c r="B897" s="1" t="s">
        <v>6876</v>
      </c>
      <c r="C897" s="1" t="s">
        <v>6877</v>
      </c>
      <c r="D897" s="1" t="s">
        <v>8493</v>
      </c>
      <c r="E897" s="1" t="s">
        <v>29368</v>
      </c>
      <c r="F897" s="1">
        <v>59.0</v>
      </c>
      <c r="G897" s="1">
        <v>1.0</v>
      </c>
      <c r="H897" s="1">
        <v>11.0</v>
      </c>
      <c r="I897" s="1" t="s">
        <v>4466</v>
      </c>
      <c r="J897" s="1" t="s">
        <v>4466</v>
      </c>
      <c r="K897" s="1" t="s">
        <v>17883</v>
      </c>
      <c r="L897" s="1" t="s">
        <v>29361</v>
      </c>
      <c r="M897" s="1" t="s">
        <v>29363</v>
      </c>
      <c r="N897" s="1" t="s">
        <v>29369</v>
      </c>
      <c r="O897" s="1">
        <v>0.0</v>
      </c>
      <c r="R897" s="1" t="s">
        <v>28466</v>
      </c>
      <c r="S897" s="1">
        <v>4.0</v>
      </c>
      <c r="T897" s="1" t="s">
        <v>22634</v>
      </c>
      <c r="U897" s="121">
        <v>8919.0</v>
      </c>
      <c r="V897" s="1" t="s">
        <v>29371</v>
      </c>
      <c r="W897" s="1" t="s">
        <v>29373</v>
      </c>
      <c r="X897" s="121">
        <v>902.0</v>
      </c>
    </row>
    <row r="898">
      <c r="A898" s="1" t="s">
        <v>29368</v>
      </c>
      <c r="B898" s="1" t="s">
        <v>6876</v>
      </c>
      <c r="C898" s="1" t="s">
        <v>6877</v>
      </c>
      <c r="D898" s="1" t="s">
        <v>8493</v>
      </c>
      <c r="E898" s="1" t="s">
        <v>29375</v>
      </c>
      <c r="F898" s="1">
        <v>59.0</v>
      </c>
      <c r="G898" s="1">
        <v>1.0</v>
      </c>
      <c r="H898" s="1">
        <v>11.0</v>
      </c>
      <c r="I898" s="1" t="s">
        <v>4479</v>
      </c>
      <c r="J898" s="1" t="s">
        <v>4479</v>
      </c>
      <c r="K898" s="1" t="s">
        <v>17883</v>
      </c>
      <c r="L898" s="1" t="s">
        <v>29361</v>
      </c>
      <c r="M898" s="1" t="s">
        <v>29363</v>
      </c>
      <c r="N898" s="1" t="s">
        <v>29376</v>
      </c>
      <c r="O898" s="1">
        <v>0.0</v>
      </c>
      <c r="R898" s="1" t="s">
        <v>28466</v>
      </c>
      <c r="S898" s="1">
        <v>4.0</v>
      </c>
      <c r="T898" s="1" t="s">
        <v>22634</v>
      </c>
      <c r="U898" s="121">
        <v>8920.0</v>
      </c>
      <c r="V898" s="1" t="s">
        <v>29378</v>
      </c>
      <c r="W898" s="1" t="s">
        <v>29379</v>
      </c>
      <c r="X898" s="121">
        <v>903.0</v>
      </c>
    </row>
    <row r="899">
      <c r="A899" s="1" t="s">
        <v>29375</v>
      </c>
      <c r="B899" s="1" t="s">
        <v>6876</v>
      </c>
      <c r="C899" s="1" t="s">
        <v>6877</v>
      </c>
      <c r="D899" s="1" t="s">
        <v>8493</v>
      </c>
      <c r="E899" s="1" t="s">
        <v>29380</v>
      </c>
      <c r="F899" s="1">
        <v>59.0</v>
      </c>
      <c r="G899" s="1">
        <v>1.0</v>
      </c>
      <c r="H899" s="1">
        <v>11.0</v>
      </c>
      <c r="I899" s="1" t="s">
        <v>4492</v>
      </c>
      <c r="J899" s="1" t="s">
        <v>4492</v>
      </c>
      <c r="K899" s="1" t="s">
        <v>17883</v>
      </c>
      <c r="L899" s="1" t="s">
        <v>29361</v>
      </c>
      <c r="M899" s="1" t="s">
        <v>29363</v>
      </c>
      <c r="N899" s="1" t="s">
        <v>29381</v>
      </c>
      <c r="O899" s="1">
        <v>0.0</v>
      </c>
      <c r="R899" s="1" t="s">
        <v>28466</v>
      </c>
      <c r="S899" s="1">
        <v>4.0</v>
      </c>
      <c r="T899" s="1" t="s">
        <v>22634</v>
      </c>
      <c r="U899" s="121">
        <v>8921.0</v>
      </c>
      <c r="V899" s="1" t="s">
        <v>29382</v>
      </c>
      <c r="W899" s="1" t="s">
        <v>29383</v>
      </c>
      <c r="X899" s="121">
        <v>904.0</v>
      </c>
    </row>
    <row r="900">
      <c r="A900" s="1" t="s">
        <v>29380</v>
      </c>
      <c r="B900" s="1" t="s">
        <v>6876</v>
      </c>
      <c r="C900" s="1" t="s">
        <v>6877</v>
      </c>
      <c r="D900" s="1" t="s">
        <v>8493</v>
      </c>
      <c r="E900" s="1" t="s">
        <v>29384</v>
      </c>
      <c r="F900" s="1">
        <v>59.0</v>
      </c>
      <c r="G900" s="1">
        <v>1.0</v>
      </c>
      <c r="H900" s="1">
        <v>11.0</v>
      </c>
      <c r="I900" s="1" t="s">
        <v>4505</v>
      </c>
      <c r="J900" s="1" t="s">
        <v>4505</v>
      </c>
      <c r="K900" s="1" t="s">
        <v>17883</v>
      </c>
      <c r="L900" s="1" t="s">
        <v>29361</v>
      </c>
      <c r="M900" s="1" t="s">
        <v>29363</v>
      </c>
      <c r="N900" s="1" t="s">
        <v>29385</v>
      </c>
      <c r="O900" s="1">
        <v>0.0</v>
      </c>
      <c r="R900" s="1" t="s">
        <v>28466</v>
      </c>
      <c r="S900" s="1">
        <v>4.0</v>
      </c>
      <c r="T900" s="1" t="s">
        <v>22634</v>
      </c>
      <c r="U900" s="121">
        <v>8922.0</v>
      </c>
      <c r="V900" s="1" t="s">
        <v>29386</v>
      </c>
      <c r="W900" s="1" t="s">
        <v>29387</v>
      </c>
      <c r="X900" s="121">
        <v>905.0</v>
      </c>
    </row>
    <row r="901">
      <c r="A901" s="1" t="s">
        <v>29384</v>
      </c>
      <c r="B901" s="1" t="s">
        <v>6876</v>
      </c>
      <c r="C901" s="1" t="s">
        <v>6877</v>
      </c>
      <c r="D901" s="1" t="s">
        <v>8493</v>
      </c>
      <c r="E901" s="1" t="s">
        <v>29388</v>
      </c>
      <c r="F901" s="1">
        <v>59.0</v>
      </c>
      <c r="G901" s="1">
        <v>1.0</v>
      </c>
      <c r="H901" s="1">
        <v>99.0</v>
      </c>
      <c r="I901" s="1" t="s">
        <v>4459</v>
      </c>
      <c r="J901" s="1" t="s">
        <v>4459</v>
      </c>
      <c r="K901" s="1" t="s">
        <v>29389</v>
      </c>
      <c r="L901" s="1" t="s">
        <v>29390</v>
      </c>
      <c r="M901" s="1" t="s">
        <v>29363</v>
      </c>
      <c r="N901" s="1" t="s">
        <v>29391</v>
      </c>
      <c r="O901" s="1">
        <v>0.0</v>
      </c>
      <c r="R901" s="1" t="s">
        <v>29393</v>
      </c>
      <c r="S901" s="1">
        <v>4.0</v>
      </c>
      <c r="T901" s="1" t="s">
        <v>22634</v>
      </c>
      <c r="U901" s="121">
        <v>8923.0</v>
      </c>
      <c r="V901" s="1" t="s">
        <v>29395</v>
      </c>
      <c r="W901" s="1" t="s">
        <v>29396</v>
      </c>
      <c r="X901" s="121">
        <v>906.0</v>
      </c>
    </row>
    <row r="902">
      <c r="A902" s="1" t="s">
        <v>29388</v>
      </c>
      <c r="B902" s="1" t="s">
        <v>6876</v>
      </c>
      <c r="C902" s="1" t="s">
        <v>6877</v>
      </c>
      <c r="D902" s="1" t="s">
        <v>8493</v>
      </c>
      <c r="E902" s="1" t="s">
        <v>29398</v>
      </c>
      <c r="F902" s="1">
        <v>59.0</v>
      </c>
      <c r="G902" s="1">
        <v>1.0</v>
      </c>
      <c r="H902" s="1">
        <v>99.0</v>
      </c>
      <c r="I902" s="1" t="s">
        <v>4473</v>
      </c>
      <c r="J902" s="1" t="s">
        <v>4473</v>
      </c>
      <c r="K902" s="1" t="s">
        <v>29389</v>
      </c>
      <c r="L902" s="1" t="s">
        <v>29390</v>
      </c>
      <c r="M902" s="1" t="s">
        <v>29363</v>
      </c>
      <c r="N902" s="1" t="s">
        <v>29399</v>
      </c>
      <c r="O902" s="1">
        <v>0.0</v>
      </c>
      <c r="R902" s="1" t="s">
        <v>29400</v>
      </c>
      <c r="S902" s="1">
        <v>4.0</v>
      </c>
      <c r="T902" s="1" t="s">
        <v>22634</v>
      </c>
      <c r="U902" s="121">
        <v>8924.0</v>
      </c>
      <c r="V902" s="1" t="s">
        <v>29402</v>
      </c>
      <c r="W902" s="1" t="s">
        <v>29403</v>
      </c>
      <c r="X902" s="121">
        <v>907.0</v>
      </c>
    </row>
    <row r="903">
      <c r="A903" s="1" t="s">
        <v>29398</v>
      </c>
      <c r="B903" s="1" t="s">
        <v>6876</v>
      </c>
      <c r="C903" s="1" t="s">
        <v>6877</v>
      </c>
      <c r="D903" s="1" t="s">
        <v>8493</v>
      </c>
      <c r="E903" s="1" t="s">
        <v>29404</v>
      </c>
      <c r="F903" s="1">
        <v>59.0</v>
      </c>
      <c r="G903" s="1">
        <v>1.0</v>
      </c>
      <c r="H903" s="1">
        <v>99.0</v>
      </c>
      <c r="I903" s="1" t="s">
        <v>4486</v>
      </c>
      <c r="J903" s="1" t="s">
        <v>4486</v>
      </c>
      <c r="K903" s="1" t="s">
        <v>29389</v>
      </c>
      <c r="L903" s="1" t="s">
        <v>29390</v>
      </c>
      <c r="M903" s="1" t="s">
        <v>29363</v>
      </c>
      <c r="N903" s="1" t="s">
        <v>29405</v>
      </c>
      <c r="O903" s="1">
        <v>0.0</v>
      </c>
      <c r="R903" s="1" t="s">
        <v>29406</v>
      </c>
      <c r="S903" s="1">
        <v>4.0</v>
      </c>
      <c r="T903" s="1" t="s">
        <v>22634</v>
      </c>
      <c r="U903" s="121">
        <v>8925.0</v>
      </c>
      <c r="V903" s="1" t="s">
        <v>29407</v>
      </c>
      <c r="W903" s="1" t="s">
        <v>29408</v>
      </c>
      <c r="X903" s="121">
        <v>908.0</v>
      </c>
    </row>
    <row r="904">
      <c r="A904" s="1" t="s">
        <v>29404</v>
      </c>
      <c r="B904" s="1" t="s">
        <v>6876</v>
      </c>
      <c r="C904" s="1" t="s">
        <v>6877</v>
      </c>
      <c r="D904" s="1" t="s">
        <v>8493</v>
      </c>
      <c r="E904" s="1" t="s">
        <v>29409</v>
      </c>
      <c r="F904" s="1">
        <v>59.0</v>
      </c>
      <c r="G904" s="1">
        <v>1.0</v>
      </c>
      <c r="H904" s="1">
        <v>99.0</v>
      </c>
      <c r="I904" s="1" t="s">
        <v>4501</v>
      </c>
      <c r="J904" s="1" t="s">
        <v>4501</v>
      </c>
      <c r="K904" s="1" t="s">
        <v>29389</v>
      </c>
      <c r="L904" s="1" t="s">
        <v>29390</v>
      </c>
      <c r="M904" s="1" t="s">
        <v>29363</v>
      </c>
      <c r="N904" s="1" t="s">
        <v>29410</v>
      </c>
      <c r="O904" s="1">
        <v>0.0</v>
      </c>
      <c r="R904" s="1" t="s">
        <v>29411</v>
      </c>
      <c r="S904" s="1">
        <v>4.0</v>
      </c>
      <c r="T904" s="1" t="s">
        <v>22634</v>
      </c>
      <c r="U904" s="121">
        <v>8926.0</v>
      </c>
      <c r="V904" s="1" t="s">
        <v>29414</v>
      </c>
      <c r="W904" s="1" t="s">
        <v>29415</v>
      </c>
      <c r="X904" s="121">
        <v>909.0</v>
      </c>
    </row>
    <row r="905">
      <c r="A905" s="1" t="s">
        <v>29409</v>
      </c>
      <c r="B905" s="1" t="s">
        <v>6876</v>
      </c>
      <c r="C905" s="1" t="s">
        <v>6877</v>
      </c>
      <c r="D905" s="1" t="s">
        <v>8493</v>
      </c>
      <c r="E905" s="1" t="s">
        <v>29417</v>
      </c>
      <c r="F905" s="1">
        <v>59.0</v>
      </c>
      <c r="G905" s="1">
        <v>1.0</v>
      </c>
      <c r="H905" s="1">
        <v>99.0</v>
      </c>
      <c r="I905" s="1" t="s">
        <v>4509</v>
      </c>
      <c r="J905" s="1" t="s">
        <v>4509</v>
      </c>
      <c r="K905" s="1" t="s">
        <v>29389</v>
      </c>
      <c r="L905" s="1" t="s">
        <v>29390</v>
      </c>
      <c r="M905" s="1" t="s">
        <v>29363</v>
      </c>
      <c r="N905" s="1" t="s">
        <v>29419</v>
      </c>
      <c r="O905" s="1">
        <v>0.0</v>
      </c>
      <c r="R905" s="1" t="s">
        <v>29420</v>
      </c>
      <c r="S905" s="1">
        <v>4.0</v>
      </c>
      <c r="T905" s="1" t="s">
        <v>22634</v>
      </c>
      <c r="U905" s="121">
        <v>8927.0</v>
      </c>
      <c r="V905" s="1" t="s">
        <v>29421</v>
      </c>
      <c r="W905" s="1" t="s">
        <v>29422</v>
      </c>
      <c r="X905" s="121">
        <v>910.0</v>
      </c>
    </row>
    <row r="906">
      <c r="A906" s="1" t="s">
        <v>29417</v>
      </c>
      <c r="B906" s="1" t="s">
        <v>6876</v>
      </c>
      <c r="C906" s="1" t="s">
        <v>6877</v>
      </c>
      <c r="D906" s="1" t="s">
        <v>8493</v>
      </c>
      <c r="E906" s="1" t="s">
        <v>29425</v>
      </c>
      <c r="F906" s="1">
        <v>33.0</v>
      </c>
      <c r="G906" s="1">
        <v>1.0</v>
      </c>
      <c r="H906" s="1">
        <v>98.0</v>
      </c>
      <c r="I906" s="1" t="s">
        <v>4516</v>
      </c>
      <c r="J906" s="1" t="s">
        <v>4516</v>
      </c>
      <c r="K906" s="1" t="s">
        <v>29389</v>
      </c>
      <c r="L906" s="1" t="s">
        <v>29390</v>
      </c>
      <c r="M906" s="1" t="s">
        <v>29363</v>
      </c>
      <c r="N906" s="1" t="s">
        <v>29391</v>
      </c>
      <c r="O906" s="1">
        <v>0.0</v>
      </c>
      <c r="R906" s="1" t="s">
        <v>28536</v>
      </c>
      <c r="S906" s="1">
        <v>4.0</v>
      </c>
      <c r="T906" s="1" t="s">
        <v>22634</v>
      </c>
      <c r="U906" s="121">
        <v>8928.0</v>
      </c>
      <c r="V906" s="1" t="s">
        <v>29427</v>
      </c>
      <c r="W906" s="1" t="s">
        <v>29428</v>
      </c>
      <c r="X906" s="121">
        <v>911.0</v>
      </c>
    </row>
    <row r="907">
      <c r="A907" s="1" t="s">
        <v>29425</v>
      </c>
      <c r="B907" s="1" t="s">
        <v>6876</v>
      </c>
      <c r="C907" s="1" t="s">
        <v>6877</v>
      </c>
      <c r="D907" s="1" t="s">
        <v>8493</v>
      </c>
      <c r="E907" s="1" t="s">
        <v>29429</v>
      </c>
      <c r="F907" s="1">
        <v>57.0</v>
      </c>
      <c r="G907" s="1">
        <v>1.0</v>
      </c>
      <c r="H907" s="1">
        <v>12.0</v>
      </c>
      <c r="I907" s="1" t="s">
        <v>4549</v>
      </c>
      <c r="J907" s="1" t="s">
        <v>4549</v>
      </c>
      <c r="K907" s="1" t="s">
        <v>29432</v>
      </c>
      <c r="L907" s="1" t="s">
        <v>17966</v>
      </c>
      <c r="M907" s="1" t="s">
        <v>29433</v>
      </c>
      <c r="N907" s="1" t="s">
        <v>29434</v>
      </c>
      <c r="O907" s="1">
        <v>0.0</v>
      </c>
      <c r="R907" s="1" t="s">
        <v>28466</v>
      </c>
      <c r="S907" s="1">
        <v>4.0</v>
      </c>
      <c r="T907" s="1" t="s">
        <v>22634</v>
      </c>
      <c r="U907" s="121">
        <v>8929.0</v>
      </c>
      <c r="V907" s="1" t="s">
        <v>29436</v>
      </c>
      <c r="W907" s="1" t="s">
        <v>29437</v>
      </c>
      <c r="X907" s="121">
        <v>912.0</v>
      </c>
    </row>
    <row r="908">
      <c r="A908" s="1" t="s">
        <v>29429</v>
      </c>
      <c r="B908" s="1" t="s">
        <v>6876</v>
      </c>
      <c r="C908" s="1" t="s">
        <v>6877</v>
      </c>
      <c r="D908" s="1" t="s">
        <v>8493</v>
      </c>
      <c r="E908" s="1" t="s">
        <v>29438</v>
      </c>
      <c r="F908" s="1">
        <v>57.0</v>
      </c>
      <c r="G908" s="1">
        <v>1.0</v>
      </c>
      <c r="H908" s="1">
        <v>12.0</v>
      </c>
      <c r="I908" s="1" t="s">
        <v>4590</v>
      </c>
      <c r="J908" s="1" t="s">
        <v>4590</v>
      </c>
      <c r="K908" s="1" t="s">
        <v>29432</v>
      </c>
      <c r="L908" s="1" t="s">
        <v>17966</v>
      </c>
      <c r="M908" s="1" t="s">
        <v>29433</v>
      </c>
      <c r="N908" s="1" t="s">
        <v>29439</v>
      </c>
      <c r="O908" s="1">
        <v>0.0</v>
      </c>
      <c r="R908" s="1" t="s">
        <v>28466</v>
      </c>
      <c r="S908" s="1">
        <v>4.0</v>
      </c>
      <c r="T908" s="1" t="s">
        <v>22634</v>
      </c>
      <c r="U908" s="121">
        <v>8930.0</v>
      </c>
      <c r="V908" s="1" t="s">
        <v>29442</v>
      </c>
      <c r="W908" s="1" t="s">
        <v>29443</v>
      </c>
      <c r="X908" s="121">
        <v>913.0</v>
      </c>
    </row>
    <row r="909">
      <c r="A909" s="1" t="s">
        <v>29438</v>
      </c>
      <c r="B909" s="1" t="s">
        <v>6876</v>
      </c>
      <c r="C909" s="1" t="s">
        <v>6877</v>
      </c>
      <c r="D909" s="1" t="s">
        <v>8493</v>
      </c>
      <c r="E909" s="1" t="s">
        <v>29445</v>
      </c>
      <c r="F909" s="1">
        <v>57.0</v>
      </c>
      <c r="G909" s="1">
        <v>1.0</v>
      </c>
      <c r="H909" s="1">
        <v>12.0</v>
      </c>
      <c r="I909" s="1" t="s">
        <v>4626</v>
      </c>
      <c r="J909" s="1" t="s">
        <v>4626</v>
      </c>
      <c r="K909" s="1" t="s">
        <v>29432</v>
      </c>
      <c r="L909" s="1" t="s">
        <v>17966</v>
      </c>
      <c r="M909" s="1" t="s">
        <v>29433</v>
      </c>
      <c r="N909" s="1" t="s">
        <v>29446</v>
      </c>
      <c r="O909" s="1">
        <v>0.0</v>
      </c>
      <c r="R909" s="1" t="s">
        <v>28466</v>
      </c>
      <c r="S909" s="1">
        <v>4.0</v>
      </c>
      <c r="T909" s="1" t="s">
        <v>22634</v>
      </c>
      <c r="U909" s="121">
        <v>8931.0</v>
      </c>
      <c r="V909" s="1" t="s">
        <v>29448</v>
      </c>
      <c r="W909" s="1" t="s">
        <v>29449</v>
      </c>
      <c r="X909" s="121">
        <v>914.0</v>
      </c>
    </row>
    <row r="910">
      <c r="A910" s="1" t="s">
        <v>29450</v>
      </c>
      <c r="B910" s="1" t="s">
        <v>6876</v>
      </c>
      <c r="C910" s="1" t="s">
        <v>6877</v>
      </c>
      <c r="D910" s="1" t="s">
        <v>8493</v>
      </c>
      <c r="E910" s="1" t="s">
        <v>29453</v>
      </c>
      <c r="F910" s="1">
        <v>55.0</v>
      </c>
      <c r="G910" s="1">
        <v>1.0</v>
      </c>
      <c r="H910" s="1">
        <v>12.0</v>
      </c>
      <c r="I910" s="1" t="s">
        <v>4662</v>
      </c>
      <c r="J910" s="1" t="s">
        <v>4662</v>
      </c>
      <c r="K910" s="1" t="s">
        <v>29432</v>
      </c>
      <c r="L910" s="1" t="s">
        <v>17966</v>
      </c>
      <c r="M910" s="1" t="s">
        <v>29433</v>
      </c>
      <c r="N910" s="1" t="s">
        <v>29454</v>
      </c>
      <c r="O910" s="1">
        <v>0.0</v>
      </c>
      <c r="R910" s="1" t="s">
        <v>28466</v>
      </c>
      <c r="S910" s="1">
        <v>4.0</v>
      </c>
      <c r="T910" s="1" t="s">
        <v>22634</v>
      </c>
      <c r="U910" s="121">
        <v>8932.0</v>
      </c>
      <c r="V910" s="1" t="s">
        <v>29456</v>
      </c>
      <c r="W910" s="1" t="s">
        <v>29457</v>
      </c>
      <c r="X910" s="121">
        <v>915.0</v>
      </c>
    </row>
    <row r="911">
      <c r="A911" s="1" t="s">
        <v>29453</v>
      </c>
      <c r="B911" s="1" t="s">
        <v>6876</v>
      </c>
      <c r="C911" s="1" t="s">
        <v>6877</v>
      </c>
      <c r="D911" s="1" t="s">
        <v>8493</v>
      </c>
      <c r="E911" s="1" t="s">
        <v>29458</v>
      </c>
      <c r="F911" s="1">
        <v>57.0</v>
      </c>
      <c r="G911" s="1">
        <v>1.0</v>
      </c>
      <c r="H911" s="1">
        <v>99.0</v>
      </c>
      <c r="I911" s="1" t="s">
        <v>4574</v>
      </c>
      <c r="J911" s="1" t="s">
        <v>4574</v>
      </c>
      <c r="K911" s="1" t="s">
        <v>29432</v>
      </c>
      <c r="L911" s="1" t="s">
        <v>17966</v>
      </c>
      <c r="M911" s="1" t="s">
        <v>29433</v>
      </c>
      <c r="N911" s="1" t="s">
        <v>29461</v>
      </c>
      <c r="O911" s="1">
        <v>0.0</v>
      </c>
      <c r="R911" s="1" t="s">
        <v>29462</v>
      </c>
      <c r="S911" s="1">
        <v>4.0</v>
      </c>
      <c r="T911" s="1" t="s">
        <v>22634</v>
      </c>
      <c r="U911" s="121">
        <v>8933.0</v>
      </c>
      <c r="V911" s="1" t="s">
        <v>29464</v>
      </c>
      <c r="W911" s="1" t="s">
        <v>29465</v>
      </c>
      <c r="X911" s="121">
        <v>916.0</v>
      </c>
    </row>
    <row r="912">
      <c r="A912" s="1" t="s">
        <v>29458</v>
      </c>
      <c r="B912" s="1" t="s">
        <v>6876</v>
      </c>
      <c r="C912" s="1" t="s">
        <v>6877</v>
      </c>
      <c r="D912" s="1" t="s">
        <v>8493</v>
      </c>
      <c r="E912" s="1" t="s">
        <v>29467</v>
      </c>
      <c r="F912" s="1">
        <v>57.0</v>
      </c>
      <c r="G912" s="1">
        <v>1.0</v>
      </c>
      <c r="H912" s="1">
        <v>99.0</v>
      </c>
      <c r="I912" s="1" t="s">
        <v>4612</v>
      </c>
      <c r="J912" s="1" t="s">
        <v>4612</v>
      </c>
      <c r="K912" s="1" t="s">
        <v>29432</v>
      </c>
      <c r="L912" s="1" t="s">
        <v>17966</v>
      </c>
      <c r="M912" s="1" t="s">
        <v>29433</v>
      </c>
      <c r="N912" s="1" t="s">
        <v>29468</v>
      </c>
      <c r="O912" s="1">
        <v>0.0</v>
      </c>
      <c r="R912" s="1" t="s">
        <v>29469</v>
      </c>
      <c r="S912" s="1">
        <v>4.0</v>
      </c>
      <c r="T912" s="1" t="s">
        <v>22634</v>
      </c>
      <c r="U912" s="121">
        <v>8934.0</v>
      </c>
      <c r="V912" s="1" t="s">
        <v>29470</v>
      </c>
      <c r="W912" s="1" t="s">
        <v>29471</v>
      </c>
      <c r="X912" s="121">
        <v>917.0</v>
      </c>
    </row>
    <row r="913">
      <c r="A913" s="1" t="s">
        <v>29467</v>
      </c>
      <c r="B913" s="1" t="s">
        <v>6876</v>
      </c>
      <c r="C913" s="1" t="s">
        <v>6877</v>
      </c>
      <c r="D913" s="1" t="s">
        <v>8493</v>
      </c>
      <c r="E913" s="1" t="s">
        <v>29472</v>
      </c>
      <c r="F913" s="1">
        <v>57.0</v>
      </c>
      <c r="G913" s="1">
        <v>1.0</v>
      </c>
      <c r="H913" s="1">
        <v>99.0</v>
      </c>
      <c r="I913" s="1" t="s">
        <v>4647</v>
      </c>
      <c r="J913" s="1" t="s">
        <v>4647</v>
      </c>
      <c r="K913" s="1" t="s">
        <v>29432</v>
      </c>
      <c r="L913" s="1" t="s">
        <v>17966</v>
      </c>
      <c r="M913" s="1" t="s">
        <v>29433</v>
      </c>
      <c r="N913" s="1" t="s">
        <v>29475</v>
      </c>
      <c r="O913" s="1">
        <v>0.0</v>
      </c>
      <c r="R913" s="1" t="s">
        <v>29476</v>
      </c>
      <c r="S913" s="1">
        <v>4.0</v>
      </c>
      <c r="T913" s="1" t="s">
        <v>22634</v>
      </c>
      <c r="U913" s="121">
        <v>8935.0</v>
      </c>
      <c r="V913" s="1" t="s">
        <v>29478</v>
      </c>
      <c r="W913" s="1" t="s">
        <v>29479</v>
      </c>
      <c r="X913" s="121">
        <v>918.0</v>
      </c>
    </row>
    <row r="914">
      <c r="A914" s="1" t="s">
        <v>29472</v>
      </c>
      <c r="B914" s="1" t="s">
        <v>6876</v>
      </c>
      <c r="C914" s="1" t="s">
        <v>6877</v>
      </c>
      <c r="D914" s="1" t="s">
        <v>8493</v>
      </c>
      <c r="E914" s="1" t="s">
        <v>29480</v>
      </c>
      <c r="F914" s="1">
        <v>55.0</v>
      </c>
      <c r="G914" s="1">
        <v>1.0</v>
      </c>
      <c r="H914" s="1">
        <v>99.0</v>
      </c>
      <c r="I914" s="1" t="s">
        <v>4683</v>
      </c>
      <c r="J914" s="1" t="s">
        <v>4683</v>
      </c>
      <c r="K914" s="1" t="s">
        <v>29432</v>
      </c>
      <c r="L914" s="1" t="s">
        <v>17966</v>
      </c>
      <c r="M914" s="1" t="s">
        <v>29433</v>
      </c>
      <c r="N914" s="1" t="s">
        <v>29475</v>
      </c>
      <c r="O914" s="1">
        <v>0.0</v>
      </c>
      <c r="R914" s="1" t="s">
        <v>29482</v>
      </c>
      <c r="S914" s="1">
        <v>4.0</v>
      </c>
      <c r="T914" s="1" t="s">
        <v>22634</v>
      </c>
      <c r="U914" s="121">
        <v>8936.0</v>
      </c>
      <c r="V914" s="1" t="s">
        <v>29484</v>
      </c>
      <c r="W914" s="1" t="s">
        <v>29485</v>
      </c>
      <c r="X914" s="121">
        <v>919.0</v>
      </c>
    </row>
    <row r="915">
      <c r="A915" s="1" t="s">
        <v>29480</v>
      </c>
      <c r="B915" s="1" t="s">
        <v>6876</v>
      </c>
      <c r="C915" s="1" t="s">
        <v>6877</v>
      </c>
      <c r="D915" s="1" t="s">
        <v>8493</v>
      </c>
      <c r="E915" s="1" t="s">
        <v>29486</v>
      </c>
      <c r="F915" s="1">
        <v>33.0</v>
      </c>
      <c r="G915" s="1">
        <v>1.0</v>
      </c>
      <c r="H915" s="1">
        <v>98.0</v>
      </c>
      <c r="I915" s="1" t="s">
        <v>4758</v>
      </c>
      <c r="J915" s="1" t="s">
        <v>4758</v>
      </c>
      <c r="K915" s="1" t="s">
        <v>29432</v>
      </c>
      <c r="L915" s="1" t="s">
        <v>17966</v>
      </c>
      <c r="M915" s="1" t="s">
        <v>29433</v>
      </c>
      <c r="N915" s="1" t="s">
        <v>29488</v>
      </c>
      <c r="O915" s="1">
        <v>0.0</v>
      </c>
      <c r="R915" s="1" t="s">
        <v>28536</v>
      </c>
      <c r="S915" s="1">
        <v>4.0</v>
      </c>
      <c r="T915" s="1" t="s">
        <v>22634</v>
      </c>
      <c r="U915" s="121">
        <v>8937.0</v>
      </c>
      <c r="V915" s="1" t="s">
        <v>29489</v>
      </c>
      <c r="W915" s="1" t="s">
        <v>29490</v>
      </c>
      <c r="X915" s="121">
        <v>920.0</v>
      </c>
    </row>
    <row r="916">
      <c r="A916" s="1" t="s">
        <v>29486</v>
      </c>
      <c r="B916" s="1" t="s">
        <v>6876</v>
      </c>
      <c r="C916" s="1" t="s">
        <v>6877</v>
      </c>
      <c r="D916" s="1" t="s">
        <v>8493</v>
      </c>
      <c r="E916" s="1" t="s">
        <v>29491</v>
      </c>
      <c r="F916" s="1">
        <v>58.0</v>
      </c>
      <c r="G916" s="1">
        <v>2.0</v>
      </c>
      <c r="H916" s="1">
        <v>10.0</v>
      </c>
      <c r="I916" s="1" t="s">
        <v>3409</v>
      </c>
      <c r="J916" s="1" t="s">
        <v>3409</v>
      </c>
      <c r="K916" s="1" t="s">
        <v>29432</v>
      </c>
      <c r="L916" s="1" t="s">
        <v>17966</v>
      </c>
      <c r="M916" s="1" t="s">
        <v>29433</v>
      </c>
      <c r="N916" s="1" t="s">
        <v>29493</v>
      </c>
      <c r="O916" s="1">
        <v>0.0</v>
      </c>
      <c r="R916" s="1" t="s">
        <v>28466</v>
      </c>
      <c r="S916" s="1">
        <v>4.0</v>
      </c>
      <c r="T916" s="1" t="s">
        <v>22634</v>
      </c>
      <c r="U916" s="121">
        <v>8938.0</v>
      </c>
      <c r="V916" s="1" t="s">
        <v>29496</v>
      </c>
      <c r="W916" s="1" t="s">
        <v>29497</v>
      </c>
      <c r="X916" s="121">
        <v>921.0</v>
      </c>
    </row>
    <row r="917">
      <c r="A917" s="1" t="s">
        <v>29491</v>
      </c>
      <c r="B917" s="1" t="s">
        <v>6876</v>
      </c>
      <c r="C917" s="1" t="s">
        <v>6877</v>
      </c>
      <c r="D917" s="1" t="s">
        <v>8493</v>
      </c>
      <c r="E917" s="1" t="s">
        <v>29498</v>
      </c>
      <c r="F917" s="1">
        <v>6.0</v>
      </c>
      <c r="G917" s="1">
        <v>1.0</v>
      </c>
      <c r="H917" s="1">
        <v>12.0</v>
      </c>
      <c r="I917" s="1" t="s">
        <v>4776</v>
      </c>
      <c r="J917" s="1" t="s">
        <v>4776</v>
      </c>
      <c r="K917" s="1" t="s">
        <v>29500</v>
      </c>
      <c r="L917" s="1" t="s">
        <v>29501</v>
      </c>
      <c r="M917" s="1" t="s">
        <v>29502</v>
      </c>
      <c r="N917" s="1" t="s">
        <v>29503</v>
      </c>
      <c r="O917" s="1">
        <v>0.0</v>
      </c>
      <c r="R917" s="1" t="s">
        <v>28466</v>
      </c>
      <c r="S917" s="1">
        <v>4.0</v>
      </c>
      <c r="T917" s="1" t="s">
        <v>22634</v>
      </c>
      <c r="U917" s="121">
        <v>8939.0</v>
      </c>
      <c r="V917" s="1" t="s">
        <v>29504</v>
      </c>
      <c r="W917" s="1" t="s">
        <v>29505</v>
      </c>
      <c r="X917" s="121">
        <v>922.0</v>
      </c>
    </row>
    <row r="918">
      <c r="A918" s="1" t="s">
        <v>29498</v>
      </c>
      <c r="B918" s="1" t="s">
        <v>6876</v>
      </c>
      <c r="C918" s="1" t="s">
        <v>6877</v>
      </c>
      <c r="D918" s="1" t="s">
        <v>8493</v>
      </c>
      <c r="E918" s="1" t="s">
        <v>29506</v>
      </c>
      <c r="F918" s="1">
        <v>6.0</v>
      </c>
      <c r="G918" s="1">
        <v>1.0</v>
      </c>
      <c r="H918" s="1">
        <v>99.0</v>
      </c>
      <c r="I918" s="1" t="s">
        <v>4864</v>
      </c>
      <c r="J918" s="1" t="s">
        <v>4864</v>
      </c>
      <c r="K918" s="1" t="s">
        <v>29500</v>
      </c>
      <c r="L918" s="1" t="s">
        <v>29501</v>
      </c>
      <c r="M918" s="1" t="s">
        <v>29502</v>
      </c>
      <c r="N918" s="1" t="s">
        <v>29508</v>
      </c>
      <c r="O918" s="1">
        <v>0.0</v>
      </c>
      <c r="R918" s="1" t="s">
        <v>29510</v>
      </c>
      <c r="S918" s="1">
        <v>4.0</v>
      </c>
      <c r="T918" s="1" t="s">
        <v>22634</v>
      </c>
      <c r="U918" s="121">
        <v>8940.0</v>
      </c>
      <c r="V918" s="1" t="s">
        <v>29512</v>
      </c>
      <c r="W918" s="1" t="s">
        <v>29513</v>
      </c>
      <c r="X918" s="121">
        <v>923.0</v>
      </c>
    </row>
    <row r="919">
      <c r="A919" s="1" t="s">
        <v>29506</v>
      </c>
      <c r="B919" s="1" t="s">
        <v>6876</v>
      </c>
      <c r="C919" s="1" t="s">
        <v>6877</v>
      </c>
      <c r="D919" s="1" t="s">
        <v>8493</v>
      </c>
      <c r="E919" s="1" t="s">
        <v>29515</v>
      </c>
      <c r="F919" s="1">
        <v>3.0</v>
      </c>
      <c r="G919" s="1">
        <v>1.0</v>
      </c>
      <c r="H919" s="1">
        <v>12.0</v>
      </c>
      <c r="I919" s="1" t="s">
        <v>4807</v>
      </c>
      <c r="J919" s="1" t="s">
        <v>4807</v>
      </c>
      <c r="K919" s="1" t="s">
        <v>29500</v>
      </c>
      <c r="L919" s="1" t="s">
        <v>29501</v>
      </c>
      <c r="M919" s="1" t="s">
        <v>29502</v>
      </c>
      <c r="N919" s="1" t="s">
        <v>29516</v>
      </c>
      <c r="O919" s="1">
        <v>0.0</v>
      </c>
      <c r="R919" s="1" t="s">
        <v>28466</v>
      </c>
      <c r="S919" s="1">
        <v>4.0</v>
      </c>
      <c r="T919" s="1" t="s">
        <v>22634</v>
      </c>
      <c r="U919" s="121">
        <v>8941.0</v>
      </c>
      <c r="V919" s="1" t="s">
        <v>29517</v>
      </c>
      <c r="W919" s="1" t="s">
        <v>29518</v>
      </c>
      <c r="X919" s="121">
        <v>924.0</v>
      </c>
    </row>
    <row r="920">
      <c r="A920" s="1" t="s">
        <v>29515</v>
      </c>
      <c r="B920" s="1" t="s">
        <v>6876</v>
      </c>
      <c r="C920" s="1" t="s">
        <v>6877</v>
      </c>
      <c r="D920" s="1" t="s">
        <v>8493</v>
      </c>
      <c r="E920" s="1" t="s">
        <v>29519</v>
      </c>
      <c r="F920" s="1">
        <v>3.0</v>
      </c>
      <c r="G920" s="1">
        <v>1.0</v>
      </c>
      <c r="H920" s="1">
        <v>99.0</v>
      </c>
      <c r="I920" s="1" t="s">
        <v>4904</v>
      </c>
      <c r="J920" s="1" t="s">
        <v>4904</v>
      </c>
      <c r="K920" s="1" t="s">
        <v>29500</v>
      </c>
      <c r="L920" s="1" t="s">
        <v>29501</v>
      </c>
      <c r="M920" s="1" t="s">
        <v>29502</v>
      </c>
      <c r="N920" s="1" t="s">
        <v>29522</v>
      </c>
      <c r="O920" s="1">
        <v>0.0</v>
      </c>
      <c r="R920" s="1" t="s">
        <v>29524</v>
      </c>
      <c r="S920" s="1">
        <v>4.0</v>
      </c>
      <c r="T920" s="1" t="s">
        <v>22634</v>
      </c>
      <c r="U920" s="121">
        <v>8942.0</v>
      </c>
      <c r="V920" s="1" t="s">
        <v>29525</v>
      </c>
      <c r="W920" s="1" t="s">
        <v>29526</v>
      </c>
      <c r="X920" s="121">
        <v>925.0</v>
      </c>
    </row>
    <row r="921">
      <c r="A921" s="1" t="s">
        <v>29519</v>
      </c>
      <c r="B921" s="1" t="s">
        <v>6876</v>
      </c>
      <c r="C921" s="1" t="s">
        <v>6877</v>
      </c>
      <c r="D921" s="1" t="s">
        <v>8493</v>
      </c>
      <c r="E921" s="1" t="s">
        <v>29528</v>
      </c>
      <c r="F921" s="1">
        <v>29.0</v>
      </c>
      <c r="G921" s="1">
        <v>1.0</v>
      </c>
      <c r="H921" s="1">
        <v>12.0</v>
      </c>
      <c r="I921" s="1" t="s">
        <v>4842</v>
      </c>
      <c r="J921" s="1" t="s">
        <v>4842</v>
      </c>
      <c r="K921" s="1" t="s">
        <v>29500</v>
      </c>
      <c r="L921" s="1" t="s">
        <v>29501</v>
      </c>
      <c r="M921" s="1" t="s">
        <v>29502</v>
      </c>
      <c r="N921" s="1" t="s">
        <v>29530</v>
      </c>
      <c r="O921" s="1">
        <v>0.0</v>
      </c>
      <c r="R921" s="1" t="s">
        <v>28466</v>
      </c>
      <c r="S921" s="1">
        <v>4.0</v>
      </c>
      <c r="T921" s="1" t="s">
        <v>22634</v>
      </c>
      <c r="U921" s="121">
        <v>8943.0</v>
      </c>
      <c r="V921" s="1" t="s">
        <v>29531</v>
      </c>
      <c r="W921" s="1" t="s">
        <v>29532</v>
      </c>
      <c r="X921" s="121">
        <v>926.0</v>
      </c>
    </row>
    <row r="922">
      <c r="A922" s="1" t="s">
        <v>29528</v>
      </c>
      <c r="B922" s="1" t="s">
        <v>6876</v>
      </c>
      <c r="C922" s="1" t="s">
        <v>6877</v>
      </c>
      <c r="D922" s="1" t="s">
        <v>8493</v>
      </c>
      <c r="E922" s="1" t="s">
        <v>29533</v>
      </c>
      <c r="F922" s="1">
        <v>29.0</v>
      </c>
      <c r="G922" s="1">
        <v>1.0</v>
      </c>
      <c r="H922" s="1">
        <v>99.0</v>
      </c>
      <c r="I922" s="1" t="s">
        <v>4942</v>
      </c>
      <c r="J922" s="1" t="s">
        <v>4942</v>
      </c>
      <c r="K922" s="1" t="s">
        <v>29500</v>
      </c>
      <c r="L922" s="1" t="s">
        <v>29501</v>
      </c>
      <c r="M922" s="1" t="s">
        <v>29502</v>
      </c>
      <c r="N922" s="1" t="s">
        <v>29534</v>
      </c>
      <c r="O922" s="1">
        <v>0.0</v>
      </c>
      <c r="R922" s="1" t="s">
        <v>29535</v>
      </c>
      <c r="S922" s="1">
        <v>4.0</v>
      </c>
      <c r="T922" s="1" t="s">
        <v>22634</v>
      </c>
      <c r="U922" s="121">
        <v>8944.0</v>
      </c>
      <c r="V922" s="1" t="s">
        <v>29537</v>
      </c>
      <c r="W922" s="1" t="s">
        <v>29538</v>
      </c>
      <c r="X922" s="121">
        <v>927.0</v>
      </c>
    </row>
    <row r="923">
      <c r="A923" s="1" t="s">
        <v>29533</v>
      </c>
      <c r="B923" s="1" t="s">
        <v>6876</v>
      </c>
      <c r="C923" s="1" t="s">
        <v>6877</v>
      </c>
      <c r="D923" s="1" t="s">
        <v>8493</v>
      </c>
      <c r="E923" s="1" t="s">
        <v>29541</v>
      </c>
      <c r="F923" s="1">
        <v>58.0</v>
      </c>
      <c r="G923" s="1">
        <v>1.0</v>
      </c>
      <c r="H923" s="1">
        <v>11.0</v>
      </c>
      <c r="I923" s="1" t="s">
        <v>4876</v>
      </c>
      <c r="J923" s="1" t="s">
        <v>4876</v>
      </c>
      <c r="K923" s="1" t="s">
        <v>29500</v>
      </c>
      <c r="L923" s="1" t="s">
        <v>29501</v>
      </c>
      <c r="M923" s="1" t="s">
        <v>29502</v>
      </c>
      <c r="N923" s="1" t="s">
        <v>29543</v>
      </c>
      <c r="O923" s="1">
        <v>0.0</v>
      </c>
      <c r="R923" s="1" t="s">
        <v>28466</v>
      </c>
      <c r="S923" s="1">
        <v>4.0</v>
      </c>
      <c r="T923" s="1" t="s">
        <v>22634</v>
      </c>
      <c r="U923" s="121">
        <v>8945.0</v>
      </c>
      <c r="V923" s="1" t="s">
        <v>29544</v>
      </c>
      <c r="W923" s="1" t="s">
        <v>29545</v>
      </c>
      <c r="X923" s="121">
        <v>928.0</v>
      </c>
    </row>
    <row r="924">
      <c r="A924" s="1" t="s">
        <v>29541</v>
      </c>
      <c r="B924" s="1" t="s">
        <v>6876</v>
      </c>
      <c r="C924" s="1" t="s">
        <v>6877</v>
      </c>
      <c r="D924" s="1" t="s">
        <v>8493</v>
      </c>
      <c r="E924" s="1" t="s">
        <v>29547</v>
      </c>
      <c r="F924" s="1">
        <v>58.0</v>
      </c>
      <c r="G924" s="1">
        <v>1.0</v>
      </c>
      <c r="H924" s="1">
        <v>99.0</v>
      </c>
      <c r="I924" s="1" t="s">
        <v>4795</v>
      </c>
      <c r="J924" s="1" t="s">
        <v>4795</v>
      </c>
      <c r="K924" s="1" t="s">
        <v>29500</v>
      </c>
      <c r="L924" s="1" t="s">
        <v>29501</v>
      </c>
      <c r="M924" s="1" t="s">
        <v>29502</v>
      </c>
      <c r="N924" s="1" t="s">
        <v>29534</v>
      </c>
      <c r="O924" s="1">
        <v>0.0</v>
      </c>
      <c r="R924" s="1" t="s">
        <v>29548</v>
      </c>
      <c r="S924" s="1">
        <v>4.0</v>
      </c>
      <c r="T924" s="1" t="s">
        <v>22634</v>
      </c>
      <c r="U924" s="121">
        <v>8946.0</v>
      </c>
      <c r="V924" s="1" t="s">
        <v>29550</v>
      </c>
      <c r="W924" s="1" t="s">
        <v>29552</v>
      </c>
      <c r="X924" s="121">
        <v>929.0</v>
      </c>
    </row>
    <row r="925">
      <c r="A925" s="1" t="s">
        <v>29547</v>
      </c>
      <c r="B925" s="1" t="s">
        <v>6876</v>
      </c>
      <c r="C925" s="1" t="s">
        <v>6877</v>
      </c>
      <c r="D925" s="1" t="s">
        <v>8493</v>
      </c>
      <c r="E925" s="1" t="s">
        <v>29553</v>
      </c>
      <c r="F925" s="1">
        <v>58.0</v>
      </c>
      <c r="G925" s="1">
        <v>1.0</v>
      </c>
      <c r="H925" s="1">
        <v>11.0</v>
      </c>
      <c r="I925" s="1" t="s">
        <v>4915</v>
      </c>
      <c r="J925" s="1" t="s">
        <v>4915</v>
      </c>
      <c r="K925" s="1" t="s">
        <v>29500</v>
      </c>
      <c r="L925" s="1" t="s">
        <v>29501</v>
      </c>
      <c r="M925" s="1" t="s">
        <v>29502</v>
      </c>
      <c r="N925" s="1" t="s">
        <v>29555</v>
      </c>
      <c r="O925" s="1">
        <v>0.0</v>
      </c>
      <c r="R925" s="1" t="s">
        <v>28466</v>
      </c>
      <c r="S925" s="1">
        <v>4.0</v>
      </c>
      <c r="T925" s="1" t="s">
        <v>22634</v>
      </c>
      <c r="U925" s="121">
        <v>8947.0</v>
      </c>
      <c r="V925" s="1" t="s">
        <v>29556</v>
      </c>
      <c r="W925" s="1" t="s">
        <v>29557</v>
      </c>
      <c r="X925" s="121">
        <v>930.0</v>
      </c>
    </row>
    <row r="926">
      <c r="A926" s="1" t="s">
        <v>29558</v>
      </c>
      <c r="B926" s="1" t="s">
        <v>6876</v>
      </c>
      <c r="C926" s="1" t="s">
        <v>6877</v>
      </c>
      <c r="D926" s="1" t="s">
        <v>8493</v>
      </c>
      <c r="E926" s="1" t="s">
        <v>29559</v>
      </c>
      <c r="F926" s="1">
        <v>58.0</v>
      </c>
      <c r="G926" s="1">
        <v>1.0</v>
      </c>
      <c r="H926" s="1">
        <v>99.0</v>
      </c>
      <c r="I926" s="1" t="s">
        <v>4828</v>
      </c>
      <c r="J926" s="1" t="s">
        <v>4828</v>
      </c>
      <c r="K926" s="1" t="s">
        <v>29500</v>
      </c>
      <c r="L926" s="1" t="s">
        <v>29501</v>
      </c>
      <c r="M926" s="1" t="s">
        <v>29502</v>
      </c>
      <c r="N926" s="1" t="s">
        <v>29560</v>
      </c>
      <c r="O926" s="1">
        <v>0.0</v>
      </c>
      <c r="R926" s="1" t="s">
        <v>29561</v>
      </c>
      <c r="S926" s="1">
        <v>4.0</v>
      </c>
      <c r="T926" s="1" t="s">
        <v>22634</v>
      </c>
      <c r="U926" s="121">
        <v>8948.0</v>
      </c>
      <c r="V926" s="1" t="s">
        <v>29564</v>
      </c>
      <c r="W926" s="1" t="s">
        <v>29565</v>
      </c>
      <c r="X926" s="121">
        <v>931.0</v>
      </c>
    </row>
    <row r="927">
      <c r="A927" s="1" t="s">
        <v>29559</v>
      </c>
      <c r="B927" s="1" t="s">
        <v>6876</v>
      </c>
      <c r="C927" s="1" t="s">
        <v>6877</v>
      </c>
      <c r="D927" s="1" t="s">
        <v>8493</v>
      </c>
      <c r="E927" s="1" t="s">
        <v>29567</v>
      </c>
      <c r="F927" s="1">
        <v>33.0</v>
      </c>
      <c r="G927" s="1">
        <v>1.0</v>
      </c>
      <c r="H927" s="1">
        <v>98.0</v>
      </c>
      <c r="I927" s="1" t="s">
        <v>4979</v>
      </c>
      <c r="J927" s="1" t="s">
        <v>4979</v>
      </c>
      <c r="K927" s="1" t="s">
        <v>29500</v>
      </c>
      <c r="L927" s="1" t="s">
        <v>29501</v>
      </c>
      <c r="M927" s="1" t="s">
        <v>29502</v>
      </c>
      <c r="N927" s="1" t="s">
        <v>29569</v>
      </c>
      <c r="O927" s="1">
        <v>0.0</v>
      </c>
      <c r="R927" s="1" t="s">
        <v>28536</v>
      </c>
      <c r="S927" s="1">
        <v>4.0</v>
      </c>
      <c r="T927" s="1" t="s">
        <v>22634</v>
      </c>
      <c r="U927" s="121">
        <v>8949.0</v>
      </c>
      <c r="V927" s="1" t="s">
        <v>29570</v>
      </c>
      <c r="W927" s="1" t="s">
        <v>29571</v>
      </c>
      <c r="X927" s="121">
        <v>932.0</v>
      </c>
    </row>
    <row r="928">
      <c r="A928" s="1" t="s">
        <v>29567</v>
      </c>
      <c r="B928" s="1" t="s">
        <v>6876</v>
      </c>
      <c r="C928" s="1" t="s">
        <v>6877</v>
      </c>
      <c r="D928" s="1" t="s">
        <v>8493</v>
      </c>
      <c r="E928" s="1" t="s">
        <v>29572</v>
      </c>
      <c r="F928" s="1">
        <v>110.0</v>
      </c>
      <c r="G928" s="1">
        <v>1.0</v>
      </c>
      <c r="H928" s="1">
        <v>12.0</v>
      </c>
      <c r="I928" s="1" t="s">
        <v>5125</v>
      </c>
      <c r="J928" s="1" t="s">
        <v>5125</v>
      </c>
      <c r="K928" s="1" t="s">
        <v>24313</v>
      </c>
      <c r="L928" s="1" t="s">
        <v>29574</v>
      </c>
      <c r="M928" s="1" t="s">
        <v>24314</v>
      </c>
      <c r="N928" s="1" t="s">
        <v>24314</v>
      </c>
      <c r="O928" s="1">
        <v>0.0</v>
      </c>
      <c r="R928" s="1" t="s">
        <v>28466</v>
      </c>
      <c r="S928" s="1">
        <v>4.0</v>
      </c>
      <c r="T928" s="1" t="s">
        <v>22634</v>
      </c>
      <c r="U928" s="121">
        <v>8950.0</v>
      </c>
      <c r="V928" s="1" t="s">
        <v>29577</v>
      </c>
      <c r="W928" s="1" t="s">
        <v>29578</v>
      </c>
      <c r="X928" s="121">
        <v>933.0</v>
      </c>
    </row>
    <row r="929">
      <c r="A929" s="1" t="s">
        <v>29572</v>
      </c>
      <c r="B929" s="1" t="s">
        <v>6876</v>
      </c>
      <c r="C929" s="1" t="s">
        <v>6877</v>
      </c>
      <c r="D929" s="1" t="s">
        <v>8493</v>
      </c>
      <c r="E929" s="1" t="s">
        <v>29579</v>
      </c>
      <c r="F929" s="1">
        <v>104.0</v>
      </c>
      <c r="G929" s="1">
        <v>1.0</v>
      </c>
      <c r="H929" s="1">
        <v>12.0</v>
      </c>
      <c r="I929" s="1" t="s">
        <v>5165</v>
      </c>
      <c r="J929" s="1" t="s">
        <v>5165</v>
      </c>
      <c r="K929" s="1" t="s">
        <v>24313</v>
      </c>
      <c r="L929" s="1" t="s">
        <v>29574</v>
      </c>
      <c r="M929" s="1" t="s">
        <v>24314</v>
      </c>
      <c r="N929" s="1" t="s">
        <v>29581</v>
      </c>
      <c r="O929" s="1">
        <v>0.0</v>
      </c>
      <c r="R929" s="1" t="s">
        <v>28466</v>
      </c>
      <c r="S929" s="1">
        <v>4.0</v>
      </c>
      <c r="T929" s="1" t="s">
        <v>22634</v>
      </c>
      <c r="U929" s="121">
        <v>8951.0</v>
      </c>
      <c r="V929" s="1" t="s">
        <v>29582</v>
      </c>
      <c r="W929" s="1" t="s">
        <v>29583</v>
      </c>
      <c r="X929" s="121">
        <v>934.0</v>
      </c>
    </row>
    <row r="930">
      <c r="A930" s="1" t="s">
        <v>29584</v>
      </c>
      <c r="B930" s="1" t="s">
        <v>6876</v>
      </c>
      <c r="C930" s="1" t="s">
        <v>6877</v>
      </c>
      <c r="D930" s="1" t="s">
        <v>8493</v>
      </c>
      <c r="E930" s="1" t="s">
        <v>29585</v>
      </c>
      <c r="F930" s="1">
        <v>66.0</v>
      </c>
      <c r="G930" s="1">
        <v>1.0</v>
      </c>
      <c r="H930" s="1">
        <v>12.0</v>
      </c>
      <c r="I930" s="1" t="s">
        <v>5198</v>
      </c>
      <c r="J930" s="1" t="s">
        <v>5198</v>
      </c>
      <c r="K930" s="1" t="s">
        <v>24313</v>
      </c>
      <c r="L930" s="1" t="s">
        <v>29574</v>
      </c>
      <c r="M930" s="1" t="s">
        <v>24314</v>
      </c>
      <c r="N930" s="1" t="s">
        <v>29589</v>
      </c>
      <c r="O930" s="1">
        <v>0.0</v>
      </c>
      <c r="R930" s="1" t="s">
        <v>28466</v>
      </c>
      <c r="S930" s="1">
        <v>4.0</v>
      </c>
      <c r="T930" s="1" t="s">
        <v>22634</v>
      </c>
      <c r="U930" s="121">
        <v>8952.0</v>
      </c>
      <c r="V930" s="1" t="s">
        <v>29591</v>
      </c>
      <c r="W930" s="1" t="s">
        <v>29592</v>
      </c>
      <c r="X930" s="121">
        <v>935.0</v>
      </c>
    </row>
    <row r="931">
      <c r="A931" s="1" t="s">
        <v>29585</v>
      </c>
      <c r="B931" s="1" t="s">
        <v>6876</v>
      </c>
      <c r="C931" s="1" t="s">
        <v>6877</v>
      </c>
      <c r="D931" s="1" t="s">
        <v>8493</v>
      </c>
      <c r="E931" s="1" t="s">
        <v>29593</v>
      </c>
      <c r="F931" s="1">
        <v>59.0</v>
      </c>
      <c r="G931" s="1">
        <v>1.0</v>
      </c>
      <c r="H931" s="1">
        <v>12.0</v>
      </c>
      <c r="I931" s="1" t="s">
        <v>5228</v>
      </c>
      <c r="J931" s="1" t="s">
        <v>5228</v>
      </c>
      <c r="K931" s="1" t="s">
        <v>24313</v>
      </c>
      <c r="L931" s="1" t="s">
        <v>29574</v>
      </c>
      <c r="M931" s="1" t="s">
        <v>24314</v>
      </c>
      <c r="N931" s="1" t="s">
        <v>29596</v>
      </c>
      <c r="O931" s="1">
        <v>0.0</v>
      </c>
      <c r="R931" s="1" t="s">
        <v>28466</v>
      </c>
      <c r="S931" s="1">
        <v>4.0</v>
      </c>
      <c r="T931" s="1" t="s">
        <v>22634</v>
      </c>
      <c r="U931" s="121">
        <v>8953.0</v>
      </c>
      <c r="V931" s="1" t="s">
        <v>29598</v>
      </c>
      <c r="W931" s="1" t="s">
        <v>29599</v>
      </c>
      <c r="X931" s="121">
        <v>936.0</v>
      </c>
    </row>
    <row r="932">
      <c r="A932" s="1" t="s">
        <v>29593</v>
      </c>
      <c r="B932" s="1" t="s">
        <v>6876</v>
      </c>
      <c r="C932" s="1" t="s">
        <v>6877</v>
      </c>
      <c r="D932" s="1" t="s">
        <v>8493</v>
      </c>
      <c r="E932" s="1" t="s">
        <v>29600</v>
      </c>
      <c r="F932" s="1">
        <v>65.0</v>
      </c>
      <c r="G932" s="1">
        <v>1.0</v>
      </c>
      <c r="H932" s="1">
        <v>12.0</v>
      </c>
      <c r="I932" s="1" t="s">
        <v>5254</v>
      </c>
      <c r="J932" s="1" t="s">
        <v>5254</v>
      </c>
      <c r="K932" s="1" t="s">
        <v>24313</v>
      </c>
      <c r="L932" s="1" t="s">
        <v>29574</v>
      </c>
      <c r="M932" s="1" t="s">
        <v>24314</v>
      </c>
      <c r="N932" s="1" t="s">
        <v>29601</v>
      </c>
      <c r="O932" s="1">
        <v>0.0</v>
      </c>
      <c r="R932" s="1" t="s">
        <v>28466</v>
      </c>
      <c r="S932" s="1">
        <v>4.0</v>
      </c>
      <c r="T932" s="1" t="s">
        <v>22634</v>
      </c>
      <c r="U932" s="121">
        <v>8954.0</v>
      </c>
      <c r="V932" s="1" t="s">
        <v>29604</v>
      </c>
      <c r="W932" s="1" t="s">
        <v>29605</v>
      </c>
      <c r="X932" s="121">
        <v>937.0</v>
      </c>
    </row>
    <row r="933">
      <c r="A933" s="1" t="s">
        <v>29600</v>
      </c>
      <c r="B933" s="1" t="s">
        <v>6876</v>
      </c>
      <c r="C933" s="1" t="s">
        <v>6877</v>
      </c>
      <c r="D933" s="1" t="s">
        <v>8493</v>
      </c>
      <c r="E933" s="1" t="s">
        <v>29607</v>
      </c>
      <c r="F933" s="1">
        <v>110.0</v>
      </c>
      <c r="G933" s="1">
        <v>1.0</v>
      </c>
      <c r="H933" s="1">
        <v>99.0</v>
      </c>
      <c r="I933" s="1" t="s">
        <v>5154</v>
      </c>
      <c r="J933" s="1" t="s">
        <v>5154</v>
      </c>
      <c r="K933" s="1" t="s">
        <v>24313</v>
      </c>
      <c r="L933" s="1" t="s">
        <v>29574</v>
      </c>
      <c r="M933" s="1" t="s">
        <v>24314</v>
      </c>
      <c r="N933" s="1" t="s">
        <v>24314</v>
      </c>
      <c r="O933" s="1">
        <v>0.0</v>
      </c>
      <c r="R933" s="1" t="s">
        <v>29608</v>
      </c>
      <c r="S933" s="1">
        <v>4.0</v>
      </c>
      <c r="T933" s="1" t="s">
        <v>22634</v>
      </c>
      <c r="U933" s="121">
        <v>8955.0</v>
      </c>
      <c r="V933" s="1" t="s">
        <v>29610</v>
      </c>
      <c r="W933" s="1" t="s">
        <v>29611</v>
      </c>
      <c r="X933" s="121">
        <v>938.0</v>
      </c>
    </row>
    <row r="934">
      <c r="A934" s="1" t="s">
        <v>29607</v>
      </c>
      <c r="B934" s="1" t="s">
        <v>6876</v>
      </c>
      <c r="C934" s="1" t="s">
        <v>6877</v>
      </c>
      <c r="D934" s="1" t="s">
        <v>8493</v>
      </c>
      <c r="E934" s="1" t="s">
        <v>29614</v>
      </c>
      <c r="F934" s="1">
        <v>104.0</v>
      </c>
      <c r="G934" s="1">
        <v>1.0</v>
      </c>
      <c r="H934" s="1">
        <v>99.0</v>
      </c>
      <c r="I934" s="1" t="s">
        <v>5185</v>
      </c>
      <c r="J934" s="1" t="s">
        <v>5185</v>
      </c>
      <c r="K934" s="1" t="s">
        <v>24313</v>
      </c>
      <c r="L934" s="1" t="s">
        <v>29574</v>
      </c>
      <c r="M934" s="1" t="s">
        <v>24314</v>
      </c>
      <c r="N934" s="1" t="s">
        <v>29616</v>
      </c>
      <c r="O934" s="1">
        <v>0.0</v>
      </c>
      <c r="R934" s="1" t="s">
        <v>29617</v>
      </c>
      <c r="S934" s="1">
        <v>4.0</v>
      </c>
      <c r="T934" s="1" t="s">
        <v>22634</v>
      </c>
      <c r="U934" s="121">
        <v>8956.0</v>
      </c>
      <c r="V934" s="1" t="s">
        <v>29618</v>
      </c>
      <c r="W934" s="1" t="s">
        <v>29619</v>
      </c>
      <c r="X934" s="121">
        <v>939.0</v>
      </c>
    </row>
    <row r="935">
      <c r="A935" s="1" t="s">
        <v>29614</v>
      </c>
      <c r="B935" s="1" t="s">
        <v>6876</v>
      </c>
      <c r="C935" s="1" t="s">
        <v>6877</v>
      </c>
      <c r="D935" s="1" t="s">
        <v>8493</v>
      </c>
      <c r="E935" s="1" t="s">
        <v>29620</v>
      </c>
      <c r="F935" s="1">
        <v>66.0</v>
      </c>
      <c r="G935" s="1">
        <v>1.0</v>
      </c>
      <c r="H935" s="1">
        <v>99.0</v>
      </c>
      <c r="I935" s="1" t="s">
        <v>5221</v>
      </c>
      <c r="J935" s="1" t="s">
        <v>5221</v>
      </c>
      <c r="K935" s="1" t="s">
        <v>24313</v>
      </c>
      <c r="L935" s="1" t="s">
        <v>29574</v>
      </c>
      <c r="M935" s="1" t="s">
        <v>24314</v>
      </c>
      <c r="N935" s="1" t="s">
        <v>29623</v>
      </c>
      <c r="O935" s="1">
        <v>0.0</v>
      </c>
      <c r="R935" s="1" t="s">
        <v>29625</v>
      </c>
      <c r="S935" s="1">
        <v>4.0</v>
      </c>
      <c r="T935" s="1" t="s">
        <v>22634</v>
      </c>
      <c r="U935" s="121">
        <v>8957.0</v>
      </c>
      <c r="V935" s="1" t="s">
        <v>29626</v>
      </c>
      <c r="W935" s="1" t="s">
        <v>29627</v>
      </c>
      <c r="X935" s="121">
        <v>940.0</v>
      </c>
    </row>
    <row r="936">
      <c r="A936" s="1" t="s">
        <v>29620</v>
      </c>
      <c r="B936" s="1" t="s">
        <v>6876</v>
      </c>
      <c r="C936" s="1" t="s">
        <v>6877</v>
      </c>
      <c r="D936" s="1" t="s">
        <v>8493</v>
      </c>
      <c r="E936" s="1" t="s">
        <v>29629</v>
      </c>
      <c r="F936" s="1">
        <v>59.0</v>
      </c>
      <c r="G936" s="1">
        <v>1.0</v>
      </c>
      <c r="H936" s="1">
        <v>99.0</v>
      </c>
      <c r="I936" s="1" t="s">
        <v>5242</v>
      </c>
      <c r="J936" s="1" t="s">
        <v>5242</v>
      </c>
      <c r="K936" s="1" t="s">
        <v>24313</v>
      </c>
      <c r="L936" s="1" t="s">
        <v>29574</v>
      </c>
      <c r="M936" s="1" t="s">
        <v>24314</v>
      </c>
      <c r="N936" s="1" t="s">
        <v>29630</v>
      </c>
      <c r="O936" s="1">
        <v>0.0</v>
      </c>
      <c r="R936" s="1" t="s">
        <v>29631</v>
      </c>
      <c r="S936" s="1">
        <v>4.0</v>
      </c>
      <c r="T936" s="1" t="s">
        <v>22634</v>
      </c>
      <c r="U936" s="121">
        <v>8958.0</v>
      </c>
      <c r="V936" s="1" t="s">
        <v>29632</v>
      </c>
      <c r="W936" s="1" t="s">
        <v>29633</v>
      </c>
      <c r="X936" s="121">
        <v>941.0</v>
      </c>
    </row>
    <row r="937">
      <c r="A937" s="1" t="s">
        <v>29629</v>
      </c>
      <c r="B937" s="1" t="s">
        <v>6876</v>
      </c>
      <c r="C937" s="1" t="s">
        <v>6877</v>
      </c>
      <c r="D937" s="1" t="s">
        <v>8493</v>
      </c>
      <c r="E937" s="1" t="s">
        <v>29634</v>
      </c>
      <c r="F937" s="1">
        <v>65.0</v>
      </c>
      <c r="G937" s="1">
        <v>1.0</v>
      </c>
      <c r="H937" s="1">
        <v>99.0</v>
      </c>
      <c r="I937" s="1" t="s">
        <v>5268</v>
      </c>
      <c r="J937" s="1" t="s">
        <v>5268</v>
      </c>
      <c r="K937" s="1" t="s">
        <v>24313</v>
      </c>
      <c r="L937" s="1" t="s">
        <v>29574</v>
      </c>
      <c r="M937" s="1" t="s">
        <v>24314</v>
      </c>
      <c r="N937" s="1" t="s">
        <v>29630</v>
      </c>
      <c r="O937" s="1">
        <v>0.0</v>
      </c>
      <c r="R937" s="1" t="s">
        <v>29637</v>
      </c>
      <c r="S937" s="1">
        <v>4.0</v>
      </c>
      <c r="T937" s="1" t="s">
        <v>22634</v>
      </c>
      <c r="U937" s="121">
        <v>8959.0</v>
      </c>
      <c r="V937" s="1" t="s">
        <v>29639</v>
      </c>
      <c r="W937" s="1" t="s">
        <v>29640</v>
      </c>
      <c r="X937" s="121">
        <v>942.0</v>
      </c>
    </row>
    <row r="938">
      <c r="A938" s="1" t="s">
        <v>29634</v>
      </c>
      <c r="B938" s="1" t="s">
        <v>6876</v>
      </c>
      <c r="C938" s="1" t="s">
        <v>6877</v>
      </c>
      <c r="D938" s="1" t="s">
        <v>8493</v>
      </c>
      <c r="E938" s="1" t="s">
        <v>29641</v>
      </c>
      <c r="F938" s="1">
        <v>59.0</v>
      </c>
      <c r="G938" s="1">
        <v>1.0</v>
      </c>
      <c r="H938" s="1">
        <v>11.0</v>
      </c>
      <c r="I938" s="1" t="s">
        <v>4996</v>
      </c>
      <c r="J938" s="1" t="s">
        <v>4996</v>
      </c>
      <c r="K938" s="1" t="s">
        <v>24313</v>
      </c>
      <c r="L938" s="1" t="s">
        <v>29574</v>
      </c>
      <c r="M938" s="1" t="s">
        <v>24314</v>
      </c>
      <c r="N938" s="1" t="s">
        <v>29642</v>
      </c>
      <c r="O938" s="1">
        <v>0.0</v>
      </c>
      <c r="R938" s="1" t="s">
        <v>28466</v>
      </c>
      <c r="S938" s="1">
        <v>4.0</v>
      </c>
      <c r="T938" s="1" t="s">
        <v>22634</v>
      </c>
      <c r="U938" s="121">
        <v>8960.0</v>
      </c>
      <c r="V938" s="1" t="s">
        <v>29645</v>
      </c>
      <c r="W938" s="1" t="s">
        <v>29646</v>
      </c>
      <c r="X938" s="121">
        <v>943.0</v>
      </c>
    </row>
    <row r="939">
      <c r="A939" s="1" t="s">
        <v>29647</v>
      </c>
      <c r="B939" s="1" t="s">
        <v>6876</v>
      </c>
      <c r="C939" s="1" t="s">
        <v>6877</v>
      </c>
      <c r="D939" s="1" t="s">
        <v>8493</v>
      </c>
      <c r="E939" s="1" t="s">
        <v>29648</v>
      </c>
      <c r="F939" s="1">
        <v>59.0</v>
      </c>
      <c r="G939" s="1">
        <v>1.0</v>
      </c>
      <c r="H939" s="1">
        <v>99.0</v>
      </c>
      <c r="I939" s="1" t="s">
        <v>5023</v>
      </c>
      <c r="J939" s="1" t="s">
        <v>5023</v>
      </c>
      <c r="K939" s="1" t="s">
        <v>24313</v>
      </c>
      <c r="L939" s="1" t="s">
        <v>29574</v>
      </c>
      <c r="M939" s="1" t="s">
        <v>24314</v>
      </c>
      <c r="N939" s="1" t="s">
        <v>29650</v>
      </c>
      <c r="O939" s="1">
        <v>0.0</v>
      </c>
      <c r="R939" s="1" t="s">
        <v>29651</v>
      </c>
      <c r="S939" s="1">
        <v>4.0</v>
      </c>
      <c r="T939" s="1" t="s">
        <v>22634</v>
      </c>
      <c r="U939" s="121">
        <v>8961.0</v>
      </c>
      <c r="V939" s="1" t="s">
        <v>29652</v>
      </c>
      <c r="W939" s="1" t="s">
        <v>29654</v>
      </c>
      <c r="X939" s="121">
        <v>944.0</v>
      </c>
    </row>
    <row r="940">
      <c r="A940" s="1" t="s">
        <v>29648</v>
      </c>
      <c r="B940" s="1" t="s">
        <v>6876</v>
      </c>
      <c r="C940" s="1" t="s">
        <v>6877</v>
      </c>
      <c r="D940" s="1" t="s">
        <v>8493</v>
      </c>
      <c r="E940" s="1" t="s">
        <v>29657</v>
      </c>
      <c r="F940" s="1">
        <v>59.0</v>
      </c>
      <c r="G940" s="1">
        <v>1.0</v>
      </c>
      <c r="H940" s="1">
        <v>11.0</v>
      </c>
      <c r="I940" s="1" t="s">
        <v>5038</v>
      </c>
      <c r="J940" s="1" t="s">
        <v>5038</v>
      </c>
      <c r="K940" s="1" t="s">
        <v>24313</v>
      </c>
      <c r="L940" s="1" t="s">
        <v>29574</v>
      </c>
      <c r="M940" s="1" t="s">
        <v>24314</v>
      </c>
      <c r="N940" s="1" t="s">
        <v>29659</v>
      </c>
      <c r="O940" s="1">
        <v>0.0</v>
      </c>
      <c r="R940" s="1" t="s">
        <v>28466</v>
      </c>
      <c r="S940" s="1">
        <v>4.0</v>
      </c>
      <c r="T940" s="1" t="s">
        <v>22634</v>
      </c>
      <c r="U940" s="121">
        <v>8962.0</v>
      </c>
      <c r="V940" s="1" t="s">
        <v>29660</v>
      </c>
      <c r="W940" s="1" t="s">
        <v>29661</v>
      </c>
      <c r="X940" s="121">
        <v>945.0</v>
      </c>
    </row>
    <row r="941">
      <c r="A941" s="1" t="s">
        <v>29657</v>
      </c>
      <c r="B941" s="1" t="s">
        <v>6876</v>
      </c>
      <c r="C941" s="1" t="s">
        <v>6877</v>
      </c>
      <c r="D941" s="1" t="s">
        <v>8493</v>
      </c>
      <c r="E941" s="1" t="s">
        <v>29662</v>
      </c>
      <c r="F941" s="1">
        <v>59.0</v>
      </c>
      <c r="G941" s="1">
        <v>1.0</v>
      </c>
      <c r="H941" s="1">
        <v>99.0</v>
      </c>
      <c r="I941" s="1" t="s">
        <v>5064</v>
      </c>
      <c r="J941" s="1" t="s">
        <v>5064</v>
      </c>
      <c r="K941" s="1" t="s">
        <v>24313</v>
      </c>
      <c r="L941" s="1" t="s">
        <v>29574</v>
      </c>
      <c r="M941" s="1" t="s">
        <v>24314</v>
      </c>
      <c r="N941" s="1" t="s">
        <v>29663</v>
      </c>
      <c r="O941" s="1">
        <v>0.0</v>
      </c>
      <c r="R941" s="1" t="s">
        <v>29666</v>
      </c>
      <c r="S941" s="1">
        <v>4.0</v>
      </c>
      <c r="T941" s="1" t="s">
        <v>22634</v>
      </c>
      <c r="U941" s="121">
        <v>8963.0</v>
      </c>
      <c r="V941" s="1" t="s">
        <v>29667</v>
      </c>
      <c r="W941" s="1" t="s">
        <v>29668</v>
      </c>
      <c r="X941" s="121">
        <v>946.0</v>
      </c>
    </row>
    <row r="942">
      <c r="A942" s="1" t="s">
        <v>29662</v>
      </c>
      <c r="B942" s="1" t="s">
        <v>6876</v>
      </c>
      <c r="C942" s="1" t="s">
        <v>6877</v>
      </c>
      <c r="D942" s="1" t="s">
        <v>8493</v>
      </c>
      <c r="E942" s="1" t="s">
        <v>29670</v>
      </c>
      <c r="F942" s="1">
        <v>59.0</v>
      </c>
      <c r="G942" s="1">
        <v>1.0</v>
      </c>
      <c r="H942" s="1">
        <v>11.0</v>
      </c>
      <c r="I942" s="1" t="s">
        <v>5079</v>
      </c>
      <c r="J942" s="1" t="s">
        <v>5079</v>
      </c>
      <c r="K942" s="1" t="s">
        <v>24313</v>
      </c>
      <c r="L942" s="1" t="s">
        <v>29574</v>
      </c>
      <c r="M942" s="1" t="s">
        <v>24314</v>
      </c>
      <c r="N942" s="1" t="s">
        <v>29671</v>
      </c>
      <c r="O942" s="1">
        <v>0.0</v>
      </c>
      <c r="R942" s="1" t="s">
        <v>28466</v>
      </c>
      <c r="S942" s="1">
        <v>4.0</v>
      </c>
      <c r="T942" s="1" t="s">
        <v>22634</v>
      </c>
      <c r="U942" s="121">
        <v>8964.0</v>
      </c>
      <c r="V942" s="1" t="s">
        <v>29672</v>
      </c>
      <c r="W942" s="1" t="s">
        <v>29673</v>
      </c>
      <c r="X942" s="121">
        <v>947.0</v>
      </c>
    </row>
    <row r="943">
      <c r="A943" s="1" t="s">
        <v>29670</v>
      </c>
      <c r="B943" s="1" t="s">
        <v>6876</v>
      </c>
      <c r="C943" s="1" t="s">
        <v>6877</v>
      </c>
      <c r="D943" s="1" t="s">
        <v>8493</v>
      </c>
      <c r="E943" s="1" t="s">
        <v>29676</v>
      </c>
      <c r="F943" s="1">
        <v>59.0</v>
      </c>
      <c r="G943" s="1">
        <v>1.0</v>
      </c>
      <c r="H943" s="1">
        <v>99.0</v>
      </c>
      <c r="I943" s="1" t="s">
        <v>5112</v>
      </c>
      <c r="J943" s="1" t="s">
        <v>5112</v>
      </c>
      <c r="K943" s="1" t="s">
        <v>24313</v>
      </c>
      <c r="L943" s="1" t="s">
        <v>29574</v>
      </c>
      <c r="M943" s="1" t="s">
        <v>24314</v>
      </c>
      <c r="N943" s="1" t="s">
        <v>29663</v>
      </c>
      <c r="O943" s="1">
        <v>0.0</v>
      </c>
      <c r="R943" s="1" t="s">
        <v>29678</v>
      </c>
      <c r="S943" s="1">
        <v>4.0</v>
      </c>
      <c r="T943" s="1" t="s">
        <v>22634</v>
      </c>
      <c r="U943" s="121">
        <v>8965.0</v>
      </c>
      <c r="V943" s="1" t="s">
        <v>29679</v>
      </c>
      <c r="W943" s="1" t="s">
        <v>29680</v>
      </c>
      <c r="X943" s="121">
        <v>948.0</v>
      </c>
    </row>
    <row r="944">
      <c r="A944" s="1" t="s">
        <v>29676</v>
      </c>
      <c r="B944" s="1" t="s">
        <v>6876</v>
      </c>
      <c r="C944" s="1" t="s">
        <v>6877</v>
      </c>
      <c r="D944" s="1" t="s">
        <v>8493</v>
      </c>
      <c r="E944" s="1" t="s">
        <v>29683</v>
      </c>
      <c r="F944" s="1">
        <v>58.0</v>
      </c>
      <c r="G944" s="1">
        <v>2.0</v>
      </c>
      <c r="H944" s="1">
        <v>99.0</v>
      </c>
      <c r="I944" s="1" t="s">
        <v>5318</v>
      </c>
      <c r="J944" s="1" t="s">
        <v>5318</v>
      </c>
      <c r="K944" s="1" t="s">
        <v>24313</v>
      </c>
      <c r="L944" s="1" t="s">
        <v>29574</v>
      </c>
      <c r="M944" s="1" t="s">
        <v>24314</v>
      </c>
      <c r="N944" s="1" t="s">
        <v>29685</v>
      </c>
      <c r="O944" s="1">
        <v>0.0</v>
      </c>
      <c r="R944" s="1" t="s">
        <v>29686</v>
      </c>
      <c r="S944" s="1">
        <v>4.0</v>
      </c>
      <c r="T944" s="1" t="s">
        <v>22634</v>
      </c>
      <c r="U944" s="121">
        <v>8966.0</v>
      </c>
      <c r="V944" s="1" t="s">
        <v>29687</v>
      </c>
      <c r="W944" s="1" t="s">
        <v>29688</v>
      </c>
      <c r="X944" s="121">
        <v>949.0</v>
      </c>
    </row>
    <row r="945">
      <c r="A945" s="1" t="s">
        <v>29683</v>
      </c>
      <c r="B945" s="1" t="s">
        <v>6876</v>
      </c>
      <c r="C945" s="1" t="s">
        <v>6877</v>
      </c>
      <c r="D945" s="1" t="s">
        <v>8493</v>
      </c>
      <c r="E945" s="1" t="s">
        <v>29689</v>
      </c>
      <c r="F945" s="1">
        <v>33.0</v>
      </c>
      <c r="G945" s="1">
        <v>1.0</v>
      </c>
      <c r="H945" s="1">
        <v>98.0</v>
      </c>
      <c r="I945" s="1" t="s">
        <v>5339</v>
      </c>
      <c r="J945" s="1" t="s">
        <v>5339</v>
      </c>
      <c r="K945" s="1" t="s">
        <v>24313</v>
      </c>
      <c r="L945" s="1" t="s">
        <v>29574</v>
      </c>
      <c r="M945" s="1" t="s">
        <v>24314</v>
      </c>
      <c r="N945" s="1" t="s">
        <v>29692</v>
      </c>
      <c r="O945" s="1">
        <v>0.0</v>
      </c>
      <c r="R945" s="1" t="s">
        <v>28536</v>
      </c>
      <c r="S945" s="1">
        <v>4.0</v>
      </c>
      <c r="T945" s="1" t="s">
        <v>22634</v>
      </c>
      <c r="U945" s="121">
        <v>8967.0</v>
      </c>
      <c r="V945" s="1" t="s">
        <v>29693</v>
      </c>
      <c r="W945" s="1" t="s">
        <v>29694</v>
      </c>
      <c r="X945" s="121">
        <v>950.0</v>
      </c>
    </row>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sheetData>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86"/>
    <col customWidth="1" min="2" max="2" width="5.86"/>
    <col customWidth="1" min="3" max="3" width="18.57"/>
    <col customWidth="1" min="4" max="4" width="128.57"/>
  </cols>
  <sheetData>
    <row r="2">
      <c r="A2" s="36" t="s">
        <v>182</v>
      </c>
      <c r="B2" s="36" t="s">
        <v>183</v>
      </c>
      <c r="C2" s="36" t="s">
        <v>184</v>
      </c>
      <c r="D2" s="36" t="s">
        <v>185</v>
      </c>
    </row>
    <row r="3">
      <c r="A3" s="37" t="s">
        <v>186</v>
      </c>
      <c r="B3" s="38" t="s">
        <v>109</v>
      </c>
      <c r="C3" s="38">
        <v>20.0</v>
      </c>
      <c r="D3" s="37" t="s">
        <v>187</v>
      </c>
      <c r="E3" s="1" t="s">
        <v>964</v>
      </c>
    </row>
    <row r="4">
      <c r="A4" s="37" t="s">
        <v>188</v>
      </c>
      <c r="B4" s="38" t="s">
        <v>110</v>
      </c>
      <c r="C4" s="38">
        <v>20.0</v>
      </c>
      <c r="D4" s="37" t="s">
        <v>189</v>
      </c>
      <c r="E4" s="1" t="s">
        <v>964</v>
      </c>
    </row>
    <row r="5">
      <c r="A5" s="37" t="s">
        <v>190</v>
      </c>
      <c r="B5" s="38" t="s">
        <v>112</v>
      </c>
      <c r="C5" s="38">
        <v>20.0</v>
      </c>
      <c r="D5" s="37" t="s">
        <v>191</v>
      </c>
      <c r="E5" s="1" t="s">
        <v>964</v>
      </c>
    </row>
    <row r="6">
      <c r="A6" s="37" t="s">
        <v>192</v>
      </c>
      <c r="B6" s="38" t="s">
        <v>35</v>
      </c>
      <c r="C6" s="38">
        <v>15.0</v>
      </c>
      <c r="D6" s="37" t="s">
        <v>193</v>
      </c>
      <c r="E6" s="1" t="s">
        <v>964</v>
      </c>
    </row>
    <row r="7">
      <c r="A7" s="37" t="s">
        <v>194</v>
      </c>
      <c r="B7" s="38" t="s">
        <v>36</v>
      </c>
      <c r="C7" s="38">
        <v>20.0</v>
      </c>
      <c r="D7" s="37" t="s">
        <v>195</v>
      </c>
      <c r="E7" s="1" t="s">
        <v>964</v>
      </c>
    </row>
    <row r="8">
      <c r="A8" s="37" t="s">
        <v>196</v>
      </c>
      <c r="B8" s="38" t="s">
        <v>37</v>
      </c>
      <c r="C8" s="38">
        <v>20.0</v>
      </c>
      <c r="D8" s="37" t="s">
        <v>198</v>
      </c>
      <c r="E8" s="1" t="s">
        <v>964</v>
      </c>
    </row>
    <row r="9">
      <c r="A9" s="37" t="s">
        <v>199</v>
      </c>
      <c r="B9" s="38" t="s">
        <v>38</v>
      </c>
      <c r="C9" s="38">
        <v>15.0</v>
      </c>
      <c r="D9" s="37" t="s">
        <v>200</v>
      </c>
      <c r="E9" s="1" t="s">
        <v>964</v>
      </c>
    </row>
    <row r="10">
      <c r="A10" s="37" t="s">
        <v>201</v>
      </c>
      <c r="B10" s="38" t="s">
        <v>39</v>
      </c>
      <c r="C10" s="38">
        <v>20.0</v>
      </c>
      <c r="D10" s="37" t="s">
        <v>202</v>
      </c>
      <c r="E10" s="1" t="s">
        <v>964</v>
      </c>
    </row>
    <row r="11">
      <c r="A11" s="37" t="s">
        <v>106</v>
      </c>
      <c r="B11" s="38" t="s">
        <v>40</v>
      </c>
      <c r="C11" s="38">
        <v>20.0</v>
      </c>
      <c r="D11" s="37" t="s">
        <v>203</v>
      </c>
      <c r="E11" s="1" t="s">
        <v>964</v>
      </c>
    </row>
    <row r="12">
      <c r="A12" s="37" t="s">
        <v>204</v>
      </c>
      <c r="B12" s="38" t="s">
        <v>41</v>
      </c>
      <c r="C12" s="38">
        <v>10.0</v>
      </c>
      <c r="D12" s="37" t="s">
        <v>205</v>
      </c>
      <c r="E12" s="1" t="s">
        <v>25444</v>
      </c>
    </row>
    <row r="13">
      <c r="A13" s="37" t="s">
        <v>206</v>
      </c>
      <c r="B13" s="38" t="s">
        <v>42</v>
      </c>
      <c r="C13" s="38">
        <v>10.0</v>
      </c>
      <c r="D13" s="37" t="s">
        <v>207</v>
      </c>
      <c r="E13" s="1" t="s">
        <v>25447</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69138"/>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8.29"/>
    <col customWidth="1" min="15" max="16" width="28.29"/>
    <col customWidth="1" min="43" max="43" width="57.86"/>
  </cols>
  <sheetData>
    <row r="1">
      <c r="A1" s="50" t="s">
        <v>2185</v>
      </c>
      <c r="B1" s="50" t="s">
        <v>2186</v>
      </c>
      <c r="C1" s="50" t="s">
        <v>2187</v>
      </c>
      <c r="D1" s="50" t="s">
        <v>2188</v>
      </c>
      <c r="E1" s="50" t="s">
        <v>2189</v>
      </c>
      <c r="F1" s="50" t="s">
        <v>2190</v>
      </c>
      <c r="G1" s="50" t="s">
        <v>369</v>
      </c>
      <c r="H1" s="50" t="s">
        <v>4510</v>
      </c>
      <c r="I1" s="50" t="s">
        <v>4511</v>
      </c>
      <c r="J1" s="112" t="s">
        <v>4512</v>
      </c>
      <c r="K1" s="50" t="s">
        <v>4513</v>
      </c>
      <c r="L1" s="50" t="s">
        <v>368</v>
      </c>
      <c r="M1" s="50" t="s">
        <v>2192</v>
      </c>
      <c r="N1" s="50" t="s">
        <v>4514</v>
      </c>
      <c r="O1" s="50" t="s">
        <v>4515</v>
      </c>
      <c r="P1" s="50" t="s">
        <v>2193</v>
      </c>
      <c r="Q1" s="50" t="s">
        <v>2194</v>
      </c>
      <c r="R1" s="50" t="s">
        <v>2195</v>
      </c>
      <c r="S1" s="50" t="s">
        <v>2196</v>
      </c>
      <c r="T1" s="50" t="s">
        <v>2197</v>
      </c>
      <c r="U1" s="50" t="s">
        <v>2198</v>
      </c>
      <c r="V1" s="50" t="s">
        <v>2199</v>
      </c>
      <c r="W1" s="50" t="s">
        <v>2200</v>
      </c>
      <c r="X1" s="50" t="s">
        <v>2201</v>
      </c>
      <c r="Y1" s="50" t="s">
        <v>2202</v>
      </c>
      <c r="Z1" s="50" t="s">
        <v>4517</v>
      </c>
      <c r="AA1" s="50" t="s">
        <v>4518</v>
      </c>
      <c r="AB1" s="50" t="s">
        <v>4519</v>
      </c>
      <c r="AC1" s="50" t="s">
        <v>4520</v>
      </c>
      <c r="AD1" s="50" t="s">
        <v>4521</v>
      </c>
      <c r="AE1" s="50" t="s">
        <v>4522</v>
      </c>
      <c r="AF1" s="50" t="s">
        <v>4523</v>
      </c>
      <c r="AG1" s="50" t="s">
        <v>4524</v>
      </c>
      <c r="AH1" s="50" t="s">
        <v>4525</v>
      </c>
      <c r="AI1" s="50" t="s">
        <v>4526</v>
      </c>
      <c r="AJ1" s="50" t="s">
        <v>4527</v>
      </c>
      <c r="AK1" s="50" t="s">
        <v>4528</v>
      </c>
      <c r="AL1" s="50" t="s">
        <v>4529</v>
      </c>
      <c r="AM1" s="50" t="s">
        <v>4530</v>
      </c>
      <c r="AN1" s="50" t="s">
        <v>2223</v>
      </c>
      <c r="AO1" s="50" t="s">
        <v>2224</v>
      </c>
      <c r="AP1" s="50" t="s">
        <v>2263</v>
      </c>
      <c r="AQ1" s="50" t="s">
        <v>2264</v>
      </c>
      <c r="AR1" s="50" t="s">
        <v>2265</v>
      </c>
      <c r="AS1" s="50" t="s">
        <v>2266</v>
      </c>
      <c r="AT1" s="50" t="s">
        <v>2267</v>
      </c>
      <c r="AU1" s="50" t="s">
        <v>2268</v>
      </c>
      <c r="AV1" s="50" t="s">
        <v>2269</v>
      </c>
      <c r="AW1" s="50" t="s">
        <v>2270</v>
      </c>
      <c r="AX1" s="50" t="s">
        <v>2271</v>
      </c>
    </row>
    <row r="2">
      <c r="A2" s="50" t="s">
        <v>4651</v>
      </c>
      <c r="B2" s="50" t="s">
        <v>4652</v>
      </c>
      <c r="C2" s="116"/>
      <c r="D2" s="116"/>
      <c r="E2" s="50">
        <v>3.52155090281144E14</v>
      </c>
      <c r="F2" s="50">
        <v>59.0</v>
      </c>
      <c r="G2" s="50">
        <v>11.0</v>
      </c>
      <c r="H2" s="50">
        <v>4.0</v>
      </c>
      <c r="I2" s="50">
        <v>1.0</v>
      </c>
      <c r="J2" s="112" t="s">
        <v>4653</v>
      </c>
      <c r="K2" s="116"/>
      <c r="L2" s="50" t="s">
        <v>408</v>
      </c>
      <c r="M2" s="50" t="s">
        <v>408</v>
      </c>
      <c r="N2" s="116"/>
      <c r="O2" s="116"/>
      <c r="P2" s="50" t="s">
        <v>4654</v>
      </c>
      <c r="Q2" s="50" t="s">
        <v>4655</v>
      </c>
      <c r="R2" s="50">
        <v>22.5411175</v>
      </c>
      <c r="S2" s="50">
        <v>88.3743468</v>
      </c>
      <c r="T2" s="50">
        <v>-47.5</v>
      </c>
      <c r="U2" s="50">
        <v>5.0</v>
      </c>
      <c r="V2" s="50">
        <v>1.0</v>
      </c>
      <c r="W2" s="50">
        <v>0.0</v>
      </c>
      <c r="X2" s="50">
        <v>1.0</v>
      </c>
      <c r="Y2" s="116"/>
      <c r="Z2" s="116"/>
      <c r="AA2" s="50">
        <v>2.0</v>
      </c>
      <c r="AB2" s="50">
        <v>1.0</v>
      </c>
      <c r="AC2" s="116"/>
      <c r="AD2" s="116"/>
      <c r="AE2" s="116"/>
      <c r="AF2" s="116"/>
      <c r="AG2" s="116"/>
      <c r="AH2" s="116"/>
      <c r="AI2" s="116"/>
      <c r="AJ2" s="116"/>
      <c r="AK2" s="116"/>
      <c r="AL2" s="116"/>
      <c r="AM2" s="116"/>
      <c r="AN2" s="116"/>
      <c r="AO2" s="116"/>
      <c r="AP2" s="116"/>
      <c r="AQ2" s="116"/>
      <c r="AR2" s="50" t="s">
        <v>2302</v>
      </c>
      <c r="AS2" s="50">
        <v>1.0</v>
      </c>
      <c r="AT2" s="50" t="s">
        <v>4619</v>
      </c>
      <c r="AU2" s="117">
        <v>2863.0</v>
      </c>
      <c r="AV2" s="50" t="s">
        <v>4656</v>
      </c>
      <c r="AW2" s="50" t="s">
        <v>4657</v>
      </c>
      <c r="AX2" s="117">
        <v>17.0</v>
      </c>
    </row>
    <row r="3">
      <c r="A3" s="50" t="s">
        <v>4658</v>
      </c>
      <c r="B3" s="50" t="s">
        <v>4659</v>
      </c>
      <c r="C3" s="116"/>
      <c r="D3" s="116"/>
      <c r="E3" s="50">
        <v>3.52155090281144E14</v>
      </c>
      <c r="F3" s="50">
        <v>59.0</v>
      </c>
      <c r="G3" s="50">
        <v>11.0</v>
      </c>
      <c r="H3" s="50">
        <v>4.0</v>
      </c>
      <c r="I3" s="50">
        <v>1.0</v>
      </c>
      <c r="J3" s="112" t="s">
        <v>25517</v>
      </c>
      <c r="K3" s="116"/>
      <c r="L3" s="50" t="s">
        <v>409</v>
      </c>
      <c r="M3" s="50" t="s">
        <v>409</v>
      </c>
      <c r="N3" s="116"/>
      <c r="O3" s="116"/>
      <c r="P3" s="50" t="s">
        <v>4660</v>
      </c>
      <c r="Q3" s="50" t="s">
        <v>4661</v>
      </c>
      <c r="R3" s="50">
        <v>22.5410313</v>
      </c>
      <c r="S3" s="50">
        <v>88.3743882</v>
      </c>
      <c r="T3" s="50">
        <v>-60.2000007629394</v>
      </c>
      <c r="U3" s="50">
        <v>5.0</v>
      </c>
      <c r="V3" s="50">
        <v>1.0</v>
      </c>
      <c r="W3" s="50">
        <v>0.0</v>
      </c>
      <c r="X3" s="50">
        <v>1.0</v>
      </c>
      <c r="Y3" s="116"/>
      <c r="Z3" s="116"/>
      <c r="AA3" s="50">
        <v>2.0</v>
      </c>
      <c r="AB3" s="50">
        <v>1.0</v>
      </c>
      <c r="AC3" s="116"/>
      <c r="AD3" s="116"/>
      <c r="AE3" s="116"/>
      <c r="AF3" s="116"/>
      <c r="AG3" s="116"/>
      <c r="AH3" s="116"/>
      <c r="AI3" s="116"/>
      <c r="AJ3" s="116"/>
      <c r="AK3" s="116"/>
      <c r="AL3" s="116"/>
      <c r="AM3" s="116"/>
      <c r="AN3" s="116"/>
      <c r="AO3" s="116"/>
      <c r="AP3" s="116"/>
      <c r="AQ3" s="116"/>
      <c r="AR3" s="50" t="s">
        <v>2472</v>
      </c>
      <c r="AS3" s="50">
        <v>1.0</v>
      </c>
      <c r="AT3" s="50" t="s">
        <v>4619</v>
      </c>
      <c r="AU3" s="117">
        <v>2868.0</v>
      </c>
      <c r="AV3" s="50" t="s">
        <v>4663</v>
      </c>
      <c r="AW3" s="50" t="s">
        <v>4664</v>
      </c>
      <c r="AX3" s="117">
        <v>18.0</v>
      </c>
    </row>
    <row r="4">
      <c r="A4" s="50" t="s">
        <v>4673</v>
      </c>
      <c r="B4" s="50" t="s">
        <v>4674</v>
      </c>
      <c r="C4" s="116"/>
      <c r="D4" s="116"/>
      <c r="E4" s="50">
        <v>3.52155090281144E14</v>
      </c>
      <c r="F4" s="50">
        <v>59.0</v>
      </c>
      <c r="G4" s="50">
        <v>11.0</v>
      </c>
      <c r="H4" s="50">
        <v>4.0</v>
      </c>
      <c r="I4" s="50">
        <v>1.0</v>
      </c>
      <c r="J4" s="112" t="s">
        <v>4653</v>
      </c>
      <c r="K4" s="116"/>
      <c r="L4" s="50" t="s">
        <v>429</v>
      </c>
      <c r="M4" s="50" t="s">
        <v>429</v>
      </c>
      <c r="N4" s="116"/>
      <c r="O4" s="116"/>
      <c r="P4" s="50" t="s">
        <v>4675</v>
      </c>
      <c r="Q4" s="50" t="s">
        <v>4676</v>
      </c>
      <c r="R4" s="50">
        <v>22.541005</v>
      </c>
      <c r="S4" s="50">
        <v>88.3743089</v>
      </c>
      <c r="T4" s="50">
        <v>-48.7999992370605</v>
      </c>
      <c r="U4" s="50">
        <v>5.0</v>
      </c>
      <c r="V4" s="50">
        <v>1.0</v>
      </c>
      <c r="W4" s="50">
        <v>0.0</v>
      </c>
      <c r="X4" s="50">
        <v>1.0</v>
      </c>
      <c r="Y4" s="116"/>
      <c r="Z4" s="116"/>
      <c r="AA4" s="50">
        <v>2.0</v>
      </c>
      <c r="AB4" s="50">
        <v>1.0</v>
      </c>
      <c r="AC4" s="116"/>
      <c r="AD4" s="116"/>
      <c r="AE4" s="116"/>
      <c r="AF4" s="116"/>
      <c r="AG4" s="116"/>
      <c r="AH4" s="116"/>
      <c r="AI4" s="116"/>
      <c r="AJ4" s="116"/>
      <c r="AK4" s="116"/>
      <c r="AL4" s="116"/>
      <c r="AM4" s="116"/>
      <c r="AN4" s="116"/>
      <c r="AO4" s="116"/>
      <c r="AP4" s="116"/>
      <c r="AQ4" s="116"/>
      <c r="AR4" s="50" t="s">
        <v>2302</v>
      </c>
      <c r="AS4" s="50">
        <v>1.0</v>
      </c>
      <c r="AT4" s="50" t="s">
        <v>4619</v>
      </c>
      <c r="AU4" s="117">
        <v>2925.0</v>
      </c>
      <c r="AV4" s="50" t="s">
        <v>4677</v>
      </c>
      <c r="AW4" s="50" t="s">
        <v>4678</v>
      </c>
      <c r="AX4" s="117">
        <v>20.0</v>
      </c>
    </row>
    <row r="5">
      <c r="A5" s="50" t="s">
        <v>4686</v>
      </c>
      <c r="B5" s="50" t="s">
        <v>4687</v>
      </c>
      <c r="C5" s="116"/>
      <c r="D5" s="116"/>
      <c r="E5" s="50">
        <v>3.52155090281144E14</v>
      </c>
      <c r="F5" s="50">
        <v>59.0</v>
      </c>
      <c r="G5" s="50">
        <v>11.0</v>
      </c>
      <c r="H5" s="50">
        <v>4.0</v>
      </c>
      <c r="I5" s="50">
        <v>1.0</v>
      </c>
      <c r="J5" s="112" t="s">
        <v>4653</v>
      </c>
      <c r="K5" s="116"/>
      <c r="L5" s="50" t="s">
        <v>432</v>
      </c>
      <c r="M5" s="50" t="s">
        <v>432</v>
      </c>
      <c r="N5" s="116"/>
      <c r="O5" s="116"/>
      <c r="P5" s="50" t="s">
        <v>4688</v>
      </c>
      <c r="Q5" s="50" t="s">
        <v>4689</v>
      </c>
      <c r="R5" s="50">
        <v>22.5410628</v>
      </c>
      <c r="S5" s="50">
        <v>88.374244</v>
      </c>
      <c r="T5" s="50">
        <v>-46.2000007629394</v>
      </c>
      <c r="U5" s="50">
        <v>5.0</v>
      </c>
      <c r="V5" s="50">
        <v>1.0</v>
      </c>
      <c r="W5" s="50">
        <v>0.0</v>
      </c>
      <c r="X5" s="50">
        <v>1.0</v>
      </c>
      <c r="Y5" s="116"/>
      <c r="Z5" s="116"/>
      <c r="AA5" s="50">
        <v>2.0</v>
      </c>
      <c r="AB5" s="50">
        <v>1.0</v>
      </c>
      <c r="AC5" s="116"/>
      <c r="AD5" s="116"/>
      <c r="AE5" s="116"/>
      <c r="AF5" s="116"/>
      <c r="AG5" s="116"/>
      <c r="AH5" s="116"/>
      <c r="AI5" s="116"/>
      <c r="AJ5" s="116"/>
      <c r="AK5" s="116"/>
      <c r="AL5" s="116"/>
      <c r="AM5" s="116"/>
      <c r="AN5" s="116"/>
      <c r="AO5" s="116"/>
      <c r="AP5" s="116"/>
      <c r="AQ5" s="116"/>
      <c r="AR5" s="50" t="s">
        <v>2472</v>
      </c>
      <c r="AS5" s="50">
        <v>1.0</v>
      </c>
      <c r="AT5" s="50" t="s">
        <v>4619</v>
      </c>
      <c r="AU5" s="117">
        <v>2954.0</v>
      </c>
      <c r="AV5" s="50" t="s">
        <v>4690</v>
      </c>
      <c r="AW5" s="50" t="s">
        <v>4691</v>
      </c>
      <c r="AX5" s="117">
        <v>22.0</v>
      </c>
    </row>
    <row r="6">
      <c r="A6" s="50" t="s">
        <v>4728</v>
      </c>
      <c r="B6" s="50" t="s">
        <v>4729</v>
      </c>
      <c r="C6" s="116"/>
      <c r="D6" s="116"/>
      <c r="E6" s="50">
        <v>3.52155090281144E14</v>
      </c>
      <c r="F6" s="50">
        <v>59.0</v>
      </c>
      <c r="G6" s="50">
        <v>11.0</v>
      </c>
      <c r="H6" s="50">
        <v>4.0</v>
      </c>
      <c r="I6" s="50">
        <v>1.0</v>
      </c>
      <c r="J6" s="112" t="s">
        <v>4653</v>
      </c>
      <c r="K6" s="116"/>
      <c r="L6" s="50" t="s">
        <v>464</v>
      </c>
      <c r="M6" s="50" t="s">
        <v>464</v>
      </c>
      <c r="N6" s="116"/>
      <c r="O6" s="116"/>
      <c r="P6" s="50" t="s">
        <v>4730</v>
      </c>
      <c r="Q6" s="50" t="s">
        <v>4731</v>
      </c>
      <c r="R6" s="50">
        <v>22.5410999</v>
      </c>
      <c r="S6" s="50">
        <v>88.3743499</v>
      </c>
      <c r="T6" s="50">
        <v>-16.3999996185302</v>
      </c>
      <c r="U6" s="50">
        <v>4.5</v>
      </c>
      <c r="V6" s="50">
        <v>1.0</v>
      </c>
      <c r="W6" s="50">
        <v>0.0</v>
      </c>
      <c r="X6" s="50">
        <v>1.0</v>
      </c>
      <c r="Y6" s="116"/>
      <c r="Z6" s="116"/>
      <c r="AA6" s="50">
        <v>2.0</v>
      </c>
      <c r="AB6" s="50">
        <v>1.0</v>
      </c>
      <c r="AC6" s="116"/>
      <c r="AD6" s="116"/>
      <c r="AE6" s="116"/>
      <c r="AF6" s="116"/>
      <c r="AG6" s="116"/>
      <c r="AH6" s="116"/>
      <c r="AI6" s="116"/>
      <c r="AJ6" s="116"/>
      <c r="AK6" s="116"/>
      <c r="AL6" s="116"/>
      <c r="AM6" s="116"/>
      <c r="AN6" s="116"/>
      <c r="AO6" s="116"/>
      <c r="AP6" s="116"/>
      <c r="AQ6" s="116"/>
      <c r="AR6" s="50" t="s">
        <v>2302</v>
      </c>
      <c r="AS6" s="50">
        <v>1.0</v>
      </c>
      <c r="AT6" s="50" t="s">
        <v>4619</v>
      </c>
      <c r="AU6" s="117">
        <v>3022.0</v>
      </c>
      <c r="AV6" s="50" t="s">
        <v>4732</v>
      </c>
      <c r="AW6" s="50" t="s">
        <v>4733</v>
      </c>
      <c r="AX6" s="117">
        <v>29.0</v>
      </c>
    </row>
    <row r="7">
      <c r="A7" s="50" t="s">
        <v>4768</v>
      </c>
      <c r="B7" s="50" t="s">
        <v>4769</v>
      </c>
      <c r="C7" s="116"/>
      <c r="D7" s="116"/>
      <c r="E7" s="50">
        <v>3.52155090281144E14</v>
      </c>
      <c r="F7" s="50">
        <v>59.0</v>
      </c>
      <c r="G7" s="50">
        <v>11.0</v>
      </c>
      <c r="H7" s="50">
        <v>4.0</v>
      </c>
      <c r="I7" s="50">
        <v>1.0</v>
      </c>
      <c r="J7" s="112" t="s">
        <v>4770</v>
      </c>
      <c r="K7" s="116"/>
      <c r="L7" s="50" t="s">
        <v>504</v>
      </c>
      <c r="M7" s="50" t="s">
        <v>504</v>
      </c>
      <c r="N7" s="116"/>
      <c r="O7" s="116"/>
      <c r="P7" s="50" t="s">
        <v>4771</v>
      </c>
      <c r="Q7" s="50" t="s">
        <v>4772</v>
      </c>
      <c r="R7" s="50">
        <v>22.5403386</v>
      </c>
      <c r="S7" s="50">
        <v>88.3748553</v>
      </c>
      <c r="T7" s="50">
        <v>-24.7000007629394</v>
      </c>
      <c r="U7" s="50">
        <v>5.0</v>
      </c>
      <c r="V7" s="50">
        <v>1.0</v>
      </c>
      <c r="W7" s="50">
        <v>0.0</v>
      </c>
      <c r="X7" s="50">
        <v>1.0</v>
      </c>
      <c r="Y7" s="116"/>
      <c r="Z7" s="116"/>
      <c r="AA7" s="50">
        <v>2.0</v>
      </c>
      <c r="AB7" s="50">
        <v>1.0</v>
      </c>
      <c r="AC7" s="116"/>
      <c r="AD7" s="116"/>
      <c r="AE7" s="116"/>
      <c r="AF7" s="116"/>
      <c r="AG7" s="116"/>
      <c r="AH7" s="116"/>
      <c r="AI7" s="116"/>
      <c r="AJ7" s="116"/>
      <c r="AK7" s="116"/>
      <c r="AL7" s="116"/>
      <c r="AM7" s="116"/>
      <c r="AN7" s="116"/>
      <c r="AO7" s="116"/>
      <c r="AP7" s="116"/>
      <c r="AQ7" s="50" t="s">
        <v>4773</v>
      </c>
      <c r="AR7" s="50" t="s">
        <v>2327</v>
      </c>
      <c r="AS7" s="50">
        <v>1.0</v>
      </c>
      <c r="AT7" s="50" t="s">
        <v>4619</v>
      </c>
      <c r="AU7" s="117">
        <v>3096.0</v>
      </c>
      <c r="AV7" s="50" t="s">
        <v>4774</v>
      </c>
      <c r="AW7" s="50" t="s">
        <v>4775</v>
      </c>
      <c r="AX7" s="117">
        <v>35.0</v>
      </c>
    </row>
    <row r="8">
      <c r="A8" s="50" t="s">
        <v>4831</v>
      </c>
      <c r="B8" s="50" t="s">
        <v>4832</v>
      </c>
      <c r="C8" s="116"/>
      <c r="D8" s="116"/>
      <c r="E8" s="50">
        <v>3.52155090281144E14</v>
      </c>
      <c r="F8" s="50">
        <v>59.0</v>
      </c>
      <c r="G8" s="50">
        <v>11.0</v>
      </c>
      <c r="H8" s="50">
        <v>4.0</v>
      </c>
      <c r="I8" s="50">
        <v>1.0</v>
      </c>
      <c r="J8" s="112" t="s">
        <v>4770</v>
      </c>
      <c r="K8" s="116"/>
      <c r="L8" s="50" t="s">
        <v>586</v>
      </c>
      <c r="M8" s="50" t="s">
        <v>586</v>
      </c>
      <c r="N8" s="116"/>
      <c r="O8" s="116"/>
      <c r="P8" s="50" t="s">
        <v>4833</v>
      </c>
      <c r="Q8" s="50" t="s">
        <v>4834</v>
      </c>
      <c r="R8" s="50">
        <v>22.5404102</v>
      </c>
      <c r="S8" s="50">
        <v>88.3747911</v>
      </c>
      <c r="T8" s="50">
        <v>-38.4000015258789</v>
      </c>
      <c r="U8" s="50">
        <v>5.0</v>
      </c>
      <c r="V8" s="50">
        <v>1.0</v>
      </c>
      <c r="W8" s="50">
        <v>1.0</v>
      </c>
      <c r="X8" s="116"/>
      <c r="Y8" s="116"/>
      <c r="Z8" s="116"/>
      <c r="AA8" s="50">
        <v>2.0</v>
      </c>
      <c r="AB8" s="50">
        <v>1.0</v>
      </c>
      <c r="AC8" s="116"/>
      <c r="AD8" s="116"/>
      <c r="AE8" s="116"/>
      <c r="AF8" s="116"/>
      <c r="AG8" s="116"/>
      <c r="AH8" s="116"/>
      <c r="AI8" s="116"/>
      <c r="AJ8" s="116"/>
      <c r="AK8" s="116"/>
      <c r="AL8" s="116"/>
      <c r="AM8" s="116"/>
      <c r="AN8" s="116"/>
      <c r="AO8" s="116"/>
      <c r="AP8" s="116"/>
      <c r="AQ8" s="116"/>
      <c r="AR8" s="50" t="s">
        <v>2286</v>
      </c>
      <c r="AS8" s="50">
        <v>1.0</v>
      </c>
      <c r="AT8" s="50" t="s">
        <v>4619</v>
      </c>
      <c r="AU8" s="117">
        <v>3130.0</v>
      </c>
      <c r="AV8" s="50" t="s">
        <v>4835</v>
      </c>
      <c r="AW8" s="50" t="s">
        <v>4836</v>
      </c>
      <c r="AX8" s="117">
        <v>44.0</v>
      </c>
    </row>
    <row r="9">
      <c r="A9" s="50" t="s">
        <v>4837</v>
      </c>
      <c r="B9" s="50" t="s">
        <v>4838</v>
      </c>
      <c r="C9" s="116"/>
      <c r="D9" s="116"/>
      <c r="E9" s="50">
        <v>3.52155090281144E14</v>
      </c>
      <c r="F9" s="50">
        <v>59.0</v>
      </c>
      <c r="G9" s="50">
        <v>11.0</v>
      </c>
      <c r="H9" s="50">
        <v>4.0</v>
      </c>
      <c r="I9" s="50">
        <v>1.0</v>
      </c>
      <c r="J9" s="112" t="s">
        <v>4839</v>
      </c>
      <c r="K9" s="116"/>
      <c r="L9" s="50" t="s">
        <v>607</v>
      </c>
      <c r="M9" s="50" t="s">
        <v>607</v>
      </c>
      <c r="N9" s="116"/>
      <c r="O9" s="116"/>
      <c r="P9" s="50" t="s">
        <v>4840</v>
      </c>
      <c r="Q9" s="50" t="s">
        <v>4841</v>
      </c>
      <c r="R9" s="50">
        <v>22.5410234</v>
      </c>
      <c r="S9" s="50">
        <v>88.3741927</v>
      </c>
      <c r="T9" s="50">
        <v>-47.7999992370605</v>
      </c>
      <c r="U9" s="50">
        <v>5.0</v>
      </c>
      <c r="V9" s="50">
        <v>1.0</v>
      </c>
      <c r="W9" s="50">
        <v>1.0</v>
      </c>
      <c r="X9" s="116"/>
      <c r="Y9" s="116"/>
      <c r="Z9" s="116"/>
      <c r="AA9" s="50">
        <v>1.0</v>
      </c>
      <c r="AB9" s="50">
        <v>1.0</v>
      </c>
      <c r="AC9" s="116"/>
      <c r="AD9" s="116"/>
      <c r="AE9" s="116"/>
      <c r="AF9" s="116"/>
      <c r="AG9" s="116"/>
      <c r="AH9" s="116"/>
      <c r="AI9" s="116"/>
      <c r="AJ9" s="116"/>
      <c r="AK9" s="116"/>
      <c r="AL9" s="116"/>
      <c r="AM9" s="116"/>
      <c r="AN9" s="116"/>
      <c r="AO9" s="116"/>
      <c r="AP9" s="116"/>
      <c r="AQ9" s="116"/>
      <c r="AR9" s="50" t="s">
        <v>2826</v>
      </c>
      <c r="AS9" s="50">
        <v>1.0</v>
      </c>
      <c r="AT9" s="50" t="s">
        <v>4619</v>
      </c>
      <c r="AU9" s="117">
        <v>3131.0</v>
      </c>
      <c r="AV9" s="50" t="s">
        <v>4843</v>
      </c>
      <c r="AW9" s="50" t="s">
        <v>4844</v>
      </c>
      <c r="AX9" s="117">
        <v>45.0</v>
      </c>
    </row>
    <row r="10">
      <c r="A10" s="50" t="s">
        <v>4859</v>
      </c>
      <c r="B10" s="50" t="s">
        <v>4860</v>
      </c>
      <c r="C10" s="116"/>
      <c r="D10" s="116"/>
      <c r="E10" s="50">
        <v>3.52155090281144E14</v>
      </c>
      <c r="F10" s="50">
        <v>58.0</v>
      </c>
      <c r="G10" s="50">
        <v>11.0</v>
      </c>
      <c r="H10" s="50">
        <v>4.0</v>
      </c>
      <c r="I10" s="50">
        <v>1.0</v>
      </c>
      <c r="J10" s="112" t="s">
        <v>4861</v>
      </c>
      <c r="K10" s="116"/>
      <c r="L10" s="50" t="s">
        <v>622</v>
      </c>
      <c r="M10" s="50" t="s">
        <v>622</v>
      </c>
      <c r="N10" s="116"/>
      <c r="O10" s="116"/>
      <c r="P10" s="50" t="s">
        <v>4862</v>
      </c>
      <c r="Q10" s="50" t="s">
        <v>4863</v>
      </c>
      <c r="R10" s="50">
        <v>22.5517007</v>
      </c>
      <c r="S10" s="50">
        <v>88.3956583</v>
      </c>
      <c r="T10" s="50">
        <v>-38.7000007629394</v>
      </c>
      <c r="U10" s="50">
        <v>5.0</v>
      </c>
      <c r="V10" s="50">
        <v>1.0</v>
      </c>
      <c r="W10" s="50">
        <v>1.0</v>
      </c>
      <c r="X10" s="116"/>
      <c r="Y10" s="116"/>
      <c r="Z10" s="116"/>
      <c r="AA10" s="50">
        <v>2.0</v>
      </c>
      <c r="AB10" s="50">
        <v>1.0</v>
      </c>
      <c r="AC10" s="116"/>
      <c r="AD10" s="116"/>
      <c r="AE10" s="116"/>
      <c r="AF10" s="116"/>
      <c r="AG10" s="116"/>
      <c r="AH10" s="116"/>
      <c r="AI10" s="116"/>
      <c r="AJ10" s="116"/>
      <c r="AK10" s="116"/>
      <c r="AL10" s="116"/>
      <c r="AM10" s="116"/>
      <c r="AN10" s="116"/>
      <c r="AO10" s="116"/>
      <c r="AP10" s="116"/>
      <c r="AQ10" s="116"/>
      <c r="AR10" s="50" t="s">
        <v>2302</v>
      </c>
      <c r="AS10" s="50">
        <v>1.0</v>
      </c>
      <c r="AT10" s="50" t="s">
        <v>4619</v>
      </c>
      <c r="AU10" s="117">
        <v>3134.0</v>
      </c>
      <c r="AV10" s="50" t="s">
        <v>4865</v>
      </c>
      <c r="AW10" s="50" t="s">
        <v>4866</v>
      </c>
      <c r="AX10" s="117">
        <v>48.0</v>
      </c>
    </row>
    <row r="11">
      <c r="A11" s="50" t="s">
        <v>4867</v>
      </c>
      <c r="B11" s="50" t="s">
        <v>4868</v>
      </c>
      <c r="C11" s="116"/>
      <c r="D11" s="116"/>
      <c r="E11" s="50">
        <v>3.52155090281144E14</v>
      </c>
      <c r="F11" s="50">
        <v>59.0</v>
      </c>
      <c r="G11" s="50">
        <v>11.0</v>
      </c>
      <c r="H11" s="50">
        <v>4.0</v>
      </c>
      <c r="I11" s="50">
        <v>1.0</v>
      </c>
      <c r="J11" s="112" t="s">
        <v>4770</v>
      </c>
      <c r="K11" s="116"/>
      <c r="L11" s="50" t="s">
        <v>632</v>
      </c>
      <c r="M11" s="50" t="s">
        <v>632</v>
      </c>
      <c r="N11" s="116"/>
      <c r="O11" s="116"/>
      <c r="P11" s="50" t="s">
        <v>4869</v>
      </c>
      <c r="Q11" s="50" t="s">
        <v>4870</v>
      </c>
      <c r="R11" s="50">
        <v>22.5403225</v>
      </c>
      <c r="S11" s="50">
        <v>88.3748545</v>
      </c>
      <c r="T11" s="50">
        <v>-88.5</v>
      </c>
      <c r="U11" s="50">
        <v>5.0</v>
      </c>
      <c r="V11" s="50">
        <v>2.0</v>
      </c>
      <c r="W11" s="50">
        <v>0.0</v>
      </c>
      <c r="X11" s="50">
        <v>1.0</v>
      </c>
      <c r="Y11" s="116"/>
      <c r="Z11" s="116"/>
      <c r="AA11" s="50">
        <v>2.0</v>
      </c>
      <c r="AB11" s="50">
        <v>1.0</v>
      </c>
      <c r="AC11" s="116"/>
      <c r="AD11" s="116"/>
      <c r="AE11" s="116"/>
      <c r="AF11" s="116"/>
      <c r="AG11" s="116"/>
      <c r="AH11" s="116"/>
      <c r="AI11" s="116"/>
      <c r="AJ11" s="116"/>
      <c r="AK11" s="116"/>
      <c r="AL11" s="116"/>
      <c r="AM11" s="116"/>
      <c r="AN11" s="116"/>
      <c r="AO11" s="116"/>
      <c r="AP11" s="116"/>
      <c r="AQ11" s="50" t="s">
        <v>4871</v>
      </c>
      <c r="AR11" s="50" t="s">
        <v>2302</v>
      </c>
      <c r="AS11" s="50">
        <v>1.0</v>
      </c>
      <c r="AT11" s="50" t="s">
        <v>4619</v>
      </c>
      <c r="AU11" s="117">
        <v>3140.0</v>
      </c>
      <c r="AV11" s="50" t="s">
        <v>4872</v>
      </c>
      <c r="AW11" s="50" t="s">
        <v>4873</v>
      </c>
      <c r="AX11" s="117">
        <v>49.0</v>
      </c>
    </row>
    <row r="12">
      <c r="A12" s="50" t="s">
        <v>4874</v>
      </c>
      <c r="B12" s="50" t="s">
        <v>4875</v>
      </c>
      <c r="C12" s="116"/>
      <c r="D12" s="116"/>
      <c r="E12" s="50">
        <v>3.52155090281144E14</v>
      </c>
      <c r="F12" s="50">
        <v>59.0</v>
      </c>
      <c r="G12" s="50">
        <v>11.0</v>
      </c>
      <c r="H12" s="50">
        <v>4.0</v>
      </c>
      <c r="I12" s="50">
        <v>1.0</v>
      </c>
      <c r="J12" s="112" t="s">
        <v>4839</v>
      </c>
      <c r="K12" s="116"/>
      <c r="L12" s="50" t="s">
        <v>637</v>
      </c>
      <c r="M12" s="50" t="s">
        <v>637</v>
      </c>
      <c r="N12" s="116"/>
      <c r="O12" s="116"/>
      <c r="P12" s="50" t="s">
        <v>4877</v>
      </c>
      <c r="Q12" s="50" t="s">
        <v>4878</v>
      </c>
      <c r="R12" s="50">
        <v>22.5410057</v>
      </c>
      <c r="S12" s="50">
        <v>88.3741951</v>
      </c>
      <c r="T12" s="50">
        <v>-39.0</v>
      </c>
      <c r="U12" s="50">
        <v>5.0</v>
      </c>
      <c r="V12" s="50">
        <v>2.0</v>
      </c>
      <c r="W12" s="50">
        <v>0.0</v>
      </c>
      <c r="X12" s="50">
        <v>1.0</v>
      </c>
      <c r="Y12" s="116"/>
      <c r="Z12" s="116"/>
      <c r="AA12" s="50">
        <v>2.0</v>
      </c>
      <c r="AB12" s="50">
        <v>1.0</v>
      </c>
      <c r="AC12" s="116"/>
      <c r="AD12" s="116"/>
      <c r="AE12" s="116"/>
      <c r="AF12" s="116"/>
      <c r="AG12" s="116"/>
      <c r="AH12" s="116"/>
      <c r="AI12" s="116"/>
      <c r="AJ12" s="116"/>
      <c r="AK12" s="116"/>
      <c r="AL12" s="116"/>
      <c r="AM12" s="116"/>
      <c r="AN12" s="116"/>
      <c r="AO12" s="116"/>
      <c r="AP12" s="116"/>
      <c r="AQ12" s="116"/>
      <c r="AR12" s="50" t="s">
        <v>2472</v>
      </c>
      <c r="AS12" s="50">
        <v>1.0</v>
      </c>
      <c r="AT12" s="50" t="s">
        <v>4619</v>
      </c>
      <c r="AU12" s="117">
        <v>3141.0</v>
      </c>
      <c r="AV12" s="50" t="s">
        <v>4879</v>
      </c>
      <c r="AW12" s="50" t="s">
        <v>4880</v>
      </c>
      <c r="AX12" s="117">
        <v>50.0</v>
      </c>
    </row>
    <row r="13">
      <c r="A13" s="50" t="s">
        <v>4881</v>
      </c>
      <c r="B13" s="50" t="s">
        <v>4882</v>
      </c>
      <c r="C13" s="116"/>
      <c r="D13" s="116"/>
      <c r="E13" s="50">
        <v>3.52155090281144E14</v>
      </c>
      <c r="F13" s="50">
        <v>58.0</v>
      </c>
      <c r="G13" s="50">
        <v>11.0</v>
      </c>
      <c r="H13" s="50">
        <v>4.0</v>
      </c>
      <c r="I13" s="50">
        <v>1.0</v>
      </c>
      <c r="J13" s="112" t="s">
        <v>4861</v>
      </c>
      <c r="K13" s="116"/>
      <c r="L13" s="50" t="s">
        <v>642</v>
      </c>
      <c r="M13" s="50" t="s">
        <v>642</v>
      </c>
      <c r="N13" s="116"/>
      <c r="O13" s="116"/>
      <c r="P13" s="50" t="s">
        <v>4883</v>
      </c>
      <c r="Q13" s="50" t="s">
        <v>4884</v>
      </c>
      <c r="R13" s="50">
        <v>22.5518591</v>
      </c>
      <c r="S13" s="50">
        <v>88.3958616</v>
      </c>
      <c r="T13" s="50">
        <v>-22.3999996185302</v>
      </c>
      <c r="U13" s="50">
        <v>4.5</v>
      </c>
      <c r="V13" s="50">
        <v>2.0</v>
      </c>
      <c r="W13" s="50">
        <v>0.0</v>
      </c>
      <c r="X13" s="50">
        <v>1.0</v>
      </c>
      <c r="Y13" s="116"/>
      <c r="Z13" s="116"/>
      <c r="AA13" s="50">
        <v>2.0</v>
      </c>
      <c r="AB13" s="50">
        <v>1.0</v>
      </c>
      <c r="AC13" s="116"/>
      <c r="AD13" s="116"/>
      <c r="AE13" s="116"/>
      <c r="AF13" s="116"/>
      <c r="AG13" s="116"/>
      <c r="AH13" s="116"/>
      <c r="AI13" s="116"/>
      <c r="AJ13" s="116"/>
      <c r="AK13" s="116"/>
      <c r="AL13" s="116"/>
      <c r="AM13" s="116"/>
      <c r="AN13" s="116"/>
      <c r="AO13" s="116"/>
      <c r="AP13" s="116"/>
      <c r="AQ13" s="116"/>
      <c r="AR13" s="50" t="s">
        <v>2302</v>
      </c>
      <c r="AS13" s="50">
        <v>1.0</v>
      </c>
      <c r="AT13" s="50" t="s">
        <v>4619</v>
      </c>
      <c r="AU13" s="117">
        <v>3142.0</v>
      </c>
      <c r="AV13" s="50" t="s">
        <v>4885</v>
      </c>
      <c r="AW13" s="50" t="s">
        <v>4886</v>
      </c>
      <c r="AX13" s="117">
        <v>51.0</v>
      </c>
    </row>
    <row r="14">
      <c r="A14" s="50" t="s">
        <v>4913</v>
      </c>
      <c r="B14" s="50" t="s">
        <v>4914</v>
      </c>
      <c r="C14" s="116"/>
      <c r="D14" s="116"/>
      <c r="E14" s="50">
        <v>3.52155090281144E14</v>
      </c>
      <c r="F14" s="50">
        <v>58.0</v>
      </c>
      <c r="G14" s="50">
        <v>11.0</v>
      </c>
      <c r="H14" s="50">
        <v>4.0</v>
      </c>
      <c r="I14" s="50">
        <v>1.0</v>
      </c>
      <c r="J14" s="112" t="s">
        <v>4861</v>
      </c>
      <c r="K14" s="116"/>
      <c r="L14" s="50" t="s">
        <v>672</v>
      </c>
      <c r="M14" s="50" t="s">
        <v>672</v>
      </c>
      <c r="N14" s="116"/>
      <c r="O14" s="116"/>
      <c r="P14" s="50" t="s">
        <v>4916</v>
      </c>
      <c r="Q14" s="50" t="s">
        <v>4917</v>
      </c>
      <c r="R14" s="50">
        <v>22.5517449</v>
      </c>
      <c r="S14" s="50">
        <v>88.3957162</v>
      </c>
      <c r="T14" s="50">
        <v>-31.0</v>
      </c>
      <c r="U14" s="50">
        <v>5.0</v>
      </c>
      <c r="V14" s="50">
        <v>1.0</v>
      </c>
      <c r="W14" s="50">
        <v>1.0</v>
      </c>
      <c r="X14" s="116"/>
      <c r="Y14" s="116"/>
      <c r="Z14" s="116"/>
      <c r="AA14" s="50">
        <v>2.0</v>
      </c>
      <c r="AB14" s="50">
        <v>4.0</v>
      </c>
      <c r="AC14" s="116"/>
      <c r="AD14" s="116"/>
      <c r="AE14" s="116"/>
      <c r="AF14" s="116"/>
      <c r="AG14" s="116"/>
      <c r="AH14" s="116"/>
      <c r="AI14" s="116"/>
      <c r="AJ14" s="116"/>
      <c r="AK14" s="116"/>
      <c r="AL14" s="116"/>
      <c r="AM14" s="116"/>
      <c r="AN14" s="116"/>
      <c r="AO14" s="116"/>
      <c r="AP14" s="116"/>
      <c r="AQ14" s="50" t="s">
        <v>4918</v>
      </c>
      <c r="AR14" s="50" t="s">
        <v>2302</v>
      </c>
      <c r="AS14" s="50">
        <v>1.0</v>
      </c>
      <c r="AT14" s="50" t="s">
        <v>4619</v>
      </c>
      <c r="AU14" s="117">
        <v>3197.0</v>
      </c>
      <c r="AV14" s="50" t="s">
        <v>4919</v>
      </c>
      <c r="AW14" s="50" t="s">
        <v>4920</v>
      </c>
      <c r="AX14" s="117">
        <v>56.0</v>
      </c>
    </row>
    <row r="15">
      <c r="A15" s="50" t="s">
        <v>4940</v>
      </c>
      <c r="B15" s="50" t="s">
        <v>4941</v>
      </c>
      <c r="C15" s="116"/>
      <c r="D15" s="116"/>
      <c r="E15" s="50">
        <v>3.52155090281144E14</v>
      </c>
      <c r="F15" s="50">
        <v>59.0</v>
      </c>
      <c r="G15" s="50">
        <v>11.0</v>
      </c>
      <c r="H15" s="50">
        <v>4.0</v>
      </c>
      <c r="I15" s="50">
        <v>1.0</v>
      </c>
      <c r="J15" s="112" t="s">
        <v>4770</v>
      </c>
      <c r="K15" s="116"/>
      <c r="L15" s="50" t="s">
        <v>680</v>
      </c>
      <c r="M15" s="50" t="s">
        <v>680</v>
      </c>
      <c r="N15" s="116"/>
      <c r="O15" s="116"/>
      <c r="P15" s="50" t="s">
        <v>4943</v>
      </c>
      <c r="Q15" s="50" t="s">
        <v>4944</v>
      </c>
      <c r="R15" s="50">
        <v>22.5403602</v>
      </c>
      <c r="S15" s="50">
        <v>88.3748768</v>
      </c>
      <c r="T15" s="50">
        <v>-40.599998474121</v>
      </c>
      <c r="U15" s="50">
        <v>5.0</v>
      </c>
      <c r="V15" s="50">
        <v>1.0</v>
      </c>
      <c r="W15" s="50">
        <v>1.0</v>
      </c>
      <c r="X15" s="116"/>
      <c r="Y15" s="116"/>
      <c r="Z15" s="116"/>
      <c r="AA15" s="50">
        <v>2.0</v>
      </c>
      <c r="AB15" s="50">
        <v>4.0</v>
      </c>
      <c r="AC15" s="116"/>
      <c r="AD15" s="116"/>
      <c r="AE15" s="116"/>
      <c r="AF15" s="116"/>
      <c r="AG15" s="116"/>
      <c r="AH15" s="116"/>
      <c r="AI15" s="116"/>
      <c r="AJ15" s="116"/>
      <c r="AK15" s="116"/>
      <c r="AL15" s="116"/>
      <c r="AM15" s="116"/>
      <c r="AN15" s="116"/>
      <c r="AO15" s="116"/>
      <c r="AP15" s="116"/>
      <c r="AQ15" s="50" t="s">
        <v>4945</v>
      </c>
      <c r="AR15" s="50" t="s">
        <v>2302</v>
      </c>
      <c r="AS15" s="50">
        <v>1.0</v>
      </c>
      <c r="AT15" s="50" t="s">
        <v>4619</v>
      </c>
      <c r="AU15" s="117">
        <v>3201.0</v>
      </c>
      <c r="AV15" s="50" t="s">
        <v>4946</v>
      </c>
      <c r="AW15" s="50" t="s">
        <v>4947</v>
      </c>
      <c r="AX15" s="117">
        <v>60.0</v>
      </c>
    </row>
    <row r="16">
      <c r="A16" s="50" t="s">
        <v>4948</v>
      </c>
      <c r="B16" s="50" t="s">
        <v>4949</v>
      </c>
      <c r="C16" s="116"/>
      <c r="D16" s="116"/>
      <c r="E16" s="50">
        <v>3.52155090281144E14</v>
      </c>
      <c r="F16" s="50">
        <v>59.0</v>
      </c>
      <c r="G16" s="50">
        <v>11.0</v>
      </c>
      <c r="H16" s="50">
        <v>4.0</v>
      </c>
      <c r="I16" s="50">
        <v>1.0</v>
      </c>
      <c r="J16" s="112" t="s">
        <v>4839</v>
      </c>
      <c r="K16" s="116"/>
      <c r="L16" s="50" t="s">
        <v>689</v>
      </c>
      <c r="M16" s="50" t="s">
        <v>689</v>
      </c>
      <c r="N16" s="116"/>
      <c r="O16" s="116"/>
      <c r="P16" s="50" t="s">
        <v>4950</v>
      </c>
      <c r="Q16" s="50" t="s">
        <v>4951</v>
      </c>
      <c r="R16" s="50">
        <v>22.5410763</v>
      </c>
      <c r="S16" s="50">
        <v>88.374222</v>
      </c>
      <c r="T16" s="50">
        <v>-38.2999992370605</v>
      </c>
      <c r="U16" s="50">
        <v>4.5</v>
      </c>
      <c r="V16" s="50">
        <v>1.0</v>
      </c>
      <c r="W16" s="50">
        <v>1.0</v>
      </c>
      <c r="X16" s="116"/>
      <c r="Y16" s="116"/>
      <c r="Z16" s="116"/>
      <c r="AA16" s="50">
        <v>2.0</v>
      </c>
      <c r="AB16" s="50">
        <v>4.0</v>
      </c>
      <c r="AC16" s="116"/>
      <c r="AD16" s="116"/>
      <c r="AE16" s="116"/>
      <c r="AF16" s="116"/>
      <c r="AG16" s="116"/>
      <c r="AH16" s="116"/>
      <c r="AI16" s="116"/>
      <c r="AJ16" s="116"/>
      <c r="AK16" s="116"/>
      <c r="AL16" s="116"/>
      <c r="AM16" s="116"/>
      <c r="AN16" s="116"/>
      <c r="AO16" s="116"/>
      <c r="AP16" s="116"/>
      <c r="AQ16" s="50" t="s">
        <v>4952</v>
      </c>
      <c r="AR16" s="50" t="s">
        <v>2318</v>
      </c>
      <c r="AS16" s="50">
        <v>1.0</v>
      </c>
      <c r="AT16" s="50" t="s">
        <v>4619</v>
      </c>
      <c r="AU16" s="117">
        <v>3202.0</v>
      </c>
      <c r="AV16" s="50" t="s">
        <v>4953</v>
      </c>
      <c r="AW16" s="50" t="s">
        <v>4954</v>
      </c>
      <c r="AX16" s="117">
        <v>61.0</v>
      </c>
    </row>
    <row r="17">
      <c r="A17" s="50" t="s">
        <v>4963</v>
      </c>
      <c r="B17" s="50" t="s">
        <v>4964</v>
      </c>
      <c r="C17" s="116"/>
      <c r="D17" s="116"/>
      <c r="E17" s="50">
        <v>3.52155090281144E14</v>
      </c>
      <c r="F17" s="50">
        <v>59.0</v>
      </c>
      <c r="G17" s="50">
        <v>11.0</v>
      </c>
      <c r="H17" s="50">
        <v>4.0</v>
      </c>
      <c r="I17" s="50">
        <v>1.0</v>
      </c>
      <c r="J17" s="112" t="s">
        <v>4770</v>
      </c>
      <c r="K17" s="116"/>
      <c r="L17" s="50" t="s">
        <v>692</v>
      </c>
      <c r="M17" s="50" t="s">
        <v>692</v>
      </c>
      <c r="N17" s="116"/>
      <c r="O17" s="116"/>
      <c r="P17" s="50" t="s">
        <v>4965</v>
      </c>
      <c r="Q17" s="50" t="s">
        <v>4966</v>
      </c>
      <c r="R17" s="50">
        <v>22.5404395</v>
      </c>
      <c r="S17" s="50">
        <v>88.3747251</v>
      </c>
      <c r="T17" s="50">
        <v>31.8999996185302</v>
      </c>
      <c r="U17" s="50">
        <v>5.0</v>
      </c>
      <c r="V17" s="50">
        <v>1.0</v>
      </c>
      <c r="W17" s="50">
        <v>0.0</v>
      </c>
      <c r="X17" s="50">
        <v>1.0</v>
      </c>
      <c r="Y17" s="116"/>
      <c r="Z17" s="116"/>
      <c r="AA17" s="50">
        <v>2.0</v>
      </c>
      <c r="AB17" s="50">
        <v>4.0</v>
      </c>
      <c r="AC17" s="116"/>
      <c r="AD17" s="116"/>
      <c r="AE17" s="116"/>
      <c r="AF17" s="116"/>
      <c r="AG17" s="116"/>
      <c r="AH17" s="116"/>
      <c r="AI17" s="116"/>
      <c r="AJ17" s="116"/>
      <c r="AK17" s="116"/>
      <c r="AL17" s="116"/>
      <c r="AM17" s="116"/>
      <c r="AN17" s="116"/>
      <c r="AO17" s="116"/>
      <c r="AP17" s="116"/>
      <c r="AQ17" s="116"/>
      <c r="AR17" s="50" t="s">
        <v>2302</v>
      </c>
      <c r="AS17" s="50">
        <v>1.0</v>
      </c>
      <c r="AT17" s="50" t="s">
        <v>4619</v>
      </c>
      <c r="AU17" s="117">
        <v>3247.0</v>
      </c>
      <c r="AV17" s="50" t="s">
        <v>4967</v>
      </c>
      <c r="AW17" s="50" t="s">
        <v>4968</v>
      </c>
      <c r="AX17" s="117">
        <v>63.0</v>
      </c>
    </row>
    <row r="18">
      <c r="A18" s="50" t="s">
        <v>4969</v>
      </c>
      <c r="B18" s="50" t="s">
        <v>4970</v>
      </c>
      <c r="C18" s="116"/>
      <c r="D18" s="116"/>
      <c r="E18" s="50">
        <v>3.52155090281144E14</v>
      </c>
      <c r="F18" s="50">
        <v>59.0</v>
      </c>
      <c r="G18" s="50">
        <v>11.0</v>
      </c>
      <c r="H18" s="50">
        <v>4.0</v>
      </c>
      <c r="I18" s="50">
        <v>1.0</v>
      </c>
      <c r="J18" s="112" t="s">
        <v>4839</v>
      </c>
      <c r="K18" s="116"/>
      <c r="L18" s="50" t="s">
        <v>697</v>
      </c>
      <c r="M18" s="50" t="s">
        <v>697</v>
      </c>
      <c r="N18" s="116"/>
      <c r="O18" s="116"/>
      <c r="P18" s="50" t="s">
        <v>4972</v>
      </c>
      <c r="Q18" s="50" t="s">
        <v>4973</v>
      </c>
      <c r="R18" s="50">
        <v>22.541076</v>
      </c>
      <c r="S18" s="50">
        <v>88.3741598</v>
      </c>
      <c r="T18" s="50">
        <v>-56.9000015258789</v>
      </c>
      <c r="U18" s="50">
        <v>5.0</v>
      </c>
      <c r="V18" s="50">
        <v>1.0</v>
      </c>
      <c r="W18" s="50">
        <v>0.0</v>
      </c>
      <c r="X18" s="50">
        <v>1.0</v>
      </c>
      <c r="Y18" s="116"/>
      <c r="Z18" s="116"/>
      <c r="AA18" s="50">
        <v>2.0</v>
      </c>
      <c r="AB18" s="50">
        <v>1.0</v>
      </c>
      <c r="AC18" s="116"/>
      <c r="AD18" s="116"/>
      <c r="AE18" s="116"/>
      <c r="AF18" s="116"/>
      <c r="AG18" s="116"/>
      <c r="AH18" s="116"/>
      <c r="AI18" s="116"/>
      <c r="AJ18" s="116"/>
      <c r="AK18" s="116"/>
      <c r="AL18" s="116"/>
      <c r="AM18" s="116"/>
      <c r="AN18" s="116"/>
      <c r="AO18" s="116"/>
      <c r="AP18" s="116"/>
      <c r="AQ18" s="50" t="s">
        <v>4974</v>
      </c>
      <c r="AR18" s="50" t="s">
        <v>3142</v>
      </c>
      <c r="AS18" s="50">
        <v>0.0</v>
      </c>
      <c r="AT18" s="50" t="s">
        <v>4619</v>
      </c>
      <c r="AU18" s="117">
        <v>3248.0</v>
      </c>
      <c r="AV18" s="50" t="s">
        <v>4975</v>
      </c>
      <c r="AW18" s="50" t="s">
        <v>4976</v>
      </c>
      <c r="AX18" s="117">
        <v>64.0</v>
      </c>
    </row>
    <row r="19">
      <c r="A19" s="50" t="s">
        <v>4977</v>
      </c>
      <c r="B19" s="50" t="s">
        <v>4978</v>
      </c>
      <c r="C19" s="116"/>
      <c r="D19" s="116"/>
      <c r="E19" s="50">
        <v>3.52155090281144E14</v>
      </c>
      <c r="F19" s="50">
        <v>58.0</v>
      </c>
      <c r="G19" s="50">
        <v>11.0</v>
      </c>
      <c r="H19" s="50">
        <v>4.0</v>
      </c>
      <c r="I19" s="50">
        <v>1.0</v>
      </c>
      <c r="J19" s="112" t="s">
        <v>4861</v>
      </c>
      <c r="K19" s="116"/>
      <c r="L19" s="50" t="s">
        <v>702</v>
      </c>
      <c r="M19" s="50" t="s">
        <v>702</v>
      </c>
      <c r="N19" s="116"/>
      <c r="O19" s="116"/>
      <c r="P19" s="50" t="s">
        <v>4980</v>
      </c>
      <c r="Q19" s="50" t="s">
        <v>4981</v>
      </c>
      <c r="R19" s="50">
        <v>22.5518199</v>
      </c>
      <c r="S19" s="50">
        <v>88.3958267</v>
      </c>
      <c r="T19" s="50">
        <v>-20.7999992370605</v>
      </c>
      <c r="U19" s="50">
        <v>5.0</v>
      </c>
      <c r="V19" s="50">
        <v>2.0</v>
      </c>
      <c r="W19" s="50">
        <v>0.0</v>
      </c>
      <c r="X19" s="50">
        <v>1.0</v>
      </c>
      <c r="Y19" s="116"/>
      <c r="Z19" s="116"/>
      <c r="AA19" s="50">
        <v>2.0</v>
      </c>
      <c r="AB19" s="50">
        <v>1.0</v>
      </c>
      <c r="AC19" s="116"/>
      <c r="AD19" s="116"/>
      <c r="AE19" s="116"/>
      <c r="AF19" s="116"/>
      <c r="AG19" s="116"/>
      <c r="AH19" s="116"/>
      <c r="AI19" s="116"/>
      <c r="AJ19" s="116"/>
      <c r="AK19" s="116"/>
      <c r="AL19" s="116"/>
      <c r="AM19" s="116"/>
      <c r="AN19" s="116"/>
      <c r="AO19" s="116"/>
      <c r="AP19" s="116"/>
      <c r="AQ19" s="50" t="s">
        <v>4982</v>
      </c>
      <c r="AR19" s="50" t="s">
        <v>4983</v>
      </c>
      <c r="AS19" s="50">
        <v>0.0</v>
      </c>
      <c r="AT19" s="50" t="s">
        <v>4619</v>
      </c>
      <c r="AU19" s="117">
        <v>3249.0</v>
      </c>
      <c r="AV19" s="50" t="s">
        <v>4984</v>
      </c>
      <c r="AW19" s="50" t="s">
        <v>4985</v>
      </c>
      <c r="AX19" s="117">
        <v>65.0</v>
      </c>
    </row>
    <row r="20">
      <c r="A20" s="50" t="s">
        <v>5012</v>
      </c>
      <c r="B20" s="50" t="s">
        <v>5013</v>
      </c>
      <c r="C20" s="116"/>
      <c r="D20" s="116"/>
      <c r="E20" s="50">
        <v>3.52155090281144E14</v>
      </c>
      <c r="F20" s="50">
        <v>58.0</v>
      </c>
      <c r="G20" s="50">
        <v>11.0</v>
      </c>
      <c r="H20" s="50">
        <v>4.0</v>
      </c>
      <c r="I20" s="50">
        <v>1.0</v>
      </c>
      <c r="J20" s="112" t="s">
        <v>4861</v>
      </c>
      <c r="K20" s="116"/>
      <c r="L20" s="50" t="s">
        <v>787</v>
      </c>
      <c r="M20" s="50" t="s">
        <v>787</v>
      </c>
      <c r="N20" s="116"/>
      <c r="O20" s="116"/>
      <c r="P20" s="50" t="s">
        <v>5014</v>
      </c>
      <c r="Q20" s="50" t="s">
        <v>5015</v>
      </c>
      <c r="R20" s="50">
        <v>22.5517513</v>
      </c>
      <c r="S20" s="50">
        <v>88.3957228</v>
      </c>
      <c r="T20" s="50">
        <v>-37.2000007629394</v>
      </c>
      <c r="U20" s="50">
        <v>4.5</v>
      </c>
      <c r="V20" s="50">
        <v>1.0</v>
      </c>
      <c r="W20" s="50">
        <v>0.0</v>
      </c>
      <c r="X20" s="50">
        <v>1.0</v>
      </c>
      <c r="Y20" s="116"/>
      <c r="Z20" s="116"/>
      <c r="AA20" s="50">
        <v>2.0</v>
      </c>
      <c r="AB20" s="50">
        <v>4.0</v>
      </c>
      <c r="AC20" s="116"/>
      <c r="AD20" s="116"/>
      <c r="AE20" s="116"/>
      <c r="AF20" s="116"/>
      <c r="AG20" s="116"/>
      <c r="AH20" s="116"/>
      <c r="AI20" s="116"/>
      <c r="AJ20" s="116"/>
      <c r="AK20" s="116"/>
      <c r="AL20" s="116"/>
      <c r="AM20" s="116"/>
      <c r="AN20" s="116"/>
      <c r="AO20" s="116"/>
      <c r="AP20" s="116"/>
      <c r="AQ20" s="50" t="s">
        <v>5016</v>
      </c>
      <c r="AR20" s="50" t="s">
        <v>2472</v>
      </c>
      <c r="AS20" s="50">
        <v>1.0</v>
      </c>
      <c r="AT20" s="50" t="s">
        <v>4619</v>
      </c>
      <c r="AU20" s="117">
        <v>3296.0</v>
      </c>
      <c r="AV20" s="50" t="s">
        <v>5017</v>
      </c>
      <c r="AW20" s="50" t="s">
        <v>5018</v>
      </c>
      <c r="AX20" s="117">
        <v>70.0</v>
      </c>
    </row>
    <row r="21">
      <c r="A21" s="50" t="s">
        <v>5019</v>
      </c>
      <c r="B21" s="50" t="s">
        <v>5020</v>
      </c>
      <c r="C21" s="116"/>
      <c r="D21" s="116"/>
      <c r="E21" s="50">
        <v>3.52155090281144E14</v>
      </c>
      <c r="F21" s="50">
        <v>59.0</v>
      </c>
      <c r="G21" s="50">
        <v>11.0</v>
      </c>
      <c r="H21" s="50">
        <v>4.0</v>
      </c>
      <c r="I21" s="50">
        <v>1.0</v>
      </c>
      <c r="J21" s="112" t="s">
        <v>4770</v>
      </c>
      <c r="K21" s="116"/>
      <c r="L21" s="50" t="s">
        <v>791</v>
      </c>
      <c r="M21" s="50" t="s">
        <v>791</v>
      </c>
      <c r="N21" s="116"/>
      <c r="O21" s="116"/>
      <c r="P21" s="50" t="s">
        <v>5021</v>
      </c>
      <c r="Q21" s="50" t="s">
        <v>5022</v>
      </c>
      <c r="R21" s="50">
        <v>22.5404612</v>
      </c>
      <c r="S21" s="50">
        <v>88.374875</v>
      </c>
      <c r="T21" s="50">
        <v>84.9000015258789</v>
      </c>
      <c r="U21" s="50">
        <v>5.0</v>
      </c>
      <c r="V21" s="50">
        <v>1.0</v>
      </c>
      <c r="W21" s="50">
        <v>0.0</v>
      </c>
      <c r="X21" s="50">
        <v>1.0</v>
      </c>
      <c r="Y21" s="116"/>
      <c r="Z21" s="116"/>
      <c r="AA21" s="50">
        <v>2.0</v>
      </c>
      <c r="AB21" s="50">
        <v>4.0</v>
      </c>
      <c r="AC21" s="116"/>
      <c r="AD21" s="116"/>
      <c r="AE21" s="116"/>
      <c r="AF21" s="116"/>
      <c r="AG21" s="116"/>
      <c r="AH21" s="116"/>
      <c r="AI21" s="116"/>
      <c r="AJ21" s="116"/>
      <c r="AK21" s="116"/>
      <c r="AL21" s="116"/>
      <c r="AM21" s="116"/>
      <c r="AN21" s="116"/>
      <c r="AO21" s="116"/>
      <c r="AP21" s="116"/>
      <c r="AQ21" s="50" t="s">
        <v>5024</v>
      </c>
      <c r="AR21" s="50" t="s">
        <v>2278</v>
      </c>
      <c r="AS21" s="50">
        <v>1.0</v>
      </c>
      <c r="AT21" s="50" t="s">
        <v>4619</v>
      </c>
      <c r="AU21" s="117">
        <v>3297.0</v>
      </c>
      <c r="AV21" s="50" t="s">
        <v>5025</v>
      </c>
      <c r="AW21" s="50" t="s">
        <v>5026</v>
      </c>
      <c r="AX21" s="117">
        <v>71.0</v>
      </c>
    </row>
    <row r="22">
      <c r="A22" s="50" t="s">
        <v>5027</v>
      </c>
      <c r="B22" s="50" t="s">
        <v>5028</v>
      </c>
      <c r="C22" s="116"/>
      <c r="D22" s="116"/>
      <c r="E22" s="50">
        <v>3.52155090281144E14</v>
      </c>
      <c r="F22" s="50">
        <v>59.0</v>
      </c>
      <c r="G22" s="50">
        <v>11.0</v>
      </c>
      <c r="H22" s="50">
        <v>4.0</v>
      </c>
      <c r="I22" s="50">
        <v>1.0</v>
      </c>
      <c r="J22" s="112" t="s">
        <v>4839</v>
      </c>
      <c r="K22" s="116"/>
      <c r="L22" s="50" t="s">
        <v>795</v>
      </c>
      <c r="M22" s="50" t="s">
        <v>795</v>
      </c>
      <c r="N22" s="116"/>
      <c r="O22" s="116"/>
      <c r="P22" s="50" t="s">
        <v>5029</v>
      </c>
      <c r="Q22" s="50" t="s">
        <v>5030</v>
      </c>
      <c r="R22" s="50">
        <v>22.5409419</v>
      </c>
      <c r="S22" s="50">
        <v>88.3741582</v>
      </c>
      <c r="T22" s="50">
        <v>-78.0</v>
      </c>
      <c r="U22" s="50">
        <v>5.0</v>
      </c>
      <c r="V22" s="50">
        <v>1.0</v>
      </c>
      <c r="W22" s="50">
        <v>0.0</v>
      </c>
      <c r="X22" s="50">
        <v>1.0</v>
      </c>
      <c r="Y22" s="116"/>
      <c r="Z22" s="116"/>
      <c r="AA22" s="50">
        <v>2.0</v>
      </c>
      <c r="AB22" s="50">
        <v>4.0</v>
      </c>
      <c r="AC22" s="116"/>
      <c r="AD22" s="116"/>
      <c r="AE22" s="116"/>
      <c r="AF22" s="116"/>
      <c r="AG22" s="116"/>
      <c r="AH22" s="116"/>
      <c r="AI22" s="116"/>
      <c r="AJ22" s="116"/>
      <c r="AK22" s="116"/>
      <c r="AL22" s="116"/>
      <c r="AM22" s="116"/>
      <c r="AN22" s="116"/>
      <c r="AO22" s="116"/>
      <c r="AP22" s="116"/>
      <c r="AQ22" s="50" t="s">
        <v>5031</v>
      </c>
      <c r="AR22" s="50" t="s">
        <v>2302</v>
      </c>
      <c r="AS22" s="50">
        <v>1.0</v>
      </c>
      <c r="AT22" s="50" t="s">
        <v>4619</v>
      </c>
      <c r="AU22" s="117">
        <v>3298.0</v>
      </c>
      <c r="AV22" s="50" t="s">
        <v>5032</v>
      </c>
      <c r="AW22" s="50" t="s">
        <v>5033</v>
      </c>
      <c r="AX22" s="117">
        <v>72.0</v>
      </c>
    </row>
    <row r="23">
      <c r="A23" s="50" t="s">
        <v>5060</v>
      </c>
      <c r="B23" s="50" t="s">
        <v>5061</v>
      </c>
      <c r="C23" s="116"/>
      <c r="D23" s="116"/>
      <c r="E23" s="50">
        <v>3.52155090281144E14</v>
      </c>
      <c r="F23" s="50">
        <v>59.0</v>
      </c>
      <c r="G23" s="50">
        <v>11.0</v>
      </c>
      <c r="H23" s="50">
        <v>4.0</v>
      </c>
      <c r="I23" s="50">
        <v>1.0</v>
      </c>
      <c r="J23" s="112" t="s">
        <v>4839</v>
      </c>
      <c r="K23" s="116"/>
      <c r="L23" s="50" t="s">
        <v>809</v>
      </c>
      <c r="M23" s="50" t="s">
        <v>809</v>
      </c>
      <c r="N23" s="116"/>
      <c r="O23" s="116"/>
      <c r="P23" s="50" t="s">
        <v>5062</v>
      </c>
      <c r="Q23" s="50" t="s">
        <v>5063</v>
      </c>
      <c r="R23" s="50">
        <v>22.5410349</v>
      </c>
      <c r="S23" s="50">
        <v>88.374217</v>
      </c>
      <c r="T23" s="50">
        <v>-31.8999996185302</v>
      </c>
      <c r="U23" s="50">
        <v>4.5</v>
      </c>
      <c r="V23" s="50">
        <v>3.0</v>
      </c>
      <c r="W23" s="50">
        <v>1.0</v>
      </c>
      <c r="X23" s="116"/>
      <c r="Y23" s="116"/>
      <c r="Z23" s="116"/>
      <c r="AA23" s="50">
        <v>2.0</v>
      </c>
      <c r="AB23" s="50">
        <v>4.0</v>
      </c>
      <c r="AC23" s="116"/>
      <c r="AD23" s="116"/>
      <c r="AE23" s="116"/>
      <c r="AF23" s="116"/>
      <c r="AG23" s="116"/>
      <c r="AH23" s="116"/>
      <c r="AI23" s="116"/>
      <c r="AJ23" s="116"/>
      <c r="AK23" s="116"/>
      <c r="AL23" s="116"/>
      <c r="AM23" s="116"/>
      <c r="AN23" s="116"/>
      <c r="AO23" s="116"/>
      <c r="AP23" s="116"/>
      <c r="AQ23" s="50" t="s">
        <v>5065</v>
      </c>
      <c r="AR23" s="50" t="s">
        <v>2302</v>
      </c>
      <c r="AS23" s="50">
        <v>1.0</v>
      </c>
      <c r="AT23" s="50" t="s">
        <v>4619</v>
      </c>
      <c r="AU23" s="117">
        <v>3342.0</v>
      </c>
      <c r="AV23" s="50" t="s">
        <v>5066</v>
      </c>
      <c r="AW23" s="50" t="s">
        <v>5067</v>
      </c>
      <c r="AX23" s="117">
        <v>77.0</v>
      </c>
    </row>
    <row r="24">
      <c r="A24" s="50" t="s">
        <v>5068</v>
      </c>
      <c r="B24" s="50" t="s">
        <v>5069</v>
      </c>
      <c r="C24" s="116"/>
      <c r="D24" s="116"/>
      <c r="E24" s="50">
        <v>3.52155090281144E14</v>
      </c>
      <c r="F24" s="50">
        <v>58.0</v>
      </c>
      <c r="G24" s="50">
        <v>11.0</v>
      </c>
      <c r="H24" s="50">
        <v>4.0</v>
      </c>
      <c r="I24" s="50">
        <v>1.0</v>
      </c>
      <c r="J24" s="112" t="s">
        <v>4861</v>
      </c>
      <c r="K24" s="116"/>
      <c r="L24" s="50" t="s">
        <v>811</v>
      </c>
      <c r="M24" s="50" t="s">
        <v>811</v>
      </c>
      <c r="N24" s="116"/>
      <c r="O24" s="116"/>
      <c r="P24" s="50" t="s">
        <v>5070</v>
      </c>
      <c r="Q24" s="50" t="s">
        <v>5071</v>
      </c>
      <c r="R24" s="50">
        <v>22.5518356</v>
      </c>
      <c r="S24" s="50">
        <v>88.3958275</v>
      </c>
      <c r="T24" s="50">
        <v>-18.8999996185302</v>
      </c>
      <c r="U24" s="50">
        <v>5.0</v>
      </c>
      <c r="V24" s="50">
        <v>3.0</v>
      </c>
      <c r="W24" s="50">
        <v>1.0</v>
      </c>
      <c r="X24" s="116"/>
      <c r="Y24" s="116"/>
      <c r="Z24" s="116"/>
      <c r="AA24" s="50">
        <v>2.0</v>
      </c>
      <c r="AB24" s="50">
        <v>4.0</v>
      </c>
      <c r="AC24" s="116"/>
      <c r="AD24" s="116"/>
      <c r="AE24" s="116"/>
      <c r="AF24" s="116"/>
      <c r="AG24" s="116"/>
      <c r="AH24" s="116"/>
      <c r="AI24" s="116"/>
      <c r="AJ24" s="116"/>
      <c r="AK24" s="116"/>
      <c r="AL24" s="116"/>
      <c r="AM24" s="116"/>
      <c r="AN24" s="116"/>
      <c r="AO24" s="116"/>
      <c r="AP24" s="116"/>
      <c r="AQ24" s="50" t="s">
        <v>5072</v>
      </c>
      <c r="AR24" s="50" t="s">
        <v>2327</v>
      </c>
      <c r="AS24" s="50">
        <v>1.0</v>
      </c>
      <c r="AT24" s="50" t="s">
        <v>4619</v>
      </c>
      <c r="AU24" s="117">
        <v>3343.0</v>
      </c>
      <c r="AV24" s="50" t="s">
        <v>5073</v>
      </c>
      <c r="AW24" s="50" t="s">
        <v>5074</v>
      </c>
      <c r="AX24" s="117">
        <v>78.0</v>
      </c>
    </row>
    <row r="25">
      <c r="A25" s="50" t="s">
        <v>5695</v>
      </c>
      <c r="B25" s="50" t="s">
        <v>5696</v>
      </c>
      <c r="C25" s="116"/>
      <c r="D25" s="116"/>
      <c r="E25" s="50">
        <v>3.52155090281144E14</v>
      </c>
      <c r="F25" s="50">
        <v>59.0</v>
      </c>
      <c r="G25" s="50">
        <v>11.0</v>
      </c>
      <c r="H25" s="50">
        <v>4.0</v>
      </c>
      <c r="I25" s="50">
        <v>1.0</v>
      </c>
      <c r="J25" s="112" t="s">
        <v>5697</v>
      </c>
      <c r="K25" s="116"/>
      <c r="L25" s="50" t="s">
        <v>1250</v>
      </c>
      <c r="M25" s="50" t="s">
        <v>1250</v>
      </c>
      <c r="N25" s="116"/>
      <c r="O25" s="116"/>
      <c r="P25" s="50" t="s">
        <v>5698</v>
      </c>
      <c r="Q25" s="50" t="s">
        <v>5699</v>
      </c>
      <c r="R25" s="50">
        <v>22.5411093</v>
      </c>
      <c r="S25" s="50">
        <v>88.3753429</v>
      </c>
      <c r="T25" s="50">
        <v>-56.4000015258789</v>
      </c>
      <c r="U25" s="50">
        <v>6.5</v>
      </c>
      <c r="V25" s="50">
        <v>1.0</v>
      </c>
      <c r="W25" s="50">
        <v>0.0</v>
      </c>
      <c r="X25" s="50">
        <v>1.0</v>
      </c>
      <c r="Y25" s="116"/>
      <c r="Z25" s="116"/>
      <c r="AA25" s="50">
        <v>2.0</v>
      </c>
      <c r="AB25" s="50">
        <v>4.0</v>
      </c>
      <c r="AC25" s="116"/>
      <c r="AD25" s="116"/>
      <c r="AE25" s="116"/>
      <c r="AF25" s="116"/>
      <c r="AG25" s="116"/>
      <c r="AH25" s="116"/>
      <c r="AI25" s="116"/>
      <c r="AJ25" s="116"/>
      <c r="AK25" s="116"/>
      <c r="AL25" s="116"/>
      <c r="AM25" s="116"/>
      <c r="AN25" s="116"/>
      <c r="AO25" s="116"/>
      <c r="AP25" s="116"/>
      <c r="AQ25" s="116"/>
      <c r="AR25" s="50" t="s">
        <v>2286</v>
      </c>
      <c r="AS25" s="50">
        <v>0.0</v>
      </c>
      <c r="AT25" s="50" t="s">
        <v>5540</v>
      </c>
      <c r="AU25" s="117">
        <v>4222.0</v>
      </c>
      <c r="AV25" s="50" t="s">
        <v>5700</v>
      </c>
      <c r="AW25" s="50" t="s">
        <v>5701</v>
      </c>
      <c r="AX25" s="117">
        <v>174.0</v>
      </c>
    </row>
    <row r="26">
      <c r="A26" s="50" t="s">
        <v>5724</v>
      </c>
      <c r="B26" s="50" t="s">
        <v>5725</v>
      </c>
      <c r="C26" s="116"/>
      <c r="D26" s="116"/>
      <c r="E26" s="50">
        <v>3.52155090281144E14</v>
      </c>
      <c r="F26" s="50">
        <v>59.0</v>
      </c>
      <c r="G26" s="50">
        <v>11.0</v>
      </c>
      <c r="H26" s="50">
        <v>4.0</v>
      </c>
      <c r="I26" s="50">
        <v>1.0</v>
      </c>
      <c r="J26" s="112" t="s">
        <v>5697</v>
      </c>
      <c r="K26" s="116"/>
      <c r="L26" s="50" t="s">
        <v>1284</v>
      </c>
      <c r="M26" s="50" t="s">
        <v>1284</v>
      </c>
      <c r="N26" s="116"/>
      <c r="O26" s="116"/>
      <c r="P26" s="50" t="s">
        <v>5726</v>
      </c>
      <c r="Q26" s="50" t="s">
        <v>5727</v>
      </c>
      <c r="R26" s="50">
        <v>22.5412064</v>
      </c>
      <c r="S26" s="50">
        <v>88.3751996</v>
      </c>
      <c r="T26" s="50">
        <v>-46.7999992370605</v>
      </c>
      <c r="U26" s="50">
        <v>5.0</v>
      </c>
      <c r="V26" s="50">
        <v>1.0</v>
      </c>
      <c r="W26" s="50">
        <v>1.0</v>
      </c>
      <c r="X26" s="116"/>
      <c r="Y26" s="116"/>
      <c r="Z26" s="116"/>
      <c r="AA26" s="50">
        <v>2.0</v>
      </c>
      <c r="AB26" s="50">
        <v>4.0</v>
      </c>
      <c r="AC26" s="116"/>
      <c r="AD26" s="116"/>
      <c r="AE26" s="116"/>
      <c r="AF26" s="116"/>
      <c r="AG26" s="116"/>
      <c r="AH26" s="116"/>
      <c r="AI26" s="116"/>
      <c r="AJ26" s="116"/>
      <c r="AK26" s="116"/>
      <c r="AL26" s="116"/>
      <c r="AM26" s="116"/>
      <c r="AN26" s="116"/>
      <c r="AO26" s="116"/>
      <c r="AP26" s="116"/>
      <c r="AQ26" s="50" t="s">
        <v>2949</v>
      </c>
      <c r="AR26" s="50" t="s">
        <v>2278</v>
      </c>
      <c r="AS26" s="50">
        <v>1.0</v>
      </c>
      <c r="AT26" s="50" t="s">
        <v>5540</v>
      </c>
      <c r="AU26" s="117">
        <v>4337.0</v>
      </c>
      <c r="AV26" s="50" t="s">
        <v>5728</v>
      </c>
      <c r="AW26" s="50" t="s">
        <v>5729</v>
      </c>
      <c r="AX26" s="117">
        <v>178.0</v>
      </c>
    </row>
    <row r="27">
      <c r="A27" s="50" t="s">
        <v>5751</v>
      </c>
      <c r="B27" s="50" t="s">
        <v>5752</v>
      </c>
      <c r="C27" s="116"/>
      <c r="D27" s="116"/>
      <c r="E27" s="50">
        <v>3.52155090281144E14</v>
      </c>
      <c r="F27" s="50">
        <v>59.0</v>
      </c>
      <c r="G27" s="50">
        <v>11.0</v>
      </c>
      <c r="H27" s="50">
        <v>4.0</v>
      </c>
      <c r="I27" s="50">
        <v>1.0</v>
      </c>
      <c r="J27" s="112" t="s">
        <v>5697</v>
      </c>
      <c r="K27" s="116"/>
      <c r="L27" s="50" t="s">
        <v>1292</v>
      </c>
      <c r="M27" s="50" t="s">
        <v>1292</v>
      </c>
      <c r="N27" s="116"/>
      <c r="O27" s="116"/>
      <c r="P27" s="50" t="s">
        <v>5753</v>
      </c>
      <c r="Q27" s="50" t="s">
        <v>5754</v>
      </c>
      <c r="R27" s="50">
        <v>22.5411749</v>
      </c>
      <c r="S27" s="50">
        <v>88.3753974</v>
      </c>
      <c r="T27" s="50">
        <v>-51.5</v>
      </c>
      <c r="U27" s="50">
        <v>6.0</v>
      </c>
      <c r="V27" s="50">
        <v>3.0</v>
      </c>
      <c r="W27" s="50">
        <v>1.0</v>
      </c>
      <c r="X27" s="116"/>
      <c r="Y27" s="116"/>
      <c r="Z27" s="116"/>
      <c r="AA27" s="50">
        <v>1.0</v>
      </c>
      <c r="AB27" s="50">
        <v>4.0</v>
      </c>
      <c r="AC27" s="116"/>
      <c r="AD27" s="116"/>
      <c r="AE27" s="116"/>
      <c r="AF27" s="116"/>
      <c r="AG27" s="116"/>
      <c r="AH27" s="116"/>
      <c r="AI27" s="116"/>
      <c r="AJ27" s="116"/>
      <c r="AK27" s="116"/>
      <c r="AL27" s="116"/>
      <c r="AM27" s="116"/>
      <c r="AN27" s="116"/>
      <c r="AO27" s="116"/>
      <c r="AP27" s="116"/>
      <c r="AQ27" s="50" t="s">
        <v>5755</v>
      </c>
      <c r="AR27" s="50" t="s">
        <v>2278</v>
      </c>
      <c r="AS27" s="50">
        <v>0.0</v>
      </c>
      <c r="AT27" s="50" t="s">
        <v>5540</v>
      </c>
      <c r="AU27" s="117">
        <v>4364.0</v>
      </c>
      <c r="AV27" s="50" t="s">
        <v>5756</v>
      </c>
      <c r="AW27" s="50" t="s">
        <v>5757</v>
      </c>
      <c r="AX27" s="117">
        <v>182.0</v>
      </c>
    </row>
    <row r="28">
      <c r="A28" s="50" t="s">
        <v>5793</v>
      </c>
      <c r="B28" s="50" t="s">
        <v>5794</v>
      </c>
      <c r="C28" s="116"/>
      <c r="D28" s="116"/>
      <c r="E28" s="50">
        <v>3.52155090281144E14</v>
      </c>
      <c r="F28" s="50">
        <v>59.0</v>
      </c>
      <c r="G28" s="50">
        <v>11.0</v>
      </c>
      <c r="H28" s="50">
        <v>4.0</v>
      </c>
      <c r="I28" s="50">
        <v>1.0</v>
      </c>
      <c r="J28" s="112" t="s">
        <v>5697</v>
      </c>
      <c r="K28" s="116"/>
      <c r="L28" s="50" t="s">
        <v>1325</v>
      </c>
      <c r="M28" s="50" t="s">
        <v>1325</v>
      </c>
      <c r="N28" s="116"/>
      <c r="O28" s="116"/>
      <c r="P28" s="50" t="s">
        <v>5796</v>
      </c>
      <c r="Q28" s="50" t="s">
        <v>5797</v>
      </c>
      <c r="R28" s="50">
        <v>22.5413012</v>
      </c>
      <c r="S28" s="50">
        <v>88.375326</v>
      </c>
      <c r="T28" s="50">
        <v>23.5</v>
      </c>
      <c r="U28" s="50">
        <v>5.0</v>
      </c>
      <c r="V28" s="50">
        <v>2.0</v>
      </c>
      <c r="W28" s="50">
        <v>1.0</v>
      </c>
      <c r="X28" s="116"/>
      <c r="Y28" s="116"/>
      <c r="Z28" s="116"/>
      <c r="AA28" s="50">
        <v>1.0</v>
      </c>
      <c r="AB28" s="50">
        <v>4.0</v>
      </c>
      <c r="AC28" s="116"/>
      <c r="AD28" s="116"/>
      <c r="AE28" s="116"/>
      <c r="AF28" s="116"/>
      <c r="AG28" s="116"/>
      <c r="AH28" s="116"/>
      <c r="AI28" s="116"/>
      <c r="AJ28" s="116"/>
      <c r="AK28" s="116"/>
      <c r="AL28" s="116"/>
      <c r="AM28" s="116"/>
      <c r="AN28" s="116"/>
      <c r="AO28" s="116"/>
      <c r="AP28" s="116"/>
      <c r="AQ28" s="50" t="s">
        <v>3149</v>
      </c>
      <c r="AR28" s="50" t="s">
        <v>2278</v>
      </c>
      <c r="AS28" s="50">
        <v>0.0</v>
      </c>
      <c r="AT28" s="50" t="s">
        <v>5540</v>
      </c>
      <c r="AU28" s="117">
        <v>4405.0</v>
      </c>
      <c r="AV28" s="50" t="s">
        <v>5798</v>
      </c>
      <c r="AW28" s="50" t="s">
        <v>5799</v>
      </c>
      <c r="AX28" s="117">
        <v>188.0</v>
      </c>
    </row>
    <row r="29">
      <c r="A29" s="50" t="s">
        <v>5832</v>
      </c>
      <c r="B29" s="50" t="s">
        <v>5833</v>
      </c>
      <c r="C29" s="116"/>
      <c r="D29" s="116"/>
      <c r="E29" s="50">
        <v>3.52155090281144E14</v>
      </c>
      <c r="F29" s="50">
        <v>59.0</v>
      </c>
      <c r="G29" s="50">
        <v>11.0</v>
      </c>
      <c r="H29" s="50">
        <v>4.0</v>
      </c>
      <c r="I29" s="50">
        <v>1.0</v>
      </c>
      <c r="J29" s="112" t="s">
        <v>5697</v>
      </c>
      <c r="K29" s="116"/>
      <c r="L29" s="50" t="s">
        <v>1335</v>
      </c>
      <c r="M29" s="50" t="s">
        <v>1335</v>
      </c>
      <c r="N29" s="116"/>
      <c r="O29" s="116"/>
      <c r="P29" s="50" t="s">
        <v>5834</v>
      </c>
      <c r="Q29" s="50" t="s">
        <v>5835</v>
      </c>
      <c r="R29" s="50">
        <v>22.541338</v>
      </c>
      <c r="S29" s="50">
        <v>88.3751603</v>
      </c>
      <c r="T29" s="50">
        <v>-32.4000015258789</v>
      </c>
      <c r="U29" s="50">
        <v>8.5</v>
      </c>
      <c r="V29" s="50">
        <v>2.0</v>
      </c>
      <c r="W29" s="50">
        <v>1.0</v>
      </c>
      <c r="X29" s="116"/>
      <c r="Y29" s="116"/>
      <c r="Z29" s="116"/>
      <c r="AA29" s="50">
        <v>2.0</v>
      </c>
      <c r="AB29" s="50">
        <v>4.0</v>
      </c>
      <c r="AC29" s="116"/>
      <c r="AD29" s="116"/>
      <c r="AE29" s="116"/>
      <c r="AF29" s="116"/>
      <c r="AG29" s="116"/>
      <c r="AH29" s="116"/>
      <c r="AI29" s="116"/>
      <c r="AJ29" s="116"/>
      <c r="AK29" s="116"/>
      <c r="AL29" s="116"/>
      <c r="AM29" s="116"/>
      <c r="AN29" s="116"/>
      <c r="AO29" s="116"/>
      <c r="AP29" s="116"/>
      <c r="AQ29" s="50" t="s">
        <v>5837</v>
      </c>
      <c r="AR29" s="50" t="s">
        <v>2899</v>
      </c>
      <c r="AS29" s="50">
        <v>0.0</v>
      </c>
      <c r="AT29" s="50" t="s">
        <v>5540</v>
      </c>
      <c r="AU29" s="117">
        <v>4437.0</v>
      </c>
      <c r="AV29" s="50" t="s">
        <v>5838</v>
      </c>
      <c r="AW29" s="50" t="s">
        <v>5839</v>
      </c>
      <c r="AX29" s="117">
        <v>194.0</v>
      </c>
    </row>
    <row r="30">
      <c r="A30" s="50" t="s">
        <v>5847</v>
      </c>
      <c r="B30" s="50" t="s">
        <v>5848</v>
      </c>
      <c r="C30" s="116"/>
      <c r="D30" s="116"/>
      <c r="E30" s="50">
        <v>3.52155090281144E14</v>
      </c>
      <c r="F30" s="50">
        <v>59.0</v>
      </c>
      <c r="G30" s="50">
        <v>11.0</v>
      </c>
      <c r="H30" s="50">
        <v>4.0</v>
      </c>
      <c r="I30" s="50">
        <v>1.0</v>
      </c>
      <c r="J30" s="112" t="s">
        <v>5850</v>
      </c>
      <c r="K30" s="116"/>
      <c r="L30" s="50" t="s">
        <v>1341</v>
      </c>
      <c r="M30" s="50" t="s">
        <v>1341</v>
      </c>
      <c r="N30" s="116"/>
      <c r="O30" s="116"/>
      <c r="P30" s="50" t="s">
        <v>5851</v>
      </c>
      <c r="Q30" s="50" t="s">
        <v>5852</v>
      </c>
      <c r="R30" s="50">
        <v>22.5429727</v>
      </c>
      <c r="S30" s="50">
        <v>88.3834329</v>
      </c>
      <c r="T30" s="50">
        <v>-32.9000015258789</v>
      </c>
      <c r="U30" s="50">
        <v>5.0</v>
      </c>
      <c r="V30" s="50">
        <v>2.0</v>
      </c>
      <c r="W30" s="50">
        <v>1.0</v>
      </c>
      <c r="X30" s="116"/>
      <c r="Y30" s="116"/>
      <c r="Z30" s="116"/>
      <c r="AA30" s="50">
        <v>2.0</v>
      </c>
      <c r="AB30" s="50">
        <v>4.0</v>
      </c>
      <c r="AC30" s="116"/>
      <c r="AD30" s="116"/>
      <c r="AE30" s="116"/>
      <c r="AF30" s="116"/>
      <c r="AG30" s="116"/>
      <c r="AH30" s="116"/>
      <c r="AI30" s="116"/>
      <c r="AJ30" s="116"/>
      <c r="AK30" s="116"/>
      <c r="AL30" s="116"/>
      <c r="AM30" s="116"/>
      <c r="AN30" s="116"/>
      <c r="AO30" s="116"/>
      <c r="AP30" s="116"/>
      <c r="AQ30" s="50" t="s">
        <v>5853</v>
      </c>
      <c r="AR30" s="50" t="s">
        <v>2899</v>
      </c>
      <c r="AS30" s="50">
        <v>1.0</v>
      </c>
      <c r="AT30" s="50" t="s">
        <v>5540</v>
      </c>
      <c r="AU30" s="117">
        <v>4439.0</v>
      </c>
      <c r="AV30" s="50" t="s">
        <v>5854</v>
      </c>
      <c r="AW30" s="50" t="s">
        <v>5855</v>
      </c>
      <c r="AX30" s="117">
        <v>196.0</v>
      </c>
    </row>
    <row r="31">
      <c r="A31" s="50" t="s">
        <v>5862</v>
      </c>
      <c r="B31" s="50" t="s">
        <v>5863</v>
      </c>
      <c r="C31" s="116"/>
      <c r="D31" s="116"/>
      <c r="E31" s="50">
        <v>3.52155090281144E14</v>
      </c>
      <c r="F31" s="50">
        <v>59.0</v>
      </c>
      <c r="G31" s="50">
        <v>11.0</v>
      </c>
      <c r="H31" s="50">
        <v>3.0</v>
      </c>
      <c r="I31" s="50">
        <v>1.0</v>
      </c>
      <c r="J31" s="112" t="s">
        <v>5864</v>
      </c>
      <c r="K31" s="116"/>
      <c r="L31" s="50" t="s">
        <v>1346</v>
      </c>
      <c r="M31" s="50" t="s">
        <v>1346</v>
      </c>
      <c r="N31" s="116"/>
      <c r="O31" s="116"/>
      <c r="P31" s="50" t="s">
        <v>5865</v>
      </c>
      <c r="Q31" s="50" t="s">
        <v>5866</v>
      </c>
      <c r="R31" s="50">
        <v>22.5430752</v>
      </c>
      <c r="S31" s="50">
        <v>88.3835892</v>
      </c>
      <c r="T31" s="50">
        <v>-63.599998474121</v>
      </c>
      <c r="U31" s="50">
        <v>5.0</v>
      </c>
      <c r="V31" s="50">
        <v>2.0</v>
      </c>
      <c r="W31" s="50">
        <v>1.0</v>
      </c>
      <c r="X31" s="116"/>
      <c r="Y31" s="116"/>
      <c r="Z31" s="116"/>
      <c r="AA31" s="50">
        <v>2.0</v>
      </c>
      <c r="AB31" s="50">
        <v>4.0</v>
      </c>
      <c r="AC31" s="116"/>
      <c r="AD31" s="116"/>
      <c r="AE31" s="116"/>
      <c r="AF31" s="116"/>
      <c r="AG31" s="116"/>
      <c r="AH31" s="116"/>
      <c r="AI31" s="116"/>
      <c r="AJ31" s="116"/>
      <c r="AK31" s="116"/>
      <c r="AL31" s="116"/>
      <c r="AM31" s="116"/>
      <c r="AN31" s="116"/>
      <c r="AO31" s="116"/>
      <c r="AP31" s="116"/>
      <c r="AQ31" s="50" t="s">
        <v>5868</v>
      </c>
      <c r="AR31" s="50" t="s">
        <v>2899</v>
      </c>
      <c r="AS31" s="50">
        <v>1.0</v>
      </c>
      <c r="AT31" s="50" t="s">
        <v>5540</v>
      </c>
      <c r="AU31" s="117">
        <v>4441.0</v>
      </c>
      <c r="AV31" s="50" t="s">
        <v>5869</v>
      </c>
      <c r="AW31" s="50" t="s">
        <v>5870</v>
      </c>
      <c r="AX31" s="117">
        <v>198.0</v>
      </c>
    </row>
    <row r="32">
      <c r="A32" s="50" t="s">
        <v>5877</v>
      </c>
      <c r="B32" s="50" t="s">
        <v>5878</v>
      </c>
      <c r="C32" s="116"/>
      <c r="D32" s="116"/>
      <c r="E32" s="50">
        <v>3.52155090281144E14</v>
      </c>
      <c r="F32" s="50">
        <v>59.0</v>
      </c>
      <c r="G32" s="50">
        <v>11.0</v>
      </c>
      <c r="H32" s="50">
        <v>4.0</v>
      </c>
      <c r="I32" s="50">
        <v>1.0</v>
      </c>
      <c r="J32" s="112" t="s">
        <v>5697</v>
      </c>
      <c r="K32" s="116"/>
      <c r="L32" s="50" t="s">
        <v>1356</v>
      </c>
      <c r="M32" s="50" t="s">
        <v>1356</v>
      </c>
      <c r="N32" s="116"/>
      <c r="O32" s="116"/>
      <c r="P32" s="50" t="s">
        <v>5879</v>
      </c>
      <c r="Q32" s="50" t="s">
        <v>5880</v>
      </c>
      <c r="R32" s="50">
        <v>22.5411757</v>
      </c>
      <c r="S32" s="50">
        <v>88.3752039</v>
      </c>
      <c r="T32" s="50">
        <v>-45.7000007629394</v>
      </c>
      <c r="U32" s="50">
        <v>5.0</v>
      </c>
      <c r="V32" s="50">
        <v>2.0</v>
      </c>
      <c r="W32" s="50">
        <v>1.0</v>
      </c>
      <c r="X32" s="116"/>
      <c r="Y32" s="116"/>
      <c r="Z32" s="116"/>
      <c r="AA32" s="50">
        <v>1.0</v>
      </c>
      <c r="AB32" s="50">
        <v>4.0</v>
      </c>
      <c r="AC32" s="116"/>
      <c r="AD32" s="116"/>
      <c r="AE32" s="116"/>
      <c r="AF32" s="116"/>
      <c r="AG32" s="116"/>
      <c r="AH32" s="116"/>
      <c r="AI32" s="116"/>
      <c r="AJ32" s="116"/>
      <c r="AK32" s="116"/>
      <c r="AL32" s="116"/>
      <c r="AM32" s="116"/>
      <c r="AN32" s="116"/>
      <c r="AO32" s="116"/>
      <c r="AP32" s="116"/>
      <c r="AQ32" s="50" t="s">
        <v>3185</v>
      </c>
      <c r="AR32" s="50" t="s">
        <v>2472</v>
      </c>
      <c r="AS32" s="50">
        <v>1.0</v>
      </c>
      <c r="AT32" s="50" t="s">
        <v>5540</v>
      </c>
      <c r="AU32" s="117">
        <v>4462.0</v>
      </c>
      <c r="AV32" s="50" t="s">
        <v>5881</v>
      </c>
      <c r="AW32" s="50" t="s">
        <v>5882</v>
      </c>
      <c r="AX32" s="117">
        <v>200.0</v>
      </c>
    </row>
    <row r="33">
      <c r="A33" s="50" t="s">
        <v>5890</v>
      </c>
      <c r="B33" s="50" t="s">
        <v>5891</v>
      </c>
      <c r="C33" s="116"/>
      <c r="D33" s="116"/>
      <c r="E33" s="50">
        <v>3.52155090281144E14</v>
      </c>
      <c r="F33" s="50">
        <v>59.0</v>
      </c>
      <c r="G33" s="50">
        <v>11.0</v>
      </c>
      <c r="H33" s="50">
        <v>4.0</v>
      </c>
      <c r="I33" s="50">
        <v>1.0</v>
      </c>
      <c r="J33" s="112" t="s">
        <v>5850</v>
      </c>
      <c r="K33" s="116"/>
      <c r="L33" s="50" t="s">
        <v>1361</v>
      </c>
      <c r="M33" s="50" t="s">
        <v>1361</v>
      </c>
      <c r="N33" s="116"/>
      <c r="O33" s="116"/>
      <c r="P33" s="50" t="s">
        <v>5892</v>
      </c>
      <c r="Q33" s="50" t="s">
        <v>5893</v>
      </c>
      <c r="R33" s="50">
        <v>22.5427667</v>
      </c>
      <c r="S33" s="50">
        <v>88.3834291</v>
      </c>
      <c r="T33" s="50">
        <v>-45.5</v>
      </c>
      <c r="U33" s="50">
        <v>5.0</v>
      </c>
      <c r="V33" s="50">
        <v>2.0</v>
      </c>
      <c r="W33" s="50">
        <v>1.0</v>
      </c>
      <c r="X33" s="116"/>
      <c r="Y33" s="116"/>
      <c r="Z33" s="116"/>
      <c r="AA33" s="50">
        <v>1.0</v>
      </c>
      <c r="AB33" s="50">
        <v>4.0</v>
      </c>
      <c r="AC33" s="116"/>
      <c r="AD33" s="116"/>
      <c r="AE33" s="116"/>
      <c r="AF33" s="116"/>
      <c r="AG33" s="116"/>
      <c r="AH33" s="116"/>
      <c r="AI33" s="116"/>
      <c r="AJ33" s="116"/>
      <c r="AK33" s="116"/>
      <c r="AL33" s="116"/>
      <c r="AM33" s="116"/>
      <c r="AN33" s="116"/>
      <c r="AO33" s="116"/>
      <c r="AP33" s="116"/>
      <c r="AQ33" s="50" t="s">
        <v>2949</v>
      </c>
      <c r="AR33" s="50" t="s">
        <v>2302</v>
      </c>
      <c r="AS33" s="50">
        <v>1.0</v>
      </c>
      <c r="AT33" s="50" t="s">
        <v>5540</v>
      </c>
      <c r="AU33" s="117">
        <v>4464.0</v>
      </c>
      <c r="AV33" s="50" t="s">
        <v>5894</v>
      </c>
      <c r="AW33" s="50" t="s">
        <v>5895</v>
      </c>
      <c r="AX33" s="117">
        <v>202.0</v>
      </c>
    </row>
    <row r="34">
      <c r="A34" s="50" t="s">
        <v>5902</v>
      </c>
      <c r="B34" s="50" t="s">
        <v>5903</v>
      </c>
      <c r="C34" s="116"/>
      <c r="D34" s="116"/>
      <c r="E34" s="50">
        <v>3.52155090281144E14</v>
      </c>
      <c r="F34" s="50">
        <v>59.0</v>
      </c>
      <c r="G34" s="50">
        <v>11.0</v>
      </c>
      <c r="H34" s="50">
        <v>3.0</v>
      </c>
      <c r="I34" s="50">
        <v>1.0</v>
      </c>
      <c r="J34" s="112" t="s">
        <v>5904</v>
      </c>
      <c r="K34" s="116"/>
      <c r="L34" s="50" t="s">
        <v>1364</v>
      </c>
      <c r="M34" s="50" t="s">
        <v>1364</v>
      </c>
      <c r="N34" s="116"/>
      <c r="O34" s="116"/>
      <c r="P34" s="50" t="s">
        <v>5905</v>
      </c>
      <c r="Q34" s="50" t="s">
        <v>5906</v>
      </c>
      <c r="R34" s="50">
        <v>22.5431755</v>
      </c>
      <c r="S34" s="50">
        <v>88.3835282</v>
      </c>
      <c r="T34" s="50">
        <v>-86.0</v>
      </c>
      <c r="U34" s="50">
        <v>5.0</v>
      </c>
      <c r="V34" s="50">
        <v>2.0</v>
      </c>
      <c r="W34" s="50">
        <v>1.0</v>
      </c>
      <c r="X34" s="116"/>
      <c r="Y34" s="116"/>
      <c r="Z34" s="116"/>
      <c r="AA34" s="50">
        <v>2.0</v>
      </c>
      <c r="AB34" s="50">
        <v>4.0</v>
      </c>
      <c r="AC34" s="116"/>
      <c r="AD34" s="116"/>
      <c r="AE34" s="116"/>
      <c r="AF34" s="116"/>
      <c r="AG34" s="116"/>
      <c r="AH34" s="116"/>
      <c r="AI34" s="116"/>
      <c r="AJ34" s="116"/>
      <c r="AK34" s="116"/>
      <c r="AL34" s="116"/>
      <c r="AM34" s="116"/>
      <c r="AN34" s="116"/>
      <c r="AO34" s="116"/>
      <c r="AP34" s="116"/>
      <c r="AQ34" s="50" t="s">
        <v>3200</v>
      </c>
      <c r="AR34" s="50" t="s">
        <v>2278</v>
      </c>
      <c r="AS34" s="50">
        <v>1.0</v>
      </c>
      <c r="AT34" s="50" t="s">
        <v>5540</v>
      </c>
      <c r="AU34" s="117">
        <v>4466.0</v>
      </c>
      <c r="AV34" s="50" t="s">
        <v>5907</v>
      </c>
      <c r="AW34" s="50" t="s">
        <v>5908</v>
      </c>
      <c r="AX34" s="117">
        <v>204.0</v>
      </c>
    </row>
    <row r="35">
      <c r="A35" s="50" t="s">
        <v>5916</v>
      </c>
      <c r="B35" s="50" t="s">
        <v>5917</v>
      </c>
      <c r="C35" s="116"/>
      <c r="D35" s="116"/>
      <c r="E35" s="50">
        <v>3.52155090281144E14</v>
      </c>
      <c r="F35" s="50">
        <v>59.0</v>
      </c>
      <c r="G35" s="50">
        <v>11.0</v>
      </c>
      <c r="H35" s="50">
        <v>4.0</v>
      </c>
      <c r="I35" s="50">
        <v>1.0</v>
      </c>
      <c r="J35" s="112" t="s">
        <v>5850</v>
      </c>
      <c r="K35" s="116"/>
      <c r="L35" s="50" t="s">
        <v>1371</v>
      </c>
      <c r="M35" s="50" t="s">
        <v>1371</v>
      </c>
      <c r="N35" s="116"/>
      <c r="O35" s="116"/>
      <c r="P35" s="50" t="s">
        <v>5918</v>
      </c>
      <c r="Q35" s="50" t="s">
        <v>5919</v>
      </c>
      <c r="R35" s="50">
        <v>22.5428316</v>
      </c>
      <c r="S35" s="50">
        <v>88.3834919</v>
      </c>
      <c r="T35" s="50">
        <v>1.5</v>
      </c>
      <c r="U35" s="50">
        <v>5.0</v>
      </c>
      <c r="V35" s="50">
        <v>1.0</v>
      </c>
      <c r="W35" s="50">
        <v>0.0</v>
      </c>
      <c r="X35" s="50">
        <v>1.0</v>
      </c>
      <c r="Y35" s="116"/>
      <c r="Z35" s="116"/>
      <c r="AA35" s="50">
        <v>2.0</v>
      </c>
      <c r="AB35" s="50">
        <v>4.0</v>
      </c>
      <c r="AC35" s="116"/>
      <c r="AD35" s="116"/>
      <c r="AE35" s="116"/>
      <c r="AF35" s="116"/>
      <c r="AG35" s="116"/>
      <c r="AH35" s="116"/>
      <c r="AI35" s="116"/>
      <c r="AJ35" s="116"/>
      <c r="AK35" s="116"/>
      <c r="AL35" s="116"/>
      <c r="AM35" s="116"/>
      <c r="AN35" s="116"/>
      <c r="AO35" s="116"/>
      <c r="AP35" s="116"/>
      <c r="AQ35" s="50" t="s">
        <v>3200</v>
      </c>
      <c r="AR35" s="50" t="s">
        <v>2286</v>
      </c>
      <c r="AS35" s="50">
        <v>1.0</v>
      </c>
      <c r="AT35" s="50" t="s">
        <v>5540</v>
      </c>
      <c r="AU35" s="117">
        <v>4509.0</v>
      </c>
      <c r="AV35" s="50" t="s">
        <v>5921</v>
      </c>
      <c r="AW35" s="50" t="s">
        <v>5922</v>
      </c>
      <c r="AX35" s="117">
        <v>206.0</v>
      </c>
    </row>
    <row r="36">
      <c r="A36" s="50" t="s">
        <v>5929</v>
      </c>
      <c r="B36" s="50" t="s">
        <v>5930</v>
      </c>
      <c r="C36" s="116"/>
      <c r="D36" s="116"/>
      <c r="E36" s="50">
        <v>3.52155090281144E14</v>
      </c>
      <c r="F36" s="50">
        <v>59.0</v>
      </c>
      <c r="G36" s="50">
        <v>11.0</v>
      </c>
      <c r="H36" s="50">
        <v>3.0</v>
      </c>
      <c r="I36" s="50">
        <v>1.0</v>
      </c>
      <c r="J36" s="112" t="s">
        <v>5864</v>
      </c>
      <c r="K36" s="116"/>
      <c r="L36" s="50" t="s">
        <v>1377</v>
      </c>
      <c r="M36" s="50" t="s">
        <v>1377</v>
      </c>
      <c r="N36" s="116"/>
      <c r="O36" s="116"/>
      <c r="P36" s="50" t="s">
        <v>5931</v>
      </c>
      <c r="Q36" s="50" t="s">
        <v>5932</v>
      </c>
      <c r="R36" s="50">
        <v>22.5431591</v>
      </c>
      <c r="S36" s="50">
        <v>88.3835946</v>
      </c>
      <c r="T36" s="50">
        <v>-49.7999992370605</v>
      </c>
      <c r="U36" s="50">
        <v>5.0</v>
      </c>
      <c r="V36" s="50">
        <v>1.0</v>
      </c>
      <c r="W36" s="50">
        <v>0.0</v>
      </c>
      <c r="X36" s="50">
        <v>1.0</v>
      </c>
      <c r="Y36" s="116"/>
      <c r="Z36" s="116"/>
      <c r="AA36" s="50">
        <v>2.0</v>
      </c>
      <c r="AB36" s="50">
        <v>4.0</v>
      </c>
      <c r="AC36" s="116"/>
      <c r="AD36" s="116"/>
      <c r="AE36" s="116"/>
      <c r="AF36" s="116"/>
      <c r="AG36" s="116"/>
      <c r="AH36" s="116"/>
      <c r="AI36" s="116"/>
      <c r="AJ36" s="116"/>
      <c r="AK36" s="116"/>
      <c r="AL36" s="116"/>
      <c r="AM36" s="116"/>
      <c r="AN36" s="116"/>
      <c r="AO36" s="116"/>
      <c r="AP36" s="116"/>
      <c r="AQ36" s="50" t="s">
        <v>3149</v>
      </c>
      <c r="AR36" s="50" t="s">
        <v>2302</v>
      </c>
      <c r="AS36" s="50">
        <v>1.0</v>
      </c>
      <c r="AT36" s="50" t="s">
        <v>5540</v>
      </c>
      <c r="AU36" s="117">
        <v>4511.0</v>
      </c>
      <c r="AV36" s="50" t="s">
        <v>5934</v>
      </c>
      <c r="AW36" s="50" t="s">
        <v>5935</v>
      </c>
      <c r="AX36" s="117">
        <v>208.0</v>
      </c>
    </row>
    <row r="37">
      <c r="A37" s="50" t="s">
        <v>5969</v>
      </c>
      <c r="B37" s="50" t="s">
        <v>5970</v>
      </c>
      <c r="C37" s="116"/>
      <c r="D37" s="116"/>
      <c r="E37" s="50">
        <v>3.52155090281144E14</v>
      </c>
      <c r="F37" s="50">
        <v>59.0</v>
      </c>
      <c r="G37" s="50">
        <v>11.0</v>
      </c>
      <c r="H37" s="50">
        <v>4.0</v>
      </c>
      <c r="I37" s="50">
        <v>1.0</v>
      </c>
      <c r="J37" s="112" t="s">
        <v>5850</v>
      </c>
      <c r="K37" s="116"/>
      <c r="L37" s="50" t="s">
        <v>1406</v>
      </c>
      <c r="M37" s="50" t="s">
        <v>1406</v>
      </c>
      <c r="N37" s="116"/>
      <c r="O37" s="116"/>
      <c r="P37" s="50" t="s">
        <v>5971</v>
      </c>
      <c r="Q37" s="50" t="s">
        <v>5972</v>
      </c>
      <c r="R37" s="50">
        <v>22.5428438</v>
      </c>
      <c r="S37" s="50">
        <v>88.3836746</v>
      </c>
      <c r="T37" s="50">
        <v>-85.0</v>
      </c>
      <c r="U37" s="50">
        <v>5.0</v>
      </c>
      <c r="V37" s="50">
        <v>1.0</v>
      </c>
      <c r="W37" s="50">
        <v>1.0</v>
      </c>
      <c r="X37" s="116"/>
      <c r="Y37" s="116"/>
      <c r="Z37" s="116"/>
      <c r="AA37" s="50">
        <v>2.0</v>
      </c>
      <c r="AB37" s="50">
        <v>4.0</v>
      </c>
      <c r="AC37" s="116"/>
      <c r="AD37" s="116"/>
      <c r="AE37" s="116"/>
      <c r="AF37" s="116"/>
      <c r="AG37" s="116"/>
      <c r="AH37" s="116"/>
      <c r="AI37" s="116"/>
      <c r="AJ37" s="116"/>
      <c r="AK37" s="116"/>
      <c r="AL37" s="116"/>
      <c r="AM37" s="116"/>
      <c r="AN37" s="116"/>
      <c r="AO37" s="116"/>
      <c r="AP37" s="116"/>
      <c r="AQ37" s="50" t="s">
        <v>3243</v>
      </c>
      <c r="AR37" s="50" t="s">
        <v>2278</v>
      </c>
      <c r="AS37" s="50">
        <v>1.0</v>
      </c>
      <c r="AT37" s="50" t="s">
        <v>5540</v>
      </c>
      <c r="AU37" s="117">
        <v>4539.0</v>
      </c>
      <c r="AV37" s="50" t="s">
        <v>5974</v>
      </c>
      <c r="AW37" s="50" t="s">
        <v>5975</v>
      </c>
      <c r="AX37" s="117">
        <v>214.0</v>
      </c>
    </row>
    <row r="38">
      <c r="A38" s="50" t="s">
        <v>5982</v>
      </c>
      <c r="B38" s="50" t="s">
        <v>5983</v>
      </c>
      <c r="C38" s="116"/>
      <c r="D38" s="116"/>
      <c r="E38" s="50">
        <v>3.52155090281144E14</v>
      </c>
      <c r="F38" s="50">
        <v>59.0</v>
      </c>
      <c r="G38" s="50">
        <v>11.0</v>
      </c>
      <c r="H38" s="50">
        <v>3.0</v>
      </c>
      <c r="I38" s="50">
        <v>1.0</v>
      </c>
      <c r="J38" s="112" t="s">
        <v>5864</v>
      </c>
      <c r="K38" s="116"/>
      <c r="L38" s="50" t="s">
        <v>1412</v>
      </c>
      <c r="M38" s="50" t="s">
        <v>1412</v>
      </c>
      <c r="N38" s="116"/>
      <c r="O38" s="116"/>
      <c r="P38" s="50" t="s">
        <v>5984</v>
      </c>
      <c r="Q38" s="50" t="s">
        <v>5985</v>
      </c>
      <c r="R38" s="50">
        <v>22.543216</v>
      </c>
      <c r="S38" s="50">
        <v>88.3835802</v>
      </c>
      <c r="T38" s="50">
        <v>-132.0</v>
      </c>
      <c r="U38" s="50">
        <v>5.0</v>
      </c>
      <c r="V38" s="50">
        <v>1.0</v>
      </c>
      <c r="W38" s="50">
        <v>1.0</v>
      </c>
      <c r="X38" s="116"/>
      <c r="Y38" s="116"/>
      <c r="Z38" s="116"/>
      <c r="AA38" s="50">
        <v>2.0</v>
      </c>
      <c r="AB38" s="50">
        <v>4.0</v>
      </c>
      <c r="AC38" s="116"/>
      <c r="AD38" s="116"/>
      <c r="AE38" s="116"/>
      <c r="AF38" s="116"/>
      <c r="AG38" s="116"/>
      <c r="AH38" s="116"/>
      <c r="AI38" s="116"/>
      <c r="AJ38" s="116"/>
      <c r="AK38" s="116"/>
      <c r="AL38" s="116"/>
      <c r="AM38" s="116"/>
      <c r="AN38" s="116"/>
      <c r="AO38" s="116"/>
      <c r="AP38" s="116"/>
      <c r="AQ38" s="50" t="s">
        <v>3200</v>
      </c>
      <c r="AR38" s="50" t="s">
        <v>2327</v>
      </c>
      <c r="AS38" s="50">
        <v>1.0</v>
      </c>
      <c r="AT38" s="50" t="s">
        <v>5540</v>
      </c>
      <c r="AU38" s="117">
        <v>4541.0</v>
      </c>
      <c r="AV38" s="50" t="s">
        <v>5986</v>
      </c>
      <c r="AW38" s="50" t="s">
        <v>5987</v>
      </c>
      <c r="AX38" s="117">
        <v>216.0</v>
      </c>
    </row>
    <row r="39">
      <c r="A39" s="50" t="s">
        <v>6035</v>
      </c>
      <c r="B39" s="50" t="s">
        <v>6036</v>
      </c>
      <c r="C39" s="116"/>
      <c r="D39" s="116"/>
      <c r="E39" s="50">
        <v>3.5215509147374E14</v>
      </c>
      <c r="F39" s="50">
        <v>59.0</v>
      </c>
      <c r="G39" s="50">
        <v>11.0</v>
      </c>
      <c r="H39" s="50">
        <v>4.0</v>
      </c>
      <c r="I39" s="50">
        <v>1.0</v>
      </c>
      <c r="J39" s="112" t="s">
        <v>6037</v>
      </c>
      <c r="K39" s="116"/>
      <c r="L39" s="50" t="s">
        <v>1422</v>
      </c>
      <c r="M39" s="50" t="s">
        <v>1422</v>
      </c>
      <c r="N39" s="116"/>
      <c r="O39" s="116"/>
      <c r="P39" s="50" t="s">
        <v>6038</v>
      </c>
      <c r="Q39" s="50" t="s">
        <v>6039</v>
      </c>
      <c r="R39" s="50">
        <v>22.5453347</v>
      </c>
      <c r="S39" s="50">
        <v>88.3820889</v>
      </c>
      <c r="T39" s="50">
        <v>-65.8000030517578</v>
      </c>
      <c r="U39" s="50">
        <v>5.0</v>
      </c>
      <c r="V39" s="50">
        <v>1.0</v>
      </c>
      <c r="W39" s="50">
        <v>0.0</v>
      </c>
      <c r="X39" s="50">
        <v>0.0</v>
      </c>
      <c r="Y39" s="50">
        <v>1.0</v>
      </c>
      <c r="Z39" s="116"/>
      <c r="AA39" s="50">
        <v>2.0</v>
      </c>
      <c r="AB39" s="50">
        <v>4.0</v>
      </c>
      <c r="AC39" s="116"/>
      <c r="AD39" s="116"/>
      <c r="AE39" s="116"/>
      <c r="AF39" s="116"/>
      <c r="AG39" s="116"/>
      <c r="AH39" s="116"/>
      <c r="AI39" s="116"/>
      <c r="AJ39" s="116"/>
      <c r="AK39" s="116"/>
      <c r="AL39" s="116"/>
      <c r="AM39" s="116"/>
      <c r="AN39" s="116"/>
      <c r="AO39" s="116"/>
      <c r="AP39" s="116"/>
      <c r="AQ39" s="50" t="s">
        <v>2949</v>
      </c>
      <c r="AR39" s="50" t="s">
        <v>2302</v>
      </c>
      <c r="AS39" s="50">
        <v>1.0</v>
      </c>
      <c r="AT39" s="50" t="s">
        <v>5540</v>
      </c>
      <c r="AU39" s="117">
        <v>4583.0</v>
      </c>
      <c r="AV39" s="50" t="s">
        <v>6040</v>
      </c>
      <c r="AW39" s="50" t="s">
        <v>6041</v>
      </c>
      <c r="AX39" s="117">
        <v>224.0</v>
      </c>
    </row>
    <row r="40">
      <c r="A40" s="50" t="s">
        <v>6020</v>
      </c>
      <c r="B40" s="50" t="s">
        <v>6021</v>
      </c>
      <c r="C40" s="116"/>
      <c r="D40" s="116"/>
      <c r="E40" s="50">
        <v>3.52155090281144E14</v>
      </c>
      <c r="F40" s="50">
        <v>59.0</v>
      </c>
      <c r="G40" s="50">
        <v>11.0</v>
      </c>
      <c r="H40" s="50">
        <v>4.0</v>
      </c>
      <c r="I40" s="50">
        <v>1.0</v>
      </c>
      <c r="J40" s="112" t="s">
        <v>6022</v>
      </c>
      <c r="K40" s="116"/>
      <c r="L40" s="50" t="s">
        <v>1426</v>
      </c>
      <c r="M40" s="50" t="s">
        <v>1426</v>
      </c>
      <c r="N40" s="116"/>
      <c r="O40" s="116"/>
      <c r="P40" s="50" t="s">
        <v>6023</v>
      </c>
      <c r="Q40" s="50" t="s">
        <v>6024</v>
      </c>
      <c r="R40" s="50">
        <v>22.5451616</v>
      </c>
      <c r="S40" s="50">
        <v>88.3821088</v>
      </c>
      <c r="T40" s="50">
        <v>-46.0</v>
      </c>
      <c r="U40" s="50">
        <v>5.0</v>
      </c>
      <c r="V40" s="50">
        <v>1.0</v>
      </c>
      <c r="W40" s="50">
        <v>0.0</v>
      </c>
      <c r="X40" s="50">
        <v>0.0</v>
      </c>
      <c r="Y40" s="50">
        <v>1.0</v>
      </c>
      <c r="Z40" s="116"/>
      <c r="AA40" s="50">
        <v>2.0</v>
      </c>
      <c r="AB40" s="50">
        <v>4.0</v>
      </c>
      <c r="AC40" s="116"/>
      <c r="AD40" s="116"/>
      <c r="AE40" s="116"/>
      <c r="AF40" s="116"/>
      <c r="AG40" s="116"/>
      <c r="AH40" s="116"/>
      <c r="AI40" s="116"/>
      <c r="AJ40" s="116"/>
      <c r="AK40" s="116"/>
      <c r="AL40" s="116"/>
      <c r="AM40" s="116"/>
      <c r="AN40" s="116"/>
      <c r="AO40" s="116"/>
      <c r="AP40" s="116"/>
      <c r="AQ40" s="50" t="s">
        <v>3200</v>
      </c>
      <c r="AR40" s="50" t="s">
        <v>2327</v>
      </c>
      <c r="AS40" s="50">
        <v>1.0</v>
      </c>
      <c r="AT40" s="50" t="s">
        <v>5540</v>
      </c>
      <c r="AU40" s="117">
        <v>4581.0</v>
      </c>
      <c r="AV40" s="50" t="s">
        <v>6026</v>
      </c>
      <c r="AW40" s="50" t="s">
        <v>6027</v>
      </c>
      <c r="AX40" s="117">
        <v>222.0</v>
      </c>
    </row>
    <row r="41">
      <c r="A41" s="50" t="s">
        <v>6049</v>
      </c>
      <c r="B41" s="50" t="s">
        <v>6050</v>
      </c>
      <c r="C41" s="116"/>
      <c r="D41" s="116"/>
      <c r="E41" s="50">
        <v>3.5215509147374E14</v>
      </c>
      <c r="F41" s="50">
        <v>59.0</v>
      </c>
      <c r="G41" s="50">
        <v>11.0</v>
      </c>
      <c r="H41" s="50">
        <v>4.0</v>
      </c>
      <c r="I41" s="50">
        <v>1.0</v>
      </c>
      <c r="J41" s="112" t="s">
        <v>6051</v>
      </c>
      <c r="K41" s="116"/>
      <c r="L41" s="50" t="s">
        <v>1430</v>
      </c>
      <c r="M41" s="50" t="s">
        <v>1430</v>
      </c>
      <c r="N41" s="116"/>
      <c r="O41" s="116"/>
      <c r="P41" s="50" t="s">
        <v>6052</v>
      </c>
      <c r="Q41" s="50" t="s">
        <v>6053</v>
      </c>
      <c r="R41" s="50">
        <v>22.5439575</v>
      </c>
      <c r="S41" s="50">
        <v>88.3818758</v>
      </c>
      <c r="T41" s="50">
        <v>-19.7000007629394</v>
      </c>
      <c r="U41" s="50">
        <v>5.0</v>
      </c>
      <c r="V41" s="50">
        <v>1.0</v>
      </c>
      <c r="W41" s="50">
        <v>0.0</v>
      </c>
      <c r="X41" s="50">
        <v>0.0</v>
      </c>
      <c r="Y41" s="50">
        <v>1.0</v>
      </c>
      <c r="Z41" s="116"/>
      <c r="AA41" s="50">
        <v>2.0</v>
      </c>
      <c r="AB41" s="50">
        <v>4.0</v>
      </c>
      <c r="AC41" s="116"/>
      <c r="AD41" s="116"/>
      <c r="AE41" s="116"/>
      <c r="AF41" s="116"/>
      <c r="AG41" s="116"/>
      <c r="AH41" s="116"/>
      <c r="AI41" s="116"/>
      <c r="AJ41" s="116"/>
      <c r="AK41" s="116"/>
      <c r="AL41" s="116"/>
      <c r="AM41" s="116"/>
      <c r="AN41" s="116"/>
      <c r="AO41" s="116"/>
      <c r="AP41" s="116"/>
      <c r="AQ41" s="50" t="s">
        <v>2979</v>
      </c>
      <c r="AR41" s="50" t="s">
        <v>2278</v>
      </c>
      <c r="AS41" s="50">
        <v>1.0</v>
      </c>
      <c r="AT41" s="50" t="s">
        <v>5540</v>
      </c>
      <c r="AU41" s="117">
        <v>4585.0</v>
      </c>
      <c r="AV41" s="50" t="s">
        <v>6054</v>
      </c>
      <c r="AW41" s="50" t="s">
        <v>6055</v>
      </c>
      <c r="AX41" s="117">
        <v>226.0</v>
      </c>
    </row>
    <row r="42">
      <c r="A42" s="50" t="s">
        <v>6062</v>
      </c>
      <c r="B42" s="50" t="s">
        <v>6063</v>
      </c>
      <c r="C42" s="116"/>
      <c r="D42" s="116"/>
      <c r="E42" s="50">
        <v>3.5215509147374E14</v>
      </c>
      <c r="F42" s="50">
        <v>59.0</v>
      </c>
      <c r="G42" s="50">
        <v>11.0</v>
      </c>
      <c r="H42" s="50">
        <v>4.0</v>
      </c>
      <c r="I42" s="50">
        <v>1.0</v>
      </c>
      <c r="J42" s="112" t="s">
        <v>6064</v>
      </c>
      <c r="K42" s="116"/>
      <c r="L42" s="50" t="s">
        <v>1434</v>
      </c>
      <c r="M42" s="50" t="s">
        <v>1434</v>
      </c>
      <c r="N42" s="116"/>
      <c r="O42" s="116"/>
      <c r="P42" s="50" t="s">
        <v>6065</v>
      </c>
      <c r="Q42" s="50" t="s">
        <v>6066</v>
      </c>
      <c r="R42" s="50">
        <v>22.5431026</v>
      </c>
      <c r="S42" s="50">
        <v>88.3754615</v>
      </c>
      <c r="T42" s="50">
        <v>-35.599998474121</v>
      </c>
      <c r="U42" s="50">
        <v>5.0</v>
      </c>
      <c r="V42" s="50">
        <v>1.0</v>
      </c>
      <c r="W42" s="50">
        <v>1.0</v>
      </c>
      <c r="X42" s="116"/>
      <c r="Y42" s="116"/>
      <c r="Z42" s="116"/>
      <c r="AA42" s="50">
        <v>2.0</v>
      </c>
      <c r="AB42" s="50">
        <v>4.0</v>
      </c>
      <c r="AC42" s="116"/>
      <c r="AD42" s="116"/>
      <c r="AE42" s="116"/>
      <c r="AF42" s="116"/>
      <c r="AG42" s="116"/>
      <c r="AH42" s="116"/>
      <c r="AI42" s="116"/>
      <c r="AJ42" s="116"/>
      <c r="AK42" s="116"/>
      <c r="AL42" s="116"/>
      <c r="AM42" s="116"/>
      <c r="AN42" s="116"/>
      <c r="AO42" s="116"/>
      <c r="AP42" s="116"/>
      <c r="AQ42" s="50" t="s">
        <v>3185</v>
      </c>
      <c r="AR42" s="50" t="s">
        <v>2472</v>
      </c>
      <c r="AS42" s="50">
        <v>1.0</v>
      </c>
      <c r="AT42" s="50" t="s">
        <v>5540</v>
      </c>
      <c r="AU42" s="117">
        <v>4587.0</v>
      </c>
      <c r="AV42" s="50" t="s">
        <v>6067</v>
      </c>
      <c r="AW42" s="50" t="s">
        <v>6068</v>
      </c>
      <c r="AX42" s="117">
        <v>228.0</v>
      </c>
    </row>
    <row r="43">
      <c r="A43" s="50" t="s">
        <v>6075</v>
      </c>
      <c r="B43" s="50" t="s">
        <v>6076</v>
      </c>
      <c r="C43" s="116"/>
      <c r="D43" s="116"/>
      <c r="E43" s="50">
        <v>3.5215509147374E14</v>
      </c>
      <c r="F43" s="50">
        <v>59.0</v>
      </c>
      <c r="G43" s="50">
        <v>11.0</v>
      </c>
      <c r="H43" s="50">
        <v>4.0</v>
      </c>
      <c r="I43" s="50">
        <v>1.0</v>
      </c>
      <c r="J43" s="112" t="s">
        <v>6077</v>
      </c>
      <c r="K43" s="116"/>
      <c r="L43" s="50" t="s">
        <v>1438</v>
      </c>
      <c r="M43" s="50" t="s">
        <v>1438</v>
      </c>
      <c r="N43" s="116"/>
      <c r="O43" s="116"/>
      <c r="P43" s="50" t="s">
        <v>6078</v>
      </c>
      <c r="Q43" s="50" t="s">
        <v>6079</v>
      </c>
      <c r="R43" s="50">
        <v>22.5409731</v>
      </c>
      <c r="S43" s="50">
        <v>88.3742327</v>
      </c>
      <c r="T43" s="50">
        <v>-49.9000015258789</v>
      </c>
      <c r="U43" s="50">
        <v>4.5</v>
      </c>
      <c r="V43" s="50">
        <v>1.0</v>
      </c>
      <c r="W43" s="50">
        <v>0.0</v>
      </c>
      <c r="X43" s="50">
        <v>0.0</v>
      </c>
      <c r="Y43" s="50">
        <v>1.0</v>
      </c>
      <c r="Z43" s="116"/>
      <c r="AA43" s="50">
        <v>2.0</v>
      </c>
      <c r="AB43" s="50">
        <v>4.0</v>
      </c>
      <c r="AC43" s="116"/>
      <c r="AD43" s="116"/>
      <c r="AE43" s="116"/>
      <c r="AF43" s="116"/>
      <c r="AG43" s="116"/>
      <c r="AH43" s="116"/>
      <c r="AI43" s="116"/>
      <c r="AJ43" s="116"/>
      <c r="AK43" s="116"/>
      <c r="AL43" s="116"/>
      <c r="AM43" s="116"/>
      <c r="AN43" s="116"/>
      <c r="AO43" s="116"/>
      <c r="AP43" s="116"/>
      <c r="AQ43" s="50" t="s">
        <v>3200</v>
      </c>
      <c r="AR43" s="50" t="s">
        <v>2278</v>
      </c>
      <c r="AS43" s="50">
        <v>1.0</v>
      </c>
      <c r="AT43" s="50" t="s">
        <v>5540</v>
      </c>
      <c r="AU43" s="117">
        <v>4589.0</v>
      </c>
      <c r="AV43" s="50" t="s">
        <v>6080</v>
      </c>
      <c r="AW43" s="50" t="s">
        <v>6081</v>
      </c>
      <c r="AX43" s="117">
        <v>230.0</v>
      </c>
    </row>
    <row r="44">
      <c r="A44" s="50" t="s">
        <v>6114</v>
      </c>
      <c r="B44" s="50" t="s">
        <v>6115</v>
      </c>
      <c r="C44" s="116"/>
      <c r="D44" s="116"/>
      <c r="E44" s="50">
        <v>3.52155090281144E14</v>
      </c>
      <c r="F44" s="50">
        <v>59.0</v>
      </c>
      <c r="G44" s="50">
        <v>11.0</v>
      </c>
      <c r="H44" s="50">
        <v>4.0</v>
      </c>
      <c r="I44" s="50">
        <v>1.0</v>
      </c>
      <c r="J44" s="112" t="s">
        <v>6077</v>
      </c>
      <c r="K44" s="116"/>
      <c r="L44" s="50" t="s">
        <v>1473</v>
      </c>
      <c r="M44" s="50" t="s">
        <v>1473</v>
      </c>
      <c r="N44" s="116"/>
      <c r="O44" s="116"/>
      <c r="P44" s="50" t="s">
        <v>6116</v>
      </c>
      <c r="Q44" s="50" t="s">
        <v>6117</v>
      </c>
      <c r="R44" s="50">
        <v>22.5407695</v>
      </c>
      <c r="S44" s="50">
        <v>88.3741625</v>
      </c>
      <c r="T44" s="50">
        <v>-55.2999992370605</v>
      </c>
      <c r="U44" s="50">
        <v>5.0</v>
      </c>
      <c r="V44" s="50">
        <v>3.0</v>
      </c>
      <c r="W44" s="50">
        <v>1.0</v>
      </c>
      <c r="X44" s="116"/>
      <c r="Y44" s="116"/>
      <c r="Z44" s="116"/>
      <c r="AA44" s="50">
        <v>1.0</v>
      </c>
      <c r="AB44" s="50">
        <v>4.0</v>
      </c>
      <c r="AC44" s="116"/>
      <c r="AD44" s="116"/>
      <c r="AE44" s="116"/>
      <c r="AF44" s="116"/>
      <c r="AG44" s="116"/>
      <c r="AH44" s="116"/>
      <c r="AI44" s="116"/>
      <c r="AJ44" s="116"/>
      <c r="AK44" s="116"/>
      <c r="AL44" s="116"/>
      <c r="AM44" s="116"/>
      <c r="AN44" s="116"/>
      <c r="AO44" s="116"/>
      <c r="AP44" s="116"/>
      <c r="AQ44" s="50" t="s">
        <v>2890</v>
      </c>
      <c r="AR44" s="50" t="s">
        <v>2899</v>
      </c>
      <c r="AS44" s="50">
        <v>0.0</v>
      </c>
      <c r="AT44" s="50" t="s">
        <v>5540</v>
      </c>
      <c r="AU44" s="117">
        <v>4668.0</v>
      </c>
      <c r="AV44" s="50" t="s">
        <v>6118</v>
      </c>
      <c r="AW44" s="50" t="s">
        <v>6119</v>
      </c>
      <c r="AX44" s="117">
        <v>236.0</v>
      </c>
    </row>
    <row r="45">
      <c r="A45" s="50" t="s">
        <v>6128</v>
      </c>
      <c r="B45" s="50" t="s">
        <v>6129</v>
      </c>
      <c r="C45" s="116"/>
      <c r="D45" s="116"/>
      <c r="E45" s="50">
        <v>3.52155090281144E14</v>
      </c>
      <c r="F45" s="50">
        <v>59.0</v>
      </c>
      <c r="G45" s="50">
        <v>11.0</v>
      </c>
      <c r="H45" s="50">
        <v>4.0</v>
      </c>
      <c r="I45" s="50">
        <v>1.0</v>
      </c>
      <c r="J45" s="112" t="s">
        <v>6064</v>
      </c>
      <c r="K45" s="116"/>
      <c r="L45" s="50" t="s">
        <v>1476</v>
      </c>
      <c r="M45" s="50" t="s">
        <v>1476</v>
      </c>
      <c r="N45" s="116"/>
      <c r="O45" s="116"/>
      <c r="P45" s="50" t="s">
        <v>6130</v>
      </c>
      <c r="Q45" s="50" t="s">
        <v>6131</v>
      </c>
      <c r="R45" s="50">
        <v>22.5429622</v>
      </c>
      <c r="S45" s="50">
        <v>88.3755219</v>
      </c>
      <c r="T45" s="50">
        <v>-70.8000030517578</v>
      </c>
      <c r="U45" s="50">
        <v>5.0</v>
      </c>
      <c r="V45" s="50">
        <v>3.0</v>
      </c>
      <c r="W45" s="50">
        <v>1.0</v>
      </c>
      <c r="X45" s="116"/>
      <c r="Y45" s="116"/>
      <c r="Z45" s="116"/>
      <c r="AA45" s="50">
        <v>2.0</v>
      </c>
      <c r="AB45" s="50">
        <v>4.0</v>
      </c>
      <c r="AC45" s="116"/>
      <c r="AD45" s="116"/>
      <c r="AE45" s="116"/>
      <c r="AF45" s="116"/>
      <c r="AG45" s="116"/>
      <c r="AH45" s="116"/>
      <c r="AI45" s="116"/>
      <c r="AJ45" s="116"/>
      <c r="AK45" s="116"/>
      <c r="AL45" s="116"/>
      <c r="AM45" s="116"/>
      <c r="AN45" s="116"/>
      <c r="AO45" s="116"/>
      <c r="AP45" s="116"/>
      <c r="AQ45" s="50" t="s">
        <v>2890</v>
      </c>
      <c r="AR45" s="50" t="s">
        <v>2899</v>
      </c>
      <c r="AS45" s="50">
        <v>1.0</v>
      </c>
      <c r="AT45" s="50" t="s">
        <v>5540</v>
      </c>
      <c r="AU45" s="117">
        <v>4670.0</v>
      </c>
      <c r="AV45" s="50" t="s">
        <v>6132</v>
      </c>
      <c r="AW45" s="50" t="s">
        <v>6133</v>
      </c>
      <c r="AX45" s="117">
        <v>238.0</v>
      </c>
    </row>
    <row r="46">
      <c r="A46" s="50" t="s">
        <v>6141</v>
      </c>
      <c r="B46" s="50" t="s">
        <v>6142</v>
      </c>
      <c r="C46" s="116"/>
      <c r="D46" s="116"/>
      <c r="E46" s="50">
        <v>3.52155090281144E14</v>
      </c>
      <c r="F46" s="50">
        <v>59.0</v>
      </c>
      <c r="G46" s="50">
        <v>11.0</v>
      </c>
      <c r="H46" s="50">
        <v>4.0</v>
      </c>
      <c r="I46" s="50">
        <v>1.0</v>
      </c>
      <c r="J46" s="112" t="s">
        <v>6051</v>
      </c>
      <c r="K46" s="116"/>
      <c r="L46" s="50" t="s">
        <v>1479</v>
      </c>
      <c r="M46" s="50" t="s">
        <v>1479</v>
      </c>
      <c r="N46" s="116"/>
      <c r="O46" s="116"/>
      <c r="P46" s="50" t="s">
        <v>6143</v>
      </c>
      <c r="Q46" s="50" t="s">
        <v>6144</v>
      </c>
      <c r="R46" s="50">
        <v>22.5439621</v>
      </c>
      <c r="S46" s="50">
        <v>88.3819472</v>
      </c>
      <c r="T46" s="50">
        <v>-98.1999969482421</v>
      </c>
      <c r="U46" s="50">
        <v>5.0</v>
      </c>
      <c r="V46" s="50">
        <v>3.0</v>
      </c>
      <c r="W46" s="50">
        <v>1.0</v>
      </c>
      <c r="X46" s="116"/>
      <c r="Y46" s="116"/>
      <c r="Z46" s="116"/>
      <c r="AA46" s="50">
        <v>2.0</v>
      </c>
      <c r="AB46" s="50">
        <v>4.0</v>
      </c>
      <c r="AC46" s="116"/>
      <c r="AD46" s="116"/>
      <c r="AE46" s="116"/>
      <c r="AF46" s="116"/>
      <c r="AG46" s="116"/>
      <c r="AH46" s="116"/>
      <c r="AI46" s="116"/>
      <c r="AJ46" s="116"/>
      <c r="AK46" s="116"/>
      <c r="AL46" s="116"/>
      <c r="AM46" s="116"/>
      <c r="AN46" s="116"/>
      <c r="AO46" s="116"/>
      <c r="AP46" s="116"/>
      <c r="AQ46" s="50" t="s">
        <v>2890</v>
      </c>
      <c r="AR46" s="50" t="s">
        <v>2899</v>
      </c>
      <c r="AS46" s="50">
        <v>1.0</v>
      </c>
      <c r="AT46" s="50" t="s">
        <v>5540</v>
      </c>
      <c r="AU46" s="117">
        <v>4672.0</v>
      </c>
      <c r="AV46" s="50" t="s">
        <v>6146</v>
      </c>
      <c r="AW46" s="50" t="s">
        <v>6147</v>
      </c>
      <c r="AX46" s="117">
        <v>240.0</v>
      </c>
    </row>
    <row r="47">
      <c r="A47" s="50" t="s">
        <v>6154</v>
      </c>
      <c r="B47" s="50" t="s">
        <v>6155</v>
      </c>
      <c r="C47" s="116"/>
      <c r="D47" s="116"/>
      <c r="E47" s="50">
        <v>3.52155090281144E14</v>
      </c>
      <c r="F47" s="50">
        <v>59.0</v>
      </c>
      <c r="G47" s="50">
        <v>11.0</v>
      </c>
      <c r="H47" s="50">
        <v>4.0</v>
      </c>
      <c r="I47" s="50">
        <v>1.0</v>
      </c>
      <c r="J47" s="112" t="s">
        <v>6037</v>
      </c>
      <c r="K47" s="116"/>
      <c r="L47" s="50" t="s">
        <v>1481</v>
      </c>
      <c r="M47" s="50" t="s">
        <v>1481</v>
      </c>
      <c r="N47" s="116"/>
      <c r="O47" s="116"/>
      <c r="P47" s="50" t="s">
        <v>6156</v>
      </c>
      <c r="Q47" s="50" t="s">
        <v>6157</v>
      </c>
      <c r="R47" s="50">
        <v>22.5451414</v>
      </c>
      <c r="S47" s="50">
        <v>88.3821307</v>
      </c>
      <c r="T47" s="50">
        <v>-44.2000007629394</v>
      </c>
      <c r="U47" s="50">
        <v>5.0</v>
      </c>
      <c r="V47" s="50">
        <v>3.0</v>
      </c>
      <c r="W47" s="50">
        <v>1.0</v>
      </c>
      <c r="X47" s="116"/>
      <c r="Y47" s="116"/>
      <c r="Z47" s="116"/>
      <c r="AA47" s="50">
        <v>1.0</v>
      </c>
      <c r="AB47" s="50">
        <v>4.0</v>
      </c>
      <c r="AC47" s="116"/>
      <c r="AD47" s="116"/>
      <c r="AE47" s="116"/>
      <c r="AF47" s="116"/>
      <c r="AG47" s="116"/>
      <c r="AH47" s="116"/>
      <c r="AI47" s="116"/>
      <c r="AJ47" s="116"/>
      <c r="AK47" s="116"/>
      <c r="AL47" s="116"/>
      <c r="AM47" s="116"/>
      <c r="AN47" s="116"/>
      <c r="AO47" s="116"/>
      <c r="AP47" s="116"/>
      <c r="AQ47" s="50" t="s">
        <v>2890</v>
      </c>
      <c r="AR47" s="50" t="s">
        <v>2899</v>
      </c>
      <c r="AS47" s="50">
        <v>1.0</v>
      </c>
      <c r="AT47" s="50" t="s">
        <v>5540</v>
      </c>
      <c r="AU47" s="117">
        <v>4674.0</v>
      </c>
      <c r="AV47" s="50" t="s">
        <v>6159</v>
      </c>
      <c r="AW47" s="50" t="s">
        <v>6160</v>
      </c>
      <c r="AX47" s="117">
        <v>242.0</v>
      </c>
    </row>
    <row r="48">
      <c r="A48" s="50" t="s">
        <v>6161</v>
      </c>
      <c r="B48" s="50" t="s">
        <v>6162</v>
      </c>
      <c r="C48" s="116"/>
      <c r="D48" s="116"/>
      <c r="E48" s="50">
        <v>3.52155090281144E14</v>
      </c>
      <c r="F48" s="50">
        <v>59.0</v>
      </c>
      <c r="G48" s="50">
        <v>11.0</v>
      </c>
      <c r="H48" s="50">
        <v>4.0</v>
      </c>
      <c r="I48" s="50">
        <v>1.0</v>
      </c>
      <c r="J48" s="112" t="s">
        <v>6022</v>
      </c>
      <c r="K48" s="116"/>
      <c r="L48" s="50" t="s">
        <v>1483</v>
      </c>
      <c r="M48" s="50" t="s">
        <v>1483</v>
      </c>
      <c r="N48" s="116"/>
      <c r="O48" s="116"/>
      <c r="P48" s="50" t="s">
        <v>6163</v>
      </c>
      <c r="Q48" s="50" t="s">
        <v>6164</v>
      </c>
      <c r="R48" s="50">
        <v>22.5452112</v>
      </c>
      <c r="S48" s="50">
        <v>88.3820726</v>
      </c>
      <c r="T48" s="50">
        <v>-65.6999969482421</v>
      </c>
      <c r="U48" s="50">
        <v>5.0</v>
      </c>
      <c r="V48" s="50">
        <v>3.0</v>
      </c>
      <c r="W48" s="50">
        <v>1.0</v>
      </c>
      <c r="X48" s="116"/>
      <c r="Y48" s="116"/>
      <c r="Z48" s="116"/>
      <c r="AA48" s="50">
        <v>2.0</v>
      </c>
      <c r="AB48" s="50">
        <v>4.0</v>
      </c>
      <c r="AC48" s="116"/>
      <c r="AD48" s="116"/>
      <c r="AE48" s="116"/>
      <c r="AF48" s="116"/>
      <c r="AG48" s="116"/>
      <c r="AH48" s="116"/>
      <c r="AI48" s="116"/>
      <c r="AJ48" s="116"/>
      <c r="AK48" s="116"/>
      <c r="AL48" s="116"/>
      <c r="AM48" s="116"/>
      <c r="AN48" s="116"/>
      <c r="AO48" s="116"/>
      <c r="AP48" s="116"/>
      <c r="AQ48" s="50" t="s">
        <v>6125</v>
      </c>
      <c r="AR48" s="50" t="s">
        <v>2899</v>
      </c>
      <c r="AS48" s="50">
        <v>0.0</v>
      </c>
      <c r="AT48" s="50" t="s">
        <v>5540</v>
      </c>
      <c r="AU48" s="117">
        <v>4675.0</v>
      </c>
      <c r="AV48" s="50" t="s">
        <v>6166</v>
      </c>
      <c r="AW48" s="50" t="s">
        <v>6167</v>
      </c>
      <c r="AX48" s="117">
        <v>243.0</v>
      </c>
    </row>
    <row r="49">
      <c r="A49" s="50" t="s">
        <v>6210</v>
      </c>
      <c r="B49" s="50" t="s">
        <v>6211</v>
      </c>
      <c r="C49" s="116"/>
      <c r="D49" s="116"/>
      <c r="E49" s="50">
        <v>3.52155090281144E14</v>
      </c>
      <c r="F49" s="50">
        <v>59.0</v>
      </c>
      <c r="G49" s="50">
        <v>11.0</v>
      </c>
      <c r="H49" s="50">
        <v>4.0</v>
      </c>
      <c r="I49" s="50">
        <v>1.0</v>
      </c>
      <c r="J49" s="112" t="s">
        <v>6022</v>
      </c>
      <c r="K49" s="116"/>
      <c r="L49" s="50" t="s">
        <v>6212</v>
      </c>
      <c r="M49" s="50" t="s">
        <v>6212</v>
      </c>
      <c r="N49" s="116"/>
      <c r="O49" s="116"/>
      <c r="P49" s="50" t="s">
        <v>6213</v>
      </c>
      <c r="Q49" s="50" t="s">
        <v>6214</v>
      </c>
      <c r="R49" s="50">
        <v>22.5452839</v>
      </c>
      <c r="S49" s="50">
        <v>88.3820567</v>
      </c>
      <c r="T49" s="50">
        <v>-44.099998474121</v>
      </c>
      <c r="U49" s="50">
        <v>5.0</v>
      </c>
      <c r="V49" s="50">
        <v>1.0</v>
      </c>
      <c r="W49" s="50">
        <v>0.0</v>
      </c>
      <c r="X49" s="50">
        <v>1.0</v>
      </c>
      <c r="Y49" s="116"/>
      <c r="Z49" s="116"/>
      <c r="AA49" s="50">
        <v>2.0</v>
      </c>
      <c r="AB49" s="50">
        <v>4.0</v>
      </c>
      <c r="AC49" s="116"/>
      <c r="AD49" s="116"/>
      <c r="AE49" s="116"/>
      <c r="AF49" s="116"/>
      <c r="AG49" s="116"/>
      <c r="AH49" s="116"/>
      <c r="AI49" s="116"/>
      <c r="AJ49" s="116"/>
      <c r="AK49" s="116"/>
      <c r="AL49" s="116"/>
      <c r="AM49" s="116"/>
      <c r="AN49" s="116"/>
      <c r="AO49" s="116"/>
      <c r="AP49" s="116"/>
      <c r="AQ49" s="50" t="s">
        <v>3388</v>
      </c>
      <c r="AR49" s="50" t="s">
        <v>2899</v>
      </c>
      <c r="AS49" s="50">
        <v>1.0</v>
      </c>
      <c r="AT49" s="50" t="s">
        <v>5540</v>
      </c>
      <c r="AU49" s="117">
        <v>4725.0</v>
      </c>
      <c r="AV49" s="50" t="s">
        <v>6216</v>
      </c>
      <c r="AW49" s="50" t="s">
        <v>6217</v>
      </c>
      <c r="AX49" s="117">
        <v>250.0</v>
      </c>
    </row>
    <row r="50">
      <c r="A50" s="50" t="s">
        <v>6218</v>
      </c>
      <c r="B50" s="50" t="s">
        <v>6219</v>
      </c>
      <c r="C50" s="116"/>
      <c r="D50" s="116"/>
      <c r="E50" s="50">
        <v>3.52155090281144E14</v>
      </c>
      <c r="F50" s="50">
        <v>59.0</v>
      </c>
      <c r="G50" s="50">
        <v>11.0</v>
      </c>
      <c r="H50" s="50">
        <v>4.0</v>
      </c>
      <c r="I50" s="50">
        <v>1.0</v>
      </c>
      <c r="J50" s="112" t="s">
        <v>6037</v>
      </c>
      <c r="K50" s="116"/>
      <c r="L50" s="50" t="s">
        <v>6220</v>
      </c>
      <c r="M50" s="50" t="s">
        <v>6220</v>
      </c>
      <c r="N50" s="116"/>
      <c r="O50" s="116"/>
      <c r="P50" s="50" t="s">
        <v>6221</v>
      </c>
      <c r="Q50" s="50" t="s">
        <v>6222</v>
      </c>
      <c r="R50" s="50">
        <v>22.5453104</v>
      </c>
      <c r="S50" s="50">
        <v>88.3820615</v>
      </c>
      <c r="T50" s="50">
        <v>-46.5</v>
      </c>
      <c r="U50" s="50">
        <v>5.0</v>
      </c>
      <c r="V50" s="50">
        <v>1.0</v>
      </c>
      <c r="W50" s="50">
        <v>0.0</v>
      </c>
      <c r="X50" s="50">
        <v>1.0</v>
      </c>
      <c r="Y50" s="116"/>
      <c r="Z50" s="116"/>
      <c r="AA50" s="50">
        <v>1.0</v>
      </c>
      <c r="AB50" s="50">
        <v>4.0</v>
      </c>
      <c r="AC50" s="116"/>
      <c r="AD50" s="116"/>
      <c r="AE50" s="116"/>
      <c r="AF50" s="116"/>
      <c r="AG50" s="116"/>
      <c r="AH50" s="116"/>
      <c r="AI50" s="116"/>
      <c r="AJ50" s="116"/>
      <c r="AK50" s="116"/>
      <c r="AL50" s="116"/>
      <c r="AM50" s="116"/>
      <c r="AN50" s="116"/>
      <c r="AO50" s="116"/>
      <c r="AP50" s="116"/>
      <c r="AQ50" s="50" t="s">
        <v>3388</v>
      </c>
      <c r="AR50" s="50" t="s">
        <v>2899</v>
      </c>
      <c r="AS50" s="50">
        <v>1.0</v>
      </c>
      <c r="AT50" s="50" t="s">
        <v>5540</v>
      </c>
      <c r="AU50" s="117">
        <v>4726.0</v>
      </c>
      <c r="AV50" s="50" t="s">
        <v>6223</v>
      </c>
      <c r="AW50" s="50" t="s">
        <v>6224</v>
      </c>
      <c r="AX50" s="117">
        <v>251.0</v>
      </c>
    </row>
    <row r="51">
      <c r="A51" s="50" t="s">
        <v>6238</v>
      </c>
      <c r="B51" s="50" t="s">
        <v>6239</v>
      </c>
      <c r="C51" s="116"/>
      <c r="D51" s="116"/>
      <c r="E51" s="50">
        <v>3.52155090281144E14</v>
      </c>
      <c r="F51" s="50">
        <v>59.0</v>
      </c>
      <c r="G51" s="50">
        <v>11.0</v>
      </c>
      <c r="H51" s="50">
        <v>4.0</v>
      </c>
      <c r="I51" s="50">
        <v>1.0</v>
      </c>
      <c r="J51" s="112" t="s">
        <v>6051</v>
      </c>
      <c r="K51" s="116"/>
      <c r="L51" s="50" t="s">
        <v>6240</v>
      </c>
      <c r="M51" s="50" t="s">
        <v>6240</v>
      </c>
      <c r="N51" s="116"/>
      <c r="O51" s="116"/>
      <c r="P51" s="50" t="s">
        <v>6241</v>
      </c>
      <c r="Q51" s="50" t="s">
        <v>6242</v>
      </c>
      <c r="R51" s="50">
        <v>22.544077</v>
      </c>
      <c r="S51" s="50">
        <v>88.3819531</v>
      </c>
      <c r="T51" s="50">
        <v>-37.9000015258789</v>
      </c>
      <c r="U51" s="50">
        <v>5.0</v>
      </c>
      <c r="V51" s="50">
        <v>1.0</v>
      </c>
      <c r="W51" s="50">
        <v>0.0</v>
      </c>
      <c r="X51" s="50">
        <v>1.0</v>
      </c>
      <c r="Y51" s="116"/>
      <c r="Z51" s="116"/>
      <c r="AA51" s="50">
        <v>2.0</v>
      </c>
      <c r="AB51" s="50">
        <v>4.0</v>
      </c>
      <c r="AC51" s="116"/>
      <c r="AD51" s="116"/>
      <c r="AE51" s="116"/>
      <c r="AF51" s="116"/>
      <c r="AG51" s="116"/>
      <c r="AH51" s="116"/>
      <c r="AI51" s="116"/>
      <c r="AJ51" s="116"/>
      <c r="AK51" s="116"/>
      <c r="AL51" s="116"/>
      <c r="AM51" s="116"/>
      <c r="AN51" s="116"/>
      <c r="AO51" s="116"/>
      <c r="AP51" s="116"/>
      <c r="AQ51" s="50" t="s">
        <v>3258</v>
      </c>
      <c r="AR51" s="50" t="s">
        <v>2899</v>
      </c>
      <c r="AS51" s="50">
        <v>1.0</v>
      </c>
      <c r="AT51" s="50" t="s">
        <v>5540</v>
      </c>
      <c r="AU51" s="117">
        <v>4729.0</v>
      </c>
      <c r="AV51" s="50" t="s">
        <v>6244</v>
      </c>
      <c r="AW51" s="50" t="s">
        <v>6245</v>
      </c>
      <c r="AX51" s="117">
        <v>254.0</v>
      </c>
    </row>
    <row r="52">
      <c r="A52" s="50" t="s">
        <v>6253</v>
      </c>
      <c r="B52" s="50" t="s">
        <v>6254</v>
      </c>
      <c r="C52" s="116"/>
      <c r="D52" s="116"/>
      <c r="E52" s="50">
        <v>3.52155090281144E14</v>
      </c>
      <c r="F52" s="50">
        <v>59.0</v>
      </c>
      <c r="G52" s="50">
        <v>11.0</v>
      </c>
      <c r="H52" s="50">
        <v>4.0</v>
      </c>
      <c r="I52" s="50">
        <v>1.0</v>
      </c>
      <c r="J52" s="112" t="s">
        <v>6064</v>
      </c>
      <c r="K52" s="116"/>
      <c r="L52" s="50" t="s">
        <v>6255</v>
      </c>
      <c r="M52" s="50" t="s">
        <v>6255</v>
      </c>
      <c r="N52" s="116"/>
      <c r="O52" s="116"/>
      <c r="P52" s="50" t="s">
        <v>6256</v>
      </c>
      <c r="Q52" s="50" t="s">
        <v>6257</v>
      </c>
      <c r="R52" s="50">
        <v>22.5431576</v>
      </c>
      <c r="S52" s="50">
        <v>88.375508</v>
      </c>
      <c r="T52" s="50">
        <v>-49.0</v>
      </c>
      <c r="U52" s="50">
        <v>5.0</v>
      </c>
      <c r="V52" s="50">
        <v>1.0</v>
      </c>
      <c r="W52" s="50">
        <v>0.0</v>
      </c>
      <c r="X52" s="50">
        <v>1.0</v>
      </c>
      <c r="Y52" s="116"/>
      <c r="Z52" s="116"/>
      <c r="AA52" s="50">
        <v>2.0</v>
      </c>
      <c r="AB52" s="50">
        <v>4.0</v>
      </c>
      <c r="AC52" s="116"/>
      <c r="AD52" s="116"/>
      <c r="AE52" s="116"/>
      <c r="AF52" s="116"/>
      <c r="AG52" s="116"/>
      <c r="AH52" s="116"/>
      <c r="AI52" s="116"/>
      <c r="AJ52" s="116"/>
      <c r="AK52" s="116"/>
      <c r="AL52" s="116"/>
      <c r="AM52" s="116"/>
      <c r="AN52" s="116"/>
      <c r="AO52" s="116"/>
      <c r="AP52" s="116"/>
      <c r="AQ52" s="50" t="s">
        <v>3388</v>
      </c>
      <c r="AR52" s="50" t="s">
        <v>2899</v>
      </c>
      <c r="AS52" s="50">
        <v>0.0</v>
      </c>
      <c r="AT52" s="50" t="s">
        <v>5540</v>
      </c>
      <c r="AU52" s="117">
        <v>4731.0</v>
      </c>
      <c r="AV52" s="50" t="s">
        <v>6258</v>
      </c>
      <c r="AW52" s="50" t="s">
        <v>6259</v>
      </c>
      <c r="AX52" s="117">
        <v>256.0</v>
      </c>
    </row>
    <row r="53">
      <c r="A53" s="50" t="s">
        <v>6268</v>
      </c>
      <c r="B53" s="50" t="s">
        <v>6269</v>
      </c>
      <c r="C53" s="116"/>
      <c r="D53" s="116"/>
      <c r="E53" s="50">
        <v>3.52155090281144E14</v>
      </c>
      <c r="F53" s="50">
        <v>59.0</v>
      </c>
      <c r="G53" s="50">
        <v>11.0</v>
      </c>
      <c r="H53" s="50">
        <v>4.0</v>
      </c>
      <c r="I53" s="50">
        <v>1.0</v>
      </c>
      <c r="J53" s="112" t="s">
        <v>6077</v>
      </c>
      <c r="K53" s="116"/>
      <c r="L53" s="50" t="s">
        <v>6270</v>
      </c>
      <c r="M53" s="50" t="s">
        <v>6270</v>
      </c>
      <c r="N53" s="116"/>
      <c r="O53" s="116"/>
      <c r="P53" s="50" t="s">
        <v>6271</v>
      </c>
      <c r="Q53" s="50" t="s">
        <v>6272</v>
      </c>
      <c r="R53" s="50">
        <v>22.5409663</v>
      </c>
      <c r="S53" s="50">
        <v>88.3742275</v>
      </c>
      <c r="T53" s="50">
        <v>-56.0</v>
      </c>
      <c r="U53" s="50">
        <v>5.0</v>
      </c>
      <c r="V53" s="50">
        <v>1.0</v>
      </c>
      <c r="W53" s="50">
        <v>0.0</v>
      </c>
      <c r="X53" s="50">
        <v>1.0</v>
      </c>
      <c r="Y53" s="116"/>
      <c r="Z53" s="116"/>
      <c r="AA53" s="50">
        <v>2.0</v>
      </c>
      <c r="AB53" s="50">
        <v>4.0</v>
      </c>
      <c r="AC53" s="116"/>
      <c r="AD53" s="116"/>
      <c r="AE53" s="116"/>
      <c r="AF53" s="116"/>
      <c r="AG53" s="116"/>
      <c r="AH53" s="116"/>
      <c r="AI53" s="116"/>
      <c r="AJ53" s="116"/>
      <c r="AK53" s="116"/>
      <c r="AL53" s="116"/>
      <c r="AM53" s="116"/>
      <c r="AN53" s="116"/>
      <c r="AO53" s="116"/>
      <c r="AP53" s="116"/>
      <c r="AQ53" s="50" t="s">
        <v>3149</v>
      </c>
      <c r="AR53" s="50" t="s">
        <v>2327</v>
      </c>
      <c r="AS53" s="50">
        <v>0.0</v>
      </c>
      <c r="AT53" s="50" t="s">
        <v>5540</v>
      </c>
      <c r="AU53" s="117">
        <v>4733.0</v>
      </c>
      <c r="AV53" s="50" t="s">
        <v>6274</v>
      </c>
      <c r="AW53" s="50" t="s">
        <v>6275</v>
      </c>
      <c r="AX53" s="117">
        <v>258.0</v>
      </c>
    </row>
    <row r="54">
      <c r="A54" s="50" t="s">
        <v>6308</v>
      </c>
      <c r="B54" s="50" t="s">
        <v>6309</v>
      </c>
      <c r="C54" s="116"/>
      <c r="D54" s="116"/>
      <c r="E54" s="50">
        <v>3.52155090281144E14</v>
      </c>
      <c r="F54" s="50">
        <v>59.0</v>
      </c>
      <c r="G54" s="50">
        <v>11.0</v>
      </c>
      <c r="H54" s="50">
        <v>4.0</v>
      </c>
      <c r="I54" s="50">
        <v>1.0</v>
      </c>
      <c r="J54" s="112" t="s">
        <v>6077</v>
      </c>
      <c r="K54" s="116"/>
      <c r="L54" s="50" t="s">
        <v>1508</v>
      </c>
      <c r="M54" s="50" t="s">
        <v>1508</v>
      </c>
      <c r="N54" s="116"/>
      <c r="O54" s="116"/>
      <c r="P54" s="50" t="s">
        <v>6310</v>
      </c>
      <c r="Q54" s="50" t="s">
        <v>6311</v>
      </c>
      <c r="R54" s="50">
        <v>22.5410518</v>
      </c>
      <c r="S54" s="50">
        <v>88.3741855</v>
      </c>
      <c r="T54" s="50">
        <v>-45.599998474121</v>
      </c>
      <c r="U54" s="50">
        <v>5.0</v>
      </c>
      <c r="V54" s="50">
        <v>1.0</v>
      </c>
      <c r="W54" s="50">
        <v>0.0</v>
      </c>
      <c r="X54" s="50">
        <v>1.0</v>
      </c>
      <c r="Y54" s="116"/>
      <c r="Z54" s="116"/>
      <c r="AA54" s="50">
        <v>1.0</v>
      </c>
      <c r="AB54" s="50">
        <v>4.0</v>
      </c>
      <c r="AC54" s="116"/>
      <c r="AD54" s="116"/>
      <c r="AE54" s="116"/>
      <c r="AF54" s="116"/>
      <c r="AG54" s="116"/>
      <c r="AH54" s="116"/>
      <c r="AI54" s="116"/>
      <c r="AJ54" s="116"/>
      <c r="AK54" s="116"/>
      <c r="AL54" s="116"/>
      <c r="AM54" s="116"/>
      <c r="AN54" s="116"/>
      <c r="AO54" s="116"/>
      <c r="AP54" s="116"/>
      <c r="AQ54" s="50" t="s">
        <v>3185</v>
      </c>
      <c r="AR54" s="50" t="s">
        <v>2327</v>
      </c>
      <c r="AS54" s="50">
        <v>1.0</v>
      </c>
      <c r="AT54" s="50" t="s">
        <v>5540</v>
      </c>
      <c r="AU54" s="117">
        <v>4787.0</v>
      </c>
      <c r="AV54" s="50" t="s">
        <v>6312</v>
      </c>
      <c r="AW54" s="50" t="s">
        <v>6313</v>
      </c>
      <c r="AX54" s="117">
        <v>264.0</v>
      </c>
    </row>
    <row r="55">
      <c r="A55" s="50" t="s">
        <v>6321</v>
      </c>
      <c r="B55" s="50" t="s">
        <v>6322</v>
      </c>
      <c r="C55" s="116"/>
      <c r="D55" s="116"/>
      <c r="E55" s="50">
        <v>3.52155090281144E14</v>
      </c>
      <c r="F55" s="50">
        <v>59.0</v>
      </c>
      <c r="G55" s="50">
        <v>11.0</v>
      </c>
      <c r="H55" s="50">
        <v>4.0</v>
      </c>
      <c r="I55" s="50">
        <v>1.0</v>
      </c>
      <c r="J55" s="112" t="s">
        <v>6064</v>
      </c>
      <c r="K55" s="116"/>
      <c r="L55" s="50" t="s">
        <v>1511</v>
      </c>
      <c r="M55" s="50" t="s">
        <v>1511</v>
      </c>
      <c r="N55" s="116"/>
      <c r="O55" s="116"/>
      <c r="P55" s="50" t="s">
        <v>6323</v>
      </c>
      <c r="Q55" s="50" t="s">
        <v>6324</v>
      </c>
      <c r="R55" s="50">
        <v>22.5430807</v>
      </c>
      <c r="S55" s="50">
        <v>88.3755293</v>
      </c>
      <c r="T55" s="50">
        <v>-53.5</v>
      </c>
      <c r="U55" s="50">
        <v>5.0</v>
      </c>
      <c r="V55" s="50">
        <v>1.0</v>
      </c>
      <c r="W55" s="50">
        <v>0.0</v>
      </c>
      <c r="X55" s="50">
        <v>1.0</v>
      </c>
      <c r="Y55" s="116"/>
      <c r="Z55" s="116"/>
      <c r="AA55" s="50">
        <v>2.0</v>
      </c>
      <c r="AB55" s="50">
        <v>4.0</v>
      </c>
      <c r="AC55" s="116"/>
      <c r="AD55" s="116"/>
      <c r="AE55" s="116"/>
      <c r="AF55" s="116"/>
      <c r="AG55" s="116"/>
      <c r="AH55" s="116"/>
      <c r="AI55" s="116"/>
      <c r="AJ55" s="116"/>
      <c r="AK55" s="116"/>
      <c r="AL55" s="116"/>
      <c r="AM55" s="116"/>
      <c r="AN55" s="116"/>
      <c r="AO55" s="116"/>
      <c r="AP55" s="116"/>
      <c r="AQ55" s="50" t="s">
        <v>2949</v>
      </c>
      <c r="AR55" s="50" t="s">
        <v>2278</v>
      </c>
      <c r="AS55" s="50">
        <v>1.0</v>
      </c>
      <c r="AT55" s="50" t="s">
        <v>5540</v>
      </c>
      <c r="AU55" s="117">
        <v>4789.0</v>
      </c>
      <c r="AV55" s="50" t="s">
        <v>6325</v>
      </c>
      <c r="AW55" s="50" t="s">
        <v>6326</v>
      </c>
      <c r="AX55" s="117">
        <v>266.0</v>
      </c>
    </row>
    <row r="56">
      <c r="A56" s="50" t="s">
        <v>6334</v>
      </c>
      <c r="B56" s="50" t="s">
        <v>6335</v>
      </c>
      <c r="C56" s="116"/>
      <c r="D56" s="116"/>
      <c r="E56" s="50">
        <v>3.52155090281144E14</v>
      </c>
      <c r="F56" s="50">
        <v>59.0</v>
      </c>
      <c r="G56" s="50">
        <v>11.0</v>
      </c>
      <c r="H56" s="50">
        <v>4.0</v>
      </c>
      <c r="I56" s="50">
        <v>1.0</v>
      </c>
      <c r="J56" s="112" t="s">
        <v>6051</v>
      </c>
      <c r="K56" s="116"/>
      <c r="L56" s="50" t="s">
        <v>1514</v>
      </c>
      <c r="M56" s="50" t="s">
        <v>1514</v>
      </c>
      <c r="N56" s="116"/>
      <c r="O56" s="116"/>
      <c r="P56" s="50" t="s">
        <v>6336</v>
      </c>
      <c r="Q56" s="50" t="s">
        <v>6337</v>
      </c>
      <c r="R56" s="50">
        <v>22.5440545</v>
      </c>
      <c r="S56" s="50">
        <v>88.3819205</v>
      </c>
      <c r="T56" s="50">
        <v>-52.2000007629394</v>
      </c>
      <c r="U56" s="50">
        <v>4.5</v>
      </c>
      <c r="V56" s="50">
        <v>1.0</v>
      </c>
      <c r="W56" s="50">
        <v>0.0</v>
      </c>
      <c r="X56" s="50">
        <v>1.0</v>
      </c>
      <c r="Y56" s="116"/>
      <c r="Z56" s="116"/>
      <c r="AA56" s="50">
        <v>2.0</v>
      </c>
      <c r="AB56" s="50">
        <v>4.0</v>
      </c>
      <c r="AC56" s="116"/>
      <c r="AD56" s="116"/>
      <c r="AE56" s="116"/>
      <c r="AF56" s="116"/>
      <c r="AG56" s="116"/>
      <c r="AH56" s="116"/>
      <c r="AI56" s="116"/>
      <c r="AJ56" s="116"/>
      <c r="AK56" s="116"/>
      <c r="AL56" s="116"/>
      <c r="AM56" s="116"/>
      <c r="AN56" s="116"/>
      <c r="AO56" s="116"/>
      <c r="AP56" s="116"/>
      <c r="AQ56" s="50" t="s">
        <v>3149</v>
      </c>
      <c r="AR56" s="50" t="s">
        <v>2472</v>
      </c>
      <c r="AS56" s="50">
        <v>1.0</v>
      </c>
      <c r="AT56" s="50" t="s">
        <v>5540</v>
      </c>
      <c r="AU56" s="117">
        <v>4791.0</v>
      </c>
      <c r="AV56" s="50" t="s">
        <v>6338</v>
      </c>
      <c r="AW56" s="50" t="s">
        <v>6339</v>
      </c>
      <c r="AX56" s="117">
        <v>268.0</v>
      </c>
    </row>
    <row r="57">
      <c r="A57" s="50" t="s">
        <v>6347</v>
      </c>
      <c r="B57" s="50" t="s">
        <v>6348</v>
      </c>
      <c r="C57" s="116"/>
      <c r="D57" s="116"/>
      <c r="E57" s="50">
        <v>3.52155090281144E14</v>
      </c>
      <c r="F57" s="50">
        <v>59.0</v>
      </c>
      <c r="G57" s="50">
        <v>11.0</v>
      </c>
      <c r="H57" s="50">
        <v>4.0</v>
      </c>
      <c r="I57" s="50">
        <v>1.0</v>
      </c>
      <c r="J57" s="112" t="s">
        <v>6037</v>
      </c>
      <c r="K57" s="116"/>
      <c r="L57" s="50" t="s">
        <v>1517</v>
      </c>
      <c r="M57" s="50" t="s">
        <v>1517</v>
      </c>
      <c r="N57" s="116"/>
      <c r="O57" s="116"/>
      <c r="P57" s="50" t="s">
        <v>6349</v>
      </c>
      <c r="Q57" s="50" t="s">
        <v>6350</v>
      </c>
      <c r="R57" s="50">
        <v>22.5453157</v>
      </c>
      <c r="S57" s="50">
        <v>88.3820958</v>
      </c>
      <c r="T57" s="50">
        <v>-55.9000015258789</v>
      </c>
      <c r="U57" s="50">
        <v>5.0</v>
      </c>
      <c r="V57" s="50">
        <v>1.0</v>
      </c>
      <c r="W57" s="50">
        <v>0.0</v>
      </c>
      <c r="X57" s="50">
        <v>1.0</v>
      </c>
      <c r="Y57" s="116"/>
      <c r="Z57" s="116"/>
      <c r="AA57" s="50">
        <v>1.0</v>
      </c>
      <c r="AB57" s="50">
        <v>4.0</v>
      </c>
      <c r="AC57" s="116"/>
      <c r="AD57" s="116"/>
      <c r="AE57" s="116"/>
      <c r="AF57" s="116"/>
      <c r="AG57" s="116"/>
      <c r="AH57" s="116"/>
      <c r="AI57" s="116"/>
      <c r="AJ57" s="116"/>
      <c r="AK57" s="116"/>
      <c r="AL57" s="116"/>
      <c r="AM57" s="116"/>
      <c r="AN57" s="116"/>
      <c r="AO57" s="116"/>
      <c r="AP57" s="116"/>
      <c r="AQ57" s="50" t="s">
        <v>3149</v>
      </c>
      <c r="AR57" s="50" t="s">
        <v>2278</v>
      </c>
      <c r="AS57" s="50">
        <v>1.0</v>
      </c>
      <c r="AT57" s="50" t="s">
        <v>5540</v>
      </c>
      <c r="AU57" s="117">
        <v>4793.0</v>
      </c>
      <c r="AV57" s="50" t="s">
        <v>6351</v>
      </c>
      <c r="AW57" s="50" t="s">
        <v>6352</v>
      </c>
      <c r="AX57" s="117">
        <v>270.0</v>
      </c>
    </row>
    <row r="58">
      <c r="A58" s="50" t="s">
        <v>6360</v>
      </c>
      <c r="B58" s="50" t="s">
        <v>6361</v>
      </c>
      <c r="C58" s="116"/>
      <c r="D58" s="116"/>
      <c r="E58" s="50">
        <v>3.52155090281144E14</v>
      </c>
      <c r="F58" s="50">
        <v>59.0</v>
      </c>
      <c r="G58" s="50">
        <v>11.0</v>
      </c>
      <c r="H58" s="50">
        <v>4.0</v>
      </c>
      <c r="I58" s="50">
        <v>1.0</v>
      </c>
      <c r="J58" s="112" t="s">
        <v>6022</v>
      </c>
      <c r="K58" s="116"/>
      <c r="L58" s="50" t="s">
        <v>1520</v>
      </c>
      <c r="M58" s="50" t="s">
        <v>1520</v>
      </c>
      <c r="N58" s="116"/>
      <c r="O58" s="116"/>
      <c r="P58" s="50" t="s">
        <v>6362</v>
      </c>
      <c r="Q58" s="50" t="s">
        <v>6363</v>
      </c>
      <c r="R58" s="50">
        <v>22.5453167</v>
      </c>
      <c r="S58" s="50">
        <v>88.3821566</v>
      </c>
      <c r="T58" s="50">
        <v>-44.099998474121</v>
      </c>
      <c r="U58" s="50">
        <v>5.0</v>
      </c>
      <c r="V58" s="50">
        <v>1.0</v>
      </c>
      <c r="W58" s="50">
        <v>0.0</v>
      </c>
      <c r="X58" s="50">
        <v>1.0</v>
      </c>
      <c r="Y58" s="116"/>
      <c r="Z58" s="116"/>
      <c r="AA58" s="50">
        <v>2.0</v>
      </c>
      <c r="AB58" s="50">
        <v>4.0</v>
      </c>
      <c r="AC58" s="116"/>
      <c r="AD58" s="116"/>
      <c r="AE58" s="116"/>
      <c r="AF58" s="116"/>
      <c r="AG58" s="116"/>
      <c r="AH58" s="116"/>
      <c r="AI58" s="116"/>
      <c r="AJ58" s="116"/>
      <c r="AK58" s="116"/>
      <c r="AL58" s="116"/>
      <c r="AM58" s="116"/>
      <c r="AN58" s="116"/>
      <c r="AO58" s="116"/>
      <c r="AP58" s="116"/>
      <c r="AQ58" s="50" t="s">
        <v>3185</v>
      </c>
      <c r="AR58" s="50" t="s">
        <v>2286</v>
      </c>
      <c r="AS58" s="50">
        <v>1.0</v>
      </c>
      <c r="AT58" s="50" t="s">
        <v>5540</v>
      </c>
      <c r="AU58" s="117">
        <v>4795.0</v>
      </c>
      <c r="AV58" s="50" t="s">
        <v>6365</v>
      </c>
      <c r="AW58" s="50" t="s">
        <v>6366</v>
      </c>
      <c r="AX58" s="117">
        <v>272.0</v>
      </c>
    </row>
    <row r="59">
      <c r="A59" s="50" t="s">
        <v>6402</v>
      </c>
      <c r="B59" s="50" t="s">
        <v>6403</v>
      </c>
      <c r="C59" s="116"/>
      <c r="D59" s="116"/>
      <c r="E59" s="50">
        <v>3.52155090281144E14</v>
      </c>
      <c r="F59" s="50">
        <v>59.0</v>
      </c>
      <c r="G59" s="50">
        <v>11.0</v>
      </c>
      <c r="H59" s="50">
        <v>4.0</v>
      </c>
      <c r="I59" s="50">
        <v>1.0</v>
      </c>
      <c r="J59" s="112" t="s">
        <v>6404</v>
      </c>
      <c r="K59" s="116"/>
      <c r="L59" s="50" t="s">
        <v>1525</v>
      </c>
      <c r="M59" s="50" t="s">
        <v>1525</v>
      </c>
      <c r="N59" s="116"/>
      <c r="O59" s="116"/>
      <c r="P59" s="50" t="s">
        <v>6405</v>
      </c>
      <c r="Q59" s="50" t="s">
        <v>6406</v>
      </c>
      <c r="R59" s="50">
        <v>22.5430944</v>
      </c>
      <c r="S59" s="50">
        <v>88.3820063</v>
      </c>
      <c r="T59" s="50">
        <v>-63.4000015258789</v>
      </c>
      <c r="U59" s="50">
        <v>5.0</v>
      </c>
      <c r="V59" s="50">
        <v>1.0</v>
      </c>
      <c r="W59" s="50">
        <v>0.0</v>
      </c>
      <c r="X59" s="50">
        <v>0.0</v>
      </c>
      <c r="Y59" s="50">
        <v>1.0</v>
      </c>
      <c r="Z59" s="116"/>
      <c r="AA59" s="50">
        <v>1.0</v>
      </c>
      <c r="AB59" s="50">
        <v>4.0</v>
      </c>
      <c r="AC59" s="116"/>
      <c r="AD59" s="116"/>
      <c r="AE59" s="116"/>
      <c r="AF59" s="116"/>
      <c r="AG59" s="116"/>
      <c r="AH59" s="116"/>
      <c r="AI59" s="116"/>
      <c r="AJ59" s="116"/>
      <c r="AK59" s="116"/>
      <c r="AL59" s="116"/>
      <c r="AM59" s="116"/>
      <c r="AN59" s="116"/>
      <c r="AO59" s="116"/>
      <c r="AP59" s="116"/>
      <c r="AQ59" s="50" t="s">
        <v>3149</v>
      </c>
      <c r="AR59" s="50" t="s">
        <v>2302</v>
      </c>
      <c r="AS59" s="50">
        <v>1.0</v>
      </c>
      <c r="AT59" s="50" t="s">
        <v>5540</v>
      </c>
      <c r="AU59" s="117">
        <v>4828.0</v>
      </c>
      <c r="AV59" s="50" t="s">
        <v>6407</v>
      </c>
      <c r="AW59" s="50" t="s">
        <v>6408</v>
      </c>
      <c r="AX59" s="117">
        <v>278.0</v>
      </c>
    </row>
    <row r="60">
      <c r="A60" s="50" t="s">
        <v>6417</v>
      </c>
      <c r="B60" s="50" t="s">
        <v>6418</v>
      </c>
      <c r="C60" s="116"/>
      <c r="D60" s="116"/>
      <c r="E60" s="50">
        <v>3.52155090281144E14</v>
      </c>
      <c r="F60" s="50">
        <v>59.0</v>
      </c>
      <c r="G60" s="50">
        <v>11.0</v>
      </c>
      <c r="H60" s="50">
        <v>4.0</v>
      </c>
      <c r="I60" s="50">
        <v>1.0</v>
      </c>
      <c r="J60" s="112" t="s">
        <v>6419</v>
      </c>
      <c r="K60" s="116"/>
      <c r="L60" s="50" t="s">
        <v>1528</v>
      </c>
      <c r="M60" s="50" t="s">
        <v>1528</v>
      </c>
      <c r="N60" s="116"/>
      <c r="O60" s="116"/>
      <c r="P60" s="50" t="s">
        <v>6420</v>
      </c>
      <c r="Q60" s="50" t="s">
        <v>6421</v>
      </c>
      <c r="R60" s="50">
        <v>22.541079</v>
      </c>
      <c r="S60" s="50">
        <v>88.3758851</v>
      </c>
      <c r="T60" s="50">
        <v>-58.0</v>
      </c>
      <c r="U60" s="50">
        <v>5.0</v>
      </c>
      <c r="V60" s="50">
        <v>1.0</v>
      </c>
      <c r="W60" s="50">
        <v>0.0</v>
      </c>
      <c r="X60" s="50">
        <v>0.0</v>
      </c>
      <c r="Y60" s="50">
        <v>1.0</v>
      </c>
      <c r="Z60" s="116"/>
      <c r="AA60" s="50">
        <v>1.0</v>
      </c>
      <c r="AB60" s="50">
        <v>4.0</v>
      </c>
      <c r="AC60" s="116"/>
      <c r="AD60" s="116"/>
      <c r="AE60" s="116"/>
      <c r="AF60" s="116"/>
      <c r="AG60" s="116"/>
      <c r="AH60" s="116"/>
      <c r="AI60" s="116"/>
      <c r="AJ60" s="116"/>
      <c r="AK60" s="116"/>
      <c r="AL60" s="116"/>
      <c r="AM60" s="116"/>
      <c r="AN60" s="116"/>
      <c r="AO60" s="116"/>
      <c r="AP60" s="116"/>
      <c r="AQ60" s="50" t="s">
        <v>3185</v>
      </c>
      <c r="AR60" s="50" t="s">
        <v>2472</v>
      </c>
      <c r="AS60" s="50">
        <v>1.0</v>
      </c>
      <c r="AT60" s="50" t="s">
        <v>5540</v>
      </c>
      <c r="AU60" s="117">
        <v>4830.0</v>
      </c>
      <c r="AV60" s="50" t="s">
        <v>6423</v>
      </c>
      <c r="AW60" s="50" t="s">
        <v>6424</v>
      </c>
      <c r="AX60" s="117">
        <v>280.0</v>
      </c>
    </row>
    <row r="61">
      <c r="A61" s="50" t="s">
        <v>6432</v>
      </c>
      <c r="B61" s="50" t="s">
        <v>6433</v>
      </c>
      <c r="C61" s="116"/>
      <c r="D61" s="116"/>
      <c r="E61" s="50">
        <v>3.52155090281144E14</v>
      </c>
      <c r="F61" s="50">
        <v>59.0</v>
      </c>
      <c r="G61" s="50">
        <v>11.0</v>
      </c>
      <c r="H61" s="50">
        <v>4.0</v>
      </c>
      <c r="I61" s="50">
        <v>1.0</v>
      </c>
      <c r="J61" s="112" t="s">
        <v>6022</v>
      </c>
      <c r="K61" s="116"/>
      <c r="L61" s="50" t="s">
        <v>1535</v>
      </c>
      <c r="M61" s="50" t="s">
        <v>1535</v>
      </c>
      <c r="N61" s="116"/>
      <c r="O61" s="116"/>
      <c r="P61" s="50" t="s">
        <v>6435</v>
      </c>
      <c r="Q61" s="50" t="s">
        <v>6436</v>
      </c>
      <c r="R61" s="50">
        <v>22.5452309</v>
      </c>
      <c r="S61" s="50">
        <v>88.3821248</v>
      </c>
      <c r="T61" s="50">
        <v>-47.2000007629394</v>
      </c>
      <c r="U61" s="50">
        <v>5.0</v>
      </c>
      <c r="V61" s="50">
        <v>1.0</v>
      </c>
      <c r="W61" s="50">
        <v>0.0</v>
      </c>
      <c r="X61" s="50">
        <v>0.0</v>
      </c>
      <c r="Y61" s="50">
        <v>1.0</v>
      </c>
      <c r="Z61" s="116"/>
      <c r="AA61" s="50">
        <v>2.0</v>
      </c>
      <c r="AB61" s="50">
        <v>4.0</v>
      </c>
      <c r="AC61" s="116"/>
      <c r="AD61" s="116"/>
      <c r="AE61" s="116"/>
      <c r="AF61" s="116"/>
      <c r="AG61" s="116"/>
      <c r="AH61" s="116"/>
      <c r="AI61" s="116"/>
      <c r="AJ61" s="116"/>
      <c r="AK61" s="116"/>
      <c r="AL61" s="116"/>
      <c r="AM61" s="116"/>
      <c r="AN61" s="116"/>
      <c r="AO61" s="116"/>
      <c r="AP61" s="116"/>
      <c r="AQ61" s="50" t="s">
        <v>3149</v>
      </c>
      <c r="AR61" s="50" t="s">
        <v>2302</v>
      </c>
      <c r="AS61" s="50">
        <v>1.0</v>
      </c>
      <c r="AT61" s="50" t="s">
        <v>5540</v>
      </c>
      <c r="AU61" s="117">
        <v>4886.0</v>
      </c>
      <c r="AV61" s="50" t="s">
        <v>6438</v>
      </c>
      <c r="AW61" s="50" t="s">
        <v>6439</v>
      </c>
      <c r="AX61" s="117">
        <v>282.0</v>
      </c>
    </row>
    <row r="62">
      <c r="A62" s="50" t="s">
        <v>6448</v>
      </c>
      <c r="B62" s="50" t="s">
        <v>6449</v>
      </c>
      <c r="C62" s="116"/>
      <c r="D62" s="116"/>
      <c r="E62" s="50">
        <v>3.52155090281144E14</v>
      </c>
      <c r="F62" s="50">
        <v>59.0</v>
      </c>
      <c r="G62" s="50">
        <v>11.0</v>
      </c>
      <c r="H62" s="50">
        <v>4.0</v>
      </c>
      <c r="I62" s="50">
        <v>1.0</v>
      </c>
      <c r="J62" s="112" t="s">
        <v>6037</v>
      </c>
      <c r="K62" s="116"/>
      <c r="L62" s="50" t="s">
        <v>1538</v>
      </c>
      <c r="M62" s="50" t="s">
        <v>1538</v>
      </c>
      <c r="N62" s="116"/>
      <c r="O62" s="116"/>
      <c r="P62" s="50" t="s">
        <v>6450</v>
      </c>
      <c r="Q62" s="50" t="s">
        <v>6451</v>
      </c>
      <c r="R62" s="50">
        <v>22.5452895</v>
      </c>
      <c r="S62" s="50">
        <v>88.3821094</v>
      </c>
      <c r="T62" s="50">
        <v>-55.7999992370605</v>
      </c>
      <c r="U62" s="50">
        <v>5.0</v>
      </c>
      <c r="V62" s="50">
        <v>1.0</v>
      </c>
      <c r="W62" s="50">
        <v>0.0</v>
      </c>
      <c r="X62" s="50">
        <v>0.0</v>
      </c>
      <c r="Y62" s="50">
        <v>1.0</v>
      </c>
      <c r="Z62" s="116"/>
      <c r="AA62" s="50">
        <v>1.0</v>
      </c>
      <c r="AB62" s="50">
        <v>4.0</v>
      </c>
      <c r="AC62" s="116"/>
      <c r="AD62" s="116"/>
      <c r="AE62" s="116"/>
      <c r="AF62" s="116"/>
      <c r="AG62" s="116"/>
      <c r="AH62" s="116"/>
      <c r="AI62" s="116"/>
      <c r="AJ62" s="116"/>
      <c r="AK62" s="116"/>
      <c r="AL62" s="116"/>
      <c r="AM62" s="116"/>
      <c r="AN62" s="116"/>
      <c r="AO62" s="116"/>
      <c r="AP62" s="116"/>
      <c r="AQ62" s="50" t="s">
        <v>3185</v>
      </c>
      <c r="AR62" s="50" t="s">
        <v>2327</v>
      </c>
      <c r="AS62" s="50">
        <v>1.0</v>
      </c>
      <c r="AT62" s="50" t="s">
        <v>5540</v>
      </c>
      <c r="AU62" s="117">
        <v>4888.0</v>
      </c>
      <c r="AV62" s="50" t="s">
        <v>6452</v>
      </c>
      <c r="AW62" s="50" t="s">
        <v>6453</v>
      </c>
      <c r="AX62" s="117">
        <v>284.0</v>
      </c>
    </row>
    <row r="63">
      <c r="A63" s="50" t="s">
        <v>6462</v>
      </c>
      <c r="B63" s="50" t="s">
        <v>6463</v>
      </c>
      <c r="C63" s="116"/>
      <c r="D63" s="116"/>
      <c r="E63" s="50">
        <v>3.52155090281144E14</v>
      </c>
      <c r="F63" s="50">
        <v>59.0</v>
      </c>
      <c r="G63" s="50">
        <v>11.0</v>
      </c>
      <c r="H63" s="50">
        <v>4.0</v>
      </c>
      <c r="I63" s="50">
        <v>1.0</v>
      </c>
      <c r="J63" s="112" t="s">
        <v>6051</v>
      </c>
      <c r="K63" s="116"/>
      <c r="L63" s="50" t="s">
        <v>1541</v>
      </c>
      <c r="M63" s="50" t="s">
        <v>1541</v>
      </c>
      <c r="N63" s="116"/>
      <c r="O63" s="116"/>
      <c r="P63" s="50" t="s">
        <v>6464</v>
      </c>
      <c r="Q63" s="50" t="s">
        <v>6465</v>
      </c>
      <c r="R63" s="50">
        <v>22.5440908</v>
      </c>
      <c r="S63" s="50">
        <v>88.3820142</v>
      </c>
      <c r="T63" s="50">
        <v>-63.7000007629394</v>
      </c>
      <c r="U63" s="50">
        <v>5.0</v>
      </c>
      <c r="V63" s="50">
        <v>1.0</v>
      </c>
      <c r="W63" s="50">
        <v>0.0</v>
      </c>
      <c r="X63" s="50">
        <v>0.0</v>
      </c>
      <c r="Y63" s="50">
        <v>1.0</v>
      </c>
      <c r="Z63" s="116"/>
      <c r="AA63" s="50">
        <v>2.0</v>
      </c>
      <c r="AB63" s="50">
        <v>4.0</v>
      </c>
      <c r="AC63" s="116"/>
      <c r="AD63" s="116"/>
      <c r="AE63" s="116"/>
      <c r="AF63" s="116"/>
      <c r="AG63" s="116"/>
      <c r="AH63" s="116"/>
      <c r="AI63" s="116"/>
      <c r="AJ63" s="116"/>
      <c r="AK63" s="116"/>
      <c r="AL63" s="116"/>
      <c r="AM63" s="116"/>
      <c r="AN63" s="116"/>
      <c r="AO63" s="116"/>
      <c r="AP63" s="116"/>
      <c r="AQ63" s="50" t="s">
        <v>3185</v>
      </c>
      <c r="AR63" s="50" t="s">
        <v>2472</v>
      </c>
      <c r="AS63" s="50">
        <v>1.0</v>
      </c>
      <c r="AT63" s="50" t="s">
        <v>5540</v>
      </c>
      <c r="AU63" s="117">
        <v>4890.0</v>
      </c>
      <c r="AV63" s="50" t="s">
        <v>6466</v>
      </c>
      <c r="AW63" s="50" t="s">
        <v>6467</v>
      </c>
      <c r="AX63" s="117">
        <v>286.0</v>
      </c>
    </row>
    <row r="64">
      <c r="A64" s="50" t="s">
        <v>6476</v>
      </c>
      <c r="B64" s="50" t="s">
        <v>6477</v>
      </c>
      <c r="C64" s="116"/>
      <c r="D64" s="116"/>
      <c r="E64" s="50">
        <v>3.52155090281144E14</v>
      </c>
      <c r="F64" s="50">
        <v>59.0</v>
      </c>
      <c r="G64" s="50">
        <v>11.0</v>
      </c>
      <c r="H64" s="50">
        <v>4.0</v>
      </c>
      <c r="I64" s="50">
        <v>1.0</v>
      </c>
      <c r="J64" s="112" t="s">
        <v>6064</v>
      </c>
      <c r="K64" s="116"/>
      <c r="L64" s="50" t="s">
        <v>1547</v>
      </c>
      <c r="M64" s="50" t="s">
        <v>1547</v>
      </c>
      <c r="N64" s="116"/>
      <c r="O64" s="116"/>
      <c r="P64" s="50" t="s">
        <v>6478</v>
      </c>
      <c r="Q64" s="50" t="s">
        <v>6479</v>
      </c>
      <c r="R64" s="50">
        <v>22.5430596</v>
      </c>
      <c r="S64" s="50">
        <v>88.3755666</v>
      </c>
      <c r="T64" s="50">
        <v>-60.0</v>
      </c>
      <c r="U64" s="50">
        <v>5.0</v>
      </c>
      <c r="V64" s="50">
        <v>1.0</v>
      </c>
      <c r="W64" s="50">
        <v>0.0</v>
      </c>
      <c r="X64" s="50">
        <v>0.0</v>
      </c>
      <c r="Y64" s="50">
        <v>1.0</v>
      </c>
      <c r="Z64" s="116"/>
      <c r="AA64" s="50">
        <v>2.0</v>
      </c>
      <c r="AB64" s="50">
        <v>4.0</v>
      </c>
      <c r="AC64" s="116"/>
      <c r="AD64" s="116"/>
      <c r="AE64" s="116"/>
      <c r="AF64" s="116"/>
      <c r="AG64" s="116"/>
      <c r="AH64" s="116"/>
      <c r="AI64" s="116"/>
      <c r="AJ64" s="116"/>
      <c r="AK64" s="116"/>
      <c r="AL64" s="116"/>
      <c r="AM64" s="116"/>
      <c r="AN64" s="116"/>
      <c r="AO64" s="116"/>
      <c r="AP64" s="116"/>
      <c r="AQ64" s="50" t="s">
        <v>3200</v>
      </c>
      <c r="AR64" s="50" t="s">
        <v>2286</v>
      </c>
      <c r="AS64" s="50">
        <v>1.0</v>
      </c>
      <c r="AT64" s="50" t="s">
        <v>5540</v>
      </c>
      <c r="AU64" s="117">
        <v>4892.0</v>
      </c>
      <c r="AV64" s="50" t="s">
        <v>6480</v>
      </c>
      <c r="AW64" s="50" t="s">
        <v>6481</v>
      </c>
      <c r="AX64" s="117">
        <v>288.0</v>
      </c>
    </row>
    <row r="65">
      <c r="A65" s="50" t="s">
        <v>6490</v>
      </c>
      <c r="B65" s="50" t="s">
        <v>6491</v>
      </c>
      <c r="C65" s="116"/>
      <c r="D65" s="116"/>
      <c r="E65" s="50">
        <v>3.52155090281144E14</v>
      </c>
      <c r="F65" s="50">
        <v>59.0</v>
      </c>
      <c r="G65" s="50">
        <v>11.0</v>
      </c>
      <c r="H65" s="50">
        <v>4.0</v>
      </c>
      <c r="I65" s="50">
        <v>1.0</v>
      </c>
      <c r="J65" s="112" t="s">
        <v>6077</v>
      </c>
      <c r="K65" s="116"/>
      <c r="L65" s="50" t="s">
        <v>1550</v>
      </c>
      <c r="M65" s="50" t="s">
        <v>1550</v>
      </c>
      <c r="N65" s="116"/>
      <c r="O65" s="116"/>
      <c r="P65" s="50" t="s">
        <v>6492</v>
      </c>
      <c r="Q65" s="50" t="s">
        <v>6493</v>
      </c>
      <c r="R65" s="50">
        <v>22.5410453</v>
      </c>
      <c r="S65" s="50">
        <v>88.3742742</v>
      </c>
      <c r="T65" s="50">
        <v>-45.7999992370605</v>
      </c>
      <c r="U65" s="50">
        <v>4.5</v>
      </c>
      <c r="V65" s="50">
        <v>1.0</v>
      </c>
      <c r="W65" s="50">
        <v>0.0</v>
      </c>
      <c r="X65" s="50">
        <v>0.0</v>
      </c>
      <c r="Y65" s="50">
        <v>1.0</v>
      </c>
      <c r="Z65" s="116"/>
      <c r="AA65" s="50">
        <v>1.0</v>
      </c>
      <c r="AB65" s="50">
        <v>4.0</v>
      </c>
      <c r="AC65" s="116"/>
      <c r="AD65" s="116"/>
      <c r="AE65" s="116"/>
      <c r="AF65" s="116"/>
      <c r="AG65" s="116"/>
      <c r="AH65" s="116"/>
      <c r="AI65" s="116"/>
      <c r="AJ65" s="116"/>
      <c r="AK65" s="116"/>
      <c r="AL65" s="116"/>
      <c r="AM65" s="116"/>
      <c r="AN65" s="116"/>
      <c r="AO65" s="116"/>
      <c r="AP65" s="116"/>
      <c r="AQ65" s="50" t="s">
        <v>2979</v>
      </c>
      <c r="AR65" s="50" t="s">
        <v>2327</v>
      </c>
      <c r="AS65" s="50">
        <v>1.0</v>
      </c>
      <c r="AT65" s="50" t="s">
        <v>5540</v>
      </c>
      <c r="AU65" s="117">
        <v>4894.0</v>
      </c>
      <c r="AV65" s="50" t="s">
        <v>6494</v>
      </c>
      <c r="AW65" s="50" t="s">
        <v>6495</v>
      </c>
      <c r="AX65" s="117">
        <v>290.0</v>
      </c>
    </row>
    <row r="66">
      <c r="A66" s="50" t="s">
        <v>6504</v>
      </c>
      <c r="B66" s="50" t="s">
        <v>6505</v>
      </c>
      <c r="C66" s="116"/>
      <c r="D66" s="116"/>
      <c r="E66" s="50">
        <v>3.52155090281144E14</v>
      </c>
      <c r="F66" s="50">
        <v>59.0</v>
      </c>
      <c r="G66" s="50">
        <v>11.0</v>
      </c>
      <c r="H66" s="50">
        <v>4.0</v>
      </c>
      <c r="I66" s="50">
        <v>1.0</v>
      </c>
      <c r="J66" s="112" t="s">
        <v>6404</v>
      </c>
      <c r="K66" s="116"/>
      <c r="L66" s="50" t="s">
        <v>1561</v>
      </c>
      <c r="M66" s="50" t="s">
        <v>1561</v>
      </c>
      <c r="N66" s="116"/>
      <c r="O66" s="116"/>
      <c r="P66" s="50" t="s">
        <v>6506</v>
      </c>
      <c r="Q66" s="50" t="s">
        <v>6507</v>
      </c>
      <c r="R66" s="50">
        <v>22.5432257</v>
      </c>
      <c r="S66" s="50">
        <v>88.3817828</v>
      </c>
      <c r="T66" s="50">
        <v>-34.9000015258789</v>
      </c>
      <c r="U66" s="50">
        <v>5.0</v>
      </c>
      <c r="V66" s="50">
        <v>1.0</v>
      </c>
      <c r="W66" s="50">
        <v>0.0</v>
      </c>
      <c r="X66" s="50">
        <v>0.0</v>
      </c>
      <c r="Y66" s="50">
        <v>1.0</v>
      </c>
      <c r="Z66" s="116"/>
      <c r="AA66" s="50">
        <v>1.0</v>
      </c>
      <c r="AB66" s="50">
        <v>4.0</v>
      </c>
      <c r="AC66" s="116"/>
      <c r="AD66" s="116"/>
      <c r="AE66" s="116"/>
      <c r="AF66" s="116"/>
      <c r="AG66" s="116"/>
      <c r="AH66" s="116"/>
      <c r="AI66" s="116"/>
      <c r="AJ66" s="116"/>
      <c r="AK66" s="116"/>
      <c r="AL66" s="116"/>
      <c r="AM66" s="116"/>
      <c r="AN66" s="116"/>
      <c r="AO66" s="116"/>
      <c r="AP66" s="116"/>
      <c r="AQ66" s="50" t="s">
        <v>3185</v>
      </c>
      <c r="AR66" s="50" t="s">
        <v>2472</v>
      </c>
      <c r="AS66" s="50">
        <v>1.0</v>
      </c>
      <c r="AT66" s="50" t="s">
        <v>5540</v>
      </c>
      <c r="AU66" s="117">
        <v>4917.0</v>
      </c>
      <c r="AV66" s="50" t="s">
        <v>6509</v>
      </c>
      <c r="AW66" s="50" t="s">
        <v>6510</v>
      </c>
      <c r="AX66" s="117">
        <v>292.0</v>
      </c>
    </row>
    <row r="67">
      <c r="A67" s="50" t="s">
        <v>6518</v>
      </c>
      <c r="B67" s="50" t="s">
        <v>6519</v>
      </c>
      <c r="C67" s="116"/>
      <c r="D67" s="116"/>
      <c r="E67" s="50">
        <v>3.52155090281144E14</v>
      </c>
      <c r="F67" s="50">
        <v>59.0</v>
      </c>
      <c r="G67" s="50">
        <v>11.0</v>
      </c>
      <c r="H67" s="50">
        <v>4.0</v>
      </c>
      <c r="I67" s="50">
        <v>1.0</v>
      </c>
      <c r="J67" s="112" t="s">
        <v>6419</v>
      </c>
      <c r="K67" s="116"/>
      <c r="L67" s="50" t="s">
        <v>1564</v>
      </c>
      <c r="M67" s="50" t="s">
        <v>1564</v>
      </c>
      <c r="N67" s="116"/>
      <c r="O67" s="116"/>
      <c r="P67" s="50" t="s">
        <v>6520</v>
      </c>
      <c r="Q67" s="50" t="s">
        <v>6521</v>
      </c>
      <c r="R67" s="50">
        <v>22.5410424</v>
      </c>
      <c r="S67" s="50">
        <v>88.3758093</v>
      </c>
      <c r="T67" s="50">
        <v>-37.4000015258789</v>
      </c>
      <c r="U67" s="50">
        <v>5.5</v>
      </c>
      <c r="V67" s="50">
        <v>1.0</v>
      </c>
      <c r="W67" s="50">
        <v>0.0</v>
      </c>
      <c r="X67" s="50">
        <v>0.0</v>
      </c>
      <c r="Y67" s="50">
        <v>1.0</v>
      </c>
      <c r="Z67" s="116"/>
      <c r="AA67" s="50">
        <v>1.0</v>
      </c>
      <c r="AB67" s="50">
        <v>4.0</v>
      </c>
      <c r="AC67" s="116"/>
      <c r="AD67" s="116"/>
      <c r="AE67" s="116"/>
      <c r="AF67" s="116"/>
      <c r="AG67" s="116"/>
      <c r="AH67" s="116"/>
      <c r="AI67" s="116"/>
      <c r="AJ67" s="116"/>
      <c r="AK67" s="116"/>
      <c r="AL67" s="116"/>
      <c r="AM67" s="116"/>
      <c r="AN67" s="116"/>
      <c r="AO67" s="116"/>
      <c r="AP67" s="116"/>
      <c r="AQ67" s="50" t="s">
        <v>3149</v>
      </c>
      <c r="AR67" s="50" t="s">
        <v>2278</v>
      </c>
      <c r="AS67" s="50">
        <v>1.0</v>
      </c>
      <c r="AT67" s="50" t="s">
        <v>5540</v>
      </c>
      <c r="AU67" s="117">
        <v>4919.0</v>
      </c>
      <c r="AV67" s="50" t="s">
        <v>6522</v>
      </c>
      <c r="AW67" s="50" t="s">
        <v>6523</v>
      </c>
      <c r="AX67" s="117">
        <v>294.0</v>
      </c>
    </row>
    <row r="68">
      <c r="A68" s="50" t="s">
        <v>6561</v>
      </c>
      <c r="B68" s="50" t="s">
        <v>6563</v>
      </c>
      <c r="C68" s="116"/>
      <c r="D68" s="116"/>
      <c r="E68" s="50">
        <v>3.52155090281144E14</v>
      </c>
      <c r="F68" s="50">
        <v>59.0</v>
      </c>
      <c r="G68" s="50">
        <v>11.0</v>
      </c>
      <c r="H68" s="50">
        <v>4.0</v>
      </c>
      <c r="I68" s="50">
        <v>1.0</v>
      </c>
      <c r="J68" s="112" t="s">
        <v>6051</v>
      </c>
      <c r="K68" s="116"/>
      <c r="L68" s="50" t="s">
        <v>1579</v>
      </c>
      <c r="M68" s="50" t="s">
        <v>1579</v>
      </c>
      <c r="N68" s="116"/>
      <c r="O68" s="116"/>
      <c r="P68" s="50" t="s">
        <v>6564</v>
      </c>
      <c r="Q68" s="50" t="s">
        <v>6565</v>
      </c>
      <c r="R68" s="50">
        <v>22.5440217</v>
      </c>
      <c r="S68" s="50">
        <v>88.3819502</v>
      </c>
      <c r="T68" s="50">
        <v>-60.5</v>
      </c>
      <c r="U68" s="50">
        <v>5.0</v>
      </c>
      <c r="V68" s="50">
        <v>1.0</v>
      </c>
      <c r="W68" s="50">
        <v>0.0</v>
      </c>
      <c r="X68" s="50">
        <v>0.0</v>
      </c>
      <c r="Y68" s="50">
        <v>1.0</v>
      </c>
      <c r="Z68" s="116"/>
      <c r="AA68" s="50">
        <v>2.0</v>
      </c>
      <c r="AB68" s="50">
        <v>4.0</v>
      </c>
      <c r="AC68" s="116"/>
      <c r="AD68" s="116"/>
      <c r="AE68" s="116"/>
      <c r="AF68" s="116"/>
      <c r="AG68" s="116"/>
      <c r="AH68" s="116"/>
      <c r="AI68" s="116"/>
      <c r="AJ68" s="116"/>
      <c r="AK68" s="116"/>
      <c r="AL68" s="116"/>
      <c r="AM68" s="116"/>
      <c r="AN68" s="116"/>
      <c r="AO68" s="116"/>
      <c r="AP68" s="116"/>
      <c r="AQ68" s="50" t="s">
        <v>3185</v>
      </c>
      <c r="AR68" s="50" t="s">
        <v>2327</v>
      </c>
      <c r="AS68" s="50">
        <v>1.0</v>
      </c>
      <c r="AT68" s="50" t="s">
        <v>5540</v>
      </c>
      <c r="AU68" s="117">
        <v>5038.0</v>
      </c>
      <c r="AV68" s="50" t="s">
        <v>6566</v>
      </c>
      <c r="AW68" s="50" t="s">
        <v>6567</v>
      </c>
      <c r="AX68" s="117">
        <v>300.0</v>
      </c>
    </row>
    <row r="69">
      <c r="A69" s="50" t="s">
        <v>6575</v>
      </c>
      <c r="B69" s="50" t="s">
        <v>6576</v>
      </c>
      <c r="C69" s="116"/>
      <c r="D69" s="116"/>
      <c r="E69" s="50">
        <v>3.52155090281144E14</v>
      </c>
      <c r="F69" s="50">
        <v>59.0</v>
      </c>
      <c r="G69" s="50">
        <v>11.0</v>
      </c>
      <c r="H69" s="50">
        <v>4.0</v>
      </c>
      <c r="I69" s="50">
        <v>1.0</v>
      </c>
      <c r="J69" s="112" t="s">
        <v>6022</v>
      </c>
      <c r="K69" s="116"/>
      <c r="L69" s="50" t="s">
        <v>1582</v>
      </c>
      <c r="M69" s="50" t="s">
        <v>1582</v>
      </c>
      <c r="N69" s="116"/>
      <c r="O69" s="116"/>
      <c r="P69" s="50" t="s">
        <v>6577</v>
      </c>
      <c r="Q69" s="50" t="s">
        <v>6578</v>
      </c>
      <c r="R69" s="50">
        <v>22.5452227</v>
      </c>
      <c r="S69" s="50">
        <v>88.3821187</v>
      </c>
      <c r="T69" s="50">
        <v>-45.4000015258789</v>
      </c>
      <c r="U69" s="50">
        <v>5.0</v>
      </c>
      <c r="V69" s="50">
        <v>1.0</v>
      </c>
      <c r="W69" s="50">
        <v>0.0</v>
      </c>
      <c r="X69" s="50">
        <v>0.0</v>
      </c>
      <c r="Y69" s="50">
        <v>1.0</v>
      </c>
      <c r="Z69" s="116"/>
      <c r="AA69" s="50">
        <v>2.0</v>
      </c>
      <c r="AB69" s="50">
        <v>4.0</v>
      </c>
      <c r="AC69" s="116"/>
      <c r="AD69" s="116"/>
      <c r="AE69" s="116"/>
      <c r="AF69" s="116"/>
      <c r="AG69" s="116"/>
      <c r="AH69" s="116"/>
      <c r="AI69" s="116"/>
      <c r="AJ69" s="116"/>
      <c r="AK69" s="116"/>
      <c r="AL69" s="116"/>
      <c r="AM69" s="116"/>
      <c r="AN69" s="116"/>
      <c r="AO69" s="116"/>
      <c r="AP69" s="116"/>
      <c r="AQ69" s="50" t="s">
        <v>3149</v>
      </c>
      <c r="AR69" s="50" t="s">
        <v>2302</v>
      </c>
      <c r="AS69" s="50">
        <v>1.0</v>
      </c>
      <c r="AT69" s="50" t="s">
        <v>5540</v>
      </c>
      <c r="AU69" s="117">
        <v>5040.0</v>
      </c>
      <c r="AV69" s="50" t="s">
        <v>6579</v>
      </c>
      <c r="AW69" s="50" t="s">
        <v>6580</v>
      </c>
      <c r="AX69" s="117">
        <v>302.0</v>
      </c>
    </row>
    <row r="70">
      <c r="A70" s="50" t="s">
        <v>6588</v>
      </c>
      <c r="B70" s="50" t="s">
        <v>6589</v>
      </c>
      <c r="C70" s="116"/>
      <c r="D70" s="116"/>
      <c r="E70" s="50">
        <v>3.52155090281144E14</v>
      </c>
      <c r="F70" s="50">
        <v>59.0</v>
      </c>
      <c r="G70" s="50">
        <v>11.0</v>
      </c>
      <c r="H70" s="50">
        <v>4.0</v>
      </c>
      <c r="I70" s="50">
        <v>1.0</v>
      </c>
      <c r="J70" s="112" t="s">
        <v>6037</v>
      </c>
      <c r="K70" s="116"/>
      <c r="L70" s="50" t="s">
        <v>1583</v>
      </c>
      <c r="M70" s="50" t="s">
        <v>1583</v>
      </c>
      <c r="N70" s="116"/>
      <c r="O70" s="116"/>
      <c r="P70" s="50" t="s">
        <v>6590</v>
      </c>
      <c r="Q70" s="50" t="s">
        <v>6591</v>
      </c>
      <c r="R70" s="50">
        <v>22.545243</v>
      </c>
      <c r="S70" s="50">
        <v>88.382054</v>
      </c>
      <c r="T70" s="50">
        <v>-51.2000007629394</v>
      </c>
      <c r="U70" s="50">
        <v>4.5</v>
      </c>
      <c r="V70" s="50">
        <v>1.0</v>
      </c>
      <c r="W70" s="50">
        <v>0.0</v>
      </c>
      <c r="X70" s="50">
        <v>0.0</v>
      </c>
      <c r="Y70" s="50">
        <v>1.0</v>
      </c>
      <c r="Z70" s="116"/>
      <c r="AA70" s="50">
        <v>1.0</v>
      </c>
      <c r="AB70" s="50">
        <v>4.0</v>
      </c>
      <c r="AC70" s="116"/>
      <c r="AD70" s="116"/>
      <c r="AE70" s="116"/>
      <c r="AF70" s="116"/>
      <c r="AG70" s="116"/>
      <c r="AH70" s="116"/>
      <c r="AI70" s="116"/>
      <c r="AJ70" s="116"/>
      <c r="AK70" s="116"/>
      <c r="AL70" s="116"/>
      <c r="AM70" s="116"/>
      <c r="AN70" s="116"/>
      <c r="AO70" s="116"/>
      <c r="AP70" s="116"/>
      <c r="AQ70" s="50" t="s">
        <v>2949</v>
      </c>
      <c r="AR70" s="50" t="s">
        <v>2472</v>
      </c>
      <c r="AS70" s="50">
        <v>1.0</v>
      </c>
      <c r="AT70" s="50" t="s">
        <v>5540</v>
      </c>
      <c r="AU70" s="117">
        <v>5042.0</v>
      </c>
      <c r="AV70" s="50" t="s">
        <v>6592</v>
      </c>
      <c r="AW70" s="50" t="s">
        <v>6593</v>
      </c>
      <c r="AX70" s="117">
        <v>304.0</v>
      </c>
    </row>
    <row r="71">
      <c r="A71" s="50" t="s">
        <v>6601</v>
      </c>
      <c r="B71" s="50" t="s">
        <v>6602</v>
      </c>
      <c r="C71" s="116"/>
      <c r="D71" s="116"/>
      <c r="E71" s="50">
        <v>3.52155090281144E14</v>
      </c>
      <c r="F71" s="50">
        <v>59.0</v>
      </c>
      <c r="G71" s="50">
        <v>11.0</v>
      </c>
      <c r="H71" s="50">
        <v>4.0</v>
      </c>
      <c r="I71" s="50">
        <v>1.0</v>
      </c>
      <c r="J71" s="112" t="s">
        <v>6064</v>
      </c>
      <c r="K71" s="116"/>
      <c r="L71" s="50" t="s">
        <v>1586</v>
      </c>
      <c r="M71" s="50" t="s">
        <v>1586</v>
      </c>
      <c r="N71" s="116"/>
      <c r="O71" s="116"/>
      <c r="P71" s="50" t="s">
        <v>6603</v>
      </c>
      <c r="Q71" s="50" t="s">
        <v>6604</v>
      </c>
      <c r="R71" s="50">
        <v>22.5430311</v>
      </c>
      <c r="S71" s="50">
        <v>88.3755003</v>
      </c>
      <c r="T71" s="50">
        <v>-46.2000007629394</v>
      </c>
      <c r="U71" s="50">
        <v>5.0</v>
      </c>
      <c r="V71" s="50">
        <v>1.0</v>
      </c>
      <c r="W71" s="50">
        <v>0.0</v>
      </c>
      <c r="X71" s="50">
        <v>0.0</v>
      </c>
      <c r="Y71" s="50">
        <v>1.0</v>
      </c>
      <c r="Z71" s="116"/>
      <c r="AA71" s="50">
        <v>2.0</v>
      </c>
      <c r="AB71" s="50">
        <v>4.0</v>
      </c>
      <c r="AC71" s="116"/>
      <c r="AD71" s="116"/>
      <c r="AE71" s="116"/>
      <c r="AF71" s="116"/>
      <c r="AG71" s="116"/>
      <c r="AH71" s="116"/>
      <c r="AI71" s="116"/>
      <c r="AJ71" s="116"/>
      <c r="AK71" s="116"/>
      <c r="AL71" s="116"/>
      <c r="AM71" s="116"/>
      <c r="AN71" s="116"/>
      <c r="AO71" s="116"/>
      <c r="AP71" s="116"/>
      <c r="AQ71" s="50" t="s">
        <v>3200</v>
      </c>
      <c r="AR71" s="50" t="s">
        <v>2286</v>
      </c>
      <c r="AS71" s="50">
        <v>1.0</v>
      </c>
      <c r="AT71" s="50" t="s">
        <v>5540</v>
      </c>
      <c r="AU71" s="117">
        <v>5044.0</v>
      </c>
      <c r="AV71" s="50" t="s">
        <v>6605</v>
      </c>
      <c r="AW71" s="50" t="s">
        <v>6606</v>
      </c>
      <c r="AX71" s="117">
        <v>306.0</v>
      </c>
    </row>
    <row r="72">
      <c r="A72" s="50" t="s">
        <v>6614</v>
      </c>
      <c r="B72" s="50" t="s">
        <v>6615</v>
      </c>
      <c r="C72" s="116"/>
      <c r="D72" s="116"/>
      <c r="E72" s="50">
        <v>3.52155090281144E14</v>
      </c>
      <c r="F72" s="50">
        <v>59.0</v>
      </c>
      <c r="G72" s="50">
        <v>11.0</v>
      </c>
      <c r="H72" s="50">
        <v>4.0</v>
      </c>
      <c r="I72" s="50">
        <v>1.0</v>
      </c>
      <c r="J72" s="112" t="s">
        <v>6077</v>
      </c>
      <c r="K72" s="116"/>
      <c r="L72" s="50" t="s">
        <v>1589</v>
      </c>
      <c r="M72" s="50" t="s">
        <v>1589</v>
      </c>
      <c r="N72" s="116"/>
      <c r="O72" s="116"/>
      <c r="P72" s="50" t="s">
        <v>6616</v>
      </c>
      <c r="Q72" s="50" t="s">
        <v>6617</v>
      </c>
      <c r="R72" s="50">
        <v>22.5410391</v>
      </c>
      <c r="S72" s="50">
        <v>88.3742754</v>
      </c>
      <c r="T72" s="50">
        <v>-65.4000015258789</v>
      </c>
      <c r="U72" s="50">
        <v>5.0</v>
      </c>
      <c r="V72" s="50">
        <v>1.0</v>
      </c>
      <c r="W72" s="50">
        <v>0.0</v>
      </c>
      <c r="X72" s="50">
        <v>0.0</v>
      </c>
      <c r="Y72" s="50">
        <v>1.0</v>
      </c>
      <c r="Z72" s="116"/>
      <c r="AA72" s="50">
        <v>1.0</v>
      </c>
      <c r="AB72" s="50">
        <v>4.0</v>
      </c>
      <c r="AC72" s="116"/>
      <c r="AD72" s="116"/>
      <c r="AE72" s="116"/>
      <c r="AF72" s="116"/>
      <c r="AG72" s="116"/>
      <c r="AH72" s="116"/>
      <c r="AI72" s="116"/>
      <c r="AJ72" s="116"/>
      <c r="AK72" s="116"/>
      <c r="AL72" s="116"/>
      <c r="AM72" s="116"/>
      <c r="AN72" s="116"/>
      <c r="AO72" s="116"/>
      <c r="AP72" s="116"/>
      <c r="AQ72" s="50" t="s">
        <v>3149</v>
      </c>
      <c r="AR72" s="50" t="s">
        <v>2327</v>
      </c>
      <c r="AS72" s="50">
        <v>1.0</v>
      </c>
      <c r="AT72" s="50" t="s">
        <v>5540</v>
      </c>
      <c r="AU72" s="117">
        <v>5046.0</v>
      </c>
      <c r="AV72" s="50" t="s">
        <v>6618</v>
      </c>
      <c r="AW72" s="50" t="s">
        <v>6619</v>
      </c>
      <c r="AX72" s="117">
        <v>308.0</v>
      </c>
    </row>
    <row r="73">
      <c r="A73" s="50" t="s">
        <v>6657</v>
      </c>
      <c r="B73" s="50" t="s">
        <v>6658</v>
      </c>
      <c r="C73" s="116"/>
      <c r="D73" s="116"/>
      <c r="E73" s="50">
        <v>3.52155090281144E14</v>
      </c>
      <c r="F73" s="50">
        <v>59.0</v>
      </c>
      <c r="G73" s="50">
        <v>11.0</v>
      </c>
      <c r="H73" s="50">
        <v>4.0</v>
      </c>
      <c r="I73" s="50">
        <v>1.0</v>
      </c>
      <c r="J73" s="112" t="s">
        <v>6404</v>
      </c>
      <c r="K73" s="116"/>
      <c r="L73" s="50" t="s">
        <v>1595</v>
      </c>
      <c r="M73" s="50" t="s">
        <v>1595</v>
      </c>
      <c r="N73" s="116"/>
      <c r="O73" s="116"/>
      <c r="P73" s="50" t="s">
        <v>6660</v>
      </c>
      <c r="Q73" s="50" t="s">
        <v>6661</v>
      </c>
      <c r="R73" s="50">
        <v>22.5431584</v>
      </c>
      <c r="S73" s="50">
        <v>88.3818802</v>
      </c>
      <c r="T73" s="50">
        <v>-53.9000015258789</v>
      </c>
      <c r="U73" s="50">
        <v>6.0</v>
      </c>
      <c r="V73" s="50">
        <v>2.0</v>
      </c>
      <c r="W73" s="50">
        <v>0.0</v>
      </c>
      <c r="X73" s="50">
        <v>0.0</v>
      </c>
      <c r="Y73" s="50">
        <v>1.0</v>
      </c>
      <c r="Z73" s="116"/>
      <c r="AA73" s="50">
        <v>1.0</v>
      </c>
      <c r="AB73" s="50">
        <v>4.0</v>
      </c>
      <c r="AC73" s="116"/>
      <c r="AD73" s="116"/>
      <c r="AE73" s="116"/>
      <c r="AF73" s="116"/>
      <c r="AG73" s="116"/>
      <c r="AH73" s="116"/>
      <c r="AI73" s="116"/>
      <c r="AJ73" s="116"/>
      <c r="AK73" s="116"/>
      <c r="AL73" s="116"/>
      <c r="AM73" s="116"/>
      <c r="AN73" s="116"/>
      <c r="AO73" s="116"/>
      <c r="AP73" s="116"/>
      <c r="AQ73" s="50" t="s">
        <v>3185</v>
      </c>
      <c r="AR73" s="50" t="s">
        <v>2302</v>
      </c>
      <c r="AS73" s="50">
        <v>0.0</v>
      </c>
      <c r="AT73" s="50" t="s">
        <v>5540</v>
      </c>
      <c r="AU73" s="117">
        <v>5130.0</v>
      </c>
      <c r="AV73" s="50" t="s">
        <v>6662</v>
      </c>
      <c r="AW73" s="50" t="s">
        <v>6663</v>
      </c>
      <c r="AX73" s="117">
        <v>314.0</v>
      </c>
    </row>
    <row r="74">
      <c r="A74" s="50" t="s">
        <v>6672</v>
      </c>
      <c r="B74" s="50" t="s">
        <v>6673</v>
      </c>
      <c r="C74" s="116"/>
      <c r="D74" s="116"/>
      <c r="E74" s="50">
        <v>3.52155090281144E14</v>
      </c>
      <c r="F74" s="50">
        <v>59.0</v>
      </c>
      <c r="G74" s="50">
        <v>11.0</v>
      </c>
      <c r="H74" s="50">
        <v>4.0</v>
      </c>
      <c r="I74" s="50">
        <v>1.0</v>
      </c>
      <c r="J74" s="112" t="s">
        <v>6419</v>
      </c>
      <c r="K74" s="116"/>
      <c r="L74" s="50" t="s">
        <v>1596</v>
      </c>
      <c r="M74" s="50" t="s">
        <v>1596</v>
      </c>
      <c r="N74" s="116"/>
      <c r="O74" s="116"/>
      <c r="P74" s="50" t="s">
        <v>6674</v>
      </c>
      <c r="Q74" s="50" t="s">
        <v>6675</v>
      </c>
      <c r="R74" s="50">
        <v>22.5409918</v>
      </c>
      <c r="S74" s="50">
        <v>88.3757673</v>
      </c>
      <c r="T74" s="50">
        <v>-26.8999996185302</v>
      </c>
      <c r="U74" s="50">
        <v>5.0</v>
      </c>
      <c r="V74" s="50">
        <v>3.0</v>
      </c>
      <c r="W74" s="50">
        <v>0.0</v>
      </c>
      <c r="X74" s="50">
        <v>0.0</v>
      </c>
      <c r="Y74" s="50">
        <v>1.0</v>
      </c>
      <c r="Z74" s="116"/>
      <c r="AA74" s="50">
        <v>1.0</v>
      </c>
      <c r="AB74" s="50">
        <v>4.0</v>
      </c>
      <c r="AC74" s="116"/>
      <c r="AD74" s="116"/>
      <c r="AE74" s="116"/>
      <c r="AF74" s="116"/>
      <c r="AG74" s="116"/>
      <c r="AH74" s="116"/>
      <c r="AI74" s="116"/>
      <c r="AJ74" s="116"/>
      <c r="AK74" s="116"/>
      <c r="AL74" s="116"/>
      <c r="AM74" s="116"/>
      <c r="AN74" s="116"/>
      <c r="AO74" s="116"/>
      <c r="AP74" s="116"/>
      <c r="AQ74" s="50" t="s">
        <v>3149</v>
      </c>
      <c r="AR74" s="50" t="s">
        <v>2472</v>
      </c>
      <c r="AS74" s="50">
        <v>0.0</v>
      </c>
      <c r="AT74" s="50" t="s">
        <v>5540</v>
      </c>
      <c r="AU74" s="117">
        <v>5132.0</v>
      </c>
      <c r="AV74" s="50" t="s">
        <v>6677</v>
      </c>
      <c r="AW74" s="50" t="s">
        <v>6678</v>
      </c>
      <c r="AX74" s="117">
        <v>316.0</v>
      </c>
    </row>
    <row r="75">
      <c r="A75" s="50" t="s">
        <v>6687</v>
      </c>
      <c r="B75" s="50" t="s">
        <v>6688</v>
      </c>
      <c r="C75" s="116"/>
      <c r="D75" s="116"/>
      <c r="E75" s="50">
        <v>3.52155090281144E14</v>
      </c>
      <c r="F75" s="50">
        <v>58.0</v>
      </c>
      <c r="G75" s="50">
        <v>11.0</v>
      </c>
      <c r="H75" s="50">
        <v>4.0</v>
      </c>
      <c r="I75" s="50">
        <v>1.0</v>
      </c>
      <c r="J75" s="112" t="s">
        <v>6689</v>
      </c>
      <c r="K75" s="116"/>
      <c r="L75" s="50" t="s">
        <v>1599</v>
      </c>
      <c r="M75" s="50" t="s">
        <v>1599</v>
      </c>
      <c r="N75" s="116"/>
      <c r="O75" s="116"/>
      <c r="P75" s="50" t="s">
        <v>6690</v>
      </c>
      <c r="Q75" s="50" t="s">
        <v>6691</v>
      </c>
      <c r="R75" s="50">
        <v>22.5536182</v>
      </c>
      <c r="S75" s="50">
        <v>88.3851639</v>
      </c>
      <c r="T75" s="50">
        <v>-68.8000030517578</v>
      </c>
      <c r="U75" s="50">
        <v>5.0</v>
      </c>
      <c r="V75" s="50">
        <v>3.0</v>
      </c>
      <c r="W75" s="50">
        <v>0.0</v>
      </c>
      <c r="X75" s="50">
        <v>0.0</v>
      </c>
      <c r="Y75" s="50">
        <v>1.0</v>
      </c>
      <c r="Z75" s="116"/>
      <c r="AA75" s="50">
        <v>2.0</v>
      </c>
      <c r="AB75" s="50">
        <v>4.0</v>
      </c>
      <c r="AC75" s="116"/>
      <c r="AD75" s="116"/>
      <c r="AE75" s="116"/>
      <c r="AF75" s="116"/>
      <c r="AG75" s="116"/>
      <c r="AH75" s="116"/>
      <c r="AI75" s="116"/>
      <c r="AJ75" s="116"/>
      <c r="AK75" s="116"/>
      <c r="AL75" s="116"/>
      <c r="AM75" s="116"/>
      <c r="AN75" s="116"/>
      <c r="AO75" s="116"/>
      <c r="AP75" s="116"/>
      <c r="AQ75" s="50" t="s">
        <v>3185</v>
      </c>
      <c r="AR75" s="50" t="s">
        <v>2302</v>
      </c>
      <c r="AS75" s="50">
        <v>1.0</v>
      </c>
      <c r="AT75" s="50" t="s">
        <v>5540</v>
      </c>
      <c r="AU75" s="117">
        <v>5134.0</v>
      </c>
      <c r="AV75" s="50" t="s">
        <v>6693</v>
      </c>
      <c r="AW75" s="50" t="s">
        <v>6694</v>
      </c>
      <c r="AX75" s="117">
        <v>318.0</v>
      </c>
    </row>
    <row r="76">
      <c r="A76" s="50" t="s">
        <v>6728</v>
      </c>
      <c r="B76" s="50" t="s">
        <v>6729</v>
      </c>
      <c r="C76" s="116"/>
      <c r="D76" s="116"/>
      <c r="E76" s="50">
        <v>3.52155090281144E14</v>
      </c>
      <c r="F76" s="50">
        <v>59.0</v>
      </c>
      <c r="G76" s="50">
        <v>11.0</v>
      </c>
      <c r="H76" s="50">
        <v>4.0</v>
      </c>
      <c r="I76" s="50">
        <v>1.0</v>
      </c>
      <c r="J76" s="112" t="s">
        <v>6404</v>
      </c>
      <c r="K76" s="116"/>
      <c r="L76" s="50" t="s">
        <v>1611</v>
      </c>
      <c r="M76" s="50" t="s">
        <v>1611</v>
      </c>
      <c r="N76" s="116"/>
      <c r="O76" s="116"/>
      <c r="P76" s="50" t="s">
        <v>6730</v>
      </c>
      <c r="Q76" s="50" t="s">
        <v>6731</v>
      </c>
      <c r="R76" s="50">
        <v>22.5433217</v>
      </c>
      <c r="S76" s="50">
        <v>88.3821485</v>
      </c>
      <c r="T76" s="50">
        <v>-25.1000003814697</v>
      </c>
      <c r="U76" s="50">
        <v>8.0</v>
      </c>
      <c r="V76" s="50">
        <v>1.0</v>
      </c>
      <c r="W76" s="50">
        <v>0.0</v>
      </c>
      <c r="X76" s="50">
        <v>1.0</v>
      </c>
      <c r="Y76" s="116"/>
      <c r="Z76" s="116"/>
      <c r="AA76" s="50">
        <v>1.0</v>
      </c>
      <c r="AB76" s="50">
        <v>4.0</v>
      </c>
      <c r="AC76" s="116"/>
      <c r="AD76" s="116"/>
      <c r="AE76" s="116"/>
      <c r="AF76" s="116"/>
      <c r="AG76" s="116"/>
      <c r="AH76" s="116"/>
      <c r="AI76" s="116"/>
      <c r="AJ76" s="116"/>
      <c r="AK76" s="116"/>
      <c r="AL76" s="116"/>
      <c r="AM76" s="116"/>
      <c r="AN76" s="116"/>
      <c r="AO76" s="116"/>
      <c r="AP76" s="116"/>
      <c r="AQ76" s="50" t="s">
        <v>2949</v>
      </c>
      <c r="AR76" s="50" t="s">
        <v>2278</v>
      </c>
      <c r="AS76" s="50">
        <v>1.0</v>
      </c>
      <c r="AT76" s="50" t="s">
        <v>5540</v>
      </c>
      <c r="AU76" s="117">
        <v>5230.0</v>
      </c>
      <c r="AV76" s="50" t="s">
        <v>6732</v>
      </c>
      <c r="AW76" s="50" t="s">
        <v>6733</v>
      </c>
      <c r="AX76" s="117">
        <v>324.0</v>
      </c>
    </row>
    <row r="77">
      <c r="A77" s="50" t="s">
        <v>6740</v>
      </c>
      <c r="B77" s="50" t="s">
        <v>6741</v>
      </c>
      <c r="C77" s="116"/>
      <c r="D77" s="116"/>
      <c r="E77" s="50">
        <v>3.52155090281144E14</v>
      </c>
      <c r="F77" s="50">
        <v>59.0</v>
      </c>
      <c r="G77" s="50">
        <v>11.0</v>
      </c>
      <c r="H77" s="50">
        <v>4.0</v>
      </c>
      <c r="I77" s="50">
        <v>1.0</v>
      </c>
      <c r="J77" s="112" t="s">
        <v>6419</v>
      </c>
      <c r="K77" s="116"/>
      <c r="L77" s="50" t="s">
        <v>1613</v>
      </c>
      <c r="M77" s="50" t="s">
        <v>1613</v>
      </c>
      <c r="N77" s="116"/>
      <c r="O77" s="116"/>
      <c r="P77" s="50" t="s">
        <v>6742</v>
      </c>
      <c r="Q77" s="50" t="s">
        <v>6743</v>
      </c>
      <c r="R77" s="50">
        <v>22.541025</v>
      </c>
      <c r="S77" s="50">
        <v>88.3757319</v>
      </c>
      <c r="T77" s="50">
        <v>-16.8999996185302</v>
      </c>
      <c r="U77" s="50">
        <v>5.5</v>
      </c>
      <c r="V77" s="50">
        <v>1.0</v>
      </c>
      <c r="W77" s="50">
        <v>0.0</v>
      </c>
      <c r="X77" s="50">
        <v>1.0</v>
      </c>
      <c r="Y77" s="116"/>
      <c r="Z77" s="116"/>
      <c r="AA77" s="50">
        <v>1.0</v>
      </c>
      <c r="AB77" s="50">
        <v>4.0</v>
      </c>
      <c r="AC77" s="116"/>
      <c r="AD77" s="116"/>
      <c r="AE77" s="116"/>
      <c r="AF77" s="116"/>
      <c r="AG77" s="116"/>
      <c r="AH77" s="116"/>
      <c r="AI77" s="116"/>
      <c r="AJ77" s="116"/>
      <c r="AK77" s="116"/>
      <c r="AL77" s="116"/>
      <c r="AM77" s="116"/>
      <c r="AN77" s="116"/>
      <c r="AO77" s="116"/>
      <c r="AP77" s="116"/>
      <c r="AQ77" s="50" t="s">
        <v>3185</v>
      </c>
      <c r="AR77" s="50" t="s">
        <v>2327</v>
      </c>
      <c r="AS77" s="50">
        <v>1.0</v>
      </c>
      <c r="AT77" s="50" t="s">
        <v>5540</v>
      </c>
      <c r="AU77" s="117">
        <v>5232.0</v>
      </c>
      <c r="AV77" s="50" t="s">
        <v>6744</v>
      </c>
      <c r="AW77" s="50" t="s">
        <v>6745</v>
      </c>
      <c r="AX77" s="117">
        <v>326.0</v>
      </c>
    </row>
    <row r="78">
      <c r="A78" s="50" t="s">
        <v>6752</v>
      </c>
      <c r="B78" s="50" t="s">
        <v>6753</v>
      </c>
      <c r="C78" s="116"/>
      <c r="D78" s="116"/>
      <c r="E78" s="50">
        <v>3.52155090281144E14</v>
      </c>
      <c r="F78" s="50">
        <v>59.0</v>
      </c>
      <c r="G78" s="50">
        <v>11.0</v>
      </c>
      <c r="H78" s="50">
        <v>4.0</v>
      </c>
      <c r="I78" s="50">
        <v>1.0</v>
      </c>
      <c r="J78" s="112" t="s">
        <v>6754</v>
      </c>
      <c r="K78" s="116"/>
      <c r="L78" s="50" t="s">
        <v>1616</v>
      </c>
      <c r="M78" s="50" t="s">
        <v>1616</v>
      </c>
      <c r="N78" s="116"/>
      <c r="O78" s="116"/>
      <c r="P78" s="50" t="s">
        <v>6755</v>
      </c>
      <c r="Q78" s="50" t="s">
        <v>6756</v>
      </c>
      <c r="R78" s="50">
        <v>22.5415203</v>
      </c>
      <c r="S78" s="50">
        <v>88.374789</v>
      </c>
      <c r="T78" s="50">
        <v>-57.5</v>
      </c>
      <c r="U78" s="50">
        <v>5.0</v>
      </c>
      <c r="V78" s="50">
        <v>1.0</v>
      </c>
      <c r="W78" s="50">
        <v>0.0</v>
      </c>
      <c r="X78" s="50">
        <v>1.0</v>
      </c>
      <c r="Y78" s="116"/>
      <c r="Z78" s="116"/>
      <c r="AA78" s="50">
        <v>1.0</v>
      </c>
      <c r="AB78" s="50">
        <v>4.0</v>
      </c>
      <c r="AC78" s="116"/>
      <c r="AD78" s="116"/>
      <c r="AE78" s="116"/>
      <c r="AF78" s="116"/>
      <c r="AG78" s="116"/>
      <c r="AH78" s="116"/>
      <c r="AI78" s="116"/>
      <c r="AJ78" s="116"/>
      <c r="AK78" s="116"/>
      <c r="AL78" s="116"/>
      <c r="AM78" s="116"/>
      <c r="AN78" s="116"/>
      <c r="AO78" s="116"/>
      <c r="AP78" s="116"/>
      <c r="AQ78" s="50" t="s">
        <v>3200</v>
      </c>
      <c r="AR78" s="50" t="s">
        <v>2278</v>
      </c>
      <c r="AS78" s="50">
        <v>1.0</v>
      </c>
      <c r="AT78" s="50" t="s">
        <v>5540</v>
      </c>
      <c r="AU78" s="117">
        <v>5234.0</v>
      </c>
      <c r="AV78" s="50" t="s">
        <v>6757</v>
      </c>
      <c r="AW78" s="50" t="s">
        <v>6758</v>
      </c>
      <c r="AX78" s="117">
        <v>328.0</v>
      </c>
    </row>
    <row r="79">
      <c r="A79" s="50" t="s">
        <v>6766</v>
      </c>
      <c r="B79" s="50" t="s">
        <v>6767</v>
      </c>
      <c r="C79" s="116"/>
      <c r="D79" s="116"/>
      <c r="E79" s="50">
        <v>3.52155090281144E14</v>
      </c>
      <c r="F79" s="50">
        <v>59.0</v>
      </c>
      <c r="G79" s="50">
        <v>11.0</v>
      </c>
      <c r="H79" s="50">
        <v>4.0</v>
      </c>
      <c r="I79" s="50">
        <v>1.0</v>
      </c>
      <c r="J79" s="112" t="s">
        <v>6768</v>
      </c>
      <c r="K79" s="116"/>
      <c r="L79" s="50" t="s">
        <v>1619</v>
      </c>
      <c r="M79" s="50" t="s">
        <v>1619</v>
      </c>
      <c r="N79" s="116"/>
      <c r="O79" s="116"/>
      <c r="P79" s="50" t="s">
        <v>6769</v>
      </c>
      <c r="Q79" s="50" t="s">
        <v>6770</v>
      </c>
      <c r="R79" s="50">
        <v>22.5412401</v>
      </c>
      <c r="S79" s="50">
        <v>88.3762118</v>
      </c>
      <c r="T79" s="50">
        <v>-38.7999992370605</v>
      </c>
      <c r="U79" s="50">
        <v>6.0</v>
      </c>
      <c r="V79" s="50">
        <v>1.0</v>
      </c>
      <c r="W79" s="50">
        <v>0.0</v>
      </c>
      <c r="X79" s="50">
        <v>1.0</v>
      </c>
      <c r="Y79" s="116"/>
      <c r="Z79" s="116"/>
      <c r="AA79" s="50">
        <v>2.0</v>
      </c>
      <c r="AB79" s="50">
        <v>4.0</v>
      </c>
      <c r="AC79" s="116"/>
      <c r="AD79" s="116"/>
      <c r="AE79" s="116"/>
      <c r="AF79" s="116"/>
      <c r="AG79" s="116"/>
      <c r="AH79" s="116"/>
      <c r="AI79" s="116"/>
      <c r="AJ79" s="116"/>
      <c r="AK79" s="116"/>
      <c r="AL79" s="116"/>
      <c r="AM79" s="116"/>
      <c r="AN79" s="116"/>
      <c r="AO79" s="116"/>
      <c r="AP79" s="116"/>
      <c r="AQ79" s="50" t="s">
        <v>3185</v>
      </c>
      <c r="AR79" s="50" t="s">
        <v>2302</v>
      </c>
      <c r="AS79" s="50">
        <v>1.0</v>
      </c>
      <c r="AT79" s="50" t="s">
        <v>5540</v>
      </c>
      <c r="AU79" s="117">
        <v>5236.0</v>
      </c>
      <c r="AV79" s="50" t="s">
        <v>6771</v>
      </c>
      <c r="AW79" s="50" t="s">
        <v>6772</v>
      </c>
      <c r="AX79" s="117">
        <v>330.0</v>
      </c>
    </row>
    <row r="80">
      <c r="A80" s="50" t="s">
        <v>6780</v>
      </c>
      <c r="B80" s="50" t="s">
        <v>6781</v>
      </c>
      <c r="C80" s="116"/>
      <c r="D80" s="116"/>
      <c r="E80" s="50">
        <v>3.52155090281144E14</v>
      </c>
      <c r="F80" s="50">
        <v>58.0</v>
      </c>
      <c r="G80" s="50">
        <v>11.0</v>
      </c>
      <c r="H80" s="50">
        <v>3.0</v>
      </c>
      <c r="I80" s="50">
        <v>1.0</v>
      </c>
      <c r="J80" s="112" t="s">
        <v>6689</v>
      </c>
      <c r="K80" s="116"/>
      <c r="L80" s="50" t="s">
        <v>1622</v>
      </c>
      <c r="M80" s="50" t="s">
        <v>1622</v>
      </c>
      <c r="N80" s="116"/>
      <c r="O80" s="116"/>
      <c r="P80" s="50" t="s">
        <v>6782</v>
      </c>
      <c r="Q80" s="50" t="s">
        <v>6783</v>
      </c>
      <c r="R80" s="50">
        <v>22.5535163</v>
      </c>
      <c r="S80" s="50">
        <v>88.385248</v>
      </c>
      <c r="T80" s="50">
        <v>-41.099998474121</v>
      </c>
      <c r="U80" s="50">
        <v>5.0</v>
      </c>
      <c r="V80" s="50">
        <v>1.0</v>
      </c>
      <c r="W80" s="50">
        <v>0.0</v>
      </c>
      <c r="X80" s="50">
        <v>1.0</v>
      </c>
      <c r="Y80" s="116"/>
      <c r="Z80" s="116"/>
      <c r="AA80" s="50">
        <v>2.0</v>
      </c>
      <c r="AB80" s="50">
        <v>4.0</v>
      </c>
      <c r="AC80" s="116"/>
      <c r="AD80" s="116"/>
      <c r="AE80" s="116"/>
      <c r="AF80" s="116"/>
      <c r="AG80" s="116"/>
      <c r="AH80" s="116"/>
      <c r="AI80" s="116"/>
      <c r="AJ80" s="116"/>
      <c r="AK80" s="116"/>
      <c r="AL80" s="116"/>
      <c r="AM80" s="116"/>
      <c r="AN80" s="116"/>
      <c r="AO80" s="116"/>
      <c r="AP80" s="116"/>
      <c r="AQ80" s="50" t="s">
        <v>3185</v>
      </c>
      <c r="AR80" s="50" t="s">
        <v>2302</v>
      </c>
      <c r="AS80" s="50">
        <v>1.0</v>
      </c>
      <c r="AT80" s="50" t="s">
        <v>5540</v>
      </c>
      <c r="AU80" s="117">
        <v>5238.0</v>
      </c>
      <c r="AV80" s="50" t="s">
        <v>6784</v>
      </c>
      <c r="AW80" s="50" t="s">
        <v>6785</v>
      </c>
      <c r="AX80" s="117">
        <v>332.0</v>
      </c>
    </row>
    <row r="81">
      <c r="A81" s="50" t="s">
        <v>6793</v>
      </c>
      <c r="B81" s="50" t="s">
        <v>6794</v>
      </c>
      <c r="C81" s="116"/>
      <c r="D81" s="116"/>
      <c r="E81" s="50">
        <v>3.52155090281144E14</v>
      </c>
      <c r="F81" s="50">
        <v>59.0</v>
      </c>
      <c r="G81" s="50">
        <v>11.0</v>
      </c>
      <c r="H81" s="50">
        <v>4.0</v>
      </c>
      <c r="I81" s="50">
        <v>1.0</v>
      </c>
      <c r="J81" s="112" t="s">
        <v>6419</v>
      </c>
      <c r="K81" s="116"/>
      <c r="L81" s="50" t="s">
        <v>1628</v>
      </c>
      <c r="M81" s="50" t="s">
        <v>1628</v>
      </c>
      <c r="N81" s="116"/>
      <c r="O81" s="116"/>
      <c r="P81" s="50" t="s">
        <v>6795</v>
      </c>
      <c r="Q81" s="50" t="s">
        <v>6796</v>
      </c>
      <c r="R81" s="50">
        <v>22.5409688</v>
      </c>
      <c r="S81" s="50">
        <v>88.3758631</v>
      </c>
      <c r="T81" s="50">
        <v>31.2000007629394</v>
      </c>
      <c r="U81" s="50">
        <v>5.0</v>
      </c>
      <c r="V81" s="50">
        <v>1.0</v>
      </c>
      <c r="W81" s="50">
        <v>0.0</v>
      </c>
      <c r="X81" s="50">
        <v>0.0</v>
      </c>
      <c r="Y81" s="50">
        <v>1.0</v>
      </c>
      <c r="Z81" s="116"/>
      <c r="AA81" s="50">
        <v>1.0</v>
      </c>
      <c r="AB81" s="50">
        <v>4.0</v>
      </c>
      <c r="AC81" s="116"/>
      <c r="AD81" s="116"/>
      <c r="AE81" s="116"/>
      <c r="AF81" s="116"/>
      <c r="AG81" s="116"/>
      <c r="AH81" s="116"/>
      <c r="AI81" s="116"/>
      <c r="AJ81" s="116"/>
      <c r="AK81" s="116"/>
      <c r="AL81" s="116"/>
      <c r="AM81" s="116"/>
      <c r="AN81" s="116"/>
      <c r="AO81" s="116"/>
      <c r="AP81" s="116"/>
      <c r="AQ81" s="50" t="s">
        <v>3243</v>
      </c>
      <c r="AR81" s="50" t="s">
        <v>2327</v>
      </c>
      <c r="AS81" s="50">
        <v>1.0</v>
      </c>
      <c r="AT81" s="50" t="s">
        <v>5540</v>
      </c>
      <c r="AU81" s="117">
        <v>5248.0</v>
      </c>
      <c r="AV81" s="50" t="s">
        <v>6797</v>
      </c>
      <c r="AW81" s="50" t="s">
        <v>6798</v>
      </c>
      <c r="AX81" s="117">
        <v>334.0</v>
      </c>
    </row>
    <row r="82">
      <c r="A82" s="50" t="s">
        <v>6806</v>
      </c>
      <c r="B82" s="50" t="s">
        <v>6807</v>
      </c>
      <c r="C82" s="116"/>
      <c r="D82" s="116"/>
      <c r="E82" s="50">
        <v>3.52155090281144E14</v>
      </c>
      <c r="F82" s="50">
        <v>59.0</v>
      </c>
      <c r="G82" s="50">
        <v>11.0</v>
      </c>
      <c r="H82" s="50">
        <v>4.0</v>
      </c>
      <c r="I82" s="50">
        <v>1.0</v>
      </c>
      <c r="J82" s="112" t="s">
        <v>6754</v>
      </c>
      <c r="K82" s="116"/>
      <c r="L82" s="50" t="s">
        <v>1631</v>
      </c>
      <c r="M82" s="50" t="s">
        <v>1631</v>
      </c>
      <c r="N82" s="116"/>
      <c r="O82" s="116"/>
      <c r="P82" s="50" t="s">
        <v>6808</v>
      </c>
      <c r="Q82" s="50" t="s">
        <v>6809</v>
      </c>
      <c r="R82" s="50">
        <v>22.5418188</v>
      </c>
      <c r="S82" s="50">
        <v>88.374797</v>
      </c>
      <c r="T82" s="50">
        <v>-38.4000015258789</v>
      </c>
      <c r="U82" s="50">
        <v>5.0</v>
      </c>
      <c r="V82" s="50">
        <v>1.0</v>
      </c>
      <c r="W82" s="50">
        <v>0.0</v>
      </c>
      <c r="X82" s="50">
        <v>0.0</v>
      </c>
      <c r="Y82" s="50">
        <v>1.0</v>
      </c>
      <c r="Z82" s="116"/>
      <c r="AA82" s="50">
        <v>1.0</v>
      </c>
      <c r="AB82" s="50">
        <v>4.0</v>
      </c>
      <c r="AC82" s="116"/>
      <c r="AD82" s="116"/>
      <c r="AE82" s="116"/>
      <c r="AF82" s="116"/>
      <c r="AG82" s="116"/>
      <c r="AH82" s="116"/>
      <c r="AI82" s="116"/>
      <c r="AJ82" s="116"/>
      <c r="AK82" s="116"/>
      <c r="AL82" s="116"/>
      <c r="AM82" s="116"/>
      <c r="AN82" s="116"/>
      <c r="AO82" s="116"/>
      <c r="AP82" s="116"/>
      <c r="AQ82" s="50" t="s">
        <v>3185</v>
      </c>
      <c r="AR82" s="50" t="s">
        <v>2472</v>
      </c>
      <c r="AS82" s="50">
        <v>1.0</v>
      </c>
      <c r="AT82" s="50" t="s">
        <v>5540</v>
      </c>
      <c r="AU82" s="117">
        <v>5250.0</v>
      </c>
      <c r="AV82" s="50" t="s">
        <v>6810</v>
      </c>
      <c r="AW82" s="50" t="s">
        <v>6811</v>
      </c>
      <c r="AX82" s="117">
        <v>336.0</v>
      </c>
    </row>
    <row r="83">
      <c r="A83" s="50" t="s">
        <v>6819</v>
      </c>
      <c r="B83" s="50" t="s">
        <v>6820</v>
      </c>
      <c r="C83" s="116"/>
      <c r="D83" s="116"/>
      <c r="E83" s="50">
        <v>3.52155090281144E14</v>
      </c>
      <c r="F83" s="50">
        <v>59.0</v>
      </c>
      <c r="G83" s="50">
        <v>11.0</v>
      </c>
      <c r="H83" s="50">
        <v>4.0</v>
      </c>
      <c r="I83" s="50">
        <v>1.0</v>
      </c>
      <c r="J83" s="112" t="s">
        <v>6404</v>
      </c>
      <c r="K83" s="116"/>
      <c r="L83" s="50" t="s">
        <v>1634</v>
      </c>
      <c r="M83" s="50" t="s">
        <v>1634</v>
      </c>
      <c r="N83" s="116"/>
      <c r="O83" s="116"/>
      <c r="P83" s="50" t="s">
        <v>6821</v>
      </c>
      <c r="Q83" s="50" t="s">
        <v>6822</v>
      </c>
      <c r="R83" s="50">
        <v>22.5431799</v>
      </c>
      <c r="S83" s="50">
        <v>88.3819221</v>
      </c>
      <c r="T83" s="50">
        <v>-25.2999992370605</v>
      </c>
      <c r="U83" s="50">
        <v>5.0</v>
      </c>
      <c r="V83" s="50">
        <v>1.0</v>
      </c>
      <c r="W83" s="50">
        <v>0.0</v>
      </c>
      <c r="X83" s="50">
        <v>0.0</v>
      </c>
      <c r="Y83" s="50">
        <v>1.0</v>
      </c>
      <c r="Z83" s="116"/>
      <c r="AA83" s="50">
        <v>1.0</v>
      </c>
      <c r="AB83" s="50">
        <v>4.0</v>
      </c>
      <c r="AC83" s="116"/>
      <c r="AD83" s="116"/>
      <c r="AE83" s="116"/>
      <c r="AF83" s="116"/>
      <c r="AG83" s="116"/>
      <c r="AH83" s="116"/>
      <c r="AI83" s="116"/>
      <c r="AJ83" s="116"/>
      <c r="AK83" s="116"/>
      <c r="AL83" s="116"/>
      <c r="AM83" s="116"/>
      <c r="AN83" s="116"/>
      <c r="AO83" s="116"/>
      <c r="AP83" s="116"/>
      <c r="AQ83" s="50" t="s">
        <v>2949</v>
      </c>
      <c r="AR83" s="50" t="s">
        <v>3142</v>
      </c>
      <c r="AS83" s="50">
        <v>1.0</v>
      </c>
      <c r="AT83" s="50" t="s">
        <v>5540</v>
      </c>
      <c r="AU83" s="117">
        <v>5252.0</v>
      </c>
      <c r="AV83" s="50" t="s">
        <v>6823</v>
      </c>
      <c r="AW83" s="50" t="s">
        <v>6824</v>
      </c>
      <c r="AX83" s="117">
        <v>338.0</v>
      </c>
    </row>
    <row r="84">
      <c r="A84" s="50" t="s">
        <v>6840</v>
      </c>
      <c r="B84" s="50" t="s">
        <v>6841</v>
      </c>
      <c r="C84" s="116"/>
      <c r="D84" s="116"/>
      <c r="E84" s="50">
        <v>3.52155090281144E14</v>
      </c>
      <c r="F84" s="50">
        <v>58.0</v>
      </c>
      <c r="G84" s="50">
        <v>11.0</v>
      </c>
      <c r="H84" s="50">
        <v>3.0</v>
      </c>
      <c r="I84" s="50">
        <v>1.0</v>
      </c>
      <c r="J84" s="112" t="s">
        <v>6689</v>
      </c>
      <c r="K84" s="116"/>
      <c r="L84" s="50" t="s">
        <v>1637</v>
      </c>
      <c r="M84" s="50" t="s">
        <v>1637</v>
      </c>
      <c r="N84" s="116"/>
      <c r="O84" s="116"/>
      <c r="P84" s="50" t="s">
        <v>6849</v>
      </c>
      <c r="Q84" s="50" t="s">
        <v>6851</v>
      </c>
      <c r="R84" s="50">
        <v>22.5534318</v>
      </c>
      <c r="S84" s="50">
        <v>88.3852626</v>
      </c>
      <c r="T84" s="50">
        <v>-51.9000015258789</v>
      </c>
      <c r="U84" s="50">
        <v>5.0</v>
      </c>
      <c r="V84" s="50">
        <v>1.0</v>
      </c>
      <c r="W84" s="50">
        <v>0.0</v>
      </c>
      <c r="X84" s="50">
        <v>0.0</v>
      </c>
      <c r="Y84" s="50">
        <v>1.0</v>
      </c>
      <c r="Z84" s="116"/>
      <c r="AA84" s="50">
        <v>2.0</v>
      </c>
      <c r="AB84" s="50">
        <v>4.0</v>
      </c>
      <c r="AC84" s="116"/>
      <c r="AD84" s="116"/>
      <c r="AE84" s="116"/>
      <c r="AF84" s="116"/>
      <c r="AG84" s="116"/>
      <c r="AH84" s="116"/>
      <c r="AI84" s="116"/>
      <c r="AJ84" s="116"/>
      <c r="AK84" s="116"/>
      <c r="AL84" s="116"/>
      <c r="AM84" s="116"/>
      <c r="AN84" s="116"/>
      <c r="AO84" s="116"/>
      <c r="AP84" s="116"/>
      <c r="AQ84" s="50" t="s">
        <v>3185</v>
      </c>
      <c r="AR84" s="50" t="s">
        <v>2472</v>
      </c>
      <c r="AS84" s="50">
        <v>1.0</v>
      </c>
      <c r="AT84" s="50" t="s">
        <v>5540</v>
      </c>
      <c r="AU84" s="117">
        <v>5254.0</v>
      </c>
      <c r="AV84" s="50" t="s">
        <v>6870</v>
      </c>
      <c r="AW84" s="50" t="s">
        <v>6872</v>
      </c>
      <c r="AX84" s="117">
        <v>340.0</v>
      </c>
    </row>
    <row r="85">
      <c r="A85" s="50" t="s">
        <v>6884</v>
      </c>
      <c r="B85" s="50" t="s">
        <v>6885</v>
      </c>
      <c r="C85" s="116"/>
      <c r="D85" s="116"/>
      <c r="E85" s="50">
        <v>3.52155090281144E14</v>
      </c>
      <c r="F85" s="50">
        <v>59.0</v>
      </c>
      <c r="G85" s="50">
        <v>11.0</v>
      </c>
      <c r="H85" s="50">
        <v>4.0</v>
      </c>
      <c r="I85" s="50">
        <v>1.0</v>
      </c>
      <c r="J85" s="112" t="s">
        <v>6886</v>
      </c>
      <c r="K85" s="116"/>
      <c r="L85" s="50" t="s">
        <v>1643</v>
      </c>
      <c r="M85" s="50" t="s">
        <v>1643</v>
      </c>
      <c r="N85" s="116"/>
      <c r="O85" s="116"/>
      <c r="P85" s="50" t="s">
        <v>6887</v>
      </c>
      <c r="Q85" s="50" t="s">
        <v>6889</v>
      </c>
      <c r="R85" s="50">
        <v>22.5402288</v>
      </c>
      <c r="S85" s="50">
        <v>88.3755463</v>
      </c>
      <c r="T85" s="50">
        <v>-81.1999969482421</v>
      </c>
      <c r="U85" s="50">
        <v>5.0</v>
      </c>
      <c r="V85" s="50">
        <v>1.0</v>
      </c>
      <c r="W85" s="50">
        <v>0.0</v>
      </c>
      <c r="X85" s="50">
        <v>0.0</v>
      </c>
      <c r="Y85" s="50">
        <v>1.0</v>
      </c>
      <c r="Z85" s="116"/>
      <c r="AA85" s="50">
        <v>2.0</v>
      </c>
      <c r="AB85" s="50">
        <v>4.0</v>
      </c>
      <c r="AC85" s="116"/>
      <c r="AD85" s="116"/>
      <c r="AE85" s="116"/>
      <c r="AF85" s="116"/>
      <c r="AG85" s="116"/>
      <c r="AH85" s="116"/>
      <c r="AI85" s="116"/>
      <c r="AJ85" s="116"/>
      <c r="AK85" s="116"/>
      <c r="AL85" s="116"/>
      <c r="AM85" s="116"/>
      <c r="AN85" s="116"/>
      <c r="AO85" s="116"/>
      <c r="AP85" s="116"/>
      <c r="AQ85" s="50" t="s">
        <v>3185</v>
      </c>
      <c r="AR85" s="50" t="s">
        <v>2286</v>
      </c>
      <c r="AS85" s="50">
        <v>1.0</v>
      </c>
      <c r="AT85" s="50" t="s">
        <v>5540</v>
      </c>
      <c r="AU85" s="117">
        <v>5308.0</v>
      </c>
      <c r="AV85" s="50" t="s">
        <v>6895</v>
      </c>
      <c r="AW85" s="50" t="s">
        <v>6896</v>
      </c>
      <c r="AX85" s="117">
        <v>342.0</v>
      </c>
    </row>
    <row r="86">
      <c r="A86" s="50" t="s">
        <v>6914</v>
      </c>
      <c r="B86" s="50" t="s">
        <v>6915</v>
      </c>
      <c r="C86" s="116"/>
      <c r="D86" s="116"/>
      <c r="E86" s="50">
        <v>3.52155090281144E14</v>
      </c>
      <c r="F86" s="50">
        <v>59.0</v>
      </c>
      <c r="G86" s="50">
        <v>11.0</v>
      </c>
      <c r="H86" s="50">
        <v>4.0</v>
      </c>
      <c r="I86" s="50">
        <v>1.0</v>
      </c>
      <c r="J86" s="112" t="s">
        <v>6918</v>
      </c>
      <c r="K86" s="116"/>
      <c r="L86" s="50" t="s">
        <v>1644</v>
      </c>
      <c r="M86" s="50" t="s">
        <v>1644</v>
      </c>
      <c r="N86" s="116"/>
      <c r="O86" s="116"/>
      <c r="P86" s="50" t="s">
        <v>6919</v>
      </c>
      <c r="Q86" s="50" t="s">
        <v>6920</v>
      </c>
      <c r="R86" s="50">
        <v>22.541067</v>
      </c>
      <c r="S86" s="50">
        <v>88.3744202</v>
      </c>
      <c r="T86" s="50">
        <v>-63.7999992370605</v>
      </c>
      <c r="U86" s="50">
        <v>5.0</v>
      </c>
      <c r="V86" s="50">
        <v>1.0</v>
      </c>
      <c r="W86" s="50">
        <v>0.0</v>
      </c>
      <c r="X86" s="50">
        <v>0.0</v>
      </c>
      <c r="Y86" s="50">
        <v>1.0</v>
      </c>
      <c r="Z86" s="116"/>
      <c r="AA86" s="50">
        <v>2.0</v>
      </c>
      <c r="AB86" s="50">
        <v>4.0</v>
      </c>
      <c r="AC86" s="116"/>
      <c r="AD86" s="116"/>
      <c r="AE86" s="116"/>
      <c r="AF86" s="116"/>
      <c r="AG86" s="116"/>
      <c r="AH86" s="116"/>
      <c r="AI86" s="116"/>
      <c r="AJ86" s="116"/>
      <c r="AK86" s="116"/>
      <c r="AL86" s="116"/>
      <c r="AM86" s="116"/>
      <c r="AN86" s="116"/>
      <c r="AO86" s="116"/>
      <c r="AP86" s="116"/>
      <c r="AQ86" s="50" t="s">
        <v>3149</v>
      </c>
      <c r="AR86" s="50" t="s">
        <v>2278</v>
      </c>
      <c r="AS86" s="50">
        <v>1.0</v>
      </c>
      <c r="AT86" s="50" t="s">
        <v>5540</v>
      </c>
      <c r="AU86" s="117">
        <v>5310.0</v>
      </c>
      <c r="AV86" s="50" t="s">
        <v>6925</v>
      </c>
      <c r="AW86" s="50" t="s">
        <v>6926</v>
      </c>
      <c r="AX86" s="117">
        <v>344.0</v>
      </c>
    </row>
    <row r="87">
      <c r="A87" s="50" t="s">
        <v>6943</v>
      </c>
      <c r="B87" s="50" t="s">
        <v>6944</v>
      </c>
      <c r="C87" s="116"/>
      <c r="D87" s="116"/>
      <c r="E87" s="50">
        <v>3.52155090281144E14</v>
      </c>
      <c r="F87" s="50">
        <v>59.0</v>
      </c>
      <c r="G87" s="50">
        <v>11.0</v>
      </c>
      <c r="H87" s="50">
        <v>4.0</v>
      </c>
      <c r="I87" s="50">
        <v>1.0</v>
      </c>
      <c r="J87" s="112" t="s">
        <v>6768</v>
      </c>
      <c r="K87" s="116"/>
      <c r="L87" s="50" t="s">
        <v>1645</v>
      </c>
      <c r="M87" s="50" t="s">
        <v>1645</v>
      </c>
      <c r="N87" s="116"/>
      <c r="O87" s="116"/>
      <c r="P87" s="50" t="s">
        <v>6946</v>
      </c>
      <c r="Q87" s="50" t="s">
        <v>6947</v>
      </c>
      <c r="R87" s="50">
        <v>22.5413159</v>
      </c>
      <c r="S87" s="50">
        <v>88.3761562</v>
      </c>
      <c r="T87" s="50">
        <v>-19.5</v>
      </c>
      <c r="U87" s="50">
        <v>5.0</v>
      </c>
      <c r="V87" s="50">
        <v>1.0</v>
      </c>
      <c r="W87" s="50">
        <v>0.0</v>
      </c>
      <c r="X87" s="50">
        <v>0.0</v>
      </c>
      <c r="Y87" s="50">
        <v>1.0</v>
      </c>
      <c r="Z87" s="116"/>
      <c r="AA87" s="50">
        <v>2.0</v>
      </c>
      <c r="AB87" s="50">
        <v>4.0</v>
      </c>
      <c r="AC87" s="116"/>
      <c r="AD87" s="116"/>
      <c r="AE87" s="116"/>
      <c r="AF87" s="116"/>
      <c r="AG87" s="116"/>
      <c r="AH87" s="116"/>
      <c r="AI87" s="116"/>
      <c r="AJ87" s="116"/>
      <c r="AK87" s="116"/>
      <c r="AL87" s="116"/>
      <c r="AM87" s="116"/>
      <c r="AN87" s="116"/>
      <c r="AO87" s="116"/>
      <c r="AP87" s="116"/>
      <c r="AQ87" s="50" t="s">
        <v>3185</v>
      </c>
      <c r="AR87" s="50" t="s">
        <v>2472</v>
      </c>
      <c r="AS87" s="50">
        <v>1.0</v>
      </c>
      <c r="AT87" s="50" t="s">
        <v>5540</v>
      </c>
      <c r="AU87" s="117">
        <v>5312.0</v>
      </c>
      <c r="AV87" s="50" t="s">
        <v>6951</v>
      </c>
      <c r="AW87" s="50" t="s">
        <v>6952</v>
      </c>
      <c r="AX87" s="117">
        <v>346.0</v>
      </c>
    </row>
    <row r="88">
      <c r="A88" s="50" t="s">
        <v>7070</v>
      </c>
      <c r="B88" s="50" t="s">
        <v>7072</v>
      </c>
      <c r="C88" s="116"/>
      <c r="D88" s="116"/>
      <c r="E88" s="50">
        <v>3.52155090281144E14</v>
      </c>
      <c r="F88" s="50">
        <v>59.0</v>
      </c>
      <c r="G88" s="50">
        <v>11.0</v>
      </c>
      <c r="H88" s="50">
        <v>4.0</v>
      </c>
      <c r="I88" s="50">
        <v>1.0</v>
      </c>
      <c r="J88" s="112" t="s">
        <v>6419</v>
      </c>
      <c r="K88" s="116"/>
      <c r="L88" s="50" t="s">
        <v>1657</v>
      </c>
      <c r="M88" s="50" t="s">
        <v>1657</v>
      </c>
      <c r="N88" s="116"/>
      <c r="O88" s="116"/>
      <c r="P88" s="50" t="s">
        <v>7075</v>
      </c>
      <c r="Q88" s="50" t="s">
        <v>7076</v>
      </c>
      <c r="R88" s="50">
        <v>22.5409505</v>
      </c>
      <c r="S88" s="50">
        <v>88.3757255</v>
      </c>
      <c r="T88" s="50">
        <v>-23.7999992370605</v>
      </c>
      <c r="U88" s="50">
        <v>4.5</v>
      </c>
      <c r="V88" s="50">
        <v>1.0</v>
      </c>
      <c r="W88" s="50">
        <v>0.0</v>
      </c>
      <c r="X88" s="50">
        <v>0.0</v>
      </c>
      <c r="Y88" s="50">
        <v>1.0</v>
      </c>
      <c r="Z88" s="116"/>
      <c r="AA88" s="50">
        <v>1.0</v>
      </c>
      <c r="AB88" s="50">
        <v>4.0</v>
      </c>
      <c r="AC88" s="116"/>
      <c r="AD88" s="116"/>
      <c r="AE88" s="116"/>
      <c r="AF88" s="116"/>
      <c r="AG88" s="116"/>
      <c r="AH88" s="116"/>
      <c r="AI88" s="116"/>
      <c r="AJ88" s="116"/>
      <c r="AK88" s="116"/>
      <c r="AL88" s="116"/>
      <c r="AM88" s="116"/>
      <c r="AN88" s="116"/>
      <c r="AO88" s="116"/>
      <c r="AP88" s="116"/>
      <c r="AQ88" s="50" t="s">
        <v>3185</v>
      </c>
      <c r="AR88" s="50" t="s">
        <v>2302</v>
      </c>
      <c r="AS88" s="50">
        <v>1.0</v>
      </c>
      <c r="AT88" s="50" t="s">
        <v>5540</v>
      </c>
      <c r="AU88" s="117">
        <v>5442.0</v>
      </c>
      <c r="AV88" s="50" t="s">
        <v>7079</v>
      </c>
      <c r="AW88" s="50" t="s">
        <v>7081</v>
      </c>
      <c r="AX88" s="117">
        <v>357.0</v>
      </c>
    </row>
    <row r="89">
      <c r="A89" s="50" t="s">
        <v>7097</v>
      </c>
      <c r="B89" s="50" t="s">
        <v>7098</v>
      </c>
      <c r="C89" s="116"/>
      <c r="D89" s="116"/>
      <c r="E89" s="50">
        <v>3.52155090281144E14</v>
      </c>
      <c r="F89" s="50">
        <v>59.0</v>
      </c>
      <c r="G89" s="50">
        <v>11.0</v>
      </c>
      <c r="H89" s="50">
        <v>4.0</v>
      </c>
      <c r="I89" s="50">
        <v>1.0</v>
      </c>
      <c r="J89" s="112" t="s">
        <v>6754</v>
      </c>
      <c r="K89" s="116"/>
      <c r="L89" s="50" t="s">
        <v>1658</v>
      </c>
      <c r="M89" s="50" t="s">
        <v>1658</v>
      </c>
      <c r="N89" s="116"/>
      <c r="O89" s="116"/>
      <c r="P89" s="50" t="s">
        <v>7101</v>
      </c>
      <c r="Q89" s="50" t="s">
        <v>7103</v>
      </c>
      <c r="R89" s="50">
        <v>22.5417578</v>
      </c>
      <c r="S89" s="50">
        <v>88.3747665</v>
      </c>
      <c r="T89" s="50">
        <v>-74.1999969482421</v>
      </c>
      <c r="U89" s="50">
        <v>5.0</v>
      </c>
      <c r="V89" s="50">
        <v>1.0</v>
      </c>
      <c r="W89" s="50">
        <v>0.0</v>
      </c>
      <c r="X89" s="50">
        <v>0.0</v>
      </c>
      <c r="Y89" s="50">
        <v>1.0</v>
      </c>
      <c r="Z89" s="116"/>
      <c r="AA89" s="50">
        <v>1.0</v>
      </c>
      <c r="AB89" s="50">
        <v>4.0</v>
      </c>
      <c r="AC89" s="116"/>
      <c r="AD89" s="116"/>
      <c r="AE89" s="116"/>
      <c r="AF89" s="116"/>
      <c r="AG89" s="116"/>
      <c r="AH89" s="116"/>
      <c r="AI89" s="116"/>
      <c r="AJ89" s="116"/>
      <c r="AK89" s="116"/>
      <c r="AL89" s="116"/>
      <c r="AM89" s="116"/>
      <c r="AN89" s="116"/>
      <c r="AO89" s="116"/>
      <c r="AP89" s="116"/>
      <c r="AQ89" s="50" t="s">
        <v>3149</v>
      </c>
      <c r="AR89" s="50" t="s">
        <v>2472</v>
      </c>
      <c r="AS89" s="50">
        <v>1.0</v>
      </c>
      <c r="AT89" s="50" t="s">
        <v>5540</v>
      </c>
      <c r="AU89" s="117">
        <v>5444.0</v>
      </c>
      <c r="AV89" s="50" t="s">
        <v>7107</v>
      </c>
      <c r="AW89" s="50" t="s">
        <v>7108</v>
      </c>
      <c r="AX89" s="117">
        <v>359.0</v>
      </c>
    </row>
    <row r="90">
      <c r="A90" s="50" t="s">
        <v>7121</v>
      </c>
      <c r="B90" s="50" t="s">
        <v>7122</v>
      </c>
      <c r="C90" s="116"/>
      <c r="D90" s="116"/>
      <c r="E90" s="50">
        <v>3.52155090281144E14</v>
      </c>
      <c r="F90" s="50">
        <v>59.0</v>
      </c>
      <c r="G90" s="50">
        <v>11.0</v>
      </c>
      <c r="H90" s="50">
        <v>4.0</v>
      </c>
      <c r="I90" s="50">
        <v>1.0</v>
      </c>
      <c r="J90" s="112" t="s">
        <v>6404</v>
      </c>
      <c r="K90" s="116"/>
      <c r="L90" s="50" t="s">
        <v>1659</v>
      </c>
      <c r="M90" s="50" t="s">
        <v>1659</v>
      </c>
      <c r="N90" s="116"/>
      <c r="O90" s="116"/>
      <c r="P90" s="50" t="s">
        <v>7126</v>
      </c>
      <c r="Q90" s="50" t="s">
        <v>7127</v>
      </c>
      <c r="R90" s="50">
        <v>22.5431392</v>
      </c>
      <c r="S90" s="50">
        <v>88.3817978</v>
      </c>
      <c r="T90" s="50">
        <v>-51.9000015258789</v>
      </c>
      <c r="U90" s="50">
        <v>5.0</v>
      </c>
      <c r="V90" s="50">
        <v>1.0</v>
      </c>
      <c r="W90" s="50">
        <v>0.0</v>
      </c>
      <c r="X90" s="50">
        <v>0.0</v>
      </c>
      <c r="Y90" s="50">
        <v>1.0</v>
      </c>
      <c r="Z90" s="116"/>
      <c r="AA90" s="50">
        <v>1.0</v>
      </c>
      <c r="AB90" s="50">
        <v>4.0</v>
      </c>
      <c r="AC90" s="116"/>
      <c r="AD90" s="116"/>
      <c r="AE90" s="116"/>
      <c r="AF90" s="116"/>
      <c r="AG90" s="116"/>
      <c r="AH90" s="116"/>
      <c r="AI90" s="116"/>
      <c r="AJ90" s="116"/>
      <c r="AK90" s="116"/>
      <c r="AL90" s="116"/>
      <c r="AM90" s="116"/>
      <c r="AN90" s="116"/>
      <c r="AO90" s="116"/>
      <c r="AP90" s="116"/>
      <c r="AQ90" s="50" t="s">
        <v>3200</v>
      </c>
      <c r="AR90" s="50" t="s">
        <v>2278</v>
      </c>
      <c r="AS90" s="50">
        <v>1.0</v>
      </c>
      <c r="AT90" s="50" t="s">
        <v>5540</v>
      </c>
      <c r="AU90" s="117">
        <v>5446.0</v>
      </c>
      <c r="AV90" s="50" t="s">
        <v>7131</v>
      </c>
      <c r="AW90" s="50" t="s">
        <v>7132</v>
      </c>
      <c r="AX90" s="117">
        <v>361.0</v>
      </c>
    </row>
    <row r="91">
      <c r="A91" s="50" t="s">
        <v>7143</v>
      </c>
      <c r="B91" s="50" t="s">
        <v>7144</v>
      </c>
      <c r="C91" s="116"/>
      <c r="D91" s="116"/>
      <c r="E91" s="50">
        <v>3.52155090281144E14</v>
      </c>
      <c r="F91" s="50">
        <v>58.0</v>
      </c>
      <c r="G91" s="50">
        <v>11.0</v>
      </c>
      <c r="H91" s="50">
        <v>3.0</v>
      </c>
      <c r="I91" s="50">
        <v>1.0</v>
      </c>
      <c r="J91" s="112" t="s">
        <v>6689</v>
      </c>
      <c r="K91" s="116"/>
      <c r="L91" s="50" t="s">
        <v>1660</v>
      </c>
      <c r="M91" s="50" t="s">
        <v>1660</v>
      </c>
      <c r="N91" s="116"/>
      <c r="O91" s="116"/>
      <c r="P91" s="50" t="s">
        <v>7148</v>
      </c>
      <c r="Q91" s="50" t="s">
        <v>7149</v>
      </c>
      <c r="R91" s="50">
        <v>22.553567</v>
      </c>
      <c r="S91" s="50">
        <v>88.3851556</v>
      </c>
      <c r="T91" s="50">
        <v>-63.5</v>
      </c>
      <c r="U91" s="50">
        <v>5.0</v>
      </c>
      <c r="V91" s="50">
        <v>1.0</v>
      </c>
      <c r="W91" s="50">
        <v>0.0</v>
      </c>
      <c r="X91" s="50">
        <v>0.0</v>
      </c>
      <c r="Y91" s="50">
        <v>1.0</v>
      </c>
      <c r="Z91" s="116"/>
      <c r="AA91" s="50">
        <v>2.0</v>
      </c>
      <c r="AB91" s="50">
        <v>4.0</v>
      </c>
      <c r="AC91" s="116"/>
      <c r="AD91" s="116"/>
      <c r="AE91" s="116"/>
      <c r="AF91" s="116"/>
      <c r="AG91" s="116"/>
      <c r="AH91" s="116"/>
      <c r="AI91" s="116"/>
      <c r="AJ91" s="116"/>
      <c r="AK91" s="116"/>
      <c r="AL91" s="116"/>
      <c r="AM91" s="116"/>
      <c r="AN91" s="116"/>
      <c r="AO91" s="116"/>
      <c r="AP91" s="116"/>
      <c r="AQ91" s="50" t="s">
        <v>2979</v>
      </c>
      <c r="AR91" s="50" t="s">
        <v>2286</v>
      </c>
      <c r="AS91" s="50">
        <v>1.0</v>
      </c>
      <c r="AT91" s="50" t="s">
        <v>5540</v>
      </c>
      <c r="AU91" s="117">
        <v>5448.0</v>
      </c>
      <c r="AV91" s="50" t="s">
        <v>7155</v>
      </c>
      <c r="AW91" s="50" t="s">
        <v>7156</v>
      </c>
      <c r="AX91" s="117">
        <v>363.0</v>
      </c>
    </row>
    <row r="92">
      <c r="A92" s="50" t="s">
        <v>7169</v>
      </c>
      <c r="B92" s="50" t="s">
        <v>7170</v>
      </c>
      <c r="C92" s="116"/>
      <c r="D92" s="116"/>
      <c r="E92" s="50">
        <v>3.52155090281144E14</v>
      </c>
      <c r="F92" s="50">
        <v>59.0</v>
      </c>
      <c r="G92" s="50">
        <v>11.0</v>
      </c>
      <c r="H92" s="50">
        <v>4.0</v>
      </c>
      <c r="I92" s="50">
        <v>1.0</v>
      </c>
      <c r="J92" s="112" t="s">
        <v>6918</v>
      </c>
      <c r="K92" s="116"/>
      <c r="L92" s="50" t="s">
        <v>1664</v>
      </c>
      <c r="M92" s="50" t="s">
        <v>1664</v>
      </c>
      <c r="N92" s="116"/>
      <c r="O92" s="116"/>
      <c r="P92" s="50" t="s">
        <v>7171</v>
      </c>
      <c r="Q92" s="50" t="s">
        <v>7172</v>
      </c>
      <c r="R92" s="50">
        <v>22.5410988</v>
      </c>
      <c r="S92" s="50">
        <v>88.3742648</v>
      </c>
      <c r="T92" s="50">
        <v>-30.8999996185302</v>
      </c>
      <c r="U92" s="50">
        <v>5.0</v>
      </c>
      <c r="V92" s="50">
        <v>1.0</v>
      </c>
      <c r="W92" s="50">
        <v>0.0</v>
      </c>
      <c r="X92" s="50">
        <v>0.0</v>
      </c>
      <c r="Y92" s="50">
        <v>1.0</v>
      </c>
      <c r="Z92" s="116"/>
      <c r="AA92" s="50">
        <v>2.0</v>
      </c>
      <c r="AB92" s="50">
        <v>4.0</v>
      </c>
      <c r="AC92" s="116"/>
      <c r="AD92" s="116"/>
      <c r="AE92" s="116"/>
      <c r="AF92" s="116"/>
      <c r="AG92" s="116"/>
      <c r="AH92" s="116"/>
      <c r="AI92" s="116"/>
      <c r="AJ92" s="116"/>
      <c r="AK92" s="116"/>
      <c r="AL92" s="116"/>
      <c r="AM92" s="116"/>
      <c r="AN92" s="116"/>
      <c r="AO92" s="116"/>
      <c r="AP92" s="116"/>
      <c r="AQ92" s="50" t="s">
        <v>3185</v>
      </c>
      <c r="AR92" s="50" t="s">
        <v>2286</v>
      </c>
      <c r="AS92" s="50">
        <v>1.0</v>
      </c>
      <c r="AT92" s="50" t="s">
        <v>5540</v>
      </c>
      <c r="AU92" s="117">
        <v>5490.0</v>
      </c>
      <c r="AV92" s="50" t="s">
        <v>7176</v>
      </c>
      <c r="AW92" s="50" t="s">
        <v>7178</v>
      </c>
      <c r="AX92" s="117">
        <v>365.0</v>
      </c>
    </row>
    <row r="93">
      <c r="A93" s="50" t="s">
        <v>7189</v>
      </c>
      <c r="B93" s="50" t="s">
        <v>7190</v>
      </c>
      <c r="C93" s="116"/>
      <c r="D93" s="116"/>
      <c r="E93" s="50">
        <v>3.52155090281144E14</v>
      </c>
      <c r="F93" s="50">
        <v>59.0</v>
      </c>
      <c r="G93" s="50">
        <v>11.0</v>
      </c>
      <c r="H93" s="50">
        <v>4.0</v>
      </c>
      <c r="I93" s="50">
        <v>1.0</v>
      </c>
      <c r="J93" s="112" t="s">
        <v>6886</v>
      </c>
      <c r="K93" s="116"/>
      <c r="L93" s="50" t="s">
        <v>1665</v>
      </c>
      <c r="M93" s="50" t="s">
        <v>1665</v>
      </c>
      <c r="N93" s="116"/>
      <c r="O93" s="116"/>
      <c r="P93" s="50" t="s">
        <v>7194</v>
      </c>
      <c r="Q93" s="50" t="s">
        <v>7196</v>
      </c>
      <c r="R93" s="50">
        <v>22.5404564</v>
      </c>
      <c r="S93" s="50">
        <v>88.3753721</v>
      </c>
      <c r="T93" s="50">
        <v>-27.8999996185302</v>
      </c>
      <c r="U93" s="50">
        <v>5.0</v>
      </c>
      <c r="V93" s="50">
        <v>1.0</v>
      </c>
      <c r="W93" s="50">
        <v>0.0</v>
      </c>
      <c r="X93" s="50">
        <v>0.0</v>
      </c>
      <c r="Y93" s="50">
        <v>1.0</v>
      </c>
      <c r="Z93" s="116"/>
      <c r="AA93" s="50">
        <v>2.0</v>
      </c>
      <c r="AB93" s="50">
        <v>4.0</v>
      </c>
      <c r="AC93" s="116"/>
      <c r="AD93" s="116"/>
      <c r="AE93" s="116"/>
      <c r="AF93" s="116"/>
      <c r="AG93" s="116"/>
      <c r="AH93" s="116"/>
      <c r="AI93" s="116"/>
      <c r="AJ93" s="116"/>
      <c r="AK93" s="116"/>
      <c r="AL93" s="116"/>
      <c r="AM93" s="116"/>
      <c r="AN93" s="116"/>
      <c r="AO93" s="116"/>
      <c r="AP93" s="116"/>
      <c r="AQ93" s="50" t="s">
        <v>3200</v>
      </c>
      <c r="AR93" s="50" t="s">
        <v>2327</v>
      </c>
      <c r="AS93" s="50">
        <v>1.0</v>
      </c>
      <c r="AT93" s="50" t="s">
        <v>5540</v>
      </c>
      <c r="AU93" s="117">
        <v>5492.0</v>
      </c>
      <c r="AV93" s="50" t="s">
        <v>7197</v>
      </c>
      <c r="AW93" s="50" t="s">
        <v>7198</v>
      </c>
      <c r="AX93" s="117">
        <v>367.0</v>
      </c>
    </row>
    <row r="94">
      <c r="A94" s="50" t="s">
        <v>7210</v>
      </c>
      <c r="B94" s="50" t="s">
        <v>7211</v>
      </c>
      <c r="C94" s="116"/>
      <c r="D94" s="116"/>
      <c r="E94" s="50">
        <v>3.52155090281144E14</v>
      </c>
      <c r="F94" s="50">
        <v>59.0</v>
      </c>
      <c r="G94" s="50">
        <v>11.0</v>
      </c>
      <c r="H94" s="50">
        <v>4.0</v>
      </c>
      <c r="I94" s="50">
        <v>1.0</v>
      </c>
      <c r="J94" s="112" t="s">
        <v>6768</v>
      </c>
      <c r="K94" s="116"/>
      <c r="L94" s="50" t="s">
        <v>1666</v>
      </c>
      <c r="M94" s="50" t="s">
        <v>1666</v>
      </c>
      <c r="N94" s="116"/>
      <c r="O94" s="116"/>
      <c r="P94" s="50" t="s">
        <v>7212</v>
      </c>
      <c r="Q94" s="50" t="s">
        <v>7213</v>
      </c>
      <c r="R94" s="50">
        <v>22.5414097</v>
      </c>
      <c r="S94" s="50">
        <v>88.3760418</v>
      </c>
      <c r="T94" s="50">
        <v>-46.4000015258789</v>
      </c>
      <c r="U94" s="50">
        <v>5.0</v>
      </c>
      <c r="V94" s="50">
        <v>1.0</v>
      </c>
      <c r="W94" s="50">
        <v>0.0</v>
      </c>
      <c r="X94" s="50">
        <v>0.0</v>
      </c>
      <c r="Y94" s="50">
        <v>1.0</v>
      </c>
      <c r="Z94" s="116"/>
      <c r="AA94" s="50">
        <v>2.0</v>
      </c>
      <c r="AB94" s="50">
        <v>4.0</v>
      </c>
      <c r="AC94" s="116"/>
      <c r="AD94" s="116"/>
      <c r="AE94" s="116"/>
      <c r="AF94" s="116"/>
      <c r="AG94" s="116"/>
      <c r="AH94" s="116"/>
      <c r="AI94" s="116"/>
      <c r="AJ94" s="116"/>
      <c r="AK94" s="116"/>
      <c r="AL94" s="116"/>
      <c r="AM94" s="116"/>
      <c r="AN94" s="116"/>
      <c r="AO94" s="116"/>
      <c r="AP94" s="116"/>
      <c r="AQ94" s="50" t="s">
        <v>7218</v>
      </c>
      <c r="AR94" s="50" t="s">
        <v>2327</v>
      </c>
      <c r="AS94" s="50">
        <v>1.0</v>
      </c>
      <c r="AT94" s="50" t="s">
        <v>5540</v>
      </c>
      <c r="AU94" s="117">
        <v>5494.0</v>
      </c>
      <c r="AV94" s="50" t="s">
        <v>7219</v>
      </c>
      <c r="AW94" s="50" t="s">
        <v>7220</v>
      </c>
      <c r="AX94" s="117">
        <v>369.0</v>
      </c>
    </row>
    <row r="95">
      <c r="A95" s="50" t="s">
        <v>7231</v>
      </c>
      <c r="B95" s="50" t="s">
        <v>7232</v>
      </c>
      <c r="C95" s="116"/>
      <c r="D95" s="116"/>
      <c r="E95" s="50">
        <v>3.52155090281144E14</v>
      </c>
      <c r="F95" s="50">
        <v>58.0</v>
      </c>
      <c r="G95" s="50">
        <v>11.0</v>
      </c>
      <c r="H95" s="50">
        <v>3.0</v>
      </c>
      <c r="I95" s="50">
        <v>1.0</v>
      </c>
      <c r="J95" s="112" t="s">
        <v>6689</v>
      </c>
      <c r="K95" s="116"/>
      <c r="L95" s="50" t="s">
        <v>1670</v>
      </c>
      <c r="M95" s="50" t="s">
        <v>1670</v>
      </c>
      <c r="N95" s="116"/>
      <c r="O95" s="116"/>
      <c r="P95" s="50" t="s">
        <v>7234</v>
      </c>
      <c r="Q95" s="50" t="s">
        <v>7236</v>
      </c>
      <c r="R95" s="50">
        <v>22.5535386</v>
      </c>
      <c r="S95" s="50">
        <v>88.3851565</v>
      </c>
      <c r="T95" s="50">
        <v>-41.7999992370605</v>
      </c>
      <c r="U95" s="50">
        <v>5.0</v>
      </c>
      <c r="V95" s="50">
        <v>1.0</v>
      </c>
      <c r="W95" s="50">
        <v>0.0</v>
      </c>
      <c r="X95" s="50">
        <v>0.0</v>
      </c>
      <c r="Y95" s="50">
        <v>1.0</v>
      </c>
      <c r="Z95" s="116"/>
      <c r="AA95" s="50">
        <v>2.0</v>
      </c>
      <c r="AB95" s="50">
        <v>4.0</v>
      </c>
      <c r="AC95" s="116"/>
      <c r="AD95" s="116"/>
      <c r="AE95" s="116"/>
      <c r="AF95" s="116"/>
      <c r="AG95" s="116"/>
      <c r="AH95" s="116"/>
      <c r="AI95" s="116"/>
      <c r="AJ95" s="116"/>
      <c r="AK95" s="116"/>
      <c r="AL95" s="116"/>
      <c r="AM95" s="116"/>
      <c r="AN95" s="116"/>
      <c r="AO95" s="116"/>
      <c r="AP95" s="116"/>
      <c r="AQ95" s="50" t="s">
        <v>3185</v>
      </c>
      <c r="AR95" s="50" t="s">
        <v>2327</v>
      </c>
      <c r="AS95" s="50">
        <v>1.0</v>
      </c>
      <c r="AT95" s="50" t="s">
        <v>5540</v>
      </c>
      <c r="AU95" s="117">
        <v>5561.0</v>
      </c>
      <c r="AV95" s="50" t="s">
        <v>7239</v>
      </c>
      <c r="AW95" s="50" t="s">
        <v>7240</v>
      </c>
      <c r="AX95" s="117">
        <v>371.0</v>
      </c>
    </row>
    <row r="96">
      <c r="A96" s="50" t="s">
        <v>7257</v>
      </c>
      <c r="B96" s="50" t="s">
        <v>7258</v>
      </c>
      <c r="C96" s="116"/>
      <c r="D96" s="116"/>
      <c r="E96" s="50">
        <v>3.52155090281144E14</v>
      </c>
      <c r="F96" s="50">
        <v>59.0</v>
      </c>
      <c r="G96" s="50">
        <v>11.0</v>
      </c>
      <c r="H96" s="50">
        <v>4.0</v>
      </c>
      <c r="I96" s="50">
        <v>1.0</v>
      </c>
      <c r="J96" s="112" t="s">
        <v>6754</v>
      </c>
      <c r="K96" s="116"/>
      <c r="L96" s="50" t="s">
        <v>1673</v>
      </c>
      <c r="M96" s="50" t="s">
        <v>1673</v>
      </c>
      <c r="N96" s="116"/>
      <c r="O96" s="116"/>
      <c r="P96" s="50" t="s">
        <v>7259</v>
      </c>
      <c r="Q96" s="50" t="s">
        <v>7260</v>
      </c>
      <c r="R96" s="50">
        <v>22.5416828</v>
      </c>
      <c r="S96" s="50">
        <v>88.3747429</v>
      </c>
      <c r="T96" s="50">
        <v>-6.09999990463256</v>
      </c>
      <c r="U96" s="50">
        <v>4.5</v>
      </c>
      <c r="V96" s="50">
        <v>1.0</v>
      </c>
      <c r="W96" s="50">
        <v>0.0</v>
      </c>
      <c r="X96" s="50">
        <v>0.0</v>
      </c>
      <c r="Y96" s="50">
        <v>1.0</v>
      </c>
      <c r="Z96" s="116"/>
      <c r="AA96" s="50">
        <v>2.0</v>
      </c>
      <c r="AB96" s="50">
        <v>4.0</v>
      </c>
      <c r="AC96" s="116"/>
      <c r="AD96" s="116"/>
      <c r="AE96" s="116"/>
      <c r="AF96" s="116"/>
      <c r="AG96" s="116"/>
      <c r="AH96" s="116"/>
      <c r="AI96" s="116"/>
      <c r="AJ96" s="116"/>
      <c r="AK96" s="116"/>
      <c r="AL96" s="116"/>
      <c r="AM96" s="116"/>
      <c r="AN96" s="116"/>
      <c r="AO96" s="116"/>
      <c r="AP96" s="116"/>
      <c r="AQ96" s="50" t="s">
        <v>3149</v>
      </c>
      <c r="AR96" s="50" t="s">
        <v>2472</v>
      </c>
      <c r="AS96" s="50">
        <v>1.0</v>
      </c>
      <c r="AT96" s="50" t="s">
        <v>5540</v>
      </c>
      <c r="AU96" s="117">
        <v>5563.0</v>
      </c>
      <c r="AV96" s="50" t="s">
        <v>7264</v>
      </c>
      <c r="AW96" s="50" t="s">
        <v>7265</v>
      </c>
      <c r="AX96" s="117">
        <v>373.0</v>
      </c>
    </row>
    <row r="97">
      <c r="A97" s="50" t="s">
        <v>7277</v>
      </c>
      <c r="B97" s="50" t="s">
        <v>7278</v>
      </c>
      <c r="C97" s="116"/>
      <c r="D97" s="116"/>
      <c r="E97" s="50">
        <v>3.52155090281144E14</v>
      </c>
      <c r="F97" s="50">
        <v>59.0</v>
      </c>
      <c r="G97" s="50">
        <v>11.0</v>
      </c>
      <c r="H97" s="50">
        <v>4.0</v>
      </c>
      <c r="I97" s="50">
        <v>1.0</v>
      </c>
      <c r="J97" s="112" t="s">
        <v>6918</v>
      </c>
      <c r="K97" s="116"/>
      <c r="L97" s="50" t="s">
        <v>1684</v>
      </c>
      <c r="M97" s="50" t="s">
        <v>1684</v>
      </c>
      <c r="N97" s="116"/>
      <c r="O97" s="116"/>
      <c r="P97" s="50" t="s">
        <v>7280</v>
      </c>
      <c r="Q97" s="50" t="s">
        <v>7281</v>
      </c>
      <c r="R97" s="50">
        <v>22.5411381</v>
      </c>
      <c r="S97" s="50">
        <v>88.3742701</v>
      </c>
      <c r="T97" s="50">
        <v>-28.7000007629394</v>
      </c>
      <c r="U97" s="50">
        <v>5.0</v>
      </c>
      <c r="V97" s="50">
        <v>1.0</v>
      </c>
      <c r="W97" s="50">
        <v>0.0</v>
      </c>
      <c r="X97" s="50">
        <v>0.0</v>
      </c>
      <c r="Y97" s="50">
        <v>1.0</v>
      </c>
      <c r="Z97" s="116"/>
      <c r="AA97" s="50">
        <v>2.0</v>
      </c>
      <c r="AB97" s="50">
        <v>4.0</v>
      </c>
      <c r="AC97" s="116"/>
      <c r="AD97" s="116"/>
      <c r="AE97" s="116"/>
      <c r="AF97" s="116"/>
      <c r="AG97" s="116"/>
      <c r="AH97" s="116"/>
      <c r="AI97" s="116"/>
      <c r="AJ97" s="116"/>
      <c r="AK97" s="116"/>
      <c r="AL97" s="116"/>
      <c r="AM97" s="116"/>
      <c r="AN97" s="116"/>
      <c r="AO97" s="116"/>
      <c r="AP97" s="116"/>
      <c r="AQ97" s="50" t="s">
        <v>3149</v>
      </c>
      <c r="AR97" s="50" t="s">
        <v>2278</v>
      </c>
      <c r="AS97" s="50">
        <v>1.0</v>
      </c>
      <c r="AT97" s="50" t="s">
        <v>5540</v>
      </c>
      <c r="AU97" s="117">
        <v>5631.0</v>
      </c>
      <c r="AV97" s="50" t="s">
        <v>7282</v>
      </c>
      <c r="AW97" s="50" t="s">
        <v>7283</v>
      </c>
      <c r="AX97" s="117">
        <v>375.0</v>
      </c>
    </row>
    <row r="98">
      <c r="A98" s="50" t="s">
        <v>7295</v>
      </c>
      <c r="B98" s="50" t="s">
        <v>7297</v>
      </c>
      <c r="C98" s="116"/>
      <c r="D98" s="116"/>
      <c r="E98" s="50">
        <v>3.52155090281144E14</v>
      </c>
      <c r="F98" s="50">
        <v>59.0</v>
      </c>
      <c r="G98" s="50">
        <v>11.0</v>
      </c>
      <c r="H98" s="50">
        <v>4.0</v>
      </c>
      <c r="I98" s="50">
        <v>1.0</v>
      </c>
      <c r="J98" s="112" t="s">
        <v>6886</v>
      </c>
      <c r="K98" s="116"/>
      <c r="L98" s="50" t="s">
        <v>1687</v>
      </c>
      <c r="M98" s="50" t="s">
        <v>1687</v>
      </c>
      <c r="N98" s="116"/>
      <c r="O98" s="116"/>
      <c r="P98" s="50" t="s">
        <v>7300</v>
      </c>
      <c r="Q98" s="50" t="s">
        <v>7301</v>
      </c>
      <c r="R98" s="50">
        <v>22.5404816</v>
      </c>
      <c r="S98" s="50">
        <v>88.3753127</v>
      </c>
      <c r="T98" s="50">
        <v>-34.099998474121</v>
      </c>
      <c r="U98" s="50">
        <v>5.0</v>
      </c>
      <c r="V98" s="50">
        <v>1.0</v>
      </c>
      <c r="W98" s="50">
        <v>0.0</v>
      </c>
      <c r="X98" s="50">
        <v>0.0</v>
      </c>
      <c r="Y98" s="50">
        <v>1.0</v>
      </c>
      <c r="Z98" s="116"/>
      <c r="AA98" s="50">
        <v>2.0</v>
      </c>
      <c r="AB98" s="50">
        <v>4.0</v>
      </c>
      <c r="AC98" s="116"/>
      <c r="AD98" s="116"/>
      <c r="AE98" s="116"/>
      <c r="AF98" s="116"/>
      <c r="AG98" s="116"/>
      <c r="AH98" s="116"/>
      <c r="AI98" s="116"/>
      <c r="AJ98" s="116"/>
      <c r="AK98" s="116"/>
      <c r="AL98" s="116"/>
      <c r="AM98" s="116"/>
      <c r="AN98" s="116"/>
      <c r="AO98" s="116"/>
      <c r="AP98" s="116"/>
      <c r="AQ98" s="50" t="s">
        <v>3185</v>
      </c>
      <c r="AR98" s="50" t="s">
        <v>2472</v>
      </c>
      <c r="AS98" s="50">
        <v>1.0</v>
      </c>
      <c r="AT98" s="50" t="s">
        <v>5540</v>
      </c>
      <c r="AU98" s="117">
        <v>5633.0</v>
      </c>
      <c r="AV98" s="50" t="s">
        <v>7307</v>
      </c>
      <c r="AW98" s="50" t="s">
        <v>7309</v>
      </c>
      <c r="AX98" s="117">
        <v>377.0</v>
      </c>
    </row>
    <row r="99">
      <c r="A99" s="50" t="s">
        <v>7328</v>
      </c>
      <c r="B99" s="50" t="s">
        <v>7329</v>
      </c>
      <c r="C99" s="116"/>
      <c r="D99" s="116"/>
      <c r="E99" s="50">
        <v>3.52155090281144E14</v>
      </c>
      <c r="F99" s="50">
        <v>59.0</v>
      </c>
      <c r="G99" s="50">
        <v>11.0</v>
      </c>
      <c r="H99" s="50">
        <v>4.0</v>
      </c>
      <c r="I99" s="50">
        <v>1.0</v>
      </c>
      <c r="J99" s="112" t="s">
        <v>6768</v>
      </c>
      <c r="K99" s="116"/>
      <c r="L99" s="50" t="s">
        <v>1690</v>
      </c>
      <c r="M99" s="50" t="s">
        <v>1690</v>
      </c>
      <c r="N99" s="116"/>
      <c r="O99" s="116"/>
      <c r="P99" s="50" t="s">
        <v>7334</v>
      </c>
      <c r="Q99" s="50" t="s">
        <v>7336</v>
      </c>
      <c r="R99" s="50">
        <v>22.54122</v>
      </c>
      <c r="S99" s="50">
        <v>88.3762209</v>
      </c>
      <c r="T99" s="50">
        <v>-24.5</v>
      </c>
      <c r="U99" s="50">
        <v>4.5</v>
      </c>
      <c r="V99" s="50">
        <v>1.0</v>
      </c>
      <c r="W99" s="50">
        <v>0.0</v>
      </c>
      <c r="X99" s="50">
        <v>0.0</v>
      </c>
      <c r="Y99" s="50">
        <v>1.0</v>
      </c>
      <c r="Z99" s="116"/>
      <c r="AA99" s="50">
        <v>2.0</v>
      </c>
      <c r="AB99" s="50">
        <v>4.0</v>
      </c>
      <c r="AC99" s="116"/>
      <c r="AD99" s="116"/>
      <c r="AE99" s="116"/>
      <c r="AF99" s="116"/>
      <c r="AG99" s="116"/>
      <c r="AH99" s="116"/>
      <c r="AI99" s="116"/>
      <c r="AJ99" s="116"/>
      <c r="AK99" s="116"/>
      <c r="AL99" s="116"/>
      <c r="AM99" s="116"/>
      <c r="AN99" s="116"/>
      <c r="AO99" s="116"/>
      <c r="AP99" s="116"/>
      <c r="AQ99" s="50" t="s">
        <v>3149</v>
      </c>
      <c r="AR99" s="50" t="s">
        <v>2472</v>
      </c>
      <c r="AS99" s="50">
        <v>1.0</v>
      </c>
      <c r="AT99" s="50" t="s">
        <v>5540</v>
      </c>
      <c r="AU99" s="117">
        <v>5635.0</v>
      </c>
      <c r="AV99" s="50" t="s">
        <v>7342</v>
      </c>
      <c r="AW99" s="50" t="s">
        <v>7343</v>
      </c>
      <c r="AX99" s="117">
        <v>379.0</v>
      </c>
    </row>
    <row r="100">
      <c r="A100" s="50" t="s">
        <v>7424</v>
      </c>
      <c r="B100" s="50" t="s">
        <v>7425</v>
      </c>
      <c r="C100" s="116"/>
      <c r="D100" s="116"/>
      <c r="E100" s="50">
        <v>3.52155090281144E14</v>
      </c>
      <c r="F100" s="50">
        <v>58.0</v>
      </c>
      <c r="G100" s="50">
        <v>11.0</v>
      </c>
      <c r="H100" s="50">
        <v>3.0</v>
      </c>
      <c r="I100" s="50">
        <v>1.0</v>
      </c>
      <c r="J100" s="112" t="s">
        <v>6689</v>
      </c>
      <c r="K100" s="116"/>
      <c r="L100" s="50" t="s">
        <v>1704</v>
      </c>
      <c r="M100" s="50" t="s">
        <v>1704</v>
      </c>
      <c r="N100" s="116"/>
      <c r="O100" s="116"/>
      <c r="P100" s="50" t="s">
        <v>7429</v>
      </c>
      <c r="Q100" s="50" t="s">
        <v>7430</v>
      </c>
      <c r="R100" s="50">
        <v>22.5535747</v>
      </c>
      <c r="S100" s="50">
        <v>88.3851147</v>
      </c>
      <c r="T100" s="50">
        <v>-36.099998474121</v>
      </c>
      <c r="U100" s="50">
        <v>4.5</v>
      </c>
      <c r="V100" s="50">
        <v>1.0</v>
      </c>
      <c r="W100" s="50">
        <v>0.0</v>
      </c>
      <c r="X100" s="50">
        <v>0.0</v>
      </c>
      <c r="Y100" s="50">
        <v>1.0</v>
      </c>
      <c r="Z100" s="116"/>
      <c r="AA100" s="50">
        <v>2.0</v>
      </c>
      <c r="AB100" s="50">
        <v>4.0</v>
      </c>
      <c r="AC100" s="116"/>
      <c r="AD100" s="116"/>
      <c r="AE100" s="116"/>
      <c r="AF100" s="116"/>
      <c r="AG100" s="116"/>
      <c r="AH100" s="116"/>
      <c r="AI100" s="116"/>
      <c r="AJ100" s="116"/>
      <c r="AK100" s="116"/>
      <c r="AL100" s="116"/>
      <c r="AM100" s="116"/>
      <c r="AN100" s="116"/>
      <c r="AO100" s="116"/>
      <c r="AP100" s="116"/>
      <c r="AQ100" s="50" t="s">
        <v>3185</v>
      </c>
      <c r="AR100" s="50" t="s">
        <v>2302</v>
      </c>
      <c r="AS100" s="50">
        <v>1.0</v>
      </c>
      <c r="AT100" s="50" t="s">
        <v>5540</v>
      </c>
      <c r="AU100" s="117">
        <v>5696.0</v>
      </c>
      <c r="AV100" s="50" t="s">
        <v>7432</v>
      </c>
      <c r="AW100" s="50" t="s">
        <v>7433</v>
      </c>
      <c r="AX100" s="117">
        <v>386.0</v>
      </c>
    </row>
    <row r="101">
      <c r="A101" s="50" t="s">
        <v>7450</v>
      </c>
      <c r="B101" s="50" t="s">
        <v>7451</v>
      </c>
      <c r="C101" s="116"/>
      <c r="D101" s="116"/>
      <c r="E101" s="50">
        <v>3.52155090281144E14</v>
      </c>
      <c r="F101" s="50">
        <v>59.0</v>
      </c>
      <c r="G101" s="50">
        <v>11.0</v>
      </c>
      <c r="H101" s="50">
        <v>4.0</v>
      </c>
      <c r="I101" s="50">
        <v>1.0</v>
      </c>
      <c r="J101" s="112" t="s">
        <v>6754</v>
      </c>
      <c r="K101" s="116"/>
      <c r="L101" s="50" t="s">
        <v>1705</v>
      </c>
      <c r="M101" s="50" t="s">
        <v>1705</v>
      </c>
      <c r="N101" s="116"/>
      <c r="O101" s="116"/>
      <c r="P101" s="50" t="s">
        <v>7453</v>
      </c>
      <c r="Q101" s="50" t="s">
        <v>7454</v>
      </c>
      <c r="R101" s="50">
        <v>22.5417338</v>
      </c>
      <c r="S101" s="50">
        <v>88.3747261</v>
      </c>
      <c r="T101" s="50">
        <v>-44.2999992370605</v>
      </c>
      <c r="U101" s="50">
        <v>5.0</v>
      </c>
      <c r="V101" s="50">
        <v>1.0</v>
      </c>
      <c r="W101" s="50">
        <v>0.0</v>
      </c>
      <c r="X101" s="50">
        <v>0.0</v>
      </c>
      <c r="Y101" s="50">
        <v>1.0</v>
      </c>
      <c r="Z101" s="116"/>
      <c r="AA101" s="50">
        <v>2.0</v>
      </c>
      <c r="AB101" s="50">
        <v>4.0</v>
      </c>
      <c r="AC101" s="116"/>
      <c r="AD101" s="116"/>
      <c r="AE101" s="116"/>
      <c r="AF101" s="116"/>
      <c r="AG101" s="116"/>
      <c r="AH101" s="116"/>
      <c r="AI101" s="116"/>
      <c r="AJ101" s="116"/>
      <c r="AK101" s="116"/>
      <c r="AL101" s="116"/>
      <c r="AM101" s="116"/>
      <c r="AN101" s="116"/>
      <c r="AO101" s="116"/>
      <c r="AP101" s="116"/>
      <c r="AQ101" s="50" t="s">
        <v>3149</v>
      </c>
      <c r="AR101" s="50" t="s">
        <v>2472</v>
      </c>
      <c r="AS101" s="50">
        <v>1.0</v>
      </c>
      <c r="AT101" s="50" t="s">
        <v>5540</v>
      </c>
      <c r="AU101" s="117">
        <v>5698.0</v>
      </c>
      <c r="AV101" s="50" t="s">
        <v>7461</v>
      </c>
      <c r="AW101" s="50" t="s">
        <v>7462</v>
      </c>
      <c r="AX101" s="117">
        <v>388.0</v>
      </c>
    </row>
    <row r="102">
      <c r="A102" s="50" t="s">
        <v>7532</v>
      </c>
      <c r="B102" s="50" t="s">
        <v>7533</v>
      </c>
      <c r="C102" s="116"/>
      <c r="D102" s="116"/>
      <c r="E102" s="50">
        <v>3.52155090281144E14</v>
      </c>
      <c r="F102" s="50">
        <v>59.0</v>
      </c>
      <c r="G102" s="50">
        <v>11.0</v>
      </c>
      <c r="H102" s="50">
        <v>4.0</v>
      </c>
      <c r="I102" s="50">
        <v>1.0</v>
      </c>
      <c r="J102" s="112" t="s">
        <v>6768</v>
      </c>
      <c r="K102" s="116"/>
      <c r="L102" s="50" t="s">
        <v>1709</v>
      </c>
      <c r="M102" s="50" t="s">
        <v>1709</v>
      </c>
      <c r="N102" s="116"/>
      <c r="O102" s="116"/>
      <c r="P102" s="50" t="s">
        <v>7536</v>
      </c>
      <c r="Q102" s="50" t="s">
        <v>7537</v>
      </c>
      <c r="R102" s="50">
        <v>22.5413283</v>
      </c>
      <c r="S102" s="50">
        <v>88.3761617</v>
      </c>
      <c r="T102" s="50">
        <v>-8.89999961853027</v>
      </c>
      <c r="U102" s="50">
        <v>5.0</v>
      </c>
      <c r="V102" s="50">
        <v>1.0</v>
      </c>
      <c r="W102" s="50">
        <v>0.0</v>
      </c>
      <c r="X102" s="50">
        <v>0.0</v>
      </c>
      <c r="Y102" s="50">
        <v>1.0</v>
      </c>
      <c r="Z102" s="116"/>
      <c r="AA102" s="50">
        <v>2.0</v>
      </c>
      <c r="AB102" s="50">
        <v>4.0</v>
      </c>
      <c r="AC102" s="116"/>
      <c r="AD102" s="116"/>
      <c r="AE102" s="116"/>
      <c r="AF102" s="116"/>
      <c r="AG102" s="116"/>
      <c r="AH102" s="116"/>
      <c r="AI102" s="116"/>
      <c r="AJ102" s="116"/>
      <c r="AK102" s="116"/>
      <c r="AL102" s="116"/>
      <c r="AM102" s="116"/>
      <c r="AN102" s="116"/>
      <c r="AO102" s="116"/>
      <c r="AP102" s="116"/>
      <c r="AQ102" s="50" t="s">
        <v>2949</v>
      </c>
      <c r="AR102" s="50" t="s">
        <v>3142</v>
      </c>
      <c r="AS102" s="50">
        <v>1.0</v>
      </c>
      <c r="AT102" s="50" t="s">
        <v>5540</v>
      </c>
      <c r="AU102" s="117">
        <v>5752.0</v>
      </c>
      <c r="AV102" s="50" t="s">
        <v>7539</v>
      </c>
      <c r="AW102" s="50" t="s">
        <v>7540</v>
      </c>
      <c r="AX102" s="117">
        <v>394.0</v>
      </c>
    </row>
    <row r="103">
      <c r="A103" s="50" t="s">
        <v>7556</v>
      </c>
      <c r="B103" s="50" t="s">
        <v>7557</v>
      </c>
      <c r="C103" s="116"/>
      <c r="D103" s="116"/>
      <c r="E103" s="50">
        <v>3.52155090281144E14</v>
      </c>
      <c r="F103" s="50">
        <v>59.0</v>
      </c>
      <c r="G103" s="50">
        <v>11.0</v>
      </c>
      <c r="H103" s="50">
        <v>4.0</v>
      </c>
      <c r="I103" s="50">
        <v>1.0</v>
      </c>
      <c r="J103" s="112" t="s">
        <v>6886</v>
      </c>
      <c r="K103" s="116"/>
      <c r="L103" s="50" t="s">
        <v>1712</v>
      </c>
      <c r="M103" s="50" t="s">
        <v>1712</v>
      </c>
      <c r="N103" s="116"/>
      <c r="O103" s="116"/>
      <c r="P103" s="50" t="s">
        <v>7559</v>
      </c>
      <c r="Q103" s="50" t="s">
        <v>7561</v>
      </c>
      <c r="R103" s="50">
        <v>22.5404286</v>
      </c>
      <c r="S103" s="50">
        <v>88.3753038</v>
      </c>
      <c r="T103" s="50">
        <v>-3.0</v>
      </c>
      <c r="U103" s="50">
        <v>5.0</v>
      </c>
      <c r="V103" s="50">
        <v>1.0</v>
      </c>
      <c r="W103" s="50">
        <v>0.0</v>
      </c>
      <c r="X103" s="50">
        <v>0.0</v>
      </c>
      <c r="Y103" s="50">
        <v>1.0</v>
      </c>
      <c r="Z103" s="116"/>
      <c r="AA103" s="50">
        <v>2.0</v>
      </c>
      <c r="AB103" s="50">
        <v>4.0</v>
      </c>
      <c r="AC103" s="116"/>
      <c r="AD103" s="116"/>
      <c r="AE103" s="116"/>
      <c r="AF103" s="116"/>
      <c r="AG103" s="116"/>
      <c r="AH103" s="116"/>
      <c r="AI103" s="116"/>
      <c r="AJ103" s="116"/>
      <c r="AK103" s="116"/>
      <c r="AL103" s="116"/>
      <c r="AM103" s="116"/>
      <c r="AN103" s="116"/>
      <c r="AO103" s="116"/>
      <c r="AP103" s="116"/>
      <c r="AQ103" s="50" t="s">
        <v>3149</v>
      </c>
      <c r="AR103" s="50" t="s">
        <v>2302</v>
      </c>
      <c r="AS103" s="50">
        <v>1.0</v>
      </c>
      <c r="AT103" s="50" t="s">
        <v>5540</v>
      </c>
      <c r="AU103" s="117">
        <v>5754.0</v>
      </c>
      <c r="AV103" s="50" t="s">
        <v>7569</v>
      </c>
      <c r="AW103" s="50" t="s">
        <v>7570</v>
      </c>
      <c r="AX103" s="117">
        <v>396.0</v>
      </c>
    </row>
    <row r="104">
      <c r="A104" s="50" t="s">
        <v>7586</v>
      </c>
      <c r="B104" s="50" t="s">
        <v>7587</v>
      </c>
      <c r="C104" s="116"/>
      <c r="D104" s="116"/>
      <c r="E104" s="50">
        <v>3.52155090281144E14</v>
      </c>
      <c r="F104" s="50">
        <v>59.0</v>
      </c>
      <c r="G104" s="50">
        <v>11.0</v>
      </c>
      <c r="H104" s="50">
        <v>4.0</v>
      </c>
      <c r="I104" s="50">
        <v>1.0</v>
      </c>
      <c r="J104" s="112" t="s">
        <v>6918</v>
      </c>
      <c r="K104" s="116"/>
      <c r="L104" s="50" t="s">
        <v>1715</v>
      </c>
      <c r="M104" s="50" t="s">
        <v>1715</v>
      </c>
      <c r="N104" s="116"/>
      <c r="O104" s="116"/>
      <c r="P104" s="50" t="s">
        <v>7590</v>
      </c>
      <c r="Q104" s="50" t="s">
        <v>7592</v>
      </c>
      <c r="R104" s="50">
        <v>22.5411071</v>
      </c>
      <c r="S104" s="50">
        <v>88.3743094</v>
      </c>
      <c r="T104" s="50">
        <v>-50.099998474121</v>
      </c>
      <c r="U104" s="50">
        <v>5.0</v>
      </c>
      <c r="V104" s="50">
        <v>1.0</v>
      </c>
      <c r="W104" s="50">
        <v>0.0</v>
      </c>
      <c r="X104" s="50">
        <v>0.0</v>
      </c>
      <c r="Y104" s="50">
        <v>1.0</v>
      </c>
      <c r="Z104" s="116"/>
      <c r="AA104" s="50">
        <v>2.0</v>
      </c>
      <c r="AB104" s="50">
        <v>4.0</v>
      </c>
      <c r="AC104" s="116"/>
      <c r="AD104" s="116"/>
      <c r="AE104" s="116"/>
      <c r="AF104" s="116"/>
      <c r="AG104" s="116"/>
      <c r="AH104" s="116"/>
      <c r="AI104" s="116"/>
      <c r="AJ104" s="116"/>
      <c r="AK104" s="116"/>
      <c r="AL104" s="116"/>
      <c r="AM104" s="116"/>
      <c r="AN104" s="116"/>
      <c r="AO104" s="116"/>
      <c r="AP104" s="116"/>
      <c r="AQ104" s="50" t="s">
        <v>3149</v>
      </c>
      <c r="AR104" s="50" t="s">
        <v>2472</v>
      </c>
      <c r="AS104" s="50">
        <v>1.0</v>
      </c>
      <c r="AT104" s="50" t="s">
        <v>5540</v>
      </c>
      <c r="AU104" s="117">
        <v>5756.0</v>
      </c>
      <c r="AV104" s="50" t="s">
        <v>7599</v>
      </c>
      <c r="AW104" s="50" t="s">
        <v>7600</v>
      </c>
      <c r="AX104" s="117">
        <v>398.0</v>
      </c>
    </row>
    <row r="105">
      <c r="A105" s="50" t="s">
        <v>7614</v>
      </c>
      <c r="B105" s="50" t="s">
        <v>7615</v>
      </c>
      <c r="C105" s="116"/>
      <c r="D105" s="116"/>
      <c r="E105" s="50">
        <v>3.52155090281144E14</v>
      </c>
      <c r="F105" s="50">
        <v>59.0</v>
      </c>
      <c r="G105" s="50">
        <v>11.0</v>
      </c>
      <c r="H105" s="50">
        <v>4.0</v>
      </c>
      <c r="I105" s="50">
        <v>1.0</v>
      </c>
      <c r="J105" s="112" t="s">
        <v>7619</v>
      </c>
      <c r="K105" s="116"/>
      <c r="L105" s="50" t="s">
        <v>1720</v>
      </c>
      <c r="M105" s="50" t="s">
        <v>1720</v>
      </c>
      <c r="N105" s="116"/>
      <c r="O105" s="116"/>
      <c r="P105" s="50" t="s">
        <v>7621</v>
      </c>
      <c r="Q105" s="50" t="s">
        <v>7622</v>
      </c>
      <c r="R105" s="50">
        <v>22.5410835</v>
      </c>
      <c r="S105" s="50">
        <v>88.3742969</v>
      </c>
      <c r="T105" s="50">
        <v>-43.5</v>
      </c>
      <c r="U105" s="50">
        <v>5.0</v>
      </c>
      <c r="V105" s="50">
        <v>1.0</v>
      </c>
      <c r="W105" s="50">
        <v>0.0</v>
      </c>
      <c r="X105" s="50">
        <v>0.0</v>
      </c>
      <c r="Y105" s="50">
        <v>1.0</v>
      </c>
      <c r="Z105" s="116"/>
      <c r="AA105" s="50">
        <v>2.0</v>
      </c>
      <c r="AB105" s="50">
        <v>4.0</v>
      </c>
      <c r="AC105" s="116"/>
      <c r="AD105" s="116"/>
      <c r="AE105" s="116"/>
      <c r="AF105" s="116"/>
      <c r="AG105" s="116"/>
      <c r="AH105" s="116"/>
      <c r="AI105" s="116"/>
      <c r="AJ105" s="116"/>
      <c r="AK105" s="116"/>
      <c r="AL105" s="116"/>
      <c r="AM105" s="116"/>
      <c r="AN105" s="116"/>
      <c r="AO105" s="116"/>
      <c r="AP105" s="116"/>
      <c r="AQ105" s="50" t="s">
        <v>2949</v>
      </c>
      <c r="AR105" s="50" t="s">
        <v>2278</v>
      </c>
      <c r="AS105" s="50">
        <v>1.0</v>
      </c>
      <c r="AT105" s="50" t="s">
        <v>5540</v>
      </c>
      <c r="AU105" s="117">
        <v>5829.0</v>
      </c>
      <c r="AV105" s="50" t="s">
        <v>7631</v>
      </c>
      <c r="AW105" s="50" t="s">
        <v>7633</v>
      </c>
      <c r="AX105" s="117">
        <v>400.0</v>
      </c>
    </row>
    <row r="106">
      <c r="A106" s="50" t="s">
        <v>7647</v>
      </c>
      <c r="B106" s="50" t="s">
        <v>7648</v>
      </c>
      <c r="C106" s="116"/>
      <c r="D106" s="116"/>
      <c r="E106" s="50">
        <v>3.52155090281144E14</v>
      </c>
      <c r="F106" s="50">
        <v>59.0</v>
      </c>
      <c r="G106" s="50">
        <v>11.0</v>
      </c>
      <c r="H106" s="50">
        <v>4.0</v>
      </c>
      <c r="I106" s="50">
        <v>1.0</v>
      </c>
      <c r="J106" s="112" t="s">
        <v>7653</v>
      </c>
      <c r="K106" s="116"/>
      <c r="L106" s="50" t="s">
        <v>1723</v>
      </c>
      <c r="M106" s="50" t="s">
        <v>1723</v>
      </c>
      <c r="N106" s="116"/>
      <c r="O106" s="116"/>
      <c r="P106" s="50" t="s">
        <v>7654</v>
      </c>
      <c r="Q106" s="50" t="s">
        <v>7655</v>
      </c>
      <c r="R106" s="50">
        <v>22.540663</v>
      </c>
      <c r="S106" s="50">
        <v>88.3763782</v>
      </c>
      <c r="T106" s="50">
        <v>-27.8999996185302</v>
      </c>
      <c r="U106" s="50">
        <v>5.0</v>
      </c>
      <c r="V106" s="50">
        <v>1.0</v>
      </c>
      <c r="W106" s="50">
        <v>0.0</v>
      </c>
      <c r="X106" s="50">
        <v>0.0</v>
      </c>
      <c r="Y106" s="50">
        <v>1.0</v>
      </c>
      <c r="Z106" s="116"/>
      <c r="AA106" s="50">
        <v>2.0</v>
      </c>
      <c r="AB106" s="50">
        <v>4.0</v>
      </c>
      <c r="AC106" s="116"/>
      <c r="AD106" s="116"/>
      <c r="AE106" s="116"/>
      <c r="AF106" s="116"/>
      <c r="AG106" s="116"/>
      <c r="AH106" s="116"/>
      <c r="AI106" s="116"/>
      <c r="AJ106" s="116"/>
      <c r="AK106" s="116"/>
      <c r="AL106" s="116"/>
      <c r="AM106" s="116"/>
      <c r="AN106" s="116"/>
      <c r="AO106" s="116"/>
      <c r="AP106" s="116"/>
      <c r="AQ106" s="50" t="s">
        <v>3200</v>
      </c>
      <c r="AR106" s="50" t="s">
        <v>2318</v>
      </c>
      <c r="AS106" s="50">
        <v>1.0</v>
      </c>
      <c r="AT106" s="50" t="s">
        <v>5540</v>
      </c>
      <c r="AU106" s="117">
        <v>5831.0</v>
      </c>
      <c r="AV106" s="50" t="s">
        <v>7660</v>
      </c>
      <c r="AW106" s="50" t="s">
        <v>7661</v>
      </c>
      <c r="AX106" s="117">
        <v>402.0</v>
      </c>
    </row>
    <row r="107">
      <c r="J107" s="105"/>
    </row>
    <row r="108">
      <c r="J108" s="105"/>
    </row>
    <row r="109">
      <c r="J109" s="105"/>
    </row>
    <row r="110">
      <c r="J110" s="105"/>
    </row>
    <row r="111">
      <c r="J111" s="105"/>
    </row>
    <row r="112">
      <c r="J112" s="105"/>
    </row>
    <row r="113">
      <c r="J113" s="105"/>
    </row>
    <row r="114">
      <c r="J114" s="105"/>
    </row>
    <row r="115">
      <c r="J115" s="105"/>
    </row>
    <row r="116">
      <c r="J116" s="105"/>
    </row>
    <row r="117">
      <c r="J117" s="105"/>
    </row>
    <row r="118">
      <c r="J118" s="105"/>
    </row>
    <row r="119">
      <c r="J119" s="105"/>
    </row>
    <row r="120">
      <c r="J120" s="105"/>
    </row>
    <row r="121">
      <c r="J121" s="105"/>
    </row>
    <row r="122">
      <c r="J122" s="105"/>
    </row>
    <row r="123">
      <c r="J123" s="105"/>
    </row>
    <row r="124">
      <c r="J124" s="105"/>
    </row>
    <row r="125">
      <c r="J125" s="105"/>
    </row>
    <row r="126">
      <c r="J126" s="105"/>
    </row>
    <row r="127">
      <c r="J127" s="105"/>
    </row>
    <row r="128">
      <c r="J128" s="105"/>
    </row>
    <row r="129">
      <c r="J129" s="105"/>
    </row>
    <row r="130">
      <c r="J130" s="105"/>
    </row>
    <row r="131">
      <c r="J131" s="105"/>
    </row>
    <row r="132">
      <c r="J132" s="105"/>
    </row>
    <row r="133">
      <c r="J133" s="105"/>
    </row>
    <row r="134">
      <c r="J134" s="105"/>
    </row>
    <row r="135">
      <c r="J135" s="105"/>
    </row>
    <row r="136">
      <c r="J136" s="105"/>
    </row>
    <row r="137">
      <c r="J137" s="105"/>
    </row>
    <row r="138">
      <c r="J138" s="105"/>
    </row>
    <row r="139">
      <c r="J139" s="105"/>
    </row>
    <row r="140">
      <c r="J140" s="105"/>
    </row>
    <row r="141">
      <c r="J141" s="105"/>
    </row>
    <row r="142">
      <c r="J142" s="105"/>
    </row>
    <row r="143">
      <c r="J143" s="105"/>
    </row>
    <row r="144">
      <c r="J144" s="105"/>
    </row>
    <row r="145">
      <c r="J145" s="105"/>
    </row>
    <row r="146">
      <c r="J146" s="105"/>
    </row>
    <row r="147">
      <c r="J147" s="105"/>
    </row>
    <row r="148">
      <c r="J148" s="105"/>
    </row>
    <row r="149">
      <c r="J149" s="105"/>
    </row>
    <row r="150">
      <c r="J150" s="105"/>
    </row>
    <row r="151">
      <c r="J151" s="105"/>
    </row>
    <row r="152">
      <c r="J152" s="105"/>
    </row>
    <row r="153">
      <c r="J153" s="105"/>
    </row>
    <row r="154">
      <c r="J154" s="105"/>
    </row>
    <row r="155">
      <c r="J155" s="105"/>
    </row>
    <row r="156">
      <c r="J156" s="105"/>
    </row>
    <row r="157">
      <c r="J157" s="105"/>
    </row>
    <row r="158">
      <c r="J158" s="105"/>
    </row>
    <row r="159">
      <c r="J159" s="105"/>
    </row>
    <row r="160">
      <c r="J160" s="105"/>
    </row>
    <row r="161">
      <c r="J161" s="105"/>
    </row>
    <row r="162">
      <c r="J162" s="105"/>
    </row>
    <row r="163">
      <c r="J163" s="105"/>
    </row>
    <row r="164">
      <c r="J164" s="105"/>
    </row>
    <row r="165">
      <c r="J165" s="105"/>
    </row>
    <row r="166">
      <c r="J166" s="105"/>
    </row>
    <row r="167">
      <c r="J167" s="105"/>
    </row>
    <row r="168">
      <c r="J168" s="105"/>
    </row>
    <row r="169">
      <c r="J169" s="105"/>
    </row>
    <row r="170">
      <c r="J170" s="105"/>
    </row>
    <row r="171">
      <c r="J171" s="105"/>
    </row>
    <row r="172">
      <c r="J172" s="105"/>
    </row>
    <row r="173">
      <c r="J173" s="105"/>
    </row>
    <row r="174">
      <c r="J174" s="105"/>
    </row>
    <row r="175">
      <c r="J175" s="105"/>
    </row>
    <row r="176">
      <c r="J176" s="105"/>
    </row>
    <row r="177">
      <c r="J177" s="105"/>
    </row>
    <row r="178">
      <c r="J178" s="105"/>
    </row>
    <row r="179">
      <c r="J179" s="105"/>
    </row>
    <row r="180">
      <c r="J180" s="105"/>
    </row>
    <row r="181">
      <c r="J181" s="105"/>
    </row>
    <row r="182">
      <c r="J182" s="105"/>
    </row>
    <row r="183">
      <c r="J183" s="105"/>
    </row>
    <row r="184">
      <c r="J184" s="105"/>
    </row>
    <row r="185">
      <c r="J185" s="105"/>
    </row>
    <row r="186">
      <c r="J186" s="105"/>
    </row>
    <row r="187">
      <c r="J187" s="105"/>
    </row>
    <row r="188">
      <c r="J188" s="105"/>
    </row>
    <row r="189">
      <c r="J189" s="105"/>
    </row>
    <row r="190">
      <c r="J190" s="105"/>
    </row>
    <row r="191">
      <c r="J191" s="105"/>
    </row>
    <row r="192">
      <c r="J192" s="105"/>
    </row>
    <row r="193">
      <c r="J193" s="105"/>
    </row>
    <row r="194">
      <c r="J194" s="105"/>
    </row>
    <row r="195">
      <c r="J195" s="105"/>
    </row>
    <row r="196">
      <c r="J196" s="105"/>
    </row>
    <row r="197">
      <c r="J197" s="105"/>
    </row>
    <row r="198">
      <c r="J198" s="105"/>
    </row>
    <row r="199">
      <c r="J199" s="105"/>
    </row>
    <row r="200">
      <c r="J200" s="105"/>
    </row>
    <row r="201">
      <c r="J201" s="105"/>
    </row>
    <row r="202">
      <c r="J202" s="105"/>
    </row>
    <row r="203">
      <c r="J203" s="105"/>
    </row>
    <row r="204">
      <c r="J204" s="105"/>
    </row>
    <row r="205">
      <c r="J205" s="105"/>
    </row>
    <row r="206">
      <c r="J206" s="105"/>
    </row>
    <row r="207">
      <c r="J207" s="105"/>
    </row>
    <row r="208">
      <c r="J208" s="105"/>
    </row>
    <row r="209">
      <c r="J209" s="105"/>
    </row>
    <row r="210">
      <c r="J210" s="105"/>
    </row>
    <row r="211">
      <c r="J211" s="105"/>
    </row>
    <row r="212">
      <c r="J212" s="105"/>
    </row>
    <row r="213">
      <c r="J213" s="105"/>
    </row>
    <row r="214">
      <c r="J214" s="105"/>
    </row>
    <row r="215">
      <c r="J215" s="105"/>
    </row>
    <row r="216">
      <c r="J216" s="105"/>
    </row>
    <row r="217">
      <c r="J217" s="105"/>
    </row>
    <row r="218">
      <c r="J218" s="105"/>
    </row>
    <row r="219">
      <c r="J219" s="105"/>
    </row>
    <row r="220">
      <c r="J220" s="105"/>
    </row>
    <row r="221">
      <c r="J221" s="105"/>
    </row>
    <row r="222">
      <c r="J222" s="105"/>
    </row>
    <row r="223">
      <c r="J223" s="105"/>
    </row>
    <row r="224">
      <c r="J224" s="105"/>
    </row>
    <row r="225">
      <c r="J225" s="105"/>
    </row>
    <row r="226">
      <c r="J226" s="105"/>
    </row>
    <row r="227">
      <c r="J227" s="105"/>
    </row>
    <row r="228">
      <c r="J228" s="105"/>
    </row>
    <row r="229">
      <c r="J229" s="105"/>
    </row>
    <row r="230">
      <c r="J230" s="105"/>
    </row>
    <row r="231">
      <c r="J231" s="105"/>
    </row>
    <row r="232">
      <c r="J232" s="105"/>
    </row>
    <row r="233">
      <c r="J233" s="105"/>
    </row>
    <row r="234">
      <c r="J234" s="105"/>
    </row>
    <row r="235">
      <c r="J235" s="105"/>
    </row>
    <row r="236">
      <c r="J236" s="105"/>
    </row>
    <row r="237">
      <c r="J237" s="105"/>
    </row>
    <row r="238">
      <c r="J238" s="105"/>
    </row>
    <row r="239">
      <c r="J239" s="105"/>
    </row>
    <row r="240">
      <c r="J240" s="105"/>
    </row>
    <row r="241">
      <c r="J241" s="105"/>
    </row>
    <row r="242">
      <c r="J242" s="105"/>
    </row>
    <row r="243">
      <c r="J243" s="105"/>
    </row>
    <row r="244">
      <c r="J244" s="105"/>
    </row>
    <row r="245">
      <c r="J245" s="105"/>
    </row>
    <row r="246">
      <c r="J246" s="105"/>
    </row>
    <row r="247">
      <c r="J247" s="105"/>
    </row>
    <row r="248">
      <c r="J248" s="105"/>
    </row>
    <row r="249">
      <c r="J249" s="105"/>
    </row>
    <row r="250">
      <c r="J250" s="105"/>
    </row>
    <row r="251">
      <c r="J251" s="105"/>
    </row>
    <row r="252">
      <c r="J252" s="105"/>
    </row>
    <row r="253">
      <c r="J253" s="105"/>
    </row>
    <row r="254">
      <c r="J254" s="105"/>
    </row>
    <row r="255">
      <c r="J255" s="105"/>
    </row>
    <row r="256">
      <c r="J256" s="105"/>
    </row>
    <row r="257">
      <c r="J257" s="105"/>
    </row>
    <row r="258">
      <c r="J258" s="105"/>
    </row>
    <row r="259">
      <c r="J259" s="105"/>
    </row>
    <row r="260">
      <c r="J260" s="105"/>
    </row>
    <row r="261">
      <c r="J261" s="105"/>
    </row>
    <row r="262">
      <c r="J262" s="105"/>
    </row>
    <row r="263">
      <c r="J263" s="105"/>
    </row>
    <row r="264">
      <c r="J264" s="105"/>
    </row>
    <row r="265">
      <c r="J265" s="105"/>
    </row>
    <row r="266">
      <c r="J266" s="105"/>
    </row>
    <row r="267">
      <c r="J267" s="105"/>
    </row>
    <row r="268">
      <c r="J268" s="105"/>
    </row>
    <row r="269">
      <c r="J269" s="105"/>
    </row>
    <row r="270">
      <c r="J270" s="105"/>
    </row>
    <row r="271">
      <c r="J271" s="105"/>
    </row>
    <row r="272">
      <c r="J272" s="105"/>
    </row>
    <row r="273">
      <c r="J273" s="105"/>
    </row>
    <row r="274">
      <c r="J274" s="105"/>
    </row>
    <row r="275">
      <c r="J275" s="105"/>
    </row>
    <row r="276">
      <c r="J276" s="105"/>
    </row>
    <row r="277">
      <c r="J277" s="105"/>
    </row>
    <row r="278">
      <c r="J278" s="105"/>
    </row>
    <row r="279">
      <c r="J279" s="105"/>
    </row>
    <row r="280">
      <c r="J280" s="105"/>
    </row>
    <row r="281">
      <c r="J281" s="105"/>
    </row>
    <row r="282">
      <c r="J282" s="105"/>
    </row>
    <row r="283">
      <c r="J283" s="105"/>
    </row>
    <row r="284">
      <c r="J284" s="105"/>
    </row>
    <row r="285">
      <c r="J285" s="105"/>
    </row>
    <row r="286">
      <c r="J286" s="105"/>
    </row>
    <row r="287">
      <c r="J287" s="105"/>
    </row>
    <row r="288">
      <c r="J288" s="105"/>
    </row>
    <row r="289">
      <c r="J289" s="105"/>
    </row>
    <row r="290">
      <c r="J290" s="105"/>
    </row>
    <row r="291">
      <c r="J291" s="105"/>
    </row>
    <row r="292">
      <c r="J292" s="105"/>
    </row>
    <row r="293">
      <c r="J293" s="105"/>
    </row>
    <row r="294">
      <c r="J294" s="105"/>
    </row>
    <row r="295">
      <c r="J295" s="105"/>
    </row>
    <row r="296">
      <c r="J296" s="105"/>
    </row>
    <row r="297">
      <c r="J297" s="105"/>
    </row>
    <row r="298">
      <c r="J298" s="105"/>
    </row>
    <row r="299">
      <c r="J299" s="105"/>
    </row>
    <row r="300">
      <c r="J300" s="105"/>
    </row>
    <row r="301">
      <c r="J301" s="105"/>
    </row>
    <row r="302">
      <c r="J302" s="105"/>
    </row>
    <row r="303">
      <c r="J303" s="105"/>
    </row>
    <row r="304">
      <c r="J304" s="105"/>
    </row>
    <row r="305">
      <c r="J305" s="105"/>
    </row>
    <row r="306">
      <c r="J306" s="105"/>
    </row>
    <row r="307">
      <c r="J307" s="105"/>
    </row>
    <row r="308">
      <c r="J308" s="105"/>
    </row>
    <row r="309">
      <c r="J309" s="105"/>
    </row>
    <row r="310">
      <c r="J310" s="105"/>
    </row>
    <row r="311">
      <c r="J311" s="105"/>
    </row>
    <row r="312">
      <c r="J312" s="105"/>
    </row>
    <row r="313">
      <c r="J313" s="105"/>
    </row>
    <row r="314">
      <c r="J314" s="105"/>
    </row>
    <row r="315">
      <c r="J315" s="105"/>
    </row>
    <row r="316">
      <c r="J316" s="105"/>
    </row>
    <row r="317">
      <c r="J317" s="105"/>
    </row>
    <row r="318">
      <c r="J318" s="105"/>
    </row>
    <row r="319">
      <c r="J319" s="105"/>
    </row>
    <row r="320">
      <c r="J320" s="105"/>
    </row>
    <row r="321">
      <c r="J321" s="105"/>
    </row>
    <row r="322">
      <c r="J322" s="105"/>
    </row>
    <row r="323">
      <c r="J323" s="105"/>
    </row>
    <row r="324">
      <c r="J324" s="105"/>
    </row>
    <row r="325">
      <c r="J325" s="105"/>
    </row>
    <row r="326">
      <c r="J326" s="105"/>
    </row>
    <row r="327">
      <c r="J327" s="105"/>
    </row>
    <row r="328">
      <c r="J328" s="105"/>
    </row>
    <row r="329">
      <c r="J329" s="105"/>
    </row>
    <row r="330">
      <c r="J330" s="105"/>
    </row>
    <row r="331">
      <c r="J331" s="105"/>
    </row>
    <row r="332">
      <c r="J332" s="105"/>
    </row>
    <row r="333">
      <c r="J333" s="105"/>
    </row>
    <row r="334">
      <c r="J334" s="105"/>
    </row>
    <row r="335">
      <c r="J335" s="105"/>
    </row>
    <row r="336">
      <c r="J336" s="105"/>
    </row>
    <row r="337">
      <c r="J337" s="105"/>
    </row>
    <row r="338">
      <c r="J338" s="105"/>
    </row>
    <row r="339">
      <c r="J339" s="105"/>
    </row>
    <row r="340">
      <c r="J340" s="105"/>
    </row>
    <row r="341">
      <c r="J341" s="105"/>
    </row>
    <row r="342">
      <c r="J342" s="105"/>
    </row>
    <row r="343">
      <c r="J343" s="105"/>
    </row>
    <row r="344">
      <c r="J344" s="105"/>
    </row>
    <row r="345">
      <c r="J345" s="105"/>
    </row>
    <row r="346">
      <c r="J346" s="105"/>
    </row>
    <row r="347">
      <c r="J347" s="105"/>
    </row>
    <row r="348">
      <c r="J348" s="105"/>
    </row>
    <row r="349">
      <c r="J349" s="105"/>
    </row>
    <row r="350">
      <c r="J350" s="105"/>
    </row>
    <row r="351">
      <c r="J351" s="105"/>
    </row>
    <row r="352">
      <c r="J352" s="105"/>
    </row>
    <row r="353">
      <c r="J353" s="105"/>
    </row>
    <row r="354">
      <c r="J354" s="105"/>
    </row>
    <row r="355">
      <c r="J355" s="105"/>
    </row>
    <row r="356">
      <c r="J356" s="105"/>
    </row>
    <row r="357">
      <c r="J357" s="105"/>
    </row>
    <row r="358">
      <c r="J358" s="105"/>
    </row>
    <row r="359">
      <c r="J359" s="105"/>
    </row>
    <row r="360">
      <c r="J360" s="105"/>
    </row>
    <row r="361">
      <c r="J361" s="105"/>
    </row>
    <row r="362">
      <c r="J362" s="105"/>
    </row>
    <row r="363">
      <c r="J363" s="105"/>
    </row>
    <row r="364">
      <c r="J364" s="105"/>
    </row>
    <row r="365">
      <c r="J365" s="105"/>
    </row>
    <row r="366">
      <c r="J366" s="105"/>
    </row>
    <row r="367">
      <c r="J367" s="105"/>
    </row>
    <row r="368">
      <c r="J368" s="105"/>
    </row>
    <row r="369">
      <c r="J369" s="105"/>
    </row>
    <row r="370">
      <c r="J370" s="105"/>
    </row>
    <row r="371">
      <c r="J371" s="105"/>
    </row>
    <row r="372">
      <c r="J372" s="105"/>
    </row>
    <row r="373">
      <c r="J373" s="105"/>
    </row>
    <row r="374">
      <c r="J374" s="105"/>
    </row>
    <row r="375">
      <c r="J375" s="105"/>
    </row>
    <row r="376">
      <c r="J376" s="105"/>
    </row>
    <row r="377">
      <c r="J377" s="105"/>
    </row>
    <row r="378">
      <c r="J378" s="105"/>
    </row>
    <row r="379">
      <c r="J379" s="105"/>
    </row>
    <row r="380">
      <c r="J380" s="105"/>
    </row>
    <row r="381">
      <c r="J381" s="105"/>
    </row>
    <row r="382">
      <c r="J382" s="105"/>
    </row>
    <row r="383">
      <c r="J383" s="105"/>
    </row>
    <row r="384">
      <c r="J384" s="105"/>
    </row>
    <row r="385">
      <c r="J385" s="105"/>
    </row>
    <row r="386">
      <c r="J386" s="105"/>
    </row>
    <row r="387">
      <c r="J387" s="105"/>
    </row>
    <row r="388">
      <c r="J388" s="105"/>
    </row>
    <row r="389">
      <c r="J389" s="105"/>
    </row>
    <row r="390">
      <c r="J390" s="105"/>
    </row>
    <row r="391">
      <c r="J391" s="105"/>
    </row>
    <row r="392">
      <c r="J392" s="105"/>
    </row>
    <row r="393">
      <c r="J393" s="105"/>
    </row>
    <row r="394">
      <c r="J394" s="105"/>
    </row>
    <row r="395">
      <c r="J395" s="105"/>
    </row>
    <row r="396">
      <c r="J396" s="105"/>
    </row>
    <row r="397">
      <c r="J397" s="105"/>
    </row>
    <row r="398">
      <c r="J398" s="105"/>
    </row>
    <row r="399">
      <c r="J399" s="105"/>
    </row>
    <row r="400">
      <c r="J400" s="105"/>
    </row>
    <row r="401">
      <c r="J401" s="105"/>
    </row>
    <row r="402">
      <c r="J402" s="105"/>
    </row>
    <row r="403">
      <c r="J403" s="105"/>
    </row>
    <row r="404">
      <c r="J404" s="105"/>
    </row>
    <row r="405">
      <c r="J405" s="105"/>
    </row>
    <row r="406">
      <c r="J406" s="105"/>
    </row>
    <row r="407">
      <c r="J407" s="105"/>
    </row>
    <row r="408">
      <c r="J408" s="105"/>
    </row>
    <row r="409">
      <c r="J409" s="105"/>
    </row>
    <row r="410">
      <c r="J410" s="105"/>
    </row>
    <row r="411">
      <c r="J411" s="105"/>
    </row>
    <row r="412">
      <c r="J412" s="105"/>
    </row>
    <row r="413">
      <c r="J413" s="105"/>
    </row>
    <row r="414">
      <c r="J414" s="105"/>
    </row>
    <row r="415">
      <c r="J415" s="105"/>
    </row>
    <row r="416">
      <c r="J416" s="105"/>
    </row>
    <row r="417">
      <c r="J417" s="105"/>
    </row>
    <row r="418">
      <c r="J418" s="105"/>
    </row>
    <row r="419">
      <c r="J419" s="105"/>
    </row>
    <row r="420">
      <c r="J420" s="105"/>
    </row>
    <row r="421">
      <c r="J421" s="105"/>
    </row>
    <row r="422">
      <c r="J422" s="105"/>
    </row>
    <row r="423">
      <c r="J423" s="105"/>
    </row>
    <row r="424">
      <c r="J424" s="105"/>
    </row>
    <row r="425">
      <c r="J425" s="105"/>
    </row>
    <row r="426">
      <c r="J426" s="105"/>
    </row>
    <row r="427">
      <c r="J427" s="105"/>
    </row>
    <row r="428">
      <c r="J428" s="105"/>
    </row>
    <row r="429">
      <c r="J429" s="105"/>
    </row>
    <row r="430">
      <c r="J430" s="105"/>
    </row>
    <row r="431">
      <c r="J431" s="105"/>
    </row>
    <row r="432">
      <c r="J432" s="105"/>
    </row>
    <row r="433">
      <c r="J433" s="105"/>
    </row>
    <row r="434">
      <c r="J434" s="105"/>
    </row>
    <row r="435">
      <c r="J435" s="105"/>
    </row>
    <row r="436">
      <c r="J436" s="105"/>
    </row>
    <row r="437">
      <c r="J437" s="105"/>
    </row>
    <row r="438">
      <c r="J438" s="105"/>
    </row>
    <row r="439">
      <c r="J439" s="105"/>
    </row>
    <row r="440">
      <c r="J440" s="105"/>
    </row>
    <row r="441">
      <c r="J441" s="105"/>
    </row>
    <row r="442">
      <c r="J442" s="105"/>
    </row>
    <row r="443">
      <c r="J443" s="105"/>
    </row>
    <row r="444">
      <c r="J444" s="105"/>
    </row>
    <row r="445">
      <c r="J445" s="105"/>
    </row>
    <row r="446">
      <c r="J446" s="105"/>
    </row>
    <row r="447">
      <c r="J447" s="105"/>
    </row>
    <row r="448">
      <c r="J448" s="105"/>
    </row>
    <row r="449">
      <c r="J449" s="105"/>
    </row>
    <row r="450">
      <c r="J450" s="105"/>
    </row>
    <row r="451">
      <c r="J451" s="105"/>
    </row>
    <row r="452">
      <c r="J452" s="105"/>
    </row>
    <row r="453">
      <c r="J453" s="105"/>
    </row>
    <row r="454">
      <c r="J454" s="105"/>
    </row>
    <row r="455">
      <c r="J455" s="105"/>
    </row>
    <row r="456">
      <c r="J456" s="105"/>
    </row>
    <row r="457">
      <c r="J457" s="105"/>
    </row>
    <row r="458">
      <c r="J458" s="105"/>
    </row>
    <row r="459">
      <c r="J459" s="105"/>
    </row>
    <row r="460">
      <c r="J460" s="105"/>
    </row>
    <row r="461">
      <c r="J461" s="105"/>
    </row>
    <row r="462">
      <c r="J462" s="105"/>
    </row>
    <row r="463">
      <c r="J463" s="105"/>
    </row>
    <row r="464">
      <c r="J464" s="105"/>
    </row>
    <row r="465">
      <c r="J465" s="105"/>
    </row>
    <row r="466">
      <c r="J466" s="105"/>
    </row>
    <row r="467">
      <c r="J467" s="105"/>
    </row>
    <row r="468">
      <c r="J468" s="105"/>
    </row>
    <row r="469">
      <c r="J469" s="105"/>
    </row>
    <row r="470">
      <c r="J470" s="105"/>
    </row>
    <row r="471">
      <c r="J471" s="105"/>
    </row>
    <row r="472">
      <c r="J472" s="105"/>
    </row>
    <row r="473">
      <c r="J473" s="105"/>
    </row>
    <row r="474">
      <c r="J474" s="105"/>
    </row>
    <row r="475">
      <c r="J475" s="105"/>
    </row>
    <row r="476">
      <c r="J476" s="105"/>
    </row>
    <row r="477">
      <c r="J477" s="105"/>
    </row>
    <row r="478">
      <c r="J478" s="105"/>
    </row>
    <row r="479">
      <c r="J479" s="105"/>
    </row>
    <row r="480">
      <c r="J480" s="105"/>
    </row>
    <row r="481">
      <c r="J481" s="105"/>
    </row>
    <row r="482">
      <c r="J482" s="105"/>
    </row>
    <row r="483">
      <c r="J483" s="105"/>
    </row>
    <row r="484">
      <c r="J484" s="105"/>
    </row>
    <row r="485">
      <c r="J485" s="105"/>
    </row>
    <row r="486">
      <c r="J486" s="105"/>
    </row>
    <row r="487">
      <c r="J487" s="105"/>
    </row>
    <row r="488">
      <c r="J488" s="105"/>
    </row>
    <row r="489">
      <c r="J489" s="105"/>
    </row>
    <row r="490">
      <c r="J490" s="105"/>
    </row>
    <row r="491">
      <c r="J491" s="105"/>
    </row>
    <row r="492">
      <c r="J492" s="105"/>
    </row>
    <row r="493">
      <c r="J493" s="105"/>
    </row>
    <row r="494">
      <c r="J494" s="105"/>
    </row>
    <row r="495">
      <c r="J495" s="105"/>
    </row>
    <row r="496">
      <c r="J496" s="105"/>
    </row>
    <row r="497">
      <c r="J497" s="105"/>
    </row>
    <row r="498">
      <c r="J498" s="105"/>
    </row>
    <row r="499">
      <c r="J499" s="105"/>
    </row>
    <row r="500">
      <c r="J500" s="105"/>
    </row>
    <row r="501">
      <c r="J501" s="105"/>
    </row>
    <row r="502">
      <c r="J502" s="105"/>
    </row>
    <row r="503">
      <c r="J503" s="105"/>
    </row>
    <row r="504">
      <c r="J504" s="105"/>
    </row>
    <row r="505">
      <c r="J505" s="105"/>
    </row>
    <row r="506">
      <c r="J506" s="105"/>
    </row>
    <row r="507">
      <c r="J507" s="105"/>
    </row>
    <row r="508">
      <c r="J508" s="105"/>
    </row>
    <row r="509">
      <c r="J509" s="105"/>
    </row>
    <row r="510">
      <c r="J510" s="105"/>
    </row>
    <row r="511">
      <c r="J511" s="105"/>
    </row>
    <row r="512">
      <c r="J512" s="105"/>
    </row>
    <row r="513">
      <c r="J513" s="105"/>
    </row>
    <row r="514">
      <c r="J514" s="105"/>
    </row>
    <row r="515">
      <c r="J515" s="105"/>
    </row>
    <row r="516">
      <c r="J516" s="105"/>
    </row>
    <row r="517">
      <c r="J517" s="105"/>
    </row>
    <row r="518">
      <c r="J518" s="105"/>
    </row>
    <row r="519">
      <c r="J519" s="105"/>
    </row>
    <row r="520">
      <c r="J520" s="105"/>
    </row>
    <row r="521">
      <c r="J521" s="105"/>
    </row>
    <row r="522">
      <c r="J522" s="105"/>
    </row>
    <row r="523">
      <c r="J523" s="105"/>
    </row>
    <row r="524">
      <c r="J524" s="105"/>
    </row>
    <row r="525">
      <c r="J525" s="105"/>
    </row>
    <row r="526">
      <c r="J526" s="105"/>
    </row>
    <row r="527">
      <c r="J527" s="105"/>
    </row>
    <row r="528">
      <c r="J528" s="105"/>
    </row>
    <row r="529">
      <c r="J529" s="105"/>
    </row>
    <row r="530">
      <c r="J530" s="105"/>
    </row>
    <row r="531">
      <c r="J531" s="105"/>
    </row>
    <row r="532">
      <c r="J532" s="105"/>
    </row>
    <row r="533">
      <c r="J533" s="105"/>
    </row>
    <row r="534">
      <c r="J534" s="105"/>
    </row>
    <row r="535">
      <c r="J535" s="105"/>
    </row>
    <row r="536">
      <c r="J536" s="105"/>
    </row>
    <row r="537">
      <c r="J537" s="105"/>
    </row>
    <row r="538">
      <c r="J538" s="105"/>
    </row>
    <row r="539">
      <c r="J539" s="105"/>
    </row>
    <row r="540">
      <c r="J540" s="105"/>
    </row>
    <row r="541">
      <c r="J541" s="105"/>
    </row>
    <row r="542">
      <c r="J542" s="105"/>
    </row>
    <row r="543">
      <c r="J543" s="105"/>
    </row>
    <row r="544">
      <c r="J544" s="105"/>
    </row>
    <row r="545">
      <c r="J545" s="105"/>
    </row>
    <row r="546">
      <c r="J546" s="105"/>
    </row>
    <row r="547">
      <c r="J547" s="105"/>
    </row>
    <row r="548">
      <c r="J548" s="105"/>
    </row>
    <row r="549">
      <c r="J549" s="105"/>
    </row>
    <row r="550">
      <c r="J550" s="105"/>
    </row>
    <row r="551">
      <c r="J551" s="105"/>
    </row>
    <row r="552">
      <c r="J552" s="105"/>
    </row>
    <row r="553">
      <c r="J553" s="105"/>
    </row>
    <row r="554">
      <c r="J554" s="105"/>
    </row>
    <row r="555">
      <c r="J555" s="105"/>
    </row>
    <row r="556">
      <c r="J556" s="105"/>
    </row>
    <row r="557">
      <c r="J557" s="105"/>
    </row>
    <row r="558">
      <c r="J558" s="105"/>
    </row>
    <row r="559">
      <c r="J559" s="105"/>
    </row>
    <row r="560">
      <c r="J560" s="105"/>
    </row>
    <row r="561">
      <c r="J561" s="105"/>
    </row>
    <row r="562">
      <c r="J562" s="105"/>
    </row>
    <row r="563">
      <c r="J563" s="105"/>
    </row>
    <row r="564">
      <c r="J564" s="105"/>
    </row>
    <row r="565">
      <c r="J565" s="105"/>
    </row>
    <row r="566">
      <c r="J566" s="105"/>
    </row>
    <row r="567">
      <c r="J567" s="105"/>
    </row>
    <row r="568">
      <c r="J568" s="105"/>
    </row>
    <row r="569">
      <c r="J569" s="105"/>
    </row>
    <row r="570">
      <c r="J570" s="105"/>
    </row>
    <row r="571">
      <c r="J571" s="105"/>
    </row>
    <row r="572">
      <c r="J572" s="105"/>
    </row>
    <row r="573">
      <c r="J573" s="105"/>
    </row>
    <row r="574">
      <c r="J574" s="105"/>
    </row>
    <row r="575">
      <c r="J575" s="105"/>
    </row>
    <row r="576">
      <c r="J576" s="105"/>
    </row>
    <row r="577">
      <c r="J577" s="105"/>
    </row>
    <row r="578">
      <c r="J578" s="105"/>
    </row>
    <row r="579">
      <c r="J579" s="105"/>
    </row>
    <row r="580">
      <c r="J580" s="105"/>
    </row>
    <row r="581">
      <c r="J581" s="105"/>
    </row>
    <row r="582">
      <c r="J582" s="105"/>
    </row>
    <row r="583">
      <c r="J583" s="105"/>
    </row>
    <row r="584">
      <c r="J584" s="105"/>
    </row>
    <row r="585">
      <c r="J585" s="105"/>
    </row>
    <row r="586">
      <c r="J586" s="105"/>
    </row>
    <row r="587">
      <c r="J587" s="105"/>
    </row>
    <row r="588">
      <c r="J588" s="105"/>
    </row>
    <row r="589">
      <c r="J589" s="105"/>
    </row>
    <row r="590">
      <c r="J590" s="105"/>
    </row>
    <row r="591">
      <c r="J591" s="105"/>
    </row>
    <row r="592">
      <c r="J592" s="105"/>
    </row>
    <row r="593">
      <c r="J593" s="105"/>
    </row>
    <row r="594">
      <c r="J594" s="105"/>
    </row>
    <row r="595">
      <c r="J595" s="105"/>
    </row>
    <row r="596">
      <c r="J596" s="105"/>
    </row>
    <row r="597">
      <c r="J597" s="105"/>
    </row>
    <row r="598">
      <c r="J598" s="105"/>
    </row>
    <row r="599">
      <c r="J599" s="105"/>
    </row>
    <row r="600">
      <c r="J600" s="105"/>
    </row>
    <row r="601">
      <c r="J601" s="105"/>
    </row>
    <row r="602">
      <c r="J602" s="105"/>
    </row>
    <row r="603">
      <c r="J603" s="105"/>
    </row>
    <row r="604">
      <c r="J604" s="105"/>
    </row>
    <row r="605">
      <c r="J605" s="105"/>
    </row>
    <row r="606">
      <c r="J606" s="105"/>
    </row>
    <row r="607">
      <c r="J607" s="105"/>
    </row>
    <row r="608">
      <c r="J608" s="105"/>
    </row>
    <row r="609">
      <c r="J609" s="105"/>
    </row>
    <row r="610">
      <c r="J610" s="105"/>
    </row>
    <row r="611">
      <c r="J611" s="105"/>
    </row>
    <row r="612">
      <c r="J612" s="105"/>
    </row>
    <row r="613">
      <c r="J613" s="105"/>
    </row>
    <row r="614">
      <c r="J614" s="105"/>
    </row>
    <row r="615">
      <c r="J615" s="105"/>
    </row>
    <row r="616">
      <c r="J616" s="105"/>
    </row>
    <row r="617">
      <c r="J617" s="105"/>
    </row>
    <row r="618">
      <c r="J618" s="105"/>
    </row>
    <row r="619">
      <c r="J619" s="105"/>
    </row>
    <row r="620">
      <c r="J620" s="105"/>
    </row>
    <row r="621">
      <c r="J621" s="105"/>
    </row>
    <row r="622">
      <c r="J622" s="105"/>
    </row>
    <row r="623">
      <c r="J623" s="105"/>
    </row>
    <row r="624">
      <c r="J624" s="105"/>
    </row>
    <row r="625">
      <c r="J625" s="105"/>
    </row>
    <row r="626">
      <c r="J626" s="105"/>
    </row>
    <row r="627">
      <c r="J627" s="105"/>
    </row>
    <row r="628">
      <c r="J628" s="105"/>
    </row>
    <row r="629">
      <c r="J629" s="105"/>
    </row>
    <row r="630">
      <c r="J630" s="105"/>
    </row>
    <row r="631">
      <c r="J631" s="105"/>
    </row>
    <row r="632">
      <c r="J632" s="105"/>
    </row>
    <row r="633">
      <c r="J633" s="105"/>
    </row>
    <row r="634">
      <c r="J634" s="105"/>
    </row>
    <row r="635">
      <c r="J635" s="105"/>
    </row>
    <row r="636">
      <c r="J636" s="105"/>
    </row>
    <row r="637">
      <c r="J637" s="105"/>
    </row>
    <row r="638">
      <c r="J638" s="105"/>
    </row>
    <row r="639">
      <c r="J639" s="105"/>
    </row>
    <row r="640">
      <c r="J640" s="105"/>
    </row>
    <row r="641">
      <c r="J641" s="105"/>
    </row>
    <row r="642">
      <c r="J642" s="105"/>
    </row>
    <row r="643">
      <c r="J643" s="105"/>
    </row>
    <row r="644">
      <c r="J644" s="105"/>
    </row>
    <row r="645">
      <c r="J645" s="105"/>
    </row>
    <row r="646">
      <c r="J646" s="105"/>
    </row>
    <row r="647">
      <c r="J647" s="105"/>
    </row>
    <row r="648">
      <c r="J648" s="105"/>
    </row>
    <row r="649">
      <c r="J649" s="105"/>
    </row>
    <row r="650">
      <c r="J650" s="105"/>
    </row>
    <row r="651">
      <c r="J651" s="105"/>
    </row>
    <row r="652">
      <c r="J652" s="105"/>
    </row>
    <row r="653">
      <c r="J653" s="105"/>
    </row>
    <row r="654">
      <c r="J654" s="105"/>
    </row>
    <row r="655">
      <c r="J655" s="105"/>
    </row>
    <row r="656">
      <c r="J656" s="105"/>
    </row>
    <row r="657">
      <c r="J657" s="105"/>
    </row>
    <row r="658">
      <c r="J658" s="105"/>
    </row>
    <row r="659">
      <c r="J659" s="105"/>
    </row>
    <row r="660">
      <c r="J660" s="105"/>
    </row>
    <row r="661">
      <c r="J661" s="105"/>
    </row>
    <row r="662">
      <c r="J662" s="105"/>
    </row>
    <row r="663">
      <c r="J663" s="105"/>
    </row>
    <row r="664">
      <c r="J664" s="105"/>
    </row>
    <row r="665">
      <c r="J665" s="105"/>
    </row>
    <row r="666">
      <c r="J666" s="105"/>
    </row>
    <row r="667">
      <c r="J667" s="105"/>
    </row>
    <row r="668">
      <c r="J668" s="105"/>
    </row>
    <row r="669">
      <c r="J669" s="105"/>
    </row>
    <row r="670">
      <c r="J670" s="105"/>
    </row>
    <row r="671">
      <c r="J671" s="105"/>
    </row>
    <row r="672">
      <c r="J672" s="105"/>
    </row>
    <row r="673">
      <c r="J673" s="105"/>
    </row>
    <row r="674">
      <c r="J674" s="105"/>
    </row>
    <row r="675">
      <c r="J675" s="105"/>
    </row>
    <row r="676">
      <c r="J676" s="105"/>
    </row>
    <row r="677">
      <c r="J677" s="105"/>
    </row>
    <row r="678">
      <c r="J678" s="105"/>
    </row>
    <row r="679">
      <c r="J679" s="105"/>
    </row>
    <row r="680">
      <c r="J680" s="105"/>
    </row>
    <row r="681">
      <c r="J681" s="105"/>
    </row>
    <row r="682">
      <c r="J682" s="105"/>
    </row>
    <row r="683">
      <c r="J683" s="105"/>
    </row>
    <row r="684">
      <c r="J684" s="105"/>
    </row>
    <row r="685">
      <c r="J685" s="105"/>
    </row>
    <row r="686">
      <c r="J686" s="105"/>
    </row>
    <row r="687">
      <c r="J687" s="105"/>
    </row>
    <row r="688">
      <c r="J688" s="105"/>
    </row>
    <row r="689">
      <c r="J689" s="105"/>
    </row>
    <row r="690">
      <c r="J690" s="105"/>
    </row>
    <row r="691">
      <c r="J691" s="105"/>
    </row>
    <row r="692">
      <c r="J692" s="105"/>
    </row>
    <row r="693">
      <c r="J693" s="105"/>
    </row>
    <row r="694">
      <c r="J694" s="105"/>
    </row>
    <row r="695">
      <c r="J695" s="105"/>
    </row>
    <row r="696">
      <c r="J696" s="105"/>
    </row>
    <row r="697">
      <c r="J697" s="105"/>
    </row>
    <row r="698">
      <c r="J698" s="105"/>
    </row>
    <row r="699">
      <c r="J699" s="105"/>
    </row>
    <row r="700">
      <c r="J700" s="105"/>
    </row>
    <row r="701">
      <c r="J701" s="105"/>
    </row>
  </sheetData>
  <drawing r:id="rId1"/>
</worksheet>
</file>